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WebImage.xml" ContentType="application/vnd.ms-excel.rdrichvaluewebimage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tables/table133.xml" ContentType="application/vnd.openxmlformats-officedocument.spreadsheetml.table+xml"/>
  <Override PartName="/xl/tables/table134.xml" ContentType="application/vnd.openxmlformats-officedocument.spreadsheetml.table+xml"/>
  <Override PartName="/xl/tables/table135.xml" ContentType="application/vnd.openxmlformats-officedocument.spreadsheetml.table+xml"/>
  <Override PartName="/xl/tables/table136.xml" ContentType="application/vnd.openxmlformats-officedocument.spreadsheetml.table+xml"/>
  <Override PartName="/xl/tables/table137.xml" ContentType="application/vnd.openxmlformats-officedocument.spreadsheetml.table+xml"/>
  <Override PartName="/xl/tables/table138.xml" ContentType="application/vnd.openxmlformats-officedocument.spreadsheetml.table+xml"/>
  <Override PartName="/xl/tables/table139.xml" ContentType="application/vnd.openxmlformats-officedocument.spreadsheetml.table+xml"/>
  <Override PartName="/xl/tables/table140.xml" ContentType="application/vnd.openxmlformats-officedocument.spreadsheetml.table+xml"/>
  <Override PartName="/xl/tables/table141.xml" ContentType="application/vnd.openxmlformats-officedocument.spreadsheetml.table+xml"/>
  <Override PartName="/xl/tables/table142.xml" ContentType="application/vnd.openxmlformats-officedocument.spreadsheetml.table+xml"/>
  <Override PartName="/xl/tables/table143.xml" ContentType="application/vnd.openxmlformats-officedocument.spreadsheetml.table+xml"/>
  <Override PartName="/xl/tables/table144.xml" ContentType="application/vnd.openxmlformats-officedocument.spreadsheetml.table+xml"/>
  <Override PartName="/xl/tables/table145.xml" ContentType="application/vnd.openxmlformats-officedocument.spreadsheetml.table+xml"/>
  <Override PartName="/xl/tables/table146.xml" ContentType="application/vnd.openxmlformats-officedocument.spreadsheetml.table+xml"/>
  <Override PartName="/xl/tables/table147.xml" ContentType="application/vnd.openxmlformats-officedocument.spreadsheetml.table+xml"/>
  <Override PartName="/xl/tables/table148.xml" ContentType="application/vnd.openxmlformats-officedocument.spreadsheetml.table+xml"/>
  <Override PartName="/xl/tables/table149.xml" ContentType="application/vnd.openxmlformats-officedocument.spreadsheetml.table+xml"/>
  <Override PartName="/xl/tables/table150.xml" ContentType="application/vnd.openxmlformats-officedocument.spreadsheetml.table+xml"/>
  <Override PartName="/xl/tables/table151.xml" ContentType="application/vnd.openxmlformats-officedocument.spreadsheetml.table+xml"/>
  <Override PartName="/xl/tables/table15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30af24b3fe5d560e/Documentos/André/Games/Documents/Olympics/History/Paris2024_MilanoCortina2026/"/>
    </mc:Choice>
  </mc:AlternateContent>
  <xr:revisionPtr revIDLastSave="132631" documentId="13_ncr:1_{9ECC3281-EDE8-4B83-8891-C3E7166403B4}" xr6:coauthVersionLast="47" xr6:coauthVersionMax="47" xr10:uidLastSave="{426D74FC-0710-47E1-A347-EC083B022E2E}"/>
  <bookViews>
    <workbookView xWindow="120" yWindow="216" windowWidth="22932" windowHeight="10248" tabRatio="617" activeTab="1" xr2:uid="{00000000-000D-0000-FFFF-FFFF00000000}"/>
  </bookViews>
  <sheets>
    <sheet name="Sports Quotas" sheetId="1" r:id="rId1"/>
    <sheet name="Quotas Totals" sheetId="2" r:id="rId2"/>
    <sheet name="Quotas Distribution" sheetId="148" r:id="rId3"/>
    <sheet name="Archery Male Athletes" sheetId="3" r:id="rId4"/>
    <sheet name="Archery Female Athletes" sheetId="32" r:id="rId5"/>
    <sheet name="Archery Doubles" sheetId="155" r:id="rId6"/>
    <sheet name="Archery Teams" sheetId="36" r:id="rId7"/>
    <sheet name="ArtisticGymnastic Male Athletes" sheetId="48" r:id="rId8"/>
    <sheet name="ArtistiGymnastic Female Athlete" sheetId="49" r:id="rId9"/>
    <sheet name="Artistic Gymnastics Teams" sheetId="88" r:id="rId10"/>
    <sheet name="Artistic Swimming Duets" sheetId="37" r:id="rId11"/>
    <sheet name="Artistic Swimming Teams" sheetId="38" r:id="rId12"/>
    <sheet name="Athletics Male Athletes" sheetId="4" r:id="rId13"/>
    <sheet name="Athletics Female Athletes" sheetId="5" r:id="rId14"/>
    <sheet name="Athletics Doubles" sheetId="156" r:id="rId15"/>
    <sheet name="Athletics Teams" sheetId="26" r:id="rId16"/>
    <sheet name="Badminton Male Athletes" sheetId="67" r:id="rId17"/>
    <sheet name="Badminton Female Athletes" sheetId="39" r:id="rId18"/>
    <sheet name="Badminton Doubles" sheetId="40" r:id="rId19"/>
    <sheet name="Basketball Teams" sheetId="97" r:id="rId20"/>
    <sheet name="Basketball 3x3 Teams" sheetId="98" r:id="rId21"/>
    <sheet name="Beach Volleyball Doubles" sheetId="64" r:id="rId22"/>
    <sheet name="Boxing Male Athletes" sheetId="6" r:id="rId23"/>
    <sheet name="Boxing Female Athletes" sheetId="7" r:id="rId24"/>
    <sheet name="Breaking Male Athletes" sheetId="149" r:id="rId25"/>
    <sheet name="Breaking Female Athletes" sheetId="150" r:id="rId26"/>
    <sheet name="Canoeing Slalom Male Athletes" sheetId="157" r:id="rId27"/>
    <sheet name="Canoeing Slalom Female Athletes" sheetId="158" r:id="rId28"/>
    <sheet name="Canoeing Sprint Male Athletes" sheetId="41" r:id="rId29"/>
    <sheet name="Canoeing Sprint Female Athletes" sheetId="8" r:id="rId30"/>
    <sheet name="Canoeing Sprint Doubles" sheetId="75" r:id="rId31"/>
    <sheet name="Canoeing Sprint Teams" sheetId="90" r:id="rId32"/>
    <sheet name="Cross-Country Male Athletes" sheetId="73" r:id="rId33"/>
    <sheet name="Cross-Country Female Athletes" sheetId="74" r:id="rId34"/>
    <sheet name="Cycling BMX Free Male Athletes" sheetId="159" r:id="rId35"/>
    <sheet name="Cycling BMX FreeFemale Athletes" sheetId="160" r:id="rId36"/>
    <sheet name="Cycling BMX Race Male Athletes" sheetId="77" r:id="rId37"/>
    <sheet name="Cycling BMX RaceFemale Athletes" sheetId="87" r:id="rId38"/>
    <sheet name="Cycling - Road Male Athletes" sheetId="9" r:id="rId39"/>
    <sheet name="Cycling - Road Female Athletes" sheetId="61" r:id="rId40"/>
    <sheet name="Cycling - Track Male Athletes" sheetId="76" r:id="rId41"/>
    <sheet name="Cycling - Track Female Athletes" sheetId="42" r:id="rId42"/>
    <sheet name="Cycling - Track Doubles" sheetId="91" r:id="rId43"/>
    <sheet name="Cycling - Track Teams" sheetId="92" r:id="rId44"/>
    <sheet name="Diving Male Athletes" sheetId="43" r:id="rId45"/>
    <sheet name="Diving Female Athletes" sheetId="44" r:id="rId46"/>
    <sheet name="Diving Doubles" sheetId="93" r:id="rId47"/>
    <sheet name="Equestrian Athletes" sheetId="45" r:id="rId48"/>
    <sheet name="Equestrian Teams" sheetId="46" r:id="rId49"/>
    <sheet name="Fencing Male Athletes" sheetId="10" r:id="rId50"/>
    <sheet name="Fencing Female Athletes" sheetId="11" r:id="rId51"/>
    <sheet name="Fencing Teams" sheetId="47" r:id="rId52"/>
    <sheet name="Field Hockey Teams" sheetId="99" r:id="rId53"/>
    <sheet name="Football Teams" sheetId="100" r:id="rId54"/>
    <sheet name="Golf Male Athletes" sheetId="78" r:id="rId55"/>
    <sheet name="Golf Female Athletes" sheetId="69" r:id="rId56"/>
    <sheet name="Handball Teams" sheetId="101" r:id="rId57"/>
    <sheet name="Judo Male Athletes" sheetId="12" r:id="rId58"/>
    <sheet name="Judo Female Athletes" sheetId="13" r:id="rId59"/>
    <sheet name="Judo Teams" sheetId="89" r:id="rId60"/>
    <sheet name="Modern Pentathlon Male Athletes" sheetId="52" r:id="rId61"/>
    <sheet name="Modern Pentathlon Female Athlet" sheetId="53" r:id="rId62"/>
    <sheet name="Rhytmic Gymnastics Athletes" sheetId="31" r:id="rId63"/>
    <sheet name="Rhytmic Gymnastics Teams" sheetId="50" r:id="rId64"/>
    <sheet name="Rowing Male Athletes" sheetId="25" r:id="rId65"/>
    <sheet name="Rowing Female Athletes" sheetId="70" r:id="rId66"/>
    <sheet name="Rowing Doubles" sheetId="15" r:id="rId67"/>
    <sheet name="Rowing Teams" sheetId="79" r:id="rId68"/>
    <sheet name="Rugby Sevens Teams" sheetId="102" r:id="rId69"/>
    <sheet name="Sailing Male Athletes" sheetId="16" r:id="rId70"/>
    <sheet name="Sailing Female Athletes" sheetId="17" r:id="rId71"/>
    <sheet name="Sailing Doubles" sheetId="24" r:id="rId72"/>
    <sheet name="Shooting Male Athletes" sheetId="54" r:id="rId73"/>
    <sheet name="Shooting Female Athletes" sheetId="18" r:id="rId74"/>
    <sheet name="Shooting Doubles" sheetId="55" r:id="rId75"/>
    <sheet name="Skateboarding Male Athletes" sheetId="80" r:id="rId76"/>
    <sheet name="Skateboarding Female Athletes" sheetId="81" r:id="rId77"/>
    <sheet name="Sport Climbing Male Athletes" sheetId="82" r:id="rId78"/>
    <sheet name="Sport Climbing Female Athletes" sheetId="83" r:id="rId79"/>
    <sheet name="Surfing Male Athletes" sheetId="71" r:id="rId80"/>
    <sheet name="Surfing Female Athletes" sheetId="84" r:id="rId81"/>
    <sheet name="Swimming Male Athletes" sheetId="19" r:id="rId82"/>
    <sheet name="Swimming Female Athletes" sheetId="20" r:id="rId83"/>
    <sheet name="Swimming Teams" sheetId="85" r:id="rId84"/>
    <sheet name="Table Tennis Male Athletes" sheetId="21" r:id="rId85"/>
    <sheet name="Table Tennis Female Athletes" sheetId="29" r:id="rId86"/>
    <sheet name="Table Tennis Doubles" sheetId="57" r:id="rId87"/>
    <sheet name="Table Tennis Teams" sheetId="56" r:id="rId88"/>
    <sheet name="Taekwondo Male Athletes" sheetId="28" r:id="rId89"/>
    <sheet name="Taekwondo Female Athletes" sheetId="35" r:id="rId90"/>
    <sheet name="Tennis Male Athletes" sheetId="58" r:id="rId91"/>
    <sheet name="Tennis Female Athletes" sheetId="59" r:id="rId92"/>
    <sheet name="Tennis Doubles" sheetId="86" r:id="rId93"/>
    <sheet name="Trampolining Male Athletes" sheetId="161" r:id="rId94"/>
    <sheet name="Trampolining Female Athletes" sheetId="162" r:id="rId95"/>
    <sheet name="Triathlon Male Athletes" sheetId="72" r:id="rId96"/>
    <sheet name="Triathlon Female Athletes" sheetId="60" r:id="rId97"/>
    <sheet name="Triathlon Teams" sheetId="95" r:id="rId98"/>
    <sheet name="Volleyball Teams" sheetId="103" r:id="rId99"/>
    <sheet name="Water Polo Teams" sheetId="104" r:id="rId100"/>
    <sheet name="Weightlifting Male Athletes" sheetId="22" r:id="rId101"/>
    <sheet name="Weightlifting Female Athletes" sheetId="27" r:id="rId102"/>
    <sheet name="Wrestling Male Athletes" sheetId="23" r:id="rId103"/>
    <sheet name="Wrestling Female Athletes" sheetId="30" r:id="rId104"/>
    <sheet name="Alpine Skiing Male Athletes" sheetId="105" r:id="rId105"/>
    <sheet name="Alpine Skiing Female Athletes" sheetId="106" r:id="rId106"/>
    <sheet name="Alpine Skiing Doubles" sheetId="107" r:id="rId107"/>
    <sheet name="Biathlon Male Athletes" sheetId="108" r:id="rId108"/>
    <sheet name="Biathlon Female Athletes" sheetId="109" r:id="rId109"/>
    <sheet name="Biathlon Teams" sheetId="110" r:id="rId110"/>
    <sheet name="Bobsleigh Female Athletes" sheetId="111" r:id="rId111"/>
    <sheet name="Bobsleigh Doubles" sheetId="112" r:id="rId112"/>
    <sheet name="Bobsleigh Teams" sheetId="113" r:id="rId113"/>
    <sheet name="CrossCountry Skiing Male Athlet" sheetId="114" r:id="rId114"/>
    <sheet name="CrossCountry Skiing Female Athl" sheetId="115" r:id="rId115"/>
    <sheet name="CrossCountry Skiing Doubles" sheetId="116" r:id="rId116"/>
    <sheet name="CrossCountry Skiing Teams" sheetId="117" r:id="rId117"/>
    <sheet name="Curling Doubles" sheetId="118" r:id="rId118"/>
    <sheet name="Curling Teams" sheetId="119" r:id="rId119"/>
    <sheet name="Figure Skating Male Athletes" sheetId="120" r:id="rId120"/>
    <sheet name="Figure Skating Female Athletes" sheetId="121" r:id="rId121"/>
    <sheet name="Figure Skating Doubles" sheetId="122" r:id="rId122"/>
    <sheet name="Figure Skating Teams" sheetId="123" r:id="rId123"/>
    <sheet name="Freestyle Skiing Male Athletes" sheetId="124" r:id="rId124"/>
    <sheet name="Freestyle Skiing Female Athlete" sheetId="125" r:id="rId125"/>
    <sheet name="Freestyle Skiing Teams" sheetId="126" r:id="rId126"/>
    <sheet name="Ice Hockey Teams" sheetId="127" r:id="rId127"/>
    <sheet name="Luge Male Athletes" sheetId="128" r:id="rId128"/>
    <sheet name="Luge Female Athletes" sheetId="129" r:id="rId129"/>
    <sheet name="Luge Doubles" sheetId="130" r:id="rId130"/>
    <sheet name="Luge Teams" sheetId="131" r:id="rId131"/>
    <sheet name="Nordic Combined Male Athletes" sheetId="132" r:id="rId132"/>
    <sheet name="Nordic Combined Doubles" sheetId="133" r:id="rId133"/>
    <sheet name="Short Speed Skating Male Athlet" sheetId="134" r:id="rId134"/>
    <sheet name="Short Speed Skating Female Athl" sheetId="135" r:id="rId135"/>
    <sheet name="Short Speed Skating Teams" sheetId="136" r:id="rId136"/>
    <sheet name="Skeleton Male Athletes" sheetId="137" r:id="rId137"/>
    <sheet name="Skeleton Female Athletes" sheetId="138" r:id="rId138"/>
    <sheet name="Skeleton Doubles" sheetId="151" r:id="rId139"/>
    <sheet name="Ski Jumping Male Athletes" sheetId="139" r:id="rId140"/>
    <sheet name="Ski Jumping Female Athletes" sheetId="140" r:id="rId141"/>
    <sheet name="Ski Jumping Doubles" sheetId="141" r:id="rId142"/>
    <sheet name="Ski Jumping Teams" sheetId="163" r:id="rId143"/>
    <sheet name="Ski Mountain Male Athletes" sheetId="152" r:id="rId144"/>
    <sheet name="Ski Mountain Female Athletes" sheetId="153" r:id="rId145"/>
    <sheet name="Ski Mountain Doubles" sheetId="154" r:id="rId146"/>
    <sheet name="Snowboarding Male Athletes" sheetId="142" r:id="rId147"/>
    <sheet name="Snowboarding Female Athletes" sheetId="143" r:id="rId148"/>
    <sheet name="Snowboarding Doubles" sheetId="144" r:id="rId149"/>
    <sheet name="Speed Skating Male Athletes" sheetId="145" r:id="rId150"/>
    <sheet name="Speed Skating Female Athletes" sheetId="146" r:id="rId151"/>
    <sheet name="Speed Skating Teams" sheetId="147" r:id="rId15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5" i="75" l="1"/>
  <c r="D18" i="141"/>
  <c r="D13" i="163"/>
  <c r="I85" i="15"/>
  <c r="G51" i="75"/>
  <c r="F58" i="55"/>
  <c r="F37" i="86"/>
  <c r="I86" i="15"/>
  <c r="E5" i="130"/>
  <c r="F18" i="86"/>
  <c r="G53" i="75"/>
  <c r="G52" i="75"/>
  <c r="G54" i="75"/>
  <c r="E22" i="90"/>
  <c r="D3" i="89"/>
  <c r="E7" i="107"/>
  <c r="I2" i="104"/>
  <c r="D14" i="151"/>
  <c r="D13" i="151"/>
  <c r="D12" i="151"/>
  <c r="D11" i="151"/>
  <c r="D10" i="151"/>
  <c r="D9" i="151"/>
  <c r="D8" i="151"/>
  <c r="D7" i="151"/>
  <c r="D6" i="151"/>
  <c r="D5" i="151"/>
  <c r="D4" i="151"/>
  <c r="D3" i="151"/>
  <c r="D2" i="151"/>
  <c r="D15" i="133"/>
  <c r="D14" i="133"/>
  <c r="D13" i="133"/>
  <c r="D12" i="133"/>
  <c r="D11" i="133"/>
  <c r="D10" i="133"/>
  <c r="D9" i="133"/>
  <c r="D8" i="133"/>
  <c r="D7" i="133"/>
  <c r="D6" i="133"/>
  <c r="D5" i="133"/>
  <c r="D4" i="133"/>
  <c r="D3" i="133"/>
  <c r="D2" i="133"/>
  <c r="D12" i="163"/>
  <c r="D11" i="163"/>
  <c r="D10" i="163"/>
  <c r="D9" i="163"/>
  <c r="D8" i="163"/>
  <c r="D7" i="163"/>
  <c r="D6" i="163"/>
  <c r="D5" i="163"/>
  <c r="D4" i="163"/>
  <c r="D3" i="163"/>
  <c r="D2" i="163"/>
  <c r="D17" i="141"/>
  <c r="D16" i="141"/>
  <c r="D15" i="141"/>
  <c r="D14" i="141"/>
  <c r="D13" i="141"/>
  <c r="D12" i="141"/>
  <c r="D11" i="141"/>
  <c r="D10" i="141"/>
  <c r="D9" i="141"/>
  <c r="D8" i="141"/>
  <c r="D7" i="141"/>
  <c r="D6" i="141"/>
  <c r="D5" i="141"/>
  <c r="D4" i="141"/>
  <c r="D3" i="141"/>
  <c r="D2" i="141"/>
  <c r="D2" i="131"/>
  <c r="D3" i="131"/>
  <c r="D4" i="131"/>
  <c r="D5" i="131"/>
  <c r="D6" i="131"/>
  <c r="D7" i="131"/>
  <c r="D8" i="131"/>
  <c r="D9" i="131"/>
  <c r="D10" i="131"/>
  <c r="E29" i="130"/>
  <c r="E28" i="130"/>
  <c r="E27" i="130"/>
  <c r="E26" i="130"/>
  <c r="E25" i="130"/>
  <c r="E24" i="130"/>
  <c r="E23" i="130"/>
  <c r="E22" i="130"/>
  <c r="E21" i="130"/>
  <c r="E20" i="130"/>
  <c r="E19" i="130"/>
  <c r="E18" i="130"/>
  <c r="E17" i="130"/>
  <c r="E16" i="130"/>
  <c r="E15" i="130"/>
  <c r="E14" i="130"/>
  <c r="E13" i="130"/>
  <c r="E12" i="130"/>
  <c r="E11" i="130"/>
  <c r="E10" i="130"/>
  <c r="E9" i="130"/>
  <c r="E8" i="130"/>
  <c r="E7" i="130"/>
  <c r="E6" i="130"/>
  <c r="E4" i="130"/>
  <c r="E3" i="130"/>
  <c r="E2" i="130"/>
  <c r="G23" i="127"/>
  <c r="G22" i="127"/>
  <c r="G21" i="127"/>
  <c r="G20" i="127"/>
  <c r="G19" i="127"/>
  <c r="G18" i="127"/>
  <c r="G17" i="127"/>
  <c r="G16" i="127"/>
  <c r="G15" i="127"/>
  <c r="G14" i="127"/>
  <c r="G13" i="127"/>
  <c r="G12" i="127"/>
  <c r="G11" i="127"/>
  <c r="G10" i="127"/>
  <c r="G9" i="127"/>
  <c r="G8" i="127"/>
  <c r="G7" i="127"/>
  <c r="G6" i="127"/>
  <c r="G5" i="127"/>
  <c r="G4" i="127"/>
  <c r="G3" i="127"/>
  <c r="G2" i="127"/>
  <c r="F29" i="136"/>
  <c r="F28" i="136"/>
  <c r="F27" i="136"/>
  <c r="F26" i="136"/>
  <c r="F25" i="136"/>
  <c r="F24" i="136"/>
  <c r="F23" i="136"/>
  <c r="F22" i="136"/>
  <c r="F21" i="136"/>
  <c r="F20" i="136"/>
  <c r="F19" i="136"/>
  <c r="F18" i="136"/>
  <c r="F17" i="136"/>
  <c r="F16" i="136"/>
  <c r="F15" i="136"/>
  <c r="F14" i="136"/>
  <c r="F13" i="136"/>
  <c r="F12" i="136"/>
  <c r="F11" i="136"/>
  <c r="F10" i="136"/>
  <c r="F9" i="136"/>
  <c r="F8" i="136"/>
  <c r="F7" i="136"/>
  <c r="F6" i="136"/>
  <c r="F5" i="136"/>
  <c r="F4" i="136"/>
  <c r="F3" i="136"/>
  <c r="F2" i="136"/>
  <c r="E17" i="147"/>
  <c r="E16" i="147"/>
  <c r="E15" i="147"/>
  <c r="E14" i="147"/>
  <c r="E13" i="147"/>
  <c r="E12" i="147"/>
  <c r="E11" i="147"/>
  <c r="E10" i="147"/>
  <c r="E9" i="147"/>
  <c r="E8" i="147"/>
  <c r="E7" i="147"/>
  <c r="E6" i="147"/>
  <c r="E5" i="147"/>
  <c r="E4" i="147"/>
  <c r="E3" i="147"/>
  <c r="E2" i="147"/>
  <c r="E47" i="107"/>
  <c r="E48" i="107"/>
  <c r="E49" i="107"/>
  <c r="E46" i="107"/>
  <c r="E43" i="107"/>
  <c r="E44" i="107"/>
  <c r="E45" i="107"/>
  <c r="E42" i="107"/>
  <c r="E41" i="107"/>
  <c r="E40" i="107"/>
  <c r="E39" i="107"/>
  <c r="E38" i="107"/>
  <c r="E37" i="107"/>
  <c r="E36" i="107"/>
  <c r="E35" i="107"/>
  <c r="E34" i="107"/>
  <c r="E33" i="107"/>
  <c r="E32" i="107"/>
  <c r="E31" i="107"/>
  <c r="E30" i="107"/>
  <c r="E29" i="107"/>
  <c r="E28" i="107"/>
  <c r="E25" i="107"/>
  <c r="E26" i="107"/>
  <c r="E27" i="107"/>
  <c r="E24" i="107"/>
  <c r="E23" i="107"/>
  <c r="E22" i="107"/>
  <c r="E19" i="107"/>
  <c r="E20" i="107"/>
  <c r="E21" i="107"/>
  <c r="E18" i="107"/>
  <c r="E17" i="107"/>
  <c r="E16" i="107"/>
  <c r="E13" i="107"/>
  <c r="E14" i="107"/>
  <c r="E15" i="107"/>
  <c r="E12" i="107"/>
  <c r="E11" i="107"/>
  <c r="E10" i="107"/>
  <c r="E9" i="107"/>
  <c r="E8" i="107"/>
  <c r="E6" i="107"/>
  <c r="E3" i="107"/>
  <c r="E4" i="107"/>
  <c r="E5" i="107"/>
  <c r="E2" i="107"/>
  <c r="D8" i="126"/>
  <c r="D7" i="126"/>
  <c r="D6" i="126"/>
  <c r="D5" i="126"/>
  <c r="D4" i="126"/>
  <c r="D3" i="126"/>
  <c r="D2" i="126"/>
  <c r="D17" i="144"/>
  <c r="D16" i="144"/>
  <c r="D15" i="144"/>
  <c r="D14" i="144"/>
  <c r="D13" i="144"/>
  <c r="D12" i="144"/>
  <c r="D11" i="144"/>
  <c r="D10" i="144"/>
  <c r="D9" i="144"/>
  <c r="D8" i="144"/>
  <c r="D7" i="144"/>
  <c r="D6" i="144"/>
  <c r="D5" i="144"/>
  <c r="D4" i="144"/>
  <c r="D3" i="144"/>
  <c r="D2" i="144"/>
  <c r="D13" i="154"/>
  <c r="D12" i="154"/>
  <c r="D11" i="154"/>
  <c r="D10" i="154"/>
  <c r="D9" i="154"/>
  <c r="D8" i="154"/>
  <c r="D7" i="154"/>
  <c r="D6" i="154"/>
  <c r="D5" i="154"/>
  <c r="D4" i="154"/>
  <c r="D3" i="154"/>
  <c r="D2" i="154"/>
  <c r="F62" i="110"/>
  <c r="F61" i="110"/>
  <c r="F60" i="110"/>
  <c r="F59" i="110"/>
  <c r="F58" i="110"/>
  <c r="F57" i="110"/>
  <c r="F56" i="110"/>
  <c r="F55" i="110"/>
  <c r="F54" i="110"/>
  <c r="F53" i="110"/>
  <c r="F52" i="110"/>
  <c r="F51" i="110"/>
  <c r="F50" i="110"/>
  <c r="F49" i="110"/>
  <c r="F48" i="110"/>
  <c r="F47" i="110"/>
  <c r="F46" i="110"/>
  <c r="F45" i="110"/>
  <c r="F44" i="110"/>
  <c r="F43" i="110"/>
  <c r="F42" i="110"/>
  <c r="F41" i="110"/>
  <c r="F40" i="110"/>
  <c r="F39" i="110"/>
  <c r="F38" i="110"/>
  <c r="F37" i="110"/>
  <c r="F36" i="110"/>
  <c r="F35" i="110"/>
  <c r="F34" i="110"/>
  <c r="F33" i="110"/>
  <c r="F32" i="110"/>
  <c r="F31" i="110"/>
  <c r="F30" i="110"/>
  <c r="F29" i="110"/>
  <c r="F28" i="110"/>
  <c r="F27" i="110"/>
  <c r="F26" i="110"/>
  <c r="F25" i="110"/>
  <c r="F24" i="110"/>
  <c r="F23" i="110"/>
  <c r="F22" i="110"/>
  <c r="F21" i="110"/>
  <c r="F20" i="110"/>
  <c r="F19" i="110"/>
  <c r="F18" i="110"/>
  <c r="F17" i="110"/>
  <c r="F16" i="110"/>
  <c r="F15" i="110"/>
  <c r="F14" i="110"/>
  <c r="F13" i="110"/>
  <c r="F12" i="110"/>
  <c r="F11" i="110"/>
  <c r="F10" i="110"/>
  <c r="F9" i="110"/>
  <c r="F8" i="110"/>
  <c r="F7" i="110"/>
  <c r="F6" i="110"/>
  <c r="F5" i="110"/>
  <c r="F4" i="110"/>
  <c r="F3" i="110"/>
  <c r="F2" i="110"/>
  <c r="E30" i="117"/>
  <c r="E29" i="117"/>
  <c r="E28" i="117"/>
  <c r="E27" i="117"/>
  <c r="E26" i="117"/>
  <c r="E25" i="117"/>
  <c r="E24" i="117"/>
  <c r="E23" i="117"/>
  <c r="E22" i="117"/>
  <c r="E21" i="117"/>
  <c r="E20" i="117"/>
  <c r="E19" i="117"/>
  <c r="E18" i="117"/>
  <c r="E17" i="117"/>
  <c r="E16" i="117"/>
  <c r="E15" i="117"/>
  <c r="E14" i="117"/>
  <c r="E13" i="117"/>
  <c r="E12" i="117"/>
  <c r="E11" i="117"/>
  <c r="E10" i="117"/>
  <c r="E9" i="117"/>
  <c r="E8" i="117"/>
  <c r="E7" i="117"/>
  <c r="E6" i="117"/>
  <c r="E5" i="117"/>
  <c r="E4" i="117"/>
  <c r="E3" i="117"/>
  <c r="E2" i="117"/>
  <c r="E54" i="116"/>
  <c r="E53" i="116"/>
  <c r="E52" i="116"/>
  <c r="E51" i="116"/>
  <c r="E50" i="116"/>
  <c r="E49" i="116"/>
  <c r="E48" i="116"/>
  <c r="E47" i="116"/>
  <c r="E46" i="116"/>
  <c r="E45" i="116"/>
  <c r="E44" i="116"/>
  <c r="E43" i="116"/>
  <c r="E42" i="116"/>
  <c r="E41" i="116"/>
  <c r="E40" i="116"/>
  <c r="E39" i="116"/>
  <c r="E38" i="116"/>
  <c r="E37" i="116"/>
  <c r="E36" i="116"/>
  <c r="E35" i="116"/>
  <c r="E34" i="116"/>
  <c r="E33" i="116"/>
  <c r="E32" i="116"/>
  <c r="E31" i="116"/>
  <c r="E30" i="116"/>
  <c r="E29" i="116"/>
  <c r="E28" i="116"/>
  <c r="E27" i="116"/>
  <c r="E26" i="116"/>
  <c r="E25" i="116"/>
  <c r="E24" i="116"/>
  <c r="E23" i="116"/>
  <c r="E22" i="116"/>
  <c r="E21" i="116"/>
  <c r="E20" i="116"/>
  <c r="E19" i="116"/>
  <c r="E18" i="116"/>
  <c r="E17" i="116"/>
  <c r="E16" i="116"/>
  <c r="E15" i="116"/>
  <c r="E14" i="116"/>
  <c r="E13" i="116"/>
  <c r="E12" i="116"/>
  <c r="E11" i="116"/>
  <c r="E10" i="116"/>
  <c r="E9" i="116"/>
  <c r="E8" i="116"/>
  <c r="E7" i="116"/>
  <c r="E6" i="116"/>
  <c r="E5" i="116"/>
  <c r="E4" i="116"/>
  <c r="E3" i="116"/>
  <c r="E2" i="116"/>
  <c r="E43" i="122"/>
  <c r="E42" i="122"/>
  <c r="E41" i="122"/>
  <c r="E40" i="122"/>
  <c r="E39" i="122"/>
  <c r="E38" i="122"/>
  <c r="E37" i="122"/>
  <c r="E36" i="122"/>
  <c r="E35" i="122"/>
  <c r="E34" i="122"/>
  <c r="E33" i="122"/>
  <c r="E32" i="122"/>
  <c r="E31" i="122"/>
  <c r="E30" i="122"/>
  <c r="E29" i="122"/>
  <c r="E28" i="122"/>
  <c r="E27" i="122"/>
  <c r="E26" i="122"/>
  <c r="E25" i="122"/>
  <c r="E24" i="122"/>
  <c r="E23" i="122"/>
  <c r="E22" i="122"/>
  <c r="E21" i="122"/>
  <c r="E20" i="122"/>
  <c r="E19" i="122"/>
  <c r="E18" i="122"/>
  <c r="E17" i="122"/>
  <c r="E16" i="122"/>
  <c r="E15" i="122"/>
  <c r="E14" i="122"/>
  <c r="E13" i="122"/>
  <c r="E12" i="122"/>
  <c r="E11" i="122"/>
  <c r="E10" i="122"/>
  <c r="E9" i="122"/>
  <c r="E8" i="122"/>
  <c r="E7" i="122"/>
  <c r="E6" i="122"/>
  <c r="E5" i="122"/>
  <c r="E4" i="122"/>
  <c r="E3" i="122"/>
  <c r="E2" i="122"/>
  <c r="D11" i="123"/>
  <c r="D10" i="123"/>
  <c r="D9" i="123"/>
  <c r="D8" i="123"/>
  <c r="D7" i="123"/>
  <c r="D6" i="123"/>
  <c r="D5" i="123"/>
  <c r="D4" i="123"/>
  <c r="D3" i="123"/>
  <c r="D2" i="123"/>
  <c r="D2" i="113"/>
  <c r="D3" i="113"/>
  <c r="D4" i="113"/>
  <c r="D5" i="113"/>
  <c r="D6" i="113"/>
  <c r="D7" i="113"/>
  <c r="D8" i="113"/>
  <c r="D9" i="113"/>
  <c r="D10" i="113"/>
  <c r="D11" i="113"/>
  <c r="D12" i="113"/>
  <c r="D13" i="113"/>
  <c r="D14" i="113"/>
  <c r="D15" i="113"/>
  <c r="D16" i="113"/>
  <c r="D17" i="113"/>
  <c r="D18" i="113"/>
  <c r="D19" i="113"/>
  <c r="D20" i="113"/>
  <c r="D21" i="113"/>
  <c r="D22" i="113"/>
  <c r="D23" i="113"/>
  <c r="D24" i="113"/>
  <c r="D25" i="113"/>
  <c r="D26" i="113"/>
  <c r="D27" i="113"/>
  <c r="D28" i="113"/>
  <c r="D29" i="113"/>
  <c r="E54" i="112"/>
  <c r="E53" i="112"/>
  <c r="E52" i="112"/>
  <c r="E51" i="112"/>
  <c r="E50" i="112"/>
  <c r="E49" i="112"/>
  <c r="E48" i="112"/>
  <c r="E47" i="112"/>
  <c r="E46" i="112"/>
  <c r="E45" i="112"/>
  <c r="E44" i="112"/>
  <c r="E43" i="112"/>
  <c r="E42" i="112"/>
  <c r="E41" i="112"/>
  <c r="E40" i="112"/>
  <c r="E39" i="112"/>
  <c r="E38" i="112"/>
  <c r="E37" i="112"/>
  <c r="E36" i="112"/>
  <c r="E35" i="112"/>
  <c r="E34" i="112"/>
  <c r="E33" i="112"/>
  <c r="E32" i="112"/>
  <c r="E31" i="112"/>
  <c r="E30" i="112"/>
  <c r="E29" i="112"/>
  <c r="E28" i="112"/>
  <c r="E27" i="112"/>
  <c r="E26" i="112"/>
  <c r="E25" i="112"/>
  <c r="E24" i="112"/>
  <c r="E23" i="112"/>
  <c r="E22" i="112"/>
  <c r="E21" i="112"/>
  <c r="E20" i="112"/>
  <c r="E19" i="112"/>
  <c r="E18" i="112"/>
  <c r="E17" i="112"/>
  <c r="E16" i="112"/>
  <c r="E15" i="112"/>
  <c r="E14" i="112"/>
  <c r="E13" i="112"/>
  <c r="E12" i="112"/>
  <c r="E11" i="112"/>
  <c r="E10" i="112"/>
  <c r="E9" i="112"/>
  <c r="E8" i="112"/>
  <c r="E7" i="112"/>
  <c r="E6" i="112"/>
  <c r="E5" i="112"/>
  <c r="E4" i="112"/>
  <c r="E3" i="112"/>
  <c r="E2" i="112"/>
  <c r="D11" i="118"/>
  <c r="D10" i="118"/>
  <c r="E21" i="119"/>
  <c r="E20" i="119"/>
  <c r="E19" i="119"/>
  <c r="E18" i="119"/>
  <c r="D9" i="118"/>
  <c r="D8" i="118"/>
  <c r="D7" i="118"/>
  <c r="D6" i="118"/>
  <c r="D5" i="118"/>
  <c r="D4" i="118"/>
  <c r="D3" i="118"/>
  <c r="E17" i="119"/>
  <c r="E16" i="119"/>
  <c r="E15" i="119"/>
  <c r="E14" i="119"/>
  <c r="E13" i="119"/>
  <c r="E12" i="119"/>
  <c r="E11" i="119"/>
  <c r="E10" i="119"/>
  <c r="E9" i="119"/>
  <c r="E8" i="119"/>
  <c r="E7" i="119"/>
  <c r="E6" i="119"/>
  <c r="E5" i="119"/>
  <c r="E4" i="119"/>
  <c r="E3" i="119"/>
  <c r="E2" i="119"/>
  <c r="D2" i="118"/>
  <c r="G2" i="97"/>
  <c r="G3" i="97"/>
  <c r="G4" i="97"/>
  <c r="G5" i="97"/>
  <c r="G6" i="97"/>
  <c r="G7" i="97"/>
  <c r="G8" i="97"/>
  <c r="G9" i="97"/>
  <c r="G10" i="97"/>
  <c r="G11" i="97"/>
  <c r="G12" i="97"/>
  <c r="G13" i="97"/>
  <c r="G14" i="97"/>
  <c r="G15" i="97"/>
  <c r="G16" i="97"/>
  <c r="G17" i="97"/>
  <c r="G18" i="97"/>
  <c r="G19" i="97"/>
  <c r="G20" i="97"/>
  <c r="G21" i="97"/>
  <c r="G22" i="97"/>
  <c r="G23" i="97"/>
  <c r="G24" i="97"/>
  <c r="G25" i="97"/>
  <c r="H2" i="99"/>
  <c r="H3" i="99"/>
  <c r="H4" i="99"/>
  <c r="H5" i="99"/>
  <c r="H6" i="99"/>
  <c r="H7" i="99"/>
  <c r="H8" i="99"/>
  <c r="H9" i="99"/>
  <c r="H10" i="99"/>
  <c r="H11" i="99"/>
  <c r="H12" i="99"/>
  <c r="H13" i="99"/>
  <c r="H14" i="99"/>
  <c r="H15" i="99"/>
  <c r="H16" i="99"/>
  <c r="H17" i="99"/>
  <c r="H18" i="99"/>
  <c r="H19" i="99"/>
  <c r="H20" i="99"/>
  <c r="H21" i="99"/>
  <c r="H22" i="99"/>
  <c r="H23" i="99"/>
  <c r="H24" i="99"/>
  <c r="H25" i="99"/>
  <c r="F2" i="102"/>
  <c r="F3" i="102"/>
  <c r="F4" i="102"/>
  <c r="F5" i="102"/>
  <c r="F6" i="102"/>
  <c r="F7" i="102"/>
  <c r="F8" i="102"/>
  <c r="F9" i="102"/>
  <c r="F10" i="102"/>
  <c r="F11" i="102"/>
  <c r="F12" i="102"/>
  <c r="F13" i="102"/>
  <c r="F14" i="102"/>
  <c r="F15" i="102"/>
  <c r="F16" i="102"/>
  <c r="F17" i="102"/>
  <c r="F18" i="102"/>
  <c r="F19" i="102"/>
  <c r="F20" i="102"/>
  <c r="F21" i="102"/>
  <c r="F22" i="102"/>
  <c r="F23" i="102"/>
  <c r="F24" i="102"/>
  <c r="F25" i="102"/>
  <c r="PV2" i="1" l="1"/>
  <c r="F57" i="55"/>
  <c r="F56" i="55"/>
  <c r="F55" i="55"/>
  <c r="F50" i="55"/>
  <c r="F49" i="55"/>
  <c r="F48" i="55"/>
  <c r="F44" i="55"/>
  <c r="F40" i="55"/>
  <c r="F36" i="55"/>
  <c r="F28" i="55"/>
  <c r="F27" i="55"/>
  <c r="F21" i="55"/>
  <c r="F20" i="55"/>
  <c r="F16" i="55"/>
  <c r="F8" i="55"/>
  <c r="F7" i="55"/>
  <c r="F6" i="55"/>
  <c r="F59" i="55"/>
  <c r="F52" i="55"/>
  <c r="F51" i="55"/>
  <c r="F47" i="55"/>
  <c r="F46" i="55"/>
  <c r="F43" i="55"/>
  <c r="F42" i="55"/>
  <c r="F41" i="55"/>
  <c r="F38" i="55"/>
  <c r="F37" i="55"/>
  <c r="F35" i="55"/>
  <c r="F32" i="55"/>
  <c r="F30" i="55"/>
  <c r="F29" i="55"/>
  <c r="F26" i="55"/>
  <c r="F24" i="55"/>
  <c r="F22" i="55"/>
  <c r="F18" i="55"/>
  <c r="F17" i="55"/>
  <c r="F14" i="55"/>
  <c r="F13" i="55"/>
  <c r="F11" i="55"/>
  <c r="F10" i="55"/>
  <c r="F9" i="55"/>
  <c r="F5" i="55"/>
  <c r="F3" i="55"/>
  <c r="F2" i="55"/>
  <c r="F61" i="55"/>
  <c r="F60" i="55"/>
  <c r="F54" i="55"/>
  <c r="F53" i="55"/>
  <c r="F45" i="55"/>
  <c r="F39" i="55"/>
  <c r="F34" i="55"/>
  <c r="F33" i="55"/>
  <c r="F31" i="55"/>
  <c r="F25" i="55"/>
  <c r="F23" i="55"/>
  <c r="F19" i="55"/>
  <c r="F15" i="55"/>
  <c r="F12" i="55"/>
  <c r="F4" i="55"/>
  <c r="D20" i="89"/>
  <c r="D16" i="95"/>
  <c r="D15" i="95"/>
  <c r="D14" i="95"/>
  <c r="D13" i="95"/>
  <c r="D17" i="95"/>
  <c r="D8" i="155"/>
  <c r="D9" i="155"/>
  <c r="D18" i="155"/>
  <c r="D28" i="155"/>
  <c r="D27" i="155"/>
  <c r="D22" i="155"/>
  <c r="D21" i="155"/>
  <c r="D10" i="155"/>
  <c r="D19" i="155"/>
  <c r="D15" i="155"/>
  <c r="D26" i="155"/>
  <c r="D20" i="155"/>
  <c r="D11" i="155"/>
  <c r="D17" i="155"/>
  <c r="D25" i="155"/>
  <c r="D6" i="155"/>
  <c r="D14" i="155"/>
  <c r="D16" i="155"/>
  <c r="D13" i="155"/>
  <c r="D24" i="155"/>
  <c r="D23" i="155"/>
  <c r="D12" i="155"/>
  <c r="D7" i="155"/>
  <c r="D5" i="155"/>
  <c r="D4" i="155"/>
  <c r="D3" i="155"/>
  <c r="H12" i="100"/>
  <c r="G79" i="24"/>
  <c r="G70" i="24"/>
  <c r="G71" i="24"/>
  <c r="G66" i="24"/>
  <c r="D26" i="156"/>
  <c r="D25" i="156"/>
  <c r="D24" i="156"/>
  <c r="H81" i="26"/>
  <c r="H80" i="26"/>
  <c r="H79" i="26"/>
  <c r="H78" i="26"/>
  <c r="H77" i="26"/>
  <c r="H76" i="26"/>
  <c r="H75" i="26"/>
  <c r="H74" i="26"/>
  <c r="H73" i="26"/>
  <c r="H72" i="26"/>
  <c r="E25" i="36"/>
  <c r="E24" i="36"/>
  <c r="E23" i="36"/>
  <c r="E22" i="36"/>
  <c r="I25" i="103"/>
  <c r="I24" i="103"/>
  <c r="I23" i="103"/>
  <c r="I22" i="103"/>
  <c r="I21" i="103"/>
  <c r="D19" i="89"/>
  <c r="D18" i="89"/>
  <c r="D17" i="89"/>
  <c r="D16" i="89"/>
  <c r="D15" i="89"/>
  <c r="D14" i="89"/>
  <c r="D13" i="89"/>
  <c r="D12" i="89"/>
  <c r="D11" i="89"/>
  <c r="D10" i="89"/>
  <c r="D9" i="89"/>
  <c r="D8" i="89"/>
  <c r="D7" i="89"/>
  <c r="D6" i="89"/>
  <c r="D5" i="89"/>
  <c r="D4" i="89"/>
  <c r="E49" i="64"/>
  <c r="E48" i="64"/>
  <c r="E47" i="64"/>
  <c r="E46" i="64"/>
  <c r="E45" i="64"/>
  <c r="E44" i="64"/>
  <c r="E43" i="64"/>
  <c r="I20" i="103"/>
  <c r="I19" i="103"/>
  <c r="I18" i="103"/>
  <c r="I17" i="103"/>
  <c r="I16" i="103"/>
  <c r="E21" i="36"/>
  <c r="E20" i="36"/>
  <c r="E19" i="36"/>
  <c r="E18" i="36"/>
  <c r="E17" i="36"/>
  <c r="E16" i="36"/>
  <c r="E15" i="36"/>
  <c r="E42" i="64"/>
  <c r="E41" i="64"/>
  <c r="E40" i="64"/>
  <c r="F81" i="86"/>
  <c r="F80" i="86"/>
  <c r="F79" i="86"/>
  <c r="F78" i="86"/>
  <c r="F77" i="86"/>
  <c r="F76" i="86"/>
  <c r="F75" i="86"/>
  <c r="F74" i="86"/>
  <c r="F73" i="86"/>
  <c r="F72" i="86"/>
  <c r="F71" i="86"/>
  <c r="F70" i="86"/>
  <c r="F69" i="86"/>
  <c r="F68" i="86"/>
  <c r="F67" i="86"/>
  <c r="F66" i="86"/>
  <c r="F65" i="86"/>
  <c r="F64" i="86"/>
  <c r="F63" i="86"/>
  <c r="F62" i="86"/>
  <c r="F61" i="86"/>
  <c r="F60" i="86"/>
  <c r="F59" i="86"/>
  <c r="F58" i="86"/>
  <c r="F57" i="86"/>
  <c r="F56" i="86"/>
  <c r="F55" i="86"/>
  <c r="F54" i="86"/>
  <c r="F53" i="86"/>
  <c r="F52" i="86"/>
  <c r="F51" i="86"/>
  <c r="F50" i="86"/>
  <c r="F49" i="86"/>
  <c r="F48" i="86"/>
  <c r="F47" i="86"/>
  <c r="F46" i="86"/>
  <c r="F45" i="86"/>
  <c r="F44" i="86"/>
  <c r="F43" i="86"/>
  <c r="F42" i="86"/>
  <c r="F41" i="86"/>
  <c r="F40" i="86"/>
  <c r="F39" i="86"/>
  <c r="F38" i="86"/>
  <c r="F36" i="86"/>
  <c r="F35" i="86"/>
  <c r="F34" i="86"/>
  <c r="F33" i="86"/>
  <c r="F32" i="86"/>
  <c r="F31" i="86"/>
  <c r="F30" i="86"/>
  <c r="F29" i="86"/>
  <c r="F28" i="86"/>
  <c r="F27" i="86"/>
  <c r="F26" i="86"/>
  <c r="F25" i="86"/>
  <c r="F24" i="86"/>
  <c r="F23" i="86"/>
  <c r="F22" i="86"/>
  <c r="F21" i="86"/>
  <c r="F20" i="86"/>
  <c r="F19" i="86"/>
  <c r="F17" i="86"/>
  <c r="F16" i="86"/>
  <c r="F15" i="86"/>
  <c r="F14" i="86"/>
  <c r="F13" i="86"/>
  <c r="F12" i="86"/>
  <c r="F11" i="86"/>
  <c r="F10" i="86"/>
  <c r="F9" i="86"/>
  <c r="F8" i="86"/>
  <c r="F7" i="86"/>
  <c r="F6" i="86"/>
  <c r="F5" i="86"/>
  <c r="F4" i="86"/>
  <c r="F3" i="86"/>
  <c r="F2" i="86"/>
  <c r="E39" i="64"/>
  <c r="E38" i="64"/>
  <c r="E37" i="64"/>
  <c r="E36" i="64"/>
  <c r="E35" i="64"/>
  <c r="E34" i="64"/>
  <c r="E33" i="64"/>
  <c r="E32" i="64"/>
  <c r="E31" i="64"/>
  <c r="E30" i="64"/>
  <c r="E29" i="64"/>
  <c r="E28" i="64"/>
  <c r="E27" i="64"/>
  <c r="E26" i="64"/>
  <c r="E25" i="64"/>
  <c r="E24" i="64"/>
  <c r="E23" i="64"/>
  <c r="E22" i="64"/>
  <c r="E21" i="64"/>
  <c r="E20" i="64"/>
  <c r="E19" i="64"/>
  <c r="E18" i="64"/>
  <c r="E17" i="64"/>
  <c r="E16" i="64"/>
  <c r="E15" i="64"/>
  <c r="E14" i="64"/>
  <c r="E13" i="64"/>
  <c r="E12" i="64"/>
  <c r="E11" i="64"/>
  <c r="E10" i="64"/>
  <c r="E9" i="64"/>
  <c r="E8" i="64"/>
  <c r="E7" i="64"/>
  <c r="E6" i="64"/>
  <c r="D15" i="50"/>
  <c r="D14" i="50"/>
  <c r="D13" i="50"/>
  <c r="I51" i="79"/>
  <c r="I50" i="79"/>
  <c r="I49" i="79"/>
  <c r="I48" i="79"/>
  <c r="I84" i="15"/>
  <c r="I83" i="15"/>
  <c r="I47" i="79"/>
  <c r="I46" i="79"/>
  <c r="I82" i="15"/>
  <c r="I81" i="15"/>
  <c r="I80" i="15"/>
  <c r="I79" i="15"/>
  <c r="I45" i="79"/>
  <c r="I44" i="79"/>
  <c r="I43" i="79"/>
  <c r="I42" i="79"/>
  <c r="I78" i="15"/>
  <c r="I77" i="15"/>
  <c r="I41" i="79"/>
  <c r="I40" i="79"/>
  <c r="I76" i="15"/>
  <c r="I75" i="15"/>
  <c r="I74" i="15"/>
  <c r="I73" i="15"/>
  <c r="D12" i="95"/>
  <c r="D11" i="95"/>
  <c r="E17" i="98"/>
  <c r="E16" i="98"/>
  <c r="E15" i="98"/>
  <c r="E14" i="98"/>
  <c r="E13" i="98"/>
  <c r="E12" i="98"/>
  <c r="H29" i="100"/>
  <c r="E14" i="36"/>
  <c r="E13" i="36"/>
  <c r="G50" i="75"/>
  <c r="G49" i="75"/>
  <c r="G48" i="75"/>
  <c r="G47" i="75"/>
  <c r="D17" i="57"/>
  <c r="D16" i="57"/>
  <c r="D15" i="57"/>
  <c r="D14" i="57"/>
  <c r="D13" i="57"/>
  <c r="D12" i="57"/>
  <c r="H71" i="26"/>
  <c r="H70" i="26"/>
  <c r="H69" i="26"/>
  <c r="H68" i="26"/>
  <c r="H67" i="26"/>
  <c r="H66" i="26"/>
  <c r="H65" i="26"/>
  <c r="H64" i="26"/>
  <c r="H63" i="26"/>
  <c r="H62" i="26"/>
  <c r="H61" i="26"/>
  <c r="H60" i="26"/>
  <c r="H59" i="26"/>
  <c r="H58" i="26"/>
  <c r="H57" i="26"/>
  <c r="H56" i="26"/>
  <c r="H55" i="26"/>
  <c r="H54" i="26"/>
  <c r="H53" i="26"/>
  <c r="H52" i="26"/>
  <c r="H51" i="26"/>
  <c r="H50" i="26"/>
  <c r="H49" i="26"/>
  <c r="H48" i="26"/>
  <c r="H47" i="26"/>
  <c r="H46" i="26"/>
  <c r="H45" i="26"/>
  <c r="H44" i="26"/>
  <c r="H43" i="26"/>
  <c r="H42" i="26"/>
  <c r="H41" i="26"/>
  <c r="H40" i="26"/>
  <c r="H39" i="26"/>
  <c r="H38" i="26"/>
  <c r="H37" i="26"/>
  <c r="H36" i="26"/>
  <c r="H35" i="26"/>
  <c r="H34" i="26"/>
  <c r="H33" i="26"/>
  <c r="H32" i="26"/>
  <c r="H31" i="26"/>
  <c r="H30" i="26"/>
  <c r="H29" i="26"/>
  <c r="H28" i="26"/>
  <c r="H27" i="26"/>
  <c r="H26" i="26"/>
  <c r="H25" i="26"/>
  <c r="H24" i="26"/>
  <c r="H23" i="26"/>
  <c r="H22" i="26"/>
  <c r="H21" i="26"/>
  <c r="H20" i="26"/>
  <c r="H19" i="26"/>
  <c r="H18" i="26"/>
  <c r="H17" i="26"/>
  <c r="H16" i="26"/>
  <c r="H15" i="26"/>
  <c r="H14" i="26"/>
  <c r="H13" i="26"/>
  <c r="H12" i="26"/>
  <c r="H11" i="26"/>
  <c r="H10" i="26"/>
  <c r="H9" i="26"/>
  <c r="H8" i="26"/>
  <c r="H7" i="26"/>
  <c r="H6" i="26"/>
  <c r="H5" i="26"/>
  <c r="H4" i="26"/>
  <c r="H3" i="26"/>
  <c r="H2" i="26"/>
  <c r="E11" i="98"/>
  <c r="E10" i="98"/>
  <c r="D12" i="50"/>
  <c r="F49" i="40"/>
  <c r="F48" i="40"/>
  <c r="F47" i="40"/>
  <c r="F46" i="40"/>
  <c r="F45" i="40"/>
  <c r="F44" i="40"/>
  <c r="F43" i="40"/>
  <c r="F42" i="40"/>
  <c r="F41" i="40"/>
  <c r="F40" i="40"/>
  <c r="F39" i="40"/>
  <c r="F38" i="40"/>
  <c r="F37" i="40"/>
  <c r="F36" i="40"/>
  <c r="F35" i="40"/>
  <c r="F34" i="40"/>
  <c r="F33" i="40"/>
  <c r="F32" i="40"/>
  <c r="F31" i="40"/>
  <c r="F30" i="40"/>
  <c r="F29" i="40"/>
  <c r="F28" i="40"/>
  <c r="F27" i="40"/>
  <c r="F26" i="40"/>
  <c r="F25" i="40"/>
  <c r="F24" i="40"/>
  <c r="F23" i="40"/>
  <c r="F22" i="40"/>
  <c r="F21" i="40"/>
  <c r="F20" i="40"/>
  <c r="F19" i="40"/>
  <c r="F18" i="40"/>
  <c r="F17" i="40"/>
  <c r="F16" i="40"/>
  <c r="F15" i="40"/>
  <c r="F14" i="40"/>
  <c r="F13" i="40"/>
  <c r="F12" i="40"/>
  <c r="F11" i="40"/>
  <c r="F10" i="40"/>
  <c r="F9" i="40"/>
  <c r="F8" i="40"/>
  <c r="F7" i="40"/>
  <c r="F6" i="40"/>
  <c r="F5" i="40"/>
  <c r="F4" i="40"/>
  <c r="F3" i="40"/>
  <c r="F2" i="40"/>
  <c r="I72" i="15"/>
  <c r="I71" i="15"/>
  <c r="I70" i="15"/>
  <c r="I69" i="15"/>
  <c r="D11" i="50"/>
  <c r="G46" i="75"/>
  <c r="G45" i="75"/>
  <c r="G44" i="75"/>
  <c r="G43" i="75"/>
  <c r="G78" i="24"/>
  <c r="G77" i="24"/>
  <c r="G76" i="24"/>
  <c r="G75" i="24"/>
  <c r="G74" i="24"/>
  <c r="G73" i="24"/>
  <c r="G72" i="24"/>
  <c r="G69" i="24"/>
  <c r="G68" i="24"/>
  <c r="G67" i="24"/>
  <c r="G65" i="24"/>
  <c r="G64" i="24"/>
  <c r="G63" i="24"/>
  <c r="D23" i="156"/>
  <c r="D22" i="156"/>
  <c r="D21" i="156"/>
  <c r="D20" i="156"/>
  <c r="D19" i="156"/>
  <c r="D18" i="156"/>
  <c r="D17" i="156"/>
  <c r="D16" i="156"/>
  <c r="D15" i="156"/>
  <c r="D14" i="156"/>
  <c r="D13" i="156"/>
  <c r="D12" i="156"/>
  <c r="D11" i="156"/>
  <c r="D10" i="156"/>
  <c r="D9" i="156"/>
  <c r="D8" i="156"/>
  <c r="D7" i="156"/>
  <c r="D6" i="156"/>
  <c r="D5" i="156"/>
  <c r="D4" i="156"/>
  <c r="D3" i="156"/>
  <c r="D2" i="156"/>
  <c r="I68" i="15"/>
  <c r="I67" i="15"/>
  <c r="I66" i="15"/>
  <c r="I65" i="15"/>
  <c r="G42" i="75"/>
  <c r="G41" i="75"/>
  <c r="G40" i="75"/>
  <c r="G39" i="75"/>
  <c r="H28" i="100"/>
  <c r="H27" i="100"/>
  <c r="H26" i="100"/>
  <c r="E31" i="91"/>
  <c r="E30" i="91"/>
  <c r="E29" i="91"/>
  <c r="E28" i="91"/>
  <c r="E27" i="91"/>
  <c r="E17" i="91"/>
  <c r="E18" i="91"/>
  <c r="E19" i="91"/>
  <c r="E20" i="91"/>
  <c r="E21" i="91"/>
  <c r="E22" i="91"/>
  <c r="E23" i="91"/>
  <c r="E24" i="91"/>
  <c r="E25" i="91"/>
  <c r="E26" i="91"/>
  <c r="G37" i="92"/>
  <c r="G36" i="92"/>
  <c r="G35" i="92"/>
  <c r="G34" i="92"/>
  <c r="G33" i="92"/>
  <c r="G32" i="92"/>
  <c r="G31" i="92"/>
  <c r="G30" i="92"/>
  <c r="G29" i="92"/>
  <c r="G28" i="92"/>
  <c r="G27" i="92"/>
  <c r="G26" i="92"/>
  <c r="G25" i="92"/>
  <c r="G24" i="92"/>
  <c r="G23" i="92"/>
  <c r="G22" i="92"/>
  <c r="G21" i="92"/>
  <c r="G20" i="92"/>
  <c r="E16" i="91"/>
  <c r="E15" i="91"/>
  <c r="E14" i="91"/>
  <c r="E13" i="91"/>
  <c r="E12" i="91"/>
  <c r="E2" i="91"/>
  <c r="E3" i="91"/>
  <c r="E4" i="91"/>
  <c r="E5" i="91"/>
  <c r="E6" i="91"/>
  <c r="E7" i="91"/>
  <c r="E8" i="91"/>
  <c r="E9" i="91"/>
  <c r="E10" i="91"/>
  <c r="E11" i="91"/>
  <c r="G19" i="92"/>
  <c r="G18" i="92"/>
  <c r="G17" i="92"/>
  <c r="G16" i="92"/>
  <c r="G15" i="92"/>
  <c r="G14" i="92"/>
  <c r="G13" i="92"/>
  <c r="G12" i="92"/>
  <c r="G11" i="92"/>
  <c r="G10" i="92"/>
  <c r="G9" i="92"/>
  <c r="G8" i="92"/>
  <c r="G7" i="92"/>
  <c r="G6" i="92"/>
  <c r="G5" i="92"/>
  <c r="G4" i="92"/>
  <c r="G3" i="92"/>
  <c r="G2" i="92"/>
  <c r="E9" i="98"/>
  <c r="E8" i="98"/>
  <c r="I25" i="101"/>
  <c r="I24" i="101"/>
  <c r="I23" i="101"/>
  <c r="I22" i="101"/>
  <c r="I21" i="101"/>
  <c r="I20" i="101"/>
  <c r="D11" i="57"/>
  <c r="D10" i="57"/>
  <c r="D9" i="57"/>
  <c r="D8" i="57"/>
  <c r="E12" i="36"/>
  <c r="E11" i="36"/>
  <c r="H25" i="100"/>
  <c r="H24" i="100"/>
  <c r="I49" i="47"/>
  <c r="I48" i="47"/>
  <c r="I47" i="47"/>
  <c r="I46" i="47"/>
  <c r="I45" i="47"/>
  <c r="I44" i="47"/>
  <c r="I43" i="47"/>
  <c r="I42" i="47"/>
  <c r="I41" i="47"/>
  <c r="I40" i="47"/>
  <c r="I39" i="47"/>
  <c r="I38" i="47"/>
  <c r="I37" i="47"/>
  <c r="I36" i="47"/>
  <c r="I35" i="47"/>
  <c r="I34" i="47"/>
  <c r="I33" i="47"/>
  <c r="I32" i="47"/>
  <c r="I31" i="47"/>
  <c r="I30" i="47"/>
  <c r="I29" i="47"/>
  <c r="I28" i="47"/>
  <c r="I27" i="47"/>
  <c r="I26" i="47"/>
  <c r="I25" i="47"/>
  <c r="I24" i="47"/>
  <c r="I23" i="47"/>
  <c r="I22" i="47"/>
  <c r="I21" i="47"/>
  <c r="I20" i="47"/>
  <c r="I19" i="47"/>
  <c r="I18" i="47"/>
  <c r="I17" i="47"/>
  <c r="I16" i="47"/>
  <c r="I15" i="47"/>
  <c r="I14" i="47"/>
  <c r="I13" i="47"/>
  <c r="I12" i="47"/>
  <c r="I11" i="47"/>
  <c r="I10" i="47"/>
  <c r="I9" i="47"/>
  <c r="I8" i="47"/>
  <c r="I7" i="47"/>
  <c r="I6" i="47"/>
  <c r="I5" i="47"/>
  <c r="I4" i="47"/>
  <c r="I3" i="47"/>
  <c r="I2" i="47"/>
  <c r="D10" i="95"/>
  <c r="D9" i="95"/>
  <c r="D8" i="95"/>
  <c r="D7" i="95"/>
  <c r="D6" i="95"/>
  <c r="D5" i="95"/>
  <c r="I64" i="15"/>
  <c r="I63" i="15"/>
  <c r="I62" i="15"/>
  <c r="I61" i="15"/>
  <c r="I19" i="101"/>
  <c r="I18" i="101"/>
  <c r="I17" i="101"/>
  <c r="I16" i="101"/>
  <c r="I15" i="101"/>
  <c r="I14" i="101"/>
  <c r="E33" i="56"/>
  <c r="E32" i="56"/>
  <c r="E31" i="56"/>
  <c r="E30" i="56"/>
  <c r="E29" i="56"/>
  <c r="E28" i="56"/>
  <c r="E27" i="56"/>
  <c r="H23" i="100"/>
  <c r="G62" i="24"/>
  <c r="G61" i="24"/>
  <c r="G60" i="24"/>
  <c r="G59" i="24"/>
  <c r="H22" i="100"/>
  <c r="H21" i="100"/>
  <c r="H20" i="100"/>
  <c r="E26" i="56"/>
  <c r="E25" i="56"/>
  <c r="E24" i="56"/>
  <c r="E23" i="56"/>
  <c r="E22" i="56"/>
  <c r="E21" i="56"/>
  <c r="E20" i="56"/>
  <c r="E19" i="56"/>
  <c r="E18" i="56"/>
  <c r="E17" i="56"/>
  <c r="E16" i="56"/>
  <c r="G38" i="75"/>
  <c r="G37" i="75"/>
  <c r="G36" i="75"/>
  <c r="G35" i="75"/>
  <c r="J113" i="85"/>
  <c r="J112" i="85"/>
  <c r="J111" i="85"/>
  <c r="J110" i="85"/>
  <c r="J109" i="85"/>
  <c r="J108" i="85"/>
  <c r="J107" i="85"/>
  <c r="J106" i="85"/>
  <c r="J105" i="85"/>
  <c r="J104" i="85"/>
  <c r="J103" i="85"/>
  <c r="J102" i="85"/>
  <c r="J101" i="85"/>
  <c r="J100" i="85"/>
  <c r="J99" i="85"/>
  <c r="J98" i="85"/>
  <c r="J97" i="85"/>
  <c r="J96" i="85"/>
  <c r="J95" i="85"/>
  <c r="J94" i="85"/>
  <c r="J93" i="85"/>
  <c r="J92" i="85"/>
  <c r="J91" i="85"/>
  <c r="J90" i="85"/>
  <c r="J89" i="85"/>
  <c r="J88" i="85"/>
  <c r="J87" i="85"/>
  <c r="J86" i="85"/>
  <c r="J85" i="85"/>
  <c r="J84" i="85"/>
  <c r="J83" i="85"/>
  <c r="J82" i="85"/>
  <c r="J81" i="85"/>
  <c r="J80" i="85"/>
  <c r="J79" i="85"/>
  <c r="J78" i="85"/>
  <c r="J77" i="85"/>
  <c r="J76" i="85"/>
  <c r="J75" i="85"/>
  <c r="J74" i="85"/>
  <c r="J73" i="85"/>
  <c r="J72" i="85"/>
  <c r="J71" i="85"/>
  <c r="J70" i="85"/>
  <c r="J69" i="85"/>
  <c r="J68" i="85"/>
  <c r="J67" i="85"/>
  <c r="J66" i="85"/>
  <c r="J65" i="85"/>
  <c r="J64" i="85"/>
  <c r="J63" i="85"/>
  <c r="J62" i="85"/>
  <c r="J61" i="85"/>
  <c r="J60" i="85"/>
  <c r="J59" i="85"/>
  <c r="J58" i="85"/>
  <c r="J57" i="85"/>
  <c r="J56" i="85"/>
  <c r="J55" i="85"/>
  <c r="J54" i="85"/>
  <c r="J53" i="85"/>
  <c r="J52" i="85"/>
  <c r="J51" i="85"/>
  <c r="J50" i="85"/>
  <c r="J49" i="85"/>
  <c r="J48" i="85"/>
  <c r="J47" i="85"/>
  <c r="J46" i="85"/>
  <c r="J45" i="85"/>
  <c r="J44" i="85"/>
  <c r="J43" i="85"/>
  <c r="J42" i="85"/>
  <c r="J41" i="85"/>
  <c r="J40" i="85"/>
  <c r="J39" i="85"/>
  <c r="J38" i="85"/>
  <c r="J37" i="85"/>
  <c r="J36" i="85"/>
  <c r="J35" i="85"/>
  <c r="J34" i="85"/>
  <c r="J33" i="85"/>
  <c r="J32" i="85"/>
  <c r="J31" i="85"/>
  <c r="J30" i="85"/>
  <c r="J29" i="85"/>
  <c r="J28" i="85"/>
  <c r="J27" i="85"/>
  <c r="J26" i="85"/>
  <c r="J25" i="85"/>
  <c r="J24" i="85"/>
  <c r="J23" i="85"/>
  <c r="H19" i="100"/>
  <c r="I23" i="104"/>
  <c r="I22" i="104"/>
  <c r="I21" i="104"/>
  <c r="I20" i="104"/>
  <c r="I19" i="104"/>
  <c r="I18" i="104"/>
  <c r="I17" i="104"/>
  <c r="I16" i="104"/>
  <c r="I15" i="104"/>
  <c r="G33" i="93"/>
  <c r="G32" i="93"/>
  <c r="G31" i="93"/>
  <c r="G30" i="93"/>
  <c r="G29" i="93"/>
  <c r="G28" i="93"/>
  <c r="G27" i="93"/>
  <c r="G26" i="93"/>
  <c r="G25" i="93"/>
  <c r="G24" i="93"/>
  <c r="G23" i="93"/>
  <c r="G22" i="93"/>
  <c r="G21" i="93"/>
  <c r="G20" i="93"/>
  <c r="G19" i="93"/>
  <c r="G18" i="93"/>
  <c r="D19" i="37"/>
  <c r="D18" i="37"/>
  <c r="D17" i="37"/>
  <c r="D16" i="37"/>
  <c r="D15" i="37"/>
  <c r="D14" i="37"/>
  <c r="D9" i="37"/>
  <c r="D10" i="37"/>
  <c r="D11" i="37"/>
  <c r="D12" i="37"/>
  <c r="D13" i="37"/>
  <c r="D11" i="38"/>
  <c r="D10" i="38"/>
  <c r="D9" i="38"/>
  <c r="D8" i="38"/>
  <c r="D7" i="38"/>
  <c r="H18" i="100"/>
  <c r="H17" i="100"/>
  <c r="I13" i="101"/>
  <c r="I12" i="101"/>
  <c r="I14" i="104" l="1"/>
  <c r="I13" i="104"/>
  <c r="F52" i="46"/>
  <c r="F51" i="46"/>
  <c r="G58" i="24"/>
  <c r="G57" i="24"/>
  <c r="G56" i="24"/>
  <c r="G55" i="24"/>
  <c r="G54" i="24"/>
  <c r="G53" i="24"/>
  <c r="G52" i="24"/>
  <c r="I11" i="101"/>
  <c r="G34" i="75"/>
  <c r="G33" i="75"/>
  <c r="G32" i="75"/>
  <c r="G31" i="75"/>
  <c r="G51" i="24"/>
  <c r="G50" i="24"/>
  <c r="G49" i="24"/>
  <c r="E10" i="36"/>
  <c r="E9" i="36"/>
  <c r="D10" i="50"/>
  <c r="E7" i="98"/>
  <c r="E6" i="98"/>
  <c r="E5" i="98"/>
  <c r="E4" i="98"/>
  <c r="E3" i="98"/>
  <c r="D8" i="37"/>
  <c r="D6" i="38"/>
  <c r="I12" i="104"/>
  <c r="I11" i="104"/>
  <c r="I10" i="101"/>
  <c r="D7" i="57"/>
  <c r="D6" i="57"/>
  <c r="G48" i="24"/>
  <c r="G47" i="24"/>
  <c r="G46" i="24"/>
  <c r="G45" i="24"/>
  <c r="G44" i="24"/>
  <c r="G43" i="24"/>
  <c r="I9" i="101"/>
  <c r="I60" i="15"/>
  <c r="I59" i="15"/>
  <c r="F50" i="46"/>
  <c r="F49" i="46"/>
  <c r="F48" i="46"/>
  <c r="F47" i="46"/>
  <c r="F46" i="46"/>
  <c r="F45" i="46"/>
  <c r="I8" i="101"/>
  <c r="I7" i="101"/>
  <c r="E5" i="64"/>
  <c r="E4" i="64"/>
  <c r="D7" i="37"/>
  <c r="D5" i="38"/>
  <c r="F44" i="46"/>
  <c r="I10" i="104"/>
  <c r="I15" i="103"/>
  <c r="I14" i="103"/>
  <c r="I13" i="103"/>
  <c r="I12" i="103"/>
  <c r="I11" i="103"/>
  <c r="I10" i="103"/>
  <c r="E25" i="88"/>
  <c r="E24" i="88"/>
  <c r="E23" i="88"/>
  <c r="E22" i="88"/>
  <c r="E21" i="88"/>
  <c r="E20" i="88"/>
  <c r="E19" i="88"/>
  <c r="E18" i="88"/>
  <c r="E17" i="88"/>
  <c r="E16" i="88"/>
  <c r="E15" i="88"/>
  <c r="E14" i="88"/>
  <c r="E13" i="88"/>
  <c r="E12" i="88"/>
  <c r="E11" i="88"/>
  <c r="E10" i="88"/>
  <c r="E9" i="88"/>
  <c r="E8" i="88"/>
  <c r="F43" i="46"/>
  <c r="I9" i="104"/>
  <c r="H16" i="100"/>
  <c r="I9" i="103" l="1"/>
  <c r="I8" i="103"/>
  <c r="I7" i="103"/>
  <c r="I6" i="103"/>
  <c r="I5" i="103"/>
  <c r="I4" i="103"/>
  <c r="D5" i="57"/>
  <c r="E15" i="56"/>
  <c r="E14" i="56"/>
  <c r="E13" i="56"/>
  <c r="E12" i="56"/>
  <c r="E11" i="56"/>
  <c r="E10" i="56"/>
  <c r="E9" i="56"/>
  <c r="E8" i="56"/>
  <c r="F42" i="46"/>
  <c r="F41" i="46"/>
  <c r="F40" i="46"/>
  <c r="E7" i="56"/>
  <c r="E6" i="56"/>
  <c r="I39" i="79"/>
  <c r="I38" i="79"/>
  <c r="I37" i="79"/>
  <c r="I36" i="79"/>
  <c r="I35" i="79"/>
  <c r="I34" i="79"/>
  <c r="I33" i="79"/>
  <c r="I32" i="79"/>
  <c r="I31" i="79"/>
  <c r="I30" i="79"/>
  <c r="I29" i="79"/>
  <c r="I28" i="79"/>
  <c r="I58" i="15"/>
  <c r="I57" i="15"/>
  <c r="I56" i="15"/>
  <c r="I55" i="15"/>
  <c r="I54" i="15"/>
  <c r="I53" i="15"/>
  <c r="I52" i="15"/>
  <c r="I51" i="15"/>
  <c r="I50" i="15"/>
  <c r="I49" i="15"/>
  <c r="I48" i="15"/>
  <c r="I27" i="79"/>
  <c r="I26" i="79"/>
  <c r="I25" i="79"/>
  <c r="I24" i="79"/>
  <c r="I23" i="79"/>
  <c r="I22" i="79"/>
  <c r="I21" i="79"/>
  <c r="I47" i="15"/>
  <c r="I46" i="15"/>
  <c r="I45" i="15"/>
  <c r="I44" i="15"/>
  <c r="I43" i="15"/>
  <c r="I42" i="15"/>
  <c r="I41" i="15"/>
  <c r="I40" i="15"/>
  <c r="I39" i="15"/>
  <c r="I38" i="15"/>
  <c r="I37" i="15"/>
  <c r="I36" i="15"/>
  <c r="I35" i="15"/>
  <c r="I34" i="15"/>
  <c r="I33" i="15"/>
  <c r="I32" i="15"/>
  <c r="I31" i="15"/>
  <c r="I30" i="15"/>
  <c r="I20" i="79"/>
  <c r="I19" i="79"/>
  <c r="I18" i="79"/>
  <c r="I17" i="79"/>
  <c r="I16" i="79"/>
  <c r="I15" i="79"/>
  <c r="I14" i="79"/>
  <c r="I13" i="79"/>
  <c r="I12" i="79"/>
  <c r="I11" i="79"/>
  <c r="I10" i="79"/>
  <c r="I9" i="79"/>
  <c r="I29" i="15"/>
  <c r="I28" i="15"/>
  <c r="I27" i="15"/>
  <c r="I26" i="15"/>
  <c r="I25" i="15"/>
  <c r="I24" i="15"/>
  <c r="I23" i="15"/>
  <c r="I22" i="15"/>
  <c r="I21" i="15"/>
  <c r="I20" i="15"/>
  <c r="I19" i="15"/>
  <c r="I8" i="79"/>
  <c r="I7" i="79"/>
  <c r="I6" i="79"/>
  <c r="I5" i="79"/>
  <c r="I4" i="79"/>
  <c r="I3" i="79"/>
  <c r="I2" i="79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I4" i="15"/>
  <c r="I3" i="15"/>
  <c r="I2" i="15"/>
  <c r="E5" i="56"/>
  <c r="E4" i="56"/>
  <c r="D4" i="57"/>
  <c r="F39" i="46"/>
  <c r="F38" i="46"/>
  <c r="F37" i="46"/>
  <c r="H15" i="100"/>
  <c r="D9" i="50"/>
  <c r="D8" i="50"/>
  <c r="D7" i="50"/>
  <c r="D6" i="50"/>
  <c r="D5" i="50"/>
  <c r="G30" i="75"/>
  <c r="G29" i="75"/>
  <c r="G28" i="75"/>
  <c r="G27" i="75"/>
  <c r="G26" i="75"/>
  <c r="G25" i="75"/>
  <c r="G24" i="75"/>
  <c r="G23" i="75"/>
  <c r="E21" i="90"/>
  <c r="E20" i="90"/>
  <c r="E19" i="90"/>
  <c r="E18" i="90"/>
  <c r="E17" i="90"/>
  <c r="E16" i="90"/>
  <c r="E15" i="90"/>
  <c r="E14" i="90"/>
  <c r="E13" i="90"/>
  <c r="E12" i="90"/>
  <c r="G22" i="75"/>
  <c r="G21" i="75"/>
  <c r="G20" i="75"/>
  <c r="G19" i="75"/>
  <c r="G18" i="75"/>
  <c r="G17" i="75"/>
  <c r="G16" i="75"/>
  <c r="G15" i="75"/>
  <c r="G14" i="75"/>
  <c r="G13" i="75"/>
  <c r="G12" i="75"/>
  <c r="G11" i="75"/>
  <c r="G10" i="75"/>
  <c r="G9" i="75"/>
  <c r="E11" i="90"/>
  <c r="E10" i="90"/>
  <c r="E9" i="90"/>
  <c r="E8" i="90"/>
  <c r="E7" i="90"/>
  <c r="E6" i="90"/>
  <c r="E5" i="90"/>
  <c r="E4" i="90"/>
  <c r="E3" i="90"/>
  <c r="E2" i="90"/>
  <c r="G8" i="75"/>
  <c r="G7" i="75"/>
  <c r="G6" i="75"/>
  <c r="G5" i="75"/>
  <c r="G4" i="75"/>
  <c r="G3" i="75"/>
  <c r="G2" i="75"/>
  <c r="I6" i="101"/>
  <c r="G42" i="24"/>
  <c r="G41" i="24"/>
  <c r="G40" i="24"/>
  <c r="G39" i="24"/>
  <c r="G38" i="24"/>
  <c r="G37" i="24"/>
  <c r="G36" i="24"/>
  <c r="G35" i="24"/>
  <c r="G34" i="24"/>
  <c r="G33" i="24"/>
  <c r="G32" i="24"/>
  <c r="G31" i="24"/>
  <c r="G30" i="24"/>
  <c r="G29" i="24"/>
  <c r="G28" i="24"/>
  <c r="G27" i="24"/>
  <c r="G26" i="24"/>
  <c r="G25" i="24"/>
  <c r="G24" i="24"/>
  <c r="G23" i="24"/>
  <c r="G22" i="24"/>
  <c r="G21" i="24"/>
  <c r="G20" i="24"/>
  <c r="G19" i="24"/>
  <c r="G18" i="24"/>
  <c r="G17" i="24"/>
  <c r="G16" i="24"/>
  <c r="G15" i="24"/>
  <c r="G14" i="24"/>
  <c r="G13" i="24"/>
  <c r="G12" i="24"/>
  <c r="G11" i="24"/>
  <c r="G10" i="24"/>
  <c r="G9" i="24"/>
  <c r="G8" i="24"/>
  <c r="G7" i="24"/>
  <c r="G6" i="24"/>
  <c r="I8" i="104"/>
  <c r="F36" i="46"/>
  <c r="F35" i="46"/>
  <c r="E8" i="36"/>
  <c r="E7" i="36"/>
  <c r="E6" i="36"/>
  <c r="E5" i="36"/>
  <c r="E4" i="36"/>
  <c r="F34" i="46"/>
  <c r="F33" i="46"/>
  <c r="J22" i="85"/>
  <c r="J21" i="85"/>
  <c r="J20" i="85"/>
  <c r="J19" i="85"/>
  <c r="J18" i="85"/>
  <c r="J17" i="85"/>
  <c r="J16" i="85"/>
  <c r="J15" i="85"/>
  <c r="J14" i="85"/>
  <c r="J13" i="85"/>
  <c r="J12" i="85"/>
  <c r="J11" i="85"/>
  <c r="J10" i="85"/>
  <c r="J9" i="85"/>
  <c r="J8" i="85"/>
  <c r="J7" i="85"/>
  <c r="J6" i="85"/>
  <c r="J5" i="85"/>
  <c r="J4" i="85"/>
  <c r="J3" i="85"/>
  <c r="J2" i="85"/>
  <c r="F32" i="46"/>
  <c r="F31" i="46"/>
  <c r="I7" i="104"/>
  <c r="I6" i="104"/>
  <c r="I5" i="104"/>
  <c r="I4" i="104"/>
  <c r="D4" i="95"/>
  <c r="G17" i="93"/>
  <c r="G16" i="93"/>
  <c r="G15" i="93"/>
  <c r="G14" i="93"/>
  <c r="G13" i="93"/>
  <c r="G12" i="93"/>
  <c r="G11" i="93"/>
  <c r="G10" i="93"/>
  <c r="G9" i="93"/>
  <c r="G8" i="93"/>
  <c r="G7" i="93"/>
  <c r="G6" i="93"/>
  <c r="D6" i="37"/>
  <c r="D5" i="37"/>
  <c r="D4" i="37"/>
  <c r="D4" i="38"/>
  <c r="D3" i="38"/>
  <c r="H14" i="100"/>
  <c r="H13" i="100"/>
  <c r="D3" i="57"/>
  <c r="H11" i="100"/>
  <c r="H10" i="100"/>
  <c r="H9" i="100"/>
  <c r="D3" i="37"/>
  <c r="F30" i="46"/>
  <c r="F29" i="46"/>
  <c r="F28" i="46"/>
  <c r="F27" i="46"/>
  <c r="F26" i="46"/>
  <c r="F25" i="46"/>
  <c r="I5" i="101"/>
  <c r="I4" i="101"/>
  <c r="E7" i="88"/>
  <c r="E6" i="88"/>
  <c r="E5" i="88"/>
  <c r="E4" i="88"/>
  <c r="E3" i="88"/>
  <c r="E2" i="88"/>
  <c r="F24" i="46"/>
  <c r="F23" i="46"/>
  <c r="F22" i="46"/>
  <c r="F21" i="46"/>
  <c r="F20" i="46"/>
  <c r="F19" i="46"/>
  <c r="F18" i="46"/>
  <c r="F17" i="46"/>
  <c r="D4" i="50"/>
  <c r="D3" i="50"/>
  <c r="D2" i="50"/>
  <c r="F16" i="46"/>
  <c r="F15" i="46"/>
  <c r="F14" i="46"/>
  <c r="F13" i="46"/>
  <c r="F12" i="46"/>
  <c r="F11" i="46"/>
  <c r="F10" i="46"/>
  <c r="F9" i="46"/>
  <c r="F8" i="46"/>
  <c r="F7" i="46"/>
  <c r="F6" i="46"/>
  <c r="F5" i="46"/>
  <c r="H8" i="100"/>
  <c r="H7" i="100"/>
  <c r="H6" i="100"/>
  <c r="D3" i="95"/>
  <c r="H5" i="100"/>
  <c r="H4" i="100"/>
  <c r="I3" i="104"/>
  <c r="I3" i="103"/>
  <c r="I2" i="103"/>
  <c r="D2" i="95"/>
  <c r="E3" i="56"/>
  <c r="E2" i="56"/>
  <c r="D2" i="57"/>
  <c r="G5" i="24"/>
  <c r="G4" i="24"/>
  <c r="G3" i="24"/>
  <c r="G2" i="24"/>
  <c r="D2" i="89"/>
  <c r="I3" i="101"/>
  <c r="I2" i="101"/>
  <c r="H3" i="100"/>
  <c r="H2" i="100"/>
  <c r="F4" i="46"/>
  <c r="F3" i="46"/>
  <c r="F2" i="46"/>
  <c r="G5" i="93"/>
  <c r="G4" i="93"/>
  <c r="G3" i="93"/>
  <c r="G2" i="93"/>
  <c r="E3" i="64"/>
  <c r="E2" i="64"/>
  <c r="E2" i="98"/>
  <c r="D2" i="38"/>
  <c r="D2" i="37"/>
  <c r="E3" i="36"/>
  <c r="E2" i="36"/>
  <c r="D2" i="155"/>
  <c r="B114" i="148"/>
  <c r="PV12" i="1"/>
  <c r="PV5" i="1"/>
  <c r="PV17" i="1"/>
  <c r="PV23" i="1"/>
  <c r="PV20" i="1"/>
  <c r="PV18" i="1"/>
  <c r="PV3" i="1"/>
  <c r="PV16" i="1"/>
  <c r="PV4" i="1"/>
  <c r="PV6" i="1"/>
  <c r="PV7" i="1"/>
  <c r="PV15" i="1"/>
  <c r="PV38" i="1"/>
  <c r="PV8" i="1"/>
  <c r="PV59" i="1"/>
  <c r="PV27" i="1"/>
  <c r="PV10" i="1"/>
  <c r="PV13" i="1"/>
  <c r="PV9" i="1"/>
  <c r="PV28" i="1"/>
  <c r="PV24" i="1"/>
  <c r="PV14" i="1"/>
  <c r="PV35" i="1"/>
  <c r="PV40" i="1"/>
  <c r="PV75" i="1"/>
  <c r="PV70" i="1"/>
  <c r="PV37" i="1"/>
  <c r="PV11" i="1"/>
  <c r="PV54" i="1"/>
  <c r="PV22" i="1"/>
  <c r="PV61" i="1"/>
  <c r="PV21" i="1"/>
  <c r="PV29" i="1"/>
  <c r="PV52" i="1"/>
  <c r="PV45" i="1"/>
  <c r="PV49" i="1"/>
  <c r="PV74" i="1"/>
  <c r="PV19" i="1"/>
  <c r="PV46" i="1"/>
  <c r="PV65" i="1"/>
  <c r="PV41" i="1"/>
  <c r="PV154" i="1"/>
  <c r="PV88" i="1"/>
  <c r="PV43" i="1"/>
  <c r="PV60" i="1"/>
  <c r="PV33" i="1"/>
  <c r="PV48" i="1"/>
  <c r="PV80" i="1"/>
  <c r="PV63" i="1"/>
  <c r="PV56" i="1"/>
  <c r="PV55" i="1"/>
  <c r="PV121" i="1"/>
  <c r="PV36" i="1"/>
  <c r="PV47" i="1"/>
  <c r="PV26" i="1"/>
  <c r="PV25" i="1"/>
  <c r="PV57" i="1"/>
  <c r="PV71" i="1"/>
  <c r="PV31" i="1"/>
  <c r="PV104" i="1"/>
  <c r="PV66" i="1"/>
  <c r="PV58" i="1"/>
  <c r="PV155" i="1"/>
  <c r="PV51" i="1"/>
  <c r="PV156" i="1"/>
  <c r="PV157" i="1"/>
  <c r="PV39" i="1"/>
  <c r="PV32" i="1"/>
  <c r="PV62" i="1"/>
  <c r="PV34" i="1"/>
  <c r="PV158" i="1"/>
  <c r="PV134" i="1"/>
  <c r="PV50" i="1"/>
  <c r="PV44" i="1"/>
  <c r="PV115" i="1"/>
  <c r="PV93" i="1"/>
  <c r="PV73" i="1"/>
  <c r="PV92" i="1"/>
  <c r="PV67" i="1"/>
  <c r="PV107" i="1"/>
  <c r="PV126" i="1"/>
  <c r="PV72" i="1"/>
  <c r="PV145" i="1"/>
  <c r="PV111" i="1"/>
  <c r="PV135" i="1"/>
  <c r="PV84" i="1"/>
  <c r="PV116" i="1"/>
  <c r="PV159" i="1"/>
  <c r="PV95" i="1"/>
  <c r="PV87" i="1"/>
  <c r="PV160" i="1"/>
  <c r="PV114" i="1"/>
  <c r="PV161" i="1"/>
  <c r="PV30" i="1"/>
  <c r="PV76" i="1"/>
  <c r="PV162" i="1"/>
  <c r="PV163" i="1"/>
  <c r="PV64" i="1"/>
  <c r="PV164" i="1"/>
  <c r="PV125" i="1"/>
  <c r="PV81" i="1"/>
  <c r="PV165" i="1"/>
  <c r="PV151" i="1"/>
  <c r="PV166" i="1"/>
  <c r="PV167" i="1"/>
  <c r="PV127" i="1"/>
  <c r="PV69" i="1"/>
  <c r="PV168" i="1"/>
  <c r="PV89" i="1"/>
  <c r="PV109" i="1"/>
  <c r="PV169" i="1"/>
  <c r="PV170" i="1"/>
  <c r="PV99" i="1"/>
  <c r="PV102" i="1"/>
  <c r="PV149" i="1"/>
  <c r="PV96" i="1"/>
  <c r="PV152" i="1"/>
  <c r="PV171" i="1"/>
  <c r="PV172" i="1"/>
  <c r="PV136" i="1"/>
  <c r="PV137" i="1"/>
  <c r="PV173" i="1"/>
  <c r="PV78" i="1"/>
  <c r="PV130" i="1"/>
  <c r="PV174" i="1"/>
  <c r="PV175" i="1"/>
  <c r="PV133" i="1"/>
  <c r="PV176" i="1"/>
  <c r="PV105" i="1"/>
  <c r="PV68" i="1"/>
  <c r="PV177" i="1"/>
  <c r="PV113" i="1"/>
  <c r="PV131" i="1"/>
  <c r="PV103" i="1"/>
  <c r="PV178" i="1"/>
  <c r="PV79" i="1"/>
  <c r="PV179" i="1"/>
  <c r="PV180" i="1"/>
  <c r="PV53" i="1"/>
  <c r="PV181" i="1"/>
  <c r="PV77" i="1"/>
  <c r="PV146" i="1"/>
  <c r="PV182" i="1"/>
  <c r="PV183" i="1"/>
  <c r="PV184" i="1"/>
  <c r="PV85" i="1"/>
  <c r="PV185" i="1"/>
  <c r="PV132" i="1"/>
  <c r="PV123" i="1"/>
  <c r="PV117" i="1"/>
  <c r="PV186" i="1"/>
  <c r="PV138" i="1"/>
  <c r="PV187" i="1"/>
  <c r="PV141" i="1"/>
  <c r="PV129" i="1"/>
  <c r="PV188" i="1"/>
  <c r="PV189" i="1"/>
  <c r="PV139" i="1"/>
  <c r="PV90" i="1"/>
  <c r="PV190" i="1"/>
  <c r="PV98" i="1"/>
  <c r="PV191" i="1"/>
  <c r="PV86" i="1"/>
  <c r="PV147" i="1"/>
  <c r="PV140" i="1"/>
  <c r="PV192" i="1"/>
  <c r="PV193" i="1"/>
  <c r="PV194" i="1"/>
  <c r="PV144" i="1"/>
  <c r="PV82" i="1"/>
  <c r="PV195" i="1"/>
  <c r="PV196" i="1"/>
  <c r="PV128" i="1"/>
  <c r="PV110" i="1"/>
  <c r="PV97" i="1"/>
  <c r="PV150" i="1"/>
  <c r="PV197" i="1"/>
  <c r="PV108" i="1"/>
  <c r="PV119" i="1"/>
  <c r="PV122" i="1"/>
  <c r="PV198" i="1"/>
  <c r="PV83" i="1"/>
  <c r="PV112" i="1"/>
  <c r="PV199" i="1"/>
  <c r="PV200" i="1"/>
  <c r="PV201" i="1"/>
  <c r="PV202" i="1"/>
  <c r="PV153" i="1"/>
  <c r="PV142" i="1"/>
  <c r="PV203" i="1"/>
  <c r="PV100" i="1"/>
  <c r="PV204" i="1"/>
  <c r="PV118" i="1"/>
  <c r="PV205" i="1"/>
  <c r="PV124" i="1"/>
  <c r="PV91" i="1"/>
  <c r="PV206" i="1"/>
  <c r="PV207" i="1"/>
  <c r="PV148" i="1"/>
  <c r="PV94" i="1"/>
  <c r="PV208" i="1"/>
  <c r="PV42" i="1"/>
  <c r="PV120" i="1"/>
  <c r="PV101" i="1"/>
  <c r="PV143" i="1"/>
  <c r="PV106" i="1"/>
  <c r="B9" i="148"/>
  <c r="V12" i="1"/>
  <c r="X12" i="1"/>
  <c r="Z12" i="1"/>
  <c r="W12" i="1"/>
  <c r="PV212" i="1" l="1"/>
  <c r="PV213" i="1"/>
  <c r="GC12" i="1"/>
  <c r="GC5" i="1"/>
  <c r="GC2" i="1"/>
  <c r="GC20" i="1"/>
  <c r="GC18" i="1"/>
  <c r="GC23" i="1"/>
  <c r="GC3" i="1"/>
  <c r="GC16" i="1"/>
  <c r="GC4" i="1"/>
  <c r="GC17" i="1"/>
  <c r="GC15" i="1"/>
  <c r="GC38" i="1"/>
  <c r="GC6" i="1"/>
  <c r="GC8" i="1"/>
  <c r="GC9" i="1"/>
  <c r="GC59" i="1"/>
  <c r="GC28" i="1"/>
  <c r="GC13" i="1"/>
  <c r="GC24" i="1"/>
  <c r="GC35" i="1"/>
  <c r="GC40" i="1"/>
  <c r="GC14" i="1"/>
  <c r="GC7" i="1"/>
  <c r="GC70" i="1"/>
  <c r="GC37" i="1"/>
  <c r="GC11" i="1"/>
  <c r="GC54" i="1"/>
  <c r="GC22" i="1"/>
  <c r="GC10" i="1"/>
  <c r="GC61" i="1"/>
  <c r="GC21" i="1"/>
  <c r="GC29" i="1"/>
  <c r="GC52" i="1"/>
  <c r="GC45" i="1"/>
  <c r="GC49" i="1"/>
  <c r="GC74" i="1"/>
  <c r="GC19" i="1"/>
  <c r="GC46" i="1"/>
  <c r="GC65" i="1"/>
  <c r="GC41" i="1"/>
  <c r="GC154" i="1"/>
  <c r="GC88" i="1"/>
  <c r="GC43" i="1"/>
  <c r="GC60" i="1"/>
  <c r="GC33" i="1"/>
  <c r="GC27" i="1"/>
  <c r="GC48" i="1"/>
  <c r="GC80" i="1"/>
  <c r="GC63" i="1"/>
  <c r="GC56" i="1"/>
  <c r="GC55" i="1"/>
  <c r="GC121" i="1"/>
  <c r="GC36" i="1"/>
  <c r="GC47" i="1"/>
  <c r="GC26" i="1"/>
  <c r="GC25" i="1"/>
  <c r="GC57" i="1"/>
  <c r="GC71" i="1"/>
  <c r="GC31" i="1"/>
  <c r="GC104" i="1"/>
  <c r="GC66" i="1"/>
  <c r="GC58" i="1"/>
  <c r="GC155" i="1"/>
  <c r="GC51" i="1"/>
  <c r="GC156" i="1"/>
  <c r="GC157" i="1"/>
  <c r="GC39" i="1"/>
  <c r="GC32" i="1"/>
  <c r="GC62" i="1"/>
  <c r="GC34" i="1"/>
  <c r="GC158" i="1"/>
  <c r="GC134" i="1"/>
  <c r="GC50" i="1"/>
  <c r="GC44" i="1"/>
  <c r="GC115" i="1"/>
  <c r="GC93" i="1"/>
  <c r="GC73" i="1"/>
  <c r="GC92" i="1"/>
  <c r="GC67" i="1"/>
  <c r="GC107" i="1"/>
  <c r="GC126" i="1"/>
  <c r="GC72" i="1"/>
  <c r="GC145" i="1"/>
  <c r="GC111" i="1"/>
  <c r="GC135" i="1"/>
  <c r="GC84" i="1"/>
  <c r="GC116" i="1"/>
  <c r="GC159" i="1"/>
  <c r="GC95" i="1"/>
  <c r="GC87" i="1"/>
  <c r="GC160" i="1"/>
  <c r="GC114" i="1"/>
  <c r="GC161" i="1"/>
  <c r="GC30" i="1"/>
  <c r="GC76" i="1"/>
  <c r="GC162" i="1"/>
  <c r="GC163" i="1"/>
  <c r="GC64" i="1"/>
  <c r="GC164" i="1"/>
  <c r="GC125" i="1"/>
  <c r="GC81" i="1"/>
  <c r="GC165" i="1"/>
  <c r="GC151" i="1"/>
  <c r="GC166" i="1"/>
  <c r="GC167" i="1"/>
  <c r="GC127" i="1"/>
  <c r="GC69" i="1"/>
  <c r="GC168" i="1"/>
  <c r="GC89" i="1"/>
  <c r="GC109" i="1"/>
  <c r="GC169" i="1"/>
  <c r="GC170" i="1"/>
  <c r="GC99" i="1"/>
  <c r="GC102" i="1"/>
  <c r="GC149" i="1"/>
  <c r="GC96" i="1"/>
  <c r="GC152" i="1"/>
  <c r="GC171" i="1"/>
  <c r="GC172" i="1"/>
  <c r="GC136" i="1"/>
  <c r="GC137" i="1"/>
  <c r="GC173" i="1"/>
  <c r="GC78" i="1"/>
  <c r="GC130" i="1"/>
  <c r="GC174" i="1"/>
  <c r="GC175" i="1"/>
  <c r="GC133" i="1"/>
  <c r="GC176" i="1"/>
  <c r="GC105" i="1"/>
  <c r="GC68" i="1"/>
  <c r="GC177" i="1"/>
  <c r="GC113" i="1"/>
  <c r="GC131" i="1"/>
  <c r="GC103" i="1"/>
  <c r="GC178" i="1"/>
  <c r="GC79" i="1"/>
  <c r="GC179" i="1"/>
  <c r="GC180" i="1"/>
  <c r="GC53" i="1"/>
  <c r="GC181" i="1"/>
  <c r="GC77" i="1"/>
  <c r="GC146" i="1"/>
  <c r="GC182" i="1"/>
  <c r="GC183" i="1"/>
  <c r="GC184" i="1"/>
  <c r="GC85" i="1"/>
  <c r="GC185" i="1"/>
  <c r="GC132" i="1"/>
  <c r="GC123" i="1"/>
  <c r="GC117" i="1"/>
  <c r="GC75" i="1"/>
  <c r="GC186" i="1"/>
  <c r="GC138" i="1"/>
  <c r="GC187" i="1"/>
  <c r="GC141" i="1"/>
  <c r="GC129" i="1"/>
  <c r="GC188" i="1"/>
  <c r="GC189" i="1"/>
  <c r="GC139" i="1"/>
  <c r="GC90" i="1"/>
  <c r="GC190" i="1"/>
  <c r="GC98" i="1"/>
  <c r="GC191" i="1"/>
  <c r="GC86" i="1"/>
  <c r="GC147" i="1"/>
  <c r="GC140" i="1"/>
  <c r="GC192" i="1"/>
  <c r="GC193" i="1"/>
  <c r="GC194" i="1"/>
  <c r="GC144" i="1"/>
  <c r="GC82" i="1"/>
  <c r="GC195" i="1"/>
  <c r="GC196" i="1"/>
  <c r="GC128" i="1"/>
  <c r="GC110" i="1"/>
  <c r="GC97" i="1"/>
  <c r="GC150" i="1"/>
  <c r="GC197" i="1"/>
  <c r="GC108" i="1"/>
  <c r="GC119" i="1"/>
  <c r="GC122" i="1"/>
  <c r="GC198" i="1"/>
  <c r="GC83" i="1"/>
  <c r="GC112" i="1"/>
  <c r="GC199" i="1"/>
  <c r="GC200" i="1"/>
  <c r="GC201" i="1"/>
  <c r="GC202" i="1"/>
  <c r="GC153" i="1"/>
  <c r="GC142" i="1"/>
  <c r="GC203" i="1"/>
  <c r="GC100" i="1"/>
  <c r="GC204" i="1"/>
  <c r="GC118" i="1"/>
  <c r="GC205" i="1"/>
  <c r="GC124" i="1"/>
  <c r="GC91" i="1"/>
  <c r="GC206" i="1"/>
  <c r="GC207" i="1"/>
  <c r="GC148" i="1"/>
  <c r="GC94" i="1"/>
  <c r="GC208" i="1"/>
  <c r="GC42" i="1"/>
  <c r="GC120" i="1"/>
  <c r="GC101" i="1"/>
  <c r="GC143" i="1"/>
  <c r="GC106" i="1"/>
  <c r="GB12" i="1"/>
  <c r="GB5" i="1"/>
  <c r="GB2" i="1"/>
  <c r="GB20" i="1"/>
  <c r="GB18" i="1"/>
  <c r="GB23" i="1"/>
  <c r="GB3" i="1"/>
  <c r="GB16" i="1"/>
  <c r="GB4" i="1"/>
  <c r="GB17" i="1"/>
  <c r="GB15" i="1"/>
  <c r="GB38" i="1"/>
  <c r="GB6" i="1"/>
  <c r="GB8" i="1"/>
  <c r="GB9" i="1"/>
  <c r="GB59" i="1"/>
  <c r="GB28" i="1"/>
  <c r="GB13" i="1"/>
  <c r="GB24" i="1"/>
  <c r="GB35" i="1"/>
  <c r="GB40" i="1"/>
  <c r="GB14" i="1"/>
  <c r="GB7" i="1"/>
  <c r="GB70" i="1"/>
  <c r="GB37" i="1"/>
  <c r="GB11" i="1"/>
  <c r="GB54" i="1"/>
  <c r="GB22" i="1"/>
  <c r="GB10" i="1"/>
  <c r="GB61" i="1"/>
  <c r="GB21" i="1"/>
  <c r="GB29" i="1"/>
  <c r="GB52" i="1"/>
  <c r="GB45" i="1"/>
  <c r="GB49" i="1"/>
  <c r="GB74" i="1"/>
  <c r="GB19" i="1"/>
  <c r="GB46" i="1"/>
  <c r="GB65" i="1"/>
  <c r="GB41" i="1"/>
  <c r="GB154" i="1"/>
  <c r="GB88" i="1"/>
  <c r="GB43" i="1"/>
  <c r="GB60" i="1"/>
  <c r="GB33" i="1"/>
  <c r="GB27" i="1"/>
  <c r="GB48" i="1"/>
  <c r="GB80" i="1"/>
  <c r="GB63" i="1"/>
  <c r="GB56" i="1"/>
  <c r="GB55" i="1"/>
  <c r="GB121" i="1"/>
  <c r="GB36" i="1"/>
  <c r="GB47" i="1"/>
  <c r="GB26" i="1"/>
  <c r="GB25" i="1"/>
  <c r="GB57" i="1"/>
  <c r="GB71" i="1"/>
  <c r="GB31" i="1"/>
  <c r="GB104" i="1"/>
  <c r="GB66" i="1"/>
  <c r="GB58" i="1"/>
  <c r="GB155" i="1"/>
  <c r="GB51" i="1"/>
  <c r="GB156" i="1"/>
  <c r="GB157" i="1"/>
  <c r="GB39" i="1"/>
  <c r="GB32" i="1"/>
  <c r="GB62" i="1"/>
  <c r="GB34" i="1"/>
  <c r="GB158" i="1"/>
  <c r="GB134" i="1"/>
  <c r="GB50" i="1"/>
  <c r="GB44" i="1"/>
  <c r="GB115" i="1"/>
  <c r="GB93" i="1"/>
  <c r="GB73" i="1"/>
  <c r="GB92" i="1"/>
  <c r="GB67" i="1"/>
  <c r="GB107" i="1"/>
  <c r="GB126" i="1"/>
  <c r="GB72" i="1"/>
  <c r="GB145" i="1"/>
  <c r="GB111" i="1"/>
  <c r="GB135" i="1"/>
  <c r="GB84" i="1"/>
  <c r="GB116" i="1"/>
  <c r="GB159" i="1"/>
  <c r="GB95" i="1"/>
  <c r="GB87" i="1"/>
  <c r="GB160" i="1"/>
  <c r="GB114" i="1"/>
  <c r="GB161" i="1"/>
  <c r="GB30" i="1"/>
  <c r="GB76" i="1"/>
  <c r="GB162" i="1"/>
  <c r="GB163" i="1"/>
  <c r="GB64" i="1"/>
  <c r="GB164" i="1"/>
  <c r="GB125" i="1"/>
  <c r="GB81" i="1"/>
  <c r="GB165" i="1"/>
  <c r="GB151" i="1"/>
  <c r="GB166" i="1"/>
  <c r="GB167" i="1"/>
  <c r="GB127" i="1"/>
  <c r="GB69" i="1"/>
  <c r="GB168" i="1"/>
  <c r="GB89" i="1"/>
  <c r="GB109" i="1"/>
  <c r="GB169" i="1"/>
  <c r="GB170" i="1"/>
  <c r="GB99" i="1"/>
  <c r="GB102" i="1"/>
  <c r="GB149" i="1"/>
  <c r="GB96" i="1"/>
  <c r="GB152" i="1"/>
  <c r="GB171" i="1"/>
  <c r="GB172" i="1"/>
  <c r="GB136" i="1"/>
  <c r="GB137" i="1"/>
  <c r="GB173" i="1"/>
  <c r="GB78" i="1"/>
  <c r="GB130" i="1"/>
  <c r="GB174" i="1"/>
  <c r="GB175" i="1"/>
  <c r="GB133" i="1"/>
  <c r="GB176" i="1"/>
  <c r="GB105" i="1"/>
  <c r="GB68" i="1"/>
  <c r="GB177" i="1"/>
  <c r="GB113" i="1"/>
  <c r="GB131" i="1"/>
  <c r="GB103" i="1"/>
  <c r="GB178" i="1"/>
  <c r="GB79" i="1"/>
  <c r="GB179" i="1"/>
  <c r="GB180" i="1"/>
  <c r="GB53" i="1"/>
  <c r="GB181" i="1"/>
  <c r="GB77" i="1"/>
  <c r="GB146" i="1"/>
  <c r="GB182" i="1"/>
  <c r="GB183" i="1"/>
  <c r="GB184" i="1"/>
  <c r="GB85" i="1"/>
  <c r="GB185" i="1"/>
  <c r="GB132" i="1"/>
  <c r="GB123" i="1"/>
  <c r="GB117" i="1"/>
  <c r="GB75" i="1"/>
  <c r="GB186" i="1"/>
  <c r="GB138" i="1"/>
  <c r="GB187" i="1"/>
  <c r="GB141" i="1"/>
  <c r="GB129" i="1"/>
  <c r="GB188" i="1"/>
  <c r="GB189" i="1"/>
  <c r="GB139" i="1"/>
  <c r="GB90" i="1"/>
  <c r="GB190" i="1"/>
  <c r="GB98" i="1"/>
  <c r="GB191" i="1"/>
  <c r="GB86" i="1"/>
  <c r="GB147" i="1"/>
  <c r="GB140" i="1"/>
  <c r="GB192" i="1"/>
  <c r="GB193" i="1"/>
  <c r="GB194" i="1"/>
  <c r="GB144" i="1"/>
  <c r="GB82" i="1"/>
  <c r="GB195" i="1"/>
  <c r="GB196" i="1"/>
  <c r="GB128" i="1"/>
  <c r="GB110" i="1"/>
  <c r="GB97" i="1"/>
  <c r="GB150" i="1"/>
  <c r="GB197" i="1"/>
  <c r="GB108" i="1"/>
  <c r="GB119" i="1"/>
  <c r="GB122" i="1"/>
  <c r="GB198" i="1"/>
  <c r="GB83" i="1"/>
  <c r="GB112" i="1"/>
  <c r="GB199" i="1"/>
  <c r="GB200" i="1"/>
  <c r="GB201" i="1"/>
  <c r="GB202" i="1"/>
  <c r="GB153" i="1"/>
  <c r="GB142" i="1"/>
  <c r="GB203" i="1"/>
  <c r="GB100" i="1"/>
  <c r="GB204" i="1"/>
  <c r="GB118" i="1"/>
  <c r="GB205" i="1"/>
  <c r="GB124" i="1"/>
  <c r="GB91" i="1"/>
  <c r="GB206" i="1"/>
  <c r="GB207" i="1"/>
  <c r="GB148" i="1"/>
  <c r="GB94" i="1"/>
  <c r="GB208" i="1"/>
  <c r="GB42" i="1"/>
  <c r="GB120" i="1"/>
  <c r="GB101" i="1"/>
  <c r="GB143" i="1"/>
  <c r="GB106" i="1"/>
  <c r="DP12" i="1"/>
  <c r="DP5" i="1"/>
  <c r="DP2" i="1"/>
  <c r="DP20" i="1"/>
  <c r="DP18" i="1"/>
  <c r="DP23" i="1"/>
  <c r="DP3" i="1"/>
  <c r="DP16" i="1"/>
  <c r="DP4" i="1"/>
  <c r="DP17" i="1"/>
  <c r="DP15" i="1"/>
  <c r="DP38" i="1"/>
  <c r="DP6" i="1"/>
  <c r="DP8" i="1"/>
  <c r="DP9" i="1"/>
  <c r="DP59" i="1"/>
  <c r="DP28" i="1"/>
  <c r="DP13" i="1"/>
  <c r="DP24" i="1"/>
  <c r="DP35" i="1"/>
  <c r="DP40" i="1"/>
  <c r="DP14" i="1"/>
  <c r="DP7" i="1"/>
  <c r="DP70" i="1"/>
  <c r="DP37" i="1"/>
  <c r="DP11" i="1"/>
  <c r="DP54" i="1"/>
  <c r="DP22" i="1"/>
  <c r="DP10" i="1"/>
  <c r="DP61" i="1"/>
  <c r="DP21" i="1"/>
  <c r="DP29" i="1"/>
  <c r="DP52" i="1"/>
  <c r="DP45" i="1"/>
  <c r="DP49" i="1"/>
  <c r="DP74" i="1"/>
  <c r="DP19" i="1"/>
  <c r="DP46" i="1"/>
  <c r="DP65" i="1"/>
  <c r="DP41" i="1"/>
  <c r="DP154" i="1"/>
  <c r="DP88" i="1"/>
  <c r="DP43" i="1"/>
  <c r="DP60" i="1"/>
  <c r="DP33" i="1"/>
  <c r="DP27" i="1"/>
  <c r="DP48" i="1"/>
  <c r="DP80" i="1"/>
  <c r="DP63" i="1"/>
  <c r="DP56" i="1"/>
  <c r="DP55" i="1"/>
  <c r="DP121" i="1"/>
  <c r="DP36" i="1"/>
  <c r="DP47" i="1"/>
  <c r="DP26" i="1"/>
  <c r="DP25" i="1"/>
  <c r="DP57" i="1"/>
  <c r="DP71" i="1"/>
  <c r="DP31" i="1"/>
  <c r="DP104" i="1"/>
  <c r="DP66" i="1"/>
  <c r="DP58" i="1"/>
  <c r="DP155" i="1"/>
  <c r="DP51" i="1"/>
  <c r="DP156" i="1"/>
  <c r="DP157" i="1"/>
  <c r="DP39" i="1"/>
  <c r="DP32" i="1"/>
  <c r="DP62" i="1"/>
  <c r="DP34" i="1"/>
  <c r="DP158" i="1"/>
  <c r="DP134" i="1"/>
  <c r="DP50" i="1"/>
  <c r="DP44" i="1"/>
  <c r="DP115" i="1"/>
  <c r="DP93" i="1"/>
  <c r="DP73" i="1"/>
  <c r="DP92" i="1"/>
  <c r="DP67" i="1"/>
  <c r="DP107" i="1"/>
  <c r="DP126" i="1"/>
  <c r="DP72" i="1"/>
  <c r="DP145" i="1"/>
  <c r="DP111" i="1"/>
  <c r="DP135" i="1"/>
  <c r="DP84" i="1"/>
  <c r="DP116" i="1"/>
  <c r="DP159" i="1"/>
  <c r="DP95" i="1"/>
  <c r="DP87" i="1"/>
  <c r="DP160" i="1"/>
  <c r="DP114" i="1"/>
  <c r="DP161" i="1"/>
  <c r="DP30" i="1"/>
  <c r="DP76" i="1"/>
  <c r="DP162" i="1"/>
  <c r="DP163" i="1"/>
  <c r="DP64" i="1"/>
  <c r="DP164" i="1"/>
  <c r="DP125" i="1"/>
  <c r="DP81" i="1"/>
  <c r="DP165" i="1"/>
  <c r="DP151" i="1"/>
  <c r="DP166" i="1"/>
  <c r="DP167" i="1"/>
  <c r="DP127" i="1"/>
  <c r="DP69" i="1"/>
  <c r="DP168" i="1"/>
  <c r="DP89" i="1"/>
  <c r="DP109" i="1"/>
  <c r="DP169" i="1"/>
  <c r="DP170" i="1"/>
  <c r="DP99" i="1"/>
  <c r="DP102" i="1"/>
  <c r="DP149" i="1"/>
  <c r="DP96" i="1"/>
  <c r="DP152" i="1"/>
  <c r="DP171" i="1"/>
  <c r="DP172" i="1"/>
  <c r="DP136" i="1"/>
  <c r="DP137" i="1"/>
  <c r="DP173" i="1"/>
  <c r="DP78" i="1"/>
  <c r="DP130" i="1"/>
  <c r="DP174" i="1"/>
  <c r="DP175" i="1"/>
  <c r="DP133" i="1"/>
  <c r="DP176" i="1"/>
  <c r="DP105" i="1"/>
  <c r="DP68" i="1"/>
  <c r="DP177" i="1"/>
  <c r="DP113" i="1"/>
  <c r="DP131" i="1"/>
  <c r="DP103" i="1"/>
  <c r="DP178" i="1"/>
  <c r="DP79" i="1"/>
  <c r="DP179" i="1"/>
  <c r="DP180" i="1"/>
  <c r="DP53" i="1"/>
  <c r="DP181" i="1"/>
  <c r="DP77" i="1"/>
  <c r="DP146" i="1"/>
  <c r="DP182" i="1"/>
  <c r="DP183" i="1"/>
  <c r="DP184" i="1"/>
  <c r="DP85" i="1"/>
  <c r="DP185" i="1"/>
  <c r="DP132" i="1"/>
  <c r="DP123" i="1"/>
  <c r="DP117" i="1"/>
  <c r="DP75" i="1"/>
  <c r="DP186" i="1"/>
  <c r="DP138" i="1"/>
  <c r="DP187" i="1"/>
  <c r="DP141" i="1"/>
  <c r="DP129" i="1"/>
  <c r="DP188" i="1"/>
  <c r="DP189" i="1"/>
  <c r="DP139" i="1"/>
  <c r="DP90" i="1"/>
  <c r="DP190" i="1"/>
  <c r="DP98" i="1"/>
  <c r="DP191" i="1"/>
  <c r="DP86" i="1"/>
  <c r="DP147" i="1"/>
  <c r="DP140" i="1"/>
  <c r="DP192" i="1"/>
  <c r="DP193" i="1"/>
  <c r="DP194" i="1"/>
  <c r="DP144" i="1"/>
  <c r="DP82" i="1"/>
  <c r="DP195" i="1"/>
  <c r="DP196" i="1"/>
  <c r="DP128" i="1"/>
  <c r="DP110" i="1"/>
  <c r="DP97" i="1"/>
  <c r="DP150" i="1"/>
  <c r="DP197" i="1"/>
  <c r="DP108" i="1"/>
  <c r="DP119" i="1"/>
  <c r="DP122" i="1"/>
  <c r="DP198" i="1"/>
  <c r="DP83" i="1"/>
  <c r="DP112" i="1"/>
  <c r="DP199" i="1"/>
  <c r="DP200" i="1"/>
  <c r="DP201" i="1"/>
  <c r="DP202" i="1"/>
  <c r="DP153" i="1"/>
  <c r="DP142" i="1"/>
  <c r="DP203" i="1"/>
  <c r="DP100" i="1"/>
  <c r="DP204" i="1"/>
  <c r="DP118" i="1"/>
  <c r="DP205" i="1"/>
  <c r="DP124" i="1"/>
  <c r="DP91" i="1"/>
  <c r="DP206" i="1"/>
  <c r="DP207" i="1"/>
  <c r="DP148" i="1"/>
  <c r="DP94" i="1"/>
  <c r="DP208" i="1"/>
  <c r="DP42" i="1"/>
  <c r="DP120" i="1"/>
  <c r="DP101" i="1"/>
  <c r="DP143" i="1"/>
  <c r="DP106" i="1"/>
  <c r="DO12" i="1"/>
  <c r="DO5" i="1"/>
  <c r="DO2" i="1"/>
  <c r="DO20" i="1"/>
  <c r="DO18" i="1"/>
  <c r="DO23" i="1"/>
  <c r="DO3" i="1"/>
  <c r="DO16" i="1"/>
  <c r="DO4" i="1"/>
  <c r="DO17" i="1"/>
  <c r="DO15" i="1"/>
  <c r="DO38" i="1"/>
  <c r="DO6" i="1"/>
  <c r="DO8" i="1"/>
  <c r="DO9" i="1"/>
  <c r="DO59" i="1"/>
  <c r="DO28" i="1"/>
  <c r="DO13" i="1"/>
  <c r="DO24" i="1"/>
  <c r="DO35" i="1"/>
  <c r="DO40" i="1"/>
  <c r="DO14" i="1"/>
  <c r="DO7" i="1"/>
  <c r="DO70" i="1"/>
  <c r="DO37" i="1"/>
  <c r="DO11" i="1"/>
  <c r="DO54" i="1"/>
  <c r="DO22" i="1"/>
  <c r="DO10" i="1"/>
  <c r="DO61" i="1"/>
  <c r="DO21" i="1"/>
  <c r="DO29" i="1"/>
  <c r="DO52" i="1"/>
  <c r="DO45" i="1"/>
  <c r="DO49" i="1"/>
  <c r="DO74" i="1"/>
  <c r="DO19" i="1"/>
  <c r="DO46" i="1"/>
  <c r="DO65" i="1"/>
  <c r="DO41" i="1"/>
  <c r="DO154" i="1"/>
  <c r="DO88" i="1"/>
  <c r="DO43" i="1"/>
  <c r="DO60" i="1"/>
  <c r="DO33" i="1"/>
  <c r="DO27" i="1"/>
  <c r="DO48" i="1"/>
  <c r="DO80" i="1"/>
  <c r="DO63" i="1"/>
  <c r="DO56" i="1"/>
  <c r="DO55" i="1"/>
  <c r="DO121" i="1"/>
  <c r="DO36" i="1"/>
  <c r="DO47" i="1"/>
  <c r="DO26" i="1"/>
  <c r="DO25" i="1"/>
  <c r="DO57" i="1"/>
  <c r="DO71" i="1"/>
  <c r="DO31" i="1"/>
  <c r="DO104" i="1"/>
  <c r="DO66" i="1"/>
  <c r="DO58" i="1"/>
  <c r="DO155" i="1"/>
  <c r="DO51" i="1"/>
  <c r="DO156" i="1"/>
  <c r="DO157" i="1"/>
  <c r="DO39" i="1"/>
  <c r="DO32" i="1"/>
  <c r="DO62" i="1"/>
  <c r="DO34" i="1"/>
  <c r="DO158" i="1"/>
  <c r="DO134" i="1"/>
  <c r="DO50" i="1"/>
  <c r="DO44" i="1"/>
  <c r="DO115" i="1"/>
  <c r="DO93" i="1"/>
  <c r="DO73" i="1"/>
  <c r="DO92" i="1"/>
  <c r="DO67" i="1"/>
  <c r="DO107" i="1"/>
  <c r="DO126" i="1"/>
  <c r="DO72" i="1"/>
  <c r="DO145" i="1"/>
  <c r="DO111" i="1"/>
  <c r="DO135" i="1"/>
  <c r="DO84" i="1"/>
  <c r="DO116" i="1"/>
  <c r="DO159" i="1"/>
  <c r="DO95" i="1"/>
  <c r="DO87" i="1"/>
  <c r="DO160" i="1"/>
  <c r="DO114" i="1"/>
  <c r="DO161" i="1"/>
  <c r="DO30" i="1"/>
  <c r="DO76" i="1"/>
  <c r="DO162" i="1"/>
  <c r="DO163" i="1"/>
  <c r="DO64" i="1"/>
  <c r="DO164" i="1"/>
  <c r="DO125" i="1"/>
  <c r="DO81" i="1"/>
  <c r="DO165" i="1"/>
  <c r="DO151" i="1"/>
  <c r="DO166" i="1"/>
  <c r="DO167" i="1"/>
  <c r="DO127" i="1"/>
  <c r="DO69" i="1"/>
  <c r="DO168" i="1"/>
  <c r="DO89" i="1"/>
  <c r="DO109" i="1"/>
  <c r="DO169" i="1"/>
  <c r="DO170" i="1"/>
  <c r="DO99" i="1"/>
  <c r="DO102" i="1"/>
  <c r="DO149" i="1"/>
  <c r="DO96" i="1"/>
  <c r="DO152" i="1"/>
  <c r="DO171" i="1"/>
  <c r="DO172" i="1"/>
  <c r="DO136" i="1"/>
  <c r="DO137" i="1"/>
  <c r="DO173" i="1"/>
  <c r="DO78" i="1"/>
  <c r="DO130" i="1"/>
  <c r="DO174" i="1"/>
  <c r="DO175" i="1"/>
  <c r="DO133" i="1"/>
  <c r="DO176" i="1"/>
  <c r="DO105" i="1"/>
  <c r="DO68" i="1"/>
  <c r="DO177" i="1"/>
  <c r="DO113" i="1"/>
  <c r="DO131" i="1"/>
  <c r="DO103" i="1"/>
  <c r="DO178" i="1"/>
  <c r="DO79" i="1"/>
  <c r="DO179" i="1"/>
  <c r="DO180" i="1"/>
  <c r="DO53" i="1"/>
  <c r="DO181" i="1"/>
  <c r="DO77" i="1"/>
  <c r="DO146" i="1"/>
  <c r="DO182" i="1"/>
  <c r="DO183" i="1"/>
  <c r="DO184" i="1"/>
  <c r="DO85" i="1"/>
  <c r="DO185" i="1"/>
  <c r="DO132" i="1"/>
  <c r="DO123" i="1"/>
  <c r="DO117" i="1"/>
  <c r="DO75" i="1"/>
  <c r="DO186" i="1"/>
  <c r="DO138" i="1"/>
  <c r="DO187" i="1"/>
  <c r="DO141" i="1"/>
  <c r="DO129" i="1"/>
  <c r="DO188" i="1"/>
  <c r="DO189" i="1"/>
  <c r="DO139" i="1"/>
  <c r="DO90" i="1"/>
  <c r="DO190" i="1"/>
  <c r="DO98" i="1"/>
  <c r="DO191" i="1"/>
  <c r="DO86" i="1"/>
  <c r="DO147" i="1"/>
  <c r="DO140" i="1"/>
  <c r="DO192" i="1"/>
  <c r="DO193" i="1"/>
  <c r="DO194" i="1"/>
  <c r="DO144" i="1"/>
  <c r="DO82" i="1"/>
  <c r="DO195" i="1"/>
  <c r="DO196" i="1"/>
  <c r="DO128" i="1"/>
  <c r="DO110" i="1"/>
  <c r="DO97" i="1"/>
  <c r="DO150" i="1"/>
  <c r="DO197" i="1"/>
  <c r="DO108" i="1"/>
  <c r="DO119" i="1"/>
  <c r="DO122" i="1"/>
  <c r="DO198" i="1"/>
  <c r="DO83" i="1"/>
  <c r="DO112" i="1"/>
  <c r="DO199" i="1"/>
  <c r="DO200" i="1"/>
  <c r="DO201" i="1"/>
  <c r="DO202" i="1"/>
  <c r="DO153" i="1"/>
  <c r="DO142" i="1"/>
  <c r="DO203" i="1"/>
  <c r="DO100" i="1"/>
  <c r="DO204" i="1"/>
  <c r="DO118" i="1"/>
  <c r="DO205" i="1"/>
  <c r="DO124" i="1"/>
  <c r="DO91" i="1"/>
  <c r="DO206" i="1"/>
  <c r="DO207" i="1"/>
  <c r="DO148" i="1"/>
  <c r="DO94" i="1"/>
  <c r="DO208" i="1"/>
  <c r="DO42" i="1"/>
  <c r="DO120" i="1"/>
  <c r="DO101" i="1"/>
  <c r="DO143" i="1"/>
  <c r="DO106" i="1"/>
  <c r="CY12" i="1"/>
  <c r="CY5" i="1"/>
  <c r="CY2" i="1"/>
  <c r="CY20" i="1"/>
  <c r="CY18" i="1"/>
  <c r="CY3" i="1"/>
  <c r="CY16" i="1"/>
  <c r="CY23" i="1"/>
  <c r="CY4" i="1"/>
  <c r="CY17" i="1"/>
  <c r="CY15" i="1"/>
  <c r="CY38" i="1"/>
  <c r="CY6" i="1"/>
  <c r="CY8" i="1"/>
  <c r="CY9" i="1"/>
  <c r="CY59" i="1"/>
  <c r="CY28" i="1"/>
  <c r="CY13" i="1"/>
  <c r="CY24" i="1"/>
  <c r="CY35" i="1"/>
  <c r="CY40" i="1"/>
  <c r="CY14" i="1"/>
  <c r="CY7" i="1"/>
  <c r="CY70" i="1"/>
  <c r="CY37" i="1"/>
  <c r="CY11" i="1"/>
  <c r="CY54" i="1"/>
  <c r="CY22" i="1"/>
  <c r="CY10" i="1"/>
  <c r="CY61" i="1"/>
  <c r="CY21" i="1"/>
  <c r="CY29" i="1"/>
  <c r="CY52" i="1"/>
  <c r="CY45" i="1"/>
  <c r="CY49" i="1"/>
  <c r="CY74" i="1"/>
  <c r="CY19" i="1"/>
  <c r="CY46" i="1"/>
  <c r="CY65" i="1"/>
  <c r="CY41" i="1"/>
  <c r="CY154" i="1"/>
  <c r="CY88" i="1"/>
  <c r="CY43" i="1"/>
  <c r="CY60" i="1"/>
  <c r="CY33" i="1"/>
  <c r="CY27" i="1"/>
  <c r="CY48" i="1"/>
  <c r="CY80" i="1"/>
  <c r="CY63" i="1"/>
  <c r="CY56" i="1"/>
  <c r="CY55" i="1"/>
  <c r="CY121" i="1"/>
  <c r="CY36" i="1"/>
  <c r="CY47" i="1"/>
  <c r="CY26" i="1"/>
  <c r="CY25" i="1"/>
  <c r="CY57" i="1"/>
  <c r="CY71" i="1"/>
  <c r="CY31" i="1"/>
  <c r="CY104" i="1"/>
  <c r="CY66" i="1"/>
  <c r="CY58" i="1"/>
  <c r="CY155" i="1"/>
  <c r="CY51" i="1"/>
  <c r="CY156" i="1"/>
  <c r="CY157" i="1"/>
  <c r="CY39" i="1"/>
  <c r="CY32" i="1"/>
  <c r="CY62" i="1"/>
  <c r="CY34" i="1"/>
  <c r="CY158" i="1"/>
  <c r="CY134" i="1"/>
  <c r="CY50" i="1"/>
  <c r="CY44" i="1"/>
  <c r="CY115" i="1"/>
  <c r="CY93" i="1"/>
  <c r="CY73" i="1"/>
  <c r="CY92" i="1"/>
  <c r="CY67" i="1"/>
  <c r="CY107" i="1"/>
  <c r="CY126" i="1"/>
  <c r="CY72" i="1"/>
  <c r="CY145" i="1"/>
  <c r="CY111" i="1"/>
  <c r="CY135" i="1"/>
  <c r="CY84" i="1"/>
  <c r="CY116" i="1"/>
  <c r="CY159" i="1"/>
  <c r="CY95" i="1"/>
  <c r="CY87" i="1"/>
  <c r="CY160" i="1"/>
  <c r="CY114" i="1"/>
  <c r="CY161" i="1"/>
  <c r="CY30" i="1"/>
  <c r="CY76" i="1"/>
  <c r="CY162" i="1"/>
  <c r="CY163" i="1"/>
  <c r="CY64" i="1"/>
  <c r="CY164" i="1"/>
  <c r="CY125" i="1"/>
  <c r="CY81" i="1"/>
  <c r="CY165" i="1"/>
  <c r="CY151" i="1"/>
  <c r="CY166" i="1"/>
  <c r="CY167" i="1"/>
  <c r="CY127" i="1"/>
  <c r="CY69" i="1"/>
  <c r="CY168" i="1"/>
  <c r="CY89" i="1"/>
  <c r="CY109" i="1"/>
  <c r="CY169" i="1"/>
  <c r="CY170" i="1"/>
  <c r="CY99" i="1"/>
  <c r="CY102" i="1"/>
  <c r="CY149" i="1"/>
  <c r="CY96" i="1"/>
  <c r="CY152" i="1"/>
  <c r="CY171" i="1"/>
  <c r="CY172" i="1"/>
  <c r="CY136" i="1"/>
  <c r="CY137" i="1"/>
  <c r="CY173" i="1"/>
  <c r="CY78" i="1"/>
  <c r="CY130" i="1"/>
  <c r="CY174" i="1"/>
  <c r="CY175" i="1"/>
  <c r="CY133" i="1"/>
  <c r="CY176" i="1"/>
  <c r="CY105" i="1"/>
  <c r="CY68" i="1"/>
  <c r="CY177" i="1"/>
  <c r="CY113" i="1"/>
  <c r="CY131" i="1"/>
  <c r="CY103" i="1"/>
  <c r="CY178" i="1"/>
  <c r="CY79" i="1"/>
  <c r="CY179" i="1"/>
  <c r="CY180" i="1"/>
  <c r="CY53" i="1"/>
  <c r="CY181" i="1"/>
  <c r="CY77" i="1"/>
  <c r="CY146" i="1"/>
  <c r="CY182" i="1"/>
  <c r="CY183" i="1"/>
  <c r="CY184" i="1"/>
  <c r="CY85" i="1"/>
  <c r="CY185" i="1"/>
  <c r="CY132" i="1"/>
  <c r="CY123" i="1"/>
  <c r="CY117" i="1"/>
  <c r="CY75" i="1"/>
  <c r="CY186" i="1"/>
  <c r="CY138" i="1"/>
  <c r="CY187" i="1"/>
  <c r="CY141" i="1"/>
  <c r="CY129" i="1"/>
  <c r="CY188" i="1"/>
  <c r="CY189" i="1"/>
  <c r="CY139" i="1"/>
  <c r="CY90" i="1"/>
  <c r="CY190" i="1"/>
  <c r="CY98" i="1"/>
  <c r="CY191" i="1"/>
  <c r="CY86" i="1"/>
  <c r="CY147" i="1"/>
  <c r="CY140" i="1"/>
  <c r="CY192" i="1"/>
  <c r="CY193" i="1"/>
  <c r="CY194" i="1"/>
  <c r="CY144" i="1"/>
  <c r="CY82" i="1"/>
  <c r="CY195" i="1"/>
  <c r="CY196" i="1"/>
  <c r="CY128" i="1"/>
  <c r="CY110" i="1"/>
  <c r="CY97" i="1"/>
  <c r="CY150" i="1"/>
  <c r="CY197" i="1"/>
  <c r="CY108" i="1"/>
  <c r="CY119" i="1"/>
  <c r="CY122" i="1"/>
  <c r="CY198" i="1"/>
  <c r="CY83" i="1"/>
  <c r="CY112" i="1"/>
  <c r="CY199" i="1"/>
  <c r="CY200" i="1"/>
  <c r="CY201" i="1"/>
  <c r="CY202" i="1"/>
  <c r="CY153" i="1"/>
  <c r="CY142" i="1"/>
  <c r="CY203" i="1"/>
  <c r="CY100" i="1"/>
  <c r="CY204" i="1"/>
  <c r="CY118" i="1"/>
  <c r="CY205" i="1"/>
  <c r="CY124" i="1"/>
  <c r="CY91" i="1"/>
  <c r="CY206" i="1"/>
  <c r="CY207" i="1"/>
  <c r="CY148" i="1"/>
  <c r="CY94" i="1"/>
  <c r="CY208" i="1"/>
  <c r="CY42" i="1"/>
  <c r="CY120" i="1"/>
  <c r="CY101" i="1"/>
  <c r="CY143" i="1"/>
  <c r="CY106" i="1"/>
  <c r="DA12" i="1"/>
  <c r="DD12" i="1"/>
  <c r="DD5" i="1"/>
  <c r="DD2" i="1"/>
  <c r="DD20" i="1"/>
  <c r="DD18" i="1"/>
  <c r="DD3" i="1"/>
  <c r="DD16" i="1"/>
  <c r="DD23" i="1"/>
  <c r="DD4" i="1"/>
  <c r="DD17" i="1"/>
  <c r="DD15" i="1"/>
  <c r="DD38" i="1"/>
  <c r="DD6" i="1"/>
  <c r="DD8" i="1"/>
  <c r="DD9" i="1"/>
  <c r="DD59" i="1"/>
  <c r="DD28" i="1"/>
  <c r="DD13" i="1"/>
  <c r="DD24" i="1"/>
  <c r="DD35" i="1"/>
  <c r="DD40" i="1"/>
  <c r="DD14" i="1"/>
  <c r="DD7" i="1"/>
  <c r="DD70" i="1"/>
  <c r="DD37" i="1"/>
  <c r="DD11" i="1"/>
  <c r="DD54" i="1"/>
  <c r="DD22" i="1"/>
  <c r="DD10" i="1"/>
  <c r="DD61" i="1"/>
  <c r="DD21" i="1"/>
  <c r="DD29" i="1"/>
  <c r="DD52" i="1"/>
  <c r="DD45" i="1"/>
  <c r="DD49" i="1"/>
  <c r="DD74" i="1"/>
  <c r="DD19" i="1"/>
  <c r="DD46" i="1"/>
  <c r="DD65" i="1"/>
  <c r="DD41" i="1"/>
  <c r="DD154" i="1"/>
  <c r="DD88" i="1"/>
  <c r="DD43" i="1"/>
  <c r="DD60" i="1"/>
  <c r="DD33" i="1"/>
  <c r="DD27" i="1"/>
  <c r="DD48" i="1"/>
  <c r="DD80" i="1"/>
  <c r="DD63" i="1"/>
  <c r="DD56" i="1"/>
  <c r="DD55" i="1"/>
  <c r="DD121" i="1"/>
  <c r="DD36" i="1"/>
  <c r="DD47" i="1"/>
  <c r="DD26" i="1"/>
  <c r="DD25" i="1"/>
  <c r="DD57" i="1"/>
  <c r="DD71" i="1"/>
  <c r="DD31" i="1"/>
  <c r="DD104" i="1"/>
  <c r="DD66" i="1"/>
  <c r="DD58" i="1"/>
  <c r="DD155" i="1"/>
  <c r="DD51" i="1"/>
  <c r="DD156" i="1"/>
  <c r="DD157" i="1"/>
  <c r="DD39" i="1"/>
  <c r="DD32" i="1"/>
  <c r="DD62" i="1"/>
  <c r="DD34" i="1"/>
  <c r="DD158" i="1"/>
  <c r="DD134" i="1"/>
  <c r="DD50" i="1"/>
  <c r="DD44" i="1"/>
  <c r="DD115" i="1"/>
  <c r="DD93" i="1"/>
  <c r="DD73" i="1"/>
  <c r="DD92" i="1"/>
  <c r="DD67" i="1"/>
  <c r="DD107" i="1"/>
  <c r="DD126" i="1"/>
  <c r="DD72" i="1"/>
  <c r="DD145" i="1"/>
  <c r="DD111" i="1"/>
  <c r="DD135" i="1"/>
  <c r="DD84" i="1"/>
  <c r="DD116" i="1"/>
  <c r="DD159" i="1"/>
  <c r="DD95" i="1"/>
  <c r="DD87" i="1"/>
  <c r="DD160" i="1"/>
  <c r="DD114" i="1"/>
  <c r="DD161" i="1"/>
  <c r="DD30" i="1"/>
  <c r="DD76" i="1"/>
  <c r="DD162" i="1"/>
  <c r="DD163" i="1"/>
  <c r="DD64" i="1"/>
  <c r="DD164" i="1"/>
  <c r="DD125" i="1"/>
  <c r="DD81" i="1"/>
  <c r="DD165" i="1"/>
  <c r="DD151" i="1"/>
  <c r="DD166" i="1"/>
  <c r="DD167" i="1"/>
  <c r="DD127" i="1"/>
  <c r="DD69" i="1"/>
  <c r="DD168" i="1"/>
  <c r="DD89" i="1"/>
  <c r="DD109" i="1"/>
  <c r="DD169" i="1"/>
  <c r="DD170" i="1"/>
  <c r="DD99" i="1"/>
  <c r="DD102" i="1"/>
  <c r="DD149" i="1"/>
  <c r="DD96" i="1"/>
  <c r="DD152" i="1"/>
  <c r="DD171" i="1"/>
  <c r="DD172" i="1"/>
  <c r="DD136" i="1"/>
  <c r="DD137" i="1"/>
  <c r="DD173" i="1"/>
  <c r="DD78" i="1"/>
  <c r="DD130" i="1"/>
  <c r="DD174" i="1"/>
  <c r="DD175" i="1"/>
  <c r="DD133" i="1"/>
  <c r="DD176" i="1"/>
  <c r="DD105" i="1"/>
  <c r="DD68" i="1"/>
  <c r="DD177" i="1"/>
  <c r="DD113" i="1"/>
  <c r="DD131" i="1"/>
  <c r="DD103" i="1"/>
  <c r="DD178" i="1"/>
  <c r="DD79" i="1"/>
  <c r="DD179" i="1"/>
  <c r="DD180" i="1"/>
  <c r="DD53" i="1"/>
  <c r="DD181" i="1"/>
  <c r="DD77" i="1"/>
  <c r="DD146" i="1"/>
  <c r="DD182" i="1"/>
  <c r="DD183" i="1"/>
  <c r="DD184" i="1"/>
  <c r="DD85" i="1"/>
  <c r="DD185" i="1"/>
  <c r="DD132" i="1"/>
  <c r="DD123" i="1"/>
  <c r="DD117" i="1"/>
  <c r="DD75" i="1"/>
  <c r="DD186" i="1"/>
  <c r="DD138" i="1"/>
  <c r="DD187" i="1"/>
  <c r="DD141" i="1"/>
  <c r="DD129" i="1"/>
  <c r="DD188" i="1"/>
  <c r="DD189" i="1"/>
  <c r="DD139" i="1"/>
  <c r="DD90" i="1"/>
  <c r="DD190" i="1"/>
  <c r="DD98" i="1"/>
  <c r="DD191" i="1"/>
  <c r="DD86" i="1"/>
  <c r="DD147" i="1"/>
  <c r="DD140" i="1"/>
  <c r="DD192" i="1"/>
  <c r="DD193" i="1"/>
  <c r="DD194" i="1"/>
  <c r="DD144" i="1"/>
  <c r="DD82" i="1"/>
  <c r="DD195" i="1"/>
  <c r="DD196" i="1"/>
  <c r="DD128" i="1"/>
  <c r="DD110" i="1"/>
  <c r="DD97" i="1"/>
  <c r="DD150" i="1"/>
  <c r="DD197" i="1"/>
  <c r="DD108" i="1"/>
  <c r="DD119" i="1"/>
  <c r="DD122" i="1"/>
  <c r="DD198" i="1"/>
  <c r="DD83" i="1"/>
  <c r="DD112" i="1"/>
  <c r="DD199" i="1"/>
  <c r="DD200" i="1"/>
  <c r="DD201" i="1"/>
  <c r="DD202" i="1"/>
  <c r="DD153" i="1"/>
  <c r="DD142" i="1"/>
  <c r="DD203" i="1"/>
  <c r="DD100" i="1"/>
  <c r="DD204" i="1"/>
  <c r="DD118" i="1"/>
  <c r="DD205" i="1"/>
  <c r="DD124" i="1"/>
  <c r="DD91" i="1"/>
  <c r="DD206" i="1"/>
  <c r="DD207" i="1"/>
  <c r="DD148" i="1"/>
  <c r="DD94" i="1"/>
  <c r="DD208" i="1"/>
  <c r="DD42" i="1"/>
  <c r="DD120" i="1"/>
  <c r="DD101" i="1"/>
  <c r="DD143" i="1"/>
  <c r="DD106" i="1"/>
  <c r="CZ12" i="1"/>
  <c r="CZ5" i="1"/>
  <c r="CZ2" i="1"/>
  <c r="CZ20" i="1"/>
  <c r="CZ18" i="1"/>
  <c r="CZ3" i="1"/>
  <c r="CZ16" i="1"/>
  <c r="CZ23" i="1"/>
  <c r="CZ4" i="1"/>
  <c r="CZ17" i="1"/>
  <c r="CZ15" i="1"/>
  <c r="CZ38" i="1"/>
  <c r="CZ6" i="1"/>
  <c r="CZ8" i="1"/>
  <c r="CZ9" i="1"/>
  <c r="CZ59" i="1"/>
  <c r="CZ28" i="1"/>
  <c r="CZ13" i="1"/>
  <c r="CZ24" i="1"/>
  <c r="CZ35" i="1"/>
  <c r="CZ40" i="1"/>
  <c r="CZ14" i="1"/>
  <c r="CZ7" i="1"/>
  <c r="CZ70" i="1"/>
  <c r="CZ37" i="1"/>
  <c r="CZ11" i="1"/>
  <c r="CZ54" i="1"/>
  <c r="CZ22" i="1"/>
  <c r="CZ10" i="1"/>
  <c r="CZ61" i="1"/>
  <c r="CZ21" i="1"/>
  <c r="CZ29" i="1"/>
  <c r="CZ52" i="1"/>
  <c r="CZ45" i="1"/>
  <c r="CZ49" i="1"/>
  <c r="CZ74" i="1"/>
  <c r="CZ19" i="1"/>
  <c r="CZ46" i="1"/>
  <c r="CZ65" i="1"/>
  <c r="CZ41" i="1"/>
  <c r="CZ154" i="1"/>
  <c r="CZ88" i="1"/>
  <c r="CZ43" i="1"/>
  <c r="CZ60" i="1"/>
  <c r="CZ33" i="1"/>
  <c r="CZ27" i="1"/>
  <c r="CZ48" i="1"/>
  <c r="CZ80" i="1"/>
  <c r="CZ63" i="1"/>
  <c r="CZ56" i="1"/>
  <c r="CZ55" i="1"/>
  <c r="CZ121" i="1"/>
  <c r="CZ36" i="1"/>
  <c r="CZ47" i="1"/>
  <c r="CZ26" i="1"/>
  <c r="CZ25" i="1"/>
  <c r="CZ57" i="1"/>
  <c r="CZ71" i="1"/>
  <c r="CZ31" i="1"/>
  <c r="CZ104" i="1"/>
  <c r="CZ66" i="1"/>
  <c r="CZ58" i="1"/>
  <c r="CZ155" i="1"/>
  <c r="CZ51" i="1"/>
  <c r="CZ156" i="1"/>
  <c r="CZ157" i="1"/>
  <c r="CZ39" i="1"/>
  <c r="CZ32" i="1"/>
  <c r="CZ62" i="1"/>
  <c r="CZ34" i="1"/>
  <c r="CZ158" i="1"/>
  <c r="CZ134" i="1"/>
  <c r="CZ50" i="1"/>
  <c r="CZ44" i="1"/>
  <c r="CZ115" i="1"/>
  <c r="CZ93" i="1"/>
  <c r="CZ73" i="1"/>
  <c r="CZ92" i="1"/>
  <c r="CZ67" i="1"/>
  <c r="CZ107" i="1"/>
  <c r="CZ126" i="1"/>
  <c r="CZ72" i="1"/>
  <c r="CZ145" i="1"/>
  <c r="CZ111" i="1"/>
  <c r="CZ135" i="1"/>
  <c r="CZ84" i="1"/>
  <c r="CZ116" i="1"/>
  <c r="CZ159" i="1"/>
  <c r="CZ95" i="1"/>
  <c r="CZ87" i="1"/>
  <c r="CZ160" i="1"/>
  <c r="CZ114" i="1"/>
  <c r="CZ161" i="1"/>
  <c r="CZ30" i="1"/>
  <c r="CZ76" i="1"/>
  <c r="CZ162" i="1"/>
  <c r="CZ163" i="1"/>
  <c r="CZ64" i="1"/>
  <c r="CZ164" i="1"/>
  <c r="CZ125" i="1"/>
  <c r="CZ81" i="1"/>
  <c r="CZ165" i="1"/>
  <c r="CZ151" i="1"/>
  <c r="CZ166" i="1"/>
  <c r="CZ167" i="1"/>
  <c r="CZ127" i="1"/>
  <c r="CZ69" i="1"/>
  <c r="CZ168" i="1"/>
  <c r="CZ89" i="1"/>
  <c r="CZ109" i="1"/>
  <c r="CZ169" i="1"/>
  <c r="CZ170" i="1"/>
  <c r="CZ99" i="1"/>
  <c r="CZ102" i="1"/>
  <c r="CZ149" i="1"/>
  <c r="CZ96" i="1"/>
  <c r="CZ152" i="1"/>
  <c r="CZ171" i="1"/>
  <c r="CZ172" i="1"/>
  <c r="CZ136" i="1"/>
  <c r="CZ137" i="1"/>
  <c r="CZ173" i="1"/>
  <c r="CZ78" i="1"/>
  <c r="CZ130" i="1"/>
  <c r="CZ174" i="1"/>
  <c r="CZ175" i="1"/>
  <c r="CZ133" i="1"/>
  <c r="CZ176" i="1"/>
  <c r="CZ105" i="1"/>
  <c r="CZ68" i="1"/>
  <c r="CZ177" i="1"/>
  <c r="CZ113" i="1"/>
  <c r="CZ131" i="1"/>
  <c r="CZ103" i="1"/>
  <c r="CZ178" i="1"/>
  <c r="CZ79" i="1"/>
  <c r="CZ179" i="1"/>
  <c r="CZ180" i="1"/>
  <c r="CZ53" i="1"/>
  <c r="CZ181" i="1"/>
  <c r="CZ77" i="1"/>
  <c r="CZ146" i="1"/>
  <c r="CZ182" i="1"/>
  <c r="CZ183" i="1"/>
  <c r="CZ184" i="1"/>
  <c r="CZ85" i="1"/>
  <c r="CZ185" i="1"/>
  <c r="CZ132" i="1"/>
  <c r="CZ123" i="1"/>
  <c r="CZ117" i="1"/>
  <c r="CZ75" i="1"/>
  <c r="CZ186" i="1"/>
  <c r="CZ138" i="1"/>
  <c r="CZ187" i="1"/>
  <c r="CZ141" i="1"/>
  <c r="CZ129" i="1"/>
  <c r="CZ188" i="1"/>
  <c r="CZ189" i="1"/>
  <c r="CZ139" i="1"/>
  <c r="CZ90" i="1"/>
  <c r="CZ190" i="1"/>
  <c r="CZ98" i="1"/>
  <c r="CZ191" i="1"/>
  <c r="CZ86" i="1"/>
  <c r="CZ147" i="1"/>
  <c r="CZ140" i="1"/>
  <c r="CZ192" i="1"/>
  <c r="CZ193" i="1"/>
  <c r="CZ194" i="1"/>
  <c r="CZ144" i="1"/>
  <c r="CZ82" i="1"/>
  <c r="CZ195" i="1"/>
  <c r="CZ196" i="1"/>
  <c r="CZ128" i="1"/>
  <c r="CZ110" i="1"/>
  <c r="CZ97" i="1"/>
  <c r="CZ150" i="1"/>
  <c r="CZ197" i="1"/>
  <c r="CZ108" i="1"/>
  <c r="CZ119" i="1"/>
  <c r="CZ122" i="1"/>
  <c r="CZ198" i="1"/>
  <c r="CZ83" i="1"/>
  <c r="CZ112" i="1"/>
  <c r="CZ199" i="1"/>
  <c r="CZ200" i="1"/>
  <c r="CZ201" i="1"/>
  <c r="CZ202" i="1"/>
  <c r="CZ153" i="1"/>
  <c r="CZ142" i="1"/>
  <c r="CZ203" i="1"/>
  <c r="CZ100" i="1"/>
  <c r="CZ204" i="1"/>
  <c r="CZ118" i="1"/>
  <c r="CZ205" i="1"/>
  <c r="CZ124" i="1"/>
  <c r="CZ91" i="1"/>
  <c r="CZ206" i="1"/>
  <c r="CZ207" i="1"/>
  <c r="CZ148" i="1"/>
  <c r="CZ94" i="1"/>
  <c r="CZ208" i="1"/>
  <c r="CZ42" i="1"/>
  <c r="CZ120" i="1"/>
  <c r="CZ101" i="1"/>
  <c r="CZ143" i="1"/>
  <c r="CZ106" i="1"/>
  <c r="DB12" i="1"/>
  <c r="DB5" i="1"/>
  <c r="DB2" i="1"/>
  <c r="DB20" i="1"/>
  <c r="DB18" i="1"/>
  <c r="DB3" i="1"/>
  <c r="DB16" i="1"/>
  <c r="DB23" i="1"/>
  <c r="DB4" i="1"/>
  <c r="DB17" i="1"/>
  <c r="DB15" i="1"/>
  <c r="DB38" i="1"/>
  <c r="DB6" i="1"/>
  <c r="DB8" i="1"/>
  <c r="DB9" i="1"/>
  <c r="DB59" i="1"/>
  <c r="DB28" i="1"/>
  <c r="DB13" i="1"/>
  <c r="DB24" i="1"/>
  <c r="DB35" i="1"/>
  <c r="DB40" i="1"/>
  <c r="DB14" i="1"/>
  <c r="DB7" i="1"/>
  <c r="DB70" i="1"/>
  <c r="DB37" i="1"/>
  <c r="DB11" i="1"/>
  <c r="DB54" i="1"/>
  <c r="DB22" i="1"/>
  <c r="DB10" i="1"/>
  <c r="DB61" i="1"/>
  <c r="DB21" i="1"/>
  <c r="DB29" i="1"/>
  <c r="DB52" i="1"/>
  <c r="DB45" i="1"/>
  <c r="DB49" i="1"/>
  <c r="DB74" i="1"/>
  <c r="DB19" i="1"/>
  <c r="DB46" i="1"/>
  <c r="DB65" i="1"/>
  <c r="DB41" i="1"/>
  <c r="DB154" i="1"/>
  <c r="DB88" i="1"/>
  <c r="DB43" i="1"/>
  <c r="DB60" i="1"/>
  <c r="DB33" i="1"/>
  <c r="DB27" i="1"/>
  <c r="DB48" i="1"/>
  <c r="DB80" i="1"/>
  <c r="DB63" i="1"/>
  <c r="DB56" i="1"/>
  <c r="DB55" i="1"/>
  <c r="DB121" i="1"/>
  <c r="DB36" i="1"/>
  <c r="DB47" i="1"/>
  <c r="DB26" i="1"/>
  <c r="DB25" i="1"/>
  <c r="DB57" i="1"/>
  <c r="DB71" i="1"/>
  <c r="DB31" i="1"/>
  <c r="DB104" i="1"/>
  <c r="DB66" i="1"/>
  <c r="DB58" i="1"/>
  <c r="DB155" i="1"/>
  <c r="DB51" i="1"/>
  <c r="DB156" i="1"/>
  <c r="DB157" i="1"/>
  <c r="DB39" i="1"/>
  <c r="DB32" i="1"/>
  <c r="DB62" i="1"/>
  <c r="DB34" i="1"/>
  <c r="DB158" i="1"/>
  <c r="DB134" i="1"/>
  <c r="DB50" i="1"/>
  <c r="DB44" i="1"/>
  <c r="DB115" i="1"/>
  <c r="DB93" i="1"/>
  <c r="DB73" i="1"/>
  <c r="DB92" i="1"/>
  <c r="DB67" i="1"/>
  <c r="DB107" i="1"/>
  <c r="DB126" i="1"/>
  <c r="DB72" i="1"/>
  <c r="DB145" i="1"/>
  <c r="DB111" i="1"/>
  <c r="DB135" i="1"/>
  <c r="DB84" i="1"/>
  <c r="DB116" i="1"/>
  <c r="DB159" i="1"/>
  <c r="DB95" i="1"/>
  <c r="DB87" i="1"/>
  <c r="DB160" i="1"/>
  <c r="DB114" i="1"/>
  <c r="DB161" i="1"/>
  <c r="DB30" i="1"/>
  <c r="DB76" i="1"/>
  <c r="DB162" i="1"/>
  <c r="DB163" i="1"/>
  <c r="DB64" i="1"/>
  <c r="DB164" i="1"/>
  <c r="DB125" i="1"/>
  <c r="DB81" i="1"/>
  <c r="DB165" i="1"/>
  <c r="DB151" i="1"/>
  <c r="DB166" i="1"/>
  <c r="DB167" i="1"/>
  <c r="DB127" i="1"/>
  <c r="DB69" i="1"/>
  <c r="DB168" i="1"/>
  <c r="DB89" i="1"/>
  <c r="DB109" i="1"/>
  <c r="DB169" i="1"/>
  <c r="DB170" i="1"/>
  <c r="DB99" i="1"/>
  <c r="DB102" i="1"/>
  <c r="DB149" i="1"/>
  <c r="DB96" i="1"/>
  <c r="DB152" i="1"/>
  <c r="DB171" i="1"/>
  <c r="DB172" i="1"/>
  <c r="DB136" i="1"/>
  <c r="DB137" i="1"/>
  <c r="DB173" i="1"/>
  <c r="DB78" i="1"/>
  <c r="DB130" i="1"/>
  <c r="DB174" i="1"/>
  <c r="DB175" i="1"/>
  <c r="DB133" i="1"/>
  <c r="DB176" i="1"/>
  <c r="DB105" i="1"/>
  <c r="DB68" i="1"/>
  <c r="DB177" i="1"/>
  <c r="DB113" i="1"/>
  <c r="DB131" i="1"/>
  <c r="DB103" i="1"/>
  <c r="DB178" i="1"/>
  <c r="DB79" i="1"/>
  <c r="DB179" i="1"/>
  <c r="DB180" i="1"/>
  <c r="DB53" i="1"/>
  <c r="DB181" i="1"/>
  <c r="DB77" i="1"/>
  <c r="DB146" i="1"/>
  <c r="DB182" i="1"/>
  <c r="DB183" i="1"/>
  <c r="DB184" i="1"/>
  <c r="DB85" i="1"/>
  <c r="DB185" i="1"/>
  <c r="DB132" i="1"/>
  <c r="DB123" i="1"/>
  <c r="DB117" i="1"/>
  <c r="DB75" i="1"/>
  <c r="DB186" i="1"/>
  <c r="DB138" i="1"/>
  <c r="DB187" i="1"/>
  <c r="DB141" i="1"/>
  <c r="DB129" i="1"/>
  <c r="DB188" i="1"/>
  <c r="DB189" i="1"/>
  <c r="DB139" i="1"/>
  <c r="DB90" i="1"/>
  <c r="DB190" i="1"/>
  <c r="DB98" i="1"/>
  <c r="DB191" i="1"/>
  <c r="DB86" i="1"/>
  <c r="DB147" i="1"/>
  <c r="DB140" i="1"/>
  <c r="DB192" i="1"/>
  <c r="DB193" i="1"/>
  <c r="DB194" i="1"/>
  <c r="DB144" i="1"/>
  <c r="DB82" i="1"/>
  <c r="DB195" i="1"/>
  <c r="DB196" i="1"/>
  <c r="DB128" i="1"/>
  <c r="DB110" i="1"/>
  <c r="DB97" i="1"/>
  <c r="DB150" i="1"/>
  <c r="DB197" i="1"/>
  <c r="DB108" i="1"/>
  <c r="DB119" i="1"/>
  <c r="DB122" i="1"/>
  <c r="DB198" i="1"/>
  <c r="DB83" i="1"/>
  <c r="DB112" i="1"/>
  <c r="DB199" i="1"/>
  <c r="DB200" i="1"/>
  <c r="DB201" i="1"/>
  <c r="DB202" i="1"/>
  <c r="DB153" i="1"/>
  <c r="DB142" i="1"/>
  <c r="DB203" i="1"/>
  <c r="DB100" i="1"/>
  <c r="DB204" i="1"/>
  <c r="DB118" i="1"/>
  <c r="DB205" i="1"/>
  <c r="DB124" i="1"/>
  <c r="DB91" i="1"/>
  <c r="DB206" i="1"/>
  <c r="DB207" i="1"/>
  <c r="DB148" i="1"/>
  <c r="DB94" i="1"/>
  <c r="DB208" i="1"/>
  <c r="DB42" i="1"/>
  <c r="DB120" i="1"/>
  <c r="DB101" i="1"/>
  <c r="DB143" i="1"/>
  <c r="DB106" i="1"/>
  <c r="DA5" i="1"/>
  <c r="DA2" i="1"/>
  <c r="DA20" i="1"/>
  <c r="DA18" i="1"/>
  <c r="DA3" i="1"/>
  <c r="DA16" i="1"/>
  <c r="DA23" i="1"/>
  <c r="DA4" i="1"/>
  <c r="DA17" i="1"/>
  <c r="DA15" i="1"/>
  <c r="DA38" i="1"/>
  <c r="DA6" i="1"/>
  <c r="DA8" i="1"/>
  <c r="DA9" i="1"/>
  <c r="DA59" i="1"/>
  <c r="DA28" i="1"/>
  <c r="DA13" i="1"/>
  <c r="DA24" i="1"/>
  <c r="DA35" i="1"/>
  <c r="DA40" i="1"/>
  <c r="DA14" i="1"/>
  <c r="DA7" i="1"/>
  <c r="DA70" i="1"/>
  <c r="DA37" i="1"/>
  <c r="DA11" i="1"/>
  <c r="DA54" i="1"/>
  <c r="DA22" i="1"/>
  <c r="DA10" i="1"/>
  <c r="DA61" i="1"/>
  <c r="DA21" i="1"/>
  <c r="DA29" i="1"/>
  <c r="DA52" i="1"/>
  <c r="DA45" i="1"/>
  <c r="DA49" i="1"/>
  <c r="DA74" i="1"/>
  <c r="DA19" i="1"/>
  <c r="DA46" i="1"/>
  <c r="DA65" i="1"/>
  <c r="DA41" i="1"/>
  <c r="DA154" i="1"/>
  <c r="DA88" i="1"/>
  <c r="DA43" i="1"/>
  <c r="DA60" i="1"/>
  <c r="DA33" i="1"/>
  <c r="DA27" i="1"/>
  <c r="DA48" i="1"/>
  <c r="DA80" i="1"/>
  <c r="DA63" i="1"/>
  <c r="DA56" i="1"/>
  <c r="DA55" i="1"/>
  <c r="DA121" i="1"/>
  <c r="DA36" i="1"/>
  <c r="DA47" i="1"/>
  <c r="DA26" i="1"/>
  <c r="DA25" i="1"/>
  <c r="DA57" i="1"/>
  <c r="DA71" i="1"/>
  <c r="DA31" i="1"/>
  <c r="DA104" i="1"/>
  <c r="DA66" i="1"/>
  <c r="DA58" i="1"/>
  <c r="DA155" i="1"/>
  <c r="DA51" i="1"/>
  <c r="DA156" i="1"/>
  <c r="DA157" i="1"/>
  <c r="DA39" i="1"/>
  <c r="DA32" i="1"/>
  <c r="DA62" i="1"/>
  <c r="DA34" i="1"/>
  <c r="DA158" i="1"/>
  <c r="DA134" i="1"/>
  <c r="DA50" i="1"/>
  <c r="DA44" i="1"/>
  <c r="DA115" i="1"/>
  <c r="DA93" i="1"/>
  <c r="DA73" i="1"/>
  <c r="DA92" i="1"/>
  <c r="DA67" i="1"/>
  <c r="DA107" i="1"/>
  <c r="DA126" i="1"/>
  <c r="DA72" i="1"/>
  <c r="DA145" i="1"/>
  <c r="DA111" i="1"/>
  <c r="DA135" i="1"/>
  <c r="DA84" i="1"/>
  <c r="DA116" i="1"/>
  <c r="DA159" i="1"/>
  <c r="DA95" i="1"/>
  <c r="DA87" i="1"/>
  <c r="DA160" i="1"/>
  <c r="DA114" i="1"/>
  <c r="DA161" i="1"/>
  <c r="DA30" i="1"/>
  <c r="DA76" i="1"/>
  <c r="DA162" i="1"/>
  <c r="DA163" i="1"/>
  <c r="DA64" i="1"/>
  <c r="DA164" i="1"/>
  <c r="DA125" i="1"/>
  <c r="DA81" i="1"/>
  <c r="DA165" i="1"/>
  <c r="DA151" i="1"/>
  <c r="DA166" i="1"/>
  <c r="DA167" i="1"/>
  <c r="DA127" i="1"/>
  <c r="DA69" i="1"/>
  <c r="DA168" i="1"/>
  <c r="DA89" i="1"/>
  <c r="DA109" i="1"/>
  <c r="DA169" i="1"/>
  <c r="DA170" i="1"/>
  <c r="DA99" i="1"/>
  <c r="DA102" i="1"/>
  <c r="DA149" i="1"/>
  <c r="DA96" i="1"/>
  <c r="DA152" i="1"/>
  <c r="DA171" i="1"/>
  <c r="DA172" i="1"/>
  <c r="DA136" i="1"/>
  <c r="DA137" i="1"/>
  <c r="DA173" i="1"/>
  <c r="DA78" i="1"/>
  <c r="DA130" i="1"/>
  <c r="DA174" i="1"/>
  <c r="DA175" i="1"/>
  <c r="DA133" i="1"/>
  <c r="DA176" i="1"/>
  <c r="DA105" i="1"/>
  <c r="DA68" i="1"/>
  <c r="DA177" i="1"/>
  <c r="DA113" i="1"/>
  <c r="DA131" i="1"/>
  <c r="DA103" i="1"/>
  <c r="DA178" i="1"/>
  <c r="DA79" i="1"/>
  <c r="DA179" i="1"/>
  <c r="DA180" i="1"/>
  <c r="DA53" i="1"/>
  <c r="DA181" i="1"/>
  <c r="DA77" i="1"/>
  <c r="DA146" i="1"/>
  <c r="DA182" i="1"/>
  <c r="DA183" i="1"/>
  <c r="DA184" i="1"/>
  <c r="DA85" i="1"/>
  <c r="DA185" i="1"/>
  <c r="DA132" i="1"/>
  <c r="DA123" i="1"/>
  <c r="DA117" i="1"/>
  <c r="DA75" i="1"/>
  <c r="DA186" i="1"/>
  <c r="DA138" i="1"/>
  <c r="DA187" i="1"/>
  <c r="DA141" i="1"/>
  <c r="DA129" i="1"/>
  <c r="DA188" i="1"/>
  <c r="DA189" i="1"/>
  <c r="DA139" i="1"/>
  <c r="DA90" i="1"/>
  <c r="DA190" i="1"/>
  <c r="DA98" i="1"/>
  <c r="DA191" i="1"/>
  <c r="DA86" i="1"/>
  <c r="DA147" i="1"/>
  <c r="DA140" i="1"/>
  <c r="DA192" i="1"/>
  <c r="DA193" i="1"/>
  <c r="DA194" i="1"/>
  <c r="DA144" i="1"/>
  <c r="DA82" i="1"/>
  <c r="DA195" i="1"/>
  <c r="DA196" i="1"/>
  <c r="DA128" i="1"/>
  <c r="DA110" i="1"/>
  <c r="DA97" i="1"/>
  <c r="DA150" i="1"/>
  <c r="DA197" i="1"/>
  <c r="DA108" i="1"/>
  <c r="DA119" i="1"/>
  <c r="DA122" i="1"/>
  <c r="DA198" i="1"/>
  <c r="DA83" i="1"/>
  <c r="DA112" i="1"/>
  <c r="DA199" i="1"/>
  <c r="DA200" i="1"/>
  <c r="DA201" i="1"/>
  <c r="DA202" i="1"/>
  <c r="DA153" i="1"/>
  <c r="DA142" i="1"/>
  <c r="DA203" i="1"/>
  <c r="DA100" i="1"/>
  <c r="DA204" i="1"/>
  <c r="DA118" i="1"/>
  <c r="DA205" i="1"/>
  <c r="DA124" i="1"/>
  <c r="DA91" i="1"/>
  <c r="DA206" i="1"/>
  <c r="DA207" i="1"/>
  <c r="DA148" i="1"/>
  <c r="DA94" i="1"/>
  <c r="DA208" i="1"/>
  <c r="DA42" i="1"/>
  <c r="DA120" i="1"/>
  <c r="DA101" i="1"/>
  <c r="DA143" i="1"/>
  <c r="DA106" i="1"/>
  <c r="DC12" i="1"/>
  <c r="DC5" i="1"/>
  <c r="DC2" i="1"/>
  <c r="DC20" i="1"/>
  <c r="DC18" i="1"/>
  <c r="DC3" i="1"/>
  <c r="DC16" i="1"/>
  <c r="DC23" i="1"/>
  <c r="DC4" i="1"/>
  <c r="DC17" i="1"/>
  <c r="DC15" i="1"/>
  <c r="DC38" i="1"/>
  <c r="DC6" i="1"/>
  <c r="DC8" i="1"/>
  <c r="DC9" i="1"/>
  <c r="DC59" i="1"/>
  <c r="DC28" i="1"/>
  <c r="DC13" i="1"/>
  <c r="DC24" i="1"/>
  <c r="DC35" i="1"/>
  <c r="DC40" i="1"/>
  <c r="DC14" i="1"/>
  <c r="DC7" i="1"/>
  <c r="DC70" i="1"/>
  <c r="DC37" i="1"/>
  <c r="DC11" i="1"/>
  <c r="DC54" i="1"/>
  <c r="DC22" i="1"/>
  <c r="DC10" i="1"/>
  <c r="DC61" i="1"/>
  <c r="DC21" i="1"/>
  <c r="DC29" i="1"/>
  <c r="DC52" i="1"/>
  <c r="DC45" i="1"/>
  <c r="DC49" i="1"/>
  <c r="DC74" i="1"/>
  <c r="DC19" i="1"/>
  <c r="DC46" i="1"/>
  <c r="DC65" i="1"/>
  <c r="DC41" i="1"/>
  <c r="DC154" i="1"/>
  <c r="DC88" i="1"/>
  <c r="DC43" i="1"/>
  <c r="DC60" i="1"/>
  <c r="DC33" i="1"/>
  <c r="DC27" i="1"/>
  <c r="DC48" i="1"/>
  <c r="DC80" i="1"/>
  <c r="DC63" i="1"/>
  <c r="DC56" i="1"/>
  <c r="DC55" i="1"/>
  <c r="DC121" i="1"/>
  <c r="DC36" i="1"/>
  <c r="DC47" i="1"/>
  <c r="DC26" i="1"/>
  <c r="DC25" i="1"/>
  <c r="DC57" i="1"/>
  <c r="DC71" i="1"/>
  <c r="DC31" i="1"/>
  <c r="DC104" i="1"/>
  <c r="DC66" i="1"/>
  <c r="DC58" i="1"/>
  <c r="DC155" i="1"/>
  <c r="DC51" i="1"/>
  <c r="DC156" i="1"/>
  <c r="DC157" i="1"/>
  <c r="DC39" i="1"/>
  <c r="DC32" i="1"/>
  <c r="DC62" i="1"/>
  <c r="DC34" i="1"/>
  <c r="DC158" i="1"/>
  <c r="DC134" i="1"/>
  <c r="DC50" i="1"/>
  <c r="DC44" i="1"/>
  <c r="DC115" i="1"/>
  <c r="DC93" i="1"/>
  <c r="DC73" i="1"/>
  <c r="DC92" i="1"/>
  <c r="DC67" i="1"/>
  <c r="DC107" i="1"/>
  <c r="DC126" i="1"/>
  <c r="DC72" i="1"/>
  <c r="DC145" i="1"/>
  <c r="DC111" i="1"/>
  <c r="DC135" i="1"/>
  <c r="DC84" i="1"/>
  <c r="DC116" i="1"/>
  <c r="DC159" i="1"/>
  <c r="DC95" i="1"/>
  <c r="DC87" i="1"/>
  <c r="DC160" i="1"/>
  <c r="DC114" i="1"/>
  <c r="DC161" i="1"/>
  <c r="DC30" i="1"/>
  <c r="DC76" i="1"/>
  <c r="DC162" i="1"/>
  <c r="DC163" i="1"/>
  <c r="DC64" i="1"/>
  <c r="DC164" i="1"/>
  <c r="DC125" i="1"/>
  <c r="DC81" i="1"/>
  <c r="DC165" i="1"/>
  <c r="DC151" i="1"/>
  <c r="DC166" i="1"/>
  <c r="DC167" i="1"/>
  <c r="DC127" i="1"/>
  <c r="DC69" i="1"/>
  <c r="DC168" i="1"/>
  <c r="DC89" i="1"/>
  <c r="DC109" i="1"/>
  <c r="DC169" i="1"/>
  <c r="DC170" i="1"/>
  <c r="DC99" i="1"/>
  <c r="DC102" i="1"/>
  <c r="DC149" i="1"/>
  <c r="DC96" i="1"/>
  <c r="DC152" i="1"/>
  <c r="DC171" i="1"/>
  <c r="DC172" i="1"/>
  <c r="DC136" i="1"/>
  <c r="DC137" i="1"/>
  <c r="DC173" i="1"/>
  <c r="DC78" i="1"/>
  <c r="DC130" i="1"/>
  <c r="DC174" i="1"/>
  <c r="DC175" i="1"/>
  <c r="DC133" i="1"/>
  <c r="DC176" i="1"/>
  <c r="DC105" i="1"/>
  <c r="DC68" i="1"/>
  <c r="DC177" i="1"/>
  <c r="DC113" i="1"/>
  <c r="DC131" i="1"/>
  <c r="DC103" i="1"/>
  <c r="DC178" i="1"/>
  <c r="DC79" i="1"/>
  <c r="DC179" i="1"/>
  <c r="DC180" i="1"/>
  <c r="DC53" i="1"/>
  <c r="DC181" i="1"/>
  <c r="DC77" i="1"/>
  <c r="DC146" i="1"/>
  <c r="DC182" i="1"/>
  <c r="DC183" i="1"/>
  <c r="DC184" i="1"/>
  <c r="DC85" i="1"/>
  <c r="DC185" i="1"/>
  <c r="DC132" i="1"/>
  <c r="DC123" i="1"/>
  <c r="DC117" i="1"/>
  <c r="DC75" i="1"/>
  <c r="DC186" i="1"/>
  <c r="DC138" i="1"/>
  <c r="DC187" i="1"/>
  <c r="DC141" i="1"/>
  <c r="DC129" i="1"/>
  <c r="DC188" i="1"/>
  <c r="DC189" i="1"/>
  <c r="DC139" i="1"/>
  <c r="DC90" i="1"/>
  <c r="DC190" i="1"/>
  <c r="DC98" i="1"/>
  <c r="DC191" i="1"/>
  <c r="DC86" i="1"/>
  <c r="DC147" i="1"/>
  <c r="DC140" i="1"/>
  <c r="DC192" i="1"/>
  <c r="DC193" i="1"/>
  <c r="DC194" i="1"/>
  <c r="DC144" i="1"/>
  <c r="DC82" i="1"/>
  <c r="DC195" i="1"/>
  <c r="DC196" i="1"/>
  <c r="DC128" i="1"/>
  <c r="DC110" i="1"/>
  <c r="DC97" i="1"/>
  <c r="DC150" i="1"/>
  <c r="DC197" i="1"/>
  <c r="DC108" i="1"/>
  <c r="DC119" i="1"/>
  <c r="DC122" i="1"/>
  <c r="DC198" i="1"/>
  <c r="DC83" i="1"/>
  <c r="DC112" i="1"/>
  <c r="DC199" i="1"/>
  <c r="DC200" i="1"/>
  <c r="DC201" i="1"/>
  <c r="DC202" i="1"/>
  <c r="DC153" i="1"/>
  <c r="DC142" i="1"/>
  <c r="DC203" i="1"/>
  <c r="DC100" i="1"/>
  <c r="DC204" i="1"/>
  <c r="DC118" i="1"/>
  <c r="DC205" i="1"/>
  <c r="DC124" i="1"/>
  <c r="DC91" i="1"/>
  <c r="DC206" i="1"/>
  <c r="DC207" i="1"/>
  <c r="DC148" i="1"/>
  <c r="DC94" i="1"/>
  <c r="DC208" i="1"/>
  <c r="DC42" i="1"/>
  <c r="DC120" i="1"/>
  <c r="DC101" i="1"/>
  <c r="DC143" i="1"/>
  <c r="DC106" i="1"/>
  <c r="H23" i="2"/>
  <c r="DO212" i="1" l="1"/>
  <c r="DO213" i="1"/>
  <c r="DP212" i="1"/>
  <c r="GB212" i="1"/>
  <c r="DP213" i="1"/>
  <c r="GC212" i="1"/>
  <c r="DB212" i="1"/>
  <c r="GB213" i="1"/>
  <c r="CY213" i="1"/>
  <c r="DB213" i="1"/>
  <c r="CZ213" i="1"/>
  <c r="GC213" i="1"/>
  <c r="DD212" i="1"/>
  <c r="DA212" i="1"/>
  <c r="DA213" i="1"/>
  <c r="DC212" i="1"/>
  <c r="DC213" i="1"/>
  <c r="CZ212" i="1"/>
  <c r="CY212" i="1"/>
  <c r="DD213" i="1"/>
  <c r="H11" i="2"/>
  <c r="H6" i="2"/>
  <c r="Q210" i="1" l="1"/>
  <c r="R210" i="1"/>
  <c r="S210" i="1"/>
  <c r="BF162" i="1"/>
  <c r="BF111" i="1"/>
  <c r="BF43" i="1"/>
  <c r="BF163" i="1"/>
  <c r="BF64" i="1"/>
  <c r="BF164" i="1"/>
  <c r="BF125" i="1"/>
  <c r="BF26" i="1"/>
  <c r="BF62" i="1"/>
  <c r="BF81" i="1"/>
  <c r="BF6" i="1"/>
  <c r="BF23" i="1"/>
  <c r="BF74" i="1"/>
  <c r="BF165" i="1"/>
  <c r="BF65" i="1"/>
  <c r="BF151" i="1"/>
  <c r="BF166" i="1"/>
  <c r="BF121" i="1"/>
  <c r="BF40" i="1"/>
  <c r="BF167" i="1"/>
  <c r="BF127" i="1"/>
  <c r="BF69" i="1"/>
  <c r="BF168" i="1"/>
  <c r="BF89" i="1"/>
  <c r="BF109" i="1"/>
  <c r="BF71" i="1"/>
  <c r="BF10" i="1"/>
  <c r="BF169" i="1"/>
  <c r="BF170" i="1"/>
  <c r="BF35" i="1"/>
  <c r="BF99" i="1"/>
  <c r="BF102" i="1"/>
  <c r="BF149" i="1"/>
  <c r="BF96" i="1"/>
  <c r="BF8" i="1"/>
  <c r="BF159" i="1"/>
  <c r="BF152" i="1"/>
  <c r="BF171" i="1"/>
  <c r="BF172" i="1"/>
  <c r="BF31" i="1"/>
  <c r="BF9" i="1"/>
  <c r="BF34" i="1"/>
  <c r="BF136" i="1"/>
  <c r="BF137" i="1"/>
  <c r="BF173" i="1"/>
  <c r="BF78" i="1"/>
  <c r="BF19" i="1"/>
  <c r="BF46" i="1"/>
  <c r="BF73" i="1"/>
  <c r="BF15" i="1"/>
  <c r="BF49" i="1"/>
  <c r="BF130" i="1"/>
  <c r="BF156" i="1"/>
  <c r="BF58" i="1"/>
  <c r="BF174" i="1"/>
  <c r="BF175" i="1"/>
  <c r="BF55" i="1"/>
  <c r="BF25" i="1"/>
  <c r="BF133" i="1"/>
  <c r="BF176" i="1"/>
  <c r="BF105" i="1"/>
  <c r="BF68" i="1"/>
  <c r="BF177" i="1"/>
  <c r="BF56" i="1"/>
  <c r="BF92" i="1"/>
  <c r="BF14" i="1"/>
  <c r="BF3" i="1"/>
  <c r="BF113" i="1"/>
  <c r="BF131" i="1"/>
  <c r="BF52" i="1"/>
  <c r="BF16" i="1"/>
  <c r="BF103" i="1"/>
  <c r="BF7" i="1"/>
  <c r="BF47" i="1"/>
  <c r="BF135" i="1"/>
  <c r="BF178" i="1"/>
  <c r="BF155" i="1"/>
  <c r="BF79" i="1"/>
  <c r="BF179" i="1"/>
  <c r="BF180" i="1"/>
  <c r="BF53" i="1"/>
  <c r="BF181" i="1"/>
  <c r="BF154" i="1"/>
  <c r="BF37" i="1"/>
  <c r="BF77" i="1"/>
  <c r="BF44" i="1"/>
  <c r="BF60" i="1"/>
  <c r="BF61" i="1"/>
  <c r="BF146" i="1"/>
  <c r="BF22" i="1"/>
  <c r="BF33" i="1"/>
  <c r="BF5" i="1"/>
  <c r="BF95" i="1"/>
  <c r="BF48" i="1"/>
  <c r="BF4" i="1"/>
  <c r="BF67" i="1"/>
  <c r="BF27" i="1"/>
  <c r="BF54" i="1"/>
  <c r="BF182" i="1"/>
  <c r="BF93" i="1"/>
  <c r="BF183" i="1"/>
  <c r="BF158" i="1"/>
  <c r="BF184" i="1"/>
  <c r="BF24" i="1"/>
  <c r="BF85" i="1"/>
  <c r="BF185" i="1"/>
  <c r="BF132" i="1"/>
  <c r="BF123" i="1"/>
  <c r="BF117" i="1"/>
  <c r="BF50" i="1"/>
  <c r="BF75" i="1"/>
  <c r="BF186" i="1"/>
  <c r="BF138" i="1"/>
  <c r="BF187" i="1"/>
  <c r="BF84" i="1"/>
  <c r="BF141" i="1"/>
  <c r="BF129" i="1"/>
  <c r="BF188" i="1"/>
  <c r="BF189" i="1"/>
  <c r="BF139" i="1"/>
  <c r="BF90" i="1"/>
  <c r="BF32" i="1"/>
  <c r="BF190" i="1"/>
  <c r="BF115" i="1"/>
  <c r="BF98" i="1"/>
  <c r="BF107" i="1"/>
  <c r="BF191" i="1"/>
  <c r="BF51" i="1"/>
  <c r="BF86" i="1"/>
  <c r="BF147" i="1"/>
  <c r="BF140" i="1"/>
  <c r="BF192" i="1"/>
  <c r="BF193" i="1"/>
  <c r="BF17" i="1"/>
  <c r="BF28" i="1"/>
  <c r="BF194" i="1"/>
  <c r="BF144" i="1"/>
  <c r="BF82" i="1"/>
  <c r="BF134" i="1"/>
  <c r="BF12" i="1"/>
  <c r="BF195" i="1"/>
  <c r="BF157" i="1"/>
  <c r="BF196" i="1"/>
  <c r="BF128" i="1"/>
  <c r="BF126" i="1"/>
  <c r="BF110" i="1"/>
  <c r="BF97" i="1"/>
  <c r="BF87" i="1"/>
  <c r="BF88" i="1"/>
  <c r="BF13" i="1"/>
  <c r="BF36" i="1"/>
  <c r="BF116" i="1"/>
  <c r="BF160" i="1"/>
  <c r="BF114" i="1"/>
  <c r="BF29" i="1"/>
  <c r="BF72" i="1"/>
  <c r="BF150" i="1"/>
  <c r="BF197" i="1"/>
  <c r="BF104" i="1"/>
  <c r="BF108" i="1"/>
  <c r="BF119" i="1"/>
  <c r="BF122" i="1"/>
  <c r="BF198" i="1"/>
  <c r="BF83" i="1"/>
  <c r="BF112" i="1"/>
  <c r="BF45" i="1"/>
  <c r="BF199" i="1"/>
  <c r="BF200" i="1"/>
  <c r="BF161" i="1"/>
  <c r="BF30" i="1"/>
  <c r="BF38" i="1"/>
  <c r="BF201" i="1"/>
  <c r="BF202" i="1"/>
  <c r="BF80" i="1"/>
  <c r="BF59" i="1"/>
  <c r="BF153" i="1"/>
  <c r="BF11" i="1"/>
  <c r="BF142" i="1"/>
  <c r="BF203" i="1"/>
  <c r="BF100" i="1"/>
  <c r="BF20" i="1"/>
  <c r="BF18" i="1"/>
  <c r="BF204" i="1"/>
  <c r="BF41" i="1"/>
  <c r="BF145" i="1"/>
  <c r="BF118" i="1"/>
  <c r="BF63" i="1"/>
  <c r="BF205" i="1"/>
  <c r="BF124" i="1"/>
  <c r="BF91" i="1"/>
  <c r="BF57" i="1"/>
  <c r="BF39" i="1"/>
  <c r="BF206" i="1"/>
  <c r="BF207" i="1"/>
  <c r="BF66" i="1"/>
  <c r="BF21" i="1"/>
  <c r="BF148" i="1"/>
  <c r="BF2" i="1"/>
  <c r="BF94" i="1"/>
  <c r="BF70" i="1"/>
  <c r="BF208" i="1"/>
  <c r="BF42" i="1"/>
  <c r="BF120" i="1"/>
  <c r="BF101" i="1"/>
  <c r="BF143" i="1"/>
  <c r="BF76" i="1"/>
  <c r="BF106" i="1"/>
  <c r="Z162" i="1"/>
  <c r="Z111" i="1"/>
  <c r="Z43" i="1"/>
  <c r="Z163" i="1"/>
  <c r="Z64" i="1"/>
  <c r="Z164" i="1"/>
  <c r="Z125" i="1"/>
  <c r="Z26" i="1"/>
  <c r="Z62" i="1"/>
  <c r="Z81" i="1"/>
  <c r="Z6" i="1"/>
  <c r="Z23" i="1"/>
  <c r="Z74" i="1"/>
  <c r="Z165" i="1"/>
  <c r="Z65" i="1"/>
  <c r="Z151" i="1"/>
  <c r="Z166" i="1"/>
  <c r="Z121" i="1"/>
  <c r="Z40" i="1"/>
  <c r="Z167" i="1"/>
  <c r="Z127" i="1"/>
  <c r="Z69" i="1"/>
  <c r="Z168" i="1"/>
  <c r="Z89" i="1"/>
  <c r="Z109" i="1"/>
  <c r="Z71" i="1"/>
  <c r="Z10" i="1"/>
  <c r="Z169" i="1"/>
  <c r="Z170" i="1"/>
  <c r="Z35" i="1"/>
  <c r="Z99" i="1"/>
  <c r="Z102" i="1"/>
  <c r="Z149" i="1"/>
  <c r="Z96" i="1"/>
  <c r="Z8" i="1"/>
  <c r="Z159" i="1"/>
  <c r="Z152" i="1"/>
  <c r="Z171" i="1"/>
  <c r="Z172" i="1"/>
  <c r="Z31" i="1"/>
  <c r="Z9" i="1"/>
  <c r="Z34" i="1"/>
  <c r="Z136" i="1"/>
  <c r="Z137" i="1"/>
  <c r="Z173" i="1"/>
  <c r="Z78" i="1"/>
  <c r="Z19" i="1"/>
  <c r="Z46" i="1"/>
  <c r="Z73" i="1"/>
  <c r="Z15" i="1"/>
  <c r="Z49" i="1"/>
  <c r="Z130" i="1"/>
  <c r="Z156" i="1"/>
  <c r="Z58" i="1"/>
  <c r="Z174" i="1"/>
  <c r="Z175" i="1"/>
  <c r="Z55" i="1"/>
  <c r="Z25" i="1"/>
  <c r="Z133" i="1"/>
  <c r="Z176" i="1"/>
  <c r="Z105" i="1"/>
  <c r="Z68" i="1"/>
  <c r="Z177" i="1"/>
  <c r="Z56" i="1"/>
  <c r="Z92" i="1"/>
  <c r="Z14" i="1"/>
  <c r="Z3" i="1"/>
  <c r="Z113" i="1"/>
  <c r="Z131" i="1"/>
  <c r="Z52" i="1"/>
  <c r="Z16" i="1"/>
  <c r="Z103" i="1"/>
  <c r="Z7" i="1"/>
  <c r="Z47" i="1"/>
  <c r="Z135" i="1"/>
  <c r="Z178" i="1"/>
  <c r="Z155" i="1"/>
  <c r="Z79" i="1"/>
  <c r="Z179" i="1"/>
  <c r="Z180" i="1"/>
  <c r="Z53" i="1"/>
  <c r="Z181" i="1"/>
  <c r="Z154" i="1"/>
  <c r="Z37" i="1"/>
  <c r="Z77" i="1"/>
  <c r="Z44" i="1"/>
  <c r="Z60" i="1"/>
  <c r="Z61" i="1"/>
  <c r="Z146" i="1"/>
  <c r="Z22" i="1"/>
  <c r="Z33" i="1"/>
  <c r="Z5" i="1"/>
  <c r="Z95" i="1"/>
  <c r="Z48" i="1"/>
  <c r="Z4" i="1"/>
  <c r="Z67" i="1"/>
  <c r="Z27" i="1"/>
  <c r="Z54" i="1"/>
  <c r="Z182" i="1"/>
  <c r="Z93" i="1"/>
  <c r="Z183" i="1"/>
  <c r="Z158" i="1"/>
  <c r="Z184" i="1"/>
  <c r="Z24" i="1"/>
  <c r="Z85" i="1"/>
  <c r="Z185" i="1"/>
  <c r="Z132" i="1"/>
  <c r="Z123" i="1"/>
  <c r="Z117" i="1"/>
  <c r="Z50" i="1"/>
  <c r="Z75" i="1"/>
  <c r="Z186" i="1"/>
  <c r="Z138" i="1"/>
  <c r="Z187" i="1"/>
  <c r="Z84" i="1"/>
  <c r="Z141" i="1"/>
  <c r="Z129" i="1"/>
  <c r="Z188" i="1"/>
  <c r="Z189" i="1"/>
  <c r="Z139" i="1"/>
  <c r="Z90" i="1"/>
  <c r="Z32" i="1"/>
  <c r="Z190" i="1"/>
  <c r="Z115" i="1"/>
  <c r="Z98" i="1"/>
  <c r="Z107" i="1"/>
  <c r="Z191" i="1"/>
  <c r="Z51" i="1"/>
  <c r="Z86" i="1"/>
  <c r="Z147" i="1"/>
  <c r="Z140" i="1"/>
  <c r="Z192" i="1"/>
  <c r="Z193" i="1"/>
  <c r="Z17" i="1"/>
  <c r="Z28" i="1"/>
  <c r="Z194" i="1"/>
  <c r="Z144" i="1"/>
  <c r="Z82" i="1"/>
  <c r="Z134" i="1"/>
  <c r="Z195" i="1"/>
  <c r="Z157" i="1"/>
  <c r="Z196" i="1"/>
  <c r="Z128" i="1"/>
  <c r="Z126" i="1"/>
  <c r="Z110" i="1"/>
  <c r="Z97" i="1"/>
  <c r="Z87" i="1"/>
  <c r="Z88" i="1"/>
  <c r="Z13" i="1"/>
  <c r="Z36" i="1"/>
  <c r="Z116" i="1"/>
  <c r="Z160" i="1"/>
  <c r="Z114" i="1"/>
  <c r="Z29" i="1"/>
  <c r="Z72" i="1"/>
  <c r="Z150" i="1"/>
  <c r="Z197" i="1"/>
  <c r="Z104" i="1"/>
  <c r="Z108" i="1"/>
  <c r="Z119" i="1"/>
  <c r="Z122" i="1"/>
  <c r="Z198" i="1"/>
  <c r="Z83" i="1"/>
  <c r="Z112" i="1"/>
  <c r="Z45" i="1"/>
  <c r="Z199" i="1"/>
  <c r="Z200" i="1"/>
  <c r="Z161" i="1"/>
  <c r="Z30" i="1"/>
  <c r="Z38" i="1"/>
  <c r="Z201" i="1"/>
  <c r="Z202" i="1"/>
  <c r="Z80" i="1"/>
  <c r="Z59" i="1"/>
  <c r="Z153" i="1"/>
  <c r="Z11" i="1"/>
  <c r="Z142" i="1"/>
  <c r="Z203" i="1"/>
  <c r="Z100" i="1"/>
  <c r="Z20" i="1"/>
  <c r="Z18" i="1"/>
  <c r="Z204" i="1"/>
  <c r="Z41" i="1"/>
  <c r="Z145" i="1"/>
  <c r="Z118" i="1"/>
  <c r="Z63" i="1"/>
  <c r="Z205" i="1"/>
  <c r="Z124" i="1"/>
  <c r="Z91" i="1"/>
  <c r="Z57" i="1"/>
  <c r="Z39" i="1"/>
  <c r="Z206" i="1"/>
  <c r="Z207" i="1"/>
  <c r="Z66" i="1"/>
  <c r="Z21" i="1"/>
  <c r="Z148" i="1"/>
  <c r="Z2" i="1"/>
  <c r="Z94" i="1"/>
  <c r="Z70" i="1"/>
  <c r="Z208" i="1"/>
  <c r="Z42" i="1"/>
  <c r="Z120" i="1"/>
  <c r="Z101" i="1"/>
  <c r="Z143" i="1"/>
  <c r="Z76" i="1"/>
  <c r="Z106" i="1"/>
  <c r="C106" i="1"/>
  <c r="C162" i="1"/>
  <c r="B133" i="148"/>
  <c r="MD2" i="1"/>
  <c r="BE2" i="1"/>
  <c r="H54" i="2"/>
  <c r="PW2" i="1"/>
  <c r="PW3" i="1"/>
  <c r="PW6" i="1"/>
  <c r="PW4" i="1"/>
  <c r="PW9" i="1"/>
  <c r="PW7" i="1"/>
  <c r="PW17" i="1"/>
  <c r="PW5" i="1"/>
  <c r="PW11" i="1"/>
  <c r="PW16" i="1"/>
  <c r="PW8" i="1"/>
  <c r="PW51" i="1"/>
  <c r="PW40" i="1"/>
  <c r="PW49" i="1"/>
  <c r="PW38" i="1"/>
  <c r="PW27" i="1"/>
  <c r="PW107" i="1"/>
  <c r="PW22" i="1"/>
  <c r="PW15" i="1"/>
  <c r="PW80" i="1"/>
  <c r="PW21" i="1"/>
  <c r="PW36" i="1"/>
  <c r="PW18" i="1"/>
  <c r="PW34" i="1"/>
  <c r="PW55" i="1"/>
  <c r="PW66" i="1"/>
  <c r="PW28" i="1"/>
  <c r="PW47" i="1"/>
  <c r="PW59" i="1"/>
  <c r="PW39" i="1"/>
  <c r="PW10" i="1"/>
  <c r="PW23" i="1"/>
  <c r="PW70" i="1"/>
  <c r="PW43" i="1"/>
  <c r="PW13" i="1"/>
  <c r="PW33" i="1"/>
  <c r="PW14" i="1"/>
  <c r="PW26" i="1"/>
  <c r="PW32" i="1"/>
  <c r="PW54" i="1"/>
  <c r="PW65" i="1"/>
  <c r="PW56" i="1"/>
  <c r="PW87" i="1"/>
  <c r="PW20" i="1"/>
  <c r="PW29" i="1"/>
  <c r="PW12" i="1"/>
  <c r="PW30" i="1"/>
  <c r="PW90" i="1"/>
  <c r="PW63" i="1"/>
  <c r="PW105" i="1"/>
  <c r="PW150" i="1"/>
  <c r="PW19" i="1"/>
  <c r="PW118" i="1"/>
  <c r="PW45" i="1"/>
  <c r="PW37" i="1"/>
  <c r="PW52" i="1"/>
  <c r="PW112" i="1"/>
  <c r="PW109" i="1"/>
  <c r="PW148" i="1"/>
  <c r="PW74" i="1"/>
  <c r="PW61" i="1"/>
  <c r="PW41" i="1"/>
  <c r="PW46" i="1"/>
  <c r="PW154" i="1"/>
  <c r="PW94" i="1"/>
  <c r="PW72" i="1"/>
  <c r="PW50" i="1"/>
  <c r="PW114" i="1"/>
  <c r="PW92" i="1"/>
  <c r="PW126" i="1"/>
  <c r="PW145" i="1"/>
  <c r="PW68" i="1"/>
  <c r="PW24" i="1"/>
  <c r="PW179" i="1"/>
  <c r="PW75" i="1"/>
  <c r="PW98" i="1"/>
  <c r="PW42" i="1"/>
  <c r="PW44" i="1"/>
  <c r="PW140" i="1"/>
  <c r="PW88" i="1"/>
  <c r="PW158" i="1"/>
  <c r="PW76" i="1"/>
  <c r="PW168" i="1"/>
  <c r="PW185" i="1"/>
  <c r="PW193" i="1"/>
  <c r="PW106" i="1"/>
  <c r="PW62" i="1"/>
  <c r="PW78" i="1"/>
  <c r="PW164" i="1"/>
  <c r="PW177" i="1"/>
  <c r="PW194" i="1"/>
  <c r="PW97" i="1"/>
  <c r="PW35" i="1"/>
  <c r="PW83" i="1"/>
  <c r="PW157" i="1"/>
  <c r="PW25" i="1"/>
  <c r="PW58" i="1"/>
  <c r="PW160" i="1"/>
  <c r="PW115" i="1"/>
  <c r="PW84" i="1"/>
  <c r="PW99" i="1"/>
  <c r="PW82" i="1"/>
  <c r="PW120" i="1"/>
  <c r="PW60" i="1"/>
  <c r="PW155" i="1"/>
  <c r="PW77" i="1"/>
  <c r="PW116" i="1"/>
  <c r="PW151" i="1"/>
  <c r="PW121" i="1"/>
  <c r="PW48" i="1"/>
  <c r="PW57" i="1"/>
  <c r="PW71" i="1"/>
  <c r="PW31" i="1"/>
  <c r="PW104" i="1"/>
  <c r="PW156" i="1"/>
  <c r="PW134" i="1"/>
  <c r="PW93" i="1"/>
  <c r="PW73" i="1"/>
  <c r="PW67" i="1"/>
  <c r="PW111" i="1"/>
  <c r="PW135" i="1"/>
  <c r="PW159" i="1"/>
  <c r="PW95" i="1"/>
  <c r="PW161" i="1"/>
  <c r="PW162" i="1"/>
  <c r="PW163" i="1"/>
  <c r="PW64" i="1"/>
  <c r="PW125" i="1"/>
  <c r="PW81" i="1"/>
  <c r="PW165" i="1"/>
  <c r="PW166" i="1"/>
  <c r="PW167" i="1"/>
  <c r="PW127" i="1"/>
  <c r="PW69" i="1"/>
  <c r="PW89" i="1"/>
  <c r="PW169" i="1"/>
  <c r="PW170" i="1"/>
  <c r="PW102" i="1"/>
  <c r="PW149" i="1"/>
  <c r="PW96" i="1"/>
  <c r="PW152" i="1"/>
  <c r="PW171" i="1"/>
  <c r="PW172" i="1"/>
  <c r="PW136" i="1"/>
  <c r="PW137" i="1"/>
  <c r="PW173" i="1"/>
  <c r="PW130" i="1"/>
  <c r="PW174" i="1"/>
  <c r="PW175" i="1"/>
  <c r="PW133" i="1"/>
  <c r="PW176" i="1"/>
  <c r="PW113" i="1"/>
  <c r="PW131" i="1"/>
  <c r="PW103" i="1"/>
  <c r="PW178" i="1"/>
  <c r="PW79" i="1"/>
  <c r="PW180" i="1"/>
  <c r="PW53" i="1"/>
  <c r="PW181" i="1"/>
  <c r="PW146" i="1"/>
  <c r="PW182" i="1"/>
  <c r="PW183" i="1"/>
  <c r="PW184" i="1"/>
  <c r="PW85" i="1"/>
  <c r="PW132" i="1"/>
  <c r="PW123" i="1"/>
  <c r="PW117" i="1"/>
  <c r="PW186" i="1"/>
  <c r="PW138" i="1"/>
  <c r="PW187" i="1"/>
  <c r="PW141" i="1"/>
  <c r="PW129" i="1"/>
  <c r="PW188" i="1"/>
  <c r="PW189" i="1"/>
  <c r="PW139" i="1"/>
  <c r="PW190" i="1"/>
  <c r="PW191" i="1"/>
  <c r="PW86" i="1"/>
  <c r="PW147" i="1"/>
  <c r="PW192" i="1"/>
  <c r="PW144" i="1"/>
  <c r="PW195" i="1"/>
  <c r="PW196" i="1"/>
  <c r="PW128" i="1"/>
  <c r="PW110" i="1"/>
  <c r="PW197" i="1"/>
  <c r="PW108" i="1"/>
  <c r="PW119" i="1"/>
  <c r="PW122" i="1"/>
  <c r="PW198" i="1"/>
  <c r="PW199" i="1"/>
  <c r="PW200" i="1"/>
  <c r="PW201" i="1"/>
  <c r="PW202" i="1"/>
  <c r="PW153" i="1"/>
  <c r="PW142" i="1"/>
  <c r="PW203" i="1"/>
  <c r="PW100" i="1"/>
  <c r="PW204" i="1"/>
  <c r="PW205" i="1"/>
  <c r="PW124" i="1"/>
  <c r="PW91" i="1"/>
  <c r="PW206" i="1"/>
  <c r="PW207" i="1"/>
  <c r="PW208" i="1"/>
  <c r="PW101" i="1"/>
  <c r="PW143" i="1"/>
  <c r="PX2" i="1"/>
  <c r="PX3" i="1"/>
  <c r="PX6" i="1"/>
  <c r="PX4" i="1"/>
  <c r="PX9" i="1"/>
  <c r="PX7" i="1"/>
  <c r="PX17" i="1"/>
  <c r="PX5" i="1"/>
  <c r="PX11" i="1"/>
  <c r="PX16" i="1"/>
  <c r="PX8" i="1"/>
  <c r="PX51" i="1"/>
  <c r="PX40" i="1"/>
  <c r="PX49" i="1"/>
  <c r="PX38" i="1"/>
  <c r="PX27" i="1"/>
  <c r="PX107" i="1"/>
  <c r="PX22" i="1"/>
  <c r="PX15" i="1"/>
  <c r="PX80" i="1"/>
  <c r="PX21" i="1"/>
  <c r="PX36" i="1"/>
  <c r="PX18" i="1"/>
  <c r="PX34" i="1"/>
  <c r="PX55" i="1"/>
  <c r="PX66" i="1"/>
  <c r="PX28" i="1"/>
  <c r="PX47" i="1"/>
  <c r="PX59" i="1"/>
  <c r="PX39" i="1"/>
  <c r="PX10" i="1"/>
  <c r="PX23" i="1"/>
  <c r="PX70" i="1"/>
  <c r="PX43" i="1"/>
  <c r="PX13" i="1"/>
  <c r="PX33" i="1"/>
  <c r="PX14" i="1"/>
  <c r="PX26" i="1"/>
  <c r="PX32" i="1"/>
  <c r="PX54" i="1"/>
  <c r="PX65" i="1"/>
  <c r="PX56" i="1"/>
  <c r="PX87" i="1"/>
  <c r="PX20" i="1"/>
  <c r="PX29" i="1"/>
  <c r="PX12" i="1"/>
  <c r="PX30" i="1"/>
  <c r="PX90" i="1"/>
  <c r="PX63" i="1"/>
  <c r="PX105" i="1"/>
  <c r="PX150" i="1"/>
  <c r="PX19" i="1"/>
  <c r="PX118" i="1"/>
  <c r="PX45" i="1"/>
  <c r="PX37" i="1"/>
  <c r="PX52" i="1"/>
  <c r="PX112" i="1"/>
  <c r="PX109" i="1"/>
  <c r="PX148" i="1"/>
  <c r="PX74" i="1"/>
  <c r="PX61" i="1"/>
  <c r="PX41" i="1"/>
  <c r="PX46" i="1"/>
  <c r="PX154" i="1"/>
  <c r="PX94" i="1"/>
  <c r="PX72" i="1"/>
  <c r="PX50" i="1"/>
  <c r="PX114" i="1"/>
  <c r="PX92" i="1"/>
  <c r="PX126" i="1"/>
  <c r="PX145" i="1"/>
  <c r="PX68" i="1"/>
  <c r="PX24" i="1"/>
  <c r="PX179" i="1"/>
  <c r="PX75" i="1"/>
  <c r="PX98" i="1"/>
  <c r="PX42" i="1"/>
  <c r="PX44" i="1"/>
  <c r="PX140" i="1"/>
  <c r="PX88" i="1"/>
  <c r="PX158" i="1"/>
  <c r="PX76" i="1"/>
  <c r="PX168" i="1"/>
  <c r="PX185" i="1"/>
  <c r="PX193" i="1"/>
  <c r="PX106" i="1"/>
  <c r="PX62" i="1"/>
  <c r="PX78" i="1"/>
  <c r="PX164" i="1"/>
  <c r="PX177" i="1"/>
  <c r="PX194" i="1"/>
  <c r="PX97" i="1"/>
  <c r="PX35" i="1"/>
  <c r="PX83" i="1"/>
  <c r="PX157" i="1"/>
  <c r="PX25" i="1"/>
  <c r="PX58" i="1"/>
  <c r="PX160" i="1"/>
  <c r="PX115" i="1"/>
  <c r="PX84" i="1"/>
  <c r="PX99" i="1"/>
  <c r="PX82" i="1"/>
  <c r="PX120" i="1"/>
  <c r="PX60" i="1"/>
  <c r="PX155" i="1"/>
  <c r="PX77" i="1"/>
  <c r="PX116" i="1"/>
  <c r="PX151" i="1"/>
  <c r="PX121" i="1"/>
  <c r="PX48" i="1"/>
  <c r="PX57" i="1"/>
  <c r="PX71" i="1"/>
  <c r="PX31" i="1"/>
  <c r="PX104" i="1"/>
  <c r="PX156" i="1"/>
  <c r="PX134" i="1"/>
  <c r="PX93" i="1"/>
  <c r="PX73" i="1"/>
  <c r="PX67" i="1"/>
  <c r="PX111" i="1"/>
  <c r="PX135" i="1"/>
  <c r="PX159" i="1"/>
  <c r="PX95" i="1"/>
  <c r="PX161" i="1"/>
  <c r="PX162" i="1"/>
  <c r="PX163" i="1"/>
  <c r="PX64" i="1"/>
  <c r="PX125" i="1"/>
  <c r="PX81" i="1"/>
  <c r="PX165" i="1"/>
  <c r="PX166" i="1"/>
  <c r="PX167" i="1"/>
  <c r="PX127" i="1"/>
  <c r="PX69" i="1"/>
  <c r="PX89" i="1"/>
  <c r="PX169" i="1"/>
  <c r="PX170" i="1"/>
  <c r="PX102" i="1"/>
  <c r="PX149" i="1"/>
  <c r="PX96" i="1"/>
  <c r="PX152" i="1"/>
  <c r="PX171" i="1"/>
  <c r="PX172" i="1"/>
  <c r="PX136" i="1"/>
  <c r="PX137" i="1"/>
  <c r="PX173" i="1"/>
  <c r="PX130" i="1"/>
  <c r="PX174" i="1"/>
  <c r="PX175" i="1"/>
  <c r="PX133" i="1"/>
  <c r="PX176" i="1"/>
  <c r="PX113" i="1"/>
  <c r="PX131" i="1"/>
  <c r="PX103" i="1"/>
  <c r="PX178" i="1"/>
  <c r="PX79" i="1"/>
  <c r="PX180" i="1"/>
  <c r="PX53" i="1"/>
  <c r="PX181" i="1"/>
  <c r="PX146" i="1"/>
  <c r="PX182" i="1"/>
  <c r="PX183" i="1"/>
  <c r="PX184" i="1"/>
  <c r="PX85" i="1"/>
  <c r="PX132" i="1"/>
  <c r="PX123" i="1"/>
  <c r="PX117" i="1"/>
  <c r="PX186" i="1"/>
  <c r="PX138" i="1"/>
  <c r="PX187" i="1"/>
  <c r="PX141" i="1"/>
  <c r="PX129" i="1"/>
  <c r="PX188" i="1"/>
  <c r="PX189" i="1"/>
  <c r="PX139" i="1"/>
  <c r="PX190" i="1"/>
  <c r="PX191" i="1"/>
  <c r="PX86" i="1"/>
  <c r="PX147" i="1"/>
  <c r="PX192" i="1"/>
  <c r="PX144" i="1"/>
  <c r="PX195" i="1"/>
  <c r="PX196" i="1"/>
  <c r="PX128" i="1"/>
  <c r="PX110" i="1"/>
  <c r="PX197" i="1"/>
  <c r="PX108" i="1"/>
  <c r="PX119" i="1"/>
  <c r="PX122" i="1"/>
  <c r="PX198" i="1"/>
  <c r="PX199" i="1"/>
  <c r="PX200" i="1"/>
  <c r="PX201" i="1"/>
  <c r="PX202" i="1"/>
  <c r="PX153" i="1"/>
  <c r="PX142" i="1"/>
  <c r="PX203" i="1"/>
  <c r="PX100" i="1"/>
  <c r="PX204" i="1"/>
  <c r="PX205" i="1"/>
  <c r="PX124" i="1"/>
  <c r="PX91" i="1"/>
  <c r="PX206" i="1"/>
  <c r="PX207" i="1"/>
  <c r="PX208" i="1"/>
  <c r="PX101" i="1"/>
  <c r="PX143" i="1"/>
  <c r="PY2" i="1"/>
  <c r="PY3" i="1"/>
  <c r="PY6" i="1"/>
  <c r="PY4" i="1"/>
  <c r="PY9" i="1"/>
  <c r="PY7" i="1"/>
  <c r="PY17" i="1"/>
  <c r="PY5" i="1"/>
  <c r="PY11" i="1"/>
  <c r="PY16" i="1"/>
  <c r="PY8" i="1"/>
  <c r="PY51" i="1"/>
  <c r="PY40" i="1"/>
  <c r="PY49" i="1"/>
  <c r="PY38" i="1"/>
  <c r="PY27" i="1"/>
  <c r="PY107" i="1"/>
  <c r="PY22" i="1"/>
  <c r="PY15" i="1"/>
  <c r="PY80" i="1"/>
  <c r="PY21" i="1"/>
  <c r="PY36" i="1"/>
  <c r="PY18" i="1"/>
  <c r="PY34" i="1"/>
  <c r="PY55" i="1"/>
  <c r="PY66" i="1"/>
  <c r="PY28" i="1"/>
  <c r="PY47" i="1"/>
  <c r="PY59" i="1"/>
  <c r="PY39" i="1"/>
  <c r="PY10" i="1"/>
  <c r="PY23" i="1"/>
  <c r="PY70" i="1"/>
  <c r="PY43" i="1"/>
  <c r="PY13" i="1"/>
  <c r="PY33" i="1"/>
  <c r="PY14" i="1"/>
  <c r="PY26" i="1"/>
  <c r="PY32" i="1"/>
  <c r="PY54" i="1"/>
  <c r="PY65" i="1"/>
  <c r="PY56" i="1"/>
  <c r="PY87" i="1"/>
  <c r="PY20" i="1"/>
  <c r="PY29" i="1"/>
  <c r="PY12" i="1"/>
  <c r="PY30" i="1"/>
  <c r="PY90" i="1"/>
  <c r="PY63" i="1"/>
  <c r="PY105" i="1"/>
  <c r="PY150" i="1"/>
  <c r="PY19" i="1"/>
  <c r="PY118" i="1"/>
  <c r="PY45" i="1"/>
  <c r="PY37" i="1"/>
  <c r="PY52" i="1"/>
  <c r="PY112" i="1"/>
  <c r="PY109" i="1"/>
  <c r="PY148" i="1"/>
  <c r="PY74" i="1"/>
  <c r="PY61" i="1"/>
  <c r="PY41" i="1"/>
  <c r="PY46" i="1"/>
  <c r="PY154" i="1"/>
  <c r="PY94" i="1"/>
  <c r="PY72" i="1"/>
  <c r="PY50" i="1"/>
  <c r="PY114" i="1"/>
  <c r="PY92" i="1"/>
  <c r="PY126" i="1"/>
  <c r="PY145" i="1"/>
  <c r="PY68" i="1"/>
  <c r="PY24" i="1"/>
  <c r="PY179" i="1"/>
  <c r="PY75" i="1"/>
  <c r="PY98" i="1"/>
  <c r="PY42" i="1"/>
  <c r="PY44" i="1"/>
  <c r="PY140" i="1"/>
  <c r="PY88" i="1"/>
  <c r="PY158" i="1"/>
  <c r="PY76" i="1"/>
  <c r="PY168" i="1"/>
  <c r="PY185" i="1"/>
  <c r="PY193" i="1"/>
  <c r="PY106" i="1"/>
  <c r="PY62" i="1"/>
  <c r="PY78" i="1"/>
  <c r="PY164" i="1"/>
  <c r="PY177" i="1"/>
  <c r="PY194" i="1"/>
  <c r="PY97" i="1"/>
  <c r="PY35" i="1"/>
  <c r="PY83" i="1"/>
  <c r="PY157" i="1"/>
  <c r="PY25" i="1"/>
  <c r="PY58" i="1"/>
  <c r="PY160" i="1"/>
  <c r="PY115" i="1"/>
  <c r="PY84" i="1"/>
  <c r="PY99" i="1"/>
  <c r="PY82" i="1"/>
  <c r="PY120" i="1"/>
  <c r="PY60" i="1"/>
  <c r="PY155" i="1"/>
  <c r="PY77" i="1"/>
  <c r="PY116" i="1"/>
  <c r="PY151" i="1"/>
  <c r="PY121" i="1"/>
  <c r="PY48" i="1"/>
  <c r="PY57" i="1"/>
  <c r="PY71" i="1"/>
  <c r="PY31" i="1"/>
  <c r="PY104" i="1"/>
  <c r="PY156" i="1"/>
  <c r="PY134" i="1"/>
  <c r="PY93" i="1"/>
  <c r="PY73" i="1"/>
  <c r="PY67" i="1"/>
  <c r="PY111" i="1"/>
  <c r="PY135" i="1"/>
  <c r="PY159" i="1"/>
  <c r="PY95" i="1"/>
  <c r="PY161" i="1"/>
  <c r="PY162" i="1"/>
  <c r="PY163" i="1"/>
  <c r="PY64" i="1"/>
  <c r="PY125" i="1"/>
  <c r="PY81" i="1"/>
  <c r="PY165" i="1"/>
  <c r="PY166" i="1"/>
  <c r="PY167" i="1"/>
  <c r="PY127" i="1"/>
  <c r="PY69" i="1"/>
  <c r="PY89" i="1"/>
  <c r="PY169" i="1"/>
  <c r="PY170" i="1"/>
  <c r="PY102" i="1"/>
  <c r="PY149" i="1"/>
  <c r="PY96" i="1"/>
  <c r="PY152" i="1"/>
  <c r="PY171" i="1"/>
  <c r="PY172" i="1"/>
  <c r="PY136" i="1"/>
  <c r="PY137" i="1"/>
  <c r="PY173" i="1"/>
  <c r="PY130" i="1"/>
  <c r="PY174" i="1"/>
  <c r="PY175" i="1"/>
  <c r="PY133" i="1"/>
  <c r="PY176" i="1"/>
  <c r="PY113" i="1"/>
  <c r="PY131" i="1"/>
  <c r="PY103" i="1"/>
  <c r="PY178" i="1"/>
  <c r="PY79" i="1"/>
  <c r="PY180" i="1"/>
  <c r="PY53" i="1"/>
  <c r="PY181" i="1"/>
  <c r="PY146" i="1"/>
  <c r="PY182" i="1"/>
  <c r="PY183" i="1"/>
  <c r="PY184" i="1"/>
  <c r="PY85" i="1"/>
  <c r="PY132" i="1"/>
  <c r="PY123" i="1"/>
  <c r="PY117" i="1"/>
  <c r="PY186" i="1"/>
  <c r="PY138" i="1"/>
  <c r="PY187" i="1"/>
  <c r="PY141" i="1"/>
  <c r="PY129" i="1"/>
  <c r="PY188" i="1"/>
  <c r="PY189" i="1"/>
  <c r="PY139" i="1"/>
  <c r="PY190" i="1"/>
  <c r="PY191" i="1"/>
  <c r="PY86" i="1"/>
  <c r="PY147" i="1"/>
  <c r="PY192" i="1"/>
  <c r="PY144" i="1"/>
  <c r="PY195" i="1"/>
  <c r="PY196" i="1"/>
  <c r="PY128" i="1"/>
  <c r="PY110" i="1"/>
  <c r="PY197" i="1"/>
  <c r="PY108" i="1"/>
  <c r="PY119" i="1"/>
  <c r="PY122" i="1"/>
  <c r="PY198" i="1"/>
  <c r="PY199" i="1"/>
  <c r="PY200" i="1"/>
  <c r="PY201" i="1"/>
  <c r="PY202" i="1"/>
  <c r="PY153" i="1"/>
  <c r="PY142" i="1"/>
  <c r="PY203" i="1"/>
  <c r="PY100" i="1"/>
  <c r="PY204" i="1"/>
  <c r="PY205" i="1"/>
  <c r="PY124" i="1"/>
  <c r="PY91" i="1"/>
  <c r="PY206" i="1"/>
  <c r="PY207" i="1"/>
  <c r="PY208" i="1"/>
  <c r="PY101" i="1"/>
  <c r="PY143" i="1"/>
  <c r="PZ2" i="1"/>
  <c r="PS2" i="1"/>
  <c r="PS3" i="1"/>
  <c r="PS6" i="1"/>
  <c r="PS4" i="1"/>
  <c r="PS9" i="1"/>
  <c r="PS7" i="1"/>
  <c r="PS17" i="1"/>
  <c r="PS5" i="1"/>
  <c r="PS11" i="1"/>
  <c r="PS16" i="1"/>
  <c r="PS8" i="1"/>
  <c r="PS51" i="1"/>
  <c r="PS40" i="1"/>
  <c r="PS49" i="1"/>
  <c r="PS38" i="1"/>
  <c r="PS27" i="1"/>
  <c r="PS107" i="1"/>
  <c r="PS22" i="1"/>
  <c r="PS15" i="1"/>
  <c r="PS80" i="1"/>
  <c r="PS21" i="1"/>
  <c r="PS36" i="1"/>
  <c r="PS18" i="1"/>
  <c r="PS34" i="1"/>
  <c r="PS55" i="1"/>
  <c r="PS66" i="1"/>
  <c r="PS28" i="1"/>
  <c r="PS47" i="1"/>
  <c r="PS59" i="1"/>
  <c r="PS39" i="1"/>
  <c r="PS10" i="1"/>
  <c r="PS23" i="1"/>
  <c r="PS70" i="1"/>
  <c r="PS43" i="1"/>
  <c r="PS13" i="1"/>
  <c r="PS33" i="1"/>
  <c r="PS14" i="1"/>
  <c r="PS26" i="1"/>
  <c r="PS32" i="1"/>
  <c r="PS54" i="1"/>
  <c r="PS65" i="1"/>
  <c r="PS56" i="1"/>
  <c r="PS87" i="1"/>
  <c r="PS20" i="1"/>
  <c r="PS29" i="1"/>
  <c r="PS12" i="1"/>
  <c r="PS30" i="1"/>
  <c r="PS90" i="1"/>
  <c r="PS63" i="1"/>
  <c r="PS105" i="1"/>
  <c r="PS150" i="1"/>
  <c r="PS19" i="1"/>
  <c r="PS118" i="1"/>
  <c r="PS45" i="1"/>
  <c r="PS37" i="1"/>
  <c r="PS52" i="1"/>
  <c r="PS112" i="1"/>
  <c r="PS109" i="1"/>
  <c r="PS148" i="1"/>
  <c r="PS74" i="1"/>
  <c r="PS61" i="1"/>
  <c r="PS41" i="1"/>
  <c r="PS46" i="1"/>
  <c r="PS154" i="1"/>
  <c r="PS94" i="1"/>
  <c r="PS72" i="1"/>
  <c r="PS50" i="1"/>
  <c r="PS114" i="1"/>
  <c r="PS92" i="1"/>
  <c r="PS126" i="1"/>
  <c r="PS145" i="1"/>
  <c r="PS68" i="1"/>
  <c r="PS24" i="1"/>
  <c r="PS179" i="1"/>
  <c r="PS75" i="1"/>
  <c r="PS98" i="1"/>
  <c r="PS42" i="1"/>
  <c r="PS44" i="1"/>
  <c r="PS140" i="1"/>
  <c r="PS88" i="1"/>
  <c r="PS158" i="1"/>
  <c r="PS76" i="1"/>
  <c r="PS168" i="1"/>
  <c r="PS185" i="1"/>
  <c r="PS193" i="1"/>
  <c r="PS106" i="1"/>
  <c r="PS62" i="1"/>
  <c r="PS78" i="1"/>
  <c r="PS164" i="1"/>
  <c r="PS177" i="1"/>
  <c r="PS194" i="1"/>
  <c r="PS97" i="1"/>
  <c r="PS35" i="1"/>
  <c r="PS83" i="1"/>
  <c r="PS157" i="1"/>
  <c r="PS25" i="1"/>
  <c r="PS58" i="1"/>
  <c r="PS160" i="1"/>
  <c r="PS115" i="1"/>
  <c r="PS84" i="1"/>
  <c r="PS99" i="1"/>
  <c r="PS82" i="1"/>
  <c r="PS120" i="1"/>
  <c r="PS60" i="1"/>
  <c r="PS155" i="1"/>
  <c r="PS77" i="1"/>
  <c r="PS116" i="1"/>
  <c r="PS151" i="1"/>
  <c r="PS121" i="1"/>
  <c r="PS48" i="1"/>
  <c r="PS57" i="1"/>
  <c r="PS71" i="1"/>
  <c r="PS31" i="1"/>
  <c r="PS104" i="1"/>
  <c r="PS156" i="1"/>
  <c r="PS134" i="1"/>
  <c r="PS93" i="1"/>
  <c r="PS73" i="1"/>
  <c r="PS67" i="1"/>
  <c r="PS111" i="1"/>
  <c r="PS135" i="1"/>
  <c r="PS159" i="1"/>
  <c r="PS95" i="1"/>
  <c r="PS161" i="1"/>
  <c r="PS162" i="1"/>
  <c r="PS163" i="1"/>
  <c r="PS64" i="1"/>
  <c r="PS125" i="1"/>
  <c r="PS81" i="1"/>
  <c r="PS165" i="1"/>
  <c r="PS166" i="1"/>
  <c r="PS167" i="1"/>
  <c r="PS127" i="1"/>
  <c r="PS69" i="1"/>
  <c r="PS89" i="1"/>
  <c r="PS169" i="1"/>
  <c r="PS170" i="1"/>
  <c r="PS102" i="1"/>
  <c r="PS149" i="1"/>
  <c r="PS96" i="1"/>
  <c r="PS152" i="1"/>
  <c r="PS171" i="1"/>
  <c r="PS172" i="1"/>
  <c r="PS136" i="1"/>
  <c r="PS137" i="1"/>
  <c r="PS173" i="1"/>
  <c r="PS130" i="1"/>
  <c r="PS174" i="1"/>
  <c r="PS175" i="1"/>
  <c r="PS133" i="1"/>
  <c r="PS176" i="1"/>
  <c r="PS113" i="1"/>
  <c r="PS131" i="1"/>
  <c r="PS103" i="1"/>
  <c r="PS178" i="1"/>
  <c r="PS79" i="1"/>
  <c r="PS180" i="1"/>
  <c r="PS53" i="1"/>
  <c r="PS181" i="1"/>
  <c r="PS146" i="1"/>
  <c r="PS182" i="1"/>
  <c r="PS183" i="1"/>
  <c r="PS184" i="1"/>
  <c r="PS85" i="1"/>
  <c r="PS132" i="1"/>
  <c r="PS123" i="1"/>
  <c r="PS117" i="1"/>
  <c r="PS186" i="1"/>
  <c r="PS138" i="1"/>
  <c r="PS187" i="1"/>
  <c r="PS141" i="1"/>
  <c r="PS129" i="1"/>
  <c r="PS188" i="1"/>
  <c r="PS189" i="1"/>
  <c r="PS139" i="1"/>
  <c r="PS190" i="1"/>
  <c r="PS191" i="1"/>
  <c r="PS86" i="1"/>
  <c r="PS147" i="1"/>
  <c r="PS192" i="1"/>
  <c r="PS144" i="1"/>
  <c r="PS195" i="1"/>
  <c r="PS196" i="1"/>
  <c r="PS128" i="1"/>
  <c r="PS110" i="1"/>
  <c r="PS197" i="1"/>
  <c r="PS108" i="1"/>
  <c r="PS119" i="1"/>
  <c r="PS122" i="1"/>
  <c r="PS198" i="1"/>
  <c r="PS199" i="1"/>
  <c r="PS200" i="1"/>
  <c r="PS201" i="1"/>
  <c r="PS202" i="1"/>
  <c r="PS153" i="1"/>
  <c r="PS142" i="1"/>
  <c r="PS203" i="1"/>
  <c r="PS100" i="1"/>
  <c r="PS204" i="1"/>
  <c r="PS205" i="1"/>
  <c r="PS124" i="1"/>
  <c r="PS91" i="1"/>
  <c r="PS206" i="1"/>
  <c r="PS207" i="1"/>
  <c r="PS208" i="1"/>
  <c r="PS101" i="1"/>
  <c r="PS143" i="1"/>
  <c r="PT2" i="1"/>
  <c r="PR2" i="1"/>
  <c r="OZ2" i="1"/>
  <c r="OZ3" i="1"/>
  <c r="OZ6" i="1"/>
  <c r="OZ4" i="1"/>
  <c r="OZ9" i="1"/>
  <c r="OZ7" i="1"/>
  <c r="OZ17" i="1"/>
  <c r="OZ5" i="1"/>
  <c r="OZ11" i="1"/>
  <c r="OZ16" i="1"/>
  <c r="OZ8" i="1"/>
  <c r="OZ51" i="1"/>
  <c r="OZ40" i="1"/>
  <c r="OZ49" i="1"/>
  <c r="OZ38" i="1"/>
  <c r="OZ27" i="1"/>
  <c r="OZ107" i="1"/>
  <c r="OZ22" i="1"/>
  <c r="OZ15" i="1"/>
  <c r="OZ80" i="1"/>
  <c r="OZ21" i="1"/>
  <c r="OZ36" i="1"/>
  <c r="OZ18" i="1"/>
  <c r="OZ34" i="1"/>
  <c r="OZ55" i="1"/>
  <c r="OZ66" i="1"/>
  <c r="OZ28" i="1"/>
  <c r="OZ47" i="1"/>
  <c r="OZ59" i="1"/>
  <c r="OZ39" i="1"/>
  <c r="OZ10" i="1"/>
  <c r="OZ23" i="1"/>
  <c r="OZ70" i="1"/>
  <c r="OZ43" i="1"/>
  <c r="OZ13" i="1"/>
  <c r="OZ33" i="1"/>
  <c r="OZ14" i="1"/>
  <c r="OZ26" i="1"/>
  <c r="OZ32" i="1"/>
  <c r="OZ54" i="1"/>
  <c r="OZ65" i="1"/>
  <c r="OZ56" i="1"/>
  <c r="OZ87" i="1"/>
  <c r="OZ20" i="1"/>
  <c r="OZ29" i="1"/>
  <c r="OZ12" i="1"/>
  <c r="OZ30" i="1"/>
  <c r="OZ90" i="1"/>
  <c r="OZ63" i="1"/>
  <c r="OZ105" i="1"/>
  <c r="OZ150" i="1"/>
  <c r="OZ19" i="1"/>
  <c r="OZ118" i="1"/>
  <c r="OZ45" i="1"/>
  <c r="OZ37" i="1"/>
  <c r="OZ52" i="1"/>
  <c r="OZ112" i="1"/>
  <c r="OZ109" i="1"/>
  <c r="OZ148" i="1"/>
  <c r="OZ74" i="1"/>
  <c r="OZ61" i="1"/>
  <c r="OZ41" i="1"/>
  <c r="OZ46" i="1"/>
  <c r="OZ154" i="1"/>
  <c r="OZ94" i="1"/>
  <c r="OZ72" i="1"/>
  <c r="OZ50" i="1"/>
  <c r="OZ114" i="1"/>
  <c r="OZ92" i="1"/>
  <c r="OZ126" i="1"/>
  <c r="OZ145" i="1"/>
  <c r="OZ68" i="1"/>
  <c r="OZ24" i="1"/>
  <c r="OZ179" i="1"/>
  <c r="OZ75" i="1"/>
  <c r="OZ98" i="1"/>
  <c r="OZ42" i="1"/>
  <c r="OZ44" i="1"/>
  <c r="OZ140" i="1"/>
  <c r="OZ88" i="1"/>
  <c r="OZ158" i="1"/>
  <c r="OZ76" i="1"/>
  <c r="OZ168" i="1"/>
  <c r="OZ185" i="1"/>
  <c r="OZ193" i="1"/>
  <c r="OZ106" i="1"/>
  <c r="OZ62" i="1"/>
  <c r="OZ78" i="1"/>
  <c r="OZ164" i="1"/>
  <c r="OZ177" i="1"/>
  <c r="OZ194" i="1"/>
  <c r="OZ97" i="1"/>
  <c r="OZ35" i="1"/>
  <c r="OZ83" i="1"/>
  <c r="OZ157" i="1"/>
  <c r="OZ25" i="1"/>
  <c r="OZ58" i="1"/>
  <c r="OZ160" i="1"/>
  <c r="OZ115" i="1"/>
  <c r="OZ84" i="1"/>
  <c r="OZ99" i="1"/>
  <c r="OZ82" i="1"/>
  <c r="OZ120" i="1"/>
  <c r="OZ60" i="1"/>
  <c r="OZ155" i="1"/>
  <c r="OZ77" i="1"/>
  <c r="OZ116" i="1"/>
  <c r="OZ151" i="1"/>
  <c r="OZ121" i="1"/>
  <c r="OZ48" i="1"/>
  <c r="OZ57" i="1"/>
  <c r="OZ71" i="1"/>
  <c r="OZ31" i="1"/>
  <c r="OZ104" i="1"/>
  <c r="OZ156" i="1"/>
  <c r="OZ134" i="1"/>
  <c r="OZ93" i="1"/>
  <c r="OZ73" i="1"/>
  <c r="OZ67" i="1"/>
  <c r="OZ111" i="1"/>
  <c r="OZ135" i="1"/>
  <c r="OZ159" i="1"/>
  <c r="OZ95" i="1"/>
  <c r="OZ161" i="1"/>
  <c r="OZ162" i="1"/>
  <c r="OZ163" i="1"/>
  <c r="OZ64" i="1"/>
  <c r="OZ125" i="1"/>
  <c r="OZ81" i="1"/>
  <c r="OZ165" i="1"/>
  <c r="OZ166" i="1"/>
  <c r="OZ167" i="1"/>
  <c r="OZ127" i="1"/>
  <c r="OZ69" i="1"/>
  <c r="OZ89" i="1"/>
  <c r="OZ169" i="1"/>
  <c r="OZ170" i="1"/>
  <c r="OZ102" i="1"/>
  <c r="OZ149" i="1"/>
  <c r="OZ96" i="1"/>
  <c r="OZ152" i="1"/>
  <c r="OZ171" i="1"/>
  <c r="OZ172" i="1"/>
  <c r="OZ136" i="1"/>
  <c r="OZ137" i="1"/>
  <c r="OZ173" i="1"/>
  <c r="OZ130" i="1"/>
  <c r="OZ174" i="1"/>
  <c r="OZ175" i="1"/>
  <c r="OZ133" i="1"/>
  <c r="OZ176" i="1"/>
  <c r="OZ113" i="1"/>
  <c r="OZ131" i="1"/>
  <c r="OZ103" i="1"/>
  <c r="OZ178" i="1"/>
  <c r="OZ79" i="1"/>
  <c r="OZ180" i="1"/>
  <c r="OZ53" i="1"/>
  <c r="OZ181" i="1"/>
  <c r="OZ146" i="1"/>
  <c r="OZ182" i="1"/>
  <c r="OZ183" i="1"/>
  <c r="OZ184" i="1"/>
  <c r="OZ85" i="1"/>
  <c r="OZ132" i="1"/>
  <c r="OZ123" i="1"/>
  <c r="OZ117" i="1"/>
  <c r="OZ186" i="1"/>
  <c r="OZ138" i="1"/>
  <c r="OZ187" i="1"/>
  <c r="OZ141" i="1"/>
  <c r="OZ129" i="1"/>
  <c r="OZ188" i="1"/>
  <c r="OZ189" i="1"/>
  <c r="OZ139" i="1"/>
  <c r="OZ190" i="1"/>
  <c r="OZ191" i="1"/>
  <c r="OZ86" i="1"/>
  <c r="OZ147" i="1"/>
  <c r="OZ192" i="1"/>
  <c r="OZ144" i="1"/>
  <c r="OZ195" i="1"/>
  <c r="OZ196" i="1"/>
  <c r="OZ128" i="1"/>
  <c r="OZ110" i="1"/>
  <c r="OZ197" i="1"/>
  <c r="OZ108" i="1"/>
  <c r="OZ119" i="1"/>
  <c r="OZ122" i="1"/>
  <c r="OZ198" i="1"/>
  <c r="OZ199" i="1"/>
  <c r="OZ200" i="1"/>
  <c r="OZ201" i="1"/>
  <c r="OZ202" i="1"/>
  <c r="OZ153" i="1"/>
  <c r="OZ142" i="1"/>
  <c r="OZ203" i="1"/>
  <c r="OZ100" i="1"/>
  <c r="OZ204" i="1"/>
  <c r="OZ205" i="1"/>
  <c r="OZ124" i="1"/>
  <c r="OZ91" i="1"/>
  <c r="OZ206" i="1"/>
  <c r="OZ207" i="1"/>
  <c r="OZ208" i="1"/>
  <c r="OZ101" i="1"/>
  <c r="OZ143" i="1"/>
  <c r="OY2" i="1"/>
  <c r="PP3" i="1"/>
  <c r="PP2" i="1"/>
  <c r="PP17" i="1"/>
  <c r="PP6" i="1"/>
  <c r="PP4" i="1"/>
  <c r="PP9" i="1"/>
  <c r="PP7" i="1"/>
  <c r="PP5" i="1"/>
  <c r="PP16" i="1"/>
  <c r="PP11" i="1"/>
  <c r="PP51" i="1"/>
  <c r="PP40" i="1"/>
  <c r="PP38" i="1"/>
  <c r="PP27" i="1"/>
  <c r="PP107" i="1"/>
  <c r="PP49" i="1"/>
  <c r="PP21" i="1"/>
  <c r="PP8" i="1"/>
  <c r="PP36" i="1"/>
  <c r="PP22" i="1"/>
  <c r="PP15" i="1"/>
  <c r="PP18" i="1"/>
  <c r="PP34" i="1"/>
  <c r="PP80" i="1"/>
  <c r="PP55" i="1"/>
  <c r="PP66" i="1"/>
  <c r="PP59" i="1"/>
  <c r="PP28" i="1"/>
  <c r="PP39" i="1"/>
  <c r="PP10" i="1"/>
  <c r="PP23" i="1"/>
  <c r="PP70" i="1"/>
  <c r="PP43" i="1"/>
  <c r="PP13" i="1"/>
  <c r="PP33" i="1"/>
  <c r="PP14" i="1"/>
  <c r="PP26" i="1"/>
  <c r="PP32" i="1"/>
  <c r="PP54" i="1"/>
  <c r="PP65" i="1"/>
  <c r="PP56" i="1"/>
  <c r="PP87" i="1"/>
  <c r="PP12" i="1"/>
  <c r="PP30" i="1"/>
  <c r="PP20" i="1"/>
  <c r="PP90" i="1"/>
  <c r="PP63" i="1"/>
  <c r="PP105" i="1"/>
  <c r="PP150" i="1"/>
  <c r="PP29" i="1"/>
  <c r="PP19" i="1"/>
  <c r="PP118" i="1"/>
  <c r="PP45" i="1"/>
  <c r="PP148" i="1"/>
  <c r="PP37" i="1"/>
  <c r="PP74" i="1"/>
  <c r="PP61" i="1"/>
  <c r="PP47" i="1"/>
  <c r="PP52" i="1"/>
  <c r="PP41" i="1"/>
  <c r="PP46" i="1"/>
  <c r="PP154" i="1"/>
  <c r="PP94" i="1"/>
  <c r="PP72" i="1"/>
  <c r="PP50" i="1"/>
  <c r="PP114" i="1"/>
  <c r="PP92" i="1"/>
  <c r="PP126" i="1"/>
  <c r="PP145" i="1"/>
  <c r="PP68" i="1"/>
  <c r="PP24" i="1"/>
  <c r="PP179" i="1"/>
  <c r="PP75" i="1"/>
  <c r="PP98" i="1"/>
  <c r="PP112" i="1"/>
  <c r="PP42" i="1"/>
  <c r="PP44" i="1"/>
  <c r="PP140" i="1"/>
  <c r="PP88" i="1"/>
  <c r="PP158" i="1"/>
  <c r="PP76" i="1"/>
  <c r="PP168" i="1"/>
  <c r="PP185" i="1"/>
  <c r="PP193" i="1"/>
  <c r="PP106" i="1"/>
  <c r="PP35" i="1"/>
  <c r="PP83" i="1"/>
  <c r="PP157" i="1"/>
  <c r="PP25" i="1"/>
  <c r="PP58" i="1"/>
  <c r="PP62" i="1"/>
  <c r="PP160" i="1"/>
  <c r="PP115" i="1"/>
  <c r="PP84" i="1"/>
  <c r="PP99" i="1"/>
  <c r="PP78" i="1"/>
  <c r="PP82" i="1"/>
  <c r="PP120" i="1"/>
  <c r="PP60" i="1"/>
  <c r="PP155" i="1"/>
  <c r="PP77" i="1"/>
  <c r="PP116" i="1"/>
  <c r="PP151" i="1"/>
  <c r="PP121" i="1"/>
  <c r="PP48" i="1"/>
  <c r="PP57" i="1"/>
  <c r="PP71" i="1"/>
  <c r="PP31" i="1"/>
  <c r="PP104" i="1"/>
  <c r="PP156" i="1"/>
  <c r="PP134" i="1"/>
  <c r="PP93" i="1"/>
  <c r="PP73" i="1"/>
  <c r="PP67" i="1"/>
  <c r="PP111" i="1"/>
  <c r="PP135" i="1"/>
  <c r="PP159" i="1"/>
  <c r="PP95" i="1"/>
  <c r="PP161" i="1"/>
  <c r="PP162" i="1"/>
  <c r="PP163" i="1"/>
  <c r="PP64" i="1"/>
  <c r="PP164" i="1"/>
  <c r="PP125" i="1"/>
  <c r="PP81" i="1"/>
  <c r="PP165" i="1"/>
  <c r="PP166" i="1"/>
  <c r="PP167" i="1"/>
  <c r="PP127" i="1"/>
  <c r="PP69" i="1"/>
  <c r="PP89" i="1"/>
  <c r="PP109" i="1"/>
  <c r="PP169" i="1"/>
  <c r="PP170" i="1"/>
  <c r="PP102" i="1"/>
  <c r="PP149" i="1"/>
  <c r="PP96" i="1"/>
  <c r="PP152" i="1"/>
  <c r="PP171" i="1"/>
  <c r="PP172" i="1"/>
  <c r="PP136" i="1"/>
  <c r="PP137" i="1"/>
  <c r="PP173" i="1"/>
  <c r="PP130" i="1"/>
  <c r="PP174" i="1"/>
  <c r="PP175" i="1"/>
  <c r="PP133" i="1"/>
  <c r="PP176" i="1"/>
  <c r="PP177" i="1"/>
  <c r="PP113" i="1"/>
  <c r="PP131" i="1"/>
  <c r="PP103" i="1"/>
  <c r="PP178" i="1"/>
  <c r="PP79" i="1"/>
  <c r="PP180" i="1"/>
  <c r="PP53" i="1"/>
  <c r="PP181" i="1"/>
  <c r="PP146" i="1"/>
  <c r="PP182" i="1"/>
  <c r="PP183" i="1"/>
  <c r="PP184" i="1"/>
  <c r="PP85" i="1"/>
  <c r="PP132" i="1"/>
  <c r="PP123" i="1"/>
  <c r="PP117" i="1"/>
  <c r="PP186" i="1"/>
  <c r="PP138" i="1"/>
  <c r="PP187" i="1"/>
  <c r="PP141" i="1"/>
  <c r="PP129" i="1"/>
  <c r="PP188" i="1"/>
  <c r="PP189" i="1"/>
  <c r="PP139" i="1"/>
  <c r="PP190" i="1"/>
  <c r="PP191" i="1"/>
  <c r="PP86" i="1"/>
  <c r="PP147" i="1"/>
  <c r="PP192" i="1"/>
  <c r="PP194" i="1"/>
  <c r="PP144" i="1"/>
  <c r="PP195" i="1"/>
  <c r="PP196" i="1"/>
  <c r="PP128" i="1"/>
  <c r="PP110" i="1"/>
  <c r="PP97" i="1"/>
  <c r="PP197" i="1"/>
  <c r="PP108" i="1"/>
  <c r="PP119" i="1"/>
  <c r="PP122" i="1"/>
  <c r="PP198" i="1"/>
  <c r="PP199" i="1"/>
  <c r="PP200" i="1"/>
  <c r="PP201" i="1"/>
  <c r="PP202" i="1"/>
  <c r="PP153" i="1"/>
  <c r="PP142" i="1"/>
  <c r="PP203" i="1"/>
  <c r="PP100" i="1"/>
  <c r="PP204" i="1"/>
  <c r="PP205" i="1"/>
  <c r="PP124" i="1"/>
  <c r="PP91" i="1"/>
  <c r="PP206" i="1"/>
  <c r="PP207" i="1"/>
  <c r="PP208" i="1"/>
  <c r="PP101" i="1"/>
  <c r="PP143" i="1"/>
  <c r="PQ3" i="1"/>
  <c r="OL3" i="1"/>
  <c r="OL2" i="1"/>
  <c r="OL17" i="1"/>
  <c r="OL6" i="1"/>
  <c r="OL4" i="1"/>
  <c r="OL9" i="1"/>
  <c r="OL7" i="1"/>
  <c r="OL5" i="1"/>
  <c r="OL16" i="1"/>
  <c r="OL11" i="1"/>
  <c r="OL51" i="1"/>
  <c r="OL40" i="1"/>
  <c r="OL38" i="1"/>
  <c r="OL27" i="1"/>
  <c r="OL107" i="1"/>
  <c r="OL49" i="1"/>
  <c r="OL21" i="1"/>
  <c r="OL8" i="1"/>
  <c r="OL36" i="1"/>
  <c r="OL22" i="1"/>
  <c r="OL15" i="1"/>
  <c r="OL18" i="1"/>
  <c r="OL34" i="1"/>
  <c r="OL80" i="1"/>
  <c r="OL55" i="1"/>
  <c r="OL66" i="1"/>
  <c r="OL59" i="1"/>
  <c r="OL28" i="1"/>
  <c r="OL39" i="1"/>
  <c r="OL10" i="1"/>
  <c r="OL23" i="1"/>
  <c r="OL70" i="1"/>
  <c r="OL43" i="1"/>
  <c r="OL13" i="1"/>
  <c r="OL33" i="1"/>
  <c r="OL14" i="1"/>
  <c r="OL26" i="1"/>
  <c r="OL32" i="1"/>
  <c r="OL54" i="1"/>
  <c r="OL65" i="1"/>
  <c r="OL56" i="1"/>
  <c r="OL87" i="1"/>
  <c r="OL12" i="1"/>
  <c r="OL30" i="1"/>
  <c r="OL20" i="1"/>
  <c r="OL90" i="1"/>
  <c r="OL63" i="1"/>
  <c r="OL105" i="1"/>
  <c r="OL150" i="1"/>
  <c r="OL29" i="1"/>
  <c r="OL19" i="1"/>
  <c r="OL118" i="1"/>
  <c r="OL45" i="1"/>
  <c r="OL148" i="1"/>
  <c r="OL37" i="1"/>
  <c r="OL74" i="1"/>
  <c r="OL61" i="1"/>
  <c r="OL47" i="1"/>
  <c r="OL52" i="1"/>
  <c r="OL41" i="1"/>
  <c r="OL46" i="1"/>
  <c r="OL154" i="1"/>
  <c r="OL94" i="1"/>
  <c r="OL72" i="1"/>
  <c r="OL50" i="1"/>
  <c r="OL114" i="1"/>
  <c r="OL92" i="1"/>
  <c r="OL126" i="1"/>
  <c r="OL145" i="1"/>
  <c r="OL68" i="1"/>
  <c r="OL24" i="1"/>
  <c r="OL179" i="1"/>
  <c r="OL75" i="1"/>
  <c r="OL98" i="1"/>
  <c r="OL112" i="1"/>
  <c r="OL42" i="1"/>
  <c r="OL44" i="1"/>
  <c r="OL140" i="1"/>
  <c r="OL88" i="1"/>
  <c r="OL158" i="1"/>
  <c r="OL76" i="1"/>
  <c r="OL168" i="1"/>
  <c r="OL185" i="1"/>
  <c r="OL193" i="1"/>
  <c r="OL106" i="1"/>
  <c r="OL35" i="1"/>
  <c r="OL83" i="1"/>
  <c r="OL157" i="1"/>
  <c r="OL25" i="1"/>
  <c r="OL58" i="1"/>
  <c r="OL62" i="1"/>
  <c r="OL160" i="1"/>
  <c r="OL115" i="1"/>
  <c r="OL84" i="1"/>
  <c r="OL99" i="1"/>
  <c r="OL78" i="1"/>
  <c r="OL82" i="1"/>
  <c r="OL120" i="1"/>
  <c r="OL60" i="1"/>
  <c r="OL155" i="1"/>
  <c r="OL77" i="1"/>
  <c r="OL116" i="1"/>
  <c r="OL151" i="1"/>
  <c r="OL121" i="1"/>
  <c r="OL48" i="1"/>
  <c r="OL57" i="1"/>
  <c r="OL71" i="1"/>
  <c r="OL31" i="1"/>
  <c r="OL104" i="1"/>
  <c r="OL156" i="1"/>
  <c r="OL134" i="1"/>
  <c r="OL93" i="1"/>
  <c r="OL73" i="1"/>
  <c r="OL67" i="1"/>
  <c r="OL111" i="1"/>
  <c r="OL135" i="1"/>
  <c r="OL159" i="1"/>
  <c r="OL95" i="1"/>
  <c r="OL161" i="1"/>
  <c r="OL162" i="1"/>
  <c r="OL163" i="1"/>
  <c r="OL64" i="1"/>
  <c r="OL164" i="1"/>
  <c r="OL125" i="1"/>
  <c r="OL81" i="1"/>
  <c r="OL165" i="1"/>
  <c r="OL166" i="1"/>
  <c r="OL167" i="1"/>
  <c r="OL127" i="1"/>
  <c r="OL69" i="1"/>
  <c r="OL89" i="1"/>
  <c r="OL109" i="1"/>
  <c r="OL169" i="1"/>
  <c r="OL170" i="1"/>
  <c r="OL102" i="1"/>
  <c r="OL149" i="1"/>
  <c r="OL96" i="1"/>
  <c r="OL152" i="1"/>
  <c r="OL171" i="1"/>
  <c r="OL172" i="1"/>
  <c r="OL136" i="1"/>
  <c r="OL137" i="1"/>
  <c r="OL173" i="1"/>
  <c r="OL130" i="1"/>
  <c r="OL174" i="1"/>
  <c r="OL175" i="1"/>
  <c r="OL133" i="1"/>
  <c r="OL176" i="1"/>
  <c r="OL177" i="1"/>
  <c r="OL113" i="1"/>
  <c r="OL131" i="1"/>
  <c r="OL103" i="1"/>
  <c r="OL178" i="1"/>
  <c r="OL79" i="1"/>
  <c r="OL180" i="1"/>
  <c r="OL53" i="1"/>
  <c r="OL181" i="1"/>
  <c r="OL146" i="1"/>
  <c r="OL182" i="1"/>
  <c r="OL183" i="1"/>
  <c r="OL184" i="1"/>
  <c r="OL85" i="1"/>
  <c r="OL132" i="1"/>
  <c r="OL123" i="1"/>
  <c r="OL117" i="1"/>
  <c r="OL186" i="1"/>
  <c r="OL138" i="1"/>
  <c r="OL187" i="1"/>
  <c r="OL141" i="1"/>
  <c r="OL129" i="1"/>
  <c r="OL188" i="1"/>
  <c r="OL189" i="1"/>
  <c r="OL139" i="1"/>
  <c r="OL190" i="1"/>
  <c r="OL191" i="1"/>
  <c r="OL86" i="1"/>
  <c r="OL147" i="1"/>
  <c r="OL192" i="1"/>
  <c r="OL194" i="1"/>
  <c r="OL144" i="1"/>
  <c r="OL195" i="1"/>
  <c r="OL196" i="1"/>
  <c r="OL128" i="1"/>
  <c r="OL110" i="1"/>
  <c r="OL97" i="1"/>
  <c r="OL197" i="1"/>
  <c r="OL108" i="1"/>
  <c r="OL119" i="1"/>
  <c r="OL122" i="1"/>
  <c r="OL198" i="1"/>
  <c r="OL199" i="1"/>
  <c r="OL200" i="1"/>
  <c r="OL201" i="1"/>
  <c r="OL202" i="1"/>
  <c r="OL153" i="1"/>
  <c r="OL142" i="1"/>
  <c r="OL203" i="1"/>
  <c r="OL100" i="1"/>
  <c r="OL204" i="1"/>
  <c r="OL205" i="1"/>
  <c r="OL124" i="1"/>
  <c r="OL91" i="1"/>
  <c r="OL206" i="1"/>
  <c r="OL207" i="1"/>
  <c r="OL208" i="1"/>
  <c r="OL101" i="1"/>
  <c r="OL143" i="1"/>
  <c r="ON3" i="1"/>
  <c r="OK3" i="1"/>
  <c r="OK2" i="1"/>
  <c r="OK17" i="1"/>
  <c r="OK6" i="1"/>
  <c r="OK4" i="1"/>
  <c r="OK9" i="1"/>
  <c r="OK7" i="1"/>
  <c r="OK5" i="1"/>
  <c r="OK16" i="1"/>
  <c r="OK11" i="1"/>
  <c r="OK51" i="1"/>
  <c r="OK40" i="1"/>
  <c r="OK38" i="1"/>
  <c r="OK27" i="1"/>
  <c r="OK107" i="1"/>
  <c r="OK49" i="1"/>
  <c r="OK21" i="1"/>
  <c r="OK8" i="1"/>
  <c r="OK36" i="1"/>
  <c r="OK22" i="1"/>
  <c r="OK15" i="1"/>
  <c r="OK18" i="1"/>
  <c r="OK34" i="1"/>
  <c r="OK80" i="1"/>
  <c r="OK55" i="1"/>
  <c r="OK66" i="1"/>
  <c r="OK59" i="1"/>
  <c r="OK28" i="1"/>
  <c r="OK39" i="1"/>
  <c r="OK10" i="1"/>
  <c r="OK23" i="1"/>
  <c r="OK70" i="1"/>
  <c r="OK43" i="1"/>
  <c r="OK13" i="1"/>
  <c r="OK33" i="1"/>
  <c r="OK14" i="1"/>
  <c r="OK26" i="1"/>
  <c r="OK32" i="1"/>
  <c r="OK54" i="1"/>
  <c r="OK65" i="1"/>
  <c r="OK56" i="1"/>
  <c r="OK87" i="1"/>
  <c r="OK12" i="1"/>
  <c r="OK30" i="1"/>
  <c r="OK20" i="1"/>
  <c r="OK90" i="1"/>
  <c r="OK63" i="1"/>
  <c r="OK105" i="1"/>
  <c r="OK150" i="1"/>
  <c r="OK29" i="1"/>
  <c r="OK19" i="1"/>
  <c r="OK118" i="1"/>
  <c r="OK45" i="1"/>
  <c r="OK148" i="1"/>
  <c r="OK37" i="1"/>
  <c r="OK74" i="1"/>
  <c r="OK61" i="1"/>
  <c r="OK47" i="1"/>
  <c r="OK52" i="1"/>
  <c r="OK41" i="1"/>
  <c r="OK46" i="1"/>
  <c r="OK154" i="1"/>
  <c r="OK94" i="1"/>
  <c r="OK72" i="1"/>
  <c r="OK50" i="1"/>
  <c r="OK114" i="1"/>
  <c r="OK92" i="1"/>
  <c r="OK126" i="1"/>
  <c r="OK145" i="1"/>
  <c r="OK68" i="1"/>
  <c r="OK24" i="1"/>
  <c r="OK179" i="1"/>
  <c r="OK75" i="1"/>
  <c r="OK98" i="1"/>
  <c r="OK112" i="1"/>
  <c r="OK42" i="1"/>
  <c r="OK44" i="1"/>
  <c r="OK140" i="1"/>
  <c r="OK88" i="1"/>
  <c r="OK158" i="1"/>
  <c r="OK76" i="1"/>
  <c r="OK168" i="1"/>
  <c r="OK185" i="1"/>
  <c r="OK193" i="1"/>
  <c r="OK106" i="1"/>
  <c r="OK35" i="1"/>
  <c r="OK83" i="1"/>
  <c r="OK157" i="1"/>
  <c r="OK25" i="1"/>
  <c r="OK58" i="1"/>
  <c r="OK62" i="1"/>
  <c r="OK160" i="1"/>
  <c r="OK115" i="1"/>
  <c r="OK84" i="1"/>
  <c r="OK99" i="1"/>
  <c r="OK78" i="1"/>
  <c r="OK82" i="1"/>
  <c r="OK120" i="1"/>
  <c r="OK60" i="1"/>
  <c r="OK155" i="1"/>
  <c r="OK77" i="1"/>
  <c r="OK116" i="1"/>
  <c r="OK151" i="1"/>
  <c r="OK121" i="1"/>
  <c r="OK48" i="1"/>
  <c r="OK57" i="1"/>
  <c r="OK71" i="1"/>
  <c r="OK31" i="1"/>
  <c r="OK104" i="1"/>
  <c r="OK156" i="1"/>
  <c r="OK134" i="1"/>
  <c r="OK93" i="1"/>
  <c r="OK73" i="1"/>
  <c r="OK67" i="1"/>
  <c r="OK111" i="1"/>
  <c r="OK135" i="1"/>
  <c r="OK159" i="1"/>
  <c r="OK95" i="1"/>
  <c r="OK161" i="1"/>
  <c r="OK162" i="1"/>
  <c r="OK163" i="1"/>
  <c r="OK64" i="1"/>
  <c r="OK164" i="1"/>
  <c r="OK125" i="1"/>
  <c r="OK81" i="1"/>
  <c r="OK165" i="1"/>
  <c r="OK166" i="1"/>
  <c r="OK167" i="1"/>
  <c r="OK127" i="1"/>
  <c r="OK69" i="1"/>
  <c r="OK89" i="1"/>
  <c r="OK109" i="1"/>
  <c r="OK169" i="1"/>
  <c r="OK170" i="1"/>
  <c r="OK102" i="1"/>
  <c r="OK149" i="1"/>
  <c r="OK96" i="1"/>
  <c r="OK152" i="1"/>
  <c r="OK171" i="1"/>
  <c r="OK172" i="1"/>
  <c r="OK136" i="1"/>
  <c r="OK137" i="1"/>
  <c r="OK173" i="1"/>
  <c r="OK130" i="1"/>
  <c r="OK174" i="1"/>
  <c r="OK175" i="1"/>
  <c r="OK133" i="1"/>
  <c r="OK176" i="1"/>
  <c r="OK177" i="1"/>
  <c r="OK113" i="1"/>
  <c r="OK131" i="1"/>
  <c r="OK103" i="1"/>
  <c r="OK178" i="1"/>
  <c r="OK79" i="1"/>
  <c r="OK180" i="1"/>
  <c r="OK53" i="1"/>
  <c r="OK181" i="1"/>
  <c r="OK146" i="1"/>
  <c r="OK182" i="1"/>
  <c r="OK183" i="1"/>
  <c r="OK184" i="1"/>
  <c r="OK85" i="1"/>
  <c r="OK132" i="1"/>
  <c r="OK123" i="1"/>
  <c r="OK117" i="1"/>
  <c r="OK186" i="1"/>
  <c r="OK138" i="1"/>
  <c r="OK187" i="1"/>
  <c r="OK141" i="1"/>
  <c r="OK129" i="1"/>
  <c r="OK188" i="1"/>
  <c r="OK189" i="1"/>
  <c r="OK139" i="1"/>
  <c r="OK190" i="1"/>
  <c r="OK191" i="1"/>
  <c r="OK86" i="1"/>
  <c r="OK147" i="1"/>
  <c r="OK192" i="1"/>
  <c r="OK194" i="1"/>
  <c r="OK144" i="1"/>
  <c r="OK195" i="1"/>
  <c r="OK196" i="1"/>
  <c r="OK128" i="1"/>
  <c r="OK110" i="1"/>
  <c r="OK97" i="1"/>
  <c r="OK197" i="1"/>
  <c r="OK108" i="1"/>
  <c r="OK119" i="1"/>
  <c r="OK122" i="1"/>
  <c r="OK198" i="1"/>
  <c r="OK199" i="1"/>
  <c r="OK200" i="1"/>
  <c r="OK201" i="1"/>
  <c r="OK202" i="1"/>
  <c r="OK153" i="1"/>
  <c r="OK142" i="1"/>
  <c r="OK203" i="1"/>
  <c r="OK100" i="1"/>
  <c r="OK204" i="1"/>
  <c r="OK205" i="1"/>
  <c r="OK124" i="1"/>
  <c r="OK91" i="1"/>
  <c r="OK206" i="1"/>
  <c r="OK207" i="1"/>
  <c r="OK208" i="1"/>
  <c r="OK101" i="1"/>
  <c r="OK143" i="1"/>
  <c r="OM3" i="1"/>
  <c r="MV3" i="1"/>
  <c r="MV2" i="1"/>
  <c r="MV17" i="1"/>
  <c r="MV6" i="1"/>
  <c r="MV4" i="1"/>
  <c r="MV9" i="1"/>
  <c r="MV7" i="1"/>
  <c r="MV5" i="1"/>
  <c r="MV16" i="1"/>
  <c r="MV11" i="1"/>
  <c r="MV51" i="1"/>
  <c r="MV40" i="1"/>
  <c r="MV38" i="1"/>
  <c r="MV27" i="1"/>
  <c r="MV107" i="1"/>
  <c r="MV49" i="1"/>
  <c r="MV21" i="1"/>
  <c r="MV8" i="1"/>
  <c r="MV36" i="1"/>
  <c r="MV22" i="1"/>
  <c r="MV15" i="1"/>
  <c r="MV18" i="1"/>
  <c r="MV34" i="1"/>
  <c r="MV80" i="1"/>
  <c r="MV55" i="1"/>
  <c r="MV66" i="1"/>
  <c r="MV59" i="1"/>
  <c r="MV28" i="1"/>
  <c r="MV39" i="1"/>
  <c r="MV10" i="1"/>
  <c r="MV23" i="1"/>
  <c r="MV70" i="1"/>
  <c r="MV43" i="1"/>
  <c r="MV13" i="1"/>
  <c r="MV33" i="1"/>
  <c r="MV14" i="1"/>
  <c r="MV26" i="1"/>
  <c r="MV32" i="1"/>
  <c r="MV54" i="1"/>
  <c r="MV65" i="1"/>
  <c r="MV56" i="1"/>
  <c r="MV87" i="1"/>
  <c r="MV12" i="1"/>
  <c r="MV30" i="1"/>
  <c r="MV20" i="1"/>
  <c r="MV90" i="1"/>
  <c r="MV63" i="1"/>
  <c r="MV105" i="1"/>
  <c r="MV150" i="1"/>
  <c r="MV29" i="1"/>
  <c r="MV19" i="1"/>
  <c r="MV118" i="1"/>
  <c r="MV45" i="1"/>
  <c r="MV148" i="1"/>
  <c r="MV37" i="1"/>
  <c r="MV74" i="1"/>
  <c r="MV61" i="1"/>
  <c r="MV47" i="1"/>
  <c r="MV52" i="1"/>
  <c r="MV41" i="1"/>
  <c r="MV46" i="1"/>
  <c r="MV154" i="1"/>
  <c r="MV94" i="1"/>
  <c r="MV72" i="1"/>
  <c r="MV50" i="1"/>
  <c r="MV114" i="1"/>
  <c r="MV92" i="1"/>
  <c r="MV126" i="1"/>
  <c r="MV145" i="1"/>
  <c r="MV68" i="1"/>
  <c r="MV24" i="1"/>
  <c r="MV179" i="1"/>
  <c r="MV75" i="1"/>
  <c r="MV98" i="1"/>
  <c r="MV112" i="1"/>
  <c r="MV42" i="1"/>
  <c r="MV44" i="1"/>
  <c r="MV140" i="1"/>
  <c r="MV88" i="1"/>
  <c r="MV158" i="1"/>
  <c r="MV76" i="1"/>
  <c r="MV168" i="1"/>
  <c r="MV185" i="1"/>
  <c r="MV193" i="1"/>
  <c r="MV106" i="1"/>
  <c r="MV35" i="1"/>
  <c r="MV83" i="1"/>
  <c r="MV157" i="1"/>
  <c r="MV25" i="1"/>
  <c r="MV58" i="1"/>
  <c r="MV62" i="1"/>
  <c r="MV160" i="1"/>
  <c r="MV115" i="1"/>
  <c r="MV84" i="1"/>
  <c r="MV99" i="1"/>
  <c r="MV78" i="1"/>
  <c r="MV82" i="1"/>
  <c r="MV120" i="1"/>
  <c r="MV60" i="1"/>
  <c r="MV155" i="1"/>
  <c r="MV77" i="1"/>
  <c r="MV116" i="1"/>
  <c r="MV151" i="1"/>
  <c r="MV121" i="1"/>
  <c r="MV48" i="1"/>
  <c r="MV57" i="1"/>
  <c r="MV71" i="1"/>
  <c r="MV31" i="1"/>
  <c r="MV104" i="1"/>
  <c r="MV156" i="1"/>
  <c r="MV134" i="1"/>
  <c r="MV93" i="1"/>
  <c r="MV73" i="1"/>
  <c r="MV67" i="1"/>
  <c r="MV111" i="1"/>
  <c r="MV135" i="1"/>
  <c r="MV159" i="1"/>
  <c r="MV95" i="1"/>
  <c r="MV161" i="1"/>
  <c r="MV162" i="1"/>
  <c r="MV163" i="1"/>
  <c r="MV64" i="1"/>
  <c r="MV164" i="1"/>
  <c r="MV125" i="1"/>
  <c r="MV81" i="1"/>
  <c r="MV165" i="1"/>
  <c r="MV166" i="1"/>
  <c r="MV167" i="1"/>
  <c r="MV127" i="1"/>
  <c r="MV69" i="1"/>
  <c r="MV89" i="1"/>
  <c r="MV109" i="1"/>
  <c r="MV169" i="1"/>
  <c r="MV170" i="1"/>
  <c r="MV102" i="1"/>
  <c r="MV149" i="1"/>
  <c r="MV96" i="1"/>
  <c r="MV152" i="1"/>
  <c r="MV171" i="1"/>
  <c r="MV172" i="1"/>
  <c r="MV136" i="1"/>
  <c r="MV137" i="1"/>
  <c r="MV173" i="1"/>
  <c r="MV130" i="1"/>
  <c r="MV174" i="1"/>
  <c r="MV175" i="1"/>
  <c r="MV133" i="1"/>
  <c r="MV176" i="1"/>
  <c r="MV177" i="1"/>
  <c r="MV113" i="1"/>
  <c r="MV131" i="1"/>
  <c r="MV103" i="1"/>
  <c r="MV178" i="1"/>
  <c r="MV79" i="1"/>
  <c r="MV180" i="1"/>
  <c r="MV53" i="1"/>
  <c r="MV181" i="1"/>
  <c r="MV146" i="1"/>
  <c r="MV182" i="1"/>
  <c r="MV183" i="1"/>
  <c r="MV184" i="1"/>
  <c r="MV85" i="1"/>
  <c r="MV132" i="1"/>
  <c r="MV123" i="1"/>
  <c r="MV117" i="1"/>
  <c r="MV186" i="1"/>
  <c r="MV138" i="1"/>
  <c r="MV187" i="1"/>
  <c r="MV141" i="1"/>
  <c r="MV129" i="1"/>
  <c r="MV188" i="1"/>
  <c r="MV189" i="1"/>
  <c r="MV139" i="1"/>
  <c r="MV190" i="1"/>
  <c r="MV191" i="1"/>
  <c r="MV86" i="1"/>
  <c r="MV147" i="1"/>
  <c r="MV192" i="1"/>
  <c r="MV194" i="1"/>
  <c r="MV144" i="1"/>
  <c r="MV195" i="1"/>
  <c r="MV196" i="1"/>
  <c r="MV128" i="1"/>
  <c r="MV110" i="1"/>
  <c r="MV97" i="1"/>
  <c r="MV197" i="1"/>
  <c r="MV108" i="1"/>
  <c r="MV119" i="1"/>
  <c r="MV122" i="1"/>
  <c r="MV198" i="1"/>
  <c r="MV199" i="1"/>
  <c r="MV200" i="1"/>
  <c r="MV201" i="1"/>
  <c r="MV202" i="1"/>
  <c r="MV153" i="1"/>
  <c r="MV142" i="1"/>
  <c r="MV203" i="1"/>
  <c r="MV100" i="1"/>
  <c r="MV204" i="1"/>
  <c r="MV205" i="1"/>
  <c r="MV124" i="1"/>
  <c r="MV91" i="1"/>
  <c r="MV206" i="1"/>
  <c r="MV207" i="1"/>
  <c r="MV208" i="1"/>
  <c r="MV101" i="1"/>
  <c r="MV143" i="1"/>
  <c r="MU3" i="1"/>
  <c r="MU2" i="1"/>
  <c r="MU17" i="1"/>
  <c r="MU6" i="1"/>
  <c r="MU4" i="1"/>
  <c r="MU9" i="1"/>
  <c r="MU7" i="1"/>
  <c r="MU5" i="1"/>
  <c r="MU16" i="1"/>
  <c r="MU11" i="1"/>
  <c r="MU51" i="1"/>
  <c r="MU40" i="1"/>
  <c r="MU38" i="1"/>
  <c r="MU27" i="1"/>
  <c r="MU107" i="1"/>
  <c r="MU49" i="1"/>
  <c r="MU21" i="1"/>
  <c r="MU8" i="1"/>
  <c r="MU36" i="1"/>
  <c r="MU22" i="1"/>
  <c r="MU15" i="1"/>
  <c r="MU18" i="1"/>
  <c r="MU34" i="1"/>
  <c r="MU80" i="1"/>
  <c r="MU55" i="1"/>
  <c r="MU66" i="1"/>
  <c r="MU59" i="1"/>
  <c r="MU28" i="1"/>
  <c r="MU39" i="1"/>
  <c r="MU10" i="1"/>
  <c r="MU23" i="1"/>
  <c r="MU70" i="1"/>
  <c r="MU43" i="1"/>
  <c r="MU13" i="1"/>
  <c r="MU33" i="1"/>
  <c r="MU14" i="1"/>
  <c r="MU26" i="1"/>
  <c r="MU32" i="1"/>
  <c r="MU54" i="1"/>
  <c r="MU65" i="1"/>
  <c r="MU56" i="1"/>
  <c r="MU87" i="1"/>
  <c r="MU12" i="1"/>
  <c r="MU30" i="1"/>
  <c r="MU20" i="1"/>
  <c r="MU90" i="1"/>
  <c r="MU63" i="1"/>
  <c r="MU105" i="1"/>
  <c r="MU150" i="1"/>
  <c r="MU29" i="1"/>
  <c r="MU19" i="1"/>
  <c r="MU118" i="1"/>
  <c r="MU45" i="1"/>
  <c r="MU148" i="1"/>
  <c r="MU37" i="1"/>
  <c r="MU74" i="1"/>
  <c r="MU61" i="1"/>
  <c r="MU47" i="1"/>
  <c r="MU52" i="1"/>
  <c r="MU41" i="1"/>
  <c r="MU46" i="1"/>
  <c r="MU154" i="1"/>
  <c r="MU94" i="1"/>
  <c r="MU72" i="1"/>
  <c r="MU50" i="1"/>
  <c r="MU114" i="1"/>
  <c r="MU92" i="1"/>
  <c r="MU126" i="1"/>
  <c r="MU145" i="1"/>
  <c r="MU68" i="1"/>
  <c r="MU24" i="1"/>
  <c r="MU179" i="1"/>
  <c r="MU75" i="1"/>
  <c r="MU98" i="1"/>
  <c r="MU112" i="1"/>
  <c r="MU42" i="1"/>
  <c r="MU44" i="1"/>
  <c r="MU140" i="1"/>
  <c r="MU88" i="1"/>
  <c r="MU158" i="1"/>
  <c r="MU76" i="1"/>
  <c r="MU168" i="1"/>
  <c r="MU185" i="1"/>
  <c r="MU193" i="1"/>
  <c r="MU106" i="1"/>
  <c r="MU35" i="1"/>
  <c r="MU83" i="1"/>
  <c r="MU157" i="1"/>
  <c r="MU25" i="1"/>
  <c r="MU58" i="1"/>
  <c r="MU62" i="1"/>
  <c r="MU160" i="1"/>
  <c r="MU115" i="1"/>
  <c r="MU84" i="1"/>
  <c r="MU99" i="1"/>
  <c r="MU78" i="1"/>
  <c r="MU82" i="1"/>
  <c r="MU120" i="1"/>
  <c r="MU60" i="1"/>
  <c r="MU155" i="1"/>
  <c r="MU77" i="1"/>
  <c r="MU116" i="1"/>
  <c r="MU151" i="1"/>
  <c r="MU121" i="1"/>
  <c r="MU48" i="1"/>
  <c r="MU57" i="1"/>
  <c r="MU71" i="1"/>
  <c r="MU31" i="1"/>
  <c r="MU104" i="1"/>
  <c r="MU156" i="1"/>
  <c r="MU134" i="1"/>
  <c r="MU93" i="1"/>
  <c r="MU73" i="1"/>
  <c r="MU67" i="1"/>
  <c r="MU111" i="1"/>
  <c r="MU135" i="1"/>
  <c r="MU159" i="1"/>
  <c r="MU95" i="1"/>
  <c r="MU161" i="1"/>
  <c r="MU162" i="1"/>
  <c r="MU163" i="1"/>
  <c r="MU64" i="1"/>
  <c r="MU164" i="1"/>
  <c r="MU125" i="1"/>
  <c r="MU81" i="1"/>
  <c r="MU165" i="1"/>
  <c r="MU166" i="1"/>
  <c r="MU167" i="1"/>
  <c r="MU127" i="1"/>
  <c r="MU69" i="1"/>
  <c r="MU89" i="1"/>
  <c r="MU109" i="1"/>
  <c r="MU169" i="1"/>
  <c r="MU170" i="1"/>
  <c r="MU102" i="1"/>
  <c r="MU149" i="1"/>
  <c r="MU96" i="1"/>
  <c r="MU152" i="1"/>
  <c r="MU171" i="1"/>
  <c r="MU172" i="1"/>
  <c r="MU136" i="1"/>
  <c r="MU137" i="1"/>
  <c r="MU173" i="1"/>
  <c r="MU130" i="1"/>
  <c r="MU174" i="1"/>
  <c r="MU175" i="1"/>
  <c r="MU133" i="1"/>
  <c r="MU176" i="1"/>
  <c r="MU177" i="1"/>
  <c r="MU113" i="1"/>
  <c r="MU131" i="1"/>
  <c r="MU103" i="1"/>
  <c r="MU178" i="1"/>
  <c r="MU79" i="1"/>
  <c r="MU180" i="1"/>
  <c r="MU53" i="1"/>
  <c r="MU181" i="1"/>
  <c r="MU146" i="1"/>
  <c r="MU182" i="1"/>
  <c r="MU183" i="1"/>
  <c r="MU184" i="1"/>
  <c r="MU85" i="1"/>
  <c r="MU132" i="1"/>
  <c r="MU123" i="1"/>
  <c r="MU117" i="1"/>
  <c r="MU186" i="1"/>
  <c r="MU138" i="1"/>
  <c r="MU187" i="1"/>
  <c r="MU141" i="1"/>
  <c r="MU129" i="1"/>
  <c r="MU188" i="1"/>
  <c r="MU189" i="1"/>
  <c r="MU139" i="1"/>
  <c r="MU190" i="1"/>
  <c r="MU191" i="1"/>
  <c r="MU86" i="1"/>
  <c r="MU147" i="1"/>
  <c r="MU192" i="1"/>
  <c r="MU194" i="1"/>
  <c r="MU144" i="1"/>
  <c r="MU195" i="1"/>
  <c r="MU196" i="1"/>
  <c r="MU128" i="1"/>
  <c r="MU110" i="1"/>
  <c r="MU97" i="1"/>
  <c r="MU197" i="1"/>
  <c r="MU108" i="1"/>
  <c r="MU119" i="1"/>
  <c r="MU122" i="1"/>
  <c r="MU198" i="1"/>
  <c r="MU199" i="1"/>
  <c r="MU200" i="1"/>
  <c r="MU201" i="1"/>
  <c r="MU202" i="1"/>
  <c r="MU153" i="1"/>
  <c r="MU142" i="1"/>
  <c r="MU203" i="1"/>
  <c r="MU100" i="1"/>
  <c r="MU204" i="1"/>
  <c r="MU205" i="1"/>
  <c r="MU124" i="1"/>
  <c r="MU91" i="1"/>
  <c r="MU206" i="1"/>
  <c r="MU207" i="1"/>
  <c r="MU208" i="1"/>
  <c r="MU101" i="1"/>
  <c r="MU143" i="1"/>
  <c r="B8" i="148"/>
  <c r="ML3" i="1"/>
  <c r="ML2" i="1"/>
  <c r="ML43" i="1"/>
  <c r="ML71" i="1"/>
  <c r="ML7" i="1"/>
  <c r="ML164" i="1"/>
  <c r="ML4" i="1"/>
  <c r="ML99" i="1"/>
  <c r="ML6" i="1"/>
  <c r="ML8" i="1"/>
  <c r="ML10" i="1"/>
  <c r="ML9" i="1"/>
  <c r="ML127" i="1"/>
  <c r="ML11" i="1"/>
  <c r="ML44" i="1"/>
  <c r="ML39" i="1"/>
  <c r="ML45" i="1"/>
  <c r="ML16" i="1"/>
  <c r="ML12" i="1"/>
  <c r="ML48" i="1"/>
  <c r="ML54" i="1"/>
  <c r="ML47" i="1"/>
  <c r="ML20" i="1"/>
  <c r="ML50" i="1"/>
  <c r="ML22" i="1"/>
  <c r="ML49" i="1"/>
  <c r="ML13" i="1"/>
  <c r="ML26" i="1"/>
  <c r="ML52" i="1"/>
  <c r="ML46" i="1"/>
  <c r="ML72" i="1"/>
  <c r="ML5" i="1"/>
  <c r="ML18" i="1"/>
  <c r="ML23" i="1"/>
  <c r="ML15" i="1"/>
  <c r="ML14" i="1"/>
  <c r="ML59" i="1"/>
  <c r="ML38" i="1"/>
  <c r="ML21" i="1"/>
  <c r="ML27" i="1"/>
  <c r="ML17" i="1"/>
  <c r="ML68" i="1"/>
  <c r="ML121" i="1"/>
  <c r="ML24" i="1"/>
  <c r="ML30" i="1"/>
  <c r="ML40" i="1"/>
  <c r="ML35" i="1"/>
  <c r="ML29" i="1"/>
  <c r="ML37" i="1"/>
  <c r="ML28" i="1"/>
  <c r="ML19" i="1"/>
  <c r="ML33" i="1"/>
  <c r="ML109" i="1"/>
  <c r="ML64" i="1"/>
  <c r="ML63" i="1"/>
  <c r="ML77" i="1"/>
  <c r="ML115" i="1"/>
  <c r="ML31" i="1"/>
  <c r="ML41" i="1"/>
  <c r="ML191" i="1"/>
  <c r="ML85" i="1"/>
  <c r="ML62" i="1"/>
  <c r="ML36" i="1"/>
  <c r="ML32" i="1"/>
  <c r="ML34" i="1"/>
  <c r="ML93" i="1"/>
  <c r="ML117" i="1"/>
  <c r="ML154" i="1"/>
  <c r="ML107" i="1"/>
  <c r="ML98" i="1"/>
  <c r="ML138" i="1"/>
  <c r="ML75" i="1"/>
  <c r="ML122" i="1"/>
  <c r="ML84" i="1"/>
  <c r="ML116" i="1"/>
  <c r="ML186" i="1"/>
  <c r="ML89" i="1"/>
  <c r="ML70" i="1"/>
  <c r="ML61" i="1"/>
  <c r="ML74" i="1"/>
  <c r="ML88" i="1"/>
  <c r="ML73" i="1"/>
  <c r="ML111" i="1"/>
  <c r="ML87" i="1"/>
  <c r="ML82" i="1"/>
  <c r="ML53" i="1"/>
  <c r="ML175" i="1"/>
  <c r="ML55" i="1"/>
  <c r="ML51" i="1"/>
  <c r="ML157" i="1"/>
  <c r="ML158" i="1"/>
  <c r="ML83" i="1"/>
  <c r="ML91" i="1"/>
  <c r="ML105" i="1"/>
  <c r="ML103" i="1"/>
  <c r="ML188" i="1"/>
  <c r="ML163" i="1"/>
  <c r="ML101" i="1"/>
  <c r="ML65" i="1"/>
  <c r="ML60" i="1"/>
  <c r="ML80" i="1"/>
  <c r="ML56" i="1"/>
  <c r="ML57" i="1"/>
  <c r="ML25" i="1"/>
  <c r="ML104" i="1"/>
  <c r="ML66" i="1"/>
  <c r="ML58" i="1"/>
  <c r="ML155" i="1"/>
  <c r="ML156" i="1"/>
  <c r="ML134" i="1"/>
  <c r="ML92" i="1"/>
  <c r="ML67" i="1"/>
  <c r="ML126" i="1"/>
  <c r="ML145" i="1"/>
  <c r="ML135" i="1"/>
  <c r="ML159" i="1"/>
  <c r="ML76" i="1"/>
  <c r="ML114" i="1"/>
  <c r="ML161" i="1"/>
  <c r="ML160" i="1"/>
  <c r="ML95" i="1"/>
  <c r="ML120" i="1"/>
  <c r="ML42" i="1"/>
  <c r="ML183" i="1"/>
  <c r="ML112" i="1"/>
  <c r="ML148" i="1"/>
  <c r="ML179" i="1"/>
  <c r="ML128" i="1"/>
  <c r="ML144" i="1"/>
  <c r="ML110" i="1"/>
  <c r="ML81" i="1"/>
  <c r="ML100" i="1"/>
  <c r="ML123" i="1"/>
  <c r="ML86" i="1"/>
  <c r="ML174" i="1"/>
  <c r="ML201" i="1"/>
  <c r="ML90" i="1"/>
  <c r="ML102" i="1"/>
  <c r="ML94" i="1"/>
  <c r="ML119" i="1"/>
  <c r="ML141" i="1"/>
  <c r="ML147" i="1"/>
  <c r="ML165" i="1"/>
  <c r="ML132" i="1"/>
  <c r="ML189" i="1"/>
  <c r="ML133" i="1"/>
  <c r="ML206" i="1"/>
  <c r="ML78" i="1"/>
  <c r="ML143" i="1"/>
  <c r="ML150" i="1"/>
  <c r="ML130" i="1"/>
  <c r="ML96" i="1"/>
  <c r="ML182" i="1"/>
  <c r="ML195" i="1"/>
  <c r="ML178" i="1"/>
  <c r="ML181" i="1"/>
  <c r="ML194" i="1"/>
  <c r="ML208" i="1"/>
  <c r="ML129" i="1"/>
  <c r="ML180" i="1"/>
  <c r="ML140" i="1"/>
  <c r="ML125" i="1"/>
  <c r="ML131" i="1"/>
  <c r="ML173" i="1"/>
  <c r="ML184" i="1"/>
  <c r="ML190" i="1"/>
  <c r="ML142" i="1"/>
  <c r="ML69" i="1"/>
  <c r="ML151" i="1"/>
  <c r="ML193" i="1"/>
  <c r="ML169" i="1"/>
  <c r="ML166" i="1"/>
  <c r="ML97" i="1"/>
  <c r="ML79" i="1"/>
  <c r="ML146" i="1"/>
  <c r="ML204" i="1"/>
  <c r="ML113" i="1"/>
  <c r="ML172" i="1"/>
  <c r="ML171" i="1"/>
  <c r="ML185" i="1"/>
  <c r="ML137" i="1"/>
  <c r="ML205" i="1"/>
  <c r="ML177" i="1"/>
  <c r="ML199" i="1"/>
  <c r="ML106" i="1"/>
  <c r="ML203" i="1"/>
  <c r="ML124" i="1"/>
  <c r="ML170" i="1"/>
  <c r="ML152" i="1"/>
  <c r="ML118" i="1"/>
  <c r="ML198" i="1"/>
  <c r="ML200" i="1"/>
  <c r="ML136" i="1"/>
  <c r="ML108" i="1"/>
  <c r="ML149" i="1"/>
  <c r="ML187" i="1"/>
  <c r="ML168" i="1"/>
  <c r="ML162" i="1"/>
  <c r="ML139" i="1"/>
  <c r="ML196" i="1"/>
  <c r="ML153" i="1"/>
  <c r="ML197" i="1"/>
  <c r="ML176" i="1"/>
  <c r="ML202" i="1"/>
  <c r="ML167" i="1"/>
  <c r="ML207" i="1"/>
  <c r="ML192" i="1"/>
  <c r="MK3" i="1"/>
  <c r="MK2" i="1"/>
  <c r="MK43" i="1"/>
  <c r="MK71" i="1"/>
  <c r="MK7" i="1"/>
  <c r="MK164" i="1"/>
  <c r="MK4" i="1"/>
  <c r="MK99" i="1"/>
  <c r="MK6" i="1"/>
  <c r="MK8" i="1"/>
  <c r="MK10" i="1"/>
  <c r="MK9" i="1"/>
  <c r="MK127" i="1"/>
  <c r="MK11" i="1"/>
  <c r="MK44" i="1"/>
  <c r="MK39" i="1"/>
  <c r="MK45" i="1"/>
  <c r="MK16" i="1"/>
  <c r="MK12" i="1"/>
  <c r="MK48" i="1"/>
  <c r="MK54" i="1"/>
  <c r="MK47" i="1"/>
  <c r="MK20" i="1"/>
  <c r="MK50" i="1"/>
  <c r="MK22" i="1"/>
  <c r="MK49" i="1"/>
  <c r="MK13" i="1"/>
  <c r="MK26" i="1"/>
  <c r="MK52" i="1"/>
  <c r="MK46" i="1"/>
  <c r="MK72" i="1"/>
  <c r="MK5" i="1"/>
  <c r="MK18" i="1"/>
  <c r="MK23" i="1"/>
  <c r="MK15" i="1"/>
  <c r="MK14" i="1"/>
  <c r="MK59" i="1"/>
  <c r="MK38" i="1"/>
  <c r="MK21" i="1"/>
  <c r="MK27" i="1"/>
  <c r="MK17" i="1"/>
  <c r="MK68" i="1"/>
  <c r="MK121" i="1"/>
  <c r="MK24" i="1"/>
  <c r="MK30" i="1"/>
  <c r="MK40" i="1"/>
  <c r="MK35" i="1"/>
  <c r="MK29" i="1"/>
  <c r="MK37" i="1"/>
  <c r="MK28" i="1"/>
  <c r="MK19" i="1"/>
  <c r="MK33" i="1"/>
  <c r="MK109" i="1"/>
  <c r="MK64" i="1"/>
  <c r="MK63" i="1"/>
  <c r="MK77" i="1"/>
  <c r="MK115" i="1"/>
  <c r="MK31" i="1"/>
  <c r="MK41" i="1"/>
  <c r="MK191" i="1"/>
  <c r="MK85" i="1"/>
  <c r="MK62" i="1"/>
  <c r="MK36" i="1"/>
  <c r="MK32" i="1"/>
  <c r="MK34" i="1"/>
  <c r="MK93" i="1"/>
  <c r="MK117" i="1"/>
  <c r="MK154" i="1"/>
  <c r="MK107" i="1"/>
  <c r="MK98" i="1"/>
  <c r="MK138" i="1"/>
  <c r="MK75" i="1"/>
  <c r="MK122" i="1"/>
  <c r="MK84" i="1"/>
  <c r="MK116" i="1"/>
  <c r="MK186" i="1"/>
  <c r="MK89" i="1"/>
  <c r="MK70" i="1"/>
  <c r="MK61" i="1"/>
  <c r="MK74" i="1"/>
  <c r="MK88" i="1"/>
  <c r="MK73" i="1"/>
  <c r="MK111" i="1"/>
  <c r="MK87" i="1"/>
  <c r="MK82" i="1"/>
  <c r="MK53" i="1"/>
  <c r="MK175" i="1"/>
  <c r="MK55" i="1"/>
  <c r="MK51" i="1"/>
  <c r="MK157" i="1"/>
  <c r="MK158" i="1"/>
  <c r="MK83" i="1"/>
  <c r="MK91" i="1"/>
  <c r="MK105" i="1"/>
  <c r="MK103" i="1"/>
  <c r="MK188" i="1"/>
  <c r="MK163" i="1"/>
  <c r="MK101" i="1"/>
  <c r="MK65" i="1"/>
  <c r="MK60" i="1"/>
  <c r="MK80" i="1"/>
  <c r="MK56" i="1"/>
  <c r="MK57" i="1"/>
  <c r="MK25" i="1"/>
  <c r="MK104" i="1"/>
  <c r="MK66" i="1"/>
  <c r="MK58" i="1"/>
  <c r="MK155" i="1"/>
  <c r="MK156" i="1"/>
  <c r="MK134" i="1"/>
  <c r="MK92" i="1"/>
  <c r="MK67" i="1"/>
  <c r="MK126" i="1"/>
  <c r="MK145" i="1"/>
  <c r="MK135" i="1"/>
  <c r="MK159" i="1"/>
  <c r="MK76" i="1"/>
  <c r="MK114" i="1"/>
  <c r="MK161" i="1"/>
  <c r="MK160" i="1"/>
  <c r="MK95" i="1"/>
  <c r="MK120" i="1"/>
  <c r="MK42" i="1"/>
  <c r="MK183" i="1"/>
  <c r="MK112" i="1"/>
  <c r="MK148" i="1"/>
  <c r="MK179" i="1"/>
  <c r="MK128" i="1"/>
  <c r="MK144" i="1"/>
  <c r="MK110" i="1"/>
  <c r="MK81" i="1"/>
  <c r="MK100" i="1"/>
  <c r="MK123" i="1"/>
  <c r="MK86" i="1"/>
  <c r="MK174" i="1"/>
  <c r="MK201" i="1"/>
  <c r="MK90" i="1"/>
  <c r="MK102" i="1"/>
  <c r="MK94" i="1"/>
  <c r="MK119" i="1"/>
  <c r="MK141" i="1"/>
  <c r="MK147" i="1"/>
  <c r="MK165" i="1"/>
  <c r="MK132" i="1"/>
  <c r="MK189" i="1"/>
  <c r="MK133" i="1"/>
  <c r="MK206" i="1"/>
  <c r="MK78" i="1"/>
  <c r="MK143" i="1"/>
  <c r="MK150" i="1"/>
  <c r="MK130" i="1"/>
  <c r="MK96" i="1"/>
  <c r="MK182" i="1"/>
  <c r="MK195" i="1"/>
  <c r="MK178" i="1"/>
  <c r="MK181" i="1"/>
  <c r="MK194" i="1"/>
  <c r="MK208" i="1"/>
  <c r="MK129" i="1"/>
  <c r="MK180" i="1"/>
  <c r="MK140" i="1"/>
  <c r="MK125" i="1"/>
  <c r="MK131" i="1"/>
  <c r="MK173" i="1"/>
  <c r="MK184" i="1"/>
  <c r="MK190" i="1"/>
  <c r="MK142" i="1"/>
  <c r="MK69" i="1"/>
  <c r="MK151" i="1"/>
  <c r="MK193" i="1"/>
  <c r="MK169" i="1"/>
  <c r="MK166" i="1"/>
  <c r="MK97" i="1"/>
  <c r="MK79" i="1"/>
  <c r="MK146" i="1"/>
  <c r="MK204" i="1"/>
  <c r="MK113" i="1"/>
  <c r="MK172" i="1"/>
  <c r="MK171" i="1"/>
  <c r="MK185" i="1"/>
  <c r="MK137" i="1"/>
  <c r="MK205" i="1"/>
  <c r="MK177" i="1"/>
  <c r="MK199" i="1"/>
  <c r="MK106" i="1"/>
  <c r="MK203" i="1"/>
  <c r="MK124" i="1"/>
  <c r="MK170" i="1"/>
  <c r="MK152" i="1"/>
  <c r="MK118" i="1"/>
  <c r="MK198" i="1"/>
  <c r="MK200" i="1"/>
  <c r="MK136" i="1"/>
  <c r="MK108" i="1"/>
  <c r="MK149" i="1"/>
  <c r="MK187" i="1"/>
  <c r="MK168" i="1"/>
  <c r="MK162" i="1"/>
  <c r="MK139" i="1"/>
  <c r="MK196" i="1"/>
  <c r="MK153" i="1"/>
  <c r="MK197" i="1"/>
  <c r="MK176" i="1"/>
  <c r="MK202" i="1"/>
  <c r="MK167" i="1"/>
  <c r="MK207" i="1"/>
  <c r="MK192" i="1"/>
  <c r="MJ3" i="1"/>
  <c r="MJ2" i="1"/>
  <c r="MJ43" i="1"/>
  <c r="MJ71" i="1"/>
  <c r="MJ7" i="1"/>
  <c r="MJ164" i="1"/>
  <c r="MJ4" i="1"/>
  <c r="MJ99" i="1"/>
  <c r="MJ6" i="1"/>
  <c r="MJ8" i="1"/>
  <c r="MJ10" i="1"/>
  <c r="MJ9" i="1"/>
  <c r="MJ127" i="1"/>
  <c r="MJ11" i="1"/>
  <c r="MJ44" i="1"/>
  <c r="MJ39" i="1"/>
  <c r="MJ45" i="1"/>
  <c r="MJ16" i="1"/>
  <c r="MJ12" i="1"/>
  <c r="MJ48" i="1"/>
  <c r="MJ54" i="1"/>
  <c r="MJ47" i="1"/>
  <c r="MJ20" i="1"/>
  <c r="MJ50" i="1"/>
  <c r="MJ22" i="1"/>
  <c r="MJ49" i="1"/>
  <c r="MJ13" i="1"/>
  <c r="MJ26" i="1"/>
  <c r="MJ52" i="1"/>
  <c r="MJ46" i="1"/>
  <c r="MJ72" i="1"/>
  <c r="MJ5" i="1"/>
  <c r="MJ18" i="1"/>
  <c r="MJ23" i="1"/>
  <c r="MJ15" i="1"/>
  <c r="MJ14" i="1"/>
  <c r="MJ59" i="1"/>
  <c r="MJ38" i="1"/>
  <c r="MJ21" i="1"/>
  <c r="MJ27" i="1"/>
  <c r="MJ17" i="1"/>
  <c r="MJ68" i="1"/>
  <c r="MJ121" i="1"/>
  <c r="MJ24" i="1"/>
  <c r="MJ30" i="1"/>
  <c r="MJ40" i="1"/>
  <c r="MJ35" i="1"/>
  <c r="MJ29" i="1"/>
  <c r="MJ37" i="1"/>
  <c r="MJ28" i="1"/>
  <c r="MJ19" i="1"/>
  <c r="MJ33" i="1"/>
  <c r="MJ109" i="1"/>
  <c r="MJ64" i="1"/>
  <c r="MJ63" i="1"/>
  <c r="MJ77" i="1"/>
  <c r="MJ115" i="1"/>
  <c r="MJ31" i="1"/>
  <c r="MJ41" i="1"/>
  <c r="MJ191" i="1"/>
  <c r="MJ85" i="1"/>
  <c r="MJ62" i="1"/>
  <c r="MJ36" i="1"/>
  <c r="MJ32" i="1"/>
  <c r="MJ34" i="1"/>
  <c r="MJ93" i="1"/>
  <c r="MJ117" i="1"/>
  <c r="MJ154" i="1"/>
  <c r="MJ107" i="1"/>
  <c r="MJ98" i="1"/>
  <c r="MJ138" i="1"/>
  <c r="MJ75" i="1"/>
  <c r="MJ122" i="1"/>
  <c r="MJ84" i="1"/>
  <c r="MJ116" i="1"/>
  <c r="MJ186" i="1"/>
  <c r="MJ89" i="1"/>
  <c r="MJ70" i="1"/>
  <c r="MJ61" i="1"/>
  <c r="MJ74" i="1"/>
  <c r="MJ88" i="1"/>
  <c r="MJ73" i="1"/>
  <c r="MJ111" i="1"/>
  <c r="MJ87" i="1"/>
  <c r="MJ82" i="1"/>
  <c r="MJ53" i="1"/>
  <c r="MJ175" i="1"/>
  <c r="MJ55" i="1"/>
  <c r="MJ51" i="1"/>
  <c r="MJ157" i="1"/>
  <c r="MJ158" i="1"/>
  <c r="MJ83" i="1"/>
  <c r="MJ91" i="1"/>
  <c r="MJ105" i="1"/>
  <c r="MJ103" i="1"/>
  <c r="MJ188" i="1"/>
  <c r="MJ163" i="1"/>
  <c r="MJ101" i="1"/>
  <c r="MJ65" i="1"/>
  <c r="MJ60" i="1"/>
  <c r="MJ80" i="1"/>
  <c r="MJ56" i="1"/>
  <c r="MJ57" i="1"/>
  <c r="MJ25" i="1"/>
  <c r="MJ104" i="1"/>
  <c r="MJ66" i="1"/>
  <c r="MJ58" i="1"/>
  <c r="MJ155" i="1"/>
  <c r="MJ156" i="1"/>
  <c r="MJ134" i="1"/>
  <c r="MJ92" i="1"/>
  <c r="MJ67" i="1"/>
  <c r="MJ126" i="1"/>
  <c r="MJ145" i="1"/>
  <c r="MJ135" i="1"/>
  <c r="MJ159" i="1"/>
  <c r="MJ76" i="1"/>
  <c r="MJ114" i="1"/>
  <c r="MJ161" i="1"/>
  <c r="MJ160" i="1"/>
  <c r="MJ95" i="1"/>
  <c r="MJ120" i="1"/>
  <c r="MJ42" i="1"/>
  <c r="MJ183" i="1"/>
  <c r="MJ112" i="1"/>
  <c r="MJ148" i="1"/>
  <c r="MJ179" i="1"/>
  <c r="MJ128" i="1"/>
  <c r="MJ144" i="1"/>
  <c r="MJ110" i="1"/>
  <c r="MJ81" i="1"/>
  <c r="MJ100" i="1"/>
  <c r="MJ123" i="1"/>
  <c r="MJ86" i="1"/>
  <c r="MJ174" i="1"/>
  <c r="MJ201" i="1"/>
  <c r="MJ90" i="1"/>
  <c r="MJ102" i="1"/>
  <c r="MJ94" i="1"/>
  <c r="MJ119" i="1"/>
  <c r="MJ141" i="1"/>
  <c r="MJ147" i="1"/>
  <c r="MJ165" i="1"/>
  <c r="MJ132" i="1"/>
  <c r="MJ189" i="1"/>
  <c r="MJ133" i="1"/>
  <c r="MJ206" i="1"/>
  <c r="MJ78" i="1"/>
  <c r="MJ143" i="1"/>
  <c r="MJ150" i="1"/>
  <c r="MJ130" i="1"/>
  <c r="MJ96" i="1"/>
  <c r="MJ182" i="1"/>
  <c r="MJ195" i="1"/>
  <c r="MJ178" i="1"/>
  <c r="MJ181" i="1"/>
  <c r="MJ194" i="1"/>
  <c r="MJ208" i="1"/>
  <c r="MJ129" i="1"/>
  <c r="MJ180" i="1"/>
  <c r="MJ140" i="1"/>
  <c r="MJ125" i="1"/>
  <c r="MJ131" i="1"/>
  <c r="MJ173" i="1"/>
  <c r="MJ184" i="1"/>
  <c r="MJ190" i="1"/>
  <c r="MJ142" i="1"/>
  <c r="MJ69" i="1"/>
  <c r="MJ151" i="1"/>
  <c r="MJ193" i="1"/>
  <c r="MJ169" i="1"/>
  <c r="MJ166" i="1"/>
  <c r="MJ97" i="1"/>
  <c r="MJ79" i="1"/>
  <c r="MJ146" i="1"/>
  <c r="MJ204" i="1"/>
  <c r="MJ113" i="1"/>
  <c r="MJ172" i="1"/>
  <c r="MJ171" i="1"/>
  <c r="MJ185" i="1"/>
  <c r="MJ137" i="1"/>
  <c r="MJ205" i="1"/>
  <c r="MJ177" i="1"/>
  <c r="MJ199" i="1"/>
  <c r="MJ106" i="1"/>
  <c r="MJ203" i="1"/>
  <c r="MJ124" i="1"/>
  <c r="MJ170" i="1"/>
  <c r="MJ152" i="1"/>
  <c r="MJ118" i="1"/>
  <c r="MJ198" i="1"/>
  <c r="MJ200" i="1"/>
  <c r="MJ136" i="1"/>
  <c r="MJ108" i="1"/>
  <c r="MJ149" i="1"/>
  <c r="MJ187" i="1"/>
  <c r="MJ168" i="1"/>
  <c r="MJ162" i="1"/>
  <c r="MJ139" i="1"/>
  <c r="MJ196" i="1"/>
  <c r="MJ153" i="1"/>
  <c r="MJ197" i="1"/>
  <c r="MJ176" i="1"/>
  <c r="MJ202" i="1"/>
  <c r="MJ167" i="1"/>
  <c r="MJ207" i="1"/>
  <c r="MJ192" i="1"/>
  <c r="MI3" i="1"/>
  <c r="MI2" i="1"/>
  <c r="MI43" i="1"/>
  <c r="MI71" i="1"/>
  <c r="MI7" i="1"/>
  <c r="MI164" i="1"/>
  <c r="MI4" i="1"/>
  <c r="MI99" i="1"/>
  <c r="MI6" i="1"/>
  <c r="MI8" i="1"/>
  <c r="MI10" i="1"/>
  <c r="MI9" i="1"/>
  <c r="MI127" i="1"/>
  <c r="MI11" i="1"/>
  <c r="MI44" i="1"/>
  <c r="MI39" i="1"/>
  <c r="MI45" i="1"/>
  <c r="MI16" i="1"/>
  <c r="MI12" i="1"/>
  <c r="MI48" i="1"/>
  <c r="MI54" i="1"/>
  <c r="MI47" i="1"/>
  <c r="MI20" i="1"/>
  <c r="MI50" i="1"/>
  <c r="MI22" i="1"/>
  <c r="MI49" i="1"/>
  <c r="MI13" i="1"/>
  <c r="MI26" i="1"/>
  <c r="MI52" i="1"/>
  <c r="MI46" i="1"/>
  <c r="MI72" i="1"/>
  <c r="MI5" i="1"/>
  <c r="MI18" i="1"/>
  <c r="MI23" i="1"/>
  <c r="MI15" i="1"/>
  <c r="MI14" i="1"/>
  <c r="MI59" i="1"/>
  <c r="MI38" i="1"/>
  <c r="MI21" i="1"/>
  <c r="MI27" i="1"/>
  <c r="MI17" i="1"/>
  <c r="MI68" i="1"/>
  <c r="MI121" i="1"/>
  <c r="MI24" i="1"/>
  <c r="MI30" i="1"/>
  <c r="MI40" i="1"/>
  <c r="MI35" i="1"/>
  <c r="MI29" i="1"/>
  <c r="MI37" i="1"/>
  <c r="MI28" i="1"/>
  <c r="MI19" i="1"/>
  <c r="MI33" i="1"/>
  <c r="MI109" i="1"/>
  <c r="MI64" i="1"/>
  <c r="MI63" i="1"/>
  <c r="MI77" i="1"/>
  <c r="MI115" i="1"/>
  <c r="MI31" i="1"/>
  <c r="MI41" i="1"/>
  <c r="MI191" i="1"/>
  <c r="MI85" i="1"/>
  <c r="MI62" i="1"/>
  <c r="MI36" i="1"/>
  <c r="MI32" i="1"/>
  <c r="MI34" i="1"/>
  <c r="MI93" i="1"/>
  <c r="MI117" i="1"/>
  <c r="MI154" i="1"/>
  <c r="MI107" i="1"/>
  <c r="MI98" i="1"/>
  <c r="MI138" i="1"/>
  <c r="MI75" i="1"/>
  <c r="MI122" i="1"/>
  <c r="MI84" i="1"/>
  <c r="MI116" i="1"/>
  <c r="MI186" i="1"/>
  <c r="MI89" i="1"/>
  <c r="MI70" i="1"/>
  <c r="MI61" i="1"/>
  <c r="MI74" i="1"/>
  <c r="MI88" i="1"/>
  <c r="MI73" i="1"/>
  <c r="MI111" i="1"/>
  <c r="MI87" i="1"/>
  <c r="MI82" i="1"/>
  <c r="MI53" i="1"/>
  <c r="MI175" i="1"/>
  <c r="MI55" i="1"/>
  <c r="MI51" i="1"/>
  <c r="MI157" i="1"/>
  <c r="MI158" i="1"/>
  <c r="MI83" i="1"/>
  <c r="MI91" i="1"/>
  <c r="MI105" i="1"/>
  <c r="MI103" i="1"/>
  <c r="MI188" i="1"/>
  <c r="MI163" i="1"/>
  <c r="MI101" i="1"/>
  <c r="MI65" i="1"/>
  <c r="MI60" i="1"/>
  <c r="MI80" i="1"/>
  <c r="MI56" i="1"/>
  <c r="MI57" i="1"/>
  <c r="MI25" i="1"/>
  <c r="MI104" i="1"/>
  <c r="MI66" i="1"/>
  <c r="MI58" i="1"/>
  <c r="MI155" i="1"/>
  <c r="MI156" i="1"/>
  <c r="MI134" i="1"/>
  <c r="MI92" i="1"/>
  <c r="MI67" i="1"/>
  <c r="MI126" i="1"/>
  <c r="MI145" i="1"/>
  <c r="MI135" i="1"/>
  <c r="MI159" i="1"/>
  <c r="MI76" i="1"/>
  <c r="MI114" i="1"/>
  <c r="MI161" i="1"/>
  <c r="MI160" i="1"/>
  <c r="MI95" i="1"/>
  <c r="MI120" i="1"/>
  <c r="MI42" i="1"/>
  <c r="MI183" i="1"/>
  <c r="MI112" i="1"/>
  <c r="MI148" i="1"/>
  <c r="MI179" i="1"/>
  <c r="MI128" i="1"/>
  <c r="MI144" i="1"/>
  <c r="MI110" i="1"/>
  <c r="MI81" i="1"/>
  <c r="MI100" i="1"/>
  <c r="MI123" i="1"/>
  <c r="MI86" i="1"/>
  <c r="MI174" i="1"/>
  <c r="MI201" i="1"/>
  <c r="MI90" i="1"/>
  <c r="MI102" i="1"/>
  <c r="MI94" i="1"/>
  <c r="MI119" i="1"/>
  <c r="MI141" i="1"/>
  <c r="MI147" i="1"/>
  <c r="MI165" i="1"/>
  <c r="MI132" i="1"/>
  <c r="MI189" i="1"/>
  <c r="MI133" i="1"/>
  <c r="MI206" i="1"/>
  <c r="MI78" i="1"/>
  <c r="MI143" i="1"/>
  <c r="MI150" i="1"/>
  <c r="MI130" i="1"/>
  <c r="MI96" i="1"/>
  <c r="MI182" i="1"/>
  <c r="MI195" i="1"/>
  <c r="MI178" i="1"/>
  <c r="MI181" i="1"/>
  <c r="MI194" i="1"/>
  <c r="MI208" i="1"/>
  <c r="MI129" i="1"/>
  <c r="MI180" i="1"/>
  <c r="MI140" i="1"/>
  <c r="MI125" i="1"/>
  <c r="MI131" i="1"/>
  <c r="MI173" i="1"/>
  <c r="MI184" i="1"/>
  <c r="MI190" i="1"/>
  <c r="MI142" i="1"/>
  <c r="MI69" i="1"/>
  <c r="MI151" i="1"/>
  <c r="MI193" i="1"/>
  <c r="MI169" i="1"/>
  <c r="MI166" i="1"/>
  <c r="MI97" i="1"/>
  <c r="MI79" i="1"/>
  <c r="MI146" i="1"/>
  <c r="MI204" i="1"/>
  <c r="MI113" i="1"/>
  <c r="MI172" i="1"/>
  <c r="MI171" i="1"/>
  <c r="MI185" i="1"/>
  <c r="MI137" i="1"/>
  <c r="MI205" i="1"/>
  <c r="MI177" i="1"/>
  <c r="MI199" i="1"/>
  <c r="MI106" i="1"/>
  <c r="MI203" i="1"/>
  <c r="MI124" i="1"/>
  <c r="MI170" i="1"/>
  <c r="MI152" i="1"/>
  <c r="MI118" i="1"/>
  <c r="MI198" i="1"/>
  <c r="MI200" i="1"/>
  <c r="MI136" i="1"/>
  <c r="MI108" i="1"/>
  <c r="MI149" i="1"/>
  <c r="MI187" i="1"/>
  <c r="MI168" i="1"/>
  <c r="MI162" i="1"/>
  <c r="MI139" i="1"/>
  <c r="MI196" i="1"/>
  <c r="MI153" i="1"/>
  <c r="MI197" i="1"/>
  <c r="MI176" i="1"/>
  <c r="MI202" i="1"/>
  <c r="MI167" i="1"/>
  <c r="MI207" i="1"/>
  <c r="MI192" i="1"/>
  <c r="MH3" i="1"/>
  <c r="MH2" i="1"/>
  <c r="MH43" i="1"/>
  <c r="MH71" i="1"/>
  <c r="MH7" i="1"/>
  <c r="MH164" i="1"/>
  <c r="MH4" i="1"/>
  <c r="MH99" i="1"/>
  <c r="MH6" i="1"/>
  <c r="MH8" i="1"/>
  <c r="MH10" i="1"/>
  <c r="MH9" i="1"/>
  <c r="MH127" i="1"/>
  <c r="MH11" i="1"/>
  <c r="MH44" i="1"/>
  <c r="MH39" i="1"/>
  <c r="MH45" i="1"/>
  <c r="MH16" i="1"/>
  <c r="MH12" i="1"/>
  <c r="MH48" i="1"/>
  <c r="MH54" i="1"/>
  <c r="MH47" i="1"/>
  <c r="MH20" i="1"/>
  <c r="MH50" i="1"/>
  <c r="MH22" i="1"/>
  <c r="MH49" i="1"/>
  <c r="MH13" i="1"/>
  <c r="MH26" i="1"/>
  <c r="MH52" i="1"/>
  <c r="MH46" i="1"/>
  <c r="MH72" i="1"/>
  <c r="MH5" i="1"/>
  <c r="MH18" i="1"/>
  <c r="MH23" i="1"/>
  <c r="MH15" i="1"/>
  <c r="MH14" i="1"/>
  <c r="MH59" i="1"/>
  <c r="MH38" i="1"/>
  <c r="MH21" i="1"/>
  <c r="MH27" i="1"/>
  <c r="MH17" i="1"/>
  <c r="MH68" i="1"/>
  <c r="MH121" i="1"/>
  <c r="MH24" i="1"/>
  <c r="MH30" i="1"/>
  <c r="MH40" i="1"/>
  <c r="MH35" i="1"/>
  <c r="MH29" i="1"/>
  <c r="MH37" i="1"/>
  <c r="MH28" i="1"/>
  <c r="MH19" i="1"/>
  <c r="MH33" i="1"/>
  <c r="MH109" i="1"/>
  <c r="MH64" i="1"/>
  <c r="MH63" i="1"/>
  <c r="MH77" i="1"/>
  <c r="MH115" i="1"/>
  <c r="MH31" i="1"/>
  <c r="MH41" i="1"/>
  <c r="MH191" i="1"/>
  <c r="MH85" i="1"/>
  <c r="MH62" i="1"/>
  <c r="MH36" i="1"/>
  <c r="MH32" i="1"/>
  <c r="MH34" i="1"/>
  <c r="MH93" i="1"/>
  <c r="MH117" i="1"/>
  <c r="MH154" i="1"/>
  <c r="MH107" i="1"/>
  <c r="MH98" i="1"/>
  <c r="MH138" i="1"/>
  <c r="MH75" i="1"/>
  <c r="MH122" i="1"/>
  <c r="MH84" i="1"/>
  <c r="MH116" i="1"/>
  <c r="MH186" i="1"/>
  <c r="MH89" i="1"/>
  <c r="MH70" i="1"/>
  <c r="MH61" i="1"/>
  <c r="MH74" i="1"/>
  <c r="MH88" i="1"/>
  <c r="MH73" i="1"/>
  <c r="MH111" i="1"/>
  <c r="MH87" i="1"/>
  <c r="MH82" i="1"/>
  <c r="MH53" i="1"/>
  <c r="MH175" i="1"/>
  <c r="MH55" i="1"/>
  <c r="MH51" i="1"/>
  <c r="MH157" i="1"/>
  <c r="MH158" i="1"/>
  <c r="MH83" i="1"/>
  <c r="MH91" i="1"/>
  <c r="MH105" i="1"/>
  <c r="MH103" i="1"/>
  <c r="MH188" i="1"/>
  <c r="MH163" i="1"/>
  <c r="MH101" i="1"/>
  <c r="MH65" i="1"/>
  <c r="MH60" i="1"/>
  <c r="MH80" i="1"/>
  <c r="MH56" i="1"/>
  <c r="MH57" i="1"/>
  <c r="MH25" i="1"/>
  <c r="MH104" i="1"/>
  <c r="MH66" i="1"/>
  <c r="MH58" i="1"/>
  <c r="MH155" i="1"/>
  <c r="MH156" i="1"/>
  <c r="MH134" i="1"/>
  <c r="MH92" i="1"/>
  <c r="MH67" i="1"/>
  <c r="MH126" i="1"/>
  <c r="MH145" i="1"/>
  <c r="MH135" i="1"/>
  <c r="MH159" i="1"/>
  <c r="MH76" i="1"/>
  <c r="MH114" i="1"/>
  <c r="MH161" i="1"/>
  <c r="MH160" i="1"/>
  <c r="MH95" i="1"/>
  <c r="MH120" i="1"/>
  <c r="MH42" i="1"/>
  <c r="MH183" i="1"/>
  <c r="MH112" i="1"/>
  <c r="MH148" i="1"/>
  <c r="MH179" i="1"/>
  <c r="MH128" i="1"/>
  <c r="MH144" i="1"/>
  <c r="MH110" i="1"/>
  <c r="MH81" i="1"/>
  <c r="MH100" i="1"/>
  <c r="MH123" i="1"/>
  <c r="MH86" i="1"/>
  <c r="MH174" i="1"/>
  <c r="MH201" i="1"/>
  <c r="MH90" i="1"/>
  <c r="MH102" i="1"/>
  <c r="MH94" i="1"/>
  <c r="MH119" i="1"/>
  <c r="MH141" i="1"/>
  <c r="MH147" i="1"/>
  <c r="MH165" i="1"/>
  <c r="MH132" i="1"/>
  <c r="MH189" i="1"/>
  <c r="MH133" i="1"/>
  <c r="MH206" i="1"/>
  <c r="MH78" i="1"/>
  <c r="MH143" i="1"/>
  <c r="MH150" i="1"/>
  <c r="MH130" i="1"/>
  <c r="MH96" i="1"/>
  <c r="MH182" i="1"/>
  <c r="MH195" i="1"/>
  <c r="MH178" i="1"/>
  <c r="MH181" i="1"/>
  <c r="MH194" i="1"/>
  <c r="MH208" i="1"/>
  <c r="MH129" i="1"/>
  <c r="MH180" i="1"/>
  <c r="MH140" i="1"/>
  <c r="MH125" i="1"/>
  <c r="MH131" i="1"/>
  <c r="MH173" i="1"/>
  <c r="MH184" i="1"/>
  <c r="MH190" i="1"/>
  <c r="MH142" i="1"/>
  <c r="MH69" i="1"/>
  <c r="MH151" i="1"/>
  <c r="MH193" i="1"/>
  <c r="MH169" i="1"/>
  <c r="MH166" i="1"/>
  <c r="MH97" i="1"/>
  <c r="MH79" i="1"/>
  <c r="MH146" i="1"/>
  <c r="MH204" i="1"/>
  <c r="MH113" i="1"/>
  <c r="MH172" i="1"/>
  <c r="MH171" i="1"/>
  <c r="MH185" i="1"/>
  <c r="MH137" i="1"/>
  <c r="MH205" i="1"/>
  <c r="MH177" i="1"/>
  <c r="MH199" i="1"/>
  <c r="MH106" i="1"/>
  <c r="MH203" i="1"/>
  <c r="MH124" i="1"/>
  <c r="MH170" i="1"/>
  <c r="MH152" i="1"/>
  <c r="MH118" i="1"/>
  <c r="MH198" i="1"/>
  <c r="MH200" i="1"/>
  <c r="MH136" i="1"/>
  <c r="MH108" i="1"/>
  <c r="MH149" i="1"/>
  <c r="MH187" i="1"/>
  <c r="MH168" i="1"/>
  <c r="MH162" i="1"/>
  <c r="MH139" i="1"/>
  <c r="MH196" i="1"/>
  <c r="MH153" i="1"/>
  <c r="MH197" i="1"/>
  <c r="MH176" i="1"/>
  <c r="MH202" i="1"/>
  <c r="MH167" i="1"/>
  <c r="MH207" i="1"/>
  <c r="MH192" i="1"/>
  <c r="MG3" i="1"/>
  <c r="MG2" i="1"/>
  <c r="MG43" i="1"/>
  <c r="MG71" i="1"/>
  <c r="MG7" i="1"/>
  <c r="MG164" i="1"/>
  <c r="MG4" i="1"/>
  <c r="MG99" i="1"/>
  <c r="MG6" i="1"/>
  <c r="MG8" i="1"/>
  <c r="MG10" i="1"/>
  <c r="MG9" i="1"/>
  <c r="MG127" i="1"/>
  <c r="MG11" i="1"/>
  <c r="MG44" i="1"/>
  <c r="MG39" i="1"/>
  <c r="MG45" i="1"/>
  <c r="MG16" i="1"/>
  <c r="MG12" i="1"/>
  <c r="MG48" i="1"/>
  <c r="MG54" i="1"/>
  <c r="MG47" i="1"/>
  <c r="MG20" i="1"/>
  <c r="MG50" i="1"/>
  <c r="MG22" i="1"/>
  <c r="MG49" i="1"/>
  <c r="MG13" i="1"/>
  <c r="MG26" i="1"/>
  <c r="MG52" i="1"/>
  <c r="MG46" i="1"/>
  <c r="MG72" i="1"/>
  <c r="MG5" i="1"/>
  <c r="MG18" i="1"/>
  <c r="MG23" i="1"/>
  <c r="MG15" i="1"/>
  <c r="MG14" i="1"/>
  <c r="MG59" i="1"/>
  <c r="MG38" i="1"/>
  <c r="MG21" i="1"/>
  <c r="MG27" i="1"/>
  <c r="MG17" i="1"/>
  <c r="MG68" i="1"/>
  <c r="MG121" i="1"/>
  <c r="MG24" i="1"/>
  <c r="MG30" i="1"/>
  <c r="MG40" i="1"/>
  <c r="MG35" i="1"/>
  <c r="MG29" i="1"/>
  <c r="MG37" i="1"/>
  <c r="MG28" i="1"/>
  <c r="MG19" i="1"/>
  <c r="MG33" i="1"/>
  <c r="MG109" i="1"/>
  <c r="MG64" i="1"/>
  <c r="MG63" i="1"/>
  <c r="MG77" i="1"/>
  <c r="MG115" i="1"/>
  <c r="MG31" i="1"/>
  <c r="MG41" i="1"/>
  <c r="MG191" i="1"/>
  <c r="MG85" i="1"/>
  <c r="MG62" i="1"/>
  <c r="MG36" i="1"/>
  <c r="MG32" i="1"/>
  <c r="MG34" i="1"/>
  <c r="MG93" i="1"/>
  <c r="MG117" i="1"/>
  <c r="MG154" i="1"/>
  <c r="MG107" i="1"/>
  <c r="MG98" i="1"/>
  <c r="MG138" i="1"/>
  <c r="MG75" i="1"/>
  <c r="MG122" i="1"/>
  <c r="MG84" i="1"/>
  <c r="MG116" i="1"/>
  <c r="MG186" i="1"/>
  <c r="MG89" i="1"/>
  <c r="MG70" i="1"/>
  <c r="MG61" i="1"/>
  <c r="MG74" i="1"/>
  <c r="MG88" i="1"/>
  <c r="MG73" i="1"/>
  <c r="MG111" i="1"/>
  <c r="MG87" i="1"/>
  <c r="MG82" i="1"/>
  <c r="MG53" i="1"/>
  <c r="MG175" i="1"/>
  <c r="MG55" i="1"/>
  <c r="MG51" i="1"/>
  <c r="MG157" i="1"/>
  <c r="MG158" i="1"/>
  <c r="MG83" i="1"/>
  <c r="MG91" i="1"/>
  <c r="MG105" i="1"/>
  <c r="MG103" i="1"/>
  <c r="MG188" i="1"/>
  <c r="MG163" i="1"/>
  <c r="MG101" i="1"/>
  <c r="MG65" i="1"/>
  <c r="MG60" i="1"/>
  <c r="MG80" i="1"/>
  <c r="MG56" i="1"/>
  <c r="MG57" i="1"/>
  <c r="MG25" i="1"/>
  <c r="MG104" i="1"/>
  <c r="MG66" i="1"/>
  <c r="MG58" i="1"/>
  <c r="MG155" i="1"/>
  <c r="MG156" i="1"/>
  <c r="MG134" i="1"/>
  <c r="MG92" i="1"/>
  <c r="MG67" i="1"/>
  <c r="MG126" i="1"/>
  <c r="MG145" i="1"/>
  <c r="MG135" i="1"/>
  <c r="MG159" i="1"/>
  <c r="MG76" i="1"/>
  <c r="MG114" i="1"/>
  <c r="MG161" i="1"/>
  <c r="MG160" i="1"/>
  <c r="MG95" i="1"/>
  <c r="MG120" i="1"/>
  <c r="MG42" i="1"/>
  <c r="MG183" i="1"/>
  <c r="MG112" i="1"/>
  <c r="MG148" i="1"/>
  <c r="MG179" i="1"/>
  <c r="MG128" i="1"/>
  <c r="MG144" i="1"/>
  <c r="MG110" i="1"/>
  <c r="MG81" i="1"/>
  <c r="MG100" i="1"/>
  <c r="MG123" i="1"/>
  <c r="MG86" i="1"/>
  <c r="MG174" i="1"/>
  <c r="MG201" i="1"/>
  <c r="MG90" i="1"/>
  <c r="MG102" i="1"/>
  <c r="MG94" i="1"/>
  <c r="MG119" i="1"/>
  <c r="MG141" i="1"/>
  <c r="MG147" i="1"/>
  <c r="MG165" i="1"/>
  <c r="MG132" i="1"/>
  <c r="MG189" i="1"/>
  <c r="MG133" i="1"/>
  <c r="MG206" i="1"/>
  <c r="MG78" i="1"/>
  <c r="MG143" i="1"/>
  <c r="MG150" i="1"/>
  <c r="MG130" i="1"/>
  <c r="MG96" i="1"/>
  <c r="MG182" i="1"/>
  <c r="MG195" i="1"/>
  <c r="MG178" i="1"/>
  <c r="MG181" i="1"/>
  <c r="MG194" i="1"/>
  <c r="MG208" i="1"/>
  <c r="MG129" i="1"/>
  <c r="MG180" i="1"/>
  <c r="MG140" i="1"/>
  <c r="MG125" i="1"/>
  <c r="MG131" i="1"/>
  <c r="MG173" i="1"/>
  <c r="MG184" i="1"/>
  <c r="MG190" i="1"/>
  <c r="MG142" i="1"/>
  <c r="MG69" i="1"/>
  <c r="MG151" i="1"/>
  <c r="MG193" i="1"/>
  <c r="MG169" i="1"/>
  <c r="MG166" i="1"/>
  <c r="MG97" i="1"/>
  <c r="MG79" i="1"/>
  <c r="MG146" i="1"/>
  <c r="MG204" i="1"/>
  <c r="MG113" i="1"/>
  <c r="MG172" i="1"/>
  <c r="MG171" i="1"/>
  <c r="MG185" i="1"/>
  <c r="MG137" i="1"/>
  <c r="MG205" i="1"/>
  <c r="MG177" i="1"/>
  <c r="MG199" i="1"/>
  <c r="MG106" i="1"/>
  <c r="MG203" i="1"/>
  <c r="MG124" i="1"/>
  <c r="MG170" i="1"/>
  <c r="MG152" i="1"/>
  <c r="MG118" i="1"/>
  <c r="MG198" i="1"/>
  <c r="MG200" i="1"/>
  <c r="MG136" i="1"/>
  <c r="MG108" i="1"/>
  <c r="MG149" i="1"/>
  <c r="MG187" i="1"/>
  <c r="MG168" i="1"/>
  <c r="MG162" i="1"/>
  <c r="MG139" i="1"/>
  <c r="MG196" i="1"/>
  <c r="MG153" i="1"/>
  <c r="MG197" i="1"/>
  <c r="MG176" i="1"/>
  <c r="MG202" i="1"/>
  <c r="MG167" i="1"/>
  <c r="MG207" i="1"/>
  <c r="MG192" i="1"/>
  <c r="MF3" i="1"/>
  <c r="MF2" i="1"/>
  <c r="MF43" i="1"/>
  <c r="MF71" i="1"/>
  <c r="MF7" i="1"/>
  <c r="MF164" i="1"/>
  <c r="MF4" i="1"/>
  <c r="MF99" i="1"/>
  <c r="MF6" i="1"/>
  <c r="MF8" i="1"/>
  <c r="MF10" i="1"/>
  <c r="MF9" i="1"/>
  <c r="MF127" i="1"/>
  <c r="MF11" i="1"/>
  <c r="MF44" i="1"/>
  <c r="MF39" i="1"/>
  <c r="MF45" i="1"/>
  <c r="MF16" i="1"/>
  <c r="MF12" i="1"/>
  <c r="MF48" i="1"/>
  <c r="MF54" i="1"/>
  <c r="MF47" i="1"/>
  <c r="MF20" i="1"/>
  <c r="MF50" i="1"/>
  <c r="MF22" i="1"/>
  <c r="MF49" i="1"/>
  <c r="MF13" i="1"/>
  <c r="MF26" i="1"/>
  <c r="MF52" i="1"/>
  <c r="MF46" i="1"/>
  <c r="MF72" i="1"/>
  <c r="MF5" i="1"/>
  <c r="MF18" i="1"/>
  <c r="MF23" i="1"/>
  <c r="MF15" i="1"/>
  <c r="MF14" i="1"/>
  <c r="MF59" i="1"/>
  <c r="MF38" i="1"/>
  <c r="MF21" i="1"/>
  <c r="MF27" i="1"/>
  <c r="MF17" i="1"/>
  <c r="MF68" i="1"/>
  <c r="MF121" i="1"/>
  <c r="MF24" i="1"/>
  <c r="MF30" i="1"/>
  <c r="MF40" i="1"/>
  <c r="MF35" i="1"/>
  <c r="MF29" i="1"/>
  <c r="MF37" i="1"/>
  <c r="MF28" i="1"/>
  <c r="MF19" i="1"/>
  <c r="MF33" i="1"/>
  <c r="MF109" i="1"/>
  <c r="MF64" i="1"/>
  <c r="MF63" i="1"/>
  <c r="MF77" i="1"/>
  <c r="MF115" i="1"/>
  <c r="MF31" i="1"/>
  <c r="MF41" i="1"/>
  <c r="MF191" i="1"/>
  <c r="MF85" i="1"/>
  <c r="MF62" i="1"/>
  <c r="MF36" i="1"/>
  <c r="MF32" i="1"/>
  <c r="MF34" i="1"/>
  <c r="MF93" i="1"/>
  <c r="MF117" i="1"/>
  <c r="MF154" i="1"/>
  <c r="MF107" i="1"/>
  <c r="MF98" i="1"/>
  <c r="MF138" i="1"/>
  <c r="MF75" i="1"/>
  <c r="MF122" i="1"/>
  <c r="MF84" i="1"/>
  <c r="MF116" i="1"/>
  <c r="MF186" i="1"/>
  <c r="MF89" i="1"/>
  <c r="MF70" i="1"/>
  <c r="MF61" i="1"/>
  <c r="MF74" i="1"/>
  <c r="MF88" i="1"/>
  <c r="MF73" i="1"/>
  <c r="MF111" i="1"/>
  <c r="MF87" i="1"/>
  <c r="MF82" i="1"/>
  <c r="MF53" i="1"/>
  <c r="MF175" i="1"/>
  <c r="MF55" i="1"/>
  <c r="MF51" i="1"/>
  <c r="MF157" i="1"/>
  <c r="MF158" i="1"/>
  <c r="MF83" i="1"/>
  <c r="MF91" i="1"/>
  <c r="MF105" i="1"/>
  <c r="MF103" i="1"/>
  <c r="MF188" i="1"/>
  <c r="MF163" i="1"/>
  <c r="MF101" i="1"/>
  <c r="MF65" i="1"/>
  <c r="MF60" i="1"/>
  <c r="MF80" i="1"/>
  <c r="MF56" i="1"/>
  <c r="MF57" i="1"/>
  <c r="MF25" i="1"/>
  <c r="MF104" i="1"/>
  <c r="MF66" i="1"/>
  <c r="MF58" i="1"/>
  <c r="MF155" i="1"/>
  <c r="MF156" i="1"/>
  <c r="MF134" i="1"/>
  <c r="MF92" i="1"/>
  <c r="MF67" i="1"/>
  <c r="MF126" i="1"/>
  <c r="MF145" i="1"/>
  <c r="MF135" i="1"/>
  <c r="MF159" i="1"/>
  <c r="MF76" i="1"/>
  <c r="MF114" i="1"/>
  <c r="MF161" i="1"/>
  <c r="MF160" i="1"/>
  <c r="MF95" i="1"/>
  <c r="MF120" i="1"/>
  <c r="MF42" i="1"/>
  <c r="MF183" i="1"/>
  <c r="MF112" i="1"/>
  <c r="MF148" i="1"/>
  <c r="MF179" i="1"/>
  <c r="MF128" i="1"/>
  <c r="MF144" i="1"/>
  <c r="MF110" i="1"/>
  <c r="MF81" i="1"/>
  <c r="MF100" i="1"/>
  <c r="MF123" i="1"/>
  <c r="MF86" i="1"/>
  <c r="MF174" i="1"/>
  <c r="MF201" i="1"/>
  <c r="MF90" i="1"/>
  <c r="MF102" i="1"/>
  <c r="MF94" i="1"/>
  <c r="MF119" i="1"/>
  <c r="MF141" i="1"/>
  <c r="MF147" i="1"/>
  <c r="MF165" i="1"/>
  <c r="MF132" i="1"/>
  <c r="MF189" i="1"/>
  <c r="MF133" i="1"/>
  <c r="MF206" i="1"/>
  <c r="MF78" i="1"/>
  <c r="MF143" i="1"/>
  <c r="MF150" i="1"/>
  <c r="MF130" i="1"/>
  <c r="MF96" i="1"/>
  <c r="MF182" i="1"/>
  <c r="MF195" i="1"/>
  <c r="MF178" i="1"/>
  <c r="MF181" i="1"/>
  <c r="MF194" i="1"/>
  <c r="MF208" i="1"/>
  <c r="MF129" i="1"/>
  <c r="MF180" i="1"/>
  <c r="MF140" i="1"/>
  <c r="MF125" i="1"/>
  <c r="MF131" i="1"/>
  <c r="MF173" i="1"/>
  <c r="MF184" i="1"/>
  <c r="MF190" i="1"/>
  <c r="MF142" i="1"/>
  <c r="MF69" i="1"/>
  <c r="MF151" i="1"/>
  <c r="MF193" i="1"/>
  <c r="MF169" i="1"/>
  <c r="MF166" i="1"/>
  <c r="MF97" i="1"/>
  <c r="MF79" i="1"/>
  <c r="MF146" i="1"/>
  <c r="MF204" i="1"/>
  <c r="MF113" i="1"/>
  <c r="MF172" i="1"/>
  <c r="MF171" i="1"/>
  <c r="MF185" i="1"/>
  <c r="MF137" i="1"/>
  <c r="MF205" i="1"/>
  <c r="MF177" i="1"/>
  <c r="MF199" i="1"/>
  <c r="MF106" i="1"/>
  <c r="MF203" i="1"/>
  <c r="MF124" i="1"/>
  <c r="MF170" i="1"/>
  <c r="MF152" i="1"/>
  <c r="MF118" i="1"/>
  <c r="MF198" i="1"/>
  <c r="MF200" i="1"/>
  <c r="MF136" i="1"/>
  <c r="MF108" i="1"/>
  <c r="MF149" i="1"/>
  <c r="MF187" i="1"/>
  <c r="MF168" i="1"/>
  <c r="MF162" i="1"/>
  <c r="MF139" i="1"/>
  <c r="MF196" i="1"/>
  <c r="MF153" i="1"/>
  <c r="MF197" i="1"/>
  <c r="MF176" i="1"/>
  <c r="MF202" i="1"/>
  <c r="MF167" i="1"/>
  <c r="MF207" i="1"/>
  <c r="MF192" i="1"/>
  <c r="ME3" i="1"/>
  <c r="ME2" i="1"/>
  <c r="ME43" i="1"/>
  <c r="ME71" i="1"/>
  <c r="ME7" i="1"/>
  <c r="ME164" i="1"/>
  <c r="ME4" i="1"/>
  <c r="ME99" i="1"/>
  <c r="ME6" i="1"/>
  <c r="ME8" i="1"/>
  <c r="ME10" i="1"/>
  <c r="ME9" i="1"/>
  <c r="ME127" i="1"/>
  <c r="ME11" i="1"/>
  <c r="ME44" i="1"/>
  <c r="ME39" i="1"/>
  <c r="ME45" i="1"/>
  <c r="ME16" i="1"/>
  <c r="ME12" i="1"/>
  <c r="ME48" i="1"/>
  <c r="ME54" i="1"/>
  <c r="ME47" i="1"/>
  <c r="ME20" i="1"/>
  <c r="ME50" i="1"/>
  <c r="ME22" i="1"/>
  <c r="ME49" i="1"/>
  <c r="ME13" i="1"/>
  <c r="ME26" i="1"/>
  <c r="ME52" i="1"/>
  <c r="ME46" i="1"/>
  <c r="ME72" i="1"/>
  <c r="ME5" i="1"/>
  <c r="ME18" i="1"/>
  <c r="ME23" i="1"/>
  <c r="ME15" i="1"/>
  <c r="ME14" i="1"/>
  <c r="ME59" i="1"/>
  <c r="ME38" i="1"/>
  <c r="ME21" i="1"/>
  <c r="ME27" i="1"/>
  <c r="ME17" i="1"/>
  <c r="ME68" i="1"/>
  <c r="ME121" i="1"/>
  <c r="ME24" i="1"/>
  <c r="ME30" i="1"/>
  <c r="ME40" i="1"/>
  <c r="ME35" i="1"/>
  <c r="ME29" i="1"/>
  <c r="ME37" i="1"/>
  <c r="ME28" i="1"/>
  <c r="ME19" i="1"/>
  <c r="ME33" i="1"/>
  <c r="ME109" i="1"/>
  <c r="ME64" i="1"/>
  <c r="ME63" i="1"/>
  <c r="ME77" i="1"/>
  <c r="ME115" i="1"/>
  <c r="ME31" i="1"/>
  <c r="ME41" i="1"/>
  <c r="ME191" i="1"/>
  <c r="ME85" i="1"/>
  <c r="ME62" i="1"/>
  <c r="ME36" i="1"/>
  <c r="ME32" i="1"/>
  <c r="ME34" i="1"/>
  <c r="ME93" i="1"/>
  <c r="ME117" i="1"/>
  <c r="ME154" i="1"/>
  <c r="ME107" i="1"/>
  <c r="ME98" i="1"/>
  <c r="ME138" i="1"/>
  <c r="ME75" i="1"/>
  <c r="ME122" i="1"/>
  <c r="ME84" i="1"/>
  <c r="ME116" i="1"/>
  <c r="ME186" i="1"/>
  <c r="ME89" i="1"/>
  <c r="ME70" i="1"/>
  <c r="ME61" i="1"/>
  <c r="ME74" i="1"/>
  <c r="ME88" i="1"/>
  <c r="ME73" i="1"/>
  <c r="ME111" i="1"/>
  <c r="ME87" i="1"/>
  <c r="ME82" i="1"/>
  <c r="ME53" i="1"/>
  <c r="ME175" i="1"/>
  <c r="ME55" i="1"/>
  <c r="ME51" i="1"/>
  <c r="ME157" i="1"/>
  <c r="ME158" i="1"/>
  <c r="ME83" i="1"/>
  <c r="ME91" i="1"/>
  <c r="ME105" i="1"/>
  <c r="ME103" i="1"/>
  <c r="ME188" i="1"/>
  <c r="ME163" i="1"/>
  <c r="ME101" i="1"/>
  <c r="ME65" i="1"/>
  <c r="ME60" i="1"/>
  <c r="ME80" i="1"/>
  <c r="ME56" i="1"/>
  <c r="ME57" i="1"/>
  <c r="ME25" i="1"/>
  <c r="ME104" i="1"/>
  <c r="ME66" i="1"/>
  <c r="ME58" i="1"/>
  <c r="ME155" i="1"/>
  <c r="ME156" i="1"/>
  <c r="ME134" i="1"/>
  <c r="ME92" i="1"/>
  <c r="ME67" i="1"/>
  <c r="ME126" i="1"/>
  <c r="ME145" i="1"/>
  <c r="ME135" i="1"/>
  <c r="ME159" i="1"/>
  <c r="ME76" i="1"/>
  <c r="ME114" i="1"/>
  <c r="ME161" i="1"/>
  <c r="ME160" i="1"/>
  <c r="ME95" i="1"/>
  <c r="ME120" i="1"/>
  <c r="ME42" i="1"/>
  <c r="ME183" i="1"/>
  <c r="ME112" i="1"/>
  <c r="ME148" i="1"/>
  <c r="ME179" i="1"/>
  <c r="ME128" i="1"/>
  <c r="ME144" i="1"/>
  <c r="ME110" i="1"/>
  <c r="ME81" i="1"/>
  <c r="ME100" i="1"/>
  <c r="ME123" i="1"/>
  <c r="ME86" i="1"/>
  <c r="ME174" i="1"/>
  <c r="ME201" i="1"/>
  <c r="ME90" i="1"/>
  <c r="ME102" i="1"/>
  <c r="ME94" i="1"/>
  <c r="ME119" i="1"/>
  <c r="ME141" i="1"/>
  <c r="ME147" i="1"/>
  <c r="ME165" i="1"/>
  <c r="ME132" i="1"/>
  <c r="ME189" i="1"/>
  <c r="ME133" i="1"/>
  <c r="ME206" i="1"/>
  <c r="ME78" i="1"/>
  <c r="ME143" i="1"/>
  <c r="ME150" i="1"/>
  <c r="ME130" i="1"/>
  <c r="ME96" i="1"/>
  <c r="ME182" i="1"/>
  <c r="ME195" i="1"/>
  <c r="ME178" i="1"/>
  <c r="ME181" i="1"/>
  <c r="ME194" i="1"/>
  <c r="ME208" i="1"/>
  <c r="ME129" i="1"/>
  <c r="ME180" i="1"/>
  <c r="ME140" i="1"/>
  <c r="ME125" i="1"/>
  <c r="ME131" i="1"/>
  <c r="ME173" i="1"/>
  <c r="ME184" i="1"/>
  <c r="ME190" i="1"/>
  <c r="ME142" i="1"/>
  <c r="ME69" i="1"/>
  <c r="ME151" i="1"/>
  <c r="ME193" i="1"/>
  <c r="ME169" i="1"/>
  <c r="ME166" i="1"/>
  <c r="ME97" i="1"/>
  <c r="ME79" i="1"/>
  <c r="ME146" i="1"/>
  <c r="ME204" i="1"/>
  <c r="ME113" i="1"/>
  <c r="ME172" i="1"/>
  <c r="ME171" i="1"/>
  <c r="ME185" i="1"/>
  <c r="ME137" i="1"/>
  <c r="ME205" i="1"/>
  <c r="ME177" i="1"/>
  <c r="ME199" i="1"/>
  <c r="ME106" i="1"/>
  <c r="ME203" i="1"/>
  <c r="ME124" i="1"/>
  <c r="ME170" i="1"/>
  <c r="ME152" i="1"/>
  <c r="ME118" i="1"/>
  <c r="ME198" i="1"/>
  <c r="ME200" i="1"/>
  <c r="ME136" i="1"/>
  <c r="ME108" i="1"/>
  <c r="ME149" i="1"/>
  <c r="ME187" i="1"/>
  <c r="ME168" i="1"/>
  <c r="ME162" i="1"/>
  <c r="ME139" i="1"/>
  <c r="ME196" i="1"/>
  <c r="ME153" i="1"/>
  <c r="ME197" i="1"/>
  <c r="ME176" i="1"/>
  <c r="ME202" i="1"/>
  <c r="ME167" i="1"/>
  <c r="ME207" i="1"/>
  <c r="ME192" i="1"/>
  <c r="MD3" i="1"/>
  <c r="MD43" i="1"/>
  <c r="MD71" i="1"/>
  <c r="MD7" i="1"/>
  <c r="MD164" i="1"/>
  <c r="MD4" i="1"/>
  <c r="MD99" i="1"/>
  <c r="MD6" i="1"/>
  <c r="MD8" i="1"/>
  <c r="MD10" i="1"/>
  <c r="MD9" i="1"/>
  <c r="MD127" i="1"/>
  <c r="MD11" i="1"/>
  <c r="MD44" i="1"/>
  <c r="MD39" i="1"/>
  <c r="MD45" i="1"/>
  <c r="MD16" i="1"/>
  <c r="MD12" i="1"/>
  <c r="MD48" i="1"/>
  <c r="MD54" i="1"/>
  <c r="MD47" i="1"/>
  <c r="MD20" i="1"/>
  <c r="MD50" i="1"/>
  <c r="MD22" i="1"/>
  <c r="MD49" i="1"/>
  <c r="MD13" i="1"/>
  <c r="MD26" i="1"/>
  <c r="MD52" i="1"/>
  <c r="MD46" i="1"/>
  <c r="MD72" i="1"/>
  <c r="MD5" i="1"/>
  <c r="MD18" i="1"/>
  <c r="MD23" i="1"/>
  <c r="MD15" i="1"/>
  <c r="MD14" i="1"/>
  <c r="MD59" i="1"/>
  <c r="MD38" i="1"/>
  <c r="MD21" i="1"/>
  <c r="MD27" i="1"/>
  <c r="MD17" i="1"/>
  <c r="MD68" i="1"/>
  <c r="MD121" i="1"/>
  <c r="MD24" i="1"/>
  <c r="MD30" i="1"/>
  <c r="MD40" i="1"/>
  <c r="MD35" i="1"/>
  <c r="MD29" i="1"/>
  <c r="MD37" i="1"/>
  <c r="MD28" i="1"/>
  <c r="MD19" i="1"/>
  <c r="MD33" i="1"/>
  <c r="MD109" i="1"/>
  <c r="MD64" i="1"/>
  <c r="MD63" i="1"/>
  <c r="MD77" i="1"/>
  <c r="MD115" i="1"/>
  <c r="MD31" i="1"/>
  <c r="MD41" i="1"/>
  <c r="MD191" i="1"/>
  <c r="MD85" i="1"/>
  <c r="MD62" i="1"/>
  <c r="MD36" i="1"/>
  <c r="MD32" i="1"/>
  <c r="MD34" i="1"/>
  <c r="MD93" i="1"/>
  <c r="MD117" i="1"/>
  <c r="MD154" i="1"/>
  <c r="MD107" i="1"/>
  <c r="MD98" i="1"/>
  <c r="MD138" i="1"/>
  <c r="MD75" i="1"/>
  <c r="MD122" i="1"/>
  <c r="MD84" i="1"/>
  <c r="MD116" i="1"/>
  <c r="MD186" i="1"/>
  <c r="MD89" i="1"/>
  <c r="MD70" i="1"/>
  <c r="MD61" i="1"/>
  <c r="MD74" i="1"/>
  <c r="MD88" i="1"/>
  <c r="MD73" i="1"/>
  <c r="MD111" i="1"/>
  <c r="MD87" i="1"/>
  <c r="MD82" i="1"/>
  <c r="MD53" i="1"/>
  <c r="MD175" i="1"/>
  <c r="MD55" i="1"/>
  <c r="MD51" i="1"/>
  <c r="MD157" i="1"/>
  <c r="MD158" i="1"/>
  <c r="MD83" i="1"/>
  <c r="MD91" i="1"/>
  <c r="MD105" i="1"/>
  <c r="MD103" i="1"/>
  <c r="MD188" i="1"/>
  <c r="MD163" i="1"/>
  <c r="MD101" i="1"/>
  <c r="MD65" i="1"/>
  <c r="MD60" i="1"/>
  <c r="MD80" i="1"/>
  <c r="MD56" i="1"/>
  <c r="MD57" i="1"/>
  <c r="MD25" i="1"/>
  <c r="MD104" i="1"/>
  <c r="MD66" i="1"/>
  <c r="MD58" i="1"/>
  <c r="MD155" i="1"/>
  <c r="MD156" i="1"/>
  <c r="MD134" i="1"/>
  <c r="MD92" i="1"/>
  <c r="MD67" i="1"/>
  <c r="MD126" i="1"/>
  <c r="MD145" i="1"/>
  <c r="MD135" i="1"/>
  <c r="MD159" i="1"/>
  <c r="MD76" i="1"/>
  <c r="MD114" i="1"/>
  <c r="MD161" i="1"/>
  <c r="MD160" i="1"/>
  <c r="MD95" i="1"/>
  <c r="MD120" i="1"/>
  <c r="MD42" i="1"/>
  <c r="MD183" i="1"/>
  <c r="MD112" i="1"/>
  <c r="MD148" i="1"/>
  <c r="MD179" i="1"/>
  <c r="MD128" i="1"/>
  <c r="MD144" i="1"/>
  <c r="MD110" i="1"/>
  <c r="MD81" i="1"/>
  <c r="MD100" i="1"/>
  <c r="MD123" i="1"/>
  <c r="MD86" i="1"/>
  <c r="MD174" i="1"/>
  <c r="MD201" i="1"/>
  <c r="MD90" i="1"/>
  <c r="MD102" i="1"/>
  <c r="MD94" i="1"/>
  <c r="MD119" i="1"/>
  <c r="MD141" i="1"/>
  <c r="MD147" i="1"/>
  <c r="MD165" i="1"/>
  <c r="MD132" i="1"/>
  <c r="MD189" i="1"/>
  <c r="MD133" i="1"/>
  <c r="MD206" i="1"/>
  <c r="MD78" i="1"/>
  <c r="MD143" i="1"/>
  <c r="MD150" i="1"/>
  <c r="MD130" i="1"/>
  <c r="MD96" i="1"/>
  <c r="MD182" i="1"/>
  <c r="MD195" i="1"/>
  <c r="MD178" i="1"/>
  <c r="MD181" i="1"/>
  <c r="MD194" i="1"/>
  <c r="MD208" i="1"/>
  <c r="MD129" i="1"/>
  <c r="MD180" i="1"/>
  <c r="MD140" i="1"/>
  <c r="MD125" i="1"/>
  <c r="MD131" i="1"/>
  <c r="MD173" i="1"/>
  <c r="MD184" i="1"/>
  <c r="MD190" i="1"/>
  <c r="MD142" i="1"/>
  <c r="MD69" i="1"/>
  <c r="MD151" i="1"/>
  <c r="MD193" i="1"/>
  <c r="MD169" i="1"/>
  <c r="MD166" i="1"/>
  <c r="MD97" i="1"/>
  <c r="MD79" i="1"/>
  <c r="MD146" i="1"/>
  <c r="MD204" i="1"/>
  <c r="MD113" i="1"/>
  <c r="MD172" i="1"/>
  <c r="MD171" i="1"/>
  <c r="MD185" i="1"/>
  <c r="MD137" i="1"/>
  <c r="MD205" i="1"/>
  <c r="MD177" i="1"/>
  <c r="MD199" i="1"/>
  <c r="MD106" i="1"/>
  <c r="MD203" i="1"/>
  <c r="MD124" i="1"/>
  <c r="MD170" i="1"/>
  <c r="MD152" i="1"/>
  <c r="MD118" i="1"/>
  <c r="MD198" i="1"/>
  <c r="MD200" i="1"/>
  <c r="MD136" i="1"/>
  <c r="MD108" i="1"/>
  <c r="MD149" i="1"/>
  <c r="MD187" i="1"/>
  <c r="MD168" i="1"/>
  <c r="MD162" i="1"/>
  <c r="MD139" i="1"/>
  <c r="MD196" i="1"/>
  <c r="MD153" i="1"/>
  <c r="MD197" i="1"/>
  <c r="MD176" i="1"/>
  <c r="MD202" i="1"/>
  <c r="MD167" i="1"/>
  <c r="MD207" i="1"/>
  <c r="MD192" i="1"/>
  <c r="MC3" i="1"/>
  <c r="MC2" i="1"/>
  <c r="MC43" i="1"/>
  <c r="MC71" i="1"/>
  <c r="MC7" i="1"/>
  <c r="MC164" i="1"/>
  <c r="MC4" i="1"/>
  <c r="MC99" i="1"/>
  <c r="MC6" i="1"/>
  <c r="MC8" i="1"/>
  <c r="MC10" i="1"/>
  <c r="MC9" i="1"/>
  <c r="MC127" i="1"/>
  <c r="MC11" i="1"/>
  <c r="MC44" i="1"/>
  <c r="MC39" i="1"/>
  <c r="MC45" i="1"/>
  <c r="MC16" i="1"/>
  <c r="MC12" i="1"/>
  <c r="MC48" i="1"/>
  <c r="MC54" i="1"/>
  <c r="MC47" i="1"/>
  <c r="MC20" i="1"/>
  <c r="MC50" i="1"/>
  <c r="MC22" i="1"/>
  <c r="MC49" i="1"/>
  <c r="MC13" i="1"/>
  <c r="MC26" i="1"/>
  <c r="MC52" i="1"/>
  <c r="MC46" i="1"/>
  <c r="MC72" i="1"/>
  <c r="MC5" i="1"/>
  <c r="MC18" i="1"/>
  <c r="MC23" i="1"/>
  <c r="MC15" i="1"/>
  <c r="MC14" i="1"/>
  <c r="MC59" i="1"/>
  <c r="MC38" i="1"/>
  <c r="MC21" i="1"/>
  <c r="MC27" i="1"/>
  <c r="MC17" i="1"/>
  <c r="MC68" i="1"/>
  <c r="MC121" i="1"/>
  <c r="MC24" i="1"/>
  <c r="MC30" i="1"/>
  <c r="MC40" i="1"/>
  <c r="MC35" i="1"/>
  <c r="MC29" i="1"/>
  <c r="MC37" i="1"/>
  <c r="MC28" i="1"/>
  <c r="MC19" i="1"/>
  <c r="MC33" i="1"/>
  <c r="MC109" i="1"/>
  <c r="MC64" i="1"/>
  <c r="MC63" i="1"/>
  <c r="MC77" i="1"/>
  <c r="MC115" i="1"/>
  <c r="MC31" i="1"/>
  <c r="MC41" i="1"/>
  <c r="MC191" i="1"/>
  <c r="MC85" i="1"/>
  <c r="MC62" i="1"/>
  <c r="MC36" i="1"/>
  <c r="MC32" i="1"/>
  <c r="MC34" i="1"/>
  <c r="MC93" i="1"/>
  <c r="MC117" i="1"/>
  <c r="MC154" i="1"/>
  <c r="MC107" i="1"/>
  <c r="MC98" i="1"/>
  <c r="MC138" i="1"/>
  <c r="MC75" i="1"/>
  <c r="MC122" i="1"/>
  <c r="MC84" i="1"/>
  <c r="MC116" i="1"/>
  <c r="MC186" i="1"/>
  <c r="MC89" i="1"/>
  <c r="MC70" i="1"/>
  <c r="MC61" i="1"/>
  <c r="MC74" i="1"/>
  <c r="MC88" i="1"/>
  <c r="MC73" i="1"/>
  <c r="MC111" i="1"/>
  <c r="MC87" i="1"/>
  <c r="MC82" i="1"/>
  <c r="MC53" i="1"/>
  <c r="MC175" i="1"/>
  <c r="MC55" i="1"/>
  <c r="MC51" i="1"/>
  <c r="MC157" i="1"/>
  <c r="MC158" i="1"/>
  <c r="MC83" i="1"/>
  <c r="MC91" i="1"/>
  <c r="MC105" i="1"/>
  <c r="MC103" i="1"/>
  <c r="MC188" i="1"/>
  <c r="MC163" i="1"/>
  <c r="MC101" i="1"/>
  <c r="MC65" i="1"/>
  <c r="MC60" i="1"/>
  <c r="MC80" i="1"/>
  <c r="MC56" i="1"/>
  <c r="MC57" i="1"/>
  <c r="MC25" i="1"/>
  <c r="MC104" i="1"/>
  <c r="MC66" i="1"/>
  <c r="MC58" i="1"/>
  <c r="MC155" i="1"/>
  <c r="MC156" i="1"/>
  <c r="MC134" i="1"/>
  <c r="MC92" i="1"/>
  <c r="MC67" i="1"/>
  <c r="MC126" i="1"/>
  <c r="MC145" i="1"/>
  <c r="MC135" i="1"/>
  <c r="MC159" i="1"/>
  <c r="MC76" i="1"/>
  <c r="MC114" i="1"/>
  <c r="MC161" i="1"/>
  <c r="MC160" i="1"/>
  <c r="MC95" i="1"/>
  <c r="MC120" i="1"/>
  <c r="MC42" i="1"/>
  <c r="MC183" i="1"/>
  <c r="MC112" i="1"/>
  <c r="MC148" i="1"/>
  <c r="MC179" i="1"/>
  <c r="MC128" i="1"/>
  <c r="MC144" i="1"/>
  <c r="MC110" i="1"/>
  <c r="MC81" i="1"/>
  <c r="MC100" i="1"/>
  <c r="MC123" i="1"/>
  <c r="MC86" i="1"/>
  <c r="MC174" i="1"/>
  <c r="MC201" i="1"/>
  <c r="MC90" i="1"/>
  <c r="MC102" i="1"/>
  <c r="MC94" i="1"/>
  <c r="MC119" i="1"/>
  <c r="MC141" i="1"/>
  <c r="MC147" i="1"/>
  <c r="MC165" i="1"/>
  <c r="MC132" i="1"/>
  <c r="MC189" i="1"/>
  <c r="MC133" i="1"/>
  <c r="MC206" i="1"/>
  <c r="MC78" i="1"/>
  <c r="MC143" i="1"/>
  <c r="MC150" i="1"/>
  <c r="MC130" i="1"/>
  <c r="MC96" i="1"/>
  <c r="MC182" i="1"/>
  <c r="MC195" i="1"/>
  <c r="MC178" i="1"/>
  <c r="MC181" i="1"/>
  <c r="MC194" i="1"/>
  <c r="MC208" i="1"/>
  <c r="MC129" i="1"/>
  <c r="MC180" i="1"/>
  <c r="MC140" i="1"/>
  <c r="MC125" i="1"/>
  <c r="MC131" i="1"/>
  <c r="MC173" i="1"/>
  <c r="MC184" i="1"/>
  <c r="MC190" i="1"/>
  <c r="MC142" i="1"/>
  <c r="MC69" i="1"/>
  <c r="MC151" i="1"/>
  <c r="MC193" i="1"/>
  <c r="MC169" i="1"/>
  <c r="MC166" i="1"/>
  <c r="MC97" i="1"/>
  <c r="MC79" i="1"/>
  <c r="MC146" i="1"/>
  <c r="MC204" i="1"/>
  <c r="MC113" i="1"/>
  <c r="MC172" i="1"/>
  <c r="MC171" i="1"/>
  <c r="MC185" i="1"/>
  <c r="MC137" i="1"/>
  <c r="MC205" i="1"/>
  <c r="MC177" i="1"/>
  <c r="MC199" i="1"/>
  <c r="MC106" i="1"/>
  <c r="MC203" i="1"/>
  <c r="MC124" i="1"/>
  <c r="MC170" i="1"/>
  <c r="MC152" i="1"/>
  <c r="MC118" i="1"/>
  <c r="MC198" i="1"/>
  <c r="MC200" i="1"/>
  <c r="MC136" i="1"/>
  <c r="MC108" i="1"/>
  <c r="MC149" i="1"/>
  <c r="MC187" i="1"/>
  <c r="MC168" i="1"/>
  <c r="MC162" i="1"/>
  <c r="MC139" i="1"/>
  <c r="MC196" i="1"/>
  <c r="MC153" i="1"/>
  <c r="MC197" i="1"/>
  <c r="MC176" i="1"/>
  <c r="MC202" i="1"/>
  <c r="MC167" i="1"/>
  <c r="MC207" i="1"/>
  <c r="MC192" i="1"/>
  <c r="MB3" i="1"/>
  <c r="MB2" i="1"/>
  <c r="MB43" i="1"/>
  <c r="MB71" i="1"/>
  <c r="MB7" i="1"/>
  <c r="MB164" i="1"/>
  <c r="MB4" i="1"/>
  <c r="MB99" i="1"/>
  <c r="MB6" i="1"/>
  <c r="MB8" i="1"/>
  <c r="MB10" i="1"/>
  <c r="MB9" i="1"/>
  <c r="MB127" i="1"/>
  <c r="MB11" i="1"/>
  <c r="MB44" i="1"/>
  <c r="MB39" i="1"/>
  <c r="MB45" i="1"/>
  <c r="MB16" i="1"/>
  <c r="MB12" i="1"/>
  <c r="MB48" i="1"/>
  <c r="MB54" i="1"/>
  <c r="MB47" i="1"/>
  <c r="MB20" i="1"/>
  <c r="MB50" i="1"/>
  <c r="MB22" i="1"/>
  <c r="MB49" i="1"/>
  <c r="MB13" i="1"/>
  <c r="MB26" i="1"/>
  <c r="MB52" i="1"/>
  <c r="MB46" i="1"/>
  <c r="MB72" i="1"/>
  <c r="MB5" i="1"/>
  <c r="MB18" i="1"/>
  <c r="MB23" i="1"/>
  <c r="MB15" i="1"/>
  <c r="MB14" i="1"/>
  <c r="MB59" i="1"/>
  <c r="MB38" i="1"/>
  <c r="MB21" i="1"/>
  <c r="MB27" i="1"/>
  <c r="MB17" i="1"/>
  <c r="MB68" i="1"/>
  <c r="MB121" i="1"/>
  <c r="MB24" i="1"/>
  <c r="MB30" i="1"/>
  <c r="MB40" i="1"/>
  <c r="MB35" i="1"/>
  <c r="MB29" i="1"/>
  <c r="MB37" i="1"/>
  <c r="MB28" i="1"/>
  <c r="MB19" i="1"/>
  <c r="MB33" i="1"/>
  <c r="MB109" i="1"/>
  <c r="MB64" i="1"/>
  <c r="MB63" i="1"/>
  <c r="MB77" i="1"/>
  <c r="MB115" i="1"/>
  <c r="MB31" i="1"/>
  <c r="MB41" i="1"/>
  <c r="MB191" i="1"/>
  <c r="MB85" i="1"/>
  <c r="MB62" i="1"/>
  <c r="MB36" i="1"/>
  <c r="MB32" i="1"/>
  <c r="MB34" i="1"/>
  <c r="MB93" i="1"/>
  <c r="MB117" i="1"/>
  <c r="MB154" i="1"/>
  <c r="MB107" i="1"/>
  <c r="MB98" i="1"/>
  <c r="MB138" i="1"/>
  <c r="MB75" i="1"/>
  <c r="MB122" i="1"/>
  <c r="MB84" i="1"/>
  <c r="MB116" i="1"/>
  <c r="MB186" i="1"/>
  <c r="MB89" i="1"/>
  <c r="MB70" i="1"/>
  <c r="MB61" i="1"/>
  <c r="MB74" i="1"/>
  <c r="MB88" i="1"/>
  <c r="MB73" i="1"/>
  <c r="MB111" i="1"/>
  <c r="MB87" i="1"/>
  <c r="MB82" i="1"/>
  <c r="MB53" i="1"/>
  <c r="MB175" i="1"/>
  <c r="MB55" i="1"/>
  <c r="MB51" i="1"/>
  <c r="MB157" i="1"/>
  <c r="MB158" i="1"/>
  <c r="MB83" i="1"/>
  <c r="MB91" i="1"/>
  <c r="MB105" i="1"/>
  <c r="MB103" i="1"/>
  <c r="MB188" i="1"/>
  <c r="MB163" i="1"/>
  <c r="MB101" i="1"/>
  <c r="MB65" i="1"/>
  <c r="MB60" i="1"/>
  <c r="MB80" i="1"/>
  <c r="MB56" i="1"/>
  <c r="MB57" i="1"/>
  <c r="MB25" i="1"/>
  <c r="MB104" i="1"/>
  <c r="MB66" i="1"/>
  <c r="MB58" i="1"/>
  <c r="MB155" i="1"/>
  <c r="MB156" i="1"/>
  <c r="MB134" i="1"/>
  <c r="MB92" i="1"/>
  <c r="MB67" i="1"/>
  <c r="MB126" i="1"/>
  <c r="MB145" i="1"/>
  <c r="MB135" i="1"/>
  <c r="MB159" i="1"/>
  <c r="MB76" i="1"/>
  <c r="MB114" i="1"/>
  <c r="MB161" i="1"/>
  <c r="MB160" i="1"/>
  <c r="MB95" i="1"/>
  <c r="MB120" i="1"/>
  <c r="MB42" i="1"/>
  <c r="MB183" i="1"/>
  <c r="MB112" i="1"/>
  <c r="MB148" i="1"/>
  <c r="MB179" i="1"/>
  <c r="MB128" i="1"/>
  <c r="MB144" i="1"/>
  <c r="MB110" i="1"/>
  <c r="MB81" i="1"/>
  <c r="MB100" i="1"/>
  <c r="MB123" i="1"/>
  <c r="MB86" i="1"/>
  <c r="MB174" i="1"/>
  <c r="MB201" i="1"/>
  <c r="MB90" i="1"/>
  <c r="MB102" i="1"/>
  <c r="MB94" i="1"/>
  <c r="MB119" i="1"/>
  <c r="MB141" i="1"/>
  <c r="MB147" i="1"/>
  <c r="MB165" i="1"/>
  <c r="MB132" i="1"/>
  <c r="MB189" i="1"/>
  <c r="MB133" i="1"/>
  <c r="MB206" i="1"/>
  <c r="MB78" i="1"/>
  <c r="MB143" i="1"/>
  <c r="MB150" i="1"/>
  <c r="MB130" i="1"/>
  <c r="MB96" i="1"/>
  <c r="MB182" i="1"/>
  <c r="MB195" i="1"/>
  <c r="MB178" i="1"/>
  <c r="MB181" i="1"/>
  <c r="MB194" i="1"/>
  <c r="MB208" i="1"/>
  <c r="MB129" i="1"/>
  <c r="MB180" i="1"/>
  <c r="MB140" i="1"/>
  <c r="MB125" i="1"/>
  <c r="MB131" i="1"/>
  <c r="MB173" i="1"/>
  <c r="MB184" i="1"/>
  <c r="MB190" i="1"/>
  <c r="MB142" i="1"/>
  <c r="MB69" i="1"/>
  <c r="MB151" i="1"/>
  <c r="MB193" i="1"/>
  <c r="MB169" i="1"/>
  <c r="MB166" i="1"/>
  <c r="MB97" i="1"/>
  <c r="MB79" i="1"/>
  <c r="MB146" i="1"/>
  <c r="MB204" i="1"/>
  <c r="MB113" i="1"/>
  <c r="MB172" i="1"/>
  <c r="MB171" i="1"/>
  <c r="MB185" i="1"/>
  <c r="MB137" i="1"/>
  <c r="MB205" i="1"/>
  <c r="MB177" i="1"/>
  <c r="MB199" i="1"/>
  <c r="MB106" i="1"/>
  <c r="MB203" i="1"/>
  <c r="MB124" i="1"/>
  <c r="MB170" i="1"/>
  <c r="MB152" i="1"/>
  <c r="MB118" i="1"/>
  <c r="MB198" i="1"/>
  <c r="MB200" i="1"/>
  <c r="MB136" i="1"/>
  <c r="MB108" i="1"/>
  <c r="MB149" i="1"/>
  <c r="MB187" i="1"/>
  <c r="MB168" i="1"/>
  <c r="MB162" i="1"/>
  <c r="MB139" i="1"/>
  <c r="MB196" i="1"/>
  <c r="MB153" i="1"/>
  <c r="MB197" i="1"/>
  <c r="MB176" i="1"/>
  <c r="MB202" i="1"/>
  <c r="MB167" i="1"/>
  <c r="MB207" i="1"/>
  <c r="MB192" i="1"/>
  <c r="MA3" i="1"/>
  <c r="MA2" i="1"/>
  <c r="MA43" i="1"/>
  <c r="MA71" i="1"/>
  <c r="MA7" i="1"/>
  <c r="MA164" i="1"/>
  <c r="MA4" i="1"/>
  <c r="MA99" i="1"/>
  <c r="MA6" i="1"/>
  <c r="MA8" i="1"/>
  <c r="MA10" i="1"/>
  <c r="MA9" i="1"/>
  <c r="MA127" i="1"/>
  <c r="MA11" i="1"/>
  <c r="MA44" i="1"/>
  <c r="MA39" i="1"/>
  <c r="MA45" i="1"/>
  <c r="MA16" i="1"/>
  <c r="MA12" i="1"/>
  <c r="MA48" i="1"/>
  <c r="MA54" i="1"/>
  <c r="MA47" i="1"/>
  <c r="MA20" i="1"/>
  <c r="MA50" i="1"/>
  <c r="MA22" i="1"/>
  <c r="MA49" i="1"/>
  <c r="MA13" i="1"/>
  <c r="MA26" i="1"/>
  <c r="MA52" i="1"/>
  <c r="MA46" i="1"/>
  <c r="MA72" i="1"/>
  <c r="MA5" i="1"/>
  <c r="MA18" i="1"/>
  <c r="MA23" i="1"/>
  <c r="MA15" i="1"/>
  <c r="MA14" i="1"/>
  <c r="MA59" i="1"/>
  <c r="MA38" i="1"/>
  <c r="MA21" i="1"/>
  <c r="MA27" i="1"/>
  <c r="MA17" i="1"/>
  <c r="MA68" i="1"/>
  <c r="MA121" i="1"/>
  <c r="MA24" i="1"/>
  <c r="MA30" i="1"/>
  <c r="MA40" i="1"/>
  <c r="MA35" i="1"/>
  <c r="MA29" i="1"/>
  <c r="MA37" i="1"/>
  <c r="MA28" i="1"/>
  <c r="MA19" i="1"/>
  <c r="MA33" i="1"/>
  <c r="MA109" i="1"/>
  <c r="MA64" i="1"/>
  <c r="MA63" i="1"/>
  <c r="MA77" i="1"/>
  <c r="MA115" i="1"/>
  <c r="MA31" i="1"/>
  <c r="MA41" i="1"/>
  <c r="MA191" i="1"/>
  <c r="MA85" i="1"/>
  <c r="MA62" i="1"/>
  <c r="MA36" i="1"/>
  <c r="MA32" i="1"/>
  <c r="MA34" i="1"/>
  <c r="MA93" i="1"/>
  <c r="MA117" i="1"/>
  <c r="MA154" i="1"/>
  <c r="MA107" i="1"/>
  <c r="MA98" i="1"/>
  <c r="MA138" i="1"/>
  <c r="MA75" i="1"/>
  <c r="MA122" i="1"/>
  <c r="MA84" i="1"/>
  <c r="MA116" i="1"/>
  <c r="MA186" i="1"/>
  <c r="MA89" i="1"/>
  <c r="MA70" i="1"/>
  <c r="MA61" i="1"/>
  <c r="MA74" i="1"/>
  <c r="MA88" i="1"/>
  <c r="MA73" i="1"/>
  <c r="MA111" i="1"/>
  <c r="MA87" i="1"/>
  <c r="MA82" i="1"/>
  <c r="MA53" i="1"/>
  <c r="MA175" i="1"/>
  <c r="MA55" i="1"/>
  <c r="MA51" i="1"/>
  <c r="MA157" i="1"/>
  <c r="MA158" i="1"/>
  <c r="MA83" i="1"/>
  <c r="MA91" i="1"/>
  <c r="MA105" i="1"/>
  <c r="MA103" i="1"/>
  <c r="MA188" i="1"/>
  <c r="MA163" i="1"/>
  <c r="MA101" i="1"/>
  <c r="MA65" i="1"/>
  <c r="MA60" i="1"/>
  <c r="MA80" i="1"/>
  <c r="MA56" i="1"/>
  <c r="MA57" i="1"/>
  <c r="MA25" i="1"/>
  <c r="MA104" i="1"/>
  <c r="MA66" i="1"/>
  <c r="MA58" i="1"/>
  <c r="MA155" i="1"/>
  <c r="MA156" i="1"/>
  <c r="MA134" i="1"/>
  <c r="MA92" i="1"/>
  <c r="MA67" i="1"/>
  <c r="MA126" i="1"/>
  <c r="MA145" i="1"/>
  <c r="MA135" i="1"/>
  <c r="MA159" i="1"/>
  <c r="MA76" i="1"/>
  <c r="MA114" i="1"/>
  <c r="MA161" i="1"/>
  <c r="MA160" i="1"/>
  <c r="MA95" i="1"/>
  <c r="MA120" i="1"/>
  <c r="MA42" i="1"/>
  <c r="MA183" i="1"/>
  <c r="MA112" i="1"/>
  <c r="MA148" i="1"/>
  <c r="MA179" i="1"/>
  <c r="MA128" i="1"/>
  <c r="MA144" i="1"/>
  <c r="MA110" i="1"/>
  <c r="MA81" i="1"/>
  <c r="MA100" i="1"/>
  <c r="MA123" i="1"/>
  <c r="MA86" i="1"/>
  <c r="MA174" i="1"/>
  <c r="MA201" i="1"/>
  <c r="MA90" i="1"/>
  <c r="MA102" i="1"/>
  <c r="MA94" i="1"/>
  <c r="MA119" i="1"/>
  <c r="MA141" i="1"/>
  <c r="MA147" i="1"/>
  <c r="MA165" i="1"/>
  <c r="MA132" i="1"/>
  <c r="MA189" i="1"/>
  <c r="MA133" i="1"/>
  <c r="MA206" i="1"/>
  <c r="MA78" i="1"/>
  <c r="MA143" i="1"/>
  <c r="MA150" i="1"/>
  <c r="MA130" i="1"/>
  <c r="MA96" i="1"/>
  <c r="MA182" i="1"/>
  <c r="MA195" i="1"/>
  <c r="MA178" i="1"/>
  <c r="MA181" i="1"/>
  <c r="MA194" i="1"/>
  <c r="MA208" i="1"/>
  <c r="MA129" i="1"/>
  <c r="MA180" i="1"/>
  <c r="MA140" i="1"/>
  <c r="MA125" i="1"/>
  <c r="MA131" i="1"/>
  <c r="MA173" i="1"/>
  <c r="MA184" i="1"/>
  <c r="MA190" i="1"/>
  <c r="MA142" i="1"/>
  <c r="MA69" i="1"/>
  <c r="MA151" i="1"/>
  <c r="MA193" i="1"/>
  <c r="MA169" i="1"/>
  <c r="MA166" i="1"/>
  <c r="MA97" i="1"/>
  <c r="MA79" i="1"/>
  <c r="MA146" i="1"/>
  <c r="MA204" i="1"/>
  <c r="MA113" i="1"/>
  <c r="MA172" i="1"/>
  <c r="MA171" i="1"/>
  <c r="MA185" i="1"/>
  <c r="MA137" i="1"/>
  <c r="MA205" i="1"/>
  <c r="MA177" i="1"/>
  <c r="MA199" i="1"/>
  <c r="MA106" i="1"/>
  <c r="MA203" i="1"/>
  <c r="MA124" i="1"/>
  <c r="MA170" i="1"/>
  <c r="MA152" i="1"/>
  <c r="MA118" i="1"/>
  <c r="MA198" i="1"/>
  <c r="MA200" i="1"/>
  <c r="MA136" i="1"/>
  <c r="MA108" i="1"/>
  <c r="MA149" i="1"/>
  <c r="MA187" i="1"/>
  <c r="MA168" i="1"/>
  <c r="MA162" i="1"/>
  <c r="MA139" i="1"/>
  <c r="MA196" i="1"/>
  <c r="MA153" i="1"/>
  <c r="MA197" i="1"/>
  <c r="MA176" i="1"/>
  <c r="MA202" i="1"/>
  <c r="MA167" i="1"/>
  <c r="MA207" i="1"/>
  <c r="MA192" i="1"/>
  <c r="LZ3" i="1"/>
  <c r="LZ2" i="1"/>
  <c r="LZ43" i="1"/>
  <c r="LZ71" i="1"/>
  <c r="LZ7" i="1"/>
  <c r="LZ164" i="1"/>
  <c r="LZ4" i="1"/>
  <c r="LZ99" i="1"/>
  <c r="LZ6" i="1"/>
  <c r="LZ8" i="1"/>
  <c r="LZ10" i="1"/>
  <c r="LZ9" i="1"/>
  <c r="LZ127" i="1"/>
  <c r="LZ11" i="1"/>
  <c r="LZ44" i="1"/>
  <c r="LZ39" i="1"/>
  <c r="LZ45" i="1"/>
  <c r="LZ16" i="1"/>
  <c r="LZ12" i="1"/>
  <c r="LZ48" i="1"/>
  <c r="LZ54" i="1"/>
  <c r="LZ47" i="1"/>
  <c r="LZ20" i="1"/>
  <c r="LZ50" i="1"/>
  <c r="LZ22" i="1"/>
  <c r="LZ49" i="1"/>
  <c r="LZ13" i="1"/>
  <c r="LZ26" i="1"/>
  <c r="LZ52" i="1"/>
  <c r="LZ46" i="1"/>
  <c r="LZ72" i="1"/>
  <c r="LZ5" i="1"/>
  <c r="LZ18" i="1"/>
  <c r="LZ23" i="1"/>
  <c r="LZ15" i="1"/>
  <c r="LZ14" i="1"/>
  <c r="LZ59" i="1"/>
  <c r="LZ38" i="1"/>
  <c r="LZ21" i="1"/>
  <c r="LZ27" i="1"/>
  <c r="LZ17" i="1"/>
  <c r="LZ68" i="1"/>
  <c r="LZ121" i="1"/>
  <c r="LZ24" i="1"/>
  <c r="LZ30" i="1"/>
  <c r="LZ40" i="1"/>
  <c r="LZ35" i="1"/>
  <c r="LZ29" i="1"/>
  <c r="LZ37" i="1"/>
  <c r="LZ28" i="1"/>
  <c r="LZ19" i="1"/>
  <c r="LZ33" i="1"/>
  <c r="LZ109" i="1"/>
  <c r="LZ64" i="1"/>
  <c r="LZ63" i="1"/>
  <c r="LZ77" i="1"/>
  <c r="LZ115" i="1"/>
  <c r="LZ31" i="1"/>
  <c r="LZ41" i="1"/>
  <c r="LZ191" i="1"/>
  <c r="LZ85" i="1"/>
  <c r="LZ62" i="1"/>
  <c r="LZ36" i="1"/>
  <c r="LZ32" i="1"/>
  <c r="LZ34" i="1"/>
  <c r="LZ93" i="1"/>
  <c r="LZ117" i="1"/>
  <c r="LZ154" i="1"/>
  <c r="LZ107" i="1"/>
  <c r="LZ98" i="1"/>
  <c r="LZ138" i="1"/>
  <c r="LZ75" i="1"/>
  <c r="LZ122" i="1"/>
  <c r="LZ84" i="1"/>
  <c r="LZ116" i="1"/>
  <c r="LZ186" i="1"/>
  <c r="LZ89" i="1"/>
  <c r="LZ70" i="1"/>
  <c r="LZ61" i="1"/>
  <c r="LZ74" i="1"/>
  <c r="LZ88" i="1"/>
  <c r="LZ73" i="1"/>
  <c r="LZ111" i="1"/>
  <c r="LZ87" i="1"/>
  <c r="LZ82" i="1"/>
  <c r="LZ53" i="1"/>
  <c r="LZ175" i="1"/>
  <c r="LZ55" i="1"/>
  <c r="LZ51" i="1"/>
  <c r="LZ157" i="1"/>
  <c r="LZ158" i="1"/>
  <c r="LZ83" i="1"/>
  <c r="LZ91" i="1"/>
  <c r="LZ105" i="1"/>
  <c r="LZ103" i="1"/>
  <c r="LZ188" i="1"/>
  <c r="LZ163" i="1"/>
  <c r="LZ101" i="1"/>
  <c r="LZ65" i="1"/>
  <c r="LZ60" i="1"/>
  <c r="LZ80" i="1"/>
  <c r="LZ56" i="1"/>
  <c r="LZ57" i="1"/>
  <c r="LZ25" i="1"/>
  <c r="LZ104" i="1"/>
  <c r="LZ66" i="1"/>
  <c r="LZ58" i="1"/>
  <c r="LZ155" i="1"/>
  <c r="LZ156" i="1"/>
  <c r="LZ134" i="1"/>
  <c r="LZ92" i="1"/>
  <c r="LZ67" i="1"/>
  <c r="LZ126" i="1"/>
  <c r="LZ145" i="1"/>
  <c r="LZ135" i="1"/>
  <c r="LZ159" i="1"/>
  <c r="LZ76" i="1"/>
  <c r="LZ114" i="1"/>
  <c r="LZ161" i="1"/>
  <c r="LZ160" i="1"/>
  <c r="LZ95" i="1"/>
  <c r="LZ120" i="1"/>
  <c r="LZ42" i="1"/>
  <c r="LZ183" i="1"/>
  <c r="LZ112" i="1"/>
  <c r="LZ148" i="1"/>
  <c r="LZ179" i="1"/>
  <c r="LZ128" i="1"/>
  <c r="LZ144" i="1"/>
  <c r="LZ110" i="1"/>
  <c r="LZ81" i="1"/>
  <c r="LZ100" i="1"/>
  <c r="LZ123" i="1"/>
  <c r="LZ86" i="1"/>
  <c r="LZ174" i="1"/>
  <c r="LZ201" i="1"/>
  <c r="LZ90" i="1"/>
  <c r="LZ102" i="1"/>
  <c r="LZ94" i="1"/>
  <c r="LZ119" i="1"/>
  <c r="LZ141" i="1"/>
  <c r="LZ147" i="1"/>
  <c r="LZ165" i="1"/>
  <c r="LZ132" i="1"/>
  <c r="LZ189" i="1"/>
  <c r="LZ133" i="1"/>
  <c r="LZ206" i="1"/>
  <c r="LZ78" i="1"/>
  <c r="LZ143" i="1"/>
  <c r="LZ150" i="1"/>
  <c r="LZ130" i="1"/>
  <c r="LZ96" i="1"/>
  <c r="LZ182" i="1"/>
  <c r="LZ195" i="1"/>
  <c r="LZ178" i="1"/>
  <c r="LZ181" i="1"/>
  <c r="LZ194" i="1"/>
  <c r="LZ208" i="1"/>
  <c r="LZ129" i="1"/>
  <c r="LZ180" i="1"/>
  <c r="LZ140" i="1"/>
  <c r="LZ125" i="1"/>
  <c r="LZ131" i="1"/>
  <c r="LZ173" i="1"/>
  <c r="LZ184" i="1"/>
  <c r="LZ190" i="1"/>
  <c r="LZ142" i="1"/>
  <c r="LZ69" i="1"/>
  <c r="LZ151" i="1"/>
  <c r="LZ193" i="1"/>
  <c r="LZ169" i="1"/>
  <c r="LZ166" i="1"/>
  <c r="LZ97" i="1"/>
  <c r="LZ79" i="1"/>
  <c r="LZ146" i="1"/>
  <c r="LZ204" i="1"/>
  <c r="LZ113" i="1"/>
  <c r="LZ172" i="1"/>
  <c r="LZ171" i="1"/>
  <c r="LZ185" i="1"/>
  <c r="LZ137" i="1"/>
  <c r="LZ205" i="1"/>
  <c r="LZ177" i="1"/>
  <c r="LZ199" i="1"/>
  <c r="LZ106" i="1"/>
  <c r="LZ203" i="1"/>
  <c r="LZ124" i="1"/>
  <c r="LZ170" i="1"/>
  <c r="LZ152" i="1"/>
  <c r="LZ118" i="1"/>
  <c r="LZ198" i="1"/>
  <c r="LZ200" i="1"/>
  <c r="LZ136" i="1"/>
  <c r="LZ108" i="1"/>
  <c r="LZ149" i="1"/>
  <c r="LZ187" i="1"/>
  <c r="LZ168" i="1"/>
  <c r="LZ162" i="1"/>
  <c r="LZ139" i="1"/>
  <c r="LZ196" i="1"/>
  <c r="LZ153" i="1"/>
  <c r="LZ197" i="1"/>
  <c r="LZ176" i="1"/>
  <c r="LZ202" i="1"/>
  <c r="LZ167" i="1"/>
  <c r="LZ207" i="1"/>
  <c r="LZ192" i="1"/>
  <c r="LY3" i="1"/>
  <c r="LY2" i="1"/>
  <c r="LY43" i="1"/>
  <c r="LY71" i="1"/>
  <c r="LY7" i="1"/>
  <c r="LY164" i="1"/>
  <c r="LY4" i="1"/>
  <c r="LY99" i="1"/>
  <c r="LY6" i="1"/>
  <c r="LY8" i="1"/>
  <c r="LY10" i="1"/>
  <c r="LY9" i="1"/>
  <c r="LY127" i="1"/>
  <c r="LY11" i="1"/>
  <c r="LY44" i="1"/>
  <c r="LY39" i="1"/>
  <c r="LY45" i="1"/>
  <c r="LY16" i="1"/>
  <c r="LY12" i="1"/>
  <c r="LY48" i="1"/>
  <c r="LY54" i="1"/>
  <c r="LY47" i="1"/>
  <c r="LY20" i="1"/>
  <c r="LY50" i="1"/>
  <c r="LY22" i="1"/>
  <c r="LY49" i="1"/>
  <c r="LY13" i="1"/>
  <c r="LY26" i="1"/>
  <c r="LY52" i="1"/>
  <c r="LY46" i="1"/>
  <c r="LY72" i="1"/>
  <c r="LY5" i="1"/>
  <c r="LY18" i="1"/>
  <c r="LY23" i="1"/>
  <c r="LY15" i="1"/>
  <c r="LY14" i="1"/>
  <c r="LY59" i="1"/>
  <c r="LY38" i="1"/>
  <c r="LY21" i="1"/>
  <c r="LY27" i="1"/>
  <c r="LY17" i="1"/>
  <c r="LY68" i="1"/>
  <c r="LY121" i="1"/>
  <c r="LY24" i="1"/>
  <c r="LY30" i="1"/>
  <c r="LY40" i="1"/>
  <c r="LY35" i="1"/>
  <c r="LY29" i="1"/>
  <c r="LY37" i="1"/>
  <c r="LY28" i="1"/>
  <c r="LY19" i="1"/>
  <c r="LY33" i="1"/>
  <c r="LY109" i="1"/>
  <c r="LY64" i="1"/>
  <c r="LY63" i="1"/>
  <c r="LY77" i="1"/>
  <c r="LY115" i="1"/>
  <c r="LY31" i="1"/>
  <c r="LY41" i="1"/>
  <c r="LY191" i="1"/>
  <c r="LY85" i="1"/>
  <c r="LY62" i="1"/>
  <c r="LY36" i="1"/>
  <c r="LY32" i="1"/>
  <c r="LY34" i="1"/>
  <c r="LY93" i="1"/>
  <c r="LY117" i="1"/>
  <c r="LY154" i="1"/>
  <c r="LY107" i="1"/>
  <c r="LY98" i="1"/>
  <c r="LY138" i="1"/>
  <c r="LY75" i="1"/>
  <c r="LY122" i="1"/>
  <c r="LY84" i="1"/>
  <c r="LY116" i="1"/>
  <c r="LY186" i="1"/>
  <c r="LY89" i="1"/>
  <c r="LY70" i="1"/>
  <c r="LY61" i="1"/>
  <c r="LY74" i="1"/>
  <c r="LY88" i="1"/>
  <c r="LY73" i="1"/>
  <c r="LY111" i="1"/>
  <c r="LY87" i="1"/>
  <c r="LY82" i="1"/>
  <c r="LY53" i="1"/>
  <c r="LY175" i="1"/>
  <c r="LY55" i="1"/>
  <c r="LY51" i="1"/>
  <c r="LY157" i="1"/>
  <c r="LY158" i="1"/>
  <c r="LY83" i="1"/>
  <c r="LY91" i="1"/>
  <c r="LY105" i="1"/>
  <c r="LY103" i="1"/>
  <c r="LY188" i="1"/>
  <c r="LY163" i="1"/>
  <c r="LY101" i="1"/>
  <c r="LY65" i="1"/>
  <c r="LY60" i="1"/>
  <c r="LY80" i="1"/>
  <c r="LY56" i="1"/>
  <c r="LY57" i="1"/>
  <c r="LY25" i="1"/>
  <c r="LY104" i="1"/>
  <c r="LY66" i="1"/>
  <c r="LY58" i="1"/>
  <c r="LY155" i="1"/>
  <c r="LY156" i="1"/>
  <c r="LY134" i="1"/>
  <c r="LY92" i="1"/>
  <c r="LY67" i="1"/>
  <c r="LY126" i="1"/>
  <c r="LY145" i="1"/>
  <c r="LY135" i="1"/>
  <c r="LY159" i="1"/>
  <c r="LY76" i="1"/>
  <c r="LY114" i="1"/>
  <c r="LY161" i="1"/>
  <c r="LY160" i="1"/>
  <c r="LY95" i="1"/>
  <c r="LY120" i="1"/>
  <c r="LY42" i="1"/>
  <c r="LY183" i="1"/>
  <c r="LY112" i="1"/>
  <c r="LY148" i="1"/>
  <c r="LY179" i="1"/>
  <c r="LY128" i="1"/>
  <c r="LY144" i="1"/>
  <c r="LY110" i="1"/>
  <c r="LY81" i="1"/>
  <c r="LY100" i="1"/>
  <c r="LY123" i="1"/>
  <c r="LY86" i="1"/>
  <c r="LY174" i="1"/>
  <c r="LY201" i="1"/>
  <c r="LY90" i="1"/>
  <c r="LY102" i="1"/>
  <c r="LY94" i="1"/>
  <c r="LY119" i="1"/>
  <c r="LY141" i="1"/>
  <c r="LY147" i="1"/>
  <c r="LY165" i="1"/>
  <c r="LY132" i="1"/>
  <c r="LY189" i="1"/>
  <c r="LY133" i="1"/>
  <c r="LY206" i="1"/>
  <c r="LY78" i="1"/>
  <c r="LY143" i="1"/>
  <c r="LY150" i="1"/>
  <c r="LY130" i="1"/>
  <c r="LY96" i="1"/>
  <c r="LY182" i="1"/>
  <c r="LY195" i="1"/>
  <c r="LY178" i="1"/>
  <c r="LY181" i="1"/>
  <c r="LY194" i="1"/>
  <c r="LY208" i="1"/>
  <c r="LY129" i="1"/>
  <c r="LY180" i="1"/>
  <c r="LY140" i="1"/>
  <c r="LY125" i="1"/>
  <c r="LY131" i="1"/>
  <c r="LY173" i="1"/>
  <c r="LY184" i="1"/>
  <c r="LY190" i="1"/>
  <c r="LY142" i="1"/>
  <c r="LY69" i="1"/>
  <c r="LY151" i="1"/>
  <c r="LY193" i="1"/>
  <c r="LY169" i="1"/>
  <c r="LY166" i="1"/>
  <c r="LY97" i="1"/>
  <c r="LY79" i="1"/>
  <c r="LY146" i="1"/>
  <c r="LY204" i="1"/>
  <c r="LY113" i="1"/>
  <c r="LY172" i="1"/>
  <c r="LY171" i="1"/>
  <c r="LY185" i="1"/>
  <c r="LY137" i="1"/>
  <c r="LY205" i="1"/>
  <c r="LY177" i="1"/>
  <c r="LY199" i="1"/>
  <c r="LY106" i="1"/>
  <c r="LY203" i="1"/>
  <c r="LY124" i="1"/>
  <c r="LY170" i="1"/>
  <c r="LY152" i="1"/>
  <c r="LY118" i="1"/>
  <c r="LY198" i="1"/>
  <c r="LY200" i="1"/>
  <c r="LY136" i="1"/>
  <c r="LY108" i="1"/>
  <c r="LY149" i="1"/>
  <c r="LY187" i="1"/>
  <c r="LY168" i="1"/>
  <c r="LY162" i="1"/>
  <c r="LY139" i="1"/>
  <c r="LY196" i="1"/>
  <c r="LY153" i="1"/>
  <c r="LY197" i="1"/>
  <c r="LY176" i="1"/>
  <c r="LY202" i="1"/>
  <c r="LY167" i="1"/>
  <c r="LY207" i="1"/>
  <c r="LY192" i="1"/>
  <c r="LX3" i="1"/>
  <c r="LX2" i="1"/>
  <c r="LX43" i="1"/>
  <c r="LX71" i="1"/>
  <c r="LX7" i="1"/>
  <c r="LX164" i="1"/>
  <c r="LX4" i="1"/>
  <c r="LX99" i="1"/>
  <c r="LX6" i="1"/>
  <c r="LX8" i="1"/>
  <c r="LX10" i="1"/>
  <c r="LX9" i="1"/>
  <c r="LX127" i="1"/>
  <c r="LX11" i="1"/>
  <c r="LX44" i="1"/>
  <c r="LX39" i="1"/>
  <c r="LX45" i="1"/>
  <c r="LX16" i="1"/>
  <c r="LX12" i="1"/>
  <c r="LX48" i="1"/>
  <c r="LX54" i="1"/>
  <c r="LX47" i="1"/>
  <c r="LX20" i="1"/>
  <c r="LX50" i="1"/>
  <c r="LX22" i="1"/>
  <c r="LX49" i="1"/>
  <c r="LX13" i="1"/>
  <c r="LX26" i="1"/>
  <c r="LX52" i="1"/>
  <c r="LX46" i="1"/>
  <c r="LX72" i="1"/>
  <c r="LX5" i="1"/>
  <c r="LX18" i="1"/>
  <c r="LX23" i="1"/>
  <c r="LX15" i="1"/>
  <c r="LX14" i="1"/>
  <c r="LX59" i="1"/>
  <c r="LX38" i="1"/>
  <c r="LX21" i="1"/>
  <c r="LX27" i="1"/>
  <c r="LX17" i="1"/>
  <c r="LX68" i="1"/>
  <c r="LX121" i="1"/>
  <c r="LX24" i="1"/>
  <c r="LX30" i="1"/>
  <c r="LX40" i="1"/>
  <c r="LX35" i="1"/>
  <c r="LX29" i="1"/>
  <c r="LX37" i="1"/>
  <c r="LX28" i="1"/>
  <c r="LX19" i="1"/>
  <c r="LX33" i="1"/>
  <c r="LX109" i="1"/>
  <c r="LX64" i="1"/>
  <c r="LX63" i="1"/>
  <c r="LX77" i="1"/>
  <c r="LX115" i="1"/>
  <c r="LX31" i="1"/>
  <c r="LX41" i="1"/>
  <c r="LX191" i="1"/>
  <c r="LX85" i="1"/>
  <c r="LX62" i="1"/>
  <c r="LX36" i="1"/>
  <c r="LX32" i="1"/>
  <c r="LX34" i="1"/>
  <c r="LX93" i="1"/>
  <c r="LX117" i="1"/>
  <c r="LX154" i="1"/>
  <c r="LX107" i="1"/>
  <c r="LX98" i="1"/>
  <c r="LX138" i="1"/>
  <c r="LX75" i="1"/>
  <c r="LX122" i="1"/>
  <c r="LX84" i="1"/>
  <c r="LX116" i="1"/>
  <c r="LX186" i="1"/>
  <c r="LX89" i="1"/>
  <c r="LX70" i="1"/>
  <c r="LX61" i="1"/>
  <c r="LX74" i="1"/>
  <c r="LX88" i="1"/>
  <c r="LX73" i="1"/>
  <c r="LX111" i="1"/>
  <c r="LX87" i="1"/>
  <c r="LX82" i="1"/>
  <c r="LX53" i="1"/>
  <c r="LX175" i="1"/>
  <c r="LX55" i="1"/>
  <c r="LX51" i="1"/>
  <c r="LX157" i="1"/>
  <c r="LX158" i="1"/>
  <c r="LX83" i="1"/>
  <c r="LX91" i="1"/>
  <c r="LX105" i="1"/>
  <c r="LX103" i="1"/>
  <c r="LX188" i="1"/>
  <c r="LX163" i="1"/>
  <c r="LX101" i="1"/>
  <c r="LX65" i="1"/>
  <c r="LX60" i="1"/>
  <c r="LX80" i="1"/>
  <c r="LX56" i="1"/>
  <c r="LX57" i="1"/>
  <c r="LX25" i="1"/>
  <c r="LX104" i="1"/>
  <c r="LX66" i="1"/>
  <c r="LX58" i="1"/>
  <c r="LX155" i="1"/>
  <c r="LX156" i="1"/>
  <c r="LX134" i="1"/>
  <c r="LX92" i="1"/>
  <c r="LX67" i="1"/>
  <c r="LX126" i="1"/>
  <c r="LX145" i="1"/>
  <c r="LX135" i="1"/>
  <c r="LX159" i="1"/>
  <c r="LX76" i="1"/>
  <c r="LX114" i="1"/>
  <c r="LX161" i="1"/>
  <c r="LX160" i="1"/>
  <c r="LX95" i="1"/>
  <c r="LX120" i="1"/>
  <c r="LX42" i="1"/>
  <c r="LX183" i="1"/>
  <c r="LX112" i="1"/>
  <c r="LX148" i="1"/>
  <c r="LX179" i="1"/>
  <c r="LX128" i="1"/>
  <c r="LX144" i="1"/>
  <c r="LX110" i="1"/>
  <c r="LX81" i="1"/>
  <c r="LX100" i="1"/>
  <c r="LX123" i="1"/>
  <c r="LX86" i="1"/>
  <c r="LX174" i="1"/>
  <c r="LX201" i="1"/>
  <c r="LX90" i="1"/>
  <c r="LX102" i="1"/>
  <c r="LX94" i="1"/>
  <c r="LX119" i="1"/>
  <c r="LX141" i="1"/>
  <c r="LX147" i="1"/>
  <c r="LX165" i="1"/>
  <c r="LX132" i="1"/>
  <c r="LX189" i="1"/>
  <c r="LX133" i="1"/>
  <c r="LX206" i="1"/>
  <c r="LX78" i="1"/>
  <c r="LX143" i="1"/>
  <c r="LX150" i="1"/>
  <c r="LX130" i="1"/>
  <c r="LX96" i="1"/>
  <c r="LX182" i="1"/>
  <c r="LX195" i="1"/>
  <c r="LX178" i="1"/>
  <c r="LX181" i="1"/>
  <c r="LX194" i="1"/>
  <c r="LX208" i="1"/>
  <c r="LX129" i="1"/>
  <c r="LX180" i="1"/>
  <c r="LX140" i="1"/>
  <c r="LX125" i="1"/>
  <c r="LX131" i="1"/>
  <c r="LX173" i="1"/>
  <c r="LX184" i="1"/>
  <c r="LX190" i="1"/>
  <c r="LX142" i="1"/>
  <c r="LX69" i="1"/>
  <c r="LX151" i="1"/>
  <c r="LX193" i="1"/>
  <c r="LX169" i="1"/>
  <c r="LX166" i="1"/>
  <c r="LX97" i="1"/>
  <c r="LX79" i="1"/>
  <c r="LX146" i="1"/>
  <c r="LX204" i="1"/>
  <c r="LX113" i="1"/>
  <c r="LX172" i="1"/>
  <c r="LX171" i="1"/>
  <c r="LX185" i="1"/>
  <c r="LX137" i="1"/>
  <c r="LX205" i="1"/>
  <c r="LX177" i="1"/>
  <c r="LX199" i="1"/>
  <c r="LX106" i="1"/>
  <c r="LX203" i="1"/>
  <c r="LX124" i="1"/>
  <c r="LX170" i="1"/>
  <c r="LX152" i="1"/>
  <c r="LX118" i="1"/>
  <c r="LX198" i="1"/>
  <c r="LX200" i="1"/>
  <c r="LX136" i="1"/>
  <c r="LX108" i="1"/>
  <c r="LX149" i="1"/>
  <c r="LX187" i="1"/>
  <c r="LX168" i="1"/>
  <c r="LX162" i="1"/>
  <c r="LX139" i="1"/>
  <c r="LX196" i="1"/>
  <c r="LX153" i="1"/>
  <c r="LX197" i="1"/>
  <c r="LX176" i="1"/>
  <c r="LX202" i="1"/>
  <c r="LX167" i="1"/>
  <c r="LX207" i="1"/>
  <c r="LX192" i="1"/>
  <c r="LW3" i="1"/>
  <c r="LW2" i="1"/>
  <c r="LW43" i="1"/>
  <c r="LW71" i="1"/>
  <c r="LW7" i="1"/>
  <c r="LW164" i="1"/>
  <c r="LW4" i="1"/>
  <c r="LW99" i="1"/>
  <c r="LW6" i="1"/>
  <c r="LW8" i="1"/>
  <c r="LW10" i="1"/>
  <c r="LW9" i="1"/>
  <c r="LW127" i="1"/>
  <c r="LW11" i="1"/>
  <c r="LW44" i="1"/>
  <c r="LW39" i="1"/>
  <c r="LW45" i="1"/>
  <c r="LW16" i="1"/>
  <c r="LW12" i="1"/>
  <c r="LW48" i="1"/>
  <c r="LW54" i="1"/>
  <c r="LW47" i="1"/>
  <c r="LW20" i="1"/>
  <c r="LW50" i="1"/>
  <c r="LW22" i="1"/>
  <c r="LW49" i="1"/>
  <c r="LW13" i="1"/>
  <c r="LW26" i="1"/>
  <c r="LW52" i="1"/>
  <c r="LW46" i="1"/>
  <c r="LW72" i="1"/>
  <c r="LW5" i="1"/>
  <c r="LW18" i="1"/>
  <c r="LW23" i="1"/>
  <c r="LW15" i="1"/>
  <c r="LW14" i="1"/>
  <c r="LW59" i="1"/>
  <c r="LW38" i="1"/>
  <c r="LW21" i="1"/>
  <c r="LW27" i="1"/>
  <c r="LW17" i="1"/>
  <c r="LW68" i="1"/>
  <c r="LW121" i="1"/>
  <c r="LW24" i="1"/>
  <c r="LW30" i="1"/>
  <c r="LW40" i="1"/>
  <c r="LW35" i="1"/>
  <c r="LW29" i="1"/>
  <c r="LW37" i="1"/>
  <c r="LW28" i="1"/>
  <c r="LW19" i="1"/>
  <c r="LW33" i="1"/>
  <c r="LW109" i="1"/>
  <c r="LW64" i="1"/>
  <c r="LW63" i="1"/>
  <c r="LW77" i="1"/>
  <c r="LW115" i="1"/>
  <c r="LW31" i="1"/>
  <c r="LW41" i="1"/>
  <c r="LW191" i="1"/>
  <c r="LW85" i="1"/>
  <c r="LW62" i="1"/>
  <c r="LW36" i="1"/>
  <c r="LW32" i="1"/>
  <c r="LW34" i="1"/>
  <c r="LW93" i="1"/>
  <c r="LW117" i="1"/>
  <c r="LW154" i="1"/>
  <c r="LW107" i="1"/>
  <c r="LW98" i="1"/>
  <c r="LW138" i="1"/>
  <c r="LW75" i="1"/>
  <c r="LW122" i="1"/>
  <c r="LW84" i="1"/>
  <c r="LW116" i="1"/>
  <c r="LW186" i="1"/>
  <c r="LW89" i="1"/>
  <c r="LW70" i="1"/>
  <c r="LW61" i="1"/>
  <c r="LW74" i="1"/>
  <c r="LW88" i="1"/>
  <c r="LW73" i="1"/>
  <c r="LW111" i="1"/>
  <c r="LW87" i="1"/>
  <c r="LW82" i="1"/>
  <c r="LW53" i="1"/>
  <c r="LW175" i="1"/>
  <c r="LW55" i="1"/>
  <c r="LW51" i="1"/>
  <c r="LW157" i="1"/>
  <c r="LW158" i="1"/>
  <c r="LW83" i="1"/>
  <c r="LW91" i="1"/>
  <c r="LW105" i="1"/>
  <c r="LW103" i="1"/>
  <c r="LW188" i="1"/>
  <c r="LW163" i="1"/>
  <c r="LW101" i="1"/>
  <c r="LW65" i="1"/>
  <c r="LW60" i="1"/>
  <c r="LW80" i="1"/>
  <c r="LW56" i="1"/>
  <c r="LW57" i="1"/>
  <c r="LW25" i="1"/>
  <c r="LW104" i="1"/>
  <c r="LW66" i="1"/>
  <c r="LW58" i="1"/>
  <c r="LW155" i="1"/>
  <c r="LW156" i="1"/>
  <c r="LW134" i="1"/>
  <c r="LW92" i="1"/>
  <c r="LW67" i="1"/>
  <c r="LW126" i="1"/>
  <c r="LW145" i="1"/>
  <c r="LW135" i="1"/>
  <c r="LW159" i="1"/>
  <c r="LW76" i="1"/>
  <c r="LW114" i="1"/>
  <c r="LW161" i="1"/>
  <c r="LW160" i="1"/>
  <c r="LW95" i="1"/>
  <c r="LW120" i="1"/>
  <c r="LW42" i="1"/>
  <c r="LW183" i="1"/>
  <c r="LW112" i="1"/>
  <c r="LW148" i="1"/>
  <c r="LW179" i="1"/>
  <c r="LW128" i="1"/>
  <c r="LW144" i="1"/>
  <c r="LW110" i="1"/>
  <c r="LW81" i="1"/>
  <c r="LW100" i="1"/>
  <c r="LW123" i="1"/>
  <c r="LW86" i="1"/>
  <c r="LW174" i="1"/>
  <c r="LW201" i="1"/>
  <c r="LW90" i="1"/>
  <c r="LW102" i="1"/>
  <c r="LW94" i="1"/>
  <c r="LW119" i="1"/>
  <c r="LW141" i="1"/>
  <c r="LW147" i="1"/>
  <c r="LW165" i="1"/>
  <c r="LW132" i="1"/>
  <c r="LW189" i="1"/>
  <c r="LW133" i="1"/>
  <c r="LW206" i="1"/>
  <c r="LW78" i="1"/>
  <c r="LW143" i="1"/>
  <c r="LW150" i="1"/>
  <c r="LW130" i="1"/>
  <c r="LW96" i="1"/>
  <c r="LW182" i="1"/>
  <c r="LW195" i="1"/>
  <c r="LW178" i="1"/>
  <c r="LW181" i="1"/>
  <c r="LW194" i="1"/>
  <c r="LW208" i="1"/>
  <c r="LW129" i="1"/>
  <c r="LW180" i="1"/>
  <c r="LW140" i="1"/>
  <c r="LW125" i="1"/>
  <c r="LW131" i="1"/>
  <c r="LW173" i="1"/>
  <c r="LW184" i="1"/>
  <c r="LW190" i="1"/>
  <c r="LW142" i="1"/>
  <c r="LW69" i="1"/>
  <c r="LW151" i="1"/>
  <c r="LW193" i="1"/>
  <c r="LW169" i="1"/>
  <c r="LW166" i="1"/>
  <c r="LW97" i="1"/>
  <c r="LW79" i="1"/>
  <c r="LW146" i="1"/>
  <c r="LW204" i="1"/>
  <c r="LW113" i="1"/>
  <c r="LW172" i="1"/>
  <c r="LW171" i="1"/>
  <c r="LW185" i="1"/>
  <c r="LW137" i="1"/>
  <c r="LW205" i="1"/>
  <c r="LW177" i="1"/>
  <c r="LW199" i="1"/>
  <c r="LW106" i="1"/>
  <c r="LW203" i="1"/>
  <c r="LW124" i="1"/>
  <c r="LW170" i="1"/>
  <c r="LW152" i="1"/>
  <c r="LW118" i="1"/>
  <c r="LW198" i="1"/>
  <c r="LW200" i="1"/>
  <c r="LW136" i="1"/>
  <c r="LW108" i="1"/>
  <c r="LW149" i="1"/>
  <c r="LW187" i="1"/>
  <c r="LW168" i="1"/>
  <c r="LW162" i="1"/>
  <c r="LW139" i="1"/>
  <c r="LW196" i="1"/>
  <c r="LW153" i="1"/>
  <c r="LW197" i="1"/>
  <c r="LW176" i="1"/>
  <c r="LW202" i="1"/>
  <c r="LW167" i="1"/>
  <c r="LW207" i="1"/>
  <c r="LW192" i="1"/>
  <c r="LV3" i="1"/>
  <c r="LV2" i="1"/>
  <c r="LV43" i="1"/>
  <c r="LV71" i="1"/>
  <c r="LV7" i="1"/>
  <c r="LV164" i="1"/>
  <c r="LV4" i="1"/>
  <c r="LV99" i="1"/>
  <c r="LV6" i="1"/>
  <c r="LV8" i="1"/>
  <c r="LV10" i="1"/>
  <c r="LV9" i="1"/>
  <c r="LV127" i="1"/>
  <c r="LV11" i="1"/>
  <c r="LV44" i="1"/>
  <c r="LV39" i="1"/>
  <c r="LV45" i="1"/>
  <c r="LV16" i="1"/>
  <c r="LV12" i="1"/>
  <c r="LV48" i="1"/>
  <c r="LV54" i="1"/>
  <c r="LV47" i="1"/>
  <c r="LV20" i="1"/>
  <c r="LV50" i="1"/>
  <c r="LV22" i="1"/>
  <c r="LV49" i="1"/>
  <c r="LV13" i="1"/>
  <c r="LV26" i="1"/>
  <c r="LV52" i="1"/>
  <c r="LV46" i="1"/>
  <c r="LV72" i="1"/>
  <c r="LV5" i="1"/>
  <c r="LV18" i="1"/>
  <c r="LV23" i="1"/>
  <c r="LV15" i="1"/>
  <c r="LV14" i="1"/>
  <c r="LV59" i="1"/>
  <c r="LV38" i="1"/>
  <c r="LV21" i="1"/>
  <c r="LV27" i="1"/>
  <c r="LV17" i="1"/>
  <c r="LV68" i="1"/>
  <c r="LV121" i="1"/>
  <c r="LV24" i="1"/>
  <c r="LV30" i="1"/>
  <c r="LV40" i="1"/>
  <c r="LV35" i="1"/>
  <c r="LV29" i="1"/>
  <c r="LV37" i="1"/>
  <c r="LV28" i="1"/>
  <c r="LV19" i="1"/>
  <c r="LV33" i="1"/>
  <c r="LV109" i="1"/>
  <c r="LV64" i="1"/>
  <c r="LV63" i="1"/>
  <c r="LV77" i="1"/>
  <c r="LV115" i="1"/>
  <c r="LV31" i="1"/>
  <c r="LV41" i="1"/>
  <c r="LV191" i="1"/>
  <c r="LV85" i="1"/>
  <c r="LV62" i="1"/>
  <c r="LV36" i="1"/>
  <c r="LV32" i="1"/>
  <c r="LV34" i="1"/>
  <c r="LV93" i="1"/>
  <c r="LV117" i="1"/>
  <c r="LV154" i="1"/>
  <c r="LV107" i="1"/>
  <c r="LV98" i="1"/>
  <c r="LV138" i="1"/>
  <c r="LV75" i="1"/>
  <c r="LV122" i="1"/>
  <c r="LV84" i="1"/>
  <c r="LV116" i="1"/>
  <c r="LV186" i="1"/>
  <c r="LV89" i="1"/>
  <c r="LV70" i="1"/>
  <c r="LV61" i="1"/>
  <c r="LV74" i="1"/>
  <c r="LV88" i="1"/>
  <c r="LV73" i="1"/>
  <c r="LV111" i="1"/>
  <c r="LV87" i="1"/>
  <c r="LV82" i="1"/>
  <c r="LV53" i="1"/>
  <c r="LV175" i="1"/>
  <c r="LV55" i="1"/>
  <c r="LV51" i="1"/>
  <c r="LV157" i="1"/>
  <c r="LV158" i="1"/>
  <c r="LV83" i="1"/>
  <c r="LV91" i="1"/>
  <c r="LV105" i="1"/>
  <c r="LV103" i="1"/>
  <c r="LV188" i="1"/>
  <c r="LV163" i="1"/>
  <c r="LV101" i="1"/>
  <c r="LV65" i="1"/>
  <c r="LV60" i="1"/>
  <c r="LV80" i="1"/>
  <c r="LV56" i="1"/>
  <c r="LV57" i="1"/>
  <c r="LV25" i="1"/>
  <c r="LV104" i="1"/>
  <c r="LV66" i="1"/>
  <c r="LV58" i="1"/>
  <c r="LV155" i="1"/>
  <c r="LV156" i="1"/>
  <c r="LV134" i="1"/>
  <c r="LV92" i="1"/>
  <c r="LV67" i="1"/>
  <c r="LV126" i="1"/>
  <c r="LV145" i="1"/>
  <c r="LV135" i="1"/>
  <c r="LV159" i="1"/>
  <c r="LV76" i="1"/>
  <c r="LV114" i="1"/>
  <c r="LV161" i="1"/>
  <c r="LV160" i="1"/>
  <c r="LV95" i="1"/>
  <c r="LV120" i="1"/>
  <c r="LV42" i="1"/>
  <c r="LV183" i="1"/>
  <c r="LV112" i="1"/>
  <c r="LV148" i="1"/>
  <c r="LV179" i="1"/>
  <c r="LV128" i="1"/>
  <c r="LV144" i="1"/>
  <c r="LV110" i="1"/>
  <c r="LV81" i="1"/>
  <c r="LV100" i="1"/>
  <c r="LV123" i="1"/>
  <c r="LV86" i="1"/>
  <c r="LV174" i="1"/>
  <c r="LV201" i="1"/>
  <c r="LV90" i="1"/>
  <c r="LV102" i="1"/>
  <c r="LV94" i="1"/>
  <c r="LV119" i="1"/>
  <c r="LV141" i="1"/>
  <c r="LV147" i="1"/>
  <c r="LV165" i="1"/>
  <c r="LV132" i="1"/>
  <c r="LV189" i="1"/>
  <c r="LV133" i="1"/>
  <c r="LV206" i="1"/>
  <c r="LV78" i="1"/>
  <c r="LV143" i="1"/>
  <c r="LV150" i="1"/>
  <c r="LV130" i="1"/>
  <c r="LV96" i="1"/>
  <c r="LV182" i="1"/>
  <c r="LV195" i="1"/>
  <c r="LV178" i="1"/>
  <c r="LV181" i="1"/>
  <c r="LV194" i="1"/>
  <c r="LV208" i="1"/>
  <c r="LV129" i="1"/>
  <c r="LV180" i="1"/>
  <c r="LV140" i="1"/>
  <c r="LV125" i="1"/>
  <c r="LV131" i="1"/>
  <c r="LV173" i="1"/>
  <c r="LV184" i="1"/>
  <c r="LV190" i="1"/>
  <c r="LV142" i="1"/>
  <c r="LV69" i="1"/>
  <c r="LV151" i="1"/>
  <c r="LV193" i="1"/>
  <c r="LV169" i="1"/>
  <c r="LV166" i="1"/>
  <c r="LV97" i="1"/>
  <c r="LV79" i="1"/>
  <c r="LV146" i="1"/>
  <c r="LV204" i="1"/>
  <c r="LV113" i="1"/>
  <c r="LV172" i="1"/>
  <c r="LV171" i="1"/>
  <c r="LV185" i="1"/>
  <c r="LV137" i="1"/>
  <c r="LV205" i="1"/>
  <c r="LV177" i="1"/>
  <c r="LV199" i="1"/>
  <c r="LV106" i="1"/>
  <c r="LV203" i="1"/>
  <c r="LV124" i="1"/>
  <c r="LV170" i="1"/>
  <c r="LV152" i="1"/>
  <c r="LV118" i="1"/>
  <c r="LV198" i="1"/>
  <c r="LV200" i="1"/>
  <c r="LV136" i="1"/>
  <c r="LV108" i="1"/>
  <c r="LV149" i="1"/>
  <c r="LV187" i="1"/>
  <c r="LV168" i="1"/>
  <c r="LV162" i="1"/>
  <c r="LV139" i="1"/>
  <c r="LV196" i="1"/>
  <c r="LV153" i="1"/>
  <c r="LV197" i="1"/>
  <c r="LV176" i="1"/>
  <c r="LV202" i="1"/>
  <c r="LV167" i="1"/>
  <c r="LV207" i="1"/>
  <c r="LV192" i="1"/>
  <c r="LU3" i="1"/>
  <c r="LU2" i="1"/>
  <c r="LU43" i="1"/>
  <c r="LU71" i="1"/>
  <c r="LU7" i="1"/>
  <c r="LU164" i="1"/>
  <c r="LU4" i="1"/>
  <c r="LU99" i="1"/>
  <c r="LU6" i="1"/>
  <c r="LU8" i="1"/>
  <c r="LU10" i="1"/>
  <c r="LU9" i="1"/>
  <c r="LU127" i="1"/>
  <c r="LU11" i="1"/>
  <c r="LU44" i="1"/>
  <c r="LU39" i="1"/>
  <c r="LU45" i="1"/>
  <c r="LU16" i="1"/>
  <c r="LU12" i="1"/>
  <c r="LU48" i="1"/>
  <c r="LU54" i="1"/>
  <c r="LU47" i="1"/>
  <c r="LU20" i="1"/>
  <c r="LU50" i="1"/>
  <c r="LU22" i="1"/>
  <c r="LU49" i="1"/>
  <c r="LU13" i="1"/>
  <c r="LU26" i="1"/>
  <c r="LU52" i="1"/>
  <c r="LU46" i="1"/>
  <c r="LU72" i="1"/>
  <c r="LU5" i="1"/>
  <c r="LU18" i="1"/>
  <c r="LU23" i="1"/>
  <c r="LU15" i="1"/>
  <c r="LU14" i="1"/>
  <c r="LU59" i="1"/>
  <c r="LU38" i="1"/>
  <c r="LU21" i="1"/>
  <c r="LU27" i="1"/>
  <c r="LU17" i="1"/>
  <c r="LU68" i="1"/>
  <c r="LU121" i="1"/>
  <c r="LU24" i="1"/>
  <c r="LU30" i="1"/>
  <c r="LU40" i="1"/>
  <c r="LU35" i="1"/>
  <c r="LU29" i="1"/>
  <c r="LU37" i="1"/>
  <c r="LU28" i="1"/>
  <c r="LU19" i="1"/>
  <c r="LU33" i="1"/>
  <c r="LU109" i="1"/>
  <c r="LU64" i="1"/>
  <c r="LU63" i="1"/>
  <c r="LU77" i="1"/>
  <c r="LU115" i="1"/>
  <c r="LU31" i="1"/>
  <c r="LU41" i="1"/>
  <c r="LU191" i="1"/>
  <c r="LU85" i="1"/>
  <c r="LU62" i="1"/>
  <c r="LU36" i="1"/>
  <c r="LU32" i="1"/>
  <c r="LU34" i="1"/>
  <c r="LU93" i="1"/>
  <c r="LU117" i="1"/>
  <c r="LU154" i="1"/>
  <c r="LU107" i="1"/>
  <c r="LU98" i="1"/>
  <c r="LU138" i="1"/>
  <c r="LU75" i="1"/>
  <c r="LU122" i="1"/>
  <c r="LU84" i="1"/>
  <c r="LU116" i="1"/>
  <c r="LU186" i="1"/>
  <c r="LU89" i="1"/>
  <c r="LU70" i="1"/>
  <c r="LU61" i="1"/>
  <c r="LU74" i="1"/>
  <c r="LU88" i="1"/>
  <c r="LU73" i="1"/>
  <c r="LU111" i="1"/>
  <c r="LU87" i="1"/>
  <c r="LU82" i="1"/>
  <c r="LU53" i="1"/>
  <c r="LU175" i="1"/>
  <c r="LU55" i="1"/>
  <c r="LU51" i="1"/>
  <c r="LU157" i="1"/>
  <c r="LU158" i="1"/>
  <c r="LU83" i="1"/>
  <c r="LU91" i="1"/>
  <c r="LU105" i="1"/>
  <c r="LU103" i="1"/>
  <c r="LU188" i="1"/>
  <c r="LU163" i="1"/>
  <c r="LU101" i="1"/>
  <c r="LU65" i="1"/>
  <c r="LU60" i="1"/>
  <c r="LU80" i="1"/>
  <c r="LU56" i="1"/>
  <c r="LU57" i="1"/>
  <c r="LU25" i="1"/>
  <c r="LU104" i="1"/>
  <c r="LU66" i="1"/>
  <c r="LU58" i="1"/>
  <c r="LU155" i="1"/>
  <c r="LU156" i="1"/>
  <c r="LU134" i="1"/>
  <c r="LU92" i="1"/>
  <c r="LU67" i="1"/>
  <c r="LU126" i="1"/>
  <c r="LU145" i="1"/>
  <c r="LU135" i="1"/>
  <c r="LU159" i="1"/>
  <c r="LU76" i="1"/>
  <c r="LU114" i="1"/>
  <c r="LU161" i="1"/>
  <c r="LU160" i="1"/>
  <c r="LU95" i="1"/>
  <c r="LU120" i="1"/>
  <c r="LU42" i="1"/>
  <c r="LU183" i="1"/>
  <c r="LU112" i="1"/>
  <c r="LU148" i="1"/>
  <c r="LU179" i="1"/>
  <c r="LU128" i="1"/>
  <c r="LU144" i="1"/>
  <c r="LU110" i="1"/>
  <c r="LU81" i="1"/>
  <c r="LU100" i="1"/>
  <c r="LU123" i="1"/>
  <c r="LU86" i="1"/>
  <c r="LU174" i="1"/>
  <c r="LU201" i="1"/>
  <c r="LU90" i="1"/>
  <c r="LU102" i="1"/>
  <c r="LU94" i="1"/>
  <c r="LU119" i="1"/>
  <c r="LU141" i="1"/>
  <c r="LU147" i="1"/>
  <c r="LU165" i="1"/>
  <c r="LU132" i="1"/>
  <c r="LU189" i="1"/>
  <c r="LU133" i="1"/>
  <c r="LU206" i="1"/>
  <c r="LU78" i="1"/>
  <c r="LU143" i="1"/>
  <c r="LU150" i="1"/>
  <c r="LU130" i="1"/>
  <c r="LU96" i="1"/>
  <c r="LU182" i="1"/>
  <c r="LU195" i="1"/>
  <c r="LU178" i="1"/>
  <c r="LU181" i="1"/>
  <c r="LU194" i="1"/>
  <c r="LU208" i="1"/>
  <c r="LU129" i="1"/>
  <c r="LU180" i="1"/>
  <c r="LU140" i="1"/>
  <c r="LU125" i="1"/>
  <c r="LU131" i="1"/>
  <c r="LU173" i="1"/>
  <c r="LU184" i="1"/>
  <c r="LU190" i="1"/>
  <c r="LU142" i="1"/>
  <c r="LU69" i="1"/>
  <c r="LU151" i="1"/>
  <c r="LU193" i="1"/>
  <c r="LU169" i="1"/>
  <c r="LU166" i="1"/>
  <c r="LU97" i="1"/>
  <c r="LU79" i="1"/>
  <c r="LU146" i="1"/>
  <c r="LU204" i="1"/>
  <c r="LU113" i="1"/>
  <c r="LU172" i="1"/>
  <c r="LU171" i="1"/>
  <c r="LU185" i="1"/>
  <c r="LU137" i="1"/>
  <c r="LU205" i="1"/>
  <c r="LU177" i="1"/>
  <c r="LU199" i="1"/>
  <c r="LU106" i="1"/>
  <c r="LU203" i="1"/>
  <c r="LU124" i="1"/>
  <c r="LU170" i="1"/>
  <c r="LU152" i="1"/>
  <c r="LU118" i="1"/>
  <c r="LU198" i="1"/>
  <c r="LU200" i="1"/>
  <c r="LU136" i="1"/>
  <c r="LU108" i="1"/>
  <c r="LU149" i="1"/>
  <c r="LU187" i="1"/>
  <c r="LU168" i="1"/>
  <c r="LU162" i="1"/>
  <c r="LU139" i="1"/>
  <c r="LU196" i="1"/>
  <c r="LU153" i="1"/>
  <c r="LU197" i="1"/>
  <c r="LU176" i="1"/>
  <c r="LU202" i="1"/>
  <c r="LU167" i="1"/>
  <c r="LU207" i="1"/>
  <c r="LU192" i="1"/>
  <c r="LT3" i="1"/>
  <c r="LT2" i="1"/>
  <c r="LT43" i="1"/>
  <c r="LT71" i="1"/>
  <c r="LT7" i="1"/>
  <c r="LT164" i="1"/>
  <c r="LT4" i="1"/>
  <c r="LT99" i="1"/>
  <c r="LT6" i="1"/>
  <c r="LT8" i="1"/>
  <c r="LT10" i="1"/>
  <c r="LT9" i="1"/>
  <c r="LT127" i="1"/>
  <c r="LT11" i="1"/>
  <c r="LT44" i="1"/>
  <c r="LT39" i="1"/>
  <c r="LT45" i="1"/>
  <c r="LT16" i="1"/>
  <c r="LT12" i="1"/>
  <c r="LT48" i="1"/>
  <c r="LT54" i="1"/>
  <c r="LT47" i="1"/>
  <c r="LT20" i="1"/>
  <c r="LT50" i="1"/>
  <c r="LT22" i="1"/>
  <c r="LT49" i="1"/>
  <c r="LT13" i="1"/>
  <c r="LT26" i="1"/>
  <c r="LT52" i="1"/>
  <c r="LT46" i="1"/>
  <c r="LT72" i="1"/>
  <c r="LT5" i="1"/>
  <c r="LT18" i="1"/>
  <c r="LT23" i="1"/>
  <c r="LT15" i="1"/>
  <c r="LT14" i="1"/>
  <c r="LT59" i="1"/>
  <c r="LT38" i="1"/>
  <c r="LT21" i="1"/>
  <c r="LT27" i="1"/>
  <c r="LT17" i="1"/>
  <c r="LT68" i="1"/>
  <c r="LT121" i="1"/>
  <c r="LT24" i="1"/>
  <c r="LT30" i="1"/>
  <c r="LT40" i="1"/>
  <c r="LT35" i="1"/>
  <c r="LT29" i="1"/>
  <c r="LT37" i="1"/>
  <c r="LT28" i="1"/>
  <c r="LT19" i="1"/>
  <c r="LT33" i="1"/>
  <c r="LT109" i="1"/>
  <c r="LT64" i="1"/>
  <c r="LT63" i="1"/>
  <c r="LT77" i="1"/>
  <c r="LT115" i="1"/>
  <c r="LT31" i="1"/>
  <c r="LT41" i="1"/>
  <c r="LT191" i="1"/>
  <c r="LT85" i="1"/>
  <c r="LT62" i="1"/>
  <c r="LT36" i="1"/>
  <c r="LT32" i="1"/>
  <c r="LT34" i="1"/>
  <c r="LT93" i="1"/>
  <c r="LT117" i="1"/>
  <c r="LT154" i="1"/>
  <c r="LT107" i="1"/>
  <c r="LT98" i="1"/>
  <c r="LT138" i="1"/>
  <c r="LT75" i="1"/>
  <c r="LT122" i="1"/>
  <c r="LT84" i="1"/>
  <c r="LT116" i="1"/>
  <c r="LT186" i="1"/>
  <c r="LT89" i="1"/>
  <c r="LT70" i="1"/>
  <c r="LT61" i="1"/>
  <c r="LT74" i="1"/>
  <c r="LT88" i="1"/>
  <c r="LT73" i="1"/>
  <c r="LT111" i="1"/>
  <c r="LT87" i="1"/>
  <c r="LT82" i="1"/>
  <c r="LT53" i="1"/>
  <c r="LT175" i="1"/>
  <c r="LT55" i="1"/>
  <c r="LT51" i="1"/>
  <c r="LT157" i="1"/>
  <c r="LT158" i="1"/>
  <c r="LT83" i="1"/>
  <c r="LT91" i="1"/>
  <c r="LT105" i="1"/>
  <c r="LT103" i="1"/>
  <c r="LT188" i="1"/>
  <c r="LT163" i="1"/>
  <c r="LT101" i="1"/>
  <c r="LT65" i="1"/>
  <c r="LT60" i="1"/>
  <c r="LT80" i="1"/>
  <c r="LT56" i="1"/>
  <c r="LT57" i="1"/>
  <c r="LT25" i="1"/>
  <c r="LT104" i="1"/>
  <c r="LT66" i="1"/>
  <c r="LT58" i="1"/>
  <c r="LT155" i="1"/>
  <c r="LT156" i="1"/>
  <c r="LT134" i="1"/>
  <c r="LT92" i="1"/>
  <c r="LT67" i="1"/>
  <c r="LT126" i="1"/>
  <c r="LT145" i="1"/>
  <c r="LT135" i="1"/>
  <c r="LT159" i="1"/>
  <c r="LT76" i="1"/>
  <c r="LT114" i="1"/>
  <c r="LT161" i="1"/>
  <c r="LT160" i="1"/>
  <c r="LT95" i="1"/>
  <c r="LT120" i="1"/>
  <c r="LT42" i="1"/>
  <c r="LT183" i="1"/>
  <c r="LT112" i="1"/>
  <c r="LT148" i="1"/>
  <c r="LT179" i="1"/>
  <c r="LT128" i="1"/>
  <c r="LT144" i="1"/>
  <c r="LT110" i="1"/>
  <c r="LT81" i="1"/>
  <c r="LT100" i="1"/>
  <c r="LT123" i="1"/>
  <c r="LT86" i="1"/>
  <c r="LT174" i="1"/>
  <c r="LT201" i="1"/>
  <c r="LT90" i="1"/>
  <c r="LT102" i="1"/>
  <c r="LT94" i="1"/>
  <c r="LT119" i="1"/>
  <c r="LT141" i="1"/>
  <c r="LT147" i="1"/>
  <c r="LT165" i="1"/>
  <c r="LT132" i="1"/>
  <c r="LT189" i="1"/>
  <c r="LT133" i="1"/>
  <c r="LT206" i="1"/>
  <c r="LT78" i="1"/>
  <c r="LT143" i="1"/>
  <c r="LT150" i="1"/>
  <c r="LT130" i="1"/>
  <c r="LT96" i="1"/>
  <c r="LT182" i="1"/>
  <c r="LT195" i="1"/>
  <c r="LT178" i="1"/>
  <c r="LT181" i="1"/>
  <c r="LT194" i="1"/>
  <c r="LT208" i="1"/>
  <c r="LT129" i="1"/>
  <c r="LT180" i="1"/>
  <c r="LT140" i="1"/>
  <c r="LT125" i="1"/>
  <c r="LT131" i="1"/>
  <c r="LT173" i="1"/>
  <c r="LT184" i="1"/>
  <c r="LT190" i="1"/>
  <c r="LT142" i="1"/>
  <c r="LT69" i="1"/>
  <c r="LT151" i="1"/>
  <c r="LT193" i="1"/>
  <c r="LT169" i="1"/>
  <c r="LT166" i="1"/>
  <c r="LT97" i="1"/>
  <c r="LT79" i="1"/>
  <c r="LT146" i="1"/>
  <c r="LT204" i="1"/>
  <c r="LT113" i="1"/>
  <c r="LT172" i="1"/>
  <c r="LT171" i="1"/>
  <c r="LT185" i="1"/>
  <c r="LT137" i="1"/>
  <c r="LT205" i="1"/>
  <c r="LT177" i="1"/>
  <c r="LT199" i="1"/>
  <c r="LT106" i="1"/>
  <c r="LT203" i="1"/>
  <c r="LT124" i="1"/>
  <c r="LT170" i="1"/>
  <c r="LT152" i="1"/>
  <c r="LT118" i="1"/>
  <c r="LT198" i="1"/>
  <c r="LT200" i="1"/>
  <c r="LT136" i="1"/>
  <c r="LT108" i="1"/>
  <c r="LT149" i="1"/>
  <c r="LT187" i="1"/>
  <c r="LT168" i="1"/>
  <c r="LT162" i="1"/>
  <c r="LT139" i="1"/>
  <c r="LT196" i="1"/>
  <c r="LT153" i="1"/>
  <c r="LT197" i="1"/>
  <c r="LT176" i="1"/>
  <c r="LT202" i="1"/>
  <c r="LT167" i="1"/>
  <c r="LT207" i="1"/>
  <c r="LT192" i="1"/>
  <c r="LS3" i="1"/>
  <c r="LS2" i="1"/>
  <c r="LS43" i="1"/>
  <c r="LS71" i="1"/>
  <c r="LS7" i="1"/>
  <c r="LS164" i="1"/>
  <c r="LS4" i="1"/>
  <c r="LS99" i="1"/>
  <c r="LS6" i="1"/>
  <c r="LS8" i="1"/>
  <c r="LS10" i="1"/>
  <c r="LS9" i="1"/>
  <c r="LS127" i="1"/>
  <c r="LS11" i="1"/>
  <c r="LS44" i="1"/>
  <c r="LS39" i="1"/>
  <c r="LS45" i="1"/>
  <c r="LS16" i="1"/>
  <c r="LS12" i="1"/>
  <c r="LS48" i="1"/>
  <c r="LS54" i="1"/>
  <c r="LS47" i="1"/>
  <c r="LS20" i="1"/>
  <c r="LS50" i="1"/>
  <c r="LS22" i="1"/>
  <c r="LS49" i="1"/>
  <c r="LS13" i="1"/>
  <c r="LS26" i="1"/>
  <c r="LS52" i="1"/>
  <c r="LS46" i="1"/>
  <c r="LS72" i="1"/>
  <c r="LS5" i="1"/>
  <c r="LS18" i="1"/>
  <c r="LS23" i="1"/>
  <c r="LS15" i="1"/>
  <c r="LS14" i="1"/>
  <c r="LS59" i="1"/>
  <c r="LS38" i="1"/>
  <c r="LS21" i="1"/>
  <c r="LS27" i="1"/>
  <c r="LS17" i="1"/>
  <c r="LS68" i="1"/>
  <c r="LS121" i="1"/>
  <c r="LS24" i="1"/>
  <c r="LS30" i="1"/>
  <c r="LS40" i="1"/>
  <c r="LS35" i="1"/>
  <c r="LS29" i="1"/>
  <c r="LS37" i="1"/>
  <c r="LS28" i="1"/>
  <c r="LS19" i="1"/>
  <c r="LS33" i="1"/>
  <c r="LS109" i="1"/>
  <c r="LS64" i="1"/>
  <c r="LS63" i="1"/>
  <c r="LS77" i="1"/>
  <c r="LS115" i="1"/>
  <c r="LS31" i="1"/>
  <c r="LS41" i="1"/>
  <c r="LS191" i="1"/>
  <c r="LS85" i="1"/>
  <c r="LS62" i="1"/>
  <c r="LS36" i="1"/>
  <c r="LS32" i="1"/>
  <c r="LS34" i="1"/>
  <c r="LS93" i="1"/>
  <c r="LS117" i="1"/>
  <c r="LS154" i="1"/>
  <c r="LS107" i="1"/>
  <c r="LS98" i="1"/>
  <c r="LS138" i="1"/>
  <c r="LS75" i="1"/>
  <c r="LS122" i="1"/>
  <c r="LS84" i="1"/>
  <c r="LS116" i="1"/>
  <c r="LS186" i="1"/>
  <c r="LS89" i="1"/>
  <c r="LS70" i="1"/>
  <c r="LS61" i="1"/>
  <c r="LS74" i="1"/>
  <c r="LS88" i="1"/>
  <c r="LS73" i="1"/>
  <c r="LS111" i="1"/>
  <c r="LS87" i="1"/>
  <c r="LS82" i="1"/>
  <c r="LS53" i="1"/>
  <c r="LS175" i="1"/>
  <c r="LS55" i="1"/>
  <c r="LS51" i="1"/>
  <c r="LS157" i="1"/>
  <c r="LS158" i="1"/>
  <c r="LS83" i="1"/>
  <c r="LS91" i="1"/>
  <c r="LS105" i="1"/>
  <c r="LS103" i="1"/>
  <c r="LS188" i="1"/>
  <c r="LS163" i="1"/>
  <c r="LS101" i="1"/>
  <c r="LS65" i="1"/>
  <c r="LS60" i="1"/>
  <c r="LS80" i="1"/>
  <c r="LS56" i="1"/>
  <c r="LS57" i="1"/>
  <c r="LS25" i="1"/>
  <c r="LS104" i="1"/>
  <c r="LS66" i="1"/>
  <c r="LS58" i="1"/>
  <c r="LS155" i="1"/>
  <c r="LS156" i="1"/>
  <c r="LS134" i="1"/>
  <c r="LS92" i="1"/>
  <c r="LS67" i="1"/>
  <c r="LS126" i="1"/>
  <c r="LS145" i="1"/>
  <c r="LS135" i="1"/>
  <c r="LS159" i="1"/>
  <c r="LS76" i="1"/>
  <c r="LS114" i="1"/>
  <c r="LS161" i="1"/>
  <c r="LS160" i="1"/>
  <c r="LS95" i="1"/>
  <c r="LS120" i="1"/>
  <c r="LS42" i="1"/>
  <c r="LS183" i="1"/>
  <c r="LS112" i="1"/>
  <c r="LS148" i="1"/>
  <c r="LS179" i="1"/>
  <c r="LS128" i="1"/>
  <c r="LS144" i="1"/>
  <c r="LS110" i="1"/>
  <c r="LS81" i="1"/>
  <c r="LS100" i="1"/>
  <c r="LS123" i="1"/>
  <c r="LS86" i="1"/>
  <c r="LS174" i="1"/>
  <c r="LS201" i="1"/>
  <c r="LS90" i="1"/>
  <c r="LS102" i="1"/>
  <c r="LS94" i="1"/>
  <c r="LS119" i="1"/>
  <c r="LS141" i="1"/>
  <c r="LS147" i="1"/>
  <c r="LS165" i="1"/>
  <c r="LS132" i="1"/>
  <c r="LS189" i="1"/>
  <c r="LS133" i="1"/>
  <c r="LS206" i="1"/>
  <c r="LS78" i="1"/>
  <c r="LS143" i="1"/>
  <c r="LS150" i="1"/>
  <c r="LS130" i="1"/>
  <c r="LS96" i="1"/>
  <c r="LS182" i="1"/>
  <c r="LS195" i="1"/>
  <c r="LS178" i="1"/>
  <c r="LS181" i="1"/>
  <c r="LS194" i="1"/>
  <c r="LS208" i="1"/>
  <c r="LS129" i="1"/>
  <c r="LS180" i="1"/>
  <c r="LS140" i="1"/>
  <c r="LS125" i="1"/>
  <c r="LS131" i="1"/>
  <c r="LS173" i="1"/>
  <c r="LS184" i="1"/>
  <c r="LS190" i="1"/>
  <c r="LS142" i="1"/>
  <c r="LS69" i="1"/>
  <c r="LS151" i="1"/>
  <c r="LS193" i="1"/>
  <c r="LS169" i="1"/>
  <c r="LS166" i="1"/>
  <c r="LS97" i="1"/>
  <c r="LS79" i="1"/>
  <c r="LS146" i="1"/>
  <c r="LS204" i="1"/>
  <c r="LS113" i="1"/>
  <c r="LS172" i="1"/>
  <c r="LS171" i="1"/>
  <c r="LS185" i="1"/>
  <c r="LS137" i="1"/>
  <c r="LS205" i="1"/>
  <c r="LS177" i="1"/>
  <c r="LS199" i="1"/>
  <c r="LS106" i="1"/>
  <c r="LS203" i="1"/>
  <c r="LS124" i="1"/>
  <c r="LS170" i="1"/>
  <c r="LS152" i="1"/>
  <c r="LS118" i="1"/>
  <c r="LS198" i="1"/>
  <c r="LS200" i="1"/>
  <c r="LS136" i="1"/>
  <c r="LS108" i="1"/>
  <c r="LS149" i="1"/>
  <c r="LS187" i="1"/>
  <c r="LS168" i="1"/>
  <c r="LS162" i="1"/>
  <c r="LS139" i="1"/>
  <c r="LS196" i="1"/>
  <c r="LS153" i="1"/>
  <c r="LS197" i="1"/>
  <c r="LS176" i="1"/>
  <c r="LS202" i="1"/>
  <c r="LS167" i="1"/>
  <c r="LS207" i="1"/>
  <c r="LS192" i="1"/>
  <c r="LR3" i="1"/>
  <c r="LR2" i="1"/>
  <c r="LR43" i="1"/>
  <c r="LR71" i="1"/>
  <c r="LR7" i="1"/>
  <c r="LR164" i="1"/>
  <c r="LR4" i="1"/>
  <c r="LR99" i="1"/>
  <c r="LR6" i="1"/>
  <c r="LR8" i="1"/>
  <c r="LR10" i="1"/>
  <c r="LR9" i="1"/>
  <c r="LR127" i="1"/>
  <c r="LR11" i="1"/>
  <c r="LR44" i="1"/>
  <c r="LR39" i="1"/>
  <c r="LR45" i="1"/>
  <c r="LR16" i="1"/>
  <c r="LR12" i="1"/>
  <c r="LR48" i="1"/>
  <c r="LR54" i="1"/>
  <c r="LR47" i="1"/>
  <c r="LR20" i="1"/>
  <c r="LR50" i="1"/>
  <c r="LR22" i="1"/>
  <c r="LR49" i="1"/>
  <c r="LR13" i="1"/>
  <c r="LR26" i="1"/>
  <c r="LR52" i="1"/>
  <c r="LR46" i="1"/>
  <c r="LR72" i="1"/>
  <c r="LR5" i="1"/>
  <c r="LR18" i="1"/>
  <c r="LR23" i="1"/>
  <c r="LR15" i="1"/>
  <c r="LR14" i="1"/>
  <c r="LR59" i="1"/>
  <c r="LR38" i="1"/>
  <c r="LR21" i="1"/>
  <c r="LR27" i="1"/>
  <c r="LR17" i="1"/>
  <c r="LR68" i="1"/>
  <c r="LR121" i="1"/>
  <c r="LR24" i="1"/>
  <c r="LR30" i="1"/>
  <c r="LR40" i="1"/>
  <c r="LR35" i="1"/>
  <c r="LR29" i="1"/>
  <c r="LR37" i="1"/>
  <c r="LR28" i="1"/>
  <c r="LR19" i="1"/>
  <c r="LR33" i="1"/>
  <c r="LR109" i="1"/>
  <c r="LR64" i="1"/>
  <c r="LR63" i="1"/>
  <c r="LR77" i="1"/>
  <c r="LR115" i="1"/>
  <c r="LR31" i="1"/>
  <c r="LR41" i="1"/>
  <c r="LR191" i="1"/>
  <c r="LR85" i="1"/>
  <c r="LR62" i="1"/>
  <c r="LR36" i="1"/>
  <c r="LR32" i="1"/>
  <c r="LR34" i="1"/>
  <c r="LR93" i="1"/>
  <c r="LR117" i="1"/>
  <c r="LR154" i="1"/>
  <c r="LR107" i="1"/>
  <c r="LR98" i="1"/>
  <c r="LR138" i="1"/>
  <c r="LR75" i="1"/>
  <c r="LR122" i="1"/>
  <c r="LR84" i="1"/>
  <c r="LR116" i="1"/>
  <c r="LR186" i="1"/>
  <c r="LR89" i="1"/>
  <c r="LR70" i="1"/>
  <c r="LR61" i="1"/>
  <c r="LR74" i="1"/>
  <c r="LR88" i="1"/>
  <c r="LR73" i="1"/>
  <c r="LR111" i="1"/>
  <c r="LR87" i="1"/>
  <c r="LR82" i="1"/>
  <c r="LR53" i="1"/>
  <c r="LR175" i="1"/>
  <c r="LR55" i="1"/>
  <c r="LR51" i="1"/>
  <c r="LR157" i="1"/>
  <c r="LR158" i="1"/>
  <c r="LR83" i="1"/>
  <c r="LR91" i="1"/>
  <c r="LR105" i="1"/>
  <c r="LR103" i="1"/>
  <c r="LR188" i="1"/>
  <c r="LR163" i="1"/>
  <c r="LR101" i="1"/>
  <c r="LR65" i="1"/>
  <c r="LR60" i="1"/>
  <c r="LR80" i="1"/>
  <c r="LR56" i="1"/>
  <c r="LR57" i="1"/>
  <c r="LR25" i="1"/>
  <c r="LR104" i="1"/>
  <c r="LR66" i="1"/>
  <c r="LR58" i="1"/>
  <c r="LR155" i="1"/>
  <c r="LR156" i="1"/>
  <c r="LR134" i="1"/>
  <c r="LR92" i="1"/>
  <c r="LR67" i="1"/>
  <c r="LR126" i="1"/>
  <c r="LR145" i="1"/>
  <c r="LR135" i="1"/>
  <c r="LR159" i="1"/>
  <c r="LR76" i="1"/>
  <c r="LR114" i="1"/>
  <c r="LR161" i="1"/>
  <c r="LR160" i="1"/>
  <c r="LR95" i="1"/>
  <c r="LR120" i="1"/>
  <c r="LR42" i="1"/>
  <c r="LR183" i="1"/>
  <c r="LR112" i="1"/>
  <c r="LR148" i="1"/>
  <c r="LR179" i="1"/>
  <c r="LR128" i="1"/>
  <c r="LR144" i="1"/>
  <c r="LR110" i="1"/>
  <c r="LR81" i="1"/>
  <c r="LR100" i="1"/>
  <c r="LR123" i="1"/>
  <c r="LR86" i="1"/>
  <c r="LR174" i="1"/>
  <c r="LR201" i="1"/>
  <c r="LR90" i="1"/>
  <c r="LR102" i="1"/>
  <c r="LR94" i="1"/>
  <c r="LR119" i="1"/>
  <c r="LR141" i="1"/>
  <c r="LR147" i="1"/>
  <c r="LR165" i="1"/>
  <c r="LR132" i="1"/>
  <c r="LR189" i="1"/>
  <c r="LR133" i="1"/>
  <c r="LR206" i="1"/>
  <c r="LR78" i="1"/>
  <c r="LR143" i="1"/>
  <c r="LR150" i="1"/>
  <c r="LR130" i="1"/>
  <c r="LR96" i="1"/>
  <c r="LR182" i="1"/>
  <c r="LR195" i="1"/>
  <c r="LR178" i="1"/>
  <c r="LR181" i="1"/>
  <c r="LR194" i="1"/>
  <c r="LR208" i="1"/>
  <c r="LR129" i="1"/>
  <c r="LR180" i="1"/>
  <c r="LR140" i="1"/>
  <c r="LR125" i="1"/>
  <c r="LR131" i="1"/>
  <c r="LR173" i="1"/>
  <c r="LR184" i="1"/>
  <c r="LR190" i="1"/>
  <c r="LR142" i="1"/>
  <c r="LR69" i="1"/>
  <c r="LR151" i="1"/>
  <c r="LR193" i="1"/>
  <c r="LR169" i="1"/>
  <c r="LR166" i="1"/>
  <c r="LR97" i="1"/>
  <c r="LR79" i="1"/>
  <c r="LR146" i="1"/>
  <c r="LR204" i="1"/>
  <c r="LR113" i="1"/>
  <c r="LR172" i="1"/>
  <c r="LR171" i="1"/>
  <c r="LR185" i="1"/>
  <c r="LR137" i="1"/>
  <c r="LR205" i="1"/>
  <c r="LR177" i="1"/>
  <c r="LR199" i="1"/>
  <c r="LR106" i="1"/>
  <c r="LR203" i="1"/>
  <c r="LR124" i="1"/>
  <c r="LR170" i="1"/>
  <c r="LR152" i="1"/>
  <c r="LR118" i="1"/>
  <c r="LR198" i="1"/>
  <c r="LR200" i="1"/>
  <c r="LR136" i="1"/>
  <c r="LR108" i="1"/>
  <c r="LR149" i="1"/>
  <c r="LR187" i="1"/>
  <c r="LR168" i="1"/>
  <c r="LR162" i="1"/>
  <c r="LR139" i="1"/>
  <c r="LR196" i="1"/>
  <c r="LR153" i="1"/>
  <c r="LR197" i="1"/>
  <c r="LR176" i="1"/>
  <c r="LR202" i="1"/>
  <c r="LR167" i="1"/>
  <c r="LR207" i="1"/>
  <c r="LR192" i="1"/>
  <c r="LQ3" i="1"/>
  <c r="LQ2" i="1"/>
  <c r="LQ43" i="1"/>
  <c r="LQ71" i="1"/>
  <c r="LQ7" i="1"/>
  <c r="LQ164" i="1"/>
  <c r="LQ4" i="1"/>
  <c r="LQ99" i="1"/>
  <c r="LQ6" i="1"/>
  <c r="LQ8" i="1"/>
  <c r="LQ10" i="1"/>
  <c r="LQ9" i="1"/>
  <c r="LQ127" i="1"/>
  <c r="LQ11" i="1"/>
  <c r="LQ44" i="1"/>
  <c r="LQ39" i="1"/>
  <c r="LQ45" i="1"/>
  <c r="LQ16" i="1"/>
  <c r="LQ12" i="1"/>
  <c r="LQ48" i="1"/>
  <c r="LQ54" i="1"/>
  <c r="LQ47" i="1"/>
  <c r="LQ20" i="1"/>
  <c r="LQ50" i="1"/>
  <c r="LQ22" i="1"/>
  <c r="LQ49" i="1"/>
  <c r="LQ13" i="1"/>
  <c r="LQ26" i="1"/>
  <c r="LQ52" i="1"/>
  <c r="LQ46" i="1"/>
  <c r="LQ72" i="1"/>
  <c r="LQ5" i="1"/>
  <c r="LQ18" i="1"/>
  <c r="LQ23" i="1"/>
  <c r="LQ15" i="1"/>
  <c r="LQ14" i="1"/>
  <c r="LQ59" i="1"/>
  <c r="LQ38" i="1"/>
  <c r="LQ21" i="1"/>
  <c r="LQ27" i="1"/>
  <c r="LQ17" i="1"/>
  <c r="LQ68" i="1"/>
  <c r="LQ121" i="1"/>
  <c r="LQ24" i="1"/>
  <c r="LQ30" i="1"/>
  <c r="LQ40" i="1"/>
  <c r="LQ35" i="1"/>
  <c r="LQ29" i="1"/>
  <c r="LQ37" i="1"/>
  <c r="LQ28" i="1"/>
  <c r="LQ19" i="1"/>
  <c r="LQ33" i="1"/>
  <c r="LQ109" i="1"/>
  <c r="LQ64" i="1"/>
  <c r="LQ63" i="1"/>
  <c r="LQ77" i="1"/>
  <c r="LQ115" i="1"/>
  <c r="LQ31" i="1"/>
  <c r="LQ41" i="1"/>
  <c r="LQ191" i="1"/>
  <c r="LQ85" i="1"/>
  <c r="LQ62" i="1"/>
  <c r="LQ36" i="1"/>
  <c r="LQ32" i="1"/>
  <c r="LQ34" i="1"/>
  <c r="LQ93" i="1"/>
  <c r="LQ117" i="1"/>
  <c r="LQ154" i="1"/>
  <c r="LQ107" i="1"/>
  <c r="LQ98" i="1"/>
  <c r="LQ138" i="1"/>
  <c r="LQ75" i="1"/>
  <c r="LQ122" i="1"/>
  <c r="LQ84" i="1"/>
  <c r="LQ116" i="1"/>
  <c r="LQ186" i="1"/>
  <c r="LQ89" i="1"/>
  <c r="LQ70" i="1"/>
  <c r="LQ61" i="1"/>
  <c r="LQ74" i="1"/>
  <c r="LQ88" i="1"/>
  <c r="LQ73" i="1"/>
  <c r="LQ111" i="1"/>
  <c r="LQ87" i="1"/>
  <c r="LQ82" i="1"/>
  <c r="LQ53" i="1"/>
  <c r="LQ175" i="1"/>
  <c r="LQ55" i="1"/>
  <c r="LQ51" i="1"/>
  <c r="LQ157" i="1"/>
  <c r="LQ158" i="1"/>
  <c r="LQ83" i="1"/>
  <c r="LQ91" i="1"/>
  <c r="LQ105" i="1"/>
  <c r="LQ103" i="1"/>
  <c r="LQ188" i="1"/>
  <c r="LQ163" i="1"/>
  <c r="LQ101" i="1"/>
  <c r="LQ65" i="1"/>
  <c r="LQ60" i="1"/>
  <c r="LQ80" i="1"/>
  <c r="LQ56" i="1"/>
  <c r="LQ57" i="1"/>
  <c r="LQ25" i="1"/>
  <c r="LQ104" i="1"/>
  <c r="LQ66" i="1"/>
  <c r="LQ58" i="1"/>
  <c r="LQ155" i="1"/>
  <c r="LQ156" i="1"/>
  <c r="LQ134" i="1"/>
  <c r="LQ92" i="1"/>
  <c r="LQ67" i="1"/>
  <c r="LQ126" i="1"/>
  <c r="LQ145" i="1"/>
  <c r="LQ135" i="1"/>
  <c r="LQ159" i="1"/>
  <c r="LQ76" i="1"/>
  <c r="LQ114" i="1"/>
  <c r="LQ161" i="1"/>
  <c r="LQ160" i="1"/>
  <c r="LQ95" i="1"/>
  <c r="LQ120" i="1"/>
  <c r="LQ42" i="1"/>
  <c r="LQ183" i="1"/>
  <c r="LQ112" i="1"/>
  <c r="LQ148" i="1"/>
  <c r="LQ179" i="1"/>
  <c r="LQ128" i="1"/>
  <c r="LQ144" i="1"/>
  <c r="LQ110" i="1"/>
  <c r="LQ81" i="1"/>
  <c r="LQ100" i="1"/>
  <c r="LQ123" i="1"/>
  <c r="LQ86" i="1"/>
  <c r="LQ174" i="1"/>
  <c r="LQ201" i="1"/>
  <c r="LQ90" i="1"/>
  <c r="LQ102" i="1"/>
  <c r="LQ94" i="1"/>
  <c r="LQ119" i="1"/>
  <c r="LQ141" i="1"/>
  <c r="LQ147" i="1"/>
  <c r="LQ165" i="1"/>
  <c r="LQ132" i="1"/>
  <c r="LQ189" i="1"/>
  <c r="LQ133" i="1"/>
  <c r="LQ206" i="1"/>
  <c r="LQ78" i="1"/>
  <c r="LQ143" i="1"/>
  <c r="LQ150" i="1"/>
  <c r="LQ130" i="1"/>
  <c r="LQ96" i="1"/>
  <c r="LQ182" i="1"/>
  <c r="LQ195" i="1"/>
  <c r="LQ178" i="1"/>
  <c r="LQ181" i="1"/>
  <c r="LQ194" i="1"/>
  <c r="LQ208" i="1"/>
  <c r="LQ129" i="1"/>
  <c r="LQ180" i="1"/>
  <c r="LQ140" i="1"/>
  <c r="LQ125" i="1"/>
  <c r="LQ131" i="1"/>
  <c r="LQ173" i="1"/>
  <c r="LQ184" i="1"/>
  <c r="LQ190" i="1"/>
  <c r="LQ142" i="1"/>
  <c r="LQ69" i="1"/>
  <c r="LQ151" i="1"/>
  <c r="LQ193" i="1"/>
  <c r="LQ169" i="1"/>
  <c r="LQ166" i="1"/>
  <c r="LQ97" i="1"/>
  <c r="LQ79" i="1"/>
  <c r="LQ146" i="1"/>
  <c r="LQ204" i="1"/>
  <c r="LQ113" i="1"/>
  <c r="LQ172" i="1"/>
  <c r="LQ171" i="1"/>
  <c r="LQ185" i="1"/>
  <c r="LQ137" i="1"/>
  <c r="LQ205" i="1"/>
  <c r="LQ177" i="1"/>
  <c r="LQ199" i="1"/>
  <c r="LQ106" i="1"/>
  <c r="LQ203" i="1"/>
  <c r="LQ124" i="1"/>
  <c r="LQ170" i="1"/>
  <c r="LQ152" i="1"/>
  <c r="LQ118" i="1"/>
  <c r="LQ198" i="1"/>
  <c r="LQ200" i="1"/>
  <c r="LQ136" i="1"/>
  <c r="LQ108" i="1"/>
  <c r="LQ149" i="1"/>
  <c r="LQ187" i="1"/>
  <c r="LQ168" i="1"/>
  <c r="LQ162" i="1"/>
  <c r="LQ139" i="1"/>
  <c r="LQ196" i="1"/>
  <c r="LQ153" i="1"/>
  <c r="LQ197" i="1"/>
  <c r="LQ176" i="1"/>
  <c r="LQ202" i="1"/>
  <c r="LQ167" i="1"/>
  <c r="LQ207" i="1"/>
  <c r="LQ192" i="1"/>
  <c r="LP3" i="1"/>
  <c r="LP2" i="1"/>
  <c r="LP43" i="1"/>
  <c r="LP71" i="1"/>
  <c r="LP7" i="1"/>
  <c r="LP164" i="1"/>
  <c r="LP4" i="1"/>
  <c r="LP99" i="1"/>
  <c r="LP6" i="1"/>
  <c r="LP8" i="1"/>
  <c r="LP10" i="1"/>
  <c r="LP9" i="1"/>
  <c r="LP127" i="1"/>
  <c r="LP11" i="1"/>
  <c r="LP44" i="1"/>
  <c r="LP39" i="1"/>
  <c r="LP45" i="1"/>
  <c r="LP16" i="1"/>
  <c r="LP12" i="1"/>
  <c r="LP48" i="1"/>
  <c r="LP54" i="1"/>
  <c r="LP47" i="1"/>
  <c r="LP20" i="1"/>
  <c r="LP50" i="1"/>
  <c r="LP22" i="1"/>
  <c r="LP49" i="1"/>
  <c r="LP13" i="1"/>
  <c r="LP26" i="1"/>
  <c r="LP52" i="1"/>
  <c r="LP46" i="1"/>
  <c r="LP72" i="1"/>
  <c r="LP5" i="1"/>
  <c r="LP18" i="1"/>
  <c r="LP23" i="1"/>
  <c r="LP15" i="1"/>
  <c r="LP14" i="1"/>
  <c r="LP59" i="1"/>
  <c r="LP38" i="1"/>
  <c r="LP21" i="1"/>
  <c r="LP27" i="1"/>
  <c r="LP17" i="1"/>
  <c r="LP68" i="1"/>
  <c r="LP121" i="1"/>
  <c r="LP24" i="1"/>
  <c r="LP30" i="1"/>
  <c r="LP40" i="1"/>
  <c r="LP35" i="1"/>
  <c r="LP29" i="1"/>
  <c r="LP37" i="1"/>
  <c r="LP28" i="1"/>
  <c r="LP19" i="1"/>
  <c r="LP33" i="1"/>
  <c r="LP109" i="1"/>
  <c r="LP64" i="1"/>
  <c r="LP63" i="1"/>
  <c r="LP77" i="1"/>
  <c r="LP115" i="1"/>
  <c r="LP31" i="1"/>
  <c r="LP41" i="1"/>
  <c r="LP191" i="1"/>
  <c r="LP85" i="1"/>
  <c r="LP62" i="1"/>
  <c r="LP36" i="1"/>
  <c r="LP32" i="1"/>
  <c r="LP34" i="1"/>
  <c r="LP93" i="1"/>
  <c r="LP117" i="1"/>
  <c r="LP154" i="1"/>
  <c r="LP107" i="1"/>
  <c r="LP98" i="1"/>
  <c r="LP138" i="1"/>
  <c r="LP75" i="1"/>
  <c r="LP122" i="1"/>
  <c r="LP84" i="1"/>
  <c r="LP116" i="1"/>
  <c r="LP186" i="1"/>
  <c r="LP89" i="1"/>
  <c r="LP70" i="1"/>
  <c r="LP61" i="1"/>
  <c r="LP74" i="1"/>
  <c r="LP88" i="1"/>
  <c r="LP73" i="1"/>
  <c r="LP111" i="1"/>
  <c r="LP87" i="1"/>
  <c r="LP82" i="1"/>
  <c r="LP53" i="1"/>
  <c r="LP175" i="1"/>
  <c r="LP55" i="1"/>
  <c r="LP51" i="1"/>
  <c r="LP157" i="1"/>
  <c r="LP158" i="1"/>
  <c r="LP83" i="1"/>
  <c r="LP91" i="1"/>
  <c r="LP105" i="1"/>
  <c r="LP103" i="1"/>
  <c r="LP188" i="1"/>
  <c r="LP163" i="1"/>
  <c r="LP101" i="1"/>
  <c r="LP65" i="1"/>
  <c r="LP60" i="1"/>
  <c r="LP80" i="1"/>
  <c r="LP56" i="1"/>
  <c r="LP57" i="1"/>
  <c r="LP25" i="1"/>
  <c r="LP104" i="1"/>
  <c r="LP66" i="1"/>
  <c r="LP58" i="1"/>
  <c r="LP155" i="1"/>
  <c r="LP156" i="1"/>
  <c r="LP134" i="1"/>
  <c r="LP92" i="1"/>
  <c r="LP67" i="1"/>
  <c r="LP126" i="1"/>
  <c r="LP145" i="1"/>
  <c r="LP135" i="1"/>
  <c r="LP159" i="1"/>
  <c r="LP76" i="1"/>
  <c r="LP114" i="1"/>
  <c r="LP161" i="1"/>
  <c r="LP160" i="1"/>
  <c r="LP95" i="1"/>
  <c r="LP120" i="1"/>
  <c r="LP42" i="1"/>
  <c r="LP183" i="1"/>
  <c r="LP112" i="1"/>
  <c r="LP148" i="1"/>
  <c r="LP179" i="1"/>
  <c r="LP128" i="1"/>
  <c r="LP144" i="1"/>
  <c r="LP110" i="1"/>
  <c r="LP81" i="1"/>
  <c r="LP100" i="1"/>
  <c r="LP123" i="1"/>
  <c r="LP86" i="1"/>
  <c r="LP174" i="1"/>
  <c r="LP201" i="1"/>
  <c r="LP90" i="1"/>
  <c r="LP102" i="1"/>
  <c r="LP94" i="1"/>
  <c r="LP119" i="1"/>
  <c r="LP141" i="1"/>
  <c r="LP147" i="1"/>
  <c r="LP165" i="1"/>
  <c r="LP132" i="1"/>
  <c r="LP189" i="1"/>
  <c r="LP133" i="1"/>
  <c r="LP206" i="1"/>
  <c r="LP78" i="1"/>
  <c r="LP143" i="1"/>
  <c r="LP150" i="1"/>
  <c r="LP130" i="1"/>
  <c r="LP96" i="1"/>
  <c r="LP182" i="1"/>
  <c r="LP195" i="1"/>
  <c r="LP178" i="1"/>
  <c r="LP181" i="1"/>
  <c r="LP194" i="1"/>
  <c r="LP208" i="1"/>
  <c r="LP129" i="1"/>
  <c r="LP180" i="1"/>
  <c r="LP140" i="1"/>
  <c r="LP125" i="1"/>
  <c r="LP131" i="1"/>
  <c r="LP173" i="1"/>
  <c r="LP184" i="1"/>
  <c r="LP190" i="1"/>
  <c r="LP142" i="1"/>
  <c r="LP69" i="1"/>
  <c r="LP151" i="1"/>
  <c r="LP193" i="1"/>
  <c r="LP169" i="1"/>
  <c r="LP166" i="1"/>
  <c r="LP97" i="1"/>
  <c r="LP79" i="1"/>
  <c r="LP146" i="1"/>
  <c r="LP204" i="1"/>
  <c r="LP113" i="1"/>
  <c r="LP172" i="1"/>
  <c r="LP171" i="1"/>
  <c r="LP185" i="1"/>
  <c r="LP137" i="1"/>
  <c r="LP205" i="1"/>
  <c r="LP177" i="1"/>
  <c r="LP199" i="1"/>
  <c r="LP106" i="1"/>
  <c r="LP203" i="1"/>
  <c r="LP124" i="1"/>
  <c r="LP170" i="1"/>
  <c r="LP152" i="1"/>
  <c r="LP118" i="1"/>
  <c r="LP198" i="1"/>
  <c r="LP200" i="1"/>
  <c r="LP136" i="1"/>
  <c r="LP108" i="1"/>
  <c r="LP149" i="1"/>
  <c r="LP187" i="1"/>
  <c r="LP168" i="1"/>
  <c r="LP162" i="1"/>
  <c r="LP139" i="1"/>
  <c r="LP196" i="1"/>
  <c r="LP153" i="1"/>
  <c r="LP197" i="1"/>
  <c r="LP176" i="1"/>
  <c r="LP202" i="1"/>
  <c r="LP167" i="1"/>
  <c r="LP207" i="1"/>
  <c r="LP192" i="1"/>
  <c r="LO3" i="1"/>
  <c r="LO2" i="1"/>
  <c r="LO43" i="1"/>
  <c r="LO71" i="1"/>
  <c r="LO7" i="1"/>
  <c r="LO164" i="1"/>
  <c r="LO4" i="1"/>
  <c r="LO99" i="1"/>
  <c r="LO6" i="1"/>
  <c r="LO8" i="1"/>
  <c r="LO10" i="1"/>
  <c r="LO9" i="1"/>
  <c r="LO127" i="1"/>
  <c r="LO11" i="1"/>
  <c r="LO44" i="1"/>
  <c r="LO39" i="1"/>
  <c r="LO45" i="1"/>
  <c r="LO16" i="1"/>
  <c r="LO12" i="1"/>
  <c r="LO48" i="1"/>
  <c r="LO54" i="1"/>
  <c r="LO47" i="1"/>
  <c r="LO20" i="1"/>
  <c r="LO50" i="1"/>
  <c r="LO22" i="1"/>
  <c r="LO49" i="1"/>
  <c r="LO13" i="1"/>
  <c r="LO26" i="1"/>
  <c r="LO52" i="1"/>
  <c r="LO46" i="1"/>
  <c r="LO72" i="1"/>
  <c r="LO5" i="1"/>
  <c r="LO18" i="1"/>
  <c r="LO23" i="1"/>
  <c r="LO15" i="1"/>
  <c r="LO14" i="1"/>
  <c r="LO59" i="1"/>
  <c r="LO38" i="1"/>
  <c r="LO21" i="1"/>
  <c r="LO27" i="1"/>
  <c r="LO17" i="1"/>
  <c r="LO68" i="1"/>
  <c r="LO121" i="1"/>
  <c r="LO24" i="1"/>
  <c r="LO30" i="1"/>
  <c r="LO40" i="1"/>
  <c r="LO35" i="1"/>
  <c r="LO29" i="1"/>
  <c r="LO37" i="1"/>
  <c r="LO28" i="1"/>
  <c r="LO19" i="1"/>
  <c r="LO33" i="1"/>
  <c r="LO109" i="1"/>
  <c r="LO64" i="1"/>
  <c r="LO63" i="1"/>
  <c r="LO77" i="1"/>
  <c r="LO115" i="1"/>
  <c r="LO31" i="1"/>
  <c r="LO41" i="1"/>
  <c r="LO191" i="1"/>
  <c r="LO85" i="1"/>
  <c r="LO62" i="1"/>
  <c r="LO36" i="1"/>
  <c r="LO32" i="1"/>
  <c r="LO34" i="1"/>
  <c r="LO93" i="1"/>
  <c r="LO117" i="1"/>
  <c r="LO154" i="1"/>
  <c r="LO107" i="1"/>
  <c r="LO98" i="1"/>
  <c r="LO138" i="1"/>
  <c r="LO75" i="1"/>
  <c r="LO122" i="1"/>
  <c r="LO84" i="1"/>
  <c r="LO116" i="1"/>
  <c r="LO186" i="1"/>
  <c r="LO89" i="1"/>
  <c r="LO70" i="1"/>
  <c r="LO61" i="1"/>
  <c r="LO74" i="1"/>
  <c r="LO88" i="1"/>
  <c r="LO73" i="1"/>
  <c r="LO111" i="1"/>
  <c r="LO87" i="1"/>
  <c r="LO82" i="1"/>
  <c r="LO53" i="1"/>
  <c r="LO175" i="1"/>
  <c r="LO55" i="1"/>
  <c r="LO51" i="1"/>
  <c r="LO157" i="1"/>
  <c r="LO158" i="1"/>
  <c r="LO83" i="1"/>
  <c r="LO91" i="1"/>
  <c r="LO105" i="1"/>
  <c r="LO103" i="1"/>
  <c r="LO188" i="1"/>
  <c r="LO163" i="1"/>
  <c r="LO101" i="1"/>
  <c r="LO65" i="1"/>
  <c r="LO60" i="1"/>
  <c r="LO80" i="1"/>
  <c r="LO56" i="1"/>
  <c r="LO57" i="1"/>
  <c r="LO25" i="1"/>
  <c r="LO104" i="1"/>
  <c r="LO66" i="1"/>
  <c r="LO58" i="1"/>
  <c r="LO155" i="1"/>
  <c r="LO156" i="1"/>
  <c r="LO134" i="1"/>
  <c r="LO92" i="1"/>
  <c r="LO67" i="1"/>
  <c r="LO126" i="1"/>
  <c r="LO145" i="1"/>
  <c r="LO135" i="1"/>
  <c r="LO159" i="1"/>
  <c r="LO76" i="1"/>
  <c r="LO114" i="1"/>
  <c r="LO161" i="1"/>
  <c r="LO160" i="1"/>
  <c r="LO95" i="1"/>
  <c r="LO120" i="1"/>
  <c r="LO42" i="1"/>
  <c r="LO183" i="1"/>
  <c r="LO112" i="1"/>
  <c r="LO148" i="1"/>
  <c r="LO179" i="1"/>
  <c r="LO128" i="1"/>
  <c r="LO144" i="1"/>
  <c r="LO110" i="1"/>
  <c r="LO81" i="1"/>
  <c r="LO100" i="1"/>
  <c r="LO123" i="1"/>
  <c r="LO86" i="1"/>
  <c r="LO174" i="1"/>
  <c r="LO201" i="1"/>
  <c r="LO90" i="1"/>
  <c r="LO102" i="1"/>
  <c r="LO94" i="1"/>
  <c r="LO119" i="1"/>
  <c r="LO141" i="1"/>
  <c r="LO147" i="1"/>
  <c r="LO165" i="1"/>
  <c r="LO132" i="1"/>
  <c r="LO189" i="1"/>
  <c r="LO133" i="1"/>
  <c r="LO206" i="1"/>
  <c r="LO78" i="1"/>
  <c r="LO143" i="1"/>
  <c r="LO150" i="1"/>
  <c r="LO130" i="1"/>
  <c r="LO96" i="1"/>
  <c r="LO182" i="1"/>
  <c r="LO195" i="1"/>
  <c r="LO178" i="1"/>
  <c r="LO181" i="1"/>
  <c r="LO194" i="1"/>
  <c r="LO208" i="1"/>
  <c r="LO129" i="1"/>
  <c r="LO180" i="1"/>
  <c r="LO140" i="1"/>
  <c r="LO125" i="1"/>
  <c r="LO131" i="1"/>
  <c r="LO173" i="1"/>
  <c r="LO184" i="1"/>
  <c r="LO190" i="1"/>
  <c r="LO142" i="1"/>
  <c r="LO69" i="1"/>
  <c r="LO151" i="1"/>
  <c r="LO193" i="1"/>
  <c r="LO169" i="1"/>
  <c r="LO166" i="1"/>
  <c r="LO97" i="1"/>
  <c r="LO79" i="1"/>
  <c r="LO146" i="1"/>
  <c r="LO204" i="1"/>
  <c r="LO113" i="1"/>
  <c r="LO172" i="1"/>
  <c r="LO171" i="1"/>
  <c r="LO185" i="1"/>
  <c r="LO137" i="1"/>
  <c r="LO205" i="1"/>
  <c r="LO177" i="1"/>
  <c r="LO199" i="1"/>
  <c r="LO106" i="1"/>
  <c r="LO203" i="1"/>
  <c r="LO124" i="1"/>
  <c r="LO170" i="1"/>
  <c r="LO152" i="1"/>
  <c r="LO118" i="1"/>
  <c r="LO198" i="1"/>
  <c r="LO200" i="1"/>
  <c r="LO136" i="1"/>
  <c r="LO108" i="1"/>
  <c r="LO149" i="1"/>
  <c r="LO187" i="1"/>
  <c r="LO168" i="1"/>
  <c r="LO162" i="1"/>
  <c r="LO139" i="1"/>
  <c r="LO196" i="1"/>
  <c r="LO153" i="1"/>
  <c r="LO197" i="1"/>
  <c r="LO176" i="1"/>
  <c r="LO202" i="1"/>
  <c r="LO167" i="1"/>
  <c r="LO207" i="1"/>
  <c r="LO192" i="1"/>
  <c r="LN3" i="1"/>
  <c r="LN2" i="1"/>
  <c r="LN43" i="1"/>
  <c r="LN71" i="1"/>
  <c r="LN7" i="1"/>
  <c r="LN164" i="1"/>
  <c r="LN4" i="1"/>
  <c r="LN99" i="1"/>
  <c r="LN6" i="1"/>
  <c r="LN8" i="1"/>
  <c r="LN10" i="1"/>
  <c r="LN9" i="1"/>
  <c r="LN127" i="1"/>
  <c r="LN11" i="1"/>
  <c r="LN44" i="1"/>
  <c r="LN39" i="1"/>
  <c r="LN45" i="1"/>
  <c r="LN16" i="1"/>
  <c r="LN12" i="1"/>
  <c r="LN48" i="1"/>
  <c r="LN54" i="1"/>
  <c r="LN47" i="1"/>
  <c r="LN20" i="1"/>
  <c r="LN50" i="1"/>
  <c r="LN22" i="1"/>
  <c r="LN49" i="1"/>
  <c r="LN13" i="1"/>
  <c r="LN26" i="1"/>
  <c r="LN52" i="1"/>
  <c r="LN46" i="1"/>
  <c r="LN72" i="1"/>
  <c r="LN5" i="1"/>
  <c r="LN18" i="1"/>
  <c r="LN23" i="1"/>
  <c r="LN15" i="1"/>
  <c r="LN14" i="1"/>
  <c r="LN59" i="1"/>
  <c r="LN38" i="1"/>
  <c r="LN21" i="1"/>
  <c r="LN27" i="1"/>
  <c r="LN17" i="1"/>
  <c r="LN68" i="1"/>
  <c r="LN121" i="1"/>
  <c r="LN24" i="1"/>
  <c r="LN30" i="1"/>
  <c r="LN40" i="1"/>
  <c r="LN35" i="1"/>
  <c r="LN29" i="1"/>
  <c r="LN37" i="1"/>
  <c r="LN28" i="1"/>
  <c r="LN19" i="1"/>
  <c r="LN33" i="1"/>
  <c r="LN109" i="1"/>
  <c r="LN64" i="1"/>
  <c r="LN63" i="1"/>
  <c r="LN77" i="1"/>
  <c r="LN115" i="1"/>
  <c r="LN31" i="1"/>
  <c r="LN41" i="1"/>
  <c r="LN191" i="1"/>
  <c r="LN85" i="1"/>
  <c r="LN62" i="1"/>
  <c r="LN36" i="1"/>
  <c r="LN32" i="1"/>
  <c r="LN34" i="1"/>
  <c r="LN93" i="1"/>
  <c r="LN117" i="1"/>
  <c r="LN154" i="1"/>
  <c r="LN107" i="1"/>
  <c r="LN98" i="1"/>
  <c r="LN138" i="1"/>
  <c r="LN75" i="1"/>
  <c r="LN122" i="1"/>
  <c r="LN84" i="1"/>
  <c r="LN116" i="1"/>
  <c r="LN186" i="1"/>
  <c r="LN89" i="1"/>
  <c r="LN70" i="1"/>
  <c r="LN61" i="1"/>
  <c r="LN74" i="1"/>
  <c r="LN88" i="1"/>
  <c r="LN73" i="1"/>
  <c r="LN111" i="1"/>
  <c r="LN87" i="1"/>
  <c r="LN82" i="1"/>
  <c r="LN53" i="1"/>
  <c r="LN175" i="1"/>
  <c r="LN55" i="1"/>
  <c r="LN51" i="1"/>
  <c r="LN157" i="1"/>
  <c r="LN158" i="1"/>
  <c r="LN83" i="1"/>
  <c r="LN91" i="1"/>
  <c r="LN105" i="1"/>
  <c r="LN103" i="1"/>
  <c r="LN188" i="1"/>
  <c r="LN163" i="1"/>
  <c r="LN101" i="1"/>
  <c r="LN65" i="1"/>
  <c r="LN60" i="1"/>
  <c r="LN80" i="1"/>
  <c r="LN56" i="1"/>
  <c r="LN57" i="1"/>
  <c r="LN25" i="1"/>
  <c r="LN104" i="1"/>
  <c r="LN66" i="1"/>
  <c r="LN58" i="1"/>
  <c r="LN155" i="1"/>
  <c r="LN156" i="1"/>
  <c r="LN134" i="1"/>
  <c r="LN92" i="1"/>
  <c r="LN67" i="1"/>
  <c r="LN126" i="1"/>
  <c r="LN145" i="1"/>
  <c r="LN135" i="1"/>
  <c r="LN159" i="1"/>
  <c r="LN76" i="1"/>
  <c r="LN114" i="1"/>
  <c r="LN161" i="1"/>
  <c r="LN160" i="1"/>
  <c r="LN95" i="1"/>
  <c r="LN120" i="1"/>
  <c r="LN42" i="1"/>
  <c r="LN183" i="1"/>
  <c r="LN112" i="1"/>
  <c r="LN148" i="1"/>
  <c r="LN179" i="1"/>
  <c r="LN128" i="1"/>
  <c r="LN144" i="1"/>
  <c r="LN110" i="1"/>
  <c r="LN81" i="1"/>
  <c r="LN100" i="1"/>
  <c r="LN123" i="1"/>
  <c r="LN86" i="1"/>
  <c r="LN174" i="1"/>
  <c r="LN201" i="1"/>
  <c r="LN90" i="1"/>
  <c r="LN102" i="1"/>
  <c r="LN94" i="1"/>
  <c r="LN119" i="1"/>
  <c r="LN141" i="1"/>
  <c r="LN147" i="1"/>
  <c r="LN165" i="1"/>
  <c r="LN132" i="1"/>
  <c r="LN189" i="1"/>
  <c r="LN133" i="1"/>
  <c r="LN206" i="1"/>
  <c r="LN78" i="1"/>
  <c r="LN143" i="1"/>
  <c r="LN150" i="1"/>
  <c r="LN130" i="1"/>
  <c r="LN96" i="1"/>
  <c r="LN182" i="1"/>
  <c r="LN195" i="1"/>
  <c r="LN178" i="1"/>
  <c r="LN181" i="1"/>
  <c r="LN194" i="1"/>
  <c r="LN208" i="1"/>
  <c r="LN129" i="1"/>
  <c r="LN180" i="1"/>
  <c r="LN140" i="1"/>
  <c r="LN125" i="1"/>
  <c r="LN131" i="1"/>
  <c r="LN173" i="1"/>
  <c r="LN184" i="1"/>
  <c r="LN190" i="1"/>
  <c r="LN142" i="1"/>
  <c r="LN69" i="1"/>
  <c r="LN151" i="1"/>
  <c r="LN193" i="1"/>
  <c r="LN169" i="1"/>
  <c r="LN166" i="1"/>
  <c r="LN97" i="1"/>
  <c r="LN79" i="1"/>
  <c r="LN146" i="1"/>
  <c r="LN204" i="1"/>
  <c r="LN113" i="1"/>
  <c r="LN172" i="1"/>
  <c r="LN171" i="1"/>
  <c r="LN185" i="1"/>
  <c r="LN137" i="1"/>
  <c r="LN205" i="1"/>
  <c r="LN177" i="1"/>
  <c r="LN199" i="1"/>
  <c r="LN106" i="1"/>
  <c r="LN203" i="1"/>
  <c r="LN124" i="1"/>
  <c r="LN170" i="1"/>
  <c r="LN152" i="1"/>
  <c r="LN118" i="1"/>
  <c r="LN198" i="1"/>
  <c r="LN200" i="1"/>
  <c r="LN136" i="1"/>
  <c r="LN108" i="1"/>
  <c r="LN149" i="1"/>
  <c r="LN187" i="1"/>
  <c r="LN168" i="1"/>
  <c r="LN162" i="1"/>
  <c r="LN139" i="1"/>
  <c r="LN196" i="1"/>
  <c r="LN153" i="1"/>
  <c r="LN197" i="1"/>
  <c r="LN176" i="1"/>
  <c r="LN202" i="1"/>
  <c r="LN167" i="1"/>
  <c r="LN207" i="1"/>
  <c r="LN192" i="1"/>
  <c r="LM3" i="1"/>
  <c r="LM2" i="1"/>
  <c r="LM43" i="1"/>
  <c r="LM71" i="1"/>
  <c r="LM7" i="1"/>
  <c r="LM164" i="1"/>
  <c r="LM4" i="1"/>
  <c r="LM99" i="1"/>
  <c r="LM6" i="1"/>
  <c r="LM8" i="1"/>
  <c r="LM10" i="1"/>
  <c r="LM9" i="1"/>
  <c r="LM127" i="1"/>
  <c r="LM11" i="1"/>
  <c r="LM44" i="1"/>
  <c r="LM39" i="1"/>
  <c r="LM45" i="1"/>
  <c r="LM16" i="1"/>
  <c r="LM12" i="1"/>
  <c r="LM48" i="1"/>
  <c r="LM54" i="1"/>
  <c r="LM47" i="1"/>
  <c r="LM20" i="1"/>
  <c r="LM50" i="1"/>
  <c r="LM22" i="1"/>
  <c r="LM49" i="1"/>
  <c r="LM13" i="1"/>
  <c r="LM26" i="1"/>
  <c r="LM52" i="1"/>
  <c r="LM46" i="1"/>
  <c r="LM72" i="1"/>
  <c r="LM5" i="1"/>
  <c r="LM18" i="1"/>
  <c r="LM23" i="1"/>
  <c r="LM15" i="1"/>
  <c r="LM14" i="1"/>
  <c r="LM59" i="1"/>
  <c r="LM38" i="1"/>
  <c r="LM21" i="1"/>
  <c r="LM27" i="1"/>
  <c r="LM17" i="1"/>
  <c r="LM68" i="1"/>
  <c r="LM121" i="1"/>
  <c r="LM24" i="1"/>
  <c r="LM30" i="1"/>
  <c r="LM40" i="1"/>
  <c r="LM35" i="1"/>
  <c r="LM29" i="1"/>
  <c r="LM37" i="1"/>
  <c r="LM28" i="1"/>
  <c r="LM19" i="1"/>
  <c r="LM33" i="1"/>
  <c r="LM109" i="1"/>
  <c r="LM64" i="1"/>
  <c r="LM63" i="1"/>
  <c r="LM77" i="1"/>
  <c r="LM115" i="1"/>
  <c r="LM31" i="1"/>
  <c r="LM41" i="1"/>
  <c r="LM191" i="1"/>
  <c r="LM85" i="1"/>
  <c r="LM62" i="1"/>
  <c r="LM36" i="1"/>
  <c r="LM32" i="1"/>
  <c r="LM34" i="1"/>
  <c r="LM93" i="1"/>
  <c r="LM117" i="1"/>
  <c r="LM154" i="1"/>
  <c r="LM107" i="1"/>
  <c r="LM98" i="1"/>
  <c r="LM138" i="1"/>
  <c r="LM75" i="1"/>
  <c r="LM122" i="1"/>
  <c r="LM84" i="1"/>
  <c r="LM116" i="1"/>
  <c r="LM186" i="1"/>
  <c r="LM89" i="1"/>
  <c r="LM70" i="1"/>
  <c r="LM61" i="1"/>
  <c r="LM74" i="1"/>
  <c r="LM88" i="1"/>
  <c r="LM73" i="1"/>
  <c r="LM111" i="1"/>
  <c r="LM87" i="1"/>
  <c r="LM82" i="1"/>
  <c r="LM53" i="1"/>
  <c r="LM175" i="1"/>
  <c r="LM55" i="1"/>
  <c r="LM51" i="1"/>
  <c r="LM157" i="1"/>
  <c r="LM158" i="1"/>
  <c r="LM83" i="1"/>
  <c r="LM91" i="1"/>
  <c r="LM105" i="1"/>
  <c r="LM103" i="1"/>
  <c r="LM188" i="1"/>
  <c r="LM163" i="1"/>
  <c r="LM101" i="1"/>
  <c r="LM65" i="1"/>
  <c r="LM60" i="1"/>
  <c r="LM80" i="1"/>
  <c r="LM56" i="1"/>
  <c r="LM57" i="1"/>
  <c r="LM25" i="1"/>
  <c r="LM104" i="1"/>
  <c r="LM66" i="1"/>
  <c r="LM58" i="1"/>
  <c r="LM155" i="1"/>
  <c r="LM156" i="1"/>
  <c r="LM134" i="1"/>
  <c r="LM92" i="1"/>
  <c r="LM67" i="1"/>
  <c r="LM126" i="1"/>
  <c r="LM145" i="1"/>
  <c r="LM135" i="1"/>
  <c r="LM159" i="1"/>
  <c r="LM76" i="1"/>
  <c r="LM114" i="1"/>
  <c r="LM161" i="1"/>
  <c r="LM160" i="1"/>
  <c r="LM95" i="1"/>
  <c r="LM120" i="1"/>
  <c r="LM42" i="1"/>
  <c r="LM183" i="1"/>
  <c r="LM112" i="1"/>
  <c r="LM148" i="1"/>
  <c r="LM179" i="1"/>
  <c r="LM128" i="1"/>
  <c r="LM144" i="1"/>
  <c r="LM110" i="1"/>
  <c r="LM81" i="1"/>
  <c r="LM100" i="1"/>
  <c r="LM123" i="1"/>
  <c r="LM86" i="1"/>
  <c r="LM174" i="1"/>
  <c r="LM201" i="1"/>
  <c r="LM90" i="1"/>
  <c r="LM102" i="1"/>
  <c r="LM94" i="1"/>
  <c r="LM119" i="1"/>
  <c r="LM141" i="1"/>
  <c r="LM147" i="1"/>
  <c r="LM165" i="1"/>
  <c r="LM132" i="1"/>
  <c r="LM189" i="1"/>
  <c r="LM133" i="1"/>
  <c r="LM206" i="1"/>
  <c r="LM78" i="1"/>
  <c r="LM143" i="1"/>
  <c r="LM150" i="1"/>
  <c r="LM130" i="1"/>
  <c r="LM96" i="1"/>
  <c r="LM182" i="1"/>
  <c r="LM195" i="1"/>
  <c r="LM178" i="1"/>
  <c r="LM181" i="1"/>
  <c r="LM194" i="1"/>
  <c r="LM208" i="1"/>
  <c r="LM129" i="1"/>
  <c r="LM180" i="1"/>
  <c r="LM140" i="1"/>
  <c r="LM125" i="1"/>
  <c r="LM131" i="1"/>
  <c r="LM173" i="1"/>
  <c r="LM184" i="1"/>
  <c r="LM190" i="1"/>
  <c r="LM142" i="1"/>
  <c r="LM69" i="1"/>
  <c r="LM151" i="1"/>
  <c r="LM193" i="1"/>
  <c r="LM169" i="1"/>
  <c r="LM166" i="1"/>
  <c r="LM97" i="1"/>
  <c r="LM79" i="1"/>
  <c r="LM146" i="1"/>
  <c r="LM204" i="1"/>
  <c r="LM113" i="1"/>
  <c r="LM172" i="1"/>
  <c r="LM171" i="1"/>
  <c r="LM185" i="1"/>
  <c r="LM137" i="1"/>
  <c r="LM205" i="1"/>
  <c r="LM177" i="1"/>
  <c r="LM199" i="1"/>
  <c r="LM106" i="1"/>
  <c r="LM203" i="1"/>
  <c r="LM124" i="1"/>
  <c r="LM170" i="1"/>
  <c r="LM152" i="1"/>
  <c r="LM118" i="1"/>
  <c r="LM198" i="1"/>
  <c r="LM200" i="1"/>
  <c r="LM136" i="1"/>
  <c r="LM108" i="1"/>
  <c r="LM149" i="1"/>
  <c r="LM187" i="1"/>
  <c r="LM168" i="1"/>
  <c r="LM162" i="1"/>
  <c r="LM139" i="1"/>
  <c r="LM196" i="1"/>
  <c r="LM153" i="1"/>
  <c r="LM197" i="1"/>
  <c r="LM176" i="1"/>
  <c r="LM202" i="1"/>
  <c r="LM167" i="1"/>
  <c r="LM207" i="1"/>
  <c r="LM192" i="1"/>
  <c r="LL3" i="1"/>
  <c r="LL2" i="1"/>
  <c r="LL43" i="1"/>
  <c r="LL71" i="1"/>
  <c r="LL7" i="1"/>
  <c r="LL164" i="1"/>
  <c r="LL4" i="1"/>
  <c r="LL99" i="1"/>
  <c r="LL6" i="1"/>
  <c r="LL8" i="1"/>
  <c r="LL10" i="1"/>
  <c r="LL9" i="1"/>
  <c r="LL127" i="1"/>
  <c r="LL11" i="1"/>
  <c r="LL44" i="1"/>
  <c r="LL39" i="1"/>
  <c r="LL45" i="1"/>
  <c r="LL16" i="1"/>
  <c r="LL12" i="1"/>
  <c r="LL48" i="1"/>
  <c r="LL54" i="1"/>
  <c r="LL47" i="1"/>
  <c r="LL20" i="1"/>
  <c r="LL50" i="1"/>
  <c r="LL22" i="1"/>
  <c r="LL49" i="1"/>
  <c r="LL13" i="1"/>
  <c r="LL26" i="1"/>
  <c r="LL52" i="1"/>
  <c r="LL46" i="1"/>
  <c r="LL72" i="1"/>
  <c r="LL5" i="1"/>
  <c r="LL18" i="1"/>
  <c r="LL23" i="1"/>
  <c r="LL15" i="1"/>
  <c r="LL14" i="1"/>
  <c r="LL59" i="1"/>
  <c r="LL38" i="1"/>
  <c r="LL21" i="1"/>
  <c r="LL27" i="1"/>
  <c r="LL17" i="1"/>
  <c r="LL68" i="1"/>
  <c r="LL121" i="1"/>
  <c r="LL24" i="1"/>
  <c r="LL30" i="1"/>
  <c r="LL40" i="1"/>
  <c r="LL35" i="1"/>
  <c r="LL29" i="1"/>
  <c r="LL37" i="1"/>
  <c r="LL28" i="1"/>
  <c r="LL19" i="1"/>
  <c r="LL33" i="1"/>
  <c r="LL109" i="1"/>
  <c r="LL64" i="1"/>
  <c r="LL63" i="1"/>
  <c r="LL77" i="1"/>
  <c r="LL115" i="1"/>
  <c r="LL31" i="1"/>
  <c r="LL41" i="1"/>
  <c r="LL191" i="1"/>
  <c r="LL85" i="1"/>
  <c r="LL62" i="1"/>
  <c r="LL36" i="1"/>
  <c r="LL32" i="1"/>
  <c r="LL34" i="1"/>
  <c r="LL93" i="1"/>
  <c r="LL117" i="1"/>
  <c r="LL154" i="1"/>
  <c r="LL107" i="1"/>
  <c r="LL98" i="1"/>
  <c r="LL138" i="1"/>
  <c r="LL75" i="1"/>
  <c r="LL122" i="1"/>
  <c r="LL84" i="1"/>
  <c r="LL116" i="1"/>
  <c r="LL186" i="1"/>
  <c r="LL89" i="1"/>
  <c r="LL70" i="1"/>
  <c r="LL61" i="1"/>
  <c r="LL74" i="1"/>
  <c r="LL88" i="1"/>
  <c r="LL73" i="1"/>
  <c r="LL111" i="1"/>
  <c r="LL87" i="1"/>
  <c r="LL82" i="1"/>
  <c r="LL53" i="1"/>
  <c r="LL175" i="1"/>
  <c r="LL55" i="1"/>
  <c r="LL51" i="1"/>
  <c r="LL157" i="1"/>
  <c r="LL158" i="1"/>
  <c r="LL83" i="1"/>
  <c r="LL91" i="1"/>
  <c r="LL105" i="1"/>
  <c r="LL103" i="1"/>
  <c r="LL188" i="1"/>
  <c r="LL163" i="1"/>
  <c r="LL101" i="1"/>
  <c r="LL65" i="1"/>
  <c r="LL60" i="1"/>
  <c r="LL80" i="1"/>
  <c r="LL56" i="1"/>
  <c r="LL57" i="1"/>
  <c r="LL25" i="1"/>
  <c r="LL104" i="1"/>
  <c r="LL66" i="1"/>
  <c r="LL58" i="1"/>
  <c r="LL155" i="1"/>
  <c r="LL156" i="1"/>
  <c r="LL134" i="1"/>
  <c r="LL92" i="1"/>
  <c r="LL67" i="1"/>
  <c r="LL126" i="1"/>
  <c r="LL145" i="1"/>
  <c r="LL135" i="1"/>
  <c r="LL159" i="1"/>
  <c r="LL76" i="1"/>
  <c r="LL114" i="1"/>
  <c r="LL161" i="1"/>
  <c r="LL160" i="1"/>
  <c r="LL95" i="1"/>
  <c r="LL120" i="1"/>
  <c r="LL42" i="1"/>
  <c r="LL183" i="1"/>
  <c r="LL112" i="1"/>
  <c r="LL148" i="1"/>
  <c r="LL179" i="1"/>
  <c r="LL128" i="1"/>
  <c r="LL144" i="1"/>
  <c r="LL110" i="1"/>
  <c r="LL81" i="1"/>
  <c r="LL100" i="1"/>
  <c r="LL123" i="1"/>
  <c r="LL86" i="1"/>
  <c r="LL174" i="1"/>
  <c r="LL201" i="1"/>
  <c r="LL90" i="1"/>
  <c r="LL102" i="1"/>
  <c r="LL94" i="1"/>
  <c r="LL119" i="1"/>
  <c r="LL141" i="1"/>
  <c r="LL147" i="1"/>
  <c r="LL165" i="1"/>
  <c r="LL132" i="1"/>
  <c r="LL189" i="1"/>
  <c r="LL133" i="1"/>
  <c r="LL206" i="1"/>
  <c r="LL78" i="1"/>
  <c r="LL143" i="1"/>
  <c r="LL150" i="1"/>
  <c r="LL130" i="1"/>
  <c r="LL96" i="1"/>
  <c r="LL182" i="1"/>
  <c r="LL195" i="1"/>
  <c r="LL178" i="1"/>
  <c r="LL181" i="1"/>
  <c r="LL194" i="1"/>
  <c r="LL208" i="1"/>
  <c r="LL129" i="1"/>
  <c r="LL180" i="1"/>
  <c r="LL140" i="1"/>
  <c r="LL125" i="1"/>
  <c r="LL131" i="1"/>
  <c r="LL173" i="1"/>
  <c r="LL184" i="1"/>
  <c r="LL190" i="1"/>
  <c r="LL142" i="1"/>
  <c r="LL69" i="1"/>
  <c r="LL151" i="1"/>
  <c r="LL193" i="1"/>
  <c r="LL169" i="1"/>
  <c r="LL166" i="1"/>
  <c r="LL97" i="1"/>
  <c r="LL79" i="1"/>
  <c r="LL146" i="1"/>
  <c r="LL204" i="1"/>
  <c r="LL113" i="1"/>
  <c r="LL172" i="1"/>
  <c r="LL171" i="1"/>
  <c r="LL185" i="1"/>
  <c r="LL137" i="1"/>
  <c r="LL205" i="1"/>
  <c r="LL177" i="1"/>
  <c r="LL199" i="1"/>
  <c r="LL106" i="1"/>
  <c r="LL203" i="1"/>
  <c r="LL124" i="1"/>
  <c r="LL170" i="1"/>
  <c r="LL152" i="1"/>
  <c r="LL118" i="1"/>
  <c r="LL198" i="1"/>
  <c r="LL200" i="1"/>
  <c r="LL136" i="1"/>
  <c r="LL108" i="1"/>
  <c r="LL149" i="1"/>
  <c r="LL187" i="1"/>
  <c r="LL168" i="1"/>
  <c r="LL162" i="1"/>
  <c r="LL139" i="1"/>
  <c r="LL196" i="1"/>
  <c r="LL153" i="1"/>
  <c r="LL197" i="1"/>
  <c r="LL176" i="1"/>
  <c r="LL202" i="1"/>
  <c r="LL167" i="1"/>
  <c r="LL207" i="1"/>
  <c r="LL192" i="1"/>
  <c r="LK3" i="1"/>
  <c r="LK2" i="1"/>
  <c r="LK43" i="1"/>
  <c r="LK71" i="1"/>
  <c r="LK7" i="1"/>
  <c r="LK164" i="1"/>
  <c r="LK4" i="1"/>
  <c r="LK99" i="1"/>
  <c r="LK6" i="1"/>
  <c r="LK8" i="1"/>
  <c r="LK10" i="1"/>
  <c r="LK9" i="1"/>
  <c r="LK127" i="1"/>
  <c r="LK11" i="1"/>
  <c r="LK44" i="1"/>
  <c r="LK39" i="1"/>
  <c r="LK45" i="1"/>
  <c r="LK16" i="1"/>
  <c r="LK12" i="1"/>
  <c r="LK48" i="1"/>
  <c r="LK54" i="1"/>
  <c r="LK47" i="1"/>
  <c r="LK20" i="1"/>
  <c r="LK50" i="1"/>
  <c r="LK22" i="1"/>
  <c r="LK49" i="1"/>
  <c r="LK13" i="1"/>
  <c r="LK26" i="1"/>
  <c r="LK52" i="1"/>
  <c r="LK46" i="1"/>
  <c r="LK72" i="1"/>
  <c r="LK5" i="1"/>
  <c r="LK18" i="1"/>
  <c r="LK23" i="1"/>
  <c r="LK15" i="1"/>
  <c r="LK14" i="1"/>
  <c r="LK59" i="1"/>
  <c r="LK38" i="1"/>
  <c r="LK21" i="1"/>
  <c r="LK27" i="1"/>
  <c r="LK17" i="1"/>
  <c r="LK68" i="1"/>
  <c r="LK121" i="1"/>
  <c r="LK24" i="1"/>
  <c r="LK30" i="1"/>
  <c r="LK40" i="1"/>
  <c r="LK35" i="1"/>
  <c r="LK29" i="1"/>
  <c r="LK37" i="1"/>
  <c r="LK28" i="1"/>
  <c r="LK19" i="1"/>
  <c r="LK33" i="1"/>
  <c r="LK109" i="1"/>
  <c r="LK64" i="1"/>
  <c r="LK63" i="1"/>
  <c r="LK77" i="1"/>
  <c r="LK115" i="1"/>
  <c r="LK31" i="1"/>
  <c r="LK41" i="1"/>
  <c r="LK191" i="1"/>
  <c r="LK85" i="1"/>
  <c r="LK62" i="1"/>
  <c r="LK36" i="1"/>
  <c r="LK32" i="1"/>
  <c r="LK34" i="1"/>
  <c r="LK93" i="1"/>
  <c r="LK117" i="1"/>
  <c r="LK154" i="1"/>
  <c r="LK107" i="1"/>
  <c r="LK98" i="1"/>
  <c r="LK138" i="1"/>
  <c r="LK75" i="1"/>
  <c r="LK122" i="1"/>
  <c r="LK84" i="1"/>
  <c r="LK116" i="1"/>
  <c r="LK186" i="1"/>
  <c r="LK89" i="1"/>
  <c r="LK70" i="1"/>
  <c r="LK61" i="1"/>
  <c r="LK74" i="1"/>
  <c r="LK88" i="1"/>
  <c r="LK73" i="1"/>
  <c r="LK111" i="1"/>
  <c r="LK87" i="1"/>
  <c r="LK82" i="1"/>
  <c r="LK53" i="1"/>
  <c r="LK175" i="1"/>
  <c r="LK55" i="1"/>
  <c r="LK51" i="1"/>
  <c r="LK157" i="1"/>
  <c r="LK158" i="1"/>
  <c r="LK83" i="1"/>
  <c r="LK91" i="1"/>
  <c r="LK105" i="1"/>
  <c r="LK103" i="1"/>
  <c r="LK188" i="1"/>
  <c r="LK163" i="1"/>
  <c r="LK101" i="1"/>
  <c r="LK65" i="1"/>
  <c r="LK60" i="1"/>
  <c r="LK80" i="1"/>
  <c r="LK56" i="1"/>
  <c r="LK57" i="1"/>
  <c r="LK25" i="1"/>
  <c r="LK104" i="1"/>
  <c r="LK66" i="1"/>
  <c r="LK58" i="1"/>
  <c r="LK155" i="1"/>
  <c r="LK156" i="1"/>
  <c r="LK134" i="1"/>
  <c r="LK92" i="1"/>
  <c r="LK67" i="1"/>
  <c r="LK126" i="1"/>
  <c r="LK145" i="1"/>
  <c r="LK135" i="1"/>
  <c r="LK159" i="1"/>
  <c r="LK76" i="1"/>
  <c r="LK114" i="1"/>
  <c r="LK161" i="1"/>
  <c r="LK160" i="1"/>
  <c r="LK95" i="1"/>
  <c r="LK120" i="1"/>
  <c r="LK42" i="1"/>
  <c r="LK183" i="1"/>
  <c r="LK112" i="1"/>
  <c r="LK148" i="1"/>
  <c r="LK179" i="1"/>
  <c r="LK128" i="1"/>
  <c r="LK144" i="1"/>
  <c r="LK110" i="1"/>
  <c r="LK81" i="1"/>
  <c r="LK100" i="1"/>
  <c r="LK123" i="1"/>
  <c r="LK86" i="1"/>
  <c r="LK174" i="1"/>
  <c r="LK201" i="1"/>
  <c r="LK90" i="1"/>
  <c r="LK102" i="1"/>
  <c r="LK94" i="1"/>
  <c r="LK119" i="1"/>
  <c r="LK141" i="1"/>
  <c r="LK147" i="1"/>
  <c r="LK165" i="1"/>
  <c r="LK132" i="1"/>
  <c r="LK189" i="1"/>
  <c r="LK133" i="1"/>
  <c r="LK206" i="1"/>
  <c r="LK78" i="1"/>
  <c r="LK143" i="1"/>
  <c r="LK150" i="1"/>
  <c r="LK130" i="1"/>
  <c r="LK96" i="1"/>
  <c r="LK182" i="1"/>
  <c r="LK195" i="1"/>
  <c r="LK178" i="1"/>
  <c r="LK181" i="1"/>
  <c r="LK194" i="1"/>
  <c r="LK208" i="1"/>
  <c r="LK129" i="1"/>
  <c r="LK180" i="1"/>
  <c r="LK140" i="1"/>
  <c r="LK125" i="1"/>
  <c r="LK131" i="1"/>
  <c r="LK173" i="1"/>
  <c r="LK184" i="1"/>
  <c r="LK190" i="1"/>
  <c r="LK142" i="1"/>
  <c r="LK69" i="1"/>
  <c r="LK151" i="1"/>
  <c r="LK193" i="1"/>
  <c r="LK169" i="1"/>
  <c r="LK166" i="1"/>
  <c r="LK97" i="1"/>
  <c r="LK79" i="1"/>
  <c r="LK146" i="1"/>
  <c r="LK204" i="1"/>
  <c r="LK113" i="1"/>
  <c r="LK172" i="1"/>
  <c r="LK171" i="1"/>
  <c r="LK185" i="1"/>
  <c r="LK137" i="1"/>
  <c r="LK205" i="1"/>
  <c r="LK177" i="1"/>
  <c r="LK199" i="1"/>
  <c r="LK106" i="1"/>
  <c r="LK203" i="1"/>
  <c r="LK124" i="1"/>
  <c r="LK170" i="1"/>
  <c r="LK152" i="1"/>
  <c r="LK118" i="1"/>
  <c r="LK198" i="1"/>
  <c r="LK200" i="1"/>
  <c r="LK136" i="1"/>
  <c r="LK108" i="1"/>
  <c r="LK149" i="1"/>
  <c r="LK187" i="1"/>
  <c r="LK168" i="1"/>
  <c r="LK162" i="1"/>
  <c r="LK139" i="1"/>
  <c r="LK196" i="1"/>
  <c r="LK153" i="1"/>
  <c r="LK197" i="1"/>
  <c r="LK176" i="1"/>
  <c r="LK202" i="1"/>
  <c r="LK167" i="1"/>
  <c r="LK207" i="1"/>
  <c r="LK192" i="1"/>
  <c r="LJ3" i="1"/>
  <c r="LJ2" i="1"/>
  <c r="LJ43" i="1"/>
  <c r="LJ71" i="1"/>
  <c r="LJ7" i="1"/>
  <c r="LJ164" i="1"/>
  <c r="LJ4" i="1"/>
  <c r="LJ99" i="1"/>
  <c r="LJ6" i="1"/>
  <c r="LJ8" i="1"/>
  <c r="LJ10" i="1"/>
  <c r="LJ9" i="1"/>
  <c r="LJ127" i="1"/>
  <c r="LJ11" i="1"/>
  <c r="LJ44" i="1"/>
  <c r="LJ39" i="1"/>
  <c r="LJ45" i="1"/>
  <c r="LJ16" i="1"/>
  <c r="LJ12" i="1"/>
  <c r="LJ48" i="1"/>
  <c r="LJ54" i="1"/>
  <c r="LJ47" i="1"/>
  <c r="LJ20" i="1"/>
  <c r="LJ50" i="1"/>
  <c r="LJ22" i="1"/>
  <c r="LJ49" i="1"/>
  <c r="LJ13" i="1"/>
  <c r="LJ26" i="1"/>
  <c r="LJ52" i="1"/>
  <c r="LJ46" i="1"/>
  <c r="LJ72" i="1"/>
  <c r="LJ5" i="1"/>
  <c r="LJ18" i="1"/>
  <c r="LJ23" i="1"/>
  <c r="LJ15" i="1"/>
  <c r="LJ14" i="1"/>
  <c r="LJ59" i="1"/>
  <c r="LJ38" i="1"/>
  <c r="LJ21" i="1"/>
  <c r="LJ27" i="1"/>
  <c r="LJ17" i="1"/>
  <c r="LJ68" i="1"/>
  <c r="LJ121" i="1"/>
  <c r="LJ24" i="1"/>
  <c r="LJ30" i="1"/>
  <c r="LJ40" i="1"/>
  <c r="LJ35" i="1"/>
  <c r="LJ29" i="1"/>
  <c r="LJ37" i="1"/>
  <c r="LJ28" i="1"/>
  <c r="LJ19" i="1"/>
  <c r="LJ33" i="1"/>
  <c r="LJ109" i="1"/>
  <c r="LJ64" i="1"/>
  <c r="LJ63" i="1"/>
  <c r="LJ77" i="1"/>
  <c r="LJ115" i="1"/>
  <c r="LJ31" i="1"/>
  <c r="LJ41" i="1"/>
  <c r="LJ191" i="1"/>
  <c r="LJ85" i="1"/>
  <c r="LJ62" i="1"/>
  <c r="LJ36" i="1"/>
  <c r="LJ32" i="1"/>
  <c r="LJ34" i="1"/>
  <c r="LJ93" i="1"/>
  <c r="LJ117" i="1"/>
  <c r="LJ154" i="1"/>
  <c r="LJ107" i="1"/>
  <c r="LJ98" i="1"/>
  <c r="LJ138" i="1"/>
  <c r="LJ75" i="1"/>
  <c r="LJ122" i="1"/>
  <c r="LJ84" i="1"/>
  <c r="LJ116" i="1"/>
  <c r="LJ186" i="1"/>
  <c r="LJ89" i="1"/>
  <c r="LJ70" i="1"/>
  <c r="LJ61" i="1"/>
  <c r="LJ74" i="1"/>
  <c r="LJ88" i="1"/>
  <c r="LJ73" i="1"/>
  <c r="LJ111" i="1"/>
  <c r="LJ87" i="1"/>
  <c r="LJ82" i="1"/>
  <c r="LJ53" i="1"/>
  <c r="LJ175" i="1"/>
  <c r="LJ55" i="1"/>
  <c r="LJ51" i="1"/>
  <c r="LJ157" i="1"/>
  <c r="LJ158" i="1"/>
  <c r="LJ83" i="1"/>
  <c r="LJ91" i="1"/>
  <c r="LJ105" i="1"/>
  <c r="LJ103" i="1"/>
  <c r="LJ188" i="1"/>
  <c r="LJ163" i="1"/>
  <c r="LJ101" i="1"/>
  <c r="LJ65" i="1"/>
  <c r="LJ60" i="1"/>
  <c r="LJ80" i="1"/>
  <c r="LJ56" i="1"/>
  <c r="LJ57" i="1"/>
  <c r="LJ25" i="1"/>
  <c r="LJ104" i="1"/>
  <c r="LJ66" i="1"/>
  <c r="LJ58" i="1"/>
  <c r="LJ155" i="1"/>
  <c r="LJ156" i="1"/>
  <c r="LJ134" i="1"/>
  <c r="LJ92" i="1"/>
  <c r="LJ67" i="1"/>
  <c r="LJ126" i="1"/>
  <c r="LJ145" i="1"/>
  <c r="LJ135" i="1"/>
  <c r="LJ159" i="1"/>
  <c r="LJ76" i="1"/>
  <c r="LJ114" i="1"/>
  <c r="LJ161" i="1"/>
  <c r="LJ160" i="1"/>
  <c r="LJ95" i="1"/>
  <c r="LJ120" i="1"/>
  <c r="LJ42" i="1"/>
  <c r="LJ183" i="1"/>
  <c r="LJ112" i="1"/>
  <c r="LJ148" i="1"/>
  <c r="LJ179" i="1"/>
  <c r="LJ128" i="1"/>
  <c r="LJ144" i="1"/>
  <c r="LJ110" i="1"/>
  <c r="LJ81" i="1"/>
  <c r="LJ100" i="1"/>
  <c r="LJ123" i="1"/>
  <c r="LJ86" i="1"/>
  <c r="LJ174" i="1"/>
  <c r="LJ201" i="1"/>
  <c r="LJ90" i="1"/>
  <c r="LJ102" i="1"/>
  <c r="LJ94" i="1"/>
  <c r="LJ119" i="1"/>
  <c r="LJ141" i="1"/>
  <c r="LJ147" i="1"/>
  <c r="LJ165" i="1"/>
  <c r="LJ132" i="1"/>
  <c r="LJ189" i="1"/>
  <c r="LJ133" i="1"/>
  <c r="LJ206" i="1"/>
  <c r="LJ78" i="1"/>
  <c r="LJ143" i="1"/>
  <c r="LJ150" i="1"/>
  <c r="LJ130" i="1"/>
  <c r="LJ96" i="1"/>
  <c r="LJ182" i="1"/>
  <c r="LJ195" i="1"/>
  <c r="LJ178" i="1"/>
  <c r="LJ181" i="1"/>
  <c r="LJ194" i="1"/>
  <c r="LJ208" i="1"/>
  <c r="LJ129" i="1"/>
  <c r="LJ180" i="1"/>
  <c r="LJ140" i="1"/>
  <c r="LJ125" i="1"/>
  <c r="LJ131" i="1"/>
  <c r="LJ173" i="1"/>
  <c r="LJ184" i="1"/>
  <c r="LJ190" i="1"/>
  <c r="LJ142" i="1"/>
  <c r="LJ69" i="1"/>
  <c r="LJ151" i="1"/>
  <c r="LJ193" i="1"/>
  <c r="LJ169" i="1"/>
  <c r="LJ166" i="1"/>
  <c r="LJ97" i="1"/>
  <c r="LJ79" i="1"/>
  <c r="LJ146" i="1"/>
  <c r="LJ204" i="1"/>
  <c r="LJ113" i="1"/>
  <c r="LJ172" i="1"/>
  <c r="LJ171" i="1"/>
  <c r="LJ185" i="1"/>
  <c r="LJ137" i="1"/>
  <c r="LJ205" i="1"/>
  <c r="LJ177" i="1"/>
  <c r="LJ199" i="1"/>
  <c r="LJ106" i="1"/>
  <c r="LJ203" i="1"/>
  <c r="LJ124" i="1"/>
  <c r="LJ170" i="1"/>
  <c r="LJ152" i="1"/>
  <c r="LJ118" i="1"/>
  <c r="LJ198" i="1"/>
  <c r="LJ200" i="1"/>
  <c r="LJ136" i="1"/>
  <c r="LJ108" i="1"/>
  <c r="LJ149" i="1"/>
  <c r="LJ187" i="1"/>
  <c r="LJ168" i="1"/>
  <c r="LJ162" i="1"/>
  <c r="LJ139" i="1"/>
  <c r="LJ196" i="1"/>
  <c r="LJ153" i="1"/>
  <c r="LJ197" i="1"/>
  <c r="LJ176" i="1"/>
  <c r="LJ202" i="1"/>
  <c r="LJ167" i="1"/>
  <c r="LJ207" i="1"/>
  <c r="LJ192" i="1"/>
  <c r="LI3" i="1"/>
  <c r="LI2" i="1"/>
  <c r="LI43" i="1"/>
  <c r="LI71" i="1"/>
  <c r="LI7" i="1"/>
  <c r="LI164" i="1"/>
  <c r="LI4" i="1"/>
  <c r="LI99" i="1"/>
  <c r="LI6" i="1"/>
  <c r="LI8" i="1"/>
  <c r="LI10" i="1"/>
  <c r="LI9" i="1"/>
  <c r="LI127" i="1"/>
  <c r="LI11" i="1"/>
  <c r="LI44" i="1"/>
  <c r="LI39" i="1"/>
  <c r="LI45" i="1"/>
  <c r="LI16" i="1"/>
  <c r="LI12" i="1"/>
  <c r="LI48" i="1"/>
  <c r="LI54" i="1"/>
  <c r="LI47" i="1"/>
  <c r="LI20" i="1"/>
  <c r="LI50" i="1"/>
  <c r="LI22" i="1"/>
  <c r="LI49" i="1"/>
  <c r="LI13" i="1"/>
  <c r="LI26" i="1"/>
  <c r="LI52" i="1"/>
  <c r="LI46" i="1"/>
  <c r="LI72" i="1"/>
  <c r="LI5" i="1"/>
  <c r="LI18" i="1"/>
  <c r="LI23" i="1"/>
  <c r="LI15" i="1"/>
  <c r="LI14" i="1"/>
  <c r="LI59" i="1"/>
  <c r="LI38" i="1"/>
  <c r="LI21" i="1"/>
  <c r="LI27" i="1"/>
  <c r="LI17" i="1"/>
  <c r="LI68" i="1"/>
  <c r="LI121" i="1"/>
  <c r="LI24" i="1"/>
  <c r="LI30" i="1"/>
  <c r="LI40" i="1"/>
  <c r="LI35" i="1"/>
  <c r="LI29" i="1"/>
  <c r="LI37" i="1"/>
  <c r="LI28" i="1"/>
  <c r="LI19" i="1"/>
  <c r="LI33" i="1"/>
  <c r="LI109" i="1"/>
  <c r="LI64" i="1"/>
  <c r="LI63" i="1"/>
  <c r="LI77" i="1"/>
  <c r="LI115" i="1"/>
  <c r="LI31" i="1"/>
  <c r="LI41" i="1"/>
  <c r="LI191" i="1"/>
  <c r="LI85" i="1"/>
  <c r="LI62" i="1"/>
  <c r="LI36" i="1"/>
  <c r="LI32" i="1"/>
  <c r="LI34" i="1"/>
  <c r="LI93" i="1"/>
  <c r="LI117" i="1"/>
  <c r="LI154" i="1"/>
  <c r="LI107" i="1"/>
  <c r="LI98" i="1"/>
  <c r="LI138" i="1"/>
  <c r="LI75" i="1"/>
  <c r="LI122" i="1"/>
  <c r="LI84" i="1"/>
  <c r="LI116" i="1"/>
  <c r="LI186" i="1"/>
  <c r="LI89" i="1"/>
  <c r="LI70" i="1"/>
  <c r="LI61" i="1"/>
  <c r="LI74" i="1"/>
  <c r="LI88" i="1"/>
  <c r="LI73" i="1"/>
  <c r="LI111" i="1"/>
  <c r="LI87" i="1"/>
  <c r="LI82" i="1"/>
  <c r="LI53" i="1"/>
  <c r="LI175" i="1"/>
  <c r="LI55" i="1"/>
  <c r="LI51" i="1"/>
  <c r="LI157" i="1"/>
  <c r="LI158" i="1"/>
  <c r="LI83" i="1"/>
  <c r="LI91" i="1"/>
  <c r="LI105" i="1"/>
  <c r="LI103" i="1"/>
  <c r="LI188" i="1"/>
  <c r="LI163" i="1"/>
  <c r="LI101" i="1"/>
  <c r="LI65" i="1"/>
  <c r="LI60" i="1"/>
  <c r="LI80" i="1"/>
  <c r="LI56" i="1"/>
  <c r="LI57" i="1"/>
  <c r="LI25" i="1"/>
  <c r="LI104" i="1"/>
  <c r="LI66" i="1"/>
  <c r="LI58" i="1"/>
  <c r="LI155" i="1"/>
  <c r="LI156" i="1"/>
  <c r="LI134" i="1"/>
  <c r="LI92" i="1"/>
  <c r="LI67" i="1"/>
  <c r="LI126" i="1"/>
  <c r="LI145" i="1"/>
  <c r="LI135" i="1"/>
  <c r="LI159" i="1"/>
  <c r="LI76" i="1"/>
  <c r="LI114" i="1"/>
  <c r="LI161" i="1"/>
  <c r="LI160" i="1"/>
  <c r="LI95" i="1"/>
  <c r="LI120" i="1"/>
  <c r="LI42" i="1"/>
  <c r="LI183" i="1"/>
  <c r="LI112" i="1"/>
  <c r="LI148" i="1"/>
  <c r="LI179" i="1"/>
  <c r="LI128" i="1"/>
  <c r="LI144" i="1"/>
  <c r="LI110" i="1"/>
  <c r="LI81" i="1"/>
  <c r="LI100" i="1"/>
  <c r="LI123" i="1"/>
  <c r="LI86" i="1"/>
  <c r="LI174" i="1"/>
  <c r="LI201" i="1"/>
  <c r="LI90" i="1"/>
  <c r="LI102" i="1"/>
  <c r="LI94" i="1"/>
  <c r="LI119" i="1"/>
  <c r="LI141" i="1"/>
  <c r="LI147" i="1"/>
  <c r="AV144" i="148" s="1"/>
  <c r="LI165" i="1"/>
  <c r="LI132" i="1"/>
  <c r="LI189" i="1"/>
  <c r="LI133" i="1"/>
  <c r="LI206" i="1"/>
  <c r="LI78" i="1"/>
  <c r="LI143" i="1"/>
  <c r="LI150" i="1"/>
  <c r="LI130" i="1"/>
  <c r="LI96" i="1"/>
  <c r="LI182" i="1"/>
  <c r="LI195" i="1"/>
  <c r="LI178" i="1"/>
  <c r="LI181" i="1"/>
  <c r="LI194" i="1"/>
  <c r="LI208" i="1"/>
  <c r="LI129" i="1"/>
  <c r="LI180" i="1"/>
  <c r="LI140" i="1"/>
  <c r="LI125" i="1"/>
  <c r="LI131" i="1"/>
  <c r="LI173" i="1"/>
  <c r="LI184" i="1"/>
  <c r="LI190" i="1"/>
  <c r="LI142" i="1"/>
  <c r="LI69" i="1"/>
  <c r="LI151" i="1"/>
  <c r="LI193" i="1"/>
  <c r="LI169" i="1"/>
  <c r="LI166" i="1"/>
  <c r="LI97" i="1"/>
  <c r="LI79" i="1"/>
  <c r="LI146" i="1"/>
  <c r="LI204" i="1"/>
  <c r="LI113" i="1"/>
  <c r="LI172" i="1"/>
  <c r="LI171" i="1"/>
  <c r="LI185" i="1"/>
  <c r="LI137" i="1"/>
  <c r="LI205" i="1"/>
  <c r="LI177" i="1"/>
  <c r="LI199" i="1"/>
  <c r="LI106" i="1"/>
  <c r="LI203" i="1"/>
  <c r="LI124" i="1"/>
  <c r="LI170" i="1"/>
  <c r="LI152" i="1"/>
  <c r="LI118" i="1"/>
  <c r="LI198" i="1"/>
  <c r="LI200" i="1"/>
  <c r="LI136" i="1"/>
  <c r="LI108" i="1"/>
  <c r="LI149" i="1"/>
  <c r="LI187" i="1"/>
  <c r="LI168" i="1"/>
  <c r="LI162" i="1"/>
  <c r="LI139" i="1"/>
  <c r="LI196" i="1"/>
  <c r="LI153" i="1"/>
  <c r="LI197" i="1"/>
  <c r="LI176" i="1"/>
  <c r="LI202" i="1"/>
  <c r="LI167" i="1"/>
  <c r="LI207" i="1"/>
  <c r="LI192" i="1"/>
  <c r="LH3" i="1"/>
  <c r="LH2" i="1"/>
  <c r="LH43" i="1"/>
  <c r="LH71" i="1"/>
  <c r="LH7" i="1"/>
  <c r="LH164" i="1"/>
  <c r="LH4" i="1"/>
  <c r="LH99" i="1"/>
  <c r="LH6" i="1"/>
  <c r="LH8" i="1"/>
  <c r="LH10" i="1"/>
  <c r="LH9" i="1"/>
  <c r="LH127" i="1"/>
  <c r="LH11" i="1"/>
  <c r="LH44" i="1"/>
  <c r="LH39" i="1"/>
  <c r="LH45" i="1"/>
  <c r="LH16" i="1"/>
  <c r="LH12" i="1"/>
  <c r="LH48" i="1"/>
  <c r="LH54" i="1"/>
  <c r="LH47" i="1"/>
  <c r="LH20" i="1"/>
  <c r="LH50" i="1"/>
  <c r="LH22" i="1"/>
  <c r="LH49" i="1"/>
  <c r="LH13" i="1"/>
  <c r="LH26" i="1"/>
  <c r="LH52" i="1"/>
  <c r="LH46" i="1"/>
  <c r="LH72" i="1"/>
  <c r="LH5" i="1"/>
  <c r="LH18" i="1"/>
  <c r="LH23" i="1"/>
  <c r="LH15" i="1"/>
  <c r="LH14" i="1"/>
  <c r="LH59" i="1"/>
  <c r="LH38" i="1"/>
  <c r="LH21" i="1"/>
  <c r="LH27" i="1"/>
  <c r="LH17" i="1"/>
  <c r="LH68" i="1"/>
  <c r="LH121" i="1"/>
  <c r="LH24" i="1"/>
  <c r="LH30" i="1"/>
  <c r="LH40" i="1"/>
  <c r="LH35" i="1"/>
  <c r="LH29" i="1"/>
  <c r="LH37" i="1"/>
  <c r="LH28" i="1"/>
  <c r="LH19" i="1"/>
  <c r="LH33" i="1"/>
  <c r="LH109" i="1"/>
  <c r="LH64" i="1"/>
  <c r="LH63" i="1"/>
  <c r="LH77" i="1"/>
  <c r="LH115" i="1"/>
  <c r="LH31" i="1"/>
  <c r="LH41" i="1"/>
  <c r="LH191" i="1"/>
  <c r="LH85" i="1"/>
  <c r="LH62" i="1"/>
  <c r="LH36" i="1"/>
  <c r="LH32" i="1"/>
  <c r="LH34" i="1"/>
  <c r="LH93" i="1"/>
  <c r="LH117" i="1"/>
  <c r="LH154" i="1"/>
  <c r="LH107" i="1"/>
  <c r="LH98" i="1"/>
  <c r="LH138" i="1"/>
  <c r="LH75" i="1"/>
  <c r="LH122" i="1"/>
  <c r="LH84" i="1"/>
  <c r="LH116" i="1"/>
  <c r="LH186" i="1"/>
  <c r="LH89" i="1"/>
  <c r="LH70" i="1"/>
  <c r="LH61" i="1"/>
  <c r="LH74" i="1"/>
  <c r="LH88" i="1"/>
  <c r="LH73" i="1"/>
  <c r="LH111" i="1"/>
  <c r="LH87" i="1"/>
  <c r="LH82" i="1"/>
  <c r="LH53" i="1"/>
  <c r="LH175" i="1"/>
  <c r="LH55" i="1"/>
  <c r="LH51" i="1"/>
  <c r="LH157" i="1"/>
  <c r="LH158" i="1"/>
  <c r="LH83" i="1"/>
  <c r="LH91" i="1"/>
  <c r="LH105" i="1"/>
  <c r="LH103" i="1"/>
  <c r="LH188" i="1"/>
  <c r="LH163" i="1"/>
  <c r="LH101" i="1"/>
  <c r="LH65" i="1"/>
  <c r="LH60" i="1"/>
  <c r="LH80" i="1"/>
  <c r="LH56" i="1"/>
  <c r="LH57" i="1"/>
  <c r="LH25" i="1"/>
  <c r="LH104" i="1"/>
  <c r="LH66" i="1"/>
  <c r="LH58" i="1"/>
  <c r="LH155" i="1"/>
  <c r="LH156" i="1"/>
  <c r="LH134" i="1"/>
  <c r="LH92" i="1"/>
  <c r="LH67" i="1"/>
  <c r="LH126" i="1"/>
  <c r="LH145" i="1"/>
  <c r="LH135" i="1"/>
  <c r="LH159" i="1"/>
  <c r="LH76" i="1"/>
  <c r="LH114" i="1"/>
  <c r="LH161" i="1"/>
  <c r="LH160" i="1"/>
  <c r="LH95" i="1"/>
  <c r="LH120" i="1"/>
  <c r="LH42" i="1"/>
  <c r="LH183" i="1"/>
  <c r="LH112" i="1"/>
  <c r="LH148" i="1"/>
  <c r="LH179" i="1"/>
  <c r="LH128" i="1"/>
  <c r="LH144" i="1"/>
  <c r="LH110" i="1"/>
  <c r="LH81" i="1"/>
  <c r="LH100" i="1"/>
  <c r="LH123" i="1"/>
  <c r="LH86" i="1"/>
  <c r="LH174" i="1"/>
  <c r="LH201" i="1"/>
  <c r="LH90" i="1"/>
  <c r="LH102" i="1"/>
  <c r="LH94" i="1"/>
  <c r="LH119" i="1"/>
  <c r="LH141" i="1"/>
  <c r="LH147" i="1"/>
  <c r="LH165" i="1"/>
  <c r="LH132" i="1"/>
  <c r="LH189" i="1"/>
  <c r="LH133" i="1"/>
  <c r="LH206" i="1"/>
  <c r="LH78" i="1"/>
  <c r="LH143" i="1"/>
  <c r="LH150" i="1"/>
  <c r="LH130" i="1"/>
  <c r="LH96" i="1"/>
  <c r="LH182" i="1"/>
  <c r="LH195" i="1"/>
  <c r="LH178" i="1"/>
  <c r="LH181" i="1"/>
  <c r="LH194" i="1"/>
  <c r="LH208" i="1"/>
  <c r="LH129" i="1"/>
  <c r="LH180" i="1"/>
  <c r="LH140" i="1"/>
  <c r="LH125" i="1"/>
  <c r="LH131" i="1"/>
  <c r="LH173" i="1"/>
  <c r="LH184" i="1"/>
  <c r="LH190" i="1"/>
  <c r="LH142" i="1"/>
  <c r="LH69" i="1"/>
  <c r="LH151" i="1"/>
  <c r="LH193" i="1"/>
  <c r="LH169" i="1"/>
  <c r="LH166" i="1"/>
  <c r="LH97" i="1"/>
  <c r="LH79" i="1"/>
  <c r="LH146" i="1"/>
  <c r="LH204" i="1"/>
  <c r="LH113" i="1"/>
  <c r="LH172" i="1"/>
  <c r="LH171" i="1"/>
  <c r="LH185" i="1"/>
  <c r="LH137" i="1"/>
  <c r="LH205" i="1"/>
  <c r="LH177" i="1"/>
  <c r="LH199" i="1"/>
  <c r="LH106" i="1"/>
  <c r="LH203" i="1"/>
  <c r="LH124" i="1"/>
  <c r="LH170" i="1"/>
  <c r="LH152" i="1"/>
  <c r="LH118" i="1"/>
  <c r="LH198" i="1"/>
  <c r="LH200" i="1"/>
  <c r="LH136" i="1"/>
  <c r="LH108" i="1"/>
  <c r="LH149" i="1"/>
  <c r="LH187" i="1"/>
  <c r="LH168" i="1"/>
  <c r="LH162" i="1"/>
  <c r="LH139" i="1"/>
  <c r="LH196" i="1"/>
  <c r="LH153" i="1"/>
  <c r="LH197" i="1"/>
  <c r="LH176" i="1"/>
  <c r="LH202" i="1"/>
  <c r="LH167" i="1"/>
  <c r="LH207" i="1"/>
  <c r="LH192" i="1"/>
  <c r="LG3" i="1"/>
  <c r="LG2" i="1"/>
  <c r="LG43" i="1"/>
  <c r="LG71" i="1"/>
  <c r="LG7" i="1"/>
  <c r="LG164" i="1"/>
  <c r="LG4" i="1"/>
  <c r="LG99" i="1"/>
  <c r="LG6" i="1"/>
  <c r="LG8" i="1"/>
  <c r="LG10" i="1"/>
  <c r="LG9" i="1"/>
  <c r="LG127" i="1"/>
  <c r="LG11" i="1"/>
  <c r="LG44" i="1"/>
  <c r="LG39" i="1"/>
  <c r="LG45" i="1"/>
  <c r="LG16" i="1"/>
  <c r="LG12" i="1"/>
  <c r="LG48" i="1"/>
  <c r="LG54" i="1"/>
  <c r="LG47" i="1"/>
  <c r="LG20" i="1"/>
  <c r="LG50" i="1"/>
  <c r="LG22" i="1"/>
  <c r="LG49" i="1"/>
  <c r="LG13" i="1"/>
  <c r="LG26" i="1"/>
  <c r="LG52" i="1"/>
  <c r="LG46" i="1"/>
  <c r="LG72" i="1"/>
  <c r="LG5" i="1"/>
  <c r="LG18" i="1"/>
  <c r="LG23" i="1"/>
  <c r="LG15" i="1"/>
  <c r="LG14" i="1"/>
  <c r="LG59" i="1"/>
  <c r="LG38" i="1"/>
  <c r="LG21" i="1"/>
  <c r="LG27" i="1"/>
  <c r="LG17" i="1"/>
  <c r="LG68" i="1"/>
  <c r="LG121" i="1"/>
  <c r="LG24" i="1"/>
  <c r="LG30" i="1"/>
  <c r="LG40" i="1"/>
  <c r="LG35" i="1"/>
  <c r="LG29" i="1"/>
  <c r="LG37" i="1"/>
  <c r="LG28" i="1"/>
  <c r="LG19" i="1"/>
  <c r="LG33" i="1"/>
  <c r="LG109" i="1"/>
  <c r="LG64" i="1"/>
  <c r="LG63" i="1"/>
  <c r="LG77" i="1"/>
  <c r="LG115" i="1"/>
  <c r="LG31" i="1"/>
  <c r="LG41" i="1"/>
  <c r="LG191" i="1"/>
  <c r="LG85" i="1"/>
  <c r="LG62" i="1"/>
  <c r="LG36" i="1"/>
  <c r="LG32" i="1"/>
  <c r="LG34" i="1"/>
  <c r="LG93" i="1"/>
  <c r="LG117" i="1"/>
  <c r="LG154" i="1"/>
  <c r="LG107" i="1"/>
  <c r="LG98" i="1"/>
  <c r="LG138" i="1"/>
  <c r="LG75" i="1"/>
  <c r="LG122" i="1"/>
  <c r="LG84" i="1"/>
  <c r="LG116" i="1"/>
  <c r="LG186" i="1"/>
  <c r="LG89" i="1"/>
  <c r="LG70" i="1"/>
  <c r="LG61" i="1"/>
  <c r="LG74" i="1"/>
  <c r="LG88" i="1"/>
  <c r="LG73" i="1"/>
  <c r="LG111" i="1"/>
  <c r="LG87" i="1"/>
  <c r="LG82" i="1"/>
  <c r="LG53" i="1"/>
  <c r="LG175" i="1"/>
  <c r="LG55" i="1"/>
  <c r="LG51" i="1"/>
  <c r="LG157" i="1"/>
  <c r="LG158" i="1"/>
  <c r="LG83" i="1"/>
  <c r="LG91" i="1"/>
  <c r="LG105" i="1"/>
  <c r="LG103" i="1"/>
  <c r="LG188" i="1"/>
  <c r="LG163" i="1"/>
  <c r="LG101" i="1"/>
  <c r="LG65" i="1"/>
  <c r="LG60" i="1"/>
  <c r="LG80" i="1"/>
  <c r="LG56" i="1"/>
  <c r="LG57" i="1"/>
  <c r="LG25" i="1"/>
  <c r="LG104" i="1"/>
  <c r="LG66" i="1"/>
  <c r="LG58" i="1"/>
  <c r="LG155" i="1"/>
  <c r="LG156" i="1"/>
  <c r="LG134" i="1"/>
  <c r="LG92" i="1"/>
  <c r="LG67" i="1"/>
  <c r="LG126" i="1"/>
  <c r="LG145" i="1"/>
  <c r="LG135" i="1"/>
  <c r="LG159" i="1"/>
  <c r="LG76" i="1"/>
  <c r="LG114" i="1"/>
  <c r="LG161" i="1"/>
  <c r="LG160" i="1"/>
  <c r="LG95" i="1"/>
  <c r="LG120" i="1"/>
  <c r="LG42" i="1"/>
  <c r="LG183" i="1"/>
  <c r="LG112" i="1"/>
  <c r="LG148" i="1"/>
  <c r="LG179" i="1"/>
  <c r="LG128" i="1"/>
  <c r="LG144" i="1"/>
  <c r="LG110" i="1"/>
  <c r="LG81" i="1"/>
  <c r="LG100" i="1"/>
  <c r="LG123" i="1"/>
  <c r="LG86" i="1"/>
  <c r="LG174" i="1"/>
  <c r="LG201" i="1"/>
  <c r="LG90" i="1"/>
  <c r="LG102" i="1"/>
  <c r="LG94" i="1"/>
  <c r="LG119" i="1"/>
  <c r="LG141" i="1"/>
  <c r="LG147" i="1"/>
  <c r="LG165" i="1"/>
  <c r="LG132" i="1"/>
  <c r="LG189" i="1"/>
  <c r="LG133" i="1"/>
  <c r="LG206" i="1"/>
  <c r="LG78" i="1"/>
  <c r="LG143" i="1"/>
  <c r="LG150" i="1"/>
  <c r="LG130" i="1"/>
  <c r="LG96" i="1"/>
  <c r="LG182" i="1"/>
  <c r="LG195" i="1"/>
  <c r="LG178" i="1"/>
  <c r="LG181" i="1"/>
  <c r="LG194" i="1"/>
  <c r="LG208" i="1"/>
  <c r="LG129" i="1"/>
  <c r="LG180" i="1"/>
  <c r="LG140" i="1"/>
  <c r="LG125" i="1"/>
  <c r="LG131" i="1"/>
  <c r="LG173" i="1"/>
  <c r="LG184" i="1"/>
  <c r="LG190" i="1"/>
  <c r="LG142" i="1"/>
  <c r="LG69" i="1"/>
  <c r="LG151" i="1"/>
  <c r="LG193" i="1"/>
  <c r="LG169" i="1"/>
  <c r="LG166" i="1"/>
  <c r="LG97" i="1"/>
  <c r="LG79" i="1"/>
  <c r="LG146" i="1"/>
  <c r="LG204" i="1"/>
  <c r="LG113" i="1"/>
  <c r="LG172" i="1"/>
  <c r="LG171" i="1"/>
  <c r="LG185" i="1"/>
  <c r="LG137" i="1"/>
  <c r="LG205" i="1"/>
  <c r="LG177" i="1"/>
  <c r="LG199" i="1"/>
  <c r="LG106" i="1"/>
  <c r="LG203" i="1"/>
  <c r="LG124" i="1"/>
  <c r="LG170" i="1"/>
  <c r="LG152" i="1"/>
  <c r="LG118" i="1"/>
  <c r="LG198" i="1"/>
  <c r="LG200" i="1"/>
  <c r="LG136" i="1"/>
  <c r="LG108" i="1"/>
  <c r="LG149" i="1"/>
  <c r="LG187" i="1"/>
  <c r="LG168" i="1"/>
  <c r="LG162" i="1"/>
  <c r="LG139" i="1"/>
  <c r="LG196" i="1"/>
  <c r="LG153" i="1"/>
  <c r="AU149" i="148" s="1"/>
  <c r="LG197" i="1"/>
  <c r="LG176" i="1"/>
  <c r="LG202" i="1"/>
  <c r="LG167" i="1"/>
  <c r="LG207" i="1"/>
  <c r="LG192" i="1"/>
  <c r="LF3" i="1"/>
  <c r="LF2" i="1"/>
  <c r="LF43" i="1"/>
  <c r="LF71" i="1"/>
  <c r="LF7" i="1"/>
  <c r="LF164" i="1"/>
  <c r="LF4" i="1"/>
  <c r="LF99" i="1"/>
  <c r="LF6" i="1"/>
  <c r="LF8" i="1"/>
  <c r="LF10" i="1"/>
  <c r="LF9" i="1"/>
  <c r="LF127" i="1"/>
  <c r="LF11" i="1"/>
  <c r="LF44" i="1"/>
  <c r="LF39" i="1"/>
  <c r="LF45" i="1"/>
  <c r="LF16" i="1"/>
  <c r="LF12" i="1"/>
  <c r="LF48" i="1"/>
  <c r="LF54" i="1"/>
  <c r="LF47" i="1"/>
  <c r="LF20" i="1"/>
  <c r="LF50" i="1"/>
  <c r="LF22" i="1"/>
  <c r="LF49" i="1"/>
  <c r="LF13" i="1"/>
  <c r="LF26" i="1"/>
  <c r="LF52" i="1"/>
  <c r="LF46" i="1"/>
  <c r="LF72" i="1"/>
  <c r="LF5" i="1"/>
  <c r="LF18" i="1"/>
  <c r="LF23" i="1"/>
  <c r="LF15" i="1"/>
  <c r="LF14" i="1"/>
  <c r="LF59" i="1"/>
  <c r="LF38" i="1"/>
  <c r="LF21" i="1"/>
  <c r="LF27" i="1"/>
  <c r="LF17" i="1"/>
  <c r="LF68" i="1"/>
  <c r="LF121" i="1"/>
  <c r="LF24" i="1"/>
  <c r="LF30" i="1"/>
  <c r="LF40" i="1"/>
  <c r="LF35" i="1"/>
  <c r="LF29" i="1"/>
  <c r="LF37" i="1"/>
  <c r="LF28" i="1"/>
  <c r="LF19" i="1"/>
  <c r="LF33" i="1"/>
  <c r="LF109" i="1"/>
  <c r="LF64" i="1"/>
  <c r="LF63" i="1"/>
  <c r="LF77" i="1"/>
  <c r="LF115" i="1"/>
  <c r="LF31" i="1"/>
  <c r="LF41" i="1"/>
  <c r="LF191" i="1"/>
  <c r="LF85" i="1"/>
  <c r="LF62" i="1"/>
  <c r="LF36" i="1"/>
  <c r="LF32" i="1"/>
  <c r="LF34" i="1"/>
  <c r="LF93" i="1"/>
  <c r="LF117" i="1"/>
  <c r="LF154" i="1"/>
  <c r="LF107" i="1"/>
  <c r="LF98" i="1"/>
  <c r="LF138" i="1"/>
  <c r="LF75" i="1"/>
  <c r="LF122" i="1"/>
  <c r="LF84" i="1"/>
  <c r="LF116" i="1"/>
  <c r="LF186" i="1"/>
  <c r="LF89" i="1"/>
  <c r="LF70" i="1"/>
  <c r="LF61" i="1"/>
  <c r="LF74" i="1"/>
  <c r="LF88" i="1"/>
  <c r="LF73" i="1"/>
  <c r="LF111" i="1"/>
  <c r="LF87" i="1"/>
  <c r="LF82" i="1"/>
  <c r="LF53" i="1"/>
  <c r="LF175" i="1"/>
  <c r="LF55" i="1"/>
  <c r="LF51" i="1"/>
  <c r="LF157" i="1"/>
  <c r="LF158" i="1"/>
  <c r="LF83" i="1"/>
  <c r="LF91" i="1"/>
  <c r="LF105" i="1"/>
  <c r="LF103" i="1"/>
  <c r="LF188" i="1"/>
  <c r="LF163" i="1"/>
  <c r="LF101" i="1"/>
  <c r="LF65" i="1"/>
  <c r="LF60" i="1"/>
  <c r="LF80" i="1"/>
  <c r="LF56" i="1"/>
  <c r="LF57" i="1"/>
  <c r="LF25" i="1"/>
  <c r="LF104" i="1"/>
  <c r="LF66" i="1"/>
  <c r="LF58" i="1"/>
  <c r="LF155" i="1"/>
  <c r="LF156" i="1"/>
  <c r="LF134" i="1"/>
  <c r="LF92" i="1"/>
  <c r="LF67" i="1"/>
  <c r="LF126" i="1"/>
  <c r="LF145" i="1"/>
  <c r="LF135" i="1"/>
  <c r="LF159" i="1"/>
  <c r="LF76" i="1"/>
  <c r="LF114" i="1"/>
  <c r="LF161" i="1"/>
  <c r="LF160" i="1"/>
  <c r="LF95" i="1"/>
  <c r="LF120" i="1"/>
  <c r="LF42" i="1"/>
  <c r="LF183" i="1"/>
  <c r="LF112" i="1"/>
  <c r="LF148" i="1"/>
  <c r="LF179" i="1"/>
  <c r="LF128" i="1"/>
  <c r="LF144" i="1"/>
  <c r="LF110" i="1"/>
  <c r="LF81" i="1"/>
  <c r="LF100" i="1"/>
  <c r="LF123" i="1"/>
  <c r="LF86" i="1"/>
  <c r="LF174" i="1"/>
  <c r="LF201" i="1"/>
  <c r="LF90" i="1"/>
  <c r="LF102" i="1"/>
  <c r="LF94" i="1"/>
  <c r="LF119" i="1"/>
  <c r="LF141" i="1"/>
  <c r="LF147" i="1"/>
  <c r="LF165" i="1"/>
  <c r="LF132" i="1"/>
  <c r="LF189" i="1"/>
  <c r="LF133" i="1"/>
  <c r="LF206" i="1"/>
  <c r="LF78" i="1"/>
  <c r="LF143" i="1"/>
  <c r="LF150" i="1"/>
  <c r="LF130" i="1"/>
  <c r="LF96" i="1"/>
  <c r="LF182" i="1"/>
  <c r="LF195" i="1"/>
  <c r="LF178" i="1"/>
  <c r="LF181" i="1"/>
  <c r="LF194" i="1"/>
  <c r="LF208" i="1"/>
  <c r="LF129" i="1"/>
  <c r="LF180" i="1"/>
  <c r="LF140" i="1"/>
  <c r="LF125" i="1"/>
  <c r="LF131" i="1"/>
  <c r="LF173" i="1"/>
  <c r="LF184" i="1"/>
  <c r="LF190" i="1"/>
  <c r="LF142" i="1"/>
  <c r="LF69" i="1"/>
  <c r="LF151" i="1"/>
  <c r="LF193" i="1"/>
  <c r="LF169" i="1"/>
  <c r="LF166" i="1"/>
  <c r="LF97" i="1"/>
  <c r="LF79" i="1"/>
  <c r="LF146" i="1"/>
  <c r="LF204" i="1"/>
  <c r="LF113" i="1"/>
  <c r="LF172" i="1"/>
  <c r="LF171" i="1"/>
  <c r="LF185" i="1"/>
  <c r="LF137" i="1"/>
  <c r="LF205" i="1"/>
  <c r="LF177" i="1"/>
  <c r="LF199" i="1"/>
  <c r="LF106" i="1"/>
  <c r="LF203" i="1"/>
  <c r="LF124" i="1"/>
  <c r="LF170" i="1"/>
  <c r="LF152" i="1"/>
  <c r="LF118" i="1"/>
  <c r="LF198" i="1"/>
  <c r="LF200" i="1"/>
  <c r="LF136" i="1"/>
  <c r="LF108" i="1"/>
  <c r="LF149" i="1"/>
  <c r="LF187" i="1"/>
  <c r="LF168" i="1"/>
  <c r="LF162" i="1"/>
  <c r="LF139" i="1"/>
  <c r="LF196" i="1"/>
  <c r="LF153" i="1"/>
  <c r="LF197" i="1"/>
  <c r="LF176" i="1"/>
  <c r="LF202" i="1"/>
  <c r="LF167" i="1"/>
  <c r="LF207" i="1"/>
  <c r="LF192" i="1"/>
  <c r="LE3" i="1"/>
  <c r="LE2" i="1"/>
  <c r="LE43" i="1"/>
  <c r="LE71" i="1"/>
  <c r="LE7" i="1"/>
  <c r="LE164" i="1"/>
  <c r="LE4" i="1"/>
  <c r="LE99" i="1"/>
  <c r="LE6" i="1"/>
  <c r="LE8" i="1"/>
  <c r="LE10" i="1"/>
  <c r="LE9" i="1"/>
  <c r="LE127" i="1"/>
  <c r="LE11" i="1"/>
  <c r="LE44" i="1"/>
  <c r="LE39" i="1"/>
  <c r="LE45" i="1"/>
  <c r="LE16" i="1"/>
  <c r="LE12" i="1"/>
  <c r="LE48" i="1"/>
  <c r="LE54" i="1"/>
  <c r="LE47" i="1"/>
  <c r="LE20" i="1"/>
  <c r="LE50" i="1"/>
  <c r="LE22" i="1"/>
  <c r="LE49" i="1"/>
  <c r="LE13" i="1"/>
  <c r="LE26" i="1"/>
  <c r="LE52" i="1"/>
  <c r="LE46" i="1"/>
  <c r="LE72" i="1"/>
  <c r="LE5" i="1"/>
  <c r="LE18" i="1"/>
  <c r="LE23" i="1"/>
  <c r="LE15" i="1"/>
  <c r="LE14" i="1"/>
  <c r="LE59" i="1"/>
  <c r="LE38" i="1"/>
  <c r="LE21" i="1"/>
  <c r="LE27" i="1"/>
  <c r="LE17" i="1"/>
  <c r="LE68" i="1"/>
  <c r="LE121" i="1"/>
  <c r="LE24" i="1"/>
  <c r="LE30" i="1"/>
  <c r="LE40" i="1"/>
  <c r="LE35" i="1"/>
  <c r="LE29" i="1"/>
  <c r="LE37" i="1"/>
  <c r="LE28" i="1"/>
  <c r="LE19" i="1"/>
  <c r="LE33" i="1"/>
  <c r="LE109" i="1"/>
  <c r="LE64" i="1"/>
  <c r="LE63" i="1"/>
  <c r="LE77" i="1"/>
  <c r="LE115" i="1"/>
  <c r="LE31" i="1"/>
  <c r="LE41" i="1"/>
  <c r="LE191" i="1"/>
  <c r="LE85" i="1"/>
  <c r="LE62" i="1"/>
  <c r="LE36" i="1"/>
  <c r="LE32" i="1"/>
  <c r="LE34" i="1"/>
  <c r="LE93" i="1"/>
  <c r="LE117" i="1"/>
  <c r="LE154" i="1"/>
  <c r="LE107" i="1"/>
  <c r="LE98" i="1"/>
  <c r="LE138" i="1"/>
  <c r="LE75" i="1"/>
  <c r="LE122" i="1"/>
  <c r="LE84" i="1"/>
  <c r="LE116" i="1"/>
  <c r="LE186" i="1"/>
  <c r="LE89" i="1"/>
  <c r="LE70" i="1"/>
  <c r="LE61" i="1"/>
  <c r="LE74" i="1"/>
  <c r="LE88" i="1"/>
  <c r="LE73" i="1"/>
  <c r="LE111" i="1"/>
  <c r="LE87" i="1"/>
  <c r="LE82" i="1"/>
  <c r="LE53" i="1"/>
  <c r="LE175" i="1"/>
  <c r="LE55" i="1"/>
  <c r="LE51" i="1"/>
  <c r="LE157" i="1"/>
  <c r="LE158" i="1"/>
  <c r="LE83" i="1"/>
  <c r="LE91" i="1"/>
  <c r="LE105" i="1"/>
  <c r="LE103" i="1"/>
  <c r="LE188" i="1"/>
  <c r="LE163" i="1"/>
  <c r="LE101" i="1"/>
  <c r="LE65" i="1"/>
  <c r="LE60" i="1"/>
  <c r="LE80" i="1"/>
  <c r="LE56" i="1"/>
  <c r="LE57" i="1"/>
  <c r="LE25" i="1"/>
  <c r="LE104" i="1"/>
  <c r="LE66" i="1"/>
  <c r="LE58" i="1"/>
  <c r="LE155" i="1"/>
  <c r="LE156" i="1"/>
  <c r="LE134" i="1"/>
  <c r="LE92" i="1"/>
  <c r="LE67" i="1"/>
  <c r="LE126" i="1"/>
  <c r="LE145" i="1"/>
  <c r="LE135" i="1"/>
  <c r="LE159" i="1"/>
  <c r="LE76" i="1"/>
  <c r="LE114" i="1"/>
  <c r="LE161" i="1"/>
  <c r="LE160" i="1"/>
  <c r="LE95" i="1"/>
  <c r="LE120" i="1"/>
  <c r="LE42" i="1"/>
  <c r="LE183" i="1"/>
  <c r="LE112" i="1"/>
  <c r="LE148" i="1"/>
  <c r="LE179" i="1"/>
  <c r="LE128" i="1"/>
  <c r="LE144" i="1"/>
  <c r="LE110" i="1"/>
  <c r="LE81" i="1"/>
  <c r="LE100" i="1"/>
  <c r="LE123" i="1"/>
  <c r="LE86" i="1"/>
  <c r="LE174" i="1"/>
  <c r="LE201" i="1"/>
  <c r="LE90" i="1"/>
  <c r="LE102" i="1"/>
  <c r="LE94" i="1"/>
  <c r="LE119" i="1"/>
  <c r="LE141" i="1"/>
  <c r="LE147" i="1"/>
  <c r="LE165" i="1"/>
  <c r="LE132" i="1"/>
  <c r="LE189" i="1"/>
  <c r="LE133" i="1"/>
  <c r="LE206" i="1"/>
  <c r="LE78" i="1"/>
  <c r="LE143" i="1"/>
  <c r="LE150" i="1"/>
  <c r="LE130" i="1"/>
  <c r="LE96" i="1"/>
  <c r="LE182" i="1"/>
  <c r="LE195" i="1"/>
  <c r="LE178" i="1"/>
  <c r="LE181" i="1"/>
  <c r="LE194" i="1"/>
  <c r="LE208" i="1"/>
  <c r="LE129" i="1"/>
  <c r="LE180" i="1"/>
  <c r="LE140" i="1"/>
  <c r="LE125" i="1"/>
  <c r="LE131" i="1"/>
  <c r="LE173" i="1"/>
  <c r="LE184" i="1"/>
  <c r="LE190" i="1"/>
  <c r="LE142" i="1"/>
  <c r="LE69" i="1"/>
  <c r="LE151" i="1"/>
  <c r="LE193" i="1"/>
  <c r="LE169" i="1"/>
  <c r="LE166" i="1"/>
  <c r="LE97" i="1"/>
  <c r="LE79" i="1"/>
  <c r="LE146" i="1"/>
  <c r="LE204" i="1"/>
  <c r="LE113" i="1"/>
  <c r="LE172" i="1"/>
  <c r="LE171" i="1"/>
  <c r="LE185" i="1"/>
  <c r="LE137" i="1"/>
  <c r="LE205" i="1"/>
  <c r="LE177" i="1"/>
  <c r="LE199" i="1"/>
  <c r="LE106" i="1"/>
  <c r="LE203" i="1"/>
  <c r="LE124" i="1"/>
  <c r="LE170" i="1"/>
  <c r="LE152" i="1"/>
  <c r="LE118" i="1"/>
  <c r="LE198" i="1"/>
  <c r="LE200" i="1"/>
  <c r="LE136" i="1"/>
  <c r="LE108" i="1"/>
  <c r="LE149" i="1"/>
  <c r="LE187" i="1"/>
  <c r="LE168" i="1"/>
  <c r="LE162" i="1"/>
  <c r="LE139" i="1"/>
  <c r="LE196" i="1"/>
  <c r="LE153" i="1"/>
  <c r="LE197" i="1"/>
  <c r="LE176" i="1"/>
  <c r="LE202" i="1"/>
  <c r="LE167" i="1"/>
  <c r="LE207" i="1"/>
  <c r="LE192" i="1"/>
  <c r="LD3" i="1"/>
  <c r="LD2" i="1"/>
  <c r="LD43" i="1"/>
  <c r="LD71" i="1"/>
  <c r="LD7" i="1"/>
  <c r="LD164" i="1"/>
  <c r="LD4" i="1"/>
  <c r="LD99" i="1"/>
  <c r="LD6" i="1"/>
  <c r="LD8" i="1"/>
  <c r="LD10" i="1"/>
  <c r="LD9" i="1"/>
  <c r="LD127" i="1"/>
  <c r="LD11" i="1"/>
  <c r="LD44" i="1"/>
  <c r="LD39" i="1"/>
  <c r="LD45" i="1"/>
  <c r="LD16" i="1"/>
  <c r="LD12" i="1"/>
  <c r="LD48" i="1"/>
  <c r="LD54" i="1"/>
  <c r="LD47" i="1"/>
  <c r="LD20" i="1"/>
  <c r="LD50" i="1"/>
  <c r="LD22" i="1"/>
  <c r="LD49" i="1"/>
  <c r="LD13" i="1"/>
  <c r="LD26" i="1"/>
  <c r="LD52" i="1"/>
  <c r="LD46" i="1"/>
  <c r="LD72" i="1"/>
  <c r="LD5" i="1"/>
  <c r="LD18" i="1"/>
  <c r="LD23" i="1"/>
  <c r="LD15" i="1"/>
  <c r="LD14" i="1"/>
  <c r="LD59" i="1"/>
  <c r="LD38" i="1"/>
  <c r="LD21" i="1"/>
  <c r="LD27" i="1"/>
  <c r="LD17" i="1"/>
  <c r="LD68" i="1"/>
  <c r="LD121" i="1"/>
  <c r="LD24" i="1"/>
  <c r="LD30" i="1"/>
  <c r="LD40" i="1"/>
  <c r="LD35" i="1"/>
  <c r="LD29" i="1"/>
  <c r="LD37" i="1"/>
  <c r="LD28" i="1"/>
  <c r="LD19" i="1"/>
  <c r="LD33" i="1"/>
  <c r="LD109" i="1"/>
  <c r="LD64" i="1"/>
  <c r="LD63" i="1"/>
  <c r="LD77" i="1"/>
  <c r="LD115" i="1"/>
  <c r="LD31" i="1"/>
  <c r="LD41" i="1"/>
  <c r="LD191" i="1"/>
  <c r="LD85" i="1"/>
  <c r="LD62" i="1"/>
  <c r="LD36" i="1"/>
  <c r="LD32" i="1"/>
  <c r="LD34" i="1"/>
  <c r="LD93" i="1"/>
  <c r="LD117" i="1"/>
  <c r="LD154" i="1"/>
  <c r="LD107" i="1"/>
  <c r="LD98" i="1"/>
  <c r="LD138" i="1"/>
  <c r="LD75" i="1"/>
  <c r="LD122" i="1"/>
  <c r="LD84" i="1"/>
  <c r="LD116" i="1"/>
  <c r="LD186" i="1"/>
  <c r="LD89" i="1"/>
  <c r="LD70" i="1"/>
  <c r="LD61" i="1"/>
  <c r="LD74" i="1"/>
  <c r="LD88" i="1"/>
  <c r="LD73" i="1"/>
  <c r="LD111" i="1"/>
  <c r="LD87" i="1"/>
  <c r="LD82" i="1"/>
  <c r="LD53" i="1"/>
  <c r="LD175" i="1"/>
  <c r="LD55" i="1"/>
  <c r="LD51" i="1"/>
  <c r="LD157" i="1"/>
  <c r="LD158" i="1"/>
  <c r="LD83" i="1"/>
  <c r="LD91" i="1"/>
  <c r="LD105" i="1"/>
  <c r="LD103" i="1"/>
  <c r="LD188" i="1"/>
  <c r="LD163" i="1"/>
  <c r="LD101" i="1"/>
  <c r="LD65" i="1"/>
  <c r="LD60" i="1"/>
  <c r="LD80" i="1"/>
  <c r="LD56" i="1"/>
  <c r="LD57" i="1"/>
  <c r="LD25" i="1"/>
  <c r="LD104" i="1"/>
  <c r="LD66" i="1"/>
  <c r="LD58" i="1"/>
  <c r="LD155" i="1"/>
  <c r="LD156" i="1"/>
  <c r="LD134" i="1"/>
  <c r="LD92" i="1"/>
  <c r="LD67" i="1"/>
  <c r="LD126" i="1"/>
  <c r="LD145" i="1"/>
  <c r="LD135" i="1"/>
  <c r="LD159" i="1"/>
  <c r="LD76" i="1"/>
  <c r="LD114" i="1"/>
  <c r="LD161" i="1"/>
  <c r="LD160" i="1"/>
  <c r="LD95" i="1"/>
  <c r="LD120" i="1"/>
  <c r="LD42" i="1"/>
  <c r="LD183" i="1"/>
  <c r="LD112" i="1"/>
  <c r="LD148" i="1"/>
  <c r="LD179" i="1"/>
  <c r="LD128" i="1"/>
  <c r="LD144" i="1"/>
  <c r="LD110" i="1"/>
  <c r="LD81" i="1"/>
  <c r="LD100" i="1"/>
  <c r="LD123" i="1"/>
  <c r="LD86" i="1"/>
  <c r="LD174" i="1"/>
  <c r="LD201" i="1"/>
  <c r="LD90" i="1"/>
  <c r="LD102" i="1"/>
  <c r="LD94" i="1"/>
  <c r="LD119" i="1"/>
  <c r="LD141" i="1"/>
  <c r="LD147" i="1"/>
  <c r="LD165" i="1"/>
  <c r="LD132" i="1"/>
  <c r="LD189" i="1"/>
  <c r="LD133" i="1"/>
  <c r="LD206" i="1"/>
  <c r="LD78" i="1"/>
  <c r="LD143" i="1"/>
  <c r="LD150" i="1"/>
  <c r="LD130" i="1"/>
  <c r="LD96" i="1"/>
  <c r="LD182" i="1"/>
  <c r="LD195" i="1"/>
  <c r="LD178" i="1"/>
  <c r="LD181" i="1"/>
  <c r="LD194" i="1"/>
  <c r="LD208" i="1"/>
  <c r="LD129" i="1"/>
  <c r="LD180" i="1"/>
  <c r="LD140" i="1"/>
  <c r="LD125" i="1"/>
  <c r="LD131" i="1"/>
  <c r="LD173" i="1"/>
  <c r="LD184" i="1"/>
  <c r="LD190" i="1"/>
  <c r="LD142" i="1"/>
  <c r="LD69" i="1"/>
  <c r="LD151" i="1"/>
  <c r="LD193" i="1"/>
  <c r="LD169" i="1"/>
  <c r="LD166" i="1"/>
  <c r="LD97" i="1"/>
  <c r="LD79" i="1"/>
  <c r="LD146" i="1"/>
  <c r="LD204" i="1"/>
  <c r="LD113" i="1"/>
  <c r="LD172" i="1"/>
  <c r="LD171" i="1"/>
  <c r="LD185" i="1"/>
  <c r="LD137" i="1"/>
  <c r="LD205" i="1"/>
  <c r="LD177" i="1"/>
  <c r="LD199" i="1"/>
  <c r="LD106" i="1"/>
  <c r="LD203" i="1"/>
  <c r="LD124" i="1"/>
  <c r="LD170" i="1"/>
  <c r="LD152" i="1"/>
  <c r="LD118" i="1"/>
  <c r="LD198" i="1"/>
  <c r="LD200" i="1"/>
  <c r="LD136" i="1"/>
  <c r="LD108" i="1"/>
  <c r="LD149" i="1"/>
  <c r="LD187" i="1"/>
  <c r="LD168" i="1"/>
  <c r="LD162" i="1"/>
  <c r="LD139" i="1"/>
  <c r="LD196" i="1"/>
  <c r="LD153" i="1"/>
  <c r="LD197" i="1"/>
  <c r="LD176" i="1"/>
  <c r="LD202" i="1"/>
  <c r="LD167" i="1"/>
  <c r="LD207" i="1"/>
  <c r="LD192" i="1"/>
  <c r="LC3" i="1"/>
  <c r="LC2" i="1"/>
  <c r="LC43" i="1"/>
  <c r="LC71" i="1"/>
  <c r="LC7" i="1"/>
  <c r="LC164" i="1"/>
  <c r="LC4" i="1"/>
  <c r="LC99" i="1"/>
  <c r="LC6" i="1"/>
  <c r="LC8" i="1"/>
  <c r="LC10" i="1"/>
  <c r="LC9" i="1"/>
  <c r="LC127" i="1"/>
  <c r="LC11" i="1"/>
  <c r="LC44" i="1"/>
  <c r="LC39" i="1"/>
  <c r="LC45" i="1"/>
  <c r="LC16" i="1"/>
  <c r="LC12" i="1"/>
  <c r="LC48" i="1"/>
  <c r="LC54" i="1"/>
  <c r="LC47" i="1"/>
  <c r="LC20" i="1"/>
  <c r="LC50" i="1"/>
  <c r="LC22" i="1"/>
  <c r="LC49" i="1"/>
  <c r="LC13" i="1"/>
  <c r="LC26" i="1"/>
  <c r="LC52" i="1"/>
  <c r="LC46" i="1"/>
  <c r="LC72" i="1"/>
  <c r="LC5" i="1"/>
  <c r="LC18" i="1"/>
  <c r="LC23" i="1"/>
  <c r="LC15" i="1"/>
  <c r="LC14" i="1"/>
  <c r="LC59" i="1"/>
  <c r="LC38" i="1"/>
  <c r="LC21" i="1"/>
  <c r="LC27" i="1"/>
  <c r="LC17" i="1"/>
  <c r="LC68" i="1"/>
  <c r="LC121" i="1"/>
  <c r="LC24" i="1"/>
  <c r="LC30" i="1"/>
  <c r="LC40" i="1"/>
  <c r="LC35" i="1"/>
  <c r="LC29" i="1"/>
  <c r="LC37" i="1"/>
  <c r="LC28" i="1"/>
  <c r="LC19" i="1"/>
  <c r="LC33" i="1"/>
  <c r="LC109" i="1"/>
  <c r="LC64" i="1"/>
  <c r="LC63" i="1"/>
  <c r="LC77" i="1"/>
  <c r="LC115" i="1"/>
  <c r="LC31" i="1"/>
  <c r="LC41" i="1"/>
  <c r="LC191" i="1"/>
  <c r="LC85" i="1"/>
  <c r="LC62" i="1"/>
  <c r="LC36" i="1"/>
  <c r="LC32" i="1"/>
  <c r="LC34" i="1"/>
  <c r="LC93" i="1"/>
  <c r="LC117" i="1"/>
  <c r="LC154" i="1"/>
  <c r="LC107" i="1"/>
  <c r="LC98" i="1"/>
  <c r="LC138" i="1"/>
  <c r="LC75" i="1"/>
  <c r="LC122" i="1"/>
  <c r="LC84" i="1"/>
  <c r="LC116" i="1"/>
  <c r="LC186" i="1"/>
  <c r="LC89" i="1"/>
  <c r="LC70" i="1"/>
  <c r="LC61" i="1"/>
  <c r="LC74" i="1"/>
  <c r="LC88" i="1"/>
  <c r="LC73" i="1"/>
  <c r="LC111" i="1"/>
  <c r="LC87" i="1"/>
  <c r="LC82" i="1"/>
  <c r="LC53" i="1"/>
  <c r="LC175" i="1"/>
  <c r="LC55" i="1"/>
  <c r="LC51" i="1"/>
  <c r="LC157" i="1"/>
  <c r="LC158" i="1"/>
  <c r="LC83" i="1"/>
  <c r="LC91" i="1"/>
  <c r="LC105" i="1"/>
  <c r="LC103" i="1"/>
  <c r="LC188" i="1"/>
  <c r="LC163" i="1"/>
  <c r="LC101" i="1"/>
  <c r="LC65" i="1"/>
  <c r="LC60" i="1"/>
  <c r="LC80" i="1"/>
  <c r="LC56" i="1"/>
  <c r="LC57" i="1"/>
  <c r="LC25" i="1"/>
  <c r="LC104" i="1"/>
  <c r="LC66" i="1"/>
  <c r="LC58" i="1"/>
  <c r="LC155" i="1"/>
  <c r="LC156" i="1"/>
  <c r="LC134" i="1"/>
  <c r="LC92" i="1"/>
  <c r="LC67" i="1"/>
  <c r="LC126" i="1"/>
  <c r="LC145" i="1"/>
  <c r="LC135" i="1"/>
  <c r="LC159" i="1"/>
  <c r="LC76" i="1"/>
  <c r="LC114" i="1"/>
  <c r="LC161" i="1"/>
  <c r="LC160" i="1"/>
  <c r="LC95" i="1"/>
  <c r="LC120" i="1"/>
  <c r="LC42" i="1"/>
  <c r="LC183" i="1"/>
  <c r="LC112" i="1"/>
  <c r="LC148" i="1"/>
  <c r="LC179" i="1"/>
  <c r="LC128" i="1"/>
  <c r="LC144" i="1"/>
  <c r="LC110" i="1"/>
  <c r="LC81" i="1"/>
  <c r="LC100" i="1"/>
  <c r="LC123" i="1"/>
  <c r="LC86" i="1"/>
  <c r="LC174" i="1"/>
  <c r="LC201" i="1"/>
  <c r="LC90" i="1"/>
  <c r="LC102" i="1"/>
  <c r="LC94" i="1"/>
  <c r="LC119" i="1"/>
  <c r="LC141" i="1"/>
  <c r="LC147" i="1"/>
  <c r="LC165" i="1"/>
  <c r="LC132" i="1"/>
  <c r="LC189" i="1"/>
  <c r="LC133" i="1"/>
  <c r="LC206" i="1"/>
  <c r="LC78" i="1"/>
  <c r="LC143" i="1"/>
  <c r="LC150" i="1"/>
  <c r="LC130" i="1"/>
  <c r="LC96" i="1"/>
  <c r="LC182" i="1"/>
  <c r="LC195" i="1"/>
  <c r="LC178" i="1"/>
  <c r="LC181" i="1"/>
  <c r="LC194" i="1"/>
  <c r="LC208" i="1"/>
  <c r="LC129" i="1"/>
  <c r="LC180" i="1"/>
  <c r="LC140" i="1"/>
  <c r="LC125" i="1"/>
  <c r="LC131" i="1"/>
  <c r="LC173" i="1"/>
  <c r="LC184" i="1"/>
  <c r="LC190" i="1"/>
  <c r="LC142" i="1"/>
  <c r="LC69" i="1"/>
  <c r="LC151" i="1"/>
  <c r="LC193" i="1"/>
  <c r="LC169" i="1"/>
  <c r="LC166" i="1"/>
  <c r="LC97" i="1"/>
  <c r="LC79" i="1"/>
  <c r="LC146" i="1"/>
  <c r="LC204" i="1"/>
  <c r="LC113" i="1"/>
  <c r="LC172" i="1"/>
  <c r="LC171" i="1"/>
  <c r="LC185" i="1"/>
  <c r="LC137" i="1"/>
  <c r="LC205" i="1"/>
  <c r="LC177" i="1"/>
  <c r="LC199" i="1"/>
  <c r="LC106" i="1"/>
  <c r="LC203" i="1"/>
  <c r="LC124" i="1"/>
  <c r="LC170" i="1"/>
  <c r="LC152" i="1"/>
  <c r="LC118" i="1"/>
  <c r="LC198" i="1"/>
  <c r="LC200" i="1"/>
  <c r="LC136" i="1"/>
  <c r="LC108" i="1"/>
  <c r="LC149" i="1"/>
  <c r="LC187" i="1"/>
  <c r="LC168" i="1"/>
  <c r="LC162" i="1"/>
  <c r="LC139" i="1"/>
  <c r="LC196" i="1"/>
  <c r="LC153" i="1"/>
  <c r="LC197" i="1"/>
  <c r="LC176" i="1"/>
  <c r="LC202" i="1"/>
  <c r="LC167" i="1"/>
  <c r="LC207" i="1"/>
  <c r="LC192" i="1"/>
  <c r="LB3" i="1"/>
  <c r="LB2" i="1"/>
  <c r="LB43" i="1"/>
  <c r="LB71" i="1"/>
  <c r="LB7" i="1"/>
  <c r="LB164" i="1"/>
  <c r="LB4" i="1"/>
  <c r="LB99" i="1"/>
  <c r="LB6" i="1"/>
  <c r="LB8" i="1"/>
  <c r="LB10" i="1"/>
  <c r="LB9" i="1"/>
  <c r="LB127" i="1"/>
  <c r="LB11" i="1"/>
  <c r="LB44" i="1"/>
  <c r="LB39" i="1"/>
  <c r="LB45" i="1"/>
  <c r="LB16" i="1"/>
  <c r="LB12" i="1"/>
  <c r="LB48" i="1"/>
  <c r="LB54" i="1"/>
  <c r="LB47" i="1"/>
  <c r="LB20" i="1"/>
  <c r="LB50" i="1"/>
  <c r="LB22" i="1"/>
  <c r="LB49" i="1"/>
  <c r="LB13" i="1"/>
  <c r="LB26" i="1"/>
  <c r="LB52" i="1"/>
  <c r="LB46" i="1"/>
  <c r="LB72" i="1"/>
  <c r="LB5" i="1"/>
  <c r="LB18" i="1"/>
  <c r="LB23" i="1"/>
  <c r="LB15" i="1"/>
  <c r="LB14" i="1"/>
  <c r="LB59" i="1"/>
  <c r="LB38" i="1"/>
  <c r="LB21" i="1"/>
  <c r="LB27" i="1"/>
  <c r="LB17" i="1"/>
  <c r="LB68" i="1"/>
  <c r="LB121" i="1"/>
  <c r="LB24" i="1"/>
  <c r="LB30" i="1"/>
  <c r="LB40" i="1"/>
  <c r="LB35" i="1"/>
  <c r="LB29" i="1"/>
  <c r="LB37" i="1"/>
  <c r="LB28" i="1"/>
  <c r="LB19" i="1"/>
  <c r="LB33" i="1"/>
  <c r="LB109" i="1"/>
  <c r="LB64" i="1"/>
  <c r="LB63" i="1"/>
  <c r="LB77" i="1"/>
  <c r="LB115" i="1"/>
  <c r="LB31" i="1"/>
  <c r="LB41" i="1"/>
  <c r="LB191" i="1"/>
  <c r="LB85" i="1"/>
  <c r="LB62" i="1"/>
  <c r="LB36" i="1"/>
  <c r="LB32" i="1"/>
  <c r="LB34" i="1"/>
  <c r="LB93" i="1"/>
  <c r="LB117" i="1"/>
  <c r="LB154" i="1"/>
  <c r="LB107" i="1"/>
  <c r="LB98" i="1"/>
  <c r="LB138" i="1"/>
  <c r="LB75" i="1"/>
  <c r="LB122" i="1"/>
  <c r="LB84" i="1"/>
  <c r="LB116" i="1"/>
  <c r="LB186" i="1"/>
  <c r="LB89" i="1"/>
  <c r="LB70" i="1"/>
  <c r="LB61" i="1"/>
  <c r="LB74" i="1"/>
  <c r="LB88" i="1"/>
  <c r="LB73" i="1"/>
  <c r="LB111" i="1"/>
  <c r="LB87" i="1"/>
  <c r="LB82" i="1"/>
  <c r="LB53" i="1"/>
  <c r="LB175" i="1"/>
  <c r="LB55" i="1"/>
  <c r="LB51" i="1"/>
  <c r="LB157" i="1"/>
  <c r="LB158" i="1"/>
  <c r="LB83" i="1"/>
  <c r="LB91" i="1"/>
  <c r="LB105" i="1"/>
  <c r="LB103" i="1"/>
  <c r="LB188" i="1"/>
  <c r="LB163" i="1"/>
  <c r="LB101" i="1"/>
  <c r="LB65" i="1"/>
  <c r="LB60" i="1"/>
  <c r="LB80" i="1"/>
  <c r="LB56" i="1"/>
  <c r="LB57" i="1"/>
  <c r="LB25" i="1"/>
  <c r="LB104" i="1"/>
  <c r="LB66" i="1"/>
  <c r="LB58" i="1"/>
  <c r="LB155" i="1"/>
  <c r="LB156" i="1"/>
  <c r="LB134" i="1"/>
  <c r="LB92" i="1"/>
  <c r="LB67" i="1"/>
  <c r="LB126" i="1"/>
  <c r="LB145" i="1"/>
  <c r="LB135" i="1"/>
  <c r="LB159" i="1"/>
  <c r="LB76" i="1"/>
  <c r="LB114" i="1"/>
  <c r="LB161" i="1"/>
  <c r="LB160" i="1"/>
  <c r="LB95" i="1"/>
  <c r="LB120" i="1"/>
  <c r="LB42" i="1"/>
  <c r="LB183" i="1"/>
  <c r="LB112" i="1"/>
  <c r="LB148" i="1"/>
  <c r="LB179" i="1"/>
  <c r="LB128" i="1"/>
  <c r="LB144" i="1"/>
  <c r="LB110" i="1"/>
  <c r="LB81" i="1"/>
  <c r="LB100" i="1"/>
  <c r="LB123" i="1"/>
  <c r="LB86" i="1"/>
  <c r="LB174" i="1"/>
  <c r="LB201" i="1"/>
  <c r="LB90" i="1"/>
  <c r="LB102" i="1"/>
  <c r="LB94" i="1"/>
  <c r="LB119" i="1"/>
  <c r="LB141" i="1"/>
  <c r="LB147" i="1"/>
  <c r="LB165" i="1"/>
  <c r="LB132" i="1"/>
  <c r="LB189" i="1"/>
  <c r="LB133" i="1"/>
  <c r="LB206" i="1"/>
  <c r="LB78" i="1"/>
  <c r="LB143" i="1"/>
  <c r="LB150" i="1"/>
  <c r="LB130" i="1"/>
  <c r="LB96" i="1"/>
  <c r="LB182" i="1"/>
  <c r="LB195" i="1"/>
  <c r="LB178" i="1"/>
  <c r="LB181" i="1"/>
  <c r="LB194" i="1"/>
  <c r="LB208" i="1"/>
  <c r="LB129" i="1"/>
  <c r="LB180" i="1"/>
  <c r="LB140" i="1"/>
  <c r="LB125" i="1"/>
  <c r="LB131" i="1"/>
  <c r="LB173" i="1"/>
  <c r="LB184" i="1"/>
  <c r="LB190" i="1"/>
  <c r="LB142" i="1"/>
  <c r="LB69" i="1"/>
  <c r="LB151" i="1"/>
  <c r="LB193" i="1"/>
  <c r="LB169" i="1"/>
  <c r="LB166" i="1"/>
  <c r="LB97" i="1"/>
  <c r="LB79" i="1"/>
  <c r="LB146" i="1"/>
  <c r="LB204" i="1"/>
  <c r="LB113" i="1"/>
  <c r="LB172" i="1"/>
  <c r="LB171" i="1"/>
  <c r="LB185" i="1"/>
  <c r="LB137" i="1"/>
  <c r="LB205" i="1"/>
  <c r="LB177" i="1"/>
  <c r="LB199" i="1"/>
  <c r="LB106" i="1"/>
  <c r="LB203" i="1"/>
  <c r="LB124" i="1"/>
  <c r="LB170" i="1"/>
  <c r="LB152" i="1"/>
  <c r="LB118" i="1"/>
  <c r="LB198" i="1"/>
  <c r="LB200" i="1"/>
  <c r="LB136" i="1"/>
  <c r="LB108" i="1"/>
  <c r="LB149" i="1"/>
  <c r="LB187" i="1"/>
  <c r="LB168" i="1"/>
  <c r="LB162" i="1"/>
  <c r="LB139" i="1"/>
  <c r="LB196" i="1"/>
  <c r="LB153" i="1"/>
  <c r="LB197" i="1"/>
  <c r="LB176" i="1"/>
  <c r="LB202" i="1"/>
  <c r="LB167" i="1"/>
  <c r="LB207" i="1"/>
  <c r="LB192" i="1"/>
  <c r="LA3" i="1"/>
  <c r="LA2" i="1"/>
  <c r="LA43" i="1"/>
  <c r="LA71" i="1"/>
  <c r="LA7" i="1"/>
  <c r="LA164" i="1"/>
  <c r="LA4" i="1"/>
  <c r="LA99" i="1"/>
  <c r="LA6" i="1"/>
  <c r="LA8" i="1"/>
  <c r="LA10" i="1"/>
  <c r="LA9" i="1"/>
  <c r="LA127" i="1"/>
  <c r="LA11" i="1"/>
  <c r="LA44" i="1"/>
  <c r="LA39" i="1"/>
  <c r="LA45" i="1"/>
  <c r="LA16" i="1"/>
  <c r="LA12" i="1"/>
  <c r="LA48" i="1"/>
  <c r="LA54" i="1"/>
  <c r="LA47" i="1"/>
  <c r="LA20" i="1"/>
  <c r="LA50" i="1"/>
  <c r="LA22" i="1"/>
  <c r="LA49" i="1"/>
  <c r="LA13" i="1"/>
  <c r="LA26" i="1"/>
  <c r="LA52" i="1"/>
  <c r="LA46" i="1"/>
  <c r="LA72" i="1"/>
  <c r="LA5" i="1"/>
  <c r="LA18" i="1"/>
  <c r="LA23" i="1"/>
  <c r="LA15" i="1"/>
  <c r="LA14" i="1"/>
  <c r="LA59" i="1"/>
  <c r="LA38" i="1"/>
  <c r="LA21" i="1"/>
  <c r="LA27" i="1"/>
  <c r="LA17" i="1"/>
  <c r="LA68" i="1"/>
  <c r="LA121" i="1"/>
  <c r="LA24" i="1"/>
  <c r="LA30" i="1"/>
  <c r="LA40" i="1"/>
  <c r="LA35" i="1"/>
  <c r="LA29" i="1"/>
  <c r="LA37" i="1"/>
  <c r="LA28" i="1"/>
  <c r="LA19" i="1"/>
  <c r="LA33" i="1"/>
  <c r="LA109" i="1"/>
  <c r="LA64" i="1"/>
  <c r="LA63" i="1"/>
  <c r="LA77" i="1"/>
  <c r="LA115" i="1"/>
  <c r="LA31" i="1"/>
  <c r="LA41" i="1"/>
  <c r="LA191" i="1"/>
  <c r="LA85" i="1"/>
  <c r="LA62" i="1"/>
  <c r="LA36" i="1"/>
  <c r="LA32" i="1"/>
  <c r="LA34" i="1"/>
  <c r="LA93" i="1"/>
  <c r="LA117" i="1"/>
  <c r="LA154" i="1"/>
  <c r="LA107" i="1"/>
  <c r="LA98" i="1"/>
  <c r="LA138" i="1"/>
  <c r="LA75" i="1"/>
  <c r="LA122" i="1"/>
  <c r="LA84" i="1"/>
  <c r="LA116" i="1"/>
  <c r="LA186" i="1"/>
  <c r="LA89" i="1"/>
  <c r="LA70" i="1"/>
  <c r="LA61" i="1"/>
  <c r="LA74" i="1"/>
  <c r="LA88" i="1"/>
  <c r="LA73" i="1"/>
  <c r="LA111" i="1"/>
  <c r="LA87" i="1"/>
  <c r="LA82" i="1"/>
  <c r="LA53" i="1"/>
  <c r="LA175" i="1"/>
  <c r="LA55" i="1"/>
  <c r="LA51" i="1"/>
  <c r="LA157" i="1"/>
  <c r="LA158" i="1"/>
  <c r="LA83" i="1"/>
  <c r="LA91" i="1"/>
  <c r="LA105" i="1"/>
  <c r="LA103" i="1"/>
  <c r="LA188" i="1"/>
  <c r="LA163" i="1"/>
  <c r="LA101" i="1"/>
  <c r="LA65" i="1"/>
  <c r="LA60" i="1"/>
  <c r="LA80" i="1"/>
  <c r="LA56" i="1"/>
  <c r="LA57" i="1"/>
  <c r="LA25" i="1"/>
  <c r="LA104" i="1"/>
  <c r="LA66" i="1"/>
  <c r="LA58" i="1"/>
  <c r="LA155" i="1"/>
  <c r="LA156" i="1"/>
  <c r="LA134" i="1"/>
  <c r="LA92" i="1"/>
  <c r="LA67" i="1"/>
  <c r="LA126" i="1"/>
  <c r="LA145" i="1"/>
  <c r="LA135" i="1"/>
  <c r="LA159" i="1"/>
  <c r="LA76" i="1"/>
  <c r="LA114" i="1"/>
  <c r="LA161" i="1"/>
  <c r="LA160" i="1"/>
  <c r="LA95" i="1"/>
  <c r="LA120" i="1"/>
  <c r="LA42" i="1"/>
  <c r="LA183" i="1"/>
  <c r="LA112" i="1"/>
  <c r="LA148" i="1"/>
  <c r="LA179" i="1"/>
  <c r="LA128" i="1"/>
  <c r="LA144" i="1"/>
  <c r="LA110" i="1"/>
  <c r="LA81" i="1"/>
  <c r="LA100" i="1"/>
  <c r="LA123" i="1"/>
  <c r="LA86" i="1"/>
  <c r="LA174" i="1"/>
  <c r="LA201" i="1"/>
  <c r="LA90" i="1"/>
  <c r="LA102" i="1"/>
  <c r="LA94" i="1"/>
  <c r="LA119" i="1"/>
  <c r="LA141" i="1"/>
  <c r="LA147" i="1"/>
  <c r="LA165" i="1"/>
  <c r="LA132" i="1"/>
  <c r="LA189" i="1"/>
  <c r="LA133" i="1"/>
  <c r="LA206" i="1"/>
  <c r="LA78" i="1"/>
  <c r="LA143" i="1"/>
  <c r="LA150" i="1"/>
  <c r="LA130" i="1"/>
  <c r="LA96" i="1"/>
  <c r="LA182" i="1"/>
  <c r="LA195" i="1"/>
  <c r="LA178" i="1"/>
  <c r="LA181" i="1"/>
  <c r="LA194" i="1"/>
  <c r="LA208" i="1"/>
  <c r="LA129" i="1"/>
  <c r="LA180" i="1"/>
  <c r="LA140" i="1"/>
  <c r="LA125" i="1"/>
  <c r="LA131" i="1"/>
  <c r="LA173" i="1"/>
  <c r="LA184" i="1"/>
  <c r="LA190" i="1"/>
  <c r="LA142" i="1"/>
  <c r="LA69" i="1"/>
  <c r="LA151" i="1"/>
  <c r="LA193" i="1"/>
  <c r="LA169" i="1"/>
  <c r="LA166" i="1"/>
  <c r="LA97" i="1"/>
  <c r="LA79" i="1"/>
  <c r="LA146" i="1"/>
  <c r="LA204" i="1"/>
  <c r="LA113" i="1"/>
  <c r="LA172" i="1"/>
  <c r="LA171" i="1"/>
  <c r="LA185" i="1"/>
  <c r="LA137" i="1"/>
  <c r="LA205" i="1"/>
  <c r="LA177" i="1"/>
  <c r="LA199" i="1"/>
  <c r="LA106" i="1"/>
  <c r="LA203" i="1"/>
  <c r="LA124" i="1"/>
  <c r="LA170" i="1"/>
  <c r="LA152" i="1"/>
  <c r="LA118" i="1"/>
  <c r="LA198" i="1"/>
  <c r="LA200" i="1"/>
  <c r="LA136" i="1"/>
  <c r="LA108" i="1"/>
  <c r="LA149" i="1"/>
  <c r="LA187" i="1"/>
  <c r="LA168" i="1"/>
  <c r="LA162" i="1"/>
  <c r="LA139" i="1"/>
  <c r="LA196" i="1"/>
  <c r="LA153" i="1"/>
  <c r="LA197" i="1"/>
  <c r="LA176" i="1"/>
  <c r="LA202" i="1"/>
  <c r="LA167" i="1"/>
  <c r="LA207" i="1"/>
  <c r="LA192" i="1"/>
  <c r="KZ3" i="1"/>
  <c r="KZ2" i="1"/>
  <c r="KZ43" i="1"/>
  <c r="KZ71" i="1"/>
  <c r="KZ7" i="1"/>
  <c r="KZ164" i="1"/>
  <c r="KZ4" i="1"/>
  <c r="KZ99" i="1"/>
  <c r="KZ6" i="1"/>
  <c r="KZ8" i="1"/>
  <c r="KZ10" i="1"/>
  <c r="KZ9" i="1"/>
  <c r="KZ127" i="1"/>
  <c r="KZ11" i="1"/>
  <c r="KZ44" i="1"/>
  <c r="KZ39" i="1"/>
  <c r="KZ45" i="1"/>
  <c r="KZ16" i="1"/>
  <c r="KZ12" i="1"/>
  <c r="KZ48" i="1"/>
  <c r="KZ54" i="1"/>
  <c r="KZ47" i="1"/>
  <c r="KZ20" i="1"/>
  <c r="KZ50" i="1"/>
  <c r="KZ22" i="1"/>
  <c r="KZ49" i="1"/>
  <c r="KZ13" i="1"/>
  <c r="KZ26" i="1"/>
  <c r="KZ52" i="1"/>
  <c r="KZ46" i="1"/>
  <c r="KZ72" i="1"/>
  <c r="KZ5" i="1"/>
  <c r="KZ18" i="1"/>
  <c r="KZ23" i="1"/>
  <c r="KZ15" i="1"/>
  <c r="KZ14" i="1"/>
  <c r="KZ59" i="1"/>
  <c r="KZ38" i="1"/>
  <c r="KZ21" i="1"/>
  <c r="KZ27" i="1"/>
  <c r="KZ17" i="1"/>
  <c r="KZ68" i="1"/>
  <c r="KZ121" i="1"/>
  <c r="KZ24" i="1"/>
  <c r="KZ30" i="1"/>
  <c r="KZ40" i="1"/>
  <c r="KZ35" i="1"/>
  <c r="KZ29" i="1"/>
  <c r="KZ37" i="1"/>
  <c r="KZ28" i="1"/>
  <c r="KZ19" i="1"/>
  <c r="KZ33" i="1"/>
  <c r="KZ109" i="1"/>
  <c r="KZ64" i="1"/>
  <c r="KZ63" i="1"/>
  <c r="KZ77" i="1"/>
  <c r="KZ115" i="1"/>
  <c r="KZ31" i="1"/>
  <c r="KZ41" i="1"/>
  <c r="KZ191" i="1"/>
  <c r="KZ85" i="1"/>
  <c r="KZ62" i="1"/>
  <c r="KZ36" i="1"/>
  <c r="KZ32" i="1"/>
  <c r="KZ34" i="1"/>
  <c r="KZ93" i="1"/>
  <c r="KZ117" i="1"/>
  <c r="KZ154" i="1"/>
  <c r="KZ107" i="1"/>
  <c r="KZ98" i="1"/>
  <c r="KZ138" i="1"/>
  <c r="KZ75" i="1"/>
  <c r="KZ122" i="1"/>
  <c r="KZ84" i="1"/>
  <c r="KZ116" i="1"/>
  <c r="KZ186" i="1"/>
  <c r="KZ89" i="1"/>
  <c r="KZ70" i="1"/>
  <c r="KZ61" i="1"/>
  <c r="KZ74" i="1"/>
  <c r="KZ88" i="1"/>
  <c r="KZ73" i="1"/>
  <c r="KZ111" i="1"/>
  <c r="KZ87" i="1"/>
  <c r="KZ82" i="1"/>
  <c r="KZ53" i="1"/>
  <c r="KZ175" i="1"/>
  <c r="KZ55" i="1"/>
  <c r="KZ51" i="1"/>
  <c r="KZ157" i="1"/>
  <c r="KZ158" i="1"/>
  <c r="KZ83" i="1"/>
  <c r="KZ91" i="1"/>
  <c r="KZ105" i="1"/>
  <c r="KZ103" i="1"/>
  <c r="KZ188" i="1"/>
  <c r="KZ163" i="1"/>
  <c r="KZ101" i="1"/>
  <c r="KZ65" i="1"/>
  <c r="KZ60" i="1"/>
  <c r="KZ80" i="1"/>
  <c r="KZ56" i="1"/>
  <c r="KZ57" i="1"/>
  <c r="KZ25" i="1"/>
  <c r="KZ104" i="1"/>
  <c r="KZ66" i="1"/>
  <c r="KZ58" i="1"/>
  <c r="KZ155" i="1"/>
  <c r="KZ156" i="1"/>
  <c r="KZ134" i="1"/>
  <c r="KZ92" i="1"/>
  <c r="KZ67" i="1"/>
  <c r="KZ126" i="1"/>
  <c r="KZ145" i="1"/>
  <c r="KZ135" i="1"/>
  <c r="KZ159" i="1"/>
  <c r="KZ76" i="1"/>
  <c r="KZ114" i="1"/>
  <c r="KZ161" i="1"/>
  <c r="KZ160" i="1"/>
  <c r="KZ95" i="1"/>
  <c r="KZ120" i="1"/>
  <c r="KZ42" i="1"/>
  <c r="KZ183" i="1"/>
  <c r="KZ112" i="1"/>
  <c r="KZ148" i="1"/>
  <c r="KZ179" i="1"/>
  <c r="KZ128" i="1"/>
  <c r="KZ144" i="1"/>
  <c r="KZ110" i="1"/>
  <c r="KZ81" i="1"/>
  <c r="KZ100" i="1"/>
  <c r="KZ123" i="1"/>
  <c r="KZ86" i="1"/>
  <c r="KZ174" i="1"/>
  <c r="KZ201" i="1"/>
  <c r="KZ90" i="1"/>
  <c r="KZ102" i="1"/>
  <c r="KZ94" i="1"/>
  <c r="KZ119" i="1"/>
  <c r="KZ141" i="1"/>
  <c r="KZ147" i="1"/>
  <c r="KZ165" i="1"/>
  <c r="KZ132" i="1"/>
  <c r="KZ189" i="1"/>
  <c r="KZ133" i="1"/>
  <c r="KZ206" i="1"/>
  <c r="KZ78" i="1"/>
  <c r="KZ143" i="1"/>
  <c r="KZ150" i="1"/>
  <c r="KZ130" i="1"/>
  <c r="KZ96" i="1"/>
  <c r="KZ182" i="1"/>
  <c r="KZ195" i="1"/>
  <c r="KZ178" i="1"/>
  <c r="KZ181" i="1"/>
  <c r="KZ194" i="1"/>
  <c r="KZ208" i="1"/>
  <c r="KZ129" i="1"/>
  <c r="KZ180" i="1"/>
  <c r="KZ140" i="1"/>
  <c r="KZ125" i="1"/>
  <c r="KZ131" i="1"/>
  <c r="KZ173" i="1"/>
  <c r="KZ184" i="1"/>
  <c r="KZ190" i="1"/>
  <c r="KZ142" i="1"/>
  <c r="KZ69" i="1"/>
  <c r="KZ151" i="1"/>
  <c r="KZ193" i="1"/>
  <c r="KZ169" i="1"/>
  <c r="KZ166" i="1"/>
  <c r="KZ97" i="1"/>
  <c r="KZ79" i="1"/>
  <c r="KZ146" i="1"/>
  <c r="KZ204" i="1"/>
  <c r="KZ113" i="1"/>
  <c r="KZ172" i="1"/>
  <c r="KZ171" i="1"/>
  <c r="KZ185" i="1"/>
  <c r="KZ137" i="1"/>
  <c r="KZ205" i="1"/>
  <c r="KZ177" i="1"/>
  <c r="KZ199" i="1"/>
  <c r="KZ106" i="1"/>
  <c r="KZ203" i="1"/>
  <c r="KZ124" i="1"/>
  <c r="KZ170" i="1"/>
  <c r="KZ152" i="1"/>
  <c r="KZ118" i="1"/>
  <c r="KZ198" i="1"/>
  <c r="KZ200" i="1"/>
  <c r="KZ136" i="1"/>
  <c r="KZ108" i="1"/>
  <c r="KZ149" i="1"/>
  <c r="KZ187" i="1"/>
  <c r="KZ168" i="1"/>
  <c r="KZ162" i="1"/>
  <c r="KZ139" i="1"/>
  <c r="KZ196" i="1"/>
  <c r="KZ153" i="1"/>
  <c r="KZ197" i="1"/>
  <c r="KZ176" i="1"/>
  <c r="KZ202" i="1"/>
  <c r="KZ167" i="1"/>
  <c r="KZ207" i="1"/>
  <c r="KZ192" i="1"/>
  <c r="KY3" i="1"/>
  <c r="KY2" i="1"/>
  <c r="KY43" i="1"/>
  <c r="KY71" i="1"/>
  <c r="KY7" i="1"/>
  <c r="KY164" i="1"/>
  <c r="KY4" i="1"/>
  <c r="KY99" i="1"/>
  <c r="KY6" i="1"/>
  <c r="KY8" i="1"/>
  <c r="KY10" i="1"/>
  <c r="KY9" i="1"/>
  <c r="KY127" i="1"/>
  <c r="KY11" i="1"/>
  <c r="KY44" i="1"/>
  <c r="KY39" i="1"/>
  <c r="KY45" i="1"/>
  <c r="KY16" i="1"/>
  <c r="KY12" i="1"/>
  <c r="KY48" i="1"/>
  <c r="KY54" i="1"/>
  <c r="KY47" i="1"/>
  <c r="KY20" i="1"/>
  <c r="KY50" i="1"/>
  <c r="KY22" i="1"/>
  <c r="KY49" i="1"/>
  <c r="KY13" i="1"/>
  <c r="KY26" i="1"/>
  <c r="KY52" i="1"/>
  <c r="KY46" i="1"/>
  <c r="KY72" i="1"/>
  <c r="KY5" i="1"/>
  <c r="KY18" i="1"/>
  <c r="KY23" i="1"/>
  <c r="KY15" i="1"/>
  <c r="KY14" i="1"/>
  <c r="KY59" i="1"/>
  <c r="KY38" i="1"/>
  <c r="KY21" i="1"/>
  <c r="KY27" i="1"/>
  <c r="KY17" i="1"/>
  <c r="KY68" i="1"/>
  <c r="KY121" i="1"/>
  <c r="KY24" i="1"/>
  <c r="KY30" i="1"/>
  <c r="KY40" i="1"/>
  <c r="KY35" i="1"/>
  <c r="KY29" i="1"/>
  <c r="KY37" i="1"/>
  <c r="KY28" i="1"/>
  <c r="KY19" i="1"/>
  <c r="KY33" i="1"/>
  <c r="KY109" i="1"/>
  <c r="KY64" i="1"/>
  <c r="KY63" i="1"/>
  <c r="KY77" i="1"/>
  <c r="KY115" i="1"/>
  <c r="KY31" i="1"/>
  <c r="KY41" i="1"/>
  <c r="KY191" i="1"/>
  <c r="KY85" i="1"/>
  <c r="KY62" i="1"/>
  <c r="KY36" i="1"/>
  <c r="KY32" i="1"/>
  <c r="KY34" i="1"/>
  <c r="KY93" i="1"/>
  <c r="KY117" i="1"/>
  <c r="KY154" i="1"/>
  <c r="KY107" i="1"/>
  <c r="KY98" i="1"/>
  <c r="KY138" i="1"/>
  <c r="KY75" i="1"/>
  <c r="KY122" i="1"/>
  <c r="KY84" i="1"/>
  <c r="KY116" i="1"/>
  <c r="KY186" i="1"/>
  <c r="KY89" i="1"/>
  <c r="KY70" i="1"/>
  <c r="KY61" i="1"/>
  <c r="KY74" i="1"/>
  <c r="KY88" i="1"/>
  <c r="KY73" i="1"/>
  <c r="KY111" i="1"/>
  <c r="KY87" i="1"/>
  <c r="KY82" i="1"/>
  <c r="KY53" i="1"/>
  <c r="KY175" i="1"/>
  <c r="KY55" i="1"/>
  <c r="KY51" i="1"/>
  <c r="KY157" i="1"/>
  <c r="KY158" i="1"/>
  <c r="KY83" i="1"/>
  <c r="KY91" i="1"/>
  <c r="KY105" i="1"/>
  <c r="KY103" i="1"/>
  <c r="KY188" i="1"/>
  <c r="KY163" i="1"/>
  <c r="KY101" i="1"/>
  <c r="KY65" i="1"/>
  <c r="KY60" i="1"/>
  <c r="KY80" i="1"/>
  <c r="KY56" i="1"/>
  <c r="KY57" i="1"/>
  <c r="KY25" i="1"/>
  <c r="KY104" i="1"/>
  <c r="KY66" i="1"/>
  <c r="KY58" i="1"/>
  <c r="KY155" i="1"/>
  <c r="KY156" i="1"/>
  <c r="KY134" i="1"/>
  <c r="KY92" i="1"/>
  <c r="KY67" i="1"/>
  <c r="KY126" i="1"/>
  <c r="KY145" i="1"/>
  <c r="KY135" i="1"/>
  <c r="KY159" i="1"/>
  <c r="KY76" i="1"/>
  <c r="KY114" i="1"/>
  <c r="KY161" i="1"/>
  <c r="KY160" i="1"/>
  <c r="KY95" i="1"/>
  <c r="KY120" i="1"/>
  <c r="KY42" i="1"/>
  <c r="KY183" i="1"/>
  <c r="KY112" i="1"/>
  <c r="KY148" i="1"/>
  <c r="KY179" i="1"/>
  <c r="KY128" i="1"/>
  <c r="KY144" i="1"/>
  <c r="KY110" i="1"/>
  <c r="KY81" i="1"/>
  <c r="KY100" i="1"/>
  <c r="KY123" i="1"/>
  <c r="KY86" i="1"/>
  <c r="KY174" i="1"/>
  <c r="KY201" i="1"/>
  <c r="KY90" i="1"/>
  <c r="KY102" i="1"/>
  <c r="KY94" i="1"/>
  <c r="KY119" i="1"/>
  <c r="KY141" i="1"/>
  <c r="KY147" i="1"/>
  <c r="KY165" i="1"/>
  <c r="KY132" i="1"/>
  <c r="KY189" i="1"/>
  <c r="KY133" i="1"/>
  <c r="KY206" i="1"/>
  <c r="KY78" i="1"/>
  <c r="KY143" i="1"/>
  <c r="KY150" i="1"/>
  <c r="KY130" i="1"/>
  <c r="KY96" i="1"/>
  <c r="KY182" i="1"/>
  <c r="KY195" i="1"/>
  <c r="KY178" i="1"/>
  <c r="KY181" i="1"/>
  <c r="KY194" i="1"/>
  <c r="KY208" i="1"/>
  <c r="KY129" i="1"/>
  <c r="KY180" i="1"/>
  <c r="KY140" i="1"/>
  <c r="KY125" i="1"/>
  <c r="KY131" i="1"/>
  <c r="KY173" i="1"/>
  <c r="KY184" i="1"/>
  <c r="KY190" i="1"/>
  <c r="KY142" i="1"/>
  <c r="KY69" i="1"/>
  <c r="KY151" i="1"/>
  <c r="KY193" i="1"/>
  <c r="KY169" i="1"/>
  <c r="KY166" i="1"/>
  <c r="KY97" i="1"/>
  <c r="KY79" i="1"/>
  <c r="KY146" i="1"/>
  <c r="KY204" i="1"/>
  <c r="KY113" i="1"/>
  <c r="KY172" i="1"/>
  <c r="KY171" i="1"/>
  <c r="KY185" i="1"/>
  <c r="KY137" i="1"/>
  <c r="KY205" i="1"/>
  <c r="KY177" i="1"/>
  <c r="KY199" i="1"/>
  <c r="KY106" i="1"/>
  <c r="KY203" i="1"/>
  <c r="KY124" i="1"/>
  <c r="KY170" i="1"/>
  <c r="KY152" i="1"/>
  <c r="KY118" i="1"/>
  <c r="KY198" i="1"/>
  <c r="KY200" i="1"/>
  <c r="KY136" i="1"/>
  <c r="KY108" i="1"/>
  <c r="KY149" i="1"/>
  <c r="KY187" i="1"/>
  <c r="KY168" i="1"/>
  <c r="KY162" i="1"/>
  <c r="KY139" i="1"/>
  <c r="KY196" i="1"/>
  <c r="KY153" i="1"/>
  <c r="KY197" i="1"/>
  <c r="KY176" i="1"/>
  <c r="KY202" i="1"/>
  <c r="KY167" i="1"/>
  <c r="KY207" i="1"/>
  <c r="KY192" i="1"/>
  <c r="KX3" i="1"/>
  <c r="KX2" i="1"/>
  <c r="KX43" i="1"/>
  <c r="KX71" i="1"/>
  <c r="KX7" i="1"/>
  <c r="KX164" i="1"/>
  <c r="KX4" i="1"/>
  <c r="KX99" i="1"/>
  <c r="KX6" i="1"/>
  <c r="KX8" i="1"/>
  <c r="KX10" i="1"/>
  <c r="KX9" i="1"/>
  <c r="KX127" i="1"/>
  <c r="KX11" i="1"/>
  <c r="KX44" i="1"/>
  <c r="KX39" i="1"/>
  <c r="KX45" i="1"/>
  <c r="KX16" i="1"/>
  <c r="KX12" i="1"/>
  <c r="KX48" i="1"/>
  <c r="KX54" i="1"/>
  <c r="KX47" i="1"/>
  <c r="KX20" i="1"/>
  <c r="KX50" i="1"/>
  <c r="KX22" i="1"/>
  <c r="KX49" i="1"/>
  <c r="KX13" i="1"/>
  <c r="KX26" i="1"/>
  <c r="KX52" i="1"/>
  <c r="KX46" i="1"/>
  <c r="KX72" i="1"/>
  <c r="KX5" i="1"/>
  <c r="KX18" i="1"/>
  <c r="KX23" i="1"/>
  <c r="KX15" i="1"/>
  <c r="KX14" i="1"/>
  <c r="KX59" i="1"/>
  <c r="KX38" i="1"/>
  <c r="KX21" i="1"/>
  <c r="KX27" i="1"/>
  <c r="KX17" i="1"/>
  <c r="KX68" i="1"/>
  <c r="KX121" i="1"/>
  <c r="KX24" i="1"/>
  <c r="KX30" i="1"/>
  <c r="KX40" i="1"/>
  <c r="KX35" i="1"/>
  <c r="KX29" i="1"/>
  <c r="KX37" i="1"/>
  <c r="KX28" i="1"/>
  <c r="KX19" i="1"/>
  <c r="KX33" i="1"/>
  <c r="KX109" i="1"/>
  <c r="KX64" i="1"/>
  <c r="KX63" i="1"/>
  <c r="KX77" i="1"/>
  <c r="KX115" i="1"/>
  <c r="KX31" i="1"/>
  <c r="KX41" i="1"/>
  <c r="KX191" i="1"/>
  <c r="KX85" i="1"/>
  <c r="KX62" i="1"/>
  <c r="KX36" i="1"/>
  <c r="KX32" i="1"/>
  <c r="KX34" i="1"/>
  <c r="KX93" i="1"/>
  <c r="KX117" i="1"/>
  <c r="KX154" i="1"/>
  <c r="KX107" i="1"/>
  <c r="KX98" i="1"/>
  <c r="KX138" i="1"/>
  <c r="KX75" i="1"/>
  <c r="KX122" i="1"/>
  <c r="KX84" i="1"/>
  <c r="KX116" i="1"/>
  <c r="KX186" i="1"/>
  <c r="KX89" i="1"/>
  <c r="KX70" i="1"/>
  <c r="KX61" i="1"/>
  <c r="KX74" i="1"/>
  <c r="KX88" i="1"/>
  <c r="KX73" i="1"/>
  <c r="KX111" i="1"/>
  <c r="KX87" i="1"/>
  <c r="KX82" i="1"/>
  <c r="KX53" i="1"/>
  <c r="KX175" i="1"/>
  <c r="KX55" i="1"/>
  <c r="KX51" i="1"/>
  <c r="KX157" i="1"/>
  <c r="KX158" i="1"/>
  <c r="KX83" i="1"/>
  <c r="KX91" i="1"/>
  <c r="KX105" i="1"/>
  <c r="KX103" i="1"/>
  <c r="KX188" i="1"/>
  <c r="KX163" i="1"/>
  <c r="KX101" i="1"/>
  <c r="KX65" i="1"/>
  <c r="KX60" i="1"/>
  <c r="KX80" i="1"/>
  <c r="KX56" i="1"/>
  <c r="KX57" i="1"/>
  <c r="KX25" i="1"/>
  <c r="KX104" i="1"/>
  <c r="KX66" i="1"/>
  <c r="KX58" i="1"/>
  <c r="KX155" i="1"/>
  <c r="KX156" i="1"/>
  <c r="KX134" i="1"/>
  <c r="KX92" i="1"/>
  <c r="KX67" i="1"/>
  <c r="KX126" i="1"/>
  <c r="KX145" i="1"/>
  <c r="KX135" i="1"/>
  <c r="KX159" i="1"/>
  <c r="KX76" i="1"/>
  <c r="KX114" i="1"/>
  <c r="KX161" i="1"/>
  <c r="KX160" i="1"/>
  <c r="KX95" i="1"/>
  <c r="KX120" i="1"/>
  <c r="KX42" i="1"/>
  <c r="KX183" i="1"/>
  <c r="KX112" i="1"/>
  <c r="KX148" i="1"/>
  <c r="KX179" i="1"/>
  <c r="KX128" i="1"/>
  <c r="KX144" i="1"/>
  <c r="KX110" i="1"/>
  <c r="KX81" i="1"/>
  <c r="KX100" i="1"/>
  <c r="KX123" i="1"/>
  <c r="KX86" i="1"/>
  <c r="KX174" i="1"/>
  <c r="KX201" i="1"/>
  <c r="KX90" i="1"/>
  <c r="KX102" i="1"/>
  <c r="KX94" i="1"/>
  <c r="KX119" i="1"/>
  <c r="KX141" i="1"/>
  <c r="KX147" i="1"/>
  <c r="KX165" i="1"/>
  <c r="KX132" i="1"/>
  <c r="KX189" i="1"/>
  <c r="KX133" i="1"/>
  <c r="KX206" i="1"/>
  <c r="KX78" i="1"/>
  <c r="KX143" i="1"/>
  <c r="KX150" i="1"/>
  <c r="KX130" i="1"/>
  <c r="KX96" i="1"/>
  <c r="KX182" i="1"/>
  <c r="KX195" i="1"/>
  <c r="KX178" i="1"/>
  <c r="KX181" i="1"/>
  <c r="KX194" i="1"/>
  <c r="KX208" i="1"/>
  <c r="KX129" i="1"/>
  <c r="KX180" i="1"/>
  <c r="KX140" i="1"/>
  <c r="KX125" i="1"/>
  <c r="KX131" i="1"/>
  <c r="KX173" i="1"/>
  <c r="KX184" i="1"/>
  <c r="KX190" i="1"/>
  <c r="KX142" i="1"/>
  <c r="KX69" i="1"/>
  <c r="KX151" i="1"/>
  <c r="KX193" i="1"/>
  <c r="KX169" i="1"/>
  <c r="KX166" i="1"/>
  <c r="KX97" i="1"/>
  <c r="KX79" i="1"/>
  <c r="KX146" i="1"/>
  <c r="KX204" i="1"/>
  <c r="KX113" i="1"/>
  <c r="KX172" i="1"/>
  <c r="KX171" i="1"/>
  <c r="KX185" i="1"/>
  <c r="KX137" i="1"/>
  <c r="KX205" i="1"/>
  <c r="KX177" i="1"/>
  <c r="KX199" i="1"/>
  <c r="KX106" i="1"/>
  <c r="KX203" i="1"/>
  <c r="KX124" i="1"/>
  <c r="KX170" i="1"/>
  <c r="KX152" i="1"/>
  <c r="KX118" i="1"/>
  <c r="KX198" i="1"/>
  <c r="KX200" i="1"/>
  <c r="KX136" i="1"/>
  <c r="KX108" i="1"/>
  <c r="KX149" i="1"/>
  <c r="KX187" i="1"/>
  <c r="KX168" i="1"/>
  <c r="KX162" i="1"/>
  <c r="KX139" i="1"/>
  <c r="KX196" i="1"/>
  <c r="KX153" i="1"/>
  <c r="KX197" i="1"/>
  <c r="KX176" i="1"/>
  <c r="KX202" i="1"/>
  <c r="KX167" i="1"/>
  <c r="KX207" i="1"/>
  <c r="KX192" i="1"/>
  <c r="KW3" i="1"/>
  <c r="KW2" i="1"/>
  <c r="KW43" i="1"/>
  <c r="KW71" i="1"/>
  <c r="KW7" i="1"/>
  <c r="KW164" i="1"/>
  <c r="KW4" i="1"/>
  <c r="KW99" i="1"/>
  <c r="KW6" i="1"/>
  <c r="KW8" i="1"/>
  <c r="KW10" i="1"/>
  <c r="KW9" i="1"/>
  <c r="KW127" i="1"/>
  <c r="KW11" i="1"/>
  <c r="KW44" i="1"/>
  <c r="KW39" i="1"/>
  <c r="KW45" i="1"/>
  <c r="KW16" i="1"/>
  <c r="KW12" i="1"/>
  <c r="KW48" i="1"/>
  <c r="KW54" i="1"/>
  <c r="KW47" i="1"/>
  <c r="KW20" i="1"/>
  <c r="KW50" i="1"/>
  <c r="KW22" i="1"/>
  <c r="KW49" i="1"/>
  <c r="KW13" i="1"/>
  <c r="KW26" i="1"/>
  <c r="KW52" i="1"/>
  <c r="KW46" i="1"/>
  <c r="KW72" i="1"/>
  <c r="KW5" i="1"/>
  <c r="KW18" i="1"/>
  <c r="KW23" i="1"/>
  <c r="KW15" i="1"/>
  <c r="KW14" i="1"/>
  <c r="KW59" i="1"/>
  <c r="KW38" i="1"/>
  <c r="KW21" i="1"/>
  <c r="KW27" i="1"/>
  <c r="KW17" i="1"/>
  <c r="KW68" i="1"/>
  <c r="KW121" i="1"/>
  <c r="KW24" i="1"/>
  <c r="KW30" i="1"/>
  <c r="KW40" i="1"/>
  <c r="KW35" i="1"/>
  <c r="KW29" i="1"/>
  <c r="KW37" i="1"/>
  <c r="KW28" i="1"/>
  <c r="KW19" i="1"/>
  <c r="KW33" i="1"/>
  <c r="KW109" i="1"/>
  <c r="KW64" i="1"/>
  <c r="KW63" i="1"/>
  <c r="KW77" i="1"/>
  <c r="KW115" i="1"/>
  <c r="KW31" i="1"/>
  <c r="KW41" i="1"/>
  <c r="KW191" i="1"/>
  <c r="KW85" i="1"/>
  <c r="KW62" i="1"/>
  <c r="KW36" i="1"/>
  <c r="KW32" i="1"/>
  <c r="KW34" i="1"/>
  <c r="KW93" i="1"/>
  <c r="KW117" i="1"/>
  <c r="KW154" i="1"/>
  <c r="KW107" i="1"/>
  <c r="KW98" i="1"/>
  <c r="KW138" i="1"/>
  <c r="KW75" i="1"/>
  <c r="KW122" i="1"/>
  <c r="KW84" i="1"/>
  <c r="KW116" i="1"/>
  <c r="KW186" i="1"/>
  <c r="KW89" i="1"/>
  <c r="KW70" i="1"/>
  <c r="KW61" i="1"/>
  <c r="KW74" i="1"/>
  <c r="KW88" i="1"/>
  <c r="KW73" i="1"/>
  <c r="KW111" i="1"/>
  <c r="KW87" i="1"/>
  <c r="KW82" i="1"/>
  <c r="KW53" i="1"/>
  <c r="KW175" i="1"/>
  <c r="KW55" i="1"/>
  <c r="KW51" i="1"/>
  <c r="KW157" i="1"/>
  <c r="KW158" i="1"/>
  <c r="KW83" i="1"/>
  <c r="KW91" i="1"/>
  <c r="KW105" i="1"/>
  <c r="KW103" i="1"/>
  <c r="KW188" i="1"/>
  <c r="KW163" i="1"/>
  <c r="KW101" i="1"/>
  <c r="KW65" i="1"/>
  <c r="KW60" i="1"/>
  <c r="KW80" i="1"/>
  <c r="KW56" i="1"/>
  <c r="KW57" i="1"/>
  <c r="KW25" i="1"/>
  <c r="KW104" i="1"/>
  <c r="KW66" i="1"/>
  <c r="KW58" i="1"/>
  <c r="KW155" i="1"/>
  <c r="KW156" i="1"/>
  <c r="KW134" i="1"/>
  <c r="KW92" i="1"/>
  <c r="KW67" i="1"/>
  <c r="KW126" i="1"/>
  <c r="KW145" i="1"/>
  <c r="KW135" i="1"/>
  <c r="KW159" i="1"/>
  <c r="KW76" i="1"/>
  <c r="KW114" i="1"/>
  <c r="KW161" i="1"/>
  <c r="KW160" i="1"/>
  <c r="KW95" i="1"/>
  <c r="KW120" i="1"/>
  <c r="KW42" i="1"/>
  <c r="KW183" i="1"/>
  <c r="KW112" i="1"/>
  <c r="KW148" i="1"/>
  <c r="KW179" i="1"/>
  <c r="KW128" i="1"/>
  <c r="KW144" i="1"/>
  <c r="KW110" i="1"/>
  <c r="KW81" i="1"/>
  <c r="KW100" i="1"/>
  <c r="KW123" i="1"/>
  <c r="KW86" i="1"/>
  <c r="KW174" i="1"/>
  <c r="KW201" i="1"/>
  <c r="KW90" i="1"/>
  <c r="KW102" i="1"/>
  <c r="KW94" i="1"/>
  <c r="KW119" i="1"/>
  <c r="KW141" i="1"/>
  <c r="KW147" i="1"/>
  <c r="KW165" i="1"/>
  <c r="KW132" i="1"/>
  <c r="KW189" i="1"/>
  <c r="KW133" i="1"/>
  <c r="KW206" i="1"/>
  <c r="KW78" i="1"/>
  <c r="KW143" i="1"/>
  <c r="KW150" i="1"/>
  <c r="KW130" i="1"/>
  <c r="KW96" i="1"/>
  <c r="KW182" i="1"/>
  <c r="KW195" i="1"/>
  <c r="KW178" i="1"/>
  <c r="KW181" i="1"/>
  <c r="KW194" i="1"/>
  <c r="KW208" i="1"/>
  <c r="KW129" i="1"/>
  <c r="KW180" i="1"/>
  <c r="KW140" i="1"/>
  <c r="KW125" i="1"/>
  <c r="KW131" i="1"/>
  <c r="KW173" i="1"/>
  <c r="KW184" i="1"/>
  <c r="KW190" i="1"/>
  <c r="KW142" i="1"/>
  <c r="KW69" i="1"/>
  <c r="KW151" i="1"/>
  <c r="KW193" i="1"/>
  <c r="KW169" i="1"/>
  <c r="KW166" i="1"/>
  <c r="KW97" i="1"/>
  <c r="KW79" i="1"/>
  <c r="KW146" i="1"/>
  <c r="KW204" i="1"/>
  <c r="KW113" i="1"/>
  <c r="KW172" i="1"/>
  <c r="KW171" i="1"/>
  <c r="KW185" i="1"/>
  <c r="KW137" i="1"/>
  <c r="KW205" i="1"/>
  <c r="KW177" i="1"/>
  <c r="KW199" i="1"/>
  <c r="KW106" i="1"/>
  <c r="KW203" i="1"/>
  <c r="KW124" i="1"/>
  <c r="KW170" i="1"/>
  <c r="KW152" i="1"/>
  <c r="KW118" i="1"/>
  <c r="KW198" i="1"/>
  <c r="KW200" i="1"/>
  <c r="KW136" i="1"/>
  <c r="KW108" i="1"/>
  <c r="KW149" i="1"/>
  <c r="KW187" i="1"/>
  <c r="KW168" i="1"/>
  <c r="KW162" i="1"/>
  <c r="KW139" i="1"/>
  <c r="KW196" i="1"/>
  <c r="KW153" i="1"/>
  <c r="KW197" i="1"/>
  <c r="KW176" i="1"/>
  <c r="KW202" i="1"/>
  <c r="KW167" i="1"/>
  <c r="KW207" i="1"/>
  <c r="KW192" i="1"/>
  <c r="KV3" i="1"/>
  <c r="KV2" i="1"/>
  <c r="KV43" i="1"/>
  <c r="KV71" i="1"/>
  <c r="KV7" i="1"/>
  <c r="KV164" i="1"/>
  <c r="KV4" i="1"/>
  <c r="KV99" i="1"/>
  <c r="KV6" i="1"/>
  <c r="KV8" i="1"/>
  <c r="KV10" i="1"/>
  <c r="KV9" i="1"/>
  <c r="KV127" i="1"/>
  <c r="KV11" i="1"/>
  <c r="KV44" i="1"/>
  <c r="KV39" i="1"/>
  <c r="KV45" i="1"/>
  <c r="KV16" i="1"/>
  <c r="KV12" i="1"/>
  <c r="KV48" i="1"/>
  <c r="KV54" i="1"/>
  <c r="KV47" i="1"/>
  <c r="KV20" i="1"/>
  <c r="KV50" i="1"/>
  <c r="KV22" i="1"/>
  <c r="KV49" i="1"/>
  <c r="KV13" i="1"/>
  <c r="KV26" i="1"/>
  <c r="KV52" i="1"/>
  <c r="KV46" i="1"/>
  <c r="KV72" i="1"/>
  <c r="KV5" i="1"/>
  <c r="KV18" i="1"/>
  <c r="KV23" i="1"/>
  <c r="KV15" i="1"/>
  <c r="KV14" i="1"/>
  <c r="KV59" i="1"/>
  <c r="KV38" i="1"/>
  <c r="KV21" i="1"/>
  <c r="KV27" i="1"/>
  <c r="KV17" i="1"/>
  <c r="KV68" i="1"/>
  <c r="KV121" i="1"/>
  <c r="KV24" i="1"/>
  <c r="KV30" i="1"/>
  <c r="KV40" i="1"/>
  <c r="KV35" i="1"/>
  <c r="KV29" i="1"/>
  <c r="KV37" i="1"/>
  <c r="KV28" i="1"/>
  <c r="KV19" i="1"/>
  <c r="KV33" i="1"/>
  <c r="KV109" i="1"/>
  <c r="KV64" i="1"/>
  <c r="KV63" i="1"/>
  <c r="KV77" i="1"/>
  <c r="KV115" i="1"/>
  <c r="KV31" i="1"/>
  <c r="KV41" i="1"/>
  <c r="KV191" i="1"/>
  <c r="KV85" i="1"/>
  <c r="KV62" i="1"/>
  <c r="KV36" i="1"/>
  <c r="KV32" i="1"/>
  <c r="KV34" i="1"/>
  <c r="KV93" i="1"/>
  <c r="KV117" i="1"/>
  <c r="KV154" i="1"/>
  <c r="KV107" i="1"/>
  <c r="KV98" i="1"/>
  <c r="KV138" i="1"/>
  <c r="KV75" i="1"/>
  <c r="KV122" i="1"/>
  <c r="KV84" i="1"/>
  <c r="KV116" i="1"/>
  <c r="KV186" i="1"/>
  <c r="KV89" i="1"/>
  <c r="KV70" i="1"/>
  <c r="KV61" i="1"/>
  <c r="KV74" i="1"/>
  <c r="KV88" i="1"/>
  <c r="KV73" i="1"/>
  <c r="KV111" i="1"/>
  <c r="KV87" i="1"/>
  <c r="KV82" i="1"/>
  <c r="KV53" i="1"/>
  <c r="KV175" i="1"/>
  <c r="KV55" i="1"/>
  <c r="KV51" i="1"/>
  <c r="KV157" i="1"/>
  <c r="KV158" i="1"/>
  <c r="KV83" i="1"/>
  <c r="KV91" i="1"/>
  <c r="KV105" i="1"/>
  <c r="KV103" i="1"/>
  <c r="KV188" i="1"/>
  <c r="KV163" i="1"/>
  <c r="KV101" i="1"/>
  <c r="KV65" i="1"/>
  <c r="KV60" i="1"/>
  <c r="KV80" i="1"/>
  <c r="KV56" i="1"/>
  <c r="KV57" i="1"/>
  <c r="KV25" i="1"/>
  <c r="KV104" i="1"/>
  <c r="KV66" i="1"/>
  <c r="KV58" i="1"/>
  <c r="KV155" i="1"/>
  <c r="KV156" i="1"/>
  <c r="KV134" i="1"/>
  <c r="KV92" i="1"/>
  <c r="KV67" i="1"/>
  <c r="KV126" i="1"/>
  <c r="KV145" i="1"/>
  <c r="KV135" i="1"/>
  <c r="KV159" i="1"/>
  <c r="KV76" i="1"/>
  <c r="KV114" i="1"/>
  <c r="KV161" i="1"/>
  <c r="KV160" i="1"/>
  <c r="KV95" i="1"/>
  <c r="KV120" i="1"/>
  <c r="KV42" i="1"/>
  <c r="KV183" i="1"/>
  <c r="KV112" i="1"/>
  <c r="KV148" i="1"/>
  <c r="KV179" i="1"/>
  <c r="KV128" i="1"/>
  <c r="KV144" i="1"/>
  <c r="KV110" i="1"/>
  <c r="KV81" i="1"/>
  <c r="KV100" i="1"/>
  <c r="KV123" i="1"/>
  <c r="KV86" i="1"/>
  <c r="KV174" i="1"/>
  <c r="KV201" i="1"/>
  <c r="KV90" i="1"/>
  <c r="KV102" i="1"/>
  <c r="KV94" i="1"/>
  <c r="KV119" i="1"/>
  <c r="KV141" i="1"/>
  <c r="KV147" i="1"/>
  <c r="KV165" i="1"/>
  <c r="KV132" i="1"/>
  <c r="KV189" i="1"/>
  <c r="KV133" i="1"/>
  <c r="KV206" i="1"/>
  <c r="KV78" i="1"/>
  <c r="KV143" i="1"/>
  <c r="KV150" i="1"/>
  <c r="KV130" i="1"/>
  <c r="KV96" i="1"/>
  <c r="KV182" i="1"/>
  <c r="KV195" i="1"/>
  <c r="KV178" i="1"/>
  <c r="KV181" i="1"/>
  <c r="KV194" i="1"/>
  <c r="KV208" i="1"/>
  <c r="KV129" i="1"/>
  <c r="KV180" i="1"/>
  <c r="KV140" i="1"/>
  <c r="KV125" i="1"/>
  <c r="KV131" i="1"/>
  <c r="KV173" i="1"/>
  <c r="KV184" i="1"/>
  <c r="KV190" i="1"/>
  <c r="KV142" i="1"/>
  <c r="KV69" i="1"/>
  <c r="KV151" i="1"/>
  <c r="KV193" i="1"/>
  <c r="KV169" i="1"/>
  <c r="KV166" i="1"/>
  <c r="KV97" i="1"/>
  <c r="KV79" i="1"/>
  <c r="KV146" i="1"/>
  <c r="KV204" i="1"/>
  <c r="KV113" i="1"/>
  <c r="KV172" i="1"/>
  <c r="KV171" i="1"/>
  <c r="KV185" i="1"/>
  <c r="KV137" i="1"/>
  <c r="KV205" i="1"/>
  <c r="KV177" i="1"/>
  <c r="KV199" i="1"/>
  <c r="KV106" i="1"/>
  <c r="KV203" i="1"/>
  <c r="KV124" i="1"/>
  <c r="KV170" i="1"/>
  <c r="KV152" i="1"/>
  <c r="KV118" i="1"/>
  <c r="KV198" i="1"/>
  <c r="KV200" i="1"/>
  <c r="KV136" i="1"/>
  <c r="KV108" i="1"/>
  <c r="KV149" i="1"/>
  <c r="KV187" i="1"/>
  <c r="KV168" i="1"/>
  <c r="KV162" i="1"/>
  <c r="KV139" i="1"/>
  <c r="KV196" i="1"/>
  <c r="KV153" i="1"/>
  <c r="KV197" i="1"/>
  <c r="KV176" i="1"/>
  <c r="KV202" i="1"/>
  <c r="KV167" i="1"/>
  <c r="KV207" i="1"/>
  <c r="KV192" i="1"/>
  <c r="KU3" i="1"/>
  <c r="KU2" i="1"/>
  <c r="KU43" i="1"/>
  <c r="KU71" i="1"/>
  <c r="KU7" i="1"/>
  <c r="KU164" i="1"/>
  <c r="KU4" i="1"/>
  <c r="KU99" i="1"/>
  <c r="KU6" i="1"/>
  <c r="KU8" i="1"/>
  <c r="KU10" i="1"/>
  <c r="KU9" i="1"/>
  <c r="KU127" i="1"/>
  <c r="KU11" i="1"/>
  <c r="KU44" i="1"/>
  <c r="KU39" i="1"/>
  <c r="KU45" i="1"/>
  <c r="KU16" i="1"/>
  <c r="KU12" i="1"/>
  <c r="KU48" i="1"/>
  <c r="KU54" i="1"/>
  <c r="KU47" i="1"/>
  <c r="KU20" i="1"/>
  <c r="KU50" i="1"/>
  <c r="KU22" i="1"/>
  <c r="KU49" i="1"/>
  <c r="KU13" i="1"/>
  <c r="KU26" i="1"/>
  <c r="KU52" i="1"/>
  <c r="KU46" i="1"/>
  <c r="KU72" i="1"/>
  <c r="KU5" i="1"/>
  <c r="KU18" i="1"/>
  <c r="KU23" i="1"/>
  <c r="KU15" i="1"/>
  <c r="KU14" i="1"/>
  <c r="KU59" i="1"/>
  <c r="KU38" i="1"/>
  <c r="KU21" i="1"/>
  <c r="KU27" i="1"/>
  <c r="KU17" i="1"/>
  <c r="KU68" i="1"/>
  <c r="KU121" i="1"/>
  <c r="KU24" i="1"/>
  <c r="KU30" i="1"/>
  <c r="KU40" i="1"/>
  <c r="KU35" i="1"/>
  <c r="KU29" i="1"/>
  <c r="KU37" i="1"/>
  <c r="KU28" i="1"/>
  <c r="KU19" i="1"/>
  <c r="KU33" i="1"/>
  <c r="KU109" i="1"/>
  <c r="KU64" i="1"/>
  <c r="KU63" i="1"/>
  <c r="KU77" i="1"/>
  <c r="KU115" i="1"/>
  <c r="KU31" i="1"/>
  <c r="KU41" i="1"/>
  <c r="KU191" i="1"/>
  <c r="KU85" i="1"/>
  <c r="KU62" i="1"/>
  <c r="KU36" i="1"/>
  <c r="KU32" i="1"/>
  <c r="KU34" i="1"/>
  <c r="KU93" i="1"/>
  <c r="KU117" i="1"/>
  <c r="KU154" i="1"/>
  <c r="KU107" i="1"/>
  <c r="KU98" i="1"/>
  <c r="KU138" i="1"/>
  <c r="KU75" i="1"/>
  <c r="KU122" i="1"/>
  <c r="KU84" i="1"/>
  <c r="KU116" i="1"/>
  <c r="KU186" i="1"/>
  <c r="KU89" i="1"/>
  <c r="KU70" i="1"/>
  <c r="KU61" i="1"/>
  <c r="KU74" i="1"/>
  <c r="KU88" i="1"/>
  <c r="KU73" i="1"/>
  <c r="KU111" i="1"/>
  <c r="KU87" i="1"/>
  <c r="KU82" i="1"/>
  <c r="KU53" i="1"/>
  <c r="KU175" i="1"/>
  <c r="KU55" i="1"/>
  <c r="KU51" i="1"/>
  <c r="KU157" i="1"/>
  <c r="KU158" i="1"/>
  <c r="KU83" i="1"/>
  <c r="KU91" i="1"/>
  <c r="KU105" i="1"/>
  <c r="KU103" i="1"/>
  <c r="KU188" i="1"/>
  <c r="KU163" i="1"/>
  <c r="KU101" i="1"/>
  <c r="KU65" i="1"/>
  <c r="KU60" i="1"/>
  <c r="KU80" i="1"/>
  <c r="KU56" i="1"/>
  <c r="KU57" i="1"/>
  <c r="KU25" i="1"/>
  <c r="KU104" i="1"/>
  <c r="KU66" i="1"/>
  <c r="KU58" i="1"/>
  <c r="KU155" i="1"/>
  <c r="KU156" i="1"/>
  <c r="KU134" i="1"/>
  <c r="KU92" i="1"/>
  <c r="KU67" i="1"/>
  <c r="KU126" i="1"/>
  <c r="KU145" i="1"/>
  <c r="KU135" i="1"/>
  <c r="KU159" i="1"/>
  <c r="KU76" i="1"/>
  <c r="KU114" i="1"/>
  <c r="KU161" i="1"/>
  <c r="KU160" i="1"/>
  <c r="KU95" i="1"/>
  <c r="KU120" i="1"/>
  <c r="KU42" i="1"/>
  <c r="KU183" i="1"/>
  <c r="KU112" i="1"/>
  <c r="KU148" i="1"/>
  <c r="KU179" i="1"/>
  <c r="KU128" i="1"/>
  <c r="KU144" i="1"/>
  <c r="KU110" i="1"/>
  <c r="KU81" i="1"/>
  <c r="KU100" i="1"/>
  <c r="KU123" i="1"/>
  <c r="KU86" i="1"/>
  <c r="KU174" i="1"/>
  <c r="KU201" i="1"/>
  <c r="KU90" i="1"/>
  <c r="KU102" i="1"/>
  <c r="KU94" i="1"/>
  <c r="KU119" i="1"/>
  <c r="KU141" i="1"/>
  <c r="KU147" i="1"/>
  <c r="KU165" i="1"/>
  <c r="KU132" i="1"/>
  <c r="KU189" i="1"/>
  <c r="KU133" i="1"/>
  <c r="KU206" i="1"/>
  <c r="KU78" i="1"/>
  <c r="KU143" i="1"/>
  <c r="KU150" i="1"/>
  <c r="KU130" i="1"/>
  <c r="KU96" i="1"/>
  <c r="KU182" i="1"/>
  <c r="KU195" i="1"/>
  <c r="KU178" i="1"/>
  <c r="KU181" i="1"/>
  <c r="KU194" i="1"/>
  <c r="KU208" i="1"/>
  <c r="KU129" i="1"/>
  <c r="KU180" i="1"/>
  <c r="KU140" i="1"/>
  <c r="KU125" i="1"/>
  <c r="KU131" i="1"/>
  <c r="KU173" i="1"/>
  <c r="KU184" i="1"/>
  <c r="KU190" i="1"/>
  <c r="KU142" i="1"/>
  <c r="KU69" i="1"/>
  <c r="KU151" i="1"/>
  <c r="KU193" i="1"/>
  <c r="KU169" i="1"/>
  <c r="KU166" i="1"/>
  <c r="KU97" i="1"/>
  <c r="KU79" i="1"/>
  <c r="KU146" i="1"/>
  <c r="KU204" i="1"/>
  <c r="KU113" i="1"/>
  <c r="KU172" i="1"/>
  <c r="KU171" i="1"/>
  <c r="KU185" i="1"/>
  <c r="KU137" i="1"/>
  <c r="KU205" i="1"/>
  <c r="KU177" i="1"/>
  <c r="KU199" i="1"/>
  <c r="KU106" i="1"/>
  <c r="KU203" i="1"/>
  <c r="KU124" i="1"/>
  <c r="KU170" i="1"/>
  <c r="KU152" i="1"/>
  <c r="KU118" i="1"/>
  <c r="KU198" i="1"/>
  <c r="KU200" i="1"/>
  <c r="KU136" i="1"/>
  <c r="KU108" i="1"/>
  <c r="KU149" i="1"/>
  <c r="KU187" i="1"/>
  <c r="KU168" i="1"/>
  <c r="KU162" i="1"/>
  <c r="KU139" i="1"/>
  <c r="KU196" i="1"/>
  <c r="KU153" i="1"/>
  <c r="KU197" i="1"/>
  <c r="KU176" i="1"/>
  <c r="KU202" i="1"/>
  <c r="KU167" i="1"/>
  <c r="KU207" i="1"/>
  <c r="KU192" i="1"/>
  <c r="KT3" i="1"/>
  <c r="KT2" i="1"/>
  <c r="KT43" i="1"/>
  <c r="KT71" i="1"/>
  <c r="KT7" i="1"/>
  <c r="KT164" i="1"/>
  <c r="KT4" i="1"/>
  <c r="KT99" i="1"/>
  <c r="KT6" i="1"/>
  <c r="KT8" i="1"/>
  <c r="KT10" i="1"/>
  <c r="KT9" i="1"/>
  <c r="KT127" i="1"/>
  <c r="KT11" i="1"/>
  <c r="KT44" i="1"/>
  <c r="KT39" i="1"/>
  <c r="KT45" i="1"/>
  <c r="KT16" i="1"/>
  <c r="KT12" i="1"/>
  <c r="KT48" i="1"/>
  <c r="KT54" i="1"/>
  <c r="KT47" i="1"/>
  <c r="KT20" i="1"/>
  <c r="KT50" i="1"/>
  <c r="KT22" i="1"/>
  <c r="KT49" i="1"/>
  <c r="KT13" i="1"/>
  <c r="KT26" i="1"/>
  <c r="KT52" i="1"/>
  <c r="KT46" i="1"/>
  <c r="KT72" i="1"/>
  <c r="KT5" i="1"/>
  <c r="KT18" i="1"/>
  <c r="KT23" i="1"/>
  <c r="KT15" i="1"/>
  <c r="KT14" i="1"/>
  <c r="KT59" i="1"/>
  <c r="KT38" i="1"/>
  <c r="KT21" i="1"/>
  <c r="KT27" i="1"/>
  <c r="KT17" i="1"/>
  <c r="KT68" i="1"/>
  <c r="KT121" i="1"/>
  <c r="KT24" i="1"/>
  <c r="KT30" i="1"/>
  <c r="KT40" i="1"/>
  <c r="KT35" i="1"/>
  <c r="KT29" i="1"/>
  <c r="KT37" i="1"/>
  <c r="KT28" i="1"/>
  <c r="KT19" i="1"/>
  <c r="KT33" i="1"/>
  <c r="KT109" i="1"/>
  <c r="KT64" i="1"/>
  <c r="KT63" i="1"/>
  <c r="KT77" i="1"/>
  <c r="KT115" i="1"/>
  <c r="KT31" i="1"/>
  <c r="KT41" i="1"/>
  <c r="KT191" i="1"/>
  <c r="KT85" i="1"/>
  <c r="KT62" i="1"/>
  <c r="KT36" i="1"/>
  <c r="KT32" i="1"/>
  <c r="KT34" i="1"/>
  <c r="KT93" i="1"/>
  <c r="KT117" i="1"/>
  <c r="KT154" i="1"/>
  <c r="KT107" i="1"/>
  <c r="KT98" i="1"/>
  <c r="KT138" i="1"/>
  <c r="KT75" i="1"/>
  <c r="KT122" i="1"/>
  <c r="KT84" i="1"/>
  <c r="KT116" i="1"/>
  <c r="KT186" i="1"/>
  <c r="KT89" i="1"/>
  <c r="KT70" i="1"/>
  <c r="KT61" i="1"/>
  <c r="KT74" i="1"/>
  <c r="KT88" i="1"/>
  <c r="KT73" i="1"/>
  <c r="KT111" i="1"/>
  <c r="KT87" i="1"/>
  <c r="KT82" i="1"/>
  <c r="KT53" i="1"/>
  <c r="KT175" i="1"/>
  <c r="KT55" i="1"/>
  <c r="KT51" i="1"/>
  <c r="KT157" i="1"/>
  <c r="KT158" i="1"/>
  <c r="KT83" i="1"/>
  <c r="KT91" i="1"/>
  <c r="KT105" i="1"/>
  <c r="KT103" i="1"/>
  <c r="KT188" i="1"/>
  <c r="KT163" i="1"/>
  <c r="KT101" i="1"/>
  <c r="KT65" i="1"/>
  <c r="KT60" i="1"/>
  <c r="KT80" i="1"/>
  <c r="KT56" i="1"/>
  <c r="KT57" i="1"/>
  <c r="KT25" i="1"/>
  <c r="KT104" i="1"/>
  <c r="KT66" i="1"/>
  <c r="KT58" i="1"/>
  <c r="KT155" i="1"/>
  <c r="KT156" i="1"/>
  <c r="KT134" i="1"/>
  <c r="KT92" i="1"/>
  <c r="KT67" i="1"/>
  <c r="KT126" i="1"/>
  <c r="KT145" i="1"/>
  <c r="KT135" i="1"/>
  <c r="KT159" i="1"/>
  <c r="KT76" i="1"/>
  <c r="KT114" i="1"/>
  <c r="KT161" i="1"/>
  <c r="KT160" i="1"/>
  <c r="KT95" i="1"/>
  <c r="KT120" i="1"/>
  <c r="KT42" i="1"/>
  <c r="KT183" i="1"/>
  <c r="KT112" i="1"/>
  <c r="KT148" i="1"/>
  <c r="KT179" i="1"/>
  <c r="KT128" i="1"/>
  <c r="KT144" i="1"/>
  <c r="KT110" i="1"/>
  <c r="KT81" i="1"/>
  <c r="KT100" i="1"/>
  <c r="KT123" i="1"/>
  <c r="KT86" i="1"/>
  <c r="KT174" i="1"/>
  <c r="KT201" i="1"/>
  <c r="KT90" i="1"/>
  <c r="KT102" i="1"/>
  <c r="KT94" i="1"/>
  <c r="KT119" i="1"/>
  <c r="KT141" i="1"/>
  <c r="KT147" i="1"/>
  <c r="KT165" i="1"/>
  <c r="KT132" i="1"/>
  <c r="KT189" i="1"/>
  <c r="KT133" i="1"/>
  <c r="KT206" i="1"/>
  <c r="KT78" i="1"/>
  <c r="KT143" i="1"/>
  <c r="KT150" i="1"/>
  <c r="KT130" i="1"/>
  <c r="KT96" i="1"/>
  <c r="KT182" i="1"/>
  <c r="KT195" i="1"/>
  <c r="KT178" i="1"/>
  <c r="KT181" i="1"/>
  <c r="KT194" i="1"/>
  <c r="KT208" i="1"/>
  <c r="KT129" i="1"/>
  <c r="KT180" i="1"/>
  <c r="KT140" i="1"/>
  <c r="KT125" i="1"/>
  <c r="KT131" i="1"/>
  <c r="KT173" i="1"/>
  <c r="KT184" i="1"/>
  <c r="KT190" i="1"/>
  <c r="KT142" i="1"/>
  <c r="KT69" i="1"/>
  <c r="KT151" i="1"/>
  <c r="KT193" i="1"/>
  <c r="KT169" i="1"/>
  <c r="KT166" i="1"/>
  <c r="KT97" i="1"/>
  <c r="KT79" i="1"/>
  <c r="KT146" i="1"/>
  <c r="KT204" i="1"/>
  <c r="KT113" i="1"/>
  <c r="KT172" i="1"/>
  <c r="KT171" i="1"/>
  <c r="KT185" i="1"/>
  <c r="KT137" i="1"/>
  <c r="KT205" i="1"/>
  <c r="KT177" i="1"/>
  <c r="KT199" i="1"/>
  <c r="KT106" i="1"/>
  <c r="KT203" i="1"/>
  <c r="KT124" i="1"/>
  <c r="KT170" i="1"/>
  <c r="KT152" i="1"/>
  <c r="KT118" i="1"/>
  <c r="KT198" i="1"/>
  <c r="KT200" i="1"/>
  <c r="KT136" i="1"/>
  <c r="KT108" i="1"/>
  <c r="KT149" i="1"/>
  <c r="KT187" i="1"/>
  <c r="KT168" i="1"/>
  <c r="KT162" i="1"/>
  <c r="KT139" i="1"/>
  <c r="KT196" i="1"/>
  <c r="KT153" i="1"/>
  <c r="KT197" i="1"/>
  <c r="KT176" i="1"/>
  <c r="KT202" i="1"/>
  <c r="KT167" i="1"/>
  <c r="KT207" i="1"/>
  <c r="KT192" i="1"/>
  <c r="KS3" i="1"/>
  <c r="KS2" i="1"/>
  <c r="KS43" i="1"/>
  <c r="KS71" i="1"/>
  <c r="KS7" i="1"/>
  <c r="KS164" i="1"/>
  <c r="KS4" i="1"/>
  <c r="KS99" i="1"/>
  <c r="KS6" i="1"/>
  <c r="KS8" i="1"/>
  <c r="KS10" i="1"/>
  <c r="KS9" i="1"/>
  <c r="KS127" i="1"/>
  <c r="KS11" i="1"/>
  <c r="KS44" i="1"/>
  <c r="KS39" i="1"/>
  <c r="KS45" i="1"/>
  <c r="KS16" i="1"/>
  <c r="KS12" i="1"/>
  <c r="KS48" i="1"/>
  <c r="KS54" i="1"/>
  <c r="KS47" i="1"/>
  <c r="KS20" i="1"/>
  <c r="KS50" i="1"/>
  <c r="KS22" i="1"/>
  <c r="KS49" i="1"/>
  <c r="KS13" i="1"/>
  <c r="KS26" i="1"/>
  <c r="KS52" i="1"/>
  <c r="KS46" i="1"/>
  <c r="KS72" i="1"/>
  <c r="KS5" i="1"/>
  <c r="KS18" i="1"/>
  <c r="KS23" i="1"/>
  <c r="KS15" i="1"/>
  <c r="KS14" i="1"/>
  <c r="KS59" i="1"/>
  <c r="KS38" i="1"/>
  <c r="KS21" i="1"/>
  <c r="KS27" i="1"/>
  <c r="KS17" i="1"/>
  <c r="KS68" i="1"/>
  <c r="KS121" i="1"/>
  <c r="KS24" i="1"/>
  <c r="KS30" i="1"/>
  <c r="KS40" i="1"/>
  <c r="KS35" i="1"/>
  <c r="KS29" i="1"/>
  <c r="KS37" i="1"/>
  <c r="KS28" i="1"/>
  <c r="KS19" i="1"/>
  <c r="KS33" i="1"/>
  <c r="KS109" i="1"/>
  <c r="KS64" i="1"/>
  <c r="KS63" i="1"/>
  <c r="KS77" i="1"/>
  <c r="KS115" i="1"/>
  <c r="KS31" i="1"/>
  <c r="KS41" i="1"/>
  <c r="KS191" i="1"/>
  <c r="KS85" i="1"/>
  <c r="KS62" i="1"/>
  <c r="KS36" i="1"/>
  <c r="KS32" i="1"/>
  <c r="KS34" i="1"/>
  <c r="KS93" i="1"/>
  <c r="KS117" i="1"/>
  <c r="KS154" i="1"/>
  <c r="KS107" i="1"/>
  <c r="KS98" i="1"/>
  <c r="KS138" i="1"/>
  <c r="KS75" i="1"/>
  <c r="KS122" i="1"/>
  <c r="KS84" i="1"/>
  <c r="KS116" i="1"/>
  <c r="KS186" i="1"/>
  <c r="KS89" i="1"/>
  <c r="KS70" i="1"/>
  <c r="KS61" i="1"/>
  <c r="KS74" i="1"/>
  <c r="KS88" i="1"/>
  <c r="KS73" i="1"/>
  <c r="KS111" i="1"/>
  <c r="KS87" i="1"/>
  <c r="KS82" i="1"/>
  <c r="KS53" i="1"/>
  <c r="KS175" i="1"/>
  <c r="KS55" i="1"/>
  <c r="KS51" i="1"/>
  <c r="KS157" i="1"/>
  <c r="KS158" i="1"/>
  <c r="KS83" i="1"/>
  <c r="KS91" i="1"/>
  <c r="KS105" i="1"/>
  <c r="KS103" i="1"/>
  <c r="KS188" i="1"/>
  <c r="KS163" i="1"/>
  <c r="KS101" i="1"/>
  <c r="KS65" i="1"/>
  <c r="KS60" i="1"/>
  <c r="KS80" i="1"/>
  <c r="KS56" i="1"/>
  <c r="KS57" i="1"/>
  <c r="KS25" i="1"/>
  <c r="KS104" i="1"/>
  <c r="KS66" i="1"/>
  <c r="KS58" i="1"/>
  <c r="KS155" i="1"/>
  <c r="KS156" i="1"/>
  <c r="KS134" i="1"/>
  <c r="KS92" i="1"/>
  <c r="KS67" i="1"/>
  <c r="KS126" i="1"/>
  <c r="KS145" i="1"/>
  <c r="KS135" i="1"/>
  <c r="KS159" i="1"/>
  <c r="KS76" i="1"/>
  <c r="KS114" i="1"/>
  <c r="KS161" i="1"/>
  <c r="KS160" i="1"/>
  <c r="KS95" i="1"/>
  <c r="KS120" i="1"/>
  <c r="KS42" i="1"/>
  <c r="KS183" i="1"/>
  <c r="KS112" i="1"/>
  <c r="KS148" i="1"/>
  <c r="KS179" i="1"/>
  <c r="KS128" i="1"/>
  <c r="KS144" i="1"/>
  <c r="KS110" i="1"/>
  <c r="KS81" i="1"/>
  <c r="KS100" i="1"/>
  <c r="KS123" i="1"/>
  <c r="KS86" i="1"/>
  <c r="KS174" i="1"/>
  <c r="KS201" i="1"/>
  <c r="KS90" i="1"/>
  <c r="KS102" i="1"/>
  <c r="KS94" i="1"/>
  <c r="KS119" i="1"/>
  <c r="KS141" i="1"/>
  <c r="KS147" i="1"/>
  <c r="KS165" i="1"/>
  <c r="KS132" i="1"/>
  <c r="KS189" i="1"/>
  <c r="KS133" i="1"/>
  <c r="KS206" i="1"/>
  <c r="KS78" i="1"/>
  <c r="KS143" i="1"/>
  <c r="KS150" i="1"/>
  <c r="KS130" i="1"/>
  <c r="KS96" i="1"/>
  <c r="KS182" i="1"/>
  <c r="KS195" i="1"/>
  <c r="KS178" i="1"/>
  <c r="KS181" i="1"/>
  <c r="KS194" i="1"/>
  <c r="KS208" i="1"/>
  <c r="KS129" i="1"/>
  <c r="KS180" i="1"/>
  <c r="KS140" i="1"/>
  <c r="KS125" i="1"/>
  <c r="KS131" i="1"/>
  <c r="KS173" i="1"/>
  <c r="KS184" i="1"/>
  <c r="KS190" i="1"/>
  <c r="KS142" i="1"/>
  <c r="KS69" i="1"/>
  <c r="KS151" i="1"/>
  <c r="KS193" i="1"/>
  <c r="KS169" i="1"/>
  <c r="KS166" i="1"/>
  <c r="KS97" i="1"/>
  <c r="KS79" i="1"/>
  <c r="KS146" i="1"/>
  <c r="KS204" i="1"/>
  <c r="KS113" i="1"/>
  <c r="KS172" i="1"/>
  <c r="KS171" i="1"/>
  <c r="KS185" i="1"/>
  <c r="KS137" i="1"/>
  <c r="KS205" i="1"/>
  <c r="KS177" i="1"/>
  <c r="KS199" i="1"/>
  <c r="KS106" i="1"/>
  <c r="KS203" i="1"/>
  <c r="KS124" i="1"/>
  <c r="KS170" i="1"/>
  <c r="KS152" i="1"/>
  <c r="KS118" i="1"/>
  <c r="KS198" i="1"/>
  <c r="KS200" i="1"/>
  <c r="KS136" i="1"/>
  <c r="KS108" i="1"/>
  <c r="KS149" i="1"/>
  <c r="KS187" i="1"/>
  <c r="KS168" i="1"/>
  <c r="KS162" i="1"/>
  <c r="KS139" i="1"/>
  <c r="KS196" i="1"/>
  <c r="KS153" i="1"/>
  <c r="KS197" i="1"/>
  <c r="KS176" i="1"/>
  <c r="KS202" i="1"/>
  <c r="KS167" i="1"/>
  <c r="KS207" i="1"/>
  <c r="KS192" i="1"/>
  <c r="KR3" i="1"/>
  <c r="KR2" i="1"/>
  <c r="KR43" i="1"/>
  <c r="KR71" i="1"/>
  <c r="KR7" i="1"/>
  <c r="KR164" i="1"/>
  <c r="KR4" i="1"/>
  <c r="KR99" i="1"/>
  <c r="KR6" i="1"/>
  <c r="KR8" i="1"/>
  <c r="KR10" i="1"/>
  <c r="KR9" i="1"/>
  <c r="KR127" i="1"/>
  <c r="KR11" i="1"/>
  <c r="KR44" i="1"/>
  <c r="KR39" i="1"/>
  <c r="KR45" i="1"/>
  <c r="KR16" i="1"/>
  <c r="KR12" i="1"/>
  <c r="KR48" i="1"/>
  <c r="KR54" i="1"/>
  <c r="KR47" i="1"/>
  <c r="KR20" i="1"/>
  <c r="KR50" i="1"/>
  <c r="KR22" i="1"/>
  <c r="KR49" i="1"/>
  <c r="KR13" i="1"/>
  <c r="KR26" i="1"/>
  <c r="KR52" i="1"/>
  <c r="KR46" i="1"/>
  <c r="KR72" i="1"/>
  <c r="KR5" i="1"/>
  <c r="KR18" i="1"/>
  <c r="KR23" i="1"/>
  <c r="KR15" i="1"/>
  <c r="KR14" i="1"/>
  <c r="KR59" i="1"/>
  <c r="KR38" i="1"/>
  <c r="KR21" i="1"/>
  <c r="KR27" i="1"/>
  <c r="KR17" i="1"/>
  <c r="KR68" i="1"/>
  <c r="KR121" i="1"/>
  <c r="KR24" i="1"/>
  <c r="KR30" i="1"/>
  <c r="KR40" i="1"/>
  <c r="KR35" i="1"/>
  <c r="KR29" i="1"/>
  <c r="KR37" i="1"/>
  <c r="KR28" i="1"/>
  <c r="KR19" i="1"/>
  <c r="KR33" i="1"/>
  <c r="KR109" i="1"/>
  <c r="KR64" i="1"/>
  <c r="KR63" i="1"/>
  <c r="KR77" i="1"/>
  <c r="KR115" i="1"/>
  <c r="KR31" i="1"/>
  <c r="KR41" i="1"/>
  <c r="KR191" i="1"/>
  <c r="KR85" i="1"/>
  <c r="KR62" i="1"/>
  <c r="KR36" i="1"/>
  <c r="KR32" i="1"/>
  <c r="KR34" i="1"/>
  <c r="KR93" i="1"/>
  <c r="KR117" i="1"/>
  <c r="KR154" i="1"/>
  <c r="KR107" i="1"/>
  <c r="KR98" i="1"/>
  <c r="KR138" i="1"/>
  <c r="KR75" i="1"/>
  <c r="KR122" i="1"/>
  <c r="KR84" i="1"/>
  <c r="KR116" i="1"/>
  <c r="KR186" i="1"/>
  <c r="KR89" i="1"/>
  <c r="KR70" i="1"/>
  <c r="KR61" i="1"/>
  <c r="KR74" i="1"/>
  <c r="KR88" i="1"/>
  <c r="KR73" i="1"/>
  <c r="KR111" i="1"/>
  <c r="KR87" i="1"/>
  <c r="KR82" i="1"/>
  <c r="KR53" i="1"/>
  <c r="KR175" i="1"/>
  <c r="KR55" i="1"/>
  <c r="KR51" i="1"/>
  <c r="KR157" i="1"/>
  <c r="KR158" i="1"/>
  <c r="KR83" i="1"/>
  <c r="KR91" i="1"/>
  <c r="KR105" i="1"/>
  <c r="KR103" i="1"/>
  <c r="KR188" i="1"/>
  <c r="KR163" i="1"/>
  <c r="KR101" i="1"/>
  <c r="KR65" i="1"/>
  <c r="KR60" i="1"/>
  <c r="KR80" i="1"/>
  <c r="KR56" i="1"/>
  <c r="KR57" i="1"/>
  <c r="KR25" i="1"/>
  <c r="KR104" i="1"/>
  <c r="KR66" i="1"/>
  <c r="KR58" i="1"/>
  <c r="KR155" i="1"/>
  <c r="KR156" i="1"/>
  <c r="KR134" i="1"/>
  <c r="KR92" i="1"/>
  <c r="KR67" i="1"/>
  <c r="KR126" i="1"/>
  <c r="KR145" i="1"/>
  <c r="KR135" i="1"/>
  <c r="KR159" i="1"/>
  <c r="KR76" i="1"/>
  <c r="KR114" i="1"/>
  <c r="KR161" i="1"/>
  <c r="KR160" i="1"/>
  <c r="KR95" i="1"/>
  <c r="KR120" i="1"/>
  <c r="KR42" i="1"/>
  <c r="KR183" i="1"/>
  <c r="KR112" i="1"/>
  <c r="KR148" i="1"/>
  <c r="KR179" i="1"/>
  <c r="KR128" i="1"/>
  <c r="KR144" i="1"/>
  <c r="KR110" i="1"/>
  <c r="KR81" i="1"/>
  <c r="KR100" i="1"/>
  <c r="KR123" i="1"/>
  <c r="KR86" i="1"/>
  <c r="KR174" i="1"/>
  <c r="KR201" i="1"/>
  <c r="KR90" i="1"/>
  <c r="KR102" i="1"/>
  <c r="KR94" i="1"/>
  <c r="KR119" i="1"/>
  <c r="KR141" i="1"/>
  <c r="KR147" i="1"/>
  <c r="KR165" i="1"/>
  <c r="KR132" i="1"/>
  <c r="KR189" i="1"/>
  <c r="KR133" i="1"/>
  <c r="KR206" i="1"/>
  <c r="KR78" i="1"/>
  <c r="KR143" i="1"/>
  <c r="KR150" i="1"/>
  <c r="KR130" i="1"/>
  <c r="KR96" i="1"/>
  <c r="KR182" i="1"/>
  <c r="KR195" i="1"/>
  <c r="KR178" i="1"/>
  <c r="KR181" i="1"/>
  <c r="KR194" i="1"/>
  <c r="KR208" i="1"/>
  <c r="KR129" i="1"/>
  <c r="KR180" i="1"/>
  <c r="KR140" i="1"/>
  <c r="KR125" i="1"/>
  <c r="KR131" i="1"/>
  <c r="KR173" i="1"/>
  <c r="KR184" i="1"/>
  <c r="KR190" i="1"/>
  <c r="KR142" i="1"/>
  <c r="KR69" i="1"/>
  <c r="KR151" i="1"/>
  <c r="KR193" i="1"/>
  <c r="KR169" i="1"/>
  <c r="KR166" i="1"/>
  <c r="KR97" i="1"/>
  <c r="KR79" i="1"/>
  <c r="KR146" i="1"/>
  <c r="KR204" i="1"/>
  <c r="KR113" i="1"/>
  <c r="KR172" i="1"/>
  <c r="KR171" i="1"/>
  <c r="KR185" i="1"/>
  <c r="KR137" i="1"/>
  <c r="KR205" i="1"/>
  <c r="KR177" i="1"/>
  <c r="KR199" i="1"/>
  <c r="KR106" i="1"/>
  <c r="KR203" i="1"/>
  <c r="KR124" i="1"/>
  <c r="KR170" i="1"/>
  <c r="KR152" i="1"/>
  <c r="KR118" i="1"/>
  <c r="KR198" i="1"/>
  <c r="KR200" i="1"/>
  <c r="KR136" i="1"/>
  <c r="KR108" i="1"/>
  <c r="KR149" i="1"/>
  <c r="KR187" i="1"/>
  <c r="KR168" i="1"/>
  <c r="KR162" i="1"/>
  <c r="KR139" i="1"/>
  <c r="KR196" i="1"/>
  <c r="KR153" i="1"/>
  <c r="KR197" i="1"/>
  <c r="KR176" i="1"/>
  <c r="KR202" i="1"/>
  <c r="KR167" i="1"/>
  <c r="KR207" i="1"/>
  <c r="KR192" i="1"/>
  <c r="KQ3" i="1"/>
  <c r="KQ2" i="1"/>
  <c r="KQ43" i="1"/>
  <c r="KQ71" i="1"/>
  <c r="KQ7" i="1"/>
  <c r="KQ164" i="1"/>
  <c r="KQ4" i="1"/>
  <c r="KQ99" i="1"/>
  <c r="KQ6" i="1"/>
  <c r="KQ8" i="1"/>
  <c r="KQ10" i="1"/>
  <c r="KQ9" i="1"/>
  <c r="KQ127" i="1"/>
  <c r="KQ11" i="1"/>
  <c r="KQ44" i="1"/>
  <c r="KQ39" i="1"/>
  <c r="KQ45" i="1"/>
  <c r="KQ16" i="1"/>
  <c r="KQ12" i="1"/>
  <c r="KQ48" i="1"/>
  <c r="KQ54" i="1"/>
  <c r="KQ47" i="1"/>
  <c r="KQ20" i="1"/>
  <c r="KQ50" i="1"/>
  <c r="KQ22" i="1"/>
  <c r="KQ49" i="1"/>
  <c r="KQ13" i="1"/>
  <c r="KQ26" i="1"/>
  <c r="KQ52" i="1"/>
  <c r="KQ46" i="1"/>
  <c r="KQ72" i="1"/>
  <c r="KQ5" i="1"/>
  <c r="KQ18" i="1"/>
  <c r="KQ23" i="1"/>
  <c r="KQ15" i="1"/>
  <c r="KQ14" i="1"/>
  <c r="KQ59" i="1"/>
  <c r="KQ38" i="1"/>
  <c r="KQ21" i="1"/>
  <c r="KQ27" i="1"/>
  <c r="KQ17" i="1"/>
  <c r="KQ68" i="1"/>
  <c r="KQ121" i="1"/>
  <c r="KQ24" i="1"/>
  <c r="KQ30" i="1"/>
  <c r="KQ40" i="1"/>
  <c r="KQ35" i="1"/>
  <c r="KQ29" i="1"/>
  <c r="KQ37" i="1"/>
  <c r="KQ28" i="1"/>
  <c r="KQ19" i="1"/>
  <c r="KQ33" i="1"/>
  <c r="KQ109" i="1"/>
  <c r="KQ64" i="1"/>
  <c r="KQ63" i="1"/>
  <c r="KQ77" i="1"/>
  <c r="KQ115" i="1"/>
  <c r="KQ31" i="1"/>
  <c r="KQ41" i="1"/>
  <c r="KQ191" i="1"/>
  <c r="KQ85" i="1"/>
  <c r="KQ62" i="1"/>
  <c r="KQ36" i="1"/>
  <c r="KQ32" i="1"/>
  <c r="KQ34" i="1"/>
  <c r="KQ93" i="1"/>
  <c r="KQ117" i="1"/>
  <c r="KQ154" i="1"/>
  <c r="KQ107" i="1"/>
  <c r="KQ98" i="1"/>
  <c r="KQ138" i="1"/>
  <c r="KQ75" i="1"/>
  <c r="KQ122" i="1"/>
  <c r="KQ84" i="1"/>
  <c r="KQ116" i="1"/>
  <c r="KQ186" i="1"/>
  <c r="KQ89" i="1"/>
  <c r="KQ70" i="1"/>
  <c r="KQ61" i="1"/>
  <c r="KQ74" i="1"/>
  <c r="KQ88" i="1"/>
  <c r="KQ73" i="1"/>
  <c r="KQ111" i="1"/>
  <c r="KQ87" i="1"/>
  <c r="KQ82" i="1"/>
  <c r="KQ53" i="1"/>
  <c r="KQ175" i="1"/>
  <c r="KQ55" i="1"/>
  <c r="KQ51" i="1"/>
  <c r="KQ157" i="1"/>
  <c r="KQ158" i="1"/>
  <c r="KQ83" i="1"/>
  <c r="KQ91" i="1"/>
  <c r="KQ105" i="1"/>
  <c r="KQ103" i="1"/>
  <c r="KQ188" i="1"/>
  <c r="KQ163" i="1"/>
  <c r="KQ101" i="1"/>
  <c r="KQ65" i="1"/>
  <c r="KQ60" i="1"/>
  <c r="KQ80" i="1"/>
  <c r="KQ56" i="1"/>
  <c r="KQ57" i="1"/>
  <c r="KQ25" i="1"/>
  <c r="KQ104" i="1"/>
  <c r="KQ66" i="1"/>
  <c r="KQ58" i="1"/>
  <c r="KQ155" i="1"/>
  <c r="KQ156" i="1"/>
  <c r="KQ134" i="1"/>
  <c r="KQ92" i="1"/>
  <c r="KQ67" i="1"/>
  <c r="KQ126" i="1"/>
  <c r="KQ145" i="1"/>
  <c r="KQ135" i="1"/>
  <c r="KQ159" i="1"/>
  <c r="KQ76" i="1"/>
  <c r="KQ114" i="1"/>
  <c r="KQ161" i="1"/>
  <c r="KQ160" i="1"/>
  <c r="KQ95" i="1"/>
  <c r="KQ120" i="1"/>
  <c r="KQ42" i="1"/>
  <c r="KQ183" i="1"/>
  <c r="KQ112" i="1"/>
  <c r="KQ148" i="1"/>
  <c r="KQ179" i="1"/>
  <c r="KQ128" i="1"/>
  <c r="KQ144" i="1"/>
  <c r="KQ110" i="1"/>
  <c r="KQ81" i="1"/>
  <c r="KQ100" i="1"/>
  <c r="KQ123" i="1"/>
  <c r="KQ86" i="1"/>
  <c r="KQ174" i="1"/>
  <c r="KQ201" i="1"/>
  <c r="KQ90" i="1"/>
  <c r="KQ102" i="1"/>
  <c r="KQ94" i="1"/>
  <c r="KQ119" i="1"/>
  <c r="KQ141" i="1"/>
  <c r="KQ147" i="1"/>
  <c r="KQ165" i="1"/>
  <c r="KQ132" i="1"/>
  <c r="KQ189" i="1"/>
  <c r="KQ133" i="1"/>
  <c r="KQ206" i="1"/>
  <c r="KQ78" i="1"/>
  <c r="KQ143" i="1"/>
  <c r="KQ150" i="1"/>
  <c r="KQ130" i="1"/>
  <c r="KQ96" i="1"/>
  <c r="KQ182" i="1"/>
  <c r="KQ195" i="1"/>
  <c r="KQ178" i="1"/>
  <c r="KQ181" i="1"/>
  <c r="KQ194" i="1"/>
  <c r="KQ208" i="1"/>
  <c r="KQ129" i="1"/>
  <c r="KQ180" i="1"/>
  <c r="KQ140" i="1"/>
  <c r="KQ125" i="1"/>
  <c r="KQ131" i="1"/>
  <c r="KQ173" i="1"/>
  <c r="KQ184" i="1"/>
  <c r="KQ190" i="1"/>
  <c r="KQ142" i="1"/>
  <c r="KQ69" i="1"/>
  <c r="KQ151" i="1"/>
  <c r="KQ193" i="1"/>
  <c r="KQ169" i="1"/>
  <c r="KQ166" i="1"/>
  <c r="KQ97" i="1"/>
  <c r="KQ79" i="1"/>
  <c r="KQ146" i="1"/>
  <c r="KQ204" i="1"/>
  <c r="KQ113" i="1"/>
  <c r="KQ172" i="1"/>
  <c r="KQ171" i="1"/>
  <c r="KQ185" i="1"/>
  <c r="KQ137" i="1"/>
  <c r="KQ205" i="1"/>
  <c r="KQ177" i="1"/>
  <c r="KQ199" i="1"/>
  <c r="KQ106" i="1"/>
  <c r="KQ203" i="1"/>
  <c r="KQ124" i="1"/>
  <c r="KQ170" i="1"/>
  <c r="KQ152" i="1"/>
  <c r="KQ118" i="1"/>
  <c r="KQ198" i="1"/>
  <c r="KQ200" i="1"/>
  <c r="KQ136" i="1"/>
  <c r="KQ108" i="1"/>
  <c r="KQ149" i="1"/>
  <c r="KQ187" i="1"/>
  <c r="KQ168" i="1"/>
  <c r="KQ162" i="1"/>
  <c r="KQ139" i="1"/>
  <c r="KQ196" i="1"/>
  <c r="KQ153" i="1"/>
  <c r="KQ197" i="1"/>
  <c r="KQ176" i="1"/>
  <c r="KQ202" i="1"/>
  <c r="KQ167" i="1"/>
  <c r="KQ207" i="1"/>
  <c r="KQ192" i="1"/>
  <c r="KP3" i="1"/>
  <c r="KP2" i="1"/>
  <c r="KP43" i="1"/>
  <c r="KP71" i="1"/>
  <c r="KP7" i="1"/>
  <c r="KP164" i="1"/>
  <c r="KP4" i="1"/>
  <c r="KP99" i="1"/>
  <c r="KP6" i="1"/>
  <c r="KP8" i="1"/>
  <c r="KP10" i="1"/>
  <c r="KP9" i="1"/>
  <c r="KP127" i="1"/>
  <c r="KP11" i="1"/>
  <c r="KP44" i="1"/>
  <c r="KP39" i="1"/>
  <c r="KP45" i="1"/>
  <c r="KP16" i="1"/>
  <c r="KP12" i="1"/>
  <c r="KP48" i="1"/>
  <c r="KP54" i="1"/>
  <c r="KP47" i="1"/>
  <c r="KP20" i="1"/>
  <c r="KP50" i="1"/>
  <c r="KP22" i="1"/>
  <c r="KP49" i="1"/>
  <c r="KP13" i="1"/>
  <c r="KP26" i="1"/>
  <c r="KP52" i="1"/>
  <c r="KP46" i="1"/>
  <c r="KP72" i="1"/>
  <c r="KP5" i="1"/>
  <c r="KP18" i="1"/>
  <c r="KP23" i="1"/>
  <c r="KP15" i="1"/>
  <c r="KP14" i="1"/>
  <c r="KP59" i="1"/>
  <c r="KP38" i="1"/>
  <c r="KP21" i="1"/>
  <c r="KP27" i="1"/>
  <c r="KP17" i="1"/>
  <c r="KP68" i="1"/>
  <c r="KP121" i="1"/>
  <c r="KP24" i="1"/>
  <c r="KP30" i="1"/>
  <c r="KP40" i="1"/>
  <c r="KP35" i="1"/>
  <c r="KP29" i="1"/>
  <c r="KP37" i="1"/>
  <c r="KP28" i="1"/>
  <c r="KP19" i="1"/>
  <c r="KP33" i="1"/>
  <c r="KP109" i="1"/>
  <c r="KP64" i="1"/>
  <c r="KP63" i="1"/>
  <c r="KP77" i="1"/>
  <c r="KP115" i="1"/>
  <c r="KP31" i="1"/>
  <c r="KP41" i="1"/>
  <c r="KP191" i="1"/>
  <c r="KP85" i="1"/>
  <c r="KP62" i="1"/>
  <c r="KP36" i="1"/>
  <c r="KP32" i="1"/>
  <c r="KP34" i="1"/>
  <c r="KP93" i="1"/>
  <c r="KP117" i="1"/>
  <c r="KP154" i="1"/>
  <c r="KP107" i="1"/>
  <c r="KP98" i="1"/>
  <c r="KP138" i="1"/>
  <c r="KP75" i="1"/>
  <c r="KP122" i="1"/>
  <c r="KP84" i="1"/>
  <c r="KP116" i="1"/>
  <c r="KP186" i="1"/>
  <c r="KP89" i="1"/>
  <c r="KP70" i="1"/>
  <c r="KP61" i="1"/>
  <c r="KP74" i="1"/>
  <c r="KP88" i="1"/>
  <c r="KP73" i="1"/>
  <c r="KP111" i="1"/>
  <c r="KP87" i="1"/>
  <c r="KP82" i="1"/>
  <c r="KP53" i="1"/>
  <c r="KP175" i="1"/>
  <c r="KP55" i="1"/>
  <c r="KP51" i="1"/>
  <c r="KP157" i="1"/>
  <c r="KP158" i="1"/>
  <c r="KP83" i="1"/>
  <c r="KP91" i="1"/>
  <c r="KP105" i="1"/>
  <c r="KP103" i="1"/>
  <c r="KP188" i="1"/>
  <c r="KP163" i="1"/>
  <c r="KP101" i="1"/>
  <c r="KP65" i="1"/>
  <c r="KP60" i="1"/>
  <c r="KP80" i="1"/>
  <c r="KP56" i="1"/>
  <c r="KP57" i="1"/>
  <c r="KP25" i="1"/>
  <c r="KP104" i="1"/>
  <c r="KP66" i="1"/>
  <c r="KP58" i="1"/>
  <c r="KP155" i="1"/>
  <c r="KP156" i="1"/>
  <c r="KP134" i="1"/>
  <c r="KP92" i="1"/>
  <c r="KP67" i="1"/>
  <c r="KP126" i="1"/>
  <c r="KP145" i="1"/>
  <c r="KP135" i="1"/>
  <c r="KP159" i="1"/>
  <c r="KP76" i="1"/>
  <c r="KP114" i="1"/>
  <c r="KP161" i="1"/>
  <c r="KP160" i="1"/>
  <c r="KP95" i="1"/>
  <c r="KP120" i="1"/>
  <c r="KP42" i="1"/>
  <c r="KP183" i="1"/>
  <c r="KP112" i="1"/>
  <c r="KP148" i="1"/>
  <c r="KP179" i="1"/>
  <c r="KP128" i="1"/>
  <c r="KP144" i="1"/>
  <c r="KP110" i="1"/>
  <c r="KP81" i="1"/>
  <c r="KP100" i="1"/>
  <c r="KP123" i="1"/>
  <c r="KP86" i="1"/>
  <c r="KP174" i="1"/>
  <c r="KP201" i="1"/>
  <c r="KP90" i="1"/>
  <c r="KP102" i="1"/>
  <c r="KP94" i="1"/>
  <c r="KP119" i="1"/>
  <c r="KP141" i="1"/>
  <c r="KP147" i="1"/>
  <c r="KP165" i="1"/>
  <c r="KP132" i="1"/>
  <c r="KP189" i="1"/>
  <c r="KP133" i="1"/>
  <c r="KP206" i="1"/>
  <c r="KP78" i="1"/>
  <c r="KP143" i="1"/>
  <c r="KP150" i="1"/>
  <c r="KP130" i="1"/>
  <c r="KP96" i="1"/>
  <c r="KP182" i="1"/>
  <c r="KP195" i="1"/>
  <c r="KP178" i="1"/>
  <c r="KP181" i="1"/>
  <c r="KP194" i="1"/>
  <c r="KP208" i="1"/>
  <c r="KP129" i="1"/>
  <c r="KP180" i="1"/>
  <c r="KP140" i="1"/>
  <c r="KP125" i="1"/>
  <c r="KP131" i="1"/>
  <c r="KP173" i="1"/>
  <c r="KP184" i="1"/>
  <c r="KP190" i="1"/>
  <c r="KP142" i="1"/>
  <c r="KP69" i="1"/>
  <c r="KP151" i="1"/>
  <c r="KP193" i="1"/>
  <c r="KP169" i="1"/>
  <c r="KP166" i="1"/>
  <c r="KP97" i="1"/>
  <c r="KP79" i="1"/>
  <c r="KP146" i="1"/>
  <c r="KP204" i="1"/>
  <c r="KP113" i="1"/>
  <c r="KP172" i="1"/>
  <c r="KP171" i="1"/>
  <c r="KP185" i="1"/>
  <c r="KP137" i="1"/>
  <c r="KP205" i="1"/>
  <c r="KP177" i="1"/>
  <c r="KP199" i="1"/>
  <c r="KP106" i="1"/>
  <c r="KP203" i="1"/>
  <c r="KP124" i="1"/>
  <c r="KP170" i="1"/>
  <c r="KP152" i="1"/>
  <c r="KP118" i="1"/>
  <c r="KP198" i="1"/>
  <c r="KP200" i="1"/>
  <c r="KP136" i="1"/>
  <c r="KP108" i="1"/>
  <c r="KP149" i="1"/>
  <c r="KP187" i="1"/>
  <c r="KP168" i="1"/>
  <c r="KP162" i="1"/>
  <c r="KP139" i="1"/>
  <c r="KP196" i="1"/>
  <c r="KP153" i="1"/>
  <c r="KP197" i="1"/>
  <c r="KP176" i="1"/>
  <c r="KP202" i="1"/>
  <c r="KP167" i="1"/>
  <c r="KP207" i="1"/>
  <c r="KP192" i="1"/>
  <c r="KO3" i="1"/>
  <c r="KO2" i="1"/>
  <c r="KO43" i="1"/>
  <c r="KO71" i="1"/>
  <c r="KO7" i="1"/>
  <c r="KO164" i="1"/>
  <c r="KO4" i="1"/>
  <c r="KO99" i="1"/>
  <c r="KO6" i="1"/>
  <c r="KO8" i="1"/>
  <c r="KO10" i="1"/>
  <c r="KO9" i="1"/>
  <c r="KO127" i="1"/>
  <c r="KO11" i="1"/>
  <c r="KO44" i="1"/>
  <c r="KO39" i="1"/>
  <c r="KO45" i="1"/>
  <c r="KO16" i="1"/>
  <c r="KO12" i="1"/>
  <c r="KO48" i="1"/>
  <c r="KO54" i="1"/>
  <c r="KO47" i="1"/>
  <c r="KO20" i="1"/>
  <c r="KO50" i="1"/>
  <c r="KO22" i="1"/>
  <c r="KO49" i="1"/>
  <c r="KO13" i="1"/>
  <c r="KO26" i="1"/>
  <c r="KO52" i="1"/>
  <c r="KO46" i="1"/>
  <c r="KO72" i="1"/>
  <c r="KO5" i="1"/>
  <c r="KO18" i="1"/>
  <c r="KO23" i="1"/>
  <c r="KO15" i="1"/>
  <c r="KO14" i="1"/>
  <c r="KO59" i="1"/>
  <c r="KO38" i="1"/>
  <c r="KO21" i="1"/>
  <c r="KO27" i="1"/>
  <c r="KO17" i="1"/>
  <c r="KO68" i="1"/>
  <c r="KO121" i="1"/>
  <c r="KO24" i="1"/>
  <c r="KO30" i="1"/>
  <c r="KO40" i="1"/>
  <c r="KO35" i="1"/>
  <c r="KO29" i="1"/>
  <c r="KO37" i="1"/>
  <c r="KO28" i="1"/>
  <c r="KO19" i="1"/>
  <c r="KO33" i="1"/>
  <c r="KO109" i="1"/>
  <c r="KO64" i="1"/>
  <c r="KO63" i="1"/>
  <c r="KO77" i="1"/>
  <c r="KO115" i="1"/>
  <c r="KO31" i="1"/>
  <c r="KO41" i="1"/>
  <c r="KO191" i="1"/>
  <c r="KO85" i="1"/>
  <c r="KO62" i="1"/>
  <c r="KO36" i="1"/>
  <c r="KO32" i="1"/>
  <c r="KO34" i="1"/>
  <c r="KO93" i="1"/>
  <c r="KO117" i="1"/>
  <c r="KO154" i="1"/>
  <c r="KO107" i="1"/>
  <c r="KO98" i="1"/>
  <c r="KO138" i="1"/>
  <c r="KO75" i="1"/>
  <c r="KO122" i="1"/>
  <c r="KO84" i="1"/>
  <c r="KO116" i="1"/>
  <c r="KO186" i="1"/>
  <c r="KO89" i="1"/>
  <c r="KO70" i="1"/>
  <c r="KO61" i="1"/>
  <c r="KO74" i="1"/>
  <c r="KO88" i="1"/>
  <c r="KO73" i="1"/>
  <c r="KO111" i="1"/>
  <c r="KO87" i="1"/>
  <c r="KO82" i="1"/>
  <c r="KO53" i="1"/>
  <c r="KO175" i="1"/>
  <c r="KO55" i="1"/>
  <c r="KO51" i="1"/>
  <c r="KO157" i="1"/>
  <c r="KO158" i="1"/>
  <c r="KO83" i="1"/>
  <c r="KO91" i="1"/>
  <c r="KO105" i="1"/>
  <c r="KO103" i="1"/>
  <c r="KO188" i="1"/>
  <c r="KO163" i="1"/>
  <c r="KO101" i="1"/>
  <c r="KO65" i="1"/>
  <c r="KO60" i="1"/>
  <c r="KO80" i="1"/>
  <c r="KO56" i="1"/>
  <c r="KO57" i="1"/>
  <c r="KO25" i="1"/>
  <c r="KO104" i="1"/>
  <c r="KO66" i="1"/>
  <c r="KO58" i="1"/>
  <c r="KO155" i="1"/>
  <c r="KO156" i="1"/>
  <c r="KO134" i="1"/>
  <c r="KO92" i="1"/>
  <c r="KO67" i="1"/>
  <c r="KO126" i="1"/>
  <c r="KO145" i="1"/>
  <c r="KO135" i="1"/>
  <c r="KO159" i="1"/>
  <c r="KO76" i="1"/>
  <c r="KO114" i="1"/>
  <c r="KO161" i="1"/>
  <c r="KO160" i="1"/>
  <c r="KO95" i="1"/>
  <c r="KO120" i="1"/>
  <c r="KO42" i="1"/>
  <c r="KO183" i="1"/>
  <c r="KO112" i="1"/>
  <c r="KO148" i="1"/>
  <c r="KO179" i="1"/>
  <c r="KO128" i="1"/>
  <c r="KO144" i="1"/>
  <c r="KO110" i="1"/>
  <c r="KO81" i="1"/>
  <c r="KO100" i="1"/>
  <c r="KO123" i="1"/>
  <c r="KO86" i="1"/>
  <c r="KO174" i="1"/>
  <c r="KO201" i="1"/>
  <c r="KO90" i="1"/>
  <c r="KO102" i="1"/>
  <c r="KO94" i="1"/>
  <c r="KO119" i="1"/>
  <c r="KO141" i="1"/>
  <c r="KO147" i="1"/>
  <c r="KO165" i="1"/>
  <c r="KO132" i="1"/>
  <c r="KO189" i="1"/>
  <c r="KO133" i="1"/>
  <c r="KO206" i="1"/>
  <c r="KO78" i="1"/>
  <c r="KO143" i="1"/>
  <c r="KO150" i="1"/>
  <c r="KO130" i="1"/>
  <c r="KO96" i="1"/>
  <c r="KO182" i="1"/>
  <c r="KO195" i="1"/>
  <c r="KO178" i="1"/>
  <c r="KO181" i="1"/>
  <c r="KO194" i="1"/>
  <c r="KO208" i="1"/>
  <c r="KO129" i="1"/>
  <c r="KO180" i="1"/>
  <c r="KO140" i="1"/>
  <c r="KO125" i="1"/>
  <c r="KO131" i="1"/>
  <c r="KO173" i="1"/>
  <c r="KO184" i="1"/>
  <c r="KO190" i="1"/>
  <c r="KO142" i="1"/>
  <c r="KO69" i="1"/>
  <c r="KO151" i="1"/>
  <c r="KO193" i="1"/>
  <c r="KO169" i="1"/>
  <c r="KO166" i="1"/>
  <c r="KO97" i="1"/>
  <c r="KO79" i="1"/>
  <c r="KO146" i="1"/>
  <c r="KO204" i="1"/>
  <c r="KO113" i="1"/>
  <c r="KO172" i="1"/>
  <c r="KO171" i="1"/>
  <c r="KO185" i="1"/>
  <c r="KO137" i="1"/>
  <c r="KO205" i="1"/>
  <c r="KO177" i="1"/>
  <c r="KO199" i="1"/>
  <c r="KO106" i="1"/>
  <c r="KO203" i="1"/>
  <c r="KO124" i="1"/>
  <c r="KO170" i="1"/>
  <c r="KO152" i="1"/>
  <c r="KO118" i="1"/>
  <c r="KO198" i="1"/>
  <c r="KO200" i="1"/>
  <c r="KO136" i="1"/>
  <c r="KO108" i="1"/>
  <c r="KO149" i="1"/>
  <c r="KO187" i="1"/>
  <c r="KO168" i="1"/>
  <c r="KO162" i="1"/>
  <c r="KO139" i="1"/>
  <c r="KO196" i="1"/>
  <c r="KO153" i="1"/>
  <c r="KO197" i="1"/>
  <c r="KO176" i="1"/>
  <c r="KO202" i="1"/>
  <c r="KO167" i="1"/>
  <c r="KO207" i="1"/>
  <c r="KO192" i="1"/>
  <c r="KN3" i="1"/>
  <c r="KN2" i="1"/>
  <c r="KN43" i="1"/>
  <c r="KN71" i="1"/>
  <c r="KN7" i="1"/>
  <c r="KN164" i="1"/>
  <c r="KN4" i="1"/>
  <c r="KN99" i="1"/>
  <c r="KN6" i="1"/>
  <c r="KN8" i="1"/>
  <c r="KN10" i="1"/>
  <c r="KN9" i="1"/>
  <c r="KN127" i="1"/>
  <c r="KN11" i="1"/>
  <c r="KN44" i="1"/>
  <c r="KN39" i="1"/>
  <c r="KN45" i="1"/>
  <c r="KN16" i="1"/>
  <c r="KN12" i="1"/>
  <c r="KN48" i="1"/>
  <c r="KN54" i="1"/>
  <c r="KN47" i="1"/>
  <c r="KN20" i="1"/>
  <c r="KN50" i="1"/>
  <c r="KN22" i="1"/>
  <c r="KN49" i="1"/>
  <c r="KN13" i="1"/>
  <c r="KN26" i="1"/>
  <c r="KN52" i="1"/>
  <c r="KN46" i="1"/>
  <c r="KN72" i="1"/>
  <c r="KN5" i="1"/>
  <c r="KN18" i="1"/>
  <c r="KN23" i="1"/>
  <c r="KN15" i="1"/>
  <c r="KN14" i="1"/>
  <c r="KN59" i="1"/>
  <c r="KN38" i="1"/>
  <c r="KN21" i="1"/>
  <c r="KN27" i="1"/>
  <c r="KN17" i="1"/>
  <c r="KN68" i="1"/>
  <c r="KN121" i="1"/>
  <c r="KN24" i="1"/>
  <c r="KN30" i="1"/>
  <c r="KN40" i="1"/>
  <c r="KN35" i="1"/>
  <c r="KN29" i="1"/>
  <c r="KN37" i="1"/>
  <c r="KN28" i="1"/>
  <c r="KN19" i="1"/>
  <c r="KN33" i="1"/>
  <c r="KN109" i="1"/>
  <c r="KN64" i="1"/>
  <c r="KN63" i="1"/>
  <c r="KN77" i="1"/>
  <c r="KN115" i="1"/>
  <c r="KN31" i="1"/>
  <c r="KN41" i="1"/>
  <c r="KN191" i="1"/>
  <c r="KN85" i="1"/>
  <c r="KN62" i="1"/>
  <c r="KN36" i="1"/>
  <c r="KN32" i="1"/>
  <c r="KN34" i="1"/>
  <c r="KN93" i="1"/>
  <c r="KN117" i="1"/>
  <c r="KN154" i="1"/>
  <c r="KN107" i="1"/>
  <c r="KN98" i="1"/>
  <c r="KN138" i="1"/>
  <c r="KN75" i="1"/>
  <c r="KN122" i="1"/>
  <c r="KN84" i="1"/>
  <c r="KN116" i="1"/>
  <c r="KN186" i="1"/>
  <c r="KN89" i="1"/>
  <c r="KN70" i="1"/>
  <c r="KN61" i="1"/>
  <c r="KN74" i="1"/>
  <c r="KN88" i="1"/>
  <c r="KN73" i="1"/>
  <c r="KN111" i="1"/>
  <c r="KN87" i="1"/>
  <c r="KN82" i="1"/>
  <c r="KN53" i="1"/>
  <c r="KN175" i="1"/>
  <c r="KN55" i="1"/>
  <c r="KN51" i="1"/>
  <c r="KN157" i="1"/>
  <c r="KN158" i="1"/>
  <c r="KN83" i="1"/>
  <c r="KN91" i="1"/>
  <c r="KN105" i="1"/>
  <c r="KN103" i="1"/>
  <c r="KN188" i="1"/>
  <c r="KN163" i="1"/>
  <c r="KN101" i="1"/>
  <c r="KN65" i="1"/>
  <c r="KN60" i="1"/>
  <c r="KN80" i="1"/>
  <c r="KN56" i="1"/>
  <c r="KN57" i="1"/>
  <c r="KN25" i="1"/>
  <c r="KN104" i="1"/>
  <c r="KN66" i="1"/>
  <c r="KN58" i="1"/>
  <c r="KN155" i="1"/>
  <c r="KN156" i="1"/>
  <c r="KN134" i="1"/>
  <c r="KN92" i="1"/>
  <c r="KN67" i="1"/>
  <c r="KN126" i="1"/>
  <c r="KN145" i="1"/>
  <c r="KN135" i="1"/>
  <c r="KN159" i="1"/>
  <c r="KN76" i="1"/>
  <c r="KN114" i="1"/>
  <c r="KN161" i="1"/>
  <c r="KN160" i="1"/>
  <c r="KN95" i="1"/>
  <c r="KN120" i="1"/>
  <c r="KN42" i="1"/>
  <c r="KN183" i="1"/>
  <c r="KN112" i="1"/>
  <c r="KN148" i="1"/>
  <c r="KN179" i="1"/>
  <c r="KN128" i="1"/>
  <c r="KN144" i="1"/>
  <c r="KN110" i="1"/>
  <c r="KN81" i="1"/>
  <c r="KN100" i="1"/>
  <c r="KN123" i="1"/>
  <c r="KN86" i="1"/>
  <c r="KN174" i="1"/>
  <c r="KN201" i="1"/>
  <c r="KN90" i="1"/>
  <c r="KN102" i="1"/>
  <c r="KN94" i="1"/>
  <c r="KN119" i="1"/>
  <c r="KN141" i="1"/>
  <c r="KN147" i="1"/>
  <c r="KN165" i="1"/>
  <c r="KN132" i="1"/>
  <c r="KN189" i="1"/>
  <c r="KN133" i="1"/>
  <c r="KN206" i="1"/>
  <c r="KN78" i="1"/>
  <c r="KN143" i="1"/>
  <c r="KN150" i="1"/>
  <c r="KN130" i="1"/>
  <c r="KN96" i="1"/>
  <c r="KN182" i="1"/>
  <c r="KN195" i="1"/>
  <c r="KN178" i="1"/>
  <c r="KN181" i="1"/>
  <c r="KN194" i="1"/>
  <c r="KN208" i="1"/>
  <c r="KN129" i="1"/>
  <c r="KN180" i="1"/>
  <c r="KN140" i="1"/>
  <c r="KN125" i="1"/>
  <c r="KN131" i="1"/>
  <c r="KN173" i="1"/>
  <c r="KN184" i="1"/>
  <c r="KN190" i="1"/>
  <c r="KN142" i="1"/>
  <c r="KN69" i="1"/>
  <c r="KN151" i="1"/>
  <c r="KN193" i="1"/>
  <c r="KN169" i="1"/>
  <c r="KN166" i="1"/>
  <c r="KN97" i="1"/>
  <c r="KN79" i="1"/>
  <c r="KN146" i="1"/>
  <c r="KN204" i="1"/>
  <c r="KN113" i="1"/>
  <c r="KN172" i="1"/>
  <c r="KN171" i="1"/>
  <c r="KN185" i="1"/>
  <c r="KN137" i="1"/>
  <c r="KN205" i="1"/>
  <c r="KN177" i="1"/>
  <c r="KN199" i="1"/>
  <c r="KN106" i="1"/>
  <c r="KN203" i="1"/>
  <c r="KN124" i="1"/>
  <c r="KN170" i="1"/>
  <c r="KN152" i="1"/>
  <c r="KN118" i="1"/>
  <c r="KN198" i="1"/>
  <c r="KN200" i="1"/>
  <c r="KN136" i="1"/>
  <c r="KN108" i="1"/>
  <c r="KN149" i="1"/>
  <c r="KN187" i="1"/>
  <c r="KN168" i="1"/>
  <c r="KN162" i="1"/>
  <c r="KN139" i="1"/>
  <c r="KN196" i="1"/>
  <c r="KN153" i="1"/>
  <c r="KN197" i="1"/>
  <c r="KN176" i="1"/>
  <c r="KN202" i="1"/>
  <c r="KN167" i="1"/>
  <c r="KN207" i="1"/>
  <c r="KN192" i="1"/>
  <c r="KM3" i="1"/>
  <c r="KM2" i="1"/>
  <c r="KM43" i="1"/>
  <c r="KM71" i="1"/>
  <c r="KM7" i="1"/>
  <c r="KM164" i="1"/>
  <c r="KM4" i="1"/>
  <c r="KM99" i="1"/>
  <c r="KM6" i="1"/>
  <c r="KM8" i="1"/>
  <c r="KM10" i="1"/>
  <c r="KM9" i="1"/>
  <c r="KM127" i="1"/>
  <c r="KM11" i="1"/>
  <c r="KM44" i="1"/>
  <c r="KM39" i="1"/>
  <c r="KM45" i="1"/>
  <c r="KM16" i="1"/>
  <c r="KM12" i="1"/>
  <c r="KM48" i="1"/>
  <c r="KM54" i="1"/>
  <c r="KM47" i="1"/>
  <c r="KM20" i="1"/>
  <c r="KM50" i="1"/>
  <c r="KM22" i="1"/>
  <c r="KM49" i="1"/>
  <c r="KM13" i="1"/>
  <c r="KM26" i="1"/>
  <c r="KM52" i="1"/>
  <c r="KM46" i="1"/>
  <c r="KM72" i="1"/>
  <c r="KM5" i="1"/>
  <c r="KM18" i="1"/>
  <c r="KM23" i="1"/>
  <c r="KM15" i="1"/>
  <c r="KM14" i="1"/>
  <c r="KM59" i="1"/>
  <c r="KM38" i="1"/>
  <c r="KM21" i="1"/>
  <c r="KM27" i="1"/>
  <c r="KM17" i="1"/>
  <c r="KM68" i="1"/>
  <c r="KM121" i="1"/>
  <c r="KM24" i="1"/>
  <c r="KM30" i="1"/>
  <c r="KM40" i="1"/>
  <c r="KM35" i="1"/>
  <c r="KM29" i="1"/>
  <c r="KM37" i="1"/>
  <c r="KM28" i="1"/>
  <c r="KM19" i="1"/>
  <c r="KM33" i="1"/>
  <c r="KM109" i="1"/>
  <c r="KM64" i="1"/>
  <c r="KM63" i="1"/>
  <c r="KM77" i="1"/>
  <c r="KM115" i="1"/>
  <c r="KM31" i="1"/>
  <c r="KM41" i="1"/>
  <c r="KM191" i="1"/>
  <c r="KM85" i="1"/>
  <c r="KM62" i="1"/>
  <c r="KM36" i="1"/>
  <c r="KM32" i="1"/>
  <c r="KM34" i="1"/>
  <c r="KM93" i="1"/>
  <c r="KM117" i="1"/>
  <c r="KM154" i="1"/>
  <c r="KM107" i="1"/>
  <c r="KM98" i="1"/>
  <c r="KM138" i="1"/>
  <c r="KM75" i="1"/>
  <c r="KM122" i="1"/>
  <c r="KM84" i="1"/>
  <c r="KM116" i="1"/>
  <c r="KM186" i="1"/>
  <c r="KM89" i="1"/>
  <c r="KM70" i="1"/>
  <c r="KM61" i="1"/>
  <c r="KM74" i="1"/>
  <c r="KM88" i="1"/>
  <c r="KM73" i="1"/>
  <c r="KM111" i="1"/>
  <c r="KM87" i="1"/>
  <c r="KM82" i="1"/>
  <c r="KM53" i="1"/>
  <c r="KM175" i="1"/>
  <c r="KM55" i="1"/>
  <c r="KM51" i="1"/>
  <c r="KM157" i="1"/>
  <c r="KM158" i="1"/>
  <c r="KM83" i="1"/>
  <c r="KM91" i="1"/>
  <c r="KM105" i="1"/>
  <c r="KM103" i="1"/>
  <c r="KM188" i="1"/>
  <c r="KM163" i="1"/>
  <c r="KM101" i="1"/>
  <c r="KM65" i="1"/>
  <c r="KM60" i="1"/>
  <c r="KM80" i="1"/>
  <c r="KM56" i="1"/>
  <c r="KM57" i="1"/>
  <c r="KM25" i="1"/>
  <c r="KM104" i="1"/>
  <c r="KM66" i="1"/>
  <c r="KM58" i="1"/>
  <c r="KM155" i="1"/>
  <c r="KM156" i="1"/>
  <c r="KM134" i="1"/>
  <c r="KM92" i="1"/>
  <c r="KM67" i="1"/>
  <c r="KM126" i="1"/>
  <c r="KM145" i="1"/>
  <c r="KM135" i="1"/>
  <c r="KM159" i="1"/>
  <c r="KM76" i="1"/>
  <c r="KM114" i="1"/>
  <c r="KM161" i="1"/>
  <c r="KM160" i="1"/>
  <c r="KM95" i="1"/>
  <c r="KM120" i="1"/>
  <c r="KM42" i="1"/>
  <c r="KM183" i="1"/>
  <c r="KM112" i="1"/>
  <c r="KM148" i="1"/>
  <c r="KM179" i="1"/>
  <c r="KM128" i="1"/>
  <c r="KM144" i="1"/>
  <c r="KM110" i="1"/>
  <c r="KM81" i="1"/>
  <c r="KM100" i="1"/>
  <c r="KM123" i="1"/>
  <c r="KM86" i="1"/>
  <c r="KM174" i="1"/>
  <c r="KM201" i="1"/>
  <c r="KM90" i="1"/>
  <c r="KM102" i="1"/>
  <c r="KM94" i="1"/>
  <c r="KM119" i="1"/>
  <c r="KM141" i="1"/>
  <c r="KM147" i="1"/>
  <c r="KM165" i="1"/>
  <c r="KM132" i="1"/>
  <c r="KM189" i="1"/>
  <c r="KM133" i="1"/>
  <c r="KM206" i="1"/>
  <c r="KM78" i="1"/>
  <c r="KM143" i="1"/>
  <c r="KM150" i="1"/>
  <c r="KM130" i="1"/>
  <c r="KM96" i="1"/>
  <c r="KM182" i="1"/>
  <c r="KM195" i="1"/>
  <c r="KM178" i="1"/>
  <c r="KM181" i="1"/>
  <c r="KM194" i="1"/>
  <c r="KM208" i="1"/>
  <c r="KM129" i="1"/>
  <c r="KM180" i="1"/>
  <c r="KM140" i="1"/>
  <c r="KM125" i="1"/>
  <c r="KM131" i="1"/>
  <c r="KM173" i="1"/>
  <c r="KM184" i="1"/>
  <c r="KM190" i="1"/>
  <c r="KM142" i="1"/>
  <c r="KM69" i="1"/>
  <c r="KM151" i="1"/>
  <c r="KM193" i="1"/>
  <c r="KM169" i="1"/>
  <c r="KM166" i="1"/>
  <c r="KM97" i="1"/>
  <c r="KM79" i="1"/>
  <c r="KM146" i="1"/>
  <c r="KM204" i="1"/>
  <c r="KM113" i="1"/>
  <c r="KM172" i="1"/>
  <c r="KM171" i="1"/>
  <c r="KM185" i="1"/>
  <c r="KM137" i="1"/>
  <c r="KM205" i="1"/>
  <c r="KM177" i="1"/>
  <c r="KM199" i="1"/>
  <c r="KM106" i="1"/>
  <c r="KM203" i="1"/>
  <c r="KM124" i="1"/>
  <c r="KM170" i="1"/>
  <c r="KM152" i="1"/>
  <c r="KM118" i="1"/>
  <c r="KM198" i="1"/>
  <c r="KM200" i="1"/>
  <c r="KM136" i="1"/>
  <c r="KM108" i="1"/>
  <c r="KM149" i="1"/>
  <c r="KM187" i="1"/>
  <c r="KM168" i="1"/>
  <c r="KM162" i="1"/>
  <c r="KM139" i="1"/>
  <c r="KM196" i="1"/>
  <c r="KM153" i="1"/>
  <c r="KM197" i="1"/>
  <c r="KM176" i="1"/>
  <c r="KM202" i="1"/>
  <c r="KM167" i="1"/>
  <c r="KM207" i="1"/>
  <c r="KM192" i="1"/>
  <c r="KL3" i="1"/>
  <c r="KL2" i="1"/>
  <c r="KL43" i="1"/>
  <c r="KL71" i="1"/>
  <c r="KL7" i="1"/>
  <c r="KL164" i="1"/>
  <c r="KL4" i="1"/>
  <c r="KL99" i="1"/>
  <c r="KL6" i="1"/>
  <c r="KL8" i="1"/>
  <c r="KL10" i="1"/>
  <c r="KL9" i="1"/>
  <c r="KL127" i="1"/>
  <c r="KL11" i="1"/>
  <c r="KL44" i="1"/>
  <c r="KL39" i="1"/>
  <c r="KL45" i="1"/>
  <c r="KL16" i="1"/>
  <c r="KL12" i="1"/>
  <c r="KL48" i="1"/>
  <c r="KL54" i="1"/>
  <c r="KL47" i="1"/>
  <c r="KL20" i="1"/>
  <c r="KL50" i="1"/>
  <c r="KL22" i="1"/>
  <c r="KL49" i="1"/>
  <c r="KL13" i="1"/>
  <c r="KL26" i="1"/>
  <c r="KL52" i="1"/>
  <c r="KL46" i="1"/>
  <c r="KL72" i="1"/>
  <c r="KL5" i="1"/>
  <c r="KL18" i="1"/>
  <c r="KL23" i="1"/>
  <c r="KL15" i="1"/>
  <c r="KL14" i="1"/>
  <c r="KL59" i="1"/>
  <c r="KL38" i="1"/>
  <c r="KL21" i="1"/>
  <c r="KL27" i="1"/>
  <c r="KL17" i="1"/>
  <c r="KL68" i="1"/>
  <c r="KL121" i="1"/>
  <c r="KL24" i="1"/>
  <c r="KL30" i="1"/>
  <c r="KL40" i="1"/>
  <c r="KL35" i="1"/>
  <c r="KL29" i="1"/>
  <c r="KL37" i="1"/>
  <c r="KL28" i="1"/>
  <c r="KL19" i="1"/>
  <c r="KL33" i="1"/>
  <c r="KL109" i="1"/>
  <c r="KL64" i="1"/>
  <c r="KL63" i="1"/>
  <c r="KL77" i="1"/>
  <c r="KL115" i="1"/>
  <c r="KL31" i="1"/>
  <c r="KL41" i="1"/>
  <c r="KL191" i="1"/>
  <c r="KL85" i="1"/>
  <c r="KL62" i="1"/>
  <c r="KL36" i="1"/>
  <c r="KL32" i="1"/>
  <c r="KL34" i="1"/>
  <c r="KL93" i="1"/>
  <c r="KL117" i="1"/>
  <c r="KL154" i="1"/>
  <c r="KL107" i="1"/>
  <c r="KL98" i="1"/>
  <c r="KL138" i="1"/>
  <c r="KL75" i="1"/>
  <c r="KL122" i="1"/>
  <c r="KL84" i="1"/>
  <c r="KL116" i="1"/>
  <c r="KL186" i="1"/>
  <c r="KL89" i="1"/>
  <c r="KL70" i="1"/>
  <c r="KL61" i="1"/>
  <c r="KL74" i="1"/>
  <c r="KL88" i="1"/>
  <c r="KL73" i="1"/>
  <c r="KL111" i="1"/>
  <c r="KL87" i="1"/>
  <c r="KL82" i="1"/>
  <c r="KL53" i="1"/>
  <c r="KL175" i="1"/>
  <c r="KL55" i="1"/>
  <c r="KL51" i="1"/>
  <c r="KL157" i="1"/>
  <c r="KL158" i="1"/>
  <c r="KL83" i="1"/>
  <c r="KL91" i="1"/>
  <c r="KL105" i="1"/>
  <c r="KL103" i="1"/>
  <c r="KL188" i="1"/>
  <c r="KL163" i="1"/>
  <c r="KL101" i="1"/>
  <c r="KL65" i="1"/>
  <c r="KL60" i="1"/>
  <c r="KL80" i="1"/>
  <c r="KL56" i="1"/>
  <c r="KL57" i="1"/>
  <c r="KL25" i="1"/>
  <c r="KL104" i="1"/>
  <c r="KL66" i="1"/>
  <c r="KL58" i="1"/>
  <c r="KL155" i="1"/>
  <c r="KL156" i="1"/>
  <c r="KL134" i="1"/>
  <c r="KL92" i="1"/>
  <c r="KL67" i="1"/>
  <c r="KL126" i="1"/>
  <c r="KL145" i="1"/>
  <c r="KL135" i="1"/>
  <c r="KL159" i="1"/>
  <c r="KL76" i="1"/>
  <c r="KL114" i="1"/>
  <c r="KL161" i="1"/>
  <c r="KL160" i="1"/>
  <c r="KL95" i="1"/>
  <c r="KL120" i="1"/>
  <c r="KL42" i="1"/>
  <c r="KL183" i="1"/>
  <c r="KL112" i="1"/>
  <c r="KL148" i="1"/>
  <c r="KL179" i="1"/>
  <c r="KL128" i="1"/>
  <c r="KL144" i="1"/>
  <c r="KL110" i="1"/>
  <c r="KL81" i="1"/>
  <c r="KL100" i="1"/>
  <c r="KL123" i="1"/>
  <c r="KL86" i="1"/>
  <c r="KL174" i="1"/>
  <c r="KL201" i="1"/>
  <c r="KL90" i="1"/>
  <c r="KL102" i="1"/>
  <c r="KL94" i="1"/>
  <c r="KL119" i="1"/>
  <c r="KL141" i="1"/>
  <c r="KL147" i="1"/>
  <c r="KL165" i="1"/>
  <c r="KL132" i="1"/>
  <c r="KL189" i="1"/>
  <c r="KL133" i="1"/>
  <c r="KL206" i="1"/>
  <c r="KL78" i="1"/>
  <c r="KL143" i="1"/>
  <c r="KL150" i="1"/>
  <c r="KL130" i="1"/>
  <c r="KL96" i="1"/>
  <c r="KL182" i="1"/>
  <c r="KL195" i="1"/>
  <c r="KL178" i="1"/>
  <c r="KL181" i="1"/>
  <c r="KL194" i="1"/>
  <c r="KL208" i="1"/>
  <c r="KL129" i="1"/>
  <c r="KL180" i="1"/>
  <c r="KL140" i="1"/>
  <c r="KL125" i="1"/>
  <c r="KL131" i="1"/>
  <c r="KL173" i="1"/>
  <c r="KL184" i="1"/>
  <c r="KL190" i="1"/>
  <c r="KL142" i="1"/>
  <c r="KL69" i="1"/>
  <c r="KL151" i="1"/>
  <c r="KL193" i="1"/>
  <c r="KL169" i="1"/>
  <c r="KL166" i="1"/>
  <c r="KL97" i="1"/>
  <c r="KL79" i="1"/>
  <c r="KL146" i="1"/>
  <c r="KL204" i="1"/>
  <c r="KL113" i="1"/>
  <c r="KL172" i="1"/>
  <c r="KL171" i="1"/>
  <c r="KL185" i="1"/>
  <c r="KL137" i="1"/>
  <c r="KL205" i="1"/>
  <c r="KL177" i="1"/>
  <c r="KL199" i="1"/>
  <c r="KL106" i="1"/>
  <c r="KL203" i="1"/>
  <c r="KL124" i="1"/>
  <c r="KL170" i="1"/>
  <c r="KL152" i="1"/>
  <c r="KL118" i="1"/>
  <c r="KL198" i="1"/>
  <c r="KL200" i="1"/>
  <c r="KL136" i="1"/>
  <c r="KL108" i="1"/>
  <c r="KL149" i="1"/>
  <c r="KL187" i="1"/>
  <c r="KL168" i="1"/>
  <c r="KL162" i="1"/>
  <c r="KL139" i="1"/>
  <c r="KL196" i="1"/>
  <c r="KL153" i="1"/>
  <c r="KL197" i="1"/>
  <c r="KL176" i="1"/>
  <c r="KL202" i="1"/>
  <c r="KL167" i="1"/>
  <c r="KL207" i="1"/>
  <c r="KL192" i="1"/>
  <c r="KK3" i="1"/>
  <c r="KK2" i="1"/>
  <c r="KK43" i="1"/>
  <c r="KK71" i="1"/>
  <c r="KK7" i="1"/>
  <c r="KK164" i="1"/>
  <c r="KK4" i="1"/>
  <c r="KK99" i="1"/>
  <c r="KK6" i="1"/>
  <c r="KK8" i="1"/>
  <c r="KK10" i="1"/>
  <c r="KK9" i="1"/>
  <c r="KK127" i="1"/>
  <c r="KK11" i="1"/>
  <c r="KK44" i="1"/>
  <c r="KK39" i="1"/>
  <c r="KK45" i="1"/>
  <c r="KK16" i="1"/>
  <c r="KK12" i="1"/>
  <c r="KK48" i="1"/>
  <c r="KK54" i="1"/>
  <c r="KK47" i="1"/>
  <c r="KK20" i="1"/>
  <c r="KK50" i="1"/>
  <c r="KK22" i="1"/>
  <c r="KK49" i="1"/>
  <c r="KK13" i="1"/>
  <c r="KK26" i="1"/>
  <c r="KK52" i="1"/>
  <c r="KK46" i="1"/>
  <c r="KK72" i="1"/>
  <c r="KK5" i="1"/>
  <c r="KK18" i="1"/>
  <c r="KK23" i="1"/>
  <c r="KK15" i="1"/>
  <c r="KK14" i="1"/>
  <c r="KK59" i="1"/>
  <c r="KK38" i="1"/>
  <c r="KK21" i="1"/>
  <c r="KK27" i="1"/>
  <c r="KK17" i="1"/>
  <c r="KK68" i="1"/>
  <c r="KK121" i="1"/>
  <c r="KK24" i="1"/>
  <c r="KK30" i="1"/>
  <c r="KK40" i="1"/>
  <c r="KK35" i="1"/>
  <c r="KK29" i="1"/>
  <c r="KK37" i="1"/>
  <c r="KK28" i="1"/>
  <c r="KK19" i="1"/>
  <c r="KK33" i="1"/>
  <c r="KK109" i="1"/>
  <c r="KK64" i="1"/>
  <c r="KK63" i="1"/>
  <c r="KK77" i="1"/>
  <c r="KK115" i="1"/>
  <c r="KK31" i="1"/>
  <c r="KK41" i="1"/>
  <c r="KK191" i="1"/>
  <c r="KK85" i="1"/>
  <c r="KK62" i="1"/>
  <c r="KK36" i="1"/>
  <c r="KK32" i="1"/>
  <c r="KK34" i="1"/>
  <c r="KK93" i="1"/>
  <c r="KK117" i="1"/>
  <c r="KK154" i="1"/>
  <c r="KK107" i="1"/>
  <c r="KK98" i="1"/>
  <c r="KK138" i="1"/>
  <c r="KK75" i="1"/>
  <c r="KK122" i="1"/>
  <c r="KK84" i="1"/>
  <c r="KK116" i="1"/>
  <c r="KK186" i="1"/>
  <c r="KK89" i="1"/>
  <c r="KK70" i="1"/>
  <c r="KK61" i="1"/>
  <c r="KK74" i="1"/>
  <c r="KK88" i="1"/>
  <c r="KK73" i="1"/>
  <c r="KK111" i="1"/>
  <c r="KK87" i="1"/>
  <c r="KK82" i="1"/>
  <c r="KK53" i="1"/>
  <c r="KK175" i="1"/>
  <c r="KK55" i="1"/>
  <c r="KK51" i="1"/>
  <c r="KK157" i="1"/>
  <c r="KK158" i="1"/>
  <c r="KK83" i="1"/>
  <c r="KK91" i="1"/>
  <c r="KK105" i="1"/>
  <c r="KK103" i="1"/>
  <c r="KK188" i="1"/>
  <c r="KK163" i="1"/>
  <c r="KK101" i="1"/>
  <c r="KK65" i="1"/>
  <c r="KK60" i="1"/>
  <c r="KK80" i="1"/>
  <c r="KK56" i="1"/>
  <c r="KK57" i="1"/>
  <c r="KK25" i="1"/>
  <c r="KK104" i="1"/>
  <c r="KK66" i="1"/>
  <c r="KK58" i="1"/>
  <c r="KK155" i="1"/>
  <c r="KK156" i="1"/>
  <c r="KK134" i="1"/>
  <c r="KK92" i="1"/>
  <c r="KK67" i="1"/>
  <c r="KK126" i="1"/>
  <c r="KK145" i="1"/>
  <c r="KK135" i="1"/>
  <c r="KK159" i="1"/>
  <c r="KK76" i="1"/>
  <c r="KK114" i="1"/>
  <c r="KK161" i="1"/>
  <c r="KK160" i="1"/>
  <c r="KK95" i="1"/>
  <c r="KK120" i="1"/>
  <c r="KK42" i="1"/>
  <c r="KK183" i="1"/>
  <c r="KK112" i="1"/>
  <c r="KK148" i="1"/>
  <c r="KK179" i="1"/>
  <c r="KK128" i="1"/>
  <c r="KK144" i="1"/>
  <c r="KK110" i="1"/>
  <c r="KK81" i="1"/>
  <c r="KK100" i="1"/>
  <c r="KK123" i="1"/>
  <c r="KK86" i="1"/>
  <c r="KK174" i="1"/>
  <c r="KK201" i="1"/>
  <c r="KK90" i="1"/>
  <c r="KK102" i="1"/>
  <c r="KK94" i="1"/>
  <c r="KK119" i="1"/>
  <c r="KK141" i="1"/>
  <c r="KK147" i="1"/>
  <c r="KK165" i="1"/>
  <c r="KK132" i="1"/>
  <c r="KK189" i="1"/>
  <c r="KK133" i="1"/>
  <c r="KK206" i="1"/>
  <c r="KK78" i="1"/>
  <c r="KK143" i="1"/>
  <c r="KK150" i="1"/>
  <c r="KK130" i="1"/>
  <c r="KK96" i="1"/>
  <c r="KK182" i="1"/>
  <c r="KK195" i="1"/>
  <c r="KK178" i="1"/>
  <c r="KK181" i="1"/>
  <c r="KK194" i="1"/>
  <c r="KK208" i="1"/>
  <c r="KK129" i="1"/>
  <c r="KK180" i="1"/>
  <c r="KK140" i="1"/>
  <c r="KK125" i="1"/>
  <c r="KK131" i="1"/>
  <c r="KK173" i="1"/>
  <c r="KK184" i="1"/>
  <c r="KK190" i="1"/>
  <c r="KK142" i="1"/>
  <c r="KK69" i="1"/>
  <c r="KK151" i="1"/>
  <c r="KK193" i="1"/>
  <c r="KK169" i="1"/>
  <c r="KK166" i="1"/>
  <c r="KK97" i="1"/>
  <c r="KK79" i="1"/>
  <c r="KK146" i="1"/>
  <c r="KK204" i="1"/>
  <c r="KK113" i="1"/>
  <c r="KK172" i="1"/>
  <c r="KK171" i="1"/>
  <c r="KK185" i="1"/>
  <c r="KK137" i="1"/>
  <c r="KK205" i="1"/>
  <c r="KK177" i="1"/>
  <c r="KK199" i="1"/>
  <c r="KK106" i="1"/>
  <c r="KK203" i="1"/>
  <c r="KK124" i="1"/>
  <c r="KK170" i="1"/>
  <c r="KK152" i="1"/>
  <c r="KK118" i="1"/>
  <c r="KK198" i="1"/>
  <c r="KK200" i="1"/>
  <c r="KK136" i="1"/>
  <c r="KK108" i="1"/>
  <c r="KK149" i="1"/>
  <c r="KK187" i="1"/>
  <c r="KK168" i="1"/>
  <c r="KK162" i="1"/>
  <c r="KK139" i="1"/>
  <c r="KK196" i="1"/>
  <c r="KK153" i="1"/>
  <c r="KK197" i="1"/>
  <c r="KK176" i="1"/>
  <c r="KK202" i="1"/>
  <c r="KK167" i="1"/>
  <c r="KK207" i="1"/>
  <c r="KK192" i="1"/>
  <c r="KJ3" i="1"/>
  <c r="KJ2" i="1"/>
  <c r="KJ43" i="1"/>
  <c r="KJ71" i="1"/>
  <c r="KJ7" i="1"/>
  <c r="KJ164" i="1"/>
  <c r="KJ4" i="1"/>
  <c r="KJ99" i="1"/>
  <c r="KJ6" i="1"/>
  <c r="KJ8" i="1"/>
  <c r="KJ10" i="1"/>
  <c r="KJ9" i="1"/>
  <c r="KJ127" i="1"/>
  <c r="KJ11" i="1"/>
  <c r="KJ44" i="1"/>
  <c r="KJ39" i="1"/>
  <c r="KJ45" i="1"/>
  <c r="KJ16" i="1"/>
  <c r="KJ12" i="1"/>
  <c r="KJ48" i="1"/>
  <c r="KJ54" i="1"/>
  <c r="KJ47" i="1"/>
  <c r="KJ20" i="1"/>
  <c r="KJ50" i="1"/>
  <c r="KJ22" i="1"/>
  <c r="KJ49" i="1"/>
  <c r="KJ13" i="1"/>
  <c r="KJ26" i="1"/>
  <c r="KJ52" i="1"/>
  <c r="KJ46" i="1"/>
  <c r="KJ72" i="1"/>
  <c r="KJ5" i="1"/>
  <c r="KJ18" i="1"/>
  <c r="KJ23" i="1"/>
  <c r="KJ15" i="1"/>
  <c r="KJ14" i="1"/>
  <c r="KJ59" i="1"/>
  <c r="KJ38" i="1"/>
  <c r="KJ21" i="1"/>
  <c r="KJ27" i="1"/>
  <c r="KJ17" i="1"/>
  <c r="KJ68" i="1"/>
  <c r="KJ121" i="1"/>
  <c r="KJ24" i="1"/>
  <c r="KJ30" i="1"/>
  <c r="KJ40" i="1"/>
  <c r="KJ35" i="1"/>
  <c r="KJ29" i="1"/>
  <c r="KJ37" i="1"/>
  <c r="KJ28" i="1"/>
  <c r="KJ19" i="1"/>
  <c r="KJ33" i="1"/>
  <c r="KJ109" i="1"/>
  <c r="KJ64" i="1"/>
  <c r="KJ63" i="1"/>
  <c r="KJ77" i="1"/>
  <c r="KJ115" i="1"/>
  <c r="KJ31" i="1"/>
  <c r="KJ41" i="1"/>
  <c r="KJ191" i="1"/>
  <c r="KJ85" i="1"/>
  <c r="KJ62" i="1"/>
  <c r="KJ36" i="1"/>
  <c r="KJ32" i="1"/>
  <c r="KJ34" i="1"/>
  <c r="KJ93" i="1"/>
  <c r="KJ117" i="1"/>
  <c r="KJ154" i="1"/>
  <c r="KJ107" i="1"/>
  <c r="KJ98" i="1"/>
  <c r="KJ138" i="1"/>
  <c r="KJ75" i="1"/>
  <c r="KJ122" i="1"/>
  <c r="KJ84" i="1"/>
  <c r="KJ116" i="1"/>
  <c r="KJ186" i="1"/>
  <c r="KJ89" i="1"/>
  <c r="KJ70" i="1"/>
  <c r="KJ61" i="1"/>
  <c r="KJ74" i="1"/>
  <c r="KJ88" i="1"/>
  <c r="KJ73" i="1"/>
  <c r="KJ111" i="1"/>
  <c r="KJ87" i="1"/>
  <c r="KJ82" i="1"/>
  <c r="KJ53" i="1"/>
  <c r="KJ175" i="1"/>
  <c r="KJ55" i="1"/>
  <c r="KJ51" i="1"/>
  <c r="KJ157" i="1"/>
  <c r="KJ158" i="1"/>
  <c r="KJ83" i="1"/>
  <c r="KJ91" i="1"/>
  <c r="KJ105" i="1"/>
  <c r="KJ103" i="1"/>
  <c r="KJ188" i="1"/>
  <c r="KJ163" i="1"/>
  <c r="KJ101" i="1"/>
  <c r="KJ65" i="1"/>
  <c r="KJ60" i="1"/>
  <c r="KJ80" i="1"/>
  <c r="KJ56" i="1"/>
  <c r="KJ57" i="1"/>
  <c r="KJ25" i="1"/>
  <c r="KJ104" i="1"/>
  <c r="KJ66" i="1"/>
  <c r="KJ58" i="1"/>
  <c r="KJ155" i="1"/>
  <c r="KJ156" i="1"/>
  <c r="KJ134" i="1"/>
  <c r="KJ92" i="1"/>
  <c r="KJ67" i="1"/>
  <c r="KJ126" i="1"/>
  <c r="KJ145" i="1"/>
  <c r="KJ135" i="1"/>
  <c r="KJ159" i="1"/>
  <c r="KJ76" i="1"/>
  <c r="KJ114" i="1"/>
  <c r="KJ161" i="1"/>
  <c r="KJ160" i="1"/>
  <c r="KJ95" i="1"/>
  <c r="KJ120" i="1"/>
  <c r="KJ42" i="1"/>
  <c r="KJ183" i="1"/>
  <c r="KJ112" i="1"/>
  <c r="KJ148" i="1"/>
  <c r="KJ179" i="1"/>
  <c r="KJ128" i="1"/>
  <c r="KJ144" i="1"/>
  <c r="KJ110" i="1"/>
  <c r="KJ81" i="1"/>
  <c r="KJ100" i="1"/>
  <c r="KJ123" i="1"/>
  <c r="KJ86" i="1"/>
  <c r="KJ174" i="1"/>
  <c r="KJ201" i="1"/>
  <c r="KJ90" i="1"/>
  <c r="KJ102" i="1"/>
  <c r="KJ94" i="1"/>
  <c r="KJ119" i="1"/>
  <c r="KJ141" i="1"/>
  <c r="KJ147" i="1"/>
  <c r="KJ165" i="1"/>
  <c r="KJ132" i="1"/>
  <c r="KJ189" i="1"/>
  <c r="KJ133" i="1"/>
  <c r="KJ206" i="1"/>
  <c r="KJ78" i="1"/>
  <c r="KJ143" i="1"/>
  <c r="KJ150" i="1"/>
  <c r="KJ130" i="1"/>
  <c r="KJ96" i="1"/>
  <c r="KJ182" i="1"/>
  <c r="KJ195" i="1"/>
  <c r="KJ178" i="1"/>
  <c r="KJ181" i="1"/>
  <c r="KJ194" i="1"/>
  <c r="KJ208" i="1"/>
  <c r="KJ129" i="1"/>
  <c r="KJ180" i="1"/>
  <c r="KJ140" i="1"/>
  <c r="KJ125" i="1"/>
  <c r="KJ131" i="1"/>
  <c r="KJ173" i="1"/>
  <c r="KJ184" i="1"/>
  <c r="KJ190" i="1"/>
  <c r="KJ142" i="1"/>
  <c r="KJ69" i="1"/>
  <c r="KJ151" i="1"/>
  <c r="KJ193" i="1"/>
  <c r="KJ169" i="1"/>
  <c r="KJ166" i="1"/>
  <c r="KJ97" i="1"/>
  <c r="KJ79" i="1"/>
  <c r="KJ146" i="1"/>
  <c r="KJ204" i="1"/>
  <c r="KJ113" i="1"/>
  <c r="KJ172" i="1"/>
  <c r="KJ171" i="1"/>
  <c r="KJ185" i="1"/>
  <c r="KJ137" i="1"/>
  <c r="KJ205" i="1"/>
  <c r="KJ177" i="1"/>
  <c r="KJ199" i="1"/>
  <c r="KJ106" i="1"/>
  <c r="KJ203" i="1"/>
  <c r="KJ124" i="1"/>
  <c r="KJ170" i="1"/>
  <c r="KJ152" i="1"/>
  <c r="KJ118" i="1"/>
  <c r="KJ198" i="1"/>
  <c r="KJ200" i="1"/>
  <c r="KJ136" i="1"/>
  <c r="KJ108" i="1"/>
  <c r="KJ149" i="1"/>
  <c r="KJ187" i="1"/>
  <c r="KJ168" i="1"/>
  <c r="KJ162" i="1"/>
  <c r="KJ139" i="1"/>
  <c r="KJ196" i="1"/>
  <c r="KJ153" i="1"/>
  <c r="KJ197" i="1"/>
  <c r="KJ176" i="1"/>
  <c r="KJ202" i="1"/>
  <c r="KJ167" i="1"/>
  <c r="KJ207" i="1"/>
  <c r="KJ192" i="1"/>
  <c r="KI3" i="1"/>
  <c r="KI2" i="1"/>
  <c r="KI43" i="1"/>
  <c r="KI71" i="1"/>
  <c r="KI7" i="1"/>
  <c r="KI164" i="1"/>
  <c r="KI4" i="1"/>
  <c r="KI99" i="1"/>
  <c r="KI6" i="1"/>
  <c r="KI8" i="1"/>
  <c r="KI10" i="1"/>
  <c r="KI9" i="1"/>
  <c r="KI127" i="1"/>
  <c r="KI11" i="1"/>
  <c r="KI44" i="1"/>
  <c r="KI39" i="1"/>
  <c r="KI45" i="1"/>
  <c r="KI16" i="1"/>
  <c r="KI12" i="1"/>
  <c r="KI48" i="1"/>
  <c r="KI54" i="1"/>
  <c r="KI47" i="1"/>
  <c r="KI20" i="1"/>
  <c r="KI50" i="1"/>
  <c r="KI22" i="1"/>
  <c r="KI49" i="1"/>
  <c r="KI13" i="1"/>
  <c r="KI26" i="1"/>
  <c r="KI52" i="1"/>
  <c r="KI46" i="1"/>
  <c r="KI72" i="1"/>
  <c r="KI5" i="1"/>
  <c r="KI18" i="1"/>
  <c r="KI23" i="1"/>
  <c r="KI15" i="1"/>
  <c r="KI14" i="1"/>
  <c r="KI59" i="1"/>
  <c r="KI38" i="1"/>
  <c r="KI21" i="1"/>
  <c r="KI27" i="1"/>
  <c r="KI17" i="1"/>
  <c r="KI68" i="1"/>
  <c r="KI121" i="1"/>
  <c r="KI24" i="1"/>
  <c r="KI30" i="1"/>
  <c r="KI40" i="1"/>
  <c r="KI35" i="1"/>
  <c r="KI29" i="1"/>
  <c r="KI37" i="1"/>
  <c r="KI28" i="1"/>
  <c r="KI19" i="1"/>
  <c r="KI33" i="1"/>
  <c r="KI109" i="1"/>
  <c r="KI64" i="1"/>
  <c r="KI63" i="1"/>
  <c r="KI77" i="1"/>
  <c r="KI115" i="1"/>
  <c r="KI31" i="1"/>
  <c r="KI41" i="1"/>
  <c r="KI191" i="1"/>
  <c r="KI85" i="1"/>
  <c r="KI62" i="1"/>
  <c r="KI36" i="1"/>
  <c r="KI32" i="1"/>
  <c r="KI34" i="1"/>
  <c r="KI93" i="1"/>
  <c r="KI117" i="1"/>
  <c r="KI154" i="1"/>
  <c r="KI107" i="1"/>
  <c r="KI98" i="1"/>
  <c r="KI138" i="1"/>
  <c r="KI75" i="1"/>
  <c r="KI122" i="1"/>
  <c r="KI84" i="1"/>
  <c r="KI116" i="1"/>
  <c r="KI186" i="1"/>
  <c r="KI89" i="1"/>
  <c r="KI70" i="1"/>
  <c r="KI61" i="1"/>
  <c r="KI74" i="1"/>
  <c r="KI88" i="1"/>
  <c r="KI73" i="1"/>
  <c r="KI111" i="1"/>
  <c r="KI87" i="1"/>
  <c r="KI82" i="1"/>
  <c r="KI53" i="1"/>
  <c r="KI175" i="1"/>
  <c r="KI55" i="1"/>
  <c r="KI51" i="1"/>
  <c r="KI157" i="1"/>
  <c r="KI158" i="1"/>
  <c r="KI83" i="1"/>
  <c r="KI91" i="1"/>
  <c r="KI105" i="1"/>
  <c r="KI103" i="1"/>
  <c r="KI188" i="1"/>
  <c r="KI163" i="1"/>
  <c r="KI101" i="1"/>
  <c r="KI65" i="1"/>
  <c r="KI60" i="1"/>
  <c r="KI80" i="1"/>
  <c r="KI56" i="1"/>
  <c r="KI57" i="1"/>
  <c r="KI25" i="1"/>
  <c r="KI104" i="1"/>
  <c r="KI66" i="1"/>
  <c r="KI58" i="1"/>
  <c r="KI155" i="1"/>
  <c r="KI156" i="1"/>
  <c r="KI134" i="1"/>
  <c r="KI92" i="1"/>
  <c r="KI67" i="1"/>
  <c r="KI126" i="1"/>
  <c r="KI145" i="1"/>
  <c r="KI135" i="1"/>
  <c r="KI159" i="1"/>
  <c r="KI76" i="1"/>
  <c r="KI114" i="1"/>
  <c r="KI161" i="1"/>
  <c r="KI160" i="1"/>
  <c r="KI95" i="1"/>
  <c r="KI120" i="1"/>
  <c r="KI42" i="1"/>
  <c r="KI183" i="1"/>
  <c r="KI112" i="1"/>
  <c r="KI148" i="1"/>
  <c r="KI179" i="1"/>
  <c r="KI128" i="1"/>
  <c r="KI144" i="1"/>
  <c r="KI110" i="1"/>
  <c r="KI81" i="1"/>
  <c r="KI100" i="1"/>
  <c r="KI123" i="1"/>
  <c r="KI86" i="1"/>
  <c r="KI174" i="1"/>
  <c r="KI201" i="1"/>
  <c r="KI90" i="1"/>
  <c r="KI102" i="1"/>
  <c r="KI94" i="1"/>
  <c r="KI119" i="1"/>
  <c r="KI141" i="1"/>
  <c r="KI147" i="1"/>
  <c r="KI165" i="1"/>
  <c r="KI132" i="1"/>
  <c r="KI189" i="1"/>
  <c r="KI133" i="1"/>
  <c r="KI206" i="1"/>
  <c r="KI78" i="1"/>
  <c r="KI143" i="1"/>
  <c r="KI150" i="1"/>
  <c r="KI130" i="1"/>
  <c r="KI96" i="1"/>
  <c r="KI182" i="1"/>
  <c r="KI195" i="1"/>
  <c r="KI178" i="1"/>
  <c r="KI181" i="1"/>
  <c r="KI194" i="1"/>
  <c r="KI208" i="1"/>
  <c r="KI129" i="1"/>
  <c r="KI180" i="1"/>
  <c r="KI140" i="1"/>
  <c r="KI125" i="1"/>
  <c r="KI131" i="1"/>
  <c r="KI173" i="1"/>
  <c r="KI184" i="1"/>
  <c r="KI190" i="1"/>
  <c r="KI142" i="1"/>
  <c r="KI69" i="1"/>
  <c r="KI151" i="1"/>
  <c r="KI193" i="1"/>
  <c r="KI169" i="1"/>
  <c r="KI166" i="1"/>
  <c r="KI97" i="1"/>
  <c r="KI79" i="1"/>
  <c r="KI146" i="1"/>
  <c r="KI204" i="1"/>
  <c r="KI113" i="1"/>
  <c r="KI172" i="1"/>
  <c r="KI171" i="1"/>
  <c r="KI185" i="1"/>
  <c r="KI137" i="1"/>
  <c r="KI205" i="1"/>
  <c r="KI177" i="1"/>
  <c r="KI199" i="1"/>
  <c r="KI106" i="1"/>
  <c r="KI203" i="1"/>
  <c r="KI124" i="1"/>
  <c r="KI170" i="1"/>
  <c r="KI152" i="1"/>
  <c r="KI118" i="1"/>
  <c r="KI198" i="1"/>
  <c r="KI200" i="1"/>
  <c r="KI136" i="1"/>
  <c r="KI108" i="1"/>
  <c r="KI149" i="1"/>
  <c r="KI187" i="1"/>
  <c r="KI168" i="1"/>
  <c r="KI162" i="1"/>
  <c r="KI139" i="1"/>
  <c r="KI196" i="1"/>
  <c r="KI153" i="1"/>
  <c r="KI197" i="1"/>
  <c r="KI176" i="1"/>
  <c r="KI202" i="1"/>
  <c r="KI167" i="1"/>
  <c r="KI207" i="1"/>
  <c r="KI192" i="1"/>
  <c r="KH3" i="1"/>
  <c r="KH2" i="1"/>
  <c r="KH43" i="1"/>
  <c r="KH71" i="1"/>
  <c r="KH7" i="1"/>
  <c r="KH164" i="1"/>
  <c r="KH4" i="1"/>
  <c r="KH99" i="1"/>
  <c r="KH6" i="1"/>
  <c r="KH8" i="1"/>
  <c r="KH10" i="1"/>
  <c r="KH9" i="1"/>
  <c r="KH127" i="1"/>
  <c r="KH11" i="1"/>
  <c r="KH44" i="1"/>
  <c r="KH39" i="1"/>
  <c r="KH45" i="1"/>
  <c r="KH16" i="1"/>
  <c r="KH12" i="1"/>
  <c r="KH48" i="1"/>
  <c r="KH54" i="1"/>
  <c r="KH47" i="1"/>
  <c r="KH20" i="1"/>
  <c r="KH50" i="1"/>
  <c r="KH22" i="1"/>
  <c r="KH49" i="1"/>
  <c r="KH13" i="1"/>
  <c r="KH26" i="1"/>
  <c r="KH52" i="1"/>
  <c r="KH46" i="1"/>
  <c r="KH72" i="1"/>
  <c r="KH5" i="1"/>
  <c r="KH18" i="1"/>
  <c r="KH23" i="1"/>
  <c r="KH15" i="1"/>
  <c r="KH14" i="1"/>
  <c r="KH59" i="1"/>
  <c r="KH38" i="1"/>
  <c r="KH21" i="1"/>
  <c r="KH27" i="1"/>
  <c r="KH17" i="1"/>
  <c r="KH68" i="1"/>
  <c r="KH121" i="1"/>
  <c r="KH24" i="1"/>
  <c r="KH30" i="1"/>
  <c r="KH40" i="1"/>
  <c r="KH35" i="1"/>
  <c r="KH29" i="1"/>
  <c r="KH37" i="1"/>
  <c r="KH28" i="1"/>
  <c r="KH19" i="1"/>
  <c r="KH33" i="1"/>
  <c r="KH109" i="1"/>
  <c r="KH64" i="1"/>
  <c r="KH63" i="1"/>
  <c r="KH77" i="1"/>
  <c r="KH115" i="1"/>
  <c r="KH31" i="1"/>
  <c r="KH41" i="1"/>
  <c r="KH191" i="1"/>
  <c r="KH85" i="1"/>
  <c r="KH62" i="1"/>
  <c r="KH36" i="1"/>
  <c r="KH32" i="1"/>
  <c r="KH34" i="1"/>
  <c r="KH93" i="1"/>
  <c r="KH117" i="1"/>
  <c r="KH154" i="1"/>
  <c r="KH107" i="1"/>
  <c r="KH98" i="1"/>
  <c r="KH138" i="1"/>
  <c r="KH75" i="1"/>
  <c r="KH122" i="1"/>
  <c r="KH84" i="1"/>
  <c r="KH116" i="1"/>
  <c r="KH186" i="1"/>
  <c r="KH89" i="1"/>
  <c r="KH70" i="1"/>
  <c r="KH61" i="1"/>
  <c r="KH74" i="1"/>
  <c r="KH88" i="1"/>
  <c r="KH73" i="1"/>
  <c r="KH111" i="1"/>
  <c r="KH87" i="1"/>
  <c r="KH82" i="1"/>
  <c r="KH53" i="1"/>
  <c r="KH175" i="1"/>
  <c r="KH55" i="1"/>
  <c r="KH51" i="1"/>
  <c r="KH157" i="1"/>
  <c r="KH158" i="1"/>
  <c r="KH83" i="1"/>
  <c r="KH91" i="1"/>
  <c r="KH105" i="1"/>
  <c r="KH103" i="1"/>
  <c r="KH188" i="1"/>
  <c r="KH163" i="1"/>
  <c r="KH101" i="1"/>
  <c r="KH65" i="1"/>
  <c r="KH60" i="1"/>
  <c r="KH80" i="1"/>
  <c r="KH56" i="1"/>
  <c r="KH57" i="1"/>
  <c r="KH25" i="1"/>
  <c r="KH104" i="1"/>
  <c r="KH66" i="1"/>
  <c r="KH58" i="1"/>
  <c r="KH155" i="1"/>
  <c r="KH156" i="1"/>
  <c r="KH134" i="1"/>
  <c r="KH92" i="1"/>
  <c r="KH67" i="1"/>
  <c r="KH126" i="1"/>
  <c r="KH145" i="1"/>
  <c r="KH135" i="1"/>
  <c r="KH159" i="1"/>
  <c r="KH76" i="1"/>
  <c r="KH114" i="1"/>
  <c r="KH161" i="1"/>
  <c r="KH160" i="1"/>
  <c r="KH95" i="1"/>
  <c r="KH120" i="1"/>
  <c r="KH42" i="1"/>
  <c r="KH183" i="1"/>
  <c r="KH112" i="1"/>
  <c r="KH148" i="1"/>
  <c r="KH179" i="1"/>
  <c r="KH128" i="1"/>
  <c r="KH144" i="1"/>
  <c r="KH110" i="1"/>
  <c r="KH81" i="1"/>
  <c r="KH100" i="1"/>
  <c r="KH123" i="1"/>
  <c r="KH86" i="1"/>
  <c r="KH174" i="1"/>
  <c r="KH201" i="1"/>
  <c r="KH90" i="1"/>
  <c r="KH102" i="1"/>
  <c r="KH94" i="1"/>
  <c r="KH119" i="1"/>
  <c r="KH141" i="1"/>
  <c r="KH147" i="1"/>
  <c r="KH165" i="1"/>
  <c r="KH132" i="1"/>
  <c r="KH189" i="1"/>
  <c r="KH133" i="1"/>
  <c r="KH206" i="1"/>
  <c r="KH78" i="1"/>
  <c r="KH143" i="1"/>
  <c r="KH150" i="1"/>
  <c r="KH130" i="1"/>
  <c r="KH96" i="1"/>
  <c r="KH182" i="1"/>
  <c r="KH195" i="1"/>
  <c r="KH178" i="1"/>
  <c r="KH181" i="1"/>
  <c r="KH194" i="1"/>
  <c r="KH208" i="1"/>
  <c r="KH129" i="1"/>
  <c r="KH180" i="1"/>
  <c r="KH140" i="1"/>
  <c r="KH125" i="1"/>
  <c r="KH131" i="1"/>
  <c r="KH173" i="1"/>
  <c r="KH184" i="1"/>
  <c r="KH190" i="1"/>
  <c r="KH142" i="1"/>
  <c r="KH69" i="1"/>
  <c r="KH151" i="1"/>
  <c r="KH193" i="1"/>
  <c r="KH169" i="1"/>
  <c r="KH166" i="1"/>
  <c r="KH97" i="1"/>
  <c r="KH79" i="1"/>
  <c r="KH146" i="1"/>
  <c r="KH204" i="1"/>
  <c r="KH113" i="1"/>
  <c r="KH172" i="1"/>
  <c r="KH171" i="1"/>
  <c r="KH185" i="1"/>
  <c r="KH137" i="1"/>
  <c r="KH205" i="1"/>
  <c r="KH177" i="1"/>
  <c r="KH199" i="1"/>
  <c r="KH106" i="1"/>
  <c r="KH203" i="1"/>
  <c r="KH124" i="1"/>
  <c r="KH170" i="1"/>
  <c r="KH152" i="1"/>
  <c r="KH118" i="1"/>
  <c r="KH198" i="1"/>
  <c r="KH200" i="1"/>
  <c r="KH136" i="1"/>
  <c r="KH108" i="1"/>
  <c r="KH149" i="1"/>
  <c r="KH187" i="1"/>
  <c r="KH168" i="1"/>
  <c r="KH162" i="1"/>
  <c r="KH139" i="1"/>
  <c r="KH196" i="1"/>
  <c r="KH153" i="1"/>
  <c r="KH197" i="1"/>
  <c r="KH176" i="1"/>
  <c r="KH202" i="1"/>
  <c r="KH167" i="1"/>
  <c r="KH207" i="1"/>
  <c r="KH192" i="1"/>
  <c r="KG3" i="1"/>
  <c r="KG2" i="1"/>
  <c r="KG43" i="1"/>
  <c r="KG71" i="1"/>
  <c r="KG7" i="1"/>
  <c r="KG164" i="1"/>
  <c r="KG4" i="1"/>
  <c r="KG99" i="1"/>
  <c r="KG6" i="1"/>
  <c r="KG8" i="1"/>
  <c r="KG10" i="1"/>
  <c r="KG9" i="1"/>
  <c r="KG127" i="1"/>
  <c r="KG11" i="1"/>
  <c r="KG44" i="1"/>
  <c r="KG39" i="1"/>
  <c r="KG45" i="1"/>
  <c r="KG16" i="1"/>
  <c r="KG12" i="1"/>
  <c r="KG48" i="1"/>
  <c r="KG54" i="1"/>
  <c r="KG47" i="1"/>
  <c r="KG20" i="1"/>
  <c r="KG50" i="1"/>
  <c r="KG22" i="1"/>
  <c r="KG49" i="1"/>
  <c r="KG13" i="1"/>
  <c r="KG26" i="1"/>
  <c r="KG52" i="1"/>
  <c r="KG46" i="1"/>
  <c r="KG72" i="1"/>
  <c r="KG5" i="1"/>
  <c r="KG18" i="1"/>
  <c r="KG23" i="1"/>
  <c r="KG15" i="1"/>
  <c r="KG14" i="1"/>
  <c r="KG59" i="1"/>
  <c r="KG38" i="1"/>
  <c r="KG21" i="1"/>
  <c r="KG27" i="1"/>
  <c r="KG17" i="1"/>
  <c r="KG68" i="1"/>
  <c r="KG121" i="1"/>
  <c r="KG24" i="1"/>
  <c r="KG30" i="1"/>
  <c r="KG40" i="1"/>
  <c r="KG35" i="1"/>
  <c r="KG29" i="1"/>
  <c r="KG37" i="1"/>
  <c r="KG28" i="1"/>
  <c r="KG19" i="1"/>
  <c r="KG33" i="1"/>
  <c r="KG109" i="1"/>
  <c r="KG64" i="1"/>
  <c r="KG63" i="1"/>
  <c r="KG77" i="1"/>
  <c r="KG115" i="1"/>
  <c r="KG31" i="1"/>
  <c r="KG41" i="1"/>
  <c r="KG191" i="1"/>
  <c r="KG85" i="1"/>
  <c r="KG62" i="1"/>
  <c r="KG36" i="1"/>
  <c r="KG32" i="1"/>
  <c r="KG34" i="1"/>
  <c r="KG93" i="1"/>
  <c r="KG117" i="1"/>
  <c r="KG154" i="1"/>
  <c r="KG107" i="1"/>
  <c r="KG98" i="1"/>
  <c r="KG138" i="1"/>
  <c r="KG75" i="1"/>
  <c r="KG122" i="1"/>
  <c r="KG84" i="1"/>
  <c r="KG116" i="1"/>
  <c r="KG186" i="1"/>
  <c r="KG89" i="1"/>
  <c r="KG70" i="1"/>
  <c r="KG61" i="1"/>
  <c r="KG74" i="1"/>
  <c r="KG88" i="1"/>
  <c r="KG73" i="1"/>
  <c r="KG111" i="1"/>
  <c r="KG87" i="1"/>
  <c r="KG82" i="1"/>
  <c r="KG53" i="1"/>
  <c r="KG175" i="1"/>
  <c r="KG55" i="1"/>
  <c r="KG51" i="1"/>
  <c r="KG157" i="1"/>
  <c r="KG158" i="1"/>
  <c r="KG83" i="1"/>
  <c r="KG91" i="1"/>
  <c r="KG105" i="1"/>
  <c r="KG103" i="1"/>
  <c r="KG188" i="1"/>
  <c r="KG163" i="1"/>
  <c r="KG101" i="1"/>
  <c r="KG65" i="1"/>
  <c r="KG60" i="1"/>
  <c r="KG80" i="1"/>
  <c r="KG56" i="1"/>
  <c r="KG57" i="1"/>
  <c r="KG25" i="1"/>
  <c r="KG104" i="1"/>
  <c r="KG66" i="1"/>
  <c r="KG58" i="1"/>
  <c r="KG155" i="1"/>
  <c r="KG156" i="1"/>
  <c r="KG134" i="1"/>
  <c r="KG92" i="1"/>
  <c r="KG67" i="1"/>
  <c r="KG126" i="1"/>
  <c r="KG145" i="1"/>
  <c r="KG135" i="1"/>
  <c r="KG159" i="1"/>
  <c r="KG76" i="1"/>
  <c r="KG114" i="1"/>
  <c r="KG161" i="1"/>
  <c r="KG160" i="1"/>
  <c r="KG95" i="1"/>
  <c r="KG120" i="1"/>
  <c r="KG42" i="1"/>
  <c r="KG183" i="1"/>
  <c r="KG112" i="1"/>
  <c r="KG148" i="1"/>
  <c r="KG179" i="1"/>
  <c r="KG128" i="1"/>
  <c r="KG144" i="1"/>
  <c r="KG110" i="1"/>
  <c r="KG81" i="1"/>
  <c r="KG100" i="1"/>
  <c r="KG123" i="1"/>
  <c r="KG86" i="1"/>
  <c r="KG174" i="1"/>
  <c r="KG201" i="1"/>
  <c r="KG90" i="1"/>
  <c r="KG102" i="1"/>
  <c r="KG94" i="1"/>
  <c r="KG119" i="1"/>
  <c r="KG141" i="1"/>
  <c r="KG147" i="1"/>
  <c r="KG165" i="1"/>
  <c r="KG132" i="1"/>
  <c r="KG189" i="1"/>
  <c r="KG133" i="1"/>
  <c r="KG206" i="1"/>
  <c r="KG78" i="1"/>
  <c r="KG143" i="1"/>
  <c r="KG150" i="1"/>
  <c r="KG130" i="1"/>
  <c r="KG96" i="1"/>
  <c r="KG182" i="1"/>
  <c r="KG195" i="1"/>
  <c r="KG178" i="1"/>
  <c r="KG181" i="1"/>
  <c r="KG194" i="1"/>
  <c r="KG208" i="1"/>
  <c r="KG129" i="1"/>
  <c r="KG180" i="1"/>
  <c r="KG140" i="1"/>
  <c r="KG125" i="1"/>
  <c r="KG131" i="1"/>
  <c r="KG173" i="1"/>
  <c r="KG184" i="1"/>
  <c r="KG190" i="1"/>
  <c r="KG142" i="1"/>
  <c r="KG69" i="1"/>
  <c r="KG151" i="1"/>
  <c r="KG193" i="1"/>
  <c r="KG169" i="1"/>
  <c r="KG166" i="1"/>
  <c r="KG97" i="1"/>
  <c r="KG79" i="1"/>
  <c r="KG146" i="1"/>
  <c r="KG204" i="1"/>
  <c r="KG113" i="1"/>
  <c r="KG172" i="1"/>
  <c r="KG171" i="1"/>
  <c r="KG185" i="1"/>
  <c r="KG137" i="1"/>
  <c r="KG205" i="1"/>
  <c r="KG177" i="1"/>
  <c r="KG199" i="1"/>
  <c r="KG106" i="1"/>
  <c r="KG203" i="1"/>
  <c r="KG124" i="1"/>
  <c r="KG170" i="1"/>
  <c r="KG152" i="1"/>
  <c r="KG118" i="1"/>
  <c r="KG198" i="1"/>
  <c r="KG200" i="1"/>
  <c r="KG136" i="1"/>
  <c r="KG108" i="1"/>
  <c r="KG149" i="1"/>
  <c r="KG187" i="1"/>
  <c r="KG168" i="1"/>
  <c r="KG162" i="1"/>
  <c r="KG139" i="1"/>
  <c r="KG196" i="1"/>
  <c r="KG153" i="1"/>
  <c r="KG197" i="1"/>
  <c r="KG176" i="1"/>
  <c r="KG202" i="1"/>
  <c r="KG167" i="1"/>
  <c r="KG207" i="1"/>
  <c r="KG192" i="1"/>
  <c r="KF3" i="1"/>
  <c r="KF2" i="1"/>
  <c r="KF43" i="1"/>
  <c r="KF71" i="1"/>
  <c r="KF7" i="1"/>
  <c r="KF164" i="1"/>
  <c r="KF4" i="1"/>
  <c r="KF99" i="1"/>
  <c r="KF6" i="1"/>
  <c r="KF8" i="1"/>
  <c r="KF10" i="1"/>
  <c r="KF9" i="1"/>
  <c r="KF127" i="1"/>
  <c r="KF11" i="1"/>
  <c r="KF44" i="1"/>
  <c r="KF39" i="1"/>
  <c r="KF45" i="1"/>
  <c r="KF16" i="1"/>
  <c r="KF12" i="1"/>
  <c r="KF48" i="1"/>
  <c r="KF54" i="1"/>
  <c r="KF47" i="1"/>
  <c r="KF20" i="1"/>
  <c r="KF50" i="1"/>
  <c r="KF22" i="1"/>
  <c r="KF49" i="1"/>
  <c r="KF13" i="1"/>
  <c r="KF26" i="1"/>
  <c r="KF52" i="1"/>
  <c r="KF46" i="1"/>
  <c r="KF72" i="1"/>
  <c r="KF5" i="1"/>
  <c r="KF18" i="1"/>
  <c r="KF23" i="1"/>
  <c r="KF15" i="1"/>
  <c r="KF14" i="1"/>
  <c r="KF59" i="1"/>
  <c r="KF38" i="1"/>
  <c r="KF21" i="1"/>
  <c r="KF27" i="1"/>
  <c r="KF17" i="1"/>
  <c r="KF68" i="1"/>
  <c r="KF121" i="1"/>
  <c r="KF24" i="1"/>
  <c r="KF30" i="1"/>
  <c r="KF40" i="1"/>
  <c r="KF35" i="1"/>
  <c r="KF29" i="1"/>
  <c r="KF37" i="1"/>
  <c r="KF28" i="1"/>
  <c r="KF19" i="1"/>
  <c r="KF33" i="1"/>
  <c r="KF109" i="1"/>
  <c r="KF64" i="1"/>
  <c r="KF63" i="1"/>
  <c r="KF77" i="1"/>
  <c r="KF115" i="1"/>
  <c r="KF31" i="1"/>
  <c r="KF41" i="1"/>
  <c r="KF191" i="1"/>
  <c r="KF85" i="1"/>
  <c r="KF62" i="1"/>
  <c r="KF36" i="1"/>
  <c r="KF32" i="1"/>
  <c r="KF34" i="1"/>
  <c r="KF93" i="1"/>
  <c r="KF117" i="1"/>
  <c r="KF154" i="1"/>
  <c r="KF107" i="1"/>
  <c r="KF98" i="1"/>
  <c r="KF138" i="1"/>
  <c r="KF75" i="1"/>
  <c r="KF122" i="1"/>
  <c r="KF84" i="1"/>
  <c r="KF116" i="1"/>
  <c r="KF186" i="1"/>
  <c r="KF89" i="1"/>
  <c r="KF70" i="1"/>
  <c r="KF61" i="1"/>
  <c r="KF74" i="1"/>
  <c r="KF88" i="1"/>
  <c r="KF73" i="1"/>
  <c r="KF111" i="1"/>
  <c r="KF87" i="1"/>
  <c r="KF82" i="1"/>
  <c r="KF53" i="1"/>
  <c r="KF175" i="1"/>
  <c r="KF55" i="1"/>
  <c r="KF51" i="1"/>
  <c r="KF157" i="1"/>
  <c r="KF158" i="1"/>
  <c r="KF83" i="1"/>
  <c r="KF91" i="1"/>
  <c r="KF105" i="1"/>
  <c r="KF103" i="1"/>
  <c r="KF188" i="1"/>
  <c r="KF163" i="1"/>
  <c r="KF101" i="1"/>
  <c r="KF65" i="1"/>
  <c r="KF60" i="1"/>
  <c r="KF80" i="1"/>
  <c r="KF56" i="1"/>
  <c r="KF57" i="1"/>
  <c r="KF25" i="1"/>
  <c r="KF104" i="1"/>
  <c r="KF66" i="1"/>
  <c r="KF58" i="1"/>
  <c r="KF155" i="1"/>
  <c r="KF156" i="1"/>
  <c r="KF134" i="1"/>
  <c r="KF92" i="1"/>
  <c r="KF67" i="1"/>
  <c r="KF126" i="1"/>
  <c r="KF145" i="1"/>
  <c r="KF135" i="1"/>
  <c r="KF159" i="1"/>
  <c r="KF76" i="1"/>
  <c r="KF114" i="1"/>
  <c r="KF161" i="1"/>
  <c r="KF160" i="1"/>
  <c r="KF95" i="1"/>
  <c r="KF120" i="1"/>
  <c r="KF42" i="1"/>
  <c r="KF183" i="1"/>
  <c r="KF112" i="1"/>
  <c r="KF148" i="1"/>
  <c r="KF179" i="1"/>
  <c r="KF128" i="1"/>
  <c r="KF144" i="1"/>
  <c r="KF110" i="1"/>
  <c r="KF81" i="1"/>
  <c r="KF100" i="1"/>
  <c r="KF123" i="1"/>
  <c r="KF86" i="1"/>
  <c r="KF174" i="1"/>
  <c r="KF201" i="1"/>
  <c r="KF90" i="1"/>
  <c r="KF102" i="1"/>
  <c r="KF94" i="1"/>
  <c r="KF119" i="1"/>
  <c r="KF141" i="1"/>
  <c r="KF147" i="1"/>
  <c r="KF165" i="1"/>
  <c r="KF132" i="1"/>
  <c r="KF189" i="1"/>
  <c r="KF133" i="1"/>
  <c r="KF206" i="1"/>
  <c r="KF78" i="1"/>
  <c r="KF143" i="1"/>
  <c r="KF150" i="1"/>
  <c r="KF130" i="1"/>
  <c r="KF96" i="1"/>
  <c r="KF182" i="1"/>
  <c r="KF195" i="1"/>
  <c r="KF178" i="1"/>
  <c r="KF181" i="1"/>
  <c r="KF194" i="1"/>
  <c r="KF208" i="1"/>
  <c r="KF129" i="1"/>
  <c r="KF180" i="1"/>
  <c r="KF140" i="1"/>
  <c r="KF125" i="1"/>
  <c r="KF131" i="1"/>
  <c r="KF173" i="1"/>
  <c r="KF184" i="1"/>
  <c r="KF190" i="1"/>
  <c r="KF142" i="1"/>
  <c r="KF69" i="1"/>
  <c r="KF151" i="1"/>
  <c r="KF193" i="1"/>
  <c r="KF169" i="1"/>
  <c r="KF166" i="1"/>
  <c r="KF97" i="1"/>
  <c r="KF79" i="1"/>
  <c r="KF146" i="1"/>
  <c r="KF204" i="1"/>
  <c r="KF113" i="1"/>
  <c r="KF172" i="1"/>
  <c r="KF171" i="1"/>
  <c r="KF185" i="1"/>
  <c r="KF137" i="1"/>
  <c r="KF205" i="1"/>
  <c r="KF177" i="1"/>
  <c r="KF199" i="1"/>
  <c r="KF106" i="1"/>
  <c r="KF203" i="1"/>
  <c r="KF124" i="1"/>
  <c r="KF170" i="1"/>
  <c r="KF152" i="1"/>
  <c r="KF118" i="1"/>
  <c r="KF198" i="1"/>
  <c r="KF200" i="1"/>
  <c r="KF136" i="1"/>
  <c r="KF108" i="1"/>
  <c r="KF149" i="1"/>
  <c r="KF187" i="1"/>
  <c r="KF168" i="1"/>
  <c r="KF162" i="1"/>
  <c r="KF139" i="1"/>
  <c r="KF196" i="1"/>
  <c r="KF153" i="1"/>
  <c r="KF197" i="1"/>
  <c r="KF176" i="1"/>
  <c r="KF202" i="1"/>
  <c r="KF167" i="1"/>
  <c r="KF207" i="1"/>
  <c r="KF192" i="1"/>
  <c r="KE3" i="1"/>
  <c r="KE2" i="1"/>
  <c r="KE43" i="1"/>
  <c r="KE71" i="1"/>
  <c r="KE7" i="1"/>
  <c r="KE164" i="1"/>
  <c r="KE4" i="1"/>
  <c r="KE99" i="1"/>
  <c r="KE6" i="1"/>
  <c r="KE8" i="1"/>
  <c r="KE10" i="1"/>
  <c r="KE9" i="1"/>
  <c r="KE127" i="1"/>
  <c r="KE11" i="1"/>
  <c r="KE44" i="1"/>
  <c r="KE39" i="1"/>
  <c r="KE45" i="1"/>
  <c r="KE16" i="1"/>
  <c r="KE12" i="1"/>
  <c r="KE48" i="1"/>
  <c r="KE54" i="1"/>
  <c r="KE47" i="1"/>
  <c r="KE20" i="1"/>
  <c r="KE50" i="1"/>
  <c r="KE22" i="1"/>
  <c r="KE49" i="1"/>
  <c r="KE13" i="1"/>
  <c r="KE26" i="1"/>
  <c r="KE52" i="1"/>
  <c r="KE46" i="1"/>
  <c r="KE72" i="1"/>
  <c r="KE5" i="1"/>
  <c r="KE18" i="1"/>
  <c r="KE23" i="1"/>
  <c r="KE15" i="1"/>
  <c r="KE14" i="1"/>
  <c r="KE59" i="1"/>
  <c r="KE38" i="1"/>
  <c r="KE21" i="1"/>
  <c r="KE27" i="1"/>
  <c r="KE17" i="1"/>
  <c r="KE68" i="1"/>
  <c r="KE121" i="1"/>
  <c r="KE24" i="1"/>
  <c r="KE30" i="1"/>
  <c r="KE40" i="1"/>
  <c r="KE35" i="1"/>
  <c r="KE29" i="1"/>
  <c r="KE37" i="1"/>
  <c r="KE28" i="1"/>
  <c r="KE19" i="1"/>
  <c r="KE33" i="1"/>
  <c r="KE109" i="1"/>
  <c r="KE64" i="1"/>
  <c r="KE63" i="1"/>
  <c r="KE77" i="1"/>
  <c r="KE115" i="1"/>
  <c r="KE31" i="1"/>
  <c r="KE41" i="1"/>
  <c r="KE191" i="1"/>
  <c r="KE85" i="1"/>
  <c r="KE62" i="1"/>
  <c r="KE36" i="1"/>
  <c r="KE32" i="1"/>
  <c r="KE34" i="1"/>
  <c r="KE93" i="1"/>
  <c r="KE117" i="1"/>
  <c r="KE154" i="1"/>
  <c r="KE107" i="1"/>
  <c r="KE98" i="1"/>
  <c r="KE138" i="1"/>
  <c r="KE75" i="1"/>
  <c r="KE122" i="1"/>
  <c r="KE84" i="1"/>
  <c r="KE116" i="1"/>
  <c r="KE186" i="1"/>
  <c r="KE89" i="1"/>
  <c r="KE70" i="1"/>
  <c r="KE61" i="1"/>
  <c r="KE74" i="1"/>
  <c r="KE88" i="1"/>
  <c r="KE73" i="1"/>
  <c r="KE111" i="1"/>
  <c r="KE87" i="1"/>
  <c r="KE82" i="1"/>
  <c r="KE53" i="1"/>
  <c r="KE175" i="1"/>
  <c r="KE55" i="1"/>
  <c r="KE51" i="1"/>
  <c r="KE157" i="1"/>
  <c r="KE158" i="1"/>
  <c r="KE83" i="1"/>
  <c r="KE91" i="1"/>
  <c r="KE105" i="1"/>
  <c r="KE103" i="1"/>
  <c r="KE188" i="1"/>
  <c r="KE163" i="1"/>
  <c r="KE101" i="1"/>
  <c r="KE65" i="1"/>
  <c r="KE60" i="1"/>
  <c r="KE80" i="1"/>
  <c r="KE56" i="1"/>
  <c r="KE57" i="1"/>
  <c r="KE25" i="1"/>
  <c r="KE104" i="1"/>
  <c r="KE66" i="1"/>
  <c r="KE58" i="1"/>
  <c r="KE155" i="1"/>
  <c r="KE156" i="1"/>
  <c r="KE134" i="1"/>
  <c r="KE92" i="1"/>
  <c r="KE67" i="1"/>
  <c r="KE126" i="1"/>
  <c r="KE145" i="1"/>
  <c r="KE135" i="1"/>
  <c r="KE159" i="1"/>
  <c r="KE76" i="1"/>
  <c r="KE114" i="1"/>
  <c r="KE161" i="1"/>
  <c r="KE160" i="1"/>
  <c r="KE95" i="1"/>
  <c r="KE120" i="1"/>
  <c r="KE42" i="1"/>
  <c r="KE183" i="1"/>
  <c r="KE112" i="1"/>
  <c r="KE148" i="1"/>
  <c r="KE179" i="1"/>
  <c r="KE128" i="1"/>
  <c r="KE144" i="1"/>
  <c r="KE110" i="1"/>
  <c r="KE81" i="1"/>
  <c r="KE100" i="1"/>
  <c r="KE123" i="1"/>
  <c r="KE86" i="1"/>
  <c r="KE174" i="1"/>
  <c r="KE201" i="1"/>
  <c r="KE90" i="1"/>
  <c r="KE102" i="1"/>
  <c r="KE94" i="1"/>
  <c r="KE119" i="1"/>
  <c r="KE141" i="1"/>
  <c r="KE147" i="1"/>
  <c r="KE165" i="1"/>
  <c r="KE132" i="1"/>
  <c r="KE189" i="1"/>
  <c r="KE133" i="1"/>
  <c r="KE206" i="1"/>
  <c r="KE78" i="1"/>
  <c r="KE143" i="1"/>
  <c r="KE150" i="1"/>
  <c r="KE130" i="1"/>
  <c r="KE96" i="1"/>
  <c r="KE182" i="1"/>
  <c r="KE195" i="1"/>
  <c r="KE178" i="1"/>
  <c r="KE181" i="1"/>
  <c r="KE194" i="1"/>
  <c r="KE208" i="1"/>
  <c r="KE129" i="1"/>
  <c r="KE180" i="1"/>
  <c r="KE140" i="1"/>
  <c r="KE125" i="1"/>
  <c r="KE131" i="1"/>
  <c r="KE173" i="1"/>
  <c r="KE184" i="1"/>
  <c r="KE190" i="1"/>
  <c r="KE142" i="1"/>
  <c r="KE69" i="1"/>
  <c r="KE151" i="1"/>
  <c r="KE193" i="1"/>
  <c r="KE169" i="1"/>
  <c r="KE166" i="1"/>
  <c r="KE97" i="1"/>
  <c r="KE79" i="1"/>
  <c r="KE146" i="1"/>
  <c r="KE204" i="1"/>
  <c r="KE113" i="1"/>
  <c r="KE172" i="1"/>
  <c r="KE171" i="1"/>
  <c r="KE185" i="1"/>
  <c r="KE137" i="1"/>
  <c r="KE205" i="1"/>
  <c r="KE177" i="1"/>
  <c r="KE199" i="1"/>
  <c r="KE106" i="1"/>
  <c r="KE203" i="1"/>
  <c r="KE124" i="1"/>
  <c r="KE170" i="1"/>
  <c r="KE152" i="1"/>
  <c r="KE118" i="1"/>
  <c r="KE198" i="1"/>
  <c r="KE200" i="1"/>
  <c r="KE136" i="1"/>
  <c r="KE108" i="1"/>
  <c r="KE149" i="1"/>
  <c r="KE187" i="1"/>
  <c r="KE168" i="1"/>
  <c r="KE162" i="1"/>
  <c r="KE139" i="1"/>
  <c r="KE196" i="1"/>
  <c r="KE153" i="1"/>
  <c r="KE197" i="1"/>
  <c r="KE176" i="1"/>
  <c r="KE202" i="1"/>
  <c r="KE167" i="1"/>
  <c r="KE207" i="1"/>
  <c r="KE192" i="1"/>
  <c r="KD3" i="1"/>
  <c r="KD2" i="1"/>
  <c r="KD43" i="1"/>
  <c r="KD71" i="1"/>
  <c r="KD7" i="1"/>
  <c r="KD164" i="1"/>
  <c r="KD4" i="1"/>
  <c r="KD99" i="1"/>
  <c r="KD6" i="1"/>
  <c r="KD8" i="1"/>
  <c r="KD10" i="1"/>
  <c r="KD9" i="1"/>
  <c r="KD127" i="1"/>
  <c r="KD11" i="1"/>
  <c r="KD44" i="1"/>
  <c r="KD39" i="1"/>
  <c r="KD45" i="1"/>
  <c r="KD16" i="1"/>
  <c r="KD12" i="1"/>
  <c r="KD48" i="1"/>
  <c r="KD54" i="1"/>
  <c r="KD47" i="1"/>
  <c r="KD20" i="1"/>
  <c r="KD50" i="1"/>
  <c r="KD22" i="1"/>
  <c r="KD49" i="1"/>
  <c r="KD13" i="1"/>
  <c r="KD26" i="1"/>
  <c r="KD52" i="1"/>
  <c r="KD46" i="1"/>
  <c r="KD72" i="1"/>
  <c r="KD5" i="1"/>
  <c r="KD18" i="1"/>
  <c r="KD23" i="1"/>
  <c r="KD15" i="1"/>
  <c r="KD14" i="1"/>
  <c r="KD59" i="1"/>
  <c r="KD38" i="1"/>
  <c r="KD21" i="1"/>
  <c r="KD27" i="1"/>
  <c r="KD17" i="1"/>
  <c r="KD68" i="1"/>
  <c r="KD121" i="1"/>
  <c r="KD24" i="1"/>
  <c r="KD30" i="1"/>
  <c r="KD40" i="1"/>
  <c r="KD35" i="1"/>
  <c r="KD29" i="1"/>
  <c r="KD37" i="1"/>
  <c r="KD28" i="1"/>
  <c r="KD19" i="1"/>
  <c r="KD33" i="1"/>
  <c r="KD109" i="1"/>
  <c r="KD64" i="1"/>
  <c r="KD63" i="1"/>
  <c r="KD77" i="1"/>
  <c r="KD115" i="1"/>
  <c r="KD31" i="1"/>
  <c r="KD41" i="1"/>
  <c r="KD191" i="1"/>
  <c r="KD85" i="1"/>
  <c r="KD62" i="1"/>
  <c r="KD36" i="1"/>
  <c r="KD32" i="1"/>
  <c r="KD34" i="1"/>
  <c r="KD93" i="1"/>
  <c r="KD117" i="1"/>
  <c r="KD154" i="1"/>
  <c r="KD107" i="1"/>
  <c r="KD98" i="1"/>
  <c r="KD138" i="1"/>
  <c r="KD75" i="1"/>
  <c r="KD122" i="1"/>
  <c r="KD84" i="1"/>
  <c r="KD116" i="1"/>
  <c r="KD186" i="1"/>
  <c r="KD89" i="1"/>
  <c r="KD70" i="1"/>
  <c r="KD61" i="1"/>
  <c r="KD74" i="1"/>
  <c r="KD88" i="1"/>
  <c r="KD73" i="1"/>
  <c r="KD111" i="1"/>
  <c r="KD87" i="1"/>
  <c r="KD82" i="1"/>
  <c r="KD53" i="1"/>
  <c r="KD175" i="1"/>
  <c r="KD55" i="1"/>
  <c r="KD51" i="1"/>
  <c r="KD157" i="1"/>
  <c r="KD158" i="1"/>
  <c r="KD83" i="1"/>
  <c r="KD91" i="1"/>
  <c r="KD105" i="1"/>
  <c r="KD103" i="1"/>
  <c r="KD188" i="1"/>
  <c r="KD163" i="1"/>
  <c r="KD101" i="1"/>
  <c r="KD65" i="1"/>
  <c r="KD60" i="1"/>
  <c r="KD80" i="1"/>
  <c r="KD56" i="1"/>
  <c r="KD57" i="1"/>
  <c r="KD25" i="1"/>
  <c r="KD104" i="1"/>
  <c r="KD66" i="1"/>
  <c r="KD58" i="1"/>
  <c r="KD155" i="1"/>
  <c r="KD156" i="1"/>
  <c r="KD134" i="1"/>
  <c r="KD92" i="1"/>
  <c r="KD67" i="1"/>
  <c r="KD126" i="1"/>
  <c r="KD145" i="1"/>
  <c r="KD135" i="1"/>
  <c r="KD159" i="1"/>
  <c r="KD76" i="1"/>
  <c r="KD114" i="1"/>
  <c r="KD161" i="1"/>
  <c r="KD160" i="1"/>
  <c r="KD95" i="1"/>
  <c r="KD120" i="1"/>
  <c r="KD42" i="1"/>
  <c r="KD183" i="1"/>
  <c r="KD112" i="1"/>
  <c r="KD148" i="1"/>
  <c r="KD179" i="1"/>
  <c r="KD128" i="1"/>
  <c r="KD144" i="1"/>
  <c r="KD110" i="1"/>
  <c r="KD81" i="1"/>
  <c r="KD100" i="1"/>
  <c r="KD123" i="1"/>
  <c r="KD86" i="1"/>
  <c r="KD174" i="1"/>
  <c r="KD201" i="1"/>
  <c r="KD90" i="1"/>
  <c r="KD102" i="1"/>
  <c r="KD94" i="1"/>
  <c r="KD119" i="1"/>
  <c r="KD141" i="1"/>
  <c r="KD147" i="1"/>
  <c r="KD165" i="1"/>
  <c r="KD132" i="1"/>
  <c r="KD189" i="1"/>
  <c r="KD133" i="1"/>
  <c r="KD206" i="1"/>
  <c r="KD78" i="1"/>
  <c r="KD143" i="1"/>
  <c r="KD150" i="1"/>
  <c r="KD130" i="1"/>
  <c r="KD96" i="1"/>
  <c r="KD182" i="1"/>
  <c r="KD195" i="1"/>
  <c r="KD178" i="1"/>
  <c r="KD181" i="1"/>
  <c r="KD194" i="1"/>
  <c r="KD208" i="1"/>
  <c r="KD129" i="1"/>
  <c r="KD180" i="1"/>
  <c r="KD140" i="1"/>
  <c r="KD125" i="1"/>
  <c r="KD131" i="1"/>
  <c r="KD173" i="1"/>
  <c r="KD184" i="1"/>
  <c r="KD190" i="1"/>
  <c r="KD142" i="1"/>
  <c r="KD69" i="1"/>
  <c r="KD151" i="1"/>
  <c r="KD193" i="1"/>
  <c r="KD169" i="1"/>
  <c r="KD166" i="1"/>
  <c r="KD97" i="1"/>
  <c r="KD79" i="1"/>
  <c r="KD146" i="1"/>
  <c r="KD204" i="1"/>
  <c r="KD113" i="1"/>
  <c r="KD172" i="1"/>
  <c r="KD171" i="1"/>
  <c r="KD185" i="1"/>
  <c r="KD137" i="1"/>
  <c r="KD205" i="1"/>
  <c r="KD177" i="1"/>
  <c r="KD199" i="1"/>
  <c r="KD106" i="1"/>
  <c r="KD203" i="1"/>
  <c r="KD124" i="1"/>
  <c r="KD170" i="1"/>
  <c r="KD152" i="1"/>
  <c r="KD118" i="1"/>
  <c r="KD198" i="1"/>
  <c r="KD200" i="1"/>
  <c r="KD136" i="1"/>
  <c r="KD108" i="1"/>
  <c r="KD149" i="1"/>
  <c r="KD187" i="1"/>
  <c r="KD168" i="1"/>
  <c r="KD162" i="1"/>
  <c r="KD139" i="1"/>
  <c r="KD196" i="1"/>
  <c r="KD153" i="1"/>
  <c r="KD197" i="1"/>
  <c r="KD176" i="1"/>
  <c r="KD202" i="1"/>
  <c r="KD167" i="1"/>
  <c r="KD207" i="1"/>
  <c r="KD192" i="1"/>
  <c r="KC3" i="1"/>
  <c r="KC2" i="1"/>
  <c r="KC43" i="1"/>
  <c r="KC71" i="1"/>
  <c r="KC7" i="1"/>
  <c r="KC164" i="1"/>
  <c r="KC4" i="1"/>
  <c r="KC99" i="1"/>
  <c r="KC6" i="1"/>
  <c r="KC8" i="1"/>
  <c r="KC10" i="1"/>
  <c r="KC9" i="1"/>
  <c r="KC127" i="1"/>
  <c r="KC11" i="1"/>
  <c r="KC44" i="1"/>
  <c r="KC39" i="1"/>
  <c r="KC45" i="1"/>
  <c r="KC16" i="1"/>
  <c r="KC12" i="1"/>
  <c r="KC48" i="1"/>
  <c r="KC54" i="1"/>
  <c r="KC47" i="1"/>
  <c r="KC20" i="1"/>
  <c r="KC50" i="1"/>
  <c r="KC22" i="1"/>
  <c r="KC49" i="1"/>
  <c r="KC13" i="1"/>
  <c r="KC26" i="1"/>
  <c r="KC52" i="1"/>
  <c r="KC46" i="1"/>
  <c r="KC72" i="1"/>
  <c r="KC5" i="1"/>
  <c r="KC18" i="1"/>
  <c r="KC23" i="1"/>
  <c r="KC15" i="1"/>
  <c r="KC14" i="1"/>
  <c r="KC59" i="1"/>
  <c r="KC38" i="1"/>
  <c r="KC21" i="1"/>
  <c r="KC27" i="1"/>
  <c r="KC17" i="1"/>
  <c r="KC68" i="1"/>
  <c r="KC121" i="1"/>
  <c r="KC24" i="1"/>
  <c r="KC30" i="1"/>
  <c r="KC40" i="1"/>
  <c r="KC35" i="1"/>
  <c r="KC29" i="1"/>
  <c r="KC37" i="1"/>
  <c r="KC28" i="1"/>
  <c r="KC19" i="1"/>
  <c r="KC33" i="1"/>
  <c r="KC109" i="1"/>
  <c r="KC64" i="1"/>
  <c r="KC63" i="1"/>
  <c r="KC77" i="1"/>
  <c r="KC115" i="1"/>
  <c r="KC31" i="1"/>
  <c r="KC41" i="1"/>
  <c r="KC191" i="1"/>
  <c r="KC85" i="1"/>
  <c r="KC62" i="1"/>
  <c r="KC36" i="1"/>
  <c r="KC32" i="1"/>
  <c r="KC34" i="1"/>
  <c r="KC93" i="1"/>
  <c r="KC117" i="1"/>
  <c r="KC154" i="1"/>
  <c r="KC107" i="1"/>
  <c r="KC98" i="1"/>
  <c r="KC138" i="1"/>
  <c r="KC75" i="1"/>
  <c r="KC122" i="1"/>
  <c r="KC84" i="1"/>
  <c r="KC116" i="1"/>
  <c r="KC186" i="1"/>
  <c r="KC89" i="1"/>
  <c r="KC70" i="1"/>
  <c r="KC61" i="1"/>
  <c r="KC74" i="1"/>
  <c r="KC88" i="1"/>
  <c r="KC73" i="1"/>
  <c r="KC111" i="1"/>
  <c r="KC87" i="1"/>
  <c r="KC82" i="1"/>
  <c r="KC53" i="1"/>
  <c r="KC175" i="1"/>
  <c r="KC55" i="1"/>
  <c r="KC51" i="1"/>
  <c r="KC157" i="1"/>
  <c r="KC158" i="1"/>
  <c r="KC83" i="1"/>
  <c r="KC91" i="1"/>
  <c r="KC105" i="1"/>
  <c r="KC103" i="1"/>
  <c r="KC188" i="1"/>
  <c r="KC163" i="1"/>
  <c r="KC101" i="1"/>
  <c r="KC65" i="1"/>
  <c r="KC60" i="1"/>
  <c r="KC80" i="1"/>
  <c r="KC56" i="1"/>
  <c r="KC57" i="1"/>
  <c r="KC25" i="1"/>
  <c r="KC104" i="1"/>
  <c r="KC66" i="1"/>
  <c r="KC58" i="1"/>
  <c r="KC155" i="1"/>
  <c r="KC156" i="1"/>
  <c r="KC134" i="1"/>
  <c r="KC92" i="1"/>
  <c r="KC67" i="1"/>
  <c r="KC126" i="1"/>
  <c r="KC145" i="1"/>
  <c r="KC135" i="1"/>
  <c r="KC159" i="1"/>
  <c r="KC76" i="1"/>
  <c r="KC114" i="1"/>
  <c r="KC161" i="1"/>
  <c r="KC160" i="1"/>
  <c r="KC95" i="1"/>
  <c r="KC120" i="1"/>
  <c r="KC42" i="1"/>
  <c r="KC183" i="1"/>
  <c r="KC112" i="1"/>
  <c r="KC148" i="1"/>
  <c r="KC179" i="1"/>
  <c r="KC128" i="1"/>
  <c r="KC144" i="1"/>
  <c r="KC110" i="1"/>
  <c r="KC81" i="1"/>
  <c r="KC100" i="1"/>
  <c r="KC123" i="1"/>
  <c r="KC86" i="1"/>
  <c r="KC174" i="1"/>
  <c r="KC201" i="1"/>
  <c r="KC90" i="1"/>
  <c r="KC102" i="1"/>
  <c r="KC94" i="1"/>
  <c r="KC119" i="1"/>
  <c r="KC141" i="1"/>
  <c r="KC147" i="1"/>
  <c r="KC165" i="1"/>
  <c r="KC132" i="1"/>
  <c r="KC189" i="1"/>
  <c r="KC133" i="1"/>
  <c r="KC206" i="1"/>
  <c r="KC78" i="1"/>
  <c r="KC143" i="1"/>
  <c r="KC150" i="1"/>
  <c r="KC130" i="1"/>
  <c r="KC96" i="1"/>
  <c r="KC182" i="1"/>
  <c r="KC195" i="1"/>
  <c r="KC178" i="1"/>
  <c r="KC181" i="1"/>
  <c r="KC194" i="1"/>
  <c r="KC208" i="1"/>
  <c r="KC129" i="1"/>
  <c r="KC180" i="1"/>
  <c r="KC140" i="1"/>
  <c r="KC125" i="1"/>
  <c r="KC131" i="1"/>
  <c r="KC173" i="1"/>
  <c r="KC184" i="1"/>
  <c r="KC190" i="1"/>
  <c r="KC142" i="1"/>
  <c r="KC69" i="1"/>
  <c r="KC151" i="1"/>
  <c r="KC193" i="1"/>
  <c r="KC169" i="1"/>
  <c r="KC166" i="1"/>
  <c r="KC97" i="1"/>
  <c r="KC79" i="1"/>
  <c r="KC146" i="1"/>
  <c r="KC204" i="1"/>
  <c r="KC113" i="1"/>
  <c r="KC172" i="1"/>
  <c r="KC171" i="1"/>
  <c r="KC185" i="1"/>
  <c r="KC137" i="1"/>
  <c r="KC205" i="1"/>
  <c r="KC177" i="1"/>
  <c r="KC199" i="1"/>
  <c r="KC106" i="1"/>
  <c r="KC203" i="1"/>
  <c r="KC124" i="1"/>
  <c r="KC170" i="1"/>
  <c r="KC152" i="1"/>
  <c r="KC118" i="1"/>
  <c r="KC198" i="1"/>
  <c r="KC200" i="1"/>
  <c r="KC136" i="1"/>
  <c r="KC108" i="1"/>
  <c r="KC149" i="1"/>
  <c r="KC187" i="1"/>
  <c r="KC168" i="1"/>
  <c r="KC162" i="1"/>
  <c r="KC139" i="1"/>
  <c r="KC196" i="1"/>
  <c r="KC153" i="1"/>
  <c r="KC197" i="1"/>
  <c r="KC176" i="1"/>
  <c r="KC202" i="1"/>
  <c r="KC167" i="1"/>
  <c r="KC207" i="1"/>
  <c r="KC192" i="1"/>
  <c r="KB3" i="1"/>
  <c r="KB2" i="1"/>
  <c r="KB43" i="1"/>
  <c r="KB71" i="1"/>
  <c r="KB7" i="1"/>
  <c r="KB164" i="1"/>
  <c r="KB4" i="1"/>
  <c r="KB99" i="1"/>
  <c r="KB6" i="1"/>
  <c r="KB8" i="1"/>
  <c r="KB10" i="1"/>
  <c r="KB9" i="1"/>
  <c r="KB127" i="1"/>
  <c r="KB11" i="1"/>
  <c r="KB44" i="1"/>
  <c r="KB39" i="1"/>
  <c r="KB45" i="1"/>
  <c r="KB16" i="1"/>
  <c r="KB12" i="1"/>
  <c r="KB48" i="1"/>
  <c r="KB54" i="1"/>
  <c r="KB47" i="1"/>
  <c r="KB20" i="1"/>
  <c r="KB50" i="1"/>
  <c r="KB22" i="1"/>
  <c r="KB49" i="1"/>
  <c r="KB13" i="1"/>
  <c r="KB26" i="1"/>
  <c r="KB52" i="1"/>
  <c r="KB46" i="1"/>
  <c r="KB72" i="1"/>
  <c r="KB5" i="1"/>
  <c r="KB18" i="1"/>
  <c r="KB23" i="1"/>
  <c r="KB15" i="1"/>
  <c r="KB14" i="1"/>
  <c r="KB59" i="1"/>
  <c r="KB38" i="1"/>
  <c r="KB21" i="1"/>
  <c r="KB27" i="1"/>
  <c r="KB17" i="1"/>
  <c r="KB68" i="1"/>
  <c r="KB121" i="1"/>
  <c r="KB24" i="1"/>
  <c r="KB30" i="1"/>
  <c r="KB40" i="1"/>
  <c r="KB35" i="1"/>
  <c r="KB29" i="1"/>
  <c r="KB37" i="1"/>
  <c r="KB28" i="1"/>
  <c r="KB19" i="1"/>
  <c r="KB33" i="1"/>
  <c r="KB109" i="1"/>
  <c r="KB64" i="1"/>
  <c r="KB63" i="1"/>
  <c r="KB77" i="1"/>
  <c r="KB115" i="1"/>
  <c r="KB31" i="1"/>
  <c r="KB41" i="1"/>
  <c r="KB191" i="1"/>
  <c r="KB85" i="1"/>
  <c r="KB62" i="1"/>
  <c r="KB36" i="1"/>
  <c r="KB32" i="1"/>
  <c r="KB34" i="1"/>
  <c r="KB93" i="1"/>
  <c r="KB117" i="1"/>
  <c r="KB154" i="1"/>
  <c r="KB107" i="1"/>
  <c r="KB98" i="1"/>
  <c r="KB138" i="1"/>
  <c r="KB75" i="1"/>
  <c r="KB122" i="1"/>
  <c r="KB84" i="1"/>
  <c r="KB116" i="1"/>
  <c r="KB186" i="1"/>
  <c r="KB89" i="1"/>
  <c r="KB70" i="1"/>
  <c r="KB61" i="1"/>
  <c r="KB74" i="1"/>
  <c r="KB88" i="1"/>
  <c r="KB73" i="1"/>
  <c r="KB111" i="1"/>
  <c r="KB87" i="1"/>
  <c r="KB82" i="1"/>
  <c r="KB53" i="1"/>
  <c r="KB175" i="1"/>
  <c r="KB55" i="1"/>
  <c r="KB51" i="1"/>
  <c r="KB157" i="1"/>
  <c r="KB158" i="1"/>
  <c r="KB83" i="1"/>
  <c r="KB91" i="1"/>
  <c r="KB105" i="1"/>
  <c r="KB103" i="1"/>
  <c r="KB188" i="1"/>
  <c r="KB163" i="1"/>
  <c r="KB101" i="1"/>
  <c r="KB65" i="1"/>
  <c r="KB60" i="1"/>
  <c r="KB80" i="1"/>
  <c r="KB56" i="1"/>
  <c r="KB57" i="1"/>
  <c r="KB25" i="1"/>
  <c r="KB104" i="1"/>
  <c r="KB66" i="1"/>
  <c r="KB58" i="1"/>
  <c r="KB155" i="1"/>
  <c r="KB156" i="1"/>
  <c r="KB134" i="1"/>
  <c r="KB92" i="1"/>
  <c r="KB67" i="1"/>
  <c r="KB126" i="1"/>
  <c r="KB145" i="1"/>
  <c r="KB135" i="1"/>
  <c r="KB159" i="1"/>
  <c r="KB76" i="1"/>
  <c r="KB114" i="1"/>
  <c r="KB161" i="1"/>
  <c r="KB160" i="1"/>
  <c r="KB95" i="1"/>
  <c r="KB120" i="1"/>
  <c r="KB42" i="1"/>
  <c r="KB183" i="1"/>
  <c r="KB112" i="1"/>
  <c r="KB148" i="1"/>
  <c r="KB179" i="1"/>
  <c r="KB128" i="1"/>
  <c r="KB144" i="1"/>
  <c r="KB110" i="1"/>
  <c r="KB81" i="1"/>
  <c r="KB100" i="1"/>
  <c r="KB123" i="1"/>
  <c r="KB86" i="1"/>
  <c r="KB174" i="1"/>
  <c r="KB201" i="1"/>
  <c r="KB90" i="1"/>
  <c r="KB102" i="1"/>
  <c r="KB94" i="1"/>
  <c r="KB119" i="1"/>
  <c r="KB141" i="1"/>
  <c r="KB147" i="1"/>
  <c r="KB165" i="1"/>
  <c r="KB132" i="1"/>
  <c r="KB189" i="1"/>
  <c r="KB133" i="1"/>
  <c r="KB206" i="1"/>
  <c r="KB78" i="1"/>
  <c r="KB143" i="1"/>
  <c r="KB150" i="1"/>
  <c r="KB130" i="1"/>
  <c r="KB96" i="1"/>
  <c r="KB182" i="1"/>
  <c r="KB195" i="1"/>
  <c r="KB178" i="1"/>
  <c r="KB181" i="1"/>
  <c r="KB194" i="1"/>
  <c r="KB208" i="1"/>
  <c r="KB129" i="1"/>
  <c r="KB180" i="1"/>
  <c r="KB140" i="1"/>
  <c r="KB125" i="1"/>
  <c r="KB131" i="1"/>
  <c r="KB173" i="1"/>
  <c r="KB184" i="1"/>
  <c r="KB190" i="1"/>
  <c r="KB142" i="1"/>
  <c r="KB69" i="1"/>
  <c r="KB151" i="1"/>
  <c r="KB193" i="1"/>
  <c r="KB169" i="1"/>
  <c r="KB166" i="1"/>
  <c r="KB97" i="1"/>
  <c r="KB79" i="1"/>
  <c r="KB146" i="1"/>
  <c r="KB204" i="1"/>
  <c r="KB113" i="1"/>
  <c r="KB172" i="1"/>
  <c r="KB171" i="1"/>
  <c r="KB185" i="1"/>
  <c r="KB137" i="1"/>
  <c r="KB205" i="1"/>
  <c r="KB177" i="1"/>
  <c r="KB199" i="1"/>
  <c r="KB106" i="1"/>
  <c r="KB203" i="1"/>
  <c r="KB124" i="1"/>
  <c r="KB170" i="1"/>
  <c r="KB152" i="1"/>
  <c r="KB118" i="1"/>
  <c r="KB198" i="1"/>
  <c r="KB200" i="1"/>
  <c r="KB136" i="1"/>
  <c r="KB108" i="1"/>
  <c r="KB149" i="1"/>
  <c r="KB187" i="1"/>
  <c r="KB168" i="1"/>
  <c r="KB162" i="1"/>
  <c r="KB139" i="1"/>
  <c r="KB196" i="1"/>
  <c r="KB153" i="1"/>
  <c r="KB197" i="1"/>
  <c r="KB176" i="1"/>
  <c r="KB202" i="1"/>
  <c r="KB167" i="1"/>
  <c r="KB207" i="1"/>
  <c r="KB192" i="1"/>
  <c r="KA3" i="1"/>
  <c r="KA2" i="1"/>
  <c r="KA43" i="1"/>
  <c r="KA71" i="1"/>
  <c r="KA7" i="1"/>
  <c r="KA164" i="1"/>
  <c r="KA4" i="1"/>
  <c r="KA99" i="1"/>
  <c r="KA6" i="1"/>
  <c r="KA8" i="1"/>
  <c r="KA10" i="1"/>
  <c r="KA9" i="1"/>
  <c r="KA127" i="1"/>
  <c r="KA11" i="1"/>
  <c r="KA44" i="1"/>
  <c r="KA39" i="1"/>
  <c r="KA45" i="1"/>
  <c r="KA16" i="1"/>
  <c r="KA12" i="1"/>
  <c r="KA48" i="1"/>
  <c r="KA54" i="1"/>
  <c r="KA47" i="1"/>
  <c r="KA20" i="1"/>
  <c r="KA50" i="1"/>
  <c r="KA22" i="1"/>
  <c r="KA49" i="1"/>
  <c r="KA13" i="1"/>
  <c r="KA26" i="1"/>
  <c r="KA52" i="1"/>
  <c r="KA46" i="1"/>
  <c r="KA72" i="1"/>
  <c r="KA5" i="1"/>
  <c r="KA18" i="1"/>
  <c r="KA23" i="1"/>
  <c r="KA15" i="1"/>
  <c r="KA14" i="1"/>
  <c r="KA59" i="1"/>
  <c r="KA38" i="1"/>
  <c r="KA21" i="1"/>
  <c r="KA27" i="1"/>
  <c r="KA17" i="1"/>
  <c r="KA68" i="1"/>
  <c r="KA121" i="1"/>
  <c r="KA24" i="1"/>
  <c r="KA30" i="1"/>
  <c r="KA40" i="1"/>
  <c r="KA35" i="1"/>
  <c r="KA29" i="1"/>
  <c r="KA37" i="1"/>
  <c r="KA28" i="1"/>
  <c r="KA19" i="1"/>
  <c r="KA33" i="1"/>
  <c r="KA109" i="1"/>
  <c r="KA64" i="1"/>
  <c r="KA63" i="1"/>
  <c r="KA77" i="1"/>
  <c r="KA115" i="1"/>
  <c r="KA31" i="1"/>
  <c r="KA41" i="1"/>
  <c r="KA191" i="1"/>
  <c r="KA85" i="1"/>
  <c r="KA62" i="1"/>
  <c r="KA36" i="1"/>
  <c r="KA32" i="1"/>
  <c r="KA34" i="1"/>
  <c r="KA93" i="1"/>
  <c r="KA117" i="1"/>
  <c r="KA154" i="1"/>
  <c r="KA107" i="1"/>
  <c r="KA98" i="1"/>
  <c r="KA138" i="1"/>
  <c r="KA75" i="1"/>
  <c r="KA122" i="1"/>
  <c r="KA84" i="1"/>
  <c r="KA116" i="1"/>
  <c r="KA186" i="1"/>
  <c r="KA89" i="1"/>
  <c r="KA70" i="1"/>
  <c r="KA61" i="1"/>
  <c r="KA74" i="1"/>
  <c r="KA88" i="1"/>
  <c r="KA73" i="1"/>
  <c r="KA111" i="1"/>
  <c r="KA87" i="1"/>
  <c r="KA82" i="1"/>
  <c r="KA53" i="1"/>
  <c r="KA175" i="1"/>
  <c r="KA55" i="1"/>
  <c r="KA51" i="1"/>
  <c r="KA157" i="1"/>
  <c r="KA158" i="1"/>
  <c r="KA83" i="1"/>
  <c r="KA91" i="1"/>
  <c r="KA105" i="1"/>
  <c r="KA103" i="1"/>
  <c r="KA188" i="1"/>
  <c r="KA163" i="1"/>
  <c r="KA101" i="1"/>
  <c r="KA65" i="1"/>
  <c r="KA60" i="1"/>
  <c r="KA80" i="1"/>
  <c r="KA56" i="1"/>
  <c r="KA57" i="1"/>
  <c r="KA25" i="1"/>
  <c r="KA104" i="1"/>
  <c r="KA66" i="1"/>
  <c r="KA58" i="1"/>
  <c r="KA155" i="1"/>
  <c r="KA156" i="1"/>
  <c r="KA134" i="1"/>
  <c r="KA92" i="1"/>
  <c r="KA67" i="1"/>
  <c r="KA126" i="1"/>
  <c r="KA145" i="1"/>
  <c r="KA135" i="1"/>
  <c r="KA159" i="1"/>
  <c r="KA76" i="1"/>
  <c r="KA114" i="1"/>
  <c r="KA161" i="1"/>
  <c r="KA160" i="1"/>
  <c r="KA95" i="1"/>
  <c r="KA120" i="1"/>
  <c r="KA42" i="1"/>
  <c r="KA183" i="1"/>
  <c r="KA112" i="1"/>
  <c r="KA148" i="1"/>
  <c r="KA179" i="1"/>
  <c r="KA128" i="1"/>
  <c r="KA144" i="1"/>
  <c r="KA110" i="1"/>
  <c r="KA81" i="1"/>
  <c r="KA100" i="1"/>
  <c r="KA123" i="1"/>
  <c r="KA86" i="1"/>
  <c r="KA174" i="1"/>
  <c r="KA201" i="1"/>
  <c r="KA90" i="1"/>
  <c r="KA102" i="1"/>
  <c r="KA94" i="1"/>
  <c r="KA119" i="1"/>
  <c r="KA141" i="1"/>
  <c r="KA147" i="1"/>
  <c r="KA165" i="1"/>
  <c r="KA132" i="1"/>
  <c r="KA189" i="1"/>
  <c r="KA133" i="1"/>
  <c r="KA206" i="1"/>
  <c r="KA78" i="1"/>
  <c r="KA143" i="1"/>
  <c r="KA150" i="1"/>
  <c r="KA130" i="1"/>
  <c r="KA96" i="1"/>
  <c r="KA182" i="1"/>
  <c r="KA195" i="1"/>
  <c r="KA178" i="1"/>
  <c r="KA181" i="1"/>
  <c r="KA194" i="1"/>
  <c r="KA208" i="1"/>
  <c r="KA129" i="1"/>
  <c r="KA180" i="1"/>
  <c r="KA140" i="1"/>
  <c r="KA125" i="1"/>
  <c r="KA131" i="1"/>
  <c r="KA173" i="1"/>
  <c r="KA184" i="1"/>
  <c r="KA190" i="1"/>
  <c r="KA142" i="1"/>
  <c r="KA69" i="1"/>
  <c r="KA151" i="1"/>
  <c r="KA193" i="1"/>
  <c r="KA169" i="1"/>
  <c r="KA166" i="1"/>
  <c r="KA97" i="1"/>
  <c r="KA79" i="1"/>
  <c r="KA146" i="1"/>
  <c r="KA204" i="1"/>
  <c r="KA113" i="1"/>
  <c r="KA172" i="1"/>
  <c r="KA171" i="1"/>
  <c r="KA185" i="1"/>
  <c r="KA137" i="1"/>
  <c r="KA205" i="1"/>
  <c r="KA177" i="1"/>
  <c r="KA199" i="1"/>
  <c r="KA106" i="1"/>
  <c r="KA203" i="1"/>
  <c r="KA124" i="1"/>
  <c r="KA170" i="1"/>
  <c r="KA152" i="1"/>
  <c r="KA118" i="1"/>
  <c r="KA198" i="1"/>
  <c r="KA200" i="1"/>
  <c r="KA136" i="1"/>
  <c r="KA108" i="1"/>
  <c r="KA149" i="1"/>
  <c r="KA187" i="1"/>
  <c r="KA168" i="1"/>
  <c r="KA162" i="1"/>
  <c r="KA139" i="1"/>
  <c r="KA196" i="1"/>
  <c r="KA153" i="1"/>
  <c r="KA197" i="1"/>
  <c r="KA176" i="1"/>
  <c r="KA202" i="1"/>
  <c r="KA167" i="1"/>
  <c r="KA207" i="1"/>
  <c r="KA192" i="1"/>
  <c r="JZ3" i="1"/>
  <c r="JZ2" i="1"/>
  <c r="JZ43" i="1"/>
  <c r="JZ71" i="1"/>
  <c r="JZ7" i="1"/>
  <c r="JZ164" i="1"/>
  <c r="JZ4" i="1"/>
  <c r="JZ99" i="1"/>
  <c r="JZ6" i="1"/>
  <c r="JZ8" i="1"/>
  <c r="JZ10" i="1"/>
  <c r="JZ9" i="1"/>
  <c r="JZ127" i="1"/>
  <c r="JZ11" i="1"/>
  <c r="JZ44" i="1"/>
  <c r="JZ39" i="1"/>
  <c r="JZ45" i="1"/>
  <c r="JZ16" i="1"/>
  <c r="JZ12" i="1"/>
  <c r="JZ48" i="1"/>
  <c r="JZ54" i="1"/>
  <c r="JZ47" i="1"/>
  <c r="JZ20" i="1"/>
  <c r="JZ50" i="1"/>
  <c r="JZ22" i="1"/>
  <c r="JZ49" i="1"/>
  <c r="JZ13" i="1"/>
  <c r="JZ26" i="1"/>
  <c r="JZ52" i="1"/>
  <c r="JZ46" i="1"/>
  <c r="JZ72" i="1"/>
  <c r="JZ5" i="1"/>
  <c r="JZ18" i="1"/>
  <c r="JZ23" i="1"/>
  <c r="JZ15" i="1"/>
  <c r="JZ14" i="1"/>
  <c r="JZ59" i="1"/>
  <c r="JZ38" i="1"/>
  <c r="JZ21" i="1"/>
  <c r="JZ27" i="1"/>
  <c r="JZ17" i="1"/>
  <c r="JZ68" i="1"/>
  <c r="JZ121" i="1"/>
  <c r="JZ24" i="1"/>
  <c r="JZ30" i="1"/>
  <c r="JZ40" i="1"/>
  <c r="JZ35" i="1"/>
  <c r="JZ29" i="1"/>
  <c r="JZ37" i="1"/>
  <c r="JZ28" i="1"/>
  <c r="JZ19" i="1"/>
  <c r="JZ33" i="1"/>
  <c r="JZ109" i="1"/>
  <c r="JZ64" i="1"/>
  <c r="JZ63" i="1"/>
  <c r="JZ77" i="1"/>
  <c r="JZ115" i="1"/>
  <c r="JZ31" i="1"/>
  <c r="JZ41" i="1"/>
  <c r="JZ191" i="1"/>
  <c r="JZ85" i="1"/>
  <c r="JZ62" i="1"/>
  <c r="JZ36" i="1"/>
  <c r="JZ32" i="1"/>
  <c r="JZ34" i="1"/>
  <c r="JZ93" i="1"/>
  <c r="JZ117" i="1"/>
  <c r="JZ154" i="1"/>
  <c r="JZ107" i="1"/>
  <c r="JZ98" i="1"/>
  <c r="JZ138" i="1"/>
  <c r="JZ75" i="1"/>
  <c r="JZ122" i="1"/>
  <c r="JZ84" i="1"/>
  <c r="JZ116" i="1"/>
  <c r="JZ186" i="1"/>
  <c r="JZ89" i="1"/>
  <c r="JZ70" i="1"/>
  <c r="JZ61" i="1"/>
  <c r="JZ74" i="1"/>
  <c r="JZ88" i="1"/>
  <c r="JZ73" i="1"/>
  <c r="JZ111" i="1"/>
  <c r="JZ87" i="1"/>
  <c r="JZ82" i="1"/>
  <c r="JZ53" i="1"/>
  <c r="JZ175" i="1"/>
  <c r="JZ55" i="1"/>
  <c r="JZ51" i="1"/>
  <c r="JZ157" i="1"/>
  <c r="JZ158" i="1"/>
  <c r="JZ83" i="1"/>
  <c r="JZ91" i="1"/>
  <c r="JZ105" i="1"/>
  <c r="JZ103" i="1"/>
  <c r="JZ188" i="1"/>
  <c r="JZ163" i="1"/>
  <c r="JZ101" i="1"/>
  <c r="JZ65" i="1"/>
  <c r="JZ60" i="1"/>
  <c r="JZ80" i="1"/>
  <c r="JZ56" i="1"/>
  <c r="JZ57" i="1"/>
  <c r="JZ25" i="1"/>
  <c r="JZ104" i="1"/>
  <c r="JZ66" i="1"/>
  <c r="JZ58" i="1"/>
  <c r="JZ155" i="1"/>
  <c r="JZ156" i="1"/>
  <c r="JZ134" i="1"/>
  <c r="JZ92" i="1"/>
  <c r="JZ67" i="1"/>
  <c r="JZ126" i="1"/>
  <c r="JZ145" i="1"/>
  <c r="JZ135" i="1"/>
  <c r="JZ159" i="1"/>
  <c r="JZ76" i="1"/>
  <c r="JZ114" i="1"/>
  <c r="JZ161" i="1"/>
  <c r="JZ160" i="1"/>
  <c r="JZ95" i="1"/>
  <c r="JZ120" i="1"/>
  <c r="JZ42" i="1"/>
  <c r="JZ183" i="1"/>
  <c r="JZ112" i="1"/>
  <c r="JZ148" i="1"/>
  <c r="JZ179" i="1"/>
  <c r="JZ128" i="1"/>
  <c r="JZ144" i="1"/>
  <c r="JZ110" i="1"/>
  <c r="JZ81" i="1"/>
  <c r="JZ100" i="1"/>
  <c r="JZ123" i="1"/>
  <c r="JZ86" i="1"/>
  <c r="JZ174" i="1"/>
  <c r="JZ201" i="1"/>
  <c r="JZ90" i="1"/>
  <c r="JZ102" i="1"/>
  <c r="JZ94" i="1"/>
  <c r="JZ119" i="1"/>
  <c r="JZ141" i="1"/>
  <c r="JZ147" i="1"/>
  <c r="JZ165" i="1"/>
  <c r="JZ132" i="1"/>
  <c r="JZ189" i="1"/>
  <c r="JZ133" i="1"/>
  <c r="JZ206" i="1"/>
  <c r="JZ78" i="1"/>
  <c r="JZ143" i="1"/>
  <c r="JZ150" i="1"/>
  <c r="JZ130" i="1"/>
  <c r="JZ96" i="1"/>
  <c r="JZ182" i="1"/>
  <c r="JZ195" i="1"/>
  <c r="JZ178" i="1"/>
  <c r="JZ181" i="1"/>
  <c r="JZ194" i="1"/>
  <c r="JZ208" i="1"/>
  <c r="JZ129" i="1"/>
  <c r="JZ180" i="1"/>
  <c r="JZ140" i="1"/>
  <c r="JZ125" i="1"/>
  <c r="JZ131" i="1"/>
  <c r="JZ173" i="1"/>
  <c r="JZ184" i="1"/>
  <c r="JZ190" i="1"/>
  <c r="JZ142" i="1"/>
  <c r="JZ69" i="1"/>
  <c r="JZ151" i="1"/>
  <c r="JZ193" i="1"/>
  <c r="JZ169" i="1"/>
  <c r="JZ166" i="1"/>
  <c r="JZ97" i="1"/>
  <c r="JZ79" i="1"/>
  <c r="JZ146" i="1"/>
  <c r="JZ204" i="1"/>
  <c r="JZ113" i="1"/>
  <c r="JZ172" i="1"/>
  <c r="JZ171" i="1"/>
  <c r="JZ185" i="1"/>
  <c r="JZ137" i="1"/>
  <c r="JZ205" i="1"/>
  <c r="JZ177" i="1"/>
  <c r="JZ199" i="1"/>
  <c r="JZ106" i="1"/>
  <c r="JZ203" i="1"/>
  <c r="JZ124" i="1"/>
  <c r="JZ170" i="1"/>
  <c r="JZ152" i="1"/>
  <c r="JZ118" i="1"/>
  <c r="JZ198" i="1"/>
  <c r="JZ200" i="1"/>
  <c r="JZ136" i="1"/>
  <c r="JZ108" i="1"/>
  <c r="JZ149" i="1"/>
  <c r="JZ187" i="1"/>
  <c r="JZ168" i="1"/>
  <c r="JZ162" i="1"/>
  <c r="JZ139" i="1"/>
  <c r="JZ196" i="1"/>
  <c r="JZ153" i="1"/>
  <c r="JZ197" i="1"/>
  <c r="JZ176" i="1"/>
  <c r="JZ202" i="1"/>
  <c r="JZ167" i="1"/>
  <c r="JZ207" i="1"/>
  <c r="JZ192" i="1"/>
  <c r="JY3" i="1"/>
  <c r="JY2" i="1"/>
  <c r="JY43" i="1"/>
  <c r="JY71" i="1"/>
  <c r="JY7" i="1"/>
  <c r="JY164" i="1"/>
  <c r="JY4" i="1"/>
  <c r="JY99" i="1"/>
  <c r="JY6" i="1"/>
  <c r="JY8" i="1"/>
  <c r="JY10" i="1"/>
  <c r="JY9" i="1"/>
  <c r="JY127" i="1"/>
  <c r="JY11" i="1"/>
  <c r="JY44" i="1"/>
  <c r="JY39" i="1"/>
  <c r="JY45" i="1"/>
  <c r="JY16" i="1"/>
  <c r="JY12" i="1"/>
  <c r="JY48" i="1"/>
  <c r="JY54" i="1"/>
  <c r="JY47" i="1"/>
  <c r="JY20" i="1"/>
  <c r="JY50" i="1"/>
  <c r="JY22" i="1"/>
  <c r="JY49" i="1"/>
  <c r="JY13" i="1"/>
  <c r="JY26" i="1"/>
  <c r="JY52" i="1"/>
  <c r="JY46" i="1"/>
  <c r="JY72" i="1"/>
  <c r="JY5" i="1"/>
  <c r="JY18" i="1"/>
  <c r="JY23" i="1"/>
  <c r="JY15" i="1"/>
  <c r="JY14" i="1"/>
  <c r="JY59" i="1"/>
  <c r="JY38" i="1"/>
  <c r="JY21" i="1"/>
  <c r="JY27" i="1"/>
  <c r="JY17" i="1"/>
  <c r="JY68" i="1"/>
  <c r="JY121" i="1"/>
  <c r="JY24" i="1"/>
  <c r="JY30" i="1"/>
  <c r="JY40" i="1"/>
  <c r="JY35" i="1"/>
  <c r="JY29" i="1"/>
  <c r="JY37" i="1"/>
  <c r="JY28" i="1"/>
  <c r="JY19" i="1"/>
  <c r="JY33" i="1"/>
  <c r="JY109" i="1"/>
  <c r="JY64" i="1"/>
  <c r="JY63" i="1"/>
  <c r="JY77" i="1"/>
  <c r="JY115" i="1"/>
  <c r="JY31" i="1"/>
  <c r="JY41" i="1"/>
  <c r="JY191" i="1"/>
  <c r="JY85" i="1"/>
  <c r="JY62" i="1"/>
  <c r="JY36" i="1"/>
  <c r="JY32" i="1"/>
  <c r="JY34" i="1"/>
  <c r="JY93" i="1"/>
  <c r="JY117" i="1"/>
  <c r="JY154" i="1"/>
  <c r="JY107" i="1"/>
  <c r="JY98" i="1"/>
  <c r="JY138" i="1"/>
  <c r="JY75" i="1"/>
  <c r="JY122" i="1"/>
  <c r="JY84" i="1"/>
  <c r="JY116" i="1"/>
  <c r="JY186" i="1"/>
  <c r="JY89" i="1"/>
  <c r="JY70" i="1"/>
  <c r="JY61" i="1"/>
  <c r="JY74" i="1"/>
  <c r="JY88" i="1"/>
  <c r="JY73" i="1"/>
  <c r="JY111" i="1"/>
  <c r="JY87" i="1"/>
  <c r="JY82" i="1"/>
  <c r="JY53" i="1"/>
  <c r="JY175" i="1"/>
  <c r="JY55" i="1"/>
  <c r="JY51" i="1"/>
  <c r="JY157" i="1"/>
  <c r="JY158" i="1"/>
  <c r="JY83" i="1"/>
  <c r="JY91" i="1"/>
  <c r="JY105" i="1"/>
  <c r="JY103" i="1"/>
  <c r="JY188" i="1"/>
  <c r="JY163" i="1"/>
  <c r="JY101" i="1"/>
  <c r="JY65" i="1"/>
  <c r="JY60" i="1"/>
  <c r="JY80" i="1"/>
  <c r="JY56" i="1"/>
  <c r="JY57" i="1"/>
  <c r="JY25" i="1"/>
  <c r="JY104" i="1"/>
  <c r="JY66" i="1"/>
  <c r="JY58" i="1"/>
  <c r="JY155" i="1"/>
  <c r="JY156" i="1"/>
  <c r="JY134" i="1"/>
  <c r="JY92" i="1"/>
  <c r="JY67" i="1"/>
  <c r="JY126" i="1"/>
  <c r="JY145" i="1"/>
  <c r="JY135" i="1"/>
  <c r="JY159" i="1"/>
  <c r="JY76" i="1"/>
  <c r="JY114" i="1"/>
  <c r="JY161" i="1"/>
  <c r="JY160" i="1"/>
  <c r="JY95" i="1"/>
  <c r="JY120" i="1"/>
  <c r="JY42" i="1"/>
  <c r="JY183" i="1"/>
  <c r="JY112" i="1"/>
  <c r="JY148" i="1"/>
  <c r="JY179" i="1"/>
  <c r="JY128" i="1"/>
  <c r="JY144" i="1"/>
  <c r="JY110" i="1"/>
  <c r="JY81" i="1"/>
  <c r="JY100" i="1"/>
  <c r="JY123" i="1"/>
  <c r="JY86" i="1"/>
  <c r="JY174" i="1"/>
  <c r="JY201" i="1"/>
  <c r="JY90" i="1"/>
  <c r="JY102" i="1"/>
  <c r="JY94" i="1"/>
  <c r="JY119" i="1"/>
  <c r="JY141" i="1"/>
  <c r="JY147" i="1"/>
  <c r="JY165" i="1"/>
  <c r="JY132" i="1"/>
  <c r="JY189" i="1"/>
  <c r="JY133" i="1"/>
  <c r="JY206" i="1"/>
  <c r="JY78" i="1"/>
  <c r="JY143" i="1"/>
  <c r="JY150" i="1"/>
  <c r="JY130" i="1"/>
  <c r="JY96" i="1"/>
  <c r="JY182" i="1"/>
  <c r="JY195" i="1"/>
  <c r="JY178" i="1"/>
  <c r="JY181" i="1"/>
  <c r="JY194" i="1"/>
  <c r="JY208" i="1"/>
  <c r="JY129" i="1"/>
  <c r="JY180" i="1"/>
  <c r="JY140" i="1"/>
  <c r="JY125" i="1"/>
  <c r="JY131" i="1"/>
  <c r="JY173" i="1"/>
  <c r="JY184" i="1"/>
  <c r="JY190" i="1"/>
  <c r="JY142" i="1"/>
  <c r="JY69" i="1"/>
  <c r="JY151" i="1"/>
  <c r="JY193" i="1"/>
  <c r="JY169" i="1"/>
  <c r="JY166" i="1"/>
  <c r="JY97" i="1"/>
  <c r="JY79" i="1"/>
  <c r="JY146" i="1"/>
  <c r="JY204" i="1"/>
  <c r="JY113" i="1"/>
  <c r="JY172" i="1"/>
  <c r="JY171" i="1"/>
  <c r="JY185" i="1"/>
  <c r="JY137" i="1"/>
  <c r="JY205" i="1"/>
  <c r="JY177" i="1"/>
  <c r="JY199" i="1"/>
  <c r="JY106" i="1"/>
  <c r="JY203" i="1"/>
  <c r="JY124" i="1"/>
  <c r="JY170" i="1"/>
  <c r="JY152" i="1"/>
  <c r="JY118" i="1"/>
  <c r="JY198" i="1"/>
  <c r="JY200" i="1"/>
  <c r="JY136" i="1"/>
  <c r="JY108" i="1"/>
  <c r="JY149" i="1"/>
  <c r="JY187" i="1"/>
  <c r="JY168" i="1"/>
  <c r="JY162" i="1"/>
  <c r="JY139" i="1"/>
  <c r="JY196" i="1"/>
  <c r="JY153" i="1"/>
  <c r="JY197" i="1"/>
  <c r="JY176" i="1"/>
  <c r="JY202" i="1"/>
  <c r="JY167" i="1"/>
  <c r="JY207" i="1"/>
  <c r="JY192" i="1"/>
  <c r="JT3" i="1"/>
  <c r="JT2" i="1"/>
  <c r="JT43" i="1"/>
  <c r="JT71" i="1"/>
  <c r="JT7" i="1"/>
  <c r="JT164" i="1"/>
  <c r="JT4" i="1"/>
  <c r="JT99" i="1"/>
  <c r="JT6" i="1"/>
  <c r="JT8" i="1"/>
  <c r="JT10" i="1"/>
  <c r="JT9" i="1"/>
  <c r="JT127" i="1"/>
  <c r="JT11" i="1"/>
  <c r="JT44" i="1"/>
  <c r="JT39" i="1"/>
  <c r="JT45" i="1"/>
  <c r="JT16" i="1"/>
  <c r="JT12" i="1"/>
  <c r="JT48" i="1"/>
  <c r="JT54" i="1"/>
  <c r="JT47" i="1"/>
  <c r="JT20" i="1"/>
  <c r="JT50" i="1"/>
  <c r="JT22" i="1"/>
  <c r="JT49" i="1"/>
  <c r="JT13" i="1"/>
  <c r="JT26" i="1"/>
  <c r="JT52" i="1"/>
  <c r="JT46" i="1"/>
  <c r="JT72" i="1"/>
  <c r="JT5" i="1"/>
  <c r="JT18" i="1"/>
  <c r="JT23" i="1"/>
  <c r="JT15" i="1"/>
  <c r="JT14" i="1"/>
  <c r="JT59" i="1"/>
  <c r="JT38" i="1"/>
  <c r="JT21" i="1"/>
  <c r="JT27" i="1"/>
  <c r="JT17" i="1"/>
  <c r="JT68" i="1"/>
  <c r="JT121" i="1"/>
  <c r="JT24" i="1"/>
  <c r="JT30" i="1"/>
  <c r="JT40" i="1"/>
  <c r="JT35" i="1"/>
  <c r="JT29" i="1"/>
  <c r="JT37" i="1"/>
  <c r="JT28" i="1"/>
  <c r="JT19" i="1"/>
  <c r="JT33" i="1"/>
  <c r="JT109" i="1"/>
  <c r="JT64" i="1"/>
  <c r="JT63" i="1"/>
  <c r="JT77" i="1"/>
  <c r="JT115" i="1"/>
  <c r="JT31" i="1"/>
  <c r="JT41" i="1"/>
  <c r="JT191" i="1"/>
  <c r="JT85" i="1"/>
  <c r="JT62" i="1"/>
  <c r="JT36" i="1"/>
  <c r="JT32" i="1"/>
  <c r="JT34" i="1"/>
  <c r="JT93" i="1"/>
  <c r="JT117" i="1"/>
  <c r="JT154" i="1"/>
  <c r="JT107" i="1"/>
  <c r="JT98" i="1"/>
  <c r="JT138" i="1"/>
  <c r="JT75" i="1"/>
  <c r="JT122" i="1"/>
  <c r="JT84" i="1"/>
  <c r="JT116" i="1"/>
  <c r="JT186" i="1"/>
  <c r="JT89" i="1"/>
  <c r="JT70" i="1"/>
  <c r="JT61" i="1"/>
  <c r="JT74" i="1"/>
  <c r="JT88" i="1"/>
  <c r="JT73" i="1"/>
  <c r="JT111" i="1"/>
  <c r="JT87" i="1"/>
  <c r="JT82" i="1"/>
  <c r="JT53" i="1"/>
  <c r="JT175" i="1"/>
  <c r="JT55" i="1"/>
  <c r="JT51" i="1"/>
  <c r="JT157" i="1"/>
  <c r="JT158" i="1"/>
  <c r="JT83" i="1"/>
  <c r="JT91" i="1"/>
  <c r="JT105" i="1"/>
  <c r="JT103" i="1"/>
  <c r="JT188" i="1"/>
  <c r="JT163" i="1"/>
  <c r="JT101" i="1"/>
  <c r="JT65" i="1"/>
  <c r="JT60" i="1"/>
  <c r="JT80" i="1"/>
  <c r="JT56" i="1"/>
  <c r="JT57" i="1"/>
  <c r="JT25" i="1"/>
  <c r="JT104" i="1"/>
  <c r="JT66" i="1"/>
  <c r="JT58" i="1"/>
  <c r="JT155" i="1"/>
  <c r="JT156" i="1"/>
  <c r="JT134" i="1"/>
  <c r="JT92" i="1"/>
  <c r="JT67" i="1"/>
  <c r="JT126" i="1"/>
  <c r="JT145" i="1"/>
  <c r="JT135" i="1"/>
  <c r="JT159" i="1"/>
  <c r="JT76" i="1"/>
  <c r="JT114" i="1"/>
  <c r="JT161" i="1"/>
  <c r="JT160" i="1"/>
  <c r="JT95" i="1"/>
  <c r="JT120" i="1"/>
  <c r="JT42" i="1"/>
  <c r="JT183" i="1"/>
  <c r="JT112" i="1"/>
  <c r="JT148" i="1"/>
  <c r="JT179" i="1"/>
  <c r="JT128" i="1"/>
  <c r="JT144" i="1"/>
  <c r="JT110" i="1"/>
  <c r="JT81" i="1"/>
  <c r="JT100" i="1"/>
  <c r="JT123" i="1"/>
  <c r="JT86" i="1"/>
  <c r="JT174" i="1"/>
  <c r="JT201" i="1"/>
  <c r="JT90" i="1"/>
  <c r="JT102" i="1"/>
  <c r="JT94" i="1"/>
  <c r="JT119" i="1"/>
  <c r="JT141" i="1"/>
  <c r="JT147" i="1"/>
  <c r="JT165" i="1"/>
  <c r="JT132" i="1"/>
  <c r="JT189" i="1"/>
  <c r="JT133" i="1"/>
  <c r="JT206" i="1"/>
  <c r="JT78" i="1"/>
  <c r="JT143" i="1"/>
  <c r="JT150" i="1"/>
  <c r="JT130" i="1"/>
  <c r="JT96" i="1"/>
  <c r="JT182" i="1"/>
  <c r="JT195" i="1"/>
  <c r="JT178" i="1"/>
  <c r="JT181" i="1"/>
  <c r="JT194" i="1"/>
  <c r="JT208" i="1"/>
  <c r="JT129" i="1"/>
  <c r="JT180" i="1"/>
  <c r="JT140" i="1"/>
  <c r="JT125" i="1"/>
  <c r="JT131" i="1"/>
  <c r="JT173" i="1"/>
  <c r="JT184" i="1"/>
  <c r="JT190" i="1"/>
  <c r="JT142" i="1"/>
  <c r="JT69" i="1"/>
  <c r="JT151" i="1"/>
  <c r="JT193" i="1"/>
  <c r="JT169" i="1"/>
  <c r="JT166" i="1"/>
  <c r="JT97" i="1"/>
  <c r="JT79" i="1"/>
  <c r="JT146" i="1"/>
  <c r="JT204" i="1"/>
  <c r="JT113" i="1"/>
  <c r="JT172" i="1"/>
  <c r="JT171" i="1"/>
  <c r="JT185" i="1"/>
  <c r="JT137" i="1"/>
  <c r="JT205" i="1"/>
  <c r="JT177" i="1"/>
  <c r="JT199" i="1"/>
  <c r="JT106" i="1"/>
  <c r="JT203" i="1"/>
  <c r="JT124" i="1"/>
  <c r="JT170" i="1"/>
  <c r="JT152" i="1"/>
  <c r="JT118" i="1"/>
  <c r="JT198" i="1"/>
  <c r="JT200" i="1"/>
  <c r="JT136" i="1"/>
  <c r="JT108" i="1"/>
  <c r="JT149" i="1"/>
  <c r="JT187" i="1"/>
  <c r="JT168" i="1"/>
  <c r="JT162" i="1"/>
  <c r="JT139" i="1"/>
  <c r="JT196" i="1"/>
  <c r="JT153" i="1"/>
  <c r="JT197" i="1"/>
  <c r="JT176" i="1"/>
  <c r="JT202" i="1"/>
  <c r="JT167" i="1"/>
  <c r="JT207" i="1"/>
  <c r="JT192" i="1"/>
  <c r="JS3" i="1"/>
  <c r="JS2" i="1"/>
  <c r="JS43" i="1"/>
  <c r="JS71" i="1"/>
  <c r="JS7" i="1"/>
  <c r="JS164" i="1"/>
  <c r="JS4" i="1"/>
  <c r="JS99" i="1"/>
  <c r="JS6" i="1"/>
  <c r="JS8" i="1"/>
  <c r="JS10" i="1"/>
  <c r="JS9" i="1"/>
  <c r="JS127" i="1"/>
  <c r="JS11" i="1"/>
  <c r="JS44" i="1"/>
  <c r="JS39" i="1"/>
  <c r="JS45" i="1"/>
  <c r="JS16" i="1"/>
  <c r="JS12" i="1"/>
  <c r="JS48" i="1"/>
  <c r="JS54" i="1"/>
  <c r="JS47" i="1"/>
  <c r="JS20" i="1"/>
  <c r="JS50" i="1"/>
  <c r="JS22" i="1"/>
  <c r="JS49" i="1"/>
  <c r="JS13" i="1"/>
  <c r="JS26" i="1"/>
  <c r="JS52" i="1"/>
  <c r="JS46" i="1"/>
  <c r="JS72" i="1"/>
  <c r="JS5" i="1"/>
  <c r="JS18" i="1"/>
  <c r="JS23" i="1"/>
  <c r="JS15" i="1"/>
  <c r="JS14" i="1"/>
  <c r="JS59" i="1"/>
  <c r="JS38" i="1"/>
  <c r="JS21" i="1"/>
  <c r="JS27" i="1"/>
  <c r="JS17" i="1"/>
  <c r="JS68" i="1"/>
  <c r="JS121" i="1"/>
  <c r="JS24" i="1"/>
  <c r="JS30" i="1"/>
  <c r="JS40" i="1"/>
  <c r="JS35" i="1"/>
  <c r="JS29" i="1"/>
  <c r="JS37" i="1"/>
  <c r="JS28" i="1"/>
  <c r="JS19" i="1"/>
  <c r="JS33" i="1"/>
  <c r="JS109" i="1"/>
  <c r="JS64" i="1"/>
  <c r="JS63" i="1"/>
  <c r="JS77" i="1"/>
  <c r="JS115" i="1"/>
  <c r="JS31" i="1"/>
  <c r="JS41" i="1"/>
  <c r="JS191" i="1"/>
  <c r="JS85" i="1"/>
  <c r="JS62" i="1"/>
  <c r="JS36" i="1"/>
  <c r="JS32" i="1"/>
  <c r="JS34" i="1"/>
  <c r="JS93" i="1"/>
  <c r="JS117" i="1"/>
  <c r="JS154" i="1"/>
  <c r="JS107" i="1"/>
  <c r="JS98" i="1"/>
  <c r="JS138" i="1"/>
  <c r="JS75" i="1"/>
  <c r="JS122" i="1"/>
  <c r="JS84" i="1"/>
  <c r="JS116" i="1"/>
  <c r="JS186" i="1"/>
  <c r="JS89" i="1"/>
  <c r="JS70" i="1"/>
  <c r="JS61" i="1"/>
  <c r="JS74" i="1"/>
  <c r="JS88" i="1"/>
  <c r="JS73" i="1"/>
  <c r="JS111" i="1"/>
  <c r="JS87" i="1"/>
  <c r="JS82" i="1"/>
  <c r="JS53" i="1"/>
  <c r="JS175" i="1"/>
  <c r="JS55" i="1"/>
  <c r="JS51" i="1"/>
  <c r="JS157" i="1"/>
  <c r="JS158" i="1"/>
  <c r="JS83" i="1"/>
  <c r="JS91" i="1"/>
  <c r="JS105" i="1"/>
  <c r="JS103" i="1"/>
  <c r="JS188" i="1"/>
  <c r="JS163" i="1"/>
  <c r="JS101" i="1"/>
  <c r="JS65" i="1"/>
  <c r="JS60" i="1"/>
  <c r="JS80" i="1"/>
  <c r="JS56" i="1"/>
  <c r="JS57" i="1"/>
  <c r="JS25" i="1"/>
  <c r="JS104" i="1"/>
  <c r="JS66" i="1"/>
  <c r="JS58" i="1"/>
  <c r="JS155" i="1"/>
  <c r="JS156" i="1"/>
  <c r="JS134" i="1"/>
  <c r="JS92" i="1"/>
  <c r="JS67" i="1"/>
  <c r="JS126" i="1"/>
  <c r="JS145" i="1"/>
  <c r="JS135" i="1"/>
  <c r="JS159" i="1"/>
  <c r="JS76" i="1"/>
  <c r="JS114" i="1"/>
  <c r="JS161" i="1"/>
  <c r="JS160" i="1"/>
  <c r="JS95" i="1"/>
  <c r="JS120" i="1"/>
  <c r="JS42" i="1"/>
  <c r="JS183" i="1"/>
  <c r="JS112" i="1"/>
  <c r="JS148" i="1"/>
  <c r="JS179" i="1"/>
  <c r="JS128" i="1"/>
  <c r="JS144" i="1"/>
  <c r="JS110" i="1"/>
  <c r="JS81" i="1"/>
  <c r="JS100" i="1"/>
  <c r="JS123" i="1"/>
  <c r="JS86" i="1"/>
  <c r="JS174" i="1"/>
  <c r="JS201" i="1"/>
  <c r="JS90" i="1"/>
  <c r="JS102" i="1"/>
  <c r="JS94" i="1"/>
  <c r="JS119" i="1"/>
  <c r="JS141" i="1"/>
  <c r="JS147" i="1"/>
  <c r="JS165" i="1"/>
  <c r="JS132" i="1"/>
  <c r="JS189" i="1"/>
  <c r="JS133" i="1"/>
  <c r="JS206" i="1"/>
  <c r="JS78" i="1"/>
  <c r="JS143" i="1"/>
  <c r="JS150" i="1"/>
  <c r="JS130" i="1"/>
  <c r="JS96" i="1"/>
  <c r="JS182" i="1"/>
  <c r="JS195" i="1"/>
  <c r="JS178" i="1"/>
  <c r="JS181" i="1"/>
  <c r="JS194" i="1"/>
  <c r="JS208" i="1"/>
  <c r="JS129" i="1"/>
  <c r="JS180" i="1"/>
  <c r="JS140" i="1"/>
  <c r="JS125" i="1"/>
  <c r="JS131" i="1"/>
  <c r="JS173" i="1"/>
  <c r="JS184" i="1"/>
  <c r="JS190" i="1"/>
  <c r="JS142" i="1"/>
  <c r="JS69" i="1"/>
  <c r="JS151" i="1"/>
  <c r="JS193" i="1"/>
  <c r="JS169" i="1"/>
  <c r="JS166" i="1"/>
  <c r="JS97" i="1"/>
  <c r="JS79" i="1"/>
  <c r="JS146" i="1"/>
  <c r="JS204" i="1"/>
  <c r="JS113" i="1"/>
  <c r="JS172" i="1"/>
  <c r="JS171" i="1"/>
  <c r="JS185" i="1"/>
  <c r="JS137" i="1"/>
  <c r="JS205" i="1"/>
  <c r="JS177" i="1"/>
  <c r="JS199" i="1"/>
  <c r="JS106" i="1"/>
  <c r="JS203" i="1"/>
  <c r="JS124" i="1"/>
  <c r="JS170" i="1"/>
  <c r="JS152" i="1"/>
  <c r="JS118" i="1"/>
  <c r="JS198" i="1"/>
  <c r="JS200" i="1"/>
  <c r="JS136" i="1"/>
  <c r="JS108" i="1"/>
  <c r="JS149" i="1"/>
  <c r="JS187" i="1"/>
  <c r="JS168" i="1"/>
  <c r="JS162" i="1"/>
  <c r="JS139" i="1"/>
  <c r="JS196" i="1"/>
  <c r="JS153" i="1"/>
  <c r="JS197" i="1"/>
  <c r="JS176" i="1"/>
  <c r="JS202" i="1"/>
  <c r="JS167" i="1"/>
  <c r="JS207" i="1"/>
  <c r="JS192" i="1"/>
  <c r="JR3" i="1"/>
  <c r="JR2" i="1"/>
  <c r="JR43" i="1"/>
  <c r="JR71" i="1"/>
  <c r="JR7" i="1"/>
  <c r="JR164" i="1"/>
  <c r="JR4" i="1"/>
  <c r="JR99" i="1"/>
  <c r="JR6" i="1"/>
  <c r="JR8" i="1"/>
  <c r="JR10" i="1"/>
  <c r="JR9" i="1"/>
  <c r="JR127" i="1"/>
  <c r="JR11" i="1"/>
  <c r="JR44" i="1"/>
  <c r="JR39" i="1"/>
  <c r="JR45" i="1"/>
  <c r="JR16" i="1"/>
  <c r="JR12" i="1"/>
  <c r="JR48" i="1"/>
  <c r="JR54" i="1"/>
  <c r="JR47" i="1"/>
  <c r="JR20" i="1"/>
  <c r="JR50" i="1"/>
  <c r="JR22" i="1"/>
  <c r="JR49" i="1"/>
  <c r="JR13" i="1"/>
  <c r="JR26" i="1"/>
  <c r="JR52" i="1"/>
  <c r="JR46" i="1"/>
  <c r="JR72" i="1"/>
  <c r="JR5" i="1"/>
  <c r="JR18" i="1"/>
  <c r="JR23" i="1"/>
  <c r="JR15" i="1"/>
  <c r="JR14" i="1"/>
  <c r="JR59" i="1"/>
  <c r="JR38" i="1"/>
  <c r="JR21" i="1"/>
  <c r="JR27" i="1"/>
  <c r="JR17" i="1"/>
  <c r="JR68" i="1"/>
  <c r="JR121" i="1"/>
  <c r="JR24" i="1"/>
  <c r="JR30" i="1"/>
  <c r="JR40" i="1"/>
  <c r="JR35" i="1"/>
  <c r="JR29" i="1"/>
  <c r="JR37" i="1"/>
  <c r="JR28" i="1"/>
  <c r="JR19" i="1"/>
  <c r="JR33" i="1"/>
  <c r="JR109" i="1"/>
  <c r="JR64" i="1"/>
  <c r="JR63" i="1"/>
  <c r="JR77" i="1"/>
  <c r="JR115" i="1"/>
  <c r="JR31" i="1"/>
  <c r="JR41" i="1"/>
  <c r="JR191" i="1"/>
  <c r="JR85" i="1"/>
  <c r="JR62" i="1"/>
  <c r="JR36" i="1"/>
  <c r="JR32" i="1"/>
  <c r="JR34" i="1"/>
  <c r="JR93" i="1"/>
  <c r="JR117" i="1"/>
  <c r="JR154" i="1"/>
  <c r="JR107" i="1"/>
  <c r="JR98" i="1"/>
  <c r="JR138" i="1"/>
  <c r="JR75" i="1"/>
  <c r="JR122" i="1"/>
  <c r="JR84" i="1"/>
  <c r="JR116" i="1"/>
  <c r="JR186" i="1"/>
  <c r="JR89" i="1"/>
  <c r="JR70" i="1"/>
  <c r="JR61" i="1"/>
  <c r="JR74" i="1"/>
  <c r="JR88" i="1"/>
  <c r="JR73" i="1"/>
  <c r="JR111" i="1"/>
  <c r="JR87" i="1"/>
  <c r="JR82" i="1"/>
  <c r="JR53" i="1"/>
  <c r="JR175" i="1"/>
  <c r="JR55" i="1"/>
  <c r="JR51" i="1"/>
  <c r="JR157" i="1"/>
  <c r="JR158" i="1"/>
  <c r="JR83" i="1"/>
  <c r="JR91" i="1"/>
  <c r="JR105" i="1"/>
  <c r="JR103" i="1"/>
  <c r="JR188" i="1"/>
  <c r="JR163" i="1"/>
  <c r="JR101" i="1"/>
  <c r="JR65" i="1"/>
  <c r="JR60" i="1"/>
  <c r="JR80" i="1"/>
  <c r="JR56" i="1"/>
  <c r="JR57" i="1"/>
  <c r="JR25" i="1"/>
  <c r="JR104" i="1"/>
  <c r="JR66" i="1"/>
  <c r="JR58" i="1"/>
  <c r="JR155" i="1"/>
  <c r="JR156" i="1"/>
  <c r="JR134" i="1"/>
  <c r="JR92" i="1"/>
  <c r="JR67" i="1"/>
  <c r="JR126" i="1"/>
  <c r="JR145" i="1"/>
  <c r="JR135" i="1"/>
  <c r="JR159" i="1"/>
  <c r="JR76" i="1"/>
  <c r="JR114" i="1"/>
  <c r="JR161" i="1"/>
  <c r="JR160" i="1"/>
  <c r="JR95" i="1"/>
  <c r="JR120" i="1"/>
  <c r="JR42" i="1"/>
  <c r="JR183" i="1"/>
  <c r="JR112" i="1"/>
  <c r="JR148" i="1"/>
  <c r="JR179" i="1"/>
  <c r="JR128" i="1"/>
  <c r="JR144" i="1"/>
  <c r="JR110" i="1"/>
  <c r="JR81" i="1"/>
  <c r="JR100" i="1"/>
  <c r="JR123" i="1"/>
  <c r="JR86" i="1"/>
  <c r="JR174" i="1"/>
  <c r="JR201" i="1"/>
  <c r="JR90" i="1"/>
  <c r="JR102" i="1"/>
  <c r="JR94" i="1"/>
  <c r="JR119" i="1"/>
  <c r="JR141" i="1"/>
  <c r="JR147" i="1"/>
  <c r="JR165" i="1"/>
  <c r="JR132" i="1"/>
  <c r="JR189" i="1"/>
  <c r="JR133" i="1"/>
  <c r="JR206" i="1"/>
  <c r="JR78" i="1"/>
  <c r="JR143" i="1"/>
  <c r="JR150" i="1"/>
  <c r="JR130" i="1"/>
  <c r="JR96" i="1"/>
  <c r="JR182" i="1"/>
  <c r="JR195" i="1"/>
  <c r="JR178" i="1"/>
  <c r="JR181" i="1"/>
  <c r="JR194" i="1"/>
  <c r="JR208" i="1"/>
  <c r="JR129" i="1"/>
  <c r="JR180" i="1"/>
  <c r="JR140" i="1"/>
  <c r="JR125" i="1"/>
  <c r="JR131" i="1"/>
  <c r="JR173" i="1"/>
  <c r="JR184" i="1"/>
  <c r="JR190" i="1"/>
  <c r="JR142" i="1"/>
  <c r="JR69" i="1"/>
  <c r="JR151" i="1"/>
  <c r="JR193" i="1"/>
  <c r="JR169" i="1"/>
  <c r="JR166" i="1"/>
  <c r="JR97" i="1"/>
  <c r="JR79" i="1"/>
  <c r="JR146" i="1"/>
  <c r="JR204" i="1"/>
  <c r="JR113" i="1"/>
  <c r="JR172" i="1"/>
  <c r="JR171" i="1"/>
  <c r="JR185" i="1"/>
  <c r="JR137" i="1"/>
  <c r="JR205" i="1"/>
  <c r="JR177" i="1"/>
  <c r="JR199" i="1"/>
  <c r="JR106" i="1"/>
  <c r="JR203" i="1"/>
  <c r="JR124" i="1"/>
  <c r="JR170" i="1"/>
  <c r="JR152" i="1"/>
  <c r="JR118" i="1"/>
  <c r="JR198" i="1"/>
  <c r="JR200" i="1"/>
  <c r="JR136" i="1"/>
  <c r="JR108" i="1"/>
  <c r="JR149" i="1"/>
  <c r="JR187" i="1"/>
  <c r="JR168" i="1"/>
  <c r="JR162" i="1"/>
  <c r="JR139" i="1"/>
  <c r="JR196" i="1"/>
  <c r="JR153" i="1"/>
  <c r="JR197" i="1"/>
  <c r="JR176" i="1"/>
  <c r="JR202" i="1"/>
  <c r="JR167" i="1"/>
  <c r="JR207" i="1"/>
  <c r="JR192" i="1"/>
  <c r="JQ3" i="1"/>
  <c r="JQ2" i="1"/>
  <c r="JQ43" i="1"/>
  <c r="JQ71" i="1"/>
  <c r="JQ7" i="1"/>
  <c r="JQ164" i="1"/>
  <c r="JQ4" i="1"/>
  <c r="JQ99" i="1"/>
  <c r="JQ6" i="1"/>
  <c r="JQ8" i="1"/>
  <c r="JQ10" i="1"/>
  <c r="JQ9" i="1"/>
  <c r="JQ127" i="1"/>
  <c r="JQ11" i="1"/>
  <c r="JQ44" i="1"/>
  <c r="JQ39" i="1"/>
  <c r="JQ45" i="1"/>
  <c r="JQ16" i="1"/>
  <c r="JQ12" i="1"/>
  <c r="JQ48" i="1"/>
  <c r="JQ54" i="1"/>
  <c r="JQ47" i="1"/>
  <c r="JQ20" i="1"/>
  <c r="JQ50" i="1"/>
  <c r="JQ22" i="1"/>
  <c r="JQ49" i="1"/>
  <c r="JQ13" i="1"/>
  <c r="JQ26" i="1"/>
  <c r="JQ52" i="1"/>
  <c r="JQ46" i="1"/>
  <c r="JQ72" i="1"/>
  <c r="JQ5" i="1"/>
  <c r="JQ18" i="1"/>
  <c r="JQ23" i="1"/>
  <c r="JQ15" i="1"/>
  <c r="JQ14" i="1"/>
  <c r="JQ59" i="1"/>
  <c r="JQ38" i="1"/>
  <c r="JQ21" i="1"/>
  <c r="JQ27" i="1"/>
  <c r="JQ17" i="1"/>
  <c r="JQ68" i="1"/>
  <c r="JQ121" i="1"/>
  <c r="JQ24" i="1"/>
  <c r="JQ30" i="1"/>
  <c r="JQ40" i="1"/>
  <c r="JQ35" i="1"/>
  <c r="JQ29" i="1"/>
  <c r="JQ37" i="1"/>
  <c r="JQ28" i="1"/>
  <c r="JQ19" i="1"/>
  <c r="JQ33" i="1"/>
  <c r="JQ109" i="1"/>
  <c r="JQ64" i="1"/>
  <c r="JQ63" i="1"/>
  <c r="JQ77" i="1"/>
  <c r="JQ115" i="1"/>
  <c r="JQ31" i="1"/>
  <c r="JQ41" i="1"/>
  <c r="JQ191" i="1"/>
  <c r="JQ85" i="1"/>
  <c r="JQ62" i="1"/>
  <c r="JQ36" i="1"/>
  <c r="JQ32" i="1"/>
  <c r="JQ34" i="1"/>
  <c r="JQ93" i="1"/>
  <c r="JQ117" i="1"/>
  <c r="JQ154" i="1"/>
  <c r="JQ107" i="1"/>
  <c r="JQ98" i="1"/>
  <c r="JQ138" i="1"/>
  <c r="JQ75" i="1"/>
  <c r="JQ122" i="1"/>
  <c r="JQ84" i="1"/>
  <c r="JQ116" i="1"/>
  <c r="JQ186" i="1"/>
  <c r="JQ89" i="1"/>
  <c r="JQ70" i="1"/>
  <c r="JQ61" i="1"/>
  <c r="JQ74" i="1"/>
  <c r="JQ88" i="1"/>
  <c r="JQ73" i="1"/>
  <c r="JQ111" i="1"/>
  <c r="JQ87" i="1"/>
  <c r="JQ82" i="1"/>
  <c r="JQ53" i="1"/>
  <c r="JQ175" i="1"/>
  <c r="JQ55" i="1"/>
  <c r="JQ51" i="1"/>
  <c r="JQ157" i="1"/>
  <c r="JQ158" i="1"/>
  <c r="JQ83" i="1"/>
  <c r="JQ91" i="1"/>
  <c r="JQ105" i="1"/>
  <c r="JQ103" i="1"/>
  <c r="JQ188" i="1"/>
  <c r="JQ163" i="1"/>
  <c r="JQ101" i="1"/>
  <c r="JQ65" i="1"/>
  <c r="JQ60" i="1"/>
  <c r="JQ80" i="1"/>
  <c r="JQ56" i="1"/>
  <c r="JQ57" i="1"/>
  <c r="JQ25" i="1"/>
  <c r="JQ104" i="1"/>
  <c r="JQ66" i="1"/>
  <c r="JQ58" i="1"/>
  <c r="JQ155" i="1"/>
  <c r="JQ156" i="1"/>
  <c r="JQ134" i="1"/>
  <c r="JQ92" i="1"/>
  <c r="JQ67" i="1"/>
  <c r="JQ126" i="1"/>
  <c r="JQ145" i="1"/>
  <c r="JQ135" i="1"/>
  <c r="JQ159" i="1"/>
  <c r="JQ76" i="1"/>
  <c r="JQ114" i="1"/>
  <c r="JQ161" i="1"/>
  <c r="JQ160" i="1"/>
  <c r="JQ95" i="1"/>
  <c r="JQ120" i="1"/>
  <c r="JQ42" i="1"/>
  <c r="JQ183" i="1"/>
  <c r="JQ112" i="1"/>
  <c r="JQ148" i="1"/>
  <c r="JQ179" i="1"/>
  <c r="JQ128" i="1"/>
  <c r="JQ144" i="1"/>
  <c r="JQ110" i="1"/>
  <c r="JQ81" i="1"/>
  <c r="JQ100" i="1"/>
  <c r="JQ123" i="1"/>
  <c r="JQ86" i="1"/>
  <c r="JQ174" i="1"/>
  <c r="JQ201" i="1"/>
  <c r="JQ90" i="1"/>
  <c r="JQ102" i="1"/>
  <c r="JQ94" i="1"/>
  <c r="JQ119" i="1"/>
  <c r="JQ141" i="1"/>
  <c r="JQ147" i="1"/>
  <c r="JQ165" i="1"/>
  <c r="JQ132" i="1"/>
  <c r="JQ189" i="1"/>
  <c r="JQ133" i="1"/>
  <c r="JQ206" i="1"/>
  <c r="JQ78" i="1"/>
  <c r="JQ143" i="1"/>
  <c r="JQ150" i="1"/>
  <c r="JQ130" i="1"/>
  <c r="JQ96" i="1"/>
  <c r="JQ182" i="1"/>
  <c r="JQ195" i="1"/>
  <c r="JQ178" i="1"/>
  <c r="JQ181" i="1"/>
  <c r="JQ194" i="1"/>
  <c r="JQ208" i="1"/>
  <c r="JQ129" i="1"/>
  <c r="JQ180" i="1"/>
  <c r="JQ140" i="1"/>
  <c r="JQ125" i="1"/>
  <c r="JQ131" i="1"/>
  <c r="JQ173" i="1"/>
  <c r="JQ184" i="1"/>
  <c r="JQ190" i="1"/>
  <c r="JQ142" i="1"/>
  <c r="JQ69" i="1"/>
  <c r="JQ151" i="1"/>
  <c r="JQ193" i="1"/>
  <c r="JQ169" i="1"/>
  <c r="JQ166" i="1"/>
  <c r="JQ97" i="1"/>
  <c r="JQ79" i="1"/>
  <c r="JQ146" i="1"/>
  <c r="JQ204" i="1"/>
  <c r="JQ113" i="1"/>
  <c r="JQ172" i="1"/>
  <c r="JQ171" i="1"/>
  <c r="JQ185" i="1"/>
  <c r="JQ137" i="1"/>
  <c r="JQ205" i="1"/>
  <c r="JQ177" i="1"/>
  <c r="JQ199" i="1"/>
  <c r="JQ106" i="1"/>
  <c r="JQ203" i="1"/>
  <c r="JQ124" i="1"/>
  <c r="JQ170" i="1"/>
  <c r="JQ152" i="1"/>
  <c r="JQ118" i="1"/>
  <c r="JQ198" i="1"/>
  <c r="JQ200" i="1"/>
  <c r="JQ136" i="1"/>
  <c r="JQ108" i="1"/>
  <c r="JQ149" i="1"/>
  <c r="JQ187" i="1"/>
  <c r="JQ168" i="1"/>
  <c r="JQ162" i="1"/>
  <c r="JQ139" i="1"/>
  <c r="JQ196" i="1"/>
  <c r="JQ153" i="1"/>
  <c r="JQ197" i="1"/>
  <c r="JQ176" i="1"/>
  <c r="JQ202" i="1"/>
  <c r="JQ167" i="1"/>
  <c r="JQ207" i="1"/>
  <c r="JQ192" i="1"/>
  <c r="JX3" i="1"/>
  <c r="JX2" i="1"/>
  <c r="JX43" i="1"/>
  <c r="JX71" i="1"/>
  <c r="JX7" i="1"/>
  <c r="JX164" i="1"/>
  <c r="JX4" i="1"/>
  <c r="JX99" i="1"/>
  <c r="JX6" i="1"/>
  <c r="JX8" i="1"/>
  <c r="JX10" i="1"/>
  <c r="JX9" i="1"/>
  <c r="JX127" i="1"/>
  <c r="JX11" i="1"/>
  <c r="JX44" i="1"/>
  <c r="JX39" i="1"/>
  <c r="JX45" i="1"/>
  <c r="JX16" i="1"/>
  <c r="JX12" i="1"/>
  <c r="JX48" i="1"/>
  <c r="JX54" i="1"/>
  <c r="JX47" i="1"/>
  <c r="JX20" i="1"/>
  <c r="JX50" i="1"/>
  <c r="JX22" i="1"/>
  <c r="JX49" i="1"/>
  <c r="JX13" i="1"/>
  <c r="JX26" i="1"/>
  <c r="JX52" i="1"/>
  <c r="JX46" i="1"/>
  <c r="JX72" i="1"/>
  <c r="JX5" i="1"/>
  <c r="JX18" i="1"/>
  <c r="JX23" i="1"/>
  <c r="JX15" i="1"/>
  <c r="JX14" i="1"/>
  <c r="JX59" i="1"/>
  <c r="JX38" i="1"/>
  <c r="JX21" i="1"/>
  <c r="JX27" i="1"/>
  <c r="JX17" i="1"/>
  <c r="JX68" i="1"/>
  <c r="JX121" i="1"/>
  <c r="JX24" i="1"/>
  <c r="JX30" i="1"/>
  <c r="JX40" i="1"/>
  <c r="JX35" i="1"/>
  <c r="JX29" i="1"/>
  <c r="JX37" i="1"/>
  <c r="JX28" i="1"/>
  <c r="JX19" i="1"/>
  <c r="JX33" i="1"/>
  <c r="JX109" i="1"/>
  <c r="JX64" i="1"/>
  <c r="JX63" i="1"/>
  <c r="JX77" i="1"/>
  <c r="JX115" i="1"/>
  <c r="JX31" i="1"/>
  <c r="JX41" i="1"/>
  <c r="JX191" i="1"/>
  <c r="JX85" i="1"/>
  <c r="JX62" i="1"/>
  <c r="JX36" i="1"/>
  <c r="JX32" i="1"/>
  <c r="JX34" i="1"/>
  <c r="JX93" i="1"/>
  <c r="JX117" i="1"/>
  <c r="JX154" i="1"/>
  <c r="JX107" i="1"/>
  <c r="JX98" i="1"/>
  <c r="JX138" i="1"/>
  <c r="JX75" i="1"/>
  <c r="JX122" i="1"/>
  <c r="JX84" i="1"/>
  <c r="JX116" i="1"/>
  <c r="JX186" i="1"/>
  <c r="JX89" i="1"/>
  <c r="JX70" i="1"/>
  <c r="JX61" i="1"/>
  <c r="JX74" i="1"/>
  <c r="JX88" i="1"/>
  <c r="JX73" i="1"/>
  <c r="JX111" i="1"/>
  <c r="JX87" i="1"/>
  <c r="JX82" i="1"/>
  <c r="JX53" i="1"/>
  <c r="JX175" i="1"/>
  <c r="JX55" i="1"/>
  <c r="JX51" i="1"/>
  <c r="JX157" i="1"/>
  <c r="JX158" i="1"/>
  <c r="JX83" i="1"/>
  <c r="JX91" i="1"/>
  <c r="JX105" i="1"/>
  <c r="JX103" i="1"/>
  <c r="JX188" i="1"/>
  <c r="JX163" i="1"/>
  <c r="JX101" i="1"/>
  <c r="JX65" i="1"/>
  <c r="JX60" i="1"/>
  <c r="JX80" i="1"/>
  <c r="JX56" i="1"/>
  <c r="JX57" i="1"/>
  <c r="JX25" i="1"/>
  <c r="JX104" i="1"/>
  <c r="JX66" i="1"/>
  <c r="JX58" i="1"/>
  <c r="JX155" i="1"/>
  <c r="JX156" i="1"/>
  <c r="JX134" i="1"/>
  <c r="JX92" i="1"/>
  <c r="JX67" i="1"/>
  <c r="JX126" i="1"/>
  <c r="JX145" i="1"/>
  <c r="JX135" i="1"/>
  <c r="JX159" i="1"/>
  <c r="JX76" i="1"/>
  <c r="JX114" i="1"/>
  <c r="JX161" i="1"/>
  <c r="JX160" i="1"/>
  <c r="JX95" i="1"/>
  <c r="JX120" i="1"/>
  <c r="JX42" i="1"/>
  <c r="JX183" i="1"/>
  <c r="JX112" i="1"/>
  <c r="JX148" i="1"/>
  <c r="JX179" i="1"/>
  <c r="JX128" i="1"/>
  <c r="JX144" i="1"/>
  <c r="JX110" i="1"/>
  <c r="JX81" i="1"/>
  <c r="JX100" i="1"/>
  <c r="JX123" i="1"/>
  <c r="JX86" i="1"/>
  <c r="JX174" i="1"/>
  <c r="JX201" i="1"/>
  <c r="JX90" i="1"/>
  <c r="JX102" i="1"/>
  <c r="JX94" i="1"/>
  <c r="JX119" i="1"/>
  <c r="JX141" i="1"/>
  <c r="JX147" i="1"/>
  <c r="JX165" i="1"/>
  <c r="JX132" i="1"/>
  <c r="JX189" i="1"/>
  <c r="JX133" i="1"/>
  <c r="JX206" i="1"/>
  <c r="JX78" i="1"/>
  <c r="JX143" i="1"/>
  <c r="JX150" i="1"/>
  <c r="JX130" i="1"/>
  <c r="JX96" i="1"/>
  <c r="JX182" i="1"/>
  <c r="JX195" i="1"/>
  <c r="JX178" i="1"/>
  <c r="JX181" i="1"/>
  <c r="JX194" i="1"/>
  <c r="JX208" i="1"/>
  <c r="JX129" i="1"/>
  <c r="JX180" i="1"/>
  <c r="JX140" i="1"/>
  <c r="JX125" i="1"/>
  <c r="JX131" i="1"/>
  <c r="JX173" i="1"/>
  <c r="JX184" i="1"/>
  <c r="JX190" i="1"/>
  <c r="JX142" i="1"/>
  <c r="JX69" i="1"/>
  <c r="JX151" i="1"/>
  <c r="JX193" i="1"/>
  <c r="JX169" i="1"/>
  <c r="JX166" i="1"/>
  <c r="JX97" i="1"/>
  <c r="JX79" i="1"/>
  <c r="JX146" i="1"/>
  <c r="JX204" i="1"/>
  <c r="JX113" i="1"/>
  <c r="JX172" i="1"/>
  <c r="JX171" i="1"/>
  <c r="JX185" i="1"/>
  <c r="JX137" i="1"/>
  <c r="JX205" i="1"/>
  <c r="JX177" i="1"/>
  <c r="JX199" i="1"/>
  <c r="JX106" i="1"/>
  <c r="JX203" i="1"/>
  <c r="JX124" i="1"/>
  <c r="JX170" i="1"/>
  <c r="JX152" i="1"/>
  <c r="JX118" i="1"/>
  <c r="JX198" i="1"/>
  <c r="JX200" i="1"/>
  <c r="JX136" i="1"/>
  <c r="JX108" i="1"/>
  <c r="JX149" i="1"/>
  <c r="JX187" i="1"/>
  <c r="JX168" i="1"/>
  <c r="JX162" i="1"/>
  <c r="JX139" i="1"/>
  <c r="JX196" i="1"/>
  <c r="JX153" i="1"/>
  <c r="JX197" i="1"/>
  <c r="JX176" i="1"/>
  <c r="JX202" i="1"/>
  <c r="JX167" i="1"/>
  <c r="JX207" i="1"/>
  <c r="JX192" i="1"/>
  <c r="JW3" i="1"/>
  <c r="JW2" i="1"/>
  <c r="JW43" i="1"/>
  <c r="JW71" i="1"/>
  <c r="JW7" i="1"/>
  <c r="JW164" i="1"/>
  <c r="JW4" i="1"/>
  <c r="JW99" i="1"/>
  <c r="JW6" i="1"/>
  <c r="JW8" i="1"/>
  <c r="JW10" i="1"/>
  <c r="JW9" i="1"/>
  <c r="JW127" i="1"/>
  <c r="JW11" i="1"/>
  <c r="JW44" i="1"/>
  <c r="JW39" i="1"/>
  <c r="JW45" i="1"/>
  <c r="JW16" i="1"/>
  <c r="JW12" i="1"/>
  <c r="JW48" i="1"/>
  <c r="JW54" i="1"/>
  <c r="JW47" i="1"/>
  <c r="JW20" i="1"/>
  <c r="JW50" i="1"/>
  <c r="JW22" i="1"/>
  <c r="JW49" i="1"/>
  <c r="JW13" i="1"/>
  <c r="JW26" i="1"/>
  <c r="JW52" i="1"/>
  <c r="JW46" i="1"/>
  <c r="JW72" i="1"/>
  <c r="JW5" i="1"/>
  <c r="JW18" i="1"/>
  <c r="JW23" i="1"/>
  <c r="JW15" i="1"/>
  <c r="JW14" i="1"/>
  <c r="JW59" i="1"/>
  <c r="JW38" i="1"/>
  <c r="JW21" i="1"/>
  <c r="JW27" i="1"/>
  <c r="JW17" i="1"/>
  <c r="JW68" i="1"/>
  <c r="JW121" i="1"/>
  <c r="JW24" i="1"/>
  <c r="JW30" i="1"/>
  <c r="JW40" i="1"/>
  <c r="JW35" i="1"/>
  <c r="JW29" i="1"/>
  <c r="JW37" i="1"/>
  <c r="JW28" i="1"/>
  <c r="JW19" i="1"/>
  <c r="JW33" i="1"/>
  <c r="JW109" i="1"/>
  <c r="JW64" i="1"/>
  <c r="JW63" i="1"/>
  <c r="JW77" i="1"/>
  <c r="JW115" i="1"/>
  <c r="JW31" i="1"/>
  <c r="JW41" i="1"/>
  <c r="JW191" i="1"/>
  <c r="JW85" i="1"/>
  <c r="JW62" i="1"/>
  <c r="JW36" i="1"/>
  <c r="JW32" i="1"/>
  <c r="JW34" i="1"/>
  <c r="JW93" i="1"/>
  <c r="JW117" i="1"/>
  <c r="JW154" i="1"/>
  <c r="JW107" i="1"/>
  <c r="JW98" i="1"/>
  <c r="JW138" i="1"/>
  <c r="JW75" i="1"/>
  <c r="JW122" i="1"/>
  <c r="JW84" i="1"/>
  <c r="JW116" i="1"/>
  <c r="JW186" i="1"/>
  <c r="JW89" i="1"/>
  <c r="JW70" i="1"/>
  <c r="JW61" i="1"/>
  <c r="JW74" i="1"/>
  <c r="JW88" i="1"/>
  <c r="JW73" i="1"/>
  <c r="JW111" i="1"/>
  <c r="JW87" i="1"/>
  <c r="JW82" i="1"/>
  <c r="JW53" i="1"/>
  <c r="JW175" i="1"/>
  <c r="JW55" i="1"/>
  <c r="JW51" i="1"/>
  <c r="JW157" i="1"/>
  <c r="JW158" i="1"/>
  <c r="JW83" i="1"/>
  <c r="JW91" i="1"/>
  <c r="JW105" i="1"/>
  <c r="JW103" i="1"/>
  <c r="JW188" i="1"/>
  <c r="JW163" i="1"/>
  <c r="JW101" i="1"/>
  <c r="JW65" i="1"/>
  <c r="JW60" i="1"/>
  <c r="JW80" i="1"/>
  <c r="JW56" i="1"/>
  <c r="JW57" i="1"/>
  <c r="JW25" i="1"/>
  <c r="JW104" i="1"/>
  <c r="JW66" i="1"/>
  <c r="JW58" i="1"/>
  <c r="JW155" i="1"/>
  <c r="JW156" i="1"/>
  <c r="JW134" i="1"/>
  <c r="JW92" i="1"/>
  <c r="JW67" i="1"/>
  <c r="JW126" i="1"/>
  <c r="JW145" i="1"/>
  <c r="JW135" i="1"/>
  <c r="JW159" i="1"/>
  <c r="JW76" i="1"/>
  <c r="JW114" i="1"/>
  <c r="JW161" i="1"/>
  <c r="JW160" i="1"/>
  <c r="JW95" i="1"/>
  <c r="JW120" i="1"/>
  <c r="JW42" i="1"/>
  <c r="JW183" i="1"/>
  <c r="JW112" i="1"/>
  <c r="JW148" i="1"/>
  <c r="JW179" i="1"/>
  <c r="JW128" i="1"/>
  <c r="JW144" i="1"/>
  <c r="JW110" i="1"/>
  <c r="JW81" i="1"/>
  <c r="JW100" i="1"/>
  <c r="JW123" i="1"/>
  <c r="JW86" i="1"/>
  <c r="JW174" i="1"/>
  <c r="JW201" i="1"/>
  <c r="JW90" i="1"/>
  <c r="JW102" i="1"/>
  <c r="JW94" i="1"/>
  <c r="JW119" i="1"/>
  <c r="JW141" i="1"/>
  <c r="JW147" i="1"/>
  <c r="JW165" i="1"/>
  <c r="JW132" i="1"/>
  <c r="JW189" i="1"/>
  <c r="JW133" i="1"/>
  <c r="JW206" i="1"/>
  <c r="JW78" i="1"/>
  <c r="JW143" i="1"/>
  <c r="JW150" i="1"/>
  <c r="JW130" i="1"/>
  <c r="JW96" i="1"/>
  <c r="JW182" i="1"/>
  <c r="JW195" i="1"/>
  <c r="JW178" i="1"/>
  <c r="JW181" i="1"/>
  <c r="JW194" i="1"/>
  <c r="JW208" i="1"/>
  <c r="JW129" i="1"/>
  <c r="JW180" i="1"/>
  <c r="JW140" i="1"/>
  <c r="JW125" i="1"/>
  <c r="JW131" i="1"/>
  <c r="JW173" i="1"/>
  <c r="JW184" i="1"/>
  <c r="JW190" i="1"/>
  <c r="JW142" i="1"/>
  <c r="JW69" i="1"/>
  <c r="JW151" i="1"/>
  <c r="JW193" i="1"/>
  <c r="JW169" i="1"/>
  <c r="JW166" i="1"/>
  <c r="JW97" i="1"/>
  <c r="JW79" i="1"/>
  <c r="JW146" i="1"/>
  <c r="JW204" i="1"/>
  <c r="JW113" i="1"/>
  <c r="JW172" i="1"/>
  <c r="JW171" i="1"/>
  <c r="JW185" i="1"/>
  <c r="JW137" i="1"/>
  <c r="JW205" i="1"/>
  <c r="JW177" i="1"/>
  <c r="JW199" i="1"/>
  <c r="JW106" i="1"/>
  <c r="JW203" i="1"/>
  <c r="JW124" i="1"/>
  <c r="JW170" i="1"/>
  <c r="JW152" i="1"/>
  <c r="JW118" i="1"/>
  <c r="JW198" i="1"/>
  <c r="JW200" i="1"/>
  <c r="JW136" i="1"/>
  <c r="JW108" i="1"/>
  <c r="JW149" i="1"/>
  <c r="JW187" i="1"/>
  <c r="JW168" i="1"/>
  <c r="JW162" i="1"/>
  <c r="JW139" i="1"/>
  <c r="JW196" i="1"/>
  <c r="JW153" i="1"/>
  <c r="JW197" i="1"/>
  <c r="JW176" i="1"/>
  <c r="JW202" i="1"/>
  <c r="JW167" i="1"/>
  <c r="JW207" i="1"/>
  <c r="JW192" i="1"/>
  <c r="JV3" i="1"/>
  <c r="JV2" i="1"/>
  <c r="JV43" i="1"/>
  <c r="JV71" i="1"/>
  <c r="JV7" i="1"/>
  <c r="JV164" i="1"/>
  <c r="JV4" i="1"/>
  <c r="JV99" i="1"/>
  <c r="JV6" i="1"/>
  <c r="JV8" i="1"/>
  <c r="JV10" i="1"/>
  <c r="JV9" i="1"/>
  <c r="JV127" i="1"/>
  <c r="JV11" i="1"/>
  <c r="JV44" i="1"/>
  <c r="JV39" i="1"/>
  <c r="JV45" i="1"/>
  <c r="JV16" i="1"/>
  <c r="JV12" i="1"/>
  <c r="JV48" i="1"/>
  <c r="JV54" i="1"/>
  <c r="JV47" i="1"/>
  <c r="JV20" i="1"/>
  <c r="JV50" i="1"/>
  <c r="JV22" i="1"/>
  <c r="JV49" i="1"/>
  <c r="JV13" i="1"/>
  <c r="JV26" i="1"/>
  <c r="JV52" i="1"/>
  <c r="JV46" i="1"/>
  <c r="JV72" i="1"/>
  <c r="JV5" i="1"/>
  <c r="JV18" i="1"/>
  <c r="JV23" i="1"/>
  <c r="JV15" i="1"/>
  <c r="JV14" i="1"/>
  <c r="JV59" i="1"/>
  <c r="JV38" i="1"/>
  <c r="JV21" i="1"/>
  <c r="JV27" i="1"/>
  <c r="JV17" i="1"/>
  <c r="JV68" i="1"/>
  <c r="JV121" i="1"/>
  <c r="JV24" i="1"/>
  <c r="JV30" i="1"/>
  <c r="JV40" i="1"/>
  <c r="JV35" i="1"/>
  <c r="JV29" i="1"/>
  <c r="JV37" i="1"/>
  <c r="JV28" i="1"/>
  <c r="JV19" i="1"/>
  <c r="JV33" i="1"/>
  <c r="JV109" i="1"/>
  <c r="JV64" i="1"/>
  <c r="JV63" i="1"/>
  <c r="JV77" i="1"/>
  <c r="JV115" i="1"/>
  <c r="JV31" i="1"/>
  <c r="JV41" i="1"/>
  <c r="JV191" i="1"/>
  <c r="JV85" i="1"/>
  <c r="JV62" i="1"/>
  <c r="JV36" i="1"/>
  <c r="JV32" i="1"/>
  <c r="JV34" i="1"/>
  <c r="JV93" i="1"/>
  <c r="JV117" i="1"/>
  <c r="JV154" i="1"/>
  <c r="JV107" i="1"/>
  <c r="JV98" i="1"/>
  <c r="JV138" i="1"/>
  <c r="JV75" i="1"/>
  <c r="JV122" i="1"/>
  <c r="JV84" i="1"/>
  <c r="JV116" i="1"/>
  <c r="JV186" i="1"/>
  <c r="JV89" i="1"/>
  <c r="JV70" i="1"/>
  <c r="JV61" i="1"/>
  <c r="JV74" i="1"/>
  <c r="JV88" i="1"/>
  <c r="JV73" i="1"/>
  <c r="JV111" i="1"/>
  <c r="JV87" i="1"/>
  <c r="JV82" i="1"/>
  <c r="JV53" i="1"/>
  <c r="JV175" i="1"/>
  <c r="JV55" i="1"/>
  <c r="JV51" i="1"/>
  <c r="JV157" i="1"/>
  <c r="JV158" i="1"/>
  <c r="JV83" i="1"/>
  <c r="JV91" i="1"/>
  <c r="JV105" i="1"/>
  <c r="JV103" i="1"/>
  <c r="JV188" i="1"/>
  <c r="JV163" i="1"/>
  <c r="JV101" i="1"/>
  <c r="JV65" i="1"/>
  <c r="JV60" i="1"/>
  <c r="JV80" i="1"/>
  <c r="JV56" i="1"/>
  <c r="JV57" i="1"/>
  <c r="JV25" i="1"/>
  <c r="JV104" i="1"/>
  <c r="JV66" i="1"/>
  <c r="JV58" i="1"/>
  <c r="JV155" i="1"/>
  <c r="JV156" i="1"/>
  <c r="JV134" i="1"/>
  <c r="JV92" i="1"/>
  <c r="JV67" i="1"/>
  <c r="JV126" i="1"/>
  <c r="JV145" i="1"/>
  <c r="JV135" i="1"/>
  <c r="JV159" i="1"/>
  <c r="JV76" i="1"/>
  <c r="JV114" i="1"/>
  <c r="JV161" i="1"/>
  <c r="JV160" i="1"/>
  <c r="JV95" i="1"/>
  <c r="JV120" i="1"/>
  <c r="JV42" i="1"/>
  <c r="JV183" i="1"/>
  <c r="JV112" i="1"/>
  <c r="JV148" i="1"/>
  <c r="JV179" i="1"/>
  <c r="JV128" i="1"/>
  <c r="JV144" i="1"/>
  <c r="JV110" i="1"/>
  <c r="JV81" i="1"/>
  <c r="JV100" i="1"/>
  <c r="JV123" i="1"/>
  <c r="JV86" i="1"/>
  <c r="JV174" i="1"/>
  <c r="JV201" i="1"/>
  <c r="JV90" i="1"/>
  <c r="JV102" i="1"/>
  <c r="JV94" i="1"/>
  <c r="JV119" i="1"/>
  <c r="JV141" i="1"/>
  <c r="JV147" i="1"/>
  <c r="JV165" i="1"/>
  <c r="JV132" i="1"/>
  <c r="JV189" i="1"/>
  <c r="JV133" i="1"/>
  <c r="JV206" i="1"/>
  <c r="JV78" i="1"/>
  <c r="JV143" i="1"/>
  <c r="JV150" i="1"/>
  <c r="JV130" i="1"/>
  <c r="JV96" i="1"/>
  <c r="JV182" i="1"/>
  <c r="JV195" i="1"/>
  <c r="JV178" i="1"/>
  <c r="JV181" i="1"/>
  <c r="JV194" i="1"/>
  <c r="JV208" i="1"/>
  <c r="JV129" i="1"/>
  <c r="JV180" i="1"/>
  <c r="JV140" i="1"/>
  <c r="JV125" i="1"/>
  <c r="JV131" i="1"/>
  <c r="JV173" i="1"/>
  <c r="JV184" i="1"/>
  <c r="JV190" i="1"/>
  <c r="JV142" i="1"/>
  <c r="JV69" i="1"/>
  <c r="JV151" i="1"/>
  <c r="JV193" i="1"/>
  <c r="JV169" i="1"/>
  <c r="JV166" i="1"/>
  <c r="JV97" i="1"/>
  <c r="JV79" i="1"/>
  <c r="JV146" i="1"/>
  <c r="JV204" i="1"/>
  <c r="JV113" i="1"/>
  <c r="JV172" i="1"/>
  <c r="JV171" i="1"/>
  <c r="JV185" i="1"/>
  <c r="JV137" i="1"/>
  <c r="JV205" i="1"/>
  <c r="JV177" i="1"/>
  <c r="JV199" i="1"/>
  <c r="JV106" i="1"/>
  <c r="JV203" i="1"/>
  <c r="JV124" i="1"/>
  <c r="JV170" i="1"/>
  <c r="JV152" i="1"/>
  <c r="JV118" i="1"/>
  <c r="JV198" i="1"/>
  <c r="JV200" i="1"/>
  <c r="JV136" i="1"/>
  <c r="JV108" i="1"/>
  <c r="JV149" i="1"/>
  <c r="JV187" i="1"/>
  <c r="JV168" i="1"/>
  <c r="JV162" i="1"/>
  <c r="JV139" i="1"/>
  <c r="JV196" i="1"/>
  <c r="JV153" i="1"/>
  <c r="JV197" i="1"/>
  <c r="JV176" i="1"/>
  <c r="JV202" i="1"/>
  <c r="JV167" i="1"/>
  <c r="JV207" i="1"/>
  <c r="JV192" i="1"/>
  <c r="JU3" i="1"/>
  <c r="JU2" i="1"/>
  <c r="JU43" i="1"/>
  <c r="JU71" i="1"/>
  <c r="JU7" i="1"/>
  <c r="JU164" i="1"/>
  <c r="JU4" i="1"/>
  <c r="JU99" i="1"/>
  <c r="JU6" i="1"/>
  <c r="JU8" i="1"/>
  <c r="JU10" i="1"/>
  <c r="JU9" i="1"/>
  <c r="JU127" i="1"/>
  <c r="JU11" i="1"/>
  <c r="JU44" i="1"/>
  <c r="JU39" i="1"/>
  <c r="JU45" i="1"/>
  <c r="JU16" i="1"/>
  <c r="JU12" i="1"/>
  <c r="JU48" i="1"/>
  <c r="JU54" i="1"/>
  <c r="JU47" i="1"/>
  <c r="JU20" i="1"/>
  <c r="JU50" i="1"/>
  <c r="JU22" i="1"/>
  <c r="JU49" i="1"/>
  <c r="JU13" i="1"/>
  <c r="JU26" i="1"/>
  <c r="JU52" i="1"/>
  <c r="JU46" i="1"/>
  <c r="JU72" i="1"/>
  <c r="JU5" i="1"/>
  <c r="JU18" i="1"/>
  <c r="JU23" i="1"/>
  <c r="JU15" i="1"/>
  <c r="JU14" i="1"/>
  <c r="JU59" i="1"/>
  <c r="JU38" i="1"/>
  <c r="JU21" i="1"/>
  <c r="JU27" i="1"/>
  <c r="JU17" i="1"/>
  <c r="JU68" i="1"/>
  <c r="JU121" i="1"/>
  <c r="JU24" i="1"/>
  <c r="JU30" i="1"/>
  <c r="JU40" i="1"/>
  <c r="JU35" i="1"/>
  <c r="JU29" i="1"/>
  <c r="JU37" i="1"/>
  <c r="JU28" i="1"/>
  <c r="JU19" i="1"/>
  <c r="JU33" i="1"/>
  <c r="JU109" i="1"/>
  <c r="JU64" i="1"/>
  <c r="JU63" i="1"/>
  <c r="JU77" i="1"/>
  <c r="JU115" i="1"/>
  <c r="JU31" i="1"/>
  <c r="JU41" i="1"/>
  <c r="JU191" i="1"/>
  <c r="JU85" i="1"/>
  <c r="JU62" i="1"/>
  <c r="JU36" i="1"/>
  <c r="JU32" i="1"/>
  <c r="JU34" i="1"/>
  <c r="JU93" i="1"/>
  <c r="JU117" i="1"/>
  <c r="JU154" i="1"/>
  <c r="JU107" i="1"/>
  <c r="JU98" i="1"/>
  <c r="JU138" i="1"/>
  <c r="JU75" i="1"/>
  <c r="JU122" i="1"/>
  <c r="JU84" i="1"/>
  <c r="JU116" i="1"/>
  <c r="JU186" i="1"/>
  <c r="JU89" i="1"/>
  <c r="JU70" i="1"/>
  <c r="JU61" i="1"/>
  <c r="JU74" i="1"/>
  <c r="JU88" i="1"/>
  <c r="JU73" i="1"/>
  <c r="JU111" i="1"/>
  <c r="JU87" i="1"/>
  <c r="JU82" i="1"/>
  <c r="JU53" i="1"/>
  <c r="JU175" i="1"/>
  <c r="JU55" i="1"/>
  <c r="JU51" i="1"/>
  <c r="JU157" i="1"/>
  <c r="JU158" i="1"/>
  <c r="JU83" i="1"/>
  <c r="JU91" i="1"/>
  <c r="JU105" i="1"/>
  <c r="JU103" i="1"/>
  <c r="JU188" i="1"/>
  <c r="JU163" i="1"/>
  <c r="JU101" i="1"/>
  <c r="JU65" i="1"/>
  <c r="JU60" i="1"/>
  <c r="JU80" i="1"/>
  <c r="JU56" i="1"/>
  <c r="JU57" i="1"/>
  <c r="JU25" i="1"/>
  <c r="JU104" i="1"/>
  <c r="JU66" i="1"/>
  <c r="JU58" i="1"/>
  <c r="JU155" i="1"/>
  <c r="JU156" i="1"/>
  <c r="JU134" i="1"/>
  <c r="JU92" i="1"/>
  <c r="JU67" i="1"/>
  <c r="JU126" i="1"/>
  <c r="JU145" i="1"/>
  <c r="JU135" i="1"/>
  <c r="JU159" i="1"/>
  <c r="JU76" i="1"/>
  <c r="JU114" i="1"/>
  <c r="JU161" i="1"/>
  <c r="JU160" i="1"/>
  <c r="JU95" i="1"/>
  <c r="JU120" i="1"/>
  <c r="JU42" i="1"/>
  <c r="JU183" i="1"/>
  <c r="JU112" i="1"/>
  <c r="JU148" i="1"/>
  <c r="JU179" i="1"/>
  <c r="JU128" i="1"/>
  <c r="JU144" i="1"/>
  <c r="JU110" i="1"/>
  <c r="JU81" i="1"/>
  <c r="JU100" i="1"/>
  <c r="JU123" i="1"/>
  <c r="JU86" i="1"/>
  <c r="JU174" i="1"/>
  <c r="JU201" i="1"/>
  <c r="JU90" i="1"/>
  <c r="JU102" i="1"/>
  <c r="JU94" i="1"/>
  <c r="JU119" i="1"/>
  <c r="JU141" i="1"/>
  <c r="JU147" i="1"/>
  <c r="JU165" i="1"/>
  <c r="JU132" i="1"/>
  <c r="JU189" i="1"/>
  <c r="JU133" i="1"/>
  <c r="JU206" i="1"/>
  <c r="JU78" i="1"/>
  <c r="JU143" i="1"/>
  <c r="JU150" i="1"/>
  <c r="JU130" i="1"/>
  <c r="JU96" i="1"/>
  <c r="JU182" i="1"/>
  <c r="JU195" i="1"/>
  <c r="JU178" i="1"/>
  <c r="JU181" i="1"/>
  <c r="JU194" i="1"/>
  <c r="JU208" i="1"/>
  <c r="JU129" i="1"/>
  <c r="JU180" i="1"/>
  <c r="JU140" i="1"/>
  <c r="JU125" i="1"/>
  <c r="JU131" i="1"/>
  <c r="JU173" i="1"/>
  <c r="JU184" i="1"/>
  <c r="JU190" i="1"/>
  <c r="JU142" i="1"/>
  <c r="JU69" i="1"/>
  <c r="JU151" i="1"/>
  <c r="JU193" i="1"/>
  <c r="JU169" i="1"/>
  <c r="JU166" i="1"/>
  <c r="JU97" i="1"/>
  <c r="JU79" i="1"/>
  <c r="JU146" i="1"/>
  <c r="JU204" i="1"/>
  <c r="JU113" i="1"/>
  <c r="JU172" i="1"/>
  <c r="JU171" i="1"/>
  <c r="JU185" i="1"/>
  <c r="JU137" i="1"/>
  <c r="JU205" i="1"/>
  <c r="JU177" i="1"/>
  <c r="JU199" i="1"/>
  <c r="JU106" i="1"/>
  <c r="JU203" i="1"/>
  <c r="JU124" i="1"/>
  <c r="JU170" i="1"/>
  <c r="JU152" i="1"/>
  <c r="JU118" i="1"/>
  <c r="JU198" i="1"/>
  <c r="JU200" i="1"/>
  <c r="JU136" i="1"/>
  <c r="JU108" i="1"/>
  <c r="JU149" i="1"/>
  <c r="JU187" i="1"/>
  <c r="JU168" i="1"/>
  <c r="JU162" i="1"/>
  <c r="JU139" i="1"/>
  <c r="JU196" i="1"/>
  <c r="JU153" i="1"/>
  <c r="JU197" i="1"/>
  <c r="JU176" i="1"/>
  <c r="JU202" i="1"/>
  <c r="JU167" i="1"/>
  <c r="JU207" i="1"/>
  <c r="JU192" i="1"/>
  <c r="JP3" i="1"/>
  <c r="JP2" i="1"/>
  <c r="JP43" i="1"/>
  <c r="JP71" i="1"/>
  <c r="JP7" i="1"/>
  <c r="JP164" i="1"/>
  <c r="JP4" i="1"/>
  <c r="JP99" i="1"/>
  <c r="JP6" i="1"/>
  <c r="JP8" i="1"/>
  <c r="JP10" i="1"/>
  <c r="JP9" i="1"/>
  <c r="JP127" i="1"/>
  <c r="JP11" i="1"/>
  <c r="JP44" i="1"/>
  <c r="JP39" i="1"/>
  <c r="JP45" i="1"/>
  <c r="JP16" i="1"/>
  <c r="JP12" i="1"/>
  <c r="JP48" i="1"/>
  <c r="JP54" i="1"/>
  <c r="JP47" i="1"/>
  <c r="JP20" i="1"/>
  <c r="JP50" i="1"/>
  <c r="JP22" i="1"/>
  <c r="JP49" i="1"/>
  <c r="JP13" i="1"/>
  <c r="JP26" i="1"/>
  <c r="JP52" i="1"/>
  <c r="JP46" i="1"/>
  <c r="JP72" i="1"/>
  <c r="JP5" i="1"/>
  <c r="JP18" i="1"/>
  <c r="JP23" i="1"/>
  <c r="JP15" i="1"/>
  <c r="JP14" i="1"/>
  <c r="JP59" i="1"/>
  <c r="JP38" i="1"/>
  <c r="JP21" i="1"/>
  <c r="JP27" i="1"/>
  <c r="JP17" i="1"/>
  <c r="JP68" i="1"/>
  <c r="JP121" i="1"/>
  <c r="JP24" i="1"/>
  <c r="JP30" i="1"/>
  <c r="JP40" i="1"/>
  <c r="JP35" i="1"/>
  <c r="JP29" i="1"/>
  <c r="JP37" i="1"/>
  <c r="JP28" i="1"/>
  <c r="JP19" i="1"/>
  <c r="JP33" i="1"/>
  <c r="JP109" i="1"/>
  <c r="JP64" i="1"/>
  <c r="JP63" i="1"/>
  <c r="JP77" i="1"/>
  <c r="JP115" i="1"/>
  <c r="JP31" i="1"/>
  <c r="JP41" i="1"/>
  <c r="JP191" i="1"/>
  <c r="JP85" i="1"/>
  <c r="JP62" i="1"/>
  <c r="JP36" i="1"/>
  <c r="JP32" i="1"/>
  <c r="JP34" i="1"/>
  <c r="JP93" i="1"/>
  <c r="JP117" i="1"/>
  <c r="JP154" i="1"/>
  <c r="JP107" i="1"/>
  <c r="JP98" i="1"/>
  <c r="JP138" i="1"/>
  <c r="JP75" i="1"/>
  <c r="JP122" i="1"/>
  <c r="JP84" i="1"/>
  <c r="JP116" i="1"/>
  <c r="JP186" i="1"/>
  <c r="JP89" i="1"/>
  <c r="JP70" i="1"/>
  <c r="JP61" i="1"/>
  <c r="JP74" i="1"/>
  <c r="JP88" i="1"/>
  <c r="JP73" i="1"/>
  <c r="JP111" i="1"/>
  <c r="JP87" i="1"/>
  <c r="JP82" i="1"/>
  <c r="JP53" i="1"/>
  <c r="JP175" i="1"/>
  <c r="JP55" i="1"/>
  <c r="JP51" i="1"/>
  <c r="JP157" i="1"/>
  <c r="JP158" i="1"/>
  <c r="JP83" i="1"/>
  <c r="JP91" i="1"/>
  <c r="JP105" i="1"/>
  <c r="JP103" i="1"/>
  <c r="JP188" i="1"/>
  <c r="JP163" i="1"/>
  <c r="JP101" i="1"/>
  <c r="JP65" i="1"/>
  <c r="JP60" i="1"/>
  <c r="JP80" i="1"/>
  <c r="JP56" i="1"/>
  <c r="JP57" i="1"/>
  <c r="JP25" i="1"/>
  <c r="JP104" i="1"/>
  <c r="JP66" i="1"/>
  <c r="JP58" i="1"/>
  <c r="JP155" i="1"/>
  <c r="JP156" i="1"/>
  <c r="JP134" i="1"/>
  <c r="JP92" i="1"/>
  <c r="JP67" i="1"/>
  <c r="JP126" i="1"/>
  <c r="JP145" i="1"/>
  <c r="JP135" i="1"/>
  <c r="JP159" i="1"/>
  <c r="JP76" i="1"/>
  <c r="JP114" i="1"/>
  <c r="JP161" i="1"/>
  <c r="JP160" i="1"/>
  <c r="JP95" i="1"/>
  <c r="JP120" i="1"/>
  <c r="JP42" i="1"/>
  <c r="JP183" i="1"/>
  <c r="JP112" i="1"/>
  <c r="JP148" i="1"/>
  <c r="JP179" i="1"/>
  <c r="JP128" i="1"/>
  <c r="JP144" i="1"/>
  <c r="JP110" i="1"/>
  <c r="JP81" i="1"/>
  <c r="JP100" i="1"/>
  <c r="JP123" i="1"/>
  <c r="JP86" i="1"/>
  <c r="JP174" i="1"/>
  <c r="JP201" i="1"/>
  <c r="JP90" i="1"/>
  <c r="JP102" i="1"/>
  <c r="JP94" i="1"/>
  <c r="JP119" i="1"/>
  <c r="JP141" i="1"/>
  <c r="JP147" i="1"/>
  <c r="JP165" i="1"/>
  <c r="JP132" i="1"/>
  <c r="JP189" i="1"/>
  <c r="JP133" i="1"/>
  <c r="JP206" i="1"/>
  <c r="JP78" i="1"/>
  <c r="JP143" i="1"/>
  <c r="JP150" i="1"/>
  <c r="JP130" i="1"/>
  <c r="JP96" i="1"/>
  <c r="JP182" i="1"/>
  <c r="JP195" i="1"/>
  <c r="JP178" i="1"/>
  <c r="JP181" i="1"/>
  <c r="JP194" i="1"/>
  <c r="JP208" i="1"/>
  <c r="JP129" i="1"/>
  <c r="JP180" i="1"/>
  <c r="JP140" i="1"/>
  <c r="JP125" i="1"/>
  <c r="JP131" i="1"/>
  <c r="JP173" i="1"/>
  <c r="JP184" i="1"/>
  <c r="JP190" i="1"/>
  <c r="JP142" i="1"/>
  <c r="JP69" i="1"/>
  <c r="JP151" i="1"/>
  <c r="JP193" i="1"/>
  <c r="JP169" i="1"/>
  <c r="JP166" i="1"/>
  <c r="JP97" i="1"/>
  <c r="JP79" i="1"/>
  <c r="JP146" i="1"/>
  <c r="JP204" i="1"/>
  <c r="JP113" i="1"/>
  <c r="JP172" i="1"/>
  <c r="JP171" i="1"/>
  <c r="JP185" i="1"/>
  <c r="JP137" i="1"/>
  <c r="JP205" i="1"/>
  <c r="JP177" i="1"/>
  <c r="JP199" i="1"/>
  <c r="JP106" i="1"/>
  <c r="JP203" i="1"/>
  <c r="JP124" i="1"/>
  <c r="JP170" i="1"/>
  <c r="JP152" i="1"/>
  <c r="JP118" i="1"/>
  <c r="JP198" i="1"/>
  <c r="JP200" i="1"/>
  <c r="JP136" i="1"/>
  <c r="JP108" i="1"/>
  <c r="JP149" i="1"/>
  <c r="JP187" i="1"/>
  <c r="JP168" i="1"/>
  <c r="JP162" i="1"/>
  <c r="JP139" i="1"/>
  <c r="JP196" i="1"/>
  <c r="JP153" i="1"/>
  <c r="JP197" i="1"/>
  <c r="JP176" i="1"/>
  <c r="JP202" i="1"/>
  <c r="JP167" i="1"/>
  <c r="JP207" i="1"/>
  <c r="JP192" i="1"/>
  <c r="JO3" i="1"/>
  <c r="JO2" i="1"/>
  <c r="JO43" i="1"/>
  <c r="JO71" i="1"/>
  <c r="JO7" i="1"/>
  <c r="JO164" i="1"/>
  <c r="JO4" i="1"/>
  <c r="JO99" i="1"/>
  <c r="JO6" i="1"/>
  <c r="JO8" i="1"/>
  <c r="JO10" i="1"/>
  <c r="JO9" i="1"/>
  <c r="JO127" i="1"/>
  <c r="JO11" i="1"/>
  <c r="JO44" i="1"/>
  <c r="JO39" i="1"/>
  <c r="JO45" i="1"/>
  <c r="JO16" i="1"/>
  <c r="JO12" i="1"/>
  <c r="JO48" i="1"/>
  <c r="JO54" i="1"/>
  <c r="JO47" i="1"/>
  <c r="JO20" i="1"/>
  <c r="JO50" i="1"/>
  <c r="JO22" i="1"/>
  <c r="JO49" i="1"/>
  <c r="JO13" i="1"/>
  <c r="JO26" i="1"/>
  <c r="JO52" i="1"/>
  <c r="JO46" i="1"/>
  <c r="JO72" i="1"/>
  <c r="JO5" i="1"/>
  <c r="JO18" i="1"/>
  <c r="JO23" i="1"/>
  <c r="JO15" i="1"/>
  <c r="JO14" i="1"/>
  <c r="JO59" i="1"/>
  <c r="JO38" i="1"/>
  <c r="JO21" i="1"/>
  <c r="JO27" i="1"/>
  <c r="JO17" i="1"/>
  <c r="JO68" i="1"/>
  <c r="JO121" i="1"/>
  <c r="JO24" i="1"/>
  <c r="JO30" i="1"/>
  <c r="JO40" i="1"/>
  <c r="JO35" i="1"/>
  <c r="JO29" i="1"/>
  <c r="JO37" i="1"/>
  <c r="JO28" i="1"/>
  <c r="JO19" i="1"/>
  <c r="JO33" i="1"/>
  <c r="JO109" i="1"/>
  <c r="JO64" i="1"/>
  <c r="JO63" i="1"/>
  <c r="JO77" i="1"/>
  <c r="JO115" i="1"/>
  <c r="JO31" i="1"/>
  <c r="JO41" i="1"/>
  <c r="JO191" i="1"/>
  <c r="JO85" i="1"/>
  <c r="JO62" i="1"/>
  <c r="JO36" i="1"/>
  <c r="JO32" i="1"/>
  <c r="JO34" i="1"/>
  <c r="JO93" i="1"/>
  <c r="JO117" i="1"/>
  <c r="JO154" i="1"/>
  <c r="JO107" i="1"/>
  <c r="JO98" i="1"/>
  <c r="JO138" i="1"/>
  <c r="JO75" i="1"/>
  <c r="JO122" i="1"/>
  <c r="JO84" i="1"/>
  <c r="JO116" i="1"/>
  <c r="JO186" i="1"/>
  <c r="JO89" i="1"/>
  <c r="JO70" i="1"/>
  <c r="JO61" i="1"/>
  <c r="JO74" i="1"/>
  <c r="JO88" i="1"/>
  <c r="JO73" i="1"/>
  <c r="JO111" i="1"/>
  <c r="JO87" i="1"/>
  <c r="JO82" i="1"/>
  <c r="JO53" i="1"/>
  <c r="JO175" i="1"/>
  <c r="JO55" i="1"/>
  <c r="JO51" i="1"/>
  <c r="JO157" i="1"/>
  <c r="JO158" i="1"/>
  <c r="JO83" i="1"/>
  <c r="JO91" i="1"/>
  <c r="JO105" i="1"/>
  <c r="JO103" i="1"/>
  <c r="JO188" i="1"/>
  <c r="JO163" i="1"/>
  <c r="JO101" i="1"/>
  <c r="JO65" i="1"/>
  <c r="JO60" i="1"/>
  <c r="JO80" i="1"/>
  <c r="JO56" i="1"/>
  <c r="JO57" i="1"/>
  <c r="JO25" i="1"/>
  <c r="JO104" i="1"/>
  <c r="JO66" i="1"/>
  <c r="JO58" i="1"/>
  <c r="JO155" i="1"/>
  <c r="JO156" i="1"/>
  <c r="JO134" i="1"/>
  <c r="JO92" i="1"/>
  <c r="JO67" i="1"/>
  <c r="JO126" i="1"/>
  <c r="JO145" i="1"/>
  <c r="JO135" i="1"/>
  <c r="JO159" i="1"/>
  <c r="JO76" i="1"/>
  <c r="JO114" i="1"/>
  <c r="JO161" i="1"/>
  <c r="JO160" i="1"/>
  <c r="JO95" i="1"/>
  <c r="JO120" i="1"/>
  <c r="JO42" i="1"/>
  <c r="JO183" i="1"/>
  <c r="JO112" i="1"/>
  <c r="JO148" i="1"/>
  <c r="JO179" i="1"/>
  <c r="JO128" i="1"/>
  <c r="JO144" i="1"/>
  <c r="JO110" i="1"/>
  <c r="JO81" i="1"/>
  <c r="JO100" i="1"/>
  <c r="JO123" i="1"/>
  <c r="JO86" i="1"/>
  <c r="JO174" i="1"/>
  <c r="JO201" i="1"/>
  <c r="JO90" i="1"/>
  <c r="JO102" i="1"/>
  <c r="JO94" i="1"/>
  <c r="JO119" i="1"/>
  <c r="JO141" i="1"/>
  <c r="JO147" i="1"/>
  <c r="JO165" i="1"/>
  <c r="JO132" i="1"/>
  <c r="JO189" i="1"/>
  <c r="JO133" i="1"/>
  <c r="JO206" i="1"/>
  <c r="JO78" i="1"/>
  <c r="JO143" i="1"/>
  <c r="JO150" i="1"/>
  <c r="JO130" i="1"/>
  <c r="JO96" i="1"/>
  <c r="JO182" i="1"/>
  <c r="JO195" i="1"/>
  <c r="JO178" i="1"/>
  <c r="JO181" i="1"/>
  <c r="JO194" i="1"/>
  <c r="JO208" i="1"/>
  <c r="JO129" i="1"/>
  <c r="JO180" i="1"/>
  <c r="JO140" i="1"/>
  <c r="JO125" i="1"/>
  <c r="JO131" i="1"/>
  <c r="JO173" i="1"/>
  <c r="JO184" i="1"/>
  <c r="JO190" i="1"/>
  <c r="JO142" i="1"/>
  <c r="JO69" i="1"/>
  <c r="JO151" i="1"/>
  <c r="JO193" i="1"/>
  <c r="JO169" i="1"/>
  <c r="JO166" i="1"/>
  <c r="JO97" i="1"/>
  <c r="JO79" i="1"/>
  <c r="JO146" i="1"/>
  <c r="JO204" i="1"/>
  <c r="JO113" i="1"/>
  <c r="JO172" i="1"/>
  <c r="JO171" i="1"/>
  <c r="JO185" i="1"/>
  <c r="JO137" i="1"/>
  <c r="JO205" i="1"/>
  <c r="JO177" i="1"/>
  <c r="JO199" i="1"/>
  <c r="JO106" i="1"/>
  <c r="JO203" i="1"/>
  <c r="JO124" i="1"/>
  <c r="JO170" i="1"/>
  <c r="JO152" i="1"/>
  <c r="JO118" i="1"/>
  <c r="JO198" i="1"/>
  <c r="JO200" i="1"/>
  <c r="JO136" i="1"/>
  <c r="JO108" i="1"/>
  <c r="JO149" i="1"/>
  <c r="JO187" i="1"/>
  <c r="JO168" i="1"/>
  <c r="JO162" i="1"/>
  <c r="JO139" i="1"/>
  <c r="JO196" i="1"/>
  <c r="JO153" i="1"/>
  <c r="JO197" i="1"/>
  <c r="JO176" i="1"/>
  <c r="JO202" i="1"/>
  <c r="JO167" i="1"/>
  <c r="JO207" i="1"/>
  <c r="JO192" i="1"/>
  <c r="JN3" i="1"/>
  <c r="JN2" i="1"/>
  <c r="JN43" i="1"/>
  <c r="JN71" i="1"/>
  <c r="JN7" i="1"/>
  <c r="JN164" i="1"/>
  <c r="JN4" i="1"/>
  <c r="JN99" i="1"/>
  <c r="JN6" i="1"/>
  <c r="JN8" i="1"/>
  <c r="JN10" i="1"/>
  <c r="JN9" i="1"/>
  <c r="JN127" i="1"/>
  <c r="JN11" i="1"/>
  <c r="JN44" i="1"/>
  <c r="JN39" i="1"/>
  <c r="JN45" i="1"/>
  <c r="JN16" i="1"/>
  <c r="JN12" i="1"/>
  <c r="JN48" i="1"/>
  <c r="JN54" i="1"/>
  <c r="JN47" i="1"/>
  <c r="JN20" i="1"/>
  <c r="JN50" i="1"/>
  <c r="JN22" i="1"/>
  <c r="JN49" i="1"/>
  <c r="JN13" i="1"/>
  <c r="JN26" i="1"/>
  <c r="JN52" i="1"/>
  <c r="JN46" i="1"/>
  <c r="JN72" i="1"/>
  <c r="JN5" i="1"/>
  <c r="JN18" i="1"/>
  <c r="JN23" i="1"/>
  <c r="JN15" i="1"/>
  <c r="JN14" i="1"/>
  <c r="JN59" i="1"/>
  <c r="JN38" i="1"/>
  <c r="JN21" i="1"/>
  <c r="JN27" i="1"/>
  <c r="JN17" i="1"/>
  <c r="JN68" i="1"/>
  <c r="JN121" i="1"/>
  <c r="JN24" i="1"/>
  <c r="JN30" i="1"/>
  <c r="JN40" i="1"/>
  <c r="JN35" i="1"/>
  <c r="JN29" i="1"/>
  <c r="JN37" i="1"/>
  <c r="JN28" i="1"/>
  <c r="JN19" i="1"/>
  <c r="JN33" i="1"/>
  <c r="JN109" i="1"/>
  <c r="JN64" i="1"/>
  <c r="JN63" i="1"/>
  <c r="JN77" i="1"/>
  <c r="JN115" i="1"/>
  <c r="JN31" i="1"/>
  <c r="JN41" i="1"/>
  <c r="JN191" i="1"/>
  <c r="JN85" i="1"/>
  <c r="JN62" i="1"/>
  <c r="JN36" i="1"/>
  <c r="JN32" i="1"/>
  <c r="JN34" i="1"/>
  <c r="JN93" i="1"/>
  <c r="JN117" i="1"/>
  <c r="JN154" i="1"/>
  <c r="JN107" i="1"/>
  <c r="JN98" i="1"/>
  <c r="JN138" i="1"/>
  <c r="JN75" i="1"/>
  <c r="JN122" i="1"/>
  <c r="JN84" i="1"/>
  <c r="JN116" i="1"/>
  <c r="JN186" i="1"/>
  <c r="JN89" i="1"/>
  <c r="JN70" i="1"/>
  <c r="JN61" i="1"/>
  <c r="JN74" i="1"/>
  <c r="JN88" i="1"/>
  <c r="JN73" i="1"/>
  <c r="JN111" i="1"/>
  <c r="JN87" i="1"/>
  <c r="JN82" i="1"/>
  <c r="JN53" i="1"/>
  <c r="JN175" i="1"/>
  <c r="JN55" i="1"/>
  <c r="JN51" i="1"/>
  <c r="JN157" i="1"/>
  <c r="JN158" i="1"/>
  <c r="JN83" i="1"/>
  <c r="JN91" i="1"/>
  <c r="JN105" i="1"/>
  <c r="JN103" i="1"/>
  <c r="JN188" i="1"/>
  <c r="JN163" i="1"/>
  <c r="JN101" i="1"/>
  <c r="JN65" i="1"/>
  <c r="JN60" i="1"/>
  <c r="JN80" i="1"/>
  <c r="JN56" i="1"/>
  <c r="JN57" i="1"/>
  <c r="JN25" i="1"/>
  <c r="JN104" i="1"/>
  <c r="JN66" i="1"/>
  <c r="JN58" i="1"/>
  <c r="JN155" i="1"/>
  <c r="JN156" i="1"/>
  <c r="JN134" i="1"/>
  <c r="JN92" i="1"/>
  <c r="JN67" i="1"/>
  <c r="JN126" i="1"/>
  <c r="JN145" i="1"/>
  <c r="JN135" i="1"/>
  <c r="JN159" i="1"/>
  <c r="JN76" i="1"/>
  <c r="JN114" i="1"/>
  <c r="JN161" i="1"/>
  <c r="JN160" i="1"/>
  <c r="JN95" i="1"/>
  <c r="JN120" i="1"/>
  <c r="JN42" i="1"/>
  <c r="JN183" i="1"/>
  <c r="JN112" i="1"/>
  <c r="JN148" i="1"/>
  <c r="JN179" i="1"/>
  <c r="JN128" i="1"/>
  <c r="JN144" i="1"/>
  <c r="JN110" i="1"/>
  <c r="JN81" i="1"/>
  <c r="JN100" i="1"/>
  <c r="JN123" i="1"/>
  <c r="JN86" i="1"/>
  <c r="JN174" i="1"/>
  <c r="JN201" i="1"/>
  <c r="JN90" i="1"/>
  <c r="JN102" i="1"/>
  <c r="JN94" i="1"/>
  <c r="JN119" i="1"/>
  <c r="JN141" i="1"/>
  <c r="JN147" i="1"/>
  <c r="JN165" i="1"/>
  <c r="JN132" i="1"/>
  <c r="JN189" i="1"/>
  <c r="JN133" i="1"/>
  <c r="JN206" i="1"/>
  <c r="JN78" i="1"/>
  <c r="JN143" i="1"/>
  <c r="JN150" i="1"/>
  <c r="JN130" i="1"/>
  <c r="JN96" i="1"/>
  <c r="JN182" i="1"/>
  <c r="JN195" i="1"/>
  <c r="JN178" i="1"/>
  <c r="JN181" i="1"/>
  <c r="JN194" i="1"/>
  <c r="JN208" i="1"/>
  <c r="JN129" i="1"/>
  <c r="JN180" i="1"/>
  <c r="JN140" i="1"/>
  <c r="JN125" i="1"/>
  <c r="JN131" i="1"/>
  <c r="JN173" i="1"/>
  <c r="JN184" i="1"/>
  <c r="JN190" i="1"/>
  <c r="JN142" i="1"/>
  <c r="JN69" i="1"/>
  <c r="JN151" i="1"/>
  <c r="JN193" i="1"/>
  <c r="JN169" i="1"/>
  <c r="JN166" i="1"/>
  <c r="JN97" i="1"/>
  <c r="JN79" i="1"/>
  <c r="JN146" i="1"/>
  <c r="JN204" i="1"/>
  <c r="JN113" i="1"/>
  <c r="JN172" i="1"/>
  <c r="JN171" i="1"/>
  <c r="JN185" i="1"/>
  <c r="JN137" i="1"/>
  <c r="JN205" i="1"/>
  <c r="JN177" i="1"/>
  <c r="JN199" i="1"/>
  <c r="JN106" i="1"/>
  <c r="JN203" i="1"/>
  <c r="JN124" i="1"/>
  <c r="JN170" i="1"/>
  <c r="JN152" i="1"/>
  <c r="JN118" i="1"/>
  <c r="JN198" i="1"/>
  <c r="JN200" i="1"/>
  <c r="JN136" i="1"/>
  <c r="JN108" i="1"/>
  <c r="JN149" i="1"/>
  <c r="JN187" i="1"/>
  <c r="JN168" i="1"/>
  <c r="JN162" i="1"/>
  <c r="JN139" i="1"/>
  <c r="JN196" i="1"/>
  <c r="JN153" i="1"/>
  <c r="JN197" i="1"/>
  <c r="JN176" i="1"/>
  <c r="JN202" i="1"/>
  <c r="JN167" i="1"/>
  <c r="JN207" i="1"/>
  <c r="JN192" i="1"/>
  <c r="JM3" i="1"/>
  <c r="JM2" i="1"/>
  <c r="JM43" i="1"/>
  <c r="JM71" i="1"/>
  <c r="JM7" i="1"/>
  <c r="JM164" i="1"/>
  <c r="JM4" i="1"/>
  <c r="JM99" i="1"/>
  <c r="JM6" i="1"/>
  <c r="JM8" i="1"/>
  <c r="JM10" i="1"/>
  <c r="JM9" i="1"/>
  <c r="JM127" i="1"/>
  <c r="JM11" i="1"/>
  <c r="JM44" i="1"/>
  <c r="JM39" i="1"/>
  <c r="JM45" i="1"/>
  <c r="JM16" i="1"/>
  <c r="JM12" i="1"/>
  <c r="JM48" i="1"/>
  <c r="JM54" i="1"/>
  <c r="JM47" i="1"/>
  <c r="JM20" i="1"/>
  <c r="JM50" i="1"/>
  <c r="JM22" i="1"/>
  <c r="JM49" i="1"/>
  <c r="JM13" i="1"/>
  <c r="JM26" i="1"/>
  <c r="JM52" i="1"/>
  <c r="JM46" i="1"/>
  <c r="JM72" i="1"/>
  <c r="JM5" i="1"/>
  <c r="JM18" i="1"/>
  <c r="JM23" i="1"/>
  <c r="JM15" i="1"/>
  <c r="JM14" i="1"/>
  <c r="JM59" i="1"/>
  <c r="JM38" i="1"/>
  <c r="JM21" i="1"/>
  <c r="JM27" i="1"/>
  <c r="JM17" i="1"/>
  <c r="JM68" i="1"/>
  <c r="JM121" i="1"/>
  <c r="JM24" i="1"/>
  <c r="JM30" i="1"/>
  <c r="JM40" i="1"/>
  <c r="JM35" i="1"/>
  <c r="JM29" i="1"/>
  <c r="JM37" i="1"/>
  <c r="JM28" i="1"/>
  <c r="JM19" i="1"/>
  <c r="JM33" i="1"/>
  <c r="JM109" i="1"/>
  <c r="JM64" i="1"/>
  <c r="JM63" i="1"/>
  <c r="JM77" i="1"/>
  <c r="JM115" i="1"/>
  <c r="JM31" i="1"/>
  <c r="JM41" i="1"/>
  <c r="JM191" i="1"/>
  <c r="JM85" i="1"/>
  <c r="JM62" i="1"/>
  <c r="JM36" i="1"/>
  <c r="JM32" i="1"/>
  <c r="JM34" i="1"/>
  <c r="JM93" i="1"/>
  <c r="JM117" i="1"/>
  <c r="JM154" i="1"/>
  <c r="JM107" i="1"/>
  <c r="JM98" i="1"/>
  <c r="JM138" i="1"/>
  <c r="JM75" i="1"/>
  <c r="JM122" i="1"/>
  <c r="JM84" i="1"/>
  <c r="JM116" i="1"/>
  <c r="JM186" i="1"/>
  <c r="JM89" i="1"/>
  <c r="JM70" i="1"/>
  <c r="JM61" i="1"/>
  <c r="JM74" i="1"/>
  <c r="JM88" i="1"/>
  <c r="JM73" i="1"/>
  <c r="JM111" i="1"/>
  <c r="JM87" i="1"/>
  <c r="JM82" i="1"/>
  <c r="JM53" i="1"/>
  <c r="JM175" i="1"/>
  <c r="JM55" i="1"/>
  <c r="JM51" i="1"/>
  <c r="JM157" i="1"/>
  <c r="JM158" i="1"/>
  <c r="JM83" i="1"/>
  <c r="JM91" i="1"/>
  <c r="JM105" i="1"/>
  <c r="JM103" i="1"/>
  <c r="JM188" i="1"/>
  <c r="JM163" i="1"/>
  <c r="JM101" i="1"/>
  <c r="JM65" i="1"/>
  <c r="JM60" i="1"/>
  <c r="JM80" i="1"/>
  <c r="JM56" i="1"/>
  <c r="JM57" i="1"/>
  <c r="JM25" i="1"/>
  <c r="JM104" i="1"/>
  <c r="JM66" i="1"/>
  <c r="JM58" i="1"/>
  <c r="JM155" i="1"/>
  <c r="JM156" i="1"/>
  <c r="JM134" i="1"/>
  <c r="JM92" i="1"/>
  <c r="JM67" i="1"/>
  <c r="JM126" i="1"/>
  <c r="JM145" i="1"/>
  <c r="JM135" i="1"/>
  <c r="JM159" i="1"/>
  <c r="JM76" i="1"/>
  <c r="JM114" i="1"/>
  <c r="JM161" i="1"/>
  <c r="JM160" i="1"/>
  <c r="JM95" i="1"/>
  <c r="JM120" i="1"/>
  <c r="JM42" i="1"/>
  <c r="JM183" i="1"/>
  <c r="JM112" i="1"/>
  <c r="JM148" i="1"/>
  <c r="JM179" i="1"/>
  <c r="JM128" i="1"/>
  <c r="JM144" i="1"/>
  <c r="JM110" i="1"/>
  <c r="JM81" i="1"/>
  <c r="JM100" i="1"/>
  <c r="JM123" i="1"/>
  <c r="JM86" i="1"/>
  <c r="JM174" i="1"/>
  <c r="JM201" i="1"/>
  <c r="JM90" i="1"/>
  <c r="JM102" i="1"/>
  <c r="JM94" i="1"/>
  <c r="JM119" i="1"/>
  <c r="JM141" i="1"/>
  <c r="JM147" i="1"/>
  <c r="JM165" i="1"/>
  <c r="JM132" i="1"/>
  <c r="JM189" i="1"/>
  <c r="JM133" i="1"/>
  <c r="JM206" i="1"/>
  <c r="JM78" i="1"/>
  <c r="JM143" i="1"/>
  <c r="JM150" i="1"/>
  <c r="JM130" i="1"/>
  <c r="JM96" i="1"/>
  <c r="JM182" i="1"/>
  <c r="JM195" i="1"/>
  <c r="JM178" i="1"/>
  <c r="JM181" i="1"/>
  <c r="JM194" i="1"/>
  <c r="JM208" i="1"/>
  <c r="JM129" i="1"/>
  <c r="JM180" i="1"/>
  <c r="JM140" i="1"/>
  <c r="JM125" i="1"/>
  <c r="JM131" i="1"/>
  <c r="JM173" i="1"/>
  <c r="JM184" i="1"/>
  <c r="JM190" i="1"/>
  <c r="JM142" i="1"/>
  <c r="JM69" i="1"/>
  <c r="JM151" i="1"/>
  <c r="JM193" i="1"/>
  <c r="JM169" i="1"/>
  <c r="JM166" i="1"/>
  <c r="JM97" i="1"/>
  <c r="JM79" i="1"/>
  <c r="JM146" i="1"/>
  <c r="JM204" i="1"/>
  <c r="JM113" i="1"/>
  <c r="JM172" i="1"/>
  <c r="JM171" i="1"/>
  <c r="JM185" i="1"/>
  <c r="JM137" i="1"/>
  <c r="JM205" i="1"/>
  <c r="JM177" i="1"/>
  <c r="JM199" i="1"/>
  <c r="JM106" i="1"/>
  <c r="JM203" i="1"/>
  <c r="JM124" i="1"/>
  <c r="JM170" i="1"/>
  <c r="JM152" i="1"/>
  <c r="JM118" i="1"/>
  <c r="JM198" i="1"/>
  <c r="JM200" i="1"/>
  <c r="JM136" i="1"/>
  <c r="JM108" i="1"/>
  <c r="JM149" i="1"/>
  <c r="JM187" i="1"/>
  <c r="JM168" i="1"/>
  <c r="JM162" i="1"/>
  <c r="JM139" i="1"/>
  <c r="JM196" i="1"/>
  <c r="JM153" i="1"/>
  <c r="JM197" i="1"/>
  <c r="JM176" i="1"/>
  <c r="JM202" i="1"/>
  <c r="JM167" i="1"/>
  <c r="JM207" i="1"/>
  <c r="JM192" i="1"/>
  <c r="JL3" i="1"/>
  <c r="JL2" i="1"/>
  <c r="JL43" i="1"/>
  <c r="JL71" i="1"/>
  <c r="JL7" i="1"/>
  <c r="JL164" i="1"/>
  <c r="JL4" i="1"/>
  <c r="JL99" i="1"/>
  <c r="JL6" i="1"/>
  <c r="JL8" i="1"/>
  <c r="JL10" i="1"/>
  <c r="JL9" i="1"/>
  <c r="JL127" i="1"/>
  <c r="JL11" i="1"/>
  <c r="JL44" i="1"/>
  <c r="JL39" i="1"/>
  <c r="JL45" i="1"/>
  <c r="JL16" i="1"/>
  <c r="JL12" i="1"/>
  <c r="JL48" i="1"/>
  <c r="JL54" i="1"/>
  <c r="JL47" i="1"/>
  <c r="JL20" i="1"/>
  <c r="JL50" i="1"/>
  <c r="JL22" i="1"/>
  <c r="JL49" i="1"/>
  <c r="JL13" i="1"/>
  <c r="JL26" i="1"/>
  <c r="JL52" i="1"/>
  <c r="JL46" i="1"/>
  <c r="JL72" i="1"/>
  <c r="JL5" i="1"/>
  <c r="JL18" i="1"/>
  <c r="JL23" i="1"/>
  <c r="JL15" i="1"/>
  <c r="JL14" i="1"/>
  <c r="JL59" i="1"/>
  <c r="JL38" i="1"/>
  <c r="JL21" i="1"/>
  <c r="JL27" i="1"/>
  <c r="JL17" i="1"/>
  <c r="JL68" i="1"/>
  <c r="JL121" i="1"/>
  <c r="JL24" i="1"/>
  <c r="JL30" i="1"/>
  <c r="JL40" i="1"/>
  <c r="JL35" i="1"/>
  <c r="JL29" i="1"/>
  <c r="JL37" i="1"/>
  <c r="JL28" i="1"/>
  <c r="JL19" i="1"/>
  <c r="JL33" i="1"/>
  <c r="JL109" i="1"/>
  <c r="JL64" i="1"/>
  <c r="JL63" i="1"/>
  <c r="JL77" i="1"/>
  <c r="JL115" i="1"/>
  <c r="JL31" i="1"/>
  <c r="JL41" i="1"/>
  <c r="JL191" i="1"/>
  <c r="JL85" i="1"/>
  <c r="JL62" i="1"/>
  <c r="JL36" i="1"/>
  <c r="JL32" i="1"/>
  <c r="JL34" i="1"/>
  <c r="JL93" i="1"/>
  <c r="JL117" i="1"/>
  <c r="JL154" i="1"/>
  <c r="JL107" i="1"/>
  <c r="JL98" i="1"/>
  <c r="JL138" i="1"/>
  <c r="JL75" i="1"/>
  <c r="JL122" i="1"/>
  <c r="JL84" i="1"/>
  <c r="JL116" i="1"/>
  <c r="JL186" i="1"/>
  <c r="JL89" i="1"/>
  <c r="JL70" i="1"/>
  <c r="JL61" i="1"/>
  <c r="JL74" i="1"/>
  <c r="JL88" i="1"/>
  <c r="JL73" i="1"/>
  <c r="JL111" i="1"/>
  <c r="JL87" i="1"/>
  <c r="JL82" i="1"/>
  <c r="JL53" i="1"/>
  <c r="JL175" i="1"/>
  <c r="JL55" i="1"/>
  <c r="JL51" i="1"/>
  <c r="JL157" i="1"/>
  <c r="JL158" i="1"/>
  <c r="JL83" i="1"/>
  <c r="JL91" i="1"/>
  <c r="JL105" i="1"/>
  <c r="JL103" i="1"/>
  <c r="JL188" i="1"/>
  <c r="JL163" i="1"/>
  <c r="JL101" i="1"/>
  <c r="JL65" i="1"/>
  <c r="JL60" i="1"/>
  <c r="JL80" i="1"/>
  <c r="JL56" i="1"/>
  <c r="JL57" i="1"/>
  <c r="JL25" i="1"/>
  <c r="JL104" i="1"/>
  <c r="JL66" i="1"/>
  <c r="JL58" i="1"/>
  <c r="JL155" i="1"/>
  <c r="JL156" i="1"/>
  <c r="JL134" i="1"/>
  <c r="JL92" i="1"/>
  <c r="JL67" i="1"/>
  <c r="JL126" i="1"/>
  <c r="JL145" i="1"/>
  <c r="JL135" i="1"/>
  <c r="JL159" i="1"/>
  <c r="JL76" i="1"/>
  <c r="JL114" i="1"/>
  <c r="JL161" i="1"/>
  <c r="JL160" i="1"/>
  <c r="JL95" i="1"/>
  <c r="JL120" i="1"/>
  <c r="JL42" i="1"/>
  <c r="JL183" i="1"/>
  <c r="JL112" i="1"/>
  <c r="JL148" i="1"/>
  <c r="JL179" i="1"/>
  <c r="JL128" i="1"/>
  <c r="JL144" i="1"/>
  <c r="JL110" i="1"/>
  <c r="JL81" i="1"/>
  <c r="JL100" i="1"/>
  <c r="JL123" i="1"/>
  <c r="JL86" i="1"/>
  <c r="JL174" i="1"/>
  <c r="JL201" i="1"/>
  <c r="JL90" i="1"/>
  <c r="JL102" i="1"/>
  <c r="JL94" i="1"/>
  <c r="JL119" i="1"/>
  <c r="JL141" i="1"/>
  <c r="JL147" i="1"/>
  <c r="JL165" i="1"/>
  <c r="JL132" i="1"/>
  <c r="JL189" i="1"/>
  <c r="JL133" i="1"/>
  <c r="JL206" i="1"/>
  <c r="JL78" i="1"/>
  <c r="JL143" i="1"/>
  <c r="JL150" i="1"/>
  <c r="JL130" i="1"/>
  <c r="JL96" i="1"/>
  <c r="JL182" i="1"/>
  <c r="JL195" i="1"/>
  <c r="JL178" i="1"/>
  <c r="JL181" i="1"/>
  <c r="JL194" i="1"/>
  <c r="JL208" i="1"/>
  <c r="JL129" i="1"/>
  <c r="JL180" i="1"/>
  <c r="JL140" i="1"/>
  <c r="JL125" i="1"/>
  <c r="JL131" i="1"/>
  <c r="JL173" i="1"/>
  <c r="JL184" i="1"/>
  <c r="JL190" i="1"/>
  <c r="JL142" i="1"/>
  <c r="JL69" i="1"/>
  <c r="JL151" i="1"/>
  <c r="JL193" i="1"/>
  <c r="JL169" i="1"/>
  <c r="JL166" i="1"/>
  <c r="JL97" i="1"/>
  <c r="JL79" i="1"/>
  <c r="JL146" i="1"/>
  <c r="JL204" i="1"/>
  <c r="JL113" i="1"/>
  <c r="JL172" i="1"/>
  <c r="JL171" i="1"/>
  <c r="JL185" i="1"/>
  <c r="JL137" i="1"/>
  <c r="JL205" i="1"/>
  <c r="JL177" i="1"/>
  <c r="JL199" i="1"/>
  <c r="JL106" i="1"/>
  <c r="JL203" i="1"/>
  <c r="JL124" i="1"/>
  <c r="JL170" i="1"/>
  <c r="JL152" i="1"/>
  <c r="JL118" i="1"/>
  <c r="JL198" i="1"/>
  <c r="JL200" i="1"/>
  <c r="JL136" i="1"/>
  <c r="JL108" i="1"/>
  <c r="JL149" i="1"/>
  <c r="JL187" i="1"/>
  <c r="JL168" i="1"/>
  <c r="JL162" i="1"/>
  <c r="JL139" i="1"/>
  <c r="JL196" i="1"/>
  <c r="JL153" i="1"/>
  <c r="JL197" i="1"/>
  <c r="JL176" i="1"/>
  <c r="JL202" i="1"/>
  <c r="JL167" i="1"/>
  <c r="JL207" i="1"/>
  <c r="JL192" i="1"/>
  <c r="JK3" i="1"/>
  <c r="JK2" i="1"/>
  <c r="JK43" i="1"/>
  <c r="JK71" i="1"/>
  <c r="JK7" i="1"/>
  <c r="JK164" i="1"/>
  <c r="JK4" i="1"/>
  <c r="JK99" i="1"/>
  <c r="JK6" i="1"/>
  <c r="JK8" i="1"/>
  <c r="JK10" i="1"/>
  <c r="JK9" i="1"/>
  <c r="JK127" i="1"/>
  <c r="JK11" i="1"/>
  <c r="JK44" i="1"/>
  <c r="JK39" i="1"/>
  <c r="JK45" i="1"/>
  <c r="JK16" i="1"/>
  <c r="JK12" i="1"/>
  <c r="JK48" i="1"/>
  <c r="JK54" i="1"/>
  <c r="JK47" i="1"/>
  <c r="JK20" i="1"/>
  <c r="JK50" i="1"/>
  <c r="JK22" i="1"/>
  <c r="JK49" i="1"/>
  <c r="JK13" i="1"/>
  <c r="JK26" i="1"/>
  <c r="JK52" i="1"/>
  <c r="JK46" i="1"/>
  <c r="JK72" i="1"/>
  <c r="JK5" i="1"/>
  <c r="JK18" i="1"/>
  <c r="JK23" i="1"/>
  <c r="JK15" i="1"/>
  <c r="JK14" i="1"/>
  <c r="JK59" i="1"/>
  <c r="JK38" i="1"/>
  <c r="JK21" i="1"/>
  <c r="JK27" i="1"/>
  <c r="JK17" i="1"/>
  <c r="JK68" i="1"/>
  <c r="JK121" i="1"/>
  <c r="JK24" i="1"/>
  <c r="JK30" i="1"/>
  <c r="JK40" i="1"/>
  <c r="JK35" i="1"/>
  <c r="JK29" i="1"/>
  <c r="JK37" i="1"/>
  <c r="JK28" i="1"/>
  <c r="JK19" i="1"/>
  <c r="JK33" i="1"/>
  <c r="JK109" i="1"/>
  <c r="JK64" i="1"/>
  <c r="JK63" i="1"/>
  <c r="JK77" i="1"/>
  <c r="JK115" i="1"/>
  <c r="JK31" i="1"/>
  <c r="JK41" i="1"/>
  <c r="JK191" i="1"/>
  <c r="JK85" i="1"/>
  <c r="JK62" i="1"/>
  <c r="JK36" i="1"/>
  <c r="JK32" i="1"/>
  <c r="JK34" i="1"/>
  <c r="JK93" i="1"/>
  <c r="JK117" i="1"/>
  <c r="JK154" i="1"/>
  <c r="JK107" i="1"/>
  <c r="JK98" i="1"/>
  <c r="JK138" i="1"/>
  <c r="JK75" i="1"/>
  <c r="JK122" i="1"/>
  <c r="JK84" i="1"/>
  <c r="JK116" i="1"/>
  <c r="JK186" i="1"/>
  <c r="JK89" i="1"/>
  <c r="JK70" i="1"/>
  <c r="JK61" i="1"/>
  <c r="JK74" i="1"/>
  <c r="JK88" i="1"/>
  <c r="JK73" i="1"/>
  <c r="JK111" i="1"/>
  <c r="JK87" i="1"/>
  <c r="JK82" i="1"/>
  <c r="JK53" i="1"/>
  <c r="JK175" i="1"/>
  <c r="JK55" i="1"/>
  <c r="JK51" i="1"/>
  <c r="JK157" i="1"/>
  <c r="JK158" i="1"/>
  <c r="JK83" i="1"/>
  <c r="JK91" i="1"/>
  <c r="JK105" i="1"/>
  <c r="JK103" i="1"/>
  <c r="JK188" i="1"/>
  <c r="JK163" i="1"/>
  <c r="JK101" i="1"/>
  <c r="JK65" i="1"/>
  <c r="JK60" i="1"/>
  <c r="JK80" i="1"/>
  <c r="JK56" i="1"/>
  <c r="JK57" i="1"/>
  <c r="JK25" i="1"/>
  <c r="JK104" i="1"/>
  <c r="JK66" i="1"/>
  <c r="JK58" i="1"/>
  <c r="JK155" i="1"/>
  <c r="JK156" i="1"/>
  <c r="JK134" i="1"/>
  <c r="JK92" i="1"/>
  <c r="JK67" i="1"/>
  <c r="JK126" i="1"/>
  <c r="JK145" i="1"/>
  <c r="JK135" i="1"/>
  <c r="JK159" i="1"/>
  <c r="JK76" i="1"/>
  <c r="JK114" i="1"/>
  <c r="JK161" i="1"/>
  <c r="JK160" i="1"/>
  <c r="JK95" i="1"/>
  <c r="JK120" i="1"/>
  <c r="JK42" i="1"/>
  <c r="JK183" i="1"/>
  <c r="JK112" i="1"/>
  <c r="JK148" i="1"/>
  <c r="JK179" i="1"/>
  <c r="JK128" i="1"/>
  <c r="JK144" i="1"/>
  <c r="JK110" i="1"/>
  <c r="JK81" i="1"/>
  <c r="JK100" i="1"/>
  <c r="JK123" i="1"/>
  <c r="JK86" i="1"/>
  <c r="JK174" i="1"/>
  <c r="JK201" i="1"/>
  <c r="JK90" i="1"/>
  <c r="JK102" i="1"/>
  <c r="JK94" i="1"/>
  <c r="JK119" i="1"/>
  <c r="JK141" i="1"/>
  <c r="JK147" i="1"/>
  <c r="JK165" i="1"/>
  <c r="JK132" i="1"/>
  <c r="JK189" i="1"/>
  <c r="JK133" i="1"/>
  <c r="JK206" i="1"/>
  <c r="JK78" i="1"/>
  <c r="JK143" i="1"/>
  <c r="JK150" i="1"/>
  <c r="JK130" i="1"/>
  <c r="JK96" i="1"/>
  <c r="JK182" i="1"/>
  <c r="JK195" i="1"/>
  <c r="JK178" i="1"/>
  <c r="JK181" i="1"/>
  <c r="JK194" i="1"/>
  <c r="JK208" i="1"/>
  <c r="JK129" i="1"/>
  <c r="JK180" i="1"/>
  <c r="JK140" i="1"/>
  <c r="JK125" i="1"/>
  <c r="JK131" i="1"/>
  <c r="JK173" i="1"/>
  <c r="JK184" i="1"/>
  <c r="JK190" i="1"/>
  <c r="JK142" i="1"/>
  <c r="JK69" i="1"/>
  <c r="JK151" i="1"/>
  <c r="JK193" i="1"/>
  <c r="JK169" i="1"/>
  <c r="JK166" i="1"/>
  <c r="JK97" i="1"/>
  <c r="JK79" i="1"/>
  <c r="JK146" i="1"/>
  <c r="JK204" i="1"/>
  <c r="JK113" i="1"/>
  <c r="JK172" i="1"/>
  <c r="JK171" i="1"/>
  <c r="JK185" i="1"/>
  <c r="JK137" i="1"/>
  <c r="JK205" i="1"/>
  <c r="JK177" i="1"/>
  <c r="JK199" i="1"/>
  <c r="JK106" i="1"/>
  <c r="JK203" i="1"/>
  <c r="JK124" i="1"/>
  <c r="JK170" i="1"/>
  <c r="JK152" i="1"/>
  <c r="JK118" i="1"/>
  <c r="JK198" i="1"/>
  <c r="JK200" i="1"/>
  <c r="JK136" i="1"/>
  <c r="JK108" i="1"/>
  <c r="JK149" i="1"/>
  <c r="JK187" i="1"/>
  <c r="JK168" i="1"/>
  <c r="JK162" i="1"/>
  <c r="JK139" i="1"/>
  <c r="JK196" i="1"/>
  <c r="JK153" i="1"/>
  <c r="JK197" i="1"/>
  <c r="JK176" i="1"/>
  <c r="JK202" i="1"/>
  <c r="JK167" i="1"/>
  <c r="JK207" i="1"/>
  <c r="JK192" i="1"/>
  <c r="JJ3" i="1"/>
  <c r="JJ2" i="1"/>
  <c r="JJ43" i="1"/>
  <c r="JJ71" i="1"/>
  <c r="JJ7" i="1"/>
  <c r="JJ164" i="1"/>
  <c r="JJ4" i="1"/>
  <c r="JJ99" i="1"/>
  <c r="JJ6" i="1"/>
  <c r="JJ8" i="1"/>
  <c r="JJ10" i="1"/>
  <c r="JJ9" i="1"/>
  <c r="JJ127" i="1"/>
  <c r="JJ11" i="1"/>
  <c r="JJ44" i="1"/>
  <c r="JJ39" i="1"/>
  <c r="JJ45" i="1"/>
  <c r="JJ16" i="1"/>
  <c r="JJ12" i="1"/>
  <c r="JJ48" i="1"/>
  <c r="JJ54" i="1"/>
  <c r="JJ47" i="1"/>
  <c r="JJ20" i="1"/>
  <c r="JJ50" i="1"/>
  <c r="JJ22" i="1"/>
  <c r="JJ49" i="1"/>
  <c r="JJ13" i="1"/>
  <c r="JJ26" i="1"/>
  <c r="JJ52" i="1"/>
  <c r="JJ46" i="1"/>
  <c r="JJ72" i="1"/>
  <c r="JJ5" i="1"/>
  <c r="JJ18" i="1"/>
  <c r="JJ23" i="1"/>
  <c r="JJ15" i="1"/>
  <c r="JJ14" i="1"/>
  <c r="JJ59" i="1"/>
  <c r="JJ38" i="1"/>
  <c r="JJ21" i="1"/>
  <c r="JJ27" i="1"/>
  <c r="JJ17" i="1"/>
  <c r="JJ68" i="1"/>
  <c r="JJ121" i="1"/>
  <c r="JJ24" i="1"/>
  <c r="JJ30" i="1"/>
  <c r="JJ40" i="1"/>
  <c r="JJ35" i="1"/>
  <c r="JJ29" i="1"/>
  <c r="JJ37" i="1"/>
  <c r="JJ28" i="1"/>
  <c r="JJ19" i="1"/>
  <c r="JJ33" i="1"/>
  <c r="JJ109" i="1"/>
  <c r="JJ64" i="1"/>
  <c r="JJ63" i="1"/>
  <c r="JJ77" i="1"/>
  <c r="JJ115" i="1"/>
  <c r="JJ31" i="1"/>
  <c r="JJ41" i="1"/>
  <c r="JJ191" i="1"/>
  <c r="JJ85" i="1"/>
  <c r="JJ62" i="1"/>
  <c r="JJ36" i="1"/>
  <c r="JJ32" i="1"/>
  <c r="JJ34" i="1"/>
  <c r="JJ93" i="1"/>
  <c r="JJ117" i="1"/>
  <c r="JJ154" i="1"/>
  <c r="JJ107" i="1"/>
  <c r="JJ98" i="1"/>
  <c r="JJ138" i="1"/>
  <c r="JJ75" i="1"/>
  <c r="JJ122" i="1"/>
  <c r="JJ84" i="1"/>
  <c r="JJ116" i="1"/>
  <c r="JJ186" i="1"/>
  <c r="JJ89" i="1"/>
  <c r="JJ70" i="1"/>
  <c r="JJ61" i="1"/>
  <c r="JJ74" i="1"/>
  <c r="JJ88" i="1"/>
  <c r="JJ73" i="1"/>
  <c r="JJ111" i="1"/>
  <c r="JJ87" i="1"/>
  <c r="JJ82" i="1"/>
  <c r="JJ53" i="1"/>
  <c r="JJ175" i="1"/>
  <c r="JJ55" i="1"/>
  <c r="JJ51" i="1"/>
  <c r="JJ157" i="1"/>
  <c r="JJ158" i="1"/>
  <c r="JJ83" i="1"/>
  <c r="JJ91" i="1"/>
  <c r="JJ105" i="1"/>
  <c r="JJ103" i="1"/>
  <c r="JJ188" i="1"/>
  <c r="JJ163" i="1"/>
  <c r="JJ101" i="1"/>
  <c r="JJ65" i="1"/>
  <c r="JJ60" i="1"/>
  <c r="JJ80" i="1"/>
  <c r="JJ56" i="1"/>
  <c r="JJ57" i="1"/>
  <c r="JJ25" i="1"/>
  <c r="JJ104" i="1"/>
  <c r="JJ66" i="1"/>
  <c r="JJ58" i="1"/>
  <c r="JJ155" i="1"/>
  <c r="JJ156" i="1"/>
  <c r="JJ134" i="1"/>
  <c r="JJ92" i="1"/>
  <c r="JJ67" i="1"/>
  <c r="JJ126" i="1"/>
  <c r="JJ145" i="1"/>
  <c r="JJ135" i="1"/>
  <c r="JJ159" i="1"/>
  <c r="JJ76" i="1"/>
  <c r="JJ114" i="1"/>
  <c r="JJ161" i="1"/>
  <c r="JJ160" i="1"/>
  <c r="JJ95" i="1"/>
  <c r="JJ120" i="1"/>
  <c r="JJ42" i="1"/>
  <c r="JJ183" i="1"/>
  <c r="JJ112" i="1"/>
  <c r="JJ148" i="1"/>
  <c r="JJ179" i="1"/>
  <c r="JJ128" i="1"/>
  <c r="JJ144" i="1"/>
  <c r="JJ110" i="1"/>
  <c r="JJ81" i="1"/>
  <c r="JJ100" i="1"/>
  <c r="JJ123" i="1"/>
  <c r="JJ86" i="1"/>
  <c r="JJ174" i="1"/>
  <c r="JJ201" i="1"/>
  <c r="JJ90" i="1"/>
  <c r="JJ102" i="1"/>
  <c r="JJ94" i="1"/>
  <c r="JJ119" i="1"/>
  <c r="JJ141" i="1"/>
  <c r="JJ147" i="1"/>
  <c r="JJ165" i="1"/>
  <c r="JJ132" i="1"/>
  <c r="JJ189" i="1"/>
  <c r="JJ133" i="1"/>
  <c r="JJ206" i="1"/>
  <c r="JJ78" i="1"/>
  <c r="JJ143" i="1"/>
  <c r="JJ150" i="1"/>
  <c r="JJ130" i="1"/>
  <c r="JJ96" i="1"/>
  <c r="JJ182" i="1"/>
  <c r="JJ195" i="1"/>
  <c r="JJ178" i="1"/>
  <c r="JJ181" i="1"/>
  <c r="JJ194" i="1"/>
  <c r="JJ208" i="1"/>
  <c r="JJ129" i="1"/>
  <c r="JJ180" i="1"/>
  <c r="JJ140" i="1"/>
  <c r="JJ125" i="1"/>
  <c r="JJ131" i="1"/>
  <c r="JJ173" i="1"/>
  <c r="JJ184" i="1"/>
  <c r="JJ190" i="1"/>
  <c r="JJ142" i="1"/>
  <c r="JJ69" i="1"/>
  <c r="JJ151" i="1"/>
  <c r="JJ193" i="1"/>
  <c r="JJ169" i="1"/>
  <c r="JJ166" i="1"/>
  <c r="JJ97" i="1"/>
  <c r="JJ79" i="1"/>
  <c r="JJ146" i="1"/>
  <c r="JJ204" i="1"/>
  <c r="JJ113" i="1"/>
  <c r="JJ172" i="1"/>
  <c r="JJ171" i="1"/>
  <c r="JJ185" i="1"/>
  <c r="JJ137" i="1"/>
  <c r="JJ205" i="1"/>
  <c r="JJ177" i="1"/>
  <c r="JJ199" i="1"/>
  <c r="JJ106" i="1"/>
  <c r="JJ203" i="1"/>
  <c r="JJ124" i="1"/>
  <c r="JJ170" i="1"/>
  <c r="JJ152" i="1"/>
  <c r="JJ118" i="1"/>
  <c r="JJ198" i="1"/>
  <c r="JJ200" i="1"/>
  <c r="JJ136" i="1"/>
  <c r="JJ108" i="1"/>
  <c r="JJ149" i="1"/>
  <c r="JJ187" i="1"/>
  <c r="JJ168" i="1"/>
  <c r="JJ162" i="1"/>
  <c r="JJ139" i="1"/>
  <c r="JJ196" i="1"/>
  <c r="JJ153" i="1"/>
  <c r="JJ197" i="1"/>
  <c r="JJ176" i="1"/>
  <c r="JJ202" i="1"/>
  <c r="JJ167" i="1"/>
  <c r="JJ207" i="1"/>
  <c r="JJ192" i="1"/>
  <c r="JI3" i="1"/>
  <c r="JI2" i="1"/>
  <c r="JI43" i="1"/>
  <c r="JI71" i="1"/>
  <c r="JI7" i="1"/>
  <c r="JI164" i="1"/>
  <c r="JI4" i="1"/>
  <c r="JI99" i="1"/>
  <c r="JI6" i="1"/>
  <c r="JI8" i="1"/>
  <c r="JI10" i="1"/>
  <c r="JI9" i="1"/>
  <c r="JI127" i="1"/>
  <c r="JI11" i="1"/>
  <c r="JI44" i="1"/>
  <c r="JI39" i="1"/>
  <c r="JI45" i="1"/>
  <c r="JI16" i="1"/>
  <c r="JI12" i="1"/>
  <c r="JI48" i="1"/>
  <c r="JI54" i="1"/>
  <c r="JI47" i="1"/>
  <c r="JI20" i="1"/>
  <c r="JI50" i="1"/>
  <c r="JI22" i="1"/>
  <c r="JI49" i="1"/>
  <c r="JI13" i="1"/>
  <c r="JI26" i="1"/>
  <c r="JI52" i="1"/>
  <c r="JI46" i="1"/>
  <c r="JI72" i="1"/>
  <c r="JI5" i="1"/>
  <c r="JI18" i="1"/>
  <c r="JI23" i="1"/>
  <c r="JI15" i="1"/>
  <c r="JI14" i="1"/>
  <c r="JI59" i="1"/>
  <c r="JI38" i="1"/>
  <c r="JI21" i="1"/>
  <c r="JI27" i="1"/>
  <c r="JI17" i="1"/>
  <c r="JI68" i="1"/>
  <c r="JI121" i="1"/>
  <c r="JI24" i="1"/>
  <c r="JI30" i="1"/>
  <c r="JI40" i="1"/>
  <c r="JI35" i="1"/>
  <c r="JI29" i="1"/>
  <c r="JI37" i="1"/>
  <c r="JI28" i="1"/>
  <c r="JI19" i="1"/>
  <c r="JI33" i="1"/>
  <c r="JI109" i="1"/>
  <c r="JI64" i="1"/>
  <c r="JI63" i="1"/>
  <c r="JI77" i="1"/>
  <c r="JI115" i="1"/>
  <c r="JI31" i="1"/>
  <c r="JI41" i="1"/>
  <c r="JI191" i="1"/>
  <c r="JI85" i="1"/>
  <c r="JI62" i="1"/>
  <c r="JI36" i="1"/>
  <c r="JI32" i="1"/>
  <c r="JI34" i="1"/>
  <c r="JI93" i="1"/>
  <c r="JI117" i="1"/>
  <c r="JI154" i="1"/>
  <c r="JI107" i="1"/>
  <c r="JI98" i="1"/>
  <c r="JI138" i="1"/>
  <c r="JI75" i="1"/>
  <c r="JI122" i="1"/>
  <c r="JI84" i="1"/>
  <c r="JI116" i="1"/>
  <c r="JI186" i="1"/>
  <c r="JI89" i="1"/>
  <c r="JI70" i="1"/>
  <c r="JI61" i="1"/>
  <c r="JI74" i="1"/>
  <c r="JI88" i="1"/>
  <c r="JI73" i="1"/>
  <c r="JI111" i="1"/>
  <c r="JI87" i="1"/>
  <c r="JI82" i="1"/>
  <c r="JI53" i="1"/>
  <c r="JI175" i="1"/>
  <c r="JI55" i="1"/>
  <c r="JI51" i="1"/>
  <c r="JI157" i="1"/>
  <c r="JI158" i="1"/>
  <c r="JI83" i="1"/>
  <c r="JI91" i="1"/>
  <c r="JI105" i="1"/>
  <c r="JI103" i="1"/>
  <c r="JI188" i="1"/>
  <c r="JI163" i="1"/>
  <c r="JI101" i="1"/>
  <c r="JI65" i="1"/>
  <c r="JI60" i="1"/>
  <c r="JI80" i="1"/>
  <c r="JI56" i="1"/>
  <c r="JI57" i="1"/>
  <c r="JI25" i="1"/>
  <c r="JI104" i="1"/>
  <c r="JI66" i="1"/>
  <c r="JI58" i="1"/>
  <c r="JI155" i="1"/>
  <c r="JI156" i="1"/>
  <c r="JI134" i="1"/>
  <c r="JI92" i="1"/>
  <c r="JI67" i="1"/>
  <c r="JI126" i="1"/>
  <c r="JI145" i="1"/>
  <c r="JI135" i="1"/>
  <c r="JI159" i="1"/>
  <c r="JI76" i="1"/>
  <c r="JI114" i="1"/>
  <c r="JI161" i="1"/>
  <c r="JI160" i="1"/>
  <c r="JI95" i="1"/>
  <c r="JI120" i="1"/>
  <c r="JI42" i="1"/>
  <c r="JI183" i="1"/>
  <c r="JI112" i="1"/>
  <c r="JI148" i="1"/>
  <c r="JI179" i="1"/>
  <c r="JI128" i="1"/>
  <c r="JI144" i="1"/>
  <c r="JI110" i="1"/>
  <c r="JI81" i="1"/>
  <c r="JI100" i="1"/>
  <c r="JI123" i="1"/>
  <c r="JI86" i="1"/>
  <c r="JI174" i="1"/>
  <c r="JI201" i="1"/>
  <c r="JI90" i="1"/>
  <c r="JI102" i="1"/>
  <c r="JI94" i="1"/>
  <c r="JI119" i="1"/>
  <c r="JI141" i="1"/>
  <c r="JI147" i="1"/>
  <c r="JI165" i="1"/>
  <c r="JI132" i="1"/>
  <c r="JI189" i="1"/>
  <c r="JI133" i="1"/>
  <c r="JI206" i="1"/>
  <c r="JI78" i="1"/>
  <c r="JI143" i="1"/>
  <c r="JI150" i="1"/>
  <c r="JI130" i="1"/>
  <c r="JI96" i="1"/>
  <c r="JI182" i="1"/>
  <c r="JI195" i="1"/>
  <c r="JI178" i="1"/>
  <c r="JI181" i="1"/>
  <c r="JI194" i="1"/>
  <c r="JI208" i="1"/>
  <c r="JI129" i="1"/>
  <c r="JI180" i="1"/>
  <c r="JI140" i="1"/>
  <c r="JI125" i="1"/>
  <c r="JI131" i="1"/>
  <c r="JI173" i="1"/>
  <c r="JI184" i="1"/>
  <c r="JI190" i="1"/>
  <c r="JI142" i="1"/>
  <c r="JI69" i="1"/>
  <c r="JI151" i="1"/>
  <c r="JI193" i="1"/>
  <c r="JI169" i="1"/>
  <c r="JI166" i="1"/>
  <c r="JI97" i="1"/>
  <c r="JI79" i="1"/>
  <c r="JI146" i="1"/>
  <c r="JI204" i="1"/>
  <c r="JI113" i="1"/>
  <c r="JI172" i="1"/>
  <c r="JI171" i="1"/>
  <c r="JI185" i="1"/>
  <c r="JI137" i="1"/>
  <c r="JI205" i="1"/>
  <c r="JI177" i="1"/>
  <c r="JI199" i="1"/>
  <c r="JI106" i="1"/>
  <c r="JI203" i="1"/>
  <c r="JI124" i="1"/>
  <c r="JI170" i="1"/>
  <c r="JI152" i="1"/>
  <c r="JI118" i="1"/>
  <c r="JI198" i="1"/>
  <c r="JI200" i="1"/>
  <c r="JI136" i="1"/>
  <c r="JI108" i="1"/>
  <c r="JI149" i="1"/>
  <c r="JI187" i="1"/>
  <c r="JI168" i="1"/>
  <c r="JI162" i="1"/>
  <c r="JI139" i="1"/>
  <c r="JI196" i="1"/>
  <c r="JI153" i="1"/>
  <c r="JI197" i="1"/>
  <c r="JI176" i="1"/>
  <c r="JI202" i="1"/>
  <c r="JI167" i="1"/>
  <c r="JI207" i="1"/>
  <c r="JI192" i="1"/>
  <c r="JH3" i="1"/>
  <c r="JH2" i="1"/>
  <c r="JH43" i="1"/>
  <c r="JH71" i="1"/>
  <c r="JH7" i="1"/>
  <c r="JH164" i="1"/>
  <c r="JH4" i="1"/>
  <c r="JH99" i="1"/>
  <c r="JH6" i="1"/>
  <c r="JH8" i="1"/>
  <c r="JH10" i="1"/>
  <c r="JH9" i="1"/>
  <c r="JH127" i="1"/>
  <c r="JH11" i="1"/>
  <c r="JH44" i="1"/>
  <c r="JH39" i="1"/>
  <c r="JH45" i="1"/>
  <c r="JH16" i="1"/>
  <c r="JH12" i="1"/>
  <c r="JH48" i="1"/>
  <c r="JH54" i="1"/>
  <c r="JH47" i="1"/>
  <c r="JH20" i="1"/>
  <c r="JH50" i="1"/>
  <c r="JH22" i="1"/>
  <c r="JH49" i="1"/>
  <c r="JH13" i="1"/>
  <c r="JH26" i="1"/>
  <c r="JH52" i="1"/>
  <c r="JH46" i="1"/>
  <c r="JH72" i="1"/>
  <c r="JH5" i="1"/>
  <c r="JH18" i="1"/>
  <c r="JH23" i="1"/>
  <c r="JH15" i="1"/>
  <c r="JH14" i="1"/>
  <c r="JH59" i="1"/>
  <c r="JH38" i="1"/>
  <c r="JH21" i="1"/>
  <c r="JH27" i="1"/>
  <c r="JH17" i="1"/>
  <c r="JH68" i="1"/>
  <c r="JH121" i="1"/>
  <c r="JH24" i="1"/>
  <c r="JH30" i="1"/>
  <c r="JH40" i="1"/>
  <c r="JH35" i="1"/>
  <c r="JH29" i="1"/>
  <c r="JH37" i="1"/>
  <c r="JH28" i="1"/>
  <c r="JH19" i="1"/>
  <c r="JH33" i="1"/>
  <c r="JH109" i="1"/>
  <c r="JH64" i="1"/>
  <c r="JH63" i="1"/>
  <c r="JH77" i="1"/>
  <c r="JH115" i="1"/>
  <c r="JH31" i="1"/>
  <c r="JH41" i="1"/>
  <c r="JH191" i="1"/>
  <c r="JH85" i="1"/>
  <c r="JH62" i="1"/>
  <c r="JH36" i="1"/>
  <c r="JH32" i="1"/>
  <c r="JH34" i="1"/>
  <c r="JH93" i="1"/>
  <c r="JH117" i="1"/>
  <c r="JH154" i="1"/>
  <c r="JH107" i="1"/>
  <c r="JH98" i="1"/>
  <c r="JH138" i="1"/>
  <c r="JH75" i="1"/>
  <c r="JH122" i="1"/>
  <c r="JH84" i="1"/>
  <c r="JH116" i="1"/>
  <c r="JH186" i="1"/>
  <c r="JH89" i="1"/>
  <c r="JH70" i="1"/>
  <c r="JH61" i="1"/>
  <c r="JH74" i="1"/>
  <c r="JH88" i="1"/>
  <c r="JH73" i="1"/>
  <c r="JH111" i="1"/>
  <c r="JH87" i="1"/>
  <c r="JH82" i="1"/>
  <c r="JH53" i="1"/>
  <c r="JH175" i="1"/>
  <c r="JH55" i="1"/>
  <c r="JH51" i="1"/>
  <c r="JH157" i="1"/>
  <c r="JH158" i="1"/>
  <c r="JH83" i="1"/>
  <c r="JH91" i="1"/>
  <c r="JH105" i="1"/>
  <c r="JH103" i="1"/>
  <c r="JH188" i="1"/>
  <c r="JH163" i="1"/>
  <c r="JH101" i="1"/>
  <c r="JH65" i="1"/>
  <c r="JH60" i="1"/>
  <c r="JH80" i="1"/>
  <c r="JH56" i="1"/>
  <c r="JH57" i="1"/>
  <c r="JH25" i="1"/>
  <c r="JH104" i="1"/>
  <c r="JH66" i="1"/>
  <c r="JH58" i="1"/>
  <c r="JH155" i="1"/>
  <c r="JH156" i="1"/>
  <c r="JH134" i="1"/>
  <c r="JH92" i="1"/>
  <c r="JH67" i="1"/>
  <c r="JH126" i="1"/>
  <c r="JH145" i="1"/>
  <c r="JH135" i="1"/>
  <c r="JH159" i="1"/>
  <c r="JH76" i="1"/>
  <c r="JH114" i="1"/>
  <c r="JH161" i="1"/>
  <c r="JH160" i="1"/>
  <c r="JH95" i="1"/>
  <c r="JH120" i="1"/>
  <c r="JH42" i="1"/>
  <c r="JH183" i="1"/>
  <c r="JH112" i="1"/>
  <c r="JH148" i="1"/>
  <c r="JH179" i="1"/>
  <c r="JH128" i="1"/>
  <c r="JH144" i="1"/>
  <c r="JH110" i="1"/>
  <c r="JH81" i="1"/>
  <c r="JH100" i="1"/>
  <c r="JH123" i="1"/>
  <c r="JH86" i="1"/>
  <c r="JH174" i="1"/>
  <c r="JH201" i="1"/>
  <c r="JH90" i="1"/>
  <c r="JH102" i="1"/>
  <c r="JH94" i="1"/>
  <c r="JH119" i="1"/>
  <c r="JH141" i="1"/>
  <c r="JH147" i="1"/>
  <c r="JH165" i="1"/>
  <c r="JH132" i="1"/>
  <c r="JH189" i="1"/>
  <c r="JH133" i="1"/>
  <c r="JH206" i="1"/>
  <c r="JH78" i="1"/>
  <c r="JH143" i="1"/>
  <c r="JH150" i="1"/>
  <c r="JH130" i="1"/>
  <c r="JH96" i="1"/>
  <c r="JH182" i="1"/>
  <c r="JH195" i="1"/>
  <c r="JH178" i="1"/>
  <c r="JH181" i="1"/>
  <c r="JH194" i="1"/>
  <c r="JH208" i="1"/>
  <c r="JH129" i="1"/>
  <c r="JH180" i="1"/>
  <c r="JH140" i="1"/>
  <c r="JH125" i="1"/>
  <c r="JH131" i="1"/>
  <c r="JH173" i="1"/>
  <c r="JH184" i="1"/>
  <c r="JH190" i="1"/>
  <c r="JH142" i="1"/>
  <c r="JH69" i="1"/>
  <c r="JH151" i="1"/>
  <c r="JH193" i="1"/>
  <c r="JH169" i="1"/>
  <c r="JH166" i="1"/>
  <c r="JH97" i="1"/>
  <c r="JH79" i="1"/>
  <c r="JH146" i="1"/>
  <c r="JH204" i="1"/>
  <c r="JH113" i="1"/>
  <c r="JH172" i="1"/>
  <c r="JH171" i="1"/>
  <c r="JH185" i="1"/>
  <c r="JH137" i="1"/>
  <c r="JH205" i="1"/>
  <c r="JH177" i="1"/>
  <c r="JH199" i="1"/>
  <c r="JH106" i="1"/>
  <c r="JH203" i="1"/>
  <c r="JH124" i="1"/>
  <c r="JH170" i="1"/>
  <c r="JH152" i="1"/>
  <c r="JH118" i="1"/>
  <c r="JH198" i="1"/>
  <c r="JH200" i="1"/>
  <c r="JH136" i="1"/>
  <c r="JH108" i="1"/>
  <c r="JH149" i="1"/>
  <c r="JH187" i="1"/>
  <c r="JH168" i="1"/>
  <c r="JH162" i="1"/>
  <c r="JH139" i="1"/>
  <c r="JH196" i="1"/>
  <c r="JH153" i="1"/>
  <c r="JH197" i="1"/>
  <c r="JH176" i="1"/>
  <c r="JH202" i="1"/>
  <c r="JH167" i="1"/>
  <c r="JH207" i="1"/>
  <c r="JH192" i="1"/>
  <c r="JG3" i="1"/>
  <c r="JG2" i="1"/>
  <c r="JG43" i="1"/>
  <c r="JG71" i="1"/>
  <c r="JG7" i="1"/>
  <c r="JG164" i="1"/>
  <c r="JG4" i="1"/>
  <c r="JG99" i="1"/>
  <c r="JG6" i="1"/>
  <c r="JG8" i="1"/>
  <c r="JG10" i="1"/>
  <c r="JG9" i="1"/>
  <c r="JG127" i="1"/>
  <c r="JG11" i="1"/>
  <c r="JG44" i="1"/>
  <c r="JG39" i="1"/>
  <c r="JG45" i="1"/>
  <c r="JG16" i="1"/>
  <c r="JG12" i="1"/>
  <c r="JG48" i="1"/>
  <c r="JG54" i="1"/>
  <c r="JG47" i="1"/>
  <c r="JG20" i="1"/>
  <c r="JG50" i="1"/>
  <c r="JG22" i="1"/>
  <c r="JG49" i="1"/>
  <c r="JG13" i="1"/>
  <c r="JG26" i="1"/>
  <c r="JG52" i="1"/>
  <c r="JG46" i="1"/>
  <c r="JG72" i="1"/>
  <c r="JG5" i="1"/>
  <c r="JG18" i="1"/>
  <c r="JG23" i="1"/>
  <c r="JG15" i="1"/>
  <c r="JG14" i="1"/>
  <c r="JG59" i="1"/>
  <c r="JG38" i="1"/>
  <c r="JG21" i="1"/>
  <c r="JG27" i="1"/>
  <c r="JG17" i="1"/>
  <c r="JG68" i="1"/>
  <c r="JG121" i="1"/>
  <c r="JG24" i="1"/>
  <c r="JG30" i="1"/>
  <c r="JG40" i="1"/>
  <c r="JG35" i="1"/>
  <c r="JG29" i="1"/>
  <c r="JG37" i="1"/>
  <c r="JG28" i="1"/>
  <c r="JG19" i="1"/>
  <c r="JG33" i="1"/>
  <c r="JG109" i="1"/>
  <c r="JG64" i="1"/>
  <c r="JG63" i="1"/>
  <c r="JG77" i="1"/>
  <c r="JG115" i="1"/>
  <c r="JG31" i="1"/>
  <c r="JG41" i="1"/>
  <c r="JG191" i="1"/>
  <c r="JG85" i="1"/>
  <c r="JG62" i="1"/>
  <c r="JG36" i="1"/>
  <c r="JG32" i="1"/>
  <c r="JG34" i="1"/>
  <c r="JG93" i="1"/>
  <c r="JG117" i="1"/>
  <c r="JG154" i="1"/>
  <c r="JG107" i="1"/>
  <c r="JG98" i="1"/>
  <c r="JG138" i="1"/>
  <c r="JG75" i="1"/>
  <c r="JG122" i="1"/>
  <c r="JG84" i="1"/>
  <c r="JG116" i="1"/>
  <c r="JG186" i="1"/>
  <c r="JG89" i="1"/>
  <c r="JG70" i="1"/>
  <c r="JG61" i="1"/>
  <c r="JG74" i="1"/>
  <c r="JG88" i="1"/>
  <c r="JG73" i="1"/>
  <c r="JG111" i="1"/>
  <c r="JG87" i="1"/>
  <c r="JG82" i="1"/>
  <c r="JG53" i="1"/>
  <c r="JG175" i="1"/>
  <c r="JG55" i="1"/>
  <c r="JG51" i="1"/>
  <c r="JG157" i="1"/>
  <c r="JG158" i="1"/>
  <c r="JG83" i="1"/>
  <c r="JG91" i="1"/>
  <c r="JG105" i="1"/>
  <c r="JG103" i="1"/>
  <c r="JG188" i="1"/>
  <c r="JG163" i="1"/>
  <c r="JG101" i="1"/>
  <c r="JG65" i="1"/>
  <c r="JG60" i="1"/>
  <c r="JG80" i="1"/>
  <c r="JG56" i="1"/>
  <c r="JG57" i="1"/>
  <c r="JG25" i="1"/>
  <c r="JG104" i="1"/>
  <c r="JG66" i="1"/>
  <c r="JG58" i="1"/>
  <c r="JG155" i="1"/>
  <c r="JG156" i="1"/>
  <c r="JG134" i="1"/>
  <c r="JG92" i="1"/>
  <c r="JG67" i="1"/>
  <c r="JG126" i="1"/>
  <c r="JG145" i="1"/>
  <c r="JG135" i="1"/>
  <c r="JG159" i="1"/>
  <c r="JG76" i="1"/>
  <c r="JG114" i="1"/>
  <c r="JG161" i="1"/>
  <c r="JG160" i="1"/>
  <c r="JG95" i="1"/>
  <c r="JG120" i="1"/>
  <c r="JG42" i="1"/>
  <c r="JG183" i="1"/>
  <c r="JG112" i="1"/>
  <c r="JG148" i="1"/>
  <c r="JG179" i="1"/>
  <c r="JG128" i="1"/>
  <c r="JG144" i="1"/>
  <c r="JG110" i="1"/>
  <c r="JG81" i="1"/>
  <c r="JG100" i="1"/>
  <c r="JG123" i="1"/>
  <c r="JG86" i="1"/>
  <c r="JG174" i="1"/>
  <c r="JG201" i="1"/>
  <c r="JG90" i="1"/>
  <c r="JG102" i="1"/>
  <c r="JG94" i="1"/>
  <c r="JG119" i="1"/>
  <c r="JG141" i="1"/>
  <c r="JG147" i="1"/>
  <c r="JG165" i="1"/>
  <c r="JG132" i="1"/>
  <c r="JG189" i="1"/>
  <c r="JG133" i="1"/>
  <c r="JG206" i="1"/>
  <c r="JG78" i="1"/>
  <c r="JG143" i="1"/>
  <c r="JG150" i="1"/>
  <c r="JG130" i="1"/>
  <c r="JG96" i="1"/>
  <c r="JG182" i="1"/>
  <c r="JG195" i="1"/>
  <c r="JG178" i="1"/>
  <c r="JG181" i="1"/>
  <c r="JG194" i="1"/>
  <c r="JG208" i="1"/>
  <c r="JG129" i="1"/>
  <c r="JG180" i="1"/>
  <c r="JG140" i="1"/>
  <c r="JG125" i="1"/>
  <c r="JG131" i="1"/>
  <c r="JG173" i="1"/>
  <c r="JG184" i="1"/>
  <c r="JG190" i="1"/>
  <c r="JG142" i="1"/>
  <c r="JG69" i="1"/>
  <c r="JG151" i="1"/>
  <c r="JG193" i="1"/>
  <c r="JG169" i="1"/>
  <c r="JG166" i="1"/>
  <c r="JG97" i="1"/>
  <c r="JG79" i="1"/>
  <c r="JG146" i="1"/>
  <c r="JG204" i="1"/>
  <c r="JG113" i="1"/>
  <c r="JG172" i="1"/>
  <c r="JG171" i="1"/>
  <c r="JG185" i="1"/>
  <c r="JG137" i="1"/>
  <c r="JG205" i="1"/>
  <c r="JG177" i="1"/>
  <c r="JG199" i="1"/>
  <c r="JG106" i="1"/>
  <c r="JG203" i="1"/>
  <c r="JG124" i="1"/>
  <c r="JG170" i="1"/>
  <c r="JG152" i="1"/>
  <c r="JG118" i="1"/>
  <c r="JG198" i="1"/>
  <c r="JG200" i="1"/>
  <c r="JG136" i="1"/>
  <c r="JG108" i="1"/>
  <c r="JG149" i="1"/>
  <c r="JG187" i="1"/>
  <c r="JG168" i="1"/>
  <c r="JG162" i="1"/>
  <c r="JG139" i="1"/>
  <c r="JG196" i="1"/>
  <c r="JG153" i="1"/>
  <c r="JG197" i="1"/>
  <c r="JG176" i="1"/>
  <c r="JG202" i="1"/>
  <c r="JG167" i="1"/>
  <c r="JG207" i="1"/>
  <c r="JG192" i="1"/>
  <c r="JF3" i="1"/>
  <c r="JF2" i="1"/>
  <c r="JF43" i="1"/>
  <c r="JF71" i="1"/>
  <c r="JF7" i="1"/>
  <c r="JF164" i="1"/>
  <c r="JF4" i="1"/>
  <c r="JF99" i="1"/>
  <c r="JF6" i="1"/>
  <c r="JF8" i="1"/>
  <c r="JF10" i="1"/>
  <c r="JF9" i="1"/>
  <c r="JF127" i="1"/>
  <c r="JF11" i="1"/>
  <c r="JF44" i="1"/>
  <c r="JF39" i="1"/>
  <c r="JF45" i="1"/>
  <c r="JF16" i="1"/>
  <c r="JF12" i="1"/>
  <c r="JF48" i="1"/>
  <c r="JF54" i="1"/>
  <c r="JF47" i="1"/>
  <c r="JF20" i="1"/>
  <c r="JF50" i="1"/>
  <c r="JF22" i="1"/>
  <c r="JF49" i="1"/>
  <c r="JF13" i="1"/>
  <c r="JF26" i="1"/>
  <c r="JF52" i="1"/>
  <c r="JF46" i="1"/>
  <c r="JF72" i="1"/>
  <c r="JF5" i="1"/>
  <c r="JF18" i="1"/>
  <c r="JF23" i="1"/>
  <c r="JF15" i="1"/>
  <c r="JF14" i="1"/>
  <c r="JF59" i="1"/>
  <c r="JF38" i="1"/>
  <c r="JF21" i="1"/>
  <c r="JF27" i="1"/>
  <c r="JF17" i="1"/>
  <c r="JF68" i="1"/>
  <c r="JF121" i="1"/>
  <c r="JF24" i="1"/>
  <c r="JF30" i="1"/>
  <c r="JF40" i="1"/>
  <c r="JF35" i="1"/>
  <c r="JF29" i="1"/>
  <c r="JF37" i="1"/>
  <c r="JF28" i="1"/>
  <c r="JF19" i="1"/>
  <c r="JF33" i="1"/>
  <c r="JF109" i="1"/>
  <c r="JF64" i="1"/>
  <c r="JF63" i="1"/>
  <c r="JF77" i="1"/>
  <c r="JF115" i="1"/>
  <c r="JF31" i="1"/>
  <c r="JF41" i="1"/>
  <c r="JF191" i="1"/>
  <c r="JF85" i="1"/>
  <c r="JF62" i="1"/>
  <c r="JF36" i="1"/>
  <c r="JF32" i="1"/>
  <c r="JF34" i="1"/>
  <c r="JF93" i="1"/>
  <c r="JF117" i="1"/>
  <c r="JF154" i="1"/>
  <c r="JF107" i="1"/>
  <c r="JF98" i="1"/>
  <c r="JF138" i="1"/>
  <c r="JF75" i="1"/>
  <c r="JF122" i="1"/>
  <c r="JF84" i="1"/>
  <c r="JF116" i="1"/>
  <c r="JF186" i="1"/>
  <c r="JF89" i="1"/>
  <c r="JF70" i="1"/>
  <c r="JF61" i="1"/>
  <c r="JF74" i="1"/>
  <c r="JF88" i="1"/>
  <c r="JF73" i="1"/>
  <c r="JF111" i="1"/>
  <c r="JF87" i="1"/>
  <c r="JF82" i="1"/>
  <c r="JF53" i="1"/>
  <c r="JF175" i="1"/>
  <c r="JF55" i="1"/>
  <c r="JF51" i="1"/>
  <c r="JF157" i="1"/>
  <c r="JF158" i="1"/>
  <c r="JF83" i="1"/>
  <c r="JF91" i="1"/>
  <c r="JF105" i="1"/>
  <c r="JF103" i="1"/>
  <c r="JF188" i="1"/>
  <c r="JF163" i="1"/>
  <c r="JF101" i="1"/>
  <c r="JF65" i="1"/>
  <c r="JF60" i="1"/>
  <c r="JF80" i="1"/>
  <c r="JF56" i="1"/>
  <c r="JF57" i="1"/>
  <c r="JF25" i="1"/>
  <c r="JF104" i="1"/>
  <c r="JF66" i="1"/>
  <c r="JF58" i="1"/>
  <c r="JF155" i="1"/>
  <c r="JF156" i="1"/>
  <c r="JF134" i="1"/>
  <c r="JF92" i="1"/>
  <c r="JF67" i="1"/>
  <c r="JF126" i="1"/>
  <c r="JF145" i="1"/>
  <c r="JF135" i="1"/>
  <c r="JF159" i="1"/>
  <c r="JF76" i="1"/>
  <c r="JF114" i="1"/>
  <c r="JF161" i="1"/>
  <c r="JF160" i="1"/>
  <c r="JF95" i="1"/>
  <c r="JF120" i="1"/>
  <c r="JF42" i="1"/>
  <c r="JF183" i="1"/>
  <c r="JF112" i="1"/>
  <c r="JF148" i="1"/>
  <c r="JF179" i="1"/>
  <c r="JF128" i="1"/>
  <c r="JF144" i="1"/>
  <c r="JF110" i="1"/>
  <c r="JF81" i="1"/>
  <c r="JF100" i="1"/>
  <c r="JF123" i="1"/>
  <c r="JF86" i="1"/>
  <c r="JF174" i="1"/>
  <c r="JF201" i="1"/>
  <c r="JF90" i="1"/>
  <c r="JF102" i="1"/>
  <c r="JF94" i="1"/>
  <c r="JF119" i="1"/>
  <c r="JF141" i="1"/>
  <c r="JF147" i="1"/>
  <c r="JF165" i="1"/>
  <c r="JF132" i="1"/>
  <c r="JF189" i="1"/>
  <c r="JF133" i="1"/>
  <c r="JF206" i="1"/>
  <c r="JF78" i="1"/>
  <c r="JF143" i="1"/>
  <c r="JF150" i="1"/>
  <c r="JF130" i="1"/>
  <c r="JF96" i="1"/>
  <c r="JF182" i="1"/>
  <c r="JF195" i="1"/>
  <c r="JF178" i="1"/>
  <c r="JF181" i="1"/>
  <c r="JF194" i="1"/>
  <c r="JF208" i="1"/>
  <c r="JF129" i="1"/>
  <c r="JF180" i="1"/>
  <c r="JF140" i="1"/>
  <c r="JF125" i="1"/>
  <c r="JF131" i="1"/>
  <c r="JF173" i="1"/>
  <c r="JF184" i="1"/>
  <c r="JF190" i="1"/>
  <c r="JF142" i="1"/>
  <c r="JF69" i="1"/>
  <c r="JF151" i="1"/>
  <c r="JF193" i="1"/>
  <c r="JF169" i="1"/>
  <c r="JF166" i="1"/>
  <c r="JF97" i="1"/>
  <c r="JF79" i="1"/>
  <c r="JF146" i="1"/>
  <c r="JF204" i="1"/>
  <c r="JF113" i="1"/>
  <c r="JF172" i="1"/>
  <c r="JF171" i="1"/>
  <c r="JF185" i="1"/>
  <c r="JF137" i="1"/>
  <c r="JF205" i="1"/>
  <c r="JF177" i="1"/>
  <c r="JF199" i="1"/>
  <c r="JF106" i="1"/>
  <c r="JF203" i="1"/>
  <c r="JF124" i="1"/>
  <c r="JF170" i="1"/>
  <c r="JF152" i="1"/>
  <c r="JF118" i="1"/>
  <c r="JF198" i="1"/>
  <c r="JF200" i="1"/>
  <c r="JF136" i="1"/>
  <c r="JF108" i="1"/>
  <c r="JF149" i="1"/>
  <c r="JF187" i="1"/>
  <c r="JF168" i="1"/>
  <c r="JF162" i="1"/>
  <c r="JF139" i="1"/>
  <c r="JF196" i="1"/>
  <c r="JF153" i="1"/>
  <c r="JF197" i="1"/>
  <c r="JF176" i="1"/>
  <c r="JF202" i="1"/>
  <c r="JF167" i="1"/>
  <c r="JF207" i="1"/>
  <c r="JF192" i="1"/>
  <c r="JE3" i="1"/>
  <c r="JE2" i="1"/>
  <c r="JE43" i="1"/>
  <c r="JE71" i="1"/>
  <c r="JE7" i="1"/>
  <c r="JE164" i="1"/>
  <c r="JE4" i="1"/>
  <c r="JE99" i="1"/>
  <c r="JE6" i="1"/>
  <c r="JE8" i="1"/>
  <c r="JE10" i="1"/>
  <c r="JE9" i="1"/>
  <c r="JE127" i="1"/>
  <c r="JE11" i="1"/>
  <c r="JE44" i="1"/>
  <c r="JE39" i="1"/>
  <c r="JE45" i="1"/>
  <c r="JE16" i="1"/>
  <c r="JE12" i="1"/>
  <c r="JE48" i="1"/>
  <c r="JE54" i="1"/>
  <c r="JE47" i="1"/>
  <c r="JE20" i="1"/>
  <c r="JE50" i="1"/>
  <c r="JE22" i="1"/>
  <c r="JE49" i="1"/>
  <c r="JE13" i="1"/>
  <c r="JE26" i="1"/>
  <c r="JE52" i="1"/>
  <c r="JE46" i="1"/>
  <c r="JE72" i="1"/>
  <c r="JE5" i="1"/>
  <c r="JE18" i="1"/>
  <c r="JE23" i="1"/>
  <c r="JE15" i="1"/>
  <c r="JE14" i="1"/>
  <c r="JE59" i="1"/>
  <c r="JE38" i="1"/>
  <c r="JE21" i="1"/>
  <c r="JE27" i="1"/>
  <c r="JE17" i="1"/>
  <c r="JE68" i="1"/>
  <c r="JE121" i="1"/>
  <c r="JE24" i="1"/>
  <c r="JE30" i="1"/>
  <c r="JE40" i="1"/>
  <c r="JE35" i="1"/>
  <c r="JE29" i="1"/>
  <c r="JE37" i="1"/>
  <c r="JE28" i="1"/>
  <c r="JE19" i="1"/>
  <c r="JE33" i="1"/>
  <c r="JE109" i="1"/>
  <c r="JE64" i="1"/>
  <c r="JE63" i="1"/>
  <c r="JE77" i="1"/>
  <c r="JE115" i="1"/>
  <c r="JE31" i="1"/>
  <c r="JE41" i="1"/>
  <c r="JE191" i="1"/>
  <c r="JE85" i="1"/>
  <c r="JE62" i="1"/>
  <c r="JE36" i="1"/>
  <c r="JE32" i="1"/>
  <c r="JE34" i="1"/>
  <c r="JE93" i="1"/>
  <c r="JE117" i="1"/>
  <c r="JE154" i="1"/>
  <c r="JE107" i="1"/>
  <c r="JE98" i="1"/>
  <c r="JE138" i="1"/>
  <c r="JE75" i="1"/>
  <c r="JE122" i="1"/>
  <c r="JE84" i="1"/>
  <c r="JE116" i="1"/>
  <c r="JE186" i="1"/>
  <c r="JE89" i="1"/>
  <c r="JE70" i="1"/>
  <c r="JE61" i="1"/>
  <c r="JE74" i="1"/>
  <c r="JE88" i="1"/>
  <c r="JE73" i="1"/>
  <c r="JE111" i="1"/>
  <c r="JE87" i="1"/>
  <c r="JE82" i="1"/>
  <c r="JE53" i="1"/>
  <c r="JE175" i="1"/>
  <c r="JE55" i="1"/>
  <c r="JE51" i="1"/>
  <c r="JE157" i="1"/>
  <c r="JE158" i="1"/>
  <c r="JE83" i="1"/>
  <c r="JE91" i="1"/>
  <c r="JE105" i="1"/>
  <c r="JE103" i="1"/>
  <c r="JE188" i="1"/>
  <c r="JE163" i="1"/>
  <c r="JE101" i="1"/>
  <c r="JE65" i="1"/>
  <c r="JE60" i="1"/>
  <c r="JE80" i="1"/>
  <c r="JE56" i="1"/>
  <c r="JE57" i="1"/>
  <c r="JE25" i="1"/>
  <c r="JE104" i="1"/>
  <c r="JE66" i="1"/>
  <c r="JE58" i="1"/>
  <c r="JE155" i="1"/>
  <c r="JE156" i="1"/>
  <c r="JE134" i="1"/>
  <c r="JE92" i="1"/>
  <c r="JE67" i="1"/>
  <c r="JE126" i="1"/>
  <c r="JE145" i="1"/>
  <c r="JE135" i="1"/>
  <c r="JE159" i="1"/>
  <c r="JE76" i="1"/>
  <c r="JE114" i="1"/>
  <c r="JE161" i="1"/>
  <c r="JE160" i="1"/>
  <c r="JE95" i="1"/>
  <c r="JE120" i="1"/>
  <c r="JE42" i="1"/>
  <c r="JE183" i="1"/>
  <c r="JE112" i="1"/>
  <c r="JE148" i="1"/>
  <c r="JE179" i="1"/>
  <c r="JE128" i="1"/>
  <c r="JE144" i="1"/>
  <c r="JE110" i="1"/>
  <c r="JE81" i="1"/>
  <c r="JE100" i="1"/>
  <c r="JE123" i="1"/>
  <c r="JE86" i="1"/>
  <c r="JE174" i="1"/>
  <c r="JE201" i="1"/>
  <c r="JE90" i="1"/>
  <c r="JE102" i="1"/>
  <c r="JE94" i="1"/>
  <c r="JE119" i="1"/>
  <c r="JE141" i="1"/>
  <c r="JE147" i="1"/>
  <c r="JE165" i="1"/>
  <c r="JE132" i="1"/>
  <c r="JE189" i="1"/>
  <c r="JE133" i="1"/>
  <c r="JE206" i="1"/>
  <c r="JE78" i="1"/>
  <c r="JE143" i="1"/>
  <c r="JE150" i="1"/>
  <c r="JE130" i="1"/>
  <c r="JE96" i="1"/>
  <c r="JE182" i="1"/>
  <c r="JE195" i="1"/>
  <c r="JE178" i="1"/>
  <c r="JE181" i="1"/>
  <c r="JE194" i="1"/>
  <c r="JE208" i="1"/>
  <c r="JE129" i="1"/>
  <c r="JE180" i="1"/>
  <c r="JE140" i="1"/>
  <c r="JE125" i="1"/>
  <c r="JE131" i="1"/>
  <c r="JE173" i="1"/>
  <c r="JE184" i="1"/>
  <c r="JE190" i="1"/>
  <c r="JE142" i="1"/>
  <c r="JE69" i="1"/>
  <c r="JE151" i="1"/>
  <c r="JE193" i="1"/>
  <c r="JE169" i="1"/>
  <c r="JE166" i="1"/>
  <c r="JE97" i="1"/>
  <c r="JE79" i="1"/>
  <c r="JE146" i="1"/>
  <c r="JE204" i="1"/>
  <c r="JE113" i="1"/>
  <c r="JE172" i="1"/>
  <c r="JE171" i="1"/>
  <c r="JE185" i="1"/>
  <c r="JE137" i="1"/>
  <c r="JE205" i="1"/>
  <c r="JE177" i="1"/>
  <c r="JE199" i="1"/>
  <c r="JE106" i="1"/>
  <c r="JE203" i="1"/>
  <c r="JE124" i="1"/>
  <c r="JE170" i="1"/>
  <c r="JE152" i="1"/>
  <c r="JE118" i="1"/>
  <c r="JE198" i="1"/>
  <c r="JE200" i="1"/>
  <c r="JE136" i="1"/>
  <c r="JE108" i="1"/>
  <c r="JE149" i="1"/>
  <c r="JE187" i="1"/>
  <c r="JE168" i="1"/>
  <c r="JE162" i="1"/>
  <c r="JE139" i="1"/>
  <c r="JE196" i="1"/>
  <c r="JE153" i="1"/>
  <c r="JE197" i="1"/>
  <c r="JE176" i="1"/>
  <c r="JE202" i="1"/>
  <c r="JE167" i="1"/>
  <c r="JE207" i="1"/>
  <c r="JE192" i="1"/>
  <c r="JD3" i="1"/>
  <c r="JD2" i="1"/>
  <c r="JD43" i="1"/>
  <c r="JD71" i="1"/>
  <c r="JD7" i="1"/>
  <c r="JD164" i="1"/>
  <c r="JD4" i="1"/>
  <c r="JD99" i="1"/>
  <c r="JD6" i="1"/>
  <c r="JD8" i="1"/>
  <c r="JD10" i="1"/>
  <c r="JD9" i="1"/>
  <c r="JD127" i="1"/>
  <c r="JD11" i="1"/>
  <c r="JD44" i="1"/>
  <c r="JD39" i="1"/>
  <c r="JD45" i="1"/>
  <c r="JD16" i="1"/>
  <c r="JD12" i="1"/>
  <c r="JD48" i="1"/>
  <c r="JD54" i="1"/>
  <c r="JD47" i="1"/>
  <c r="JD20" i="1"/>
  <c r="JD50" i="1"/>
  <c r="JD22" i="1"/>
  <c r="JD49" i="1"/>
  <c r="JD13" i="1"/>
  <c r="JD26" i="1"/>
  <c r="JD52" i="1"/>
  <c r="JD46" i="1"/>
  <c r="JD72" i="1"/>
  <c r="JD5" i="1"/>
  <c r="JD18" i="1"/>
  <c r="JD23" i="1"/>
  <c r="JD15" i="1"/>
  <c r="JD14" i="1"/>
  <c r="JD59" i="1"/>
  <c r="JD38" i="1"/>
  <c r="JD21" i="1"/>
  <c r="JD27" i="1"/>
  <c r="JD17" i="1"/>
  <c r="JD68" i="1"/>
  <c r="JD121" i="1"/>
  <c r="JD24" i="1"/>
  <c r="JD30" i="1"/>
  <c r="JD40" i="1"/>
  <c r="JD35" i="1"/>
  <c r="JD29" i="1"/>
  <c r="JD37" i="1"/>
  <c r="JD28" i="1"/>
  <c r="JD19" i="1"/>
  <c r="JD33" i="1"/>
  <c r="JD109" i="1"/>
  <c r="JD64" i="1"/>
  <c r="JD63" i="1"/>
  <c r="JD77" i="1"/>
  <c r="JD115" i="1"/>
  <c r="JD31" i="1"/>
  <c r="JD41" i="1"/>
  <c r="JD191" i="1"/>
  <c r="JD85" i="1"/>
  <c r="JD62" i="1"/>
  <c r="JD36" i="1"/>
  <c r="JD32" i="1"/>
  <c r="JD34" i="1"/>
  <c r="JD93" i="1"/>
  <c r="JD117" i="1"/>
  <c r="JD154" i="1"/>
  <c r="JD107" i="1"/>
  <c r="JD98" i="1"/>
  <c r="JD138" i="1"/>
  <c r="JD75" i="1"/>
  <c r="JD122" i="1"/>
  <c r="JD84" i="1"/>
  <c r="JD116" i="1"/>
  <c r="JD186" i="1"/>
  <c r="JD89" i="1"/>
  <c r="JD70" i="1"/>
  <c r="JD61" i="1"/>
  <c r="JD74" i="1"/>
  <c r="JD88" i="1"/>
  <c r="JD73" i="1"/>
  <c r="JD111" i="1"/>
  <c r="JD87" i="1"/>
  <c r="JD82" i="1"/>
  <c r="JD53" i="1"/>
  <c r="JD175" i="1"/>
  <c r="JD55" i="1"/>
  <c r="JD51" i="1"/>
  <c r="JD157" i="1"/>
  <c r="JD158" i="1"/>
  <c r="JD83" i="1"/>
  <c r="JD91" i="1"/>
  <c r="JD105" i="1"/>
  <c r="JD103" i="1"/>
  <c r="JD188" i="1"/>
  <c r="JD163" i="1"/>
  <c r="JD101" i="1"/>
  <c r="JD65" i="1"/>
  <c r="JD60" i="1"/>
  <c r="JD80" i="1"/>
  <c r="JD56" i="1"/>
  <c r="JD57" i="1"/>
  <c r="JD25" i="1"/>
  <c r="JD104" i="1"/>
  <c r="JD66" i="1"/>
  <c r="JD58" i="1"/>
  <c r="JD155" i="1"/>
  <c r="JD156" i="1"/>
  <c r="JD134" i="1"/>
  <c r="JD92" i="1"/>
  <c r="JD67" i="1"/>
  <c r="JD126" i="1"/>
  <c r="JD145" i="1"/>
  <c r="JD135" i="1"/>
  <c r="JD159" i="1"/>
  <c r="JD76" i="1"/>
  <c r="JD114" i="1"/>
  <c r="JD161" i="1"/>
  <c r="JD160" i="1"/>
  <c r="JD95" i="1"/>
  <c r="JD120" i="1"/>
  <c r="JD42" i="1"/>
  <c r="JD183" i="1"/>
  <c r="JD112" i="1"/>
  <c r="JD148" i="1"/>
  <c r="JD179" i="1"/>
  <c r="JD128" i="1"/>
  <c r="JD144" i="1"/>
  <c r="JD110" i="1"/>
  <c r="JD81" i="1"/>
  <c r="JD100" i="1"/>
  <c r="JD123" i="1"/>
  <c r="JD86" i="1"/>
  <c r="JD174" i="1"/>
  <c r="JD201" i="1"/>
  <c r="JD90" i="1"/>
  <c r="JD102" i="1"/>
  <c r="JD94" i="1"/>
  <c r="JD119" i="1"/>
  <c r="JD141" i="1"/>
  <c r="JD147" i="1"/>
  <c r="JD165" i="1"/>
  <c r="JD132" i="1"/>
  <c r="JD189" i="1"/>
  <c r="JD133" i="1"/>
  <c r="JD206" i="1"/>
  <c r="JD78" i="1"/>
  <c r="JD143" i="1"/>
  <c r="JD150" i="1"/>
  <c r="JD130" i="1"/>
  <c r="JD96" i="1"/>
  <c r="JD182" i="1"/>
  <c r="JD195" i="1"/>
  <c r="JD178" i="1"/>
  <c r="JD181" i="1"/>
  <c r="JD194" i="1"/>
  <c r="JD208" i="1"/>
  <c r="JD129" i="1"/>
  <c r="JD180" i="1"/>
  <c r="JD140" i="1"/>
  <c r="JD125" i="1"/>
  <c r="JD131" i="1"/>
  <c r="JD173" i="1"/>
  <c r="JD184" i="1"/>
  <c r="JD190" i="1"/>
  <c r="JD142" i="1"/>
  <c r="JD69" i="1"/>
  <c r="JD151" i="1"/>
  <c r="JD193" i="1"/>
  <c r="JD169" i="1"/>
  <c r="JD166" i="1"/>
  <c r="JD97" i="1"/>
  <c r="JD79" i="1"/>
  <c r="JD146" i="1"/>
  <c r="JD204" i="1"/>
  <c r="JD113" i="1"/>
  <c r="JD172" i="1"/>
  <c r="JD171" i="1"/>
  <c r="JD185" i="1"/>
  <c r="JD137" i="1"/>
  <c r="JD205" i="1"/>
  <c r="JD177" i="1"/>
  <c r="JD199" i="1"/>
  <c r="JD106" i="1"/>
  <c r="JD203" i="1"/>
  <c r="JD124" i="1"/>
  <c r="JD170" i="1"/>
  <c r="JD152" i="1"/>
  <c r="JD118" i="1"/>
  <c r="JD198" i="1"/>
  <c r="JD200" i="1"/>
  <c r="JD136" i="1"/>
  <c r="JD108" i="1"/>
  <c r="JD149" i="1"/>
  <c r="JD187" i="1"/>
  <c r="JD168" i="1"/>
  <c r="JD162" i="1"/>
  <c r="JD139" i="1"/>
  <c r="JD196" i="1"/>
  <c r="JD153" i="1"/>
  <c r="JD197" i="1"/>
  <c r="JD176" i="1"/>
  <c r="JD202" i="1"/>
  <c r="JD167" i="1"/>
  <c r="JD207" i="1"/>
  <c r="JD192" i="1"/>
  <c r="JC3" i="1"/>
  <c r="JC2" i="1"/>
  <c r="JC43" i="1"/>
  <c r="JC71" i="1"/>
  <c r="JC7" i="1"/>
  <c r="JC164" i="1"/>
  <c r="JC4" i="1"/>
  <c r="JC99" i="1"/>
  <c r="JC6" i="1"/>
  <c r="JC8" i="1"/>
  <c r="JC10" i="1"/>
  <c r="JC9" i="1"/>
  <c r="JC127" i="1"/>
  <c r="JC11" i="1"/>
  <c r="JC44" i="1"/>
  <c r="JC39" i="1"/>
  <c r="JC45" i="1"/>
  <c r="JC16" i="1"/>
  <c r="JC12" i="1"/>
  <c r="JC48" i="1"/>
  <c r="JC54" i="1"/>
  <c r="JC47" i="1"/>
  <c r="JC20" i="1"/>
  <c r="JC50" i="1"/>
  <c r="JC22" i="1"/>
  <c r="JC49" i="1"/>
  <c r="JC13" i="1"/>
  <c r="JC26" i="1"/>
  <c r="JC52" i="1"/>
  <c r="JC46" i="1"/>
  <c r="JC72" i="1"/>
  <c r="JC5" i="1"/>
  <c r="JC18" i="1"/>
  <c r="JC23" i="1"/>
  <c r="JC15" i="1"/>
  <c r="JC14" i="1"/>
  <c r="JC59" i="1"/>
  <c r="JC38" i="1"/>
  <c r="JC21" i="1"/>
  <c r="JC27" i="1"/>
  <c r="JC17" i="1"/>
  <c r="JC68" i="1"/>
  <c r="JC121" i="1"/>
  <c r="JC24" i="1"/>
  <c r="JC30" i="1"/>
  <c r="JC40" i="1"/>
  <c r="JC35" i="1"/>
  <c r="JC29" i="1"/>
  <c r="JC37" i="1"/>
  <c r="JC28" i="1"/>
  <c r="JC19" i="1"/>
  <c r="JC33" i="1"/>
  <c r="JC109" i="1"/>
  <c r="JC64" i="1"/>
  <c r="JC63" i="1"/>
  <c r="JC77" i="1"/>
  <c r="JC115" i="1"/>
  <c r="JC31" i="1"/>
  <c r="JC41" i="1"/>
  <c r="JC191" i="1"/>
  <c r="JC85" i="1"/>
  <c r="JC62" i="1"/>
  <c r="JC36" i="1"/>
  <c r="JC32" i="1"/>
  <c r="JC34" i="1"/>
  <c r="JC93" i="1"/>
  <c r="JC117" i="1"/>
  <c r="JC154" i="1"/>
  <c r="JC107" i="1"/>
  <c r="JC98" i="1"/>
  <c r="JC138" i="1"/>
  <c r="JC75" i="1"/>
  <c r="JC122" i="1"/>
  <c r="JC84" i="1"/>
  <c r="JC116" i="1"/>
  <c r="JC186" i="1"/>
  <c r="JC89" i="1"/>
  <c r="JC70" i="1"/>
  <c r="JC61" i="1"/>
  <c r="JC74" i="1"/>
  <c r="JC88" i="1"/>
  <c r="JC73" i="1"/>
  <c r="JC111" i="1"/>
  <c r="JC87" i="1"/>
  <c r="JC82" i="1"/>
  <c r="JC53" i="1"/>
  <c r="JC175" i="1"/>
  <c r="JC55" i="1"/>
  <c r="JC51" i="1"/>
  <c r="JC157" i="1"/>
  <c r="JC158" i="1"/>
  <c r="JC83" i="1"/>
  <c r="JC91" i="1"/>
  <c r="JC105" i="1"/>
  <c r="JC103" i="1"/>
  <c r="JC188" i="1"/>
  <c r="JC163" i="1"/>
  <c r="JC101" i="1"/>
  <c r="JC65" i="1"/>
  <c r="JC60" i="1"/>
  <c r="JC80" i="1"/>
  <c r="JC56" i="1"/>
  <c r="JC57" i="1"/>
  <c r="JC25" i="1"/>
  <c r="JC104" i="1"/>
  <c r="JC66" i="1"/>
  <c r="JC58" i="1"/>
  <c r="JC155" i="1"/>
  <c r="JC156" i="1"/>
  <c r="JC134" i="1"/>
  <c r="JC92" i="1"/>
  <c r="JC67" i="1"/>
  <c r="JC126" i="1"/>
  <c r="JC145" i="1"/>
  <c r="JC135" i="1"/>
  <c r="JC159" i="1"/>
  <c r="JC76" i="1"/>
  <c r="JC114" i="1"/>
  <c r="JC161" i="1"/>
  <c r="JC160" i="1"/>
  <c r="JC95" i="1"/>
  <c r="JC120" i="1"/>
  <c r="JC42" i="1"/>
  <c r="JC183" i="1"/>
  <c r="JC112" i="1"/>
  <c r="JC148" i="1"/>
  <c r="JC179" i="1"/>
  <c r="JC128" i="1"/>
  <c r="JC144" i="1"/>
  <c r="JC110" i="1"/>
  <c r="JC81" i="1"/>
  <c r="JC100" i="1"/>
  <c r="JC123" i="1"/>
  <c r="JC86" i="1"/>
  <c r="JC174" i="1"/>
  <c r="JC201" i="1"/>
  <c r="JC90" i="1"/>
  <c r="JC102" i="1"/>
  <c r="JC94" i="1"/>
  <c r="JC119" i="1"/>
  <c r="JC141" i="1"/>
  <c r="JC147" i="1"/>
  <c r="JC165" i="1"/>
  <c r="JC132" i="1"/>
  <c r="JC189" i="1"/>
  <c r="JC133" i="1"/>
  <c r="JC206" i="1"/>
  <c r="JC78" i="1"/>
  <c r="JC143" i="1"/>
  <c r="JC150" i="1"/>
  <c r="JC130" i="1"/>
  <c r="JC96" i="1"/>
  <c r="JC182" i="1"/>
  <c r="JC195" i="1"/>
  <c r="JC178" i="1"/>
  <c r="JC181" i="1"/>
  <c r="JC194" i="1"/>
  <c r="JC208" i="1"/>
  <c r="JC129" i="1"/>
  <c r="JC180" i="1"/>
  <c r="JC140" i="1"/>
  <c r="JC125" i="1"/>
  <c r="JC131" i="1"/>
  <c r="JC173" i="1"/>
  <c r="JC184" i="1"/>
  <c r="JC190" i="1"/>
  <c r="JC142" i="1"/>
  <c r="JC69" i="1"/>
  <c r="JC151" i="1"/>
  <c r="JC193" i="1"/>
  <c r="JC169" i="1"/>
  <c r="JC166" i="1"/>
  <c r="JC97" i="1"/>
  <c r="JC79" i="1"/>
  <c r="JC146" i="1"/>
  <c r="JC204" i="1"/>
  <c r="JC113" i="1"/>
  <c r="JC172" i="1"/>
  <c r="JC171" i="1"/>
  <c r="JC185" i="1"/>
  <c r="JC137" i="1"/>
  <c r="JC205" i="1"/>
  <c r="JC177" i="1"/>
  <c r="JC199" i="1"/>
  <c r="JC106" i="1"/>
  <c r="JC203" i="1"/>
  <c r="JC124" i="1"/>
  <c r="JC170" i="1"/>
  <c r="JC152" i="1"/>
  <c r="JC118" i="1"/>
  <c r="JC198" i="1"/>
  <c r="JC200" i="1"/>
  <c r="JC136" i="1"/>
  <c r="JC108" i="1"/>
  <c r="JC149" i="1"/>
  <c r="JC187" i="1"/>
  <c r="JC168" i="1"/>
  <c r="JC162" i="1"/>
  <c r="JC139" i="1"/>
  <c r="JC196" i="1"/>
  <c r="JC153" i="1"/>
  <c r="JC197" i="1"/>
  <c r="JC176" i="1"/>
  <c r="JC202" i="1"/>
  <c r="JC167" i="1"/>
  <c r="JC207" i="1"/>
  <c r="JC192" i="1"/>
  <c r="JB3" i="1"/>
  <c r="JB2" i="1"/>
  <c r="JB43" i="1"/>
  <c r="JB71" i="1"/>
  <c r="JB7" i="1"/>
  <c r="JB164" i="1"/>
  <c r="JB4" i="1"/>
  <c r="JB99" i="1"/>
  <c r="JB6" i="1"/>
  <c r="JB8" i="1"/>
  <c r="JB10" i="1"/>
  <c r="JB9" i="1"/>
  <c r="JB127" i="1"/>
  <c r="JB11" i="1"/>
  <c r="JB44" i="1"/>
  <c r="JB39" i="1"/>
  <c r="JB45" i="1"/>
  <c r="JB16" i="1"/>
  <c r="JB12" i="1"/>
  <c r="JB48" i="1"/>
  <c r="JB54" i="1"/>
  <c r="JB47" i="1"/>
  <c r="JB20" i="1"/>
  <c r="JB50" i="1"/>
  <c r="JB22" i="1"/>
  <c r="JB49" i="1"/>
  <c r="JB13" i="1"/>
  <c r="JB26" i="1"/>
  <c r="JB52" i="1"/>
  <c r="JB46" i="1"/>
  <c r="JB72" i="1"/>
  <c r="JB5" i="1"/>
  <c r="JB18" i="1"/>
  <c r="JB23" i="1"/>
  <c r="JB15" i="1"/>
  <c r="JB14" i="1"/>
  <c r="JB59" i="1"/>
  <c r="JB38" i="1"/>
  <c r="JB21" i="1"/>
  <c r="JB27" i="1"/>
  <c r="JB17" i="1"/>
  <c r="JB68" i="1"/>
  <c r="JB121" i="1"/>
  <c r="JB24" i="1"/>
  <c r="JB30" i="1"/>
  <c r="JB40" i="1"/>
  <c r="JB35" i="1"/>
  <c r="JB29" i="1"/>
  <c r="JB37" i="1"/>
  <c r="JB28" i="1"/>
  <c r="JB19" i="1"/>
  <c r="JB33" i="1"/>
  <c r="JB109" i="1"/>
  <c r="JB64" i="1"/>
  <c r="JB63" i="1"/>
  <c r="JB77" i="1"/>
  <c r="JB115" i="1"/>
  <c r="JB31" i="1"/>
  <c r="JB41" i="1"/>
  <c r="JB191" i="1"/>
  <c r="JB85" i="1"/>
  <c r="JB62" i="1"/>
  <c r="JB36" i="1"/>
  <c r="JB32" i="1"/>
  <c r="JB34" i="1"/>
  <c r="JB93" i="1"/>
  <c r="JB117" i="1"/>
  <c r="JB154" i="1"/>
  <c r="JB107" i="1"/>
  <c r="JB98" i="1"/>
  <c r="JB138" i="1"/>
  <c r="JB75" i="1"/>
  <c r="JB122" i="1"/>
  <c r="JB84" i="1"/>
  <c r="JB116" i="1"/>
  <c r="JB186" i="1"/>
  <c r="JB89" i="1"/>
  <c r="JB70" i="1"/>
  <c r="JB61" i="1"/>
  <c r="JB74" i="1"/>
  <c r="JB88" i="1"/>
  <c r="JB73" i="1"/>
  <c r="JB111" i="1"/>
  <c r="JB87" i="1"/>
  <c r="JB82" i="1"/>
  <c r="JB53" i="1"/>
  <c r="JB175" i="1"/>
  <c r="JB55" i="1"/>
  <c r="JB51" i="1"/>
  <c r="JB157" i="1"/>
  <c r="JB158" i="1"/>
  <c r="JB83" i="1"/>
  <c r="JB91" i="1"/>
  <c r="JB105" i="1"/>
  <c r="JB103" i="1"/>
  <c r="JB188" i="1"/>
  <c r="JB163" i="1"/>
  <c r="JB101" i="1"/>
  <c r="JB65" i="1"/>
  <c r="JB60" i="1"/>
  <c r="JB80" i="1"/>
  <c r="JB56" i="1"/>
  <c r="JB57" i="1"/>
  <c r="JB25" i="1"/>
  <c r="JB104" i="1"/>
  <c r="JB66" i="1"/>
  <c r="JB58" i="1"/>
  <c r="JB155" i="1"/>
  <c r="JB156" i="1"/>
  <c r="JB134" i="1"/>
  <c r="JB92" i="1"/>
  <c r="JB67" i="1"/>
  <c r="JB126" i="1"/>
  <c r="JB145" i="1"/>
  <c r="JB135" i="1"/>
  <c r="JB159" i="1"/>
  <c r="JB76" i="1"/>
  <c r="JB114" i="1"/>
  <c r="JB161" i="1"/>
  <c r="JB160" i="1"/>
  <c r="JB95" i="1"/>
  <c r="JB120" i="1"/>
  <c r="JB42" i="1"/>
  <c r="JB183" i="1"/>
  <c r="JB112" i="1"/>
  <c r="JB148" i="1"/>
  <c r="JB179" i="1"/>
  <c r="JB128" i="1"/>
  <c r="JB144" i="1"/>
  <c r="JB110" i="1"/>
  <c r="JB81" i="1"/>
  <c r="JB100" i="1"/>
  <c r="JB123" i="1"/>
  <c r="JB86" i="1"/>
  <c r="JB174" i="1"/>
  <c r="JB201" i="1"/>
  <c r="JB90" i="1"/>
  <c r="JB102" i="1"/>
  <c r="JB94" i="1"/>
  <c r="JB119" i="1"/>
  <c r="JB141" i="1"/>
  <c r="JB147" i="1"/>
  <c r="JB165" i="1"/>
  <c r="JB132" i="1"/>
  <c r="JB189" i="1"/>
  <c r="JB133" i="1"/>
  <c r="JB206" i="1"/>
  <c r="JB78" i="1"/>
  <c r="JB143" i="1"/>
  <c r="JB150" i="1"/>
  <c r="JB130" i="1"/>
  <c r="JB96" i="1"/>
  <c r="JB182" i="1"/>
  <c r="JB195" i="1"/>
  <c r="JB178" i="1"/>
  <c r="JB181" i="1"/>
  <c r="JB194" i="1"/>
  <c r="JB208" i="1"/>
  <c r="JB129" i="1"/>
  <c r="JB180" i="1"/>
  <c r="JB140" i="1"/>
  <c r="JB125" i="1"/>
  <c r="JB131" i="1"/>
  <c r="JB173" i="1"/>
  <c r="JB184" i="1"/>
  <c r="JB190" i="1"/>
  <c r="JB142" i="1"/>
  <c r="JB69" i="1"/>
  <c r="JB151" i="1"/>
  <c r="JB193" i="1"/>
  <c r="JB169" i="1"/>
  <c r="JB166" i="1"/>
  <c r="JB97" i="1"/>
  <c r="JB79" i="1"/>
  <c r="JB146" i="1"/>
  <c r="JB204" i="1"/>
  <c r="JB113" i="1"/>
  <c r="JB172" i="1"/>
  <c r="JB171" i="1"/>
  <c r="JB185" i="1"/>
  <c r="JB137" i="1"/>
  <c r="JB205" i="1"/>
  <c r="JB177" i="1"/>
  <c r="JB199" i="1"/>
  <c r="JB106" i="1"/>
  <c r="JB203" i="1"/>
  <c r="JB124" i="1"/>
  <c r="JB170" i="1"/>
  <c r="JB152" i="1"/>
  <c r="JB118" i="1"/>
  <c r="JB198" i="1"/>
  <c r="JB200" i="1"/>
  <c r="JB136" i="1"/>
  <c r="JB108" i="1"/>
  <c r="JB149" i="1"/>
  <c r="JB187" i="1"/>
  <c r="JB168" i="1"/>
  <c r="JB162" i="1"/>
  <c r="JB139" i="1"/>
  <c r="JB196" i="1"/>
  <c r="JB153" i="1"/>
  <c r="JB197" i="1"/>
  <c r="JB176" i="1"/>
  <c r="JB202" i="1"/>
  <c r="JB167" i="1"/>
  <c r="JB207" i="1"/>
  <c r="JB192" i="1"/>
  <c r="JA3" i="1"/>
  <c r="JA2" i="1"/>
  <c r="JA43" i="1"/>
  <c r="JA71" i="1"/>
  <c r="JA7" i="1"/>
  <c r="JA164" i="1"/>
  <c r="JA4" i="1"/>
  <c r="JA99" i="1"/>
  <c r="JA6" i="1"/>
  <c r="JA8" i="1"/>
  <c r="JA10" i="1"/>
  <c r="JA9" i="1"/>
  <c r="JA127" i="1"/>
  <c r="JA11" i="1"/>
  <c r="JA44" i="1"/>
  <c r="JA39" i="1"/>
  <c r="JA45" i="1"/>
  <c r="JA16" i="1"/>
  <c r="JA12" i="1"/>
  <c r="JA48" i="1"/>
  <c r="JA54" i="1"/>
  <c r="JA47" i="1"/>
  <c r="JA20" i="1"/>
  <c r="JA50" i="1"/>
  <c r="JA22" i="1"/>
  <c r="JA49" i="1"/>
  <c r="JA13" i="1"/>
  <c r="JA26" i="1"/>
  <c r="JA52" i="1"/>
  <c r="JA46" i="1"/>
  <c r="JA72" i="1"/>
  <c r="JA5" i="1"/>
  <c r="JA18" i="1"/>
  <c r="JA23" i="1"/>
  <c r="JA15" i="1"/>
  <c r="JA14" i="1"/>
  <c r="JA59" i="1"/>
  <c r="JA38" i="1"/>
  <c r="JA21" i="1"/>
  <c r="JA27" i="1"/>
  <c r="JA17" i="1"/>
  <c r="JA68" i="1"/>
  <c r="JA121" i="1"/>
  <c r="JA24" i="1"/>
  <c r="JA30" i="1"/>
  <c r="JA40" i="1"/>
  <c r="JA35" i="1"/>
  <c r="JA29" i="1"/>
  <c r="JA37" i="1"/>
  <c r="JA28" i="1"/>
  <c r="JA19" i="1"/>
  <c r="JA33" i="1"/>
  <c r="JA109" i="1"/>
  <c r="JA64" i="1"/>
  <c r="JA63" i="1"/>
  <c r="JA77" i="1"/>
  <c r="JA115" i="1"/>
  <c r="JA31" i="1"/>
  <c r="JA41" i="1"/>
  <c r="JA191" i="1"/>
  <c r="JA85" i="1"/>
  <c r="JA62" i="1"/>
  <c r="JA36" i="1"/>
  <c r="JA32" i="1"/>
  <c r="JA34" i="1"/>
  <c r="JA93" i="1"/>
  <c r="JA117" i="1"/>
  <c r="JA154" i="1"/>
  <c r="JA107" i="1"/>
  <c r="JA98" i="1"/>
  <c r="JA138" i="1"/>
  <c r="JA75" i="1"/>
  <c r="JA122" i="1"/>
  <c r="JA84" i="1"/>
  <c r="JA116" i="1"/>
  <c r="JA186" i="1"/>
  <c r="JA89" i="1"/>
  <c r="JA70" i="1"/>
  <c r="JA61" i="1"/>
  <c r="JA74" i="1"/>
  <c r="JA88" i="1"/>
  <c r="JA73" i="1"/>
  <c r="JA111" i="1"/>
  <c r="JA87" i="1"/>
  <c r="JA82" i="1"/>
  <c r="JA53" i="1"/>
  <c r="JA175" i="1"/>
  <c r="JA55" i="1"/>
  <c r="JA51" i="1"/>
  <c r="JA157" i="1"/>
  <c r="JA158" i="1"/>
  <c r="JA83" i="1"/>
  <c r="JA91" i="1"/>
  <c r="JA105" i="1"/>
  <c r="JA103" i="1"/>
  <c r="JA188" i="1"/>
  <c r="JA163" i="1"/>
  <c r="JA101" i="1"/>
  <c r="JA65" i="1"/>
  <c r="JA60" i="1"/>
  <c r="JA80" i="1"/>
  <c r="JA56" i="1"/>
  <c r="JA57" i="1"/>
  <c r="JA25" i="1"/>
  <c r="JA104" i="1"/>
  <c r="JA66" i="1"/>
  <c r="JA58" i="1"/>
  <c r="JA155" i="1"/>
  <c r="JA156" i="1"/>
  <c r="JA134" i="1"/>
  <c r="JA92" i="1"/>
  <c r="JA67" i="1"/>
  <c r="JA126" i="1"/>
  <c r="JA145" i="1"/>
  <c r="JA135" i="1"/>
  <c r="JA159" i="1"/>
  <c r="JA76" i="1"/>
  <c r="JA114" i="1"/>
  <c r="JA161" i="1"/>
  <c r="JA160" i="1"/>
  <c r="JA95" i="1"/>
  <c r="JA120" i="1"/>
  <c r="JA42" i="1"/>
  <c r="JA183" i="1"/>
  <c r="JA112" i="1"/>
  <c r="JA148" i="1"/>
  <c r="JA179" i="1"/>
  <c r="JA128" i="1"/>
  <c r="JA144" i="1"/>
  <c r="JA110" i="1"/>
  <c r="JA81" i="1"/>
  <c r="JA100" i="1"/>
  <c r="JA123" i="1"/>
  <c r="JA86" i="1"/>
  <c r="JA174" i="1"/>
  <c r="JA201" i="1"/>
  <c r="JA90" i="1"/>
  <c r="JA102" i="1"/>
  <c r="JA94" i="1"/>
  <c r="JA119" i="1"/>
  <c r="JA141" i="1"/>
  <c r="JA147" i="1"/>
  <c r="JA165" i="1"/>
  <c r="JA132" i="1"/>
  <c r="JA189" i="1"/>
  <c r="JA133" i="1"/>
  <c r="JA206" i="1"/>
  <c r="JA78" i="1"/>
  <c r="JA143" i="1"/>
  <c r="JA150" i="1"/>
  <c r="JA130" i="1"/>
  <c r="JA96" i="1"/>
  <c r="JA182" i="1"/>
  <c r="JA195" i="1"/>
  <c r="JA178" i="1"/>
  <c r="JA181" i="1"/>
  <c r="JA194" i="1"/>
  <c r="JA208" i="1"/>
  <c r="JA129" i="1"/>
  <c r="JA180" i="1"/>
  <c r="JA140" i="1"/>
  <c r="JA125" i="1"/>
  <c r="JA131" i="1"/>
  <c r="JA173" i="1"/>
  <c r="JA184" i="1"/>
  <c r="JA190" i="1"/>
  <c r="JA142" i="1"/>
  <c r="JA69" i="1"/>
  <c r="JA151" i="1"/>
  <c r="JA193" i="1"/>
  <c r="JA169" i="1"/>
  <c r="JA166" i="1"/>
  <c r="JA97" i="1"/>
  <c r="JA79" i="1"/>
  <c r="JA146" i="1"/>
  <c r="JA204" i="1"/>
  <c r="JA113" i="1"/>
  <c r="JA172" i="1"/>
  <c r="JA171" i="1"/>
  <c r="JA185" i="1"/>
  <c r="JA137" i="1"/>
  <c r="JA205" i="1"/>
  <c r="JA177" i="1"/>
  <c r="JA199" i="1"/>
  <c r="JA106" i="1"/>
  <c r="JA203" i="1"/>
  <c r="JA124" i="1"/>
  <c r="JA170" i="1"/>
  <c r="JA152" i="1"/>
  <c r="JA118" i="1"/>
  <c r="JA198" i="1"/>
  <c r="JA200" i="1"/>
  <c r="JA136" i="1"/>
  <c r="JA108" i="1"/>
  <c r="JA149" i="1"/>
  <c r="JA187" i="1"/>
  <c r="JA168" i="1"/>
  <c r="JA162" i="1"/>
  <c r="JA139" i="1"/>
  <c r="JA196" i="1"/>
  <c r="JA153" i="1"/>
  <c r="JA197" i="1"/>
  <c r="JA176" i="1"/>
  <c r="JA202" i="1"/>
  <c r="JA167" i="1"/>
  <c r="JA207" i="1"/>
  <c r="JA192" i="1"/>
  <c r="IZ3" i="1"/>
  <c r="IZ2" i="1"/>
  <c r="IZ43" i="1"/>
  <c r="IZ71" i="1"/>
  <c r="IZ7" i="1"/>
  <c r="IZ164" i="1"/>
  <c r="IZ4" i="1"/>
  <c r="IZ99" i="1"/>
  <c r="IZ6" i="1"/>
  <c r="IZ8" i="1"/>
  <c r="IZ10" i="1"/>
  <c r="IZ9" i="1"/>
  <c r="IZ127" i="1"/>
  <c r="IZ11" i="1"/>
  <c r="IZ44" i="1"/>
  <c r="IZ39" i="1"/>
  <c r="IZ45" i="1"/>
  <c r="IZ16" i="1"/>
  <c r="IZ12" i="1"/>
  <c r="IZ48" i="1"/>
  <c r="IZ54" i="1"/>
  <c r="IZ47" i="1"/>
  <c r="IZ20" i="1"/>
  <c r="IZ50" i="1"/>
  <c r="IZ22" i="1"/>
  <c r="IZ49" i="1"/>
  <c r="IZ13" i="1"/>
  <c r="IZ26" i="1"/>
  <c r="IZ52" i="1"/>
  <c r="IZ46" i="1"/>
  <c r="IZ72" i="1"/>
  <c r="IZ5" i="1"/>
  <c r="IZ18" i="1"/>
  <c r="IZ23" i="1"/>
  <c r="IZ15" i="1"/>
  <c r="IZ14" i="1"/>
  <c r="IZ59" i="1"/>
  <c r="IZ38" i="1"/>
  <c r="IZ21" i="1"/>
  <c r="IZ27" i="1"/>
  <c r="IZ17" i="1"/>
  <c r="IZ68" i="1"/>
  <c r="IZ121" i="1"/>
  <c r="IZ24" i="1"/>
  <c r="IZ30" i="1"/>
  <c r="IZ40" i="1"/>
  <c r="IZ35" i="1"/>
  <c r="IZ29" i="1"/>
  <c r="IZ37" i="1"/>
  <c r="IZ28" i="1"/>
  <c r="IZ19" i="1"/>
  <c r="IZ33" i="1"/>
  <c r="IZ109" i="1"/>
  <c r="IZ64" i="1"/>
  <c r="IZ63" i="1"/>
  <c r="IZ77" i="1"/>
  <c r="IZ115" i="1"/>
  <c r="IZ31" i="1"/>
  <c r="IZ41" i="1"/>
  <c r="IZ191" i="1"/>
  <c r="IZ85" i="1"/>
  <c r="IZ62" i="1"/>
  <c r="IZ36" i="1"/>
  <c r="IZ32" i="1"/>
  <c r="IZ34" i="1"/>
  <c r="IZ93" i="1"/>
  <c r="IZ117" i="1"/>
  <c r="IZ154" i="1"/>
  <c r="IZ107" i="1"/>
  <c r="IZ98" i="1"/>
  <c r="IZ138" i="1"/>
  <c r="IZ75" i="1"/>
  <c r="IZ122" i="1"/>
  <c r="IZ84" i="1"/>
  <c r="IZ116" i="1"/>
  <c r="IZ186" i="1"/>
  <c r="IZ89" i="1"/>
  <c r="IZ70" i="1"/>
  <c r="IZ61" i="1"/>
  <c r="IZ74" i="1"/>
  <c r="IZ88" i="1"/>
  <c r="IZ73" i="1"/>
  <c r="IZ111" i="1"/>
  <c r="IZ87" i="1"/>
  <c r="IZ82" i="1"/>
  <c r="IZ53" i="1"/>
  <c r="IZ175" i="1"/>
  <c r="IZ55" i="1"/>
  <c r="IZ51" i="1"/>
  <c r="IZ157" i="1"/>
  <c r="IZ158" i="1"/>
  <c r="IZ83" i="1"/>
  <c r="IZ91" i="1"/>
  <c r="IZ105" i="1"/>
  <c r="IZ103" i="1"/>
  <c r="IZ188" i="1"/>
  <c r="IZ163" i="1"/>
  <c r="IZ101" i="1"/>
  <c r="IZ65" i="1"/>
  <c r="IZ60" i="1"/>
  <c r="IZ80" i="1"/>
  <c r="IZ56" i="1"/>
  <c r="IZ57" i="1"/>
  <c r="IZ25" i="1"/>
  <c r="IZ104" i="1"/>
  <c r="IZ66" i="1"/>
  <c r="IZ58" i="1"/>
  <c r="IZ155" i="1"/>
  <c r="IZ156" i="1"/>
  <c r="IZ134" i="1"/>
  <c r="IZ92" i="1"/>
  <c r="IZ67" i="1"/>
  <c r="IZ126" i="1"/>
  <c r="IZ145" i="1"/>
  <c r="IZ135" i="1"/>
  <c r="IZ159" i="1"/>
  <c r="IZ76" i="1"/>
  <c r="IZ114" i="1"/>
  <c r="IZ161" i="1"/>
  <c r="IZ160" i="1"/>
  <c r="IZ95" i="1"/>
  <c r="IZ120" i="1"/>
  <c r="IZ42" i="1"/>
  <c r="IZ183" i="1"/>
  <c r="IZ112" i="1"/>
  <c r="IZ148" i="1"/>
  <c r="IZ179" i="1"/>
  <c r="IZ128" i="1"/>
  <c r="IZ144" i="1"/>
  <c r="IZ110" i="1"/>
  <c r="IZ81" i="1"/>
  <c r="IZ100" i="1"/>
  <c r="IZ123" i="1"/>
  <c r="IZ86" i="1"/>
  <c r="IZ174" i="1"/>
  <c r="IZ201" i="1"/>
  <c r="IZ90" i="1"/>
  <c r="IZ102" i="1"/>
  <c r="IZ94" i="1"/>
  <c r="IZ119" i="1"/>
  <c r="IZ141" i="1"/>
  <c r="IZ147" i="1"/>
  <c r="IZ165" i="1"/>
  <c r="IZ132" i="1"/>
  <c r="IZ189" i="1"/>
  <c r="IZ133" i="1"/>
  <c r="IZ206" i="1"/>
  <c r="IZ78" i="1"/>
  <c r="IZ143" i="1"/>
  <c r="IZ150" i="1"/>
  <c r="IZ130" i="1"/>
  <c r="IZ96" i="1"/>
  <c r="IZ182" i="1"/>
  <c r="IZ195" i="1"/>
  <c r="IZ178" i="1"/>
  <c r="IZ181" i="1"/>
  <c r="IZ194" i="1"/>
  <c r="IZ208" i="1"/>
  <c r="IZ129" i="1"/>
  <c r="IZ180" i="1"/>
  <c r="IZ140" i="1"/>
  <c r="IZ125" i="1"/>
  <c r="IZ131" i="1"/>
  <c r="IZ173" i="1"/>
  <c r="IZ184" i="1"/>
  <c r="IZ190" i="1"/>
  <c r="IZ142" i="1"/>
  <c r="IZ69" i="1"/>
  <c r="IZ151" i="1"/>
  <c r="IZ193" i="1"/>
  <c r="IZ169" i="1"/>
  <c r="IZ166" i="1"/>
  <c r="IZ97" i="1"/>
  <c r="IZ79" i="1"/>
  <c r="IZ146" i="1"/>
  <c r="IZ204" i="1"/>
  <c r="IZ113" i="1"/>
  <c r="IZ172" i="1"/>
  <c r="IZ171" i="1"/>
  <c r="IZ185" i="1"/>
  <c r="IZ137" i="1"/>
  <c r="IZ205" i="1"/>
  <c r="IZ177" i="1"/>
  <c r="IZ199" i="1"/>
  <c r="IZ106" i="1"/>
  <c r="IZ203" i="1"/>
  <c r="IZ124" i="1"/>
  <c r="IZ170" i="1"/>
  <c r="IZ152" i="1"/>
  <c r="IZ118" i="1"/>
  <c r="IZ198" i="1"/>
  <c r="IZ200" i="1"/>
  <c r="IZ136" i="1"/>
  <c r="IZ108" i="1"/>
  <c r="IZ149" i="1"/>
  <c r="IZ187" i="1"/>
  <c r="IZ168" i="1"/>
  <c r="IZ162" i="1"/>
  <c r="IZ139" i="1"/>
  <c r="IZ196" i="1"/>
  <c r="IZ153" i="1"/>
  <c r="IZ197" i="1"/>
  <c r="IZ176" i="1"/>
  <c r="IZ202" i="1"/>
  <c r="IZ167" i="1"/>
  <c r="IZ207" i="1"/>
  <c r="IZ192" i="1"/>
  <c r="IY3" i="1"/>
  <c r="IY2" i="1"/>
  <c r="IY43" i="1"/>
  <c r="IY71" i="1"/>
  <c r="IY7" i="1"/>
  <c r="IY164" i="1"/>
  <c r="IY4" i="1"/>
  <c r="IY99" i="1"/>
  <c r="IY6" i="1"/>
  <c r="IY8" i="1"/>
  <c r="IY10" i="1"/>
  <c r="IY9" i="1"/>
  <c r="IY127" i="1"/>
  <c r="IY11" i="1"/>
  <c r="IY44" i="1"/>
  <c r="IY39" i="1"/>
  <c r="IY45" i="1"/>
  <c r="IY16" i="1"/>
  <c r="IY12" i="1"/>
  <c r="IY48" i="1"/>
  <c r="IY54" i="1"/>
  <c r="IY47" i="1"/>
  <c r="IY20" i="1"/>
  <c r="IY50" i="1"/>
  <c r="IY22" i="1"/>
  <c r="IY49" i="1"/>
  <c r="IY13" i="1"/>
  <c r="IY26" i="1"/>
  <c r="IY52" i="1"/>
  <c r="IY46" i="1"/>
  <c r="IY72" i="1"/>
  <c r="IY5" i="1"/>
  <c r="IY18" i="1"/>
  <c r="IY23" i="1"/>
  <c r="IY15" i="1"/>
  <c r="IY14" i="1"/>
  <c r="IY59" i="1"/>
  <c r="IY38" i="1"/>
  <c r="IY21" i="1"/>
  <c r="IY27" i="1"/>
  <c r="IY17" i="1"/>
  <c r="IY68" i="1"/>
  <c r="IY121" i="1"/>
  <c r="IY24" i="1"/>
  <c r="IY30" i="1"/>
  <c r="IY40" i="1"/>
  <c r="IY35" i="1"/>
  <c r="IY29" i="1"/>
  <c r="IY37" i="1"/>
  <c r="IY28" i="1"/>
  <c r="IY19" i="1"/>
  <c r="IY33" i="1"/>
  <c r="IY109" i="1"/>
  <c r="IY64" i="1"/>
  <c r="IY63" i="1"/>
  <c r="IY77" i="1"/>
  <c r="IY115" i="1"/>
  <c r="IY31" i="1"/>
  <c r="IY41" i="1"/>
  <c r="IY191" i="1"/>
  <c r="IY85" i="1"/>
  <c r="IY62" i="1"/>
  <c r="IY36" i="1"/>
  <c r="IY32" i="1"/>
  <c r="IY34" i="1"/>
  <c r="IY93" i="1"/>
  <c r="IY117" i="1"/>
  <c r="IY154" i="1"/>
  <c r="IY107" i="1"/>
  <c r="IY98" i="1"/>
  <c r="IY138" i="1"/>
  <c r="IY75" i="1"/>
  <c r="IY122" i="1"/>
  <c r="IY84" i="1"/>
  <c r="IY116" i="1"/>
  <c r="IY186" i="1"/>
  <c r="IY89" i="1"/>
  <c r="IY70" i="1"/>
  <c r="IY61" i="1"/>
  <c r="IY74" i="1"/>
  <c r="IY88" i="1"/>
  <c r="IY73" i="1"/>
  <c r="IY111" i="1"/>
  <c r="IY87" i="1"/>
  <c r="IY82" i="1"/>
  <c r="IY53" i="1"/>
  <c r="IY175" i="1"/>
  <c r="IY55" i="1"/>
  <c r="IY51" i="1"/>
  <c r="IY157" i="1"/>
  <c r="IY158" i="1"/>
  <c r="IY83" i="1"/>
  <c r="IY91" i="1"/>
  <c r="IY105" i="1"/>
  <c r="IY103" i="1"/>
  <c r="IY188" i="1"/>
  <c r="IY163" i="1"/>
  <c r="IY101" i="1"/>
  <c r="IY65" i="1"/>
  <c r="IY60" i="1"/>
  <c r="IY80" i="1"/>
  <c r="IY56" i="1"/>
  <c r="IY57" i="1"/>
  <c r="IY25" i="1"/>
  <c r="IY104" i="1"/>
  <c r="IY66" i="1"/>
  <c r="IY58" i="1"/>
  <c r="IY155" i="1"/>
  <c r="IY156" i="1"/>
  <c r="IY134" i="1"/>
  <c r="IY92" i="1"/>
  <c r="IY67" i="1"/>
  <c r="IY126" i="1"/>
  <c r="IY145" i="1"/>
  <c r="IY135" i="1"/>
  <c r="IY159" i="1"/>
  <c r="IY76" i="1"/>
  <c r="IY114" i="1"/>
  <c r="IY161" i="1"/>
  <c r="IY160" i="1"/>
  <c r="IY95" i="1"/>
  <c r="IY120" i="1"/>
  <c r="IY42" i="1"/>
  <c r="IY183" i="1"/>
  <c r="IY112" i="1"/>
  <c r="IY148" i="1"/>
  <c r="IY179" i="1"/>
  <c r="IY128" i="1"/>
  <c r="IY144" i="1"/>
  <c r="IY110" i="1"/>
  <c r="IY81" i="1"/>
  <c r="IY100" i="1"/>
  <c r="IY123" i="1"/>
  <c r="IY86" i="1"/>
  <c r="IY174" i="1"/>
  <c r="IY201" i="1"/>
  <c r="IY90" i="1"/>
  <c r="IY102" i="1"/>
  <c r="IY94" i="1"/>
  <c r="IY119" i="1"/>
  <c r="IY141" i="1"/>
  <c r="IY147" i="1"/>
  <c r="IY165" i="1"/>
  <c r="IY132" i="1"/>
  <c r="IY189" i="1"/>
  <c r="IY133" i="1"/>
  <c r="IY206" i="1"/>
  <c r="IY78" i="1"/>
  <c r="IY143" i="1"/>
  <c r="IY150" i="1"/>
  <c r="IY130" i="1"/>
  <c r="IY96" i="1"/>
  <c r="IY182" i="1"/>
  <c r="IY195" i="1"/>
  <c r="IY178" i="1"/>
  <c r="IY181" i="1"/>
  <c r="IY194" i="1"/>
  <c r="IY208" i="1"/>
  <c r="IY129" i="1"/>
  <c r="IY180" i="1"/>
  <c r="IY140" i="1"/>
  <c r="IY125" i="1"/>
  <c r="IY131" i="1"/>
  <c r="IY173" i="1"/>
  <c r="IY184" i="1"/>
  <c r="IY190" i="1"/>
  <c r="IY142" i="1"/>
  <c r="IY69" i="1"/>
  <c r="IY151" i="1"/>
  <c r="IY193" i="1"/>
  <c r="IY169" i="1"/>
  <c r="IY166" i="1"/>
  <c r="IY97" i="1"/>
  <c r="IY79" i="1"/>
  <c r="IY146" i="1"/>
  <c r="IY204" i="1"/>
  <c r="IY113" i="1"/>
  <c r="IY172" i="1"/>
  <c r="IY171" i="1"/>
  <c r="IY185" i="1"/>
  <c r="IY137" i="1"/>
  <c r="IY205" i="1"/>
  <c r="IY177" i="1"/>
  <c r="IY199" i="1"/>
  <c r="IY106" i="1"/>
  <c r="IY203" i="1"/>
  <c r="IY124" i="1"/>
  <c r="IY170" i="1"/>
  <c r="IY152" i="1"/>
  <c r="IY118" i="1"/>
  <c r="IY198" i="1"/>
  <c r="IY200" i="1"/>
  <c r="IY136" i="1"/>
  <c r="IY108" i="1"/>
  <c r="IY149" i="1"/>
  <c r="IY187" i="1"/>
  <c r="IY168" i="1"/>
  <c r="IY162" i="1"/>
  <c r="IY139" i="1"/>
  <c r="IY196" i="1"/>
  <c r="IY153" i="1"/>
  <c r="IY197" i="1"/>
  <c r="IY176" i="1"/>
  <c r="IY202" i="1"/>
  <c r="IY167" i="1"/>
  <c r="IY207" i="1"/>
  <c r="IY192" i="1"/>
  <c r="IX3" i="1"/>
  <c r="IX2" i="1"/>
  <c r="IX43" i="1"/>
  <c r="IX71" i="1"/>
  <c r="IX7" i="1"/>
  <c r="IX164" i="1"/>
  <c r="IX4" i="1"/>
  <c r="IX99" i="1"/>
  <c r="IX6" i="1"/>
  <c r="IX8" i="1"/>
  <c r="IX10" i="1"/>
  <c r="IX9" i="1"/>
  <c r="IX127" i="1"/>
  <c r="IX11" i="1"/>
  <c r="IX44" i="1"/>
  <c r="IX39" i="1"/>
  <c r="IX45" i="1"/>
  <c r="IX16" i="1"/>
  <c r="IX12" i="1"/>
  <c r="IX48" i="1"/>
  <c r="IX54" i="1"/>
  <c r="IX47" i="1"/>
  <c r="IX20" i="1"/>
  <c r="IX50" i="1"/>
  <c r="IX22" i="1"/>
  <c r="IX49" i="1"/>
  <c r="IX13" i="1"/>
  <c r="IX26" i="1"/>
  <c r="IX52" i="1"/>
  <c r="IX46" i="1"/>
  <c r="IX72" i="1"/>
  <c r="IX5" i="1"/>
  <c r="IX18" i="1"/>
  <c r="IX23" i="1"/>
  <c r="IX15" i="1"/>
  <c r="IX14" i="1"/>
  <c r="IX59" i="1"/>
  <c r="IX38" i="1"/>
  <c r="IX21" i="1"/>
  <c r="IX27" i="1"/>
  <c r="IX17" i="1"/>
  <c r="IX68" i="1"/>
  <c r="IX121" i="1"/>
  <c r="IX24" i="1"/>
  <c r="IX30" i="1"/>
  <c r="IX40" i="1"/>
  <c r="IX35" i="1"/>
  <c r="IX29" i="1"/>
  <c r="IX37" i="1"/>
  <c r="IX28" i="1"/>
  <c r="IX19" i="1"/>
  <c r="IX33" i="1"/>
  <c r="IX109" i="1"/>
  <c r="IX64" i="1"/>
  <c r="IX63" i="1"/>
  <c r="IX77" i="1"/>
  <c r="IX115" i="1"/>
  <c r="IX31" i="1"/>
  <c r="IX41" i="1"/>
  <c r="IX191" i="1"/>
  <c r="IX85" i="1"/>
  <c r="IX62" i="1"/>
  <c r="IX36" i="1"/>
  <c r="IX32" i="1"/>
  <c r="IX34" i="1"/>
  <c r="IX93" i="1"/>
  <c r="IX117" i="1"/>
  <c r="IX154" i="1"/>
  <c r="IX107" i="1"/>
  <c r="IX98" i="1"/>
  <c r="IX138" i="1"/>
  <c r="IX75" i="1"/>
  <c r="IX122" i="1"/>
  <c r="IX84" i="1"/>
  <c r="IX116" i="1"/>
  <c r="IX186" i="1"/>
  <c r="IX89" i="1"/>
  <c r="IX70" i="1"/>
  <c r="IX61" i="1"/>
  <c r="IX74" i="1"/>
  <c r="IX88" i="1"/>
  <c r="IX73" i="1"/>
  <c r="IX111" i="1"/>
  <c r="IX87" i="1"/>
  <c r="IX82" i="1"/>
  <c r="IX53" i="1"/>
  <c r="IX175" i="1"/>
  <c r="IX55" i="1"/>
  <c r="IX51" i="1"/>
  <c r="IX157" i="1"/>
  <c r="IX158" i="1"/>
  <c r="IX83" i="1"/>
  <c r="IX91" i="1"/>
  <c r="IX105" i="1"/>
  <c r="IX103" i="1"/>
  <c r="IX188" i="1"/>
  <c r="IX163" i="1"/>
  <c r="IX101" i="1"/>
  <c r="IX65" i="1"/>
  <c r="IX60" i="1"/>
  <c r="IX80" i="1"/>
  <c r="IX56" i="1"/>
  <c r="IX57" i="1"/>
  <c r="IX25" i="1"/>
  <c r="IX104" i="1"/>
  <c r="IX66" i="1"/>
  <c r="IX58" i="1"/>
  <c r="IX155" i="1"/>
  <c r="IX156" i="1"/>
  <c r="IX134" i="1"/>
  <c r="IX92" i="1"/>
  <c r="IX67" i="1"/>
  <c r="IX126" i="1"/>
  <c r="IX145" i="1"/>
  <c r="IX135" i="1"/>
  <c r="IX159" i="1"/>
  <c r="IX76" i="1"/>
  <c r="IX114" i="1"/>
  <c r="IX161" i="1"/>
  <c r="IX160" i="1"/>
  <c r="IX95" i="1"/>
  <c r="IX120" i="1"/>
  <c r="IX42" i="1"/>
  <c r="IX183" i="1"/>
  <c r="IX112" i="1"/>
  <c r="IX148" i="1"/>
  <c r="IX179" i="1"/>
  <c r="IX128" i="1"/>
  <c r="IX144" i="1"/>
  <c r="IX110" i="1"/>
  <c r="IX81" i="1"/>
  <c r="IX100" i="1"/>
  <c r="IX123" i="1"/>
  <c r="IX86" i="1"/>
  <c r="IX174" i="1"/>
  <c r="IX201" i="1"/>
  <c r="IX90" i="1"/>
  <c r="IX102" i="1"/>
  <c r="IX94" i="1"/>
  <c r="IX119" i="1"/>
  <c r="IX141" i="1"/>
  <c r="IX147" i="1"/>
  <c r="IX165" i="1"/>
  <c r="IX132" i="1"/>
  <c r="IX189" i="1"/>
  <c r="IX133" i="1"/>
  <c r="IX206" i="1"/>
  <c r="IX78" i="1"/>
  <c r="IX143" i="1"/>
  <c r="IX150" i="1"/>
  <c r="IX130" i="1"/>
  <c r="IX96" i="1"/>
  <c r="IX182" i="1"/>
  <c r="IX195" i="1"/>
  <c r="IX178" i="1"/>
  <c r="IX181" i="1"/>
  <c r="IX194" i="1"/>
  <c r="IX208" i="1"/>
  <c r="IX129" i="1"/>
  <c r="IX180" i="1"/>
  <c r="IX140" i="1"/>
  <c r="IX125" i="1"/>
  <c r="IX131" i="1"/>
  <c r="IX173" i="1"/>
  <c r="IX184" i="1"/>
  <c r="IX190" i="1"/>
  <c r="IX142" i="1"/>
  <c r="IX69" i="1"/>
  <c r="IX151" i="1"/>
  <c r="IX193" i="1"/>
  <c r="IX169" i="1"/>
  <c r="IX166" i="1"/>
  <c r="IX97" i="1"/>
  <c r="IX79" i="1"/>
  <c r="IX146" i="1"/>
  <c r="IX204" i="1"/>
  <c r="IX113" i="1"/>
  <c r="IX172" i="1"/>
  <c r="IX171" i="1"/>
  <c r="IX185" i="1"/>
  <c r="IX137" i="1"/>
  <c r="IX205" i="1"/>
  <c r="IX177" i="1"/>
  <c r="IX199" i="1"/>
  <c r="IX106" i="1"/>
  <c r="IX203" i="1"/>
  <c r="IX124" i="1"/>
  <c r="IX170" i="1"/>
  <c r="IX152" i="1"/>
  <c r="IX118" i="1"/>
  <c r="IX198" i="1"/>
  <c r="IX200" i="1"/>
  <c r="IX136" i="1"/>
  <c r="IX108" i="1"/>
  <c r="IX149" i="1"/>
  <c r="IX187" i="1"/>
  <c r="IX168" i="1"/>
  <c r="IX162" i="1"/>
  <c r="IX139" i="1"/>
  <c r="IX196" i="1"/>
  <c r="IX153" i="1"/>
  <c r="IX197" i="1"/>
  <c r="IX176" i="1"/>
  <c r="IX202" i="1"/>
  <c r="IX167" i="1"/>
  <c r="IX207" i="1"/>
  <c r="IX192" i="1"/>
  <c r="IW3" i="1"/>
  <c r="IW2" i="1"/>
  <c r="IW43" i="1"/>
  <c r="IW71" i="1"/>
  <c r="IW7" i="1"/>
  <c r="IW164" i="1"/>
  <c r="IW4" i="1"/>
  <c r="IW99" i="1"/>
  <c r="IW6" i="1"/>
  <c r="IW8" i="1"/>
  <c r="IW10" i="1"/>
  <c r="IW9" i="1"/>
  <c r="IW127" i="1"/>
  <c r="IW11" i="1"/>
  <c r="IW44" i="1"/>
  <c r="IW39" i="1"/>
  <c r="IW45" i="1"/>
  <c r="IW16" i="1"/>
  <c r="IW12" i="1"/>
  <c r="IW48" i="1"/>
  <c r="IW54" i="1"/>
  <c r="IW47" i="1"/>
  <c r="IW20" i="1"/>
  <c r="IW50" i="1"/>
  <c r="IW22" i="1"/>
  <c r="IW49" i="1"/>
  <c r="IW13" i="1"/>
  <c r="IW26" i="1"/>
  <c r="IW52" i="1"/>
  <c r="IW46" i="1"/>
  <c r="IW72" i="1"/>
  <c r="IW5" i="1"/>
  <c r="IW18" i="1"/>
  <c r="IW23" i="1"/>
  <c r="IW15" i="1"/>
  <c r="IW14" i="1"/>
  <c r="IW59" i="1"/>
  <c r="IW38" i="1"/>
  <c r="IW21" i="1"/>
  <c r="IW27" i="1"/>
  <c r="IW17" i="1"/>
  <c r="IW68" i="1"/>
  <c r="IW121" i="1"/>
  <c r="IW24" i="1"/>
  <c r="IW30" i="1"/>
  <c r="IW40" i="1"/>
  <c r="IW35" i="1"/>
  <c r="IW29" i="1"/>
  <c r="IW37" i="1"/>
  <c r="IW28" i="1"/>
  <c r="IW19" i="1"/>
  <c r="IW33" i="1"/>
  <c r="IW109" i="1"/>
  <c r="IW64" i="1"/>
  <c r="IW63" i="1"/>
  <c r="IW77" i="1"/>
  <c r="IW115" i="1"/>
  <c r="IW31" i="1"/>
  <c r="IW41" i="1"/>
  <c r="IW191" i="1"/>
  <c r="IW85" i="1"/>
  <c r="IW62" i="1"/>
  <c r="IW36" i="1"/>
  <c r="IW32" i="1"/>
  <c r="IW34" i="1"/>
  <c r="IW93" i="1"/>
  <c r="IW117" i="1"/>
  <c r="IW154" i="1"/>
  <c r="IW107" i="1"/>
  <c r="IW98" i="1"/>
  <c r="IW138" i="1"/>
  <c r="IW75" i="1"/>
  <c r="IW122" i="1"/>
  <c r="IW84" i="1"/>
  <c r="IW116" i="1"/>
  <c r="IW186" i="1"/>
  <c r="IW89" i="1"/>
  <c r="IW70" i="1"/>
  <c r="IW61" i="1"/>
  <c r="IW74" i="1"/>
  <c r="IW88" i="1"/>
  <c r="IW73" i="1"/>
  <c r="IW111" i="1"/>
  <c r="IW87" i="1"/>
  <c r="IW82" i="1"/>
  <c r="IW53" i="1"/>
  <c r="IW175" i="1"/>
  <c r="IW55" i="1"/>
  <c r="IW51" i="1"/>
  <c r="IW157" i="1"/>
  <c r="IW158" i="1"/>
  <c r="IW83" i="1"/>
  <c r="IW91" i="1"/>
  <c r="IW105" i="1"/>
  <c r="IW103" i="1"/>
  <c r="IW188" i="1"/>
  <c r="IW163" i="1"/>
  <c r="IW101" i="1"/>
  <c r="IW65" i="1"/>
  <c r="IW60" i="1"/>
  <c r="IW80" i="1"/>
  <c r="IW56" i="1"/>
  <c r="IW57" i="1"/>
  <c r="IW25" i="1"/>
  <c r="IW104" i="1"/>
  <c r="IW66" i="1"/>
  <c r="IW58" i="1"/>
  <c r="IW155" i="1"/>
  <c r="IW156" i="1"/>
  <c r="IW134" i="1"/>
  <c r="IW92" i="1"/>
  <c r="IW67" i="1"/>
  <c r="IW126" i="1"/>
  <c r="IW145" i="1"/>
  <c r="IW135" i="1"/>
  <c r="IW159" i="1"/>
  <c r="IW76" i="1"/>
  <c r="IW114" i="1"/>
  <c r="IW161" i="1"/>
  <c r="IW160" i="1"/>
  <c r="IW95" i="1"/>
  <c r="IW120" i="1"/>
  <c r="IW42" i="1"/>
  <c r="IW183" i="1"/>
  <c r="IW112" i="1"/>
  <c r="IW148" i="1"/>
  <c r="IW179" i="1"/>
  <c r="IW128" i="1"/>
  <c r="IW144" i="1"/>
  <c r="IW110" i="1"/>
  <c r="IW81" i="1"/>
  <c r="IW100" i="1"/>
  <c r="IW123" i="1"/>
  <c r="IW86" i="1"/>
  <c r="IW174" i="1"/>
  <c r="IW201" i="1"/>
  <c r="IW90" i="1"/>
  <c r="IW102" i="1"/>
  <c r="IW94" i="1"/>
  <c r="IW119" i="1"/>
  <c r="IW141" i="1"/>
  <c r="IW147" i="1"/>
  <c r="IW165" i="1"/>
  <c r="IW132" i="1"/>
  <c r="IW189" i="1"/>
  <c r="IW133" i="1"/>
  <c r="IW206" i="1"/>
  <c r="IW78" i="1"/>
  <c r="IW143" i="1"/>
  <c r="IW150" i="1"/>
  <c r="IW130" i="1"/>
  <c r="IW96" i="1"/>
  <c r="IW182" i="1"/>
  <c r="IW195" i="1"/>
  <c r="IW178" i="1"/>
  <c r="IW181" i="1"/>
  <c r="IW194" i="1"/>
  <c r="IW208" i="1"/>
  <c r="IW129" i="1"/>
  <c r="IW180" i="1"/>
  <c r="IW140" i="1"/>
  <c r="IW125" i="1"/>
  <c r="IW131" i="1"/>
  <c r="IW173" i="1"/>
  <c r="IW184" i="1"/>
  <c r="IW190" i="1"/>
  <c r="IW142" i="1"/>
  <c r="IW69" i="1"/>
  <c r="IW151" i="1"/>
  <c r="IW193" i="1"/>
  <c r="IW169" i="1"/>
  <c r="IW166" i="1"/>
  <c r="IW97" i="1"/>
  <c r="IW79" i="1"/>
  <c r="IW146" i="1"/>
  <c r="IW204" i="1"/>
  <c r="IW113" i="1"/>
  <c r="IW172" i="1"/>
  <c r="IW171" i="1"/>
  <c r="IW185" i="1"/>
  <c r="IW137" i="1"/>
  <c r="IW205" i="1"/>
  <c r="IW177" i="1"/>
  <c r="IW199" i="1"/>
  <c r="IW106" i="1"/>
  <c r="IW203" i="1"/>
  <c r="IW124" i="1"/>
  <c r="IW170" i="1"/>
  <c r="IW152" i="1"/>
  <c r="IW118" i="1"/>
  <c r="IW198" i="1"/>
  <c r="IW200" i="1"/>
  <c r="IW136" i="1"/>
  <c r="IW108" i="1"/>
  <c r="IW149" i="1"/>
  <c r="IW187" i="1"/>
  <c r="IW168" i="1"/>
  <c r="IW162" i="1"/>
  <c r="IW139" i="1"/>
  <c r="IW196" i="1"/>
  <c r="IW153" i="1"/>
  <c r="IW197" i="1"/>
  <c r="IW176" i="1"/>
  <c r="IW202" i="1"/>
  <c r="IW167" i="1"/>
  <c r="IW207" i="1"/>
  <c r="IW192" i="1"/>
  <c r="IV3" i="1"/>
  <c r="IV2" i="1"/>
  <c r="IV43" i="1"/>
  <c r="IV71" i="1"/>
  <c r="IV7" i="1"/>
  <c r="IV164" i="1"/>
  <c r="IV4" i="1"/>
  <c r="IV99" i="1"/>
  <c r="IV6" i="1"/>
  <c r="IV8" i="1"/>
  <c r="IV10" i="1"/>
  <c r="IV9" i="1"/>
  <c r="IV127" i="1"/>
  <c r="IV11" i="1"/>
  <c r="IV44" i="1"/>
  <c r="IV39" i="1"/>
  <c r="IV45" i="1"/>
  <c r="IV16" i="1"/>
  <c r="IV12" i="1"/>
  <c r="IV48" i="1"/>
  <c r="IV54" i="1"/>
  <c r="IV47" i="1"/>
  <c r="IV20" i="1"/>
  <c r="IV50" i="1"/>
  <c r="IV22" i="1"/>
  <c r="IV49" i="1"/>
  <c r="IV13" i="1"/>
  <c r="IV26" i="1"/>
  <c r="IV52" i="1"/>
  <c r="IV46" i="1"/>
  <c r="IV72" i="1"/>
  <c r="IV5" i="1"/>
  <c r="IV18" i="1"/>
  <c r="IV23" i="1"/>
  <c r="IV15" i="1"/>
  <c r="IV14" i="1"/>
  <c r="IV59" i="1"/>
  <c r="IV38" i="1"/>
  <c r="IV21" i="1"/>
  <c r="IV27" i="1"/>
  <c r="IV17" i="1"/>
  <c r="IV68" i="1"/>
  <c r="IV121" i="1"/>
  <c r="IV24" i="1"/>
  <c r="IV30" i="1"/>
  <c r="IV40" i="1"/>
  <c r="IV35" i="1"/>
  <c r="IV29" i="1"/>
  <c r="IV37" i="1"/>
  <c r="IV28" i="1"/>
  <c r="IV19" i="1"/>
  <c r="IV33" i="1"/>
  <c r="IV109" i="1"/>
  <c r="IV64" i="1"/>
  <c r="IV63" i="1"/>
  <c r="IV77" i="1"/>
  <c r="IV115" i="1"/>
  <c r="IV31" i="1"/>
  <c r="IV41" i="1"/>
  <c r="IV191" i="1"/>
  <c r="IV85" i="1"/>
  <c r="IV62" i="1"/>
  <c r="IV36" i="1"/>
  <c r="IV32" i="1"/>
  <c r="IV34" i="1"/>
  <c r="IV93" i="1"/>
  <c r="IV117" i="1"/>
  <c r="IV154" i="1"/>
  <c r="IV107" i="1"/>
  <c r="IV98" i="1"/>
  <c r="IV138" i="1"/>
  <c r="IV75" i="1"/>
  <c r="IV122" i="1"/>
  <c r="IV84" i="1"/>
  <c r="IV116" i="1"/>
  <c r="IV186" i="1"/>
  <c r="IV89" i="1"/>
  <c r="IV70" i="1"/>
  <c r="IV61" i="1"/>
  <c r="IV74" i="1"/>
  <c r="IV88" i="1"/>
  <c r="IV73" i="1"/>
  <c r="IV111" i="1"/>
  <c r="IV87" i="1"/>
  <c r="IV82" i="1"/>
  <c r="IV53" i="1"/>
  <c r="IV175" i="1"/>
  <c r="IV55" i="1"/>
  <c r="IV51" i="1"/>
  <c r="IV157" i="1"/>
  <c r="IV158" i="1"/>
  <c r="IV83" i="1"/>
  <c r="IV91" i="1"/>
  <c r="IV105" i="1"/>
  <c r="IV103" i="1"/>
  <c r="IV188" i="1"/>
  <c r="IV163" i="1"/>
  <c r="IV101" i="1"/>
  <c r="IV65" i="1"/>
  <c r="IV60" i="1"/>
  <c r="IV80" i="1"/>
  <c r="IV56" i="1"/>
  <c r="IV57" i="1"/>
  <c r="IV25" i="1"/>
  <c r="IV104" i="1"/>
  <c r="IV66" i="1"/>
  <c r="IV58" i="1"/>
  <c r="IV155" i="1"/>
  <c r="IV156" i="1"/>
  <c r="IV134" i="1"/>
  <c r="IV92" i="1"/>
  <c r="IV67" i="1"/>
  <c r="IV126" i="1"/>
  <c r="IV145" i="1"/>
  <c r="IV135" i="1"/>
  <c r="IV159" i="1"/>
  <c r="IV76" i="1"/>
  <c r="IV114" i="1"/>
  <c r="IV161" i="1"/>
  <c r="IV160" i="1"/>
  <c r="IV95" i="1"/>
  <c r="IV120" i="1"/>
  <c r="IV42" i="1"/>
  <c r="IV183" i="1"/>
  <c r="IV112" i="1"/>
  <c r="IV148" i="1"/>
  <c r="IV179" i="1"/>
  <c r="IV128" i="1"/>
  <c r="IV144" i="1"/>
  <c r="IV110" i="1"/>
  <c r="IV81" i="1"/>
  <c r="IV100" i="1"/>
  <c r="IV123" i="1"/>
  <c r="IV86" i="1"/>
  <c r="IV174" i="1"/>
  <c r="IV201" i="1"/>
  <c r="IV90" i="1"/>
  <c r="IV102" i="1"/>
  <c r="IV94" i="1"/>
  <c r="IV119" i="1"/>
  <c r="IV141" i="1"/>
  <c r="IV147" i="1"/>
  <c r="IV165" i="1"/>
  <c r="IV132" i="1"/>
  <c r="IV189" i="1"/>
  <c r="IV133" i="1"/>
  <c r="IV206" i="1"/>
  <c r="IV78" i="1"/>
  <c r="IV143" i="1"/>
  <c r="IV150" i="1"/>
  <c r="IV130" i="1"/>
  <c r="IV96" i="1"/>
  <c r="IV182" i="1"/>
  <c r="IV195" i="1"/>
  <c r="IV178" i="1"/>
  <c r="IV181" i="1"/>
  <c r="IV194" i="1"/>
  <c r="IV208" i="1"/>
  <c r="IV129" i="1"/>
  <c r="IV180" i="1"/>
  <c r="IV140" i="1"/>
  <c r="IV125" i="1"/>
  <c r="IV131" i="1"/>
  <c r="IV173" i="1"/>
  <c r="IV184" i="1"/>
  <c r="IV190" i="1"/>
  <c r="IV142" i="1"/>
  <c r="IV69" i="1"/>
  <c r="IV151" i="1"/>
  <c r="IV193" i="1"/>
  <c r="IV169" i="1"/>
  <c r="IV166" i="1"/>
  <c r="IV97" i="1"/>
  <c r="IV79" i="1"/>
  <c r="IV146" i="1"/>
  <c r="IV204" i="1"/>
  <c r="IV113" i="1"/>
  <c r="IV172" i="1"/>
  <c r="IV171" i="1"/>
  <c r="IV185" i="1"/>
  <c r="IV137" i="1"/>
  <c r="IV205" i="1"/>
  <c r="IV177" i="1"/>
  <c r="IV199" i="1"/>
  <c r="IV106" i="1"/>
  <c r="IV203" i="1"/>
  <c r="IV124" i="1"/>
  <c r="IV170" i="1"/>
  <c r="IV152" i="1"/>
  <c r="IV118" i="1"/>
  <c r="IV198" i="1"/>
  <c r="IV200" i="1"/>
  <c r="IV136" i="1"/>
  <c r="IV108" i="1"/>
  <c r="IV149" i="1"/>
  <c r="IV187" i="1"/>
  <c r="IV168" i="1"/>
  <c r="IV162" i="1"/>
  <c r="IV139" i="1"/>
  <c r="IV196" i="1"/>
  <c r="IV153" i="1"/>
  <c r="IV197" i="1"/>
  <c r="IV176" i="1"/>
  <c r="IV202" i="1"/>
  <c r="IV167" i="1"/>
  <c r="IV207" i="1"/>
  <c r="IV192" i="1"/>
  <c r="IU3" i="1"/>
  <c r="IU2" i="1"/>
  <c r="IU43" i="1"/>
  <c r="IU71" i="1"/>
  <c r="IU7" i="1"/>
  <c r="IU164" i="1"/>
  <c r="IU4" i="1"/>
  <c r="IU99" i="1"/>
  <c r="IU6" i="1"/>
  <c r="IU8" i="1"/>
  <c r="IU10" i="1"/>
  <c r="IU9" i="1"/>
  <c r="IU127" i="1"/>
  <c r="IU11" i="1"/>
  <c r="IU44" i="1"/>
  <c r="IU39" i="1"/>
  <c r="IU45" i="1"/>
  <c r="IU16" i="1"/>
  <c r="IU12" i="1"/>
  <c r="IU48" i="1"/>
  <c r="IU54" i="1"/>
  <c r="IU47" i="1"/>
  <c r="IU20" i="1"/>
  <c r="IU50" i="1"/>
  <c r="IU22" i="1"/>
  <c r="IU49" i="1"/>
  <c r="IU13" i="1"/>
  <c r="IU26" i="1"/>
  <c r="IU52" i="1"/>
  <c r="IU46" i="1"/>
  <c r="IU72" i="1"/>
  <c r="IU5" i="1"/>
  <c r="IU18" i="1"/>
  <c r="IU23" i="1"/>
  <c r="IU15" i="1"/>
  <c r="IU14" i="1"/>
  <c r="IU59" i="1"/>
  <c r="IU38" i="1"/>
  <c r="IU21" i="1"/>
  <c r="IU27" i="1"/>
  <c r="IU17" i="1"/>
  <c r="IU68" i="1"/>
  <c r="IU121" i="1"/>
  <c r="IU24" i="1"/>
  <c r="IU30" i="1"/>
  <c r="IU40" i="1"/>
  <c r="IU35" i="1"/>
  <c r="IU29" i="1"/>
  <c r="IU37" i="1"/>
  <c r="IU28" i="1"/>
  <c r="IU19" i="1"/>
  <c r="IU33" i="1"/>
  <c r="IU109" i="1"/>
  <c r="IU64" i="1"/>
  <c r="IU63" i="1"/>
  <c r="IU77" i="1"/>
  <c r="IU115" i="1"/>
  <c r="IU31" i="1"/>
  <c r="IU41" i="1"/>
  <c r="IU191" i="1"/>
  <c r="IU85" i="1"/>
  <c r="IU62" i="1"/>
  <c r="IU36" i="1"/>
  <c r="IU32" i="1"/>
  <c r="IU34" i="1"/>
  <c r="IU93" i="1"/>
  <c r="IU117" i="1"/>
  <c r="IU154" i="1"/>
  <c r="IU107" i="1"/>
  <c r="IU98" i="1"/>
  <c r="IU138" i="1"/>
  <c r="IU75" i="1"/>
  <c r="IU122" i="1"/>
  <c r="IU84" i="1"/>
  <c r="IU116" i="1"/>
  <c r="IU186" i="1"/>
  <c r="IU89" i="1"/>
  <c r="IU70" i="1"/>
  <c r="IU61" i="1"/>
  <c r="IU74" i="1"/>
  <c r="IU88" i="1"/>
  <c r="IU73" i="1"/>
  <c r="IU111" i="1"/>
  <c r="IU87" i="1"/>
  <c r="IU82" i="1"/>
  <c r="IU53" i="1"/>
  <c r="IU175" i="1"/>
  <c r="IU55" i="1"/>
  <c r="IU51" i="1"/>
  <c r="IU157" i="1"/>
  <c r="IU158" i="1"/>
  <c r="IU83" i="1"/>
  <c r="IU91" i="1"/>
  <c r="IU105" i="1"/>
  <c r="IU103" i="1"/>
  <c r="IU188" i="1"/>
  <c r="IU163" i="1"/>
  <c r="IU101" i="1"/>
  <c r="IU65" i="1"/>
  <c r="IU60" i="1"/>
  <c r="IU80" i="1"/>
  <c r="IU56" i="1"/>
  <c r="IU57" i="1"/>
  <c r="IU25" i="1"/>
  <c r="IU104" i="1"/>
  <c r="IU66" i="1"/>
  <c r="IU58" i="1"/>
  <c r="IU155" i="1"/>
  <c r="IU156" i="1"/>
  <c r="IU134" i="1"/>
  <c r="IU92" i="1"/>
  <c r="IU67" i="1"/>
  <c r="IU126" i="1"/>
  <c r="IU145" i="1"/>
  <c r="IU135" i="1"/>
  <c r="IU159" i="1"/>
  <c r="IU76" i="1"/>
  <c r="IU114" i="1"/>
  <c r="IU161" i="1"/>
  <c r="IU160" i="1"/>
  <c r="IU95" i="1"/>
  <c r="IU120" i="1"/>
  <c r="IU42" i="1"/>
  <c r="IU183" i="1"/>
  <c r="IU112" i="1"/>
  <c r="IU148" i="1"/>
  <c r="IU179" i="1"/>
  <c r="IU128" i="1"/>
  <c r="IU144" i="1"/>
  <c r="IU110" i="1"/>
  <c r="IU81" i="1"/>
  <c r="IU100" i="1"/>
  <c r="IU123" i="1"/>
  <c r="IU86" i="1"/>
  <c r="IU174" i="1"/>
  <c r="IU201" i="1"/>
  <c r="IU90" i="1"/>
  <c r="IU102" i="1"/>
  <c r="IU94" i="1"/>
  <c r="IU119" i="1"/>
  <c r="IU141" i="1"/>
  <c r="IU147" i="1"/>
  <c r="IU165" i="1"/>
  <c r="IU132" i="1"/>
  <c r="IU189" i="1"/>
  <c r="IU133" i="1"/>
  <c r="IU206" i="1"/>
  <c r="IU78" i="1"/>
  <c r="IU143" i="1"/>
  <c r="IU150" i="1"/>
  <c r="IU130" i="1"/>
  <c r="IU96" i="1"/>
  <c r="IU182" i="1"/>
  <c r="IU195" i="1"/>
  <c r="IU178" i="1"/>
  <c r="IU181" i="1"/>
  <c r="IU194" i="1"/>
  <c r="IU208" i="1"/>
  <c r="IU129" i="1"/>
  <c r="IU180" i="1"/>
  <c r="IU140" i="1"/>
  <c r="IU125" i="1"/>
  <c r="IU131" i="1"/>
  <c r="IU173" i="1"/>
  <c r="IU184" i="1"/>
  <c r="IU190" i="1"/>
  <c r="IU142" i="1"/>
  <c r="IU69" i="1"/>
  <c r="IU151" i="1"/>
  <c r="IU193" i="1"/>
  <c r="IU169" i="1"/>
  <c r="IU166" i="1"/>
  <c r="IU97" i="1"/>
  <c r="IU79" i="1"/>
  <c r="IU146" i="1"/>
  <c r="IU204" i="1"/>
  <c r="IU113" i="1"/>
  <c r="IU172" i="1"/>
  <c r="IU171" i="1"/>
  <c r="IU185" i="1"/>
  <c r="IU137" i="1"/>
  <c r="IU205" i="1"/>
  <c r="IU177" i="1"/>
  <c r="IU199" i="1"/>
  <c r="IU106" i="1"/>
  <c r="IU203" i="1"/>
  <c r="IU124" i="1"/>
  <c r="IU170" i="1"/>
  <c r="IU152" i="1"/>
  <c r="IU118" i="1"/>
  <c r="IU198" i="1"/>
  <c r="IU200" i="1"/>
  <c r="IU136" i="1"/>
  <c r="IU108" i="1"/>
  <c r="IU149" i="1"/>
  <c r="IU187" i="1"/>
  <c r="IU168" i="1"/>
  <c r="IU162" i="1"/>
  <c r="IU139" i="1"/>
  <c r="IU196" i="1"/>
  <c r="IU153" i="1"/>
  <c r="IU197" i="1"/>
  <c r="IU176" i="1"/>
  <c r="IU202" i="1"/>
  <c r="IU167" i="1"/>
  <c r="IU207" i="1"/>
  <c r="IU192" i="1"/>
  <c r="IT3" i="1"/>
  <c r="IT2" i="1"/>
  <c r="IT43" i="1"/>
  <c r="IT71" i="1"/>
  <c r="IT7" i="1"/>
  <c r="IT164" i="1"/>
  <c r="IT4" i="1"/>
  <c r="IT99" i="1"/>
  <c r="IT6" i="1"/>
  <c r="IT8" i="1"/>
  <c r="IT10" i="1"/>
  <c r="IT9" i="1"/>
  <c r="IT127" i="1"/>
  <c r="IT11" i="1"/>
  <c r="IT44" i="1"/>
  <c r="IT39" i="1"/>
  <c r="IT45" i="1"/>
  <c r="IT16" i="1"/>
  <c r="IT12" i="1"/>
  <c r="IT48" i="1"/>
  <c r="IT54" i="1"/>
  <c r="IT47" i="1"/>
  <c r="IT20" i="1"/>
  <c r="IT50" i="1"/>
  <c r="IT22" i="1"/>
  <c r="IT49" i="1"/>
  <c r="IT13" i="1"/>
  <c r="IT26" i="1"/>
  <c r="IT52" i="1"/>
  <c r="IT46" i="1"/>
  <c r="IT72" i="1"/>
  <c r="IT5" i="1"/>
  <c r="IT18" i="1"/>
  <c r="IT23" i="1"/>
  <c r="IT15" i="1"/>
  <c r="IT14" i="1"/>
  <c r="IT59" i="1"/>
  <c r="IT38" i="1"/>
  <c r="IT21" i="1"/>
  <c r="IT27" i="1"/>
  <c r="IT17" i="1"/>
  <c r="IT68" i="1"/>
  <c r="IT121" i="1"/>
  <c r="IT24" i="1"/>
  <c r="IT30" i="1"/>
  <c r="IT40" i="1"/>
  <c r="IT35" i="1"/>
  <c r="IT29" i="1"/>
  <c r="IT37" i="1"/>
  <c r="IT28" i="1"/>
  <c r="IT19" i="1"/>
  <c r="IT33" i="1"/>
  <c r="IT109" i="1"/>
  <c r="IT64" i="1"/>
  <c r="IT63" i="1"/>
  <c r="IT77" i="1"/>
  <c r="IT115" i="1"/>
  <c r="IT31" i="1"/>
  <c r="IT41" i="1"/>
  <c r="IT191" i="1"/>
  <c r="IT85" i="1"/>
  <c r="IT62" i="1"/>
  <c r="IT36" i="1"/>
  <c r="IT32" i="1"/>
  <c r="IT34" i="1"/>
  <c r="IT93" i="1"/>
  <c r="IT117" i="1"/>
  <c r="IT154" i="1"/>
  <c r="IT107" i="1"/>
  <c r="IT98" i="1"/>
  <c r="IT138" i="1"/>
  <c r="IT75" i="1"/>
  <c r="IT122" i="1"/>
  <c r="IT84" i="1"/>
  <c r="IT116" i="1"/>
  <c r="IT186" i="1"/>
  <c r="IT89" i="1"/>
  <c r="IT70" i="1"/>
  <c r="IT61" i="1"/>
  <c r="IT74" i="1"/>
  <c r="IT88" i="1"/>
  <c r="IT73" i="1"/>
  <c r="IT111" i="1"/>
  <c r="IT87" i="1"/>
  <c r="IT82" i="1"/>
  <c r="IT53" i="1"/>
  <c r="IT175" i="1"/>
  <c r="IT55" i="1"/>
  <c r="IT51" i="1"/>
  <c r="IT157" i="1"/>
  <c r="IT158" i="1"/>
  <c r="IT83" i="1"/>
  <c r="IT91" i="1"/>
  <c r="IT105" i="1"/>
  <c r="IT103" i="1"/>
  <c r="IT188" i="1"/>
  <c r="IT163" i="1"/>
  <c r="IT101" i="1"/>
  <c r="IT65" i="1"/>
  <c r="IT60" i="1"/>
  <c r="IT80" i="1"/>
  <c r="IT56" i="1"/>
  <c r="IT57" i="1"/>
  <c r="IT25" i="1"/>
  <c r="IT104" i="1"/>
  <c r="IT66" i="1"/>
  <c r="IT58" i="1"/>
  <c r="IT155" i="1"/>
  <c r="IT156" i="1"/>
  <c r="IT134" i="1"/>
  <c r="IT92" i="1"/>
  <c r="IT67" i="1"/>
  <c r="IT126" i="1"/>
  <c r="IT145" i="1"/>
  <c r="IT135" i="1"/>
  <c r="IT159" i="1"/>
  <c r="IT76" i="1"/>
  <c r="IT114" i="1"/>
  <c r="IT161" i="1"/>
  <c r="IT160" i="1"/>
  <c r="IT95" i="1"/>
  <c r="IT120" i="1"/>
  <c r="IT42" i="1"/>
  <c r="IT183" i="1"/>
  <c r="IT112" i="1"/>
  <c r="IT148" i="1"/>
  <c r="IT179" i="1"/>
  <c r="IT128" i="1"/>
  <c r="IT144" i="1"/>
  <c r="IT110" i="1"/>
  <c r="IT81" i="1"/>
  <c r="IT100" i="1"/>
  <c r="IT123" i="1"/>
  <c r="IT86" i="1"/>
  <c r="IT174" i="1"/>
  <c r="IT201" i="1"/>
  <c r="IT90" i="1"/>
  <c r="IT102" i="1"/>
  <c r="IT94" i="1"/>
  <c r="IT119" i="1"/>
  <c r="IT141" i="1"/>
  <c r="IT147" i="1"/>
  <c r="IT165" i="1"/>
  <c r="IT132" i="1"/>
  <c r="IT189" i="1"/>
  <c r="IT133" i="1"/>
  <c r="IT206" i="1"/>
  <c r="IT78" i="1"/>
  <c r="IT143" i="1"/>
  <c r="IT150" i="1"/>
  <c r="IT130" i="1"/>
  <c r="IT96" i="1"/>
  <c r="IT182" i="1"/>
  <c r="IT195" i="1"/>
  <c r="IT178" i="1"/>
  <c r="IT181" i="1"/>
  <c r="IT194" i="1"/>
  <c r="IT208" i="1"/>
  <c r="IT129" i="1"/>
  <c r="IT180" i="1"/>
  <c r="IT140" i="1"/>
  <c r="IT125" i="1"/>
  <c r="IT131" i="1"/>
  <c r="IT173" i="1"/>
  <c r="IT184" i="1"/>
  <c r="IT190" i="1"/>
  <c r="IT142" i="1"/>
  <c r="IT69" i="1"/>
  <c r="IT151" i="1"/>
  <c r="IT193" i="1"/>
  <c r="IT169" i="1"/>
  <c r="IT166" i="1"/>
  <c r="IT97" i="1"/>
  <c r="IT79" i="1"/>
  <c r="IT146" i="1"/>
  <c r="IT204" i="1"/>
  <c r="IT113" i="1"/>
  <c r="IT172" i="1"/>
  <c r="IT171" i="1"/>
  <c r="IT185" i="1"/>
  <c r="IT137" i="1"/>
  <c r="IT205" i="1"/>
  <c r="IT177" i="1"/>
  <c r="IT199" i="1"/>
  <c r="IT106" i="1"/>
  <c r="IT203" i="1"/>
  <c r="IT124" i="1"/>
  <c r="IT170" i="1"/>
  <c r="IT152" i="1"/>
  <c r="IT118" i="1"/>
  <c r="IT198" i="1"/>
  <c r="IT200" i="1"/>
  <c r="IT136" i="1"/>
  <c r="IT108" i="1"/>
  <c r="IT149" i="1"/>
  <c r="IT187" i="1"/>
  <c r="IT168" i="1"/>
  <c r="IT162" i="1"/>
  <c r="IT139" i="1"/>
  <c r="IT196" i="1"/>
  <c r="IT153" i="1"/>
  <c r="IT197" i="1"/>
  <c r="IT176" i="1"/>
  <c r="IT202" i="1"/>
  <c r="IT167" i="1"/>
  <c r="IT207" i="1"/>
  <c r="IT192" i="1"/>
  <c r="IS3" i="1"/>
  <c r="IS2" i="1"/>
  <c r="IS43" i="1"/>
  <c r="IS71" i="1"/>
  <c r="IS7" i="1"/>
  <c r="IS164" i="1"/>
  <c r="IS4" i="1"/>
  <c r="IS99" i="1"/>
  <c r="IS6" i="1"/>
  <c r="IS8" i="1"/>
  <c r="IS10" i="1"/>
  <c r="IS9" i="1"/>
  <c r="IS127" i="1"/>
  <c r="IS11" i="1"/>
  <c r="IS44" i="1"/>
  <c r="IS39" i="1"/>
  <c r="IS45" i="1"/>
  <c r="IS16" i="1"/>
  <c r="IS12" i="1"/>
  <c r="IS48" i="1"/>
  <c r="IS54" i="1"/>
  <c r="IS47" i="1"/>
  <c r="IS20" i="1"/>
  <c r="IS50" i="1"/>
  <c r="IS22" i="1"/>
  <c r="IS49" i="1"/>
  <c r="IS13" i="1"/>
  <c r="IS26" i="1"/>
  <c r="IS52" i="1"/>
  <c r="IS46" i="1"/>
  <c r="IS72" i="1"/>
  <c r="IS5" i="1"/>
  <c r="IS18" i="1"/>
  <c r="IS23" i="1"/>
  <c r="IS15" i="1"/>
  <c r="IS14" i="1"/>
  <c r="IS59" i="1"/>
  <c r="IS38" i="1"/>
  <c r="IS21" i="1"/>
  <c r="IS27" i="1"/>
  <c r="IS17" i="1"/>
  <c r="IS68" i="1"/>
  <c r="IS121" i="1"/>
  <c r="IS24" i="1"/>
  <c r="IS30" i="1"/>
  <c r="IS40" i="1"/>
  <c r="IS35" i="1"/>
  <c r="IS29" i="1"/>
  <c r="IS37" i="1"/>
  <c r="IS28" i="1"/>
  <c r="IS19" i="1"/>
  <c r="IS33" i="1"/>
  <c r="IS109" i="1"/>
  <c r="IS64" i="1"/>
  <c r="IS63" i="1"/>
  <c r="IS77" i="1"/>
  <c r="IS115" i="1"/>
  <c r="IS31" i="1"/>
  <c r="IS41" i="1"/>
  <c r="IS191" i="1"/>
  <c r="IS85" i="1"/>
  <c r="IS62" i="1"/>
  <c r="IS36" i="1"/>
  <c r="IS32" i="1"/>
  <c r="IS34" i="1"/>
  <c r="IS93" i="1"/>
  <c r="IS117" i="1"/>
  <c r="IS154" i="1"/>
  <c r="IS107" i="1"/>
  <c r="IS98" i="1"/>
  <c r="IS138" i="1"/>
  <c r="IS75" i="1"/>
  <c r="IS122" i="1"/>
  <c r="IS84" i="1"/>
  <c r="IS116" i="1"/>
  <c r="IS186" i="1"/>
  <c r="IS89" i="1"/>
  <c r="IS70" i="1"/>
  <c r="IS61" i="1"/>
  <c r="IS74" i="1"/>
  <c r="IS88" i="1"/>
  <c r="IS73" i="1"/>
  <c r="IS111" i="1"/>
  <c r="IS87" i="1"/>
  <c r="IS82" i="1"/>
  <c r="IS53" i="1"/>
  <c r="IS175" i="1"/>
  <c r="IS55" i="1"/>
  <c r="IS51" i="1"/>
  <c r="IS157" i="1"/>
  <c r="IS158" i="1"/>
  <c r="IS83" i="1"/>
  <c r="IS91" i="1"/>
  <c r="IS105" i="1"/>
  <c r="IS103" i="1"/>
  <c r="IS188" i="1"/>
  <c r="IS163" i="1"/>
  <c r="IS101" i="1"/>
  <c r="IS65" i="1"/>
  <c r="IS60" i="1"/>
  <c r="IS80" i="1"/>
  <c r="IS56" i="1"/>
  <c r="IS57" i="1"/>
  <c r="IS25" i="1"/>
  <c r="IS104" i="1"/>
  <c r="IS66" i="1"/>
  <c r="IS58" i="1"/>
  <c r="IS155" i="1"/>
  <c r="IS156" i="1"/>
  <c r="IS134" i="1"/>
  <c r="IS92" i="1"/>
  <c r="IS67" i="1"/>
  <c r="IS126" i="1"/>
  <c r="IS145" i="1"/>
  <c r="IS135" i="1"/>
  <c r="IS159" i="1"/>
  <c r="IS76" i="1"/>
  <c r="IS114" i="1"/>
  <c r="IS161" i="1"/>
  <c r="IS160" i="1"/>
  <c r="IS95" i="1"/>
  <c r="IS120" i="1"/>
  <c r="IS42" i="1"/>
  <c r="IS183" i="1"/>
  <c r="IS112" i="1"/>
  <c r="IS148" i="1"/>
  <c r="IS179" i="1"/>
  <c r="IS128" i="1"/>
  <c r="IS144" i="1"/>
  <c r="IS110" i="1"/>
  <c r="IS81" i="1"/>
  <c r="IS100" i="1"/>
  <c r="IS123" i="1"/>
  <c r="IS86" i="1"/>
  <c r="IS174" i="1"/>
  <c r="IS201" i="1"/>
  <c r="IS90" i="1"/>
  <c r="IS102" i="1"/>
  <c r="IS94" i="1"/>
  <c r="IS119" i="1"/>
  <c r="IS141" i="1"/>
  <c r="IS147" i="1"/>
  <c r="IS165" i="1"/>
  <c r="IS132" i="1"/>
  <c r="IS189" i="1"/>
  <c r="IS133" i="1"/>
  <c r="IS206" i="1"/>
  <c r="IS78" i="1"/>
  <c r="IS143" i="1"/>
  <c r="IS150" i="1"/>
  <c r="IS130" i="1"/>
  <c r="IS96" i="1"/>
  <c r="IS182" i="1"/>
  <c r="IS195" i="1"/>
  <c r="IS178" i="1"/>
  <c r="IS181" i="1"/>
  <c r="IS194" i="1"/>
  <c r="IS208" i="1"/>
  <c r="IS129" i="1"/>
  <c r="IS180" i="1"/>
  <c r="IS140" i="1"/>
  <c r="IS125" i="1"/>
  <c r="IS131" i="1"/>
  <c r="IS173" i="1"/>
  <c r="IS184" i="1"/>
  <c r="IS190" i="1"/>
  <c r="IS142" i="1"/>
  <c r="IS69" i="1"/>
  <c r="IS151" i="1"/>
  <c r="IS193" i="1"/>
  <c r="IS169" i="1"/>
  <c r="IS166" i="1"/>
  <c r="IS97" i="1"/>
  <c r="IS79" i="1"/>
  <c r="IS146" i="1"/>
  <c r="IS204" i="1"/>
  <c r="IS113" i="1"/>
  <c r="IS172" i="1"/>
  <c r="IS171" i="1"/>
  <c r="IS185" i="1"/>
  <c r="IS137" i="1"/>
  <c r="IS205" i="1"/>
  <c r="IS177" i="1"/>
  <c r="IS199" i="1"/>
  <c r="IS106" i="1"/>
  <c r="IS203" i="1"/>
  <c r="IS124" i="1"/>
  <c r="IS170" i="1"/>
  <c r="IS152" i="1"/>
  <c r="IS118" i="1"/>
  <c r="IS198" i="1"/>
  <c r="IS200" i="1"/>
  <c r="IS136" i="1"/>
  <c r="IS108" i="1"/>
  <c r="IS149" i="1"/>
  <c r="IS187" i="1"/>
  <c r="IS168" i="1"/>
  <c r="IS162" i="1"/>
  <c r="IS139" i="1"/>
  <c r="IS196" i="1"/>
  <c r="IS153" i="1"/>
  <c r="IS197" i="1"/>
  <c r="IS176" i="1"/>
  <c r="IS202" i="1"/>
  <c r="IS167" i="1"/>
  <c r="IS207" i="1"/>
  <c r="IS192" i="1"/>
  <c r="IR3" i="1"/>
  <c r="IR2" i="1"/>
  <c r="IR43" i="1"/>
  <c r="IR71" i="1"/>
  <c r="IR7" i="1"/>
  <c r="IR164" i="1"/>
  <c r="IR4" i="1"/>
  <c r="IR99" i="1"/>
  <c r="IR6" i="1"/>
  <c r="IR8" i="1"/>
  <c r="IR10" i="1"/>
  <c r="IR9" i="1"/>
  <c r="IR127" i="1"/>
  <c r="IR11" i="1"/>
  <c r="IR44" i="1"/>
  <c r="IR39" i="1"/>
  <c r="IR45" i="1"/>
  <c r="IR16" i="1"/>
  <c r="IR12" i="1"/>
  <c r="IR48" i="1"/>
  <c r="IR54" i="1"/>
  <c r="IR47" i="1"/>
  <c r="IR20" i="1"/>
  <c r="IR50" i="1"/>
  <c r="IR22" i="1"/>
  <c r="IR49" i="1"/>
  <c r="IR13" i="1"/>
  <c r="IR26" i="1"/>
  <c r="IR52" i="1"/>
  <c r="IR46" i="1"/>
  <c r="IR72" i="1"/>
  <c r="IR5" i="1"/>
  <c r="IR18" i="1"/>
  <c r="IR23" i="1"/>
  <c r="IR15" i="1"/>
  <c r="IR14" i="1"/>
  <c r="IR59" i="1"/>
  <c r="IR38" i="1"/>
  <c r="IR21" i="1"/>
  <c r="IR27" i="1"/>
  <c r="IR17" i="1"/>
  <c r="IR68" i="1"/>
  <c r="IR121" i="1"/>
  <c r="IR24" i="1"/>
  <c r="IR30" i="1"/>
  <c r="IR40" i="1"/>
  <c r="IR35" i="1"/>
  <c r="IR29" i="1"/>
  <c r="IR37" i="1"/>
  <c r="IR28" i="1"/>
  <c r="IR19" i="1"/>
  <c r="IR33" i="1"/>
  <c r="IR109" i="1"/>
  <c r="IR64" i="1"/>
  <c r="IR63" i="1"/>
  <c r="IR77" i="1"/>
  <c r="IR115" i="1"/>
  <c r="IR31" i="1"/>
  <c r="IR41" i="1"/>
  <c r="IR191" i="1"/>
  <c r="IR85" i="1"/>
  <c r="IR62" i="1"/>
  <c r="IR36" i="1"/>
  <c r="IR32" i="1"/>
  <c r="IR34" i="1"/>
  <c r="IR93" i="1"/>
  <c r="IR117" i="1"/>
  <c r="IR154" i="1"/>
  <c r="IR107" i="1"/>
  <c r="IR98" i="1"/>
  <c r="IR138" i="1"/>
  <c r="IR75" i="1"/>
  <c r="IR122" i="1"/>
  <c r="IR84" i="1"/>
  <c r="IR116" i="1"/>
  <c r="IR186" i="1"/>
  <c r="IR89" i="1"/>
  <c r="IR70" i="1"/>
  <c r="IR61" i="1"/>
  <c r="IR74" i="1"/>
  <c r="IR88" i="1"/>
  <c r="IR73" i="1"/>
  <c r="IR111" i="1"/>
  <c r="IR87" i="1"/>
  <c r="IR82" i="1"/>
  <c r="IR53" i="1"/>
  <c r="IR175" i="1"/>
  <c r="IR55" i="1"/>
  <c r="IR51" i="1"/>
  <c r="IR157" i="1"/>
  <c r="IR158" i="1"/>
  <c r="IR83" i="1"/>
  <c r="IR91" i="1"/>
  <c r="IR105" i="1"/>
  <c r="IR103" i="1"/>
  <c r="IR188" i="1"/>
  <c r="IR163" i="1"/>
  <c r="IR101" i="1"/>
  <c r="IR65" i="1"/>
  <c r="IR60" i="1"/>
  <c r="IR80" i="1"/>
  <c r="IR56" i="1"/>
  <c r="IR57" i="1"/>
  <c r="IR25" i="1"/>
  <c r="IR104" i="1"/>
  <c r="IR66" i="1"/>
  <c r="IR58" i="1"/>
  <c r="IR155" i="1"/>
  <c r="IR156" i="1"/>
  <c r="IR134" i="1"/>
  <c r="IR92" i="1"/>
  <c r="IR67" i="1"/>
  <c r="IR126" i="1"/>
  <c r="IR145" i="1"/>
  <c r="IR135" i="1"/>
  <c r="IR159" i="1"/>
  <c r="IR76" i="1"/>
  <c r="IR114" i="1"/>
  <c r="IR161" i="1"/>
  <c r="IR160" i="1"/>
  <c r="IR95" i="1"/>
  <c r="IR120" i="1"/>
  <c r="IR42" i="1"/>
  <c r="IR183" i="1"/>
  <c r="IR112" i="1"/>
  <c r="IR148" i="1"/>
  <c r="IR179" i="1"/>
  <c r="IR128" i="1"/>
  <c r="IR144" i="1"/>
  <c r="IR110" i="1"/>
  <c r="IR81" i="1"/>
  <c r="IR100" i="1"/>
  <c r="IR123" i="1"/>
  <c r="IR86" i="1"/>
  <c r="IR174" i="1"/>
  <c r="IR201" i="1"/>
  <c r="IR90" i="1"/>
  <c r="IR102" i="1"/>
  <c r="IR94" i="1"/>
  <c r="IR119" i="1"/>
  <c r="IR141" i="1"/>
  <c r="IR147" i="1"/>
  <c r="IR165" i="1"/>
  <c r="IR132" i="1"/>
  <c r="IR189" i="1"/>
  <c r="IR133" i="1"/>
  <c r="IR206" i="1"/>
  <c r="IR78" i="1"/>
  <c r="IR143" i="1"/>
  <c r="IR150" i="1"/>
  <c r="IR130" i="1"/>
  <c r="IR96" i="1"/>
  <c r="IR182" i="1"/>
  <c r="IR195" i="1"/>
  <c r="IR178" i="1"/>
  <c r="IR181" i="1"/>
  <c r="IR194" i="1"/>
  <c r="IR208" i="1"/>
  <c r="IR129" i="1"/>
  <c r="IR180" i="1"/>
  <c r="IR140" i="1"/>
  <c r="IR125" i="1"/>
  <c r="IR131" i="1"/>
  <c r="IR173" i="1"/>
  <c r="IR184" i="1"/>
  <c r="IR190" i="1"/>
  <c r="IR142" i="1"/>
  <c r="IR69" i="1"/>
  <c r="IR151" i="1"/>
  <c r="IR193" i="1"/>
  <c r="IR169" i="1"/>
  <c r="IR166" i="1"/>
  <c r="IR97" i="1"/>
  <c r="IR79" i="1"/>
  <c r="IR146" i="1"/>
  <c r="IR204" i="1"/>
  <c r="IR113" i="1"/>
  <c r="IR172" i="1"/>
  <c r="IR171" i="1"/>
  <c r="IR185" i="1"/>
  <c r="IR137" i="1"/>
  <c r="IR205" i="1"/>
  <c r="IR177" i="1"/>
  <c r="IR199" i="1"/>
  <c r="IR106" i="1"/>
  <c r="IR203" i="1"/>
  <c r="IR124" i="1"/>
  <c r="IR170" i="1"/>
  <c r="IR152" i="1"/>
  <c r="IR118" i="1"/>
  <c r="IR198" i="1"/>
  <c r="IR200" i="1"/>
  <c r="IR136" i="1"/>
  <c r="IR108" i="1"/>
  <c r="IR149" i="1"/>
  <c r="IR187" i="1"/>
  <c r="IR168" i="1"/>
  <c r="IR162" i="1"/>
  <c r="IR139" i="1"/>
  <c r="IR196" i="1"/>
  <c r="IR153" i="1"/>
  <c r="IR197" i="1"/>
  <c r="IR176" i="1"/>
  <c r="IR202" i="1"/>
  <c r="IR167" i="1"/>
  <c r="IR207" i="1"/>
  <c r="IR192" i="1"/>
  <c r="IQ3" i="1"/>
  <c r="IQ2" i="1"/>
  <c r="IQ43" i="1"/>
  <c r="IQ71" i="1"/>
  <c r="IQ7" i="1"/>
  <c r="IQ164" i="1"/>
  <c r="IQ4" i="1"/>
  <c r="IQ99" i="1"/>
  <c r="IQ6" i="1"/>
  <c r="IQ8" i="1"/>
  <c r="IQ10" i="1"/>
  <c r="IQ9" i="1"/>
  <c r="IQ127" i="1"/>
  <c r="IQ11" i="1"/>
  <c r="IQ44" i="1"/>
  <c r="IQ39" i="1"/>
  <c r="IQ45" i="1"/>
  <c r="IQ16" i="1"/>
  <c r="IQ12" i="1"/>
  <c r="IQ48" i="1"/>
  <c r="IQ54" i="1"/>
  <c r="IQ47" i="1"/>
  <c r="IQ20" i="1"/>
  <c r="IQ50" i="1"/>
  <c r="IQ22" i="1"/>
  <c r="IQ49" i="1"/>
  <c r="IQ13" i="1"/>
  <c r="IQ26" i="1"/>
  <c r="IQ52" i="1"/>
  <c r="IQ46" i="1"/>
  <c r="IQ72" i="1"/>
  <c r="IQ5" i="1"/>
  <c r="IQ18" i="1"/>
  <c r="IQ23" i="1"/>
  <c r="IQ15" i="1"/>
  <c r="IQ14" i="1"/>
  <c r="IQ59" i="1"/>
  <c r="IQ38" i="1"/>
  <c r="IQ21" i="1"/>
  <c r="IQ27" i="1"/>
  <c r="IQ17" i="1"/>
  <c r="IQ68" i="1"/>
  <c r="IQ121" i="1"/>
  <c r="IQ24" i="1"/>
  <c r="IQ30" i="1"/>
  <c r="IQ40" i="1"/>
  <c r="IQ35" i="1"/>
  <c r="IQ29" i="1"/>
  <c r="IQ37" i="1"/>
  <c r="IQ28" i="1"/>
  <c r="IQ19" i="1"/>
  <c r="IQ33" i="1"/>
  <c r="IQ109" i="1"/>
  <c r="IQ64" i="1"/>
  <c r="IQ63" i="1"/>
  <c r="IQ77" i="1"/>
  <c r="IQ115" i="1"/>
  <c r="IQ31" i="1"/>
  <c r="IQ41" i="1"/>
  <c r="IQ191" i="1"/>
  <c r="IQ85" i="1"/>
  <c r="IQ62" i="1"/>
  <c r="IQ36" i="1"/>
  <c r="IQ32" i="1"/>
  <c r="IQ34" i="1"/>
  <c r="IQ93" i="1"/>
  <c r="IQ117" i="1"/>
  <c r="IQ154" i="1"/>
  <c r="IQ107" i="1"/>
  <c r="IQ98" i="1"/>
  <c r="IQ138" i="1"/>
  <c r="IQ75" i="1"/>
  <c r="IQ122" i="1"/>
  <c r="IQ84" i="1"/>
  <c r="IQ116" i="1"/>
  <c r="IQ186" i="1"/>
  <c r="IQ89" i="1"/>
  <c r="IQ70" i="1"/>
  <c r="IQ61" i="1"/>
  <c r="IQ74" i="1"/>
  <c r="IQ88" i="1"/>
  <c r="IQ73" i="1"/>
  <c r="IQ111" i="1"/>
  <c r="IQ87" i="1"/>
  <c r="IQ82" i="1"/>
  <c r="IQ53" i="1"/>
  <c r="IQ175" i="1"/>
  <c r="IQ55" i="1"/>
  <c r="IQ51" i="1"/>
  <c r="IQ157" i="1"/>
  <c r="IQ158" i="1"/>
  <c r="IQ83" i="1"/>
  <c r="IQ91" i="1"/>
  <c r="IQ105" i="1"/>
  <c r="IQ103" i="1"/>
  <c r="IQ188" i="1"/>
  <c r="IQ163" i="1"/>
  <c r="IQ101" i="1"/>
  <c r="IQ65" i="1"/>
  <c r="IQ60" i="1"/>
  <c r="IQ80" i="1"/>
  <c r="IQ56" i="1"/>
  <c r="IQ57" i="1"/>
  <c r="IQ25" i="1"/>
  <c r="IQ104" i="1"/>
  <c r="IQ66" i="1"/>
  <c r="IQ58" i="1"/>
  <c r="IQ155" i="1"/>
  <c r="IQ156" i="1"/>
  <c r="IQ134" i="1"/>
  <c r="IQ92" i="1"/>
  <c r="IQ67" i="1"/>
  <c r="IQ126" i="1"/>
  <c r="IQ145" i="1"/>
  <c r="IQ135" i="1"/>
  <c r="IQ159" i="1"/>
  <c r="IQ76" i="1"/>
  <c r="IQ114" i="1"/>
  <c r="IQ161" i="1"/>
  <c r="IQ160" i="1"/>
  <c r="IQ95" i="1"/>
  <c r="IQ120" i="1"/>
  <c r="IQ42" i="1"/>
  <c r="IQ183" i="1"/>
  <c r="IQ112" i="1"/>
  <c r="IQ148" i="1"/>
  <c r="IQ179" i="1"/>
  <c r="IQ128" i="1"/>
  <c r="IQ144" i="1"/>
  <c r="IQ110" i="1"/>
  <c r="IQ81" i="1"/>
  <c r="IQ100" i="1"/>
  <c r="IQ123" i="1"/>
  <c r="IQ86" i="1"/>
  <c r="IQ174" i="1"/>
  <c r="IQ201" i="1"/>
  <c r="IQ90" i="1"/>
  <c r="IQ102" i="1"/>
  <c r="IQ94" i="1"/>
  <c r="IQ119" i="1"/>
  <c r="IQ141" i="1"/>
  <c r="IQ147" i="1"/>
  <c r="IQ165" i="1"/>
  <c r="IQ132" i="1"/>
  <c r="IQ189" i="1"/>
  <c r="IQ133" i="1"/>
  <c r="IQ206" i="1"/>
  <c r="IQ78" i="1"/>
  <c r="IQ143" i="1"/>
  <c r="IQ150" i="1"/>
  <c r="IQ130" i="1"/>
  <c r="IQ96" i="1"/>
  <c r="IQ182" i="1"/>
  <c r="IQ195" i="1"/>
  <c r="IQ178" i="1"/>
  <c r="IQ181" i="1"/>
  <c r="IQ194" i="1"/>
  <c r="IQ208" i="1"/>
  <c r="IQ129" i="1"/>
  <c r="IQ180" i="1"/>
  <c r="IQ140" i="1"/>
  <c r="IQ125" i="1"/>
  <c r="IQ131" i="1"/>
  <c r="IQ173" i="1"/>
  <c r="IQ184" i="1"/>
  <c r="IQ190" i="1"/>
  <c r="IQ142" i="1"/>
  <c r="IQ69" i="1"/>
  <c r="IQ151" i="1"/>
  <c r="IQ193" i="1"/>
  <c r="IQ169" i="1"/>
  <c r="IQ166" i="1"/>
  <c r="IQ97" i="1"/>
  <c r="IQ79" i="1"/>
  <c r="IQ146" i="1"/>
  <c r="IQ204" i="1"/>
  <c r="IQ113" i="1"/>
  <c r="IQ172" i="1"/>
  <c r="IQ171" i="1"/>
  <c r="IQ185" i="1"/>
  <c r="IQ137" i="1"/>
  <c r="IQ205" i="1"/>
  <c r="IQ177" i="1"/>
  <c r="IQ199" i="1"/>
  <c r="IQ106" i="1"/>
  <c r="IQ203" i="1"/>
  <c r="IQ124" i="1"/>
  <c r="IQ170" i="1"/>
  <c r="IQ152" i="1"/>
  <c r="IQ118" i="1"/>
  <c r="IQ198" i="1"/>
  <c r="IQ200" i="1"/>
  <c r="IQ136" i="1"/>
  <c r="IQ108" i="1"/>
  <c r="IQ149" i="1"/>
  <c r="IQ187" i="1"/>
  <c r="IQ168" i="1"/>
  <c r="IQ162" i="1"/>
  <c r="IQ139" i="1"/>
  <c r="IQ196" i="1"/>
  <c r="IQ153" i="1"/>
  <c r="IQ197" i="1"/>
  <c r="IQ176" i="1"/>
  <c r="IQ202" i="1"/>
  <c r="IQ167" i="1"/>
  <c r="IQ207" i="1"/>
  <c r="IQ192" i="1"/>
  <c r="IN3" i="1"/>
  <c r="IN2" i="1"/>
  <c r="IN43" i="1"/>
  <c r="IN71" i="1"/>
  <c r="IN7" i="1"/>
  <c r="IN164" i="1"/>
  <c r="IN4" i="1"/>
  <c r="IN99" i="1"/>
  <c r="IN6" i="1"/>
  <c r="IN8" i="1"/>
  <c r="IN10" i="1"/>
  <c r="IN9" i="1"/>
  <c r="IN127" i="1"/>
  <c r="IN11" i="1"/>
  <c r="IN44" i="1"/>
  <c r="IN39" i="1"/>
  <c r="IN45" i="1"/>
  <c r="IN16" i="1"/>
  <c r="IN12" i="1"/>
  <c r="IN48" i="1"/>
  <c r="IN54" i="1"/>
  <c r="IN47" i="1"/>
  <c r="IN20" i="1"/>
  <c r="IN50" i="1"/>
  <c r="IN22" i="1"/>
  <c r="IN49" i="1"/>
  <c r="IN13" i="1"/>
  <c r="IN26" i="1"/>
  <c r="IN52" i="1"/>
  <c r="IN46" i="1"/>
  <c r="IN72" i="1"/>
  <c r="IN5" i="1"/>
  <c r="IN18" i="1"/>
  <c r="IN23" i="1"/>
  <c r="IN15" i="1"/>
  <c r="IN14" i="1"/>
  <c r="IN59" i="1"/>
  <c r="IN38" i="1"/>
  <c r="IN21" i="1"/>
  <c r="IN27" i="1"/>
  <c r="IN17" i="1"/>
  <c r="IN68" i="1"/>
  <c r="IN121" i="1"/>
  <c r="IN24" i="1"/>
  <c r="IN30" i="1"/>
  <c r="IN40" i="1"/>
  <c r="IN35" i="1"/>
  <c r="IN29" i="1"/>
  <c r="IN37" i="1"/>
  <c r="IN28" i="1"/>
  <c r="IN19" i="1"/>
  <c r="IN33" i="1"/>
  <c r="IN109" i="1"/>
  <c r="IN64" i="1"/>
  <c r="IN63" i="1"/>
  <c r="IN77" i="1"/>
  <c r="IN115" i="1"/>
  <c r="IN31" i="1"/>
  <c r="IN41" i="1"/>
  <c r="IN191" i="1"/>
  <c r="IN85" i="1"/>
  <c r="IN62" i="1"/>
  <c r="IN36" i="1"/>
  <c r="IN32" i="1"/>
  <c r="IN34" i="1"/>
  <c r="IN93" i="1"/>
  <c r="IN117" i="1"/>
  <c r="IN154" i="1"/>
  <c r="IN107" i="1"/>
  <c r="IN98" i="1"/>
  <c r="IN138" i="1"/>
  <c r="IN75" i="1"/>
  <c r="IN122" i="1"/>
  <c r="IN84" i="1"/>
  <c r="IN116" i="1"/>
  <c r="IN186" i="1"/>
  <c r="IN89" i="1"/>
  <c r="IN70" i="1"/>
  <c r="IN61" i="1"/>
  <c r="IN74" i="1"/>
  <c r="IN88" i="1"/>
  <c r="IN73" i="1"/>
  <c r="IN111" i="1"/>
  <c r="IN87" i="1"/>
  <c r="IN82" i="1"/>
  <c r="IN53" i="1"/>
  <c r="IN175" i="1"/>
  <c r="IN55" i="1"/>
  <c r="IN51" i="1"/>
  <c r="IN157" i="1"/>
  <c r="IN158" i="1"/>
  <c r="IN83" i="1"/>
  <c r="IN91" i="1"/>
  <c r="IN105" i="1"/>
  <c r="IN103" i="1"/>
  <c r="IN188" i="1"/>
  <c r="IN163" i="1"/>
  <c r="IN101" i="1"/>
  <c r="IN65" i="1"/>
  <c r="IN60" i="1"/>
  <c r="IN80" i="1"/>
  <c r="IN56" i="1"/>
  <c r="IN57" i="1"/>
  <c r="IN25" i="1"/>
  <c r="IN104" i="1"/>
  <c r="IN66" i="1"/>
  <c r="IN58" i="1"/>
  <c r="IN155" i="1"/>
  <c r="IN156" i="1"/>
  <c r="IN134" i="1"/>
  <c r="IN92" i="1"/>
  <c r="IN67" i="1"/>
  <c r="IN126" i="1"/>
  <c r="IN145" i="1"/>
  <c r="IN135" i="1"/>
  <c r="IN159" i="1"/>
  <c r="IN76" i="1"/>
  <c r="IN114" i="1"/>
  <c r="IN161" i="1"/>
  <c r="IN160" i="1"/>
  <c r="IN95" i="1"/>
  <c r="IN120" i="1"/>
  <c r="IN42" i="1"/>
  <c r="IN183" i="1"/>
  <c r="IN112" i="1"/>
  <c r="IN148" i="1"/>
  <c r="IN179" i="1"/>
  <c r="IN128" i="1"/>
  <c r="IN144" i="1"/>
  <c r="IN110" i="1"/>
  <c r="IN81" i="1"/>
  <c r="IN100" i="1"/>
  <c r="IN123" i="1"/>
  <c r="IN86" i="1"/>
  <c r="IN174" i="1"/>
  <c r="IN201" i="1"/>
  <c r="IN90" i="1"/>
  <c r="IN102" i="1"/>
  <c r="IN94" i="1"/>
  <c r="IN119" i="1"/>
  <c r="IN141" i="1"/>
  <c r="IN147" i="1"/>
  <c r="IN165" i="1"/>
  <c r="IN132" i="1"/>
  <c r="IN189" i="1"/>
  <c r="IN133" i="1"/>
  <c r="IN206" i="1"/>
  <c r="IN78" i="1"/>
  <c r="IN143" i="1"/>
  <c r="IN150" i="1"/>
  <c r="IN130" i="1"/>
  <c r="IN96" i="1"/>
  <c r="IN182" i="1"/>
  <c r="IN195" i="1"/>
  <c r="IN178" i="1"/>
  <c r="IN181" i="1"/>
  <c r="IN194" i="1"/>
  <c r="IN208" i="1"/>
  <c r="IN129" i="1"/>
  <c r="IN180" i="1"/>
  <c r="IN140" i="1"/>
  <c r="IN125" i="1"/>
  <c r="IN131" i="1"/>
  <c r="IN173" i="1"/>
  <c r="IN184" i="1"/>
  <c r="IN190" i="1"/>
  <c r="IN142" i="1"/>
  <c r="IN69" i="1"/>
  <c r="IN151" i="1"/>
  <c r="IN193" i="1"/>
  <c r="IN169" i="1"/>
  <c r="IN166" i="1"/>
  <c r="IN97" i="1"/>
  <c r="IN79" i="1"/>
  <c r="IN146" i="1"/>
  <c r="IN204" i="1"/>
  <c r="IN113" i="1"/>
  <c r="IN172" i="1"/>
  <c r="IN171" i="1"/>
  <c r="IN185" i="1"/>
  <c r="IN137" i="1"/>
  <c r="IN205" i="1"/>
  <c r="IN177" i="1"/>
  <c r="IN199" i="1"/>
  <c r="IN106" i="1"/>
  <c r="IN203" i="1"/>
  <c r="IN124" i="1"/>
  <c r="IN170" i="1"/>
  <c r="IN152" i="1"/>
  <c r="IN118" i="1"/>
  <c r="IN198" i="1"/>
  <c r="IN200" i="1"/>
  <c r="IN136" i="1"/>
  <c r="IN108" i="1"/>
  <c r="IN149" i="1"/>
  <c r="IN187" i="1"/>
  <c r="IN168" i="1"/>
  <c r="IN162" i="1"/>
  <c r="IN139" i="1"/>
  <c r="IN196" i="1"/>
  <c r="IN153" i="1"/>
  <c r="IN197" i="1"/>
  <c r="IN176" i="1"/>
  <c r="IN202" i="1"/>
  <c r="IN167" i="1"/>
  <c r="IN207" i="1"/>
  <c r="IN192" i="1"/>
  <c r="IP3" i="1"/>
  <c r="IP2" i="1"/>
  <c r="IP43" i="1"/>
  <c r="IP71" i="1"/>
  <c r="IP7" i="1"/>
  <c r="IP164" i="1"/>
  <c r="IP4" i="1"/>
  <c r="IP99" i="1"/>
  <c r="IP6" i="1"/>
  <c r="IP8" i="1"/>
  <c r="IP10" i="1"/>
  <c r="IP9" i="1"/>
  <c r="IP127" i="1"/>
  <c r="IP11" i="1"/>
  <c r="IP44" i="1"/>
  <c r="IP39" i="1"/>
  <c r="IP45" i="1"/>
  <c r="IP16" i="1"/>
  <c r="IP12" i="1"/>
  <c r="IP48" i="1"/>
  <c r="IP54" i="1"/>
  <c r="IP47" i="1"/>
  <c r="IP20" i="1"/>
  <c r="IP50" i="1"/>
  <c r="IP22" i="1"/>
  <c r="IP49" i="1"/>
  <c r="IP13" i="1"/>
  <c r="IP26" i="1"/>
  <c r="IP52" i="1"/>
  <c r="IP46" i="1"/>
  <c r="IP72" i="1"/>
  <c r="IP5" i="1"/>
  <c r="IP18" i="1"/>
  <c r="IP23" i="1"/>
  <c r="IP15" i="1"/>
  <c r="IP14" i="1"/>
  <c r="IP59" i="1"/>
  <c r="IP38" i="1"/>
  <c r="IP21" i="1"/>
  <c r="IP27" i="1"/>
  <c r="IP17" i="1"/>
  <c r="IP68" i="1"/>
  <c r="IP121" i="1"/>
  <c r="IP24" i="1"/>
  <c r="IP30" i="1"/>
  <c r="IP40" i="1"/>
  <c r="IP35" i="1"/>
  <c r="IP29" i="1"/>
  <c r="IP37" i="1"/>
  <c r="IP28" i="1"/>
  <c r="IP19" i="1"/>
  <c r="IP33" i="1"/>
  <c r="IP109" i="1"/>
  <c r="IP64" i="1"/>
  <c r="IP63" i="1"/>
  <c r="IP77" i="1"/>
  <c r="IP115" i="1"/>
  <c r="IP31" i="1"/>
  <c r="IP41" i="1"/>
  <c r="IP191" i="1"/>
  <c r="IP85" i="1"/>
  <c r="IP62" i="1"/>
  <c r="IP36" i="1"/>
  <c r="IP32" i="1"/>
  <c r="IP34" i="1"/>
  <c r="IP93" i="1"/>
  <c r="IP117" i="1"/>
  <c r="IP154" i="1"/>
  <c r="IP107" i="1"/>
  <c r="IP98" i="1"/>
  <c r="IP138" i="1"/>
  <c r="IP75" i="1"/>
  <c r="IP122" i="1"/>
  <c r="IP84" i="1"/>
  <c r="IP116" i="1"/>
  <c r="IP186" i="1"/>
  <c r="IP89" i="1"/>
  <c r="IP70" i="1"/>
  <c r="IP61" i="1"/>
  <c r="IP74" i="1"/>
  <c r="IP88" i="1"/>
  <c r="IP73" i="1"/>
  <c r="IP111" i="1"/>
  <c r="IP87" i="1"/>
  <c r="IP82" i="1"/>
  <c r="IP53" i="1"/>
  <c r="IP175" i="1"/>
  <c r="IP55" i="1"/>
  <c r="IP51" i="1"/>
  <c r="IP157" i="1"/>
  <c r="IP158" i="1"/>
  <c r="IP83" i="1"/>
  <c r="IP91" i="1"/>
  <c r="IP105" i="1"/>
  <c r="IP103" i="1"/>
  <c r="IP188" i="1"/>
  <c r="IP163" i="1"/>
  <c r="IP101" i="1"/>
  <c r="IP65" i="1"/>
  <c r="IP60" i="1"/>
  <c r="IP80" i="1"/>
  <c r="IP56" i="1"/>
  <c r="IP57" i="1"/>
  <c r="IP25" i="1"/>
  <c r="IP104" i="1"/>
  <c r="IP66" i="1"/>
  <c r="IP58" i="1"/>
  <c r="IP155" i="1"/>
  <c r="IP156" i="1"/>
  <c r="IP134" i="1"/>
  <c r="IP92" i="1"/>
  <c r="IP67" i="1"/>
  <c r="IP126" i="1"/>
  <c r="IP145" i="1"/>
  <c r="IP135" i="1"/>
  <c r="IP159" i="1"/>
  <c r="IP76" i="1"/>
  <c r="IP114" i="1"/>
  <c r="IP161" i="1"/>
  <c r="IP160" i="1"/>
  <c r="IP95" i="1"/>
  <c r="IP120" i="1"/>
  <c r="IP42" i="1"/>
  <c r="IP183" i="1"/>
  <c r="IP112" i="1"/>
  <c r="IP148" i="1"/>
  <c r="IP179" i="1"/>
  <c r="IP128" i="1"/>
  <c r="IP144" i="1"/>
  <c r="IP110" i="1"/>
  <c r="IP81" i="1"/>
  <c r="IP100" i="1"/>
  <c r="IP123" i="1"/>
  <c r="IP86" i="1"/>
  <c r="IP174" i="1"/>
  <c r="IP201" i="1"/>
  <c r="IP90" i="1"/>
  <c r="IP102" i="1"/>
  <c r="IP94" i="1"/>
  <c r="IP119" i="1"/>
  <c r="IP141" i="1"/>
  <c r="IP147" i="1"/>
  <c r="IP165" i="1"/>
  <c r="IP132" i="1"/>
  <c r="IP189" i="1"/>
  <c r="IP133" i="1"/>
  <c r="IP206" i="1"/>
  <c r="IP78" i="1"/>
  <c r="IP143" i="1"/>
  <c r="IP150" i="1"/>
  <c r="IP130" i="1"/>
  <c r="IP96" i="1"/>
  <c r="IP182" i="1"/>
  <c r="IP195" i="1"/>
  <c r="IP178" i="1"/>
  <c r="IP181" i="1"/>
  <c r="IP194" i="1"/>
  <c r="IP208" i="1"/>
  <c r="IP129" i="1"/>
  <c r="IP180" i="1"/>
  <c r="IP140" i="1"/>
  <c r="IP125" i="1"/>
  <c r="IP131" i="1"/>
  <c r="IP173" i="1"/>
  <c r="IP184" i="1"/>
  <c r="IP190" i="1"/>
  <c r="IP142" i="1"/>
  <c r="IP69" i="1"/>
  <c r="IP151" i="1"/>
  <c r="IP193" i="1"/>
  <c r="IP169" i="1"/>
  <c r="IP166" i="1"/>
  <c r="IP97" i="1"/>
  <c r="IP79" i="1"/>
  <c r="IP146" i="1"/>
  <c r="IP204" i="1"/>
  <c r="IP113" i="1"/>
  <c r="IP172" i="1"/>
  <c r="IP171" i="1"/>
  <c r="IP185" i="1"/>
  <c r="IP137" i="1"/>
  <c r="IP205" i="1"/>
  <c r="IP177" i="1"/>
  <c r="IP199" i="1"/>
  <c r="IP106" i="1"/>
  <c r="IP203" i="1"/>
  <c r="IP124" i="1"/>
  <c r="IP170" i="1"/>
  <c r="IP152" i="1"/>
  <c r="IP118" i="1"/>
  <c r="IP198" i="1"/>
  <c r="IP200" i="1"/>
  <c r="IP136" i="1"/>
  <c r="IP108" i="1"/>
  <c r="IP149" i="1"/>
  <c r="IP187" i="1"/>
  <c r="IP168" i="1"/>
  <c r="IP162" i="1"/>
  <c r="IP139" i="1"/>
  <c r="IP196" i="1"/>
  <c r="IP153" i="1"/>
  <c r="IP197" i="1"/>
  <c r="IP176" i="1"/>
  <c r="IP202" i="1"/>
  <c r="IP167" i="1"/>
  <c r="IP207" i="1"/>
  <c r="IP192" i="1"/>
  <c r="IO3" i="1"/>
  <c r="IO2" i="1"/>
  <c r="IO43" i="1"/>
  <c r="IO71" i="1"/>
  <c r="IO7" i="1"/>
  <c r="IO164" i="1"/>
  <c r="IO4" i="1"/>
  <c r="IO99" i="1"/>
  <c r="IO6" i="1"/>
  <c r="IO8" i="1"/>
  <c r="IO10" i="1"/>
  <c r="IO9" i="1"/>
  <c r="IO127" i="1"/>
  <c r="IO11" i="1"/>
  <c r="IO44" i="1"/>
  <c r="IO39" i="1"/>
  <c r="IO45" i="1"/>
  <c r="IO16" i="1"/>
  <c r="IO12" i="1"/>
  <c r="IO48" i="1"/>
  <c r="IO54" i="1"/>
  <c r="IO47" i="1"/>
  <c r="IO20" i="1"/>
  <c r="IO50" i="1"/>
  <c r="IO22" i="1"/>
  <c r="IO49" i="1"/>
  <c r="IO13" i="1"/>
  <c r="IO26" i="1"/>
  <c r="IO52" i="1"/>
  <c r="IO46" i="1"/>
  <c r="IO72" i="1"/>
  <c r="IO5" i="1"/>
  <c r="IO18" i="1"/>
  <c r="IO23" i="1"/>
  <c r="IO15" i="1"/>
  <c r="IO14" i="1"/>
  <c r="IO59" i="1"/>
  <c r="IO38" i="1"/>
  <c r="IO21" i="1"/>
  <c r="IO27" i="1"/>
  <c r="IO17" i="1"/>
  <c r="IO68" i="1"/>
  <c r="IO121" i="1"/>
  <c r="IO24" i="1"/>
  <c r="IO30" i="1"/>
  <c r="IO40" i="1"/>
  <c r="IO35" i="1"/>
  <c r="IO29" i="1"/>
  <c r="IO37" i="1"/>
  <c r="IO28" i="1"/>
  <c r="IO19" i="1"/>
  <c r="IO33" i="1"/>
  <c r="IO109" i="1"/>
  <c r="IO64" i="1"/>
  <c r="IO63" i="1"/>
  <c r="IO77" i="1"/>
  <c r="IO115" i="1"/>
  <c r="IO31" i="1"/>
  <c r="IO41" i="1"/>
  <c r="IO191" i="1"/>
  <c r="IO85" i="1"/>
  <c r="IO62" i="1"/>
  <c r="IO36" i="1"/>
  <c r="IO32" i="1"/>
  <c r="IO34" i="1"/>
  <c r="IO93" i="1"/>
  <c r="IO117" i="1"/>
  <c r="IO154" i="1"/>
  <c r="IO107" i="1"/>
  <c r="IO98" i="1"/>
  <c r="IO138" i="1"/>
  <c r="IO75" i="1"/>
  <c r="IO122" i="1"/>
  <c r="IO84" i="1"/>
  <c r="IO116" i="1"/>
  <c r="IO186" i="1"/>
  <c r="IO89" i="1"/>
  <c r="IO70" i="1"/>
  <c r="IO61" i="1"/>
  <c r="IO74" i="1"/>
  <c r="IO88" i="1"/>
  <c r="IO73" i="1"/>
  <c r="IO111" i="1"/>
  <c r="IO87" i="1"/>
  <c r="IO82" i="1"/>
  <c r="IO53" i="1"/>
  <c r="IO175" i="1"/>
  <c r="IO55" i="1"/>
  <c r="IO51" i="1"/>
  <c r="IO157" i="1"/>
  <c r="IO158" i="1"/>
  <c r="IO83" i="1"/>
  <c r="IO91" i="1"/>
  <c r="IO105" i="1"/>
  <c r="IO103" i="1"/>
  <c r="IO188" i="1"/>
  <c r="IO163" i="1"/>
  <c r="IO101" i="1"/>
  <c r="IO65" i="1"/>
  <c r="IO60" i="1"/>
  <c r="IO80" i="1"/>
  <c r="IO56" i="1"/>
  <c r="IO57" i="1"/>
  <c r="IO25" i="1"/>
  <c r="IO104" i="1"/>
  <c r="IO66" i="1"/>
  <c r="IO58" i="1"/>
  <c r="IO155" i="1"/>
  <c r="IO156" i="1"/>
  <c r="IO134" i="1"/>
  <c r="IO92" i="1"/>
  <c r="IO67" i="1"/>
  <c r="IO126" i="1"/>
  <c r="IO145" i="1"/>
  <c r="IO135" i="1"/>
  <c r="IO159" i="1"/>
  <c r="IO76" i="1"/>
  <c r="IO114" i="1"/>
  <c r="IO161" i="1"/>
  <c r="IO160" i="1"/>
  <c r="IO95" i="1"/>
  <c r="IO120" i="1"/>
  <c r="IO42" i="1"/>
  <c r="IO183" i="1"/>
  <c r="IO112" i="1"/>
  <c r="IO148" i="1"/>
  <c r="IO179" i="1"/>
  <c r="IO128" i="1"/>
  <c r="IO144" i="1"/>
  <c r="IO110" i="1"/>
  <c r="IO81" i="1"/>
  <c r="IO100" i="1"/>
  <c r="IO123" i="1"/>
  <c r="IO86" i="1"/>
  <c r="IO174" i="1"/>
  <c r="IO201" i="1"/>
  <c r="IO90" i="1"/>
  <c r="IO102" i="1"/>
  <c r="IO94" i="1"/>
  <c r="IO119" i="1"/>
  <c r="IO141" i="1"/>
  <c r="IO147" i="1"/>
  <c r="IO165" i="1"/>
  <c r="IO132" i="1"/>
  <c r="IO189" i="1"/>
  <c r="IO133" i="1"/>
  <c r="IO206" i="1"/>
  <c r="IO78" i="1"/>
  <c r="IO143" i="1"/>
  <c r="IO150" i="1"/>
  <c r="IO130" i="1"/>
  <c r="IO96" i="1"/>
  <c r="IO182" i="1"/>
  <c r="IO195" i="1"/>
  <c r="IO178" i="1"/>
  <c r="IO181" i="1"/>
  <c r="IO194" i="1"/>
  <c r="IO208" i="1"/>
  <c r="IO129" i="1"/>
  <c r="IO180" i="1"/>
  <c r="IO140" i="1"/>
  <c r="IO125" i="1"/>
  <c r="IO131" i="1"/>
  <c r="IO173" i="1"/>
  <c r="IO184" i="1"/>
  <c r="IO190" i="1"/>
  <c r="IO142" i="1"/>
  <c r="IO69" i="1"/>
  <c r="IO151" i="1"/>
  <c r="IO193" i="1"/>
  <c r="IO169" i="1"/>
  <c r="IO166" i="1"/>
  <c r="IO97" i="1"/>
  <c r="IO79" i="1"/>
  <c r="IO146" i="1"/>
  <c r="IO204" i="1"/>
  <c r="IO113" i="1"/>
  <c r="IO172" i="1"/>
  <c r="IO171" i="1"/>
  <c r="IO185" i="1"/>
  <c r="IO137" i="1"/>
  <c r="IO205" i="1"/>
  <c r="IO177" i="1"/>
  <c r="IO199" i="1"/>
  <c r="IO106" i="1"/>
  <c r="IO203" i="1"/>
  <c r="IO124" i="1"/>
  <c r="IO170" i="1"/>
  <c r="IO152" i="1"/>
  <c r="IO118" i="1"/>
  <c r="IO198" i="1"/>
  <c r="IO200" i="1"/>
  <c r="IO136" i="1"/>
  <c r="IO108" i="1"/>
  <c r="IO149" i="1"/>
  <c r="IO187" i="1"/>
  <c r="IO168" i="1"/>
  <c r="IO162" i="1"/>
  <c r="IO139" i="1"/>
  <c r="IO196" i="1"/>
  <c r="IO153" i="1"/>
  <c r="IO197" i="1"/>
  <c r="IO176" i="1"/>
  <c r="IO202" i="1"/>
  <c r="IO167" i="1"/>
  <c r="IO207" i="1"/>
  <c r="IO192" i="1"/>
  <c r="IM3" i="1"/>
  <c r="IM2" i="1"/>
  <c r="IM43" i="1"/>
  <c r="IM71" i="1"/>
  <c r="IM7" i="1"/>
  <c r="IM164" i="1"/>
  <c r="IM4" i="1"/>
  <c r="IM99" i="1"/>
  <c r="IM6" i="1"/>
  <c r="IM8" i="1"/>
  <c r="IM10" i="1"/>
  <c r="IM9" i="1"/>
  <c r="IM127" i="1"/>
  <c r="IM11" i="1"/>
  <c r="IM44" i="1"/>
  <c r="IM39" i="1"/>
  <c r="IM45" i="1"/>
  <c r="IM16" i="1"/>
  <c r="IM12" i="1"/>
  <c r="IM48" i="1"/>
  <c r="IM54" i="1"/>
  <c r="IM47" i="1"/>
  <c r="IM20" i="1"/>
  <c r="IM50" i="1"/>
  <c r="IM22" i="1"/>
  <c r="IM49" i="1"/>
  <c r="IM13" i="1"/>
  <c r="IM26" i="1"/>
  <c r="IM52" i="1"/>
  <c r="IM46" i="1"/>
  <c r="IM72" i="1"/>
  <c r="IM5" i="1"/>
  <c r="IM18" i="1"/>
  <c r="IM23" i="1"/>
  <c r="IM15" i="1"/>
  <c r="IM14" i="1"/>
  <c r="IM59" i="1"/>
  <c r="IM38" i="1"/>
  <c r="IM21" i="1"/>
  <c r="IM27" i="1"/>
  <c r="IM17" i="1"/>
  <c r="IM68" i="1"/>
  <c r="IM121" i="1"/>
  <c r="IM24" i="1"/>
  <c r="IM30" i="1"/>
  <c r="IM40" i="1"/>
  <c r="IM35" i="1"/>
  <c r="IM29" i="1"/>
  <c r="IM37" i="1"/>
  <c r="IM28" i="1"/>
  <c r="IM19" i="1"/>
  <c r="IM33" i="1"/>
  <c r="IM109" i="1"/>
  <c r="IM64" i="1"/>
  <c r="IM63" i="1"/>
  <c r="IM77" i="1"/>
  <c r="IM115" i="1"/>
  <c r="IM31" i="1"/>
  <c r="IM41" i="1"/>
  <c r="IM191" i="1"/>
  <c r="IM85" i="1"/>
  <c r="IM62" i="1"/>
  <c r="IM36" i="1"/>
  <c r="IM32" i="1"/>
  <c r="IM34" i="1"/>
  <c r="IM93" i="1"/>
  <c r="IM117" i="1"/>
  <c r="IM154" i="1"/>
  <c r="IM107" i="1"/>
  <c r="IM98" i="1"/>
  <c r="IM138" i="1"/>
  <c r="IM75" i="1"/>
  <c r="IM122" i="1"/>
  <c r="IM84" i="1"/>
  <c r="IM116" i="1"/>
  <c r="IM186" i="1"/>
  <c r="IM89" i="1"/>
  <c r="IM70" i="1"/>
  <c r="IM61" i="1"/>
  <c r="IM74" i="1"/>
  <c r="IM88" i="1"/>
  <c r="IM73" i="1"/>
  <c r="IM111" i="1"/>
  <c r="IM87" i="1"/>
  <c r="IM82" i="1"/>
  <c r="IM53" i="1"/>
  <c r="IM175" i="1"/>
  <c r="IM55" i="1"/>
  <c r="IM51" i="1"/>
  <c r="IM157" i="1"/>
  <c r="IM158" i="1"/>
  <c r="IM83" i="1"/>
  <c r="IM91" i="1"/>
  <c r="IM105" i="1"/>
  <c r="IM103" i="1"/>
  <c r="IM188" i="1"/>
  <c r="IM163" i="1"/>
  <c r="IM101" i="1"/>
  <c r="IM65" i="1"/>
  <c r="IM60" i="1"/>
  <c r="IM80" i="1"/>
  <c r="IM56" i="1"/>
  <c r="IM57" i="1"/>
  <c r="IM25" i="1"/>
  <c r="IM104" i="1"/>
  <c r="IM66" i="1"/>
  <c r="IM58" i="1"/>
  <c r="IM155" i="1"/>
  <c r="IM156" i="1"/>
  <c r="IM134" i="1"/>
  <c r="IM92" i="1"/>
  <c r="IM67" i="1"/>
  <c r="IM126" i="1"/>
  <c r="IM145" i="1"/>
  <c r="IM135" i="1"/>
  <c r="IM159" i="1"/>
  <c r="IM76" i="1"/>
  <c r="IM114" i="1"/>
  <c r="IM161" i="1"/>
  <c r="IM160" i="1"/>
  <c r="IM95" i="1"/>
  <c r="IM120" i="1"/>
  <c r="IM42" i="1"/>
  <c r="IM183" i="1"/>
  <c r="IM112" i="1"/>
  <c r="IM148" i="1"/>
  <c r="IM179" i="1"/>
  <c r="IM128" i="1"/>
  <c r="IM144" i="1"/>
  <c r="IM110" i="1"/>
  <c r="IM81" i="1"/>
  <c r="IM100" i="1"/>
  <c r="IM123" i="1"/>
  <c r="IM86" i="1"/>
  <c r="IM174" i="1"/>
  <c r="IM201" i="1"/>
  <c r="IM90" i="1"/>
  <c r="IM102" i="1"/>
  <c r="IM94" i="1"/>
  <c r="IM119" i="1"/>
  <c r="IM141" i="1"/>
  <c r="IM147" i="1"/>
  <c r="IM165" i="1"/>
  <c r="IM132" i="1"/>
  <c r="IM189" i="1"/>
  <c r="IM133" i="1"/>
  <c r="IM206" i="1"/>
  <c r="IM78" i="1"/>
  <c r="IM143" i="1"/>
  <c r="IM150" i="1"/>
  <c r="IM130" i="1"/>
  <c r="IM96" i="1"/>
  <c r="IM182" i="1"/>
  <c r="IM195" i="1"/>
  <c r="IM178" i="1"/>
  <c r="IM181" i="1"/>
  <c r="IM194" i="1"/>
  <c r="IM208" i="1"/>
  <c r="IM129" i="1"/>
  <c r="IM180" i="1"/>
  <c r="IM140" i="1"/>
  <c r="IM125" i="1"/>
  <c r="IM131" i="1"/>
  <c r="IM173" i="1"/>
  <c r="IM184" i="1"/>
  <c r="IM190" i="1"/>
  <c r="IM142" i="1"/>
  <c r="IM69" i="1"/>
  <c r="IM151" i="1"/>
  <c r="IM193" i="1"/>
  <c r="IM169" i="1"/>
  <c r="IM166" i="1"/>
  <c r="IM97" i="1"/>
  <c r="IM79" i="1"/>
  <c r="IM146" i="1"/>
  <c r="IM204" i="1"/>
  <c r="IM113" i="1"/>
  <c r="IM172" i="1"/>
  <c r="IM171" i="1"/>
  <c r="IM185" i="1"/>
  <c r="IM137" i="1"/>
  <c r="IM205" i="1"/>
  <c r="IM177" i="1"/>
  <c r="IM199" i="1"/>
  <c r="IM106" i="1"/>
  <c r="IM203" i="1"/>
  <c r="IM124" i="1"/>
  <c r="IM170" i="1"/>
  <c r="IM152" i="1"/>
  <c r="IM118" i="1"/>
  <c r="IM198" i="1"/>
  <c r="IM200" i="1"/>
  <c r="IM136" i="1"/>
  <c r="IM108" i="1"/>
  <c r="IM149" i="1"/>
  <c r="IM187" i="1"/>
  <c r="IM168" i="1"/>
  <c r="IM162" i="1"/>
  <c r="IM139" i="1"/>
  <c r="IM196" i="1"/>
  <c r="IM153" i="1"/>
  <c r="IM197" i="1"/>
  <c r="IM176" i="1"/>
  <c r="IM202" i="1"/>
  <c r="IM167" i="1"/>
  <c r="IM207" i="1"/>
  <c r="IM192" i="1"/>
  <c r="IL3" i="1"/>
  <c r="IL2" i="1"/>
  <c r="IL43" i="1"/>
  <c r="IL71" i="1"/>
  <c r="IL7" i="1"/>
  <c r="IL164" i="1"/>
  <c r="IL4" i="1"/>
  <c r="IL99" i="1"/>
  <c r="IL6" i="1"/>
  <c r="IL8" i="1"/>
  <c r="IL10" i="1"/>
  <c r="IL9" i="1"/>
  <c r="IL127" i="1"/>
  <c r="IL11" i="1"/>
  <c r="IL44" i="1"/>
  <c r="IL39" i="1"/>
  <c r="IL45" i="1"/>
  <c r="IL16" i="1"/>
  <c r="IL12" i="1"/>
  <c r="IL48" i="1"/>
  <c r="IL54" i="1"/>
  <c r="IL47" i="1"/>
  <c r="IL20" i="1"/>
  <c r="IL50" i="1"/>
  <c r="IL22" i="1"/>
  <c r="IL49" i="1"/>
  <c r="IL13" i="1"/>
  <c r="IL26" i="1"/>
  <c r="IL52" i="1"/>
  <c r="IL46" i="1"/>
  <c r="IL72" i="1"/>
  <c r="IL5" i="1"/>
  <c r="IL18" i="1"/>
  <c r="IL23" i="1"/>
  <c r="IL15" i="1"/>
  <c r="IL14" i="1"/>
  <c r="IL59" i="1"/>
  <c r="IL38" i="1"/>
  <c r="IL21" i="1"/>
  <c r="IL27" i="1"/>
  <c r="IL17" i="1"/>
  <c r="IL68" i="1"/>
  <c r="IL121" i="1"/>
  <c r="IL24" i="1"/>
  <c r="IL30" i="1"/>
  <c r="IL40" i="1"/>
  <c r="IL35" i="1"/>
  <c r="IL29" i="1"/>
  <c r="IL37" i="1"/>
  <c r="IL28" i="1"/>
  <c r="IL19" i="1"/>
  <c r="IL33" i="1"/>
  <c r="IL109" i="1"/>
  <c r="IL64" i="1"/>
  <c r="IL63" i="1"/>
  <c r="IL77" i="1"/>
  <c r="IL115" i="1"/>
  <c r="IL31" i="1"/>
  <c r="IL41" i="1"/>
  <c r="IL191" i="1"/>
  <c r="IL85" i="1"/>
  <c r="IL62" i="1"/>
  <c r="IL36" i="1"/>
  <c r="IL32" i="1"/>
  <c r="IL34" i="1"/>
  <c r="IL93" i="1"/>
  <c r="IL117" i="1"/>
  <c r="IL154" i="1"/>
  <c r="IL107" i="1"/>
  <c r="IL98" i="1"/>
  <c r="IL138" i="1"/>
  <c r="IL75" i="1"/>
  <c r="IL122" i="1"/>
  <c r="IL84" i="1"/>
  <c r="IL116" i="1"/>
  <c r="IL186" i="1"/>
  <c r="IL89" i="1"/>
  <c r="IL70" i="1"/>
  <c r="IL61" i="1"/>
  <c r="IL74" i="1"/>
  <c r="IL88" i="1"/>
  <c r="IL73" i="1"/>
  <c r="IL111" i="1"/>
  <c r="IL87" i="1"/>
  <c r="IL82" i="1"/>
  <c r="IL53" i="1"/>
  <c r="IL175" i="1"/>
  <c r="IL55" i="1"/>
  <c r="IL51" i="1"/>
  <c r="IL157" i="1"/>
  <c r="IL158" i="1"/>
  <c r="IL83" i="1"/>
  <c r="IL91" i="1"/>
  <c r="IL105" i="1"/>
  <c r="IL103" i="1"/>
  <c r="IL188" i="1"/>
  <c r="IL163" i="1"/>
  <c r="IL101" i="1"/>
  <c r="IL65" i="1"/>
  <c r="IL60" i="1"/>
  <c r="IL80" i="1"/>
  <c r="IL56" i="1"/>
  <c r="IL57" i="1"/>
  <c r="IL25" i="1"/>
  <c r="IL104" i="1"/>
  <c r="IL66" i="1"/>
  <c r="IL58" i="1"/>
  <c r="IL155" i="1"/>
  <c r="IL156" i="1"/>
  <c r="IL134" i="1"/>
  <c r="IL92" i="1"/>
  <c r="IL67" i="1"/>
  <c r="IL126" i="1"/>
  <c r="IL145" i="1"/>
  <c r="IL135" i="1"/>
  <c r="IL159" i="1"/>
  <c r="IL76" i="1"/>
  <c r="IL114" i="1"/>
  <c r="IL161" i="1"/>
  <c r="IL160" i="1"/>
  <c r="IL95" i="1"/>
  <c r="IL120" i="1"/>
  <c r="IL42" i="1"/>
  <c r="IL183" i="1"/>
  <c r="IL112" i="1"/>
  <c r="IL148" i="1"/>
  <c r="IL179" i="1"/>
  <c r="IL128" i="1"/>
  <c r="IL144" i="1"/>
  <c r="IL110" i="1"/>
  <c r="IL81" i="1"/>
  <c r="IL100" i="1"/>
  <c r="IL123" i="1"/>
  <c r="IL86" i="1"/>
  <c r="IL174" i="1"/>
  <c r="IL201" i="1"/>
  <c r="IL90" i="1"/>
  <c r="IL102" i="1"/>
  <c r="IL94" i="1"/>
  <c r="IL119" i="1"/>
  <c r="IL141" i="1"/>
  <c r="IL147" i="1"/>
  <c r="IL165" i="1"/>
  <c r="IL132" i="1"/>
  <c r="IL189" i="1"/>
  <c r="IL133" i="1"/>
  <c r="IL206" i="1"/>
  <c r="IL78" i="1"/>
  <c r="IL143" i="1"/>
  <c r="IL150" i="1"/>
  <c r="IL130" i="1"/>
  <c r="IL96" i="1"/>
  <c r="IL182" i="1"/>
  <c r="IL195" i="1"/>
  <c r="IL178" i="1"/>
  <c r="IL181" i="1"/>
  <c r="IL194" i="1"/>
  <c r="IL208" i="1"/>
  <c r="IL129" i="1"/>
  <c r="IL180" i="1"/>
  <c r="IL140" i="1"/>
  <c r="IL125" i="1"/>
  <c r="IL131" i="1"/>
  <c r="IL173" i="1"/>
  <c r="IL184" i="1"/>
  <c r="IL190" i="1"/>
  <c r="IL142" i="1"/>
  <c r="IL69" i="1"/>
  <c r="IL151" i="1"/>
  <c r="IL193" i="1"/>
  <c r="IL169" i="1"/>
  <c r="IL166" i="1"/>
  <c r="IL97" i="1"/>
  <c r="IL79" i="1"/>
  <c r="IL146" i="1"/>
  <c r="IL204" i="1"/>
  <c r="IL113" i="1"/>
  <c r="IL172" i="1"/>
  <c r="IL171" i="1"/>
  <c r="IL185" i="1"/>
  <c r="IL137" i="1"/>
  <c r="IL205" i="1"/>
  <c r="IL177" i="1"/>
  <c r="IL199" i="1"/>
  <c r="IL106" i="1"/>
  <c r="IL203" i="1"/>
  <c r="IL124" i="1"/>
  <c r="IL170" i="1"/>
  <c r="IL152" i="1"/>
  <c r="IL118" i="1"/>
  <c r="IL198" i="1"/>
  <c r="IL200" i="1"/>
  <c r="IL136" i="1"/>
  <c r="IL108" i="1"/>
  <c r="IL149" i="1"/>
  <c r="IL187" i="1"/>
  <c r="IL168" i="1"/>
  <c r="IL162" i="1"/>
  <c r="IL139" i="1"/>
  <c r="IL196" i="1"/>
  <c r="IL153" i="1"/>
  <c r="IL197" i="1"/>
  <c r="IL176" i="1"/>
  <c r="IL202" i="1"/>
  <c r="IL167" i="1"/>
  <c r="IL207" i="1"/>
  <c r="IL192" i="1"/>
  <c r="IK3" i="1"/>
  <c r="IK2" i="1"/>
  <c r="IK43" i="1"/>
  <c r="IK71" i="1"/>
  <c r="IK7" i="1"/>
  <c r="IK164" i="1"/>
  <c r="IK4" i="1"/>
  <c r="IK99" i="1"/>
  <c r="IK6" i="1"/>
  <c r="IK8" i="1"/>
  <c r="IK10" i="1"/>
  <c r="IK9" i="1"/>
  <c r="IK127" i="1"/>
  <c r="IK11" i="1"/>
  <c r="IK44" i="1"/>
  <c r="IK39" i="1"/>
  <c r="IK45" i="1"/>
  <c r="IK16" i="1"/>
  <c r="IK12" i="1"/>
  <c r="IK48" i="1"/>
  <c r="IK54" i="1"/>
  <c r="IK47" i="1"/>
  <c r="IK20" i="1"/>
  <c r="IK50" i="1"/>
  <c r="IK22" i="1"/>
  <c r="IK49" i="1"/>
  <c r="IK13" i="1"/>
  <c r="IK26" i="1"/>
  <c r="IK52" i="1"/>
  <c r="IK46" i="1"/>
  <c r="IK72" i="1"/>
  <c r="IK5" i="1"/>
  <c r="IK18" i="1"/>
  <c r="IK23" i="1"/>
  <c r="IK15" i="1"/>
  <c r="IK14" i="1"/>
  <c r="IK59" i="1"/>
  <c r="IK38" i="1"/>
  <c r="IK21" i="1"/>
  <c r="IK27" i="1"/>
  <c r="IK17" i="1"/>
  <c r="IK68" i="1"/>
  <c r="IK121" i="1"/>
  <c r="IK24" i="1"/>
  <c r="IK30" i="1"/>
  <c r="IK40" i="1"/>
  <c r="IK35" i="1"/>
  <c r="IK29" i="1"/>
  <c r="IK37" i="1"/>
  <c r="IK28" i="1"/>
  <c r="IK19" i="1"/>
  <c r="IK33" i="1"/>
  <c r="IK109" i="1"/>
  <c r="IK64" i="1"/>
  <c r="IK63" i="1"/>
  <c r="IK77" i="1"/>
  <c r="IK115" i="1"/>
  <c r="IK31" i="1"/>
  <c r="IK41" i="1"/>
  <c r="IK191" i="1"/>
  <c r="IK85" i="1"/>
  <c r="IK62" i="1"/>
  <c r="IK36" i="1"/>
  <c r="IK32" i="1"/>
  <c r="IK34" i="1"/>
  <c r="IK93" i="1"/>
  <c r="IK117" i="1"/>
  <c r="IK154" i="1"/>
  <c r="IK107" i="1"/>
  <c r="IK98" i="1"/>
  <c r="IK138" i="1"/>
  <c r="IK75" i="1"/>
  <c r="IK122" i="1"/>
  <c r="IK84" i="1"/>
  <c r="IK116" i="1"/>
  <c r="IK186" i="1"/>
  <c r="IK89" i="1"/>
  <c r="IK70" i="1"/>
  <c r="IK61" i="1"/>
  <c r="IK74" i="1"/>
  <c r="IK88" i="1"/>
  <c r="IK73" i="1"/>
  <c r="IK111" i="1"/>
  <c r="IK87" i="1"/>
  <c r="IK82" i="1"/>
  <c r="IK53" i="1"/>
  <c r="IK175" i="1"/>
  <c r="IK55" i="1"/>
  <c r="IK51" i="1"/>
  <c r="IK157" i="1"/>
  <c r="IK158" i="1"/>
  <c r="IK83" i="1"/>
  <c r="IK91" i="1"/>
  <c r="IK105" i="1"/>
  <c r="IK103" i="1"/>
  <c r="IK188" i="1"/>
  <c r="IK163" i="1"/>
  <c r="IK101" i="1"/>
  <c r="IK65" i="1"/>
  <c r="IK60" i="1"/>
  <c r="IK80" i="1"/>
  <c r="IK56" i="1"/>
  <c r="IK57" i="1"/>
  <c r="IK25" i="1"/>
  <c r="IK104" i="1"/>
  <c r="IK66" i="1"/>
  <c r="IK58" i="1"/>
  <c r="IK155" i="1"/>
  <c r="IK156" i="1"/>
  <c r="IK134" i="1"/>
  <c r="IK92" i="1"/>
  <c r="IK67" i="1"/>
  <c r="IK126" i="1"/>
  <c r="IK145" i="1"/>
  <c r="IK135" i="1"/>
  <c r="IK159" i="1"/>
  <c r="IK76" i="1"/>
  <c r="IK114" i="1"/>
  <c r="IK161" i="1"/>
  <c r="IK160" i="1"/>
  <c r="IK95" i="1"/>
  <c r="IK120" i="1"/>
  <c r="IK42" i="1"/>
  <c r="IK183" i="1"/>
  <c r="IK112" i="1"/>
  <c r="IK148" i="1"/>
  <c r="IK179" i="1"/>
  <c r="IK128" i="1"/>
  <c r="IK144" i="1"/>
  <c r="IK110" i="1"/>
  <c r="IK81" i="1"/>
  <c r="IK100" i="1"/>
  <c r="IK123" i="1"/>
  <c r="IK86" i="1"/>
  <c r="IK174" i="1"/>
  <c r="IK201" i="1"/>
  <c r="IK90" i="1"/>
  <c r="IK102" i="1"/>
  <c r="IK94" i="1"/>
  <c r="IK119" i="1"/>
  <c r="IK141" i="1"/>
  <c r="IK147" i="1"/>
  <c r="IK165" i="1"/>
  <c r="IK132" i="1"/>
  <c r="IK189" i="1"/>
  <c r="IK133" i="1"/>
  <c r="IK206" i="1"/>
  <c r="IK78" i="1"/>
  <c r="IK143" i="1"/>
  <c r="IK150" i="1"/>
  <c r="IK130" i="1"/>
  <c r="IK96" i="1"/>
  <c r="IK182" i="1"/>
  <c r="IK195" i="1"/>
  <c r="IK178" i="1"/>
  <c r="IK181" i="1"/>
  <c r="IK194" i="1"/>
  <c r="IK208" i="1"/>
  <c r="IK129" i="1"/>
  <c r="IK180" i="1"/>
  <c r="IK140" i="1"/>
  <c r="IK125" i="1"/>
  <c r="IK131" i="1"/>
  <c r="IK173" i="1"/>
  <c r="IK184" i="1"/>
  <c r="IK190" i="1"/>
  <c r="IK142" i="1"/>
  <c r="IK69" i="1"/>
  <c r="IK151" i="1"/>
  <c r="IK193" i="1"/>
  <c r="IK169" i="1"/>
  <c r="IK166" i="1"/>
  <c r="IK97" i="1"/>
  <c r="IK79" i="1"/>
  <c r="IK146" i="1"/>
  <c r="IK204" i="1"/>
  <c r="IK113" i="1"/>
  <c r="IK172" i="1"/>
  <c r="IK171" i="1"/>
  <c r="IK185" i="1"/>
  <c r="IK137" i="1"/>
  <c r="IK205" i="1"/>
  <c r="IK177" i="1"/>
  <c r="IK199" i="1"/>
  <c r="IK106" i="1"/>
  <c r="IK203" i="1"/>
  <c r="IK124" i="1"/>
  <c r="IK170" i="1"/>
  <c r="IK152" i="1"/>
  <c r="IK118" i="1"/>
  <c r="IK198" i="1"/>
  <c r="IK200" i="1"/>
  <c r="IK136" i="1"/>
  <c r="IK108" i="1"/>
  <c r="IK149" i="1"/>
  <c r="IK187" i="1"/>
  <c r="IK168" i="1"/>
  <c r="IK162" i="1"/>
  <c r="IK139" i="1"/>
  <c r="IK196" i="1"/>
  <c r="IK153" i="1"/>
  <c r="IK197" i="1"/>
  <c r="IK176" i="1"/>
  <c r="IK202" i="1"/>
  <c r="IK167" i="1"/>
  <c r="IK207" i="1"/>
  <c r="IK192" i="1"/>
  <c r="IJ3" i="1"/>
  <c r="IJ2" i="1"/>
  <c r="IJ43" i="1"/>
  <c r="IJ71" i="1"/>
  <c r="IJ7" i="1"/>
  <c r="IJ164" i="1"/>
  <c r="IJ4" i="1"/>
  <c r="IJ99" i="1"/>
  <c r="IJ6" i="1"/>
  <c r="IJ8" i="1"/>
  <c r="IJ10" i="1"/>
  <c r="IJ9" i="1"/>
  <c r="IJ127" i="1"/>
  <c r="IJ11" i="1"/>
  <c r="IJ44" i="1"/>
  <c r="IJ39" i="1"/>
  <c r="IJ45" i="1"/>
  <c r="IJ16" i="1"/>
  <c r="IJ12" i="1"/>
  <c r="IJ48" i="1"/>
  <c r="IJ54" i="1"/>
  <c r="IJ47" i="1"/>
  <c r="IJ20" i="1"/>
  <c r="IJ50" i="1"/>
  <c r="IJ22" i="1"/>
  <c r="IJ49" i="1"/>
  <c r="IJ13" i="1"/>
  <c r="IJ26" i="1"/>
  <c r="IJ52" i="1"/>
  <c r="IJ46" i="1"/>
  <c r="IJ72" i="1"/>
  <c r="IJ5" i="1"/>
  <c r="IJ18" i="1"/>
  <c r="IJ23" i="1"/>
  <c r="IJ15" i="1"/>
  <c r="IJ14" i="1"/>
  <c r="IJ59" i="1"/>
  <c r="IJ38" i="1"/>
  <c r="IJ21" i="1"/>
  <c r="IJ27" i="1"/>
  <c r="IJ17" i="1"/>
  <c r="IJ68" i="1"/>
  <c r="IJ121" i="1"/>
  <c r="IJ24" i="1"/>
  <c r="IJ30" i="1"/>
  <c r="IJ40" i="1"/>
  <c r="IJ35" i="1"/>
  <c r="IJ29" i="1"/>
  <c r="IJ37" i="1"/>
  <c r="IJ28" i="1"/>
  <c r="IJ19" i="1"/>
  <c r="IJ33" i="1"/>
  <c r="IJ109" i="1"/>
  <c r="IJ64" i="1"/>
  <c r="IJ63" i="1"/>
  <c r="IJ77" i="1"/>
  <c r="IJ115" i="1"/>
  <c r="IJ31" i="1"/>
  <c r="IJ41" i="1"/>
  <c r="IJ191" i="1"/>
  <c r="IJ85" i="1"/>
  <c r="IJ62" i="1"/>
  <c r="IJ36" i="1"/>
  <c r="IJ32" i="1"/>
  <c r="IJ34" i="1"/>
  <c r="IJ93" i="1"/>
  <c r="IJ117" i="1"/>
  <c r="IJ154" i="1"/>
  <c r="IJ107" i="1"/>
  <c r="IJ98" i="1"/>
  <c r="IJ138" i="1"/>
  <c r="IJ75" i="1"/>
  <c r="IJ122" i="1"/>
  <c r="IJ84" i="1"/>
  <c r="IJ116" i="1"/>
  <c r="IJ186" i="1"/>
  <c r="IJ89" i="1"/>
  <c r="IJ70" i="1"/>
  <c r="IJ61" i="1"/>
  <c r="IJ74" i="1"/>
  <c r="IJ88" i="1"/>
  <c r="IJ73" i="1"/>
  <c r="IJ111" i="1"/>
  <c r="IJ87" i="1"/>
  <c r="IJ82" i="1"/>
  <c r="IJ53" i="1"/>
  <c r="IJ175" i="1"/>
  <c r="IJ55" i="1"/>
  <c r="IJ51" i="1"/>
  <c r="IJ157" i="1"/>
  <c r="IJ158" i="1"/>
  <c r="IJ83" i="1"/>
  <c r="IJ91" i="1"/>
  <c r="IJ105" i="1"/>
  <c r="IJ103" i="1"/>
  <c r="IJ188" i="1"/>
  <c r="IJ163" i="1"/>
  <c r="IJ101" i="1"/>
  <c r="IJ65" i="1"/>
  <c r="IJ60" i="1"/>
  <c r="IJ80" i="1"/>
  <c r="IJ56" i="1"/>
  <c r="IJ57" i="1"/>
  <c r="IJ25" i="1"/>
  <c r="IJ104" i="1"/>
  <c r="IJ66" i="1"/>
  <c r="IJ58" i="1"/>
  <c r="IJ155" i="1"/>
  <c r="IJ156" i="1"/>
  <c r="IJ134" i="1"/>
  <c r="IJ92" i="1"/>
  <c r="IJ67" i="1"/>
  <c r="IJ126" i="1"/>
  <c r="IJ145" i="1"/>
  <c r="IJ135" i="1"/>
  <c r="IJ159" i="1"/>
  <c r="IJ76" i="1"/>
  <c r="IJ114" i="1"/>
  <c r="IJ161" i="1"/>
  <c r="IJ160" i="1"/>
  <c r="IJ95" i="1"/>
  <c r="IJ120" i="1"/>
  <c r="IJ42" i="1"/>
  <c r="IJ183" i="1"/>
  <c r="IJ112" i="1"/>
  <c r="IJ148" i="1"/>
  <c r="IJ179" i="1"/>
  <c r="IJ128" i="1"/>
  <c r="IJ144" i="1"/>
  <c r="IJ110" i="1"/>
  <c r="IJ81" i="1"/>
  <c r="IJ100" i="1"/>
  <c r="IJ123" i="1"/>
  <c r="IJ86" i="1"/>
  <c r="IJ174" i="1"/>
  <c r="IJ201" i="1"/>
  <c r="IJ90" i="1"/>
  <c r="IJ102" i="1"/>
  <c r="IJ94" i="1"/>
  <c r="IJ119" i="1"/>
  <c r="IJ141" i="1"/>
  <c r="IJ147" i="1"/>
  <c r="IJ165" i="1"/>
  <c r="IJ132" i="1"/>
  <c r="IJ189" i="1"/>
  <c r="IJ133" i="1"/>
  <c r="IJ206" i="1"/>
  <c r="IJ78" i="1"/>
  <c r="IJ143" i="1"/>
  <c r="IJ150" i="1"/>
  <c r="IJ130" i="1"/>
  <c r="IJ96" i="1"/>
  <c r="IJ182" i="1"/>
  <c r="IJ195" i="1"/>
  <c r="IJ178" i="1"/>
  <c r="IJ181" i="1"/>
  <c r="IJ194" i="1"/>
  <c r="IJ208" i="1"/>
  <c r="IJ129" i="1"/>
  <c r="IJ180" i="1"/>
  <c r="IJ140" i="1"/>
  <c r="IJ125" i="1"/>
  <c r="IJ131" i="1"/>
  <c r="IJ173" i="1"/>
  <c r="IJ184" i="1"/>
  <c r="IJ190" i="1"/>
  <c r="IJ142" i="1"/>
  <c r="IJ69" i="1"/>
  <c r="IJ151" i="1"/>
  <c r="IJ193" i="1"/>
  <c r="IJ169" i="1"/>
  <c r="IJ166" i="1"/>
  <c r="IJ97" i="1"/>
  <c r="IJ79" i="1"/>
  <c r="IJ146" i="1"/>
  <c r="IJ204" i="1"/>
  <c r="IJ113" i="1"/>
  <c r="IJ172" i="1"/>
  <c r="IJ171" i="1"/>
  <c r="IJ185" i="1"/>
  <c r="IJ137" i="1"/>
  <c r="IJ205" i="1"/>
  <c r="IJ177" i="1"/>
  <c r="IJ199" i="1"/>
  <c r="IJ106" i="1"/>
  <c r="IJ203" i="1"/>
  <c r="IJ124" i="1"/>
  <c r="IJ170" i="1"/>
  <c r="IJ152" i="1"/>
  <c r="IJ118" i="1"/>
  <c r="IJ198" i="1"/>
  <c r="IJ200" i="1"/>
  <c r="IJ136" i="1"/>
  <c r="IJ108" i="1"/>
  <c r="IJ149" i="1"/>
  <c r="IJ187" i="1"/>
  <c r="IJ168" i="1"/>
  <c r="IJ162" i="1"/>
  <c r="IJ139" i="1"/>
  <c r="IJ196" i="1"/>
  <c r="IJ153" i="1"/>
  <c r="IJ197" i="1"/>
  <c r="IJ176" i="1"/>
  <c r="IJ202" i="1"/>
  <c r="IJ167" i="1"/>
  <c r="IJ207" i="1"/>
  <c r="IJ192" i="1"/>
  <c r="II3" i="1"/>
  <c r="II2" i="1"/>
  <c r="II43" i="1"/>
  <c r="II71" i="1"/>
  <c r="II7" i="1"/>
  <c r="II164" i="1"/>
  <c r="II4" i="1"/>
  <c r="II99" i="1"/>
  <c r="II6" i="1"/>
  <c r="II8" i="1"/>
  <c r="II10" i="1"/>
  <c r="II9" i="1"/>
  <c r="II127" i="1"/>
  <c r="II11" i="1"/>
  <c r="II44" i="1"/>
  <c r="II39" i="1"/>
  <c r="II45" i="1"/>
  <c r="II16" i="1"/>
  <c r="II12" i="1"/>
  <c r="II48" i="1"/>
  <c r="II54" i="1"/>
  <c r="II47" i="1"/>
  <c r="II20" i="1"/>
  <c r="II50" i="1"/>
  <c r="II22" i="1"/>
  <c r="II49" i="1"/>
  <c r="II13" i="1"/>
  <c r="II26" i="1"/>
  <c r="II52" i="1"/>
  <c r="II46" i="1"/>
  <c r="II72" i="1"/>
  <c r="II5" i="1"/>
  <c r="II18" i="1"/>
  <c r="II23" i="1"/>
  <c r="II15" i="1"/>
  <c r="II14" i="1"/>
  <c r="II59" i="1"/>
  <c r="II38" i="1"/>
  <c r="II21" i="1"/>
  <c r="II27" i="1"/>
  <c r="II17" i="1"/>
  <c r="II68" i="1"/>
  <c r="II121" i="1"/>
  <c r="II24" i="1"/>
  <c r="II30" i="1"/>
  <c r="II40" i="1"/>
  <c r="II35" i="1"/>
  <c r="II29" i="1"/>
  <c r="II37" i="1"/>
  <c r="II28" i="1"/>
  <c r="II19" i="1"/>
  <c r="II33" i="1"/>
  <c r="II109" i="1"/>
  <c r="II64" i="1"/>
  <c r="II63" i="1"/>
  <c r="II77" i="1"/>
  <c r="II115" i="1"/>
  <c r="II31" i="1"/>
  <c r="II41" i="1"/>
  <c r="II191" i="1"/>
  <c r="II85" i="1"/>
  <c r="II62" i="1"/>
  <c r="II36" i="1"/>
  <c r="II32" i="1"/>
  <c r="II34" i="1"/>
  <c r="II93" i="1"/>
  <c r="II117" i="1"/>
  <c r="II154" i="1"/>
  <c r="II107" i="1"/>
  <c r="II98" i="1"/>
  <c r="II138" i="1"/>
  <c r="II75" i="1"/>
  <c r="II122" i="1"/>
  <c r="II84" i="1"/>
  <c r="II116" i="1"/>
  <c r="II186" i="1"/>
  <c r="II89" i="1"/>
  <c r="II70" i="1"/>
  <c r="II61" i="1"/>
  <c r="II74" i="1"/>
  <c r="II88" i="1"/>
  <c r="II73" i="1"/>
  <c r="II111" i="1"/>
  <c r="II87" i="1"/>
  <c r="II82" i="1"/>
  <c r="II53" i="1"/>
  <c r="II175" i="1"/>
  <c r="II55" i="1"/>
  <c r="II51" i="1"/>
  <c r="II157" i="1"/>
  <c r="II158" i="1"/>
  <c r="II83" i="1"/>
  <c r="II91" i="1"/>
  <c r="II105" i="1"/>
  <c r="II103" i="1"/>
  <c r="II188" i="1"/>
  <c r="II163" i="1"/>
  <c r="II101" i="1"/>
  <c r="II65" i="1"/>
  <c r="II60" i="1"/>
  <c r="II80" i="1"/>
  <c r="II56" i="1"/>
  <c r="II57" i="1"/>
  <c r="II25" i="1"/>
  <c r="II104" i="1"/>
  <c r="II66" i="1"/>
  <c r="II58" i="1"/>
  <c r="II155" i="1"/>
  <c r="II156" i="1"/>
  <c r="II134" i="1"/>
  <c r="II92" i="1"/>
  <c r="II67" i="1"/>
  <c r="II126" i="1"/>
  <c r="II145" i="1"/>
  <c r="II135" i="1"/>
  <c r="II159" i="1"/>
  <c r="II76" i="1"/>
  <c r="II114" i="1"/>
  <c r="II161" i="1"/>
  <c r="II160" i="1"/>
  <c r="II95" i="1"/>
  <c r="II120" i="1"/>
  <c r="II42" i="1"/>
  <c r="II183" i="1"/>
  <c r="II112" i="1"/>
  <c r="II148" i="1"/>
  <c r="II179" i="1"/>
  <c r="II128" i="1"/>
  <c r="II144" i="1"/>
  <c r="II110" i="1"/>
  <c r="II81" i="1"/>
  <c r="II100" i="1"/>
  <c r="II123" i="1"/>
  <c r="II86" i="1"/>
  <c r="II174" i="1"/>
  <c r="II201" i="1"/>
  <c r="II90" i="1"/>
  <c r="II102" i="1"/>
  <c r="II94" i="1"/>
  <c r="II119" i="1"/>
  <c r="II141" i="1"/>
  <c r="II147" i="1"/>
  <c r="II165" i="1"/>
  <c r="II132" i="1"/>
  <c r="II189" i="1"/>
  <c r="II133" i="1"/>
  <c r="II206" i="1"/>
  <c r="II78" i="1"/>
  <c r="II143" i="1"/>
  <c r="II150" i="1"/>
  <c r="II130" i="1"/>
  <c r="II96" i="1"/>
  <c r="II182" i="1"/>
  <c r="II195" i="1"/>
  <c r="II178" i="1"/>
  <c r="II181" i="1"/>
  <c r="II194" i="1"/>
  <c r="II208" i="1"/>
  <c r="II129" i="1"/>
  <c r="II180" i="1"/>
  <c r="II140" i="1"/>
  <c r="II125" i="1"/>
  <c r="II131" i="1"/>
  <c r="II173" i="1"/>
  <c r="II184" i="1"/>
  <c r="II190" i="1"/>
  <c r="II142" i="1"/>
  <c r="II69" i="1"/>
  <c r="II151" i="1"/>
  <c r="II193" i="1"/>
  <c r="II169" i="1"/>
  <c r="II166" i="1"/>
  <c r="II97" i="1"/>
  <c r="II79" i="1"/>
  <c r="II146" i="1"/>
  <c r="II204" i="1"/>
  <c r="II113" i="1"/>
  <c r="II172" i="1"/>
  <c r="II171" i="1"/>
  <c r="II185" i="1"/>
  <c r="II137" i="1"/>
  <c r="II205" i="1"/>
  <c r="II177" i="1"/>
  <c r="II199" i="1"/>
  <c r="II106" i="1"/>
  <c r="II203" i="1"/>
  <c r="II124" i="1"/>
  <c r="II170" i="1"/>
  <c r="II152" i="1"/>
  <c r="II118" i="1"/>
  <c r="II198" i="1"/>
  <c r="II200" i="1"/>
  <c r="II136" i="1"/>
  <c r="II108" i="1"/>
  <c r="II149" i="1"/>
  <c r="II187" i="1"/>
  <c r="II168" i="1"/>
  <c r="II162" i="1"/>
  <c r="II139" i="1"/>
  <c r="II196" i="1"/>
  <c r="II153" i="1"/>
  <c r="II197" i="1"/>
  <c r="II176" i="1"/>
  <c r="II202" i="1"/>
  <c r="II167" i="1"/>
  <c r="II207" i="1"/>
  <c r="II192" i="1"/>
  <c r="IH3" i="1"/>
  <c r="IH2" i="1"/>
  <c r="IH43" i="1"/>
  <c r="IH71" i="1"/>
  <c r="IH7" i="1"/>
  <c r="IH164" i="1"/>
  <c r="IH4" i="1"/>
  <c r="IH99" i="1"/>
  <c r="IH6" i="1"/>
  <c r="IH8" i="1"/>
  <c r="IH10" i="1"/>
  <c r="IH9" i="1"/>
  <c r="IH127" i="1"/>
  <c r="IH11" i="1"/>
  <c r="IH44" i="1"/>
  <c r="IH39" i="1"/>
  <c r="IH45" i="1"/>
  <c r="IH16" i="1"/>
  <c r="IH12" i="1"/>
  <c r="IH48" i="1"/>
  <c r="IH54" i="1"/>
  <c r="IH47" i="1"/>
  <c r="IH20" i="1"/>
  <c r="IH50" i="1"/>
  <c r="IH22" i="1"/>
  <c r="IH49" i="1"/>
  <c r="IH13" i="1"/>
  <c r="IH26" i="1"/>
  <c r="IH52" i="1"/>
  <c r="IH46" i="1"/>
  <c r="IH72" i="1"/>
  <c r="IH5" i="1"/>
  <c r="IH18" i="1"/>
  <c r="IH23" i="1"/>
  <c r="IH15" i="1"/>
  <c r="IH14" i="1"/>
  <c r="IH59" i="1"/>
  <c r="IH38" i="1"/>
  <c r="IH21" i="1"/>
  <c r="IH27" i="1"/>
  <c r="IH17" i="1"/>
  <c r="IH68" i="1"/>
  <c r="IH121" i="1"/>
  <c r="IH24" i="1"/>
  <c r="IH30" i="1"/>
  <c r="IH40" i="1"/>
  <c r="IH35" i="1"/>
  <c r="IH29" i="1"/>
  <c r="IH37" i="1"/>
  <c r="IH28" i="1"/>
  <c r="IH19" i="1"/>
  <c r="IH33" i="1"/>
  <c r="IH109" i="1"/>
  <c r="IH64" i="1"/>
  <c r="IH63" i="1"/>
  <c r="IH77" i="1"/>
  <c r="IH115" i="1"/>
  <c r="IH31" i="1"/>
  <c r="IH41" i="1"/>
  <c r="IH191" i="1"/>
  <c r="IH85" i="1"/>
  <c r="IH62" i="1"/>
  <c r="IH36" i="1"/>
  <c r="IH32" i="1"/>
  <c r="IH34" i="1"/>
  <c r="IH93" i="1"/>
  <c r="IH117" i="1"/>
  <c r="IH154" i="1"/>
  <c r="IH107" i="1"/>
  <c r="IH98" i="1"/>
  <c r="IH138" i="1"/>
  <c r="IH75" i="1"/>
  <c r="IH122" i="1"/>
  <c r="IH84" i="1"/>
  <c r="IH116" i="1"/>
  <c r="IH186" i="1"/>
  <c r="IH89" i="1"/>
  <c r="IH70" i="1"/>
  <c r="IH61" i="1"/>
  <c r="IH74" i="1"/>
  <c r="IH88" i="1"/>
  <c r="IH73" i="1"/>
  <c r="IH111" i="1"/>
  <c r="IH87" i="1"/>
  <c r="IH82" i="1"/>
  <c r="IH53" i="1"/>
  <c r="IH175" i="1"/>
  <c r="IH55" i="1"/>
  <c r="IH51" i="1"/>
  <c r="IH157" i="1"/>
  <c r="IH158" i="1"/>
  <c r="IH83" i="1"/>
  <c r="IH91" i="1"/>
  <c r="IH105" i="1"/>
  <c r="IH103" i="1"/>
  <c r="IH188" i="1"/>
  <c r="IH163" i="1"/>
  <c r="IH101" i="1"/>
  <c r="IH65" i="1"/>
  <c r="IH60" i="1"/>
  <c r="IH80" i="1"/>
  <c r="IH56" i="1"/>
  <c r="IH57" i="1"/>
  <c r="IH25" i="1"/>
  <c r="IH104" i="1"/>
  <c r="IH66" i="1"/>
  <c r="IH58" i="1"/>
  <c r="IH155" i="1"/>
  <c r="IH156" i="1"/>
  <c r="IH134" i="1"/>
  <c r="IH92" i="1"/>
  <c r="IH67" i="1"/>
  <c r="IH126" i="1"/>
  <c r="IH145" i="1"/>
  <c r="IH135" i="1"/>
  <c r="IH159" i="1"/>
  <c r="IH76" i="1"/>
  <c r="IH114" i="1"/>
  <c r="IH161" i="1"/>
  <c r="IH160" i="1"/>
  <c r="IH95" i="1"/>
  <c r="IH120" i="1"/>
  <c r="IH42" i="1"/>
  <c r="IH183" i="1"/>
  <c r="IH112" i="1"/>
  <c r="IH148" i="1"/>
  <c r="IH179" i="1"/>
  <c r="IH128" i="1"/>
  <c r="IH144" i="1"/>
  <c r="IH110" i="1"/>
  <c r="IH81" i="1"/>
  <c r="IH100" i="1"/>
  <c r="IH123" i="1"/>
  <c r="IH86" i="1"/>
  <c r="IH174" i="1"/>
  <c r="IH201" i="1"/>
  <c r="IH90" i="1"/>
  <c r="IH102" i="1"/>
  <c r="IH94" i="1"/>
  <c r="IH119" i="1"/>
  <c r="IH141" i="1"/>
  <c r="IH147" i="1"/>
  <c r="IH165" i="1"/>
  <c r="IH132" i="1"/>
  <c r="IH189" i="1"/>
  <c r="IH133" i="1"/>
  <c r="IH206" i="1"/>
  <c r="IH78" i="1"/>
  <c r="IH143" i="1"/>
  <c r="IH150" i="1"/>
  <c r="IH130" i="1"/>
  <c r="IH96" i="1"/>
  <c r="IH182" i="1"/>
  <c r="IH195" i="1"/>
  <c r="IH178" i="1"/>
  <c r="IH181" i="1"/>
  <c r="IH194" i="1"/>
  <c r="IH208" i="1"/>
  <c r="IH129" i="1"/>
  <c r="IH180" i="1"/>
  <c r="IH140" i="1"/>
  <c r="IH125" i="1"/>
  <c r="IH131" i="1"/>
  <c r="IH173" i="1"/>
  <c r="IH184" i="1"/>
  <c r="IH190" i="1"/>
  <c r="IH142" i="1"/>
  <c r="IH69" i="1"/>
  <c r="IH151" i="1"/>
  <c r="IH193" i="1"/>
  <c r="IH169" i="1"/>
  <c r="IH166" i="1"/>
  <c r="IH97" i="1"/>
  <c r="IH79" i="1"/>
  <c r="IH146" i="1"/>
  <c r="IH204" i="1"/>
  <c r="IH113" i="1"/>
  <c r="IH172" i="1"/>
  <c r="IH171" i="1"/>
  <c r="IH185" i="1"/>
  <c r="IH137" i="1"/>
  <c r="IH205" i="1"/>
  <c r="IH177" i="1"/>
  <c r="IH199" i="1"/>
  <c r="IH106" i="1"/>
  <c r="IH203" i="1"/>
  <c r="IH124" i="1"/>
  <c r="IH170" i="1"/>
  <c r="IH152" i="1"/>
  <c r="IH118" i="1"/>
  <c r="IH198" i="1"/>
  <c r="IH200" i="1"/>
  <c r="IH136" i="1"/>
  <c r="IH108" i="1"/>
  <c r="IH149" i="1"/>
  <c r="IH187" i="1"/>
  <c r="IH168" i="1"/>
  <c r="IH162" i="1"/>
  <c r="IH139" i="1"/>
  <c r="IH196" i="1"/>
  <c r="IH153" i="1"/>
  <c r="IH197" i="1"/>
  <c r="IH176" i="1"/>
  <c r="IH202" i="1"/>
  <c r="IH167" i="1"/>
  <c r="IH207" i="1"/>
  <c r="IH192" i="1"/>
  <c r="IG3" i="1"/>
  <c r="IG2" i="1"/>
  <c r="IG43" i="1"/>
  <c r="IG71" i="1"/>
  <c r="IG7" i="1"/>
  <c r="IG164" i="1"/>
  <c r="IG4" i="1"/>
  <c r="IG99" i="1"/>
  <c r="IG6" i="1"/>
  <c r="IG8" i="1"/>
  <c r="IG10" i="1"/>
  <c r="IG9" i="1"/>
  <c r="IG127" i="1"/>
  <c r="IG11" i="1"/>
  <c r="IG44" i="1"/>
  <c r="IG39" i="1"/>
  <c r="IG45" i="1"/>
  <c r="IG16" i="1"/>
  <c r="IG12" i="1"/>
  <c r="IG48" i="1"/>
  <c r="IG54" i="1"/>
  <c r="IG47" i="1"/>
  <c r="IG20" i="1"/>
  <c r="IG50" i="1"/>
  <c r="IG22" i="1"/>
  <c r="IG49" i="1"/>
  <c r="IG13" i="1"/>
  <c r="IG26" i="1"/>
  <c r="IG52" i="1"/>
  <c r="IG46" i="1"/>
  <c r="IG72" i="1"/>
  <c r="IG5" i="1"/>
  <c r="IG18" i="1"/>
  <c r="IG23" i="1"/>
  <c r="IG15" i="1"/>
  <c r="IG14" i="1"/>
  <c r="IG59" i="1"/>
  <c r="IG38" i="1"/>
  <c r="IG21" i="1"/>
  <c r="IG27" i="1"/>
  <c r="IG17" i="1"/>
  <c r="IG68" i="1"/>
  <c r="IG121" i="1"/>
  <c r="IG24" i="1"/>
  <c r="IG30" i="1"/>
  <c r="IG40" i="1"/>
  <c r="IG35" i="1"/>
  <c r="IG29" i="1"/>
  <c r="IG37" i="1"/>
  <c r="IG28" i="1"/>
  <c r="IG19" i="1"/>
  <c r="IG33" i="1"/>
  <c r="IG109" i="1"/>
  <c r="IG64" i="1"/>
  <c r="IG63" i="1"/>
  <c r="IG77" i="1"/>
  <c r="IG115" i="1"/>
  <c r="IG31" i="1"/>
  <c r="IG41" i="1"/>
  <c r="IG191" i="1"/>
  <c r="IG85" i="1"/>
  <c r="IG62" i="1"/>
  <c r="IG36" i="1"/>
  <c r="IG32" i="1"/>
  <c r="IG34" i="1"/>
  <c r="IG93" i="1"/>
  <c r="IG117" i="1"/>
  <c r="IG154" i="1"/>
  <c r="IG107" i="1"/>
  <c r="IG98" i="1"/>
  <c r="IG138" i="1"/>
  <c r="IG75" i="1"/>
  <c r="IG122" i="1"/>
  <c r="IG84" i="1"/>
  <c r="IG116" i="1"/>
  <c r="IG186" i="1"/>
  <c r="IG89" i="1"/>
  <c r="IG70" i="1"/>
  <c r="IG61" i="1"/>
  <c r="IG74" i="1"/>
  <c r="IG88" i="1"/>
  <c r="IG73" i="1"/>
  <c r="IG111" i="1"/>
  <c r="IG87" i="1"/>
  <c r="IG82" i="1"/>
  <c r="IG53" i="1"/>
  <c r="IG175" i="1"/>
  <c r="IG55" i="1"/>
  <c r="IG51" i="1"/>
  <c r="IG157" i="1"/>
  <c r="IG158" i="1"/>
  <c r="IG83" i="1"/>
  <c r="IG91" i="1"/>
  <c r="IG105" i="1"/>
  <c r="IG103" i="1"/>
  <c r="IG188" i="1"/>
  <c r="IG163" i="1"/>
  <c r="IG101" i="1"/>
  <c r="IG65" i="1"/>
  <c r="IG60" i="1"/>
  <c r="IG80" i="1"/>
  <c r="IG56" i="1"/>
  <c r="IG57" i="1"/>
  <c r="IG25" i="1"/>
  <c r="IG104" i="1"/>
  <c r="IG66" i="1"/>
  <c r="IG58" i="1"/>
  <c r="IG155" i="1"/>
  <c r="IG156" i="1"/>
  <c r="IG134" i="1"/>
  <c r="IG92" i="1"/>
  <c r="IG67" i="1"/>
  <c r="IG126" i="1"/>
  <c r="IG145" i="1"/>
  <c r="IG135" i="1"/>
  <c r="IG159" i="1"/>
  <c r="IG76" i="1"/>
  <c r="IG114" i="1"/>
  <c r="IG161" i="1"/>
  <c r="IG160" i="1"/>
  <c r="IG95" i="1"/>
  <c r="IG120" i="1"/>
  <c r="IG42" i="1"/>
  <c r="IG183" i="1"/>
  <c r="IG112" i="1"/>
  <c r="IG148" i="1"/>
  <c r="IG179" i="1"/>
  <c r="IG128" i="1"/>
  <c r="IG144" i="1"/>
  <c r="IG110" i="1"/>
  <c r="IG81" i="1"/>
  <c r="IG100" i="1"/>
  <c r="IG123" i="1"/>
  <c r="IG86" i="1"/>
  <c r="IG174" i="1"/>
  <c r="IG201" i="1"/>
  <c r="IG90" i="1"/>
  <c r="IG102" i="1"/>
  <c r="IG94" i="1"/>
  <c r="IG119" i="1"/>
  <c r="IG141" i="1"/>
  <c r="IG147" i="1"/>
  <c r="IG165" i="1"/>
  <c r="IG132" i="1"/>
  <c r="IG189" i="1"/>
  <c r="IG133" i="1"/>
  <c r="IG206" i="1"/>
  <c r="IG78" i="1"/>
  <c r="IG143" i="1"/>
  <c r="IG150" i="1"/>
  <c r="IG130" i="1"/>
  <c r="IG96" i="1"/>
  <c r="IG182" i="1"/>
  <c r="IG195" i="1"/>
  <c r="IG178" i="1"/>
  <c r="IG181" i="1"/>
  <c r="IG194" i="1"/>
  <c r="IG208" i="1"/>
  <c r="IG129" i="1"/>
  <c r="IG180" i="1"/>
  <c r="IG140" i="1"/>
  <c r="IG125" i="1"/>
  <c r="IG131" i="1"/>
  <c r="IG173" i="1"/>
  <c r="IG184" i="1"/>
  <c r="IG190" i="1"/>
  <c r="IG142" i="1"/>
  <c r="IG69" i="1"/>
  <c r="IG151" i="1"/>
  <c r="IG193" i="1"/>
  <c r="IG169" i="1"/>
  <c r="IG166" i="1"/>
  <c r="IG97" i="1"/>
  <c r="IG79" i="1"/>
  <c r="IG146" i="1"/>
  <c r="IG204" i="1"/>
  <c r="IG113" i="1"/>
  <c r="IG172" i="1"/>
  <c r="IG171" i="1"/>
  <c r="IG185" i="1"/>
  <c r="IG137" i="1"/>
  <c r="IG205" i="1"/>
  <c r="IG177" i="1"/>
  <c r="IG199" i="1"/>
  <c r="IG106" i="1"/>
  <c r="IG203" i="1"/>
  <c r="IG124" i="1"/>
  <c r="IG170" i="1"/>
  <c r="IG152" i="1"/>
  <c r="IG118" i="1"/>
  <c r="IG198" i="1"/>
  <c r="IG200" i="1"/>
  <c r="IG136" i="1"/>
  <c r="IG108" i="1"/>
  <c r="IG149" i="1"/>
  <c r="IG187" i="1"/>
  <c r="IG168" i="1"/>
  <c r="IG162" i="1"/>
  <c r="IG139" i="1"/>
  <c r="IG196" i="1"/>
  <c r="IG153" i="1"/>
  <c r="IG197" i="1"/>
  <c r="IG176" i="1"/>
  <c r="IG202" i="1"/>
  <c r="IG167" i="1"/>
  <c r="IG207" i="1"/>
  <c r="IG192" i="1"/>
  <c r="IF3" i="1"/>
  <c r="IF2" i="1"/>
  <c r="IF43" i="1"/>
  <c r="IF71" i="1"/>
  <c r="IF7" i="1"/>
  <c r="IF164" i="1"/>
  <c r="IF4" i="1"/>
  <c r="IF99" i="1"/>
  <c r="IF6" i="1"/>
  <c r="IF8" i="1"/>
  <c r="IF10" i="1"/>
  <c r="IF9" i="1"/>
  <c r="IF127" i="1"/>
  <c r="IF11" i="1"/>
  <c r="IF44" i="1"/>
  <c r="IF39" i="1"/>
  <c r="IF45" i="1"/>
  <c r="IF16" i="1"/>
  <c r="IF12" i="1"/>
  <c r="IF48" i="1"/>
  <c r="IF54" i="1"/>
  <c r="IF47" i="1"/>
  <c r="IF20" i="1"/>
  <c r="IF50" i="1"/>
  <c r="IF22" i="1"/>
  <c r="IF49" i="1"/>
  <c r="IF13" i="1"/>
  <c r="IF26" i="1"/>
  <c r="IF52" i="1"/>
  <c r="IF46" i="1"/>
  <c r="IF72" i="1"/>
  <c r="IF5" i="1"/>
  <c r="IF18" i="1"/>
  <c r="IF23" i="1"/>
  <c r="IF15" i="1"/>
  <c r="IF14" i="1"/>
  <c r="IF59" i="1"/>
  <c r="IF38" i="1"/>
  <c r="IF21" i="1"/>
  <c r="IF27" i="1"/>
  <c r="IF17" i="1"/>
  <c r="IF68" i="1"/>
  <c r="IF121" i="1"/>
  <c r="IF24" i="1"/>
  <c r="IF30" i="1"/>
  <c r="IF40" i="1"/>
  <c r="IF35" i="1"/>
  <c r="IF29" i="1"/>
  <c r="IF37" i="1"/>
  <c r="IF28" i="1"/>
  <c r="IF19" i="1"/>
  <c r="IF33" i="1"/>
  <c r="IF109" i="1"/>
  <c r="IF64" i="1"/>
  <c r="IF63" i="1"/>
  <c r="IF77" i="1"/>
  <c r="IF115" i="1"/>
  <c r="IF31" i="1"/>
  <c r="IF41" i="1"/>
  <c r="IF191" i="1"/>
  <c r="IF85" i="1"/>
  <c r="IF62" i="1"/>
  <c r="IF36" i="1"/>
  <c r="IF32" i="1"/>
  <c r="IF34" i="1"/>
  <c r="IF93" i="1"/>
  <c r="IF117" i="1"/>
  <c r="IF154" i="1"/>
  <c r="IF107" i="1"/>
  <c r="IF98" i="1"/>
  <c r="IF138" i="1"/>
  <c r="IF75" i="1"/>
  <c r="IF122" i="1"/>
  <c r="IF84" i="1"/>
  <c r="IF116" i="1"/>
  <c r="IF186" i="1"/>
  <c r="IF89" i="1"/>
  <c r="IF70" i="1"/>
  <c r="IF61" i="1"/>
  <c r="IF74" i="1"/>
  <c r="IF88" i="1"/>
  <c r="IF73" i="1"/>
  <c r="IF111" i="1"/>
  <c r="IF87" i="1"/>
  <c r="IF82" i="1"/>
  <c r="IF53" i="1"/>
  <c r="IF175" i="1"/>
  <c r="IF55" i="1"/>
  <c r="IF51" i="1"/>
  <c r="IF157" i="1"/>
  <c r="IF158" i="1"/>
  <c r="IF83" i="1"/>
  <c r="IF91" i="1"/>
  <c r="IF105" i="1"/>
  <c r="IF103" i="1"/>
  <c r="IF188" i="1"/>
  <c r="IF163" i="1"/>
  <c r="IF101" i="1"/>
  <c r="IF65" i="1"/>
  <c r="IF60" i="1"/>
  <c r="IF80" i="1"/>
  <c r="IF56" i="1"/>
  <c r="IF57" i="1"/>
  <c r="IF25" i="1"/>
  <c r="IF104" i="1"/>
  <c r="IF66" i="1"/>
  <c r="IF58" i="1"/>
  <c r="IF155" i="1"/>
  <c r="IF156" i="1"/>
  <c r="IF134" i="1"/>
  <c r="IF92" i="1"/>
  <c r="IF67" i="1"/>
  <c r="IF126" i="1"/>
  <c r="IF145" i="1"/>
  <c r="IF135" i="1"/>
  <c r="IF159" i="1"/>
  <c r="IF76" i="1"/>
  <c r="IF114" i="1"/>
  <c r="IF161" i="1"/>
  <c r="IF160" i="1"/>
  <c r="IF95" i="1"/>
  <c r="IF120" i="1"/>
  <c r="IF42" i="1"/>
  <c r="IF183" i="1"/>
  <c r="IF112" i="1"/>
  <c r="IF148" i="1"/>
  <c r="IF179" i="1"/>
  <c r="IF128" i="1"/>
  <c r="IF144" i="1"/>
  <c r="IF110" i="1"/>
  <c r="IF81" i="1"/>
  <c r="IF100" i="1"/>
  <c r="IF123" i="1"/>
  <c r="IF86" i="1"/>
  <c r="IF174" i="1"/>
  <c r="IF201" i="1"/>
  <c r="IF90" i="1"/>
  <c r="IF102" i="1"/>
  <c r="IF94" i="1"/>
  <c r="IF119" i="1"/>
  <c r="IF141" i="1"/>
  <c r="IF147" i="1"/>
  <c r="IF165" i="1"/>
  <c r="IF132" i="1"/>
  <c r="IF189" i="1"/>
  <c r="IF133" i="1"/>
  <c r="IF206" i="1"/>
  <c r="IF78" i="1"/>
  <c r="IF143" i="1"/>
  <c r="IF150" i="1"/>
  <c r="IF130" i="1"/>
  <c r="IF96" i="1"/>
  <c r="IF182" i="1"/>
  <c r="IF195" i="1"/>
  <c r="IF178" i="1"/>
  <c r="IF181" i="1"/>
  <c r="IF194" i="1"/>
  <c r="IF208" i="1"/>
  <c r="IF129" i="1"/>
  <c r="IF180" i="1"/>
  <c r="IF140" i="1"/>
  <c r="IF125" i="1"/>
  <c r="IF131" i="1"/>
  <c r="IF173" i="1"/>
  <c r="IF184" i="1"/>
  <c r="IF190" i="1"/>
  <c r="IF142" i="1"/>
  <c r="IF69" i="1"/>
  <c r="IF151" i="1"/>
  <c r="IF193" i="1"/>
  <c r="IF169" i="1"/>
  <c r="IF166" i="1"/>
  <c r="IF97" i="1"/>
  <c r="IF79" i="1"/>
  <c r="IF146" i="1"/>
  <c r="IF204" i="1"/>
  <c r="IF113" i="1"/>
  <c r="IF172" i="1"/>
  <c r="IF171" i="1"/>
  <c r="IF185" i="1"/>
  <c r="IF137" i="1"/>
  <c r="IF205" i="1"/>
  <c r="IF177" i="1"/>
  <c r="IF199" i="1"/>
  <c r="IF106" i="1"/>
  <c r="IF203" i="1"/>
  <c r="IF124" i="1"/>
  <c r="IF170" i="1"/>
  <c r="IF152" i="1"/>
  <c r="IF118" i="1"/>
  <c r="IF198" i="1"/>
  <c r="IF200" i="1"/>
  <c r="IF136" i="1"/>
  <c r="IF108" i="1"/>
  <c r="IF149" i="1"/>
  <c r="IF187" i="1"/>
  <c r="IF168" i="1"/>
  <c r="IF162" i="1"/>
  <c r="IF139" i="1"/>
  <c r="IF196" i="1"/>
  <c r="IF153" i="1"/>
  <c r="IF197" i="1"/>
  <c r="IF176" i="1"/>
  <c r="IF202" i="1"/>
  <c r="IF167" i="1"/>
  <c r="IF207" i="1"/>
  <c r="IF192" i="1"/>
  <c r="IE3" i="1"/>
  <c r="IE2" i="1"/>
  <c r="IE43" i="1"/>
  <c r="IE71" i="1"/>
  <c r="IE7" i="1"/>
  <c r="IE164" i="1"/>
  <c r="IE4" i="1"/>
  <c r="IE99" i="1"/>
  <c r="IE6" i="1"/>
  <c r="IE8" i="1"/>
  <c r="IE10" i="1"/>
  <c r="IE9" i="1"/>
  <c r="IE127" i="1"/>
  <c r="IE11" i="1"/>
  <c r="IE44" i="1"/>
  <c r="IE39" i="1"/>
  <c r="IE45" i="1"/>
  <c r="IE16" i="1"/>
  <c r="IE12" i="1"/>
  <c r="IE48" i="1"/>
  <c r="IE54" i="1"/>
  <c r="IE47" i="1"/>
  <c r="IE20" i="1"/>
  <c r="IE50" i="1"/>
  <c r="IE22" i="1"/>
  <c r="IE49" i="1"/>
  <c r="IE13" i="1"/>
  <c r="IE26" i="1"/>
  <c r="IE52" i="1"/>
  <c r="IE46" i="1"/>
  <c r="IE72" i="1"/>
  <c r="IE5" i="1"/>
  <c r="IE18" i="1"/>
  <c r="IE23" i="1"/>
  <c r="IE15" i="1"/>
  <c r="IE14" i="1"/>
  <c r="IE59" i="1"/>
  <c r="IE38" i="1"/>
  <c r="IE21" i="1"/>
  <c r="IE27" i="1"/>
  <c r="IE17" i="1"/>
  <c r="IE68" i="1"/>
  <c r="IE121" i="1"/>
  <c r="IE24" i="1"/>
  <c r="IE30" i="1"/>
  <c r="IE40" i="1"/>
  <c r="IE35" i="1"/>
  <c r="IE29" i="1"/>
  <c r="IE37" i="1"/>
  <c r="IE28" i="1"/>
  <c r="IE19" i="1"/>
  <c r="IE33" i="1"/>
  <c r="IE109" i="1"/>
  <c r="IE64" i="1"/>
  <c r="IE63" i="1"/>
  <c r="IE77" i="1"/>
  <c r="IE115" i="1"/>
  <c r="IE31" i="1"/>
  <c r="IE41" i="1"/>
  <c r="IE191" i="1"/>
  <c r="IE85" i="1"/>
  <c r="IE62" i="1"/>
  <c r="IE36" i="1"/>
  <c r="IE32" i="1"/>
  <c r="IE34" i="1"/>
  <c r="IE93" i="1"/>
  <c r="IE117" i="1"/>
  <c r="IE154" i="1"/>
  <c r="IE107" i="1"/>
  <c r="IE98" i="1"/>
  <c r="IE138" i="1"/>
  <c r="IE75" i="1"/>
  <c r="IE122" i="1"/>
  <c r="IE84" i="1"/>
  <c r="IE116" i="1"/>
  <c r="IE186" i="1"/>
  <c r="IE89" i="1"/>
  <c r="IE70" i="1"/>
  <c r="IE61" i="1"/>
  <c r="IE74" i="1"/>
  <c r="IE88" i="1"/>
  <c r="IE73" i="1"/>
  <c r="IE111" i="1"/>
  <c r="IE87" i="1"/>
  <c r="IE82" i="1"/>
  <c r="IE53" i="1"/>
  <c r="IE175" i="1"/>
  <c r="IE55" i="1"/>
  <c r="IE51" i="1"/>
  <c r="IE157" i="1"/>
  <c r="IE158" i="1"/>
  <c r="IE83" i="1"/>
  <c r="IE91" i="1"/>
  <c r="IE105" i="1"/>
  <c r="IE103" i="1"/>
  <c r="IE188" i="1"/>
  <c r="IE163" i="1"/>
  <c r="IE101" i="1"/>
  <c r="IE65" i="1"/>
  <c r="IE60" i="1"/>
  <c r="IE80" i="1"/>
  <c r="IE56" i="1"/>
  <c r="IE57" i="1"/>
  <c r="IE25" i="1"/>
  <c r="IE104" i="1"/>
  <c r="IE66" i="1"/>
  <c r="IE58" i="1"/>
  <c r="IE155" i="1"/>
  <c r="IE156" i="1"/>
  <c r="IE134" i="1"/>
  <c r="IE92" i="1"/>
  <c r="IE67" i="1"/>
  <c r="IE126" i="1"/>
  <c r="IE145" i="1"/>
  <c r="IE135" i="1"/>
  <c r="IE159" i="1"/>
  <c r="IE76" i="1"/>
  <c r="IE114" i="1"/>
  <c r="IE161" i="1"/>
  <c r="IE160" i="1"/>
  <c r="IE95" i="1"/>
  <c r="IE120" i="1"/>
  <c r="IE42" i="1"/>
  <c r="IE183" i="1"/>
  <c r="IE112" i="1"/>
  <c r="IE148" i="1"/>
  <c r="IE179" i="1"/>
  <c r="IE128" i="1"/>
  <c r="IE144" i="1"/>
  <c r="IE110" i="1"/>
  <c r="IE81" i="1"/>
  <c r="IE100" i="1"/>
  <c r="IE123" i="1"/>
  <c r="IE86" i="1"/>
  <c r="IE174" i="1"/>
  <c r="IE201" i="1"/>
  <c r="IE90" i="1"/>
  <c r="IE102" i="1"/>
  <c r="IE94" i="1"/>
  <c r="IE119" i="1"/>
  <c r="IE141" i="1"/>
  <c r="IE147" i="1"/>
  <c r="IE165" i="1"/>
  <c r="IE132" i="1"/>
  <c r="IE189" i="1"/>
  <c r="IE133" i="1"/>
  <c r="IE206" i="1"/>
  <c r="IE78" i="1"/>
  <c r="IE143" i="1"/>
  <c r="IE150" i="1"/>
  <c r="IE130" i="1"/>
  <c r="IE96" i="1"/>
  <c r="IE182" i="1"/>
  <c r="IE195" i="1"/>
  <c r="IE178" i="1"/>
  <c r="IE181" i="1"/>
  <c r="IE194" i="1"/>
  <c r="IE208" i="1"/>
  <c r="IE129" i="1"/>
  <c r="IE180" i="1"/>
  <c r="IE140" i="1"/>
  <c r="IE125" i="1"/>
  <c r="IE131" i="1"/>
  <c r="IE173" i="1"/>
  <c r="IE184" i="1"/>
  <c r="IE190" i="1"/>
  <c r="IE142" i="1"/>
  <c r="IE69" i="1"/>
  <c r="IE151" i="1"/>
  <c r="IE193" i="1"/>
  <c r="IE169" i="1"/>
  <c r="IE166" i="1"/>
  <c r="IE97" i="1"/>
  <c r="IE79" i="1"/>
  <c r="IE146" i="1"/>
  <c r="IE204" i="1"/>
  <c r="IE113" i="1"/>
  <c r="IE172" i="1"/>
  <c r="IE171" i="1"/>
  <c r="IE185" i="1"/>
  <c r="IE137" i="1"/>
  <c r="IE205" i="1"/>
  <c r="IE177" i="1"/>
  <c r="IE199" i="1"/>
  <c r="IE106" i="1"/>
  <c r="IE203" i="1"/>
  <c r="IE124" i="1"/>
  <c r="IE170" i="1"/>
  <c r="IE152" i="1"/>
  <c r="IE118" i="1"/>
  <c r="IE198" i="1"/>
  <c r="IE200" i="1"/>
  <c r="IE136" i="1"/>
  <c r="IE108" i="1"/>
  <c r="IE149" i="1"/>
  <c r="IE187" i="1"/>
  <c r="IE168" i="1"/>
  <c r="IE162" i="1"/>
  <c r="IE139" i="1"/>
  <c r="IE196" i="1"/>
  <c r="IE153" i="1"/>
  <c r="IE197" i="1"/>
  <c r="IE176" i="1"/>
  <c r="IE202" i="1"/>
  <c r="IE167" i="1"/>
  <c r="IE207" i="1"/>
  <c r="IE192" i="1"/>
  <c r="ID3" i="1"/>
  <c r="ID2" i="1"/>
  <c r="ID43" i="1"/>
  <c r="ID71" i="1"/>
  <c r="ID7" i="1"/>
  <c r="ID164" i="1"/>
  <c r="ID4" i="1"/>
  <c r="ID99" i="1"/>
  <c r="ID6" i="1"/>
  <c r="ID8" i="1"/>
  <c r="ID10" i="1"/>
  <c r="ID9" i="1"/>
  <c r="ID127" i="1"/>
  <c r="ID11" i="1"/>
  <c r="ID44" i="1"/>
  <c r="ID39" i="1"/>
  <c r="ID45" i="1"/>
  <c r="ID16" i="1"/>
  <c r="ID12" i="1"/>
  <c r="ID48" i="1"/>
  <c r="ID54" i="1"/>
  <c r="ID47" i="1"/>
  <c r="ID20" i="1"/>
  <c r="ID50" i="1"/>
  <c r="ID22" i="1"/>
  <c r="ID49" i="1"/>
  <c r="ID13" i="1"/>
  <c r="ID26" i="1"/>
  <c r="ID52" i="1"/>
  <c r="ID46" i="1"/>
  <c r="ID72" i="1"/>
  <c r="ID5" i="1"/>
  <c r="ID18" i="1"/>
  <c r="ID23" i="1"/>
  <c r="ID15" i="1"/>
  <c r="ID14" i="1"/>
  <c r="ID59" i="1"/>
  <c r="ID38" i="1"/>
  <c r="ID21" i="1"/>
  <c r="ID27" i="1"/>
  <c r="ID17" i="1"/>
  <c r="ID68" i="1"/>
  <c r="ID121" i="1"/>
  <c r="ID24" i="1"/>
  <c r="ID30" i="1"/>
  <c r="ID40" i="1"/>
  <c r="ID35" i="1"/>
  <c r="ID29" i="1"/>
  <c r="ID37" i="1"/>
  <c r="ID28" i="1"/>
  <c r="ID19" i="1"/>
  <c r="ID33" i="1"/>
  <c r="ID109" i="1"/>
  <c r="ID64" i="1"/>
  <c r="ID63" i="1"/>
  <c r="ID77" i="1"/>
  <c r="ID115" i="1"/>
  <c r="ID31" i="1"/>
  <c r="ID41" i="1"/>
  <c r="ID191" i="1"/>
  <c r="ID85" i="1"/>
  <c r="ID62" i="1"/>
  <c r="ID36" i="1"/>
  <c r="ID32" i="1"/>
  <c r="ID34" i="1"/>
  <c r="ID93" i="1"/>
  <c r="ID117" i="1"/>
  <c r="ID154" i="1"/>
  <c r="ID107" i="1"/>
  <c r="ID98" i="1"/>
  <c r="ID138" i="1"/>
  <c r="ID75" i="1"/>
  <c r="ID122" i="1"/>
  <c r="ID84" i="1"/>
  <c r="ID116" i="1"/>
  <c r="ID186" i="1"/>
  <c r="ID89" i="1"/>
  <c r="ID70" i="1"/>
  <c r="ID61" i="1"/>
  <c r="ID74" i="1"/>
  <c r="ID88" i="1"/>
  <c r="ID73" i="1"/>
  <c r="ID111" i="1"/>
  <c r="ID87" i="1"/>
  <c r="ID82" i="1"/>
  <c r="ID53" i="1"/>
  <c r="ID175" i="1"/>
  <c r="ID55" i="1"/>
  <c r="ID51" i="1"/>
  <c r="ID157" i="1"/>
  <c r="ID158" i="1"/>
  <c r="ID83" i="1"/>
  <c r="ID91" i="1"/>
  <c r="ID105" i="1"/>
  <c r="ID103" i="1"/>
  <c r="ID188" i="1"/>
  <c r="ID163" i="1"/>
  <c r="ID101" i="1"/>
  <c r="ID65" i="1"/>
  <c r="ID60" i="1"/>
  <c r="ID80" i="1"/>
  <c r="ID56" i="1"/>
  <c r="ID57" i="1"/>
  <c r="ID25" i="1"/>
  <c r="ID104" i="1"/>
  <c r="ID66" i="1"/>
  <c r="ID58" i="1"/>
  <c r="ID155" i="1"/>
  <c r="ID156" i="1"/>
  <c r="ID134" i="1"/>
  <c r="ID92" i="1"/>
  <c r="ID67" i="1"/>
  <c r="ID126" i="1"/>
  <c r="ID145" i="1"/>
  <c r="ID135" i="1"/>
  <c r="ID159" i="1"/>
  <c r="ID76" i="1"/>
  <c r="ID114" i="1"/>
  <c r="ID161" i="1"/>
  <c r="ID160" i="1"/>
  <c r="ID95" i="1"/>
  <c r="ID120" i="1"/>
  <c r="ID42" i="1"/>
  <c r="ID183" i="1"/>
  <c r="ID112" i="1"/>
  <c r="ID148" i="1"/>
  <c r="ID179" i="1"/>
  <c r="ID128" i="1"/>
  <c r="ID144" i="1"/>
  <c r="ID110" i="1"/>
  <c r="ID81" i="1"/>
  <c r="ID100" i="1"/>
  <c r="ID123" i="1"/>
  <c r="ID86" i="1"/>
  <c r="ID174" i="1"/>
  <c r="ID201" i="1"/>
  <c r="ID90" i="1"/>
  <c r="ID102" i="1"/>
  <c r="ID94" i="1"/>
  <c r="ID119" i="1"/>
  <c r="ID141" i="1"/>
  <c r="ID147" i="1"/>
  <c r="ID165" i="1"/>
  <c r="ID132" i="1"/>
  <c r="ID189" i="1"/>
  <c r="ID133" i="1"/>
  <c r="ID206" i="1"/>
  <c r="ID78" i="1"/>
  <c r="ID143" i="1"/>
  <c r="ID150" i="1"/>
  <c r="ID130" i="1"/>
  <c r="ID96" i="1"/>
  <c r="ID182" i="1"/>
  <c r="ID195" i="1"/>
  <c r="ID178" i="1"/>
  <c r="ID181" i="1"/>
  <c r="ID194" i="1"/>
  <c r="ID208" i="1"/>
  <c r="ID129" i="1"/>
  <c r="ID180" i="1"/>
  <c r="ID140" i="1"/>
  <c r="ID125" i="1"/>
  <c r="ID131" i="1"/>
  <c r="ID173" i="1"/>
  <c r="ID184" i="1"/>
  <c r="ID190" i="1"/>
  <c r="ID142" i="1"/>
  <c r="ID69" i="1"/>
  <c r="ID151" i="1"/>
  <c r="ID193" i="1"/>
  <c r="ID169" i="1"/>
  <c r="ID166" i="1"/>
  <c r="ID97" i="1"/>
  <c r="ID79" i="1"/>
  <c r="ID146" i="1"/>
  <c r="ID204" i="1"/>
  <c r="ID113" i="1"/>
  <c r="ID172" i="1"/>
  <c r="ID171" i="1"/>
  <c r="ID185" i="1"/>
  <c r="ID137" i="1"/>
  <c r="ID205" i="1"/>
  <c r="ID177" i="1"/>
  <c r="ID199" i="1"/>
  <c r="ID106" i="1"/>
  <c r="ID203" i="1"/>
  <c r="ID124" i="1"/>
  <c r="ID170" i="1"/>
  <c r="ID152" i="1"/>
  <c r="ID118" i="1"/>
  <c r="ID198" i="1"/>
  <c r="ID200" i="1"/>
  <c r="ID136" i="1"/>
  <c r="ID108" i="1"/>
  <c r="ID149" i="1"/>
  <c r="ID187" i="1"/>
  <c r="ID168" i="1"/>
  <c r="ID162" i="1"/>
  <c r="ID139" i="1"/>
  <c r="ID196" i="1"/>
  <c r="ID153" i="1"/>
  <c r="ID197" i="1"/>
  <c r="ID176" i="1"/>
  <c r="ID202" i="1"/>
  <c r="ID167" i="1"/>
  <c r="ID207" i="1"/>
  <c r="ID192" i="1"/>
  <c r="IC3" i="1"/>
  <c r="IC2" i="1"/>
  <c r="IC43" i="1"/>
  <c r="IC71" i="1"/>
  <c r="IC7" i="1"/>
  <c r="IC164" i="1"/>
  <c r="IC4" i="1"/>
  <c r="IC99" i="1"/>
  <c r="IC6" i="1"/>
  <c r="IC8" i="1"/>
  <c r="IC10" i="1"/>
  <c r="IC9" i="1"/>
  <c r="IC127" i="1"/>
  <c r="IC11" i="1"/>
  <c r="IC44" i="1"/>
  <c r="IC39" i="1"/>
  <c r="IC45" i="1"/>
  <c r="IC16" i="1"/>
  <c r="IC12" i="1"/>
  <c r="IC48" i="1"/>
  <c r="IC54" i="1"/>
  <c r="IC47" i="1"/>
  <c r="IC20" i="1"/>
  <c r="IC50" i="1"/>
  <c r="IC22" i="1"/>
  <c r="IC49" i="1"/>
  <c r="IC13" i="1"/>
  <c r="IC26" i="1"/>
  <c r="IC52" i="1"/>
  <c r="IC46" i="1"/>
  <c r="IC72" i="1"/>
  <c r="IC5" i="1"/>
  <c r="IC18" i="1"/>
  <c r="IC23" i="1"/>
  <c r="IC15" i="1"/>
  <c r="IC14" i="1"/>
  <c r="IC59" i="1"/>
  <c r="IC38" i="1"/>
  <c r="IC21" i="1"/>
  <c r="IC27" i="1"/>
  <c r="IC17" i="1"/>
  <c r="IC68" i="1"/>
  <c r="IC121" i="1"/>
  <c r="IC24" i="1"/>
  <c r="IC30" i="1"/>
  <c r="IC40" i="1"/>
  <c r="IC35" i="1"/>
  <c r="IC29" i="1"/>
  <c r="IC37" i="1"/>
  <c r="IC28" i="1"/>
  <c r="IC19" i="1"/>
  <c r="IC33" i="1"/>
  <c r="IC109" i="1"/>
  <c r="IC64" i="1"/>
  <c r="IC63" i="1"/>
  <c r="IC77" i="1"/>
  <c r="IC115" i="1"/>
  <c r="IC31" i="1"/>
  <c r="IC41" i="1"/>
  <c r="IC191" i="1"/>
  <c r="IC85" i="1"/>
  <c r="IC62" i="1"/>
  <c r="IC36" i="1"/>
  <c r="IC32" i="1"/>
  <c r="IC34" i="1"/>
  <c r="IC93" i="1"/>
  <c r="IC117" i="1"/>
  <c r="IC154" i="1"/>
  <c r="IC107" i="1"/>
  <c r="IC98" i="1"/>
  <c r="IC138" i="1"/>
  <c r="IC75" i="1"/>
  <c r="IC122" i="1"/>
  <c r="IC84" i="1"/>
  <c r="IC116" i="1"/>
  <c r="IC186" i="1"/>
  <c r="IC89" i="1"/>
  <c r="IC70" i="1"/>
  <c r="IC61" i="1"/>
  <c r="IC74" i="1"/>
  <c r="IC88" i="1"/>
  <c r="IC73" i="1"/>
  <c r="IC111" i="1"/>
  <c r="IC87" i="1"/>
  <c r="IC82" i="1"/>
  <c r="IC53" i="1"/>
  <c r="IC175" i="1"/>
  <c r="IC55" i="1"/>
  <c r="IC51" i="1"/>
  <c r="IC157" i="1"/>
  <c r="IC158" i="1"/>
  <c r="IC83" i="1"/>
  <c r="IC91" i="1"/>
  <c r="IC105" i="1"/>
  <c r="IC103" i="1"/>
  <c r="IC188" i="1"/>
  <c r="IC163" i="1"/>
  <c r="IC101" i="1"/>
  <c r="IC65" i="1"/>
  <c r="IC60" i="1"/>
  <c r="IC80" i="1"/>
  <c r="IC56" i="1"/>
  <c r="IC57" i="1"/>
  <c r="IC25" i="1"/>
  <c r="IC104" i="1"/>
  <c r="IC66" i="1"/>
  <c r="IC58" i="1"/>
  <c r="IC155" i="1"/>
  <c r="IC156" i="1"/>
  <c r="IC134" i="1"/>
  <c r="IC92" i="1"/>
  <c r="IC67" i="1"/>
  <c r="IC126" i="1"/>
  <c r="IC145" i="1"/>
  <c r="IC135" i="1"/>
  <c r="IC159" i="1"/>
  <c r="IC76" i="1"/>
  <c r="IC114" i="1"/>
  <c r="IC161" i="1"/>
  <c r="IC160" i="1"/>
  <c r="IC95" i="1"/>
  <c r="IC120" i="1"/>
  <c r="IC42" i="1"/>
  <c r="IC183" i="1"/>
  <c r="IC112" i="1"/>
  <c r="IC148" i="1"/>
  <c r="IC179" i="1"/>
  <c r="IC128" i="1"/>
  <c r="IC144" i="1"/>
  <c r="IC110" i="1"/>
  <c r="IC81" i="1"/>
  <c r="IC100" i="1"/>
  <c r="IC123" i="1"/>
  <c r="IC86" i="1"/>
  <c r="IC174" i="1"/>
  <c r="IC201" i="1"/>
  <c r="IC90" i="1"/>
  <c r="IC102" i="1"/>
  <c r="IC94" i="1"/>
  <c r="IC119" i="1"/>
  <c r="IC141" i="1"/>
  <c r="IC147" i="1"/>
  <c r="IC165" i="1"/>
  <c r="IC132" i="1"/>
  <c r="IC189" i="1"/>
  <c r="IC133" i="1"/>
  <c r="IC206" i="1"/>
  <c r="IC78" i="1"/>
  <c r="IC143" i="1"/>
  <c r="IC150" i="1"/>
  <c r="IC130" i="1"/>
  <c r="IC96" i="1"/>
  <c r="IC182" i="1"/>
  <c r="IC195" i="1"/>
  <c r="IC178" i="1"/>
  <c r="IC181" i="1"/>
  <c r="IC194" i="1"/>
  <c r="IC208" i="1"/>
  <c r="IC129" i="1"/>
  <c r="IC180" i="1"/>
  <c r="IC140" i="1"/>
  <c r="IC125" i="1"/>
  <c r="IC131" i="1"/>
  <c r="IC173" i="1"/>
  <c r="IC184" i="1"/>
  <c r="IC190" i="1"/>
  <c r="IC142" i="1"/>
  <c r="IC69" i="1"/>
  <c r="IC151" i="1"/>
  <c r="IC193" i="1"/>
  <c r="IC169" i="1"/>
  <c r="IC166" i="1"/>
  <c r="IC97" i="1"/>
  <c r="IC79" i="1"/>
  <c r="IC146" i="1"/>
  <c r="IC204" i="1"/>
  <c r="IC113" i="1"/>
  <c r="IC172" i="1"/>
  <c r="IC171" i="1"/>
  <c r="IC185" i="1"/>
  <c r="IC137" i="1"/>
  <c r="IC205" i="1"/>
  <c r="IC177" i="1"/>
  <c r="IC199" i="1"/>
  <c r="IC106" i="1"/>
  <c r="IC203" i="1"/>
  <c r="IC124" i="1"/>
  <c r="IC170" i="1"/>
  <c r="IC152" i="1"/>
  <c r="IC118" i="1"/>
  <c r="IC198" i="1"/>
  <c r="IC200" i="1"/>
  <c r="IC136" i="1"/>
  <c r="IC108" i="1"/>
  <c r="IC149" i="1"/>
  <c r="IC187" i="1"/>
  <c r="IC168" i="1"/>
  <c r="IC162" i="1"/>
  <c r="IC139" i="1"/>
  <c r="IC196" i="1"/>
  <c r="IC153" i="1"/>
  <c r="IC197" i="1"/>
  <c r="IC176" i="1"/>
  <c r="IC202" i="1"/>
  <c r="IC167" i="1"/>
  <c r="IC207" i="1"/>
  <c r="IC192" i="1"/>
  <c r="IB3" i="1"/>
  <c r="IB2" i="1"/>
  <c r="IB43" i="1"/>
  <c r="IB71" i="1"/>
  <c r="IB7" i="1"/>
  <c r="IB164" i="1"/>
  <c r="IB4" i="1"/>
  <c r="IB99" i="1"/>
  <c r="IB6" i="1"/>
  <c r="IB8" i="1"/>
  <c r="IB10" i="1"/>
  <c r="IB9" i="1"/>
  <c r="IB127" i="1"/>
  <c r="IB11" i="1"/>
  <c r="IB44" i="1"/>
  <c r="IB39" i="1"/>
  <c r="IB45" i="1"/>
  <c r="IB16" i="1"/>
  <c r="IB12" i="1"/>
  <c r="IB48" i="1"/>
  <c r="IB54" i="1"/>
  <c r="IB47" i="1"/>
  <c r="IB20" i="1"/>
  <c r="IB50" i="1"/>
  <c r="IB22" i="1"/>
  <c r="IB49" i="1"/>
  <c r="IB13" i="1"/>
  <c r="IB26" i="1"/>
  <c r="IB52" i="1"/>
  <c r="IB46" i="1"/>
  <c r="IB72" i="1"/>
  <c r="IB5" i="1"/>
  <c r="IB18" i="1"/>
  <c r="IB23" i="1"/>
  <c r="IB15" i="1"/>
  <c r="IB14" i="1"/>
  <c r="IB59" i="1"/>
  <c r="IB38" i="1"/>
  <c r="IB21" i="1"/>
  <c r="IB27" i="1"/>
  <c r="IB17" i="1"/>
  <c r="IB68" i="1"/>
  <c r="IB121" i="1"/>
  <c r="IB24" i="1"/>
  <c r="IB30" i="1"/>
  <c r="IB40" i="1"/>
  <c r="IB35" i="1"/>
  <c r="IB29" i="1"/>
  <c r="IB37" i="1"/>
  <c r="IB28" i="1"/>
  <c r="IB19" i="1"/>
  <c r="IB33" i="1"/>
  <c r="IB109" i="1"/>
  <c r="IB64" i="1"/>
  <c r="IB63" i="1"/>
  <c r="IB77" i="1"/>
  <c r="IB115" i="1"/>
  <c r="IB31" i="1"/>
  <c r="IB41" i="1"/>
  <c r="IB191" i="1"/>
  <c r="IB85" i="1"/>
  <c r="IB62" i="1"/>
  <c r="IB36" i="1"/>
  <c r="IB32" i="1"/>
  <c r="IB34" i="1"/>
  <c r="IB93" i="1"/>
  <c r="IB117" i="1"/>
  <c r="IB154" i="1"/>
  <c r="IB107" i="1"/>
  <c r="IB98" i="1"/>
  <c r="IB138" i="1"/>
  <c r="IB75" i="1"/>
  <c r="IB122" i="1"/>
  <c r="IB84" i="1"/>
  <c r="IB116" i="1"/>
  <c r="IB186" i="1"/>
  <c r="IB89" i="1"/>
  <c r="IB70" i="1"/>
  <c r="IB61" i="1"/>
  <c r="IB74" i="1"/>
  <c r="IB88" i="1"/>
  <c r="IB73" i="1"/>
  <c r="IB111" i="1"/>
  <c r="IB87" i="1"/>
  <c r="IB82" i="1"/>
  <c r="IB53" i="1"/>
  <c r="IB175" i="1"/>
  <c r="IB55" i="1"/>
  <c r="IB51" i="1"/>
  <c r="IB157" i="1"/>
  <c r="IB158" i="1"/>
  <c r="IB83" i="1"/>
  <c r="IB91" i="1"/>
  <c r="IB105" i="1"/>
  <c r="IB103" i="1"/>
  <c r="IB188" i="1"/>
  <c r="IB163" i="1"/>
  <c r="IB101" i="1"/>
  <c r="IB65" i="1"/>
  <c r="IB60" i="1"/>
  <c r="IB80" i="1"/>
  <c r="IB56" i="1"/>
  <c r="IB57" i="1"/>
  <c r="IB25" i="1"/>
  <c r="IB104" i="1"/>
  <c r="IB66" i="1"/>
  <c r="IB58" i="1"/>
  <c r="IB155" i="1"/>
  <c r="IB156" i="1"/>
  <c r="IB134" i="1"/>
  <c r="IB92" i="1"/>
  <c r="IB67" i="1"/>
  <c r="IB126" i="1"/>
  <c r="IB145" i="1"/>
  <c r="IB135" i="1"/>
  <c r="IB159" i="1"/>
  <c r="IB76" i="1"/>
  <c r="IB114" i="1"/>
  <c r="IB161" i="1"/>
  <c r="IB160" i="1"/>
  <c r="IB95" i="1"/>
  <c r="IB120" i="1"/>
  <c r="IB42" i="1"/>
  <c r="IB183" i="1"/>
  <c r="IB112" i="1"/>
  <c r="IB148" i="1"/>
  <c r="IB179" i="1"/>
  <c r="IB128" i="1"/>
  <c r="IB144" i="1"/>
  <c r="IB110" i="1"/>
  <c r="IB81" i="1"/>
  <c r="IB100" i="1"/>
  <c r="IB123" i="1"/>
  <c r="IB86" i="1"/>
  <c r="IB174" i="1"/>
  <c r="IB201" i="1"/>
  <c r="IB90" i="1"/>
  <c r="IB102" i="1"/>
  <c r="IB94" i="1"/>
  <c r="IB119" i="1"/>
  <c r="IB141" i="1"/>
  <c r="IB147" i="1"/>
  <c r="IB165" i="1"/>
  <c r="IB132" i="1"/>
  <c r="IB189" i="1"/>
  <c r="IB133" i="1"/>
  <c r="IB206" i="1"/>
  <c r="IB78" i="1"/>
  <c r="IB143" i="1"/>
  <c r="IB150" i="1"/>
  <c r="IB130" i="1"/>
  <c r="IB96" i="1"/>
  <c r="IB182" i="1"/>
  <c r="IB195" i="1"/>
  <c r="IB178" i="1"/>
  <c r="IB181" i="1"/>
  <c r="IB194" i="1"/>
  <c r="IB208" i="1"/>
  <c r="IB129" i="1"/>
  <c r="IB180" i="1"/>
  <c r="IB140" i="1"/>
  <c r="IB125" i="1"/>
  <c r="IB131" i="1"/>
  <c r="IB173" i="1"/>
  <c r="IB184" i="1"/>
  <c r="IB190" i="1"/>
  <c r="IB142" i="1"/>
  <c r="IB69" i="1"/>
  <c r="IB151" i="1"/>
  <c r="IB193" i="1"/>
  <c r="IB169" i="1"/>
  <c r="IB166" i="1"/>
  <c r="IB97" i="1"/>
  <c r="IB79" i="1"/>
  <c r="IB146" i="1"/>
  <c r="IB204" i="1"/>
  <c r="IB113" i="1"/>
  <c r="IB172" i="1"/>
  <c r="IB171" i="1"/>
  <c r="IB185" i="1"/>
  <c r="IB137" i="1"/>
  <c r="IB205" i="1"/>
  <c r="IB177" i="1"/>
  <c r="IB199" i="1"/>
  <c r="IB106" i="1"/>
  <c r="IB203" i="1"/>
  <c r="IB124" i="1"/>
  <c r="IB170" i="1"/>
  <c r="IB152" i="1"/>
  <c r="IB118" i="1"/>
  <c r="IB198" i="1"/>
  <c r="IB200" i="1"/>
  <c r="IB136" i="1"/>
  <c r="IB108" i="1"/>
  <c r="IB149" i="1"/>
  <c r="IB187" i="1"/>
  <c r="IB168" i="1"/>
  <c r="IB162" i="1"/>
  <c r="IB139" i="1"/>
  <c r="IB196" i="1"/>
  <c r="IB153" i="1"/>
  <c r="IB197" i="1"/>
  <c r="IB176" i="1"/>
  <c r="IB202" i="1"/>
  <c r="IB167" i="1"/>
  <c r="IB207" i="1"/>
  <c r="IB192" i="1"/>
  <c r="IA3" i="1"/>
  <c r="IA2" i="1"/>
  <c r="IA43" i="1"/>
  <c r="IA71" i="1"/>
  <c r="IA7" i="1"/>
  <c r="IA164" i="1"/>
  <c r="IA4" i="1"/>
  <c r="IA99" i="1"/>
  <c r="IA6" i="1"/>
  <c r="IA8" i="1"/>
  <c r="IA10" i="1"/>
  <c r="IA9" i="1"/>
  <c r="IA127" i="1"/>
  <c r="IA11" i="1"/>
  <c r="IA44" i="1"/>
  <c r="IA39" i="1"/>
  <c r="IA45" i="1"/>
  <c r="IA16" i="1"/>
  <c r="IA12" i="1"/>
  <c r="IA48" i="1"/>
  <c r="IA54" i="1"/>
  <c r="IA47" i="1"/>
  <c r="IA20" i="1"/>
  <c r="IA50" i="1"/>
  <c r="IA22" i="1"/>
  <c r="IA49" i="1"/>
  <c r="IA13" i="1"/>
  <c r="IA26" i="1"/>
  <c r="IA52" i="1"/>
  <c r="IA46" i="1"/>
  <c r="IA72" i="1"/>
  <c r="IA5" i="1"/>
  <c r="IA18" i="1"/>
  <c r="IA23" i="1"/>
  <c r="IA15" i="1"/>
  <c r="IA14" i="1"/>
  <c r="IA59" i="1"/>
  <c r="IA38" i="1"/>
  <c r="IA21" i="1"/>
  <c r="IA27" i="1"/>
  <c r="IA17" i="1"/>
  <c r="IA68" i="1"/>
  <c r="IA121" i="1"/>
  <c r="IA24" i="1"/>
  <c r="IA30" i="1"/>
  <c r="IA40" i="1"/>
  <c r="IA35" i="1"/>
  <c r="IA29" i="1"/>
  <c r="IA37" i="1"/>
  <c r="IA28" i="1"/>
  <c r="IA19" i="1"/>
  <c r="IA33" i="1"/>
  <c r="IA109" i="1"/>
  <c r="IA64" i="1"/>
  <c r="IA63" i="1"/>
  <c r="IA77" i="1"/>
  <c r="IA115" i="1"/>
  <c r="IA31" i="1"/>
  <c r="IA41" i="1"/>
  <c r="IA191" i="1"/>
  <c r="IA85" i="1"/>
  <c r="IA62" i="1"/>
  <c r="IA36" i="1"/>
  <c r="IA32" i="1"/>
  <c r="IA34" i="1"/>
  <c r="IA93" i="1"/>
  <c r="IA117" i="1"/>
  <c r="IA154" i="1"/>
  <c r="IA107" i="1"/>
  <c r="IA98" i="1"/>
  <c r="IA138" i="1"/>
  <c r="IA75" i="1"/>
  <c r="IA122" i="1"/>
  <c r="IA84" i="1"/>
  <c r="IA116" i="1"/>
  <c r="IA186" i="1"/>
  <c r="IA89" i="1"/>
  <c r="IA70" i="1"/>
  <c r="IA61" i="1"/>
  <c r="IA74" i="1"/>
  <c r="IA88" i="1"/>
  <c r="IA73" i="1"/>
  <c r="IA111" i="1"/>
  <c r="IA87" i="1"/>
  <c r="IA82" i="1"/>
  <c r="IA53" i="1"/>
  <c r="IA175" i="1"/>
  <c r="IA55" i="1"/>
  <c r="IA51" i="1"/>
  <c r="IA157" i="1"/>
  <c r="IA158" i="1"/>
  <c r="IA83" i="1"/>
  <c r="IA91" i="1"/>
  <c r="IA105" i="1"/>
  <c r="IA103" i="1"/>
  <c r="IA188" i="1"/>
  <c r="IA163" i="1"/>
  <c r="IA101" i="1"/>
  <c r="IA65" i="1"/>
  <c r="IA60" i="1"/>
  <c r="IA80" i="1"/>
  <c r="IA56" i="1"/>
  <c r="IA57" i="1"/>
  <c r="IA25" i="1"/>
  <c r="IA104" i="1"/>
  <c r="IA66" i="1"/>
  <c r="IA58" i="1"/>
  <c r="IA155" i="1"/>
  <c r="IA156" i="1"/>
  <c r="IA134" i="1"/>
  <c r="IA92" i="1"/>
  <c r="IA67" i="1"/>
  <c r="IA126" i="1"/>
  <c r="IA145" i="1"/>
  <c r="IA135" i="1"/>
  <c r="IA159" i="1"/>
  <c r="IA76" i="1"/>
  <c r="IA114" i="1"/>
  <c r="IA161" i="1"/>
  <c r="IA160" i="1"/>
  <c r="IA95" i="1"/>
  <c r="IA120" i="1"/>
  <c r="IA42" i="1"/>
  <c r="IA183" i="1"/>
  <c r="IA112" i="1"/>
  <c r="IA148" i="1"/>
  <c r="IA179" i="1"/>
  <c r="IA128" i="1"/>
  <c r="IA144" i="1"/>
  <c r="IA110" i="1"/>
  <c r="IA81" i="1"/>
  <c r="IA100" i="1"/>
  <c r="IA123" i="1"/>
  <c r="IA86" i="1"/>
  <c r="IA174" i="1"/>
  <c r="IA201" i="1"/>
  <c r="IA90" i="1"/>
  <c r="IA102" i="1"/>
  <c r="IA94" i="1"/>
  <c r="IA119" i="1"/>
  <c r="IA141" i="1"/>
  <c r="IA147" i="1"/>
  <c r="IA165" i="1"/>
  <c r="IA132" i="1"/>
  <c r="IA189" i="1"/>
  <c r="IA133" i="1"/>
  <c r="IA206" i="1"/>
  <c r="IA78" i="1"/>
  <c r="IA143" i="1"/>
  <c r="IA150" i="1"/>
  <c r="IA130" i="1"/>
  <c r="IA96" i="1"/>
  <c r="IA182" i="1"/>
  <c r="IA195" i="1"/>
  <c r="IA178" i="1"/>
  <c r="IA181" i="1"/>
  <c r="IA194" i="1"/>
  <c r="IA208" i="1"/>
  <c r="IA129" i="1"/>
  <c r="IA180" i="1"/>
  <c r="IA140" i="1"/>
  <c r="IA125" i="1"/>
  <c r="IA131" i="1"/>
  <c r="IA173" i="1"/>
  <c r="IA184" i="1"/>
  <c r="IA190" i="1"/>
  <c r="IA142" i="1"/>
  <c r="IA69" i="1"/>
  <c r="IA151" i="1"/>
  <c r="IA193" i="1"/>
  <c r="IA169" i="1"/>
  <c r="IA166" i="1"/>
  <c r="IA97" i="1"/>
  <c r="IA79" i="1"/>
  <c r="IA146" i="1"/>
  <c r="IA204" i="1"/>
  <c r="IA113" i="1"/>
  <c r="IA172" i="1"/>
  <c r="IA171" i="1"/>
  <c r="IA185" i="1"/>
  <c r="IA137" i="1"/>
  <c r="IA205" i="1"/>
  <c r="IA177" i="1"/>
  <c r="IA199" i="1"/>
  <c r="IA106" i="1"/>
  <c r="IA203" i="1"/>
  <c r="IA124" i="1"/>
  <c r="IA170" i="1"/>
  <c r="IA152" i="1"/>
  <c r="IA118" i="1"/>
  <c r="IA198" i="1"/>
  <c r="IA200" i="1"/>
  <c r="IA136" i="1"/>
  <c r="IA108" i="1"/>
  <c r="IA149" i="1"/>
  <c r="IA187" i="1"/>
  <c r="IA168" i="1"/>
  <c r="IA162" i="1"/>
  <c r="IA139" i="1"/>
  <c r="IA196" i="1"/>
  <c r="IA153" i="1"/>
  <c r="IA197" i="1"/>
  <c r="IA176" i="1"/>
  <c r="IA202" i="1"/>
  <c r="IA167" i="1"/>
  <c r="IA207" i="1"/>
  <c r="IA192" i="1"/>
  <c r="HZ3" i="1"/>
  <c r="HZ2" i="1"/>
  <c r="HZ43" i="1"/>
  <c r="HZ71" i="1"/>
  <c r="HZ7" i="1"/>
  <c r="HZ164" i="1"/>
  <c r="HZ4" i="1"/>
  <c r="HZ99" i="1"/>
  <c r="HZ6" i="1"/>
  <c r="HZ8" i="1"/>
  <c r="HZ10" i="1"/>
  <c r="HZ9" i="1"/>
  <c r="HZ127" i="1"/>
  <c r="HZ11" i="1"/>
  <c r="HZ44" i="1"/>
  <c r="HZ39" i="1"/>
  <c r="HZ45" i="1"/>
  <c r="HZ16" i="1"/>
  <c r="HZ12" i="1"/>
  <c r="HZ48" i="1"/>
  <c r="HZ54" i="1"/>
  <c r="HZ47" i="1"/>
  <c r="HZ20" i="1"/>
  <c r="HZ50" i="1"/>
  <c r="HZ22" i="1"/>
  <c r="HZ49" i="1"/>
  <c r="HZ13" i="1"/>
  <c r="HZ26" i="1"/>
  <c r="HZ52" i="1"/>
  <c r="HZ46" i="1"/>
  <c r="HZ72" i="1"/>
  <c r="HZ5" i="1"/>
  <c r="HZ18" i="1"/>
  <c r="HZ23" i="1"/>
  <c r="HZ15" i="1"/>
  <c r="HZ14" i="1"/>
  <c r="HZ59" i="1"/>
  <c r="HZ38" i="1"/>
  <c r="HZ21" i="1"/>
  <c r="HZ27" i="1"/>
  <c r="HZ17" i="1"/>
  <c r="HZ68" i="1"/>
  <c r="HZ121" i="1"/>
  <c r="HZ24" i="1"/>
  <c r="HZ30" i="1"/>
  <c r="HZ40" i="1"/>
  <c r="HZ35" i="1"/>
  <c r="HZ29" i="1"/>
  <c r="HZ37" i="1"/>
  <c r="HZ28" i="1"/>
  <c r="HZ19" i="1"/>
  <c r="HZ33" i="1"/>
  <c r="HZ109" i="1"/>
  <c r="HZ64" i="1"/>
  <c r="HZ63" i="1"/>
  <c r="HZ77" i="1"/>
  <c r="HZ115" i="1"/>
  <c r="HZ31" i="1"/>
  <c r="HZ41" i="1"/>
  <c r="HZ191" i="1"/>
  <c r="HZ85" i="1"/>
  <c r="HZ62" i="1"/>
  <c r="HZ36" i="1"/>
  <c r="HZ32" i="1"/>
  <c r="HZ34" i="1"/>
  <c r="HZ93" i="1"/>
  <c r="HZ117" i="1"/>
  <c r="HZ154" i="1"/>
  <c r="HZ107" i="1"/>
  <c r="HZ98" i="1"/>
  <c r="HZ138" i="1"/>
  <c r="HZ75" i="1"/>
  <c r="HZ122" i="1"/>
  <c r="HZ84" i="1"/>
  <c r="HZ116" i="1"/>
  <c r="HZ186" i="1"/>
  <c r="HZ89" i="1"/>
  <c r="HZ70" i="1"/>
  <c r="HZ61" i="1"/>
  <c r="HZ74" i="1"/>
  <c r="HZ88" i="1"/>
  <c r="HZ73" i="1"/>
  <c r="HZ111" i="1"/>
  <c r="HZ87" i="1"/>
  <c r="HZ82" i="1"/>
  <c r="HZ53" i="1"/>
  <c r="HZ175" i="1"/>
  <c r="HZ55" i="1"/>
  <c r="HZ51" i="1"/>
  <c r="HZ157" i="1"/>
  <c r="HZ158" i="1"/>
  <c r="HZ83" i="1"/>
  <c r="HZ91" i="1"/>
  <c r="HZ105" i="1"/>
  <c r="HZ103" i="1"/>
  <c r="HZ188" i="1"/>
  <c r="HZ163" i="1"/>
  <c r="HZ101" i="1"/>
  <c r="HZ65" i="1"/>
  <c r="HZ60" i="1"/>
  <c r="HZ80" i="1"/>
  <c r="HZ56" i="1"/>
  <c r="HZ57" i="1"/>
  <c r="HZ25" i="1"/>
  <c r="HZ104" i="1"/>
  <c r="HZ66" i="1"/>
  <c r="HZ58" i="1"/>
  <c r="HZ155" i="1"/>
  <c r="HZ156" i="1"/>
  <c r="HZ134" i="1"/>
  <c r="HZ92" i="1"/>
  <c r="HZ67" i="1"/>
  <c r="HZ126" i="1"/>
  <c r="HZ145" i="1"/>
  <c r="HZ135" i="1"/>
  <c r="HZ159" i="1"/>
  <c r="HZ76" i="1"/>
  <c r="HZ114" i="1"/>
  <c r="HZ161" i="1"/>
  <c r="HZ160" i="1"/>
  <c r="HZ95" i="1"/>
  <c r="HZ120" i="1"/>
  <c r="HZ42" i="1"/>
  <c r="HZ183" i="1"/>
  <c r="HZ112" i="1"/>
  <c r="HZ148" i="1"/>
  <c r="HZ179" i="1"/>
  <c r="HZ128" i="1"/>
  <c r="HZ144" i="1"/>
  <c r="HZ110" i="1"/>
  <c r="HZ81" i="1"/>
  <c r="HZ100" i="1"/>
  <c r="HZ123" i="1"/>
  <c r="HZ86" i="1"/>
  <c r="HZ174" i="1"/>
  <c r="HZ201" i="1"/>
  <c r="HZ90" i="1"/>
  <c r="HZ102" i="1"/>
  <c r="HZ94" i="1"/>
  <c r="HZ119" i="1"/>
  <c r="HZ141" i="1"/>
  <c r="HZ147" i="1"/>
  <c r="HZ165" i="1"/>
  <c r="HZ132" i="1"/>
  <c r="HZ189" i="1"/>
  <c r="HZ133" i="1"/>
  <c r="HZ206" i="1"/>
  <c r="HZ78" i="1"/>
  <c r="HZ143" i="1"/>
  <c r="HZ150" i="1"/>
  <c r="HZ130" i="1"/>
  <c r="HZ96" i="1"/>
  <c r="HZ182" i="1"/>
  <c r="HZ195" i="1"/>
  <c r="HZ178" i="1"/>
  <c r="HZ181" i="1"/>
  <c r="HZ194" i="1"/>
  <c r="HZ208" i="1"/>
  <c r="HZ129" i="1"/>
  <c r="HZ180" i="1"/>
  <c r="HZ140" i="1"/>
  <c r="HZ125" i="1"/>
  <c r="HZ131" i="1"/>
  <c r="HZ173" i="1"/>
  <c r="HZ184" i="1"/>
  <c r="HZ190" i="1"/>
  <c r="HZ142" i="1"/>
  <c r="HZ69" i="1"/>
  <c r="HZ151" i="1"/>
  <c r="HZ193" i="1"/>
  <c r="HZ169" i="1"/>
  <c r="HZ166" i="1"/>
  <c r="HZ97" i="1"/>
  <c r="HZ79" i="1"/>
  <c r="HZ146" i="1"/>
  <c r="HZ204" i="1"/>
  <c r="HZ113" i="1"/>
  <c r="HZ172" i="1"/>
  <c r="HZ171" i="1"/>
  <c r="HZ185" i="1"/>
  <c r="HZ137" i="1"/>
  <c r="HZ205" i="1"/>
  <c r="HZ177" i="1"/>
  <c r="HZ199" i="1"/>
  <c r="HZ106" i="1"/>
  <c r="HZ203" i="1"/>
  <c r="HZ124" i="1"/>
  <c r="HZ170" i="1"/>
  <c r="HZ152" i="1"/>
  <c r="HZ118" i="1"/>
  <c r="HZ198" i="1"/>
  <c r="HZ200" i="1"/>
  <c r="HZ136" i="1"/>
  <c r="HZ108" i="1"/>
  <c r="HZ149" i="1"/>
  <c r="HZ187" i="1"/>
  <c r="HZ168" i="1"/>
  <c r="HZ162" i="1"/>
  <c r="HZ139" i="1"/>
  <c r="HZ196" i="1"/>
  <c r="HZ153" i="1"/>
  <c r="HZ197" i="1"/>
  <c r="HZ176" i="1"/>
  <c r="HZ202" i="1"/>
  <c r="HZ167" i="1"/>
  <c r="HZ207" i="1"/>
  <c r="HZ192" i="1"/>
  <c r="HY3" i="1"/>
  <c r="HY2" i="1"/>
  <c r="HY43" i="1"/>
  <c r="HY71" i="1"/>
  <c r="HY7" i="1"/>
  <c r="HY164" i="1"/>
  <c r="HY4" i="1"/>
  <c r="HY99" i="1"/>
  <c r="HY6" i="1"/>
  <c r="HY8" i="1"/>
  <c r="HY10" i="1"/>
  <c r="HY9" i="1"/>
  <c r="HY127" i="1"/>
  <c r="HY11" i="1"/>
  <c r="HY44" i="1"/>
  <c r="HY39" i="1"/>
  <c r="HY45" i="1"/>
  <c r="HY16" i="1"/>
  <c r="HY12" i="1"/>
  <c r="HY48" i="1"/>
  <c r="HY54" i="1"/>
  <c r="HY47" i="1"/>
  <c r="HY20" i="1"/>
  <c r="HY50" i="1"/>
  <c r="HY22" i="1"/>
  <c r="HY49" i="1"/>
  <c r="HY13" i="1"/>
  <c r="HY26" i="1"/>
  <c r="HY52" i="1"/>
  <c r="HY46" i="1"/>
  <c r="HY72" i="1"/>
  <c r="HY5" i="1"/>
  <c r="HY18" i="1"/>
  <c r="HY23" i="1"/>
  <c r="HY15" i="1"/>
  <c r="HY14" i="1"/>
  <c r="HY59" i="1"/>
  <c r="HY38" i="1"/>
  <c r="HY21" i="1"/>
  <c r="HY27" i="1"/>
  <c r="HY17" i="1"/>
  <c r="HY68" i="1"/>
  <c r="HY121" i="1"/>
  <c r="HY24" i="1"/>
  <c r="HY30" i="1"/>
  <c r="HY40" i="1"/>
  <c r="HY35" i="1"/>
  <c r="HY29" i="1"/>
  <c r="HY37" i="1"/>
  <c r="HY28" i="1"/>
  <c r="HY19" i="1"/>
  <c r="HY33" i="1"/>
  <c r="HY109" i="1"/>
  <c r="HY64" i="1"/>
  <c r="HY63" i="1"/>
  <c r="HY77" i="1"/>
  <c r="HY115" i="1"/>
  <c r="HY31" i="1"/>
  <c r="HY41" i="1"/>
  <c r="HY191" i="1"/>
  <c r="HY85" i="1"/>
  <c r="HY62" i="1"/>
  <c r="HY36" i="1"/>
  <c r="HY32" i="1"/>
  <c r="HY34" i="1"/>
  <c r="HY93" i="1"/>
  <c r="HY117" i="1"/>
  <c r="HY154" i="1"/>
  <c r="HY107" i="1"/>
  <c r="HY98" i="1"/>
  <c r="HY138" i="1"/>
  <c r="HY75" i="1"/>
  <c r="HY122" i="1"/>
  <c r="HY84" i="1"/>
  <c r="HY116" i="1"/>
  <c r="HY186" i="1"/>
  <c r="HY89" i="1"/>
  <c r="HY70" i="1"/>
  <c r="HY61" i="1"/>
  <c r="HY74" i="1"/>
  <c r="HY88" i="1"/>
  <c r="HY73" i="1"/>
  <c r="HY111" i="1"/>
  <c r="HY87" i="1"/>
  <c r="HY82" i="1"/>
  <c r="HY53" i="1"/>
  <c r="HY175" i="1"/>
  <c r="HY55" i="1"/>
  <c r="HY51" i="1"/>
  <c r="HY157" i="1"/>
  <c r="HY158" i="1"/>
  <c r="HY83" i="1"/>
  <c r="HY91" i="1"/>
  <c r="HY105" i="1"/>
  <c r="HY103" i="1"/>
  <c r="HY188" i="1"/>
  <c r="HY163" i="1"/>
  <c r="HY101" i="1"/>
  <c r="HY65" i="1"/>
  <c r="HY60" i="1"/>
  <c r="HY80" i="1"/>
  <c r="HY56" i="1"/>
  <c r="HY57" i="1"/>
  <c r="HY25" i="1"/>
  <c r="HY104" i="1"/>
  <c r="HY66" i="1"/>
  <c r="HY58" i="1"/>
  <c r="HY155" i="1"/>
  <c r="HY156" i="1"/>
  <c r="HY134" i="1"/>
  <c r="HY92" i="1"/>
  <c r="HY67" i="1"/>
  <c r="HY126" i="1"/>
  <c r="HY145" i="1"/>
  <c r="HY135" i="1"/>
  <c r="HY159" i="1"/>
  <c r="HY76" i="1"/>
  <c r="HY114" i="1"/>
  <c r="HY161" i="1"/>
  <c r="HY160" i="1"/>
  <c r="HY95" i="1"/>
  <c r="HY120" i="1"/>
  <c r="HY42" i="1"/>
  <c r="HY183" i="1"/>
  <c r="HY112" i="1"/>
  <c r="HY148" i="1"/>
  <c r="HY179" i="1"/>
  <c r="HY128" i="1"/>
  <c r="HY144" i="1"/>
  <c r="HY110" i="1"/>
  <c r="HY81" i="1"/>
  <c r="HY100" i="1"/>
  <c r="HY123" i="1"/>
  <c r="HY86" i="1"/>
  <c r="HY174" i="1"/>
  <c r="HY201" i="1"/>
  <c r="HY90" i="1"/>
  <c r="HY102" i="1"/>
  <c r="HY94" i="1"/>
  <c r="HY119" i="1"/>
  <c r="HY141" i="1"/>
  <c r="HY147" i="1"/>
  <c r="HY165" i="1"/>
  <c r="HY132" i="1"/>
  <c r="HY189" i="1"/>
  <c r="HY133" i="1"/>
  <c r="HY206" i="1"/>
  <c r="HY78" i="1"/>
  <c r="HY143" i="1"/>
  <c r="HY150" i="1"/>
  <c r="HY130" i="1"/>
  <c r="HY96" i="1"/>
  <c r="HY182" i="1"/>
  <c r="HY195" i="1"/>
  <c r="HY178" i="1"/>
  <c r="HY181" i="1"/>
  <c r="HY194" i="1"/>
  <c r="HY208" i="1"/>
  <c r="HY129" i="1"/>
  <c r="HY180" i="1"/>
  <c r="HY140" i="1"/>
  <c r="HY125" i="1"/>
  <c r="HY131" i="1"/>
  <c r="HY173" i="1"/>
  <c r="HY184" i="1"/>
  <c r="HY190" i="1"/>
  <c r="HY142" i="1"/>
  <c r="HY69" i="1"/>
  <c r="HY151" i="1"/>
  <c r="HY193" i="1"/>
  <c r="HY169" i="1"/>
  <c r="HY166" i="1"/>
  <c r="HY97" i="1"/>
  <c r="HY79" i="1"/>
  <c r="HY146" i="1"/>
  <c r="HY204" i="1"/>
  <c r="HY113" i="1"/>
  <c r="HY172" i="1"/>
  <c r="HY171" i="1"/>
  <c r="HY185" i="1"/>
  <c r="HY137" i="1"/>
  <c r="HY205" i="1"/>
  <c r="HY177" i="1"/>
  <c r="HY199" i="1"/>
  <c r="HY106" i="1"/>
  <c r="HY203" i="1"/>
  <c r="HY124" i="1"/>
  <c r="HY170" i="1"/>
  <c r="HY152" i="1"/>
  <c r="HY118" i="1"/>
  <c r="HY198" i="1"/>
  <c r="HY200" i="1"/>
  <c r="HY136" i="1"/>
  <c r="HY108" i="1"/>
  <c r="HY149" i="1"/>
  <c r="HY187" i="1"/>
  <c r="HY168" i="1"/>
  <c r="HY162" i="1"/>
  <c r="HY139" i="1"/>
  <c r="HY196" i="1"/>
  <c r="HY153" i="1"/>
  <c r="HY197" i="1"/>
  <c r="HY176" i="1"/>
  <c r="HY202" i="1"/>
  <c r="HY167" i="1"/>
  <c r="HY207" i="1"/>
  <c r="HY192" i="1"/>
  <c r="HX3" i="1"/>
  <c r="HX2" i="1"/>
  <c r="HX43" i="1"/>
  <c r="HX71" i="1"/>
  <c r="HX7" i="1"/>
  <c r="HX164" i="1"/>
  <c r="HX4" i="1"/>
  <c r="HX99" i="1"/>
  <c r="HX6" i="1"/>
  <c r="HX8" i="1"/>
  <c r="HX10" i="1"/>
  <c r="HX9" i="1"/>
  <c r="HX127" i="1"/>
  <c r="HX11" i="1"/>
  <c r="HX44" i="1"/>
  <c r="HX39" i="1"/>
  <c r="HX45" i="1"/>
  <c r="HX16" i="1"/>
  <c r="HX12" i="1"/>
  <c r="HX48" i="1"/>
  <c r="HX54" i="1"/>
  <c r="HX47" i="1"/>
  <c r="HX20" i="1"/>
  <c r="HX50" i="1"/>
  <c r="HX22" i="1"/>
  <c r="HX49" i="1"/>
  <c r="HX13" i="1"/>
  <c r="HX26" i="1"/>
  <c r="HX52" i="1"/>
  <c r="HX46" i="1"/>
  <c r="HX72" i="1"/>
  <c r="HX5" i="1"/>
  <c r="HX18" i="1"/>
  <c r="HX23" i="1"/>
  <c r="HX15" i="1"/>
  <c r="HX14" i="1"/>
  <c r="HX59" i="1"/>
  <c r="HX38" i="1"/>
  <c r="HX21" i="1"/>
  <c r="HX27" i="1"/>
  <c r="HX17" i="1"/>
  <c r="HX68" i="1"/>
  <c r="HX121" i="1"/>
  <c r="HX24" i="1"/>
  <c r="HX30" i="1"/>
  <c r="HX40" i="1"/>
  <c r="HX35" i="1"/>
  <c r="HX29" i="1"/>
  <c r="HX37" i="1"/>
  <c r="HX28" i="1"/>
  <c r="HX19" i="1"/>
  <c r="HX33" i="1"/>
  <c r="HX109" i="1"/>
  <c r="HX64" i="1"/>
  <c r="HX63" i="1"/>
  <c r="HX77" i="1"/>
  <c r="HX115" i="1"/>
  <c r="HX31" i="1"/>
  <c r="HX41" i="1"/>
  <c r="HX191" i="1"/>
  <c r="HX85" i="1"/>
  <c r="HX62" i="1"/>
  <c r="HX36" i="1"/>
  <c r="HX32" i="1"/>
  <c r="HX34" i="1"/>
  <c r="HX93" i="1"/>
  <c r="HX117" i="1"/>
  <c r="HX154" i="1"/>
  <c r="HX107" i="1"/>
  <c r="HX98" i="1"/>
  <c r="HX138" i="1"/>
  <c r="HX75" i="1"/>
  <c r="HX122" i="1"/>
  <c r="HX84" i="1"/>
  <c r="HX116" i="1"/>
  <c r="HX186" i="1"/>
  <c r="HX89" i="1"/>
  <c r="HX70" i="1"/>
  <c r="HX61" i="1"/>
  <c r="HX74" i="1"/>
  <c r="HX88" i="1"/>
  <c r="HX73" i="1"/>
  <c r="HX111" i="1"/>
  <c r="HX87" i="1"/>
  <c r="HX82" i="1"/>
  <c r="HX53" i="1"/>
  <c r="HX175" i="1"/>
  <c r="HX55" i="1"/>
  <c r="HX51" i="1"/>
  <c r="HX157" i="1"/>
  <c r="HX158" i="1"/>
  <c r="HX83" i="1"/>
  <c r="HX91" i="1"/>
  <c r="HX105" i="1"/>
  <c r="HX103" i="1"/>
  <c r="HX188" i="1"/>
  <c r="HX163" i="1"/>
  <c r="HX101" i="1"/>
  <c r="HX65" i="1"/>
  <c r="HX60" i="1"/>
  <c r="HX80" i="1"/>
  <c r="HX56" i="1"/>
  <c r="HX57" i="1"/>
  <c r="HX25" i="1"/>
  <c r="HX104" i="1"/>
  <c r="HX66" i="1"/>
  <c r="HX58" i="1"/>
  <c r="HX155" i="1"/>
  <c r="HX156" i="1"/>
  <c r="HX134" i="1"/>
  <c r="HX92" i="1"/>
  <c r="HX67" i="1"/>
  <c r="HX126" i="1"/>
  <c r="HX145" i="1"/>
  <c r="HX135" i="1"/>
  <c r="HX159" i="1"/>
  <c r="HX76" i="1"/>
  <c r="HX114" i="1"/>
  <c r="HX161" i="1"/>
  <c r="HX160" i="1"/>
  <c r="HX95" i="1"/>
  <c r="HX120" i="1"/>
  <c r="HX42" i="1"/>
  <c r="HX183" i="1"/>
  <c r="HX112" i="1"/>
  <c r="HX148" i="1"/>
  <c r="HX179" i="1"/>
  <c r="HX128" i="1"/>
  <c r="HX144" i="1"/>
  <c r="HX110" i="1"/>
  <c r="HX81" i="1"/>
  <c r="HX100" i="1"/>
  <c r="HX123" i="1"/>
  <c r="HX86" i="1"/>
  <c r="HX174" i="1"/>
  <c r="HX201" i="1"/>
  <c r="HX90" i="1"/>
  <c r="HX102" i="1"/>
  <c r="HX94" i="1"/>
  <c r="HX119" i="1"/>
  <c r="HX141" i="1"/>
  <c r="HX147" i="1"/>
  <c r="HX165" i="1"/>
  <c r="HX132" i="1"/>
  <c r="HX189" i="1"/>
  <c r="HX133" i="1"/>
  <c r="HX206" i="1"/>
  <c r="HX78" i="1"/>
  <c r="HX143" i="1"/>
  <c r="HX150" i="1"/>
  <c r="HX130" i="1"/>
  <c r="HX96" i="1"/>
  <c r="HX182" i="1"/>
  <c r="HX195" i="1"/>
  <c r="HX178" i="1"/>
  <c r="HX181" i="1"/>
  <c r="HX194" i="1"/>
  <c r="HX208" i="1"/>
  <c r="HX129" i="1"/>
  <c r="HX180" i="1"/>
  <c r="HX140" i="1"/>
  <c r="HX125" i="1"/>
  <c r="HX131" i="1"/>
  <c r="HX173" i="1"/>
  <c r="HX184" i="1"/>
  <c r="HX190" i="1"/>
  <c r="HX142" i="1"/>
  <c r="HX69" i="1"/>
  <c r="HX151" i="1"/>
  <c r="HX193" i="1"/>
  <c r="HX169" i="1"/>
  <c r="HX166" i="1"/>
  <c r="HX97" i="1"/>
  <c r="HX79" i="1"/>
  <c r="HX146" i="1"/>
  <c r="HX204" i="1"/>
  <c r="HX113" i="1"/>
  <c r="HX172" i="1"/>
  <c r="HX171" i="1"/>
  <c r="HX185" i="1"/>
  <c r="HX137" i="1"/>
  <c r="HX205" i="1"/>
  <c r="HX177" i="1"/>
  <c r="HX199" i="1"/>
  <c r="HX106" i="1"/>
  <c r="HX203" i="1"/>
  <c r="HX124" i="1"/>
  <c r="HX170" i="1"/>
  <c r="HX152" i="1"/>
  <c r="HX118" i="1"/>
  <c r="HX198" i="1"/>
  <c r="HX200" i="1"/>
  <c r="HX136" i="1"/>
  <c r="HX108" i="1"/>
  <c r="HX149" i="1"/>
  <c r="HX187" i="1"/>
  <c r="HX168" i="1"/>
  <c r="HX162" i="1"/>
  <c r="HX139" i="1"/>
  <c r="HX196" i="1"/>
  <c r="HX153" i="1"/>
  <c r="HX197" i="1"/>
  <c r="HX176" i="1"/>
  <c r="HX202" i="1"/>
  <c r="HX167" i="1"/>
  <c r="HX207" i="1"/>
  <c r="HX192" i="1"/>
  <c r="HW3" i="1"/>
  <c r="HW2" i="1"/>
  <c r="HW43" i="1"/>
  <c r="HW71" i="1"/>
  <c r="HW7" i="1"/>
  <c r="HW164" i="1"/>
  <c r="HW4" i="1"/>
  <c r="HW99" i="1"/>
  <c r="HW6" i="1"/>
  <c r="HW8" i="1"/>
  <c r="HW10" i="1"/>
  <c r="HW9" i="1"/>
  <c r="HW127" i="1"/>
  <c r="HW11" i="1"/>
  <c r="HW44" i="1"/>
  <c r="HW39" i="1"/>
  <c r="HW45" i="1"/>
  <c r="HW16" i="1"/>
  <c r="HW12" i="1"/>
  <c r="HW48" i="1"/>
  <c r="HW54" i="1"/>
  <c r="HW47" i="1"/>
  <c r="HW20" i="1"/>
  <c r="HW50" i="1"/>
  <c r="HW22" i="1"/>
  <c r="HW49" i="1"/>
  <c r="HW13" i="1"/>
  <c r="HW26" i="1"/>
  <c r="HW52" i="1"/>
  <c r="HW46" i="1"/>
  <c r="HW72" i="1"/>
  <c r="HW5" i="1"/>
  <c r="HW18" i="1"/>
  <c r="HW23" i="1"/>
  <c r="HW15" i="1"/>
  <c r="HW14" i="1"/>
  <c r="HW59" i="1"/>
  <c r="HW38" i="1"/>
  <c r="HW21" i="1"/>
  <c r="HW27" i="1"/>
  <c r="HW17" i="1"/>
  <c r="HW68" i="1"/>
  <c r="HW121" i="1"/>
  <c r="HW24" i="1"/>
  <c r="HW30" i="1"/>
  <c r="HW40" i="1"/>
  <c r="HW35" i="1"/>
  <c r="HW29" i="1"/>
  <c r="HW37" i="1"/>
  <c r="HW28" i="1"/>
  <c r="HW19" i="1"/>
  <c r="HW33" i="1"/>
  <c r="HW109" i="1"/>
  <c r="HW64" i="1"/>
  <c r="HW63" i="1"/>
  <c r="HW77" i="1"/>
  <c r="HW115" i="1"/>
  <c r="HW31" i="1"/>
  <c r="HW41" i="1"/>
  <c r="HW191" i="1"/>
  <c r="HW85" i="1"/>
  <c r="HW62" i="1"/>
  <c r="HW36" i="1"/>
  <c r="HW32" i="1"/>
  <c r="HW34" i="1"/>
  <c r="HW93" i="1"/>
  <c r="HW117" i="1"/>
  <c r="HW154" i="1"/>
  <c r="HW107" i="1"/>
  <c r="HW98" i="1"/>
  <c r="HW138" i="1"/>
  <c r="HW75" i="1"/>
  <c r="HW122" i="1"/>
  <c r="HW84" i="1"/>
  <c r="HW116" i="1"/>
  <c r="HW186" i="1"/>
  <c r="HW89" i="1"/>
  <c r="HW70" i="1"/>
  <c r="HW61" i="1"/>
  <c r="HW74" i="1"/>
  <c r="HW88" i="1"/>
  <c r="HW73" i="1"/>
  <c r="HW111" i="1"/>
  <c r="HW87" i="1"/>
  <c r="HW82" i="1"/>
  <c r="HW53" i="1"/>
  <c r="HW175" i="1"/>
  <c r="HW55" i="1"/>
  <c r="HW51" i="1"/>
  <c r="HW157" i="1"/>
  <c r="HW158" i="1"/>
  <c r="HW83" i="1"/>
  <c r="HW91" i="1"/>
  <c r="HW105" i="1"/>
  <c r="HW103" i="1"/>
  <c r="HW188" i="1"/>
  <c r="HW163" i="1"/>
  <c r="HW101" i="1"/>
  <c r="HW65" i="1"/>
  <c r="HW60" i="1"/>
  <c r="HW80" i="1"/>
  <c r="HW56" i="1"/>
  <c r="HW57" i="1"/>
  <c r="HW25" i="1"/>
  <c r="HW104" i="1"/>
  <c r="HW66" i="1"/>
  <c r="HW58" i="1"/>
  <c r="HW155" i="1"/>
  <c r="HW156" i="1"/>
  <c r="HW134" i="1"/>
  <c r="HW92" i="1"/>
  <c r="HW67" i="1"/>
  <c r="HW126" i="1"/>
  <c r="HW145" i="1"/>
  <c r="HW135" i="1"/>
  <c r="HW159" i="1"/>
  <c r="HW76" i="1"/>
  <c r="HW114" i="1"/>
  <c r="HW161" i="1"/>
  <c r="HW160" i="1"/>
  <c r="HW95" i="1"/>
  <c r="HW120" i="1"/>
  <c r="HW42" i="1"/>
  <c r="HW183" i="1"/>
  <c r="HW112" i="1"/>
  <c r="HW148" i="1"/>
  <c r="HW179" i="1"/>
  <c r="HW128" i="1"/>
  <c r="HW144" i="1"/>
  <c r="HW110" i="1"/>
  <c r="HW81" i="1"/>
  <c r="HW100" i="1"/>
  <c r="HW123" i="1"/>
  <c r="HW86" i="1"/>
  <c r="HW174" i="1"/>
  <c r="HW201" i="1"/>
  <c r="HW90" i="1"/>
  <c r="HW102" i="1"/>
  <c r="HW94" i="1"/>
  <c r="HW119" i="1"/>
  <c r="HW141" i="1"/>
  <c r="HW147" i="1"/>
  <c r="HW165" i="1"/>
  <c r="HW132" i="1"/>
  <c r="HW189" i="1"/>
  <c r="HW133" i="1"/>
  <c r="HW206" i="1"/>
  <c r="HW78" i="1"/>
  <c r="HW143" i="1"/>
  <c r="HW150" i="1"/>
  <c r="HW130" i="1"/>
  <c r="HW96" i="1"/>
  <c r="HW182" i="1"/>
  <c r="HW195" i="1"/>
  <c r="HW178" i="1"/>
  <c r="HW181" i="1"/>
  <c r="HW194" i="1"/>
  <c r="HW208" i="1"/>
  <c r="HW129" i="1"/>
  <c r="HW180" i="1"/>
  <c r="HW140" i="1"/>
  <c r="HW125" i="1"/>
  <c r="HW131" i="1"/>
  <c r="HW173" i="1"/>
  <c r="HW184" i="1"/>
  <c r="HW190" i="1"/>
  <c r="HW142" i="1"/>
  <c r="HW69" i="1"/>
  <c r="HW151" i="1"/>
  <c r="HW193" i="1"/>
  <c r="HW169" i="1"/>
  <c r="HW166" i="1"/>
  <c r="HW97" i="1"/>
  <c r="HW79" i="1"/>
  <c r="HW146" i="1"/>
  <c r="HW204" i="1"/>
  <c r="HW113" i="1"/>
  <c r="HW172" i="1"/>
  <c r="HW171" i="1"/>
  <c r="HW185" i="1"/>
  <c r="HW137" i="1"/>
  <c r="HW205" i="1"/>
  <c r="HW177" i="1"/>
  <c r="HW199" i="1"/>
  <c r="HW106" i="1"/>
  <c r="HW203" i="1"/>
  <c r="HW124" i="1"/>
  <c r="HW170" i="1"/>
  <c r="HW152" i="1"/>
  <c r="HW118" i="1"/>
  <c r="HW198" i="1"/>
  <c r="HW200" i="1"/>
  <c r="HW136" i="1"/>
  <c r="HW108" i="1"/>
  <c r="HW149" i="1"/>
  <c r="HW187" i="1"/>
  <c r="HW168" i="1"/>
  <c r="HW162" i="1"/>
  <c r="HW139" i="1"/>
  <c r="HW196" i="1"/>
  <c r="HW153" i="1"/>
  <c r="HW197" i="1"/>
  <c r="HW176" i="1"/>
  <c r="HW202" i="1"/>
  <c r="HW167" i="1"/>
  <c r="HW207" i="1"/>
  <c r="HW192" i="1"/>
  <c r="HV3" i="1"/>
  <c r="HV2" i="1"/>
  <c r="HV43" i="1"/>
  <c r="HV71" i="1"/>
  <c r="HV7" i="1"/>
  <c r="HV164" i="1"/>
  <c r="HV4" i="1"/>
  <c r="HV99" i="1"/>
  <c r="HV6" i="1"/>
  <c r="HV8" i="1"/>
  <c r="HV10" i="1"/>
  <c r="HV9" i="1"/>
  <c r="HV127" i="1"/>
  <c r="HV11" i="1"/>
  <c r="HV44" i="1"/>
  <c r="HV39" i="1"/>
  <c r="HV45" i="1"/>
  <c r="HV16" i="1"/>
  <c r="HV12" i="1"/>
  <c r="HV48" i="1"/>
  <c r="HV54" i="1"/>
  <c r="HV47" i="1"/>
  <c r="HV20" i="1"/>
  <c r="HV50" i="1"/>
  <c r="HV22" i="1"/>
  <c r="HV49" i="1"/>
  <c r="HV13" i="1"/>
  <c r="HV26" i="1"/>
  <c r="HV52" i="1"/>
  <c r="HV46" i="1"/>
  <c r="HV72" i="1"/>
  <c r="HV5" i="1"/>
  <c r="HV18" i="1"/>
  <c r="HV23" i="1"/>
  <c r="HV15" i="1"/>
  <c r="HV14" i="1"/>
  <c r="HV59" i="1"/>
  <c r="HV38" i="1"/>
  <c r="HV21" i="1"/>
  <c r="HV27" i="1"/>
  <c r="HV17" i="1"/>
  <c r="HV68" i="1"/>
  <c r="HV121" i="1"/>
  <c r="HV24" i="1"/>
  <c r="HV30" i="1"/>
  <c r="HV40" i="1"/>
  <c r="HV35" i="1"/>
  <c r="HV29" i="1"/>
  <c r="HV37" i="1"/>
  <c r="HV28" i="1"/>
  <c r="HV19" i="1"/>
  <c r="HV33" i="1"/>
  <c r="HV109" i="1"/>
  <c r="HV64" i="1"/>
  <c r="HV63" i="1"/>
  <c r="HV77" i="1"/>
  <c r="HV115" i="1"/>
  <c r="HV31" i="1"/>
  <c r="HV41" i="1"/>
  <c r="HV191" i="1"/>
  <c r="HV85" i="1"/>
  <c r="HV62" i="1"/>
  <c r="HV36" i="1"/>
  <c r="HV32" i="1"/>
  <c r="HV34" i="1"/>
  <c r="HV93" i="1"/>
  <c r="HV117" i="1"/>
  <c r="HV154" i="1"/>
  <c r="HV107" i="1"/>
  <c r="HV98" i="1"/>
  <c r="HV138" i="1"/>
  <c r="HV75" i="1"/>
  <c r="HV122" i="1"/>
  <c r="HV84" i="1"/>
  <c r="HV116" i="1"/>
  <c r="HV186" i="1"/>
  <c r="HV89" i="1"/>
  <c r="HV70" i="1"/>
  <c r="HV61" i="1"/>
  <c r="HV74" i="1"/>
  <c r="HV88" i="1"/>
  <c r="HV73" i="1"/>
  <c r="HV111" i="1"/>
  <c r="HV87" i="1"/>
  <c r="HV82" i="1"/>
  <c r="HV53" i="1"/>
  <c r="HV175" i="1"/>
  <c r="HV55" i="1"/>
  <c r="HV51" i="1"/>
  <c r="HV157" i="1"/>
  <c r="HV158" i="1"/>
  <c r="HV83" i="1"/>
  <c r="HV91" i="1"/>
  <c r="HV105" i="1"/>
  <c r="HV103" i="1"/>
  <c r="HV188" i="1"/>
  <c r="HV163" i="1"/>
  <c r="HV101" i="1"/>
  <c r="HV65" i="1"/>
  <c r="HV60" i="1"/>
  <c r="HV80" i="1"/>
  <c r="HV56" i="1"/>
  <c r="HV57" i="1"/>
  <c r="HV25" i="1"/>
  <c r="HV104" i="1"/>
  <c r="HV66" i="1"/>
  <c r="HV58" i="1"/>
  <c r="HV155" i="1"/>
  <c r="HV156" i="1"/>
  <c r="HV134" i="1"/>
  <c r="HV92" i="1"/>
  <c r="HV67" i="1"/>
  <c r="HV126" i="1"/>
  <c r="HV145" i="1"/>
  <c r="HV135" i="1"/>
  <c r="HV159" i="1"/>
  <c r="HV76" i="1"/>
  <c r="HV114" i="1"/>
  <c r="HV161" i="1"/>
  <c r="HV160" i="1"/>
  <c r="HV95" i="1"/>
  <c r="HV120" i="1"/>
  <c r="HV42" i="1"/>
  <c r="HV183" i="1"/>
  <c r="HV112" i="1"/>
  <c r="HV148" i="1"/>
  <c r="HV179" i="1"/>
  <c r="HV128" i="1"/>
  <c r="HV144" i="1"/>
  <c r="HV110" i="1"/>
  <c r="HV81" i="1"/>
  <c r="HV100" i="1"/>
  <c r="HV123" i="1"/>
  <c r="HV86" i="1"/>
  <c r="HV174" i="1"/>
  <c r="HV201" i="1"/>
  <c r="HV90" i="1"/>
  <c r="HV102" i="1"/>
  <c r="HV94" i="1"/>
  <c r="HV119" i="1"/>
  <c r="HV141" i="1"/>
  <c r="HV147" i="1"/>
  <c r="HV165" i="1"/>
  <c r="HV132" i="1"/>
  <c r="HV189" i="1"/>
  <c r="HV133" i="1"/>
  <c r="HV206" i="1"/>
  <c r="HV78" i="1"/>
  <c r="HV143" i="1"/>
  <c r="HV150" i="1"/>
  <c r="HV130" i="1"/>
  <c r="HV96" i="1"/>
  <c r="HV182" i="1"/>
  <c r="HV195" i="1"/>
  <c r="HV178" i="1"/>
  <c r="HV181" i="1"/>
  <c r="HV194" i="1"/>
  <c r="HV208" i="1"/>
  <c r="HV129" i="1"/>
  <c r="HV180" i="1"/>
  <c r="HV140" i="1"/>
  <c r="HV125" i="1"/>
  <c r="HV131" i="1"/>
  <c r="HV173" i="1"/>
  <c r="HV184" i="1"/>
  <c r="HV190" i="1"/>
  <c r="HV142" i="1"/>
  <c r="HV69" i="1"/>
  <c r="HV151" i="1"/>
  <c r="HV193" i="1"/>
  <c r="HV169" i="1"/>
  <c r="HV166" i="1"/>
  <c r="HV97" i="1"/>
  <c r="HV79" i="1"/>
  <c r="HV146" i="1"/>
  <c r="HV204" i="1"/>
  <c r="HV113" i="1"/>
  <c r="HV172" i="1"/>
  <c r="HV171" i="1"/>
  <c r="HV185" i="1"/>
  <c r="HV137" i="1"/>
  <c r="HV205" i="1"/>
  <c r="HV177" i="1"/>
  <c r="HV199" i="1"/>
  <c r="HV106" i="1"/>
  <c r="HV203" i="1"/>
  <c r="HV124" i="1"/>
  <c r="HV170" i="1"/>
  <c r="HV152" i="1"/>
  <c r="HV118" i="1"/>
  <c r="HV198" i="1"/>
  <c r="HV200" i="1"/>
  <c r="HV136" i="1"/>
  <c r="HV108" i="1"/>
  <c r="HV149" i="1"/>
  <c r="HV187" i="1"/>
  <c r="HV168" i="1"/>
  <c r="HV162" i="1"/>
  <c r="HV139" i="1"/>
  <c r="HV196" i="1"/>
  <c r="HV153" i="1"/>
  <c r="HV197" i="1"/>
  <c r="HV176" i="1"/>
  <c r="HV202" i="1"/>
  <c r="HV167" i="1"/>
  <c r="HV207" i="1"/>
  <c r="HV192" i="1"/>
  <c r="HU3" i="1"/>
  <c r="HU2" i="1"/>
  <c r="HU43" i="1"/>
  <c r="HU71" i="1"/>
  <c r="HU7" i="1"/>
  <c r="HU164" i="1"/>
  <c r="HU4" i="1"/>
  <c r="HU99" i="1"/>
  <c r="HU6" i="1"/>
  <c r="HU8" i="1"/>
  <c r="HU10" i="1"/>
  <c r="HU9" i="1"/>
  <c r="HU127" i="1"/>
  <c r="HU11" i="1"/>
  <c r="HU44" i="1"/>
  <c r="HU39" i="1"/>
  <c r="HU45" i="1"/>
  <c r="HU16" i="1"/>
  <c r="HU12" i="1"/>
  <c r="HU48" i="1"/>
  <c r="HU54" i="1"/>
  <c r="HU47" i="1"/>
  <c r="HU20" i="1"/>
  <c r="HU50" i="1"/>
  <c r="HU22" i="1"/>
  <c r="HU49" i="1"/>
  <c r="HU13" i="1"/>
  <c r="HU26" i="1"/>
  <c r="HU52" i="1"/>
  <c r="HU46" i="1"/>
  <c r="HU72" i="1"/>
  <c r="HU5" i="1"/>
  <c r="HU18" i="1"/>
  <c r="HU23" i="1"/>
  <c r="HU15" i="1"/>
  <c r="HU14" i="1"/>
  <c r="HU59" i="1"/>
  <c r="HU38" i="1"/>
  <c r="HU21" i="1"/>
  <c r="HU27" i="1"/>
  <c r="HU17" i="1"/>
  <c r="HU68" i="1"/>
  <c r="HU121" i="1"/>
  <c r="HU24" i="1"/>
  <c r="HU30" i="1"/>
  <c r="HU40" i="1"/>
  <c r="HU35" i="1"/>
  <c r="HU29" i="1"/>
  <c r="HU37" i="1"/>
  <c r="HU28" i="1"/>
  <c r="HU19" i="1"/>
  <c r="HU33" i="1"/>
  <c r="HU109" i="1"/>
  <c r="HU64" i="1"/>
  <c r="HU63" i="1"/>
  <c r="HU77" i="1"/>
  <c r="HU115" i="1"/>
  <c r="HU31" i="1"/>
  <c r="HU41" i="1"/>
  <c r="HU191" i="1"/>
  <c r="HU85" i="1"/>
  <c r="HU62" i="1"/>
  <c r="HU36" i="1"/>
  <c r="HU32" i="1"/>
  <c r="HU34" i="1"/>
  <c r="HU93" i="1"/>
  <c r="HU117" i="1"/>
  <c r="HU154" i="1"/>
  <c r="HU107" i="1"/>
  <c r="HU98" i="1"/>
  <c r="HU138" i="1"/>
  <c r="HU75" i="1"/>
  <c r="HU122" i="1"/>
  <c r="HU84" i="1"/>
  <c r="HU116" i="1"/>
  <c r="HU186" i="1"/>
  <c r="HU89" i="1"/>
  <c r="HU70" i="1"/>
  <c r="HU61" i="1"/>
  <c r="HU74" i="1"/>
  <c r="HU88" i="1"/>
  <c r="HU73" i="1"/>
  <c r="HU111" i="1"/>
  <c r="HU87" i="1"/>
  <c r="HU82" i="1"/>
  <c r="HU53" i="1"/>
  <c r="HU175" i="1"/>
  <c r="HU55" i="1"/>
  <c r="HU51" i="1"/>
  <c r="HU157" i="1"/>
  <c r="HU158" i="1"/>
  <c r="HU83" i="1"/>
  <c r="HU91" i="1"/>
  <c r="HU105" i="1"/>
  <c r="HU103" i="1"/>
  <c r="HU188" i="1"/>
  <c r="HU163" i="1"/>
  <c r="HU101" i="1"/>
  <c r="HU65" i="1"/>
  <c r="HU60" i="1"/>
  <c r="HU80" i="1"/>
  <c r="HU56" i="1"/>
  <c r="HU57" i="1"/>
  <c r="HU25" i="1"/>
  <c r="HU104" i="1"/>
  <c r="HU66" i="1"/>
  <c r="HU58" i="1"/>
  <c r="HU155" i="1"/>
  <c r="HU156" i="1"/>
  <c r="HU134" i="1"/>
  <c r="HU92" i="1"/>
  <c r="HU67" i="1"/>
  <c r="HU126" i="1"/>
  <c r="HU145" i="1"/>
  <c r="HU135" i="1"/>
  <c r="HU159" i="1"/>
  <c r="HU76" i="1"/>
  <c r="HU114" i="1"/>
  <c r="HU161" i="1"/>
  <c r="HU160" i="1"/>
  <c r="HU95" i="1"/>
  <c r="HU120" i="1"/>
  <c r="HU42" i="1"/>
  <c r="HU183" i="1"/>
  <c r="HU112" i="1"/>
  <c r="HU148" i="1"/>
  <c r="HU179" i="1"/>
  <c r="HU128" i="1"/>
  <c r="HU144" i="1"/>
  <c r="HU110" i="1"/>
  <c r="HU81" i="1"/>
  <c r="HU100" i="1"/>
  <c r="HU123" i="1"/>
  <c r="HU86" i="1"/>
  <c r="HU174" i="1"/>
  <c r="HU201" i="1"/>
  <c r="HU90" i="1"/>
  <c r="HU102" i="1"/>
  <c r="HU94" i="1"/>
  <c r="HU119" i="1"/>
  <c r="HU141" i="1"/>
  <c r="HU147" i="1"/>
  <c r="HU165" i="1"/>
  <c r="HU132" i="1"/>
  <c r="HU189" i="1"/>
  <c r="HU133" i="1"/>
  <c r="HU206" i="1"/>
  <c r="HU78" i="1"/>
  <c r="HU143" i="1"/>
  <c r="HU150" i="1"/>
  <c r="HU130" i="1"/>
  <c r="HU96" i="1"/>
  <c r="HU182" i="1"/>
  <c r="HU195" i="1"/>
  <c r="HU178" i="1"/>
  <c r="HU181" i="1"/>
  <c r="HU194" i="1"/>
  <c r="HU208" i="1"/>
  <c r="HU129" i="1"/>
  <c r="HU180" i="1"/>
  <c r="HU140" i="1"/>
  <c r="HU125" i="1"/>
  <c r="HU131" i="1"/>
  <c r="HU173" i="1"/>
  <c r="HU184" i="1"/>
  <c r="HU190" i="1"/>
  <c r="HU142" i="1"/>
  <c r="HU69" i="1"/>
  <c r="HU151" i="1"/>
  <c r="HU193" i="1"/>
  <c r="HU169" i="1"/>
  <c r="HU166" i="1"/>
  <c r="HU97" i="1"/>
  <c r="HU79" i="1"/>
  <c r="HU146" i="1"/>
  <c r="HU204" i="1"/>
  <c r="HU113" i="1"/>
  <c r="HU172" i="1"/>
  <c r="HU171" i="1"/>
  <c r="HU185" i="1"/>
  <c r="HU137" i="1"/>
  <c r="HU205" i="1"/>
  <c r="HU177" i="1"/>
  <c r="HU199" i="1"/>
  <c r="HU106" i="1"/>
  <c r="HU203" i="1"/>
  <c r="HU124" i="1"/>
  <c r="HU170" i="1"/>
  <c r="HU152" i="1"/>
  <c r="HU118" i="1"/>
  <c r="HU198" i="1"/>
  <c r="HU200" i="1"/>
  <c r="HU136" i="1"/>
  <c r="HU108" i="1"/>
  <c r="HU149" i="1"/>
  <c r="HU187" i="1"/>
  <c r="HU168" i="1"/>
  <c r="HU162" i="1"/>
  <c r="HU139" i="1"/>
  <c r="HU196" i="1"/>
  <c r="HU153" i="1"/>
  <c r="HU197" i="1"/>
  <c r="HU176" i="1"/>
  <c r="HU202" i="1"/>
  <c r="HU167" i="1"/>
  <c r="HU207" i="1"/>
  <c r="HU192" i="1"/>
  <c r="HT3" i="1"/>
  <c r="HT2" i="1"/>
  <c r="HT43" i="1"/>
  <c r="HT71" i="1"/>
  <c r="HT7" i="1"/>
  <c r="HT164" i="1"/>
  <c r="HT4" i="1"/>
  <c r="HT99" i="1"/>
  <c r="HT6" i="1"/>
  <c r="HT8" i="1"/>
  <c r="HT10" i="1"/>
  <c r="HT9" i="1"/>
  <c r="HT127" i="1"/>
  <c r="HT11" i="1"/>
  <c r="HT44" i="1"/>
  <c r="HT39" i="1"/>
  <c r="HT45" i="1"/>
  <c r="HT16" i="1"/>
  <c r="HT12" i="1"/>
  <c r="HT48" i="1"/>
  <c r="HT54" i="1"/>
  <c r="HT47" i="1"/>
  <c r="HT20" i="1"/>
  <c r="HT50" i="1"/>
  <c r="HT22" i="1"/>
  <c r="HT49" i="1"/>
  <c r="HT13" i="1"/>
  <c r="HT26" i="1"/>
  <c r="HT52" i="1"/>
  <c r="HT46" i="1"/>
  <c r="HT72" i="1"/>
  <c r="HT5" i="1"/>
  <c r="HT18" i="1"/>
  <c r="HT23" i="1"/>
  <c r="HT15" i="1"/>
  <c r="HT14" i="1"/>
  <c r="HT59" i="1"/>
  <c r="HT38" i="1"/>
  <c r="HT21" i="1"/>
  <c r="HT27" i="1"/>
  <c r="HT17" i="1"/>
  <c r="HT68" i="1"/>
  <c r="HT121" i="1"/>
  <c r="HT24" i="1"/>
  <c r="HT30" i="1"/>
  <c r="HT40" i="1"/>
  <c r="HT35" i="1"/>
  <c r="HT29" i="1"/>
  <c r="HT37" i="1"/>
  <c r="HT28" i="1"/>
  <c r="HT19" i="1"/>
  <c r="HT33" i="1"/>
  <c r="HT109" i="1"/>
  <c r="HT64" i="1"/>
  <c r="HT63" i="1"/>
  <c r="HT77" i="1"/>
  <c r="HT115" i="1"/>
  <c r="HT31" i="1"/>
  <c r="HT41" i="1"/>
  <c r="HT191" i="1"/>
  <c r="HT85" i="1"/>
  <c r="HT62" i="1"/>
  <c r="HT36" i="1"/>
  <c r="HT32" i="1"/>
  <c r="HT34" i="1"/>
  <c r="HT93" i="1"/>
  <c r="HT117" i="1"/>
  <c r="HT154" i="1"/>
  <c r="HT107" i="1"/>
  <c r="HT98" i="1"/>
  <c r="HT138" i="1"/>
  <c r="HT75" i="1"/>
  <c r="HT122" i="1"/>
  <c r="HT84" i="1"/>
  <c r="HT116" i="1"/>
  <c r="HT186" i="1"/>
  <c r="HT89" i="1"/>
  <c r="HT70" i="1"/>
  <c r="HT61" i="1"/>
  <c r="HT74" i="1"/>
  <c r="HT88" i="1"/>
  <c r="HT73" i="1"/>
  <c r="HT111" i="1"/>
  <c r="HT87" i="1"/>
  <c r="HT82" i="1"/>
  <c r="HT53" i="1"/>
  <c r="HT175" i="1"/>
  <c r="HT55" i="1"/>
  <c r="HT51" i="1"/>
  <c r="HT157" i="1"/>
  <c r="HT158" i="1"/>
  <c r="HT83" i="1"/>
  <c r="HT91" i="1"/>
  <c r="HT105" i="1"/>
  <c r="HT103" i="1"/>
  <c r="HT188" i="1"/>
  <c r="HT163" i="1"/>
  <c r="HT101" i="1"/>
  <c r="HT65" i="1"/>
  <c r="HT60" i="1"/>
  <c r="HT80" i="1"/>
  <c r="HT56" i="1"/>
  <c r="HT57" i="1"/>
  <c r="HT25" i="1"/>
  <c r="HT104" i="1"/>
  <c r="HT66" i="1"/>
  <c r="HT58" i="1"/>
  <c r="HT155" i="1"/>
  <c r="HT156" i="1"/>
  <c r="HT134" i="1"/>
  <c r="HT92" i="1"/>
  <c r="HT67" i="1"/>
  <c r="HT126" i="1"/>
  <c r="HT145" i="1"/>
  <c r="HT135" i="1"/>
  <c r="HT159" i="1"/>
  <c r="HT76" i="1"/>
  <c r="HT114" i="1"/>
  <c r="HT161" i="1"/>
  <c r="HT160" i="1"/>
  <c r="HT95" i="1"/>
  <c r="HT120" i="1"/>
  <c r="HT42" i="1"/>
  <c r="HT183" i="1"/>
  <c r="HT112" i="1"/>
  <c r="HT148" i="1"/>
  <c r="HT179" i="1"/>
  <c r="HT128" i="1"/>
  <c r="HT144" i="1"/>
  <c r="HT110" i="1"/>
  <c r="HT81" i="1"/>
  <c r="HT100" i="1"/>
  <c r="HT123" i="1"/>
  <c r="HT86" i="1"/>
  <c r="HT174" i="1"/>
  <c r="HT201" i="1"/>
  <c r="HT90" i="1"/>
  <c r="HT102" i="1"/>
  <c r="HT94" i="1"/>
  <c r="HT119" i="1"/>
  <c r="HT141" i="1"/>
  <c r="HT147" i="1"/>
  <c r="HT165" i="1"/>
  <c r="HT132" i="1"/>
  <c r="HT189" i="1"/>
  <c r="HT133" i="1"/>
  <c r="HT206" i="1"/>
  <c r="HT78" i="1"/>
  <c r="HT143" i="1"/>
  <c r="HT150" i="1"/>
  <c r="HT130" i="1"/>
  <c r="HT96" i="1"/>
  <c r="HT182" i="1"/>
  <c r="HT195" i="1"/>
  <c r="HT178" i="1"/>
  <c r="HT181" i="1"/>
  <c r="HT194" i="1"/>
  <c r="HT208" i="1"/>
  <c r="HT129" i="1"/>
  <c r="HT180" i="1"/>
  <c r="HT140" i="1"/>
  <c r="HT125" i="1"/>
  <c r="HT131" i="1"/>
  <c r="HT173" i="1"/>
  <c r="HT184" i="1"/>
  <c r="HT190" i="1"/>
  <c r="HT142" i="1"/>
  <c r="HT69" i="1"/>
  <c r="HT151" i="1"/>
  <c r="HT193" i="1"/>
  <c r="HT169" i="1"/>
  <c r="HT166" i="1"/>
  <c r="HT97" i="1"/>
  <c r="HT79" i="1"/>
  <c r="HT146" i="1"/>
  <c r="HT204" i="1"/>
  <c r="HT113" i="1"/>
  <c r="HT172" i="1"/>
  <c r="HT171" i="1"/>
  <c r="HT185" i="1"/>
  <c r="HT137" i="1"/>
  <c r="HT205" i="1"/>
  <c r="HT177" i="1"/>
  <c r="HT199" i="1"/>
  <c r="HT106" i="1"/>
  <c r="HT203" i="1"/>
  <c r="HT124" i="1"/>
  <c r="HT170" i="1"/>
  <c r="HT152" i="1"/>
  <c r="HT118" i="1"/>
  <c r="HT198" i="1"/>
  <c r="HT200" i="1"/>
  <c r="HT136" i="1"/>
  <c r="HT108" i="1"/>
  <c r="HT149" i="1"/>
  <c r="HT187" i="1"/>
  <c r="HT168" i="1"/>
  <c r="HT162" i="1"/>
  <c r="HT139" i="1"/>
  <c r="HT196" i="1"/>
  <c r="HT153" i="1"/>
  <c r="HT197" i="1"/>
  <c r="HT176" i="1"/>
  <c r="HT202" i="1"/>
  <c r="HT167" i="1"/>
  <c r="HT207" i="1"/>
  <c r="HT192" i="1"/>
  <c r="HS3" i="1"/>
  <c r="HS2" i="1"/>
  <c r="HS43" i="1"/>
  <c r="HS71" i="1"/>
  <c r="HS7" i="1"/>
  <c r="HS164" i="1"/>
  <c r="HS4" i="1"/>
  <c r="HS99" i="1"/>
  <c r="HS6" i="1"/>
  <c r="HS8" i="1"/>
  <c r="HS10" i="1"/>
  <c r="HS9" i="1"/>
  <c r="HS127" i="1"/>
  <c r="HS11" i="1"/>
  <c r="HS44" i="1"/>
  <c r="HS39" i="1"/>
  <c r="HS45" i="1"/>
  <c r="HS16" i="1"/>
  <c r="HS12" i="1"/>
  <c r="HS48" i="1"/>
  <c r="HS54" i="1"/>
  <c r="HS47" i="1"/>
  <c r="HS20" i="1"/>
  <c r="HS50" i="1"/>
  <c r="HS22" i="1"/>
  <c r="HS49" i="1"/>
  <c r="HS13" i="1"/>
  <c r="HS26" i="1"/>
  <c r="HS52" i="1"/>
  <c r="HS46" i="1"/>
  <c r="HS72" i="1"/>
  <c r="HS5" i="1"/>
  <c r="HS18" i="1"/>
  <c r="HS23" i="1"/>
  <c r="HS15" i="1"/>
  <c r="HS14" i="1"/>
  <c r="HS59" i="1"/>
  <c r="HS38" i="1"/>
  <c r="HS21" i="1"/>
  <c r="HS27" i="1"/>
  <c r="HS17" i="1"/>
  <c r="HS68" i="1"/>
  <c r="HS121" i="1"/>
  <c r="HS24" i="1"/>
  <c r="HS30" i="1"/>
  <c r="HS40" i="1"/>
  <c r="HS35" i="1"/>
  <c r="HS29" i="1"/>
  <c r="HS37" i="1"/>
  <c r="HS28" i="1"/>
  <c r="HS19" i="1"/>
  <c r="HS33" i="1"/>
  <c r="HS109" i="1"/>
  <c r="HS64" i="1"/>
  <c r="HS63" i="1"/>
  <c r="HS77" i="1"/>
  <c r="HS115" i="1"/>
  <c r="HS31" i="1"/>
  <c r="HS41" i="1"/>
  <c r="HS191" i="1"/>
  <c r="HS85" i="1"/>
  <c r="HS62" i="1"/>
  <c r="HS36" i="1"/>
  <c r="HS32" i="1"/>
  <c r="HS34" i="1"/>
  <c r="HS93" i="1"/>
  <c r="HS117" i="1"/>
  <c r="HS154" i="1"/>
  <c r="HS107" i="1"/>
  <c r="HS98" i="1"/>
  <c r="HS138" i="1"/>
  <c r="HS75" i="1"/>
  <c r="HS122" i="1"/>
  <c r="HS84" i="1"/>
  <c r="HS116" i="1"/>
  <c r="HS186" i="1"/>
  <c r="HS89" i="1"/>
  <c r="HS70" i="1"/>
  <c r="HS61" i="1"/>
  <c r="HS74" i="1"/>
  <c r="HS88" i="1"/>
  <c r="HS73" i="1"/>
  <c r="HS111" i="1"/>
  <c r="HS87" i="1"/>
  <c r="HS82" i="1"/>
  <c r="HS53" i="1"/>
  <c r="HS175" i="1"/>
  <c r="HS55" i="1"/>
  <c r="HS51" i="1"/>
  <c r="HS157" i="1"/>
  <c r="HS158" i="1"/>
  <c r="HS83" i="1"/>
  <c r="HS91" i="1"/>
  <c r="HS105" i="1"/>
  <c r="HS103" i="1"/>
  <c r="HS188" i="1"/>
  <c r="HS163" i="1"/>
  <c r="HS101" i="1"/>
  <c r="HS65" i="1"/>
  <c r="HS60" i="1"/>
  <c r="HS80" i="1"/>
  <c r="HS56" i="1"/>
  <c r="HS57" i="1"/>
  <c r="HS25" i="1"/>
  <c r="HS104" i="1"/>
  <c r="HS66" i="1"/>
  <c r="HS58" i="1"/>
  <c r="HS155" i="1"/>
  <c r="HS156" i="1"/>
  <c r="HS134" i="1"/>
  <c r="HS92" i="1"/>
  <c r="HS67" i="1"/>
  <c r="HS126" i="1"/>
  <c r="HS145" i="1"/>
  <c r="HS135" i="1"/>
  <c r="HS159" i="1"/>
  <c r="HS76" i="1"/>
  <c r="HS114" i="1"/>
  <c r="HS161" i="1"/>
  <c r="HS160" i="1"/>
  <c r="HS95" i="1"/>
  <c r="HS120" i="1"/>
  <c r="HS42" i="1"/>
  <c r="HS183" i="1"/>
  <c r="HS112" i="1"/>
  <c r="HS148" i="1"/>
  <c r="HS179" i="1"/>
  <c r="HS128" i="1"/>
  <c r="HS144" i="1"/>
  <c r="HS110" i="1"/>
  <c r="HS81" i="1"/>
  <c r="HS100" i="1"/>
  <c r="HS123" i="1"/>
  <c r="HS86" i="1"/>
  <c r="HS174" i="1"/>
  <c r="HS201" i="1"/>
  <c r="HS90" i="1"/>
  <c r="HS102" i="1"/>
  <c r="HS94" i="1"/>
  <c r="HS119" i="1"/>
  <c r="HS141" i="1"/>
  <c r="HS147" i="1"/>
  <c r="HS165" i="1"/>
  <c r="HS132" i="1"/>
  <c r="HS189" i="1"/>
  <c r="HS133" i="1"/>
  <c r="HS206" i="1"/>
  <c r="HS78" i="1"/>
  <c r="HS143" i="1"/>
  <c r="HS150" i="1"/>
  <c r="HS130" i="1"/>
  <c r="HS96" i="1"/>
  <c r="HS182" i="1"/>
  <c r="HS195" i="1"/>
  <c r="HS178" i="1"/>
  <c r="HS181" i="1"/>
  <c r="HS194" i="1"/>
  <c r="HS208" i="1"/>
  <c r="HS129" i="1"/>
  <c r="HS180" i="1"/>
  <c r="HS140" i="1"/>
  <c r="HS125" i="1"/>
  <c r="HS131" i="1"/>
  <c r="HS173" i="1"/>
  <c r="HS184" i="1"/>
  <c r="HS190" i="1"/>
  <c r="HS142" i="1"/>
  <c r="HS69" i="1"/>
  <c r="HS151" i="1"/>
  <c r="HS193" i="1"/>
  <c r="HS169" i="1"/>
  <c r="HS166" i="1"/>
  <c r="HS97" i="1"/>
  <c r="HS79" i="1"/>
  <c r="HS146" i="1"/>
  <c r="HS204" i="1"/>
  <c r="HS113" i="1"/>
  <c r="HS172" i="1"/>
  <c r="HS171" i="1"/>
  <c r="HS185" i="1"/>
  <c r="HS137" i="1"/>
  <c r="HS205" i="1"/>
  <c r="HS177" i="1"/>
  <c r="HS199" i="1"/>
  <c r="HS106" i="1"/>
  <c r="HS203" i="1"/>
  <c r="HS124" i="1"/>
  <c r="HS170" i="1"/>
  <c r="HS152" i="1"/>
  <c r="HS118" i="1"/>
  <c r="HS198" i="1"/>
  <c r="HS200" i="1"/>
  <c r="HS136" i="1"/>
  <c r="HS108" i="1"/>
  <c r="HS149" i="1"/>
  <c r="HS187" i="1"/>
  <c r="HS168" i="1"/>
  <c r="HS162" i="1"/>
  <c r="HS139" i="1"/>
  <c r="HS196" i="1"/>
  <c r="HS153" i="1"/>
  <c r="HS197" i="1"/>
  <c r="HS176" i="1"/>
  <c r="HS202" i="1"/>
  <c r="HS167" i="1"/>
  <c r="HS207" i="1"/>
  <c r="HS192" i="1"/>
  <c r="HR3" i="1"/>
  <c r="HR2" i="1"/>
  <c r="HR43" i="1"/>
  <c r="HR71" i="1"/>
  <c r="HR7" i="1"/>
  <c r="HR164" i="1"/>
  <c r="HR4" i="1"/>
  <c r="HR99" i="1"/>
  <c r="HR6" i="1"/>
  <c r="HR8" i="1"/>
  <c r="HR10" i="1"/>
  <c r="HR9" i="1"/>
  <c r="HR127" i="1"/>
  <c r="HR11" i="1"/>
  <c r="HR44" i="1"/>
  <c r="HR39" i="1"/>
  <c r="HR45" i="1"/>
  <c r="HR16" i="1"/>
  <c r="HR12" i="1"/>
  <c r="HR48" i="1"/>
  <c r="HR54" i="1"/>
  <c r="HR47" i="1"/>
  <c r="HR20" i="1"/>
  <c r="HR50" i="1"/>
  <c r="HR22" i="1"/>
  <c r="HR49" i="1"/>
  <c r="HR13" i="1"/>
  <c r="HR26" i="1"/>
  <c r="HR52" i="1"/>
  <c r="HR46" i="1"/>
  <c r="HR72" i="1"/>
  <c r="HR5" i="1"/>
  <c r="HR18" i="1"/>
  <c r="HR23" i="1"/>
  <c r="HR15" i="1"/>
  <c r="HR14" i="1"/>
  <c r="HR59" i="1"/>
  <c r="HR38" i="1"/>
  <c r="HR21" i="1"/>
  <c r="HR27" i="1"/>
  <c r="HR17" i="1"/>
  <c r="HR68" i="1"/>
  <c r="HR121" i="1"/>
  <c r="HR24" i="1"/>
  <c r="HR30" i="1"/>
  <c r="HR40" i="1"/>
  <c r="HR35" i="1"/>
  <c r="HR29" i="1"/>
  <c r="HR37" i="1"/>
  <c r="HR28" i="1"/>
  <c r="HR19" i="1"/>
  <c r="HR33" i="1"/>
  <c r="HR109" i="1"/>
  <c r="HR64" i="1"/>
  <c r="HR63" i="1"/>
  <c r="HR77" i="1"/>
  <c r="HR115" i="1"/>
  <c r="HR31" i="1"/>
  <c r="HR41" i="1"/>
  <c r="HR191" i="1"/>
  <c r="HR85" i="1"/>
  <c r="HR62" i="1"/>
  <c r="HR36" i="1"/>
  <c r="HR32" i="1"/>
  <c r="HR34" i="1"/>
  <c r="HR93" i="1"/>
  <c r="HR117" i="1"/>
  <c r="HR154" i="1"/>
  <c r="HR107" i="1"/>
  <c r="HR98" i="1"/>
  <c r="HR138" i="1"/>
  <c r="HR75" i="1"/>
  <c r="HR122" i="1"/>
  <c r="HR84" i="1"/>
  <c r="HR116" i="1"/>
  <c r="HR186" i="1"/>
  <c r="HR89" i="1"/>
  <c r="HR70" i="1"/>
  <c r="HR61" i="1"/>
  <c r="HR74" i="1"/>
  <c r="HR88" i="1"/>
  <c r="HR73" i="1"/>
  <c r="HR111" i="1"/>
  <c r="HR87" i="1"/>
  <c r="HR82" i="1"/>
  <c r="HR53" i="1"/>
  <c r="HR175" i="1"/>
  <c r="HR55" i="1"/>
  <c r="HR51" i="1"/>
  <c r="HR157" i="1"/>
  <c r="HR158" i="1"/>
  <c r="HR83" i="1"/>
  <c r="HR91" i="1"/>
  <c r="HR105" i="1"/>
  <c r="HR103" i="1"/>
  <c r="HR188" i="1"/>
  <c r="HR163" i="1"/>
  <c r="HR101" i="1"/>
  <c r="HR65" i="1"/>
  <c r="HR60" i="1"/>
  <c r="HR80" i="1"/>
  <c r="HR56" i="1"/>
  <c r="HR57" i="1"/>
  <c r="HR25" i="1"/>
  <c r="HR104" i="1"/>
  <c r="HR66" i="1"/>
  <c r="HR58" i="1"/>
  <c r="HR155" i="1"/>
  <c r="HR156" i="1"/>
  <c r="HR134" i="1"/>
  <c r="HR92" i="1"/>
  <c r="HR67" i="1"/>
  <c r="HR126" i="1"/>
  <c r="HR145" i="1"/>
  <c r="HR135" i="1"/>
  <c r="HR159" i="1"/>
  <c r="HR76" i="1"/>
  <c r="HR114" i="1"/>
  <c r="HR161" i="1"/>
  <c r="HR160" i="1"/>
  <c r="HR95" i="1"/>
  <c r="HR120" i="1"/>
  <c r="HR42" i="1"/>
  <c r="HR183" i="1"/>
  <c r="HR112" i="1"/>
  <c r="HR148" i="1"/>
  <c r="HR179" i="1"/>
  <c r="HR128" i="1"/>
  <c r="HR144" i="1"/>
  <c r="HR110" i="1"/>
  <c r="HR81" i="1"/>
  <c r="HR100" i="1"/>
  <c r="HR123" i="1"/>
  <c r="HR86" i="1"/>
  <c r="HR174" i="1"/>
  <c r="HR201" i="1"/>
  <c r="HR90" i="1"/>
  <c r="HR102" i="1"/>
  <c r="HR94" i="1"/>
  <c r="HR119" i="1"/>
  <c r="HR141" i="1"/>
  <c r="HR147" i="1"/>
  <c r="HR165" i="1"/>
  <c r="HR132" i="1"/>
  <c r="HR189" i="1"/>
  <c r="HR133" i="1"/>
  <c r="HR206" i="1"/>
  <c r="HR78" i="1"/>
  <c r="HR143" i="1"/>
  <c r="HR150" i="1"/>
  <c r="HR130" i="1"/>
  <c r="HR96" i="1"/>
  <c r="HR182" i="1"/>
  <c r="HR195" i="1"/>
  <c r="HR178" i="1"/>
  <c r="HR181" i="1"/>
  <c r="HR194" i="1"/>
  <c r="HR208" i="1"/>
  <c r="HR129" i="1"/>
  <c r="HR180" i="1"/>
  <c r="HR140" i="1"/>
  <c r="HR125" i="1"/>
  <c r="HR131" i="1"/>
  <c r="HR173" i="1"/>
  <c r="HR184" i="1"/>
  <c r="HR190" i="1"/>
  <c r="HR142" i="1"/>
  <c r="HR69" i="1"/>
  <c r="HR151" i="1"/>
  <c r="HR193" i="1"/>
  <c r="HR169" i="1"/>
  <c r="HR166" i="1"/>
  <c r="HR97" i="1"/>
  <c r="HR79" i="1"/>
  <c r="HR146" i="1"/>
  <c r="HR204" i="1"/>
  <c r="HR113" i="1"/>
  <c r="HR172" i="1"/>
  <c r="HR171" i="1"/>
  <c r="HR185" i="1"/>
  <c r="HR137" i="1"/>
  <c r="HR205" i="1"/>
  <c r="HR177" i="1"/>
  <c r="HR199" i="1"/>
  <c r="HR106" i="1"/>
  <c r="HR203" i="1"/>
  <c r="HR124" i="1"/>
  <c r="HR170" i="1"/>
  <c r="HR152" i="1"/>
  <c r="HR118" i="1"/>
  <c r="HR198" i="1"/>
  <c r="HR200" i="1"/>
  <c r="HR136" i="1"/>
  <c r="HR108" i="1"/>
  <c r="HR149" i="1"/>
  <c r="HR187" i="1"/>
  <c r="HR168" i="1"/>
  <c r="HR162" i="1"/>
  <c r="HR139" i="1"/>
  <c r="HR196" i="1"/>
  <c r="HR153" i="1"/>
  <c r="HR197" i="1"/>
  <c r="HR176" i="1"/>
  <c r="HR202" i="1"/>
  <c r="HR167" i="1"/>
  <c r="HR207" i="1"/>
  <c r="HR192" i="1"/>
  <c r="HQ3" i="1"/>
  <c r="HQ2" i="1"/>
  <c r="HQ43" i="1"/>
  <c r="HQ71" i="1"/>
  <c r="HQ7" i="1"/>
  <c r="HQ164" i="1"/>
  <c r="HQ4" i="1"/>
  <c r="HQ99" i="1"/>
  <c r="HQ6" i="1"/>
  <c r="HQ8" i="1"/>
  <c r="HQ10" i="1"/>
  <c r="HQ9" i="1"/>
  <c r="HQ127" i="1"/>
  <c r="HQ11" i="1"/>
  <c r="HQ44" i="1"/>
  <c r="HQ39" i="1"/>
  <c r="HQ45" i="1"/>
  <c r="HQ16" i="1"/>
  <c r="HQ12" i="1"/>
  <c r="HQ48" i="1"/>
  <c r="HQ54" i="1"/>
  <c r="HQ47" i="1"/>
  <c r="HQ20" i="1"/>
  <c r="HQ50" i="1"/>
  <c r="HQ22" i="1"/>
  <c r="HQ49" i="1"/>
  <c r="HQ13" i="1"/>
  <c r="HQ26" i="1"/>
  <c r="HQ52" i="1"/>
  <c r="HQ46" i="1"/>
  <c r="HQ72" i="1"/>
  <c r="HQ5" i="1"/>
  <c r="HQ18" i="1"/>
  <c r="HQ23" i="1"/>
  <c r="HQ15" i="1"/>
  <c r="HQ14" i="1"/>
  <c r="HQ59" i="1"/>
  <c r="HQ38" i="1"/>
  <c r="HQ21" i="1"/>
  <c r="HQ27" i="1"/>
  <c r="HQ17" i="1"/>
  <c r="HQ68" i="1"/>
  <c r="HQ121" i="1"/>
  <c r="HQ24" i="1"/>
  <c r="HQ30" i="1"/>
  <c r="HQ40" i="1"/>
  <c r="HQ35" i="1"/>
  <c r="HQ29" i="1"/>
  <c r="HQ37" i="1"/>
  <c r="HQ28" i="1"/>
  <c r="HQ19" i="1"/>
  <c r="HQ33" i="1"/>
  <c r="HQ109" i="1"/>
  <c r="HQ64" i="1"/>
  <c r="HQ63" i="1"/>
  <c r="HQ77" i="1"/>
  <c r="HQ115" i="1"/>
  <c r="HQ31" i="1"/>
  <c r="HQ41" i="1"/>
  <c r="HQ191" i="1"/>
  <c r="HQ85" i="1"/>
  <c r="HQ62" i="1"/>
  <c r="HQ36" i="1"/>
  <c r="HQ32" i="1"/>
  <c r="HQ34" i="1"/>
  <c r="HQ93" i="1"/>
  <c r="HQ117" i="1"/>
  <c r="HQ154" i="1"/>
  <c r="HQ107" i="1"/>
  <c r="HQ98" i="1"/>
  <c r="HQ138" i="1"/>
  <c r="HQ75" i="1"/>
  <c r="HQ122" i="1"/>
  <c r="HQ84" i="1"/>
  <c r="HQ116" i="1"/>
  <c r="HQ186" i="1"/>
  <c r="HQ89" i="1"/>
  <c r="HQ70" i="1"/>
  <c r="HQ61" i="1"/>
  <c r="HQ74" i="1"/>
  <c r="HQ88" i="1"/>
  <c r="HQ73" i="1"/>
  <c r="HQ111" i="1"/>
  <c r="HQ87" i="1"/>
  <c r="HQ82" i="1"/>
  <c r="HQ53" i="1"/>
  <c r="HQ175" i="1"/>
  <c r="HQ55" i="1"/>
  <c r="HQ51" i="1"/>
  <c r="HQ157" i="1"/>
  <c r="HQ158" i="1"/>
  <c r="HQ83" i="1"/>
  <c r="HQ91" i="1"/>
  <c r="HQ105" i="1"/>
  <c r="HQ103" i="1"/>
  <c r="HQ188" i="1"/>
  <c r="HQ163" i="1"/>
  <c r="HQ101" i="1"/>
  <c r="HQ65" i="1"/>
  <c r="HQ60" i="1"/>
  <c r="HQ80" i="1"/>
  <c r="HQ56" i="1"/>
  <c r="HQ57" i="1"/>
  <c r="HQ25" i="1"/>
  <c r="HQ104" i="1"/>
  <c r="HQ66" i="1"/>
  <c r="HQ58" i="1"/>
  <c r="HQ155" i="1"/>
  <c r="HQ156" i="1"/>
  <c r="HQ134" i="1"/>
  <c r="HQ92" i="1"/>
  <c r="HQ67" i="1"/>
  <c r="HQ126" i="1"/>
  <c r="HQ145" i="1"/>
  <c r="HQ135" i="1"/>
  <c r="HQ159" i="1"/>
  <c r="HQ76" i="1"/>
  <c r="HQ114" i="1"/>
  <c r="HQ161" i="1"/>
  <c r="HQ160" i="1"/>
  <c r="HQ95" i="1"/>
  <c r="HQ120" i="1"/>
  <c r="HQ42" i="1"/>
  <c r="HQ183" i="1"/>
  <c r="HQ112" i="1"/>
  <c r="HQ148" i="1"/>
  <c r="HQ179" i="1"/>
  <c r="HQ128" i="1"/>
  <c r="HQ144" i="1"/>
  <c r="HQ110" i="1"/>
  <c r="HQ81" i="1"/>
  <c r="HQ100" i="1"/>
  <c r="HQ123" i="1"/>
  <c r="HQ86" i="1"/>
  <c r="HQ174" i="1"/>
  <c r="HQ201" i="1"/>
  <c r="HQ90" i="1"/>
  <c r="HQ102" i="1"/>
  <c r="HQ94" i="1"/>
  <c r="HQ119" i="1"/>
  <c r="HQ141" i="1"/>
  <c r="HQ147" i="1"/>
  <c r="HQ165" i="1"/>
  <c r="HQ132" i="1"/>
  <c r="HQ189" i="1"/>
  <c r="HQ133" i="1"/>
  <c r="HQ206" i="1"/>
  <c r="HQ78" i="1"/>
  <c r="HQ143" i="1"/>
  <c r="HQ150" i="1"/>
  <c r="HQ130" i="1"/>
  <c r="HQ96" i="1"/>
  <c r="HQ182" i="1"/>
  <c r="HQ195" i="1"/>
  <c r="HQ178" i="1"/>
  <c r="HQ181" i="1"/>
  <c r="HQ194" i="1"/>
  <c r="HQ208" i="1"/>
  <c r="HQ129" i="1"/>
  <c r="HQ180" i="1"/>
  <c r="HQ140" i="1"/>
  <c r="HQ125" i="1"/>
  <c r="HQ131" i="1"/>
  <c r="HQ173" i="1"/>
  <c r="HQ184" i="1"/>
  <c r="HQ190" i="1"/>
  <c r="HQ142" i="1"/>
  <c r="HQ69" i="1"/>
  <c r="HQ151" i="1"/>
  <c r="HQ193" i="1"/>
  <c r="HQ169" i="1"/>
  <c r="HQ166" i="1"/>
  <c r="HQ97" i="1"/>
  <c r="HQ79" i="1"/>
  <c r="HQ146" i="1"/>
  <c r="HQ204" i="1"/>
  <c r="HQ113" i="1"/>
  <c r="HQ172" i="1"/>
  <c r="HQ171" i="1"/>
  <c r="HQ185" i="1"/>
  <c r="HQ137" i="1"/>
  <c r="HQ205" i="1"/>
  <c r="HQ177" i="1"/>
  <c r="HQ199" i="1"/>
  <c r="HQ106" i="1"/>
  <c r="HQ203" i="1"/>
  <c r="HQ124" i="1"/>
  <c r="HQ170" i="1"/>
  <c r="HQ152" i="1"/>
  <c r="HQ118" i="1"/>
  <c r="HQ198" i="1"/>
  <c r="HQ200" i="1"/>
  <c r="HQ136" i="1"/>
  <c r="HQ108" i="1"/>
  <c r="HQ149" i="1"/>
  <c r="HQ187" i="1"/>
  <c r="HQ168" i="1"/>
  <c r="HQ162" i="1"/>
  <c r="HQ139" i="1"/>
  <c r="HQ196" i="1"/>
  <c r="HQ153" i="1"/>
  <c r="HQ197" i="1"/>
  <c r="HQ176" i="1"/>
  <c r="HQ202" i="1"/>
  <c r="HQ167" i="1"/>
  <c r="HQ207" i="1"/>
  <c r="HQ192" i="1"/>
  <c r="HP3" i="1"/>
  <c r="HP2" i="1"/>
  <c r="HP43" i="1"/>
  <c r="HP71" i="1"/>
  <c r="HP7" i="1"/>
  <c r="HP164" i="1"/>
  <c r="HP4" i="1"/>
  <c r="HP99" i="1"/>
  <c r="HP6" i="1"/>
  <c r="HP8" i="1"/>
  <c r="HP10" i="1"/>
  <c r="HP9" i="1"/>
  <c r="HP127" i="1"/>
  <c r="HP11" i="1"/>
  <c r="HP44" i="1"/>
  <c r="HP39" i="1"/>
  <c r="HP45" i="1"/>
  <c r="HP16" i="1"/>
  <c r="HP12" i="1"/>
  <c r="HP48" i="1"/>
  <c r="HP54" i="1"/>
  <c r="HP47" i="1"/>
  <c r="HP20" i="1"/>
  <c r="HP50" i="1"/>
  <c r="HP22" i="1"/>
  <c r="HP49" i="1"/>
  <c r="HP13" i="1"/>
  <c r="HP26" i="1"/>
  <c r="HP52" i="1"/>
  <c r="HP46" i="1"/>
  <c r="HP72" i="1"/>
  <c r="HP5" i="1"/>
  <c r="HP18" i="1"/>
  <c r="HP23" i="1"/>
  <c r="HP15" i="1"/>
  <c r="HP14" i="1"/>
  <c r="HP59" i="1"/>
  <c r="HP38" i="1"/>
  <c r="HP21" i="1"/>
  <c r="HP27" i="1"/>
  <c r="HP17" i="1"/>
  <c r="HP68" i="1"/>
  <c r="HP121" i="1"/>
  <c r="HP24" i="1"/>
  <c r="HP30" i="1"/>
  <c r="HP40" i="1"/>
  <c r="HP35" i="1"/>
  <c r="HP29" i="1"/>
  <c r="HP37" i="1"/>
  <c r="HP28" i="1"/>
  <c r="HP19" i="1"/>
  <c r="HP33" i="1"/>
  <c r="HP109" i="1"/>
  <c r="HP64" i="1"/>
  <c r="HP63" i="1"/>
  <c r="HP77" i="1"/>
  <c r="HP115" i="1"/>
  <c r="HP31" i="1"/>
  <c r="HP41" i="1"/>
  <c r="HP191" i="1"/>
  <c r="HP85" i="1"/>
  <c r="HP62" i="1"/>
  <c r="HP36" i="1"/>
  <c r="HP32" i="1"/>
  <c r="HP34" i="1"/>
  <c r="HP93" i="1"/>
  <c r="HP117" i="1"/>
  <c r="HP154" i="1"/>
  <c r="HP107" i="1"/>
  <c r="HP98" i="1"/>
  <c r="HP138" i="1"/>
  <c r="HP75" i="1"/>
  <c r="HP122" i="1"/>
  <c r="HP84" i="1"/>
  <c r="HP116" i="1"/>
  <c r="HP186" i="1"/>
  <c r="HP89" i="1"/>
  <c r="HP70" i="1"/>
  <c r="HP61" i="1"/>
  <c r="HP74" i="1"/>
  <c r="HP88" i="1"/>
  <c r="HP73" i="1"/>
  <c r="HP111" i="1"/>
  <c r="HP87" i="1"/>
  <c r="HP82" i="1"/>
  <c r="HP53" i="1"/>
  <c r="HP175" i="1"/>
  <c r="HP55" i="1"/>
  <c r="HP51" i="1"/>
  <c r="HP157" i="1"/>
  <c r="HP158" i="1"/>
  <c r="HP83" i="1"/>
  <c r="HP91" i="1"/>
  <c r="HP105" i="1"/>
  <c r="HP103" i="1"/>
  <c r="HP188" i="1"/>
  <c r="HP163" i="1"/>
  <c r="HP101" i="1"/>
  <c r="HP65" i="1"/>
  <c r="HP60" i="1"/>
  <c r="HP80" i="1"/>
  <c r="HP56" i="1"/>
  <c r="HP57" i="1"/>
  <c r="HP25" i="1"/>
  <c r="HP104" i="1"/>
  <c r="HP66" i="1"/>
  <c r="HP58" i="1"/>
  <c r="HP155" i="1"/>
  <c r="HP156" i="1"/>
  <c r="HP134" i="1"/>
  <c r="HP92" i="1"/>
  <c r="HP67" i="1"/>
  <c r="HP126" i="1"/>
  <c r="HP145" i="1"/>
  <c r="HP135" i="1"/>
  <c r="HP159" i="1"/>
  <c r="HP76" i="1"/>
  <c r="HP114" i="1"/>
  <c r="HP161" i="1"/>
  <c r="HP160" i="1"/>
  <c r="HP95" i="1"/>
  <c r="HP120" i="1"/>
  <c r="HP42" i="1"/>
  <c r="HP183" i="1"/>
  <c r="HP112" i="1"/>
  <c r="HP148" i="1"/>
  <c r="HP179" i="1"/>
  <c r="HP128" i="1"/>
  <c r="HP144" i="1"/>
  <c r="HP110" i="1"/>
  <c r="HP81" i="1"/>
  <c r="HP100" i="1"/>
  <c r="HP123" i="1"/>
  <c r="HP86" i="1"/>
  <c r="HP174" i="1"/>
  <c r="HP201" i="1"/>
  <c r="HP90" i="1"/>
  <c r="HP102" i="1"/>
  <c r="HP94" i="1"/>
  <c r="HP119" i="1"/>
  <c r="HP141" i="1"/>
  <c r="HP147" i="1"/>
  <c r="HP165" i="1"/>
  <c r="HP132" i="1"/>
  <c r="HP189" i="1"/>
  <c r="HP133" i="1"/>
  <c r="HP206" i="1"/>
  <c r="HP78" i="1"/>
  <c r="HP143" i="1"/>
  <c r="HP150" i="1"/>
  <c r="HP130" i="1"/>
  <c r="HP96" i="1"/>
  <c r="HP182" i="1"/>
  <c r="HP195" i="1"/>
  <c r="HP178" i="1"/>
  <c r="HP181" i="1"/>
  <c r="HP194" i="1"/>
  <c r="HP208" i="1"/>
  <c r="HP129" i="1"/>
  <c r="HP180" i="1"/>
  <c r="HP140" i="1"/>
  <c r="HP125" i="1"/>
  <c r="HP131" i="1"/>
  <c r="HP173" i="1"/>
  <c r="HP184" i="1"/>
  <c r="HP190" i="1"/>
  <c r="HP142" i="1"/>
  <c r="HP69" i="1"/>
  <c r="HP151" i="1"/>
  <c r="HP193" i="1"/>
  <c r="HP169" i="1"/>
  <c r="HP166" i="1"/>
  <c r="HP97" i="1"/>
  <c r="HP79" i="1"/>
  <c r="HP146" i="1"/>
  <c r="HP204" i="1"/>
  <c r="HP113" i="1"/>
  <c r="HP172" i="1"/>
  <c r="HP171" i="1"/>
  <c r="HP185" i="1"/>
  <c r="HP137" i="1"/>
  <c r="HP205" i="1"/>
  <c r="HP177" i="1"/>
  <c r="HP199" i="1"/>
  <c r="HP106" i="1"/>
  <c r="HP203" i="1"/>
  <c r="HP124" i="1"/>
  <c r="HP170" i="1"/>
  <c r="HP152" i="1"/>
  <c r="HP118" i="1"/>
  <c r="HP198" i="1"/>
  <c r="HP200" i="1"/>
  <c r="HP136" i="1"/>
  <c r="HP108" i="1"/>
  <c r="HP149" i="1"/>
  <c r="HP187" i="1"/>
  <c r="HP168" i="1"/>
  <c r="HP162" i="1"/>
  <c r="HP139" i="1"/>
  <c r="HP196" i="1"/>
  <c r="HP153" i="1"/>
  <c r="HP197" i="1"/>
  <c r="HP176" i="1"/>
  <c r="HP202" i="1"/>
  <c r="HP167" i="1"/>
  <c r="HP207" i="1"/>
  <c r="HP192" i="1"/>
  <c r="HO3" i="1"/>
  <c r="HO2" i="1"/>
  <c r="HO43" i="1"/>
  <c r="HO71" i="1"/>
  <c r="HO7" i="1"/>
  <c r="HO164" i="1"/>
  <c r="HO4" i="1"/>
  <c r="HO99" i="1"/>
  <c r="HO6" i="1"/>
  <c r="HO8" i="1"/>
  <c r="HO10" i="1"/>
  <c r="HO9" i="1"/>
  <c r="HO127" i="1"/>
  <c r="HO11" i="1"/>
  <c r="HO44" i="1"/>
  <c r="HO39" i="1"/>
  <c r="HO45" i="1"/>
  <c r="HO16" i="1"/>
  <c r="HO12" i="1"/>
  <c r="HO48" i="1"/>
  <c r="HO54" i="1"/>
  <c r="HO47" i="1"/>
  <c r="HO20" i="1"/>
  <c r="HO50" i="1"/>
  <c r="HO22" i="1"/>
  <c r="HO49" i="1"/>
  <c r="HO13" i="1"/>
  <c r="HO26" i="1"/>
  <c r="HO52" i="1"/>
  <c r="HO46" i="1"/>
  <c r="HO72" i="1"/>
  <c r="HO5" i="1"/>
  <c r="HO18" i="1"/>
  <c r="HO23" i="1"/>
  <c r="HO15" i="1"/>
  <c r="HO14" i="1"/>
  <c r="HO59" i="1"/>
  <c r="HO38" i="1"/>
  <c r="HO21" i="1"/>
  <c r="HO27" i="1"/>
  <c r="HO17" i="1"/>
  <c r="HO68" i="1"/>
  <c r="HO121" i="1"/>
  <c r="HO24" i="1"/>
  <c r="HO30" i="1"/>
  <c r="HO40" i="1"/>
  <c r="HO35" i="1"/>
  <c r="HO29" i="1"/>
  <c r="HO37" i="1"/>
  <c r="HO28" i="1"/>
  <c r="HO19" i="1"/>
  <c r="HO33" i="1"/>
  <c r="HO109" i="1"/>
  <c r="HO64" i="1"/>
  <c r="HO63" i="1"/>
  <c r="HO77" i="1"/>
  <c r="HO115" i="1"/>
  <c r="HO31" i="1"/>
  <c r="HO41" i="1"/>
  <c r="HO191" i="1"/>
  <c r="HO85" i="1"/>
  <c r="HO62" i="1"/>
  <c r="HO36" i="1"/>
  <c r="HO32" i="1"/>
  <c r="HO34" i="1"/>
  <c r="HO93" i="1"/>
  <c r="HO117" i="1"/>
  <c r="HO154" i="1"/>
  <c r="HO107" i="1"/>
  <c r="HO98" i="1"/>
  <c r="HO138" i="1"/>
  <c r="HO75" i="1"/>
  <c r="HO122" i="1"/>
  <c r="HO84" i="1"/>
  <c r="HO116" i="1"/>
  <c r="HO186" i="1"/>
  <c r="HO89" i="1"/>
  <c r="HO70" i="1"/>
  <c r="HO61" i="1"/>
  <c r="HO74" i="1"/>
  <c r="HO88" i="1"/>
  <c r="HO73" i="1"/>
  <c r="HO111" i="1"/>
  <c r="HO87" i="1"/>
  <c r="HO82" i="1"/>
  <c r="HO53" i="1"/>
  <c r="HO175" i="1"/>
  <c r="HO55" i="1"/>
  <c r="HO51" i="1"/>
  <c r="HO157" i="1"/>
  <c r="HO158" i="1"/>
  <c r="HO83" i="1"/>
  <c r="HO91" i="1"/>
  <c r="HO105" i="1"/>
  <c r="HO103" i="1"/>
  <c r="HO188" i="1"/>
  <c r="HO163" i="1"/>
  <c r="HO101" i="1"/>
  <c r="HO65" i="1"/>
  <c r="HO60" i="1"/>
  <c r="HO80" i="1"/>
  <c r="HO56" i="1"/>
  <c r="HO57" i="1"/>
  <c r="HO25" i="1"/>
  <c r="HO104" i="1"/>
  <c r="HO66" i="1"/>
  <c r="HO58" i="1"/>
  <c r="HO155" i="1"/>
  <c r="HO156" i="1"/>
  <c r="HO134" i="1"/>
  <c r="HO92" i="1"/>
  <c r="HO67" i="1"/>
  <c r="HO126" i="1"/>
  <c r="HO145" i="1"/>
  <c r="HO135" i="1"/>
  <c r="HO159" i="1"/>
  <c r="HO76" i="1"/>
  <c r="HO114" i="1"/>
  <c r="HO161" i="1"/>
  <c r="HO160" i="1"/>
  <c r="HO95" i="1"/>
  <c r="HO120" i="1"/>
  <c r="HO42" i="1"/>
  <c r="HO183" i="1"/>
  <c r="HO112" i="1"/>
  <c r="HO148" i="1"/>
  <c r="HO179" i="1"/>
  <c r="HO128" i="1"/>
  <c r="HO144" i="1"/>
  <c r="HO110" i="1"/>
  <c r="HO81" i="1"/>
  <c r="HO100" i="1"/>
  <c r="HO123" i="1"/>
  <c r="HO86" i="1"/>
  <c r="HO174" i="1"/>
  <c r="HO201" i="1"/>
  <c r="HO90" i="1"/>
  <c r="HO102" i="1"/>
  <c r="HO94" i="1"/>
  <c r="HO119" i="1"/>
  <c r="HO141" i="1"/>
  <c r="HO147" i="1"/>
  <c r="HO165" i="1"/>
  <c r="HO132" i="1"/>
  <c r="HO189" i="1"/>
  <c r="HO133" i="1"/>
  <c r="HO206" i="1"/>
  <c r="HO78" i="1"/>
  <c r="HO143" i="1"/>
  <c r="HO150" i="1"/>
  <c r="HO130" i="1"/>
  <c r="HO96" i="1"/>
  <c r="HO182" i="1"/>
  <c r="HO195" i="1"/>
  <c r="HO178" i="1"/>
  <c r="HO181" i="1"/>
  <c r="HO194" i="1"/>
  <c r="HO208" i="1"/>
  <c r="HO129" i="1"/>
  <c r="HO180" i="1"/>
  <c r="HO140" i="1"/>
  <c r="HO125" i="1"/>
  <c r="HO131" i="1"/>
  <c r="HO173" i="1"/>
  <c r="HO184" i="1"/>
  <c r="HO190" i="1"/>
  <c r="HO142" i="1"/>
  <c r="HO69" i="1"/>
  <c r="HO151" i="1"/>
  <c r="HO193" i="1"/>
  <c r="HO169" i="1"/>
  <c r="HO166" i="1"/>
  <c r="HO97" i="1"/>
  <c r="HO79" i="1"/>
  <c r="HO146" i="1"/>
  <c r="HO204" i="1"/>
  <c r="HO113" i="1"/>
  <c r="HO172" i="1"/>
  <c r="HO171" i="1"/>
  <c r="HO185" i="1"/>
  <c r="HO137" i="1"/>
  <c r="HO205" i="1"/>
  <c r="HO177" i="1"/>
  <c r="HO199" i="1"/>
  <c r="HO106" i="1"/>
  <c r="HO203" i="1"/>
  <c r="HO124" i="1"/>
  <c r="HO170" i="1"/>
  <c r="HO152" i="1"/>
  <c r="HO118" i="1"/>
  <c r="HO198" i="1"/>
  <c r="HO200" i="1"/>
  <c r="HO136" i="1"/>
  <c r="HO108" i="1"/>
  <c r="HO149" i="1"/>
  <c r="HO187" i="1"/>
  <c r="HO168" i="1"/>
  <c r="HO162" i="1"/>
  <c r="HO139" i="1"/>
  <c r="HO196" i="1"/>
  <c r="HO153" i="1"/>
  <c r="HO197" i="1"/>
  <c r="HO176" i="1"/>
  <c r="HO202" i="1"/>
  <c r="HO167" i="1"/>
  <c r="HO207" i="1"/>
  <c r="HO192" i="1"/>
  <c r="HN3" i="1"/>
  <c r="HN2" i="1"/>
  <c r="HN43" i="1"/>
  <c r="HN71" i="1"/>
  <c r="HN7" i="1"/>
  <c r="HN164" i="1"/>
  <c r="HN4" i="1"/>
  <c r="HN99" i="1"/>
  <c r="HN6" i="1"/>
  <c r="HN8" i="1"/>
  <c r="HN10" i="1"/>
  <c r="HN9" i="1"/>
  <c r="HN127" i="1"/>
  <c r="HN11" i="1"/>
  <c r="HN44" i="1"/>
  <c r="HN39" i="1"/>
  <c r="HN45" i="1"/>
  <c r="HN16" i="1"/>
  <c r="HN12" i="1"/>
  <c r="HN48" i="1"/>
  <c r="HN54" i="1"/>
  <c r="HN47" i="1"/>
  <c r="HN20" i="1"/>
  <c r="HN50" i="1"/>
  <c r="HN22" i="1"/>
  <c r="HN49" i="1"/>
  <c r="HN13" i="1"/>
  <c r="HN26" i="1"/>
  <c r="HN52" i="1"/>
  <c r="HN46" i="1"/>
  <c r="HN72" i="1"/>
  <c r="HN5" i="1"/>
  <c r="HN18" i="1"/>
  <c r="HN23" i="1"/>
  <c r="HN15" i="1"/>
  <c r="HN14" i="1"/>
  <c r="HN59" i="1"/>
  <c r="HN38" i="1"/>
  <c r="HN21" i="1"/>
  <c r="HN27" i="1"/>
  <c r="HN17" i="1"/>
  <c r="HN68" i="1"/>
  <c r="HN121" i="1"/>
  <c r="HN24" i="1"/>
  <c r="HN30" i="1"/>
  <c r="HN40" i="1"/>
  <c r="HN35" i="1"/>
  <c r="HN29" i="1"/>
  <c r="HN37" i="1"/>
  <c r="HN28" i="1"/>
  <c r="HN19" i="1"/>
  <c r="HN33" i="1"/>
  <c r="HN109" i="1"/>
  <c r="HN64" i="1"/>
  <c r="HN63" i="1"/>
  <c r="HN77" i="1"/>
  <c r="HN115" i="1"/>
  <c r="HN31" i="1"/>
  <c r="HN41" i="1"/>
  <c r="HN191" i="1"/>
  <c r="HN85" i="1"/>
  <c r="HN62" i="1"/>
  <c r="HN36" i="1"/>
  <c r="HN32" i="1"/>
  <c r="HN34" i="1"/>
  <c r="HN93" i="1"/>
  <c r="HN117" i="1"/>
  <c r="HN154" i="1"/>
  <c r="HN107" i="1"/>
  <c r="HN98" i="1"/>
  <c r="HN138" i="1"/>
  <c r="HN75" i="1"/>
  <c r="HN122" i="1"/>
  <c r="HN84" i="1"/>
  <c r="HN116" i="1"/>
  <c r="HN186" i="1"/>
  <c r="HN89" i="1"/>
  <c r="HN70" i="1"/>
  <c r="HN61" i="1"/>
  <c r="HN74" i="1"/>
  <c r="HN88" i="1"/>
  <c r="HN73" i="1"/>
  <c r="HN111" i="1"/>
  <c r="HN87" i="1"/>
  <c r="HN82" i="1"/>
  <c r="HN53" i="1"/>
  <c r="HN175" i="1"/>
  <c r="HN55" i="1"/>
  <c r="HN51" i="1"/>
  <c r="HN157" i="1"/>
  <c r="HN158" i="1"/>
  <c r="HN83" i="1"/>
  <c r="HN91" i="1"/>
  <c r="HN105" i="1"/>
  <c r="HN103" i="1"/>
  <c r="HN188" i="1"/>
  <c r="HN163" i="1"/>
  <c r="HN101" i="1"/>
  <c r="HN65" i="1"/>
  <c r="HN60" i="1"/>
  <c r="HN80" i="1"/>
  <c r="HN56" i="1"/>
  <c r="HN57" i="1"/>
  <c r="HN25" i="1"/>
  <c r="HN104" i="1"/>
  <c r="HN66" i="1"/>
  <c r="HN58" i="1"/>
  <c r="HN155" i="1"/>
  <c r="HN156" i="1"/>
  <c r="HN134" i="1"/>
  <c r="HN92" i="1"/>
  <c r="HN67" i="1"/>
  <c r="HN126" i="1"/>
  <c r="HN145" i="1"/>
  <c r="HN135" i="1"/>
  <c r="HN159" i="1"/>
  <c r="HN76" i="1"/>
  <c r="HN114" i="1"/>
  <c r="HN161" i="1"/>
  <c r="HN160" i="1"/>
  <c r="HN95" i="1"/>
  <c r="HN120" i="1"/>
  <c r="HN42" i="1"/>
  <c r="HN183" i="1"/>
  <c r="HN112" i="1"/>
  <c r="HN148" i="1"/>
  <c r="HN179" i="1"/>
  <c r="HN128" i="1"/>
  <c r="HN144" i="1"/>
  <c r="HN110" i="1"/>
  <c r="HN81" i="1"/>
  <c r="HN100" i="1"/>
  <c r="HN123" i="1"/>
  <c r="HN86" i="1"/>
  <c r="HN174" i="1"/>
  <c r="HN201" i="1"/>
  <c r="HN90" i="1"/>
  <c r="HN102" i="1"/>
  <c r="HN94" i="1"/>
  <c r="HN119" i="1"/>
  <c r="HN141" i="1"/>
  <c r="HN147" i="1"/>
  <c r="HN165" i="1"/>
  <c r="HN132" i="1"/>
  <c r="HN189" i="1"/>
  <c r="HN133" i="1"/>
  <c r="HN206" i="1"/>
  <c r="HN78" i="1"/>
  <c r="HN143" i="1"/>
  <c r="HN150" i="1"/>
  <c r="HN130" i="1"/>
  <c r="HN96" i="1"/>
  <c r="HN182" i="1"/>
  <c r="HN195" i="1"/>
  <c r="HN178" i="1"/>
  <c r="HN181" i="1"/>
  <c r="HN194" i="1"/>
  <c r="HN208" i="1"/>
  <c r="HN129" i="1"/>
  <c r="HN180" i="1"/>
  <c r="HN140" i="1"/>
  <c r="HN125" i="1"/>
  <c r="HN131" i="1"/>
  <c r="HN173" i="1"/>
  <c r="HN184" i="1"/>
  <c r="HN190" i="1"/>
  <c r="HN142" i="1"/>
  <c r="HN69" i="1"/>
  <c r="HN151" i="1"/>
  <c r="HN193" i="1"/>
  <c r="HN169" i="1"/>
  <c r="HN166" i="1"/>
  <c r="HN97" i="1"/>
  <c r="HN79" i="1"/>
  <c r="HN146" i="1"/>
  <c r="HN204" i="1"/>
  <c r="HN113" i="1"/>
  <c r="HN172" i="1"/>
  <c r="HN171" i="1"/>
  <c r="HN185" i="1"/>
  <c r="HN137" i="1"/>
  <c r="HN205" i="1"/>
  <c r="HN177" i="1"/>
  <c r="HN199" i="1"/>
  <c r="HN106" i="1"/>
  <c r="HN203" i="1"/>
  <c r="HN124" i="1"/>
  <c r="HN170" i="1"/>
  <c r="HN152" i="1"/>
  <c r="HN118" i="1"/>
  <c r="HN198" i="1"/>
  <c r="HN200" i="1"/>
  <c r="HN136" i="1"/>
  <c r="HN108" i="1"/>
  <c r="HN149" i="1"/>
  <c r="HN187" i="1"/>
  <c r="HN168" i="1"/>
  <c r="HN162" i="1"/>
  <c r="HN139" i="1"/>
  <c r="HN196" i="1"/>
  <c r="HN153" i="1"/>
  <c r="HN197" i="1"/>
  <c r="HN176" i="1"/>
  <c r="HN202" i="1"/>
  <c r="HN167" i="1"/>
  <c r="HN207" i="1"/>
  <c r="HN192" i="1"/>
  <c r="HM3" i="1"/>
  <c r="HM2" i="1"/>
  <c r="HM43" i="1"/>
  <c r="HM71" i="1"/>
  <c r="HM7" i="1"/>
  <c r="HM164" i="1"/>
  <c r="HM4" i="1"/>
  <c r="HM99" i="1"/>
  <c r="HM6" i="1"/>
  <c r="HM8" i="1"/>
  <c r="HM10" i="1"/>
  <c r="HM9" i="1"/>
  <c r="HM127" i="1"/>
  <c r="HM11" i="1"/>
  <c r="HM44" i="1"/>
  <c r="HM39" i="1"/>
  <c r="HM45" i="1"/>
  <c r="HM16" i="1"/>
  <c r="HM12" i="1"/>
  <c r="HM48" i="1"/>
  <c r="HM54" i="1"/>
  <c r="HM47" i="1"/>
  <c r="HM20" i="1"/>
  <c r="HM50" i="1"/>
  <c r="HM22" i="1"/>
  <c r="HM49" i="1"/>
  <c r="HM13" i="1"/>
  <c r="HM26" i="1"/>
  <c r="HM52" i="1"/>
  <c r="HM46" i="1"/>
  <c r="HM72" i="1"/>
  <c r="HM5" i="1"/>
  <c r="HM18" i="1"/>
  <c r="HM23" i="1"/>
  <c r="HM15" i="1"/>
  <c r="HM14" i="1"/>
  <c r="HM59" i="1"/>
  <c r="HM38" i="1"/>
  <c r="HM21" i="1"/>
  <c r="HM27" i="1"/>
  <c r="HM17" i="1"/>
  <c r="HM68" i="1"/>
  <c r="HM121" i="1"/>
  <c r="HM24" i="1"/>
  <c r="HM30" i="1"/>
  <c r="HM40" i="1"/>
  <c r="HM35" i="1"/>
  <c r="HM29" i="1"/>
  <c r="HM37" i="1"/>
  <c r="HM28" i="1"/>
  <c r="HM19" i="1"/>
  <c r="HM33" i="1"/>
  <c r="HM109" i="1"/>
  <c r="HM64" i="1"/>
  <c r="HM63" i="1"/>
  <c r="HM77" i="1"/>
  <c r="HM115" i="1"/>
  <c r="HM31" i="1"/>
  <c r="HM41" i="1"/>
  <c r="HM191" i="1"/>
  <c r="HM85" i="1"/>
  <c r="HM62" i="1"/>
  <c r="HM36" i="1"/>
  <c r="HM32" i="1"/>
  <c r="HM34" i="1"/>
  <c r="HM93" i="1"/>
  <c r="HM117" i="1"/>
  <c r="HM154" i="1"/>
  <c r="HM107" i="1"/>
  <c r="HM98" i="1"/>
  <c r="HM138" i="1"/>
  <c r="HM75" i="1"/>
  <c r="HM122" i="1"/>
  <c r="HM84" i="1"/>
  <c r="HM116" i="1"/>
  <c r="HM186" i="1"/>
  <c r="HM89" i="1"/>
  <c r="HM70" i="1"/>
  <c r="HM61" i="1"/>
  <c r="HM74" i="1"/>
  <c r="HM88" i="1"/>
  <c r="HM73" i="1"/>
  <c r="HM111" i="1"/>
  <c r="HM87" i="1"/>
  <c r="HM82" i="1"/>
  <c r="HM53" i="1"/>
  <c r="HM175" i="1"/>
  <c r="HM55" i="1"/>
  <c r="HM51" i="1"/>
  <c r="HM157" i="1"/>
  <c r="HM158" i="1"/>
  <c r="HM83" i="1"/>
  <c r="HM91" i="1"/>
  <c r="HM105" i="1"/>
  <c r="HM103" i="1"/>
  <c r="HM188" i="1"/>
  <c r="HM163" i="1"/>
  <c r="HM101" i="1"/>
  <c r="HM65" i="1"/>
  <c r="HM60" i="1"/>
  <c r="HM80" i="1"/>
  <c r="HM56" i="1"/>
  <c r="HM57" i="1"/>
  <c r="HM25" i="1"/>
  <c r="HM104" i="1"/>
  <c r="HM66" i="1"/>
  <c r="HM58" i="1"/>
  <c r="HM155" i="1"/>
  <c r="HM156" i="1"/>
  <c r="HM134" i="1"/>
  <c r="HM92" i="1"/>
  <c r="HM67" i="1"/>
  <c r="HM126" i="1"/>
  <c r="HM145" i="1"/>
  <c r="HM135" i="1"/>
  <c r="HM159" i="1"/>
  <c r="HM76" i="1"/>
  <c r="HM114" i="1"/>
  <c r="HM161" i="1"/>
  <c r="HM160" i="1"/>
  <c r="HM95" i="1"/>
  <c r="HM120" i="1"/>
  <c r="HM42" i="1"/>
  <c r="HM183" i="1"/>
  <c r="HM112" i="1"/>
  <c r="HM148" i="1"/>
  <c r="HM179" i="1"/>
  <c r="HM128" i="1"/>
  <c r="HM144" i="1"/>
  <c r="HM110" i="1"/>
  <c r="HM81" i="1"/>
  <c r="HM100" i="1"/>
  <c r="HM123" i="1"/>
  <c r="HM86" i="1"/>
  <c r="HM174" i="1"/>
  <c r="HM201" i="1"/>
  <c r="HM90" i="1"/>
  <c r="HM102" i="1"/>
  <c r="HM94" i="1"/>
  <c r="HM119" i="1"/>
  <c r="HM141" i="1"/>
  <c r="HM147" i="1"/>
  <c r="HM165" i="1"/>
  <c r="HM132" i="1"/>
  <c r="HM189" i="1"/>
  <c r="HM133" i="1"/>
  <c r="HM206" i="1"/>
  <c r="HM78" i="1"/>
  <c r="HM143" i="1"/>
  <c r="HM150" i="1"/>
  <c r="HM130" i="1"/>
  <c r="HM96" i="1"/>
  <c r="HM182" i="1"/>
  <c r="HM195" i="1"/>
  <c r="HM178" i="1"/>
  <c r="HM181" i="1"/>
  <c r="HM194" i="1"/>
  <c r="HM208" i="1"/>
  <c r="HM129" i="1"/>
  <c r="HM180" i="1"/>
  <c r="HM140" i="1"/>
  <c r="HM125" i="1"/>
  <c r="HM131" i="1"/>
  <c r="HM173" i="1"/>
  <c r="HM184" i="1"/>
  <c r="HM190" i="1"/>
  <c r="HM142" i="1"/>
  <c r="HM69" i="1"/>
  <c r="HM151" i="1"/>
  <c r="HM193" i="1"/>
  <c r="HM169" i="1"/>
  <c r="HM166" i="1"/>
  <c r="HM97" i="1"/>
  <c r="HM79" i="1"/>
  <c r="HM146" i="1"/>
  <c r="HM204" i="1"/>
  <c r="HM113" i="1"/>
  <c r="HM172" i="1"/>
  <c r="HM171" i="1"/>
  <c r="HM185" i="1"/>
  <c r="HM137" i="1"/>
  <c r="HM205" i="1"/>
  <c r="HM177" i="1"/>
  <c r="HM199" i="1"/>
  <c r="HM106" i="1"/>
  <c r="HM203" i="1"/>
  <c r="HM124" i="1"/>
  <c r="HM170" i="1"/>
  <c r="HM152" i="1"/>
  <c r="HM118" i="1"/>
  <c r="HM198" i="1"/>
  <c r="HM200" i="1"/>
  <c r="HM136" i="1"/>
  <c r="HM108" i="1"/>
  <c r="HM149" i="1"/>
  <c r="HM187" i="1"/>
  <c r="HM168" i="1"/>
  <c r="HM162" i="1"/>
  <c r="HM139" i="1"/>
  <c r="HM196" i="1"/>
  <c r="HM153" i="1"/>
  <c r="HM197" i="1"/>
  <c r="HM176" i="1"/>
  <c r="HM202" i="1"/>
  <c r="HM167" i="1"/>
  <c r="HM207" i="1"/>
  <c r="HM192" i="1"/>
  <c r="HL3" i="1"/>
  <c r="HL2" i="1"/>
  <c r="HL43" i="1"/>
  <c r="HL71" i="1"/>
  <c r="HL7" i="1"/>
  <c r="HL164" i="1"/>
  <c r="HL4" i="1"/>
  <c r="HL99" i="1"/>
  <c r="HL6" i="1"/>
  <c r="HL8" i="1"/>
  <c r="HL10" i="1"/>
  <c r="HL9" i="1"/>
  <c r="HL127" i="1"/>
  <c r="HL11" i="1"/>
  <c r="HL44" i="1"/>
  <c r="HL39" i="1"/>
  <c r="HL45" i="1"/>
  <c r="HL16" i="1"/>
  <c r="HL12" i="1"/>
  <c r="HL48" i="1"/>
  <c r="HL54" i="1"/>
  <c r="HL47" i="1"/>
  <c r="HL20" i="1"/>
  <c r="HL50" i="1"/>
  <c r="HL22" i="1"/>
  <c r="HL49" i="1"/>
  <c r="HL13" i="1"/>
  <c r="HL26" i="1"/>
  <c r="HL52" i="1"/>
  <c r="HL46" i="1"/>
  <c r="HL72" i="1"/>
  <c r="HL5" i="1"/>
  <c r="HL18" i="1"/>
  <c r="HL23" i="1"/>
  <c r="HL15" i="1"/>
  <c r="HL14" i="1"/>
  <c r="HL59" i="1"/>
  <c r="HL38" i="1"/>
  <c r="HL21" i="1"/>
  <c r="HL27" i="1"/>
  <c r="HL17" i="1"/>
  <c r="HL68" i="1"/>
  <c r="HL121" i="1"/>
  <c r="HL24" i="1"/>
  <c r="HL30" i="1"/>
  <c r="HL40" i="1"/>
  <c r="HL35" i="1"/>
  <c r="HL29" i="1"/>
  <c r="HL37" i="1"/>
  <c r="HL28" i="1"/>
  <c r="HL19" i="1"/>
  <c r="HL33" i="1"/>
  <c r="HL109" i="1"/>
  <c r="HL64" i="1"/>
  <c r="HL63" i="1"/>
  <c r="HL77" i="1"/>
  <c r="HL115" i="1"/>
  <c r="HL31" i="1"/>
  <c r="HL41" i="1"/>
  <c r="HL191" i="1"/>
  <c r="HL85" i="1"/>
  <c r="HL62" i="1"/>
  <c r="HL36" i="1"/>
  <c r="HL32" i="1"/>
  <c r="HL34" i="1"/>
  <c r="HL93" i="1"/>
  <c r="HL117" i="1"/>
  <c r="HL154" i="1"/>
  <c r="HL107" i="1"/>
  <c r="HL98" i="1"/>
  <c r="HL138" i="1"/>
  <c r="HL75" i="1"/>
  <c r="HL122" i="1"/>
  <c r="HL84" i="1"/>
  <c r="HL116" i="1"/>
  <c r="HL186" i="1"/>
  <c r="HL89" i="1"/>
  <c r="HL70" i="1"/>
  <c r="HL61" i="1"/>
  <c r="HL74" i="1"/>
  <c r="HL88" i="1"/>
  <c r="HL73" i="1"/>
  <c r="HL111" i="1"/>
  <c r="HL87" i="1"/>
  <c r="HL82" i="1"/>
  <c r="HL53" i="1"/>
  <c r="HL175" i="1"/>
  <c r="HL55" i="1"/>
  <c r="HL51" i="1"/>
  <c r="HL157" i="1"/>
  <c r="HL158" i="1"/>
  <c r="HL83" i="1"/>
  <c r="HL91" i="1"/>
  <c r="HL105" i="1"/>
  <c r="HL103" i="1"/>
  <c r="HL188" i="1"/>
  <c r="HL163" i="1"/>
  <c r="HL101" i="1"/>
  <c r="HL65" i="1"/>
  <c r="HL60" i="1"/>
  <c r="HL80" i="1"/>
  <c r="HL56" i="1"/>
  <c r="HL57" i="1"/>
  <c r="HL25" i="1"/>
  <c r="HL104" i="1"/>
  <c r="HL66" i="1"/>
  <c r="HL58" i="1"/>
  <c r="HL155" i="1"/>
  <c r="HL156" i="1"/>
  <c r="HL134" i="1"/>
  <c r="HL92" i="1"/>
  <c r="HL67" i="1"/>
  <c r="HL126" i="1"/>
  <c r="HL145" i="1"/>
  <c r="HL135" i="1"/>
  <c r="HL159" i="1"/>
  <c r="HL76" i="1"/>
  <c r="HL114" i="1"/>
  <c r="HL161" i="1"/>
  <c r="HL160" i="1"/>
  <c r="HL95" i="1"/>
  <c r="HL120" i="1"/>
  <c r="HL42" i="1"/>
  <c r="HL183" i="1"/>
  <c r="HL112" i="1"/>
  <c r="HL148" i="1"/>
  <c r="HL179" i="1"/>
  <c r="HL128" i="1"/>
  <c r="HL144" i="1"/>
  <c r="HL110" i="1"/>
  <c r="HL81" i="1"/>
  <c r="HL100" i="1"/>
  <c r="HL123" i="1"/>
  <c r="HL86" i="1"/>
  <c r="HL174" i="1"/>
  <c r="HL201" i="1"/>
  <c r="HL90" i="1"/>
  <c r="HL102" i="1"/>
  <c r="HL94" i="1"/>
  <c r="HL119" i="1"/>
  <c r="HL141" i="1"/>
  <c r="HL147" i="1"/>
  <c r="HL165" i="1"/>
  <c r="HL132" i="1"/>
  <c r="HL189" i="1"/>
  <c r="HL133" i="1"/>
  <c r="HL206" i="1"/>
  <c r="HL78" i="1"/>
  <c r="HL143" i="1"/>
  <c r="HL150" i="1"/>
  <c r="HL130" i="1"/>
  <c r="HL96" i="1"/>
  <c r="HL182" i="1"/>
  <c r="HL195" i="1"/>
  <c r="HL178" i="1"/>
  <c r="HL181" i="1"/>
  <c r="HL194" i="1"/>
  <c r="HL208" i="1"/>
  <c r="HL129" i="1"/>
  <c r="HL180" i="1"/>
  <c r="HL140" i="1"/>
  <c r="HL125" i="1"/>
  <c r="HL131" i="1"/>
  <c r="HL173" i="1"/>
  <c r="HL184" i="1"/>
  <c r="HL190" i="1"/>
  <c r="HL142" i="1"/>
  <c r="HL69" i="1"/>
  <c r="HL151" i="1"/>
  <c r="HL193" i="1"/>
  <c r="HL169" i="1"/>
  <c r="HL166" i="1"/>
  <c r="HL97" i="1"/>
  <c r="HL79" i="1"/>
  <c r="HL146" i="1"/>
  <c r="HL204" i="1"/>
  <c r="HL113" i="1"/>
  <c r="HL172" i="1"/>
  <c r="HL171" i="1"/>
  <c r="HL185" i="1"/>
  <c r="HL137" i="1"/>
  <c r="HL205" i="1"/>
  <c r="HL177" i="1"/>
  <c r="HL199" i="1"/>
  <c r="HL106" i="1"/>
  <c r="HL203" i="1"/>
  <c r="HL124" i="1"/>
  <c r="HL170" i="1"/>
  <c r="HL152" i="1"/>
  <c r="HL118" i="1"/>
  <c r="HL198" i="1"/>
  <c r="HL200" i="1"/>
  <c r="HL136" i="1"/>
  <c r="HL108" i="1"/>
  <c r="HL149" i="1"/>
  <c r="HL187" i="1"/>
  <c r="HL168" i="1"/>
  <c r="HL162" i="1"/>
  <c r="HL139" i="1"/>
  <c r="HL196" i="1"/>
  <c r="HL153" i="1"/>
  <c r="HL197" i="1"/>
  <c r="HL176" i="1"/>
  <c r="HL202" i="1"/>
  <c r="HL167" i="1"/>
  <c r="HL207" i="1"/>
  <c r="HL192" i="1"/>
  <c r="HK3" i="1"/>
  <c r="HK2" i="1"/>
  <c r="HK43" i="1"/>
  <c r="HK71" i="1"/>
  <c r="HK7" i="1"/>
  <c r="HK164" i="1"/>
  <c r="HK4" i="1"/>
  <c r="HK99" i="1"/>
  <c r="HK6" i="1"/>
  <c r="HK8" i="1"/>
  <c r="HK10" i="1"/>
  <c r="HK9" i="1"/>
  <c r="HK127" i="1"/>
  <c r="HK11" i="1"/>
  <c r="HK44" i="1"/>
  <c r="HK39" i="1"/>
  <c r="HK45" i="1"/>
  <c r="HK16" i="1"/>
  <c r="HK12" i="1"/>
  <c r="HK48" i="1"/>
  <c r="HK54" i="1"/>
  <c r="HK47" i="1"/>
  <c r="HK20" i="1"/>
  <c r="HK50" i="1"/>
  <c r="HK22" i="1"/>
  <c r="HK49" i="1"/>
  <c r="HK13" i="1"/>
  <c r="HK26" i="1"/>
  <c r="HK52" i="1"/>
  <c r="HK46" i="1"/>
  <c r="HK72" i="1"/>
  <c r="HK5" i="1"/>
  <c r="HK18" i="1"/>
  <c r="HK23" i="1"/>
  <c r="HK15" i="1"/>
  <c r="HK14" i="1"/>
  <c r="HK59" i="1"/>
  <c r="HK38" i="1"/>
  <c r="HK21" i="1"/>
  <c r="HK27" i="1"/>
  <c r="HK17" i="1"/>
  <c r="HK68" i="1"/>
  <c r="HK121" i="1"/>
  <c r="HK24" i="1"/>
  <c r="HK30" i="1"/>
  <c r="HK40" i="1"/>
  <c r="HK35" i="1"/>
  <c r="HK29" i="1"/>
  <c r="HK37" i="1"/>
  <c r="HK28" i="1"/>
  <c r="HK19" i="1"/>
  <c r="HK33" i="1"/>
  <c r="HK109" i="1"/>
  <c r="HK64" i="1"/>
  <c r="HK63" i="1"/>
  <c r="HK77" i="1"/>
  <c r="HK115" i="1"/>
  <c r="HK31" i="1"/>
  <c r="HK41" i="1"/>
  <c r="HK191" i="1"/>
  <c r="HK85" i="1"/>
  <c r="HK62" i="1"/>
  <c r="HK36" i="1"/>
  <c r="HK32" i="1"/>
  <c r="HK34" i="1"/>
  <c r="HK93" i="1"/>
  <c r="HK117" i="1"/>
  <c r="HK154" i="1"/>
  <c r="HK107" i="1"/>
  <c r="HK98" i="1"/>
  <c r="HK138" i="1"/>
  <c r="HK75" i="1"/>
  <c r="HK122" i="1"/>
  <c r="HK84" i="1"/>
  <c r="HK116" i="1"/>
  <c r="HK186" i="1"/>
  <c r="HK89" i="1"/>
  <c r="HK70" i="1"/>
  <c r="HK61" i="1"/>
  <c r="HK74" i="1"/>
  <c r="HK88" i="1"/>
  <c r="HK73" i="1"/>
  <c r="HK111" i="1"/>
  <c r="HK87" i="1"/>
  <c r="HK82" i="1"/>
  <c r="HK53" i="1"/>
  <c r="HK175" i="1"/>
  <c r="HK55" i="1"/>
  <c r="HK51" i="1"/>
  <c r="HK157" i="1"/>
  <c r="HK158" i="1"/>
  <c r="HK83" i="1"/>
  <c r="HK91" i="1"/>
  <c r="HK105" i="1"/>
  <c r="HK103" i="1"/>
  <c r="HK188" i="1"/>
  <c r="HK163" i="1"/>
  <c r="HK101" i="1"/>
  <c r="HK65" i="1"/>
  <c r="HK60" i="1"/>
  <c r="HK80" i="1"/>
  <c r="HK56" i="1"/>
  <c r="HK57" i="1"/>
  <c r="HK25" i="1"/>
  <c r="HK104" i="1"/>
  <c r="HK66" i="1"/>
  <c r="HK58" i="1"/>
  <c r="HK155" i="1"/>
  <c r="HK156" i="1"/>
  <c r="HK134" i="1"/>
  <c r="HK92" i="1"/>
  <c r="HK67" i="1"/>
  <c r="HK126" i="1"/>
  <c r="HK145" i="1"/>
  <c r="HK135" i="1"/>
  <c r="HK159" i="1"/>
  <c r="HK76" i="1"/>
  <c r="HK114" i="1"/>
  <c r="HK161" i="1"/>
  <c r="HK160" i="1"/>
  <c r="HK95" i="1"/>
  <c r="HK120" i="1"/>
  <c r="HK42" i="1"/>
  <c r="HK183" i="1"/>
  <c r="HK112" i="1"/>
  <c r="HK148" i="1"/>
  <c r="HK179" i="1"/>
  <c r="HK128" i="1"/>
  <c r="HK144" i="1"/>
  <c r="HK110" i="1"/>
  <c r="HK81" i="1"/>
  <c r="HK100" i="1"/>
  <c r="HK123" i="1"/>
  <c r="HK86" i="1"/>
  <c r="HK174" i="1"/>
  <c r="HK201" i="1"/>
  <c r="HK90" i="1"/>
  <c r="HK102" i="1"/>
  <c r="HK94" i="1"/>
  <c r="HK119" i="1"/>
  <c r="HK141" i="1"/>
  <c r="HK147" i="1"/>
  <c r="HK165" i="1"/>
  <c r="HK132" i="1"/>
  <c r="HK189" i="1"/>
  <c r="HK133" i="1"/>
  <c r="HK206" i="1"/>
  <c r="HK78" i="1"/>
  <c r="HK143" i="1"/>
  <c r="HK150" i="1"/>
  <c r="HK130" i="1"/>
  <c r="HK96" i="1"/>
  <c r="HK182" i="1"/>
  <c r="HK195" i="1"/>
  <c r="HK178" i="1"/>
  <c r="HK181" i="1"/>
  <c r="HK194" i="1"/>
  <c r="HK208" i="1"/>
  <c r="HK129" i="1"/>
  <c r="HK180" i="1"/>
  <c r="HK140" i="1"/>
  <c r="HK125" i="1"/>
  <c r="HK131" i="1"/>
  <c r="HK173" i="1"/>
  <c r="HK184" i="1"/>
  <c r="HK190" i="1"/>
  <c r="HK142" i="1"/>
  <c r="HK69" i="1"/>
  <c r="HK151" i="1"/>
  <c r="HK193" i="1"/>
  <c r="HK169" i="1"/>
  <c r="HK166" i="1"/>
  <c r="HK97" i="1"/>
  <c r="HK79" i="1"/>
  <c r="HK146" i="1"/>
  <c r="HK204" i="1"/>
  <c r="HK113" i="1"/>
  <c r="HK172" i="1"/>
  <c r="HK171" i="1"/>
  <c r="HK185" i="1"/>
  <c r="HK137" i="1"/>
  <c r="HK205" i="1"/>
  <c r="HK177" i="1"/>
  <c r="HK199" i="1"/>
  <c r="HK106" i="1"/>
  <c r="HK203" i="1"/>
  <c r="HK124" i="1"/>
  <c r="HK170" i="1"/>
  <c r="HK152" i="1"/>
  <c r="HK118" i="1"/>
  <c r="HK198" i="1"/>
  <c r="HK200" i="1"/>
  <c r="HK136" i="1"/>
  <c r="HK108" i="1"/>
  <c r="HK149" i="1"/>
  <c r="HK187" i="1"/>
  <c r="HK168" i="1"/>
  <c r="HK162" i="1"/>
  <c r="HK139" i="1"/>
  <c r="HK196" i="1"/>
  <c r="HK153" i="1"/>
  <c r="HK197" i="1"/>
  <c r="HK176" i="1"/>
  <c r="HK202" i="1"/>
  <c r="HK167" i="1"/>
  <c r="HK207" i="1"/>
  <c r="HK192" i="1"/>
  <c r="HJ3" i="1"/>
  <c r="HJ2" i="1"/>
  <c r="HJ43" i="1"/>
  <c r="HJ71" i="1"/>
  <c r="HJ7" i="1"/>
  <c r="HJ164" i="1"/>
  <c r="HJ4" i="1"/>
  <c r="HJ99" i="1"/>
  <c r="HJ6" i="1"/>
  <c r="HJ8" i="1"/>
  <c r="HJ10" i="1"/>
  <c r="HJ9" i="1"/>
  <c r="HJ127" i="1"/>
  <c r="HJ11" i="1"/>
  <c r="HJ44" i="1"/>
  <c r="HJ39" i="1"/>
  <c r="HJ45" i="1"/>
  <c r="HJ16" i="1"/>
  <c r="HJ12" i="1"/>
  <c r="HJ48" i="1"/>
  <c r="HJ54" i="1"/>
  <c r="HJ47" i="1"/>
  <c r="HJ20" i="1"/>
  <c r="HJ50" i="1"/>
  <c r="HJ22" i="1"/>
  <c r="HJ49" i="1"/>
  <c r="HJ13" i="1"/>
  <c r="HJ26" i="1"/>
  <c r="HJ52" i="1"/>
  <c r="HJ46" i="1"/>
  <c r="HJ72" i="1"/>
  <c r="HJ5" i="1"/>
  <c r="HJ18" i="1"/>
  <c r="HJ23" i="1"/>
  <c r="HJ15" i="1"/>
  <c r="HJ14" i="1"/>
  <c r="HJ59" i="1"/>
  <c r="HJ38" i="1"/>
  <c r="HJ21" i="1"/>
  <c r="HJ27" i="1"/>
  <c r="HJ17" i="1"/>
  <c r="HJ68" i="1"/>
  <c r="HJ121" i="1"/>
  <c r="HJ24" i="1"/>
  <c r="HJ30" i="1"/>
  <c r="HJ40" i="1"/>
  <c r="HJ35" i="1"/>
  <c r="HJ29" i="1"/>
  <c r="HJ37" i="1"/>
  <c r="HJ28" i="1"/>
  <c r="HJ19" i="1"/>
  <c r="HJ33" i="1"/>
  <c r="HJ109" i="1"/>
  <c r="HJ64" i="1"/>
  <c r="HJ63" i="1"/>
  <c r="HJ77" i="1"/>
  <c r="HJ115" i="1"/>
  <c r="HJ31" i="1"/>
  <c r="HJ41" i="1"/>
  <c r="HJ191" i="1"/>
  <c r="HJ85" i="1"/>
  <c r="HJ62" i="1"/>
  <c r="HJ36" i="1"/>
  <c r="HJ32" i="1"/>
  <c r="HJ34" i="1"/>
  <c r="HJ93" i="1"/>
  <c r="HJ117" i="1"/>
  <c r="HJ154" i="1"/>
  <c r="HJ107" i="1"/>
  <c r="HJ98" i="1"/>
  <c r="HJ138" i="1"/>
  <c r="HJ75" i="1"/>
  <c r="HJ122" i="1"/>
  <c r="HJ84" i="1"/>
  <c r="HJ116" i="1"/>
  <c r="HJ186" i="1"/>
  <c r="HJ89" i="1"/>
  <c r="HJ70" i="1"/>
  <c r="HJ61" i="1"/>
  <c r="HJ74" i="1"/>
  <c r="HJ88" i="1"/>
  <c r="HJ73" i="1"/>
  <c r="HJ111" i="1"/>
  <c r="HJ87" i="1"/>
  <c r="HJ82" i="1"/>
  <c r="HJ53" i="1"/>
  <c r="HJ175" i="1"/>
  <c r="HJ55" i="1"/>
  <c r="HJ51" i="1"/>
  <c r="HJ157" i="1"/>
  <c r="HJ158" i="1"/>
  <c r="HJ83" i="1"/>
  <c r="HJ91" i="1"/>
  <c r="HJ105" i="1"/>
  <c r="HJ103" i="1"/>
  <c r="HJ188" i="1"/>
  <c r="HJ163" i="1"/>
  <c r="HJ101" i="1"/>
  <c r="HJ65" i="1"/>
  <c r="HJ60" i="1"/>
  <c r="HJ80" i="1"/>
  <c r="HJ56" i="1"/>
  <c r="HJ57" i="1"/>
  <c r="HJ25" i="1"/>
  <c r="HJ104" i="1"/>
  <c r="HJ66" i="1"/>
  <c r="HJ58" i="1"/>
  <c r="HJ155" i="1"/>
  <c r="HJ156" i="1"/>
  <c r="HJ134" i="1"/>
  <c r="HJ92" i="1"/>
  <c r="HJ67" i="1"/>
  <c r="HJ126" i="1"/>
  <c r="HJ145" i="1"/>
  <c r="HJ135" i="1"/>
  <c r="HJ159" i="1"/>
  <c r="HJ76" i="1"/>
  <c r="HJ114" i="1"/>
  <c r="HJ161" i="1"/>
  <c r="HJ160" i="1"/>
  <c r="HJ95" i="1"/>
  <c r="HJ120" i="1"/>
  <c r="HJ42" i="1"/>
  <c r="HJ183" i="1"/>
  <c r="HJ112" i="1"/>
  <c r="HJ148" i="1"/>
  <c r="HJ179" i="1"/>
  <c r="HJ128" i="1"/>
  <c r="HJ144" i="1"/>
  <c r="HJ110" i="1"/>
  <c r="HJ81" i="1"/>
  <c r="HJ100" i="1"/>
  <c r="HJ123" i="1"/>
  <c r="HJ86" i="1"/>
  <c r="HJ174" i="1"/>
  <c r="HJ201" i="1"/>
  <c r="HJ90" i="1"/>
  <c r="HJ102" i="1"/>
  <c r="HJ94" i="1"/>
  <c r="HJ119" i="1"/>
  <c r="HJ141" i="1"/>
  <c r="HJ147" i="1"/>
  <c r="HJ165" i="1"/>
  <c r="HJ132" i="1"/>
  <c r="HJ189" i="1"/>
  <c r="HJ133" i="1"/>
  <c r="HJ206" i="1"/>
  <c r="HJ78" i="1"/>
  <c r="HJ143" i="1"/>
  <c r="HJ150" i="1"/>
  <c r="HJ130" i="1"/>
  <c r="HJ96" i="1"/>
  <c r="HJ182" i="1"/>
  <c r="HJ195" i="1"/>
  <c r="HJ178" i="1"/>
  <c r="HJ181" i="1"/>
  <c r="HJ194" i="1"/>
  <c r="HJ208" i="1"/>
  <c r="HJ129" i="1"/>
  <c r="HJ180" i="1"/>
  <c r="HJ140" i="1"/>
  <c r="HJ125" i="1"/>
  <c r="HJ131" i="1"/>
  <c r="HJ173" i="1"/>
  <c r="HJ184" i="1"/>
  <c r="HJ190" i="1"/>
  <c r="HJ142" i="1"/>
  <c r="HJ69" i="1"/>
  <c r="HJ151" i="1"/>
  <c r="HJ193" i="1"/>
  <c r="HJ169" i="1"/>
  <c r="HJ166" i="1"/>
  <c r="HJ97" i="1"/>
  <c r="HJ79" i="1"/>
  <c r="HJ146" i="1"/>
  <c r="HJ204" i="1"/>
  <c r="HJ113" i="1"/>
  <c r="HJ172" i="1"/>
  <c r="HJ171" i="1"/>
  <c r="HJ185" i="1"/>
  <c r="HJ137" i="1"/>
  <c r="HJ205" i="1"/>
  <c r="HJ177" i="1"/>
  <c r="HJ199" i="1"/>
  <c r="HJ106" i="1"/>
  <c r="HJ203" i="1"/>
  <c r="HJ124" i="1"/>
  <c r="HJ170" i="1"/>
  <c r="HJ152" i="1"/>
  <c r="HJ118" i="1"/>
  <c r="HJ198" i="1"/>
  <c r="HJ200" i="1"/>
  <c r="HJ136" i="1"/>
  <c r="HJ108" i="1"/>
  <c r="HJ149" i="1"/>
  <c r="HJ187" i="1"/>
  <c r="HJ168" i="1"/>
  <c r="HJ162" i="1"/>
  <c r="HJ139" i="1"/>
  <c r="HJ196" i="1"/>
  <c r="HJ153" i="1"/>
  <c r="HJ197" i="1"/>
  <c r="HJ176" i="1"/>
  <c r="HJ202" i="1"/>
  <c r="HJ167" i="1"/>
  <c r="HJ207" i="1"/>
  <c r="HJ192" i="1"/>
  <c r="HI3" i="1"/>
  <c r="HI2" i="1"/>
  <c r="HI43" i="1"/>
  <c r="HI71" i="1"/>
  <c r="HI7" i="1"/>
  <c r="HI164" i="1"/>
  <c r="HI4" i="1"/>
  <c r="HI99" i="1"/>
  <c r="HI6" i="1"/>
  <c r="HI8" i="1"/>
  <c r="HI10" i="1"/>
  <c r="HI9" i="1"/>
  <c r="HI127" i="1"/>
  <c r="HI11" i="1"/>
  <c r="HI44" i="1"/>
  <c r="HI39" i="1"/>
  <c r="HI45" i="1"/>
  <c r="HI16" i="1"/>
  <c r="HI12" i="1"/>
  <c r="HI48" i="1"/>
  <c r="HI54" i="1"/>
  <c r="HI47" i="1"/>
  <c r="HI20" i="1"/>
  <c r="HI50" i="1"/>
  <c r="HI22" i="1"/>
  <c r="HI49" i="1"/>
  <c r="HI13" i="1"/>
  <c r="HI26" i="1"/>
  <c r="HI52" i="1"/>
  <c r="HI46" i="1"/>
  <c r="HI72" i="1"/>
  <c r="HI5" i="1"/>
  <c r="HI18" i="1"/>
  <c r="HI23" i="1"/>
  <c r="HI15" i="1"/>
  <c r="HI14" i="1"/>
  <c r="HI59" i="1"/>
  <c r="HI38" i="1"/>
  <c r="HI21" i="1"/>
  <c r="HI27" i="1"/>
  <c r="HI17" i="1"/>
  <c r="HI68" i="1"/>
  <c r="HI121" i="1"/>
  <c r="HI24" i="1"/>
  <c r="HI30" i="1"/>
  <c r="HI40" i="1"/>
  <c r="HI35" i="1"/>
  <c r="HI29" i="1"/>
  <c r="HI37" i="1"/>
  <c r="HI28" i="1"/>
  <c r="HI19" i="1"/>
  <c r="HI33" i="1"/>
  <c r="HI109" i="1"/>
  <c r="HI64" i="1"/>
  <c r="HI63" i="1"/>
  <c r="HI77" i="1"/>
  <c r="HI115" i="1"/>
  <c r="HI31" i="1"/>
  <c r="HI41" i="1"/>
  <c r="HI191" i="1"/>
  <c r="HI85" i="1"/>
  <c r="HI62" i="1"/>
  <c r="HI36" i="1"/>
  <c r="HI32" i="1"/>
  <c r="HI34" i="1"/>
  <c r="HI93" i="1"/>
  <c r="HI117" i="1"/>
  <c r="HI154" i="1"/>
  <c r="HI107" i="1"/>
  <c r="HI98" i="1"/>
  <c r="HI138" i="1"/>
  <c r="HI75" i="1"/>
  <c r="HI122" i="1"/>
  <c r="HI84" i="1"/>
  <c r="HI116" i="1"/>
  <c r="HI186" i="1"/>
  <c r="HI89" i="1"/>
  <c r="HI70" i="1"/>
  <c r="HI61" i="1"/>
  <c r="HI74" i="1"/>
  <c r="HI88" i="1"/>
  <c r="HI73" i="1"/>
  <c r="HI111" i="1"/>
  <c r="HI87" i="1"/>
  <c r="HI82" i="1"/>
  <c r="HI53" i="1"/>
  <c r="HI175" i="1"/>
  <c r="HI55" i="1"/>
  <c r="HI51" i="1"/>
  <c r="HI157" i="1"/>
  <c r="HI158" i="1"/>
  <c r="HI83" i="1"/>
  <c r="HI91" i="1"/>
  <c r="HI105" i="1"/>
  <c r="HI103" i="1"/>
  <c r="HI188" i="1"/>
  <c r="HI163" i="1"/>
  <c r="HI101" i="1"/>
  <c r="HI65" i="1"/>
  <c r="HI60" i="1"/>
  <c r="HI80" i="1"/>
  <c r="HI56" i="1"/>
  <c r="HI57" i="1"/>
  <c r="HI25" i="1"/>
  <c r="HI104" i="1"/>
  <c r="HI66" i="1"/>
  <c r="HI58" i="1"/>
  <c r="HI155" i="1"/>
  <c r="HI156" i="1"/>
  <c r="HI134" i="1"/>
  <c r="HI92" i="1"/>
  <c r="HI67" i="1"/>
  <c r="HI126" i="1"/>
  <c r="HI145" i="1"/>
  <c r="HI135" i="1"/>
  <c r="HI159" i="1"/>
  <c r="HI76" i="1"/>
  <c r="HI114" i="1"/>
  <c r="HI161" i="1"/>
  <c r="HI160" i="1"/>
  <c r="HI95" i="1"/>
  <c r="HI120" i="1"/>
  <c r="HI42" i="1"/>
  <c r="HI183" i="1"/>
  <c r="HI112" i="1"/>
  <c r="HI148" i="1"/>
  <c r="HI179" i="1"/>
  <c r="HI128" i="1"/>
  <c r="HI144" i="1"/>
  <c r="HI110" i="1"/>
  <c r="HI81" i="1"/>
  <c r="HI100" i="1"/>
  <c r="HI123" i="1"/>
  <c r="HI86" i="1"/>
  <c r="HI174" i="1"/>
  <c r="HI201" i="1"/>
  <c r="HI90" i="1"/>
  <c r="HI102" i="1"/>
  <c r="HI94" i="1"/>
  <c r="HI119" i="1"/>
  <c r="HI141" i="1"/>
  <c r="HI147" i="1"/>
  <c r="HI165" i="1"/>
  <c r="HI132" i="1"/>
  <c r="HI189" i="1"/>
  <c r="HI133" i="1"/>
  <c r="HI206" i="1"/>
  <c r="HI78" i="1"/>
  <c r="HI143" i="1"/>
  <c r="HI150" i="1"/>
  <c r="HI130" i="1"/>
  <c r="HI96" i="1"/>
  <c r="HI182" i="1"/>
  <c r="HI195" i="1"/>
  <c r="HI178" i="1"/>
  <c r="HI181" i="1"/>
  <c r="HI194" i="1"/>
  <c r="HI208" i="1"/>
  <c r="HI129" i="1"/>
  <c r="HI180" i="1"/>
  <c r="HI140" i="1"/>
  <c r="HI125" i="1"/>
  <c r="HI131" i="1"/>
  <c r="HI173" i="1"/>
  <c r="HI184" i="1"/>
  <c r="HI190" i="1"/>
  <c r="HI142" i="1"/>
  <c r="HI69" i="1"/>
  <c r="HI151" i="1"/>
  <c r="HI193" i="1"/>
  <c r="HI169" i="1"/>
  <c r="HI166" i="1"/>
  <c r="HI97" i="1"/>
  <c r="HI79" i="1"/>
  <c r="HI146" i="1"/>
  <c r="HI204" i="1"/>
  <c r="HI113" i="1"/>
  <c r="HI172" i="1"/>
  <c r="HI171" i="1"/>
  <c r="HI185" i="1"/>
  <c r="HI137" i="1"/>
  <c r="HI205" i="1"/>
  <c r="HI177" i="1"/>
  <c r="HI199" i="1"/>
  <c r="HI106" i="1"/>
  <c r="HI203" i="1"/>
  <c r="HI124" i="1"/>
  <c r="HI170" i="1"/>
  <c r="HI152" i="1"/>
  <c r="HI118" i="1"/>
  <c r="HI198" i="1"/>
  <c r="HI200" i="1"/>
  <c r="HI136" i="1"/>
  <c r="HI108" i="1"/>
  <c r="HI149" i="1"/>
  <c r="HI187" i="1"/>
  <c r="HI168" i="1"/>
  <c r="HI162" i="1"/>
  <c r="HI139" i="1"/>
  <c r="HI196" i="1"/>
  <c r="HI153" i="1"/>
  <c r="HI197" i="1"/>
  <c r="HI176" i="1"/>
  <c r="HI202" i="1"/>
  <c r="HI167" i="1"/>
  <c r="HI207" i="1"/>
  <c r="HI192" i="1"/>
  <c r="HH3" i="1"/>
  <c r="HH2" i="1"/>
  <c r="HH43" i="1"/>
  <c r="HH71" i="1"/>
  <c r="HH7" i="1"/>
  <c r="HH164" i="1"/>
  <c r="HH4" i="1"/>
  <c r="HH99" i="1"/>
  <c r="HH6" i="1"/>
  <c r="HH8" i="1"/>
  <c r="HH10" i="1"/>
  <c r="HH9" i="1"/>
  <c r="HH127" i="1"/>
  <c r="HH11" i="1"/>
  <c r="HH44" i="1"/>
  <c r="HH39" i="1"/>
  <c r="HH45" i="1"/>
  <c r="HH16" i="1"/>
  <c r="HH12" i="1"/>
  <c r="HH48" i="1"/>
  <c r="HH54" i="1"/>
  <c r="HH47" i="1"/>
  <c r="HH20" i="1"/>
  <c r="HH50" i="1"/>
  <c r="HH22" i="1"/>
  <c r="HH49" i="1"/>
  <c r="HH13" i="1"/>
  <c r="HH26" i="1"/>
  <c r="HH52" i="1"/>
  <c r="HH46" i="1"/>
  <c r="HH72" i="1"/>
  <c r="HH5" i="1"/>
  <c r="HH18" i="1"/>
  <c r="HH23" i="1"/>
  <c r="HH15" i="1"/>
  <c r="HH14" i="1"/>
  <c r="HH59" i="1"/>
  <c r="HH38" i="1"/>
  <c r="HH21" i="1"/>
  <c r="HH27" i="1"/>
  <c r="HH17" i="1"/>
  <c r="HH68" i="1"/>
  <c r="HH121" i="1"/>
  <c r="HH24" i="1"/>
  <c r="HH30" i="1"/>
  <c r="HH40" i="1"/>
  <c r="HH35" i="1"/>
  <c r="HH29" i="1"/>
  <c r="HH37" i="1"/>
  <c r="HH28" i="1"/>
  <c r="HH19" i="1"/>
  <c r="HH33" i="1"/>
  <c r="HH109" i="1"/>
  <c r="HH64" i="1"/>
  <c r="HH63" i="1"/>
  <c r="HH77" i="1"/>
  <c r="HH115" i="1"/>
  <c r="HH31" i="1"/>
  <c r="HH41" i="1"/>
  <c r="HH191" i="1"/>
  <c r="HH85" i="1"/>
  <c r="HH62" i="1"/>
  <c r="HH36" i="1"/>
  <c r="HH32" i="1"/>
  <c r="HH34" i="1"/>
  <c r="HH93" i="1"/>
  <c r="HH117" i="1"/>
  <c r="HH154" i="1"/>
  <c r="HH107" i="1"/>
  <c r="HH98" i="1"/>
  <c r="HH138" i="1"/>
  <c r="HH75" i="1"/>
  <c r="HH122" i="1"/>
  <c r="HH84" i="1"/>
  <c r="HH116" i="1"/>
  <c r="HH186" i="1"/>
  <c r="HH89" i="1"/>
  <c r="HH70" i="1"/>
  <c r="HH61" i="1"/>
  <c r="HH74" i="1"/>
  <c r="HH88" i="1"/>
  <c r="HH73" i="1"/>
  <c r="HH111" i="1"/>
  <c r="HH87" i="1"/>
  <c r="HH82" i="1"/>
  <c r="HH53" i="1"/>
  <c r="HH175" i="1"/>
  <c r="HH55" i="1"/>
  <c r="HH51" i="1"/>
  <c r="HH157" i="1"/>
  <c r="HH158" i="1"/>
  <c r="HH83" i="1"/>
  <c r="HH91" i="1"/>
  <c r="HH105" i="1"/>
  <c r="HH103" i="1"/>
  <c r="HH188" i="1"/>
  <c r="HH163" i="1"/>
  <c r="HH101" i="1"/>
  <c r="HH65" i="1"/>
  <c r="HH60" i="1"/>
  <c r="HH80" i="1"/>
  <c r="HH56" i="1"/>
  <c r="HH57" i="1"/>
  <c r="HH25" i="1"/>
  <c r="HH104" i="1"/>
  <c r="HH66" i="1"/>
  <c r="HH58" i="1"/>
  <c r="HH155" i="1"/>
  <c r="HH156" i="1"/>
  <c r="HH134" i="1"/>
  <c r="HH92" i="1"/>
  <c r="HH67" i="1"/>
  <c r="HH126" i="1"/>
  <c r="HH145" i="1"/>
  <c r="HH135" i="1"/>
  <c r="HH159" i="1"/>
  <c r="HH76" i="1"/>
  <c r="HH114" i="1"/>
  <c r="HH161" i="1"/>
  <c r="HH160" i="1"/>
  <c r="HH95" i="1"/>
  <c r="HH120" i="1"/>
  <c r="HH42" i="1"/>
  <c r="HH183" i="1"/>
  <c r="HH112" i="1"/>
  <c r="HH148" i="1"/>
  <c r="HH179" i="1"/>
  <c r="HH128" i="1"/>
  <c r="HH144" i="1"/>
  <c r="HH110" i="1"/>
  <c r="HH81" i="1"/>
  <c r="HH100" i="1"/>
  <c r="HH123" i="1"/>
  <c r="HH86" i="1"/>
  <c r="HH174" i="1"/>
  <c r="HH201" i="1"/>
  <c r="HH90" i="1"/>
  <c r="HH102" i="1"/>
  <c r="HH94" i="1"/>
  <c r="HH119" i="1"/>
  <c r="HH141" i="1"/>
  <c r="HH147" i="1"/>
  <c r="HH165" i="1"/>
  <c r="HH132" i="1"/>
  <c r="HH189" i="1"/>
  <c r="HH133" i="1"/>
  <c r="HH206" i="1"/>
  <c r="HH78" i="1"/>
  <c r="HH143" i="1"/>
  <c r="HH150" i="1"/>
  <c r="HH130" i="1"/>
  <c r="HH96" i="1"/>
  <c r="HH182" i="1"/>
  <c r="HH195" i="1"/>
  <c r="HH178" i="1"/>
  <c r="HH181" i="1"/>
  <c r="HH194" i="1"/>
  <c r="HH208" i="1"/>
  <c r="HH129" i="1"/>
  <c r="HH180" i="1"/>
  <c r="HH140" i="1"/>
  <c r="HH125" i="1"/>
  <c r="HH131" i="1"/>
  <c r="HH173" i="1"/>
  <c r="HH184" i="1"/>
  <c r="HH190" i="1"/>
  <c r="HH142" i="1"/>
  <c r="HH69" i="1"/>
  <c r="HH151" i="1"/>
  <c r="HH193" i="1"/>
  <c r="HH169" i="1"/>
  <c r="HH166" i="1"/>
  <c r="HH97" i="1"/>
  <c r="HH79" i="1"/>
  <c r="HH146" i="1"/>
  <c r="HH204" i="1"/>
  <c r="HH113" i="1"/>
  <c r="HH172" i="1"/>
  <c r="HH171" i="1"/>
  <c r="HH185" i="1"/>
  <c r="HH137" i="1"/>
  <c r="HH205" i="1"/>
  <c r="HH177" i="1"/>
  <c r="HH199" i="1"/>
  <c r="HH106" i="1"/>
  <c r="HH203" i="1"/>
  <c r="HH124" i="1"/>
  <c r="HH170" i="1"/>
  <c r="HH152" i="1"/>
  <c r="HH118" i="1"/>
  <c r="HH198" i="1"/>
  <c r="HH200" i="1"/>
  <c r="HH136" i="1"/>
  <c r="HH108" i="1"/>
  <c r="HH149" i="1"/>
  <c r="HH187" i="1"/>
  <c r="HH168" i="1"/>
  <c r="HH162" i="1"/>
  <c r="HH139" i="1"/>
  <c r="HH196" i="1"/>
  <c r="HH153" i="1"/>
  <c r="HH197" i="1"/>
  <c r="HH176" i="1"/>
  <c r="HH202" i="1"/>
  <c r="HH167" i="1"/>
  <c r="HH207" i="1"/>
  <c r="HH192" i="1"/>
  <c r="HG3" i="1"/>
  <c r="HG2" i="1"/>
  <c r="HG43" i="1"/>
  <c r="HG71" i="1"/>
  <c r="HG7" i="1"/>
  <c r="HG164" i="1"/>
  <c r="HG4" i="1"/>
  <c r="HG99" i="1"/>
  <c r="HG6" i="1"/>
  <c r="HG8" i="1"/>
  <c r="HG10" i="1"/>
  <c r="HG9" i="1"/>
  <c r="HG127" i="1"/>
  <c r="HG11" i="1"/>
  <c r="HG44" i="1"/>
  <c r="HG39" i="1"/>
  <c r="HG45" i="1"/>
  <c r="HG16" i="1"/>
  <c r="HG12" i="1"/>
  <c r="HG48" i="1"/>
  <c r="HG54" i="1"/>
  <c r="HG47" i="1"/>
  <c r="HG20" i="1"/>
  <c r="HG50" i="1"/>
  <c r="HG22" i="1"/>
  <c r="HG49" i="1"/>
  <c r="HG13" i="1"/>
  <c r="HG26" i="1"/>
  <c r="HG52" i="1"/>
  <c r="HG46" i="1"/>
  <c r="HG72" i="1"/>
  <c r="HG5" i="1"/>
  <c r="HG18" i="1"/>
  <c r="HG23" i="1"/>
  <c r="HG15" i="1"/>
  <c r="HG14" i="1"/>
  <c r="HG59" i="1"/>
  <c r="HG38" i="1"/>
  <c r="HG21" i="1"/>
  <c r="HG27" i="1"/>
  <c r="HG17" i="1"/>
  <c r="HG68" i="1"/>
  <c r="HG121" i="1"/>
  <c r="HG24" i="1"/>
  <c r="HG30" i="1"/>
  <c r="HG40" i="1"/>
  <c r="HG35" i="1"/>
  <c r="HG29" i="1"/>
  <c r="HG37" i="1"/>
  <c r="HG28" i="1"/>
  <c r="HG19" i="1"/>
  <c r="HG33" i="1"/>
  <c r="HG109" i="1"/>
  <c r="HG64" i="1"/>
  <c r="HG63" i="1"/>
  <c r="HG77" i="1"/>
  <c r="HG115" i="1"/>
  <c r="HG31" i="1"/>
  <c r="HG41" i="1"/>
  <c r="HG191" i="1"/>
  <c r="HG85" i="1"/>
  <c r="HG62" i="1"/>
  <c r="HG36" i="1"/>
  <c r="HG32" i="1"/>
  <c r="HG34" i="1"/>
  <c r="HG93" i="1"/>
  <c r="HG117" i="1"/>
  <c r="HG154" i="1"/>
  <c r="HG107" i="1"/>
  <c r="HG98" i="1"/>
  <c r="HG138" i="1"/>
  <c r="HG75" i="1"/>
  <c r="HG122" i="1"/>
  <c r="HG84" i="1"/>
  <c r="HG116" i="1"/>
  <c r="HG186" i="1"/>
  <c r="HG89" i="1"/>
  <c r="HG70" i="1"/>
  <c r="HG61" i="1"/>
  <c r="HG74" i="1"/>
  <c r="HG88" i="1"/>
  <c r="HG73" i="1"/>
  <c r="HG111" i="1"/>
  <c r="HG87" i="1"/>
  <c r="HG82" i="1"/>
  <c r="HG53" i="1"/>
  <c r="HG175" i="1"/>
  <c r="HG55" i="1"/>
  <c r="HG51" i="1"/>
  <c r="HG157" i="1"/>
  <c r="HG158" i="1"/>
  <c r="HG83" i="1"/>
  <c r="HG91" i="1"/>
  <c r="HG105" i="1"/>
  <c r="HG103" i="1"/>
  <c r="HG188" i="1"/>
  <c r="HG163" i="1"/>
  <c r="HG101" i="1"/>
  <c r="HG65" i="1"/>
  <c r="HG60" i="1"/>
  <c r="HG80" i="1"/>
  <c r="HG56" i="1"/>
  <c r="HG57" i="1"/>
  <c r="HG25" i="1"/>
  <c r="HG104" i="1"/>
  <c r="HG66" i="1"/>
  <c r="HG58" i="1"/>
  <c r="HG155" i="1"/>
  <c r="HG156" i="1"/>
  <c r="HG134" i="1"/>
  <c r="HG92" i="1"/>
  <c r="HG67" i="1"/>
  <c r="HG126" i="1"/>
  <c r="HG145" i="1"/>
  <c r="HG135" i="1"/>
  <c r="HG159" i="1"/>
  <c r="HG76" i="1"/>
  <c r="HG114" i="1"/>
  <c r="HG161" i="1"/>
  <c r="HG160" i="1"/>
  <c r="HG95" i="1"/>
  <c r="HG120" i="1"/>
  <c r="HG42" i="1"/>
  <c r="HG183" i="1"/>
  <c r="HG112" i="1"/>
  <c r="HG148" i="1"/>
  <c r="HG179" i="1"/>
  <c r="HG128" i="1"/>
  <c r="HG144" i="1"/>
  <c r="HG110" i="1"/>
  <c r="HG81" i="1"/>
  <c r="HG100" i="1"/>
  <c r="HG123" i="1"/>
  <c r="HG86" i="1"/>
  <c r="HG174" i="1"/>
  <c r="HG201" i="1"/>
  <c r="HG90" i="1"/>
  <c r="HG102" i="1"/>
  <c r="HG94" i="1"/>
  <c r="HG119" i="1"/>
  <c r="HG141" i="1"/>
  <c r="HG147" i="1"/>
  <c r="HG165" i="1"/>
  <c r="HG132" i="1"/>
  <c r="HG189" i="1"/>
  <c r="HG133" i="1"/>
  <c r="HG206" i="1"/>
  <c r="HG78" i="1"/>
  <c r="HG143" i="1"/>
  <c r="HG150" i="1"/>
  <c r="HG130" i="1"/>
  <c r="HG96" i="1"/>
  <c r="HG182" i="1"/>
  <c r="HG195" i="1"/>
  <c r="HG178" i="1"/>
  <c r="HG181" i="1"/>
  <c r="HG194" i="1"/>
  <c r="HG208" i="1"/>
  <c r="HG129" i="1"/>
  <c r="HG180" i="1"/>
  <c r="HG140" i="1"/>
  <c r="HG125" i="1"/>
  <c r="HG131" i="1"/>
  <c r="HG173" i="1"/>
  <c r="HG184" i="1"/>
  <c r="HG190" i="1"/>
  <c r="HG142" i="1"/>
  <c r="HG69" i="1"/>
  <c r="HG151" i="1"/>
  <c r="HG193" i="1"/>
  <c r="HG169" i="1"/>
  <c r="HG166" i="1"/>
  <c r="HG97" i="1"/>
  <c r="HG79" i="1"/>
  <c r="HG146" i="1"/>
  <c r="HG204" i="1"/>
  <c r="HG113" i="1"/>
  <c r="HG172" i="1"/>
  <c r="HG171" i="1"/>
  <c r="HG185" i="1"/>
  <c r="HG137" i="1"/>
  <c r="HG205" i="1"/>
  <c r="HG177" i="1"/>
  <c r="HG199" i="1"/>
  <c r="HG106" i="1"/>
  <c r="HG203" i="1"/>
  <c r="HG124" i="1"/>
  <c r="HG170" i="1"/>
  <c r="HG152" i="1"/>
  <c r="HG118" i="1"/>
  <c r="HG198" i="1"/>
  <c r="HG200" i="1"/>
  <c r="HG136" i="1"/>
  <c r="HG108" i="1"/>
  <c r="HG149" i="1"/>
  <c r="HG187" i="1"/>
  <c r="HG168" i="1"/>
  <c r="HG162" i="1"/>
  <c r="HG139" i="1"/>
  <c r="HG196" i="1"/>
  <c r="HG153" i="1"/>
  <c r="HG197" i="1"/>
  <c r="HG176" i="1"/>
  <c r="HG202" i="1"/>
  <c r="HG167" i="1"/>
  <c r="HG207" i="1"/>
  <c r="HG192" i="1"/>
  <c r="HF3" i="1"/>
  <c r="HF2" i="1"/>
  <c r="HF43" i="1"/>
  <c r="HF71" i="1"/>
  <c r="HF7" i="1"/>
  <c r="HF164" i="1"/>
  <c r="HF4" i="1"/>
  <c r="HF99" i="1"/>
  <c r="HF6" i="1"/>
  <c r="HF8" i="1"/>
  <c r="HF10" i="1"/>
  <c r="HF9" i="1"/>
  <c r="HF127" i="1"/>
  <c r="HF11" i="1"/>
  <c r="HF44" i="1"/>
  <c r="HF39" i="1"/>
  <c r="HF45" i="1"/>
  <c r="HF16" i="1"/>
  <c r="HF12" i="1"/>
  <c r="HF48" i="1"/>
  <c r="HF54" i="1"/>
  <c r="HF47" i="1"/>
  <c r="HF20" i="1"/>
  <c r="HF50" i="1"/>
  <c r="HF22" i="1"/>
  <c r="HF49" i="1"/>
  <c r="HF13" i="1"/>
  <c r="HF26" i="1"/>
  <c r="HF52" i="1"/>
  <c r="HF46" i="1"/>
  <c r="HF72" i="1"/>
  <c r="HF5" i="1"/>
  <c r="HF18" i="1"/>
  <c r="HF23" i="1"/>
  <c r="HF15" i="1"/>
  <c r="HF14" i="1"/>
  <c r="HF59" i="1"/>
  <c r="HF38" i="1"/>
  <c r="HF21" i="1"/>
  <c r="HF27" i="1"/>
  <c r="HF17" i="1"/>
  <c r="HF68" i="1"/>
  <c r="HF121" i="1"/>
  <c r="HF24" i="1"/>
  <c r="HF30" i="1"/>
  <c r="HF40" i="1"/>
  <c r="HF35" i="1"/>
  <c r="HF29" i="1"/>
  <c r="HF37" i="1"/>
  <c r="HF28" i="1"/>
  <c r="HF19" i="1"/>
  <c r="HF33" i="1"/>
  <c r="HF109" i="1"/>
  <c r="HF64" i="1"/>
  <c r="HF63" i="1"/>
  <c r="HF77" i="1"/>
  <c r="HF115" i="1"/>
  <c r="HF31" i="1"/>
  <c r="HF41" i="1"/>
  <c r="HF191" i="1"/>
  <c r="HF85" i="1"/>
  <c r="HF62" i="1"/>
  <c r="HF36" i="1"/>
  <c r="HF32" i="1"/>
  <c r="HF34" i="1"/>
  <c r="HF93" i="1"/>
  <c r="HF117" i="1"/>
  <c r="HF154" i="1"/>
  <c r="HF107" i="1"/>
  <c r="HF98" i="1"/>
  <c r="HF138" i="1"/>
  <c r="HF75" i="1"/>
  <c r="HF122" i="1"/>
  <c r="HF84" i="1"/>
  <c r="HF116" i="1"/>
  <c r="HF186" i="1"/>
  <c r="HF89" i="1"/>
  <c r="HF70" i="1"/>
  <c r="HF61" i="1"/>
  <c r="HF74" i="1"/>
  <c r="HF88" i="1"/>
  <c r="HF73" i="1"/>
  <c r="HF111" i="1"/>
  <c r="HF87" i="1"/>
  <c r="HF82" i="1"/>
  <c r="HF53" i="1"/>
  <c r="HF175" i="1"/>
  <c r="HF55" i="1"/>
  <c r="HF51" i="1"/>
  <c r="HF157" i="1"/>
  <c r="HF158" i="1"/>
  <c r="HF83" i="1"/>
  <c r="HF91" i="1"/>
  <c r="HF105" i="1"/>
  <c r="HF103" i="1"/>
  <c r="HF188" i="1"/>
  <c r="HF163" i="1"/>
  <c r="HF101" i="1"/>
  <c r="HF65" i="1"/>
  <c r="HF60" i="1"/>
  <c r="HF80" i="1"/>
  <c r="HF56" i="1"/>
  <c r="HF57" i="1"/>
  <c r="HF25" i="1"/>
  <c r="HF104" i="1"/>
  <c r="HF66" i="1"/>
  <c r="HF58" i="1"/>
  <c r="HF155" i="1"/>
  <c r="HF156" i="1"/>
  <c r="HF134" i="1"/>
  <c r="HF92" i="1"/>
  <c r="HF67" i="1"/>
  <c r="HF126" i="1"/>
  <c r="HF145" i="1"/>
  <c r="HF135" i="1"/>
  <c r="HF159" i="1"/>
  <c r="HF76" i="1"/>
  <c r="HF114" i="1"/>
  <c r="HF161" i="1"/>
  <c r="HF160" i="1"/>
  <c r="HF95" i="1"/>
  <c r="HF120" i="1"/>
  <c r="HF42" i="1"/>
  <c r="HF183" i="1"/>
  <c r="HF112" i="1"/>
  <c r="HF148" i="1"/>
  <c r="HF179" i="1"/>
  <c r="HF128" i="1"/>
  <c r="HF144" i="1"/>
  <c r="HF110" i="1"/>
  <c r="HF81" i="1"/>
  <c r="HF100" i="1"/>
  <c r="HF123" i="1"/>
  <c r="HF86" i="1"/>
  <c r="HF174" i="1"/>
  <c r="HF201" i="1"/>
  <c r="HF90" i="1"/>
  <c r="HF102" i="1"/>
  <c r="HF94" i="1"/>
  <c r="HF119" i="1"/>
  <c r="HF141" i="1"/>
  <c r="HF147" i="1"/>
  <c r="HF165" i="1"/>
  <c r="HF132" i="1"/>
  <c r="HF189" i="1"/>
  <c r="HF133" i="1"/>
  <c r="HF206" i="1"/>
  <c r="HF78" i="1"/>
  <c r="HF143" i="1"/>
  <c r="HF150" i="1"/>
  <c r="HF130" i="1"/>
  <c r="HF96" i="1"/>
  <c r="HF182" i="1"/>
  <c r="HF195" i="1"/>
  <c r="HF178" i="1"/>
  <c r="HF181" i="1"/>
  <c r="HF194" i="1"/>
  <c r="HF208" i="1"/>
  <c r="HF129" i="1"/>
  <c r="HF180" i="1"/>
  <c r="HF140" i="1"/>
  <c r="HF125" i="1"/>
  <c r="HF131" i="1"/>
  <c r="HF173" i="1"/>
  <c r="HF184" i="1"/>
  <c r="HF190" i="1"/>
  <c r="HF142" i="1"/>
  <c r="HF69" i="1"/>
  <c r="HF151" i="1"/>
  <c r="HF193" i="1"/>
  <c r="HF169" i="1"/>
  <c r="HF166" i="1"/>
  <c r="HF97" i="1"/>
  <c r="HF79" i="1"/>
  <c r="HF146" i="1"/>
  <c r="HF204" i="1"/>
  <c r="HF113" i="1"/>
  <c r="HF172" i="1"/>
  <c r="HF171" i="1"/>
  <c r="HF185" i="1"/>
  <c r="HF137" i="1"/>
  <c r="HF205" i="1"/>
  <c r="HF177" i="1"/>
  <c r="HF199" i="1"/>
  <c r="HF106" i="1"/>
  <c r="HF203" i="1"/>
  <c r="HF124" i="1"/>
  <c r="HF170" i="1"/>
  <c r="HF152" i="1"/>
  <c r="HF118" i="1"/>
  <c r="HF198" i="1"/>
  <c r="HF200" i="1"/>
  <c r="HF136" i="1"/>
  <c r="HF108" i="1"/>
  <c r="HF149" i="1"/>
  <c r="HF187" i="1"/>
  <c r="HF168" i="1"/>
  <c r="HF162" i="1"/>
  <c r="HF139" i="1"/>
  <c r="HF196" i="1"/>
  <c r="HF153" i="1"/>
  <c r="HF197" i="1"/>
  <c r="HF176" i="1"/>
  <c r="HF202" i="1"/>
  <c r="HF167" i="1"/>
  <c r="HF207" i="1"/>
  <c r="HF192" i="1"/>
  <c r="HE3" i="1"/>
  <c r="HE2" i="1"/>
  <c r="HE43" i="1"/>
  <c r="HE71" i="1"/>
  <c r="HE7" i="1"/>
  <c r="HE164" i="1"/>
  <c r="HE4" i="1"/>
  <c r="HE99" i="1"/>
  <c r="HE6" i="1"/>
  <c r="HE8" i="1"/>
  <c r="HE10" i="1"/>
  <c r="HE9" i="1"/>
  <c r="HE127" i="1"/>
  <c r="HE11" i="1"/>
  <c r="HE44" i="1"/>
  <c r="HE39" i="1"/>
  <c r="HE45" i="1"/>
  <c r="HE16" i="1"/>
  <c r="HE12" i="1"/>
  <c r="HE48" i="1"/>
  <c r="HE54" i="1"/>
  <c r="HE47" i="1"/>
  <c r="HE20" i="1"/>
  <c r="HE50" i="1"/>
  <c r="HE22" i="1"/>
  <c r="HE49" i="1"/>
  <c r="HE13" i="1"/>
  <c r="HE26" i="1"/>
  <c r="HE52" i="1"/>
  <c r="HE46" i="1"/>
  <c r="HE72" i="1"/>
  <c r="HE5" i="1"/>
  <c r="HE18" i="1"/>
  <c r="HE23" i="1"/>
  <c r="HE15" i="1"/>
  <c r="HE14" i="1"/>
  <c r="HE59" i="1"/>
  <c r="HE38" i="1"/>
  <c r="HE21" i="1"/>
  <c r="HE27" i="1"/>
  <c r="HE17" i="1"/>
  <c r="HE68" i="1"/>
  <c r="HE121" i="1"/>
  <c r="HE24" i="1"/>
  <c r="HE30" i="1"/>
  <c r="HE40" i="1"/>
  <c r="HE35" i="1"/>
  <c r="HE29" i="1"/>
  <c r="HE37" i="1"/>
  <c r="HE28" i="1"/>
  <c r="HE19" i="1"/>
  <c r="HE33" i="1"/>
  <c r="HE109" i="1"/>
  <c r="HE64" i="1"/>
  <c r="HE63" i="1"/>
  <c r="HE77" i="1"/>
  <c r="HE115" i="1"/>
  <c r="HE31" i="1"/>
  <c r="HE41" i="1"/>
  <c r="HE191" i="1"/>
  <c r="HE85" i="1"/>
  <c r="HE62" i="1"/>
  <c r="HE36" i="1"/>
  <c r="HE32" i="1"/>
  <c r="HE34" i="1"/>
  <c r="HE93" i="1"/>
  <c r="HE117" i="1"/>
  <c r="HE154" i="1"/>
  <c r="HE107" i="1"/>
  <c r="HE98" i="1"/>
  <c r="HE138" i="1"/>
  <c r="HE75" i="1"/>
  <c r="HE122" i="1"/>
  <c r="HE84" i="1"/>
  <c r="HE116" i="1"/>
  <c r="HE186" i="1"/>
  <c r="HE89" i="1"/>
  <c r="HE70" i="1"/>
  <c r="HE61" i="1"/>
  <c r="HE74" i="1"/>
  <c r="HE88" i="1"/>
  <c r="HE73" i="1"/>
  <c r="HE111" i="1"/>
  <c r="HE87" i="1"/>
  <c r="HE82" i="1"/>
  <c r="HE53" i="1"/>
  <c r="HE175" i="1"/>
  <c r="HE55" i="1"/>
  <c r="HE51" i="1"/>
  <c r="HE157" i="1"/>
  <c r="HE158" i="1"/>
  <c r="HE83" i="1"/>
  <c r="HE91" i="1"/>
  <c r="HE105" i="1"/>
  <c r="HE103" i="1"/>
  <c r="HE188" i="1"/>
  <c r="HE163" i="1"/>
  <c r="HE101" i="1"/>
  <c r="HE65" i="1"/>
  <c r="HE60" i="1"/>
  <c r="HE80" i="1"/>
  <c r="HE56" i="1"/>
  <c r="HE57" i="1"/>
  <c r="HE25" i="1"/>
  <c r="HE104" i="1"/>
  <c r="HE66" i="1"/>
  <c r="HE58" i="1"/>
  <c r="HE155" i="1"/>
  <c r="HE156" i="1"/>
  <c r="HE134" i="1"/>
  <c r="HE92" i="1"/>
  <c r="HE67" i="1"/>
  <c r="HE126" i="1"/>
  <c r="HE145" i="1"/>
  <c r="HE135" i="1"/>
  <c r="HE159" i="1"/>
  <c r="HE76" i="1"/>
  <c r="HE114" i="1"/>
  <c r="HE161" i="1"/>
  <c r="HE160" i="1"/>
  <c r="HE95" i="1"/>
  <c r="HE120" i="1"/>
  <c r="HE42" i="1"/>
  <c r="HE183" i="1"/>
  <c r="HE112" i="1"/>
  <c r="HE148" i="1"/>
  <c r="HE179" i="1"/>
  <c r="HE128" i="1"/>
  <c r="HE144" i="1"/>
  <c r="HE110" i="1"/>
  <c r="HE81" i="1"/>
  <c r="HE100" i="1"/>
  <c r="HE123" i="1"/>
  <c r="HE86" i="1"/>
  <c r="HE174" i="1"/>
  <c r="HE201" i="1"/>
  <c r="HE90" i="1"/>
  <c r="HE102" i="1"/>
  <c r="HE94" i="1"/>
  <c r="HE119" i="1"/>
  <c r="HE141" i="1"/>
  <c r="HE147" i="1"/>
  <c r="HE165" i="1"/>
  <c r="HE132" i="1"/>
  <c r="HE189" i="1"/>
  <c r="HE133" i="1"/>
  <c r="HE206" i="1"/>
  <c r="HE78" i="1"/>
  <c r="HE143" i="1"/>
  <c r="HE150" i="1"/>
  <c r="HE130" i="1"/>
  <c r="HE96" i="1"/>
  <c r="HE182" i="1"/>
  <c r="HE195" i="1"/>
  <c r="HE178" i="1"/>
  <c r="HE181" i="1"/>
  <c r="HE194" i="1"/>
  <c r="HE208" i="1"/>
  <c r="HE129" i="1"/>
  <c r="HE180" i="1"/>
  <c r="HE140" i="1"/>
  <c r="HE125" i="1"/>
  <c r="HE131" i="1"/>
  <c r="HE173" i="1"/>
  <c r="HE184" i="1"/>
  <c r="HE190" i="1"/>
  <c r="HE142" i="1"/>
  <c r="HE69" i="1"/>
  <c r="HE151" i="1"/>
  <c r="HE193" i="1"/>
  <c r="HE169" i="1"/>
  <c r="HE166" i="1"/>
  <c r="HE97" i="1"/>
  <c r="HE79" i="1"/>
  <c r="HE146" i="1"/>
  <c r="HE204" i="1"/>
  <c r="HE113" i="1"/>
  <c r="HE172" i="1"/>
  <c r="HE171" i="1"/>
  <c r="HE185" i="1"/>
  <c r="HE137" i="1"/>
  <c r="HE205" i="1"/>
  <c r="HE177" i="1"/>
  <c r="HE199" i="1"/>
  <c r="HE106" i="1"/>
  <c r="HE203" i="1"/>
  <c r="HE124" i="1"/>
  <c r="HE170" i="1"/>
  <c r="HE152" i="1"/>
  <c r="HE118" i="1"/>
  <c r="HE198" i="1"/>
  <c r="HE200" i="1"/>
  <c r="HE136" i="1"/>
  <c r="HE108" i="1"/>
  <c r="HE149" i="1"/>
  <c r="HE187" i="1"/>
  <c r="HE168" i="1"/>
  <c r="HE162" i="1"/>
  <c r="HE139" i="1"/>
  <c r="HE196" i="1"/>
  <c r="HE153" i="1"/>
  <c r="HE197" i="1"/>
  <c r="HE176" i="1"/>
  <c r="HE202" i="1"/>
  <c r="HE167" i="1"/>
  <c r="HE207" i="1"/>
  <c r="HE192" i="1"/>
  <c r="HD3" i="1"/>
  <c r="HD2" i="1"/>
  <c r="HD43" i="1"/>
  <c r="HD71" i="1"/>
  <c r="HD7" i="1"/>
  <c r="HD164" i="1"/>
  <c r="HD4" i="1"/>
  <c r="HD99" i="1"/>
  <c r="HD6" i="1"/>
  <c r="HD8" i="1"/>
  <c r="HD10" i="1"/>
  <c r="HD9" i="1"/>
  <c r="HD127" i="1"/>
  <c r="HD11" i="1"/>
  <c r="HD44" i="1"/>
  <c r="HD39" i="1"/>
  <c r="HD45" i="1"/>
  <c r="HD16" i="1"/>
  <c r="HD12" i="1"/>
  <c r="HD48" i="1"/>
  <c r="HD54" i="1"/>
  <c r="HD47" i="1"/>
  <c r="HD20" i="1"/>
  <c r="HD50" i="1"/>
  <c r="HD22" i="1"/>
  <c r="HD49" i="1"/>
  <c r="HD13" i="1"/>
  <c r="HD26" i="1"/>
  <c r="HD52" i="1"/>
  <c r="HD46" i="1"/>
  <c r="HD72" i="1"/>
  <c r="HD5" i="1"/>
  <c r="HD18" i="1"/>
  <c r="HD23" i="1"/>
  <c r="HD15" i="1"/>
  <c r="HD14" i="1"/>
  <c r="HD59" i="1"/>
  <c r="HD38" i="1"/>
  <c r="HD21" i="1"/>
  <c r="HD27" i="1"/>
  <c r="HD17" i="1"/>
  <c r="HD68" i="1"/>
  <c r="HD121" i="1"/>
  <c r="HD24" i="1"/>
  <c r="HD30" i="1"/>
  <c r="HD40" i="1"/>
  <c r="HD35" i="1"/>
  <c r="HD29" i="1"/>
  <c r="HD37" i="1"/>
  <c r="HD28" i="1"/>
  <c r="HD19" i="1"/>
  <c r="HD33" i="1"/>
  <c r="HD109" i="1"/>
  <c r="HD64" i="1"/>
  <c r="HD63" i="1"/>
  <c r="HD77" i="1"/>
  <c r="HD115" i="1"/>
  <c r="HD31" i="1"/>
  <c r="HD41" i="1"/>
  <c r="HD191" i="1"/>
  <c r="HD85" i="1"/>
  <c r="HD62" i="1"/>
  <c r="HD36" i="1"/>
  <c r="HD32" i="1"/>
  <c r="HD34" i="1"/>
  <c r="HD93" i="1"/>
  <c r="HD117" i="1"/>
  <c r="HD154" i="1"/>
  <c r="HD107" i="1"/>
  <c r="HD98" i="1"/>
  <c r="HD138" i="1"/>
  <c r="HD75" i="1"/>
  <c r="HD122" i="1"/>
  <c r="HD84" i="1"/>
  <c r="HD116" i="1"/>
  <c r="HD186" i="1"/>
  <c r="HD89" i="1"/>
  <c r="HD70" i="1"/>
  <c r="HD61" i="1"/>
  <c r="HD74" i="1"/>
  <c r="HD88" i="1"/>
  <c r="HD73" i="1"/>
  <c r="HD111" i="1"/>
  <c r="HD87" i="1"/>
  <c r="HD82" i="1"/>
  <c r="HD53" i="1"/>
  <c r="HD175" i="1"/>
  <c r="HD55" i="1"/>
  <c r="HD51" i="1"/>
  <c r="HD157" i="1"/>
  <c r="HD158" i="1"/>
  <c r="HD83" i="1"/>
  <c r="HD91" i="1"/>
  <c r="HD105" i="1"/>
  <c r="HD103" i="1"/>
  <c r="HD188" i="1"/>
  <c r="HD163" i="1"/>
  <c r="HD101" i="1"/>
  <c r="HD65" i="1"/>
  <c r="HD60" i="1"/>
  <c r="HD80" i="1"/>
  <c r="HD56" i="1"/>
  <c r="HD57" i="1"/>
  <c r="HD25" i="1"/>
  <c r="HD104" i="1"/>
  <c r="HD66" i="1"/>
  <c r="HD58" i="1"/>
  <c r="HD155" i="1"/>
  <c r="HD156" i="1"/>
  <c r="HD134" i="1"/>
  <c r="HD92" i="1"/>
  <c r="HD67" i="1"/>
  <c r="HD126" i="1"/>
  <c r="HD145" i="1"/>
  <c r="HD135" i="1"/>
  <c r="HD159" i="1"/>
  <c r="HD76" i="1"/>
  <c r="HD114" i="1"/>
  <c r="HD161" i="1"/>
  <c r="HD160" i="1"/>
  <c r="HD95" i="1"/>
  <c r="HD120" i="1"/>
  <c r="HD42" i="1"/>
  <c r="HD183" i="1"/>
  <c r="HD112" i="1"/>
  <c r="HD148" i="1"/>
  <c r="HD179" i="1"/>
  <c r="HD128" i="1"/>
  <c r="HD144" i="1"/>
  <c r="HD110" i="1"/>
  <c r="HD81" i="1"/>
  <c r="HD100" i="1"/>
  <c r="HD123" i="1"/>
  <c r="HD86" i="1"/>
  <c r="HD174" i="1"/>
  <c r="HD201" i="1"/>
  <c r="HD90" i="1"/>
  <c r="HD102" i="1"/>
  <c r="HD94" i="1"/>
  <c r="HD119" i="1"/>
  <c r="HD141" i="1"/>
  <c r="HD147" i="1"/>
  <c r="HD165" i="1"/>
  <c r="HD132" i="1"/>
  <c r="HD189" i="1"/>
  <c r="HD133" i="1"/>
  <c r="HD206" i="1"/>
  <c r="HD78" i="1"/>
  <c r="HD143" i="1"/>
  <c r="HD150" i="1"/>
  <c r="HD130" i="1"/>
  <c r="HD96" i="1"/>
  <c r="HD182" i="1"/>
  <c r="HD195" i="1"/>
  <c r="HD178" i="1"/>
  <c r="HD181" i="1"/>
  <c r="HD194" i="1"/>
  <c r="HD208" i="1"/>
  <c r="HD129" i="1"/>
  <c r="HD180" i="1"/>
  <c r="HD140" i="1"/>
  <c r="HD125" i="1"/>
  <c r="HD131" i="1"/>
  <c r="HD173" i="1"/>
  <c r="HD184" i="1"/>
  <c r="HD190" i="1"/>
  <c r="HD142" i="1"/>
  <c r="HD69" i="1"/>
  <c r="HD151" i="1"/>
  <c r="HD193" i="1"/>
  <c r="HD169" i="1"/>
  <c r="HD166" i="1"/>
  <c r="HD97" i="1"/>
  <c r="HD79" i="1"/>
  <c r="HD146" i="1"/>
  <c r="HD204" i="1"/>
  <c r="HD113" i="1"/>
  <c r="HD172" i="1"/>
  <c r="HD171" i="1"/>
  <c r="HD185" i="1"/>
  <c r="HD137" i="1"/>
  <c r="HD205" i="1"/>
  <c r="HD177" i="1"/>
  <c r="HD199" i="1"/>
  <c r="HD106" i="1"/>
  <c r="HD203" i="1"/>
  <c r="HD124" i="1"/>
  <c r="HD170" i="1"/>
  <c r="HD152" i="1"/>
  <c r="HD118" i="1"/>
  <c r="HD198" i="1"/>
  <c r="HD200" i="1"/>
  <c r="HD136" i="1"/>
  <c r="HD108" i="1"/>
  <c r="HD149" i="1"/>
  <c r="HD187" i="1"/>
  <c r="HD168" i="1"/>
  <c r="HD162" i="1"/>
  <c r="HD139" i="1"/>
  <c r="HD196" i="1"/>
  <c r="HD153" i="1"/>
  <c r="HD197" i="1"/>
  <c r="HD176" i="1"/>
  <c r="HD202" i="1"/>
  <c r="HD167" i="1"/>
  <c r="HD207" i="1"/>
  <c r="HD192" i="1"/>
  <c r="HC3" i="1"/>
  <c r="HC2" i="1"/>
  <c r="HC43" i="1"/>
  <c r="HC71" i="1"/>
  <c r="HC7" i="1"/>
  <c r="HC164" i="1"/>
  <c r="HC4" i="1"/>
  <c r="HC99" i="1"/>
  <c r="HC6" i="1"/>
  <c r="HC8" i="1"/>
  <c r="HC10" i="1"/>
  <c r="HC9" i="1"/>
  <c r="HC127" i="1"/>
  <c r="HC11" i="1"/>
  <c r="HC44" i="1"/>
  <c r="HC39" i="1"/>
  <c r="HC45" i="1"/>
  <c r="HC16" i="1"/>
  <c r="HC12" i="1"/>
  <c r="HC48" i="1"/>
  <c r="HC54" i="1"/>
  <c r="HC47" i="1"/>
  <c r="HC20" i="1"/>
  <c r="HC50" i="1"/>
  <c r="HC22" i="1"/>
  <c r="HC49" i="1"/>
  <c r="HC13" i="1"/>
  <c r="HC26" i="1"/>
  <c r="HC52" i="1"/>
  <c r="HC46" i="1"/>
  <c r="HC72" i="1"/>
  <c r="HC5" i="1"/>
  <c r="HC18" i="1"/>
  <c r="HC23" i="1"/>
  <c r="HC15" i="1"/>
  <c r="HC14" i="1"/>
  <c r="HC59" i="1"/>
  <c r="HC38" i="1"/>
  <c r="HC21" i="1"/>
  <c r="HC27" i="1"/>
  <c r="HC17" i="1"/>
  <c r="HC68" i="1"/>
  <c r="HC121" i="1"/>
  <c r="HC24" i="1"/>
  <c r="HC30" i="1"/>
  <c r="HC40" i="1"/>
  <c r="HC35" i="1"/>
  <c r="HC29" i="1"/>
  <c r="HC37" i="1"/>
  <c r="HC28" i="1"/>
  <c r="HC19" i="1"/>
  <c r="HC33" i="1"/>
  <c r="HC109" i="1"/>
  <c r="HC64" i="1"/>
  <c r="HC63" i="1"/>
  <c r="HC77" i="1"/>
  <c r="HC115" i="1"/>
  <c r="HC31" i="1"/>
  <c r="HC41" i="1"/>
  <c r="HC191" i="1"/>
  <c r="HC85" i="1"/>
  <c r="HC62" i="1"/>
  <c r="HC36" i="1"/>
  <c r="HC32" i="1"/>
  <c r="HC34" i="1"/>
  <c r="HC93" i="1"/>
  <c r="HC117" i="1"/>
  <c r="HC154" i="1"/>
  <c r="HC107" i="1"/>
  <c r="HC98" i="1"/>
  <c r="HC138" i="1"/>
  <c r="HC75" i="1"/>
  <c r="HC122" i="1"/>
  <c r="HC84" i="1"/>
  <c r="HC116" i="1"/>
  <c r="HC186" i="1"/>
  <c r="HC89" i="1"/>
  <c r="HC70" i="1"/>
  <c r="HC61" i="1"/>
  <c r="HC74" i="1"/>
  <c r="HC88" i="1"/>
  <c r="HC73" i="1"/>
  <c r="HC111" i="1"/>
  <c r="HC87" i="1"/>
  <c r="HC82" i="1"/>
  <c r="HC53" i="1"/>
  <c r="HC175" i="1"/>
  <c r="HC55" i="1"/>
  <c r="HC51" i="1"/>
  <c r="HC157" i="1"/>
  <c r="HC158" i="1"/>
  <c r="HC83" i="1"/>
  <c r="HC91" i="1"/>
  <c r="HC105" i="1"/>
  <c r="HC103" i="1"/>
  <c r="HC188" i="1"/>
  <c r="HC163" i="1"/>
  <c r="HC101" i="1"/>
  <c r="HC65" i="1"/>
  <c r="HC60" i="1"/>
  <c r="HC80" i="1"/>
  <c r="HC56" i="1"/>
  <c r="HC57" i="1"/>
  <c r="HC25" i="1"/>
  <c r="HC104" i="1"/>
  <c r="HC66" i="1"/>
  <c r="HC58" i="1"/>
  <c r="HC155" i="1"/>
  <c r="HC156" i="1"/>
  <c r="HC134" i="1"/>
  <c r="HC92" i="1"/>
  <c r="HC67" i="1"/>
  <c r="HC126" i="1"/>
  <c r="HC145" i="1"/>
  <c r="HC135" i="1"/>
  <c r="HC159" i="1"/>
  <c r="HC76" i="1"/>
  <c r="HC114" i="1"/>
  <c r="HC161" i="1"/>
  <c r="HC160" i="1"/>
  <c r="HC95" i="1"/>
  <c r="HC120" i="1"/>
  <c r="HC42" i="1"/>
  <c r="HC183" i="1"/>
  <c r="HC112" i="1"/>
  <c r="HC148" i="1"/>
  <c r="HC179" i="1"/>
  <c r="HC128" i="1"/>
  <c r="HC144" i="1"/>
  <c r="HC110" i="1"/>
  <c r="HC81" i="1"/>
  <c r="HC100" i="1"/>
  <c r="HC123" i="1"/>
  <c r="HC86" i="1"/>
  <c r="HC174" i="1"/>
  <c r="HC201" i="1"/>
  <c r="HC90" i="1"/>
  <c r="HC102" i="1"/>
  <c r="HC94" i="1"/>
  <c r="HC119" i="1"/>
  <c r="HC141" i="1"/>
  <c r="HC147" i="1"/>
  <c r="HC165" i="1"/>
  <c r="HC132" i="1"/>
  <c r="HC189" i="1"/>
  <c r="HC133" i="1"/>
  <c r="HC206" i="1"/>
  <c r="HC78" i="1"/>
  <c r="HC143" i="1"/>
  <c r="HC150" i="1"/>
  <c r="HC130" i="1"/>
  <c r="HC96" i="1"/>
  <c r="HC182" i="1"/>
  <c r="HC195" i="1"/>
  <c r="HC178" i="1"/>
  <c r="HC181" i="1"/>
  <c r="HC194" i="1"/>
  <c r="HC208" i="1"/>
  <c r="HC129" i="1"/>
  <c r="HC180" i="1"/>
  <c r="HC140" i="1"/>
  <c r="HC125" i="1"/>
  <c r="HC131" i="1"/>
  <c r="HC173" i="1"/>
  <c r="HC184" i="1"/>
  <c r="HC190" i="1"/>
  <c r="HC142" i="1"/>
  <c r="HC69" i="1"/>
  <c r="HC151" i="1"/>
  <c r="HC193" i="1"/>
  <c r="HC169" i="1"/>
  <c r="HC166" i="1"/>
  <c r="HC97" i="1"/>
  <c r="HC79" i="1"/>
  <c r="HC146" i="1"/>
  <c r="HC204" i="1"/>
  <c r="HC113" i="1"/>
  <c r="HC172" i="1"/>
  <c r="HC171" i="1"/>
  <c r="HC185" i="1"/>
  <c r="HC137" i="1"/>
  <c r="HC205" i="1"/>
  <c r="HC177" i="1"/>
  <c r="HC199" i="1"/>
  <c r="HC106" i="1"/>
  <c r="HC203" i="1"/>
  <c r="HC124" i="1"/>
  <c r="HC170" i="1"/>
  <c r="HC152" i="1"/>
  <c r="HC118" i="1"/>
  <c r="HC198" i="1"/>
  <c r="HC200" i="1"/>
  <c r="HC136" i="1"/>
  <c r="HC108" i="1"/>
  <c r="HC149" i="1"/>
  <c r="HC187" i="1"/>
  <c r="HC168" i="1"/>
  <c r="HC162" i="1"/>
  <c r="HC139" i="1"/>
  <c r="HC196" i="1"/>
  <c r="HC153" i="1"/>
  <c r="HC197" i="1"/>
  <c r="HC176" i="1"/>
  <c r="HC202" i="1"/>
  <c r="HC167" i="1"/>
  <c r="HC207" i="1"/>
  <c r="HC192" i="1"/>
  <c r="HB3" i="1"/>
  <c r="HB2" i="1"/>
  <c r="HB43" i="1"/>
  <c r="HB71" i="1"/>
  <c r="HB7" i="1"/>
  <c r="HB164" i="1"/>
  <c r="HB4" i="1"/>
  <c r="HB99" i="1"/>
  <c r="HB6" i="1"/>
  <c r="HB8" i="1"/>
  <c r="HB10" i="1"/>
  <c r="HB9" i="1"/>
  <c r="HB127" i="1"/>
  <c r="HB11" i="1"/>
  <c r="HB44" i="1"/>
  <c r="HB39" i="1"/>
  <c r="HB45" i="1"/>
  <c r="HB16" i="1"/>
  <c r="HB12" i="1"/>
  <c r="HB48" i="1"/>
  <c r="HB54" i="1"/>
  <c r="HB47" i="1"/>
  <c r="HB20" i="1"/>
  <c r="HB50" i="1"/>
  <c r="HB22" i="1"/>
  <c r="HB49" i="1"/>
  <c r="HB13" i="1"/>
  <c r="HB26" i="1"/>
  <c r="HB52" i="1"/>
  <c r="HB46" i="1"/>
  <c r="HB72" i="1"/>
  <c r="HB5" i="1"/>
  <c r="HB18" i="1"/>
  <c r="HB23" i="1"/>
  <c r="HB15" i="1"/>
  <c r="HB14" i="1"/>
  <c r="HB59" i="1"/>
  <c r="HB38" i="1"/>
  <c r="HB21" i="1"/>
  <c r="HB27" i="1"/>
  <c r="HB17" i="1"/>
  <c r="HB68" i="1"/>
  <c r="HB121" i="1"/>
  <c r="HB24" i="1"/>
  <c r="HB30" i="1"/>
  <c r="HB40" i="1"/>
  <c r="HB35" i="1"/>
  <c r="HB29" i="1"/>
  <c r="HB37" i="1"/>
  <c r="HB28" i="1"/>
  <c r="HB19" i="1"/>
  <c r="HB33" i="1"/>
  <c r="HB109" i="1"/>
  <c r="HB64" i="1"/>
  <c r="HB63" i="1"/>
  <c r="HB77" i="1"/>
  <c r="HB115" i="1"/>
  <c r="HB31" i="1"/>
  <c r="HB41" i="1"/>
  <c r="HB191" i="1"/>
  <c r="HB85" i="1"/>
  <c r="HB62" i="1"/>
  <c r="HB36" i="1"/>
  <c r="HB32" i="1"/>
  <c r="HB34" i="1"/>
  <c r="HB93" i="1"/>
  <c r="HB117" i="1"/>
  <c r="HB154" i="1"/>
  <c r="HB107" i="1"/>
  <c r="HB98" i="1"/>
  <c r="HB138" i="1"/>
  <c r="HB75" i="1"/>
  <c r="HB122" i="1"/>
  <c r="HB84" i="1"/>
  <c r="HB116" i="1"/>
  <c r="HB186" i="1"/>
  <c r="HB89" i="1"/>
  <c r="HB70" i="1"/>
  <c r="HB61" i="1"/>
  <c r="HB74" i="1"/>
  <c r="HB88" i="1"/>
  <c r="HB73" i="1"/>
  <c r="HB111" i="1"/>
  <c r="HB87" i="1"/>
  <c r="HB82" i="1"/>
  <c r="HB53" i="1"/>
  <c r="HB175" i="1"/>
  <c r="HB55" i="1"/>
  <c r="HB51" i="1"/>
  <c r="HB157" i="1"/>
  <c r="HB158" i="1"/>
  <c r="HB83" i="1"/>
  <c r="HB91" i="1"/>
  <c r="HB105" i="1"/>
  <c r="HB103" i="1"/>
  <c r="HB188" i="1"/>
  <c r="HB163" i="1"/>
  <c r="HB101" i="1"/>
  <c r="HB65" i="1"/>
  <c r="HB60" i="1"/>
  <c r="HB80" i="1"/>
  <c r="HB56" i="1"/>
  <c r="HB57" i="1"/>
  <c r="HB25" i="1"/>
  <c r="HB104" i="1"/>
  <c r="HB66" i="1"/>
  <c r="HB58" i="1"/>
  <c r="HB155" i="1"/>
  <c r="HB156" i="1"/>
  <c r="HB134" i="1"/>
  <c r="HB92" i="1"/>
  <c r="HB67" i="1"/>
  <c r="HB126" i="1"/>
  <c r="HB145" i="1"/>
  <c r="HB135" i="1"/>
  <c r="HB159" i="1"/>
  <c r="HB76" i="1"/>
  <c r="HB114" i="1"/>
  <c r="HB161" i="1"/>
  <c r="HB160" i="1"/>
  <c r="HB95" i="1"/>
  <c r="HB120" i="1"/>
  <c r="HB42" i="1"/>
  <c r="HB183" i="1"/>
  <c r="HB112" i="1"/>
  <c r="HB148" i="1"/>
  <c r="HB179" i="1"/>
  <c r="HB128" i="1"/>
  <c r="HB144" i="1"/>
  <c r="HB110" i="1"/>
  <c r="HB81" i="1"/>
  <c r="HB100" i="1"/>
  <c r="HB123" i="1"/>
  <c r="HB86" i="1"/>
  <c r="HB174" i="1"/>
  <c r="HB201" i="1"/>
  <c r="HB90" i="1"/>
  <c r="HB102" i="1"/>
  <c r="HB94" i="1"/>
  <c r="HB119" i="1"/>
  <c r="HB141" i="1"/>
  <c r="HB147" i="1"/>
  <c r="HB165" i="1"/>
  <c r="HB132" i="1"/>
  <c r="HB189" i="1"/>
  <c r="HB133" i="1"/>
  <c r="HB206" i="1"/>
  <c r="HB78" i="1"/>
  <c r="HB143" i="1"/>
  <c r="HB150" i="1"/>
  <c r="HB130" i="1"/>
  <c r="HB96" i="1"/>
  <c r="HB182" i="1"/>
  <c r="HB195" i="1"/>
  <c r="HB178" i="1"/>
  <c r="HB181" i="1"/>
  <c r="HB194" i="1"/>
  <c r="HB208" i="1"/>
  <c r="HB129" i="1"/>
  <c r="HB180" i="1"/>
  <c r="HB140" i="1"/>
  <c r="HB125" i="1"/>
  <c r="HB131" i="1"/>
  <c r="HB173" i="1"/>
  <c r="HB184" i="1"/>
  <c r="HB190" i="1"/>
  <c r="HB142" i="1"/>
  <c r="HB69" i="1"/>
  <c r="HB151" i="1"/>
  <c r="HB193" i="1"/>
  <c r="HB169" i="1"/>
  <c r="HB166" i="1"/>
  <c r="HB97" i="1"/>
  <c r="HB79" i="1"/>
  <c r="HB146" i="1"/>
  <c r="HB204" i="1"/>
  <c r="HB113" i="1"/>
  <c r="HB172" i="1"/>
  <c r="HB171" i="1"/>
  <c r="HB185" i="1"/>
  <c r="HB137" i="1"/>
  <c r="HB205" i="1"/>
  <c r="HB177" i="1"/>
  <c r="HB199" i="1"/>
  <c r="HB106" i="1"/>
  <c r="HB203" i="1"/>
  <c r="HB124" i="1"/>
  <c r="HB170" i="1"/>
  <c r="HB152" i="1"/>
  <c r="HB118" i="1"/>
  <c r="HB198" i="1"/>
  <c r="HB200" i="1"/>
  <c r="HB136" i="1"/>
  <c r="HB108" i="1"/>
  <c r="HB149" i="1"/>
  <c r="HB187" i="1"/>
  <c r="HB168" i="1"/>
  <c r="HB162" i="1"/>
  <c r="HB139" i="1"/>
  <c r="HB196" i="1"/>
  <c r="HB153" i="1"/>
  <c r="HB197" i="1"/>
  <c r="HB176" i="1"/>
  <c r="HB202" i="1"/>
  <c r="HB167" i="1"/>
  <c r="HB207" i="1"/>
  <c r="HB192" i="1"/>
  <c r="HA3" i="1"/>
  <c r="HA2" i="1"/>
  <c r="HA43" i="1"/>
  <c r="HA71" i="1"/>
  <c r="HA7" i="1"/>
  <c r="HA164" i="1"/>
  <c r="HA4" i="1"/>
  <c r="HA99" i="1"/>
  <c r="HA6" i="1"/>
  <c r="HA8" i="1"/>
  <c r="HA10" i="1"/>
  <c r="HA9" i="1"/>
  <c r="HA127" i="1"/>
  <c r="HA11" i="1"/>
  <c r="HA44" i="1"/>
  <c r="HA39" i="1"/>
  <c r="HA45" i="1"/>
  <c r="HA16" i="1"/>
  <c r="HA12" i="1"/>
  <c r="HA48" i="1"/>
  <c r="HA54" i="1"/>
  <c r="HA47" i="1"/>
  <c r="HA20" i="1"/>
  <c r="HA50" i="1"/>
  <c r="HA22" i="1"/>
  <c r="HA49" i="1"/>
  <c r="HA13" i="1"/>
  <c r="HA26" i="1"/>
  <c r="HA52" i="1"/>
  <c r="HA46" i="1"/>
  <c r="HA72" i="1"/>
  <c r="HA5" i="1"/>
  <c r="HA18" i="1"/>
  <c r="HA23" i="1"/>
  <c r="HA15" i="1"/>
  <c r="HA14" i="1"/>
  <c r="HA59" i="1"/>
  <c r="HA38" i="1"/>
  <c r="HA21" i="1"/>
  <c r="HA27" i="1"/>
  <c r="HA17" i="1"/>
  <c r="HA68" i="1"/>
  <c r="HA121" i="1"/>
  <c r="HA24" i="1"/>
  <c r="HA30" i="1"/>
  <c r="HA40" i="1"/>
  <c r="HA35" i="1"/>
  <c r="HA29" i="1"/>
  <c r="HA37" i="1"/>
  <c r="HA28" i="1"/>
  <c r="HA19" i="1"/>
  <c r="HA33" i="1"/>
  <c r="HA109" i="1"/>
  <c r="HA64" i="1"/>
  <c r="HA63" i="1"/>
  <c r="HA77" i="1"/>
  <c r="HA115" i="1"/>
  <c r="HA31" i="1"/>
  <c r="HA41" i="1"/>
  <c r="HA191" i="1"/>
  <c r="HA85" i="1"/>
  <c r="HA62" i="1"/>
  <c r="HA36" i="1"/>
  <c r="HA32" i="1"/>
  <c r="HA34" i="1"/>
  <c r="HA93" i="1"/>
  <c r="HA117" i="1"/>
  <c r="HA154" i="1"/>
  <c r="HA107" i="1"/>
  <c r="HA98" i="1"/>
  <c r="HA138" i="1"/>
  <c r="HA75" i="1"/>
  <c r="HA122" i="1"/>
  <c r="HA84" i="1"/>
  <c r="HA116" i="1"/>
  <c r="HA186" i="1"/>
  <c r="HA89" i="1"/>
  <c r="HA70" i="1"/>
  <c r="HA61" i="1"/>
  <c r="HA74" i="1"/>
  <c r="HA88" i="1"/>
  <c r="HA73" i="1"/>
  <c r="HA111" i="1"/>
  <c r="HA87" i="1"/>
  <c r="HA82" i="1"/>
  <c r="HA53" i="1"/>
  <c r="HA175" i="1"/>
  <c r="HA55" i="1"/>
  <c r="HA51" i="1"/>
  <c r="HA157" i="1"/>
  <c r="HA158" i="1"/>
  <c r="HA83" i="1"/>
  <c r="HA91" i="1"/>
  <c r="HA105" i="1"/>
  <c r="HA103" i="1"/>
  <c r="HA188" i="1"/>
  <c r="HA163" i="1"/>
  <c r="HA101" i="1"/>
  <c r="HA65" i="1"/>
  <c r="HA60" i="1"/>
  <c r="HA80" i="1"/>
  <c r="HA56" i="1"/>
  <c r="HA57" i="1"/>
  <c r="HA25" i="1"/>
  <c r="HA104" i="1"/>
  <c r="HA66" i="1"/>
  <c r="HA58" i="1"/>
  <c r="HA155" i="1"/>
  <c r="HA156" i="1"/>
  <c r="HA134" i="1"/>
  <c r="HA92" i="1"/>
  <c r="HA67" i="1"/>
  <c r="HA126" i="1"/>
  <c r="HA145" i="1"/>
  <c r="HA135" i="1"/>
  <c r="HA159" i="1"/>
  <c r="HA76" i="1"/>
  <c r="HA114" i="1"/>
  <c r="HA161" i="1"/>
  <c r="HA160" i="1"/>
  <c r="HA95" i="1"/>
  <c r="HA120" i="1"/>
  <c r="HA42" i="1"/>
  <c r="HA183" i="1"/>
  <c r="HA112" i="1"/>
  <c r="HA148" i="1"/>
  <c r="HA179" i="1"/>
  <c r="HA128" i="1"/>
  <c r="HA144" i="1"/>
  <c r="HA110" i="1"/>
  <c r="HA81" i="1"/>
  <c r="HA100" i="1"/>
  <c r="HA123" i="1"/>
  <c r="HA86" i="1"/>
  <c r="HA174" i="1"/>
  <c r="HA201" i="1"/>
  <c r="HA90" i="1"/>
  <c r="HA102" i="1"/>
  <c r="HA94" i="1"/>
  <c r="HA119" i="1"/>
  <c r="HA141" i="1"/>
  <c r="HA147" i="1"/>
  <c r="HA165" i="1"/>
  <c r="HA132" i="1"/>
  <c r="HA189" i="1"/>
  <c r="HA133" i="1"/>
  <c r="HA206" i="1"/>
  <c r="HA78" i="1"/>
  <c r="HA143" i="1"/>
  <c r="HA150" i="1"/>
  <c r="HA130" i="1"/>
  <c r="HA96" i="1"/>
  <c r="HA182" i="1"/>
  <c r="HA195" i="1"/>
  <c r="HA178" i="1"/>
  <c r="HA181" i="1"/>
  <c r="HA194" i="1"/>
  <c r="HA208" i="1"/>
  <c r="HA129" i="1"/>
  <c r="HA180" i="1"/>
  <c r="HA140" i="1"/>
  <c r="HA125" i="1"/>
  <c r="HA131" i="1"/>
  <c r="HA173" i="1"/>
  <c r="HA184" i="1"/>
  <c r="HA190" i="1"/>
  <c r="HA142" i="1"/>
  <c r="HA69" i="1"/>
  <c r="HA151" i="1"/>
  <c r="HA193" i="1"/>
  <c r="HA169" i="1"/>
  <c r="HA166" i="1"/>
  <c r="HA97" i="1"/>
  <c r="HA79" i="1"/>
  <c r="HA146" i="1"/>
  <c r="HA204" i="1"/>
  <c r="HA113" i="1"/>
  <c r="HA172" i="1"/>
  <c r="HA171" i="1"/>
  <c r="HA185" i="1"/>
  <c r="HA137" i="1"/>
  <c r="HA205" i="1"/>
  <c r="HA177" i="1"/>
  <c r="HA199" i="1"/>
  <c r="HA106" i="1"/>
  <c r="HA203" i="1"/>
  <c r="HA124" i="1"/>
  <c r="HA170" i="1"/>
  <c r="HA152" i="1"/>
  <c r="HA118" i="1"/>
  <c r="HA198" i="1"/>
  <c r="HA200" i="1"/>
  <c r="HA136" i="1"/>
  <c r="HA108" i="1"/>
  <c r="HA149" i="1"/>
  <c r="HA187" i="1"/>
  <c r="HA168" i="1"/>
  <c r="HA162" i="1"/>
  <c r="HA139" i="1"/>
  <c r="HA196" i="1"/>
  <c r="HA153" i="1"/>
  <c r="HA197" i="1"/>
  <c r="HA176" i="1"/>
  <c r="HA202" i="1"/>
  <c r="HA167" i="1"/>
  <c r="HA207" i="1"/>
  <c r="HA192" i="1"/>
  <c r="GZ3" i="1"/>
  <c r="GZ2" i="1"/>
  <c r="GZ43" i="1"/>
  <c r="GZ71" i="1"/>
  <c r="GZ7" i="1"/>
  <c r="GZ164" i="1"/>
  <c r="GZ4" i="1"/>
  <c r="GZ99" i="1"/>
  <c r="GZ6" i="1"/>
  <c r="GZ8" i="1"/>
  <c r="GZ10" i="1"/>
  <c r="GZ9" i="1"/>
  <c r="GZ127" i="1"/>
  <c r="GZ11" i="1"/>
  <c r="GZ44" i="1"/>
  <c r="GZ39" i="1"/>
  <c r="GZ45" i="1"/>
  <c r="GZ16" i="1"/>
  <c r="GZ12" i="1"/>
  <c r="GZ48" i="1"/>
  <c r="GZ54" i="1"/>
  <c r="GZ47" i="1"/>
  <c r="GZ20" i="1"/>
  <c r="GZ50" i="1"/>
  <c r="GZ22" i="1"/>
  <c r="GZ49" i="1"/>
  <c r="GZ13" i="1"/>
  <c r="GZ26" i="1"/>
  <c r="GZ52" i="1"/>
  <c r="GZ46" i="1"/>
  <c r="GZ72" i="1"/>
  <c r="GZ5" i="1"/>
  <c r="GZ18" i="1"/>
  <c r="GZ23" i="1"/>
  <c r="GZ15" i="1"/>
  <c r="GZ14" i="1"/>
  <c r="GZ59" i="1"/>
  <c r="GZ38" i="1"/>
  <c r="GZ21" i="1"/>
  <c r="GZ27" i="1"/>
  <c r="GZ17" i="1"/>
  <c r="GZ68" i="1"/>
  <c r="GZ121" i="1"/>
  <c r="GZ24" i="1"/>
  <c r="GZ30" i="1"/>
  <c r="GZ40" i="1"/>
  <c r="GZ35" i="1"/>
  <c r="GZ29" i="1"/>
  <c r="GZ37" i="1"/>
  <c r="GZ28" i="1"/>
  <c r="GZ19" i="1"/>
  <c r="GZ33" i="1"/>
  <c r="GZ109" i="1"/>
  <c r="GZ64" i="1"/>
  <c r="GZ63" i="1"/>
  <c r="GZ77" i="1"/>
  <c r="GZ115" i="1"/>
  <c r="GZ31" i="1"/>
  <c r="GZ41" i="1"/>
  <c r="GZ191" i="1"/>
  <c r="GZ85" i="1"/>
  <c r="GZ62" i="1"/>
  <c r="GZ36" i="1"/>
  <c r="GZ32" i="1"/>
  <c r="GZ34" i="1"/>
  <c r="GZ93" i="1"/>
  <c r="GZ117" i="1"/>
  <c r="GZ154" i="1"/>
  <c r="GZ107" i="1"/>
  <c r="GZ98" i="1"/>
  <c r="GZ138" i="1"/>
  <c r="GZ75" i="1"/>
  <c r="GZ122" i="1"/>
  <c r="GZ84" i="1"/>
  <c r="GZ116" i="1"/>
  <c r="GZ186" i="1"/>
  <c r="GZ89" i="1"/>
  <c r="GZ70" i="1"/>
  <c r="GZ61" i="1"/>
  <c r="GZ74" i="1"/>
  <c r="GZ88" i="1"/>
  <c r="GZ73" i="1"/>
  <c r="GZ111" i="1"/>
  <c r="GZ87" i="1"/>
  <c r="GZ82" i="1"/>
  <c r="GZ53" i="1"/>
  <c r="GZ175" i="1"/>
  <c r="GZ55" i="1"/>
  <c r="GZ51" i="1"/>
  <c r="GZ157" i="1"/>
  <c r="GZ158" i="1"/>
  <c r="GZ83" i="1"/>
  <c r="GZ91" i="1"/>
  <c r="GZ105" i="1"/>
  <c r="GZ103" i="1"/>
  <c r="GZ188" i="1"/>
  <c r="GZ163" i="1"/>
  <c r="GZ101" i="1"/>
  <c r="GZ65" i="1"/>
  <c r="GZ60" i="1"/>
  <c r="GZ80" i="1"/>
  <c r="GZ56" i="1"/>
  <c r="GZ57" i="1"/>
  <c r="GZ25" i="1"/>
  <c r="GZ104" i="1"/>
  <c r="GZ66" i="1"/>
  <c r="GZ58" i="1"/>
  <c r="GZ155" i="1"/>
  <c r="GZ156" i="1"/>
  <c r="GZ134" i="1"/>
  <c r="GZ92" i="1"/>
  <c r="GZ67" i="1"/>
  <c r="GZ126" i="1"/>
  <c r="GZ145" i="1"/>
  <c r="GZ135" i="1"/>
  <c r="GZ159" i="1"/>
  <c r="GZ76" i="1"/>
  <c r="GZ114" i="1"/>
  <c r="GZ161" i="1"/>
  <c r="GZ160" i="1"/>
  <c r="GZ95" i="1"/>
  <c r="GZ120" i="1"/>
  <c r="GZ42" i="1"/>
  <c r="GZ183" i="1"/>
  <c r="GZ112" i="1"/>
  <c r="GZ148" i="1"/>
  <c r="GZ179" i="1"/>
  <c r="GZ128" i="1"/>
  <c r="GZ144" i="1"/>
  <c r="GZ110" i="1"/>
  <c r="GZ81" i="1"/>
  <c r="GZ100" i="1"/>
  <c r="GZ123" i="1"/>
  <c r="GZ86" i="1"/>
  <c r="GZ174" i="1"/>
  <c r="GZ201" i="1"/>
  <c r="GZ90" i="1"/>
  <c r="GZ102" i="1"/>
  <c r="GZ94" i="1"/>
  <c r="GZ119" i="1"/>
  <c r="GZ141" i="1"/>
  <c r="GZ147" i="1"/>
  <c r="GZ165" i="1"/>
  <c r="GZ132" i="1"/>
  <c r="GZ189" i="1"/>
  <c r="GZ133" i="1"/>
  <c r="GZ206" i="1"/>
  <c r="GZ78" i="1"/>
  <c r="GZ143" i="1"/>
  <c r="GZ150" i="1"/>
  <c r="GZ130" i="1"/>
  <c r="GZ96" i="1"/>
  <c r="GZ182" i="1"/>
  <c r="GZ195" i="1"/>
  <c r="GZ178" i="1"/>
  <c r="GZ181" i="1"/>
  <c r="GZ194" i="1"/>
  <c r="GZ208" i="1"/>
  <c r="GZ129" i="1"/>
  <c r="GZ180" i="1"/>
  <c r="GZ140" i="1"/>
  <c r="GZ125" i="1"/>
  <c r="GZ131" i="1"/>
  <c r="GZ173" i="1"/>
  <c r="GZ184" i="1"/>
  <c r="GZ190" i="1"/>
  <c r="GZ142" i="1"/>
  <c r="GZ69" i="1"/>
  <c r="GZ151" i="1"/>
  <c r="GZ193" i="1"/>
  <c r="GZ169" i="1"/>
  <c r="GZ166" i="1"/>
  <c r="GZ97" i="1"/>
  <c r="GZ79" i="1"/>
  <c r="GZ146" i="1"/>
  <c r="GZ204" i="1"/>
  <c r="GZ113" i="1"/>
  <c r="GZ172" i="1"/>
  <c r="GZ171" i="1"/>
  <c r="GZ185" i="1"/>
  <c r="GZ137" i="1"/>
  <c r="GZ205" i="1"/>
  <c r="GZ177" i="1"/>
  <c r="GZ199" i="1"/>
  <c r="GZ106" i="1"/>
  <c r="GZ203" i="1"/>
  <c r="GZ124" i="1"/>
  <c r="GZ170" i="1"/>
  <c r="GZ152" i="1"/>
  <c r="GZ118" i="1"/>
  <c r="GZ198" i="1"/>
  <c r="GZ200" i="1"/>
  <c r="GZ136" i="1"/>
  <c r="GZ108" i="1"/>
  <c r="GZ149" i="1"/>
  <c r="GZ187" i="1"/>
  <c r="GZ168" i="1"/>
  <c r="GZ162" i="1"/>
  <c r="GZ139" i="1"/>
  <c r="GZ196" i="1"/>
  <c r="GZ153" i="1"/>
  <c r="GZ197" i="1"/>
  <c r="GZ176" i="1"/>
  <c r="GZ202" i="1"/>
  <c r="GZ167" i="1"/>
  <c r="GZ207" i="1"/>
  <c r="GZ192" i="1"/>
  <c r="GY3" i="1"/>
  <c r="GY2" i="1"/>
  <c r="GY43" i="1"/>
  <c r="GY71" i="1"/>
  <c r="GY7" i="1"/>
  <c r="GY164" i="1"/>
  <c r="GY4" i="1"/>
  <c r="GY99" i="1"/>
  <c r="GY6" i="1"/>
  <c r="GY8" i="1"/>
  <c r="GY10" i="1"/>
  <c r="GY9" i="1"/>
  <c r="GY127" i="1"/>
  <c r="GY11" i="1"/>
  <c r="GY44" i="1"/>
  <c r="GY39" i="1"/>
  <c r="GY45" i="1"/>
  <c r="GY16" i="1"/>
  <c r="GY12" i="1"/>
  <c r="GY48" i="1"/>
  <c r="GY54" i="1"/>
  <c r="GY47" i="1"/>
  <c r="GY20" i="1"/>
  <c r="GY50" i="1"/>
  <c r="GY22" i="1"/>
  <c r="GY49" i="1"/>
  <c r="GY13" i="1"/>
  <c r="GY26" i="1"/>
  <c r="GY52" i="1"/>
  <c r="GY46" i="1"/>
  <c r="GY72" i="1"/>
  <c r="GY5" i="1"/>
  <c r="GY18" i="1"/>
  <c r="GY23" i="1"/>
  <c r="GY15" i="1"/>
  <c r="GY14" i="1"/>
  <c r="GY59" i="1"/>
  <c r="GY38" i="1"/>
  <c r="GY21" i="1"/>
  <c r="GY27" i="1"/>
  <c r="GY17" i="1"/>
  <c r="GY68" i="1"/>
  <c r="GY121" i="1"/>
  <c r="GY24" i="1"/>
  <c r="GY30" i="1"/>
  <c r="GY40" i="1"/>
  <c r="GY35" i="1"/>
  <c r="GY29" i="1"/>
  <c r="GY37" i="1"/>
  <c r="GY28" i="1"/>
  <c r="GY19" i="1"/>
  <c r="GY33" i="1"/>
  <c r="GY109" i="1"/>
  <c r="GY64" i="1"/>
  <c r="GY63" i="1"/>
  <c r="GY77" i="1"/>
  <c r="GY115" i="1"/>
  <c r="GY31" i="1"/>
  <c r="GY41" i="1"/>
  <c r="GY191" i="1"/>
  <c r="GY85" i="1"/>
  <c r="GY62" i="1"/>
  <c r="GY36" i="1"/>
  <c r="GY32" i="1"/>
  <c r="GY34" i="1"/>
  <c r="GY93" i="1"/>
  <c r="GY117" i="1"/>
  <c r="GY154" i="1"/>
  <c r="GY107" i="1"/>
  <c r="GY98" i="1"/>
  <c r="GY138" i="1"/>
  <c r="GY75" i="1"/>
  <c r="GY122" i="1"/>
  <c r="GY84" i="1"/>
  <c r="GY116" i="1"/>
  <c r="GY186" i="1"/>
  <c r="GY89" i="1"/>
  <c r="GY70" i="1"/>
  <c r="GY61" i="1"/>
  <c r="GY74" i="1"/>
  <c r="GY88" i="1"/>
  <c r="GY73" i="1"/>
  <c r="GY111" i="1"/>
  <c r="GY87" i="1"/>
  <c r="GY82" i="1"/>
  <c r="GY53" i="1"/>
  <c r="GY175" i="1"/>
  <c r="GY55" i="1"/>
  <c r="GY51" i="1"/>
  <c r="GY157" i="1"/>
  <c r="GY158" i="1"/>
  <c r="GY83" i="1"/>
  <c r="GY91" i="1"/>
  <c r="GY105" i="1"/>
  <c r="GY103" i="1"/>
  <c r="GY188" i="1"/>
  <c r="GY163" i="1"/>
  <c r="GY101" i="1"/>
  <c r="GY65" i="1"/>
  <c r="GY60" i="1"/>
  <c r="GY80" i="1"/>
  <c r="GY56" i="1"/>
  <c r="GY57" i="1"/>
  <c r="GY25" i="1"/>
  <c r="GY104" i="1"/>
  <c r="GY66" i="1"/>
  <c r="GY58" i="1"/>
  <c r="GY155" i="1"/>
  <c r="GY156" i="1"/>
  <c r="GY134" i="1"/>
  <c r="GY92" i="1"/>
  <c r="GY67" i="1"/>
  <c r="GY126" i="1"/>
  <c r="GY145" i="1"/>
  <c r="GY135" i="1"/>
  <c r="GY159" i="1"/>
  <c r="GY76" i="1"/>
  <c r="GY114" i="1"/>
  <c r="GY161" i="1"/>
  <c r="GY160" i="1"/>
  <c r="GY95" i="1"/>
  <c r="GY120" i="1"/>
  <c r="GY42" i="1"/>
  <c r="GY183" i="1"/>
  <c r="GY112" i="1"/>
  <c r="GY148" i="1"/>
  <c r="GY179" i="1"/>
  <c r="GY128" i="1"/>
  <c r="GY144" i="1"/>
  <c r="GY110" i="1"/>
  <c r="GY81" i="1"/>
  <c r="GY100" i="1"/>
  <c r="GY123" i="1"/>
  <c r="GY86" i="1"/>
  <c r="GY174" i="1"/>
  <c r="GY201" i="1"/>
  <c r="GY90" i="1"/>
  <c r="GY102" i="1"/>
  <c r="GY94" i="1"/>
  <c r="GY119" i="1"/>
  <c r="GY141" i="1"/>
  <c r="GY147" i="1"/>
  <c r="GY165" i="1"/>
  <c r="GY132" i="1"/>
  <c r="GY189" i="1"/>
  <c r="GY133" i="1"/>
  <c r="GY206" i="1"/>
  <c r="GY78" i="1"/>
  <c r="GY143" i="1"/>
  <c r="GY150" i="1"/>
  <c r="GY130" i="1"/>
  <c r="GY96" i="1"/>
  <c r="GY182" i="1"/>
  <c r="GY195" i="1"/>
  <c r="GY178" i="1"/>
  <c r="GY181" i="1"/>
  <c r="GY194" i="1"/>
  <c r="GY208" i="1"/>
  <c r="GY129" i="1"/>
  <c r="GY180" i="1"/>
  <c r="GY140" i="1"/>
  <c r="GY125" i="1"/>
  <c r="GY131" i="1"/>
  <c r="GY173" i="1"/>
  <c r="GY184" i="1"/>
  <c r="GY190" i="1"/>
  <c r="GY142" i="1"/>
  <c r="GY69" i="1"/>
  <c r="GY151" i="1"/>
  <c r="GY193" i="1"/>
  <c r="GY169" i="1"/>
  <c r="GY166" i="1"/>
  <c r="GY97" i="1"/>
  <c r="GY79" i="1"/>
  <c r="GY146" i="1"/>
  <c r="GY204" i="1"/>
  <c r="GY113" i="1"/>
  <c r="GY172" i="1"/>
  <c r="GY171" i="1"/>
  <c r="GY185" i="1"/>
  <c r="GY137" i="1"/>
  <c r="GY205" i="1"/>
  <c r="GY177" i="1"/>
  <c r="GY199" i="1"/>
  <c r="GY106" i="1"/>
  <c r="GY203" i="1"/>
  <c r="GY124" i="1"/>
  <c r="GY170" i="1"/>
  <c r="GY152" i="1"/>
  <c r="GY118" i="1"/>
  <c r="GY198" i="1"/>
  <c r="GY200" i="1"/>
  <c r="GY136" i="1"/>
  <c r="GY108" i="1"/>
  <c r="GY149" i="1"/>
  <c r="GY187" i="1"/>
  <c r="GY168" i="1"/>
  <c r="GY162" i="1"/>
  <c r="GY139" i="1"/>
  <c r="GY196" i="1"/>
  <c r="GY153" i="1"/>
  <c r="GY197" i="1"/>
  <c r="GY176" i="1"/>
  <c r="GY202" i="1"/>
  <c r="GY167" i="1"/>
  <c r="GY207" i="1"/>
  <c r="GY192" i="1"/>
  <c r="GX3" i="1"/>
  <c r="GX2" i="1"/>
  <c r="GX43" i="1"/>
  <c r="GX71" i="1"/>
  <c r="GX7" i="1"/>
  <c r="GX164" i="1"/>
  <c r="GX4" i="1"/>
  <c r="GX99" i="1"/>
  <c r="GX6" i="1"/>
  <c r="GX8" i="1"/>
  <c r="GX10" i="1"/>
  <c r="GX9" i="1"/>
  <c r="GX127" i="1"/>
  <c r="GX11" i="1"/>
  <c r="GX44" i="1"/>
  <c r="GX39" i="1"/>
  <c r="GX45" i="1"/>
  <c r="GX16" i="1"/>
  <c r="GX12" i="1"/>
  <c r="GX48" i="1"/>
  <c r="GX54" i="1"/>
  <c r="GX47" i="1"/>
  <c r="GX20" i="1"/>
  <c r="GX50" i="1"/>
  <c r="GX22" i="1"/>
  <c r="GX49" i="1"/>
  <c r="GX13" i="1"/>
  <c r="GX26" i="1"/>
  <c r="GX52" i="1"/>
  <c r="GX46" i="1"/>
  <c r="GX72" i="1"/>
  <c r="GX5" i="1"/>
  <c r="GX18" i="1"/>
  <c r="GX23" i="1"/>
  <c r="GX15" i="1"/>
  <c r="GX14" i="1"/>
  <c r="GX59" i="1"/>
  <c r="GX38" i="1"/>
  <c r="GX21" i="1"/>
  <c r="GX27" i="1"/>
  <c r="GX17" i="1"/>
  <c r="GX68" i="1"/>
  <c r="GX121" i="1"/>
  <c r="GX24" i="1"/>
  <c r="GX30" i="1"/>
  <c r="GX40" i="1"/>
  <c r="GX35" i="1"/>
  <c r="GX29" i="1"/>
  <c r="GX37" i="1"/>
  <c r="GX28" i="1"/>
  <c r="GX19" i="1"/>
  <c r="GX33" i="1"/>
  <c r="GX109" i="1"/>
  <c r="GX64" i="1"/>
  <c r="GX63" i="1"/>
  <c r="GX77" i="1"/>
  <c r="GX115" i="1"/>
  <c r="GX31" i="1"/>
  <c r="GX41" i="1"/>
  <c r="GX191" i="1"/>
  <c r="GX85" i="1"/>
  <c r="GX62" i="1"/>
  <c r="GX36" i="1"/>
  <c r="GX32" i="1"/>
  <c r="GX34" i="1"/>
  <c r="GX93" i="1"/>
  <c r="GX117" i="1"/>
  <c r="GX154" i="1"/>
  <c r="GX107" i="1"/>
  <c r="GX98" i="1"/>
  <c r="GX138" i="1"/>
  <c r="GX75" i="1"/>
  <c r="GX122" i="1"/>
  <c r="GX84" i="1"/>
  <c r="GX116" i="1"/>
  <c r="GX186" i="1"/>
  <c r="GX89" i="1"/>
  <c r="GX70" i="1"/>
  <c r="GX61" i="1"/>
  <c r="GX74" i="1"/>
  <c r="GX88" i="1"/>
  <c r="GX73" i="1"/>
  <c r="GX111" i="1"/>
  <c r="GX87" i="1"/>
  <c r="GX82" i="1"/>
  <c r="GX53" i="1"/>
  <c r="GX175" i="1"/>
  <c r="GX55" i="1"/>
  <c r="GX51" i="1"/>
  <c r="GX157" i="1"/>
  <c r="GX158" i="1"/>
  <c r="GX83" i="1"/>
  <c r="GX91" i="1"/>
  <c r="GX105" i="1"/>
  <c r="GX103" i="1"/>
  <c r="GX188" i="1"/>
  <c r="GX163" i="1"/>
  <c r="GX101" i="1"/>
  <c r="GX65" i="1"/>
  <c r="GX60" i="1"/>
  <c r="GX80" i="1"/>
  <c r="GX56" i="1"/>
  <c r="GX57" i="1"/>
  <c r="GX25" i="1"/>
  <c r="GX104" i="1"/>
  <c r="GX66" i="1"/>
  <c r="GX58" i="1"/>
  <c r="GX155" i="1"/>
  <c r="GX156" i="1"/>
  <c r="GX134" i="1"/>
  <c r="GX92" i="1"/>
  <c r="GX67" i="1"/>
  <c r="GX126" i="1"/>
  <c r="GX145" i="1"/>
  <c r="GX135" i="1"/>
  <c r="GX159" i="1"/>
  <c r="GX76" i="1"/>
  <c r="GX114" i="1"/>
  <c r="GX161" i="1"/>
  <c r="GX160" i="1"/>
  <c r="GX95" i="1"/>
  <c r="GX120" i="1"/>
  <c r="GX42" i="1"/>
  <c r="GX183" i="1"/>
  <c r="GX112" i="1"/>
  <c r="GX148" i="1"/>
  <c r="GX179" i="1"/>
  <c r="GX128" i="1"/>
  <c r="GX144" i="1"/>
  <c r="GX110" i="1"/>
  <c r="GX81" i="1"/>
  <c r="GX100" i="1"/>
  <c r="GX123" i="1"/>
  <c r="GX86" i="1"/>
  <c r="GX174" i="1"/>
  <c r="GX201" i="1"/>
  <c r="GX90" i="1"/>
  <c r="GX102" i="1"/>
  <c r="GX94" i="1"/>
  <c r="GX119" i="1"/>
  <c r="GX141" i="1"/>
  <c r="GX147" i="1"/>
  <c r="GX165" i="1"/>
  <c r="GX132" i="1"/>
  <c r="GX189" i="1"/>
  <c r="GX133" i="1"/>
  <c r="GX206" i="1"/>
  <c r="GX78" i="1"/>
  <c r="GX143" i="1"/>
  <c r="GX150" i="1"/>
  <c r="GX130" i="1"/>
  <c r="GX96" i="1"/>
  <c r="GX182" i="1"/>
  <c r="GX195" i="1"/>
  <c r="GX178" i="1"/>
  <c r="GX181" i="1"/>
  <c r="GX194" i="1"/>
  <c r="GX208" i="1"/>
  <c r="GX129" i="1"/>
  <c r="GX180" i="1"/>
  <c r="GX140" i="1"/>
  <c r="GX125" i="1"/>
  <c r="GX131" i="1"/>
  <c r="GX173" i="1"/>
  <c r="GX184" i="1"/>
  <c r="GX190" i="1"/>
  <c r="GX142" i="1"/>
  <c r="GX69" i="1"/>
  <c r="GX151" i="1"/>
  <c r="GX193" i="1"/>
  <c r="GX169" i="1"/>
  <c r="GX166" i="1"/>
  <c r="GX97" i="1"/>
  <c r="GX79" i="1"/>
  <c r="GX146" i="1"/>
  <c r="GX204" i="1"/>
  <c r="GX113" i="1"/>
  <c r="GX172" i="1"/>
  <c r="GX171" i="1"/>
  <c r="GX185" i="1"/>
  <c r="GX137" i="1"/>
  <c r="GX205" i="1"/>
  <c r="GX177" i="1"/>
  <c r="GX199" i="1"/>
  <c r="GX106" i="1"/>
  <c r="GX203" i="1"/>
  <c r="GX124" i="1"/>
  <c r="GX170" i="1"/>
  <c r="GX152" i="1"/>
  <c r="GX118" i="1"/>
  <c r="GX198" i="1"/>
  <c r="GX200" i="1"/>
  <c r="GX136" i="1"/>
  <c r="GX108" i="1"/>
  <c r="GX149" i="1"/>
  <c r="GX187" i="1"/>
  <c r="GX168" i="1"/>
  <c r="GX162" i="1"/>
  <c r="GX139" i="1"/>
  <c r="GX196" i="1"/>
  <c r="GX153" i="1"/>
  <c r="GX197" i="1"/>
  <c r="GX176" i="1"/>
  <c r="GX202" i="1"/>
  <c r="GX167" i="1"/>
  <c r="GX207" i="1"/>
  <c r="GX192" i="1"/>
  <c r="GW3" i="1"/>
  <c r="GW2" i="1"/>
  <c r="GW43" i="1"/>
  <c r="GW71" i="1"/>
  <c r="GW7" i="1"/>
  <c r="GW164" i="1"/>
  <c r="GW4" i="1"/>
  <c r="GW99" i="1"/>
  <c r="GW6" i="1"/>
  <c r="GW8" i="1"/>
  <c r="GW10" i="1"/>
  <c r="GW9" i="1"/>
  <c r="GW127" i="1"/>
  <c r="GW11" i="1"/>
  <c r="GW44" i="1"/>
  <c r="GW39" i="1"/>
  <c r="GW45" i="1"/>
  <c r="GW16" i="1"/>
  <c r="GW12" i="1"/>
  <c r="GW48" i="1"/>
  <c r="GW54" i="1"/>
  <c r="GW47" i="1"/>
  <c r="GW20" i="1"/>
  <c r="GW50" i="1"/>
  <c r="GW22" i="1"/>
  <c r="GW49" i="1"/>
  <c r="GW13" i="1"/>
  <c r="GW26" i="1"/>
  <c r="GW52" i="1"/>
  <c r="GW46" i="1"/>
  <c r="GW72" i="1"/>
  <c r="GW5" i="1"/>
  <c r="GW18" i="1"/>
  <c r="GW23" i="1"/>
  <c r="GW15" i="1"/>
  <c r="GW14" i="1"/>
  <c r="GW59" i="1"/>
  <c r="GW38" i="1"/>
  <c r="GW21" i="1"/>
  <c r="GW27" i="1"/>
  <c r="GW17" i="1"/>
  <c r="GW68" i="1"/>
  <c r="GW121" i="1"/>
  <c r="GW24" i="1"/>
  <c r="GW30" i="1"/>
  <c r="GW40" i="1"/>
  <c r="GW35" i="1"/>
  <c r="GW29" i="1"/>
  <c r="GW37" i="1"/>
  <c r="GW28" i="1"/>
  <c r="GW19" i="1"/>
  <c r="GW33" i="1"/>
  <c r="GW109" i="1"/>
  <c r="GW64" i="1"/>
  <c r="GW63" i="1"/>
  <c r="GW77" i="1"/>
  <c r="GW115" i="1"/>
  <c r="GW31" i="1"/>
  <c r="GW41" i="1"/>
  <c r="GW191" i="1"/>
  <c r="GW85" i="1"/>
  <c r="GW62" i="1"/>
  <c r="GW36" i="1"/>
  <c r="GW32" i="1"/>
  <c r="GW34" i="1"/>
  <c r="GW93" i="1"/>
  <c r="GW117" i="1"/>
  <c r="GW154" i="1"/>
  <c r="GW107" i="1"/>
  <c r="GW98" i="1"/>
  <c r="GW138" i="1"/>
  <c r="GW75" i="1"/>
  <c r="GW122" i="1"/>
  <c r="GW84" i="1"/>
  <c r="GW116" i="1"/>
  <c r="GW186" i="1"/>
  <c r="GW89" i="1"/>
  <c r="GW70" i="1"/>
  <c r="GW61" i="1"/>
  <c r="GW74" i="1"/>
  <c r="GW88" i="1"/>
  <c r="GW73" i="1"/>
  <c r="GW111" i="1"/>
  <c r="GW87" i="1"/>
  <c r="GW82" i="1"/>
  <c r="GW53" i="1"/>
  <c r="GW175" i="1"/>
  <c r="GW55" i="1"/>
  <c r="GW51" i="1"/>
  <c r="GW157" i="1"/>
  <c r="GW158" i="1"/>
  <c r="GW83" i="1"/>
  <c r="GW91" i="1"/>
  <c r="GW105" i="1"/>
  <c r="GW103" i="1"/>
  <c r="GW188" i="1"/>
  <c r="GW163" i="1"/>
  <c r="GW101" i="1"/>
  <c r="GW65" i="1"/>
  <c r="GW60" i="1"/>
  <c r="GW80" i="1"/>
  <c r="GW56" i="1"/>
  <c r="GW57" i="1"/>
  <c r="GW25" i="1"/>
  <c r="GW104" i="1"/>
  <c r="GW66" i="1"/>
  <c r="GW58" i="1"/>
  <c r="GW155" i="1"/>
  <c r="GW156" i="1"/>
  <c r="GW134" i="1"/>
  <c r="GW92" i="1"/>
  <c r="GW67" i="1"/>
  <c r="GW126" i="1"/>
  <c r="GW145" i="1"/>
  <c r="GW135" i="1"/>
  <c r="GW159" i="1"/>
  <c r="GW76" i="1"/>
  <c r="GW114" i="1"/>
  <c r="GW161" i="1"/>
  <c r="GW160" i="1"/>
  <c r="GW95" i="1"/>
  <c r="GW120" i="1"/>
  <c r="GW42" i="1"/>
  <c r="GW183" i="1"/>
  <c r="GW112" i="1"/>
  <c r="GW148" i="1"/>
  <c r="GW179" i="1"/>
  <c r="GW128" i="1"/>
  <c r="GW144" i="1"/>
  <c r="GW110" i="1"/>
  <c r="GW81" i="1"/>
  <c r="GW100" i="1"/>
  <c r="GW123" i="1"/>
  <c r="GW86" i="1"/>
  <c r="GW174" i="1"/>
  <c r="GW201" i="1"/>
  <c r="GW90" i="1"/>
  <c r="GW102" i="1"/>
  <c r="GW94" i="1"/>
  <c r="GW119" i="1"/>
  <c r="GW141" i="1"/>
  <c r="GW147" i="1"/>
  <c r="GW165" i="1"/>
  <c r="GW132" i="1"/>
  <c r="GW189" i="1"/>
  <c r="GW133" i="1"/>
  <c r="GW206" i="1"/>
  <c r="GW78" i="1"/>
  <c r="GW143" i="1"/>
  <c r="GW150" i="1"/>
  <c r="GW130" i="1"/>
  <c r="GW96" i="1"/>
  <c r="GW182" i="1"/>
  <c r="GW195" i="1"/>
  <c r="GW178" i="1"/>
  <c r="GW181" i="1"/>
  <c r="GW194" i="1"/>
  <c r="GW208" i="1"/>
  <c r="GW129" i="1"/>
  <c r="GW180" i="1"/>
  <c r="GW140" i="1"/>
  <c r="GW125" i="1"/>
  <c r="GW131" i="1"/>
  <c r="GW173" i="1"/>
  <c r="GW184" i="1"/>
  <c r="GW190" i="1"/>
  <c r="GW142" i="1"/>
  <c r="GW69" i="1"/>
  <c r="GW151" i="1"/>
  <c r="GW193" i="1"/>
  <c r="GW169" i="1"/>
  <c r="GW166" i="1"/>
  <c r="GW97" i="1"/>
  <c r="GW79" i="1"/>
  <c r="GW146" i="1"/>
  <c r="GW204" i="1"/>
  <c r="GW113" i="1"/>
  <c r="GW172" i="1"/>
  <c r="GW171" i="1"/>
  <c r="GW185" i="1"/>
  <c r="GW137" i="1"/>
  <c r="GW205" i="1"/>
  <c r="GW177" i="1"/>
  <c r="GW199" i="1"/>
  <c r="GW106" i="1"/>
  <c r="GW203" i="1"/>
  <c r="GW124" i="1"/>
  <c r="GW170" i="1"/>
  <c r="GW152" i="1"/>
  <c r="GW118" i="1"/>
  <c r="GW198" i="1"/>
  <c r="GW200" i="1"/>
  <c r="GW136" i="1"/>
  <c r="GW108" i="1"/>
  <c r="GW149" i="1"/>
  <c r="GW187" i="1"/>
  <c r="GW168" i="1"/>
  <c r="GW162" i="1"/>
  <c r="GW139" i="1"/>
  <c r="GW196" i="1"/>
  <c r="GW153" i="1"/>
  <c r="GW197" i="1"/>
  <c r="GW176" i="1"/>
  <c r="GW202" i="1"/>
  <c r="GW167" i="1"/>
  <c r="GW207" i="1"/>
  <c r="GW192" i="1"/>
  <c r="GV3" i="1"/>
  <c r="GV2" i="1"/>
  <c r="GV43" i="1"/>
  <c r="GV71" i="1"/>
  <c r="GV7" i="1"/>
  <c r="GV164" i="1"/>
  <c r="GV4" i="1"/>
  <c r="GV99" i="1"/>
  <c r="GV6" i="1"/>
  <c r="GV8" i="1"/>
  <c r="GV10" i="1"/>
  <c r="GV9" i="1"/>
  <c r="GV127" i="1"/>
  <c r="GV11" i="1"/>
  <c r="GV44" i="1"/>
  <c r="GV39" i="1"/>
  <c r="GV45" i="1"/>
  <c r="GV16" i="1"/>
  <c r="GV12" i="1"/>
  <c r="GV48" i="1"/>
  <c r="GV54" i="1"/>
  <c r="GV47" i="1"/>
  <c r="GV20" i="1"/>
  <c r="GV50" i="1"/>
  <c r="GV22" i="1"/>
  <c r="GV49" i="1"/>
  <c r="GV13" i="1"/>
  <c r="GV26" i="1"/>
  <c r="GV52" i="1"/>
  <c r="GV46" i="1"/>
  <c r="GV72" i="1"/>
  <c r="GV5" i="1"/>
  <c r="GV18" i="1"/>
  <c r="GV23" i="1"/>
  <c r="GV15" i="1"/>
  <c r="GV14" i="1"/>
  <c r="GV59" i="1"/>
  <c r="GV38" i="1"/>
  <c r="GV21" i="1"/>
  <c r="GV27" i="1"/>
  <c r="GV17" i="1"/>
  <c r="GV68" i="1"/>
  <c r="GV121" i="1"/>
  <c r="GV24" i="1"/>
  <c r="GV30" i="1"/>
  <c r="GV40" i="1"/>
  <c r="GV35" i="1"/>
  <c r="GV29" i="1"/>
  <c r="GV37" i="1"/>
  <c r="GV28" i="1"/>
  <c r="GV19" i="1"/>
  <c r="GV33" i="1"/>
  <c r="GV109" i="1"/>
  <c r="GV64" i="1"/>
  <c r="GV63" i="1"/>
  <c r="GV77" i="1"/>
  <c r="GV115" i="1"/>
  <c r="GV31" i="1"/>
  <c r="GV41" i="1"/>
  <c r="GV191" i="1"/>
  <c r="GV85" i="1"/>
  <c r="GV62" i="1"/>
  <c r="GV36" i="1"/>
  <c r="GV32" i="1"/>
  <c r="GV34" i="1"/>
  <c r="GV93" i="1"/>
  <c r="GV117" i="1"/>
  <c r="GV154" i="1"/>
  <c r="GV107" i="1"/>
  <c r="GV98" i="1"/>
  <c r="GV138" i="1"/>
  <c r="GV75" i="1"/>
  <c r="GV122" i="1"/>
  <c r="GV84" i="1"/>
  <c r="GV116" i="1"/>
  <c r="GV186" i="1"/>
  <c r="GV89" i="1"/>
  <c r="GV70" i="1"/>
  <c r="GV61" i="1"/>
  <c r="GV74" i="1"/>
  <c r="GV88" i="1"/>
  <c r="GV73" i="1"/>
  <c r="GV111" i="1"/>
  <c r="GV87" i="1"/>
  <c r="GV82" i="1"/>
  <c r="GV53" i="1"/>
  <c r="GV175" i="1"/>
  <c r="GV55" i="1"/>
  <c r="GV51" i="1"/>
  <c r="GV157" i="1"/>
  <c r="GV158" i="1"/>
  <c r="GV83" i="1"/>
  <c r="GV91" i="1"/>
  <c r="GV105" i="1"/>
  <c r="GV103" i="1"/>
  <c r="GV188" i="1"/>
  <c r="GV163" i="1"/>
  <c r="GV101" i="1"/>
  <c r="GV65" i="1"/>
  <c r="GV60" i="1"/>
  <c r="GV80" i="1"/>
  <c r="GV56" i="1"/>
  <c r="GV57" i="1"/>
  <c r="GV25" i="1"/>
  <c r="GV104" i="1"/>
  <c r="GV66" i="1"/>
  <c r="GV58" i="1"/>
  <c r="GV155" i="1"/>
  <c r="GV156" i="1"/>
  <c r="GV134" i="1"/>
  <c r="GV92" i="1"/>
  <c r="GV67" i="1"/>
  <c r="GV126" i="1"/>
  <c r="GV145" i="1"/>
  <c r="GV135" i="1"/>
  <c r="GV159" i="1"/>
  <c r="GV76" i="1"/>
  <c r="GV114" i="1"/>
  <c r="GV161" i="1"/>
  <c r="GV160" i="1"/>
  <c r="GV95" i="1"/>
  <c r="GV120" i="1"/>
  <c r="GV42" i="1"/>
  <c r="GV183" i="1"/>
  <c r="GV112" i="1"/>
  <c r="GV148" i="1"/>
  <c r="GV179" i="1"/>
  <c r="GV128" i="1"/>
  <c r="GV144" i="1"/>
  <c r="GV110" i="1"/>
  <c r="GV81" i="1"/>
  <c r="GV100" i="1"/>
  <c r="GV123" i="1"/>
  <c r="GV86" i="1"/>
  <c r="GV174" i="1"/>
  <c r="GV201" i="1"/>
  <c r="GV90" i="1"/>
  <c r="GV102" i="1"/>
  <c r="GV94" i="1"/>
  <c r="GV119" i="1"/>
  <c r="GV141" i="1"/>
  <c r="GV147" i="1"/>
  <c r="GV165" i="1"/>
  <c r="GV132" i="1"/>
  <c r="GV189" i="1"/>
  <c r="GV133" i="1"/>
  <c r="GV206" i="1"/>
  <c r="GV78" i="1"/>
  <c r="GV143" i="1"/>
  <c r="GV150" i="1"/>
  <c r="GV130" i="1"/>
  <c r="GV96" i="1"/>
  <c r="GV182" i="1"/>
  <c r="GV195" i="1"/>
  <c r="GV178" i="1"/>
  <c r="GV181" i="1"/>
  <c r="GV194" i="1"/>
  <c r="GV208" i="1"/>
  <c r="GV129" i="1"/>
  <c r="GV180" i="1"/>
  <c r="GV140" i="1"/>
  <c r="GV125" i="1"/>
  <c r="GV131" i="1"/>
  <c r="GV173" i="1"/>
  <c r="GV184" i="1"/>
  <c r="GV190" i="1"/>
  <c r="GV142" i="1"/>
  <c r="GV69" i="1"/>
  <c r="GV151" i="1"/>
  <c r="GV193" i="1"/>
  <c r="GV169" i="1"/>
  <c r="GV166" i="1"/>
  <c r="GV97" i="1"/>
  <c r="GV79" i="1"/>
  <c r="GV146" i="1"/>
  <c r="GV204" i="1"/>
  <c r="GV113" i="1"/>
  <c r="GV172" i="1"/>
  <c r="GV171" i="1"/>
  <c r="GV185" i="1"/>
  <c r="GV137" i="1"/>
  <c r="GV205" i="1"/>
  <c r="GV177" i="1"/>
  <c r="GV199" i="1"/>
  <c r="GV106" i="1"/>
  <c r="GV203" i="1"/>
  <c r="GV124" i="1"/>
  <c r="GV170" i="1"/>
  <c r="GV152" i="1"/>
  <c r="GV118" i="1"/>
  <c r="GV198" i="1"/>
  <c r="GV200" i="1"/>
  <c r="GV136" i="1"/>
  <c r="GV108" i="1"/>
  <c r="GV149" i="1"/>
  <c r="GV187" i="1"/>
  <c r="GV168" i="1"/>
  <c r="GV162" i="1"/>
  <c r="GV139" i="1"/>
  <c r="GV196" i="1"/>
  <c r="GV153" i="1"/>
  <c r="GV197" i="1"/>
  <c r="GV176" i="1"/>
  <c r="GV202" i="1"/>
  <c r="GV167" i="1"/>
  <c r="GV207" i="1"/>
  <c r="GV192" i="1"/>
  <c r="GU3" i="1"/>
  <c r="GU2" i="1"/>
  <c r="GU43" i="1"/>
  <c r="GU71" i="1"/>
  <c r="GU7" i="1"/>
  <c r="GU164" i="1"/>
  <c r="GU4" i="1"/>
  <c r="GU99" i="1"/>
  <c r="GU6" i="1"/>
  <c r="GU8" i="1"/>
  <c r="GU10" i="1"/>
  <c r="GU9" i="1"/>
  <c r="GU127" i="1"/>
  <c r="GU11" i="1"/>
  <c r="GU44" i="1"/>
  <c r="GU39" i="1"/>
  <c r="GU45" i="1"/>
  <c r="GU16" i="1"/>
  <c r="GU12" i="1"/>
  <c r="GU48" i="1"/>
  <c r="GU54" i="1"/>
  <c r="GU47" i="1"/>
  <c r="GU20" i="1"/>
  <c r="GU50" i="1"/>
  <c r="GU22" i="1"/>
  <c r="GU49" i="1"/>
  <c r="GU13" i="1"/>
  <c r="GU26" i="1"/>
  <c r="GU52" i="1"/>
  <c r="GU46" i="1"/>
  <c r="GU72" i="1"/>
  <c r="GU5" i="1"/>
  <c r="GU18" i="1"/>
  <c r="GU23" i="1"/>
  <c r="GU15" i="1"/>
  <c r="GU14" i="1"/>
  <c r="GU59" i="1"/>
  <c r="GU38" i="1"/>
  <c r="GU21" i="1"/>
  <c r="GU27" i="1"/>
  <c r="GU17" i="1"/>
  <c r="GU68" i="1"/>
  <c r="GU121" i="1"/>
  <c r="GU24" i="1"/>
  <c r="GU30" i="1"/>
  <c r="GU40" i="1"/>
  <c r="GU35" i="1"/>
  <c r="GU29" i="1"/>
  <c r="GU37" i="1"/>
  <c r="GU28" i="1"/>
  <c r="GU19" i="1"/>
  <c r="GU33" i="1"/>
  <c r="GU109" i="1"/>
  <c r="GU64" i="1"/>
  <c r="GU63" i="1"/>
  <c r="GU77" i="1"/>
  <c r="GU115" i="1"/>
  <c r="GU31" i="1"/>
  <c r="GU41" i="1"/>
  <c r="GU191" i="1"/>
  <c r="GU85" i="1"/>
  <c r="GU62" i="1"/>
  <c r="GU36" i="1"/>
  <c r="GU32" i="1"/>
  <c r="GU34" i="1"/>
  <c r="GU93" i="1"/>
  <c r="GU117" i="1"/>
  <c r="GU154" i="1"/>
  <c r="GU107" i="1"/>
  <c r="GU98" i="1"/>
  <c r="GU138" i="1"/>
  <c r="GU75" i="1"/>
  <c r="GU122" i="1"/>
  <c r="GU84" i="1"/>
  <c r="GU116" i="1"/>
  <c r="GU186" i="1"/>
  <c r="GU89" i="1"/>
  <c r="GU70" i="1"/>
  <c r="GU61" i="1"/>
  <c r="GU74" i="1"/>
  <c r="GU88" i="1"/>
  <c r="GU73" i="1"/>
  <c r="GU111" i="1"/>
  <c r="GU87" i="1"/>
  <c r="GU82" i="1"/>
  <c r="GU53" i="1"/>
  <c r="GU175" i="1"/>
  <c r="GU55" i="1"/>
  <c r="GU51" i="1"/>
  <c r="GU157" i="1"/>
  <c r="GU158" i="1"/>
  <c r="GU83" i="1"/>
  <c r="GU91" i="1"/>
  <c r="GU105" i="1"/>
  <c r="GU103" i="1"/>
  <c r="GU188" i="1"/>
  <c r="GU163" i="1"/>
  <c r="GU101" i="1"/>
  <c r="GU65" i="1"/>
  <c r="GU60" i="1"/>
  <c r="GU80" i="1"/>
  <c r="GU56" i="1"/>
  <c r="GU57" i="1"/>
  <c r="GU25" i="1"/>
  <c r="GU104" i="1"/>
  <c r="GU66" i="1"/>
  <c r="GU58" i="1"/>
  <c r="GU155" i="1"/>
  <c r="GU156" i="1"/>
  <c r="GU134" i="1"/>
  <c r="GU92" i="1"/>
  <c r="GU67" i="1"/>
  <c r="GU126" i="1"/>
  <c r="GU145" i="1"/>
  <c r="GU135" i="1"/>
  <c r="GU159" i="1"/>
  <c r="GU76" i="1"/>
  <c r="GU114" i="1"/>
  <c r="GU161" i="1"/>
  <c r="GU160" i="1"/>
  <c r="GU95" i="1"/>
  <c r="GU120" i="1"/>
  <c r="GU42" i="1"/>
  <c r="GU183" i="1"/>
  <c r="GU112" i="1"/>
  <c r="GU148" i="1"/>
  <c r="GU179" i="1"/>
  <c r="GU128" i="1"/>
  <c r="GU144" i="1"/>
  <c r="GU110" i="1"/>
  <c r="GU81" i="1"/>
  <c r="GU100" i="1"/>
  <c r="GU123" i="1"/>
  <c r="GU86" i="1"/>
  <c r="GU174" i="1"/>
  <c r="GU201" i="1"/>
  <c r="GU90" i="1"/>
  <c r="GU102" i="1"/>
  <c r="GU94" i="1"/>
  <c r="GU119" i="1"/>
  <c r="GU141" i="1"/>
  <c r="GU147" i="1"/>
  <c r="GU165" i="1"/>
  <c r="GU132" i="1"/>
  <c r="GU189" i="1"/>
  <c r="GU133" i="1"/>
  <c r="GU206" i="1"/>
  <c r="GU78" i="1"/>
  <c r="GU143" i="1"/>
  <c r="GU150" i="1"/>
  <c r="GU130" i="1"/>
  <c r="GU96" i="1"/>
  <c r="GU182" i="1"/>
  <c r="GU195" i="1"/>
  <c r="GU178" i="1"/>
  <c r="GU181" i="1"/>
  <c r="GU194" i="1"/>
  <c r="GU208" i="1"/>
  <c r="GU129" i="1"/>
  <c r="GU180" i="1"/>
  <c r="GU140" i="1"/>
  <c r="GU125" i="1"/>
  <c r="GU131" i="1"/>
  <c r="GU173" i="1"/>
  <c r="GU184" i="1"/>
  <c r="GU190" i="1"/>
  <c r="GU142" i="1"/>
  <c r="GU69" i="1"/>
  <c r="GU151" i="1"/>
  <c r="GU193" i="1"/>
  <c r="GU169" i="1"/>
  <c r="GU166" i="1"/>
  <c r="GU97" i="1"/>
  <c r="GU79" i="1"/>
  <c r="GU146" i="1"/>
  <c r="GU204" i="1"/>
  <c r="GU113" i="1"/>
  <c r="GU172" i="1"/>
  <c r="GU171" i="1"/>
  <c r="GU185" i="1"/>
  <c r="GU137" i="1"/>
  <c r="GU205" i="1"/>
  <c r="GU177" i="1"/>
  <c r="GU199" i="1"/>
  <c r="GU106" i="1"/>
  <c r="GU203" i="1"/>
  <c r="GU124" i="1"/>
  <c r="GU170" i="1"/>
  <c r="GU152" i="1"/>
  <c r="GU118" i="1"/>
  <c r="GU198" i="1"/>
  <c r="GU200" i="1"/>
  <c r="GU136" i="1"/>
  <c r="GU108" i="1"/>
  <c r="GU149" i="1"/>
  <c r="GU187" i="1"/>
  <c r="GU168" i="1"/>
  <c r="GU162" i="1"/>
  <c r="GU139" i="1"/>
  <c r="GU196" i="1"/>
  <c r="GU153" i="1"/>
  <c r="GU197" i="1"/>
  <c r="GU176" i="1"/>
  <c r="GU202" i="1"/>
  <c r="GU167" i="1"/>
  <c r="GU207" i="1"/>
  <c r="GU192" i="1"/>
  <c r="GT3" i="1"/>
  <c r="GT2" i="1"/>
  <c r="GT43" i="1"/>
  <c r="GT71" i="1"/>
  <c r="GT7" i="1"/>
  <c r="GT164" i="1"/>
  <c r="GT4" i="1"/>
  <c r="GT99" i="1"/>
  <c r="GT6" i="1"/>
  <c r="GT8" i="1"/>
  <c r="GT10" i="1"/>
  <c r="GT9" i="1"/>
  <c r="GT127" i="1"/>
  <c r="GT11" i="1"/>
  <c r="GT44" i="1"/>
  <c r="GT39" i="1"/>
  <c r="GT45" i="1"/>
  <c r="GT16" i="1"/>
  <c r="GT12" i="1"/>
  <c r="GT48" i="1"/>
  <c r="GT54" i="1"/>
  <c r="GT47" i="1"/>
  <c r="GT20" i="1"/>
  <c r="GT50" i="1"/>
  <c r="GT22" i="1"/>
  <c r="GT49" i="1"/>
  <c r="GT13" i="1"/>
  <c r="GT26" i="1"/>
  <c r="GT52" i="1"/>
  <c r="GT46" i="1"/>
  <c r="GT72" i="1"/>
  <c r="GT5" i="1"/>
  <c r="GT18" i="1"/>
  <c r="GT23" i="1"/>
  <c r="GT15" i="1"/>
  <c r="GT14" i="1"/>
  <c r="GT59" i="1"/>
  <c r="GT38" i="1"/>
  <c r="GT21" i="1"/>
  <c r="GT27" i="1"/>
  <c r="GT17" i="1"/>
  <c r="GT68" i="1"/>
  <c r="GT121" i="1"/>
  <c r="GT24" i="1"/>
  <c r="GT30" i="1"/>
  <c r="GT40" i="1"/>
  <c r="GT35" i="1"/>
  <c r="GT29" i="1"/>
  <c r="GT37" i="1"/>
  <c r="GT28" i="1"/>
  <c r="GT19" i="1"/>
  <c r="GT33" i="1"/>
  <c r="GT109" i="1"/>
  <c r="GT64" i="1"/>
  <c r="GT63" i="1"/>
  <c r="GT77" i="1"/>
  <c r="GT115" i="1"/>
  <c r="GT31" i="1"/>
  <c r="GT41" i="1"/>
  <c r="GT191" i="1"/>
  <c r="GT85" i="1"/>
  <c r="GT62" i="1"/>
  <c r="GT36" i="1"/>
  <c r="GT32" i="1"/>
  <c r="GT34" i="1"/>
  <c r="GT93" i="1"/>
  <c r="GT117" i="1"/>
  <c r="GT154" i="1"/>
  <c r="GT107" i="1"/>
  <c r="GT98" i="1"/>
  <c r="GT138" i="1"/>
  <c r="GT75" i="1"/>
  <c r="GT122" i="1"/>
  <c r="GT84" i="1"/>
  <c r="GT116" i="1"/>
  <c r="GT186" i="1"/>
  <c r="GT89" i="1"/>
  <c r="GT70" i="1"/>
  <c r="GT61" i="1"/>
  <c r="GT74" i="1"/>
  <c r="GT88" i="1"/>
  <c r="GT73" i="1"/>
  <c r="GT111" i="1"/>
  <c r="GT87" i="1"/>
  <c r="GT82" i="1"/>
  <c r="GT53" i="1"/>
  <c r="GT175" i="1"/>
  <c r="GT55" i="1"/>
  <c r="GT51" i="1"/>
  <c r="GT157" i="1"/>
  <c r="GT158" i="1"/>
  <c r="GT83" i="1"/>
  <c r="GT91" i="1"/>
  <c r="GT105" i="1"/>
  <c r="GT103" i="1"/>
  <c r="GT188" i="1"/>
  <c r="GT163" i="1"/>
  <c r="GT101" i="1"/>
  <c r="GT65" i="1"/>
  <c r="GT60" i="1"/>
  <c r="GT80" i="1"/>
  <c r="GT56" i="1"/>
  <c r="GT57" i="1"/>
  <c r="GT25" i="1"/>
  <c r="GT104" i="1"/>
  <c r="GT66" i="1"/>
  <c r="GT58" i="1"/>
  <c r="GT155" i="1"/>
  <c r="GT156" i="1"/>
  <c r="GT134" i="1"/>
  <c r="GT92" i="1"/>
  <c r="GT67" i="1"/>
  <c r="GT126" i="1"/>
  <c r="GT145" i="1"/>
  <c r="GT135" i="1"/>
  <c r="GT159" i="1"/>
  <c r="GT76" i="1"/>
  <c r="GT114" i="1"/>
  <c r="GT161" i="1"/>
  <c r="GT160" i="1"/>
  <c r="GT95" i="1"/>
  <c r="GT120" i="1"/>
  <c r="GT42" i="1"/>
  <c r="GT183" i="1"/>
  <c r="GT112" i="1"/>
  <c r="GT148" i="1"/>
  <c r="GT179" i="1"/>
  <c r="GT128" i="1"/>
  <c r="GT144" i="1"/>
  <c r="GT110" i="1"/>
  <c r="GT81" i="1"/>
  <c r="GT100" i="1"/>
  <c r="GT123" i="1"/>
  <c r="GT86" i="1"/>
  <c r="GT174" i="1"/>
  <c r="GT201" i="1"/>
  <c r="GT90" i="1"/>
  <c r="GT102" i="1"/>
  <c r="GT94" i="1"/>
  <c r="GT119" i="1"/>
  <c r="GT141" i="1"/>
  <c r="GT147" i="1"/>
  <c r="GT165" i="1"/>
  <c r="GT132" i="1"/>
  <c r="GT189" i="1"/>
  <c r="GT133" i="1"/>
  <c r="GT206" i="1"/>
  <c r="GT78" i="1"/>
  <c r="GT143" i="1"/>
  <c r="GT150" i="1"/>
  <c r="GT130" i="1"/>
  <c r="GT96" i="1"/>
  <c r="GT182" i="1"/>
  <c r="GT195" i="1"/>
  <c r="GT178" i="1"/>
  <c r="GT181" i="1"/>
  <c r="GT194" i="1"/>
  <c r="GT208" i="1"/>
  <c r="GT129" i="1"/>
  <c r="GT180" i="1"/>
  <c r="GT140" i="1"/>
  <c r="GT125" i="1"/>
  <c r="GT131" i="1"/>
  <c r="GT173" i="1"/>
  <c r="GT184" i="1"/>
  <c r="GT190" i="1"/>
  <c r="GT142" i="1"/>
  <c r="GT69" i="1"/>
  <c r="GT151" i="1"/>
  <c r="GT193" i="1"/>
  <c r="GT169" i="1"/>
  <c r="GT166" i="1"/>
  <c r="GT97" i="1"/>
  <c r="GT79" i="1"/>
  <c r="GT146" i="1"/>
  <c r="GT204" i="1"/>
  <c r="GT113" i="1"/>
  <c r="GT172" i="1"/>
  <c r="GT171" i="1"/>
  <c r="GT185" i="1"/>
  <c r="GT137" i="1"/>
  <c r="GT205" i="1"/>
  <c r="GT177" i="1"/>
  <c r="GT199" i="1"/>
  <c r="GT106" i="1"/>
  <c r="GT203" i="1"/>
  <c r="GT124" i="1"/>
  <c r="GT170" i="1"/>
  <c r="GT152" i="1"/>
  <c r="GT118" i="1"/>
  <c r="GT198" i="1"/>
  <c r="GT200" i="1"/>
  <c r="GT136" i="1"/>
  <c r="GT108" i="1"/>
  <c r="GT149" i="1"/>
  <c r="GT187" i="1"/>
  <c r="GT168" i="1"/>
  <c r="GT162" i="1"/>
  <c r="GT139" i="1"/>
  <c r="GT196" i="1"/>
  <c r="GT153" i="1"/>
  <c r="GT197" i="1"/>
  <c r="GT176" i="1"/>
  <c r="GT202" i="1"/>
  <c r="GT167" i="1"/>
  <c r="GT207" i="1"/>
  <c r="GT192" i="1"/>
  <c r="GS3" i="1"/>
  <c r="GS2" i="1"/>
  <c r="GS43" i="1"/>
  <c r="GS71" i="1"/>
  <c r="GS7" i="1"/>
  <c r="GS164" i="1"/>
  <c r="GS4" i="1"/>
  <c r="GS99" i="1"/>
  <c r="GS6" i="1"/>
  <c r="GS8" i="1"/>
  <c r="GS10" i="1"/>
  <c r="GS9" i="1"/>
  <c r="GS127" i="1"/>
  <c r="GS11" i="1"/>
  <c r="GS44" i="1"/>
  <c r="GS39" i="1"/>
  <c r="GS45" i="1"/>
  <c r="GS16" i="1"/>
  <c r="GS12" i="1"/>
  <c r="GS48" i="1"/>
  <c r="GS54" i="1"/>
  <c r="GS47" i="1"/>
  <c r="GS20" i="1"/>
  <c r="GS50" i="1"/>
  <c r="GS22" i="1"/>
  <c r="GS49" i="1"/>
  <c r="GS13" i="1"/>
  <c r="GS26" i="1"/>
  <c r="GS52" i="1"/>
  <c r="GS46" i="1"/>
  <c r="GS72" i="1"/>
  <c r="GS5" i="1"/>
  <c r="GS18" i="1"/>
  <c r="GS23" i="1"/>
  <c r="GS15" i="1"/>
  <c r="GS14" i="1"/>
  <c r="GS59" i="1"/>
  <c r="GS38" i="1"/>
  <c r="GS21" i="1"/>
  <c r="GS27" i="1"/>
  <c r="GS17" i="1"/>
  <c r="GS68" i="1"/>
  <c r="GS121" i="1"/>
  <c r="GS24" i="1"/>
  <c r="GS30" i="1"/>
  <c r="GS40" i="1"/>
  <c r="GS35" i="1"/>
  <c r="GS29" i="1"/>
  <c r="GS37" i="1"/>
  <c r="GS28" i="1"/>
  <c r="GS19" i="1"/>
  <c r="GS33" i="1"/>
  <c r="GS109" i="1"/>
  <c r="GS64" i="1"/>
  <c r="GS63" i="1"/>
  <c r="GS77" i="1"/>
  <c r="GS115" i="1"/>
  <c r="GS31" i="1"/>
  <c r="GS41" i="1"/>
  <c r="GS191" i="1"/>
  <c r="GS85" i="1"/>
  <c r="GS62" i="1"/>
  <c r="GS36" i="1"/>
  <c r="GS32" i="1"/>
  <c r="GS34" i="1"/>
  <c r="GS93" i="1"/>
  <c r="GS117" i="1"/>
  <c r="GS154" i="1"/>
  <c r="GS107" i="1"/>
  <c r="GS98" i="1"/>
  <c r="GS138" i="1"/>
  <c r="GS75" i="1"/>
  <c r="GS122" i="1"/>
  <c r="GS84" i="1"/>
  <c r="GS116" i="1"/>
  <c r="GS186" i="1"/>
  <c r="GS89" i="1"/>
  <c r="GS70" i="1"/>
  <c r="GS61" i="1"/>
  <c r="GS74" i="1"/>
  <c r="GS88" i="1"/>
  <c r="GS73" i="1"/>
  <c r="GS111" i="1"/>
  <c r="GS87" i="1"/>
  <c r="GS82" i="1"/>
  <c r="GS53" i="1"/>
  <c r="GS175" i="1"/>
  <c r="GS55" i="1"/>
  <c r="GS51" i="1"/>
  <c r="GS157" i="1"/>
  <c r="GS158" i="1"/>
  <c r="GS83" i="1"/>
  <c r="GS91" i="1"/>
  <c r="GS105" i="1"/>
  <c r="GS103" i="1"/>
  <c r="GS188" i="1"/>
  <c r="GS163" i="1"/>
  <c r="GS101" i="1"/>
  <c r="GS65" i="1"/>
  <c r="GS60" i="1"/>
  <c r="GS80" i="1"/>
  <c r="GS56" i="1"/>
  <c r="GS57" i="1"/>
  <c r="GS25" i="1"/>
  <c r="GS104" i="1"/>
  <c r="GS66" i="1"/>
  <c r="GS58" i="1"/>
  <c r="GS155" i="1"/>
  <c r="GS156" i="1"/>
  <c r="GS134" i="1"/>
  <c r="GS92" i="1"/>
  <c r="GS67" i="1"/>
  <c r="GS126" i="1"/>
  <c r="GS145" i="1"/>
  <c r="GS135" i="1"/>
  <c r="GS159" i="1"/>
  <c r="GS76" i="1"/>
  <c r="GS114" i="1"/>
  <c r="GS161" i="1"/>
  <c r="GS160" i="1"/>
  <c r="GS95" i="1"/>
  <c r="GS120" i="1"/>
  <c r="GS42" i="1"/>
  <c r="GS183" i="1"/>
  <c r="GS112" i="1"/>
  <c r="GS148" i="1"/>
  <c r="GS179" i="1"/>
  <c r="GS128" i="1"/>
  <c r="GS144" i="1"/>
  <c r="GS110" i="1"/>
  <c r="GS81" i="1"/>
  <c r="GS100" i="1"/>
  <c r="GS123" i="1"/>
  <c r="GS86" i="1"/>
  <c r="GS174" i="1"/>
  <c r="GS201" i="1"/>
  <c r="GS90" i="1"/>
  <c r="GS102" i="1"/>
  <c r="GS94" i="1"/>
  <c r="GS119" i="1"/>
  <c r="GS141" i="1"/>
  <c r="GS147" i="1"/>
  <c r="GS165" i="1"/>
  <c r="GS132" i="1"/>
  <c r="GS189" i="1"/>
  <c r="GS133" i="1"/>
  <c r="GS206" i="1"/>
  <c r="GS78" i="1"/>
  <c r="GS143" i="1"/>
  <c r="GS150" i="1"/>
  <c r="GS130" i="1"/>
  <c r="GS96" i="1"/>
  <c r="GS182" i="1"/>
  <c r="GS195" i="1"/>
  <c r="GS178" i="1"/>
  <c r="GS181" i="1"/>
  <c r="GS194" i="1"/>
  <c r="GS208" i="1"/>
  <c r="GS129" i="1"/>
  <c r="GS180" i="1"/>
  <c r="GS140" i="1"/>
  <c r="GS125" i="1"/>
  <c r="GS131" i="1"/>
  <c r="GS173" i="1"/>
  <c r="GS184" i="1"/>
  <c r="GS190" i="1"/>
  <c r="GS142" i="1"/>
  <c r="GS69" i="1"/>
  <c r="GS151" i="1"/>
  <c r="GS193" i="1"/>
  <c r="GS169" i="1"/>
  <c r="GS166" i="1"/>
  <c r="GS97" i="1"/>
  <c r="GS79" i="1"/>
  <c r="GS146" i="1"/>
  <c r="GS204" i="1"/>
  <c r="GS113" i="1"/>
  <c r="GS172" i="1"/>
  <c r="GS171" i="1"/>
  <c r="GS185" i="1"/>
  <c r="GS137" i="1"/>
  <c r="GS205" i="1"/>
  <c r="GS177" i="1"/>
  <c r="GS199" i="1"/>
  <c r="GS106" i="1"/>
  <c r="GS203" i="1"/>
  <c r="GS124" i="1"/>
  <c r="GS170" i="1"/>
  <c r="GS152" i="1"/>
  <c r="GS118" i="1"/>
  <c r="GS198" i="1"/>
  <c r="GS200" i="1"/>
  <c r="GS136" i="1"/>
  <c r="GS108" i="1"/>
  <c r="GS149" i="1"/>
  <c r="GS187" i="1"/>
  <c r="GS168" i="1"/>
  <c r="GS162" i="1"/>
  <c r="GS139" i="1"/>
  <c r="GS196" i="1"/>
  <c r="GS153" i="1"/>
  <c r="GS197" i="1"/>
  <c r="GS176" i="1"/>
  <c r="GS202" i="1"/>
  <c r="GS167" i="1"/>
  <c r="GS207" i="1"/>
  <c r="GS192" i="1"/>
  <c r="GR3" i="1"/>
  <c r="GR2" i="1"/>
  <c r="GR43" i="1"/>
  <c r="GR71" i="1"/>
  <c r="GR7" i="1"/>
  <c r="GR164" i="1"/>
  <c r="GR4" i="1"/>
  <c r="GR99" i="1"/>
  <c r="GR6" i="1"/>
  <c r="GR8" i="1"/>
  <c r="GR10" i="1"/>
  <c r="GR9" i="1"/>
  <c r="GR127" i="1"/>
  <c r="GR11" i="1"/>
  <c r="GR44" i="1"/>
  <c r="GR39" i="1"/>
  <c r="GR45" i="1"/>
  <c r="GR16" i="1"/>
  <c r="GR12" i="1"/>
  <c r="GR48" i="1"/>
  <c r="GR54" i="1"/>
  <c r="GR47" i="1"/>
  <c r="GR20" i="1"/>
  <c r="GR50" i="1"/>
  <c r="GR22" i="1"/>
  <c r="GR49" i="1"/>
  <c r="GR13" i="1"/>
  <c r="GR26" i="1"/>
  <c r="GR52" i="1"/>
  <c r="GR46" i="1"/>
  <c r="GR72" i="1"/>
  <c r="GR5" i="1"/>
  <c r="GR18" i="1"/>
  <c r="GR23" i="1"/>
  <c r="GR15" i="1"/>
  <c r="GR14" i="1"/>
  <c r="GR59" i="1"/>
  <c r="GR38" i="1"/>
  <c r="GR21" i="1"/>
  <c r="GR27" i="1"/>
  <c r="GR17" i="1"/>
  <c r="GR68" i="1"/>
  <c r="GR121" i="1"/>
  <c r="GR24" i="1"/>
  <c r="GR30" i="1"/>
  <c r="GR40" i="1"/>
  <c r="GR35" i="1"/>
  <c r="GR29" i="1"/>
  <c r="GR37" i="1"/>
  <c r="GR28" i="1"/>
  <c r="GR19" i="1"/>
  <c r="GR33" i="1"/>
  <c r="GR109" i="1"/>
  <c r="GR64" i="1"/>
  <c r="GR63" i="1"/>
  <c r="GR77" i="1"/>
  <c r="GR115" i="1"/>
  <c r="GR31" i="1"/>
  <c r="GR41" i="1"/>
  <c r="GR191" i="1"/>
  <c r="GR85" i="1"/>
  <c r="GR62" i="1"/>
  <c r="GR36" i="1"/>
  <c r="GR32" i="1"/>
  <c r="GR34" i="1"/>
  <c r="GR93" i="1"/>
  <c r="GR117" i="1"/>
  <c r="GR154" i="1"/>
  <c r="GR107" i="1"/>
  <c r="GR98" i="1"/>
  <c r="GR138" i="1"/>
  <c r="GR75" i="1"/>
  <c r="GR122" i="1"/>
  <c r="GR84" i="1"/>
  <c r="GR116" i="1"/>
  <c r="GR186" i="1"/>
  <c r="GR89" i="1"/>
  <c r="GR70" i="1"/>
  <c r="GR61" i="1"/>
  <c r="GR74" i="1"/>
  <c r="GR88" i="1"/>
  <c r="GR73" i="1"/>
  <c r="GR111" i="1"/>
  <c r="GR87" i="1"/>
  <c r="GR82" i="1"/>
  <c r="GR53" i="1"/>
  <c r="GR175" i="1"/>
  <c r="GR55" i="1"/>
  <c r="GR51" i="1"/>
  <c r="GR157" i="1"/>
  <c r="GR158" i="1"/>
  <c r="GR83" i="1"/>
  <c r="GR91" i="1"/>
  <c r="GR105" i="1"/>
  <c r="GR103" i="1"/>
  <c r="GR188" i="1"/>
  <c r="GR163" i="1"/>
  <c r="GR101" i="1"/>
  <c r="GR65" i="1"/>
  <c r="GR60" i="1"/>
  <c r="GR80" i="1"/>
  <c r="GR56" i="1"/>
  <c r="GR57" i="1"/>
  <c r="GR25" i="1"/>
  <c r="GR104" i="1"/>
  <c r="GR66" i="1"/>
  <c r="GR58" i="1"/>
  <c r="GR155" i="1"/>
  <c r="GR156" i="1"/>
  <c r="GR134" i="1"/>
  <c r="GR92" i="1"/>
  <c r="GR67" i="1"/>
  <c r="GR126" i="1"/>
  <c r="GR145" i="1"/>
  <c r="GR135" i="1"/>
  <c r="GR159" i="1"/>
  <c r="GR76" i="1"/>
  <c r="GR114" i="1"/>
  <c r="GR161" i="1"/>
  <c r="GR160" i="1"/>
  <c r="GR95" i="1"/>
  <c r="GR120" i="1"/>
  <c r="GR42" i="1"/>
  <c r="GR183" i="1"/>
  <c r="GR112" i="1"/>
  <c r="GR148" i="1"/>
  <c r="GR179" i="1"/>
  <c r="GR128" i="1"/>
  <c r="GR144" i="1"/>
  <c r="GR110" i="1"/>
  <c r="GR81" i="1"/>
  <c r="GR100" i="1"/>
  <c r="GR123" i="1"/>
  <c r="GR86" i="1"/>
  <c r="GR174" i="1"/>
  <c r="GR201" i="1"/>
  <c r="GR90" i="1"/>
  <c r="GR102" i="1"/>
  <c r="GR94" i="1"/>
  <c r="GR119" i="1"/>
  <c r="GR141" i="1"/>
  <c r="GR147" i="1"/>
  <c r="GR165" i="1"/>
  <c r="GR132" i="1"/>
  <c r="GR189" i="1"/>
  <c r="GR133" i="1"/>
  <c r="GR206" i="1"/>
  <c r="GR78" i="1"/>
  <c r="GR143" i="1"/>
  <c r="GR150" i="1"/>
  <c r="GR130" i="1"/>
  <c r="GR96" i="1"/>
  <c r="GR182" i="1"/>
  <c r="GR195" i="1"/>
  <c r="GR178" i="1"/>
  <c r="GR181" i="1"/>
  <c r="GR194" i="1"/>
  <c r="GR208" i="1"/>
  <c r="GR129" i="1"/>
  <c r="GR180" i="1"/>
  <c r="GR140" i="1"/>
  <c r="GR125" i="1"/>
  <c r="GR131" i="1"/>
  <c r="GR173" i="1"/>
  <c r="GR184" i="1"/>
  <c r="GR190" i="1"/>
  <c r="GR142" i="1"/>
  <c r="GR69" i="1"/>
  <c r="GR151" i="1"/>
  <c r="GR193" i="1"/>
  <c r="GR169" i="1"/>
  <c r="GR166" i="1"/>
  <c r="GR97" i="1"/>
  <c r="GR79" i="1"/>
  <c r="GR146" i="1"/>
  <c r="GR204" i="1"/>
  <c r="GR113" i="1"/>
  <c r="GR172" i="1"/>
  <c r="GR171" i="1"/>
  <c r="GR185" i="1"/>
  <c r="GR137" i="1"/>
  <c r="GR205" i="1"/>
  <c r="GR177" i="1"/>
  <c r="GR199" i="1"/>
  <c r="GR106" i="1"/>
  <c r="GR203" i="1"/>
  <c r="GR124" i="1"/>
  <c r="GR170" i="1"/>
  <c r="GR152" i="1"/>
  <c r="GR118" i="1"/>
  <c r="GR198" i="1"/>
  <c r="GR200" i="1"/>
  <c r="GR136" i="1"/>
  <c r="GR108" i="1"/>
  <c r="GR149" i="1"/>
  <c r="GR187" i="1"/>
  <c r="GR168" i="1"/>
  <c r="GR162" i="1"/>
  <c r="GR139" i="1"/>
  <c r="GR196" i="1"/>
  <c r="GR153" i="1"/>
  <c r="GR197" i="1"/>
  <c r="GR176" i="1"/>
  <c r="GR202" i="1"/>
  <c r="GR167" i="1"/>
  <c r="GR207" i="1"/>
  <c r="GR192" i="1"/>
  <c r="GQ3" i="1"/>
  <c r="GQ2" i="1"/>
  <c r="GQ43" i="1"/>
  <c r="GQ71" i="1"/>
  <c r="GQ7" i="1"/>
  <c r="GQ164" i="1"/>
  <c r="GQ4" i="1"/>
  <c r="GQ99" i="1"/>
  <c r="GQ6" i="1"/>
  <c r="GQ8" i="1"/>
  <c r="GQ10" i="1"/>
  <c r="GQ9" i="1"/>
  <c r="GQ127" i="1"/>
  <c r="GQ11" i="1"/>
  <c r="GQ44" i="1"/>
  <c r="GQ39" i="1"/>
  <c r="GQ45" i="1"/>
  <c r="GQ16" i="1"/>
  <c r="GQ12" i="1"/>
  <c r="GQ48" i="1"/>
  <c r="GQ54" i="1"/>
  <c r="GQ47" i="1"/>
  <c r="GQ20" i="1"/>
  <c r="GQ50" i="1"/>
  <c r="GQ22" i="1"/>
  <c r="GQ49" i="1"/>
  <c r="GQ13" i="1"/>
  <c r="GQ26" i="1"/>
  <c r="GQ52" i="1"/>
  <c r="GQ46" i="1"/>
  <c r="GQ72" i="1"/>
  <c r="GQ5" i="1"/>
  <c r="GQ18" i="1"/>
  <c r="GQ23" i="1"/>
  <c r="GQ15" i="1"/>
  <c r="GQ14" i="1"/>
  <c r="GQ59" i="1"/>
  <c r="GQ38" i="1"/>
  <c r="GQ21" i="1"/>
  <c r="GQ27" i="1"/>
  <c r="GQ17" i="1"/>
  <c r="GQ68" i="1"/>
  <c r="GQ121" i="1"/>
  <c r="GQ24" i="1"/>
  <c r="GQ30" i="1"/>
  <c r="GQ40" i="1"/>
  <c r="GQ35" i="1"/>
  <c r="GQ29" i="1"/>
  <c r="GQ37" i="1"/>
  <c r="GQ28" i="1"/>
  <c r="GQ19" i="1"/>
  <c r="GQ33" i="1"/>
  <c r="GQ109" i="1"/>
  <c r="GQ64" i="1"/>
  <c r="GQ63" i="1"/>
  <c r="GQ77" i="1"/>
  <c r="GQ115" i="1"/>
  <c r="GQ31" i="1"/>
  <c r="GQ41" i="1"/>
  <c r="GQ191" i="1"/>
  <c r="GQ85" i="1"/>
  <c r="GQ62" i="1"/>
  <c r="GQ36" i="1"/>
  <c r="GQ32" i="1"/>
  <c r="GQ34" i="1"/>
  <c r="GQ93" i="1"/>
  <c r="GQ117" i="1"/>
  <c r="GQ154" i="1"/>
  <c r="GQ107" i="1"/>
  <c r="GQ98" i="1"/>
  <c r="GQ138" i="1"/>
  <c r="GQ75" i="1"/>
  <c r="GQ122" i="1"/>
  <c r="GQ84" i="1"/>
  <c r="GQ116" i="1"/>
  <c r="GQ186" i="1"/>
  <c r="GQ89" i="1"/>
  <c r="GQ70" i="1"/>
  <c r="GQ61" i="1"/>
  <c r="GQ74" i="1"/>
  <c r="GQ88" i="1"/>
  <c r="GQ73" i="1"/>
  <c r="GQ111" i="1"/>
  <c r="GQ87" i="1"/>
  <c r="GQ82" i="1"/>
  <c r="GQ53" i="1"/>
  <c r="GQ175" i="1"/>
  <c r="GQ55" i="1"/>
  <c r="GQ51" i="1"/>
  <c r="GQ157" i="1"/>
  <c r="GQ158" i="1"/>
  <c r="GQ83" i="1"/>
  <c r="GQ91" i="1"/>
  <c r="GQ105" i="1"/>
  <c r="GQ103" i="1"/>
  <c r="GQ188" i="1"/>
  <c r="GQ163" i="1"/>
  <c r="GQ101" i="1"/>
  <c r="GQ65" i="1"/>
  <c r="GQ60" i="1"/>
  <c r="GQ80" i="1"/>
  <c r="GQ56" i="1"/>
  <c r="GQ57" i="1"/>
  <c r="GQ25" i="1"/>
  <c r="GQ104" i="1"/>
  <c r="GQ66" i="1"/>
  <c r="GQ58" i="1"/>
  <c r="GQ155" i="1"/>
  <c r="GQ156" i="1"/>
  <c r="GQ134" i="1"/>
  <c r="GQ92" i="1"/>
  <c r="GQ67" i="1"/>
  <c r="GQ126" i="1"/>
  <c r="GQ145" i="1"/>
  <c r="GQ135" i="1"/>
  <c r="GQ159" i="1"/>
  <c r="GQ76" i="1"/>
  <c r="GQ114" i="1"/>
  <c r="GQ161" i="1"/>
  <c r="GQ160" i="1"/>
  <c r="GQ95" i="1"/>
  <c r="GQ120" i="1"/>
  <c r="GQ42" i="1"/>
  <c r="GQ183" i="1"/>
  <c r="GQ112" i="1"/>
  <c r="GQ148" i="1"/>
  <c r="GQ179" i="1"/>
  <c r="GQ128" i="1"/>
  <c r="GQ144" i="1"/>
  <c r="GQ110" i="1"/>
  <c r="GQ81" i="1"/>
  <c r="GQ100" i="1"/>
  <c r="GQ123" i="1"/>
  <c r="GQ86" i="1"/>
  <c r="GQ174" i="1"/>
  <c r="GQ201" i="1"/>
  <c r="GQ90" i="1"/>
  <c r="GQ102" i="1"/>
  <c r="GQ94" i="1"/>
  <c r="GQ119" i="1"/>
  <c r="GQ141" i="1"/>
  <c r="GQ147" i="1"/>
  <c r="GQ165" i="1"/>
  <c r="GQ132" i="1"/>
  <c r="GQ189" i="1"/>
  <c r="GQ133" i="1"/>
  <c r="GQ206" i="1"/>
  <c r="GQ78" i="1"/>
  <c r="GQ143" i="1"/>
  <c r="GQ150" i="1"/>
  <c r="GQ130" i="1"/>
  <c r="GQ96" i="1"/>
  <c r="GQ182" i="1"/>
  <c r="GQ195" i="1"/>
  <c r="GQ178" i="1"/>
  <c r="GQ181" i="1"/>
  <c r="GQ194" i="1"/>
  <c r="GQ208" i="1"/>
  <c r="GQ129" i="1"/>
  <c r="GQ180" i="1"/>
  <c r="GQ140" i="1"/>
  <c r="GQ125" i="1"/>
  <c r="GQ131" i="1"/>
  <c r="GQ173" i="1"/>
  <c r="GQ184" i="1"/>
  <c r="GQ190" i="1"/>
  <c r="GQ142" i="1"/>
  <c r="GQ69" i="1"/>
  <c r="GQ151" i="1"/>
  <c r="GQ193" i="1"/>
  <c r="GQ169" i="1"/>
  <c r="GQ166" i="1"/>
  <c r="GQ97" i="1"/>
  <c r="GQ79" i="1"/>
  <c r="GQ146" i="1"/>
  <c r="GQ204" i="1"/>
  <c r="GQ113" i="1"/>
  <c r="GQ172" i="1"/>
  <c r="GQ171" i="1"/>
  <c r="GQ185" i="1"/>
  <c r="GQ137" i="1"/>
  <c r="GQ205" i="1"/>
  <c r="GQ177" i="1"/>
  <c r="GQ199" i="1"/>
  <c r="GQ106" i="1"/>
  <c r="GQ203" i="1"/>
  <c r="GQ124" i="1"/>
  <c r="GQ170" i="1"/>
  <c r="GQ152" i="1"/>
  <c r="GQ118" i="1"/>
  <c r="GQ198" i="1"/>
  <c r="GQ200" i="1"/>
  <c r="GQ136" i="1"/>
  <c r="GQ108" i="1"/>
  <c r="GQ149" i="1"/>
  <c r="GQ187" i="1"/>
  <c r="GQ168" i="1"/>
  <c r="GQ162" i="1"/>
  <c r="GQ139" i="1"/>
  <c r="GQ196" i="1"/>
  <c r="GQ153" i="1"/>
  <c r="GQ197" i="1"/>
  <c r="GQ176" i="1"/>
  <c r="GQ202" i="1"/>
  <c r="GQ167" i="1"/>
  <c r="GQ207" i="1"/>
  <c r="GQ192" i="1"/>
  <c r="GP3" i="1"/>
  <c r="GP2" i="1"/>
  <c r="GP43" i="1"/>
  <c r="GP71" i="1"/>
  <c r="GP7" i="1"/>
  <c r="GP164" i="1"/>
  <c r="GP4" i="1"/>
  <c r="GP99" i="1"/>
  <c r="GP6" i="1"/>
  <c r="GP8" i="1"/>
  <c r="GP10" i="1"/>
  <c r="GP9" i="1"/>
  <c r="GP127" i="1"/>
  <c r="GP11" i="1"/>
  <c r="GP44" i="1"/>
  <c r="GP39" i="1"/>
  <c r="GP45" i="1"/>
  <c r="GP16" i="1"/>
  <c r="GP12" i="1"/>
  <c r="GP48" i="1"/>
  <c r="GP54" i="1"/>
  <c r="GP47" i="1"/>
  <c r="GP20" i="1"/>
  <c r="GP50" i="1"/>
  <c r="GP22" i="1"/>
  <c r="GP49" i="1"/>
  <c r="GP13" i="1"/>
  <c r="GP26" i="1"/>
  <c r="GP52" i="1"/>
  <c r="GP46" i="1"/>
  <c r="GP72" i="1"/>
  <c r="GP5" i="1"/>
  <c r="GP18" i="1"/>
  <c r="GP23" i="1"/>
  <c r="GP15" i="1"/>
  <c r="GP14" i="1"/>
  <c r="GP59" i="1"/>
  <c r="GP38" i="1"/>
  <c r="GP21" i="1"/>
  <c r="GP27" i="1"/>
  <c r="GP17" i="1"/>
  <c r="GP68" i="1"/>
  <c r="GP121" i="1"/>
  <c r="GP24" i="1"/>
  <c r="GP30" i="1"/>
  <c r="GP40" i="1"/>
  <c r="GP35" i="1"/>
  <c r="GP29" i="1"/>
  <c r="GP37" i="1"/>
  <c r="GP28" i="1"/>
  <c r="GP19" i="1"/>
  <c r="GP33" i="1"/>
  <c r="GP109" i="1"/>
  <c r="GP64" i="1"/>
  <c r="GP63" i="1"/>
  <c r="GP77" i="1"/>
  <c r="GP115" i="1"/>
  <c r="GP31" i="1"/>
  <c r="GP41" i="1"/>
  <c r="GP191" i="1"/>
  <c r="GP85" i="1"/>
  <c r="GP62" i="1"/>
  <c r="GP36" i="1"/>
  <c r="GP32" i="1"/>
  <c r="GP34" i="1"/>
  <c r="GP93" i="1"/>
  <c r="GP117" i="1"/>
  <c r="GP154" i="1"/>
  <c r="GP107" i="1"/>
  <c r="GP98" i="1"/>
  <c r="GP138" i="1"/>
  <c r="GP75" i="1"/>
  <c r="GP122" i="1"/>
  <c r="GP84" i="1"/>
  <c r="GP116" i="1"/>
  <c r="GP186" i="1"/>
  <c r="GP89" i="1"/>
  <c r="GP70" i="1"/>
  <c r="GP61" i="1"/>
  <c r="GP74" i="1"/>
  <c r="GP88" i="1"/>
  <c r="GP73" i="1"/>
  <c r="GP111" i="1"/>
  <c r="GP87" i="1"/>
  <c r="GP82" i="1"/>
  <c r="GP53" i="1"/>
  <c r="GP175" i="1"/>
  <c r="GP55" i="1"/>
  <c r="GP51" i="1"/>
  <c r="GP157" i="1"/>
  <c r="GP158" i="1"/>
  <c r="GP83" i="1"/>
  <c r="GP91" i="1"/>
  <c r="GP105" i="1"/>
  <c r="GP103" i="1"/>
  <c r="GP188" i="1"/>
  <c r="GP163" i="1"/>
  <c r="GP101" i="1"/>
  <c r="GP65" i="1"/>
  <c r="GP60" i="1"/>
  <c r="GP80" i="1"/>
  <c r="GP56" i="1"/>
  <c r="GP57" i="1"/>
  <c r="GP25" i="1"/>
  <c r="GP104" i="1"/>
  <c r="GP66" i="1"/>
  <c r="GP58" i="1"/>
  <c r="GP155" i="1"/>
  <c r="GP156" i="1"/>
  <c r="GP134" i="1"/>
  <c r="GP92" i="1"/>
  <c r="GP67" i="1"/>
  <c r="GP126" i="1"/>
  <c r="GP145" i="1"/>
  <c r="GP135" i="1"/>
  <c r="GP159" i="1"/>
  <c r="GP76" i="1"/>
  <c r="GP114" i="1"/>
  <c r="GP161" i="1"/>
  <c r="GP160" i="1"/>
  <c r="GP95" i="1"/>
  <c r="GP120" i="1"/>
  <c r="GP42" i="1"/>
  <c r="GP183" i="1"/>
  <c r="GP112" i="1"/>
  <c r="GP148" i="1"/>
  <c r="GP179" i="1"/>
  <c r="GP128" i="1"/>
  <c r="GP144" i="1"/>
  <c r="GP110" i="1"/>
  <c r="GP81" i="1"/>
  <c r="GP100" i="1"/>
  <c r="GP123" i="1"/>
  <c r="GP86" i="1"/>
  <c r="GP174" i="1"/>
  <c r="GP201" i="1"/>
  <c r="GP90" i="1"/>
  <c r="GP102" i="1"/>
  <c r="GP94" i="1"/>
  <c r="GP119" i="1"/>
  <c r="GP141" i="1"/>
  <c r="GP147" i="1"/>
  <c r="GP165" i="1"/>
  <c r="GP132" i="1"/>
  <c r="GP189" i="1"/>
  <c r="GP133" i="1"/>
  <c r="GP206" i="1"/>
  <c r="GP78" i="1"/>
  <c r="GP143" i="1"/>
  <c r="GP150" i="1"/>
  <c r="GP130" i="1"/>
  <c r="GP96" i="1"/>
  <c r="GP182" i="1"/>
  <c r="GP195" i="1"/>
  <c r="GP178" i="1"/>
  <c r="GP181" i="1"/>
  <c r="GP194" i="1"/>
  <c r="GP208" i="1"/>
  <c r="GP129" i="1"/>
  <c r="GP180" i="1"/>
  <c r="GP140" i="1"/>
  <c r="GP125" i="1"/>
  <c r="GP131" i="1"/>
  <c r="GP173" i="1"/>
  <c r="GP184" i="1"/>
  <c r="GP190" i="1"/>
  <c r="GP142" i="1"/>
  <c r="GP69" i="1"/>
  <c r="GP151" i="1"/>
  <c r="GP193" i="1"/>
  <c r="GP169" i="1"/>
  <c r="GP166" i="1"/>
  <c r="GP97" i="1"/>
  <c r="GP79" i="1"/>
  <c r="GP146" i="1"/>
  <c r="GP204" i="1"/>
  <c r="GP113" i="1"/>
  <c r="GP172" i="1"/>
  <c r="GP171" i="1"/>
  <c r="GP185" i="1"/>
  <c r="GP137" i="1"/>
  <c r="GP205" i="1"/>
  <c r="GP177" i="1"/>
  <c r="GP199" i="1"/>
  <c r="GP106" i="1"/>
  <c r="GP203" i="1"/>
  <c r="GP124" i="1"/>
  <c r="GP170" i="1"/>
  <c r="GP152" i="1"/>
  <c r="GP118" i="1"/>
  <c r="GP198" i="1"/>
  <c r="GP200" i="1"/>
  <c r="GP136" i="1"/>
  <c r="GP108" i="1"/>
  <c r="GP149" i="1"/>
  <c r="GP187" i="1"/>
  <c r="GP168" i="1"/>
  <c r="GP162" i="1"/>
  <c r="GP139" i="1"/>
  <c r="GP196" i="1"/>
  <c r="GP153" i="1"/>
  <c r="GP197" i="1"/>
  <c r="GP176" i="1"/>
  <c r="GP202" i="1"/>
  <c r="GP167" i="1"/>
  <c r="GP207" i="1"/>
  <c r="GP192" i="1"/>
  <c r="GO3" i="1"/>
  <c r="GO2" i="1"/>
  <c r="GO43" i="1"/>
  <c r="GO71" i="1"/>
  <c r="GO7" i="1"/>
  <c r="GO164" i="1"/>
  <c r="GO4" i="1"/>
  <c r="GO99" i="1"/>
  <c r="GO6" i="1"/>
  <c r="GO8" i="1"/>
  <c r="GO10" i="1"/>
  <c r="GO9" i="1"/>
  <c r="GO127" i="1"/>
  <c r="GO11" i="1"/>
  <c r="GO44" i="1"/>
  <c r="GO39" i="1"/>
  <c r="GO45" i="1"/>
  <c r="GO16" i="1"/>
  <c r="GO12" i="1"/>
  <c r="GO48" i="1"/>
  <c r="GO54" i="1"/>
  <c r="GO47" i="1"/>
  <c r="GO20" i="1"/>
  <c r="GO50" i="1"/>
  <c r="GO22" i="1"/>
  <c r="GO49" i="1"/>
  <c r="GO13" i="1"/>
  <c r="GO26" i="1"/>
  <c r="GO52" i="1"/>
  <c r="GO46" i="1"/>
  <c r="GO72" i="1"/>
  <c r="GO5" i="1"/>
  <c r="GO18" i="1"/>
  <c r="GO23" i="1"/>
  <c r="GO15" i="1"/>
  <c r="GO14" i="1"/>
  <c r="GO59" i="1"/>
  <c r="GO38" i="1"/>
  <c r="GO21" i="1"/>
  <c r="GO27" i="1"/>
  <c r="GO17" i="1"/>
  <c r="GO68" i="1"/>
  <c r="GO121" i="1"/>
  <c r="GO24" i="1"/>
  <c r="GO30" i="1"/>
  <c r="GO40" i="1"/>
  <c r="GO35" i="1"/>
  <c r="GO29" i="1"/>
  <c r="GO37" i="1"/>
  <c r="GO28" i="1"/>
  <c r="GO19" i="1"/>
  <c r="GO33" i="1"/>
  <c r="GO109" i="1"/>
  <c r="GO64" i="1"/>
  <c r="GO63" i="1"/>
  <c r="GO77" i="1"/>
  <c r="GO115" i="1"/>
  <c r="GO31" i="1"/>
  <c r="GO41" i="1"/>
  <c r="GO191" i="1"/>
  <c r="GO85" i="1"/>
  <c r="GO62" i="1"/>
  <c r="GO36" i="1"/>
  <c r="GO32" i="1"/>
  <c r="GO34" i="1"/>
  <c r="GO93" i="1"/>
  <c r="GO117" i="1"/>
  <c r="GO154" i="1"/>
  <c r="GO107" i="1"/>
  <c r="GO98" i="1"/>
  <c r="GO138" i="1"/>
  <c r="GO75" i="1"/>
  <c r="GO122" i="1"/>
  <c r="GO84" i="1"/>
  <c r="GO116" i="1"/>
  <c r="GO186" i="1"/>
  <c r="GO89" i="1"/>
  <c r="GO70" i="1"/>
  <c r="GO61" i="1"/>
  <c r="GO74" i="1"/>
  <c r="GO88" i="1"/>
  <c r="GO73" i="1"/>
  <c r="GO111" i="1"/>
  <c r="GO87" i="1"/>
  <c r="GO82" i="1"/>
  <c r="GO53" i="1"/>
  <c r="GO175" i="1"/>
  <c r="GO55" i="1"/>
  <c r="GO51" i="1"/>
  <c r="GO157" i="1"/>
  <c r="GO158" i="1"/>
  <c r="GO83" i="1"/>
  <c r="GO91" i="1"/>
  <c r="GO105" i="1"/>
  <c r="GO103" i="1"/>
  <c r="GO188" i="1"/>
  <c r="GO163" i="1"/>
  <c r="GO101" i="1"/>
  <c r="GO65" i="1"/>
  <c r="GO60" i="1"/>
  <c r="GO80" i="1"/>
  <c r="GO56" i="1"/>
  <c r="GO57" i="1"/>
  <c r="GO25" i="1"/>
  <c r="GO104" i="1"/>
  <c r="GO66" i="1"/>
  <c r="GO58" i="1"/>
  <c r="GO155" i="1"/>
  <c r="GO156" i="1"/>
  <c r="GO134" i="1"/>
  <c r="GO92" i="1"/>
  <c r="GO67" i="1"/>
  <c r="GO126" i="1"/>
  <c r="GO145" i="1"/>
  <c r="GO135" i="1"/>
  <c r="GO159" i="1"/>
  <c r="GO76" i="1"/>
  <c r="GO114" i="1"/>
  <c r="GO161" i="1"/>
  <c r="GO160" i="1"/>
  <c r="GO95" i="1"/>
  <c r="GO120" i="1"/>
  <c r="GO42" i="1"/>
  <c r="GO183" i="1"/>
  <c r="GO112" i="1"/>
  <c r="GO148" i="1"/>
  <c r="GO179" i="1"/>
  <c r="GO128" i="1"/>
  <c r="GO144" i="1"/>
  <c r="GO110" i="1"/>
  <c r="GO81" i="1"/>
  <c r="GO100" i="1"/>
  <c r="GO123" i="1"/>
  <c r="GO86" i="1"/>
  <c r="GO174" i="1"/>
  <c r="GO201" i="1"/>
  <c r="GO90" i="1"/>
  <c r="GO102" i="1"/>
  <c r="GO94" i="1"/>
  <c r="GO119" i="1"/>
  <c r="GO141" i="1"/>
  <c r="GO147" i="1"/>
  <c r="GO165" i="1"/>
  <c r="GO132" i="1"/>
  <c r="GO189" i="1"/>
  <c r="GO133" i="1"/>
  <c r="GO206" i="1"/>
  <c r="GO78" i="1"/>
  <c r="GO143" i="1"/>
  <c r="GO150" i="1"/>
  <c r="GO130" i="1"/>
  <c r="GO96" i="1"/>
  <c r="GO182" i="1"/>
  <c r="GO195" i="1"/>
  <c r="GO178" i="1"/>
  <c r="GO181" i="1"/>
  <c r="GO194" i="1"/>
  <c r="GO208" i="1"/>
  <c r="GO129" i="1"/>
  <c r="GO180" i="1"/>
  <c r="GO140" i="1"/>
  <c r="GO125" i="1"/>
  <c r="GO131" i="1"/>
  <c r="GO173" i="1"/>
  <c r="GO184" i="1"/>
  <c r="GO190" i="1"/>
  <c r="GO142" i="1"/>
  <c r="GO69" i="1"/>
  <c r="GO151" i="1"/>
  <c r="GO193" i="1"/>
  <c r="GO169" i="1"/>
  <c r="GO166" i="1"/>
  <c r="GO97" i="1"/>
  <c r="GO79" i="1"/>
  <c r="GO146" i="1"/>
  <c r="GO204" i="1"/>
  <c r="GO113" i="1"/>
  <c r="GO172" i="1"/>
  <c r="GO171" i="1"/>
  <c r="GO185" i="1"/>
  <c r="GO137" i="1"/>
  <c r="GO205" i="1"/>
  <c r="GO177" i="1"/>
  <c r="GO199" i="1"/>
  <c r="GO106" i="1"/>
  <c r="GO203" i="1"/>
  <c r="GO124" i="1"/>
  <c r="GO170" i="1"/>
  <c r="GO152" i="1"/>
  <c r="GO118" i="1"/>
  <c r="GO198" i="1"/>
  <c r="GO200" i="1"/>
  <c r="GO136" i="1"/>
  <c r="GO108" i="1"/>
  <c r="GO149" i="1"/>
  <c r="GO187" i="1"/>
  <c r="GO168" i="1"/>
  <c r="GO162" i="1"/>
  <c r="GO139" i="1"/>
  <c r="GO196" i="1"/>
  <c r="GO153" i="1"/>
  <c r="GO197" i="1"/>
  <c r="GO176" i="1"/>
  <c r="GO202" i="1"/>
  <c r="GO167" i="1"/>
  <c r="GO207" i="1"/>
  <c r="GO192" i="1"/>
  <c r="GN3" i="1"/>
  <c r="GN2" i="1"/>
  <c r="GN43" i="1"/>
  <c r="GN71" i="1"/>
  <c r="GN7" i="1"/>
  <c r="GN164" i="1"/>
  <c r="GN4" i="1"/>
  <c r="GN99" i="1"/>
  <c r="GN6" i="1"/>
  <c r="GN8" i="1"/>
  <c r="GN10" i="1"/>
  <c r="GN9" i="1"/>
  <c r="GN127" i="1"/>
  <c r="GN11" i="1"/>
  <c r="GN44" i="1"/>
  <c r="GN39" i="1"/>
  <c r="GN45" i="1"/>
  <c r="GN16" i="1"/>
  <c r="GN12" i="1"/>
  <c r="GN48" i="1"/>
  <c r="GN54" i="1"/>
  <c r="GN47" i="1"/>
  <c r="GN20" i="1"/>
  <c r="GN50" i="1"/>
  <c r="GN22" i="1"/>
  <c r="GN49" i="1"/>
  <c r="GN13" i="1"/>
  <c r="GN26" i="1"/>
  <c r="GN52" i="1"/>
  <c r="GN46" i="1"/>
  <c r="GN72" i="1"/>
  <c r="GN5" i="1"/>
  <c r="GN18" i="1"/>
  <c r="GN23" i="1"/>
  <c r="GN15" i="1"/>
  <c r="GN14" i="1"/>
  <c r="GN59" i="1"/>
  <c r="GN38" i="1"/>
  <c r="GN21" i="1"/>
  <c r="GN27" i="1"/>
  <c r="GN17" i="1"/>
  <c r="GN68" i="1"/>
  <c r="GN121" i="1"/>
  <c r="GN24" i="1"/>
  <c r="GN30" i="1"/>
  <c r="GN40" i="1"/>
  <c r="GN35" i="1"/>
  <c r="GN29" i="1"/>
  <c r="GN37" i="1"/>
  <c r="GN28" i="1"/>
  <c r="GN19" i="1"/>
  <c r="GN33" i="1"/>
  <c r="GN109" i="1"/>
  <c r="GN64" i="1"/>
  <c r="GN63" i="1"/>
  <c r="GN77" i="1"/>
  <c r="GN115" i="1"/>
  <c r="GN31" i="1"/>
  <c r="GN41" i="1"/>
  <c r="GN191" i="1"/>
  <c r="GN85" i="1"/>
  <c r="GN62" i="1"/>
  <c r="GN36" i="1"/>
  <c r="GN32" i="1"/>
  <c r="GN34" i="1"/>
  <c r="GN93" i="1"/>
  <c r="GN117" i="1"/>
  <c r="GN154" i="1"/>
  <c r="GN107" i="1"/>
  <c r="GN98" i="1"/>
  <c r="GN138" i="1"/>
  <c r="GN75" i="1"/>
  <c r="GN122" i="1"/>
  <c r="GN84" i="1"/>
  <c r="GN116" i="1"/>
  <c r="GN186" i="1"/>
  <c r="GN89" i="1"/>
  <c r="GN70" i="1"/>
  <c r="GN61" i="1"/>
  <c r="GN74" i="1"/>
  <c r="GN88" i="1"/>
  <c r="GN73" i="1"/>
  <c r="GN111" i="1"/>
  <c r="GN87" i="1"/>
  <c r="GN82" i="1"/>
  <c r="GN53" i="1"/>
  <c r="GN175" i="1"/>
  <c r="GN55" i="1"/>
  <c r="GN51" i="1"/>
  <c r="GN157" i="1"/>
  <c r="GN158" i="1"/>
  <c r="GN83" i="1"/>
  <c r="GN91" i="1"/>
  <c r="GN105" i="1"/>
  <c r="GN103" i="1"/>
  <c r="GN188" i="1"/>
  <c r="GN163" i="1"/>
  <c r="GN101" i="1"/>
  <c r="GN65" i="1"/>
  <c r="GN60" i="1"/>
  <c r="GN80" i="1"/>
  <c r="GN56" i="1"/>
  <c r="GN57" i="1"/>
  <c r="GN25" i="1"/>
  <c r="GN104" i="1"/>
  <c r="GN66" i="1"/>
  <c r="GN58" i="1"/>
  <c r="GN155" i="1"/>
  <c r="GN156" i="1"/>
  <c r="GN134" i="1"/>
  <c r="GN92" i="1"/>
  <c r="GN67" i="1"/>
  <c r="GN126" i="1"/>
  <c r="GN145" i="1"/>
  <c r="GN135" i="1"/>
  <c r="GN159" i="1"/>
  <c r="GN76" i="1"/>
  <c r="GN114" i="1"/>
  <c r="GN161" i="1"/>
  <c r="GN160" i="1"/>
  <c r="GN95" i="1"/>
  <c r="GN120" i="1"/>
  <c r="GN42" i="1"/>
  <c r="GN183" i="1"/>
  <c r="GN112" i="1"/>
  <c r="GN148" i="1"/>
  <c r="GN179" i="1"/>
  <c r="GN128" i="1"/>
  <c r="GN144" i="1"/>
  <c r="GN110" i="1"/>
  <c r="GN81" i="1"/>
  <c r="GN100" i="1"/>
  <c r="GN123" i="1"/>
  <c r="GN86" i="1"/>
  <c r="GN174" i="1"/>
  <c r="GN201" i="1"/>
  <c r="GN90" i="1"/>
  <c r="GN102" i="1"/>
  <c r="GN94" i="1"/>
  <c r="GN119" i="1"/>
  <c r="GN141" i="1"/>
  <c r="GN147" i="1"/>
  <c r="GN165" i="1"/>
  <c r="GN132" i="1"/>
  <c r="GN189" i="1"/>
  <c r="GN133" i="1"/>
  <c r="GN206" i="1"/>
  <c r="GN78" i="1"/>
  <c r="GN143" i="1"/>
  <c r="GN150" i="1"/>
  <c r="GN130" i="1"/>
  <c r="GN96" i="1"/>
  <c r="GN182" i="1"/>
  <c r="GN195" i="1"/>
  <c r="GN178" i="1"/>
  <c r="GN181" i="1"/>
  <c r="GN194" i="1"/>
  <c r="GN208" i="1"/>
  <c r="GN129" i="1"/>
  <c r="GN180" i="1"/>
  <c r="GN140" i="1"/>
  <c r="GN125" i="1"/>
  <c r="GN131" i="1"/>
  <c r="GN173" i="1"/>
  <c r="GN184" i="1"/>
  <c r="GN190" i="1"/>
  <c r="GN142" i="1"/>
  <c r="GN69" i="1"/>
  <c r="GN151" i="1"/>
  <c r="GN193" i="1"/>
  <c r="GN169" i="1"/>
  <c r="GN166" i="1"/>
  <c r="GN97" i="1"/>
  <c r="GN79" i="1"/>
  <c r="GN146" i="1"/>
  <c r="GN204" i="1"/>
  <c r="GN113" i="1"/>
  <c r="GN172" i="1"/>
  <c r="GN171" i="1"/>
  <c r="GN185" i="1"/>
  <c r="GN137" i="1"/>
  <c r="GN205" i="1"/>
  <c r="GN177" i="1"/>
  <c r="GN199" i="1"/>
  <c r="GN106" i="1"/>
  <c r="GN203" i="1"/>
  <c r="GN124" i="1"/>
  <c r="GN170" i="1"/>
  <c r="GN152" i="1"/>
  <c r="GN118" i="1"/>
  <c r="GN198" i="1"/>
  <c r="GN200" i="1"/>
  <c r="GN136" i="1"/>
  <c r="GN108" i="1"/>
  <c r="GN149" i="1"/>
  <c r="GN187" i="1"/>
  <c r="GN168" i="1"/>
  <c r="GN162" i="1"/>
  <c r="GN139" i="1"/>
  <c r="GN196" i="1"/>
  <c r="GN153" i="1"/>
  <c r="GN197" i="1"/>
  <c r="GN176" i="1"/>
  <c r="GN202" i="1"/>
  <c r="GN167" i="1"/>
  <c r="GN207" i="1"/>
  <c r="GN192" i="1"/>
  <c r="GM3" i="1"/>
  <c r="GM2" i="1"/>
  <c r="GM43" i="1"/>
  <c r="GM71" i="1"/>
  <c r="GM7" i="1"/>
  <c r="GM164" i="1"/>
  <c r="GM4" i="1"/>
  <c r="GM99" i="1"/>
  <c r="GM6" i="1"/>
  <c r="GM8" i="1"/>
  <c r="GM10" i="1"/>
  <c r="GM9" i="1"/>
  <c r="GM127" i="1"/>
  <c r="GM11" i="1"/>
  <c r="GM44" i="1"/>
  <c r="GM39" i="1"/>
  <c r="GM45" i="1"/>
  <c r="GM16" i="1"/>
  <c r="GM12" i="1"/>
  <c r="GM48" i="1"/>
  <c r="GM54" i="1"/>
  <c r="GM47" i="1"/>
  <c r="GM20" i="1"/>
  <c r="GM50" i="1"/>
  <c r="GM22" i="1"/>
  <c r="GM49" i="1"/>
  <c r="GM13" i="1"/>
  <c r="GM26" i="1"/>
  <c r="GM52" i="1"/>
  <c r="GM46" i="1"/>
  <c r="GM72" i="1"/>
  <c r="GM5" i="1"/>
  <c r="GM18" i="1"/>
  <c r="GM23" i="1"/>
  <c r="GM15" i="1"/>
  <c r="GM14" i="1"/>
  <c r="GM59" i="1"/>
  <c r="GM38" i="1"/>
  <c r="GM21" i="1"/>
  <c r="GM27" i="1"/>
  <c r="GM17" i="1"/>
  <c r="GM68" i="1"/>
  <c r="GM121" i="1"/>
  <c r="GM24" i="1"/>
  <c r="GM30" i="1"/>
  <c r="GM40" i="1"/>
  <c r="GM35" i="1"/>
  <c r="GM29" i="1"/>
  <c r="GM37" i="1"/>
  <c r="GM28" i="1"/>
  <c r="GM19" i="1"/>
  <c r="GM33" i="1"/>
  <c r="GM109" i="1"/>
  <c r="GM64" i="1"/>
  <c r="GM63" i="1"/>
  <c r="GM77" i="1"/>
  <c r="GM115" i="1"/>
  <c r="GM31" i="1"/>
  <c r="GM41" i="1"/>
  <c r="GM191" i="1"/>
  <c r="GM85" i="1"/>
  <c r="GM62" i="1"/>
  <c r="GM36" i="1"/>
  <c r="GM32" i="1"/>
  <c r="GM34" i="1"/>
  <c r="GM93" i="1"/>
  <c r="GM117" i="1"/>
  <c r="GM154" i="1"/>
  <c r="GM107" i="1"/>
  <c r="GM98" i="1"/>
  <c r="GM138" i="1"/>
  <c r="GM75" i="1"/>
  <c r="GM122" i="1"/>
  <c r="GM84" i="1"/>
  <c r="GM116" i="1"/>
  <c r="GM186" i="1"/>
  <c r="GM89" i="1"/>
  <c r="GM70" i="1"/>
  <c r="GM61" i="1"/>
  <c r="GM74" i="1"/>
  <c r="GM88" i="1"/>
  <c r="GM73" i="1"/>
  <c r="GM111" i="1"/>
  <c r="GM87" i="1"/>
  <c r="GM82" i="1"/>
  <c r="GM53" i="1"/>
  <c r="GM175" i="1"/>
  <c r="GM55" i="1"/>
  <c r="GM51" i="1"/>
  <c r="GM157" i="1"/>
  <c r="GM158" i="1"/>
  <c r="GM83" i="1"/>
  <c r="GM91" i="1"/>
  <c r="GM105" i="1"/>
  <c r="GM103" i="1"/>
  <c r="GM188" i="1"/>
  <c r="GM163" i="1"/>
  <c r="GM101" i="1"/>
  <c r="GM65" i="1"/>
  <c r="GM60" i="1"/>
  <c r="GM80" i="1"/>
  <c r="GM56" i="1"/>
  <c r="GM57" i="1"/>
  <c r="GM25" i="1"/>
  <c r="GM104" i="1"/>
  <c r="GM66" i="1"/>
  <c r="GM58" i="1"/>
  <c r="GM155" i="1"/>
  <c r="GM156" i="1"/>
  <c r="GM134" i="1"/>
  <c r="GM92" i="1"/>
  <c r="GM67" i="1"/>
  <c r="GM126" i="1"/>
  <c r="GM145" i="1"/>
  <c r="GM135" i="1"/>
  <c r="GM159" i="1"/>
  <c r="GM76" i="1"/>
  <c r="GM114" i="1"/>
  <c r="GM161" i="1"/>
  <c r="GM160" i="1"/>
  <c r="GM95" i="1"/>
  <c r="GM120" i="1"/>
  <c r="GM42" i="1"/>
  <c r="GM183" i="1"/>
  <c r="GM112" i="1"/>
  <c r="GM148" i="1"/>
  <c r="GM179" i="1"/>
  <c r="GM128" i="1"/>
  <c r="GM144" i="1"/>
  <c r="GM110" i="1"/>
  <c r="GM81" i="1"/>
  <c r="GM100" i="1"/>
  <c r="GM123" i="1"/>
  <c r="GM86" i="1"/>
  <c r="GM174" i="1"/>
  <c r="GM201" i="1"/>
  <c r="GM90" i="1"/>
  <c r="GM102" i="1"/>
  <c r="GM94" i="1"/>
  <c r="GM119" i="1"/>
  <c r="GM141" i="1"/>
  <c r="GM147" i="1"/>
  <c r="GM165" i="1"/>
  <c r="GM132" i="1"/>
  <c r="GM189" i="1"/>
  <c r="GM133" i="1"/>
  <c r="GM206" i="1"/>
  <c r="GM78" i="1"/>
  <c r="GM143" i="1"/>
  <c r="GM150" i="1"/>
  <c r="GM130" i="1"/>
  <c r="GM96" i="1"/>
  <c r="GM182" i="1"/>
  <c r="GM195" i="1"/>
  <c r="GM178" i="1"/>
  <c r="GM181" i="1"/>
  <c r="GM194" i="1"/>
  <c r="GM208" i="1"/>
  <c r="GM129" i="1"/>
  <c r="GM180" i="1"/>
  <c r="GM140" i="1"/>
  <c r="GM125" i="1"/>
  <c r="GM131" i="1"/>
  <c r="GM173" i="1"/>
  <c r="GM184" i="1"/>
  <c r="GM190" i="1"/>
  <c r="GM142" i="1"/>
  <c r="GM69" i="1"/>
  <c r="GM151" i="1"/>
  <c r="GM193" i="1"/>
  <c r="GM169" i="1"/>
  <c r="GM166" i="1"/>
  <c r="GM97" i="1"/>
  <c r="GM79" i="1"/>
  <c r="GM146" i="1"/>
  <c r="GM204" i="1"/>
  <c r="GM113" i="1"/>
  <c r="GM172" i="1"/>
  <c r="GM171" i="1"/>
  <c r="GM185" i="1"/>
  <c r="GM137" i="1"/>
  <c r="GM205" i="1"/>
  <c r="GM177" i="1"/>
  <c r="GM199" i="1"/>
  <c r="GM106" i="1"/>
  <c r="GM203" i="1"/>
  <c r="GM124" i="1"/>
  <c r="GM170" i="1"/>
  <c r="GM152" i="1"/>
  <c r="GM118" i="1"/>
  <c r="GM198" i="1"/>
  <c r="GM200" i="1"/>
  <c r="GM136" i="1"/>
  <c r="GM108" i="1"/>
  <c r="GM149" i="1"/>
  <c r="GM187" i="1"/>
  <c r="GM168" i="1"/>
  <c r="GM162" i="1"/>
  <c r="GM139" i="1"/>
  <c r="GM196" i="1"/>
  <c r="GM153" i="1"/>
  <c r="GM197" i="1"/>
  <c r="GM176" i="1"/>
  <c r="GM202" i="1"/>
  <c r="GM167" i="1"/>
  <c r="GM207" i="1"/>
  <c r="GM192" i="1"/>
  <c r="GH3" i="1"/>
  <c r="GH2" i="1"/>
  <c r="GH43" i="1"/>
  <c r="GH71" i="1"/>
  <c r="GH7" i="1"/>
  <c r="GH164" i="1"/>
  <c r="GH4" i="1"/>
  <c r="GH99" i="1"/>
  <c r="GH6" i="1"/>
  <c r="GH8" i="1"/>
  <c r="GH10" i="1"/>
  <c r="GH9" i="1"/>
  <c r="GH127" i="1"/>
  <c r="GH11" i="1"/>
  <c r="GH44" i="1"/>
  <c r="GH39" i="1"/>
  <c r="GH45" i="1"/>
  <c r="GH16" i="1"/>
  <c r="GH12" i="1"/>
  <c r="GH48" i="1"/>
  <c r="GH54" i="1"/>
  <c r="GH47" i="1"/>
  <c r="GH20" i="1"/>
  <c r="GH50" i="1"/>
  <c r="GH22" i="1"/>
  <c r="GH49" i="1"/>
  <c r="GH13" i="1"/>
  <c r="GH26" i="1"/>
  <c r="GH52" i="1"/>
  <c r="GH46" i="1"/>
  <c r="GH72" i="1"/>
  <c r="GH5" i="1"/>
  <c r="GH18" i="1"/>
  <c r="GH23" i="1"/>
  <c r="GH15" i="1"/>
  <c r="GH14" i="1"/>
  <c r="GH59" i="1"/>
  <c r="GH38" i="1"/>
  <c r="GH21" i="1"/>
  <c r="GH27" i="1"/>
  <c r="GH17" i="1"/>
  <c r="GH68" i="1"/>
  <c r="GH121" i="1"/>
  <c r="GH24" i="1"/>
  <c r="GH30" i="1"/>
  <c r="GH40" i="1"/>
  <c r="GH35" i="1"/>
  <c r="GH29" i="1"/>
  <c r="GH37" i="1"/>
  <c r="GH28" i="1"/>
  <c r="GH19" i="1"/>
  <c r="GH33" i="1"/>
  <c r="GH109" i="1"/>
  <c r="GH64" i="1"/>
  <c r="GH63" i="1"/>
  <c r="GH77" i="1"/>
  <c r="GH115" i="1"/>
  <c r="GH31" i="1"/>
  <c r="GH41" i="1"/>
  <c r="GH191" i="1"/>
  <c r="GH85" i="1"/>
  <c r="GH62" i="1"/>
  <c r="GH36" i="1"/>
  <c r="GH32" i="1"/>
  <c r="GH34" i="1"/>
  <c r="GH93" i="1"/>
  <c r="GH117" i="1"/>
  <c r="GH154" i="1"/>
  <c r="GH107" i="1"/>
  <c r="GH98" i="1"/>
  <c r="GH138" i="1"/>
  <c r="GH75" i="1"/>
  <c r="GH122" i="1"/>
  <c r="GH84" i="1"/>
  <c r="GH116" i="1"/>
  <c r="GH186" i="1"/>
  <c r="GH89" i="1"/>
  <c r="GH70" i="1"/>
  <c r="GH61" i="1"/>
  <c r="GH74" i="1"/>
  <c r="GH88" i="1"/>
  <c r="GH73" i="1"/>
  <c r="GH111" i="1"/>
  <c r="GH87" i="1"/>
  <c r="GH82" i="1"/>
  <c r="GH53" i="1"/>
  <c r="GH175" i="1"/>
  <c r="GH55" i="1"/>
  <c r="GH51" i="1"/>
  <c r="GH157" i="1"/>
  <c r="GH158" i="1"/>
  <c r="GH83" i="1"/>
  <c r="GH91" i="1"/>
  <c r="GH105" i="1"/>
  <c r="GH103" i="1"/>
  <c r="GH188" i="1"/>
  <c r="GH163" i="1"/>
  <c r="GH101" i="1"/>
  <c r="GH65" i="1"/>
  <c r="GH60" i="1"/>
  <c r="GH80" i="1"/>
  <c r="GH56" i="1"/>
  <c r="GH57" i="1"/>
  <c r="GH25" i="1"/>
  <c r="GH104" i="1"/>
  <c r="GH66" i="1"/>
  <c r="GH58" i="1"/>
  <c r="GH155" i="1"/>
  <c r="GH156" i="1"/>
  <c r="GH134" i="1"/>
  <c r="GH92" i="1"/>
  <c r="GH67" i="1"/>
  <c r="GH126" i="1"/>
  <c r="GH145" i="1"/>
  <c r="GH135" i="1"/>
  <c r="GH159" i="1"/>
  <c r="GH76" i="1"/>
  <c r="GH114" i="1"/>
  <c r="GH161" i="1"/>
  <c r="GH160" i="1"/>
  <c r="GH95" i="1"/>
  <c r="GH120" i="1"/>
  <c r="GH42" i="1"/>
  <c r="GH183" i="1"/>
  <c r="GH112" i="1"/>
  <c r="GH148" i="1"/>
  <c r="GH179" i="1"/>
  <c r="GH128" i="1"/>
  <c r="GH144" i="1"/>
  <c r="GH110" i="1"/>
  <c r="GH81" i="1"/>
  <c r="GH100" i="1"/>
  <c r="GH123" i="1"/>
  <c r="GH86" i="1"/>
  <c r="GH174" i="1"/>
  <c r="GH201" i="1"/>
  <c r="GH90" i="1"/>
  <c r="GH102" i="1"/>
  <c r="GH94" i="1"/>
  <c r="GH119" i="1"/>
  <c r="GH141" i="1"/>
  <c r="GH147" i="1"/>
  <c r="GH165" i="1"/>
  <c r="GH132" i="1"/>
  <c r="GH189" i="1"/>
  <c r="GH133" i="1"/>
  <c r="GH206" i="1"/>
  <c r="GH78" i="1"/>
  <c r="GH143" i="1"/>
  <c r="GH150" i="1"/>
  <c r="GH130" i="1"/>
  <c r="GH96" i="1"/>
  <c r="GH182" i="1"/>
  <c r="GH195" i="1"/>
  <c r="GH178" i="1"/>
  <c r="GH181" i="1"/>
  <c r="GH194" i="1"/>
  <c r="GH208" i="1"/>
  <c r="GH129" i="1"/>
  <c r="GH180" i="1"/>
  <c r="GH140" i="1"/>
  <c r="GH125" i="1"/>
  <c r="GH131" i="1"/>
  <c r="GH173" i="1"/>
  <c r="GH184" i="1"/>
  <c r="GH190" i="1"/>
  <c r="GH142" i="1"/>
  <c r="GH69" i="1"/>
  <c r="GH151" i="1"/>
  <c r="GH193" i="1"/>
  <c r="GH169" i="1"/>
  <c r="GH166" i="1"/>
  <c r="GH97" i="1"/>
  <c r="GH79" i="1"/>
  <c r="GH146" i="1"/>
  <c r="GH204" i="1"/>
  <c r="GH113" i="1"/>
  <c r="GH172" i="1"/>
  <c r="GH171" i="1"/>
  <c r="GH185" i="1"/>
  <c r="GH137" i="1"/>
  <c r="GH205" i="1"/>
  <c r="GH177" i="1"/>
  <c r="GH199" i="1"/>
  <c r="GH106" i="1"/>
  <c r="GH203" i="1"/>
  <c r="GH124" i="1"/>
  <c r="GH170" i="1"/>
  <c r="GH152" i="1"/>
  <c r="GH118" i="1"/>
  <c r="GH198" i="1"/>
  <c r="GH200" i="1"/>
  <c r="GH136" i="1"/>
  <c r="GH108" i="1"/>
  <c r="GH149" i="1"/>
  <c r="GH187" i="1"/>
  <c r="GH168" i="1"/>
  <c r="GH162" i="1"/>
  <c r="GH139" i="1"/>
  <c r="GH196" i="1"/>
  <c r="GH153" i="1"/>
  <c r="GH197" i="1"/>
  <c r="GH176" i="1"/>
  <c r="GH202" i="1"/>
  <c r="GH167" i="1"/>
  <c r="GH207" i="1"/>
  <c r="GH192" i="1"/>
  <c r="GG3" i="1"/>
  <c r="GG2" i="1"/>
  <c r="GG43" i="1"/>
  <c r="GG71" i="1"/>
  <c r="GG7" i="1"/>
  <c r="GG164" i="1"/>
  <c r="GG4" i="1"/>
  <c r="GG99" i="1"/>
  <c r="GG6" i="1"/>
  <c r="GG8" i="1"/>
  <c r="GG10" i="1"/>
  <c r="GG9" i="1"/>
  <c r="GG127" i="1"/>
  <c r="GG11" i="1"/>
  <c r="GG44" i="1"/>
  <c r="GG39" i="1"/>
  <c r="GG45" i="1"/>
  <c r="GG16" i="1"/>
  <c r="GG12" i="1"/>
  <c r="GG48" i="1"/>
  <c r="GG54" i="1"/>
  <c r="GG47" i="1"/>
  <c r="GG20" i="1"/>
  <c r="GG50" i="1"/>
  <c r="GG22" i="1"/>
  <c r="GG49" i="1"/>
  <c r="GG13" i="1"/>
  <c r="GG26" i="1"/>
  <c r="GG52" i="1"/>
  <c r="GG46" i="1"/>
  <c r="GG72" i="1"/>
  <c r="GG5" i="1"/>
  <c r="GG18" i="1"/>
  <c r="GG23" i="1"/>
  <c r="GG15" i="1"/>
  <c r="GG14" i="1"/>
  <c r="GG59" i="1"/>
  <c r="GG38" i="1"/>
  <c r="GG21" i="1"/>
  <c r="GG27" i="1"/>
  <c r="GG17" i="1"/>
  <c r="GG68" i="1"/>
  <c r="GG121" i="1"/>
  <c r="GG24" i="1"/>
  <c r="GG30" i="1"/>
  <c r="GG40" i="1"/>
  <c r="GG35" i="1"/>
  <c r="GG29" i="1"/>
  <c r="GG37" i="1"/>
  <c r="GG28" i="1"/>
  <c r="GG19" i="1"/>
  <c r="GG33" i="1"/>
  <c r="GG109" i="1"/>
  <c r="GG64" i="1"/>
  <c r="GG63" i="1"/>
  <c r="GG77" i="1"/>
  <c r="GG115" i="1"/>
  <c r="GG31" i="1"/>
  <c r="GG41" i="1"/>
  <c r="GG191" i="1"/>
  <c r="GG85" i="1"/>
  <c r="GG62" i="1"/>
  <c r="GG36" i="1"/>
  <c r="GG32" i="1"/>
  <c r="GG34" i="1"/>
  <c r="GG93" i="1"/>
  <c r="GG117" i="1"/>
  <c r="GG154" i="1"/>
  <c r="GG107" i="1"/>
  <c r="GG98" i="1"/>
  <c r="GG138" i="1"/>
  <c r="GG75" i="1"/>
  <c r="GG122" i="1"/>
  <c r="GG84" i="1"/>
  <c r="GG116" i="1"/>
  <c r="GG186" i="1"/>
  <c r="GG89" i="1"/>
  <c r="GG70" i="1"/>
  <c r="GG61" i="1"/>
  <c r="GG74" i="1"/>
  <c r="GG88" i="1"/>
  <c r="GG73" i="1"/>
  <c r="GG111" i="1"/>
  <c r="GG87" i="1"/>
  <c r="GG82" i="1"/>
  <c r="GG53" i="1"/>
  <c r="GG175" i="1"/>
  <c r="GG55" i="1"/>
  <c r="GG51" i="1"/>
  <c r="GG157" i="1"/>
  <c r="GG158" i="1"/>
  <c r="GG83" i="1"/>
  <c r="GG91" i="1"/>
  <c r="GG105" i="1"/>
  <c r="GG103" i="1"/>
  <c r="GG188" i="1"/>
  <c r="GG163" i="1"/>
  <c r="GG101" i="1"/>
  <c r="GG65" i="1"/>
  <c r="GG60" i="1"/>
  <c r="GG80" i="1"/>
  <c r="GG56" i="1"/>
  <c r="GG57" i="1"/>
  <c r="GG25" i="1"/>
  <c r="GG104" i="1"/>
  <c r="GG66" i="1"/>
  <c r="GG58" i="1"/>
  <c r="GG155" i="1"/>
  <c r="GG156" i="1"/>
  <c r="GG134" i="1"/>
  <c r="GG92" i="1"/>
  <c r="GG67" i="1"/>
  <c r="GG126" i="1"/>
  <c r="GG145" i="1"/>
  <c r="GG135" i="1"/>
  <c r="GG159" i="1"/>
  <c r="GG76" i="1"/>
  <c r="GG114" i="1"/>
  <c r="GG161" i="1"/>
  <c r="GG160" i="1"/>
  <c r="GG95" i="1"/>
  <c r="GG120" i="1"/>
  <c r="GG42" i="1"/>
  <c r="GG183" i="1"/>
  <c r="GG112" i="1"/>
  <c r="GG148" i="1"/>
  <c r="GG179" i="1"/>
  <c r="GG128" i="1"/>
  <c r="GG144" i="1"/>
  <c r="GG110" i="1"/>
  <c r="GG81" i="1"/>
  <c r="GG100" i="1"/>
  <c r="GG123" i="1"/>
  <c r="GG86" i="1"/>
  <c r="GG174" i="1"/>
  <c r="GG201" i="1"/>
  <c r="GG90" i="1"/>
  <c r="GG102" i="1"/>
  <c r="GG94" i="1"/>
  <c r="GG119" i="1"/>
  <c r="GG141" i="1"/>
  <c r="GG147" i="1"/>
  <c r="GG165" i="1"/>
  <c r="GG132" i="1"/>
  <c r="GG189" i="1"/>
  <c r="GG133" i="1"/>
  <c r="GG206" i="1"/>
  <c r="GG78" i="1"/>
  <c r="GG143" i="1"/>
  <c r="GG150" i="1"/>
  <c r="GG130" i="1"/>
  <c r="GG96" i="1"/>
  <c r="GG182" i="1"/>
  <c r="GG195" i="1"/>
  <c r="GG178" i="1"/>
  <c r="GG181" i="1"/>
  <c r="GG194" i="1"/>
  <c r="GG208" i="1"/>
  <c r="GG129" i="1"/>
  <c r="GG180" i="1"/>
  <c r="GG140" i="1"/>
  <c r="GG125" i="1"/>
  <c r="GG131" i="1"/>
  <c r="GG173" i="1"/>
  <c r="GG184" i="1"/>
  <c r="GG190" i="1"/>
  <c r="GG142" i="1"/>
  <c r="GG69" i="1"/>
  <c r="GG151" i="1"/>
  <c r="GG193" i="1"/>
  <c r="GG169" i="1"/>
  <c r="GG166" i="1"/>
  <c r="GG97" i="1"/>
  <c r="GG79" i="1"/>
  <c r="GG146" i="1"/>
  <c r="GG204" i="1"/>
  <c r="GG113" i="1"/>
  <c r="GG172" i="1"/>
  <c r="GG171" i="1"/>
  <c r="GG185" i="1"/>
  <c r="GG137" i="1"/>
  <c r="GG205" i="1"/>
  <c r="GG177" i="1"/>
  <c r="GG199" i="1"/>
  <c r="GG106" i="1"/>
  <c r="GG203" i="1"/>
  <c r="GG124" i="1"/>
  <c r="GG170" i="1"/>
  <c r="GG152" i="1"/>
  <c r="GG118" i="1"/>
  <c r="GG198" i="1"/>
  <c r="GG200" i="1"/>
  <c r="GG136" i="1"/>
  <c r="GG108" i="1"/>
  <c r="GG149" i="1"/>
  <c r="GG187" i="1"/>
  <c r="GG168" i="1"/>
  <c r="GG162" i="1"/>
  <c r="GG139" i="1"/>
  <c r="GG196" i="1"/>
  <c r="GG153" i="1"/>
  <c r="GG197" i="1"/>
  <c r="GG176" i="1"/>
  <c r="GG202" i="1"/>
  <c r="GG167" i="1"/>
  <c r="GG207" i="1"/>
  <c r="GG192" i="1"/>
  <c r="GF3" i="1"/>
  <c r="GF2" i="1"/>
  <c r="GF43" i="1"/>
  <c r="GF71" i="1"/>
  <c r="GF7" i="1"/>
  <c r="GF164" i="1"/>
  <c r="GF4" i="1"/>
  <c r="GF99" i="1"/>
  <c r="GF6" i="1"/>
  <c r="GF8" i="1"/>
  <c r="GF10" i="1"/>
  <c r="GF9" i="1"/>
  <c r="GF127" i="1"/>
  <c r="GF11" i="1"/>
  <c r="GF44" i="1"/>
  <c r="GF39" i="1"/>
  <c r="GF45" i="1"/>
  <c r="GF16" i="1"/>
  <c r="GF12" i="1"/>
  <c r="GF48" i="1"/>
  <c r="GF54" i="1"/>
  <c r="GF47" i="1"/>
  <c r="GF20" i="1"/>
  <c r="GF50" i="1"/>
  <c r="GF22" i="1"/>
  <c r="GF49" i="1"/>
  <c r="GF13" i="1"/>
  <c r="GF26" i="1"/>
  <c r="GF52" i="1"/>
  <c r="GF46" i="1"/>
  <c r="GF72" i="1"/>
  <c r="GF5" i="1"/>
  <c r="GF18" i="1"/>
  <c r="GF23" i="1"/>
  <c r="GF15" i="1"/>
  <c r="GF14" i="1"/>
  <c r="GF59" i="1"/>
  <c r="GF38" i="1"/>
  <c r="GF21" i="1"/>
  <c r="GF27" i="1"/>
  <c r="GF17" i="1"/>
  <c r="GF68" i="1"/>
  <c r="GF121" i="1"/>
  <c r="GF24" i="1"/>
  <c r="GF30" i="1"/>
  <c r="GF40" i="1"/>
  <c r="GF35" i="1"/>
  <c r="GF29" i="1"/>
  <c r="GF37" i="1"/>
  <c r="GF28" i="1"/>
  <c r="GF19" i="1"/>
  <c r="GF33" i="1"/>
  <c r="GF109" i="1"/>
  <c r="GF64" i="1"/>
  <c r="GF63" i="1"/>
  <c r="GF77" i="1"/>
  <c r="GF115" i="1"/>
  <c r="GF31" i="1"/>
  <c r="GF41" i="1"/>
  <c r="GF191" i="1"/>
  <c r="GF85" i="1"/>
  <c r="GF62" i="1"/>
  <c r="GF36" i="1"/>
  <c r="GF32" i="1"/>
  <c r="GF34" i="1"/>
  <c r="GF93" i="1"/>
  <c r="GF117" i="1"/>
  <c r="GF154" i="1"/>
  <c r="GF107" i="1"/>
  <c r="GF98" i="1"/>
  <c r="GF138" i="1"/>
  <c r="GF75" i="1"/>
  <c r="GF122" i="1"/>
  <c r="GF84" i="1"/>
  <c r="GF116" i="1"/>
  <c r="GF186" i="1"/>
  <c r="GF89" i="1"/>
  <c r="GF70" i="1"/>
  <c r="GF61" i="1"/>
  <c r="GF74" i="1"/>
  <c r="GF88" i="1"/>
  <c r="GF73" i="1"/>
  <c r="GF111" i="1"/>
  <c r="GF87" i="1"/>
  <c r="GF82" i="1"/>
  <c r="GF53" i="1"/>
  <c r="GF175" i="1"/>
  <c r="GF55" i="1"/>
  <c r="GF51" i="1"/>
  <c r="GF157" i="1"/>
  <c r="GF158" i="1"/>
  <c r="GF83" i="1"/>
  <c r="GF91" i="1"/>
  <c r="GF105" i="1"/>
  <c r="GF103" i="1"/>
  <c r="GF188" i="1"/>
  <c r="GF163" i="1"/>
  <c r="GF101" i="1"/>
  <c r="GF65" i="1"/>
  <c r="GF60" i="1"/>
  <c r="GF80" i="1"/>
  <c r="GF56" i="1"/>
  <c r="GF57" i="1"/>
  <c r="GF25" i="1"/>
  <c r="GF104" i="1"/>
  <c r="GF66" i="1"/>
  <c r="GF58" i="1"/>
  <c r="GF155" i="1"/>
  <c r="GF156" i="1"/>
  <c r="GF134" i="1"/>
  <c r="GF92" i="1"/>
  <c r="GF67" i="1"/>
  <c r="GF126" i="1"/>
  <c r="GF145" i="1"/>
  <c r="GF135" i="1"/>
  <c r="GF159" i="1"/>
  <c r="GF76" i="1"/>
  <c r="GF114" i="1"/>
  <c r="GF161" i="1"/>
  <c r="GF160" i="1"/>
  <c r="GF95" i="1"/>
  <c r="GF120" i="1"/>
  <c r="GF42" i="1"/>
  <c r="GF183" i="1"/>
  <c r="GF112" i="1"/>
  <c r="GF148" i="1"/>
  <c r="GF179" i="1"/>
  <c r="GF128" i="1"/>
  <c r="GF144" i="1"/>
  <c r="GF110" i="1"/>
  <c r="GF81" i="1"/>
  <c r="GF100" i="1"/>
  <c r="GF123" i="1"/>
  <c r="GF86" i="1"/>
  <c r="GF174" i="1"/>
  <c r="GF201" i="1"/>
  <c r="GF90" i="1"/>
  <c r="GF102" i="1"/>
  <c r="GF94" i="1"/>
  <c r="GF119" i="1"/>
  <c r="GF141" i="1"/>
  <c r="GF147" i="1"/>
  <c r="GF165" i="1"/>
  <c r="GF132" i="1"/>
  <c r="GF189" i="1"/>
  <c r="GF133" i="1"/>
  <c r="GF206" i="1"/>
  <c r="GF78" i="1"/>
  <c r="GF143" i="1"/>
  <c r="GF150" i="1"/>
  <c r="GF130" i="1"/>
  <c r="GF96" i="1"/>
  <c r="GF182" i="1"/>
  <c r="GF195" i="1"/>
  <c r="GF178" i="1"/>
  <c r="GF181" i="1"/>
  <c r="GF194" i="1"/>
  <c r="GF208" i="1"/>
  <c r="GF129" i="1"/>
  <c r="GF180" i="1"/>
  <c r="GF140" i="1"/>
  <c r="GF125" i="1"/>
  <c r="GF131" i="1"/>
  <c r="GF173" i="1"/>
  <c r="GF184" i="1"/>
  <c r="GF190" i="1"/>
  <c r="GF142" i="1"/>
  <c r="GF69" i="1"/>
  <c r="GF151" i="1"/>
  <c r="GF193" i="1"/>
  <c r="GF169" i="1"/>
  <c r="GF166" i="1"/>
  <c r="GF97" i="1"/>
  <c r="GF79" i="1"/>
  <c r="GF146" i="1"/>
  <c r="GF204" i="1"/>
  <c r="GF113" i="1"/>
  <c r="GF172" i="1"/>
  <c r="GF171" i="1"/>
  <c r="GF185" i="1"/>
  <c r="GF137" i="1"/>
  <c r="GF205" i="1"/>
  <c r="GF177" i="1"/>
  <c r="GF199" i="1"/>
  <c r="GF106" i="1"/>
  <c r="GF203" i="1"/>
  <c r="GF124" i="1"/>
  <c r="GF170" i="1"/>
  <c r="GF152" i="1"/>
  <c r="GF118" i="1"/>
  <c r="GF198" i="1"/>
  <c r="GF200" i="1"/>
  <c r="GF136" i="1"/>
  <c r="GF108" i="1"/>
  <c r="GF149" i="1"/>
  <c r="GF187" i="1"/>
  <c r="GF168" i="1"/>
  <c r="GF162" i="1"/>
  <c r="GF139" i="1"/>
  <c r="GF196" i="1"/>
  <c r="GF153" i="1"/>
  <c r="GF197" i="1"/>
  <c r="GF176" i="1"/>
  <c r="GF202" i="1"/>
  <c r="GF167" i="1"/>
  <c r="GF207" i="1"/>
  <c r="GF192" i="1"/>
  <c r="GE3" i="1"/>
  <c r="GE2" i="1"/>
  <c r="GE43" i="1"/>
  <c r="GE71" i="1"/>
  <c r="GE7" i="1"/>
  <c r="GE164" i="1"/>
  <c r="GE4" i="1"/>
  <c r="GE99" i="1"/>
  <c r="GE6" i="1"/>
  <c r="GE8" i="1"/>
  <c r="GE10" i="1"/>
  <c r="GE9" i="1"/>
  <c r="GE127" i="1"/>
  <c r="GE11" i="1"/>
  <c r="GE44" i="1"/>
  <c r="GE39" i="1"/>
  <c r="GE45" i="1"/>
  <c r="GE16" i="1"/>
  <c r="GE12" i="1"/>
  <c r="GE48" i="1"/>
  <c r="GE54" i="1"/>
  <c r="GE47" i="1"/>
  <c r="GE20" i="1"/>
  <c r="GE50" i="1"/>
  <c r="GE22" i="1"/>
  <c r="GE49" i="1"/>
  <c r="GE13" i="1"/>
  <c r="GE26" i="1"/>
  <c r="GE52" i="1"/>
  <c r="GE46" i="1"/>
  <c r="GE72" i="1"/>
  <c r="GE5" i="1"/>
  <c r="GE18" i="1"/>
  <c r="GE23" i="1"/>
  <c r="GE15" i="1"/>
  <c r="GE14" i="1"/>
  <c r="GE59" i="1"/>
  <c r="GE38" i="1"/>
  <c r="GE21" i="1"/>
  <c r="GE27" i="1"/>
  <c r="GE17" i="1"/>
  <c r="GE68" i="1"/>
  <c r="GE121" i="1"/>
  <c r="GE24" i="1"/>
  <c r="GE30" i="1"/>
  <c r="GE40" i="1"/>
  <c r="GE35" i="1"/>
  <c r="GE29" i="1"/>
  <c r="GE37" i="1"/>
  <c r="GE28" i="1"/>
  <c r="GE19" i="1"/>
  <c r="GE33" i="1"/>
  <c r="GE109" i="1"/>
  <c r="GE64" i="1"/>
  <c r="GE63" i="1"/>
  <c r="GE77" i="1"/>
  <c r="GE115" i="1"/>
  <c r="GE31" i="1"/>
  <c r="GE41" i="1"/>
  <c r="GE191" i="1"/>
  <c r="GE85" i="1"/>
  <c r="GE62" i="1"/>
  <c r="GE36" i="1"/>
  <c r="GE32" i="1"/>
  <c r="GE34" i="1"/>
  <c r="GE93" i="1"/>
  <c r="GE117" i="1"/>
  <c r="GE154" i="1"/>
  <c r="GE107" i="1"/>
  <c r="GE98" i="1"/>
  <c r="GE138" i="1"/>
  <c r="GE75" i="1"/>
  <c r="GE122" i="1"/>
  <c r="GE84" i="1"/>
  <c r="GE116" i="1"/>
  <c r="GE186" i="1"/>
  <c r="GE89" i="1"/>
  <c r="GE70" i="1"/>
  <c r="GE61" i="1"/>
  <c r="GE74" i="1"/>
  <c r="GE88" i="1"/>
  <c r="GE73" i="1"/>
  <c r="GE111" i="1"/>
  <c r="GE87" i="1"/>
  <c r="GE82" i="1"/>
  <c r="GE53" i="1"/>
  <c r="GE175" i="1"/>
  <c r="GE55" i="1"/>
  <c r="GE51" i="1"/>
  <c r="GE157" i="1"/>
  <c r="GE158" i="1"/>
  <c r="GE83" i="1"/>
  <c r="GE91" i="1"/>
  <c r="GE105" i="1"/>
  <c r="GE103" i="1"/>
  <c r="GE188" i="1"/>
  <c r="GE163" i="1"/>
  <c r="GE101" i="1"/>
  <c r="GE65" i="1"/>
  <c r="GE60" i="1"/>
  <c r="GE80" i="1"/>
  <c r="GE56" i="1"/>
  <c r="GE57" i="1"/>
  <c r="GE25" i="1"/>
  <c r="GE104" i="1"/>
  <c r="GE66" i="1"/>
  <c r="GE58" i="1"/>
  <c r="GE155" i="1"/>
  <c r="GE156" i="1"/>
  <c r="GE134" i="1"/>
  <c r="GE92" i="1"/>
  <c r="GE67" i="1"/>
  <c r="GE126" i="1"/>
  <c r="GE145" i="1"/>
  <c r="GE135" i="1"/>
  <c r="GE159" i="1"/>
  <c r="GE76" i="1"/>
  <c r="GE114" i="1"/>
  <c r="GE161" i="1"/>
  <c r="GE160" i="1"/>
  <c r="GE95" i="1"/>
  <c r="GE120" i="1"/>
  <c r="GE42" i="1"/>
  <c r="GE183" i="1"/>
  <c r="GE112" i="1"/>
  <c r="GE148" i="1"/>
  <c r="GE179" i="1"/>
  <c r="GE128" i="1"/>
  <c r="GE144" i="1"/>
  <c r="GE110" i="1"/>
  <c r="GE81" i="1"/>
  <c r="GE100" i="1"/>
  <c r="GE123" i="1"/>
  <c r="GE86" i="1"/>
  <c r="GE174" i="1"/>
  <c r="GE201" i="1"/>
  <c r="GE90" i="1"/>
  <c r="GE102" i="1"/>
  <c r="GE94" i="1"/>
  <c r="GE119" i="1"/>
  <c r="GE141" i="1"/>
  <c r="GE147" i="1"/>
  <c r="GE165" i="1"/>
  <c r="GE132" i="1"/>
  <c r="GE189" i="1"/>
  <c r="GE133" i="1"/>
  <c r="GE206" i="1"/>
  <c r="GE78" i="1"/>
  <c r="GE143" i="1"/>
  <c r="GE150" i="1"/>
  <c r="GE130" i="1"/>
  <c r="GE96" i="1"/>
  <c r="GE182" i="1"/>
  <c r="GE195" i="1"/>
  <c r="GE178" i="1"/>
  <c r="GE181" i="1"/>
  <c r="GE194" i="1"/>
  <c r="GE208" i="1"/>
  <c r="GE129" i="1"/>
  <c r="GE180" i="1"/>
  <c r="GE140" i="1"/>
  <c r="GE125" i="1"/>
  <c r="GE131" i="1"/>
  <c r="GE173" i="1"/>
  <c r="GE184" i="1"/>
  <c r="GE190" i="1"/>
  <c r="GE142" i="1"/>
  <c r="GE69" i="1"/>
  <c r="GE151" i="1"/>
  <c r="GE193" i="1"/>
  <c r="GE169" i="1"/>
  <c r="GE166" i="1"/>
  <c r="GE97" i="1"/>
  <c r="GE79" i="1"/>
  <c r="GE146" i="1"/>
  <c r="GE204" i="1"/>
  <c r="GE113" i="1"/>
  <c r="GE172" i="1"/>
  <c r="GE171" i="1"/>
  <c r="GE185" i="1"/>
  <c r="GE137" i="1"/>
  <c r="GE205" i="1"/>
  <c r="GE177" i="1"/>
  <c r="GE199" i="1"/>
  <c r="GE106" i="1"/>
  <c r="GE203" i="1"/>
  <c r="GE124" i="1"/>
  <c r="GE170" i="1"/>
  <c r="GE152" i="1"/>
  <c r="GE118" i="1"/>
  <c r="GE198" i="1"/>
  <c r="GE200" i="1"/>
  <c r="GE136" i="1"/>
  <c r="GE108" i="1"/>
  <c r="GE149" i="1"/>
  <c r="GE187" i="1"/>
  <c r="GE168" i="1"/>
  <c r="GE162" i="1"/>
  <c r="GE139" i="1"/>
  <c r="GE196" i="1"/>
  <c r="GE153" i="1"/>
  <c r="GE197" i="1"/>
  <c r="GE176" i="1"/>
  <c r="GE202" i="1"/>
  <c r="GE167" i="1"/>
  <c r="GE207" i="1"/>
  <c r="GE192" i="1"/>
  <c r="GD3" i="1"/>
  <c r="GD2" i="1"/>
  <c r="GD43" i="1"/>
  <c r="GD71" i="1"/>
  <c r="GD7" i="1"/>
  <c r="GD164" i="1"/>
  <c r="GD4" i="1"/>
  <c r="GD99" i="1"/>
  <c r="GD6" i="1"/>
  <c r="GD8" i="1"/>
  <c r="GD10" i="1"/>
  <c r="GD9" i="1"/>
  <c r="GD127" i="1"/>
  <c r="GD11" i="1"/>
  <c r="GD44" i="1"/>
  <c r="GD39" i="1"/>
  <c r="GD45" i="1"/>
  <c r="GD16" i="1"/>
  <c r="GD12" i="1"/>
  <c r="GD48" i="1"/>
  <c r="GD54" i="1"/>
  <c r="GD47" i="1"/>
  <c r="GD20" i="1"/>
  <c r="GD50" i="1"/>
  <c r="GD22" i="1"/>
  <c r="GD49" i="1"/>
  <c r="GD13" i="1"/>
  <c r="GD26" i="1"/>
  <c r="GD52" i="1"/>
  <c r="GD46" i="1"/>
  <c r="GD72" i="1"/>
  <c r="GD5" i="1"/>
  <c r="GD18" i="1"/>
  <c r="GD23" i="1"/>
  <c r="GD15" i="1"/>
  <c r="GD14" i="1"/>
  <c r="GD59" i="1"/>
  <c r="GD38" i="1"/>
  <c r="GD21" i="1"/>
  <c r="GD27" i="1"/>
  <c r="GD17" i="1"/>
  <c r="GD68" i="1"/>
  <c r="GD121" i="1"/>
  <c r="GD24" i="1"/>
  <c r="GD30" i="1"/>
  <c r="GD40" i="1"/>
  <c r="GD35" i="1"/>
  <c r="GD29" i="1"/>
  <c r="GD37" i="1"/>
  <c r="GD28" i="1"/>
  <c r="GD19" i="1"/>
  <c r="GD33" i="1"/>
  <c r="GD109" i="1"/>
  <c r="GD64" i="1"/>
  <c r="GD63" i="1"/>
  <c r="GD77" i="1"/>
  <c r="GD115" i="1"/>
  <c r="GD31" i="1"/>
  <c r="GD41" i="1"/>
  <c r="GD191" i="1"/>
  <c r="GD85" i="1"/>
  <c r="GD62" i="1"/>
  <c r="GD36" i="1"/>
  <c r="GD32" i="1"/>
  <c r="GD34" i="1"/>
  <c r="GD93" i="1"/>
  <c r="GD117" i="1"/>
  <c r="GD154" i="1"/>
  <c r="GD107" i="1"/>
  <c r="GD98" i="1"/>
  <c r="GD138" i="1"/>
  <c r="GD75" i="1"/>
  <c r="GD122" i="1"/>
  <c r="GD84" i="1"/>
  <c r="GD116" i="1"/>
  <c r="GD186" i="1"/>
  <c r="GD89" i="1"/>
  <c r="GD70" i="1"/>
  <c r="GD61" i="1"/>
  <c r="GD74" i="1"/>
  <c r="GD88" i="1"/>
  <c r="GD73" i="1"/>
  <c r="GD111" i="1"/>
  <c r="GD87" i="1"/>
  <c r="GD82" i="1"/>
  <c r="GD53" i="1"/>
  <c r="GD175" i="1"/>
  <c r="GD55" i="1"/>
  <c r="GD51" i="1"/>
  <c r="GD157" i="1"/>
  <c r="GD158" i="1"/>
  <c r="GD83" i="1"/>
  <c r="GD91" i="1"/>
  <c r="GD105" i="1"/>
  <c r="GD103" i="1"/>
  <c r="GD188" i="1"/>
  <c r="GD163" i="1"/>
  <c r="GD101" i="1"/>
  <c r="GD65" i="1"/>
  <c r="GD60" i="1"/>
  <c r="GD80" i="1"/>
  <c r="GD56" i="1"/>
  <c r="GD57" i="1"/>
  <c r="GD25" i="1"/>
  <c r="GD104" i="1"/>
  <c r="GD66" i="1"/>
  <c r="GD58" i="1"/>
  <c r="GD155" i="1"/>
  <c r="GD156" i="1"/>
  <c r="GD134" i="1"/>
  <c r="GD92" i="1"/>
  <c r="GD67" i="1"/>
  <c r="GD126" i="1"/>
  <c r="GD145" i="1"/>
  <c r="GD135" i="1"/>
  <c r="GD159" i="1"/>
  <c r="GD76" i="1"/>
  <c r="GD114" i="1"/>
  <c r="GD161" i="1"/>
  <c r="GD160" i="1"/>
  <c r="GD95" i="1"/>
  <c r="GD120" i="1"/>
  <c r="GD42" i="1"/>
  <c r="GD183" i="1"/>
  <c r="GD112" i="1"/>
  <c r="GD148" i="1"/>
  <c r="GD179" i="1"/>
  <c r="GD128" i="1"/>
  <c r="GD144" i="1"/>
  <c r="GD110" i="1"/>
  <c r="GD81" i="1"/>
  <c r="GD100" i="1"/>
  <c r="GD123" i="1"/>
  <c r="GD86" i="1"/>
  <c r="GD174" i="1"/>
  <c r="GD201" i="1"/>
  <c r="GD90" i="1"/>
  <c r="GD102" i="1"/>
  <c r="GD94" i="1"/>
  <c r="GD119" i="1"/>
  <c r="GD141" i="1"/>
  <c r="GD147" i="1"/>
  <c r="GD165" i="1"/>
  <c r="GD132" i="1"/>
  <c r="GD189" i="1"/>
  <c r="GD133" i="1"/>
  <c r="GD206" i="1"/>
  <c r="GD78" i="1"/>
  <c r="GD143" i="1"/>
  <c r="GD150" i="1"/>
  <c r="GD130" i="1"/>
  <c r="GD96" i="1"/>
  <c r="GD182" i="1"/>
  <c r="GD195" i="1"/>
  <c r="GD178" i="1"/>
  <c r="GD181" i="1"/>
  <c r="GD194" i="1"/>
  <c r="GD208" i="1"/>
  <c r="GD129" i="1"/>
  <c r="GD180" i="1"/>
  <c r="GD140" i="1"/>
  <c r="GD125" i="1"/>
  <c r="GD131" i="1"/>
  <c r="GD173" i="1"/>
  <c r="GD184" i="1"/>
  <c r="GD190" i="1"/>
  <c r="GD142" i="1"/>
  <c r="GD69" i="1"/>
  <c r="GD151" i="1"/>
  <c r="GD193" i="1"/>
  <c r="GD169" i="1"/>
  <c r="GD166" i="1"/>
  <c r="GD97" i="1"/>
  <c r="GD79" i="1"/>
  <c r="GD146" i="1"/>
  <c r="GD204" i="1"/>
  <c r="GD113" i="1"/>
  <c r="GD172" i="1"/>
  <c r="GD171" i="1"/>
  <c r="GD185" i="1"/>
  <c r="GD137" i="1"/>
  <c r="GD205" i="1"/>
  <c r="GD177" i="1"/>
  <c r="GD199" i="1"/>
  <c r="GD106" i="1"/>
  <c r="GD203" i="1"/>
  <c r="GD124" i="1"/>
  <c r="GD170" i="1"/>
  <c r="GD152" i="1"/>
  <c r="GD118" i="1"/>
  <c r="GD198" i="1"/>
  <c r="GD200" i="1"/>
  <c r="GD136" i="1"/>
  <c r="GD108" i="1"/>
  <c r="GD149" i="1"/>
  <c r="GD187" i="1"/>
  <c r="GD168" i="1"/>
  <c r="GD162" i="1"/>
  <c r="GD139" i="1"/>
  <c r="GD196" i="1"/>
  <c r="GD153" i="1"/>
  <c r="GD197" i="1"/>
  <c r="GD176" i="1"/>
  <c r="GD202" i="1"/>
  <c r="GD167" i="1"/>
  <c r="GD207" i="1"/>
  <c r="GD192" i="1"/>
  <c r="GA3" i="1"/>
  <c r="GA2" i="1"/>
  <c r="GA43" i="1"/>
  <c r="GA71" i="1"/>
  <c r="GA7" i="1"/>
  <c r="GA164" i="1"/>
  <c r="GA4" i="1"/>
  <c r="GA99" i="1"/>
  <c r="GA6" i="1"/>
  <c r="GA8" i="1"/>
  <c r="GA10" i="1"/>
  <c r="GA9" i="1"/>
  <c r="GA127" i="1"/>
  <c r="GA11" i="1"/>
  <c r="GA44" i="1"/>
  <c r="GA39" i="1"/>
  <c r="GA45" i="1"/>
  <c r="GA16" i="1"/>
  <c r="GA12" i="1"/>
  <c r="GA48" i="1"/>
  <c r="GA54" i="1"/>
  <c r="GA47" i="1"/>
  <c r="GA20" i="1"/>
  <c r="GA50" i="1"/>
  <c r="GA22" i="1"/>
  <c r="GA49" i="1"/>
  <c r="GA13" i="1"/>
  <c r="GA26" i="1"/>
  <c r="GA52" i="1"/>
  <c r="GA46" i="1"/>
  <c r="GA72" i="1"/>
  <c r="GA5" i="1"/>
  <c r="GA18" i="1"/>
  <c r="GA23" i="1"/>
  <c r="GA15" i="1"/>
  <c r="GA14" i="1"/>
  <c r="GA59" i="1"/>
  <c r="GA38" i="1"/>
  <c r="GA21" i="1"/>
  <c r="GA27" i="1"/>
  <c r="GA17" i="1"/>
  <c r="GA68" i="1"/>
  <c r="GA121" i="1"/>
  <c r="GA24" i="1"/>
  <c r="GA30" i="1"/>
  <c r="GA40" i="1"/>
  <c r="GA35" i="1"/>
  <c r="GA29" i="1"/>
  <c r="GA37" i="1"/>
  <c r="GA28" i="1"/>
  <c r="GA19" i="1"/>
  <c r="GA33" i="1"/>
  <c r="GA109" i="1"/>
  <c r="GA64" i="1"/>
  <c r="GA63" i="1"/>
  <c r="GA77" i="1"/>
  <c r="GA115" i="1"/>
  <c r="GA31" i="1"/>
  <c r="GA41" i="1"/>
  <c r="GA191" i="1"/>
  <c r="GA85" i="1"/>
  <c r="GA62" i="1"/>
  <c r="GA36" i="1"/>
  <c r="GA32" i="1"/>
  <c r="GA34" i="1"/>
  <c r="GA93" i="1"/>
  <c r="GA117" i="1"/>
  <c r="GA154" i="1"/>
  <c r="GA107" i="1"/>
  <c r="GA98" i="1"/>
  <c r="GA138" i="1"/>
  <c r="GA75" i="1"/>
  <c r="GA122" i="1"/>
  <c r="GA84" i="1"/>
  <c r="GA116" i="1"/>
  <c r="GA186" i="1"/>
  <c r="GA89" i="1"/>
  <c r="GA70" i="1"/>
  <c r="GA61" i="1"/>
  <c r="GA74" i="1"/>
  <c r="GA88" i="1"/>
  <c r="GA73" i="1"/>
  <c r="GA111" i="1"/>
  <c r="GA87" i="1"/>
  <c r="GA82" i="1"/>
  <c r="GA53" i="1"/>
  <c r="GA175" i="1"/>
  <c r="GA55" i="1"/>
  <c r="GA51" i="1"/>
  <c r="GA157" i="1"/>
  <c r="GA158" i="1"/>
  <c r="GA83" i="1"/>
  <c r="GA91" i="1"/>
  <c r="GA105" i="1"/>
  <c r="GA103" i="1"/>
  <c r="GA188" i="1"/>
  <c r="GA163" i="1"/>
  <c r="GA101" i="1"/>
  <c r="GA65" i="1"/>
  <c r="GA60" i="1"/>
  <c r="GA80" i="1"/>
  <c r="GA56" i="1"/>
  <c r="GA57" i="1"/>
  <c r="GA25" i="1"/>
  <c r="GA104" i="1"/>
  <c r="GA66" i="1"/>
  <c r="GA58" i="1"/>
  <c r="GA155" i="1"/>
  <c r="GA156" i="1"/>
  <c r="GA134" i="1"/>
  <c r="GA92" i="1"/>
  <c r="GA67" i="1"/>
  <c r="GA126" i="1"/>
  <c r="GA145" i="1"/>
  <c r="GA135" i="1"/>
  <c r="GA159" i="1"/>
  <c r="GA76" i="1"/>
  <c r="GA114" i="1"/>
  <c r="GA161" i="1"/>
  <c r="GA160" i="1"/>
  <c r="GA95" i="1"/>
  <c r="GA120" i="1"/>
  <c r="GA42" i="1"/>
  <c r="GA183" i="1"/>
  <c r="GA112" i="1"/>
  <c r="GA148" i="1"/>
  <c r="GA179" i="1"/>
  <c r="GA128" i="1"/>
  <c r="GA144" i="1"/>
  <c r="GA110" i="1"/>
  <c r="GA81" i="1"/>
  <c r="GA100" i="1"/>
  <c r="GA123" i="1"/>
  <c r="GA86" i="1"/>
  <c r="GA174" i="1"/>
  <c r="GA201" i="1"/>
  <c r="GA90" i="1"/>
  <c r="GA102" i="1"/>
  <c r="GA94" i="1"/>
  <c r="GA119" i="1"/>
  <c r="GA141" i="1"/>
  <c r="GA147" i="1"/>
  <c r="GA165" i="1"/>
  <c r="GA132" i="1"/>
  <c r="GA189" i="1"/>
  <c r="GA133" i="1"/>
  <c r="GA206" i="1"/>
  <c r="GA78" i="1"/>
  <c r="GA143" i="1"/>
  <c r="GA150" i="1"/>
  <c r="GA130" i="1"/>
  <c r="GA96" i="1"/>
  <c r="GA182" i="1"/>
  <c r="GA195" i="1"/>
  <c r="GA178" i="1"/>
  <c r="GA181" i="1"/>
  <c r="GA194" i="1"/>
  <c r="GA208" i="1"/>
  <c r="GA129" i="1"/>
  <c r="GA180" i="1"/>
  <c r="GA140" i="1"/>
  <c r="GA125" i="1"/>
  <c r="GA131" i="1"/>
  <c r="GA173" i="1"/>
  <c r="GA184" i="1"/>
  <c r="GA190" i="1"/>
  <c r="GA142" i="1"/>
  <c r="GA69" i="1"/>
  <c r="GA151" i="1"/>
  <c r="GA193" i="1"/>
  <c r="GA169" i="1"/>
  <c r="GA166" i="1"/>
  <c r="GA97" i="1"/>
  <c r="GA79" i="1"/>
  <c r="GA146" i="1"/>
  <c r="GA204" i="1"/>
  <c r="GA113" i="1"/>
  <c r="GA172" i="1"/>
  <c r="GA171" i="1"/>
  <c r="GA185" i="1"/>
  <c r="GA137" i="1"/>
  <c r="GA205" i="1"/>
  <c r="GA177" i="1"/>
  <c r="GA199" i="1"/>
  <c r="GA106" i="1"/>
  <c r="GA203" i="1"/>
  <c r="GA124" i="1"/>
  <c r="GA170" i="1"/>
  <c r="GA152" i="1"/>
  <c r="GA118" i="1"/>
  <c r="GA198" i="1"/>
  <c r="GA200" i="1"/>
  <c r="GA136" i="1"/>
  <c r="GA108" i="1"/>
  <c r="GA149" i="1"/>
  <c r="GA187" i="1"/>
  <c r="GA168" i="1"/>
  <c r="GA162" i="1"/>
  <c r="GA139" i="1"/>
  <c r="GA196" i="1"/>
  <c r="GA153" i="1"/>
  <c r="GA197" i="1"/>
  <c r="GA176" i="1"/>
  <c r="GA202" i="1"/>
  <c r="GA167" i="1"/>
  <c r="GA207" i="1"/>
  <c r="GA192" i="1"/>
  <c r="FZ3" i="1"/>
  <c r="FZ2" i="1"/>
  <c r="FZ43" i="1"/>
  <c r="FZ71" i="1"/>
  <c r="FZ7" i="1"/>
  <c r="FZ164" i="1"/>
  <c r="FZ4" i="1"/>
  <c r="FZ99" i="1"/>
  <c r="FZ6" i="1"/>
  <c r="FZ8" i="1"/>
  <c r="FZ10" i="1"/>
  <c r="FZ9" i="1"/>
  <c r="FZ127" i="1"/>
  <c r="FZ11" i="1"/>
  <c r="FZ44" i="1"/>
  <c r="FZ39" i="1"/>
  <c r="FZ45" i="1"/>
  <c r="FZ16" i="1"/>
  <c r="FZ12" i="1"/>
  <c r="FZ48" i="1"/>
  <c r="FZ54" i="1"/>
  <c r="FZ47" i="1"/>
  <c r="FZ20" i="1"/>
  <c r="FZ50" i="1"/>
  <c r="FZ22" i="1"/>
  <c r="FZ49" i="1"/>
  <c r="FZ13" i="1"/>
  <c r="FZ26" i="1"/>
  <c r="FZ52" i="1"/>
  <c r="FZ46" i="1"/>
  <c r="FZ72" i="1"/>
  <c r="FZ5" i="1"/>
  <c r="FZ18" i="1"/>
  <c r="FZ23" i="1"/>
  <c r="FZ15" i="1"/>
  <c r="FZ14" i="1"/>
  <c r="FZ59" i="1"/>
  <c r="FZ38" i="1"/>
  <c r="FZ21" i="1"/>
  <c r="FZ27" i="1"/>
  <c r="FZ17" i="1"/>
  <c r="FZ68" i="1"/>
  <c r="FZ121" i="1"/>
  <c r="FZ24" i="1"/>
  <c r="FZ30" i="1"/>
  <c r="FZ40" i="1"/>
  <c r="FZ35" i="1"/>
  <c r="FZ29" i="1"/>
  <c r="FZ37" i="1"/>
  <c r="FZ28" i="1"/>
  <c r="FZ19" i="1"/>
  <c r="FZ33" i="1"/>
  <c r="FZ109" i="1"/>
  <c r="FZ64" i="1"/>
  <c r="FZ63" i="1"/>
  <c r="FZ77" i="1"/>
  <c r="FZ115" i="1"/>
  <c r="FZ31" i="1"/>
  <c r="FZ41" i="1"/>
  <c r="FZ191" i="1"/>
  <c r="FZ85" i="1"/>
  <c r="FZ62" i="1"/>
  <c r="FZ36" i="1"/>
  <c r="FZ32" i="1"/>
  <c r="FZ34" i="1"/>
  <c r="FZ93" i="1"/>
  <c r="FZ117" i="1"/>
  <c r="FZ154" i="1"/>
  <c r="FZ107" i="1"/>
  <c r="FZ98" i="1"/>
  <c r="FZ138" i="1"/>
  <c r="FZ75" i="1"/>
  <c r="FZ122" i="1"/>
  <c r="FZ84" i="1"/>
  <c r="FZ116" i="1"/>
  <c r="FZ186" i="1"/>
  <c r="FZ89" i="1"/>
  <c r="FZ70" i="1"/>
  <c r="FZ61" i="1"/>
  <c r="FZ74" i="1"/>
  <c r="FZ88" i="1"/>
  <c r="FZ73" i="1"/>
  <c r="FZ111" i="1"/>
  <c r="FZ87" i="1"/>
  <c r="FZ82" i="1"/>
  <c r="FZ53" i="1"/>
  <c r="FZ175" i="1"/>
  <c r="FZ55" i="1"/>
  <c r="FZ51" i="1"/>
  <c r="FZ157" i="1"/>
  <c r="FZ158" i="1"/>
  <c r="FZ83" i="1"/>
  <c r="FZ91" i="1"/>
  <c r="FZ105" i="1"/>
  <c r="FZ103" i="1"/>
  <c r="FZ188" i="1"/>
  <c r="FZ163" i="1"/>
  <c r="FZ101" i="1"/>
  <c r="FZ65" i="1"/>
  <c r="FZ60" i="1"/>
  <c r="FZ80" i="1"/>
  <c r="FZ56" i="1"/>
  <c r="FZ57" i="1"/>
  <c r="FZ25" i="1"/>
  <c r="FZ104" i="1"/>
  <c r="FZ66" i="1"/>
  <c r="FZ58" i="1"/>
  <c r="FZ155" i="1"/>
  <c r="FZ156" i="1"/>
  <c r="FZ134" i="1"/>
  <c r="FZ92" i="1"/>
  <c r="FZ67" i="1"/>
  <c r="FZ126" i="1"/>
  <c r="FZ145" i="1"/>
  <c r="FZ135" i="1"/>
  <c r="FZ159" i="1"/>
  <c r="FZ76" i="1"/>
  <c r="FZ114" i="1"/>
  <c r="FZ161" i="1"/>
  <c r="FZ160" i="1"/>
  <c r="FZ95" i="1"/>
  <c r="FZ120" i="1"/>
  <c r="FZ42" i="1"/>
  <c r="FZ183" i="1"/>
  <c r="FZ112" i="1"/>
  <c r="FZ148" i="1"/>
  <c r="FZ179" i="1"/>
  <c r="FZ128" i="1"/>
  <c r="FZ144" i="1"/>
  <c r="FZ110" i="1"/>
  <c r="FZ81" i="1"/>
  <c r="FZ100" i="1"/>
  <c r="FZ123" i="1"/>
  <c r="FZ86" i="1"/>
  <c r="FZ174" i="1"/>
  <c r="FZ201" i="1"/>
  <c r="FZ90" i="1"/>
  <c r="FZ102" i="1"/>
  <c r="FZ94" i="1"/>
  <c r="FZ119" i="1"/>
  <c r="FZ141" i="1"/>
  <c r="FZ147" i="1"/>
  <c r="FZ165" i="1"/>
  <c r="FZ132" i="1"/>
  <c r="FZ189" i="1"/>
  <c r="FZ133" i="1"/>
  <c r="FZ206" i="1"/>
  <c r="FZ78" i="1"/>
  <c r="FZ143" i="1"/>
  <c r="FZ150" i="1"/>
  <c r="FZ130" i="1"/>
  <c r="FZ96" i="1"/>
  <c r="FZ182" i="1"/>
  <c r="FZ195" i="1"/>
  <c r="FZ178" i="1"/>
  <c r="FZ181" i="1"/>
  <c r="FZ194" i="1"/>
  <c r="FZ208" i="1"/>
  <c r="FZ129" i="1"/>
  <c r="FZ180" i="1"/>
  <c r="FZ140" i="1"/>
  <c r="FZ125" i="1"/>
  <c r="FZ131" i="1"/>
  <c r="FZ173" i="1"/>
  <c r="FZ184" i="1"/>
  <c r="FZ190" i="1"/>
  <c r="FZ142" i="1"/>
  <c r="FZ69" i="1"/>
  <c r="FZ151" i="1"/>
  <c r="FZ193" i="1"/>
  <c r="FZ169" i="1"/>
  <c r="FZ166" i="1"/>
  <c r="FZ97" i="1"/>
  <c r="FZ79" i="1"/>
  <c r="FZ146" i="1"/>
  <c r="FZ204" i="1"/>
  <c r="FZ113" i="1"/>
  <c r="FZ172" i="1"/>
  <c r="FZ171" i="1"/>
  <c r="FZ185" i="1"/>
  <c r="FZ137" i="1"/>
  <c r="FZ205" i="1"/>
  <c r="FZ177" i="1"/>
  <c r="FZ199" i="1"/>
  <c r="FZ106" i="1"/>
  <c r="FZ203" i="1"/>
  <c r="FZ124" i="1"/>
  <c r="FZ170" i="1"/>
  <c r="FZ152" i="1"/>
  <c r="FZ118" i="1"/>
  <c r="FZ198" i="1"/>
  <c r="FZ200" i="1"/>
  <c r="FZ136" i="1"/>
  <c r="FZ108" i="1"/>
  <c r="FZ149" i="1"/>
  <c r="FZ187" i="1"/>
  <c r="FZ168" i="1"/>
  <c r="FZ162" i="1"/>
  <c r="FZ139" i="1"/>
  <c r="FZ196" i="1"/>
  <c r="FZ153" i="1"/>
  <c r="FZ197" i="1"/>
  <c r="FZ176" i="1"/>
  <c r="FZ202" i="1"/>
  <c r="FZ167" i="1"/>
  <c r="FZ207" i="1"/>
  <c r="FZ192" i="1"/>
  <c r="FY3" i="1"/>
  <c r="FY2" i="1"/>
  <c r="FY43" i="1"/>
  <c r="FY71" i="1"/>
  <c r="FY7" i="1"/>
  <c r="FY164" i="1"/>
  <c r="FY4" i="1"/>
  <c r="FY99" i="1"/>
  <c r="FY6" i="1"/>
  <c r="FY8" i="1"/>
  <c r="FY10" i="1"/>
  <c r="FY9" i="1"/>
  <c r="FY127" i="1"/>
  <c r="FY11" i="1"/>
  <c r="FY44" i="1"/>
  <c r="FY39" i="1"/>
  <c r="FY45" i="1"/>
  <c r="FY16" i="1"/>
  <c r="FY12" i="1"/>
  <c r="FY48" i="1"/>
  <c r="FY54" i="1"/>
  <c r="FY47" i="1"/>
  <c r="FY20" i="1"/>
  <c r="FY50" i="1"/>
  <c r="FY22" i="1"/>
  <c r="FY49" i="1"/>
  <c r="FY13" i="1"/>
  <c r="FY26" i="1"/>
  <c r="FY52" i="1"/>
  <c r="FY46" i="1"/>
  <c r="FY72" i="1"/>
  <c r="FY5" i="1"/>
  <c r="FY18" i="1"/>
  <c r="FY23" i="1"/>
  <c r="FY15" i="1"/>
  <c r="FY14" i="1"/>
  <c r="FY59" i="1"/>
  <c r="FY38" i="1"/>
  <c r="FY21" i="1"/>
  <c r="FY27" i="1"/>
  <c r="FY17" i="1"/>
  <c r="FY68" i="1"/>
  <c r="FY121" i="1"/>
  <c r="FY24" i="1"/>
  <c r="FY30" i="1"/>
  <c r="FY40" i="1"/>
  <c r="FY35" i="1"/>
  <c r="FY29" i="1"/>
  <c r="FY37" i="1"/>
  <c r="FY28" i="1"/>
  <c r="FY19" i="1"/>
  <c r="FY33" i="1"/>
  <c r="FY109" i="1"/>
  <c r="FY64" i="1"/>
  <c r="FY63" i="1"/>
  <c r="FY77" i="1"/>
  <c r="FY115" i="1"/>
  <c r="FY31" i="1"/>
  <c r="FY41" i="1"/>
  <c r="FY191" i="1"/>
  <c r="FY85" i="1"/>
  <c r="FY62" i="1"/>
  <c r="FY36" i="1"/>
  <c r="FY32" i="1"/>
  <c r="FY34" i="1"/>
  <c r="FY93" i="1"/>
  <c r="FY117" i="1"/>
  <c r="FY154" i="1"/>
  <c r="FY107" i="1"/>
  <c r="FY98" i="1"/>
  <c r="FY138" i="1"/>
  <c r="FY75" i="1"/>
  <c r="FY122" i="1"/>
  <c r="FY84" i="1"/>
  <c r="FY116" i="1"/>
  <c r="FY186" i="1"/>
  <c r="FY89" i="1"/>
  <c r="FY70" i="1"/>
  <c r="FY61" i="1"/>
  <c r="FY74" i="1"/>
  <c r="FY88" i="1"/>
  <c r="FY73" i="1"/>
  <c r="FY111" i="1"/>
  <c r="FY87" i="1"/>
  <c r="FY82" i="1"/>
  <c r="FY53" i="1"/>
  <c r="FY175" i="1"/>
  <c r="FY55" i="1"/>
  <c r="FY51" i="1"/>
  <c r="FY157" i="1"/>
  <c r="FY158" i="1"/>
  <c r="FY83" i="1"/>
  <c r="FY91" i="1"/>
  <c r="FY105" i="1"/>
  <c r="FY103" i="1"/>
  <c r="FY188" i="1"/>
  <c r="FY163" i="1"/>
  <c r="FY101" i="1"/>
  <c r="FY65" i="1"/>
  <c r="FY60" i="1"/>
  <c r="FY80" i="1"/>
  <c r="FY56" i="1"/>
  <c r="FY57" i="1"/>
  <c r="FY25" i="1"/>
  <c r="FY104" i="1"/>
  <c r="FY66" i="1"/>
  <c r="FY58" i="1"/>
  <c r="FY155" i="1"/>
  <c r="FY156" i="1"/>
  <c r="FY134" i="1"/>
  <c r="FY92" i="1"/>
  <c r="FY67" i="1"/>
  <c r="FY126" i="1"/>
  <c r="FY145" i="1"/>
  <c r="FY135" i="1"/>
  <c r="FY159" i="1"/>
  <c r="FY76" i="1"/>
  <c r="FY114" i="1"/>
  <c r="FY161" i="1"/>
  <c r="FY160" i="1"/>
  <c r="FY95" i="1"/>
  <c r="FY120" i="1"/>
  <c r="FY42" i="1"/>
  <c r="FY183" i="1"/>
  <c r="FY112" i="1"/>
  <c r="FY148" i="1"/>
  <c r="FY179" i="1"/>
  <c r="FY128" i="1"/>
  <c r="FY144" i="1"/>
  <c r="FY110" i="1"/>
  <c r="FY81" i="1"/>
  <c r="FY100" i="1"/>
  <c r="FY123" i="1"/>
  <c r="FY86" i="1"/>
  <c r="FY174" i="1"/>
  <c r="FY201" i="1"/>
  <c r="FY90" i="1"/>
  <c r="FY102" i="1"/>
  <c r="FY94" i="1"/>
  <c r="FY119" i="1"/>
  <c r="FY141" i="1"/>
  <c r="FY147" i="1"/>
  <c r="FY165" i="1"/>
  <c r="FY132" i="1"/>
  <c r="FY189" i="1"/>
  <c r="FY133" i="1"/>
  <c r="FY206" i="1"/>
  <c r="FY78" i="1"/>
  <c r="FY143" i="1"/>
  <c r="FY150" i="1"/>
  <c r="FY130" i="1"/>
  <c r="FY96" i="1"/>
  <c r="FY182" i="1"/>
  <c r="FY195" i="1"/>
  <c r="FY178" i="1"/>
  <c r="FY181" i="1"/>
  <c r="FY194" i="1"/>
  <c r="FY208" i="1"/>
  <c r="FY129" i="1"/>
  <c r="FY180" i="1"/>
  <c r="FY140" i="1"/>
  <c r="FY125" i="1"/>
  <c r="FY131" i="1"/>
  <c r="FY173" i="1"/>
  <c r="FY184" i="1"/>
  <c r="FY190" i="1"/>
  <c r="FY142" i="1"/>
  <c r="FY69" i="1"/>
  <c r="FY151" i="1"/>
  <c r="FY193" i="1"/>
  <c r="FY169" i="1"/>
  <c r="FY166" i="1"/>
  <c r="FY97" i="1"/>
  <c r="FY79" i="1"/>
  <c r="FY146" i="1"/>
  <c r="FY204" i="1"/>
  <c r="FY113" i="1"/>
  <c r="FY172" i="1"/>
  <c r="FY171" i="1"/>
  <c r="FY185" i="1"/>
  <c r="FY137" i="1"/>
  <c r="FY205" i="1"/>
  <c r="FY177" i="1"/>
  <c r="FY199" i="1"/>
  <c r="FY106" i="1"/>
  <c r="FY203" i="1"/>
  <c r="FY124" i="1"/>
  <c r="FY170" i="1"/>
  <c r="FY152" i="1"/>
  <c r="FY118" i="1"/>
  <c r="FY198" i="1"/>
  <c r="FY200" i="1"/>
  <c r="FY136" i="1"/>
  <c r="FY108" i="1"/>
  <c r="FY149" i="1"/>
  <c r="FY187" i="1"/>
  <c r="FY168" i="1"/>
  <c r="FY162" i="1"/>
  <c r="FY139" i="1"/>
  <c r="FY196" i="1"/>
  <c r="FY153" i="1"/>
  <c r="FY197" i="1"/>
  <c r="FY176" i="1"/>
  <c r="FY202" i="1"/>
  <c r="FY167" i="1"/>
  <c r="FY207" i="1"/>
  <c r="FY192" i="1"/>
  <c r="FX3" i="1"/>
  <c r="FX2" i="1"/>
  <c r="FX43" i="1"/>
  <c r="FX71" i="1"/>
  <c r="FX7" i="1"/>
  <c r="FX164" i="1"/>
  <c r="FX4" i="1"/>
  <c r="FX99" i="1"/>
  <c r="FX6" i="1"/>
  <c r="FX8" i="1"/>
  <c r="FX10" i="1"/>
  <c r="FX9" i="1"/>
  <c r="FX127" i="1"/>
  <c r="FX11" i="1"/>
  <c r="FX44" i="1"/>
  <c r="FX39" i="1"/>
  <c r="FX45" i="1"/>
  <c r="FX16" i="1"/>
  <c r="FX12" i="1"/>
  <c r="FX48" i="1"/>
  <c r="FX54" i="1"/>
  <c r="FX47" i="1"/>
  <c r="FX20" i="1"/>
  <c r="FX50" i="1"/>
  <c r="FX22" i="1"/>
  <c r="FX49" i="1"/>
  <c r="FX13" i="1"/>
  <c r="FX26" i="1"/>
  <c r="FX52" i="1"/>
  <c r="FX46" i="1"/>
  <c r="FX72" i="1"/>
  <c r="FX5" i="1"/>
  <c r="FX18" i="1"/>
  <c r="FX23" i="1"/>
  <c r="FX15" i="1"/>
  <c r="FX14" i="1"/>
  <c r="FX59" i="1"/>
  <c r="FX38" i="1"/>
  <c r="FX21" i="1"/>
  <c r="FX27" i="1"/>
  <c r="FX17" i="1"/>
  <c r="FX68" i="1"/>
  <c r="FX121" i="1"/>
  <c r="FX24" i="1"/>
  <c r="FX30" i="1"/>
  <c r="FX40" i="1"/>
  <c r="FX35" i="1"/>
  <c r="FX29" i="1"/>
  <c r="FX37" i="1"/>
  <c r="FX28" i="1"/>
  <c r="FX19" i="1"/>
  <c r="FX33" i="1"/>
  <c r="FX109" i="1"/>
  <c r="FX64" i="1"/>
  <c r="FX63" i="1"/>
  <c r="FX77" i="1"/>
  <c r="FX115" i="1"/>
  <c r="FX31" i="1"/>
  <c r="FX41" i="1"/>
  <c r="FX191" i="1"/>
  <c r="FX85" i="1"/>
  <c r="FX62" i="1"/>
  <c r="FX36" i="1"/>
  <c r="FX32" i="1"/>
  <c r="FX34" i="1"/>
  <c r="FX93" i="1"/>
  <c r="FX117" i="1"/>
  <c r="FX154" i="1"/>
  <c r="FX107" i="1"/>
  <c r="FX98" i="1"/>
  <c r="FX138" i="1"/>
  <c r="FX75" i="1"/>
  <c r="FX122" i="1"/>
  <c r="FX84" i="1"/>
  <c r="FX116" i="1"/>
  <c r="FX186" i="1"/>
  <c r="FX89" i="1"/>
  <c r="FX70" i="1"/>
  <c r="FX61" i="1"/>
  <c r="FX74" i="1"/>
  <c r="FX88" i="1"/>
  <c r="FX73" i="1"/>
  <c r="FX111" i="1"/>
  <c r="FX87" i="1"/>
  <c r="FX82" i="1"/>
  <c r="FX53" i="1"/>
  <c r="FX175" i="1"/>
  <c r="FX55" i="1"/>
  <c r="FX51" i="1"/>
  <c r="FX157" i="1"/>
  <c r="FX158" i="1"/>
  <c r="FX83" i="1"/>
  <c r="FX91" i="1"/>
  <c r="FX105" i="1"/>
  <c r="FX103" i="1"/>
  <c r="FX188" i="1"/>
  <c r="FX163" i="1"/>
  <c r="FX101" i="1"/>
  <c r="FX65" i="1"/>
  <c r="FX60" i="1"/>
  <c r="FX80" i="1"/>
  <c r="FX56" i="1"/>
  <c r="FX57" i="1"/>
  <c r="FX25" i="1"/>
  <c r="FX104" i="1"/>
  <c r="FX66" i="1"/>
  <c r="FX58" i="1"/>
  <c r="FX155" i="1"/>
  <c r="FX156" i="1"/>
  <c r="FX134" i="1"/>
  <c r="FX92" i="1"/>
  <c r="FX67" i="1"/>
  <c r="FX126" i="1"/>
  <c r="FX145" i="1"/>
  <c r="FX135" i="1"/>
  <c r="FX159" i="1"/>
  <c r="FX76" i="1"/>
  <c r="FX114" i="1"/>
  <c r="FX161" i="1"/>
  <c r="FX160" i="1"/>
  <c r="FX95" i="1"/>
  <c r="FX120" i="1"/>
  <c r="FX42" i="1"/>
  <c r="FX183" i="1"/>
  <c r="FX112" i="1"/>
  <c r="FX148" i="1"/>
  <c r="FX179" i="1"/>
  <c r="FX128" i="1"/>
  <c r="FX144" i="1"/>
  <c r="FX110" i="1"/>
  <c r="FX81" i="1"/>
  <c r="FX100" i="1"/>
  <c r="FX123" i="1"/>
  <c r="FX86" i="1"/>
  <c r="FX174" i="1"/>
  <c r="FX201" i="1"/>
  <c r="FX90" i="1"/>
  <c r="FX102" i="1"/>
  <c r="FX94" i="1"/>
  <c r="FX119" i="1"/>
  <c r="FX141" i="1"/>
  <c r="FX147" i="1"/>
  <c r="FX165" i="1"/>
  <c r="FX132" i="1"/>
  <c r="FX189" i="1"/>
  <c r="FX133" i="1"/>
  <c r="FX206" i="1"/>
  <c r="FX78" i="1"/>
  <c r="FX143" i="1"/>
  <c r="FX150" i="1"/>
  <c r="FX130" i="1"/>
  <c r="FX96" i="1"/>
  <c r="FX182" i="1"/>
  <c r="FX195" i="1"/>
  <c r="FX178" i="1"/>
  <c r="FX181" i="1"/>
  <c r="FX194" i="1"/>
  <c r="FX208" i="1"/>
  <c r="FX129" i="1"/>
  <c r="FX180" i="1"/>
  <c r="FX140" i="1"/>
  <c r="FX125" i="1"/>
  <c r="FX131" i="1"/>
  <c r="FX173" i="1"/>
  <c r="FX184" i="1"/>
  <c r="FX190" i="1"/>
  <c r="FX142" i="1"/>
  <c r="FX69" i="1"/>
  <c r="FX151" i="1"/>
  <c r="FX193" i="1"/>
  <c r="FX169" i="1"/>
  <c r="FX166" i="1"/>
  <c r="FX97" i="1"/>
  <c r="FX79" i="1"/>
  <c r="FX146" i="1"/>
  <c r="FX204" i="1"/>
  <c r="FX113" i="1"/>
  <c r="FX172" i="1"/>
  <c r="FX171" i="1"/>
  <c r="FX185" i="1"/>
  <c r="FX137" i="1"/>
  <c r="FX205" i="1"/>
  <c r="FX177" i="1"/>
  <c r="FX199" i="1"/>
  <c r="FX106" i="1"/>
  <c r="FX203" i="1"/>
  <c r="FX124" i="1"/>
  <c r="FX170" i="1"/>
  <c r="FX152" i="1"/>
  <c r="FX118" i="1"/>
  <c r="FX198" i="1"/>
  <c r="FX200" i="1"/>
  <c r="FX136" i="1"/>
  <c r="FX108" i="1"/>
  <c r="FX149" i="1"/>
  <c r="FX187" i="1"/>
  <c r="FX168" i="1"/>
  <c r="FX162" i="1"/>
  <c r="FX139" i="1"/>
  <c r="FX196" i="1"/>
  <c r="FX153" i="1"/>
  <c r="FX197" i="1"/>
  <c r="FX176" i="1"/>
  <c r="FX202" i="1"/>
  <c r="FX167" i="1"/>
  <c r="FX207" i="1"/>
  <c r="FX192" i="1"/>
  <c r="FW3" i="1"/>
  <c r="FW2" i="1"/>
  <c r="FW43" i="1"/>
  <c r="FW71" i="1"/>
  <c r="FW7" i="1"/>
  <c r="FW164" i="1"/>
  <c r="FW4" i="1"/>
  <c r="FW99" i="1"/>
  <c r="FW6" i="1"/>
  <c r="FW8" i="1"/>
  <c r="FW10" i="1"/>
  <c r="FW9" i="1"/>
  <c r="FW127" i="1"/>
  <c r="FW11" i="1"/>
  <c r="FW44" i="1"/>
  <c r="FW39" i="1"/>
  <c r="FW45" i="1"/>
  <c r="FW16" i="1"/>
  <c r="FW12" i="1"/>
  <c r="FW48" i="1"/>
  <c r="FW54" i="1"/>
  <c r="FW47" i="1"/>
  <c r="FW20" i="1"/>
  <c r="FW50" i="1"/>
  <c r="FW22" i="1"/>
  <c r="FW49" i="1"/>
  <c r="FW13" i="1"/>
  <c r="FW26" i="1"/>
  <c r="FW52" i="1"/>
  <c r="FW46" i="1"/>
  <c r="FW72" i="1"/>
  <c r="FW5" i="1"/>
  <c r="FW18" i="1"/>
  <c r="FW23" i="1"/>
  <c r="FW15" i="1"/>
  <c r="FW14" i="1"/>
  <c r="FW59" i="1"/>
  <c r="FW38" i="1"/>
  <c r="FW21" i="1"/>
  <c r="FW27" i="1"/>
  <c r="FW17" i="1"/>
  <c r="FW68" i="1"/>
  <c r="FW121" i="1"/>
  <c r="FW24" i="1"/>
  <c r="FW30" i="1"/>
  <c r="FW40" i="1"/>
  <c r="FW35" i="1"/>
  <c r="FW29" i="1"/>
  <c r="FW37" i="1"/>
  <c r="FW28" i="1"/>
  <c r="FW19" i="1"/>
  <c r="FW33" i="1"/>
  <c r="FW109" i="1"/>
  <c r="FW64" i="1"/>
  <c r="FW63" i="1"/>
  <c r="FW77" i="1"/>
  <c r="FW115" i="1"/>
  <c r="FW31" i="1"/>
  <c r="FW41" i="1"/>
  <c r="FW191" i="1"/>
  <c r="FW85" i="1"/>
  <c r="FW62" i="1"/>
  <c r="FW36" i="1"/>
  <c r="FW32" i="1"/>
  <c r="FW34" i="1"/>
  <c r="FW93" i="1"/>
  <c r="FW117" i="1"/>
  <c r="FW154" i="1"/>
  <c r="FW107" i="1"/>
  <c r="FW98" i="1"/>
  <c r="FW138" i="1"/>
  <c r="FW75" i="1"/>
  <c r="FW122" i="1"/>
  <c r="FW84" i="1"/>
  <c r="FW116" i="1"/>
  <c r="FW186" i="1"/>
  <c r="FW89" i="1"/>
  <c r="FW70" i="1"/>
  <c r="FW61" i="1"/>
  <c r="FW74" i="1"/>
  <c r="FW88" i="1"/>
  <c r="FW73" i="1"/>
  <c r="FW111" i="1"/>
  <c r="FW87" i="1"/>
  <c r="FW82" i="1"/>
  <c r="FW53" i="1"/>
  <c r="FW175" i="1"/>
  <c r="FW55" i="1"/>
  <c r="FW51" i="1"/>
  <c r="FW157" i="1"/>
  <c r="FW158" i="1"/>
  <c r="FW83" i="1"/>
  <c r="FW91" i="1"/>
  <c r="FW105" i="1"/>
  <c r="FW103" i="1"/>
  <c r="FW188" i="1"/>
  <c r="FW163" i="1"/>
  <c r="FW101" i="1"/>
  <c r="FW65" i="1"/>
  <c r="FW60" i="1"/>
  <c r="FW80" i="1"/>
  <c r="FW56" i="1"/>
  <c r="FW57" i="1"/>
  <c r="FW25" i="1"/>
  <c r="FW104" i="1"/>
  <c r="FW66" i="1"/>
  <c r="FW58" i="1"/>
  <c r="FW155" i="1"/>
  <c r="FW156" i="1"/>
  <c r="FW134" i="1"/>
  <c r="FW92" i="1"/>
  <c r="FW67" i="1"/>
  <c r="FW126" i="1"/>
  <c r="FW145" i="1"/>
  <c r="FW135" i="1"/>
  <c r="FW159" i="1"/>
  <c r="FW76" i="1"/>
  <c r="FW114" i="1"/>
  <c r="FW161" i="1"/>
  <c r="FW160" i="1"/>
  <c r="FW95" i="1"/>
  <c r="FW120" i="1"/>
  <c r="FW42" i="1"/>
  <c r="FW183" i="1"/>
  <c r="FW112" i="1"/>
  <c r="FW148" i="1"/>
  <c r="FW179" i="1"/>
  <c r="FW128" i="1"/>
  <c r="FW144" i="1"/>
  <c r="FW110" i="1"/>
  <c r="FW81" i="1"/>
  <c r="FW100" i="1"/>
  <c r="FW123" i="1"/>
  <c r="FW86" i="1"/>
  <c r="FW174" i="1"/>
  <c r="FW201" i="1"/>
  <c r="FW90" i="1"/>
  <c r="FW102" i="1"/>
  <c r="FW94" i="1"/>
  <c r="FW119" i="1"/>
  <c r="FW141" i="1"/>
  <c r="FW147" i="1"/>
  <c r="FW165" i="1"/>
  <c r="FW132" i="1"/>
  <c r="FW189" i="1"/>
  <c r="FW133" i="1"/>
  <c r="FW206" i="1"/>
  <c r="FW78" i="1"/>
  <c r="FW143" i="1"/>
  <c r="FW150" i="1"/>
  <c r="FW130" i="1"/>
  <c r="FW96" i="1"/>
  <c r="FW182" i="1"/>
  <c r="FW195" i="1"/>
  <c r="FW178" i="1"/>
  <c r="FW181" i="1"/>
  <c r="FW194" i="1"/>
  <c r="FW208" i="1"/>
  <c r="FW129" i="1"/>
  <c r="FW180" i="1"/>
  <c r="FW140" i="1"/>
  <c r="FW125" i="1"/>
  <c r="FW131" i="1"/>
  <c r="FW173" i="1"/>
  <c r="FW184" i="1"/>
  <c r="FW190" i="1"/>
  <c r="FW142" i="1"/>
  <c r="FW69" i="1"/>
  <c r="FW151" i="1"/>
  <c r="FW193" i="1"/>
  <c r="FW169" i="1"/>
  <c r="FW166" i="1"/>
  <c r="FW97" i="1"/>
  <c r="FW79" i="1"/>
  <c r="FW146" i="1"/>
  <c r="FW204" i="1"/>
  <c r="FW113" i="1"/>
  <c r="FW172" i="1"/>
  <c r="FW171" i="1"/>
  <c r="FW185" i="1"/>
  <c r="FW137" i="1"/>
  <c r="FW205" i="1"/>
  <c r="FW177" i="1"/>
  <c r="FW199" i="1"/>
  <c r="FW106" i="1"/>
  <c r="FW203" i="1"/>
  <c r="FW124" i="1"/>
  <c r="FW170" i="1"/>
  <c r="FW152" i="1"/>
  <c r="FW118" i="1"/>
  <c r="FW198" i="1"/>
  <c r="FW200" i="1"/>
  <c r="FW136" i="1"/>
  <c r="FW108" i="1"/>
  <c r="FW149" i="1"/>
  <c r="FW187" i="1"/>
  <c r="FW168" i="1"/>
  <c r="FW162" i="1"/>
  <c r="FW139" i="1"/>
  <c r="FW196" i="1"/>
  <c r="FW153" i="1"/>
  <c r="FW197" i="1"/>
  <c r="FW176" i="1"/>
  <c r="FW202" i="1"/>
  <c r="FW167" i="1"/>
  <c r="FW207" i="1"/>
  <c r="FW192" i="1"/>
  <c r="FV3" i="1"/>
  <c r="FV2" i="1"/>
  <c r="FV43" i="1"/>
  <c r="FV71" i="1"/>
  <c r="FV7" i="1"/>
  <c r="FV164" i="1"/>
  <c r="FV4" i="1"/>
  <c r="FV99" i="1"/>
  <c r="FV6" i="1"/>
  <c r="FV8" i="1"/>
  <c r="FV10" i="1"/>
  <c r="FV9" i="1"/>
  <c r="FV127" i="1"/>
  <c r="FV11" i="1"/>
  <c r="FV44" i="1"/>
  <c r="FV39" i="1"/>
  <c r="FV45" i="1"/>
  <c r="FV16" i="1"/>
  <c r="FV12" i="1"/>
  <c r="FV48" i="1"/>
  <c r="FV54" i="1"/>
  <c r="FV47" i="1"/>
  <c r="FV20" i="1"/>
  <c r="FV50" i="1"/>
  <c r="FV22" i="1"/>
  <c r="FV49" i="1"/>
  <c r="FV13" i="1"/>
  <c r="FV26" i="1"/>
  <c r="FV52" i="1"/>
  <c r="FV46" i="1"/>
  <c r="FV72" i="1"/>
  <c r="FV5" i="1"/>
  <c r="FV18" i="1"/>
  <c r="FV23" i="1"/>
  <c r="FV15" i="1"/>
  <c r="FV14" i="1"/>
  <c r="FV59" i="1"/>
  <c r="FV38" i="1"/>
  <c r="FV21" i="1"/>
  <c r="FV27" i="1"/>
  <c r="FV17" i="1"/>
  <c r="FV68" i="1"/>
  <c r="FV121" i="1"/>
  <c r="FV24" i="1"/>
  <c r="FV30" i="1"/>
  <c r="FV40" i="1"/>
  <c r="FV35" i="1"/>
  <c r="FV29" i="1"/>
  <c r="FV37" i="1"/>
  <c r="FV28" i="1"/>
  <c r="FV19" i="1"/>
  <c r="FV33" i="1"/>
  <c r="FV109" i="1"/>
  <c r="FV64" i="1"/>
  <c r="FV63" i="1"/>
  <c r="FV77" i="1"/>
  <c r="FV115" i="1"/>
  <c r="FV31" i="1"/>
  <c r="FV41" i="1"/>
  <c r="FV191" i="1"/>
  <c r="FV85" i="1"/>
  <c r="FV62" i="1"/>
  <c r="FV36" i="1"/>
  <c r="FV32" i="1"/>
  <c r="FV34" i="1"/>
  <c r="FV93" i="1"/>
  <c r="FV117" i="1"/>
  <c r="FV154" i="1"/>
  <c r="FV107" i="1"/>
  <c r="FV98" i="1"/>
  <c r="FV138" i="1"/>
  <c r="FV75" i="1"/>
  <c r="FV122" i="1"/>
  <c r="FV84" i="1"/>
  <c r="FV116" i="1"/>
  <c r="FV186" i="1"/>
  <c r="FV89" i="1"/>
  <c r="FV70" i="1"/>
  <c r="FV61" i="1"/>
  <c r="FV74" i="1"/>
  <c r="FV88" i="1"/>
  <c r="FV73" i="1"/>
  <c r="FV111" i="1"/>
  <c r="FV87" i="1"/>
  <c r="FV82" i="1"/>
  <c r="FV53" i="1"/>
  <c r="FV175" i="1"/>
  <c r="FV55" i="1"/>
  <c r="FV51" i="1"/>
  <c r="FV157" i="1"/>
  <c r="FV158" i="1"/>
  <c r="FV83" i="1"/>
  <c r="FV91" i="1"/>
  <c r="FV105" i="1"/>
  <c r="FV103" i="1"/>
  <c r="FV188" i="1"/>
  <c r="FV163" i="1"/>
  <c r="FV101" i="1"/>
  <c r="FV65" i="1"/>
  <c r="FV60" i="1"/>
  <c r="FV80" i="1"/>
  <c r="FV56" i="1"/>
  <c r="FV57" i="1"/>
  <c r="FV25" i="1"/>
  <c r="FV104" i="1"/>
  <c r="FV66" i="1"/>
  <c r="FV58" i="1"/>
  <c r="FV155" i="1"/>
  <c r="FV156" i="1"/>
  <c r="FV134" i="1"/>
  <c r="FV92" i="1"/>
  <c r="FV67" i="1"/>
  <c r="FV126" i="1"/>
  <c r="FV145" i="1"/>
  <c r="FV135" i="1"/>
  <c r="FV159" i="1"/>
  <c r="FV76" i="1"/>
  <c r="FV114" i="1"/>
  <c r="FV161" i="1"/>
  <c r="FV160" i="1"/>
  <c r="FV95" i="1"/>
  <c r="FV120" i="1"/>
  <c r="FV42" i="1"/>
  <c r="FV183" i="1"/>
  <c r="FV112" i="1"/>
  <c r="FV148" i="1"/>
  <c r="FV179" i="1"/>
  <c r="FV128" i="1"/>
  <c r="FV144" i="1"/>
  <c r="FV110" i="1"/>
  <c r="FV81" i="1"/>
  <c r="FV100" i="1"/>
  <c r="FV123" i="1"/>
  <c r="FV86" i="1"/>
  <c r="FV174" i="1"/>
  <c r="FV201" i="1"/>
  <c r="FV90" i="1"/>
  <c r="FV102" i="1"/>
  <c r="FV94" i="1"/>
  <c r="FV119" i="1"/>
  <c r="FV141" i="1"/>
  <c r="FV147" i="1"/>
  <c r="FV165" i="1"/>
  <c r="FV132" i="1"/>
  <c r="FV189" i="1"/>
  <c r="FV133" i="1"/>
  <c r="FV206" i="1"/>
  <c r="FV78" i="1"/>
  <c r="FV143" i="1"/>
  <c r="FV150" i="1"/>
  <c r="FV130" i="1"/>
  <c r="FV96" i="1"/>
  <c r="FV182" i="1"/>
  <c r="FV195" i="1"/>
  <c r="FV178" i="1"/>
  <c r="FV181" i="1"/>
  <c r="FV194" i="1"/>
  <c r="FV208" i="1"/>
  <c r="FV129" i="1"/>
  <c r="FV180" i="1"/>
  <c r="FV140" i="1"/>
  <c r="FV125" i="1"/>
  <c r="FV131" i="1"/>
  <c r="FV173" i="1"/>
  <c r="FV184" i="1"/>
  <c r="FV190" i="1"/>
  <c r="FV142" i="1"/>
  <c r="FV69" i="1"/>
  <c r="FV151" i="1"/>
  <c r="FV193" i="1"/>
  <c r="FV169" i="1"/>
  <c r="FV166" i="1"/>
  <c r="FV97" i="1"/>
  <c r="FV79" i="1"/>
  <c r="FV146" i="1"/>
  <c r="FV204" i="1"/>
  <c r="FV113" i="1"/>
  <c r="FV172" i="1"/>
  <c r="FV171" i="1"/>
  <c r="FV185" i="1"/>
  <c r="FV137" i="1"/>
  <c r="FV205" i="1"/>
  <c r="FV177" i="1"/>
  <c r="FV199" i="1"/>
  <c r="FV106" i="1"/>
  <c r="FV203" i="1"/>
  <c r="FV124" i="1"/>
  <c r="FV170" i="1"/>
  <c r="FV152" i="1"/>
  <c r="FV118" i="1"/>
  <c r="FV198" i="1"/>
  <c r="FV200" i="1"/>
  <c r="FV136" i="1"/>
  <c r="FV108" i="1"/>
  <c r="FV149" i="1"/>
  <c r="FV187" i="1"/>
  <c r="FV168" i="1"/>
  <c r="FV162" i="1"/>
  <c r="FV139" i="1"/>
  <c r="FV196" i="1"/>
  <c r="FV153" i="1"/>
  <c r="FV197" i="1"/>
  <c r="FV176" i="1"/>
  <c r="FV202" i="1"/>
  <c r="FV167" i="1"/>
  <c r="FV207" i="1"/>
  <c r="FV192" i="1"/>
  <c r="FU3" i="1"/>
  <c r="FU2" i="1"/>
  <c r="FU43" i="1"/>
  <c r="FU71" i="1"/>
  <c r="FU7" i="1"/>
  <c r="FU164" i="1"/>
  <c r="FU4" i="1"/>
  <c r="FU99" i="1"/>
  <c r="FU6" i="1"/>
  <c r="FU8" i="1"/>
  <c r="FU10" i="1"/>
  <c r="FU9" i="1"/>
  <c r="FU127" i="1"/>
  <c r="FU11" i="1"/>
  <c r="FU44" i="1"/>
  <c r="FU39" i="1"/>
  <c r="FU45" i="1"/>
  <c r="FU16" i="1"/>
  <c r="FU12" i="1"/>
  <c r="FU48" i="1"/>
  <c r="FU54" i="1"/>
  <c r="FU47" i="1"/>
  <c r="FU20" i="1"/>
  <c r="FU50" i="1"/>
  <c r="FU22" i="1"/>
  <c r="FU49" i="1"/>
  <c r="FU13" i="1"/>
  <c r="FU26" i="1"/>
  <c r="FU52" i="1"/>
  <c r="FU46" i="1"/>
  <c r="FU72" i="1"/>
  <c r="FU5" i="1"/>
  <c r="FU18" i="1"/>
  <c r="FU23" i="1"/>
  <c r="FU15" i="1"/>
  <c r="FU14" i="1"/>
  <c r="FU59" i="1"/>
  <c r="FU38" i="1"/>
  <c r="FU21" i="1"/>
  <c r="FU27" i="1"/>
  <c r="FU17" i="1"/>
  <c r="FU68" i="1"/>
  <c r="FU121" i="1"/>
  <c r="FU24" i="1"/>
  <c r="FU30" i="1"/>
  <c r="FU40" i="1"/>
  <c r="FU35" i="1"/>
  <c r="FU29" i="1"/>
  <c r="FU37" i="1"/>
  <c r="FU28" i="1"/>
  <c r="FU19" i="1"/>
  <c r="FU33" i="1"/>
  <c r="FU109" i="1"/>
  <c r="FU64" i="1"/>
  <c r="FU63" i="1"/>
  <c r="FU77" i="1"/>
  <c r="FU115" i="1"/>
  <c r="FU31" i="1"/>
  <c r="FU41" i="1"/>
  <c r="FU191" i="1"/>
  <c r="FU85" i="1"/>
  <c r="FU62" i="1"/>
  <c r="FU36" i="1"/>
  <c r="FU32" i="1"/>
  <c r="FU34" i="1"/>
  <c r="FU93" i="1"/>
  <c r="FU117" i="1"/>
  <c r="FU154" i="1"/>
  <c r="FU107" i="1"/>
  <c r="FU98" i="1"/>
  <c r="FU138" i="1"/>
  <c r="FU75" i="1"/>
  <c r="FU122" i="1"/>
  <c r="FU84" i="1"/>
  <c r="FU116" i="1"/>
  <c r="FU186" i="1"/>
  <c r="FU89" i="1"/>
  <c r="FU70" i="1"/>
  <c r="FU61" i="1"/>
  <c r="FU74" i="1"/>
  <c r="FU88" i="1"/>
  <c r="FU73" i="1"/>
  <c r="FU111" i="1"/>
  <c r="FU87" i="1"/>
  <c r="FU82" i="1"/>
  <c r="FU53" i="1"/>
  <c r="FU175" i="1"/>
  <c r="FU55" i="1"/>
  <c r="FU51" i="1"/>
  <c r="FU157" i="1"/>
  <c r="FU158" i="1"/>
  <c r="FU83" i="1"/>
  <c r="FU91" i="1"/>
  <c r="FU105" i="1"/>
  <c r="FU103" i="1"/>
  <c r="FU188" i="1"/>
  <c r="FU163" i="1"/>
  <c r="FU101" i="1"/>
  <c r="FU65" i="1"/>
  <c r="FU60" i="1"/>
  <c r="FU80" i="1"/>
  <c r="FU56" i="1"/>
  <c r="FU57" i="1"/>
  <c r="FU25" i="1"/>
  <c r="FU104" i="1"/>
  <c r="FU66" i="1"/>
  <c r="FU58" i="1"/>
  <c r="FU155" i="1"/>
  <c r="FU156" i="1"/>
  <c r="FU134" i="1"/>
  <c r="FU92" i="1"/>
  <c r="FU67" i="1"/>
  <c r="FU126" i="1"/>
  <c r="FU145" i="1"/>
  <c r="FU135" i="1"/>
  <c r="FU159" i="1"/>
  <c r="FU76" i="1"/>
  <c r="FU114" i="1"/>
  <c r="FU161" i="1"/>
  <c r="FU160" i="1"/>
  <c r="FU95" i="1"/>
  <c r="FU120" i="1"/>
  <c r="FU42" i="1"/>
  <c r="FU183" i="1"/>
  <c r="FU112" i="1"/>
  <c r="FU148" i="1"/>
  <c r="FU179" i="1"/>
  <c r="FU128" i="1"/>
  <c r="FU144" i="1"/>
  <c r="FU110" i="1"/>
  <c r="FU81" i="1"/>
  <c r="FU100" i="1"/>
  <c r="FU123" i="1"/>
  <c r="FU86" i="1"/>
  <c r="FU174" i="1"/>
  <c r="FU201" i="1"/>
  <c r="FU90" i="1"/>
  <c r="FU102" i="1"/>
  <c r="FU94" i="1"/>
  <c r="FU119" i="1"/>
  <c r="FU141" i="1"/>
  <c r="FU147" i="1"/>
  <c r="FU165" i="1"/>
  <c r="FU132" i="1"/>
  <c r="FU189" i="1"/>
  <c r="FU133" i="1"/>
  <c r="FU206" i="1"/>
  <c r="FU78" i="1"/>
  <c r="FU143" i="1"/>
  <c r="FU150" i="1"/>
  <c r="FU130" i="1"/>
  <c r="FU96" i="1"/>
  <c r="FU182" i="1"/>
  <c r="FU195" i="1"/>
  <c r="FU178" i="1"/>
  <c r="FU181" i="1"/>
  <c r="FU194" i="1"/>
  <c r="FU208" i="1"/>
  <c r="FU129" i="1"/>
  <c r="FU180" i="1"/>
  <c r="FU140" i="1"/>
  <c r="FU125" i="1"/>
  <c r="FU131" i="1"/>
  <c r="FU173" i="1"/>
  <c r="FU184" i="1"/>
  <c r="FU190" i="1"/>
  <c r="FU142" i="1"/>
  <c r="FU69" i="1"/>
  <c r="FU151" i="1"/>
  <c r="FU193" i="1"/>
  <c r="FU169" i="1"/>
  <c r="FU166" i="1"/>
  <c r="FU97" i="1"/>
  <c r="FU79" i="1"/>
  <c r="FU146" i="1"/>
  <c r="FU204" i="1"/>
  <c r="FU113" i="1"/>
  <c r="FU172" i="1"/>
  <c r="FU171" i="1"/>
  <c r="FU185" i="1"/>
  <c r="FU137" i="1"/>
  <c r="FU205" i="1"/>
  <c r="FU177" i="1"/>
  <c r="FU199" i="1"/>
  <c r="FU106" i="1"/>
  <c r="FU203" i="1"/>
  <c r="FU124" i="1"/>
  <c r="FU170" i="1"/>
  <c r="FU152" i="1"/>
  <c r="FU118" i="1"/>
  <c r="FU198" i="1"/>
  <c r="FU200" i="1"/>
  <c r="FU136" i="1"/>
  <c r="FU108" i="1"/>
  <c r="FU149" i="1"/>
  <c r="FU187" i="1"/>
  <c r="FU168" i="1"/>
  <c r="FU162" i="1"/>
  <c r="FU139" i="1"/>
  <c r="FU196" i="1"/>
  <c r="FU153" i="1"/>
  <c r="FU197" i="1"/>
  <c r="FU176" i="1"/>
  <c r="FU202" i="1"/>
  <c r="FU167" i="1"/>
  <c r="FU207" i="1"/>
  <c r="FU192" i="1"/>
  <c r="FT3" i="1"/>
  <c r="FT2" i="1"/>
  <c r="FT43" i="1"/>
  <c r="FT71" i="1"/>
  <c r="FT7" i="1"/>
  <c r="FT164" i="1"/>
  <c r="FT4" i="1"/>
  <c r="FT99" i="1"/>
  <c r="FT6" i="1"/>
  <c r="FT8" i="1"/>
  <c r="FT10" i="1"/>
  <c r="FT9" i="1"/>
  <c r="FT127" i="1"/>
  <c r="FT11" i="1"/>
  <c r="FT44" i="1"/>
  <c r="FT39" i="1"/>
  <c r="FT45" i="1"/>
  <c r="FT16" i="1"/>
  <c r="FT12" i="1"/>
  <c r="FT48" i="1"/>
  <c r="FT54" i="1"/>
  <c r="FT47" i="1"/>
  <c r="FT20" i="1"/>
  <c r="FT50" i="1"/>
  <c r="FT22" i="1"/>
  <c r="FT49" i="1"/>
  <c r="FT13" i="1"/>
  <c r="FT26" i="1"/>
  <c r="FT52" i="1"/>
  <c r="FT46" i="1"/>
  <c r="FT72" i="1"/>
  <c r="FT5" i="1"/>
  <c r="FT18" i="1"/>
  <c r="FT23" i="1"/>
  <c r="FT15" i="1"/>
  <c r="FT14" i="1"/>
  <c r="FT59" i="1"/>
  <c r="FT38" i="1"/>
  <c r="FT21" i="1"/>
  <c r="FT27" i="1"/>
  <c r="FT17" i="1"/>
  <c r="FT68" i="1"/>
  <c r="FT121" i="1"/>
  <c r="FT24" i="1"/>
  <c r="FT30" i="1"/>
  <c r="FT40" i="1"/>
  <c r="FT35" i="1"/>
  <c r="FT29" i="1"/>
  <c r="FT37" i="1"/>
  <c r="FT28" i="1"/>
  <c r="FT19" i="1"/>
  <c r="FT33" i="1"/>
  <c r="FT109" i="1"/>
  <c r="FT64" i="1"/>
  <c r="FT63" i="1"/>
  <c r="FT77" i="1"/>
  <c r="FT115" i="1"/>
  <c r="FT31" i="1"/>
  <c r="FT41" i="1"/>
  <c r="FT191" i="1"/>
  <c r="FT85" i="1"/>
  <c r="FT62" i="1"/>
  <c r="FT36" i="1"/>
  <c r="FT32" i="1"/>
  <c r="FT34" i="1"/>
  <c r="FT93" i="1"/>
  <c r="FT117" i="1"/>
  <c r="FT154" i="1"/>
  <c r="FT107" i="1"/>
  <c r="FT98" i="1"/>
  <c r="FT138" i="1"/>
  <c r="FT75" i="1"/>
  <c r="FT122" i="1"/>
  <c r="FT84" i="1"/>
  <c r="FT116" i="1"/>
  <c r="FT186" i="1"/>
  <c r="FT89" i="1"/>
  <c r="FT70" i="1"/>
  <c r="FT61" i="1"/>
  <c r="FT74" i="1"/>
  <c r="FT88" i="1"/>
  <c r="FT73" i="1"/>
  <c r="FT111" i="1"/>
  <c r="FT87" i="1"/>
  <c r="FT82" i="1"/>
  <c r="FT53" i="1"/>
  <c r="FT175" i="1"/>
  <c r="FT55" i="1"/>
  <c r="FT51" i="1"/>
  <c r="FT157" i="1"/>
  <c r="FT158" i="1"/>
  <c r="FT83" i="1"/>
  <c r="FT91" i="1"/>
  <c r="FT105" i="1"/>
  <c r="FT103" i="1"/>
  <c r="FT188" i="1"/>
  <c r="FT163" i="1"/>
  <c r="FT101" i="1"/>
  <c r="FT65" i="1"/>
  <c r="FT60" i="1"/>
  <c r="FT80" i="1"/>
  <c r="FT56" i="1"/>
  <c r="FT57" i="1"/>
  <c r="FT25" i="1"/>
  <c r="FT104" i="1"/>
  <c r="FT66" i="1"/>
  <c r="FT58" i="1"/>
  <c r="FT155" i="1"/>
  <c r="FT156" i="1"/>
  <c r="FT134" i="1"/>
  <c r="FT92" i="1"/>
  <c r="FT67" i="1"/>
  <c r="FT126" i="1"/>
  <c r="FT145" i="1"/>
  <c r="FT135" i="1"/>
  <c r="FT159" i="1"/>
  <c r="FT76" i="1"/>
  <c r="FT114" i="1"/>
  <c r="FT161" i="1"/>
  <c r="FT160" i="1"/>
  <c r="FT95" i="1"/>
  <c r="FT120" i="1"/>
  <c r="FT42" i="1"/>
  <c r="FT183" i="1"/>
  <c r="FT112" i="1"/>
  <c r="FT148" i="1"/>
  <c r="FT179" i="1"/>
  <c r="FT128" i="1"/>
  <c r="FT144" i="1"/>
  <c r="FT110" i="1"/>
  <c r="FT81" i="1"/>
  <c r="FT100" i="1"/>
  <c r="FT123" i="1"/>
  <c r="FT86" i="1"/>
  <c r="FT174" i="1"/>
  <c r="FT201" i="1"/>
  <c r="FT90" i="1"/>
  <c r="FT102" i="1"/>
  <c r="FT94" i="1"/>
  <c r="FT119" i="1"/>
  <c r="FT141" i="1"/>
  <c r="FT147" i="1"/>
  <c r="FT165" i="1"/>
  <c r="FT132" i="1"/>
  <c r="FT189" i="1"/>
  <c r="FT133" i="1"/>
  <c r="FT206" i="1"/>
  <c r="FT78" i="1"/>
  <c r="FT143" i="1"/>
  <c r="FT150" i="1"/>
  <c r="FT130" i="1"/>
  <c r="FT96" i="1"/>
  <c r="FT182" i="1"/>
  <c r="FT195" i="1"/>
  <c r="FT178" i="1"/>
  <c r="FT181" i="1"/>
  <c r="FT194" i="1"/>
  <c r="FT208" i="1"/>
  <c r="FT129" i="1"/>
  <c r="FT180" i="1"/>
  <c r="FT140" i="1"/>
  <c r="FT125" i="1"/>
  <c r="FT131" i="1"/>
  <c r="FT173" i="1"/>
  <c r="FT184" i="1"/>
  <c r="FT190" i="1"/>
  <c r="FT142" i="1"/>
  <c r="FT69" i="1"/>
  <c r="FT151" i="1"/>
  <c r="FT193" i="1"/>
  <c r="FT169" i="1"/>
  <c r="FT166" i="1"/>
  <c r="FT97" i="1"/>
  <c r="FT79" i="1"/>
  <c r="FT146" i="1"/>
  <c r="FT204" i="1"/>
  <c r="FT113" i="1"/>
  <c r="FT172" i="1"/>
  <c r="FT171" i="1"/>
  <c r="FT185" i="1"/>
  <c r="FT137" i="1"/>
  <c r="FT205" i="1"/>
  <c r="FT177" i="1"/>
  <c r="FT199" i="1"/>
  <c r="FT106" i="1"/>
  <c r="FT203" i="1"/>
  <c r="FT124" i="1"/>
  <c r="FT170" i="1"/>
  <c r="FT152" i="1"/>
  <c r="FT118" i="1"/>
  <c r="FT198" i="1"/>
  <c r="FT200" i="1"/>
  <c r="FT136" i="1"/>
  <c r="FT108" i="1"/>
  <c r="FT149" i="1"/>
  <c r="FT187" i="1"/>
  <c r="FT168" i="1"/>
  <c r="FT162" i="1"/>
  <c r="FT139" i="1"/>
  <c r="FT196" i="1"/>
  <c r="FT153" i="1"/>
  <c r="FT197" i="1"/>
  <c r="FT176" i="1"/>
  <c r="FT202" i="1"/>
  <c r="FT167" i="1"/>
  <c r="FT207" i="1"/>
  <c r="FT192" i="1"/>
  <c r="FS3" i="1"/>
  <c r="FS2" i="1"/>
  <c r="FS43" i="1"/>
  <c r="FS71" i="1"/>
  <c r="FS7" i="1"/>
  <c r="FS164" i="1"/>
  <c r="FS4" i="1"/>
  <c r="FS99" i="1"/>
  <c r="FS6" i="1"/>
  <c r="FS8" i="1"/>
  <c r="FS10" i="1"/>
  <c r="FS9" i="1"/>
  <c r="FS127" i="1"/>
  <c r="FS11" i="1"/>
  <c r="FS44" i="1"/>
  <c r="FS39" i="1"/>
  <c r="FS45" i="1"/>
  <c r="FS16" i="1"/>
  <c r="FS12" i="1"/>
  <c r="FS48" i="1"/>
  <c r="FS54" i="1"/>
  <c r="FS47" i="1"/>
  <c r="FS20" i="1"/>
  <c r="FS50" i="1"/>
  <c r="FS22" i="1"/>
  <c r="FS49" i="1"/>
  <c r="FS13" i="1"/>
  <c r="FS26" i="1"/>
  <c r="FS52" i="1"/>
  <c r="FS46" i="1"/>
  <c r="FS72" i="1"/>
  <c r="FS5" i="1"/>
  <c r="FS18" i="1"/>
  <c r="FS23" i="1"/>
  <c r="FS15" i="1"/>
  <c r="FS14" i="1"/>
  <c r="FS59" i="1"/>
  <c r="FS38" i="1"/>
  <c r="FS21" i="1"/>
  <c r="FS27" i="1"/>
  <c r="FS17" i="1"/>
  <c r="FS68" i="1"/>
  <c r="FS121" i="1"/>
  <c r="FS24" i="1"/>
  <c r="FS30" i="1"/>
  <c r="FS40" i="1"/>
  <c r="FS35" i="1"/>
  <c r="FS29" i="1"/>
  <c r="FS37" i="1"/>
  <c r="FS28" i="1"/>
  <c r="FS19" i="1"/>
  <c r="FS33" i="1"/>
  <c r="FS109" i="1"/>
  <c r="FS64" i="1"/>
  <c r="FS63" i="1"/>
  <c r="FS77" i="1"/>
  <c r="FS115" i="1"/>
  <c r="FS31" i="1"/>
  <c r="FS41" i="1"/>
  <c r="FS191" i="1"/>
  <c r="FS85" i="1"/>
  <c r="FS62" i="1"/>
  <c r="FS36" i="1"/>
  <c r="FS32" i="1"/>
  <c r="FS34" i="1"/>
  <c r="FS93" i="1"/>
  <c r="FS117" i="1"/>
  <c r="FS154" i="1"/>
  <c r="FS107" i="1"/>
  <c r="FS98" i="1"/>
  <c r="FS138" i="1"/>
  <c r="FS75" i="1"/>
  <c r="FS122" i="1"/>
  <c r="FS84" i="1"/>
  <c r="FS116" i="1"/>
  <c r="FS186" i="1"/>
  <c r="FS89" i="1"/>
  <c r="FS70" i="1"/>
  <c r="FS61" i="1"/>
  <c r="FS74" i="1"/>
  <c r="FS88" i="1"/>
  <c r="FS73" i="1"/>
  <c r="FS111" i="1"/>
  <c r="FS87" i="1"/>
  <c r="FS82" i="1"/>
  <c r="FS53" i="1"/>
  <c r="FS175" i="1"/>
  <c r="FS55" i="1"/>
  <c r="FS51" i="1"/>
  <c r="FS157" i="1"/>
  <c r="FS158" i="1"/>
  <c r="FS83" i="1"/>
  <c r="FS91" i="1"/>
  <c r="FS105" i="1"/>
  <c r="FS103" i="1"/>
  <c r="FS188" i="1"/>
  <c r="FS163" i="1"/>
  <c r="FS101" i="1"/>
  <c r="FS65" i="1"/>
  <c r="FS60" i="1"/>
  <c r="FS80" i="1"/>
  <c r="FS56" i="1"/>
  <c r="FS57" i="1"/>
  <c r="FS25" i="1"/>
  <c r="FS104" i="1"/>
  <c r="FS66" i="1"/>
  <c r="FS58" i="1"/>
  <c r="FS155" i="1"/>
  <c r="FS156" i="1"/>
  <c r="FS134" i="1"/>
  <c r="FS92" i="1"/>
  <c r="FS67" i="1"/>
  <c r="FS126" i="1"/>
  <c r="FS145" i="1"/>
  <c r="FS135" i="1"/>
  <c r="FS159" i="1"/>
  <c r="FS76" i="1"/>
  <c r="FS114" i="1"/>
  <c r="FS161" i="1"/>
  <c r="FS160" i="1"/>
  <c r="FS95" i="1"/>
  <c r="FS120" i="1"/>
  <c r="FS42" i="1"/>
  <c r="FS183" i="1"/>
  <c r="FS112" i="1"/>
  <c r="FS148" i="1"/>
  <c r="FS179" i="1"/>
  <c r="FS128" i="1"/>
  <c r="FS144" i="1"/>
  <c r="FS110" i="1"/>
  <c r="FS81" i="1"/>
  <c r="FS100" i="1"/>
  <c r="FS123" i="1"/>
  <c r="FS86" i="1"/>
  <c r="FS174" i="1"/>
  <c r="FS201" i="1"/>
  <c r="FS90" i="1"/>
  <c r="FS102" i="1"/>
  <c r="FS94" i="1"/>
  <c r="FS119" i="1"/>
  <c r="FS141" i="1"/>
  <c r="FS147" i="1"/>
  <c r="FS165" i="1"/>
  <c r="FS132" i="1"/>
  <c r="FS189" i="1"/>
  <c r="FS133" i="1"/>
  <c r="FS206" i="1"/>
  <c r="FS78" i="1"/>
  <c r="FS143" i="1"/>
  <c r="FS150" i="1"/>
  <c r="FS130" i="1"/>
  <c r="FS96" i="1"/>
  <c r="FS182" i="1"/>
  <c r="FS195" i="1"/>
  <c r="FS178" i="1"/>
  <c r="FS181" i="1"/>
  <c r="FS194" i="1"/>
  <c r="FS208" i="1"/>
  <c r="FS129" i="1"/>
  <c r="FS180" i="1"/>
  <c r="FS140" i="1"/>
  <c r="FS125" i="1"/>
  <c r="FS131" i="1"/>
  <c r="FS173" i="1"/>
  <c r="FS184" i="1"/>
  <c r="FS190" i="1"/>
  <c r="FS142" i="1"/>
  <c r="FS69" i="1"/>
  <c r="FS151" i="1"/>
  <c r="FS193" i="1"/>
  <c r="FS169" i="1"/>
  <c r="FS166" i="1"/>
  <c r="FS97" i="1"/>
  <c r="FS79" i="1"/>
  <c r="FS146" i="1"/>
  <c r="FS204" i="1"/>
  <c r="FS113" i="1"/>
  <c r="FS172" i="1"/>
  <c r="FS171" i="1"/>
  <c r="FS185" i="1"/>
  <c r="FS137" i="1"/>
  <c r="FS205" i="1"/>
  <c r="FS177" i="1"/>
  <c r="FS199" i="1"/>
  <c r="FS106" i="1"/>
  <c r="FS203" i="1"/>
  <c r="FS124" i="1"/>
  <c r="FS170" i="1"/>
  <c r="FS152" i="1"/>
  <c r="FS118" i="1"/>
  <c r="FS198" i="1"/>
  <c r="FS200" i="1"/>
  <c r="FS136" i="1"/>
  <c r="FS108" i="1"/>
  <c r="FS149" i="1"/>
  <c r="FS187" i="1"/>
  <c r="FS168" i="1"/>
  <c r="FS162" i="1"/>
  <c r="FS139" i="1"/>
  <c r="FS196" i="1"/>
  <c r="FS153" i="1"/>
  <c r="FS197" i="1"/>
  <c r="FS176" i="1"/>
  <c r="FS202" i="1"/>
  <c r="FS167" i="1"/>
  <c r="FS207" i="1"/>
  <c r="FS192" i="1"/>
  <c r="FR3" i="1"/>
  <c r="FR2" i="1"/>
  <c r="FR43" i="1"/>
  <c r="FR71" i="1"/>
  <c r="FR7" i="1"/>
  <c r="FR164" i="1"/>
  <c r="FR4" i="1"/>
  <c r="FR99" i="1"/>
  <c r="FR6" i="1"/>
  <c r="FR8" i="1"/>
  <c r="FR10" i="1"/>
  <c r="FR9" i="1"/>
  <c r="FR127" i="1"/>
  <c r="FR11" i="1"/>
  <c r="FR44" i="1"/>
  <c r="FR39" i="1"/>
  <c r="FR45" i="1"/>
  <c r="FR16" i="1"/>
  <c r="FR12" i="1"/>
  <c r="FR48" i="1"/>
  <c r="FR54" i="1"/>
  <c r="FR47" i="1"/>
  <c r="FR20" i="1"/>
  <c r="FR50" i="1"/>
  <c r="FR22" i="1"/>
  <c r="FR49" i="1"/>
  <c r="FR13" i="1"/>
  <c r="FR26" i="1"/>
  <c r="FR52" i="1"/>
  <c r="FR46" i="1"/>
  <c r="FR72" i="1"/>
  <c r="FR5" i="1"/>
  <c r="FR18" i="1"/>
  <c r="FR23" i="1"/>
  <c r="FR15" i="1"/>
  <c r="FR14" i="1"/>
  <c r="FR59" i="1"/>
  <c r="FR38" i="1"/>
  <c r="FR21" i="1"/>
  <c r="FR27" i="1"/>
  <c r="FR17" i="1"/>
  <c r="FR68" i="1"/>
  <c r="FR121" i="1"/>
  <c r="FR24" i="1"/>
  <c r="FR30" i="1"/>
  <c r="FR40" i="1"/>
  <c r="FR35" i="1"/>
  <c r="FR29" i="1"/>
  <c r="FR37" i="1"/>
  <c r="FR28" i="1"/>
  <c r="FR19" i="1"/>
  <c r="FR33" i="1"/>
  <c r="FR109" i="1"/>
  <c r="FR64" i="1"/>
  <c r="FR63" i="1"/>
  <c r="FR77" i="1"/>
  <c r="FR115" i="1"/>
  <c r="FR31" i="1"/>
  <c r="FR41" i="1"/>
  <c r="FR191" i="1"/>
  <c r="FR85" i="1"/>
  <c r="FR62" i="1"/>
  <c r="FR36" i="1"/>
  <c r="FR32" i="1"/>
  <c r="FR34" i="1"/>
  <c r="FR93" i="1"/>
  <c r="FR117" i="1"/>
  <c r="FR154" i="1"/>
  <c r="FR107" i="1"/>
  <c r="FR98" i="1"/>
  <c r="FR138" i="1"/>
  <c r="FR75" i="1"/>
  <c r="FR122" i="1"/>
  <c r="FR84" i="1"/>
  <c r="FR116" i="1"/>
  <c r="FR186" i="1"/>
  <c r="FR89" i="1"/>
  <c r="FR70" i="1"/>
  <c r="FR61" i="1"/>
  <c r="FR74" i="1"/>
  <c r="FR88" i="1"/>
  <c r="FR73" i="1"/>
  <c r="FR111" i="1"/>
  <c r="FR87" i="1"/>
  <c r="FR82" i="1"/>
  <c r="FR53" i="1"/>
  <c r="FR175" i="1"/>
  <c r="FR55" i="1"/>
  <c r="FR51" i="1"/>
  <c r="FR157" i="1"/>
  <c r="FR158" i="1"/>
  <c r="FR83" i="1"/>
  <c r="FR91" i="1"/>
  <c r="FR105" i="1"/>
  <c r="FR103" i="1"/>
  <c r="FR188" i="1"/>
  <c r="FR163" i="1"/>
  <c r="FR101" i="1"/>
  <c r="FR65" i="1"/>
  <c r="FR60" i="1"/>
  <c r="FR80" i="1"/>
  <c r="FR56" i="1"/>
  <c r="FR57" i="1"/>
  <c r="FR25" i="1"/>
  <c r="FR104" i="1"/>
  <c r="FR66" i="1"/>
  <c r="FR58" i="1"/>
  <c r="FR155" i="1"/>
  <c r="FR156" i="1"/>
  <c r="FR134" i="1"/>
  <c r="FR92" i="1"/>
  <c r="FR67" i="1"/>
  <c r="FR126" i="1"/>
  <c r="FR145" i="1"/>
  <c r="FR135" i="1"/>
  <c r="FR159" i="1"/>
  <c r="FR76" i="1"/>
  <c r="FR114" i="1"/>
  <c r="FR161" i="1"/>
  <c r="FR160" i="1"/>
  <c r="FR95" i="1"/>
  <c r="FR120" i="1"/>
  <c r="FR42" i="1"/>
  <c r="FR183" i="1"/>
  <c r="FR112" i="1"/>
  <c r="FR148" i="1"/>
  <c r="FR179" i="1"/>
  <c r="FR128" i="1"/>
  <c r="FR144" i="1"/>
  <c r="FR110" i="1"/>
  <c r="FR81" i="1"/>
  <c r="FR100" i="1"/>
  <c r="FR123" i="1"/>
  <c r="FR86" i="1"/>
  <c r="FR174" i="1"/>
  <c r="FR201" i="1"/>
  <c r="FR90" i="1"/>
  <c r="FR102" i="1"/>
  <c r="FR94" i="1"/>
  <c r="FR119" i="1"/>
  <c r="FR141" i="1"/>
  <c r="FR147" i="1"/>
  <c r="FR165" i="1"/>
  <c r="FR132" i="1"/>
  <c r="FR189" i="1"/>
  <c r="FR133" i="1"/>
  <c r="FR206" i="1"/>
  <c r="FR78" i="1"/>
  <c r="FR143" i="1"/>
  <c r="FR150" i="1"/>
  <c r="FR130" i="1"/>
  <c r="FR96" i="1"/>
  <c r="FR182" i="1"/>
  <c r="FR195" i="1"/>
  <c r="FR178" i="1"/>
  <c r="FR181" i="1"/>
  <c r="FR194" i="1"/>
  <c r="FR208" i="1"/>
  <c r="FR129" i="1"/>
  <c r="FR180" i="1"/>
  <c r="FR140" i="1"/>
  <c r="FR125" i="1"/>
  <c r="FR131" i="1"/>
  <c r="FR173" i="1"/>
  <c r="FR184" i="1"/>
  <c r="FR190" i="1"/>
  <c r="FR142" i="1"/>
  <c r="FR69" i="1"/>
  <c r="FR151" i="1"/>
  <c r="FR193" i="1"/>
  <c r="FR169" i="1"/>
  <c r="FR166" i="1"/>
  <c r="FR97" i="1"/>
  <c r="FR79" i="1"/>
  <c r="FR146" i="1"/>
  <c r="FR204" i="1"/>
  <c r="FR113" i="1"/>
  <c r="FR172" i="1"/>
  <c r="FR171" i="1"/>
  <c r="FR185" i="1"/>
  <c r="FR137" i="1"/>
  <c r="FR205" i="1"/>
  <c r="FR177" i="1"/>
  <c r="FR199" i="1"/>
  <c r="FR106" i="1"/>
  <c r="FR203" i="1"/>
  <c r="FR124" i="1"/>
  <c r="FR170" i="1"/>
  <c r="FR152" i="1"/>
  <c r="FR118" i="1"/>
  <c r="FR198" i="1"/>
  <c r="FR200" i="1"/>
  <c r="FR136" i="1"/>
  <c r="FR108" i="1"/>
  <c r="FR149" i="1"/>
  <c r="FR187" i="1"/>
  <c r="FR168" i="1"/>
  <c r="FR162" i="1"/>
  <c r="FR139" i="1"/>
  <c r="FR196" i="1"/>
  <c r="FR153" i="1"/>
  <c r="FR197" i="1"/>
  <c r="FR176" i="1"/>
  <c r="FR202" i="1"/>
  <c r="FR167" i="1"/>
  <c r="FR207" i="1"/>
  <c r="FR192" i="1"/>
  <c r="FQ3" i="1"/>
  <c r="FQ2" i="1"/>
  <c r="FQ43" i="1"/>
  <c r="FQ71" i="1"/>
  <c r="FQ7" i="1"/>
  <c r="FQ164" i="1"/>
  <c r="FQ4" i="1"/>
  <c r="FQ99" i="1"/>
  <c r="FQ6" i="1"/>
  <c r="FQ8" i="1"/>
  <c r="FQ10" i="1"/>
  <c r="FQ9" i="1"/>
  <c r="FQ127" i="1"/>
  <c r="FQ11" i="1"/>
  <c r="FQ44" i="1"/>
  <c r="FQ39" i="1"/>
  <c r="FQ45" i="1"/>
  <c r="FQ16" i="1"/>
  <c r="FQ12" i="1"/>
  <c r="FQ48" i="1"/>
  <c r="FQ54" i="1"/>
  <c r="FQ47" i="1"/>
  <c r="FQ20" i="1"/>
  <c r="FQ50" i="1"/>
  <c r="FQ22" i="1"/>
  <c r="FQ49" i="1"/>
  <c r="FQ13" i="1"/>
  <c r="FQ26" i="1"/>
  <c r="FQ52" i="1"/>
  <c r="FQ46" i="1"/>
  <c r="FQ72" i="1"/>
  <c r="FQ5" i="1"/>
  <c r="FQ18" i="1"/>
  <c r="FQ23" i="1"/>
  <c r="FQ15" i="1"/>
  <c r="FQ14" i="1"/>
  <c r="FQ59" i="1"/>
  <c r="FQ38" i="1"/>
  <c r="FQ21" i="1"/>
  <c r="FQ27" i="1"/>
  <c r="FQ17" i="1"/>
  <c r="FQ68" i="1"/>
  <c r="FQ121" i="1"/>
  <c r="FQ24" i="1"/>
  <c r="FQ30" i="1"/>
  <c r="FQ40" i="1"/>
  <c r="FQ35" i="1"/>
  <c r="FQ29" i="1"/>
  <c r="FQ37" i="1"/>
  <c r="FQ28" i="1"/>
  <c r="FQ19" i="1"/>
  <c r="FQ33" i="1"/>
  <c r="FQ109" i="1"/>
  <c r="FQ64" i="1"/>
  <c r="FQ63" i="1"/>
  <c r="FQ77" i="1"/>
  <c r="FQ115" i="1"/>
  <c r="FQ31" i="1"/>
  <c r="FQ41" i="1"/>
  <c r="FQ191" i="1"/>
  <c r="FQ85" i="1"/>
  <c r="FQ62" i="1"/>
  <c r="FQ36" i="1"/>
  <c r="FQ32" i="1"/>
  <c r="FQ34" i="1"/>
  <c r="FQ93" i="1"/>
  <c r="FQ117" i="1"/>
  <c r="FQ154" i="1"/>
  <c r="FQ107" i="1"/>
  <c r="FQ98" i="1"/>
  <c r="FQ138" i="1"/>
  <c r="FQ75" i="1"/>
  <c r="FQ122" i="1"/>
  <c r="FQ84" i="1"/>
  <c r="FQ116" i="1"/>
  <c r="FQ186" i="1"/>
  <c r="FQ89" i="1"/>
  <c r="FQ70" i="1"/>
  <c r="FQ61" i="1"/>
  <c r="FQ74" i="1"/>
  <c r="FQ88" i="1"/>
  <c r="FQ73" i="1"/>
  <c r="FQ111" i="1"/>
  <c r="FQ87" i="1"/>
  <c r="FQ82" i="1"/>
  <c r="FQ53" i="1"/>
  <c r="FQ175" i="1"/>
  <c r="FQ55" i="1"/>
  <c r="FQ51" i="1"/>
  <c r="FQ157" i="1"/>
  <c r="FQ158" i="1"/>
  <c r="FQ83" i="1"/>
  <c r="FQ91" i="1"/>
  <c r="FQ105" i="1"/>
  <c r="FQ103" i="1"/>
  <c r="FQ188" i="1"/>
  <c r="FQ163" i="1"/>
  <c r="FQ101" i="1"/>
  <c r="FQ65" i="1"/>
  <c r="FQ60" i="1"/>
  <c r="FQ80" i="1"/>
  <c r="FQ56" i="1"/>
  <c r="FQ57" i="1"/>
  <c r="FQ25" i="1"/>
  <c r="FQ104" i="1"/>
  <c r="FQ66" i="1"/>
  <c r="FQ58" i="1"/>
  <c r="FQ155" i="1"/>
  <c r="FQ156" i="1"/>
  <c r="FQ134" i="1"/>
  <c r="FQ92" i="1"/>
  <c r="FQ67" i="1"/>
  <c r="FQ126" i="1"/>
  <c r="FQ145" i="1"/>
  <c r="FQ135" i="1"/>
  <c r="FQ159" i="1"/>
  <c r="FQ76" i="1"/>
  <c r="FQ114" i="1"/>
  <c r="FQ161" i="1"/>
  <c r="FQ160" i="1"/>
  <c r="FQ95" i="1"/>
  <c r="FQ120" i="1"/>
  <c r="FQ42" i="1"/>
  <c r="FQ183" i="1"/>
  <c r="FQ112" i="1"/>
  <c r="FQ148" i="1"/>
  <c r="FQ179" i="1"/>
  <c r="FQ128" i="1"/>
  <c r="FQ144" i="1"/>
  <c r="FQ110" i="1"/>
  <c r="FQ81" i="1"/>
  <c r="FQ100" i="1"/>
  <c r="FQ123" i="1"/>
  <c r="FQ86" i="1"/>
  <c r="FQ174" i="1"/>
  <c r="FQ201" i="1"/>
  <c r="FQ90" i="1"/>
  <c r="FQ102" i="1"/>
  <c r="FQ94" i="1"/>
  <c r="FQ119" i="1"/>
  <c r="FQ141" i="1"/>
  <c r="FQ147" i="1"/>
  <c r="FQ165" i="1"/>
  <c r="FQ132" i="1"/>
  <c r="FQ189" i="1"/>
  <c r="FQ133" i="1"/>
  <c r="FQ206" i="1"/>
  <c r="FQ78" i="1"/>
  <c r="FQ143" i="1"/>
  <c r="FQ150" i="1"/>
  <c r="FQ130" i="1"/>
  <c r="FQ96" i="1"/>
  <c r="FQ182" i="1"/>
  <c r="FQ195" i="1"/>
  <c r="FQ178" i="1"/>
  <c r="FQ181" i="1"/>
  <c r="FQ194" i="1"/>
  <c r="FQ208" i="1"/>
  <c r="FQ129" i="1"/>
  <c r="FQ180" i="1"/>
  <c r="FQ140" i="1"/>
  <c r="FQ125" i="1"/>
  <c r="FQ131" i="1"/>
  <c r="FQ173" i="1"/>
  <c r="FQ184" i="1"/>
  <c r="FQ190" i="1"/>
  <c r="FQ142" i="1"/>
  <c r="FQ69" i="1"/>
  <c r="FQ151" i="1"/>
  <c r="FQ193" i="1"/>
  <c r="FQ169" i="1"/>
  <c r="FQ166" i="1"/>
  <c r="FQ97" i="1"/>
  <c r="FQ79" i="1"/>
  <c r="FQ146" i="1"/>
  <c r="FQ204" i="1"/>
  <c r="FQ113" i="1"/>
  <c r="FQ172" i="1"/>
  <c r="FQ171" i="1"/>
  <c r="FQ185" i="1"/>
  <c r="FQ137" i="1"/>
  <c r="FQ205" i="1"/>
  <c r="FQ177" i="1"/>
  <c r="FQ199" i="1"/>
  <c r="FQ106" i="1"/>
  <c r="FQ203" i="1"/>
  <c r="FQ124" i="1"/>
  <c r="FQ170" i="1"/>
  <c r="FQ152" i="1"/>
  <c r="FQ118" i="1"/>
  <c r="FQ198" i="1"/>
  <c r="FQ200" i="1"/>
  <c r="FQ136" i="1"/>
  <c r="FQ108" i="1"/>
  <c r="FQ149" i="1"/>
  <c r="FQ187" i="1"/>
  <c r="FQ168" i="1"/>
  <c r="FQ162" i="1"/>
  <c r="FQ139" i="1"/>
  <c r="FQ196" i="1"/>
  <c r="FQ153" i="1"/>
  <c r="FQ197" i="1"/>
  <c r="FQ176" i="1"/>
  <c r="FQ202" i="1"/>
  <c r="FQ167" i="1"/>
  <c r="FQ207" i="1"/>
  <c r="FQ192" i="1"/>
  <c r="FP3" i="1"/>
  <c r="FP2" i="1"/>
  <c r="FP43" i="1"/>
  <c r="FP71" i="1"/>
  <c r="FP7" i="1"/>
  <c r="FP164" i="1"/>
  <c r="FP4" i="1"/>
  <c r="FP99" i="1"/>
  <c r="FP6" i="1"/>
  <c r="FP8" i="1"/>
  <c r="FP10" i="1"/>
  <c r="FP9" i="1"/>
  <c r="FP127" i="1"/>
  <c r="FP11" i="1"/>
  <c r="FP44" i="1"/>
  <c r="FP39" i="1"/>
  <c r="FP45" i="1"/>
  <c r="FP16" i="1"/>
  <c r="FP12" i="1"/>
  <c r="FP48" i="1"/>
  <c r="FP54" i="1"/>
  <c r="FP47" i="1"/>
  <c r="FP20" i="1"/>
  <c r="FP50" i="1"/>
  <c r="FP22" i="1"/>
  <c r="FP49" i="1"/>
  <c r="FP13" i="1"/>
  <c r="FP26" i="1"/>
  <c r="FP52" i="1"/>
  <c r="FP46" i="1"/>
  <c r="FP72" i="1"/>
  <c r="FP5" i="1"/>
  <c r="FP18" i="1"/>
  <c r="FP23" i="1"/>
  <c r="FP15" i="1"/>
  <c r="FP14" i="1"/>
  <c r="FP59" i="1"/>
  <c r="FP38" i="1"/>
  <c r="FP21" i="1"/>
  <c r="FP27" i="1"/>
  <c r="FP17" i="1"/>
  <c r="FP68" i="1"/>
  <c r="FP121" i="1"/>
  <c r="FP24" i="1"/>
  <c r="FP30" i="1"/>
  <c r="FP40" i="1"/>
  <c r="FP35" i="1"/>
  <c r="FP29" i="1"/>
  <c r="FP37" i="1"/>
  <c r="FP28" i="1"/>
  <c r="FP19" i="1"/>
  <c r="FP33" i="1"/>
  <c r="FP109" i="1"/>
  <c r="FP64" i="1"/>
  <c r="FP63" i="1"/>
  <c r="FP77" i="1"/>
  <c r="FP115" i="1"/>
  <c r="FP31" i="1"/>
  <c r="FP41" i="1"/>
  <c r="FP191" i="1"/>
  <c r="FP85" i="1"/>
  <c r="FP62" i="1"/>
  <c r="FP36" i="1"/>
  <c r="FP32" i="1"/>
  <c r="FP34" i="1"/>
  <c r="FP93" i="1"/>
  <c r="FP117" i="1"/>
  <c r="FP154" i="1"/>
  <c r="FP107" i="1"/>
  <c r="FP98" i="1"/>
  <c r="FP138" i="1"/>
  <c r="FP75" i="1"/>
  <c r="FP122" i="1"/>
  <c r="FP84" i="1"/>
  <c r="FP116" i="1"/>
  <c r="FP186" i="1"/>
  <c r="FP89" i="1"/>
  <c r="FP70" i="1"/>
  <c r="FP61" i="1"/>
  <c r="FP74" i="1"/>
  <c r="FP88" i="1"/>
  <c r="FP73" i="1"/>
  <c r="FP111" i="1"/>
  <c r="FP87" i="1"/>
  <c r="FP82" i="1"/>
  <c r="FP53" i="1"/>
  <c r="FP175" i="1"/>
  <c r="FP55" i="1"/>
  <c r="FP51" i="1"/>
  <c r="FP157" i="1"/>
  <c r="FP158" i="1"/>
  <c r="FP83" i="1"/>
  <c r="FP91" i="1"/>
  <c r="FP105" i="1"/>
  <c r="FP103" i="1"/>
  <c r="FP188" i="1"/>
  <c r="FP163" i="1"/>
  <c r="FP101" i="1"/>
  <c r="FP65" i="1"/>
  <c r="FP60" i="1"/>
  <c r="FP80" i="1"/>
  <c r="FP56" i="1"/>
  <c r="FP57" i="1"/>
  <c r="FP25" i="1"/>
  <c r="FP104" i="1"/>
  <c r="FP66" i="1"/>
  <c r="FP58" i="1"/>
  <c r="FP155" i="1"/>
  <c r="FP156" i="1"/>
  <c r="FP134" i="1"/>
  <c r="FP92" i="1"/>
  <c r="FP67" i="1"/>
  <c r="FP126" i="1"/>
  <c r="FP145" i="1"/>
  <c r="FP135" i="1"/>
  <c r="FP159" i="1"/>
  <c r="FP76" i="1"/>
  <c r="FP114" i="1"/>
  <c r="FP161" i="1"/>
  <c r="FP160" i="1"/>
  <c r="FP95" i="1"/>
  <c r="FP120" i="1"/>
  <c r="FP42" i="1"/>
  <c r="FP183" i="1"/>
  <c r="FP112" i="1"/>
  <c r="FP148" i="1"/>
  <c r="FP179" i="1"/>
  <c r="FP128" i="1"/>
  <c r="FP144" i="1"/>
  <c r="FP110" i="1"/>
  <c r="FP81" i="1"/>
  <c r="FP100" i="1"/>
  <c r="FP123" i="1"/>
  <c r="FP86" i="1"/>
  <c r="FP174" i="1"/>
  <c r="FP201" i="1"/>
  <c r="FP90" i="1"/>
  <c r="FP102" i="1"/>
  <c r="FP94" i="1"/>
  <c r="FP119" i="1"/>
  <c r="FP141" i="1"/>
  <c r="FP147" i="1"/>
  <c r="FP165" i="1"/>
  <c r="FP132" i="1"/>
  <c r="FP189" i="1"/>
  <c r="FP133" i="1"/>
  <c r="FP206" i="1"/>
  <c r="FP78" i="1"/>
  <c r="FP143" i="1"/>
  <c r="FP150" i="1"/>
  <c r="FP130" i="1"/>
  <c r="FP96" i="1"/>
  <c r="FP182" i="1"/>
  <c r="FP195" i="1"/>
  <c r="FP178" i="1"/>
  <c r="FP181" i="1"/>
  <c r="FP194" i="1"/>
  <c r="FP208" i="1"/>
  <c r="FP129" i="1"/>
  <c r="FP180" i="1"/>
  <c r="FP140" i="1"/>
  <c r="FP125" i="1"/>
  <c r="FP131" i="1"/>
  <c r="FP173" i="1"/>
  <c r="FP184" i="1"/>
  <c r="FP190" i="1"/>
  <c r="FP142" i="1"/>
  <c r="FP69" i="1"/>
  <c r="FP151" i="1"/>
  <c r="FP193" i="1"/>
  <c r="FP169" i="1"/>
  <c r="FP166" i="1"/>
  <c r="FP97" i="1"/>
  <c r="FP79" i="1"/>
  <c r="FP146" i="1"/>
  <c r="FP204" i="1"/>
  <c r="FP113" i="1"/>
  <c r="FP172" i="1"/>
  <c r="FP171" i="1"/>
  <c r="FP185" i="1"/>
  <c r="FP137" i="1"/>
  <c r="FP205" i="1"/>
  <c r="FP177" i="1"/>
  <c r="FP199" i="1"/>
  <c r="FP106" i="1"/>
  <c r="FP203" i="1"/>
  <c r="FP124" i="1"/>
  <c r="FP170" i="1"/>
  <c r="FP152" i="1"/>
  <c r="FP118" i="1"/>
  <c r="FP198" i="1"/>
  <c r="FP200" i="1"/>
  <c r="FP136" i="1"/>
  <c r="FP108" i="1"/>
  <c r="FP149" i="1"/>
  <c r="FP187" i="1"/>
  <c r="FP168" i="1"/>
  <c r="FP162" i="1"/>
  <c r="FP139" i="1"/>
  <c r="FP196" i="1"/>
  <c r="FP153" i="1"/>
  <c r="FP197" i="1"/>
  <c r="FP176" i="1"/>
  <c r="FP202" i="1"/>
  <c r="FP167" i="1"/>
  <c r="FP207" i="1"/>
  <c r="FP192" i="1"/>
  <c r="FO3" i="1"/>
  <c r="FO2" i="1"/>
  <c r="FO43" i="1"/>
  <c r="FO71" i="1"/>
  <c r="FO7" i="1"/>
  <c r="FO164" i="1"/>
  <c r="FO4" i="1"/>
  <c r="FO99" i="1"/>
  <c r="FO6" i="1"/>
  <c r="FO8" i="1"/>
  <c r="FO10" i="1"/>
  <c r="FO9" i="1"/>
  <c r="FO127" i="1"/>
  <c r="FO11" i="1"/>
  <c r="FO44" i="1"/>
  <c r="FO39" i="1"/>
  <c r="FO45" i="1"/>
  <c r="FO16" i="1"/>
  <c r="FO12" i="1"/>
  <c r="FO48" i="1"/>
  <c r="FO54" i="1"/>
  <c r="FO47" i="1"/>
  <c r="FO20" i="1"/>
  <c r="FO50" i="1"/>
  <c r="FO22" i="1"/>
  <c r="FO49" i="1"/>
  <c r="FO13" i="1"/>
  <c r="FO26" i="1"/>
  <c r="FO52" i="1"/>
  <c r="FO46" i="1"/>
  <c r="FO72" i="1"/>
  <c r="FO5" i="1"/>
  <c r="FO18" i="1"/>
  <c r="FO23" i="1"/>
  <c r="FO15" i="1"/>
  <c r="FO14" i="1"/>
  <c r="FO59" i="1"/>
  <c r="FO38" i="1"/>
  <c r="FO21" i="1"/>
  <c r="FO27" i="1"/>
  <c r="FO17" i="1"/>
  <c r="FO68" i="1"/>
  <c r="FO121" i="1"/>
  <c r="FO24" i="1"/>
  <c r="FO30" i="1"/>
  <c r="FO40" i="1"/>
  <c r="FO35" i="1"/>
  <c r="FO29" i="1"/>
  <c r="FO37" i="1"/>
  <c r="FO28" i="1"/>
  <c r="FO19" i="1"/>
  <c r="FO33" i="1"/>
  <c r="FO109" i="1"/>
  <c r="FO64" i="1"/>
  <c r="FO63" i="1"/>
  <c r="FO77" i="1"/>
  <c r="FO115" i="1"/>
  <c r="FO31" i="1"/>
  <c r="FO41" i="1"/>
  <c r="FO191" i="1"/>
  <c r="FO85" i="1"/>
  <c r="FO62" i="1"/>
  <c r="FO36" i="1"/>
  <c r="FO32" i="1"/>
  <c r="FO34" i="1"/>
  <c r="FO93" i="1"/>
  <c r="FO117" i="1"/>
  <c r="FO154" i="1"/>
  <c r="FO107" i="1"/>
  <c r="FO98" i="1"/>
  <c r="FO138" i="1"/>
  <c r="FO75" i="1"/>
  <c r="FO122" i="1"/>
  <c r="FO84" i="1"/>
  <c r="FO116" i="1"/>
  <c r="FO186" i="1"/>
  <c r="FO89" i="1"/>
  <c r="FO70" i="1"/>
  <c r="FO61" i="1"/>
  <c r="FO74" i="1"/>
  <c r="FO88" i="1"/>
  <c r="FO73" i="1"/>
  <c r="FO111" i="1"/>
  <c r="FO87" i="1"/>
  <c r="FO82" i="1"/>
  <c r="FO53" i="1"/>
  <c r="FO175" i="1"/>
  <c r="FO55" i="1"/>
  <c r="FO51" i="1"/>
  <c r="FO157" i="1"/>
  <c r="FO158" i="1"/>
  <c r="FO83" i="1"/>
  <c r="FO91" i="1"/>
  <c r="FO105" i="1"/>
  <c r="FO103" i="1"/>
  <c r="FO188" i="1"/>
  <c r="FO163" i="1"/>
  <c r="FO101" i="1"/>
  <c r="FO65" i="1"/>
  <c r="FO60" i="1"/>
  <c r="FO80" i="1"/>
  <c r="FO56" i="1"/>
  <c r="FO57" i="1"/>
  <c r="FO25" i="1"/>
  <c r="FO104" i="1"/>
  <c r="FO66" i="1"/>
  <c r="FO58" i="1"/>
  <c r="FO155" i="1"/>
  <c r="FO156" i="1"/>
  <c r="FO134" i="1"/>
  <c r="FO92" i="1"/>
  <c r="FO67" i="1"/>
  <c r="FO126" i="1"/>
  <c r="FO145" i="1"/>
  <c r="FO135" i="1"/>
  <c r="FO159" i="1"/>
  <c r="FO76" i="1"/>
  <c r="FO114" i="1"/>
  <c r="FO161" i="1"/>
  <c r="FO160" i="1"/>
  <c r="FO95" i="1"/>
  <c r="FO120" i="1"/>
  <c r="FO42" i="1"/>
  <c r="FO183" i="1"/>
  <c r="FO112" i="1"/>
  <c r="FO148" i="1"/>
  <c r="FO179" i="1"/>
  <c r="FO128" i="1"/>
  <c r="FO144" i="1"/>
  <c r="FO110" i="1"/>
  <c r="FO81" i="1"/>
  <c r="FO100" i="1"/>
  <c r="FO123" i="1"/>
  <c r="FO86" i="1"/>
  <c r="FO174" i="1"/>
  <c r="FO201" i="1"/>
  <c r="FO90" i="1"/>
  <c r="FO102" i="1"/>
  <c r="FO94" i="1"/>
  <c r="FO119" i="1"/>
  <c r="FO141" i="1"/>
  <c r="FO147" i="1"/>
  <c r="FO165" i="1"/>
  <c r="FO132" i="1"/>
  <c r="FO189" i="1"/>
  <c r="FO133" i="1"/>
  <c r="FO206" i="1"/>
  <c r="FO78" i="1"/>
  <c r="FO143" i="1"/>
  <c r="FO150" i="1"/>
  <c r="FO130" i="1"/>
  <c r="FO96" i="1"/>
  <c r="FO182" i="1"/>
  <c r="FO195" i="1"/>
  <c r="FO178" i="1"/>
  <c r="FO181" i="1"/>
  <c r="FO194" i="1"/>
  <c r="FO208" i="1"/>
  <c r="FO129" i="1"/>
  <c r="FO180" i="1"/>
  <c r="FO140" i="1"/>
  <c r="FO125" i="1"/>
  <c r="FO131" i="1"/>
  <c r="FO173" i="1"/>
  <c r="FO184" i="1"/>
  <c r="FO190" i="1"/>
  <c r="FO142" i="1"/>
  <c r="FO69" i="1"/>
  <c r="FO151" i="1"/>
  <c r="FO193" i="1"/>
  <c r="FO169" i="1"/>
  <c r="FO166" i="1"/>
  <c r="FO97" i="1"/>
  <c r="FO79" i="1"/>
  <c r="FO146" i="1"/>
  <c r="FO204" i="1"/>
  <c r="FO113" i="1"/>
  <c r="FO172" i="1"/>
  <c r="FO171" i="1"/>
  <c r="FO185" i="1"/>
  <c r="FO137" i="1"/>
  <c r="FO205" i="1"/>
  <c r="FO177" i="1"/>
  <c r="FO199" i="1"/>
  <c r="FO106" i="1"/>
  <c r="FO203" i="1"/>
  <c r="FO124" i="1"/>
  <c r="FO170" i="1"/>
  <c r="FO152" i="1"/>
  <c r="FO118" i="1"/>
  <c r="FO198" i="1"/>
  <c r="FO200" i="1"/>
  <c r="FO136" i="1"/>
  <c r="FO108" i="1"/>
  <c r="FO149" i="1"/>
  <c r="FO187" i="1"/>
  <c r="FO168" i="1"/>
  <c r="FO162" i="1"/>
  <c r="FO139" i="1"/>
  <c r="FO196" i="1"/>
  <c r="FO153" i="1"/>
  <c r="FO197" i="1"/>
  <c r="FO176" i="1"/>
  <c r="FO202" i="1"/>
  <c r="FO167" i="1"/>
  <c r="FO207" i="1"/>
  <c r="FO192" i="1"/>
  <c r="FN3" i="1"/>
  <c r="FN2" i="1"/>
  <c r="FN43" i="1"/>
  <c r="FN71" i="1"/>
  <c r="FN7" i="1"/>
  <c r="FN164" i="1"/>
  <c r="FN4" i="1"/>
  <c r="FN99" i="1"/>
  <c r="FN6" i="1"/>
  <c r="FN8" i="1"/>
  <c r="FN10" i="1"/>
  <c r="FN9" i="1"/>
  <c r="FN127" i="1"/>
  <c r="FN11" i="1"/>
  <c r="FN44" i="1"/>
  <c r="FN39" i="1"/>
  <c r="FN45" i="1"/>
  <c r="FN16" i="1"/>
  <c r="FN12" i="1"/>
  <c r="FN48" i="1"/>
  <c r="FN54" i="1"/>
  <c r="FN47" i="1"/>
  <c r="FN20" i="1"/>
  <c r="FN50" i="1"/>
  <c r="FN22" i="1"/>
  <c r="FN49" i="1"/>
  <c r="FN13" i="1"/>
  <c r="FN26" i="1"/>
  <c r="FN52" i="1"/>
  <c r="FN46" i="1"/>
  <c r="FN72" i="1"/>
  <c r="FN5" i="1"/>
  <c r="FN18" i="1"/>
  <c r="FN23" i="1"/>
  <c r="FN15" i="1"/>
  <c r="FN14" i="1"/>
  <c r="FN59" i="1"/>
  <c r="FN38" i="1"/>
  <c r="FN21" i="1"/>
  <c r="FN27" i="1"/>
  <c r="FN17" i="1"/>
  <c r="FN68" i="1"/>
  <c r="FN121" i="1"/>
  <c r="FN24" i="1"/>
  <c r="FN30" i="1"/>
  <c r="FN40" i="1"/>
  <c r="FN35" i="1"/>
  <c r="FN29" i="1"/>
  <c r="FN37" i="1"/>
  <c r="FN28" i="1"/>
  <c r="FN19" i="1"/>
  <c r="FN33" i="1"/>
  <c r="FN109" i="1"/>
  <c r="FN64" i="1"/>
  <c r="FN63" i="1"/>
  <c r="FN77" i="1"/>
  <c r="FN115" i="1"/>
  <c r="FN31" i="1"/>
  <c r="FN41" i="1"/>
  <c r="FN191" i="1"/>
  <c r="FN85" i="1"/>
  <c r="FN62" i="1"/>
  <c r="FN36" i="1"/>
  <c r="FN32" i="1"/>
  <c r="FN34" i="1"/>
  <c r="FN93" i="1"/>
  <c r="FN117" i="1"/>
  <c r="FN154" i="1"/>
  <c r="FN107" i="1"/>
  <c r="FN98" i="1"/>
  <c r="FN138" i="1"/>
  <c r="FN75" i="1"/>
  <c r="FN122" i="1"/>
  <c r="FN84" i="1"/>
  <c r="FN116" i="1"/>
  <c r="FN186" i="1"/>
  <c r="FN89" i="1"/>
  <c r="FN70" i="1"/>
  <c r="FN61" i="1"/>
  <c r="FN74" i="1"/>
  <c r="FN88" i="1"/>
  <c r="FN73" i="1"/>
  <c r="FN111" i="1"/>
  <c r="FN87" i="1"/>
  <c r="FN82" i="1"/>
  <c r="FN53" i="1"/>
  <c r="FN175" i="1"/>
  <c r="FN55" i="1"/>
  <c r="FN51" i="1"/>
  <c r="FN157" i="1"/>
  <c r="FN158" i="1"/>
  <c r="FN83" i="1"/>
  <c r="FN91" i="1"/>
  <c r="FN105" i="1"/>
  <c r="FN103" i="1"/>
  <c r="FN188" i="1"/>
  <c r="FN163" i="1"/>
  <c r="FN101" i="1"/>
  <c r="FN65" i="1"/>
  <c r="FN60" i="1"/>
  <c r="FN80" i="1"/>
  <c r="FN56" i="1"/>
  <c r="FN57" i="1"/>
  <c r="FN25" i="1"/>
  <c r="FN104" i="1"/>
  <c r="FN66" i="1"/>
  <c r="FN58" i="1"/>
  <c r="FN155" i="1"/>
  <c r="FN156" i="1"/>
  <c r="FN134" i="1"/>
  <c r="FN92" i="1"/>
  <c r="FN67" i="1"/>
  <c r="FN126" i="1"/>
  <c r="FN145" i="1"/>
  <c r="FN135" i="1"/>
  <c r="FN159" i="1"/>
  <c r="FN76" i="1"/>
  <c r="FN114" i="1"/>
  <c r="FN161" i="1"/>
  <c r="FN160" i="1"/>
  <c r="FN95" i="1"/>
  <c r="FN120" i="1"/>
  <c r="FN42" i="1"/>
  <c r="FN183" i="1"/>
  <c r="FN112" i="1"/>
  <c r="FN148" i="1"/>
  <c r="FN179" i="1"/>
  <c r="FN128" i="1"/>
  <c r="FN144" i="1"/>
  <c r="FN110" i="1"/>
  <c r="FN81" i="1"/>
  <c r="FN100" i="1"/>
  <c r="FN123" i="1"/>
  <c r="FN86" i="1"/>
  <c r="FN174" i="1"/>
  <c r="FN201" i="1"/>
  <c r="FN90" i="1"/>
  <c r="FN102" i="1"/>
  <c r="FN94" i="1"/>
  <c r="FN119" i="1"/>
  <c r="FN141" i="1"/>
  <c r="FN147" i="1"/>
  <c r="FN165" i="1"/>
  <c r="FN132" i="1"/>
  <c r="FN189" i="1"/>
  <c r="FN133" i="1"/>
  <c r="FN206" i="1"/>
  <c r="FN78" i="1"/>
  <c r="FN143" i="1"/>
  <c r="FN150" i="1"/>
  <c r="FN130" i="1"/>
  <c r="FN96" i="1"/>
  <c r="FN182" i="1"/>
  <c r="FN195" i="1"/>
  <c r="FN178" i="1"/>
  <c r="FN181" i="1"/>
  <c r="FN194" i="1"/>
  <c r="FN208" i="1"/>
  <c r="FN129" i="1"/>
  <c r="FN180" i="1"/>
  <c r="FN140" i="1"/>
  <c r="FN125" i="1"/>
  <c r="FN131" i="1"/>
  <c r="FN173" i="1"/>
  <c r="FN184" i="1"/>
  <c r="FN190" i="1"/>
  <c r="FN142" i="1"/>
  <c r="FN69" i="1"/>
  <c r="FN151" i="1"/>
  <c r="FN193" i="1"/>
  <c r="FN169" i="1"/>
  <c r="FN166" i="1"/>
  <c r="FN97" i="1"/>
  <c r="FN79" i="1"/>
  <c r="FN146" i="1"/>
  <c r="FN204" i="1"/>
  <c r="FN113" i="1"/>
  <c r="FN172" i="1"/>
  <c r="FN171" i="1"/>
  <c r="FN185" i="1"/>
  <c r="FN137" i="1"/>
  <c r="FN205" i="1"/>
  <c r="FN177" i="1"/>
  <c r="FN199" i="1"/>
  <c r="FN106" i="1"/>
  <c r="FN203" i="1"/>
  <c r="FN124" i="1"/>
  <c r="FN170" i="1"/>
  <c r="FN152" i="1"/>
  <c r="FN118" i="1"/>
  <c r="FN198" i="1"/>
  <c r="FN200" i="1"/>
  <c r="FN136" i="1"/>
  <c r="FN108" i="1"/>
  <c r="FN149" i="1"/>
  <c r="FN187" i="1"/>
  <c r="FN168" i="1"/>
  <c r="FN162" i="1"/>
  <c r="FN139" i="1"/>
  <c r="FN196" i="1"/>
  <c r="FN153" i="1"/>
  <c r="FN197" i="1"/>
  <c r="FN176" i="1"/>
  <c r="FN202" i="1"/>
  <c r="FN167" i="1"/>
  <c r="FN207" i="1"/>
  <c r="FN192" i="1"/>
  <c r="FM3" i="1"/>
  <c r="FM2" i="1"/>
  <c r="FM43" i="1"/>
  <c r="FM71" i="1"/>
  <c r="FM7" i="1"/>
  <c r="FM164" i="1"/>
  <c r="FM4" i="1"/>
  <c r="FM99" i="1"/>
  <c r="FM6" i="1"/>
  <c r="FM8" i="1"/>
  <c r="FM10" i="1"/>
  <c r="FM9" i="1"/>
  <c r="FM127" i="1"/>
  <c r="FM11" i="1"/>
  <c r="FM44" i="1"/>
  <c r="FM39" i="1"/>
  <c r="FM45" i="1"/>
  <c r="FM16" i="1"/>
  <c r="FM12" i="1"/>
  <c r="FM48" i="1"/>
  <c r="FM54" i="1"/>
  <c r="FM47" i="1"/>
  <c r="FM20" i="1"/>
  <c r="FM50" i="1"/>
  <c r="FM22" i="1"/>
  <c r="FM49" i="1"/>
  <c r="FM13" i="1"/>
  <c r="FM26" i="1"/>
  <c r="FM52" i="1"/>
  <c r="FM46" i="1"/>
  <c r="FM72" i="1"/>
  <c r="FM5" i="1"/>
  <c r="FM18" i="1"/>
  <c r="FM23" i="1"/>
  <c r="FM15" i="1"/>
  <c r="FM14" i="1"/>
  <c r="FM59" i="1"/>
  <c r="FM38" i="1"/>
  <c r="FM21" i="1"/>
  <c r="FM27" i="1"/>
  <c r="FM17" i="1"/>
  <c r="FM68" i="1"/>
  <c r="FM121" i="1"/>
  <c r="FM24" i="1"/>
  <c r="FM30" i="1"/>
  <c r="FM40" i="1"/>
  <c r="FM35" i="1"/>
  <c r="FM29" i="1"/>
  <c r="FM37" i="1"/>
  <c r="FM28" i="1"/>
  <c r="FM19" i="1"/>
  <c r="FM33" i="1"/>
  <c r="FM109" i="1"/>
  <c r="FM64" i="1"/>
  <c r="FM63" i="1"/>
  <c r="FM77" i="1"/>
  <c r="FM115" i="1"/>
  <c r="FM31" i="1"/>
  <c r="FM41" i="1"/>
  <c r="FM191" i="1"/>
  <c r="FM85" i="1"/>
  <c r="FM62" i="1"/>
  <c r="FM36" i="1"/>
  <c r="FM32" i="1"/>
  <c r="FM34" i="1"/>
  <c r="FM93" i="1"/>
  <c r="FM117" i="1"/>
  <c r="FM154" i="1"/>
  <c r="FM107" i="1"/>
  <c r="FM98" i="1"/>
  <c r="FM138" i="1"/>
  <c r="FM75" i="1"/>
  <c r="FM122" i="1"/>
  <c r="FM84" i="1"/>
  <c r="FM116" i="1"/>
  <c r="FM186" i="1"/>
  <c r="FM89" i="1"/>
  <c r="FM70" i="1"/>
  <c r="FM61" i="1"/>
  <c r="FM74" i="1"/>
  <c r="FM88" i="1"/>
  <c r="FM73" i="1"/>
  <c r="FM111" i="1"/>
  <c r="FM87" i="1"/>
  <c r="FM82" i="1"/>
  <c r="FM53" i="1"/>
  <c r="FM175" i="1"/>
  <c r="FM55" i="1"/>
  <c r="FM51" i="1"/>
  <c r="FM157" i="1"/>
  <c r="FM158" i="1"/>
  <c r="FM83" i="1"/>
  <c r="FM91" i="1"/>
  <c r="FM105" i="1"/>
  <c r="FM103" i="1"/>
  <c r="FM188" i="1"/>
  <c r="FM163" i="1"/>
  <c r="FM101" i="1"/>
  <c r="FM65" i="1"/>
  <c r="FM60" i="1"/>
  <c r="FM80" i="1"/>
  <c r="FM56" i="1"/>
  <c r="FM57" i="1"/>
  <c r="FM25" i="1"/>
  <c r="FM104" i="1"/>
  <c r="FM66" i="1"/>
  <c r="FM58" i="1"/>
  <c r="FM155" i="1"/>
  <c r="FM156" i="1"/>
  <c r="FM134" i="1"/>
  <c r="FM92" i="1"/>
  <c r="FM67" i="1"/>
  <c r="FM126" i="1"/>
  <c r="FM145" i="1"/>
  <c r="FM135" i="1"/>
  <c r="FM159" i="1"/>
  <c r="FM76" i="1"/>
  <c r="FM114" i="1"/>
  <c r="FM161" i="1"/>
  <c r="FM160" i="1"/>
  <c r="FM95" i="1"/>
  <c r="FM120" i="1"/>
  <c r="FM42" i="1"/>
  <c r="FM183" i="1"/>
  <c r="FM112" i="1"/>
  <c r="FM148" i="1"/>
  <c r="FM179" i="1"/>
  <c r="FM128" i="1"/>
  <c r="FM144" i="1"/>
  <c r="FM110" i="1"/>
  <c r="FM81" i="1"/>
  <c r="FM100" i="1"/>
  <c r="FM123" i="1"/>
  <c r="FM86" i="1"/>
  <c r="FM174" i="1"/>
  <c r="FM201" i="1"/>
  <c r="FM90" i="1"/>
  <c r="FM102" i="1"/>
  <c r="FM94" i="1"/>
  <c r="FM119" i="1"/>
  <c r="FM141" i="1"/>
  <c r="FM147" i="1"/>
  <c r="FM165" i="1"/>
  <c r="FM132" i="1"/>
  <c r="FM189" i="1"/>
  <c r="FM133" i="1"/>
  <c r="FM206" i="1"/>
  <c r="FM78" i="1"/>
  <c r="FM143" i="1"/>
  <c r="FM150" i="1"/>
  <c r="FM130" i="1"/>
  <c r="FM96" i="1"/>
  <c r="FM182" i="1"/>
  <c r="FM195" i="1"/>
  <c r="FM178" i="1"/>
  <c r="FM181" i="1"/>
  <c r="FM194" i="1"/>
  <c r="FM208" i="1"/>
  <c r="FM129" i="1"/>
  <c r="FM180" i="1"/>
  <c r="FM140" i="1"/>
  <c r="FM125" i="1"/>
  <c r="FM131" i="1"/>
  <c r="FM173" i="1"/>
  <c r="FM184" i="1"/>
  <c r="FM190" i="1"/>
  <c r="FM142" i="1"/>
  <c r="FM69" i="1"/>
  <c r="FM151" i="1"/>
  <c r="FM193" i="1"/>
  <c r="FM169" i="1"/>
  <c r="FM166" i="1"/>
  <c r="FM97" i="1"/>
  <c r="FM79" i="1"/>
  <c r="FM146" i="1"/>
  <c r="FM204" i="1"/>
  <c r="FM113" i="1"/>
  <c r="FM172" i="1"/>
  <c r="FM171" i="1"/>
  <c r="FM185" i="1"/>
  <c r="FM137" i="1"/>
  <c r="FM205" i="1"/>
  <c r="FM177" i="1"/>
  <c r="FM199" i="1"/>
  <c r="FM106" i="1"/>
  <c r="FM203" i="1"/>
  <c r="FM124" i="1"/>
  <c r="FM170" i="1"/>
  <c r="FM152" i="1"/>
  <c r="FM118" i="1"/>
  <c r="FM198" i="1"/>
  <c r="FM200" i="1"/>
  <c r="FM136" i="1"/>
  <c r="FM108" i="1"/>
  <c r="FM149" i="1"/>
  <c r="FM187" i="1"/>
  <c r="FM168" i="1"/>
  <c r="FM162" i="1"/>
  <c r="FM139" i="1"/>
  <c r="FM196" i="1"/>
  <c r="FM153" i="1"/>
  <c r="FM197" i="1"/>
  <c r="FM176" i="1"/>
  <c r="FM202" i="1"/>
  <c r="FM167" i="1"/>
  <c r="FM207" i="1"/>
  <c r="FM192" i="1"/>
  <c r="FL3" i="1"/>
  <c r="FL2" i="1"/>
  <c r="FL43" i="1"/>
  <c r="FL71" i="1"/>
  <c r="FL7" i="1"/>
  <c r="FL164" i="1"/>
  <c r="FL4" i="1"/>
  <c r="FL99" i="1"/>
  <c r="FL6" i="1"/>
  <c r="FL8" i="1"/>
  <c r="FL10" i="1"/>
  <c r="FL9" i="1"/>
  <c r="FL127" i="1"/>
  <c r="FL11" i="1"/>
  <c r="FL44" i="1"/>
  <c r="FL39" i="1"/>
  <c r="FL45" i="1"/>
  <c r="FL16" i="1"/>
  <c r="FL12" i="1"/>
  <c r="FL48" i="1"/>
  <c r="FL54" i="1"/>
  <c r="FL47" i="1"/>
  <c r="FL20" i="1"/>
  <c r="FL50" i="1"/>
  <c r="FL22" i="1"/>
  <c r="FL49" i="1"/>
  <c r="FL13" i="1"/>
  <c r="FL26" i="1"/>
  <c r="FL52" i="1"/>
  <c r="FL46" i="1"/>
  <c r="FL72" i="1"/>
  <c r="FL5" i="1"/>
  <c r="FL18" i="1"/>
  <c r="FL23" i="1"/>
  <c r="FL15" i="1"/>
  <c r="FL14" i="1"/>
  <c r="FL59" i="1"/>
  <c r="FL38" i="1"/>
  <c r="FL21" i="1"/>
  <c r="FL27" i="1"/>
  <c r="FL17" i="1"/>
  <c r="FL68" i="1"/>
  <c r="FL121" i="1"/>
  <c r="FL24" i="1"/>
  <c r="FL30" i="1"/>
  <c r="FL40" i="1"/>
  <c r="FL35" i="1"/>
  <c r="FL29" i="1"/>
  <c r="FL37" i="1"/>
  <c r="FL28" i="1"/>
  <c r="FL19" i="1"/>
  <c r="FL33" i="1"/>
  <c r="FL109" i="1"/>
  <c r="FL64" i="1"/>
  <c r="FL63" i="1"/>
  <c r="FL77" i="1"/>
  <c r="FL115" i="1"/>
  <c r="FL31" i="1"/>
  <c r="FL41" i="1"/>
  <c r="FL191" i="1"/>
  <c r="FL85" i="1"/>
  <c r="FL62" i="1"/>
  <c r="FL36" i="1"/>
  <c r="FL32" i="1"/>
  <c r="FL34" i="1"/>
  <c r="FL93" i="1"/>
  <c r="FL117" i="1"/>
  <c r="FL154" i="1"/>
  <c r="FL107" i="1"/>
  <c r="FL98" i="1"/>
  <c r="FL138" i="1"/>
  <c r="FL75" i="1"/>
  <c r="FL122" i="1"/>
  <c r="FL84" i="1"/>
  <c r="FL116" i="1"/>
  <c r="FL186" i="1"/>
  <c r="FL89" i="1"/>
  <c r="FL70" i="1"/>
  <c r="FL61" i="1"/>
  <c r="FL74" i="1"/>
  <c r="FL88" i="1"/>
  <c r="FL73" i="1"/>
  <c r="FL111" i="1"/>
  <c r="FL87" i="1"/>
  <c r="FL82" i="1"/>
  <c r="FL53" i="1"/>
  <c r="FL175" i="1"/>
  <c r="FL55" i="1"/>
  <c r="FL51" i="1"/>
  <c r="FL157" i="1"/>
  <c r="FL158" i="1"/>
  <c r="FL83" i="1"/>
  <c r="FL91" i="1"/>
  <c r="FL105" i="1"/>
  <c r="FL103" i="1"/>
  <c r="FL188" i="1"/>
  <c r="FL163" i="1"/>
  <c r="FL101" i="1"/>
  <c r="FL65" i="1"/>
  <c r="FL60" i="1"/>
  <c r="FL80" i="1"/>
  <c r="FL56" i="1"/>
  <c r="FL57" i="1"/>
  <c r="FL25" i="1"/>
  <c r="FL104" i="1"/>
  <c r="FL66" i="1"/>
  <c r="FL58" i="1"/>
  <c r="FL155" i="1"/>
  <c r="FL156" i="1"/>
  <c r="FL134" i="1"/>
  <c r="FL92" i="1"/>
  <c r="FL67" i="1"/>
  <c r="FL126" i="1"/>
  <c r="FL145" i="1"/>
  <c r="FL135" i="1"/>
  <c r="FL159" i="1"/>
  <c r="FL76" i="1"/>
  <c r="FL114" i="1"/>
  <c r="FL161" i="1"/>
  <c r="FL160" i="1"/>
  <c r="FL95" i="1"/>
  <c r="FL120" i="1"/>
  <c r="FL42" i="1"/>
  <c r="FL183" i="1"/>
  <c r="FL112" i="1"/>
  <c r="FL148" i="1"/>
  <c r="FL179" i="1"/>
  <c r="FL128" i="1"/>
  <c r="FL144" i="1"/>
  <c r="FL110" i="1"/>
  <c r="FL81" i="1"/>
  <c r="FL100" i="1"/>
  <c r="FL123" i="1"/>
  <c r="FL86" i="1"/>
  <c r="FL174" i="1"/>
  <c r="FL201" i="1"/>
  <c r="FL90" i="1"/>
  <c r="FL102" i="1"/>
  <c r="FL94" i="1"/>
  <c r="FL119" i="1"/>
  <c r="FL141" i="1"/>
  <c r="FL147" i="1"/>
  <c r="FL165" i="1"/>
  <c r="FL132" i="1"/>
  <c r="FL189" i="1"/>
  <c r="FL133" i="1"/>
  <c r="FL206" i="1"/>
  <c r="FL78" i="1"/>
  <c r="FL143" i="1"/>
  <c r="FL150" i="1"/>
  <c r="FL130" i="1"/>
  <c r="FL96" i="1"/>
  <c r="FL182" i="1"/>
  <c r="FL195" i="1"/>
  <c r="FL178" i="1"/>
  <c r="FL181" i="1"/>
  <c r="FL194" i="1"/>
  <c r="FL208" i="1"/>
  <c r="FL129" i="1"/>
  <c r="FL180" i="1"/>
  <c r="FL140" i="1"/>
  <c r="FL125" i="1"/>
  <c r="FL131" i="1"/>
  <c r="FL173" i="1"/>
  <c r="FL184" i="1"/>
  <c r="FL190" i="1"/>
  <c r="FL142" i="1"/>
  <c r="FL69" i="1"/>
  <c r="FL151" i="1"/>
  <c r="FL193" i="1"/>
  <c r="FL169" i="1"/>
  <c r="FL166" i="1"/>
  <c r="FL97" i="1"/>
  <c r="FL79" i="1"/>
  <c r="FL146" i="1"/>
  <c r="FL204" i="1"/>
  <c r="FL113" i="1"/>
  <c r="FL172" i="1"/>
  <c r="FL171" i="1"/>
  <c r="FL185" i="1"/>
  <c r="FL137" i="1"/>
  <c r="FL205" i="1"/>
  <c r="FL177" i="1"/>
  <c r="FL199" i="1"/>
  <c r="FL106" i="1"/>
  <c r="FL203" i="1"/>
  <c r="FL124" i="1"/>
  <c r="FL170" i="1"/>
  <c r="FL152" i="1"/>
  <c r="FL118" i="1"/>
  <c r="FL198" i="1"/>
  <c r="FL200" i="1"/>
  <c r="FL136" i="1"/>
  <c r="FL108" i="1"/>
  <c r="FL149" i="1"/>
  <c r="FL187" i="1"/>
  <c r="FL168" i="1"/>
  <c r="FL162" i="1"/>
  <c r="FL139" i="1"/>
  <c r="FL196" i="1"/>
  <c r="FL153" i="1"/>
  <c r="FL197" i="1"/>
  <c r="FL176" i="1"/>
  <c r="FL202" i="1"/>
  <c r="FL167" i="1"/>
  <c r="FL207" i="1"/>
  <c r="FL192" i="1"/>
  <c r="FK3" i="1"/>
  <c r="FK2" i="1"/>
  <c r="FK43" i="1"/>
  <c r="FK71" i="1"/>
  <c r="FK7" i="1"/>
  <c r="FK164" i="1"/>
  <c r="FK4" i="1"/>
  <c r="FK99" i="1"/>
  <c r="FK6" i="1"/>
  <c r="FK8" i="1"/>
  <c r="FK10" i="1"/>
  <c r="FK9" i="1"/>
  <c r="FK127" i="1"/>
  <c r="FK11" i="1"/>
  <c r="FK44" i="1"/>
  <c r="FK39" i="1"/>
  <c r="FK45" i="1"/>
  <c r="FK16" i="1"/>
  <c r="FK12" i="1"/>
  <c r="FK48" i="1"/>
  <c r="FK54" i="1"/>
  <c r="FK47" i="1"/>
  <c r="FK20" i="1"/>
  <c r="FK50" i="1"/>
  <c r="FK22" i="1"/>
  <c r="FK49" i="1"/>
  <c r="FK13" i="1"/>
  <c r="FK26" i="1"/>
  <c r="FK52" i="1"/>
  <c r="FK46" i="1"/>
  <c r="FK72" i="1"/>
  <c r="FK5" i="1"/>
  <c r="FK18" i="1"/>
  <c r="FK23" i="1"/>
  <c r="FK15" i="1"/>
  <c r="FK14" i="1"/>
  <c r="FK59" i="1"/>
  <c r="FK38" i="1"/>
  <c r="FK21" i="1"/>
  <c r="FK27" i="1"/>
  <c r="FK17" i="1"/>
  <c r="FK68" i="1"/>
  <c r="FK121" i="1"/>
  <c r="FK24" i="1"/>
  <c r="FK30" i="1"/>
  <c r="FK40" i="1"/>
  <c r="FK35" i="1"/>
  <c r="FK29" i="1"/>
  <c r="FK37" i="1"/>
  <c r="FK28" i="1"/>
  <c r="FK19" i="1"/>
  <c r="FK33" i="1"/>
  <c r="FK109" i="1"/>
  <c r="FK64" i="1"/>
  <c r="FK63" i="1"/>
  <c r="FK77" i="1"/>
  <c r="FK115" i="1"/>
  <c r="FK31" i="1"/>
  <c r="FK41" i="1"/>
  <c r="FK191" i="1"/>
  <c r="FK85" i="1"/>
  <c r="FK62" i="1"/>
  <c r="FK36" i="1"/>
  <c r="FK32" i="1"/>
  <c r="FK34" i="1"/>
  <c r="FK93" i="1"/>
  <c r="FK117" i="1"/>
  <c r="FK154" i="1"/>
  <c r="FK107" i="1"/>
  <c r="FK98" i="1"/>
  <c r="FK138" i="1"/>
  <c r="FK75" i="1"/>
  <c r="FK122" i="1"/>
  <c r="FK84" i="1"/>
  <c r="FK116" i="1"/>
  <c r="FK186" i="1"/>
  <c r="FK89" i="1"/>
  <c r="FK70" i="1"/>
  <c r="FK61" i="1"/>
  <c r="FK74" i="1"/>
  <c r="FK88" i="1"/>
  <c r="FK73" i="1"/>
  <c r="FK111" i="1"/>
  <c r="FK87" i="1"/>
  <c r="FK82" i="1"/>
  <c r="FK53" i="1"/>
  <c r="FK175" i="1"/>
  <c r="FK55" i="1"/>
  <c r="FK51" i="1"/>
  <c r="FK157" i="1"/>
  <c r="FK158" i="1"/>
  <c r="FK83" i="1"/>
  <c r="FK91" i="1"/>
  <c r="FK105" i="1"/>
  <c r="FK103" i="1"/>
  <c r="FK188" i="1"/>
  <c r="FK163" i="1"/>
  <c r="FK101" i="1"/>
  <c r="FK65" i="1"/>
  <c r="FK60" i="1"/>
  <c r="FK80" i="1"/>
  <c r="FK56" i="1"/>
  <c r="FK57" i="1"/>
  <c r="FK25" i="1"/>
  <c r="FK104" i="1"/>
  <c r="FK66" i="1"/>
  <c r="FK58" i="1"/>
  <c r="FK155" i="1"/>
  <c r="FK156" i="1"/>
  <c r="FK134" i="1"/>
  <c r="FK92" i="1"/>
  <c r="FK67" i="1"/>
  <c r="FK126" i="1"/>
  <c r="FK145" i="1"/>
  <c r="FK135" i="1"/>
  <c r="FK159" i="1"/>
  <c r="FK76" i="1"/>
  <c r="FK114" i="1"/>
  <c r="FK161" i="1"/>
  <c r="FK160" i="1"/>
  <c r="FK95" i="1"/>
  <c r="FK120" i="1"/>
  <c r="FK42" i="1"/>
  <c r="FK183" i="1"/>
  <c r="FK112" i="1"/>
  <c r="FK148" i="1"/>
  <c r="FK179" i="1"/>
  <c r="FK128" i="1"/>
  <c r="FK144" i="1"/>
  <c r="FK110" i="1"/>
  <c r="FK81" i="1"/>
  <c r="FK100" i="1"/>
  <c r="FK123" i="1"/>
  <c r="FK86" i="1"/>
  <c r="FK174" i="1"/>
  <c r="FK201" i="1"/>
  <c r="FK90" i="1"/>
  <c r="FK102" i="1"/>
  <c r="FK94" i="1"/>
  <c r="FK119" i="1"/>
  <c r="FK141" i="1"/>
  <c r="FK147" i="1"/>
  <c r="FK165" i="1"/>
  <c r="FK132" i="1"/>
  <c r="FK189" i="1"/>
  <c r="FK133" i="1"/>
  <c r="FK206" i="1"/>
  <c r="FK78" i="1"/>
  <c r="FK143" i="1"/>
  <c r="FK150" i="1"/>
  <c r="FK130" i="1"/>
  <c r="FK96" i="1"/>
  <c r="FK182" i="1"/>
  <c r="FK195" i="1"/>
  <c r="FK178" i="1"/>
  <c r="FK181" i="1"/>
  <c r="FK194" i="1"/>
  <c r="FK208" i="1"/>
  <c r="FK129" i="1"/>
  <c r="FK180" i="1"/>
  <c r="FK140" i="1"/>
  <c r="FK125" i="1"/>
  <c r="FK131" i="1"/>
  <c r="FK173" i="1"/>
  <c r="FK184" i="1"/>
  <c r="FK190" i="1"/>
  <c r="FK142" i="1"/>
  <c r="FK69" i="1"/>
  <c r="FK151" i="1"/>
  <c r="FK193" i="1"/>
  <c r="FK169" i="1"/>
  <c r="FK166" i="1"/>
  <c r="FK97" i="1"/>
  <c r="FK79" i="1"/>
  <c r="FK146" i="1"/>
  <c r="FK204" i="1"/>
  <c r="FK113" i="1"/>
  <c r="FK172" i="1"/>
  <c r="FK171" i="1"/>
  <c r="FK185" i="1"/>
  <c r="FK137" i="1"/>
  <c r="FK205" i="1"/>
  <c r="FK177" i="1"/>
  <c r="FK199" i="1"/>
  <c r="FK106" i="1"/>
  <c r="FK203" i="1"/>
  <c r="FK124" i="1"/>
  <c r="FK170" i="1"/>
  <c r="FK152" i="1"/>
  <c r="FK118" i="1"/>
  <c r="FK198" i="1"/>
  <c r="FK200" i="1"/>
  <c r="FK136" i="1"/>
  <c r="FK108" i="1"/>
  <c r="FK149" i="1"/>
  <c r="FK187" i="1"/>
  <c r="FK168" i="1"/>
  <c r="FK162" i="1"/>
  <c r="FK139" i="1"/>
  <c r="FK196" i="1"/>
  <c r="FK153" i="1"/>
  <c r="FK197" i="1"/>
  <c r="FK176" i="1"/>
  <c r="FK202" i="1"/>
  <c r="FK167" i="1"/>
  <c r="FK207" i="1"/>
  <c r="FK192" i="1"/>
  <c r="FJ3" i="1"/>
  <c r="FJ2" i="1"/>
  <c r="FJ43" i="1"/>
  <c r="FJ71" i="1"/>
  <c r="FJ7" i="1"/>
  <c r="FJ164" i="1"/>
  <c r="FJ4" i="1"/>
  <c r="FJ99" i="1"/>
  <c r="FJ6" i="1"/>
  <c r="FJ8" i="1"/>
  <c r="FJ10" i="1"/>
  <c r="FJ9" i="1"/>
  <c r="FJ127" i="1"/>
  <c r="FJ11" i="1"/>
  <c r="FJ44" i="1"/>
  <c r="FJ39" i="1"/>
  <c r="FJ45" i="1"/>
  <c r="FJ16" i="1"/>
  <c r="FJ12" i="1"/>
  <c r="FJ48" i="1"/>
  <c r="FJ54" i="1"/>
  <c r="FJ47" i="1"/>
  <c r="FJ20" i="1"/>
  <c r="FJ50" i="1"/>
  <c r="FJ22" i="1"/>
  <c r="FJ49" i="1"/>
  <c r="FJ13" i="1"/>
  <c r="FJ26" i="1"/>
  <c r="FJ52" i="1"/>
  <c r="FJ46" i="1"/>
  <c r="FJ72" i="1"/>
  <c r="FJ5" i="1"/>
  <c r="FJ18" i="1"/>
  <c r="FJ23" i="1"/>
  <c r="FJ15" i="1"/>
  <c r="FJ14" i="1"/>
  <c r="FJ59" i="1"/>
  <c r="FJ38" i="1"/>
  <c r="FJ21" i="1"/>
  <c r="FJ27" i="1"/>
  <c r="FJ17" i="1"/>
  <c r="FJ68" i="1"/>
  <c r="FJ121" i="1"/>
  <c r="FJ24" i="1"/>
  <c r="FJ30" i="1"/>
  <c r="FJ40" i="1"/>
  <c r="FJ35" i="1"/>
  <c r="FJ29" i="1"/>
  <c r="FJ37" i="1"/>
  <c r="FJ28" i="1"/>
  <c r="FJ19" i="1"/>
  <c r="FJ33" i="1"/>
  <c r="FJ109" i="1"/>
  <c r="FJ64" i="1"/>
  <c r="FJ63" i="1"/>
  <c r="FJ77" i="1"/>
  <c r="FJ115" i="1"/>
  <c r="FJ31" i="1"/>
  <c r="FJ41" i="1"/>
  <c r="FJ191" i="1"/>
  <c r="FJ85" i="1"/>
  <c r="FJ62" i="1"/>
  <c r="FJ36" i="1"/>
  <c r="FJ32" i="1"/>
  <c r="FJ34" i="1"/>
  <c r="FJ93" i="1"/>
  <c r="FJ117" i="1"/>
  <c r="FJ154" i="1"/>
  <c r="FJ107" i="1"/>
  <c r="FJ98" i="1"/>
  <c r="FJ138" i="1"/>
  <c r="FJ75" i="1"/>
  <c r="FJ122" i="1"/>
  <c r="FJ84" i="1"/>
  <c r="FJ116" i="1"/>
  <c r="FJ186" i="1"/>
  <c r="FJ89" i="1"/>
  <c r="FJ70" i="1"/>
  <c r="FJ61" i="1"/>
  <c r="FJ74" i="1"/>
  <c r="FJ88" i="1"/>
  <c r="FJ73" i="1"/>
  <c r="FJ111" i="1"/>
  <c r="FJ87" i="1"/>
  <c r="FJ82" i="1"/>
  <c r="FJ53" i="1"/>
  <c r="FJ175" i="1"/>
  <c r="FJ55" i="1"/>
  <c r="FJ51" i="1"/>
  <c r="FJ157" i="1"/>
  <c r="FJ158" i="1"/>
  <c r="FJ83" i="1"/>
  <c r="FJ91" i="1"/>
  <c r="FJ105" i="1"/>
  <c r="FJ103" i="1"/>
  <c r="FJ188" i="1"/>
  <c r="FJ163" i="1"/>
  <c r="FJ101" i="1"/>
  <c r="FJ65" i="1"/>
  <c r="FJ60" i="1"/>
  <c r="FJ80" i="1"/>
  <c r="FJ56" i="1"/>
  <c r="FJ57" i="1"/>
  <c r="FJ25" i="1"/>
  <c r="FJ104" i="1"/>
  <c r="FJ66" i="1"/>
  <c r="FJ58" i="1"/>
  <c r="FJ155" i="1"/>
  <c r="FJ156" i="1"/>
  <c r="FJ134" i="1"/>
  <c r="FJ92" i="1"/>
  <c r="FJ67" i="1"/>
  <c r="FJ126" i="1"/>
  <c r="FJ145" i="1"/>
  <c r="FJ135" i="1"/>
  <c r="FJ159" i="1"/>
  <c r="FJ76" i="1"/>
  <c r="FJ114" i="1"/>
  <c r="FJ161" i="1"/>
  <c r="FJ160" i="1"/>
  <c r="FJ95" i="1"/>
  <c r="FJ120" i="1"/>
  <c r="FJ42" i="1"/>
  <c r="FJ183" i="1"/>
  <c r="FJ112" i="1"/>
  <c r="FJ148" i="1"/>
  <c r="FJ179" i="1"/>
  <c r="FJ128" i="1"/>
  <c r="FJ144" i="1"/>
  <c r="FJ110" i="1"/>
  <c r="FJ81" i="1"/>
  <c r="FJ100" i="1"/>
  <c r="FJ123" i="1"/>
  <c r="FJ86" i="1"/>
  <c r="FJ174" i="1"/>
  <c r="FJ201" i="1"/>
  <c r="FJ90" i="1"/>
  <c r="FJ102" i="1"/>
  <c r="FJ94" i="1"/>
  <c r="FJ119" i="1"/>
  <c r="FJ141" i="1"/>
  <c r="FJ147" i="1"/>
  <c r="FJ165" i="1"/>
  <c r="FJ132" i="1"/>
  <c r="FJ189" i="1"/>
  <c r="FJ133" i="1"/>
  <c r="FJ206" i="1"/>
  <c r="FJ78" i="1"/>
  <c r="FJ143" i="1"/>
  <c r="FJ150" i="1"/>
  <c r="FJ130" i="1"/>
  <c r="FJ96" i="1"/>
  <c r="FJ182" i="1"/>
  <c r="FJ195" i="1"/>
  <c r="FJ178" i="1"/>
  <c r="FJ181" i="1"/>
  <c r="FJ194" i="1"/>
  <c r="FJ208" i="1"/>
  <c r="FJ129" i="1"/>
  <c r="FJ180" i="1"/>
  <c r="FJ140" i="1"/>
  <c r="FJ125" i="1"/>
  <c r="FJ131" i="1"/>
  <c r="FJ173" i="1"/>
  <c r="FJ184" i="1"/>
  <c r="FJ190" i="1"/>
  <c r="FJ142" i="1"/>
  <c r="FJ69" i="1"/>
  <c r="FJ151" i="1"/>
  <c r="FJ193" i="1"/>
  <c r="FJ169" i="1"/>
  <c r="FJ166" i="1"/>
  <c r="FJ97" i="1"/>
  <c r="FJ79" i="1"/>
  <c r="FJ146" i="1"/>
  <c r="FJ204" i="1"/>
  <c r="FJ113" i="1"/>
  <c r="FJ172" i="1"/>
  <c r="FJ171" i="1"/>
  <c r="FJ185" i="1"/>
  <c r="FJ137" i="1"/>
  <c r="FJ205" i="1"/>
  <c r="FJ177" i="1"/>
  <c r="FJ199" i="1"/>
  <c r="FJ106" i="1"/>
  <c r="FJ203" i="1"/>
  <c r="FJ124" i="1"/>
  <c r="FJ170" i="1"/>
  <c r="FJ152" i="1"/>
  <c r="FJ118" i="1"/>
  <c r="FJ198" i="1"/>
  <c r="FJ200" i="1"/>
  <c r="FJ136" i="1"/>
  <c r="FJ108" i="1"/>
  <c r="FJ149" i="1"/>
  <c r="FJ187" i="1"/>
  <c r="FJ168" i="1"/>
  <c r="FJ162" i="1"/>
  <c r="FJ139" i="1"/>
  <c r="FJ196" i="1"/>
  <c r="FJ153" i="1"/>
  <c r="FJ197" i="1"/>
  <c r="FJ176" i="1"/>
  <c r="FJ202" i="1"/>
  <c r="FJ167" i="1"/>
  <c r="FJ207" i="1"/>
  <c r="FJ192" i="1"/>
  <c r="FI3" i="1"/>
  <c r="FI2" i="1"/>
  <c r="FI43" i="1"/>
  <c r="FI71" i="1"/>
  <c r="FI7" i="1"/>
  <c r="FI164" i="1"/>
  <c r="FI4" i="1"/>
  <c r="FI99" i="1"/>
  <c r="FI6" i="1"/>
  <c r="FI8" i="1"/>
  <c r="FI10" i="1"/>
  <c r="FI9" i="1"/>
  <c r="FI127" i="1"/>
  <c r="FI11" i="1"/>
  <c r="FI44" i="1"/>
  <c r="FI39" i="1"/>
  <c r="FI45" i="1"/>
  <c r="FI16" i="1"/>
  <c r="FI12" i="1"/>
  <c r="FI48" i="1"/>
  <c r="FI54" i="1"/>
  <c r="FI47" i="1"/>
  <c r="FI20" i="1"/>
  <c r="FI50" i="1"/>
  <c r="FI22" i="1"/>
  <c r="FI49" i="1"/>
  <c r="FI13" i="1"/>
  <c r="FI26" i="1"/>
  <c r="FI52" i="1"/>
  <c r="FI46" i="1"/>
  <c r="FI72" i="1"/>
  <c r="FI5" i="1"/>
  <c r="FI18" i="1"/>
  <c r="FI23" i="1"/>
  <c r="FI15" i="1"/>
  <c r="FI14" i="1"/>
  <c r="FI59" i="1"/>
  <c r="FI38" i="1"/>
  <c r="FI21" i="1"/>
  <c r="FI27" i="1"/>
  <c r="FI17" i="1"/>
  <c r="FI68" i="1"/>
  <c r="FI121" i="1"/>
  <c r="FI24" i="1"/>
  <c r="FI30" i="1"/>
  <c r="FI40" i="1"/>
  <c r="FI35" i="1"/>
  <c r="FI29" i="1"/>
  <c r="FI37" i="1"/>
  <c r="FI28" i="1"/>
  <c r="FI19" i="1"/>
  <c r="FI33" i="1"/>
  <c r="FI109" i="1"/>
  <c r="FI64" i="1"/>
  <c r="FI63" i="1"/>
  <c r="FI77" i="1"/>
  <c r="FI115" i="1"/>
  <c r="FI31" i="1"/>
  <c r="FI41" i="1"/>
  <c r="FI191" i="1"/>
  <c r="FI85" i="1"/>
  <c r="FI62" i="1"/>
  <c r="FI36" i="1"/>
  <c r="FI32" i="1"/>
  <c r="FI34" i="1"/>
  <c r="FI93" i="1"/>
  <c r="FI117" i="1"/>
  <c r="FI154" i="1"/>
  <c r="FI107" i="1"/>
  <c r="FI98" i="1"/>
  <c r="FI138" i="1"/>
  <c r="FI75" i="1"/>
  <c r="FI122" i="1"/>
  <c r="FI84" i="1"/>
  <c r="FI116" i="1"/>
  <c r="FI186" i="1"/>
  <c r="FI89" i="1"/>
  <c r="FI70" i="1"/>
  <c r="FI61" i="1"/>
  <c r="FI74" i="1"/>
  <c r="FI88" i="1"/>
  <c r="FI73" i="1"/>
  <c r="FI111" i="1"/>
  <c r="FI87" i="1"/>
  <c r="FI82" i="1"/>
  <c r="FI53" i="1"/>
  <c r="FI175" i="1"/>
  <c r="FI55" i="1"/>
  <c r="FI51" i="1"/>
  <c r="FI157" i="1"/>
  <c r="FI158" i="1"/>
  <c r="FI83" i="1"/>
  <c r="FI91" i="1"/>
  <c r="FI105" i="1"/>
  <c r="FI103" i="1"/>
  <c r="FI188" i="1"/>
  <c r="FI163" i="1"/>
  <c r="FI101" i="1"/>
  <c r="FI65" i="1"/>
  <c r="FI60" i="1"/>
  <c r="FI80" i="1"/>
  <c r="FI56" i="1"/>
  <c r="FI57" i="1"/>
  <c r="FI25" i="1"/>
  <c r="FI104" i="1"/>
  <c r="FI66" i="1"/>
  <c r="FI58" i="1"/>
  <c r="FI155" i="1"/>
  <c r="FI156" i="1"/>
  <c r="FI134" i="1"/>
  <c r="FI92" i="1"/>
  <c r="FI67" i="1"/>
  <c r="FI126" i="1"/>
  <c r="FI145" i="1"/>
  <c r="FI135" i="1"/>
  <c r="FI159" i="1"/>
  <c r="FI76" i="1"/>
  <c r="FI114" i="1"/>
  <c r="FI161" i="1"/>
  <c r="FI160" i="1"/>
  <c r="FI95" i="1"/>
  <c r="FI120" i="1"/>
  <c r="FI42" i="1"/>
  <c r="FI183" i="1"/>
  <c r="FI112" i="1"/>
  <c r="FI148" i="1"/>
  <c r="FI179" i="1"/>
  <c r="FI128" i="1"/>
  <c r="FI144" i="1"/>
  <c r="FI110" i="1"/>
  <c r="FI81" i="1"/>
  <c r="FI100" i="1"/>
  <c r="FI123" i="1"/>
  <c r="FI86" i="1"/>
  <c r="FI174" i="1"/>
  <c r="FI201" i="1"/>
  <c r="FI90" i="1"/>
  <c r="FI102" i="1"/>
  <c r="FI94" i="1"/>
  <c r="FI119" i="1"/>
  <c r="FI141" i="1"/>
  <c r="FI147" i="1"/>
  <c r="FI165" i="1"/>
  <c r="FI132" i="1"/>
  <c r="FI189" i="1"/>
  <c r="FI133" i="1"/>
  <c r="FI206" i="1"/>
  <c r="FI78" i="1"/>
  <c r="FI143" i="1"/>
  <c r="FI150" i="1"/>
  <c r="FI130" i="1"/>
  <c r="FI96" i="1"/>
  <c r="FI182" i="1"/>
  <c r="FI195" i="1"/>
  <c r="FI178" i="1"/>
  <c r="FI181" i="1"/>
  <c r="FI194" i="1"/>
  <c r="FI208" i="1"/>
  <c r="FI129" i="1"/>
  <c r="FI180" i="1"/>
  <c r="FI140" i="1"/>
  <c r="FI125" i="1"/>
  <c r="FI131" i="1"/>
  <c r="FI173" i="1"/>
  <c r="FI184" i="1"/>
  <c r="FI190" i="1"/>
  <c r="FI142" i="1"/>
  <c r="FI69" i="1"/>
  <c r="FI151" i="1"/>
  <c r="FI193" i="1"/>
  <c r="FI169" i="1"/>
  <c r="FI166" i="1"/>
  <c r="FI97" i="1"/>
  <c r="FI79" i="1"/>
  <c r="FI146" i="1"/>
  <c r="FI204" i="1"/>
  <c r="FI113" i="1"/>
  <c r="FI172" i="1"/>
  <c r="FI171" i="1"/>
  <c r="FI185" i="1"/>
  <c r="FI137" i="1"/>
  <c r="FI205" i="1"/>
  <c r="FI177" i="1"/>
  <c r="FI199" i="1"/>
  <c r="FI106" i="1"/>
  <c r="FI203" i="1"/>
  <c r="FI124" i="1"/>
  <c r="FI170" i="1"/>
  <c r="FI152" i="1"/>
  <c r="FI118" i="1"/>
  <c r="FI198" i="1"/>
  <c r="FI200" i="1"/>
  <c r="FI136" i="1"/>
  <c r="FI108" i="1"/>
  <c r="FI149" i="1"/>
  <c r="FI187" i="1"/>
  <c r="FI168" i="1"/>
  <c r="FI162" i="1"/>
  <c r="FI139" i="1"/>
  <c r="FI196" i="1"/>
  <c r="FI153" i="1"/>
  <c r="FI197" i="1"/>
  <c r="FI176" i="1"/>
  <c r="FI202" i="1"/>
  <c r="FI167" i="1"/>
  <c r="FI207" i="1"/>
  <c r="FI192" i="1"/>
  <c r="FH3" i="1"/>
  <c r="FH2" i="1"/>
  <c r="FH43" i="1"/>
  <c r="FH71" i="1"/>
  <c r="FH7" i="1"/>
  <c r="FH164" i="1"/>
  <c r="FH4" i="1"/>
  <c r="FH99" i="1"/>
  <c r="FH6" i="1"/>
  <c r="FH8" i="1"/>
  <c r="FH10" i="1"/>
  <c r="FH9" i="1"/>
  <c r="FH127" i="1"/>
  <c r="FH11" i="1"/>
  <c r="FH44" i="1"/>
  <c r="FH39" i="1"/>
  <c r="FH45" i="1"/>
  <c r="FH16" i="1"/>
  <c r="FH12" i="1"/>
  <c r="FH48" i="1"/>
  <c r="FH54" i="1"/>
  <c r="FH47" i="1"/>
  <c r="FH20" i="1"/>
  <c r="FH50" i="1"/>
  <c r="FH22" i="1"/>
  <c r="FH49" i="1"/>
  <c r="FH13" i="1"/>
  <c r="FH26" i="1"/>
  <c r="FH52" i="1"/>
  <c r="FH46" i="1"/>
  <c r="FH72" i="1"/>
  <c r="FH5" i="1"/>
  <c r="FH18" i="1"/>
  <c r="FH23" i="1"/>
  <c r="FH15" i="1"/>
  <c r="FH14" i="1"/>
  <c r="FH59" i="1"/>
  <c r="FH38" i="1"/>
  <c r="FH21" i="1"/>
  <c r="FH27" i="1"/>
  <c r="FH17" i="1"/>
  <c r="FH68" i="1"/>
  <c r="FH121" i="1"/>
  <c r="FH24" i="1"/>
  <c r="FH30" i="1"/>
  <c r="FH40" i="1"/>
  <c r="FH35" i="1"/>
  <c r="FH29" i="1"/>
  <c r="FH37" i="1"/>
  <c r="FH28" i="1"/>
  <c r="FH19" i="1"/>
  <c r="FH33" i="1"/>
  <c r="FH109" i="1"/>
  <c r="FH64" i="1"/>
  <c r="FH63" i="1"/>
  <c r="FH77" i="1"/>
  <c r="FH115" i="1"/>
  <c r="FH31" i="1"/>
  <c r="FH41" i="1"/>
  <c r="FH191" i="1"/>
  <c r="FH85" i="1"/>
  <c r="FH62" i="1"/>
  <c r="FH36" i="1"/>
  <c r="FH32" i="1"/>
  <c r="FH34" i="1"/>
  <c r="FH93" i="1"/>
  <c r="FH117" i="1"/>
  <c r="FH154" i="1"/>
  <c r="FH107" i="1"/>
  <c r="FH98" i="1"/>
  <c r="FH138" i="1"/>
  <c r="FH75" i="1"/>
  <c r="FH122" i="1"/>
  <c r="FH84" i="1"/>
  <c r="FH116" i="1"/>
  <c r="FH186" i="1"/>
  <c r="FH89" i="1"/>
  <c r="FH70" i="1"/>
  <c r="FH61" i="1"/>
  <c r="FH74" i="1"/>
  <c r="FH88" i="1"/>
  <c r="FH73" i="1"/>
  <c r="FH111" i="1"/>
  <c r="FH87" i="1"/>
  <c r="FH82" i="1"/>
  <c r="FH53" i="1"/>
  <c r="FH175" i="1"/>
  <c r="FH55" i="1"/>
  <c r="FH51" i="1"/>
  <c r="FH157" i="1"/>
  <c r="FH158" i="1"/>
  <c r="FH83" i="1"/>
  <c r="FH91" i="1"/>
  <c r="FH105" i="1"/>
  <c r="FH103" i="1"/>
  <c r="FH188" i="1"/>
  <c r="FH163" i="1"/>
  <c r="FH101" i="1"/>
  <c r="FH65" i="1"/>
  <c r="FH60" i="1"/>
  <c r="FH80" i="1"/>
  <c r="FH56" i="1"/>
  <c r="FH57" i="1"/>
  <c r="FH25" i="1"/>
  <c r="FH104" i="1"/>
  <c r="FH66" i="1"/>
  <c r="FH58" i="1"/>
  <c r="FH155" i="1"/>
  <c r="FH156" i="1"/>
  <c r="FH134" i="1"/>
  <c r="FH92" i="1"/>
  <c r="FH67" i="1"/>
  <c r="FH126" i="1"/>
  <c r="FH145" i="1"/>
  <c r="FH135" i="1"/>
  <c r="FH159" i="1"/>
  <c r="FH76" i="1"/>
  <c r="FH114" i="1"/>
  <c r="FH161" i="1"/>
  <c r="FH160" i="1"/>
  <c r="FH95" i="1"/>
  <c r="FH120" i="1"/>
  <c r="FH42" i="1"/>
  <c r="FH183" i="1"/>
  <c r="FH112" i="1"/>
  <c r="FH148" i="1"/>
  <c r="FH179" i="1"/>
  <c r="FH128" i="1"/>
  <c r="FH144" i="1"/>
  <c r="FH110" i="1"/>
  <c r="FH81" i="1"/>
  <c r="FH100" i="1"/>
  <c r="FH123" i="1"/>
  <c r="FH86" i="1"/>
  <c r="FH174" i="1"/>
  <c r="FH201" i="1"/>
  <c r="FH90" i="1"/>
  <c r="FH102" i="1"/>
  <c r="FH94" i="1"/>
  <c r="FH119" i="1"/>
  <c r="FH141" i="1"/>
  <c r="FH147" i="1"/>
  <c r="FH165" i="1"/>
  <c r="FH132" i="1"/>
  <c r="FH189" i="1"/>
  <c r="FH133" i="1"/>
  <c r="FH206" i="1"/>
  <c r="FH78" i="1"/>
  <c r="FH143" i="1"/>
  <c r="FH150" i="1"/>
  <c r="FH130" i="1"/>
  <c r="FH96" i="1"/>
  <c r="FH182" i="1"/>
  <c r="FH195" i="1"/>
  <c r="FH178" i="1"/>
  <c r="FH181" i="1"/>
  <c r="FH194" i="1"/>
  <c r="FH208" i="1"/>
  <c r="FH129" i="1"/>
  <c r="FH180" i="1"/>
  <c r="FH140" i="1"/>
  <c r="FH125" i="1"/>
  <c r="FH131" i="1"/>
  <c r="FH173" i="1"/>
  <c r="FH184" i="1"/>
  <c r="FH190" i="1"/>
  <c r="FH142" i="1"/>
  <c r="FH69" i="1"/>
  <c r="FH151" i="1"/>
  <c r="FH193" i="1"/>
  <c r="FH169" i="1"/>
  <c r="FH166" i="1"/>
  <c r="FH97" i="1"/>
  <c r="FH79" i="1"/>
  <c r="FH146" i="1"/>
  <c r="FH204" i="1"/>
  <c r="FH113" i="1"/>
  <c r="FH172" i="1"/>
  <c r="FH171" i="1"/>
  <c r="FH185" i="1"/>
  <c r="FH137" i="1"/>
  <c r="FH205" i="1"/>
  <c r="FH177" i="1"/>
  <c r="FH199" i="1"/>
  <c r="FH106" i="1"/>
  <c r="FH203" i="1"/>
  <c r="FH124" i="1"/>
  <c r="FH170" i="1"/>
  <c r="FH152" i="1"/>
  <c r="FH118" i="1"/>
  <c r="FH198" i="1"/>
  <c r="FH200" i="1"/>
  <c r="FH136" i="1"/>
  <c r="FH108" i="1"/>
  <c r="FH149" i="1"/>
  <c r="FH187" i="1"/>
  <c r="FH168" i="1"/>
  <c r="FH162" i="1"/>
  <c r="FH139" i="1"/>
  <c r="FH196" i="1"/>
  <c r="FH153" i="1"/>
  <c r="FH197" i="1"/>
  <c r="FH176" i="1"/>
  <c r="FH202" i="1"/>
  <c r="FH167" i="1"/>
  <c r="FH207" i="1"/>
  <c r="FH192" i="1"/>
  <c r="FG3" i="1"/>
  <c r="FG2" i="1"/>
  <c r="FG43" i="1"/>
  <c r="FG71" i="1"/>
  <c r="FG7" i="1"/>
  <c r="FG164" i="1"/>
  <c r="FG4" i="1"/>
  <c r="FG99" i="1"/>
  <c r="FG6" i="1"/>
  <c r="FG8" i="1"/>
  <c r="FG10" i="1"/>
  <c r="FG9" i="1"/>
  <c r="FG127" i="1"/>
  <c r="FG11" i="1"/>
  <c r="FG44" i="1"/>
  <c r="FG39" i="1"/>
  <c r="FG45" i="1"/>
  <c r="FG16" i="1"/>
  <c r="FG12" i="1"/>
  <c r="FG48" i="1"/>
  <c r="FG54" i="1"/>
  <c r="FG47" i="1"/>
  <c r="FG20" i="1"/>
  <c r="FG50" i="1"/>
  <c r="FG22" i="1"/>
  <c r="FG49" i="1"/>
  <c r="FG13" i="1"/>
  <c r="FG26" i="1"/>
  <c r="FG52" i="1"/>
  <c r="FG46" i="1"/>
  <c r="FG72" i="1"/>
  <c r="FG5" i="1"/>
  <c r="FG18" i="1"/>
  <c r="FG23" i="1"/>
  <c r="FG15" i="1"/>
  <c r="FG14" i="1"/>
  <c r="FG59" i="1"/>
  <c r="FG38" i="1"/>
  <c r="FG21" i="1"/>
  <c r="FG27" i="1"/>
  <c r="FG17" i="1"/>
  <c r="FG68" i="1"/>
  <c r="FG121" i="1"/>
  <c r="FG24" i="1"/>
  <c r="FG30" i="1"/>
  <c r="FG40" i="1"/>
  <c r="FG35" i="1"/>
  <c r="FG29" i="1"/>
  <c r="FG37" i="1"/>
  <c r="FG28" i="1"/>
  <c r="FG19" i="1"/>
  <c r="FG33" i="1"/>
  <c r="FG109" i="1"/>
  <c r="FG64" i="1"/>
  <c r="FG63" i="1"/>
  <c r="FG77" i="1"/>
  <c r="FG115" i="1"/>
  <c r="FG31" i="1"/>
  <c r="FG41" i="1"/>
  <c r="FG191" i="1"/>
  <c r="FG85" i="1"/>
  <c r="FG62" i="1"/>
  <c r="FG36" i="1"/>
  <c r="FG32" i="1"/>
  <c r="FG34" i="1"/>
  <c r="FG93" i="1"/>
  <c r="FG117" i="1"/>
  <c r="FG154" i="1"/>
  <c r="FG107" i="1"/>
  <c r="FG98" i="1"/>
  <c r="FG138" i="1"/>
  <c r="FG75" i="1"/>
  <c r="FG122" i="1"/>
  <c r="FG84" i="1"/>
  <c r="FG116" i="1"/>
  <c r="FG186" i="1"/>
  <c r="FG89" i="1"/>
  <c r="FG70" i="1"/>
  <c r="FG61" i="1"/>
  <c r="FG74" i="1"/>
  <c r="FG88" i="1"/>
  <c r="FG73" i="1"/>
  <c r="FG111" i="1"/>
  <c r="FG87" i="1"/>
  <c r="FG82" i="1"/>
  <c r="FG53" i="1"/>
  <c r="FG175" i="1"/>
  <c r="FG55" i="1"/>
  <c r="FG51" i="1"/>
  <c r="FG157" i="1"/>
  <c r="FG158" i="1"/>
  <c r="FG83" i="1"/>
  <c r="FG91" i="1"/>
  <c r="FG105" i="1"/>
  <c r="FG103" i="1"/>
  <c r="FG188" i="1"/>
  <c r="FG163" i="1"/>
  <c r="FG101" i="1"/>
  <c r="FG65" i="1"/>
  <c r="FG60" i="1"/>
  <c r="FG80" i="1"/>
  <c r="FG56" i="1"/>
  <c r="FG57" i="1"/>
  <c r="FG25" i="1"/>
  <c r="FG104" i="1"/>
  <c r="FG66" i="1"/>
  <c r="FG58" i="1"/>
  <c r="FG155" i="1"/>
  <c r="FG156" i="1"/>
  <c r="FG134" i="1"/>
  <c r="FG92" i="1"/>
  <c r="FG67" i="1"/>
  <c r="FG126" i="1"/>
  <c r="FG145" i="1"/>
  <c r="FG135" i="1"/>
  <c r="FG159" i="1"/>
  <c r="FG76" i="1"/>
  <c r="FG114" i="1"/>
  <c r="FG161" i="1"/>
  <c r="FG160" i="1"/>
  <c r="FG95" i="1"/>
  <c r="FG120" i="1"/>
  <c r="FG42" i="1"/>
  <c r="FG183" i="1"/>
  <c r="FG112" i="1"/>
  <c r="FG148" i="1"/>
  <c r="FG179" i="1"/>
  <c r="FG128" i="1"/>
  <c r="FG144" i="1"/>
  <c r="FG110" i="1"/>
  <c r="FG81" i="1"/>
  <c r="FG100" i="1"/>
  <c r="FG123" i="1"/>
  <c r="FG86" i="1"/>
  <c r="FG174" i="1"/>
  <c r="FG201" i="1"/>
  <c r="FG90" i="1"/>
  <c r="FG102" i="1"/>
  <c r="FG94" i="1"/>
  <c r="FG119" i="1"/>
  <c r="FG141" i="1"/>
  <c r="FG147" i="1"/>
  <c r="FG165" i="1"/>
  <c r="FG132" i="1"/>
  <c r="FG189" i="1"/>
  <c r="FG133" i="1"/>
  <c r="FG206" i="1"/>
  <c r="FG78" i="1"/>
  <c r="FG143" i="1"/>
  <c r="FG150" i="1"/>
  <c r="FG130" i="1"/>
  <c r="FG96" i="1"/>
  <c r="FG182" i="1"/>
  <c r="FG195" i="1"/>
  <c r="FG178" i="1"/>
  <c r="FG181" i="1"/>
  <c r="FG194" i="1"/>
  <c r="FG208" i="1"/>
  <c r="FG129" i="1"/>
  <c r="FG180" i="1"/>
  <c r="FG140" i="1"/>
  <c r="FG125" i="1"/>
  <c r="FG131" i="1"/>
  <c r="FG173" i="1"/>
  <c r="FG184" i="1"/>
  <c r="FG190" i="1"/>
  <c r="FG142" i="1"/>
  <c r="FG69" i="1"/>
  <c r="FG151" i="1"/>
  <c r="FG193" i="1"/>
  <c r="FG169" i="1"/>
  <c r="FG166" i="1"/>
  <c r="FG97" i="1"/>
  <c r="FG79" i="1"/>
  <c r="FG146" i="1"/>
  <c r="FG204" i="1"/>
  <c r="FG113" i="1"/>
  <c r="FG172" i="1"/>
  <c r="FG171" i="1"/>
  <c r="FG185" i="1"/>
  <c r="FG137" i="1"/>
  <c r="FG205" i="1"/>
  <c r="FG177" i="1"/>
  <c r="FG199" i="1"/>
  <c r="FG106" i="1"/>
  <c r="FG203" i="1"/>
  <c r="FG124" i="1"/>
  <c r="FG170" i="1"/>
  <c r="FG152" i="1"/>
  <c r="FG118" i="1"/>
  <c r="FG198" i="1"/>
  <c r="FG200" i="1"/>
  <c r="FG136" i="1"/>
  <c r="FG108" i="1"/>
  <c r="FG149" i="1"/>
  <c r="FG187" i="1"/>
  <c r="FG168" i="1"/>
  <c r="FG162" i="1"/>
  <c r="FG139" i="1"/>
  <c r="FG196" i="1"/>
  <c r="FG153" i="1"/>
  <c r="FG197" i="1"/>
  <c r="FG176" i="1"/>
  <c r="FG202" i="1"/>
  <c r="FG167" i="1"/>
  <c r="FG207" i="1"/>
  <c r="FG192" i="1"/>
  <c r="FF3" i="1"/>
  <c r="FF2" i="1"/>
  <c r="FF43" i="1"/>
  <c r="FF71" i="1"/>
  <c r="FF7" i="1"/>
  <c r="FF164" i="1"/>
  <c r="FF4" i="1"/>
  <c r="FF99" i="1"/>
  <c r="FF6" i="1"/>
  <c r="FF8" i="1"/>
  <c r="FF10" i="1"/>
  <c r="FF9" i="1"/>
  <c r="FF127" i="1"/>
  <c r="FF11" i="1"/>
  <c r="FF44" i="1"/>
  <c r="FF39" i="1"/>
  <c r="FF45" i="1"/>
  <c r="FF16" i="1"/>
  <c r="FF12" i="1"/>
  <c r="FF48" i="1"/>
  <c r="FF54" i="1"/>
  <c r="FF47" i="1"/>
  <c r="FF20" i="1"/>
  <c r="FF50" i="1"/>
  <c r="FF22" i="1"/>
  <c r="FF49" i="1"/>
  <c r="FF13" i="1"/>
  <c r="FF26" i="1"/>
  <c r="FF52" i="1"/>
  <c r="FF46" i="1"/>
  <c r="FF72" i="1"/>
  <c r="FF5" i="1"/>
  <c r="FF18" i="1"/>
  <c r="FF23" i="1"/>
  <c r="FF15" i="1"/>
  <c r="FF14" i="1"/>
  <c r="FF59" i="1"/>
  <c r="FF38" i="1"/>
  <c r="FF21" i="1"/>
  <c r="FF27" i="1"/>
  <c r="FF17" i="1"/>
  <c r="FF68" i="1"/>
  <c r="FF121" i="1"/>
  <c r="FF24" i="1"/>
  <c r="FF30" i="1"/>
  <c r="FF40" i="1"/>
  <c r="FF35" i="1"/>
  <c r="FF29" i="1"/>
  <c r="FF37" i="1"/>
  <c r="FF28" i="1"/>
  <c r="FF19" i="1"/>
  <c r="FF33" i="1"/>
  <c r="FF109" i="1"/>
  <c r="FF64" i="1"/>
  <c r="FF63" i="1"/>
  <c r="FF77" i="1"/>
  <c r="FF115" i="1"/>
  <c r="FF31" i="1"/>
  <c r="FF41" i="1"/>
  <c r="FF191" i="1"/>
  <c r="FF85" i="1"/>
  <c r="FF62" i="1"/>
  <c r="FF36" i="1"/>
  <c r="FF32" i="1"/>
  <c r="FF34" i="1"/>
  <c r="FF93" i="1"/>
  <c r="FF117" i="1"/>
  <c r="FF154" i="1"/>
  <c r="FF107" i="1"/>
  <c r="FF98" i="1"/>
  <c r="FF138" i="1"/>
  <c r="FF75" i="1"/>
  <c r="FF122" i="1"/>
  <c r="FF84" i="1"/>
  <c r="FF116" i="1"/>
  <c r="FF186" i="1"/>
  <c r="FF89" i="1"/>
  <c r="FF70" i="1"/>
  <c r="FF61" i="1"/>
  <c r="FF74" i="1"/>
  <c r="FF88" i="1"/>
  <c r="FF73" i="1"/>
  <c r="FF111" i="1"/>
  <c r="FF87" i="1"/>
  <c r="FF82" i="1"/>
  <c r="FF53" i="1"/>
  <c r="FF175" i="1"/>
  <c r="FF55" i="1"/>
  <c r="FF51" i="1"/>
  <c r="FF157" i="1"/>
  <c r="FF158" i="1"/>
  <c r="FF83" i="1"/>
  <c r="FF91" i="1"/>
  <c r="FF105" i="1"/>
  <c r="FF103" i="1"/>
  <c r="FF188" i="1"/>
  <c r="FF163" i="1"/>
  <c r="FF101" i="1"/>
  <c r="FF65" i="1"/>
  <c r="FF60" i="1"/>
  <c r="FF80" i="1"/>
  <c r="FF56" i="1"/>
  <c r="FF57" i="1"/>
  <c r="FF25" i="1"/>
  <c r="FF104" i="1"/>
  <c r="FF66" i="1"/>
  <c r="FF58" i="1"/>
  <c r="FF155" i="1"/>
  <c r="FF156" i="1"/>
  <c r="FF134" i="1"/>
  <c r="FF92" i="1"/>
  <c r="FF67" i="1"/>
  <c r="FF126" i="1"/>
  <c r="FF145" i="1"/>
  <c r="FF135" i="1"/>
  <c r="FF159" i="1"/>
  <c r="FF76" i="1"/>
  <c r="FF114" i="1"/>
  <c r="FF161" i="1"/>
  <c r="FF160" i="1"/>
  <c r="FF95" i="1"/>
  <c r="FF120" i="1"/>
  <c r="FF42" i="1"/>
  <c r="FF183" i="1"/>
  <c r="FF112" i="1"/>
  <c r="FF148" i="1"/>
  <c r="FF179" i="1"/>
  <c r="FF128" i="1"/>
  <c r="FF144" i="1"/>
  <c r="FF110" i="1"/>
  <c r="FF81" i="1"/>
  <c r="FF100" i="1"/>
  <c r="FF123" i="1"/>
  <c r="FF86" i="1"/>
  <c r="FF174" i="1"/>
  <c r="FF201" i="1"/>
  <c r="FF90" i="1"/>
  <c r="FF102" i="1"/>
  <c r="FF94" i="1"/>
  <c r="FF119" i="1"/>
  <c r="FF141" i="1"/>
  <c r="FF147" i="1"/>
  <c r="FF165" i="1"/>
  <c r="FF132" i="1"/>
  <c r="FF189" i="1"/>
  <c r="FF133" i="1"/>
  <c r="FF206" i="1"/>
  <c r="FF78" i="1"/>
  <c r="FF143" i="1"/>
  <c r="FF150" i="1"/>
  <c r="FF130" i="1"/>
  <c r="FF96" i="1"/>
  <c r="FF182" i="1"/>
  <c r="FF195" i="1"/>
  <c r="FF178" i="1"/>
  <c r="FF181" i="1"/>
  <c r="FF194" i="1"/>
  <c r="FF208" i="1"/>
  <c r="FF129" i="1"/>
  <c r="FF180" i="1"/>
  <c r="FF140" i="1"/>
  <c r="FF125" i="1"/>
  <c r="FF131" i="1"/>
  <c r="FF173" i="1"/>
  <c r="FF184" i="1"/>
  <c r="FF190" i="1"/>
  <c r="FF142" i="1"/>
  <c r="FF69" i="1"/>
  <c r="FF151" i="1"/>
  <c r="FF193" i="1"/>
  <c r="FF169" i="1"/>
  <c r="FF166" i="1"/>
  <c r="FF97" i="1"/>
  <c r="FF79" i="1"/>
  <c r="FF146" i="1"/>
  <c r="FF204" i="1"/>
  <c r="FF113" i="1"/>
  <c r="FF172" i="1"/>
  <c r="FF171" i="1"/>
  <c r="FF185" i="1"/>
  <c r="FF137" i="1"/>
  <c r="FF205" i="1"/>
  <c r="FF177" i="1"/>
  <c r="FF199" i="1"/>
  <c r="FF106" i="1"/>
  <c r="FF203" i="1"/>
  <c r="FF124" i="1"/>
  <c r="FF170" i="1"/>
  <c r="FF152" i="1"/>
  <c r="FF118" i="1"/>
  <c r="FF198" i="1"/>
  <c r="FF200" i="1"/>
  <c r="FF136" i="1"/>
  <c r="FF108" i="1"/>
  <c r="FF149" i="1"/>
  <c r="FF187" i="1"/>
  <c r="FF168" i="1"/>
  <c r="FF162" i="1"/>
  <c r="FF139" i="1"/>
  <c r="FF196" i="1"/>
  <c r="FF153" i="1"/>
  <c r="FF197" i="1"/>
  <c r="FF176" i="1"/>
  <c r="FF202" i="1"/>
  <c r="FF167" i="1"/>
  <c r="FF207" i="1"/>
  <c r="FF192" i="1"/>
  <c r="FE3" i="1"/>
  <c r="FE2" i="1"/>
  <c r="FE43" i="1"/>
  <c r="FE71" i="1"/>
  <c r="FE7" i="1"/>
  <c r="FE164" i="1"/>
  <c r="FE4" i="1"/>
  <c r="FE99" i="1"/>
  <c r="FE6" i="1"/>
  <c r="FE8" i="1"/>
  <c r="FE10" i="1"/>
  <c r="FE9" i="1"/>
  <c r="FE127" i="1"/>
  <c r="FE11" i="1"/>
  <c r="FE44" i="1"/>
  <c r="FE39" i="1"/>
  <c r="FE45" i="1"/>
  <c r="FE16" i="1"/>
  <c r="FE12" i="1"/>
  <c r="FE48" i="1"/>
  <c r="FE54" i="1"/>
  <c r="FE47" i="1"/>
  <c r="FE20" i="1"/>
  <c r="FE50" i="1"/>
  <c r="FE22" i="1"/>
  <c r="FE49" i="1"/>
  <c r="FE13" i="1"/>
  <c r="FE26" i="1"/>
  <c r="FE52" i="1"/>
  <c r="FE46" i="1"/>
  <c r="FE72" i="1"/>
  <c r="FE5" i="1"/>
  <c r="FE18" i="1"/>
  <c r="FE23" i="1"/>
  <c r="FE15" i="1"/>
  <c r="FE14" i="1"/>
  <c r="FE59" i="1"/>
  <c r="FE38" i="1"/>
  <c r="FE21" i="1"/>
  <c r="FE27" i="1"/>
  <c r="FE17" i="1"/>
  <c r="FE68" i="1"/>
  <c r="FE121" i="1"/>
  <c r="FE24" i="1"/>
  <c r="FE30" i="1"/>
  <c r="FE40" i="1"/>
  <c r="FE35" i="1"/>
  <c r="FE29" i="1"/>
  <c r="FE37" i="1"/>
  <c r="FE28" i="1"/>
  <c r="FE19" i="1"/>
  <c r="FE33" i="1"/>
  <c r="FE109" i="1"/>
  <c r="FE64" i="1"/>
  <c r="FE63" i="1"/>
  <c r="FE77" i="1"/>
  <c r="FE115" i="1"/>
  <c r="FE31" i="1"/>
  <c r="FE41" i="1"/>
  <c r="FE191" i="1"/>
  <c r="FE85" i="1"/>
  <c r="FE62" i="1"/>
  <c r="FE36" i="1"/>
  <c r="FE32" i="1"/>
  <c r="FE34" i="1"/>
  <c r="FE93" i="1"/>
  <c r="FE117" i="1"/>
  <c r="FE154" i="1"/>
  <c r="FE107" i="1"/>
  <c r="FE98" i="1"/>
  <c r="FE138" i="1"/>
  <c r="FE75" i="1"/>
  <c r="FE122" i="1"/>
  <c r="FE84" i="1"/>
  <c r="FE116" i="1"/>
  <c r="FE186" i="1"/>
  <c r="FE89" i="1"/>
  <c r="FE70" i="1"/>
  <c r="FE61" i="1"/>
  <c r="FE74" i="1"/>
  <c r="FE88" i="1"/>
  <c r="FE73" i="1"/>
  <c r="FE111" i="1"/>
  <c r="FE87" i="1"/>
  <c r="FE82" i="1"/>
  <c r="FE53" i="1"/>
  <c r="FE175" i="1"/>
  <c r="FE55" i="1"/>
  <c r="FE51" i="1"/>
  <c r="FE157" i="1"/>
  <c r="FE158" i="1"/>
  <c r="FE83" i="1"/>
  <c r="FE91" i="1"/>
  <c r="FE105" i="1"/>
  <c r="FE103" i="1"/>
  <c r="FE188" i="1"/>
  <c r="FE163" i="1"/>
  <c r="FE101" i="1"/>
  <c r="FE65" i="1"/>
  <c r="FE60" i="1"/>
  <c r="FE80" i="1"/>
  <c r="FE56" i="1"/>
  <c r="FE57" i="1"/>
  <c r="FE25" i="1"/>
  <c r="FE104" i="1"/>
  <c r="FE66" i="1"/>
  <c r="FE58" i="1"/>
  <c r="FE155" i="1"/>
  <c r="FE156" i="1"/>
  <c r="FE134" i="1"/>
  <c r="FE92" i="1"/>
  <c r="FE67" i="1"/>
  <c r="FE126" i="1"/>
  <c r="FE145" i="1"/>
  <c r="FE135" i="1"/>
  <c r="FE159" i="1"/>
  <c r="FE76" i="1"/>
  <c r="FE114" i="1"/>
  <c r="FE161" i="1"/>
  <c r="FE160" i="1"/>
  <c r="FE95" i="1"/>
  <c r="FE120" i="1"/>
  <c r="FE42" i="1"/>
  <c r="FE183" i="1"/>
  <c r="FE112" i="1"/>
  <c r="FE148" i="1"/>
  <c r="FE179" i="1"/>
  <c r="FE128" i="1"/>
  <c r="FE144" i="1"/>
  <c r="FE110" i="1"/>
  <c r="FE81" i="1"/>
  <c r="FE100" i="1"/>
  <c r="FE123" i="1"/>
  <c r="FE86" i="1"/>
  <c r="FE174" i="1"/>
  <c r="FE201" i="1"/>
  <c r="FE90" i="1"/>
  <c r="FE102" i="1"/>
  <c r="FE94" i="1"/>
  <c r="FE119" i="1"/>
  <c r="FE141" i="1"/>
  <c r="FE147" i="1"/>
  <c r="FE165" i="1"/>
  <c r="FE132" i="1"/>
  <c r="FE189" i="1"/>
  <c r="FE133" i="1"/>
  <c r="FE206" i="1"/>
  <c r="FE78" i="1"/>
  <c r="FE143" i="1"/>
  <c r="FE150" i="1"/>
  <c r="FE130" i="1"/>
  <c r="FE96" i="1"/>
  <c r="FE182" i="1"/>
  <c r="FE195" i="1"/>
  <c r="FE178" i="1"/>
  <c r="FE181" i="1"/>
  <c r="FE194" i="1"/>
  <c r="FE208" i="1"/>
  <c r="FE129" i="1"/>
  <c r="FE180" i="1"/>
  <c r="FE140" i="1"/>
  <c r="FE125" i="1"/>
  <c r="FE131" i="1"/>
  <c r="FE173" i="1"/>
  <c r="FE184" i="1"/>
  <c r="FE190" i="1"/>
  <c r="FE142" i="1"/>
  <c r="FE69" i="1"/>
  <c r="FE151" i="1"/>
  <c r="FE193" i="1"/>
  <c r="FE169" i="1"/>
  <c r="FE166" i="1"/>
  <c r="FE97" i="1"/>
  <c r="FE79" i="1"/>
  <c r="FE146" i="1"/>
  <c r="FE204" i="1"/>
  <c r="FE113" i="1"/>
  <c r="FE172" i="1"/>
  <c r="FE171" i="1"/>
  <c r="FE185" i="1"/>
  <c r="FE137" i="1"/>
  <c r="FE205" i="1"/>
  <c r="FE177" i="1"/>
  <c r="FE199" i="1"/>
  <c r="FE106" i="1"/>
  <c r="FE203" i="1"/>
  <c r="FE124" i="1"/>
  <c r="FE170" i="1"/>
  <c r="FE152" i="1"/>
  <c r="FE118" i="1"/>
  <c r="FE198" i="1"/>
  <c r="FE200" i="1"/>
  <c r="FE136" i="1"/>
  <c r="FE108" i="1"/>
  <c r="FE149" i="1"/>
  <c r="FE187" i="1"/>
  <c r="FE168" i="1"/>
  <c r="FE162" i="1"/>
  <c r="FE139" i="1"/>
  <c r="FE196" i="1"/>
  <c r="FE153" i="1"/>
  <c r="FE197" i="1"/>
  <c r="FE176" i="1"/>
  <c r="FE202" i="1"/>
  <c r="FE167" i="1"/>
  <c r="FE207" i="1"/>
  <c r="FE192" i="1"/>
  <c r="FD3" i="1"/>
  <c r="FD2" i="1"/>
  <c r="FD43" i="1"/>
  <c r="FD71" i="1"/>
  <c r="FD7" i="1"/>
  <c r="FD164" i="1"/>
  <c r="FD4" i="1"/>
  <c r="FD99" i="1"/>
  <c r="FD6" i="1"/>
  <c r="FD8" i="1"/>
  <c r="FD10" i="1"/>
  <c r="FD9" i="1"/>
  <c r="FD127" i="1"/>
  <c r="FD11" i="1"/>
  <c r="FD44" i="1"/>
  <c r="FD39" i="1"/>
  <c r="FD45" i="1"/>
  <c r="FD16" i="1"/>
  <c r="FD12" i="1"/>
  <c r="FD48" i="1"/>
  <c r="FD54" i="1"/>
  <c r="FD47" i="1"/>
  <c r="FD20" i="1"/>
  <c r="FD50" i="1"/>
  <c r="FD22" i="1"/>
  <c r="FD49" i="1"/>
  <c r="FD13" i="1"/>
  <c r="FD26" i="1"/>
  <c r="FD52" i="1"/>
  <c r="FD46" i="1"/>
  <c r="FD72" i="1"/>
  <c r="FD5" i="1"/>
  <c r="FD18" i="1"/>
  <c r="FD23" i="1"/>
  <c r="FD15" i="1"/>
  <c r="FD14" i="1"/>
  <c r="FD59" i="1"/>
  <c r="FD38" i="1"/>
  <c r="FD21" i="1"/>
  <c r="FD27" i="1"/>
  <c r="FD17" i="1"/>
  <c r="FD68" i="1"/>
  <c r="FD121" i="1"/>
  <c r="FD24" i="1"/>
  <c r="FD30" i="1"/>
  <c r="FD40" i="1"/>
  <c r="FD35" i="1"/>
  <c r="FD29" i="1"/>
  <c r="FD37" i="1"/>
  <c r="FD28" i="1"/>
  <c r="FD19" i="1"/>
  <c r="FD33" i="1"/>
  <c r="FD109" i="1"/>
  <c r="FD64" i="1"/>
  <c r="FD63" i="1"/>
  <c r="FD77" i="1"/>
  <c r="FD115" i="1"/>
  <c r="FD31" i="1"/>
  <c r="FD41" i="1"/>
  <c r="FD191" i="1"/>
  <c r="FD85" i="1"/>
  <c r="FD62" i="1"/>
  <c r="FD36" i="1"/>
  <c r="FD32" i="1"/>
  <c r="FD34" i="1"/>
  <c r="FD93" i="1"/>
  <c r="FD117" i="1"/>
  <c r="FD154" i="1"/>
  <c r="FD107" i="1"/>
  <c r="FD98" i="1"/>
  <c r="FD138" i="1"/>
  <c r="FD75" i="1"/>
  <c r="FD122" i="1"/>
  <c r="FD84" i="1"/>
  <c r="FD116" i="1"/>
  <c r="FD186" i="1"/>
  <c r="FD89" i="1"/>
  <c r="FD70" i="1"/>
  <c r="FD61" i="1"/>
  <c r="FD74" i="1"/>
  <c r="FD88" i="1"/>
  <c r="FD73" i="1"/>
  <c r="FD111" i="1"/>
  <c r="FD87" i="1"/>
  <c r="FD82" i="1"/>
  <c r="FD53" i="1"/>
  <c r="FD175" i="1"/>
  <c r="FD55" i="1"/>
  <c r="FD51" i="1"/>
  <c r="FD157" i="1"/>
  <c r="FD158" i="1"/>
  <c r="FD83" i="1"/>
  <c r="FD91" i="1"/>
  <c r="FD105" i="1"/>
  <c r="FD103" i="1"/>
  <c r="FD188" i="1"/>
  <c r="FD163" i="1"/>
  <c r="FD101" i="1"/>
  <c r="FD65" i="1"/>
  <c r="FD60" i="1"/>
  <c r="FD80" i="1"/>
  <c r="FD56" i="1"/>
  <c r="FD57" i="1"/>
  <c r="FD25" i="1"/>
  <c r="FD104" i="1"/>
  <c r="FD66" i="1"/>
  <c r="FD58" i="1"/>
  <c r="FD155" i="1"/>
  <c r="FD156" i="1"/>
  <c r="FD134" i="1"/>
  <c r="FD92" i="1"/>
  <c r="FD67" i="1"/>
  <c r="FD126" i="1"/>
  <c r="FD145" i="1"/>
  <c r="FD135" i="1"/>
  <c r="FD159" i="1"/>
  <c r="FD76" i="1"/>
  <c r="FD114" i="1"/>
  <c r="FD161" i="1"/>
  <c r="FD160" i="1"/>
  <c r="FD95" i="1"/>
  <c r="FD120" i="1"/>
  <c r="FD42" i="1"/>
  <c r="FD183" i="1"/>
  <c r="FD112" i="1"/>
  <c r="FD148" i="1"/>
  <c r="FD179" i="1"/>
  <c r="FD128" i="1"/>
  <c r="FD144" i="1"/>
  <c r="FD110" i="1"/>
  <c r="FD81" i="1"/>
  <c r="FD100" i="1"/>
  <c r="FD123" i="1"/>
  <c r="FD86" i="1"/>
  <c r="FD174" i="1"/>
  <c r="FD201" i="1"/>
  <c r="FD90" i="1"/>
  <c r="FD102" i="1"/>
  <c r="FD94" i="1"/>
  <c r="FD119" i="1"/>
  <c r="FD141" i="1"/>
  <c r="FD147" i="1"/>
  <c r="FD165" i="1"/>
  <c r="FD132" i="1"/>
  <c r="FD189" i="1"/>
  <c r="FD133" i="1"/>
  <c r="FD206" i="1"/>
  <c r="FD78" i="1"/>
  <c r="FD143" i="1"/>
  <c r="FD150" i="1"/>
  <c r="FD130" i="1"/>
  <c r="FD96" i="1"/>
  <c r="FD182" i="1"/>
  <c r="FD195" i="1"/>
  <c r="FD178" i="1"/>
  <c r="FD181" i="1"/>
  <c r="FD194" i="1"/>
  <c r="FD208" i="1"/>
  <c r="FD129" i="1"/>
  <c r="FD180" i="1"/>
  <c r="FD140" i="1"/>
  <c r="FD125" i="1"/>
  <c r="FD131" i="1"/>
  <c r="FD173" i="1"/>
  <c r="FD184" i="1"/>
  <c r="FD190" i="1"/>
  <c r="FD142" i="1"/>
  <c r="FD69" i="1"/>
  <c r="FD151" i="1"/>
  <c r="FD193" i="1"/>
  <c r="FD169" i="1"/>
  <c r="FD166" i="1"/>
  <c r="FD97" i="1"/>
  <c r="FD79" i="1"/>
  <c r="FD146" i="1"/>
  <c r="FD204" i="1"/>
  <c r="FD113" i="1"/>
  <c r="FD172" i="1"/>
  <c r="FD171" i="1"/>
  <c r="FD185" i="1"/>
  <c r="FD137" i="1"/>
  <c r="FD205" i="1"/>
  <c r="FD177" i="1"/>
  <c r="FD199" i="1"/>
  <c r="FD106" i="1"/>
  <c r="FD203" i="1"/>
  <c r="FD124" i="1"/>
  <c r="FD170" i="1"/>
  <c r="FD152" i="1"/>
  <c r="FD118" i="1"/>
  <c r="FD198" i="1"/>
  <c r="FD200" i="1"/>
  <c r="FD136" i="1"/>
  <c r="FD108" i="1"/>
  <c r="FD149" i="1"/>
  <c r="FD187" i="1"/>
  <c r="FD168" i="1"/>
  <c r="FD162" i="1"/>
  <c r="FD139" i="1"/>
  <c r="FD196" i="1"/>
  <c r="FD153" i="1"/>
  <c r="FD197" i="1"/>
  <c r="FD176" i="1"/>
  <c r="FD202" i="1"/>
  <c r="FD167" i="1"/>
  <c r="FD207" i="1"/>
  <c r="FD192" i="1"/>
  <c r="FC3" i="1"/>
  <c r="FC2" i="1"/>
  <c r="FC43" i="1"/>
  <c r="FC71" i="1"/>
  <c r="FC7" i="1"/>
  <c r="FC164" i="1"/>
  <c r="FC4" i="1"/>
  <c r="FC99" i="1"/>
  <c r="FC6" i="1"/>
  <c r="FC8" i="1"/>
  <c r="FC10" i="1"/>
  <c r="FC9" i="1"/>
  <c r="FC127" i="1"/>
  <c r="FC11" i="1"/>
  <c r="FC44" i="1"/>
  <c r="FC39" i="1"/>
  <c r="FC45" i="1"/>
  <c r="FC16" i="1"/>
  <c r="FC12" i="1"/>
  <c r="FC48" i="1"/>
  <c r="FC54" i="1"/>
  <c r="FC47" i="1"/>
  <c r="FC20" i="1"/>
  <c r="FC50" i="1"/>
  <c r="FC22" i="1"/>
  <c r="FC49" i="1"/>
  <c r="FC13" i="1"/>
  <c r="FC26" i="1"/>
  <c r="FC52" i="1"/>
  <c r="FC46" i="1"/>
  <c r="FC72" i="1"/>
  <c r="FC5" i="1"/>
  <c r="FC18" i="1"/>
  <c r="FC23" i="1"/>
  <c r="FC15" i="1"/>
  <c r="FC14" i="1"/>
  <c r="FC59" i="1"/>
  <c r="FC38" i="1"/>
  <c r="FC21" i="1"/>
  <c r="FC27" i="1"/>
  <c r="FC17" i="1"/>
  <c r="FC68" i="1"/>
  <c r="FC121" i="1"/>
  <c r="FC24" i="1"/>
  <c r="FC30" i="1"/>
  <c r="FC40" i="1"/>
  <c r="FC35" i="1"/>
  <c r="FC29" i="1"/>
  <c r="FC37" i="1"/>
  <c r="FC28" i="1"/>
  <c r="FC19" i="1"/>
  <c r="FC33" i="1"/>
  <c r="FC109" i="1"/>
  <c r="FC64" i="1"/>
  <c r="FC63" i="1"/>
  <c r="FC77" i="1"/>
  <c r="FC115" i="1"/>
  <c r="FC31" i="1"/>
  <c r="FC41" i="1"/>
  <c r="FC191" i="1"/>
  <c r="FC85" i="1"/>
  <c r="FC62" i="1"/>
  <c r="FC36" i="1"/>
  <c r="FC32" i="1"/>
  <c r="FC34" i="1"/>
  <c r="FC93" i="1"/>
  <c r="FC117" i="1"/>
  <c r="FC154" i="1"/>
  <c r="FC107" i="1"/>
  <c r="FC98" i="1"/>
  <c r="FC138" i="1"/>
  <c r="FC75" i="1"/>
  <c r="FC122" i="1"/>
  <c r="FC84" i="1"/>
  <c r="FC116" i="1"/>
  <c r="FC186" i="1"/>
  <c r="FC89" i="1"/>
  <c r="FC70" i="1"/>
  <c r="FC61" i="1"/>
  <c r="FC74" i="1"/>
  <c r="FC88" i="1"/>
  <c r="FC73" i="1"/>
  <c r="FC111" i="1"/>
  <c r="FC87" i="1"/>
  <c r="FC82" i="1"/>
  <c r="FC53" i="1"/>
  <c r="FC175" i="1"/>
  <c r="FC55" i="1"/>
  <c r="FC51" i="1"/>
  <c r="FC157" i="1"/>
  <c r="FC158" i="1"/>
  <c r="FC83" i="1"/>
  <c r="FC91" i="1"/>
  <c r="FC105" i="1"/>
  <c r="FC103" i="1"/>
  <c r="FC188" i="1"/>
  <c r="FC163" i="1"/>
  <c r="FC101" i="1"/>
  <c r="FC65" i="1"/>
  <c r="FC60" i="1"/>
  <c r="FC80" i="1"/>
  <c r="FC56" i="1"/>
  <c r="FC57" i="1"/>
  <c r="FC25" i="1"/>
  <c r="FC104" i="1"/>
  <c r="FC66" i="1"/>
  <c r="FC58" i="1"/>
  <c r="FC155" i="1"/>
  <c r="FC156" i="1"/>
  <c r="FC134" i="1"/>
  <c r="FC92" i="1"/>
  <c r="FC67" i="1"/>
  <c r="FC126" i="1"/>
  <c r="FC145" i="1"/>
  <c r="FC135" i="1"/>
  <c r="FC159" i="1"/>
  <c r="FC76" i="1"/>
  <c r="FC114" i="1"/>
  <c r="FC161" i="1"/>
  <c r="FC160" i="1"/>
  <c r="FC95" i="1"/>
  <c r="FC120" i="1"/>
  <c r="FC42" i="1"/>
  <c r="FC183" i="1"/>
  <c r="FC112" i="1"/>
  <c r="FC148" i="1"/>
  <c r="FC179" i="1"/>
  <c r="FC128" i="1"/>
  <c r="FC144" i="1"/>
  <c r="FC110" i="1"/>
  <c r="FC81" i="1"/>
  <c r="FC100" i="1"/>
  <c r="FC123" i="1"/>
  <c r="FC86" i="1"/>
  <c r="FC174" i="1"/>
  <c r="FC201" i="1"/>
  <c r="FC90" i="1"/>
  <c r="FC102" i="1"/>
  <c r="FC94" i="1"/>
  <c r="FC119" i="1"/>
  <c r="FC141" i="1"/>
  <c r="FC147" i="1"/>
  <c r="FC165" i="1"/>
  <c r="FC132" i="1"/>
  <c r="FC189" i="1"/>
  <c r="FC133" i="1"/>
  <c r="FC206" i="1"/>
  <c r="FC78" i="1"/>
  <c r="FC143" i="1"/>
  <c r="FC150" i="1"/>
  <c r="FC130" i="1"/>
  <c r="FC96" i="1"/>
  <c r="FC182" i="1"/>
  <c r="FC195" i="1"/>
  <c r="FC178" i="1"/>
  <c r="FC181" i="1"/>
  <c r="FC194" i="1"/>
  <c r="FC208" i="1"/>
  <c r="FC129" i="1"/>
  <c r="FC180" i="1"/>
  <c r="FC140" i="1"/>
  <c r="FC125" i="1"/>
  <c r="FC131" i="1"/>
  <c r="FC173" i="1"/>
  <c r="FC184" i="1"/>
  <c r="FC190" i="1"/>
  <c r="FC142" i="1"/>
  <c r="FC69" i="1"/>
  <c r="FC151" i="1"/>
  <c r="FC193" i="1"/>
  <c r="FC169" i="1"/>
  <c r="FC166" i="1"/>
  <c r="FC97" i="1"/>
  <c r="FC79" i="1"/>
  <c r="FC146" i="1"/>
  <c r="FC204" i="1"/>
  <c r="FC113" i="1"/>
  <c r="FC172" i="1"/>
  <c r="FC171" i="1"/>
  <c r="FC185" i="1"/>
  <c r="FC137" i="1"/>
  <c r="FC205" i="1"/>
  <c r="FC177" i="1"/>
  <c r="FC199" i="1"/>
  <c r="FC106" i="1"/>
  <c r="FC203" i="1"/>
  <c r="FC124" i="1"/>
  <c r="FC170" i="1"/>
  <c r="FC152" i="1"/>
  <c r="FC118" i="1"/>
  <c r="FC198" i="1"/>
  <c r="FC200" i="1"/>
  <c r="FC136" i="1"/>
  <c r="FC108" i="1"/>
  <c r="FC149" i="1"/>
  <c r="FC187" i="1"/>
  <c r="FC168" i="1"/>
  <c r="FC162" i="1"/>
  <c r="FC139" i="1"/>
  <c r="FC196" i="1"/>
  <c r="FC153" i="1"/>
  <c r="FC197" i="1"/>
  <c r="FC176" i="1"/>
  <c r="FC202" i="1"/>
  <c r="FC167" i="1"/>
  <c r="FC207" i="1"/>
  <c r="FC192" i="1"/>
  <c r="FB3" i="1"/>
  <c r="FB2" i="1"/>
  <c r="FB43" i="1"/>
  <c r="FB71" i="1"/>
  <c r="FB7" i="1"/>
  <c r="FB164" i="1"/>
  <c r="FB4" i="1"/>
  <c r="FB99" i="1"/>
  <c r="FB6" i="1"/>
  <c r="FB8" i="1"/>
  <c r="FB10" i="1"/>
  <c r="FB9" i="1"/>
  <c r="FB127" i="1"/>
  <c r="FB11" i="1"/>
  <c r="FB44" i="1"/>
  <c r="FB39" i="1"/>
  <c r="FB45" i="1"/>
  <c r="FB16" i="1"/>
  <c r="FB12" i="1"/>
  <c r="FB48" i="1"/>
  <c r="FB54" i="1"/>
  <c r="FB47" i="1"/>
  <c r="FB20" i="1"/>
  <c r="FB50" i="1"/>
  <c r="FB22" i="1"/>
  <c r="FB49" i="1"/>
  <c r="FB13" i="1"/>
  <c r="FB26" i="1"/>
  <c r="FB52" i="1"/>
  <c r="FB46" i="1"/>
  <c r="FB72" i="1"/>
  <c r="FB5" i="1"/>
  <c r="FB18" i="1"/>
  <c r="FB23" i="1"/>
  <c r="FB15" i="1"/>
  <c r="FB14" i="1"/>
  <c r="FB59" i="1"/>
  <c r="FB38" i="1"/>
  <c r="FB21" i="1"/>
  <c r="FB27" i="1"/>
  <c r="FB17" i="1"/>
  <c r="FB68" i="1"/>
  <c r="FB121" i="1"/>
  <c r="FB24" i="1"/>
  <c r="FB30" i="1"/>
  <c r="FB40" i="1"/>
  <c r="FB35" i="1"/>
  <c r="FB29" i="1"/>
  <c r="FB37" i="1"/>
  <c r="FB28" i="1"/>
  <c r="FB19" i="1"/>
  <c r="FB33" i="1"/>
  <c r="FB109" i="1"/>
  <c r="FB64" i="1"/>
  <c r="FB63" i="1"/>
  <c r="FB77" i="1"/>
  <c r="FB115" i="1"/>
  <c r="FB31" i="1"/>
  <c r="FB41" i="1"/>
  <c r="FB191" i="1"/>
  <c r="FB85" i="1"/>
  <c r="FB62" i="1"/>
  <c r="FB36" i="1"/>
  <c r="FB32" i="1"/>
  <c r="FB34" i="1"/>
  <c r="FB93" i="1"/>
  <c r="FB117" i="1"/>
  <c r="FB154" i="1"/>
  <c r="FB107" i="1"/>
  <c r="FB98" i="1"/>
  <c r="FB138" i="1"/>
  <c r="FB75" i="1"/>
  <c r="FB122" i="1"/>
  <c r="FB84" i="1"/>
  <c r="FB116" i="1"/>
  <c r="FB186" i="1"/>
  <c r="FB89" i="1"/>
  <c r="FB70" i="1"/>
  <c r="FB61" i="1"/>
  <c r="FB74" i="1"/>
  <c r="FB88" i="1"/>
  <c r="FB73" i="1"/>
  <c r="FB111" i="1"/>
  <c r="FB87" i="1"/>
  <c r="FB82" i="1"/>
  <c r="FB53" i="1"/>
  <c r="FB175" i="1"/>
  <c r="FB55" i="1"/>
  <c r="FB51" i="1"/>
  <c r="FB157" i="1"/>
  <c r="FB158" i="1"/>
  <c r="FB83" i="1"/>
  <c r="FB91" i="1"/>
  <c r="FB105" i="1"/>
  <c r="FB103" i="1"/>
  <c r="FB188" i="1"/>
  <c r="FB163" i="1"/>
  <c r="FB101" i="1"/>
  <c r="FB65" i="1"/>
  <c r="FB60" i="1"/>
  <c r="FB80" i="1"/>
  <c r="FB56" i="1"/>
  <c r="FB57" i="1"/>
  <c r="FB25" i="1"/>
  <c r="FB104" i="1"/>
  <c r="FB66" i="1"/>
  <c r="FB58" i="1"/>
  <c r="FB155" i="1"/>
  <c r="FB156" i="1"/>
  <c r="FB134" i="1"/>
  <c r="FB92" i="1"/>
  <c r="FB67" i="1"/>
  <c r="FB126" i="1"/>
  <c r="FB145" i="1"/>
  <c r="FB135" i="1"/>
  <c r="FB159" i="1"/>
  <c r="FB76" i="1"/>
  <c r="FB114" i="1"/>
  <c r="FB161" i="1"/>
  <c r="FB160" i="1"/>
  <c r="FB95" i="1"/>
  <c r="FB120" i="1"/>
  <c r="FB42" i="1"/>
  <c r="FB183" i="1"/>
  <c r="FB112" i="1"/>
  <c r="FB148" i="1"/>
  <c r="FB179" i="1"/>
  <c r="FB128" i="1"/>
  <c r="FB144" i="1"/>
  <c r="FB110" i="1"/>
  <c r="FB81" i="1"/>
  <c r="FB100" i="1"/>
  <c r="FB123" i="1"/>
  <c r="FB86" i="1"/>
  <c r="FB174" i="1"/>
  <c r="FB201" i="1"/>
  <c r="FB90" i="1"/>
  <c r="FB102" i="1"/>
  <c r="FB94" i="1"/>
  <c r="FB119" i="1"/>
  <c r="FB141" i="1"/>
  <c r="FB147" i="1"/>
  <c r="FB165" i="1"/>
  <c r="FB132" i="1"/>
  <c r="FB189" i="1"/>
  <c r="FB133" i="1"/>
  <c r="FB206" i="1"/>
  <c r="FB78" i="1"/>
  <c r="FB143" i="1"/>
  <c r="FB150" i="1"/>
  <c r="FB130" i="1"/>
  <c r="FB96" i="1"/>
  <c r="FB182" i="1"/>
  <c r="FB195" i="1"/>
  <c r="FB178" i="1"/>
  <c r="FB181" i="1"/>
  <c r="FB194" i="1"/>
  <c r="FB208" i="1"/>
  <c r="FB129" i="1"/>
  <c r="FB180" i="1"/>
  <c r="FB140" i="1"/>
  <c r="FB125" i="1"/>
  <c r="FB131" i="1"/>
  <c r="FB173" i="1"/>
  <c r="FB184" i="1"/>
  <c r="FB190" i="1"/>
  <c r="FB142" i="1"/>
  <c r="FB69" i="1"/>
  <c r="FB151" i="1"/>
  <c r="FB193" i="1"/>
  <c r="FB169" i="1"/>
  <c r="FB166" i="1"/>
  <c r="FB97" i="1"/>
  <c r="FB79" i="1"/>
  <c r="FB146" i="1"/>
  <c r="FB204" i="1"/>
  <c r="FB113" i="1"/>
  <c r="FB172" i="1"/>
  <c r="FB171" i="1"/>
  <c r="FB185" i="1"/>
  <c r="FB137" i="1"/>
  <c r="FB205" i="1"/>
  <c r="FB177" i="1"/>
  <c r="FB199" i="1"/>
  <c r="FB106" i="1"/>
  <c r="FB203" i="1"/>
  <c r="FB124" i="1"/>
  <c r="FB170" i="1"/>
  <c r="FB152" i="1"/>
  <c r="FB118" i="1"/>
  <c r="FB198" i="1"/>
  <c r="FB200" i="1"/>
  <c r="FB136" i="1"/>
  <c r="FB108" i="1"/>
  <c r="FB149" i="1"/>
  <c r="FB187" i="1"/>
  <c r="FB168" i="1"/>
  <c r="FB162" i="1"/>
  <c r="FB139" i="1"/>
  <c r="FB196" i="1"/>
  <c r="FB153" i="1"/>
  <c r="FB197" i="1"/>
  <c r="FB176" i="1"/>
  <c r="FB202" i="1"/>
  <c r="FB167" i="1"/>
  <c r="FB207" i="1"/>
  <c r="FB192" i="1"/>
  <c r="FA3" i="1"/>
  <c r="FA2" i="1"/>
  <c r="FA43" i="1"/>
  <c r="FA71" i="1"/>
  <c r="FA7" i="1"/>
  <c r="FA164" i="1"/>
  <c r="FA4" i="1"/>
  <c r="FA99" i="1"/>
  <c r="FA6" i="1"/>
  <c r="FA8" i="1"/>
  <c r="FA10" i="1"/>
  <c r="FA9" i="1"/>
  <c r="FA127" i="1"/>
  <c r="FA11" i="1"/>
  <c r="FA44" i="1"/>
  <c r="FA39" i="1"/>
  <c r="FA45" i="1"/>
  <c r="FA16" i="1"/>
  <c r="FA12" i="1"/>
  <c r="FA48" i="1"/>
  <c r="FA54" i="1"/>
  <c r="FA47" i="1"/>
  <c r="FA20" i="1"/>
  <c r="FA50" i="1"/>
  <c r="FA22" i="1"/>
  <c r="FA49" i="1"/>
  <c r="FA13" i="1"/>
  <c r="FA26" i="1"/>
  <c r="FA52" i="1"/>
  <c r="FA46" i="1"/>
  <c r="FA72" i="1"/>
  <c r="FA5" i="1"/>
  <c r="FA18" i="1"/>
  <c r="FA23" i="1"/>
  <c r="FA15" i="1"/>
  <c r="FA14" i="1"/>
  <c r="FA59" i="1"/>
  <c r="FA38" i="1"/>
  <c r="FA21" i="1"/>
  <c r="FA27" i="1"/>
  <c r="FA17" i="1"/>
  <c r="FA68" i="1"/>
  <c r="FA121" i="1"/>
  <c r="FA24" i="1"/>
  <c r="FA30" i="1"/>
  <c r="FA40" i="1"/>
  <c r="FA35" i="1"/>
  <c r="FA29" i="1"/>
  <c r="FA37" i="1"/>
  <c r="FA28" i="1"/>
  <c r="FA19" i="1"/>
  <c r="FA33" i="1"/>
  <c r="FA109" i="1"/>
  <c r="FA64" i="1"/>
  <c r="FA63" i="1"/>
  <c r="FA77" i="1"/>
  <c r="FA115" i="1"/>
  <c r="FA31" i="1"/>
  <c r="FA41" i="1"/>
  <c r="FA191" i="1"/>
  <c r="FA85" i="1"/>
  <c r="FA62" i="1"/>
  <c r="FA36" i="1"/>
  <c r="FA32" i="1"/>
  <c r="FA34" i="1"/>
  <c r="FA93" i="1"/>
  <c r="FA117" i="1"/>
  <c r="FA154" i="1"/>
  <c r="FA107" i="1"/>
  <c r="FA98" i="1"/>
  <c r="FA138" i="1"/>
  <c r="FA75" i="1"/>
  <c r="FA122" i="1"/>
  <c r="FA84" i="1"/>
  <c r="FA116" i="1"/>
  <c r="FA186" i="1"/>
  <c r="FA89" i="1"/>
  <c r="FA70" i="1"/>
  <c r="FA61" i="1"/>
  <c r="FA74" i="1"/>
  <c r="FA88" i="1"/>
  <c r="FA73" i="1"/>
  <c r="FA111" i="1"/>
  <c r="FA87" i="1"/>
  <c r="FA82" i="1"/>
  <c r="FA53" i="1"/>
  <c r="FA175" i="1"/>
  <c r="FA55" i="1"/>
  <c r="FA51" i="1"/>
  <c r="FA157" i="1"/>
  <c r="FA158" i="1"/>
  <c r="FA83" i="1"/>
  <c r="FA91" i="1"/>
  <c r="FA105" i="1"/>
  <c r="FA103" i="1"/>
  <c r="FA188" i="1"/>
  <c r="FA163" i="1"/>
  <c r="FA101" i="1"/>
  <c r="FA65" i="1"/>
  <c r="FA60" i="1"/>
  <c r="FA80" i="1"/>
  <c r="FA56" i="1"/>
  <c r="FA57" i="1"/>
  <c r="FA25" i="1"/>
  <c r="FA104" i="1"/>
  <c r="FA66" i="1"/>
  <c r="FA58" i="1"/>
  <c r="FA155" i="1"/>
  <c r="FA156" i="1"/>
  <c r="FA134" i="1"/>
  <c r="FA92" i="1"/>
  <c r="FA67" i="1"/>
  <c r="FA126" i="1"/>
  <c r="FA145" i="1"/>
  <c r="FA135" i="1"/>
  <c r="FA159" i="1"/>
  <c r="FA76" i="1"/>
  <c r="FA114" i="1"/>
  <c r="FA161" i="1"/>
  <c r="FA160" i="1"/>
  <c r="FA95" i="1"/>
  <c r="FA120" i="1"/>
  <c r="FA42" i="1"/>
  <c r="FA183" i="1"/>
  <c r="FA112" i="1"/>
  <c r="FA148" i="1"/>
  <c r="FA179" i="1"/>
  <c r="FA128" i="1"/>
  <c r="FA144" i="1"/>
  <c r="FA110" i="1"/>
  <c r="FA81" i="1"/>
  <c r="FA100" i="1"/>
  <c r="FA123" i="1"/>
  <c r="FA86" i="1"/>
  <c r="FA174" i="1"/>
  <c r="FA201" i="1"/>
  <c r="FA90" i="1"/>
  <c r="FA102" i="1"/>
  <c r="FA94" i="1"/>
  <c r="FA119" i="1"/>
  <c r="FA141" i="1"/>
  <c r="FA147" i="1"/>
  <c r="FA165" i="1"/>
  <c r="FA132" i="1"/>
  <c r="FA189" i="1"/>
  <c r="FA133" i="1"/>
  <c r="FA206" i="1"/>
  <c r="FA78" i="1"/>
  <c r="FA143" i="1"/>
  <c r="FA150" i="1"/>
  <c r="FA130" i="1"/>
  <c r="FA96" i="1"/>
  <c r="FA182" i="1"/>
  <c r="FA195" i="1"/>
  <c r="FA178" i="1"/>
  <c r="FA181" i="1"/>
  <c r="FA194" i="1"/>
  <c r="FA208" i="1"/>
  <c r="FA129" i="1"/>
  <c r="FA180" i="1"/>
  <c r="FA140" i="1"/>
  <c r="FA125" i="1"/>
  <c r="FA131" i="1"/>
  <c r="FA173" i="1"/>
  <c r="FA184" i="1"/>
  <c r="FA190" i="1"/>
  <c r="FA142" i="1"/>
  <c r="FA69" i="1"/>
  <c r="FA151" i="1"/>
  <c r="FA193" i="1"/>
  <c r="FA169" i="1"/>
  <c r="FA166" i="1"/>
  <c r="FA97" i="1"/>
  <c r="FA79" i="1"/>
  <c r="FA146" i="1"/>
  <c r="FA204" i="1"/>
  <c r="FA113" i="1"/>
  <c r="FA172" i="1"/>
  <c r="FA171" i="1"/>
  <c r="FA185" i="1"/>
  <c r="FA137" i="1"/>
  <c r="FA205" i="1"/>
  <c r="FA177" i="1"/>
  <c r="FA199" i="1"/>
  <c r="FA106" i="1"/>
  <c r="FA203" i="1"/>
  <c r="FA124" i="1"/>
  <c r="FA170" i="1"/>
  <c r="FA152" i="1"/>
  <c r="FA118" i="1"/>
  <c r="FA198" i="1"/>
  <c r="FA200" i="1"/>
  <c r="FA136" i="1"/>
  <c r="FA108" i="1"/>
  <c r="FA149" i="1"/>
  <c r="FA187" i="1"/>
  <c r="FA168" i="1"/>
  <c r="FA162" i="1"/>
  <c r="FA139" i="1"/>
  <c r="FA196" i="1"/>
  <c r="FA153" i="1"/>
  <c r="FA197" i="1"/>
  <c r="FA176" i="1"/>
  <c r="FA202" i="1"/>
  <c r="FA167" i="1"/>
  <c r="FA207" i="1"/>
  <c r="FA192" i="1"/>
  <c r="EZ3" i="1"/>
  <c r="EZ2" i="1"/>
  <c r="EZ43" i="1"/>
  <c r="EZ71" i="1"/>
  <c r="EZ7" i="1"/>
  <c r="EZ164" i="1"/>
  <c r="EZ4" i="1"/>
  <c r="EZ99" i="1"/>
  <c r="EZ6" i="1"/>
  <c r="EZ8" i="1"/>
  <c r="EZ10" i="1"/>
  <c r="EZ9" i="1"/>
  <c r="EZ127" i="1"/>
  <c r="EZ11" i="1"/>
  <c r="EZ44" i="1"/>
  <c r="EZ39" i="1"/>
  <c r="EZ45" i="1"/>
  <c r="EZ16" i="1"/>
  <c r="EZ12" i="1"/>
  <c r="EZ48" i="1"/>
  <c r="EZ54" i="1"/>
  <c r="EZ47" i="1"/>
  <c r="EZ20" i="1"/>
  <c r="EZ50" i="1"/>
  <c r="EZ22" i="1"/>
  <c r="EZ49" i="1"/>
  <c r="EZ13" i="1"/>
  <c r="EZ26" i="1"/>
  <c r="EZ52" i="1"/>
  <c r="EZ46" i="1"/>
  <c r="EZ72" i="1"/>
  <c r="EZ5" i="1"/>
  <c r="EZ18" i="1"/>
  <c r="EZ23" i="1"/>
  <c r="EZ15" i="1"/>
  <c r="EZ14" i="1"/>
  <c r="EZ59" i="1"/>
  <c r="EZ38" i="1"/>
  <c r="EZ21" i="1"/>
  <c r="EZ27" i="1"/>
  <c r="EZ17" i="1"/>
  <c r="EZ68" i="1"/>
  <c r="EZ121" i="1"/>
  <c r="EZ24" i="1"/>
  <c r="EZ30" i="1"/>
  <c r="EZ40" i="1"/>
  <c r="EZ35" i="1"/>
  <c r="EZ29" i="1"/>
  <c r="EZ37" i="1"/>
  <c r="EZ28" i="1"/>
  <c r="EZ19" i="1"/>
  <c r="EZ33" i="1"/>
  <c r="EZ109" i="1"/>
  <c r="EZ64" i="1"/>
  <c r="EZ63" i="1"/>
  <c r="EZ77" i="1"/>
  <c r="EZ115" i="1"/>
  <c r="EZ31" i="1"/>
  <c r="EZ41" i="1"/>
  <c r="EZ191" i="1"/>
  <c r="EZ85" i="1"/>
  <c r="EZ62" i="1"/>
  <c r="EZ36" i="1"/>
  <c r="EZ32" i="1"/>
  <c r="EZ34" i="1"/>
  <c r="EZ93" i="1"/>
  <c r="EZ117" i="1"/>
  <c r="EZ154" i="1"/>
  <c r="EZ107" i="1"/>
  <c r="EZ98" i="1"/>
  <c r="EZ138" i="1"/>
  <c r="EZ75" i="1"/>
  <c r="EZ122" i="1"/>
  <c r="EZ84" i="1"/>
  <c r="EZ116" i="1"/>
  <c r="EZ186" i="1"/>
  <c r="EZ89" i="1"/>
  <c r="EZ70" i="1"/>
  <c r="EZ61" i="1"/>
  <c r="EZ74" i="1"/>
  <c r="EZ88" i="1"/>
  <c r="EZ73" i="1"/>
  <c r="EZ111" i="1"/>
  <c r="EZ87" i="1"/>
  <c r="EZ82" i="1"/>
  <c r="EZ53" i="1"/>
  <c r="EZ175" i="1"/>
  <c r="EZ55" i="1"/>
  <c r="EZ51" i="1"/>
  <c r="EZ157" i="1"/>
  <c r="EZ158" i="1"/>
  <c r="EZ83" i="1"/>
  <c r="EZ91" i="1"/>
  <c r="EZ105" i="1"/>
  <c r="EZ103" i="1"/>
  <c r="EZ188" i="1"/>
  <c r="EZ163" i="1"/>
  <c r="EZ101" i="1"/>
  <c r="EZ65" i="1"/>
  <c r="EZ60" i="1"/>
  <c r="EZ80" i="1"/>
  <c r="EZ56" i="1"/>
  <c r="EZ57" i="1"/>
  <c r="EZ25" i="1"/>
  <c r="EZ104" i="1"/>
  <c r="EZ66" i="1"/>
  <c r="EZ58" i="1"/>
  <c r="EZ155" i="1"/>
  <c r="EZ156" i="1"/>
  <c r="EZ134" i="1"/>
  <c r="EZ92" i="1"/>
  <c r="EZ67" i="1"/>
  <c r="EZ126" i="1"/>
  <c r="EZ145" i="1"/>
  <c r="EZ135" i="1"/>
  <c r="EZ159" i="1"/>
  <c r="EZ76" i="1"/>
  <c r="EZ114" i="1"/>
  <c r="EZ161" i="1"/>
  <c r="EZ160" i="1"/>
  <c r="EZ95" i="1"/>
  <c r="EZ120" i="1"/>
  <c r="EZ42" i="1"/>
  <c r="EZ183" i="1"/>
  <c r="EZ112" i="1"/>
  <c r="EZ148" i="1"/>
  <c r="EZ179" i="1"/>
  <c r="EZ128" i="1"/>
  <c r="EZ144" i="1"/>
  <c r="EZ110" i="1"/>
  <c r="EZ81" i="1"/>
  <c r="EZ100" i="1"/>
  <c r="EZ123" i="1"/>
  <c r="EZ86" i="1"/>
  <c r="EZ174" i="1"/>
  <c r="EZ201" i="1"/>
  <c r="EZ90" i="1"/>
  <c r="EZ102" i="1"/>
  <c r="EZ94" i="1"/>
  <c r="EZ119" i="1"/>
  <c r="EZ141" i="1"/>
  <c r="EZ147" i="1"/>
  <c r="EZ165" i="1"/>
  <c r="EZ132" i="1"/>
  <c r="EZ189" i="1"/>
  <c r="EZ133" i="1"/>
  <c r="EZ206" i="1"/>
  <c r="EZ78" i="1"/>
  <c r="EZ143" i="1"/>
  <c r="EZ150" i="1"/>
  <c r="EZ130" i="1"/>
  <c r="EZ96" i="1"/>
  <c r="EZ182" i="1"/>
  <c r="EZ195" i="1"/>
  <c r="EZ178" i="1"/>
  <c r="EZ181" i="1"/>
  <c r="EZ194" i="1"/>
  <c r="EZ208" i="1"/>
  <c r="EZ129" i="1"/>
  <c r="EZ180" i="1"/>
  <c r="EZ140" i="1"/>
  <c r="EZ125" i="1"/>
  <c r="EZ131" i="1"/>
  <c r="EZ173" i="1"/>
  <c r="EZ184" i="1"/>
  <c r="EZ190" i="1"/>
  <c r="EZ142" i="1"/>
  <c r="EZ69" i="1"/>
  <c r="EZ151" i="1"/>
  <c r="EZ193" i="1"/>
  <c r="EZ169" i="1"/>
  <c r="EZ166" i="1"/>
  <c r="EZ97" i="1"/>
  <c r="EZ79" i="1"/>
  <c r="EZ146" i="1"/>
  <c r="EZ204" i="1"/>
  <c r="EZ113" i="1"/>
  <c r="EZ172" i="1"/>
  <c r="EZ171" i="1"/>
  <c r="EZ185" i="1"/>
  <c r="EZ137" i="1"/>
  <c r="EZ205" i="1"/>
  <c r="EZ177" i="1"/>
  <c r="EZ199" i="1"/>
  <c r="EZ106" i="1"/>
  <c r="EZ203" i="1"/>
  <c r="EZ124" i="1"/>
  <c r="EZ170" i="1"/>
  <c r="EZ152" i="1"/>
  <c r="EZ118" i="1"/>
  <c r="EZ198" i="1"/>
  <c r="EZ200" i="1"/>
  <c r="EZ136" i="1"/>
  <c r="EZ108" i="1"/>
  <c r="EZ149" i="1"/>
  <c r="EZ187" i="1"/>
  <c r="EZ168" i="1"/>
  <c r="EZ162" i="1"/>
  <c r="EZ139" i="1"/>
  <c r="EZ196" i="1"/>
  <c r="EZ153" i="1"/>
  <c r="EZ197" i="1"/>
  <c r="EZ176" i="1"/>
  <c r="EZ202" i="1"/>
  <c r="EZ167" i="1"/>
  <c r="EZ207" i="1"/>
  <c r="EZ192" i="1"/>
  <c r="EY3" i="1"/>
  <c r="EY2" i="1"/>
  <c r="EY43" i="1"/>
  <c r="EY71" i="1"/>
  <c r="EY7" i="1"/>
  <c r="EY164" i="1"/>
  <c r="EY4" i="1"/>
  <c r="EY99" i="1"/>
  <c r="EY6" i="1"/>
  <c r="EY8" i="1"/>
  <c r="EY10" i="1"/>
  <c r="EY9" i="1"/>
  <c r="EY127" i="1"/>
  <c r="EY11" i="1"/>
  <c r="EY44" i="1"/>
  <c r="EY39" i="1"/>
  <c r="EY45" i="1"/>
  <c r="EY16" i="1"/>
  <c r="EY12" i="1"/>
  <c r="EY48" i="1"/>
  <c r="EY54" i="1"/>
  <c r="EY47" i="1"/>
  <c r="EY20" i="1"/>
  <c r="EY50" i="1"/>
  <c r="EY22" i="1"/>
  <c r="EY49" i="1"/>
  <c r="EY13" i="1"/>
  <c r="EY26" i="1"/>
  <c r="EY52" i="1"/>
  <c r="EY46" i="1"/>
  <c r="EY72" i="1"/>
  <c r="EY5" i="1"/>
  <c r="EY18" i="1"/>
  <c r="EY23" i="1"/>
  <c r="EY15" i="1"/>
  <c r="EY14" i="1"/>
  <c r="EY59" i="1"/>
  <c r="EY38" i="1"/>
  <c r="EY21" i="1"/>
  <c r="EY27" i="1"/>
  <c r="EY17" i="1"/>
  <c r="EY68" i="1"/>
  <c r="EY121" i="1"/>
  <c r="EY24" i="1"/>
  <c r="EY30" i="1"/>
  <c r="EY40" i="1"/>
  <c r="EY35" i="1"/>
  <c r="EY29" i="1"/>
  <c r="EY37" i="1"/>
  <c r="EY28" i="1"/>
  <c r="EY19" i="1"/>
  <c r="EY33" i="1"/>
  <c r="EY109" i="1"/>
  <c r="EY64" i="1"/>
  <c r="EY63" i="1"/>
  <c r="EY77" i="1"/>
  <c r="EY115" i="1"/>
  <c r="EY31" i="1"/>
  <c r="EY41" i="1"/>
  <c r="EY191" i="1"/>
  <c r="EY85" i="1"/>
  <c r="EY62" i="1"/>
  <c r="EY36" i="1"/>
  <c r="EY32" i="1"/>
  <c r="EY34" i="1"/>
  <c r="EY93" i="1"/>
  <c r="EY117" i="1"/>
  <c r="EY154" i="1"/>
  <c r="EY107" i="1"/>
  <c r="EY98" i="1"/>
  <c r="EY138" i="1"/>
  <c r="EY75" i="1"/>
  <c r="EY122" i="1"/>
  <c r="EY84" i="1"/>
  <c r="EY116" i="1"/>
  <c r="EY186" i="1"/>
  <c r="EY89" i="1"/>
  <c r="EY70" i="1"/>
  <c r="EY61" i="1"/>
  <c r="EY74" i="1"/>
  <c r="EY88" i="1"/>
  <c r="EY73" i="1"/>
  <c r="EY111" i="1"/>
  <c r="EY87" i="1"/>
  <c r="EY82" i="1"/>
  <c r="EY53" i="1"/>
  <c r="EY175" i="1"/>
  <c r="EY55" i="1"/>
  <c r="EY51" i="1"/>
  <c r="EY157" i="1"/>
  <c r="EY158" i="1"/>
  <c r="EY83" i="1"/>
  <c r="EY91" i="1"/>
  <c r="EY105" i="1"/>
  <c r="EY103" i="1"/>
  <c r="EY188" i="1"/>
  <c r="EY163" i="1"/>
  <c r="EY101" i="1"/>
  <c r="EY65" i="1"/>
  <c r="EY60" i="1"/>
  <c r="EY80" i="1"/>
  <c r="EY56" i="1"/>
  <c r="EY57" i="1"/>
  <c r="EY25" i="1"/>
  <c r="EY104" i="1"/>
  <c r="EY66" i="1"/>
  <c r="EY58" i="1"/>
  <c r="EY155" i="1"/>
  <c r="EY156" i="1"/>
  <c r="EY134" i="1"/>
  <c r="EY92" i="1"/>
  <c r="EY67" i="1"/>
  <c r="EY126" i="1"/>
  <c r="EY145" i="1"/>
  <c r="EY135" i="1"/>
  <c r="EY159" i="1"/>
  <c r="EY76" i="1"/>
  <c r="EY114" i="1"/>
  <c r="EY161" i="1"/>
  <c r="EY160" i="1"/>
  <c r="EY95" i="1"/>
  <c r="EY120" i="1"/>
  <c r="EY42" i="1"/>
  <c r="EY183" i="1"/>
  <c r="EY112" i="1"/>
  <c r="EY148" i="1"/>
  <c r="EY179" i="1"/>
  <c r="EY128" i="1"/>
  <c r="EY144" i="1"/>
  <c r="EY110" i="1"/>
  <c r="EY81" i="1"/>
  <c r="EY100" i="1"/>
  <c r="EY123" i="1"/>
  <c r="EY86" i="1"/>
  <c r="EY174" i="1"/>
  <c r="EY201" i="1"/>
  <c r="EY90" i="1"/>
  <c r="EY102" i="1"/>
  <c r="EY94" i="1"/>
  <c r="EY119" i="1"/>
  <c r="EY141" i="1"/>
  <c r="EY147" i="1"/>
  <c r="EY165" i="1"/>
  <c r="EY132" i="1"/>
  <c r="EY189" i="1"/>
  <c r="EY133" i="1"/>
  <c r="EY206" i="1"/>
  <c r="EY78" i="1"/>
  <c r="EY143" i="1"/>
  <c r="EY150" i="1"/>
  <c r="EY130" i="1"/>
  <c r="EY96" i="1"/>
  <c r="EY182" i="1"/>
  <c r="EY195" i="1"/>
  <c r="EY178" i="1"/>
  <c r="EY181" i="1"/>
  <c r="EY194" i="1"/>
  <c r="EY208" i="1"/>
  <c r="EY129" i="1"/>
  <c r="EY180" i="1"/>
  <c r="EY140" i="1"/>
  <c r="EY125" i="1"/>
  <c r="EY131" i="1"/>
  <c r="EY173" i="1"/>
  <c r="EY184" i="1"/>
  <c r="EY190" i="1"/>
  <c r="EY142" i="1"/>
  <c r="EY69" i="1"/>
  <c r="EY151" i="1"/>
  <c r="EY193" i="1"/>
  <c r="EY169" i="1"/>
  <c r="EY166" i="1"/>
  <c r="EY97" i="1"/>
  <c r="EY79" i="1"/>
  <c r="EY146" i="1"/>
  <c r="EY204" i="1"/>
  <c r="EY113" i="1"/>
  <c r="EY172" i="1"/>
  <c r="EY171" i="1"/>
  <c r="EY185" i="1"/>
  <c r="EY137" i="1"/>
  <c r="EY205" i="1"/>
  <c r="EY177" i="1"/>
  <c r="EY199" i="1"/>
  <c r="EY106" i="1"/>
  <c r="EY203" i="1"/>
  <c r="EY124" i="1"/>
  <c r="EY170" i="1"/>
  <c r="EY152" i="1"/>
  <c r="EY118" i="1"/>
  <c r="EY198" i="1"/>
  <c r="EY200" i="1"/>
  <c r="EY136" i="1"/>
  <c r="EY108" i="1"/>
  <c r="EY149" i="1"/>
  <c r="EY187" i="1"/>
  <c r="EY168" i="1"/>
  <c r="EY162" i="1"/>
  <c r="EY139" i="1"/>
  <c r="EY196" i="1"/>
  <c r="EY153" i="1"/>
  <c r="EY197" i="1"/>
  <c r="EY176" i="1"/>
  <c r="EY202" i="1"/>
  <c r="EY167" i="1"/>
  <c r="EY207" i="1"/>
  <c r="EY192" i="1"/>
  <c r="EX3" i="1"/>
  <c r="EX2" i="1"/>
  <c r="EX43" i="1"/>
  <c r="EX71" i="1"/>
  <c r="EX7" i="1"/>
  <c r="EX164" i="1"/>
  <c r="EX4" i="1"/>
  <c r="EX99" i="1"/>
  <c r="EX6" i="1"/>
  <c r="EX8" i="1"/>
  <c r="EX10" i="1"/>
  <c r="EX9" i="1"/>
  <c r="EX127" i="1"/>
  <c r="EX11" i="1"/>
  <c r="EX44" i="1"/>
  <c r="EX39" i="1"/>
  <c r="EX45" i="1"/>
  <c r="EX16" i="1"/>
  <c r="EX12" i="1"/>
  <c r="EX48" i="1"/>
  <c r="EX54" i="1"/>
  <c r="EX47" i="1"/>
  <c r="EX20" i="1"/>
  <c r="EX50" i="1"/>
  <c r="EX22" i="1"/>
  <c r="EX49" i="1"/>
  <c r="EX13" i="1"/>
  <c r="EX26" i="1"/>
  <c r="EX52" i="1"/>
  <c r="EX46" i="1"/>
  <c r="EX72" i="1"/>
  <c r="EX5" i="1"/>
  <c r="EX18" i="1"/>
  <c r="EX23" i="1"/>
  <c r="EX15" i="1"/>
  <c r="EX14" i="1"/>
  <c r="EX59" i="1"/>
  <c r="EX38" i="1"/>
  <c r="EX21" i="1"/>
  <c r="EX27" i="1"/>
  <c r="EX17" i="1"/>
  <c r="EX68" i="1"/>
  <c r="EX121" i="1"/>
  <c r="EX24" i="1"/>
  <c r="EX30" i="1"/>
  <c r="EX40" i="1"/>
  <c r="EX35" i="1"/>
  <c r="EX29" i="1"/>
  <c r="EX37" i="1"/>
  <c r="EX28" i="1"/>
  <c r="EX19" i="1"/>
  <c r="EX33" i="1"/>
  <c r="EX109" i="1"/>
  <c r="EX64" i="1"/>
  <c r="EX63" i="1"/>
  <c r="EX77" i="1"/>
  <c r="EX115" i="1"/>
  <c r="EX31" i="1"/>
  <c r="EX41" i="1"/>
  <c r="EX191" i="1"/>
  <c r="EX85" i="1"/>
  <c r="EX62" i="1"/>
  <c r="EX36" i="1"/>
  <c r="EX32" i="1"/>
  <c r="EX34" i="1"/>
  <c r="EX93" i="1"/>
  <c r="EX117" i="1"/>
  <c r="EX154" i="1"/>
  <c r="EX107" i="1"/>
  <c r="EX98" i="1"/>
  <c r="EX138" i="1"/>
  <c r="EX75" i="1"/>
  <c r="EX122" i="1"/>
  <c r="EX84" i="1"/>
  <c r="EX116" i="1"/>
  <c r="EX186" i="1"/>
  <c r="EX89" i="1"/>
  <c r="EX70" i="1"/>
  <c r="EX61" i="1"/>
  <c r="EX74" i="1"/>
  <c r="EX88" i="1"/>
  <c r="EX73" i="1"/>
  <c r="EX111" i="1"/>
  <c r="EX87" i="1"/>
  <c r="EX82" i="1"/>
  <c r="EX53" i="1"/>
  <c r="EX175" i="1"/>
  <c r="EX55" i="1"/>
  <c r="EX51" i="1"/>
  <c r="EX157" i="1"/>
  <c r="EX158" i="1"/>
  <c r="EX83" i="1"/>
  <c r="EX91" i="1"/>
  <c r="EX105" i="1"/>
  <c r="EX103" i="1"/>
  <c r="EX188" i="1"/>
  <c r="EX163" i="1"/>
  <c r="EX101" i="1"/>
  <c r="EX65" i="1"/>
  <c r="EX60" i="1"/>
  <c r="EX80" i="1"/>
  <c r="EX56" i="1"/>
  <c r="EX57" i="1"/>
  <c r="EX25" i="1"/>
  <c r="EX104" i="1"/>
  <c r="EX66" i="1"/>
  <c r="EX58" i="1"/>
  <c r="EX155" i="1"/>
  <c r="EX156" i="1"/>
  <c r="EX134" i="1"/>
  <c r="EX92" i="1"/>
  <c r="EX67" i="1"/>
  <c r="EX126" i="1"/>
  <c r="EX145" i="1"/>
  <c r="EX135" i="1"/>
  <c r="EX159" i="1"/>
  <c r="EX76" i="1"/>
  <c r="EX114" i="1"/>
  <c r="EX161" i="1"/>
  <c r="EX160" i="1"/>
  <c r="EX95" i="1"/>
  <c r="EX120" i="1"/>
  <c r="EX42" i="1"/>
  <c r="EX183" i="1"/>
  <c r="EX112" i="1"/>
  <c r="EX148" i="1"/>
  <c r="EX179" i="1"/>
  <c r="EX128" i="1"/>
  <c r="EX144" i="1"/>
  <c r="EX110" i="1"/>
  <c r="EX81" i="1"/>
  <c r="EX100" i="1"/>
  <c r="EX123" i="1"/>
  <c r="EX86" i="1"/>
  <c r="EX174" i="1"/>
  <c r="EX201" i="1"/>
  <c r="EX90" i="1"/>
  <c r="EX102" i="1"/>
  <c r="EX94" i="1"/>
  <c r="EX119" i="1"/>
  <c r="EX141" i="1"/>
  <c r="EX147" i="1"/>
  <c r="EX165" i="1"/>
  <c r="EX132" i="1"/>
  <c r="EX189" i="1"/>
  <c r="EX133" i="1"/>
  <c r="EX206" i="1"/>
  <c r="EX78" i="1"/>
  <c r="EX143" i="1"/>
  <c r="EX150" i="1"/>
  <c r="EX130" i="1"/>
  <c r="EX96" i="1"/>
  <c r="EX182" i="1"/>
  <c r="EX195" i="1"/>
  <c r="EX178" i="1"/>
  <c r="EX181" i="1"/>
  <c r="EX194" i="1"/>
  <c r="EX208" i="1"/>
  <c r="EX129" i="1"/>
  <c r="EX180" i="1"/>
  <c r="EX140" i="1"/>
  <c r="EX125" i="1"/>
  <c r="EX131" i="1"/>
  <c r="EX173" i="1"/>
  <c r="EX184" i="1"/>
  <c r="EX190" i="1"/>
  <c r="EX142" i="1"/>
  <c r="EX69" i="1"/>
  <c r="EX151" i="1"/>
  <c r="EX193" i="1"/>
  <c r="EX169" i="1"/>
  <c r="EX166" i="1"/>
  <c r="EX97" i="1"/>
  <c r="EX79" i="1"/>
  <c r="EX146" i="1"/>
  <c r="EX204" i="1"/>
  <c r="EX113" i="1"/>
  <c r="EX172" i="1"/>
  <c r="EX171" i="1"/>
  <c r="EX185" i="1"/>
  <c r="EX137" i="1"/>
  <c r="EX205" i="1"/>
  <c r="EX177" i="1"/>
  <c r="EX199" i="1"/>
  <c r="EX106" i="1"/>
  <c r="EX203" i="1"/>
  <c r="EX124" i="1"/>
  <c r="EX170" i="1"/>
  <c r="EX152" i="1"/>
  <c r="EX118" i="1"/>
  <c r="EX198" i="1"/>
  <c r="EX200" i="1"/>
  <c r="EX136" i="1"/>
  <c r="EX108" i="1"/>
  <c r="EX149" i="1"/>
  <c r="EX187" i="1"/>
  <c r="EX168" i="1"/>
  <c r="EX162" i="1"/>
  <c r="EX139" i="1"/>
  <c r="EX196" i="1"/>
  <c r="EX153" i="1"/>
  <c r="EX197" i="1"/>
  <c r="EX176" i="1"/>
  <c r="EX202" i="1"/>
  <c r="EX167" i="1"/>
  <c r="EX207" i="1"/>
  <c r="EX192" i="1"/>
  <c r="EW3" i="1"/>
  <c r="EW2" i="1"/>
  <c r="EW43" i="1"/>
  <c r="EW71" i="1"/>
  <c r="EW7" i="1"/>
  <c r="EW164" i="1"/>
  <c r="EW4" i="1"/>
  <c r="EW99" i="1"/>
  <c r="EW6" i="1"/>
  <c r="EW8" i="1"/>
  <c r="EW10" i="1"/>
  <c r="EW9" i="1"/>
  <c r="EW127" i="1"/>
  <c r="EW11" i="1"/>
  <c r="EW44" i="1"/>
  <c r="EW39" i="1"/>
  <c r="EW45" i="1"/>
  <c r="EW16" i="1"/>
  <c r="EW12" i="1"/>
  <c r="EW48" i="1"/>
  <c r="EW54" i="1"/>
  <c r="EW47" i="1"/>
  <c r="EW20" i="1"/>
  <c r="EW50" i="1"/>
  <c r="EW22" i="1"/>
  <c r="EW49" i="1"/>
  <c r="EW13" i="1"/>
  <c r="EW26" i="1"/>
  <c r="EW52" i="1"/>
  <c r="EW46" i="1"/>
  <c r="EW72" i="1"/>
  <c r="EW5" i="1"/>
  <c r="EW18" i="1"/>
  <c r="EW23" i="1"/>
  <c r="EW15" i="1"/>
  <c r="EW14" i="1"/>
  <c r="EW59" i="1"/>
  <c r="EW38" i="1"/>
  <c r="EW21" i="1"/>
  <c r="EW27" i="1"/>
  <c r="EW17" i="1"/>
  <c r="EW68" i="1"/>
  <c r="EW121" i="1"/>
  <c r="EW24" i="1"/>
  <c r="EW30" i="1"/>
  <c r="EW40" i="1"/>
  <c r="EW35" i="1"/>
  <c r="EW29" i="1"/>
  <c r="EW37" i="1"/>
  <c r="EW28" i="1"/>
  <c r="EW19" i="1"/>
  <c r="EW33" i="1"/>
  <c r="EW109" i="1"/>
  <c r="EW64" i="1"/>
  <c r="EW63" i="1"/>
  <c r="EW77" i="1"/>
  <c r="EW115" i="1"/>
  <c r="EW31" i="1"/>
  <c r="EW41" i="1"/>
  <c r="EW191" i="1"/>
  <c r="EW85" i="1"/>
  <c r="EW62" i="1"/>
  <c r="EW36" i="1"/>
  <c r="EW32" i="1"/>
  <c r="EW34" i="1"/>
  <c r="EW93" i="1"/>
  <c r="EW117" i="1"/>
  <c r="EW154" i="1"/>
  <c r="EW107" i="1"/>
  <c r="EW98" i="1"/>
  <c r="EW138" i="1"/>
  <c r="EW75" i="1"/>
  <c r="EW122" i="1"/>
  <c r="EW84" i="1"/>
  <c r="EW116" i="1"/>
  <c r="EW186" i="1"/>
  <c r="EW89" i="1"/>
  <c r="EW70" i="1"/>
  <c r="EW61" i="1"/>
  <c r="EW74" i="1"/>
  <c r="EW88" i="1"/>
  <c r="EW73" i="1"/>
  <c r="EW111" i="1"/>
  <c r="EW87" i="1"/>
  <c r="EW82" i="1"/>
  <c r="EW53" i="1"/>
  <c r="EW175" i="1"/>
  <c r="EW55" i="1"/>
  <c r="EW51" i="1"/>
  <c r="EW157" i="1"/>
  <c r="EW158" i="1"/>
  <c r="EW83" i="1"/>
  <c r="EW91" i="1"/>
  <c r="EW105" i="1"/>
  <c r="EW103" i="1"/>
  <c r="EW188" i="1"/>
  <c r="EW163" i="1"/>
  <c r="EW101" i="1"/>
  <c r="EW65" i="1"/>
  <c r="EW60" i="1"/>
  <c r="EW80" i="1"/>
  <c r="EW56" i="1"/>
  <c r="EW57" i="1"/>
  <c r="EW25" i="1"/>
  <c r="EW104" i="1"/>
  <c r="EW66" i="1"/>
  <c r="EW58" i="1"/>
  <c r="EW155" i="1"/>
  <c r="EW156" i="1"/>
  <c r="EW134" i="1"/>
  <c r="EW92" i="1"/>
  <c r="EW67" i="1"/>
  <c r="EW126" i="1"/>
  <c r="EW145" i="1"/>
  <c r="EW135" i="1"/>
  <c r="EW159" i="1"/>
  <c r="EW76" i="1"/>
  <c r="EW114" i="1"/>
  <c r="EW161" i="1"/>
  <c r="EW160" i="1"/>
  <c r="EW95" i="1"/>
  <c r="EW120" i="1"/>
  <c r="EW42" i="1"/>
  <c r="EW183" i="1"/>
  <c r="EW112" i="1"/>
  <c r="EW148" i="1"/>
  <c r="EW179" i="1"/>
  <c r="EW128" i="1"/>
  <c r="EW144" i="1"/>
  <c r="EW110" i="1"/>
  <c r="EW81" i="1"/>
  <c r="EW100" i="1"/>
  <c r="EW123" i="1"/>
  <c r="EW86" i="1"/>
  <c r="EW174" i="1"/>
  <c r="EW201" i="1"/>
  <c r="EW90" i="1"/>
  <c r="EW102" i="1"/>
  <c r="EW94" i="1"/>
  <c r="EW119" i="1"/>
  <c r="EW141" i="1"/>
  <c r="EW147" i="1"/>
  <c r="EW165" i="1"/>
  <c r="EW132" i="1"/>
  <c r="EW189" i="1"/>
  <c r="EW133" i="1"/>
  <c r="EW206" i="1"/>
  <c r="EW78" i="1"/>
  <c r="EW143" i="1"/>
  <c r="EW150" i="1"/>
  <c r="EW130" i="1"/>
  <c r="EW96" i="1"/>
  <c r="EW182" i="1"/>
  <c r="EW195" i="1"/>
  <c r="EW178" i="1"/>
  <c r="EW181" i="1"/>
  <c r="EW194" i="1"/>
  <c r="EW208" i="1"/>
  <c r="EW129" i="1"/>
  <c r="EW180" i="1"/>
  <c r="EW140" i="1"/>
  <c r="EW125" i="1"/>
  <c r="EW131" i="1"/>
  <c r="EW173" i="1"/>
  <c r="EW184" i="1"/>
  <c r="EW190" i="1"/>
  <c r="EW142" i="1"/>
  <c r="EW69" i="1"/>
  <c r="EW151" i="1"/>
  <c r="EW193" i="1"/>
  <c r="EW169" i="1"/>
  <c r="EW166" i="1"/>
  <c r="EW97" i="1"/>
  <c r="EW79" i="1"/>
  <c r="EW146" i="1"/>
  <c r="EW204" i="1"/>
  <c r="EW113" i="1"/>
  <c r="EW172" i="1"/>
  <c r="EW171" i="1"/>
  <c r="EW185" i="1"/>
  <c r="EW137" i="1"/>
  <c r="EW205" i="1"/>
  <c r="EW177" i="1"/>
  <c r="EW199" i="1"/>
  <c r="EW106" i="1"/>
  <c r="EW203" i="1"/>
  <c r="EW124" i="1"/>
  <c r="EW170" i="1"/>
  <c r="EW152" i="1"/>
  <c r="EW118" i="1"/>
  <c r="EW198" i="1"/>
  <c r="EW200" i="1"/>
  <c r="EW136" i="1"/>
  <c r="EW108" i="1"/>
  <c r="EW149" i="1"/>
  <c r="EW187" i="1"/>
  <c r="EW168" i="1"/>
  <c r="EW162" i="1"/>
  <c r="EW139" i="1"/>
  <c r="EW196" i="1"/>
  <c r="EW153" i="1"/>
  <c r="EW197" i="1"/>
  <c r="EW176" i="1"/>
  <c r="EW202" i="1"/>
  <c r="EW167" i="1"/>
  <c r="EW207" i="1"/>
  <c r="EW192" i="1"/>
  <c r="EV3" i="1"/>
  <c r="EV2" i="1"/>
  <c r="EV43" i="1"/>
  <c r="EV71" i="1"/>
  <c r="EV7" i="1"/>
  <c r="EV164" i="1"/>
  <c r="EV4" i="1"/>
  <c r="EV99" i="1"/>
  <c r="EV6" i="1"/>
  <c r="EV8" i="1"/>
  <c r="EV10" i="1"/>
  <c r="EV9" i="1"/>
  <c r="EV127" i="1"/>
  <c r="EV11" i="1"/>
  <c r="EV44" i="1"/>
  <c r="EV39" i="1"/>
  <c r="EV45" i="1"/>
  <c r="EV16" i="1"/>
  <c r="EV12" i="1"/>
  <c r="EV48" i="1"/>
  <c r="EV54" i="1"/>
  <c r="EV47" i="1"/>
  <c r="EV20" i="1"/>
  <c r="EV50" i="1"/>
  <c r="EV22" i="1"/>
  <c r="EV49" i="1"/>
  <c r="EV13" i="1"/>
  <c r="EV26" i="1"/>
  <c r="EV52" i="1"/>
  <c r="EV46" i="1"/>
  <c r="EV72" i="1"/>
  <c r="EV5" i="1"/>
  <c r="EV18" i="1"/>
  <c r="EV23" i="1"/>
  <c r="EV15" i="1"/>
  <c r="EV14" i="1"/>
  <c r="EV59" i="1"/>
  <c r="EV38" i="1"/>
  <c r="EV21" i="1"/>
  <c r="EV27" i="1"/>
  <c r="EV17" i="1"/>
  <c r="EV68" i="1"/>
  <c r="EV121" i="1"/>
  <c r="EV24" i="1"/>
  <c r="EV30" i="1"/>
  <c r="EV40" i="1"/>
  <c r="EV35" i="1"/>
  <c r="EV29" i="1"/>
  <c r="EV37" i="1"/>
  <c r="EV28" i="1"/>
  <c r="EV19" i="1"/>
  <c r="EV33" i="1"/>
  <c r="EV109" i="1"/>
  <c r="EV64" i="1"/>
  <c r="EV63" i="1"/>
  <c r="EV77" i="1"/>
  <c r="EV115" i="1"/>
  <c r="EV31" i="1"/>
  <c r="EV41" i="1"/>
  <c r="EV191" i="1"/>
  <c r="EV85" i="1"/>
  <c r="EV62" i="1"/>
  <c r="EV36" i="1"/>
  <c r="EV32" i="1"/>
  <c r="EV34" i="1"/>
  <c r="EV93" i="1"/>
  <c r="EV117" i="1"/>
  <c r="EV154" i="1"/>
  <c r="EV107" i="1"/>
  <c r="EV98" i="1"/>
  <c r="EV138" i="1"/>
  <c r="EV75" i="1"/>
  <c r="EV122" i="1"/>
  <c r="EV84" i="1"/>
  <c r="EV116" i="1"/>
  <c r="EV186" i="1"/>
  <c r="EV89" i="1"/>
  <c r="EV70" i="1"/>
  <c r="EV61" i="1"/>
  <c r="EV74" i="1"/>
  <c r="EV88" i="1"/>
  <c r="EV73" i="1"/>
  <c r="EV111" i="1"/>
  <c r="EV87" i="1"/>
  <c r="EV82" i="1"/>
  <c r="EV53" i="1"/>
  <c r="EV175" i="1"/>
  <c r="EV55" i="1"/>
  <c r="EV51" i="1"/>
  <c r="EV157" i="1"/>
  <c r="EV158" i="1"/>
  <c r="EV83" i="1"/>
  <c r="EV91" i="1"/>
  <c r="EV105" i="1"/>
  <c r="EV103" i="1"/>
  <c r="EV188" i="1"/>
  <c r="EV163" i="1"/>
  <c r="EV101" i="1"/>
  <c r="EV65" i="1"/>
  <c r="EV60" i="1"/>
  <c r="EV80" i="1"/>
  <c r="EV56" i="1"/>
  <c r="EV57" i="1"/>
  <c r="EV25" i="1"/>
  <c r="EV104" i="1"/>
  <c r="EV66" i="1"/>
  <c r="EV58" i="1"/>
  <c r="EV155" i="1"/>
  <c r="EV156" i="1"/>
  <c r="EV134" i="1"/>
  <c r="EV92" i="1"/>
  <c r="EV67" i="1"/>
  <c r="EV126" i="1"/>
  <c r="EV145" i="1"/>
  <c r="EV135" i="1"/>
  <c r="EV159" i="1"/>
  <c r="EV76" i="1"/>
  <c r="EV114" i="1"/>
  <c r="EV161" i="1"/>
  <c r="EV160" i="1"/>
  <c r="EV95" i="1"/>
  <c r="EV120" i="1"/>
  <c r="EV42" i="1"/>
  <c r="EV183" i="1"/>
  <c r="EV112" i="1"/>
  <c r="EV148" i="1"/>
  <c r="EV179" i="1"/>
  <c r="EV128" i="1"/>
  <c r="EV144" i="1"/>
  <c r="EV110" i="1"/>
  <c r="EV81" i="1"/>
  <c r="EV100" i="1"/>
  <c r="EV123" i="1"/>
  <c r="EV86" i="1"/>
  <c r="EV174" i="1"/>
  <c r="EV201" i="1"/>
  <c r="EV90" i="1"/>
  <c r="EV102" i="1"/>
  <c r="EV94" i="1"/>
  <c r="EV119" i="1"/>
  <c r="EV141" i="1"/>
  <c r="EV147" i="1"/>
  <c r="EV165" i="1"/>
  <c r="EV132" i="1"/>
  <c r="EV189" i="1"/>
  <c r="EV133" i="1"/>
  <c r="EV206" i="1"/>
  <c r="EV78" i="1"/>
  <c r="EV143" i="1"/>
  <c r="EV150" i="1"/>
  <c r="EV130" i="1"/>
  <c r="EV96" i="1"/>
  <c r="EV182" i="1"/>
  <c r="EV195" i="1"/>
  <c r="EV178" i="1"/>
  <c r="EV181" i="1"/>
  <c r="EV194" i="1"/>
  <c r="EV208" i="1"/>
  <c r="EV129" i="1"/>
  <c r="EV180" i="1"/>
  <c r="EV140" i="1"/>
  <c r="EV125" i="1"/>
  <c r="EV131" i="1"/>
  <c r="EV173" i="1"/>
  <c r="EV184" i="1"/>
  <c r="EV190" i="1"/>
  <c r="EV142" i="1"/>
  <c r="EV69" i="1"/>
  <c r="EV151" i="1"/>
  <c r="EV193" i="1"/>
  <c r="EV169" i="1"/>
  <c r="EV166" i="1"/>
  <c r="EV97" i="1"/>
  <c r="EV79" i="1"/>
  <c r="EV146" i="1"/>
  <c r="EV204" i="1"/>
  <c r="EV113" i="1"/>
  <c r="EV172" i="1"/>
  <c r="EV171" i="1"/>
  <c r="EV185" i="1"/>
  <c r="EV137" i="1"/>
  <c r="EV205" i="1"/>
  <c r="EV177" i="1"/>
  <c r="EV199" i="1"/>
  <c r="EV106" i="1"/>
  <c r="EV203" i="1"/>
  <c r="EV124" i="1"/>
  <c r="EV170" i="1"/>
  <c r="EV152" i="1"/>
  <c r="EV118" i="1"/>
  <c r="EV198" i="1"/>
  <c r="EV200" i="1"/>
  <c r="EV136" i="1"/>
  <c r="EV108" i="1"/>
  <c r="EV149" i="1"/>
  <c r="EV187" i="1"/>
  <c r="EV168" i="1"/>
  <c r="EV162" i="1"/>
  <c r="EV139" i="1"/>
  <c r="EV196" i="1"/>
  <c r="EV153" i="1"/>
  <c r="EV197" i="1"/>
  <c r="EV176" i="1"/>
  <c r="EV202" i="1"/>
  <c r="EV167" i="1"/>
  <c r="EV207" i="1"/>
  <c r="EV192" i="1"/>
  <c r="EU3" i="1"/>
  <c r="EU2" i="1"/>
  <c r="EU43" i="1"/>
  <c r="EU71" i="1"/>
  <c r="EU7" i="1"/>
  <c r="EU164" i="1"/>
  <c r="EU4" i="1"/>
  <c r="EU99" i="1"/>
  <c r="EU6" i="1"/>
  <c r="EU8" i="1"/>
  <c r="EU10" i="1"/>
  <c r="EU9" i="1"/>
  <c r="EU127" i="1"/>
  <c r="EU11" i="1"/>
  <c r="EU44" i="1"/>
  <c r="EU39" i="1"/>
  <c r="EU45" i="1"/>
  <c r="EU16" i="1"/>
  <c r="EU12" i="1"/>
  <c r="EU48" i="1"/>
  <c r="EU54" i="1"/>
  <c r="EU47" i="1"/>
  <c r="EU20" i="1"/>
  <c r="EU50" i="1"/>
  <c r="EU22" i="1"/>
  <c r="EU49" i="1"/>
  <c r="EU13" i="1"/>
  <c r="EU26" i="1"/>
  <c r="EU52" i="1"/>
  <c r="EU46" i="1"/>
  <c r="EU72" i="1"/>
  <c r="EU5" i="1"/>
  <c r="EU18" i="1"/>
  <c r="EU23" i="1"/>
  <c r="EU15" i="1"/>
  <c r="EU14" i="1"/>
  <c r="EU59" i="1"/>
  <c r="EU38" i="1"/>
  <c r="EU21" i="1"/>
  <c r="EU27" i="1"/>
  <c r="EU17" i="1"/>
  <c r="EU68" i="1"/>
  <c r="EU121" i="1"/>
  <c r="EU24" i="1"/>
  <c r="EU30" i="1"/>
  <c r="EU40" i="1"/>
  <c r="EU35" i="1"/>
  <c r="EU29" i="1"/>
  <c r="EU37" i="1"/>
  <c r="EU28" i="1"/>
  <c r="EU19" i="1"/>
  <c r="EU33" i="1"/>
  <c r="EU109" i="1"/>
  <c r="EU64" i="1"/>
  <c r="EU63" i="1"/>
  <c r="EU77" i="1"/>
  <c r="EU115" i="1"/>
  <c r="EU31" i="1"/>
  <c r="EU41" i="1"/>
  <c r="EU191" i="1"/>
  <c r="EU85" i="1"/>
  <c r="EU62" i="1"/>
  <c r="EU36" i="1"/>
  <c r="EU32" i="1"/>
  <c r="EU34" i="1"/>
  <c r="EU93" i="1"/>
  <c r="EU117" i="1"/>
  <c r="EU154" i="1"/>
  <c r="EU107" i="1"/>
  <c r="EU98" i="1"/>
  <c r="EU138" i="1"/>
  <c r="EU75" i="1"/>
  <c r="EU122" i="1"/>
  <c r="EU84" i="1"/>
  <c r="EU116" i="1"/>
  <c r="EU186" i="1"/>
  <c r="EU89" i="1"/>
  <c r="EU70" i="1"/>
  <c r="EU61" i="1"/>
  <c r="EU74" i="1"/>
  <c r="EU88" i="1"/>
  <c r="EU73" i="1"/>
  <c r="EU111" i="1"/>
  <c r="EU87" i="1"/>
  <c r="EU82" i="1"/>
  <c r="EU53" i="1"/>
  <c r="EU175" i="1"/>
  <c r="EU55" i="1"/>
  <c r="EU51" i="1"/>
  <c r="EU157" i="1"/>
  <c r="EU158" i="1"/>
  <c r="EU83" i="1"/>
  <c r="EU91" i="1"/>
  <c r="EU105" i="1"/>
  <c r="EU103" i="1"/>
  <c r="EU188" i="1"/>
  <c r="EU163" i="1"/>
  <c r="EU101" i="1"/>
  <c r="EU65" i="1"/>
  <c r="EU60" i="1"/>
  <c r="EU80" i="1"/>
  <c r="EU56" i="1"/>
  <c r="EU57" i="1"/>
  <c r="EU25" i="1"/>
  <c r="EU104" i="1"/>
  <c r="EU66" i="1"/>
  <c r="EU58" i="1"/>
  <c r="EU155" i="1"/>
  <c r="EU156" i="1"/>
  <c r="EU134" i="1"/>
  <c r="EU92" i="1"/>
  <c r="EU67" i="1"/>
  <c r="EU126" i="1"/>
  <c r="EU145" i="1"/>
  <c r="EU135" i="1"/>
  <c r="EU159" i="1"/>
  <c r="EU76" i="1"/>
  <c r="EU114" i="1"/>
  <c r="EU161" i="1"/>
  <c r="EU160" i="1"/>
  <c r="EU95" i="1"/>
  <c r="EU120" i="1"/>
  <c r="EU42" i="1"/>
  <c r="EU183" i="1"/>
  <c r="EU112" i="1"/>
  <c r="EU148" i="1"/>
  <c r="EU179" i="1"/>
  <c r="EU128" i="1"/>
  <c r="EU144" i="1"/>
  <c r="EU110" i="1"/>
  <c r="EU81" i="1"/>
  <c r="EU100" i="1"/>
  <c r="EU123" i="1"/>
  <c r="EU86" i="1"/>
  <c r="EU174" i="1"/>
  <c r="EU201" i="1"/>
  <c r="EU90" i="1"/>
  <c r="EU102" i="1"/>
  <c r="EU94" i="1"/>
  <c r="EU119" i="1"/>
  <c r="EU141" i="1"/>
  <c r="EU147" i="1"/>
  <c r="EU165" i="1"/>
  <c r="EU132" i="1"/>
  <c r="EU189" i="1"/>
  <c r="EU133" i="1"/>
  <c r="EU206" i="1"/>
  <c r="EU78" i="1"/>
  <c r="EU143" i="1"/>
  <c r="EU150" i="1"/>
  <c r="EU130" i="1"/>
  <c r="EU96" i="1"/>
  <c r="EU182" i="1"/>
  <c r="EU195" i="1"/>
  <c r="EU178" i="1"/>
  <c r="EU181" i="1"/>
  <c r="EU194" i="1"/>
  <c r="EU208" i="1"/>
  <c r="EU129" i="1"/>
  <c r="EU180" i="1"/>
  <c r="EU140" i="1"/>
  <c r="EU125" i="1"/>
  <c r="EU131" i="1"/>
  <c r="EU173" i="1"/>
  <c r="EU184" i="1"/>
  <c r="EU190" i="1"/>
  <c r="EU142" i="1"/>
  <c r="EU69" i="1"/>
  <c r="EU151" i="1"/>
  <c r="EU193" i="1"/>
  <c r="EU169" i="1"/>
  <c r="EU166" i="1"/>
  <c r="EU97" i="1"/>
  <c r="EU79" i="1"/>
  <c r="EU146" i="1"/>
  <c r="EU204" i="1"/>
  <c r="EU113" i="1"/>
  <c r="EU172" i="1"/>
  <c r="EU171" i="1"/>
  <c r="EU185" i="1"/>
  <c r="EU137" i="1"/>
  <c r="EU205" i="1"/>
  <c r="EU177" i="1"/>
  <c r="EU199" i="1"/>
  <c r="EU106" i="1"/>
  <c r="EU203" i="1"/>
  <c r="EU124" i="1"/>
  <c r="EU170" i="1"/>
  <c r="EU152" i="1"/>
  <c r="EU118" i="1"/>
  <c r="EU198" i="1"/>
  <c r="EU200" i="1"/>
  <c r="EU136" i="1"/>
  <c r="EU108" i="1"/>
  <c r="EU149" i="1"/>
  <c r="EU187" i="1"/>
  <c r="EU168" i="1"/>
  <c r="EU162" i="1"/>
  <c r="EU139" i="1"/>
  <c r="EU196" i="1"/>
  <c r="EU153" i="1"/>
  <c r="EU197" i="1"/>
  <c r="EU176" i="1"/>
  <c r="EU202" i="1"/>
  <c r="EU167" i="1"/>
  <c r="EU207" i="1"/>
  <c r="EU192" i="1"/>
  <c r="ET3" i="1"/>
  <c r="ET2" i="1"/>
  <c r="ET43" i="1"/>
  <c r="ET71" i="1"/>
  <c r="ET7" i="1"/>
  <c r="ET164" i="1"/>
  <c r="ET4" i="1"/>
  <c r="ET99" i="1"/>
  <c r="ET6" i="1"/>
  <c r="ET8" i="1"/>
  <c r="ET10" i="1"/>
  <c r="ET9" i="1"/>
  <c r="ET127" i="1"/>
  <c r="ET11" i="1"/>
  <c r="ET44" i="1"/>
  <c r="ET39" i="1"/>
  <c r="ET45" i="1"/>
  <c r="ET16" i="1"/>
  <c r="ET12" i="1"/>
  <c r="ET48" i="1"/>
  <c r="ET54" i="1"/>
  <c r="ET47" i="1"/>
  <c r="ET20" i="1"/>
  <c r="ET50" i="1"/>
  <c r="ET22" i="1"/>
  <c r="ET49" i="1"/>
  <c r="ET13" i="1"/>
  <c r="ET26" i="1"/>
  <c r="ET52" i="1"/>
  <c r="ET46" i="1"/>
  <c r="ET72" i="1"/>
  <c r="ET5" i="1"/>
  <c r="ET18" i="1"/>
  <c r="ET23" i="1"/>
  <c r="ET15" i="1"/>
  <c r="ET14" i="1"/>
  <c r="ET59" i="1"/>
  <c r="ET38" i="1"/>
  <c r="ET21" i="1"/>
  <c r="ET27" i="1"/>
  <c r="ET17" i="1"/>
  <c r="ET68" i="1"/>
  <c r="ET121" i="1"/>
  <c r="ET24" i="1"/>
  <c r="ET30" i="1"/>
  <c r="ET40" i="1"/>
  <c r="ET35" i="1"/>
  <c r="ET29" i="1"/>
  <c r="ET37" i="1"/>
  <c r="ET28" i="1"/>
  <c r="ET19" i="1"/>
  <c r="ET33" i="1"/>
  <c r="ET109" i="1"/>
  <c r="ET64" i="1"/>
  <c r="ET63" i="1"/>
  <c r="ET77" i="1"/>
  <c r="ET115" i="1"/>
  <c r="ET31" i="1"/>
  <c r="ET41" i="1"/>
  <c r="ET191" i="1"/>
  <c r="ET85" i="1"/>
  <c r="ET62" i="1"/>
  <c r="ET36" i="1"/>
  <c r="ET32" i="1"/>
  <c r="ET34" i="1"/>
  <c r="ET93" i="1"/>
  <c r="ET117" i="1"/>
  <c r="ET154" i="1"/>
  <c r="ET107" i="1"/>
  <c r="ET98" i="1"/>
  <c r="ET138" i="1"/>
  <c r="ET75" i="1"/>
  <c r="ET122" i="1"/>
  <c r="ET84" i="1"/>
  <c r="ET116" i="1"/>
  <c r="ET186" i="1"/>
  <c r="ET89" i="1"/>
  <c r="ET70" i="1"/>
  <c r="ET61" i="1"/>
  <c r="ET74" i="1"/>
  <c r="ET88" i="1"/>
  <c r="ET73" i="1"/>
  <c r="ET111" i="1"/>
  <c r="ET87" i="1"/>
  <c r="ET82" i="1"/>
  <c r="ET53" i="1"/>
  <c r="ET175" i="1"/>
  <c r="ET55" i="1"/>
  <c r="ET51" i="1"/>
  <c r="ET157" i="1"/>
  <c r="ET158" i="1"/>
  <c r="ET83" i="1"/>
  <c r="ET91" i="1"/>
  <c r="ET105" i="1"/>
  <c r="ET103" i="1"/>
  <c r="ET188" i="1"/>
  <c r="ET163" i="1"/>
  <c r="ET101" i="1"/>
  <c r="ET65" i="1"/>
  <c r="ET60" i="1"/>
  <c r="ET80" i="1"/>
  <c r="ET56" i="1"/>
  <c r="ET57" i="1"/>
  <c r="ET25" i="1"/>
  <c r="ET104" i="1"/>
  <c r="ET66" i="1"/>
  <c r="ET58" i="1"/>
  <c r="ET155" i="1"/>
  <c r="ET156" i="1"/>
  <c r="ET134" i="1"/>
  <c r="ET92" i="1"/>
  <c r="ET67" i="1"/>
  <c r="ET126" i="1"/>
  <c r="ET145" i="1"/>
  <c r="ET135" i="1"/>
  <c r="ET159" i="1"/>
  <c r="ET76" i="1"/>
  <c r="ET114" i="1"/>
  <c r="ET161" i="1"/>
  <c r="ET160" i="1"/>
  <c r="ET95" i="1"/>
  <c r="ET120" i="1"/>
  <c r="ET42" i="1"/>
  <c r="ET183" i="1"/>
  <c r="ET112" i="1"/>
  <c r="ET148" i="1"/>
  <c r="ET179" i="1"/>
  <c r="ET128" i="1"/>
  <c r="ET144" i="1"/>
  <c r="ET110" i="1"/>
  <c r="ET81" i="1"/>
  <c r="ET100" i="1"/>
  <c r="ET123" i="1"/>
  <c r="ET86" i="1"/>
  <c r="ET174" i="1"/>
  <c r="ET201" i="1"/>
  <c r="ET90" i="1"/>
  <c r="ET102" i="1"/>
  <c r="ET94" i="1"/>
  <c r="ET119" i="1"/>
  <c r="ET141" i="1"/>
  <c r="ET147" i="1"/>
  <c r="ET165" i="1"/>
  <c r="ET132" i="1"/>
  <c r="ET189" i="1"/>
  <c r="ET133" i="1"/>
  <c r="ET206" i="1"/>
  <c r="ET78" i="1"/>
  <c r="ET143" i="1"/>
  <c r="ET150" i="1"/>
  <c r="ET130" i="1"/>
  <c r="ET96" i="1"/>
  <c r="ET182" i="1"/>
  <c r="ET195" i="1"/>
  <c r="ET178" i="1"/>
  <c r="ET181" i="1"/>
  <c r="ET194" i="1"/>
  <c r="ET208" i="1"/>
  <c r="ET129" i="1"/>
  <c r="ET180" i="1"/>
  <c r="ET140" i="1"/>
  <c r="ET125" i="1"/>
  <c r="ET131" i="1"/>
  <c r="ET173" i="1"/>
  <c r="ET184" i="1"/>
  <c r="ET190" i="1"/>
  <c r="ET142" i="1"/>
  <c r="ET69" i="1"/>
  <c r="ET151" i="1"/>
  <c r="ET193" i="1"/>
  <c r="ET169" i="1"/>
  <c r="ET166" i="1"/>
  <c r="ET97" i="1"/>
  <c r="ET79" i="1"/>
  <c r="ET146" i="1"/>
  <c r="ET204" i="1"/>
  <c r="ET113" i="1"/>
  <c r="ET172" i="1"/>
  <c r="ET171" i="1"/>
  <c r="ET185" i="1"/>
  <c r="ET137" i="1"/>
  <c r="ET205" i="1"/>
  <c r="ET177" i="1"/>
  <c r="ET199" i="1"/>
  <c r="ET106" i="1"/>
  <c r="ET203" i="1"/>
  <c r="ET124" i="1"/>
  <c r="ET170" i="1"/>
  <c r="ET152" i="1"/>
  <c r="ET118" i="1"/>
  <c r="ET198" i="1"/>
  <c r="ET200" i="1"/>
  <c r="ET136" i="1"/>
  <c r="ET108" i="1"/>
  <c r="ET149" i="1"/>
  <c r="ET187" i="1"/>
  <c r="ET168" i="1"/>
  <c r="ET162" i="1"/>
  <c r="ET139" i="1"/>
  <c r="ET196" i="1"/>
  <c r="ET153" i="1"/>
  <c r="ET197" i="1"/>
  <c r="ET176" i="1"/>
  <c r="ET202" i="1"/>
  <c r="ET167" i="1"/>
  <c r="ET207" i="1"/>
  <c r="ET192" i="1"/>
  <c r="ES3" i="1"/>
  <c r="ES2" i="1"/>
  <c r="ES43" i="1"/>
  <c r="ES71" i="1"/>
  <c r="ES7" i="1"/>
  <c r="ES164" i="1"/>
  <c r="ES4" i="1"/>
  <c r="ES99" i="1"/>
  <c r="ES6" i="1"/>
  <c r="ES8" i="1"/>
  <c r="ES10" i="1"/>
  <c r="ES9" i="1"/>
  <c r="ES127" i="1"/>
  <c r="ES11" i="1"/>
  <c r="ES44" i="1"/>
  <c r="ES39" i="1"/>
  <c r="ES45" i="1"/>
  <c r="ES16" i="1"/>
  <c r="ES12" i="1"/>
  <c r="ES48" i="1"/>
  <c r="ES54" i="1"/>
  <c r="ES47" i="1"/>
  <c r="ES20" i="1"/>
  <c r="ES50" i="1"/>
  <c r="ES22" i="1"/>
  <c r="ES49" i="1"/>
  <c r="ES13" i="1"/>
  <c r="ES26" i="1"/>
  <c r="ES52" i="1"/>
  <c r="ES46" i="1"/>
  <c r="ES72" i="1"/>
  <c r="ES5" i="1"/>
  <c r="ES18" i="1"/>
  <c r="ES23" i="1"/>
  <c r="ES15" i="1"/>
  <c r="ES14" i="1"/>
  <c r="ES59" i="1"/>
  <c r="ES38" i="1"/>
  <c r="ES21" i="1"/>
  <c r="ES27" i="1"/>
  <c r="ES17" i="1"/>
  <c r="ES68" i="1"/>
  <c r="ES121" i="1"/>
  <c r="ES24" i="1"/>
  <c r="ES30" i="1"/>
  <c r="ES40" i="1"/>
  <c r="ES35" i="1"/>
  <c r="ES29" i="1"/>
  <c r="ES37" i="1"/>
  <c r="ES28" i="1"/>
  <c r="ES19" i="1"/>
  <c r="ES33" i="1"/>
  <c r="ES109" i="1"/>
  <c r="ES64" i="1"/>
  <c r="ES63" i="1"/>
  <c r="ES77" i="1"/>
  <c r="ES115" i="1"/>
  <c r="ES31" i="1"/>
  <c r="ES41" i="1"/>
  <c r="ES191" i="1"/>
  <c r="ES85" i="1"/>
  <c r="ES62" i="1"/>
  <c r="ES36" i="1"/>
  <c r="ES32" i="1"/>
  <c r="ES34" i="1"/>
  <c r="ES93" i="1"/>
  <c r="ES117" i="1"/>
  <c r="ES154" i="1"/>
  <c r="ES107" i="1"/>
  <c r="ES98" i="1"/>
  <c r="ES138" i="1"/>
  <c r="ES75" i="1"/>
  <c r="ES122" i="1"/>
  <c r="ES84" i="1"/>
  <c r="ES116" i="1"/>
  <c r="ES186" i="1"/>
  <c r="ES89" i="1"/>
  <c r="ES70" i="1"/>
  <c r="ES61" i="1"/>
  <c r="ES74" i="1"/>
  <c r="ES88" i="1"/>
  <c r="ES73" i="1"/>
  <c r="ES111" i="1"/>
  <c r="ES87" i="1"/>
  <c r="ES82" i="1"/>
  <c r="ES53" i="1"/>
  <c r="ES175" i="1"/>
  <c r="ES55" i="1"/>
  <c r="ES51" i="1"/>
  <c r="ES157" i="1"/>
  <c r="ES158" i="1"/>
  <c r="ES83" i="1"/>
  <c r="ES91" i="1"/>
  <c r="ES105" i="1"/>
  <c r="ES103" i="1"/>
  <c r="ES188" i="1"/>
  <c r="ES163" i="1"/>
  <c r="ES101" i="1"/>
  <c r="ES65" i="1"/>
  <c r="ES60" i="1"/>
  <c r="ES80" i="1"/>
  <c r="ES56" i="1"/>
  <c r="ES57" i="1"/>
  <c r="ES25" i="1"/>
  <c r="ES104" i="1"/>
  <c r="ES66" i="1"/>
  <c r="ES58" i="1"/>
  <c r="ES155" i="1"/>
  <c r="ES156" i="1"/>
  <c r="ES134" i="1"/>
  <c r="ES92" i="1"/>
  <c r="ES67" i="1"/>
  <c r="ES126" i="1"/>
  <c r="ES145" i="1"/>
  <c r="ES135" i="1"/>
  <c r="ES159" i="1"/>
  <c r="ES76" i="1"/>
  <c r="ES114" i="1"/>
  <c r="ES161" i="1"/>
  <c r="ES160" i="1"/>
  <c r="ES95" i="1"/>
  <c r="ES120" i="1"/>
  <c r="ES42" i="1"/>
  <c r="ES183" i="1"/>
  <c r="ES112" i="1"/>
  <c r="ES148" i="1"/>
  <c r="ES179" i="1"/>
  <c r="ES128" i="1"/>
  <c r="ES144" i="1"/>
  <c r="ES110" i="1"/>
  <c r="ES81" i="1"/>
  <c r="ES100" i="1"/>
  <c r="ES123" i="1"/>
  <c r="ES86" i="1"/>
  <c r="ES174" i="1"/>
  <c r="ES201" i="1"/>
  <c r="ES90" i="1"/>
  <c r="ES102" i="1"/>
  <c r="ES94" i="1"/>
  <c r="ES119" i="1"/>
  <c r="ES141" i="1"/>
  <c r="ES147" i="1"/>
  <c r="ES165" i="1"/>
  <c r="ES132" i="1"/>
  <c r="ES189" i="1"/>
  <c r="ES133" i="1"/>
  <c r="ES206" i="1"/>
  <c r="ES78" i="1"/>
  <c r="ES143" i="1"/>
  <c r="ES150" i="1"/>
  <c r="ES130" i="1"/>
  <c r="ES96" i="1"/>
  <c r="ES182" i="1"/>
  <c r="ES195" i="1"/>
  <c r="ES178" i="1"/>
  <c r="ES181" i="1"/>
  <c r="ES194" i="1"/>
  <c r="ES208" i="1"/>
  <c r="ES129" i="1"/>
  <c r="ES180" i="1"/>
  <c r="ES140" i="1"/>
  <c r="ES125" i="1"/>
  <c r="ES131" i="1"/>
  <c r="ES173" i="1"/>
  <c r="ES184" i="1"/>
  <c r="ES190" i="1"/>
  <c r="ES142" i="1"/>
  <c r="ES69" i="1"/>
  <c r="ES151" i="1"/>
  <c r="ES193" i="1"/>
  <c r="ES169" i="1"/>
  <c r="ES166" i="1"/>
  <c r="ES97" i="1"/>
  <c r="ES79" i="1"/>
  <c r="ES146" i="1"/>
  <c r="ES204" i="1"/>
  <c r="ES113" i="1"/>
  <c r="ES172" i="1"/>
  <c r="ES171" i="1"/>
  <c r="ES185" i="1"/>
  <c r="ES137" i="1"/>
  <c r="ES205" i="1"/>
  <c r="ES177" i="1"/>
  <c r="ES199" i="1"/>
  <c r="ES106" i="1"/>
  <c r="ES203" i="1"/>
  <c r="ES124" i="1"/>
  <c r="ES170" i="1"/>
  <c r="ES152" i="1"/>
  <c r="ES118" i="1"/>
  <c r="ES198" i="1"/>
  <c r="ES200" i="1"/>
  <c r="ES136" i="1"/>
  <c r="ES108" i="1"/>
  <c r="ES149" i="1"/>
  <c r="ES187" i="1"/>
  <c r="ES168" i="1"/>
  <c r="ES162" i="1"/>
  <c r="ES139" i="1"/>
  <c r="ES196" i="1"/>
  <c r="ES153" i="1"/>
  <c r="ES197" i="1"/>
  <c r="ES176" i="1"/>
  <c r="ES202" i="1"/>
  <c r="ES167" i="1"/>
  <c r="ES207" i="1"/>
  <c r="ES192" i="1"/>
  <c r="ER3" i="1"/>
  <c r="ER2" i="1"/>
  <c r="ER43" i="1"/>
  <c r="ER71" i="1"/>
  <c r="ER7" i="1"/>
  <c r="ER164" i="1"/>
  <c r="ER4" i="1"/>
  <c r="ER99" i="1"/>
  <c r="ER6" i="1"/>
  <c r="ER8" i="1"/>
  <c r="ER10" i="1"/>
  <c r="ER9" i="1"/>
  <c r="ER127" i="1"/>
  <c r="ER11" i="1"/>
  <c r="ER44" i="1"/>
  <c r="ER39" i="1"/>
  <c r="ER45" i="1"/>
  <c r="ER16" i="1"/>
  <c r="ER12" i="1"/>
  <c r="ER48" i="1"/>
  <c r="ER54" i="1"/>
  <c r="ER47" i="1"/>
  <c r="ER20" i="1"/>
  <c r="ER50" i="1"/>
  <c r="ER22" i="1"/>
  <c r="ER49" i="1"/>
  <c r="ER13" i="1"/>
  <c r="ER26" i="1"/>
  <c r="ER52" i="1"/>
  <c r="ER46" i="1"/>
  <c r="ER72" i="1"/>
  <c r="ER5" i="1"/>
  <c r="ER18" i="1"/>
  <c r="ER23" i="1"/>
  <c r="ER15" i="1"/>
  <c r="ER14" i="1"/>
  <c r="ER59" i="1"/>
  <c r="ER38" i="1"/>
  <c r="ER21" i="1"/>
  <c r="ER27" i="1"/>
  <c r="ER17" i="1"/>
  <c r="ER68" i="1"/>
  <c r="ER121" i="1"/>
  <c r="ER24" i="1"/>
  <c r="ER30" i="1"/>
  <c r="ER40" i="1"/>
  <c r="ER35" i="1"/>
  <c r="ER29" i="1"/>
  <c r="ER37" i="1"/>
  <c r="ER28" i="1"/>
  <c r="ER19" i="1"/>
  <c r="ER33" i="1"/>
  <c r="ER109" i="1"/>
  <c r="ER64" i="1"/>
  <c r="ER63" i="1"/>
  <c r="ER77" i="1"/>
  <c r="ER115" i="1"/>
  <c r="ER31" i="1"/>
  <c r="ER41" i="1"/>
  <c r="ER191" i="1"/>
  <c r="ER85" i="1"/>
  <c r="ER62" i="1"/>
  <c r="ER36" i="1"/>
  <c r="ER32" i="1"/>
  <c r="ER34" i="1"/>
  <c r="ER93" i="1"/>
  <c r="ER117" i="1"/>
  <c r="ER154" i="1"/>
  <c r="ER107" i="1"/>
  <c r="ER98" i="1"/>
  <c r="ER138" i="1"/>
  <c r="ER75" i="1"/>
  <c r="ER122" i="1"/>
  <c r="ER84" i="1"/>
  <c r="ER116" i="1"/>
  <c r="ER186" i="1"/>
  <c r="ER89" i="1"/>
  <c r="ER70" i="1"/>
  <c r="ER61" i="1"/>
  <c r="ER74" i="1"/>
  <c r="ER88" i="1"/>
  <c r="ER73" i="1"/>
  <c r="ER111" i="1"/>
  <c r="ER87" i="1"/>
  <c r="ER82" i="1"/>
  <c r="ER53" i="1"/>
  <c r="ER175" i="1"/>
  <c r="ER55" i="1"/>
  <c r="ER51" i="1"/>
  <c r="ER157" i="1"/>
  <c r="ER158" i="1"/>
  <c r="ER83" i="1"/>
  <c r="ER91" i="1"/>
  <c r="ER105" i="1"/>
  <c r="ER103" i="1"/>
  <c r="ER188" i="1"/>
  <c r="ER163" i="1"/>
  <c r="ER101" i="1"/>
  <c r="ER65" i="1"/>
  <c r="ER60" i="1"/>
  <c r="ER80" i="1"/>
  <c r="ER56" i="1"/>
  <c r="ER57" i="1"/>
  <c r="ER25" i="1"/>
  <c r="ER104" i="1"/>
  <c r="ER66" i="1"/>
  <c r="ER58" i="1"/>
  <c r="ER155" i="1"/>
  <c r="ER156" i="1"/>
  <c r="ER134" i="1"/>
  <c r="ER92" i="1"/>
  <c r="ER67" i="1"/>
  <c r="ER126" i="1"/>
  <c r="ER145" i="1"/>
  <c r="ER135" i="1"/>
  <c r="ER159" i="1"/>
  <c r="ER76" i="1"/>
  <c r="ER114" i="1"/>
  <c r="ER161" i="1"/>
  <c r="ER160" i="1"/>
  <c r="ER95" i="1"/>
  <c r="ER120" i="1"/>
  <c r="ER42" i="1"/>
  <c r="ER183" i="1"/>
  <c r="ER112" i="1"/>
  <c r="ER148" i="1"/>
  <c r="ER179" i="1"/>
  <c r="ER128" i="1"/>
  <c r="ER144" i="1"/>
  <c r="ER110" i="1"/>
  <c r="ER81" i="1"/>
  <c r="ER100" i="1"/>
  <c r="ER123" i="1"/>
  <c r="ER86" i="1"/>
  <c r="ER174" i="1"/>
  <c r="ER201" i="1"/>
  <c r="ER90" i="1"/>
  <c r="ER102" i="1"/>
  <c r="ER94" i="1"/>
  <c r="ER119" i="1"/>
  <c r="ER141" i="1"/>
  <c r="ER147" i="1"/>
  <c r="ER165" i="1"/>
  <c r="ER132" i="1"/>
  <c r="ER189" i="1"/>
  <c r="ER133" i="1"/>
  <c r="ER206" i="1"/>
  <c r="ER78" i="1"/>
  <c r="ER143" i="1"/>
  <c r="ER150" i="1"/>
  <c r="ER130" i="1"/>
  <c r="ER96" i="1"/>
  <c r="ER182" i="1"/>
  <c r="ER195" i="1"/>
  <c r="ER178" i="1"/>
  <c r="ER181" i="1"/>
  <c r="ER194" i="1"/>
  <c r="ER208" i="1"/>
  <c r="ER129" i="1"/>
  <c r="ER180" i="1"/>
  <c r="ER140" i="1"/>
  <c r="ER125" i="1"/>
  <c r="ER131" i="1"/>
  <c r="ER173" i="1"/>
  <c r="ER184" i="1"/>
  <c r="ER190" i="1"/>
  <c r="ER142" i="1"/>
  <c r="ER69" i="1"/>
  <c r="ER151" i="1"/>
  <c r="ER193" i="1"/>
  <c r="ER169" i="1"/>
  <c r="ER166" i="1"/>
  <c r="ER97" i="1"/>
  <c r="ER79" i="1"/>
  <c r="ER146" i="1"/>
  <c r="ER204" i="1"/>
  <c r="ER113" i="1"/>
  <c r="ER172" i="1"/>
  <c r="ER171" i="1"/>
  <c r="ER185" i="1"/>
  <c r="ER137" i="1"/>
  <c r="ER205" i="1"/>
  <c r="ER177" i="1"/>
  <c r="ER199" i="1"/>
  <c r="ER106" i="1"/>
  <c r="ER203" i="1"/>
  <c r="ER124" i="1"/>
  <c r="ER170" i="1"/>
  <c r="ER152" i="1"/>
  <c r="ER118" i="1"/>
  <c r="ER198" i="1"/>
  <c r="ER200" i="1"/>
  <c r="ER136" i="1"/>
  <c r="ER108" i="1"/>
  <c r="ER149" i="1"/>
  <c r="ER187" i="1"/>
  <c r="ER168" i="1"/>
  <c r="ER162" i="1"/>
  <c r="ER139" i="1"/>
  <c r="ER196" i="1"/>
  <c r="ER153" i="1"/>
  <c r="ER197" i="1"/>
  <c r="ER176" i="1"/>
  <c r="ER202" i="1"/>
  <c r="ER167" i="1"/>
  <c r="ER207" i="1"/>
  <c r="ER192" i="1"/>
  <c r="EQ3" i="1"/>
  <c r="EQ2" i="1"/>
  <c r="EQ43" i="1"/>
  <c r="EQ71" i="1"/>
  <c r="EQ7" i="1"/>
  <c r="EQ164" i="1"/>
  <c r="EQ4" i="1"/>
  <c r="EQ99" i="1"/>
  <c r="EQ6" i="1"/>
  <c r="EQ8" i="1"/>
  <c r="EQ10" i="1"/>
  <c r="EQ9" i="1"/>
  <c r="EQ127" i="1"/>
  <c r="EQ11" i="1"/>
  <c r="EQ44" i="1"/>
  <c r="EQ39" i="1"/>
  <c r="EQ45" i="1"/>
  <c r="EQ16" i="1"/>
  <c r="EQ12" i="1"/>
  <c r="EQ48" i="1"/>
  <c r="EQ54" i="1"/>
  <c r="EQ47" i="1"/>
  <c r="EQ20" i="1"/>
  <c r="EQ50" i="1"/>
  <c r="EQ22" i="1"/>
  <c r="EQ49" i="1"/>
  <c r="EQ13" i="1"/>
  <c r="EQ26" i="1"/>
  <c r="EQ52" i="1"/>
  <c r="EQ46" i="1"/>
  <c r="EQ72" i="1"/>
  <c r="EQ5" i="1"/>
  <c r="EQ18" i="1"/>
  <c r="EQ23" i="1"/>
  <c r="EQ15" i="1"/>
  <c r="EQ14" i="1"/>
  <c r="EQ59" i="1"/>
  <c r="EQ38" i="1"/>
  <c r="EQ21" i="1"/>
  <c r="EQ27" i="1"/>
  <c r="EQ17" i="1"/>
  <c r="EQ68" i="1"/>
  <c r="EQ121" i="1"/>
  <c r="EQ24" i="1"/>
  <c r="EQ30" i="1"/>
  <c r="EQ40" i="1"/>
  <c r="EQ35" i="1"/>
  <c r="EQ29" i="1"/>
  <c r="EQ37" i="1"/>
  <c r="EQ28" i="1"/>
  <c r="EQ19" i="1"/>
  <c r="EQ33" i="1"/>
  <c r="EQ109" i="1"/>
  <c r="EQ64" i="1"/>
  <c r="EQ63" i="1"/>
  <c r="EQ77" i="1"/>
  <c r="EQ115" i="1"/>
  <c r="EQ31" i="1"/>
  <c r="EQ41" i="1"/>
  <c r="EQ191" i="1"/>
  <c r="EQ85" i="1"/>
  <c r="EQ62" i="1"/>
  <c r="EQ36" i="1"/>
  <c r="EQ32" i="1"/>
  <c r="EQ34" i="1"/>
  <c r="EQ93" i="1"/>
  <c r="EQ117" i="1"/>
  <c r="EQ154" i="1"/>
  <c r="EQ107" i="1"/>
  <c r="EQ98" i="1"/>
  <c r="EQ138" i="1"/>
  <c r="EQ75" i="1"/>
  <c r="EQ122" i="1"/>
  <c r="EQ84" i="1"/>
  <c r="EQ116" i="1"/>
  <c r="EQ186" i="1"/>
  <c r="EQ89" i="1"/>
  <c r="EQ70" i="1"/>
  <c r="EQ61" i="1"/>
  <c r="EQ74" i="1"/>
  <c r="EQ88" i="1"/>
  <c r="EQ73" i="1"/>
  <c r="EQ111" i="1"/>
  <c r="EQ87" i="1"/>
  <c r="EQ82" i="1"/>
  <c r="EQ53" i="1"/>
  <c r="EQ175" i="1"/>
  <c r="EQ55" i="1"/>
  <c r="EQ51" i="1"/>
  <c r="EQ157" i="1"/>
  <c r="EQ158" i="1"/>
  <c r="EQ83" i="1"/>
  <c r="EQ91" i="1"/>
  <c r="EQ105" i="1"/>
  <c r="EQ103" i="1"/>
  <c r="EQ188" i="1"/>
  <c r="EQ163" i="1"/>
  <c r="EQ101" i="1"/>
  <c r="EQ65" i="1"/>
  <c r="EQ60" i="1"/>
  <c r="EQ80" i="1"/>
  <c r="EQ56" i="1"/>
  <c r="EQ57" i="1"/>
  <c r="EQ25" i="1"/>
  <c r="EQ104" i="1"/>
  <c r="EQ66" i="1"/>
  <c r="EQ58" i="1"/>
  <c r="EQ155" i="1"/>
  <c r="EQ156" i="1"/>
  <c r="EQ134" i="1"/>
  <c r="EQ92" i="1"/>
  <c r="EQ67" i="1"/>
  <c r="EQ126" i="1"/>
  <c r="EQ145" i="1"/>
  <c r="EQ135" i="1"/>
  <c r="EQ159" i="1"/>
  <c r="EQ76" i="1"/>
  <c r="EQ114" i="1"/>
  <c r="EQ161" i="1"/>
  <c r="EQ160" i="1"/>
  <c r="EQ95" i="1"/>
  <c r="EQ120" i="1"/>
  <c r="EQ42" i="1"/>
  <c r="EQ183" i="1"/>
  <c r="EQ112" i="1"/>
  <c r="EQ148" i="1"/>
  <c r="EQ179" i="1"/>
  <c r="EQ128" i="1"/>
  <c r="EQ144" i="1"/>
  <c r="EQ110" i="1"/>
  <c r="EQ81" i="1"/>
  <c r="EQ100" i="1"/>
  <c r="EQ123" i="1"/>
  <c r="EQ86" i="1"/>
  <c r="EQ174" i="1"/>
  <c r="EQ201" i="1"/>
  <c r="EQ90" i="1"/>
  <c r="EQ102" i="1"/>
  <c r="EQ94" i="1"/>
  <c r="EQ119" i="1"/>
  <c r="EQ141" i="1"/>
  <c r="EQ147" i="1"/>
  <c r="EQ165" i="1"/>
  <c r="EQ132" i="1"/>
  <c r="EQ189" i="1"/>
  <c r="EQ133" i="1"/>
  <c r="EQ206" i="1"/>
  <c r="EQ78" i="1"/>
  <c r="EQ143" i="1"/>
  <c r="EQ150" i="1"/>
  <c r="EQ130" i="1"/>
  <c r="EQ96" i="1"/>
  <c r="EQ182" i="1"/>
  <c r="EQ195" i="1"/>
  <c r="EQ178" i="1"/>
  <c r="EQ181" i="1"/>
  <c r="EQ194" i="1"/>
  <c r="EQ208" i="1"/>
  <c r="EQ129" i="1"/>
  <c r="EQ180" i="1"/>
  <c r="EQ140" i="1"/>
  <c r="EQ125" i="1"/>
  <c r="EQ131" i="1"/>
  <c r="EQ173" i="1"/>
  <c r="EQ184" i="1"/>
  <c r="EQ190" i="1"/>
  <c r="EQ142" i="1"/>
  <c r="EQ69" i="1"/>
  <c r="EQ151" i="1"/>
  <c r="EQ193" i="1"/>
  <c r="EQ169" i="1"/>
  <c r="EQ166" i="1"/>
  <c r="EQ97" i="1"/>
  <c r="EQ79" i="1"/>
  <c r="EQ146" i="1"/>
  <c r="EQ204" i="1"/>
  <c r="EQ113" i="1"/>
  <c r="EQ172" i="1"/>
  <c r="EQ171" i="1"/>
  <c r="EQ185" i="1"/>
  <c r="EQ137" i="1"/>
  <c r="EQ205" i="1"/>
  <c r="EQ177" i="1"/>
  <c r="EQ199" i="1"/>
  <c r="EQ106" i="1"/>
  <c r="EQ203" i="1"/>
  <c r="EQ124" i="1"/>
  <c r="EQ170" i="1"/>
  <c r="EQ152" i="1"/>
  <c r="EQ118" i="1"/>
  <c r="EQ198" i="1"/>
  <c r="EQ200" i="1"/>
  <c r="EQ136" i="1"/>
  <c r="EQ108" i="1"/>
  <c r="EQ149" i="1"/>
  <c r="EQ187" i="1"/>
  <c r="EQ168" i="1"/>
  <c r="EQ162" i="1"/>
  <c r="EQ139" i="1"/>
  <c r="EQ196" i="1"/>
  <c r="EQ153" i="1"/>
  <c r="EQ197" i="1"/>
  <c r="EQ176" i="1"/>
  <c r="EQ202" i="1"/>
  <c r="EQ167" i="1"/>
  <c r="EQ207" i="1"/>
  <c r="EQ192" i="1"/>
  <c r="EP3" i="1"/>
  <c r="EP2" i="1"/>
  <c r="EP43" i="1"/>
  <c r="EP71" i="1"/>
  <c r="EP7" i="1"/>
  <c r="EP164" i="1"/>
  <c r="EP4" i="1"/>
  <c r="EP99" i="1"/>
  <c r="EP6" i="1"/>
  <c r="EP8" i="1"/>
  <c r="EP10" i="1"/>
  <c r="EP9" i="1"/>
  <c r="EP127" i="1"/>
  <c r="EP11" i="1"/>
  <c r="EP44" i="1"/>
  <c r="EP39" i="1"/>
  <c r="EP45" i="1"/>
  <c r="EP16" i="1"/>
  <c r="EP12" i="1"/>
  <c r="EP48" i="1"/>
  <c r="EP54" i="1"/>
  <c r="EP47" i="1"/>
  <c r="EP20" i="1"/>
  <c r="EP50" i="1"/>
  <c r="EP22" i="1"/>
  <c r="EP49" i="1"/>
  <c r="EP13" i="1"/>
  <c r="EP26" i="1"/>
  <c r="EP52" i="1"/>
  <c r="EP46" i="1"/>
  <c r="EP72" i="1"/>
  <c r="EP5" i="1"/>
  <c r="EP18" i="1"/>
  <c r="EP23" i="1"/>
  <c r="EP15" i="1"/>
  <c r="EP14" i="1"/>
  <c r="EP59" i="1"/>
  <c r="EP38" i="1"/>
  <c r="EP21" i="1"/>
  <c r="EP27" i="1"/>
  <c r="EP17" i="1"/>
  <c r="EP68" i="1"/>
  <c r="EP121" i="1"/>
  <c r="EP24" i="1"/>
  <c r="EP30" i="1"/>
  <c r="EP40" i="1"/>
  <c r="EP35" i="1"/>
  <c r="EP29" i="1"/>
  <c r="EP37" i="1"/>
  <c r="EP28" i="1"/>
  <c r="EP19" i="1"/>
  <c r="EP33" i="1"/>
  <c r="EP109" i="1"/>
  <c r="EP64" i="1"/>
  <c r="EP63" i="1"/>
  <c r="EP77" i="1"/>
  <c r="EP115" i="1"/>
  <c r="EP31" i="1"/>
  <c r="EP41" i="1"/>
  <c r="EP191" i="1"/>
  <c r="EP85" i="1"/>
  <c r="EP62" i="1"/>
  <c r="EP36" i="1"/>
  <c r="EP32" i="1"/>
  <c r="EP34" i="1"/>
  <c r="EP93" i="1"/>
  <c r="EP117" i="1"/>
  <c r="EP154" i="1"/>
  <c r="EP107" i="1"/>
  <c r="EP98" i="1"/>
  <c r="EP138" i="1"/>
  <c r="EP75" i="1"/>
  <c r="EP122" i="1"/>
  <c r="EP84" i="1"/>
  <c r="EP116" i="1"/>
  <c r="EP186" i="1"/>
  <c r="EP89" i="1"/>
  <c r="EP70" i="1"/>
  <c r="EP61" i="1"/>
  <c r="EP74" i="1"/>
  <c r="EP88" i="1"/>
  <c r="EP73" i="1"/>
  <c r="EP111" i="1"/>
  <c r="EP87" i="1"/>
  <c r="EP82" i="1"/>
  <c r="EP53" i="1"/>
  <c r="EP175" i="1"/>
  <c r="EP55" i="1"/>
  <c r="EP51" i="1"/>
  <c r="EP157" i="1"/>
  <c r="EP158" i="1"/>
  <c r="EP83" i="1"/>
  <c r="EP91" i="1"/>
  <c r="EP105" i="1"/>
  <c r="EP103" i="1"/>
  <c r="EP188" i="1"/>
  <c r="EP163" i="1"/>
  <c r="EP101" i="1"/>
  <c r="EP65" i="1"/>
  <c r="EP60" i="1"/>
  <c r="EP80" i="1"/>
  <c r="EP56" i="1"/>
  <c r="EP57" i="1"/>
  <c r="EP25" i="1"/>
  <c r="EP104" i="1"/>
  <c r="EP66" i="1"/>
  <c r="EP58" i="1"/>
  <c r="EP155" i="1"/>
  <c r="EP156" i="1"/>
  <c r="EP134" i="1"/>
  <c r="EP92" i="1"/>
  <c r="EP67" i="1"/>
  <c r="EP126" i="1"/>
  <c r="EP145" i="1"/>
  <c r="EP135" i="1"/>
  <c r="EP159" i="1"/>
  <c r="EP76" i="1"/>
  <c r="EP114" i="1"/>
  <c r="EP161" i="1"/>
  <c r="EP160" i="1"/>
  <c r="EP95" i="1"/>
  <c r="EP120" i="1"/>
  <c r="EP42" i="1"/>
  <c r="EP183" i="1"/>
  <c r="EP112" i="1"/>
  <c r="EP148" i="1"/>
  <c r="EP179" i="1"/>
  <c r="EP128" i="1"/>
  <c r="EP144" i="1"/>
  <c r="EP110" i="1"/>
  <c r="EP81" i="1"/>
  <c r="EP100" i="1"/>
  <c r="EP123" i="1"/>
  <c r="EP86" i="1"/>
  <c r="EP174" i="1"/>
  <c r="EP201" i="1"/>
  <c r="EP90" i="1"/>
  <c r="EP102" i="1"/>
  <c r="EP94" i="1"/>
  <c r="EP119" i="1"/>
  <c r="EP141" i="1"/>
  <c r="EP147" i="1"/>
  <c r="EP165" i="1"/>
  <c r="EP132" i="1"/>
  <c r="EP189" i="1"/>
  <c r="EP133" i="1"/>
  <c r="EP206" i="1"/>
  <c r="EP78" i="1"/>
  <c r="EP143" i="1"/>
  <c r="EP150" i="1"/>
  <c r="EP130" i="1"/>
  <c r="EP96" i="1"/>
  <c r="EP182" i="1"/>
  <c r="EP195" i="1"/>
  <c r="EP178" i="1"/>
  <c r="EP181" i="1"/>
  <c r="EP194" i="1"/>
  <c r="EP208" i="1"/>
  <c r="EP129" i="1"/>
  <c r="EP180" i="1"/>
  <c r="EP140" i="1"/>
  <c r="EP125" i="1"/>
  <c r="EP131" i="1"/>
  <c r="EP173" i="1"/>
  <c r="EP184" i="1"/>
  <c r="EP190" i="1"/>
  <c r="EP142" i="1"/>
  <c r="EP69" i="1"/>
  <c r="EP151" i="1"/>
  <c r="EP193" i="1"/>
  <c r="EP169" i="1"/>
  <c r="EP166" i="1"/>
  <c r="EP97" i="1"/>
  <c r="EP79" i="1"/>
  <c r="EP146" i="1"/>
  <c r="EP204" i="1"/>
  <c r="EP113" i="1"/>
  <c r="EP172" i="1"/>
  <c r="EP171" i="1"/>
  <c r="EP185" i="1"/>
  <c r="EP137" i="1"/>
  <c r="EP205" i="1"/>
  <c r="EP177" i="1"/>
  <c r="EP199" i="1"/>
  <c r="EP106" i="1"/>
  <c r="EP203" i="1"/>
  <c r="EP124" i="1"/>
  <c r="EP170" i="1"/>
  <c r="EP152" i="1"/>
  <c r="EP118" i="1"/>
  <c r="EP198" i="1"/>
  <c r="EP200" i="1"/>
  <c r="EP136" i="1"/>
  <c r="EP108" i="1"/>
  <c r="EP149" i="1"/>
  <c r="EP187" i="1"/>
  <c r="EP168" i="1"/>
  <c r="EP162" i="1"/>
  <c r="EP139" i="1"/>
  <c r="EP196" i="1"/>
  <c r="EP153" i="1"/>
  <c r="EP197" i="1"/>
  <c r="EP176" i="1"/>
  <c r="EP202" i="1"/>
  <c r="EP167" i="1"/>
  <c r="EP207" i="1"/>
  <c r="EP192" i="1"/>
  <c r="EO3" i="1"/>
  <c r="EO2" i="1"/>
  <c r="EO43" i="1"/>
  <c r="EO71" i="1"/>
  <c r="EO7" i="1"/>
  <c r="EO164" i="1"/>
  <c r="EO4" i="1"/>
  <c r="EO99" i="1"/>
  <c r="EO6" i="1"/>
  <c r="EO8" i="1"/>
  <c r="EO10" i="1"/>
  <c r="EO9" i="1"/>
  <c r="EO127" i="1"/>
  <c r="EO11" i="1"/>
  <c r="EO44" i="1"/>
  <c r="EO39" i="1"/>
  <c r="EO45" i="1"/>
  <c r="EO16" i="1"/>
  <c r="EO12" i="1"/>
  <c r="EO48" i="1"/>
  <c r="EO54" i="1"/>
  <c r="EO47" i="1"/>
  <c r="EO20" i="1"/>
  <c r="EO50" i="1"/>
  <c r="EO22" i="1"/>
  <c r="EO49" i="1"/>
  <c r="EO13" i="1"/>
  <c r="EO26" i="1"/>
  <c r="EO52" i="1"/>
  <c r="EO46" i="1"/>
  <c r="EO72" i="1"/>
  <c r="EO5" i="1"/>
  <c r="EO18" i="1"/>
  <c r="EO23" i="1"/>
  <c r="EO15" i="1"/>
  <c r="EO14" i="1"/>
  <c r="EO59" i="1"/>
  <c r="EO38" i="1"/>
  <c r="EO21" i="1"/>
  <c r="EO27" i="1"/>
  <c r="EO17" i="1"/>
  <c r="EO68" i="1"/>
  <c r="EO121" i="1"/>
  <c r="EO24" i="1"/>
  <c r="EO30" i="1"/>
  <c r="EO40" i="1"/>
  <c r="EO35" i="1"/>
  <c r="EO29" i="1"/>
  <c r="EO37" i="1"/>
  <c r="EO28" i="1"/>
  <c r="EO19" i="1"/>
  <c r="EO33" i="1"/>
  <c r="EO109" i="1"/>
  <c r="EO64" i="1"/>
  <c r="EO63" i="1"/>
  <c r="EO77" i="1"/>
  <c r="EO115" i="1"/>
  <c r="EO31" i="1"/>
  <c r="EO41" i="1"/>
  <c r="EO191" i="1"/>
  <c r="EO85" i="1"/>
  <c r="EO62" i="1"/>
  <c r="EO36" i="1"/>
  <c r="EO32" i="1"/>
  <c r="EO34" i="1"/>
  <c r="EO93" i="1"/>
  <c r="EO117" i="1"/>
  <c r="EO154" i="1"/>
  <c r="EO107" i="1"/>
  <c r="EO98" i="1"/>
  <c r="EO138" i="1"/>
  <c r="EO75" i="1"/>
  <c r="EO122" i="1"/>
  <c r="EO84" i="1"/>
  <c r="EO116" i="1"/>
  <c r="EO186" i="1"/>
  <c r="EO89" i="1"/>
  <c r="EO70" i="1"/>
  <c r="EO61" i="1"/>
  <c r="EO74" i="1"/>
  <c r="EO88" i="1"/>
  <c r="EO73" i="1"/>
  <c r="EO111" i="1"/>
  <c r="EO87" i="1"/>
  <c r="EO82" i="1"/>
  <c r="EO53" i="1"/>
  <c r="EO175" i="1"/>
  <c r="EO55" i="1"/>
  <c r="EO51" i="1"/>
  <c r="EO157" i="1"/>
  <c r="EO158" i="1"/>
  <c r="EO83" i="1"/>
  <c r="EO91" i="1"/>
  <c r="EO105" i="1"/>
  <c r="EO103" i="1"/>
  <c r="EO188" i="1"/>
  <c r="EO163" i="1"/>
  <c r="EO101" i="1"/>
  <c r="EO65" i="1"/>
  <c r="EO60" i="1"/>
  <c r="EO80" i="1"/>
  <c r="EO56" i="1"/>
  <c r="EO57" i="1"/>
  <c r="EO25" i="1"/>
  <c r="EO104" i="1"/>
  <c r="EO66" i="1"/>
  <c r="EO58" i="1"/>
  <c r="EO155" i="1"/>
  <c r="EO156" i="1"/>
  <c r="EO134" i="1"/>
  <c r="EO92" i="1"/>
  <c r="EO67" i="1"/>
  <c r="EO126" i="1"/>
  <c r="EO145" i="1"/>
  <c r="EO135" i="1"/>
  <c r="EO159" i="1"/>
  <c r="EO76" i="1"/>
  <c r="EO114" i="1"/>
  <c r="EO161" i="1"/>
  <c r="EO160" i="1"/>
  <c r="EO95" i="1"/>
  <c r="EO120" i="1"/>
  <c r="EO42" i="1"/>
  <c r="EO183" i="1"/>
  <c r="EO112" i="1"/>
  <c r="EO148" i="1"/>
  <c r="EO179" i="1"/>
  <c r="EO128" i="1"/>
  <c r="EO144" i="1"/>
  <c r="EO110" i="1"/>
  <c r="EO81" i="1"/>
  <c r="EO100" i="1"/>
  <c r="EO123" i="1"/>
  <c r="EO86" i="1"/>
  <c r="EO174" i="1"/>
  <c r="EO201" i="1"/>
  <c r="EO90" i="1"/>
  <c r="EO102" i="1"/>
  <c r="EO94" i="1"/>
  <c r="EO119" i="1"/>
  <c r="EO141" i="1"/>
  <c r="EO147" i="1"/>
  <c r="EO165" i="1"/>
  <c r="EO132" i="1"/>
  <c r="EO189" i="1"/>
  <c r="EO133" i="1"/>
  <c r="EO206" i="1"/>
  <c r="EO78" i="1"/>
  <c r="EO143" i="1"/>
  <c r="EO150" i="1"/>
  <c r="EO130" i="1"/>
  <c r="EO96" i="1"/>
  <c r="EO182" i="1"/>
  <c r="EO195" i="1"/>
  <c r="EO178" i="1"/>
  <c r="EO181" i="1"/>
  <c r="EO194" i="1"/>
  <c r="EO208" i="1"/>
  <c r="EO129" i="1"/>
  <c r="EO180" i="1"/>
  <c r="EO140" i="1"/>
  <c r="EO125" i="1"/>
  <c r="EO131" i="1"/>
  <c r="EO173" i="1"/>
  <c r="EO184" i="1"/>
  <c r="EO190" i="1"/>
  <c r="EO142" i="1"/>
  <c r="EO69" i="1"/>
  <c r="EO151" i="1"/>
  <c r="EO193" i="1"/>
  <c r="EO169" i="1"/>
  <c r="EO166" i="1"/>
  <c r="EO97" i="1"/>
  <c r="EO79" i="1"/>
  <c r="EO146" i="1"/>
  <c r="EO204" i="1"/>
  <c r="EO113" i="1"/>
  <c r="EO172" i="1"/>
  <c r="EO171" i="1"/>
  <c r="EO185" i="1"/>
  <c r="EO137" i="1"/>
  <c r="EO205" i="1"/>
  <c r="EO177" i="1"/>
  <c r="EO199" i="1"/>
  <c r="EO106" i="1"/>
  <c r="EO203" i="1"/>
  <c r="EO124" i="1"/>
  <c r="EO170" i="1"/>
  <c r="EO152" i="1"/>
  <c r="EO118" i="1"/>
  <c r="EO198" i="1"/>
  <c r="EO200" i="1"/>
  <c r="EO136" i="1"/>
  <c r="EO108" i="1"/>
  <c r="EO149" i="1"/>
  <c r="EO187" i="1"/>
  <c r="EO168" i="1"/>
  <c r="EO162" i="1"/>
  <c r="EO139" i="1"/>
  <c r="EO196" i="1"/>
  <c r="EO153" i="1"/>
  <c r="EO197" i="1"/>
  <c r="EO176" i="1"/>
  <c r="EO202" i="1"/>
  <c r="EO167" i="1"/>
  <c r="EO207" i="1"/>
  <c r="EO192" i="1"/>
  <c r="EN3" i="1"/>
  <c r="EN2" i="1"/>
  <c r="EN43" i="1"/>
  <c r="EN71" i="1"/>
  <c r="EN7" i="1"/>
  <c r="EN164" i="1"/>
  <c r="EN4" i="1"/>
  <c r="EN99" i="1"/>
  <c r="EN6" i="1"/>
  <c r="EN8" i="1"/>
  <c r="EN10" i="1"/>
  <c r="EN9" i="1"/>
  <c r="EN127" i="1"/>
  <c r="EN11" i="1"/>
  <c r="EN44" i="1"/>
  <c r="EN39" i="1"/>
  <c r="EN45" i="1"/>
  <c r="EN16" i="1"/>
  <c r="EN12" i="1"/>
  <c r="EN48" i="1"/>
  <c r="EN54" i="1"/>
  <c r="EN47" i="1"/>
  <c r="EN20" i="1"/>
  <c r="EN50" i="1"/>
  <c r="EN22" i="1"/>
  <c r="EN49" i="1"/>
  <c r="EN13" i="1"/>
  <c r="EN26" i="1"/>
  <c r="EN52" i="1"/>
  <c r="EN46" i="1"/>
  <c r="EN72" i="1"/>
  <c r="EN5" i="1"/>
  <c r="EN18" i="1"/>
  <c r="EN23" i="1"/>
  <c r="EN15" i="1"/>
  <c r="EN14" i="1"/>
  <c r="EN59" i="1"/>
  <c r="EN38" i="1"/>
  <c r="EN21" i="1"/>
  <c r="EN27" i="1"/>
  <c r="EN17" i="1"/>
  <c r="EN68" i="1"/>
  <c r="EN121" i="1"/>
  <c r="EN24" i="1"/>
  <c r="EN30" i="1"/>
  <c r="EN40" i="1"/>
  <c r="EN35" i="1"/>
  <c r="EN29" i="1"/>
  <c r="EN37" i="1"/>
  <c r="EN28" i="1"/>
  <c r="EN19" i="1"/>
  <c r="EN33" i="1"/>
  <c r="EN109" i="1"/>
  <c r="EN64" i="1"/>
  <c r="EN63" i="1"/>
  <c r="EN77" i="1"/>
  <c r="EN115" i="1"/>
  <c r="EN31" i="1"/>
  <c r="EN41" i="1"/>
  <c r="EN191" i="1"/>
  <c r="EN85" i="1"/>
  <c r="EN62" i="1"/>
  <c r="EN36" i="1"/>
  <c r="EN32" i="1"/>
  <c r="EN34" i="1"/>
  <c r="EN93" i="1"/>
  <c r="EN117" i="1"/>
  <c r="EN154" i="1"/>
  <c r="EN107" i="1"/>
  <c r="EN98" i="1"/>
  <c r="EN138" i="1"/>
  <c r="EN75" i="1"/>
  <c r="EN122" i="1"/>
  <c r="EN84" i="1"/>
  <c r="EN116" i="1"/>
  <c r="EN186" i="1"/>
  <c r="EN89" i="1"/>
  <c r="EN70" i="1"/>
  <c r="EN61" i="1"/>
  <c r="EN74" i="1"/>
  <c r="EN88" i="1"/>
  <c r="EN73" i="1"/>
  <c r="EN111" i="1"/>
  <c r="EN87" i="1"/>
  <c r="EN82" i="1"/>
  <c r="EN53" i="1"/>
  <c r="EN175" i="1"/>
  <c r="EN55" i="1"/>
  <c r="EN51" i="1"/>
  <c r="EN157" i="1"/>
  <c r="EN158" i="1"/>
  <c r="EN83" i="1"/>
  <c r="EN91" i="1"/>
  <c r="EN105" i="1"/>
  <c r="EN103" i="1"/>
  <c r="EN188" i="1"/>
  <c r="EN163" i="1"/>
  <c r="EN101" i="1"/>
  <c r="EN65" i="1"/>
  <c r="EN60" i="1"/>
  <c r="EN80" i="1"/>
  <c r="EN56" i="1"/>
  <c r="EN57" i="1"/>
  <c r="EN25" i="1"/>
  <c r="EN104" i="1"/>
  <c r="EN66" i="1"/>
  <c r="EN58" i="1"/>
  <c r="EN155" i="1"/>
  <c r="EN156" i="1"/>
  <c r="EN134" i="1"/>
  <c r="EN92" i="1"/>
  <c r="EN67" i="1"/>
  <c r="EN126" i="1"/>
  <c r="EN145" i="1"/>
  <c r="EN135" i="1"/>
  <c r="EN159" i="1"/>
  <c r="EN76" i="1"/>
  <c r="EN114" i="1"/>
  <c r="EN161" i="1"/>
  <c r="EN160" i="1"/>
  <c r="EN95" i="1"/>
  <c r="EN120" i="1"/>
  <c r="EN42" i="1"/>
  <c r="EN183" i="1"/>
  <c r="EN112" i="1"/>
  <c r="EN148" i="1"/>
  <c r="EN179" i="1"/>
  <c r="EN128" i="1"/>
  <c r="EN144" i="1"/>
  <c r="EN110" i="1"/>
  <c r="EN81" i="1"/>
  <c r="EN100" i="1"/>
  <c r="EN123" i="1"/>
  <c r="EN86" i="1"/>
  <c r="EN174" i="1"/>
  <c r="EN201" i="1"/>
  <c r="EN90" i="1"/>
  <c r="EN102" i="1"/>
  <c r="EN94" i="1"/>
  <c r="EN119" i="1"/>
  <c r="EN141" i="1"/>
  <c r="EN147" i="1"/>
  <c r="EN165" i="1"/>
  <c r="EN132" i="1"/>
  <c r="EN189" i="1"/>
  <c r="EN133" i="1"/>
  <c r="EN206" i="1"/>
  <c r="EN78" i="1"/>
  <c r="EN143" i="1"/>
  <c r="EN150" i="1"/>
  <c r="EN130" i="1"/>
  <c r="EN96" i="1"/>
  <c r="EN182" i="1"/>
  <c r="EN195" i="1"/>
  <c r="EN178" i="1"/>
  <c r="EN181" i="1"/>
  <c r="EN194" i="1"/>
  <c r="EN208" i="1"/>
  <c r="EN129" i="1"/>
  <c r="EN180" i="1"/>
  <c r="EN140" i="1"/>
  <c r="EN125" i="1"/>
  <c r="EN131" i="1"/>
  <c r="EN173" i="1"/>
  <c r="EN184" i="1"/>
  <c r="EN190" i="1"/>
  <c r="EN142" i="1"/>
  <c r="EN69" i="1"/>
  <c r="EN151" i="1"/>
  <c r="EN193" i="1"/>
  <c r="EN169" i="1"/>
  <c r="EN166" i="1"/>
  <c r="EN97" i="1"/>
  <c r="EN79" i="1"/>
  <c r="EN146" i="1"/>
  <c r="EN204" i="1"/>
  <c r="EN113" i="1"/>
  <c r="EN172" i="1"/>
  <c r="EN171" i="1"/>
  <c r="EN185" i="1"/>
  <c r="EN137" i="1"/>
  <c r="EN205" i="1"/>
  <c r="EN177" i="1"/>
  <c r="EN199" i="1"/>
  <c r="EN106" i="1"/>
  <c r="EN203" i="1"/>
  <c r="EN124" i="1"/>
  <c r="EN170" i="1"/>
  <c r="EN152" i="1"/>
  <c r="EN118" i="1"/>
  <c r="EN198" i="1"/>
  <c r="EN200" i="1"/>
  <c r="EN136" i="1"/>
  <c r="EN108" i="1"/>
  <c r="EN149" i="1"/>
  <c r="EN187" i="1"/>
  <c r="EN168" i="1"/>
  <c r="EN162" i="1"/>
  <c r="EN139" i="1"/>
  <c r="EN196" i="1"/>
  <c r="EN153" i="1"/>
  <c r="EN197" i="1"/>
  <c r="EN176" i="1"/>
  <c r="EN202" i="1"/>
  <c r="EN167" i="1"/>
  <c r="EN207" i="1"/>
  <c r="EN192" i="1"/>
  <c r="EM3" i="1"/>
  <c r="EM2" i="1"/>
  <c r="EM43" i="1"/>
  <c r="EM71" i="1"/>
  <c r="EM7" i="1"/>
  <c r="EM164" i="1"/>
  <c r="EM4" i="1"/>
  <c r="EM99" i="1"/>
  <c r="EM6" i="1"/>
  <c r="EM8" i="1"/>
  <c r="EM10" i="1"/>
  <c r="EM9" i="1"/>
  <c r="EM127" i="1"/>
  <c r="EM11" i="1"/>
  <c r="EM44" i="1"/>
  <c r="EM39" i="1"/>
  <c r="EM45" i="1"/>
  <c r="EM16" i="1"/>
  <c r="EM12" i="1"/>
  <c r="EM48" i="1"/>
  <c r="EM54" i="1"/>
  <c r="EM47" i="1"/>
  <c r="EM20" i="1"/>
  <c r="EM50" i="1"/>
  <c r="EM22" i="1"/>
  <c r="EM49" i="1"/>
  <c r="EM13" i="1"/>
  <c r="EM26" i="1"/>
  <c r="EM52" i="1"/>
  <c r="EM46" i="1"/>
  <c r="EM72" i="1"/>
  <c r="EM5" i="1"/>
  <c r="EM18" i="1"/>
  <c r="EM23" i="1"/>
  <c r="EM15" i="1"/>
  <c r="EM14" i="1"/>
  <c r="EM59" i="1"/>
  <c r="EM38" i="1"/>
  <c r="EM21" i="1"/>
  <c r="EM27" i="1"/>
  <c r="EM17" i="1"/>
  <c r="EM68" i="1"/>
  <c r="EM121" i="1"/>
  <c r="EM24" i="1"/>
  <c r="EM30" i="1"/>
  <c r="EM40" i="1"/>
  <c r="EM35" i="1"/>
  <c r="EM29" i="1"/>
  <c r="EM37" i="1"/>
  <c r="EM28" i="1"/>
  <c r="EM19" i="1"/>
  <c r="EM33" i="1"/>
  <c r="EM109" i="1"/>
  <c r="EM64" i="1"/>
  <c r="EM63" i="1"/>
  <c r="EM77" i="1"/>
  <c r="EM115" i="1"/>
  <c r="EM31" i="1"/>
  <c r="EM41" i="1"/>
  <c r="EM191" i="1"/>
  <c r="EM85" i="1"/>
  <c r="EM62" i="1"/>
  <c r="EM36" i="1"/>
  <c r="EM32" i="1"/>
  <c r="EM34" i="1"/>
  <c r="EM93" i="1"/>
  <c r="EM117" i="1"/>
  <c r="EM154" i="1"/>
  <c r="EM107" i="1"/>
  <c r="EM98" i="1"/>
  <c r="EM138" i="1"/>
  <c r="EM75" i="1"/>
  <c r="EM122" i="1"/>
  <c r="EM84" i="1"/>
  <c r="EM116" i="1"/>
  <c r="EM186" i="1"/>
  <c r="EM89" i="1"/>
  <c r="EM70" i="1"/>
  <c r="EM61" i="1"/>
  <c r="EM74" i="1"/>
  <c r="EM88" i="1"/>
  <c r="EM73" i="1"/>
  <c r="EM111" i="1"/>
  <c r="EM87" i="1"/>
  <c r="EM82" i="1"/>
  <c r="EM53" i="1"/>
  <c r="EM175" i="1"/>
  <c r="EM55" i="1"/>
  <c r="EM51" i="1"/>
  <c r="EM157" i="1"/>
  <c r="EM158" i="1"/>
  <c r="EM83" i="1"/>
  <c r="EM91" i="1"/>
  <c r="EM105" i="1"/>
  <c r="EM103" i="1"/>
  <c r="EM188" i="1"/>
  <c r="EM163" i="1"/>
  <c r="EM101" i="1"/>
  <c r="EM65" i="1"/>
  <c r="EM60" i="1"/>
  <c r="EM80" i="1"/>
  <c r="EM56" i="1"/>
  <c r="EM57" i="1"/>
  <c r="EM25" i="1"/>
  <c r="EM104" i="1"/>
  <c r="EM66" i="1"/>
  <c r="EM58" i="1"/>
  <c r="EM155" i="1"/>
  <c r="EM156" i="1"/>
  <c r="EM134" i="1"/>
  <c r="EM92" i="1"/>
  <c r="EM67" i="1"/>
  <c r="EM126" i="1"/>
  <c r="EM145" i="1"/>
  <c r="EM135" i="1"/>
  <c r="EM159" i="1"/>
  <c r="EM76" i="1"/>
  <c r="EM114" i="1"/>
  <c r="EM161" i="1"/>
  <c r="EM160" i="1"/>
  <c r="EM95" i="1"/>
  <c r="EM120" i="1"/>
  <c r="EM42" i="1"/>
  <c r="EM183" i="1"/>
  <c r="EM112" i="1"/>
  <c r="EM148" i="1"/>
  <c r="EM179" i="1"/>
  <c r="EM128" i="1"/>
  <c r="EM144" i="1"/>
  <c r="EM110" i="1"/>
  <c r="EM81" i="1"/>
  <c r="EM100" i="1"/>
  <c r="EM123" i="1"/>
  <c r="EM86" i="1"/>
  <c r="EM174" i="1"/>
  <c r="EM201" i="1"/>
  <c r="EM90" i="1"/>
  <c r="EM102" i="1"/>
  <c r="EM94" i="1"/>
  <c r="EM119" i="1"/>
  <c r="EM141" i="1"/>
  <c r="EM147" i="1"/>
  <c r="EM165" i="1"/>
  <c r="EM132" i="1"/>
  <c r="EM189" i="1"/>
  <c r="EM133" i="1"/>
  <c r="EM206" i="1"/>
  <c r="EM78" i="1"/>
  <c r="EM143" i="1"/>
  <c r="EM150" i="1"/>
  <c r="EM130" i="1"/>
  <c r="EM96" i="1"/>
  <c r="EM182" i="1"/>
  <c r="EM195" i="1"/>
  <c r="EM178" i="1"/>
  <c r="EM181" i="1"/>
  <c r="EM194" i="1"/>
  <c r="EM208" i="1"/>
  <c r="EM129" i="1"/>
  <c r="EM180" i="1"/>
  <c r="EM140" i="1"/>
  <c r="EM125" i="1"/>
  <c r="EM131" i="1"/>
  <c r="EM173" i="1"/>
  <c r="EM184" i="1"/>
  <c r="EM190" i="1"/>
  <c r="EM142" i="1"/>
  <c r="EM69" i="1"/>
  <c r="EM151" i="1"/>
  <c r="EM193" i="1"/>
  <c r="EM169" i="1"/>
  <c r="EM166" i="1"/>
  <c r="EM97" i="1"/>
  <c r="EM79" i="1"/>
  <c r="EM146" i="1"/>
  <c r="EM204" i="1"/>
  <c r="EM113" i="1"/>
  <c r="EM172" i="1"/>
  <c r="EM171" i="1"/>
  <c r="EM185" i="1"/>
  <c r="EM137" i="1"/>
  <c r="EM205" i="1"/>
  <c r="EM177" i="1"/>
  <c r="EM199" i="1"/>
  <c r="EM106" i="1"/>
  <c r="EM203" i="1"/>
  <c r="EM124" i="1"/>
  <c r="EM170" i="1"/>
  <c r="EM152" i="1"/>
  <c r="EM118" i="1"/>
  <c r="EM198" i="1"/>
  <c r="EM200" i="1"/>
  <c r="EM136" i="1"/>
  <c r="EM108" i="1"/>
  <c r="EM149" i="1"/>
  <c r="EM187" i="1"/>
  <c r="EM168" i="1"/>
  <c r="EM162" i="1"/>
  <c r="EM139" i="1"/>
  <c r="EM196" i="1"/>
  <c r="EM153" i="1"/>
  <c r="EM197" i="1"/>
  <c r="EM176" i="1"/>
  <c r="EM202" i="1"/>
  <c r="EM167" i="1"/>
  <c r="EM207" i="1"/>
  <c r="EM192" i="1"/>
  <c r="EL3" i="1"/>
  <c r="EL2" i="1"/>
  <c r="EL43" i="1"/>
  <c r="EL71" i="1"/>
  <c r="EL7" i="1"/>
  <c r="EL164" i="1"/>
  <c r="EL4" i="1"/>
  <c r="EL99" i="1"/>
  <c r="EL6" i="1"/>
  <c r="EL8" i="1"/>
  <c r="EL10" i="1"/>
  <c r="EL9" i="1"/>
  <c r="EL127" i="1"/>
  <c r="EL11" i="1"/>
  <c r="EL44" i="1"/>
  <c r="EL39" i="1"/>
  <c r="EL45" i="1"/>
  <c r="EL16" i="1"/>
  <c r="EL12" i="1"/>
  <c r="EL48" i="1"/>
  <c r="EL54" i="1"/>
  <c r="EL47" i="1"/>
  <c r="EL20" i="1"/>
  <c r="EL50" i="1"/>
  <c r="EL22" i="1"/>
  <c r="EL49" i="1"/>
  <c r="EL13" i="1"/>
  <c r="EL26" i="1"/>
  <c r="EL52" i="1"/>
  <c r="EL46" i="1"/>
  <c r="EL72" i="1"/>
  <c r="EL5" i="1"/>
  <c r="EL18" i="1"/>
  <c r="EL23" i="1"/>
  <c r="EL15" i="1"/>
  <c r="EL14" i="1"/>
  <c r="EL59" i="1"/>
  <c r="EL38" i="1"/>
  <c r="EL21" i="1"/>
  <c r="EL27" i="1"/>
  <c r="EL17" i="1"/>
  <c r="EL68" i="1"/>
  <c r="EL121" i="1"/>
  <c r="EL24" i="1"/>
  <c r="EL30" i="1"/>
  <c r="EL40" i="1"/>
  <c r="EL35" i="1"/>
  <c r="EL29" i="1"/>
  <c r="EL37" i="1"/>
  <c r="EL28" i="1"/>
  <c r="EL19" i="1"/>
  <c r="EL33" i="1"/>
  <c r="EL109" i="1"/>
  <c r="EL64" i="1"/>
  <c r="EL63" i="1"/>
  <c r="EL77" i="1"/>
  <c r="EL115" i="1"/>
  <c r="EL31" i="1"/>
  <c r="EL41" i="1"/>
  <c r="EL191" i="1"/>
  <c r="EL85" i="1"/>
  <c r="EL62" i="1"/>
  <c r="EL36" i="1"/>
  <c r="EL32" i="1"/>
  <c r="EL34" i="1"/>
  <c r="EL93" i="1"/>
  <c r="EL117" i="1"/>
  <c r="EL154" i="1"/>
  <c r="EL107" i="1"/>
  <c r="EL98" i="1"/>
  <c r="EL138" i="1"/>
  <c r="EL75" i="1"/>
  <c r="EL122" i="1"/>
  <c r="EL84" i="1"/>
  <c r="EL116" i="1"/>
  <c r="EL186" i="1"/>
  <c r="EL89" i="1"/>
  <c r="EL70" i="1"/>
  <c r="EL61" i="1"/>
  <c r="EL74" i="1"/>
  <c r="EL88" i="1"/>
  <c r="EL73" i="1"/>
  <c r="EL111" i="1"/>
  <c r="EL87" i="1"/>
  <c r="EL82" i="1"/>
  <c r="EL53" i="1"/>
  <c r="EL175" i="1"/>
  <c r="EL55" i="1"/>
  <c r="EL51" i="1"/>
  <c r="EL157" i="1"/>
  <c r="EL158" i="1"/>
  <c r="EL83" i="1"/>
  <c r="EL91" i="1"/>
  <c r="EL105" i="1"/>
  <c r="EL103" i="1"/>
  <c r="EL188" i="1"/>
  <c r="EL163" i="1"/>
  <c r="EL101" i="1"/>
  <c r="EL65" i="1"/>
  <c r="EL60" i="1"/>
  <c r="EL80" i="1"/>
  <c r="EL56" i="1"/>
  <c r="EL57" i="1"/>
  <c r="EL25" i="1"/>
  <c r="EL104" i="1"/>
  <c r="EL66" i="1"/>
  <c r="EL58" i="1"/>
  <c r="EL155" i="1"/>
  <c r="EL156" i="1"/>
  <c r="EL134" i="1"/>
  <c r="EL92" i="1"/>
  <c r="EL67" i="1"/>
  <c r="EL126" i="1"/>
  <c r="EL145" i="1"/>
  <c r="EL135" i="1"/>
  <c r="EL159" i="1"/>
  <c r="EL76" i="1"/>
  <c r="EL114" i="1"/>
  <c r="EL161" i="1"/>
  <c r="EL160" i="1"/>
  <c r="EL95" i="1"/>
  <c r="EL120" i="1"/>
  <c r="EL42" i="1"/>
  <c r="EL183" i="1"/>
  <c r="EL112" i="1"/>
  <c r="EL148" i="1"/>
  <c r="EL179" i="1"/>
  <c r="EL128" i="1"/>
  <c r="EL144" i="1"/>
  <c r="EL110" i="1"/>
  <c r="EL81" i="1"/>
  <c r="EL100" i="1"/>
  <c r="EL123" i="1"/>
  <c r="EL86" i="1"/>
  <c r="EL174" i="1"/>
  <c r="EL201" i="1"/>
  <c r="EL90" i="1"/>
  <c r="EL102" i="1"/>
  <c r="EL94" i="1"/>
  <c r="EL119" i="1"/>
  <c r="EL141" i="1"/>
  <c r="EL147" i="1"/>
  <c r="EL165" i="1"/>
  <c r="EL132" i="1"/>
  <c r="EL189" i="1"/>
  <c r="EL133" i="1"/>
  <c r="EL206" i="1"/>
  <c r="EL78" i="1"/>
  <c r="EL143" i="1"/>
  <c r="EL150" i="1"/>
  <c r="EL130" i="1"/>
  <c r="EL96" i="1"/>
  <c r="EL182" i="1"/>
  <c r="EL195" i="1"/>
  <c r="EL178" i="1"/>
  <c r="EL181" i="1"/>
  <c r="EL194" i="1"/>
  <c r="EL208" i="1"/>
  <c r="EL129" i="1"/>
  <c r="EL180" i="1"/>
  <c r="EL140" i="1"/>
  <c r="EL125" i="1"/>
  <c r="EL131" i="1"/>
  <c r="EL173" i="1"/>
  <c r="EL184" i="1"/>
  <c r="EL190" i="1"/>
  <c r="EL142" i="1"/>
  <c r="EL69" i="1"/>
  <c r="EL151" i="1"/>
  <c r="EL193" i="1"/>
  <c r="EL169" i="1"/>
  <c r="EL166" i="1"/>
  <c r="EL97" i="1"/>
  <c r="EL79" i="1"/>
  <c r="EL146" i="1"/>
  <c r="EL204" i="1"/>
  <c r="EL113" i="1"/>
  <c r="EL172" i="1"/>
  <c r="EL171" i="1"/>
  <c r="EL185" i="1"/>
  <c r="EL137" i="1"/>
  <c r="EL205" i="1"/>
  <c r="EL177" i="1"/>
  <c r="EL199" i="1"/>
  <c r="EL106" i="1"/>
  <c r="EL203" i="1"/>
  <c r="EL124" i="1"/>
  <c r="EL170" i="1"/>
  <c r="EL152" i="1"/>
  <c r="EL118" i="1"/>
  <c r="EL198" i="1"/>
  <c r="EL200" i="1"/>
  <c r="EL136" i="1"/>
  <c r="EL108" i="1"/>
  <c r="EL149" i="1"/>
  <c r="EL187" i="1"/>
  <c r="EL168" i="1"/>
  <c r="EL162" i="1"/>
  <c r="EL139" i="1"/>
  <c r="EL196" i="1"/>
  <c r="EL153" i="1"/>
  <c r="EL197" i="1"/>
  <c r="EL176" i="1"/>
  <c r="EL202" i="1"/>
  <c r="EL167" i="1"/>
  <c r="EL207" i="1"/>
  <c r="EL192" i="1"/>
  <c r="EK3" i="1"/>
  <c r="EK2" i="1"/>
  <c r="EK43" i="1"/>
  <c r="EK71" i="1"/>
  <c r="EK7" i="1"/>
  <c r="EK164" i="1"/>
  <c r="EK4" i="1"/>
  <c r="EK99" i="1"/>
  <c r="EK6" i="1"/>
  <c r="EK8" i="1"/>
  <c r="EK10" i="1"/>
  <c r="EK9" i="1"/>
  <c r="EK127" i="1"/>
  <c r="EK11" i="1"/>
  <c r="EK44" i="1"/>
  <c r="EK39" i="1"/>
  <c r="EK45" i="1"/>
  <c r="EK16" i="1"/>
  <c r="EK12" i="1"/>
  <c r="EK48" i="1"/>
  <c r="EK54" i="1"/>
  <c r="EK47" i="1"/>
  <c r="EK20" i="1"/>
  <c r="EK50" i="1"/>
  <c r="EK22" i="1"/>
  <c r="EK49" i="1"/>
  <c r="EK13" i="1"/>
  <c r="EK26" i="1"/>
  <c r="EK52" i="1"/>
  <c r="EK46" i="1"/>
  <c r="EK72" i="1"/>
  <c r="EK5" i="1"/>
  <c r="EK18" i="1"/>
  <c r="EK23" i="1"/>
  <c r="EK15" i="1"/>
  <c r="EK14" i="1"/>
  <c r="EK59" i="1"/>
  <c r="EK38" i="1"/>
  <c r="EK21" i="1"/>
  <c r="EK27" i="1"/>
  <c r="EK17" i="1"/>
  <c r="EK68" i="1"/>
  <c r="EK121" i="1"/>
  <c r="EK24" i="1"/>
  <c r="EK30" i="1"/>
  <c r="EK40" i="1"/>
  <c r="EK35" i="1"/>
  <c r="EK29" i="1"/>
  <c r="EK37" i="1"/>
  <c r="EK28" i="1"/>
  <c r="EK19" i="1"/>
  <c r="EK33" i="1"/>
  <c r="EK109" i="1"/>
  <c r="EK64" i="1"/>
  <c r="EK63" i="1"/>
  <c r="EK77" i="1"/>
  <c r="EK115" i="1"/>
  <c r="EK31" i="1"/>
  <c r="EK41" i="1"/>
  <c r="EK191" i="1"/>
  <c r="EK85" i="1"/>
  <c r="EK62" i="1"/>
  <c r="EK36" i="1"/>
  <c r="EK32" i="1"/>
  <c r="EK34" i="1"/>
  <c r="EK93" i="1"/>
  <c r="EK117" i="1"/>
  <c r="EK154" i="1"/>
  <c r="EK107" i="1"/>
  <c r="EK98" i="1"/>
  <c r="EK138" i="1"/>
  <c r="EK75" i="1"/>
  <c r="EK122" i="1"/>
  <c r="EK84" i="1"/>
  <c r="EK116" i="1"/>
  <c r="EK186" i="1"/>
  <c r="EK89" i="1"/>
  <c r="EK70" i="1"/>
  <c r="EK61" i="1"/>
  <c r="EK74" i="1"/>
  <c r="EK88" i="1"/>
  <c r="EK73" i="1"/>
  <c r="EK111" i="1"/>
  <c r="EK87" i="1"/>
  <c r="EK82" i="1"/>
  <c r="EK53" i="1"/>
  <c r="EK175" i="1"/>
  <c r="EK55" i="1"/>
  <c r="EK51" i="1"/>
  <c r="EK157" i="1"/>
  <c r="EK158" i="1"/>
  <c r="EK83" i="1"/>
  <c r="EK91" i="1"/>
  <c r="EK105" i="1"/>
  <c r="EK103" i="1"/>
  <c r="EK188" i="1"/>
  <c r="EK163" i="1"/>
  <c r="EK101" i="1"/>
  <c r="EK65" i="1"/>
  <c r="EK60" i="1"/>
  <c r="EK80" i="1"/>
  <c r="EK56" i="1"/>
  <c r="EK57" i="1"/>
  <c r="EK25" i="1"/>
  <c r="EK104" i="1"/>
  <c r="EK66" i="1"/>
  <c r="EK58" i="1"/>
  <c r="EK155" i="1"/>
  <c r="EK156" i="1"/>
  <c r="EK134" i="1"/>
  <c r="EK92" i="1"/>
  <c r="EK67" i="1"/>
  <c r="EK126" i="1"/>
  <c r="EK145" i="1"/>
  <c r="EK135" i="1"/>
  <c r="EK159" i="1"/>
  <c r="EK76" i="1"/>
  <c r="EK114" i="1"/>
  <c r="EK161" i="1"/>
  <c r="EK160" i="1"/>
  <c r="EK95" i="1"/>
  <c r="EK120" i="1"/>
  <c r="EK42" i="1"/>
  <c r="EK183" i="1"/>
  <c r="EK112" i="1"/>
  <c r="EK148" i="1"/>
  <c r="EK179" i="1"/>
  <c r="EK128" i="1"/>
  <c r="EK144" i="1"/>
  <c r="EK110" i="1"/>
  <c r="EK81" i="1"/>
  <c r="EK100" i="1"/>
  <c r="EK123" i="1"/>
  <c r="EK86" i="1"/>
  <c r="EK174" i="1"/>
  <c r="EK201" i="1"/>
  <c r="EK90" i="1"/>
  <c r="EK102" i="1"/>
  <c r="EK94" i="1"/>
  <c r="EK119" i="1"/>
  <c r="EK141" i="1"/>
  <c r="EK147" i="1"/>
  <c r="EK165" i="1"/>
  <c r="EK132" i="1"/>
  <c r="EK189" i="1"/>
  <c r="EK133" i="1"/>
  <c r="EK206" i="1"/>
  <c r="EK78" i="1"/>
  <c r="EK143" i="1"/>
  <c r="EK150" i="1"/>
  <c r="EK130" i="1"/>
  <c r="EK96" i="1"/>
  <c r="EK182" i="1"/>
  <c r="EK195" i="1"/>
  <c r="EK178" i="1"/>
  <c r="EK181" i="1"/>
  <c r="EK194" i="1"/>
  <c r="EK208" i="1"/>
  <c r="EK129" i="1"/>
  <c r="EK180" i="1"/>
  <c r="EK140" i="1"/>
  <c r="EK125" i="1"/>
  <c r="EK131" i="1"/>
  <c r="EK173" i="1"/>
  <c r="EK184" i="1"/>
  <c r="EK190" i="1"/>
  <c r="EK142" i="1"/>
  <c r="EK69" i="1"/>
  <c r="EK151" i="1"/>
  <c r="EK193" i="1"/>
  <c r="EK169" i="1"/>
  <c r="EK166" i="1"/>
  <c r="EK97" i="1"/>
  <c r="EK79" i="1"/>
  <c r="EK146" i="1"/>
  <c r="EK204" i="1"/>
  <c r="EK113" i="1"/>
  <c r="EK172" i="1"/>
  <c r="EK171" i="1"/>
  <c r="EK185" i="1"/>
  <c r="EK137" i="1"/>
  <c r="EK205" i="1"/>
  <c r="EK177" i="1"/>
  <c r="EK199" i="1"/>
  <c r="EK106" i="1"/>
  <c r="EK203" i="1"/>
  <c r="EK124" i="1"/>
  <c r="EK170" i="1"/>
  <c r="EK152" i="1"/>
  <c r="EK118" i="1"/>
  <c r="EK198" i="1"/>
  <c r="EK200" i="1"/>
  <c r="EK136" i="1"/>
  <c r="EK108" i="1"/>
  <c r="EK149" i="1"/>
  <c r="EK187" i="1"/>
  <c r="EK168" i="1"/>
  <c r="EK162" i="1"/>
  <c r="EK139" i="1"/>
  <c r="EK196" i="1"/>
  <c r="EK153" i="1"/>
  <c r="EK197" i="1"/>
  <c r="EK176" i="1"/>
  <c r="EK202" i="1"/>
  <c r="EK167" i="1"/>
  <c r="EK207" i="1"/>
  <c r="EK192" i="1"/>
  <c r="EJ3" i="1"/>
  <c r="EJ2" i="1"/>
  <c r="EJ43" i="1"/>
  <c r="EJ71" i="1"/>
  <c r="EJ7" i="1"/>
  <c r="EJ164" i="1"/>
  <c r="EJ4" i="1"/>
  <c r="EJ99" i="1"/>
  <c r="EJ6" i="1"/>
  <c r="EJ8" i="1"/>
  <c r="EJ10" i="1"/>
  <c r="EJ9" i="1"/>
  <c r="EJ127" i="1"/>
  <c r="EJ11" i="1"/>
  <c r="EJ44" i="1"/>
  <c r="EJ39" i="1"/>
  <c r="EJ45" i="1"/>
  <c r="EJ16" i="1"/>
  <c r="EJ12" i="1"/>
  <c r="EJ48" i="1"/>
  <c r="EJ54" i="1"/>
  <c r="EJ47" i="1"/>
  <c r="EJ20" i="1"/>
  <c r="EJ50" i="1"/>
  <c r="EJ22" i="1"/>
  <c r="EJ49" i="1"/>
  <c r="EJ13" i="1"/>
  <c r="EJ26" i="1"/>
  <c r="EJ52" i="1"/>
  <c r="EJ46" i="1"/>
  <c r="EJ72" i="1"/>
  <c r="EJ5" i="1"/>
  <c r="EJ18" i="1"/>
  <c r="EJ23" i="1"/>
  <c r="EJ15" i="1"/>
  <c r="EJ14" i="1"/>
  <c r="EJ59" i="1"/>
  <c r="EJ38" i="1"/>
  <c r="EJ21" i="1"/>
  <c r="EJ27" i="1"/>
  <c r="EJ17" i="1"/>
  <c r="EJ68" i="1"/>
  <c r="EJ121" i="1"/>
  <c r="EJ24" i="1"/>
  <c r="EJ30" i="1"/>
  <c r="EJ40" i="1"/>
  <c r="EJ35" i="1"/>
  <c r="EJ29" i="1"/>
  <c r="EJ37" i="1"/>
  <c r="EJ28" i="1"/>
  <c r="EJ19" i="1"/>
  <c r="EJ33" i="1"/>
  <c r="EJ109" i="1"/>
  <c r="EJ64" i="1"/>
  <c r="EJ63" i="1"/>
  <c r="EJ77" i="1"/>
  <c r="EJ115" i="1"/>
  <c r="EJ31" i="1"/>
  <c r="EJ41" i="1"/>
  <c r="EJ191" i="1"/>
  <c r="EJ85" i="1"/>
  <c r="EJ62" i="1"/>
  <c r="EJ36" i="1"/>
  <c r="EJ32" i="1"/>
  <c r="EJ34" i="1"/>
  <c r="EJ93" i="1"/>
  <c r="EJ117" i="1"/>
  <c r="EJ154" i="1"/>
  <c r="EJ107" i="1"/>
  <c r="EJ98" i="1"/>
  <c r="EJ138" i="1"/>
  <c r="EJ75" i="1"/>
  <c r="EJ122" i="1"/>
  <c r="EJ84" i="1"/>
  <c r="EJ116" i="1"/>
  <c r="EJ186" i="1"/>
  <c r="EJ89" i="1"/>
  <c r="EJ70" i="1"/>
  <c r="EJ61" i="1"/>
  <c r="EJ74" i="1"/>
  <c r="EJ88" i="1"/>
  <c r="EJ73" i="1"/>
  <c r="EJ111" i="1"/>
  <c r="EJ87" i="1"/>
  <c r="EJ82" i="1"/>
  <c r="EJ53" i="1"/>
  <c r="EJ175" i="1"/>
  <c r="EJ55" i="1"/>
  <c r="EJ51" i="1"/>
  <c r="EJ157" i="1"/>
  <c r="EJ158" i="1"/>
  <c r="EJ83" i="1"/>
  <c r="EJ91" i="1"/>
  <c r="EJ105" i="1"/>
  <c r="EJ103" i="1"/>
  <c r="EJ188" i="1"/>
  <c r="EJ163" i="1"/>
  <c r="EJ101" i="1"/>
  <c r="EJ65" i="1"/>
  <c r="EJ60" i="1"/>
  <c r="EJ80" i="1"/>
  <c r="EJ56" i="1"/>
  <c r="EJ57" i="1"/>
  <c r="EJ25" i="1"/>
  <c r="EJ104" i="1"/>
  <c r="EJ66" i="1"/>
  <c r="EJ58" i="1"/>
  <c r="EJ155" i="1"/>
  <c r="EJ156" i="1"/>
  <c r="EJ134" i="1"/>
  <c r="EJ92" i="1"/>
  <c r="EJ67" i="1"/>
  <c r="EJ126" i="1"/>
  <c r="EJ145" i="1"/>
  <c r="EJ135" i="1"/>
  <c r="EJ159" i="1"/>
  <c r="EJ76" i="1"/>
  <c r="EJ114" i="1"/>
  <c r="EJ161" i="1"/>
  <c r="EJ160" i="1"/>
  <c r="EJ95" i="1"/>
  <c r="EJ120" i="1"/>
  <c r="EJ42" i="1"/>
  <c r="EJ183" i="1"/>
  <c r="EJ112" i="1"/>
  <c r="EJ148" i="1"/>
  <c r="EJ179" i="1"/>
  <c r="EJ128" i="1"/>
  <c r="EJ144" i="1"/>
  <c r="EJ110" i="1"/>
  <c r="EJ81" i="1"/>
  <c r="EJ100" i="1"/>
  <c r="EJ123" i="1"/>
  <c r="EJ86" i="1"/>
  <c r="EJ174" i="1"/>
  <c r="EJ201" i="1"/>
  <c r="EJ90" i="1"/>
  <c r="EJ102" i="1"/>
  <c r="EJ94" i="1"/>
  <c r="EJ119" i="1"/>
  <c r="EJ141" i="1"/>
  <c r="EJ147" i="1"/>
  <c r="EJ165" i="1"/>
  <c r="EJ132" i="1"/>
  <c r="EJ189" i="1"/>
  <c r="EJ133" i="1"/>
  <c r="EJ206" i="1"/>
  <c r="EJ78" i="1"/>
  <c r="EJ143" i="1"/>
  <c r="EJ150" i="1"/>
  <c r="EJ130" i="1"/>
  <c r="EJ96" i="1"/>
  <c r="EJ182" i="1"/>
  <c r="EJ195" i="1"/>
  <c r="EJ178" i="1"/>
  <c r="EJ181" i="1"/>
  <c r="EJ194" i="1"/>
  <c r="EJ208" i="1"/>
  <c r="EJ129" i="1"/>
  <c r="EJ180" i="1"/>
  <c r="EJ140" i="1"/>
  <c r="EJ125" i="1"/>
  <c r="EJ131" i="1"/>
  <c r="EJ173" i="1"/>
  <c r="EJ184" i="1"/>
  <c r="EJ190" i="1"/>
  <c r="EJ142" i="1"/>
  <c r="EJ69" i="1"/>
  <c r="EJ151" i="1"/>
  <c r="EJ193" i="1"/>
  <c r="EJ169" i="1"/>
  <c r="EJ166" i="1"/>
  <c r="EJ97" i="1"/>
  <c r="EJ79" i="1"/>
  <c r="EJ146" i="1"/>
  <c r="EJ204" i="1"/>
  <c r="EJ113" i="1"/>
  <c r="EJ172" i="1"/>
  <c r="EJ171" i="1"/>
  <c r="EJ185" i="1"/>
  <c r="EJ137" i="1"/>
  <c r="EJ205" i="1"/>
  <c r="EJ177" i="1"/>
  <c r="EJ199" i="1"/>
  <c r="EJ106" i="1"/>
  <c r="EJ203" i="1"/>
  <c r="EJ124" i="1"/>
  <c r="EJ170" i="1"/>
  <c r="EJ152" i="1"/>
  <c r="EJ118" i="1"/>
  <c r="EJ198" i="1"/>
  <c r="EJ200" i="1"/>
  <c r="EJ136" i="1"/>
  <c r="EJ108" i="1"/>
  <c r="EJ149" i="1"/>
  <c r="EJ187" i="1"/>
  <c r="EJ168" i="1"/>
  <c r="EJ162" i="1"/>
  <c r="EJ139" i="1"/>
  <c r="EJ196" i="1"/>
  <c r="EJ153" i="1"/>
  <c r="EJ197" i="1"/>
  <c r="EJ176" i="1"/>
  <c r="EJ202" i="1"/>
  <c r="EJ167" i="1"/>
  <c r="EJ207" i="1"/>
  <c r="EJ192" i="1"/>
  <c r="EI3" i="1"/>
  <c r="EI2" i="1"/>
  <c r="EI43" i="1"/>
  <c r="EI71" i="1"/>
  <c r="EI7" i="1"/>
  <c r="EI164" i="1"/>
  <c r="EI4" i="1"/>
  <c r="EI99" i="1"/>
  <c r="EI6" i="1"/>
  <c r="EI8" i="1"/>
  <c r="EI10" i="1"/>
  <c r="EI9" i="1"/>
  <c r="EI127" i="1"/>
  <c r="EI11" i="1"/>
  <c r="EI44" i="1"/>
  <c r="EI39" i="1"/>
  <c r="EI45" i="1"/>
  <c r="EI16" i="1"/>
  <c r="EI12" i="1"/>
  <c r="EI48" i="1"/>
  <c r="EI54" i="1"/>
  <c r="EI47" i="1"/>
  <c r="EI20" i="1"/>
  <c r="EI50" i="1"/>
  <c r="EI22" i="1"/>
  <c r="EI49" i="1"/>
  <c r="EI13" i="1"/>
  <c r="EI26" i="1"/>
  <c r="EI52" i="1"/>
  <c r="EI46" i="1"/>
  <c r="EI72" i="1"/>
  <c r="EI5" i="1"/>
  <c r="EI18" i="1"/>
  <c r="EI23" i="1"/>
  <c r="EI15" i="1"/>
  <c r="EI14" i="1"/>
  <c r="EI59" i="1"/>
  <c r="EI38" i="1"/>
  <c r="EI21" i="1"/>
  <c r="EI27" i="1"/>
  <c r="EI17" i="1"/>
  <c r="EI68" i="1"/>
  <c r="EI121" i="1"/>
  <c r="EI24" i="1"/>
  <c r="EI30" i="1"/>
  <c r="EI40" i="1"/>
  <c r="EI35" i="1"/>
  <c r="EI29" i="1"/>
  <c r="EI37" i="1"/>
  <c r="EI28" i="1"/>
  <c r="EI19" i="1"/>
  <c r="EI33" i="1"/>
  <c r="EI109" i="1"/>
  <c r="EI64" i="1"/>
  <c r="EI63" i="1"/>
  <c r="EI77" i="1"/>
  <c r="EI115" i="1"/>
  <c r="EI31" i="1"/>
  <c r="EI41" i="1"/>
  <c r="EI191" i="1"/>
  <c r="EI85" i="1"/>
  <c r="EI62" i="1"/>
  <c r="EI36" i="1"/>
  <c r="EI32" i="1"/>
  <c r="EI34" i="1"/>
  <c r="EI93" i="1"/>
  <c r="EI117" i="1"/>
  <c r="EI154" i="1"/>
  <c r="EI107" i="1"/>
  <c r="EI98" i="1"/>
  <c r="EI138" i="1"/>
  <c r="EI75" i="1"/>
  <c r="EI122" i="1"/>
  <c r="EI84" i="1"/>
  <c r="EI116" i="1"/>
  <c r="EI186" i="1"/>
  <c r="EI89" i="1"/>
  <c r="EI70" i="1"/>
  <c r="EI61" i="1"/>
  <c r="EI74" i="1"/>
  <c r="EI88" i="1"/>
  <c r="EI73" i="1"/>
  <c r="EI111" i="1"/>
  <c r="EI87" i="1"/>
  <c r="EI82" i="1"/>
  <c r="EI53" i="1"/>
  <c r="EI175" i="1"/>
  <c r="EI55" i="1"/>
  <c r="EI51" i="1"/>
  <c r="EI157" i="1"/>
  <c r="EI158" i="1"/>
  <c r="EI83" i="1"/>
  <c r="EI91" i="1"/>
  <c r="EI105" i="1"/>
  <c r="EI103" i="1"/>
  <c r="EI188" i="1"/>
  <c r="EI163" i="1"/>
  <c r="EI101" i="1"/>
  <c r="EI65" i="1"/>
  <c r="EI60" i="1"/>
  <c r="EI80" i="1"/>
  <c r="EI56" i="1"/>
  <c r="EI57" i="1"/>
  <c r="EI25" i="1"/>
  <c r="EI104" i="1"/>
  <c r="EI66" i="1"/>
  <c r="EI58" i="1"/>
  <c r="EI155" i="1"/>
  <c r="EI156" i="1"/>
  <c r="EI134" i="1"/>
  <c r="EI92" i="1"/>
  <c r="EI67" i="1"/>
  <c r="EI126" i="1"/>
  <c r="EI145" i="1"/>
  <c r="EI135" i="1"/>
  <c r="EI159" i="1"/>
  <c r="EI76" i="1"/>
  <c r="EI114" i="1"/>
  <c r="EI161" i="1"/>
  <c r="EI160" i="1"/>
  <c r="EI95" i="1"/>
  <c r="EI120" i="1"/>
  <c r="EI42" i="1"/>
  <c r="EI183" i="1"/>
  <c r="EI112" i="1"/>
  <c r="EI148" i="1"/>
  <c r="EI179" i="1"/>
  <c r="EI128" i="1"/>
  <c r="EI144" i="1"/>
  <c r="EI110" i="1"/>
  <c r="EI81" i="1"/>
  <c r="EI100" i="1"/>
  <c r="EI123" i="1"/>
  <c r="EI86" i="1"/>
  <c r="EI174" i="1"/>
  <c r="EI201" i="1"/>
  <c r="EI90" i="1"/>
  <c r="EI102" i="1"/>
  <c r="EI94" i="1"/>
  <c r="EI119" i="1"/>
  <c r="EI141" i="1"/>
  <c r="EI147" i="1"/>
  <c r="EI165" i="1"/>
  <c r="EI132" i="1"/>
  <c r="EI189" i="1"/>
  <c r="EI133" i="1"/>
  <c r="EI206" i="1"/>
  <c r="EI78" i="1"/>
  <c r="EI143" i="1"/>
  <c r="EI150" i="1"/>
  <c r="EI130" i="1"/>
  <c r="EI96" i="1"/>
  <c r="EI182" i="1"/>
  <c r="EI195" i="1"/>
  <c r="EI178" i="1"/>
  <c r="EI181" i="1"/>
  <c r="EI194" i="1"/>
  <c r="EI208" i="1"/>
  <c r="EI129" i="1"/>
  <c r="EI180" i="1"/>
  <c r="EI140" i="1"/>
  <c r="EI125" i="1"/>
  <c r="EI131" i="1"/>
  <c r="EI173" i="1"/>
  <c r="EI184" i="1"/>
  <c r="EI190" i="1"/>
  <c r="EI142" i="1"/>
  <c r="EI69" i="1"/>
  <c r="EI151" i="1"/>
  <c r="EI193" i="1"/>
  <c r="EI169" i="1"/>
  <c r="EI166" i="1"/>
  <c r="EI97" i="1"/>
  <c r="EI79" i="1"/>
  <c r="EI146" i="1"/>
  <c r="EI204" i="1"/>
  <c r="EI113" i="1"/>
  <c r="EI172" i="1"/>
  <c r="EI171" i="1"/>
  <c r="EI185" i="1"/>
  <c r="EI137" i="1"/>
  <c r="EI205" i="1"/>
  <c r="EI177" i="1"/>
  <c r="EI199" i="1"/>
  <c r="EI106" i="1"/>
  <c r="EI203" i="1"/>
  <c r="EI124" i="1"/>
  <c r="EI170" i="1"/>
  <c r="EI152" i="1"/>
  <c r="EI118" i="1"/>
  <c r="EI198" i="1"/>
  <c r="EI200" i="1"/>
  <c r="EI136" i="1"/>
  <c r="EI108" i="1"/>
  <c r="EI149" i="1"/>
  <c r="EI187" i="1"/>
  <c r="EI168" i="1"/>
  <c r="EI162" i="1"/>
  <c r="EI139" i="1"/>
  <c r="EI196" i="1"/>
  <c r="EI153" i="1"/>
  <c r="EI197" i="1"/>
  <c r="EI176" i="1"/>
  <c r="EI202" i="1"/>
  <c r="EI167" i="1"/>
  <c r="EI207" i="1"/>
  <c r="EI192" i="1"/>
  <c r="EH3" i="1"/>
  <c r="EH2" i="1"/>
  <c r="EH43" i="1"/>
  <c r="EH71" i="1"/>
  <c r="EH7" i="1"/>
  <c r="EH164" i="1"/>
  <c r="EH4" i="1"/>
  <c r="EH99" i="1"/>
  <c r="EH6" i="1"/>
  <c r="EH8" i="1"/>
  <c r="EH10" i="1"/>
  <c r="EH9" i="1"/>
  <c r="EH127" i="1"/>
  <c r="EH11" i="1"/>
  <c r="EH44" i="1"/>
  <c r="EH39" i="1"/>
  <c r="EH45" i="1"/>
  <c r="EH16" i="1"/>
  <c r="EH12" i="1"/>
  <c r="EH48" i="1"/>
  <c r="EH54" i="1"/>
  <c r="EH47" i="1"/>
  <c r="EH20" i="1"/>
  <c r="EH50" i="1"/>
  <c r="EH22" i="1"/>
  <c r="EH49" i="1"/>
  <c r="EH13" i="1"/>
  <c r="EH26" i="1"/>
  <c r="EH52" i="1"/>
  <c r="EH46" i="1"/>
  <c r="EH72" i="1"/>
  <c r="EH5" i="1"/>
  <c r="EH18" i="1"/>
  <c r="EH23" i="1"/>
  <c r="EH15" i="1"/>
  <c r="EH14" i="1"/>
  <c r="EH59" i="1"/>
  <c r="EH38" i="1"/>
  <c r="EH21" i="1"/>
  <c r="EH27" i="1"/>
  <c r="EH17" i="1"/>
  <c r="EH68" i="1"/>
  <c r="EH121" i="1"/>
  <c r="EH24" i="1"/>
  <c r="EH30" i="1"/>
  <c r="EH40" i="1"/>
  <c r="EH35" i="1"/>
  <c r="EH29" i="1"/>
  <c r="EH37" i="1"/>
  <c r="EH28" i="1"/>
  <c r="EH19" i="1"/>
  <c r="EH33" i="1"/>
  <c r="EH109" i="1"/>
  <c r="EH64" i="1"/>
  <c r="EH63" i="1"/>
  <c r="EH77" i="1"/>
  <c r="EH115" i="1"/>
  <c r="EH31" i="1"/>
  <c r="EH41" i="1"/>
  <c r="EH191" i="1"/>
  <c r="EH85" i="1"/>
  <c r="EH62" i="1"/>
  <c r="EH36" i="1"/>
  <c r="EH32" i="1"/>
  <c r="EH34" i="1"/>
  <c r="EH93" i="1"/>
  <c r="EH117" i="1"/>
  <c r="EH154" i="1"/>
  <c r="EH107" i="1"/>
  <c r="EH98" i="1"/>
  <c r="EH138" i="1"/>
  <c r="EH75" i="1"/>
  <c r="EH122" i="1"/>
  <c r="EH84" i="1"/>
  <c r="EH116" i="1"/>
  <c r="EH186" i="1"/>
  <c r="EH89" i="1"/>
  <c r="EH70" i="1"/>
  <c r="EH61" i="1"/>
  <c r="EH74" i="1"/>
  <c r="EH88" i="1"/>
  <c r="EH73" i="1"/>
  <c r="EH111" i="1"/>
  <c r="EH87" i="1"/>
  <c r="EH82" i="1"/>
  <c r="EH53" i="1"/>
  <c r="EH175" i="1"/>
  <c r="EH55" i="1"/>
  <c r="EH51" i="1"/>
  <c r="EH157" i="1"/>
  <c r="EH158" i="1"/>
  <c r="EH83" i="1"/>
  <c r="EH91" i="1"/>
  <c r="EH105" i="1"/>
  <c r="EH103" i="1"/>
  <c r="EH188" i="1"/>
  <c r="EH163" i="1"/>
  <c r="EH101" i="1"/>
  <c r="EH65" i="1"/>
  <c r="EH60" i="1"/>
  <c r="EH80" i="1"/>
  <c r="EH56" i="1"/>
  <c r="EH57" i="1"/>
  <c r="EH25" i="1"/>
  <c r="EH104" i="1"/>
  <c r="EH66" i="1"/>
  <c r="EH58" i="1"/>
  <c r="EH155" i="1"/>
  <c r="EH156" i="1"/>
  <c r="EH134" i="1"/>
  <c r="EH92" i="1"/>
  <c r="EH67" i="1"/>
  <c r="EH126" i="1"/>
  <c r="EH145" i="1"/>
  <c r="EH135" i="1"/>
  <c r="EH159" i="1"/>
  <c r="EH76" i="1"/>
  <c r="EH114" i="1"/>
  <c r="EH161" i="1"/>
  <c r="EH160" i="1"/>
  <c r="EH95" i="1"/>
  <c r="EH120" i="1"/>
  <c r="EH42" i="1"/>
  <c r="EH183" i="1"/>
  <c r="EH112" i="1"/>
  <c r="EH148" i="1"/>
  <c r="EH179" i="1"/>
  <c r="EH128" i="1"/>
  <c r="EH144" i="1"/>
  <c r="EH110" i="1"/>
  <c r="EH81" i="1"/>
  <c r="EH100" i="1"/>
  <c r="EH123" i="1"/>
  <c r="EH86" i="1"/>
  <c r="EH174" i="1"/>
  <c r="EH201" i="1"/>
  <c r="EH90" i="1"/>
  <c r="EH102" i="1"/>
  <c r="EH94" i="1"/>
  <c r="EH119" i="1"/>
  <c r="EH141" i="1"/>
  <c r="EH147" i="1"/>
  <c r="EH165" i="1"/>
  <c r="EH132" i="1"/>
  <c r="EH189" i="1"/>
  <c r="EH133" i="1"/>
  <c r="EH206" i="1"/>
  <c r="EH78" i="1"/>
  <c r="EH143" i="1"/>
  <c r="EH150" i="1"/>
  <c r="EH130" i="1"/>
  <c r="EH96" i="1"/>
  <c r="EH182" i="1"/>
  <c r="EH195" i="1"/>
  <c r="EH178" i="1"/>
  <c r="EH181" i="1"/>
  <c r="EH194" i="1"/>
  <c r="EH208" i="1"/>
  <c r="EH129" i="1"/>
  <c r="EH180" i="1"/>
  <c r="EH140" i="1"/>
  <c r="EH125" i="1"/>
  <c r="EH131" i="1"/>
  <c r="EH173" i="1"/>
  <c r="EH184" i="1"/>
  <c r="EH190" i="1"/>
  <c r="EH142" i="1"/>
  <c r="EH69" i="1"/>
  <c r="EH151" i="1"/>
  <c r="EH193" i="1"/>
  <c r="EH169" i="1"/>
  <c r="EH166" i="1"/>
  <c r="EH97" i="1"/>
  <c r="EH79" i="1"/>
  <c r="EH146" i="1"/>
  <c r="EH204" i="1"/>
  <c r="EH113" i="1"/>
  <c r="EH172" i="1"/>
  <c r="EH171" i="1"/>
  <c r="EH185" i="1"/>
  <c r="EH137" i="1"/>
  <c r="EH205" i="1"/>
  <c r="EH177" i="1"/>
  <c r="EH199" i="1"/>
  <c r="EH106" i="1"/>
  <c r="EH203" i="1"/>
  <c r="EH124" i="1"/>
  <c r="EH170" i="1"/>
  <c r="EH152" i="1"/>
  <c r="EH118" i="1"/>
  <c r="EH198" i="1"/>
  <c r="EH200" i="1"/>
  <c r="EH136" i="1"/>
  <c r="EH108" i="1"/>
  <c r="EH149" i="1"/>
  <c r="EH187" i="1"/>
  <c r="EH168" i="1"/>
  <c r="EH162" i="1"/>
  <c r="EH139" i="1"/>
  <c r="EH196" i="1"/>
  <c r="EH153" i="1"/>
  <c r="EH197" i="1"/>
  <c r="EH176" i="1"/>
  <c r="EH202" i="1"/>
  <c r="EH167" i="1"/>
  <c r="EH207" i="1"/>
  <c r="EH192" i="1"/>
  <c r="EG3" i="1"/>
  <c r="EG2" i="1"/>
  <c r="EG43" i="1"/>
  <c r="EG71" i="1"/>
  <c r="EG7" i="1"/>
  <c r="EG164" i="1"/>
  <c r="EG4" i="1"/>
  <c r="EG99" i="1"/>
  <c r="EG6" i="1"/>
  <c r="EG8" i="1"/>
  <c r="EG10" i="1"/>
  <c r="EG9" i="1"/>
  <c r="EG127" i="1"/>
  <c r="EG11" i="1"/>
  <c r="EG44" i="1"/>
  <c r="EG39" i="1"/>
  <c r="EG45" i="1"/>
  <c r="EG16" i="1"/>
  <c r="EG12" i="1"/>
  <c r="EG48" i="1"/>
  <c r="EG54" i="1"/>
  <c r="EG47" i="1"/>
  <c r="EG20" i="1"/>
  <c r="EG50" i="1"/>
  <c r="EG22" i="1"/>
  <c r="EG49" i="1"/>
  <c r="EG13" i="1"/>
  <c r="EG26" i="1"/>
  <c r="EG52" i="1"/>
  <c r="EG46" i="1"/>
  <c r="EG72" i="1"/>
  <c r="EG5" i="1"/>
  <c r="EG18" i="1"/>
  <c r="EG23" i="1"/>
  <c r="EG15" i="1"/>
  <c r="EG14" i="1"/>
  <c r="EG59" i="1"/>
  <c r="EG38" i="1"/>
  <c r="EG21" i="1"/>
  <c r="EG27" i="1"/>
  <c r="EG17" i="1"/>
  <c r="EG68" i="1"/>
  <c r="EG121" i="1"/>
  <c r="EG24" i="1"/>
  <c r="EG30" i="1"/>
  <c r="EG40" i="1"/>
  <c r="EG35" i="1"/>
  <c r="EG29" i="1"/>
  <c r="EG37" i="1"/>
  <c r="EG28" i="1"/>
  <c r="EG19" i="1"/>
  <c r="EG33" i="1"/>
  <c r="EG109" i="1"/>
  <c r="EG64" i="1"/>
  <c r="EG63" i="1"/>
  <c r="EG77" i="1"/>
  <c r="EG115" i="1"/>
  <c r="EG31" i="1"/>
  <c r="EG41" i="1"/>
  <c r="EG191" i="1"/>
  <c r="EG85" i="1"/>
  <c r="EG62" i="1"/>
  <c r="EG36" i="1"/>
  <c r="EG32" i="1"/>
  <c r="EG34" i="1"/>
  <c r="EG93" i="1"/>
  <c r="EG117" i="1"/>
  <c r="EG154" i="1"/>
  <c r="EG107" i="1"/>
  <c r="EG98" i="1"/>
  <c r="EG138" i="1"/>
  <c r="EG75" i="1"/>
  <c r="EG122" i="1"/>
  <c r="EG84" i="1"/>
  <c r="EG116" i="1"/>
  <c r="EG186" i="1"/>
  <c r="EG89" i="1"/>
  <c r="EG70" i="1"/>
  <c r="EG61" i="1"/>
  <c r="EG74" i="1"/>
  <c r="EG88" i="1"/>
  <c r="EG73" i="1"/>
  <c r="EG111" i="1"/>
  <c r="EG87" i="1"/>
  <c r="EG82" i="1"/>
  <c r="EG53" i="1"/>
  <c r="EG175" i="1"/>
  <c r="EG55" i="1"/>
  <c r="EG51" i="1"/>
  <c r="EG157" i="1"/>
  <c r="EG158" i="1"/>
  <c r="EG83" i="1"/>
  <c r="EG91" i="1"/>
  <c r="EG105" i="1"/>
  <c r="EG103" i="1"/>
  <c r="EG188" i="1"/>
  <c r="EG163" i="1"/>
  <c r="EG101" i="1"/>
  <c r="EG65" i="1"/>
  <c r="EG60" i="1"/>
  <c r="EG80" i="1"/>
  <c r="EG56" i="1"/>
  <c r="EG57" i="1"/>
  <c r="EG25" i="1"/>
  <c r="EG104" i="1"/>
  <c r="EG66" i="1"/>
  <c r="EG58" i="1"/>
  <c r="EG155" i="1"/>
  <c r="EG156" i="1"/>
  <c r="EG134" i="1"/>
  <c r="EG92" i="1"/>
  <c r="EG67" i="1"/>
  <c r="EG126" i="1"/>
  <c r="EG145" i="1"/>
  <c r="EG135" i="1"/>
  <c r="EG159" i="1"/>
  <c r="EG76" i="1"/>
  <c r="EG114" i="1"/>
  <c r="EG161" i="1"/>
  <c r="EG160" i="1"/>
  <c r="EG95" i="1"/>
  <c r="EG120" i="1"/>
  <c r="EG42" i="1"/>
  <c r="EG183" i="1"/>
  <c r="EG112" i="1"/>
  <c r="EG148" i="1"/>
  <c r="EG179" i="1"/>
  <c r="EG128" i="1"/>
  <c r="EG144" i="1"/>
  <c r="EG110" i="1"/>
  <c r="EG81" i="1"/>
  <c r="EG100" i="1"/>
  <c r="EG123" i="1"/>
  <c r="EG86" i="1"/>
  <c r="EG174" i="1"/>
  <c r="EG201" i="1"/>
  <c r="EG90" i="1"/>
  <c r="EG102" i="1"/>
  <c r="EG94" i="1"/>
  <c r="EG119" i="1"/>
  <c r="EG141" i="1"/>
  <c r="EG147" i="1"/>
  <c r="EG165" i="1"/>
  <c r="EG132" i="1"/>
  <c r="EG189" i="1"/>
  <c r="EG133" i="1"/>
  <c r="EG206" i="1"/>
  <c r="EG78" i="1"/>
  <c r="EG143" i="1"/>
  <c r="EG150" i="1"/>
  <c r="EG130" i="1"/>
  <c r="EG96" i="1"/>
  <c r="EG182" i="1"/>
  <c r="EG195" i="1"/>
  <c r="EG178" i="1"/>
  <c r="EG181" i="1"/>
  <c r="EG194" i="1"/>
  <c r="EG208" i="1"/>
  <c r="EG129" i="1"/>
  <c r="EG180" i="1"/>
  <c r="EG140" i="1"/>
  <c r="EG125" i="1"/>
  <c r="EG131" i="1"/>
  <c r="EG173" i="1"/>
  <c r="EG184" i="1"/>
  <c r="EG190" i="1"/>
  <c r="EG142" i="1"/>
  <c r="EG69" i="1"/>
  <c r="EG151" i="1"/>
  <c r="EG193" i="1"/>
  <c r="EG169" i="1"/>
  <c r="EG166" i="1"/>
  <c r="EG97" i="1"/>
  <c r="EG79" i="1"/>
  <c r="EG146" i="1"/>
  <c r="EG204" i="1"/>
  <c r="EG113" i="1"/>
  <c r="EG172" i="1"/>
  <c r="EG171" i="1"/>
  <c r="EG185" i="1"/>
  <c r="EG137" i="1"/>
  <c r="EG205" i="1"/>
  <c r="EG177" i="1"/>
  <c r="EG199" i="1"/>
  <c r="EG106" i="1"/>
  <c r="EG203" i="1"/>
  <c r="EG124" i="1"/>
  <c r="EG170" i="1"/>
  <c r="EG152" i="1"/>
  <c r="EG118" i="1"/>
  <c r="EG198" i="1"/>
  <c r="EG200" i="1"/>
  <c r="EG136" i="1"/>
  <c r="EG108" i="1"/>
  <c r="EG149" i="1"/>
  <c r="EG187" i="1"/>
  <c r="EG168" i="1"/>
  <c r="EG162" i="1"/>
  <c r="EG139" i="1"/>
  <c r="EG196" i="1"/>
  <c r="EG153" i="1"/>
  <c r="EG197" i="1"/>
  <c r="EG176" i="1"/>
  <c r="EG202" i="1"/>
  <c r="EG167" i="1"/>
  <c r="EG207" i="1"/>
  <c r="EG192" i="1"/>
  <c r="EF3" i="1"/>
  <c r="EF2" i="1"/>
  <c r="EF43" i="1"/>
  <c r="EF71" i="1"/>
  <c r="EF7" i="1"/>
  <c r="EF164" i="1"/>
  <c r="EF4" i="1"/>
  <c r="EF99" i="1"/>
  <c r="EF6" i="1"/>
  <c r="EF8" i="1"/>
  <c r="EF10" i="1"/>
  <c r="EF9" i="1"/>
  <c r="EF127" i="1"/>
  <c r="EF11" i="1"/>
  <c r="EF44" i="1"/>
  <c r="EF39" i="1"/>
  <c r="EF45" i="1"/>
  <c r="EF16" i="1"/>
  <c r="EF12" i="1"/>
  <c r="EF48" i="1"/>
  <c r="EF54" i="1"/>
  <c r="EF47" i="1"/>
  <c r="EF20" i="1"/>
  <c r="EF50" i="1"/>
  <c r="EF22" i="1"/>
  <c r="EF49" i="1"/>
  <c r="EF13" i="1"/>
  <c r="EF26" i="1"/>
  <c r="EF52" i="1"/>
  <c r="EF46" i="1"/>
  <c r="EF72" i="1"/>
  <c r="EF5" i="1"/>
  <c r="EF18" i="1"/>
  <c r="EF23" i="1"/>
  <c r="EF15" i="1"/>
  <c r="EF14" i="1"/>
  <c r="EF59" i="1"/>
  <c r="EF38" i="1"/>
  <c r="EF21" i="1"/>
  <c r="EF27" i="1"/>
  <c r="EF17" i="1"/>
  <c r="EF68" i="1"/>
  <c r="EF121" i="1"/>
  <c r="EF24" i="1"/>
  <c r="EF30" i="1"/>
  <c r="EF40" i="1"/>
  <c r="EF35" i="1"/>
  <c r="EF29" i="1"/>
  <c r="EF37" i="1"/>
  <c r="EF28" i="1"/>
  <c r="EF19" i="1"/>
  <c r="EF33" i="1"/>
  <c r="EF109" i="1"/>
  <c r="EF64" i="1"/>
  <c r="EF63" i="1"/>
  <c r="EF77" i="1"/>
  <c r="EF115" i="1"/>
  <c r="EF31" i="1"/>
  <c r="EF41" i="1"/>
  <c r="EF191" i="1"/>
  <c r="EF85" i="1"/>
  <c r="EF62" i="1"/>
  <c r="EF36" i="1"/>
  <c r="EF32" i="1"/>
  <c r="EF34" i="1"/>
  <c r="EF93" i="1"/>
  <c r="EF117" i="1"/>
  <c r="EF154" i="1"/>
  <c r="EF107" i="1"/>
  <c r="EF98" i="1"/>
  <c r="EF138" i="1"/>
  <c r="EF75" i="1"/>
  <c r="EF122" i="1"/>
  <c r="EF84" i="1"/>
  <c r="EF116" i="1"/>
  <c r="EF186" i="1"/>
  <c r="EF89" i="1"/>
  <c r="EF70" i="1"/>
  <c r="EF61" i="1"/>
  <c r="EF74" i="1"/>
  <c r="EF88" i="1"/>
  <c r="EF73" i="1"/>
  <c r="EF111" i="1"/>
  <c r="EF87" i="1"/>
  <c r="EF82" i="1"/>
  <c r="EF53" i="1"/>
  <c r="EF175" i="1"/>
  <c r="EF55" i="1"/>
  <c r="EF51" i="1"/>
  <c r="EF157" i="1"/>
  <c r="EF158" i="1"/>
  <c r="EF83" i="1"/>
  <c r="EF91" i="1"/>
  <c r="EF105" i="1"/>
  <c r="EF103" i="1"/>
  <c r="EF188" i="1"/>
  <c r="EF163" i="1"/>
  <c r="EF101" i="1"/>
  <c r="EF65" i="1"/>
  <c r="EF60" i="1"/>
  <c r="EF80" i="1"/>
  <c r="EF56" i="1"/>
  <c r="EF57" i="1"/>
  <c r="EF25" i="1"/>
  <c r="EF104" i="1"/>
  <c r="EF66" i="1"/>
  <c r="EF58" i="1"/>
  <c r="EF155" i="1"/>
  <c r="EF156" i="1"/>
  <c r="EF134" i="1"/>
  <c r="EF92" i="1"/>
  <c r="EF67" i="1"/>
  <c r="EF126" i="1"/>
  <c r="EF145" i="1"/>
  <c r="EF135" i="1"/>
  <c r="EF159" i="1"/>
  <c r="EF76" i="1"/>
  <c r="EF114" i="1"/>
  <c r="EF161" i="1"/>
  <c r="EF160" i="1"/>
  <c r="EF95" i="1"/>
  <c r="EF120" i="1"/>
  <c r="EF42" i="1"/>
  <c r="EF183" i="1"/>
  <c r="EF112" i="1"/>
  <c r="EF148" i="1"/>
  <c r="EF179" i="1"/>
  <c r="EF128" i="1"/>
  <c r="EF144" i="1"/>
  <c r="EF110" i="1"/>
  <c r="EF81" i="1"/>
  <c r="EF100" i="1"/>
  <c r="EF123" i="1"/>
  <c r="EF86" i="1"/>
  <c r="EF174" i="1"/>
  <c r="EF201" i="1"/>
  <c r="EF90" i="1"/>
  <c r="EF102" i="1"/>
  <c r="EF94" i="1"/>
  <c r="EF119" i="1"/>
  <c r="EF141" i="1"/>
  <c r="EF147" i="1"/>
  <c r="EF165" i="1"/>
  <c r="EF132" i="1"/>
  <c r="EF189" i="1"/>
  <c r="EF133" i="1"/>
  <c r="EF206" i="1"/>
  <c r="EF78" i="1"/>
  <c r="EF143" i="1"/>
  <c r="EF150" i="1"/>
  <c r="EF130" i="1"/>
  <c r="EF96" i="1"/>
  <c r="EF182" i="1"/>
  <c r="EF195" i="1"/>
  <c r="EF178" i="1"/>
  <c r="EF181" i="1"/>
  <c r="EF194" i="1"/>
  <c r="EF208" i="1"/>
  <c r="EF129" i="1"/>
  <c r="EF180" i="1"/>
  <c r="EF140" i="1"/>
  <c r="EF125" i="1"/>
  <c r="EF131" i="1"/>
  <c r="EF173" i="1"/>
  <c r="EF184" i="1"/>
  <c r="EF190" i="1"/>
  <c r="EF142" i="1"/>
  <c r="EF69" i="1"/>
  <c r="EF151" i="1"/>
  <c r="EF193" i="1"/>
  <c r="EF169" i="1"/>
  <c r="EF166" i="1"/>
  <c r="EF97" i="1"/>
  <c r="EF79" i="1"/>
  <c r="EF146" i="1"/>
  <c r="EF204" i="1"/>
  <c r="EF113" i="1"/>
  <c r="EF172" i="1"/>
  <c r="EF171" i="1"/>
  <c r="EF185" i="1"/>
  <c r="EF137" i="1"/>
  <c r="EF205" i="1"/>
  <c r="EF177" i="1"/>
  <c r="EF199" i="1"/>
  <c r="EF106" i="1"/>
  <c r="EF203" i="1"/>
  <c r="EF124" i="1"/>
  <c r="EF170" i="1"/>
  <c r="EF152" i="1"/>
  <c r="EF118" i="1"/>
  <c r="EF198" i="1"/>
  <c r="EF200" i="1"/>
  <c r="EF136" i="1"/>
  <c r="EF108" i="1"/>
  <c r="EF149" i="1"/>
  <c r="EF187" i="1"/>
  <c r="EF168" i="1"/>
  <c r="EF162" i="1"/>
  <c r="EF139" i="1"/>
  <c r="EF196" i="1"/>
  <c r="EF153" i="1"/>
  <c r="EF197" i="1"/>
  <c r="EF176" i="1"/>
  <c r="EF202" i="1"/>
  <c r="EF167" i="1"/>
  <c r="EF207" i="1"/>
  <c r="EF192" i="1"/>
  <c r="EE3" i="1"/>
  <c r="EE2" i="1"/>
  <c r="EE43" i="1"/>
  <c r="EE71" i="1"/>
  <c r="EE7" i="1"/>
  <c r="EE164" i="1"/>
  <c r="EE4" i="1"/>
  <c r="EE99" i="1"/>
  <c r="EE6" i="1"/>
  <c r="EE8" i="1"/>
  <c r="EE10" i="1"/>
  <c r="EE9" i="1"/>
  <c r="EE127" i="1"/>
  <c r="EE11" i="1"/>
  <c r="EE44" i="1"/>
  <c r="EE39" i="1"/>
  <c r="EE45" i="1"/>
  <c r="EE16" i="1"/>
  <c r="EE12" i="1"/>
  <c r="EE48" i="1"/>
  <c r="EE54" i="1"/>
  <c r="EE47" i="1"/>
  <c r="EE20" i="1"/>
  <c r="EE50" i="1"/>
  <c r="EE22" i="1"/>
  <c r="EE49" i="1"/>
  <c r="EE13" i="1"/>
  <c r="EE26" i="1"/>
  <c r="EE52" i="1"/>
  <c r="EE46" i="1"/>
  <c r="EE72" i="1"/>
  <c r="EE5" i="1"/>
  <c r="EE18" i="1"/>
  <c r="EE23" i="1"/>
  <c r="EE15" i="1"/>
  <c r="EE14" i="1"/>
  <c r="EE59" i="1"/>
  <c r="EE38" i="1"/>
  <c r="EE21" i="1"/>
  <c r="EE27" i="1"/>
  <c r="EE17" i="1"/>
  <c r="EE68" i="1"/>
  <c r="EE121" i="1"/>
  <c r="EE24" i="1"/>
  <c r="EE30" i="1"/>
  <c r="EE40" i="1"/>
  <c r="EE35" i="1"/>
  <c r="EE29" i="1"/>
  <c r="EE37" i="1"/>
  <c r="EE28" i="1"/>
  <c r="EE19" i="1"/>
  <c r="EE33" i="1"/>
  <c r="EE109" i="1"/>
  <c r="EE64" i="1"/>
  <c r="EE63" i="1"/>
  <c r="EE77" i="1"/>
  <c r="EE115" i="1"/>
  <c r="EE31" i="1"/>
  <c r="EE41" i="1"/>
  <c r="EE191" i="1"/>
  <c r="EE85" i="1"/>
  <c r="EE62" i="1"/>
  <c r="EE36" i="1"/>
  <c r="EE32" i="1"/>
  <c r="EE34" i="1"/>
  <c r="EE93" i="1"/>
  <c r="EE117" i="1"/>
  <c r="EE154" i="1"/>
  <c r="EE107" i="1"/>
  <c r="EE98" i="1"/>
  <c r="EE138" i="1"/>
  <c r="EE75" i="1"/>
  <c r="EE122" i="1"/>
  <c r="EE84" i="1"/>
  <c r="EE116" i="1"/>
  <c r="EE186" i="1"/>
  <c r="EE89" i="1"/>
  <c r="EE70" i="1"/>
  <c r="EE61" i="1"/>
  <c r="EE74" i="1"/>
  <c r="EE88" i="1"/>
  <c r="EE73" i="1"/>
  <c r="EE111" i="1"/>
  <c r="EE87" i="1"/>
  <c r="EE82" i="1"/>
  <c r="EE53" i="1"/>
  <c r="EE175" i="1"/>
  <c r="EE55" i="1"/>
  <c r="EE51" i="1"/>
  <c r="EE157" i="1"/>
  <c r="EE158" i="1"/>
  <c r="EE83" i="1"/>
  <c r="EE91" i="1"/>
  <c r="EE105" i="1"/>
  <c r="EE103" i="1"/>
  <c r="EE188" i="1"/>
  <c r="EE163" i="1"/>
  <c r="EE101" i="1"/>
  <c r="EE65" i="1"/>
  <c r="EE60" i="1"/>
  <c r="EE80" i="1"/>
  <c r="EE56" i="1"/>
  <c r="EE57" i="1"/>
  <c r="EE25" i="1"/>
  <c r="EE104" i="1"/>
  <c r="EE66" i="1"/>
  <c r="EE58" i="1"/>
  <c r="EE155" i="1"/>
  <c r="EE156" i="1"/>
  <c r="EE134" i="1"/>
  <c r="EE92" i="1"/>
  <c r="EE67" i="1"/>
  <c r="EE126" i="1"/>
  <c r="EE145" i="1"/>
  <c r="EE135" i="1"/>
  <c r="EE159" i="1"/>
  <c r="EE76" i="1"/>
  <c r="EE114" i="1"/>
  <c r="EE161" i="1"/>
  <c r="EE160" i="1"/>
  <c r="EE95" i="1"/>
  <c r="EE120" i="1"/>
  <c r="EE42" i="1"/>
  <c r="EE183" i="1"/>
  <c r="EE112" i="1"/>
  <c r="EE148" i="1"/>
  <c r="EE179" i="1"/>
  <c r="EE128" i="1"/>
  <c r="EE144" i="1"/>
  <c r="EE110" i="1"/>
  <c r="EE81" i="1"/>
  <c r="EE100" i="1"/>
  <c r="EE123" i="1"/>
  <c r="EE86" i="1"/>
  <c r="EE174" i="1"/>
  <c r="EE201" i="1"/>
  <c r="EE90" i="1"/>
  <c r="EE102" i="1"/>
  <c r="EE94" i="1"/>
  <c r="EE119" i="1"/>
  <c r="EE141" i="1"/>
  <c r="EE147" i="1"/>
  <c r="EE165" i="1"/>
  <c r="EE132" i="1"/>
  <c r="EE189" i="1"/>
  <c r="EE133" i="1"/>
  <c r="EE206" i="1"/>
  <c r="EE78" i="1"/>
  <c r="EE143" i="1"/>
  <c r="EE150" i="1"/>
  <c r="EE130" i="1"/>
  <c r="EE96" i="1"/>
  <c r="EE182" i="1"/>
  <c r="EE195" i="1"/>
  <c r="EE178" i="1"/>
  <c r="EE181" i="1"/>
  <c r="EE194" i="1"/>
  <c r="EE208" i="1"/>
  <c r="EE129" i="1"/>
  <c r="EE180" i="1"/>
  <c r="EE140" i="1"/>
  <c r="EE125" i="1"/>
  <c r="EE131" i="1"/>
  <c r="EE173" i="1"/>
  <c r="EE184" i="1"/>
  <c r="EE190" i="1"/>
  <c r="EE142" i="1"/>
  <c r="EE69" i="1"/>
  <c r="EE151" i="1"/>
  <c r="EE193" i="1"/>
  <c r="EE169" i="1"/>
  <c r="EE166" i="1"/>
  <c r="EE97" i="1"/>
  <c r="EE79" i="1"/>
  <c r="EE146" i="1"/>
  <c r="EE204" i="1"/>
  <c r="EE113" i="1"/>
  <c r="EE172" i="1"/>
  <c r="EE171" i="1"/>
  <c r="EE185" i="1"/>
  <c r="EE137" i="1"/>
  <c r="EE205" i="1"/>
  <c r="EE177" i="1"/>
  <c r="EE199" i="1"/>
  <c r="EE106" i="1"/>
  <c r="EE203" i="1"/>
  <c r="EE124" i="1"/>
  <c r="EE170" i="1"/>
  <c r="EE152" i="1"/>
  <c r="EE118" i="1"/>
  <c r="EE198" i="1"/>
  <c r="EE200" i="1"/>
  <c r="EE136" i="1"/>
  <c r="EE108" i="1"/>
  <c r="EE149" i="1"/>
  <c r="EE187" i="1"/>
  <c r="EE168" i="1"/>
  <c r="EE162" i="1"/>
  <c r="EE139" i="1"/>
  <c r="EE196" i="1"/>
  <c r="EE153" i="1"/>
  <c r="EE197" i="1"/>
  <c r="EE176" i="1"/>
  <c r="EE202" i="1"/>
  <c r="EE167" i="1"/>
  <c r="EE207" i="1"/>
  <c r="EE192" i="1"/>
  <c r="ED3" i="1"/>
  <c r="ED2" i="1"/>
  <c r="ED43" i="1"/>
  <c r="ED71" i="1"/>
  <c r="ED7" i="1"/>
  <c r="ED164" i="1"/>
  <c r="ED4" i="1"/>
  <c r="ED99" i="1"/>
  <c r="ED6" i="1"/>
  <c r="ED8" i="1"/>
  <c r="ED10" i="1"/>
  <c r="ED9" i="1"/>
  <c r="ED127" i="1"/>
  <c r="ED11" i="1"/>
  <c r="ED44" i="1"/>
  <c r="ED39" i="1"/>
  <c r="ED45" i="1"/>
  <c r="ED16" i="1"/>
  <c r="ED12" i="1"/>
  <c r="ED48" i="1"/>
  <c r="ED54" i="1"/>
  <c r="ED47" i="1"/>
  <c r="ED20" i="1"/>
  <c r="ED50" i="1"/>
  <c r="ED22" i="1"/>
  <c r="ED49" i="1"/>
  <c r="ED13" i="1"/>
  <c r="ED26" i="1"/>
  <c r="ED52" i="1"/>
  <c r="ED46" i="1"/>
  <c r="ED72" i="1"/>
  <c r="ED5" i="1"/>
  <c r="ED18" i="1"/>
  <c r="ED23" i="1"/>
  <c r="ED15" i="1"/>
  <c r="ED14" i="1"/>
  <c r="ED59" i="1"/>
  <c r="ED38" i="1"/>
  <c r="ED21" i="1"/>
  <c r="ED27" i="1"/>
  <c r="ED17" i="1"/>
  <c r="ED68" i="1"/>
  <c r="ED121" i="1"/>
  <c r="ED24" i="1"/>
  <c r="ED30" i="1"/>
  <c r="ED40" i="1"/>
  <c r="ED35" i="1"/>
  <c r="ED29" i="1"/>
  <c r="ED37" i="1"/>
  <c r="ED28" i="1"/>
  <c r="ED19" i="1"/>
  <c r="ED33" i="1"/>
  <c r="ED109" i="1"/>
  <c r="ED64" i="1"/>
  <c r="ED63" i="1"/>
  <c r="ED77" i="1"/>
  <c r="ED115" i="1"/>
  <c r="ED31" i="1"/>
  <c r="ED41" i="1"/>
  <c r="ED191" i="1"/>
  <c r="ED85" i="1"/>
  <c r="ED62" i="1"/>
  <c r="ED36" i="1"/>
  <c r="ED32" i="1"/>
  <c r="ED34" i="1"/>
  <c r="ED93" i="1"/>
  <c r="ED117" i="1"/>
  <c r="ED154" i="1"/>
  <c r="ED107" i="1"/>
  <c r="ED98" i="1"/>
  <c r="ED138" i="1"/>
  <c r="ED75" i="1"/>
  <c r="ED122" i="1"/>
  <c r="ED84" i="1"/>
  <c r="ED116" i="1"/>
  <c r="ED186" i="1"/>
  <c r="ED89" i="1"/>
  <c r="ED70" i="1"/>
  <c r="ED61" i="1"/>
  <c r="ED74" i="1"/>
  <c r="ED88" i="1"/>
  <c r="ED73" i="1"/>
  <c r="ED111" i="1"/>
  <c r="ED87" i="1"/>
  <c r="ED82" i="1"/>
  <c r="ED53" i="1"/>
  <c r="ED175" i="1"/>
  <c r="ED55" i="1"/>
  <c r="ED51" i="1"/>
  <c r="ED157" i="1"/>
  <c r="ED158" i="1"/>
  <c r="ED83" i="1"/>
  <c r="ED91" i="1"/>
  <c r="ED105" i="1"/>
  <c r="ED103" i="1"/>
  <c r="ED188" i="1"/>
  <c r="ED163" i="1"/>
  <c r="ED101" i="1"/>
  <c r="ED65" i="1"/>
  <c r="ED60" i="1"/>
  <c r="ED80" i="1"/>
  <c r="ED56" i="1"/>
  <c r="ED57" i="1"/>
  <c r="ED25" i="1"/>
  <c r="ED104" i="1"/>
  <c r="ED66" i="1"/>
  <c r="ED58" i="1"/>
  <c r="ED155" i="1"/>
  <c r="ED156" i="1"/>
  <c r="ED134" i="1"/>
  <c r="ED92" i="1"/>
  <c r="ED67" i="1"/>
  <c r="ED126" i="1"/>
  <c r="ED145" i="1"/>
  <c r="ED135" i="1"/>
  <c r="ED159" i="1"/>
  <c r="ED76" i="1"/>
  <c r="ED114" i="1"/>
  <c r="ED161" i="1"/>
  <c r="ED160" i="1"/>
  <c r="ED95" i="1"/>
  <c r="ED120" i="1"/>
  <c r="ED42" i="1"/>
  <c r="ED183" i="1"/>
  <c r="ED112" i="1"/>
  <c r="ED148" i="1"/>
  <c r="ED179" i="1"/>
  <c r="ED128" i="1"/>
  <c r="ED144" i="1"/>
  <c r="ED110" i="1"/>
  <c r="ED81" i="1"/>
  <c r="ED100" i="1"/>
  <c r="ED123" i="1"/>
  <c r="ED86" i="1"/>
  <c r="ED174" i="1"/>
  <c r="ED201" i="1"/>
  <c r="ED90" i="1"/>
  <c r="ED102" i="1"/>
  <c r="ED94" i="1"/>
  <c r="ED119" i="1"/>
  <c r="ED141" i="1"/>
  <c r="ED147" i="1"/>
  <c r="ED165" i="1"/>
  <c r="ED132" i="1"/>
  <c r="ED189" i="1"/>
  <c r="ED133" i="1"/>
  <c r="ED206" i="1"/>
  <c r="ED78" i="1"/>
  <c r="ED143" i="1"/>
  <c r="ED150" i="1"/>
  <c r="ED130" i="1"/>
  <c r="ED96" i="1"/>
  <c r="ED182" i="1"/>
  <c r="ED195" i="1"/>
  <c r="ED178" i="1"/>
  <c r="ED181" i="1"/>
  <c r="ED194" i="1"/>
  <c r="ED208" i="1"/>
  <c r="ED129" i="1"/>
  <c r="ED180" i="1"/>
  <c r="ED140" i="1"/>
  <c r="ED125" i="1"/>
  <c r="ED131" i="1"/>
  <c r="ED173" i="1"/>
  <c r="ED184" i="1"/>
  <c r="ED190" i="1"/>
  <c r="ED142" i="1"/>
  <c r="ED69" i="1"/>
  <c r="ED151" i="1"/>
  <c r="ED193" i="1"/>
  <c r="ED169" i="1"/>
  <c r="ED166" i="1"/>
  <c r="ED97" i="1"/>
  <c r="ED79" i="1"/>
  <c r="ED146" i="1"/>
  <c r="ED204" i="1"/>
  <c r="ED113" i="1"/>
  <c r="ED172" i="1"/>
  <c r="ED171" i="1"/>
  <c r="ED185" i="1"/>
  <c r="ED137" i="1"/>
  <c r="ED205" i="1"/>
  <c r="ED177" i="1"/>
  <c r="ED199" i="1"/>
  <c r="ED106" i="1"/>
  <c r="ED203" i="1"/>
  <c r="ED124" i="1"/>
  <c r="ED170" i="1"/>
  <c r="ED152" i="1"/>
  <c r="ED118" i="1"/>
  <c r="ED198" i="1"/>
  <c r="ED200" i="1"/>
  <c r="ED136" i="1"/>
  <c r="ED108" i="1"/>
  <c r="ED149" i="1"/>
  <c r="ED187" i="1"/>
  <c r="ED168" i="1"/>
  <c r="ED162" i="1"/>
  <c r="ED139" i="1"/>
  <c r="ED196" i="1"/>
  <c r="ED153" i="1"/>
  <c r="ED197" i="1"/>
  <c r="ED176" i="1"/>
  <c r="ED202" i="1"/>
  <c r="ED167" i="1"/>
  <c r="ED207" i="1"/>
  <c r="ED192" i="1"/>
  <c r="EC3" i="1"/>
  <c r="EC2" i="1"/>
  <c r="EC43" i="1"/>
  <c r="EC71" i="1"/>
  <c r="EC7" i="1"/>
  <c r="EC164" i="1"/>
  <c r="EC4" i="1"/>
  <c r="EC99" i="1"/>
  <c r="EC6" i="1"/>
  <c r="EC8" i="1"/>
  <c r="EC10" i="1"/>
  <c r="EC9" i="1"/>
  <c r="EC127" i="1"/>
  <c r="EC11" i="1"/>
  <c r="EC44" i="1"/>
  <c r="EC39" i="1"/>
  <c r="EC45" i="1"/>
  <c r="EC16" i="1"/>
  <c r="EC12" i="1"/>
  <c r="EC48" i="1"/>
  <c r="EC54" i="1"/>
  <c r="EC47" i="1"/>
  <c r="EC20" i="1"/>
  <c r="EC50" i="1"/>
  <c r="EC22" i="1"/>
  <c r="EC49" i="1"/>
  <c r="EC13" i="1"/>
  <c r="EC26" i="1"/>
  <c r="EC52" i="1"/>
  <c r="EC46" i="1"/>
  <c r="EC72" i="1"/>
  <c r="EC5" i="1"/>
  <c r="EC18" i="1"/>
  <c r="EC23" i="1"/>
  <c r="EC15" i="1"/>
  <c r="EC14" i="1"/>
  <c r="EC59" i="1"/>
  <c r="EC38" i="1"/>
  <c r="EC21" i="1"/>
  <c r="EC27" i="1"/>
  <c r="EC17" i="1"/>
  <c r="EC68" i="1"/>
  <c r="EC121" i="1"/>
  <c r="EC24" i="1"/>
  <c r="EC30" i="1"/>
  <c r="EC40" i="1"/>
  <c r="EC35" i="1"/>
  <c r="EC29" i="1"/>
  <c r="EC37" i="1"/>
  <c r="EC28" i="1"/>
  <c r="EC19" i="1"/>
  <c r="EC33" i="1"/>
  <c r="EC109" i="1"/>
  <c r="EC64" i="1"/>
  <c r="EC63" i="1"/>
  <c r="EC77" i="1"/>
  <c r="EC115" i="1"/>
  <c r="EC31" i="1"/>
  <c r="EC41" i="1"/>
  <c r="EC191" i="1"/>
  <c r="EC85" i="1"/>
  <c r="EC62" i="1"/>
  <c r="EC36" i="1"/>
  <c r="EC32" i="1"/>
  <c r="EC34" i="1"/>
  <c r="EC93" i="1"/>
  <c r="EC117" i="1"/>
  <c r="EC154" i="1"/>
  <c r="EC107" i="1"/>
  <c r="EC98" i="1"/>
  <c r="EC138" i="1"/>
  <c r="EC75" i="1"/>
  <c r="EC122" i="1"/>
  <c r="EC84" i="1"/>
  <c r="EC116" i="1"/>
  <c r="EC186" i="1"/>
  <c r="EC89" i="1"/>
  <c r="EC70" i="1"/>
  <c r="EC61" i="1"/>
  <c r="EC74" i="1"/>
  <c r="EC88" i="1"/>
  <c r="EC73" i="1"/>
  <c r="EC111" i="1"/>
  <c r="EC87" i="1"/>
  <c r="EC82" i="1"/>
  <c r="EC53" i="1"/>
  <c r="EC175" i="1"/>
  <c r="EC55" i="1"/>
  <c r="EC51" i="1"/>
  <c r="EC157" i="1"/>
  <c r="EC158" i="1"/>
  <c r="EC83" i="1"/>
  <c r="EC91" i="1"/>
  <c r="EC105" i="1"/>
  <c r="EC103" i="1"/>
  <c r="EC188" i="1"/>
  <c r="EC163" i="1"/>
  <c r="EC101" i="1"/>
  <c r="EC65" i="1"/>
  <c r="EC60" i="1"/>
  <c r="EC80" i="1"/>
  <c r="EC56" i="1"/>
  <c r="EC57" i="1"/>
  <c r="EC25" i="1"/>
  <c r="EC104" i="1"/>
  <c r="EC66" i="1"/>
  <c r="EC58" i="1"/>
  <c r="EC155" i="1"/>
  <c r="EC156" i="1"/>
  <c r="EC134" i="1"/>
  <c r="EC92" i="1"/>
  <c r="EC67" i="1"/>
  <c r="EC126" i="1"/>
  <c r="EC145" i="1"/>
  <c r="EC135" i="1"/>
  <c r="EC159" i="1"/>
  <c r="EC76" i="1"/>
  <c r="EC114" i="1"/>
  <c r="EC161" i="1"/>
  <c r="EC160" i="1"/>
  <c r="EC95" i="1"/>
  <c r="EC120" i="1"/>
  <c r="EC42" i="1"/>
  <c r="EC183" i="1"/>
  <c r="EC112" i="1"/>
  <c r="EC148" i="1"/>
  <c r="EC179" i="1"/>
  <c r="EC128" i="1"/>
  <c r="EC144" i="1"/>
  <c r="EC110" i="1"/>
  <c r="EC81" i="1"/>
  <c r="EC100" i="1"/>
  <c r="EC123" i="1"/>
  <c r="EC86" i="1"/>
  <c r="EC174" i="1"/>
  <c r="EC201" i="1"/>
  <c r="EC90" i="1"/>
  <c r="EC102" i="1"/>
  <c r="EC94" i="1"/>
  <c r="EC119" i="1"/>
  <c r="EC141" i="1"/>
  <c r="EC147" i="1"/>
  <c r="EC165" i="1"/>
  <c r="EC132" i="1"/>
  <c r="EC189" i="1"/>
  <c r="EC133" i="1"/>
  <c r="EC206" i="1"/>
  <c r="EC78" i="1"/>
  <c r="EC143" i="1"/>
  <c r="EC150" i="1"/>
  <c r="EC130" i="1"/>
  <c r="EC96" i="1"/>
  <c r="EC182" i="1"/>
  <c r="EC195" i="1"/>
  <c r="EC178" i="1"/>
  <c r="EC181" i="1"/>
  <c r="EC194" i="1"/>
  <c r="EC208" i="1"/>
  <c r="EC129" i="1"/>
  <c r="EC180" i="1"/>
  <c r="EC140" i="1"/>
  <c r="EC125" i="1"/>
  <c r="EC131" i="1"/>
  <c r="EC173" i="1"/>
  <c r="EC184" i="1"/>
  <c r="EC190" i="1"/>
  <c r="EC142" i="1"/>
  <c r="EC69" i="1"/>
  <c r="EC151" i="1"/>
  <c r="EC193" i="1"/>
  <c r="EC169" i="1"/>
  <c r="EC166" i="1"/>
  <c r="EC97" i="1"/>
  <c r="EC79" i="1"/>
  <c r="EC146" i="1"/>
  <c r="EC204" i="1"/>
  <c r="EC113" i="1"/>
  <c r="EC172" i="1"/>
  <c r="EC171" i="1"/>
  <c r="EC185" i="1"/>
  <c r="EC137" i="1"/>
  <c r="EC205" i="1"/>
  <c r="EC177" i="1"/>
  <c r="EC199" i="1"/>
  <c r="EC106" i="1"/>
  <c r="EC203" i="1"/>
  <c r="EC124" i="1"/>
  <c r="EC170" i="1"/>
  <c r="EC152" i="1"/>
  <c r="EC118" i="1"/>
  <c r="EC198" i="1"/>
  <c r="EC200" i="1"/>
  <c r="EC136" i="1"/>
  <c r="EC108" i="1"/>
  <c r="EC149" i="1"/>
  <c r="EC187" i="1"/>
  <c r="EC168" i="1"/>
  <c r="EC162" i="1"/>
  <c r="EC139" i="1"/>
  <c r="EC196" i="1"/>
  <c r="EC153" i="1"/>
  <c r="EC197" i="1"/>
  <c r="EC176" i="1"/>
  <c r="EC202" i="1"/>
  <c r="EC167" i="1"/>
  <c r="EC207" i="1"/>
  <c r="EC192" i="1"/>
  <c r="EB3" i="1"/>
  <c r="EB2" i="1"/>
  <c r="EB43" i="1"/>
  <c r="EB71" i="1"/>
  <c r="EB7" i="1"/>
  <c r="EB164" i="1"/>
  <c r="EB4" i="1"/>
  <c r="EB99" i="1"/>
  <c r="EB6" i="1"/>
  <c r="EB8" i="1"/>
  <c r="EB10" i="1"/>
  <c r="EB9" i="1"/>
  <c r="EB127" i="1"/>
  <c r="EB11" i="1"/>
  <c r="EB44" i="1"/>
  <c r="EB39" i="1"/>
  <c r="EB45" i="1"/>
  <c r="EB16" i="1"/>
  <c r="EB12" i="1"/>
  <c r="EB48" i="1"/>
  <c r="EB54" i="1"/>
  <c r="EB47" i="1"/>
  <c r="EB20" i="1"/>
  <c r="EB50" i="1"/>
  <c r="EB22" i="1"/>
  <c r="EB49" i="1"/>
  <c r="EB13" i="1"/>
  <c r="EB26" i="1"/>
  <c r="EB52" i="1"/>
  <c r="EB46" i="1"/>
  <c r="EB72" i="1"/>
  <c r="EB5" i="1"/>
  <c r="EB18" i="1"/>
  <c r="EB23" i="1"/>
  <c r="EB15" i="1"/>
  <c r="EB14" i="1"/>
  <c r="EB59" i="1"/>
  <c r="EB38" i="1"/>
  <c r="EB21" i="1"/>
  <c r="EB27" i="1"/>
  <c r="EB17" i="1"/>
  <c r="EB68" i="1"/>
  <c r="EB121" i="1"/>
  <c r="EB24" i="1"/>
  <c r="EB30" i="1"/>
  <c r="EB40" i="1"/>
  <c r="EB35" i="1"/>
  <c r="EB29" i="1"/>
  <c r="EB37" i="1"/>
  <c r="EB28" i="1"/>
  <c r="EB19" i="1"/>
  <c r="EB33" i="1"/>
  <c r="EB109" i="1"/>
  <c r="EB64" i="1"/>
  <c r="EB63" i="1"/>
  <c r="EB77" i="1"/>
  <c r="EB115" i="1"/>
  <c r="EB31" i="1"/>
  <c r="EB41" i="1"/>
  <c r="EB191" i="1"/>
  <c r="EB85" i="1"/>
  <c r="EB62" i="1"/>
  <c r="EB36" i="1"/>
  <c r="EB32" i="1"/>
  <c r="EB34" i="1"/>
  <c r="EB93" i="1"/>
  <c r="EB117" i="1"/>
  <c r="EB154" i="1"/>
  <c r="EB107" i="1"/>
  <c r="EB98" i="1"/>
  <c r="EB138" i="1"/>
  <c r="EB75" i="1"/>
  <c r="EB122" i="1"/>
  <c r="EB84" i="1"/>
  <c r="EB116" i="1"/>
  <c r="EB186" i="1"/>
  <c r="EB89" i="1"/>
  <c r="EB70" i="1"/>
  <c r="EB61" i="1"/>
  <c r="EB74" i="1"/>
  <c r="EB88" i="1"/>
  <c r="EB73" i="1"/>
  <c r="EB111" i="1"/>
  <c r="EB87" i="1"/>
  <c r="EB82" i="1"/>
  <c r="EB53" i="1"/>
  <c r="EB175" i="1"/>
  <c r="EB55" i="1"/>
  <c r="EB51" i="1"/>
  <c r="EB157" i="1"/>
  <c r="EB158" i="1"/>
  <c r="EB83" i="1"/>
  <c r="EB91" i="1"/>
  <c r="EB105" i="1"/>
  <c r="EB103" i="1"/>
  <c r="EB188" i="1"/>
  <c r="EB163" i="1"/>
  <c r="EB101" i="1"/>
  <c r="EB65" i="1"/>
  <c r="EB60" i="1"/>
  <c r="EB80" i="1"/>
  <c r="EB56" i="1"/>
  <c r="EB57" i="1"/>
  <c r="EB25" i="1"/>
  <c r="EB104" i="1"/>
  <c r="EB66" i="1"/>
  <c r="EB58" i="1"/>
  <c r="EB155" i="1"/>
  <c r="EB156" i="1"/>
  <c r="EB134" i="1"/>
  <c r="EB92" i="1"/>
  <c r="EB67" i="1"/>
  <c r="EB126" i="1"/>
  <c r="EB145" i="1"/>
  <c r="EB135" i="1"/>
  <c r="EB159" i="1"/>
  <c r="EB76" i="1"/>
  <c r="EB114" i="1"/>
  <c r="EB161" i="1"/>
  <c r="EB160" i="1"/>
  <c r="EB95" i="1"/>
  <c r="EB120" i="1"/>
  <c r="EB42" i="1"/>
  <c r="EB183" i="1"/>
  <c r="EB112" i="1"/>
  <c r="EB148" i="1"/>
  <c r="EB179" i="1"/>
  <c r="EB128" i="1"/>
  <c r="EB144" i="1"/>
  <c r="EB110" i="1"/>
  <c r="EB81" i="1"/>
  <c r="EB100" i="1"/>
  <c r="EB123" i="1"/>
  <c r="EB86" i="1"/>
  <c r="EB174" i="1"/>
  <c r="EB201" i="1"/>
  <c r="EB90" i="1"/>
  <c r="EB102" i="1"/>
  <c r="EB94" i="1"/>
  <c r="EB119" i="1"/>
  <c r="EB141" i="1"/>
  <c r="EB147" i="1"/>
  <c r="EB165" i="1"/>
  <c r="EB132" i="1"/>
  <c r="EB189" i="1"/>
  <c r="EB133" i="1"/>
  <c r="EB206" i="1"/>
  <c r="EB78" i="1"/>
  <c r="EB143" i="1"/>
  <c r="EB150" i="1"/>
  <c r="EB130" i="1"/>
  <c r="EB96" i="1"/>
  <c r="EB182" i="1"/>
  <c r="EB195" i="1"/>
  <c r="EB178" i="1"/>
  <c r="EB181" i="1"/>
  <c r="EB194" i="1"/>
  <c r="EB208" i="1"/>
  <c r="EB129" i="1"/>
  <c r="EB180" i="1"/>
  <c r="EB140" i="1"/>
  <c r="EB125" i="1"/>
  <c r="EB131" i="1"/>
  <c r="EB173" i="1"/>
  <c r="EB184" i="1"/>
  <c r="EB190" i="1"/>
  <c r="EB142" i="1"/>
  <c r="EB69" i="1"/>
  <c r="EB151" i="1"/>
  <c r="EB193" i="1"/>
  <c r="EB169" i="1"/>
  <c r="EB166" i="1"/>
  <c r="EB97" i="1"/>
  <c r="EB79" i="1"/>
  <c r="EB146" i="1"/>
  <c r="EB204" i="1"/>
  <c r="EB113" i="1"/>
  <c r="EB172" i="1"/>
  <c r="EB171" i="1"/>
  <c r="EB185" i="1"/>
  <c r="EB137" i="1"/>
  <c r="EB205" i="1"/>
  <c r="EB177" i="1"/>
  <c r="EB199" i="1"/>
  <c r="EB106" i="1"/>
  <c r="EB203" i="1"/>
  <c r="EB124" i="1"/>
  <c r="EB170" i="1"/>
  <c r="EB152" i="1"/>
  <c r="EB118" i="1"/>
  <c r="EB198" i="1"/>
  <c r="EB200" i="1"/>
  <c r="EB136" i="1"/>
  <c r="EB108" i="1"/>
  <c r="EB149" i="1"/>
  <c r="EB187" i="1"/>
  <c r="EB168" i="1"/>
  <c r="EB162" i="1"/>
  <c r="EB139" i="1"/>
  <c r="EB196" i="1"/>
  <c r="EB153" i="1"/>
  <c r="EB197" i="1"/>
  <c r="EB176" i="1"/>
  <c r="EB202" i="1"/>
  <c r="EB167" i="1"/>
  <c r="EB207" i="1"/>
  <c r="EB192" i="1"/>
  <c r="EA3" i="1"/>
  <c r="EA2" i="1"/>
  <c r="EA43" i="1"/>
  <c r="EA71" i="1"/>
  <c r="EA7" i="1"/>
  <c r="EA164" i="1"/>
  <c r="EA4" i="1"/>
  <c r="EA99" i="1"/>
  <c r="EA6" i="1"/>
  <c r="EA8" i="1"/>
  <c r="EA10" i="1"/>
  <c r="EA9" i="1"/>
  <c r="EA127" i="1"/>
  <c r="EA11" i="1"/>
  <c r="EA44" i="1"/>
  <c r="EA39" i="1"/>
  <c r="EA45" i="1"/>
  <c r="EA16" i="1"/>
  <c r="EA12" i="1"/>
  <c r="EA48" i="1"/>
  <c r="EA54" i="1"/>
  <c r="EA47" i="1"/>
  <c r="EA20" i="1"/>
  <c r="EA50" i="1"/>
  <c r="EA22" i="1"/>
  <c r="EA49" i="1"/>
  <c r="EA13" i="1"/>
  <c r="EA26" i="1"/>
  <c r="EA52" i="1"/>
  <c r="EA46" i="1"/>
  <c r="EA72" i="1"/>
  <c r="EA5" i="1"/>
  <c r="EA18" i="1"/>
  <c r="EA23" i="1"/>
  <c r="EA15" i="1"/>
  <c r="EA14" i="1"/>
  <c r="EA59" i="1"/>
  <c r="EA38" i="1"/>
  <c r="EA21" i="1"/>
  <c r="EA27" i="1"/>
  <c r="EA17" i="1"/>
  <c r="EA68" i="1"/>
  <c r="EA121" i="1"/>
  <c r="EA24" i="1"/>
  <c r="EA30" i="1"/>
  <c r="EA40" i="1"/>
  <c r="EA35" i="1"/>
  <c r="EA29" i="1"/>
  <c r="EA37" i="1"/>
  <c r="EA28" i="1"/>
  <c r="EA19" i="1"/>
  <c r="EA33" i="1"/>
  <c r="EA109" i="1"/>
  <c r="EA64" i="1"/>
  <c r="EA63" i="1"/>
  <c r="EA77" i="1"/>
  <c r="EA115" i="1"/>
  <c r="EA31" i="1"/>
  <c r="EA41" i="1"/>
  <c r="EA191" i="1"/>
  <c r="EA85" i="1"/>
  <c r="EA62" i="1"/>
  <c r="EA36" i="1"/>
  <c r="EA32" i="1"/>
  <c r="EA34" i="1"/>
  <c r="EA93" i="1"/>
  <c r="EA117" i="1"/>
  <c r="EA154" i="1"/>
  <c r="EA107" i="1"/>
  <c r="EA98" i="1"/>
  <c r="EA138" i="1"/>
  <c r="EA75" i="1"/>
  <c r="EA122" i="1"/>
  <c r="EA84" i="1"/>
  <c r="EA116" i="1"/>
  <c r="EA186" i="1"/>
  <c r="EA89" i="1"/>
  <c r="EA70" i="1"/>
  <c r="EA61" i="1"/>
  <c r="EA74" i="1"/>
  <c r="EA88" i="1"/>
  <c r="EA73" i="1"/>
  <c r="EA111" i="1"/>
  <c r="EA87" i="1"/>
  <c r="EA82" i="1"/>
  <c r="EA53" i="1"/>
  <c r="EA175" i="1"/>
  <c r="EA55" i="1"/>
  <c r="EA51" i="1"/>
  <c r="EA157" i="1"/>
  <c r="EA158" i="1"/>
  <c r="EA83" i="1"/>
  <c r="EA91" i="1"/>
  <c r="EA105" i="1"/>
  <c r="EA103" i="1"/>
  <c r="EA188" i="1"/>
  <c r="EA163" i="1"/>
  <c r="EA101" i="1"/>
  <c r="EA65" i="1"/>
  <c r="EA60" i="1"/>
  <c r="EA80" i="1"/>
  <c r="EA56" i="1"/>
  <c r="EA57" i="1"/>
  <c r="EA25" i="1"/>
  <c r="EA104" i="1"/>
  <c r="EA66" i="1"/>
  <c r="EA58" i="1"/>
  <c r="EA155" i="1"/>
  <c r="EA156" i="1"/>
  <c r="EA134" i="1"/>
  <c r="EA92" i="1"/>
  <c r="EA67" i="1"/>
  <c r="EA126" i="1"/>
  <c r="EA145" i="1"/>
  <c r="EA135" i="1"/>
  <c r="EA159" i="1"/>
  <c r="EA76" i="1"/>
  <c r="EA114" i="1"/>
  <c r="EA161" i="1"/>
  <c r="EA160" i="1"/>
  <c r="EA95" i="1"/>
  <c r="EA120" i="1"/>
  <c r="EA42" i="1"/>
  <c r="EA183" i="1"/>
  <c r="EA112" i="1"/>
  <c r="EA148" i="1"/>
  <c r="EA179" i="1"/>
  <c r="EA128" i="1"/>
  <c r="EA144" i="1"/>
  <c r="EA110" i="1"/>
  <c r="EA81" i="1"/>
  <c r="EA100" i="1"/>
  <c r="EA123" i="1"/>
  <c r="EA86" i="1"/>
  <c r="EA174" i="1"/>
  <c r="EA201" i="1"/>
  <c r="EA90" i="1"/>
  <c r="EA102" i="1"/>
  <c r="EA94" i="1"/>
  <c r="EA119" i="1"/>
  <c r="EA141" i="1"/>
  <c r="EA147" i="1"/>
  <c r="EA165" i="1"/>
  <c r="EA132" i="1"/>
  <c r="EA189" i="1"/>
  <c r="EA133" i="1"/>
  <c r="EA206" i="1"/>
  <c r="EA78" i="1"/>
  <c r="EA143" i="1"/>
  <c r="EA150" i="1"/>
  <c r="EA130" i="1"/>
  <c r="EA96" i="1"/>
  <c r="EA182" i="1"/>
  <c r="EA195" i="1"/>
  <c r="EA178" i="1"/>
  <c r="EA181" i="1"/>
  <c r="EA194" i="1"/>
  <c r="EA208" i="1"/>
  <c r="EA129" i="1"/>
  <c r="EA180" i="1"/>
  <c r="EA140" i="1"/>
  <c r="EA125" i="1"/>
  <c r="EA131" i="1"/>
  <c r="EA173" i="1"/>
  <c r="EA184" i="1"/>
  <c r="EA190" i="1"/>
  <c r="EA142" i="1"/>
  <c r="EA69" i="1"/>
  <c r="EA151" i="1"/>
  <c r="EA193" i="1"/>
  <c r="EA169" i="1"/>
  <c r="EA166" i="1"/>
  <c r="EA97" i="1"/>
  <c r="EA79" i="1"/>
  <c r="EA146" i="1"/>
  <c r="EA204" i="1"/>
  <c r="EA113" i="1"/>
  <c r="EA172" i="1"/>
  <c r="EA171" i="1"/>
  <c r="EA185" i="1"/>
  <c r="EA137" i="1"/>
  <c r="EA205" i="1"/>
  <c r="EA177" i="1"/>
  <c r="EA199" i="1"/>
  <c r="EA106" i="1"/>
  <c r="EA203" i="1"/>
  <c r="EA124" i="1"/>
  <c r="EA170" i="1"/>
  <c r="EA152" i="1"/>
  <c r="EA118" i="1"/>
  <c r="EA198" i="1"/>
  <c r="EA200" i="1"/>
  <c r="EA136" i="1"/>
  <c r="EA108" i="1"/>
  <c r="EA149" i="1"/>
  <c r="EA187" i="1"/>
  <c r="EA168" i="1"/>
  <c r="EA162" i="1"/>
  <c r="EA139" i="1"/>
  <c r="EA196" i="1"/>
  <c r="EA153" i="1"/>
  <c r="EA197" i="1"/>
  <c r="EA176" i="1"/>
  <c r="EA202" i="1"/>
  <c r="EA167" i="1"/>
  <c r="EA207" i="1"/>
  <c r="EA192" i="1"/>
  <c r="DZ3" i="1"/>
  <c r="DZ2" i="1"/>
  <c r="DZ43" i="1"/>
  <c r="DZ71" i="1"/>
  <c r="DZ7" i="1"/>
  <c r="DZ164" i="1"/>
  <c r="DZ4" i="1"/>
  <c r="DZ99" i="1"/>
  <c r="DZ6" i="1"/>
  <c r="DZ8" i="1"/>
  <c r="DZ10" i="1"/>
  <c r="DZ9" i="1"/>
  <c r="DZ127" i="1"/>
  <c r="DZ11" i="1"/>
  <c r="DZ44" i="1"/>
  <c r="DZ39" i="1"/>
  <c r="DZ45" i="1"/>
  <c r="DZ16" i="1"/>
  <c r="DZ12" i="1"/>
  <c r="DZ48" i="1"/>
  <c r="DZ54" i="1"/>
  <c r="DZ47" i="1"/>
  <c r="DZ20" i="1"/>
  <c r="DZ50" i="1"/>
  <c r="DZ22" i="1"/>
  <c r="DZ49" i="1"/>
  <c r="DZ13" i="1"/>
  <c r="DZ26" i="1"/>
  <c r="DZ52" i="1"/>
  <c r="DZ46" i="1"/>
  <c r="DZ72" i="1"/>
  <c r="DZ5" i="1"/>
  <c r="DZ18" i="1"/>
  <c r="DZ23" i="1"/>
  <c r="DZ15" i="1"/>
  <c r="DZ14" i="1"/>
  <c r="DZ59" i="1"/>
  <c r="DZ38" i="1"/>
  <c r="DZ21" i="1"/>
  <c r="DZ27" i="1"/>
  <c r="DZ17" i="1"/>
  <c r="DZ68" i="1"/>
  <c r="DZ121" i="1"/>
  <c r="DZ24" i="1"/>
  <c r="DZ30" i="1"/>
  <c r="DZ40" i="1"/>
  <c r="DZ35" i="1"/>
  <c r="DZ29" i="1"/>
  <c r="DZ37" i="1"/>
  <c r="DZ28" i="1"/>
  <c r="DZ19" i="1"/>
  <c r="DZ33" i="1"/>
  <c r="DZ109" i="1"/>
  <c r="DZ64" i="1"/>
  <c r="DZ63" i="1"/>
  <c r="DZ77" i="1"/>
  <c r="DZ115" i="1"/>
  <c r="DZ31" i="1"/>
  <c r="DZ41" i="1"/>
  <c r="DZ191" i="1"/>
  <c r="DZ85" i="1"/>
  <c r="DZ62" i="1"/>
  <c r="DZ36" i="1"/>
  <c r="DZ32" i="1"/>
  <c r="DZ34" i="1"/>
  <c r="DZ93" i="1"/>
  <c r="DZ117" i="1"/>
  <c r="DZ154" i="1"/>
  <c r="DZ107" i="1"/>
  <c r="DZ98" i="1"/>
  <c r="DZ138" i="1"/>
  <c r="DZ75" i="1"/>
  <c r="DZ122" i="1"/>
  <c r="DZ84" i="1"/>
  <c r="DZ116" i="1"/>
  <c r="DZ186" i="1"/>
  <c r="DZ89" i="1"/>
  <c r="DZ70" i="1"/>
  <c r="DZ61" i="1"/>
  <c r="DZ74" i="1"/>
  <c r="DZ88" i="1"/>
  <c r="DZ73" i="1"/>
  <c r="DZ111" i="1"/>
  <c r="DZ87" i="1"/>
  <c r="DZ82" i="1"/>
  <c r="DZ53" i="1"/>
  <c r="DZ175" i="1"/>
  <c r="DZ55" i="1"/>
  <c r="DZ51" i="1"/>
  <c r="DZ157" i="1"/>
  <c r="DZ158" i="1"/>
  <c r="DZ83" i="1"/>
  <c r="DZ91" i="1"/>
  <c r="DZ105" i="1"/>
  <c r="DZ103" i="1"/>
  <c r="DZ188" i="1"/>
  <c r="DZ163" i="1"/>
  <c r="DZ101" i="1"/>
  <c r="DZ65" i="1"/>
  <c r="DZ60" i="1"/>
  <c r="DZ80" i="1"/>
  <c r="DZ56" i="1"/>
  <c r="DZ57" i="1"/>
  <c r="DZ25" i="1"/>
  <c r="DZ104" i="1"/>
  <c r="DZ66" i="1"/>
  <c r="DZ58" i="1"/>
  <c r="DZ155" i="1"/>
  <c r="DZ156" i="1"/>
  <c r="DZ134" i="1"/>
  <c r="DZ92" i="1"/>
  <c r="DZ67" i="1"/>
  <c r="DZ126" i="1"/>
  <c r="DZ145" i="1"/>
  <c r="DZ135" i="1"/>
  <c r="DZ159" i="1"/>
  <c r="DZ76" i="1"/>
  <c r="DZ114" i="1"/>
  <c r="DZ161" i="1"/>
  <c r="DZ160" i="1"/>
  <c r="DZ95" i="1"/>
  <c r="DZ120" i="1"/>
  <c r="DZ42" i="1"/>
  <c r="DZ183" i="1"/>
  <c r="DZ112" i="1"/>
  <c r="DZ148" i="1"/>
  <c r="DZ179" i="1"/>
  <c r="DZ128" i="1"/>
  <c r="DZ144" i="1"/>
  <c r="DZ110" i="1"/>
  <c r="DZ81" i="1"/>
  <c r="DZ100" i="1"/>
  <c r="DZ123" i="1"/>
  <c r="DZ86" i="1"/>
  <c r="DZ174" i="1"/>
  <c r="DZ201" i="1"/>
  <c r="DZ90" i="1"/>
  <c r="DZ102" i="1"/>
  <c r="DZ94" i="1"/>
  <c r="DZ119" i="1"/>
  <c r="DZ141" i="1"/>
  <c r="DZ147" i="1"/>
  <c r="DZ165" i="1"/>
  <c r="DZ132" i="1"/>
  <c r="DZ189" i="1"/>
  <c r="DZ133" i="1"/>
  <c r="DZ206" i="1"/>
  <c r="DZ78" i="1"/>
  <c r="DZ143" i="1"/>
  <c r="DZ150" i="1"/>
  <c r="DZ130" i="1"/>
  <c r="DZ96" i="1"/>
  <c r="DZ182" i="1"/>
  <c r="DZ195" i="1"/>
  <c r="DZ178" i="1"/>
  <c r="DZ181" i="1"/>
  <c r="DZ194" i="1"/>
  <c r="DZ208" i="1"/>
  <c r="DZ129" i="1"/>
  <c r="DZ180" i="1"/>
  <c r="DZ140" i="1"/>
  <c r="DZ125" i="1"/>
  <c r="DZ131" i="1"/>
  <c r="DZ173" i="1"/>
  <c r="DZ184" i="1"/>
  <c r="DZ190" i="1"/>
  <c r="DZ142" i="1"/>
  <c r="DZ69" i="1"/>
  <c r="DZ151" i="1"/>
  <c r="DZ193" i="1"/>
  <c r="DZ169" i="1"/>
  <c r="DZ166" i="1"/>
  <c r="DZ97" i="1"/>
  <c r="DZ79" i="1"/>
  <c r="DZ146" i="1"/>
  <c r="DZ204" i="1"/>
  <c r="DZ113" i="1"/>
  <c r="DZ172" i="1"/>
  <c r="DZ171" i="1"/>
  <c r="DZ185" i="1"/>
  <c r="DZ137" i="1"/>
  <c r="DZ205" i="1"/>
  <c r="DZ177" i="1"/>
  <c r="DZ199" i="1"/>
  <c r="DZ106" i="1"/>
  <c r="DZ203" i="1"/>
  <c r="DZ124" i="1"/>
  <c r="DZ170" i="1"/>
  <c r="DZ152" i="1"/>
  <c r="DZ118" i="1"/>
  <c r="DZ198" i="1"/>
  <c r="DZ200" i="1"/>
  <c r="DZ136" i="1"/>
  <c r="DZ108" i="1"/>
  <c r="DZ149" i="1"/>
  <c r="DZ187" i="1"/>
  <c r="DZ168" i="1"/>
  <c r="DZ162" i="1"/>
  <c r="DZ139" i="1"/>
  <c r="DZ196" i="1"/>
  <c r="DZ153" i="1"/>
  <c r="DZ197" i="1"/>
  <c r="DZ176" i="1"/>
  <c r="DZ202" i="1"/>
  <c r="DZ167" i="1"/>
  <c r="DZ207" i="1"/>
  <c r="DZ192" i="1"/>
  <c r="DY3" i="1"/>
  <c r="DY2" i="1"/>
  <c r="DY43" i="1"/>
  <c r="DY71" i="1"/>
  <c r="DY7" i="1"/>
  <c r="DY164" i="1"/>
  <c r="DY4" i="1"/>
  <c r="DY99" i="1"/>
  <c r="DY6" i="1"/>
  <c r="DY8" i="1"/>
  <c r="DY10" i="1"/>
  <c r="DY9" i="1"/>
  <c r="DY127" i="1"/>
  <c r="DY11" i="1"/>
  <c r="DY44" i="1"/>
  <c r="DY39" i="1"/>
  <c r="DY45" i="1"/>
  <c r="DY16" i="1"/>
  <c r="DY12" i="1"/>
  <c r="DY48" i="1"/>
  <c r="DY54" i="1"/>
  <c r="DY47" i="1"/>
  <c r="DY20" i="1"/>
  <c r="DY50" i="1"/>
  <c r="DY22" i="1"/>
  <c r="DY49" i="1"/>
  <c r="DY13" i="1"/>
  <c r="DY26" i="1"/>
  <c r="DY52" i="1"/>
  <c r="DY46" i="1"/>
  <c r="DY72" i="1"/>
  <c r="DY5" i="1"/>
  <c r="DY18" i="1"/>
  <c r="DY23" i="1"/>
  <c r="DY15" i="1"/>
  <c r="DY14" i="1"/>
  <c r="DY59" i="1"/>
  <c r="DY38" i="1"/>
  <c r="DY21" i="1"/>
  <c r="DY27" i="1"/>
  <c r="DY17" i="1"/>
  <c r="DY68" i="1"/>
  <c r="DY121" i="1"/>
  <c r="DY24" i="1"/>
  <c r="DY30" i="1"/>
  <c r="DY40" i="1"/>
  <c r="DY35" i="1"/>
  <c r="DY29" i="1"/>
  <c r="DY37" i="1"/>
  <c r="DY28" i="1"/>
  <c r="DY19" i="1"/>
  <c r="DY33" i="1"/>
  <c r="DY109" i="1"/>
  <c r="DY64" i="1"/>
  <c r="DY63" i="1"/>
  <c r="DY77" i="1"/>
  <c r="DY115" i="1"/>
  <c r="DY31" i="1"/>
  <c r="DY41" i="1"/>
  <c r="DY191" i="1"/>
  <c r="DY85" i="1"/>
  <c r="DY62" i="1"/>
  <c r="DY36" i="1"/>
  <c r="DY32" i="1"/>
  <c r="DY34" i="1"/>
  <c r="DY93" i="1"/>
  <c r="DY117" i="1"/>
  <c r="DY154" i="1"/>
  <c r="DY107" i="1"/>
  <c r="DY98" i="1"/>
  <c r="DY138" i="1"/>
  <c r="DY75" i="1"/>
  <c r="DY122" i="1"/>
  <c r="DY84" i="1"/>
  <c r="DY116" i="1"/>
  <c r="DY186" i="1"/>
  <c r="DY89" i="1"/>
  <c r="DY70" i="1"/>
  <c r="DY61" i="1"/>
  <c r="DY74" i="1"/>
  <c r="DY88" i="1"/>
  <c r="DY73" i="1"/>
  <c r="DY111" i="1"/>
  <c r="DY87" i="1"/>
  <c r="DY82" i="1"/>
  <c r="DY53" i="1"/>
  <c r="DY175" i="1"/>
  <c r="DY55" i="1"/>
  <c r="DY51" i="1"/>
  <c r="DY157" i="1"/>
  <c r="DY158" i="1"/>
  <c r="DY83" i="1"/>
  <c r="DY91" i="1"/>
  <c r="DY105" i="1"/>
  <c r="DY103" i="1"/>
  <c r="DY188" i="1"/>
  <c r="DY163" i="1"/>
  <c r="DY101" i="1"/>
  <c r="DY65" i="1"/>
  <c r="DY60" i="1"/>
  <c r="DY80" i="1"/>
  <c r="DY56" i="1"/>
  <c r="DY57" i="1"/>
  <c r="DY25" i="1"/>
  <c r="DY104" i="1"/>
  <c r="DY66" i="1"/>
  <c r="DY58" i="1"/>
  <c r="DY155" i="1"/>
  <c r="DY156" i="1"/>
  <c r="DY134" i="1"/>
  <c r="DY92" i="1"/>
  <c r="DY67" i="1"/>
  <c r="DY126" i="1"/>
  <c r="DY145" i="1"/>
  <c r="DY135" i="1"/>
  <c r="DY159" i="1"/>
  <c r="DY76" i="1"/>
  <c r="DY114" i="1"/>
  <c r="DY161" i="1"/>
  <c r="DY160" i="1"/>
  <c r="DY95" i="1"/>
  <c r="DY120" i="1"/>
  <c r="DY42" i="1"/>
  <c r="DY183" i="1"/>
  <c r="DY112" i="1"/>
  <c r="DY148" i="1"/>
  <c r="DY179" i="1"/>
  <c r="DY128" i="1"/>
  <c r="DY144" i="1"/>
  <c r="DY110" i="1"/>
  <c r="DY81" i="1"/>
  <c r="DY100" i="1"/>
  <c r="DY123" i="1"/>
  <c r="DY86" i="1"/>
  <c r="DY174" i="1"/>
  <c r="DY201" i="1"/>
  <c r="DY90" i="1"/>
  <c r="DY102" i="1"/>
  <c r="DY94" i="1"/>
  <c r="DY119" i="1"/>
  <c r="DY141" i="1"/>
  <c r="DY147" i="1"/>
  <c r="DY165" i="1"/>
  <c r="DY132" i="1"/>
  <c r="DY189" i="1"/>
  <c r="DY133" i="1"/>
  <c r="DY206" i="1"/>
  <c r="DY78" i="1"/>
  <c r="DY143" i="1"/>
  <c r="DY150" i="1"/>
  <c r="DY130" i="1"/>
  <c r="DY96" i="1"/>
  <c r="DY182" i="1"/>
  <c r="DY195" i="1"/>
  <c r="DY178" i="1"/>
  <c r="DY181" i="1"/>
  <c r="DY194" i="1"/>
  <c r="DY208" i="1"/>
  <c r="DY129" i="1"/>
  <c r="DY180" i="1"/>
  <c r="DY140" i="1"/>
  <c r="DY125" i="1"/>
  <c r="DY131" i="1"/>
  <c r="DY173" i="1"/>
  <c r="DY184" i="1"/>
  <c r="DY190" i="1"/>
  <c r="DY142" i="1"/>
  <c r="DY69" i="1"/>
  <c r="DY151" i="1"/>
  <c r="DY193" i="1"/>
  <c r="DY169" i="1"/>
  <c r="DY166" i="1"/>
  <c r="DY97" i="1"/>
  <c r="DY79" i="1"/>
  <c r="DY146" i="1"/>
  <c r="DY204" i="1"/>
  <c r="DY113" i="1"/>
  <c r="DY172" i="1"/>
  <c r="DY171" i="1"/>
  <c r="DY185" i="1"/>
  <c r="DY137" i="1"/>
  <c r="DY205" i="1"/>
  <c r="DY177" i="1"/>
  <c r="DY199" i="1"/>
  <c r="DY106" i="1"/>
  <c r="DY203" i="1"/>
  <c r="DY124" i="1"/>
  <c r="DY170" i="1"/>
  <c r="DY152" i="1"/>
  <c r="DY118" i="1"/>
  <c r="DY198" i="1"/>
  <c r="DY200" i="1"/>
  <c r="DY136" i="1"/>
  <c r="DY108" i="1"/>
  <c r="DY149" i="1"/>
  <c r="DY187" i="1"/>
  <c r="DY168" i="1"/>
  <c r="DY162" i="1"/>
  <c r="DY139" i="1"/>
  <c r="DY196" i="1"/>
  <c r="DY153" i="1"/>
  <c r="DY197" i="1"/>
  <c r="DY176" i="1"/>
  <c r="DY202" i="1"/>
  <c r="DY167" i="1"/>
  <c r="DY207" i="1"/>
  <c r="DY192" i="1"/>
  <c r="DX3" i="1"/>
  <c r="DX2" i="1"/>
  <c r="DX43" i="1"/>
  <c r="DX71" i="1"/>
  <c r="DX7" i="1"/>
  <c r="DX164" i="1"/>
  <c r="DX4" i="1"/>
  <c r="DX99" i="1"/>
  <c r="DX6" i="1"/>
  <c r="DX8" i="1"/>
  <c r="DX10" i="1"/>
  <c r="DX9" i="1"/>
  <c r="DX127" i="1"/>
  <c r="DX11" i="1"/>
  <c r="DX44" i="1"/>
  <c r="DX39" i="1"/>
  <c r="DX45" i="1"/>
  <c r="DX16" i="1"/>
  <c r="DX12" i="1"/>
  <c r="DX48" i="1"/>
  <c r="DX54" i="1"/>
  <c r="DX47" i="1"/>
  <c r="DX20" i="1"/>
  <c r="DX50" i="1"/>
  <c r="DX22" i="1"/>
  <c r="DX49" i="1"/>
  <c r="DX13" i="1"/>
  <c r="DX26" i="1"/>
  <c r="DX52" i="1"/>
  <c r="DX46" i="1"/>
  <c r="DX72" i="1"/>
  <c r="DX5" i="1"/>
  <c r="DX18" i="1"/>
  <c r="DX23" i="1"/>
  <c r="DX15" i="1"/>
  <c r="DX14" i="1"/>
  <c r="DX59" i="1"/>
  <c r="DX38" i="1"/>
  <c r="DX21" i="1"/>
  <c r="DX27" i="1"/>
  <c r="DX17" i="1"/>
  <c r="DX68" i="1"/>
  <c r="DX121" i="1"/>
  <c r="DX24" i="1"/>
  <c r="DX30" i="1"/>
  <c r="DX40" i="1"/>
  <c r="DX35" i="1"/>
  <c r="DX29" i="1"/>
  <c r="DX37" i="1"/>
  <c r="DX28" i="1"/>
  <c r="DX19" i="1"/>
  <c r="DX33" i="1"/>
  <c r="DX109" i="1"/>
  <c r="DX64" i="1"/>
  <c r="DX63" i="1"/>
  <c r="DX77" i="1"/>
  <c r="DX115" i="1"/>
  <c r="DX31" i="1"/>
  <c r="DX41" i="1"/>
  <c r="DX191" i="1"/>
  <c r="DX85" i="1"/>
  <c r="DX62" i="1"/>
  <c r="DX36" i="1"/>
  <c r="DX32" i="1"/>
  <c r="DX34" i="1"/>
  <c r="DX93" i="1"/>
  <c r="DX117" i="1"/>
  <c r="DX154" i="1"/>
  <c r="DX107" i="1"/>
  <c r="DX98" i="1"/>
  <c r="DX138" i="1"/>
  <c r="DX75" i="1"/>
  <c r="DX122" i="1"/>
  <c r="DX84" i="1"/>
  <c r="DX116" i="1"/>
  <c r="DX186" i="1"/>
  <c r="DX89" i="1"/>
  <c r="DX70" i="1"/>
  <c r="DX61" i="1"/>
  <c r="DX74" i="1"/>
  <c r="DX88" i="1"/>
  <c r="DX73" i="1"/>
  <c r="DX111" i="1"/>
  <c r="DX87" i="1"/>
  <c r="DX82" i="1"/>
  <c r="DX53" i="1"/>
  <c r="DX175" i="1"/>
  <c r="DX55" i="1"/>
  <c r="DX51" i="1"/>
  <c r="DX157" i="1"/>
  <c r="DX158" i="1"/>
  <c r="DX83" i="1"/>
  <c r="DX91" i="1"/>
  <c r="DX105" i="1"/>
  <c r="DX103" i="1"/>
  <c r="DX188" i="1"/>
  <c r="DX163" i="1"/>
  <c r="DX101" i="1"/>
  <c r="DX65" i="1"/>
  <c r="DX60" i="1"/>
  <c r="DX80" i="1"/>
  <c r="DX56" i="1"/>
  <c r="DX57" i="1"/>
  <c r="DX25" i="1"/>
  <c r="DX104" i="1"/>
  <c r="DX66" i="1"/>
  <c r="DX58" i="1"/>
  <c r="DX155" i="1"/>
  <c r="DX156" i="1"/>
  <c r="DX134" i="1"/>
  <c r="DX92" i="1"/>
  <c r="DX67" i="1"/>
  <c r="DX126" i="1"/>
  <c r="DX145" i="1"/>
  <c r="DX135" i="1"/>
  <c r="DX159" i="1"/>
  <c r="DX76" i="1"/>
  <c r="DX114" i="1"/>
  <c r="DX161" i="1"/>
  <c r="DX160" i="1"/>
  <c r="DX95" i="1"/>
  <c r="DX120" i="1"/>
  <c r="DX42" i="1"/>
  <c r="DX183" i="1"/>
  <c r="DX112" i="1"/>
  <c r="DX148" i="1"/>
  <c r="DX179" i="1"/>
  <c r="DX128" i="1"/>
  <c r="DX144" i="1"/>
  <c r="DX110" i="1"/>
  <c r="DX81" i="1"/>
  <c r="DX100" i="1"/>
  <c r="DX123" i="1"/>
  <c r="DX86" i="1"/>
  <c r="DX174" i="1"/>
  <c r="DX201" i="1"/>
  <c r="DX90" i="1"/>
  <c r="DX102" i="1"/>
  <c r="DX94" i="1"/>
  <c r="DX119" i="1"/>
  <c r="DX141" i="1"/>
  <c r="DX147" i="1"/>
  <c r="DX165" i="1"/>
  <c r="DX132" i="1"/>
  <c r="DX189" i="1"/>
  <c r="DX133" i="1"/>
  <c r="DX206" i="1"/>
  <c r="DX78" i="1"/>
  <c r="DX143" i="1"/>
  <c r="DX150" i="1"/>
  <c r="DX130" i="1"/>
  <c r="DX96" i="1"/>
  <c r="DX182" i="1"/>
  <c r="DX195" i="1"/>
  <c r="DX178" i="1"/>
  <c r="DX181" i="1"/>
  <c r="DX194" i="1"/>
  <c r="DX208" i="1"/>
  <c r="DX129" i="1"/>
  <c r="DX180" i="1"/>
  <c r="DX140" i="1"/>
  <c r="DX125" i="1"/>
  <c r="DX131" i="1"/>
  <c r="DX173" i="1"/>
  <c r="DX184" i="1"/>
  <c r="DX190" i="1"/>
  <c r="DX142" i="1"/>
  <c r="DX69" i="1"/>
  <c r="DX151" i="1"/>
  <c r="DX193" i="1"/>
  <c r="DX169" i="1"/>
  <c r="DX166" i="1"/>
  <c r="DX97" i="1"/>
  <c r="DX79" i="1"/>
  <c r="DX146" i="1"/>
  <c r="DX204" i="1"/>
  <c r="DX113" i="1"/>
  <c r="DX172" i="1"/>
  <c r="DX171" i="1"/>
  <c r="DX185" i="1"/>
  <c r="DX137" i="1"/>
  <c r="DX205" i="1"/>
  <c r="DX177" i="1"/>
  <c r="DX199" i="1"/>
  <c r="DX106" i="1"/>
  <c r="DX203" i="1"/>
  <c r="DX124" i="1"/>
  <c r="DX170" i="1"/>
  <c r="DX152" i="1"/>
  <c r="DX118" i="1"/>
  <c r="DX198" i="1"/>
  <c r="DX200" i="1"/>
  <c r="DX136" i="1"/>
  <c r="DX108" i="1"/>
  <c r="DX149" i="1"/>
  <c r="DX187" i="1"/>
  <c r="DX168" i="1"/>
  <c r="DX162" i="1"/>
  <c r="DX139" i="1"/>
  <c r="DX196" i="1"/>
  <c r="DX153" i="1"/>
  <c r="DX197" i="1"/>
  <c r="DX176" i="1"/>
  <c r="DX202" i="1"/>
  <c r="DX167" i="1"/>
  <c r="DX207" i="1"/>
  <c r="DX192" i="1"/>
  <c r="DW3" i="1"/>
  <c r="DW2" i="1"/>
  <c r="DW43" i="1"/>
  <c r="DW71" i="1"/>
  <c r="DW7" i="1"/>
  <c r="DW164" i="1"/>
  <c r="DW4" i="1"/>
  <c r="DW99" i="1"/>
  <c r="DW6" i="1"/>
  <c r="DW8" i="1"/>
  <c r="DW10" i="1"/>
  <c r="DW9" i="1"/>
  <c r="DW127" i="1"/>
  <c r="DW11" i="1"/>
  <c r="DW44" i="1"/>
  <c r="DW39" i="1"/>
  <c r="DW45" i="1"/>
  <c r="DW16" i="1"/>
  <c r="DW12" i="1"/>
  <c r="DW48" i="1"/>
  <c r="DW54" i="1"/>
  <c r="DW47" i="1"/>
  <c r="DW20" i="1"/>
  <c r="DW50" i="1"/>
  <c r="DW22" i="1"/>
  <c r="DW49" i="1"/>
  <c r="DW13" i="1"/>
  <c r="DW26" i="1"/>
  <c r="DW52" i="1"/>
  <c r="DW46" i="1"/>
  <c r="DW72" i="1"/>
  <c r="DW5" i="1"/>
  <c r="DW18" i="1"/>
  <c r="DW23" i="1"/>
  <c r="DW15" i="1"/>
  <c r="DW14" i="1"/>
  <c r="DW59" i="1"/>
  <c r="DW38" i="1"/>
  <c r="DW21" i="1"/>
  <c r="DW27" i="1"/>
  <c r="DW17" i="1"/>
  <c r="DW68" i="1"/>
  <c r="DW121" i="1"/>
  <c r="DW24" i="1"/>
  <c r="DW30" i="1"/>
  <c r="DW40" i="1"/>
  <c r="DW35" i="1"/>
  <c r="DW29" i="1"/>
  <c r="DW37" i="1"/>
  <c r="DW28" i="1"/>
  <c r="DW19" i="1"/>
  <c r="DW33" i="1"/>
  <c r="DW109" i="1"/>
  <c r="DW64" i="1"/>
  <c r="DW63" i="1"/>
  <c r="DW77" i="1"/>
  <c r="DW115" i="1"/>
  <c r="DW31" i="1"/>
  <c r="DW41" i="1"/>
  <c r="DW191" i="1"/>
  <c r="DW85" i="1"/>
  <c r="DW62" i="1"/>
  <c r="DW36" i="1"/>
  <c r="DW32" i="1"/>
  <c r="DW34" i="1"/>
  <c r="DW93" i="1"/>
  <c r="DW117" i="1"/>
  <c r="DW154" i="1"/>
  <c r="DW107" i="1"/>
  <c r="DW98" i="1"/>
  <c r="DW138" i="1"/>
  <c r="DW75" i="1"/>
  <c r="DW122" i="1"/>
  <c r="DW84" i="1"/>
  <c r="DW116" i="1"/>
  <c r="DW186" i="1"/>
  <c r="DW89" i="1"/>
  <c r="DW70" i="1"/>
  <c r="DW61" i="1"/>
  <c r="DW74" i="1"/>
  <c r="DW88" i="1"/>
  <c r="DW73" i="1"/>
  <c r="DW111" i="1"/>
  <c r="DW87" i="1"/>
  <c r="DW82" i="1"/>
  <c r="DW53" i="1"/>
  <c r="DW175" i="1"/>
  <c r="DW55" i="1"/>
  <c r="DW51" i="1"/>
  <c r="DW157" i="1"/>
  <c r="DW158" i="1"/>
  <c r="DW83" i="1"/>
  <c r="DW91" i="1"/>
  <c r="DW105" i="1"/>
  <c r="DW103" i="1"/>
  <c r="DW188" i="1"/>
  <c r="DW163" i="1"/>
  <c r="DW101" i="1"/>
  <c r="DW65" i="1"/>
  <c r="DW60" i="1"/>
  <c r="DW80" i="1"/>
  <c r="DW56" i="1"/>
  <c r="DW57" i="1"/>
  <c r="DW25" i="1"/>
  <c r="DW104" i="1"/>
  <c r="DW66" i="1"/>
  <c r="DW58" i="1"/>
  <c r="DW155" i="1"/>
  <c r="DW156" i="1"/>
  <c r="DW134" i="1"/>
  <c r="DW92" i="1"/>
  <c r="DW67" i="1"/>
  <c r="DW126" i="1"/>
  <c r="DW145" i="1"/>
  <c r="DW135" i="1"/>
  <c r="DW159" i="1"/>
  <c r="DW76" i="1"/>
  <c r="DW114" i="1"/>
  <c r="DW161" i="1"/>
  <c r="DW160" i="1"/>
  <c r="DW95" i="1"/>
  <c r="DW120" i="1"/>
  <c r="DW42" i="1"/>
  <c r="DW183" i="1"/>
  <c r="DW112" i="1"/>
  <c r="DW148" i="1"/>
  <c r="DW179" i="1"/>
  <c r="DW128" i="1"/>
  <c r="DW144" i="1"/>
  <c r="DW110" i="1"/>
  <c r="DW81" i="1"/>
  <c r="DW100" i="1"/>
  <c r="DW123" i="1"/>
  <c r="DW86" i="1"/>
  <c r="DW174" i="1"/>
  <c r="DW201" i="1"/>
  <c r="DW90" i="1"/>
  <c r="DW102" i="1"/>
  <c r="DW94" i="1"/>
  <c r="DW119" i="1"/>
  <c r="DW141" i="1"/>
  <c r="DW147" i="1"/>
  <c r="DW165" i="1"/>
  <c r="DW132" i="1"/>
  <c r="DW189" i="1"/>
  <c r="DW133" i="1"/>
  <c r="DW206" i="1"/>
  <c r="DW78" i="1"/>
  <c r="DW143" i="1"/>
  <c r="DW150" i="1"/>
  <c r="DW130" i="1"/>
  <c r="DW96" i="1"/>
  <c r="DW182" i="1"/>
  <c r="DW195" i="1"/>
  <c r="DW178" i="1"/>
  <c r="DW181" i="1"/>
  <c r="DW194" i="1"/>
  <c r="DW208" i="1"/>
  <c r="DW129" i="1"/>
  <c r="DW180" i="1"/>
  <c r="DW140" i="1"/>
  <c r="DW125" i="1"/>
  <c r="DW131" i="1"/>
  <c r="DW173" i="1"/>
  <c r="DW184" i="1"/>
  <c r="DW190" i="1"/>
  <c r="DW142" i="1"/>
  <c r="DW69" i="1"/>
  <c r="DW151" i="1"/>
  <c r="DW193" i="1"/>
  <c r="DW169" i="1"/>
  <c r="DW166" i="1"/>
  <c r="DW97" i="1"/>
  <c r="DW79" i="1"/>
  <c r="DW146" i="1"/>
  <c r="DW204" i="1"/>
  <c r="DW113" i="1"/>
  <c r="DW172" i="1"/>
  <c r="DW171" i="1"/>
  <c r="DW185" i="1"/>
  <c r="DW137" i="1"/>
  <c r="DW205" i="1"/>
  <c r="DW177" i="1"/>
  <c r="DW199" i="1"/>
  <c r="DW106" i="1"/>
  <c r="DW203" i="1"/>
  <c r="DW124" i="1"/>
  <c r="DW170" i="1"/>
  <c r="DW152" i="1"/>
  <c r="DW118" i="1"/>
  <c r="DW198" i="1"/>
  <c r="DW200" i="1"/>
  <c r="DW136" i="1"/>
  <c r="DW108" i="1"/>
  <c r="DW149" i="1"/>
  <c r="DW187" i="1"/>
  <c r="DW168" i="1"/>
  <c r="DW162" i="1"/>
  <c r="DW139" i="1"/>
  <c r="DW196" i="1"/>
  <c r="DW153" i="1"/>
  <c r="DW197" i="1"/>
  <c r="DW176" i="1"/>
  <c r="DW202" i="1"/>
  <c r="DW167" i="1"/>
  <c r="DW207" i="1"/>
  <c r="DW192" i="1"/>
  <c r="DV3" i="1"/>
  <c r="DV2" i="1"/>
  <c r="DV43" i="1"/>
  <c r="DV71" i="1"/>
  <c r="DV7" i="1"/>
  <c r="DV164" i="1"/>
  <c r="DV4" i="1"/>
  <c r="DV99" i="1"/>
  <c r="DV6" i="1"/>
  <c r="DV8" i="1"/>
  <c r="DV10" i="1"/>
  <c r="DV9" i="1"/>
  <c r="DV127" i="1"/>
  <c r="DV11" i="1"/>
  <c r="DV44" i="1"/>
  <c r="DV39" i="1"/>
  <c r="DV45" i="1"/>
  <c r="DV16" i="1"/>
  <c r="DV12" i="1"/>
  <c r="DV48" i="1"/>
  <c r="DV54" i="1"/>
  <c r="DV47" i="1"/>
  <c r="DV20" i="1"/>
  <c r="DV50" i="1"/>
  <c r="DV22" i="1"/>
  <c r="DV49" i="1"/>
  <c r="DV13" i="1"/>
  <c r="DV26" i="1"/>
  <c r="DV52" i="1"/>
  <c r="DV46" i="1"/>
  <c r="DV72" i="1"/>
  <c r="DV5" i="1"/>
  <c r="DV18" i="1"/>
  <c r="DV23" i="1"/>
  <c r="DV15" i="1"/>
  <c r="DV14" i="1"/>
  <c r="DV59" i="1"/>
  <c r="DV38" i="1"/>
  <c r="DV21" i="1"/>
  <c r="DV27" i="1"/>
  <c r="DV17" i="1"/>
  <c r="DV68" i="1"/>
  <c r="DV121" i="1"/>
  <c r="DV24" i="1"/>
  <c r="DV30" i="1"/>
  <c r="DV40" i="1"/>
  <c r="DV35" i="1"/>
  <c r="DV29" i="1"/>
  <c r="DV37" i="1"/>
  <c r="DV28" i="1"/>
  <c r="DV19" i="1"/>
  <c r="DV33" i="1"/>
  <c r="DV109" i="1"/>
  <c r="DV64" i="1"/>
  <c r="DV63" i="1"/>
  <c r="DV77" i="1"/>
  <c r="DV115" i="1"/>
  <c r="DV31" i="1"/>
  <c r="DV41" i="1"/>
  <c r="DV191" i="1"/>
  <c r="DV85" i="1"/>
  <c r="DV62" i="1"/>
  <c r="DV36" i="1"/>
  <c r="DV32" i="1"/>
  <c r="DV34" i="1"/>
  <c r="DV93" i="1"/>
  <c r="DV117" i="1"/>
  <c r="DV154" i="1"/>
  <c r="DV107" i="1"/>
  <c r="DV98" i="1"/>
  <c r="DV138" i="1"/>
  <c r="DV75" i="1"/>
  <c r="DV122" i="1"/>
  <c r="DV84" i="1"/>
  <c r="DV116" i="1"/>
  <c r="DV186" i="1"/>
  <c r="DV89" i="1"/>
  <c r="DV70" i="1"/>
  <c r="DV61" i="1"/>
  <c r="DV74" i="1"/>
  <c r="DV88" i="1"/>
  <c r="DV73" i="1"/>
  <c r="DV111" i="1"/>
  <c r="DV87" i="1"/>
  <c r="DV82" i="1"/>
  <c r="DV53" i="1"/>
  <c r="DV175" i="1"/>
  <c r="DV55" i="1"/>
  <c r="DV51" i="1"/>
  <c r="DV157" i="1"/>
  <c r="DV158" i="1"/>
  <c r="DV83" i="1"/>
  <c r="DV91" i="1"/>
  <c r="DV105" i="1"/>
  <c r="DV103" i="1"/>
  <c r="DV188" i="1"/>
  <c r="DV163" i="1"/>
  <c r="DV101" i="1"/>
  <c r="DV65" i="1"/>
  <c r="DV60" i="1"/>
  <c r="DV80" i="1"/>
  <c r="DV56" i="1"/>
  <c r="DV57" i="1"/>
  <c r="DV25" i="1"/>
  <c r="DV104" i="1"/>
  <c r="DV66" i="1"/>
  <c r="DV58" i="1"/>
  <c r="DV155" i="1"/>
  <c r="DV156" i="1"/>
  <c r="DV134" i="1"/>
  <c r="DV92" i="1"/>
  <c r="DV67" i="1"/>
  <c r="DV126" i="1"/>
  <c r="DV145" i="1"/>
  <c r="DV135" i="1"/>
  <c r="DV159" i="1"/>
  <c r="DV76" i="1"/>
  <c r="DV114" i="1"/>
  <c r="DV161" i="1"/>
  <c r="DV160" i="1"/>
  <c r="DV95" i="1"/>
  <c r="DV120" i="1"/>
  <c r="DV42" i="1"/>
  <c r="DV183" i="1"/>
  <c r="DV112" i="1"/>
  <c r="DV148" i="1"/>
  <c r="DV179" i="1"/>
  <c r="DV128" i="1"/>
  <c r="DV144" i="1"/>
  <c r="DV110" i="1"/>
  <c r="DV81" i="1"/>
  <c r="DV100" i="1"/>
  <c r="DV123" i="1"/>
  <c r="DV86" i="1"/>
  <c r="DV174" i="1"/>
  <c r="DV201" i="1"/>
  <c r="DV90" i="1"/>
  <c r="DV102" i="1"/>
  <c r="DV94" i="1"/>
  <c r="DV119" i="1"/>
  <c r="DV141" i="1"/>
  <c r="DV147" i="1"/>
  <c r="DV165" i="1"/>
  <c r="DV132" i="1"/>
  <c r="DV189" i="1"/>
  <c r="DV133" i="1"/>
  <c r="DV206" i="1"/>
  <c r="DV78" i="1"/>
  <c r="DV143" i="1"/>
  <c r="DV150" i="1"/>
  <c r="DV130" i="1"/>
  <c r="DV96" i="1"/>
  <c r="DV182" i="1"/>
  <c r="DV195" i="1"/>
  <c r="DV178" i="1"/>
  <c r="DV181" i="1"/>
  <c r="DV194" i="1"/>
  <c r="DV208" i="1"/>
  <c r="DV129" i="1"/>
  <c r="DV180" i="1"/>
  <c r="DV140" i="1"/>
  <c r="DV125" i="1"/>
  <c r="DV131" i="1"/>
  <c r="DV173" i="1"/>
  <c r="DV184" i="1"/>
  <c r="DV190" i="1"/>
  <c r="DV142" i="1"/>
  <c r="DV69" i="1"/>
  <c r="DV151" i="1"/>
  <c r="DV193" i="1"/>
  <c r="DV169" i="1"/>
  <c r="DV166" i="1"/>
  <c r="DV97" i="1"/>
  <c r="DV79" i="1"/>
  <c r="DV146" i="1"/>
  <c r="DV204" i="1"/>
  <c r="DV113" i="1"/>
  <c r="DV172" i="1"/>
  <c r="DV171" i="1"/>
  <c r="DV185" i="1"/>
  <c r="DV137" i="1"/>
  <c r="DV205" i="1"/>
  <c r="DV177" i="1"/>
  <c r="DV199" i="1"/>
  <c r="DV106" i="1"/>
  <c r="DV203" i="1"/>
  <c r="DV124" i="1"/>
  <c r="DV170" i="1"/>
  <c r="DV152" i="1"/>
  <c r="DV118" i="1"/>
  <c r="DV198" i="1"/>
  <c r="DV200" i="1"/>
  <c r="DV136" i="1"/>
  <c r="DV108" i="1"/>
  <c r="DV149" i="1"/>
  <c r="DV187" i="1"/>
  <c r="DV168" i="1"/>
  <c r="DV162" i="1"/>
  <c r="DV139" i="1"/>
  <c r="DV196" i="1"/>
  <c r="DV153" i="1"/>
  <c r="DV197" i="1"/>
  <c r="DV176" i="1"/>
  <c r="DV202" i="1"/>
  <c r="DV167" i="1"/>
  <c r="DV207" i="1"/>
  <c r="DV192" i="1"/>
  <c r="DU3" i="1"/>
  <c r="DU2" i="1"/>
  <c r="DU43" i="1"/>
  <c r="DU71" i="1"/>
  <c r="DU7" i="1"/>
  <c r="DU164" i="1"/>
  <c r="DU4" i="1"/>
  <c r="DU99" i="1"/>
  <c r="DU6" i="1"/>
  <c r="DU8" i="1"/>
  <c r="DU10" i="1"/>
  <c r="DU9" i="1"/>
  <c r="DU127" i="1"/>
  <c r="DU11" i="1"/>
  <c r="DU44" i="1"/>
  <c r="DU39" i="1"/>
  <c r="DU45" i="1"/>
  <c r="DU16" i="1"/>
  <c r="DU12" i="1"/>
  <c r="DU48" i="1"/>
  <c r="DU54" i="1"/>
  <c r="DU47" i="1"/>
  <c r="DU20" i="1"/>
  <c r="DU50" i="1"/>
  <c r="DU22" i="1"/>
  <c r="DU49" i="1"/>
  <c r="DU13" i="1"/>
  <c r="DU26" i="1"/>
  <c r="DU52" i="1"/>
  <c r="DU46" i="1"/>
  <c r="DU72" i="1"/>
  <c r="DU5" i="1"/>
  <c r="DU18" i="1"/>
  <c r="DU23" i="1"/>
  <c r="DU15" i="1"/>
  <c r="DU14" i="1"/>
  <c r="DU59" i="1"/>
  <c r="DU38" i="1"/>
  <c r="DU21" i="1"/>
  <c r="DU27" i="1"/>
  <c r="DU17" i="1"/>
  <c r="DU68" i="1"/>
  <c r="DU121" i="1"/>
  <c r="DU24" i="1"/>
  <c r="DU30" i="1"/>
  <c r="DU40" i="1"/>
  <c r="DU35" i="1"/>
  <c r="DU29" i="1"/>
  <c r="DU37" i="1"/>
  <c r="DU28" i="1"/>
  <c r="DU19" i="1"/>
  <c r="DU33" i="1"/>
  <c r="DU109" i="1"/>
  <c r="DU64" i="1"/>
  <c r="DU63" i="1"/>
  <c r="DU77" i="1"/>
  <c r="DU115" i="1"/>
  <c r="DU31" i="1"/>
  <c r="DU41" i="1"/>
  <c r="DU191" i="1"/>
  <c r="DU85" i="1"/>
  <c r="DU62" i="1"/>
  <c r="DU36" i="1"/>
  <c r="DU32" i="1"/>
  <c r="DU34" i="1"/>
  <c r="DU93" i="1"/>
  <c r="DU117" i="1"/>
  <c r="DU154" i="1"/>
  <c r="DU107" i="1"/>
  <c r="DU98" i="1"/>
  <c r="DU138" i="1"/>
  <c r="DU75" i="1"/>
  <c r="DU122" i="1"/>
  <c r="DU84" i="1"/>
  <c r="DU116" i="1"/>
  <c r="DU186" i="1"/>
  <c r="DU89" i="1"/>
  <c r="DU70" i="1"/>
  <c r="DU61" i="1"/>
  <c r="DU74" i="1"/>
  <c r="DU88" i="1"/>
  <c r="DU73" i="1"/>
  <c r="DU111" i="1"/>
  <c r="DU87" i="1"/>
  <c r="DU82" i="1"/>
  <c r="DU53" i="1"/>
  <c r="DU175" i="1"/>
  <c r="DU55" i="1"/>
  <c r="DU51" i="1"/>
  <c r="DU157" i="1"/>
  <c r="DU158" i="1"/>
  <c r="DU83" i="1"/>
  <c r="DU91" i="1"/>
  <c r="DU105" i="1"/>
  <c r="DU103" i="1"/>
  <c r="DU188" i="1"/>
  <c r="DU163" i="1"/>
  <c r="DU101" i="1"/>
  <c r="DU65" i="1"/>
  <c r="DU60" i="1"/>
  <c r="DU80" i="1"/>
  <c r="DU56" i="1"/>
  <c r="DU57" i="1"/>
  <c r="DU25" i="1"/>
  <c r="DU104" i="1"/>
  <c r="DU66" i="1"/>
  <c r="DU58" i="1"/>
  <c r="DU155" i="1"/>
  <c r="DU156" i="1"/>
  <c r="DU134" i="1"/>
  <c r="DU92" i="1"/>
  <c r="DU67" i="1"/>
  <c r="DU126" i="1"/>
  <c r="DU145" i="1"/>
  <c r="DU135" i="1"/>
  <c r="DU159" i="1"/>
  <c r="DU76" i="1"/>
  <c r="DU114" i="1"/>
  <c r="DU161" i="1"/>
  <c r="DU160" i="1"/>
  <c r="DU95" i="1"/>
  <c r="DU120" i="1"/>
  <c r="DU42" i="1"/>
  <c r="DU183" i="1"/>
  <c r="DU112" i="1"/>
  <c r="DU148" i="1"/>
  <c r="DU179" i="1"/>
  <c r="DU128" i="1"/>
  <c r="DU144" i="1"/>
  <c r="DU110" i="1"/>
  <c r="DU81" i="1"/>
  <c r="DU100" i="1"/>
  <c r="DU123" i="1"/>
  <c r="DU86" i="1"/>
  <c r="DU174" i="1"/>
  <c r="DU201" i="1"/>
  <c r="DU90" i="1"/>
  <c r="DU102" i="1"/>
  <c r="DU94" i="1"/>
  <c r="DU119" i="1"/>
  <c r="DU141" i="1"/>
  <c r="DU147" i="1"/>
  <c r="DU165" i="1"/>
  <c r="DU132" i="1"/>
  <c r="DU189" i="1"/>
  <c r="DU133" i="1"/>
  <c r="DU206" i="1"/>
  <c r="DU78" i="1"/>
  <c r="DU143" i="1"/>
  <c r="DU150" i="1"/>
  <c r="DU130" i="1"/>
  <c r="DU96" i="1"/>
  <c r="DU182" i="1"/>
  <c r="DU195" i="1"/>
  <c r="DU178" i="1"/>
  <c r="DU181" i="1"/>
  <c r="DU194" i="1"/>
  <c r="DU208" i="1"/>
  <c r="DU129" i="1"/>
  <c r="DU180" i="1"/>
  <c r="DU140" i="1"/>
  <c r="DU125" i="1"/>
  <c r="DU131" i="1"/>
  <c r="DU173" i="1"/>
  <c r="DU184" i="1"/>
  <c r="DU190" i="1"/>
  <c r="DU142" i="1"/>
  <c r="DU69" i="1"/>
  <c r="DU151" i="1"/>
  <c r="DU193" i="1"/>
  <c r="DU169" i="1"/>
  <c r="DU166" i="1"/>
  <c r="DU97" i="1"/>
  <c r="DU79" i="1"/>
  <c r="DU146" i="1"/>
  <c r="DU204" i="1"/>
  <c r="DU113" i="1"/>
  <c r="DU172" i="1"/>
  <c r="DU171" i="1"/>
  <c r="DU185" i="1"/>
  <c r="DU137" i="1"/>
  <c r="DU205" i="1"/>
  <c r="DU177" i="1"/>
  <c r="DU199" i="1"/>
  <c r="DU106" i="1"/>
  <c r="DU203" i="1"/>
  <c r="DU124" i="1"/>
  <c r="DU170" i="1"/>
  <c r="DU152" i="1"/>
  <c r="DU118" i="1"/>
  <c r="DU198" i="1"/>
  <c r="DU200" i="1"/>
  <c r="DU136" i="1"/>
  <c r="DU108" i="1"/>
  <c r="DU149" i="1"/>
  <c r="DU187" i="1"/>
  <c r="DU168" i="1"/>
  <c r="DU162" i="1"/>
  <c r="DU139" i="1"/>
  <c r="DU196" i="1"/>
  <c r="DU153" i="1"/>
  <c r="DU197" i="1"/>
  <c r="DU176" i="1"/>
  <c r="DU202" i="1"/>
  <c r="DU167" i="1"/>
  <c r="DU207" i="1"/>
  <c r="DU192" i="1"/>
  <c r="DT3" i="1"/>
  <c r="DT2" i="1"/>
  <c r="DT43" i="1"/>
  <c r="DT71" i="1"/>
  <c r="DT7" i="1"/>
  <c r="DT164" i="1"/>
  <c r="DT4" i="1"/>
  <c r="DT99" i="1"/>
  <c r="DT6" i="1"/>
  <c r="DT8" i="1"/>
  <c r="DT10" i="1"/>
  <c r="DT9" i="1"/>
  <c r="DT127" i="1"/>
  <c r="DT11" i="1"/>
  <c r="DT44" i="1"/>
  <c r="DT39" i="1"/>
  <c r="DT45" i="1"/>
  <c r="DT16" i="1"/>
  <c r="DT12" i="1"/>
  <c r="DT48" i="1"/>
  <c r="DT54" i="1"/>
  <c r="DT47" i="1"/>
  <c r="DT20" i="1"/>
  <c r="DT50" i="1"/>
  <c r="DT22" i="1"/>
  <c r="DT49" i="1"/>
  <c r="DT13" i="1"/>
  <c r="DT26" i="1"/>
  <c r="DT52" i="1"/>
  <c r="DT46" i="1"/>
  <c r="DT72" i="1"/>
  <c r="DT5" i="1"/>
  <c r="DT18" i="1"/>
  <c r="DT23" i="1"/>
  <c r="DT15" i="1"/>
  <c r="DT14" i="1"/>
  <c r="DT59" i="1"/>
  <c r="DT38" i="1"/>
  <c r="DT21" i="1"/>
  <c r="DT27" i="1"/>
  <c r="DT17" i="1"/>
  <c r="DT68" i="1"/>
  <c r="DT121" i="1"/>
  <c r="DT24" i="1"/>
  <c r="DT30" i="1"/>
  <c r="DT40" i="1"/>
  <c r="DT35" i="1"/>
  <c r="DT29" i="1"/>
  <c r="DT37" i="1"/>
  <c r="DT28" i="1"/>
  <c r="DT19" i="1"/>
  <c r="DT33" i="1"/>
  <c r="DT109" i="1"/>
  <c r="DT64" i="1"/>
  <c r="DT63" i="1"/>
  <c r="DT77" i="1"/>
  <c r="DT115" i="1"/>
  <c r="DT31" i="1"/>
  <c r="DT41" i="1"/>
  <c r="DT191" i="1"/>
  <c r="DT85" i="1"/>
  <c r="DT62" i="1"/>
  <c r="DT36" i="1"/>
  <c r="DT32" i="1"/>
  <c r="DT34" i="1"/>
  <c r="DT93" i="1"/>
  <c r="DT117" i="1"/>
  <c r="DT154" i="1"/>
  <c r="DT107" i="1"/>
  <c r="DT98" i="1"/>
  <c r="DT138" i="1"/>
  <c r="DT75" i="1"/>
  <c r="DT122" i="1"/>
  <c r="DT84" i="1"/>
  <c r="DT116" i="1"/>
  <c r="DT186" i="1"/>
  <c r="DT89" i="1"/>
  <c r="DT70" i="1"/>
  <c r="DT61" i="1"/>
  <c r="DT74" i="1"/>
  <c r="DT88" i="1"/>
  <c r="DT73" i="1"/>
  <c r="DT111" i="1"/>
  <c r="DT87" i="1"/>
  <c r="DT82" i="1"/>
  <c r="DT53" i="1"/>
  <c r="DT175" i="1"/>
  <c r="DT55" i="1"/>
  <c r="DT51" i="1"/>
  <c r="DT157" i="1"/>
  <c r="DT158" i="1"/>
  <c r="DT83" i="1"/>
  <c r="DT91" i="1"/>
  <c r="DT105" i="1"/>
  <c r="DT103" i="1"/>
  <c r="DT188" i="1"/>
  <c r="DT163" i="1"/>
  <c r="DT101" i="1"/>
  <c r="DT65" i="1"/>
  <c r="DT60" i="1"/>
  <c r="DT80" i="1"/>
  <c r="DT56" i="1"/>
  <c r="DT57" i="1"/>
  <c r="DT25" i="1"/>
  <c r="DT104" i="1"/>
  <c r="DT66" i="1"/>
  <c r="DT58" i="1"/>
  <c r="DT155" i="1"/>
  <c r="DT156" i="1"/>
  <c r="DT134" i="1"/>
  <c r="DT92" i="1"/>
  <c r="DT67" i="1"/>
  <c r="DT126" i="1"/>
  <c r="DT145" i="1"/>
  <c r="DT135" i="1"/>
  <c r="DT159" i="1"/>
  <c r="DT76" i="1"/>
  <c r="DT114" i="1"/>
  <c r="DT161" i="1"/>
  <c r="DT160" i="1"/>
  <c r="DT95" i="1"/>
  <c r="DT120" i="1"/>
  <c r="DT42" i="1"/>
  <c r="DT183" i="1"/>
  <c r="DT112" i="1"/>
  <c r="DT148" i="1"/>
  <c r="DT179" i="1"/>
  <c r="DT128" i="1"/>
  <c r="DT144" i="1"/>
  <c r="DT110" i="1"/>
  <c r="DT81" i="1"/>
  <c r="DT100" i="1"/>
  <c r="DT123" i="1"/>
  <c r="DT86" i="1"/>
  <c r="DT174" i="1"/>
  <c r="DT201" i="1"/>
  <c r="DT90" i="1"/>
  <c r="DT102" i="1"/>
  <c r="DT94" i="1"/>
  <c r="DT119" i="1"/>
  <c r="DT141" i="1"/>
  <c r="DT147" i="1"/>
  <c r="DT165" i="1"/>
  <c r="DT132" i="1"/>
  <c r="DT189" i="1"/>
  <c r="DT133" i="1"/>
  <c r="DT206" i="1"/>
  <c r="DT78" i="1"/>
  <c r="DT143" i="1"/>
  <c r="DT150" i="1"/>
  <c r="DT130" i="1"/>
  <c r="DT96" i="1"/>
  <c r="DT182" i="1"/>
  <c r="DT195" i="1"/>
  <c r="DT178" i="1"/>
  <c r="DT181" i="1"/>
  <c r="DT194" i="1"/>
  <c r="DT208" i="1"/>
  <c r="DT129" i="1"/>
  <c r="DT180" i="1"/>
  <c r="DT140" i="1"/>
  <c r="DT125" i="1"/>
  <c r="DT131" i="1"/>
  <c r="DT173" i="1"/>
  <c r="DT184" i="1"/>
  <c r="DT190" i="1"/>
  <c r="DT142" i="1"/>
  <c r="DT69" i="1"/>
  <c r="DT151" i="1"/>
  <c r="DT193" i="1"/>
  <c r="DT169" i="1"/>
  <c r="DT166" i="1"/>
  <c r="DT97" i="1"/>
  <c r="DT79" i="1"/>
  <c r="DT146" i="1"/>
  <c r="DT204" i="1"/>
  <c r="DT113" i="1"/>
  <c r="DT172" i="1"/>
  <c r="DT171" i="1"/>
  <c r="DT185" i="1"/>
  <c r="DT137" i="1"/>
  <c r="DT205" i="1"/>
  <c r="DT177" i="1"/>
  <c r="DT199" i="1"/>
  <c r="DT106" i="1"/>
  <c r="DT203" i="1"/>
  <c r="DT124" i="1"/>
  <c r="DT170" i="1"/>
  <c r="DT152" i="1"/>
  <c r="DT118" i="1"/>
  <c r="DT198" i="1"/>
  <c r="DT200" i="1"/>
  <c r="DT136" i="1"/>
  <c r="DT108" i="1"/>
  <c r="DT149" i="1"/>
  <c r="DT187" i="1"/>
  <c r="DT168" i="1"/>
  <c r="DT162" i="1"/>
  <c r="DT139" i="1"/>
  <c r="DT196" i="1"/>
  <c r="DT153" i="1"/>
  <c r="DT197" i="1"/>
  <c r="DT176" i="1"/>
  <c r="DT202" i="1"/>
  <c r="DT167" i="1"/>
  <c r="DT207" i="1"/>
  <c r="DT192" i="1"/>
  <c r="DS3" i="1"/>
  <c r="DS2" i="1"/>
  <c r="DS43" i="1"/>
  <c r="DS71" i="1"/>
  <c r="DS7" i="1"/>
  <c r="DS164" i="1"/>
  <c r="DS4" i="1"/>
  <c r="DS99" i="1"/>
  <c r="DS6" i="1"/>
  <c r="DS8" i="1"/>
  <c r="DS10" i="1"/>
  <c r="DS9" i="1"/>
  <c r="DS127" i="1"/>
  <c r="DS11" i="1"/>
  <c r="DS44" i="1"/>
  <c r="DS39" i="1"/>
  <c r="DS45" i="1"/>
  <c r="DS16" i="1"/>
  <c r="DS12" i="1"/>
  <c r="DS48" i="1"/>
  <c r="DS54" i="1"/>
  <c r="DS47" i="1"/>
  <c r="DS20" i="1"/>
  <c r="DS50" i="1"/>
  <c r="DS22" i="1"/>
  <c r="DS49" i="1"/>
  <c r="DS13" i="1"/>
  <c r="DS26" i="1"/>
  <c r="DS52" i="1"/>
  <c r="DS46" i="1"/>
  <c r="DS72" i="1"/>
  <c r="DS5" i="1"/>
  <c r="DS18" i="1"/>
  <c r="DS23" i="1"/>
  <c r="DS15" i="1"/>
  <c r="DS14" i="1"/>
  <c r="DS59" i="1"/>
  <c r="DS38" i="1"/>
  <c r="DS21" i="1"/>
  <c r="DS27" i="1"/>
  <c r="DS17" i="1"/>
  <c r="DS68" i="1"/>
  <c r="DS121" i="1"/>
  <c r="DS24" i="1"/>
  <c r="DS30" i="1"/>
  <c r="DS40" i="1"/>
  <c r="DS35" i="1"/>
  <c r="DS29" i="1"/>
  <c r="DS37" i="1"/>
  <c r="DS28" i="1"/>
  <c r="DS19" i="1"/>
  <c r="DS33" i="1"/>
  <c r="DS109" i="1"/>
  <c r="DS64" i="1"/>
  <c r="DS63" i="1"/>
  <c r="DS77" i="1"/>
  <c r="DS115" i="1"/>
  <c r="DS31" i="1"/>
  <c r="DS41" i="1"/>
  <c r="DS191" i="1"/>
  <c r="DS85" i="1"/>
  <c r="DS62" i="1"/>
  <c r="DS36" i="1"/>
  <c r="DS32" i="1"/>
  <c r="DS34" i="1"/>
  <c r="DS93" i="1"/>
  <c r="DS117" i="1"/>
  <c r="DS154" i="1"/>
  <c r="DS107" i="1"/>
  <c r="DS98" i="1"/>
  <c r="DS138" i="1"/>
  <c r="DS75" i="1"/>
  <c r="DS122" i="1"/>
  <c r="DS84" i="1"/>
  <c r="DS116" i="1"/>
  <c r="DS186" i="1"/>
  <c r="DS89" i="1"/>
  <c r="DS70" i="1"/>
  <c r="DS61" i="1"/>
  <c r="DS74" i="1"/>
  <c r="DS88" i="1"/>
  <c r="DS73" i="1"/>
  <c r="DS111" i="1"/>
  <c r="DS87" i="1"/>
  <c r="DS82" i="1"/>
  <c r="DS53" i="1"/>
  <c r="DS175" i="1"/>
  <c r="DS55" i="1"/>
  <c r="DS51" i="1"/>
  <c r="DS157" i="1"/>
  <c r="DS158" i="1"/>
  <c r="DS83" i="1"/>
  <c r="DS91" i="1"/>
  <c r="DS105" i="1"/>
  <c r="DS103" i="1"/>
  <c r="DS188" i="1"/>
  <c r="DS163" i="1"/>
  <c r="DS101" i="1"/>
  <c r="DS65" i="1"/>
  <c r="DS60" i="1"/>
  <c r="DS80" i="1"/>
  <c r="DS56" i="1"/>
  <c r="DS57" i="1"/>
  <c r="DS25" i="1"/>
  <c r="DS104" i="1"/>
  <c r="DS66" i="1"/>
  <c r="DS58" i="1"/>
  <c r="DS155" i="1"/>
  <c r="DS156" i="1"/>
  <c r="DS134" i="1"/>
  <c r="DS92" i="1"/>
  <c r="DS67" i="1"/>
  <c r="DS126" i="1"/>
  <c r="DS145" i="1"/>
  <c r="DS135" i="1"/>
  <c r="DS159" i="1"/>
  <c r="DS76" i="1"/>
  <c r="DS114" i="1"/>
  <c r="DS161" i="1"/>
  <c r="DS160" i="1"/>
  <c r="DS95" i="1"/>
  <c r="DS120" i="1"/>
  <c r="DS42" i="1"/>
  <c r="DS183" i="1"/>
  <c r="DS112" i="1"/>
  <c r="DS148" i="1"/>
  <c r="DS179" i="1"/>
  <c r="DS128" i="1"/>
  <c r="DS144" i="1"/>
  <c r="DS110" i="1"/>
  <c r="DS81" i="1"/>
  <c r="DS100" i="1"/>
  <c r="DS123" i="1"/>
  <c r="DS86" i="1"/>
  <c r="DS174" i="1"/>
  <c r="DS201" i="1"/>
  <c r="DS90" i="1"/>
  <c r="DS102" i="1"/>
  <c r="DS94" i="1"/>
  <c r="DS119" i="1"/>
  <c r="DS141" i="1"/>
  <c r="DS147" i="1"/>
  <c r="DS165" i="1"/>
  <c r="DS132" i="1"/>
  <c r="DS189" i="1"/>
  <c r="DS133" i="1"/>
  <c r="DS206" i="1"/>
  <c r="DS78" i="1"/>
  <c r="DS143" i="1"/>
  <c r="DS150" i="1"/>
  <c r="DS130" i="1"/>
  <c r="DS96" i="1"/>
  <c r="DS182" i="1"/>
  <c r="DS195" i="1"/>
  <c r="DS178" i="1"/>
  <c r="DS181" i="1"/>
  <c r="DS194" i="1"/>
  <c r="DS208" i="1"/>
  <c r="DS129" i="1"/>
  <c r="DS180" i="1"/>
  <c r="DS140" i="1"/>
  <c r="DS125" i="1"/>
  <c r="DS131" i="1"/>
  <c r="DS173" i="1"/>
  <c r="DS184" i="1"/>
  <c r="DS190" i="1"/>
  <c r="DS142" i="1"/>
  <c r="DS69" i="1"/>
  <c r="DS151" i="1"/>
  <c r="DS193" i="1"/>
  <c r="DS169" i="1"/>
  <c r="DS166" i="1"/>
  <c r="DS97" i="1"/>
  <c r="DS79" i="1"/>
  <c r="DS146" i="1"/>
  <c r="DS204" i="1"/>
  <c r="DS113" i="1"/>
  <c r="DS172" i="1"/>
  <c r="DS171" i="1"/>
  <c r="DS185" i="1"/>
  <c r="DS137" i="1"/>
  <c r="DS205" i="1"/>
  <c r="DS177" i="1"/>
  <c r="DS199" i="1"/>
  <c r="DS106" i="1"/>
  <c r="DS203" i="1"/>
  <c r="DS124" i="1"/>
  <c r="DS170" i="1"/>
  <c r="DS152" i="1"/>
  <c r="DS118" i="1"/>
  <c r="DS198" i="1"/>
  <c r="DS200" i="1"/>
  <c r="DS136" i="1"/>
  <c r="DS108" i="1"/>
  <c r="DS149" i="1"/>
  <c r="DS187" i="1"/>
  <c r="DS168" i="1"/>
  <c r="DS162" i="1"/>
  <c r="DS139" i="1"/>
  <c r="DS196" i="1"/>
  <c r="DS153" i="1"/>
  <c r="DS197" i="1"/>
  <c r="DS176" i="1"/>
  <c r="DS202" i="1"/>
  <c r="DS167" i="1"/>
  <c r="DS207" i="1"/>
  <c r="DS192" i="1"/>
  <c r="DR3" i="1"/>
  <c r="DR2" i="1"/>
  <c r="DR43" i="1"/>
  <c r="DR71" i="1"/>
  <c r="DR7" i="1"/>
  <c r="DR164" i="1"/>
  <c r="DR4" i="1"/>
  <c r="DR99" i="1"/>
  <c r="DR6" i="1"/>
  <c r="DR8" i="1"/>
  <c r="DR10" i="1"/>
  <c r="DR9" i="1"/>
  <c r="DR127" i="1"/>
  <c r="DR11" i="1"/>
  <c r="DR44" i="1"/>
  <c r="DR39" i="1"/>
  <c r="DR45" i="1"/>
  <c r="DR16" i="1"/>
  <c r="DR12" i="1"/>
  <c r="DR48" i="1"/>
  <c r="DR54" i="1"/>
  <c r="DR47" i="1"/>
  <c r="DR20" i="1"/>
  <c r="DR50" i="1"/>
  <c r="DR22" i="1"/>
  <c r="DR49" i="1"/>
  <c r="DR13" i="1"/>
  <c r="DR26" i="1"/>
  <c r="DR52" i="1"/>
  <c r="DR46" i="1"/>
  <c r="DR72" i="1"/>
  <c r="DR5" i="1"/>
  <c r="DR18" i="1"/>
  <c r="DR23" i="1"/>
  <c r="DR15" i="1"/>
  <c r="DR14" i="1"/>
  <c r="DR59" i="1"/>
  <c r="DR38" i="1"/>
  <c r="DR21" i="1"/>
  <c r="DR27" i="1"/>
  <c r="DR17" i="1"/>
  <c r="DR68" i="1"/>
  <c r="DR121" i="1"/>
  <c r="DR24" i="1"/>
  <c r="DR30" i="1"/>
  <c r="DR40" i="1"/>
  <c r="DR35" i="1"/>
  <c r="DR29" i="1"/>
  <c r="DR37" i="1"/>
  <c r="DR28" i="1"/>
  <c r="DR19" i="1"/>
  <c r="DR33" i="1"/>
  <c r="DR109" i="1"/>
  <c r="DR64" i="1"/>
  <c r="DR63" i="1"/>
  <c r="DR77" i="1"/>
  <c r="DR115" i="1"/>
  <c r="DR31" i="1"/>
  <c r="DR41" i="1"/>
  <c r="DR191" i="1"/>
  <c r="DR85" i="1"/>
  <c r="DR62" i="1"/>
  <c r="DR36" i="1"/>
  <c r="DR32" i="1"/>
  <c r="DR34" i="1"/>
  <c r="DR93" i="1"/>
  <c r="DR117" i="1"/>
  <c r="DR154" i="1"/>
  <c r="DR107" i="1"/>
  <c r="DR98" i="1"/>
  <c r="DR138" i="1"/>
  <c r="DR75" i="1"/>
  <c r="DR122" i="1"/>
  <c r="DR84" i="1"/>
  <c r="DR116" i="1"/>
  <c r="DR186" i="1"/>
  <c r="DR89" i="1"/>
  <c r="DR70" i="1"/>
  <c r="DR61" i="1"/>
  <c r="DR74" i="1"/>
  <c r="DR88" i="1"/>
  <c r="DR73" i="1"/>
  <c r="DR111" i="1"/>
  <c r="DR87" i="1"/>
  <c r="DR82" i="1"/>
  <c r="DR53" i="1"/>
  <c r="DR175" i="1"/>
  <c r="DR55" i="1"/>
  <c r="DR51" i="1"/>
  <c r="DR157" i="1"/>
  <c r="DR158" i="1"/>
  <c r="DR83" i="1"/>
  <c r="DR91" i="1"/>
  <c r="DR105" i="1"/>
  <c r="DR103" i="1"/>
  <c r="DR188" i="1"/>
  <c r="DR163" i="1"/>
  <c r="DR101" i="1"/>
  <c r="DR65" i="1"/>
  <c r="DR60" i="1"/>
  <c r="DR80" i="1"/>
  <c r="DR56" i="1"/>
  <c r="DR57" i="1"/>
  <c r="DR25" i="1"/>
  <c r="DR104" i="1"/>
  <c r="DR66" i="1"/>
  <c r="DR58" i="1"/>
  <c r="DR155" i="1"/>
  <c r="DR156" i="1"/>
  <c r="DR134" i="1"/>
  <c r="DR92" i="1"/>
  <c r="DR67" i="1"/>
  <c r="DR126" i="1"/>
  <c r="DR145" i="1"/>
  <c r="DR135" i="1"/>
  <c r="DR159" i="1"/>
  <c r="DR76" i="1"/>
  <c r="DR114" i="1"/>
  <c r="DR161" i="1"/>
  <c r="DR160" i="1"/>
  <c r="DR95" i="1"/>
  <c r="DR120" i="1"/>
  <c r="DR42" i="1"/>
  <c r="DR183" i="1"/>
  <c r="DR112" i="1"/>
  <c r="DR148" i="1"/>
  <c r="DR179" i="1"/>
  <c r="DR128" i="1"/>
  <c r="DR144" i="1"/>
  <c r="DR110" i="1"/>
  <c r="DR81" i="1"/>
  <c r="DR100" i="1"/>
  <c r="DR123" i="1"/>
  <c r="DR86" i="1"/>
  <c r="DR174" i="1"/>
  <c r="DR201" i="1"/>
  <c r="DR90" i="1"/>
  <c r="DR102" i="1"/>
  <c r="DR94" i="1"/>
  <c r="DR119" i="1"/>
  <c r="DR141" i="1"/>
  <c r="DR147" i="1"/>
  <c r="DR165" i="1"/>
  <c r="DR132" i="1"/>
  <c r="DR189" i="1"/>
  <c r="DR133" i="1"/>
  <c r="DR206" i="1"/>
  <c r="DR78" i="1"/>
  <c r="DR143" i="1"/>
  <c r="DR150" i="1"/>
  <c r="DR130" i="1"/>
  <c r="DR96" i="1"/>
  <c r="DR182" i="1"/>
  <c r="DR195" i="1"/>
  <c r="DR178" i="1"/>
  <c r="DR181" i="1"/>
  <c r="DR194" i="1"/>
  <c r="DR208" i="1"/>
  <c r="DR129" i="1"/>
  <c r="DR180" i="1"/>
  <c r="DR140" i="1"/>
  <c r="DR125" i="1"/>
  <c r="DR131" i="1"/>
  <c r="DR173" i="1"/>
  <c r="DR184" i="1"/>
  <c r="DR190" i="1"/>
  <c r="DR142" i="1"/>
  <c r="DR69" i="1"/>
  <c r="DR151" i="1"/>
  <c r="DR193" i="1"/>
  <c r="DR169" i="1"/>
  <c r="DR166" i="1"/>
  <c r="DR97" i="1"/>
  <c r="DR79" i="1"/>
  <c r="DR146" i="1"/>
  <c r="DR204" i="1"/>
  <c r="DR113" i="1"/>
  <c r="DR172" i="1"/>
  <c r="DR171" i="1"/>
  <c r="DR185" i="1"/>
  <c r="DR137" i="1"/>
  <c r="DR205" i="1"/>
  <c r="DR177" i="1"/>
  <c r="DR199" i="1"/>
  <c r="DR106" i="1"/>
  <c r="DR203" i="1"/>
  <c r="DR124" i="1"/>
  <c r="DR170" i="1"/>
  <c r="DR152" i="1"/>
  <c r="DR118" i="1"/>
  <c r="DR198" i="1"/>
  <c r="DR200" i="1"/>
  <c r="DR136" i="1"/>
  <c r="DR108" i="1"/>
  <c r="DR149" i="1"/>
  <c r="DR187" i="1"/>
  <c r="DR168" i="1"/>
  <c r="DR162" i="1"/>
  <c r="DR139" i="1"/>
  <c r="DR196" i="1"/>
  <c r="DR153" i="1"/>
  <c r="DR197" i="1"/>
  <c r="DR176" i="1"/>
  <c r="DR202" i="1"/>
  <c r="DR167" i="1"/>
  <c r="DR207" i="1"/>
  <c r="DR192" i="1"/>
  <c r="DQ3" i="1"/>
  <c r="DQ2" i="1"/>
  <c r="DQ43" i="1"/>
  <c r="DQ71" i="1"/>
  <c r="DQ7" i="1"/>
  <c r="DQ164" i="1"/>
  <c r="DQ4" i="1"/>
  <c r="DQ99" i="1"/>
  <c r="DQ6" i="1"/>
  <c r="DQ8" i="1"/>
  <c r="DQ10" i="1"/>
  <c r="DQ9" i="1"/>
  <c r="DQ127" i="1"/>
  <c r="DQ11" i="1"/>
  <c r="DQ44" i="1"/>
  <c r="DQ39" i="1"/>
  <c r="DQ45" i="1"/>
  <c r="DQ16" i="1"/>
  <c r="DQ12" i="1"/>
  <c r="DQ48" i="1"/>
  <c r="DQ54" i="1"/>
  <c r="DQ47" i="1"/>
  <c r="DQ20" i="1"/>
  <c r="DQ50" i="1"/>
  <c r="DQ22" i="1"/>
  <c r="DQ49" i="1"/>
  <c r="DQ13" i="1"/>
  <c r="DQ26" i="1"/>
  <c r="DQ52" i="1"/>
  <c r="DQ46" i="1"/>
  <c r="DQ72" i="1"/>
  <c r="DQ5" i="1"/>
  <c r="DQ18" i="1"/>
  <c r="DQ23" i="1"/>
  <c r="DQ15" i="1"/>
  <c r="DQ14" i="1"/>
  <c r="DQ59" i="1"/>
  <c r="DQ38" i="1"/>
  <c r="DQ21" i="1"/>
  <c r="DQ27" i="1"/>
  <c r="DQ17" i="1"/>
  <c r="DQ68" i="1"/>
  <c r="DQ121" i="1"/>
  <c r="DQ24" i="1"/>
  <c r="DQ30" i="1"/>
  <c r="DQ40" i="1"/>
  <c r="DQ35" i="1"/>
  <c r="DQ29" i="1"/>
  <c r="DQ37" i="1"/>
  <c r="DQ28" i="1"/>
  <c r="DQ19" i="1"/>
  <c r="DQ33" i="1"/>
  <c r="DQ109" i="1"/>
  <c r="DQ64" i="1"/>
  <c r="DQ63" i="1"/>
  <c r="DQ77" i="1"/>
  <c r="DQ115" i="1"/>
  <c r="DQ31" i="1"/>
  <c r="DQ41" i="1"/>
  <c r="DQ191" i="1"/>
  <c r="DQ85" i="1"/>
  <c r="DQ62" i="1"/>
  <c r="DQ36" i="1"/>
  <c r="DQ32" i="1"/>
  <c r="DQ34" i="1"/>
  <c r="DQ93" i="1"/>
  <c r="DQ117" i="1"/>
  <c r="DQ154" i="1"/>
  <c r="DQ107" i="1"/>
  <c r="DQ98" i="1"/>
  <c r="DQ138" i="1"/>
  <c r="DQ75" i="1"/>
  <c r="DQ122" i="1"/>
  <c r="DQ84" i="1"/>
  <c r="DQ116" i="1"/>
  <c r="DQ186" i="1"/>
  <c r="DQ89" i="1"/>
  <c r="DQ70" i="1"/>
  <c r="DQ61" i="1"/>
  <c r="DQ74" i="1"/>
  <c r="DQ88" i="1"/>
  <c r="DQ73" i="1"/>
  <c r="DQ111" i="1"/>
  <c r="DQ87" i="1"/>
  <c r="DQ82" i="1"/>
  <c r="DQ53" i="1"/>
  <c r="DQ175" i="1"/>
  <c r="DQ55" i="1"/>
  <c r="DQ51" i="1"/>
  <c r="DQ157" i="1"/>
  <c r="DQ158" i="1"/>
  <c r="DQ83" i="1"/>
  <c r="DQ91" i="1"/>
  <c r="DQ105" i="1"/>
  <c r="DQ103" i="1"/>
  <c r="DQ188" i="1"/>
  <c r="DQ163" i="1"/>
  <c r="DQ101" i="1"/>
  <c r="DQ65" i="1"/>
  <c r="DQ60" i="1"/>
  <c r="DQ80" i="1"/>
  <c r="DQ56" i="1"/>
  <c r="DQ57" i="1"/>
  <c r="DQ25" i="1"/>
  <c r="DQ104" i="1"/>
  <c r="DQ66" i="1"/>
  <c r="DQ58" i="1"/>
  <c r="DQ155" i="1"/>
  <c r="DQ156" i="1"/>
  <c r="DQ134" i="1"/>
  <c r="DQ92" i="1"/>
  <c r="DQ67" i="1"/>
  <c r="DQ126" i="1"/>
  <c r="DQ145" i="1"/>
  <c r="DQ135" i="1"/>
  <c r="DQ159" i="1"/>
  <c r="DQ76" i="1"/>
  <c r="DQ114" i="1"/>
  <c r="DQ161" i="1"/>
  <c r="DQ160" i="1"/>
  <c r="DQ95" i="1"/>
  <c r="DQ120" i="1"/>
  <c r="DQ42" i="1"/>
  <c r="DQ183" i="1"/>
  <c r="DQ112" i="1"/>
  <c r="DQ148" i="1"/>
  <c r="DQ179" i="1"/>
  <c r="DQ128" i="1"/>
  <c r="DQ144" i="1"/>
  <c r="DQ110" i="1"/>
  <c r="DQ81" i="1"/>
  <c r="DQ100" i="1"/>
  <c r="DQ123" i="1"/>
  <c r="DQ86" i="1"/>
  <c r="DQ174" i="1"/>
  <c r="DQ201" i="1"/>
  <c r="DQ90" i="1"/>
  <c r="DQ102" i="1"/>
  <c r="DQ94" i="1"/>
  <c r="DQ119" i="1"/>
  <c r="DQ141" i="1"/>
  <c r="DQ147" i="1"/>
  <c r="DQ165" i="1"/>
  <c r="DQ132" i="1"/>
  <c r="DQ189" i="1"/>
  <c r="DQ133" i="1"/>
  <c r="DQ206" i="1"/>
  <c r="DQ78" i="1"/>
  <c r="DQ143" i="1"/>
  <c r="DQ150" i="1"/>
  <c r="DQ130" i="1"/>
  <c r="DQ96" i="1"/>
  <c r="DQ182" i="1"/>
  <c r="DQ195" i="1"/>
  <c r="DQ178" i="1"/>
  <c r="DQ181" i="1"/>
  <c r="DQ194" i="1"/>
  <c r="DQ208" i="1"/>
  <c r="DQ129" i="1"/>
  <c r="DQ180" i="1"/>
  <c r="DQ140" i="1"/>
  <c r="DQ125" i="1"/>
  <c r="DQ131" i="1"/>
  <c r="DQ173" i="1"/>
  <c r="DQ184" i="1"/>
  <c r="DQ190" i="1"/>
  <c r="DQ142" i="1"/>
  <c r="DQ69" i="1"/>
  <c r="DQ151" i="1"/>
  <c r="DQ193" i="1"/>
  <c r="DQ169" i="1"/>
  <c r="DQ166" i="1"/>
  <c r="DQ97" i="1"/>
  <c r="DQ79" i="1"/>
  <c r="DQ146" i="1"/>
  <c r="DQ204" i="1"/>
  <c r="DQ113" i="1"/>
  <c r="DQ172" i="1"/>
  <c r="DQ171" i="1"/>
  <c r="DQ185" i="1"/>
  <c r="DQ137" i="1"/>
  <c r="DQ205" i="1"/>
  <c r="DQ177" i="1"/>
  <c r="DQ199" i="1"/>
  <c r="DQ106" i="1"/>
  <c r="DQ203" i="1"/>
  <c r="DQ124" i="1"/>
  <c r="DQ170" i="1"/>
  <c r="DQ152" i="1"/>
  <c r="DQ118" i="1"/>
  <c r="DQ198" i="1"/>
  <c r="DQ200" i="1"/>
  <c r="DQ136" i="1"/>
  <c r="DQ108" i="1"/>
  <c r="DQ149" i="1"/>
  <c r="DQ187" i="1"/>
  <c r="DQ168" i="1"/>
  <c r="DQ162" i="1"/>
  <c r="DQ139" i="1"/>
  <c r="DQ196" i="1"/>
  <c r="DQ153" i="1"/>
  <c r="DQ197" i="1"/>
  <c r="DQ176" i="1"/>
  <c r="DQ202" i="1"/>
  <c r="DQ167" i="1"/>
  <c r="DQ207" i="1"/>
  <c r="DQ192" i="1"/>
  <c r="DN3" i="1"/>
  <c r="DN2" i="1"/>
  <c r="DN43" i="1"/>
  <c r="DN71" i="1"/>
  <c r="DN7" i="1"/>
  <c r="DN164" i="1"/>
  <c r="DN4" i="1"/>
  <c r="DN99" i="1"/>
  <c r="DN6" i="1"/>
  <c r="DN8" i="1"/>
  <c r="DN10" i="1"/>
  <c r="DN9" i="1"/>
  <c r="DN127" i="1"/>
  <c r="DN11" i="1"/>
  <c r="DN44" i="1"/>
  <c r="DN39" i="1"/>
  <c r="DN45" i="1"/>
  <c r="DN16" i="1"/>
  <c r="DN12" i="1"/>
  <c r="DN48" i="1"/>
  <c r="DN54" i="1"/>
  <c r="DN47" i="1"/>
  <c r="DN20" i="1"/>
  <c r="DN50" i="1"/>
  <c r="DN22" i="1"/>
  <c r="DN49" i="1"/>
  <c r="DN13" i="1"/>
  <c r="DN26" i="1"/>
  <c r="DN52" i="1"/>
  <c r="DN46" i="1"/>
  <c r="DN72" i="1"/>
  <c r="DN5" i="1"/>
  <c r="DN18" i="1"/>
  <c r="DN23" i="1"/>
  <c r="DN15" i="1"/>
  <c r="DN14" i="1"/>
  <c r="DN59" i="1"/>
  <c r="DN38" i="1"/>
  <c r="DN21" i="1"/>
  <c r="DN27" i="1"/>
  <c r="DN17" i="1"/>
  <c r="DN68" i="1"/>
  <c r="DN121" i="1"/>
  <c r="DN24" i="1"/>
  <c r="DN30" i="1"/>
  <c r="DN40" i="1"/>
  <c r="DN35" i="1"/>
  <c r="DN29" i="1"/>
  <c r="DN37" i="1"/>
  <c r="DN28" i="1"/>
  <c r="DN19" i="1"/>
  <c r="DN33" i="1"/>
  <c r="DN109" i="1"/>
  <c r="DN64" i="1"/>
  <c r="DN63" i="1"/>
  <c r="DN77" i="1"/>
  <c r="DN115" i="1"/>
  <c r="DN31" i="1"/>
  <c r="DN41" i="1"/>
  <c r="DN191" i="1"/>
  <c r="DN85" i="1"/>
  <c r="DN62" i="1"/>
  <c r="DN36" i="1"/>
  <c r="DN32" i="1"/>
  <c r="DN34" i="1"/>
  <c r="DN93" i="1"/>
  <c r="DN117" i="1"/>
  <c r="DN154" i="1"/>
  <c r="DN107" i="1"/>
  <c r="DN98" i="1"/>
  <c r="DN138" i="1"/>
  <c r="DN75" i="1"/>
  <c r="DN122" i="1"/>
  <c r="DN84" i="1"/>
  <c r="DN116" i="1"/>
  <c r="DN186" i="1"/>
  <c r="DN89" i="1"/>
  <c r="DN70" i="1"/>
  <c r="DN61" i="1"/>
  <c r="DN74" i="1"/>
  <c r="DN88" i="1"/>
  <c r="DN73" i="1"/>
  <c r="DN111" i="1"/>
  <c r="DN87" i="1"/>
  <c r="DN82" i="1"/>
  <c r="DN53" i="1"/>
  <c r="DN175" i="1"/>
  <c r="DN55" i="1"/>
  <c r="DN51" i="1"/>
  <c r="DN157" i="1"/>
  <c r="DN158" i="1"/>
  <c r="DN83" i="1"/>
  <c r="DN91" i="1"/>
  <c r="DN105" i="1"/>
  <c r="DN103" i="1"/>
  <c r="DN188" i="1"/>
  <c r="DN163" i="1"/>
  <c r="DN101" i="1"/>
  <c r="DN65" i="1"/>
  <c r="DN60" i="1"/>
  <c r="DN80" i="1"/>
  <c r="DN56" i="1"/>
  <c r="DN57" i="1"/>
  <c r="DN25" i="1"/>
  <c r="DN104" i="1"/>
  <c r="DN66" i="1"/>
  <c r="DN58" i="1"/>
  <c r="DN155" i="1"/>
  <c r="DN156" i="1"/>
  <c r="DN134" i="1"/>
  <c r="DN92" i="1"/>
  <c r="DN67" i="1"/>
  <c r="DN126" i="1"/>
  <c r="DN145" i="1"/>
  <c r="DN135" i="1"/>
  <c r="DN159" i="1"/>
  <c r="DN76" i="1"/>
  <c r="DN114" i="1"/>
  <c r="DN161" i="1"/>
  <c r="DN160" i="1"/>
  <c r="DN95" i="1"/>
  <c r="DN120" i="1"/>
  <c r="DN42" i="1"/>
  <c r="DN183" i="1"/>
  <c r="DN112" i="1"/>
  <c r="DN148" i="1"/>
  <c r="DN179" i="1"/>
  <c r="DN128" i="1"/>
  <c r="DN144" i="1"/>
  <c r="DN110" i="1"/>
  <c r="DN81" i="1"/>
  <c r="DN100" i="1"/>
  <c r="DN123" i="1"/>
  <c r="DN86" i="1"/>
  <c r="DN174" i="1"/>
  <c r="DN201" i="1"/>
  <c r="DN90" i="1"/>
  <c r="DN102" i="1"/>
  <c r="DN94" i="1"/>
  <c r="DN119" i="1"/>
  <c r="DN141" i="1"/>
  <c r="DN147" i="1"/>
  <c r="DN165" i="1"/>
  <c r="DN132" i="1"/>
  <c r="DN189" i="1"/>
  <c r="DN133" i="1"/>
  <c r="DN206" i="1"/>
  <c r="DN78" i="1"/>
  <c r="DN143" i="1"/>
  <c r="DN150" i="1"/>
  <c r="DN130" i="1"/>
  <c r="DN96" i="1"/>
  <c r="DN182" i="1"/>
  <c r="DN195" i="1"/>
  <c r="DN178" i="1"/>
  <c r="DN181" i="1"/>
  <c r="DN194" i="1"/>
  <c r="DN208" i="1"/>
  <c r="DN129" i="1"/>
  <c r="DN180" i="1"/>
  <c r="DN140" i="1"/>
  <c r="DN125" i="1"/>
  <c r="DN131" i="1"/>
  <c r="DN173" i="1"/>
  <c r="DN184" i="1"/>
  <c r="DN190" i="1"/>
  <c r="DN142" i="1"/>
  <c r="DN69" i="1"/>
  <c r="DN151" i="1"/>
  <c r="DN193" i="1"/>
  <c r="DN169" i="1"/>
  <c r="DN166" i="1"/>
  <c r="DN97" i="1"/>
  <c r="DN79" i="1"/>
  <c r="DN146" i="1"/>
  <c r="DN204" i="1"/>
  <c r="DN113" i="1"/>
  <c r="DN172" i="1"/>
  <c r="DN171" i="1"/>
  <c r="DN185" i="1"/>
  <c r="DN137" i="1"/>
  <c r="DN205" i="1"/>
  <c r="DN177" i="1"/>
  <c r="DN199" i="1"/>
  <c r="DN106" i="1"/>
  <c r="DN203" i="1"/>
  <c r="DN124" i="1"/>
  <c r="DN170" i="1"/>
  <c r="DN152" i="1"/>
  <c r="DN118" i="1"/>
  <c r="DN198" i="1"/>
  <c r="DN200" i="1"/>
  <c r="DN136" i="1"/>
  <c r="DN108" i="1"/>
  <c r="DN149" i="1"/>
  <c r="DN187" i="1"/>
  <c r="DN168" i="1"/>
  <c r="DN162" i="1"/>
  <c r="DN139" i="1"/>
  <c r="DN196" i="1"/>
  <c r="DN153" i="1"/>
  <c r="DN197" i="1"/>
  <c r="DN176" i="1"/>
  <c r="DN202" i="1"/>
  <c r="DN167" i="1"/>
  <c r="DN207" i="1"/>
  <c r="DN192" i="1"/>
  <c r="DM3" i="1"/>
  <c r="DM2" i="1"/>
  <c r="DM43" i="1"/>
  <c r="DM71" i="1"/>
  <c r="DM7" i="1"/>
  <c r="DM164" i="1"/>
  <c r="DM4" i="1"/>
  <c r="DM99" i="1"/>
  <c r="DM6" i="1"/>
  <c r="DM8" i="1"/>
  <c r="DM10" i="1"/>
  <c r="DM9" i="1"/>
  <c r="DM127" i="1"/>
  <c r="DM11" i="1"/>
  <c r="DM44" i="1"/>
  <c r="DM39" i="1"/>
  <c r="DM45" i="1"/>
  <c r="DM16" i="1"/>
  <c r="DM12" i="1"/>
  <c r="DM48" i="1"/>
  <c r="DM54" i="1"/>
  <c r="DM47" i="1"/>
  <c r="DM20" i="1"/>
  <c r="DM50" i="1"/>
  <c r="DM22" i="1"/>
  <c r="DM49" i="1"/>
  <c r="DM13" i="1"/>
  <c r="DM26" i="1"/>
  <c r="DM52" i="1"/>
  <c r="DM46" i="1"/>
  <c r="DM72" i="1"/>
  <c r="DM5" i="1"/>
  <c r="DM18" i="1"/>
  <c r="DM23" i="1"/>
  <c r="DM15" i="1"/>
  <c r="DM14" i="1"/>
  <c r="DM59" i="1"/>
  <c r="DM38" i="1"/>
  <c r="DM21" i="1"/>
  <c r="DM27" i="1"/>
  <c r="DM17" i="1"/>
  <c r="DM68" i="1"/>
  <c r="DM121" i="1"/>
  <c r="DM24" i="1"/>
  <c r="DM30" i="1"/>
  <c r="DM40" i="1"/>
  <c r="DM35" i="1"/>
  <c r="DM29" i="1"/>
  <c r="DM37" i="1"/>
  <c r="DM28" i="1"/>
  <c r="DM19" i="1"/>
  <c r="DM33" i="1"/>
  <c r="DM109" i="1"/>
  <c r="DM64" i="1"/>
  <c r="DM63" i="1"/>
  <c r="DM77" i="1"/>
  <c r="DM115" i="1"/>
  <c r="DM31" i="1"/>
  <c r="DM41" i="1"/>
  <c r="DM191" i="1"/>
  <c r="DM85" i="1"/>
  <c r="DM62" i="1"/>
  <c r="DM36" i="1"/>
  <c r="DM32" i="1"/>
  <c r="DM34" i="1"/>
  <c r="DM93" i="1"/>
  <c r="DM117" i="1"/>
  <c r="DM154" i="1"/>
  <c r="DM107" i="1"/>
  <c r="DM98" i="1"/>
  <c r="DM138" i="1"/>
  <c r="DM75" i="1"/>
  <c r="DM122" i="1"/>
  <c r="DM84" i="1"/>
  <c r="DM116" i="1"/>
  <c r="DM186" i="1"/>
  <c r="DM89" i="1"/>
  <c r="DM70" i="1"/>
  <c r="DM61" i="1"/>
  <c r="DM74" i="1"/>
  <c r="DM88" i="1"/>
  <c r="DM73" i="1"/>
  <c r="DM111" i="1"/>
  <c r="DM87" i="1"/>
  <c r="DM82" i="1"/>
  <c r="DM53" i="1"/>
  <c r="DM175" i="1"/>
  <c r="DM55" i="1"/>
  <c r="DM51" i="1"/>
  <c r="DM157" i="1"/>
  <c r="DM158" i="1"/>
  <c r="DM83" i="1"/>
  <c r="DM91" i="1"/>
  <c r="DM105" i="1"/>
  <c r="DM103" i="1"/>
  <c r="DM188" i="1"/>
  <c r="DM163" i="1"/>
  <c r="DM101" i="1"/>
  <c r="DM65" i="1"/>
  <c r="DM60" i="1"/>
  <c r="DM80" i="1"/>
  <c r="DM56" i="1"/>
  <c r="DM57" i="1"/>
  <c r="DM25" i="1"/>
  <c r="DM104" i="1"/>
  <c r="DM66" i="1"/>
  <c r="DM58" i="1"/>
  <c r="DM155" i="1"/>
  <c r="DM156" i="1"/>
  <c r="DM134" i="1"/>
  <c r="DM92" i="1"/>
  <c r="DM67" i="1"/>
  <c r="DM126" i="1"/>
  <c r="DM145" i="1"/>
  <c r="DM135" i="1"/>
  <c r="DM159" i="1"/>
  <c r="DM76" i="1"/>
  <c r="DM114" i="1"/>
  <c r="DM161" i="1"/>
  <c r="DM160" i="1"/>
  <c r="DM95" i="1"/>
  <c r="DM120" i="1"/>
  <c r="DM42" i="1"/>
  <c r="DM183" i="1"/>
  <c r="DM112" i="1"/>
  <c r="DM148" i="1"/>
  <c r="DM179" i="1"/>
  <c r="DM128" i="1"/>
  <c r="DM144" i="1"/>
  <c r="DM110" i="1"/>
  <c r="DM81" i="1"/>
  <c r="DM100" i="1"/>
  <c r="DM123" i="1"/>
  <c r="DM86" i="1"/>
  <c r="DM174" i="1"/>
  <c r="DM201" i="1"/>
  <c r="DM90" i="1"/>
  <c r="DM102" i="1"/>
  <c r="DM94" i="1"/>
  <c r="DM119" i="1"/>
  <c r="DM141" i="1"/>
  <c r="DM147" i="1"/>
  <c r="DM165" i="1"/>
  <c r="DM132" i="1"/>
  <c r="DM189" i="1"/>
  <c r="DM133" i="1"/>
  <c r="DM206" i="1"/>
  <c r="DM78" i="1"/>
  <c r="DM143" i="1"/>
  <c r="DM150" i="1"/>
  <c r="DM130" i="1"/>
  <c r="DM96" i="1"/>
  <c r="DM182" i="1"/>
  <c r="DM195" i="1"/>
  <c r="DM178" i="1"/>
  <c r="DM181" i="1"/>
  <c r="DM194" i="1"/>
  <c r="DM208" i="1"/>
  <c r="DM129" i="1"/>
  <c r="DM180" i="1"/>
  <c r="DM140" i="1"/>
  <c r="DM125" i="1"/>
  <c r="DM131" i="1"/>
  <c r="DM173" i="1"/>
  <c r="DM184" i="1"/>
  <c r="DM190" i="1"/>
  <c r="DM142" i="1"/>
  <c r="DM69" i="1"/>
  <c r="DM151" i="1"/>
  <c r="DM193" i="1"/>
  <c r="DM169" i="1"/>
  <c r="DM166" i="1"/>
  <c r="DM97" i="1"/>
  <c r="DM79" i="1"/>
  <c r="DM146" i="1"/>
  <c r="DM204" i="1"/>
  <c r="DM113" i="1"/>
  <c r="DM172" i="1"/>
  <c r="DM171" i="1"/>
  <c r="DM185" i="1"/>
  <c r="DM137" i="1"/>
  <c r="DM205" i="1"/>
  <c r="DM177" i="1"/>
  <c r="DM199" i="1"/>
  <c r="DM106" i="1"/>
  <c r="DM203" i="1"/>
  <c r="DM124" i="1"/>
  <c r="DM170" i="1"/>
  <c r="DM152" i="1"/>
  <c r="DM118" i="1"/>
  <c r="DM198" i="1"/>
  <c r="DM200" i="1"/>
  <c r="DM136" i="1"/>
  <c r="DM108" i="1"/>
  <c r="DM149" i="1"/>
  <c r="DM187" i="1"/>
  <c r="DM168" i="1"/>
  <c r="DM162" i="1"/>
  <c r="DM139" i="1"/>
  <c r="DM196" i="1"/>
  <c r="DM153" i="1"/>
  <c r="DM197" i="1"/>
  <c r="DM176" i="1"/>
  <c r="DM202" i="1"/>
  <c r="DM167" i="1"/>
  <c r="DM207" i="1"/>
  <c r="DM192" i="1"/>
  <c r="DK3" i="1"/>
  <c r="DK2" i="1"/>
  <c r="DK43" i="1"/>
  <c r="DK71" i="1"/>
  <c r="DK7" i="1"/>
  <c r="DK164" i="1"/>
  <c r="DK4" i="1"/>
  <c r="DK99" i="1"/>
  <c r="DK6" i="1"/>
  <c r="DK8" i="1"/>
  <c r="DK10" i="1"/>
  <c r="DK9" i="1"/>
  <c r="DK127" i="1"/>
  <c r="DK11" i="1"/>
  <c r="DK44" i="1"/>
  <c r="DK39" i="1"/>
  <c r="DK45" i="1"/>
  <c r="DK16" i="1"/>
  <c r="DK12" i="1"/>
  <c r="DK48" i="1"/>
  <c r="DK54" i="1"/>
  <c r="DK47" i="1"/>
  <c r="DK20" i="1"/>
  <c r="DK50" i="1"/>
  <c r="DK22" i="1"/>
  <c r="DK49" i="1"/>
  <c r="DK13" i="1"/>
  <c r="DK26" i="1"/>
  <c r="DK52" i="1"/>
  <c r="DK46" i="1"/>
  <c r="DK72" i="1"/>
  <c r="DK5" i="1"/>
  <c r="DK18" i="1"/>
  <c r="DK23" i="1"/>
  <c r="DK15" i="1"/>
  <c r="DK14" i="1"/>
  <c r="DK59" i="1"/>
  <c r="DK38" i="1"/>
  <c r="DK21" i="1"/>
  <c r="DK27" i="1"/>
  <c r="DK17" i="1"/>
  <c r="DK68" i="1"/>
  <c r="DK121" i="1"/>
  <c r="DK24" i="1"/>
  <c r="DK30" i="1"/>
  <c r="DK40" i="1"/>
  <c r="DK35" i="1"/>
  <c r="DK29" i="1"/>
  <c r="DK37" i="1"/>
  <c r="DK28" i="1"/>
  <c r="DK19" i="1"/>
  <c r="DK33" i="1"/>
  <c r="DK109" i="1"/>
  <c r="DK64" i="1"/>
  <c r="DK63" i="1"/>
  <c r="DK77" i="1"/>
  <c r="DK115" i="1"/>
  <c r="DK31" i="1"/>
  <c r="DK41" i="1"/>
  <c r="DK191" i="1"/>
  <c r="DK85" i="1"/>
  <c r="DK62" i="1"/>
  <c r="DK36" i="1"/>
  <c r="DK32" i="1"/>
  <c r="DK34" i="1"/>
  <c r="DK93" i="1"/>
  <c r="DK117" i="1"/>
  <c r="DK154" i="1"/>
  <c r="DK107" i="1"/>
  <c r="DK98" i="1"/>
  <c r="DK138" i="1"/>
  <c r="DK75" i="1"/>
  <c r="DK122" i="1"/>
  <c r="DK84" i="1"/>
  <c r="DK116" i="1"/>
  <c r="DK186" i="1"/>
  <c r="DK89" i="1"/>
  <c r="DK70" i="1"/>
  <c r="DK61" i="1"/>
  <c r="DK74" i="1"/>
  <c r="DK88" i="1"/>
  <c r="DK73" i="1"/>
  <c r="DK111" i="1"/>
  <c r="DK87" i="1"/>
  <c r="DK82" i="1"/>
  <c r="DK53" i="1"/>
  <c r="DK175" i="1"/>
  <c r="DK55" i="1"/>
  <c r="DK51" i="1"/>
  <c r="DK157" i="1"/>
  <c r="DK158" i="1"/>
  <c r="DK83" i="1"/>
  <c r="DK91" i="1"/>
  <c r="DK105" i="1"/>
  <c r="DK103" i="1"/>
  <c r="DK188" i="1"/>
  <c r="DK163" i="1"/>
  <c r="DK101" i="1"/>
  <c r="DK65" i="1"/>
  <c r="DK60" i="1"/>
  <c r="DK80" i="1"/>
  <c r="DK56" i="1"/>
  <c r="DK57" i="1"/>
  <c r="DK25" i="1"/>
  <c r="DK104" i="1"/>
  <c r="DK66" i="1"/>
  <c r="DK58" i="1"/>
  <c r="DK155" i="1"/>
  <c r="DK156" i="1"/>
  <c r="DK134" i="1"/>
  <c r="DK92" i="1"/>
  <c r="DK67" i="1"/>
  <c r="DK126" i="1"/>
  <c r="DK145" i="1"/>
  <c r="DK135" i="1"/>
  <c r="DK159" i="1"/>
  <c r="DK76" i="1"/>
  <c r="DK114" i="1"/>
  <c r="DK161" i="1"/>
  <c r="DK160" i="1"/>
  <c r="DK95" i="1"/>
  <c r="DK120" i="1"/>
  <c r="DK42" i="1"/>
  <c r="DK183" i="1"/>
  <c r="DK112" i="1"/>
  <c r="DK148" i="1"/>
  <c r="DK179" i="1"/>
  <c r="DK128" i="1"/>
  <c r="DK144" i="1"/>
  <c r="DK110" i="1"/>
  <c r="DK81" i="1"/>
  <c r="DK100" i="1"/>
  <c r="DK123" i="1"/>
  <c r="DK86" i="1"/>
  <c r="DK174" i="1"/>
  <c r="DK201" i="1"/>
  <c r="DK90" i="1"/>
  <c r="DK102" i="1"/>
  <c r="DK94" i="1"/>
  <c r="DK119" i="1"/>
  <c r="DK141" i="1"/>
  <c r="DK147" i="1"/>
  <c r="DK165" i="1"/>
  <c r="DK132" i="1"/>
  <c r="DK189" i="1"/>
  <c r="DK133" i="1"/>
  <c r="DK206" i="1"/>
  <c r="DK78" i="1"/>
  <c r="DK143" i="1"/>
  <c r="DK150" i="1"/>
  <c r="DK130" i="1"/>
  <c r="DK96" i="1"/>
  <c r="DK182" i="1"/>
  <c r="DK195" i="1"/>
  <c r="DK178" i="1"/>
  <c r="DK181" i="1"/>
  <c r="DK194" i="1"/>
  <c r="DK208" i="1"/>
  <c r="DK129" i="1"/>
  <c r="DK180" i="1"/>
  <c r="DK140" i="1"/>
  <c r="DK125" i="1"/>
  <c r="DK131" i="1"/>
  <c r="DK173" i="1"/>
  <c r="DK184" i="1"/>
  <c r="DK190" i="1"/>
  <c r="DK142" i="1"/>
  <c r="DK69" i="1"/>
  <c r="DK151" i="1"/>
  <c r="DK193" i="1"/>
  <c r="DK169" i="1"/>
  <c r="DK166" i="1"/>
  <c r="DK97" i="1"/>
  <c r="DK79" i="1"/>
  <c r="DK146" i="1"/>
  <c r="DK204" i="1"/>
  <c r="DK113" i="1"/>
  <c r="DK172" i="1"/>
  <c r="DK171" i="1"/>
  <c r="DK185" i="1"/>
  <c r="DK137" i="1"/>
  <c r="DK205" i="1"/>
  <c r="DK177" i="1"/>
  <c r="DK199" i="1"/>
  <c r="DK106" i="1"/>
  <c r="DK203" i="1"/>
  <c r="DK124" i="1"/>
  <c r="DK170" i="1"/>
  <c r="DK152" i="1"/>
  <c r="DK118" i="1"/>
  <c r="DK198" i="1"/>
  <c r="DK200" i="1"/>
  <c r="DK136" i="1"/>
  <c r="DK108" i="1"/>
  <c r="DK149" i="1"/>
  <c r="DK187" i="1"/>
  <c r="DK168" i="1"/>
  <c r="DK162" i="1"/>
  <c r="DK139" i="1"/>
  <c r="DK196" i="1"/>
  <c r="DK153" i="1"/>
  <c r="DK197" i="1"/>
  <c r="DK176" i="1"/>
  <c r="DK202" i="1"/>
  <c r="DK167" i="1"/>
  <c r="DK207" i="1"/>
  <c r="DK192" i="1"/>
  <c r="DL3" i="1"/>
  <c r="DL2" i="1"/>
  <c r="DL43" i="1"/>
  <c r="DL71" i="1"/>
  <c r="DL7" i="1"/>
  <c r="DL164" i="1"/>
  <c r="DL4" i="1"/>
  <c r="DL99" i="1"/>
  <c r="DL6" i="1"/>
  <c r="DL8" i="1"/>
  <c r="DL10" i="1"/>
  <c r="DL9" i="1"/>
  <c r="DL127" i="1"/>
  <c r="DL11" i="1"/>
  <c r="DL44" i="1"/>
  <c r="DL39" i="1"/>
  <c r="DL45" i="1"/>
  <c r="DL16" i="1"/>
  <c r="DL12" i="1"/>
  <c r="DL48" i="1"/>
  <c r="DL54" i="1"/>
  <c r="DL47" i="1"/>
  <c r="DL20" i="1"/>
  <c r="DL50" i="1"/>
  <c r="DL22" i="1"/>
  <c r="DL49" i="1"/>
  <c r="DL13" i="1"/>
  <c r="DL26" i="1"/>
  <c r="DL52" i="1"/>
  <c r="DL46" i="1"/>
  <c r="DL72" i="1"/>
  <c r="DL5" i="1"/>
  <c r="DL18" i="1"/>
  <c r="DL23" i="1"/>
  <c r="DL15" i="1"/>
  <c r="DL14" i="1"/>
  <c r="DL59" i="1"/>
  <c r="DL38" i="1"/>
  <c r="DL21" i="1"/>
  <c r="DL27" i="1"/>
  <c r="DL17" i="1"/>
  <c r="DL68" i="1"/>
  <c r="DL121" i="1"/>
  <c r="DL24" i="1"/>
  <c r="DL30" i="1"/>
  <c r="DL40" i="1"/>
  <c r="DL35" i="1"/>
  <c r="DL29" i="1"/>
  <c r="DL37" i="1"/>
  <c r="DL28" i="1"/>
  <c r="DL19" i="1"/>
  <c r="DL33" i="1"/>
  <c r="DL109" i="1"/>
  <c r="DL64" i="1"/>
  <c r="DL63" i="1"/>
  <c r="DL77" i="1"/>
  <c r="DL115" i="1"/>
  <c r="DL31" i="1"/>
  <c r="DL41" i="1"/>
  <c r="DL191" i="1"/>
  <c r="DL85" i="1"/>
  <c r="DL62" i="1"/>
  <c r="DL36" i="1"/>
  <c r="DL32" i="1"/>
  <c r="DL34" i="1"/>
  <c r="DL93" i="1"/>
  <c r="DL117" i="1"/>
  <c r="DL154" i="1"/>
  <c r="DL107" i="1"/>
  <c r="DL98" i="1"/>
  <c r="DL138" i="1"/>
  <c r="DL75" i="1"/>
  <c r="DL122" i="1"/>
  <c r="DL84" i="1"/>
  <c r="DL116" i="1"/>
  <c r="DL186" i="1"/>
  <c r="DL89" i="1"/>
  <c r="DL70" i="1"/>
  <c r="DL61" i="1"/>
  <c r="DL74" i="1"/>
  <c r="DL88" i="1"/>
  <c r="DL73" i="1"/>
  <c r="DL111" i="1"/>
  <c r="DL87" i="1"/>
  <c r="DL82" i="1"/>
  <c r="DL53" i="1"/>
  <c r="DL175" i="1"/>
  <c r="DL55" i="1"/>
  <c r="DL51" i="1"/>
  <c r="DL157" i="1"/>
  <c r="DL158" i="1"/>
  <c r="DL83" i="1"/>
  <c r="DL91" i="1"/>
  <c r="DL105" i="1"/>
  <c r="DL103" i="1"/>
  <c r="DL188" i="1"/>
  <c r="DL163" i="1"/>
  <c r="DL101" i="1"/>
  <c r="DL65" i="1"/>
  <c r="DL60" i="1"/>
  <c r="DL80" i="1"/>
  <c r="DL56" i="1"/>
  <c r="DL57" i="1"/>
  <c r="DL25" i="1"/>
  <c r="DL104" i="1"/>
  <c r="DL66" i="1"/>
  <c r="DL58" i="1"/>
  <c r="DL155" i="1"/>
  <c r="DL156" i="1"/>
  <c r="DL134" i="1"/>
  <c r="DL92" i="1"/>
  <c r="DL67" i="1"/>
  <c r="DL126" i="1"/>
  <c r="DL145" i="1"/>
  <c r="DL135" i="1"/>
  <c r="DL159" i="1"/>
  <c r="DL76" i="1"/>
  <c r="DL114" i="1"/>
  <c r="DL161" i="1"/>
  <c r="DL160" i="1"/>
  <c r="DL95" i="1"/>
  <c r="DL120" i="1"/>
  <c r="DL42" i="1"/>
  <c r="DL183" i="1"/>
  <c r="DL112" i="1"/>
  <c r="DL148" i="1"/>
  <c r="DL179" i="1"/>
  <c r="DL128" i="1"/>
  <c r="DL144" i="1"/>
  <c r="DL110" i="1"/>
  <c r="DL81" i="1"/>
  <c r="DL100" i="1"/>
  <c r="DL123" i="1"/>
  <c r="DL86" i="1"/>
  <c r="DL174" i="1"/>
  <c r="DL201" i="1"/>
  <c r="DL90" i="1"/>
  <c r="DL102" i="1"/>
  <c r="DL94" i="1"/>
  <c r="DL119" i="1"/>
  <c r="DL141" i="1"/>
  <c r="DL147" i="1"/>
  <c r="DL165" i="1"/>
  <c r="DL132" i="1"/>
  <c r="DL189" i="1"/>
  <c r="DL133" i="1"/>
  <c r="DL206" i="1"/>
  <c r="DL78" i="1"/>
  <c r="DL143" i="1"/>
  <c r="DL150" i="1"/>
  <c r="DL130" i="1"/>
  <c r="DL96" i="1"/>
  <c r="DL182" i="1"/>
  <c r="DL195" i="1"/>
  <c r="DL178" i="1"/>
  <c r="DL181" i="1"/>
  <c r="DL194" i="1"/>
  <c r="DL208" i="1"/>
  <c r="DL129" i="1"/>
  <c r="DL180" i="1"/>
  <c r="DL140" i="1"/>
  <c r="DL125" i="1"/>
  <c r="DL131" i="1"/>
  <c r="DL173" i="1"/>
  <c r="DL184" i="1"/>
  <c r="DL190" i="1"/>
  <c r="DL142" i="1"/>
  <c r="DL69" i="1"/>
  <c r="DL151" i="1"/>
  <c r="DL193" i="1"/>
  <c r="DL169" i="1"/>
  <c r="DL166" i="1"/>
  <c r="DL97" i="1"/>
  <c r="DL79" i="1"/>
  <c r="DL146" i="1"/>
  <c r="DL204" i="1"/>
  <c r="DL113" i="1"/>
  <c r="DL172" i="1"/>
  <c r="DL171" i="1"/>
  <c r="DL185" i="1"/>
  <c r="DL137" i="1"/>
  <c r="DL205" i="1"/>
  <c r="DL177" i="1"/>
  <c r="DL199" i="1"/>
  <c r="DL106" i="1"/>
  <c r="DL203" i="1"/>
  <c r="DL124" i="1"/>
  <c r="DL170" i="1"/>
  <c r="DL152" i="1"/>
  <c r="DL118" i="1"/>
  <c r="DL198" i="1"/>
  <c r="DL200" i="1"/>
  <c r="DL136" i="1"/>
  <c r="DL108" i="1"/>
  <c r="DL149" i="1"/>
  <c r="DL187" i="1"/>
  <c r="DL168" i="1"/>
  <c r="DL162" i="1"/>
  <c r="DL139" i="1"/>
  <c r="DL196" i="1"/>
  <c r="DL153" i="1"/>
  <c r="DL197" i="1"/>
  <c r="DL176" i="1"/>
  <c r="DL202" i="1"/>
  <c r="DL167" i="1"/>
  <c r="DL207" i="1"/>
  <c r="DL192" i="1"/>
  <c r="DJ3" i="1"/>
  <c r="DJ2" i="1"/>
  <c r="DJ43" i="1"/>
  <c r="DJ71" i="1"/>
  <c r="DJ7" i="1"/>
  <c r="DJ164" i="1"/>
  <c r="DJ4" i="1"/>
  <c r="DJ99" i="1"/>
  <c r="DJ6" i="1"/>
  <c r="DJ8" i="1"/>
  <c r="DJ10" i="1"/>
  <c r="DJ9" i="1"/>
  <c r="DJ127" i="1"/>
  <c r="DJ11" i="1"/>
  <c r="DJ44" i="1"/>
  <c r="DJ39" i="1"/>
  <c r="DJ45" i="1"/>
  <c r="DJ16" i="1"/>
  <c r="DJ12" i="1"/>
  <c r="DJ48" i="1"/>
  <c r="DJ54" i="1"/>
  <c r="DJ47" i="1"/>
  <c r="DJ20" i="1"/>
  <c r="DJ50" i="1"/>
  <c r="DJ22" i="1"/>
  <c r="DJ49" i="1"/>
  <c r="DJ13" i="1"/>
  <c r="DJ26" i="1"/>
  <c r="DJ52" i="1"/>
  <c r="DJ46" i="1"/>
  <c r="DJ72" i="1"/>
  <c r="DJ5" i="1"/>
  <c r="DJ18" i="1"/>
  <c r="DJ23" i="1"/>
  <c r="DJ15" i="1"/>
  <c r="DJ14" i="1"/>
  <c r="DJ59" i="1"/>
  <c r="DJ38" i="1"/>
  <c r="DJ21" i="1"/>
  <c r="DJ27" i="1"/>
  <c r="DJ17" i="1"/>
  <c r="DJ68" i="1"/>
  <c r="DJ121" i="1"/>
  <c r="DJ24" i="1"/>
  <c r="DJ30" i="1"/>
  <c r="DJ40" i="1"/>
  <c r="DJ35" i="1"/>
  <c r="DJ29" i="1"/>
  <c r="DJ37" i="1"/>
  <c r="DJ28" i="1"/>
  <c r="DJ19" i="1"/>
  <c r="DJ33" i="1"/>
  <c r="DJ109" i="1"/>
  <c r="DJ64" i="1"/>
  <c r="DJ63" i="1"/>
  <c r="DJ77" i="1"/>
  <c r="DJ115" i="1"/>
  <c r="DJ31" i="1"/>
  <c r="DJ41" i="1"/>
  <c r="DJ191" i="1"/>
  <c r="DJ85" i="1"/>
  <c r="DJ62" i="1"/>
  <c r="DJ36" i="1"/>
  <c r="DJ32" i="1"/>
  <c r="DJ34" i="1"/>
  <c r="DJ93" i="1"/>
  <c r="DJ117" i="1"/>
  <c r="DJ154" i="1"/>
  <c r="DJ107" i="1"/>
  <c r="DJ98" i="1"/>
  <c r="DJ138" i="1"/>
  <c r="DJ75" i="1"/>
  <c r="DJ122" i="1"/>
  <c r="DJ84" i="1"/>
  <c r="DJ116" i="1"/>
  <c r="DJ186" i="1"/>
  <c r="DJ89" i="1"/>
  <c r="DJ70" i="1"/>
  <c r="DJ61" i="1"/>
  <c r="DJ74" i="1"/>
  <c r="DJ88" i="1"/>
  <c r="DJ73" i="1"/>
  <c r="DJ111" i="1"/>
  <c r="DJ87" i="1"/>
  <c r="DJ82" i="1"/>
  <c r="DJ53" i="1"/>
  <c r="DJ175" i="1"/>
  <c r="DJ55" i="1"/>
  <c r="DJ51" i="1"/>
  <c r="DJ157" i="1"/>
  <c r="DJ158" i="1"/>
  <c r="DJ83" i="1"/>
  <c r="DJ91" i="1"/>
  <c r="DJ105" i="1"/>
  <c r="DJ103" i="1"/>
  <c r="DJ188" i="1"/>
  <c r="DJ163" i="1"/>
  <c r="DJ101" i="1"/>
  <c r="DJ65" i="1"/>
  <c r="DJ60" i="1"/>
  <c r="DJ80" i="1"/>
  <c r="DJ56" i="1"/>
  <c r="DJ57" i="1"/>
  <c r="DJ25" i="1"/>
  <c r="DJ104" i="1"/>
  <c r="DJ66" i="1"/>
  <c r="DJ58" i="1"/>
  <c r="DJ155" i="1"/>
  <c r="DJ156" i="1"/>
  <c r="DJ134" i="1"/>
  <c r="DJ92" i="1"/>
  <c r="DJ67" i="1"/>
  <c r="DJ126" i="1"/>
  <c r="DJ145" i="1"/>
  <c r="DJ135" i="1"/>
  <c r="DJ159" i="1"/>
  <c r="DJ76" i="1"/>
  <c r="DJ114" i="1"/>
  <c r="DJ161" i="1"/>
  <c r="DJ160" i="1"/>
  <c r="DJ95" i="1"/>
  <c r="DJ120" i="1"/>
  <c r="DJ42" i="1"/>
  <c r="DJ183" i="1"/>
  <c r="DJ112" i="1"/>
  <c r="DJ148" i="1"/>
  <c r="DJ179" i="1"/>
  <c r="DJ128" i="1"/>
  <c r="DJ144" i="1"/>
  <c r="DJ110" i="1"/>
  <c r="DJ81" i="1"/>
  <c r="DJ100" i="1"/>
  <c r="DJ123" i="1"/>
  <c r="DJ86" i="1"/>
  <c r="DJ174" i="1"/>
  <c r="DJ201" i="1"/>
  <c r="DJ90" i="1"/>
  <c r="DJ102" i="1"/>
  <c r="DJ94" i="1"/>
  <c r="DJ119" i="1"/>
  <c r="DJ141" i="1"/>
  <c r="DJ147" i="1"/>
  <c r="DJ165" i="1"/>
  <c r="DJ132" i="1"/>
  <c r="DJ189" i="1"/>
  <c r="DJ133" i="1"/>
  <c r="DJ206" i="1"/>
  <c r="DJ78" i="1"/>
  <c r="DJ143" i="1"/>
  <c r="DJ150" i="1"/>
  <c r="DJ130" i="1"/>
  <c r="DJ96" i="1"/>
  <c r="DJ182" i="1"/>
  <c r="DJ195" i="1"/>
  <c r="DJ178" i="1"/>
  <c r="DJ181" i="1"/>
  <c r="DJ194" i="1"/>
  <c r="DJ208" i="1"/>
  <c r="DJ129" i="1"/>
  <c r="DJ180" i="1"/>
  <c r="DJ140" i="1"/>
  <c r="DJ125" i="1"/>
  <c r="DJ131" i="1"/>
  <c r="DJ173" i="1"/>
  <c r="DJ184" i="1"/>
  <c r="DJ190" i="1"/>
  <c r="DJ142" i="1"/>
  <c r="DJ69" i="1"/>
  <c r="DJ151" i="1"/>
  <c r="DJ193" i="1"/>
  <c r="DJ169" i="1"/>
  <c r="DJ166" i="1"/>
  <c r="DJ97" i="1"/>
  <c r="DJ79" i="1"/>
  <c r="DJ146" i="1"/>
  <c r="DJ204" i="1"/>
  <c r="DJ113" i="1"/>
  <c r="DJ172" i="1"/>
  <c r="DJ171" i="1"/>
  <c r="DJ185" i="1"/>
  <c r="DJ137" i="1"/>
  <c r="DJ205" i="1"/>
  <c r="DJ177" i="1"/>
  <c r="DJ199" i="1"/>
  <c r="DJ106" i="1"/>
  <c r="DJ203" i="1"/>
  <c r="DJ124" i="1"/>
  <c r="DJ170" i="1"/>
  <c r="DJ152" i="1"/>
  <c r="DJ118" i="1"/>
  <c r="DJ198" i="1"/>
  <c r="DJ200" i="1"/>
  <c r="DJ136" i="1"/>
  <c r="DJ108" i="1"/>
  <c r="DJ149" i="1"/>
  <c r="DJ187" i="1"/>
  <c r="DJ168" i="1"/>
  <c r="DJ162" i="1"/>
  <c r="DJ139" i="1"/>
  <c r="DJ196" i="1"/>
  <c r="DJ153" i="1"/>
  <c r="DJ197" i="1"/>
  <c r="DJ176" i="1"/>
  <c r="DJ202" i="1"/>
  <c r="DJ167" i="1"/>
  <c r="DJ207" i="1"/>
  <c r="DJ192" i="1"/>
  <c r="DI3" i="1"/>
  <c r="DI2" i="1"/>
  <c r="DI43" i="1"/>
  <c r="DI71" i="1"/>
  <c r="DI7" i="1"/>
  <c r="DI164" i="1"/>
  <c r="DI4" i="1"/>
  <c r="DI99" i="1"/>
  <c r="DI6" i="1"/>
  <c r="DI8" i="1"/>
  <c r="DI10" i="1"/>
  <c r="DI9" i="1"/>
  <c r="DI127" i="1"/>
  <c r="DI11" i="1"/>
  <c r="DI44" i="1"/>
  <c r="DI39" i="1"/>
  <c r="DI45" i="1"/>
  <c r="DI16" i="1"/>
  <c r="DI12" i="1"/>
  <c r="DI48" i="1"/>
  <c r="DI54" i="1"/>
  <c r="DI47" i="1"/>
  <c r="DI20" i="1"/>
  <c r="DI50" i="1"/>
  <c r="DI22" i="1"/>
  <c r="DI49" i="1"/>
  <c r="DI13" i="1"/>
  <c r="DI26" i="1"/>
  <c r="DI52" i="1"/>
  <c r="DI46" i="1"/>
  <c r="DI72" i="1"/>
  <c r="DI5" i="1"/>
  <c r="DI18" i="1"/>
  <c r="DI23" i="1"/>
  <c r="DI15" i="1"/>
  <c r="DI14" i="1"/>
  <c r="DI59" i="1"/>
  <c r="DI38" i="1"/>
  <c r="DI21" i="1"/>
  <c r="DI27" i="1"/>
  <c r="DI17" i="1"/>
  <c r="DI68" i="1"/>
  <c r="DI121" i="1"/>
  <c r="DI24" i="1"/>
  <c r="DI30" i="1"/>
  <c r="DI40" i="1"/>
  <c r="DI35" i="1"/>
  <c r="DI29" i="1"/>
  <c r="DI37" i="1"/>
  <c r="DI28" i="1"/>
  <c r="DI19" i="1"/>
  <c r="DI33" i="1"/>
  <c r="DI109" i="1"/>
  <c r="DI64" i="1"/>
  <c r="DI63" i="1"/>
  <c r="DI77" i="1"/>
  <c r="DI115" i="1"/>
  <c r="DI31" i="1"/>
  <c r="DI41" i="1"/>
  <c r="DI191" i="1"/>
  <c r="DI85" i="1"/>
  <c r="DI62" i="1"/>
  <c r="DI36" i="1"/>
  <c r="DI32" i="1"/>
  <c r="DI34" i="1"/>
  <c r="DI93" i="1"/>
  <c r="DI117" i="1"/>
  <c r="DI154" i="1"/>
  <c r="DI107" i="1"/>
  <c r="DI98" i="1"/>
  <c r="DI138" i="1"/>
  <c r="DI75" i="1"/>
  <c r="DI122" i="1"/>
  <c r="DI84" i="1"/>
  <c r="DI116" i="1"/>
  <c r="DI186" i="1"/>
  <c r="DI89" i="1"/>
  <c r="DI70" i="1"/>
  <c r="DI61" i="1"/>
  <c r="DI74" i="1"/>
  <c r="DI88" i="1"/>
  <c r="DI73" i="1"/>
  <c r="DI111" i="1"/>
  <c r="DI87" i="1"/>
  <c r="DI82" i="1"/>
  <c r="DI53" i="1"/>
  <c r="DI175" i="1"/>
  <c r="DI55" i="1"/>
  <c r="DI51" i="1"/>
  <c r="DI157" i="1"/>
  <c r="DI158" i="1"/>
  <c r="DI83" i="1"/>
  <c r="DI91" i="1"/>
  <c r="DI105" i="1"/>
  <c r="DI103" i="1"/>
  <c r="DI188" i="1"/>
  <c r="DI163" i="1"/>
  <c r="DI101" i="1"/>
  <c r="DI65" i="1"/>
  <c r="DI60" i="1"/>
  <c r="DI80" i="1"/>
  <c r="DI56" i="1"/>
  <c r="DI57" i="1"/>
  <c r="DI25" i="1"/>
  <c r="DI104" i="1"/>
  <c r="DI66" i="1"/>
  <c r="DI58" i="1"/>
  <c r="DI155" i="1"/>
  <c r="DI156" i="1"/>
  <c r="DI134" i="1"/>
  <c r="DI92" i="1"/>
  <c r="DI67" i="1"/>
  <c r="DI126" i="1"/>
  <c r="DI145" i="1"/>
  <c r="DI135" i="1"/>
  <c r="DI159" i="1"/>
  <c r="DI76" i="1"/>
  <c r="DI114" i="1"/>
  <c r="DI161" i="1"/>
  <c r="DI160" i="1"/>
  <c r="DI95" i="1"/>
  <c r="DI120" i="1"/>
  <c r="DI42" i="1"/>
  <c r="DI183" i="1"/>
  <c r="DI112" i="1"/>
  <c r="DI148" i="1"/>
  <c r="DI179" i="1"/>
  <c r="DI128" i="1"/>
  <c r="DI144" i="1"/>
  <c r="DI110" i="1"/>
  <c r="DI81" i="1"/>
  <c r="DI100" i="1"/>
  <c r="DI123" i="1"/>
  <c r="DI86" i="1"/>
  <c r="DI174" i="1"/>
  <c r="DI201" i="1"/>
  <c r="DI90" i="1"/>
  <c r="DI102" i="1"/>
  <c r="DI94" i="1"/>
  <c r="DI119" i="1"/>
  <c r="DI141" i="1"/>
  <c r="DI147" i="1"/>
  <c r="DI165" i="1"/>
  <c r="DI132" i="1"/>
  <c r="DI189" i="1"/>
  <c r="DI133" i="1"/>
  <c r="DI206" i="1"/>
  <c r="DI78" i="1"/>
  <c r="DI143" i="1"/>
  <c r="DI150" i="1"/>
  <c r="DI130" i="1"/>
  <c r="DI96" i="1"/>
  <c r="DI182" i="1"/>
  <c r="DI195" i="1"/>
  <c r="DI178" i="1"/>
  <c r="DI181" i="1"/>
  <c r="DI194" i="1"/>
  <c r="DI208" i="1"/>
  <c r="DI129" i="1"/>
  <c r="DI180" i="1"/>
  <c r="DI140" i="1"/>
  <c r="DI125" i="1"/>
  <c r="DI131" i="1"/>
  <c r="DI173" i="1"/>
  <c r="DI184" i="1"/>
  <c r="DI190" i="1"/>
  <c r="DI142" i="1"/>
  <c r="DI69" i="1"/>
  <c r="DI151" i="1"/>
  <c r="DI193" i="1"/>
  <c r="DI169" i="1"/>
  <c r="DI166" i="1"/>
  <c r="DI97" i="1"/>
  <c r="DI79" i="1"/>
  <c r="DI146" i="1"/>
  <c r="DI204" i="1"/>
  <c r="DI113" i="1"/>
  <c r="DI172" i="1"/>
  <c r="DI171" i="1"/>
  <c r="DI185" i="1"/>
  <c r="DI137" i="1"/>
  <c r="DI205" i="1"/>
  <c r="DI177" i="1"/>
  <c r="DI199" i="1"/>
  <c r="DI106" i="1"/>
  <c r="DI203" i="1"/>
  <c r="DI124" i="1"/>
  <c r="DI170" i="1"/>
  <c r="DI152" i="1"/>
  <c r="DI118" i="1"/>
  <c r="DI198" i="1"/>
  <c r="DI200" i="1"/>
  <c r="DI136" i="1"/>
  <c r="DI108" i="1"/>
  <c r="DI149" i="1"/>
  <c r="DI187" i="1"/>
  <c r="DI168" i="1"/>
  <c r="DI162" i="1"/>
  <c r="DI139" i="1"/>
  <c r="DI196" i="1"/>
  <c r="DI153" i="1"/>
  <c r="DI197" i="1"/>
  <c r="DI176" i="1"/>
  <c r="DI202" i="1"/>
  <c r="DI167" i="1"/>
  <c r="DI207" i="1"/>
  <c r="DI192" i="1"/>
  <c r="DG3" i="1"/>
  <c r="DG2" i="1"/>
  <c r="DG43" i="1"/>
  <c r="DG71" i="1"/>
  <c r="DG7" i="1"/>
  <c r="DG164" i="1"/>
  <c r="DG4" i="1"/>
  <c r="DG99" i="1"/>
  <c r="DG6" i="1"/>
  <c r="DG8" i="1"/>
  <c r="DG10" i="1"/>
  <c r="DG9" i="1"/>
  <c r="DG127" i="1"/>
  <c r="DG11" i="1"/>
  <c r="DG44" i="1"/>
  <c r="DG39" i="1"/>
  <c r="DG45" i="1"/>
  <c r="DG16" i="1"/>
  <c r="DG12" i="1"/>
  <c r="DG48" i="1"/>
  <c r="DG54" i="1"/>
  <c r="DG47" i="1"/>
  <c r="DG20" i="1"/>
  <c r="DG50" i="1"/>
  <c r="DG22" i="1"/>
  <c r="DG49" i="1"/>
  <c r="DG13" i="1"/>
  <c r="DG26" i="1"/>
  <c r="DG52" i="1"/>
  <c r="DG46" i="1"/>
  <c r="DG72" i="1"/>
  <c r="DG5" i="1"/>
  <c r="DG18" i="1"/>
  <c r="DG23" i="1"/>
  <c r="DG15" i="1"/>
  <c r="DG14" i="1"/>
  <c r="DG59" i="1"/>
  <c r="DG38" i="1"/>
  <c r="DG21" i="1"/>
  <c r="DG27" i="1"/>
  <c r="DG17" i="1"/>
  <c r="DG68" i="1"/>
  <c r="DG121" i="1"/>
  <c r="DG24" i="1"/>
  <c r="DG30" i="1"/>
  <c r="DG40" i="1"/>
  <c r="DG35" i="1"/>
  <c r="DG29" i="1"/>
  <c r="DG37" i="1"/>
  <c r="DG28" i="1"/>
  <c r="DG19" i="1"/>
  <c r="DG33" i="1"/>
  <c r="DG109" i="1"/>
  <c r="DG64" i="1"/>
  <c r="DG63" i="1"/>
  <c r="DG77" i="1"/>
  <c r="DG115" i="1"/>
  <c r="DG31" i="1"/>
  <c r="DG41" i="1"/>
  <c r="DG191" i="1"/>
  <c r="DG85" i="1"/>
  <c r="DG62" i="1"/>
  <c r="DG36" i="1"/>
  <c r="DG32" i="1"/>
  <c r="DG34" i="1"/>
  <c r="DG93" i="1"/>
  <c r="DG117" i="1"/>
  <c r="DG154" i="1"/>
  <c r="DG107" i="1"/>
  <c r="DG98" i="1"/>
  <c r="DG138" i="1"/>
  <c r="DG75" i="1"/>
  <c r="DG122" i="1"/>
  <c r="DG84" i="1"/>
  <c r="DG116" i="1"/>
  <c r="DG186" i="1"/>
  <c r="DG89" i="1"/>
  <c r="DG70" i="1"/>
  <c r="DG61" i="1"/>
  <c r="DG74" i="1"/>
  <c r="DG88" i="1"/>
  <c r="DG73" i="1"/>
  <c r="DG111" i="1"/>
  <c r="DG87" i="1"/>
  <c r="DG82" i="1"/>
  <c r="DG53" i="1"/>
  <c r="DG175" i="1"/>
  <c r="DG55" i="1"/>
  <c r="DG51" i="1"/>
  <c r="DG157" i="1"/>
  <c r="DG158" i="1"/>
  <c r="DG83" i="1"/>
  <c r="DG91" i="1"/>
  <c r="DG105" i="1"/>
  <c r="DG103" i="1"/>
  <c r="DG188" i="1"/>
  <c r="DG163" i="1"/>
  <c r="DG101" i="1"/>
  <c r="DG65" i="1"/>
  <c r="DG60" i="1"/>
  <c r="DG80" i="1"/>
  <c r="DG56" i="1"/>
  <c r="DG57" i="1"/>
  <c r="DG25" i="1"/>
  <c r="DG104" i="1"/>
  <c r="DG66" i="1"/>
  <c r="DG58" i="1"/>
  <c r="DG155" i="1"/>
  <c r="DG156" i="1"/>
  <c r="DG134" i="1"/>
  <c r="DG92" i="1"/>
  <c r="DG67" i="1"/>
  <c r="DG126" i="1"/>
  <c r="DG145" i="1"/>
  <c r="DG135" i="1"/>
  <c r="DG159" i="1"/>
  <c r="DG76" i="1"/>
  <c r="DG114" i="1"/>
  <c r="DG161" i="1"/>
  <c r="DG160" i="1"/>
  <c r="DG95" i="1"/>
  <c r="DG120" i="1"/>
  <c r="DG42" i="1"/>
  <c r="DG183" i="1"/>
  <c r="DG112" i="1"/>
  <c r="DG148" i="1"/>
  <c r="DG179" i="1"/>
  <c r="DG128" i="1"/>
  <c r="DG144" i="1"/>
  <c r="DG110" i="1"/>
  <c r="DG81" i="1"/>
  <c r="DG100" i="1"/>
  <c r="DG123" i="1"/>
  <c r="DG86" i="1"/>
  <c r="DG174" i="1"/>
  <c r="DG201" i="1"/>
  <c r="DG90" i="1"/>
  <c r="DG102" i="1"/>
  <c r="DG94" i="1"/>
  <c r="DG119" i="1"/>
  <c r="DG141" i="1"/>
  <c r="DG147" i="1"/>
  <c r="DG165" i="1"/>
  <c r="DG132" i="1"/>
  <c r="DG189" i="1"/>
  <c r="DG133" i="1"/>
  <c r="DG206" i="1"/>
  <c r="DG78" i="1"/>
  <c r="DG143" i="1"/>
  <c r="DG150" i="1"/>
  <c r="DG130" i="1"/>
  <c r="DG96" i="1"/>
  <c r="DG182" i="1"/>
  <c r="DG195" i="1"/>
  <c r="DG178" i="1"/>
  <c r="DG181" i="1"/>
  <c r="DG194" i="1"/>
  <c r="DG208" i="1"/>
  <c r="DG129" i="1"/>
  <c r="DG180" i="1"/>
  <c r="DG140" i="1"/>
  <c r="DG125" i="1"/>
  <c r="DG131" i="1"/>
  <c r="DG173" i="1"/>
  <c r="DG184" i="1"/>
  <c r="DG190" i="1"/>
  <c r="DG142" i="1"/>
  <c r="DG69" i="1"/>
  <c r="DG151" i="1"/>
  <c r="DG193" i="1"/>
  <c r="DG169" i="1"/>
  <c r="DG166" i="1"/>
  <c r="DG97" i="1"/>
  <c r="DG79" i="1"/>
  <c r="DG146" i="1"/>
  <c r="DG204" i="1"/>
  <c r="DG113" i="1"/>
  <c r="DG172" i="1"/>
  <c r="DG171" i="1"/>
  <c r="DG185" i="1"/>
  <c r="DG137" i="1"/>
  <c r="DG205" i="1"/>
  <c r="DG177" i="1"/>
  <c r="DG199" i="1"/>
  <c r="DG106" i="1"/>
  <c r="DG203" i="1"/>
  <c r="DG124" i="1"/>
  <c r="DG170" i="1"/>
  <c r="DG152" i="1"/>
  <c r="DG118" i="1"/>
  <c r="DG198" i="1"/>
  <c r="DG200" i="1"/>
  <c r="DG136" i="1"/>
  <c r="DG108" i="1"/>
  <c r="DG149" i="1"/>
  <c r="DG187" i="1"/>
  <c r="DG168" i="1"/>
  <c r="DG162" i="1"/>
  <c r="DG139" i="1"/>
  <c r="DG196" i="1"/>
  <c r="DG153" i="1"/>
  <c r="DG197" i="1"/>
  <c r="DG176" i="1"/>
  <c r="DG202" i="1"/>
  <c r="DG167" i="1"/>
  <c r="DG207" i="1"/>
  <c r="DG192" i="1"/>
  <c r="DH3" i="1"/>
  <c r="DH2" i="1"/>
  <c r="DH43" i="1"/>
  <c r="DH71" i="1"/>
  <c r="DH7" i="1"/>
  <c r="DH164" i="1"/>
  <c r="DH4" i="1"/>
  <c r="DH99" i="1"/>
  <c r="DH6" i="1"/>
  <c r="DH8" i="1"/>
  <c r="DH10" i="1"/>
  <c r="DH9" i="1"/>
  <c r="DH127" i="1"/>
  <c r="DH11" i="1"/>
  <c r="DH44" i="1"/>
  <c r="DH39" i="1"/>
  <c r="DH45" i="1"/>
  <c r="DH16" i="1"/>
  <c r="DH12" i="1"/>
  <c r="DH48" i="1"/>
  <c r="DH54" i="1"/>
  <c r="DH47" i="1"/>
  <c r="DH20" i="1"/>
  <c r="DH50" i="1"/>
  <c r="DH22" i="1"/>
  <c r="DH49" i="1"/>
  <c r="DH13" i="1"/>
  <c r="DH26" i="1"/>
  <c r="DH52" i="1"/>
  <c r="DH46" i="1"/>
  <c r="DH72" i="1"/>
  <c r="DH5" i="1"/>
  <c r="DH18" i="1"/>
  <c r="DH23" i="1"/>
  <c r="DH15" i="1"/>
  <c r="DH14" i="1"/>
  <c r="DH59" i="1"/>
  <c r="DH38" i="1"/>
  <c r="DH21" i="1"/>
  <c r="DH27" i="1"/>
  <c r="DH17" i="1"/>
  <c r="DH68" i="1"/>
  <c r="DH121" i="1"/>
  <c r="DH24" i="1"/>
  <c r="DH30" i="1"/>
  <c r="DH40" i="1"/>
  <c r="DH35" i="1"/>
  <c r="DH29" i="1"/>
  <c r="DH37" i="1"/>
  <c r="DH28" i="1"/>
  <c r="DH19" i="1"/>
  <c r="DH33" i="1"/>
  <c r="DH109" i="1"/>
  <c r="DH64" i="1"/>
  <c r="DH63" i="1"/>
  <c r="DH77" i="1"/>
  <c r="DH115" i="1"/>
  <c r="DH31" i="1"/>
  <c r="DH41" i="1"/>
  <c r="DH191" i="1"/>
  <c r="DH85" i="1"/>
  <c r="DH62" i="1"/>
  <c r="DH36" i="1"/>
  <c r="DH32" i="1"/>
  <c r="DH34" i="1"/>
  <c r="DH93" i="1"/>
  <c r="DH117" i="1"/>
  <c r="DH154" i="1"/>
  <c r="DH107" i="1"/>
  <c r="DH98" i="1"/>
  <c r="DH138" i="1"/>
  <c r="DH75" i="1"/>
  <c r="DH122" i="1"/>
  <c r="DH84" i="1"/>
  <c r="DH116" i="1"/>
  <c r="DH186" i="1"/>
  <c r="DH89" i="1"/>
  <c r="DH70" i="1"/>
  <c r="DH61" i="1"/>
  <c r="DH74" i="1"/>
  <c r="DH88" i="1"/>
  <c r="DH73" i="1"/>
  <c r="DH111" i="1"/>
  <c r="DH87" i="1"/>
  <c r="DH82" i="1"/>
  <c r="DH53" i="1"/>
  <c r="DH175" i="1"/>
  <c r="DH55" i="1"/>
  <c r="DH51" i="1"/>
  <c r="DH157" i="1"/>
  <c r="DH158" i="1"/>
  <c r="DH83" i="1"/>
  <c r="DH91" i="1"/>
  <c r="DH105" i="1"/>
  <c r="DH103" i="1"/>
  <c r="DH188" i="1"/>
  <c r="DH163" i="1"/>
  <c r="DH101" i="1"/>
  <c r="DH65" i="1"/>
  <c r="DH60" i="1"/>
  <c r="DH80" i="1"/>
  <c r="DH56" i="1"/>
  <c r="DH57" i="1"/>
  <c r="DH25" i="1"/>
  <c r="DH104" i="1"/>
  <c r="DH66" i="1"/>
  <c r="DH58" i="1"/>
  <c r="DH155" i="1"/>
  <c r="DH156" i="1"/>
  <c r="DH134" i="1"/>
  <c r="DH92" i="1"/>
  <c r="DH67" i="1"/>
  <c r="DH126" i="1"/>
  <c r="DH145" i="1"/>
  <c r="DH135" i="1"/>
  <c r="DH159" i="1"/>
  <c r="DH76" i="1"/>
  <c r="DH114" i="1"/>
  <c r="DH161" i="1"/>
  <c r="DH160" i="1"/>
  <c r="DH95" i="1"/>
  <c r="DH120" i="1"/>
  <c r="DH42" i="1"/>
  <c r="DH183" i="1"/>
  <c r="DH112" i="1"/>
  <c r="DH148" i="1"/>
  <c r="DH179" i="1"/>
  <c r="DH128" i="1"/>
  <c r="DH144" i="1"/>
  <c r="DH110" i="1"/>
  <c r="DH81" i="1"/>
  <c r="DH100" i="1"/>
  <c r="DH123" i="1"/>
  <c r="DH86" i="1"/>
  <c r="DH174" i="1"/>
  <c r="DH201" i="1"/>
  <c r="DH90" i="1"/>
  <c r="DH102" i="1"/>
  <c r="DH94" i="1"/>
  <c r="DH119" i="1"/>
  <c r="DH141" i="1"/>
  <c r="DH147" i="1"/>
  <c r="DH165" i="1"/>
  <c r="DH132" i="1"/>
  <c r="DH189" i="1"/>
  <c r="DH133" i="1"/>
  <c r="DH206" i="1"/>
  <c r="DH78" i="1"/>
  <c r="DH143" i="1"/>
  <c r="DH150" i="1"/>
  <c r="DH130" i="1"/>
  <c r="DH96" i="1"/>
  <c r="DH182" i="1"/>
  <c r="DH195" i="1"/>
  <c r="DH178" i="1"/>
  <c r="DH181" i="1"/>
  <c r="DH194" i="1"/>
  <c r="DH208" i="1"/>
  <c r="DH129" i="1"/>
  <c r="DH180" i="1"/>
  <c r="DH140" i="1"/>
  <c r="DH125" i="1"/>
  <c r="DH131" i="1"/>
  <c r="DH173" i="1"/>
  <c r="DH184" i="1"/>
  <c r="DH190" i="1"/>
  <c r="DH142" i="1"/>
  <c r="DH69" i="1"/>
  <c r="DH151" i="1"/>
  <c r="DH193" i="1"/>
  <c r="DH169" i="1"/>
  <c r="DH166" i="1"/>
  <c r="DH97" i="1"/>
  <c r="DH79" i="1"/>
  <c r="DH146" i="1"/>
  <c r="DH204" i="1"/>
  <c r="DH113" i="1"/>
  <c r="DH172" i="1"/>
  <c r="DH171" i="1"/>
  <c r="DH185" i="1"/>
  <c r="DH137" i="1"/>
  <c r="DH205" i="1"/>
  <c r="DH177" i="1"/>
  <c r="DH199" i="1"/>
  <c r="DH106" i="1"/>
  <c r="DH203" i="1"/>
  <c r="DH124" i="1"/>
  <c r="DH170" i="1"/>
  <c r="DH152" i="1"/>
  <c r="DH118" i="1"/>
  <c r="DH198" i="1"/>
  <c r="DH200" i="1"/>
  <c r="DH136" i="1"/>
  <c r="DH108" i="1"/>
  <c r="DH149" i="1"/>
  <c r="DH187" i="1"/>
  <c r="DH168" i="1"/>
  <c r="DH162" i="1"/>
  <c r="DH139" i="1"/>
  <c r="DH196" i="1"/>
  <c r="DH153" i="1"/>
  <c r="DH197" i="1"/>
  <c r="DH176" i="1"/>
  <c r="DH202" i="1"/>
  <c r="DH167" i="1"/>
  <c r="DH207" i="1"/>
  <c r="DH192" i="1"/>
  <c r="DF3" i="1"/>
  <c r="DF2" i="1"/>
  <c r="DF43" i="1"/>
  <c r="DF71" i="1"/>
  <c r="DF7" i="1"/>
  <c r="DF164" i="1"/>
  <c r="DF4" i="1"/>
  <c r="DF99" i="1"/>
  <c r="DF6" i="1"/>
  <c r="DF8" i="1"/>
  <c r="DF10" i="1"/>
  <c r="DF9" i="1"/>
  <c r="DF127" i="1"/>
  <c r="DF11" i="1"/>
  <c r="DF44" i="1"/>
  <c r="DF39" i="1"/>
  <c r="DF45" i="1"/>
  <c r="DF16" i="1"/>
  <c r="DF12" i="1"/>
  <c r="DF48" i="1"/>
  <c r="DF54" i="1"/>
  <c r="DF47" i="1"/>
  <c r="DF20" i="1"/>
  <c r="DF50" i="1"/>
  <c r="DF22" i="1"/>
  <c r="DF49" i="1"/>
  <c r="DF13" i="1"/>
  <c r="DF26" i="1"/>
  <c r="DF52" i="1"/>
  <c r="DF46" i="1"/>
  <c r="DF72" i="1"/>
  <c r="DF5" i="1"/>
  <c r="DF18" i="1"/>
  <c r="DF23" i="1"/>
  <c r="DF15" i="1"/>
  <c r="DF14" i="1"/>
  <c r="DF59" i="1"/>
  <c r="DF38" i="1"/>
  <c r="DF21" i="1"/>
  <c r="DF27" i="1"/>
  <c r="DF17" i="1"/>
  <c r="DF68" i="1"/>
  <c r="DF121" i="1"/>
  <c r="DF24" i="1"/>
  <c r="DF30" i="1"/>
  <c r="DF40" i="1"/>
  <c r="DF35" i="1"/>
  <c r="DF29" i="1"/>
  <c r="DF37" i="1"/>
  <c r="DF28" i="1"/>
  <c r="DF19" i="1"/>
  <c r="DF33" i="1"/>
  <c r="DF109" i="1"/>
  <c r="DF64" i="1"/>
  <c r="DF63" i="1"/>
  <c r="DF77" i="1"/>
  <c r="DF115" i="1"/>
  <c r="DF31" i="1"/>
  <c r="DF41" i="1"/>
  <c r="DF191" i="1"/>
  <c r="DF85" i="1"/>
  <c r="DF62" i="1"/>
  <c r="DF36" i="1"/>
  <c r="DF32" i="1"/>
  <c r="DF34" i="1"/>
  <c r="DF93" i="1"/>
  <c r="DF117" i="1"/>
  <c r="DF154" i="1"/>
  <c r="DF107" i="1"/>
  <c r="DF98" i="1"/>
  <c r="DF138" i="1"/>
  <c r="DF75" i="1"/>
  <c r="DF122" i="1"/>
  <c r="DF84" i="1"/>
  <c r="DF116" i="1"/>
  <c r="DF186" i="1"/>
  <c r="DF89" i="1"/>
  <c r="DF70" i="1"/>
  <c r="DF61" i="1"/>
  <c r="DF74" i="1"/>
  <c r="DF88" i="1"/>
  <c r="DF73" i="1"/>
  <c r="DF111" i="1"/>
  <c r="DF87" i="1"/>
  <c r="DF82" i="1"/>
  <c r="DF53" i="1"/>
  <c r="DF175" i="1"/>
  <c r="DF55" i="1"/>
  <c r="DF51" i="1"/>
  <c r="DF157" i="1"/>
  <c r="DF158" i="1"/>
  <c r="DF83" i="1"/>
  <c r="DF91" i="1"/>
  <c r="DF105" i="1"/>
  <c r="DF103" i="1"/>
  <c r="DF188" i="1"/>
  <c r="DF163" i="1"/>
  <c r="DF101" i="1"/>
  <c r="DF65" i="1"/>
  <c r="DF60" i="1"/>
  <c r="DF80" i="1"/>
  <c r="DF56" i="1"/>
  <c r="DF57" i="1"/>
  <c r="DF25" i="1"/>
  <c r="DF104" i="1"/>
  <c r="DF66" i="1"/>
  <c r="DF58" i="1"/>
  <c r="DF155" i="1"/>
  <c r="DF156" i="1"/>
  <c r="DF134" i="1"/>
  <c r="DF92" i="1"/>
  <c r="DF67" i="1"/>
  <c r="DF126" i="1"/>
  <c r="DF145" i="1"/>
  <c r="DF135" i="1"/>
  <c r="DF159" i="1"/>
  <c r="DF76" i="1"/>
  <c r="DF114" i="1"/>
  <c r="DF161" i="1"/>
  <c r="DF160" i="1"/>
  <c r="DF95" i="1"/>
  <c r="DF120" i="1"/>
  <c r="DF42" i="1"/>
  <c r="DF183" i="1"/>
  <c r="DF112" i="1"/>
  <c r="DF148" i="1"/>
  <c r="DF179" i="1"/>
  <c r="DF128" i="1"/>
  <c r="DF144" i="1"/>
  <c r="DF110" i="1"/>
  <c r="DF81" i="1"/>
  <c r="DF100" i="1"/>
  <c r="DF123" i="1"/>
  <c r="DF86" i="1"/>
  <c r="DF174" i="1"/>
  <c r="DF201" i="1"/>
  <c r="DF90" i="1"/>
  <c r="DF102" i="1"/>
  <c r="DF94" i="1"/>
  <c r="DF119" i="1"/>
  <c r="DF141" i="1"/>
  <c r="DF147" i="1"/>
  <c r="DF165" i="1"/>
  <c r="DF132" i="1"/>
  <c r="DF189" i="1"/>
  <c r="DF133" i="1"/>
  <c r="DF206" i="1"/>
  <c r="DF78" i="1"/>
  <c r="DF143" i="1"/>
  <c r="DF150" i="1"/>
  <c r="DF130" i="1"/>
  <c r="DF96" i="1"/>
  <c r="DF182" i="1"/>
  <c r="DF195" i="1"/>
  <c r="DF178" i="1"/>
  <c r="DF181" i="1"/>
  <c r="DF194" i="1"/>
  <c r="DF208" i="1"/>
  <c r="DF129" i="1"/>
  <c r="DF180" i="1"/>
  <c r="DF140" i="1"/>
  <c r="DF125" i="1"/>
  <c r="DF131" i="1"/>
  <c r="DF173" i="1"/>
  <c r="DF184" i="1"/>
  <c r="DF190" i="1"/>
  <c r="DF142" i="1"/>
  <c r="DF69" i="1"/>
  <c r="DF151" i="1"/>
  <c r="DF193" i="1"/>
  <c r="DF169" i="1"/>
  <c r="DF166" i="1"/>
  <c r="DF97" i="1"/>
  <c r="DF79" i="1"/>
  <c r="DF146" i="1"/>
  <c r="DF204" i="1"/>
  <c r="DF113" i="1"/>
  <c r="DF172" i="1"/>
  <c r="DF171" i="1"/>
  <c r="DF185" i="1"/>
  <c r="DF137" i="1"/>
  <c r="DF205" i="1"/>
  <c r="DF177" i="1"/>
  <c r="DF199" i="1"/>
  <c r="DF106" i="1"/>
  <c r="DF203" i="1"/>
  <c r="DF124" i="1"/>
  <c r="DF170" i="1"/>
  <c r="DF152" i="1"/>
  <c r="DF118" i="1"/>
  <c r="DF198" i="1"/>
  <c r="DF200" i="1"/>
  <c r="DF136" i="1"/>
  <c r="DF108" i="1"/>
  <c r="DF149" i="1"/>
  <c r="DF187" i="1"/>
  <c r="DF168" i="1"/>
  <c r="DF162" i="1"/>
  <c r="DF139" i="1"/>
  <c r="DF196" i="1"/>
  <c r="DF153" i="1"/>
  <c r="DF197" i="1"/>
  <c r="DF176" i="1"/>
  <c r="DF202" i="1"/>
  <c r="DF167" i="1"/>
  <c r="DF207" i="1"/>
  <c r="DF192" i="1"/>
  <c r="DE3" i="1"/>
  <c r="DE2" i="1"/>
  <c r="DE43" i="1"/>
  <c r="DE71" i="1"/>
  <c r="DE7" i="1"/>
  <c r="DE164" i="1"/>
  <c r="DE4" i="1"/>
  <c r="DE99" i="1"/>
  <c r="DE6" i="1"/>
  <c r="DE8" i="1"/>
  <c r="DE10" i="1"/>
  <c r="DE9" i="1"/>
  <c r="DE127" i="1"/>
  <c r="DE11" i="1"/>
  <c r="DE44" i="1"/>
  <c r="DE39" i="1"/>
  <c r="DE45" i="1"/>
  <c r="DE16" i="1"/>
  <c r="DE12" i="1"/>
  <c r="DE48" i="1"/>
  <c r="DE54" i="1"/>
  <c r="DE47" i="1"/>
  <c r="DE20" i="1"/>
  <c r="DE50" i="1"/>
  <c r="DE22" i="1"/>
  <c r="DE49" i="1"/>
  <c r="DE13" i="1"/>
  <c r="DE26" i="1"/>
  <c r="DE52" i="1"/>
  <c r="DE46" i="1"/>
  <c r="DE72" i="1"/>
  <c r="DE5" i="1"/>
  <c r="DE18" i="1"/>
  <c r="DE23" i="1"/>
  <c r="DE15" i="1"/>
  <c r="DE14" i="1"/>
  <c r="DE59" i="1"/>
  <c r="DE38" i="1"/>
  <c r="DE21" i="1"/>
  <c r="DE27" i="1"/>
  <c r="DE17" i="1"/>
  <c r="DE68" i="1"/>
  <c r="DE121" i="1"/>
  <c r="DE24" i="1"/>
  <c r="DE30" i="1"/>
  <c r="DE40" i="1"/>
  <c r="DE35" i="1"/>
  <c r="DE29" i="1"/>
  <c r="DE37" i="1"/>
  <c r="DE28" i="1"/>
  <c r="DE19" i="1"/>
  <c r="DE33" i="1"/>
  <c r="DE109" i="1"/>
  <c r="DE64" i="1"/>
  <c r="DE63" i="1"/>
  <c r="DE77" i="1"/>
  <c r="DE115" i="1"/>
  <c r="DE31" i="1"/>
  <c r="DE41" i="1"/>
  <c r="DE191" i="1"/>
  <c r="DE85" i="1"/>
  <c r="DE62" i="1"/>
  <c r="DE36" i="1"/>
  <c r="DE32" i="1"/>
  <c r="DE34" i="1"/>
  <c r="DE93" i="1"/>
  <c r="DE117" i="1"/>
  <c r="DE154" i="1"/>
  <c r="DE107" i="1"/>
  <c r="DE98" i="1"/>
  <c r="DE138" i="1"/>
  <c r="DE75" i="1"/>
  <c r="DE122" i="1"/>
  <c r="DE84" i="1"/>
  <c r="DE116" i="1"/>
  <c r="DE186" i="1"/>
  <c r="DE89" i="1"/>
  <c r="DE70" i="1"/>
  <c r="DE61" i="1"/>
  <c r="DE74" i="1"/>
  <c r="DE88" i="1"/>
  <c r="DE73" i="1"/>
  <c r="DE111" i="1"/>
  <c r="DE87" i="1"/>
  <c r="DE82" i="1"/>
  <c r="DE53" i="1"/>
  <c r="DE175" i="1"/>
  <c r="DE55" i="1"/>
  <c r="DE51" i="1"/>
  <c r="DE157" i="1"/>
  <c r="DE158" i="1"/>
  <c r="DE83" i="1"/>
  <c r="DE91" i="1"/>
  <c r="DE105" i="1"/>
  <c r="DE103" i="1"/>
  <c r="DE188" i="1"/>
  <c r="DE163" i="1"/>
  <c r="DE101" i="1"/>
  <c r="DE65" i="1"/>
  <c r="DE60" i="1"/>
  <c r="DE80" i="1"/>
  <c r="DE56" i="1"/>
  <c r="DE57" i="1"/>
  <c r="DE25" i="1"/>
  <c r="DE104" i="1"/>
  <c r="DE66" i="1"/>
  <c r="DE58" i="1"/>
  <c r="DE155" i="1"/>
  <c r="DE156" i="1"/>
  <c r="DE134" i="1"/>
  <c r="DE92" i="1"/>
  <c r="DE67" i="1"/>
  <c r="DE126" i="1"/>
  <c r="DE145" i="1"/>
  <c r="DE135" i="1"/>
  <c r="DE159" i="1"/>
  <c r="DE76" i="1"/>
  <c r="DE114" i="1"/>
  <c r="DE161" i="1"/>
  <c r="DE160" i="1"/>
  <c r="DE95" i="1"/>
  <c r="DE120" i="1"/>
  <c r="DE42" i="1"/>
  <c r="DE183" i="1"/>
  <c r="DE112" i="1"/>
  <c r="DE148" i="1"/>
  <c r="DE179" i="1"/>
  <c r="DE128" i="1"/>
  <c r="DE144" i="1"/>
  <c r="DE110" i="1"/>
  <c r="DE81" i="1"/>
  <c r="DE100" i="1"/>
  <c r="DE123" i="1"/>
  <c r="DE86" i="1"/>
  <c r="DE174" i="1"/>
  <c r="DE201" i="1"/>
  <c r="DE90" i="1"/>
  <c r="DE102" i="1"/>
  <c r="DE94" i="1"/>
  <c r="DE119" i="1"/>
  <c r="DE141" i="1"/>
  <c r="DE147" i="1"/>
  <c r="DE165" i="1"/>
  <c r="DE132" i="1"/>
  <c r="DE189" i="1"/>
  <c r="DE133" i="1"/>
  <c r="DE206" i="1"/>
  <c r="DE78" i="1"/>
  <c r="DE143" i="1"/>
  <c r="DE150" i="1"/>
  <c r="DE130" i="1"/>
  <c r="DE96" i="1"/>
  <c r="DE182" i="1"/>
  <c r="DE195" i="1"/>
  <c r="DE178" i="1"/>
  <c r="DE181" i="1"/>
  <c r="DE194" i="1"/>
  <c r="DE208" i="1"/>
  <c r="DE129" i="1"/>
  <c r="DE180" i="1"/>
  <c r="DE140" i="1"/>
  <c r="DE125" i="1"/>
  <c r="DE131" i="1"/>
  <c r="DE173" i="1"/>
  <c r="DE184" i="1"/>
  <c r="DE190" i="1"/>
  <c r="DE142" i="1"/>
  <c r="DE69" i="1"/>
  <c r="DE151" i="1"/>
  <c r="DE193" i="1"/>
  <c r="DE169" i="1"/>
  <c r="DE166" i="1"/>
  <c r="DE97" i="1"/>
  <c r="DE79" i="1"/>
  <c r="DE146" i="1"/>
  <c r="DE204" i="1"/>
  <c r="DE113" i="1"/>
  <c r="DE172" i="1"/>
  <c r="DE171" i="1"/>
  <c r="DE185" i="1"/>
  <c r="DE137" i="1"/>
  <c r="DE205" i="1"/>
  <c r="DE177" i="1"/>
  <c r="DE199" i="1"/>
  <c r="DE106" i="1"/>
  <c r="DE203" i="1"/>
  <c r="DE124" i="1"/>
  <c r="DE170" i="1"/>
  <c r="DE152" i="1"/>
  <c r="DE118" i="1"/>
  <c r="DE198" i="1"/>
  <c r="DE200" i="1"/>
  <c r="DE136" i="1"/>
  <c r="DE108" i="1"/>
  <c r="DE149" i="1"/>
  <c r="DE187" i="1"/>
  <c r="DE168" i="1"/>
  <c r="DE162" i="1"/>
  <c r="DE139" i="1"/>
  <c r="DE196" i="1"/>
  <c r="DE153" i="1"/>
  <c r="DE197" i="1"/>
  <c r="DE176" i="1"/>
  <c r="DE202" i="1"/>
  <c r="DE167" i="1"/>
  <c r="DE207" i="1"/>
  <c r="DE192" i="1"/>
  <c r="CX3" i="1"/>
  <c r="CX2" i="1"/>
  <c r="CX43" i="1"/>
  <c r="CX71" i="1"/>
  <c r="CX7" i="1"/>
  <c r="CX164" i="1"/>
  <c r="CX4" i="1"/>
  <c r="CX99" i="1"/>
  <c r="CX6" i="1"/>
  <c r="CX8" i="1"/>
  <c r="CX10" i="1"/>
  <c r="CX9" i="1"/>
  <c r="CX127" i="1"/>
  <c r="CX11" i="1"/>
  <c r="CX44" i="1"/>
  <c r="CX39" i="1"/>
  <c r="CX45" i="1"/>
  <c r="CX16" i="1"/>
  <c r="CX12" i="1"/>
  <c r="CX48" i="1"/>
  <c r="CX54" i="1"/>
  <c r="CX47" i="1"/>
  <c r="CX20" i="1"/>
  <c r="CX50" i="1"/>
  <c r="CX22" i="1"/>
  <c r="CX49" i="1"/>
  <c r="CX13" i="1"/>
  <c r="CX26" i="1"/>
  <c r="CX52" i="1"/>
  <c r="CX46" i="1"/>
  <c r="CX72" i="1"/>
  <c r="CX5" i="1"/>
  <c r="CX18" i="1"/>
  <c r="CX23" i="1"/>
  <c r="CX15" i="1"/>
  <c r="CX14" i="1"/>
  <c r="CX59" i="1"/>
  <c r="CX38" i="1"/>
  <c r="CX21" i="1"/>
  <c r="CX27" i="1"/>
  <c r="CX17" i="1"/>
  <c r="CX68" i="1"/>
  <c r="CX121" i="1"/>
  <c r="CX24" i="1"/>
  <c r="CX30" i="1"/>
  <c r="CX40" i="1"/>
  <c r="CX35" i="1"/>
  <c r="CX29" i="1"/>
  <c r="CX37" i="1"/>
  <c r="CX28" i="1"/>
  <c r="CX19" i="1"/>
  <c r="CX33" i="1"/>
  <c r="CX109" i="1"/>
  <c r="CX64" i="1"/>
  <c r="CX63" i="1"/>
  <c r="CX77" i="1"/>
  <c r="CX115" i="1"/>
  <c r="CX31" i="1"/>
  <c r="CX41" i="1"/>
  <c r="CX191" i="1"/>
  <c r="CX85" i="1"/>
  <c r="CX62" i="1"/>
  <c r="CX36" i="1"/>
  <c r="CX32" i="1"/>
  <c r="CX34" i="1"/>
  <c r="CX93" i="1"/>
  <c r="CX117" i="1"/>
  <c r="CX154" i="1"/>
  <c r="CX107" i="1"/>
  <c r="CX98" i="1"/>
  <c r="CX138" i="1"/>
  <c r="CX75" i="1"/>
  <c r="CX122" i="1"/>
  <c r="CX84" i="1"/>
  <c r="CX116" i="1"/>
  <c r="CX186" i="1"/>
  <c r="CX89" i="1"/>
  <c r="CX70" i="1"/>
  <c r="CX61" i="1"/>
  <c r="CX74" i="1"/>
  <c r="CX88" i="1"/>
  <c r="CX73" i="1"/>
  <c r="CX111" i="1"/>
  <c r="CX87" i="1"/>
  <c r="CX82" i="1"/>
  <c r="CX53" i="1"/>
  <c r="CX175" i="1"/>
  <c r="CX55" i="1"/>
  <c r="CX51" i="1"/>
  <c r="CX157" i="1"/>
  <c r="CX158" i="1"/>
  <c r="CX83" i="1"/>
  <c r="CX91" i="1"/>
  <c r="CX105" i="1"/>
  <c r="CX103" i="1"/>
  <c r="CX188" i="1"/>
  <c r="CX163" i="1"/>
  <c r="CX101" i="1"/>
  <c r="CX65" i="1"/>
  <c r="CX60" i="1"/>
  <c r="CX80" i="1"/>
  <c r="CX56" i="1"/>
  <c r="CX57" i="1"/>
  <c r="CX25" i="1"/>
  <c r="CX104" i="1"/>
  <c r="CX66" i="1"/>
  <c r="CX58" i="1"/>
  <c r="CX155" i="1"/>
  <c r="CX156" i="1"/>
  <c r="CX134" i="1"/>
  <c r="CX92" i="1"/>
  <c r="CX67" i="1"/>
  <c r="CX126" i="1"/>
  <c r="CX145" i="1"/>
  <c r="CX135" i="1"/>
  <c r="CX159" i="1"/>
  <c r="CX76" i="1"/>
  <c r="CX114" i="1"/>
  <c r="CX161" i="1"/>
  <c r="CX160" i="1"/>
  <c r="CX95" i="1"/>
  <c r="CX120" i="1"/>
  <c r="CX42" i="1"/>
  <c r="CX183" i="1"/>
  <c r="CX112" i="1"/>
  <c r="CX148" i="1"/>
  <c r="CX179" i="1"/>
  <c r="CX128" i="1"/>
  <c r="CX144" i="1"/>
  <c r="CX110" i="1"/>
  <c r="CX81" i="1"/>
  <c r="CX100" i="1"/>
  <c r="CX123" i="1"/>
  <c r="CX86" i="1"/>
  <c r="CX174" i="1"/>
  <c r="CX201" i="1"/>
  <c r="CX90" i="1"/>
  <c r="CX102" i="1"/>
  <c r="CX94" i="1"/>
  <c r="CX119" i="1"/>
  <c r="CX141" i="1"/>
  <c r="CX147" i="1"/>
  <c r="CX165" i="1"/>
  <c r="CX132" i="1"/>
  <c r="CX189" i="1"/>
  <c r="CX133" i="1"/>
  <c r="CX206" i="1"/>
  <c r="CX78" i="1"/>
  <c r="CX143" i="1"/>
  <c r="CX150" i="1"/>
  <c r="CX130" i="1"/>
  <c r="CX96" i="1"/>
  <c r="CX182" i="1"/>
  <c r="CX195" i="1"/>
  <c r="CX178" i="1"/>
  <c r="CX181" i="1"/>
  <c r="CX194" i="1"/>
  <c r="CX208" i="1"/>
  <c r="CX129" i="1"/>
  <c r="CX180" i="1"/>
  <c r="CX140" i="1"/>
  <c r="CX125" i="1"/>
  <c r="CX131" i="1"/>
  <c r="CX173" i="1"/>
  <c r="CX184" i="1"/>
  <c r="CX190" i="1"/>
  <c r="CX142" i="1"/>
  <c r="CX69" i="1"/>
  <c r="CX151" i="1"/>
  <c r="CX193" i="1"/>
  <c r="CX169" i="1"/>
  <c r="CX166" i="1"/>
  <c r="CX97" i="1"/>
  <c r="CX79" i="1"/>
  <c r="CX146" i="1"/>
  <c r="CX204" i="1"/>
  <c r="CX113" i="1"/>
  <c r="CX172" i="1"/>
  <c r="CX171" i="1"/>
  <c r="CX185" i="1"/>
  <c r="CX137" i="1"/>
  <c r="CX205" i="1"/>
  <c r="CX177" i="1"/>
  <c r="CX199" i="1"/>
  <c r="CX106" i="1"/>
  <c r="CX203" i="1"/>
  <c r="CX124" i="1"/>
  <c r="CX170" i="1"/>
  <c r="CX152" i="1"/>
  <c r="CX118" i="1"/>
  <c r="CX198" i="1"/>
  <c r="CX200" i="1"/>
  <c r="CX136" i="1"/>
  <c r="CX108" i="1"/>
  <c r="CX149" i="1"/>
  <c r="CX187" i="1"/>
  <c r="CX168" i="1"/>
  <c r="CX162" i="1"/>
  <c r="CX139" i="1"/>
  <c r="CX196" i="1"/>
  <c r="CX153" i="1"/>
  <c r="CX197" i="1"/>
  <c r="CX176" i="1"/>
  <c r="CX202" i="1"/>
  <c r="CX167" i="1"/>
  <c r="CX207" i="1"/>
  <c r="CX192" i="1"/>
  <c r="CW3" i="1"/>
  <c r="CW2" i="1"/>
  <c r="CW43" i="1"/>
  <c r="CW71" i="1"/>
  <c r="CW7" i="1"/>
  <c r="CW164" i="1"/>
  <c r="CW4" i="1"/>
  <c r="CW99" i="1"/>
  <c r="CW6" i="1"/>
  <c r="CW8" i="1"/>
  <c r="CW10" i="1"/>
  <c r="CW9" i="1"/>
  <c r="CW127" i="1"/>
  <c r="CW11" i="1"/>
  <c r="CW44" i="1"/>
  <c r="CW39" i="1"/>
  <c r="CW45" i="1"/>
  <c r="CW16" i="1"/>
  <c r="CW12" i="1"/>
  <c r="CW48" i="1"/>
  <c r="CW54" i="1"/>
  <c r="CW47" i="1"/>
  <c r="CW20" i="1"/>
  <c r="CW50" i="1"/>
  <c r="CW22" i="1"/>
  <c r="CW49" i="1"/>
  <c r="CW13" i="1"/>
  <c r="CW26" i="1"/>
  <c r="CW52" i="1"/>
  <c r="CW46" i="1"/>
  <c r="CW72" i="1"/>
  <c r="CW5" i="1"/>
  <c r="CW18" i="1"/>
  <c r="CW23" i="1"/>
  <c r="CW15" i="1"/>
  <c r="CW14" i="1"/>
  <c r="CW59" i="1"/>
  <c r="CW38" i="1"/>
  <c r="CW21" i="1"/>
  <c r="CW27" i="1"/>
  <c r="CW17" i="1"/>
  <c r="CW68" i="1"/>
  <c r="CW121" i="1"/>
  <c r="CW24" i="1"/>
  <c r="CW30" i="1"/>
  <c r="CW40" i="1"/>
  <c r="CW35" i="1"/>
  <c r="CW29" i="1"/>
  <c r="CW37" i="1"/>
  <c r="CW28" i="1"/>
  <c r="CW19" i="1"/>
  <c r="CW33" i="1"/>
  <c r="CW109" i="1"/>
  <c r="CW64" i="1"/>
  <c r="CW63" i="1"/>
  <c r="CW77" i="1"/>
  <c r="CW115" i="1"/>
  <c r="CW31" i="1"/>
  <c r="CW41" i="1"/>
  <c r="CW191" i="1"/>
  <c r="CW85" i="1"/>
  <c r="CW62" i="1"/>
  <c r="CW36" i="1"/>
  <c r="CW32" i="1"/>
  <c r="CW34" i="1"/>
  <c r="CW93" i="1"/>
  <c r="CW117" i="1"/>
  <c r="CW154" i="1"/>
  <c r="CW107" i="1"/>
  <c r="CW98" i="1"/>
  <c r="CW138" i="1"/>
  <c r="CW75" i="1"/>
  <c r="CW122" i="1"/>
  <c r="CW84" i="1"/>
  <c r="CW116" i="1"/>
  <c r="CW186" i="1"/>
  <c r="CW89" i="1"/>
  <c r="CW70" i="1"/>
  <c r="CW61" i="1"/>
  <c r="CW74" i="1"/>
  <c r="CW88" i="1"/>
  <c r="CW73" i="1"/>
  <c r="CW111" i="1"/>
  <c r="CW87" i="1"/>
  <c r="CW82" i="1"/>
  <c r="CW53" i="1"/>
  <c r="CW175" i="1"/>
  <c r="CW55" i="1"/>
  <c r="CW51" i="1"/>
  <c r="CW157" i="1"/>
  <c r="CW158" i="1"/>
  <c r="CW83" i="1"/>
  <c r="CW91" i="1"/>
  <c r="CW105" i="1"/>
  <c r="CW103" i="1"/>
  <c r="CW188" i="1"/>
  <c r="CW163" i="1"/>
  <c r="CW101" i="1"/>
  <c r="CW65" i="1"/>
  <c r="CW60" i="1"/>
  <c r="CW80" i="1"/>
  <c r="CW56" i="1"/>
  <c r="CW57" i="1"/>
  <c r="CW25" i="1"/>
  <c r="CW104" i="1"/>
  <c r="CW66" i="1"/>
  <c r="CW58" i="1"/>
  <c r="CW155" i="1"/>
  <c r="CW156" i="1"/>
  <c r="CW134" i="1"/>
  <c r="CW92" i="1"/>
  <c r="CW67" i="1"/>
  <c r="CW126" i="1"/>
  <c r="CW145" i="1"/>
  <c r="CW135" i="1"/>
  <c r="CW159" i="1"/>
  <c r="CW76" i="1"/>
  <c r="CW114" i="1"/>
  <c r="CW161" i="1"/>
  <c r="CW160" i="1"/>
  <c r="CW95" i="1"/>
  <c r="CW120" i="1"/>
  <c r="CW42" i="1"/>
  <c r="CW183" i="1"/>
  <c r="CW112" i="1"/>
  <c r="CW148" i="1"/>
  <c r="CW179" i="1"/>
  <c r="CW128" i="1"/>
  <c r="CW144" i="1"/>
  <c r="CW110" i="1"/>
  <c r="CW81" i="1"/>
  <c r="CW100" i="1"/>
  <c r="CW123" i="1"/>
  <c r="CW86" i="1"/>
  <c r="CW174" i="1"/>
  <c r="CW201" i="1"/>
  <c r="CW90" i="1"/>
  <c r="CW102" i="1"/>
  <c r="CW94" i="1"/>
  <c r="CW119" i="1"/>
  <c r="CW141" i="1"/>
  <c r="CW147" i="1"/>
  <c r="CW165" i="1"/>
  <c r="CW132" i="1"/>
  <c r="CW189" i="1"/>
  <c r="CW133" i="1"/>
  <c r="CW206" i="1"/>
  <c r="CW78" i="1"/>
  <c r="CW143" i="1"/>
  <c r="CW150" i="1"/>
  <c r="CW130" i="1"/>
  <c r="CW96" i="1"/>
  <c r="CW182" i="1"/>
  <c r="CW195" i="1"/>
  <c r="CW178" i="1"/>
  <c r="CW181" i="1"/>
  <c r="CW194" i="1"/>
  <c r="CW208" i="1"/>
  <c r="CW129" i="1"/>
  <c r="CW180" i="1"/>
  <c r="CW140" i="1"/>
  <c r="CW125" i="1"/>
  <c r="CW131" i="1"/>
  <c r="CW173" i="1"/>
  <c r="CW184" i="1"/>
  <c r="CW190" i="1"/>
  <c r="CW142" i="1"/>
  <c r="CW69" i="1"/>
  <c r="CW151" i="1"/>
  <c r="CW193" i="1"/>
  <c r="CW169" i="1"/>
  <c r="CW166" i="1"/>
  <c r="CW97" i="1"/>
  <c r="CW79" i="1"/>
  <c r="CW146" i="1"/>
  <c r="CW204" i="1"/>
  <c r="CW113" i="1"/>
  <c r="CW172" i="1"/>
  <c r="CW171" i="1"/>
  <c r="CW185" i="1"/>
  <c r="CW137" i="1"/>
  <c r="CW205" i="1"/>
  <c r="CW177" i="1"/>
  <c r="CW199" i="1"/>
  <c r="CW106" i="1"/>
  <c r="CW203" i="1"/>
  <c r="CW124" i="1"/>
  <c r="CW170" i="1"/>
  <c r="CW152" i="1"/>
  <c r="CW118" i="1"/>
  <c r="CW198" i="1"/>
  <c r="CW200" i="1"/>
  <c r="CW136" i="1"/>
  <c r="CW108" i="1"/>
  <c r="CW149" i="1"/>
  <c r="CW187" i="1"/>
  <c r="CW168" i="1"/>
  <c r="CW162" i="1"/>
  <c r="CW139" i="1"/>
  <c r="CW196" i="1"/>
  <c r="CW153" i="1"/>
  <c r="CW197" i="1"/>
  <c r="CW176" i="1"/>
  <c r="CW202" i="1"/>
  <c r="CW167" i="1"/>
  <c r="CW207" i="1"/>
  <c r="CW192" i="1"/>
  <c r="CV3" i="1"/>
  <c r="CV2" i="1"/>
  <c r="CV43" i="1"/>
  <c r="CV71" i="1"/>
  <c r="CV7" i="1"/>
  <c r="CV164" i="1"/>
  <c r="CV4" i="1"/>
  <c r="CV99" i="1"/>
  <c r="CV6" i="1"/>
  <c r="CV8" i="1"/>
  <c r="CV10" i="1"/>
  <c r="CV9" i="1"/>
  <c r="CV127" i="1"/>
  <c r="CV11" i="1"/>
  <c r="CV44" i="1"/>
  <c r="CV39" i="1"/>
  <c r="CV45" i="1"/>
  <c r="CV16" i="1"/>
  <c r="CV12" i="1"/>
  <c r="CV48" i="1"/>
  <c r="CV54" i="1"/>
  <c r="CV47" i="1"/>
  <c r="CV20" i="1"/>
  <c r="CV50" i="1"/>
  <c r="CV22" i="1"/>
  <c r="CV49" i="1"/>
  <c r="CV13" i="1"/>
  <c r="CV26" i="1"/>
  <c r="CV52" i="1"/>
  <c r="CV46" i="1"/>
  <c r="CV72" i="1"/>
  <c r="CV5" i="1"/>
  <c r="CV18" i="1"/>
  <c r="CV23" i="1"/>
  <c r="CV15" i="1"/>
  <c r="CV14" i="1"/>
  <c r="CV59" i="1"/>
  <c r="CV38" i="1"/>
  <c r="CV21" i="1"/>
  <c r="CV27" i="1"/>
  <c r="CV17" i="1"/>
  <c r="CV68" i="1"/>
  <c r="CV121" i="1"/>
  <c r="CV24" i="1"/>
  <c r="CV30" i="1"/>
  <c r="CV40" i="1"/>
  <c r="CV35" i="1"/>
  <c r="CV29" i="1"/>
  <c r="CV37" i="1"/>
  <c r="CV28" i="1"/>
  <c r="CV19" i="1"/>
  <c r="CV33" i="1"/>
  <c r="CV109" i="1"/>
  <c r="CV64" i="1"/>
  <c r="CV63" i="1"/>
  <c r="CV77" i="1"/>
  <c r="CV115" i="1"/>
  <c r="CV31" i="1"/>
  <c r="CV41" i="1"/>
  <c r="CV191" i="1"/>
  <c r="CV85" i="1"/>
  <c r="CV62" i="1"/>
  <c r="CV36" i="1"/>
  <c r="CV32" i="1"/>
  <c r="CV34" i="1"/>
  <c r="CV93" i="1"/>
  <c r="CV117" i="1"/>
  <c r="CV154" i="1"/>
  <c r="CV107" i="1"/>
  <c r="CV98" i="1"/>
  <c r="CV138" i="1"/>
  <c r="CV75" i="1"/>
  <c r="CV122" i="1"/>
  <c r="CV84" i="1"/>
  <c r="CV116" i="1"/>
  <c r="CV186" i="1"/>
  <c r="CV89" i="1"/>
  <c r="CV70" i="1"/>
  <c r="CV61" i="1"/>
  <c r="CV74" i="1"/>
  <c r="CV88" i="1"/>
  <c r="CV73" i="1"/>
  <c r="CV111" i="1"/>
  <c r="CV87" i="1"/>
  <c r="CV82" i="1"/>
  <c r="CV53" i="1"/>
  <c r="CV175" i="1"/>
  <c r="CV55" i="1"/>
  <c r="CV51" i="1"/>
  <c r="CV157" i="1"/>
  <c r="CV158" i="1"/>
  <c r="CV83" i="1"/>
  <c r="CV91" i="1"/>
  <c r="CV105" i="1"/>
  <c r="CV103" i="1"/>
  <c r="CV188" i="1"/>
  <c r="CV163" i="1"/>
  <c r="CV101" i="1"/>
  <c r="CV65" i="1"/>
  <c r="CV60" i="1"/>
  <c r="CV80" i="1"/>
  <c r="CV56" i="1"/>
  <c r="CV57" i="1"/>
  <c r="CV25" i="1"/>
  <c r="CV104" i="1"/>
  <c r="CV66" i="1"/>
  <c r="CV58" i="1"/>
  <c r="CV155" i="1"/>
  <c r="CV156" i="1"/>
  <c r="CV134" i="1"/>
  <c r="CV92" i="1"/>
  <c r="CV67" i="1"/>
  <c r="CV126" i="1"/>
  <c r="CV145" i="1"/>
  <c r="CV135" i="1"/>
  <c r="CV159" i="1"/>
  <c r="CV76" i="1"/>
  <c r="CV114" i="1"/>
  <c r="CV161" i="1"/>
  <c r="CV160" i="1"/>
  <c r="CV95" i="1"/>
  <c r="CV120" i="1"/>
  <c r="CV42" i="1"/>
  <c r="CV183" i="1"/>
  <c r="CV112" i="1"/>
  <c r="CV148" i="1"/>
  <c r="CV179" i="1"/>
  <c r="CV128" i="1"/>
  <c r="CV144" i="1"/>
  <c r="CV110" i="1"/>
  <c r="CV81" i="1"/>
  <c r="CV100" i="1"/>
  <c r="CV123" i="1"/>
  <c r="CV86" i="1"/>
  <c r="CV174" i="1"/>
  <c r="CV201" i="1"/>
  <c r="CV90" i="1"/>
  <c r="CV102" i="1"/>
  <c r="CV94" i="1"/>
  <c r="CV119" i="1"/>
  <c r="CV141" i="1"/>
  <c r="CV147" i="1"/>
  <c r="CV165" i="1"/>
  <c r="CV132" i="1"/>
  <c r="CV189" i="1"/>
  <c r="CV133" i="1"/>
  <c r="CV206" i="1"/>
  <c r="CV78" i="1"/>
  <c r="CV143" i="1"/>
  <c r="CV150" i="1"/>
  <c r="CV130" i="1"/>
  <c r="CV96" i="1"/>
  <c r="CV182" i="1"/>
  <c r="CV195" i="1"/>
  <c r="CV178" i="1"/>
  <c r="CV181" i="1"/>
  <c r="CV194" i="1"/>
  <c r="CV208" i="1"/>
  <c r="CV129" i="1"/>
  <c r="CV180" i="1"/>
  <c r="CV140" i="1"/>
  <c r="CV125" i="1"/>
  <c r="CV131" i="1"/>
  <c r="CV173" i="1"/>
  <c r="CV184" i="1"/>
  <c r="CV190" i="1"/>
  <c r="CV142" i="1"/>
  <c r="CV69" i="1"/>
  <c r="CV151" i="1"/>
  <c r="CV193" i="1"/>
  <c r="CV169" i="1"/>
  <c r="CV166" i="1"/>
  <c r="CV97" i="1"/>
  <c r="CV79" i="1"/>
  <c r="CV146" i="1"/>
  <c r="CV204" i="1"/>
  <c r="CV113" i="1"/>
  <c r="CV172" i="1"/>
  <c r="CV171" i="1"/>
  <c r="CV185" i="1"/>
  <c r="CV137" i="1"/>
  <c r="CV205" i="1"/>
  <c r="CV177" i="1"/>
  <c r="CV199" i="1"/>
  <c r="CV106" i="1"/>
  <c r="CV203" i="1"/>
  <c r="CV124" i="1"/>
  <c r="CV170" i="1"/>
  <c r="CV152" i="1"/>
  <c r="CV118" i="1"/>
  <c r="CV198" i="1"/>
  <c r="CV200" i="1"/>
  <c r="CV136" i="1"/>
  <c r="CV108" i="1"/>
  <c r="CV149" i="1"/>
  <c r="CV187" i="1"/>
  <c r="CV168" i="1"/>
  <c r="CV162" i="1"/>
  <c r="CV139" i="1"/>
  <c r="CV196" i="1"/>
  <c r="CV153" i="1"/>
  <c r="CV197" i="1"/>
  <c r="CV176" i="1"/>
  <c r="CV202" i="1"/>
  <c r="CV167" i="1"/>
  <c r="CV207" i="1"/>
  <c r="CV192" i="1"/>
  <c r="CU3" i="1"/>
  <c r="CU2" i="1"/>
  <c r="CU43" i="1"/>
  <c r="CU71" i="1"/>
  <c r="CU7" i="1"/>
  <c r="CU164" i="1"/>
  <c r="CU4" i="1"/>
  <c r="CU99" i="1"/>
  <c r="CU6" i="1"/>
  <c r="CU8" i="1"/>
  <c r="CU10" i="1"/>
  <c r="CU9" i="1"/>
  <c r="CU127" i="1"/>
  <c r="CU11" i="1"/>
  <c r="CU44" i="1"/>
  <c r="CU39" i="1"/>
  <c r="CU45" i="1"/>
  <c r="CU16" i="1"/>
  <c r="CU12" i="1"/>
  <c r="CU48" i="1"/>
  <c r="CU54" i="1"/>
  <c r="CU47" i="1"/>
  <c r="CU20" i="1"/>
  <c r="CU50" i="1"/>
  <c r="CU22" i="1"/>
  <c r="CU49" i="1"/>
  <c r="CU13" i="1"/>
  <c r="CU26" i="1"/>
  <c r="CU52" i="1"/>
  <c r="CU46" i="1"/>
  <c r="CU72" i="1"/>
  <c r="CU5" i="1"/>
  <c r="CU18" i="1"/>
  <c r="CU23" i="1"/>
  <c r="CU15" i="1"/>
  <c r="CU14" i="1"/>
  <c r="CU59" i="1"/>
  <c r="CU38" i="1"/>
  <c r="CU21" i="1"/>
  <c r="CU27" i="1"/>
  <c r="CU17" i="1"/>
  <c r="CU68" i="1"/>
  <c r="CU121" i="1"/>
  <c r="CU24" i="1"/>
  <c r="CU30" i="1"/>
  <c r="CU40" i="1"/>
  <c r="CU35" i="1"/>
  <c r="CU29" i="1"/>
  <c r="CU37" i="1"/>
  <c r="CU28" i="1"/>
  <c r="CU19" i="1"/>
  <c r="CU33" i="1"/>
  <c r="CU109" i="1"/>
  <c r="CU64" i="1"/>
  <c r="CU63" i="1"/>
  <c r="CU77" i="1"/>
  <c r="CU115" i="1"/>
  <c r="CU31" i="1"/>
  <c r="CU41" i="1"/>
  <c r="CU191" i="1"/>
  <c r="CU85" i="1"/>
  <c r="CU62" i="1"/>
  <c r="CU36" i="1"/>
  <c r="CU32" i="1"/>
  <c r="CU34" i="1"/>
  <c r="CU93" i="1"/>
  <c r="CU117" i="1"/>
  <c r="CU154" i="1"/>
  <c r="CU107" i="1"/>
  <c r="CU98" i="1"/>
  <c r="CU138" i="1"/>
  <c r="CU75" i="1"/>
  <c r="CU122" i="1"/>
  <c r="CU84" i="1"/>
  <c r="CU116" i="1"/>
  <c r="CU186" i="1"/>
  <c r="CU89" i="1"/>
  <c r="CU70" i="1"/>
  <c r="CU61" i="1"/>
  <c r="CU74" i="1"/>
  <c r="CU88" i="1"/>
  <c r="CU73" i="1"/>
  <c r="CU111" i="1"/>
  <c r="CU87" i="1"/>
  <c r="CU82" i="1"/>
  <c r="CU53" i="1"/>
  <c r="CU175" i="1"/>
  <c r="CU55" i="1"/>
  <c r="CU51" i="1"/>
  <c r="CU157" i="1"/>
  <c r="CU158" i="1"/>
  <c r="CU83" i="1"/>
  <c r="CU91" i="1"/>
  <c r="CU105" i="1"/>
  <c r="CU103" i="1"/>
  <c r="CU188" i="1"/>
  <c r="CU163" i="1"/>
  <c r="CU101" i="1"/>
  <c r="CU65" i="1"/>
  <c r="CU60" i="1"/>
  <c r="CU80" i="1"/>
  <c r="CU56" i="1"/>
  <c r="CU57" i="1"/>
  <c r="CU25" i="1"/>
  <c r="CU104" i="1"/>
  <c r="CU66" i="1"/>
  <c r="CU58" i="1"/>
  <c r="CU155" i="1"/>
  <c r="CU156" i="1"/>
  <c r="CU134" i="1"/>
  <c r="CU92" i="1"/>
  <c r="CU67" i="1"/>
  <c r="CU126" i="1"/>
  <c r="CU145" i="1"/>
  <c r="CU135" i="1"/>
  <c r="CU159" i="1"/>
  <c r="CU76" i="1"/>
  <c r="CU114" i="1"/>
  <c r="CU161" i="1"/>
  <c r="CU160" i="1"/>
  <c r="CU95" i="1"/>
  <c r="CU120" i="1"/>
  <c r="CU42" i="1"/>
  <c r="CU183" i="1"/>
  <c r="CU112" i="1"/>
  <c r="CU148" i="1"/>
  <c r="CU179" i="1"/>
  <c r="CU128" i="1"/>
  <c r="CU144" i="1"/>
  <c r="CU110" i="1"/>
  <c r="CU81" i="1"/>
  <c r="CU100" i="1"/>
  <c r="CU123" i="1"/>
  <c r="CU86" i="1"/>
  <c r="CU174" i="1"/>
  <c r="CU201" i="1"/>
  <c r="CU90" i="1"/>
  <c r="CU102" i="1"/>
  <c r="CU94" i="1"/>
  <c r="CU119" i="1"/>
  <c r="CU141" i="1"/>
  <c r="CU147" i="1"/>
  <c r="CU165" i="1"/>
  <c r="CU132" i="1"/>
  <c r="CU189" i="1"/>
  <c r="CU133" i="1"/>
  <c r="CU206" i="1"/>
  <c r="CU78" i="1"/>
  <c r="CU143" i="1"/>
  <c r="CU150" i="1"/>
  <c r="CU130" i="1"/>
  <c r="CU96" i="1"/>
  <c r="CU182" i="1"/>
  <c r="CU195" i="1"/>
  <c r="CU178" i="1"/>
  <c r="CU181" i="1"/>
  <c r="CU194" i="1"/>
  <c r="CU208" i="1"/>
  <c r="CU129" i="1"/>
  <c r="CU180" i="1"/>
  <c r="CU140" i="1"/>
  <c r="CU125" i="1"/>
  <c r="CU131" i="1"/>
  <c r="CU173" i="1"/>
  <c r="CU184" i="1"/>
  <c r="CU190" i="1"/>
  <c r="CU142" i="1"/>
  <c r="CU69" i="1"/>
  <c r="CU151" i="1"/>
  <c r="CU193" i="1"/>
  <c r="CU169" i="1"/>
  <c r="CU166" i="1"/>
  <c r="CU97" i="1"/>
  <c r="CU79" i="1"/>
  <c r="CU146" i="1"/>
  <c r="CU204" i="1"/>
  <c r="CU113" i="1"/>
  <c r="CU172" i="1"/>
  <c r="CU171" i="1"/>
  <c r="CU185" i="1"/>
  <c r="CU137" i="1"/>
  <c r="CU205" i="1"/>
  <c r="CU177" i="1"/>
  <c r="CU199" i="1"/>
  <c r="CU106" i="1"/>
  <c r="CU203" i="1"/>
  <c r="CU124" i="1"/>
  <c r="CU170" i="1"/>
  <c r="CU152" i="1"/>
  <c r="CU118" i="1"/>
  <c r="CU198" i="1"/>
  <c r="CU200" i="1"/>
  <c r="CU136" i="1"/>
  <c r="CU108" i="1"/>
  <c r="CU149" i="1"/>
  <c r="CU187" i="1"/>
  <c r="CU168" i="1"/>
  <c r="CU162" i="1"/>
  <c r="CU139" i="1"/>
  <c r="CU196" i="1"/>
  <c r="CU153" i="1"/>
  <c r="CU197" i="1"/>
  <c r="CU176" i="1"/>
  <c r="CU202" i="1"/>
  <c r="CU167" i="1"/>
  <c r="CU207" i="1"/>
  <c r="CU192" i="1"/>
  <c r="CT3" i="1"/>
  <c r="CT2" i="1"/>
  <c r="CT43" i="1"/>
  <c r="CT71" i="1"/>
  <c r="CT7" i="1"/>
  <c r="CT164" i="1"/>
  <c r="CT4" i="1"/>
  <c r="CT99" i="1"/>
  <c r="CT6" i="1"/>
  <c r="CT8" i="1"/>
  <c r="CT10" i="1"/>
  <c r="CT9" i="1"/>
  <c r="CT127" i="1"/>
  <c r="CT11" i="1"/>
  <c r="CT44" i="1"/>
  <c r="CT39" i="1"/>
  <c r="CT45" i="1"/>
  <c r="CT16" i="1"/>
  <c r="CT12" i="1"/>
  <c r="CT48" i="1"/>
  <c r="CT54" i="1"/>
  <c r="CT47" i="1"/>
  <c r="CT20" i="1"/>
  <c r="CT50" i="1"/>
  <c r="CT22" i="1"/>
  <c r="CT49" i="1"/>
  <c r="CT13" i="1"/>
  <c r="CT26" i="1"/>
  <c r="CT52" i="1"/>
  <c r="CT46" i="1"/>
  <c r="CT72" i="1"/>
  <c r="CT5" i="1"/>
  <c r="CT18" i="1"/>
  <c r="CT23" i="1"/>
  <c r="CT15" i="1"/>
  <c r="CT14" i="1"/>
  <c r="CT59" i="1"/>
  <c r="CT38" i="1"/>
  <c r="CT21" i="1"/>
  <c r="CT27" i="1"/>
  <c r="CT17" i="1"/>
  <c r="CT68" i="1"/>
  <c r="CT121" i="1"/>
  <c r="CT24" i="1"/>
  <c r="CT30" i="1"/>
  <c r="CT40" i="1"/>
  <c r="CT35" i="1"/>
  <c r="CT29" i="1"/>
  <c r="CT37" i="1"/>
  <c r="CT28" i="1"/>
  <c r="CT19" i="1"/>
  <c r="CT33" i="1"/>
  <c r="CT109" i="1"/>
  <c r="CT64" i="1"/>
  <c r="CT63" i="1"/>
  <c r="CT77" i="1"/>
  <c r="CT115" i="1"/>
  <c r="CT31" i="1"/>
  <c r="CT41" i="1"/>
  <c r="CT191" i="1"/>
  <c r="CT85" i="1"/>
  <c r="CT62" i="1"/>
  <c r="CT36" i="1"/>
  <c r="CT32" i="1"/>
  <c r="CT34" i="1"/>
  <c r="CT93" i="1"/>
  <c r="CT117" i="1"/>
  <c r="CT154" i="1"/>
  <c r="CT107" i="1"/>
  <c r="CT98" i="1"/>
  <c r="CT138" i="1"/>
  <c r="CT75" i="1"/>
  <c r="CT122" i="1"/>
  <c r="CT84" i="1"/>
  <c r="CT116" i="1"/>
  <c r="CT186" i="1"/>
  <c r="CT89" i="1"/>
  <c r="CT70" i="1"/>
  <c r="CT61" i="1"/>
  <c r="CT74" i="1"/>
  <c r="CT88" i="1"/>
  <c r="CT73" i="1"/>
  <c r="CT111" i="1"/>
  <c r="CT87" i="1"/>
  <c r="CT82" i="1"/>
  <c r="CT53" i="1"/>
  <c r="CT175" i="1"/>
  <c r="CT55" i="1"/>
  <c r="CT51" i="1"/>
  <c r="CT157" i="1"/>
  <c r="CT158" i="1"/>
  <c r="CT83" i="1"/>
  <c r="CT91" i="1"/>
  <c r="CT105" i="1"/>
  <c r="CT103" i="1"/>
  <c r="CT188" i="1"/>
  <c r="CT163" i="1"/>
  <c r="CT101" i="1"/>
  <c r="CT65" i="1"/>
  <c r="CT60" i="1"/>
  <c r="CT80" i="1"/>
  <c r="CT56" i="1"/>
  <c r="CT57" i="1"/>
  <c r="CT25" i="1"/>
  <c r="CT104" i="1"/>
  <c r="CT66" i="1"/>
  <c r="CT58" i="1"/>
  <c r="CT155" i="1"/>
  <c r="CT156" i="1"/>
  <c r="CT134" i="1"/>
  <c r="CT92" i="1"/>
  <c r="CT67" i="1"/>
  <c r="CT126" i="1"/>
  <c r="CT145" i="1"/>
  <c r="CT135" i="1"/>
  <c r="CT159" i="1"/>
  <c r="CT76" i="1"/>
  <c r="CT114" i="1"/>
  <c r="CT161" i="1"/>
  <c r="CT160" i="1"/>
  <c r="CT95" i="1"/>
  <c r="CT120" i="1"/>
  <c r="CT42" i="1"/>
  <c r="CT183" i="1"/>
  <c r="CT112" i="1"/>
  <c r="CT148" i="1"/>
  <c r="CT179" i="1"/>
  <c r="CT128" i="1"/>
  <c r="CT144" i="1"/>
  <c r="CT110" i="1"/>
  <c r="CT81" i="1"/>
  <c r="CT100" i="1"/>
  <c r="CT123" i="1"/>
  <c r="CT86" i="1"/>
  <c r="CT174" i="1"/>
  <c r="CT201" i="1"/>
  <c r="CT90" i="1"/>
  <c r="CT102" i="1"/>
  <c r="CT94" i="1"/>
  <c r="CT119" i="1"/>
  <c r="CT141" i="1"/>
  <c r="CT147" i="1"/>
  <c r="CT165" i="1"/>
  <c r="CT132" i="1"/>
  <c r="CT189" i="1"/>
  <c r="CT133" i="1"/>
  <c r="CT206" i="1"/>
  <c r="CT78" i="1"/>
  <c r="CT143" i="1"/>
  <c r="CT150" i="1"/>
  <c r="CT130" i="1"/>
  <c r="CT96" i="1"/>
  <c r="CT182" i="1"/>
  <c r="CT195" i="1"/>
  <c r="CT178" i="1"/>
  <c r="CT181" i="1"/>
  <c r="CT194" i="1"/>
  <c r="CT208" i="1"/>
  <c r="CT129" i="1"/>
  <c r="CT180" i="1"/>
  <c r="CT140" i="1"/>
  <c r="CT125" i="1"/>
  <c r="CT131" i="1"/>
  <c r="CT173" i="1"/>
  <c r="CT184" i="1"/>
  <c r="CT190" i="1"/>
  <c r="CT142" i="1"/>
  <c r="CT69" i="1"/>
  <c r="CT151" i="1"/>
  <c r="CT193" i="1"/>
  <c r="CT169" i="1"/>
  <c r="CT166" i="1"/>
  <c r="CT97" i="1"/>
  <c r="CT79" i="1"/>
  <c r="CT146" i="1"/>
  <c r="CT204" i="1"/>
  <c r="CT113" i="1"/>
  <c r="CT172" i="1"/>
  <c r="CT171" i="1"/>
  <c r="CT185" i="1"/>
  <c r="CT137" i="1"/>
  <c r="CT205" i="1"/>
  <c r="CT177" i="1"/>
  <c r="CT199" i="1"/>
  <c r="CT106" i="1"/>
  <c r="CT203" i="1"/>
  <c r="CT124" i="1"/>
  <c r="CT170" i="1"/>
  <c r="CT152" i="1"/>
  <c r="CT118" i="1"/>
  <c r="CT198" i="1"/>
  <c r="CT200" i="1"/>
  <c r="CT136" i="1"/>
  <c r="CT108" i="1"/>
  <c r="CT149" i="1"/>
  <c r="CT187" i="1"/>
  <c r="CT168" i="1"/>
  <c r="CT162" i="1"/>
  <c r="CT139" i="1"/>
  <c r="CT196" i="1"/>
  <c r="CT153" i="1"/>
  <c r="CT197" i="1"/>
  <c r="CT176" i="1"/>
  <c r="CT202" i="1"/>
  <c r="CT167" i="1"/>
  <c r="CT207" i="1"/>
  <c r="CT192" i="1"/>
  <c r="CS3" i="1"/>
  <c r="CS2" i="1"/>
  <c r="CS43" i="1"/>
  <c r="CS71" i="1"/>
  <c r="CS7" i="1"/>
  <c r="CS164" i="1"/>
  <c r="CS4" i="1"/>
  <c r="CS99" i="1"/>
  <c r="CS6" i="1"/>
  <c r="CS8" i="1"/>
  <c r="CS10" i="1"/>
  <c r="CS9" i="1"/>
  <c r="CS127" i="1"/>
  <c r="CS11" i="1"/>
  <c r="CS44" i="1"/>
  <c r="CS39" i="1"/>
  <c r="CS45" i="1"/>
  <c r="CS16" i="1"/>
  <c r="CS12" i="1"/>
  <c r="CS48" i="1"/>
  <c r="CS54" i="1"/>
  <c r="CS47" i="1"/>
  <c r="CS20" i="1"/>
  <c r="CS50" i="1"/>
  <c r="CS22" i="1"/>
  <c r="CS49" i="1"/>
  <c r="CS13" i="1"/>
  <c r="CS26" i="1"/>
  <c r="CS52" i="1"/>
  <c r="CS46" i="1"/>
  <c r="CS72" i="1"/>
  <c r="CS5" i="1"/>
  <c r="CS18" i="1"/>
  <c r="CS23" i="1"/>
  <c r="CS15" i="1"/>
  <c r="CS14" i="1"/>
  <c r="CS59" i="1"/>
  <c r="CS38" i="1"/>
  <c r="CS21" i="1"/>
  <c r="CS27" i="1"/>
  <c r="CS17" i="1"/>
  <c r="CS68" i="1"/>
  <c r="CS121" i="1"/>
  <c r="CS24" i="1"/>
  <c r="CS30" i="1"/>
  <c r="CS40" i="1"/>
  <c r="CS35" i="1"/>
  <c r="CS29" i="1"/>
  <c r="CS37" i="1"/>
  <c r="CS28" i="1"/>
  <c r="CS19" i="1"/>
  <c r="CS33" i="1"/>
  <c r="CS109" i="1"/>
  <c r="CS64" i="1"/>
  <c r="CS63" i="1"/>
  <c r="CS77" i="1"/>
  <c r="CS115" i="1"/>
  <c r="CS31" i="1"/>
  <c r="CS41" i="1"/>
  <c r="CS191" i="1"/>
  <c r="CS85" i="1"/>
  <c r="CS62" i="1"/>
  <c r="CS36" i="1"/>
  <c r="CS32" i="1"/>
  <c r="CS34" i="1"/>
  <c r="CS93" i="1"/>
  <c r="CS117" i="1"/>
  <c r="CS154" i="1"/>
  <c r="CS107" i="1"/>
  <c r="CS98" i="1"/>
  <c r="CS138" i="1"/>
  <c r="CS75" i="1"/>
  <c r="CS122" i="1"/>
  <c r="CS84" i="1"/>
  <c r="CS116" i="1"/>
  <c r="CS186" i="1"/>
  <c r="CS89" i="1"/>
  <c r="CS70" i="1"/>
  <c r="CS61" i="1"/>
  <c r="CS74" i="1"/>
  <c r="CS88" i="1"/>
  <c r="CS73" i="1"/>
  <c r="CS111" i="1"/>
  <c r="CS87" i="1"/>
  <c r="CS82" i="1"/>
  <c r="CS53" i="1"/>
  <c r="CS175" i="1"/>
  <c r="CS55" i="1"/>
  <c r="CS51" i="1"/>
  <c r="CS157" i="1"/>
  <c r="CS158" i="1"/>
  <c r="CS83" i="1"/>
  <c r="CS91" i="1"/>
  <c r="CS105" i="1"/>
  <c r="CS103" i="1"/>
  <c r="CS188" i="1"/>
  <c r="CS163" i="1"/>
  <c r="CS101" i="1"/>
  <c r="CS65" i="1"/>
  <c r="CS60" i="1"/>
  <c r="CS80" i="1"/>
  <c r="CS56" i="1"/>
  <c r="CS57" i="1"/>
  <c r="CS25" i="1"/>
  <c r="CS104" i="1"/>
  <c r="CS66" i="1"/>
  <c r="CS58" i="1"/>
  <c r="CS155" i="1"/>
  <c r="CS156" i="1"/>
  <c r="CS134" i="1"/>
  <c r="CS92" i="1"/>
  <c r="CS67" i="1"/>
  <c r="CS126" i="1"/>
  <c r="CS145" i="1"/>
  <c r="CS135" i="1"/>
  <c r="CS159" i="1"/>
  <c r="CS76" i="1"/>
  <c r="CS114" i="1"/>
  <c r="CS161" i="1"/>
  <c r="CS160" i="1"/>
  <c r="CS95" i="1"/>
  <c r="CS120" i="1"/>
  <c r="CS42" i="1"/>
  <c r="CS183" i="1"/>
  <c r="CS112" i="1"/>
  <c r="CS148" i="1"/>
  <c r="CS179" i="1"/>
  <c r="CS128" i="1"/>
  <c r="CS144" i="1"/>
  <c r="CS110" i="1"/>
  <c r="CS81" i="1"/>
  <c r="CS100" i="1"/>
  <c r="CS123" i="1"/>
  <c r="CS86" i="1"/>
  <c r="CS174" i="1"/>
  <c r="CS201" i="1"/>
  <c r="CS90" i="1"/>
  <c r="CS102" i="1"/>
  <c r="CS94" i="1"/>
  <c r="CS119" i="1"/>
  <c r="CS141" i="1"/>
  <c r="CS147" i="1"/>
  <c r="CS165" i="1"/>
  <c r="CS132" i="1"/>
  <c r="CS189" i="1"/>
  <c r="CS133" i="1"/>
  <c r="CS206" i="1"/>
  <c r="CS78" i="1"/>
  <c r="CS143" i="1"/>
  <c r="CS150" i="1"/>
  <c r="CS130" i="1"/>
  <c r="CS96" i="1"/>
  <c r="CS182" i="1"/>
  <c r="CS195" i="1"/>
  <c r="CS178" i="1"/>
  <c r="CS181" i="1"/>
  <c r="CS194" i="1"/>
  <c r="CS208" i="1"/>
  <c r="CS129" i="1"/>
  <c r="CS180" i="1"/>
  <c r="CS140" i="1"/>
  <c r="CS125" i="1"/>
  <c r="CS131" i="1"/>
  <c r="CS173" i="1"/>
  <c r="CS184" i="1"/>
  <c r="CS190" i="1"/>
  <c r="CS142" i="1"/>
  <c r="CS69" i="1"/>
  <c r="CS151" i="1"/>
  <c r="CS193" i="1"/>
  <c r="CS169" i="1"/>
  <c r="CS166" i="1"/>
  <c r="CS97" i="1"/>
  <c r="CS79" i="1"/>
  <c r="CS146" i="1"/>
  <c r="CS204" i="1"/>
  <c r="CS113" i="1"/>
  <c r="CS172" i="1"/>
  <c r="CS171" i="1"/>
  <c r="CS185" i="1"/>
  <c r="CS137" i="1"/>
  <c r="CS205" i="1"/>
  <c r="CS177" i="1"/>
  <c r="CS199" i="1"/>
  <c r="CS106" i="1"/>
  <c r="CS203" i="1"/>
  <c r="CS124" i="1"/>
  <c r="CS170" i="1"/>
  <c r="CS152" i="1"/>
  <c r="CS118" i="1"/>
  <c r="CS198" i="1"/>
  <c r="CS200" i="1"/>
  <c r="CS136" i="1"/>
  <c r="CS108" i="1"/>
  <c r="CS149" i="1"/>
  <c r="CS187" i="1"/>
  <c r="CS168" i="1"/>
  <c r="CS162" i="1"/>
  <c r="CS139" i="1"/>
  <c r="CS196" i="1"/>
  <c r="CS153" i="1"/>
  <c r="CS197" i="1"/>
  <c r="CS176" i="1"/>
  <c r="CS202" i="1"/>
  <c r="CS167" i="1"/>
  <c r="CS207" i="1"/>
  <c r="CS192" i="1"/>
  <c r="CR3" i="1"/>
  <c r="CR2" i="1"/>
  <c r="CR43" i="1"/>
  <c r="CR71" i="1"/>
  <c r="CR7" i="1"/>
  <c r="CR164" i="1"/>
  <c r="CR4" i="1"/>
  <c r="CR99" i="1"/>
  <c r="CR6" i="1"/>
  <c r="CR8" i="1"/>
  <c r="CR10" i="1"/>
  <c r="CR9" i="1"/>
  <c r="CR127" i="1"/>
  <c r="CR11" i="1"/>
  <c r="CR44" i="1"/>
  <c r="CR39" i="1"/>
  <c r="CR45" i="1"/>
  <c r="CR16" i="1"/>
  <c r="CR12" i="1"/>
  <c r="CR48" i="1"/>
  <c r="CR54" i="1"/>
  <c r="CR47" i="1"/>
  <c r="CR20" i="1"/>
  <c r="CR50" i="1"/>
  <c r="CR22" i="1"/>
  <c r="CR49" i="1"/>
  <c r="CR13" i="1"/>
  <c r="CR26" i="1"/>
  <c r="CR52" i="1"/>
  <c r="CR46" i="1"/>
  <c r="CR72" i="1"/>
  <c r="CR5" i="1"/>
  <c r="CR18" i="1"/>
  <c r="CR23" i="1"/>
  <c r="CR15" i="1"/>
  <c r="CR14" i="1"/>
  <c r="CR59" i="1"/>
  <c r="CR38" i="1"/>
  <c r="CR21" i="1"/>
  <c r="CR27" i="1"/>
  <c r="CR17" i="1"/>
  <c r="CR68" i="1"/>
  <c r="CR121" i="1"/>
  <c r="CR24" i="1"/>
  <c r="CR30" i="1"/>
  <c r="CR40" i="1"/>
  <c r="CR35" i="1"/>
  <c r="CR29" i="1"/>
  <c r="CR37" i="1"/>
  <c r="CR28" i="1"/>
  <c r="CR19" i="1"/>
  <c r="CR33" i="1"/>
  <c r="CR109" i="1"/>
  <c r="CR64" i="1"/>
  <c r="CR63" i="1"/>
  <c r="CR77" i="1"/>
  <c r="CR115" i="1"/>
  <c r="CR31" i="1"/>
  <c r="CR41" i="1"/>
  <c r="CR191" i="1"/>
  <c r="CR85" i="1"/>
  <c r="CR62" i="1"/>
  <c r="CR36" i="1"/>
  <c r="CR32" i="1"/>
  <c r="CR34" i="1"/>
  <c r="CR93" i="1"/>
  <c r="CR117" i="1"/>
  <c r="CR154" i="1"/>
  <c r="CR107" i="1"/>
  <c r="CR98" i="1"/>
  <c r="CR138" i="1"/>
  <c r="CR75" i="1"/>
  <c r="CR122" i="1"/>
  <c r="CR84" i="1"/>
  <c r="CR116" i="1"/>
  <c r="CR186" i="1"/>
  <c r="CR89" i="1"/>
  <c r="CR70" i="1"/>
  <c r="CR61" i="1"/>
  <c r="CR74" i="1"/>
  <c r="CR88" i="1"/>
  <c r="CR73" i="1"/>
  <c r="CR111" i="1"/>
  <c r="CR87" i="1"/>
  <c r="CR82" i="1"/>
  <c r="CR53" i="1"/>
  <c r="CR175" i="1"/>
  <c r="CR55" i="1"/>
  <c r="CR51" i="1"/>
  <c r="CR157" i="1"/>
  <c r="CR158" i="1"/>
  <c r="CR83" i="1"/>
  <c r="CR91" i="1"/>
  <c r="CR105" i="1"/>
  <c r="CR103" i="1"/>
  <c r="CR188" i="1"/>
  <c r="CR163" i="1"/>
  <c r="CR101" i="1"/>
  <c r="CR65" i="1"/>
  <c r="CR60" i="1"/>
  <c r="CR80" i="1"/>
  <c r="CR56" i="1"/>
  <c r="CR57" i="1"/>
  <c r="CR25" i="1"/>
  <c r="CR104" i="1"/>
  <c r="CR66" i="1"/>
  <c r="CR58" i="1"/>
  <c r="CR155" i="1"/>
  <c r="CR156" i="1"/>
  <c r="CR134" i="1"/>
  <c r="CR92" i="1"/>
  <c r="CR67" i="1"/>
  <c r="CR126" i="1"/>
  <c r="CR145" i="1"/>
  <c r="CR135" i="1"/>
  <c r="CR159" i="1"/>
  <c r="CR76" i="1"/>
  <c r="CR114" i="1"/>
  <c r="CR161" i="1"/>
  <c r="CR160" i="1"/>
  <c r="CR95" i="1"/>
  <c r="CR120" i="1"/>
  <c r="CR42" i="1"/>
  <c r="CR183" i="1"/>
  <c r="CR112" i="1"/>
  <c r="CR148" i="1"/>
  <c r="CR179" i="1"/>
  <c r="CR128" i="1"/>
  <c r="CR144" i="1"/>
  <c r="CR110" i="1"/>
  <c r="CR81" i="1"/>
  <c r="CR100" i="1"/>
  <c r="CR123" i="1"/>
  <c r="CR86" i="1"/>
  <c r="CR174" i="1"/>
  <c r="CR201" i="1"/>
  <c r="CR90" i="1"/>
  <c r="CR102" i="1"/>
  <c r="CR94" i="1"/>
  <c r="CR119" i="1"/>
  <c r="CR141" i="1"/>
  <c r="CR147" i="1"/>
  <c r="CR165" i="1"/>
  <c r="CR132" i="1"/>
  <c r="CR189" i="1"/>
  <c r="CR133" i="1"/>
  <c r="CR206" i="1"/>
  <c r="CR78" i="1"/>
  <c r="CR143" i="1"/>
  <c r="CR150" i="1"/>
  <c r="CR130" i="1"/>
  <c r="CR96" i="1"/>
  <c r="CR182" i="1"/>
  <c r="CR195" i="1"/>
  <c r="CR178" i="1"/>
  <c r="CR181" i="1"/>
  <c r="CR194" i="1"/>
  <c r="CR208" i="1"/>
  <c r="CR129" i="1"/>
  <c r="CR180" i="1"/>
  <c r="CR140" i="1"/>
  <c r="CR125" i="1"/>
  <c r="CR131" i="1"/>
  <c r="CR173" i="1"/>
  <c r="CR184" i="1"/>
  <c r="CR190" i="1"/>
  <c r="CR142" i="1"/>
  <c r="CR69" i="1"/>
  <c r="CR151" i="1"/>
  <c r="CR193" i="1"/>
  <c r="CR169" i="1"/>
  <c r="CR166" i="1"/>
  <c r="CR97" i="1"/>
  <c r="CR79" i="1"/>
  <c r="CR146" i="1"/>
  <c r="CR204" i="1"/>
  <c r="CR113" i="1"/>
  <c r="CR172" i="1"/>
  <c r="CR171" i="1"/>
  <c r="CR185" i="1"/>
  <c r="CR137" i="1"/>
  <c r="CR205" i="1"/>
  <c r="CR177" i="1"/>
  <c r="CR199" i="1"/>
  <c r="CR106" i="1"/>
  <c r="CR203" i="1"/>
  <c r="CR124" i="1"/>
  <c r="CR170" i="1"/>
  <c r="CR152" i="1"/>
  <c r="CR118" i="1"/>
  <c r="CR198" i="1"/>
  <c r="CR200" i="1"/>
  <c r="CR136" i="1"/>
  <c r="CR108" i="1"/>
  <c r="CR149" i="1"/>
  <c r="CR187" i="1"/>
  <c r="CR168" i="1"/>
  <c r="CR162" i="1"/>
  <c r="CR139" i="1"/>
  <c r="CR196" i="1"/>
  <c r="CR153" i="1"/>
  <c r="CR197" i="1"/>
  <c r="CR176" i="1"/>
  <c r="CR202" i="1"/>
  <c r="CR167" i="1"/>
  <c r="CR207" i="1"/>
  <c r="CR192" i="1"/>
  <c r="CQ3" i="1"/>
  <c r="CQ2" i="1"/>
  <c r="CQ43" i="1"/>
  <c r="CQ71" i="1"/>
  <c r="CQ7" i="1"/>
  <c r="CQ164" i="1"/>
  <c r="CQ4" i="1"/>
  <c r="CQ99" i="1"/>
  <c r="CQ6" i="1"/>
  <c r="CQ8" i="1"/>
  <c r="CQ10" i="1"/>
  <c r="CQ9" i="1"/>
  <c r="CQ127" i="1"/>
  <c r="CQ11" i="1"/>
  <c r="CQ44" i="1"/>
  <c r="CQ39" i="1"/>
  <c r="CQ45" i="1"/>
  <c r="CQ16" i="1"/>
  <c r="CQ12" i="1"/>
  <c r="CQ48" i="1"/>
  <c r="CQ54" i="1"/>
  <c r="CQ47" i="1"/>
  <c r="CQ20" i="1"/>
  <c r="CQ50" i="1"/>
  <c r="CQ22" i="1"/>
  <c r="CQ49" i="1"/>
  <c r="CQ13" i="1"/>
  <c r="CQ26" i="1"/>
  <c r="CQ52" i="1"/>
  <c r="CQ46" i="1"/>
  <c r="CQ72" i="1"/>
  <c r="CQ5" i="1"/>
  <c r="CQ18" i="1"/>
  <c r="CQ23" i="1"/>
  <c r="CQ15" i="1"/>
  <c r="CQ14" i="1"/>
  <c r="CQ59" i="1"/>
  <c r="CQ38" i="1"/>
  <c r="CQ21" i="1"/>
  <c r="CQ27" i="1"/>
  <c r="CQ17" i="1"/>
  <c r="CQ68" i="1"/>
  <c r="CQ121" i="1"/>
  <c r="CQ24" i="1"/>
  <c r="CQ30" i="1"/>
  <c r="CQ40" i="1"/>
  <c r="CQ35" i="1"/>
  <c r="CQ29" i="1"/>
  <c r="CQ37" i="1"/>
  <c r="CQ28" i="1"/>
  <c r="CQ19" i="1"/>
  <c r="CQ33" i="1"/>
  <c r="CQ109" i="1"/>
  <c r="CQ64" i="1"/>
  <c r="CQ63" i="1"/>
  <c r="CQ77" i="1"/>
  <c r="CQ115" i="1"/>
  <c r="CQ31" i="1"/>
  <c r="CQ41" i="1"/>
  <c r="CQ191" i="1"/>
  <c r="CQ85" i="1"/>
  <c r="CQ62" i="1"/>
  <c r="CQ36" i="1"/>
  <c r="CQ32" i="1"/>
  <c r="CQ34" i="1"/>
  <c r="CQ93" i="1"/>
  <c r="CQ117" i="1"/>
  <c r="CQ154" i="1"/>
  <c r="CQ107" i="1"/>
  <c r="CQ98" i="1"/>
  <c r="CQ138" i="1"/>
  <c r="CQ75" i="1"/>
  <c r="CQ122" i="1"/>
  <c r="CQ84" i="1"/>
  <c r="CQ116" i="1"/>
  <c r="CQ186" i="1"/>
  <c r="CQ89" i="1"/>
  <c r="CQ70" i="1"/>
  <c r="CQ61" i="1"/>
  <c r="CQ74" i="1"/>
  <c r="CQ88" i="1"/>
  <c r="CQ73" i="1"/>
  <c r="CQ111" i="1"/>
  <c r="CQ87" i="1"/>
  <c r="CQ82" i="1"/>
  <c r="CQ53" i="1"/>
  <c r="CQ175" i="1"/>
  <c r="CQ55" i="1"/>
  <c r="CQ51" i="1"/>
  <c r="CQ157" i="1"/>
  <c r="CQ158" i="1"/>
  <c r="CQ83" i="1"/>
  <c r="CQ91" i="1"/>
  <c r="CQ105" i="1"/>
  <c r="CQ103" i="1"/>
  <c r="CQ188" i="1"/>
  <c r="CQ163" i="1"/>
  <c r="CQ101" i="1"/>
  <c r="CQ65" i="1"/>
  <c r="CQ60" i="1"/>
  <c r="CQ80" i="1"/>
  <c r="CQ56" i="1"/>
  <c r="CQ57" i="1"/>
  <c r="CQ25" i="1"/>
  <c r="CQ104" i="1"/>
  <c r="CQ66" i="1"/>
  <c r="CQ58" i="1"/>
  <c r="CQ155" i="1"/>
  <c r="CQ156" i="1"/>
  <c r="CQ134" i="1"/>
  <c r="CQ92" i="1"/>
  <c r="CQ67" i="1"/>
  <c r="CQ126" i="1"/>
  <c r="CQ145" i="1"/>
  <c r="CQ135" i="1"/>
  <c r="CQ159" i="1"/>
  <c r="CQ76" i="1"/>
  <c r="CQ114" i="1"/>
  <c r="CQ161" i="1"/>
  <c r="CQ160" i="1"/>
  <c r="CQ95" i="1"/>
  <c r="CQ120" i="1"/>
  <c r="CQ42" i="1"/>
  <c r="CQ183" i="1"/>
  <c r="CQ112" i="1"/>
  <c r="CQ148" i="1"/>
  <c r="CQ179" i="1"/>
  <c r="CQ128" i="1"/>
  <c r="CQ144" i="1"/>
  <c r="CQ110" i="1"/>
  <c r="CQ81" i="1"/>
  <c r="CQ100" i="1"/>
  <c r="CQ123" i="1"/>
  <c r="CQ86" i="1"/>
  <c r="CQ174" i="1"/>
  <c r="CQ201" i="1"/>
  <c r="CQ90" i="1"/>
  <c r="CQ102" i="1"/>
  <c r="CQ94" i="1"/>
  <c r="CQ119" i="1"/>
  <c r="CQ141" i="1"/>
  <c r="CQ147" i="1"/>
  <c r="CQ165" i="1"/>
  <c r="CQ132" i="1"/>
  <c r="CQ189" i="1"/>
  <c r="CQ133" i="1"/>
  <c r="CQ206" i="1"/>
  <c r="CQ78" i="1"/>
  <c r="CQ143" i="1"/>
  <c r="CQ150" i="1"/>
  <c r="CQ130" i="1"/>
  <c r="CQ96" i="1"/>
  <c r="CQ182" i="1"/>
  <c r="CQ195" i="1"/>
  <c r="CQ178" i="1"/>
  <c r="CQ181" i="1"/>
  <c r="CQ194" i="1"/>
  <c r="CQ208" i="1"/>
  <c r="CQ129" i="1"/>
  <c r="CQ180" i="1"/>
  <c r="CQ140" i="1"/>
  <c r="CQ125" i="1"/>
  <c r="CQ131" i="1"/>
  <c r="CQ173" i="1"/>
  <c r="CQ184" i="1"/>
  <c r="CQ190" i="1"/>
  <c r="CQ142" i="1"/>
  <c r="CQ69" i="1"/>
  <c r="CQ151" i="1"/>
  <c r="CQ193" i="1"/>
  <c r="CQ169" i="1"/>
  <c r="CQ166" i="1"/>
  <c r="CQ97" i="1"/>
  <c r="CQ79" i="1"/>
  <c r="CQ146" i="1"/>
  <c r="CQ204" i="1"/>
  <c r="CQ113" i="1"/>
  <c r="CQ172" i="1"/>
  <c r="CQ171" i="1"/>
  <c r="CQ185" i="1"/>
  <c r="CQ137" i="1"/>
  <c r="CQ205" i="1"/>
  <c r="CQ177" i="1"/>
  <c r="CQ199" i="1"/>
  <c r="CQ106" i="1"/>
  <c r="CQ203" i="1"/>
  <c r="CQ124" i="1"/>
  <c r="CQ170" i="1"/>
  <c r="CQ152" i="1"/>
  <c r="CQ118" i="1"/>
  <c r="CQ198" i="1"/>
  <c r="CQ200" i="1"/>
  <c r="CQ136" i="1"/>
  <c r="CQ108" i="1"/>
  <c r="CQ149" i="1"/>
  <c r="CQ187" i="1"/>
  <c r="CQ168" i="1"/>
  <c r="CQ162" i="1"/>
  <c r="CQ139" i="1"/>
  <c r="CQ196" i="1"/>
  <c r="CQ153" i="1"/>
  <c r="CQ197" i="1"/>
  <c r="CQ176" i="1"/>
  <c r="CQ202" i="1"/>
  <c r="CQ167" i="1"/>
  <c r="CQ207" i="1"/>
  <c r="CQ192" i="1"/>
  <c r="CP3" i="1"/>
  <c r="CP2" i="1"/>
  <c r="CP43" i="1"/>
  <c r="CP71" i="1"/>
  <c r="CP7" i="1"/>
  <c r="CP164" i="1"/>
  <c r="CP4" i="1"/>
  <c r="CP99" i="1"/>
  <c r="CP6" i="1"/>
  <c r="CP8" i="1"/>
  <c r="CP10" i="1"/>
  <c r="CP9" i="1"/>
  <c r="CP127" i="1"/>
  <c r="CP11" i="1"/>
  <c r="CP44" i="1"/>
  <c r="CP39" i="1"/>
  <c r="CP45" i="1"/>
  <c r="CP16" i="1"/>
  <c r="CP12" i="1"/>
  <c r="CP48" i="1"/>
  <c r="CP54" i="1"/>
  <c r="CP47" i="1"/>
  <c r="CP20" i="1"/>
  <c r="CP50" i="1"/>
  <c r="CP22" i="1"/>
  <c r="CP49" i="1"/>
  <c r="CP13" i="1"/>
  <c r="CP26" i="1"/>
  <c r="CP52" i="1"/>
  <c r="CP46" i="1"/>
  <c r="CP72" i="1"/>
  <c r="CP5" i="1"/>
  <c r="CP18" i="1"/>
  <c r="CP23" i="1"/>
  <c r="CP15" i="1"/>
  <c r="CP14" i="1"/>
  <c r="CP59" i="1"/>
  <c r="CP38" i="1"/>
  <c r="CP21" i="1"/>
  <c r="CP27" i="1"/>
  <c r="CP17" i="1"/>
  <c r="CP68" i="1"/>
  <c r="CP121" i="1"/>
  <c r="CP24" i="1"/>
  <c r="CP30" i="1"/>
  <c r="CP40" i="1"/>
  <c r="CP35" i="1"/>
  <c r="CP29" i="1"/>
  <c r="CP37" i="1"/>
  <c r="CP28" i="1"/>
  <c r="CP19" i="1"/>
  <c r="CP33" i="1"/>
  <c r="CP109" i="1"/>
  <c r="CP64" i="1"/>
  <c r="CP63" i="1"/>
  <c r="CP77" i="1"/>
  <c r="CP115" i="1"/>
  <c r="CP31" i="1"/>
  <c r="CP41" i="1"/>
  <c r="CP191" i="1"/>
  <c r="CP85" i="1"/>
  <c r="CP62" i="1"/>
  <c r="CP36" i="1"/>
  <c r="CP32" i="1"/>
  <c r="CP34" i="1"/>
  <c r="CP93" i="1"/>
  <c r="CP117" i="1"/>
  <c r="CP154" i="1"/>
  <c r="CP107" i="1"/>
  <c r="CP98" i="1"/>
  <c r="CP138" i="1"/>
  <c r="CP75" i="1"/>
  <c r="CP122" i="1"/>
  <c r="CP84" i="1"/>
  <c r="CP116" i="1"/>
  <c r="CP186" i="1"/>
  <c r="CP89" i="1"/>
  <c r="CP70" i="1"/>
  <c r="CP61" i="1"/>
  <c r="CP74" i="1"/>
  <c r="CP88" i="1"/>
  <c r="CP73" i="1"/>
  <c r="CP111" i="1"/>
  <c r="CP87" i="1"/>
  <c r="CP82" i="1"/>
  <c r="CP53" i="1"/>
  <c r="CP175" i="1"/>
  <c r="CP55" i="1"/>
  <c r="CP51" i="1"/>
  <c r="CP157" i="1"/>
  <c r="CP158" i="1"/>
  <c r="CP83" i="1"/>
  <c r="CP91" i="1"/>
  <c r="CP105" i="1"/>
  <c r="CP103" i="1"/>
  <c r="CP188" i="1"/>
  <c r="CP163" i="1"/>
  <c r="CP101" i="1"/>
  <c r="CP65" i="1"/>
  <c r="CP60" i="1"/>
  <c r="CP80" i="1"/>
  <c r="CP56" i="1"/>
  <c r="CP57" i="1"/>
  <c r="CP25" i="1"/>
  <c r="CP104" i="1"/>
  <c r="CP66" i="1"/>
  <c r="CP58" i="1"/>
  <c r="CP155" i="1"/>
  <c r="CP156" i="1"/>
  <c r="CP134" i="1"/>
  <c r="CP92" i="1"/>
  <c r="CP67" i="1"/>
  <c r="CP126" i="1"/>
  <c r="CP145" i="1"/>
  <c r="CP135" i="1"/>
  <c r="CP159" i="1"/>
  <c r="CP76" i="1"/>
  <c r="CP114" i="1"/>
  <c r="CP161" i="1"/>
  <c r="CP160" i="1"/>
  <c r="CP95" i="1"/>
  <c r="CP120" i="1"/>
  <c r="CP42" i="1"/>
  <c r="CP183" i="1"/>
  <c r="CP112" i="1"/>
  <c r="CP148" i="1"/>
  <c r="CP179" i="1"/>
  <c r="CP128" i="1"/>
  <c r="CP144" i="1"/>
  <c r="CP110" i="1"/>
  <c r="CP81" i="1"/>
  <c r="CP100" i="1"/>
  <c r="CP123" i="1"/>
  <c r="CP86" i="1"/>
  <c r="CP174" i="1"/>
  <c r="CP201" i="1"/>
  <c r="CP90" i="1"/>
  <c r="CP102" i="1"/>
  <c r="CP94" i="1"/>
  <c r="CP119" i="1"/>
  <c r="CP141" i="1"/>
  <c r="CP147" i="1"/>
  <c r="CP165" i="1"/>
  <c r="CP132" i="1"/>
  <c r="CP189" i="1"/>
  <c r="CP133" i="1"/>
  <c r="CP206" i="1"/>
  <c r="CP78" i="1"/>
  <c r="CP143" i="1"/>
  <c r="CP150" i="1"/>
  <c r="CP130" i="1"/>
  <c r="CP96" i="1"/>
  <c r="CP182" i="1"/>
  <c r="CP195" i="1"/>
  <c r="CP178" i="1"/>
  <c r="CP181" i="1"/>
  <c r="CP194" i="1"/>
  <c r="CP208" i="1"/>
  <c r="CP129" i="1"/>
  <c r="CP180" i="1"/>
  <c r="CP140" i="1"/>
  <c r="CP125" i="1"/>
  <c r="CP131" i="1"/>
  <c r="CP173" i="1"/>
  <c r="CP184" i="1"/>
  <c r="CP190" i="1"/>
  <c r="CP142" i="1"/>
  <c r="CP69" i="1"/>
  <c r="CP151" i="1"/>
  <c r="CP193" i="1"/>
  <c r="CP169" i="1"/>
  <c r="CP166" i="1"/>
  <c r="CP97" i="1"/>
  <c r="CP79" i="1"/>
  <c r="CP146" i="1"/>
  <c r="CP204" i="1"/>
  <c r="CP113" i="1"/>
  <c r="CP172" i="1"/>
  <c r="CP171" i="1"/>
  <c r="CP185" i="1"/>
  <c r="CP137" i="1"/>
  <c r="CP205" i="1"/>
  <c r="CP177" i="1"/>
  <c r="CP199" i="1"/>
  <c r="CP106" i="1"/>
  <c r="CP203" i="1"/>
  <c r="CP124" i="1"/>
  <c r="CP170" i="1"/>
  <c r="CP152" i="1"/>
  <c r="CP118" i="1"/>
  <c r="CP198" i="1"/>
  <c r="CP200" i="1"/>
  <c r="CP136" i="1"/>
  <c r="CP108" i="1"/>
  <c r="CP149" i="1"/>
  <c r="CP187" i="1"/>
  <c r="CP168" i="1"/>
  <c r="CP162" i="1"/>
  <c r="CP139" i="1"/>
  <c r="CP196" i="1"/>
  <c r="CP153" i="1"/>
  <c r="CP197" i="1"/>
  <c r="CP176" i="1"/>
  <c r="CP202" i="1"/>
  <c r="CP167" i="1"/>
  <c r="CP207" i="1"/>
  <c r="CP192" i="1"/>
  <c r="CO3" i="1"/>
  <c r="CO2" i="1"/>
  <c r="CO43" i="1"/>
  <c r="CO71" i="1"/>
  <c r="CO7" i="1"/>
  <c r="CO164" i="1"/>
  <c r="CO4" i="1"/>
  <c r="CO99" i="1"/>
  <c r="CO6" i="1"/>
  <c r="CO8" i="1"/>
  <c r="CO10" i="1"/>
  <c r="CO9" i="1"/>
  <c r="CO127" i="1"/>
  <c r="CO11" i="1"/>
  <c r="CO44" i="1"/>
  <c r="CO39" i="1"/>
  <c r="CO45" i="1"/>
  <c r="CO16" i="1"/>
  <c r="CO12" i="1"/>
  <c r="CO48" i="1"/>
  <c r="CO54" i="1"/>
  <c r="CO47" i="1"/>
  <c r="CO20" i="1"/>
  <c r="CO50" i="1"/>
  <c r="CO22" i="1"/>
  <c r="CO49" i="1"/>
  <c r="CO13" i="1"/>
  <c r="CO26" i="1"/>
  <c r="CO52" i="1"/>
  <c r="CO46" i="1"/>
  <c r="CO72" i="1"/>
  <c r="CO5" i="1"/>
  <c r="CO18" i="1"/>
  <c r="CO23" i="1"/>
  <c r="CO15" i="1"/>
  <c r="CO14" i="1"/>
  <c r="CO59" i="1"/>
  <c r="CO38" i="1"/>
  <c r="CO21" i="1"/>
  <c r="CO27" i="1"/>
  <c r="CO17" i="1"/>
  <c r="CO68" i="1"/>
  <c r="CO121" i="1"/>
  <c r="CO24" i="1"/>
  <c r="CO30" i="1"/>
  <c r="CO40" i="1"/>
  <c r="CO35" i="1"/>
  <c r="CO29" i="1"/>
  <c r="CO37" i="1"/>
  <c r="CO28" i="1"/>
  <c r="CO19" i="1"/>
  <c r="CO33" i="1"/>
  <c r="CO109" i="1"/>
  <c r="CO64" i="1"/>
  <c r="CO63" i="1"/>
  <c r="CO77" i="1"/>
  <c r="CO115" i="1"/>
  <c r="CO31" i="1"/>
  <c r="CO41" i="1"/>
  <c r="CO191" i="1"/>
  <c r="CO85" i="1"/>
  <c r="CO62" i="1"/>
  <c r="CO36" i="1"/>
  <c r="CO32" i="1"/>
  <c r="CO34" i="1"/>
  <c r="CO93" i="1"/>
  <c r="CO117" i="1"/>
  <c r="CO154" i="1"/>
  <c r="CO107" i="1"/>
  <c r="CO98" i="1"/>
  <c r="CO138" i="1"/>
  <c r="CO75" i="1"/>
  <c r="CO122" i="1"/>
  <c r="CO84" i="1"/>
  <c r="CO116" i="1"/>
  <c r="CO186" i="1"/>
  <c r="CO89" i="1"/>
  <c r="CO70" i="1"/>
  <c r="CO61" i="1"/>
  <c r="CO74" i="1"/>
  <c r="CO88" i="1"/>
  <c r="CO73" i="1"/>
  <c r="CO111" i="1"/>
  <c r="CO87" i="1"/>
  <c r="CO82" i="1"/>
  <c r="CO53" i="1"/>
  <c r="CO175" i="1"/>
  <c r="CO55" i="1"/>
  <c r="CO51" i="1"/>
  <c r="CO157" i="1"/>
  <c r="CO158" i="1"/>
  <c r="CO83" i="1"/>
  <c r="CO91" i="1"/>
  <c r="CO105" i="1"/>
  <c r="CO103" i="1"/>
  <c r="CO188" i="1"/>
  <c r="CO163" i="1"/>
  <c r="CO101" i="1"/>
  <c r="CO65" i="1"/>
  <c r="CO60" i="1"/>
  <c r="CO80" i="1"/>
  <c r="CO56" i="1"/>
  <c r="CO57" i="1"/>
  <c r="CO25" i="1"/>
  <c r="CO104" i="1"/>
  <c r="CO66" i="1"/>
  <c r="CO58" i="1"/>
  <c r="CO155" i="1"/>
  <c r="CO156" i="1"/>
  <c r="CO134" i="1"/>
  <c r="CO92" i="1"/>
  <c r="CO67" i="1"/>
  <c r="CO126" i="1"/>
  <c r="CO145" i="1"/>
  <c r="CO135" i="1"/>
  <c r="CO159" i="1"/>
  <c r="CO76" i="1"/>
  <c r="CO114" i="1"/>
  <c r="CO161" i="1"/>
  <c r="CO160" i="1"/>
  <c r="CO95" i="1"/>
  <c r="CO120" i="1"/>
  <c r="CO42" i="1"/>
  <c r="CO183" i="1"/>
  <c r="CO112" i="1"/>
  <c r="CO148" i="1"/>
  <c r="CO179" i="1"/>
  <c r="CO128" i="1"/>
  <c r="CO144" i="1"/>
  <c r="CO110" i="1"/>
  <c r="CO81" i="1"/>
  <c r="CO100" i="1"/>
  <c r="CO123" i="1"/>
  <c r="CO86" i="1"/>
  <c r="CO174" i="1"/>
  <c r="CO201" i="1"/>
  <c r="CO90" i="1"/>
  <c r="CO102" i="1"/>
  <c r="CO94" i="1"/>
  <c r="CO119" i="1"/>
  <c r="CO141" i="1"/>
  <c r="CO147" i="1"/>
  <c r="CO165" i="1"/>
  <c r="CO132" i="1"/>
  <c r="CO189" i="1"/>
  <c r="CO133" i="1"/>
  <c r="CO206" i="1"/>
  <c r="CO78" i="1"/>
  <c r="CO143" i="1"/>
  <c r="CO150" i="1"/>
  <c r="CO130" i="1"/>
  <c r="CO96" i="1"/>
  <c r="CO182" i="1"/>
  <c r="CO195" i="1"/>
  <c r="CO178" i="1"/>
  <c r="CO181" i="1"/>
  <c r="CO194" i="1"/>
  <c r="CO208" i="1"/>
  <c r="CO129" i="1"/>
  <c r="CO180" i="1"/>
  <c r="CO140" i="1"/>
  <c r="CO125" i="1"/>
  <c r="CO131" i="1"/>
  <c r="CO173" i="1"/>
  <c r="CO184" i="1"/>
  <c r="CO190" i="1"/>
  <c r="CO142" i="1"/>
  <c r="CO69" i="1"/>
  <c r="CO151" i="1"/>
  <c r="CO193" i="1"/>
  <c r="CO169" i="1"/>
  <c r="CO166" i="1"/>
  <c r="CO97" i="1"/>
  <c r="CO79" i="1"/>
  <c r="CO146" i="1"/>
  <c r="CO204" i="1"/>
  <c r="CO113" i="1"/>
  <c r="CO172" i="1"/>
  <c r="CO171" i="1"/>
  <c r="CO185" i="1"/>
  <c r="CO137" i="1"/>
  <c r="CO205" i="1"/>
  <c r="CO177" i="1"/>
  <c r="CO199" i="1"/>
  <c r="CO106" i="1"/>
  <c r="CO203" i="1"/>
  <c r="CO124" i="1"/>
  <c r="CO170" i="1"/>
  <c r="CO152" i="1"/>
  <c r="CO118" i="1"/>
  <c r="CO198" i="1"/>
  <c r="CO200" i="1"/>
  <c r="CO136" i="1"/>
  <c r="CO108" i="1"/>
  <c r="CO149" i="1"/>
  <c r="CO187" i="1"/>
  <c r="CO168" i="1"/>
  <c r="CO162" i="1"/>
  <c r="CO139" i="1"/>
  <c r="CO196" i="1"/>
  <c r="CO153" i="1"/>
  <c r="CO197" i="1"/>
  <c r="CO176" i="1"/>
  <c r="CO202" i="1"/>
  <c r="CO167" i="1"/>
  <c r="CO207" i="1"/>
  <c r="CO192" i="1"/>
  <c r="CN3" i="1"/>
  <c r="CN2" i="1"/>
  <c r="CN43" i="1"/>
  <c r="CN71" i="1"/>
  <c r="CN7" i="1"/>
  <c r="CN164" i="1"/>
  <c r="CN4" i="1"/>
  <c r="CN99" i="1"/>
  <c r="CN6" i="1"/>
  <c r="CN8" i="1"/>
  <c r="CN10" i="1"/>
  <c r="CN9" i="1"/>
  <c r="CN127" i="1"/>
  <c r="CN11" i="1"/>
  <c r="CN44" i="1"/>
  <c r="CN39" i="1"/>
  <c r="CN45" i="1"/>
  <c r="CN16" i="1"/>
  <c r="CN12" i="1"/>
  <c r="CN48" i="1"/>
  <c r="CN54" i="1"/>
  <c r="CN47" i="1"/>
  <c r="CN20" i="1"/>
  <c r="CN50" i="1"/>
  <c r="CN22" i="1"/>
  <c r="CN49" i="1"/>
  <c r="CN13" i="1"/>
  <c r="CN26" i="1"/>
  <c r="CN52" i="1"/>
  <c r="CN46" i="1"/>
  <c r="CN72" i="1"/>
  <c r="CN5" i="1"/>
  <c r="CN18" i="1"/>
  <c r="CN23" i="1"/>
  <c r="CN15" i="1"/>
  <c r="CN14" i="1"/>
  <c r="CN59" i="1"/>
  <c r="CN38" i="1"/>
  <c r="CN21" i="1"/>
  <c r="CN27" i="1"/>
  <c r="CN17" i="1"/>
  <c r="CN68" i="1"/>
  <c r="CN121" i="1"/>
  <c r="CN24" i="1"/>
  <c r="CN30" i="1"/>
  <c r="CN40" i="1"/>
  <c r="CN35" i="1"/>
  <c r="CN29" i="1"/>
  <c r="CN37" i="1"/>
  <c r="CN28" i="1"/>
  <c r="CN19" i="1"/>
  <c r="CN33" i="1"/>
  <c r="CN109" i="1"/>
  <c r="CN64" i="1"/>
  <c r="CN63" i="1"/>
  <c r="CN77" i="1"/>
  <c r="CN115" i="1"/>
  <c r="CN31" i="1"/>
  <c r="CN41" i="1"/>
  <c r="CN191" i="1"/>
  <c r="CN85" i="1"/>
  <c r="CN62" i="1"/>
  <c r="CN36" i="1"/>
  <c r="CN32" i="1"/>
  <c r="CN34" i="1"/>
  <c r="CN93" i="1"/>
  <c r="CN117" i="1"/>
  <c r="CN154" i="1"/>
  <c r="CN107" i="1"/>
  <c r="CN98" i="1"/>
  <c r="CN138" i="1"/>
  <c r="CN75" i="1"/>
  <c r="CN122" i="1"/>
  <c r="CN84" i="1"/>
  <c r="CN116" i="1"/>
  <c r="CN186" i="1"/>
  <c r="CN89" i="1"/>
  <c r="CN70" i="1"/>
  <c r="CN61" i="1"/>
  <c r="CN74" i="1"/>
  <c r="CN88" i="1"/>
  <c r="CN73" i="1"/>
  <c r="CN111" i="1"/>
  <c r="CN87" i="1"/>
  <c r="CN82" i="1"/>
  <c r="CN53" i="1"/>
  <c r="CN175" i="1"/>
  <c r="CN55" i="1"/>
  <c r="CN51" i="1"/>
  <c r="CN157" i="1"/>
  <c r="CN158" i="1"/>
  <c r="CN83" i="1"/>
  <c r="CN91" i="1"/>
  <c r="CN105" i="1"/>
  <c r="CN103" i="1"/>
  <c r="CN188" i="1"/>
  <c r="CN163" i="1"/>
  <c r="CN101" i="1"/>
  <c r="CN65" i="1"/>
  <c r="CN60" i="1"/>
  <c r="CN80" i="1"/>
  <c r="CN56" i="1"/>
  <c r="CN57" i="1"/>
  <c r="CN25" i="1"/>
  <c r="CN104" i="1"/>
  <c r="CN66" i="1"/>
  <c r="CN58" i="1"/>
  <c r="CN155" i="1"/>
  <c r="CN156" i="1"/>
  <c r="CN134" i="1"/>
  <c r="CN92" i="1"/>
  <c r="CN67" i="1"/>
  <c r="CN126" i="1"/>
  <c r="CN145" i="1"/>
  <c r="CN135" i="1"/>
  <c r="CN159" i="1"/>
  <c r="CN76" i="1"/>
  <c r="CN114" i="1"/>
  <c r="CN161" i="1"/>
  <c r="CN160" i="1"/>
  <c r="CN95" i="1"/>
  <c r="CN120" i="1"/>
  <c r="CN42" i="1"/>
  <c r="CN183" i="1"/>
  <c r="CN112" i="1"/>
  <c r="CN148" i="1"/>
  <c r="CN179" i="1"/>
  <c r="CN128" i="1"/>
  <c r="CN144" i="1"/>
  <c r="CN110" i="1"/>
  <c r="CN81" i="1"/>
  <c r="CN100" i="1"/>
  <c r="CN123" i="1"/>
  <c r="CN86" i="1"/>
  <c r="CN174" i="1"/>
  <c r="CN201" i="1"/>
  <c r="CN90" i="1"/>
  <c r="CN102" i="1"/>
  <c r="CN94" i="1"/>
  <c r="CN119" i="1"/>
  <c r="CN141" i="1"/>
  <c r="CN147" i="1"/>
  <c r="CN165" i="1"/>
  <c r="CN132" i="1"/>
  <c r="CN189" i="1"/>
  <c r="CN133" i="1"/>
  <c r="CN206" i="1"/>
  <c r="CN78" i="1"/>
  <c r="CN143" i="1"/>
  <c r="CN150" i="1"/>
  <c r="CN130" i="1"/>
  <c r="CN96" i="1"/>
  <c r="CN182" i="1"/>
  <c r="CN195" i="1"/>
  <c r="CN178" i="1"/>
  <c r="CN181" i="1"/>
  <c r="CN194" i="1"/>
  <c r="CN208" i="1"/>
  <c r="CN129" i="1"/>
  <c r="CN180" i="1"/>
  <c r="CN140" i="1"/>
  <c r="CN125" i="1"/>
  <c r="CN131" i="1"/>
  <c r="CN173" i="1"/>
  <c r="CN184" i="1"/>
  <c r="CN190" i="1"/>
  <c r="CN142" i="1"/>
  <c r="CN69" i="1"/>
  <c r="CN151" i="1"/>
  <c r="CN193" i="1"/>
  <c r="CN169" i="1"/>
  <c r="CN166" i="1"/>
  <c r="CN97" i="1"/>
  <c r="CN79" i="1"/>
  <c r="CN146" i="1"/>
  <c r="CN204" i="1"/>
  <c r="CN113" i="1"/>
  <c r="CN172" i="1"/>
  <c r="CN171" i="1"/>
  <c r="CN185" i="1"/>
  <c r="CN137" i="1"/>
  <c r="CN205" i="1"/>
  <c r="CN177" i="1"/>
  <c r="CN199" i="1"/>
  <c r="CN106" i="1"/>
  <c r="CN203" i="1"/>
  <c r="CN124" i="1"/>
  <c r="CN170" i="1"/>
  <c r="CN152" i="1"/>
  <c r="CN118" i="1"/>
  <c r="CN198" i="1"/>
  <c r="CN200" i="1"/>
  <c r="CN136" i="1"/>
  <c r="CN108" i="1"/>
  <c r="CN149" i="1"/>
  <c r="CN187" i="1"/>
  <c r="CN168" i="1"/>
  <c r="CN162" i="1"/>
  <c r="CN139" i="1"/>
  <c r="CN196" i="1"/>
  <c r="CN153" i="1"/>
  <c r="CN197" i="1"/>
  <c r="CN176" i="1"/>
  <c r="CN202" i="1"/>
  <c r="CN167" i="1"/>
  <c r="CN207" i="1"/>
  <c r="CN192" i="1"/>
  <c r="CM3" i="1"/>
  <c r="CM2" i="1"/>
  <c r="CM43" i="1"/>
  <c r="CM71" i="1"/>
  <c r="CM7" i="1"/>
  <c r="CM164" i="1"/>
  <c r="CM4" i="1"/>
  <c r="CM99" i="1"/>
  <c r="CM6" i="1"/>
  <c r="CM8" i="1"/>
  <c r="CM10" i="1"/>
  <c r="CM9" i="1"/>
  <c r="CM127" i="1"/>
  <c r="CM11" i="1"/>
  <c r="CM44" i="1"/>
  <c r="CM39" i="1"/>
  <c r="CM45" i="1"/>
  <c r="CM16" i="1"/>
  <c r="CM12" i="1"/>
  <c r="CM48" i="1"/>
  <c r="CM54" i="1"/>
  <c r="CM47" i="1"/>
  <c r="CM20" i="1"/>
  <c r="CM50" i="1"/>
  <c r="CM22" i="1"/>
  <c r="CM49" i="1"/>
  <c r="CM13" i="1"/>
  <c r="CM26" i="1"/>
  <c r="CM52" i="1"/>
  <c r="CM46" i="1"/>
  <c r="CM72" i="1"/>
  <c r="CM5" i="1"/>
  <c r="CM18" i="1"/>
  <c r="CM23" i="1"/>
  <c r="CM15" i="1"/>
  <c r="CM14" i="1"/>
  <c r="CM59" i="1"/>
  <c r="CM38" i="1"/>
  <c r="CM21" i="1"/>
  <c r="CM27" i="1"/>
  <c r="CM17" i="1"/>
  <c r="CM68" i="1"/>
  <c r="CM121" i="1"/>
  <c r="CM24" i="1"/>
  <c r="CM30" i="1"/>
  <c r="CM40" i="1"/>
  <c r="CM35" i="1"/>
  <c r="CM29" i="1"/>
  <c r="CM37" i="1"/>
  <c r="CM28" i="1"/>
  <c r="CM19" i="1"/>
  <c r="CM33" i="1"/>
  <c r="CM109" i="1"/>
  <c r="CM64" i="1"/>
  <c r="CM63" i="1"/>
  <c r="CM77" i="1"/>
  <c r="CM115" i="1"/>
  <c r="CM31" i="1"/>
  <c r="CM41" i="1"/>
  <c r="CM191" i="1"/>
  <c r="CM85" i="1"/>
  <c r="CM62" i="1"/>
  <c r="CM36" i="1"/>
  <c r="CM32" i="1"/>
  <c r="CM34" i="1"/>
  <c r="CM93" i="1"/>
  <c r="CM117" i="1"/>
  <c r="CM154" i="1"/>
  <c r="CM107" i="1"/>
  <c r="CM98" i="1"/>
  <c r="CM138" i="1"/>
  <c r="CM75" i="1"/>
  <c r="CM122" i="1"/>
  <c r="CM84" i="1"/>
  <c r="CM116" i="1"/>
  <c r="CM186" i="1"/>
  <c r="CM89" i="1"/>
  <c r="CM70" i="1"/>
  <c r="CM61" i="1"/>
  <c r="CM74" i="1"/>
  <c r="CM88" i="1"/>
  <c r="CM73" i="1"/>
  <c r="CM111" i="1"/>
  <c r="CM87" i="1"/>
  <c r="CM82" i="1"/>
  <c r="CM53" i="1"/>
  <c r="CM175" i="1"/>
  <c r="CM55" i="1"/>
  <c r="CM51" i="1"/>
  <c r="CM157" i="1"/>
  <c r="CM158" i="1"/>
  <c r="CM83" i="1"/>
  <c r="CM91" i="1"/>
  <c r="CM105" i="1"/>
  <c r="CM103" i="1"/>
  <c r="CM188" i="1"/>
  <c r="CM163" i="1"/>
  <c r="CM101" i="1"/>
  <c r="CM65" i="1"/>
  <c r="CM60" i="1"/>
  <c r="CM80" i="1"/>
  <c r="CM56" i="1"/>
  <c r="CM57" i="1"/>
  <c r="CM25" i="1"/>
  <c r="CM104" i="1"/>
  <c r="CM66" i="1"/>
  <c r="CM58" i="1"/>
  <c r="CM155" i="1"/>
  <c r="CM156" i="1"/>
  <c r="CM134" i="1"/>
  <c r="CM92" i="1"/>
  <c r="CM67" i="1"/>
  <c r="CM126" i="1"/>
  <c r="CM145" i="1"/>
  <c r="CM135" i="1"/>
  <c r="CM159" i="1"/>
  <c r="CM76" i="1"/>
  <c r="CM114" i="1"/>
  <c r="CM161" i="1"/>
  <c r="CM160" i="1"/>
  <c r="CM95" i="1"/>
  <c r="CM120" i="1"/>
  <c r="CM42" i="1"/>
  <c r="CM183" i="1"/>
  <c r="CM112" i="1"/>
  <c r="CM148" i="1"/>
  <c r="CM179" i="1"/>
  <c r="CM128" i="1"/>
  <c r="CM144" i="1"/>
  <c r="CM110" i="1"/>
  <c r="CM81" i="1"/>
  <c r="CM100" i="1"/>
  <c r="CM123" i="1"/>
  <c r="CM86" i="1"/>
  <c r="CM174" i="1"/>
  <c r="CM201" i="1"/>
  <c r="CM90" i="1"/>
  <c r="CM102" i="1"/>
  <c r="CM94" i="1"/>
  <c r="CM119" i="1"/>
  <c r="CM141" i="1"/>
  <c r="CM147" i="1"/>
  <c r="CM165" i="1"/>
  <c r="CM132" i="1"/>
  <c r="CM189" i="1"/>
  <c r="CM133" i="1"/>
  <c r="CM206" i="1"/>
  <c r="CM78" i="1"/>
  <c r="CM143" i="1"/>
  <c r="CM150" i="1"/>
  <c r="CM130" i="1"/>
  <c r="CM96" i="1"/>
  <c r="CM182" i="1"/>
  <c r="CM195" i="1"/>
  <c r="CM178" i="1"/>
  <c r="CM181" i="1"/>
  <c r="CM194" i="1"/>
  <c r="CM208" i="1"/>
  <c r="CM129" i="1"/>
  <c r="CM180" i="1"/>
  <c r="CM140" i="1"/>
  <c r="CM125" i="1"/>
  <c r="CM131" i="1"/>
  <c r="CM173" i="1"/>
  <c r="CM184" i="1"/>
  <c r="CM190" i="1"/>
  <c r="CM142" i="1"/>
  <c r="CM69" i="1"/>
  <c r="CM151" i="1"/>
  <c r="CM193" i="1"/>
  <c r="CM169" i="1"/>
  <c r="CM166" i="1"/>
  <c r="CM97" i="1"/>
  <c r="CM79" i="1"/>
  <c r="CM146" i="1"/>
  <c r="CM204" i="1"/>
  <c r="CM113" i="1"/>
  <c r="CM172" i="1"/>
  <c r="CM171" i="1"/>
  <c r="CM185" i="1"/>
  <c r="CM137" i="1"/>
  <c r="CM205" i="1"/>
  <c r="CM177" i="1"/>
  <c r="CM199" i="1"/>
  <c r="CM106" i="1"/>
  <c r="CM203" i="1"/>
  <c r="CM124" i="1"/>
  <c r="CM170" i="1"/>
  <c r="CM152" i="1"/>
  <c r="CM118" i="1"/>
  <c r="CM198" i="1"/>
  <c r="CM200" i="1"/>
  <c r="CM136" i="1"/>
  <c r="CM108" i="1"/>
  <c r="CM149" i="1"/>
  <c r="CM187" i="1"/>
  <c r="CM168" i="1"/>
  <c r="CM162" i="1"/>
  <c r="CM139" i="1"/>
  <c r="CM196" i="1"/>
  <c r="CM153" i="1"/>
  <c r="CM197" i="1"/>
  <c r="CM176" i="1"/>
  <c r="CM202" i="1"/>
  <c r="CM167" i="1"/>
  <c r="CM207" i="1"/>
  <c r="CM192" i="1"/>
  <c r="CL3" i="1"/>
  <c r="CL2" i="1"/>
  <c r="CL43" i="1"/>
  <c r="CL71" i="1"/>
  <c r="CL7" i="1"/>
  <c r="CL164" i="1"/>
  <c r="CL4" i="1"/>
  <c r="CL99" i="1"/>
  <c r="CL6" i="1"/>
  <c r="CL8" i="1"/>
  <c r="CL10" i="1"/>
  <c r="CL9" i="1"/>
  <c r="CL127" i="1"/>
  <c r="CL11" i="1"/>
  <c r="CL44" i="1"/>
  <c r="CL39" i="1"/>
  <c r="CL45" i="1"/>
  <c r="CL16" i="1"/>
  <c r="CL12" i="1"/>
  <c r="CL48" i="1"/>
  <c r="CL54" i="1"/>
  <c r="CL47" i="1"/>
  <c r="CL20" i="1"/>
  <c r="CL50" i="1"/>
  <c r="CL22" i="1"/>
  <c r="CL49" i="1"/>
  <c r="CL13" i="1"/>
  <c r="CL26" i="1"/>
  <c r="CL52" i="1"/>
  <c r="CL46" i="1"/>
  <c r="CL72" i="1"/>
  <c r="CL5" i="1"/>
  <c r="CL18" i="1"/>
  <c r="CL23" i="1"/>
  <c r="CL15" i="1"/>
  <c r="CL14" i="1"/>
  <c r="CL59" i="1"/>
  <c r="CL38" i="1"/>
  <c r="CL21" i="1"/>
  <c r="CL27" i="1"/>
  <c r="CL17" i="1"/>
  <c r="CL68" i="1"/>
  <c r="CL121" i="1"/>
  <c r="CL24" i="1"/>
  <c r="CL30" i="1"/>
  <c r="CL40" i="1"/>
  <c r="CL35" i="1"/>
  <c r="CL29" i="1"/>
  <c r="CL37" i="1"/>
  <c r="CL28" i="1"/>
  <c r="CL19" i="1"/>
  <c r="CL33" i="1"/>
  <c r="CL109" i="1"/>
  <c r="CL64" i="1"/>
  <c r="CL63" i="1"/>
  <c r="CL77" i="1"/>
  <c r="CL115" i="1"/>
  <c r="CL31" i="1"/>
  <c r="CL41" i="1"/>
  <c r="CL191" i="1"/>
  <c r="CL85" i="1"/>
  <c r="CL62" i="1"/>
  <c r="CL36" i="1"/>
  <c r="CL32" i="1"/>
  <c r="CL34" i="1"/>
  <c r="CL93" i="1"/>
  <c r="CL117" i="1"/>
  <c r="CL154" i="1"/>
  <c r="CL107" i="1"/>
  <c r="CL98" i="1"/>
  <c r="CL138" i="1"/>
  <c r="CL75" i="1"/>
  <c r="CL122" i="1"/>
  <c r="CL84" i="1"/>
  <c r="CL116" i="1"/>
  <c r="CL186" i="1"/>
  <c r="CL89" i="1"/>
  <c r="CL70" i="1"/>
  <c r="CL61" i="1"/>
  <c r="CL74" i="1"/>
  <c r="CL88" i="1"/>
  <c r="CL73" i="1"/>
  <c r="CL111" i="1"/>
  <c r="CL87" i="1"/>
  <c r="CL82" i="1"/>
  <c r="CL53" i="1"/>
  <c r="CL175" i="1"/>
  <c r="CL55" i="1"/>
  <c r="CL51" i="1"/>
  <c r="CL157" i="1"/>
  <c r="CL158" i="1"/>
  <c r="CL83" i="1"/>
  <c r="CL91" i="1"/>
  <c r="CL105" i="1"/>
  <c r="CL103" i="1"/>
  <c r="CL188" i="1"/>
  <c r="CL163" i="1"/>
  <c r="CL101" i="1"/>
  <c r="CL65" i="1"/>
  <c r="CL60" i="1"/>
  <c r="CL80" i="1"/>
  <c r="CL56" i="1"/>
  <c r="CL57" i="1"/>
  <c r="CL25" i="1"/>
  <c r="CL104" i="1"/>
  <c r="CL66" i="1"/>
  <c r="CL58" i="1"/>
  <c r="CL155" i="1"/>
  <c r="CL156" i="1"/>
  <c r="CL134" i="1"/>
  <c r="CL92" i="1"/>
  <c r="CL67" i="1"/>
  <c r="CL126" i="1"/>
  <c r="CL145" i="1"/>
  <c r="CL135" i="1"/>
  <c r="CL159" i="1"/>
  <c r="CL76" i="1"/>
  <c r="CL114" i="1"/>
  <c r="CL161" i="1"/>
  <c r="CL160" i="1"/>
  <c r="CL95" i="1"/>
  <c r="CL120" i="1"/>
  <c r="CL42" i="1"/>
  <c r="CL183" i="1"/>
  <c r="CL112" i="1"/>
  <c r="CL148" i="1"/>
  <c r="CL179" i="1"/>
  <c r="CL128" i="1"/>
  <c r="CL144" i="1"/>
  <c r="CL110" i="1"/>
  <c r="CL81" i="1"/>
  <c r="CL100" i="1"/>
  <c r="CL123" i="1"/>
  <c r="CL86" i="1"/>
  <c r="CL174" i="1"/>
  <c r="CL201" i="1"/>
  <c r="CL90" i="1"/>
  <c r="CL102" i="1"/>
  <c r="CL94" i="1"/>
  <c r="CL119" i="1"/>
  <c r="CL141" i="1"/>
  <c r="CL147" i="1"/>
  <c r="CL165" i="1"/>
  <c r="CL132" i="1"/>
  <c r="CL189" i="1"/>
  <c r="CL133" i="1"/>
  <c r="CL206" i="1"/>
  <c r="CL78" i="1"/>
  <c r="CL143" i="1"/>
  <c r="CL150" i="1"/>
  <c r="CL130" i="1"/>
  <c r="CL96" i="1"/>
  <c r="CL182" i="1"/>
  <c r="CL195" i="1"/>
  <c r="CL178" i="1"/>
  <c r="CL181" i="1"/>
  <c r="CL194" i="1"/>
  <c r="CL208" i="1"/>
  <c r="CL129" i="1"/>
  <c r="CL180" i="1"/>
  <c r="CL140" i="1"/>
  <c r="CL125" i="1"/>
  <c r="CL131" i="1"/>
  <c r="CL173" i="1"/>
  <c r="CL184" i="1"/>
  <c r="CL190" i="1"/>
  <c r="CL142" i="1"/>
  <c r="CL69" i="1"/>
  <c r="CL151" i="1"/>
  <c r="CL193" i="1"/>
  <c r="CL169" i="1"/>
  <c r="CL166" i="1"/>
  <c r="CL97" i="1"/>
  <c r="CL79" i="1"/>
  <c r="CL146" i="1"/>
  <c r="CL204" i="1"/>
  <c r="CL113" i="1"/>
  <c r="CL172" i="1"/>
  <c r="CL171" i="1"/>
  <c r="CL185" i="1"/>
  <c r="CL137" i="1"/>
  <c r="CL205" i="1"/>
  <c r="CL177" i="1"/>
  <c r="CL199" i="1"/>
  <c r="CL106" i="1"/>
  <c r="CL203" i="1"/>
  <c r="CL124" i="1"/>
  <c r="CL170" i="1"/>
  <c r="CL152" i="1"/>
  <c r="CL118" i="1"/>
  <c r="CL198" i="1"/>
  <c r="CL200" i="1"/>
  <c r="CL136" i="1"/>
  <c r="CL108" i="1"/>
  <c r="CL149" i="1"/>
  <c r="CL187" i="1"/>
  <c r="CL168" i="1"/>
  <c r="CL162" i="1"/>
  <c r="CL139" i="1"/>
  <c r="CL196" i="1"/>
  <c r="CL153" i="1"/>
  <c r="CL197" i="1"/>
  <c r="CL176" i="1"/>
  <c r="CL202" i="1"/>
  <c r="CL167" i="1"/>
  <c r="CL207" i="1"/>
  <c r="CL192" i="1"/>
  <c r="CK3" i="1"/>
  <c r="CK2" i="1"/>
  <c r="CK43" i="1"/>
  <c r="CK71" i="1"/>
  <c r="CK7" i="1"/>
  <c r="CK164" i="1"/>
  <c r="CK4" i="1"/>
  <c r="CK99" i="1"/>
  <c r="CK6" i="1"/>
  <c r="CK8" i="1"/>
  <c r="CK10" i="1"/>
  <c r="CK9" i="1"/>
  <c r="CK127" i="1"/>
  <c r="CK11" i="1"/>
  <c r="CK44" i="1"/>
  <c r="CK39" i="1"/>
  <c r="CK45" i="1"/>
  <c r="CK16" i="1"/>
  <c r="CK12" i="1"/>
  <c r="CK48" i="1"/>
  <c r="CK54" i="1"/>
  <c r="CK47" i="1"/>
  <c r="CK20" i="1"/>
  <c r="CK50" i="1"/>
  <c r="CK22" i="1"/>
  <c r="CK49" i="1"/>
  <c r="CK13" i="1"/>
  <c r="CK26" i="1"/>
  <c r="CK52" i="1"/>
  <c r="CK46" i="1"/>
  <c r="CK72" i="1"/>
  <c r="CK5" i="1"/>
  <c r="CK18" i="1"/>
  <c r="CK23" i="1"/>
  <c r="CK15" i="1"/>
  <c r="CK14" i="1"/>
  <c r="CK59" i="1"/>
  <c r="CK38" i="1"/>
  <c r="CK21" i="1"/>
  <c r="CK27" i="1"/>
  <c r="CK17" i="1"/>
  <c r="CK68" i="1"/>
  <c r="CK121" i="1"/>
  <c r="CK24" i="1"/>
  <c r="CK30" i="1"/>
  <c r="CK40" i="1"/>
  <c r="CK35" i="1"/>
  <c r="CK29" i="1"/>
  <c r="CK37" i="1"/>
  <c r="CK28" i="1"/>
  <c r="CK19" i="1"/>
  <c r="CK33" i="1"/>
  <c r="CK109" i="1"/>
  <c r="CK64" i="1"/>
  <c r="CK63" i="1"/>
  <c r="CK77" i="1"/>
  <c r="CK115" i="1"/>
  <c r="CK31" i="1"/>
  <c r="CK41" i="1"/>
  <c r="CK191" i="1"/>
  <c r="CK85" i="1"/>
  <c r="CK62" i="1"/>
  <c r="CK36" i="1"/>
  <c r="CK32" i="1"/>
  <c r="CK34" i="1"/>
  <c r="CK93" i="1"/>
  <c r="CK117" i="1"/>
  <c r="CK154" i="1"/>
  <c r="CK107" i="1"/>
  <c r="CK98" i="1"/>
  <c r="CK138" i="1"/>
  <c r="CK75" i="1"/>
  <c r="CK122" i="1"/>
  <c r="CK84" i="1"/>
  <c r="CK116" i="1"/>
  <c r="CK186" i="1"/>
  <c r="CK89" i="1"/>
  <c r="CK70" i="1"/>
  <c r="CK61" i="1"/>
  <c r="CK74" i="1"/>
  <c r="CK88" i="1"/>
  <c r="CK73" i="1"/>
  <c r="CK111" i="1"/>
  <c r="CK87" i="1"/>
  <c r="CK82" i="1"/>
  <c r="CK53" i="1"/>
  <c r="CK175" i="1"/>
  <c r="CK55" i="1"/>
  <c r="CK51" i="1"/>
  <c r="CK157" i="1"/>
  <c r="CK158" i="1"/>
  <c r="CK83" i="1"/>
  <c r="CK91" i="1"/>
  <c r="CK105" i="1"/>
  <c r="CK103" i="1"/>
  <c r="CK188" i="1"/>
  <c r="CK163" i="1"/>
  <c r="CK101" i="1"/>
  <c r="CK65" i="1"/>
  <c r="CK60" i="1"/>
  <c r="CK80" i="1"/>
  <c r="CK56" i="1"/>
  <c r="CK57" i="1"/>
  <c r="CK25" i="1"/>
  <c r="CK104" i="1"/>
  <c r="CK66" i="1"/>
  <c r="CK58" i="1"/>
  <c r="CK155" i="1"/>
  <c r="CK156" i="1"/>
  <c r="CK134" i="1"/>
  <c r="CK92" i="1"/>
  <c r="CK67" i="1"/>
  <c r="CK126" i="1"/>
  <c r="CK145" i="1"/>
  <c r="CK135" i="1"/>
  <c r="CK159" i="1"/>
  <c r="CK76" i="1"/>
  <c r="CK114" i="1"/>
  <c r="CK161" i="1"/>
  <c r="CK160" i="1"/>
  <c r="CK95" i="1"/>
  <c r="CK120" i="1"/>
  <c r="CK42" i="1"/>
  <c r="CK183" i="1"/>
  <c r="CK112" i="1"/>
  <c r="CK148" i="1"/>
  <c r="CK179" i="1"/>
  <c r="CK128" i="1"/>
  <c r="CK144" i="1"/>
  <c r="CK110" i="1"/>
  <c r="CK81" i="1"/>
  <c r="CK100" i="1"/>
  <c r="CK123" i="1"/>
  <c r="CK86" i="1"/>
  <c r="CK174" i="1"/>
  <c r="CK201" i="1"/>
  <c r="CK90" i="1"/>
  <c r="CK102" i="1"/>
  <c r="CK94" i="1"/>
  <c r="CK119" i="1"/>
  <c r="CK141" i="1"/>
  <c r="CK147" i="1"/>
  <c r="CK165" i="1"/>
  <c r="CK132" i="1"/>
  <c r="CK189" i="1"/>
  <c r="CK133" i="1"/>
  <c r="CK206" i="1"/>
  <c r="CK78" i="1"/>
  <c r="CK143" i="1"/>
  <c r="CK150" i="1"/>
  <c r="CK130" i="1"/>
  <c r="CK96" i="1"/>
  <c r="CK182" i="1"/>
  <c r="CK195" i="1"/>
  <c r="CK178" i="1"/>
  <c r="CK181" i="1"/>
  <c r="CK194" i="1"/>
  <c r="CK208" i="1"/>
  <c r="CK129" i="1"/>
  <c r="CK180" i="1"/>
  <c r="CK140" i="1"/>
  <c r="CK125" i="1"/>
  <c r="CK131" i="1"/>
  <c r="CK173" i="1"/>
  <c r="CK184" i="1"/>
  <c r="CK190" i="1"/>
  <c r="CK142" i="1"/>
  <c r="CK69" i="1"/>
  <c r="CK151" i="1"/>
  <c r="CK193" i="1"/>
  <c r="CK169" i="1"/>
  <c r="CK166" i="1"/>
  <c r="CK97" i="1"/>
  <c r="CK79" i="1"/>
  <c r="CK146" i="1"/>
  <c r="CK204" i="1"/>
  <c r="CK113" i="1"/>
  <c r="CK172" i="1"/>
  <c r="CK171" i="1"/>
  <c r="CK185" i="1"/>
  <c r="CK137" i="1"/>
  <c r="CK205" i="1"/>
  <c r="CK177" i="1"/>
  <c r="CK199" i="1"/>
  <c r="CK106" i="1"/>
  <c r="CK203" i="1"/>
  <c r="CK124" i="1"/>
  <c r="CK170" i="1"/>
  <c r="CK152" i="1"/>
  <c r="CK118" i="1"/>
  <c r="CK198" i="1"/>
  <c r="CK200" i="1"/>
  <c r="CK136" i="1"/>
  <c r="CK108" i="1"/>
  <c r="CK149" i="1"/>
  <c r="CK187" i="1"/>
  <c r="CK168" i="1"/>
  <c r="CK162" i="1"/>
  <c r="CK139" i="1"/>
  <c r="CK196" i="1"/>
  <c r="CK153" i="1"/>
  <c r="CK197" i="1"/>
  <c r="CK176" i="1"/>
  <c r="CK202" i="1"/>
  <c r="CK167" i="1"/>
  <c r="CK207" i="1"/>
  <c r="CK192" i="1"/>
  <c r="CJ3" i="1"/>
  <c r="CJ2" i="1"/>
  <c r="CJ43" i="1"/>
  <c r="CJ71" i="1"/>
  <c r="CJ7" i="1"/>
  <c r="CJ164" i="1"/>
  <c r="CJ4" i="1"/>
  <c r="CJ99" i="1"/>
  <c r="CJ6" i="1"/>
  <c r="CJ8" i="1"/>
  <c r="CJ10" i="1"/>
  <c r="CJ9" i="1"/>
  <c r="CJ127" i="1"/>
  <c r="CJ11" i="1"/>
  <c r="CJ44" i="1"/>
  <c r="CJ39" i="1"/>
  <c r="CJ45" i="1"/>
  <c r="CJ16" i="1"/>
  <c r="CJ12" i="1"/>
  <c r="CJ48" i="1"/>
  <c r="CJ54" i="1"/>
  <c r="CJ47" i="1"/>
  <c r="CJ20" i="1"/>
  <c r="CJ50" i="1"/>
  <c r="CJ22" i="1"/>
  <c r="CJ49" i="1"/>
  <c r="CJ13" i="1"/>
  <c r="CJ26" i="1"/>
  <c r="CJ52" i="1"/>
  <c r="CJ46" i="1"/>
  <c r="CJ72" i="1"/>
  <c r="CJ5" i="1"/>
  <c r="CJ18" i="1"/>
  <c r="CJ23" i="1"/>
  <c r="CJ15" i="1"/>
  <c r="CJ14" i="1"/>
  <c r="CJ59" i="1"/>
  <c r="CJ38" i="1"/>
  <c r="CJ21" i="1"/>
  <c r="CJ27" i="1"/>
  <c r="CJ17" i="1"/>
  <c r="CJ68" i="1"/>
  <c r="CJ121" i="1"/>
  <c r="CJ24" i="1"/>
  <c r="CJ30" i="1"/>
  <c r="CJ40" i="1"/>
  <c r="CJ35" i="1"/>
  <c r="CJ29" i="1"/>
  <c r="CJ37" i="1"/>
  <c r="CJ28" i="1"/>
  <c r="CJ19" i="1"/>
  <c r="CJ33" i="1"/>
  <c r="CJ109" i="1"/>
  <c r="CJ64" i="1"/>
  <c r="CJ63" i="1"/>
  <c r="CJ77" i="1"/>
  <c r="CJ115" i="1"/>
  <c r="CJ31" i="1"/>
  <c r="CJ41" i="1"/>
  <c r="CJ191" i="1"/>
  <c r="CJ85" i="1"/>
  <c r="CJ62" i="1"/>
  <c r="CJ36" i="1"/>
  <c r="CJ32" i="1"/>
  <c r="CJ34" i="1"/>
  <c r="CJ93" i="1"/>
  <c r="CJ117" i="1"/>
  <c r="CJ154" i="1"/>
  <c r="CJ107" i="1"/>
  <c r="CJ98" i="1"/>
  <c r="CJ138" i="1"/>
  <c r="CJ75" i="1"/>
  <c r="CJ122" i="1"/>
  <c r="CJ84" i="1"/>
  <c r="CJ116" i="1"/>
  <c r="CJ186" i="1"/>
  <c r="CJ89" i="1"/>
  <c r="CJ70" i="1"/>
  <c r="CJ61" i="1"/>
  <c r="CJ74" i="1"/>
  <c r="CJ88" i="1"/>
  <c r="CJ73" i="1"/>
  <c r="CJ111" i="1"/>
  <c r="CJ87" i="1"/>
  <c r="CJ82" i="1"/>
  <c r="CJ53" i="1"/>
  <c r="CJ175" i="1"/>
  <c r="CJ55" i="1"/>
  <c r="CJ51" i="1"/>
  <c r="CJ157" i="1"/>
  <c r="CJ158" i="1"/>
  <c r="CJ83" i="1"/>
  <c r="CJ91" i="1"/>
  <c r="CJ105" i="1"/>
  <c r="CJ103" i="1"/>
  <c r="CJ188" i="1"/>
  <c r="CJ163" i="1"/>
  <c r="CJ101" i="1"/>
  <c r="CJ65" i="1"/>
  <c r="CJ60" i="1"/>
  <c r="CJ80" i="1"/>
  <c r="CJ56" i="1"/>
  <c r="CJ57" i="1"/>
  <c r="CJ25" i="1"/>
  <c r="CJ104" i="1"/>
  <c r="CJ66" i="1"/>
  <c r="CJ58" i="1"/>
  <c r="CJ155" i="1"/>
  <c r="CJ156" i="1"/>
  <c r="CJ134" i="1"/>
  <c r="CJ92" i="1"/>
  <c r="CJ67" i="1"/>
  <c r="CJ126" i="1"/>
  <c r="CJ145" i="1"/>
  <c r="CJ135" i="1"/>
  <c r="CJ159" i="1"/>
  <c r="CJ76" i="1"/>
  <c r="CJ114" i="1"/>
  <c r="CJ161" i="1"/>
  <c r="CJ160" i="1"/>
  <c r="CJ95" i="1"/>
  <c r="CJ120" i="1"/>
  <c r="CJ42" i="1"/>
  <c r="CJ183" i="1"/>
  <c r="CJ112" i="1"/>
  <c r="CJ148" i="1"/>
  <c r="CJ179" i="1"/>
  <c r="CJ128" i="1"/>
  <c r="CJ144" i="1"/>
  <c r="CJ110" i="1"/>
  <c r="CJ81" i="1"/>
  <c r="CJ100" i="1"/>
  <c r="CJ123" i="1"/>
  <c r="CJ86" i="1"/>
  <c r="CJ174" i="1"/>
  <c r="CJ201" i="1"/>
  <c r="CJ90" i="1"/>
  <c r="CJ102" i="1"/>
  <c r="CJ94" i="1"/>
  <c r="CJ119" i="1"/>
  <c r="CJ141" i="1"/>
  <c r="CJ147" i="1"/>
  <c r="CJ165" i="1"/>
  <c r="CJ132" i="1"/>
  <c r="CJ189" i="1"/>
  <c r="CJ133" i="1"/>
  <c r="CJ206" i="1"/>
  <c r="CJ78" i="1"/>
  <c r="CJ143" i="1"/>
  <c r="CJ150" i="1"/>
  <c r="CJ130" i="1"/>
  <c r="CJ96" i="1"/>
  <c r="CJ182" i="1"/>
  <c r="CJ195" i="1"/>
  <c r="CJ178" i="1"/>
  <c r="CJ181" i="1"/>
  <c r="CJ194" i="1"/>
  <c r="CJ208" i="1"/>
  <c r="CJ129" i="1"/>
  <c r="CJ180" i="1"/>
  <c r="CJ140" i="1"/>
  <c r="CJ125" i="1"/>
  <c r="CJ131" i="1"/>
  <c r="CJ173" i="1"/>
  <c r="CJ184" i="1"/>
  <c r="CJ190" i="1"/>
  <c r="CJ142" i="1"/>
  <c r="CJ69" i="1"/>
  <c r="CJ151" i="1"/>
  <c r="CJ193" i="1"/>
  <c r="CJ169" i="1"/>
  <c r="CJ166" i="1"/>
  <c r="CJ97" i="1"/>
  <c r="CJ79" i="1"/>
  <c r="CJ146" i="1"/>
  <c r="CJ204" i="1"/>
  <c r="CJ113" i="1"/>
  <c r="CJ172" i="1"/>
  <c r="CJ171" i="1"/>
  <c r="CJ185" i="1"/>
  <c r="CJ137" i="1"/>
  <c r="CJ205" i="1"/>
  <c r="CJ177" i="1"/>
  <c r="CJ199" i="1"/>
  <c r="CJ106" i="1"/>
  <c r="CJ203" i="1"/>
  <c r="CJ124" i="1"/>
  <c r="CJ170" i="1"/>
  <c r="CJ152" i="1"/>
  <c r="CJ118" i="1"/>
  <c r="CJ198" i="1"/>
  <c r="CJ200" i="1"/>
  <c r="CJ136" i="1"/>
  <c r="CJ108" i="1"/>
  <c r="CJ149" i="1"/>
  <c r="CJ187" i="1"/>
  <c r="CJ168" i="1"/>
  <c r="CJ162" i="1"/>
  <c r="CJ139" i="1"/>
  <c r="CJ196" i="1"/>
  <c r="CJ153" i="1"/>
  <c r="CJ197" i="1"/>
  <c r="CJ176" i="1"/>
  <c r="CJ202" i="1"/>
  <c r="CJ167" i="1"/>
  <c r="CJ207" i="1"/>
  <c r="CJ192" i="1"/>
  <c r="CI3" i="1"/>
  <c r="CI2" i="1"/>
  <c r="CI43" i="1"/>
  <c r="CI71" i="1"/>
  <c r="CI7" i="1"/>
  <c r="CI164" i="1"/>
  <c r="CI4" i="1"/>
  <c r="CI99" i="1"/>
  <c r="CI6" i="1"/>
  <c r="CI8" i="1"/>
  <c r="CI10" i="1"/>
  <c r="CI9" i="1"/>
  <c r="CI127" i="1"/>
  <c r="CI11" i="1"/>
  <c r="CI44" i="1"/>
  <c r="CI39" i="1"/>
  <c r="CI45" i="1"/>
  <c r="CI16" i="1"/>
  <c r="CI12" i="1"/>
  <c r="CI48" i="1"/>
  <c r="CI54" i="1"/>
  <c r="CI47" i="1"/>
  <c r="CI20" i="1"/>
  <c r="CI50" i="1"/>
  <c r="CI22" i="1"/>
  <c r="CI49" i="1"/>
  <c r="CI13" i="1"/>
  <c r="CI26" i="1"/>
  <c r="CI52" i="1"/>
  <c r="CI46" i="1"/>
  <c r="CI72" i="1"/>
  <c r="CI5" i="1"/>
  <c r="CI18" i="1"/>
  <c r="CI23" i="1"/>
  <c r="CI15" i="1"/>
  <c r="CI14" i="1"/>
  <c r="CI59" i="1"/>
  <c r="CI38" i="1"/>
  <c r="CI21" i="1"/>
  <c r="CI27" i="1"/>
  <c r="CI17" i="1"/>
  <c r="CI68" i="1"/>
  <c r="CI121" i="1"/>
  <c r="CI24" i="1"/>
  <c r="CI30" i="1"/>
  <c r="CI40" i="1"/>
  <c r="CI35" i="1"/>
  <c r="CI29" i="1"/>
  <c r="CI37" i="1"/>
  <c r="CI28" i="1"/>
  <c r="CI19" i="1"/>
  <c r="CI33" i="1"/>
  <c r="CI109" i="1"/>
  <c r="CI64" i="1"/>
  <c r="CI63" i="1"/>
  <c r="CI77" i="1"/>
  <c r="CI115" i="1"/>
  <c r="CI31" i="1"/>
  <c r="CI41" i="1"/>
  <c r="CI191" i="1"/>
  <c r="CI85" i="1"/>
  <c r="CI62" i="1"/>
  <c r="CI36" i="1"/>
  <c r="CI32" i="1"/>
  <c r="CI34" i="1"/>
  <c r="CI93" i="1"/>
  <c r="CI117" i="1"/>
  <c r="CI154" i="1"/>
  <c r="CI107" i="1"/>
  <c r="CI98" i="1"/>
  <c r="CI138" i="1"/>
  <c r="CI75" i="1"/>
  <c r="CI122" i="1"/>
  <c r="CI84" i="1"/>
  <c r="CI116" i="1"/>
  <c r="CI186" i="1"/>
  <c r="CI89" i="1"/>
  <c r="CI70" i="1"/>
  <c r="CI61" i="1"/>
  <c r="CI74" i="1"/>
  <c r="CI88" i="1"/>
  <c r="CI73" i="1"/>
  <c r="CI111" i="1"/>
  <c r="CI87" i="1"/>
  <c r="CI82" i="1"/>
  <c r="CI53" i="1"/>
  <c r="CI175" i="1"/>
  <c r="CI55" i="1"/>
  <c r="CI51" i="1"/>
  <c r="CI157" i="1"/>
  <c r="CI158" i="1"/>
  <c r="CI83" i="1"/>
  <c r="CI91" i="1"/>
  <c r="CI105" i="1"/>
  <c r="CI103" i="1"/>
  <c r="CI188" i="1"/>
  <c r="CI163" i="1"/>
  <c r="CI101" i="1"/>
  <c r="CI65" i="1"/>
  <c r="CI60" i="1"/>
  <c r="CI80" i="1"/>
  <c r="CI56" i="1"/>
  <c r="CI57" i="1"/>
  <c r="CI25" i="1"/>
  <c r="CI104" i="1"/>
  <c r="CI66" i="1"/>
  <c r="CI58" i="1"/>
  <c r="CI155" i="1"/>
  <c r="CI156" i="1"/>
  <c r="CI134" i="1"/>
  <c r="CI92" i="1"/>
  <c r="CI67" i="1"/>
  <c r="CI126" i="1"/>
  <c r="CI145" i="1"/>
  <c r="CI135" i="1"/>
  <c r="CI159" i="1"/>
  <c r="CI76" i="1"/>
  <c r="CI114" i="1"/>
  <c r="CI161" i="1"/>
  <c r="CI160" i="1"/>
  <c r="CI95" i="1"/>
  <c r="CI120" i="1"/>
  <c r="CI42" i="1"/>
  <c r="CI183" i="1"/>
  <c r="CI112" i="1"/>
  <c r="CI148" i="1"/>
  <c r="CI179" i="1"/>
  <c r="CI128" i="1"/>
  <c r="CI144" i="1"/>
  <c r="CI110" i="1"/>
  <c r="CI81" i="1"/>
  <c r="CI100" i="1"/>
  <c r="CI123" i="1"/>
  <c r="CI86" i="1"/>
  <c r="CI174" i="1"/>
  <c r="CI201" i="1"/>
  <c r="CI90" i="1"/>
  <c r="CI102" i="1"/>
  <c r="CI94" i="1"/>
  <c r="CI119" i="1"/>
  <c r="CI141" i="1"/>
  <c r="CI147" i="1"/>
  <c r="CI165" i="1"/>
  <c r="CI132" i="1"/>
  <c r="CI189" i="1"/>
  <c r="CI133" i="1"/>
  <c r="CI206" i="1"/>
  <c r="CI78" i="1"/>
  <c r="CI143" i="1"/>
  <c r="CI150" i="1"/>
  <c r="CI130" i="1"/>
  <c r="CI96" i="1"/>
  <c r="CI182" i="1"/>
  <c r="CI195" i="1"/>
  <c r="CI178" i="1"/>
  <c r="CI181" i="1"/>
  <c r="CI194" i="1"/>
  <c r="CI208" i="1"/>
  <c r="CI129" i="1"/>
  <c r="CI180" i="1"/>
  <c r="CI140" i="1"/>
  <c r="CI125" i="1"/>
  <c r="CI131" i="1"/>
  <c r="CI173" i="1"/>
  <c r="CI184" i="1"/>
  <c r="CI190" i="1"/>
  <c r="CI142" i="1"/>
  <c r="CI69" i="1"/>
  <c r="CI151" i="1"/>
  <c r="CI193" i="1"/>
  <c r="CI169" i="1"/>
  <c r="CI166" i="1"/>
  <c r="CI97" i="1"/>
  <c r="CI79" i="1"/>
  <c r="CI146" i="1"/>
  <c r="CI204" i="1"/>
  <c r="CI113" i="1"/>
  <c r="CI172" i="1"/>
  <c r="CI171" i="1"/>
  <c r="CI185" i="1"/>
  <c r="CI137" i="1"/>
  <c r="CI205" i="1"/>
  <c r="CI177" i="1"/>
  <c r="CI199" i="1"/>
  <c r="CI106" i="1"/>
  <c r="CI203" i="1"/>
  <c r="CI124" i="1"/>
  <c r="CI170" i="1"/>
  <c r="CI152" i="1"/>
  <c r="CI118" i="1"/>
  <c r="CI198" i="1"/>
  <c r="CI200" i="1"/>
  <c r="CI136" i="1"/>
  <c r="CI108" i="1"/>
  <c r="CI149" i="1"/>
  <c r="CI187" i="1"/>
  <c r="CI168" i="1"/>
  <c r="CI162" i="1"/>
  <c r="CI139" i="1"/>
  <c r="CI196" i="1"/>
  <c r="CI153" i="1"/>
  <c r="CI197" i="1"/>
  <c r="CI176" i="1"/>
  <c r="CI202" i="1"/>
  <c r="CI167" i="1"/>
  <c r="CI207" i="1"/>
  <c r="CI192" i="1"/>
  <c r="CH3" i="1"/>
  <c r="CH2" i="1"/>
  <c r="CH43" i="1"/>
  <c r="CH71" i="1"/>
  <c r="CH7" i="1"/>
  <c r="CH164" i="1"/>
  <c r="CH4" i="1"/>
  <c r="CH99" i="1"/>
  <c r="CH6" i="1"/>
  <c r="CH8" i="1"/>
  <c r="CH10" i="1"/>
  <c r="CH9" i="1"/>
  <c r="CH127" i="1"/>
  <c r="CH11" i="1"/>
  <c r="CH44" i="1"/>
  <c r="CH39" i="1"/>
  <c r="CH45" i="1"/>
  <c r="CH16" i="1"/>
  <c r="CH12" i="1"/>
  <c r="CH48" i="1"/>
  <c r="CH54" i="1"/>
  <c r="CH47" i="1"/>
  <c r="CH20" i="1"/>
  <c r="CH50" i="1"/>
  <c r="CH22" i="1"/>
  <c r="CH49" i="1"/>
  <c r="CH13" i="1"/>
  <c r="CH26" i="1"/>
  <c r="CH52" i="1"/>
  <c r="CH46" i="1"/>
  <c r="CH72" i="1"/>
  <c r="CH5" i="1"/>
  <c r="CH18" i="1"/>
  <c r="CH23" i="1"/>
  <c r="CH15" i="1"/>
  <c r="CH14" i="1"/>
  <c r="CH59" i="1"/>
  <c r="CH38" i="1"/>
  <c r="CH21" i="1"/>
  <c r="CH27" i="1"/>
  <c r="CH17" i="1"/>
  <c r="CH68" i="1"/>
  <c r="CH121" i="1"/>
  <c r="CH24" i="1"/>
  <c r="CH30" i="1"/>
  <c r="CH40" i="1"/>
  <c r="CH35" i="1"/>
  <c r="CH29" i="1"/>
  <c r="CH37" i="1"/>
  <c r="CH28" i="1"/>
  <c r="CH19" i="1"/>
  <c r="CH33" i="1"/>
  <c r="CH109" i="1"/>
  <c r="CH64" i="1"/>
  <c r="CH63" i="1"/>
  <c r="CH77" i="1"/>
  <c r="CH115" i="1"/>
  <c r="CH31" i="1"/>
  <c r="CH41" i="1"/>
  <c r="CH191" i="1"/>
  <c r="CH85" i="1"/>
  <c r="CH62" i="1"/>
  <c r="CH36" i="1"/>
  <c r="CH32" i="1"/>
  <c r="CH34" i="1"/>
  <c r="CH93" i="1"/>
  <c r="CH117" i="1"/>
  <c r="CH154" i="1"/>
  <c r="CH107" i="1"/>
  <c r="CH98" i="1"/>
  <c r="CH138" i="1"/>
  <c r="CH75" i="1"/>
  <c r="CH122" i="1"/>
  <c r="CH84" i="1"/>
  <c r="CH116" i="1"/>
  <c r="CH186" i="1"/>
  <c r="CH89" i="1"/>
  <c r="CH70" i="1"/>
  <c r="CH61" i="1"/>
  <c r="CH74" i="1"/>
  <c r="CH88" i="1"/>
  <c r="CH73" i="1"/>
  <c r="CH111" i="1"/>
  <c r="CH87" i="1"/>
  <c r="CH82" i="1"/>
  <c r="CH53" i="1"/>
  <c r="CH175" i="1"/>
  <c r="CH55" i="1"/>
  <c r="CH51" i="1"/>
  <c r="CH157" i="1"/>
  <c r="CH158" i="1"/>
  <c r="CH83" i="1"/>
  <c r="CH91" i="1"/>
  <c r="CH105" i="1"/>
  <c r="CH103" i="1"/>
  <c r="CH188" i="1"/>
  <c r="CH163" i="1"/>
  <c r="CH101" i="1"/>
  <c r="CH65" i="1"/>
  <c r="CH60" i="1"/>
  <c r="CH80" i="1"/>
  <c r="CH56" i="1"/>
  <c r="CH57" i="1"/>
  <c r="CH25" i="1"/>
  <c r="CH104" i="1"/>
  <c r="CH66" i="1"/>
  <c r="CH58" i="1"/>
  <c r="CH155" i="1"/>
  <c r="CH156" i="1"/>
  <c r="CH134" i="1"/>
  <c r="CH92" i="1"/>
  <c r="CH67" i="1"/>
  <c r="CH126" i="1"/>
  <c r="CH145" i="1"/>
  <c r="CH135" i="1"/>
  <c r="CH159" i="1"/>
  <c r="CH76" i="1"/>
  <c r="CH114" i="1"/>
  <c r="CH161" i="1"/>
  <c r="CH160" i="1"/>
  <c r="CH95" i="1"/>
  <c r="CH120" i="1"/>
  <c r="CH42" i="1"/>
  <c r="CH183" i="1"/>
  <c r="CH112" i="1"/>
  <c r="CH148" i="1"/>
  <c r="CH179" i="1"/>
  <c r="CH128" i="1"/>
  <c r="CH144" i="1"/>
  <c r="CH110" i="1"/>
  <c r="CH81" i="1"/>
  <c r="CH100" i="1"/>
  <c r="CH123" i="1"/>
  <c r="CH86" i="1"/>
  <c r="CH174" i="1"/>
  <c r="CH201" i="1"/>
  <c r="CH90" i="1"/>
  <c r="CH102" i="1"/>
  <c r="CH94" i="1"/>
  <c r="CH119" i="1"/>
  <c r="CH141" i="1"/>
  <c r="CH147" i="1"/>
  <c r="CH165" i="1"/>
  <c r="CH132" i="1"/>
  <c r="CH189" i="1"/>
  <c r="CH133" i="1"/>
  <c r="CH206" i="1"/>
  <c r="CH78" i="1"/>
  <c r="CH143" i="1"/>
  <c r="CH150" i="1"/>
  <c r="CH130" i="1"/>
  <c r="CH96" i="1"/>
  <c r="CH182" i="1"/>
  <c r="CH195" i="1"/>
  <c r="CH178" i="1"/>
  <c r="CH181" i="1"/>
  <c r="CH194" i="1"/>
  <c r="CH208" i="1"/>
  <c r="CH129" i="1"/>
  <c r="CH180" i="1"/>
  <c r="CH140" i="1"/>
  <c r="CH125" i="1"/>
  <c r="CH131" i="1"/>
  <c r="CH173" i="1"/>
  <c r="CH184" i="1"/>
  <c r="CH190" i="1"/>
  <c r="CH142" i="1"/>
  <c r="CH69" i="1"/>
  <c r="CH151" i="1"/>
  <c r="CH193" i="1"/>
  <c r="CH169" i="1"/>
  <c r="CH166" i="1"/>
  <c r="CH97" i="1"/>
  <c r="CH79" i="1"/>
  <c r="CH146" i="1"/>
  <c r="CH204" i="1"/>
  <c r="CH113" i="1"/>
  <c r="CH172" i="1"/>
  <c r="CH171" i="1"/>
  <c r="CH185" i="1"/>
  <c r="CH137" i="1"/>
  <c r="CH205" i="1"/>
  <c r="CH177" i="1"/>
  <c r="CH199" i="1"/>
  <c r="CH106" i="1"/>
  <c r="CH203" i="1"/>
  <c r="CH124" i="1"/>
  <c r="CH170" i="1"/>
  <c r="CH152" i="1"/>
  <c r="CH118" i="1"/>
  <c r="CH198" i="1"/>
  <c r="CH200" i="1"/>
  <c r="CH136" i="1"/>
  <c r="CH108" i="1"/>
  <c r="CH149" i="1"/>
  <c r="CH187" i="1"/>
  <c r="CH168" i="1"/>
  <c r="CH162" i="1"/>
  <c r="CH139" i="1"/>
  <c r="CH196" i="1"/>
  <c r="CH153" i="1"/>
  <c r="CH197" i="1"/>
  <c r="CH176" i="1"/>
  <c r="CH202" i="1"/>
  <c r="CH167" i="1"/>
  <c r="CH207" i="1"/>
  <c r="CH192" i="1"/>
  <c r="CG3" i="1"/>
  <c r="CG2" i="1"/>
  <c r="CG43" i="1"/>
  <c r="CG71" i="1"/>
  <c r="CG7" i="1"/>
  <c r="CG164" i="1"/>
  <c r="CG4" i="1"/>
  <c r="CG99" i="1"/>
  <c r="CG6" i="1"/>
  <c r="CG8" i="1"/>
  <c r="CG10" i="1"/>
  <c r="CG9" i="1"/>
  <c r="CG127" i="1"/>
  <c r="CG11" i="1"/>
  <c r="CG44" i="1"/>
  <c r="CG39" i="1"/>
  <c r="CG45" i="1"/>
  <c r="CG16" i="1"/>
  <c r="CG12" i="1"/>
  <c r="CG48" i="1"/>
  <c r="CG54" i="1"/>
  <c r="CG47" i="1"/>
  <c r="CG20" i="1"/>
  <c r="CG50" i="1"/>
  <c r="CG22" i="1"/>
  <c r="CG49" i="1"/>
  <c r="CG13" i="1"/>
  <c r="CG26" i="1"/>
  <c r="CG52" i="1"/>
  <c r="CG46" i="1"/>
  <c r="CG72" i="1"/>
  <c r="CG5" i="1"/>
  <c r="CG18" i="1"/>
  <c r="CG23" i="1"/>
  <c r="CG15" i="1"/>
  <c r="CG14" i="1"/>
  <c r="CG59" i="1"/>
  <c r="CG38" i="1"/>
  <c r="CG21" i="1"/>
  <c r="CG27" i="1"/>
  <c r="CG17" i="1"/>
  <c r="CG68" i="1"/>
  <c r="CG121" i="1"/>
  <c r="CG24" i="1"/>
  <c r="CG30" i="1"/>
  <c r="CG40" i="1"/>
  <c r="CG35" i="1"/>
  <c r="CG29" i="1"/>
  <c r="CG37" i="1"/>
  <c r="CG28" i="1"/>
  <c r="CG19" i="1"/>
  <c r="CG33" i="1"/>
  <c r="CG109" i="1"/>
  <c r="CG64" i="1"/>
  <c r="CG63" i="1"/>
  <c r="CG77" i="1"/>
  <c r="CG115" i="1"/>
  <c r="CG31" i="1"/>
  <c r="CG41" i="1"/>
  <c r="CG191" i="1"/>
  <c r="CG85" i="1"/>
  <c r="CG62" i="1"/>
  <c r="CG36" i="1"/>
  <c r="CG32" i="1"/>
  <c r="CG34" i="1"/>
  <c r="CG93" i="1"/>
  <c r="CG117" i="1"/>
  <c r="CG154" i="1"/>
  <c r="CG107" i="1"/>
  <c r="CG98" i="1"/>
  <c r="CG138" i="1"/>
  <c r="CG75" i="1"/>
  <c r="CG122" i="1"/>
  <c r="CG84" i="1"/>
  <c r="CG116" i="1"/>
  <c r="CG186" i="1"/>
  <c r="CG89" i="1"/>
  <c r="CG70" i="1"/>
  <c r="CG61" i="1"/>
  <c r="CG74" i="1"/>
  <c r="CG88" i="1"/>
  <c r="CG73" i="1"/>
  <c r="CG111" i="1"/>
  <c r="CG87" i="1"/>
  <c r="CG82" i="1"/>
  <c r="CG53" i="1"/>
  <c r="CG175" i="1"/>
  <c r="CG55" i="1"/>
  <c r="CG51" i="1"/>
  <c r="CG157" i="1"/>
  <c r="CG158" i="1"/>
  <c r="CG83" i="1"/>
  <c r="CG91" i="1"/>
  <c r="CG105" i="1"/>
  <c r="CG103" i="1"/>
  <c r="CG188" i="1"/>
  <c r="CG163" i="1"/>
  <c r="CG101" i="1"/>
  <c r="CG65" i="1"/>
  <c r="CG60" i="1"/>
  <c r="CG80" i="1"/>
  <c r="CG56" i="1"/>
  <c r="CG57" i="1"/>
  <c r="CG25" i="1"/>
  <c r="CG104" i="1"/>
  <c r="CG66" i="1"/>
  <c r="CG58" i="1"/>
  <c r="CG155" i="1"/>
  <c r="CG156" i="1"/>
  <c r="CG134" i="1"/>
  <c r="CG92" i="1"/>
  <c r="CG67" i="1"/>
  <c r="CG126" i="1"/>
  <c r="CG145" i="1"/>
  <c r="CG135" i="1"/>
  <c r="CG159" i="1"/>
  <c r="CG76" i="1"/>
  <c r="CG114" i="1"/>
  <c r="CG161" i="1"/>
  <c r="CG160" i="1"/>
  <c r="CG95" i="1"/>
  <c r="CG120" i="1"/>
  <c r="CG42" i="1"/>
  <c r="CG183" i="1"/>
  <c r="CG112" i="1"/>
  <c r="CG148" i="1"/>
  <c r="CG179" i="1"/>
  <c r="CG128" i="1"/>
  <c r="CG144" i="1"/>
  <c r="CG110" i="1"/>
  <c r="CG81" i="1"/>
  <c r="CG100" i="1"/>
  <c r="CG123" i="1"/>
  <c r="CG86" i="1"/>
  <c r="CG174" i="1"/>
  <c r="CG201" i="1"/>
  <c r="CG90" i="1"/>
  <c r="CG102" i="1"/>
  <c r="CG94" i="1"/>
  <c r="CG119" i="1"/>
  <c r="CG141" i="1"/>
  <c r="CG147" i="1"/>
  <c r="CG165" i="1"/>
  <c r="CG132" i="1"/>
  <c r="CG189" i="1"/>
  <c r="CG133" i="1"/>
  <c r="CG206" i="1"/>
  <c r="CG78" i="1"/>
  <c r="CG143" i="1"/>
  <c r="CG150" i="1"/>
  <c r="CG130" i="1"/>
  <c r="CG96" i="1"/>
  <c r="CG182" i="1"/>
  <c r="CG195" i="1"/>
  <c r="CG178" i="1"/>
  <c r="CG181" i="1"/>
  <c r="CG194" i="1"/>
  <c r="CG208" i="1"/>
  <c r="CG129" i="1"/>
  <c r="CG180" i="1"/>
  <c r="CG140" i="1"/>
  <c r="CG125" i="1"/>
  <c r="CG131" i="1"/>
  <c r="CG173" i="1"/>
  <c r="CG184" i="1"/>
  <c r="CG190" i="1"/>
  <c r="CG142" i="1"/>
  <c r="CG69" i="1"/>
  <c r="CG151" i="1"/>
  <c r="CG193" i="1"/>
  <c r="CG169" i="1"/>
  <c r="CG166" i="1"/>
  <c r="CG97" i="1"/>
  <c r="CG79" i="1"/>
  <c r="CG146" i="1"/>
  <c r="CG204" i="1"/>
  <c r="CG113" i="1"/>
  <c r="CG172" i="1"/>
  <c r="CG171" i="1"/>
  <c r="CG185" i="1"/>
  <c r="CG137" i="1"/>
  <c r="CG205" i="1"/>
  <c r="CG177" i="1"/>
  <c r="CG199" i="1"/>
  <c r="CG106" i="1"/>
  <c r="CG203" i="1"/>
  <c r="CG124" i="1"/>
  <c r="CG170" i="1"/>
  <c r="CG152" i="1"/>
  <c r="CG118" i="1"/>
  <c r="CG198" i="1"/>
  <c r="CG200" i="1"/>
  <c r="CG136" i="1"/>
  <c r="CG108" i="1"/>
  <c r="CG149" i="1"/>
  <c r="CG187" i="1"/>
  <c r="CG168" i="1"/>
  <c r="CG162" i="1"/>
  <c r="CG139" i="1"/>
  <c r="CG196" i="1"/>
  <c r="CG153" i="1"/>
  <c r="CG197" i="1"/>
  <c r="CG176" i="1"/>
  <c r="CG202" i="1"/>
  <c r="CG167" i="1"/>
  <c r="CG207" i="1"/>
  <c r="CG192" i="1"/>
  <c r="CF3" i="1"/>
  <c r="CF2" i="1"/>
  <c r="CF43" i="1"/>
  <c r="CF71" i="1"/>
  <c r="CF7" i="1"/>
  <c r="CF164" i="1"/>
  <c r="CF4" i="1"/>
  <c r="CF99" i="1"/>
  <c r="CF6" i="1"/>
  <c r="CF8" i="1"/>
  <c r="CF10" i="1"/>
  <c r="CF9" i="1"/>
  <c r="CF127" i="1"/>
  <c r="CF11" i="1"/>
  <c r="CF44" i="1"/>
  <c r="CF39" i="1"/>
  <c r="CF45" i="1"/>
  <c r="CF16" i="1"/>
  <c r="CF12" i="1"/>
  <c r="CF48" i="1"/>
  <c r="CF54" i="1"/>
  <c r="CF47" i="1"/>
  <c r="CF20" i="1"/>
  <c r="CF50" i="1"/>
  <c r="CF22" i="1"/>
  <c r="CF49" i="1"/>
  <c r="CF13" i="1"/>
  <c r="CF26" i="1"/>
  <c r="CF52" i="1"/>
  <c r="CF46" i="1"/>
  <c r="CF72" i="1"/>
  <c r="CF5" i="1"/>
  <c r="CF18" i="1"/>
  <c r="CF23" i="1"/>
  <c r="CF15" i="1"/>
  <c r="CF14" i="1"/>
  <c r="CF59" i="1"/>
  <c r="CF38" i="1"/>
  <c r="CF21" i="1"/>
  <c r="CF27" i="1"/>
  <c r="CF17" i="1"/>
  <c r="CF68" i="1"/>
  <c r="CF121" i="1"/>
  <c r="CF24" i="1"/>
  <c r="CF30" i="1"/>
  <c r="CF40" i="1"/>
  <c r="CF35" i="1"/>
  <c r="CF29" i="1"/>
  <c r="CF37" i="1"/>
  <c r="CF28" i="1"/>
  <c r="CF19" i="1"/>
  <c r="CF33" i="1"/>
  <c r="CF109" i="1"/>
  <c r="CF64" i="1"/>
  <c r="CF63" i="1"/>
  <c r="CF77" i="1"/>
  <c r="CF115" i="1"/>
  <c r="CF31" i="1"/>
  <c r="CF41" i="1"/>
  <c r="CF191" i="1"/>
  <c r="CF85" i="1"/>
  <c r="CF62" i="1"/>
  <c r="CF36" i="1"/>
  <c r="CF32" i="1"/>
  <c r="CF34" i="1"/>
  <c r="CF93" i="1"/>
  <c r="CF117" i="1"/>
  <c r="CF154" i="1"/>
  <c r="CF107" i="1"/>
  <c r="CF98" i="1"/>
  <c r="CF138" i="1"/>
  <c r="CF75" i="1"/>
  <c r="CF122" i="1"/>
  <c r="CF84" i="1"/>
  <c r="CF116" i="1"/>
  <c r="CF186" i="1"/>
  <c r="CF89" i="1"/>
  <c r="CF70" i="1"/>
  <c r="CF61" i="1"/>
  <c r="CF74" i="1"/>
  <c r="CF88" i="1"/>
  <c r="CF73" i="1"/>
  <c r="CF111" i="1"/>
  <c r="CF87" i="1"/>
  <c r="CF82" i="1"/>
  <c r="CF53" i="1"/>
  <c r="CF175" i="1"/>
  <c r="CF55" i="1"/>
  <c r="CF51" i="1"/>
  <c r="CF157" i="1"/>
  <c r="CF158" i="1"/>
  <c r="CF83" i="1"/>
  <c r="CF91" i="1"/>
  <c r="CF105" i="1"/>
  <c r="CF103" i="1"/>
  <c r="CF188" i="1"/>
  <c r="CF163" i="1"/>
  <c r="CF101" i="1"/>
  <c r="CF65" i="1"/>
  <c r="CF60" i="1"/>
  <c r="CF80" i="1"/>
  <c r="CF56" i="1"/>
  <c r="CF57" i="1"/>
  <c r="CF25" i="1"/>
  <c r="CF104" i="1"/>
  <c r="CF66" i="1"/>
  <c r="CF58" i="1"/>
  <c r="CF155" i="1"/>
  <c r="CF156" i="1"/>
  <c r="CF134" i="1"/>
  <c r="CF92" i="1"/>
  <c r="CF67" i="1"/>
  <c r="CF126" i="1"/>
  <c r="CF145" i="1"/>
  <c r="CF135" i="1"/>
  <c r="CF159" i="1"/>
  <c r="CF76" i="1"/>
  <c r="CF114" i="1"/>
  <c r="CF161" i="1"/>
  <c r="CF160" i="1"/>
  <c r="CF95" i="1"/>
  <c r="CF120" i="1"/>
  <c r="CF42" i="1"/>
  <c r="CF183" i="1"/>
  <c r="CF112" i="1"/>
  <c r="CF148" i="1"/>
  <c r="CF179" i="1"/>
  <c r="CF128" i="1"/>
  <c r="CF144" i="1"/>
  <c r="CF110" i="1"/>
  <c r="CF81" i="1"/>
  <c r="CF100" i="1"/>
  <c r="CF123" i="1"/>
  <c r="CF86" i="1"/>
  <c r="CF174" i="1"/>
  <c r="CF201" i="1"/>
  <c r="CF90" i="1"/>
  <c r="CF102" i="1"/>
  <c r="CF94" i="1"/>
  <c r="CF119" i="1"/>
  <c r="CF141" i="1"/>
  <c r="CF147" i="1"/>
  <c r="CF165" i="1"/>
  <c r="CF132" i="1"/>
  <c r="CF189" i="1"/>
  <c r="CF133" i="1"/>
  <c r="CF206" i="1"/>
  <c r="CF78" i="1"/>
  <c r="CF143" i="1"/>
  <c r="CF150" i="1"/>
  <c r="CF130" i="1"/>
  <c r="CF96" i="1"/>
  <c r="CF182" i="1"/>
  <c r="CF195" i="1"/>
  <c r="CF178" i="1"/>
  <c r="CF181" i="1"/>
  <c r="CF194" i="1"/>
  <c r="CF208" i="1"/>
  <c r="CF129" i="1"/>
  <c r="CF180" i="1"/>
  <c r="CF140" i="1"/>
  <c r="CF125" i="1"/>
  <c r="CF131" i="1"/>
  <c r="CF173" i="1"/>
  <c r="CF184" i="1"/>
  <c r="CF190" i="1"/>
  <c r="CF142" i="1"/>
  <c r="CF69" i="1"/>
  <c r="CF151" i="1"/>
  <c r="CF193" i="1"/>
  <c r="CF169" i="1"/>
  <c r="CF166" i="1"/>
  <c r="CF97" i="1"/>
  <c r="CF79" i="1"/>
  <c r="CF146" i="1"/>
  <c r="CF204" i="1"/>
  <c r="CF113" i="1"/>
  <c r="CF172" i="1"/>
  <c r="CF171" i="1"/>
  <c r="CF185" i="1"/>
  <c r="CF137" i="1"/>
  <c r="CF205" i="1"/>
  <c r="CF177" i="1"/>
  <c r="CF199" i="1"/>
  <c r="CF106" i="1"/>
  <c r="CF203" i="1"/>
  <c r="CF124" i="1"/>
  <c r="CF170" i="1"/>
  <c r="CF152" i="1"/>
  <c r="CF118" i="1"/>
  <c r="CF198" i="1"/>
  <c r="CF200" i="1"/>
  <c r="CF136" i="1"/>
  <c r="CF108" i="1"/>
  <c r="CF149" i="1"/>
  <c r="CF187" i="1"/>
  <c r="CF168" i="1"/>
  <c r="CF162" i="1"/>
  <c r="CF139" i="1"/>
  <c r="CF196" i="1"/>
  <c r="CF153" i="1"/>
  <c r="CF197" i="1"/>
  <c r="CF176" i="1"/>
  <c r="CF202" i="1"/>
  <c r="CF167" i="1"/>
  <c r="CF207" i="1"/>
  <c r="CF192" i="1"/>
  <c r="CE3" i="1"/>
  <c r="CE2" i="1"/>
  <c r="CE43" i="1"/>
  <c r="CE71" i="1"/>
  <c r="CE7" i="1"/>
  <c r="CE164" i="1"/>
  <c r="CE4" i="1"/>
  <c r="CE99" i="1"/>
  <c r="CE6" i="1"/>
  <c r="CE8" i="1"/>
  <c r="CE10" i="1"/>
  <c r="CE9" i="1"/>
  <c r="CE127" i="1"/>
  <c r="CE11" i="1"/>
  <c r="CE44" i="1"/>
  <c r="CE39" i="1"/>
  <c r="CE45" i="1"/>
  <c r="CE16" i="1"/>
  <c r="CE12" i="1"/>
  <c r="CE48" i="1"/>
  <c r="CE54" i="1"/>
  <c r="CE47" i="1"/>
  <c r="CE20" i="1"/>
  <c r="CE50" i="1"/>
  <c r="CE22" i="1"/>
  <c r="CE49" i="1"/>
  <c r="CE13" i="1"/>
  <c r="CE26" i="1"/>
  <c r="CE52" i="1"/>
  <c r="CE46" i="1"/>
  <c r="CE72" i="1"/>
  <c r="CE5" i="1"/>
  <c r="CE18" i="1"/>
  <c r="CE23" i="1"/>
  <c r="CE15" i="1"/>
  <c r="CE14" i="1"/>
  <c r="CE59" i="1"/>
  <c r="CE38" i="1"/>
  <c r="CE21" i="1"/>
  <c r="CE27" i="1"/>
  <c r="CE17" i="1"/>
  <c r="CE68" i="1"/>
  <c r="CE121" i="1"/>
  <c r="CE24" i="1"/>
  <c r="CE30" i="1"/>
  <c r="CE40" i="1"/>
  <c r="CE35" i="1"/>
  <c r="CE29" i="1"/>
  <c r="CE37" i="1"/>
  <c r="CE28" i="1"/>
  <c r="CE19" i="1"/>
  <c r="CE33" i="1"/>
  <c r="CE109" i="1"/>
  <c r="CE64" i="1"/>
  <c r="CE63" i="1"/>
  <c r="CE77" i="1"/>
  <c r="CE115" i="1"/>
  <c r="CE31" i="1"/>
  <c r="CE41" i="1"/>
  <c r="CE191" i="1"/>
  <c r="CE85" i="1"/>
  <c r="CE62" i="1"/>
  <c r="CE36" i="1"/>
  <c r="CE32" i="1"/>
  <c r="CE34" i="1"/>
  <c r="CE93" i="1"/>
  <c r="CE117" i="1"/>
  <c r="CE154" i="1"/>
  <c r="CE107" i="1"/>
  <c r="CE98" i="1"/>
  <c r="CE138" i="1"/>
  <c r="CE75" i="1"/>
  <c r="CE122" i="1"/>
  <c r="CE84" i="1"/>
  <c r="CE116" i="1"/>
  <c r="CE186" i="1"/>
  <c r="CE89" i="1"/>
  <c r="CE70" i="1"/>
  <c r="CE61" i="1"/>
  <c r="CE74" i="1"/>
  <c r="CE88" i="1"/>
  <c r="CE73" i="1"/>
  <c r="CE111" i="1"/>
  <c r="CE87" i="1"/>
  <c r="CE82" i="1"/>
  <c r="CE53" i="1"/>
  <c r="CE175" i="1"/>
  <c r="CE55" i="1"/>
  <c r="CE51" i="1"/>
  <c r="CE157" i="1"/>
  <c r="CE158" i="1"/>
  <c r="CE83" i="1"/>
  <c r="CE91" i="1"/>
  <c r="CE105" i="1"/>
  <c r="CE103" i="1"/>
  <c r="CE188" i="1"/>
  <c r="CE163" i="1"/>
  <c r="CE101" i="1"/>
  <c r="CE65" i="1"/>
  <c r="CE60" i="1"/>
  <c r="CE80" i="1"/>
  <c r="CE56" i="1"/>
  <c r="CE57" i="1"/>
  <c r="CE25" i="1"/>
  <c r="CE104" i="1"/>
  <c r="CE66" i="1"/>
  <c r="CE58" i="1"/>
  <c r="CE155" i="1"/>
  <c r="CE156" i="1"/>
  <c r="CE134" i="1"/>
  <c r="CE92" i="1"/>
  <c r="CE67" i="1"/>
  <c r="CE126" i="1"/>
  <c r="CE145" i="1"/>
  <c r="CE135" i="1"/>
  <c r="CE159" i="1"/>
  <c r="CE76" i="1"/>
  <c r="CE114" i="1"/>
  <c r="CE161" i="1"/>
  <c r="CE160" i="1"/>
  <c r="CE95" i="1"/>
  <c r="CE120" i="1"/>
  <c r="CE42" i="1"/>
  <c r="CE183" i="1"/>
  <c r="CE112" i="1"/>
  <c r="CE148" i="1"/>
  <c r="CE179" i="1"/>
  <c r="CE128" i="1"/>
  <c r="CE144" i="1"/>
  <c r="CE110" i="1"/>
  <c r="CE81" i="1"/>
  <c r="CE100" i="1"/>
  <c r="CE123" i="1"/>
  <c r="CE86" i="1"/>
  <c r="CE174" i="1"/>
  <c r="CE201" i="1"/>
  <c r="CE90" i="1"/>
  <c r="CE102" i="1"/>
  <c r="CE94" i="1"/>
  <c r="CE119" i="1"/>
  <c r="CE141" i="1"/>
  <c r="CE147" i="1"/>
  <c r="CE165" i="1"/>
  <c r="CE132" i="1"/>
  <c r="CE189" i="1"/>
  <c r="CE133" i="1"/>
  <c r="CE206" i="1"/>
  <c r="CE78" i="1"/>
  <c r="CE143" i="1"/>
  <c r="CE150" i="1"/>
  <c r="CE130" i="1"/>
  <c r="CE96" i="1"/>
  <c r="CE182" i="1"/>
  <c r="CE195" i="1"/>
  <c r="CE178" i="1"/>
  <c r="CE181" i="1"/>
  <c r="CE194" i="1"/>
  <c r="CE208" i="1"/>
  <c r="CE129" i="1"/>
  <c r="CE180" i="1"/>
  <c r="CE140" i="1"/>
  <c r="CE125" i="1"/>
  <c r="CE131" i="1"/>
  <c r="CE173" i="1"/>
  <c r="CE184" i="1"/>
  <c r="CE190" i="1"/>
  <c r="CE142" i="1"/>
  <c r="CE69" i="1"/>
  <c r="CE151" i="1"/>
  <c r="CE193" i="1"/>
  <c r="CE169" i="1"/>
  <c r="CE166" i="1"/>
  <c r="CE97" i="1"/>
  <c r="CE79" i="1"/>
  <c r="CE146" i="1"/>
  <c r="CE204" i="1"/>
  <c r="CE113" i="1"/>
  <c r="CE172" i="1"/>
  <c r="CE171" i="1"/>
  <c r="CE185" i="1"/>
  <c r="CE137" i="1"/>
  <c r="CE205" i="1"/>
  <c r="CE177" i="1"/>
  <c r="CE199" i="1"/>
  <c r="CE106" i="1"/>
  <c r="CE203" i="1"/>
  <c r="CE124" i="1"/>
  <c r="CE170" i="1"/>
  <c r="CE152" i="1"/>
  <c r="CE118" i="1"/>
  <c r="CE198" i="1"/>
  <c r="CE200" i="1"/>
  <c r="CE136" i="1"/>
  <c r="CE108" i="1"/>
  <c r="CE149" i="1"/>
  <c r="CE187" i="1"/>
  <c r="CE168" i="1"/>
  <c r="CE162" i="1"/>
  <c r="CE139" i="1"/>
  <c r="CE196" i="1"/>
  <c r="CE153" i="1"/>
  <c r="CE197" i="1"/>
  <c r="CE176" i="1"/>
  <c r="CE202" i="1"/>
  <c r="CE167" i="1"/>
  <c r="CE207" i="1"/>
  <c r="CE192" i="1"/>
  <c r="CD3" i="1"/>
  <c r="CD2" i="1"/>
  <c r="CD43" i="1"/>
  <c r="CD71" i="1"/>
  <c r="CD7" i="1"/>
  <c r="CD164" i="1"/>
  <c r="CD4" i="1"/>
  <c r="CD99" i="1"/>
  <c r="CD6" i="1"/>
  <c r="CD8" i="1"/>
  <c r="CD10" i="1"/>
  <c r="CD9" i="1"/>
  <c r="CD127" i="1"/>
  <c r="CD11" i="1"/>
  <c r="CD44" i="1"/>
  <c r="CD39" i="1"/>
  <c r="CD45" i="1"/>
  <c r="CD16" i="1"/>
  <c r="CD12" i="1"/>
  <c r="CD48" i="1"/>
  <c r="CD54" i="1"/>
  <c r="CD47" i="1"/>
  <c r="CD20" i="1"/>
  <c r="CD50" i="1"/>
  <c r="CD22" i="1"/>
  <c r="CD49" i="1"/>
  <c r="CD13" i="1"/>
  <c r="CD26" i="1"/>
  <c r="CD52" i="1"/>
  <c r="CD46" i="1"/>
  <c r="CD72" i="1"/>
  <c r="CD5" i="1"/>
  <c r="CD18" i="1"/>
  <c r="CD23" i="1"/>
  <c r="CD15" i="1"/>
  <c r="CD14" i="1"/>
  <c r="CD59" i="1"/>
  <c r="CD38" i="1"/>
  <c r="CD21" i="1"/>
  <c r="CD27" i="1"/>
  <c r="CD17" i="1"/>
  <c r="CD68" i="1"/>
  <c r="CD121" i="1"/>
  <c r="CD24" i="1"/>
  <c r="CD30" i="1"/>
  <c r="CD40" i="1"/>
  <c r="CD35" i="1"/>
  <c r="CD29" i="1"/>
  <c r="CD37" i="1"/>
  <c r="CD28" i="1"/>
  <c r="CD19" i="1"/>
  <c r="CD33" i="1"/>
  <c r="CD109" i="1"/>
  <c r="CD64" i="1"/>
  <c r="CD63" i="1"/>
  <c r="CD77" i="1"/>
  <c r="CD115" i="1"/>
  <c r="CD31" i="1"/>
  <c r="CD41" i="1"/>
  <c r="CD191" i="1"/>
  <c r="CD85" i="1"/>
  <c r="CD62" i="1"/>
  <c r="CD36" i="1"/>
  <c r="CD32" i="1"/>
  <c r="CD34" i="1"/>
  <c r="CD93" i="1"/>
  <c r="CD117" i="1"/>
  <c r="CD154" i="1"/>
  <c r="CD107" i="1"/>
  <c r="CD98" i="1"/>
  <c r="CD138" i="1"/>
  <c r="CD75" i="1"/>
  <c r="CD122" i="1"/>
  <c r="CD84" i="1"/>
  <c r="CD116" i="1"/>
  <c r="CD186" i="1"/>
  <c r="CD89" i="1"/>
  <c r="CD70" i="1"/>
  <c r="CD61" i="1"/>
  <c r="CD74" i="1"/>
  <c r="CD88" i="1"/>
  <c r="CD73" i="1"/>
  <c r="CD111" i="1"/>
  <c r="CD87" i="1"/>
  <c r="CD82" i="1"/>
  <c r="CD53" i="1"/>
  <c r="CD175" i="1"/>
  <c r="CD55" i="1"/>
  <c r="CD51" i="1"/>
  <c r="CD157" i="1"/>
  <c r="CD158" i="1"/>
  <c r="CD83" i="1"/>
  <c r="CD91" i="1"/>
  <c r="CD105" i="1"/>
  <c r="CD103" i="1"/>
  <c r="CD188" i="1"/>
  <c r="CD163" i="1"/>
  <c r="CD101" i="1"/>
  <c r="CD65" i="1"/>
  <c r="CD60" i="1"/>
  <c r="CD80" i="1"/>
  <c r="CD56" i="1"/>
  <c r="CD57" i="1"/>
  <c r="CD25" i="1"/>
  <c r="CD104" i="1"/>
  <c r="CD66" i="1"/>
  <c r="CD58" i="1"/>
  <c r="CD155" i="1"/>
  <c r="CD156" i="1"/>
  <c r="CD134" i="1"/>
  <c r="CD92" i="1"/>
  <c r="CD67" i="1"/>
  <c r="CD126" i="1"/>
  <c r="CD145" i="1"/>
  <c r="CD135" i="1"/>
  <c r="CD159" i="1"/>
  <c r="CD76" i="1"/>
  <c r="CD114" i="1"/>
  <c r="CD161" i="1"/>
  <c r="CD160" i="1"/>
  <c r="CD95" i="1"/>
  <c r="CD120" i="1"/>
  <c r="CD42" i="1"/>
  <c r="CD183" i="1"/>
  <c r="CD112" i="1"/>
  <c r="CD148" i="1"/>
  <c r="CD179" i="1"/>
  <c r="CD128" i="1"/>
  <c r="CD144" i="1"/>
  <c r="CD110" i="1"/>
  <c r="CD81" i="1"/>
  <c r="CD100" i="1"/>
  <c r="CD123" i="1"/>
  <c r="CD86" i="1"/>
  <c r="CD174" i="1"/>
  <c r="CD201" i="1"/>
  <c r="CD90" i="1"/>
  <c r="CD102" i="1"/>
  <c r="CD94" i="1"/>
  <c r="CD119" i="1"/>
  <c r="CD141" i="1"/>
  <c r="CD147" i="1"/>
  <c r="CD165" i="1"/>
  <c r="CD132" i="1"/>
  <c r="CD189" i="1"/>
  <c r="CD133" i="1"/>
  <c r="CD206" i="1"/>
  <c r="CD78" i="1"/>
  <c r="CD143" i="1"/>
  <c r="CD150" i="1"/>
  <c r="CD130" i="1"/>
  <c r="CD96" i="1"/>
  <c r="CD182" i="1"/>
  <c r="CD195" i="1"/>
  <c r="CD178" i="1"/>
  <c r="CD181" i="1"/>
  <c r="CD194" i="1"/>
  <c r="CD208" i="1"/>
  <c r="CD129" i="1"/>
  <c r="CD180" i="1"/>
  <c r="CD140" i="1"/>
  <c r="CD125" i="1"/>
  <c r="CD131" i="1"/>
  <c r="CD173" i="1"/>
  <c r="CD184" i="1"/>
  <c r="CD190" i="1"/>
  <c r="CD142" i="1"/>
  <c r="CD69" i="1"/>
  <c r="CD151" i="1"/>
  <c r="CD193" i="1"/>
  <c r="CD169" i="1"/>
  <c r="CD166" i="1"/>
  <c r="CD97" i="1"/>
  <c r="CD79" i="1"/>
  <c r="CD146" i="1"/>
  <c r="CD204" i="1"/>
  <c r="CD113" i="1"/>
  <c r="CD172" i="1"/>
  <c r="CD171" i="1"/>
  <c r="CD185" i="1"/>
  <c r="CD137" i="1"/>
  <c r="CD205" i="1"/>
  <c r="CD177" i="1"/>
  <c r="CD199" i="1"/>
  <c r="CD106" i="1"/>
  <c r="CD203" i="1"/>
  <c r="CD124" i="1"/>
  <c r="CD170" i="1"/>
  <c r="CD152" i="1"/>
  <c r="CD118" i="1"/>
  <c r="CD198" i="1"/>
  <c r="CD200" i="1"/>
  <c r="CD136" i="1"/>
  <c r="CD108" i="1"/>
  <c r="CD149" i="1"/>
  <c r="CD187" i="1"/>
  <c r="CD168" i="1"/>
  <c r="CD162" i="1"/>
  <c r="CD139" i="1"/>
  <c r="CD196" i="1"/>
  <c r="CD153" i="1"/>
  <c r="CD197" i="1"/>
  <c r="CD176" i="1"/>
  <c r="CD202" i="1"/>
  <c r="CD167" i="1"/>
  <c r="CD207" i="1"/>
  <c r="CD192" i="1"/>
  <c r="CC3" i="1"/>
  <c r="CC2" i="1"/>
  <c r="CC43" i="1"/>
  <c r="CC71" i="1"/>
  <c r="CC7" i="1"/>
  <c r="CC164" i="1"/>
  <c r="CC4" i="1"/>
  <c r="CC99" i="1"/>
  <c r="CC6" i="1"/>
  <c r="CC8" i="1"/>
  <c r="CC10" i="1"/>
  <c r="CC9" i="1"/>
  <c r="CC127" i="1"/>
  <c r="CC11" i="1"/>
  <c r="CC44" i="1"/>
  <c r="CC39" i="1"/>
  <c r="CC45" i="1"/>
  <c r="CC16" i="1"/>
  <c r="CC12" i="1"/>
  <c r="CC48" i="1"/>
  <c r="CC54" i="1"/>
  <c r="CC47" i="1"/>
  <c r="CC20" i="1"/>
  <c r="CC50" i="1"/>
  <c r="CC22" i="1"/>
  <c r="CC49" i="1"/>
  <c r="CC13" i="1"/>
  <c r="CC26" i="1"/>
  <c r="CC52" i="1"/>
  <c r="CC46" i="1"/>
  <c r="CC72" i="1"/>
  <c r="CC5" i="1"/>
  <c r="CC18" i="1"/>
  <c r="CC23" i="1"/>
  <c r="CC15" i="1"/>
  <c r="CC14" i="1"/>
  <c r="CC59" i="1"/>
  <c r="CC38" i="1"/>
  <c r="CC21" i="1"/>
  <c r="CC27" i="1"/>
  <c r="CC17" i="1"/>
  <c r="CC68" i="1"/>
  <c r="CC121" i="1"/>
  <c r="CC24" i="1"/>
  <c r="CC30" i="1"/>
  <c r="CC40" i="1"/>
  <c r="CC35" i="1"/>
  <c r="CC29" i="1"/>
  <c r="CC37" i="1"/>
  <c r="CC28" i="1"/>
  <c r="CC19" i="1"/>
  <c r="CC33" i="1"/>
  <c r="CC109" i="1"/>
  <c r="CC64" i="1"/>
  <c r="CC63" i="1"/>
  <c r="CC77" i="1"/>
  <c r="CC115" i="1"/>
  <c r="CC31" i="1"/>
  <c r="CC41" i="1"/>
  <c r="CC191" i="1"/>
  <c r="CC85" i="1"/>
  <c r="CC62" i="1"/>
  <c r="CC36" i="1"/>
  <c r="CC32" i="1"/>
  <c r="CC34" i="1"/>
  <c r="CC93" i="1"/>
  <c r="CC117" i="1"/>
  <c r="CC154" i="1"/>
  <c r="CC107" i="1"/>
  <c r="CC98" i="1"/>
  <c r="CC138" i="1"/>
  <c r="CC75" i="1"/>
  <c r="CC122" i="1"/>
  <c r="CC84" i="1"/>
  <c r="CC116" i="1"/>
  <c r="CC186" i="1"/>
  <c r="CC89" i="1"/>
  <c r="CC70" i="1"/>
  <c r="CC61" i="1"/>
  <c r="CC74" i="1"/>
  <c r="CC88" i="1"/>
  <c r="CC73" i="1"/>
  <c r="CC111" i="1"/>
  <c r="CC87" i="1"/>
  <c r="CC82" i="1"/>
  <c r="CC53" i="1"/>
  <c r="CC175" i="1"/>
  <c r="CC55" i="1"/>
  <c r="CC51" i="1"/>
  <c r="CC157" i="1"/>
  <c r="CC158" i="1"/>
  <c r="CC83" i="1"/>
  <c r="CC91" i="1"/>
  <c r="CC105" i="1"/>
  <c r="CC103" i="1"/>
  <c r="CC188" i="1"/>
  <c r="CC163" i="1"/>
  <c r="CC101" i="1"/>
  <c r="CC65" i="1"/>
  <c r="CC60" i="1"/>
  <c r="CC80" i="1"/>
  <c r="CC56" i="1"/>
  <c r="CC57" i="1"/>
  <c r="CC25" i="1"/>
  <c r="CC104" i="1"/>
  <c r="CC66" i="1"/>
  <c r="CC58" i="1"/>
  <c r="CC155" i="1"/>
  <c r="CC156" i="1"/>
  <c r="CC134" i="1"/>
  <c r="CC92" i="1"/>
  <c r="CC67" i="1"/>
  <c r="CC126" i="1"/>
  <c r="CC145" i="1"/>
  <c r="CC135" i="1"/>
  <c r="CC159" i="1"/>
  <c r="CC76" i="1"/>
  <c r="CC114" i="1"/>
  <c r="CC161" i="1"/>
  <c r="CC160" i="1"/>
  <c r="CC95" i="1"/>
  <c r="CC120" i="1"/>
  <c r="CC42" i="1"/>
  <c r="CC183" i="1"/>
  <c r="CC112" i="1"/>
  <c r="CC148" i="1"/>
  <c r="CC179" i="1"/>
  <c r="CC128" i="1"/>
  <c r="CC144" i="1"/>
  <c r="CC110" i="1"/>
  <c r="CC81" i="1"/>
  <c r="CC100" i="1"/>
  <c r="CC123" i="1"/>
  <c r="CC86" i="1"/>
  <c r="CC174" i="1"/>
  <c r="CC201" i="1"/>
  <c r="CC90" i="1"/>
  <c r="CC102" i="1"/>
  <c r="CC94" i="1"/>
  <c r="CC119" i="1"/>
  <c r="CC141" i="1"/>
  <c r="CC147" i="1"/>
  <c r="CC165" i="1"/>
  <c r="CC132" i="1"/>
  <c r="CC189" i="1"/>
  <c r="CC133" i="1"/>
  <c r="CC206" i="1"/>
  <c r="CC78" i="1"/>
  <c r="CC143" i="1"/>
  <c r="CC150" i="1"/>
  <c r="CC130" i="1"/>
  <c r="CC96" i="1"/>
  <c r="CC182" i="1"/>
  <c r="CC195" i="1"/>
  <c r="CC178" i="1"/>
  <c r="CC181" i="1"/>
  <c r="CC194" i="1"/>
  <c r="CC208" i="1"/>
  <c r="CC129" i="1"/>
  <c r="CC180" i="1"/>
  <c r="CC140" i="1"/>
  <c r="CC125" i="1"/>
  <c r="CC131" i="1"/>
  <c r="CC173" i="1"/>
  <c r="CC184" i="1"/>
  <c r="CC190" i="1"/>
  <c r="CC142" i="1"/>
  <c r="CC69" i="1"/>
  <c r="CC151" i="1"/>
  <c r="CC193" i="1"/>
  <c r="CC169" i="1"/>
  <c r="CC166" i="1"/>
  <c r="CC97" i="1"/>
  <c r="CC79" i="1"/>
  <c r="CC146" i="1"/>
  <c r="CC204" i="1"/>
  <c r="CC113" i="1"/>
  <c r="CC172" i="1"/>
  <c r="CC171" i="1"/>
  <c r="CC185" i="1"/>
  <c r="CC137" i="1"/>
  <c r="CC205" i="1"/>
  <c r="CC177" i="1"/>
  <c r="CC199" i="1"/>
  <c r="CC106" i="1"/>
  <c r="CC203" i="1"/>
  <c r="CC124" i="1"/>
  <c r="CC170" i="1"/>
  <c r="CC152" i="1"/>
  <c r="CC118" i="1"/>
  <c r="CC198" i="1"/>
  <c r="CC200" i="1"/>
  <c r="CC136" i="1"/>
  <c r="CC108" i="1"/>
  <c r="CC149" i="1"/>
  <c r="CC187" i="1"/>
  <c r="CC168" i="1"/>
  <c r="CC162" i="1"/>
  <c r="CC139" i="1"/>
  <c r="CC196" i="1"/>
  <c r="CC153" i="1"/>
  <c r="CC197" i="1"/>
  <c r="CC176" i="1"/>
  <c r="CC202" i="1"/>
  <c r="CC167" i="1"/>
  <c r="CC207" i="1"/>
  <c r="CC192" i="1"/>
  <c r="CB3" i="1"/>
  <c r="CB2" i="1"/>
  <c r="CB43" i="1"/>
  <c r="CB71" i="1"/>
  <c r="CB7" i="1"/>
  <c r="CB164" i="1"/>
  <c r="CB4" i="1"/>
  <c r="CB99" i="1"/>
  <c r="CB6" i="1"/>
  <c r="CB8" i="1"/>
  <c r="CB10" i="1"/>
  <c r="CB9" i="1"/>
  <c r="CB127" i="1"/>
  <c r="CB11" i="1"/>
  <c r="CB44" i="1"/>
  <c r="CB39" i="1"/>
  <c r="CB45" i="1"/>
  <c r="CB16" i="1"/>
  <c r="CB12" i="1"/>
  <c r="CB48" i="1"/>
  <c r="CB54" i="1"/>
  <c r="CB47" i="1"/>
  <c r="CB20" i="1"/>
  <c r="CB50" i="1"/>
  <c r="CB22" i="1"/>
  <c r="CB49" i="1"/>
  <c r="CB13" i="1"/>
  <c r="CB26" i="1"/>
  <c r="CB52" i="1"/>
  <c r="CB46" i="1"/>
  <c r="CB72" i="1"/>
  <c r="CB5" i="1"/>
  <c r="CB18" i="1"/>
  <c r="CB23" i="1"/>
  <c r="CB15" i="1"/>
  <c r="CB14" i="1"/>
  <c r="CB59" i="1"/>
  <c r="CB38" i="1"/>
  <c r="CB21" i="1"/>
  <c r="CB27" i="1"/>
  <c r="CB17" i="1"/>
  <c r="CB68" i="1"/>
  <c r="CB121" i="1"/>
  <c r="CB24" i="1"/>
  <c r="CB30" i="1"/>
  <c r="CB40" i="1"/>
  <c r="CB35" i="1"/>
  <c r="CB29" i="1"/>
  <c r="CB37" i="1"/>
  <c r="CB28" i="1"/>
  <c r="CB19" i="1"/>
  <c r="CB33" i="1"/>
  <c r="CB109" i="1"/>
  <c r="CB64" i="1"/>
  <c r="CB63" i="1"/>
  <c r="CB77" i="1"/>
  <c r="CB115" i="1"/>
  <c r="CB31" i="1"/>
  <c r="CB41" i="1"/>
  <c r="CB191" i="1"/>
  <c r="CB85" i="1"/>
  <c r="CB62" i="1"/>
  <c r="CB36" i="1"/>
  <c r="CB32" i="1"/>
  <c r="CB34" i="1"/>
  <c r="CB93" i="1"/>
  <c r="CB117" i="1"/>
  <c r="CB154" i="1"/>
  <c r="CB107" i="1"/>
  <c r="CB98" i="1"/>
  <c r="CB138" i="1"/>
  <c r="CB75" i="1"/>
  <c r="CB122" i="1"/>
  <c r="CB84" i="1"/>
  <c r="CB116" i="1"/>
  <c r="CB186" i="1"/>
  <c r="CB89" i="1"/>
  <c r="CB70" i="1"/>
  <c r="CB61" i="1"/>
  <c r="CB74" i="1"/>
  <c r="CB88" i="1"/>
  <c r="CB73" i="1"/>
  <c r="CB111" i="1"/>
  <c r="CB87" i="1"/>
  <c r="CB82" i="1"/>
  <c r="CB53" i="1"/>
  <c r="CB175" i="1"/>
  <c r="CB55" i="1"/>
  <c r="CB51" i="1"/>
  <c r="CB157" i="1"/>
  <c r="CB158" i="1"/>
  <c r="CB83" i="1"/>
  <c r="CB91" i="1"/>
  <c r="CB105" i="1"/>
  <c r="CB103" i="1"/>
  <c r="CB188" i="1"/>
  <c r="CB163" i="1"/>
  <c r="CB101" i="1"/>
  <c r="CB65" i="1"/>
  <c r="CB60" i="1"/>
  <c r="CB80" i="1"/>
  <c r="CB56" i="1"/>
  <c r="CB57" i="1"/>
  <c r="CB25" i="1"/>
  <c r="CB104" i="1"/>
  <c r="CB66" i="1"/>
  <c r="CB58" i="1"/>
  <c r="CB155" i="1"/>
  <c r="CB156" i="1"/>
  <c r="CB134" i="1"/>
  <c r="CB92" i="1"/>
  <c r="CB67" i="1"/>
  <c r="CB126" i="1"/>
  <c r="CB145" i="1"/>
  <c r="CB135" i="1"/>
  <c r="CB159" i="1"/>
  <c r="CB76" i="1"/>
  <c r="CB114" i="1"/>
  <c r="CB161" i="1"/>
  <c r="CB160" i="1"/>
  <c r="CB95" i="1"/>
  <c r="CB120" i="1"/>
  <c r="CB42" i="1"/>
  <c r="CB183" i="1"/>
  <c r="CB112" i="1"/>
  <c r="CB148" i="1"/>
  <c r="CB179" i="1"/>
  <c r="CB128" i="1"/>
  <c r="CB144" i="1"/>
  <c r="CB110" i="1"/>
  <c r="CB81" i="1"/>
  <c r="CB100" i="1"/>
  <c r="CB123" i="1"/>
  <c r="CB86" i="1"/>
  <c r="CB174" i="1"/>
  <c r="CB201" i="1"/>
  <c r="CB90" i="1"/>
  <c r="CB102" i="1"/>
  <c r="CB94" i="1"/>
  <c r="CB119" i="1"/>
  <c r="CB141" i="1"/>
  <c r="CB147" i="1"/>
  <c r="CB165" i="1"/>
  <c r="CB132" i="1"/>
  <c r="CB189" i="1"/>
  <c r="CB133" i="1"/>
  <c r="CB206" i="1"/>
  <c r="CB78" i="1"/>
  <c r="CB143" i="1"/>
  <c r="CB150" i="1"/>
  <c r="CB130" i="1"/>
  <c r="CB96" i="1"/>
  <c r="CB182" i="1"/>
  <c r="CB195" i="1"/>
  <c r="CB178" i="1"/>
  <c r="CB181" i="1"/>
  <c r="CB194" i="1"/>
  <c r="CB208" i="1"/>
  <c r="CB129" i="1"/>
  <c r="CB180" i="1"/>
  <c r="CB140" i="1"/>
  <c r="CB125" i="1"/>
  <c r="CB131" i="1"/>
  <c r="CB173" i="1"/>
  <c r="CB184" i="1"/>
  <c r="CB190" i="1"/>
  <c r="CB142" i="1"/>
  <c r="CB69" i="1"/>
  <c r="CB151" i="1"/>
  <c r="CB193" i="1"/>
  <c r="CB169" i="1"/>
  <c r="CB166" i="1"/>
  <c r="CB97" i="1"/>
  <c r="CB79" i="1"/>
  <c r="CB146" i="1"/>
  <c r="CB204" i="1"/>
  <c r="CB113" i="1"/>
  <c r="CB172" i="1"/>
  <c r="CB171" i="1"/>
  <c r="CB185" i="1"/>
  <c r="CB137" i="1"/>
  <c r="CB205" i="1"/>
  <c r="CB177" i="1"/>
  <c r="CB199" i="1"/>
  <c r="CB106" i="1"/>
  <c r="CB203" i="1"/>
  <c r="CB124" i="1"/>
  <c r="CB170" i="1"/>
  <c r="CB152" i="1"/>
  <c r="CB118" i="1"/>
  <c r="CB198" i="1"/>
  <c r="CB200" i="1"/>
  <c r="CB136" i="1"/>
  <c r="CB108" i="1"/>
  <c r="CB149" i="1"/>
  <c r="CB187" i="1"/>
  <c r="CB168" i="1"/>
  <c r="CB162" i="1"/>
  <c r="CB139" i="1"/>
  <c r="CB196" i="1"/>
  <c r="CB153" i="1"/>
  <c r="CB197" i="1"/>
  <c r="CB176" i="1"/>
  <c r="CB202" i="1"/>
  <c r="CB167" i="1"/>
  <c r="CB207" i="1"/>
  <c r="CB192" i="1"/>
  <c r="CA3" i="1"/>
  <c r="CA2" i="1"/>
  <c r="CA43" i="1"/>
  <c r="CA71" i="1"/>
  <c r="CA7" i="1"/>
  <c r="CA164" i="1"/>
  <c r="CA4" i="1"/>
  <c r="CA99" i="1"/>
  <c r="CA6" i="1"/>
  <c r="CA8" i="1"/>
  <c r="CA10" i="1"/>
  <c r="CA9" i="1"/>
  <c r="CA127" i="1"/>
  <c r="CA11" i="1"/>
  <c r="CA44" i="1"/>
  <c r="CA39" i="1"/>
  <c r="CA45" i="1"/>
  <c r="CA16" i="1"/>
  <c r="CA12" i="1"/>
  <c r="CA48" i="1"/>
  <c r="CA54" i="1"/>
  <c r="CA47" i="1"/>
  <c r="CA20" i="1"/>
  <c r="CA50" i="1"/>
  <c r="CA22" i="1"/>
  <c r="CA49" i="1"/>
  <c r="CA13" i="1"/>
  <c r="CA26" i="1"/>
  <c r="CA52" i="1"/>
  <c r="CA46" i="1"/>
  <c r="CA72" i="1"/>
  <c r="CA5" i="1"/>
  <c r="CA18" i="1"/>
  <c r="CA23" i="1"/>
  <c r="CA15" i="1"/>
  <c r="CA14" i="1"/>
  <c r="CA59" i="1"/>
  <c r="CA38" i="1"/>
  <c r="CA21" i="1"/>
  <c r="CA27" i="1"/>
  <c r="CA17" i="1"/>
  <c r="CA68" i="1"/>
  <c r="CA121" i="1"/>
  <c r="CA24" i="1"/>
  <c r="CA30" i="1"/>
  <c r="CA40" i="1"/>
  <c r="CA35" i="1"/>
  <c r="CA29" i="1"/>
  <c r="CA37" i="1"/>
  <c r="CA28" i="1"/>
  <c r="CA19" i="1"/>
  <c r="CA33" i="1"/>
  <c r="CA109" i="1"/>
  <c r="CA64" i="1"/>
  <c r="CA63" i="1"/>
  <c r="CA77" i="1"/>
  <c r="CA115" i="1"/>
  <c r="CA31" i="1"/>
  <c r="CA41" i="1"/>
  <c r="CA191" i="1"/>
  <c r="CA85" i="1"/>
  <c r="CA62" i="1"/>
  <c r="CA36" i="1"/>
  <c r="CA32" i="1"/>
  <c r="CA34" i="1"/>
  <c r="CA93" i="1"/>
  <c r="CA117" i="1"/>
  <c r="CA154" i="1"/>
  <c r="CA107" i="1"/>
  <c r="CA98" i="1"/>
  <c r="CA138" i="1"/>
  <c r="CA75" i="1"/>
  <c r="CA122" i="1"/>
  <c r="CA84" i="1"/>
  <c r="CA116" i="1"/>
  <c r="CA186" i="1"/>
  <c r="CA89" i="1"/>
  <c r="CA70" i="1"/>
  <c r="CA61" i="1"/>
  <c r="CA74" i="1"/>
  <c r="CA88" i="1"/>
  <c r="CA73" i="1"/>
  <c r="CA111" i="1"/>
  <c r="CA87" i="1"/>
  <c r="CA82" i="1"/>
  <c r="CA53" i="1"/>
  <c r="CA175" i="1"/>
  <c r="CA55" i="1"/>
  <c r="CA51" i="1"/>
  <c r="CA157" i="1"/>
  <c r="CA158" i="1"/>
  <c r="CA83" i="1"/>
  <c r="CA91" i="1"/>
  <c r="CA105" i="1"/>
  <c r="CA103" i="1"/>
  <c r="CA188" i="1"/>
  <c r="CA163" i="1"/>
  <c r="CA101" i="1"/>
  <c r="CA65" i="1"/>
  <c r="CA60" i="1"/>
  <c r="CA80" i="1"/>
  <c r="CA56" i="1"/>
  <c r="CA57" i="1"/>
  <c r="CA25" i="1"/>
  <c r="CA104" i="1"/>
  <c r="CA66" i="1"/>
  <c r="CA58" i="1"/>
  <c r="CA155" i="1"/>
  <c r="CA156" i="1"/>
  <c r="CA134" i="1"/>
  <c r="CA92" i="1"/>
  <c r="CA67" i="1"/>
  <c r="CA126" i="1"/>
  <c r="CA145" i="1"/>
  <c r="CA135" i="1"/>
  <c r="CA159" i="1"/>
  <c r="CA76" i="1"/>
  <c r="CA114" i="1"/>
  <c r="CA161" i="1"/>
  <c r="CA160" i="1"/>
  <c r="CA95" i="1"/>
  <c r="CA120" i="1"/>
  <c r="CA42" i="1"/>
  <c r="CA183" i="1"/>
  <c r="CA112" i="1"/>
  <c r="CA148" i="1"/>
  <c r="CA179" i="1"/>
  <c r="CA128" i="1"/>
  <c r="CA144" i="1"/>
  <c r="CA110" i="1"/>
  <c r="CA81" i="1"/>
  <c r="CA100" i="1"/>
  <c r="CA123" i="1"/>
  <c r="CA86" i="1"/>
  <c r="CA174" i="1"/>
  <c r="CA201" i="1"/>
  <c r="CA90" i="1"/>
  <c r="CA102" i="1"/>
  <c r="CA94" i="1"/>
  <c r="CA119" i="1"/>
  <c r="CA141" i="1"/>
  <c r="CA147" i="1"/>
  <c r="CA165" i="1"/>
  <c r="CA132" i="1"/>
  <c r="CA189" i="1"/>
  <c r="CA133" i="1"/>
  <c r="CA206" i="1"/>
  <c r="CA78" i="1"/>
  <c r="CA143" i="1"/>
  <c r="CA150" i="1"/>
  <c r="CA130" i="1"/>
  <c r="CA96" i="1"/>
  <c r="CA182" i="1"/>
  <c r="CA195" i="1"/>
  <c r="CA178" i="1"/>
  <c r="CA181" i="1"/>
  <c r="CA194" i="1"/>
  <c r="CA208" i="1"/>
  <c r="CA129" i="1"/>
  <c r="CA180" i="1"/>
  <c r="CA140" i="1"/>
  <c r="CA125" i="1"/>
  <c r="CA131" i="1"/>
  <c r="CA173" i="1"/>
  <c r="CA184" i="1"/>
  <c r="CA190" i="1"/>
  <c r="CA142" i="1"/>
  <c r="CA69" i="1"/>
  <c r="CA151" i="1"/>
  <c r="CA193" i="1"/>
  <c r="CA169" i="1"/>
  <c r="CA166" i="1"/>
  <c r="CA97" i="1"/>
  <c r="CA79" i="1"/>
  <c r="CA146" i="1"/>
  <c r="CA204" i="1"/>
  <c r="CA113" i="1"/>
  <c r="CA172" i="1"/>
  <c r="CA171" i="1"/>
  <c r="CA185" i="1"/>
  <c r="CA137" i="1"/>
  <c r="CA205" i="1"/>
  <c r="CA177" i="1"/>
  <c r="CA199" i="1"/>
  <c r="CA106" i="1"/>
  <c r="CA203" i="1"/>
  <c r="CA124" i="1"/>
  <c r="CA170" i="1"/>
  <c r="CA152" i="1"/>
  <c r="CA118" i="1"/>
  <c r="CA198" i="1"/>
  <c r="CA200" i="1"/>
  <c r="CA136" i="1"/>
  <c r="CA108" i="1"/>
  <c r="CA149" i="1"/>
  <c r="CA187" i="1"/>
  <c r="CA168" i="1"/>
  <c r="CA162" i="1"/>
  <c r="CA139" i="1"/>
  <c r="CA196" i="1"/>
  <c r="CA153" i="1"/>
  <c r="CA197" i="1"/>
  <c r="CA176" i="1"/>
  <c r="CA202" i="1"/>
  <c r="CA167" i="1"/>
  <c r="CA207" i="1"/>
  <c r="CA192" i="1"/>
  <c r="BZ3" i="1"/>
  <c r="BZ2" i="1"/>
  <c r="BZ43" i="1"/>
  <c r="BZ71" i="1"/>
  <c r="BZ7" i="1"/>
  <c r="BZ164" i="1"/>
  <c r="BZ4" i="1"/>
  <c r="BZ99" i="1"/>
  <c r="BZ6" i="1"/>
  <c r="BZ8" i="1"/>
  <c r="BZ10" i="1"/>
  <c r="BZ9" i="1"/>
  <c r="BZ127" i="1"/>
  <c r="BZ11" i="1"/>
  <c r="BZ44" i="1"/>
  <c r="BZ39" i="1"/>
  <c r="BZ45" i="1"/>
  <c r="BZ16" i="1"/>
  <c r="BZ12" i="1"/>
  <c r="BZ48" i="1"/>
  <c r="BZ54" i="1"/>
  <c r="BZ47" i="1"/>
  <c r="BZ20" i="1"/>
  <c r="BZ50" i="1"/>
  <c r="BZ22" i="1"/>
  <c r="BZ49" i="1"/>
  <c r="BZ13" i="1"/>
  <c r="BZ26" i="1"/>
  <c r="BZ52" i="1"/>
  <c r="BZ46" i="1"/>
  <c r="BZ72" i="1"/>
  <c r="BZ5" i="1"/>
  <c r="BZ18" i="1"/>
  <c r="BZ23" i="1"/>
  <c r="BZ15" i="1"/>
  <c r="BZ14" i="1"/>
  <c r="BZ59" i="1"/>
  <c r="BZ38" i="1"/>
  <c r="BZ21" i="1"/>
  <c r="BZ27" i="1"/>
  <c r="BZ17" i="1"/>
  <c r="BZ68" i="1"/>
  <c r="BZ121" i="1"/>
  <c r="BZ24" i="1"/>
  <c r="BZ30" i="1"/>
  <c r="BZ40" i="1"/>
  <c r="BZ35" i="1"/>
  <c r="BZ29" i="1"/>
  <c r="BZ37" i="1"/>
  <c r="BZ28" i="1"/>
  <c r="BZ19" i="1"/>
  <c r="BZ33" i="1"/>
  <c r="BZ109" i="1"/>
  <c r="BZ64" i="1"/>
  <c r="BZ63" i="1"/>
  <c r="BZ77" i="1"/>
  <c r="BZ115" i="1"/>
  <c r="BZ31" i="1"/>
  <c r="BZ41" i="1"/>
  <c r="BZ191" i="1"/>
  <c r="BZ85" i="1"/>
  <c r="BZ62" i="1"/>
  <c r="BZ36" i="1"/>
  <c r="BZ32" i="1"/>
  <c r="BZ34" i="1"/>
  <c r="BZ93" i="1"/>
  <c r="BZ117" i="1"/>
  <c r="BZ154" i="1"/>
  <c r="BZ107" i="1"/>
  <c r="BZ98" i="1"/>
  <c r="BZ138" i="1"/>
  <c r="BZ75" i="1"/>
  <c r="BZ122" i="1"/>
  <c r="BZ84" i="1"/>
  <c r="BZ116" i="1"/>
  <c r="BZ186" i="1"/>
  <c r="BZ89" i="1"/>
  <c r="BZ70" i="1"/>
  <c r="BZ61" i="1"/>
  <c r="BZ74" i="1"/>
  <c r="BZ88" i="1"/>
  <c r="BZ73" i="1"/>
  <c r="BZ111" i="1"/>
  <c r="BZ87" i="1"/>
  <c r="BZ82" i="1"/>
  <c r="BZ53" i="1"/>
  <c r="BZ175" i="1"/>
  <c r="BZ55" i="1"/>
  <c r="BZ51" i="1"/>
  <c r="BZ157" i="1"/>
  <c r="BZ158" i="1"/>
  <c r="BZ83" i="1"/>
  <c r="BZ91" i="1"/>
  <c r="BZ105" i="1"/>
  <c r="BZ103" i="1"/>
  <c r="BZ188" i="1"/>
  <c r="BZ163" i="1"/>
  <c r="BZ101" i="1"/>
  <c r="BZ65" i="1"/>
  <c r="BZ60" i="1"/>
  <c r="BZ80" i="1"/>
  <c r="BZ56" i="1"/>
  <c r="BZ57" i="1"/>
  <c r="BZ25" i="1"/>
  <c r="BZ104" i="1"/>
  <c r="BZ66" i="1"/>
  <c r="BZ58" i="1"/>
  <c r="BZ155" i="1"/>
  <c r="BZ156" i="1"/>
  <c r="BZ134" i="1"/>
  <c r="BZ92" i="1"/>
  <c r="BZ67" i="1"/>
  <c r="BZ126" i="1"/>
  <c r="BZ145" i="1"/>
  <c r="BZ135" i="1"/>
  <c r="BZ159" i="1"/>
  <c r="BZ76" i="1"/>
  <c r="BZ114" i="1"/>
  <c r="BZ161" i="1"/>
  <c r="BZ160" i="1"/>
  <c r="BZ95" i="1"/>
  <c r="BZ120" i="1"/>
  <c r="BZ42" i="1"/>
  <c r="BZ183" i="1"/>
  <c r="BZ112" i="1"/>
  <c r="BZ148" i="1"/>
  <c r="BZ179" i="1"/>
  <c r="BZ128" i="1"/>
  <c r="BZ144" i="1"/>
  <c r="BZ110" i="1"/>
  <c r="BZ81" i="1"/>
  <c r="BZ100" i="1"/>
  <c r="BZ123" i="1"/>
  <c r="BZ86" i="1"/>
  <c r="BZ174" i="1"/>
  <c r="BZ201" i="1"/>
  <c r="BZ90" i="1"/>
  <c r="BZ102" i="1"/>
  <c r="BZ94" i="1"/>
  <c r="BZ119" i="1"/>
  <c r="BZ141" i="1"/>
  <c r="BZ147" i="1"/>
  <c r="BZ165" i="1"/>
  <c r="BZ132" i="1"/>
  <c r="BZ189" i="1"/>
  <c r="BZ133" i="1"/>
  <c r="BZ206" i="1"/>
  <c r="BZ78" i="1"/>
  <c r="BZ143" i="1"/>
  <c r="BZ150" i="1"/>
  <c r="BZ130" i="1"/>
  <c r="BZ96" i="1"/>
  <c r="BZ182" i="1"/>
  <c r="BZ195" i="1"/>
  <c r="BZ178" i="1"/>
  <c r="BZ181" i="1"/>
  <c r="BZ194" i="1"/>
  <c r="BZ208" i="1"/>
  <c r="BZ129" i="1"/>
  <c r="BZ180" i="1"/>
  <c r="BZ140" i="1"/>
  <c r="BZ125" i="1"/>
  <c r="BZ131" i="1"/>
  <c r="BZ173" i="1"/>
  <c r="BZ184" i="1"/>
  <c r="BZ190" i="1"/>
  <c r="BZ142" i="1"/>
  <c r="BZ69" i="1"/>
  <c r="BZ151" i="1"/>
  <c r="BZ193" i="1"/>
  <c r="BZ169" i="1"/>
  <c r="BZ166" i="1"/>
  <c r="BZ97" i="1"/>
  <c r="BZ79" i="1"/>
  <c r="BZ146" i="1"/>
  <c r="BZ204" i="1"/>
  <c r="BZ113" i="1"/>
  <c r="BZ172" i="1"/>
  <c r="BZ171" i="1"/>
  <c r="BZ185" i="1"/>
  <c r="BZ137" i="1"/>
  <c r="BZ205" i="1"/>
  <c r="BZ177" i="1"/>
  <c r="BZ199" i="1"/>
  <c r="BZ106" i="1"/>
  <c r="BZ203" i="1"/>
  <c r="BZ124" i="1"/>
  <c r="BZ170" i="1"/>
  <c r="BZ152" i="1"/>
  <c r="BZ118" i="1"/>
  <c r="BZ198" i="1"/>
  <c r="BZ200" i="1"/>
  <c r="BZ136" i="1"/>
  <c r="BZ108" i="1"/>
  <c r="BZ149" i="1"/>
  <c r="BZ187" i="1"/>
  <c r="BZ168" i="1"/>
  <c r="BZ162" i="1"/>
  <c r="BZ139" i="1"/>
  <c r="BZ196" i="1"/>
  <c r="BZ153" i="1"/>
  <c r="BZ197" i="1"/>
  <c r="BZ176" i="1"/>
  <c r="BZ202" i="1"/>
  <c r="BZ167" i="1"/>
  <c r="BZ207" i="1"/>
  <c r="BZ192" i="1"/>
  <c r="BY3" i="1"/>
  <c r="BY2" i="1"/>
  <c r="BY43" i="1"/>
  <c r="BY71" i="1"/>
  <c r="BY7" i="1"/>
  <c r="BY164" i="1"/>
  <c r="BY4" i="1"/>
  <c r="BY99" i="1"/>
  <c r="BY6" i="1"/>
  <c r="BY8" i="1"/>
  <c r="BY10" i="1"/>
  <c r="BY9" i="1"/>
  <c r="BY127" i="1"/>
  <c r="BY11" i="1"/>
  <c r="BY44" i="1"/>
  <c r="BY39" i="1"/>
  <c r="BY45" i="1"/>
  <c r="BY16" i="1"/>
  <c r="BY12" i="1"/>
  <c r="BY48" i="1"/>
  <c r="BY54" i="1"/>
  <c r="BY47" i="1"/>
  <c r="BY20" i="1"/>
  <c r="BY50" i="1"/>
  <c r="BY22" i="1"/>
  <c r="BY49" i="1"/>
  <c r="BY13" i="1"/>
  <c r="BY26" i="1"/>
  <c r="BY52" i="1"/>
  <c r="BY46" i="1"/>
  <c r="BY72" i="1"/>
  <c r="BY5" i="1"/>
  <c r="BY18" i="1"/>
  <c r="BY23" i="1"/>
  <c r="BY15" i="1"/>
  <c r="BY14" i="1"/>
  <c r="BY59" i="1"/>
  <c r="BY38" i="1"/>
  <c r="BY21" i="1"/>
  <c r="BY27" i="1"/>
  <c r="BY17" i="1"/>
  <c r="BY68" i="1"/>
  <c r="BY121" i="1"/>
  <c r="BY24" i="1"/>
  <c r="BY30" i="1"/>
  <c r="BY40" i="1"/>
  <c r="BY35" i="1"/>
  <c r="BY29" i="1"/>
  <c r="BY37" i="1"/>
  <c r="BY28" i="1"/>
  <c r="BY19" i="1"/>
  <c r="BY33" i="1"/>
  <c r="BY109" i="1"/>
  <c r="BY64" i="1"/>
  <c r="BY63" i="1"/>
  <c r="BY77" i="1"/>
  <c r="BY115" i="1"/>
  <c r="BY31" i="1"/>
  <c r="BY41" i="1"/>
  <c r="BY191" i="1"/>
  <c r="BY85" i="1"/>
  <c r="BY62" i="1"/>
  <c r="BY36" i="1"/>
  <c r="BY32" i="1"/>
  <c r="BY34" i="1"/>
  <c r="BY93" i="1"/>
  <c r="BY117" i="1"/>
  <c r="BY154" i="1"/>
  <c r="BY107" i="1"/>
  <c r="BY98" i="1"/>
  <c r="BY138" i="1"/>
  <c r="BY75" i="1"/>
  <c r="BY122" i="1"/>
  <c r="BY84" i="1"/>
  <c r="BY116" i="1"/>
  <c r="BY186" i="1"/>
  <c r="BY89" i="1"/>
  <c r="BY70" i="1"/>
  <c r="BY61" i="1"/>
  <c r="BY74" i="1"/>
  <c r="BY88" i="1"/>
  <c r="BY73" i="1"/>
  <c r="BY111" i="1"/>
  <c r="BY87" i="1"/>
  <c r="BY82" i="1"/>
  <c r="BY53" i="1"/>
  <c r="BY175" i="1"/>
  <c r="BY55" i="1"/>
  <c r="BY51" i="1"/>
  <c r="BY157" i="1"/>
  <c r="BY158" i="1"/>
  <c r="BY83" i="1"/>
  <c r="BY91" i="1"/>
  <c r="BY105" i="1"/>
  <c r="BY103" i="1"/>
  <c r="BY188" i="1"/>
  <c r="BY163" i="1"/>
  <c r="BY101" i="1"/>
  <c r="BY65" i="1"/>
  <c r="BY60" i="1"/>
  <c r="BY80" i="1"/>
  <c r="BY56" i="1"/>
  <c r="BY57" i="1"/>
  <c r="BY25" i="1"/>
  <c r="BY104" i="1"/>
  <c r="BY66" i="1"/>
  <c r="BY58" i="1"/>
  <c r="BY155" i="1"/>
  <c r="BY156" i="1"/>
  <c r="BY134" i="1"/>
  <c r="BY92" i="1"/>
  <c r="BY67" i="1"/>
  <c r="BY126" i="1"/>
  <c r="BY145" i="1"/>
  <c r="BY135" i="1"/>
  <c r="BY159" i="1"/>
  <c r="BY76" i="1"/>
  <c r="BY114" i="1"/>
  <c r="BY161" i="1"/>
  <c r="BY160" i="1"/>
  <c r="BY95" i="1"/>
  <c r="BY120" i="1"/>
  <c r="BY42" i="1"/>
  <c r="BY183" i="1"/>
  <c r="BY112" i="1"/>
  <c r="BY148" i="1"/>
  <c r="BY179" i="1"/>
  <c r="BY128" i="1"/>
  <c r="BY144" i="1"/>
  <c r="BY110" i="1"/>
  <c r="BY81" i="1"/>
  <c r="BY100" i="1"/>
  <c r="BY123" i="1"/>
  <c r="BY86" i="1"/>
  <c r="BY174" i="1"/>
  <c r="BY201" i="1"/>
  <c r="BY90" i="1"/>
  <c r="BY102" i="1"/>
  <c r="BY94" i="1"/>
  <c r="BY119" i="1"/>
  <c r="BY141" i="1"/>
  <c r="BY147" i="1"/>
  <c r="BY165" i="1"/>
  <c r="BY132" i="1"/>
  <c r="BY189" i="1"/>
  <c r="BY133" i="1"/>
  <c r="BY206" i="1"/>
  <c r="BY78" i="1"/>
  <c r="BY143" i="1"/>
  <c r="BY150" i="1"/>
  <c r="BY130" i="1"/>
  <c r="BY96" i="1"/>
  <c r="BY182" i="1"/>
  <c r="BY195" i="1"/>
  <c r="BY178" i="1"/>
  <c r="BY181" i="1"/>
  <c r="BY194" i="1"/>
  <c r="BY208" i="1"/>
  <c r="BY129" i="1"/>
  <c r="BY180" i="1"/>
  <c r="BY140" i="1"/>
  <c r="BY125" i="1"/>
  <c r="BY131" i="1"/>
  <c r="BY173" i="1"/>
  <c r="BY184" i="1"/>
  <c r="BY190" i="1"/>
  <c r="BY142" i="1"/>
  <c r="BY69" i="1"/>
  <c r="BY151" i="1"/>
  <c r="BY193" i="1"/>
  <c r="BY169" i="1"/>
  <c r="BY166" i="1"/>
  <c r="BY97" i="1"/>
  <c r="BY79" i="1"/>
  <c r="BY146" i="1"/>
  <c r="BY204" i="1"/>
  <c r="BY113" i="1"/>
  <c r="BY172" i="1"/>
  <c r="BY171" i="1"/>
  <c r="BY185" i="1"/>
  <c r="BY137" i="1"/>
  <c r="BY205" i="1"/>
  <c r="BY177" i="1"/>
  <c r="BY199" i="1"/>
  <c r="BY106" i="1"/>
  <c r="BY203" i="1"/>
  <c r="BY124" i="1"/>
  <c r="BY170" i="1"/>
  <c r="BY152" i="1"/>
  <c r="BY118" i="1"/>
  <c r="BY198" i="1"/>
  <c r="BY200" i="1"/>
  <c r="BY136" i="1"/>
  <c r="BY108" i="1"/>
  <c r="BY149" i="1"/>
  <c r="BY187" i="1"/>
  <c r="BY168" i="1"/>
  <c r="BY162" i="1"/>
  <c r="BY139" i="1"/>
  <c r="BY196" i="1"/>
  <c r="BY153" i="1"/>
  <c r="BY197" i="1"/>
  <c r="BY176" i="1"/>
  <c r="BY202" i="1"/>
  <c r="BY167" i="1"/>
  <c r="BY207" i="1"/>
  <c r="BY192" i="1"/>
  <c r="BX3" i="1"/>
  <c r="BX2" i="1"/>
  <c r="BX43" i="1"/>
  <c r="BX71" i="1"/>
  <c r="BX7" i="1"/>
  <c r="BX164" i="1"/>
  <c r="BX4" i="1"/>
  <c r="BX99" i="1"/>
  <c r="BX6" i="1"/>
  <c r="BX8" i="1"/>
  <c r="BX10" i="1"/>
  <c r="BX9" i="1"/>
  <c r="BX127" i="1"/>
  <c r="BX11" i="1"/>
  <c r="BX44" i="1"/>
  <c r="BX39" i="1"/>
  <c r="BX45" i="1"/>
  <c r="BX16" i="1"/>
  <c r="BX12" i="1"/>
  <c r="BX48" i="1"/>
  <c r="BX54" i="1"/>
  <c r="BX47" i="1"/>
  <c r="BX20" i="1"/>
  <c r="BX50" i="1"/>
  <c r="BX22" i="1"/>
  <c r="BX49" i="1"/>
  <c r="BX13" i="1"/>
  <c r="BX26" i="1"/>
  <c r="BX52" i="1"/>
  <c r="BX46" i="1"/>
  <c r="BX72" i="1"/>
  <c r="BX5" i="1"/>
  <c r="BX18" i="1"/>
  <c r="BX23" i="1"/>
  <c r="BX15" i="1"/>
  <c r="BX14" i="1"/>
  <c r="BX59" i="1"/>
  <c r="BX38" i="1"/>
  <c r="BX21" i="1"/>
  <c r="BX27" i="1"/>
  <c r="BX17" i="1"/>
  <c r="BX68" i="1"/>
  <c r="BX121" i="1"/>
  <c r="BX24" i="1"/>
  <c r="BX30" i="1"/>
  <c r="BX40" i="1"/>
  <c r="BX35" i="1"/>
  <c r="BX29" i="1"/>
  <c r="BX37" i="1"/>
  <c r="BX28" i="1"/>
  <c r="BX19" i="1"/>
  <c r="BX33" i="1"/>
  <c r="BX109" i="1"/>
  <c r="BX64" i="1"/>
  <c r="BX63" i="1"/>
  <c r="BX77" i="1"/>
  <c r="BX115" i="1"/>
  <c r="BX31" i="1"/>
  <c r="BX41" i="1"/>
  <c r="BX191" i="1"/>
  <c r="BX85" i="1"/>
  <c r="BX62" i="1"/>
  <c r="BX36" i="1"/>
  <c r="BX32" i="1"/>
  <c r="BX34" i="1"/>
  <c r="BX93" i="1"/>
  <c r="BX117" i="1"/>
  <c r="BX154" i="1"/>
  <c r="BX107" i="1"/>
  <c r="BX98" i="1"/>
  <c r="BX138" i="1"/>
  <c r="BX75" i="1"/>
  <c r="BX122" i="1"/>
  <c r="BX84" i="1"/>
  <c r="BX116" i="1"/>
  <c r="BX186" i="1"/>
  <c r="BX89" i="1"/>
  <c r="BX70" i="1"/>
  <c r="BX61" i="1"/>
  <c r="BX74" i="1"/>
  <c r="BX88" i="1"/>
  <c r="BX73" i="1"/>
  <c r="BX111" i="1"/>
  <c r="BX87" i="1"/>
  <c r="BX82" i="1"/>
  <c r="BX53" i="1"/>
  <c r="BX175" i="1"/>
  <c r="BX55" i="1"/>
  <c r="BX51" i="1"/>
  <c r="BX157" i="1"/>
  <c r="BX158" i="1"/>
  <c r="BX83" i="1"/>
  <c r="BX91" i="1"/>
  <c r="BX105" i="1"/>
  <c r="BX103" i="1"/>
  <c r="BX188" i="1"/>
  <c r="BX163" i="1"/>
  <c r="BX101" i="1"/>
  <c r="BX65" i="1"/>
  <c r="BX60" i="1"/>
  <c r="BX80" i="1"/>
  <c r="BX56" i="1"/>
  <c r="BX57" i="1"/>
  <c r="BX25" i="1"/>
  <c r="BX104" i="1"/>
  <c r="BX66" i="1"/>
  <c r="BX58" i="1"/>
  <c r="BX155" i="1"/>
  <c r="BX156" i="1"/>
  <c r="BX134" i="1"/>
  <c r="BX92" i="1"/>
  <c r="BX67" i="1"/>
  <c r="BX126" i="1"/>
  <c r="BX145" i="1"/>
  <c r="BX135" i="1"/>
  <c r="BX159" i="1"/>
  <c r="BX76" i="1"/>
  <c r="BX114" i="1"/>
  <c r="BX161" i="1"/>
  <c r="BX160" i="1"/>
  <c r="BX95" i="1"/>
  <c r="BX120" i="1"/>
  <c r="BX42" i="1"/>
  <c r="BX183" i="1"/>
  <c r="BX112" i="1"/>
  <c r="BX148" i="1"/>
  <c r="BX179" i="1"/>
  <c r="BX128" i="1"/>
  <c r="BX144" i="1"/>
  <c r="BX110" i="1"/>
  <c r="BX81" i="1"/>
  <c r="BX100" i="1"/>
  <c r="BX123" i="1"/>
  <c r="BX86" i="1"/>
  <c r="BX174" i="1"/>
  <c r="BX201" i="1"/>
  <c r="BX90" i="1"/>
  <c r="BX102" i="1"/>
  <c r="BX94" i="1"/>
  <c r="BX119" i="1"/>
  <c r="BX141" i="1"/>
  <c r="BX147" i="1"/>
  <c r="BX165" i="1"/>
  <c r="BX132" i="1"/>
  <c r="BX189" i="1"/>
  <c r="BX133" i="1"/>
  <c r="BX206" i="1"/>
  <c r="BX78" i="1"/>
  <c r="BX143" i="1"/>
  <c r="BX150" i="1"/>
  <c r="BX130" i="1"/>
  <c r="BX96" i="1"/>
  <c r="BX182" i="1"/>
  <c r="BX195" i="1"/>
  <c r="BX178" i="1"/>
  <c r="BX181" i="1"/>
  <c r="BX194" i="1"/>
  <c r="BX208" i="1"/>
  <c r="BX129" i="1"/>
  <c r="BX180" i="1"/>
  <c r="BX140" i="1"/>
  <c r="BX125" i="1"/>
  <c r="BX131" i="1"/>
  <c r="BX173" i="1"/>
  <c r="BX184" i="1"/>
  <c r="BX190" i="1"/>
  <c r="BX142" i="1"/>
  <c r="BX69" i="1"/>
  <c r="BX151" i="1"/>
  <c r="BX193" i="1"/>
  <c r="BX169" i="1"/>
  <c r="BX166" i="1"/>
  <c r="BX97" i="1"/>
  <c r="BX79" i="1"/>
  <c r="BX146" i="1"/>
  <c r="BX204" i="1"/>
  <c r="BX113" i="1"/>
  <c r="BX172" i="1"/>
  <c r="BX171" i="1"/>
  <c r="BX185" i="1"/>
  <c r="BX137" i="1"/>
  <c r="BX205" i="1"/>
  <c r="BX177" i="1"/>
  <c r="BX199" i="1"/>
  <c r="BX106" i="1"/>
  <c r="BX203" i="1"/>
  <c r="BX124" i="1"/>
  <c r="BX170" i="1"/>
  <c r="BX152" i="1"/>
  <c r="BX118" i="1"/>
  <c r="BX198" i="1"/>
  <c r="BX200" i="1"/>
  <c r="BX136" i="1"/>
  <c r="BX108" i="1"/>
  <c r="BX149" i="1"/>
  <c r="BX187" i="1"/>
  <c r="BX168" i="1"/>
  <c r="BX162" i="1"/>
  <c r="BX139" i="1"/>
  <c r="BX196" i="1"/>
  <c r="BX153" i="1"/>
  <c r="BX197" i="1"/>
  <c r="BX176" i="1"/>
  <c r="BX202" i="1"/>
  <c r="BX167" i="1"/>
  <c r="BX207" i="1"/>
  <c r="BX192" i="1"/>
  <c r="BW3" i="1"/>
  <c r="BW2" i="1"/>
  <c r="BW43" i="1"/>
  <c r="BW71" i="1"/>
  <c r="BW7" i="1"/>
  <c r="BW164" i="1"/>
  <c r="BW4" i="1"/>
  <c r="BW99" i="1"/>
  <c r="BW6" i="1"/>
  <c r="BW8" i="1"/>
  <c r="BW10" i="1"/>
  <c r="BW9" i="1"/>
  <c r="BW127" i="1"/>
  <c r="BW11" i="1"/>
  <c r="BW44" i="1"/>
  <c r="BW39" i="1"/>
  <c r="BW45" i="1"/>
  <c r="BW16" i="1"/>
  <c r="BW12" i="1"/>
  <c r="BW48" i="1"/>
  <c r="BW54" i="1"/>
  <c r="BW47" i="1"/>
  <c r="BW20" i="1"/>
  <c r="BW50" i="1"/>
  <c r="BW22" i="1"/>
  <c r="BW49" i="1"/>
  <c r="BW13" i="1"/>
  <c r="BW26" i="1"/>
  <c r="BW52" i="1"/>
  <c r="BW46" i="1"/>
  <c r="BW72" i="1"/>
  <c r="BW5" i="1"/>
  <c r="BW18" i="1"/>
  <c r="BW23" i="1"/>
  <c r="BW15" i="1"/>
  <c r="BW14" i="1"/>
  <c r="BW59" i="1"/>
  <c r="BW38" i="1"/>
  <c r="BW21" i="1"/>
  <c r="BW27" i="1"/>
  <c r="BW17" i="1"/>
  <c r="BW68" i="1"/>
  <c r="BW121" i="1"/>
  <c r="BW24" i="1"/>
  <c r="BW30" i="1"/>
  <c r="BW40" i="1"/>
  <c r="BW35" i="1"/>
  <c r="BW29" i="1"/>
  <c r="BW37" i="1"/>
  <c r="BW28" i="1"/>
  <c r="BW19" i="1"/>
  <c r="BW33" i="1"/>
  <c r="BW109" i="1"/>
  <c r="BW64" i="1"/>
  <c r="BW63" i="1"/>
  <c r="BW77" i="1"/>
  <c r="BW115" i="1"/>
  <c r="BW31" i="1"/>
  <c r="BW41" i="1"/>
  <c r="BW191" i="1"/>
  <c r="BW85" i="1"/>
  <c r="BW62" i="1"/>
  <c r="BW36" i="1"/>
  <c r="BW32" i="1"/>
  <c r="BW34" i="1"/>
  <c r="BW93" i="1"/>
  <c r="BW117" i="1"/>
  <c r="BW154" i="1"/>
  <c r="BW107" i="1"/>
  <c r="BW98" i="1"/>
  <c r="BW138" i="1"/>
  <c r="BW75" i="1"/>
  <c r="BW122" i="1"/>
  <c r="BW84" i="1"/>
  <c r="BW116" i="1"/>
  <c r="BW186" i="1"/>
  <c r="BW89" i="1"/>
  <c r="BW70" i="1"/>
  <c r="BW61" i="1"/>
  <c r="BW74" i="1"/>
  <c r="BW88" i="1"/>
  <c r="BW73" i="1"/>
  <c r="BW111" i="1"/>
  <c r="BW87" i="1"/>
  <c r="BW82" i="1"/>
  <c r="BW53" i="1"/>
  <c r="BW175" i="1"/>
  <c r="BW55" i="1"/>
  <c r="BW51" i="1"/>
  <c r="BW157" i="1"/>
  <c r="BW158" i="1"/>
  <c r="BW83" i="1"/>
  <c r="BW91" i="1"/>
  <c r="BW105" i="1"/>
  <c r="BW103" i="1"/>
  <c r="BW188" i="1"/>
  <c r="BW163" i="1"/>
  <c r="BW101" i="1"/>
  <c r="BW65" i="1"/>
  <c r="BW60" i="1"/>
  <c r="BW80" i="1"/>
  <c r="BW56" i="1"/>
  <c r="BW57" i="1"/>
  <c r="BW25" i="1"/>
  <c r="BW104" i="1"/>
  <c r="BW66" i="1"/>
  <c r="BW58" i="1"/>
  <c r="BW155" i="1"/>
  <c r="BW156" i="1"/>
  <c r="BW134" i="1"/>
  <c r="BW92" i="1"/>
  <c r="BW67" i="1"/>
  <c r="BW126" i="1"/>
  <c r="BW145" i="1"/>
  <c r="BW135" i="1"/>
  <c r="BW159" i="1"/>
  <c r="BW76" i="1"/>
  <c r="BW114" i="1"/>
  <c r="BW161" i="1"/>
  <c r="BW160" i="1"/>
  <c r="BW95" i="1"/>
  <c r="BW120" i="1"/>
  <c r="BW42" i="1"/>
  <c r="BW183" i="1"/>
  <c r="BW112" i="1"/>
  <c r="BW148" i="1"/>
  <c r="BW179" i="1"/>
  <c r="BW128" i="1"/>
  <c r="BW144" i="1"/>
  <c r="BW110" i="1"/>
  <c r="BW81" i="1"/>
  <c r="BW100" i="1"/>
  <c r="BW123" i="1"/>
  <c r="BW86" i="1"/>
  <c r="BW174" i="1"/>
  <c r="BW201" i="1"/>
  <c r="BW90" i="1"/>
  <c r="BW102" i="1"/>
  <c r="BW94" i="1"/>
  <c r="BW119" i="1"/>
  <c r="BW141" i="1"/>
  <c r="BW147" i="1"/>
  <c r="BW165" i="1"/>
  <c r="BW132" i="1"/>
  <c r="BW189" i="1"/>
  <c r="BW133" i="1"/>
  <c r="BW206" i="1"/>
  <c r="BW78" i="1"/>
  <c r="BW143" i="1"/>
  <c r="BW150" i="1"/>
  <c r="BW130" i="1"/>
  <c r="BW96" i="1"/>
  <c r="BW182" i="1"/>
  <c r="BW195" i="1"/>
  <c r="BW178" i="1"/>
  <c r="BW181" i="1"/>
  <c r="BW194" i="1"/>
  <c r="BW208" i="1"/>
  <c r="BW129" i="1"/>
  <c r="BW180" i="1"/>
  <c r="BW140" i="1"/>
  <c r="BW125" i="1"/>
  <c r="BW131" i="1"/>
  <c r="BW173" i="1"/>
  <c r="BW184" i="1"/>
  <c r="BW190" i="1"/>
  <c r="BW142" i="1"/>
  <c r="BW69" i="1"/>
  <c r="BW151" i="1"/>
  <c r="BW193" i="1"/>
  <c r="BW169" i="1"/>
  <c r="BW166" i="1"/>
  <c r="BW97" i="1"/>
  <c r="BW79" i="1"/>
  <c r="BW146" i="1"/>
  <c r="BW204" i="1"/>
  <c r="BW113" i="1"/>
  <c r="BW172" i="1"/>
  <c r="BW171" i="1"/>
  <c r="BW185" i="1"/>
  <c r="BW137" i="1"/>
  <c r="BW205" i="1"/>
  <c r="BW177" i="1"/>
  <c r="BW199" i="1"/>
  <c r="BW106" i="1"/>
  <c r="BW203" i="1"/>
  <c r="BW124" i="1"/>
  <c r="BW170" i="1"/>
  <c r="BW152" i="1"/>
  <c r="BW118" i="1"/>
  <c r="BW198" i="1"/>
  <c r="BW200" i="1"/>
  <c r="BW136" i="1"/>
  <c r="BW108" i="1"/>
  <c r="BW149" i="1"/>
  <c r="BW187" i="1"/>
  <c r="BW168" i="1"/>
  <c r="BW162" i="1"/>
  <c r="BW139" i="1"/>
  <c r="BW196" i="1"/>
  <c r="BW153" i="1"/>
  <c r="BW197" i="1"/>
  <c r="BW176" i="1"/>
  <c r="BW202" i="1"/>
  <c r="BW167" i="1"/>
  <c r="BW207" i="1"/>
  <c r="BW192" i="1"/>
  <c r="BV3" i="1"/>
  <c r="BV2" i="1"/>
  <c r="BV43" i="1"/>
  <c r="BV71" i="1"/>
  <c r="BV7" i="1"/>
  <c r="BV164" i="1"/>
  <c r="BV4" i="1"/>
  <c r="BV99" i="1"/>
  <c r="BV6" i="1"/>
  <c r="BV8" i="1"/>
  <c r="BV10" i="1"/>
  <c r="BV9" i="1"/>
  <c r="BV127" i="1"/>
  <c r="BV11" i="1"/>
  <c r="BV44" i="1"/>
  <c r="BV39" i="1"/>
  <c r="BV45" i="1"/>
  <c r="BV16" i="1"/>
  <c r="BV12" i="1"/>
  <c r="BV48" i="1"/>
  <c r="BV54" i="1"/>
  <c r="BV47" i="1"/>
  <c r="BV20" i="1"/>
  <c r="BV50" i="1"/>
  <c r="BV22" i="1"/>
  <c r="BV49" i="1"/>
  <c r="BV13" i="1"/>
  <c r="BV26" i="1"/>
  <c r="BV52" i="1"/>
  <c r="BV46" i="1"/>
  <c r="BV72" i="1"/>
  <c r="BV5" i="1"/>
  <c r="BV18" i="1"/>
  <c r="BV23" i="1"/>
  <c r="BV15" i="1"/>
  <c r="BV14" i="1"/>
  <c r="BV59" i="1"/>
  <c r="BV38" i="1"/>
  <c r="BV21" i="1"/>
  <c r="BV27" i="1"/>
  <c r="BV17" i="1"/>
  <c r="BV68" i="1"/>
  <c r="BV121" i="1"/>
  <c r="BV24" i="1"/>
  <c r="BV30" i="1"/>
  <c r="BV40" i="1"/>
  <c r="BV35" i="1"/>
  <c r="BV29" i="1"/>
  <c r="BV37" i="1"/>
  <c r="BV28" i="1"/>
  <c r="BV19" i="1"/>
  <c r="BV33" i="1"/>
  <c r="BV109" i="1"/>
  <c r="BV64" i="1"/>
  <c r="BV63" i="1"/>
  <c r="BV77" i="1"/>
  <c r="BV115" i="1"/>
  <c r="BV31" i="1"/>
  <c r="BV41" i="1"/>
  <c r="BV191" i="1"/>
  <c r="BV85" i="1"/>
  <c r="BV62" i="1"/>
  <c r="BV36" i="1"/>
  <c r="BV32" i="1"/>
  <c r="BV34" i="1"/>
  <c r="BV93" i="1"/>
  <c r="BV117" i="1"/>
  <c r="BV154" i="1"/>
  <c r="BV107" i="1"/>
  <c r="BV98" i="1"/>
  <c r="BV138" i="1"/>
  <c r="BV75" i="1"/>
  <c r="BV122" i="1"/>
  <c r="BV84" i="1"/>
  <c r="BV116" i="1"/>
  <c r="BV186" i="1"/>
  <c r="BV89" i="1"/>
  <c r="BV70" i="1"/>
  <c r="BV61" i="1"/>
  <c r="BV74" i="1"/>
  <c r="BV88" i="1"/>
  <c r="BV73" i="1"/>
  <c r="BV111" i="1"/>
  <c r="BV87" i="1"/>
  <c r="BV82" i="1"/>
  <c r="BV53" i="1"/>
  <c r="BV175" i="1"/>
  <c r="BV55" i="1"/>
  <c r="BV51" i="1"/>
  <c r="BV157" i="1"/>
  <c r="BV158" i="1"/>
  <c r="BV83" i="1"/>
  <c r="BV91" i="1"/>
  <c r="BV105" i="1"/>
  <c r="BV103" i="1"/>
  <c r="BV188" i="1"/>
  <c r="BV163" i="1"/>
  <c r="BV101" i="1"/>
  <c r="BV65" i="1"/>
  <c r="BV60" i="1"/>
  <c r="BV80" i="1"/>
  <c r="BV56" i="1"/>
  <c r="BV57" i="1"/>
  <c r="BV25" i="1"/>
  <c r="BV104" i="1"/>
  <c r="BV66" i="1"/>
  <c r="BV58" i="1"/>
  <c r="BV155" i="1"/>
  <c r="BV156" i="1"/>
  <c r="BV134" i="1"/>
  <c r="BV92" i="1"/>
  <c r="BV67" i="1"/>
  <c r="BV126" i="1"/>
  <c r="BV145" i="1"/>
  <c r="BV135" i="1"/>
  <c r="BV159" i="1"/>
  <c r="BV76" i="1"/>
  <c r="BV114" i="1"/>
  <c r="BV161" i="1"/>
  <c r="BV160" i="1"/>
  <c r="BV95" i="1"/>
  <c r="BV120" i="1"/>
  <c r="BV42" i="1"/>
  <c r="BV183" i="1"/>
  <c r="BV112" i="1"/>
  <c r="BV148" i="1"/>
  <c r="BV179" i="1"/>
  <c r="BV128" i="1"/>
  <c r="BV144" i="1"/>
  <c r="BV110" i="1"/>
  <c r="BV81" i="1"/>
  <c r="BV100" i="1"/>
  <c r="BV123" i="1"/>
  <c r="BV86" i="1"/>
  <c r="BV174" i="1"/>
  <c r="BV201" i="1"/>
  <c r="BV90" i="1"/>
  <c r="BV102" i="1"/>
  <c r="BV94" i="1"/>
  <c r="BV119" i="1"/>
  <c r="BV141" i="1"/>
  <c r="BV147" i="1"/>
  <c r="BV165" i="1"/>
  <c r="BV132" i="1"/>
  <c r="BV189" i="1"/>
  <c r="BV133" i="1"/>
  <c r="BV206" i="1"/>
  <c r="BV78" i="1"/>
  <c r="BV143" i="1"/>
  <c r="BV150" i="1"/>
  <c r="BV130" i="1"/>
  <c r="BV96" i="1"/>
  <c r="BV182" i="1"/>
  <c r="BV195" i="1"/>
  <c r="BV178" i="1"/>
  <c r="BV181" i="1"/>
  <c r="BV194" i="1"/>
  <c r="BV208" i="1"/>
  <c r="BV129" i="1"/>
  <c r="BV180" i="1"/>
  <c r="BV140" i="1"/>
  <c r="BV125" i="1"/>
  <c r="BV131" i="1"/>
  <c r="BV173" i="1"/>
  <c r="BV184" i="1"/>
  <c r="BV190" i="1"/>
  <c r="BV142" i="1"/>
  <c r="BV69" i="1"/>
  <c r="BV151" i="1"/>
  <c r="BV193" i="1"/>
  <c r="BV169" i="1"/>
  <c r="BV166" i="1"/>
  <c r="BV97" i="1"/>
  <c r="BV79" i="1"/>
  <c r="BV146" i="1"/>
  <c r="BV204" i="1"/>
  <c r="BV113" i="1"/>
  <c r="BV172" i="1"/>
  <c r="BV171" i="1"/>
  <c r="BV185" i="1"/>
  <c r="BV137" i="1"/>
  <c r="BV205" i="1"/>
  <c r="BV177" i="1"/>
  <c r="BV199" i="1"/>
  <c r="BV106" i="1"/>
  <c r="BV203" i="1"/>
  <c r="BV124" i="1"/>
  <c r="BV170" i="1"/>
  <c r="BV152" i="1"/>
  <c r="BV118" i="1"/>
  <c r="BV198" i="1"/>
  <c r="BV200" i="1"/>
  <c r="BV136" i="1"/>
  <c r="BV108" i="1"/>
  <c r="BV149" i="1"/>
  <c r="BV187" i="1"/>
  <c r="BV168" i="1"/>
  <c r="BV162" i="1"/>
  <c r="BV139" i="1"/>
  <c r="BV196" i="1"/>
  <c r="BV153" i="1"/>
  <c r="BV197" i="1"/>
  <c r="BV176" i="1"/>
  <c r="BV202" i="1"/>
  <c r="BV167" i="1"/>
  <c r="BV207" i="1"/>
  <c r="BV192" i="1"/>
  <c r="BU3" i="1"/>
  <c r="BU2" i="1"/>
  <c r="BU43" i="1"/>
  <c r="BU71" i="1"/>
  <c r="BU7" i="1"/>
  <c r="BU164" i="1"/>
  <c r="BU4" i="1"/>
  <c r="BU99" i="1"/>
  <c r="BU6" i="1"/>
  <c r="BU8" i="1"/>
  <c r="BU10" i="1"/>
  <c r="BU9" i="1"/>
  <c r="BU127" i="1"/>
  <c r="BU11" i="1"/>
  <c r="BU44" i="1"/>
  <c r="BU39" i="1"/>
  <c r="BU45" i="1"/>
  <c r="BU16" i="1"/>
  <c r="BU12" i="1"/>
  <c r="BU48" i="1"/>
  <c r="BU54" i="1"/>
  <c r="BU47" i="1"/>
  <c r="BU20" i="1"/>
  <c r="BU50" i="1"/>
  <c r="BU22" i="1"/>
  <c r="BU49" i="1"/>
  <c r="BU13" i="1"/>
  <c r="BU26" i="1"/>
  <c r="BU52" i="1"/>
  <c r="BU46" i="1"/>
  <c r="BU72" i="1"/>
  <c r="BU5" i="1"/>
  <c r="BU18" i="1"/>
  <c r="BU23" i="1"/>
  <c r="BU15" i="1"/>
  <c r="BU14" i="1"/>
  <c r="BU59" i="1"/>
  <c r="BU38" i="1"/>
  <c r="BU21" i="1"/>
  <c r="BU27" i="1"/>
  <c r="BU17" i="1"/>
  <c r="BU68" i="1"/>
  <c r="BU121" i="1"/>
  <c r="BU24" i="1"/>
  <c r="BU30" i="1"/>
  <c r="BU40" i="1"/>
  <c r="BU35" i="1"/>
  <c r="BU29" i="1"/>
  <c r="BU37" i="1"/>
  <c r="BU28" i="1"/>
  <c r="BU19" i="1"/>
  <c r="BU33" i="1"/>
  <c r="BU109" i="1"/>
  <c r="BU64" i="1"/>
  <c r="BU63" i="1"/>
  <c r="BU77" i="1"/>
  <c r="BU115" i="1"/>
  <c r="BU31" i="1"/>
  <c r="BU41" i="1"/>
  <c r="BU191" i="1"/>
  <c r="BU85" i="1"/>
  <c r="BU62" i="1"/>
  <c r="BU36" i="1"/>
  <c r="BU32" i="1"/>
  <c r="BU34" i="1"/>
  <c r="BU93" i="1"/>
  <c r="BU117" i="1"/>
  <c r="BU154" i="1"/>
  <c r="BU107" i="1"/>
  <c r="BU98" i="1"/>
  <c r="BU138" i="1"/>
  <c r="BU75" i="1"/>
  <c r="BU122" i="1"/>
  <c r="BU84" i="1"/>
  <c r="BU116" i="1"/>
  <c r="BU186" i="1"/>
  <c r="BU89" i="1"/>
  <c r="BU70" i="1"/>
  <c r="BU61" i="1"/>
  <c r="BU74" i="1"/>
  <c r="BU88" i="1"/>
  <c r="BU73" i="1"/>
  <c r="BU111" i="1"/>
  <c r="BU87" i="1"/>
  <c r="BU82" i="1"/>
  <c r="BU53" i="1"/>
  <c r="BU175" i="1"/>
  <c r="BU55" i="1"/>
  <c r="BU51" i="1"/>
  <c r="BU157" i="1"/>
  <c r="BU158" i="1"/>
  <c r="BU83" i="1"/>
  <c r="BU91" i="1"/>
  <c r="BU105" i="1"/>
  <c r="BU103" i="1"/>
  <c r="BU188" i="1"/>
  <c r="BU163" i="1"/>
  <c r="BU101" i="1"/>
  <c r="BU65" i="1"/>
  <c r="BU60" i="1"/>
  <c r="BU80" i="1"/>
  <c r="BU56" i="1"/>
  <c r="BU57" i="1"/>
  <c r="BU25" i="1"/>
  <c r="BU104" i="1"/>
  <c r="BU66" i="1"/>
  <c r="BU58" i="1"/>
  <c r="BU155" i="1"/>
  <c r="BU156" i="1"/>
  <c r="BU134" i="1"/>
  <c r="BU92" i="1"/>
  <c r="BU67" i="1"/>
  <c r="BU126" i="1"/>
  <c r="BU145" i="1"/>
  <c r="BU135" i="1"/>
  <c r="BU159" i="1"/>
  <c r="BU76" i="1"/>
  <c r="BU114" i="1"/>
  <c r="BU161" i="1"/>
  <c r="BU160" i="1"/>
  <c r="BU95" i="1"/>
  <c r="BU120" i="1"/>
  <c r="BU42" i="1"/>
  <c r="BU183" i="1"/>
  <c r="BU112" i="1"/>
  <c r="BU148" i="1"/>
  <c r="BU179" i="1"/>
  <c r="BU128" i="1"/>
  <c r="BU144" i="1"/>
  <c r="BU110" i="1"/>
  <c r="BU81" i="1"/>
  <c r="BU100" i="1"/>
  <c r="BU123" i="1"/>
  <c r="BU86" i="1"/>
  <c r="BU174" i="1"/>
  <c r="BU201" i="1"/>
  <c r="BU90" i="1"/>
  <c r="BU102" i="1"/>
  <c r="BU94" i="1"/>
  <c r="BU119" i="1"/>
  <c r="BU141" i="1"/>
  <c r="BU147" i="1"/>
  <c r="BU165" i="1"/>
  <c r="BU132" i="1"/>
  <c r="BU189" i="1"/>
  <c r="BU133" i="1"/>
  <c r="BU206" i="1"/>
  <c r="BU78" i="1"/>
  <c r="BU143" i="1"/>
  <c r="BU150" i="1"/>
  <c r="BU130" i="1"/>
  <c r="BU96" i="1"/>
  <c r="BU182" i="1"/>
  <c r="BU195" i="1"/>
  <c r="BU178" i="1"/>
  <c r="BU181" i="1"/>
  <c r="BU194" i="1"/>
  <c r="BU208" i="1"/>
  <c r="BU129" i="1"/>
  <c r="BU180" i="1"/>
  <c r="BU140" i="1"/>
  <c r="BU125" i="1"/>
  <c r="BU131" i="1"/>
  <c r="BU173" i="1"/>
  <c r="BU184" i="1"/>
  <c r="BU190" i="1"/>
  <c r="BU142" i="1"/>
  <c r="BU69" i="1"/>
  <c r="BU151" i="1"/>
  <c r="BU193" i="1"/>
  <c r="BU169" i="1"/>
  <c r="BU166" i="1"/>
  <c r="BU97" i="1"/>
  <c r="BU79" i="1"/>
  <c r="BU146" i="1"/>
  <c r="BU204" i="1"/>
  <c r="BU113" i="1"/>
  <c r="BU172" i="1"/>
  <c r="BU171" i="1"/>
  <c r="BU185" i="1"/>
  <c r="BU137" i="1"/>
  <c r="BU205" i="1"/>
  <c r="BU177" i="1"/>
  <c r="BU199" i="1"/>
  <c r="BU106" i="1"/>
  <c r="BU203" i="1"/>
  <c r="BU124" i="1"/>
  <c r="BU170" i="1"/>
  <c r="BU152" i="1"/>
  <c r="BU118" i="1"/>
  <c r="BU198" i="1"/>
  <c r="BU200" i="1"/>
  <c r="BU136" i="1"/>
  <c r="BU108" i="1"/>
  <c r="BU149" i="1"/>
  <c r="BU187" i="1"/>
  <c r="BU168" i="1"/>
  <c r="BU162" i="1"/>
  <c r="BU139" i="1"/>
  <c r="BU196" i="1"/>
  <c r="BU153" i="1"/>
  <c r="BU197" i="1"/>
  <c r="BU176" i="1"/>
  <c r="BU202" i="1"/>
  <c r="BU167" i="1"/>
  <c r="BU207" i="1"/>
  <c r="BU192" i="1"/>
  <c r="BT3" i="1"/>
  <c r="BT2" i="1"/>
  <c r="BT43" i="1"/>
  <c r="BT71" i="1"/>
  <c r="BT7" i="1"/>
  <c r="BT164" i="1"/>
  <c r="BT4" i="1"/>
  <c r="BT99" i="1"/>
  <c r="BT6" i="1"/>
  <c r="BT8" i="1"/>
  <c r="BT10" i="1"/>
  <c r="BT9" i="1"/>
  <c r="BT127" i="1"/>
  <c r="BT11" i="1"/>
  <c r="BT44" i="1"/>
  <c r="BT39" i="1"/>
  <c r="BT45" i="1"/>
  <c r="BT16" i="1"/>
  <c r="BT12" i="1"/>
  <c r="BT48" i="1"/>
  <c r="BT54" i="1"/>
  <c r="BT47" i="1"/>
  <c r="BT20" i="1"/>
  <c r="BT50" i="1"/>
  <c r="BT22" i="1"/>
  <c r="BT49" i="1"/>
  <c r="BT13" i="1"/>
  <c r="BT26" i="1"/>
  <c r="BT52" i="1"/>
  <c r="BT46" i="1"/>
  <c r="BT72" i="1"/>
  <c r="BT5" i="1"/>
  <c r="BT18" i="1"/>
  <c r="BT23" i="1"/>
  <c r="BT15" i="1"/>
  <c r="BT14" i="1"/>
  <c r="BT59" i="1"/>
  <c r="BT38" i="1"/>
  <c r="BT21" i="1"/>
  <c r="BT27" i="1"/>
  <c r="BT17" i="1"/>
  <c r="BT68" i="1"/>
  <c r="BT121" i="1"/>
  <c r="BT24" i="1"/>
  <c r="BT30" i="1"/>
  <c r="BT40" i="1"/>
  <c r="BT35" i="1"/>
  <c r="BT29" i="1"/>
  <c r="BT37" i="1"/>
  <c r="BT28" i="1"/>
  <c r="BT19" i="1"/>
  <c r="BT33" i="1"/>
  <c r="BT109" i="1"/>
  <c r="BT64" i="1"/>
  <c r="BT63" i="1"/>
  <c r="BT77" i="1"/>
  <c r="BT115" i="1"/>
  <c r="BT31" i="1"/>
  <c r="BT41" i="1"/>
  <c r="BT191" i="1"/>
  <c r="BT85" i="1"/>
  <c r="BT62" i="1"/>
  <c r="BT36" i="1"/>
  <c r="BT32" i="1"/>
  <c r="BT34" i="1"/>
  <c r="BT93" i="1"/>
  <c r="BT117" i="1"/>
  <c r="BT154" i="1"/>
  <c r="BT107" i="1"/>
  <c r="BT98" i="1"/>
  <c r="BT138" i="1"/>
  <c r="BT75" i="1"/>
  <c r="BT122" i="1"/>
  <c r="BT84" i="1"/>
  <c r="BT116" i="1"/>
  <c r="BT186" i="1"/>
  <c r="BT89" i="1"/>
  <c r="BT70" i="1"/>
  <c r="BT61" i="1"/>
  <c r="BT74" i="1"/>
  <c r="BT88" i="1"/>
  <c r="BT73" i="1"/>
  <c r="BT111" i="1"/>
  <c r="BT87" i="1"/>
  <c r="BT82" i="1"/>
  <c r="BT53" i="1"/>
  <c r="BT175" i="1"/>
  <c r="BT55" i="1"/>
  <c r="BT51" i="1"/>
  <c r="BT157" i="1"/>
  <c r="BT158" i="1"/>
  <c r="BT83" i="1"/>
  <c r="BT91" i="1"/>
  <c r="BT105" i="1"/>
  <c r="BT103" i="1"/>
  <c r="BT188" i="1"/>
  <c r="BT163" i="1"/>
  <c r="BT101" i="1"/>
  <c r="BT65" i="1"/>
  <c r="BT60" i="1"/>
  <c r="BT80" i="1"/>
  <c r="BT56" i="1"/>
  <c r="BT57" i="1"/>
  <c r="BT25" i="1"/>
  <c r="BT104" i="1"/>
  <c r="BT66" i="1"/>
  <c r="BT58" i="1"/>
  <c r="BT155" i="1"/>
  <c r="BT156" i="1"/>
  <c r="BT134" i="1"/>
  <c r="BT92" i="1"/>
  <c r="BT67" i="1"/>
  <c r="BT126" i="1"/>
  <c r="BT145" i="1"/>
  <c r="BT135" i="1"/>
  <c r="BT159" i="1"/>
  <c r="BT76" i="1"/>
  <c r="BT114" i="1"/>
  <c r="BT161" i="1"/>
  <c r="BT160" i="1"/>
  <c r="BT95" i="1"/>
  <c r="BT120" i="1"/>
  <c r="BT42" i="1"/>
  <c r="BT183" i="1"/>
  <c r="BT112" i="1"/>
  <c r="BT148" i="1"/>
  <c r="BT179" i="1"/>
  <c r="BT128" i="1"/>
  <c r="BT144" i="1"/>
  <c r="BT110" i="1"/>
  <c r="BT81" i="1"/>
  <c r="BT100" i="1"/>
  <c r="BT123" i="1"/>
  <c r="BT86" i="1"/>
  <c r="BT174" i="1"/>
  <c r="BT201" i="1"/>
  <c r="BT90" i="1"/>
  <c r="BT102" i="1"/>
  <c r="BT94" i="1"/>
  <c r="BT119" i="1"/>
  <c r="BT141" i="1"/>
  <c r="BT147" i="1"/>
  <c r="BT165" i="1"/>
  <c r="BT132" i="1"/>
  <c r="BT189" i="1"/>
  <c r="BT133" i="1"/>
  <c r="BT206" i="1"/>
  <c r="BT78" i="1"/>
  <c r="BT143" i="1"/>
  <c r="BT150" i="1"/>
  <c r="BT130" i="1"/>
  <c r="BT96" i="1"/>
  <c r="BT182" i="1"/>
  <c r="BT195" i="1"/>
  <c r="BT178" i="1"/>
  <c r="BT181" i="1"/>
  <c r="BT194" i="1"/>
  <c r="BT208" i="1"/>
  <c r="BT129" i="1"/>
  <c r="BT180" i="1"/>
  <c r="BT140" i="1"/>
  <c r="BT125" i="1"/>
  <c r="BT131" i="1"/>
  <c r="BT173" i="1"/>
  <c r="BT184" i="1"/>
  <c r="BT190" i="1"/>
  <c r="BT142" i="1"/>
  <c r="BT69" i="1"/>
  <c r="BT151" i="1"/>
  <c r="BT193" i="1"/>
  <c r="BT169" i="1"/>
  <c r="BT166" i="1"/>
  <c r="BT97" i="1"/>
  <c r="BT79" i="1"/>
  <c r="BT146" i="1"/>
  <c r="BT204" i="1"/>
  <c r="BT113" i="1"/>
  <c r="BT172" i="1"/>
  <c r="BT171" i="1"/>
  <c r="BT185" i="1"/>
  <c r="BT137" i="1"/>
  <c r="BT205" i="1"/>
  <c r="BT177" i="1"/>
  <c r="BT199" i="1"/>
  <c r="BT106" i="1"/>
  <c r="BT203" i="1"/>
  <c r="BT124" i="1"/>
  <c r="BT170" i="1"/>
  <c r="BT152" i="1"/>
  <c r="BT118" i="1"/>
  <c r="BT198" i="1"/>
  <c r="BT200" i="1"/>
  <c r="BT136" i="1"/>
  <c r="BT108" i="1"/>
  <c r="BT149" i="1"/>
  <c r="BT187" i="1"/>
  <c r="BT168" i="1"/>
  <c r="BT162" i="1"/>
  <c r="BT139" i="1"/>
  <c r="BT196" i="1"/>
  <c r="BT153" i="1"/>
  <c r="BT197" i="1"/>
  <c r="BT176" i="1"/>
  <c r="BT202" i="1"/>
  <c r="BT167" i="1"/>
  <c r="BT207" i="1"/>
  <c r="BT192" i="1"/>
  <c r="BS3" i="1"/>
  <c r="BS2" i="1"/>
  <c r="BS43" i="1"/>
  <c r="BS71" i="1"/>
  <c r="BS7" i="1"/>
  <c r="BS164" i="1"/>
  <c r="BS4" i="1"/>
  <c r="BS99" i="1"/>
  <c r="BS6" i="1"/>
  <c r="BS8" i="1"/>
  <c r="BS10" i="1"/>
  <c r="BS9" i="1"/>
  <c r="BS127" i="1"/>
  <c r="BS11" i="1"/>
  <c r="BS44" i="1"/>
  <c r="BS39" i="1"/>
  <c r="BS45" i="1"/>
  <c r="BS16" i="1"/>
  <c r="BS12" i="1"/>
  <c r="BS48" i="1"/>
  <c r="BS54" i="1"/>
  <c r="BS47" i="1"/>
  <c r="BS20" i="1"/>
  <c r="BS50" i="1"/>
  <c r="BS22" i="1"/>
  <c r="BS49" i="1"/>
  <c r="BS13" i="1"/>
  <c r="BS26" i="1"/>
  <c r="BS52" i="1"/>
  <c r="BS46" i="1"/>
  <c r="BS72" i="1"/>
  <c r="BS5" i="1"/>
  <c r="BS18" i="1"/>
  <c r="BS23" i="1"/>
  <c r="BS15" i="1"/>
  <c r="BS14" i="1"/>
  <c r="BS59" i="1"/>
  <c r="BS38" i="1"/>
  <c r="BS21" i="1"/>
  <c r="BS27" i="1"/>
  <c r="BS17" i="1"/>
  <c r="BS68" i="1"/>
  <c r="BS121" i="1"/>
  <c r="BS24" i="1"/>
  <c r="BS30" i="1"/>
  <c r="BS40" i="1"/>
  <c r="BS35" i="1"/>
  <c r="BS29" i="1"/>
  <c r="BS37" i="1"/>
  <c r="BS28" i="1"/>
  <c r="BS19" i="1"/>
  <c r="BS33" i="1"/>
  <c r="BS109" i="1"/>
  <c r="BS64" i="1"/>
  <c r="BS63" i="1"/>
  <c r="BS77" i="1"/>
  <c r="BS115" i="1"/>
  <c r="BS31" i="1"/>
  <c r="BS41" i="1"/>
  <c r="BS191" i="1"/>
  <c r="BS85" i="1"/>
  <c r="BS62" i="1"/>
  <c r="BS36" i="1"/>
  <c r="BS32" i="1"/>
  <c r="BS34" i="1"/>
  <c r="BS93" i="1"/>
  <c r="BS117" i="1"/>
  <c r="BS154" i="1"/>
  <c r="BS107" i="1"/>
  <c r="BS98" i="1"/>
  <c r="BS138" i="1"/>
  <c r="BS75" i="1"/>
  <c r="BS122" i="1"/>
  <c r="BS84" i="1"/>
  <c r="BS116" i="1"/>
  <c r="BS186" i="1"/>
  <c r="BS89" i="1"/>
  <c r="BS70" i="1"/>
  <c r="BS61" i="1"/>
  <c r="BS74" i="1"/>
  <c r="BS88" i="1"/>
  <c r="BS73" i="1"/>
  <c r="BS111" i="1"/>
  <c r="BS87" i="1"/>
  <c r="BS82" i="1"/>
  <c r="BS53" i="1"/>
  <c r="BS175" i="1"/>
  <c r="BS55" i="1"/>
  <c r="BS51" i="1"/>
  <c r="BS157" i="1"/>
  <c r="BS158" i="1"/>
  <c r="BS83" i="1"/>
  <c r="BS91" i="1"/>
  <c r="BS105" i="1"/>
  <c r="BS103" i="1"/>
  <c r="BS188" i="1"/>
  <c r="BS163" i="1"/>
  <c r="BS101" i="1"/>
  <c r="BS65" i="1"/>
  <c r="BS60" i="1"/>
  <c r="BS80" i="1"/>
  <c r="BS56" i="1"/>
  <c r="BS57" i="1"/>
  <c r="BS25" i="1"/>
  <c r="BS104" i="1"/>
  <c r="BS66" i="1"/>
  <c r="BS58" i="1"/>
  <c r="BS155" i="1"/>
  <c r="BS156" i="1"/>
  <c r="BS134" i="1"/>
  <c r="BS92" i="1"/>
  <c r="BS67" i="1"/>
  <c r="BS126" i="1"/>
  <c r="BS145" i="1"/>
  <c r="BS135" i="1"/>
  <c r="BS159" i="1"/>
  <c r="BS76" i="1"/>
  <c r="BS114" i="1"/>
  <c r="BS161" i="1"/>
  <c r="BS160" i="1"/>
  <c r="BS95" i="1"/>
  <c r="BS120" i="1"/>
  <c r="BS42" i="1"/>
  <c r="BS183" i="1"/>
  <c r="BS112" i="1"/>
  <c r="BS148" i="1"/>
  <c r="BS179" i="1"/>
  <c r="BS128" i="1"/>
  <c r="BS144" i="1"/>
  <c r="BS110" i="1"/>
  <c r="BS81" i="1"/>
  <c r="BS100" i="1"/>
  <c r="BS123" i="1"/>
  <c r="BS86" i="1"/>
  <c r="BS174" i="1"/>
  <c r="BS201" i="1"/>
  <c r="BS90" i="1"/>
  <c r="BS102" i="1"/>
  <c r="BS94" i="1"/>
  <c r="BS119" i="1"/>
  <c r="BS141" i="1"/>
  <c r="BS147" i="1"/>
  <c r="BS165" i="1"/>
  <c r="BS132" i="1"/>
  <c r="BS189" i="1"/>
  <c r="BS133" i="1"/>
  <c r="BS206" i="1"/>
  <c r="BS78" i="1"/>
  <c r="BS143" i="1"/>
  <c r="BS150" i="1"/>
  <c r="BS130" i="1"/>
  <c r="BS96" i="1"/>
  <c r="BS182" i="1"/>
  <c r="BS195" i="1"/>
  <c r="BS178" i="1"/>
  <c r="BS181" i="1"/>
  <c r="BS194" i="1"/>
  <c r="BS208" i="1"/>
  <c r="BS129" i="1"/>
  <c r="BS180" i="1"/>
  <c r="BS140" i="1"/>
  <c r="BS125" i="1"/>
  <c r="BS131" i="1"/>
  <c r="BS173" i="1"/>
  <c r="BS184" i="1"/>
  <c r="BS190" i="1"/>
  <c r="BS142" i="1"/>
  <c r="BS69" i="1"/>
  <c r="BS151" i="1"/>
  <c r="BS193" i="1"/>
  <c r="BS169" i="1"/>
  <c r="BS166" i="1"/>
  <c r="BS97" i="1"/>
  <c r="BS79" i="1"/>
  <c r="BS146" i="1"/>
  <c r="BS204" i="1"/>
  <c r="BS113" i="1"/>
  <c r="BS172" i="1"/>
  <c r="BS171" i="1"/>
  <c r="BS185" i="1"/>
  <c r="BS137" i="1"/>
  <c r="BS205" i="1"/>
  <c r="BS177" i="1"/>
  <c r="BS199" i="1"/>
  <c r="BS106" i="1"/>
  <c r="BS203" i="1"/>
  <c r="BS124" i="1"/>
  <c r="BS170" i="1"/>
  <c r="BS152" i="1"/>
  <c r="BS118" i="1"/>
  <c r="BS198" i="1"/>
  <c r="BS200" i="1"/>
  <c r="BS136" i="1"/>
  <c r="BS108" i="1"/>
  <c r="BS149" i="1"/>
  <c r="BS187" i="1"/>
  <c r="BS168" i="1"/>
  <c r="BS162" i="1"/>
  <c r="BS139" i="1"/>
  <c r="BS196" i="1"/>
  <c r="BS153" i="1"/>
  <c r="BS197" i="1"/>
  <c r="BS176" i="1"/>
  <c r="BS202" i="1"/>
  <c r="BS167" i="1"/>
  <c r="BS207" i="1"/>
  <c r="BS192" i="1"/>
  <c r="BR3" i="1"/>
  <c r="BR2" i="1"/>
  <c r="BR43" i="1"/>
  <c r="BR71" i="1"/>
  <c r="BR7" i="1"/>
  <c r="BR164" i="1"/>
  <c r="BR4" i="1"/>
  <c r="BR99" i="1"/>
  <c r="BR6" i="1"/>
  <c r="BR8" i="1"/>
  <c r="BR10" i="1"/>
  <c r="BR9" i="1"/>
  <c r="BR127" i="1"/>
  <c r="BR11" i="1"/>
  <c r="BR44" i="1"/>
  <c r="BR39" i="1"/>
  <c r="BR45" i="1"/>
  <c r="BR16" i="1"/>
  <c r="BR12" i="1"/>
  <c r="BR48" i="1"/>
  <c r="BR54" i="1"/>
  <c r="BR47" i="1"/>
  <c r="BR20" i="1"/>
  <c r="BR50" i="1"/>
  <c r="BR22" i="1"/>
  <c r="BR49" i="1"/>
  <c r="BR13" i="1"/>
  <c r="BR26" i="1"/>
  <c r="BR52" i="1"/>
  <c r="BR46" i="1"/>
  <c r="BR72" i="1"/>
  <c r="BR5" i="1"/>
  <c r="BR18" i="1"/>
  <c r="BR23" i="1"/>
  <c r="BR15" i="1"/>
  <c r="BR14" i="1"/>
  <c r="BR59" i="1"/>
  <c r="BR38" i="1"/>
  <c r="BR21" i="1"/>
  <c r="BR27" i="1"/>
  <c r="BR17" i="1"/>
  <c r="BR68" i="1"/>
  <c r="BR121" i="1"/>
  <c r="BR24" i="1"/>
  <c r="BR30" i="1"/>
  <c r="BR40" i="1"/>
  <c r="BR35" i="1"/>
  <c r="BR29" i="1"/>
  <c r="BR37" i="1"/>
  <c r="BR28" i="1"/>
  <c r="BR19" i="1"/>
  <c r="BR33" i="1"/>
  <c r="BR109" i="1"/>
  <c r="BR64" i="1"/>
  <c r="BR63" i="1"/>
  <c r="BR77" i="1"/>
  <c r="BR115" i="1"/>
  <c r="BR31" i="1"/>
  <c r="BR41" i="1"/>
  <c r="BR191" i="1"/>
  <c r="BR85" i="1"/>
  <c r="BR62" i="1"/>
  <c r="BR36" i="1"/>
  <c r="BR32" i="1"/>
  <c r="BR34" i="1"/>
  <c r="BR93" i="1"/>
  <c r="BR117" i="1"/>
  <c r="BR154" i="1"/>
  <c r="BR107" i="1"/>
  <c r="BR98" i="1"/>
  <c r="BR138" i="1"/>
  <c r="BR75" i="1"/>
  <c r="BR122" i="1"/>
  <c r="BR84" i="1"/>
  <c r="BR116" i="1"/>
  <c r="BR186" i="1"/>
  <c r="BR89" i="1"/>
  <c r="BR70" i="1"/>
  <c r="BR61" i="1"/>
  <c r="BR74" i="1"/>
  <c r="BR88" i="1"/>
  <c r="BR73" i="1"/>
  <c r="BR111" i="1"/>
  <c r="BR87" i="1"/>
  <c r="BR82" i="1"/>
  <c r="BR53" i="1"/>
  <c r="BR175" i="1"/>
  <c r="BR55" i="1"/>
  <c r="BR51" i="1"/>
  <c r="BR157" i="1"/>
  <c r="BR158" i="1"/>
  <c r="BR83" i="1"/>
  <c r="BR91" i="1"/>
  <c r="BR105" i="1"/>
  <c r="BR103" i="1"/>
  <c r="BR188" i="1"/>
  <c r="BR163" i="1"/>
  <c r="BR101" i="1"/>
  <c r="BR65" i="1"/>
  <c r="BR60" i="1"/>
  <c r="BR80" i="1"/>
  <c r="BR56" i="1"/>
  <c r="BR57" i="1"/>
  <c r="BR25" i="1"/>
  <c r="BR104" i="1"/>
  <c r="BR66" i="1"/>
  <c r="BR58" i="1"/>
  <c r="BR155" i="1"/>
  <c r="BR156" i="1"/>
  <c r="BR134" i="1"/>
  <c r="BR92" i="1"/>
  <c r="BR67" i="1"/>
  <c r="BR126" i="1"/>
  <c r="BR145" i="1"/>
  <c r="BR135" i="1"/>
  <c r="BR159" i="1"/>
  <c r="BR76" i="1"/>
  <c r="BR114" i="1"/>
  <c r="BR161" i="1"/>
  <c r="BR160" i="1"/>
  <c r="BR95" i="1"/>
  <c r="BR120" i="1"/>
  <c r="BR42" i="1"/>
  <c r="BR183" i="1"/>
  <c r="BR112" i="1"/>
  <c r="BR148" i="1"/>
  <c r="BR179" i="1"/>
  <c r="BR128" i="1"/>
  <c r="BR144" i="1"/>
  <c r="BR110" i="1"/>
  <c r="BR81" i="1"/>
  <c r="BR100" i="1"/>
  <c r="BR123" i="1"/>
  <c r="BR86" i="1"/>
  <c r="BR174" i="1"/>
  <c r="BR201" i="1"/>
  <c r="BR90" i="1"/>
  <c r="BR102" i="1"/>
  <c r="BR94" i="1"/>
  <c r="BR119" i="1"/>
  <c r="BR141" i="1"/>
  <c r="BR147" i="1"/>
  <c r="BR165" i="1"/>
  <c r="BR132" i="1"/>
  <c r="BR189" i="1"/>
  <c r="BR133" i="1"/>
  <c r="BR206" i="1"/>
  <c r="BR78" i="1"/>
  <c r="BR143" i="1"/>
  <c r="BR150" i="1"/>
  <c r="BR130" i="1"/>
  <c r="BR96" i="1"/>
  <c r="BR182" i="1"/>
  <c r="BR195" i="1"/>
  <c r="BR178" i="1"/>
  <c r="BR181" i="1"/>
  <c r="BR194" i="1"/>
  <c r="BR208" i="1"/>
  <c r="BR129" i="1"/>
  <c r="BR180" i="1"/>
  <c r="BR140" i="1"/>
  <c r="BR125" i="1"/>
  <c r="BR131" i="1"/>
  <c r="BR173" i="1"/>
  <c r="BR184" i="1"/>
  <c r="BR190" i="1"/>
  <c r="BR142" i="1"/>
  <c r="BR69" i="1"/>
  <c r="BR151" i="1"/>
  <c r="BR193" i="1"/>
  <c r="BR169" i="1"/>
  <c r="BR166" i="1"/>
  <c r="BR97" i="1"/>
  <c r="BR79" i="1"/>
  <c r="BR146" i="1"/>
  <c r="BR204" i="1"/>
  <c r="BR113" i="1"/>
  <c r="BR172" i="1"/>
  <c r="BR171" i="1"/>
  <c r="BR185" i="1"/>
  <c r="BR137" i="1"/>
  <c r="BR205" i="1"/>
  <c r="BR177" i="1"/>
  <c r="BR199" i="1"/>
  <c r="BR106" i="1"/>
  <c r="BR203" i="1"/>
  <c r="BR124" i="1"/>
  <c r="BR170" i="1"/>
  <c r="BR152" i="1"/>
  <c r="BR118" i="1"/>
  <c r="BR198" i="1"/>
  <c r="BR200" i="1"/>
  <c r="BR136" i="1"/>
  <c r="BR108" i="1"/>
  <c r="BR149" i="1"/>
  <c r="BR187" i="1"/>
  <c r="BR168" i="1"/>
  <c r="BR162" i="1"/>
  <c r="BR139" i="1"/>
  <c r="BR196" i="1"/>
  <c r="BR153" i="1"/>
  <c r="BR197" i="1"/>
  <c r="BR176" i="1"/>
  <c r="BR202" i="1"/>
  <c r="BR167" i="1"/>
  <c r="BR207" i="1"/>
  <c r="BR192" i="1"/>
  <c r="BQ3" i="1"/>
  <c r="BQ2" i="1"/>
  <c r="BQ43" i="1"/>
  <c r="BQ71" i="1"/>
  <c r="BQ7" i="1"/>
  <c r="BQ164" i="1"/>
  <c r="BQ4" i="1"/>
  <c r="BQ99" i="1"/>
  <c r="BQ6" i="1"/>
  <c r="BQ8" i="1"/>
  <c r="BQ10" i="1"/>
  <c r="BQ9" i="1"/>
  <c r="BQ127" i="1"/>
  <c r="BQ11" i="1"/>
  <c r="BQ44" i="1"/>
  <c r="BQ39" i="1"/>
  <c r="BQ45" i="1"/>
  <c r="BQ16" i="1"/>
  <c r="BQ12" i="1"/>
  <c r="BQ48" i="1"/>
  <c r="BQ54" i="1"/>
  <c r="BQ47" i="1"/>
  <c r="BQ20" i="1"/>
  <c r="BQ50" i="1"/>
  <c r="BQ22" i="1"/>
  <c r="BQ49" i="1"/>
  <c r="BQ13" i="1"/>
  <c r="BQ26" i="1"/>
  <c r="BQ52" i="1"/>
  <c r="BQ46" i="1"/>
  <c r="BQ72" i="1"/>
  <c r="BQ5" i="1"/>
  <c r="BQ18" i="1"/>
  <c r="BQ23" i="1"/>
  <c r="BQ15" i="1"/>
  <c r="BQ14" i="1"/>
  <c r="BQ59" i="1"/>
  <c r="BQ38" i="1"/>
  <c r="BQ21" i="1"/>
  <c r="BQ27" i="1"/>
  <c r="BQ17" i="1"/>
  <c r="BQ68" i="1"/>
  <c r="BQ121" i="1"/>
  <c r="BQ24" i="1"/>
  <c r="BQ30" i="1"/>
  <c r="BQ40" i="1"/>
  <c r="BQ35" i="1"/>
  <c r="BQ29" i="1"/>
  <c r="BQ37" i="1"/>
  <c r="BQ28" i="1"/>
  <c r="BQ19" i="1"/>
  <c r="BQ33" i="1"/>
  <c r="BQ109" i="1"/>
  <c r="BQ64" i="1"/>
  <c r="BQ63" i="1"/>
  <c r="BQ77" i="1"/>
  <c r="BQ115" i="1"/>
  <c r="BQ31" i="1"/>
  <c r="BQ41" i="1"/>
  <c r="BQ191" i="1"/>
  <c r="BQ85" i="1"/>
  <c r="BQ62" i="1"/>
  <c r="BQ36" i="1"/>
  <c r="BQ32" i="1"/>
  <c r="BQ34" i="1"/>
  <c r="BQ93" i="1"/>
  <c r="BQ117" i="1"/>
  <c r="BQ154" i="1"/>
  <c r="BQ107" i="1"/>
  <c r="BQ98" i="1"/>
  <c r="BQ138" i="1"/>
  <c r="BQ75" i="1"/>
  <c r="BQ122" i="1"/>
  <c r="BQ84" i="1"/>
  <c r="BQ116" i="1"/>
  <c r="BQ186" i="1"/>
  <c r="BQ89" i="1"/>
  <c r="BQ70" i="1"/>
  <c r="BQ61" i="1"/>
  <c r="BQ74" i="1"/>
  <c r="BQ88" i="1"/>
  <c r="BQ73" i="1"/>
  <c r="BQ111" i="1"/>
  <c r="BQ87" i="1"/>
  <c r="BQ82" i="1"/>
  <c r="BQ53" i="1"/>
  <c r="BQ175" i="1"/>
  <c r="BQ55" i="1"/>
  <c r="BQ51" i="1"/>
  <c r="BQ157" i="1"/>
  <c r="BQ158" i="1"/>
  <c r="BQ83" i="1"/>
  <c r="BQ91" i="1"/>
  <c r="BQ105" i="1"/>
  <c r="BQ103" i="1"/>
  <c r="BQ188" i="1"/>
  <c r="BQ163" i="1"/>
  <c r="BQ101" i="1"/>
  <c r="BQ65" i="1"/>
  <c r="BQ60" i="1"/>
  <c r="BQ80" i="1"/>
  <c r="BQ56" i="1"/>
  <c r="BQ57" i="1"/>
  <c r="BQ25" i="1"/>
  <c r="BQ104" i="1"/>
  <c r="BQ66" i="1"/>
  <c r="BQ58" i="1"/>
  <c r="BQ155" i="1"/>
  <c r="BQ156" i="1"/>
  <c r="BQ134" i="1"/>
  <c r="BQ92" i="1"/>
  <c r="BQ67" i="1"/>
  <c r="BQ126" i="1"/>
  <c r="BQ145" i="1"/>
  <c r="BQ135" i="1"/>
  <c r="BQ159" i="1"/>
  <c r="BQ76" i="1"/>
  <c r="BQ114" i="1"/>
  <c r="BQ161" i="1"/>
  <c r="BQ160" i="1"/>
  <c r="BQ95" i="1"/>
  <c r="BQ120" i="1"/>
  <c r="BQ42" i="1"/>
  <c r="BQ183" i="1"/>
  <c r="BQ112" i="1"/>
  <c r="BQ148" i="1"/>
  <c r="BQ179" i="1"/>
  <c r="BQ128" i="1"/>
  <c r="BQ144" i="1"/>
  <c r="BQ110" i="1"/>
  <c r="BQ81" i="1"/>
  <c r="BQ100" i="1"/>
  <c r="BQ123" i="1"/>
  <c r="BQ86" i="1"/>
  <c r="BQ174" i="1"/>
  <c r="BQ201" i="1"/>
  <c r="BQ90" i="1"/>
  <c r="BQ102" i="1"/>
  <c r="BQ94" i="1"/>
  <c r="BQ119" i="1"/>
  <c r="BQ141" i="1"/>
  <c r="BQ147" i="1"/>
  <c r="BQ165" i="1"/>
  <c r="BQ132" i="1"/>
  <c r="BQ189" i="1"/>
  <c r="BQ133" i="1"/>
  <c r="BQ206" i="1"/>
  <c r="BQ78" i="1"/>
  <c r="BQ143" i="1"/>
  <c r="BQ150" i="1"/>
  <c r="BQ130" i="1"/>
  <c r="BQ96" i="1"/>
  <c r="BQ182" i="1"/>
  <c r="BQ195" i="1"/>
  <c r="BQ178" i="1"/>
  <c r="BQ181" i="1"/>
  <c r="BQ194" i="1"/>
  <c r="BQ208" i="1"/>
  <c r="BQ129" i="1"/>
  <c r="BQ180" i="1"/>
  <c r="BQ140" i="1"/>
  <c r="BQ125" i="1"/>
  <c r="BQ131" i="1"/>
  <c r="BQ173" i="1"/>
  <c r="BQ184" i="1"/>
  <c r="BQ190" i="1"/>
  <c r="BQ142" i="1"/>
  <c r="BQ69" i="1"/>
  <c r="BQ151" i="1"/>
  <c r="BQ193" i="1"/>
  <c r="BQ169" i="1"/>
  <c r="BQ166" i="1"/>
  <c r="BQ97" i="1"/>
  <c r="BQ79" i="1"/>
  <c r="BQ146" i="1"/>
  <c r="BQ204" i="1"/>
  <c r="BQ113" i="1"/>
  <c r="BQ172" i="1"/>
  <c r="BQ171" i="1"/>
  <c r="BQ185" i="1"/>
  <c r="BQ137" i="1"/>
  <c r="BQ205" i="1"/>
  <c r="BQ177" i="1"/>
  <c r="BQ199" i="1"/>
  <c r="BQ106" i="1"/>
  <c r="BQ203" i="1"/>
  <c r="BQ124" i="1"/>
  <c r="BQ170" i="1"/>
  <c r="BQ152" i="1"/>
  <c r="BQ118" i="1"/>
  <c r="BQ198" i="1"/>
  <c r="BQ200" i="1"/>
  <c r="BQ136" i="1"/>
  <c r="BQ108" i="1"/>
  <c r="BQ149" i="1"/>
  <c r="BQ187" i="1"/>
  <c r="BQ168" i="1"/>
  <c r="BQ162" i="1"/>
  <c r="BQ139" i="1"/>
  <c r="BQ196" i="1"/>
  <c r="BQ153" i="1"/>
  <c r="BQ197" i="1"/>
  <c r="BQ176" i="1"/>
  <c r="BQ202" i="1"/>
  <c r="BQ167" i="1"/>
  <c r="BQ207" i="1"/>
  <c r="BQ192" i="1"/>
  <c r="BP3" i="1"/>
  <c r="BP2" i="1"/>
  <c r="BP43" i="1"/>
  <c r="BP71" i="1"/>
  <c r="BP7" i="1"/>
  <c r="BP164" i="1"/>
  <c r="BP4" i="1"/>
  <c r="BP99" i="1"/>
  <c r="BP6" i="1"/>
  <c r="BP8" i="1"/>
  <c r="BP10" i="1"/>
  <c r="BP9" i="1"/>
  <c r="BP127" i="1"/>
  <c r="BP11" i="1"/>
  <c r="BP44" i="1"/>
  <c r="BP39" i="1"/>
  <c r="BP45" i="1"/>
  <c r="BP16" i="1"/>
  <c r="BP12" i="1"/>
  <c r="BP48" i="1"/>
  <c r="BP54" i="1"/>
  <c r="BP47" i="1"/>
  <c r="BP20" i="1"/>
  <c r="BP50" i="1"/>
  <c r="BP22" i="1"/>
  <c r="BP49" i="1"/>
  <c r="BP13" i="1"/>
  <c r="BP26" i="1"/>
  <c r="BP52" i="1"/>
  <c r="BP46" i="1"/>
  <c r="BP72" i="1"/>
  <c r="BP5" i="1"/>
  <c r="BP18" i="1"/>
  <c r="BP23" i="1"/>
  <c r="BP15" i="1"/>
  <c r="BP14" i="1"/>
  <c r="BP59" i="1"/>
  <c r="BP38" i="1"/>
  <c r="BP21" i="1"/>
  <c r="BP27" i="1"/>
  <c r="BP17" i="1"/>
  <c r="BP68" i="1"/>
  <c r="BP121" i="1"/>
  <c r="BP24" i="1"/>
  <c r="BP30" i="1"/>
  <c r="BP40" i="1"/>
  <c r="BP35" i="1"/>
  <c r="BP29" i="1"/>
  <c r="BP37" i="1"/>
  <c r="BP28" i="1"/>
  <c r="BP19" i="1"/>
  <c r="BP33" i="1"/>
  <c r="BP109" i="1"/>
  <c r="BP64" i="1"/>
  <c r="BP63" i="1"/>
  <c r="BP77" i="1"/>
  <c r="BP115" i="1"/>
  <c r="BP31" i="1"/>
  <c r="BP41" i="1"/>
  <c r="BP191" i="1"/>
  <c r="BP85" i="1"/>
  <c r="BP62" i="1"/>
  <c r="BP36" i="1"/>
  <c r="BP32" i="1"/>
  <c r="BP34" i="1"/>
  <c r="BP93" i="1"/>
  <c r="BP117" i="1"/>
  <c r="BP154" i="1"/>
  <c r="BP107" i="1"/>
  <c r="BP98" i="1"/>
  <c r="BP138" i="1"/>
  <c r="BP75" i="1"/>
  <c r="BP122" i="1"/>
  <c r="BP84" i="1"/>
  <c r="BP116" i="1"/>
  <c r="BP186" i="1"/>
  <c r="BP89" i="1"/>
  <c r="BP70" i="1"/>
  <c r="BP61" i="1"/>
  <c r="BP74" i="1"/>
  <c r="BP88" i="1"/>
  <c r="BP73" i="1"/>
  <c r="BP111" i="1"/>
  <c r="BP87" i="1"/>
  <c r="BP82" i="1"/>
  <c r="BP53" i="1"/>
  <c r="BP175" i="1"/>
  <c r="BP55" i="1"/>
  <c r="BP51" i="1"/>
  <c r="BP157" i="1"/>
  <c r="BP158" i="1"/>
  <c r="BP83" i="1"/>
  <c r="BP91" i="1"/>
  <c r="BP105" i="1"/>
  <c r="BP103" i="1"/>
  <c r="BP188" i="1"/>
  <c r="BP163" i="1"/>
  <c r="BP101" i="1"/>
  <c r="BP65" i="1"/>
  <c r="BP60" i="1"/>
  <c r="BP80" i="1"/>
  <c r="BP56" i="1"/>
  <c r="BP57" i="1"/>
  <c r="BP25" i="1"/>
  <c r="BP104" i="1"/>
  <c r="BP66" i="1"/>
  <c r="BP58" i="1"/>
  <c r="BP155" i="1"/>
  <c r="BP156" i="1"/>
  <c r="BP134" i="1"/>
  <c r="BP92" i="1"/>
  <c r="BP67" i="1"/>
  <c r="BP126" i="1"/>
  <c r="BP145" i="1"/>
  <c r="BP135" i="1"/>
  <c r="BP159" i="1"/>
  <c r="BP76" i="1"/>
  <c r="BP114" i="1"/>
  <c r="BP161" i="1"/>
  <c r="BP160" i="1"/>
  <c r="BP95" i="1"/>
  <c r="BP120" i="1"/>
  <c r="BP42" i="1"/>
  <c r="BP183" i="1"/>
  <c r="BP112" i="1"/>
  <c r="BP148" i="1"/>
  <c r="BP179" i="1"/>
  <c r="BP128" i="1"/>
  <c r="BP144" i="1"/>
  <c r="BP110" i="1"/>
  <c r="BP81" i="1"/>
  <c r="BP100" i="1"/>
  <c r="BP123" i="1"/>
  <c r="BP86" i="1"/>
  <c r="BP174" i="1"/>
  <c r="BP201" i="1"/>
  <c r="BP90" i="1"/>
  <c r="BP102" i="1"/>
  <c r="BP94" i="1"/>
  <c r="BP119" i="1"/>
  <c r="BP141" i="1"/>
  <c r="BP147" i="1"/>
  <c r="BP165" i="1"/>
  <c r="BP132" i="1"/>
  <c r="BP189" i="1"/>
  <c r="BP133" i="1"/>
  <c r="BP206" i="1"/>
  <c r="BP78" i="1"/>
  <c r="BP143" i="1"/>
  <c r="BP150" i="1"/>
  <c r="BP130" i="1"/>
  <c r="BP96" i="1"/>
  <c r="BP182" i="1"/>
  <c r="BP195" i="1"/>
  <c r="BP178" i="1"/>
  <c r="BP181" i="1"/>
  <c r="BP194" i="1"/>
  <c r="BP208" i="1"/>
  <c r="BP129" i="1"/>
  <c r="BP180" i="1"/>
  <c r="BP140" i="1"/>
  <c r="BP125" i="1"/>
  <c r="BP131" i="1"/>
  <c r="BP173" i="1"/>
  <c r="BP184" i="1"/>
  <c r="BP190" i="1"/>
  <c r="BP142" i="1"/>
  <c r="BP69" i="1"/>
  <c r="BP151" i="1"/>
  <c r="BP193" i="1"/>
  <c r="BP169" i="1"/>
  <c r="BP166" i="1"/>
  <c r="BP97" i="1"/>
  <c r="BP79" i="1"/>
  <c r="BP146" i="1"/>
  <c r="BP204" i="1"/>
  <c r="BP113" i="1"/>
  <c r="BP172" i="1"/>
  <c r="BP171" i="1"/>
  <c r="BP185" i="1"/>
  <c r="BP137" i="1"/>
  <c r="BP205" i="1"/>
  <c r="BP177" i="1"/>
  <c r="BP199" i="1"/>
  <c r="BP106" i="1"/>
  <c r="BP203" i="1"/>
  <c r="BP124" i="1"/>
  <c r="BP170" i="1"/>
  <c r="BP152" i="1"/>
  <c r="BP118" i="1"/>
  <c r="BP198" i="1"/>
  <c r="BP200" i="1"/>
  <c r="BP136" i="1"/>
  <c r="BP108" i="1"/>
  <c r="BP149" i="1"/>
  <c r="BP187" i="1"/>
  <c r="BP168" i="1"/>
  <c r="BP162" i="1"/>
  <c r="BP139" i="1"/>
  <c r="BP196" i="1"/>
  <c r="BP153" i="1"/>
  <c r="BP197" i="1"/>
  <c r="BP176" i="1"/>
  <c r="BP202" i="1"/>
  <c r="BP167" i="1"/>
  <c r="BP207" i="1"/>
  <c r="BP192" i="1"/>
  <c r="BO3" i="1"/>
  <c r="BO2" i="1"/>
  <c r="BO43" i="1"/>
  <c r="BO71" i="1"/>
  <c r="BO7" i="1"/>
  <c r="BO164" i="1"/>
  <c r="BO4" i="1"/>
  <c r="BO99" i="1"/>
  <c r="BO6" i="1"/>
  <c r="BO8" i="1"/>
  <c r="BO10" i="1"/>
  <c r="BO9" i="1"/>
  <c r="BO127" i="1"/>
  <c r="BO11" i="1"/>
  <c r="BO44" i="1"/>
  <c r="BO39" i="1"/>
  <c r="BO45" i="1"/>
  <c r="BO16" i="1"/>
  <c r="BO12" i="1"/>
  <c r="BO48" i="1"/>
  <c r="BO54" i="1"/>
  <c r="BO47" i="1"/>
  <c r="BO20" i="1"/>
  <c r="BO50" i="1"/>
  <c r="BO22" i="1"/>
  <c r="BO49" i="1"/>
  <c r="BO13" i="1"/>
  <c r="BO26" i="1"/>
  <c r="BO52" i="1"/>
  <c r="BO46" i="1"/>
  <c r="BO72" i="1"/>
  <c r="BO5" i="1"/>
  <c r="BO18" i="1"/>
  <c r="BO23" i="1"/>
  <c r="BO15" i="1"/>
  <c r="BO14" i="1"/>
  <c r="BO59" i="1"/>
  <c r="BO38" i="1"/>
  <c r="BO21" i="1"/>
  <c r="BO27" i="1"/>
  <c r="BO17" i="1"/>
  <c r="BO68" i="1"/>
  <c r="BO121" i="1"/>
  <c r="BO24" i="1"/>
  <c r="BO30" i="1"/>
  <c r="BO40" i="1"/>
  <c r="BO35" i="1"/>
  <c r="BO29" i="1"/>
  <c r="BO37" i="1"/>
  <c r="BO28" i="1"/>
  <c r="BO19" i="1"/>
  <c r="BO33" i="1"/>
  <c r="BO109" i="1"/>
  <c r="BO64" i="1"/>
  <c r="BO63" i="1"/>
  <c r="BO77" i="1"/>
  <c r="BO115" i="1"/>
  <c r="BO31" i="1"/>
  <c r="BO41" i="1"/>
  <c r="BO191" i="1"/>
  <c r="BO85" i="1"/>
  <c r="BO62" i="1"/>
  <c r="BO36" i="1"/>
  <c r="BO32" i="1"/>
  <c r="BO34" i="1"/>
  <c r="BO93" i="1"/>
  <c r="BO117" i="1"/>
  <c r="BO154" i="1"/>
  <c r="BO107" i="1"/>
  <c r="BO98" i="1"/>
  <c r="BO138" i="1"/>
  <c r="BO75" i="1"/>
  <c r="BO122" i="1"/>
  <c r="BO84" i="1"/>
  <c r="BO116" i="1"/>
  <c r="BO186" i="1"/>
  <c r="BO89" i="1"/>
  <c r="BO70" i="1"/>
  <c r="BO61" i="1"/>
  <c r="BO74" i="1"/>
  <c r="BO88" i="1"/>
  <c r="BO73" i="1"/>
  <c r="BO111" i="1"/>
  <c r="BO87" i="1"/>
  <c r="BO82" i="1"/>
  <c r="BO53" i="1"/>
  <c r="BO175" i="1"/>
  <c r="BO55" i="1"/>
  <c r="BO51" i="1"/>
  <c r="BO157" i="1"/>
  <c r="BO158" i="1"/>
  <c r="BO83" i="1"/>
  <c r="BO91" i="1"/>
  <c r="BO105" i="1"/>
  <c r="BO103" i="1"/>
  <c r="BO188" i="1"/>
  <c r="BO163" i="1"/>
  <c r="BO101" i="1"/>
  <c r="BO65" i="1"/>
  <c r="BO60" i="1"/>
  <c r="BO80" i="1"/>
  <c r="BO56" i="1"/>
  <c r="BO57" i="1"/>
  <c r="BO25" i="1"/>
  <c r="BO104" i="1"/>
  <c r="BO66" i="1"/>
  <c r="BO58" i="1"/>
  <c r="BO155" i="1"/>
  <c r="BO156" i="1"/>
  <c r="BO134" i="1"/>
  <c r="BO92" i="1"/>
  <c r="BO67" i="1"/>
  <c r="BO126" i="1"/>
  <c r="BO145" i="1"/>
  <c r="BO135" i="1"/>
  <c r="BO159" i="1"/>
  <c r="BO76" i="1"/>
  <c r="BO114" i="1"/>
  <c r="BO161" i="1"/>
  <c r="BO160" i="1"/>
  <c r="BO95" i="1"/>
  <c r="BO120" i="1"/>
  <c r="BO42" i="1"/>
  <c r="BO183" i="1"/>
  <c r="BO112" i="1"/>
  <c r="BO148" i="1"/>
  <c r="BO179" i="1"/>
  <c r="BO128" i="1"/>
  <c r="BO144" i="1"/>
  <c r="BO110" i="1"/>
  <c r="BO81" i="1"/>
  <c r="BO100" i="1"/>
  <c r="BO123" i="1"/>
  <c r="BO86" i="1"/>
  <c r="BO174" i="1"/>
  <c r="BO201" i="1"/>
  <c r="BO90" i="1"/>
  <c r="BO102" i="1"/>
  <c r="BO94" i="1"/>
  <c r="BO119" i="1"/>
  <c r="BO141" i="1"/>
  <c r="BO147" i="1"/>
  <c r="BO165" i="1"/>
  <c r="BO132" i="1"/>
  <c r="BO189" i="1"/>
  <c r="BO133" i="1"/>
  <c r="BO206" i="1"/>
  <c r="BO78" i="1"/>
  <c r="BO143" i="1"/>
  <c r="BO150" i="1"/>
  <c r="BO130" i="1"/>
  <c r="BO96" i="1"/>
  <c r="BO182" i="1"/>
  <c r="BO195" i="1"/>
  <c r="BO178" i="1"/>
  <c r="BO181" i="1"/>
  <c r="BO194" i="1"/>
  <c r="BO208" i="1"/>
  <c r="BO129" i="1"/>
  <c r="BO180" i="1"/>
  <c r="BO140" i="1"/>
  <c r="BO125" i="1"/>
  <c r="BO131" i="1"/>
  <c r="BO173" i="1"/>
  <c r="BO184" i="1"/>
  <c r="BO190" i="1"/>
  <c r="BO142" i="1"/>
  <c r="BO69" i="1"/>
  <c r="BO151" i="1"/>
  <c r="BO193" i="1"/>
  <c r="BO169" i="1"/>
  <c r="BO166" i="1"/>
  <c r="BO97" i="1"/>
  <c r="BO79" i="1"/>
  <c r="BO146" i="1"/>
  <c r="BO204" i="1"/>
  <c r="BO113" i="1"/>
  <c r="BO172" i="1"/>
  <c r="BO171" i="1"/>
  <c r="BO185" i="1"/>
  <c r="BO137" i="1"/>
  <c r="BO205" i="1"/>
  <c r="BO177" i="1"/>
  <c r="BO199" i="1"/>
  <c r="BO106" i="1"/>
  <c r="BO203" i="1"/>
  <c r="BO124" i="1"/>
  <c r="BO170" i="1"/>
  <c r="BO152" i="1"/>
  <c r="BO118" i="1"/>
  <c r="BO198" i="1"/>
  <c r="BO200" i="1"/>
  <c r="BO136" i="1"/>
  <c r="BO108" i="1"/>
  <c r="BO149" i="1"/>
  <c r="BO187" i="1"/>
  <c r="BO168" i="1"/>
  <c r="BO162" i="1"/>
  <c r="BO139" i="1"/>
  <c r="BO196" i="1"/>
  <c r="BO153" i="1"/>
  <c r="BO197" i="1"/>
  <c r="BO176" i="1"/>
  <c r="BO202" i="1"/>
  <c r="BO167" i="1"/>
  <c r="BO207" i="1"/>
  <c r="BO192" i="1"/>
  <c r="BN3" i="1"/>
  <c r="BN2" i="1"/>
  <c r="BN43" i="1"/>
  <c r="BN71" i="1"/>
  <c r="BN7" i="1"/>
  <c r="BN164" i="1"/>
  <c r="BN4" i="1"/>
  <c r="BN99" i="1"/>
  <c r="BN6" i="1"/>
  <c r="BN8" i="1"/>
  <c r="BN10" i="1"/>
  <c r="BN9" i="1"/>
  <c r="BN127" i="1"/>
  <c r="BN11" i="1"/>
  <c r="BN44" i="1"/>
  <c r="BN39" i="1"/>
  <c r="BN45" i="1"/>
  <c r="BN16" i="1"/>
  <c r="BN12" i="1"/>
  <c r="BN48" i="1"/>
  <c r="BN54" i="1"/>
  <c r="BN47" i="1"/>
  <c r="BN20" i="1"/>
  <c r="BN50" i="1"/>
  <c r="BN22" i="1"/>
  <c r="BN49" i="1"/>
  <c r="BN13" i="1"/>
  <c r="BN26" i="1"/>
  <c r="BN52" i="1"/>
  <c r="BN46" i="1"/>
  <c r="BN72" i="1"/>
  <c r="BN5" i="1"/>
  <c r="BN18" i="1"/>
  <c r="BN23" i="1"/>
  <c r="BN15" i="1"/>
  <c r="BN14" i="1"/>
  <c r="BN59" i="1"/>
  <c r="BN38" i="1"/>
  <c r="BN21" i="1"/>
  <c r="BN27" i="1"/>
  <c r="BN17" i="1"/>
  <c r="BN68" i="1"/>
  <c r="BN121" i="1"/>
  <c r="BN24" i="1"/>
  <c r="BN30" i="1"/>
  <c r="BN40" i="1"/>
  <c r="BN35" i="1"/>
  <c r="BN29" i="1"/>
  <c r="BN37" i="1"/>
  <c r="BN28" i="1"/>
  <c r="BN19" i="1"/>
  <c r="BN33" i="1"/>
  <c r="BN109" i="1"/>
  <c r="BN64" i="1"/>
  <c r="BN63" i="1"/>
  <c r="BN77" i="1"/>
  <c r="BN115" i="1"/>
  <c r="BN31" i="1"/>
  <c r="BN41" i="1"/>
  <c r="BN191" i="1"/>
  <c r="BN85" i="1"/>
  <c r="BN62" i="1"/>
  <c r="BN36" i="1"/>
  <c r="BN32" i="1"/>
  <c r="BN34" i="1"/>
  <c r="BN93" i="1"/>
  <c r="BN117" i="1"/>
  <c r="BN154" i="1"/>
  <c r="BN107" i="1"/>
  <c r="BN98" i="1"/>
  <c r="BN138" i="1"/>
  <c r="BN75" i="1"/>
  <c r="BN122" i="1"/>
  <c r="BN84" i="1"/>
  <c r="BN116" i="1"/>
  <c r="BN186" i="1"/>
  <c r="BN89" i="1"/>
  <c r="BN70" i="1"/>
  <c r="BN61" i="1"/>
  <c r="BN74" i="1"/>
  <c r="BN88" i="1"/>
  <c r="BN73" i="1"/>
  <c r="BN111" i="1"/>
  <c r="BN87" i="1"/>
  <c r="BN82" i="1"/>
  <c r="BN53" i="1"/>
  <c r="BN175" i="1"/>
  <c r="BN55" i="1"/>
  <c r="BN51" i="1"/>
  <c r="BN157" i="1"/>
  <c r="BN158" i="1"/>
  <c r="BN83" i="1"/>
  <c r="BN91" i="1"/>
  <c r="BN105" i="1"/>
  <c r="BN103" i="1"/>
  <c r="BN188" i="1"/>
  <c r="BN163" i="1"/>
  <c r="BN101" i="1"/>
  <c r="BN65" i="1"/>
  <c r="BN60" i="1"/>
  <c r="BN80" i="1"/>
  <c r="BN56" i="1"/>
  <c r="BN57" i="1"/>
  <c r="BN25" i="1"/>
  <c r="BN104" i="1"/>
  <c r="BN66" i="1"/>
  <c r="BN58" i="1"/>
  <c r="BN155" i="1"/>
  <c r="BN156" i="1"/>
  <c r="BN134" i="1"/>
  <c r="BN92" i="1"/>
  <c r="BN67" i="1"/>
  <c r="BN126" i="1"/>
  <c r="BN145" i="1"/>
  <c r="BN135" i="1"/>
  <c r="BN159" i="1"/>
  <c r="BN76" i="1"/>
  <c r="BN114" i="1"/>
  <c r="BN161" i="1"/>
  <c r="BN160" i="1"/>
  <c r="BN95" i="1"/>
  <c r="BN120" i="1"/>
  <c r="BN42" i="1"/>
  <c r="BN183" i="1"/>
  <c r="BN112" i="1"/>
  <c r="BN148" i="1"/>
  <c r="BN179" i="1"/>
  <c r="BN128" i="1"/>
  <c r="BN144" i="1"/>
  <c r="BN110" i="1"/>
  <c r="BN81" i="1"/>
  <c r="BN100" i="1"/>
  <c r="BN123" i="1"/>
  <c r="BN86" i="1"/>
  <c r="BN174" i="1"/>
  <c r="BN201" i="1"/>
  <c r="BN90" i="1"/>
  <c r="BN102" i="1"/>
  <c r="BN94" i="1"/>
  <c r="BN119" i="1"/>
  <c r="BN141" i="1"/>
  <c r="BN147" i="1"/>
  <c r="BN165" i="1"/>
  <c r="BN132" i="1"/>
  <c r="BN189" i="1"/>
  <c r="BN133" i="1"/>
  <c r="BN206" i="1"/>
  <c r="BN78" i="1"/>
  <c r="BN143" i="1"/>
  <c r="BN150" i="1"/>
  <c r="BN130" i="1"/>
  <c r="BN96" i="1"/>
  <c r="BN182" i="1"/>
  <c r="BN195" i="1"/>
  <c r="BN178" i="1"/>
  <c r="BN181" i="1"/>
  <c r="BN194" i="1"/>
  <c r="BN208" i="1"/>
  <c r="BN129" i="1"/>
  <c r="BN180" i="1"/>
  <c r="BN140" i="1"/>
  <c r="BN125" i="1"/>
  <c r="BN131" i="1"/>
  <c r="BN173" i="1"/>
  <c r="BN184" i="1"/>
  <c r="BN190" i="1"/>
  <c r="BN142" i="1"/>
  <c r="BN69" i="1"/>
  <c r="BN151" i="1"/>
  <c r="BN193" i="1"/>
  <c r="BN169" i="1"/>
  <c r="BN166" i="1"/>
  <c r="BN97" i="1"/>
  <c r="BN79" i="1"/>
  <c r="BN146" i="1"/>
  <c r="BN204" i="1"/>
  <c r="BN113" i="1"/>
  <c r="BN172" i="1"/>
  <c r="BN171" i="1"/>
  <c r="BN185" i="1"/>
  <c r="BN137" i="1"/>
  <c r="BN205" i="1"/>
  <c r="BN177" i="1"/>
  <c r="BN199" i="1"/>
  <c r="BN106" i="1"/>
  <c r="BN203" i="1"/>
  <c r="BN124" i="1"/>
  <c r="BN170" i="1"/>
  <c r="BN152" i="1"/>
  <c r="BN118" i="1"/>
  <c r="BN198" i="1"/>
  <c r="BN200" i="1"/>
  <c r="BN136" i="1"/>
  <c r="BN108" i="1"/>
  <c r="BN149" i="1"/>
  <c r="BN187" i="1"/>
  <c r="BN168" i="1"/>
  <c r="BN162" i="1"/>
  <c r="BN139" i="1"/>
  <c r="BN196" i="1"/>
  <c r="BN153" i="1"/>
  <c r="BN197" i="1"/>
  <c r="BN176" i="1"/>
  <c r="BN202" i="1"/>
  <c r="BN167" i="1"/>
  <c r="BN207" i="1"/>
  <c r="BN192" i="1"/>
  <c r="BM3" i="1"/>
  <c r="BM2" i="1"/>
  <c r="BM43" i="1"/>
  <c r="BM71" i="1"/>
  <c r="BM7" i="1"/>
  <c r="BM164" i="1"/>
  <c r="BM4" i="1"/>
  <c r="BM99" i="1"/>
  <c r="BM6" i="1"/>
  <c r="BM8" i="1"/>
  <c r="BM10" i="1"/>
  <c r="BM9" i="1"/>
  <c r="BM127" i="1"/>
  <c r="BM11" i="1"/>
  <c r="BM44" i="1"/>
  <c r="BM39" i="1"/>
  <c r="BM45" i="1"/>
  <c r="BM16" i="1"/>
  <c r="BM12" i="1"/>
  <c r="BM48" i="1"/>
  <c r="BM54" i="1"/>
  <c r="BM47" i="1"/>
  <c r="BM20" i="1"/>
  <c r="BM50" i="1"/>
  <c r="BM22" i="1"/>
  <c r="BM49" i="1"/>
  <c r="BM13" i="1"/>
  <c r="BM26" i="1"/>
  <c r="BM52" i="1"/>
  <c r="BM46" i="1"/>
  <c r="BM72" i="1"/>
  <c r="BM5" i="1"/>
  <c r="BM18" i="1"/>
  <c r="BM23" i="1"/>
  <c r="BM15" i="1"/>
  <c r="BM14" i="1"/>
  <c r="BM59" i="1"/>
  <c r="BM38" i="1"/>
  <c r="BM21" i="1"/>
  <c r="BM27" i="1"/>
  <c r="BM17" i="1"/>
  <c r="BM68" i="1"/>
  <c r="BM121" i="1"/>
  <c r="BM24" i="1"/>
  <c r="BM30" i="1"/>
  <c r="BM40" i="1"/>
  <c r="BM35" i="1"/>
  <c r="BM29" i="1"/>
  <c r="BM37" i="1"/>
  <c r="BM28" i="1"/>
  <c r="BM19" i="1"/>
  <c r="BM33" i="1"/>
  <c r="BM109" i="1"/>
  <c r="BM64" i="1"/>
  <c r="BM63" i="1"/>
  <c r="BM77" i="1"/>
  <c r="BM115" i="1"/>
  <c r="BM31" i="1"/>
  <c r="BM41" i="1"/>
  <c r="BM191" i="1"/>
  <c r="BM85" i="1"/>
  <c r="BM62" i="1"/>
  <c r="BM36" i="1"/>
  <c r="BM32" i="1"/>
  <c r="BM34" i="1"/>
  <c r="BM93" i="1"/>
  <c r="BM117" i="1"/>
  <c r="BM154" i="1"/>
  <c r="BM107" i="1"/>
  <c r="BM98" i="1"/>
  <c r="BM138" i="1"/>
  <c r="BM75" i="1"/>
  <c r="BM122" i="1"/>
  <c r="BM84" i="1"/>
  <c r="BM116" i="1"/>
  <c r="BM186" i="1"/>
  <c r="BM89" i="1"/>
  <c r="BM70" i="1"/>
  <c r="BM61" i="1"/>
  <c r="BM74" i="1"/>
  <c r="BM88" i="1"/>
  <c r="BM73" i="1"/>
  <c r="BM111" i="1"/>
  <c r="BM87" i="1"/>
  <c r="BM82" i="1"/>
  <c r="BM53" i="1"/>
  <c r="BM175" i="1"/>
  <c r="BM55" i="1"/>
  <c r="BM51" i="1"/>
  <c r="BM157" i="1"/>
  <c r="BM158" i="1"/>
  <c r="BM83" i="1"/>
  <c r="BM91" i="1"/>
  <c r="BM105" i="1"/>
  <c r="BM103" i="1"/>
  <c r="BM188" i="1"/>
  <c r="BM163" i="1"/>
  <c r="BM101" i="1"/>
  <c r="BM65" i="1"/>
  <c r="BM60" i="1"/>
  <c r="BM80" i="1"/>
  <c r="BM56" i="1"/>
  <c r="BM57" i="1"/>
  <c r="BM25" i="1"/>
  <c r="BM104" i="1"/>
  <c r="BM66" i="1"/>
  <c r="BM58" i="1"/>
  <c r="BM155" i="1"/>
  <c r="BM156" i="1"/>
  <c r="BM134" i="1"/>
  <c r="BM92" i="1"/>
  <c r="BM67" i="1"/>
  <c r="BM126" i="1"/>
  <c r="BM145" i="1"/>
  <c r="BM135" i="1"/>
  <c r="BM159" i="1"/>
  <c r="BM76" i="1"/>
  <c r="BM114" i="1"/>
  <c r="BM161" i="1"/>
  <c r="BM160" i="1"/>
  <c r="BM95" i="1"/>
  <c r="BM120" i="1"/>
  <c r="BM42" i="1"/>
  <c r="BM183" i="1"/>
  <c r="BM112" i="1"/>
  <c r="BM148" i="1"/>
  <c r="BM179" i="1"/>
  <c r="BM128" i="1"/>
  <c r="BM144" i="1"/>
  <c r="BM110" i="1"/>
  <c r="BM81" i="1"/>
  <c r="BM100" i="1"/>
  <c r="BM123" i="1"/>
  <c r="BM86" i="1"/>
  <c r="BM174" i="1"/>
  <c r="BM201" i="1"/>
  <c r="BM90" i="1"/>
  <c r="BM102" i="1"/>
  <c r="BM94" i="1"/>
  <c r="BM119" i="1"/>
  <c r="BM141" i="1"/>
  <c r="BM147" i="1"/>
  <c r="BM165" i="1"/>
  <c r="BM132" i="1"/>
  <c r="BM189" i="1"/>
  <c r="BM133" i="1"/>
  <c r="BM206" i="1"/>
  <c r="BM78" i="1"/>
  <c r="BM143" i="1"/>
  <c r="BM150" i="1"/>
  <c r="BM130" i="1"/>
  <c r="BM96" i="1"/>
  <c r="BM182" i="1"/>
  <c r="BM195" i="1"/>
  <c r="BM178" i="1"/>
  <c r="BM181" i="1"/>
  <c r="BM194" i="1"/>
  <c r="BM208" i="1"/>
  <c r="BM129" i="1"/>
  <c r="BM180" i="1"/>
  <c r="BM140" i="1"/>
  <c r="BM125" i="1"/>
  <c r="BM131" i="1"/>
  <c r="BM173" i="1"/>
  <c r="BM184" i="1"/>
  <c r="BM190" i="1"/>
  <c r="BM142" i="1"/>
  <c r="BM69" i="1"/>
  <c r="BM151" i="1"/>
  <c r="BM193" i="1"/>
  <c r="BM169" i="1"/>
  <c r="BM166" i="1"/>
  <c r="BM97" i="1"/>
  <c r="BM79" i="1"/>
  <c r="BM146" i="1"/>
  <c r="BM204" i="1"/>
  <c r="BM113" i="1"/>
  <c r="BM172" i="1"/>
  <c r="BM171" i="1"/>
  <c r="BM185" i="1"/>
  <c r="BM137" i="1"/>
  <c r="BM205" i="1"/>
  <c r="BM177" i="1"/>
  <c r="BM199" i="1"/>
  <c r="BM106" i="1"/>
  <c r="BM203" i="1"/>
  <c r="BM124" i="1"/>
  <c r="BM170" i="1"/>
  <c r="BM152" i="1"/>
  <c r="BM118" i="1"/>
  <c r="BM198" i="1"/>
  <c r="BM200" i="1"/>
  <c r="BM136" i="1"/>
  <c r="BM108" i="1"/>
  <c r="BM149" i="1"/>
  <c r="BM187" i="1"/>
  <c r="BM168" i="1"/>
  <c r="BM162" i="1"/>
  <c r="BM139" i="1"/>
  <c r="BM196" i="1"/>
  <c r="BM153" i="1"/>
  <c r="BM197" i="1"/>
  <c r="BM176" i="1"/>
  <c r="BM202" i="1"/>
  <c r="BM167" i="1"/>
  <c r="BM207" i="1"/>
  <c r="BM192" i="1"/>
  <c r="BL3" i="1"/>
  <c r="BL2" i="1"/>
  <c r="BL43" i="1"/>
  <c r="BL71" i="1"/>
  <c r="BL7" i="1"/>
  <c r="BL164" i="1"/>
  <c r="BL4" i="1"/>
  <c r="BL99" i="1"/>
  <c r="BL6" i="1"/>
  <c r="BL8" i="1"/>
  <c r="BL10" i="1"/>
  <c r="BL9" i="1"/>
  <c r="BL127" i="1"/>
  <c r="BL11" i="1"/>
  <c r="BL44" i="1"/>
  <c r="BL39" i="1"/>
  <c r="BL45" i="1"/>
  <c r="BL16" i="1"/>
  <c r="BL12" i="1"/>
  <c r="BL48" i="1"/>
  <c r="BL54" i="1"/>
  <c r="BL47" i="1"/>
  <c r="BL20" i="1"/>
  <c r="BL50" i="1"/>
  <c r="BL22" i="1"/>
  <c r="BL49" i="1"/>
  <c r="BL13" i="1"/>
  <c r="BL26" i="1"/>
  <c r="BL52" i="1"/>
  <c r="BL46" i="1"/>
  <c r="BL72" i="1"/>
  <c r="BL5" i="1"/>
  <c r="BL18" i="1"/>
  <c r="BL23" i="1"/>
  <c r="BL15" i="1"/>
  <c r="BL14" i="1"/>
  <c r="BL59" i="1"/>
  <c r="BL38" i="1"/>
  <c r="BL21" i="1"/>
  <c r="BL27" i="1"/>
  <c r="BL17" i="1"/>
  <c r="BL68" i="1"/>
  <c r="BL121" i="1"/>
  <c r="BL24" i="1"/>
  <c r="BL30" i="1"/>
  <c r="BL40" i="1"/>
  <c r="BL35" i="1"/>
  <c r="BL29" i="1"/>
  <c r="BL37" i="1"/>
  <c r="BL28" i="1"/>
  <c r="BL19" i="1"/>
  <c r="BL33" i="1"/>
  <c r="BL109" i="1"/>
  <c r="BL64" i="1"/>
  <c r="BL63" i="1"/>
  <c r="BL77" i="1"/>
  <c r="BL115" i="1"/>
  <c r="BL31" i="1"/>
  <c r="BL41" i="1"/>
  <c r="BL191" i="1"/>
  <c r="BL85" i="1"/>
  <c r="BL62" i="1"/>
  <c r="BL36" i="1"/>
  <c r="BL32" i="1"/>
  <c r="BL34" i="1"/>
  <c r="BL93" i="1"/>
  <c r="BL117" i="1"/>
  <c r="BL154" i="1"/>
  <c r="BL107" i="1"/>
  <c r="BL98" i="1"/>
  <c r="BL138" i="1"/>
  <c r="BL75" i="1"/>
  <c r="BL122" i="1"/>
  <c r="BL84" i="1"/>
  <c r="BL116" i="1"/>
  <c r="BL186" i="1"/>
  <c r="BL89" i="1"/>
  <c r="BL70" i="1"/>
  <c r="BL61" i="1"/>
  <c r="BL74" i="1"/>
  <c r="BL88" i="1"/>
  <c r="BL73" i="1"/>
  <c r="BL111" i="1"/>
  <c r="BL87" i="1"/>
  <c r="BL82" i="1"/>
  <c r="BL53" i="1"/>
  <c r="BL175" i="1"/>
  <c r="BL55" i="1"/>
  <c r="BL51" i="1"/>
  <c r="BL157" i="1"/>
  <c r="BL158" i="1"/>
  <c r="BL83" i="1"/>
  <c r="BL91" i="1"/>
  <c r="BL105" i="1"/>
  <c r="BL103" i="1"/>
  <c r="BL188" i="1"/>
  <c r="BL163" i="1"/>
  <c r="BL101" i="1"/>
  <c r="BL65" i="1"/>
  <c r="BL60" i="1"/>
  <c r="BL80" i="1"/>
  <c r="BL56" i="1"/>
  <c r="BL57" i="1"/>
  <c r="BL25" i="1"/>
  <c r="BL104" i="1"/>
  <c r="BL66" i="1"/>
  <c r="BL58" i="1"/>
  <c r="BL155" i="1"/>
  <c r="BL156" i="1"/>
  <c r="BL134" i="1"/>
  <c r="BL92" i="1"/>
  <c r="BL67" i="1"/>
  <c r="BL126" i="1"/>
  <c r="BL145" i="1"/>
  <c r="BL135" i="1"/>
  <c r="BL159" i="1"/>
  <c r="BL76" i="1"/>
  <c r="BL114" i="1"/>
  <c r="BL161" i="1"/>
  <c r="BL160" i="1"/>
  <c r="BL95" i="1"/>
  <c r="BL120" i="1"/>
  <c r="BL42" i="1"/>
  <c r="BL183" i="1"/>
  <c r="BL112" i="1"/>
  <c r="BL148" i="1"/>
  <c r="BL179" i="1"/>
  <c r="BL128" i="1"/>
  <c r="BL144" i="1"/>
  <c r="BL110" i="1"/>
  <c r="BL81" i="1"/>
  <c r="BL100" i="1"/>
  <c r="BL123" i="1"/>
  <c r="BL86" i="1"/>
  <c r="BL174" i="1"/>
  <c r="BL201" i="1"/>
  <c r="BL90" i="1"/>
  <c r="BL102" i="1"/>
  <c r="BL94" i="1"/>
  <c r="BL119" i="1"/>
  <c r="BL141" i="1"/>
  <c r="BL147" i="1"/>
  <c r="BL165" i="1"/>
  <c r="BL132" i="1"/>
  <c r="BL189" i="1"/>
  <c r="BL133" i="1"/>
  <c r="BL206" i="1"/>
  <c r="BL78" i="1"/>
  <c r="BL143" i="1"/>
  <c r="BL150" i="1"/>
  <c r="BL130" i="1"/>
  <c r="BL96" i="1"/>
  <c r="BL182" i="1"/>
  <c r="BL195" i="1"/>
  <c r="BL178" i="1"/>
  <c r="BL181" i="1"/>
  <c r="BL194" i="1"/>
  <c r="BL208" i="1"/>
  <c r="BL129" i="1"/>
  <c r="BL180" i="1"/>
  <c r="BL140" i="1"/>
  <c r="BL125" i="1"/>
  <c r="BL131" i="1"/>
  <c r="BL173" i="1"/>
  <c r="BL184" i="1"/>
  <c r="BL190" i="1"/>
  <c r="BL142" i="1"/>
  <c r="BL69" i="1"/>
  <c r="BL151" i="1"/>
  <c r="BL193" i="1"/>
  <c r="BL169" i="1"/>
  <c r="BL166" i="1"/>
  <c r="BL97" i="1"/>
  <c r="BL79" i="1"/>
  <c r="BL146" i="1"/>
  <c r="BL204" i="1"/>
  <c r="BL113" i="1"/>
  <c r="BL172" i="1"/>
  <c r="BL171" i="1"/>
  <c r="BL185" i="1"/>
  <c r="BL137" i="1"/>
  <c r="BL205" i="1"/>
  <c r="BL177" i="1"/>
  <c r="BL199" i="1"/>
  <c r="BL106" i="1"/>
  <c r="BL203" i="1"/>
  <c r="BL124" i="1"/>
  <c r="BL170" i="1"/>
  <c r="BL152" i="1"/>
  <c r="BL118" i="1"/>
  <c r="BL198" i="1"/>
  <c r="BL200" i="1"/>
  <c r="BL136" i="1"/>
  <c r="BL108" i="1"/>
  <c r="BL149" i="1"/>
  <c r="BL187" i="1"/>
  <c r="BL168" i="1"/>
  <c r="BL162" i="1"/>
  <c r="BL139" i="1"/>
  <c r="BL196" i="1"/>
  <c r="BL153" i="1"/>
  <c r="BL197" i="1"/>
  <c r="BL176" i="1"/>
  <c r="BL202" i="1"/>
  <c r="BL167" i="1"/>
  <c r="BL207" i="1"/>
  <c r="BL192" i="1"/>
  <c r="BK3" i="1"/>
  <c r="BK2" i="1"/>
  <c r="BK43" i="1"/>
  <c r="BK71" i="1"/>
  <c r="BK7" i="1"/>
  <c r="BK164" i="1"/>
  <c r="BK4" i="1"/>
  <c r="BK99" i="1"/>
  <c r="BK6" i="1"/>
  <c r="BK8" i="1"/>
  <c r="BK10" i="1"/>
  <c r="BK9" i="1"/>
  <c r="BK127" i="1"/>
  <c r="BK11" i="1"/>
  <c r="BK44" i="1"/>
  <c r="BK39" i="1"/>
  <c r="BK45" i="1"/>
  <c r="BK16" i="1"/>
  <c r="BK12" i="1"/>
  <c r="BK48" i="1"/>
  <c r="BK54" i="1"/>
  <c r="BK47" i="1"/>
  <c r="BK20" i="1"/>
  <c r="BK50" i="1"/>
  <c r="BK22" i="1"/>
  <c r="BK49" i="1"/>
  <c r="BK13" i="1"/>
  <c r="BK26" i="1"/>
  <c r="BK52" i="1"/>
  <c r="BK46" i="1"/>
  <c r="BK72" i="1"/>
  <c r="BK5" i="1"/>
  <c r="BK18" i="1"/>
  <c r="BK23" i="1"/>
  <c r="BK15" i="1"/>
  <c r="BK14" i="1"/>
  <c r="BK59" i="1"/>
  <c r="BK38" i="1"/>
  <c r="BK21" i="1"/>
  <c r="BK27" i="1"/>
  <c r="BK17" i="1"/>
  <c r="BK68" i="1"/>
  <c r="BK121" i="1"/>
  <c r="BK24" i="1"/>
  <c r="BK30" i="1"/>
  <c r="BK40" i="1"/>
  <c r="BK35" i="1"/>
  <c r="BK29" i="1"/>
  <c r="BK37" i="1"/>
  <c r="BK28" i="1"/>
  <c r="BK19" i="1"/>
  <c r="BK33" i="1"/>
  <c r="BK109" i="1"/>
  <c r="BK64" i="1"/>
  <c r="BK63" i="1"/>
  <c r="BK77" i="1"/>
  <c r="BK115" i="1"/>
  <c r="BK31" i="1"/>
  <c r="BK41" i="1"/>
  <c r="BK191" i="1"/>
  <c r="BK85" i="1"/>
  <c r="BK62" i="1"/>
  <c r="BK36" i="1"/>
  <c r="BK32" i="1"/>
  <c r="BK34" i="1"/>
  <c r="BK93" i="1"/>
  <c r="BK117" i="1"/>
  <c r="BK154" i="1"/>
  <c r="BK107" i="1"/>
  <c r="BK98" i="1"/>
  <c r="BK138" i="1"/>
  <c r="BK75" i="1"/>
  <c r="BK122" i="1"/>
  <c r="BK84" i="1"/>
  <c r="BK116" i="1"/>
  <c r="BK186" i="1"/>
  <c r="BK89" i="1"/>
  <c r="BK70" i="1"/>
  <c r="BK61" i="1"/>
  <c r="BK74" i="1"/>
  <c r="BK88" i="1"/>
  <c r="BK73" i="1"/>
  <c r="BK111" i="1"/>
  <c r="BK87" i="1"/>
  <c r="BK82" i="1"/>
  <c r="BK53" i="1"/>
  <c r="BK175" i="1"/>
  <c r="BK55" i="1"/>
  <c r="BK51" i="1"/>
  <c r="BK157" i="1"/>
  <c r="BK158" i="1"/>
  <c r="BK83" i="1"/>
  <c r="BK91" i="1"/>
  <c r="BK105" i="1"/>
  <c r="BK103" i="1"/>
  <c r="BK188" i="1"/>
  <c r="BK163" i="1"/>
  <c r="BK101" i="1"/>
  <c r="BK65" i="1"/>
  <c r="BK60" i="1"/>
  <c r="BK80" i="1"/>
  <c r="BK56" i="1"/>
  <c r="BK57" i="1"/>
  <c r="BK25" i="1"/>
  <c r="BK104" i="1"/>
  <c r="BK66" i="1"/>
  <c r="BK58" i="1"/>
  <c r="BK155" i="1"/>
  <c r="BK156" i="1"/>
  <c r="BK134" i="1"/>
  <c r="BK92" i="1"/>
  <c r="BK67" i="1"/>
  <c r="BK126" i="1"/>
  <c r="BK145" i="1"/>
  <c r="BK135" i="1"/>
  <c r="BK159" i="1"/>
  <c r="BK76" i="1"/>
  <c r="BK114" i="1"/>
  <c r="BK161" i="1"/>
  <c r="BK160" i="1"/>
  <c r="BK95" i="1"/>
  <c r="BK120" i="1"/>
  <c r="BK42" i="1"/>
  <c r="BK183" i="1"/>
  <c r="BK112" i="1"/>
  <c r="BK148" i="1"/>
  <c r="BK179" i="1"/>
  <c r="BK128" i="1"/>
  <c r="BK144" i="1"/>
  <c r="BK110" i="1"/>
  <c r="BK81" i="1"/>
  <c r="BK100" i="1"/>
  <c r="BK123" i="1"/>
  <c r="BK86" i="1"/>
  <c r="BK174" i="1"/>
  <c r="BK201" i="1"/>
  <c r="BK90" i="1"/>
  <c r="BK102" i="1"/>
  <c r="BK94" i="1"/>
  <c r="BK119" i="1"/>
  <c r="BK141" i="1"/>
  <c r="BK147" i="1"/>
  <c r="BK165" i="1"/>
  <c r="BK132" i="1"/>
  <c r="BK189" i="1"/>
  <c r="BK133" i="1"/>
  <c r="BK206" i="1"/>
  <c r="BK78" i="1"/>
  <c r="BK143" i="1"/>
  <c r="BK150" i="1"/>
  <c r="BK130" i="1"/>
  <c r="BK96" i="1"/>
  <c r="BK182" i="1"/>
  <c r="BK195" i="1"/>
  <c r="BK178" i="1"/>
  <c r="BK181" i="1"/>
  <c r="BK194" i="1"/>
  <c r="BK208" i="1"/>
  <c r="BK129" i="1"/>
  <c r="BK180" i="1"/>
  <c r="BK140" i="1"/>
  <c r="BK125" i="1"/>
  <c r="BK131" i="1"/>
  <c r="BK173" i="1"/>
  <c r="BK184" i="1"/>
  <c r="BK190" i="1"/>
  <c r="BK142" i="1"/>
  <c r="BK69" i="1"/>
  <c r="BK151" i="1"/>
  <c r="BK193" i="1"/>
  <c r="BK169" i="1"/>
  <c r="BK166" i="1"/>
  <c r="BK97" i="1"/>
  <c r="BK79" i="1"/>
  <c r="BK146" i="1"/>
  <c r="BK204" i="1"/>
  <c r="BK113" i="1"/>
  <c r="BK172" i="1"/>
  <c r="BK171" i="1"/>
  <c r="BK185" i="1"/>
  <c r="BK137" i="1"/>
  <c r="BK205" i="1"/>
  <c r="BK177" i="1"/>
  <c r="BK199" i="1"/>
  <c r="BK106" i="1"/>
  <c r="BK203" i="1"/>
  <c r="BK124" i="1"/>
  <c r="BK170" i="1"/>
  <c r="BK152" i="1"/>
  <c r="BK118" i="1"/>
  <c r="BK198" i="1"/>
  <c r="BK200" i="1"/>
  <c r="BK136" i="1"/>
  <c r="BK108" i="1"/>
  <c r="BK149" i="1"/>
  <c r="BK187" i="1"/>
  <c r="BK168" i="1"/>
  <c r="BK162" i="1"/>
  <c r="BK139" i="1"/>
  <c r="BK196" i="1"/>
  <c r="BK153" i="1"/>
  <c r="BK197" i="1"/>
  <c r="BK176" i="1"/>
  <c r="BK202" i="1"/>
  <c r="BK167" i="1"/>
  <c r="BK207" i="1"/>
  <c r="BK192" i="1"/>
  <c r="BJ3" i="1"/>
  <c r="BJ2" i="1"/>
  <c r="BJ43" i="1"/>
  <c r="BJ71" i="1"/>
  <c r="BJ7" i="1"/>
  <c r="BJ164" i="1"/>
  <c r="BJ4" i="1"/>
  <c r="BJ99" i="1"/>
  <c r="BJ6" i="1"/>
  <c r="BJ8" i="1"/>
  <c r="BJ10" i="1"/>
  <c r="BJ9" i="1"/>
  <c r="BJ127" i="1"/>
  <c r="BJ11" i="1"/>
  <c r="BJ44" i="1"/>
  <c r="BJ39" i="1"/>
  <c r="BJ45" i="1"/>
  <c r="BJ16" i="1"/>
  <c r="BJ12" i="1"/>
  <c r="BJ48" i="1"/>
  <c r="BJ54" i="1"/>
  <c r="BJ47" i="1"/>
  <c r="BJ20" i="1"/>
  <c r="BJ50" i="1"/>
  <c r="BJ22" i="1"/>
  <c r="BJ49" i="1"/>
  <c r="BJ13" i="1"/>
  <c r="BJ26" i="1"/>
  <c r="BJ52" i="1"/>
  <c r="BJ46" i="1"/>
  <c r="BJ72" i="1"/>
  <c r="BJ5" i="1"/>
  <c r="BJ18" i="1"/>
  <c r="BJ23" i="1"/>
  <c r="BJ15" i="1"/>
  <c r="BJ14" i="1"/>
  <c r="BJ59" i="1"/>
  <c r="BJ38" i="1"/>
  <c r="BJ21" i="1"/>
  <c r="BJ27" i="1"/>
  <c r="BJ17" i="1"/>
  <c r="BJ68" i="1"/>
  <c r="BJ121" i="1"/>
  <c r="BJ24" i="1"/>
  <c r="BJ30" i="1"/>
  <c r="BJ40" i="1"/>
  <c r="BJ35" i="1"/>
  <c r="BJ29" i="1"/>
  <c r="BJ37" i="1"/>
  <c r="BJ28" i="1"/>
  <c r="BJ19" i="1"/>
  <c r="BJ33" i="1"/>
  <c r="BJ109" i="1"/>
  <c r="BJ64" i="1"/>
  <c r="BJ63" i="1"/>
  <c r="BJ77" i="1"/>
  <c r="BJ115" i="1"/>
  <c r="BJ31" i="1"/>
  <c r="BJ41" i="1"/>
  <c r="BJ191" i="1"/>
  <c r="BJ85" i="1"/>
  <c r="BJ62" i="1"/>
  <c r="BJ36" i="1"/>
  <c r="BJ32" i="1"/>
  <c r="BJ34" i="1"/>
  <c r="BJ93" i="1"/>
  <c r="BJ117" i="1"/>
  <c r="BJ154" i="1"/>
  <c r="BJ107" i="1"/>
  <c r="BJ98" i="1"/>
  <c r="BJ138" i="1"/>
  <c r="BJ75" i="1"/>
  <c r="BJ122" i="1"/>
  <c r="BJ84" i="1"/>
  <c r="BJ116" i="1"/>
  <c r="BJ186" i="1"/>
  <c r="BJ89" i="1"/>
  <c r="BJ70" i="1"/>
  <c r="BJ61" i="1"/>
  <c r="BJ74" i="1"/>
  <c r="BJ88" i="1"/>
  <c r="BJ73" i="1"/>
  <c r="BJ111" i="1"/>
  <c r="BJ87" i="1"/>
  <c r="BJ82" i="1"/>
  <c r="BJ53" i="1"/>
  <c r="BJ175" i="1"/>
  <c r="BJ55" i="1"/>
  <c r="BJ51" i="1"/>
  <c r="BJ157" i="1"/>
  <c r="BJ158" i="1"/>
  <c r="BJ83" i="1"/>
  <c r="BJ91" i="1"/>
  <c r="BJ105" i="1"/>
  <c r="BJ103" i="1"/>
  <c r="BJ188" i="1"/>
  <c r="BJ163" i="1"/>
  <c r="BJ101" i="1"/>
  <c r="BJ65" i="1"/>
  <c r="BJ60" i="1"/>
  <c r="BJ80" i="1"/>
  <c r="BJ56" i="1"/>
  <c r="BJ57" i="1"/>
  <c r="BJ25" i="1"/>
  <c r="BJ104" i="1"/>
  <c r="BJ66" i="1"/>
  <c r="BJ58" i="1"/>
  <c r="BJ155" i="1"/>
  <c r="BJ156" i="1"/>
  <c r="BJ134" i="1"/>
  <c r="BJ92" i="1"/>
  <c r="BJ67" i="1"/>
  <c r="BJ126" i="1"/>
  <c r="BJ145" i="1"/>
  <c r="BJ135" i="1"/>
  <c r="BJ159" i="1"/>
  <c r="BJ76" i="1"/>
  <c r="BJ114" i="1"/>
  <c r="BJ161" i="1"/>
  <c r="BJ160" i="1"/>
  <c r="BJ95" i="1"/>
  <c r="BJ120" i="1"/>
  <c r="BJ42" i="1"/>
  <c r="BJ183" i="1"/>
  <c r="BJ112" i="1"/>
  <c r="BJ148" i="1"/>
  <c r="BJ179" i="1"/>
  <c r="BJ128" i="1"/>
  <c r="BJ144" i="1"/>
  <c r="BJ110" i="1"/>
  <c r="BJ81" i="1"/>
  <c r="BJ100" i="1"/>
  <c r="BJ123" i="1"/>
  <c r="BJ86" i="1"/>
  <c r="BJ174" i="1"/>
  <c r="BJ201" i="1"/>
  <c r="BJ90" i="1"/>
  <c r="BJ102" i="1"/>
  <c r="BJ94" i="1"/>
  <c r="BJ119" i="1"/>
  <c r="BJ141" i="1"/>
  <c r="BJ147" i="1"/>
  <c r="BJ165" i="1"/>
  <c r="BJ132" i="1"/>
  <c r="BJ189" i="1"/>
  <c r="BJ133" i="1"/>
  <c r="BJ206" i="1"/>
  <c r="BJ78" i="1"/>
  <c r="BJ143" i="1"/>
  <c r="BJ150" i="1"/>
  <c r="BJ130" i="1"/>
  <c r="BJ96" i="1"/>
  <c r="BJ182" i="1"/>
  <c r="BJ195" i="1"/>
  <c r="BJ178" i="1"/>
  <c r="BJ181" i="1"/>
  <c r="BJ194" i="1"/>
  <c r="BJ208" i="1"/>
  <c r="BJ129" i="1"/>
  <c r="BJ180" i="1"/>
  <c r="BJ140" i="1"/>
  <c r="BJ125" i="1"/>
  <c r="BJ131" i="1"/>
  <c r="BJ173" i="1"/>
  <c r="BJ184" i="1"/>
  <c r="BJ190" i="1"/>
  <c r="BJ142" i="1"/>
  <c r="BJ69" i="1"/>
  <c r="BJ151" i="1"/>
  <c r="BJ193" i="1"/>
  <c r="BJ169" i="1"/>
  <c r="BJ166" i="1"/>
  <c r="BJ97" i="1"/>
  <c r="BJ79" i="1"/>
  <c r="BJ146" i="1"/>
  <c r="BJ204" i="1"/>
  <c r="BJ113" i="1"/>
  <c r="BJ172" i="1"/>
  <c r="BJ171" i="1"/>
  <c r="BJ185" i="1"/>
  <c r="BJ137" i="1"/>
  <c r="BJ205" i="1"/>
  <c r="BJ177" i="1"/>
  <c r="BJ199" i="1"/>
  <c r="BJ106" i="1"/>
  <c r="BJ203" i="1"/>
  <c r="BJ124" i="1"/>
  <c r="BJ170" i="1"/>
  <c r="BJ152" i="1"/>
  <c r="BJ118" i="1"/>
  <c r="BJ198" i="1"/>
  <c r="BJ200" i="1"/>
  <c r="BJ136" i="1"/>
  <c r="BJ108" i="1"/>
  <c r="BJ149" i="1"/>
  <c r="BJ187" i="1"/>
  <c r="BJ168" i="1"/>
  <c r="BJ162" i="1"/>
  <c r="BJ139" i="1"/>
  <c r="BJ196" i="1"/>
  <c r="BJ153" i="1"/>
  <c r="BJ197" i="1"/>
  <c r="BJ176" i="1"/>
  <c r="BJ202" i="1"/>
  <c r="BJ167" i="1"/>
  <c r="BJ207" i="1"/>
  <c r="BJ192" i="1"/>
  <c r="BI3" i="1"/>
  <c r="BI2" i="1"/>
  <c r="BI43" i="1"/>
  <c r="BI71" i="1"/>
  <c r="BI7" i="1"/>
  <c r="BI164" i="1"/>
  <c r="BI4" i="1"/>
  <c r="BI99" i="1"/>
  <c r="BI6" i="1"/>
  <c r="BI8" i="1"/>
  <c r="BI10" i="1"/>
  <c r="BI9" i="1"/>
  <c r="BI127" i="1"/>
  <c r="BI11" i="1"/>
  <c r="BI44" i="1"/>
  <c r="BI39" i="1"/>
  <c r="BI45" i="1"/>
  <c r="BI16" i="1"/>
  <c r="BI12" i="1"/>
  <c r="BI48" i="1"/>
  <c r="BI54" i="1"/>
  <c r="BI47" i="1"/>
  <c r="BI20" i="1"/>
  <c r="BI50" i="1"/>
  <c r="BI22" i="1"/>
  <c r="BI49" i="1"/>
  <c r="BI13" i="1"/>
  <c r="BI26" i="1"/>
  <c r="BI52" i="1"/>
  <c r="BI46" i="1"/>
  <c r="BI72" i="1"/>
  <c r="BI5" i="1"/>
  <c r="BI18" i="1"/>
  <c r="BI23" i="1"/>
  <c r="BI15" i="1"/>
  <c r="BI14" i="1"/>
  <c r="BI59" i="1"/>
  <c r="BI38" i="1"/>
  <c r="BI21" i="1"/>
  <c r="BI27" i="1"/>
  <c r="BI17" i="1"/>
  <c r="BI68" i="1"/>
  <c r="BI121" i="1"/>
  <c r="BI24" i="1"/>
  <c r="BI30" i="1"/>
  <c r="BI40" i="1"/>
  <c r="BI35" i="1"/>
  <c r="BI29" i="1"/>
  <c r="BI37" i="1"/>
  <c r="BI28" i="1"/>
  <c r="BI19" i="1"/>
  <c r="BI33" i="1"/>
  <c r="BI109" i="1"/>
  <c r="BI64" i="1"/>
  <c r="BI63" i="1"/>
  <c r="BI77" i="1"/>
  <c r="BI115" i="1"/>
  <c r="BI31" i="1"/>
  <c r="BI41" i="1"/>
  <c r="BI191" i="1"/>
  <c r="BI85" i="1"/>
  <c r="BI62" i="1"/>
  <c r="BI36" i="1"/>
  <c r="BI32" i="1"/>
  <c r="BI34" i="1"/>
  <c r="BI93" i="1"/>
  <c r="BI117" i="1"/>
  <c r="BI154" i="1"/>
  <c r="BI107" i="1"/>
  <c r="BI98" i="1"/>
  <c r="BI138" i="1"/>
  <c r="BI75" i="1"/>
  <c r="BI122" i="1"/>
  <c r="BI84" i="1"/>
  <c r="BI116" i="1"/>
  <c r="BI186" i="1"/>
  <c r="BI89" i="1"/>
  <c r="BI70" i="1"/>
  <c r="BI61" i="1"/>
  <c r="BI74" i="1"/>
  <c r="BI88" i="1"/>
  <c r="BI73" i="1"/>
  <c r="BI111" i="1"/>
  <c r="BI87" i="1"/>
  <c r="BI82" i="1"/>
  <c r="BI53" i="1"/>
  <c r="BI175" i="1"/>
  <c r="BI55" i="1"/>
  <c r="BI51" i="1"/>
  <c r="BI157" i="1"/>
  <c r="BI158" i="1"/>
  <c r="BI83" i="1"/>
  <c r="BI91" i="1"/>
  <c r="BI105" i="1"/>
  <c r="BI103" i="1"/>
  <c r="BI188" i="1"/>
  <c r="BI163" i="1"/>
  <c r="BI101" i="1"/>
  <c r="BI65" i="1"/>
  <c r="BI60" i="1"/>
  <c r="BI80" i="1"/>
  <c r="BI56" i="1"/>
  <c r="BI57" i="1"/>
  <c r="BI25" i="1"/>
  <c r="BI104" i="1"/>
  <c r="BI66" i="1"/>
  <c r="BI58" i="1"/>
  <c r="BI155" i="1"/>
  <c r="BI156" i="1"/>
  <c r="BI134" i="1"/>
  <c r="BI92" i="1"/>
  <c r="BI67" i="1"/>
  <c r="BI126" i="1"/>
  <c r="BI145" i="1"/>
  <c r="BI135" i="1"/>
  <c r="BI159" i="1"/>
  <c r="BI76" i="1"/>
  <c r="BI114" i="1"/>
  <c r="BI161" i="1"/>
  <c r="BI160" i="1"/>
  <c r="BI95" i="1"/>
  <c r="BI120" i="1"/>
  <c r="BI42" i="1"/>
  <c r="BI183" i="1"/>
  <c r="BI112" i="1"/>
  <c r="BI148" i="1"/>
  <c r="BI179" i="1"/>
  <c r="BI128" i="1"/>
  <c r="BI144" i="1"/>
  <c r="BI110" i="1"/>
  <c r="BI81" i="1"/>
  <c r="BI100" i="1"/>
  <c r="BI123" i="1"/>
  <c r="BI86" i="1"/>
  <c r="BI174" i="1"/>
  <c r="BI201" i="1"/>
  <c r="BI90" i="1"/>
  <c r="BI102" i="1"/>
  <c r="BI94" i="1"/>
  <c r="BI119" i="1"/>
  <c r="BI141" i="1"/>
  <c r="BI147" i="1"/>
  <c r="BI165" i="1"/>
  <c r="BI132" i="1"/>
  <c r="BI189" i="1"/>
  <c r="BI133" i="1"/>
  <c r="BI206" i="1"/>
  <c r="BI78" i="1"/>
  <c r="BI143" i="1"/>
  <c r="BI150" i="1"/>
  <c r="BI130" i="1"/>
  <c r="BI96" i="1"/>
  <c r="BI182" i="1"/>
  <c r="BI195" i="1"/>
  <c r="BI178" i="1"/>
  <c r="BI181" i="1"/>
  <c r="BI194" i="1"/>
  <c r="BI208" i="1"/>
  <c r="BI129" i="1"/>
  <c r="BI180" i="1"/>
  <c r="BI140" i="1"/>
  <c r="BI125" i="1"/>
  <c r="BI131" i="1"/>
  <c r="BI173" i="1"/>
  <c r="BI184" i="1"/>
  <c r="BI190" i="1"/>
  <c r="BI142" i="1"/>
  <c r="BI69" i="1"/>
  <c r="BI151" i="1"/>
  <c r="BI193" i="1"/>
  <c r="BI169" i="1"/>
  <c r="BI166" i="1"/>
  <c r="BI97" i="1"/>
  <c r="BI79" i="1"/>
  <c r="BI146" i="1"/>
  <c r="BI204" i="1"/>
  <c r="BI113" i="1"/>
  <c r="BI172" i="1"/>
  <c r="BI171" i="1"/>
  <c r="BI185" i="1"/>
  <c r="BI137" i="1"/>
  <c r="BI205" i="1"/>
  <c r="BI177" i="1"/>
  <c r="BI199" i="1"/>
  <c r="BI106" i="1"/>
  <c r="BI203" i="1"/>
  <c r="BI124" i="1"/>
  <c r="BI170" i="1"/>
  <c r="BI152" i="1"/>
  <c r="BI118" i="1"/>
  <c r="BI198" i="1"/>
  <c r="BI200" i="1"/>
  <c r="BI136" i="1"/>
  <c r="BI108" i="1"/>
  <c r="BI149" i="1"/>
  <c r="BI187" i="1"/>
  <c r="BI168" i="1"/>
  <c r="BI162" i="1"/>
  <c r="BI139" i="1"/>
  <c r="BI196" i="1"/>
  <c r="BI153" i="1"/>
  <c r="BI197" i="1"/>
  <c r="BI176" i="1"/>
  <c r="BI202" i="1"/>
  <c r="BI167" i="1"/>
  <c r="BI207" i="1"/>
  <c r="BI192" i="1"/>
  <c r="BH3" i="1"/>
  <c r="BH2" i="1"/>
  <c r="BH43" i="1"/>
  <c r="BH71" i="1"/>
  <c r="BH7" i="1"/>
  <c r="BH164" i="1"/>
  <c r="BH4" i="1"/>
  <c r="BH99" i="1"/>
  <c r="BH6" i="1"/>
  <c r="BH8" i="1"/>
  <c r="BH10" i="1"/>
  <c r="BH9" i="1"/>
  <c r="BH127" i="1"/>
  <c r="BH11" i="1"/>
  <c r="BH44" i="1"/>
  <c r="BH39" i="1"/>
  <c r="BH45" i="1"/>
  <c r="BH16" i="1"/>
  <c r="BH12" i="1"/>
  <c r="BH48" i="1"/>
  <c r="BH54" i="1"/>
  <c r="BH47" i="1"/>
  <c r="BH20" i="1"/>
  <c r="BH50" i="1"/>
  <c r="BH22" i="1"/>
  <c r="BH49" i="1"/>
  <c r="BH13" i="1"/>
  <c r="BH26" i="1"/>
  <c r="BH52" i="1"/>
  <c r="BH46" i="1"/>
  <c r="BH72" i="1"/>
  <c r="BH5" i="1"/>
  <c r="BH18" i="1"/>
  <c r="BH23" i="1"/>
  <c r="BH15" i="1"/>
  <c r="BH14" i="1"/>
  <c r="BH59" i="1"/>
  <c r="BH38" i="1"/>
  <c r="BH21" i="1"/>
  <c r="BH27" i="1"/>
  <c r="BH17" i="1"/>
  <c r="BH68" i="1"/>
  <c r="BH121" i="1"/>
  <c r="BH24" i="1"/>
  <c r="BH30" i="1"/>
  <c r="BH40" i="1"/>
  <c r="BH35" i="1"/>
  <c r="BH29" i="1"/>
  <c r="BH37" i="1"/>
  <c r="BH28" i="1"/>
  <c r="BH19" i="1"/>
  <c r="BH33" i="1"/>
  <c r="BH109" i="1"/>
  <c r="BH64" i="1"/>
  <c r="BH63" i="1"/>
  <c r="BH77" i="1"/>
  <c r="BH115" i="1"/>
  <c r="BH31" i="1"/>
  <c r="BH41" i="1"/>
  <c r="BH191" i="1"/>
  <c r="BH85" i="1"/>
  <c r="BH62" i="1"/>
  <c r="BH36" i="1"/>
  <c r="BH32" i="1"/>
  <c r="BH34" i="1"/>
  <c r="BH93" i="1"/>
  <c r="BH117" i="1"/>
  <c r="BH154" i="1"/>
  <c r="BH107" i="1"/>
  <c r="BH98" i="1"/>
  <c r="BH138" i="1"/>
  <c r="BH75" i="1"/>
  <c r="BH122" i="1"/>
  <c r="BH84" i="1"/>
  <c r="BH116" i="1"/>
  <c r="BH186" i="1"/>
  <c r="BH89" i="1"/>
  <c r="BH70" i="1"/>
  <c r="BH61" i="1"/>
  <c r="BH74" i="1"/>
  <c r="BH88" i="1"/>
  <c r="BH73" i="1"/>
  <c r="BH111" i="1"/>
  <c r="BH87" i="1"/>
  <c r="BH82" i="1"/>
  <c r="BH53" i="1"/>
  <c r="BH175" i="1"/>
  <c r="BH55" i="1"/>
  <c r="BH51" i="1"/>
  <c r="BH157" i="1"/>
  <c r="BH158" i="1"/>
  <c r="BH83" i="1"/>
  <c r="BH91" i="1"/>
  <c r="BH105" i="1"/>
  <c r="BH103" i="1"/>
  <c r="BH188" i="1"/>
  <c r="BH163" i="1"/>
  <c r="BH101" i="1"/>
  <c r="BH65" i="1"/>
  <c r="BH60" i="1"/>
  <c r="BH80" i="1"/>
  <c r="BH56" i="1"/>
  <c r="BH57" i="1"/>
  <c r="BH25" i="1"/>
  <c r="BH104" i="1"/>
  <c r="BH66" i="1"/>
  <c r="BH58" i="1"/>
  <c r="BH155" i="1"/>
  <c r="BH156" i="1"/>
  <c r="BH134" i="1"/>
  <c r="BH92" i="1"/>
  <c r="BH67" i="1"/>
  <c r="BH126" i="1"/>
  <c r="BH145" i="1"/>
  <c r="BH135" i="1"/>
  <c r="BH159" i="1"/>
  <c r="BH76" i="1"/>
  <c r="BH114" i="1"/>
  <c r="BH161" i="1"/>
  <c r="BH160" i="1"/>
  <c r="BH95" i="1"/>
  <c r="BH120" i="1"/>
  <c r="BH42" i="1"/>
  <c r="BH183" i="1"/>
  <c r="BH112" i="1"/>
  <c r="BH148" i="1"/>
  <c r="BH179" i="1"/>
  <c r="BH128" i="1"/>
  <c r="BH144" i="1"/>
  <c r="BH110" i="1"/>
  <c r="BH81" i="1"/>
  <c r="BH100" i="1"/>
  <c r="BH123" i="1"/>
  <c r="BH86" i="1"/>
  <c r="BH174" i="1"/>
  <c r="BH201" i="1"/>
  <c r="BH90" i="1"/>
  <c r="BH102" i="1"/>
  <c r="BH94" i="1"/>
  <c r="BH119" i="1"/>
  <c r="BH141" i="1"/>
  <c r="BH147" i="1"/>
  <c r="BH165" i="1"/>
  <c r="BH132" i="1"/>
  <c r="BH189" i="1"/>
  <c r="BH133" i="1"/>
  <c r="BH206" i="1"/>
  <c r="BH78" i="1"/>
  <c r="BH143" i="1"/>
  <c r="BH150" i="1"/>
  <c r="BH130" i="1"/>
  <c r="BH96" i="1"/>
  <c r="BH182" i="1"/>
  <c r="BH195" i="1"/>
  <c r="BH178" i="1"/>
  <c r="BH181" i="1"/>
  <c r="BH194" i="1"/>
  <c r="BH208" i="1"/>
  <c r="BH129" i="1"/>
  <c r="BH180" i="1"/>
  <c r="BH140" i="1"/>
  <c r="BH125" i="1"/>
  <c r="BH131" i="1"/>
  <c r="BH173" i="1"/>
  <c r="BH184" i="1"/>
  <c r="BH190" i="1"/>
  <c r="BH142" i="1"/>
  <c r="BH69" i="1"/>
  <c r="BH151" i="1"/>
  <c r="BH193" i="1"/>
  <c r="BH169" i="1"/>
  <c r="BH166" i="1"/>
  <c r="BH97" i="1"/>
  <c r="BH79" i="1"/>
  <c r="BH146" i="1"/>
  <c r="BH204" i="1"/>
  <c r="BH113" i="1"/>
  <c r="BH172" i="1"/>
  <c r="BH171" i="1"/>
  <c r="BH185" i="1"/>
  <c r="BH137" i="1"/>
  <c r="BH205" i="1"/>
  <c r="BH177" i="1"/>
  <c r="BH199" i="1"/>
  <c r="BH106" i="1"/>
  <c r="BH203" i="1"/>
  <c r="BH124" i="1"/>
  <c r="BH170" i="1"/>
  <c r="BH152" i="1"/>
  <c r="BH118" i="1"/>
  <c r="BH198" i="1"/>
  <c r="BH200" i="1"/>
  <c r="BH136" i="1"/>
  <c r="BH108" i="1"/>
  <c r="BH149" i="1"/>
  <c r="BH187" i="1"/>
  <c r="BH168" i="1"/>
  <c r="BH162" i="1"/>
  <c r="BH139" i="1"/>
  <c r="BH196" i="1"/>
  <c r="BH153" i="1"/>
  <c r="BH197" i="1"/>
  <c r="BH176" i="1"/>
  <c r="BH202" i="1"/>
  <c r="BH167" i="1"/>
  <c r="BH207" i="1"/>
  <c r="BH192" i="1"/>
  <c r="BG3" i="1"/>
  <c r="BG2" i="1"/>
  <c r="BG43" i="1"/>
  <c r="BG71" i="1"/>
  <c r="BG7" i="1"/>
  <c r="BG164" i="1"/>
  <c r="BG4" i="1"/>
  <c r="BG99" i="1"/>
  <c r="BG6" i="1"/>
  <c r="BG8" i="1"/>
  <c r="BG10" i="1"/>
  <c r="BG9" i="1"/>
  <c r="BG127" i="1"/>
  <c r="BG11" i="1"/>
  <c r="BG44" i="1"/>
  <c r="BG39" i="1"/>
  <c r="BG45" i="1"/>
  <c r="BG16" i="1"/>
  <c r="BG12" i="1"/>
  <c r="BG48" i="1"/>
  <c r="BG54" i="1"/>
  <c r="BG47" i="1"/>
  <c r="BG20" i="1"/>
  <c r="BG50" i="1"/>
  <c r="BG22" i="1"/>
  <c r="BG49" i="1"/>
  <c r="BG13" i="1"/>
  <c r="BG26" i="1"/>
  <c r="BG52" i="1"/>
  <c r="BG46" i="1"/>
  <c r="BG72" i="1"/>
  <c r="BG5" i="1"/>
  <c r="BG18" i="1"/>
  <c r="BG23" i="1"/>
  <c r="BG15" i="1"/>
  <c r="BG14" i="1"/>
  <c r="BG59" i="1"/>
  <c r="BG38" i="1"/>
  <c r="BG21" i="1"/>
  <c r="BG27" i="1"/>
  <c r="BG17" i="1"/>
  <c r="BG68" i="1"/>
  <c r="BG121" i="1"/>
  <c r="BG24" i="1"/>
  <c r="BG30" i="1"/>
  <c r="BG40" i="1"/>
  <c r="BG35" i="1"/>
  <c r="BG29" i="1"/>
  <c r="BG37" i="1"/>
  <c r="BG28" i="1"/>
  <c r="BG19" i="1"/>
  <c r="BG33" i="1"/>
  <c r="BG109" i="1"/>
  <c r="BG64" i="1"/>
  <c r="BG63" i="1"/>
  <c r="BG77" i="1"/>
  <c r="BG115" i="1"/>
  <c r="BG31" i="1"/>
  <c r="BG41" i="1"/>
  <c r="BG191" i="1"/>
  <c r="BG85" i="1"/>
  <c r="BG62" i="1"/>
  <c r="BG36" i="1"/>
  <c r="BG32" i="1"/>
  <c r="BG34" i="1"/>
  <c r="BG93" i="1"/>
  <c r="BG117" i="1"/>
  <c r="BG154" i="1"/>
  <c r="BG107" i="1"/>
  <c r="BG98" i="1"/>
  <c r="BG138" i="1"/>
  <c r="BG75" i="1"/>
  <c r="BG122" i="1"/>
  <c r="BG84" i="1"/>
  <c r="BG116" i="1"/>
  <c r="BG186" i="1"/>
  <c r="BG89" i="1"/>
  <c r="BG70" i="1"/>
  <c r="BG61" i="1"/>
  <c r="BG74" i="1"/>
  <c r="BG88" i="1"/>
  <c r="BG73" i="1"/>
  <c r="BG111" i="1"/>
  <c r="BG87" i="1"/>
  <c r="BG82" i="1"/>
  <c r="BG53" i="1"/>
  <c r="BG175" i="1"/>
  <c r="BG55" i="1"/>
  <c r="BG51" i="1"/>
  <c r="BG157" i="1"/>
  <c r="BG158" i="1"/>
  <c r="BG83" i="1"/>
  <c r="BG91" i="1"/>
  <c r="BG105" i="1"/>
  <c r="BG103" i="1"/>
  <c r="BG188" i="1"/>
  <c r="BG163" i="1"/>
  <c r="BG101" i="1"/>
  <c r="BG65" i="1"/>
  <c r="BG60" i="1"/>
  <c r="BG80" i="1"/>
  <c r="BG56" i="1"/>
  <c r="BG57" i="1"/>
  <c r="BG25" i="1"/>
  <c r="BG104" i="1"/>
  <c r="BG66" i="1"/>
  <c r="BG58" i="1"/>
  <c r="BG155" i="1"/>
  <c r="BG156" i="1"/>
  <c r="BG134" i="1"/>
  <c r="BG92" i="1"/>
  <c r="BG67" i="1"/>
  <c r="BG126" i="1"/>
  <c r="BG145" i="1"/>
  <c r="BG135" i="1"/>
  <c r="BG159" i="1"/>
  <c r="BG76" i="1"/>
  <c r="BG114" i="1"/>
  <c r="BG161" i="1"/>
  <c r="BG160" i="1"/>
  <c r="BG95" i="1"/>
  <c r="BG120" i="1"/>
  <c r="BG42" i="1"/>
  <c r="BG183" i="1"/>
  <c r="BG112" i="1"/>
  <c r="BG148" i="1"/>
  <c r="BG179" i="1"/>
  <c r="BG128" i="1"/>
  <c r="BG144" i="1"/>
  <c r="BG110" i="1"/>
  <c r="BG81" i="1"/>
  <c r="BG100" i="1"/>
  <c r="BG123" i="1"/>
  <c r="BG86" i="1"/>
  <c r="BG174" i="1"/>
  <c r="BG201" i="1"/>
  <c r="BG90" i="1"/>
  <c r="BG102" i="1"/>
  <c r="BG94" i="1"/>
  <c r="BG119" i="1"/>
  <c r="BG141" i="1"/>
  <c r="BG147" i="1"/>
  <c r="BG165" i="1"/>
  <c r="BG132" i="1"/>
  <c r="BG189" i="1"/>
  <c r="BG133" i="1"/>
  <c r="BG206" i="1"/>
  <c r="BG78" i="1"/>
  <c r="BG143" i="1"/>
  <c r="BG150" i="1"/>
  <c r="BG130" i="1"/>
  <c r="BG96" i="1"/>
  <c r="BG182" i="1"/>
  <c r="BG195" i="1"/>
  <c r="BG178" i="1"/>
  <c r="BG181" i="1"/>
  <c r="BG194" i="1"/>
  <c r="BG208" i="1"/>
  <c r="BG129" i="1"/>
  <c r="BG180" i="1"/>
  <c r="BG140" i="1"/>
  <c r="BG125" i="1"/>
  <c r="BG131" i="1"/>
  <c r="BG173" i="1"/>
  <c r="BG184" i="1"/>
  <c r="BG190" i="1"/>
  <c r="BG142" i="1"/>
  <c r="BG69" i="1"/>
  <c r="BG151" i="1"/>
  <c r="BG193" i="1"/>
  <c r="BG169" i="1"/>
  <c r="BG166" i="1"/>
  <c r="BG97" i="1"/>
  <c r="BG79" i="1"/>
  <c r="BG146" i="1"/>
  <c r="BG204" i="1"/>
  <c r="BG113" i="1"/>
  <c r="BG172" i="1"/>
  <c r="BG171" i="1"/>
  <c r="BG185" i="1"/>
  <c r="BG137" i="1"/>
  <c r="BG205" i="1"/>
  <c r="BG177" i="1"/>
  <c r="BG199" i="1"/>
  <c r="BG106" i="1"/>
  <c r="BG203" i="1"/>
  <c r="BG124" i="1"/>
  <c r="BG170" i="1"/>
  <c r="BG152" i="1"/>
  <c r="BG118" i="1"/>
  <c r="BG198" i="1"/>
  <c r="BG200" i="1"/>
  <c r="BG136" i="1"/>
  <c r="BG108" i="1"/>
  <c r="BG149" i="1"/>
  <c r="BG187" i="1"/>
  <c r="BG168" i="1"/>
  <c r="BG162" i="1"/>
  <c r="BG139" i="1"/>
  <c r="BG196" i="1"/>
  <c r="BG153" i="1"/>
  <c r="BG197" i="1"/>
  <c r="BG176" i="1"/>
  <c r="BG202" i="1"/>
  <c r="BG167" i="1"/>
  <c r="BG207" i="1"/>
  <c r="BG192" i="1"/>
  <c r="BE3" i="1"/>
  <c r="BE43" i="1"/>
  <c r="BE71" i="1"/>
  <c r="BE7" i="1"/>
  <c r="BE164" i="1"/>
  <c r="BE4" i="1"/>
  <c r="BE99" i="1"/>
  <c r="BE6" i="1"/>
  <c r="BE8" i="1"/>
  <c r="BE10" i="1"/>
  <c r="BE9" i="1"/>
  <c r="BE127" i="1"/>
  <c r="BE11" i="1"/>
  <c r="BE44" i="1"/>
  <c r="BE39" i="1"/>
  <c r="BE45" i="1"/>
  <c r="BE16" i="1"/>
  <c r="BE12" i="1"/>
  <c r="BE48" i="1"/>
  <c r="BE54" i="1"/>
  <c r="BE47" i="1"/>
  <c r="BE20" i="1"/>
  <c r="BE50" i="1"/>
  <c r="BE22" i="1"/>
  <c r="BE49" i="1"/>
  <c r="BE13" i="1"/>
  <c r="BE26" i="1"/>
  <c r="BE52" i="1"/>
  <c r="BE46" i="1"/>
  <c r="BE72" i="1"/>
  <c r="BE5" i="1"/>
  <c r="BE18" i="1"/>
  <c r="BE23" i="1"/>
  <c r="BE15" i="1"/>
  <c r="BE14" i="1"/>
  <c r="BE59" i="1"/>
  <c r="BE38" i="1"/>
  <c r="BE21" i="1"/>
  <c r="BE27" i="1"/>
  <c r="BE17" i="1"/>
  <c r="BE68" i="1"/>
  <c r="BE121" i="1"/>
  <c r="BE24" i="1"/>
  <c r="BE30" i="1"/>
  <c r="BE40" i="1"/>
  <c r="BE35" i="1"/>
  <c r="BE29" i="1"/>
  <c r="BE37" i="1"/>
  <c r="BE28" i="1"/>
  <c r="BE19" i="1"/>
  <c r="BE33" i="1"/>
  <c r="BE109" i="1"/>
  <c r="BE64" i="1"/>
  <c r="BE63" i="1"/>
  <c r="BE77" i="1"/>
  <c r="BE115" i="1"/>
  <c r="BE31" i="1"/>
  <c r="BE41" i="1"/>
  <c r="BE191" i="1"/>
  <c r="BE85" i="1"/>
  <c r="BE62" i="1"/>
  <c r="BE36" i="1"/>
  <c r="BE32" i="1"/>
  <c r="BE34" i="1"/>
  <c r="BE93" i="1"/>
  <c r="BE117" i="1"/>
  <c r="BE154" i="1"/>
  <c r="BE107" i="1"/>
  <c r="BE98" i="1"/>
  <c r="BE138" i="1"/>
  <c r="BE75" i="1"/>
  <c r="BE122" i="1"/>
  <c r="BE84" i="1"/>
  <c r="BE116" i="1"/>
  <c r="BE186" i="1"/>
  <c r="BE89" i="1"/>
  <c r="BE70" i="1"/>
  <c r="BE61" i="1"/>
  <c r="BE74" i="1"/>
  <c r="BE88" i="1"/>
  <c r="BE73" i="1"/>
  <c r="BE111" i="1"/>
  <c r="BE87" i="1"/>
  <c r="BE82" i="1"/>
  <c r="BE53" i="1"/>
  <c r="BE175" i="1"/>
  <c r="BE55" i="1"/>
  <c r="BE51" i="1"/>
  <c r="BE157" i="1"/>
  <c r="BE158" i="1"/>
  <c r="BE83" i="1"/>
  <c r="BE91" i="1"/>
  <c r="BE105" i="1"/>
  <c r="BE103" i="1"/>
  <c r="BE188" i="1"/>
  <c r="BE163" i="1"/>
  <c r="BE101" i="1"/>
  <c r="BE65" i="1"/>
  <c r="BE60" i="1"/>
  <c r="BE80" i="1"/>
  <c r="BE56" i="1"/>
  <c r="BE57" i="1"/>
  <c r="BE25" i="1"/>
  <c r="BE104" i="1"/>
  <c r="BE66" i="1"/>
  <c r="BE58" i="1"/>
  <c r="BE155" i="1"/>
  <c r="BE156" i="1"/>
  <c r="BE134" i="1"/>
  <c r="BE92" i="1"/>
  <c r="BE67" i="1"/>
  <c r="BE126" i="1"/>
  <c r="BE145" i="1"/>
  <c r="BE135" i="1"/>
  <c r="BE159" i="1"/>
  <c r="BE76" i="1"/>
  <c r="BE114" i="1"/>
  <c r="BE161" i="1"/>
  <c r="BE160" i="1"/>
  <c r="BE95" i="1"/>
  <c r="BE120" i="1"/>
  <c r="BE42" i="1"/>
  <c r="BE183" i="1"/>
  <c r="BE112" i="1"/>
  <c r="BE148" i="1"/>
  <c r="BE179" i="1"/>
  <c r="BE128" i="1"/>
  <c r="BE144" i="1"/>
  <c r="BE110" i="1"/>
  <c r="BE81" i="1"/>
  <c r="BE100" i="1"/>
  <c r="BE123" i="1"/>
  <c r="BE86" i="1"/>
  <c r="BE174" i="1"/>
  <c r="BE201" i="1"/>
  <c r="BE90" i="1"/>
  <c r="BE102" i="1"/>
  <c r="BE94" i="1"/>
  <c r="BE119" i="1"/>
  <c r="BE141" i="1"/>
  <c r="BE147" i="1"/>
  <c r="BE165" i="1"/>
  <c r="BE132" i="1"/>
  <c r="BE189" i="1"/>
  <c r="BE133" i="1"/>
  <c r="BE206" i="1"/>
  <c r="BE78" i="1"/>
  <c r="BE143" i="1"/>
  <c r="BE150" i="1"/>
  <c r="BE130" i="1"/>
  <c r="BE96" i="1"/>
  <c r="BE182" i="1"/>
  <c r="BE195" i="1"/>
  <c r="BE178" i="1"/>
  <c r="BE181" i="1"/>
  <c r="BE194" i="1"/>
  <c r="BE208" i="1"/>
  <c r="BE129" i="1"/>
  <c r="BE180" i="1"/>
  <c r="BE140" i="1"/>
  <c r="BE125" i="1"/>
  <c r="BE131" i="1"/>
  <c r="BE173" i="1"/>
  <c r="BE184" i="1"/>
  <c r="BE190" i="1"/>
  <c r="BE142" i="1"/>
  <c r="BE69" i="1"/>
  <c r="BE151" i="1"/>
  <c r="BE193" i="1"/>
  <c r="BE169" i="1"/>
  <c r="BE166" i="1"/>
  <c r="BE97" i="1"/>
  <c r="BE79" i="1"/>
  <c r="BE146" i="1"/>
  <c r="BE204" i="1"/>
  <c r="BE113" i="1"/>
  <c r="BE172" i="1"/>
  <c r="BE171" i="1"/>
  <c r="BE185" i="1"/>
  <c r="BE137" i="1"/>
  <c r="BE205" i="1"/>
  <c r="BE177" i="1"/>
  <c r="BE199" i="1"/>
  <c r="BE106" i="1"/>
  <c r="BE203" i="1"/>
  <c r="BE124" i="1"/>
  <c r="BE170" i="1"/>
  <c r="BE152" i="1"/>
  <c r="BE118" i="1"/>
  <c r="BE198" i="1"/>
  <c r="BE200" i="1"/>
  <c r="BE136" i="1"/>
  <c r="BE108" i="1"/>
  <c r="BE149" i="1"/>
  <c r="BE187" i="1"/>
  <c r="BE168" i="1"/>
  <c r="BE162" i="1"/>
  <c r="BE139" i="1"/>
  <c r="BE196" i="1"/>
  <c r="BE153" i="1"/>
  <c r="BE197" i="1"/>
  <c r="BE176" i="1"/>
  <c r="BE202" i="1"/>
  <c r="BE167" i="1"/>
  <c r="BE207" i="1"/>
  <c r="BE192" i="1"/>
  <c r="BD3" i="1"/>
  <c r="BD2" i="1"/>
  <c r="BD43" i="1"/>
  <c r="BD71" i="1"/>
  <c r="BD7" i="1"/>
  <c r="BD164" i="1"/>
  <c r="BD4" i="1"/>
  <c r="BD99" i="1"/>
  <c r="BD6" i="1"/>
  <c r="BD8" i="1"/>
  <c r="BD10" i="1"/>
  <c r="BD9" i="1"/>
  <c r="BD127" i="1"/>
  <c r="BD11" i="1"/>
  <c r="BD44" i="1"/>
  <c r="BD39" i="1"/>
  <c r="BD45" i="1"/>
  <c r="BD16" i="1"/>
  <c r="BD12" i="1"/>
  <c r="BD48" i="1"/>
  <c r="BD54" i="1"/>
  <c r="BD47" i="1"/>
  <c r="BD20" i="1"/>
  <c r="BD50" i="1"/>
  <c r="BD22" i="1"/>
  <c r="BD49" i="1"/>
  <c r="BD13" i="1"/>
  <c r="BD26" i="1"/>
  <c r="BD52" i="1"/>
  <c r="BD46" i="1"/>
  <c r="BD72" i="1"/>
  <c r="BD5" i="1"/>
  <c r="BD18" i="1"/>
  <c r="BD23" i="1"/>
  <c r="BD15" i="1"/>
  <c r="BD14" i="1"/>
  <c r="BD59" i="1"/>
  <c r="BD38" i="1"/>
  <c r="BD21" i="1"/>
  <c r="BD27" i="1"/>
  <c r="BD17" i="1"/>
  <c r="BD68" i="1"/>
  <c r="BD121" i="1"/>
  <c r="BD24" i="1"/>
  <c r="BD30" i="1"/>
  <c r="BD40" i="1"/>
  <c r="BD35" i="1"/>
  <c r="BD29" i="1"/>
  <c r="BD37" i="1"/>
  <c r="BD28" i="1"/>
  <c r="BD19" i="1"/>
  <c r="BD33" i="1"/>
  <c r="BD109" i="1"/>
  <c r="BD64" i="1"/>
  <c r="BD63" i="1"/>
  <c r="BD77" i="1"/>
  <c r="BD115" i="1"/>
  <c r="BD31" i="1"/>
  <c r="BD41" i="1"/>
  <c r="BD191" i="1"/>
  <c r="BD85" i="1"/>
  <c r="BD62" i="1"/>
  <c r="BD36" i="1"/>
  <c r="BD32" i="1"/>
  <c r="BD34" i="1"/>
  <c r="BD93" i="1"/>
  <c r="BD117" i="1"/>
  <c r="BD154" i="1"/>
  <c r="BD107" i="1"/>
  <c r="BD98" i="1"/>
  <c r="BD138" i="1"/>
  <c r="BD75" i="1"/>
  <c r="BD122" i="1"/>
  <c r="BD84" i="1"/>
  <c r="BD116" i="1"/>
  <c r="BD186" i="1"/>
  <c r="BD89" i="1"/>
  <c r="BD70" i="1"/>
  <c r="BD61" i="1"/>
  <c r="BD74" i="1"/>
  <c r="BD88" i="1"/>
  <c r="BD73" i="1"/>
  <c r="BD111" i="1"/>
  <c r="BD87" i="1"/>
  <c r="BD82" i="1"/>
  <c r="BD53" i="1"/>
  <c r="BD175" i="1"/>
  <c r="BD55" i="1"/>
  <c r="BD51" i="1"/>
  <c r="BD157" i="1"/>
  <c r="BD158" i="1"/>
  <c r="BD83" i="1"/>
  <c r="BD91" i="1"/>
  <c r="BD105" i="1"/>
  <c r="BD103" i="1"/>
  <c r="BD188" i="1"/>
  <c r="BD163" i="1"/>
  <c r="BD101" i="1"/>
  <c r="BD65" i="1"/>
  <c r="BD60" i="1"/>
  <c r="BD80" i="1"/>
  <c r="BD56" i="1"/>
  <c r="BD57" i="1"/>
  <c r="BD25" i="1"/>
  <c r="BD104" i="1"/>
  <c r="BD66" i="1"/>
  <c r="BD58" i="1"/>
  <c r="BD155" i="1"/>
  <c r="BD156" i="1"/>
  <c r="BD134" i="1"/>
  <c r="BD92" i="1"/>
  <c r="BD67" i="1"/>
  <c r="BD126" i="1"/>
  <c r="BD145" i="1"/>
  <c r="BD135" i="1"/>
  <c r="BD159" i="1"/>
  <c r="BD76" i="1"/>
  <c r="BD114" i="1"/>
  <c r="BD161" i="1"/>
  <c r="BD160" i="1"/>
  <c r="BD95" i="1"/>
  <c r="BD120" i="1"/>
  <c r="BD42" i="1"/>
  <c r="BD183" i="1"/>
  <c r="BD112" i="1"/>
  <c r="BD148" i="1"/>
  <c r="BD179" i="1"/>
  <c r="BD128" i="1"/>
  <c r="BD144" i="1"/>
  <c r="BD110" i="1"/>
  <c r="BD81" i="1"/>
  <c r="BD100" i="1"/>
  <c r="BD123" i="1"/>
  <c r="BD86" i="1"/>
  <c r="BD174" i="1"/>
  <c r="BD201" i="1"/>
  <c r="BD90" i="1"/>
  <c r="BD102" i="1"/>
  <c r="BD94" i="1"/>
  <c r="BD119" i="1"/>
  <c r="BD141" i="1"/>
  <c r="BD147" i="1"/>
  <c r="BD165" i="1"/>
  <c r="BD132" i="1"/>
  <c r="BD189" i="1"/>
  <c r="BD133" i="1"/>
  <c r="BD206" i="1"/>
  <c r="BD78" i="1"/>
  <c r="BD143" i="1"/>
  <c r="BD150" i="1"/>
  <c r="BD130" i="1"/>
  <c r="BD96" i="1"/>
  <c r="BD182" i="1"/>
  <c r="BD195" i="1"/>
  <c r="BD178" i="1"/>
  <c r="BD181" i="1"/>
  <c r="BD194" i="1"/>
  <c r="BD208" i="1"/>
  <c r="BD129" i="1"/>
  <c r="BD180" i="1"/>
  <c r="BD140" i="1"/>
  <c r="BD125" i="1"/>
  <c r="BD131" i="1"/>
  <c r="BD173" i="1"/>
  <c r="BD184" i="1"/>
  <c r="BD190" i="1"/>
  <c r="BD142" i="1"/>
  <c r="BD69" i="1"/>
  <c r="BD151" i="1"/>
  <c r="BD193" i="1"/>
  <c r="BD169" i="1"/>
  <c r="BD166" i="1"/>
  <c r="BD97" i="1"/>
  <c r="BD79" i="1"/>
  <c r="BD146" i="1"/>
  <c r="BD204" i="1"/>
  <c r="BD113" i="1"/>
  <c r="BD172" i="1"/>
  <c r="BD171" i="1"/>
  <c r="BD185" i="1"/>
  <c r="BD137" i="1"/>
  <c r="BD205" i="1"/>
  <c r="BD177" i="1"/>
  <c r="BD199" i="1"/>
  <c r="BD106" i="1"/>
  <c r="BD203" i="1"/>
  <c r="BD124" i="1"/>
  <c r="BD170" i="1"/>
  <c r="BD152" i="1"/>
  <c r="BD118" i="1"/>
  <c r="BD198" i="1"/>
  <c r="BD200" i="1"/>
  <c r="BD136" i="1"/>
  <c r="BD108" i="1"/>
  <c r="BD149" i="1"/>
  <c r="BD187" i="1"/>
  <c r="BD168" i="1"/>
  <c r="BD162" i="1"/>
  <c r="BD139" i="1"/>
  <c r="BD196" i="1"/>
  <c r="BD153" i="1"/>
  <c r="BD197" i="1"/>
  <c r="BD176" i="1"/>
  <c r="BD202" i="1"/>
  <c r="BD167" i="1"/>
  <c r="BD207" i="1"/>
  <c r="BD192" i="1"/>
  <c r="BC3" i="1"/>
  <c r="BC2" i="1"/>
  <c r="BC43" i="1"/>
  <c r="BC71" i="1"/>
  <c r="BC7" i="1"/>
  <c r="BC164" i="1"/>
  <c r="BC4" i="1"/>
  <c r="BC99" i="1"/>
  <c r="BC6" i="1"/>
  <c r="BC8" i="1"/>
  <c r="BC10" i="1"/>
  <c r="BC9" i="1"/>
  <c r="BC127" i="1"/>
  <c r="BC11" i="1"/>
  <c r="BC44" i="1"/>
  <c r="BC39" i="1"/>
  <c r="BC45" i="1"/>
  <c r="BC16" i="1"/>
  <c r="BC12" i="1"/>
  <c r="BC48" i="1"/>
  <c r="BC54" i="1"/>
  <c r="BC47" i="1"/>
  <c r="BC20" i="1"/>
  <c r="BC50" i="1"/>
  <c r="BC22" i="1"/>
  <c r="BC49" i="1"/>
  <c r="BC13" i="1"/>
  <c r="BC26" i="1"/>
  <c r="BC52" i="1"/>
  <c r="BC46" i="1"/>
  <c r="BC72" i="1"/>
  <c r="BC5" i="1"/>
  <c r="BC18" i="1"/>
  <c r="BC23" i="1"/>
  <c r="BC15" i="1"/>
  <c r="BC14" i="1"/>
  <c r="BC59" i="1"/>
  <c r="BC38" i="1"/>
  <c r="BC21" i="1"/>
  <c r="BC27" i="1"/>
  <c r="BC17" i="1"/>
  <c r="BC68" i="1"/>
  <c r="BC121" i="1"/>
  <c r="BC24" i="1"/>
  <c r="BC30" i="1"/>
  <c r="BC40" i="1"/>
  <c r="BC35" i="1"/>
  <c r="BC29" i="1"/>
  <c r="BC37" i="1"/>
  <c r="BC28" i="1"/>
  <c r="BC19" i="1"/>
  <c r="BC33" i="1"/>
  <c r="BC109" i="1"/>
  <c r="BC64" i="1"/>
  <c r="BC63" i="1"/>
  <c r="BC77" i="1"/>
  <c r="BC115" i="1"/>
  <c r="BC31" i="1"/>
  <c r="BC41" i="1"/>
  <c r="BC191" i="1"/>
  <c r="BC85" i="1"/>
  <c r="BC62" i="1"/>
  <c r="BC36" i="1"/>
  <c r="BC32" i="1"/>
  <c r="BC34" i="1"/>
  <c r="BC93" i="1"/>
  <c r="BC117" i="1"/>
  <c r="BC154" i="1"/>
  <c r="BC107" i="1"/>
  <c r="BC98" i="1"/>
  <c r="BC138" i="1"/>
  <c r="BC75" i="1"/>
  <c r="BC122" i="1"/>
  <c r="BC84" i="1"/>
  <c r="BC116" i="1"/>
  <c r="BC186" i="1"/>
  <c r="BC89" i="1"/>
  <c r="BC70" i="1"/>
  <c r="BC61" i="1"/>
  <c r="BC74" i="1"/>
  <c r="BC88" i="1"/>
  <c r="BC73" i="1"/>
  <c r="BC111" i="1"/>
  <c r="BC87" i="1"/>
  <c r="BC82" i="1"/>
  <c r="BC53" i="1"/>
  <c r="BC175" i="1"/>
  <c r="BC55" i="1"/>
  <c r="BC51" i="1"/>
  <c r="BC157" i="1"/>
  <c r="BC158" i="1"/>
  <c r="BC83" i="1"/>
  <c r="BC91" i="1"/>
  <c r="BC105" i="1"/>
  <c r="BC103" i="1"/>
  <c r="BC188" i="1"/>
  <c r="BC163" i="1"/>
  <c r="BC101" i="1"/>
  <c r="BC65" i="1"/>
  <c r="BC60" i="1"/>
  <c r="BC80" i="1"/>
  <c r="BC56" i="1"/>
  <c r="BC57" i="1"/>
  <c r="BC25" i="1"/>
  <c r="BC104" i="1"/>
  <c r="BC66" i="1"/>
  <c r="BC58" i="1"/>
  <c r="BC155" i="1"/>
  <c r="BC156" i="1"/>
  <c r="BC134" i="1"/>
  <c r="BC92" i="1"/>
  <c r="BC67" i="1"/>
  <c r="BC126" i="1"/>
  <c r="BC145" i="1"/>
  <c r="BC135" i="1"/>
  <c r="BC159" i="1"/>
  <c r="BC76" i="1"/>
  <c r="BC114" i="1"/>
  <c r="BC161" i="1"/>
  <c r="BC160" i="1"/>
  <c r="BC95" i="1"/>
  <c r="BC120" i="1"/>
  <c r="BC42" i="1"/>
  <c r="BC183" i="1"/>
  <c r="BC112" i="1"/>
  <c r="BC148" i="1"/>
  <c r="BC179" i="1"/>
  <c r="BC128" i="1"/>
  <c r="BC144" i="1"/>
  <c r="BC110" i="1"/>
  <c r="BC81" i="1"/>
  <c r="BC100" i="1"/>
  <c r="BC123" i="1"/>
  <c r="BC86" i="1"/>
  <c r="BC174" i="1"/>
  <c r="BC201" i="1"/>
  <c r="BC90" i="1"/>
  <c r="BC102" i="1"/>
  <c r="BC94" i="1"/>
  <c r="BC119" i="1"/>
  <c r="BC141" i="1"/>
  <c r="BC147" i="1"/>
  <c r="BC165" i="1"/>
  <c r="BC132" i="1"/>
  <c r="BC189" i="1"/>
  <c r="BC133" i="1"/>
  <c r="BC206" i="1"/>
  <c r="BC78" i="1"/>
  <c r="BC143" i="1"/>
  <c r="BC150" i="1"/>
  <c r="BC130" i="1"/>
  <c r="BC96" i="1"/>
  <c r="BC182" i="1"/>
  <c r="BC195" i="1"/>
  <c r="BC178" i="1"/>
  <c r="BC181" i="1"/>
  <c r="BC194" i="1"/>
  <c r="BC208" i="1"/>
  <c r="BC129" i="1"/>
  <c r="BC180" i="1"/>
  <c r="BC140" i="1"/>
  <c r="BC125" i="1"/>
  <c r="BC131" i="1"/>
  <c r="BC173" i="1"/>
  <c r="BC184" i="1"/>
  <c r="BC190" i="1"/>
  <c r="BC142" i="1"/>
  <c r="BC69" i="1"/>
  <c r="BC151" i="1"/>
  <c r="BC193" i="1"/>
  <c r="BC169" i="1"/>
  <c r="BC166" i="1"/>
  <c r="BC97" i="1"/>
  <c r="BC79" i="1"/>
  <c r="BC146" i="1"/>
  <c r="BC204" i="1"/>
  <c r="BC113" i="1"/>
  <c r="BC172" i="1"/>
  <c r="BC171" i="1"/>
  <c r="BC185" i="1"/>
  <c r="BC137" i="1"/>
  <c r="BC205" i="1"/>
  <c r="BC177" i="1"/>
  <c r="BC199" i="1"/>
  <c r="BC106" i="1"/>
  <c r="BC203" i="1"/>
  <c r="BC124" i="1"/>
  <c r="BC170" i="1"/>
  <c r="BC152" i="1"/>
  <c r="BC118" i="1"/>
  <c r="BC198" i="1"/>
  <c r="BC200" i="1"/>
  <c r="BC136" i="1"/>
  <c r="BC108" i="1"/>
  <c r="BC149" i="1"/>
  <c r="BC187" i="1"/>
  <c r="BC168" i="1"/>
  <c r="BC162" i="1"/>
  <c r="BC139" i="1"/>
  <c r="BC196" i="1"/>
  <c r="BC153" i="1"/>
  <c r="BC197" i="1"/>
  <c r="BC176" i="1"/>
  <c r="BC202" i="1"/>
  <c r="BC167" i="1"/>
  <c r="BC207" i="1"/>
  <c r="BC192" i="1"/>
  <c r="BB3" i="1"/>
  <c r="BB2" i="1"/>
  <c r="BB43" i="1"/>
  <c r="BB71" i="1"/>
  <c r="BB7" i="1"/>
  <c r="BB164" i="1"/>
  <c r="BB4" i="1"/>
  <c r="BB99" i="1"/>
  <c r="BB6" i="1"/>
  <c r="BB8" i="1"/>
  <c r="BB10" i="1"/>
  <c r="BB9" i="1"/>
  <c r="BB127" i="1"/>
  <c r="BB11" i="1"/>
  <c r="BB44" i="1"/>
  <c r="BB39" i="1"/>
  <c r="BB45" i="1"/>
  <c r="BB16" i="1"/>
  <c r="BB12" i="1"/>
  <c r="BB48" i="1"/>
  <c r="BB54" i="1"/>
  <c r="BB47" i="1"/>
  <c r="BB20" i="1"/>
  <c r="BB50" i="1"/>
  <c r="BB22" i="1"/>
  <c r="BB49" i="1"/>
  <c r="BB13" i="1"/>
  <c r="BB26" i="1"/>
  <c r="BB52" i="1"/>
  <c r="BB46" i="1"/>
  <c r="BB72" i="1"/>
  <c r="BB5" i="1"/>
  <c r="BB18" i="1"/>
  <c r="BB23" i="1"/>
  <c r="BB15" i="1"/>
  <c r="BB14" i="1"/>
  <c r="BB59" i="1"/>
  <c r="BB38" i="1"/>
  <c r="BB21" i="1"/>
  <c r="BB27" i="1"/>
  <c r="BB17" i="1"/>
  <c r="BB68" i="1"/>
  <c r="BB121" i="1"/>
  <c r="BB24" i="1"/>
  <c r="BB30" i="1"/>
  <c r="BB40" i="1"/>
  <c r="BB35" i="1"/>
  <c r="BB29" i="1"/>
  <c r="BB37" i="1"/>
  <c r="BB28" i="1"/>
  <c r="BB19" i="1"/>
  <c r="BB33" i="1"/>
  <c r="BB109" i="1"/>
  <c r="BB64" i="1"/>
  <c r="BB63" i="1"/>
  <c r="BB77" i="1"/>
  <c r="BB115" i="1"/>
  <c r="BB31" i="1"/>
  <c r="BB41" i="1"/>
  <c r="BB191" i="1"/>
  <c r="BB85" i="1"/>
  <c r="BB62" i="1"/>
  <c r="BB36" i="1"/>
  <c r="BB32" i="1"/>
  <c r="BB34" i="1"/>
  <c r="BB93" i="1"/>
  <c r="BB117" i="1"/>
  <c r="BB154" i="1"/>
  <c r="BB107" i="1"/>
  <c r="BB98" i="1"/>
  <c r="BB138" i="1"/>
  <c r="BB75" i="1"/>
  <c r="BB122" i="1"/>
  <c r="BB84" i="1"/>
  <c r="BB116" i="1"/>
  <c r="BB186" i="1"/>
  <c r="BB89" i="1"/>
  <c r="BB70" i="1"/>
  <c r="BB61" i="1"/>
  <c r="BB74" i="1"/>
  <c r="BB88" i="1"/>
  <c r="BB73" i="1"/>
  <c r="BB111" i="1"/>
  <c r="BB87" i="1"/>
  <c r="BB82" i="1"/>
  <c r="BB53" i="1"/>
  <c r="BB175" i="1"/>
  <c r="BB55" i="1"/>
  <c r="BB51" i="1"/>
  <c r="BB157" i="1"/>
  <c r="BB158" i="1"/>
  <c r="BB83" i="1"/>
  <c r="BB91" i="1"/>
  <c r="BB105" i="1"/>
  <c r="BB103" i="1"/>
  <c r="BB188" i="1"/>
  <c r="BB163" i="1"/>
  <c r="BB101" i="1"/>
  <c r="BB65" i="1"/>
  <c r="BB60" i="1"/>
  <c r="BB80" i="1"/>
  <c r="BB56" i="1"/>
  <c r="BB57" i="1"/>
  <c r="BB25" i="1"/>
  <c r="BB104" i="1"/>
  <c r="BB66" i="1"/>
  <c r="BB58" i="1"/>
  <c r="BB155" i="1"/>
  <c r="BB156" i="1"/>
  <c r="BB134" i="1"/>
  <c r="BB92" i="1"/>
  <c r="BB67" i="1"/>
  <c r="BB126" i="1"/>
  <c r="BB145" i="1"/>
  <c r="BB135" i="1"/>
  <c r="BB159" i="1"/>
  <c r="BB76" i="1"/>
  <c r="BB114" i="1"/>
  <c r="BB161" i="1"/>
  <c r="BB160" i="1"/>
  <c r="BB95" i="1"/>
  <c r="BB120" i="1"/>
  <c r="BB42" i="1"/>
  <c r="BB183" i="1"/>
  <c r="BB112" i="1"/>
  <c r="BB148" i="1"/>
  <c r="BB179" i="1"/>
  <c r="BB128" i="1"/>
  <c r="BB144" i="1"/>
  <c r="BB110" i="1"/>
  <c r="BB81" i="1"/>
  <c r="BB100" i="1"/>
  <c r="BB123" i="1"/>
  <c r="BB86" i="1"/>
  <c r="BB174" i="1"/>
  <c r="BB201" i="1"/>
  <c r="BB90" i="1"/>
  <c r="BB102" i="1"/>
  <c r="BB94" i="1"/>
  <c r="BB119" i="1"/>
  <c r="BB141" i="1"/>
  <c r="BB147" i="1"/>
  <c r="BB165" i="1"/>
  <c r="BB132" i="1"/>
  <c r="BB189" i="1"/>
  <c r="BB133" i="1"/>
  <c r="BB206" i="1"/>
  <c r="BB78" i="1"/>
  <c r="BB143" i="1"/>
  <c r="BB150" i="1"/>
  <c r="BB130" i="1"/>
  <c r="BB96" i="1"/>
  <c r="BB182" i="1"/>
  <c r="BB195" i="1"/>
  <c r="BB178" i="1"/>
  <c r="BB181" i="1"/>
  <c r="BB194" i="1"/>
  <c r="BB208" i="1"/>
  <c r="BB129" i="1"/>
  <c r="BB180" i="1"/>
  <c r="BB140" i="1"/>
  <c r="BB125" i="1"/>
  <c r="BB131" i="1"/>
  <c r="BB173" i="1"/>
  <c r="BB184" i="1"/>
  <c r="BB190" i="1"/>
  <c r="BB142" i="1"/>
  <c r="BB69" i="1"/>
  <c r="BB151" i="1"/>
  <c r="BB193" i="1"/>
  <c r="BB169" i="1"/>
  <c r="BB166" i="1"/>
  <c r="BB97" i="1"/>
  <c r="BB79" i="1"/>
  <c r="BB146" i="1"/>
  <c r="BB204" i="1"/>
  <c r="BB113" i="1"/>
  <c r="BB172" i="1"/>
  <c r="BB171" i="1"/>
  <c r="BB185" i="1"/>
  <c r="BB137" i="1"/>
  <c r="BB205" i="1"/>
  <c r="BB177" i="1"/>
  <c r="BB199" i="1"/>
  <c r="BB106" i="1"/>
  <c r="BB203" i="1"/>
  <c r="BB124" i="1"/>
  <c r="BB170" i="1"/>
  <c r="BB152" i="1"/>
  <c r="BB118" i="1"/>
  <c r="BB198" i="1"/>
  <c r="BB200" i="1"/>
  <c r="BB136" i="1"/>
  <c r="BB108" i="1"/>
  <c r="BB149" i="1"/>
  <c r="BB187" i="1"/>
  <c r="BB168" i="1"/>
  <c r="BB162" i="1"/>
  <c r="BB139" i="1"/>
  <c r="BB196" i="1"/>
  <c r="BB153" i="1"/>
  <c r="BB197" i="1"/>
  <c r="BB176" i="1"/>
  <c r="BB202" i="1"/>
  <c r="BB167" i="1"/>
  <c r="BB207" i="1"/>
  <c r="BB192" i="1"/>
  <c r="BA3" i="1"/>
  <c r="BA2" i="1"/>
  <c r="BA43" i="1"/>
  <c r="BA71" i="1"/>
  <c r="BA7" i="1"/>
  <c r="BA164" i="1"/>
  <c r="BA4" i="1"/>
  <c r="BA99" i="1"/>
  <c r="BA6" i="1"/>
  <c r="BA8" i="1"/>
  <c r="BA10" i="1"/>
  <c r="BA9" i="1"/>
  <c r="BA127" i="1"/>
  <c r="BA11" i="1"/>
  <c r="BA44" i="1"/>
  <c r="BA39" i="1"/>
  <c r="BA45" i="1"/>
  <c r="BA16" i="1"/>
  <c r="BA12" i="1"/>
  <c r="BA48" i="1"/>
  <c r="BA54" i="1"/>
  <c r="BA47" i="1"/>
  <c r="BA20" i="1"/>
  <c r="BA50" i="1"/>
  <c r="BA22" i="1"/>
  <c r="BA49" i="1"/>
  <c r="BA13" i="1"/>
  <c r="BA26" i="1"/>
  <c r="BA52" i="1"/>
  <c r="BA46" i="1"/>
  <c r="BA72" i="1"/>
  <c r="BA5" i="1"/>
  <c r="BA18" i="1"/>
  <c r="BA23" i="1"/>
  <c r="BA15" i="1"/>
  <c r="BA14" i="1"/>
  <c r="BA59" i="1"/>
  <c r="BA38" i="1"/>
  <c r="BA21" i="1"/>
  <c r="BA27" i="1"/>
  <c r="BA17" i="1"/>
  <c r="BA68" i="1"/>
  <c r="BA121" i="1"/>
  <c r="BA24" i="1"/>
  <c r="BA30" i="1"/>
  <c r="BA40" i="1"/>
  <c r="BA35" i="1"/>
  <c r="BA29" i="1"/>
  <c r="BA37" i="1"/>
  <c r="BA28" i="1"/>
  <c r="BA19" i="1"/>
  <c r="BA33" i="1"/>
  <c r="BA109" i="1"/>
  <c r="BA64" i="1"/>
  <c r="BA63" i="1"/>
  <c r="BA77" i="1"/>
  <c r="BA115" i="1"/>
  <c r="BA31" i="1"/>
  <c r="BA41" i="1"/>
  <c r="BA191" i="1"/>
  <c r="BA85" i="1"/>
  <c r="BA62" i="1"/>
  <c r="BA36" i="1"/>
  <c r="BA32" i="1"/>
  <c r="BA34" i="1"/>
  <c r="BA93" i="1"/>
  <c r="BA117" i="1"/>
  <c r="BA154" i="1"/>
  <c r="BA107" i="1"/>
  <c r="BA98" i="1"/>
  <c r="BA138" i="1"/>
  <c r="BA75" i="1"/>
  <c r="BA122" i="1"/>
  <c r="BA84" i="1"/>
  <c r="BA116" i="1"/>
  <c r="BA186" i="1"/>
  <c r="BA89" i="1"/>
  <c r="BA70" i="1"/>
  <c r="BA61" i="1"/>
  <c r="BA74" i="1"/>
  <c r="BA88" i="1"/>
  <c r="BA73" i="1"/>
  <c r="BA111" i="1"/>
  <c r="BA87" i="1"/>
  <c r="BA82" i="1"/>
  <c r="BA53" i="1"/>
  <c r="BA175" i="1"/>
  <c r="BA55" i="1"/>
  <c r="BA51" i="1"/>
  <c r="BA157" i="1"/>
  <c r="BA158" i="1"/>
  <c r="BA83" i="1"/>
  <c r="BA91" i="1"/>
  <c r="BA105" i="1"/>
  <c r="BA103" i="1"/>
  <c r="BA188" i="1"/>
  <c r="BA163" i="1"/>
  <c r="BA101" i="1"/>
  <c r="BA65" i="1"/>
  <c r="BA60" i="1"/>
  <c r="BA80" i="1"/>
  <c r="BA56" i="1"/>
  <c r="BA57" i="1"/>
  <c r="BA25" i="1"/>
  <c r="BA104" i="1"/>
  <c r="BA66" i="1"/>
  <c r="BA58" i="1"/>
  <c r="BA155" i="1"/>
  <c r="BA156" i="1"/>
  <c r="BA134" i="1"/>
  <c r="BA92" i="1"/>
  <c r="BA67" i="1"/>
  <c r="BA126" i="1"/>
  <c r="BA145" i="1"/>
  <c r="BA135" i="1"/>
  <c r="BA159" i="1"/>
  <c r="BA76" i="1"/>
  <c r="BA114" i="1"/>
  <c r="BA161" i="1"/>
  <c r="BA160" i="1"/>
  <c r="BA95" i="1"/>
  <c r="BA120" i="1"/>
  <c r="BA42" i="1"/>
  <c r="BA183" i="1"/>
  <c r="BA112" i="1"/>
  <c r="BA148" i="1"/>
  <c r="BA179" i="1"/>
  <c r="BA128" i="1"/>
  <c r="BA144" i="1"/>
  <c r="BA110" i="1"/>
  <c r="BA81" i="1"/>
  <c r="BA100" i="1"/>
  <c r="BA123" i="1"/>
  <c r="BA86" i="1"/>
  <c r="BA174" i="1"/>
  <c r="BA201" i="1"/>
  <c r="BA90" i="1"/>
  <c r="BA102" i="1"/>
  <c r="BA94" i="1"/>
  <c r="BA119" i="1"/>
  <c r="BA141" i="1"/>
  <c r="BA147" i="1"/>
  <c r="BA165" i="1"/>
  <c r="BA132" i="1"/>
  <c r="BA189" i="1"/>
  <c r="BA133" i="1"/>
  <c r="BA206" i="1"/>
  <c r="BA78" i="1"/>
  <c r="BA143" i="1"/>
  <c r="BA150" i="1"/>
  <c r="BA130" i="1"/>
  <c r="BA96" i="1"/>
  <c r="BA182" i="1"/>
  <c r="BA195" i="1"/>
  <c r="BA178" i="1"/>
  <c r="BA181" i="1"/>
  <c r="BA194" i="1"/>
  <c r="BA208" i="1"/>
  <c r="BA129" i="1"/>
  <c r="BA180" i="1"/>
  <c r="BA140" i="1"/>
  <c r="BA125" i="1"/>
  <c r="BA131" i="1"/>
  <c r="BA173" i="1"/>
  <c r="BA184" i="1"/>
  <c r="BA190" i="1"/>
  <c r="BA142" i="1"/>
  <c r="BA69" i="1"/>
  <c r="BA151" i="1"/>
  <c r="BA193" i="1"/>
  <c r="BA169" i="1"/>
  <c r="BA166" i="1"/>
  <c r="BA97" i="1"/>
  <c r="BA79" i="1"/>
  <c r="BA146" i="1"/>
  <c r="BA204" i="1"/>
  <c r="BA113" i="1"/>
  <c r="BA172" i="1"/>
  <c r="BA171" i="1"/>
  <c r="BA185" i="1"/>
  <c r="BA137" i="1"/>
  <c r="BA205" i="1"/>
  <c r="BA177" i="1"/>
  <c r="BA199" i="1"/>
  <c r="BA106" i="1"/>
  <c r="BA203" i="1"/>
  <c r="BA124" i="1"/>
  <c r="BA170" i="1"/>
  <c r="BA152" i="1"/>
  <c r="BA118" i="1"/>
  <c r="BA198" i="1"/>
  <c r="BA200" i="1"/>
  <c r="BA136" i="1"/>
  <c r="BA108" i="1"/>
  <c r="BA149" i="1"/>
  <c r="BA187" i="1"/>
  <c r="BA168" i="1"/>
  <c r="BA162" i="1"/>
  <c r="BA139" i="1"/>
  <c r="BA196" i="1"/>
  <c r="BA153" i="1"/>
  <c r="BA197" i="1"/>
  <c r="BA176" i="1"/>
  <c r="BA202" i="1"/>
  <c r="BA167" i="1"/>
  <c r="BA207" i="1"/>
  <c r="BA192" i="1"/>
  <c r="AZ3" i="1"/>
  <c r="AZ2" i="1"/>
  <c r="AZ43" i="1"/>
  <c r="AZ71" i="1"/>
  <c r="AZ7" i="1"/>
  <c r="AZ164" i="1"/>
  <c r="AZ4" i="1"/>
  <c r="AZ99" i="1"/>
  <c r="AZ6" i="1"/>
  <c r="AZ8" i="1"/>
  <c r="AZ10" i="1"/>
  <c r="AZ9" i="1"/>
  <c r="AZ127" i="1"/>
  <c r="AZ11" i="1"/>
  <c r="AZ44" i="1"/>
  <c r="AZ39" i="1"/>
  <c r="AZ45" i="1"/>
  <c r="AZ16" i="1"/>
  <c r="AZ12" i="1"/>
  <c r="AZ48" i="1"/>
  <c r="AZ54" i="1"/>
  <c r="AZ47" i="1"/>
  <c r="AZ20" i="1"/>
  <c r="AZ50" i="1"/>
  <c r="AZ22" i="1"/>
  <c r="AZ49" i="1"/>
  <c r="AZ13" i="1"/>
  <c r="AZ26" i="1"/>
  <c r="AZ52" i="1"/>
  <c r="AZ46" i="1"/>
  <c r="AZ72" i="1"/>
  <c r="AZ5" i="1"/>
  <c r="AZ18" i="1"/>
  <c r="AZ23" i="1"/>
  <c r="AZ15" i="1"/>
  <c r="AZ14" i="1"/>
  <c r="AZ59" i="1"/>
  <c r="AZ38" i="1"/>
  <c r="AZ21" i="1"/>
  <c r="AZ27" i="1"/>
  <c r="AZ17" i="1"/>
  <c r="AZ68" i="1"/>
  <c r="AZ121" i="1"/>
  <c r="AZ24" i="1"/>
  <c r="AZ30" i="1"/>
  <c r="AZ40" i="1"/>
  <c r="AZ35" i="1"/>
  <c r="AZ29" i="1"/>
  <c r="AZ37" i="1"/>
  <c r="AZ28" i="1"/>
  <c r="AZ19" i="1"/>
  <c r="AZ33" i="1"/>
  <c r="AZ109" i="1"/>
  <c r="AZ64" i="1"/>
  <c r="AZ63" i="1"/>
  <c r="AZ77" i="1"/>
  <c r="AZ115" i="1"/>
  <c r="AZ31" i="1"/>
  <c r="AZ41" i="1"/>
  <c r="AZ191" i="1"/>
  <c r="AZ85" i="1"/>
  <c r="AZ62" i="1"/>
  <c r="AZ36" i="1"/>
  <c r="AZ32" i="1"/>
  <c r="AZ34" i="1"/>
  <c r="AZ93" i="1"/>
  <c r="AZ117" i="1"/>
  <c r="AZ154" i="1"/>
  <c r="AZ107" i="1"/>
  <c r="AZ98" i="1"/>
  <c r="AZ138" i="1"/>
  <c r="AZ75" i="1"/>
  <c r="AZ122" i="1"/>
  <c r="AZ84" i="1"/>
  <c r="AZ116" i="1"/>
  <c r="AZ186" i="1"/>
  <c r="AZ89" i="1"/>
  <c r="AZ70" i="1"/>
  <c r="AZ61" i="1"/>
  <c r="AZ74" i="1"/>
  <c r="AZ88" i="1"/>
  <c r="AZ73" i="1"/>
  <c r="AZ111" i="1"/>
  <c r="AZ87" i="1"/>
  <c r="AZ82" i="1"/>
  <c r="AZ53" i="1"/>
  <c r="AZ175" i="1"/>
  <c r="AZ55" i="1"/>
  <c r="AZ51" i="1"/>
  <c r="AZ157" i="1"/>
  <c r="AZ158" i="1"/>
  <c r="AZ83" i="1"/>
  <c r="AZ91" i="1"/>
  <c r="AZ105" i="1"/>
  <c r="AZ103" i="1"/>
  <c r="AZ188" i="1"/>
  <c r="AZ163" i="1"/>
  <c r="AZ101" i="1"/>
  <c r="AZ65" i="1"/>
  <c r="AZ60" i="1"/>
  <c r="AZ80" i="1"/>
  <c r="AZ56" i="1"/>
  <c r="AZ57" i="1"/>
  <c r="AZ25" i="1"/>
  <c r="AZ104" i="1"/>
  <c r="AZ66" i="1"/>
  <c r="AZ58" i="1"/>
  <c r="AZ155" i="1"/>
  <c r="AZ156" i="1"/>
  <c r="AZ134" i="1"/>
  <c r="AZ92" i="1"/>
  <c r="AZ67" i="1"/>
  <c r="AZ126" i="1"/>
  <c r="AZ145" i="1"/>
  <c r="AZ135" i="1"/>
  <c r="AZ159" i="1"/>
  <c r="AZ76" i="1"/>
  <c r="AZ114" i="1"/>
  <c r="AZ161" i="1"/>
  <c r="AZ160" i="1"/>
  <c r="AZ95" i="1"/>
  <c r="AZ120" i="1"/>
  <c r="AZ42" i="1"/>
  <c r="AZ183" i="1"/>
  <c r="AZ112" i="1"/>
  <c r="AZ148" i="1"/>
  <c r="AZ179" i="1"/>
  <c r="AZ128" i="1"/>
  <c r="AZ144" i="1"/>
  <c r="AZ110" i="1"/>
  <c r="AZ81" i="1"/>
  <c r="AZ100" i="1"/>
  <c r="AZ123" i="1"/>
  <c r="AZ86" i="1"/>
  <c r="AZ174" i="1"/>
  <c r="AZ201" i="1"/>
  <c r="AZ90" i="1"/>
  <c r="AZ102" i="1"/>
  <c r="AZ94" i="1"/>
  <c r="AZ119" i="1"/>
  <c r="AZ141" i="1"/>
  <c r="AZ147" i="1"/>
  <c r="AZ165" i="1"/>
  <c r="AZ132" i="1"/>
  <c r="AZ189" i="1"/>
  <c r="AZ133" i="1"/>
  <c r="AZ206" i="1"/>
  <c r="AZ78" i="1"/>
  <c r="AZ143" i="1"/>
  <c r="AZ150" i="1"/>
  <c r="AZ130" i="1"/>
  <c r="AZ96" i="1"/>
  <c r="AZ182" i="1"/>
  <c r="AZ195" i="1"/>
  <c r="AZ178" i="1"/>
  <c r="AZ181" i="1"/>
  <c r="AZ194" i="1"/>
  <c r="AZ208" i="1"/>
  <c r="AZ129" i="1"/>
  <c r="AZ180" i="1"/>
  <c r="AZ140" i="1"/>
  <c r="AZ125" i="1"/>
  <c r="AZ131" i="1"/>
  <c r="AZ173" i="1"/>
  <c r="AZ184" i="1"/>
  <c r="AZ190" i="1"/>
  <c r="AZ142" i="1"/>
  <c r="AZ69" i="1"/>
  <c r="AZ151" i="1"/>
  <c r="AZ193" i="1"/>
  <c r="AZ169" i="1"/>
  <c r="AZ166" i="1"/>
  <c r="AZ97" i="1"/>
  <c r="AZ79" i="1"/>
  <c r="AZ146" i="1"/>
  <c r="AZ204" i="1"/>
  <c r="AZ113" i="1"/>
  <c r="AZ172" i="1"/>
  <c r="AZ171" i="1"/>
  <c r="AZ185" i="1"/>
  <c r="AZ137" i="1"/>
  <c r="AZ205" i="1"/>
  <c r="AZ177" i="1"/>
  <c r="AZ199" i="1"/>
  <c r="AZ106" i="1"/>
  <c r="AZ203" i="1"/>
  <c r="AZ124" i="1"/>
  <c r="AZ170" i="1"/>
  <c r="AZ152" i="1"/>
  <c r="AZ118" i="1"/>
  <c r="AZ198" i="1"/>
  <c r="AZ200" i="1"/>
  <c r="AZ136" i="1"/>
  <c r="AZ108" i="1"/>
  <c r="AZ149" i="1"/>
  <c r="AZ187" i="1"/>
  <c r="AZ168" i="1"/>
  <c r="AZ162" i="1"/>
  <c r="AZ139" i="1"/>
  <c r="AZ196" i="1"/>
  <c r="AZ153" i="1"/>
  <c r="AZ197" i="1"/>
  <c r="AZ176" i="1"/>
  <c r="AZ202" i="1"/>
  <c r="AZ167" i="1"/>
  <c r="AZ207" i="1"/>
  <c r="AZ192" i="1"/>
  <c r="AY3" i="1"/>
  <c r="AY2" i="1"/>
  <c r="AY43" i="1"/>
  <c r="AY71" i="1"/>
  <c r="AY7" i="1"/>
  <c r="AY164" i="1"/>
  <c r="AY4" i="1"/>
  <c r="AY99" i="1"/>
  <c r="AY6" i="1"/>
  <c r="AY8" i="1"/>
  <c r="AY10" i="1"/>
  <c r="AY9" i="1"/>
  <c r="AY127" i="1"/>
  <c r="AY11" i="1"/>
  <c r="AY44" i="1"/>
  <c r="AY39" i="1"/>
  <c r="AY45" i="1"/>
  <c r="AY16" i="1"/>
  <c r="AY12" i="1"/>
  <c r="AY48" i="1"/>
  <c r="AY54" i="1"/>
  <c r="AY47" i="1"/>
  <c r="AY20" i="1"/>
  <c r="AY50" i="1"/>
  <c r="AY22" i="1"/>
  <c r="AY49" i="1"/>
  <c r="AY13" i="1"/>
  <c r="AY26" i="1"/>
  <c r="AY52" i="1"/>
  <c r="AY46" i="1"/>
  <c r="AY72" i="1"/>
  <c r="AY5" i="1"/>
  <c r="AY18" i="1"/>
  <c r="AY23" i="1"/>
  <c r="AY15" i="1"/>
  <c r="AY14" i="1"/>
  <c r="AY59" i="1"/>
  <c r="AY38" i="1"/>
  <c r="AY21" i="1"/>
  <c r="AY27" i="1"/>
  <c r="AY17" i="1"/>
  <c r="AY68" i="1"/>
  <c r="AY121" i="1"/>
  <c r="AY24" i="1"/>
  <c r="AY30" i="1"/>
  <c r="AY40" i="1"/>
  <c r="AY35" i="1"/>
  <c r="AY29" i="1"/>
  <c r="AY37" i="1"/>
  <c r="AY28" i="1"/>
  <c r="AY19" i="1"/>
  <c r="AY33" i="1"/>
  <c r="AY109" i="1"/>
  <c r="AY64" i="1"/>
  <c r="AY63" i="1"/>
  <c r="AY77" i="1"/>
  <c r="AY115" i="1"/>
  <c r="AY31" i="1"/>
  <c r="AY41" i="1"/>
  <c r="AY191" i="1"/>
  <c r="AY85" i="1"/>
  <c r="AY62" i="1"/>
  <c r="AY36" i="1"/>
  <c r="AY32" i="1"/>
  <c r="AY34" i="1"/>
  <c r="AY93" i="1"/>
  <c r="AY117" i="1"/>
  <c r="AY154" i="1"/>
  <c r="AY107" i="1"/>
  <c r="AY98" i="1"/>
  <c r="AY138" i="1"/>
  <c r="AY75" i="1"/>
  <c r="AY122" i="1"/>
  <c r="AY84" i="1"/>
  <c r="AY116" i="1"/>
  <c r="AY186" i="1"/>
  <c r="AY89" i="1"/>
  <c r="AY70" i="1"/>
  <c r="AY61" i="1"/>
  <c r="AY74" i="1"/>
  <c r="AY88" i="1"/>
  <c r="AY73" i="1"/>
  <c r="AY111" i="1"/>
  <c r="AY87" i="1"/>
  <c r="AY82" i="1"/>
  <c r="AY53" i="1"/>
  <c r="AY175" i="1"/>
  <c r="AY55" i="1"/>
  <c r="AY51" i="1"/>
  <c r="AY157" i="1"/>
  <c r="AY158" i="1"/>
  <c r="AY83" i="1"/>
  <c r="AY91" i="1"/>
  <c r="AY105" i="1"/>
  <c r="AY103" i="1"/>
  <c r="AY188" i="1"/>
  <c r="AY163" i="1"/>
  <c r="AY101" i="1"/>
  <c r="AY65" i="1"/>
  <c r="AY60" i="1"/>
  <c r="AY80" i="1"/>
  <c r="AY56" i="1"/>
  <c r="AY57" i="1"/>
  <c r="AY25" i="1"/>
  <c r="AY104" i="1"/>
  <c r="AY66" i="1"/>
  <c r="AY58" i="1"/>
  <c r="AY155" i="1"/>
  <c r="AY156" i="1"/>
  <c r="AY134" i="1"/>
  <c r="AY92" i="1"/>
  <c r="AY67" i="1"/>
  <c r="AY126" i="1"/>
  <c r="AY145" i="1"/>
  <c r="AY135" i="1"/>
  <c r="AY159" i="1"/>
  <c r="AY76" i="1"/>
  <c r="AY114" i="1"/>
  <c r="AY161" i="1"/>
  <c r="AY160" i="1"/>
  <c r="AY95" i="1"/>
  <c r="AY120" i="1"/>
  <c r="AY42" i="1"/>
  <c r="AY183" i="1"/>
  <c r="AY112" i="1"/>
  <c r="AY148" i="1"/>
  <c r="AY179" i="1"/>
  <c r="AY128" i="1"/>
  <c r="AY144" i="1"/>
  <c r="AY110" i="1"/>
  <c r="AY81" i="1"/>
  <c r="AY100" i="1"/>
  <c r="AY123" i="1"/>
  <c r="AY86" i="1"/>
  <c r="AY174" i="1"/>
  <c r="AY201" i="1"/>
  <c r="AY90" i="1"/>
  <c r="AY102" i="1"/>
  <c r="AY94" i="1"/>
  <c r="AY119" i="1"/>
  <c r="AY141" i="1"/>
  <c r="AY147" i="1"/>
  <c r="AY165" i="1"/>
  <c r="AY132" i="1"/>
  <c r="AY189" i="1"/>
  <c r="AY133" i="1"/>
  <c r="AY206" i="1"/>
  <c r="AY78" i="1"/>
  <c r="AY143" i="1"/>
  <c r="AY150" i="1"/>
  <c r="AY130" i="1"/>
  <c r="AY96" i="1"/>
  <c r="AY182" i="1"/>
  <c r="AY195" i="1"/>
  <c r="AY178" i="1"/>
  <c r="AY181" i="1"/>
  <c r="AY194" i="1"/>
  <c r="AY208" i="1"/>
  <c r="AY129" i="1"/>
  <c r="AY180" i="1"/>
  <c r="AY140" i="1"/>
  <c r="AY125" i="1"/>
  <c r="AY131" i="1"/>
  <c r="AY173" i="1"/>
  <c r="AY184" i="1"/>
  <c r="AY190" i="1"/>
  <c r="AY142" i="1"/>
  <c r="AY69" i="1"/>
  <c r="AY151" i="1"/>
  <c r="AY193" i="1"/>
  <c r="AY169" i="1"/>
  <c r="AY166" i="1"/>
  <c r="AY97" i="1"/>
  <c r="AY79" i="1"/>
  <c r="AY146" i="1"/>
  <c r="AY204" i="1"/>
  <c r="AY113" i="1"/>
  <c r="AY172" i="1"/>
  <c r="AY171" i="1"/>
  <c r="AY185" i="1"/>
  <c r="AY137" i="1"/>
  <c r="AY205" i="1"/>
  <c r="AY177" i="1"/>
  <c r="AY199" i="1"/>
  <c r="AY106" i="1"/>
  <c r="AY203" i="1"/>
  <c r="AY124" i="1"/>
  <c r="AY170" i="1"/>
  <c r="AY152" i="1"/>
  <c r="AY118" i="1"/>
  <c r="AY198" i="1"/>
  <c r="AY200" i="1"/>
  <c r="AY136" i="1"/>
  <c r="AY108" i="1"/>
  <c r="AY149" i="1"/>
  <c r="AY187" i="1"/>
  <c r="AY168" i="1"/>
  <c r="AY162" i="1"/>
  <c r="AY139" i="1"/>
  <c r="AY196" i="1"/>
  <c r="AY153" i="1"/>
  <c r="AY197" i="1"/>
  <c r="AY176" i="1"/>
  <c r="AY202" i="1"/>
  <c r="AY167" i="1"/>
  <c r="AY207" i="1"/>
  <c r="AY192" i="1"/>
  <c r="AX3" i="1"/>
  <c r="AX2" i="1"/>
  <c r="AX43" i="1"/>
  <c r="AX71" i="1"/>
  <c r="AX7" i="1"/>
  <c r="AX164" i="1"/>
  <c r="AX4" i="1"/>
  <c r="AX99" i="1"/>
  <c r="AX6" i="1"/>
  <c r="AX8" i="1"/>
  <c r="AX10" i="1"/>
  <c r="AX9" i="1"/>
  <c r="AX127" i="1"/>
  <c r="AX11" i="1"/>
  <c r="AX44" i="1"/>
  <c r="AX39" i="1"/>
  <c r="AX45" i="1"/>
  <c r="AX16" i="1"/>
  <c r="AX12" i="1"/>
  <c r="AX48" i="1"/>
  <c r="AX54" i="1"/>
  <c r="AX47" i="1"/>
  <c r="AX20" i="1"/>
  <c r="AX50" i="1"/>
  <c r="AX22" i="1"/>
  <c r="AX49" i="1"/>
  <c r="AX13" i="1"/>
  <c r="AX26" i="1"/>
  <c r="AX52" i="1"/>
  <c r="AX46" i="1"/>
  <c r="AX72" i="1"/>
  <c r="AX5" i="1"/>
  <c r="AX18" i="1"/>
  <c r="AX23" i="1"/>
  <c r="AX15" i="1"/>
  <c r="AX14" i="1"/>
  <c r="AX59" i="1"/>
  <c r="AX38" i="1"/>
  <c r="AX21" i="1"/>
  <c r="AX27" i="1"/>
  <c r="AX17" i="1"/>
  <c r="AX68" i="1"/>
  <c r="AX121" i="1"/>
  <c r="AX24" i="1"/>
  <c r="AX30" i="1"/>
  <c r="AX40" i="1"/>
  <c r="AX35" i="1"/>
  <c r="AX29" i="1"/>
  <c r="AX37" i="1"/>
  <c r="AX28" i="1"/>
  <c r="AX19" i="1"/>
  <c r="AX33" i="1"/>
  <c r="AX109" i="1"/>
  <c r="AX64" i="1"/>
  <c r="AX63" i="1"/>
  <c r="AX77" i="1"/>
  <c r="AX115" i="1"/>
  <c r="AX31" i="1"/>
  <c r="AX41" i="1"/>
  <c r="AX191" i="1"/>
  <c r="AX85" i="1"/>
  <c r="AX62" i="1"/>
  <c r="AX36" i="1"/>
  <c r="AX32" i="1"/>
  <c r="AX34" i="1"/>
  <c r="AX93" i="1"/>
  <c r="AX117" i="1"/>
  <c r="AX154" i="1"/>
  <c r="AX107" i="1"/>
  <c r="AX98" i="1"/>
  <c r="AX138" i="1"/>
  <c r="AX75" i="1"/>
  <c r="AX122" i="1"/>
  <c r="AX84" i="1"/>
  <c r="AX116" i="1"/>
  <c r="AX186" i="1"/>
  <c r="AX89" i="1"/>
  <c r="AX70" i="1"/>
  <c r="AX61" i="1"/>
  <c r="AX74" i="1"/>
  <c r="AX88" i="1"/>
  <c r="AX73" i="1"/>
  <c r="AX111" i="1"/>
  <c r="AX87" i="1"/>
  <c r="AX82" i="1"/>
  <c r="AX53" i="1"/>
  <c r="AX175" i="1"/>
  <c r="AX55" i="1"/>
  <c r="AX51" i="1"/>
  <c r="AX157" i="1"/>
  <c r="AX158" i="1"/>
  <c r="AX83" i="1"/>
  <c r="AX91" i="1"/>
  <c r="AX105" i="1"/>
  <c r="AX103" i="1"/>
  <c r="AX188" i="1"/>
  <c r="AX163" i="1"/>
  <c r="AX101" i="1"/>
  <c r="AX65" i="1"/>
  <c r="AX60" i="1"/>
  <c r="AX80" i="1"/>
  <c r="AX56" i="1"/>
  <c r="AX57" i="1"/>
  <c r="AX25" i="1"/>
  <c r="AX104" i="1"/>
  <c r="AX66" i="1"/>
  <c r="AX58" i="1"/>
  <c r="AX155" i="1"/>
  <c r="AX156" i="1"/>
  <c r="AX134" i="1"/>
  <c r="AX92" i="1"/>
  <c r="AX67" i="1"/>
  <c r="AX126" i="1"/>
  <c r="AX145" i="1"/>
  <c r="AX135" i="1"/>
  <c r="AX159" i="1"/>
  <c r="AX76" i="1"/>
  <c r="AX114" i="1"/>
  <c r="AX161" i="1"/>
  <c r="AX160" i="1"/>
  <c r="AX95" i="1"/>
  <c r="AX120" i="1"/>
  <c r="AX42" i="1"/>
  <c r="AX183" i="1"/>
  <c r="AX112" i="1"/>
  <c r="AX148" i="1"/>
  <c r="AX179" i="1"/>
  <c r="AX128" i="1"/>
  <c r="AX144" i="1"/>
  <c r="AX110" i="1"/>
  <c r="AX81" i="1"/>
  <c r="AX100" i="1"/>
  <c r="AX123" i="1"/>
  <c r="AX86" i="1"/>
  <c r="AX174" i="1"/>
  <c r="AX201" i="1"/>
  <c r="AX90" i="1"/>
  <c r="AX102" i="1"/>
  <c r="AX94" i="1"/>
  <c r="AX119" i="1"/>
  <c r="AX141" i="1"/>
  <c r="AX147" i="1"/>
  <c r="AX165" i="1"/>
  <c r="AX132" i="1"/>
  <c r="AX189" i="1"/>
  <c r="AX133" i="1"/>
  <c r="AX206" i="1"/>
  <c r="AX78" i="1"/>
  <c r="AX143" i="1"/>
  <c r="AX150" i="1"/>
  <c r="AX130" i="1"/>
  <c r="AX96" i="1"/>
  <c r="AX182" i="1"/>
  <c r="AX195" i="1"/>
  <c r="AX178" i="1"/>
  <c r="AX181" i="1"/>
  <c r="AX194" i="1"/>
  <c r="AX208" i="1"/>
  <c r="AX129" i="1"/>
  <c r="AX180" i="1"/>
  <c r="AX140" i="1"/>
  <c r="AX125" i="1"/>
  <c r="AX131" i="1"/>
  <c r="AX173" i="1"/>
  <c r="AX184" i="1"/>
  <c r="AX190" i="1"/>
  <c r="AX142" i="1"/>
  <c r="AX69" i="1"/>
  <c r="AX151" i="1"/>
  <c r="AX193" i="1"/>
  <c r="AX169" i="1"/>
  <c r="AX166" i="1"/>
  <c r="AX97" i="1"/>
  <c r="AX79" i="1"/>
  <c r="AX146" i="1"/>
  <c r="AX204" i="1"/>
  <c r="AX113" i="1"/>
  <c r="AX172" i="1"/>
  <c r="AX171" i="1"/>
  <c r="AX185" i="1"/>
  <c r="AX137" i="1"/>
  <c r="AX205" i="1"/>
  <c r="AX177" i="1"/>
  <c r="AX199" i="1"/>
  <c r="AX106" i="1"/>
  <c r="AX203" i="1"/>
  <c r="AX124" i="1"/>
  <c r="AX170" i="1"/>
  <c r="AX152" i="1"/>
  <c r="AX118" i="1"/>
  <c r="AX198" i="1"/>
  <c r="AX200" i="1"/>
  <c r="AX136" i="1"/>
  <c r="AX108" i="1"/>
  <c r="AX149" i="1"/>
  <c r="AX187" i="1"/>
  <c r="AX168" i="1"/>
  <c r="AX162" i="1"/>
  <c r="AX139" i="1"/>
  <c r="AX196" i="1"/>
  <c r="AX153" i="1"/>
  <c r="AX197" i="1"/>
  <c r="AX176" i="1"/>
  <c r="AX202" i="1"/>
  <c r="AX167" i="1"/>
  <c r="AX207" i="1"/>
  <c r="AX192" i="1"/>
  <c r="AW3" i="1"/>
  <c r="AW2" i="1"/>
  <c r="AW43" i="1"/>
  <c r="AW71" i="1"/>
  <c r="AW7" i="1"/>
  <c r="AW164" i="1"/>
  <c r="AW4" i="1"/>
  <c r="AW99" i="1"/>
  <c r="AW6" i="1"/>
  <c r="AW8" i="1"/>
  <c r="AW10" i="1"/>
  <c r="AW9" i="1"/>
  <c r="AW127" i="1"/>
  <c r="AW11" i="1"/>
  <c r="AW44" i="1"/>
  <c r="AW39" i="1"/>
  <c r="AW45" i="1"/>
  <c r="AW16" i="1"/>
  <c r="AW12" i="1"/>
  <c r="AW48" i="1"/>
  <c r="AW54" i="1"/>
  <c r="AW47" i="1"/>
  <c r="AW20" i="1"/>
  <c r="AW50" i="1"/>
  <c r="AW22" i="1"/>
  <c r="AW49" i="1"/>
  <c r="AW13" i="1"/>
  <c r="AW26" i="1"/>
  <c r="AW52" i="1"/>
  <c r="AW46" i="1"/>
  <c r="AW72" i="1"/>
  <c r="AW5" i="1"/>
  <c r="AW18" i="1"/>
  <c r="AW23" i="1"/>
  <c r="AW15" i="1"/>
  <c r="AW14" i="1"/>
  <c r="AW59" i="1"/>
  <c r="AW38" i="1"/>
  <c r="AW21" i="1"/>
  <c r="AW27" i="1"/>
  <c r="AW17" i="1"/>
  <c r="AW68" i="1"/>
  <c r="AW121" i="1"/>
  <c r="AW24" i="1"/>
  <c r="AW30" i="1"/>
  <c r="AW40" i="1"/>
  <c r="AW35" i="1"/>
  <c r="AW29" i="1"/>
  <c r="AW37" i="1"/>
  <c r="AW28" i="1"/>
  <c r="AW19" i="1"/>
  <c r="AW33" i="1"/>
  <c r="AW109" i="1"/>
  <c r="AW64" i="1"/>
  <c r="AW63" i="1"/>
  <c r="AW77" i="1"/>
  <c r="AW115" i="1"/>
  <c r="AW31" i="1"/>
  <c r="AW41" i="1"/>
  <c r="AW191" i="1"/>
  <c r="AW85" i="1"/>
  <c r="AW62" i="1"/>
  <c r="AW36" i="1"/>
  <c r="AW32" i="1"/>
  <c r="AW34" i="1"/>
  <c r="AW93" i="1"/>
  <c r="AW117" i="1"/>
  <c r="AW154" i="1"/>
  <c r="AW107" i="1"/>
  <c r="AW98" i="1"/>
  <c r="AW138" i="1"/>
  <c r="AW75" i="1"/>
  <c r="AW122" i="1"/>
  <c r="AW84" i="1"/>
  <c r="AW116" i="1"/>
  <c r="AW186" i="1"/>
  <c r="AW89" i="1"/>
  <c r="AW70" i="1"/>
  <c r="AW61" i="1"/>
  <c r="AW74" i="1"/>
  <c r="AW88" i="1"/>
  <c r="AW73" i="1"/>
  <c r="AW111" i="1"/>
  <c r="AW87" i="1"/>
  <c r="AW82" i="1"/>
  <c r="AW53" i="1"/>
  <c r="AW175" i="1"/>
  <c r="AW55" i="1"/>
  <c r="AW51" i="1"/>
  <c r="AW157" i="1"/>
  <c r="AW158" i="1"/>
  <c r="AW83" i="1"/>
  <c r="AW91" i="1"/>
  <c r="AW105" i="1"/>
  <c r="AW103" i="1"/>
  <c r="AW188" i="1"/>
  <c r="AW163" i="1"/>
  <c r="AW101" i="1"/>
  <c r="AW65" i="1"/>
  <c r="AW60" i="1"/>
  <c r="AW80" i="1"/>
  <c r="AW56" i="1"/>
  <c r="AW57" i="1"/>
  <c r="AW25" i="1"/>
  <c r="AW104" i="1"/>
  <c r="AW66" i="1"/>
  <c r="AW58" i="1"/>
  <c r="AW155" i="1"/>
  <c r="AW156" i="1"/>
  <c r="AW134" i="1"/>
  <c r="AW92" i="1"/>
  <c r="AW67" i="1"/>
  <c r="AW126" i="1"/>
  <c r="AW145" i="1"/>
  <c r="AW135" i="1"/>
  <c r="AW159" i="1"/>
  <c r="AW76" i="1"/>
  <c r="AW114" i="1"/>
  <c r="AW161" i="1"/>
  <c r="AW160" i="1"/>
  <c r="AW95" i="1"/>
  <c r="AW120" i="1"/>
  <c r="AW42" i="1"/>
  <c r="AW183" i="1"/>
  <c r="AW112" i="1"/>
  <c r="AW148" i="1"/>
  <c r="AW179" i="1"/>
  <c r="AW128" i="1"/>
  <c r="AW144" i="1"/>
  <c r="AW110" i="1"/>
  <c r="AW81" i="1"/>
  <c r="AW100" i="1"/>
  <c r="AW123" i="1"/>
  <c r="AW86" i="1"/>
  <c r="AW174" i="1"/>
  <c r="AW201" i="1"/>
  <c r="AW90" i="1"/>
  <c r="AW102" i="1"/>
  <c r="AW94" i="1"/>
  <c r="AW119" i="1"/>
  <c r="AW141" i="1"/>
  <c r="AW147" i="1"/>
  <c r="AW165" i="1"/>
  <c r="AW132" i="1"/>
  <c r="AW189" i="1"/>
  <c r="AW133" i="1"/>
  <c r="AW206" i="1"/>
  <c r="AW78" i="1"/>
  <c r="AW143" i="1"/>
  <c r="AW150" i="1"/>
  <c r="AW130" i="1"/>
  <c r="AW96" i="1"/>
  <c r="AW182" i="1"/>
  <c r="AW195" i="1"/>
  <c r="AW178" i="1"/>
  <c r="AW181" i="1"/>
  <c r="AW194" i="1"/>
  <c r="AW208" i="1"/>
  <c r="AW129" i="1"/>
  <c r="AW180" i="1"/>
  <c r="AW140" i="1"/>
  <c r="AW125" i="1"/>
  <c r="AW131" i="1"/>
  <c r="AW173" i="1"/>
  <c r="AW184" i="1"/>
  <c r="AW190" i="1"/>
  <c r="AW142" i="1"/>
  <c r="AW69" i="1"/>
  <c r="AW151" i="1"/>
  <c r="AW193" i="1"/>
  <c r="AW169" i="1"/>
  <c r="AW166" i="1"/>
  <c r="AW97" i="1"/>
  <c r="AW79" i="1"/>
  <c r="AW146" i="1"/>
  <c r="AW204" i="1"/>
  <c r="AW113" i="1"/>
  <c r="AW172" i="1"/>
  <c r="AW171" i="1"/>
  <c r="AW185" i="1"/>
  <c r="AW137" i="1"/>
  <c r="AW205" i="1"/>
  <c r="AW177" i="1"/>
  <c r="AW199" i="1"/>
  <c r="AW106" i="1"/>
  <c r="AW203" i="1"/>
  <c r="AW124" i="1"/>
  <c r="AW170" i="1"/>
  <c r="AW152" i="1"/>
  <c r="AW118" i="1"/>
  <c r="AW198" i="1"/>
  <c r="AW200" i="1"/>
  <c r="AW136" i="1"/>
  <c r="AW108" i="1"/>
  <c r="AW149" i="1"/>
  <c r="AW187" i="1"/>
  <c r="AW168" i="1"/>
  <c r="AW162" i="1"/>
  <c r="AW139" i="1"/>
  <c r="AW196" i="1"/>
  <c r="AW153" i="1"/>
  <c r="AW197" i="1"/>
  <c r="AW176" i="1"/>
  <c r="AW202" i="1"/>
  <c r="AW167" i="1"/>
  <c r="AW207" i="1"/>
  <c r="AW192" i="1"/>
  <c r="AV3" i="1"/>
  <c r="AV2" i="1"/>
  <c r="AV43" i="1"/>
  <c r="AV71" i="1"/>
  <c r="AV7" i="1"/>
  <c r="AV164" i="1"/>
  <c r="AV4" i="1"/>
  <c r="AV99" i="1"/>
  <c r="AV6" i="1"/>
  <c r="AV8" i="1"/>
  <c r="AV10" i="1"/>
  <c r="AV9" i="1"/>
  <c r="AV127" i="1"/>
  <c r="AV11" i="1"/>
  <c r="AV44" i="1"/>
  <c r="AV39" i="1"/>
  <c r="AV45" i="1"/>
  <c r="AV16" i="1"/>
  <c r="AV12" i="1"/>
  <c r="AV48" i="1"/>
  <c r="AV54" i="1"/>
  <c r="AV47" i="1"/>
  <c r="AV20" i="1"/>
  <c r="AV50" i="1"/>
  <c r="AV22" i="1"/>
  <c r="AV49" i="1"/>
  <c r="AV13" i="1"/>
  <c r="AV26" i="1"/>
  <c r="AV52" i="1"/>
  <c r="AV46" i="1"/>
  <c r="AV72" i="1"/>
  <c r="AV5" i="1"/>
  <c r="AV18" i="1"/>
  <c r="AV23" i="1"/>
  <c r="AV15" i="1"/>
  <c r="AV14" i="1"/>
  <c r="AV59" i="1"/>
  <c r="AV38" i="1"/>
  <c r="AV21" i="1"/>
  <c r="AV27" i="1"/>
  <c r="AV17" i="1"/>
  <c r="AV68" i="1"/>
  <c r="AV121" i="1"/>
  <c r="AV24" i="1"/>
  <c r="AV30" i="1"/>
  <c r="AV40" i="1"/>
  <c r="AV35" i="1"/>
  <c r="AV29" i="1"/>
  <c r="AV37" i="1"/>
  <c r="AV28" i="1"/>
  <c r="AV19" i="1"/>
  <c r="AV33" i="1"/>
  <c r="AV109" i="1"/>
  <c r="AV64" i="1"/>
  <c r="AV63" i="1"/>
  <c r="AV77" i="1"/>
  <c r="AV115" i="1"/>
  <c r="AV31" i="1"/>
  <c r="AV41" i="1"/>
  <c r="AV191" i="1"/>
  <c r="AV85" i="1"/>
  <c r="AV62" i="1"/>
  <c r="AV36" i="1"/>
  <c r="AV32" i="1"/>
  <c r="AV34" i="1"/>
  <c r="AV93" i="1"/>
  <c r="AV117" i="1"/>
  <c r="AV154" i="1"/>
  <c r="AV107" i="1"/>
  <c r="AV98" i="1"/>
  <c r="AV138" i="1"/>
  <c r="AV75" i="1"/>
  <c r="AV122" i="1"/>
  <c r="AV84" i="1"/>
  <c r="AV116" i="1"/>
  <c r="AV186" i="1"/>
  <c r="AV89" i="1"/>
  <c r="AV70" i="1"/>
  <c r="AV61" i="1"/>
  <c r="AV74" i="1"/>
  <c r="AV88" i="1"/>
  <c r="AV73" i="1"/>
  <c r="AV111" i="1"/>
  <c r="AV87" i="1"/>
  <c r="AV82" i="1"/>
  <c r="AV53" i="1"/>
  <c r="AV175" i="1"/>
  <c r="AV55" i="1"/>
  <c r="AV51" i="1"/>
  <c r="AV157" i="1"/>
  <c r="AV158" i="1"/>
  <c r="AV83" i="1"/>
  <c r="AV91" i="1"/>
  <c r="AV105" i="1"/>
  <c r="AV103" i="1"/>
  <c r="AV188" i="1"/>
  <c r="AV163" i="1"/>
  <c r="AV101" i="1"/>
  <c r="AV65" i="1"/>
  <c r="AV60" i="1"/>
  <c r="AV80" i="1"/>
  <c r="AV56" i="1"/>
  <c r="AV57" i="1"/>
  <c r="AV25" i="1"/>
  <c r="AV104" i="1"/>
  <c r="AV66" i="1"/>
  <c r="AV58" i="1"/>
  <c r="AV155" i="1"/>
  <c r="AV156" i="1"/>
  <c r="AV134" i="1"/>
  <c r="AV92" i="1"/>
  <c r="AV67" i="1"/>
  <c r="AV126" i="1"/>
  <c r="AV145" i="1"/>
  <c r="AV135" i="1"/>
  <c r="AV159" i="1"/>
  <c r="AV76" i="1"/>
  <c r="AV114" i="1"/>
  <c r="AV161" i="1"/>
  <c r="AV160" i="1"/>
  <c r="AV95" i="1"/>
  <c r="AV120" i="1"/>
  <c r="AV42" i="1"/>
  <c r="AV183" i="1"/>
  <c r="AV112" i="1"/>
  <c r="AV148" i="1"/>
  <c r="AV179" i="1"/>
  <c r="AV128" i="1"/>
  <c r="AV144" i="1"/>
  <c r="AV110" i="1"/>
  <c r="AV81" i="1"/>
  <c r="AV100" i="1"/>
  <c r="AV123" i="1"/>
  <c r="AV86" i="1"/>
  <c r="AV174" i="1"/>
  <c r="AV201" i="1"/>
  <c r="AV90" i="1"/>
  <c r="AV102" i="1"/>
  <c r="AV94" i="1"/>
  <c r="AV119" i="1"/>
  <c r="AV141" i="1"/>
  <c r="AV147" i="1"/>
  <c r="AV165" i="1"/>
  <c r="AV132" i="1"/>
  <c r="AV189" i="1"/>
  <c r="AV133" i="1"/>
  <c r="AV206" i="1"/>
  <c r="AV78" i="1"/>
  <c r="AV143" i="1"/>
  <c r="AV150" i="1"/>
  <c r="AV130" i="1"/>
  <c r="AV96" i="1"/>
  <c r="AV182" i="1"/>
  <c r="AV195" i="1"/>
  <c r="AV178" i="1"/>
  <c r="AV181" i="1"/>
  <c r="AV194" i="1"/>
  <c r="AV208" i="1"/>
  <c r="AV129" i="1"/>
  <c r="AV180" i="1"/>
  <c r="AV140" i="1"/>
  <c r="AV125" i="1"/>
  <c r="AV131" i="1"/>
  <c r="AV173" i="1"/>
  <c r="AV184" i="1"/>
  <c r="AV190" i="1"/>
  <c r="AV142" i="1"/>
  <c r="AV69" i="1"/>
  <c r="AV151" i="1"/>
  <c r="AV193" i="1"/>
  <c r="AV169" i="1"/>
  <c r="AV166" i="1"/>
  <c r="AV97" i="1"/>
  <c r="AV79" i="1"/>
  <c r="AV146" i="1"/>
  <c r="AV204" i="1"/>
  <c r="AV113" i="1"/>
  <c r="AV172" i="1"/>
  <c r="AV171" i="1"/>
  <c r="AV185" i="1"/>
  <c r="AV137" i="1"/>
  <c r="AV205" i="1"/>
  <c r="AV177" i="1"/>
  <c r="AV199" i="1"/>
  <c r="AV106" i="1"/>
  <c r="AV203" i="1"/>
  <c r="AV124" i="1"/>
  <c r="AV170" i="1"/>
  <c r="AV152" i="1"/>
  <c r="AV118" i="1"/>
  <c r="AV198" i="1"/>
  <c r="AV200" i="1"/>
  <c r="AV136" i="1"/>
  <c r="AV108" i="1"/>
  <c r="AV149" i="1"/>
  <c r="AV187" i="1"/>
  <c r="AV168" i="1"/>
  <c r="AV162" i="1"/>
  <c r="AV139" i="1"/>
  <c r="AV196" i="1"/>
  <c r="AV153" i="1"/>
  <c r="AV197" i="1"/>
  <c r="AV176" i="1"/>
  <c r="AV202" i="1"/>
  <c r="AV167" i="1"/>
  <c r="AV207" i="1"/>
  <c r="AV192" i="1"/>
  <c r="AU3" i="1"/>
  <c r="AU2" i="1"/>
  <c r="AU43" i="1"/>
  <c r="AU71" i="1"/>
  <c r="AU7" i="1"/>
  <c r="AU164" i="1"/>
  <c r="AU4" i="1"/>
  <c r="AU99" i="1"/>
  <c r="AU6" i="1"/>
  <c r="AU8" i="1"/>
  <c r="AU10" i="1"/>
  <c r="AU9" i="1"/>
  <c r="AU127" i="1"/>
  <c r="AU11" i="1"/>
  <c r="AU44" i="1"/>
  <c r="AU39" i="1"/>
  <c r="AU45" i="1"/>
  <c r="AU16" i="1"/>
  <c r="AU12" i="1"/>
  <c r="AU48" i="1"/>
  <c r="AU54" i="1"/>
  <c r="AU47" i="1"/>
  <c r="AU20" i="1"/>
  <c r="AU50" i="1"/>
  <c r="AU22" i="1"/>
  <c r="AU49" i="1"/>
  <c r="AU13" i="1"/>
  <c r="AU26" i="1"/>
  <c r="AU52" i="1"/>
  <c r="AU46" i="1"/>
  <c r="AU72" i="1"/>
  <c r="AU5" i="1"/>
  <c r="AU18" i="1"/>
  <c r="AU23" i="1"/>
  <c r="AU15" i="1"/>
  <c r="AU14" i="1"/>
  <c r="AU59" i="1"/>
  <c r="AU38" i="1"/>
  <c r="AU21" i="1"/>
  <c r="AU27" i="1"/>
  <c r="AU17" i="1"/>
  <c r="AU68" i="1"/>
  <c r="AU121" i="1"/>
  <c r="AU24" i="1"/>
  <c r="AU30" i="1"/>
  <c r="AU40" i="1"/>
  <c r="AU35" i="1"/>
  <c r="AU29" i="1"/>
  <c r="AU37" i="1"/>
  <c r="AU28" i="1"/>
  <c r="AU19" i="1"/>
  <c r="AU33" i="1"/>
  <c r="AU109" i="1"/>
  <c r="AU64" i="1"/>
  <c r="AU63" i="1"/>
  <c r="AU77" i="1"/>
  <c r="AU115" i="1"/>
  <c r="AU31" i="1"/>
  <c r="AU41" i="1"/>
  <c r="AU191" i="1"/>
  <c r="AU85" i="1"/>
  <c r="AU62" i="1"/>
  <c r="AU36" i="1"/>
  <c r="AU32" i="1"/>
  <c r="AU34" i="1"/>
  <c r="AU93" i="1"/>
  <c r="AU117" i="1"/>
  <c r="AU154" i="1"/>
  <c r="AU107" i="1"/>
  <c r="AU98" i="1"/>
  <c r="AU138" i="1"/>
  <c r="AU75" i="1"/>
  <c r="AU122" i="1"/>
  <c r="AU84" i="1"/>
  <c r="AU116" i="1"/>
  <c r="AU186" i="1"/>
  <c r="AU89" i="1"/>
  <c r="AU70" i="1"/>
  <c r="AU61" i="1"/>
  <c r="AU74" i="1"/>
  <c r="AU88" i="1"/>
  <c r="AU73" i="1"/>
  <c r="AU111" i="1"/>
  <c r="AU87" i="1"/>
  <c r="AU82" i="1"/>
  <c r="AU53" i="1"/>
  <c r="AU175" i="1"/>
  <c r="AU55" i="1"/>
  <c r="AU51" i="1"/>
  <c r="AU157" i="1"/>
  <c r="AU158" i="1"/>
  <c r="AU83" i="1"/>
  <c r="AU91" i="1"/>
  <c r="AU105" i="1"/>
  <c r="AU103" i="1"/>
  <c r="AU188" i="1"/>
  <c r="AU163" i="1"/>
  <c r="AU101" i="1"/>
  <c r="AU65" i="1"/>
  <c r="AU60" i="1"/>
  <c r="AU80" i="1"/>
  <c r="AU56" i="1"/>
  <c r="AU57" i="1"/>
  <c r="AU25" i="1"/>
  <c r="AU104" i="1"/>
  <c r="AU66" i="1"/>
  <c r="AU58" i="1"/>
  <c r="AU155" i="1"/>
  <c r="AU156" i="1"/>
  <c r="AU134" i="1"/>
  <c r="AU92" i="1"/>
  <c r="AU67" i="1"/>
  <c r="AU126" i="1"/>
  <c r="AU145" i="1"/>
  <c r="AU135" i="1"/>
  <c r="AU159" i="1"/>
  <c r="AU76" i="1"/>
  <c r="AU114" i="1"/>
  <c r="AU161" i="1"/>
  <c r="AU160" i="1"/>
  <c r="AU95" i="1"/>
  <c r="AU120" i="1"/>
  <c r="AU42" i="1"/>
  <c r="AU183" i="1"/>
  <c r="AU112" i="1"/>
  <c r="AU148" i="1"/>
  <c r="AU179" i="1"/>
  <c r="AU128" i="1"/>
  <c r="AU144" i="1"/>
  <c r="AU110" i="1"/>
  <c r="AU81" i="1"/>
  <c r="AU100" i="1"/>
  <c r="AU123" i="1"/>
  <c r="AU86" i="1"/>
  <c r="AU174" i="1"/>
  <c r="AU201" i="1"/>
  <c r="AU90" i="1"/>
  <c r="AU102" i="1"/>
  <c r="AU94" i="1"/>
  <c r="AU119" i="1"/>
  <c r="AU141" i="1"/>
  <c r="AU147" i="1"/>
  <c r="AU165" i="1"/>
  <c r="AU132" i="1"/>
  <c r="AU189" i="1"/>
  <c r="AU133" i="1"/>
  <c r="AU206" i="1"/>
  <c r="AU78" i="1"/>
  <c r="AU143" i="1"/>
  <c r="AU150" i="1"/>
  <c r="AU130" i="1"/>
  <c r="AU96" i="1"/>
  <c r="AU182" i="1"/>
  <c r="AU195" i="1"/>
  <c r="AU178" i="1"/>
  <c r="AU181" i="1"/>
  <c r="AU194" i="1"/>
  <c r="AU208" i="1"/>
  <c r="AU129" i="1"/>
  <c r="AU180" i="1"/>
  <c r="AU140" i="1"/>
  <c r="AU125" i="1"/>
  <c r="AU131" i="1"/>
  <c r="AU173" i="1"/>
  <c r="AU184" i="1"/>
  <c r="AU190" i="1"/>
  <c r="AU142" i="1"/>
  <c r="AU69" i="1"/>
  <c r="AU151" i="1"/>
  <c r="AU193" i="1"/>
  <c r="AU169" i="1"/>
  <c r="AU166" i="1"/>
  <c r="AU97" i="1"/>
  <c r="AU79" i="1"/>
  <c r="AU146" i="1"/>
  <c r="AU204" i="1"/>
  <c r="AU113" i="1"/>
  <c r="AU172" i="1"/>
  <c r="AU171" i="1"/>
  <c r="AU185" i="1"/>
  <c r="AU137" i="1"/>
  <c r="AU205" i="1"/>
  <c r="AU177" i="1"/>
  <c r="AU199" i="1"/>
  <c r="AU106" i="1"/>
  <c r="AU203" i="1"/>
  <c r="AU124" i="1"/>
  <c r="AU170" i="1"/>
  <c r="AU152" i="1"/>
  <c r="AU118" i="1"/>
  <c r="AU198" i="1"/>
  <c r="AU200" i="1"/>
  <c r="AU136" i="1"/>
  <c r="AU108" i="1"/>
  <c r="AU149" i="1"/>
  <c r="AU187" i="1"/>
  <c r="AU168" i="1"/>
  <c r="AU162" i="1"/>
  <c r="AU139" i="1"/>
  <c r="AU196" i="1"/>
  <c r="AU153" i="1"/>
  <c r="AU197" i="1"/>
  <c r="AU176" i="1"/>
  <c r="AU202" i="1"/>
  <c r="AU167" i="1"/>
  <c r="AU207" i="1"/>
  <c r="AU192" i="1"/>
  <c r="AT3" i="1"/>
  <c r="AT2" i="1"/>
  <c r="AT43" i="1"/>
  <c r="AT71" i="1"/>
  <c r="AT7" i="1"/>
  <c r="AT164" i="1"/>
  <c r="AT4" i="1"/>
  <c r="AT99" i="1"/>
  <c r="AT6" i="1"/>
  <c r="AT8" i="1"/>
  <c r="AT10" i="1"/>
  <c r="AT9" i="1"/>
  <c r="AT127" i="1"/>
  <c r="AT11" i="1"/>
  <c r="AT44" i="1"/>
  <c r="AT39" i="1"/>
  <c r="AT45" i="1"/>
  <c r="AT16" i="1"/>
  <c r="AT12" i="1"/>
  <c r="AT48" i="1"/>
  <c r="AT54" i="1"/>
  <c r="AT47" i="1"/>
  <c r="AT20" i="1"/>
  <c r="AT50" i="1"/>
  <c r="AT22" i="1"/>
  <c r="AT49" i="1"/>
  <c r="AT13" i="1"/>
  <c r="AT26" i="1"/>
  <c r="AT52" i="1"/>
  <c r="AT46" i="1"/>
  <c r="AT72" i="1"/>
  <c r="AT5" i="1"/>
  <c r="AT18" i="1"/>
  <c r="AT23" i="1"/>
  <c r="AT15" i="1"/>
  <c r="AT14" i="1"/>
  <c r="AT59" i="1"/>
  <c r="AT38" i="1"/>
  <c r="AT21" i="1"/>
  <c r="AT27" i="1"/>
  <c r="AT17" i="1"/>
  <c r="AT68" i="1"/>
  <c r="AT121" i="1"/>
  <c r="AT24" i="1"/>
  <c r="AT30" i="1"/>
  <c r="AT40" i="1"/>
  <c r="AT35" i="1"/>
  <c r="AT29" i="1"/>
  <c r="AT37" i="1"/>
  <c r="AT28" i="1"/>
  <c r="AT19" i="1"/>
  <c r="AT33" i="1"/>
  <c r="AT109" i="1"/>
  <c r="AT64" i="1"/>
  <c r="AT63" i="1"/>
  <c r="AT77" i="1"/>
  <c r="AT115" i="1"/>
  <c r="AT31" i="1"/>
  <c r="AT41" i="1"/>
  <c r="AT191" i="1"/>
  <c r="AT85" i="1"/>
  <c r="AT62" i="1"/>
  <c r="AT36" i="1"/>
  <c r="AT32" i="1"/>
  <c r="AT34" i="1"/>
  <c r="AT93" i="1"/>
  <c r="AT117" i="1"/>
  <c r="AT154" i="1"/>
  <c r="AT107" i="1"/>
  <c r="AT98" i="1"/>
  <c r="AT138" i="1"/>
  <c r="AT75" i="1"/>
  <c r="AT122" i="1"/>
  <c r="AT84" i="1"/>
  <c r="AT116" i="1"/>
  <c r="AT186" i="1"/>
  <c r="AT89" i="1"/>
  <c r="AT70" i="1"/>
  <c r="AT61" i="1"/>
  <c r="AT74" i="1"/>
  <c r="AT88" i="1"/>
  <c r="AT73" i="1"/>
  <c r="AT111" i="1"/>
  <c r="AT87" i="1"/>
  <c r="AT82" i="1"/>
  <c r="AT53" i="1"/>
  <c r="AT175" i="1"/>
  <c r="AT55" i="1"/>
  <c r="AT51" i="1"/>
  <c r="AT157" i="1"/>
  <c r="AT158" i="1"/>
  <c r="AT83" i="1"/>
  <c r="AT91" i="1"/>
  <c r="AT105" i="1"/>
  <c r="AT103" i="1"/>
  <c r="AT188" i="1"/>
  <c r="AT163" i="1"/>
  <c r="AT101" i="1"/>
  <c r="AT65" i="1"/>
  <c r="AT60" i="1"/>
  <c r="AT80" i="1"/>
  <c r="AT56" i="1"/>
  <c r="AT57" i="1"/>
  <c r="AT25" i="1"/>
  <c r="AT104" i="1"/>
  <c r="AT66" i="1"/>
  <c r="AT58" i="1"/>
  <c r="AT155" i="1"/>
  <c r="AT156" i="1"/>
  <c r="AT134" i="1"/>
  <c r="AT92" i="1"/>
  <c r="AT67" i="1"/>
  <c r="AT126" i="1"/>
  <c r="AT145" i="1"/>
  <c r="AT135" i="1"/>
  <c r="AT159" i="1"/>
  <c r="AT76" i="1"/>
  <c r="AT114" i="1"/>
  <c r="AT161" i="1"/>
  <c r="AT160" i="1"/>
  <c r="AT95" i="1"/>
  <c r="AT120" i="1"/>
  <c r="AT42" i="1"/>
  <c r="AT183" i="1"/>
  <c r="AT112" i="1"/>
  <c r="AT148" i="1"/>
  <c r="AT179" i="1"/>
  <c r="AT128" i="1"/>
  <c r="AT144" i="1"/>
  <c r="AT110" i="1"/>
  <c r="AT81" i="1"/>
  <c r="AT100" i="1"/>
  <c r="AT123" i="1"/>
  <c r="AT86" i="1"/>
  <c r="AT174" i="1"/>
  <c r="AT201" i="1"/>
  <c r="AT90" i="1"/>
  <c r="AT102" i="1"/>
  <c r="AT94" i="1"/>
  <c r="AT119" i="1"/>
  <c r="AT141" i="1"/>
  <c r="AT147" i="1"/>
  <c r="AT165" i="1"/>
  <c r="AT132" i="1"/>
  <c r="AT189" i="1"/>
  <c r="AT133" i="1"/>
  <c r="AT206" i="1"/>
  <c r="AT78" i="1"/>
  <c r="AT143" i="1"/>
  <c r="AT150" i="1"/>
  <c r="AT130" i="1"/>
  <c r="AT96" i="1"/>
  <c r="AT182" i="1"/>
  <c r="AT195" i="1"/>
  <c r="AT178" i="1"/>
  <c r="AT181" i="1"/>
  <c r="AT194" i="1"/>
  <c r="AT208" i="1"/>
  <c r="AT129" i="1"/>
  <c r="AT180" i="1"/>
  <c r="AT140" i="1"/>
  <c r="AT125" i="1"/>
  <c r="AT131" i="1"/>
  <c r="AT173" i="1"/>
  <c r="AT184" i="1"/>
  <c r="AT190" i="1"/>
  <c r="AT142" i="1"/>
  <c r="AT69" i="1"/>
  <c r="AT151" i="1"/>
  <c r="AT193" i="1"/>
  <c r="AT169" i="1"/>
  <c r="AT166" i="1"/>
  <c r="AT97" i="1"/>
  <c r="AT79" i="1"/>
  <c r="AT146" i="1"/>
  <c r="AT204" i="1"/>
  <c r="AT113" i="1"/>
  <c r="AT172" i="1"/>
  <c r="AT171" i="1"/>
  <c r="AT185" i="1"/>
  <c r="AT137" i="1"/>
  <c r="AT205" i="1"/>
  <c r="AT177" i="1"/>
  <c r="AT199" i="1"/>
  <c r="AT106" i="1"/>
  <c r="AT203" i="1"/>
  <c r="AT124" i="1"/>
  <c r="AT170" i="1"/>
  <c r="AT152" i="1"/>
  <c r="AT118" i="1"/>
  <c r="AT198" i="1"/>
  <c r="AT200" i="1"/>
  <c r="AT136" i="1"/>
  <c r="AT108" i="1"/>
  <c r="AT149" i="1"/>
  <c r="AT187" i="1"/>
  <c r="AT168" i="1"/>
  <c r="AT162" i="1"/>
  <c r="AT139" i="1"/>
  <c r="AT196" i="1"/>
  <c r="AT153" i="1"/>
  <c r="AT197" i="1"/>
  <c r="AT176" i="1"/>
  <c r="AT202" i="1"/>
  <c r="AT167" i="1"/>
  <c r="AT207" i="1"/>
  <c r="AT192" i="1"/>
  <c r="AS3" i="1"/>
  <c r="AS2" i="1"/>
  <c r="AS43" i="1"/>
  <c r="AS71" i="1"/>
  <c r="AS7" i="1"/>
  <c r="AS164" i="1"/>
  <c r="AS4" i="1"/>
  <c r="AS99" i="1"/>
  <c r="AS6" i="1"/>
  <c r="AS8" i="1"/>
  <c r="AS10" i="1"/>
  <c r="AS9" i="1"/>
  <c r="AS127" i="1"/>
  <c r="AS11" i="1"/>
  <c r="AS44" i="1"/>
  <c r="AS39" i="1"/>
  <c r="AS45" i="1"/>
  <c r="AS16" i="1"/>
  <c r="AS12" i="1"/>
  <c r="AS48" i="1"/>
  <c r="AS54" i="1"/>
  <c r="AS47" i="1"/>
  <c r="AS20" i="1"/>
  <c r="AS50" i="1"/>
  <c r="AS22" i="1"/>
  <c r="AS49" i="1"/>
  <c r="AS13" i="1"/>
  <c r="AS26" i="1"/>
  <c r="AS52" i="1"/>
  <c r="AS46" i="1"/>
  <c r="AS72" i="1"/>
  <c r="AS5" i="1"/>
  <c r="AS18" i="1"/>
  <c r="AS23" i="1"/>
  <c r="AS15" i="1"/>
  <c r="AS14" i="1"/>
  <c r="AS59" i="1"/>
  <c r="AS38" i="1"/>
  <c r="AS21" i="1"/>
  <c r="AS27" i="1"/>
  <c r="AS17" i="1"/>
  <c r="AS68" i="1"/>
  <c r="AS121" i="1"/>
  <c r="AS24" i="1"/>
  <c r="AS30" i="1"/>
  <c r="AS40" i="1"/>
  <c r="AS35" i="1"/>
  <c r="AS29" i="1"/>
  <c r="AS37" i="1"/>
  <c r="AS28" i="1"/>
  <c r="AS19" i="1"/>
  <c r="AS33" i="1"/>
  <c r="AS109" i="1"/>
  <c r="AS64" i="1"/>
  <c r="AS63" i="1"/>
  <c r="AS77" i="1"/>
  <c r="AS115" i="1"/>
  <c r="AS31" i="1"/>
  <c r="AS41" i="1"/>
  <c r="AS191" i="1"/>
  <c r="AS85" i="1"/>
  <c r="AS62" i="1"/>
  <c r="AS36" i="1"/>
  <c r="AS32" i="1"/>
  <c r="AS34" i="1"/>
  <c r="AS93" i="1"/>
  <c r="AS117" i="1"/>
  <c r="AS154" i="1"/>
  <c r="AS107" i="1"/>
  <c r="AS98" i="1"/>
  <c r="AS138" i="1"/>
  <c r="AS75" i="1"/>
  <c r="AS122" i="1"/>
  <c r="AS84" i="1"/>
  <c r="AS116" i="1"/>
  <c r="AS186" i="1"/>
  <c r="AS89" i="1"/>
  <c r="AS70" i="1"/>
  <c r="AS61" i="1"/>
  <c r="AS74" i="1"/>
  <c r="AS88" i="1"/>
  <c r="AS73" i="1"/>
  <c r="AS111" i="1"/>
  <c r="AS87" i="1"/>
  <c r="AS82" i="1"/>
  <c r="AS53" i="1"/>
  <c r="AS175" i="1"/>
  <c r="AS55" i="1"/>
  <c r="AS51" i="1"/>
  <c r="AS157" i="1"/>
  <c r="AS158" i="1"/>
  <c r="AS83" i="1"/>
  <c r="AS91" i="1"/>
  <c r="AS105" i="1"/>
  <c r="AS103" i="1"/>
  <c r="AS188" i="1"/>
  <c r="AS163" i="1"/>
  <c r="AS101" i="1"/>
  <c r="AS65" i="1"/>
  <c r="AS60" i="1"/>
  <c r="AS80" i="1"/>
  <c r="AS56" i="1"/>
  <c r="AS57" i="1"/>
  <c r="AS25" i="1"/>
  <c r="AS104" i="1"/>
  <c r="AS66" i="1"/>
  <c r="AS58" i="1"/>
  <c r="AS155" i="1"/>
  <c r="AS156" i="1"/>
  <c r="AS134" i="1"/>
  <c r="AS92" i="1"/>
  <c r="AS67" i="1"/>
  <c r="AS126" i="1"/>
  <c r="AS145" i="1"/>
  <c r="AS135" i="1"/>
  <c r="AS159" i="1"/>
  <c r="AS76" i="1"/>
  <c r="AS114" i="1"/>
  <c r="AS161" i="1"/>
  <c r="AS160" i="1"/>
  <c r="AS95" i="1"/>
  <c r="AS120" i="1"/>
  <c r="AS42" i="1"/>
  <c r="AS183" i="1"/>
  <c r="AS112" i="1"/>
  <c r="AS148" i="1"/>
  <c r="AS179" i="1"/>
  <c r="AS128" i="1"/>
  <c r="AS144" i="1"/>
  <c r="AS110" i="1"/>
  <c r="AS81" i="1"/>
  <c r="AS100" i="1"/>
  <c r="AS123" i="1"/>
  <c r="AS86" i="1"/>
  <c r="AS174" i="1"/>
  <c r="AS201" i="1"/>
  <c r="AS90" i="1"/>
  <c r="AS102" i="1"/>
  <c r="AS94" i="1"/>
  <c r="AS119" i="1"/>
  <c r="AS141" i="1"/>
  <c r="AS147" i="1"/>
  <c r="AS165" i="1"/>
  <c r="AS132" i="1"/>
  <c r="AS189" i="1"/>
  <c r="AS133" i="1"/>
  <c r="AS206" i="1"/>
  <c r="AS78" i="1"/>
  <c r="AS143" i="1"/>
  <c r="AS150" i="1"/>
  <c r="AS130" i="1"/>
  <c r="AS96" i="1"/>
  <c r="AS182" i="1"/>
  <c r="AS195" i="1"/>
  <c r="AS178" i="1"/>
  <c r="AS181" i="1"/>
  <c r="AS194" i="1"/>
  <c r="AS208" i="1"/>
  <c r="AS129" i="1"/>
  <c r="AS180" i="1"/>
  <c r="AS140" i="1"/>
  <c r="AS125" i="1"/>
  <c r="AS131" i="1"/>
  <c r="AS173" i="1"/>
  <c r="AS184" i="1"/>
  <c r="AS190" i="1"/>
  <c r="AS142" i="1"/>
  <c r="AS69" i="1"/>
  <c r="AS151" i="1"/>
  <c r="AS193" i="1"/>
  <c r="AS169" i="1"/>
  <c r="AS166" i="1"/>
  <c r="AS97" i="1"/>
  <c r="AS79" i="1"/>
  <c r="AS146" i="1"/>
  <c r="AS204" i="1"/>
  <c r="AS113" i="1"/>
  <c r="AS172" i="1"/>
  <c r="AS171" i="1"/>
  <c r="AS185" i="1"/>
  <c r="AS137" i="1"/>
  <c r="AS205" i="1"/>
  <c r="AS177" i="1"/>
  <c r="AS199" i="1"/>
  <c r="AS106" i="1"/>
  <c r="AS203" i="1"/>
  <c r="AS124" i="1"/>
  <c r="AS170" i="1"/>
  <c r="AS152" i="1"/>
  <c r="AS118" i="1"/>
  <c r="AS198" i="1"/>
  <c r="AS200" i="1"/>
  <c r="AS136" i="1"/>
  <c r="AS108" i="1"/>
  <c r="AS149" i="1"/>
  <c r="AS187" i="1"/>
  <c r="AS168" i="1"/>
  <c r="AS162" i="1"/>
  <c r="AS139" i="1"/>
  <c r="AS196" i="1"/>
  <c r="AS153" i="1"/>
  <c r="AS197" i="1"/>
  <c r="AS176" i="1"/>
  <c r="AS202" i="1"/>
  <c r="AS167" i="1"/>
  <c r="AS207" i="1"/>
  <c r="AS192" i="1"/>
  <c r="AR3" i="1"/>
  <c r="AR2" i="1"/>
  <c r="AR43" i="1"/>
  <c r="AR71" i="1"/>
  <c r="AR7" i="1"/>
  <c r="AR164" i="1"/>
  <c r="AR4" i="1"/>
  <c r="AR99" i="1"/>
  <c r="AR6" i="1"/>
  <c r="AR8" i="1"/>
  <c r="AR10" i="1"/>
  <c r="AR9" i="1"/>
  <c r="AR127" i="1"/>
  <c r="AR11" i="1"/>
  <c r="AR44" i="1"/>
  <c r="AR39" i="1"/>
  <c r="AR45" i="1"/>
  <c r="AR16" i="1"/>
  <c r="AR12" i="1"/>
  <c r="AR48" i="1"/>
  <c r="AR54" i="1"/>
  <c r="AR47" i="1"/>
  <c r="AR20" i="1"/>
  <c r="AR50" i="1"/>
  <c r="AR22" i="1"/>
  <c r="AR49" i="1"/>
  <c r="AR13" i="1"/>
  <c r="AR26" i="1"/>
  <c r="AR52" i="1"/>
  <c r="AR46" i="1"/>
  <c r="AR72" i="1"/>
  <c r="AR5" i="1"/>
  <c r="AR18" i="1"/>
  <c r="AR23" i="1"/>
  <c r="AR15" i="1"/>
  <c r="AR14" i="1"/>
  <c r="AR59" i="1"/>
  <c r="AR38" i="1"/>
  <c r="AR21" i="1"/>
  <c r="AR27" i="1"/>
  <c r="AR17" i="1"/>
  <c r="AR68" i="1"/>
  <c r="AR121" i="1"/>
  <c r="AR24" i="1"/>
  <c r="AR30" i="1"/>
  <c r="AR40" i="1"/>
  <c r="AR35" i="1"/>
  <c r="AR29" i="1"/>
  <c r="AR37" i="1"/>
  <c r="AR28" i="1"/>
  <c r="AR19" i="1"/>
  <c r="AR33" i="1"/>
  <c r="AR109" i="1"/>
  <c r="AR64" i="1"/>
  <c r="AR63" i="1"/>
  <c r="AR77" i="1"/>
  <c r="AR115" i="1"/>
  <c r="AR31" i="1"/>
  <c r="AR41" i="1"/>
  <c r="AR191" i="1"/>
  <c r="AR85" i="1"/>
  <c r="AR62" i="1"/>
  <c r="AR36" i="1"/>
  <c r="AR32" i="1"/>
  <c r="AR34" i="1"/>
  <c r="AR93" i="1"/>
  <c r="AR117" i="1"/>
  <c r="AR154" i="1"/>
  <c r="AR107" i="1"/>
  <c r="AR98" i="1"/>
  <c r="AR138" i="1"/>
  <c r="AR75" i="1"/>
  <c r="AR122" i="1"/>
  <c r="AR84" i="1"/>
  <c r="AR116" i="1"/>
  <c r="AR186" i="1"/>
  <c r="AR89" i="1"/>
  <c r="AR70" i="1"/>
  <c r="AR61" i="1"/>
  <c r="AR74" i="1"/>
  <c r="AR88" i="1"/>
  <c r="AR73" i="1"/>
  <c r="AR111" i="1"/>
  <c r="AR87" i="1"/>
  <c r="AR82" i="1"/>
  <c r="AR53" i="1"/>
  <c r="AR175" i="1"/>
  <c r="AR55" i="1"/>
  <c r="AR51" i="1"/>
  <c r="AR157" i="1"/>
  <c r="AR158" i="1"/>
  <c r="AR83" i="1"/>
  <c r="AR91" i="1"/>
  <c r="AR105" i="1"/>
  <c r="AR103" i="1"/>
  <c r="AR188" i="1"/>
  <c r="AR163" i="1"/>
  <c r="AR101" i="1"/>
  <c r="AR65" i="1"/>
  <c r="AR60" i="1"/>
  <c r="AR80" i="1"/>
  <c r="AR56" i="1"/>
  <c r="AR57" i="1"/>
  <c r="AR25" i="1"/>
  <c r="AR104" i="1"/>
  <c r="AR66" i="1"/>
  <c r="AR58" i="1"/>
  <c r="AR155" i="1"/>
  <c r="AR156" i="1"/>
  <c r="AR134" i="1"/>
  <c r="AR92" i="1"/>
  <c r="AR67" i="1"/>
  <c r="AR126" i="1"/>
  <c r="AR145" i="1"/>
  <c r="AR135" i="1"/>
  <c r="AR159" i="1"/>
  <c r="AR76" i="1"/>
  <c r="AR114" i="1"/>
  <c r="AR161" i="1"/>
  <c r="AR160" i="1"/>
  <c r="AR95" i="1"/>
  <c r="AR120" i="1"/>
  <c r="AR42" i="1"/>
  <c r="AR183" i="1"/>
  <c r="AR112" i="1"/>
  <c r="AR148" i="1"/>
  <c r="AR179" i="1"/>
  <c r="AR128" i="1"/>
  <c r="AR144" i="1"/>
  <c r="AR110" i="1"/>
  <c r="AR81" i="1"/>
  <c r="AR100" i="1"/>
  <c r="AR123" i="1"/>
  <c r="AR86" i="1"/>
  <c r="AR174" i="1"/>
  <c r="AR201" i="1"/>
  <c r="AR90" i="1"/>
  <c r="AR102" i="1"/>
  <c r="AR94" i="1"/>
  <c r="AR119" i="1"/>
  <c r="AR141" i="1"/>
  <c r="AR147" i="1"/>
  <c r="AR165" i="1"/>
  <c r="AR132" i="1"/>
  <c r="AR189" i="1"/>
  <c r="AR133" i="1"/>
  <c r="AR206" i="1"/>
  <c r="AR78" i="1"/>
  <c r="AR143" i="1"/>
  <c r="AR150" i="1"/>
  <c r="AR130" i="1"/>
  <c r="AR96" i="1"/>
  <c r="AR182" i="1"/>
  <c r="AR195" i="1"/>
  <c r="AR178" i="1"/>
  <c r="AR181" i="1"/>
  <c r="AR194" i="1"/>
  <c r="AR208" i="1"/>
  <c r="AR129" i="1"/>
  <c r="AR180" i="1"/>
  <c r="AR140" i="1"/>
  <c r="AR125" i="1"/>
  <c r="AR131" i="1"/>
  <c r="AR173" i="1"/>
  <c r="AR184" i="1"/>
  <c r="AR190" i="1"/>
  <c r="AR142" i="1"/>
  <c r="AR69" i="1"/>
  <c r="AR151" i="1"/>
  <c r="AR193" i="1"/>
  <c r="AR169" i="1"/>
  <c r="AR166" i="1"/>
  <c r="AR97" i="1"/>
  <c r="AR79" i="1"/>
  <c r="AR146" i="1"/>
  <c r="AR204" i="1"/>
  <c r="AR113" i="1"/>
  <c r="AR172" i="1"/>
  <c r="AR171" i="1"/>
  <c r="AR185" i="1"/>
  <c r="AR137" i="1"/>
  <c r="AR205" i="1"/>
  <c r="AR177" i="1"/>
  <c r="AR199" i="1"/>
  <c r="AR106" i="1"/>
  <c r="AR203" i="1"/>
  <c r="AR124" i="1"/>
  <c r="AR170" i="1"/>
  <c r="AR152" i="1"/>
  <c r="AR118" i="1"/>
  <c r="AR198" i="1"/>
  <c r="AR200" i="1"/>
  <c r="AR136" i="1"/>
  <c r="AR108" i="1"/>
  <c r="AR149" i="1"/>
  <c r="AR187" i="1"/>
  <c r="AR168" i="1"/>
  <c r="AR162" i="1"/>
  <c r="AR139" i="1"/>
  <c r="AR196" i="1"/>
  <c r="AR153" i="1"/>
  <c r="AR197" i="1"/>
  <c r="AR176" i="1"/>
  <c r="AR202" i="1"/>
  <c r="AR167" i="1"/>
  <c r="AR207" i="1"/>
  <c r="AR192" i="1"/>
  <c r="AQ3" i="1"/>
  <c r="AQ2" i="1"/>
  <c r="AQ43" i="1"/>
  <c r="AQ71" i="1"/>
  <c r="AQ7" i="1"/>
  <c r="AQ164" i="1"/>
  <c r="AQ4" i="1"/>
  <c r="AQ99" i="1"/>
  <c r="AQ6" i="1"/>
  <c r="AQ8" i="1"/>
  <c r="AQ10" i="1"/>
  <c r="AQ9" i="1"/>
  <c r="AQ127" i="1"/>
  <c r="AQ11" i="1"/>
  <c r="AQ44" i="1"/>
  <c r="AQ39" i="1"/>
  <c r="AQ45" i="1"/>
  <c r="AQ16" i="1"/>
  <c r="AQ12" i="1"/>
  <c r="AQ48" i="1"/>
  <c r="AQ54" i="1"/>
  <c r="AQ47" i="1"/>
  <c r="AQ20" i="1"/>
  <c r="AQ50" i="1"/>
  <c r="AQ22" i="1"/>
  <c r="AQ49" i="1"/>
  <c r="AQ13" i="1"/>
  <c r="AQ26" i="1"/>
  <c r="AQ52" i="1"/>
  <c r="AQ46" i="1"/>
  <c r="AQ72" i="1"/>
  <c r="AQ5" i="1"/>
  <c r="AQ18" i="1"/>
  <c r="AQ23" i="1"/>
  <c r="AQ15" i="1"/>
  <c r="AQ14" i="1"/>
  <c r="AQ59" i="1"/>
  <c r="AQ38" i="1"/>
  <c r="AQ21" i="1"/>
  <c r="AQ27" i="1"/>
  <c r="AQ17" i="1"/>
  <c r="AQ68" i="1"/>
  <c r="AQ121" i="1"/>
  <c r="AQ24" i="1"/>
  <c r="AQ30" i="1"/>
  <c r="AQ40" i="1"/>
  <c r="AQ35" i="1"/>
  <c r="AQ29" i="1"/>
  <c r="AQ37" i="1"/>
  <c r="AQ28" i="1"/>
  <c r="AQ19" i="1"/>
  <c r="AQ33" i="1"/>
  <c r="AQ109" i="1"/>
  <c r="AQ64" i="1"/>
  <c r="AQ63" i="1"/>
  <c r="AQ77" i="1"/>
  <c r="AQ115" i="1"/>
  <c r="AQ31" i="1"/>
  <c r="AQ41" i="1"/>
  <c r="AQ191" i="1"/>
  <c r="AQ85" i="1"/>
  <c r="AQ62" i="1"/>
  <c r="AQ36" i="1"/>
  <c r="AQ32" i="1"/>
  <c r="AQ34" i="1"/>
  <c r="AQ93" i="1"/>
  <c r="AQ117" i="1"/>
  <c r="AQ154" i="1"/>
  <c r="AQ107" i="1"/>
  <c r="AQ98" i="1"/>
  <c r="AQ138" i="1"/>
  <c r="AQ75" i="1"/>
  <c r="AQ122" i="1"/>
  <c r="AQ84" i="1"/>
  <c r="AQ116" i="1"/>
  <c r="AQ186" i="1"/>
  <c r="AQ89" i="1"/>
  <c r="AQ70" i="1"/>
  <c r="AQ61" i="1"/>
  <c r="AQ74" i="1"/>
  <c r="AQ88" i="1"/>
  <c r="AQ73" i="1"/>
  <c r="AQ111" i="1"/>
  <c r="AQ87" i="1"/>
  <c r="AQ82" i="1"/>
  <c r="AQ53" i="1"/>
  <c r="AQ175" i="1"/>
  <c r="AQ55" i="1"/>
  <c r="AQ51" i="1"/>
  <c r="AQ157" i="1"/>
  <c r="AQ158" i="1"/>
  <c r="AQ83" i="1"/>
  <c r="AQ91" i="1"/>
  <c r="AQ105" i="1"/>
  <c r="AQ103" i="1"/>
  <c r="AQ188" i="1"/>
  <c r="AQ163" i="1"/>
  <c r="AQ101" i="1"/>
  <c r="AQ65" i="1"/>
  <c r="AQ60" i="1"/>
  <c r="AQ80" i="1"/>
  <c r="AQ56" i="1"/>
  <c r="AQ57" i="1"/>
  <c r="AQ25" i="1"/>
  <c r="AQ104" i="1"/>
  <c r="AQ66" i="1"/>
  <c r="AQ58" i="1"/>
  <c r="AQ155" i="1"/>
  <c r="AQ156" i="1"/>
  <c r="AQ134" i="1"/>
  <c r="AQ92" i="1"/>
  <c r="AQ67" i="1"/>
  <c r="AQ126" i="1"/>
  <c r="AQ145" i="1"/>
  <c r="AQ135" i="1"/>
  <c r="AQ159" i="1"/>
  <c r="AQ76" i="1"/>
  <c r="AQ114" i="1"/>
  <c r="AQ161" i="1"/>
  <c r="AQ160" i="1"/>
  <c r="AQ95" i="1"/>
  <c r="AQ120" i="1"/>
  <c r="AQ42" i="1"/>
  <c r="AQ183" i="1"/>
  <c r="AQ112" i="1"/>
  <c r="AQ148" i="1"/>
  <c r="AQ179" i="1"/>
  <c r="AQ128" i="1"/>
  <c r="AQ144" i="1"/>
  <c r="AQ110" i="1"/>
  <c r="AQ81" i="1"/>
  <c r="AQ100" i="1"/>
  <c r="AQ123" i="1"/>
  <c r="AQ86" i="1"/>
  <c r="AQ174" i="1"/>
  <c r="AQ201" i="1"/>
  <c r="AQ90" i="1"/>
  <c r="AQ102" i="1"/>
  <c r="AQ94" i="1"/>
  <c r="AQ119" i="1"/>
  <c r="AQ141" i="1"/>
  <c r="AQ147" i="1"/>
  <c r="AQ165" i="1"/>
  <c r="AQ132" i="1"/>
  <c r="AQ189" i="1"/>
  <c r="AQ133" i="1"/>
  <c r="AQ206" i="1"/>
  <c r="AQ78" i="1"/>
  <c r="AQ143" i="1"/>
  <c r="AQ150" i="1"/>
  <c r="AQ130" i="1"/>
  <c r="AQ96" i="1"/>
  <c r="AQ182" i="1"/>
  <c r="AQ195" i="1"/>
  <c r="AQ178" i="1"/>
  <c r="AQ181" i="1"/>
  <c r="AQ194" i="1"/>
  <c r="AQ208" i="1"/>
  <c r="AQ129" i="1"/>
  <c r="AQ180" i="1"/>
  <c r="AQ140" i="1"/>
  <c r="AQ125" i="1"/>
  <c r="AQ131" i="1"/>
  <c r="AQ173" i="1"/>
  <c r="AQ184" i="1"/>
  <c r="AQ190" i="1"/>
  <c r="AQ142" i="1"/>
  <c r="AQ69" i="1"/>
  <c r="AQ151" i="1"/>
  <c r="AQ193" i="1"/>
  <c r="AQ169" i="1"/>
  <c r="AQ166" i="1"/>
  <c r="AQ97" i="1"/>
  <c r="AQ79" i="1"/>
  <c r="AQ146" i="1"/>
  <c r="AQ204" i="1"/>
  <c r="AQ113" i="1"/>
  <c r="AQ172" i="1"/>
  <c r="AQ171" i="1"/>
  <c r="AQ185" i="1"/>
  <c r="AQ137" i="1"/>
  <c r="AQ205" i="1"/>
  <c r="AQ177" i="1"/>
  <c r="AQ199" i="1"/>
  <c r="AQ106" i="1"/>
  <c r="AQ203" i="1"/>
  <c r="AQ124" i="1"/>
  <c r="AQ170" i="1"/>
  <c r="AQ152" i="1"/>
  <c r="AQ118" i="1"/>
  <c r="AQ198" i="1"/>
  <c r="AQ200" i="1"/>
  <c r="AQ136" i="1"/>
  <c r="AQ108" i="1"/>
  <c r="AQ149" i="1"/>
  <c r="AQ187" i="1"/>
  <c r="AQ168" i="1"/>
  <c r="AQ162" i="1"/>
  <c r="AQ139" i="1"/>
  <c r="AQ196" i="1"/>
  <c r="AQ153" i="1"/>
  <c r="AQ197" i="1"/>
  <c r="AQ176" i="1"/>
  <c r="AQ202" i="1"/>
  <c r="AQ167" i="1"/>
  <c r="AQ207" i="1"/>
  <c r="AQ192" i="1"/>
  <c r="AP3" i="1"/>
  <c r="AP2" i="1"/>
  <c r="AP43" i="1"/>
  <c r="AP71" i="1"/>
  <c r="AP7" i="1"/>
  <c r="AP164" i="1"/>
  <c r="AP4" i="1"/>
  <c r="AP99" i="1"/>
  <c r="AP6" i="1"/>
  <c r="AP8" i="1"/>
  <c r="AP10" i="1"/>
  <c r="AP9" i="1"/>
  <c r="AP127" i="1"/>
  <c r="AP11" i="1"/>
  <c r="AP44" i="1"/>
  <c r="AP39" i="1"/>
  <c r="AP45" i="1"/>
  <c r="AP16" i="1"/>
  <c r="AP12" i="1"/>
  <c r="AP48" i="1"/>
  <c r="AP54" i="1"/>
  <c r="AP47" i="1"/>
  <c r="AP20" i="1"/>
  <c r="AP50" i="1"/>
  <c r="AP22" i="1"/>
  <c r="AP49" i="1"/>
  <c r="AP13" i="1"/>
  <c r="AP26" i="1"/>
  <c r="AP52" i="1"/>
  <c r="AP46" i="1"/>
  <c r="AP72" i="1"/>
  <c r="AP5" i="1"/>
  <c r="AP18" i="1"/>
  <c r="AP23" i="1"/>
  <c r="AP15" i="1"/>
  <c r="AP14" i="1"/>
  <c r="AP59" i="1"/>
  <c r="AP38" i="1"/>
  <c r="AP21" i="1"/>
  <c r="AP27" i="1"/>
  <c r="AP17" i="1"/>
  <c r="AP68" i="1"/>
  <c r="AP121" i="1"/>
  <c r="AP24" i="1"/>
  <c r="AP30" i="1"/>
  <c r="AP40" i="1"/>
  <c r="AP35" i="1"/>
  <c r="AP29" i="1"/>
  <c r="AP37" i="1"/>
  <c r="AP28" i="1"/>
  <c r="AP19" i="1"/>
  <c r="AP33" i="1"/>
  <c r="AP109" i="1"/>
  <c r="AP64" i="1"/>
  <c r="AP63" i="1"/>
  <c r="AP77" i="1"/>
  <c r="AP115" i="1"/>
  <c r="AP31" i="1"/>
  <c r="AP41" i="1"/>
  <c r="AP191" i="1"/>
  <c r="AP85" i="1"/>
  <c r="AP62" i="1"/>
  <c r="AP36" i="1"/>
  <c r="AP32" i="1"/>
  <c r="AP34" i="1"/>
  <c r="AP93" i="1"/>
  <c r="AP117" i="1"/>
  <c r="AP154" i="1"/>
  <c r="AP107" i="1"/>
  <c r="AP98" i="1"/>
  <c r="AP138" i="1"/>
  <c r="AP75" i="1"/>
  <c r="AP122" i="1"/>
  <c r="AP84" i="1"/>
  <c r="AP116" i="1"/>
  <c r="AP186" i="1"/>
  <c r="AP89" i="1"/>
  <c r="AP70" i="1"/>
  <c r="AP61" i="1"/>
  <c r="AP74" i="1"/>
  <c r="AP88" i="1"/>
  <c r="AP73" i="1"/>
  <c r="AP111" i="1"/>
  <c r="AP87" i="1"/>
  <c r="AP82" i="1"/>
  <c r="AP53" i="1"/>
  <c r="AP175" i="1"/>
  <c r="AP55" i="1"/>
  <c r="AP51" i="1"/>
  <c r="AP157" i="1"/>
  <c r="AP158" i="1"/>
  <c r="AP83" i="1"/>
  <c r="AP91" i="1"/>
  <c r="AP105" i="1"/>
  <c r="AP103" i="1"/>
  <c r="AP188" i="1"/>
  <c r="AP163" i="1"/>
  <c r="AP101" i="1"/>
  <c r="AP65" i="1"/>
  <c r="AP60" i="1"/>
  <c r="AP80" i="1"/>
  <c r="AP56" i="1"/>
  <c r="AP57" i="1"/>
  <c r="AP25" i="1"/>
  <c r="AP104" i="1"/>
  <c r="AP66" i="1"/>
  <c r="AP58" i="1"/>
  <c r="AP155" i="1"/>
  <c r="AP156" i="1"/>
  <c r="AP134" i="1"/>
  <c r="AP92" i="1"/>
  <c r="AP67" i="1"/>
  <c r="AP126" i="1"/>
  <c r="AP145" i="1"/>
  <c r="AP135" i="1"/>
  <c r="AP159" i="1"/>
  <c r="AP76" i="1"/>
  <c r="AP114" i="1"/>
  <c r="AP161" i="1"/>
  <c r="AP160" i="1"/>
  <c r="AP95" i="1"/>
  <c r="AP120" i="1"/>
  <c r="AP42" i="1"/>
  <c r="AP183" i="1"/>
  <c r="AP112" i="1"/>
  <c r="AP148" i="1"/>
  <c r="AP179" i="1"/>
  <c r="AP128" i="1"/>
  <c r="AP144" i="1"/>
  <c r="AP110" i="1"/>
  <c r="AP81" i="1"/>
  <c r="AP100" i="1"/>
  <c r="AP123" i="1"/>
  <c r="AP86" i="1"/>
  <c r="AP174" i="1"/>
  <c r="AP201" i="1"/>
  <c r="AP90" i="1"/>
  <c r="AP102" i="1"/>
  <c r="AP94" i="1"/>
  <c r="AP119" i="1"/>
  <c r="AP141" i="1"/>
  <c r="AP147" i="1"/>
  <c r="AP165" i="1"/>
  <c r="AP132" i="1"/>
  <c r="AP189" i="1"/>
  <c r="AP133" i="1"/>
  <c r="AP206" i="1"/>
  <c r="AP78" i="1"/>
  <c r="AP143" i="1"/>
  <c r="AP150" i="1"/>
  <c r="AP130" i="1"/>
  <c r="AP96" i="1"/>
  <c r="AP182" i="1"/>
  <c r="AP195" i="1"/>
  <c r="AP178" i="1"/>
  <c r="AP181" i="1"/>
  <c r="AP194" i="1"/>
  <c r="AP208" i="1"/>
  <c r="AP129" i="1"/>
  <c r="AP180" i="1"/>
  <c r="AP140" i="1"/>
  <c r="AP125" i="1"/>
  <c r="AP131" i="1"/>
  <c r="AP173" i="1"/>
  <c r="AP184" i="1"/>
  <c r="AP190" i="1"/>
  <c r="AP142" i="1"/>
  <c r="AP69" i="1"/>
  <c r="AP151" i="1"/>
  <c r="AP193" i="1"/>
  <c r="AP169" i="1"/>
  <c r="AP166" i="1"/>
  <c r="AP97" i="1"/>
  <c r="AP79" i="1"/>
  <c r="AP146" i="1"/>
  <c r="AP204" i="1"/>
  <c r="AP113" i="1"/>
  <c r="AP172" i="1"/>
  <c r="AP171" i="1"/>
  <c r="AP185" i="1"/>
  <c r="AP137" i="1"/>
  <c r="AP205" i="1"/>
  <c r="AP177" i="1"/>
  <c r="AP199" i="1"/>
  <c r="AP106" i="1"/>
  <c r="AP203" i="1"/>
  <c r="AP124" i="1"/>
  <c r="AP170" i="1"/>
  <c r="AP152" i="1"/>
  <c r="AP118" i="1"/>
  <c r="AP198" i="1"/>
  <c r="AP200" i="1"/>
  <c r="AP136" i="1"/>
  <c r="AP108" i="1"/>
  <c r="AP149" i="1"/>
  <c r="AP187" i="1"/>
  <c r="AP168" i="1"/>
  <c r="AP162" i="1"/>
  <c r="AP139" i="1"/>
  <c r="AP196" i="1"/>
  <c r="AP153" i="1"/>
  <c r="AP197" i="1"/>
  <c r="AP176" i="1"/>
  <c r="AP202" i="1"/>
  <c r="AP167" i="1"/>
  <c r="AP207" i="1"/>
  <c r="AP192" i="1"/>
  <c r="AO3" i="1"/>
  <c r="AO2" i="1"/>
  <c r="AO43" i="1"/>
  <c r="AO71" i="1"/>
  <c r="AO7" i="1"/>
  <c r="AO164" i="1"/>
  <c r="AO4" i="1"/>
  <c r="AO99" i="1"/>
  <c r="AO6" i="1"/>
  <c r="AO8" i="1"/>
  <c r="AO10" i="1"/>
  <c r="AO9" i="1"/>
  <c r="AO127" i="1"/>
  <c r="AO11" i="1"/>
  <c r="AO44" i="1"/>
  <c r="AO39" i="1"/>
  <c r="AO45" i="1"/>
  <c r="AO16" i="1"/>
  <c r="AO12" i="1"/>
  <c r="AO48" i="1"/>
  <c r="AO54" i="1"/>
  <c r="AO47" i="1"/>
  <c r="AO20" i="1"/>
  <c r="AO50" i="1"/>
  <c r="AO22" i="1"/>
  <c r="AO49" i="1"/>
  <c r="AO13" i="1"/>
  <c r="AO26" i="1"/>
  <c r="AO52" i="1"/>
  <c r="AO46" i="1"/>
  <c r="AO72" i="1"/>
  <c r="AO5" i="1"/>
  <c r="AO18" i="1"/>
  <c r="AO23" i="1"/>
  <c r="AO15" i="1"/>
  <c r="AO14" i="1"/>
  <c r="AO59" i="1"/>
  <c r="AO38" i="1"/>
  <c r="AO21" i="1"/>
  <c r="AO27" i="1"/>
  <c r="AO17" i="1"/>
  <c r="AO68" i="1"/>
  <c r="AO121" i="1"/>
  <c r="AO24" i="1"/>
  <c r="AO30" i="1"/>
  <c r="AO40" i="1"/>
  <c r="AO35" i="1"/>
  <c r="AO29" i="1"/>
  <c r="AO37" i="1"/>
  <c r="AO28" i="1"/>
  <c r="AO19" i="1"/>
  <c r="AO33" i="1"/>
  <c r="AO109" i="1"/>
  <c r="AO64" i="1"/>
  <c r="AO63" i="1"/>
  <c r="AO77" i="1"/>
  <c r="AO115" i="1"/>
  <c r="AO31" i="1"/>
  <c r="AO41" i="1"/>
  <c r="AO191" i="1"/>
  <c r="AO85" i="1"/>
  <c r="AO62" i="1"/>
  <c r="AO36" i="1"/>
  <c r="AO32" i="1"/>
  <c r="AO34" i="1"/>
  <c r="AO93" i="1"/>
  <c r="AO117" i="1"/>
  <c r="AO154" i="1"/>
  <c r="AO107" i="1"/>
  <c r="AO98" i="1"/>
  <c r="AO138" i="1"/>
  <c r="AO75" i="1"/>
  <c r="AO122" i="1"/>
  <c r="AO84" i="1"/>
  <c r="AO116" i="1"/>
  <c r="AO186" i="1"/>
  <c r="AO89" i="1"/>
  <c r="AO70" i="1"/>
  <c r="AO61" i="1"/>
  <c r="AO74" i="1"/>
  <c r="AO88" i="1"/>
  <c r="AO73" i="1"/>
  <c r="AO111" i="1"/>
  <c r="AO87" i="1"/>
  <c r="AO82" i="1"/>
  <c r="AO53" i="1"/>
  <c r="AO175" i="1"/>
  <c r="AO55" i="1"/>
  <c r="AO51" i="1"/>
  <c r="AO157" i="1"/>
  <c r="AO158" i="1"/>
  <c r="AO83" i="1"/>
  <c r="AO91" i="1"/>
  <c r="AO105" i="1"/>
  <c r="AO103" i="1"/>
  <c r="AO188" i="1"/>
  <c r="AO163" i="1"/>
  <c r="AO101" i="1"/>
  <c r="AO65" i="1"/>
  <c r="AO60" i="1"/>
  <c r="AO80" i="1"/>
  <c r="AO56" i="1"/>
  <c r="AO57" i="1"/>
  <c r="AO25" i="1"/>
  <c r="AO104" i="1"/>
  <c r="AO66" i="1"/>
  <c r="AO58" i="1"/>
  <c r="AO155" i="1"/>
  <c r="AO156" i="1"/>
  <c r="AO134" i="1"/>
  <c r="AO92" i="1"/>
  <c r="AO67" i="1"/>
  <c r="AO126" i="1"/>
  <c r="AO145" i="1"/>
  <c r="AO135" i="1"/>
  <c r="AO159" i="1"/>
  <c r="AO76" i="1"/>
  <c r="AO114" i="1"/>
  <c r="AO161" i="1"/>
  <c r="AO160" i="1"/>
  <c r="AO95" i="1"/>
  <c r="AO120" i="1"/>
  <c r="AO42" i="1"/>
  <c r="AO183" i="1"/>
  <c r="AO112" i="1"/>
  <c r="AO148" i="1"/>
  <c r="AO179" i="1"/>
  <c r="AO128" i="1"/>
  <c r="AO144" i="1"/>
  <c r="AO110" i="1"/>
  <c r="AO81" i="1"/>
  <c r="AO100" i="1"/>
  <c r="AO123" i="1"/>
  <c r="AO86" i="1"/>
  <c r="AO174" i="1"/>
  <c r="AO201" i="1"/>
  <c r="AO90" i="1"/>
  <c r="AO102" i="1"/>
  <c r="AO94" i="1"/>
  <c r="AO119" i="1"/>
  <c r="AO141" i="1"/>
  <c r="AO147" i="1"/>
  <c r="AO165" i="1"/>
  <c r="AO132" i="1"/>
  <c r="AO189" i="1"/>
  <c r="AO133" i="1"/>
  <c r="AO206" i="1"/>
  <c r="AO78" i="1"/>
  <c r="AO143" i="1"/>
  <c r="AO150" i="1"/>
  <c r="AO130" i="1"/>
  <c r="AO96" i="1"/>
  <c r="AO182" i="1"/>
  <c r="AO195" i="1"/>
  <c r="AO178" i="1"/>
  <c r="AO181" i="1"/>
  <c r="AO194" i="1"/>
  <c r="AO208" i="1"/>
  <c r="AO129" i="1"/>
  <c r="AO180" i="1"/>
  <c r="AO140" i="1"/>
  <c r="AO125" i="1"/>
  <c r="AO131" i="1"/>
  <c r="AO173" i="1"/>
  <c r="AO184" i="1"/>
  <c r="AO190" i="1"/>
  <c r="AO142" i="1"/>
  <c r="AO69" i="1"/>
  <c r="AO151" i="1"/>
  <c r="AO193" i="1"/>
  <c r="AO169" i="1"/>
  <c r="AO166" i="1"/>
  <c r="AO97" i="1"/>
  <c r="AO79" i="1"/>
  <c r="AO146" i="1"/>
  <c r="AO204" i="1"/>
  <c r="AO113" i="1"/>
  <c r="AO172" i="1"/>
  <c r="AO171" i="1"/>
  <c r="AO185" i="1"/>
  <c r="AO137" i="1"/>
  <c r="AO205" i="1"/>
  <c r="AO177" i="1"/>
  <c r="AO199" i="1"/>
  <c r="AO106" i="1"/>
  <c r="AO203" i="1"/>
  <c r="AO124" i="1"/>
  <c r="AO170" i="1"/>
  <c r="AO152" i="1"/>
  <c r="AO118" i="1"/>
  <c r="AO198" i="1"/>
  <c r="AO200" i="1"/>
  <c r="AO136" i="1"/>
  <c r="AO108" i="1"/>
  <c r="AO149" i="1"/>
  <c r="AO187" i="1"/>
  <c r="AO168" i="1"/>
  <c r="AO162" i="1"/>
  <c r="AO139" i="1"/>
  <c r="AO196" i="1"/>
  <c r="AO153" i="1"/>
  <c r="AO197" i="1"/>
  <c r="AO176" i="1"/>
  <c r="AO202" i="1"/>
  <c r="AO167" i="1"/>
  <c r="AO207" i="1"/>
  <c r="AO192" i="1"/>
  <c r="AN3" i="1"/>
  <c r="AN2" i="1"/>
  <c r="AN43" i="1"/>
  <c r="AN71" i="1"/>
  <c r="AN7" i="1"/>
  <c r="AN164" i="1"/>
  <c r="AN4" i="1"/>
  <c r="AN99" i="1"/>
  <c r="AN6" i="1"/>
  <c r="AN8" i="1"/>
  <c r="AN10" i="1"/>
  <c r="AN9" i="1"/>
  <c r="AN127" i="1"/>
  <c r="AN11" i="1"/>
  <c r="AN44" i="1"/>
  <c r="AN39" i="1"/>
  <c r="AN45" i="1"/>
  <c r="AN16" i="1"/>
  <c r="AN12" i="1"/>
  <c r="AN48" i="1"/>
  <c r="AN54" i="1"/>
  <c r="AN47" i="1"/>
  <c r="AN20" i="1"/>
  <c r="AN50" i="1"/>
  <c r="AN22" i="1"/>
  <c r="AN49" i="1"/>
  <c r="AN13" i="1"/>
  <c r="AN26" i="1"/>
  <c r="AN52" i="1"/>
  <c r="AN46" i="1"/>
  <c r="AN72" i="1"/>
  <c r="AN5" i="1"/>
  <c r="AN18" i="1"/>
  <c r="AN23" i="1"/>
  <c r="AN15" i="1"/>
  <c r="AN14" i="1"/>
  <c r="AN59" i="1"/>
  <c r="AN38" i="1"/>
  <c r="AN21" i="1"/>
  <c r="AN27" i="1"/>
  <c r="AN17" i="1"/>
  <c r="AN68" i="1"/>
  <c r="AN121" i="1"/>
  <c r="AN24" i="1"/>
  <c r="AN30" i="1"/>
  <c r="AN40" i="1"/>
  <c r="AN35" i="1"/>
  <c r="AN29" i="1"/>
  <c r="AN37" i="1"/>
  <c r="AN28" i="1"/>
  <c r="AN19" i="1"/>
  <c r="AN33" i="1"/>
  <c r="AN109" i="1"/>
  <c r="AN64" i="1"/>
  <c r="AN63" i="1"/>
  <c r="AN77" i="1"/>
  <c r="AN115" i="1"/>
  <c r="AN31" i="1"/>
  <c r="AN41" i="1"/>
  <c r="AN191" i="1"/>
  <c r="AN85" i="1"/>
  <c r="AN62" i="1"/>
  <c r="AN36" i="1"/>
  <c r="AN32" i="1"/>
  <c r="AN34" i="1"/>
  <c r="AN93" i="1"/>
  <c r="AN117" i="1"/>
  <c r="AN154" i="1"/>
  <c r="AN107" i="1"/>
  <c r="AN98" i="1"/>
  <c r="AN138" i="1"/>
  <c r="AN75" i="1"/>
  <c r="AN122" i="1"/>
  <c r="AN84" i="1"/>
  <c r="AN116" i="1"/>
  <c r="AN186" i="1"/>
  <c r="AN89" i="1"/>
  <c r="AN70" i="1"/>
  <c r="AN61" i="1"/>
  <c r="AN74" i="1"/>
  <c r="AN88" i="1"/>
  <c r="AN73" i="1"/>
  <c r="AN111" i="1"/>
  <c r="AN87" i="1"/>
  <c r="AN82" i="1"/>
  <c r="AN53" i="1"/>
  <c r="AN175" i="1"/>
  <c r="AN55" i="1"/>
  <c r="AN51" i="1"/>
  <c r="AN157" i="1"/>
  <c r="AN158" i="1"/>
  <c r="AN83" i="1"/>
  <c r="AN91" i="1"/>
  <c r="AN105" i="1"/>
  <c r="AN103" i="1"/>
  <c r="AN188" i="1"/>
  <c r="AN163" i="1"/>
  <c r="AN101" i="1"/>
  <c r="AN65" i="1"/>
  <c r="AN60" i="1"/>
  <c r="AN80" i="1"/>
  <c r="AN56" i="1"/>
  <c r="AN57" i="1"/>
  <c r="AN25" i="1"/>
  <c r="AN104" i="1"/>
  <c r="AN66" i="1"/>
  <c r="AN58" i="1"/>
  <c r="AN155" i="1"/>
  <c r="AN156" i="1"/>
  <c r="AN134" i="1"/>
  <c r="AN92" i="1"/>
  <c r="AN67" i="1"/>
  <c r="AN126" i="1"/>
  <c r="AN145" i="1"/>
  <c r="AN135" i="1"/>
  <c r="AN159" i="1"/>
  <c r="AN76" i="1"/>
  <c r="AN114" i="1"/>
  <c r="AN161" i="1"/>
  <c r="AN160" i="1"/>
  <c r="AN95" i="1"/>
  <c r="AN120" i="1"/>
  <c r="AN42" i="1"/>
  <c r="AN183" i="1"/>
  <c r="AN112" i="1"/>
  <c r="AN148" i="1"/>
  <c r="AN179" i="1"/>
  <c r="AN128" i="1"/>
  <c r="AN144" i="1"/>
  <c r="AN110" i="1"/>
  <c r="AN81" i="1"/>
  <c r="AN100" i="1"/>
  <c r="AN123" i="1"/>
  <c r="AN86" i="1"/>
  <c r="AN174" i="1"/>
  <c r="AN201" i="1"/>
  <c r="AN90" i="1"/>
  <c r="AN102" i="1"/>
  <c r="AN94" i="1"/>
  <c r="AN119" i="1"/>
  <c r="AN141" i="1"/>
  <c r="AN147" i="1"/>
  <c r="AN165" i="1"/>
  <c r="AN132" i="1"/>
  <c r="AN189" i="1"/>
  <c r="AN133" i="1"/>
  <c r="AN206" i="1"/>
  <c r="AN78" i="1"/>
  <c r="AN143" i="1"/>
  <c r="AN150" i="1"/>
  <c r="AN130" i="1"/>
  <c r="AN96" i="1"/>
  <c r="AN182" i="1"/>
  <c r="AN195" i="1"/>
  <c r="AN178" i="1"/>
  <c r="AN181" i="1"/>
  <c r="AN194" i="1"/>
  <c r="AN208" i="1"/>
  <c r="AN129" i="1"/>
  <c r="AN180" i="1"/>
  <c r="AN140" i="1"/>
  <c r="AN125" i="1"/>
  <c r="AN131" i="1"/>
  <c r="AN173" i="1"/>
  <c r="AN184" i="1"/>
  <c r="AN190" i="1"/>
  <c r="AN142" i="1"/>
  <c r="AN69" i="1"/>
  <c r="AN151" i="1"/>
  <c r="AN193" i="1"/>
  <c r="AN169" i="1"/>
  <c r="AN166" i="1"/>
  <c r="AN97" i="1"/>
  <c r="AN79" i="1"/>
  <c r="AN146" i="1"/>
  <c r="AN204" i="1"/>
  <c r="AN113" i="1"/>
  <c r="AN172" i="1"/>
  <c r="AN171" i="1"/>
  <c r="AN185" i="1"/>
  <c r="AN137" i="1"/>
  <c r="AN205" i="1"/>
  <c r="AN177" i="1"/>
  <c r="AN199" i="1"/>
  <c r="AN106" i="1"/>
  <c r="AN203" i="1"/>
  <c r="AN124" i="1"/>
  <c r="AN170" i="1"/>
  <c r="AN152" i="1"/>
  <c r="AN118" i="1"/>
  <c r="AN198" i="1"/>
  <c r="AN200" i="1"/>
  <c r="AN136" i="1"/>
  <c r="AN108" i="1"/>
  <c r="AN149" i="1"/>
  <c r="AN187" i="1"/>
  <c r="AN168" i="1"/>
  <c r="AN162" i="1"/>
  <c r="AN139" i="1"/>
  <c r="AN196" i="1"/>
  <c r="AN153" i="1"/>
  <c r="AN197" i="1"/>
  <c r="AN176" i="1"/>
  <c r="AN202" i="1"/>
  <c r="AN167" i="1"/>
  <c r="AN207" i="1"/>
  <c r="AN192" i="1"/>
  <c r="AM3" i="1"/>
  <c r="AM2" i="1"/>
  <c r="AM43" i="1"/>
  <c r="AM71" i="1"/>
  <c r="AM7" i="1"/>
  <c r="AM164" i="1"/>
  <c r="AM4" i="1"/>
  <c r="AM99" i="1"/>
  <c r="AM6" i="1"/>
  <c r="AM8" i="1"/>
  <c r="AM10" i="1"/>
  <c r="AM9" i="1"/>
  <c r="AM127" i="1"/>
  <c r="AM11" i="1"/>
  <c r="AM44" i="1"/>
  <c r="AM39" i="1"/>
  <c r="AM45" i="1"/>
  <c r="AM16" i="1"/>
  <c r="AM12" i="1"/>
  <c r="AM48" i="1"/>
  <c r="AM54" i="1"/>
  <c r="AM47" i="1"/>
  <c r="AM20" i="1"/>
  <c r="AM50" i="1"/>
  <c r="AM22" i="1"/>
  <c r="AM49" i="1"/>
  <c r="AM13" i="1"/>
  <c r="AM26" i="1"/>
  <c r="AM52" i="1"/>
  <c r="AM46" i="1"/>
  <c r="AM72" i="1"/>
  <c r="AM5" i="1"/>
  <c r="AM18" i="1"/>
  <c r="AM23" i="1"/>
  <c r="AM15" i="1"/>
  <c r="AM14" i="1"/>
  <c r="AM59" i="1"/>
  <c r="AM38" i="1"/>
  <c r="AM21" i="1"/>
  <c r="AM27" i="1"/>
  <c r="AM17" i="1"/>
  <c r="AM68" i="1"/>
  <c r="AM121" i="1"/>
  <c r="AM24" i="1"/>
  <c r="AM30" i="1"/>
  <c r="AM40" i="1"/>
  <c r="AM35" i="1"/>
  <c r="AM29" i="1"/>
  <c r="AM37" i="1"/>
  <c r="AM28" i="1"/>
  <c r="AM19" i="1"/>
  <c r="AM33" i="1"/>
  <c r="AM109" i="1"/>
  <c r="AM64" i="1"/>
  <c r="AM63" i="1"/>
  <c r="AM77" i="1"/>
  <c r="AM115" i="1"/>
  <c r="AM31" i="1"/>
  <c r="AM41" i="1"/>
  <c r="AM191" i="1"/>
  <c r="AM85" i="1"/>
  <c r="AM62" i="1"/>
  <c r="AM36" i="1"/>
  <c r="AM32" i="1"/>
  <c r="AM34" i="1"/>
  <c r="AM93" i="1"/>
  <c r="AM117" i="1"/>
  <c r="AM154" i="1"/>
  <c r="AM107" i="1"/>
  <c r="AM98" i="1"/>
  <c r="AM138" i="1"/>
  <c r="AM75" i="1"/>
  <c r="AM122" i="1"/>
  <c r="AM84" i="1"/>
  <c r="AM116" i="1"/>
  <c r="AM186" i="1"/>
  <c r="AM89" i="1"/>
  <c r="AM70" i="1"/>
  <c r="AM61" i="1"/>
  <c r="AM74" i="1"/>
  <c r="AM88" i="1"/>
  <c r="AM73" i="1"/>
  <c r="AM111" i="1"/>
  <c r="AM87" i="1"/>
  <c r="AM82" i="1"/>
  <c r="AM53" i="1"/>
  <c r="AM175" i="1"/>
  <c r="AM55" i="1"/>
  <c r="AM51" i="1"/>
  <c r="AM157" i="1"/>
  <c r="AM158" i="1"/>
  <c r="AM83" i="1"/>
  <c r="AM91" i="1"/>
  <c r="AM105" i="1"/>
  <c r="AM103" i="1"/>
  <c r="AM188" i="1"/>
  <c r="AM163" i="1"/>
  <c r="AM101" i="1"/>
  <c r="AM65" i="1"/>
  <c r="AM60" i="1"/>
  <c r="AM80" i="1"/>
  <c r="AM56" i="1"/>
  <c r="AM57" i="1"/>
  <c r="AM25" i="1"/>
  <c r="AM104" i="1"/>
  <c r="AM66" i="1"/>
  <c r="AM58" i="1"/>
  <c r="AM155" i="1"/>
  <c r="AM156" i="1"/>
  <c r="AM134" i="1"/>
  <c r="AM92" i="1"/>
  <c r="AM67" i="1"/>
  <c r="AM126" i="1"/>
  <c r="AM145" i="1"/>
  <c r="AM135" i="1"/>
  <c r="AM159" i="1"/>
  <c r="AM76" i="1"/>
  <c r="AM114" i="1"/>
  <c r="AM161" i="1"/>
  <c r="AM160" i="1"/>
  <c r="AM95" i="1"/>
  <c r="AM120" i="1"/>
  <c r="AM42" i="1"/>
  <c r="AM183" i="1"/>
  <c r="AM112" i="1"/>
  <c r="AM148" i="1"/>
  <c r="AM179" i="1"/>
  <c r="AM128" i="1"/>
  <c r="AM144" i="1"/>
  <c r="AM110" i="1"/>
  <c r="AM81" i="1"/>
  <c r="AM100" i="1"/>
  <c r="AM123" i="1"/>
  <c r="AM86" i="1"/>
  <c r="AM174" i="1"/>
  <c r="AM201" i="1"/>
  <c r="AM90" i="1"/>
  <c r="AM102" i="1"/>
  <c r="AM94" i="1"/>
  <c r="AM119" i="1"/>
  <c r="AM141" i="1"/>
  <c r="AM147" i="1"/>
  <c r="AM165" i="1"/>
  <c r="AM132" i="1"/>
  <c r="AM189" i="1"/>
  <c r="AM133" i="1"/>
  <c r="AM206" i="1"/>
  <c r="AM78" i="1"/>
  <c r="AM143" i="1"/>
  <c r="AM150" i="1"/>
  <c r="AM130" i="1"/>
  <c r="AM96" i="1"/>
  <c r="AM182" i="1"/>
  <c r="AM195" i="1"/>
  <c r="AM178" i="1"/>
  <c r="AM181" i="1"/>
  <c r="AM194" i="1"/>
  <c r="AM208" i="1"/>
  <c r="AM129" i="1"/>
  <c r="AM180" i="1"/>
  <c r="AM140" i="1"/>
  <c r="AM125" i="1"/>
  <c r="AM131" i="1"/>
  <c r="AM173" i="1"/>
  <c r="AM184" i="1"/>
  <c r="AM190" i="1"/>
  <c r="AM142" i="1"/>
  <c r="AM69" i="1"/>
  <c r="AM151" i="1"/>
  <c r="AM193" i="1"/>
  <c r="AM169" i="1"/>
  <c r="AM166" i="1"/>
  <c r="AM97" i="1"/>
  <c r="AM79" i="1"/>
  <c r="AM146" i="1"/>
  <c r="AM204" i="1"/>
  <c r="AM113" i="1"/>
  <c r="AM172" i="1"/>
  <c r="AM171" i="1"/>
  <c r="AM185" i="1"/>
  <c r="AM137" i="1"/>
  <c r="AM205" i="1"/>
  <c r="AM177" i="1"/>
  <c r="AM199" i="1"/>
  <c r="AM106" i="1"/>
  <c r="AM203" i="1"/>
  <c r="AM124" i="1"/>
  <c r="AM170" i="1"/>
  <c r="AM152" i="1"/>
  <c r="AM118" i="1"/>
  <c r="AM198" i="1"/>
  <c r="AM200" i="1"/>
  <c r="AM136" i="1"/>
  <c r="AM108" i="1"/>
  <c r="AM149" i="1"/>
  <c r="AM187" i="1"/>
  <c r="AM168" i="1"/>
  <c r="AM162" i="1"/>
  <c r="AM139" i="1"/>
  <c r="AM196" i="1"/>
  <c r="AM153" i="1"/>
  <c r="AM197" i="1"/>
  <c r="AM176" i="1"/>
  <c r="AM202" i="1"/>
  <c r="AM167" i="1"/>
  <c r="AM207" i="1"/>
  <c r="AM192" i="1"/>
  <c r="AL3" i="1"/>
  <c r="AL2" i="1"/>
  <c r="AL43" i="1"/>
  <c r="AL71" i="1"/>
  <c r="AL7" i="1"/>
  <c r="AL164" i="1"/>
  <c r="AL4" i="1"/>
  <c r="AL99" i="1"/>
  <c r="AL6" i="1"/>
  <c r="AL8" i="1"/>
  <c r="AL10" i="1"/>
  <c r="AL9" i="1"/>
  <c r="AL127" i="1"/>
  <c r="AL11" i="1"/>
  <c r="AL44" i="1"/>
  <c r="AL39" i="1"/>
  <c r="AL45" i="1"/>
  <c r="AL16" i="1"/>
  <c r="AL12" i="1"/>
  <c r="AL48" i="1"/>
  <c r="AL54" i="1"/>
  <c r="AL47" i="1"/>
  <c r="AL20" i="1"/>
  <c r="AL50" i="1"/>
  <c r="AL22" i="1"/>
  <c r="AL49" i="1"/>
  <c r="AL13" i="1"/>
  <c r="AL26" i="1"/>
  <c r="AL52" i="1"/>
  <c r="AL46" i="1"/>
  <c r="AL72" i="1"/>
  <c r="AL5" i="1"/>
  <c r="AL18" i="1"/>
  <c r="AL23" i="1"/>
  <c r="AL15" i="1"/>
  <c r="AL14" i="1"/>
  <c r="AL59" i="1"/>
  <c r="AL38" i="1"/>
  <c r="AL21" i="1"/>
  <c r="AL27" i="1"/>
  <c r="AL17" i="1"/>
  <c r="AL68" i="1"/>
  <c r="AL121" i="1"/>
  <c r="AL24" i="1"/>
  <c r="AL30" i="1"/>
  <c r="AL40" i="1"/>
  <c r="AL35" i="1"/>
  <c r="AL29" i="1"/>
  <c r="AL37" i="1"/>
  <c r="AL28" i="1"/>
  <c r="AL19" i="1"/>
  <c r="AL33" i="1"/>
  <c r="AL109" i="1"/>
  <c r="AL64" i="1"/>
  <c r="AL63" i="1"/>
  <c r="AL77" i="1"/>
  <c r="AL115" i="1"/>
  <c r="AL31" i="1"/>
  <c r="AL41" i="1"/>
  <c r="AL191" i="1"/>
  <c r="AL85" i="1"/>
  <c r="AL62" i="1"/>
  <c r="AL36" i="1"/>
  <c r="AL32" i="1"/>
  <c r="AL34" i="1"/>
  <c r="AL93" i="1"/>
  <c r="AL117" i="1"/>
  <c r="AL154" i="1"/>
  <c r="AL107" i="1"/>
  <c r="AL98" i="1"/>
  <c r="AL138" i="1"/>
  <c r="AL75" i="1"/>
  <c r="AL122" i="1"/>
  <c r="AL84" i="1"/>
  <c r="AL116" i="1"/>
  <c r="AL186" i="1"/>
  <c r="AL89" i="1"/>
  <c r="AL70" i="1"/>
  <c r="AL61" i="1"/>
  <c r="AL74" i="1"/>
  <c r="AL88" i="1"/>
  <c r="AL73" i="1"/>
  <c r="AL111" i="1"/>
  <c r="AL87" i="1"/>
  <c r="AL82" i="1"/>
  <c r="AL53" i="1"/>
  <c r="AL175" i="1"/>
  <c r="AL55" i="1"/>
  <c r="AL51" i="1"/>
  <c r="AL157" i="1"/>
  <c r="AL158" i="1"/>
  <c r="AL83" i="1"/>
  <c r="AL91" i="1"/>
  <c r="AL105" i="1"/>
  <c r="AL103" i="1"/>
  <c r="AL188" i="1"/>
  <c r="AL163" i="1"/>
  <c r="AL101" i="1"/>
  <c r="AL65" i="1"/>
  <c r="AL60" i="1"/>
  <c r="AL80" i="1"/>
  <c r="AL56" i="1"/>
  <c r="AL57" i="1"/>
  <c r="AL25" i="1"/>
  <c r="AL104" i="1"/>
  <c r="AL66" i="1"/>
  <c r="AL58" i="1"/>
  <c r="AL155" i="1"/>
  <c r="AL156" i="1"/>
  <c r="AL134" i="1"/>
  <c r="AL92" i="1"/>
  <c r="AL67" i="1"/>
  <c r="AL126" i="1"/>
  <c r="AL145" i="1"/>
  <c r="AL135" i="1"/>
  <c r="AL159" i="1"/>
  <c r="AL76" i="1"/>
  <c r="AL114" i="1"/>
  <c r="AL161" i="1"/>
  <c r="AL160" i="1"/>
  <c r="AL95" i="1"/>
  <c r="AL120" i="1"/>
  <c r="AL42" i="1"/>
  <c r="AL183" i="1"/>
  <c r="AL112" i="1"/>
  <c r="AL148" i="1"/>
  <c r="AL179" i="1"/>
  <c r="AL128" i="1"/>
  <c r="AL144" i="1"/>
  <c r="AL110" i="1"/>
  <c r="AL81" i="1"/>
  <c r="AL100" i="1"/>
  <c r="AL123" i="1"/>
  <c r="AL86" i="1"/>
  <c r="AL174" i="1"/>
  <c r="AL201" i="1"/>
  <c r="AL90" i="1"/>
  <c r="AL102" i="1"/>
  <c r="AL94" i="1"/>
  <c r="AL119" i="1"/>
  <c r="AL141" i="1"/>
  <c r="AL147" i="1"/>
  <c r="AL165" i="1"/>
  <c r="AL132" i="1"/>
  <c r="AL189" i="1"/>
  <c r="AL133" i="1"/>
  <c r="AL206" i="1"/>
  <c r="AL78" i="1"/>
  <c r="AL143" i="1"/>
  <c r="AL150" i="1"/>
  <c r="AL130" i="1"/>
  <c r="AL96" i="1"/>
  <c r="AL182" i="1"/>
  <c r="AL195" i="1"/>
  <c r="AL178" i="1"/>
  <c r="AL181" i="1"/>
  <c r="AL194" i="1"/>
  <c r="AL208" i="1"/>
  <c r="AL129" i="1"/>
  <c r="AL180" i="1"/>
  <c r="AL140" i="1"/>
  <c r="AL125" i="1"/>
  <c r="AL131" i="1"/>
  <c r="AL173" i="1"/>
  <c r="AL184" i="1"/>
  <c r="AL190" i="1"/>
  <c r="AL142" i="1"/>
  <c r="AL69" i="1"/>
  <c r="AL151" i="1"/>
  <c r="AL193" i="1"/>
  <c r="AL169" i="1"/>
  <c r="AL166" i="1"/>
  <c r="AL97" i="1"/>
  <c r="AL79" i="1"/>
  <c r="AL146" i="1"/>
  <c r="AL204" i="1"/>
  <c r="AL113" i="1"/>
  <c r="AL172" i="1"/>
  <c r="AL171" i="1"/>
  <c r="AL185" i="1"/>
  <c r="AL137" i="1"/>
  <c r="AL205" i="1"/>
  <c r="AL177" i="1"/>
  <c r="AL199" i="1"/>
  <c r="AL106" i="1"/>
  <c r="AL203" i="1"/>
  <c r="AL124" i="1"/>
  <c r="AL170" i="1"/>
  <c r="AL152" i="1"/>
  <c r="AL118" i="1"/>
  <c r="AL198" i="1"/>
  <c r="AL200" i="1"/>
  <c r="AL136" i="1"/>
  <c r="AL108" i="1"/>
  <c r="AL149" i="1"/>
  <c r="AL187" i="1"/>
  <c r="AL168" i="1"/>
  <c r="AL162" i="1"/>
  <c r="AL139" i="1"/>
  <c r="AL196" i="1"/>
  <c r="AL153" i="1"/>
  <c r="AL197" i="1"/>
  <c r="AL176" i="1"/>
  <c r="AL202" i="1"/>
  <c r="AL167" i="1"/>
  <c r="AL207" i="1"/>
  <c r="AL192" i="1"/>
  <c r="AK3" i="1"/>
  <c r="AK2" i="1"/>
  <c r="AK43" i="1"/>
  <c r="AK71" i="1"/>
  <c r="AK7" i="1"/>
  <c r="AK164" i="1"/>
  <c r="AK4" i="1"/>
  <c r="AK99" i="1"/>
  <c r="AK6" i="1"/>
  <c r="AK8" i="1"/>
  <c r="AK10" i="1"/>
  <c r="AK9" i="1"/>
  <c r="AK127" i="1"/>
  <c r="AK11" i="1"/>
  <c r="AK44" i="1"/>
  <c r="AK39" i="1"/>
  <c r="AK45" i="1"/>
  <c r="AK16" i="1"/>
  <c r="AK12" i="1"/>
  <c r="AK48" i="1"/>
  <c r="AK54" i="1"/>
  <c r="AK47" i="1"/>
  <c r="AK20" i="1"/>
  <c r="AK50" i="1"/>
  <c r="AK22" i="1"/>
  <c r="AK49" i="1"/>
  <c r="AK13" i="1"/>
  <c r="AK26" i="1"/>
  <c r="AK52" i="1"/>
  <c r="AK46" i="1"/>
  <c r="AK72" i="1"/>
  <c r="AK5" i="1"/>
  <c r="AK18" i="1"/>
  <c r="AK23" i="1"/>
  <c r="AK15" i="1"/>
  <c r="AK14" i="1"/>
  <c r="AK59" i="1"/>
  <c r="AK38" i="1"/>
  <c r="AK21" i="1"/>
  <c r="AK27" i="1"/>
  <c r="AK17" i="1"/>
  <c r="AK68" i="1"/>
  <c r="AK121" i="1"/>
  <c r="AK24" i="1"/>
  <c r="AK30" i="1"/>
  <c r="AK40" i="1"/>
  <c r="AK35" i="1"/>
  <c r="AK29" i="1"/>
  <c r="AK37" i="1"/>
  <c r="AK28" i="1"/>
  <c r="AK19" i="1"/>
  <c r="AK33" i="1"/>
  <c r="AK109" i="1"/>
  <c r="AK64" i="1"/>
  <c r="AK63" i="1"/>
  <c r="AK77" i="1"/>
  <c r="AK115" i="1"/>
  <c r="AK31" i="1"/>
  <c r="AK41" i="1"/>
  <c r="AK191" i="1"/>
  <c r="AK85" i="1"/>
  <c r="AK62" i="1"/>
  <c r="AK36" i="1"/>
  <c r="AK32" i="1"/>
  <c r="AK34" i="1"/>
  <c r="AK93" i="1"/>
  <c r="AK117" i="1"/>
  <c r="AK154" i="1"/>
  <c r="AK107" i="1"/>
  <c r="AK98" i="1"/>
  <c r="AK138" i="1"/>
  <c r="AK75" i="1"/>
  <c r="AK122" i="1"/>
  <c r="AK84" i="1"/>
  <c r="AK116" i="1"/>
  <c r="AK186" i="1"/>
  <c r="AK89" i="1"/>
  <c r="AK70" i="1"/>
  <c r="AK61" i="1"/>
  <c r="AK74" i="1"/>
  <c r="AK88" i="1"/>
  <c r="AK73" i="1"/>
  <c r="AK111" i="1"/>
  <c r="AK87" i="1"/>
  <c r="AK82" i="1"/>
  <c r="AK53" i="1"/>
  <c r="AK175" i="1"/>
  <c r="AK55" i="1"/>
  <c r="AK51" i="1"/>
  <c r="AK157" i="1"/>
  <c r="AK158" i="1"/>
  <c r="AK83" i="1"/>
  <c r="AK91" i="1"/>
  <c r="AK105" i="1"/>
  <c r="AK103" i="1"/>
  <c r="AK188" i="1"/>
  <c r="AK163" i="1"/>
  <c r="AK101" i="1"/>
  <c r="AK65" i="1"/>
  <c r="AK60" i="1"/>
  <c r="AK80" i="1"/>
  <c r="AK56" i="1"/>
  <c r="AK57" i="1"/>
  <c r="AK25" i="1"/>
  <c r="AK104" i="1"/>
  <c r="AK66" i="1"/>
  <c r="AK58" i="1"/>
  <c r="AK155" i="1"/>
  <c r="AK156" i="1"/>
  <c r="AK134" i="1"/>
  <c r="AK92" i="1"/>
  <c r="AK67" i="1"/>
  <c r="AK126" i="1"/>
  <c r="AK145" i="1"/>
  <c r="AK135" i="1"/>
  <c r="AK159" i="1"/>
  <c r="AK76" i="1"/>
  <c r="AK114" i="1"/>
  <c r="AK161" i="1"/>
  <c r="AK160" i="1"/>
  <c r="AK95" i="1"/>
  <c r="AK120" i="1"/>
  <c r="AK42" i="1"/>
  <c r="AK183" i="1"/>
  <c r="AK112" i="1"/>
  <c r="AK148" i="1"/>
  <c r="AK179" i="1"/>
  <c r="AK128" i="1"/>
  <c r="AK144" i="1"/>
  <c r="AK110" i="1"/>
  <c r="AK81" i="1"/>
  <c r="AK100" i="1"/>
  <c r="AK123" i="1"/>
  <c r="AK86" i="1"/>
  <c r="AK174" i="1"/>
  <c r="AK201" i="1"/>
  <c r="AK90" i="1"/>
  <c r="AK102" i="1"/>
  <c r="AK94" i="1"/>
  <c r="AK119" i="1"/>
  <c r="AK141" i="1"/>
  <c r="AK147" i="1"/>
  <c r="AK165" i="1"/>
  <c r="AK132" i="1"/>
  <c r="AK189" i="1"/>
  <c r="AK133" i="1"/>
  <c r="AK206" i="1"/>
  <c r="AK78" i="1"/>
  <c r="AK143" i="1"/>
  <c r="AK150" i="1"/>
  <c r="AK130" i="1"/>
  <c r="AK96" i="1"/>
  <c r="AK182" i="1"/>
  <c r="AK195" i="1"/>
  <c r="AK178" i="1"/>
  <c r="AK181" i="1"/>
  <c r="AK194" i="1"/>
  <c r="AK208" i="1"/>
  <c r="AK129" i="1"/>
  <c r="AK180" i="1"/>
  <c r="AK140" i="1"/>
  <c r="AK125" i="1"/>
  <c r="AK131" i="1"/>
  <c r="AK173" i="1"/>
  <c r="AK184" i="1"/>
  <c r="AK190" i="1"/>
  <c r="AK142" i="1"/>
  <c r="AK69" i="1"/>
  <c r="AK151" i="1"/>
  <c r="AK193" i="1"/>
  <c r="AK169" i="1"/>
  <c r="AK166" i="1"/>
  <c r="AK97" i="1"/>
  <c r="AK79" i="1"/>
  <c r="AK146" i="1"/>
  <c r="AK204" i="1"/>
  <c r="AK113" i="1"/>
  <c r="AK172" i="1"/>
  <c r="AK171" i="1"/>
  <c r="AK185" i="1"/>
  <c r="AK137" i="1"/>
  <c r="AK205" i="1"/>
  <c r="AK177" i="1"/>
  <c r="AK199" i="1"/>
  <c r="AK106" i="1"/>
  <c r="AK203" i="1"/>
  <c r="AK124" i="1"/>
  <c r="AK170" i="1"/>
  <c r="AK152" i="1"/>
  <c r="AK118" i="1"/>
  <c r="AK198" i="1"/>
  <c r="AK200" i="1"/>
  <c r="AK136" i="1"/>
  <c r="AK108" i="1"/>
  <c r="AK149" i="1"/>
  <c r="AK187" i="1"/>
  <c r="AK168" i="1"/>
  <c r="AK162" i="1"/>
  <c r="AK139" i="1"/>
  <c r="AK196" i="1"/>
  <c r="AK153" i="1"/>
  <c r="AK197" i="1"/>
  <c r="AK176" i="1"/>
  <c r="AK202" i="1"/>
  <c r="AK167" i="1"/>
  <c r="AK207" i="1"/>
  <c r="AK192" i="1"/>
  <c r="AJ3" i="1"/>
  <c r="AJ2" i="1"/>
  <c r="AJ43" i="1"/>
  <c r="AJ71" i="1"/>
  <c r="AJ7" i="1"/>
  <c r="AJ164" i="1"/>
  <c r="AJ4" i="1"/>
  <c r="AJ99" i="1"/>
  <c r="AJ6" i="1"/>
  <c r="AJ8" i="1"/>
  <c r="AJ10" i="1"/>
  <c r="AJ9" i="1"/>
  <c r="AJ127" i="1"/>
  <c r="AJ11" i="1"/>
  <c r="AJ44" i="1"/>
  <c r="AJ39" i="1"/>
  <c r="AJ45" i="1"/>
  <c r="AJ16" i="1"/>
  <c r="AJ12" i="1"/>
  <c r="AJ48" i="1"/>
  <c r="AJ54" i="1"/>
  <c r="AJ47" i="1"/>
  <c r="AJ20" i="1"/>
  <c r="AJ50" i="1"/>
  <c r="AJ22" i="1"/>
  <c r="AJ49" i="1"/>
  <c r="AJ13" i="1"/>
  <c r="AJ26" i="1"/>
  <c r="AJ52" i="1"/>
  <c r="AJ46" i="1"/>
  <c r="AJ72" i="1"/>
  <c r="AJ5" i="1"/>
  <c r="AJ18" i="1"/>
  <c r="AJ23" i="1"/>
  <c r="AJ15" i="1"/>
  <c r="AJ14" i="1"/>
  <c r="AJ59" i="1"/>
  <c r="AJ38" i="1"/>
  <c r="AJ21" i="1"/>
  <c r="AJ27" i="1"/>
  <c r="AJ17" i="1"/>
  <c r="AJ68" i="1"/>
  <c r="AJ121" i="1"/>
  <c r="AJ24" i="1"/>
  <c r="AJ30" i="1"/>
  <c r="AJ40" i="1"/>
  <c r="AJ35" i="1"/>
  <c r="AJ29" i="1"/>
  <c r="AJ37" i="1"/>
  <c r="AJ28" i="1"/>
  <c r="AJ19" i="1"/>
  <c r="AJ33" i="1"/>
  <c r="AJ109" i="1"/>
  <c r="AJ64" i="1"/>
  <c r="AJ63" i="1"/>
  <c r="AJ77" i="1"/>
  <c r="AJ115" i="1"/>
  <c r="AJ31" i="1"/>
  <c r="AJ41" i="1"/>
  <c r="AJ191" i="1"/>
  <c r="AJ85" i="1"/>
  <c r="AJ62" i="1"/>
  <c r="AJ36" i="1"/>
  <c r="AJ32" i="1"/>
  <c r="AJ34" i="1"/>
  <c r="AJ93" i="1"/>
  <c r="AJ117" i="1"/>
  <c r="AJ154" i="1"/>
  <c r="AJ107" i="1"/>
  <c r="AJ98" i="1"/>
  <c r="AJ138" i="1"/>
  <c r="AJ75" i="1"/>
  <c r="AJ122" i="1"/>
  <c r="AJ84" i="1"/>
  <c r="AJ116" i="1"/>
  <c r="AJ186" i="1"/>
  <c r="AJ89" i="1"/>
  <c r="AJ70" i="1"/>
  <c r="AJ61" i="1"/>
  <c r="AJ74" i="1"/>
  <c r="AJ88" i="1"/>
  <c r="AJ73" i="1"/>
  <c r="AJ111" i="1"/>
  <c r="AJ87" i="1"/>
  <c r="AJ82" i="1"/>
  <c r="AJ53" i="1"/>
  <c r="AJ175" i="1"/>
  <c r="AJ55" i="1"/>
  <c r="AJ51" i="1"/>
  <c r="AJ157" i="1"/>
  <c r="AJ158" i="1"/>
  <c r="AJ83" i="1"/>
  <c r="AJ91" i="1"/>
  <c r="AJ105" i="1"/>
  <c r="AJ103" i="1"/>
  <c r="AJ188" i="1"/>
  <c r="AJ163" i="1"/>
  <c r="AJ101" i="1"/>
  <c r="AJ65" i="1"/>
  <c r="AJ60" i="1"/>
  <c r="AJ80" i="1"/>
  <c r="AJ56" i="1"/>
  <c r="AJ57" i="1"/>
  <c r="AJ25" i="1"/>
  <c r="AJ104" i="1"/>
  <c r="AJ66" i="1"/>
  <c r="AJ58" i="1"/>
  <c r="AJ155" i="1"/>
  <c r="AJ156" i="1"/>
  <c r="AJ134" i="1"/>
  <c r="AJ92" i="1"/>
  <c r="AJ67" i="1"/>
  <c r="AJ126" i="1"/>
  <c r="AJ145" i="1"/>
  <c r="AJ135" i="1"/>
  <c r="AJ159" i="1"/>
  <c r="AJ76" i="1"/>
  <c r="AJ114" i="1"/>
  <c r="AJ161" i="1"/>
  <c r="AJ160" i="1"/>
  <c r="AJ95" i="1"/>
  <c r="AJ120" i="1"/>
  <c r="AJ42" i="1"/>
  <c r="AJ183" i="1"/>
  <c r="AJ112" i="1"/>
  <c r="AJ148" i="1"/>
  <c r="AJ179" i="1"/>
  <c r="AJ128" i="1"/>
  <c r="AJ144" i="1"/>
  <c r="AJ110" i="1"/>
  <c r="AJ81" i="1"/>
  <c r="AJ100" i="1"/>
  <c r="AJ123" i="1"/>
  <c r="AJ86" i="1"/>
  <c r="AJ174" i="1"/>
  <c r="AJ201" i="1"/>
  <c r="AJ90" i="1"/>
  <c r="AJ102" i="1"/>
  <c r="AJ94" i="1"/>
  <c r="AJ119" i="1"/>
  <c r="AJ141" i="1"/>
  <c r="AJ147" i="1"/>
  <c r="AJ165" i="1"/>
  <c r="AJ132" i="1"/>
  <c r="AJ189" i="1"/>
  <c r="AJ133" i="1"/>
  <c r="AJ206" i="1"/>
  <c r="AJ78" i="1"/>
  <c r="AJ143" i="1"/>
  <c r="AJ150" i="1"/>
  <c r="AJ130" i="1"/>
  <c r="AJ96" i="1"/>
  <c r="AJ182" i="1"/>
  <c r="AJ195" i="1"/>
  <c r="AJ178" i="1"/>
  <c r="AJ181" i="1"/>
  <c r="AJ194" i="1"/>
  <c r="AJ208" i="1"/>
  <c r="AJ129" i="1"/>
  <c r="AJ180" i="1"/>
  <c r="AJ140" i="1"/>
  <c r="AJ125" i="1"/>
  <c r="AJ131" i="1"/>
  <c r="AJ173" i="1"/>
  <c r="AJ184" i="1"/>
  <c r="AJ190" i="1"/>
  <c r="AJ142" i="1"/>
  <c r="AJ69" i="1"/>
  <c r="AJ151" i="1"/>
  <c r="AJ193" i="1"/>
  <c r="AJ169" i="1"/>
  <c r="AJ166" i="1"/>
  <c r="AJ97" i="1"/>
  <c r="AJ79" i="1"/>
  <c r="AJ146" i="1"/>
  <c r="AJ204" i="1"/>
  <c r="AJ113" i="1"/>
  <c r="AJ172" i="1"/>
  <c r="AJ171" i="1"/>
  <c r="AJ185" i="1"/>
  <c r="AJ137" i="1"/>
  <c r="AJ205" i="1"/>
  <c r="AJ177" i="1"/>
  <c r="AJ199" i="1"/>
  <c r="AJ106" i="1"/>
  <c r="AJ203" i="1"/>
  <c r="AJ124" i="1"/>
  <c r="AJ170" i="1"/>
  <c r="AJ152" i="1"/>
  <c r="AJ118" i="1"/>
  <c r="AJ198" i="1"/>
  <c r="AJ200" i="1"/>
  <c r="AJ136" i="1"/>
  <c r="AJ108" i="1"/>
  <c r="AJ149" i="1"/>
  <c r="AJ187" i="1"/>
  <c r="AJ168" i="1"/>
  <c r="AJ162" i="1"/>
  <c r="AJ139" i="1"/>
  <c r="AJ196" i="1"/>
  <c r="AJ153" i="1"/>
  <c r="AJ197" i="1"/>
  <c r="AJ176" i="1"/>
  <c r="AJ202" i="1"/>
  <c r="AJ167" i="1"/>
  <c r="AJ207" i="1"/>
  <c r="AJ192" i="1"/>
  <c r="AI3" i="1"/>
  <c r="AI2" i="1"/>
  <c r="AI43" i="1"/>
  <c r="AI71" i="1"/>
  <c r="AI7" i="1"/>
  <c r="AI164" i="1"/>
  <c r="AI4" i="1"/>
  <c r="AI99" i="1"/>
  <c r="AI6" i="1"/>
  <c r="AI8" i="1"/>
  <c r="AI10" i="1"/>
  <c r="AI9" i="1"/>
  <c r="AI127" i="1"/>
  <c r="AI11" i="1"/>
  <c r="AI44" i="1"/>
  <c r="AI39" i="1"/>
  <c r="AI45" i="1"/>
  <c r="AI16" i="1"/>
  <c r="AI12" i="1"/>
  <c r="AI48" i="1"/>
  <c r="AI54" i="1"/>
  <c r="AI47" i="1"/>
  <c r="AI20" i="1"/>
  <c r="AI50" i="1"/>
  <c r="AI22" i="1"/>
  <c r="AI49" i="1"/>
  <c r="AI13" i="1"/>
  <c r="AI26" i="1"/>
  <c r="AI52" i="1"/>
  <c r="AI46" i="1"/>
  <c r="AI72" i="1"/>
  <c r="AI5" i="1"/>
  <c r="AI18" i="1"/>
  <c r="AI23" i="1"/>
  <c r="AI15" i="1"/>
  <c r="AI14" i="1"/>
  <c r="AI59" i="1"/>
  <c r="AI38" i="1"/>
  <c r="AI21" i="1"/>
  <c r="AI27" i="1"/>
  <c r="AI17" i="1"/>
  <c r="AI68" i="1"/>
  <c r="AI121" i="1"/>
  <c r="AI24" i="1"/>
  <c r="AI30" i="1"/>
  <c r="AI40" i="1"/>
  <c r="AI35" i="1"/>
  <c r="AI29" i="1"/>
  <c r="AI37" i="1"/>
  <c r="AI28" i="1"/>
  <c r="AI19" i="1"/>
  <c r="AI33" i="1"/>
  <c r="AI109" i="1"/>
  <c r="AI64" i="1"/>
  <c r="AI63" i="1"/>
  <c r="AI77" i="1"/>
  <c r="AI115" i="1"/>
  <c r="AI31" i="1"/>
  <c r="AI41" i="1"/>
  <c r="AI191" i="1"/>
  <c r="AI85" i="1"/>
  <c r="AI62" i="1"/>
  <c r="AI36" i="1"/>
  <c r="AI32" i="1"/>
  <c r="AI34" i="1"/>
  <c r="AI93" i="1"/>
  <c r="AI117" i="1"/>
  <c r="AI154" i="1"/>
  <c r="AI107" i="1"/>
  <c r="AI98" i="1"/>
  <c r="AI138" i="1"/>
  <c r="AI75" i="1"/>
  <c r="AI122" i="1"/>
  <c r="AI84" i="1"/>
  <c r="AI116" i="1"/>
  <c r="AI186" i="1"/>
  <c r="AI89" i="1"/>
  <c r="AI70" i="1"/>
  <c r="AI61" i="1"/>
  <c r="AI74" i="1"/>
  <c r="AI88" i="1"/>
  <c r="AI73" i="1"/>
  <c r="AI111" i="1"/>
  <c r="AI87" i="1"/>
  <c r="AI82" i="1"/>
  <c r="AI53" i="1"/>
  <c r="AI175" i="1"/>
  <c r="AI55" i="1"/>
  <c r="AI51" i="1"/>
  <c r="AI157" i="1"/>
  <c r="AI158" i="1"/>
  <c r="AI83" i="1"/>
  <c r="AI91" i="1"/>
  <c r="AI105" i="1"/>
  <c r="AI103" i="1"/>
  <c r="AI188" i="1"/>
  <c r="AI163" i="1"/>
  <c r="AI101" i="1"/>
  <c r="AI65" i="1"/>
  <c r="AI60" i="1"/>
  <c r="AI80" i="1"/>
  <c r="AI56" i="1"/>
  <c r="AI57" i="1"/>
  <c r="AI25" i="1"/>
  <c r="AI104" i="1"/>
  <c r="AI66" i="1"/>
  <c r="AI58" i="1"/>
  <c r="AI155" i="1"/>
  <c r="AI156" i="1"/>
  <c r="AI134" i="1"/>
  <c r="AI92" i="1"/>
  <c r="AI67" i="1"/>
  <c r="AI126" i="1"/>
  <c r="AI145" i="1"/>
  <c r="AI135" i="1"/>
  <c r="AI159" i="1"/>
  <c r="AI76" i="1"/>
  <c r="AI114" i="1"/>
  <c r="AI161" i="1"/>
  <c r="AI160" i="1"/>
  <c r="AI95" i="1"/>
  <c r="AI120" i="1"/>
  <c r="AI42" i="1"/>
  <c r="AI183" i="1"/>
  <c r="AI112" i="1"/>
  <c r="AI148" i="1"/>
  <c r="AI179" i="1"/>
  <c r="AI128" i="1"/>
  <c r="AI144" i="1"/>
  <c r="AI110" i="1"/>
  <c r="AI81" i="1"/>
  <c r="AI100" i="1"/>
  <c r="AI123" i="1"/>
  <c r="AI86" i="1"/>
  <c r="AI174" i="1"/>
  <c r="AI201" i="1"/>
  <c r="AI90" i="1"/>
  <c r="AI102" i="1"/>
  <c r="AI94" i="1"/>
  <c r="AI119" i="1"/>
  <c r="AI141" i="1"/>
  <c r="AI147" i="1"/>
  <c r="AI165" i="1"/>
  <c r="AI132" i="1"/>
  <c r="AI189" i="1"/>
  <c r="AI133" i="1"/>
  <c r="AI206" i="1"/>
  <c r="AI78" i="1"/>
  <c r="AI143" i="1"/>
  <c r="AI150" i="1"/>
  <c r="AI130" i="1"/>
  <c r="AI96" i="1"/>
  <c r="AI182" i="1"/>
  <c r="AI195" i="1"/>
  <c r="AI178" i="1"/>
  <c r="AI181" i="1"/>
  <c r="AI194" i="1"/>
  <c r="AI208" i="1"/>
  <c r="AI129" i="1"/>
  <c r="AI180" i="1"/>
  <c r="AI140" i="1"/>
  <c r="AI125" i="1"/>
  <c r="AI131" i="1"/>
  <c r="AI173" i="1"/>
  <c r="AI184" i="1"/>
  <c r="AI190" i="1"/>
  <c r="AI142" i="1"/>
  <c r="AI69" i="1"/>
  <c r="AI151" i="1"/>
  <c r="AI193" i="1"/>
  <c r="AI169" i="1"/>
  <c r="AI166" i="1"/>
  <c r="AI97" i="1"/>
  <c r="AI79" i="1"/>
  <c r="AI146" i="1"/>
  <c r="AI204" i="1"/>
  <c r="AI113" i="1"/>
  <c r="AI172" i="1"/>
  <c r="AI171" i="1"/>
  <c r="AI185" i="1"/>
  <c r="AI137" i="1"/>
  <c r="AI205" i="1"/>
  <c r="AI177" i="1"/>
  <c r="AI199" i="1"/>
  <c r="AI106" i="1"/>
  <c r="AI203" i="1"/>
  <c r="AI124" i="1"/>
  <c r="AI170" i="1"/>
  <c r="AI152" i="1"/>
  <c r="AI118" i="1"/>
  <c r="AI198" i="1"/>
  <c r="AI200" i="1"/>
  <c r="AI136" i="1"/>
  <c r="AI108" i="1"/>
  <c r="AI149" i="1"/>
  <c r="AI187" i="1"/>
  <c r="AI168" i="1"/>
  <c r="AI162" i="1"/>
  <c r="AI139" i="1"/>
  <c r="AI196" i="1"/>
  <c r="AI153" i="1"/>
  <c r="AI197" i="1"/>
  <c r="AI176" i="1"/>
  <c r="AI202" i="1"/>
  <c r="AI167" i="1"/>
  <c r="AI207" i="1"/>
  <c r="AI192" i="1"/>
  <c r="AH3" i="1"/>
  <c r="AH2" i="1"/>
  <c r="AH43" i="1"/>
  <c r="AH71" i="1"/>
  <c r="AH7" i="1"/>
  <c r="AH164" i="1"/>
  <c r="AH4" i="1"/>
  <c r="AH99" i="1"/>
  <c r="AH6" i="1"/>
  <c r="AH8" i="1"/>
  <c r="AH10" i="1"/>
  <c r="AH9" i="1"/>
  <c r="AH127" i="1"/>
  <c r="AH11" i="1"/>
  <c r="AH44" i="1"/>
  <c r="AH39" i="1"/>
  <c r="AH45" i="1"/>
  <c r="AH16" i="1"/>
  <c r="AH12" i="1"/>
  <c r="AH48" i="1"/>
  <c r="AH54" i="1"/>
  <c r="AH47" i="1"/>
  <c r="AH20" i="1"/>
  <c r="AH50" i="1"/>
  <c r="AH22" i="1"/>
  <c r="AH49" i="1"/>
  <c r="AH13" i="1"/>
  <c r="AH26" i="1"/>
  <c r="AH52" i="1"/>
  <c r="AH46" i="1"/>
  <c r="AH72" i="1"/>
  <c r="AH5" i="1"/>
  <c r="AH18" i="1"/>
  <c r="AH23" i="1"/>
  <c r="AH15" i="1"/>
  <c r="AH14" i="1"/>
  <c r="AH59" i="1"/>
  <c r="AH38" i="1"/>
  <c r="AH21" i="1"/>
  <c r="AH27" i="1"/>
  <c r="AH17" i="1"/>
  <c r="AH68" i="1"/>
  <c r="AH121" i="1"/>
  <c r="AH24" i="1"/>
  <c r="AH30" i="1"/>
  <c r="AH40" i="1"/>
  <c r="AH35" i="1"/>
  <c r="AH29" i="1"/>
  <c r="AH37" i="1"/>
  <c r="AH28" i="1"/>
  <c r="AH19" i="1"/>
  <c r="AH33" i="1"/>
  <c r="AH109" i="1"/>
  <c r="AH64" i="1"/>
  <c r="AH63" i="1"/>
  <c r="AH77" i="1"/>
  <c r="AH115" i="1"/>
  <c r="AH31" i="1"/>
  <c r="AH41" i="1"/>
  <c r="AH191" i="1"/>
  <c r="AH85" i="1"/>
  <c r="AH62" i="1"/>
  <c r="AH36" i="1"/>
  <c r="AH32" i="1"/>
  <c r="AH34" i="1"/>
  <c r="AH93" i="1"/>
  <c r="AH117" i="1"/>
  <c r="AH154" i="1"/>
  <c r="AH107" i="1"/>
  <c r="AH98" i="1"/>
  <c r="AH138" i="1"/>
  <c r="AH75" i="1"/>
  <c r="AH122" i="1"/>
  <c r="AH84" i="1"/>
  <c r="AH116" i="1"/>
  <c r="AH186" i="1"/>
  <c r="AH89" i="1"/>
  <c r="AH70" i="1"/>
  <c r="AH61" i="1"/>
  <c r="AH74" i="1"/>
  <c r="AH88" i="1"/>
  <c r="AH73" i="1"/>
  <c r="AH111" i="1"/>
  <c r="AH87" i="1"/>
  <c r="AH82" i="1"/>
  <c r="AH53" i="1"/>
  <c r="AH175" i="1"/>
  <c r="AH55" i="1"/>
  <c r="AH51" i="1"/>
  <c r="AH157" i="1"/>
  <c r="AH158" i="1"/>
  <c r="AH83" i="1"/>
  <c r="AH91" i="1"/>
  <c r="AH105" i="1"/>
  <c r="AH103" i="1"/>
  <c r="AH188" i="1"/>
  <c r="AH163" i="1"/>
  <c r="AH101" i="1"/>
  <c r="AH65" i="1"/>
  <c r="AH60" i="1"/>
  <c r="AH80" i="1"/>
  <c r="AH56" i="1"/>
  <c r="AH57" i="1"/>
  <c r="AH25" i="1"/>
  <c r="AH104" i="1"/>
  <c r="AH66" i="1"/>
  <c r="AH58" i="1"/>
  <c r="AH155" i="1"/>
  <c r="AH156" i="1"/>
  <c r="AH134" i="1"/>
  <c r="AH92" i="1"/>
  <c r="AH67" i="1"/>
  <c r="AH126" i="1"/>
  <c r="AH145" i="1"/>
  <c r="AH135" i="1"/>
  <c r="AH159" i="1"/>
  <c r="AH76" i="1"/>
  <c r="AH114" i="1"/>
  <c r="AH161" i="1"/>
  <c r="AH160" i="1"/>
  <c r="AH95" i="1"/>
  <c r="AH120" i="1"/>
  <c r="AH42" i="1"/>
  <c r="AH183" i="1"/>
  <c r="AH112" i="1"/>
  <c r="AH148" i="1"/>
  <c r="AH179" i="1"/>
  <c r="AH128" i="1"/>
  <c r="AH144" i="1"/>
  <c r="AH110" i="1"/>
  <c r="AH81" i="1"/>
  <c r="AH100" i="1"/>
  <c r="AH123" i="1"/>
  <c r="AH86" i="1"/>
  <c r="AH174" i="1"/>
  <c r="AH201" i="1"/>
  <c r="AH90" i="1"/>
  <c r="AH102" i="1"/>
  <c r="AH94" i="1"/>
  <c r="AH119" i="1"/>
  <c r="AH141" i="1"/>
  <c r="AH147" i="1"/>
  <c r="AH165" i="1"/>
  <c r="AH132" i="1"/>
  <c r="AH189" i="1"/>
  <c r="AH133" i="1"/>
  <c r="AH206" i="1"/>
  <c r="AH78" i="1"/>
  <c r="AH143" i="1"/>
  <c r="AH150" i="1"/>
  <c r="AH130" i="1"/>
  <c r="AH96" i="1"/>
  <c r="AH182" i="1"/>
  <c r="AH195" i="1"/>
  <c r="AH178" i="1"/>
  <c r="AH181" i="1"/>
  <c r="AH194" i="1"/>
  <c r="AH208" i="1"/>
  <c r="AH129" i="1"/>
  <c r="AH180" i="1"/>
  <c r="AH140" i="1"/>
  <c r="AH125" i="1"/>
  <c r="AH131" i="1"/>
  <c r="AH173" i="1"/>
  <c r="AH184" i="1"/>
  <c r="AH190" i="1"/>
  <c r="AH142" i="1"/>
  <c r="AH69" i="1"/>
  <c r="AH151" i="1"/>
  <c r="AH193" i="1"/>
  <c r="AH169" i="1"/>
  <c r="AH166" i="1"/>
  <c r="AH97" i="1"/>
  <c r="AH79" i="1"/>
  <c r="AH146" i="1"/>
  <c r="AH204" i="1"/>
  <c r="AH113" i="1"/>
  <c r="AH172" i="1"/>
  <c r="AH171" i="1"/>
  <c r="AH185" i="1"/>
  <c r="AH137" i="1"/>
  <c r="AH205" i="1"/>
  <c r="AH177" i="1"/>
  <c r="AH199" i="1"/>
  <c r="AH106" i="1"/>
  <c r="AH203" i="1"/>
  <c r="AH124" i="1"/>
  <c r="AH170" i="1"/>
  <c r="AH152" i="1"/>
  <c r="AH118" i="1"/>
  <c r="AH198" i="1"/>
  <c r="AH200" i="1"/>
  <c r="AH136" i="1"/>
  <c r="AH108" i="1"/>
  <c r="AH149" i="1"/>
  <c r="AH187" i="1"/>
  <c r="AH168" i="1"/>
  <c r="AH162" i="1"/>
  <c r="AH139" i="1"/>
  <c r="AH196" i="1"/>
  <c r="AH153" i="1"/>
  <c r="AH197" i="1"/>
  <c r="AH176" i="1"/>
  <c r="AH202" i="1"/>
  <c r="AH167" i="1"/>
  <c r="AH207" i="1"/>
  <c r="AH192" i="1"/>
  <c r="AG3" i="1"/>
  <c r="AG2" i="1"/>
  <c r="AG43" i="1"/>
  <c r="AG71" i="1"/>
  <c r="AG7" i="1"/>
  <c r="AG164" i="1"/>
  <c r="AG4" i="1"/>
  <c r="AG99" i="1"/>
  <c r="AG6" i="1"/>
  <c r="AG8" i="1"/>
  <c r="AG10" i="1"/>
  <c r="AG9" i="1"/>
  <c r="AG127" i="1"/>
  <c r="AG11" i="1"/>
  <c r="AG44" i="1"/>
  <c r="AG39" i="1"/>
  <c r="AG45" i="1"/>
  <c r="AG16" i="1"/>
  <c r="AG12" i="1"/>
  <c r="AG48" i="1"/>
  <c r="AG54" i="1"/>
  <c r="AG47" i="1"/>
  <c r="AG20" i="1"/>
  <c r="AG50" i="1"/>
  <c r="AG22" i="1"/>
  <c r="AG49" i="1"/>
  <c r="AG13" i="1"/>
  <c r="AG26" i="1"/>
  <c r="AG52" i="1"/>
  <c r="AG46" i="1"/>
  <c r="AG72" i="1"/>
  <c r="AG5" i="1"/>
  <c r="AG18" i="1"/>
  <c r="AG23" i="1"/>
  <c r="AG15" i="1"/>
  <c r="AG14" i="1"/>
  <c r="AG59" i="1"/>
  <c r="AG38" i="1"/>
  <c r="AG21" i="1"/>
  <c r="AG27" i="1"/>
  <c r="AG17" i="1"/>
  <c r="AG68" i="1"/>
  <c r="AG121" i="1"/>
  <c r="AG24" i="1"/>
  <c r="AG30" i="1"/>
  <c r="AG40" i="1"/>
  <c r="AG35" i="1"/>
  <c r="AG29" i="1"/>
  <c r="AG37" i="1"/>
  <c r="AG28" i="1"/>
  <c r="AG19" i="1"/>
  <c r="AG33" i="1"/>
  <c r="AG109" i="1"/>
  <c r="AG64" i="1"/>
  <c r="AG63" i="1"/>
  <c r="AG77" i="1"/>
  <c r="AG115" i="1"/>
  <c r="AG31" i="1"/>
  <c r="AG41" i="1"/>
  <c r="AG191" i="1"/>
  <c r="AG85" i="1"/>
  <c r="AG62" i="1"/>
  <c r="AG36" i="1"/>
  <c r="AG32" i="1"/>
  <c r="AG34" i="1"/>
  <c r="AG93" i="1"/>
  <c r="AG117" i="1"/>
  <c r="AG154" i="1"/>
  <c r="AG107" i="1"/>
  <c r="AG98" i="1"/>
  <c r="AG138" i="1"/>
  <c r="AG75" i="1"/>
  <c r="AG122" i="1"/>
  <c r="AG84" i="1"/>
  <c r="AG116" i="1"/>
  <c r="AG186" i="1"/>
  <c r="AG89" i="1"/>
  <c r="AG70" i="1"/>
  <c r="AG61" i="1"/>
  <c r="AG74" i="1"/>
  <c r="AG88" i="1"/>
  <c r="AG73" i="1"/>
  <c r="AG111" i="1"/>
  <c r="AG87" i="1"/>
  <c r="AG82" i="1"/>
  <c r="AG53" i="1"/>
  <c r="AG175" i="1"/>
  <c r="AG55" i="1"/>
  <c r="AG51" i="1"/>
  <c r="AG157" i="1"/>
  <c r="AG158" i="1"/>
  <c r="AG83" i="1"/>
  <c r="AG91" i="1"/>
  <c r="AG105" i="1"/>
  <c r="AG103" i="1"/>
  <c r="AG188" i="1"/>
  <c r="AG163" i="1"/>
  <c r="AG101" i="1"/>
  <c r="AG65" i="1"/>
  <c r="AG60" i="1"/>
  <c r="AG80" i="1"/>
  <c r="AG56" i="1"/>
  <c r="AG57" i="1"/>
  <c r="AG25" i="1"/>
  <c r="AG104" i="1"/>
  <c r="AG66" i="1"/>
  <c r="AG58" i="1"/>
  <c r="AG155" i="1"/>
  <c r="AG156" i="1"/>
  <c r="AG134" i="1"/>
  <c r="AG92" i="1"/>
  <c r="AG67" i="1"/>
  <c r="AG126" i="1"/>
  <c r="AG145" i="1"/>
  <c r="AG135" i="1"/>
  <c r="AG159" i="1"/>
  <c r="AG76" i="1"/>
  <c r="AG114" i="1"/>
  <c r="AG161" i="1"/>
  <c r="AG160" i="1"/>
  <c r="AG95" i="1"/>
  <c r="AG120" i="1"/>
  <c r="AG42" i="1"/>
  <c r="AG183" i="1"/>
  <c r="AG112" i="1"/>
  <c r="AG148" i="1"/>
  <c r="AG179" i="1"/>
  <c r="AG128" i="1"/>
  <c r="AG144" i="1"/>
  <c r="AG110" i="1"/>
  <c r="AG81" i="1"/>
  <c r="AG100" i="1"/>
  <c r="AG123" i="1"/>
  <c r="AG86" i="1"/>
  <c r="AG174" i="1"/>
  <c r="AG201" i="1"/>
  <c r="AG90" i="1"/>
  <c r="AG102" i="1"/>
  <c r="AG94" i="1"/>
  <c r="AG119" i="1"/>
  <c r="AG141" i="1"/>
  <c r="AG147" i="1"/>
  <c r="AG165" i="1"/>
  <c r="AG132" i="1"/>
  <c r="AG189" i="1"/>
  <c r="AG133" i="1"/>
  <c r="AG206" i="1"/>
  <c r="AG78" i="1"/>
  <c r="AG143" i="1"/>
  <c r="AG150" i="1"/>
  <c r="AG130" i="1"/>
  <c r="AG96" i="1"/>
  <c r="AG182" i="1"/>
  <c r="AG195" i="1"/>
  <c r="AG178" i="1"/>
  <c r="AG181" i="1"/>
  <c r="AG194" i="1"/>
  <c r="AG208" i="1"/>
  <c r="AG129" i="1"/>
  <c r="AG180" i="1"/>
  <c r="AG140" i="1"/>
  <c r="AG125" i="1"/>
  <c r="AG131" i="1"/>
  <c r="AG173" i="1"/>
  <c r="AG184" i="1"/>
  <c r="AG190" i="1"/>
  <c r="AG142" i="1"/>
  <c r="AG69" i="1"/>
  <c r="AG151" i="1"/>
  <c r="AG193" i="1"/>
  <c r="AG169" i="1"/>
  <c r="AG166" i="1"/>
  <c r="AG97" i="1"/>
  <c r="AG79" i="1"/>
  <c r="AG146" i="1"/>
  <c r="AG204" i="1"/>
  <c r="AG113" i="1"/>
  <c r="AG172" i="1"/>
  <c r="AG171" i="1"/>
  <c r="AG185" i="1"/>
  <c r="AG137" i="1"/>
  <c r="AG205" i="1"/>
  <c r="AG177" i="1"/>
  <c r="AG199" i="1"/>
  <c r="AG106" i="1"/>
  <c r="AG203" i="1"/>
  <c r="AG124" i="1"/>
  <c r="AG170" i="1"/>
  <c r="AG152" i="1"/>
  <c r="AG118" i="1"/>
  <c r="AG198" i="1"/>
  <c r="AG200" i="1"/>
  <c r="AG136" i="1"/>
  <c r="AG108" i="1"/>
  <c r="AG149" i="1"/>
  <c r="AG187" i="1"/>
  <c r="AG168" i="1"/>
  <c r="AG162" i="1"/>
  <c r="AG139" i="1"/>
  <c r="AG196" i="1"/>
  <c r="AG153" i="1"/>
  <c r="AG197" i="1"/>
  <c r="AG176" i="1"/>
  <c r="AG202" i="1"/>
  <c r="AG167" i="1"/>
  <c r="AG207" i="1"/>
  <c r="AG192" i="1"/>
  <c r="AF3" i="1"/>
  <c r="AF2" i="1"/>
  <c r="AF43" i="1"/>
  <c r="AF71" i="1"/>
  <c r="AF7" i="1"/>
  <c r="AF164" i="1"/>
  <c r="AF4" i="1"/>
  <c r="AF99" i="1"/>
  <c r="AF6" i="1"/>
  <c r="AF8" i="1"/>
  <c r="AF10" i="1"/>
  <c r="AF9" i="1"/>
  <c r="AF127" i="1"/>
  <c r="AF11" i="1"/>
  <c r="AF44" i="1"/>
  <c r="AF39" i="1"/>
  <c r="AF45" i="1"/>
  <c r="AF16" i="1"/>
  <c r="AF12" i="1"/>
  <c r="AF48" i="1"/>
  <c r="AF54" i="1"/>
  <c r="AF47" i="1"/>
  <c r="AF20" i="1"/>
  <c r="AF50" i="1"/>
  <c r="AF22" i="1"/>
  <c r="AF49" i="1"/>
  <c r="AF13" i="1"/>
  <c r="AF26" i="1"/>
  <c r="AF52" i="1"/>
  <c r="AF46" i="1"/>
  <c r="AF72" i="1"/>
  <c r="AF5" i="1"/>
  <c r="AF18" i="1"/>
  <c r="AF23" i="1"/>
  <c r="AF15" i="1"/>
  <c r="AF14" i="1"/>
  <c r="AF59" i="1"/>
  <c r="AF38" i="1"/>
  <c r="AF21" i="1"/>
  <c r="AF27" i="1"/>
  <c r="AF17" i="1"/>
  <c r="AF68" i="1"/>
  <c r="AF121" i="1"/>
  <c r="AF24" i="1"/>
  <c r="AF30" i="1"/>
  <c r="AF40" i="1"/>
  <c r="AF35" i="1"/>
  <c r="AF29" i="1"/>
  <c r="AF37" i="1"/>
  <c r="AF28" i="1"/>
  <c r="AF19" i="1"/>
  <c r="AF33" i="1"/>
  <c r="AF109" i="1"/>
  <c r="AF64" i="1"/>
  <c r="AF63" i="1"/>
  <c r="AF77" i="1"/>
  <c r="AF115" i="1"/>
  <c r="AF31" i="1"/>
  <c r="AF41" i="1"/>
  <c r="AF191" i="1"/>
  <c r="AF85" i="1"/>
  <c r="AF62" i="1"/>
  <c r="AF36" i="1"/>
  <c r="AF32" i="1"/>
  <c r="AF34" i="1"/>
  <c r="AF93" i="1"/>
  <c r="AF117" i="1"/>
  <c r="AF154" i="1"/>
  <c r="AF107" i="1"/>
  <c r="AF98" i="1"/>
  <c r="AF138" i="1"/>
  <c r="AF75" i="1"/>
  <c r="AF122" i="1"/>
  <c r="AF84" i="1"/>
  <c r="AF116" i="1"/>
  <c r="AF186" i="1"/>
  <c r="AF89" i="1"/>
  <c r="AF70" i="1"/>
  <c r="AF61" i="1"/>
  <c r="AF74" i="1"/>
  <c r="AF88" i="1"/>
  <c r="AF73" i="1"/>
  <c r="AF111" i="1"/>
  <c r="AF87" i="1"/>
  <c r="AF82" i="1"/>
  <c r="AF53" i="1"/>
  <c r="AF175" i="1"/>
  <c r="AF55" i="1"/>
  <c r="AF51" i="1"/>
  <c r="AF157" i="1"/>
  <c r="AF158" i="1"/>
  <c r="AF83" i="1"/>
  <c r="AF91" i="1"/>
  <c r="AF105" i="1"/>
  <c r="AF103" i="1"/>
  <c r="AF188" i="1"/>
  <c r="AF163" i="1"/>
  <c r="AF101" i="1"/>
  <c r="AF65" i="1"/>
  <c r="AF60" i="1"/>
  <c r="AF80" i="1"/>
  <c r="AF56" i="1"/>
  <c r="AF57" i="1"/>
  <c r="AF25" i="1"/>
  <c r="AF104" i="1"/>
  <c r="AF66" i="1"/>
  <c r="AF58" i="1"/>
  <c r="AF155" i="1"/>
  <c r="AF156" i="1"/>
  <c r="AF134" i="1"/>
  <c r="AF92" i="1"/>
  <c r="AF67" i="1"/>
  <c r="AF126" i="1"/>
  <c r="AF145" i="1"/>
  <c r="AF135" i="1"/>
  <c r="AF159" i="1"/>
  <c r="AF76" i="1"/>
  <c r="AF114" i="1"/>
  <c r="AF161" i="1"/>
  <c r="AF160" i="1"/>
  <c r="AF95" i="1"/>
  <c r="AF120" i="1"/>
  <c r="AF42" i="1"/>
  <c r="AF183" i="1"/>
  <c r="AF112" i="1"/>
  <c r="AF148" i="1"/>
  <c r="AF179" i="1"/>
  <c r="AF128" i="1"/>
  <c r="AF144" i="1"/>
  <c r="AF110" i="1"/>
  <c r="AF81" i="1"/>
  <c r="AF100" i="1"/>
  <c r="AF123" i="1"/>
  <c r="AF86" i="1"/>
  <c r="AF174" i="1"/>
  <c r="AF201" i="1"/>
  <c r="AF90" i="1"/>
  <c r="AF102" i="1"/>
  <c r="AF94" i="1"/>
  <c r="AF119" i="1"/>
  <c r="AF141" i="1"/>
  <c r="AF147" i="1"/>
  <c r="AF165" i="1"/>
  <c r="AF132" i="1"/>
  <c r="AF189" i="1"/>
  <c r="AF133" i="1"/>
  <c r="AF206" i="1"/>
  <c r="AF78" i="1"/>
  <c r="AF143" i="1"/>
  <c r="AF150" i="1"/>
  <c r="AF130" i="1"/>
  <c r="AF96" i="1"/>
  <c r="AF182" i="1"/>
  <c r="AF195" i="1"/>
  <c r="AF178" i="1"/>
  <c r="AF181" i="1"/>
  <c r="AF194" i="1"/>
  <c r="AF208" i="1"/>
  <c r="AF129" i="1"/>
  <c r="AF180" i="1"/>
  <c r="AF140" i="1"/>
  <c r="AF125" i="1"/>
  <c r="AF131" i="1"/>
  <c r="AF173" i="1"/>
  <c r="AF184" i="1"/>
  <c r="AF190" i="1"/>
  <c r="AF142" i="1"/>
  <c r="AF69" i="1"/>
  <c r="AF151" i="1"/>
  <c r="AF193" i="1"/>
  <c r="AF169" i="1"/>
  <c r="AF166" i="1"/>
  <c r="AF97" i="1"/>
  <c r="AF79" i="1"/>
  <c r="AF146" i="1"/>
  <c r="AF204" i="1"/>
  <c r="AF113" i="1"/>
  <c r="AF172" i="1"/>
  <c r="AF171" i="1"/>
  <c r="AF185" i="1"/>
  <c r="AF137" i="1"/>
  <c r="AF205" i="1"/>
  <c r="AF177" i="1"/>
  <c r="AF199" i="1"/>
  <c r="AF106" i="1"/>
  <c r="AF203" i="1"/>
  <c r="AF124" i="1"/>
  <c r="AF170" i="1"/>
  <c r="AF152" i="1"/>
  <c r="AF118" i="1"/>
  <c r="AF198" i="1"/>
  <c r="AF200" i="1"/>
  <c r="AF136" i="1"/>
  <c r="AF108" i="1"/>
  <c r="AF149" i="1"/>
  <c r="AF187" i="1"/>
  <c r="AF168" i="1"/>
  <c r="AF162" i="1"/>
  <c r="AF139" i="1"/>
  <c r="AF196" i="1"/>
  <c r="AF153" i="1"/>
  <c r="AF197" i="1"/>
  <c r="AF176" i="1"/>
  <c r="AF202" i="1"/>
  <c r="AF167" i="1"/>
  <c r="AF207" i="1"/>
  <c r="AF192" i="1"/>
  <c r="AE3" i="1"/>
  <c r="AE2" i="1"/>
  <c r="AE43" i="1"/>
  <c r="AE71" i="1"/>
  <c r="AE7" i="1"/>
  <c r="AE164" i="1"/>
  <c r="AE4" i="1"/>
  <c r="AE99" i="1"/>
  <c r="AE6" i="1"/>
  <c r="AE8" i="1"/>
  <c r="AE10" i="1"/>
  <c r="AE9" i="1"/>
  <c r="AE127" i="1"/>
  <c r="AE11" i="1"/>
  <c r="AE44" i="1"/>
  <c r="AE39" i="1"/>
  <c r="AE45" i="1"/>
  <c r="AE16" i="1"/>
  <c r="AE12" i="1"/>
  <c r="AE48" i="1"/>
  <c r="AE54" i="1"/>
  <c r="AE47" i="1"/>
  <c r="AE20" i="1"/>
  <c r="AE50" i="1"/>
  <c r="AE22" i="1"/>
  <c r="AE49" i="1"/>
  <c r="AE13" i="1"/>
  <c r="AE26" i="1"/>
  <c r="AE52" i="1"/>
  <c r="AE46" i="1"/>
  <c r="AE72" i="1"/>
  <c r="AE5" i="1"/>
  <c r="AE18" i="1"/>
  <c r="AE23" i="1"/>
  <c r="AE15" i="1"/>
  <c r="AE14" i="1"/>
  <c r="AE59" i="1"/>
  <c r="AE38" i="1"/>
  <c r="AE21" i="1"/>
  <c r="AE27" i="1"/>
  <c r="AE17" i="1"/>
  <c r="AE68" i="1"/>
  <c r="AE121" i="1"/>
  <c r="AE24" i="1"/>
  <c r="AE30" i="1"/>
  <c r="AE40" i="1"/>
  <c r="AE35" i="1"/>
  <c r="AE29" i="1"/>
  <c r="AE37" i="1"/>
  <c r="AE28" i="1"/>
  <c r="AE19" i="1"/>
  <c r="AE33" i="1"/>
  <c r="AE109" i="1"/>
  <c r="AE64" i="1"/>
  <c r="AE63" i="1"/>
  <c r="AE77" i="1"/>
  <c r="AE115" i="1"/>
  <c r="AE31" i="1"/>
  <c r="AE41" i="1"/>
  <c r="AE191" i="1"/>
  <c r="AE85" i="1"/>
  <c r="AE62" i="1"/>
  <c r="AE36" i="1"/>
  <c r="AE32" i="1"/>
  <c r="AE34" i="1"/>
  <c r="AE93" i="1"/>
  <c r="AE117" i="1"/>
  <c r="AE154" i="1"/>
  <c r="AE107" i="1"/>
  <c r="AE98" i="1"/>
  <c r="AE138" i="1"/>
  <c r="AE75" i="1"/>
  <c r="AE122" i="1"/>
  <c r="AE84" i="1"/>
  <c r="AE116" i="1"/>
  <c r="AE186" i="1"/>
  <c r="AE89" i="1"/>
  <c r="AE70" i="1"/>
  <c r="AE61" i="1"/>
  <c r="AE74" i="1"/>
  <c r="AE88" i="1"/>
  <c r="AE73" i="1"/>
  <c r="AE111" i="1"/>
  <c r="AE87" i="1"/>
  <c r="AE82" i="1"/>
  <c r="AE53" i="1"/>
  <c r="AE175" i="1"/>
  <c r="AE55" i="1"/>
  <c r="AE51" i="1"/>
  <c r="AE157" i="1"/>
  <c r="AE158" i="1"/>
  <c r="AE83" i="1"/>
  <c r="AE91" i="1"/>
  <c r="AE105" i="1"/>
  <c r="AE103" i="1"/>
  <c r="AE188" i="1"/>
  <c r="AE163" i="1"/>
  <c r="AE101" i="1"/>
  <c r="AE65" i="1"/>
  <c r="AE60" i="1"/>
  <c r="AE80" i="1"/>
  <c r="AE56" i="1"/>
  <c r="AE57" i="1"/>
  <c r="AE25" i="1"/>
  <c r="AE104" i="1"/>
  <c r="AE66" i="1"/>
  <c r="AE58" i="1"/>
  <c r="AE155" i="1"/>
  <c r="AE156" i="1"/>
  <c r="AE134" i="1"/>
  <c r="AE92" i="1"/>
  <c r="AE67" i="1"/>
  <c r="AE126" i="1"/>
  <c r="AE145" i="1"/>
  <c r="AE135" i="1"/>
  <c r="AE159" i="1"/>
  <c r="AE76" i="1"/>
  <c r="AE114" i="1"/>
  <c r="AE161" i="1"/>
  <c r="AE160" i="1"/>
  <c r="AE95" i="1"/>
  <c r="AE120" i="1"/>
  <c r="AE42" i="1"/>
  <c r="AE183" i="1"/>
  <c r="AE112" i="1"/>
  <c r="AE148" i="1"/>
  <c r="AE179" i="1"/>
  <c r="AE128" i="1"/>
  <c r="AE144" i="1"/>
  <c r="AE110" i="1"/>
  <c r="AE81" i="1"/>
  <c r="AE100" i="1"/>
  <c r="AE123" i="1"/>
  <c r="AE86" i="1"/>
  <c r="AE174" i="1"/>
  <c r="AE201" i="1"/>
  <c r="AE90" i="1"/>
  <c r="AE102" i="1"/>
  <c r="AE94" i="1"/>
  <c r="AE119" i="1"/>
  <c r="AE141" i="1"/>
  <c r="AE147" i="1"/>
  <c r="AE165" i="1"/>
  <c r="AE132" i="1"/>
  <c r="AE189" i="1"/>
  <c r="AE133" i="1"/>
  <c r="AE206" i="1"/>
  <c r="AE78" i="1"/>
  <c r="AE143" i="1"/>
  <c r="AE150" i="1"/>
  <c r="AE130" i="1"/>
  <c r="AE96" i="1"/>
  <c r="AE182" i="1"/>
  <c r="AE195" i="1"/>
  <c r="AE178" i="1"/>
  <c r="AE181" i="1"/>
  <c r="AE194" i="1"/>
  <c r="AE208" i="1"/>
  <c r="AE129" i="1"/>
  <c r="AE180" i="1"/>
  <c r="AE140" i="1"/>
  <c r="AE125" i="1"/>
  <c r="AE131" i="1"/>
  <c r="AE173" i="1"/>
  <c r="AE184" i="1"/>
  <c r="AE190" i="1"/>
  <c r="AE142" i="1"/>
  <c r="AE69" i="1"/>
  <c r="AE151" i="1"/>
  <c r="AE193" i="1"/>
  <c r="AE169" i="1"/>
  <c r="AE166" i="1"/>
  <c r="AE97" i="1"/>
  <c r="AE79" i="1"/>
  <c r="AE146" i="1"/>
  <c r="AE204" i="1"/>
  <c r="AE113" i="1"/>
  <c r="AE172" i="1"/>
  <c r="AE171" i="1"/>
  <c r="AE185" i="1"/>
  <c r="AE137" i="1"/>
  <c r="AE205" i="1"/>
  <c r="AE177" i="1"/>
  <c r="AE199" i="1"/>
  <c r="AE106" i="1"/>
  <c r="AE203" i="1"/>
  <c r="AE124" i="1"/>
  <c r="AE170" i="1"/>
  <c r="AE152" i="1"/>
  <c r="AE118" i="1"/>
  <c r="AE198" i="1"/>
  <c r="AE200" i="1"/>
  <c r="AE136" i="1"/>
  <c r="AE108" i="1"/>
  <c r="AE149" i="1"/>
  <c r="AE187" i="1"/>
  <c r="AE168" i="1"/>
  <c r="AE162" i="1"/>
  <c r="AE139" i="1"/>
  <c r="AE196" i="1"/>
  <c r="AE153" i="1"/>
  <c r="AE197" i="1"/>
  <c r="AE176" i="1"/>
  <c r="AE202" i="1"/>
  <c r="AE167" i="1"/>
  <c r="AE207" i="1"/>
  <c r="AE192" i="1"/>
  <c r="AD3" i="1"/>
  <c r="AD2" i="1"/>
  <c r="AD43" i="1"/>
  <c r="AD71" i="1"/>
  <c r="AD7" i="1"/>
  <c r="AD164" i="1"/>
  <c r="AD4" i="1"/>
  <c r="AD99" i="1"/>
  <c r="AD6" i="1"/>
  <c r="AD8" i="1"/>
  <c r="AD10" i="1"/>
  <c r="AD9" i="1"/>
  <c r="AD127" i="1"/>
  <c r="AD11" i="1"/>
  <c r="AD44" i="1"/>
  <c r="AD39" i="1"/>
  <c r="AD45" i="1"/>
  <c r="AD16" i="1"/>
  <c r="AD12" i="1"/>
  <c r="AD48" i="1"/>
  <c r="AD54" i="1"/>
  <c r="AD47" i="1"/>
  <c r="AD20" i="1"/>
  <c r="AD50" i="1"/>
  <c r="AD22" i="1"/>
  <c r="AD49" i="1"/>
  <c r="AD13" i="1"/>
  <c r="AD26" i="1"/>
  <c r="AD52" i="1"/>
  <c r="AD46" i="1"/>
  <c r="AD72" i="1"/>
  <c r="AD5" i="1"/>
  <c r="AD18" i="1"/>
  <c r="AD23" i="1"/>
  <c r="AD15" i="1"/>
  <c r="AD14" i="1"/>
  <c r="AD59" i="1"/>
  <c r="AD38" i="1"/>
  <c r="AD21" i="1"/>
  <c r="AD27" i="1"/>
  <c r="AD17" i="1"/>
  <c r="AD68" i="1"/>
  <c r="AD121" i="1"/>
  <c r="AD24" i="1"/>
  <c r="AD30" i="1"/>
  <c r="AD40" i="1"/>
  <c r="AD35" i="1"/>
  <c r="AD29" i="1"/>
  <c r="AD37" i="1"/>
  <c r="AD28" i="1"/>
  <c r="AD19" i="1"/>
  <c r="AD33" i="1"/>
  <c r="AD109" i="1"/>
  <c r="AD64" i="1"/>
  <c r="AD63" i="1"/>
  <c r="AD77" i="1"/>
  <c r="AD115" i="1"/>
  <c r="AD31" i="1"/>
  <c r="AD41" i="1"/>
  <c r="AD191" i="1"/>
  <c r="AD85" i="1"/>
  <c r="AD62" i="1"/>
  <c r="AD36" i="1"/>
  <c r="AD32" i="1"/>
  <c r="AD34" i="1"/>
  <c r="AD93" i="1"/>
  <c r="AD117" i="1"/>
  <c r="AD154" i="1"/>
  <c r="AD107" i="1"/>
  <c r="AD98" i="1"/>
  <c r="AD138" i="1"/>
  <c r="AD75" i="1"/>
  <c r="AD122" i="1"/>
  <c r="AD84" i="1"/>
  <c r="AD116" i="1"/>
  <c r="AD186" i="1"/>
  <c r="AD89" i="1"/>
  <c r="AD70" i="1"/>
  <c r="AD61" i="1"/>
  <c r="AD74" i="1"/>
  <c r="AD88" i="1"/>
  <c r="AD73" i="1"/>
  <c r="AD111" i="1"/>
  <c r="AD87" i="1"/>
  <c r="AD82" i="1"/>
  <c r="AD53" i="1"/>
  <c r="AD175" i="1"/>
  <c r="AD55" i="1"/>
  <c r="AD51" i="1"/>
  <c r="AD157" i="1"/>
  <c r="AD158" i="1"/>
  <c r="AD83" i="1"/>
  <c r="AD91" i="1"/>
  <c r="AD105" i="1"/>
  <c r="AD103" i="1"/>
  <c r="AD188" i="1"/>
  <c r="AD163" i="1"/>
  <c r="AD101" i="1"/>
  <c r="AD65" i="1"/>
  <c r="AD60" i="1"/>
  <c r="AD80" i="1"/>
  <c r="AD56" i="1"/>
  <c r="AD57" i="1"/>
  <c r="AD25" i="1"/>
  <c r="AD104" i="1"/>
  <c r="AD66" i="1"/>
  <c r="AD58" i="1"/>
  <c r="AD155" i="1"/>
  <c r="AD156" i="1"/>
  <c r="AD134" i="1"/>
  <c r="AD92" i="1"/>
  <c r="AD67" i="1"/>
  <c r="AD126" i="1"/>
  <c r="AD145" i="1"/>
  <c r="AD135" i="1"/>
  <c r="AD159" i="1"/>
  <c r="AD76" i="1"/>
  <c r="AD114" i="1"/>
  <c r="AD161" i="1"/>
  <c r="AD160" i="1"/>
  <c r="AD95" i="1"/>
  <c r="AD120" i="1"/>
  <c r="AD42" i="1"/>
  <c r="AD183" i="1"/>
  <c r="AD112" i="1"/>
  <c r="AD148" i="1"/>
  <c r="AD179" i="1"/>
  <c r="AD128" i="1"/>
  <c r="AD144" i="1"/>
  <c r="AD110" i="1"/>
  <c r="AD81" i="1"/>
  <c r="AD100" i="1"/>
  <c r="AD123" i="1"/>
  <c r="AD86" i="1"/>
  <c r="AD174" i="1"/>
  <c r="AD201" i="1"/>
  <c r="AD90" i="1"/>
  <c r="AD102" i="1"/>
  <c r="AD94" i="1"/>
  <c r="AD119" i="1"/>
  <c r="AD141" i="1"/>
  <c r="AD147" i="1"/>
  <c r="AD165" i="1"/>
  <c r="AD132" i="1"/>
  <c r="AD189" i="1"/>
  <c r="AD133" i="1"/>
  <c r="AD206" i="1"/>
  <c r="AD78" i="1"/>
  <c r="AD143" i="1"/>
  <c r="AD150" i="1"/>
  <c r="AD130" i="1"/>
  <c r="AD96" i="1"/>
  <c r="AD182" i="1"/>
  <c r="AD195" i="1"/>
  <c r="AD178" i="1"/>
  <c r="AD181" i="1"/>
  <c r="AD194" i="1"/>
  <c r="AD208" i="1"/>
  <c r="AD129" i="1"/>
  <c r="AD180" i="1"/>
  <c r="AD140" i="1"/>
  <c r="AD125" i="1"/>
  <c r="AD131" i="1"/>
  <c r="AD173" i="1"/>
  <c r="AD184" i="1"/>
  <c r="AD190" i="1"/>
  <c r="AD142" i="1"/>
  <c r="AD69" i="1"/>
  <c r="AD151" i="1"/>
  <c r="AD193" i="1"/>
  <c r="AD169" i="1"/>
  <c r="AD166" i="1"/>
  <c r="AD97" i="1"/>
  <c r="AD79" i="1"/>
  <c r="AD146" i="1"/>
  <c r="AD204" i="1"/>
  <c r="AD113" i="1"/>
  <c r="AD172" i="1"/>
  <c r="AD171" i="1"/>
  <c r="AD185" i="1"/>
  <c r="AD137" i="1"/>
  <c r="AD205" i="1"/>
  <c r="AD177" i="1"/>
  <c r="AD199" i="1"/>
  <c r="AD106" i="1"/>
  <c r="AD203" i="1"/>
  <c r="AD124" i="1"/>
  <c r="AD170" i="1"/>
  <c r="AD152" i="1"/>
  <c r="AD118" i="1"/>
  <c r="AD198" i="1"/>
  <c r="AD200" i="1"/>
  <c r="AD136" i="1"/>
  <c r="AD108" i="1"/>
  <c r="AD149" i="1"/>
  <c r="AD187" i="1"/>
  <c r="AD168" i="1"/>
  <c r="AD162" i="1"/>
  <c r="AD139" i="1"/>
  <c r="AD196" i="1"/>
  <c r="AD153" i="1"/>
  <c r="AD197" i="1"/>
  <c r="AD176" i="1"/>
  <c r="AD202" i="1"/>
  <c r="AD167" i="1"/>
  <c r="AD207" i="1"/>
  <c r="AD192" i="1"/>
  <c r="AC3" i="1"/>
  <c r="AC2" i="1"/>
  <c r="AC43" i="1"/>
  <c r="AC71" i="1"/>
  <c r="AC7" i="1"/>
  <c r="AC164" i="1"/>
  <c r="AC4" i="1"/>
  <c r="AC99" i="1"/>
  <c r="AC6" i="1"/>
  <c r="AC8" i="1"/>
  <c r="AC10" i="1"/>
  <c r="AC9" i="1"/>
  <c r="AC127" i="1"/>
  <c r="AC11" i="1"/>
  <c r="AC44" i="1"/>
  <c r="AC39" i="1"/>
  <c r="AC45" i="1"/>
  <c r="AC16" i="1"/>
  <c r="AC12" i="1"/>
  <c r="AC48" i="1"/>
  <c r="AC54" i="1"/>
  <c r="AC47" i="1"/>
  <c r="AC20" i="1"/>
  <c r="AC50" i="1"/>
  <c r="AC22" i="1"/>
  <c r="AC49" i="1"/>
  <c r="AC13" i="1"/>
  <c r="AC26" i="1"/>
  <c r="AC52" i="1"/>
  <c r="AC46" i="1"/>
  <c r="AC72" i="1"/>
  <c r="AC5" i="1"/>
  <c r="AC18" i="1"/>
  <c r="AC23" i="1"/>
  <c r="AC15" i="1"/>
  <c r="AC14" i="1"/>
  <c r="AC59" i="1"/>
  <c r="AC38" i="1"/>
  <c r="AC21" i="1"/>
  <c r="AC27" i="1"/>
  <c r="AC17" i="1"/>
  <c r="AC68" i="1"/>
  <c r="AC121" i="1"/>
  <c r="AC24" i="1"/>
  <c r="AC30" i="1"/>
  <c r="AC40" i="1"/>
  <c r="AC35" i="1"/>
  <c r="AC29" i="1"/>
  <c r="AC37" i="1"/>
  <c r="AC28" i="1"/>
  <c r="AC19" i="1"/>
  <c r="AC33" i="1"/>
  <c r="AC109" i="1"/>
  <c r="AC64" i="1"/>
  <c r="AC63" i="1"/>
  <c r="AC77" i="1"/>
  <c r="AC115" i="1"/>
  <c r="AC31" i="1"/>
  <c r="AC41" i="1"/>
  <c r="AC191" i="1"/>
  <c r="AC85" i="1"/>
  <c r="AC62" i="1"/>
  <c r="AC36" i="1"/>
  <c r="AC32" i="1"/>
  <c r="AC34" i="1"/>
  <c r="AC93" i="1"/>
  <c r="AC117" i="1"/>
  <c r="AC154" i="1"/>
  <c r="AC107" i="1"/>
  <c r="AC98" i="1"/>
  <c r="AC138" i="1"/>
  <c r="AC75" i="1"/>
  <c r="AC122" i="1"/>
  <c r="AC84" i="1"/>
  <c r="AC116" i="1"/>
  <c r="AC186" i="1"/>
  <c r="AC89" i="1"/>
  <c r="AC70" i="1"/>
  <c r="AC61" i="1"/>
  <c r="AC74" i="1"/>
  <c r="AC88" i="1"/>
  <c r="AC73" i="1"/>
  <c r="AC111" i="1"/>
  <c r="AC87" i="1"/>
  <c r="AC82" i="1"/>
  <c r="AC53" i="1"/>
  <c r="AC175" i="1"/>
  <c r="AC55" i="1"/>
  <c r="AC51" i="1"/>
  <c r="AC157" i="1"/>
  <c r="AC158" i="1"/>
  <c r="AC83" i="1"/>
  <c r="AC91" i="1"/>
  <c r="AC105" i="1"/>
  <c r="AC103" i="1"/>
  <c r="AC188" i="1"/>
  <c r="AC163" i="1"/>
  <c r="AC101" i="1"/>
  <c r="AC65" i="1"/>
  <c r="AC60" i="1"/>
  <c r="AC80" i="1"/>
  <c r="AC56" i="1"/>
  <c r="AC57" i="1"/>
  <c r="AC25" i="1"/>
  <c r="AC104" i="1"/>
  <c r="AC66" i="1"/>
  <c r="AC58" i="1"/>
  <c r="AC155" i="1"/>
  <c r="AC156" i="1"/>
  <c r="AC134" i="1"/>
  <c r="AC92" i="1"/>
  <c r="AC67" i="1"/>
  <c r="AC126" i="1"/>
  <c r="AC145" i="1"/>
  <c r="AC135" i="1"/>
  <c r="AC159" i="1"/>
  <c r="AC76" i="1"/>
  <c r="AC114" i="1"/>
  <c r="AC161" i="1"/>
  <c r="AC160" i="1"/>
  <c r="AC95" i="1"/>
  <c r="AC120" i="1"/>
  <c r="AC42" i="1"/>
  <c r="AC183" i="1"/>
  <c r="AC112" i="1"/>
  <c r="AC148" i="1"/>
  <c r="AC179" i="1"/>
  <c r="AC128" i="1"/>
  <c r="AC144" i="1"/>
  <c r="AC110" i="1"/>
  <c r="AC81" i="1"/>
  <c r="AC100" i="1"/>
  <c r="AC123" i="1"/>
  <c r="AC86" i="1"/>
  <c r="AC174" i="1"/>
  <c r="AC201" i="1"/>
  <c r="AC90" i="1"/>
  <c r="AC102" i="1"/>
  <c r="AC94" i="1"/>
  <c r="AC119" i="1"/>
  <c r="AC141" i="1"/>
  <c r="AC147" i="1"/>
  <c r="AC165" i="1"/>
  <c r="AC132" i="1"/>
  <c r="AC189" i="1"/>
  <c r="AC133" i="1"/>
  <c r="AC206" i="1"/>
  <c r="AC78" i="1"/>
  <c r="AC143" i="1"/>
  <c r="AC150" i="1"/>
  <c r="AC130" i="1"/>
  <c r="AC96" i="1"/>
  <c r="AC182" i="1"/>
  <c r="AC195" i="1"/>
  <c r="AC178" i="1"/>
  <c r="AC181" i="1"/>
  <c r="AC194" i="1"/>
  <c r="AC208" i="1"/>
  <c r="AC129" i="1"/>
  <c r="AC180" i="1"/>
  <c r="AC140" i="1"/>
  <c r="AC125" i="1"/>
  <c r="AC131" i="1"/>
  <c r="AC173" i="1"/>
  <c r="AC184" i="1"/>
  <c r="AC190" i="1"/>
  <c r="AC142" i="1"/>
  <c r="AC69" i="1"/>
  <c r="AC151" i="1"/>
  <c r="AC193" i="1"/>
  <c r="AC169" i="1"/>
  <c r="AC166" i="1"/>
  <c r="AC97" i="1"/>
  <c r="AC79" i="1"/>
  <c r="AC146" i="1"/>
  <c r="AC204" i="1"/>
  <c r="AC113" i="1"/>
  <c r="AC172" i="1"/>
  <c r="AC171" i="1"/>
  <c r="AC185" i="1"/>
  <c r="AC137" i="1"/>
  <c r="AC205" i="1"/>
  <c r="AC177" i="1"/>
  <c r="AC199" i="1"/>
  <c r="AC106" i="1"/>
  <c r="AC203" i="1"/>
  <c r="AC124" i="1"/>
  <c r="AC170" i="1"/>
  <c r="AC152" i="1"/>
  <c r="AC118" i="1"/>
  <c r="AC198" i="1"/>
  <c r="AC200" i="1"/>
  <c r="AC136" i="1"/>
  <c r="AC108" i="1"/>
  <c r="AC149" i="1"/>
  <c r="AC187" i="1"/>
  <c r="AC168" i="1"/>
  <c r="AC162" i="1"/>
  <c r="AC139" i="1"/>
  <c r="AC196" i="1"/>
  <c r="AC153" i="1"/>
  <c r="AC197" i="1"/>
  <c r="AC176" i="1"/>
  <c r="AC202" i="1"/>
  <c r="AC167" i="1"/>
  <c r="AC207" i="1"/>
  <c r="AC192" i="1"/>
  <c r="AB3" i="1"/>
  <c r="AB2" i="1"/>
  <c r="AB43" i="1"/>
  <c r="AB71" i="1"/>
  <c r="AB7" i="1"/>
  <c r="AB164" i="1"/>
  <c r="AB4" i="1"/>
  <c r="AB99" i="1"/>
  <c r="AB6" i="1"/>
  <c r="AB8" i="1"/>
  <c r="AB10" i="1"/>
  <c r="AB9" i="1"/>
  <c r="AB127" i="1"/>
  <c r="AB11" i="1"/>
  <c r="AB44" i="1"/>
  <c r="AB39" i="1"/>
  <c r="AB45" i="1"/>
  <c r="AB16" i="1"/>
  <c r="AB12" i="1"/>
  <c r="AB48" i="1"/>
  <c r="AB54" i="1"/>
  <c r="AB47" i="1"/>
  <c r="AB20" i="1"/>
  <c r="AB50" i="1"/>
  <c r="AB22" i="1"/>
  <c r="AB49" i="1"/>
  <c r="AB13" i="1"/>
  <c r="AB26" i="1"/>
  <c r="AB52" i="1"/>
  <c r="AB46" i="1"/>
  <c r="AB72" i="1"/>
  <c r="AB5" i="1"/>
  <c r="AB18" i="1"/>
  <c r="AB23" i="1"/>
  <c r="AB15" i="1"/>
  <c r="AB14" i="1"/>
  <c r="AB59" i="1"/>
  <c r="AB38" i="1"/>
  <c r="AB21" i="1"/>
  <c r="AB27" i="1"/>
  <c r="AB17" i="1"/>
  <c r="AB68" i="1"/>
  <c r="AB121" i="1"/>
  <c r="AB24" i="1"/>
  <c r="AB30" i="1"/>
  <c r="AB40" i="1"/>
  <c r="AB35" i="1"/>
  <c r="AB29" i="1"/>
  <c r="AB37" i="1"/>
  <c r="AB28" i="1"/>
  <c r="AB19" i="1"/>
  <c r="AB33" i="1"/>
  <c r="AB109" i="1"/>
  <c r="AB64" i="1"/>
  <c r="AB63" i="1"/>
  <c r="AB77" i="1"/>
  <c r="AB115" i="1"/>
  <c r="AB31" i="1"/>
  <c r="AB41" i="1"/>
  <c r="AB191" i="1"/>
  <c r="AB85" i="1"/>
  <c r="AB62" i="1"/>
  <c r="AB36" i="1"/>
  <c r="AB32" i="1"/>
  <c r="AB34" i="1"/>
  <c r="AB93" i="1"/>
  <c r="AB117" i="1"/>
  <c r="AB154" i="1"/>
  <c r="AB107" i="1"/>
  <c r="AB98" i="1"/>
  <c r="AB138" i="1"/>
  <c r="AB75" i="1"/>
  <c r="AB122" i="1"/>
  <c r="AB84" i="1"/>
  <c r="AB116" i="1"/>
  <c r="AB186" i="1"/>
  <c r="AB89" i="1"/>
  <c r="AB70" i="1"/>
  <c r="AB61" i="1"/>
  <c r="AB74" i="1"/>
  <c r="AB88" i="1"/>
  <c r="AB73" i="1"/>
  <c r="AB111" i="1"/>
  <c r="AB87" i="1"/>
  <c r="AB82" i="1"/>
  <c r="AB53" i="1"/>
  <c r="AB175" i="1"/>
  <c r="AB55" i="1"/>
  <c r="AB51" i="1"/>
  <c r="AB157" i="1"/>
  <c r="AB158" i="1"/>
  <c r="AB83" i="1"/>
  <c r="AB91" i="1"/>
  <c r="AB105" i="1"/>
  <c r="AB103" i="1"/>
  <c r="AB188" i="1"/>
  <c r="AB163" i="1"/>
  <c r="AB101" i="1"/>
  <c r="AB65" i="1"/>
  <c r="AB60" i="1"/>
  <c r="AB80" i="1"/>
  <c r="AB56" i="1"/>
  <c r="AB57" i="1"/>
  <c r="AB25" i="1"/>
  <c r="AB104" i="1"/>
  <c r="AB66" i="1"/>
  <c r="AB58" i="1"/>
  <c r="AB155" i="1"/>
  <c r="AB156" i="1"/>
  <c r="AB134" i="1"/>
  <c r="AB92" i="1"/>
  <c r="AB67" i="1"/>
  <c r="AB126" i="1"/>
  <c r="AB145" i="1"/>
  <c r="AB135" i="1"/>
  <c r="AB159" i="1"/>
  <c r="AB76" i="1"/>
  <c r="AB114" i="1"/>
  <c r="AB161" i="1"/>
  <c r="AB160" i="1"/>
  <c r="AB95" i="1"/>
  <c r="AB120" i="1"/>
  <c r="AB42" i="1"/>
  <c r="AB183" i="1"/>
  <c r="AB112" i="1"/>
  <c r="AB148" i="1"/>
  <c r="AB179" i="1"/>
  <c r="AB128" i="1"/>
  <c r="AB144" i="1"/>
  <c r="AB110" i="1"/>
  <c r="AB81" i="1"/>
  <c r="AB100" i="1"/>
  <c r="AB123" i="1"/>
  <c r="AB86" i="1"/>
  <c r="AB174" i="1"/>
  <c r="AB201" i="1"/>
  <c r="AB90" i="1"/>
  <c r="AB102" i="1"/>
  <c r="AB94" i="1"/>
  <c r="AB119" i="1"/>
  <c r="AB141" i="1"/>
  <c r="AB147" i="1"/>
  <c r="AB165" i="1"/>
  <c r="AB132" i="1"/>
  <c r="AB189" i="1"/>
  <c r="AB133" i="1"/>
  <c r="AB206" i="1"/>
  <c r="AB78" i="1"/>
  <c r="AB143" i="1"/>
  <c r="AB150" i="1"/>
  <c r="AB130" i="1"/>
  <c r="AB96" i="1"/>
  <c r="AB182" i="1"/>
  <c r="AB195" i="1"/>
  <c r="AB178" i="1"/>
  <c r="AB181" i="1"/>
  <c r="AB194" i="1"/>
  <c r="AB208" i="1"/>
  <c r="AB129" i="1"/>
  <c r="AB180" i="1"/>
  <c r="AB140" i="1"/>
  <c r="AB125" i="1"/>
  <c r="AB131" i="1"/>
  <c r="AB173" i="1"/>
  <c r="AB184" i="1"/>
  <c r="AB190" i="1"/>
  <c r="AB142" i="1"/>
  <c r="AB69" i="1"/>
  <c r="AB151" i="1"/>
  <c r="AB193" i="1"/>
  <c r="AB169" i="1"/>
  <c r="AB166" i="1"/>
  <c r="AB97" i="1"/>
  <c r="AB79" i="1"/>
  <c r="AB146" i="1"/>
  <c r="AB204" i="1"/>
  <c r="AB113" i="1"/>
  <c r="AB172" i="1"/>
  <c r="AB171" i="1"/>
  <c r="AB185" i="1"/>
  <c r="AB137" i="1"/>
  <c r="AB205" i="1"/>
  <c r="AB177" i="1"/>
  <c r="AB199" i="1"/>
  <c r="AB106" i="1"/>
  <c r="AB203" i="1"/>
  <c r="AB124" i="1"/>
  <c r="AB170" i="1"/>
  <c r="AB152" i="1"/>
  <c r="AB118" i="1"/>
  <c r="AB198" i="1"/>
  <c r="AB200" i="1"/>
  <c r="AB136" i="1"/>
  <c r="AB108" i="1"/>
  <c r="AB149" i="1"/>
  <c r="AB187" i="1"/>
  <c r="AB168" i="1"/>
  <c r="AB162" i="1"/>
  <c r="AB139" i="1"/>
  <c r="AB196" i="1"/>
  <c r="AB153" i="1"/>
  <c r="AB197" i="1"/>
  <c r="AB176" i="1"/>
  <c r="AB202" i="1"/>
  <c r="AB167" i="1"/>
  <c r="AB207" i="1"/>
  <c r="AB192" i="1"/>
  <c r="AA3" i="1"/>
  <c r="AA2" i="1"/>
  <c r="AA43" i="1"/>
  <c r="AA71" i="1"/>
  <c r="AA7" i="1"/>
  <c r="AA164" i="1"/>
  <c r="AA4" i="1"/>
  <c r="AA99" i="1"/>
  <c r="AA6" i="1"/>
  <c r="AA8" i="1"/>
  <c r="AA10" i="1"/>
  <c r="AA9" i="1"/>
  <c r="AA127" i="1"/>
  <c r="AA11" i="1"/>
  <c r="AA44" i="1"/>
  <c r="AA39" i="1"/>
  <c r="AA45" i="1"/>
  <c r="AA16" i="1"/>
  <c r="AA12" i="1"/>
  <c r="AA48" i="1"/>
  <c r="AA54" i="1"/>
  <c r="AA47" i="1"/>
  <c r="AA20" i="1"/>
  <c r="AA50" i="1"/>
  <c r="AA22" i="1"/>
  <c r="AA49" i="1"/>
  <c r="AA13" i="1"/>
  <c r="AA26" i="1"/>
  <c r="AA52" i="1"/>
  <c r="AA46" i="1"/>
  <c r="AA72" i="1"/>
  <c r="AA5" i="1"/>
  <c r="AA18" i="1"/>
  <c r="AA23" i="1"/>
  <c r="AA15" i="1"/>
  <c r="AA14" i="1"/>
  <c r="AA59" i="1"/>
  <c r="AA38" i="1"/>
  <c r="AA21" i="1"/>
  <c r="AA27" i="1"/>
  <c r="AA17" i="1"/>
  <c r="AA68" i="1"/>
  <c r="AA121" i="1"/>
  <c r="AA24" i="1"/>
  <c r="AA30" i="1"/>
  <c r="AA40" i="1"/>
  <c r="AA35" i="1"/>
  <c r="AA29" i="1"/>
  <c r="AA37" i="1"/>
  <c r="AA28" i="1"/>
  <c r="AA19" i="1"/>
  <c r="AA33" i="1"/>
  <c r="AA109" i="1"/>
  <c r="AA64" i="1"/>
  <c r="AA63" i="1"/>
  <c r="AA77" i="1"/>
  <c r="AA115" i="1"/>
  <c r="AA31" i="1"/>
  <c r="AA41" i="1"/>
  <c r="AA191" i="1"/>
  <c r="AA85" i="1"/>
  <c r="AA62" i="1"/>
  <c r="AA36" i="1"/>
  <c r="AA32" i="1"/>
  <c r="AA34" i="1"/>
  <c r="AA93" i="1"/>
  <c r="AA117" i="1"/>
  <c r="AA154" i="1"/>
  <c r="AA107" i="1"/>
  <c r="AA98" i="1"/>
  <c r="AA138" i="1"/>
  <c r="AA75" i="1"/>
  <c r="AA122" i="1"/>
  <c r="AA84" i="1"/>
  <c r="AA116" i="1"/>
  <c r="AA186" i="1"/>
  <c r="AA89" i="1"/>
  <c r="AA70" i="1"/>
  <c r="AA61" i="1"/>
  <c r="AA74" i="1"/>
  <c r="AA88" i="1"/>
  <c r="AA73" i="1"/>
  <c r="AA111" i="1"/>
  <c r="AA87" i="1"/>
  <c r="AA82" i="1"/>
  <c r="AA53" i="1"/>
  <c r="AA175" i="1"/>
  <c r="AA55" i="1"/>
  <c r="AA51" i="1"/>
  <c r="AA157" i="1"/>
  <c r="AA158" i="1"/>
  <c r="AA83" i="1"/>
  <c r="AA91" i="1"/>
  <c r="AA105" i="1"/>
  <c r="AA103" i="1"/>
  <c r="AA188" i="1"/>
  <c r="AA163" i="1"/>
  <c r="AA101" i="1"/>
  <c r="AA65" i="1"/>
  <c r="AA60" i="1"/>
  <c r="AA80" i="1"/>
  <c r="AA56" i="1"/>
  <c r="AA57" i="1"/>
  <c r="AA25" i="1"/>
  <c r="AA104" i="1"/>
  <c r="AA66" i="1"/>
  <c r="AA58" i="1"/>
  <c r="AA155" i="1"/>
  <c r="AA156" i="1"/>
  <c r="AA134" i="1"/>
  <c r="AA92" i="1"/>
  <c r="AA67" i="1"/>
  <c r="AA126" i="1"/>
  <c r="AA145" i="1"/>
  <c r="AA135" i="1"/>
  <c r="AA159" i="1"/>
  <c r="AA76" i="1"/>
  <c r="AA114" i="1"/>
  <c r="AA161" i="1"/>
  <c r="AA160" i="1"/>
  <c r="AA95" i="1"/>
  <c r="AA120" i="1"/>
  <c r="AA42" i="1"/>
  <c r="AA183" i="1"/>
  <c r="AA112" i="1"/>
  <c r="AA148" i="1"/>
  <c r="AA179" i="1"/>
  <c r="AA128" i="1"/>
  <c r="AA144" i="1"/>
  <c r="AA110" i="1"/>
  <c r="AA81" i="1"/>
  <c r="AA100" i="1"/>
  <c r="AA123" i="1"/>
  <c r="AA86" i="1"/>
  <c r="AA174" i="1"/>
  <c r="AA201" i="1"/>
  <c r="AA90" i="1"/>
  <c r="AA102" i="1"/>
  <c r="AA94" i="1"/>
  <c r="AA119" i="1"/>
  <c r="AA141" i="1"/>
  <c r="AA147" i="1"/>
  <c r="AA165" i="1"/>
  <c r="AA132" i="1"/>
  <c r="AA189" i="1"/>
  <c r="AA133" i="1"/>
  <c r="AA206" i="1"/>
  <c r="AA78" i="1"/>
  <c r="AA143" i="1"/>
  <c r="AA150" i="1"/>
  <c r="AA130" i="1"/>
  <c r="AA96" i="1"/>
  <c r="AA182" i="1"/>
  <c r="AA195" i="1"/>
  <c r="AA178" i="1"/>
  <c r="AA181" i="1"/>
  <c r="AA194" i="1"/>
  <c r="AA208" i="1"/>
  <c r="AA129" i="1"/>
  <c r="AA180" i="1"/>
  <c r="AA140" i="1"/>
  <c r="AA125" i="1"/>
  <c r="AA131" i="1"/>
  <c r="AA173" i="1"/>
  <c r="AA184" i="1"/>
  <c r="AA190" i="1"/>
  <c r="AA142" i="1"/>
  <c r="AA69" i="1"/>
  <c r="AA151" i="1"/>
  <c r="AA193" i="1"/>
  <c r="AA169" i="1"/>
  <c r="AA166" i="1"/>
  <c r="AA97" i="1"/>
  <c r="AA79" i="1"/>
  <c r="AA146" i="1"/>
  <c r="AA204" i="1"/>
  <c r="AA113" i="1"/>
  <c r="AA172" i="1"/>
  <c r="AA171" i="1"/>
  <c r="AA185" i="1"/>
  <c r="AA137" i="1"/>
  <c r="AA205" i="1"/>
  <c r="AA177" i="1"/>
  <c r="AA199" i="1"/>
  <c r="AA106" i="1"/>
  <c r="AA203" i="1"/>
  <c r="AA124" i="1"/>
  <c r="AA170" i="1"/>
  <c r="AA152" i="1"/>
  <c r="AA118" i="1"/>
  <c r="AA198" i="1"/>
  <c r="AA200" i="1"/>
  <c r="AA136" i="1"/>
  <c r="AA108" i="1"/>
  <c r="AA149" i="1"/>
  <c r="AA187" i="1"/>
  <c r="AA168" i="1"/>
  <c r="AA162" i="1"/>
  <c r="AA139" i="1"/>
  <c r="AA196" i="1"/>
  <c r="AA153" i="1"/>
  <c r="AA197" i="1"/>
  <c r="AA176" i="1"/>
  <c r="AA202" i="1"/>
  <c r="AA167" i="1"/>
  <c r="AA207" i="1"/>
  <c r="AA192" i="1"/>
  <c r="Y3" i="1"/>
  <c r="Y2" i="1"/>
  <c r="Y43" i="1"/>
  <c r="Y71" i="1"/>
  <c r="Y7" i="1"/>
  <c r="Y164" i="1"/>
  <c r="Y4" i="1"/>
  <c r="Y99" i="1"/>
  <c r="Y6" i="1"/>
  <c r="Y8" i="1"/>
  <c r="Y10" i="1"/>
  <c r="Y9" i="1"/>
  <c r="Y127" i="1"/>
  <c r="Y11" i="1"/>
  <c r="Y44" i="1"/>
  <c r="Y39" i="1"/>
  <c r="Y45" i="1"/>
  <c r="Y16" i="1"/>
  <c r="Y12" i="1"/>
  <c r="Y48" i="1"/>
  <c r="Y54" i="1"/>
  <c r="Y47" i="1"/>
  <c r="Y20" i="1"/>
  <c r="Y50" i="1"/>
  <c r="Y22" i="1"/>
  <c r="Y49" i="1"/>
  <c r="Y13" i="1"/>
  <c r="Y26" i="1"/>
  <c r="Y52" i="1"/>
  <c r="Y46" i="1"/>
  <c r="Y72" i="1"/>
  <c r="Y5" i="1"/>
  <c r="Y18" i="1"/>
  <c r="Y23" i="1"/>
  <c r="Y15" i="1"/>
  <c r="Y14" i="1"/>
  <c r="Y59" i="1"/>
  <c r="Y38" i="1"/>
  <c r="Y21" i="1"/>
  <c r="Y27" i="1"/>
  <c r="Y17" i="1"/>
  <c r="Y68" i="1"/>
  <c r="Y121" i="1"/>
  <c r="Y24" i="1"/>
  <c r="Y30" i="1"/>
  <c r="Y40" i="1"/>
  <c r="Y35" i="1"/>
  <c r="Y29" i="1"/>
  <c r="Y37" i="1"/>
  <c r="Y28" i="1"/>
  <c r="Y19" i="1"/>
  <c r="Y33" i="1"/>
  <c r="Y109" i="1"/>
  <c r="Y64" i="1"/>
  <c r="Y63" i="1"/>
  <c r="Y77" i="1"/>
  <c r="Y115" i="1"/>
  <c r="Y31" i="1"/>
  <c r="Y41" i="1"/>
  <c r="Y191" i="1"/>
  <c r="Y85" i="1"/>
  <c r="Y62" i="1"/>
  <c r="Y36" i="1"/>
  <c r="Y32" i="1"/>
  <c r="Y34" i="1"/>
  <c r="Y93" i="1"/>
  <c r="Y117" i="1"/>
  <c r="Y154" i="1"/>
  <c r="Y107" i="1"/>
  <c r="Y98" i="1"/>
  <c r="Y138" i="1"/>
  <c r="Y75" i="1"/>
  <c r="Y122" i="1"/>
  <c r="Y84" i="1"/>
  <c r="Y116" i="1"/>
  <c r="Y186" i="1"/>
  <c r="Y89" i="1"/>
  <c r="Y70" i="1"/>
  <c r="Y61" i="1"/>
  <c r="Y74" i="1"/>
  <c r="Y88" i="1"/>
  <c r="Y73" i="1"/>
  <c r="Y111" i="1"/>
  <c r="Y87" i="1"/>
  <c r="Y82" i="1"/>
  <c r="Y53" i="1"/>
  <c r="Y175" i="1"/>
  <c r="Y55" i="1"/>
  <c r="Y51" i="1"/>
  <c r="Y157" i="1"/>
  <c r="Y158" i="1"/>
  <c r="Y83" i="1"/>
  <c r="Y91" i="1"/>
  <c r="Y105" i="1"/>
  <c r="Y103" i="1"/>
  <c r="Y188" i="1"/>
  <c r="Y163" i="1"/>
  <c r="Y101" i="1"/>
  <c r="Y65" i="1"/>
  <c r="Y60" i="1"/>
  <c r="Y80" i="1"/>
  <c r="Y56" i="1"/>
  <c r="Y57" i="1"/>
  <c r="Y25" i="1"/>
  <c r="Y104" i="1"/>
  <c r="Y66" i="1"/>
  <c r="Y58" i="1"/>
  <c r="Y155" i="1"/>
  <c r="Y156" i="1"/>
  <c r="Y134" i="1"/>
  <c r="Y92" i="1"/>
  <c r="Y67" i="1"/>
  <c r="Y126" i="1"/>
  <c r="Y145" i="1"/>
  <c r="Y135" i="1"/>
  <c r="Y159" i="1"/>
  <c r="Y76" i="1"/>
  <c r="Y114" i="1"/>
  <c r="Y161" i="1"/>
  <c r="Y160" i="1"/>
  <c r="Y95" i="1"/>
  <c r="Y120" i="1"/>
  <c r="Y42" i="1"/>
  <c r="Y183" i="1"/>
  <c r="Y112" i="1"/>
  <c r="Y148" i="1"/>
  <c r="Y179" i="1"/>
  <c r="Y128" i="1"/>
  <c r="Y144" i="1"/>
  <c r="Y110" i="1"/>
  <c r="Y81" i="1"/>
  <c r="Y100" i="1"/>
  <c r="Y123" i="1"/>
  <c r="Y86" i="1"/>
  <c r="Y174" i="1"/>
  <c r="Y201" i="1"/>
  <c r="Y90" i="1"/>
  <c r="Y102" i="1"/>
  <c r="Y94" i="1"/>
  <c r="Y119" i="1"/>
  <c r="Y141" i="1"/>
  <c r="Y147" i="1"/>
  <c r="Y165" i="1"/>
  <c r="Y132" i="1"/>
  <c r="Y189" i="1"/>
  <c r="Y133" i="1"/>
  <c r="Y206" i="1"/>
  <c r="Y78" i="1"/>
  <c r="Y143" i="1"/>
  <c r="Y150" i="1"/>
  <c r="Y130" i="1"/>
  <c r="Y96" i="1"/>
  <c r="Y182" i="1"/>
  <c r="Y195" i="1"/>
  <c r="Y178" i="1"/>
  <c r="Y181" i="1"/>
  <c r="Y194" i="1"/>
  <c r="Y208" i="1"/>
  <c r="Y129" i="1"/>
  <c r="Y180" i="1"/>
  <c r="Y140" i="1"/>
  <c r="Y125" i="1"/>
  <c r="Y131" i="1"/>
  <c r="Y173" i="1"/>
  <c r="Y184" i="1"/>
  <c r="Y190" i="1"/>
  <c r="Y142" i="1"/>
  <c r="Y69" i="1"/>
  <c r="Y151" i="1"/>
  <c r="Y193" i="1"/>
  <c r="Y169" i="1"/>
  <c r="Y166" i="1"/>
  <c r="Y97" i="1"/>
  <c r="Y79" i="1"/>
  <c r="Y146" i="1"/>
  <c r="Y204" i="1"/>
  <c r="Y113" i="1"/>
  <c r="Y172" i="1"/>
  <c r="Y171" i="1"/>
  <c r="Y185" i="1"/>
  <c r="Y137" i="1"/>
  <c r="Y205" i="1"/>
  <c r="Y177" i="1"/>
  <c r="Y199" i="1"/>
  <c r="Y106" i="1"/>
  <c r="Y203" i="1"/>
  <c r="Y124" i="1"/>
  <c r="Y170" i="1"/>
  <c r="Y152" i="1"/>
  <c r="Y118" i="1"/>
  <c r="Y198" i="1"/>
  <c r="Y200" i="1"/>
  <c r="Y136" i="1"/>
  <c r="Y108" i="1"/>
  <c r="Y149" i="1"/>
  <c r="Y187" i="1"/>
  <c r="Y168" i="1"/>
  <c r="Y162" i="1"/>
  <c r="Y139" i="1"/>
  <c r="Y196" i="1"/>
  <c r="Y153" i="1"/>
  <c r="Y197" i="1"/>
  <c r="Y176" i="1"/>
  <c r="Y202" i="1"/>
  <c r="Y167" i="1"/>
  <c r="Y207" i="1"/>
  <c r="Y192" i="1"/>
  <c r="X3" i="1"/>
  <c r="X2" i="1"/>
  <c r="X43" i="1"/>
  <c r="X71" i="1"/>
  <c r="X7" i="1"/>
  <c r="X164" i="1"/>
  <c r="X4" i="1"/>
  <c r="X99" i="1"/>
  <c r="X6" i="1"/>
  <c r="X8" i="1"/>
  <c r="X10" i="1"/>
  <c r="X9" i="1"/>
  <c r="X127" i="1"/>
  <c r="X11" i="1"/>
  <c r="X44" i="1"/>
  <c r="X39" i="1"/>
  <c r="X45" i="1"/>
  <c r="X16" i="1"/>
  <c r="X48" i="1"/>
  <c r="X54" i="1"/>
  <c r="X47" i="1"/>
  <c r="X20" i="1"/>
  <c r="X50" i="1"/>
  <c r="X22" i="1"/>
  <c r="X49" i="1"/>
  <c r="X13" i="1"/>
  <c r="X26" i="1"/>
  <c r="X52" i="1"/>
  <c r="X46" i="1"/>
  <c r="X72" i="1"/>
  <c r="X5" i="1"/>
  <c r="X18" i="1"/>
  <c r="X23" i="1"/>
  <c r="X15" i="1"/>
  <c r="X14" i="1"/>
  <c r="X59" i="1"/>
  <c r="X38" i="1"/>
  <c r="X21" i="1"/>
  <c r="X27" i="1"/>
  <c r="X17" i="1"/>
  <c r="X68" i="1"/>
  <c r="X121" i="1"/>
  <c r="X24" i="1"/>
  <c r="X30" i="1"/>
  <c r="X40" i="1"/>
  <c r="X35" i="1"/>
  <c r="X29" i="1"/>
  <c r="X37" i="1"/>
  <c r="X28" i="1"/>
  <c r="X19" i="1"/>
  <c r="X33" i="1"/>
  <c r="X109" i="1"/>
  <c r="X64" i="1"/>
  <c r="X63" i="1"/>
  <c r="X77" i="1"/>
  <c r="X115" i="1"/>
  <c r="X31" i="1"/>
  <c r="X41" i="1"/>
  <c r="X191" i="1"/>
  <c r="X85" i="1"/>
  <c r="X62" i="1"/>
  <c r="X36" i="1"/>
  <c r="X32" i="1"/>
  <c r="X34" i="1"/>
  <c r="X93" i="1"/>
  <c r="X117" i="1"/>
  <c r="X154" i="1"/>
  <c r="X107" i="1"/>
  <c r="X98" i="1"/>
  <c r="X138" i="1"/>
  <c r="X75" i="1"/>
  <c r="X122" i="1"/>
  <c r="X84" i="1"/>
  <c r="X116" i="1"/>
  <c r="X186" i="1"/>
  <c r="X89" i="1"/>
  <c r="X70" i="1"/>
  <c r="X61" i="1"/>
  <c r="X74" i="1"/>
  <c r="X88" i="1"/>
  <c r="X73" i="1"/>
  <c r="X111" i="1"/>
  <c r="X87" i="1"/>
  <c r="X82" i="1"/>
  <c r="X53" i="1"/>
  <c r="X175" i="1"/>
  <c r="X55" i="1"/>
  <c r="X51" i="1"/>
  <c r="X157" i="1"/>
  <c r="X158" i="1"/>
  <c r="X83" i="1"/>
  <c r="X91" i="1"/>
  <c r="X105" i="1"/>
  <c r="X103" i="1"/>
  <c r="X188" i="1"/>
  <c r="X163" i="1"/>
  <c r="X101" i="1"/>
  <c r="X65" i="1"/>
  <c r="X60" i="1"/>
  <c r="X80" i="1"/>
  <c r="X56" i="1"/>
  <c r="X57" i="1"/>
  <c r="X25" i="1"/>
  <c r="X104" i="1"/>
  <c r="X66" i="1"/>
  <c r="X58" i="1"/>
  <c r="X155" i="1"/>
  <c r="X156" i="1"/>
  <c r="X134" i="1"/>
  <c r="X92" i="1"/>
  <c r="X67" i="1"/>
  <c r="X126" i="1"/>
  <c r="X145" i="1"/>
  <c r="X135" i="1"/>
  <c r="X159" i="1"/>
  <c r="X76" i="1"/>
  <c r="X114" i="1"/>
  <c r="X161" i="1"/>
  <c r="X160" i="1"/>
  <c r="X95" i="1"/>
  <c r="X120" i="1"/>
  <c r="X42" i="1"/>
  <c r="X183" i="1"/>
  <c r="X112" i="1"/>
  <c r="X148" i="1"/>
  <c r="X179" i="1"/>
  <c r="X128" i="1"/>
  <c r="X144" i="1"/>
  <c r="X110" i="1"/>
  <c r="X81" i="1"/>
  <c r="X100" i="1"/>
  <c r="X123" i="1"/>
  <c r="X86" i="1"/>
  <c r="X174" i="1"/>
  <c r="X201" i="1"/>
  <c r="X90" i="1"/>
  <c r="X102" i="1"/>
  <c r="X94" i="1"/>
  <c r="X119" i="1"/>
  <c r="X141" i="1"/>
  <c r="X147" i="1"/>
  <c r="X165" i="1"/>
  <c r="X132" i="1"/>
  <c r="X189" i="1"/>
  <c r="X133" i="1"/>
  <c r="X206" i="1"/>
  <c r="X78" i="1"/>
  <c r="X143" i="1"/>
  <c r="X150" i="1"/>
  <c r="X130" i="1"/>
  <c r="X96" i="1"/>
  <c r="X182" i="1"/>
  <c r="X195" i="1"/>
  <c r="X178" i="1"/>
  <c r="X181" i="1"/>
  <c r="X194" i="1"/>
  <c r="X208" i="1"/>
  <c r="X129" i="1"/>
  <c r="X180" i="1"/>
  <c r="X140" i="1"/>
  <c r="X125" i="1"/>
  <c r="X131" i="1"/>
  <c r="X173" i="1"/>
  <c r="X184" i="1"/>
  <c r="X190" i="1"/>
  <c r="X142" i="1"/>
  <c r="X69" i="1"/>
  <c r="X151" i="1"/>
  <c r="X193" i="1"/>
  <c r="X169" i="1"/>
  <c r="X166" i="1"/>
  <c r="X97" i="1"/>
  <c r="X79" i="1"/>
  <c r="X146" i="1"/>
  <c r="X204" i="1"/>
  <c r="X113" i="1"/>
  <c r="X172" i="1"/>
  <c r="X171" i="1"/>
  <c r="X185" i="1"/>
  <c r="X137" i="1"/>
  <c r="X205" i="1"/>
  <c r="X177" i="1"/>
  <c r="X199" i="1"/>
  <c r="X106" i="1"/>
  <c r="X203" i="1"/>
  <c r="X124" i="1"/>
  <c r="X170" i="1"/>
  <c r="X152" i="1"/>
  <c r="X118" i="1"/>
  <c r="X198" i="1"/>
  <c r="X200" i="1"/>
  <c r="X136" i="1"/>
  <c r="X108" i="1"/>
  <c r="X149" i="1"/>
  <c r="X187" i="1"/>
  <c r="X168" i="1"/>
  <c r="X162" i="1"/>
  <c r="X139" i="1"/>
  <c r="X196" i="1"/>
  <c r="X153" i="1"/>
  <c r="X197" i="1"/>
  <c r="X176" i="1"/>
  <c r="X202" i="1"/>
  <c r="X167" i="1"/>
  <c r="X207" i="1"/>
  <c r="X192" i="1"/>
  <c r="W3" i="1"/>
  <c r="W2" i="1"/>
  <c r="W43" i="1"/>
  <c r="W71" i="1"/>
  <c r="W7" i="1"/>
  <c r="W164" i="1"/>
  <c r="W4" i="1"/>
  <c r="W99" i="1"/>
  <c r="W6" i="1"/>
  <c r="W8" i="1"/>
  <c r="W10" i="1"/>
  <c r="W9" i="1"/>
  <c r="W127" i="1"/>
  <c r="W11" i="1"/>
  <c r="W44" i="1"/>
  <c r="W39" i="1"/>
  <c r="W45" i="1"/>
  <c r="W16" i="1"/>
  <c r="W48" i="1"/>
  <c r="W54" i="1"/>
  <c r="W47" i="1"/>
  <c r="W20" i="1"/>
  <c r="W50" i="1"/>
  <c r="W22" i="1"/>
  <c r="W49" i="1"/>
  <c r="W13" i="1"/>
  <c r="W26" i="1"/>
  <c r="W52" i="1"/>
  <c r="W46" i="1"/>
  <c r="W72" i="1"/>
  <c r="W5" i="1"/>
  <c r="W18" i="1"/>
  <c r="W23" i="1"/>
  <c r="W15" i="1"/>
  <c r="W14" i="1"/>
  <c r="W59" i="1"/>
  <c r="W38" i="1"/>
  <c r="W21" i="1"/>
  <c r="W27" i="1"/>
  <c r="W17" i="1"/>
  <c r="W68" i="1"/>
  <c r="W121" i="1"/>
  <c r="W24" i="1"/>
  <c r="W30" i="1"/>
  <c r="W40" i="1"/>
  <c r="W35" i="1"/>
  <c r="W29" i="1"/>
  <c r="W37" i="1"/>
  <c r="W28" i="1"/>
  <c r="W19" i="1"/>
  <c r="W33" i="1"/>
  <c r="W109" i="1"/>
  <c r="W64" i="1"/>
  <c r="W63" i="1"/>
  <c r="W77" i="1"/>
  <c r="W115" i="1"/>
  <c r="W31" i="1"/>
  <c r="W41" i="1"/>
  <c r="W191" i="1"/>
  <c r="W85" i="1"/>
  <c r="W62" i="1"/>
  <c r="W36" i="1"/>
  <c r="W32" i="1"/>
  <c r="W34" i="1"/>
  <c r="W93" i="1"/>
  <c r="W117" i="1"/>
  <c r="W154" i="1"/>
  <c r="W107" i="1"/>
  <c r="W98" i="1"/>
  <c r="W138" i="1"/>
  <c r="W75" i="1"/>
  <c r="W122" i="1"/>
  <c r="W84" i="1"/>
  <c r="W116" i="1"/>
  <c r="W186" i="1"/>
  <c r="W89" i="1"/>
  <c r="W70" i="1"/>
  <c r="W61" i="1"/>
  <c r="W74" i="1"/>
  <c r="W88" i="1"/>
  <c r="W73" i="1"/>
  <c r="W111" i="1"/>
  <c r="W87" i="1"/>
  <c r="W82" i="1"/>
  <c r="W53" i="1"/>
  <c r="W175" i="1"/>
  <c r="W55" i="1"/>
  <c r="W51" i="1"/>
  <c r="W157" i="1"/>
  <c r="W158" i="1"/>
  <c r="W83" i="1"/>
  <c r="W91" i="1"/>
  <c r="W105" i="1"/>
  <c r="W103" i="1"/>
  <c r="W188" i="1"/>
  <c r="W163" i="1"/>
  <c r="W101" i="1"/>
  <c r="W65" i="1"/>
  <c r="W60" i="1"/>
  <c r="W80" i="1"/>
  <c r="W56" i="1"/>
  <c r="W57" i="1"/>
  <c r="W25" i="1"/>
  <c r="W104" i="1"/>
  <c r="W66" i="1"/>
  <c r="W58" i="1"/>
  <c r="W155" i="1"/>
  <c r="W156" i="1"/>
  <c r="W134" i="1"/>
  <c r="W92" i="1"/>
  <c r="W67" i="1"/>
  <c r="W126" i="1"/>
  <c r="W145" i="1"/>
  <c r="W135" i="1"/>
  <c r="W159" i="1"/>
  <c r="W76" i="1"/>
  <c r="W114" i="1"/>
  <c r="W161" i="1"/>
  <c r="W160" i="1"/>
  <c r="W95" i="1"/>
  <c r="W120" i="1"/>
  <c r="W42" i="1"/>
  <c r="W183" i="1"/>
  <c r="W112" i="1"/>
  <c r="W148" i="1"/>
  <c r="W179" i="1"/>
  <c r="W128" i="1"/>
  <c r="W144" i="1"/>
  <c r="W110" i="1"/>
  <c r="W81" i="1"/>
  <c r="W100" i="1"/>
  <c r="W123" i="1"/>
  <c r="W86" i="1"/>
  <c r="W174" i="1"/>
  <c r="W201" i="1"/>
  <c r="W90" i="1"/>
  <c r="W102" i="1"/>
  <c r="W94" i="1"/>
  <c r="W119" i="1"/>
  <c r="W141" i="1"/>
  <c r="W147" i="1"/>
  <c r="W165" i="1"/>
  <c r="W132" i="1"/>
  <c r="W189" i="1"/>
  <c r="W133" i="1"/>
  <c r="W206" i="1"/>
  <c r="W78" i="1"/>
  <c r="W143" i="1"/>
  <c r="W150" i="1"/>
  <c r="W130" i="1"/>
  <c r="W96" i="1"/>
  <c r="W182" i="1"/>
  <c r="W195" i="1"/>
  <c r="W178" i="1"/>
  <c r="W181" i="1"/>
  <c r="W194" i="1"/>
  <c r="W208" i="1"/>
  <c r="W129" i="1"/>
  <c r="W180" i="1"/>
  <c r="W140" i="1"/>
  <c r="W125" i="1"/>
  <c r="W131" i="1"/>
  <c r="W173" i="1"/>
  <c r="W184" i="1"/>
  <c r="W190" i="1"/>
  <c r="W142" i="1"/>
  <c r="W69" i="1"/>
  <c r="W151" i="1"/>
  <c r="W193" i="1"/>
  <c r="W169" i="1"/>
  <c r="W166" i="1"/>
  <c r="W97" i="1"/>
  <c r="W79" i="1"/>
  <c r="W146" i="1"/>
  <c r="W204" i="1"/>
  <c r="W113" i="1"/>
  <c r="W172" i="1"/>
  <c r="W171" i="1"/>
  <c r="W185" i="1"/>
  <c r="W137" i="1"/>
  <c r="W205" i="1"/>
  <c r="W177" i="1"/>
  <c r="W199" i="1"/>
  <c r="W106" i="1"/>
  <c r="W203" i="1"/>
  <c r="W124" i="1"/>
  <c r="W170" i="1"/>
  <c r="W152" i="1"/>
  <c r="W118" i="1"/>
  <c r="W198" i="1"/>
  <c r="W200" i="1"/>
  <c r="W136" i="1"/>
  <c r="W108" i="1"/>
  <c r="W149" i="1"/>
  <c r="W187" i="1"/>
  <c r="W168" i="1"/>
  <c r="W162" i="1"/>
  <c r="W139" i="1"/>
  <c r="W196" i="1"/>
  <c r="W153" i="1"/>
  <c r="W197" i="1"/>
  <c r="W176" i="1"/>
  <c r="W202" i="1"/>
  <c r="W167" i="1"/>
  <c r="W207" i="1"/>
  <c r="W192" i="1"/>
  <c r="GL3" i="1"/>
  <c r="GL2" i="1"/>
  <c r="GL43" i="1"/>
  <c r="GL71" i="1"/>
  <c r="GL7" i="1"/>
  <c r="GL164" i="1"/>
  <c r="GL4" i="1"/>
  <c r="GL99" i="1"/>
  <c r="GL6" i="1"/>
  <c r="GL8" i="1"/>
  <c r="GL10" i="1"/>
  <c r="GL9" i="1"/>
  <c r="GL127" i="1"/>
  <c r="GL11" i="1"/>
  <c r="GL44" i="1"/>
  <c r="GL39" i="1"/>
  <c r="GL45" i="1"/>
  <c r="GL16" i="1"/>
  <c r="GL12" i="1"/>
  <c r="GL48" i="1"/>
  <c r="GL54" i="1"/>
  <c r="GL47" i="1"/>
  <c r="GL20" i="1"/>
  <c r="GL50" i="1"/>
  <c r="GL22" i="1"/>
  <c r="GL49" i="1"/>
  <c r="GL13" i="1"/>
  <c r="GL26" i="1"/>
  <c r="GL52" i="1"/>
  <c r="GL46" i="1"/>
  <c r="GL72" i="1"/>
  <c r="GL5" i="1"/>
  <c r="GL18" i="1"/>
  <c r="GL23" i="1"/>
  <c r="GL15" i="1"/>
  <c r="GL14" i="1"/>
  <c r="GL59" i="1"/>
  <c r="GL38" i="1"/>
  <c r="GL21" i="1"/>
  <c r="GL27" i="1"/>
  <c r="GL17" i="1"/>
  <c r="GL68" i="1"/>
  <c r="GL121" i="1"/>
  <c r="GL24" i="1"/>
  <c r="GL30" i="1"/>
  <c r="GL40" i="1"/>
  <c r="GL35" i="1"/>
  <c r="GL29" i="1"/>
  <c r="GL37" i="1"/>
  <c r="GL28" i="1"/>
  <c r="GL19" i="1"/>
  <c r="GL33" i="1"/>
  <c r="GL109" i="1"/>
  <c r="GL64" i="1"/>
  <c r="GL63" i="1"/>
  <c r="GL77" i="1"/>
  <c r="GL115" i="1"/>
  <c r="GL31" i="1"/>
  <c r="GL41" i="1"/>
  <c r="GL191" i="1"/>
  <c r="GL85" i="1"/>
  <c r="GL62" i="1"/>
  <c r="GL36" i="1"/>
  <c r="GL32" i="1"/>
  <c r="GL34" i="1"/>
  <c r="GL93" i="1"/>
  <c r="GL117" i="1"/>
  <c r="GL154" i="1"/>
  <c r="GL107" i="1"/>
  <c r="GL98" i="1"/>
  <c r="GL138" i="1"/>
  <c r="GL75" i="1"/>
  <c r="GL122" i="1"/>
  <c r="GL84" i="1"/>
  <c r="GL116" i="1"/>
  <c r="GL186" i="1"/>
  <c r="GL89" i="1"/>
  <c r="GL70" i="1"/>
  <c r="GL61" i="1"/>
  <c r="GL74" i="1"/>
  <c r="GL88" i="1"/>
  <c r="GL73" i="1"/>
  <c r="GL111" i="1"/>
  <c r="GL87" i="1"/>
  <c r="GL82" i="1"/>
  <c r="GL53" i="1"/>
  <c r="GL175" i="1"/>
  <c r="GL55" i="1"/>
  <c r="GL51" i="1"/>
  <c r="GL157" i="1"/>
  <c r="GL158" i="1"/>
  <c r="GL83" i="1"/>
  <c r="GL91" i="1"/>
  <c r="GL105" i="1"/>
  <c r="GL103" i="1"/>
  <c r="GL188" i="1"/>
  <c r="GL163" i="1"/>
  <c r="GL101" i="1"/>
  <c r="GL65" i="1"/>
  <c r="GL60" i="1"/>
  <c r="GL80" i="1"/>
  <c r="GL56" i="1"/>
  <c r="GL57" i="1"/>
  <c r="GL25" i="1"/>
  <c r="GL104" i="1"/>
  <c r="GL66" i="1"/>
  <c r="GL58" i="1"/>
  <c r="GL155" i="1"/>
  <c r="GL156" i="1"/>
  <c r="GL134" i="1"/>
  <c r="GL92" i="1"/>
  <c r="GL67" i="1"/>
  <c r="GL126" i="1"/>
  <c r="GL145" i="1"/>
  <c r="GL135" i="1"/>
  <c r="GL159" i="1"/>
  <c r="GL76" i="1"/>
  <c r="GL114" i="1"/>
  <c r="GL161" i="1"/>
  <c r="GL160" i="1"/>
  <c r="GL95" i="1"/>
  <c r="GL120" i="1"/>
  <c r="GL42" i="1"/>
  <c r="GL183" i="1"/>
  <c r="GL112" i="1"/>
  <c r="GL148" i="1"/>
  <c r="GL179" i="1"/>
  <c r="GL128" i="1"/>
  <c r="GL144" i="1"/>
  <c r="GL110" i="1"/>
  <c r="GL81" i="1"/>
  <c r="GL100" i="1"/>
  <c r="GL123" i="1"/>
  <c r="GL86" i="1"/>
  <c r="GL174" i="1"/>
  <c r="GL201" i="1"/>
  <c r="GL90" i="1"/>
  <c r="GL102" i="1"/>
  <c r="GL94" i="1"/>
  <c r="GL119" i="1"/>
  <c r="GL141" i="1"/>
  <c r="GL147" i="1"/>
  <c r="GL165" i="1"/>
  <c r="GL132" i="1"/>
  <c r="GL189" i="1"/>
  <c r="GL133" i="1"/>
  <c r="GL206" i="1"/>
  <c r="GL78" i="1"/>
  <c r="GL143" i="1"/>
  <c r="GL150" i="1"/>
  <c r="GL130" i="1"/>
  <c r="GL96" i="1"/>
  <c r="GL182" i="1"/>
  <c r="GL195" i="1"/>
  <c r="GL178" i="1"/>
  <c r="GL181" i="1"/>
  <c r="GL194" i="1"/>
  <c r="GL208" i="1"/>
  <c r="GL129" i="1"/>
  <c r="GL180" i="1"/>
  <c r="GL140" i="1"/>
  <c r="GL125" i="1"/>
  <c r="GL131" i="1"/>
  <c r="GL173" i="1"/>
  <c r="GL184" i="1"/>
  <c r="GL190" i="1"/>
  <c r="GL142" i="1"/>
  <c r="GL69" i="1"/>
  <c r="GL151" i="1"/>
  <c r="GL193" i="1"/>
  <c r="GL169" i="1"/>
  <c r="GL166" i="1"/>
  <c r="GL97" i="1"/>
  <c r="GL79" i="1"/>
  <c r="GL146" i="1"/>
  <c r="GL204" i="1"/>
  <c r="GL113" i="1"/>
  <c r="GL172" i="1"/>
  <c r="GL171" i="1"/>
  <c r="GL185" i="1"/>
  <c r="GL137" i="1"/>
  <c r="GL205" i="1"/>
  <c r="GL177" i="1"/>
  <c r="GL199" i="1"/>
  <c r="GL106" i="1"/>
  <c r="GL203" i="1"/>
  <c r="GL124" i="1"/>
  <c r="GL170" i="1"/>
  <c r="GL152" i="1"/>
  <c r="GL118" i="1"/>
  <c r="GL198" i="1"/>
  <c r="GL200" i="1"/>
  <c r="GL136" i="1"/>
  <c r="GL108" i="1"/>
  <c r="GL149" i="1"/>
  <c r="GL187" i="1"/>
  <c r="GL168" i="1"/>
  <c r="GL162" i="1"/>
  <c r="GL139" i="1"/>
  <c r="GL196" i="1"/>
  <c r="GL153" i="1"/>
  <c r="GL197" i="1"/>
  <c r="GL176" i="1"/>
  <c r="GL202" i="1"/>
  <c r="GL167" i="1"/>
  <c r="GL207" i="1"/>
  <c r="GL192" i="1"/>
  <c r="GI3" i="1"/>
  <c r="GI2" i="1"/>
  <c r="GI43" i="1"/>
  <c r="GI71" i="1"/>
  <c r="GI7" i="1"/>
  <c r="GI164" i="1"/>
  <c r="GI4" i="1"/>
  <c r="GI99" i="1"/>
  <c r="GI6" i="1"/>
  <c r="GI8" i="1"/>
  <c r="GI10" i="1"/>
  <c r="GI9" i="1"/>
  <c r="GI127" i="1"/>
  <c r="GI11" i="1"/>
  <c r="GI44" i="1"/>
  <c r="GI39" i="1"/>
  <c r="GI45" i="1"/>
  <c r="GI16" i="1"/>
  <c r="GI12" i="1"/>
  <c r="GI48" i="1"/>
  <c r="GI54" i="1"/>
  <c r="GI47" i="1"/>
  <c r="GI20" i="1"/>
  <c r="GI50" i="1"/>
  <c r="GI22" i="1"/>
  <c r="GI49" i="1"/>
  <c r="GI13" i="1"/>
  <c r="GI26" i="1"/>
  <c r="GI52" i="1"/>
  <c r="GI46" i="1"/>
  <c r="GI72" i="1"/>
  <c r="GI5" i="1"/>
  <c r="GI18" i="1"/>
  <c r="GI23" i="1"/>
  <c r="GI15" i="1"/>
  <c r="GI14" i="1"/>
  <c r="GI59" i="1"/>
  <c r="GI38" i="1"/>
  <c r="GI21" i="1"/>
  <c r="GI27" i="1"/>
  <c r="GI17" i="1"/>
  <c r="GI68" i="1"/>
  <c r="GI121" i="1"/>
  <c r="GI24" i="1"/>
  <c r="GI30" i="1"/>
  <c r="GI40" i="1"/>
  <c r="GI35" i="1"/>
  <c r="GI29" i="1"/>
  <c r="GI37" i="1"/>
  <c r="GI28" i="1"/>
  <c r="GI19" i="1"/>
  <c r="GI33" i="1"/>
  <c r="GI109" i="1"/>
  <c r="GI64" i="1"/>
  <c r="GI63" i="1"/>
  <c r="GI77" i="1"/>
  <c r="GI115" i="1"/>
  <c r="GI31" i="1"/>
  <c r="GI41" i="1"/>
  <c r="GI191" i="1"/>
  <c r="GI85" i="1"/>
  <c r="GI62" i="1"/>
  <c r="GI36" i="1"/>
  <c r="GI32" i="1"/>
  <c r="GI34" i="1"/>
  <c r="GI93" i="1"/>
  <c r="GI117" i="1"/>
  <c r="GI154" i="1"/>
  <c r="GI107" i="1"/>
  <c r="GI98" i="1"/>
  <c r="GI138" i="1"/>
  <c r="GI75" i="1"/>
  <c r="GI122" i="1"/>
  <c r="GI84" i="1"/>
  <c r="GI116" i="1"/>
  <c r="GI186" i="1"/>
  <c r="GI89" i="1"/>
  <c r="GI70" i="1"/>
  <c r="GI61" i="1"/>
  <c r="GI74" i="1"/>
  <c r="GI88" i="1"/>
  <c r="GI73" i="1"/>
  <c r="GI111" i="1"/>
  <c r="GI87" i="1"/>
  <c r="GI82" i="1"/>
  <c r="GI53" i="1"/>
  <c r="GI175" i="1"/>
  <c r="GI55" i="1"/>
  <c r="GI51" i="1"/>
  <c r="GI157" i="1"/>
  <c r="GI158" i="1"/>
  <c r="GI83" i="1"/>
  <c r="GI91" i="1"/>
  <c r="GI105" i="1"/>
  <c r="GI103" i="1"/>
  <c r="GI188" i="1"/>
  <c r="GI163" i="1"/>
  <c r="GI101" i="1"/>
  <c r="GI65" i="1"/>
  <c r="GI60" i="1"/>
  <c r="GI80" i="1"/>
  <c r="GI56" i="1"/>
  <c r="GI57" i="1"/>
  <c r="GI25" i="1"/>
  <c r="GI104" i="1"/>
  <c r="GI66" i="1"/>
  <c r="GI58" i="1"/>
  <c r="GI155" i="1"/>
  <c r="GI156" i="1"/>
  <c r="GI134" i="1"/>
  <c r="GI92" i="1"/>
  <c r="GI67" i="1"/>
  <c r="GI126" i="1"/>
  <c r="GI145" i="1"/>
  <c r="GI135" i="1"/>
  <c r="GI159" i="1"/>
  <c r="GI76" i="1"/>
  <c r="GI114" i="1"/>
  <c r="GI161" i="1"/>
  <c r="GI160" i="1"/>
  <c r="GI95" i="1"/>
  <c r="GI120" i="1"/>
  <c r="GI42" i="1"/>
  <c r="GI183" i="1"/>
  <c r="GI112" i="1"/>
  <c r="GI148" i="1"/>
  <c r="GI179" i="1"/>
  <c r="GI128" i="1"/>
  <c r="GI144" i="1"/>
  <c r="GI110" i="1"/>
  <c r="GI81" i="1"/>
  <c r="GI100" i="1"/>
  <c r="GI123" i="1"/>
  <c r="GI86" i="1"/>
  <c r="GI174" i="1"/>
  <c r="GI201" i="1"/>
  <c r="GI90" i="1"/>
  <c r="GI102" i="1"/>
  <c r="GI94" i="1"/>
  <c r="GI119" i="1"/>
  <c r="GI141" i="1"/>
  <c r="GI147" i="1"/>
  <c r="GI165" i="1"/>
  <c r="GI132" i="1"/>
  <c r="GI189" i="1"/>
  <c r="GI133" i="1"/>
  <c r="GI206" i="1"/>
  <c r="GI78" i="1"/>
  <c r="GI143" i="1"/>
  <c r="GI150" i="1"/>
  <c r="GI130" i="1"/>
  <c r="GI96" i="1"/>
  <c r="GI182" i="1"/>
  <c r="GI195" i="1"/>
  <c r="GI178" i="1"/>
  <c r="GI181" i="1"/>
  <c r="GI194" i="1"/>
  <c r="GI208" i="1"/>
  <c r="GI129" i="1"/>
  <c r="GI180" i="1"/>
  <c r="GI140" i="1"/>
  <c r="GI125" i="1"/>
  <c r="GI131" i="1"/>
  <c r="GI173" i="1"/>
  <c r="GI184" i="1"/>
  <c r="GI190" i="1"/>
  <c r="GI142" i="1"/>
  <c r="GI69" i="1"/>
  <c r="GI151" i="1"/>
  <c r="GI193" i="1"/>
  <c r="GI169" i="1"/>
  <c r="GI166" i="1"/>
  <c r="GI97" i="1"/>
  <c r="GI79" i="1"/>
  <c r="GI146" i="1"/>
  <c r="GI204" i="1"/>
  <c r="GI113" i="1"/>
  <c r="GI172" i="1"/>
  <c r="GI171" i="1"/>
  <c r="GI185" i="1"/>
  <c r="GI137" i="1"/>
  <c r="GI205" i="1"/>
  <c r="GI177" i="1"/>
  <c r="GI199" i="1"/>
  <c r="GI106" i="1"/>
  <c r="GI203" i="1"/>
  <c r="GI124" i="1"/>
  <c r="GI170" i="1"/>
  <c r="GI152" i="1"/>
  <c r="GI118" i="1"/>
  <c r="GI198" i="1"/>
  <c r="GI200" i="1"/>
  <c r="GI136" i="1"/>
  <c r="GI108" i="1"/>
  <c r="GI149" i="1"/>
  <c r="GI187" i="1"/>
  <c r="GI168" i="1"/>
  <c r="GI162" i="1"/>
  <c r="GI139" i="1"/>
  <c r="GI196" i="1"/>
  <c r="GI153" i="1"/>
  <c r="GI197" i="1"/>
  <c r="GI176" i="1"/>
  <c r="GI202" i="1"/>
  <c r="GI167" i="1"/>
  <c r="GI207" i="1"/>
  <c r="GI192" i="1"/>
  <c r="GK3" i="1"/>
  <c r="GK2" i="1"/>
  <c r="GK43" i="1"/>
  <c r="GK71" i="1"/>
  <c r="GK7" i="1"/>
  <c r="GK164" i="1"/>
  <c r="GK4" i="1"/>
  <c r="GK99" i="1"/>
  <c r="GK6" i="1"/>
  <c r="GK8" i="1"/>
  <c r="GK10" i="1"/>
  <c r="GK9" i="1"/>
  <c r="GK127" i="1"/>
  <c r="GK11" i="1"/>
  <c r="GK44" i="1"/>
  <c r="GK39" i="1"/>
  <c r="GK45" i="1"/>
  <c r="GK16" i="1"/>
  <c r="GK12" i="1"/>
  <c r="GK48" i="1"/>
  <c r="GK54" i="1"/>
  <c r="GK47" i="1"/>
  <c r="GK20" i="1"/>
  <c r="GK50" i="1"/>
  <c r="GK22" i="1"/>
  <c r="GK49" i="1"/>
  <c r="GK13" i="1"/>
  <c r="GK26" i="1"/>
  <c r="GK52" i="1"/>
  <c r="GK46" i="1"/>
  <c r="GK72" i="1"/>
  <c r="GK5" i="1"/>
  <c r="GK18" i="1"/>
  <c r="GK23" i="1"/>
  <c r="GK15" i="1"/>
  <c r="GK14" i="1"/>
  <c r="GK59" i="1"/>
  <c r="GK38" i="1"/>
  <c r="GK21" i="1"/>
  <c r="GK27" i="1"/>
  <c r="GK17" i="1"/>
  <c r="GK68" i="1"/>
  <c r="GK121" i="1"/>
  <c r="GK24" i="1"/>
  <c r="GK30" i="1"/>
  <c r="GK40" i="1"/>
  <c r="GK35" i="1"/>
  <c r="GK29" i="1"/>
  <c r="GK37" i="1"/>
  <c r="GK28" i="1"/>
  <c r="GK19" i="1"/>
  <c r="GK33" i="1"/>
  <c r="GK109" i="1"/>
  <c r="GK64" i="1"/>
  <c r="GK63" i="1"/>
  <c r="GK77" i="1"/>
  <c r="GK115" i="1"/>
  <c r="GK31" i="1"/>
  <c r="GK41" i="1"/>
  <c r="GK191" i="1"/>
  <c r="GK85" i="1"/>
  <c r="GK62" i="1"/>
  <c r="GK36" i="1"/>
  <c r="GK32" i="1"/>
  <c r="GK34" i="1"/>
  <c r="GK93" i="1"/>
  <c r="GK117" i="1"/>
  <c r="GK154" i="1"/>
  <c r="GK107" i="1"/>
  <c r="GK98" i="1"/>
  <c r="GK138" i="1"/>
  <c r="GK75" i="1"/>
  <c r="GK122" i="1"/>
  <c r="GK84" i="1"/>
  <c r="GK116" i="1"/>
  <c r="GK186" i="1"/>
  <c r="GK89" i="1"/>
  <c r="GK70" i="1"/>
  <c r="GK61" i="1"/>
  <c r="GK74" i="1"/>
  <c r="GK88" i="1"/>
  <c r="GK73" i="1"/>
  <c r="GK111" i="1"/>
  <c r="GK87" i="1"/>
  <c r="GK82" i="1"/>
  <c r="GK53" i="1"/>
  <c r="GK175" i="1"/>
  <c r="GK55" i="1"/>
  <c r="GK51" i="1"/>
  <c r="GK157" i="1"/>
  <c r="GK158" i="1"/>
  <c r="GK83" i="1"/>
  <c r="GK91" i="1"/>
  <c r="GK105" i="1"/>
  <c r="GK103" i="1"/>
  <c r="GK188" i="1"/>
  <c r="GK163" i="1"/>
  <c r="GK101" i="1"/>
  <c r="GK65" i="1"/>
  <c r="GK60" i="1"/>
  <c r="GK80" i="1"/>
  <c r="GK56" i="1"/>
  <c r="GK57" i="1"/>
  <c r="GK25" i="1"/>
  <c r="GK104" i="1"/>
  <c r="GK66" i="1"/>
  <c r="GK58" i="1"/>
  <c r="GK155" i="1"/>
  <c r="GK156" i="1"/>
  <c r="GK134" i="1"/>
  <c r="GK92" i="1"/>
  <c r="GK67" i="1"/>
  <c r="GK126" i="1"/>
  <c r="GK145" i="1"/>
  <c r="GK135" i="1"/>
  <c r="GK159" i="1"/>
  <c r="GK76" i="1"/>
  <c r="GK114" i="1"/>
  <c r="GK161" i="1"/>
  <c r="GK160" i="1"/>
  <c r="GK95" i="1"/>
  <c r="GK120" i="1"/>
  <c r="GK42" i="1"/>
  <c r="GK183" i="1"/>
  <c r="GK112" i="1"/>
  <c r="GK148" i="1"/>
  <c r="GK179" i="1"/>
  <c r="GK128" i="1"/>
  <c r="GK144" i="1"/>
  <c r="GK110" i="1"/>
  <c r="GK81" i="1"/>
  <c r="GK100" i="1"/>
  <c r="GK123" i="1"/>
  <c r="GK86" i="1"/>
  <c r="GK174" i="1"/>
  <c r="GK201" i="1"/>
  <c r="GK90" i="1"/>
  <c r="GK102" i="1"/>
  <c r="GK94" i="1"/>
  <c r="GK119" i="1"/>
  <c r="GK141" i="1"/>
  <c r="GK147" i="1"/>
  <c r="GK165" i="1"/>
  <c r="GK132" i="1"/>
  <c r="GK189" i="1"/>
  <c r="GK133" i="1"/>
  <c r="GK206" i="1"/>
  <c r="GK78" i="1"/>
  <c r="GK143" i="1"/>
  <c r="GK150" i="1"/>
  <c r="GK130" i="1"/>
  <c r="GK96" i="1"/>
  <c r="GK182" i="1"/>
  <c r="GK195" i="1"/>
  <c r="GK178" i="1"/>
  <c r="GK181" i="1"/>
  <c r="GK194" i="1"/>
  <c r="GK208" i="1"/>
  <c r="GK129" i="1"/>
  <c r="GK180" i="1"/>
  <c r="GK140" i="1"/>
  <c r="GK125" i="1"/>
  <c r="GK131" i="1"/>
  <c r="GK173" i="1"/>
  <c r="GK184" i="1"/>
  <c r="GK190" i="1"/>
  <c r="GK142" i="1"/>
  <c r="GK69" i="1"/>
  <c r="GK151" i="1"/>
  <c r="GK193" i="1"/>
  <c r="GK169" i="1"/>
  <c r="GK166" i="1"/>
  <c r="GK97" i="1"/>
  <c r="GK79" i="1"/>
  <c r="GK146" i="1"/>
  <c r="GK204" i="1"/>
  <c r="GK113" i="1"/>
  <c r="GK172" i="1"/>
  <c r="GK171" i="1"/>
  <c r="GK185" i="1"/>
  <c r="GK137" i="1"/>
  <c r="GK205" i="1"/>
  <c r="GK177" i="1"/>
  <c r="GK199" i="1"/>
  <c r="GK106" i="1"/>
  <c r="GK203" i="1"/>
  <c r="GK124" i="1"/>
  <c r="GK170" i="1"/>
  <c r="GK152" i="1"/>
  <c r="GK118" i="1"/>
  <c r="GK198" i="1"/>
  <c r="GK200" i="1"/>
  <c r="GK136" i="1"/>
  <c r="GK108" i="1"/>
  <c r="GK149" i="1"/>
  <c r="GK187" i="1"/>
  <c r="GK168" i="1"/>
  <c r="GK162" i="1"/>
  <c r="GK139" i="1"/>
  <c r="GK196" i="1"/>
  <c r="GK153" i="1"/>
  <c r="GK197" i="1"/>
  <c r="GK176" i="1"/>
  <c r="GK202" i="1"/>
  <c r="GK167" i="1"/>
  <c r="GK207" i="1"/>
  <c r="GK192" i="1"/>
  <c r="GJ3" i="1"/>
  <c r="GJ2" i="1"/>
  <c r="GJ43" i="1"/>
  <c r="GJ71" i="1"/>
  <c r="GJ7" i="1"/>
  <c r="GJ164" i="1"/>
  <c r="GJ4" i="1"/>
  <c r="GJ99" i="1"/>
  <c r="GJ6" i="1"/>
  <c r="GJ8" i="1"/>
  <c r="GJ10" i="1"/>
  <c r="GJ9" i="1"/>
  <c r="GJ127" i="1"/>
  <c r="GJ11" i="1"/>
  <c r="GJ44" i="1"/>
  <c r="GJ39" i="1"/>
  <c r="GJ45" i="1"/>
  <c r="GJ16" i="1"/>
  <c r="GJ12" i="1"/>
  <c r="GJ48" i="1"/>
  <c r="GJ54" i="1"/>
  <c r="GJ47" i="1"/>
  <c r="GJ20" i="1"/>
  <c r="GJ50" i="1"/>
  <c r="GJ22" i="1"/>
  <c r="GJ49" i="1"/>
  <c r="GJ13" i="1"/>
  <c r="GJ26" i="1"/>
  <c r="GJ52" i="1"/>
  <c r="GJ46" i="1"/>
  <c r="GJ72" i="1"/>
  <c r="GJ5" i="1"/>
  <c r="GJ18" i="1"/>
  <c r="GJ23" i="1"/>
  <c r="GJ15" i="1"/>
  <c r="GJ14" i="1"/>
  <c r="GJ59" i="1"/>
  <c r="GJ38" i="1"/>
  <c r="GJ21" i="1"/>
  <c r="GJ27" i="1"/>
  <c r="GJ17" i="1"/>
  <c r="GJ68" i="1"/>
  <c r="GJ121" i="1"/>
  <c r="GJ24" i="1"/>
  <c r="GJ30" i="1"/>
  <c r="GJ40" i="1"/>
  <c r="GJ35" i="1"/>
  <c r="GJ29" i="1"/>
  <c r="GJ37" i="1"/>
  <c r="GJ28" i="1"/>
  <c r="GJ19" i="1"/>
  <c r="GJ33" i="1"/>
  <c r="GJ109" i="1"/>
  <c r="GJ64" i="1"/>
  <c r="GJ63" i="1"/>
  <c r="GJ77" i="1"/>
  <c r="GJ115" i="1"/>
  <c r="GJ31" i="1"/>
  <c r="GJ41" i="1"/>
  <c r="GJ191" i="1"/>
  <c r="GJ85" i="1"/>
  <c r="GJ62" i="1"/>
  <c r="GJ36" i="1"/>
  <c r="GJ32" i="1"/>
  <c r="GJ34" i="1"/>
  <c r="GJ93" i="1"/>
  <c r="GJ117" i="1"/>
  <c r="GJ154" i="1"/>
  <c r="GJ107" i="1"/>
  <c r="GJ98" i="1"/>
  <c r="GJ138" i="1"/>
  <c r="GJ75" i="1"/>
  <c r="GJ122" i="1"/>
  <c r="GJ84" i="1"/>
  <c r="GJ116" i="1"/>
  <c r="GJ186" i="1"/>
  <c r="GJ89" i="1"/>
  <c r="GJ70" i="1"/>
  <c r="GJ61" i="1"/>
  <c r="GJ74" i="1"/>
  <c r="GJ88" i="1"/>
  <c r="GJ73" i="1"/>
  <c r="GJ111" i="1"/>
  <c r="GJ87" i="1"/>
  <c r="GJ82" i="1"/>
  <c r="GJ53" i="1"/>
  <c r="GJ175" i="1"/>
  <c r="GJ55" i="1"/>
  <c r="GJ51" i="1"/>
  <c r="GJ157" i="1"/>
  <c r="GJ158" i="1"/>
  <c r="GJ83" i="1"/>
  <c r="GJ91" i="1"/>
  <c r="GJ105" i="1"/>
  <c r="GJ103" i="1"/>
  <c r="GJ188" i="1"/>
  <c r="GJ163" i="1"/>
  <c r="GJ101" i="1"/>
  <c r="GJ65" i="1"/>
  <c r="GJ60" i="1"/>
  <c r="GJ80" i="1"/>
  <c r="GJ56" i="1"/>
  <c r="GJ57" i="1"/>
  <c r="GJ25" i="1"/>
  <c r="GJ104" i="1"/>
  <c r="GJ66" i="1"/>
  <c r="GJ58" i="1"/>
  <c r="GJ155" i="1"/>
  <c r="GJ156" i="1"/>
  <c r="GJ134" i="1"/>
  <c r="GJ92" i="1"/>
  <c r="GJ67" i="1"/>
  <c r="GJ126" i="1"/>
  <c r="GJ145" i="1"/>
  <c r="GJ135" i="1"/>
  <c r="GJ159" i="1"/>
  <c r="GJ76" i="1"/>
  <c r="GJ114" i="1"/>
  <c r="GJ161" i="1"/>
  <c r="GJ160" i="1"/>
  <c r="GJ95" i="1"/>
  <c r="GJ120" i="1"/>
  <c r="GJ42" i="1"/>
  <c r="GJ183" i="1"/>
  <c r="GJ112" i="1"/>
  <c r="GJ148" i="1"/>
  <c r="GJ179" i="1"/>
  <c r="GJ128" i="1"/>
  <c r="GJ144" i="1"/>
  <c r="GJ110" i="1"/>
  <c r="GJ81" i="1"/>
  <c r="GJ100" i="1"/>
  <c r="GJ123" i="1"/>
  <c r="GJ86" i="1"/>
  <c r="GJ174" i="1"/>
  <c r="GJ201" i="1"/>
  <c r="GJ90" i="1"/>
  <c r="GJ102" i="1"/>
  <c r="GJ94" i="1"/>
  <c r="GJ119" i="1"/>
  <c r="GJ141" i="1"/>
  <c r="GJ147" i="1"/>
  <c r="GJ165" i="1"/>
  <c r="GJ132" i="1"/>
  <c r="GJ189" i="1"/>
  <c r="GJ133" i="1"/>
  <c r="GJ206" i="1"/>
  <c r="GJ78" i="1"/>
  <c r="GJ143" i="1"/>
  <c r="GJ150" i="1"/>
  <c r="GJ130" i="1"/>
  <c r="GJ96" i="1"/>
  <c r="GJ182" i="1"/>
  <c r="GJ195" i="1"/>
  <c r="GJ178" i="1"/>
  <c r="GJ181" i="1"/>
  <c r="GJ194" i="1"/>
  <c r="GJ208" i="1"/>
  <c r="GJ129" i="1"/>
  <c r="GJ180" i="1"/>
  <c r="GJ140" i="1"/>
  <c r="GJ125" i="1"/>
  <c r="GJ131" i="1"/>
  <c r="GJ173" i="1"/>
  <c r="GJ184" i="1"/>
  <c r="GJ190" i="1"/>
  <c r="GJ142" i="1"/>
  <c r="GJ69" i="1"/>
  <c r="GJ151" i="1"/>
  <c r="GJ193" i="1"/>
  <c r="GJ169" i="1"/>
  <c r="GJ166" i="1"/>
  <c r="GJ97" i="1"/>
  <c r="GJ79" i="1"/>
  <c r="GJ146" i="1"/>
  <c r="GJ204" i="1"/>
  <c r="GJ113" i="1"/>
  <c r="GJ172" i="1"/>
  <c r="GJ171" i="1"/>
  <c r="GJ185" i="1"/>
  <c r="GJ137" i="1"/>
  <c r="GJ205" i="1"/>
  <c r="GJ177" i="1"/>
  <c r="GJ199" i="1"/>
  <c r="GJ106" i="1"/>
  <c r="GJ203" i="1"/>
  <c r="GJ124" i="1"/>
  <c r="GJ170" i="1"/>
  <c r="GJ152" i="1"/>
  <c r="GJ118" i="1"/>
  <c r="GJ198" i="1"/>
  <c r="GJ200" i="1"/>
  <c r="GJ136" i="1"/>
  <c r="GJ108" i="1"/>
  <c r="GJ149" i="1"/>
  <c r="GJ187" i="1"/>
  <c r="GJ168" i="1"/>
  <c r="GJ162" i="1"/>
  <c r="GJ139" i="1"/>
  <c r="GJ196" i="1"/>
  <c r="GJ153" i="1"/>
  <c r="GJ197" i="1"/>
  <c r="GJ176" i="1"/>
  <c r="GJ202" i="1"/>
  <c r="GJ167" i="1"/>
  <c r="GJ207" i="1"/>
  <c r="GJ192" i="1"/>
  <c r="V3" i="1"/>
  <c r="V2" i="1"/>
  <c r="V43" i="1"/>
  <c r="V71" i="1"/>
  <c r="V7" i="1"/>
  <c r="V164" i="1"/>
  <c r="V4" i="1"/>
  <c r="V99" i="1"/>
  <c r="V6" i="1"/>
  <c r="V8" i="1"/>
  <c r="V10" i="1"/>
  <c r="V9" i="1"/>
  <c r="V127" i="1"/>
  <c r="V11" i="1"/>
  <c r="V44" i="1"/>
  <c r="V39" i="1"/>
  <c r="V45" i="1"/>
  <c r="V16" i="1"/>
  <c r="V48" i="1"/>
  <c r="V54" i="1"/>
  <c r="V47" i="1"/>
  <c r="V20" i="1"/>
  <c r="V50" i="1"/>
  <c r="V22" i="1"/>
  <c r="V49" i="1"/>
  <c r="V13" i="1"/>
  <c r="V26" i="1"/>
  <c r="V52" i="1"/>
  <c r="V46" i="1"/>
  <c r="V72" i="1"/>
  <c r="V5" i="1"/>
  <c r="V18" i="1"/>
  <c r="V23" i="1"/>
  <c r="V15" i="1"/>
  <c r="V14" i="1"/>
  <c r="V59" i="1"/>
  <c r="V38" i="1"/>
  <c r="V21" i="1"/>
  <c r="V27" i="1"/>
  <c r="V17" i="1"/>
  <c r="V68" i="1"/>
  <c r="V121" i="1"/>
  <c r="V24" i="1"/>
  <c r="V30" i="1"/>
  <c r="V40" i="1"/>
  <c r="V35" i="1"/>
  <c r="V29" i="1"/>
  <c r="V37" i="1"/>
  <c r="V28" i="1"/>
  <c r="V19" i="1"/>
  <c r="V33" i="1"/>
  <c r="V109" i="1"/>
  <c r="V64" i="1"/>
  <c r="V63" i="1"/>
  <c r="V77" i="1"/>
  <c r="V115" i="1"/>
  <c r="V31" i="1"/>
  <c r="V41" i="1"/>
  <c r="V191" i="1"/>
  <c r="V85" i="1"/>
  <c r="V62" i="1"/>
  <c r="V36" i="1"/>
  <c r="V32" i="1"/>
  <c r="V34" i="1"/>
  <c r="V93" i="1"/>
  <c r="V117" i="1"/>
  <c r="V154" i="1"/>
  <c r="V107" i="1"/>
  <c r="V98" i="1"/>
  <c r="V138" i="1"/>
  <c r="V75" i="1"/>
  <c r="V122" i="1"/>
  <c r="V84" i="1"/>
  <c r="V116" i="1"/>
  <c r="V186" i="1"/>
  <c r="V89" i="1"/>
  <c r="V70" i="1"/>
  <c r="V61" i="1"/>
  <c r="V74" i="1"/>
  <c r="V88" i="1"/>
  <c r="V73" i="1"/>
  <c r="V111" i="1"/>
  <c r="V87" i="1"/>
  <c r="V82" i="1"/>
  <c r="V53" i="1"/>
  <c r="V175" i="1"/>
  <c r="V55" i="1"/>
  <c r="V51" i="1"/>
  <c r="V157" i="1"/>
  <c r="V158" i="1"/>
  <c r="V83" i="1"/>
  <c r="V91" i="1"/>
  <c r="V105" i="1"/>
  <c r="V103" i="1"/>
  <c r="V188" i="1"/>
  <c r="V163" i="1"/>
  <c r="V101" i="1"/>
  <c r="V65" i="1"/>
  <c r="V60" i="1"/>
  <c r="V80" i="1"/>
  <c r="V56" i="1"/>
  <c r="V57" i="1"/>
  <c r="V25" i="1"/>
  <c r="V104" i="1"/>
  <c r="V66" i="1"/>
  <c r="V58" i="1"/>
  <c r="V155" i="1"/>
  <c r="V156" i="1"/>
  <c r="V134" i="1"/>
  <c r="V92" i="1"/>
  <c r="V67" i="1"/>
  <c r="V126" i="1"/>
  <c r="V145" i="1"/>
  <c r="V135" i="1"/>
  <c r="V159" i="1"/>
  <c r="V76" i="1"/>
  <c r="V114" i="1"/>
  <c r="V161" i="1"/>
  <c r="V160" i="1"/>
  <c r="V95" i="1"/>
  <c r="V120" i="1"/>
  <c r="V42" i="1"/>
  <c r="V183" i="1"/>
  <c r="V112" i="1"/>
  <c r="V148" i="1"/>
  <c r="V179" i="1"/>
  <c r="V128" i="1"/>
  <c r="V144" i="1"/>
  <c r="V110" i="1"/>
  <c r="V81" i="1"/>
  <c r="V100" i="1"/>
  <c r="V123" i="1"/>
  <c r="V86" i="1"/>
  <c r="V174" i="1"/>
  <c r="V201" i="1"/>
  <c r="V90" i="1"/>
  <c r="V102" i="1"/>
  <c r="V94" i="1"/>
  <c r="V119" i="1"/>
  <c r="V141" i="1"/>
  <c r="V147" i="1"/>
  <c r="V165" i="1"/>
  <c r="V132" i="1"/>
  <c r="V189" i="1"/>
  <c r="V133" i="1"/>
  <c r="V206" i="1"/>
  <c r="V78" i="1"/>
  <c r="V143" i="1"/>
  <c r="V150" i="1"/>
  <c r="V130" i="1"/>
  <c r="V96" i="1"/>
  <c r="V182" i="1"/>
  <c r="V195" i="1"/>
  <c r="V178" i="1"/>
  <c r="V181" i="1"/>
  <c r="V194" i="1"/>
  <c r="V208" i="1"/>
  <c r="V129" i="1"/>
  <c r="V180" i="1"/>
  <c r="V140" i="1"/>
  <c r="V125" i="1"/>
  <c r="V131" i="1"/>
  <c r="V173" i="1"/>
  <c r="V184" i="1"/>
  <c r="V190" i="1"/>
  <c r="V142" i="1"/>
  <c r="V69" i="1"/>
  <c r="V151" i="1"/>
  <c r="V193" i="1"/>
  <c r="V169" i="1"/>
  <c r="V166" i="1"/>
  <c r="V97" i="1"/>
  <c r="V79" i="1"/>
  <c r="V146" i="1"/>
  <c r="V204" i="1"/>
  <c r="V113" i="1"/>
  <c r="V172" i="1"/>
  <c r="V171" i="1"/>
  <c r="V185" i="1"/>
  <c r="V137" i="1"/>
  <c r="V205" i="1"/>
  <c r="V177" i="1"/>
  <c r="V199" i="1"/>
  <c r="V106" i="1"/>
  <c r="V203" i="1"/>
  <c r="V124" i="1"/>
  <c r="V170" i="1"/>
  <c r="V152" i="1"/>
  <c r="V118" i="1"/>
  <c r="V198" i="1"/>
  <c r="V200" i="1"/>
  <c r="V136" i="1"/>
  <c r="V108" i="1"/>
  <c r="V149" i="1"/>
  <c r="V187" i="1"/>
  <c r="V168" i="1"/>
  <c r="V162" i="1"/>
  <c r="V139" i="1"/>
  <c r="V196" i="1"/>
  <c r="V153" i="1"/>
  <c r="V197" i="1"/>
  <c r="V176" i="1"/>
  <c r="V202" i="1"/>
  <c r="V167" i="1"/>
  <c r="V207" i="1"/>
  <c r="V192" i="1"/>
  <c r="C9" i="1"/>
  <c r="P18" i="1"/>
  <c r="O210" i="1"/>
  <c r="N210" i="1"/>
  <c r="M210" i="1"/>
  <c r="I9" i="1"/>
  <c r="J9" i="1"/>
  <c r="K9" i="1"/>
  <c r="MM9" i="1"/>
  <c r="MN9" i="1"/>
  <c r="MO9" i="1"/>
  <c r="MP9" i="1"/>
  <c r="MQ9" i="1"/>
  <c r="MR9" i="1"/>
  <c r="MS9" i="1"/>
  <c r="MT9" i="1"/>
  <c r="MW9" i="1"/>
  <c r="MX9" i="1"/>
  <c r="MY9" i="1"/>
  <c r="MZ9" i="1"/>
  <c r="NA9" i="1"/>
  <c r="NB9" i="1"/>
  <c r="NE9" i="1"/>
  <c r="NF9" i="1"/>
  <c r="NC9" i="1"/>
  <c r="ND9" i="1"/>
  <c r="NG9" i="1"/>
  <c r="NH9" i="1"/>
  <c r="NI9" i="1"/>
  <c r="NJ9" i="1"/>
  <c r="NK9" i="1"/>
  <c r="NL9" i="1"/>
  <c r="NM9" i="1"/>
  <c r="NN9" i="1"/>
  <c r="NO9" i="1"/>
  <c r="NP9" i="1"/>
  <c r="NQ9" i="1"/>
  <c r="NR9" i="1"/>
  <c r="NS9" i="1"/>
  <c r="NT9" i="1"/>
  <c r="NU9" i="1"/>
  <c r="NV9" i="1"/>
  <c r="NW9" i="1"/>
  <c r="NX9" i="1"/>
  <c r="NY9" i="1"/>
  <c r="NZ9" i="1"/>
  <c r="OA9" i="1"/>
  <c r="OB9" i="1"/>
  <c r="OC9" i="1"/>
  <c r="OD9" i="1"/>
  <c r="OE9" i="1"/>
  <c r="OF9" i="1"/>
  <c r="OG9" i="1"/>
  <c r="OH9" i="1"/>
  <c r="OI9" i="1"/>
  <c r="OJ9" i="1"/>
  <c r="OM9" i="1"/>
  <c r="ON9" i="1"/>
  <c r="OO9" i="1"/>
  <c r="OP9" i="1"/>
  <c r="OQ9" i="1"/>
  <c r="OR9" i="1"/>
  <c r="OS9" i="1"/>
  <c r="OT9" i="1"/>
  <c r="OU9" i="1"/>
  <c r="OV9" i="1"/>
  <c r="OW9" i="1"/>
  <c r="OX9" i="1"/>
  <c r="OY9" i="1"/>
  <c r="PA9" i="1"/>
  <c r="PC9" i="1"/>
  <c r="PD9" i="1"/>
  <c r="PB9" i="1"/>
  <c r="PE9" i="1"/>
  <c r="PF9" i="1"/>
  <c r="PG9" i="1"/>
  <c r="PH9" i="1"/>
  <c r="PI9" i="1"/>
  <c r="PJ9" i="1"/>
  <c r="PK9" i="1"/>
  <c r="PL9" i="1"/>
  <c r="PM9" i="1"/>
  <c r="PN9" i="1"/>
  <c r="PO9" i="1"/>
  <c r="PQ9" i="1"/>
  <c r="PR9" i="1"/>
  <c r="PT9" i="1"/>
  <c r="PU9" i="1"/>
  <c r="PZ9" i="1"/>
  <c r="QA9" i="1"/>
  <c r="QB9" i="1"/>
  <c r="QC9" i="1"/>
  <c r="QD9" i="1"/>
  <c r="QE9" i="1"/>
  <c r="QF9" i="1"/>
  <c r="QG9" i="1"/>
  <c r="QH9" i="1"/>
  <c r="QI9" i="1"/>
  <c r="QJ9" i="1"/>
  <c r="QK9" i="1"/>
  <c r="QL9" i="1"/>
  <c r="QM9" i="1"/>
  <c r="QN9" i="1"/>
  <c r="QO9" i="1"/>
  <c r="QP9" i="1"/>
  <c r="QQ9" i="1"/>
  <c r="QR9" i="1"/>
  <c r="QS9" i="1"/>
  <c r="QT9" i="1"/>
  <c r="QU9" i="1"/>
  <c r="QV9" i="1"/>
  <c r="QW9" i="1"/>
  <c r="QX9" i="1"/>
  <c r="I4" i="1"/>
  <c r="J4" i="1"/>
  <c r="K4" i="1"/>
  <c r="MM4" i="1"/>
  <c r="MN4" i="1"/>
  <c r="MO4" i="1"/>
  <c r="MP4" i="1"/>
  <c r="MQ4" i="1"/>
  <c r="MR4" i="1"/>
  <c r="MS4" i="1"/>
  <c r="MT4" i="1"/>
  <c r="MW4" i="1"/>
  <c r="MX4" i="1"/>
  <c r="MY4" i="1"/>
  <c r="MZ4" i="1"/>
  <c r="NA4" i="1"/>
  <c r="NB4" i="1"/>
  <c r="NE4" i="1"/>
  <c r="NF4" i="1"/>
  <c r="NC4" i="1"/>
  <c r="ND4" i="1"/>
  <c r="NG4" i="1"/>
  <c r="NH4" i="1"/>
  <c r="NI4" i="1"/>
  <c r="NJ4" i="1"/>
  <c r="NK4" i="1"/>
  <c r="NL4" i="1"/>
  <c r="NM4" i="1"/>
  <c r="NN4" i="1"/>
  <c r="NO4" i="1"/>
  <c r="NP4" i="1"/>
  <c r="NQ4" i="1"/>
  <c r="NR4" i="1"/>
  <c r="NS4" i="1"/>
  <c r="NT4" i="1"/>
  <c r="NU4" i="1"/>
  <c r="NV4" i="1"/>
  <c r="NW4" i="1"/>
  <c r="NX4" i="1"/>
  <c r="NY4" i="1"/>
  <c r="NZ4" i="1"/>
  <c r="OA4" i="1"/>
  <c r="OB4" i="1"/>
  <c r="OC4" i="1"/>
  <c r="OD4" i="1"/>
  <c r="OE4" i="1"/>
  <c r="OF4" i="1"/>
  <c r="OG4" i="1"/>
  <c r="OH4" i="1"/>
  <c r="OI4" i="1"/>
  <c r="OJ4" i="1"/>
  <c r="OM4" i="1"/>
  <c r="ON4" i="1"/>
  <c r="OO4" i="1"/>
  <c r="OP4" i="1"/>
  <c r="OQ4" i="1"/>
  <c r="OR4" i="1"/>
  <c r="OS4" i="1"/>
  <c r="OT4" i="1"/>
  <c r="OU4" i="1"/>
  <c r="OV4" i="1"/>
  <c r="OW4" i="1"/>
  <c r="OX4" i="1"/>
  <c r="OY4" i="1"/>
  <c r="PA4" i="1"/>
  <c r="PC4" i="1"/>
  <c r="PD4" i="1"/>
  <c r="PB4" i="1"/>
  <c r="PE4" i="1"/>
  <c r="PF4" i="1"/>
  <c r="PG4" i="1"/>
  <c r="PH4" i="1"/>
  <c r="PI4" i="1"/>
  <c r="PJ4" i="1"/>
  <c r="PK4" i="1"/>
  <c r="PL4" i="1"/>
  <c r="PM4" i="1"/>
  <c r="PN4" i="1"/>
  <c r="PO4" i="1"/>
  <c r="PQ4" i="1"/>
  <c r="PR4" i="1"/>
  <c r="PT4" i="1"/>
  <c r="PU4" i="1"/>
  <c r="PZ4" i="1"/>
  <c r="QA4" i="1"/>
  <c r="QB4" i="1"/>
  <c r="QC4" i="1"/>
  <c r="QD4" i="1"/>
  <c r="QE4" i="1"/>
  <c r="QF4" i="1"/>
  <c r="QG4" i="1"/>
  <c r="QH4" i="1"/>
  <c r="QI4" i="1"/>
  <c r="QJ4" i="1"/>
  <c r="QK4" i="1"/>
  <c r="QL4" i="1"/>
  <c r="QM4" i="1"/>
  <c r="QN4" i="1"/>
  <c r="QO4" i="1"/>
  <c r="QP4" i="1"/>
  <c r="QQ4" i="1"/>
  <c r="QR4" i="1"/>
  <c r="QS4" i="1"/>
  <c r="QT4" i="1"/>
  <c r="QU4" i="1"/>
  <c r="QV4" i="1"/>
  <c r="QW4" i="1"/>
  <c r="QX4" i="1"/>
  <c r="I27" i="1"/>
  <c r="J27" i="1"/>
  <c r="K27" i="1"/>
  <c r="MM27" i="1"/>
  <c r="MN27" i="1"/>
  <c r="MO27" i="1"/>
  <c r="MP27" i="1"/>
  <c r="MQ27" i="1"/>
  <c r="MR27" i="1"/>
  <c r="MS27" i="1"/>
  <c r="MT27" i="1"/>
  <c r="MW27" i="1"/>
  <c r="MX27" i="1"/>
  <c r="MY27" i="1"/>
  <c r="MZ27" i="1"/>
  <c r="NA27" i="1"/>
  <c r="NB27" i="1"/>
  <c r="NE27" i="1"/>
  <c r="NF27" i="1"/>
  <c r="NC27" i="1"/>
  <c r="ND27" i="1"/>
  <c r="NG27" i="1"/>
  <c r="NH27" i="1"/>
  <c r="NI27" i="1"/>
  <c r="NJ27" i="1"/>
  <c r="NK27" i="1"/>
  <c r="NL27" i="1"/>
  <c r="NM27" i="1"/>
  <c r="NN27" i="1"/>
  <c r="NO27" i="1"/>
  <c r="NP27" i="1"/>
  <c r="NQ27" i="1"/>
  <c r="NR27" i="1"/>
  <c r="NS27" i="1"/>
  <c r="NT27" i="1"/>
  <c r="NU27" i="1"/>
  <c r="NV27" i="1"/>
  <c r="NW27" i="1"/>
  <c r="NX27" i="1"/>
  <c r="NY27" i="1"/>
  <c r="NZ27" i="1"/>
  <c r="OA27" i="1"/>
  <c r="OB27" i="1"/>
  <c r="OC27" i="1"/>
  <c r="OD27" i="1"/>
  <c r="OE27" i="1"/>
  <c r="OF27" i="1"/>
  <c r="OG27" i="1"/>
  <c r="OH27" i="1"/>
  <c r="OI27" i="1"/>
  <c r="OJ27" i="1"/>
  <c r="OM27" i="1"/>
  <c r="ON27" i="1"/>
  <c r="OO27" i="1"/>
  <c r="OP27" i="1"/>
  <c r="OQ27" i="1"/>
  <c r="OR27" i="1"/>
  <c r="OS27" i="1"/>
  <c r="OT27" i="1"/>
  <c r="OU27" i="1"/>
  <c r="OV27" i="1"/>
  <c r="OW27" i="1"/>
  <c r="OX27" i="1"/>
  <c r="OY27" i="1"/>
  <c r="PA27" i="1"/>
  <c r="PC27" i="1"/>
  <c r="PD27" i="1"/>
  <c r="PB27" i="1"/>
  <c r="PE27" i="1"/>
  <c r="PF27" i="1"/>
  <c r="PG27" i="1"/>
  <c r="PH27" i="1"/>
  <c r="PI27" i="1"/>
  <c r="PJ27" i="1"/>
  <c r="PK27" i="1"/>
  <c r="PL27" i="1"/>
  <c r="PM27" i="1"/>
  <c r="PN27" i="1"/>
  <c r="PO27" i="1"/>
  <c r="PQ27" i="1"/>
  <c r="PR27" i="1"/>
  <c r="PT27" i="1"/>
  <c r="PU27" i="1"/>
  <c r="PZ27" i="1"/>
  <c r="QA27" i="1"/>
  <c r="QB27" i="1"/>
  <c r="QC27" i="1"/>
  <c r="QD27" i="1"/>
  <c r="QE27" i="1"/>
  <c r="QF27" i="1"/>
  <c r="QG27" i="1"/>
  <c r="QH27" i="1"/>
  <c r="QI27" i="1"/>
  <c r="QJ27" i="1"/>
  <c r="QK27" i="1"/>
  <c r="QL27" i="1"/>
  <c r="QM27" i="1"/>
  <c r="QN27" i="1"/>
  <c r="QO27" i="1"/>
  <c r="QP27" i="1"/>
  <c r="QQ27" i="1"/>
  <c r="QR27" i="1"/>
  <c r="QS27" i="1"/>
  <c r="QT27" i="1"/>
  <c r="QU27" i="1"/>
  <c r="QV27" i="1"/>
  <c r="QW27" i="1"/>
  <c r="QX27" i="1"/>
  <c r="I40" i="1"/>
  <c r="J40" i="1"/>
  <c r="K40" i="1"/>
  <c r="MM40" i="1"/>
  <c r="MN40" i="1"/>
  <c r="MO40" i="1"/>
  <c r="MP40" i="1"/>
  <c r="MQ40" i="1"/>
  <c r="MR40" i="1"/>
  <c r="MS40" i="1"/>
  <c r="MT40" i="1"/>
  <c r="MW40" i="1"/>
  <c r="MX40" i="1"/>
  <c r="MY40" i="1"/>
  <c r="MZ40" i="1"/>
  <c r="NA40" i="1"/>
  <c r="NB40" i="1"/>
  <c r="NE40" i="1"/>
  <c r="NF40" i="1"/>
  <c r="NC40" i="1"/>
  <c r="ND40" i="1"/>
  <c r="NG40" i="1"/>
  <c r="NH40" i="1"/>
  <c r="NI40" i="1"/>
  <c r="NJ40" i="1"/>
  <c r="NK40" i="1"/>
  <c r="NL40" i="1"/>
  <c r="NM40" i="1"/>
  <c r="NN40" i="1"/>
  <c r="NO40" i="1"/>
  <c r="NP40" i="1"/>
  <c r="NQ40" i="1"/>
  <c r="NR40" i="1"/>
  <c r="NS40" i="1"/>
  <c r="NT40" i="1"/>
  <c r="NU40" i="1"/>
  <c r="NV40" i="1"/>
  <c r="NW40" i="1"/>
  <c r="NX40" i="1"/>
  <c r="NY40" i="1"/>
  <c r="NZ40" i="1"/>
  <c r="OA40" i="1"/>
  <c r="OB40" i="1"/>
  <c r="OC40" i="1"/>
  <c r="OD40" i="1"/>
  <c r="OE40" i="1"/>
  <c r="OF40" i="1"/>
  <c r="OG40" i="1"/>
  <c r="OH40" i="1"/>
  <c r="OI40" i="1"/>
  <c r="OJ40" i="1"/>
  <c r="OM40" i="1"/>
  <c r="ON40" i="1"/>
  <c r="OO40" i="1"/>
  <c r="OP40" i="1"/>
  <c r="OQ40" i="1"/>
  <c r="OR40" i="1"/>
  <c r="OS40" i="1"/>
  <c r="OT40" i="1"/>
  <c r="OU40" i="1"/>
  <c r="OV40" i="1"/>
  <c r="OW40" i="1"/>
  <c r="OX40" i="1"/>
  <c r="OY40" i="1"/>
  <c r="PA40" i="1"/>
  <c r="PC40" i="1"/>
  <c r="PD40" i="1"/>
  <c r="PB40" i="1"/>
  <c r="PE40" i="1"/>
  <c r="PF40" i="1"/>
  <c r="PG40" i="1"/>
  <c r="PH40" i="1"/>
  <c r="PI40" i="1"/>
  <c r="PJ40" i="1"/>
  <c r="PK40" i="1"/>
  <c r="PL40" i="1"/>
  <c r="PM40" i="1"/>
  <c r="PN40" i="1"/>
  <c r="PO40" i="1"/>
  <c r="PQ40" i="1"/>
  <c r="PR40" i="1"/>
  <c r="PT40" i="1"/>
  <c r="PU40" i="1"/>
  <c r="PZ40" i="1"/>
  <c r="QA40" i="1"/>
  <c r="QB40" i="1"/>
  <c r="QC40" i="1"/>
  <c r="QD40" i="1"/>
  <c r="QE40" i="1"/>
  <c r="QF40" i="1"/>
  <c r="QG40" i="1"/>
  <c r="QH40" i="1"/>
  <c r="QI40" i="1"/>
  <c r="QJ40" i="1"/>
  <c r="QK40" i="1"/>
  <c r="QL40" i="1"/>
  <c r="QM40" i="1"/>
  <c r="QN40" i="1"/>
  <c r="QO40" i="1"/>
  <c r="QP40" i="1"/>
  <c r="QQ40" i="1"/>
  <c r="QR40" i="1"/>
  <c r="QS40" i="1"/>
  <c r="QT40" i="1"/>
  <c r="QU40" i="1"/>
  <c r="QV40" i="1"/>
  <c r="QW40" i="1"/>
  <c r="QX40" i="1"/>
  <c r="I6" i="1"/>
  <c r="J6" i="1"/>
  <c r="K6" i="1"/>
  <c r="MM6" i="1"/>
  <c r="MN6" i="1"/>
  <c r="MO6" i="1"/>
  <c r="MP6" i="1"/>
  <c r="MQ6" i="1"/>
  <c r="MR6" i="1"/>
  <c r="MS6" i="1"/>
  <c r="MT6" i="1"/>
  <c r="MW6" i="1"/>
  <c r="MX6" i="1"/>
  <c r="MY6" i="1"/>
  <c r="MZ6" i="1"/>
  <c r="NA6" i="1"/>
  <c r="NB6" i="1"/>
  <c r="NE6" i="1"/>
  <c r="NF6" i="1"/>
  <c r="NC6" i="1"/>
  <c r="ND6" i="1"/>
  <c r="NG6" i="1"/>
  <c r="NH6" i="1"/>
  <c r="NI6" i="1"/>
  <c r="NJ6" i="1"/>
  <c r="NK6" i="1"/>
  <c r="NL6" i="1"/>
  <c r="NM6" i="1"/>
  <c r="NN6" i="1"/>
  <c r="NO6" i="1"/>
  <c r="NP6" i="1"/>
  <c r="NQ6" i="1"/>
  <c r="NR6" i="1"/>
  <c r="NS6" i="1"/>
  <c r="NT6" i="1"/>
  <c r="NU6" i="1"/>
  <c r="NV6" i="1"/>
  <c r="NW6" i="1"/>
  <c r="NX6" i="1"/>
  <c r="NY6" i="1"/>
  <c r="NZ6" i="1"/>
  <c r="OA6" i="1"/>
  <c r="OB6" i="1"/>
  <c r="OC6" i="1"/>
  <c r="OD6" i="1"/>
  <c r="OE6" i="1"/>
  <c r="OF6" i="1"/>
  <c r="OG6" i="1"/>
  <c r="OH6" i="1"/>
  <c r="OI6" i="1"/>
  <c r="OJ6" i="1"/>
  <c r="OM6" i="1"/>
  <c r="ON6" i="1"/>
  <c r="OO6" i="1"/>
  <c r="OP6" i="1"/>
  <c r="OQ6" i="1"/>
  <c r="OR6" i="1"/>
  <c r="OS6" i="1"/>
  <c r="OT6" i="1"/>
  <c r="OU6" i="1"/>
  <c r="OV6" i="1"/>
  <c r="OW6" i="1"/>
  <c r="OX6" i="1"/>
  <c r="OY6" i="1"/>
  <c r="PA6" i="1"/>
  <c r="PC6" i="1"/>
  <c r="PD6" i="1"/>
  <c r="PB6" i="1"/>
  <c r="PE6" i="1"/>
  <c r="PF6" i="1"/>
  <c r="PG6" i="1"/>
  <c r="PH6" i="1"/>
  <c r="PI6" i="1"/>
  <c r="PJ6" i="1"/>
  <c r="PK6" i="1"/>
  <c r="PL6" i="1"/>
  <c r="PM6" i="1"/>
  <c r="PN6" i="1"/>
  <c r="PO6" i="1"/>
  <c r="PQ6" i="1"/>
  <c r="PR6" i="1"/>
  <c r="PT6" i="1"/>
  <c r="PU6" i="1"/>
  <c r="PZ6" i="1"/>
  <c r="QA6" i="1"/>
  <c r="QB6" i="1"/>
  <c r="QC6" i="1"/>
  <c r="QD6" i="1"/>
  <c r="QE6" i="1"/>
  <c r="QF6" i="1"/>
  <c r="QG6" i="1"/>
  <c r="QH6" i="1"/>
  <c r="QI6" i="1"/>
  <c r="QJ6" i="1"/>
  <c r="QK6" i="1"/>
  <c r="QL6" i="1"/>
  <c r="QM6" i="1"/>
  <c r="QN6" i="1"/>
  <c r="QO6" i="1"/>
  <c r="QP6" i="1"/>
  <c r="QQ6" i="1"/>
  <c r="QR6" i="1"/>
  <c r="QS6" i="1"/>
  <c r="QT6" i="1"/>
  <c r="QU6" i="1"/>
  <c r="QV6" i="1"/>
  <c r="QW6" i="1"/>
  <c r="QX6" i="1"/>
  <c r="I2" i="1"/>
  <c r="J2" i="1"/>
  <c r="K2" i="1"/>
  <c r="MM2" i="1"/>
  <c r="MN2" i="1"/>
  <c r="MO2" i="1"/>
  <c r="MP2" i="1"/>
  <c r="MQ2" i="1"/>
  <c r="MR2" i="1"/>
  <c r="MS2" i="1"/>
  <c r="MT2" i="1"/>
  <c r="MW2" i="1"/>
  <c r="MX2" i="1"/>
  <c r="MY2" i="1"/>
  <c r="MZ2" i="1"/>
  <c r="NA2" i="1"/>
  <c r="NB2" i="1"/>
  <c r="NE2" i="1"/>
  <c r="NF2" i="1"/>
  <c r="NC2" i="1"/>
  <c r="ND2" i="1"/>
  <c r="NG2" i="1"/>
  <c r="NH2" i="1"/>
  <c r="NI2" i="1"/>
  <c r="NJ2" i="1"/>
  <c r="NK2" i="1"/>
  <c r="NL2" i="1"/>
  <c r="NM2" i="1"/>
  <c r="NN2" i="1"/>
  <c r="NO2" i="1"/>
  <c r="NP2" i="1"/>
  <c r="NQ2" i="1"/>
  <c r="NR2" i="1"/>
  <c r="NS2" i="1"/>
  <c r="NT2" i="1"/>
  <c r="NU2" i="1"/>
  <c r="NV2" i="1"/>
  <c r="NW2" i="1"/>
  <c r="NX2" i="1"/>
  <c r="NY2" i="1"/>
  <c r="NZ2" i="1"/>
  <c r="OA2" i="1"/>
  <c r="OB2" i="1"/>
  <c r="OC2" i="1"/>
  <c r="OD2" i="1"/>
  <c r="OE2" i="1"/>
  <c r="OF2" i="1"/>
  <c r="OG2" i="1"/>
  <c r="OH2" i="1"/>
  <c r="OI2" i="1"/>
  <c r="OJ2" i="1"/>
  <c r="OM2" i="1"/>
  <c r="ON2" i="1"/>
  <c r="OO2" i="1"/>
  <c r="OP2" i="1"/>
  <c r="OQ2" i="1"/>
  <c r="OR2" i="1"/>
  <c r="OS2" i="1"/>
  <c r="OT2" i="1"/>
  <c r="OU2" i="1"/>
  <c r="OV2" i="1"/>
  <c r="OW2" i="1"/>
  <c r="OX2" i="1"/>
  <c r="PA2" i="1"/>
  <c r="PC2" i="1"/>
  <c r="PD2" i="1"/>
  <c r="PB2" i="1"/>
  <c r="PE2" i="1"/>
  <c r="PF2" i="1"/>
  <c r="PG2" i="1"/>
  <c r="PH2" i="1"/>
  <c r="PI2" i="1"/>
  <c r="PJ2" i="1"/>
  <c r="PK2" i="1"/>
  <c r="PL2" i="1"/>
  <c r="PM2" i="1"/>
  <c r="PN2" i="1"/>
  <c r="PO2" i="1"/>
  <c r="PQ2" i="1"/>
  <c r="PU2" i="1"/>
  <c r="QA2" i="1"/>
  <c r="QB2" i="1"/>
  <c r="QC2" i="1"/>
  <c r="QD2" i="1"/>
  <c r="QE2" i="1"/>
  <c r="QF2" i="1"/>
  <c r="QG2" i="1"/>
  <c r="QH2" i="1"/>
  <c r="QI2" i="1"/>
  <c r="QJ2" i="1"/>
  <c r="QK2" i="1"/>
  <c r="QL2" i="1"/>
  <c r="QM2" i="1"/>
  <c r="QN2" i="1"/>
  <c r="QO2" i="1"/>
  <c r="QP2" i="1"/>
  <c r="QQ2" i="1"/>
  <c r="QR2" i="1"/>
  <c r="QS2" i="1"/>
  <c r="QT2" i="1"/>
  <c r="QU2" i="1"/>
  <c r="QV2" i="1"/>
  <c r="QW2" i="1"/>
  <c r="QX2" i="1"/>
  <c r="I3" i="1"/>
  <c r="J3" i="1"/>
  <c r="K3" i="1"/>
  <c r="MM3" i="1"/>
  <c r="MN3" i="1"/>
  <c r="MO3" i="1"/>
  <c r="MP3" i="1"/>
  <c r="MQ3" i="1"/>
  <c r="MR3" i="1"/>
  <c r="MS3" i="1"/>
  <c r="MT3" i="1"/>
  <c r="MW3" i="1"/>
  <c r="MX3" i="1"/>
  <c r="MY3" i="1"/>
  <c r="MZ3" i="1"/>
  <c r="NA3" i="1"/>
  <c r="NB3" i="1"/>
  <c r="NE3" i="1"/>
  <c r="NF3" i="1"/>
  <c r="NC3" i="1"/>
  <c r="ND3" i="1"/>
  <c r="NG3" i="1"/>
  <c r="NH3" i="1"/>
  <c r="NI3" i="1"/>
  <c r="NJ3" i="1"/>
  <c r="NK3" i="1"/>
  <c r="NL3" i="1"/>
  <c r="NM3" i="1"/>
  <c r="NN3" i="1"/>
  <c r="NO3" i="1"/>
  <c r="NP3" i="1"/>
  <c r="NQ3" i="1"/>
  <c r="NR3" i="1"/>
  <c r="NS3" i="1"/>
  <c r="NT3" i="1"/>
  <c r="NU3" i="1"/>
  <c r="NV3" i="1"/>
  <c r="NW3" i="1"/>
  <c r="NX3" i="1"/>
  <c r="NY3" i="1"/>
  <c r="NZ3" i="1"/>
  <c r="OA3" i="1"/>
  <c r="OB3" i="1"/>
  <c r="OC3" i="1"/>
  <c r="OD3" i="1"/>
  <c r="OE3" i="1"/>
  <c r="OF3" i="1"/>
  <c r="OG3" i="1"/>
  <c r="OH3" i="1"/>
  <c r="OI3" i="1"/>
  <c r="OJ3" i="1"/>
  <c r="OO3" i="1"/>
  <c r="OP3" i="1"/>
  <c r="OQ3" i="1"/>
  <c r="OR3" i="1"/>
  <c r="OS3" i="1"/>
  <c r="OT3" i="1"/>
  <c r="OU3" i="1"/>
  <c r="OV3" i="1"/>
  <c r="OW3" i="1"/>
  <c r="OX3" i="1"/>
  <c r="OY3" i="1"/>
  <c r="PA3" i="1"/>
  <c r="PC3" i="1"/>
  <c r="PD3" i="1"/>
  <c r="PB3" i="1"/>
  <c r="PE3" i="1"/>
  <c r="PF3" i="1"/>
  <c r="PG3" i="1"/>
  <c r="PH3" i="1"/>
  <c r="PI3" i="1"/>
  <c r="PJ3" i="1"/>
  <c r="PK3" i="1"/>
  <c r="PL3" i="1"/>
  <c r="PM3" i="1"/>
  <c r="PN3" i="1"/>
  <c r="PO3" i="1"/>
  <c r="PR3" i="1"/>
  <c r="PT3" i="1"/>
  <c r="PU3" i="1"/>
  <c r="PZ3" i="1"/>
  <c r="QA3" i="1"/>
  <c r="QB3" i="1"/>
  <c r="QC3" i="1"/>
  <c r="QD3" i="1"/>
  <c r="QE3" i="1"/>
  <c r="QF3" i="1"/>
  <c r="QG3" i="1"/>
  <c r="QH3" i="1"/>
  <c r="QI3" i="1"/>
  <c r="QJ3" i="1"/>
  <c r="QK3" i="1"/>
  <c r="QL3" i="1"/>
  <c r="QM3" i="1"/>
  <c r="QN3" i="1"/>
  <c r="QO3" i="1"/>
  <c r="QP3" i="1"/>
  <c r="QQ3" i="1"/>
  <c r="QR3" i="1"/>
  <c r="QS3" i="1"/>
  <c r="QT3" i="1"/>
  <c r="QU3" i="1"/>
  <c r="QV3" i="1"/>
  <c r="QW3" i="1"/>
  <c r="QX3" i="1"/>
  <c r="I7" i="1"/>
  <c r="J7" i="1"/>
  <c r="K7" i="1"/>
  <c r="MM7" i="1"/>
  <c r="MN7" i="1"/>
  <c r="MO7" i="1"/>
  <c r="MP7" i="1"/>
  <c r="MQ7" i="1"/>
  <c r="MR7" i="1"/>
  <c r="MS7" i="1"/>
  <c r="MT7" i="1"/>
  <c r="MW7" i="1"/>
  <c r="MX7" i="1"/>
  <c r="MY7" i="1"/>
  <c r="MZ7" i="1"/>
  <c r="NA7" i="1"/>
  <c r="NB7" i="1"/>
  <c r="NE7" i="1"/>
  <c r="NF7" i="1"/>
  <c r="NC7" i="1"/>
  <c r="ND7" i="1"/>
  <c r="NG7" i="1"/>
  <c r="NH7" i="1"/>
  <c r="NI7" i="1"/>
  <c r="NJ7" i="1"/>
  <c r="NK7" i="1"/>
  <c r="NL7" i="1"/>
  <c r="NM7" i="1"/>
  <c r="NN7" i="1"/>
  <c r="NO7" i="1"/>
  <c r="NP7" i="1"/>
  <c r="NQ7" i="1"/>
  <c r="NR7" i="1"/>
  <c r="NS7" i="1"/>
  <c r="NT7" i="1"/>
  <c r="NU7" i="1"/>
  <c r="NV7" i="1"/>
  <c r="NW7" i="1"/>
  <c r="NX7" i="1"/>
  <c r="NY7" i="1"/>
  <c r="NZ7" i="1"/>
  <c r="OA7" i="1"/>
  <c r="OB7" i="1"/>
  <c r="OC7" i="1"/>
  <c r="OD7" i="1"/>
  <c r="OE7" i="1"/>
  <c r="OF7" i="1"/>
  <c r="OG7" i="1"/>
  <c r="OH7" i="1"/>
  <c r="OI7" i="1"/>
  <c r="OJ7" i="1"/>
  <c r="OM7" i="1"/>
  <c r="ON7" i="1"/>
  <c r="OO7" i="1"/>
  <c r="OP7" i="1"/>
  <c r="OQ7" i="1"/>
  <c r="OR7" i="1"/>
  <c r="OS7" i="1"/>
  <c r="OT7" i="1"/>
  <c r="OU7" i="1"/>
  <c r="OV7" i="1"/>
  <c r="OW7" i="1"/>
  <c r="OX7" i="1"/>
  <c r="OY7" i="1"/>
  <c r="PA7" i="1"/>
  <c r="PC7" i="1"/>
  <c r="PD7" i="1"/>
  <c r="PB7" i="1"/>
  <c r="PE7" i="1"/>
  <c r="PF7" i="1"/>
  <c r="PG7" i="1"/>
  <c r="PH7" i="1"/>
  <c r="PI7" i="1"/>
  <c r="PJ7" i="1"/>
  <c r="PK7" i="1"/>
  <c r="PL7" i="1"/>
  <c r="PM7" i="1"/>
  <c r="PN7" i="1"/>
  <c r="PO7" i="1"/>
  <c r="PQ7" i="1"/>
  <c r="PR7" i="1"/>
  <c r="PT7" i="1"/>
  <c r="PU7" i="1"/>
  <c r="PZ7" i="1"/>
  <c r="QA7" i="1"/>
  <c r="QB7" i="1"/>
  <c r="QC7" i="1"/>
  <c r="QD7" i="1"/>
  <c r="QE7" i="1"/>
  <c r="QF7" i="1"/>
  <c r="QG7" i="1"/>
  <c r="QH7" i="1"/>
  <c r="QI7" i="1"/>
  <c r="QJ7" i="1"/>
  <c r="QK7" i="1"/>
  <c r="QL7" i="1"/>
  <c r="QM7" i="1"/>
  <c r="QN7" i="1"/>
  <c r="QO7" i="1"/>
  <c r="QP7" i="1"/>
  <c r="QQ7" i="1"/>
  <c r="QR7" i="1"/>
  <c r="QS7" i="1"/>
  <c r="QT7" i="1"/>
  <c r="QU7" i="1"/>
  <c r="QV7" i="1"/>
  <c r="QW7" i="1"/>
  <c r="QX7" i="1"/>
  <c r="I5" i="1"/>
  <c r="J5" i="1"/>
  <c r="K5" i="1"/>
  <c r="MM5" i="1"/>
  <c r="MN5" i="1"/>
  <c r="MO5" i="1"/>
  <c r="MP5" i="1"/>
  <c r="MQ5" i="1"/>
  <c r="MR5" i="1"/>
  <c r="MS5" i="1"/>
  <c r="MT5" i="1"/>
  <c r="MW5" i="1"/>
  <c r="MX5" i="1"/>
  <c r="MY5" i="1"/>
  <c r="MZ5" i="1"/>
  <c r="NA5" i="1"/>
  <c r="NB5" i="1"/>
  <c r="NE5" i="1"/>
  <c r="NF5" i="1"/>
  <c r="NC5" i="1"/>
  <c r="ND5" i="1"/>
  <c r="NG5" i="1"/>
  <c r="NH5" i="1"/>
  <c r="NI5" i="1"/>
  <c r="NJ5" i="1"/>
  <c r="NK5" i="1"/>
  <c r="NL5" i="1"/>
  <c r="NM5" i="1"/>
  <c r="NN5" i="1"/>
  <c r="NO5" i="1"/>
  <c r="NP5" i="1"/>
  <c r="NQ5" i="1"/>
  <c r="NR5" i="1"/>
  <c r="NS5" i="1"/>
  <c r="NT5" i="1"/>
  <c r="NU5" i="1"/>
  <c r="NV5" i="1"/>
  <c r="NW5" i="1"/>
  <c r="NX5" i="1"/>
  <c r="NY5" i="1"/>
  <c r="NZ5" i="1"/>
  <c r="OA5" i="1"/>
  <c r="OB5" i="1"/>
  <c r="OC5" i="1"/>
  <c r="OD5" i="1"/>
  <c r="OE5" i="1"/>
  <c r="OF5" i="1"/>
  <c r="OG5" i="1"/>
  <c r="OH5" i="1"/>
  <c r="OI5" i="1"/>
  <c r="OJ5" i="1"/>
  <c r="OM5" i="1"/>
  <c r="ON5" i="1"/>
  <c r="OO5" i="1"/>
  <c r="OP5" i="1"/>
  <c r="OQ5" i="1"/>
  <c r="OR5" i="1"/>
  <c r="OS5" i="1"/>
  <c r="OT5" i="1"/>
  <c r="OU5" i="1"/>
  <c r="OV5" i="1"/>
  <c r="OW5" i="1"/>
  <c r="OX5" i="1"/>
  <c r="OY5" i="1"/>
  <c r="PA5" i="1"/>
  <c r="PC5" i="1"/>
  <c r="PD5" i="1"/>
  <c r="PB5" i="1"/>
  <c r="PE5" i="1"/>
  <c r="PF5" i="1"/>
  <c r="PG5" i="1"/>
  <c r="PH5" i="1"/>
  <c r="PI5" i="1"/>
  <c r="PJ5" i="1"/>
  <c r="PK5" i="1"/>
  <c r="PL5" i="1"/>
  <c r="PM5" i="1"/>
  <c r="PN5" i="1"/>
  <c r="PO5" i="1"/>
  <c r="PQ5" i="1"/>
  <c r="PR5" i="1"/>
  <c r="PT5" i="1"/>
  <c r="PU5" i="1"/>
  <c r="PZ5" i="1"/>
  <c r="QA5" i="1"/>
  <c r="QB5" i="1"/>
  <c r="QC5" i="1"/>
  <c r="QD5" i="1"/>
  <c r="QE5" i="1"/>
  <c r="QF5" i="1"/>
  <c r="QG5" i="1"/>
  <c r="QH5" i="1"/>
  <c r="QI5" i="1"/>
  <c r="QJ5" i="1"/>
  <c r="QK5" i="1"/>
  <c r="QL5" i="1"/>
  <c r="QM5" i="1"/>
  <c r="QN5" i="1"/>
  <c r="QO5" i="1"/>
  <c r="QP5" i="1"/>
  <c r="QQ5" i="1"/>
  <c r="QR5" i="1"/>
  <c r="QS5" i="1"/>
  <c r="QT5" i="1"/>
  <c r="QU5" i="1"/>
  <c r="QV5" i="1"/>
  <c r="QW5" i="1"/>
  <c r="QX5" i="1"/>
  <c r="I59" i="1"/>
  <c r="J59" i="1"/>
  <c r="K59" i="1"/>
  <c r="MM59" i="1"/>
  <c r="MN59" i="1"/>
  <c r="MO59" i="1"/>
  <c r="MP59" i="1"/>
  <c r="MQ59" i="1"/>
  <c r="MR59" i="1"/>
  <c r="MS59" i="1"/>
  <c r="MT59" i="1"/>
  <c r="MW59" i="1"/>
  <c r="MX59" i="1"/>
  <c r="MY59" i="1"/>
  <c r="MZ59" i="1"/>
  <c r="NA59" i="1"/>
  <c r="NB59" i="1"/>
  <c r="NE59" i="1"/>
  <c r="NF59" i="1"/>
  <c r="NC59" i="1"/>
  <c r="ND59" i="1"/>
  <c r="NG59" i="1"/>
  <c r="NH59" i="1"/>
  <c r="NI59" i="1"/>
  <c r="NJ59" i="1"/>
  <c r="NK59" i="1"/>
  <c r="NL59" i="1"/>
  <c r="NM59" i="1"/>
  <c r="NN59" i="1"/>
  <c r="NO59" i="1"/>
  <c r="NP59" i="1"/>
  <c r="NQ59" i="1"/>
  <c r="NR59" i="1"/>
  <c r="NS59" i="1"/>
  <c r="NT59" i="1"/>
  <c r="NU59" i="1"/>
  <c r="NV59" i="1"/>
  <c r="NW59" i="1"/>
  <c r="NX59" i="1"/>
  <c r="NY59" i="1"/>
  <c r="NZ59" i="1"/>
  <c r="OA59" i="1"/>
  <c r="OB59" i="1"/>
  <c r="OC59" i="1"/>
  <c r="OD59" i="1"/>
  <c r="OE59" i="1"/>
  <c r="OF59" i="1"/>
  <c r="OG59" i="1"/>
  <c r="OH59" i="1"/>
  <c r="OI59" i="1"/>
  <c r="OJ59" i="1"/>
  <c r="OM59" i="1"/>
  <c r="ON59" i="1"/>
  <c r="OO59" i="1"/>
  <c r="OP59" i="1"/>
  <c r="OQ59" i="1"/>
  <c r="OR59" i="1"/>
  <c r="OS59" i="1"/>
  <c r="OT59" i="1"/>
  <c r="OU59" i="1"/>
  <c r="OV59" i="1"/>
  <c r="OW59" i="1"/>
  <c r="OX59" i="1"/>
  <c r="OY59" i="1"/>
  <c r="PA59" i="1"/>
  <c r="PC59" i="1"/>
  <c r="PD59" i="1"/>
  <c r="PB59" i="1"/>
  <c r="PE59" i="1"/>
  <c r="PF59" i="1"/>
  <c r="PG59" i="1"/>
  <c r="PH59" i="1"/>
  <c r="PI59" i="1"/>
  <c r="PJ59" i="1"/>
  <c r="PK59" i="1"/>
  <c r="PL59" i="1"/>
  <c r="PM59" i="1"/>
  <c r="PN59" i="1"/>
  <c r="PO59" i="1"/>
  <c r="PQ59" i="1"/>
  <c r="PR59" i="1"/>
  <c r="PT59" i="1"/>
  <c r="PU59" i="1"/>
  <c r="PZ59" i="1"/>
  <c r="QA59" i="1"/>
  <c r="QB59" i="1"/>
  <c r="QC59" i="1"/>
  <c r="QD59" i="1"/>
  <c r="QE59" i="1"/>
  <c r="QF59" i="1"/>
  <c r="QG59" i="1"/>
  <c r="QH59" i="1"/>
  <c r="QI59" i="1"/>
  <c r="QJ59" i="1"/>
  <c r="QK59" i="1"/>
  <c r="QL59" i="1"/>
  <c r="QM59" i="1"/>
  <c r="QN59" i="1"/>
  <c r="QO59" i="1"/>
  <c r="QP59" i="1"/>
  <c r="QQ59" i="1"/>
  <c r="QR59" i="1"/>
  <c r="QS59" i="1"/>
  <c r="QT59" i="1"/>
  <c r="QU59" i="1"/>
  <c r="QV59" i="1"/>
  <c r="QW59" i="1"/>
  <c r="QX59" i="1"/>
  <c r="I107" i="1"/>
  <c r="J107" i="1"/>
  <c r="K107" i="1"/>
  <c r="MM107" i="1"/>
  <c r="MN107" i="1"/>
  <c r="MO107" i="1"/>
  <c r="MP107" i="1"/>
  <c r="MQ107" i="1"/>
  <c r="MR107" i="1"/>
  <c r="MS107" i="1"/>
  <c r="MT107" i="1"/>
  <c r="MW107" i="1"/>
  <c r="MX107" i="1"/>
  <c r="MY107" i="1"/>
  <c r="MZ107" i="1"/>
  <c r="NA107" i="1"/>
  <c r="NB107" i="1"/>
  <c r="NE107" i="1"/>
  <c r="NF107" i="1"/>
  <c r="NC107" i="1"/>
  <c r="ND107" i="1"/>
  <c r="NG107" i="1"/>
  <c r="NH107" i="1"/>
  <c r="NI107" i="1"/>
  <c r="NJ107" i="1"/>
  <c r="NK107" i="1"/>
  <c r="NL107" i="1"/>
  <c r="NM107" i="1"/>
  <c r="NN107" i="1"/>
  <c r="NO107" i="1"/>
  <c r="NP107" i="1"/>
  <c r="NQ107" i="1"/>
  <c r="NR107" i="1"/>
  <c r="NS107" i="1"/>
  <c r="NT107" i="1"/>
  <c r="NU107" i="1"/>
  <c r="NV107" i="1"/>
  <c r="NW107" i="1"/>
  <c r="NX107" i="1"/>
  <c r="NY107" i="1"/>
  <c r="NZ107" i="1"/>
  <c r="OA107" i="1"/>
  <c r="OB107" i="1"/>
  <c r="OC107" i="1"/>
  <c r="OD107" i="1"/>
  <c r="OE107" i="1"/>
  <c r="OF107" i="1"/>
  <c r="OG107" i="1"/>
  <c r="OH107" i="1"/>
  <c r="OI107" i="1"/>
  <c r="OJ107" i="1"/>
  <c r="OM107" i="1"/>
  <c r="ON107" i="1"/>
  <c r="OO107" i="1"/>
  <c r="OP107" i="1"/>
  <c r="OQ107" i="1"/>
  <c r="OR107" i="1"/>
  <c r="OS107" i="1"/>
  <c r="OT107" i="1"/>
  <c r="OU107" i="1"/>
  <c r="OV107" i="1"/>
  <c r="OW107" i="1"/>
  <c r="OX107" i="1"/>
  <c r="OY107" i="1"/>
  <c r="PA107" i="1"/>
  <c r="PC107" i="1"/>
  <c r="PD107" i="1"/>
  <c r="PB107" i="1"/>
  <c r="PE107" i="1"/>
  <c r="PF107" i="1"/>
  <c r="PG107" i="1"/>
  <c r="PH107" i="1"/>
  <c r="PI107" i="1"/>
  <c r="PJ107" i="1"/>
  <c r="PK107" i="1"/>
  <c r="PL107" i="1"/>
  <c r="PM107" i="1"/>
  <c r="PN107" i="1"/>
  <c r="PO107" i="1"/>
  <c r="PQ107" i="1"/>
  <c r="PR107" i="1"/>
  <c r="PT107" i="1"/>
  <c r="PU107" i="1"/>
  <c r="PZ107" i="1"/>
  <c r="QA107" i="1"/>
  <c r="QB107" i="1"/>
  <c r="QC107" i="1"/>
  <c r="QD107" i="1"/>
  <c r="QE107" i="1"/>
  <c r="QF107" i="1"/>
  <c r="QG107" i="1"/>
  <c r="QH107" i="1"/>
  <c r="QI107" i="1"/>
  <c r="QJ107" i="1"/>
  <c r="QK107" i="1"/>
  <c r="QL107" i="1"/>
  <c r="QM107" i="1"/>
  <c r="QN107" i="1"/>
  <c r="QO107" i="1"/>
  <c r="QP107" i="1"/>
  <c r="QQ107" i="1"/>
  <c r="QR107" i="1"/>
  <c r="QS107" i="1"/>
  <c r="QT107" i="1"/>
  <c r="QU107" i="1"/>
  <c r="QV107" i="1"/>
  <c r="QW107" i="1"/>
  <c r="QX107" i="1"/>
  <c r="I20" i="1"/>
  <c r="J20" i="1"/>
  <c r="K20" i="1"/>
  <c r="MM20" i="1"/>
  <c r="MN20" i="1"/>
  <c r="MO20" i="1"/>
  <c r="MP20" i="1"/>
  <c r="MQ20" i="1"/>
  <c r="MR20" i="1"/>
  <c r="MS20" i="1"/>
  <c r="MT20" i="1"/>
  <c r="MW20" i="1"/>
  <c r="MX20" i="1"/>
  <c r="MY20" i="1"/>
  <c r="MZ20" i="1"/>
  <c r="NA20" i="1"/>
  <c r="NB20" i="1"/>
  <c r="NE20" i="1"/>
  <c r="NF20" i="1"/>
  <c r="NC20" i="1"/>
  <c r="ND20" i="1"/>
  <c r="NG20" i="1"/>
  <c r="NH20" i="1"/>
  <c r="NI20" i="1"/>
  <c r="NJ20" i="1"/>
  <c r="NK20" i="1"/>
  <c r="NL20" i="1"/>
  <c r="NM20" i="1"/>
  <c r="NN20" i="1"/>
  <c r="NO20" i="1"/>
  <c r="NP20" i="1"/>
  <c r="NQ20" i="1"/>
  <c r="NR20" i="1"/>
  <c r="NS20" i="1"/>
  <c r="NT20" i="1"/>
  <c r="NU20" i="1"/>
  <c r="NV20" i="1"/>
  <c r="NW20" i="1"/>
  <c r="NX20" i="1"/>
  <c r="NY20" i="1"/>
  <c r="NZ20" i="1"/>
  <c r="OA20" i="1"/>
  <c r="OB20" i="1"/>
  <c r="OC20" i="1"/>
  <c r="OD20" i="1"/>
  <c r="OE20" i="1"/>
  <c r="OF20" i="1"/>
  <c r="OG20" i="1"/>
  <c r="OH20" i="1"/>
  <c r="OI20" i="1"/>
  <c r="OJ20" i="1"/>
  <c r="OM20" i="1"/>
  <c r="ON20" i="1"/>
  <c r="OO20" i="1"/>
  <c r="OP20" i="1"/>
  <c r="OQ20" i="1"/>
  <c r="OR20" i="1"/>
  <c r="OS20" i="1"/>
  <c r="OT20" i="1"/>
  <c r="OU20" i="1"/>
  <c r="OV20" i="1"/>
  <c r="OW20" i="1"/>
  <c r="OX20" i="1"/>
  <c r="OY20" i="1"/>
  <c r="PA20" i="1"/>
  <c r="PC20" i="1"/>
  <c r="PD20" i="1"/>
  <c r="PB20" i="1"/>
  <c r="PE20" i="1"/>
  <c r="PF20" i="1"/>
  <c r="PG20" i="1"/>
  <c r="PH20" i="1"/>
  <c r="PI20" i="1"/>
  <c r="PJ20" i="1"/>
  <c r="PK20" i="1"/>
  <c r="PL20" i="1"/>
  <c r="PM20" i="1"/>
  <c r="PN20" i="1"/>
  <c r="PO20" i="1"/>
  <c r="PQ20" i="1"/>
  <c r="PR20" i="1"/>
  <c r="PT20" i="1"/>
  <c r="PU20" i="1"/>
  <c r="PZ20" i="1"/>
  <c r="QA20" i="1"/>
  <c r="QB20" i="1"/>
  <c r="QC20" i="1"/>
  <c r="QD20" i="1"/>
  <c r="QE20" i="1"/>
  <c r="QF20" i="1"/>
  <c r="QG20" i="1"/>
  <c r="QH20" i="1"/>
  <c r="QI20" i="1"/>
  <c r="QJ20" i="1"/>
  <c r="QK20" i="1"/>
  <c r="QL20" i="1"/>
  <c r="QM20" i="1"/>
  <c r="QN20" i="1"/>
  <c r="QO20" i="1"/>
  <c r="QP20" i="1"/>
  <c r="QQ20" i="1"/>
  <c r="QR20" i="1"/>
  <c r="QS20" i="1"/>
  <c r="QT20" i="1"/>
  <c r="QU20" i="1"/>
  <c r="QV20" i="1"/>
  <c r="QW20" i="1"/>
  <c r="QX20" i="1"/>
  <c r="I11" i="1"/>
  <c r="J11" i="1"/>
  <c r="K11" i="1"/>
  <c r="MM11" i="1"/>
  <c r="MN11" i="1"/>
  <c r="MO11" i="1"/>
  <c r="MP11" i="1"/>
  <c r="MQ11" i="1"/>
  <c r="MR11" i="1"/>
  <c r="MS11" i="1"/>
  <c r="MT11" i="1"/>
  <c r="MW11" i="1"/>
  <c r="MX11" i="1"/>
  <c r="MY11" i="1"/>
  <c r="MZ11" i="1"/>
  <c r="NA11" i="1"/>
  <c r="NB11" i="1"/>
  <c r="NE11" i="1"/>
  <c r="NF11" i="1"/>
  <c r="NC11" i="1"/>
  <c r="ND11" i="1"/>
  <c r="NG11" i="1"/>
  <c r="NH11" i="1"/>
  <c r="NI11" i="1"/>
  <c r="NJ11" i="1"/>
  <c r="NK11" i="1"/>
  <c r="NL11" i="1"/>
  <c r="NM11" i="1"/>
  <c r="NN11" i="1"/>
  <c r="NO11" i="1"/>
  <c r="NP11" i="1"/>
  <c r="NQ11" i="1"/>
  <c r="NR11" i="1"/>
  <c r="NS11" i="1"/>
  <c r="NT11" i="1"/>
  <c r="NU11" i="1"/>
  <c r="NV11" i="1"/>
  <c r="NW11" i="1"/>
  <c r="NX11" i="1"/>
  <c r="NY11" i="1"/>
  <c r="NZ11" i="1"/>
  <c r="OA11" i="1"/>
  <c r="OB11" i="1"/>
  <c r="OC11" i="1"/>
  <c r="OD11" i="1"/>
  <c r="OE11" i="1"/>
  <c r="OF11" i="1"/>
  <c r="OG11" i="1"/>
  <c r="OH11" i="1"/>
  <c r="OI11" i="1"/>
  <c r="OJ11" i="1"/>
  <c r="OM11" i="1"/>
  <c r="ON11" i="1"/>
  <c r="OO11" i="1"/>
  <c r="OP11" i="1"/>
  <c r="OQ11" i="1"/>
  <c r="OR11" i="1"/>
  <c r="OS11" i="1"/>
  <c r="OT11" i="1"/>
  <c r="OU11" i="1"/>
  <c r="OV11" i="1"/>
  <c r="OW11" i="1"/>
  <c r="OX11" i="1"/>
  <c r="OY11" i="1"/>
  <c r="PA11" i="1"/>
  <c r="PC11" i="1"/>
  <c r="PD11" i="1"/>
  <c r="PB11" i="1"/>
  <c r="PE11" i="1"/>
  <c r="PF11" i="1"/>
  <c r="PG11" i="1"/>
  <c r="PH11" i="1"/>
  <c r="PI11" i="1"/>
  <c r="PJ11" i="1"/>
  <c r="PK11" i="1"/>
  <c r="PL11" i="1"/>
  <c r="PM11" i="1"/>
  <c r="PN11" i="1"/>
  <c r="PO11" i="1"/>
  <c r="PQ11" i="1"/>
  <c r="PR11" i="1"/>
  <c r="PT11" i="1"/>
  <c r="PU11" i="1"/>
  <c r="PZ11" i="1"/>
  <c r="QA11" i="1"/>
  <c r="QB11" i="1"/>
  <c r="QC11" i="1"/>
  <c r="QD11" i="1"/>
  <c r="QE11" i="1"/>
  <c r="QF11" i="1"/>
  <c r="QG11" i="1"/>
  <c r="QH11" i="1"/>
  <c r="QI11" i="1"/>
  <c r="QJ11" i="1"/>
  <c r="QK11" i="1"/>
  <c r="QL11" i="1"/>
  <c r="QM11" i="1"/>
  <c r="QN11" i="1"/>
  <c r="QO11" i="1"/>
  <c r="QP11" i="1"/>
  <c r="QQ11" i="1"/>
  <c r="QR11" i="1"/>
  <c r="QS11" i="1"/>
  <c r="QT11" i="1"/>
  <c r="QU11" i="1"/>
  <c r="QV11" i="1"/>
  <c r="QW11" i="1"/>
  <c r="QX11" i="1"/>
  <c r="I8" i="1"/>
  <c r="J8" i="1"/>
  <c r="K8" i="1"/>
  <c r="MM8" i="1"/>
  <c r="MN8" i="1"/>
  <c r="MO8" i="1"/>
  <c r="MP8" i="1"/>
  <c r="MQ8" i="1"/>
  <c r="MR8" i="1"/>
  <c r="MS8" i="1"/>
  <c r="MT8" i="1"/>
  <c r="MW8" i="1"/>
  <c r="MX8" i="1"/>
  <c r="MY8" i="1"/>
  <c r="MZ8" i="1"/>
  <c r="NA8" i="1"/>
  <c r="NB8" i="1"/>
  <c r="NE8" i="1"/>
  <c r="NF8" i="1"/>
  <c r="NC8" i="1"/>
  <c r="ND8" i="1"/>
  <c r="NG8" i="1"/>
  <c r="NH8" i="1"/>
  <c r="NI8" i="1"/>
  <c r="NJ8" i="1"/>
  <c r="NK8" i="1"/>
  <c r="NL8" i="1"/>
  <c r="NM8" i="1"/>
  <c r="NN8" i="1"/>
  <c r="NO8" i="1"/>
  <c r="NP8" i="1"/>
  <c r="NQ8" i="1"/>
  <c r="NR8" i="1"/>
  <c r="NS8" i="1"/>
  <c r="NT8" i="1"/>
  <c r="NU8" i="1"/>
  <c r="NV8" i="1"/>
  <c r="NW8" i="1"/>
  <c r="NX8" i="1"/>
  <c r="NY8" i="1"/>
  <c r="NZ8" i="1"/>
  <c r="OA8" i="1"/>
  <c r="OB8" i="1"/>
  <c r="OC8" i="1"/>
  <c r="OD8" i="1"/>
  <c r="OE8" i="1"/>
  <c r="OF8" i="1"/>
  <c r="OG8" i="1"/>
  <c r="OH8" i="1"/>
  <c r="OI8" i="1"/>
  <c r="OJ8" i="1"/>
  <c r="OM8" i="1"/>
  <c r="ON8" i="1"/>
  <c r="OO8" i="1"/>
  <c r="OP8" i="1"/>
  <c r="OQ8" i="1"/>
  <c r="OR8" i="1"/>
  <c r="OS8" i="1"/>
  <c r="OT8" i="1"/>
  <c r="OU8" i="1"/>
  <c r="OV8" i="1"/>
  <c r="OW8" i="1"/>
  <c r="OX8" i="1"/>
  <c r="OY8" i="1"/>
  <c r="PA8" i="1"/>
  <c r="PC8" i="1"/>
  <c r="PD8" i="1"/>
  <c r="PB8" i="1"/>
  <c r="PE8" i="1"/>
  <c r="PF8" i="1"/>
  <c r="PG8" i="1"/>
  <c r="PH8" i="1"/>
  <c r="PI8" i="1"/>
  <c r="PJ8" i="1"/>
  <c r="PK8" i="1"/>
  <c r="PL8" i="1"/>
  <c r="PM8" i="1"/>
  <c r="PN8" i="1"/>
  <c r="PO8" i="1"/>
  <c r="PQ8" i="1"/>
  <c r="PR8" i="1"/>
  <c r="PT8" i="1"/>
  <c r="PU8" i="1"/>
  <c r="PZ8" i="1"/>
  <c r="QA8" i="1"/>
  <c r="QB8" i="1"/>
  <c r="QC8" i="1"/>
  <c r="QD8" i="1"/>
  <c r="QE8" i="1"/>
  <c r="QF8" i="1"/>
  <c r="QG8" i="1"/>
  <c r="QH8" i="1"/>
  <c r="QI8" i="1"/>
  <c r="QJ8" i="1"/>
  <c r="QK8" i="1"/>
  <c r="QL8" i="1"/>
  <c r="QM8" i="1"/>
  <c r="QN8" i="1"/>
  <c r="QO8" i="1"/>
  <c r="QP8" i="1"/>
  <c r="QQ8" i="1"/>
  <c r="QR8" i="1"/>
  <c r="QS8" i="1"/>
  <c r="QT8" i="1"/>
  <c r="QU8" i="1"/>
  <c r="QV8" i="1"/>
  <c r="QW8" i="1"/>
  <c r="QX8" i="1"/>
  <c r="I72" i="1"/>
  <c r="J72" i="1"/>
  <c r="K72" i="1"/>
  <c r="MM72" i="1"/>
  <c r="MN72" i="1"/>
  <c r="MO72" i="1"/>
  <c r="MP72" i="1"/>
  <c r="MQ72" i="1"/>
  <c r="MR72" i="1"/>
  <c r="MS72" i="1"/>
  <c r="MT72" i="1"/>
  <c r="MW72" i="1"/>
  <c r="MX72" i="1"/>
  <c r="MY72" i="1"/>
  <c r="MZ72" i="1"/>
  <c r="NA72" i="1"/>
  <c r="NB72" i="1"/>
  <c r="NE72" i="1"/>
  <c r="NF72" i="1"/>
  <c r="NC72" i="1"/>
  <c r="ND72" i="1"/>
  <c r="NG72" i="1"/>
  <c r="NH72" i="1"/>
  <c r="NI72" i="1"/>
  <c r="NJ72" i="1"/>
  <c r="NK72" i="1"/>
  <c r="NL72" i="1"/>
  <c r="NM72" i="1"/>
  <c r="NN72" i="1"/>
  <c r="NO72" i="1"/>
  <c r="NP72" i="1"/>
  <c r="NQ72" i="1"/>
  <c r="NR72" i="1"/>
  <c r="NS72" i="1"/>
  <c r="NT72" i="1"/>
  <c r="NU72" i="1"/>
  <c r="NV72" i="1"/>
  <c r="NW72" i="1"/>
  <c r="NX72" i="1"/>
  <c r="NY72" i="1"/>
  <c r="NZ72" i="1"/>
  <c r="OA72" i="1"/>
  <c r="OB72" i="1"/>
  <c r="OC72" i="1"/>
  <c r="OD72" i="1"/>
  <c r="OE72" i="1"/>
  <c r="OF72" i="1"/>
  <c r="OG72" i="1"/>
  <c r="OH72" i="1"/>
  <c r="OI72" i="1"/>
  <c r="OJ72" i="1"/>
  <c r="OM72" i="1"/>
  <c r="ON72" i="1"/>
  <c r="OO72" i="1"/>
  <c r="OP72" i="1"/>
  <c r="OQ72" i="1"/>
  <c r="OR72" i="1"/>
  <c r="OS72" i="1"/>
  <c r="OT72" i="1"/>
  <c r="OU72" i="1"/>
  <c r="OV72" i="1"/>
  <c r="OW72" i="1"/>
  <c r="OX72" i="1"/>
  <c r="OY72" i="1"/>
  <c r="PA72" i="1"/>
  <c r="PC72" i="1"/>
  <c r="PD72" i="1"/>
  <c r="PB72" i="1"/>
  <c r="PE72" i="1"/>
  <c r="PF72" i="1"/>
  <c r="PG72" i="1"/>
  <c r="PH72" i="1"/>
  <c r="PI72" i="1"/>
  <c r="PJ72" i="1"/>
  <c r="PK72" i="1"/>
  <c r="PL72" i="1"/>
  <c r="PM72" i="1"/>
  <c r="PN72" i="1"/>
  <c r="PO72" i="1"/>
  <c r="PQ72" i="1"/>
  <c r="PR72" i="1"/>
  <c r="PT72" i="1"/>
  <c r="PU72" i="1"/>
  <c r="PZ72" i="1"/>
  <c r="QA72" i="1"/>
  <c r="QB72" i="1"/>
  <c r="QC72" i="1"/>
  <c r="QD72" i="1"/>
  <c r="QE72" i="1"/>
  <c r="QF72" i="1"/>
  <c r="QG72" i="1"/>
  <c r="QH72" i="1"/>
  <c r="QI72" i="1"/>
  <c r="QJ72" i="1"/>
  <c r="QK72" i="1"/>
  <c r="QL72" i="1"/>
  <c r="QM72" i="1"/>
  <c r="QN72" i="1"/>
  <c r="QO72" i="1"/>
  <c r="QP72" i="1"/>
  <c r="QQ72" i="1"/>
  <c r="QR72" i="1"/>
  <c r="QS72" i="1"/>
  <c r="QT72" i="1"/>
  <c r="QU72" i="1"/>
  <c r="QV72" i="1"/>
  <c r="QW72" i="1"/>
  <c r="QX72" i="1"/>
  <c r="I16" i="1"/>
  <c r="J16" i="1"/>
  <c r="K16" i="1"/>
  <c r="MM16" i="1"/>
  <c r="MN16" i="1"/>
  <c r="MO16" i="1"/>
  <c r="MP16" i="1"/>
  <c r="MQ16" i="1"/>
  <c r="MR16" i="1"/>
  <c r="MS16" i="1"/>
  <c r="MT16" i="1"/>
  <c r="MW16" i="1"/>
  <c r="MX16" i="1"/>
  <c r="MY16" i="1"/>
  <c r="MZ16" i="1"/>
  <c r="NA16" i="1"/>
  <c r="NB16" i="1"/>
  <c r="NE16" i="1"/>
  <c r="NF16" i="1"/>
  <c r="NC16" i="1"/>
  <c r="ND16" i="1"/>
  <c r="NG16" i="1"/>
  <c r="NH16" i="1"/>
  <c r="NI16" i="1"/>
  <c r="NJ16" i="1"/>
  <c r="NK16" i="1"/>
  <c r="NL16" i="1"/>
  <c r="NM16" i="1"/>
  <c r="NN16" i="1"/>
  <c r="NO16" i="1"/>
  <c r="NP16" i="1"/>
  <c r="NQ16" i="1"/>
  <c r="NR16" i="1"/>
  <c r="NS16" i="1"/>
  <c r="NT16" i="1"/>
  <c r="NU16" i="1"/>
  <c r="NV16" i="1"/>
  <c r="NW16" i="1"/>
  <c r="NX16" i="1"/>
  <c r="NY16" i="1"/>
  <c r="NZ16" i="1"/>
  <c r="OA16" i="1"/>
  <c r="OB16" i="1"/>
  <c r="OC16" i="1"/>
  <c r="OD16" i="1"/>
  <c r="OE16" i="1"/>
  <c r="OF16" i="1"/>
  <c r="OG16" i="1"/>
  <c r="OH16" i="1"/>
  <c r="OI16" i="1"/>
  <c r="OJ16" i="1"/>
  <c r="OM16" i="1"/>
  <c r="ON16" i="1"/>
  <c r="OO16" i="1"/>
  <c r="OP16" i="1"/>
  <c r="OQ16" i="1"/>
  <c r="OR16" i="1"/>
  <c r="OS16" i="1"/>
  <c r="OT16" i="1"/>
  <c r="OU16" i="1"/>
  <c r="OV16" i="1"/>
  <c r="OW16" i="1"/>
  <c r="OX16" i="1"/>
  <c r="OY16" i="1"/>
  <c r="PA16" i="1"/>
  <c r="PC16" i="1"/>
  <c r="PD16" i="1"/>
  <c r="PB16" i="1"/>
  <c r="PE16" i="1"/>
  <c r="PF16" i="1"/>
  <c r="PG16" i="1"/>
  <c r="PH16" i="1"/>
  <c r="PI16" i="1"/>
  <c r="PJ16" i="1"/>
  <c r="PK16" i="1"/>
  <c r="PL16" i="1"/>
  <c r="PM16" i="1"/>
  <c r="PN16" i="1"/>
  <c r="PO16" i="1"/>
  <c r="PQ16" i="1"/>
  <c r="PR16" i="1"/>
  <c r="PT16" i="1"/>
  <c r="PU16" i="1"/>
  <c r="PZ16" i="1"/>
  <c r="QA16" i="1"/>
  <c r="QB16" i="1"/>
  <c r="QC16" i="1"/>
  <c r="QD16" i="1"/>
  <c r="QE16" i="1"/>
  <c r="QF16" i="1"/>
  <c r="QG16" i="1"/>
  <c r="QH16" i="1"/>
  <c r="QI16" i="1"/>
  <c r="QJ16" i="1"/>
  <c r="QK16" i="1"/>
  <c r="QL16" i="1"/>
  <c r="QM16" i="1"/>
  <c r="QN16" i="1"/>
  <c r="QO16" i="1"/>
  <c r="QP16" i="1"/>
  <c r="QQ16" i="1"/>
  <c r="QR16" i="1"/>
  <c r="QS16" i="1"/>
  <c r="QT16" i="1"/>
  <c r="QU16" i="1"/>
  <c r="QV16" i="1"/>
  <c r="QW16" i="1"/>
  <c r="QX16" i="1"/>
  <c r="I18" i="1"/>
  <c r="J18" i="1"/>
  <c r="K18" i="1"/>
  <c r="MM18" i="1"/>
  <c r="MN18" i="1"/>
  <c r="MO18" i="1"/>
  <c r="MP18" i="1"/>
  <c r="MQ18" i="1"/>
  <c r="MR18" i="1"/>
  <c r="MS18" i="1"/>
  <c r="MT18" i="1"/>
  <c r="MW18" i="1"/>
  <c r="MX18" i="1"/>
  <c r="MY18" i="1"/>
  <c r="MZ18" i="1"/>
  <c r="NA18" i="1"/>
  <c r="NB18" i="1"/>
  <c r="NE18" i="1"/>
  <c r="NF18" i="1"/>
  <c r="NC18" i="1"/>
  <c r="ND18" i="1"/>
  <c r="NG18" i="1"/>
  <c r="NH18" i="1"/>
  <c r="NI18" i="1"/>
  <c r="NJ18" i="1"/>
  <c r="NK18" i="1"/>
  <c r="NL18" i="1"/>
  <c r="NM18" i="1"/>
  <c r="NN18" i="1"/>
  <c r="NO18" i="1"/>
  <c r="NP18" i="1"/>
  <c r="NQ18" i="1"/>
  <c r="NR18" i="1"/>
  <c r="NS18" i="1"/>
  <c r="NT18" i="1"/>
  <c r="NU18" i="1"/>
  <c r="NV18" i="1"/>
  <c r="NW18" i="1"/>
  <c r="NX18" i="1"/>
  <c r="NY18" i="1"/>
  <c r="NZ18" i="1"/>
  <c r="OA18" i="1"/>
  <c r="OB18" i="1"/>
  <c r="OC18" i="1"/>
  <c r="OD18" i="1"/>
  <c r="OE18" i="1"/>
  <c r="OF18" i="1"/>
  <c r="OG18" i="1"/>
  <c r="OH18" i="1"/>
  <c r="OI18" i="1"/>
  <c r="OJ18" i="1"/>
  <c r="OM18" i="1"/>
  <c r="ON18" i="1"/>
  <c r="OO18" i="1"/>
  <c r="OP18" i="1"/>
  <c r="OQ18" i="1"/>
  <c r="OR18" i="1"/>
  <c r="OS18" i="1"/>
  <c r="OT18" i="1"/>
  <c r="OU18" i="1"/>
  <c r="OV18" i="1"/>
  <c r="OW18" i="1"/>
  <c r="OX18" i="1"/>
  <c r="OY18" i="1"/>
  <c r="PA18" i="1"/>
  <c r="PC18" i="1"/>
  <c r="PD18" i="1"/>
  <c r="PB18" i="1"/>
  <c r="PE18" i="1"/>
  <c r="PF18" i="1"/>
  <c r="PG18" i="1"/>
  <c r="PH18" i="1"/>
  <c r="PI18" i="1"/>
  <c r="PJ18" i="1"/>
  <c r="PK18" i="1"/>
  <c r="PL18" i="1"/>
  <c r="PM18" i="1"/>
  <c r="PN18" i="1"/>
  <c r="PO18" i="1"/>
  <c r="PQ18" i="1"/>
  <c r="PR18" i="1"/>
  <c r="PT18" i="1"/>
  <c r="PU18" i="1"/>
  <c r="PZ18" i="1"/>
  <c r="QA18" i="1"/>
  <c r="QB18" i="1"/>
  <c r="QC18" i="1"/>
  <c r="QD18" i="1"/>
  <c r="QE18" i="1"/>
  <c r="QF18" i="1"/>
  <c r="QG18" i="1"/>
  <c r="QH18" i="1"/>
  <c r="QI18" i="1"/>
  <c r="QJ18" i="1"/>
  <c r="QK18" i="1"/>
  <c r="QL18" i="1"/>
  <c r="QM18" i="1"/>
  <c r="QN18" i="1"/>
  <c r="QO18" i="1"/>
  <c r="QP18" i="1"/>
  <c r="QQ18" i="1"/>
  <c r="QR18" i="1"/>
  <c r="QS18" i="1"/>
  <c r="QT18" i="1"/>
  <c r="QU18" i="1"/>
  <c r="QV18" i="1"/>
  <c r="QW18" i="1"/>
  <c r="QX18" i="1"/>
  <c r="I12" i="1"/>
  <c r="J12" i="1"/>
  <c r="K12" i="1"/>
  <c r="MM12" i="1"/>
  <c r="MN12" i="1"/>
  <c r="MO12" i="1"/>
  <c r="MP12" i="1"/>
  <c r="MQ12" i="1"/>
  <c r="MR12" i="1"/>
  <c r="MS12" i="1"/>
  <c r="MT12" i="1"/>
  <c r="MW12" i="1"/>
  <c r="MX12" i="1"/>
  <c r="MY12" i="1"/>
  <c r="MZ12" i="1"/>
  <c r="NA12" i="1"/>
  <c r="NB12" i="1"/>
  <c r="NE12" i="1"/>
  <c r="NF12" i="1"/>
  <c r="NC12" i="1"/>
  <c r="ND12" i="1"/>
  <c r="NG12" i="1"/>
  <c r="NH12" i="1"/>
  <c r="NI12" i="1"/>
  <c r="NJ12" i="1"/>
  <c r="NK12" i="1"/>
  <c r="NL12" i="1"/>
  <c r="NM12" i="1"/>
  <c r="NN12" i="1"/>
  <c r="NO12" i="1"/>
  <c r="NP12" i="1"/>
  <c r="NQ12" i="1"/>
  <c r="NR12" i="1"/>
  <c r="NS12" i="1"/>
  <c r="NT12" i="1"/>
  <c r="NU12" i="1"/>
  <c r="NV12" i="1"/>
  <c r="NW12" i="1"/>
  <c r="NX12" i="1"/>
  <c r="NY12" i="1"/>
  <c r="NZ12" i="1"/>
  <c r="OA12" i="1"/>
  <c r="OB12" i="1"/>
  <c r="OC12" i="1"/>
  <c r="OD12" i="1"/>
  <c r="OE12" i="1"/>
  <c r="OF12" i="1"/>
  <c r="OG12" i="1"/>
  <c r="OH12" i="1"/>
  <c r="OI12" i="1"/>
  <c r="OJ12" i="1"/>
  <c r="OM12" i="1"/>
  <c r="ON12" i="1"/>
  <c r="OO12" i="1"/>
  <c r="OP12" i="1"/>
  <c r="OQ12" i="1"/>
  <c r="OR12" i="1"/>
  <c r="OS12" i="1"/>
  <c r="OT12" i="1"/>
  <c r="OU12" i="1"/>
  <c r="OV12" i="1"/>
  <c r="OW12" i="1"/>
  <c r="OX12" i="1"/>
  <c r="OY12" i="1"/>
  <c r="PA12" i="1"/>
  <c r="PC12" i="1"/>
  <c r="PD12" i="1"/>
  <c r="PB12" i="1"/>
  <c r="PE12" i="1"/>
  <c r="PF12" i="1"/>
  <c r="PG12" i="1"/>
  <c r="PH12" i="1"/>
  <c r="PI12" i="1"/>
  <c r="PJ12" i="1"/>
  <c r="PK12" i="1"/>
  <c r="PL12" i="1"/>
  <c r="PM12" i="1"/>
  <c r="PN12" i="1"/>
  <c r="PO12" i="1"/>
  <c r="PQ12" i="1"/>
  <c r="PR12" i="1"/>
  <c r="PT12" i="1"/>
  <c r="PU12" i="1"/>
  <c r="PZ12" i="1"/>
  <c r="QA12" i="1"/>
  <c r="QB12" i="1"/>
  <c r="QC12" i="1"/>
  <c r="QD12" i="1"/>
  <c r="QE12" i="1"/>
  <c r="QF12" i="1"/>
  <c r="QG12" i="1"/>
  <c r="QH12" i="1"/>
  <c r="QI12" i="1"/>
  <c r="QJ12" i="1"/>
  <c r="QK12" i="1"/>
  <c r="QL12" i="1"/>
  <c r="QM12" i="1"/>
  <c r="QN12" i="1"/>
  <c r="QO12" i="1"/>
  <c r="QP12" i="1"/>
  <c r="QQ12" i="1"/>
  <c r="QR12" i="1"/>
  <c r="QS12" i="1"/>
  <c r="QT12" i="1"/>
  <c r="QU12" i="1"/>
  <c r="QV12" i="1"/>
  <c r="QW12" i="1"/>
  <c r="QX12" i="1"/>
  <c r="I23" i="1"/>
  <c r="J23" i="1"/>
  <c r="K23" i="1"/>
  <c r="MM23" i="1"/>
  <c r="MN23" i="1"/>
  <c r="MO23" i="1"/>
  <c r="MP23" i="1"/>
  <c r="MQ23" i="1"/>
  <c r="MR23" i="1"/>
  <c r="MS23" i="1"/>
  <c r="MT23" i="1"/>
  <c r="MW23" i="1"/>
  <c r="MX23" i="1"/>
  <c r="MY23" i="1"/>
  <c r="MZ23" i="1"/>
  <c r="NA23" i="1"/>
  <c r="NB23" i="1"/>
  <c r="NE23" i="1"/>
  <c r="NF23" i="1"/>
  <c r="NC23" i="1"/>
  <c r="ND23" i="1"/>
  <c r="NG23" i="1"/>
  <c r="NH23" i="1"/>
  <c r="NI23" i="1"/>
  <c r="NJ23" i="1"/>
  <c r="NK23" i="1"/>
  <c r="NL23" i="1"/>
  <c r="NM23" i="1"/>
  <c r="NN23" i="1"/>
  <c r="NO23" i="1"/>
  <c r="NP23" i="1"/>
  <c r="NQ23" i="1"/>
  <c r="NR23" i="1"/>
  <c r="NS23" i="1"/>
  <c r="NT23" i="1"/>
  <c r="NU23" i="1"/>
  <c r="NV23" i="1"/>
  <c r="NW23" i="1"/>
  <c r="NX23" i="1"/>
  <c r="NY23" i="1"/>
  <c r="NZ23" i="1"/>
  <c r="OA23" i="1"/>
  <c r="OB23" i="1"/>
  <c r="OC23" i="1"/>
  <c r="OD23" i="1"/>
  <c r="OE23" i="1"/>
  <c r="OF23" i="1"/>
  <c r="OG23" i="1"/>
  <c r="OH23" i="1"/>
  <c r="OI23" i="1"/>
  <c r="OJ23" i="1"/>
  <c r="OM23" i="1"/>
  <c r="ON23" i="1"/>
  <c r="OO23" i="1"/>
  <c r="OP23" i="1"/>
  <c r="OQ23" i="1"/>
  <c r="OR23" i="1"/>
  <c r="OS23" i="1"/>
  <c r="OT23" i="1"/>
  <c r="OU23" i="1"/>
  <c r="OV23" i="1"/>
  <c r="OW23" i="1"/>
  <c r="OX23" i="1"/>
  <c r="OY23" i="1"/>
  <c r="PA23" i="1"/>
  <c r="PC23" i="1"/>
  <c r="PD23" i="1"/>
  <c r="PB23" i="1"/>
  <c r="PE23" i="1"/>
  <c r="PF23" i="1"/>
  <c r="PG23" i="1"/>
  <c r="PH23" i="1"/>
  <c r="PI23" i="1"/>
  <c r="PJ23" i="1"/>
  <c r="PK23" i="1"/>
  <c r="PL23" i="1"/>
  <c r="PM23" i="1"/>
  <c r="PN23" i="1"/>
  <c r="PO23" i="1"/>
  <c r="PQ23" i="1"/>
  <c r="PR23" i="1"/>
  <c r="PT23" i="1"/>
  <c r="PU23" i="1"/>
  <c r="PZ23" i="1"/>
  <c r="QA23" i="1"/>
  <c r="QB23" i="1"/>
  <c r="QC23" i="1"/>
  <c r="QD23" i="1"/>
  <c r="QE23" i="1"/>
  <c r="QF23" i="1"/>
  <c r="QG23" i="1"/>
  <c r="QH23" i="1"/>
  <c r="QI23" i="1"/>
  <c r="QJ23" i="1"/>
  <c r="QK23" i="1"/>
  <c r="QL23" i="1"/>
  <c r="QM23" i="1"/>
  <c r="QN23" i="1"/>
  <c r="QO23" i="1"/>
  <c r="QP23" i="1"/>
  <c r="QQ23" i="1"/>
  <c r="QR23" i="1"/>
  <c r="QS23" i="1"/>
  <c r="QT23" i="1"/>
  <c r="QU23" i="1"/>
  <c r="QV23" i="1"/>
  <c r="QW23" i="1"/>
  <c r="QX23" i="1"/>
  <c r="I15" i="1"/>
  <c r="J15" i="1"/>
  <c r="K15" i="1"/>
  <c r="MM15" i="1"/>
  <c r="MN15" i="1"/>
  <c r="MO15" i="1"/>
  <c r="MP15" i="1"/>
  <c r="MQ15" i="1"/>
  <c r="MR15" i="1"/>
  <c r="MS15" i="1"/>
  <c r="MT15" i="1"/>
  <c r="MW15" i="1"/>
  <c r="MX15" i="1"/>
  <c r="MY15" i="1"/>
  <c r="MZ15" i="1"/>
  <c r="NA15" i="1"/>
  <c r="NB15" i="1"/>
  <c r="NE15" i="1"/>
  <c r="NF15" i="1"/>
  <c r="NC15" i="1"/>
  <c r="ND15" i="1"/>
  <c r="NG15" i="1"/>
  <c r="NH15" i="1"/>
  <c r="NI15" i="1"/>
  <c r="NJ15" i="1"/>
  <c r="NK15" i="1"/>
  <c r="NL15" i="1"/>
  <c r="NM15" i="1"/>
  <c r="NN15" i="1"/>
  <c r="NO15" i="1"/>
  <c r="NP15" i="1"/>
  <c r="NQ15" i="1"/>
  <c r="NR15" i="1"/>
  <c r="NS15" i="1"/>
  <c r="NT15" i="1"/>
  <c r="NU15" i="1"/>
  <c r="NV15" i="1"/>
  <c r="NW15" i="1"/>
  <c r="NX15" i="1"/>
  <c r="NY15" i="1"/>
  <c r="NZ15" i="1"/>
  <c r="OA15" i="1"/>
  <c r="OB15" i="1"/>
  <c r="OC15" i="1"/>
  <c r="OD15" i="1"/>
  <c r="OE15" i="1"/>
  <c r="OF15" i="1"/>
  <c r="OG15" i="1"/>
  <c r="OH15" i="1"/>
  <c r="OI15" i="1"/>
  <c r="OJ15" i="1"/>
  <c r="OM15" i="1"/>
  <c r="ON15" i="1"/>
  <c r="OO15" i="1"/>
  <c r="OP15" i="1"/>
  <c r="OQ15" i="1"/>
  <c r="OR15" i="1"/>
  <c r="OS15" i="1"/>
  <c r="OT15" i="1"/>
  <c r="OU15" i="1"/>
  <c r="OV15" i="1"/>
  <c r="OW15" i="1"/>
  <c r="OX15" i="1"/>
  <c r="OY15" i="1"/>
  <c r="PA15" i="1"/>
  <c r="PC15" i="1"/>
  <c r="PD15" i="1"/>
  <c r="PB15" i="1"/>
  <c r="PE15" i="1"/>
  <c r="PF15" i="1"/>
  <c r="PG15" i="1"/>
  <c r="PH15" i="1"/>
  <c r="PI15" i="1"/>
  <c r="PJ15" i="1"/>
  <c r="PK15" i="1"/>
  <c r="PL15" i="1"/>
  <c r="PM15" i="1"/>
  <c r="PN15" i="1"/>
  <c r="PO15" i="1"/>
  <c r="PQ15" i="1"/>
  <c r="PR15" i="1"/>
  <c r="PT15" i="1"/>
  <c r="PU15" i="1"/>
  <c r="PZ15" i="1"/>
  <c r="QA15" i="1"/>
  <c r="QB15" i="1"/>
  <c r="QC15" i="1"/>
  <c r="QD15" i="1"/>
  <c r="QE15" i="1"/>
  <c r="QF15" i="1"/>
  <c r="QG15" i="1"/>
  <c r="QH15" i="1"/>
  <c r="QI15" i="1"/>
  <c r="QJ15" i="1"/>
  <c r="QK15" i="1"/>
  <c r="QL15" i="1"/>
  <c r="QM15" i="1"/>
  <c r="QN15" i="1"/>
  <c r="QO15" i="1"/>
  <c r="QP15" i="1"/>
  <c r="QQ15" i="1"/>
  <c r="QR15" i="1"/>
  <c r="QS15" i="1"/>
  <c r="QT15" i="1"/>
  <c r="QU15" i="1"/>
  <c r="QV15" i="1"/>
  <c r="QW15" i="1"/>
  <c r="QX15" i="1"/>
  <c r="I13" i="1"/>
  <c r="J13" i="1"/>
  <c r="K13" i="1"/>
  <c r="MM13" i="1"/>
  <c r="MN13" i="1"/>
  <c r="MO13" i="1"/>
  <c r="MP13" i="1"/>
  <c r="MQ13" i="1"/>
  <c r="MR13" i="1"/>
  <c r="MS13" i="1"/>
  <c r="MT13" i="1"/>
  <c r="MW13" i="1"/>
  <c r="MX13" i="1"/>
  <c r="MY13" i="1"/>
  <c r="MZ13" i="1"/>
  <c r="NA13" i="1"/>
  <c r="NB13" i="1"/>
  <c r="NE13" i="1"/>
  <c r="NF13" i="1"/>
  <c r="NC13" i="1"/>
  <c r="ND13" i="1"/>
  <c r="NG13" i="1"/>
  <c r="NH13" i="1"/>
  <c r="NI13" i="1"/>
  <c r="NJ13" i="1"/>
  <c r="NK13" i="1"/>
  <c r="NL13" i="1"/>
  <c r="NM13" i="1"/>
  <c r="NN13" i="1"/>
  <c r="NO13" i="1"/>
  <c r="NP13" i="1"/>
  <c r="NQ13" i="1"/>
  <c r="NR13" i="1"/>
  <c r="NS13" i="1"/>
  <c r="NT13" i="1"/>
  <c r="NU13" i="1"/>
  <c r="NV13" i="1"/>
  <c r="NW13" i="1"/>
  <c r="NX13" i="1"/>
  <c r="NY13" i="1"/>
  <c r="NZ13" i="1"/>
  <c r="OA13" i="1"/>
  <c r="OB13" i="1"/>
  <c r="OC13" i="1"/>
  <c r="OD13" i="1"/>
  <c r="OE13" i="1"/>
  <c r="OF13" i="1"/>
  <c r="OG13" i="1"/>
  <c r="OH13" i="1"/>
  <c r="OI13" i="1"/>
  <c r="OJ13" i="1"/>
  <c r="OM13" i="1"/>
  <c r="ON13" i="1"/>
  <c r="OO13" i="1"/>
  <c r="OP13" i="1"/>
  <c r="OQ13" i="1"/>
  <c r="OR13" i="1"/>
  <c r="OS13" i="1"/>
  <c r="OT13" i="1"/>
  <c r="OU13" i="1"/>
  <c r="OV13" i="1"/>
  <c r="OW13" i="1"/>
  <c r="OX13" i="1"/>
  <c r="OY13" i="1"/>
  <c r="PA13" i="1"/>
  <c r="PC13" i="1"/>
  <c r="PD13" i="1"/>
  <c r="PB13" i="1"/>
  <c r="PE13" i="1"/>
  <c r="PF13" i="1"/>
  <c r="PG13" i="1"/>
  <c r="PH13" i="1"/>
  <c r="PI13" i="1"/>
  <c r="PJ13" i="1"/>
  <c r="PK13" i="1"/>
  <c r="PL13" i="1"/>
  <c r="PM13" i="1"/>
  <c r="PN13" i="1"/>
  <c r="PO13" i="1"/>
  <c r="PQ13" i="1"/>
  <c r="PR13" i="1"/>
  <c r="PT13" i="1"/>
  <c r="PU13" i="1"/>
  <c r="PZ13" i="1"/>
  <c r="QA13" i="1"/>
  <c r="QB13" i="1"/>
  <c r="QC13" i="1"/>
  <c r="QD13" i="1"/>
  <c r="QE13" i="1"/>
  <c r="QF13" i="1"/>
  <c r="QG13" i="1"/>
  <c r="QH13" i="1"/>
  <c r="QI13" i="1"/>
  <c r="QJ13" i="1"/>
  <c r="QK13" i="1"/>
  <c r="QL13" i="1"/>
  <c r="QM13" i="1"/>
  <c r="QN13" i="1"/>
  <c r="QO13" i="1"/>
  <c r="QP13" i="1"/>
  <c r="QQ13" i="1"/>
  <c r="QR13" i="1"/>
  <c r="QS13" i="1"/>
  <c r="QT13" i="1"/>
  <c r="QU13" i="1"/>
  <c r="QV13" i="1"/>
  <c r="QW13" i="1"/>
  <c r="QX13" i="1"/>
  <c r="I14" i="1"/>
  <c r="J14" i="1"/>
  <c r="K14" i="1"/>
  <c r="MM14" i="1"/>
  <c r="MN14" i="1"/>
  <c r="MO14" i="1"/>
  <c r="MP14" i="1"/>
  <c r="MQ14" i="1"/>
  <c r="MR14" i="1"/>
  <c r="MS14" i="1"/>
  <c r="MT14" i="1"/>
  <c r="MW14" i="1"/>
  <c r="MX14" i="1"/>
  <c r="MY14" i="1"/>
  <c r="MZ14" i="1"/>
  <c r="NA14" i="1"/>
  <c r="NB14" i="1"/>
  <c r="NE14" i="1"/>
  <c r="NF14" i="1"/>
  <c r="NC14" i="1"/>
  <c r="ND14" i="1"/>
  <c r="NG14" i="1"/>
  <c r="NH14" i="1"/>
  <c r="NI14" i="1"/>
  <c r="NJ14" i="1"/>
  <c r="NK14" i="1"/>
  <c r="NL14" i="1"/>
  <c r="NM14" i="1"/>
  <c r="NN14" i="1"/>
  <c r="NO14" i="1"/>
  <c r="NP14" i="1"/>
  <c r="NQ14" i="1"/>
  <c r="NR14" i="1"/>
  <c r="NS14" i="1"/>
  <c r="NT14" i="1"/>
  <c r="NU14" i="1"/>
  <c r="NV14" i="1"/>
  <c r="NW14" i="1"/>
  <c r="NX14" i="1"/>
  <c r="NY14" i="1"/>
  <c r="NZ14" i="1"/>
  <c r="OA14" i="1"/>
  <c r="OB14" i="1"/>
  <c r="OC14" i="1"/>
  <c r="OD14" i="1"/>
  <c r="OE14" i="1"/>
  <c r="OF14" i="1"/>
  <c r="OG14" i="1"/>
  <c r="OH14" i="1"/>
  <c r="OI14" i="1"/>
  <c r="OJ14" i="1"/>
  <c r="OM14" i="1"/>
  <c r="ON14" i="1"/>
  <c r="OO14" i="1"/>
  <c r="OP14" i="1"/>
  <c r="OQ14" i="1"/>
  <c r="OR14" i="1"/>
  <c r="OS14" i="1"/>
  <c r="OT14" i="1"/>
  <c r="OU14" i="1"/>
  <c r="OV14" i="1"/>
  <c r="OW14" i="1"/>
  <c r="OX14" i="1"/>
  <c r="OY14" i="1"/>
  <c r="PA14" i="1"/>
  <c r="PC14" i="1"/>
  <c r="PD14" i="1"/>
  <c r="PB14" i="1"/>
  <c r="PE14" i="1"/>
  <c r="PF14" i="1"/>
  <c r="PG14" i="1"/>
  <c r="PH14" i="1"/>
  <c r="PI14" i="1"/>
  <c r="PJ14" i="1"/>
  <c r="PK14" i="1"/>
  <c r="PL14" i="1"/>
  <c r="PM14" i="1"/>
  <c r="PN14" i="1"/>
  <c r="PO14" i="1"/>
  <c r="PQ14" i="1"/>
  <c r="PR14" i="1"/>
  <c r="PT14" i="1"/>
  <c r="PU14" i="1"/>
  <c r="PZ14" i="1"/>
  <c r="QA14" i="1"/>
  <c r="QB14" i="1"/>
  <c r="QC14" i="1"/>
  <c r="QD14" i="1"/>
  <c r="QE14" i="1"/>
  <c r="QF14" i="1"/>
  <c r="QG14" i="1"/>
  <c r="QH14" i="1"/>
  <c r="QI14" i="1"/>
  <c r="QJ14" i="1"/>
  <c r="QK14" i="1"/>
  <c r="QL14" i="1"/>
  <c r="QM14" i="1"/>
  <c r="QN14" i="1"/>
  <c r="QO14" i="1"/>
  <c r="QP14" i="1"/>
  <c r="QQ14" i="1"/>
  <c r="QR14" i="1"/>
  <c r="QS14" i="1"/>
  <c r="QT14" i="1"/>
  <c r="QU14" i="1"/>
  <c r="QV14" i="1"/>
  <c r="QW14" i="1"/>
  <c r="QX14" i="1"/>
  <c r="I38" i="1"/>
  <c r="J38" i="1"/>
  <c r="K38" i="1"/>
  <c r="MM38" i="1"/>
  <c r="MN38" i="1"/>
  <c r="MO38" i="1"/>
  <c r="MP38" i="1"/>
  <c r="MQ38" i="1"/>
  <c r="MR38" i="1"/>
  <c r="MS38" i="1"/>
  <c r="MT38" i="1"/>
  <c r="MW38" i="1"/>
  <c r="MX38" i="1"/>
  <c r="MY38" i="1"/>
  <c r="MZ38" i="1"/>
  <c r="NA38" i="1"/>
  <c r="NB38" i="1"/>
  <c r="NE38" i="1"/>
  <c r="NF38" i="1"/>
  <c r="NC38" i="1"/>
  <c r="ND38" i="1"/>
  <c r="NG38" i="1"/>
  <c r="NH38" i="1"/>
  <c r="NI38" i="1"/>
  <c r="NJ38" i="1"/>
  <c r="NK38" i="1"/>
  <c r="NL38" i="1"/>
  <c r="NM38" i="1"/>
  <c r="NN38" i="1"/>
  <c r="NO38" i="1"/>
  <c r="NP38" i="1"/>
  <c r="NQ38" i="1"/>
  <c r="NR38" i="1"/>
  <c r="NS38" i="1"/>
  <c r="NT38" i="1"/>
  <c r="NU38" i="1"/>
  <c r="NV38" i="1"/>
  <c r="NW38" i="1"/>
  <c r="NX38" i="1"/>
  <c r="NY38" i="1"/>
  <c r="NZ38" i="1"/>
  <c r="OA38" i="1"/>
  <c r="OB38" i="1"/>
  <c r="OC38" i="1"/>
  <c r="OD38" i="1"/>
  <c r="OE38" i="1"/>
  <c r="OF38" i="1"/>
  <c r="OG38" i="1"/>
  <c r="OH38" i="1"/>
  <c r="OI38" i="1"/>
  <c r="OJ38" i="1"/>
  <c r="OM38" i="1"/>
  <c r="ON38" i="1"/>
  <c r="OO38" i="1"/>
  <c r="OP38" i="1"/>
  <c r="OQ38" i="1"/>
  <c r="OR38" i="1"/>
  <c r="OS38" i="1"/>
  <c r="OT38" i="1"/>
  <c r="OU38" i="1"/>
  <c r="OV38" i="1"/>
  <c r="OW38" i="1"/>
  <c r="OX38" i="1"/>
  <c r="OY38" i="1"/>
  <c r="PA38" i="1"/>
  <c r="PC38" i="1"/>
  <c r="PD38" i="1"/>
  <c r="PB38" i="1"/>
  <c r="PE38" i="1"/>
  <c r="PF38" i="1"/>
  <c r="PG38" i="1"/>
  <c r="PH38" i="1"/>
  <c r="PI38" i="1"/>
  <c r="PJ38" i="1"/>
  <c r="PK38" i="1"/>
  <c r="PL38" i="1"/>
  <c r="PM38" i="1"/>
  <c r="PN38" i="1"/>
  <c r="PO38" i="1"/>
  <c r="PQ38" i="1"/>
  <c r="PR38" i="1"/>
  <c r="PT38" i="1"/>
  <c r="PU38" i="1"/>
  <c r="PZ38" i="1"/>
  <c r="QA38" i="1"/>
  <c r="QB38" i="1"/>
  <c r="QC38" i="1"/>
  <c r="QD38" i="1"/>
  <c r="QE38" i="1"/>
  <c r="QF38" i="1"/>
  <c r="QG38" i="1"/>
  <c r="QH38" i="1"/>
  <c r="QI38" i="1"/>
  <c r="QJ38" i="1"/>
  <c r="QK38" i="1"/>
  <c r="QL38" i="1"/>
  <c r="QM38" i="1"/>
  <c r="QN38" i="1"/>
  <c r="QO38" i="1"/>
  <c r="QP38" i="1"/>
  <c r="QQ38" i="1"/>
  <c r="QR38" i="1"/>
  <c r="QS38" i="1"/>
  <c r="QT38" i="1"/>
  <c r="QU38" i="1"/>
  <c r="QV38" i="1"/>
  <c r="QW38" i="1"/>
  <c r="QX38" i="1"/>
  <c r="I21" i="1"/>
  <c r="J21" i="1"/>
  <c r="K21" i="1"/>
  <c r="MM21" i="1"/>
  <c r="MN21" i="1"/>
  <c r="MO21" i="1"/>
  <c r="MP21" i="1"/>
  <c r="MQ21" i="1"/>
  <c r="MR21" i="1"/>
  <c r="MS21" i="1"/>
  <c r="MT21" i="1"/>
  <c r="MW21" i="1"/>
  <c r="MX21" i="1"/>
  <c r="MY21" i="1"/>
  <c r="MZ21" i="1"/>
  <c r="NA21" i="1"/>
  <c r="NB21" i="1"/>
  <c r="NE21" i="1"/>
  <c r="NF21" i="1"/>
  <c r="NC21" i="1"/>
  <c r="ND21" i="1"/>
  <c r="NG21" i="1"/>
  <c r="NH21" i="1"/>
  <c r="NI21" i="1"/>
  <c r="NJ21" i="1"/>
  <c r="NK21" i="1"/>
  <c r="NL21" i="1"/>
  <c r="NM21" i="1"/>
  <c r="NN21" i="1"/>
  <c r="NO21" i="1"/>
  <c r="NP21" i="1"/>
  <c r="NQ21" i="1"/>
  <c r="NR21" i="1"/>
  <c r="NS21" i="1"/>
  <c r="NT21" i="1"/>
  <c r="NU21" i="1"/>
  <c r="NV21" i="1"/>
  <c r="NW21" i="1"/>
  <c r="NX21" i="1"/>
  <c r="NY21" i="1"/>
  <c r="NZ21" i="1"/>
  <c r="OA21" i="1"/>
  <c r="OB21" i="1"/>
  <c r="OC21" i="1"/>
  <c r="OD21" i="1"/>
  <c r="OE21" i="1"/>
  <c r="OF21" i="1"/>
  <c r="OG21" i="1"/>
  <c r="OH21" i="1"/>
  <c r="OI21" i="1"/>
  <c r="OJ21" i="1"/>
  <c r="OM21" i="1"/>
  <c r="ON21" i="1"/>
  <c r="OO21" i="1"/>
  <c r="OP21" i="1"/>
  <c r="OQ21" i="1"/>
  <c r="OR21" i="1"/>
  <c r="OS21" i="1"/>
  <c r="OT21" i="1"/>
  <c r="OU21" i="1"/>
  <c r="OV21" i="1"/>
  <c r="OW21" i="1"/>
  <c r="OX21" i="1"/>
  <c r="OY21" i="1"/>
  <c r="PA21" i="1"/>
  <c r="PC21" i="1"/>
  <c r="PD21" i="1"/>
  <c r="PB21" i="1"/>
  <c r="PE21" i="1"/>
  <c r="PF21" i="1"/>
  <c r="PG21" i="1"/>
  <c r="PH21" i="1"/>
  <c r="PI21" i="1"/>
  <c r="PJ21" i="1"/>
  <c r="PK21" i="1"/>
  <c r="PL21" i="1"/>
  <c r="PM21" i="1"/>
  <c r="PN21" i="1"/>
  <c r="PO21" i="1"/>
  <c r="PQ21" i="1"/>
  <c r="PR21" i="1"/>
  <c r="PT21" i="1"/>
  <c r="PU21" i="1"/>
  <c r="PZ21" i="1"/>
  <c r="QA21" i="1"/>
  <c r="QB21" i="1"/>
  <c r="QC21" i="1"/>
  <c r="QD21" i="1"/>
  <c r="QE21" i="1"/>
  <c r="QF21" i="1"/>
  <c r="QG21" i="1"/>
  <c r="QH21" i="1"/>
  <c r="QI21" i="1"/>
  <c r="QJ21" i="1"/>
  <c r="QK21" i="1"/>
  <c r="QL21" i="1"/>
  <c r="QM21" i="1"/>
  <c r="QN21" i="1"/>
  <c r="QO21" i="1"/>
  <c r="QP21" i="1"/>
  <c r="QQ21" i="1"/>
  <c r="QR21" i="1"/>
  <c r="QS21" i="1"/>
  <c r="QT21" i="1"/>
  <c r="QU21" i="1"/>
  <c r="QV21" i="1"/>
  <c r="QW21" i="1"/>
  <c r="QX21" i="1"/>
  <c r="I17" i="1"/>
  <c r="J17" i="1"/>
  <c r="K17" i="1"/>
  <c r="MM17" i="1"/>
  <c r="MN17" i="1"/>
  <c r="MO17" i="1"/>
  <c r="MP17" i="1"/>
  <c r="MQ17" i="1"/>
  <c r="MR17" i="1"/>
  <c r="MS17" i="1"/>
  <c r="MT17" i="1"/>
  <c r="MW17" i="1"/>
  <c r="MX17" i="1"/>
  <c r="MY17" i="1"/>
  <c r="MZ17" i="1"/>
  <c r="NA17" i="1"/>
  <c r="NB17" i="1"/>
  <c r="NE17" i="1"/>
  <c r="NF17" i="1"/>
  <c r="NC17" i="1"/>
  <c r="ND17" i="1"/>
  <c r="NG17" i="1"/>
  <c r="NH17" i="1"/>
  <c r="NI17" i="1"/>
  <c r="NJ17" i="1"/>
  <c r="NK17" i="1"/>
  <c r="NL17" i="1"/>
  <c r="NM17" i="1"/>
  <c r="NN17" i="1"/>
  <c r="NO17" i="1"/>
  <c r="NP17" i="1"/>
  <c r="NQ17" i="1"/>
  <c r="NR17" i="1"/>
  <c r="NS17" i="1"/>
  <c r="NT17" i="1"/>
  <c r="NU17" i="1"/>
  <c r="NV17" i="1"/>
  <c r="NW17" i="1"/>
  <c r="NX17" i="1"/>
  <c r="NY17" i="1"/>
  <c r="NZ17" i="1"/>
  <c r="OA17" i="1"/>
  <c r="OB17" i="1"/>
  <c r="OC17" i="1"/>
  <c r="OD17" i="1"/>
  <c r="OE17" i="1"/>
  <c r="OF17" i="1"/>
  <c r="OG17" i="1"/>
  <c r="OH17" i="1"/>
  <c r="OI17" i="1"/>
  <c r="OJ17" i="1"/>
  <c r="OM17" i="1"/>
  <c r="ON17" i="1"/>
  <c r="OO17" i="1"/>
  <c r="OP17" i="1"/>
  <c r="OQ17" i="1"/>
  <c r="OR17" i="1"/>
  <c r="OS17" i="1"/>
  <c r="OT17" i="1"/>
  <c r="OU17" i="1"/>
  <c r="OV17" i="1"/>
  <c r="OW17" i="1"/>
  <c r="OX17" i="1"/>
  <c r="OY17" i="1"/>
  <c r="PA17" i="1"/>
  <c r="PC17" i="1"/>
  <c r="PD17" i="1"/>
  <c r="PB17" i="1"/>
  <c r="PE17" i="1"/>
  <c r="PF17" i="1"/>
  <c r="PG17" i="1"/>
  <c r="PH17" i="1"/>
  <c r="PI17" i="1"/>
  <c r="PJ17" i="1"/>
  <c r="PK17" i="1"/>
  <c r="PL17" i="1"/>
  <c r="PM17" i="1"/>
  <c r="PN17" i="1"/>
  <c r="PO17" i="1"/>
  <c r="PQ17" i="1"/>
  <c r="PR17" i="1"/>
  <c r="PT17" i="1"/>
  <c r="PU17" i="1"/>
  <c r="PZ17" i="1"/>
  <c r="QA17" i="1"/>
  <c r="QB17" i="1"/>
  <c r="QC17" i="1"/>
  <c r="QD17" i="1"/>
  <c r="QE17" i="1"/>
  <c r="QF17" i="1"/>
  <c r="QG17" i="1"/>
  <c r="QH17" i="1"/>
  <c r="QI17" i="1"/>
  <c r="QJ17" i="1"/>
  <c r="QK17" i="1"/>
  <c r="QL17" i="1"/>
  <c r="QM17" i="1"/>
  <c r="QN17" i="1"/>
  <c r="QO17" i="1"/>
  <c r="QP17" i="1"/>
  <c r="QQ17" i="1"/>
  <c r="QR17" i="1"/>
  <c r="QS17" i="1"/>
  <c r="QT17" i="1"/>
  <c r="QU17" i="1"/>
  <c r="QV17" i="1"/>
  <c r="QW17" i="1"/>
  <c r="QX17" i="1"/>
  <c r="I68" i="1"/>
  <c r="J68" i="1"/>
  <c r="K68" i="1"/>
  <c r="MM68" i="1"/>
  <c r="MN68" i="1"/>
  <c r="MO68" i="1"/>
  <c r="MP68" i="1"/>
  <c r="MQ68" i="1"/>
  <c r="MR68" i="1"/>
  <c r="MS68" i="1"/>
  <c r="MT68" i="1"/>
  <c r="MW68" i="1"/>
  <c r="MX68" i="1"/>
  <c r="MY68" i="1"/>
  <c r="MZ68" i="1"/>
  <c r="NA68" i="1"/>
  <c r="NB68" i="1"/>
  <c r="NE68" i="1"/>
  <c r="NF68" i="1"/>
  <c r="NC68" i="1"/>
  <c r="ND68" i="1"/>
  <c r="NG68" i="1"/>
  <c r="NH68" i="1"/>
  <c r="NI68" i="1"/>
  <c r="NJ68" i="1"/>
  <c r="NK68" i="1"/>
  <c r="NL68" i="1"/>
  <c r="NM68" i="1"/>
  <c r="NN68" i="1"/>
  <c r="NO68" i="1"/>
  <c r="NP68" i="1"/>
  <c r="NQ68" i="1"/>
  <c r="NR68" i="1"/>
  <c r="NS68" i="1"/>
  <c r="NT68" i="1"/>
  <c r="NU68" i="1"/>
  <c r="NV68" i="1"/>
  <c r="NW68" i="1"/>
  <c r="NX68" i="1"/>
  <c r="NY68" i="1"/>
  <c r="NZ68" i="1"/>
  <c r="OA68" i="1"/>
  <c r="OB68" i="1"/>
  <c r="OC68" i="1"/>
  <c r="OD68" i="1"/>
  <c r="OE68" i="1"/>
  <c r="OF68" i="1"/>
  <c r="OG68" i="1"/>
  <c r="OH68" i="1"/>
  <c r="OI68" i="1"/>
  <c r="OJ68" i="1"/>
  <c r="OM68" i="1"/>
  <c r="ON68" i="1"/>
  <c r="OO68" i="1"/>
  <c r="OP68" i="1"/>
  <c r="OQ68" i="1"/>
  <c r="OR68" i="1"/>
  <c r="OS68" i="1"/>
  <c r="OT68" i="1"/>
  <c r="OU68" i="1"/>
  <c r="OV68" i="1"/>
  <c r="OW68" i="1"/>
  <c r="OX68" i="1"/>
  <c r="OY68" i="1"/>
  <c r="PA68" i="1"/>
  <c r="PC68" i="1"/>
  <c r="PD68" i="1"/>
  <c r="PB68" i="1"/>
  <c r="PE68" i="1"/>
  <c r="PF68" i="1"/>
  <c r="PG68" i="1"/>
  <c r="PH68" i="1"/>
  <c r="PI68" i="1"/>
  <c r="PJ68" i="1"/>
  <c r="PK68" i="1"/>
  <c r="PL68" i="1"/>
  <c r="PM68" i="1"/>
  <c r="PN68" i="1"/>
  <c r="PO68" i="1"/>
  <c r="PQ68" i="1"/>
  <c r="PR68" i="1"/>
  <c r="PT68" i="1"/>
  <c r="PU68" i="1"/>
  <c r="PZ68" i="1"/>
  <c r="QA68" i="1"/>
  <c r="QB68" i="1"/>
  <c r="QC68" i="1"/>
  <c r="QD68" i="1"/>
  <c r="QE68" i="1"/>
  <c r="QF68" i="1"/>
  <c r="QG68" i="1"/>
  <c r="QH68" i="1"/>
  <c r="QI68" i="1"/>
  <c r="QJ68" i="1"/>
  <c r="QK68" i="1"/>
  <c r="QL68" i="1"/>
  <c r="QM68" i="1"/>
  <c r="QN68" i="1"/>
  <c r="QO68" i="1"/>
  <c r="QP68" i="1"/>
  <c r="QQ68" i="1"/>
  <c r="QR68" i="1"/>
  <c r="QS68" i="1"/>
  <c r="QT68" i="1"/>
  <c r="QU68" i="1"/>
  <c r="QV68" i="1"/>
  <c r="QW68" i="1"/>
  <c r="QX68" i="1"/>
  <c r="I121" i="1"/>
  <c r="J121" i="1"/>
  <c r="K121" i="1"/>
  <c r="MM121" i="1"/>
  <c r="MN121" i="1"/>
  <c r="MO121" i="1"/>
  <c r="MP121" i="1"/>
  <c r="MQ121" i="1"/>
  <c r="MR121" i="1"/>
  <c r="MS121" i="1"/>
  <c r="MT121" i="1"/>
  <c r="MW121" i="1"/>
  <c r="MX121" i="1"/>
  <c r="MY121" i="1"/>
  <c r="MZ121" i="1"/>
  <c r="NA121" i="1"/>
  <c r="NB121" i="1"/>
  <c r="NE121" i="1"/>
  <c r="NF121" i="1"/>
  <c r="NC121" i="1"/>
  <c r="ND121" i="1"/>
  <c r="NG121" i="1"/>
  <c r="NH121" i="1"/>
  <c r="NI121" i="1"/>
  <c r="NJ121" i="1"/>
  <c r="NK121" i="1"/>
  <c r="NL121" i="1"/>
  <c r="NM121" i="1"/>
  <c r="NN121" i="1"/>
  <c r="NO121" i="1"/>
  <c r="NP121" i="1"/>
  <c r="NQ121" i="1"/>
  <c r="NR121" i="1"/>
  <c r="NS121" i="1"/>
  <c r="NT121" i="1"/>
  <c r="NU121" i="1"/>
  <c r="NV121" i="1"/>
  <c r="NW121" i="1"/>
  <c r="NX121" i="1"/>
  <c r="NY121" i="1"/>
  <c r="NZ121" i="1"/>
  <c r="OA121" i="1"/>
  <c r="OB121" i="1"/>
  <c r="OC121" i="1"/>
  <c r="OD121" i="1"/>
  <c r="OE121" i="1"/>
  <c r="OF121" i="1"/>
  <c r="OG121" i="1"/>
  <c r="OH121" i="1"/>
  <c r="OI121" i="1"/>
  <c r="OJ121" i="1"/>
  <c r="OM121" i="1"/>
  <c r="ON121" i="1"/>
  <c r="OO121" i="1"/>
  <c r="OP121" i="1"/>
  <c r="OQ121" i="1"/>
  <c r="OR121" i="1"/>
  <c r="OS121" i="1"/>
  <c r="OT121" i="1"/>
  <c r="OU121" i="1"/>
  <c r="OV121" i="1"/>
  <c r="OW121" i="1"/>
  <c r="OX121" i="1"/>
  <c r="OY121" i="1"/>
  <c r="PA121" i="1"/>
  <c r="PC121" i="1"/>
  <c r="PD121" i="1"/>
  <c r="PB121" i="1"/>
  <c r="PE121" i="1"/>
  <c r="PF121" i="1"/>
  <c r="PG121" i="1"/>
  <c r="PH121" i="1"/>
  <c r="PI121" i="1"/>
  <c r="PJ121" i="1"/>
  <c r="PK121" i="1"/>
  <c r="PL121" i="1"/>
  <c r="PM121" i="1"/>
  <c r="PN121" i="1"/>
  <c r="PO121" i="1"/>
  <c r="PQ121" i="1"/>
  <c r="PR121" i="1"/>
  <c r="PT121" i="1"/>
  <c r="PU121" i="1"/>
  <c r="PZ121" i="1"/>
  <c r="QA121" i="1"/>
  <c r="QB121" i="1"/>
  <c r="QC121" i="1"/>
  <c r="QD121" i="1"/>
  <c r="QE121" i="1"/>
  <c r="QF121" i="1"/>
  <c r="QG121" i="1"/>
  <c r="QH121" i="1"/>
  <c r="QI121" i="1"/>
  <c r="QJ121" i="1"/>
  <c r="QK121" i="1"/>
  <c r="QL121" i="1"/>
  <c r="QM121" i="1"/>
  <c r="QN121" i="1"/>
  <c r="QO121" i="1"/>
  <c r="QP121" i="1"/>
  <c r="QQ121" i="1"/>
  <c r="QR121" i="1"/>
  <c r="QS121" i="1"/>
  <c r="QT121" i="1"/>
  <c r="QU121" i="1"/>
  <c r="QV121" i="1"/>
  <c r="QW121" i="1"/>
  <c r="QX121" i="1"/>
  <c r="I24" i="1"/>
  <c r="J24" i="1"/>
  <c r="K24" i="1"/>
  <c r="MM24" i="1"/>
  <c r="MN24" i="1"/>
  <c r="MO24" i="1"/>
  <c r="MP24" i="1"/>
  <c r="MQ24" i="1"/>
  <c r="MR24" i="1"/>
  <c r="MS24" i="1"/>
  <c r="MT24" i="1"/>
  <c r="MW24" i="1"/>
  <c r="MX24" i="1"/>
  <c r="MY24" i="1"/>
  <c r="MZ24" i="1"/>
  <c r="NA24" i="1"/>
  <c r="NB24" i="1"/>
  <c r="NE24" i="1"/>
  <c r="NF24" i="1"/>
  <c r="NC24" i="1"/>
  <c r="ND24" i="1"/>
  <c r="NG24" i="1"/>
  <c r="NH24" i="1"/>
  <c r="NI24" i="1"/>
  <c r="NJ24" i="1"/>
  <c r="NK24" i="1"/>
  <c r="NL24" i="1"/>
  <c r="NM24" i="1"/>
  <c r="NN24" i="1"/>
  <c r="NO24" i="1"/>
  <c r="NP24" i="1"/>
  <c r="NQ24" i="1"/>
  <c r="NR24" i="1"/>
  <c r="NS24" i="1"/>
  <c r="NT24" i="1"/>
  <c r="NU24" i="1"/>
  <c r="NV24" i="1"/>
  <c r="NW24" i="1"/>
  <c r="NX24" i="1"/>
  <c r="NY24" i="1"/>
  <c r="NZ24" i="1"/>
  <c r="OA24" i="1"/>
  <c r="OB24" i="1"/>
  <c r="OC24" i="1"/>
  <c r="OD24" i="1"/>
  <c r="OE24" i="1"/>
  <c r="OF24" i="1"/>
  <c r="OG24" i="1"/>
  <c r="OH24" i="1"/>
  <c r="OI24" i="1"/>
  <c r="OJ24" i="1"/>
  <c r="OM24" i="1"/>
  <c r="ON24" i="1"/>
  <c r="OO24" i="1"/>
  <c r="OP24" i="1"/>
  <c r="OQ24" i="1"/>
  <c r="OR24" i="1"/>
  <c r="OS24" i="1"/>
  <c r="OT24" i="1"/>
  <c r="OU24" i="1"/>
  <c r="OV24" i="1"/>
  <c r="OW24" i="1"/>
  <c r="OX24" i="1"/>
  <c r="OY24" i="1"/>
  <c r="PA24" i="1"/>
  <c r="PC24" i="1"/>
  <c r="PD24" i="1"/>
  <c r="PB24" i="1"/>
  <c r="PE24" i="1"/>
  <c r="PF24" i="1"/>
  <c r="PG24" i="1"/>
  <c r="PH24" i="1"/>
  <c r="PI24" i="1"/>
  <c r="PJ24" i="1"/>
  <c r="PK24" i="1"/>
  <c r="PL24" i="1"/>
  <c r="PM24" i="1"/>
  <c r="PN24" i="1"/>
  <c r="PO24" i="1"/>
  <c r="PQ24" i="1"/>
  <c r="PR24" i="1"/>
  <c r="PT24" i="1"/>
  <c r="PU24" i="1"/>
  <c r="PZ24" i="1"/>
  <c r="QA24" i="1"/>
  <c r="QB24" i="1"/>
  <c r="QC24" i="1"/>
  <c r="QD24" i="1"/>
  <c r="QE24" i="1"/>
  <c r="QF24" i="1"/>
  <c r="QG24" i="1"/>
  <c r="QH24" i="1"/>
  <c r="QI24" i="1"/>
  <c r="QJ24" i="1"/>
  <c r="QK24" i="1"/>
  <c r="QL24" i="1"/>
  <c r="QM24" i="1"/>
  <c r="QN24" i="1"/>
  <c r="QO24" i="1"/>
  <c r="QP24" i="1"/>
  <c r="QQ24" i="1"/>
  <c r="QR24" i="1"/>
  <c r="QS24" i="1"/>
  <c r="QT24" i="1"/>
  <c r="QU24" i="1"/>
  <c r="QV24" i="1"/>
  <c r="QW24" i="1"/>
  <c r="QX24" i="1"/>
  <c r="I30" i="1"/>
  <c r="J30" i="1"/>
  <c r="K30" i="1"/>
  <c r="MM30" i="1"/>
  <c r="MN30" i="1"/>
  <c r="MO30" i="1"/>
  <c r="MP30" i="1"/>
  <c r="MQ30" i="1"/>
  <c r="MR30" i="1"/>
  <c r="MS30" i="1"/>
  <c r="MT30" i="1"/>
  <c r="MW30" i="1"/>
  <c r="MX30" i="1"/>
  <c r="MY30" i="1"/>
  <c r="MZ30" i="1"/>
  <c r="NA30" i="1"/>
  <c r="NB30" i="1"/>
  <c r="NE30" i="1"/>
  <c r="NF30" i="1"/>
  <c r="NC30" i="1"/>
  <c r="ND30" i="1"/>
  <c r="NG30" i="1"/>
  <c r="NH30" i="1"/>
  <c r="NI30" i="1"/>
  <c r="NJ30" i="1"/>
  <c r="NK30" i="1"/>
  <c r="NL30" i="1"/>
  <c r="NM30" i="1"/>
  <c r="NN30" i="1"/>
  <c r="NO30" i="1"/>
  <c r="NP30" i="1"/>
  <c r="NQ30" i="1"/>
  <c r="NR30" i="1"/>
  <c r="NS30" i="1"/>
  <c r="NT30" i="1"/>
  <c r="NU30" i="1"/>
  <c r="NV30" i="1"/>
  <c r="NW30" i="1"/>
  <c r="NX30" i="1"/>
  <c r="NY30" i="1"/>
  <c r="NZ30" i="1"/>
  <c r="OA30" i="1"/>
  <c r="OB30" i="1"/>
  <c r="OC30" i="1"/>
  <c r="OD30" i="1"/>
  <c r="OE30" i="1"/>
  <c r="OF30" i="1"/>
  <c r="OG30" i="1"/>
  <c r="OH30" i="1"/>
  <c r="OI30" i="1"/>
  <c r="OJ30" i="1"/>
  <c r="OM30" i="1"/>
  <c r="ON30" i="1"/>
  <c r="OO30" i="1"/>
  <c r="OP30" i="1"/>
  <c r="OQ30" i="1"/>
  <c r="OR30" i="1"/>
  <c r="OS30" i="1"/>
  <c r="OT30" i="1"/>
  <c r="OU30" i="1"/>
  <c r="OV30" i="1"/>
  <c r="OW30" i="1"/>
  <c r="OX30" i="1"/>
  <c r="OY30" i="1"/>
  <c r="PA30" i="1"/>
  <c r="PC30" i="1"/>
  <c r="PD30" i="1"/>
  <c r="PB30" i="1"/>
  <c r="PE30" i="1"/>
  <c r="PF30" i="1"/>
  <c r="PG30" i="1"/>
  <c r="PH30" i="1"/>
  <c r="PI30" i="1"/>
  <c r="PJ30" i="1"/>
  <c r="PK30" i="1"/>
  <c r="PL30" i="1"/>
  <c r="PM30" i="1"/>
  <c r="PN30" i="1"/>
  <c r="PO30" i="1"/>
  <c r="PQ30" i="1"/>
  <c r="PR30" i="1"/>
  <c r="PT30" i="1"/>
  <c r="PU30" i="1"/>
  <c r="PZ30" i="1"/>
  <c r="QA30" i="1"/>
  <c r="QB30" i="1"/>
  <c r="QC30" i="1"/>
  <c r="QD30" i="1"/>
  <c r="QE30" i="1"/>
  <c r="QF30" i="1"/>
  <c r="QG30" i="1"/>
  <c r="QH30" i="1"/>
  <c r="QI30" i="1"/>
  <c r="QJ30" i="1"/>
  <c r="QK30" i="1"/>
  <c r="QL30" i="1"/>
  <c r="QM30" i="1"/>
  <c r="QN30" i="1"/>
  <c r="QO30" i="1"/>
  <c r="QP30" i="1"/>
  <c r="QQ30" i="1"/>
  <c r="QR30" i="1"/>
  <c r="QS30" i="1"/>
  <c r="QT30" i="1"/>
  <c r="QU30" i="1"/>
  <c r="QV30" i="1"/>
  <c r="QW30" i="1"/>
  <c r="QX30" i="1"/>
  <c r="I35" i="1"/>
  <c r="J35" i="1"/>
  <c r="K35" i="1"/>
  <c r="MM35" i="1"/>
  <c r="MN35" i="1"/>
  <c r="MO35" i="1"/>
  <c r="MP35" i="1"/>
  <c r="MQ35" i="1"/>
  <c r="MR35" i="1"/>
  <c r="MS35" i="1"/>
  <c r="MT35" i="1"/>
  <c r="MW35" i="1"/>
  <c r="MX35" i="1"/>
  <c r="MY35" i="1"/>
  <c r="MZ35" i="1"/>
  <c r="NA35" i="1"/>
  <c r="NB35" i="1"/>
  <c r="NE35" i="1"/>
  <c r="NF35" i="1"/>
  <c r="NC35" i="1"/>
  <c r="ND35" i="1"/>
  <c r="NG35" i="1"/>
  <c r="NH35" i="1"/>
  <c r="NI35" i="1"/>
  <c r="NJ35" i="1"/>
  <c r="NK35" i="1"/>
  <c r="NL35" i="1"/>
  <c r="NM35" i="1"/>
  <c r="NN35" i="1"/>
  <c r="NO35" i="1"/>
  <c r="NP35" i="1"/>
  <c r="NQ35" i="1"/>
  <c r="NR35" i="1"/>
  <c r="NS35" i="1"/>
  <c r="NT35" i="1"/>
  <c r="NU35" i="1"/>
  <c r="NV35" i="1"/>
  <c r="NW35" i="1"/>
  <c r="NX35" i="1"/>
  <c r="NY35" i="1"/>
  <c r="NZ35" i="1"/>
  <c r="OA35" i="1"/>
  <c r="OB35" i="1"/>
  <c r="OC35" i="1"/>
  <c r="OD35" i="1"/>
  <c r="OE35" i="1"/>
  <c r="OF35" i="1"/>
  <c r="OG35" i="1"/>
  <c r="OH35" i="1"/>
  <c r="OI35" i="1"/>
  <c r="OJ35" i="1"/>
  <c r="OM35" i="1"/>
  <c r="ON35" i="1"/>
  <c r="OO35" i="1"/>
  <c r="OP35" i="1"/>
  <c r="OQ35" i="1"/>
  <c r="OR35" i="1"/>
  <c r="OS35" i="1"/>
  <c r="OT35" i="1"/>
  <c r="OU35" i="1"/>
  <c r="OV35" i="1"/>
  <c r="OW35" i="1"/>
  <c r="OX35" i="1"/>
  <c r="OY35" i="1"/>
  <c r="PA35" i="1"/>
  <c r="PC35" i="1"/>
  <c r="PD35" i="1"/>
  <c r="PB35" i="1"/>
  <c r="PE35" i="1"/>
  <c r="PF35" i="1"/>
  <c r="PG35" i="1"/>
  <c r="PH35" i="1"/>
  <c r="PI35" i="1"/>
  <c r="PJ35" i="1"/>
  <c r="PK35" i="1"/>
  <c r="PL35" i="1"/>
  <c r="PM35" i="1"/>
  <c r="PN35" i="1"/>
  <c r="PO35" i="1"/>
  <c r="PQ35" i="1"/>
  <c r="PR35" i="1"/>
  <c r="PT35" i="1"/>
  <c r="PU35" i="1"/>
  <c r="PZ35" i="1"/>
  <c r="QA35" i="1"/>
  <c r="QB35" i="1"/>
  <c r="QC35" i="1"/>
  <c r="QD35" i="1"/>
  <c r="QE35" i="1"/>
  <c r="QF35" i="1"/>
  <c r="QG35" i="1"/>
  <c r="QH35" i="1"/>
  <c r="QI35" i="1"/>
  <c r="QJ35" i="1"/>
  <c r="QK35" i="1"/>
  <c r="QL35" i="1"/>
  <c r="QM35" i="1"/>
  <c r="QN35" i="1"/>
  <c r="QO35" i="1"/>
  <c r="QP35" i="1"/>
  <c r="QQ35" i="1"/>
  <c r="QR35" i="1"/>
  <c r="QS35" i="1"/>
  <c r="QT35" i="1"/>
  <c r="QU35" i="1"/>
  <c r="QV35" i="1"/>
  <c r="QW35" i="1"/>
  <c r="QX35" i="1"/>
  <c r="I29" i="1"/>
  <c r="J29" i="1"/>
  <c r="K29" i="1"/>
  <c r="MM29" i="1"/>
  <c r="MN29" i="1"/>
  <c r="MO29" i="1"/>
  <c r="MP29" i="1"/>
  <c r="MQ29" i="1"/>
  <c r="MR29" i="1"/>
  <c r="MS29" i="1"/>
  <c r="MT29" i="1"/>
  <c r="MW29" i="1"/>
  <c r="MX29" i="1"/>
  <c r="MY29" i="1"/>
  <c r="MZ29" i="1"/>
  <c r="NA29" i="1"/>
  <c r="NB29" i="1"/>
  <c r="NE29" i="1"/>
  <c r="NF29" i="1"/>
  <c r="NC29" i="1"/>
  <c r="ND29" i="1"/>
  <c r="NG29" i="1"/>
  <c r="NH29" i="1"/>
  <c r="NI29" i="1"/>
  <c r="NJ29" i="1"/>
  <c r="NK29" i="1"/>
  <c r="NL29" i="1"/>
  <c r="NM29" i="1"/>
  <c r="NN29" i="1"/>
  <c r="NO29" i="1"/>
  <c r="NP29" i="1"/>
  <c r="NQ29" i="1"/>
  <c r="NR29" i="1"/>
  <c r="NS29" i="1"/>
  <c r="NT29" i="1"/>
  <c r="NU29" i="1"/>
  <c r="NV29" i="1"/>
  <c r="NW29" i="1"/>
  <c r="NX29" i="1"/>
  <c r="NY29" i="1"/>
  <c r="NZ29" i="1"/>
  <c r="OA29" i="1"/>
  <c r="OB29" i="1"/>
  <c r="OC29" i="1"/>
  <c r="OD29" i="1"/>
  <c r="OE29" i="1"/>
  <c r="OF29" i="1"/>
  <c r="OG29" i="1"/>
  <c r="OH29" i="1"/>
  <c r="OI29" i="1"/>
  <c r="OJ29" i="1"/>
  <c r="OM29" i="1"/>
  <c r="ON29" i="1"/>
  <c r="OO29" i="1"/>
  <c r="OP29" i="1"/>
  <c r="OQ29" i="1"/>
  <c r="OR29" i="1"/>
  <c r="OS29" i="1"/>
  <c r="OT29" i="1"/>
  <c r="OU29" i="1"/>
  <c r="OV29" i="1"/>
  <c r="OW29" i="1"/>
  <c r="OX29" i="1"/>
  <c r="OY29" i="1"/>
  <c r="PA29" i="1"/>
  <c r="PC29" i="1"/>
  <c r="PD29" i="1"/>
  <c r="PB29" i="1"/>
  <c r="PE29" i="1"/>
  <c r="PF29" i="1"/>
  <c r="PG29" i="1"/>
  <c r="PH29" i="1"/>
  <c r="PI29" i="1"/>
  <c r="PJ29" i="1"/>
  <c r="PK29" i="1"/>
  <c r="PL29" i="1"/>
  <c r="PM29" i="1"/>
  <c r="PN29" i="1"/>
  <c r="PO29" i="1"/>
  <c r="PQ29" i="1"/>
  <c r="PR29" i="1"/>
  <c r="PT29" i="1"/>
  <c r="PU29" i="1"/>
  <c r="PZ29" i="1"/>
  <c r="QA29" i="1"/>
  <c r="QB29" i="1"/>
  <c r="QC29" i="1"/>
  <c r="QD29" i="1"/>
  <c r="QE29" i="1"/>
  <c r="QF29" i="1"/>
  <c r="QG29" i="1"/>
  <c r="QH29" i="1"/>
  <c r="QI29" i="1"/>
  <c r="QJ29" i="1"/>
  <c r="QK29" i="1"/>
  <c r="QL29" i="1"/>
  <c r="QM29" i="1"/>
  <c r="QN29" i="1"/>
  <c r="QO29" i="1"/>
  <c r="QP29" i="1"/>
  <c r="QQ29" i="1"/>
  <c r="QR29" i="1"/>
  <c r="QS29" i="1"/>
  <c r="QT29" i="1"/>
  <c r="QU29" i="1"/>
  <c r="QV29" i="1"/>
  <c r="QW29" i="1"/>
  <c r="QX29" i="1"/>
  <c r="I37" i="1"/>
  <c r="J37" i="1"/>
  <c r="K37" i="1"/>
  <c r="MM37" i="1"/>
  <c r="MN37" i="1"/>
  <c r="MO37" i="1"/>
  <c r="MP37" i="1"/>
  <c r="MQ37" i="1"/>
  <c r="MR37" i="1"/>
  <c r="MS37" i="1"/>
  <c r="MT37" i="1"/>
  <c r="MW37" i="1"/>
  <c r="MX37" i="1"/>
  <c r="MY37" i="1"/>
  <c r="MZ37" i="1"/>
  <c r="NA37" i="1"/>
  <c r="NB37" i="1"/>
  <c r="NE37" i="1"/>
  <c r="NF37" i="1"/>
  <c r="NC37" i="1"/>
  <c r="ND37" i="1"/>
  <c r="NG37" i="1"/>
  <c r="NH37" i="1"/>
  <c r="NI37" i="1"/>
  <c r="NJ37" i="1"/>
  <c r="NK37" i="1"/>
  <c r="NL37" i="1"/>
  <c r="NM37" i="1"/>
  <c r="NN37" i="1"/>
  <c r="NO37" i="1"/>
  <c r="NP37" i="1"/>
  <c r="NQ37" i="1"/>
  <c r="NR37" i="1"/>
  <c r="NS37" i="1"/>
  <c r="NT37" i="1"/>
  <c r="NU37" i="1"/>
  <c r="NV37" i="1"/>
  <c r="NW37" i="1"/>
  <c r="NX37" i="1"/>
  <c r="NY37" i="1"/>
  <c r="NZ37" i="1"/>
  <c r="OA37" i="1"/>
  <c r="OB37" i="1"/>
  <c r="OC37" i="1"/>
  <c r="OD37" i="1"/>
  <c r="OE37" i="1"/>
  <c r="OF37" i="1"/>
  <c r="OG37" i="1"/>
  <c r="OH37" i="1"/>
  <c r="OI37" i="1"/>
  <c r="OJ37" i="1"/>
  <c r="OM37" i="1"/>
  <c r="ON37" i="1"/>
  <c r="OO37" i="1"/>
  <c r="OP37" i="1"/>
  <c r="OQ37" i="1"/>
  <c r="OR37" i="1"/>
  <c r="OS37" i="1"/>
  <c r="OT37" i="1"/>
  <c r="OU37" i="1"/>
  <c r="OV37" i="1"/>
  <c r="OW37" i="1"/>
  <c r="OX37" i="1"/>
  <c r="OY37" i="1"/>
  <c r="PA37" i="1"/>
  <c r="PC37" i="1"/>
  <c r="PD37" i="1"/>
  <c r="PB37" i="1"/>
  <c r="PE37" i="1"/>
  <c r="PF37" i="1"/>
  <c r="PG37" i="1"/>
  <c r="PH37" i="1"/>
  <c r="PI37" i="1"/>
  <c r="PJ37" i="1"/>
  <c r="PK37" i="1"/>
  <c r="PL37" i="1"/>
  <c r="PM37" i="1"/>
  <c r="PN37" i="1"/>
  <c r="PO37" i="1"/>
  <c r="PQ37" i="1"/>
  <c r="PR37" i="1"/>
  <c r="PT37" i="1"/>
  <c r="PU37" i="1"/>
  <c r="PZ37" i="1"/>
  <c r="QA37" i="1"/>
  <c r="QB37" i="1"/>
  <c r="QC37" i="1"/>
  <c r="QD37" i="1"/>
  <c r="QE37" i="1"/>
  <c r="QF37" i="1"/>
  <c r="QG37" i="1"/>
  <c r="QH37" i="1"/>
  <c r="QI37" i="1"/>
  <c r="QJ37" i="1"/>
  <c r="QK37" i="1"/>
  <c r="QL37" i="1"/>
  <c r="QM37" i="1"/>
  <c r="QN37" i="1"/>
  <c r="QO37" i="1"/>
  <c r="QP37" i="1"/>
  <c r="QQ37" i="1"/>
  <c r="QR37" i="1"/>
  <c r="QS37" i="1"/>
  <c r="QT37" i="1"/>
  <c r="QU37" i="1"/>
  <c r="QV37" i="1"/>
  <c r="QW37" i="1"/>
  <c r="QX37" i="1"/>
  <c r="I28" i="1"/>
  <c r="J28" i="1"/>
  <c r="K28" i="1"/>
  <c r="MM28" i="1"/>
  <c r="MN28" i="1"/>
  <c r="MO28" i="1"/>
  <c r="MP28" i="1"/>
  <c r="MQ28" i="1"/>
  <c r="MR28" i="1"/>
  <c r="MS28" i="1"/>
  <c r="MT28" i="1"/>
  <c r="MW28" i="1"/>
  <c r="MX28" i="1"/>
  <c r="MY28" i="1"/>
  <c r="MZ28" i="1"/>
  <c r="NA28" i="1"/>
  <c r="NB28" i="1"/>
  <c r="NE28" i="1"/>
  <c r="NF28" i="1"/>
  <c r="NC28" i="1"/>
  <c r="ND28" i="1"/>
  <c r="NG28" i="1"/>
  <c r="NH28" i="1"/>
  <c r="NI28" i="1"/>
  <c r="NJ28" i="1"/>
  <c r="NK28" i="1"/>
  <c r="NL28" i="1"/>
  <c r="NM28" i="1"/>
  <c r="NN28" i="1"/>
  <c r="NO28" i="1"/>
  <c r="NP28" i="1"/>
  <c r="NQ28" i="1"/>
  <c r="NR28" i="1"/>
  <c r="NS28" i="1"/>
  <c r="NT28" i="1"/>
  <c r="NU28" i="1"/>
  <c r="NV28" i="1"/>
  <c r="NW28" i="1"/>
  <c r="NX28" i="1"/>
  <c r="NY28" i="1"/>
  <c r="NZ28" i="1"/>
  <c r="OA28" i="1"/>
  <c r="OB28" i="1"/>
  <c r="OC28" i="1"/>
  <c r="OD28" i="1"/>
  <c r="OE28" i="1"/>
  <c r="OF28" i="1"/>
  <c r="OG28" i="1"/>
  <c r="OH28" i="1"/>
  <c r="OI28" i="1"/>
  <c r="OJ28" i="1"/>
  <c r="OM28" i="1"/>
  <c r="ON28" i="1"/>
  <c r="OO28" i="1"/>
  <c r="OP28" i="1"/>
  <c r="OQ28" i="1"/>
  <c r="OR28" i="1"/>
  <c r="OS28" i="1"/>
  <c r="OT28" i="1"/>
  <c r="OU28" i="1"/>
  <c r="OV28" i="1"/>
  <c r="OW28" i="1"/>
  <c r="OX28" i="1"/>
  <c r="OY28" i="1"/>
  <c r="PA28" i="1"/>
  <c r="PC28" i="1"/>
  <c r="PD28" i="1"/>
  <c r="PB28" i="1"/>
  <c r="PE28" i="1"/>
  <c r="PF28" i="1"/>
  <c r="PG28" i="1"/>
  <c r="PH28" i="1"/>
  <c r="PI28" i="1"/>
  <c r="PJ28" i="1"/>
  <c r="PK28" i="1"/>
  <c r="PL28" i="1"/>
  <c r="PM28" i="1"/>
  <c r="PN28" i="1"/>
  <c r="PO28" i="1"/>
  <c r="PQ28" i="1"/>
  <c r="PR28" i="1"/>
  <c r="PT28" i="1"/>
  <c r="PU28" i="1"/>
  <c r="PZ28" i="1"/>
  <c r="QA28" i="1"/>
  <c r="QB28" i="1"/>
  <c r="QC28" i="1"/>
  <c r="QD28" i="1"/>
  <c r="QE28" i="1"/>
  <c r="QF28" i="1"/>
  <c r="QG28" i="1"/>
  <c r="QH28" i="1"/>
  <c r="QI28" i="1"/>
  <c r="QJ28" i="1"/>
  <c r="QK28" i="1"/>
  <c r="QL28" i="1"/>
  <c r="QM28" i="1"/>
  <c r="QN28" i="1"/>
  <c r="QO28" i="1"/>
  <c r="QP28" i="1"/>
  <c r="QQ28" i="1"/>
  <c r="QR28" i="1"/>
  <c r="QS28" i="1"/>
  <c r="QT28" i="1"/>
  <c r="QU28" i="1"/>
  <c r="QV28" i="1"/>
  <c r="QW28" i="1"/>
  <c r="QX28" i="1"/>
  <c r="I50" i="1"/>
  <c r="J50" i="1"/>
  <c r="K50" i="1"/>
  <c r="MM50" i="1"/>
  <c r="MN50" i="1"/>
  <c r="MO50" i="1"/>
  <c r="MP50" i="1"/>
  <c r="MQ50" i="1"/>
  <c r="MR50" i="1"/>
  <c r="MS50" i="1"/>
  <c r="MT50" i="1"/>
  <c r="MW50" i="1"/>
  <c r="MX50" i="1"/>
  <c r="MY50" i="1"/>
  <c r="MZ50" i="1"/>
  <c r="NA50" i="1"/>
  <c r="NB50" i="1"/>
  <c r="NE50" i="1"/>
  <c r="NF50" i="1"/>
  <c r="NC50" i="1"/>
  <c r="ND50" i="1"/>
  <c r="NG50" i="1"/>
  <c r="NH50" i="1"/>
  <c r="NI50" i="1"/>
  <c r="NJ50" i="1"/>
  <c r="NK50" i="1"/>
  <c r="NL50" i="1"/>
  <c r="NM50" i="1"/>
  <c r="NN50" i="1"/>
  <c r="NO50" i="1"/>
  <c r="NP50" i="1"/>
  <c r="NQ50" i="1"/>
  <c r="NR50" i="1"/>
  <c r="NS50" i="1"/>
  <c r="NT50" i="1"/>
  <c r="NU50" i="1"/>
  <c r="NV50" i="1"/>
  <c r="NW50" i="1"/>
  <c r="NX50" i="1"/>
  <c r="NY50" i="1"/>
  <c r="NZ50" i="1"/>
  <c r="OA50" i="1"/>
  <c r="OB50" i="1"/>
  <c r="OC50" i="1"/>
  <c r="OD50" i="1"/>
  <c r="OE50" i="1"/>
  <c r="OF50" i="1"/>
  <c r="OG50" i="1"/>
  <c r="OH50" i="1"/>
  <c r="OI50" i="1"/>
  <c r="OJ50" i="1"/>
  <c r="OM50" i="1"/>
  <c r="ON50" i="1"/>
  <c r="OO50" i="1"/>
  <c r="OP50" i="1"/>
  <c r="OQ50" i="1"/>
  <c r="OR50" i="1"/>
  <c r="OS50" i="1"/>
  <c r="OT50" i="1"/>
  <c r="OU50" i="1"/>
  <c r="OV50" i="1"/>
  <c r="OW50" i="1"/>
  <c r="OX50" i="1"/>
  <c r="OY50" i="1"/>
  <c r="PA50" i="1"/>
  <c r="PC50" i="1"/>
  <c r="PD50" i="1"/>
  <c r="PB50" i="1"/>
  <c r="PE50" i="1"/>
  <c r="PF50" i="1"/>
  <c r="PG50" i="1"/>
  <c r="PH50" i="1"/>
  <c r="PI50" i="1"/>
  <c r="PJ50" i="1"/>
  <c r="PK50" i="1"/>
  <c r="PL50" i="1"/>
  <c r="PM50" i="1"/>
  <c r="PN50" i="1"/>
  <c r="PO50" i="1"/>
  <c r="PQ50" i="1"/>
  <c r="PR50" i="1"/>
  <c r="PT50" i="1"/>
  <c r="PU50" i="1"/>
  <c r="PZ50" i="1"/>
  <c r="QA50" i="1"/>
  <c r="QB50" i="1"/>
  <c r="QC50" i="1"/>
  <c r="QD50" i="1"/>
  <c r="QE50" i="1"/>
  <c r="QF50" i="1"/>
  <c r="QG50" i="1"/>
  <c r="QH50" i="1"/>
  <c r="QI50" i="1"/>
  <c r="QJ50" i="1"/>
  <c r="QK50" i="1"/>
  <c r="QL50" i="1"/>
  <c r="QM50" i="1"/>
  <c r="QN50" i="1"/>
  <c r="QO50" i="1"/>
  <c r="QP50" i="1"/>
  <c r="QQ50" i="1"/>
  <c r="QR50" i="1"/>
  <c r="QS50" i="1"/>
  <c r="QT50" i="1"/>
  <c r="QU50" i="1"/>
  <c r="QV50" i="1"/>
  <c r="QW50" i="1"/>
  <c r="QX50" i="1"/>
  <c r="I19" i="1"/>
  <c r="J19" i="1"/>
  <c r="K19" i="1"/>
  <c r="MM19" i="1"/>
  <c r="MN19" i="1"/>
  <c r="MO19" i="1"/>
  <c r="MP19" i="1"/>
  <c r="MQ19" i="1"/>
  <c r="MR19" i="1"/>
  <c r="MS19" i="1"/>
  <c r="MT19" i="1"/>
  <c r="MW19" i="1"/>
  <c r="MX19" i="1"/>
  <c r="MY19" i="1"/>
  <c r="MZ19" i="1"/>
  <c r="NA19" i="1"/>
  <c r="NB19" i="1"/>
  <c r="NE19" i="1"/>
  <c r="NF19" i="1"/>
  <c r="NC19" i="1"/>
  <c r="ND19" i="1"/>
  <c r="NG19" i="1"/>
  <c r="NH19" i="1"/>
  <c r="NI19" i="1"/>
  <c r="NJ19" i="1"/>
  <c r="NK19" i="1"/>
  <c r="NL19" i="1"/>
  <c r="NM19" i="1"/>
  <c r="NN19" i="1"/>
  <c r="NO19" i="1"/>
  <c r="NP19" i="1"/>
  <c r="NQ19" i="1"/>
  <c r="NR19" i="1"/>
  <c r="NS19" i="1"/>
  <c r="NT19" i="1"/>
  <c r="NU19" i="1"/>
  <c r="NV19" i="1"/>
  <c r="NW19" i="1"/>
  <c r="NX19" i="1"/>
  <c r="NY19" i="1"/>
  <c r="NZ19" i="1"/>
  <c r="OA19" i="1"/>
  <c r="OB19" i="1"/>
  <c r="OC19" i="1"/>
  <c r="OD19" i="1"/>
  <c r="OE19" i="1"/>
  <c r="OF19" i="1"/>
  <c r="OG19" i="1"/>
  <c r="OH19" i="1"/>
  <c r="OI19" i="1"/>
  <c r="OJ19" i="1"/>
  <c r="OM19" i="1"/>
  <c r="ON19" i="1"/>
  <c r="OO19" i="1"/>
  <c r="OP19" i="1"/>
  <c r="OQ19" i="1"/>
  <c r="OR19" i="1"/>
  <c r="OS19" i="1"/>
  <c r="OT19" i="1"/>
  <c r="OU19" i="1"/>
  <c r="OV19" i="1"/>
  <c r="OW19" i="1"/>
  <c r="OX19" i="1"/>
  <c r="OY19" i="1"/>
  <c r="PA19" i="1"/>
  <c r="PC19" i="1"/>
  <c r="PD19" i="1"/>
  <c r="PB19" i="1"/>
  <c r="PE19" i="1"/>
  <c r="PF19" i="1"/>
  <c r="PG19" i="1"/>
  <c r="PH19" i="1"/>
  <c r="PI19" i="1"/>
  <c r="PJ19" i="1"/>
  <c r="PK19" i="1"/>
  <c r="PL19" i="1"/>
  <c r="PM19" i="1"/>
  <c r="PN19" i="1"/>
  <c r="PO19" i="1"/>
  <c r="PQ19" i="1"/>
  <c r="PR19" i="1"/>
  <c r="PT19" i="1"/>
  <c r="PU19" i="1"/>
  <c r="PZ19" i="1"/>
  <c r="QA19" i="1"/>
  <c r="QB19" i="1"/>
  <c r="QC19" i="1"/>
  <c r="QD19" i="1"/>
  <c r="QE19" i="1"/>
  <c r="QF19" i="1"/>
  <c r="QG19" i="1"/>
  <c r="QH19" i="1"/>
  <c r="QI19" i="1"/>
  <c r="QJ19" i="1"/>
  <c r="QK19" i="1"/>
  <c r="QL19" i="1"/>
  <c r="QM19" i="1"/>
  <c r="QN19" i="1"/>
  <c r="QO19" i="1"/>
  <c r="QP19" i="1"/>
  <c r="QQ19" i="1"/>
  <c r="QR19" i="1"/>
  <c r="QS19" i="1"/>
  <c r="QT19" i="1"/>
  <c r="QU19" i="1"/>
  <c r="QV19" i="1"/>
  <c r="QW19" i="1"/>
  <c r="QX19" i="1"/>
  <c r="I10" i="1"/>
  <c r="J10" i="1"/>
  <c r="K10" i="1"/>
  <c r="MM10" i="1"/>
  <c r="MN10" i="1"/>
  <c r="MO10" i="1"/>
  <c r="MP10" i="1"/>
  <c r="MQ10" i="1"/>
  <c r="MR10" i="1"/>
  <c r="MS10" i="1"/>
  <c r="MT10" i="1"/>
  <c r="MW10" i="1"/>
  <c r="MX10" i="1"/>
  <c r="MY10" i="1"/>
  <c r="MZ10" i="1"/>
  <c r="NA10" i="1"/>
  <c r="NB10" i="1"/>
  <c r="NE10" i="1"/>
  <c r="NF10" i="1"/>
  <c r="NC10" i="1"/>
  <c r="ND10" i="1"/>
  <c r="NG10" i="1"/>
  <c r="NH10" i="1"/>
  <c r="NI10" i="1"/>
  <c r="NJ10" i="1"/>
  <c r="NK10" i="1"/>
  <c r="NL10" i="1"/>
  <c r="NM10" i="1"/>
  <c r="NN10" i="1"/>
  <c r="NO10" i="1"/>
  <c r="NP10" i="1"/>
  <c r="NQ10" i="1"/>
  <c r="NR10" i="1"/>
  <c r="NS10" i="1"/>
  <c r="NT10" i="1"/>
  <c r="NU10" i="1"/>
  <c r="NV10" i="1"/>
  <c r="NW10" i="1"/>
  <c r="NX10" i="1"/>
  <c r="NY10" i="1"/>
  <c r="NZ10" i="1"/>
  <c r="OA10" i="1"/>
  <c r="OB10" i="1"/>
  <c r="OC10" i="1"/>
  <c r="OD10" i="1"/>
  <c r="OE10" i="1"/>
  <c r="OF10" i="1"/>
  <c r="OG10" i="1"/>
  <c r="OH10" i="1"/>
  <c r="OI10" i="1"/>
  <c r="OJ10" i="1"/>
  <c r="OM10" i="1"/>
  <c r="ON10" i="1"/>
  <c r="OO10" i="1"/>
  <c r="OP10" i="1"/>
  <c r="OQ10" i="1"/>
  <c r="OR10" i="1"/>
  <c r="OS10" i="1"/>
  <c r="OT10" i="1"/>
  <c r="OU10" i="1"/>
  <c r="OV10" i="1"/>
  <c r="OW10" i="1"/>
  <c r="OX10" i="1"/>
  <c r="OY10" i="1"/>
  <c r="PA10" i="1"/>
  <c r="PC10" i="1"/>
  <c r="PD10" i="1"/>
  <c r="PB10" i="1"/>
  <c r="PE10" i="1"/>
  <c r="PF10" i="1"/>
  <c r="PG10" i="1"/>
  <c r="PH10" i="1"/>
  <c r="PI10" i="1"/>
  <c r="PJ10" i="1"/>
  <c r="PK10" i="1"/>
  <c r="PL10" i="1"/>
  <c r="PM10" i="1"/>
  <c r="PN10" i="1"/>
  <c r="PO10" i="1"/>
  <c r="PQ10" i="1"/>
  <c r="PR10" i="1"/>
  <c r="PT10" i="1"/>
  <c r="PU10" i="1"/>
  <c r="PZ10" i="1"/>
  <c r="QA10" i="1"/>
  <c r="QB10" i="1"/>
  <c r="QC10" i="1"/>
  <c r="QD10" i="1"/>
  <c r="QE10" i="1"/>
  <c r="QF10" i="1"/>
  <c r="QG10" i="1"/>
  <c r="QH10" i="1"/>
  <c r="QI10" i="1"/>
  <c r="QJ10" i="1"/>
  <c r="QK10" i="1"/>
  <c r="QL10" i="1"/>
  <c r="QM10" i="1"/>
  <c r="QN10" i="1"/>
  <c r="QO10" i="1"/>
  <c r="QP10" i="1"/>
  <c r="QQ10" i="1"/>
  <c r="QR10" i="1"/>
  <c r="QS10" i="1"/>
  <c r="QT10" i="1"/>
  <c r="QU10" i="1"/>
  <c r="QV10" i="1"/>
  <c r="QW10" i="1"/>
  <c r="QX10" i="1"/>
  <c r="I33" i="1"/>
  <c r="J33" i="1"/>
  <c r="K33" i="1"/>
  <c r="MM33" i="1"/>
  <c r="MN33" i="1"/>
  <c r="MO33" i="1"/>
  <c r="MP33" i="1"/>
  <c r="MQ33" i="1"/>
  <c r="MR33" i="1"/>
  <c r="MS33" i="1"/>
  <c r="MT33" i="1"/>
  <c r="MW33" i="1"/>
  <c r="MX33" i="1"/>
  <c r="MY33" i="1"/>
  <c r="MZ33" i="1"/>
  <c r="NA33" i="1"/>
  <c r="NB33" i="1"/>
  <c r="NE33" i="1"/>
  <c r="NF33" i="1"/>
  <c r="NC33" i="1"/>
  <c r="ND33" i="1"/>
  <c r="NG33" i="1"/>
  <c r="NH33" i="1"/>
  <c r="NI33" i="1"/>
  <c r="NJ33" i="1"/>
  <c r="NK33" i="1"/>
  <c r="NL33" i="1"/>
  <c r="NM33" i="1"/>
  <c r="NN33" i="1"/>
  <c r="NO33" i="1"/>
  <c r="NP33" i="1"/>
  <c r="NQ33" i="1"/>
  <c r="NR33" i="1"/>
  <c r="NS33" i="1"/>
  <c r="NT33" i="1"/>
  <c r="NU33" i="1"/>
  <c r="NV33" i="1"/>
  <c r="NW33" i="1"/>
  <c r="NX33" i="1"/>
  <c r="NY33" i="1"/>
  <c r="NZ33" i="1"/>
  <c r="OA33" i="1"/>
  <c r="OB33" i="1"/>
  <c r="OC33" i="1"/>
  <c r="OD33" i="1"/>
  <c r="OE33" i="1"/>
  <c r="OF33" i="1"/>
  <c r="OG33" i="1"/>
  <c r="OH33" i="1"/>
  <c r="OI33" i="1"/>
  <c r="OJ33" i="1"/>
  <c r="OM33" i="1"/>
  <c r="ON33" i="1"/>
  <c r="OO33" i="1"/>
  <c r="OP33" i="1"/>
  <c r="OQ33" i="1"/>
  <c r="OR33" i="1"/>
  <c r="OS33" i="1"/>
  <c r="OT33" i="1"/>
  <c r="OU33" i="1"/>
  <c r="OV33" i="1"/>
  <c r="OW33" i="1"/>
  <c r="OX33" i="1"/>
  <c r="OY33" i="1"/>
  <c r="PA33" i="1"/>
  <c r="PC33" i="1"/>
  <c r="PD33" i="1"/>
  <c r="PB33" i="1"/>
  <c r="PE33" i="1"/>
  <c r="PF33" i="1"/>
  <c r="PG33" i="1"/>
  <c r="PH33" i="1"/>
  <c r="PI33" i="1"/>
  <c r="PJ33" i="1"/>
  <c r="PK33" i="1"/>
  <c r="PL33" i="1"/>
  <c r="PM33" i="1"/>
  <c r="PN33" i="1"/>
  <c r="PO33" i="1"/>
  <c r="PQ33" i="1"/>
  <c r="PR33" i="1"/>
  <c r="PT33" i="1"/>
  <c r="PU33" i="1"/>
  <c r="PZ33" i="1"/>
  <c r="QA33" i="1"/>
  <c r="QB33" i="1"/>
  <c r="QC33" i="1"/>
  <c r="QD33" i="1"/>
  <c r="QE33" i="1"/>
  <c r="QF33" i="1"/>
  <c r="QG33" i="1"/>
  <c r="QH33" i="1"/>
  <c r="QI33" i="1"/>
  <c r="QJ33" i="1"/>
  <c r="QK33" i="1"/>
  <c r="QL33" i="1"/>
  <c r="QM33" i="1"/>
  <c r="QN33" i="1"/>
  <c r="QO33" i="1"/>
  <c r="QP33" i="1"/>
  <c r="QQ33" i="1"/>
  <c r="QR33" i="1"/>
  <c r="QS33" i="1"/>
  <c r="QT33" i="1"/>
  <c r="QU33" i="1"/>
  <c r="QV33" i="1"/>
  <c r="QW33" i="1"/>
  <c r="QX33" i="1"/>
  <c r="I39" i="1"/>
  <c r="J39" i="1"/>
  <c r="K39" i="1"/>
  <c r="MM39" i="1"/>
  <c r="MN39" i="1"/>
  <c r="MO39" i="1"/>
  <c r="MP39" i="1"/>
  <c r="MQ39" i="1"/>
  <c r="MR39" i="1"/>
  <c r="MS39" i="1"/>
  <c r="MT39" i="1"/>
  <c r="MW39" i="1"/>
  <c r="MX39" i="1"/>
  <c r="MY39" i="1"/>
  <c r="MZ39" i="1"/>
  <c r="NA39" i="1"/>
  <c r="NB39" i="1"/>
  <c r="NE39" i="1"/>
  <c r="NF39" i="1"/>
  <c r="NC39" i="1"/>
  <c r="ND39" i="1"/>
  <c r="NG39" i="1"/>
  <c r="NH39" i="1"/>
  <c r="NI39" i="1"/>
  <c r="NJ39" i="1"/>
  <c r="NK39" i="1"/>
  <c r="NL39" i="1"/>
  <c r="NM39" i="1"/>
  <c r="NN39" i="1"/>
  <c r="NO39" i="1"/>
  <c r="NP39" i="1"/>
  <c r="NQ39" i="1"/>
  <c r="NR39" i="1"/>
  <c r="NS39" i="1"/>
  <c r="NT39" i="1"/>
  <c r="NU39" i="1"/>
  <c r="NV39" i="1"/>
  <c r="NW39" i="1"/>
  <c r="NX39" i="1"/>
  <c r="NY39" i="1"/>
  <c r="NZ39" i="1"/>
  <c r="OA39" i="1"/>
  <c r="OB39" i="1"/>
  <c r="OC39" i="1"/>
  <c r="OD39" i="1"/>
  <c r="OE39" i="1"/>
  <c r="OF39" i="1"/>
  <c r="OG39" i="1"/>
  <c r="OH39" i="1"/>
  <c r="OI39" i="1"/>
  <c r="OJ39" i="1"/>
  <c r="OM39" i="1"/>
  <c r="ON39" i="1"/>
  <c r="OO39" i="1"/>
  <c r="OP39" i="1"/>
  <c r="OQ39" i="1"/>
  <c r="OR39" i="1"/>
  <c r="OS39" i="1"/>
  <c r="OT39" i="1"/>
  <c r="OU39" i="1"/>
  <c r="OV39" i="1"/>
  <c r="OW39" i="1"/>
  <c r="OX39" i="1"/>
  <c r="OY39" i="1"/>
  <c r="PA39" i="1"/>
  <c r="PC39" i="1"/>
  <c r="PD39" i="1"/>
  <c r="PB39" i="1"/>
  <c r="PE39" i="1"/>
  <c r="PF39" i="1"/>
  <c r="PG39" i="1"/>
  <c r="PH39" i="1"/>
  <c r="PI39" i="1"/>
  <c r="PJ39" i="1"/>
  <c r="PK39" i="1"/>
  <c r="PL39" i="1"/>
  <c r="PM39" i="1"/>
  <c r="PN39" i="1"/>
  <c r="PO39" i="1"/>
  <c r="PQ39" i="1"/>
  <c r="PR39" i="1"/>
  <c r="PT39" i="1"/>
  <c r="PU39" i="1"/>
  <c r="PZ39" i="1"/>
  <c r="QA39" i="1"/>
  <c r="QB39" i="1"/>
  <c r="QC39" i="1"/>
  <c r="QD39" i="1"/>
  <c r="QE39" i="1"/>
  <c r="QF39" i="1"/>
  <c r="QG39" i="1"/>
  <c r="QH39" i="1"/>
  <c r="QI39" i="1"/>
  <c r="QJ39" i="1"/>
  <c r="QK39" i="1"/>
  <c r="QL39" i="1"/>
  <c r="QM39" i="1"/>
  <c r="QN39" i="1"/>
  <c r="QO39" i="1"/>
  <c r="QP39" i="1"/>
  <c r="QQ39" i="1"/>
  <c r="QR39" i="1"/>
  <c r="QS39" i="1"/>
  <c r="QT39" i="1"/>
  <c r="QU39" i="1"/>
  <c r="QV39" i="1"/>
  <c r="QW39" i="1"/>
  <c r="QX39" i="1"/>
  <c r="I26" i="1"/>
  <c r="J26" i="1"/>
  <c r="K26" i="1"/>
  <c r="MM26" i="1"/>
  <c r="MN26" i="1"/>
  <c r="MO26" i="1"/>
  <c r="MP26" i="1"/>
  <c r="MQ26" i="1"/>
  <c r="MR26" i="1"/>
  <c r="MS26" i="1"/>
  <c r="MT26" i="1"/>
  <c r="MW26" i="1"/>
  <c r="MX26" i="1"/>
  <c r="MY26" i="1"/>
  <c r="MZ26" i="1"/>
  <c r="NA26" i="1"/>
  <c r="NB26" i="1"/>
  <c r="NE26" i="1"/>
  <c r="NF26" i="1"/>
  <c r="NC26" i="1"/>
  <c r="ND26" i="1"/>
  <c r="NG26" i="1"/>
  <c r="NH26" i="1"/>
  <c r="NI26" i="1"/>
  <c r="NJ26" i="1"/>
  <c r="NK26" i="1"/>
  <c r="NL26" i="1"/>
  <c r="NM26" i="1"/>
  <c r="NN26" i="1"/>
  <c r="NO26" i="1"/>
  <c r="NP26" i="1"/>
  <c r="NQ26" i="1"/>
  <c r="NR26" i="1"/>
  <c r="NS26" i="1"/>
  <c r="NT26" i="1"/>
  <c r="NU26" i="1"/>
  <c r="NV26" i="1"/>
  <c r="NW26" i="1"/>
  <c r="NX26" i="1"/>
  <c r="NY26" i="1"/>
  <c r="NZ26" i="1"/>
  <c r="OA26" i="1"/>
  <c r="OB26" i="1"/>
  <c r="OC26" i="1"/>
  <c r="OD26" i="1"/>
  <c r="OE26" i="1"/>
  <c r="OF26" i="1"/>
  <c r="OG26" i="1"/>
  <c r="OH26" i="1"/>
  <c r="OI26" i="1"/>
  <c r="OJ26" i="1"/>
  <c r="OM26" i="1"/>
  <c r="ON26" i="1"/>
  <c r="OO26" i="1"/>
  <c r="OP26" i="1"/>
  <c r="OQ26" i="1"/>
  <c r="OR26" i="1"/>
  <c r="OS26" i="1"/>
  <c r="OT26" i="1"/>
  <c r="OU26" i="1"/>
  <c r="OV26" i="1"/>
  <c r="OW26" i="1"/>
  <c r="OX26" i="1"/>
  <c r="OY26" i="1"/>
  <c r="PA26" i="1"/>
  <c r="PC26" i="1"/>
  <c r="PD26" i="1"/>
  <c r="PB26" i="1"/>
  <c r="PE26" i="1"/>
  <c r="PF26" i="1"/>
  <c r="PG26" i="1"/>
  <c r="PH26" i="1"/>
  <c r="PI26" i="1"/>
  <c r="PJ26" i="1"/>
  <c r="PK26" i="1"/>
  <c r="PL26" i="1"/>
  <c r="PM26" i="1"/>
  <c r="PN26" i="1"/>
  <c r="PO26" i="1"/>
  <c r="PQ26" i="1"/>
  <c r="PR26" i="1"/>
  <c r="PT26" i="1"/>
  <c r="PU26" i="1"/>
  <c r="PZ26" i="1"/>
  <c r="QA26" i="1"/>
  <c r="QB26" i="1"/>
  <c r="QC26" i="1"/>
  <c r="QD26" i="1"/>
  <c r="QE26" i="1"/>
  <c r="QF26" i="1"/>
  <c r="QG26" i="1"/>
  <c r="QH26" i="1"/>
  <c r="QI26" i="1"/>
  <c r="QJ26" i="1"/>
  <c r="QK26" i="1"/>
  <c r="QL26" i="1"/>
  <c r="QM26" i="1"/>
  <c r="QN26" i="1"/>
  <c r="QO26" i="1"/>
  <c r="QP26" i="1"/>
  <c r="QQ26" i="1"/>
  <c r="QR26" i="1"/>
  <c r="QS26" i="1"/>
  <c r="QT26" i="1"/>
  <c r="QU26" i="1"/>
  <c r="QV26" i="1"/>
  <c r="QW26" i="1"/>
  <c r="QX26" i="1"/>
  <c r="I22" i="1"/>
  <c r="J22" i="1"/>
  <c r="K22" i="1"/>
  <c r="MM22" i="1"/>
  <c r="MN22" i="1"/>
  <c r="MO22" i="1"/>
  <c r="MP22" i="1"/>
  <c r="MQ22" i="1"/>
  <c r="MR22" i="1"/>
  <c r="MS22" i="1"/>
  <c r="MT22" i="1"/>
  <c r="MW22" i="1"/>
  <c r="MX22" i="1"/>
  <c r="MY22" i="1"/>
  <c r="MZ22" i="1"/>
  <c r="NA22" i="1"/>
  <c r="NB22" i="1"/>
  <c r="NE22" i="1"/>
  <c r="NF22" i="1"/>
  <c r="NC22" i="1"/>
  <c r="ND22" i="1"/>
  <c r="NG22" i="1"/>
  <c r="NH22" i="1"/>
  <c r="NI22" i="1"/>
  <c r="NJ22" i="1"/>
  <c r="NK22" i="1"/>
  <c r="NL22" i="1"/>
  <c r="NM22" i="1"/>
  <c r="NN22" i="1"/>
  <c r="NO22" i="1"/>
  <c r="NP22" i="1"/>
  <c r="NQ22" i="1"/>
  <c r="NR22" i="1"/>
  <c r="NS22" i="1"/>
  <c r="NT22" i="1"/>
  <c r="NU22" i="1"/>
  <c r="NV22" i="1"/>
  <c r="NW22" i="1"/>
  <c r="NX22" i="1"/>
  <c r="NY22" i="1"/>
  <c r="NZ22" i="1"/>
  <c r="OA22" i="1"/>
  <c r="OB22" i="1"/>
  <c r="OC22" i="1"/>
  <c r="OD22" i="1"/>
  <c r="OE22" i="1"/>
  <c r="OF22" i="1"/>
  <c r="OG22" i="1"/>
  <c r="OH22" i="1"/>
  <c r="OI22" i="1"/>
  <c r="OJ22" i="1"/>
  <c r="OM22" i="1"/>
  <c r="ON22" i="1"/>
  <c r="OO22" i="1"/>
  <c r="OP22" i="1"/>
  <c r="OQ22" i="1"/>
  <c r="OR22" i="1"/>
  <c r="OS22" i="1"/>
  <c r="OT22" i="1"/>
  <c r="OU22" i="1"/>
  <c r="OV22" i="1"/>
  <c r="OW22" i="1"/>
  <c r="OX22" i="1"/>
  <c r="OY22" i="1"/>
  <c r="PA22" i="1"/>
  <c r="PC22" i="1"/>
  <c r="PD22" i="1"/>
  <c r="PB22" i="1"/>
  <c r="PE22" i="1"/>
  <c r="PF22" i="1"/>
  <c r="PG22" i="1"/>
  <c r="PH22" i="1"/>
  <c r="PI22" i="1"/>
  <c r="PJ22" i="1"/>
  <c r="PK22" i="1"/>
  <c r="PL22" i="1"/>
  <c r="PM22" i="1"/>
  <c r="PN22" i="1"/>
  <c r="PO22" i="1"/>
  <c r="PQ22" i="1"/>
  <c r="PR22" i="1"/>
  <c r="PT22" i="1"/>
  <c r="PU22" i="1"/>
  <c r="PZ22" i="1"/>
  <c r="QA22" i="1"/>
  <c r="QB22" i="1"/>
  <c r="QC22" i="1"/>
  <c r="QD22" i="1"/>
  <c r="QE22" i="1"/>
  <c r="QF22" i="1"/>
  <c r="QG22" i="1"/>
  <c r="QH22" i="1"/>
  <c r="QI22" i="1"/>
  <c r="QJ22" i="1"/>
  <c r="QK22" i="1"/>
  <c r="QL22" i="1"/>
  <c r="QM22" i="1"/>
  <c r="QN22" i="1"/>
  <c r="QO22" i="1"/>
  <c r="QP22" i="1"/>
  <c r="QQ22" i="1"/>
  <c r="QR22" i="1"/>
  <c r="QS22" i="1"/>
  <c r="QT22" i="1"/>
  <c r="QU22" i="1"/>
  <c r="QV22" i="1"/>
  <c r="QW22" i="1"/>
  <c r="QX22" i="1"/>
  <c r="I47" i="1"/>
  <c r="J47" i="1"/>
  <c r="K47" i="1"/>
  <c r="MM47" i="1"/>
  <c r="MN47" i="1"/>
  <c r="MO47" i="1"/>
  <c r="MP47" i="1"/>
  <c r="MQ47" i="1"/>
  <c r="MR47" i="1"/>
  <c r="MS47" i="1"/>
  <c r="MT47" i="1"/>
  <c r="MW47" i="1"/>
  <c r="MX47" i="1"/>
  <c r="MY47" i="1"/>
  <c r="MZ47" i="1"/>
  <c r="NA47" i="1"/>
  <c r="NB47" i="1"/>
  <c r="NE47" i="1"/>
  <c r="NF47" i="1"/>
  <c r="NC47" i="1"/>
  <c r="ND47" i="1"/>
  <c r="NG47" i="1"/>
  <c r="NH47" i="1"/>
  <c r="NI47" i="1"/>
  <c r="NJ47" i="1"/>
  <c r="NK47" i="1"/>
  <c r="NL47" i="1"/>
  <c r="NM47" i="1"/>
  <c r="NN47" i="1"/>
  <c r="NO47" i="1"/>
  <c r="NP47" i="1"/>
  <c r="NQ47" i="1"/>
  <c r="NR47" i="1"/>
  <c r="NS47" i="1"/>
  <c r="NT47" i="1"/>
  <c r="NU47" i="1"/>
  <c r="NV47" i="1"/>
  <c r="NW47" i="1"/>
  <c r="NX47" i="1"/>
  <c r="NY47" i="1"/>
  <c r="NZ47" i="1"/>
  <c r="OA47" i="1"/>
  <c r="OB47" i="1"/>
  <c r="OC47" i="1"/>
  <c r="OD47" i="1"/>
  <c r="OE47" i="1"/>
  <c r="OF47" i="1"/>
  <c r="OG47" i="1"/>
  <c r="OH47" i="1"/>
  <c r="OI47" i="1"/>
  <c r="OJ47" i="1"/>
  <c r="OM47" i="1"/>
  <c r="ON47" i="1"/>
  <c r="OO47" i="1"/>
  <c r="OP47" i="1"/>
  <c r="OQ47" i="1"/>
  <c r="OR47" i="1"/>
  <c r="OS47" i="1"/>
  <c r="OT47" i="1"/>
  <c r="OU47" i="1"/>
  <c r="OV47" i="1"/>
  <c r="OW47" i="1"/>
  <c r="OX47" i="1"/>
  <c r="OY47" i="1"/>
  <c r="PA47" i="1"/>
  <c r="PC47" i="1"/>
  <c r="PD47" i="1"/>
  <c r="PB47" i="1"/>
  <c r="PE47" i="1"/>
  <c r="PF47" i="1"/>
  <c r="PG47" i="1"/>
  <c r="PH47" i="1"/>
  <c r="PI47" i="1"/>
  <c r="PJ47" i="1"/>
  <c r="PK47" i="1"/>
  <c r="PL47" i="1"/>
  <c r="PM47" i="1"/>
  <c r="PN47" i="1"/>
  <c r="PO47" i="1"/>
  <c r="PQ47" i="1"/>
  <c r="PR47" i="1"/>
  <c r="PT47" i="1"/>
  <c r="PU47" i="1"/>
  <c r="PZ47" i="1"/>
  <c r="QA47" i="1"/>
  <c r="QB47" i="1"/>
  <c r="QC47" i="1"/>
  <c r="QD47" i="1"/>
  <c r="QE47" i="1"/>
  <c r="QF47" i="1"/>
  <c r="QG47" i="1"/>
  <c r="QH47" i="1"/>
  <c r="QI47" i="1"/>
  <c r="QJ47" i="1"/>
  <c r="QK47" i="1"/>
  <c r="QL47" i="1"/>
  <c r="QM47" i="1"/>
  <c r="QN47" i="1"/>
  <c r="QO47" i="1"/>
  <c r="QP47" i="1"/>
  <c r="QQ47" i="1"/>
  <c r="QR47" i="1"/>
  <c r="QS47" i="1"/>
  <c r="QT47" i="1"/>
  <c r="QU47" i="1"/>
  <c r="QV47" i="1"/>
  <c r="QW47" i="1"/>
  <c r="QX47" i="1"/>
  <c r="I109" i="1"/>
  <c r="J109" i="1"/>
  <c r="K109" i="1"/>
  <c r="MM109" i="1"/>
  <c r="MN109" i="1"/>
  <c r="MO109" i="1"/>
  <c r="MP109" i="1"/>
  <c r="MQ109" i="1"/>
  <c r="MR109" i="1"/>
  <c r="MS109" i="1"/>
  <c r="MT109" i="1"/>
  <c r="MW109" i="1"/>
  <c r="MX109" i="1"/>
  <c r="MY109" i="1"/>
  <c r="MZ109" i="1"/>
  <c r="NA109" i="1"/>
  <c r="NB109" i="1"/>
  <c r="NE109" i="1"/>
  <c r="NF109" i="1"/>
  <c r="NC109" i="1"/>
  <c r="ND109" i="1"/>
  <c r="NG109" i="1"/>
  <c r="NH109" i="1"/>
  <c r="NI109" i="1"/>
  <c r="NJ109" i="1"/>
  <c r="NK109" i="1"/>
  <c r="NL109" i="1"/>
  <c r="NM109" i="1"/>
  <c r="NN109" i="1"/>
  <c r="NO109" i="1"/>
  <c r="NP109" i="1"/>
  <c r="NQ109" i="1"/>
  <c r="NR109" i="1"/>
  <c r="NS109" i="1"/>
  <c r="NT109" i="1"/>
  <c r="NU109" i="1"/>
  <c r="NV109" i="1"/>
  <c r="NW109" i="1"/>
  <c r="NX109" i="1"/>
  <c r="NY109" i="1"/>
  <c r="NZ109" i="1"/>
  <c r="OA109" i="1"/>
  <c r="OB109" i="1"/>
  <c r="OC109" i="1"/>
  <c r="OD109" i="1"/>
  <c r="OE109" i="1"/>
  <c r="OF109" i="1"/>
  <c r="OG109" i="1"/>
  <c r="OH109" i="1"/>
  <c r="OI109" i="1"/>
  <c r="OJ109" i="1"/>
  <c r="OM109" i="1"/>
  <c r="ON109" i="1"/>
  <c r="OO109" i="1"/>
  <c r="OP109" i="1"/>
  <c r="OQ109" i="1"/>
  <c r="OR109" i="1"/>
  <c r="OS109" i="1"/>
  <c r="OT109" i="1"/>
  <c r="OU109" i="1"/>
  <c r="OV109" i="1"/>
  <c r="OW109" i="1"/>
  <c r="OX109" i="1"/>
  <c r="OY109" i="1"/>
  <c r="PA109" i="1"/>
  <c r="PC109" i="1"/>
  <c r="PD109" i="1"/>
  <c r="PB109" i="1"/>
  <c r="PE109" i="1"/>
  <c r="PF109" i="1"/>
  <c r="PG109" i="1"/>
  <c r="PH109" i="1"/>
  <c r="PI109" i="1"/>
  <c r="PJ109" i="1"/>
  <c r="PK109" i="1"/>
  <c r="PL109" i="1"/>
  <c r="PM109" i="1"/>
  <c r="PN109" i="1"/>
  <c r="PO109" i="1"/>
  <c r="PQ109" i="1"/>
  <c r="PR109" i="1"/>
  <c r="PT109" i="1"/>
  <c r="PU109" i="1"/>
  <c r="PZ109" i="1"/>
  <c r="QA109" i="1"/>
  <c r="QB109" i="1"/>
  <c r="QC109" i="1"/>
  <c r="QD109" i="1"/>
  <c r="QE109" i="1"/>
  <c r="QF109" i="1"/>
  <c r="QG109" i="1"/>
  <c r="QH109" i="1"/>
  <c r="QI109" i="1"/>
  <c r="QJ109" i="1"/>
  <c r="QK109" i="1"/>
  <c r="QL109" i="1"/>
  <c r="QM109" i="1"/>
  <c r="QN109" i="1"/>
  <c r="QO109" i="1"/>
  <c r="QP109" i="1"/>
  <c r="QQ109" i="1"/>
  <c r="QR109" i="1"/>
  <c r="QS109" i="1"/>
  <c r="QT109" i="1"/>
  <c r="QU109" i="1"/>
  <c r="QV109" i="1"/>
  <c r="QW109" i="1"/>
  <c r="QX109" i="1"/>
  <c r="I64" i="1"/>
  <c r="J64" i="1"/>
  <c r="K64" i="1"/>
  <c r="MM64" i="1"/>
  <c r="MN64" i="1"/>
  <c r="MO64" i="1"/>
  <c r="MP64" i="1"/>
  <c r="MQ64" i="1"/>
  <c r="MR64" i="1"/>
  <c r="MS64" i="1"/>
  <c r="MT64" i="1"/>
  <c r="MW64" i="1"/>
  <c r="MX64" i="1"/>
  <c r="MY64" i="1"/>
  <c r="MZ64" i="1"/>
  <c r="NA64" i="1"/>
  <c r="NB64" i="1"/>
  <c r="NE64" i="1"/>
  <c r="NF64" i="1"/>
  <c r="NC64" i="1"/>
  <c r="ND64" i="1"/>
  <c r="NG64" i="1"/>
  <c r="NH64" i="1"/>
  <c r="NI64" i="1"/>
  <c r="NJ64" i="1"/>
  <c r="NK64" i="1"/>
  <c r="NL64" i="1"/>
  <c r="NM64" i="1"/>
  <c r="NN64" i="1"/>
  <c r="NO64" i="1"/>
  <c r="NP64" i="1"/>
  <c r="NQ64" i="1"/>
  <c r="NR64" i="1"/>
  <c r="NS64" i="1"/>
  <c r="NT64" i="1"/>
  <c r="NU64" i="1"/>
  <c r="NV64" i="1"/>
  <c r="NW64" i="1"/>
  <c r="NX64" i="1"/>
  <c r="NY64" i="1"/>
  <c r="NZ64" i="1"/>
  <c r="OA64" i="1"/>
  <c r="OB64" i="1"/>
  <c r="OC64" i="1"/>
  <c r="OD64" i="1"/>
  <c r="OE64" i="1"/>
  <c r="OF64" i="1"/>
  <c r="OG64" i="1"/>
  <c r="OH64" i="1"/>
  <c r="OI64" i="1"/>
  <c r="OJ64" i="1"/>
  <c r="OM64" i="1"/>
  <c r="ON64" i="1"/>
  <c r="OO64" i="1"/>
  <c r="OP64" i="1"/>
  <c r="OQ64" i="1"/>
  <c r="OR64" i="1"/>
  <c r="OS64" i="1"/>
  <c r="OT64" i="1"/>
  <c r="OU64" i="1"/>
  <c r="OV64" i="1"/>
  <c r="OW64" i="1"/>
  <c r="OX64" i="1"/>
  <c r="OY64" i="1"/>
  <c r="PA64" i="1"/>
  <c r="PC64" i="1"/>
  <c r="PD64" i="1"/>
  <c r="PB64" i="1"/>
  <c r="PE64" i="1"/>
  <c r="PF64" i="1"/>
  <c r="PG64" i="1"/>
  <c r="PH64" i="1"/>
  <c r="PI64" i="1"/>
  <c r="PJ64" i="1"/>
  <c r="PK64" i="1"/>
  <c r="PL64" i="1"/>
  <c r="PM64" i="1"/>
  <c r="PN64" i="1"/>
  <c r="PO64" i="1"/>
  <c r="PQ64" i="1"/>
  <c r="PR64" i="1"/>
  <c r="PT64" i="1"/>
  <c r="PU64" i="1"/>
  <c r="PZ64" i="1"/>
  <c r="QA64" i="1"/>
  <c r="QB64" i="1"/>
  <c r="QC64" i="1"/>
  <c r="QD64" i="1"/>
  <c r="QE64" i="1"/>
  <c r="QF64" i="1"/>
  <c r="QG64" i="1"/>
  <c r="QH64" i="1"/>
  <c r="QI64" i="1"/>
  <c r="QJ64" i="1"/>
  <c r="QK64" i="1"/>
  <c r="QL64" i="1"/>
  <c r="QM64" i="1"/>
  <c r="QN64" i="1"/>
  <c r="QO64" i="1"/>
  <c r="QP64" i="1"/>
  <c r="QQ64" i="1"/>
  <c r="QR64" i="1"/>
  <c r="QS64" i="1"/>
  <c r="QT64" i="1"/>
  <c r="QU64" i="1"/>
  <c r="QV64" i="1"/>
  <c r="QW64" i="1"/>
  <c r="QX64" i="1"/>
  <c r="I115" i="1"/>
  <c r="J115" i="1"/>
  <c r="K115" i="1"/>
  <c r="MM115" i="1"/>
  <c r="MN115" i="1"/>
  <c r="MO115" i="1"/>
  <c r="MP115" i="1"/>
  <c r="MQ115" i="1"/>
  <c r="MR115" i="1"/>
  <c r="MS115" i="1"/>
  <c r="MT115" i="1"/>
  <c r="MW115" i="1"/>
  <c r="MX115" i="1"/>
  <c r="MY115" i="1"/>
  <c r="MZ115" i="1"/>
  <c r="NA115" i="1"/>
  <c r="NB115" i="1"/>
  <c r="NE115" i="1"/>
  <c r="NF115" i="1"/>
  <c r="NC115" i="1"/>
  <c r="ND115" i="1"/>
  <c r="NG115" i="1"/>
  <c r="NH115" i="1"/>
  <c r="NI115" i="1"/>
  <c r="NJ115" i="1"/>
  <c r="NK115" i="1"/>
  <c r="NL115" i="1"/>
  <c r="NM115" i="1"/>
  <c r="NN115" i="1"/>
  <c r="NO115" i="1"/>
  <c r="NP115" i="1"/>
  <c r="NQ115" i="1"/>
  <c r="NR115" i="1"/>
  <c r="NS115" i="1"/>
  <c r="NT115" i="1"/>
  <c r="NU115" i="1"/>
  <c r="NV115" i="1"/>
  <c r="NW115" i="1"/>
  <c r="NX115" i="1"/>
  <c r="NY115" i="1"/>
  <c r="NZ115" i="1"/>
  <c r="OA115" i="1"/>
  <c r="OB115" i="1"/>
  <c r="OC115" i="1"/>
  <c r="OD115" i="1"/>
  <c r="OE115" i="1"/>
  <c r="OF115" i="1"/>
  <c r="OG115" i="1"/>
  <c r="OH115" i="1"/>
  <c r="OI115" i="1"/>
  <c r="OJ115" i="1"/>
  <c r="OM115" i="1"/>
  <c r="ON115" i="1"/>
  <c r="OO115" i="1"/>
  <c r="OP115" i="1"/>
  <c r="OQ115" i="1"/>
  <c r="OR115" i="1"/>
  <c r="OS115" i="1"/>
  <c r="OT115" i="1"/>
  <c r="OU115" i="1"/>
  <c r="OV115" i="1"/>
  <c r="OW115" i="1"/>
  <c r="OX115" i="1"/>
  <c r="OY115" i="1"/>
  <c r="PA115" i="1"/>
  <c r="PC115" i="1"/>
  <c r="PD115" i="1"/>
  <c r="PB115" i="1"/>
  <c r="BH125" i="148" s="1"/>
  <c r="PE115" i="1"/>
  <c r="PF115" i="1"/>
  <c r="PG115" i="1"/>
  <c r="PH115" i="1"/>
  <c r="PI115" i="1"/>
  <c r="PJ115" i="1"/>
  <c r="PK115" i="1"/>
  <c r="PL115" i="1"/>
  <c r="PM115" i="1"/>
  <c r="PN115" i="1"/>
  <c r="PO115" i="1"/>
  <c r="PQ115" i="1"/>
  <c r="PR115" i="1"/>
  <c r="PT115" i="1"/>
  <c r="PU115" i="1"/>
  <c r="PZ115" i="1"/>
  <c r="QA115" i="1"/>
  <c r="QB115" i="1"/>
  <c r="QC115" i="1"/>
  <c r="QD115" i="1"/>
  <c r="QE115" i="1"/>
  <c r="QF115" i="1"/>
  <c r="QG115" i="1"/>
  <c r="QH115" i="1"/>
  <c r="QI115" i="1"/>
  <c r="QJ115" i="1"/>
  <c r="QK115" i="1"/>
  <c r="QL115" i="1"/>
  <c r="QM115" i="1"/>
  <c r="QN115" i="1"/>
  <c r="QO115" i="1"/>
  <c r="QP115" i="1"/>
  <c r="QQ115" i="1"/>
  <c r="QR115" i="1"/>
  <c r="QS115" i="1"/>
  <c r="QT115" i="1"/>
  <c r="QU115" i="1"/>
  <c r="QV115" i="1"/>
  <c r="QW115" i="1"/>
  <c r="QX115" i="1"/>
  <c r="I52" i="1"/>
  <c r="J52" i="1"/>
  <c r="K52" i="1"/>
  <c r="MM52" i="1"/>
  <c r="MN52" i="1"/>
  <c r="MO52" i="1"/>
  <c r="MP52" i="1"/>
  <c r="MQ52" i="1"/>
  <c r="MR52" i="1"/>
  <c r="MS52" i="1"/>
  <c r="MT52" i="1"/>
  <c r="MW52" i="1"/>
  <c r="MX52" i="1"/>
  <c r="MY52" i="1"/>
  <c r="MZ52" i="1"/>
  <c r="NA52" i="1"/>
  <c r="NB52" i="1"/>
  <c r="NE52" i="1"/>
  <c r="NF52" i="1"/>
  <c r="NC52" i="1"/>
  <c r="ND52" i="1"/>
  <c r="NG52" i="1"/>
  <c r="NH52" i="1"/>
  <c r="NI52" i="1"/>
  <c r="NJ52" i="1"/>
  <c r="NK52" i="1"/>
  <c r="NL52" i="1"/>
  <c r="NM52" i="1"/>
  <c r="NN52" i="1"/>
  <c r="NO52" i="1"/>
  <c r="NP52" i="1"/>
  <c r="NQ52" i="1"/>
  <c r="NR52" i="1"/>
  <c r="NS52" i="1"/>
  <c r="NT52" i="1"/>
  <c r="NU52" i="1"/>
  <c r="NV52" i="1"/>
  <c r="NW52" i="1"/>
  <c r="NX52" i="1"/>
  <c r="NY52" i="1"/>
  <c r="NZ52" i="1"/>
  <c r="OA52" i="1"/>
  <c r="OB52" i="1"/>
  <c r="OC52" i="1"/>
  <c r="OD52" i="1"/>
  <c r="OE52" i="1"/>
  <c r="OF52" i="1"/>
  <c r="OG52" i="1"/>
  <c r="OH52" i="1"/>
  <c r="OI52" i="1"/>
  <c r="OJ52" i="1"/>
  <c r="OM52" i="1"/>
  <c r="ON52" i="1"/>
  <c r="OO52" i="1"/>
  <c r="OP52" i="1"/>
  <c r="OQ52" i="1"/>
  <c r="OR52" i="1"/>
  <c r="OS52" i="1"/>
  <c r="OT52" i="1"/>
  <c r="OU52" i="1"/>
  <c r="OV52" i="1"/>
  <c r="OW52" i="1"/>
  <c r="OX52" i="1"/>
  <c r="OY52" i="1"/>
  <c r="PA52" i="1"/>
  <c r="PC52" i="1"/>
  <c r="PD52" i="1"/>
  <c r="PB52" i="1"/>
  <c r="PE52" i="1"/>
  <c r="PF52" i="1"/>
  <c r="PG52" i="1"/>
  <c r="PH52" i="1"/>
  <c r="PI52" i="1"/>
  <c r="PJ52" i="1"/>
  <c r="PK52" i="1"/>
  <c r="PL52" i="1"/>
  <c r="PM52" i="1"/>
  <c r="PN52" i="1"/>
  <c r="PO52" i="1"/>
  <c r="PQ52" i="1"/>
  <c r="PR52" i="1"/>
  <c r="PT52" i="1"/>
  <c r="PU52" i="1"/>
  <c r="PZ52" i="1"/>
  <c r="QA52" i="1"/>
  <c r="QB52" i="1"/>
  <c r="QC52" i="1"/>
  <c r="QD52" i="1"/>
  <c r="QE52" i="1"/>
  <c r="QF52" i="1"/>
  <c r="QG52" i="1"/>
  <c r="QH52" i="1"/>
  <c r="QI52" i="1"/>
  <c r="QJ52" i="1"/>
  <c r="QK52" i="1"/>
  <c r="QL52" i="1"/>
  <c r="QM52" i="1"/>
  <c r="QN52" i="1"/>
  <c r="QO52" i="1"/>
  <c r="QP52" i="1"/>
  <c r="QQ52" i="1"/>
  <c r="QR52" i="1"/>
  <c r="QS52" i="1"/>
  <c r="QT52" i="1"/>
  <c r="QU52" i="1"/>
  <c r="QV52" i="1"/>
  <c r="QW52" i="1"/>
  <c r="QX52" i="1"/>
  <c r="I63" i="1"/>
  <c r="J63" i="1"/>
  <c r="K63" i="1"/>
  <c r="MM63" i="1"/>
  <c r="MN63" i="1"/>
  <c r="MO63" i="1"/>
  <c r="MP63" i="1"/>
  <c r="MQ63" i="1"/>
  <c r="MR63" i="1"/>
  <c r="MS63" i="1"/>
  <c r="MT63" i="1"/>
  <c r="MW63" i="1"/>
  <c r="MX63" i="1"/>
  <c r="MY63" i="1"/>
  <c r="MZ63" i="1"/>
  <c r="NA63" i="1"/>
  <c r="NB63" i="1"/>
  <c r="NE63" i="1"/>
  <c r="NF63" i="1"/>
  <c r="NC63" i="1"/>
  <c r="ND63" i="1"/>
  <c r="NG63" i="1"/>
  <c r="NH63" i="1"/>
  <c r="NI63" i="1"/>
  <c r="NJ63" i="1"/>
  <c r="NK63" i="1"/>
  <c r="NL63" i="1"/>
  <c r="NM63" i="1"/>
  <c r="NN63" i="1"/>
  <c r="NO63" i="1"/>
  <c r="NP63" i="1"/>
  <c r="NQ63" i="1"/>
  <c r="NR63" i="1"/>
  <c r="NS63" i="1"/>
  <c r="NT63" i="1"/>
  <c r="NU63" i="1"/>
  <c r="NV63" i="1"/>
  <c r="NW63" i="1"/>
  <c r="NX63" i="1"/>
  <c r="NY63" i="1"/>
  <c r="NZ63" i="1"/>
  <c r="OA63" i="1"/>
  <c r="OB63" i="1"/>
  <c r="OC63" i="1"/>
  <c r="OD63" i="1"/>
  <c r="OE63" i="1"/>
  <c r="OF63" i="1"/>
  <c r="OG63" i="1"/>
  <c r="OH63" i="1"/>
  <c r="OI63" i="1"/>
  <c r="OJ63" i="1"/>
  <c r="OM63" i="1"/>
  <c r="ON63" i="1"/>
  <c r="OO63" i="1"/>
  <c r="OP63" i="1"/>
  <c r="OQ63" i="1"/>
  <c r="OR63" i="1"/>
  <c r="OS63" i="1"/>
  <c r="OT63" i="1"/>
  <c r="OU63" i="1"/>
  <c r="OV63" i="1"/>
  <c r="OW63" i="1"/>
  <c r="OX63" i="1"/>
  <c r="OY63" i="1"/>
  <c r="PA63" i="1"/>
  <c r="PC63" i="1"/>
  <c r="PD63" i="1"/>
  <c r="PB63" i="1"/>
  <c r="PE63" i="1"/>
  <c r="PF63" i="1"/>
  <c r="PG63" i="1"/>
  <c r="PH63" i="1"/>
  <c r="PI63" i="1"/>
  <c r="PJ63" i="1"/>
  <c r="PK63" i="1"/>
  <c r="PL63" i="1"/>
  <c r="PM63" i="1"/>
  <c r="PN63" i="1"/>
  <c r="PO63" i="1"/>
  <c r="PQ63" i="1"/>
  <c r="PR63" i="1"/>
  <c r="PT63" i="1"/>
  <c r="PU63" i="1"/>
  <c r="PZ63" i="1"/>
  <c r="QA63" i="1"/>
  <c r="QB63" i="1"/>
  <c r="QC63" i="1"/>
  <c r="QD63" i="1"/>
  <c r="QE63" i="1"/>
  <c r="QF63" i="1"/>
  <c r="QG63" i="1"/>
  <c r="QH63" i="1"/>
  <c r="QI63" i="1"/>
  <c r="QJ63" i="1"/>
  <c r="QK63" i="1"/>
  <c r="QL63" i="1"/>
  <c r="QM63" i="1"/>
  <c r="QN63" i="1"/>
  <c r="QO63" i="1"/>
  <c r="QP63" i="1"/>
  <c r="QQ63" i="1"/>
  <c r="QR63" i="1"/>
  <c r="QS63" i="1"/>
  <c r="QT63" i="1"/>
  <c r="QU63" i="1"/>
  <c r="QV63" i="1"/>
  <c r="QW63" i="1"/>
  <c r="QX63" i="1"/>
  <c r="I49" i="1"/>
  <c r="J49" i="1"/>
  <c r="K49" i="1"/>
  <c r="MM49" i="1"/>
  <c r="MN49" i="1"/>
  <c r="MO49" i="1"/>
  <c r="MP49" i="1"/>
  <c r="MQ49" i="1"/>
  <c r="MR49" i="1"/>
  <c r="MS49" i="1"/>
  <c r="MT49" i="1"/>
  <c r="MW49" i="1"/>
  <c r="MX49" i="1"/>
  <c r="MY49" i="1"/>
  <c r="MZ49" i="1"/>
  <c r="NA49" i="1"/>
  <c r="NB49" i="1"/>
  <c r="NE49" i="1"/>
  <c r="NF49" i="1"/>
  <c r="NC49" i="1"/>
  <c r="ND49" i="1"/>
  <c r="NG49" i="1"/>
  <c r="NH49" i="1"/>
  <c r="NI49" i="1"/>
  <c r="NJ49" i="1"/>
  <c r="NK49" i="1"/>
  <c r="NL49" i="1"/>
  <c r="NM49" i="1"/>
  <c r="NN49" i="1"/>
  <c r="NO49" i="1"/>
  <c r="NP49" i="1"/>
  <c r="NQ49" i="1"/>
  <c r="NR49" i="1"/>
  <c r="NS49" i="1"/>
  <c r="NT49" i="1"/>
  <c r="NU49" i="1"/>
  <c r="NV49" i="1"/>
  <c r="NW49" i="1"/>
  <c r="NX49" i="1"/>
  <c r="NY49" i="1"/>
  <c r="NZ49" i="1"/>
  <c r="OA49" i="1"/>
  <c r="OB49" i="1"/>
  <c r="OC49" i="1"/>
  <c r="OD49" i="1"/>
  <c r="OE49" i="1"/>
  <c r="OF49" i="1"/>
  <c r="OG49" i="1"/>
  <c r="OH49" i="1"/>
  <c r="OI49" i="1"/>
  <c r="OJ49" i="1"/>
  <c r="OM49" i="1"/>
  <c r="ON49" i="1"/>
  <c r="OO49" i="1"/>
  <c r="OP49" i="1"/>
  <c r="OQ49" i="1"/>
  <c r="OR49" i="1"/>
  <c r="OS49" i="1"/>
  <c r="OT49" i="1"/>
  <c r="OU49" i="1"/>
  <c r="OV49" i="1"/>
  <c r="OW49" i="1"/>
  <c r="OX49" i="1"/>
  <c r="OY49" i="1"/>
  <c r="PA49" i="1"/>
  <c r="PC49" i="1"/>
  <c r="PD49" i="1"/>
  <c r="PB49" i="1"/>
  <c r="PE49" i="1"/>
  <c r="PF49" i="1"/>
  <c r="PG49" i="1"/>
  <c r="PH49" i="1"/>
  <c r="PI49" i="1"/>
  <c r="PJ49" i="1"/>
  <c r="PK49" i="1"/>
  <c r="PL49" i="1"/>
  <c r="PM49" i="1"/>
  <c r="PN49" i="1"/>
  <c r="PO49" i="1"/>
  <c r="PQ49" i="1"/>
  <c r="PR49" i="1"/>
  <c r="PT49" i="1"/>
  <c r="PU49" i="1"/>
  <c r="PZ49" i="1"/>
  <c r="QA49" i="1"/>
  <c r="QB49" i="1"/>
  <c r="QC49" i="1"/>
  <c r="QD49" i="1"/>
  <c r="QE49" i="1"/>
  <c r="QF49" i="1"/>
  <c r="QG49" i="1"/>
  <c r="QH49" i="1"/>
  <c r="QI49" i="1"/>
  <c r="QJ49" i="1"/>
  <c r="QK49" i="1"/>
  <c r="QL49" i="1"/>
  <c r="QM49" i="1"/>
  <c r="QN49" i="1"/>
  <c r="QO49" i="1"/>
  <c r="QP49" i="1"/>
  <c r="QQ49" i="1"/>
  <c r="QR49" i="1"/>
  <c r="QS49" i="1"/>
  <c r="QT49" i="1"/>
  <c r="QU49" i="1"/>
  <c r="QV49" i="1"/>
  <c r="QW49" i="1"/>
  <c r="QX49" i="1"/>
  <c r="I77" i="1"/>
  <c r="J77" i="1"/>
  <c r="K77" i="1"/>
  <c r="MM77" i="1"/>
  <c r="MN77" i="1"/>
  <c r="MO77" i="1"/>
  <c r="MP77" i="1"/>
  <c r="MQ77" i="1"/>
  <c r="MR77" i="1"/>
  <c r="MS77" i="1"/>
  <c r="MT77" i="1"/>
  <c r="MW77" i="1"/>
  <c r="MX77" i="1"/>
  <c r="MY77" i="1"/>
  <c r="MZ77" i="1"/>
  <c r="NA77" i="1"/>
  <c r="NB77" i="1"/>
  <c r="NE77" i="1"/>
  <c r="NF77" i="1"/>
  <c r="NC77" i="1"/>
  <c r="ND77" i="1"/>
  <c r="NG77" i="1"/>
  <c r="NH77" i="1"/>
  <c r="NI77" i="1"/>
  <c r="NJ77" i="1"/>
  <c r="NK77" i="1"/>
  <c r="NL77" i="1"/>
  <c r="NM77" i="1"/>
  <c r="NN77" i="1"/>
  <c r="NO77" i="1"/>
  <c r="NP77" i="1"/>
  <c r="NQ77" i="1"/>
  <c r="NR77" i="1"/>
  <c r="NS77" i="1"/>
  <c r="NT77" i="1"/>
  <c r="NU77" i="1"/>
  <c r="NV77" i="1"/>
  <c r="NW77" i="1"/>
  <c r="NX77" i="1"/>
  <c r="NY77" i="1"/>
  <c r="NZ77" i="1"/>
  <c r="OA77" i="1"/>
  <c r="OB77" i="1"/>
  <c r="OC77" i="1"/>
  <c r="OD77" i="1"/>
  <c r="OE77" i="1"/>
  <c r="OF77" i="1"/>
  <c r="OG77" i="1"/>
  <c r="OH77" i="1"/>
  <c r="OI77" i="1"/>
  <c r="OJ77" i="1"/>
  <c r="OM77" i="1"/>
  <c r="ON77" i="1"/>
  <c r="OO77" i="1"/>
  <c r="OP77" i="1"/>
  <c r="OQ77" i="1"/>
  <c r="OR77" i="1"/>
  <c r="OS77" i="1"/>
  <c r="OT77" i="1"/>
  <c r="OU77" i="1"/>
  <c r="OV77" i="1"/>
  <c r="OW77" i="1"/>
  <c r="OX77" i="1"/>
  <c r="OY77" i="1"/>
  <c r="PA77" i="1"/>
  <c r="PC77" i="1"/>
  <c r="PD77" i="1"/>
  <c r="PB77" i="1"/>
  <c r="PE77" i="1"/>
  <c r="PF77" i="1"/>
  <c r="PG77" i="1"/>
  <c r="PH77" i="1"/>
  <c r="PI77" i="1"/>
  <c r="PJ77" i="1"/>
  <c r="PK77" i="1"/>
  <c r="PL77" i="1"/>
  <c r="PM77" i="1"/>
  <c r="PN77" i="1"/>
  <c r="PO77" i="1"/>
  <c r="PQ77" i="1"/>
  <c r="PR77" i="1"/>
  <c r="PT77" i="1"/>
  <c r="PU77" i="1"/>
  <c r="PZ77" i="1"/>
  <c r="QA77" i="1"/>
  <c r="QB77" i="1"/>
  <c r="QC77" i="1"/>
  <c r="QD77" i="1"/>
  <c r="QE77" i="1"/>
  <c r="QF77" i="1"/>
  <c r="QG77" i="1"/>
  <c r="QH77" i="1"/>
  <c r="QI77" i="1"/>
  <c r="QJ77" i="1"/>
  <c r="QK77" i="1"/>
  <c r="QL77" i="1"/>
  <c r="QM77" i="1"/>
  <c r="QN77" i="1"/>
  <c r="QO77" i="1"/>
  <c r="QP77" i="1"/>
  <c r="QQ77" i="1"/>
  <c r="QR77" i="1"/>
  <c r="QS77" i="1"/>
  <c r="QT77" i="1"/>
  <c r="QU77" i="1"/>
  <c r="QV77" i="1"/>
  <c r="QW77" i="1"/>
  <c r="QX77" i="1"/>
  <c r="I31" i="1"/>
  <c r="J31" i="1"/>
  <c r="K31" i="1"/>
  <c r="MM31" i="1"/>
  <c r="MN31" i="1"/>
  <c r="MO31" i="1"/>
  <c r="MP31" i="1"/>
  <c r="MQ31" i="1"/>
  <c r="MR31" i="1"/>
  <c r="MS31" i="1"/>
  <c r="MT31" i="1"/>
  <c r="MW31" i="1"/>
  <c r="MX31" i="1"/>
  <c r="MY31" i="1"/>
  <c r="MZ31" i="1"/>
  <c r="NA31" i="1"/>
  <c r="NB31" i="1"/>
  <c r="NE31" i="1"/>
  <c r="NF31" i="1"/>
  <c r="NC31" i="1"/>
  <c r="ND31" i="1"/>
  <c r="NG31" i="1"/>
  <c r="NH31" i="1"/>
  <c r="NI31" i="1"/>
  <c r="NJ31" i="1"/>
  <c r="NK31" i="1"/>
  <c r="NL31" i="1"/>
  <c r="NM31" i="1"/>
  <c r="NN31" i="1"/>
  <c r="NO31" i="1"/>
  <c r="NP31" i="1"/>
  <c r="NQ31" i="1"/>
  <c r="NR31" i="1"/>
  <c r="NS31" i="1"/>
  <c r="NT31" i="1"/>
  <c r="NU31" i="1"/>
  <c r="NV31" i="1"/>
  <c r="NW31" i="1"/>
  <c r="NX31" i="1"/>
  <c r="NY31" i="1"/>
  <c r="NZ31" i="1"/>
  <c r="OA31" i="1"/>
  <c r="OB31" i="1"/>
  <c r="OC31" i="1"/>
  <c r="OD31" i="1"/>
  <c r="OE31" i="1"/>
  <c r="OF31" i="1"/>
  <c r="OG31" i="1"/>
  <c r="OH31" i="1"/>
  <c r="OI31" i="1"/>
  <c r="OJ31" i="1"/>
  <c r="OM31" i="1"/>
  <c r="ON31" i="1"/>
  <c r="OO31" i="1"/>
  <c r="OP31" i="1"/>
  <c r="OQ31" i="1"/>
  <c r="OR31" i="1"/>
  <c r="OS31" i="1"/>
  <c r="OT31" i="1"/>
  <c r="OU31" i="1"/>
  <c r="OV31" i="1"/>
  <c r="OW31" i="1"/>
  <c r="OX31" i="1"/>
  <c r="OY31" i="1"/>
  <c r="PA31" i="1"/>
  <c r="PC31" i="1"/>
  <c r="PD31" i="1"/>
  <c r="PB31" i="1"/>
  <c r="PE31" i="1"/>
  <c r="PF31" i="1"/>
  <c r="PG31" i="1"/>
  <c r="PH31" i="1"/>
  <c r="PI31" i="1"/>
  <c r="PJ31" i="1"/>
  <c r="PK31" i="1"/>
  <c r="PL31" i="1"/>
  <c r="PM31" i="1"/>
  <c r="PN31" i="1"/>
  <c r="PO31" i="1"/>
  <c r="PQ31" i="1"/>
  <c r="PR31" i="1"/>
  <c r="PT31" i="1"/>
  <c r="PU31" i="1"/>
  <c r="PZ31" i="1"/>
  <c r="QA31" i="1"/>
  <c r="QB31" i="1"/>
  <c r="QC31" i="1"/>
  <c r="QD31" i="1"/>
  <c r="QE31" i="1"/>
  <c r="QF31" i="1"/>
  <c r="QG31" i="1"/>
  <c r="QH31" i="1"/>
  <c r="QI31" i="1"/>
  <c r="QJ31" i="1"/>
  <c r="QK31" i="1"/>
  <c r="QL31" i="1"/>
  <c r="QM31" i="1"/>
  <c r="QN31" i="1"/>
  <c r="QO31" i="1"/>
  <c r="QP31" i="1"/>
  <c r="QQ31" i="1"/>
  <c r="QR31" i="1"/>
  <c r="QS31" i="1"/>
  <c r="QT31" i="1"/>
  <c r="QU31" i="1"/>
  <c r="QV31" i="1"/>
  <c r="QW31" i="1"/>
  <c r="QX31" i="1"/>
  <c r="I41" i="1"/>
  <c r="J41" i="1"/>
  <c r="K41" i="1"/>
  <c r="MM41" i="1"/>
  <c r="MN41" i="1"/>
  <c r="MO41" i="1"/>
  <c r="MP41" i="1"/>
  <c r="MQ41" i="1"/>
  <c r="MR41" i="1"/>
  <c r="MS41" i="1"/>
  <c r="MT41" i="1"/>
  <c r="MW41" i="1"/>
  <c r="MX41" i="1"/>
  <c r="MY41" i="1"/>
  <c r="MZ41" i="1"/>
  <c r="NA41" i="1"/>
  <c r="NB41" i="1"/>
  <c r="NE41" i="1"/>
  <c r="NF41" i="1"/>
  <c r="NC41" i="1"/>
  <c r="ND41" i="1"/>
  <c r="NG41" i="1"/>
  <c r="NH41" i="1"/>
  <c r="NI41" i="1"/>
  <c r="NJ41" i="1"/>
  <c r="NK41" i="1"/>
  <c r="NL41" i="1"/>
  <c r="NM41" i="1"/>
  <c r="NN41" i="1"/>
  <c r="NO41" i="1"/>
  <c r="NP41" i="1"/>
  <c r="NQ41" i="1"/>
  <c r="NR41" i="1"/>
  <c r="NS41" i="1"/>
  <c r="NT41" i="1"/>
  <c r="NU41" i="1"/>
  <c r="NV41" i="1"/>
  <c r="NW41" i="1"/>
  <c r="NX41" i="1"/>
  <c r="NY41" i="1"/>
  <c r="NZ41" i="1"/>
  <c r="OA41" i="1"/>
  <c r="OB41" i="1"/>
  <c r="OC41" i="1"/>
  <c r="OD41" i="1"/>
  <c r="OE41" i="1"/>
  <c r="OF41" i="1"/>
  <c r="OG41" i="1"/>
  <c r="OH41" i="1"/>
  <c r="OI41" i="1"/>
  <c r="OJ41" i="1"/>
  <c r="OM41" i="1"/>
  <c r="ON41" i="1"/>
  <c r="OO41" i="1"/>
  <c r="OP41" i="1"/>
  <c r="OQ41" i="1"/>
  <c r="OR41" i="1"/>
  <c r="OS41" i="1"/>
  <c r="OT41" i="1"/>
  <c r="OU41" i="1"/>
  <c r="OV41" i="1"/>
  <c r="OW41" i="1"/>
  <c r="OX41" i="1"/>
  <c r="OY41" i="1"/>
  <c r="PA41" i="1"/>
  <c r="PC41" i="1"/>
  <c r="PD41" i="1"/>
  <c r="PB41" i="1"/>
  <c r="PE41" i="1"/>
  <c r="PF41" i="1"/>
  <c r="PG41" i="1"/>
  <c r="PH41" i="1"/>
  <c r="PI41" i="1"/>
  <c r="PJ41" i="1"/>
  <c r="PK41" i="1"/>
  <c r="PL41" i="1"/>
  <c r="PM41" i="1"/>
  <c r="PN41" i="1"/>
  <c r="PO41" i="1"/>
  <c r="PQ41" i="1"/>
  <c r="PR41" i="1"/>
  <c r="PT41" i="1"/>
  <c r="PU41" i="1"/>
  <c r="PZ41" i="1"/>
  <c r="QA41" i="1"/>
  <c r="QB41" i="1"/>
  <c r="QC41" i="1"/>
  <c r="QD41" i="1"/>
  <c r="QE41" i="1"/>
  <c r="QF41" i="1"/>
  <c r="QG41" i="1"/>
  <c r="QH41" i="1"/>
  <c r="QI41" i="1"/>
  <c r="QJ41" i="1"/>
  <c r="QK41" i="1"/>
  <c r="QL41" i="1"/>
  <c r="QM41" i="1"/>
  <c r="QN41" i="1"/>
  <c r="QO41" i="1"/>
  <c r="QP41" i="1"/>
  <c r="QQ41" i="1"/>
  <c r="QR41" i="1"/>
  <c r="QS41" i="1"/>
  <c r="QT41" i="1"/>
  <c r="QU41" i="1"/>
  <c r="QV41" i="1"/>
  <c r="QW41" i="1"/>
  <c r="QX41" i="1"/>
  <c r="I62" i="1"/>
  <c r="J62" i="1"/>
  <c r="K62" i="1"/>
  <c r="MM62" i="1"/>
  <c r="MN62" i="1"/>
  <c r="MO62" i="1"/>
  <c r="MP62" i="1"/>
  <c r="MQ62" i="1"/>
  <c r="MR62" i="1"/>
  <c r="MS62" i="1"/>
  <c r="MT62" i="1"/>
  <c r="MW62" i="1"/>
  <c r="MX62" i="1"/>
  <c r="MY62" i="1"/>
  <c r="MZ62" i="1"/>
  <c r="NA62" i="1"/>
  <c r="NB62" i="1"/>
  <c r="NE62" i="1"/>
  <c r="NF62" i="1"/>
  <c r="NC62" i="1"/>
  <c r="ND62" i="1"/>
  <c r="NG62" i="1"/>
  <c r="NH62" i="1"/>
  <c r="NI62" i="1"/>
  <c r="NJ62" i="1"/>
  <c r="NK62" i="1"/>
  <c r="NL62" i="1"/>
  <c r="NM62" i="1"/>
  <c r="NN62" i="1"/>
  <c r="NO62" i="1"/>
  <c r="NP62" i="1"/>
  <c r="NQ62" i="1"/>
  <c r="NR62" i="1"/>
  <c r="NS62" i="1"/>
  <c r="NT62" i="1"/>
  <c r="NU62" i="1"/>
  <c r="NV62" i="1"/>
  <c r="NW62" i="1"/>
  <c r="NX62" i="1"/>
  <c r="NY62" i="1"/>
  <c r="NZ62" i="1"/>
  <c r="OA62" i="1"/>
  <c r="OB62" i="1"/>
  <c r="OC62" i="1"/>
  <c r="OD62" i="1"/>
  <c r="OE62" i="1"/>
  <c r="OF62" i="1"/>
  <c r="OG62" i="1"/>
  <c r="OH62" i="1"/>
  <c r="OI62" i="1"/>
  <c r="OJ62" i="1"/>
  <c r="OM62" i="1"/>
  <c r="ON62" i="1"/>
  <c r="OO62" i="1"/>
  <c r="OP62" i="1"/>
  <c r="OQ62" i="1"/>
  <c r="OR62" i="1"/>
  <c r="OS62" i="1"/>
  <c r="OT62" i="1"/>
  <c r="OU62" i="1"/>
  <c r="OV62" i="1"/>
  <c r="OW62" i="1"/>
  <c r="OX62" i="1"/>
  <c r="OY62" i="1"/>
  <c r="PA62" i="1"/>
  <c r="PC62" i="1"/>
  <c r="PD62" i="1"/>
  <c r="PB62" i="1"/>
  <c r="PE62" i="1"/>
  <c r="PF62" i="1"/>
  <c r="PG62" i="1"/>
  <c r="PH62" i="1"/>
  <c r="PI62" i="1"/>
  <c r="PJ62" i="1"/>
  <c r="PK62" i="1"/>
  <c r="PL62" i="1"/>
  <c r="PM62" i="1"/>
  <c r="PN62" i="1"/>
  <c r="PO62" i="1"/>
  <c r="PQ62" i="1"/>
  <c r="PR62" i="1"/>
  <c r="PT62" i="1"/>
  <c r="PU62" i="1"/>
  <c r="PZ62" i="1"/>
  <c r="QA62" i="1"/>
  <c r="QB62" i="1"/>
  <c r="QC62" i="1"/>
  <c r="QD62" i="1"/>
  <c r="QE62" i="1"/>
  <c r="QF62" i="1"/>
  <c r="QG62" i="1"/>
  <c r="QH62" i="1"/>
  <c r="QI62" i="1"/>
  <c r="QJ62" i="1"/>
  <c r="QK62" i="1"/>
  <c r="QL62" i="1"/>
  <c r="QM62" i="1"/>
  <c r="QN62" i="1"/>
  <c r="QO62" i="1"/>
  <c r="QP62" i="1"/>
  <c r="QQ62" i="1"/>
  <c r="QR62" i="1"/>
  <c r="QS62" i="1"/>
  <c r="QT62" i="1"/>
  <c r="QU62" i="1"/>
  <c r="QV62" i="1"/>
  <c r="QW62" i="1"/>
  <c r="QX62" i="1"/>
  <c r="I191" i="1"/>
  <c r="J191" i="1"/>
  <c r="K191" i="1"/>
  <c r="MM191" i="1"/>
  <c r="MN191" i="1"/>
  <c r="MO191" i="1"/>
  <c r="MP191" i="1"/>
  <c r="MQ191" i="1"/>
  <c r="MR191" i="1"/>
  <c r="MS191" i="1"/>
  <c r="MT191" i="1"/>
  <c r="MW191" i="1"/>
  <c r="MX191" i="1"/>
  <c r="MY191" i="1"/>
  <c r="MZ191" i="1"/>
  <c r="NA191" i="1"/>
  <c r="NB191" i="1"/>
  <c r="NE191" i="1"/>
  <c r="NF191" i="1"/>
  <c r="NC191" i="1"/>
  <c r="ND191" i="1"/>
  <c r="NG191" i="1"/>
  <c r="NH191" i="1"/>
  <c r="NI191" i="1"/>
  <c r="NJ191" i="1"/>
  <c r="NK191" i="1"/>
  <c r="NL191" i="1"/>
  <c r="NM191" i="1"/>
  <c r="NN191" i="1"/>
  <c r="NO191" i="1"/>
  <c r="NP191" i="1"/>
  <c r="NQ191" i="1"/>
  <c r="NR191" i="1"/>
  <c r="NS191" i="1"/>
  <c r="NT191" i="1"/>
  <c r="NU191" i="1"/>
  <c r="NV191" i="1"/>
  <c r="NW191" i="1"/>
  <c r="NX191" i="1"/>
  <c r="NY191" i="1"/>
  <c r="NZ191" i="1"/>
  <c r="OA191" i="1"/>
  <c r="OB191" i="1"/>
  <c r="OC191" i="1"/>
  <c r="OD191" i="1"/>
  <c r="OE191" i="1"/>
  <c r="OF191" i="1"/>
  <c r="OG191" i="1"/>
  <c r="OH191" i="1"/>
  <c r="OI191" i="1"/>
  <c r="OJ191" i="1"/>
  <c r="OM191" i="1"/>
  <c r="ON191" i="1"/>
  <c r="OO191" i="1"/>
  <c r="OP191" i="1"/>
  <c r="OQ191" i="1"/>
  <c r="OR191" i="1"/>
  <c r="OS191" i="1"/>
  <c r="OT191" i="1"/>
  <c r="OU191" i="1"/>
  <c r="OV191" i="1"/>
  <c r="OW191" i="1"/>
  <c r="OX191" i="1"/>
  <c r="OY191" i="1"/>
  <c r="PA191" i="1"/>
  <c r="PC191" i="1"/>
  <c r="PD191" i="1"/>
  <c r="PB191" i="1"/>
  <c r="PE191" i="1"/>
  <c r="PF191" i="1"/>
  <c r="PG191" i="1"/>
  <c r="PH191" i="1"/>
  <c r="PI191" i="1"/>
  <c r="PJ191" i="1"/>
  <c r="PK191" i="1"/>
  <c r="PL191" i="1"/>
  <c r="PM191" i="1"/>
  <c r="PN191" i="1"/>
  <c r="PO191" i="1"/>
  <c r="PQ191" i="1"/>
  <c r="PR191" i="1"/>
  <c r="PT191" i="1"/>
  <c r="PU191" i="1"/>
  <c r="PZ191" i="1"/>
  <c r="QA191" i="1"/>
  <c r="QB191" i="1"/>
  <c r="QC191" i="1"/>
  <c r="QD191" i="1"/>
  <c r="QE191" i="1"/>
  <c r="QF191" i="1"/>
  <c r="QG191" i="1"/>
  <c r="QH191" i="1"/>
  <c r="QI191" i="1"/>
  <c r="QJ191" i="1"/>
  <c r="QK191" i="1"/>
  <c r="QL191" i="1"/>
  <c r="QM191" i="1"/>
  <c r="QN191" i="1"/>
  <c r="QO191" i="1"/>
  <c r="QP191" i="1"/>
  <c r="QQ191" i="1"/>
  <c r="QR191" i="1"/>
  <c r="QS191" i="1"/>
  <c r="QT191" i="1"/>
  <c r="QU191" i="1"/>
  <c r="QV191" i="1"/>
  <c r="QW191" i="1"/>
  <c r="QX191" i="1"/>
  <c r="I85" i="1"/>
  <c r="J85" i="1"/>
  <c r="K85" i="1"/>
  <c r="MM85" i="1"/>
  <c r="MN85" i="1"/>
  <c r="MO85" i="1"/>
  <c r="MP85" i="1"/>
  <c r="MQ85" i="1"/>
  <c r="MR85" i="1"/>
  <c r="MS85" i="1"/>
  <c r="MT85" i="1"/>
  <c r="MW85" i="1"/>
  <c r="MX85" i="1"/>
  <c r="MY85" i="1"/>
  <c r="MZ85" i="1"/>
  <c r="NA85" i="1"/>
  <c r="NB85" i="1"/>
  <c r="NE85" i="1"/>
  <c r="NF85" i="1"/>
  <c r="NC85" i="1"/>
  <c r="ND85" i="1"/>
  <c r="NG85" i="1"/>
  <c r="NH85" i="1"/>
  <c r="NI85" i="1"/>
  <c r="NJ85" i="1"/>
  <c r="NK85" i="1"/>
  <c r="NL85" i="1"/>
  <c r="NM85" i="1"/>
  <c r="NN85" i="1"/>
  <c r="NO85" i="1"/>
  <c r="NP85" i="1"/>
  <c r="NQ85" i="1"/>
  <c r="NR85" i="1"/>
  <c r="NS85" i="1"/>
  <c r="NT85" i="1"/>
  <c r="NU85" i="1"/>
  <c r="NV85" i="1"/>
  <c r="NW85" i="1"/>
  <c r="NX85" i="1"/>
  <c r="NY85" i="1"/>
  <c r="NZ85" i="1"/>
  <c r="OA85" i="1"/>
  <c r="OB85" i="1"/>
  <c r="OC85" i="1"/>
  <c r="OD85" i="1"/>
  <c r="OE85" i="1"/>
  <c r="OF85" i="1"/>
  <c r="OG85" i="1"/>
  <c r="OH85" i="1"/>
  <c r="OI85" i="1"/>
  <c r="OJ85" i="1"/>
  <c r="OM85" i="1"/>
  <c r="ON85" i="1"/>
  <c r="OO85" i="1"/>
  <c r="OP85" i="1"/>
  <c r="OQ85" i="1"/>
  <c r="OR85" i="1"/>
  <c r="OS85" i="1"/>
  <c r="OT85" i="1"/>
  <c r="OU85" i="1"/>
  <c r="OV85" i="1"/>
  <c r="OW85" i="1"/>
  <c r="OX85" i="1"/>
  <c r="OY85" i="1"/>
  <c r="PA85" i="1"/>
  <c r="PC85" i="1"/>
  <c r="PD85" i="1"/>
  <c r="PB85" i="1"/>
  <c r="PE85" i="1"/>
  <c r="PF85" i="1"/>
  <c r="PG85" i="1"/>
  <c r="PH85" i="1"/>
  <c r="PI85" i="1"/>
  <c r="PJ85" i="1"/>
  <c r="PK85" i="1"/>
  <c r="PL85" i="1"/>
  <c r="PM85" i="1"/>
  <c r="PN85" i="1"/>
  <c r="PO85" i="1"/>
  <c r="PQ85" i="1"/>
  <c r="PR85" i="1"/>
  <c r="PT85" i="1"/>
  <c r="PU85" i="1"/>
  <c r="PZ85" i="1"/>
  <c r="QA85" i="1"/>
  <c r="QB85" i="1"/>
  <c r="QC85" i="1"/>
  <c r="QD85" i="1"/>
  <c r="QE85" i="1"/>
  <c r="QF85" i="1"/>
  <c r="QG85" i="1"/>
  <c r="QH85" i="1"/>
  <c r="QI85" i="1"/>
  <c r="QJ85" i="1"/>
  <c r="QK85" i="1"/>
  <c r="QL85" i="1"/>
  <c r="QM85" i="1"/>
  <c r="QN85" i="1"/>
  <c r="QO85" i="1"/>
  <c r="QP85" i="1"/>
  <c r="QQ85" i="1"/>
  <c r="QR85" i="1"/>
  <c r="QS85" i="1"/>
  <c r="QT85" i="1"/>
  <c r="QU85" i="1"/>
  <c r="QV85" i="1"/>
  <c r="QW85" i="1"/>
  <c r="QX85" i="1"/>
  <c r="I32" i="1"/>
  <c r="J32" i="1"/>
  <c r="K32" i="1"/>
  <c r="MM32" i="1"/>
  <c r="MN32" i="1"/>
  <c r="MO32" i="1"/>
  <c r="MP32" i="1"/>
  <c r="MQ32" i="1"/>
  <c r="MR32" i="1"/>
  <c r="MS32" i="1"/>
  <c r="MT32" i="1"/>
  <c r="MW32" i="1"/>
  <c r="MX32" i="1"/>
  <c r="MY32" i="1"/>
  <c r="MZ32" i="1"/>
  <c r="NA32" i="1"/>
  <c r="NB32" i="1"/>
  <c r="NE32" i="1"/>
  <c r="NF32" i="1"/>
  <c r="NC32" i="1"/>
  <c r="ND32" i="1"/>
  <c r="NG32" i="1"/>
  <c r="NH32" i="1"/>
  <c r="NI32" i="1"/>
  <c r="NJ32" i="1"/>
  <c r="NK32" i="1"/>
  <c r="NL32" i="1"/>
  <c r="NM32" i="1"/>
  <c r="NN32" i="1"/>
  <c r="NO32" i="1"/>
  <c r="NP32" i="1"/>
  <c r="NQ32" i="1"/>
  <c r="NR32" i="1"/>
  <c r="NS32" i="1"/>
  <c r="NT32" i="1"/>
  <c r="NU32" i="1"/>
  <c r="NV32" i="1"/>
  <c r="NW32" i="1"/>
  <c r="NX32" i="1"/>
  <c r="NY32" i="1"/>
  <c r="NZ32" i="1"/>
  <c r="OA32" i="1"/>
  <c r="OB32" i="1"/>
  <c r="OC32" i="1"/>
  <c r="OD32" i="1"/>
  <c r="OE32" i="1"/>
  <c r="OF32" i="1"/>
  <c r="OG32" i="1"/>
  <c r="OH32" i="1"/>
  <c r="OI32" i="1"/>
  <c r="OJ32" i="1"/>
  <c r="OM32" i="1"/>
  <c r="ON32" i="1"/>
  <c r="OO32" i="1"/>
  <c r="OP32" i="1"/>
  <c r="OQ32" i="1"/>
  <c r="OR32" i="1"/>
  <c r="OS32" i="1"/>
  <c r="OT32" i="1"/>
  <c r="OU32" i="1"/>
  <c r="OV32" i="1"/>
  <c r="OW32" i="1"/>
  <c r="OX32" i="1"/>
  <c r="OY32" i="1"/>
  <c r="PA32" i="1"/>
  <c r="PC32" i="1"/>
  <c r="PD32" i="1"/>
  <c r="PB32" i="1"/>
  <c r="PE32" i="1"/>
  <c r="PF32" i="1"/>
  <c r="PG32" i="1"/>
  <c r="PH32" i="1"/>
  <c r="PI32" i="1"/>
  <c r="PJ32" i="1"/>
  <c r="PK32" i="1"/>
  <c r="PL32" i="1"/>
  <c r="PM32" i="1"/>
  <c r="PN32" i="1"/>
  <c r="PO32" i="1"/>
  <c r="PQ32" i="1"/>
  <c r="PR32" i="1"/>
  <c r="PT32" i="1"/>
  <c r="PU32" i="1"/>
  <c r="PZ32" i="1"/>
  <c r="QA32" i="1"/>
  <c r="QB32" i="1"/>
  <c r="QC32" i="1"/>
  <c r="QD32" i="1"/>
  <c r="QE32" i="1"/>
  <c r="QF32" i="1"/>
  <c r="QG32" i="1"/>
  <c r="QH32" i="1"/>
  <c r="QI32" i="1"/>
  <c r="QJ32" i="1"/>
  <c r="QK32" i="1"/>
  <c r="QL32" i="1"/>
  <c r="QM32" i="1"/>
  <c r="QN32" i="1"/>
  <c r="QO32" i="1"/>
  <c r="QP32" i="1"/>
  <c r="QQ32" i="1"/>
  <c r="QR32" i="1"/>
  <c r="QS32" i="1"/>
  <c r="QT32" i="1"/>
  <c r="QU32" i="1"/>
  <c r="QV32" i="1"/>
  <c r="QW32" i="1"/>
  <c r="QX32" i="1"/>
  <c r="I34" i="1"/>
  <c r="J34" i="1"/>
  <c r="K34" i="1"/>
  <c r="MM34" i="1"/>
  <c r="MN34" i="1"/>
  <c r="MO34" i="1"/>
  <c r="MP34" i="1"/>
  <c r="MQ34" i="1"/>
  <c r="MR34" i="1"/>
  <c r="MS34" i="1"/>
  <c r="MT34" i="1"/>
  <c r="MW34" i="1"/>
  <c r="MX34" i="1"/>
  <c r="MY34" i="1"/>
  <c r="MZ34" i="1"/>
  <c r="NA34" i="1"/>
  <c r="NB34" i="1"/>
  <c r="NE34" i="1"/>
  <c r="NF34" i="1"/>
  <c r="NC34" i="1"/>
  <c r="ND34" i="1"/>
  <c r="NG34" i="1"/>
  <c r="NH34" i="1"/>
  <c r="NI34" i="1"/>
  <c r="NJ34" i="1"/>
  <c r="NK34" i="1"/>
  <c r="NL34" i="1"/>
  <c r="NM34" i="1"/>
  <c r="NN34" i="1"/>
  <c r="NO34" i="1"/>
  <c r="NP34" i="1"/>
  <c r="NQ34" i="1"/>
  <c r="NR34" i="1"/>
  <c r="NS34" i="1"/>
  <c r="NT34" i="1"/>
  <c r="NU34" i="1"/>
  <c r="NV34" i="1"/>
  <c r="NW34" i="1"/>
  <c r="NX34" i="1"/>
  <c r="NY34" i="1"/>
  <c r="NZ34" i="1"/>
  <c r="OA34" i="1"/>
  <c r="OB34" i="1"/>
  <c r="OC34" i="1"/>
  <c r="OD34" i="1"/>
  <c r="OE34" i="1"/>
  <c r="OF34" i="1"/>
  <c r="OG34" i="1"/>
  <c r="OH34" i="1"/>
  <c r="OI34" i="1"/>
  <c r="OJ34" i="1"/>
  <c r="OM34" i="1"/>
  <c r="ON34" i="1"/>
  <c r="OO34" i="1"/>
  <c r="OP34" i="1"/>
  <c r="OQ34" i="1"/>
  <c r="OR34" i="1"/>
  <c r="OS34" i="1"/>
  <c r="OT34" i="1"/>
  <c r="OU34" i="1"/>
  <c r="OV34" i="1"/>
  <c r="OW34" i="1"/>
  <c r="OX34" i="1"/>
  <c r="OY34" i="1"/>
  <c r="PA34" i="1"/>
  <c r="PC34" i="1"/>
  <c r="PD34" i="1"/>
  <c r="PB34" i="1"/>
  <c r="PE34" i="1"/>
  <c r="PF34" i="1"/>
  <c r="PG34" i="1"/>
  <c r="PH34" i="1"/>
  <c r="PI34" i="1"/>
  <c r="PJ34" i="1"/>
  <c r="PK34" i="1"/>
  <c r="PL34" i="1"/>
  <c r="PM34" i="1"/>
  <c r="PN34" i="1"/>
  <c r="PO34" i="1"/>
  <c r="PQ34" i="1"/>
  <c r="PR34" i="1"/>
  <c r="PT34" i="1"/>
  <c r="PU34" i="1"/>
  <c r="PZ34" i="1"/>
  <c r="QA34" i="1"/>
  <c r="QB34" i="1"/>
  <c r="QC34" i="1"/>
  <c r="QD34" i="1"/>
  <c r="QE34" i="1"/>
  <c r="QF34" i="1"/>
  <c r="QG34" i="1"/>
  <c r="QH34" i="1"/>
  <c r="QI34" i="1"/>
  <c r="QJ34" i="1"/>
  <c r="QK34" i="1"/>
  <c r="QL34" i="1"/>
  <c r="QM34" i="1"/>
  <c r="QN34" i="1"/>
  <c r="QO34" i="1"/>
  <c r="QP34" i="1"/>
  <c r="QQ34" i="1"/>
  <c r="QR34" i="1"/>
  <c r="QS34" i="1"/>
  <c r="QT34" i="1"/>
  <c r="QU34" i="1"/>
  <c r="QV34" i="1"/>
  <c r="QW34" i="1"/>
  <c r="QX34" i="1"/>
  <c r="I36" i="1"/>
  <c r="J36" i="1"/>
  <c r="K36" i="1"/>
  <c r="MM36" i="1"/>
  <c r="MN36" i="1"/>
  <c r="MO36" i="1"/>
  <c r="MP36" i="1"/>
  <c r="MQ36" i="1"/>
  <c r="MR36" i="1"/>
  <c r="MS36" i="1"/>
  <c r="MT36" i="1"/>
  <c r="MW36" i="1"/>
  <c r="MX36" i="1"/>
  <c r="MY36" i="1"/>
  <c r="MZ36" i="1"/>
  <c r="NA36" i="1"/>
  <c r="NB36" i="1"/>
  <c r="NE36" i="1"/>
  <c r="NF36" i="1"/>
  <c r="NC36" i="1"/>
  <c r="ND36" i="1"/>
  <c r="NG36" i="1"/>
  <c r="NH36" i="1"/>
  <c r="NI36" i="1"/>
  <c r="NJ36" i="1"/>
  <c r="NK36" i="1"/>
  <c r="NL36" i="1"/>
  <c r="NM36" i="1"/>
  <c r="NN36" i="1"/>
  <c r="NO36" i="1"/>
  <c r="NP36" i="1"/>
  <c r="NQ36" i="1"/>
  <c r="NR36" i="1"/>
  <c r="NS36" i="1"/>
  <c r="NT36" i="1"/>
  <c r="NU36" i="1"/>
  <c r="NV36" i="1"/>
  <c r="NW36" i="1"/>
  <c r="NX36" i="1"/>
  <c r="NY36" i="1"/>
  <c r="NZ36" i="1"/>
  <c r="OA36" i="1"/>
  <c r="OB36" i="1"/>
  <c r="OC36" i="1"/>
  <c r="OD36" i="1"/>
  <c r="OE36" i="1"/>
  <c r="OF36" i="1"/>
  <c r="OG36" i="1"/>
  <c r="OH36" i="1"/>
  <c r="OI36" i="1"/>
  <c r="OJ36" i="1"/>
  <c r="OM36" i="1"/>
  <c r="ON36" i="1"/>
  <c r="OO36" i="1"/>
  <c r="OP36" i="1"/>
  <c r="OQ36" i="1"/>
  <c r="OR36" i="1"/>
  <c r="OS36" i="1"/>
  <c r="OT36" i="1"/>
  <c r="OU36" i="1"/>
  <c r="OV36" i="1"/>
  <c r="OW36" i="1"/>
  <c r="OX36" i="1"/>
  <c r="OY36" i="1"/>
  <c r="PA36" i="1"/>
  <c r="PC36" i="1"/>
  <c r="PD36" i="1"/>
  <c r="PB36" i="1"/>
  <c r="PE36" i="1"/>
  <c r="PF36" i="1"/>
  <c r="PG36" i="1"/>
  <c r="PH36" i="1"/>
  <c r="PI36" i="1"/>
  <c r="PJ36" i="1"/>
  <c r="PK36" i="1"/>
  <c r="PL36" i="1"/>
  <c r="PM36" i="1"/>
  <c r="PN36" i="1"/>
  <c r="PO36" i="1"/>
  <c r="PQ36" i="1"/>
  <c r="PR36" i="1"/>
  <c r="PT36" i="1"/>
  <c r="PU36" i="1"/>
  <c r="PZ36" i="1"/>
  <c r="QA36" i="1"/>
  <c r="QB36" i="1"/>
  <c r="QC36" i="1"/>
  <c r="QD36" i="1"/>
  <c r="QE36" i="1"/>
  <c r="QF36" i="1"/>
  <c r="QG36" i="1"/>
  <c r="QH36" i="1"/>
  <c r="QI36" i="1"/>
  <c r="QJ36" i="1"/>
  <c r="QK36" i="1"/>
  <c r="QL36" i="1"/>
  <c r="QM36" i="1"/>
  <c r="QN36" i="1"/>
  <c r="QO36" i="1"/>
  <c r="QP36" i="1"/>
  <c r="QQ36" i="1"/>
  <c r="QR36" i="1"/>
  <c r="QS36" i="1"/>
  <c r="QT36" i="1"/>
  <c r="QU36" i="1"/>
  <c r="QV36" i="1"/>
  <c r="QW36" i="1"/>
  <c r="QX36" i="1"/>
  <c r="I93" i="1"/>
  <c r="J93" i="1"/>
  <c r="K93" i="1"/>
  <c r="MM93" i="1"/>
  <c r="MN93" i="1"/>
  <c r="MO93" i="1"/>
  <c r="MP93" i="1"/>
  <c r="MQ93" i="1"/>
  <c r="MR93" i="1"/>
  <c r="MS93" i="1"/>
  <c r="MT93" i="1"/>
  <c r="MW93" i="1"/>
  <c r="MX93" i="1"/>
  <c r="MY93" i="1"/>
  <c r="MZ93" i="1"/>
  <c r="NA93" i="1"/>
  <c r="NB93" i="1"/>
  <c r="NE93" i="1"/>
  <c r="NF93" i="1"/>
  <c r="NC93" i="1"/>
  <c r="ND93" i="1"/>
  <c r="NG93" i="1"/>
  <c r="NH93" i="1"/>
  <c r="NI93" i="1"/>
  <c r="NJ93" i="1"/>
  <c r="NK93" i="1"/>
  <c r="NL93" i="1"/>
  <c r="NM93" i="1"/>
  <c r="NN93" i="1"/>
  <c r="NO93" i="1"/>
  <c r="NP93" i="1"/>
  <c r="NQ93" i="1"/>
  <c r="NR93" i="1"/>
  <c r="NS93" i="1"/>
  <c r="NT93" i="1"/>
  <c r="NU93" i="1"/>
  <c r="NV93" i="1"/>
  <c r="NW93" i="1"/>
  <c r="NX93" i="1"/>
  <c r="NY93" i="1"/>
  <c r="NZ93" i="1"/>
  <c r="OA93" i="1"/>
  <c r="OB93" i="1"/>
  <c r="OC93" i="1"/>
  <c r="OD93" i="1"/>
  <c r="OE93" i="1"/>
  <c r="OF93" i="1"/>
  <c r="OG93" i="1"/>
  <c r="OH93" i="1"/>
  <c r="OI93" i="1"/>
  <c r="OJ93" i="1"/>
  <c r="OM93" i="1"/>
  <c r="ON93" i="1"/>
  <c r="OO93" i="1"/>
  <c r="OP93" i="1"/>
  <c r="OQ93" i="1"/>
  <c r="OR93" i="1"/>
  <c r="OS93" i="1"/>
  <c r="OT93" i="1"/>
  <c r="OU93" i="1"/>
  <c r="OV93" i="1"/>
  <c r="OW93" i="1"/>
  <c r="OX93" i="1"/>
  <c r="OY93" i="1"/>
  <c r="PA93" i="1"/>
  <c r="PC93" i="1"/>
  <c r="PD93" i="1"/>
  <c r="PB93" i="1"/>
  <c r="PE93" i="1"/>
  <c r="PF93" i="1"/>
  <c r="PG93" i="1"/>
  <c r="PH93" i="1"/>
  <c r="PI93" i="1"/>
  <c r="PJ93" i="1"/>
  <c r="PK93" i="1"/>
  <c r="PL93" i="1"/>
  <c r="PM93" i="1"/>
  <c r="PN93" i="1"/>
  <c r="PO93" i="1"/>
  <c r="PQ93" i="1"/>
  <c r="PR93" i="1"/>
  <c r="PT93" i="1"/>
  <c r="PU93" i="1"/>
  <c r="PZ93" i="1"/>
  <c r="QA93" i="1"/>
  <c r="QB93" i="1"/>
  <c r="QC93" i="1"/>
  <c r="QD93" i="1"/>
  <c r="QE93" i="1"/>
  <c r="QF93" i="1"/>
  <c r="QG93" i="1"/>
  <c r="QH93" i="1"/>
  <c r="QI93" i="1"/>
  <c r="QJ93" i="1"/>
  <c r="QK93" i="1"/>
  <c r="QL93" i="1"/>
  <c r="QM93" i="1"/>
  <c r="QN93" i="1"/>
  <c r="QO93" i="1"/>
  <c r="QP93" i="1"/>
  <c r="QQ93" i="1"/>
  <c r="QR93" i="1"/>
  <c r="QS93" i="1"/>
  <c r="QT93" i="1"/>
  <c r="QU93" i="1"/>
  <c r="QV93" i="1"/>
  <c r="QW93" i="1"/>
  <c r="QX93" i="1"/>
  <c r="I117" i="1"/>
  <c r="J117" i="1"/>
  <c r="K117" i="1"/>
  <c r="MM117" i="1"/>
  <c r="MN117" i="1"/>
  <c r="MO117" i="1"/>
  <c r="MP117" i="1"/>
  <c r="MQ117" i="1"/>
  <c r="MR117" i="1"/>
  <c r="MS117" i="1"/>
  <c r="MT117" i="1"/>
  <c r="MW117" i="1"/>
  <c r="MX117" i="1"/>
  <c r="MY117" i="1"/>
  <c r="MZ117" i="1"/>
  <c r="NA117" i="1"/>
  <c r="NB117" i="1"/>
  <c r="NE117" i="1"/>
  <c r="NF117" i="1"/>
  <c r="NC117" i="1"/>
  <c r="ND117" i="1"/>
  <c r="NG117" i="1"/>
  <c r="NH117" i="1"/>
  <c r="NI117" i="1"/>
  <c r="NJ117" i="1"/>
  <c r="NK117" i="1"/>
  <c r="NL117" i="1"/>
  <c r="NM117" i="1"/>
  <c r="NN117" i="1"/>
  <c r="NO117" i="1"/>
  <c r="NP117" i="1"/>
  <c r="NQ117" i="1"/>
  <c r="NR117" i="1"/>
  <c r="NS117" i="1"/>
  <c r="NT117" i="1"/>
  <c r="NU117" i="1"/>
  <c r="NV117" i="1"/>
  <c r="NW117" i="1"/>
  <c r="NX117" i="1"/>
  <c r="NY117" i="1"/>
  <c r="NZ117" i="1"/>
  <c r="OA117" i="1"/>
  <c r="OB117" i="1"/>
  <c r="OC117" i="1"/>
  <c r="OD117" i="1"/>
  <c r="OE117" i="1"/>
  <c r="OF117" i="1"/>
  <c r="OG117" i="1"/>
  <c r="OH117" i="1"/>
  <c r="OI117" i="1"/>
  <c r="OJ117" i="1"/>
  <c r="OM117" i="1"/>
  <c r="ON117" i="1"/>
  <c r="OO117" i="1"/>
  <c r="OP117" i="1"/>
  <c r="OQ117" i="1"/>
  <c r="OR117" i="1"/>
  <c r="OS117" i="1"/>
  <c r="OT117" i="1"/>
  <c r="OU117" i="1"/>
  <c r="OV117" i="1"/>
  <c r="OW117" i="1"/>
  <c r="OX117" i="1"/>
  <c r="OY117" i="1"/>
  <c r="PA117" i="1"/>
  <c r="PC117" i="1"/>
  <c r="PD117" i="1"/>
  <c r="PB117" i="1"/>
  <c r="PE117" i="1"/>
  <c r="PF117" i="1"/>
  <c r="PG117" i="1"/>
  <c r="PH117" i="1"/>
  <c r="PI117" i="1"/>
  <c r="PJ117" i="1"/>
  <c r="PK117" i="1"/>
  <c r="PL117" i="1"/>
  <c r="PM117" i="1"/>
  <c r="PN117" i="1"/>
  <c r="PO117" i="1"/>
  <c r="PQ117" i="1"/>
  <c r="PR117" i="1"/>
  <c r="PT117" i="1"/>
  <c r="PU117" i="1"/>
  <c r="PZ117" i="1"/>
  <c r="QA117" i="1"/>
  <c r="QB117" i="1"/>
  <c r="QC117" i="1"/>
  <c r="QD117" i="1"/>
  <c r="QE117" i="1"/>
  <c r="QF117" i="1"/>
  <c r="QG117" i="1"/>
  <c r="QH117" i="1"/>
  <c r="QI117" i="1"/>
  <c r="QJ117" i="1"/>
  <c r="QK117" i="1"/>
  <c r="QL117" i="1"/>
  <c r="QM117" i="1"/>
  <c r="QN117" i="1"/>
  <c r="QO117" i="1"/>
  <c r="QP117" i="1"/>
  <c r="QQ117" i="1"/>
  <c r="QR117" i="1"/>
  <c r="QS117" i="1"/>
  <c r="QT117" i="1"/>
  <c r="QU117" i="1"/>
  <c r="QV117" i="1"/>
  <c r="QW117" i="1"/>
  <c r="QX117" i="1"/>
  <c r="I45" i="1"/>
  <c r="J45" i="1"/>
  <c r="K45" i="1"/>
  <c r="MM45" i="1"/>
  <c r="MN45" i="1"/>
  <c r="MO45" i="1"/>
  <c r="MP45" i="1"/>
  <c r="MQ45" i="1"/>
  <c r="MR45" i="1"/>
  <c r="MS45" i="1"/>
  <c r="MT45" i="1"/>
  <c r="MW45" i="1"/>
  <c r="MX45" i="1"/>
  <c r="MY45" i="1"/>
  <c r="MZ45" i="1"/>
  <c r="NA45" i="1"/>
  <c r="NB45" i="1"/>
  <c r="NE45" i="1"/>
  <c r="NF45" i="1"/>
  <c r="NC45" i="1"/>
  <c r="ND45" i="1"/>
  <c r="NG45" i="1"/>
  <c r="NH45" i="1"/>
  <c r="NI45" i="1"/>
  <c r="NJ45" i="1"/>
  <c r="NK45" i="1"/>
  <c r="NL45" i="1"/>
  <c r="NM45" i="1"/>
  <c r="NN45" i="1"/>
  <c r="NO45" i="1"/>
  <c r="NP45" i="1"/>
  <c r="NQ45" i="1"/>
  <c r="NR45" i="1"/>
  <c r="NS45" i="1"/>
  <c r="NT45" i="1"/>
  <c r="NU45" i="1"/>
  <c r="NV45" i="1"/>
  <c r="NW45" i="1"/>
  <c r="NX45" i="1"/>
  <c r="NY45" i="1"/>
  <c r="NZ45" i="1"/>
  <c r="OA45" i="1"/>
  <c r="OB45" i="1"/>
  <c r="OC45" i="1"/>
  <c r="OD45" i="1"/>
  <c r="OE45" i="1"/>
  <c r="OF45" i="1"/>
  <c r="OG45" i="1"/>
  <c r="OH45" i="1"/>
  <c r="OI45" i="1"/>
  <c r="OJ45" i="1"/>
  <c r="OM45" i="1"/>
  <c r="ON45" i="1"/>
  <c r="OO45" i="1"/>
  <c r="OP45" i="1"/>
  <c r="OQ45" i="1"/>
  <c r="OR45" i="1"/>
  <c r="OS45" i="1"/>
  <c r="OT45" i="1"/>
  <c r="OU45" i="1"/>
  <c r="OV45" i="1"/>
  <c r="OW45" i="1"/>
  <c r="OX45" i="1"/>
  <c r="OY45" i="1"/>
  <c r="PA45" i="1"/>
  <c r="PC45" i="1"/>
  <c r="PD45" i="1"/>
  <c r="PB45" i="1"/>
  <c r="PE45" i="1"/>
  <c r="PF45" i="1"/>
  <c r="PG45" i="1"/>
  <c r="PH45" i="1"/>
  <c r="PI45" i="1"/>
  <c r="PJ45" i="1"/>
  <c r="PK45" i="1"/>
  <c r="PL45" i="1"/>
  <c r="PM45" i="1"/>
  <c r="PN45" i="1"/>
  <c r="PO45" i="1"/>
  <c r="PQ45" i="1"/>
  <c r="PR45" i="1"/>
  <c r="PT45" i="1"/>
  <c r="PU45" i="1"/>
  <c r="PZ45" i="1"/>
  <c r="QA45" i="1"/>
  <c r="QB45" i="1"/>
  <c r="QC45" i="1"/>
  <c r="QD45" i="1"/>
  <c r="QE45" i="1"/>
  <c r="QF45" i="1"/>
  <c r="QG45" i="1"/>
  <c r="QH45" i="1"/>
  <c r="QI45" i="1"/>
  <c r="QJ45" i="1"/>
  <c r="QK45" i="1"/>
  <c r="QL45" i="1"/>
  <c r="QM45" i="1"/>
  <c r="QN45" i="1"/>
  <c r="QO45" i="1"/>
  <c r="QP45" i="1"/>
  <c r="QQ45" i="1"/>
  <c r="QR45" i="1"/>
  <c r="QS45" i="1"/>
  <c r="QT45" i="1"/>
  <c r="QU45" i="1"/>
  <c r="QV45" i="1"/>
  <c r="QW45" i="1"/>
  <c r="QX45" i="1"/>
  <c r="I154" i="1"/>
  <c r="J154" i="1"/>
  <c r="K154" i="1"/>
  <c r="MM154" i="1"/>
  <c r="MN154" i="1"/>
  <c r="MO154" i="1"/>
  <c r="MP154" i="1"/>
  <c r="MQ154" i="1"/>
  <c r="MR154" i="1"/>
  <c r="MS154" i="1"/>
  <c r="MT154" i="1"/>
  <c r="MW154" i="1"/>
  <c r="MX154" i="1"/>
  <c r="MY154" i="1"/>
  <c r="MZ154" i="1"/>
  <c r="NA154" i="1"/>
  <c r="NB154" i="1"/>
  <c r="NE154" i="1"/>
  <c r="NF154" i="1"/>
  <c r="NC154" i="1"/>
  <c r="ND154" i="1"/>
  <c r="NG154" i="1"/>
  <c r="NH154" i="1"/>
  <c r="NI154" i="1"/>
  <c r="NJ154" i="1"/>
  <c r="NK154" i="1"/>
  <c r="NL154" i="1"/>
  <c r="NM154" i="1"/>
  <c r="NN154" i="1"/>
  <c r="NO154" i="1"/>
  <c r="NP154" i="1"/>
  <c r="NQ154" i="1"/>
  <c r="NR154" i="1"/>
  <c r="NS154" i="1"/>
  <c r="NT154" i="1"/>
  <c r="NU154" i="1"/>
  <c r="NV154" i="1"/>
  <c r="NW154" i="1"/>
  <c r="NX154" i="1"/>
  <c r="NY154" i="1"/>
  <c r="NZ154" i="1"/>
  <c r="OA154" i="1"/>
  <c r="OB154" i="1"/>
  <c r="OC154" i="1"/>
  <c r="OD154" i="1"/>
  <c r="OE154" i="1"/>
  <c r="OF154" i="1"/>
  <c r="OG154" i="1"/>
  <c r="OH154" i="1"/>
  <c r="OI154" i="1"/>
  <c r="OJ154" i="1"/>
  <c r="OM154" i="1"/>
  <c r="ON154" i="1"/>
  <c r="OO154" i="1"/>
  <c r="OP154" i="1"/>
  <c r="OQ154" i="1"/>
  <c r="OR154" i="1"/>
  <c r="OS154" i="1"/>
  <c r="OT154" i="1"/>
  <c r="OU154" i="1"/>
  <c r="OV154" i="1"/>
  <c r="OW154" i="1"/>
  <c r="OX154" i="1"/>
  <c r="OY154" i="1"/>
  <c r="PA154" i="1"/>
  <c r="PC154" i="1"/>
  <c r="PD154" i="1"/>
  <c r="PB154" i="1"/>
  <c r="PE154" i="1"/>
  <c r="PF154" i="1"/>
  <c r="PG154" i="1"/>
  <c r="PH154" i="1"/>
  <c r="PI154" i="1"/>
  <c r="PJ154" i="1"/>
  <c r="PK154" i="1"/>
  <c r="PL154" i="1"/>
  <c r="PM154" i="1"/>
  <c r="PN154" i="1"/>
  <c r="PO154" i="1"/>
  <c r="PQ154" i="1"/>
  <c r="PR154" i="1"/>
  <c r="PT154" i="1"/>
  <c r="PU154" i="1"/>
  <c r="PZ154" i="1"/>
  <c r="QA154" i="1"/>
  <c r="QB154" i="1"/>
  <c r="QC154" i="1"/>
  <c r="QD154" i="1"/>
  <c r="QE154" i="1"/>
  <c r="QF154" i="1"/>
  <c r="QG154" i="1"/>
  <c r="QH154" i="1"/>
  <c r="QI154" i="1"/>
  <c r="QJ154" i="1"/>
  <c r="QK154" i="1"/>
  <c r="QL154" i="1"/>
  <c r="QM154" i="1"/>
  <c r="QN154" i="1"/>
  <c r="QO154" i="1"/>
  <c r="QP154" i="1"/>
  <c r="QQ154" i="1"/>
  <c r="QR154" i="1"/>
  <c r="QS154" i="1"/>
  <c r="QT154" i="1"/>
  <c r="QU154" i="1"/>
  <c r="QV154" i="1"/>
  <c r="QW154" i="1"/>
  <c r="QX154" i="1"/>
  <c r="I98" i="1"/>
  <c r="J98" i="1"/>
  <c r="K98" i="1"/>
  <c r="MM98" i="1"/>
  <c r="MN98" i="1"/>
  <c r="MO98" i="1"/>
  <c r="MP98" i="1"/>
  <c r="MQ98" i="1"/>
  <c r="MR98" i="1"/>
  <c r="MS98" i="1"/>
  <c r="MT98" i="1"/>
  <c r="MW98" i="1"/>
  <c r="MX98" i="1"/>
  <c r="MY98" i="1"/>
  <c r="MZ98" i="1"/>
  <c r="NA98" i="1"/>
  <c r="NB98" i="1"/>
  <c r="NE98" i="1"/>
  <c r="NF98" i="1"/>
  <c r="NC98" i="1"/>
  <c r="ND98" i="1"/>
  <c r="NG98" i="1"/>
  <c r="NH98" i="1"/>
  <c r="NI98" i="1"/>
  <c r="NJ98" i="1"/>
  <c r="NK98" i="1"/>
  <c r="NL98" i="1"/>
  <c r="NM98" i="1"/>
  <c r="NN98" i="1"/>
  <c r="NO98" i="1"/>
  <c r="NP98" i="1"/>
  <c r="NQ98" i="1"/>
  <c r="NR98" i="1"/>
  <c r="NS98" i="1"/>
  <c r="NT98" i="1"/>
  <c r="NU98" i="1"/>
  <c r="NV98" i="1"/>
  <c r="NW98" i="1"/>
  <c r="NX98" i="1"/>
  <c r="NY98" i="1"/>
  <c r="NZ98" i="1"/>
  <c r="OA98" i="1"/>
  <c r="OB98" i="1"/>
  <c r="OC98" i="1"/>
  <c r="OD98" i="1"/>
  <c r="OE98" i="1"/>
  <c r="OF98" i="1"/>
  <c r="OG98" i="1"/>
  <c r="OH98" i="1"/>
  <c r="OI98" i="1"/>
  <c r="OJ98" i="1"/>
  <c r="OM98" i="1"/>
  <c r="ON98" i="1"/>
  <c r="OO98" i="1"/>
  <c r="OP98" i="1"/>
  <c r="OQ98" i="1"/>
  <c r="OR98" i="1"/>
  <c r="OS98" i="1"/>
  <c r="OT98" i="1"/>
  <c r="OU98" i="1"/>
  <c r="OV98" i="1"/>
  <c r="OW98" i="1"/>
  <c r="OX98" i="1"/>
  <c r="OY98" i="1"/>
  <c r="PA98" i="1"/>
  <c r="PC98" i="1"/>
  <c r="PD98" i="1"/>
  <c r="PB98" i="1"/>
  <c r="BH94" i="148" s="1"/>
  <c r="PE98" i="1"/>
  <c r="PF98" i="1"/>
  <c r="PG98" i="1"/>
  <c r="PH98" i="1"/>
  <c r="PI98" i="1"/>
  <c r="PJ98" i="1"/>
  <c r="PK98" i="1"/>
  <c r="PL98" i="1"/>
  <c r="PM98" i="1"/>
  <c r="PN98" i="1"/>
  <c r="PO98" i="1"/>
  <c r="PQ98" i="1"/>
  <c r="PR98" i="1"/>
  <c r="PT98" i="1"/>
  <c r="PU98" i="1"/>
  <c r="PZ98" i="1"/>
  <c r="QA98" i="1"/>
  <c r="QB98" i="1"/>
  <c r="QC98" i="1"/>
  <c r="QD98" i="1"/>
  <c r="QE98" i="1"/>
  <c r="QF98" i="1"/>
  <c r="QG98" i="1"/>
  <c r="QH98" i="1"/>
  <c r="QI98" i="1"/>
  <c r="QJ98" i="1"/>
  <c r="QK98" i="1"/>
  <c r="QL98" i="1"/>
  <c r="QM98" i="1"/>
  <c r="QN98" i="1"/>
  <c r="QO98" i="1"/>
  <c r="QP98" i="1"/>
  <c r="QQ98" i="1"/>
  <c r="QR98" i="1"/>
  <c r="QS98" i="1"/>
  <c r="QT98" i="1"/>
  <c r="QU98" i="1"/>
  <c r="QV98" i="1"/>
  <c r="QW98" i="1"/>
  <c r="QX98" i="1"/>
  <c r="I48" i="1"/>
  <c r="J48" i="1"/>
  <c r="K48" i="1"/>
  <c r="MM48" i="1"/>
  <c r="MN48" i="1"/>
  <c r="MO48" i="1"/>
  <c r="MP48" i="1"/>
  <c r="MQ48" i="1"/>
  <c r="MR48" i="1"/>
  <c r="MS48" i="1"/>
  <c r="MT48" i="1"/>
  <c r="MW48" i="1"/>
  <c r="MX48" i="1"/>
  <c r="MY48" i="1"/>
  <c r="MZ48" i="1"/>
  <c r="NA48" i="1"/>
  <c r="NB48" i="1"/>
  <c r="NE48" i="1"/>
  <c r="NF48" i="1"/>
  <c r="NC48" i="1"/>
  <c r="ND48" i="1"/>
  <c r="NG48" i="1"/>
  <c r="NH48" i="1"/>
  <c r="NI48" i="1"/>
  <c r="NJ48" i="1"/>
  <c r="NK48" i="1"/>
  <c r="NL48" i="1"/>
  <c r="NM48" i="1"/>
  <c r="NN48" i="1"/>
  <c r="NO48" i="1"/>
  <c r="NP48" i="1"/>
  <c r="NQ48" i="1"/>
  <c r="NR48" i="1"/>
  <c r="NS48" i="1"/>
  <c r="NT48" i="1"/>
  <c r="NU48" i="1"/>
  <c r="NV48" i="1"/>
  <c r="NW48" i="1"/>
  <c r="NX48" i="1"/>
  <c r="NY48" i="1"/>
  <c r="NZ48" i="1"/>
  <c r="OA48" i="1"/>
  <c r="OB48" i="1"/>
  <c r="OC48" i="1"/>
  <c r="OD48" i="1"/>
  <c r="OE48" i="1"/>
  <c r="OF48" i="1"/>
  <c r="OG48" i="1"/>
  <c r="OH48" i="1"/>
  <c r="OI48" i="1"/>
  <c r="OJ48" i="1"/>
  <c r="OM48" i="1"/>
  <c r="ON48" i="1"/>
  <c r="OO48" i="1"/>
  <c r="OP48" i="1"/>
  <c r="OQ48" i="1"/>
  <c r="OR48" i="1"/>
  <c r="OS48" i="1"/>
  <c r="OT48" i="1"/>
  <c r="OU48" i="1"/>
  <c r="OV48" i="1"/>
  <c r="OW48" i="1"/>
  <c r="OX48" i="1"/>
  <c r="OY48" i="1"/>
  <c r="PA48" i="1"/>
  <c r="PC48" i="1"/>
  <c r="PD48" i="1"/>
  <c r="PB48" i="1"/>
  <c r="PE48" i="1"/>
  <c r="PF48" i="1"/>
  <c r="PG48" i="1"/>
  <c r="PH48" i="1"/>
  <c r="PI48" i="1"/>
  <c r="PJ48" i="1"/>
  <c r="PK48" i="1"/>
  <c r="PL48" i="1"/>
  <c r="PM48" i="1"/>
  <c r="PN48" i="1"/>
  <c r="PO48" i="1"/>
  <c r="PQ48" i="1"/>
  <c r="PR48" i="1"/>
  <c r="PT48" i="1"/>
  <c r="PU48" i="1"/>
  <c r="PZ48" i="1"/>
  <c r="QA48" i="1"/>
  <c r="QB48" i="1"/>
  <c r="QC48" i="1"/>
  <c r="QD48" i="1"/>
  <c r="QE48" i="1"/>
  <c r="QF48" i="1"/>
  <c r="QG48" i="1"/>
  <c r="QH48" i="1"/>
  <c r="QI48" i="1"/>
  <c r="QJ48" i="1"/>
  <c r="QK48" i="1"/>
  <c r="QL48" i="1"/>
  <c r="QM48" i="1"/>
  <c r="QN48" i="1"/>
  <c r="QO48" i="1"/>
  <c r="QP48" i="1"/>
  <c r="QQ48" i="1"/>
  <c r="QR48" i="1"/>
  <c r="QS48" i="1"/>
  <c r="QT48" i="1"/>
  <c r="QU48" i="1"/>
  <c r="QV48" i="1"/>
  <c r="QW48" i="1"/>
  <c r="QX48" i="1"/>
  <c r="I138" i="1"/>
  <c r="J138" i="1"/>
  <c r="K138" i="1"/>
  <c r="MM138" i="1"/>
  <c r="MN138" i="1"/>
  <c r="MO138" i="1"/>
  <c r="MP138" i="1"/>
  <c r="MQ138" i="1"/>
  <c r="MR138" i="1"/>
  <c r="MS138" i="1"/>
  <c r="MT138" i="1"/>
  <c r="MW138" i="1"/>
  <c r="MX138" i="1"/>
  <c r="MY138" i="1"/>
  <c r="MZ138" i="1"/>
  <c r="NA138" i="1"/>
  <c r="NB138" i="1"/>
  <c r="NE138" i="1"/>
  <c r="NF138" i="1"/>
  <c r="NC138" i="1"/>
  <c r="ND138" i="1"/>
  <c r="NG138" i="1"/>
  <c r="NH138" i="1"/>
  <c r="NI138" i="1"/>
  <c r="NJ138" i="1"/>
  <c r="NK138" i="1"/>
  <c r="NL138" i="1"/>
  <c r="NM138" i="1"/>
  <c r="NN138" i="1"/>
  <c r="NO138" i="1"/>
  <c r="NP138" i="1"/>
  <c r="NQ138" i="1"/>
  <c r="NR138" i="1"/>
  <c r="NS138" i="1"/>
  <c r="NT138" i="1"/>
  <c r="NU138" i="1"/>
  <c r="NV138" i="1"/>
  <c r="NW138" i="1"/>
  <c r="NX138" i="1"/>
  <c r="NY138" i="1"/>
  <c r="NZ138" i="1"/>
  <c r="OA138" i="1"/>
  <c r="OB138" i="1"/>
  <c r="OC138" i="1"/>
  <c r="OD138" i="1"/>
  <c r="OE138" i="1"/>
  <c r="OF138" i="1"/>
  <c r="OG138" i="1"/>
  <c r="OH138" i="1"/>
  <c r="OI138" i="1"/>
  <c r="OJ138" i="1"/>
  <c r="OM138" i="1"/>
  <c r="ON138" i="1"/>
  <c r="OO138" i="1"/>
  <c r="OP138" i="1"/>
  <c r="OQ138" i="1"/>
  <c r="OR138" i="1"/>
  <c r="OS138" i="1"/>
  <c r="OT138" i="1"/>
  <c r="OU138" i="1"/>
  <c r="OV138" i="1"/>
  <c r="OW138" i="1"/>
  <c r="OX138" i="1"/>
  <c r="OY138" i="1"/>
  <c r="PA138" i="1"/>
  <c r="PC138" i="1"/>
  <c r="PD138" i="1"/>
  <c r="PB138" i="1"/>
  <c r="PE138" i="1"/>
  <c r="PF138" i="1"/>
  <c r="PG138" i="1"/>
  <c r="PH138" i="1"/>
  <c r="PI138" i="1"/>
  <c r="PJ138" i="1"/>
  <c r="PK138" i="1"/>
  <c r="PL138" i="1"/>
  <c r="PM138" i="1"/>
  <c r="PN138" i="1"/>
  <c r="PO138" i="1"/>
  <c r="PQ138" i="1"/>
  <c r="PR138" i="1"/>
  <c r="PT138" i="1"/>
  <c r="PU138" i="1"/>
  <c r="PZ138" i="1"/>
  <c r="QA138" i="1"/>
  <c r="QB138" i="1"/>
  <c r="QC138" i="1"/>
  <c r="QD138" i="1"/>
  <c r="QE138" i="1"/>
  <c r="QF138" i="1"/>
  <c r="QG138" i="1"/>
  <c r="QH138" i="1"/>
  <c r="QI138" i="1"/>
  <c r="QJ138" i="1"/>
  <c r="QK138" i="1"/>
  <c r="QL138" i="1"/>
  <c r="QM138" i="1"/>
  <c r="QN138" i="1"/>
  <c r="QO138" i="1"/>
  <c r="QP138" i="1"/>
  <c r="QQ138" i="1"/>
  <c r="QR138" i="1"/>
  <c r="QS138" i="1"/>
  <c r="QT138" i="1"/>
  <c r="QU138" i="1"/>
  <c r="QV138" i="1"/>
  <c r="QW138" i="1"/>
  <c r="QX138" i="1"/>
  <c r="I75" i="1"/>
  <c r="J75" i="1"/>
  <c r="K75" i="1"/>
  <c r="MM75" i="1"/>
  <c r="MN75" i="1"/>
  <c r="MO75" i="1"/>
  <c r="MP75" i="1"/>
  <c r="MQ75" i="1"/>
  <c r="MR75" i="1"/>
  <c r="MS75" i="1"/>
  <c r="MT75" i="1"/>
  <c r="MW75" i="1"/>
  <c r="MX75" i="1"/>
  <c r="MY75" i="1"/>
  <c r="MZ75" i="1"/>
  <c r="NA75" i="1"/>
  <c r="NB75" i="1"/>
  <c r="NE75" i="1"/>
  <c r="NF75" i="1"/>
  <c r="NC75" i="1"/>
  <c r="ND75" i="1"/>
  <c r="NG75" i="1"/>
  <c r="NH75" i="1"/>
  <c r="NI75" i="1"/>
  <c r="NJ75" i="1"/>
  <c r="NK75" i="1"/>
  <c r="NL75" i="1"/>
  <c r="NM75" i="1"/>
  <c r="NN75" i="1"/>
  <c r="NO75" i="1"/>
  <c r="NP75" i="1"/>
  <c r="NQ75" i="1"/>
  <c r="NR75" i="1"/>
  <c r="NS75" i="1"/>
  <c r="NT75" i="1"/>
  <c r="NU75" i="1"/>
  <c r="NV75" i="1"/>
  <c r="NW75" i="1"/>
  <c r="NX75" i="1"/>
  <c r="NY75" i="1"/>
  <c r="NZ75" i="1"/>
  <c r="OA75" i="1"/>
  <c r="OB75" i="1"/>
  <c r="OC75" i="1"/>
  <c r="OD75" i="1"/>
  <c r="OE75" i="1"/>
  <c r="OF75" i="1"/>
  <c r="OG75" i="1"/>
  <c r="OH75" i="1"/>
  <c r="OI75" i="1"/>
  <c r="OJ75" i="1"/>
  <c r="OM75" i="1"/>
  <c r="ON75" i="1"/>
  <c r="OO75" i="1"/>
  <c r="OP75" i="1"/>
  <c r="OQ75" i="1"/>
  <c r="OR75" i="1"/>
  <c r="OS75" i="1"/>
  <c r="OT75" i="1"/>
  <c r="OU75" i="1"/>
  <c r="OV75" i="1"/>
  <c r="OW75" i="1"/>
  <c r="OX75" i="1"/>
  <c r="OY75" i="1"/>
  <c r="PA75" i="1"/>
  <c r="PC75" i="1"/>
  <c r="PD75" i="1"/>
  <c r="PB75" i="1"/>
  <c r="PE75" i="1"/>
  <c r="PF75" i="1"/>
  <c r="PG75" i="1"/>
  <c r="PH75" i="1"/>
  <c r="PI75" i="1"/>
  <c r="PJ75" i="1"/>
  <c r="PK75" i="1"/>
  <c r="PL75" i="1"/>
  <c r="PM75" i="1"/>
  <c r="PN75" i="1"/>
  <c r="PO75" i="1"/>
  <c r="PQ75" i="1"/>
  <c r="PR75" i="1"/>
  <c r="PT75" i="1"/>
  <c r="PU75" i="1"/>
  <c r="PZ75" i="1"/>
  <c r="QA75" i="1"/>
  <c r="QB75" i="1"/>
  <c r="QC75" i="1"/>
  <c r="QD75" i="1"/>
  <c r="QE75" i="1"/>
  <c r="QF75" i="1"/>
  <c r="QG75" i="1"/>
  <c r="QH75" i="1"/>
  <c r="QI75" i="1"/>
  <c r="QJ75" i="1"/>
  <c r="QK75" i="1"/>
  <c r="QL75" i="1"/>
  <c r="QM75" i="1"/>
  <c r="QN75" i="1"/>
  <c r="QO75" i="1"/>
  <c r="QP75" i="1"/>
  <c r="QQ75" i="1"/>
  <c r="QR75" i="1"/>
  <c r="QS75" i="1"/>
  <c r="QT75" i="1"/>
  <c r="QU75" i="1"/>
  <c r="QV75" i="1"/>
  <c r="QW75" i="1"/>
  <c r="QX75" i="1"/>
  <c r="I122" i="1"/>
  <c r="J122" i="1"/>
  <c r="K122" i="1"/>
  <c r="MM122" i="1"/>
  <c r="MN122" i="1"/>
  <c r="MO122" i="1"/>
  <c r="MP122" i="1"/>
  <c r="MQ122" i="1"/>
  <c r="MR122" i="1"/>
  <c r="MS122" i="1"/>
  <c r="MT122" i="1"/>
  <c r="MW122" i="1"/>
  <c r="MX122" i="1"/>
  <c r="MY122" i="1"/>
  <c r="MZ122" i="1"/>
  <c r="NA122" i="1"/>
  <c r="NB122" i="1"/>
  <c r="NE122" i="1"/>
  <c r="NF122" i="1"/>
  <c r="NC122" i="1"/>
  <c r="ND122" i="1"/>
  <c r="NG122" i="1"/>
  <c r="NH122" i="1"/>
  <c r="NI122" i="1"/>
  <c r="NJ122" i="1"/>
  <c r="NK122" i="1"/>
  <c r="NL122" i="1"/>
  <c r="NM122" i="1"/>
  <c r="NN122" i="1"/>
  <c r="NO122" i="1"/>
  <c r="NP122" i="1"/>
  <c r="NQ122" i="1"/>
  <c r="NR122" i="1"/>
  <c r="NS122" i="1"/>
  <c r="NT122" i="1"/>
  <c r="NU122" i="1"/>
  <c r="NV122" i="1"/>
  <c r="NW122" i="1"/>
  <c r="NX122" i="1"/>
  <c r="NY122" i="1"/>
  <c r="NZ122" i="1"/>
  <c r="OA122" i="1"/>
  <c r="OB122" i="1"/>
  <c r="OC122" i="1"/>
  <c r="OD122" i="1"/>
  <c r="OE122" i="1"/>
  <c r="OF122" i="1"/>
  <c r="OG122" i="1"/>
  <c r="OH122" i="1"/>
  <c r="OI122" i="1"/>
  <c r="OJ122" i="1"/>
  <c r="OM122" i="1"/>
  <c r="ON122" i="1"/>
  <c r="OO122" i="1"/>
  <c r="OP122" i="1"/>
  <c r="OQ122" i="1"/>
  <c r="OR122" i="1"/>
  <c r="OS122" i="1"/>
  <c r="OT122" i="1"/>
  <c r="OU122" i="1"/>
  <c r="OV122" i="1"/>
  <c r="OW122" i="1"/>
  <c r="OX122" i="1"/>
  <c r="OY122" i="1"/>
  <c r="PA122" i="1"/>
  <c r="PC122" i="1"/>
  <c r="PD122" i="1"/>
  <c r="PB122" i="1"/>
  <c r="PE122" i="1"/>
  <c r="PF122" i="1"/>
  <c r="PG122" i="1"/>
  <c r="PH122" i="1"/>
  <c r="PI122" i="1"/>
  <c r="PJ122" i="1"/>
  <c r="PK122" i="1"/>
  <c r="PL122" i="1"/>
  <c r="PM122" i="1"/>
  <c r="PN122" i="1"/>
  <c r="PO122" i="1"/>
  <c r="PQ122" i="1"/>
  <c r="PR122" i="1"/>
  <c r="PT122" i="1"/>
  <c r="PU122" i="1"/>
  <c r="PZ122" i="1"/>
  <c r="QA122" i="1"/>
  <c r="QB122" i="1"/>
  <c r="QC122" i="1"/>
  <c r="QD122" i="1"/>
  <c r="QE122" i="1"/>
  <c r="QF122" i="1"/>
  <c r="QG122" i="1"/>
  <c r="QH122" i="1"/>
  <c r="QI122" i="1"/>
  <c r="QJ122" i="1"/>
  <c r="QK122" i="1"/>
  <c r="QL122" i="1"/>
  <c r="QM122" i="1"/>
  <c r="QN122" i="1"/>
  <c r="QO122" i="1"/>
  <c r="QP122" i="1"/>
  <c r="QQ122" i="1"/>
  <c r="QR122" i="1"/>
  <c r="QS122" i="1"/>
  <c r="QT122" i="1"/>
  <c r="QU122" i="1"/>
  <c r="QV122" i="1"/>
  <c r="QW122" i="1"/>
  <c r="QX122" i="1"/>
  <c r="I186" i="1"/>
  <c r="J186" i="1"/>
  <c r="K186" i="1"/>
  <c r="MM186" i="1"/>
  <c r="MN186" i="1"/>
  <c r="MO186" i="1"/>
  <c r="MP186" i="1"/>
  <c r="MQ186" i="1"/>
  <c r="MR186" i="1"/>
  <c r="MS186" i="1"/>
  <c r="MT186" i="1"/>
  <c r="MW186" i="1"/>
  <c r="MX186" i="1"/>
  <c r="MY186" i="1"/>
  <c r="MZ186" i="1"/>
  <c r="NA186" i="1"/>
  <c r="NB186" i="1"/>
  <c r="NE186" i="1"/>
  <c r="NF186" i="1"/>
  <c r="NC186" i="1"/>
  <c r="ND186" i="1"/>
  <c r="NG186" i="1"/>
  <c r="NH186" i="1"/>
  <c r="NI186" i="1"/>
  <c r="NJ186" i="1"/>
  <c r="NK186" i="1"/>
  <c r="NL186" i="1"/>
  <c r="NM186" i="1"/>
  <c r="NN186" i="1"/>
  <c r="NO186" i="1"/>
  <c r="NP186" i="1"/>
  <c r="NQ186" i="1"/>
  <c r="NR186" i="1"/>
  <c r="NS186" i="1"/>
  <c r="NT186" i="1"/>
  <c r="NU186" i="1"/>
  <c r="NV186" i="1"/>
  <c r="NW186" i="1"/>
  <c r="NX186" i="1"/>
  <c r="NY186" i="1"/>
  <c r="NZ186" i="1"/>
  <c r="OA186" i="1"/>
  <c r="OB186" i="1"/>
  <c r="OC186" i="1"/>
  <c r="OD186" i="1"/>
  <c r="OE186" i="1"/>
  <c r="OF186" i="1"/>
  <c r="OG186" i="1"/>
  <c r="OH186" i="1"/>
  <c r="OI186" i="1"/>
  <c r="OJ186" i="1"/>
  <c r="OM186" i="1"/>
  <c r="ON186" i="1"/>
  <c r="OO186" i="1"/>
  <c r="OP186" i="1"/>
  <c r="OQ186" i="1"/>
  <c r="OR186" i="1"/>
  <c r="OS186" i="1"/>
  <c r="OT186" i="1"/>
  <c r="OU186" i="1"/>
  <c r="OV186" i="1"/>
  <c r="OW186" i="1"/>
  <c r="OX186" i="1"/>
  <c r="OY186" i="1"/>
  <c r="PA186" i="1"/>
  <c r="PC186" i="1"/>
  <c r="PD186" i="1"/>
  <c r="PB186" i="1"/>
  <c r="PE186" i="1"/>
  <c r="PF186" i="1"/>
  <c r="PG186" i="1"/>
  <c r="PH186" i="1"/>
  <c r="PI186" i="1"/>
  <c r="PJ186" i="1"/>
  <c r="PK186" i="1"/>
  <c r="PL186" i="1"/>
  <c r="PM186" i="1"/>
  <c r="PN186" i="1"/>
  <c r="PO186" i="1"/>
  <c r="PQ186" i="1"/>
  <c r="PR186" i="1"/>
  <c r="PT186" i="1"/>
  <c r="PU186" i="1"/>
  <c r="PZ186" i="1"/>
  <c r="QA186" i="1"/>
  <c r="QB186" i="1"/>
  <c r="QC186" i="1"/>
  <c r="QD186" i="1"/>
  <c r="QE186" i="1"/>
  <c r="QF186" i="1"/>
  <c r="QG186" i="1"/>
  <c r="QH186" i="1"/>
  <c r="QI186" i="1"/>
  <c r="QJ186" i="1"/>
  <c r="QK186" i="1"/>
  <c r="QL186" i="1"/>
  <c r="QM186" i="1"/>
  <c r="QN186" i="1"/>
  <c r="QO186" i="1"/>
  <c r="QP186" i="1"/>
  <c r="QQ186" i="1"/>
  <c r="QR186" i="1"/>
  <c r="QS186" i="1"/>
  <c r="QT186" i="1"/>
  <c r="QU186" i="1"/>
  <c r="QV186" i="1"/>
  <c r="QW186" i="1"/>
  <c r="QX186" i="1"/>
  <c r="I84" i="1"/>
  <c r="J84" i="1"/>
  <c r="K84" i="1"/>
  <c r="MM84" i="1"/>
  <c r="MN84" i="1"/>
  <c r="MO84" i="1"/>
  <c r="MP84" i="1"/>
  <c r="MQ84" i="1"/>
  <c r="MR84" i="1"/>
  <c r="MS84" i="1"/>
  <c r="MT84" i="1"/>
  <c r="MW84" i="1"/>
  <c r="MX84" i="1"/>
  <c r="MY84" i="1"/>
  <c r="MZ84" i="1"/>
  <c r="NA84" i="1"/>
  <c r="NB84" i="1"/>
  <c r="NE84" i="1"/>
  <c r="NF84" i="1"/>
  <c r="NC84" i="1"/>
  <c r="ND84" i="1"/>
  <c r="NG84" i="1"/>
  <c r="NH84" i="1"/>
  <c r="NI84" i="1"/>
  <c r="NJ84" i="1"/>
  <c r="NK84" i="1"/>
  <c r="NL84" i="1"/>
  <c r="NM84" i="1"/>
  <c r="NN84" i="1"/>
  <c r="NO84" i="1"/>
  <c r="NP84" i="1"/>
  <c r="NQ84" i="1"/>
  <c r="NR84" i="1"/>
  <c r="NS84" i="1"/>
  <c r="NT84" i="1"/>
  <c r="NU84" i="1"/>
  <c r="NV84" i="1"/>
  <c r="NW84" i="1"/>
  <c r="NX84" i="1"/>
  <c r="NY84" i="1"/>
  <c r="NZ84" i="1"/>
  <c r="OA84" i="1"/>
  <c r="OB84" i="1"/>
  <c r="OC84" i="1"/>
  <c r="OD84" i="1"/>
  <c r="OE84" i="1"/>
  <c r="OF84" i="1"/>
  <c r="OG84" i="1"/>
  <c r="OH84" i="1"/>
  <c r="OI84" i="1"/>
  <c r="OJ84" i="1"/>
  <c r="OM84" i="1"/>
  <c r="ON84" i="1"/>
  <c r="OO84" i="1"/>
  <c r="OP84" i="1"/>
  <c r="OQ84" i="1"/>
  <c r="OR84" i="1"/>
  <c r="OS84" i="1"/>
  <c r="OT84" i="1"/>
  <c r="OU84" i="1"/>
  <c r="OV84" i="1"/>
  <c r="OW84" i="1"/>
  <c r="OX84" i="1"/>
  <c r="OY84" i="1"/>
  <c r="PA84" i="1"/>
  <c r="PC84" i="1"/>
  <c r="PD84" i="1"/>
  <c r="PB84" i="1"/>
  <c r="PE84" i="1"/>
  <c r="PF84" i="1"/>
  <c r="PG84" i="1"/>
  <c r="PH84" i="1"/>
  <c r="PI84" i="1"/>
  <c r="PJ84" i="1"/>
  <c r="PK84" i="1"/>
  <c r="PL84" i="1"/>
  <c r="PM84" i="1"/>
  <c r="PN84" i="1"/>
  <c r="PO84" i="1"/>
  <c r="PQ84" i="1"/>
  <c r="PR84" i="1"/>
  <c r="PT84" i="1"/>
  <c r="PU84" i="1"/>
  <c r="PZ84" i="1"/>
  <c r="QA84" i="1"/>
  <c r="QB84" i="1"/>
  <c r="QC84" i="1"/>
  <c r="QD84" i="1"/>
  <c r="QE84" i="1"/>
  <c r="QF84" i="1"/>
  <c r="QG84" i="1"/>
  <c r="QH84" i="1"/>
  <c r="QI84" i="1"/>
  <c r="QJ84" i="1"/>
  <c r="QK84" i="1"/>
  <c r="QL84" i="1"/>
  <c r="QM84" i="1"/>
  <c r="QN84" i="1"/>
  <c r="QO84" i="1"/>
  <c r="QP84" i="1"/>
  <c r="QQ84" i="1"/>
  <c r="QR84" i="1"/>
  <c r="QS84" i="1"/>
  <c r="QT84" i="1"/>
  <c r="QU84" i="1"/>
  <c r="QV84" i="1"/>
  <c r="QW84" i="1"/>
  <c r="QX84" i="1"/>
  <c r="I116" i="1"/>
  <c r="J116" i="1"/>
  <c r="K116" i="1"/>
  <c r="MM116" i="1"/>
  <c r="MN116" i="1"/>
  <c r="MO116" i="1"/>
  <c r="MP116" i="1"/>
  <c r="MQ116" i="1"/>
  <c r="MR116" i="1"/>
  <c r="MS116" i="1"/>
  <c r="MT116" i="1"/>
  <c r="MW116" i="1"/>
  <c r="MX116" i="1"/>
  <c r="MY116" i="1"/>
  <c r="MZ116" i="1"/>
  <c r="NA116" i="1"/>
  <c r="NB116" i="1"/>
  <c r="NE116" i="1"/>
  <c r="NF116" i="1"/>
  <c r="NC116" i="1"/>
  <c r="ND116" i="1"/>
  <c r="NG116" i="1"/>
  <c r="NH116" i="1"/>
  <c r="NI116" i="1"/>
  <c r="NJ116" i="1"/>
  <c r="NK116" i="1"/>
  <c r="NL116" i="1"/>
  <c r="NM116" i="1"/>
  <c r="NN116" i="1"/>
  <c r="NO116" i="1"/>
  <c r="NP116" i="1"/>
  <c r="NQ116" i="1"/>
  <c r="NR116" i="1"/>
  <c r="NS116" i="1"/>
  <c r="NT116" i="1"/>
  <c r="NU116" i="1"/>
  <c r="NV116" i="1"/>
  <c r="NW116" i="1"/>
  <c r="NX116" i="1"/>
  <c r="NY116" i="1"/>
  <c r="NZ116" i="1"/>
  <c r="OA116" i="1"/>
  <c r="OB116" i="1"/>
  <c r="OC116" i="1"/>
  <c r="OD116" i="1"/>
  <c r="OE116" i="1"/>
  <c r="OF116" i="1"/>
  <c r="OG116" i="1"/>
  <c r="OH116" i="1"/>
  <c r="OI116" i="1"/>
  <c r="OJ116" i="1"/>
  <c r="OM116" i="1"/>
  <c r="ON116" i="1"/>
  <c r="OO116" i="1"/>
  <c r="OP116" i="1"/>
  <c r="OQ116" i="1"/>
  <c r="OR116" i="1"/>
  <c r="OS116" i="1"/>
  <c r="OT116" i="1"/>
  <c r="OU116" i="1"/>
  <c r="OV116" i="1"/>
  <c r="OW116" i="1"/>
  <c r="OX116" i="1"/>
  <c r="OY116" i="1"/>
  <c r="PA116" i="1"/>
  <c r="PC116" i="1"/>
  <c r="PD116" i="1"/>
  <c r="PB116" i="1"/>
  <c r="PE116" i="1"/>
  <c r="PF116" i="1"/>
  <c r="PG116" i="1"/>
  <c r="PH116" i="1"/>
  <c r="PI116" i="1"/>
  <c r="PJ116" i="1"/>
  <c r="PK116" i="1"/>
  <c r="PL116" i="1"/>
  <c r="PM116" i="1"/>
  <c r="PN116" i="1"/>
  <c r="PO116" i="1"/>
  <c r="PQ116" i="1"/>
  <c r="PR116" i="1"/>
  <c r="PT116" i="1"/>
  <c r="PU116" i="1"/>
  <c r="PZ116" i="1"/>
  <c r="QA116" i="1"/>
  <c r="QB116" i="1"/>
  <c r="QC116" i="1"/>
  <c r="QD116" i="1"/>
  <c r="QE116" i="1"/>
  <c r="QF116" i="1"/>
  <c r="QG116" i="1"/>
  <c r="QH116" i="1"/>
  <c r="QI116" i="1"/>
  <c r="QJ116" i="1"/>
  <c r="QK116" i="1"/>
  <c r="QL116" i="1"/>
  <c r="QM116" i="1"/>
  <c r="QN116" i="1"/>
  <c r="QO116" i="1"/>
  <c r="QP116" i="1"/>
  <c r="QQ116" i="1"/>
  <c r="QR116" i="1"/>
  <c r="QS116" i="1"/>
  <c r="QT116" i="1"/>
  <c r="QU116" i="1"/>
  <c r="QV116" i="1"/>
  <c r="QW116" i="1"/>
  <c r="QX116" i="1"/>
  <c r="I89" i="1"/>
  <c r="J89" i="1"/>
  <c r="K89" i="1"/>
  <c r="MM89" i="1"/>
  <c r="MN89" i="1"/>
  <c r="MO89" i="1"/>
  <c r="MP89" i="1"/>
  <c r="MQ89" i="1"/>
  <c r="MR89" i="1"/>
  <c r="MS89" i="1"/>
  <c r="MT89" i="1"/>
  <c r="MW89" i="1"/>
  <c r="MX89" i="1"/>
  <c r="MY89" i="1"/>
  <c r="MZ89" i="1"/>
  <c r="NA89" i="1"/>
  <c r="NB89" i="1"/>
  <c r="NE89" i="1"/>
  <c r="NF89" i="1"/>
  <c r="NC89" i="1"/>
  <c r="ND89" i="1"/>
  <c r="NG89" i="1"/>
  <c r="NH89" i="1"/>
  <c r="NI89" i="1"/>
  <c r="NJ89" i="1"/>
  <c r="NK89" i="1"/>
  <c r="NL89" i="1"/>
  <c r="NM89" i="1"/>
  <c r="NN89" i="1"/>
  <c r="NO89" i="1"/>
  <c r="NP89" i="1"/>
  <c r="NQ89" i="1"/>
  <c r="NR89" i="1"/>
  <c r="NS89" i="1"/>
  <c r="NT89" i="1"/>
  <c r="NU89" i="1"/>
  <c r="NV89" i="1"/>
  <c r="NW89" i="1"/>
  <c r="NX89" i="1"/>
  <c r="NY89" i="1"/>
  <c r="NZ89" i="1"/>
  <c r="OA89" i="1"/>
  <c r="OB89" i="1"/>
  <c r="OC89" i="1"/>
  <c r="OD89" i="1"/>
  <c r="OE89" i="1"/>
  <c r="OF89" i="1"/>
  <c r="OG89" i="1"/>
  <c r="OH89" i="1"/>
  <c r="OI89" i="1"/>
  <c r="OJ89" i="1"/>
  <c r="OM89" i="1"/>
  <c r="ON89" i="1"/>
  <c r="OO89" i="1"/>
  <c r="OP89" i="1"/>
  <c r="OQ89" i="1"/>
  <c r="OR89" i="1"/>
  <c r="OS89" i="1"/>
  <c r="OT89" i="1"/>
  <c r="OU89" i="1"/>
  <c r="OV89" i="1"/>
  <c r="OW89" i="1"/>
  <c r="OX89" i="1"/>
  <c r="OY89" i="1"/>
  <c r="PA89" i="1"/>
  <c r="PC89" i="1"/>
  <c r="PD89" i="1"/>
  <c r="PB89" i="1"/>
  <c r="PE89" i="1"/>
  <c r="PF89" i="1"/>
  <c r="PG89" i="1"/>
  <c r="PH89" i="1"/>
  <c r="PI89" i="1"/>
  <c r="PJ89" i="1"/>
  <c r="PK89" i="1"/>
  <c r="PL89" i="1"/>
  <c r="PM89" i="1"/>
  <c r="PN89" i="1"/>
  <c r="PO89" i="1"/>
  <c r="PQ89" i="1"/>
  <c r="PR89" i="1"/>
  <c r="PT89" i="1"/>
  <c r="PU89" i="1"/>
  <c r="PZ89" i="1"/>
  <c r="QA89" i="1"/>
  <c r="QB89" i="1"/>
  <c r="QC89" i="1"/>
  <c r="QD89" i="1"/>
  <c r="QE89" i="1"/>
  <c r="QF89" i="1"/>
  <c r="QG89" i="1"/>
  <c r="QH89" i="1"/>
  <c r="QI89" i="1"/>
  <c r="QJ89" i="1"/>
  <c r="QK89" i="1"/>
  <c r="QL89" i="1"/>
  <c r="QM89" i="1"/>
  <c r="QN89" i="1"/>
  <c r="QO89" i="1"/>
  <c r="QP89" i="1"/>
  <c r="QQ89" i="1"/>
  <c r="QR89" i="1"/>
  <c r="QS89" i="1"/>
  <c r="QT89" i="1"/>
  <c r="QU89" i="1"/>
  <c r="QV89" i="1"/>
  <c r="QW89" i="1"/>
  <c r="QX89" i="1"/>
  <c r="I74" i="1"/>
  <c r="J74" i="1"/>
  <c r="K74" i="1"/>
  <c r="MM74" i="1"/>
  <c r="MN74" i="1"/>
  <c r="MO74" i="1"/>
  <c r="MP74" i="1"/>
  <c r="MQ74" i="1"/>
  <c r="MR74" i="1"/>
  <c r="MS74" i="1"/>
  <c r="MT74" i="1"/>
  <c r="MW74" i="1"/>
  <c r="MX74" i="1"/>
  <c r="MY74" i="1"/>
  <c r="MZ74" i="1"/>
  <c r="NA74" i="1"/>
  <c r="NB74" i="1"/>
  <c r="NE74" i="1"/>
  <c r="NF74" i="1"/>
  <c r="NC74" i="1"/>
  <c r="ND74" i="1"/>
  <c r="NG74" i="1"/>
  <c r="NH74" i="1"/>
  <c r="NI74" i="1"/>
  <c r="NJ74" i="1"/>
  <c r="NK74" i="1"/>
  <c r="NL74" i="1"/>
  <c r="NM74" i="1"/>
  <c r="NN74" i="1"/>
  <c r="NO74" i="1"/>
  <c r="NP74" i="1"/>
  <c r="NQ74" i="1"/>
  <c r="NR74" i="1"/>
  <c r="NS74" i="1"/>
  <c r="NT74" i="1"/>
  <c r="NU74" i="1"/>
  <c r="NV74" i="1"/>
  <c r="NW74" i="1"/>
  <c r="NX74" i="1"/>
  <c r="NY74" i="1"/>
  <c r="NZ74" i="1"/>
  <c r="OA74" i="1"/>
  <c r="OB74" i="1"/>
  <c r="OC74" i="1"/>
  <c r="OD74" i="1"/>
  <c r="OE74" i="1"/>
  <c r="OF74" i="1"/>
  <c r="OG74" i="1"/>
  <c r="OH74" i="1"/>
  <c r="OI74" i="1"/>
  <c r="OJ74" i="1"/>
  <c r="OM74" i="1"/>
  <c r="ON74" i="1"/>
  <c r="OO74" i="1"/>
  <c r="OP74" i="1"/>
  <c r="OQ74" i="1"/>
  <c r="OR74" i="1"/>
  <c r="OS74" i="1"/>
  <c r="OT74" i="1"/>
  <c r="OU74" i="1"/>
  <c r="OV74" i="1"/>
  <c r="OW74" i="1"/>
  <c r="OX74" i="1"/>
  <c r="OY74" i="1"/>
  <c r="PA74" i="1"/>
  <c r="PC74" i="1"/>
  <c r="PD74" i="1"/>
  <c r="PB74" i="1"/>
  <c r="PE74" i="1"/>
  <c r="PF74" i="1"/>
  <c r="PG74" i="1"/>
  <c r="PH74" i="1"/>
  <c r="PI74" i="1"/>
  <c r="PJ74" i="1"/>
  <c r="PK74" i="1"/>
  <c r="PL74" i="1"/>
  <c r="PM74" i="1"/>
  <c r="PN74" i="1"/>
  <c r="PO74" i="1"/>
  <c r="PQ74" i="1"/>
  <c r="PR74" i="1"/>
  <c r="PT74" i="1"/>
  <c r="PU74" i="1"/>
  <c r="PZ74" i="1"/>
  <c r="QA74" i="1"/>
  <c r="QB74" i="1"/>
  <c r="QC74" i="1"/>
  <c r="QD74" i="1"/>
  <c r="QE74" i="1"/>
  <c r="QF74" i="1"/>
  <c r="QG74" i="1"/>
  <c r="QH74" i="1"/>
  <c r="QI74" i="1"/>
  <c r="QJ74" i="1"/>
  <c r="QK74" i="1"/>
  <c r="QL74" i="1"/>
  <c r="QM74" i="1"/>
  <c r="QN74" i="1"/>
  <c r="QO74" i="1"/>
  <c r="QP74" i="1"/>
  <c r="QQ74" i="1"/>
  <c r="QR74" i="1"/>
  <c r="QS74" i="1"/>
  <c r="QT74" i="1"/>
  <c r="QU74" i="1"/>
  <c r="QV74" i="1"/>
  <c r="QW74" i="1"/>
  <c r="QX74" i="1"/>
  <c r="I61" i="1"/>
  <c r="J61" i="1"/>
  <c r="K61" i="1"/>
  <c r="MM61" i="1"/>
  <c r="MN61" i="1"/>
  <c r="MO61" i="1"/>
  <c r="MP61" i="1"/>
  <c r="MQ61" i="1"/>
  <c r="MR61" i="1"/>
  <c r="MS61" i="1"/>
  <c r="MT61" i="1"/>
  <c r="MW61" i="1"/>
  <c r="MX61" i="1"/>
  <c r="MY61" i="1"/>
  <c r="MZ61" i="1"/>
  <c r="NA61" i="1"/>
  <c r="NB61" i="1"/>
  <c r="NE61" i="1"/>
  <c r="NF61" i="1"/>
  <c r="NC61" i="1"/>
  <c r="ND61" i="1"/>
  <c r="NG61" i="1"/>
  <c r="NH61" i="1"/>
  <c r="NI61" i="1"/>
  <c r="NJ61" i="1"/>
  <c r="NK61" i="1"/>
  <c r="NL61" i="1"/>
  <c r="NM61" i="1"/>
  <c r="NN61" i="1"/>
  <c r="NO61" i="1"/>
  <c r="NP61" i="1"/>
  <c r="NQ61" i="1"/>
  <c r="NR61" i="1"/>
  <c r="NS61" i="1"/>
  <c r="NT61" i="1"/>
  <c r="NU61" i="1"/>
  <c r="NV61" i="1"/>
  <c r="NW61" i="1"/>
  <c r="NX61" i="1"/>
  <c r="NY61" i="1"/>
  <c r="NZ61" i="1"/>
  <c r="OA61" i="1"/>
  <c r="OB61" i="1"/>
  <c r="OC61" i="1"/>
  <c r="OD61" i="1"/>
  <c r="OE61" i="1"/>
  <c r="OF61" i="1"/>
  <c r="OG61" i="1"/>
  <c r="OH61" i="1"/>
  <c r="OI61" i="1"/>
  <c r="OJ61" i="1"/>
  <c r="OM61" i="1"/>
  <c r="ON61" i="1"/>
  <c r="OO61" i="1"/>
  <c r="OP61" i="1"/>
  <c r="OQ61" i="1"/>
  <c r="OR61" i="1"/>
  <c r="OS61" i="1"/>
  <c r="OT61" i="1"/>
  <c r="OU61" i="1"/>
  <c r="OV61" i="1"/>
  <c r="OW61" i="1"/>
  <c r="OX61" i="1"/>
  <c r="OY61" i="1"/>
  <c r="PA61" i="1"/>
  <c r="PC61" i="1"/>
  <c r="PD61" i="1"/>
  <c r="PB61" i="1"/>
  <c r="PE61" i="1"/>
  <c r="PF61" i="1"/>
  <c r="PG61" i="1"/>
  <c r="PH61" i="1"/>
  <c r="PI61" i="1"/>
  <c r="PJ61" i="1"/>
  <c r="PK61" i="1"/>
  <c r="PL61" i="1"/>
  <c r="PM61" i="1"/>
  <c r="PN61" i="1"/>
  <c r="PO61" i="1"/>
  <c r="PQ61" i="1"/>
  <c r="PR61" i="1"/>
  <c r="PT61" i="1"/>
  <c r="PU61" i="1"/>
  <c r="PZ61" i="1"/>
  <c r="QA61" i="1"/>
  <c r="QB61" i="1"/>
  <c r="QC61" i="1"/>
  <c r="QD61" i="1"/>
  <c r="QE61" i="1"/>
  <c r="QF61" i="1"/>
  <c r="QG61" i="1"/>
  <c r="QH61" i="1"/>
  <c r="QI61" i="1"/>
  <c r="QJ61" i="1"/>
  <c r="QK61" i="1"/>
  <c r="QL61" i="1"/>
  <c r="QM61" i="1"/>
  <c r="QN61" i="1"/>
  <c r="QO61" i="1"/>
  <c r="QP61" i="1"/>
  <c r="QQ61" i="1"/>
  <c r="QR61" i="1"/>
  <c r="QS61" i="1"/>
  <c r="QT61" i="1"/>
  <c r="QU61" i="1"/>
  <c r="QV61" i="1"/>
  <c r="QW61" i="1"/>
  <c r="QX61" i="1"/>
  <c r="I87" i="1"/>
  <c r="J87" i="1"/>
  <c r="K87" i="1"/>
  <c r="MM87" i="1"/>
  <c r="MN87" i="1"/>
  <c r="MO87" i="1"/>
  <c r="MP87" i="1"/>
  <c r="MQ87" i="1"/>
  <c r="MR87" i="1"/>
  <c r="MS87" i="1"/>
  <c r="MT87" i="1"/>
  <c r="MW87" i="1"/>
  <c r="MX87" i="1"/>
  <c r="MY87" i="1"/>
  <c r="MZ87" i="1"/>
  <c r="NA87" i="1"/>
  <c r="NB87" i="1"/>
  <c r="NE87" i="1"/>
  <c r="NF87" i="1"/>
  <c r="NC87" i="1"/>
  <c r="ND87" i="1"/>
  <c r="NG87" i="1"/>
  <c r="NH87" i="1"/>
  <c r="NI87" i="1"/>
  <c r="NJ87" i="1"/>
  <c r="NK87" i="1"/>
  <c r="NL87" i="1"/>
  <c r="NM87" i="1"/>
  <c r="NN87" i="1"/>
  <c r="NO87" i="1"/>
  <c r="NP87" i="1"/>
  <c r="NQ87" i="1"/>
  <c r="NR87" i="1"/>
  <c r="NS87" i="1"/>
  <c r="NT87" i="1"/>
  <c r="NU87" i="1"/>
  <c r="NV87" i="1"/>
  <c r="NW87" i="1"/>
  <c r="NX87" i="1"/>
  <c r="NY87" i="1"/>
  <c r="NZ87" i="1"/>
  <c r="OA87" i="1"/>
  <c r="OB87" i="1"/>
  <c r="OC87" i="1"/>
  <c r="OD87" i="1"/>
  <c r="OE87" i="1"/>
  <c r="OF87" i="1"/>
  <c r="OG87" i="1"/>
  <c r="OH87" i="1"/>
  <c r="OI87" i="1"/>
  <c r="OJ87" i="1"/>
  <c r="OM87" i="1"/>
  <c r="ON87" i="1"/>
  <c r="OO87" i="1"/>
  <c r="OP87" i="1"/>
  <c r="OQ87" i="1"/>
  <c r="OR87" i="1"/>
  <c r="OS87" i="1"/>
  <c r="OT87" i="1"/>
  <c r="OU87" i="1"/>
  <c r="OV87" i="1"/>
  <c r="OW87" i="1"/>
  <c r="OX87" i="1"/>
  <c r="OY87" i="1"/>
  <c r="PA87" i="1"/>
  <c r="PC87" i="1"/>
  <c r="PD87" i="1"/>
  <c r="PB87" i="1"/>
  <c r="PE87" i="1"/>
  <c r="PF87" i="1"/>
  <c r="PG87" i="1"/>
  <c r="PH87" i="1"/>
  <c r="PI87" i="1"/>
  <c r="PJ87" i="1"/>
  <c r="PK87" i="1"/>
  <c r="PL87" i="1"/>
  <c r="PM87" i="1"/>
  <c r="PN87" i="1"/>
  <c r="PO87" i="1"/>
  <c r="PQ87" i="1"/>
  <c r="PR87" i="1"/>
  <c r="PT87" i="1"/>
  <c r="PU87" i="1"/>
  <c r="PZ87" i="1"/>
  <c r="QA87" i="1"/>
  <c r="QB87" i="1"/>
  <c r="QC87" i="1"/>
  <c r="QD87" i="1"/>
  <c r="QE87" i="1"/>
  <c r="QF87" i="1"/>
  <c r="QG87" i="1"/>
  <c r="QH87" i="1"/>
  <c r="QI87" i="1"/>
  <c r="QJ87" i="1"/>
  <c r="QK87" i="1"/>
  <c r="QL87" i="1"/>
  <c r="QM87" i="1"/>
  <c r="QN87" i="1"/>
  <c r="QO87" i="1"/>
  <c r="QP87" i="1"/>
  <c r="QQ87" i="1"/>
  <c r="QR87" i="1"/>
  <c r="QS87" i="1"/>
  <c r="QT87" i="1"/>
  <c r="QU87" i="1"/>
  <c r="QV87" i="1"/>
  <c r="QW87" i="1"/>
  <c r="QX87" i="1"/>
  <c r="I70" i="1"/>
  <c r="J70" i="1"/>
  <c r="K70" i="1"/>
  <c r="MM70" i="1"/>
  <c r="MN70" i="1"/>
  <c r="MO70" i="1"/>
  <c r="MP70" i="1"/>
  <c r="MQ70" i="1"/>
  <c r="MR70" i="1"/>
  <c r="MS70" i="1"/>
  <c r="MT70" i="1"/>
  <c r="MW70" i="1"/>
  <c r="MX70" i="1"/>
  <c r="MY70" i="1"/>
  <c r="MZ70" i="1"/>
  <c r="NA70" i="1"/>
  <c r="NB70" i="1"/>
  <c r="NE70" i="1"/>
  <c r="NF70" i="1"/>
  <c r="NC70" i="1"/>
  <c r="ND70" i="1"/>
  <c r="NG70" i="1"/>
  <c r="NH70" i="1"/>
  <c r="NI70" i="1"/>
  <c r="NJ70" i="1"/>
  <c r="NK70" i="1"/>
  <c r="NL70" i="1"/>
  <c r="NM70" i="1"/>
  <c r="NN70" i="1"/>
  <c r="NO70" i="1"/>
  <c r="NP70" i="1"/>
  <c r="NQ70" i="1"/>
  <c r="NR70" i="1"/>
  <c r="NS70" i="1"/>
  <c r="NT70" i="1"/>
  <c r="NU70" i="1"/>
  <c r="NV70" i="1"/>
  <c r="NW70" i="1"/>
  <c r="NX70" i="1"/>
  <c r="NY70" i="1"/>
  <c r="NZ70" i="1"/>
  <c r="OA70" i="1"/>
  <c r="OB70" i="1"/>
  <c r="OC70" i="1"/>
  <c r="OD70" i="1"/>
  <c r="OE70" i="1"/>
  <c r="OF70" i="1"/>
  <c r="OG70" i="1"/>
  <c r="OH70" i="1"/>
  <c r="OI70" i="1"/>
  <c r="OJ70" i="1"/>
  <c r="OM70" i="1"/>
  <c r="ON70" i="1"/>
  <c r="OO70" i="1"/>
  <c r="OP70" i="1"/>
  <c r="OQ70" i="1"/>
  <c r="OR70" i="1"/>
  <c r="OS70" i="1"/>
  <c r="OT70" i="1"/>
  <c r="OU70" i="1"/>
  <c r="OV70" i="1"/>
  <c r="OW70" i="1"/>
  <c r="OX70" i="1"/>
  <c r="OY70" i="1"/>
  <c r="PA70" i="1"/>
  <c r="PC70" i="1"/>
  <c r="PD70" i="1"/>
  <c r="PB70" i="1"/>
  <c r="PE70" i="1"/>
  <c r="PF70" i="1"/>
  <c r="PG70" i="1"/>
  <c r="PH70" i="1"/>
  <c r="PI70" i="1"/>
  <c r="PJ70" i="1"/>
  <c r="PK70" i="1"/>
  <c r="PL70" i="1"/>
  <c r="PM70" i="1"/>
  <c r="PN70" i="1"/>
  <c r="PO70" i="1"/>
  <c r="PQ70" i="1"/>
  <c r="PR70" i="1"/>
  <c r="PT70" i="1"/>
  <c r="PU70" i="1"/>
  <c r="PZ70" i="1"/>
  <c r="QA70" i="1"/>
  <c r="QB70" i="1"/>
  <c r="QC70" i="1"/>
  <c r="QD70" i="1"/>
  <c r="QE70" i="1"/>
  <c r="QF70" i="1"/>
  <c r="QG70" i="1"/>
  <c r="QH70" i="1"/>
  <c r="QI70" i="1"/>
  <c r="QJ70" i="1"/>
  <c r="QK70" i="1"/>
  <c r="QL70" i="1"/>
  <c r="QM70" i="1"/>
  <c r="QN70" i="1"/>
  <c r="QO70" i="1"/>
  <c r="QP70" i="1"/>
  <c r="QQ70" i="1"/>
  <c r="QR70" i="1"/>
  <c r="QS70" i="1"/>
  <c r="QT70" i="1"/>
  <c r="QU70" i="1"/>
  <c r="QV70" i="1"/>
  <c r="QW70" i="1"/>
  <c r="QX70" i="1"/>
  <c r="I44" i="1"/>
  <c r="J44" i="1"/>
  <c r="K44" i="1"/>
  <c r="MM44" i="1"/>
  <c r="MN44" i="1"/>
  <c r="MO44" i="1"/>
  <c r="MP44" i="1"/>
  <c r="MQ44" i="1"/>
  <c r="MR44" i="1"/>
  <c r="MS44" i="1"/>
  <c r="MT44" i="1"/>
  <c r="MW44" i="1"/>
  <c r="MX44" i="1"/>
  <c r="MY44" i="1"/>
  <c r="MZ44" i="1"/>
  <c r="NA44" i="1"/>
  <c r="NB44" i="1"/>
  <c r="NE44" i="1"/>
  <c r="NF44" i="1"/>
  <c r="NC44" i="1"/>
  <c r="ND44" i="1"/>
  <c r="NG44" i="1"/>
  <c r="NH44" i="1"/>
  <c r="NI44" i="1"/>
  <c r="NJ44" i="1"/>
  <c r="NK44" i="1"/>
  <c r="NL44" i="1"/>
  <c r="NM44" i="1"/>
  <c r="NN44" i="1"/>
  <c r="NO44" i="1"/>
  <c r="NP44" i="1"/>
  <c r="NQ44" i="1"/>
  <c r="NR44" i="1"/>
  <c r="NS44" i="1"/>
  <c r="NT44" i="1"/>
  <c r="NU44" i="1"/>
  <c r="NV44" i="1"/>
  <c r="NW44" i="1"/>
  <c r="NX44" i="1"/>
  <c r="NY44" i="1"/>
  <c r="NZ44" i="1"/>
  <c r="OA44" i="1"/>
  <c r="OB44" i="1"/>
  <c r="OC44" i="1"/>
  <c r="OD44" i="1"/>
  <c r="OE44" i="1"/>
  <c r="OF44" i="1"/>
  <c r="OG44" i="1"/>
  <c r="OH44" i="1"/>
  <c r="OI44" i="1"/>
  <c r="OJ44" i="1"/>
  <c r="OM44" i="1"/>
  <c r="ON44" i="1"/>
  <c r="OO44" i="1"/>
  <c r="OP44" i="1"/>
  <c r="OQ44" i="1"/>
  <c r="OR44" i="1"/>
  <c r="OS44" i="1"/>
  <c r="OT44" i="1"/>
  <c r="OU44" i="1"/>
  <c r="OV44" i="1"/>
  <c r="OW44" i="1"/>
  <c r="OX44" i="1"/>
  <c r="OY44" i="1"/>
  <c r="PA44" i="1"/>
  <c r="PC44" i="1"/>
  <c r="PD44" i="1"/>
  <c r="PB44" i="1"/>
  <c r="PE44" i="1"/>
  <c r="PF44" i="1"/>
  <c r="PG44" i="1"/>
  <c r="PH44" i="1"/>
  <c r="PI44" i="1"/>
  <c r="PJ44" i="1"/>
  <c r="PK44" i="1"/>
  <c r="PL44" i="1"/>
  <c r="PM44" i="1"/>
  <c r="PN44" i="1"/>
  <c r="PO44" i="1"/>
  <c r="PQ44" i="1"/>
  <c r="PR44" i="1"/>
  <c r="PT44" i="1"/>
  <c r="PU44" i="1"/>
  <c r="PZ44" i="1"/>
  <c r="QA44" i="1"/>
  <c r="QB44" i="1"/>
  <c r="QC44" i="1"/>
  <c r="QD44" i="1"/>
  <c r="QE44" i="1"/>
  <c r="QF44" i="1"/>
  <c r="QG44" i="1"/>
  <c r="QH44" i="1"/>
  <c r="QI44" i="1"/>
  <c r="QJ44" i="1"/>
  <c r="QK44" i="1"/>
  <c r="QL44" i="1"/>
  <c r="QM44" i="1"/>
  <c r="QN44" i="1"/>
  <c r="QO44" i="1"/>
  <c r="QP44" i="1"/>
  <c r="QQ44" i="1"/>
  <c r="QR44" i="1"/>
  <c r="QS44" i="1"/>
  <c r="QT44" i="1"/>
  <c r="QU44" i="1"/>
  <c r="QV44" i="1"/>
  <c r="QW44" i="1"/>
  <c r="QX44" i="1"/>
  <c r="I82" i="1"/>
  <c r="J82" i="1"/>
  <c r="K82" i="1"/>
  <c r="MM82" i="1"/>
  <c r="MN82" i="1"/>
  <c r="MO82" i="1"/>
  <c r="MP82" i="1"/>
  <c r="MQ82" i="1"/>
  <c r="MR82" i="1"/>
  <c r="MS82" i="1"/>
  <c r="MT82" i="1"/>
  <c r="MW82" i="1"/>
  <c r="MX82" i="1"/>
  <c r="MY82" i="1"/>
  <c r="MZ82" i="1"/>
  <c r="NA82" i="1"/>
  <c r="NB82" i="1"/>
  <c r="NE82" i="1"/>
  <c r="NF82" i="1"/>
  <c r="NC82" i="1"/>
  <c r="ND82" i="1"/>
  <c r="NG82" i="1"/>
  <c r="NH82" i="1"/>
  <c r="NI82" i="1"/>
  <c r="NJ82" i="1"/>
  <c r="NK82" i="1"/>
  <c r="NL82" i="1"/>
  <c r="NM82" i="1"/>
  <c r="NN82" i="1"/>
  <c r="NO82" i="1"/>
  <c r="NP82" i="1"/>
  <c r="NQ82" i="1"/>
  <c r="NR82" i="1"/>
  <c r="NS82" i="1"/>
  <c r="NT82" i="1"/>
  <c r="NU82" i="1"/>
  <c r="NV82" i="1"/>
  <c r="NW82" i="1"/>
  <c r="NX82" i="1"/>
  <c r="NY82" i="1"/>
  <c r="NZ82" i="1"/>
  <c r="OA82" i="1"/>
  <c r="OB82" i="1"/>
  <c r="OC82" i="1"/>
  <c r="OD82" i="1"/>
  <c r="OE82" i="1"/>
  <c r="OF82" i="1"/>
  <c r="OG82" i="1"/>
  <c r="OH82" i="1"/>
  <c r="OI82" i="1"/>
  <c r="OJ82" i="1"/>
  <c r="OM82" i="1"/>
  <c r="ON82" i="1"/>
  <c r="OO82" i="1"/>
  <c r="OP82" i="1"/>
  <c r="OQ82" i="1"/>
  <c r="OR82" i="1"/>
  <c r="OS82" i="1"/>
  <c r="OT82" i="1"/>
  <c r="OU82" i="1"/>
  <c r="OV82" i="1"/>
  <c r="OW82" i="1"/>
  <c r="OX82" i="1"/>
  <c r="OY82" i="1"/>
  <c r="PA82" i="1"/>
  <c r="PC82" i="1"/>
  <c r="PD82" i="1"/>
  <c r="PB82" i="1"/>
  <c r="PE82" i="1"/>
  <c r="PF82" i="1"/>
  <c r="PG82" i="1"/>
  <c r="PH82" i="1"/>
  <c r="PI82" i="1"/>
  <c r="PJ82" i="1"/>
  <c r="PK82" i="1"/>
  <c r="PL82" i="1"/>
  <c r="PM82" i="1"/>
  <c r="PN82" i="1"/>
  <c r="PO82" i="1"/>
  <c r="PQ82" i="1"/>
  <c r="PR82" i="1"/>
  <c r="PT82" i="1"/>
  <c r="PU82" i="1"/>
  <c r="PZ82" i="1"/>
  <c r="QA82" i="1"/>
  <c r="QB82" i="1"/>
  <c r="QC82" i="1"/>
  <c r="QD82" i="1"/>
  <c r="QE82" i="1"/>
  <c r="QF82" i="1"/>
  <c r="QG82" i="1"/>
  <c r="QH82" i="1"/>
  <c r="QI82" i="1"/>
  <c r="QJ82" i="1"/>
  <c r="QK82" i="1"/>
  <c r="QL82" i="1"/>
  <c r="QM82" i="1"/>
  <c r="QN82" i="1"/>
  <c r="QO82" i="1"/>
  <c r="QP82" i="1"/>
  <c r="QQ82" i="1"/>
  <c r="QR82" i="1"/>
  <c r="QS82" i="1"/>
  <c r="QT82" i="1"/>
  <c r="QU82" i="1"/>
  <c r="QV82" i="1"/>
  <c r="QW82" i="1"/>
  <c r="QX82" i="1"/>
  <c r="I88" i="1"/>
  <c r="J88" i="1"/>
  <c r="K88" i="1"/>
  <c r="MM88" i="1"/>
  <c r="MN88" i="1"/>
  <c r="MO88" i="1"/>
  <c r="MP88" i="1"/>
  <c r="MQ88" i="1"/>
  <c r="MR88" i="1"/>
  <c r="MS88" i="1"/>
  <c r="MT88" i="1"/>
  <c r="MW88" i="1"/>
  <c r="MX88" i="1"/>
  <c r="MY88" i="1"/>
  <c r="MZ88" i="1"/>
  <c r="NA88" i="1"/>
  <c r="NB88" i="1"/>
  <c r="NE88" i="1"/>
  <c r="NF88" i="1"/>
  <c r="NC88" i="1"/>
  <c r="ND88" i="1"/>
  <c r="NG88" i="1"/>
  <c r="NH88" i="1"/>
  <c r="NI88" i="1"/>
  <c r="NJ88" i="1"/>
  <c r="NK88" i="1"/>
  <c r="NL88" i="1"/>
  <c r="NM88" i="1"/>
  <c r="NN88" i="1"/>
  <c r="NO88" i="1"/>
  <c r="NP88" i="1"/>
  <c r="NQ88" i="1"/>
  <c r="NR88" i="1"/>
  <c r="NS88" i="1"/>
  <c r="NT88" i="1"/>
  <c r="NU88" i="1"/>
  <c r="NV88" i="1"/>
  <c r="NW88" i="1"/>
  <c r="NX88" i="1"/>
  <c r="NY88" i="1"/>
  <c r="NZ88" i="1"/>
  <c r="OA88" i="1"/>
  <c r="OB88" i="1"/>
  <c r="OC88" i="1"/>
  <c r="OD88" i="1"/>
  <c r="OE88" i="1"/>
  <c r="OF88" i="1"/>
  <c r="OG88" i="1"/>
  <c r="OH88" i="1"/>
  <c r="OI88" i="1"/>
  <c r="OJ88" i="1"/>
  <c r="OM88" i="1"/>
  <c r="ON88" i="1"/>
  <c r="OO88" i="1"/>
  <c r="OP88" i="1"/>
  <c r="OQ88" i="1"/>
  <c r="OR88" i="1"/>
  <c r="OS88" i="1"/>
  <c r="OT88" i="1"/>
  <c r="OU88" i="1"/>
  <c r="OV88" i="1"/>
  <c r="OW88" i="1"/>
  <c r="OX88" i="1"/>
  <c r="OY88" i="1"/>
  <c r="PA88" i="1"/>
  <c r="PC88" i="1"/>
  <c r="PD88" i="1"/>
  <c r="PB88" i="1"/>
  <c r="PE88" i="1"/>
  <c r="PF88" i="1"/>
  <c r="PG88" i="1"/>
  <c r="PH88" i="1"/>
  <c r="PI88" i="1"/>
  <c r="PJ88" i="1"/>
  <c r="PK88" i="1"/>
  <c r="PL88" i="1"/>
  <c r="PM88" i="1"/>
  <c r="PN88" i="1"/>
  <c r="PO88" i="1"/>
  <c r="PQ88" i="1"/>
  <c r="PR88" i="1"/>
  <c r="PT88" i="1"/>
  <c r="PU88" i="1"/>
  <c r="PZ88" i="1"/>
  <c r="QA88" i="1"/>
  <c r="QB88" i="1"/>
  <c r="QC88" i="1"/>
  <c r="QD88" i="1"/>
  <c r="QE88" i="1"/>
  <c r="QF88" i="1"/>
  <c r="QG88" i="1"/>
  <c r="QH88" i="1"/>
  <c r="QI88" i="1"/>
  <c r="QJ88" i="1"/>
  <c r="QK88" i="1"/>
  <c r="QL88" i="1"/>
  <c r="QM88" i="1"/>
  <c r="QN88" i="1"/>
  <c r="QO88" i="1"/>
  <c r="QP88" i="1"/>
  <c r="QQ88" i="1"/>
  <c r="QR88" i="1"/>
  <c r="QS88" i="1"/>
  <c r="QT88" i="1"/>
  <c r="QU88" i="1"/>
  <c r="QV88" i="1"/>
  <c r="QW88" i="1"/>
  <c r="QX88" i="1"/>
  <c r="I53" i="1"/>
  <c r="J53" i="1"/>
  <c r="K53" i="1"/>
  <c r="MM53" i="1"/>
  <c r="MN53" i="1"/>
  <c r="MO53" i="1"/>
  <c r="MP53" i="1"/>
  <c r="MQ53" i="1"/>
  <c r="MR53" i="1"/>
  <c r="MS53" i="1"/>
  <c r="MT53" i="1"/>
  <c r="MW53" i="1"/>
  <c r="MX53" i="1"/>
  <c r="MY53" i="1"/>
  <c r="MZ53" i="1"/>
  <c r="NA53" i="1"/>
  <c r="NB53" i="1"/>
  <c r="NE53" i="1"/>
  <c r="NF53" i="1"/>
  <c r="NC53" i="1"/>
  <c r="ND53" i="1"/>
  <c r="NG53" i="1"/>
  <c r="NH53" i="1"/>
  <c r="NI53" i="1"/>
  <c r="NJ53" i="1"/>
  <c r="NK53" i="1"/>
  <c r="NL53" i="1"/>
  <c r="NM53" i="1"/>
  <c r="NN53" i="1"/>
  <c r="NO53" i="1"/>
  <c r="NP53" i="1"/>
  <c r="NQ53" i="1"/>
  <c r="NR53" i="1"/>
  <c r="NS53" i="1"/>
  <c r="NT53" i="1"/>
  <c r="NU53" i="1"/>
  <c r="NV53" i="1"/>
  <c r="NW53" i="1"/>
  <c r="NX53" i="1"/>
  <c r="NY53" i="1"/>
  <c r="NZ53" i="1"/>
  <c r="OA53" i="1"/>
  <c r="OB53" i="1"/>
  <c r="OC53" i="1"/>
  <c r="OD53" i="1"/>
  <c r="OE53" i="1"/>
  <c r="OF53" i="1"/>
  <c r="OG53" i="1"/>
  <c r="OH53" i="1"/>
  <c r="OI53" i="1"/>
  <c r="OJ53" i="1"/>
  <c r="OM53" i="1"/>
  <c r="ON53" i="1"/>
  <c r="OO53" i="1"/>
  <c r="OP53" i="1"/>
  <c r="OQ53" i="1"/>
  <c r="OR53" i="1"/>
  <c r="OS53" i="1"/>
  <c r="OT53" i="1"/>
  <c r="OU53" i="1"/>
  <c r="OV53" i="1"/>
  <c r="OW53" i="1"/>
  <c r="OX53" i="1"/>
  <c r="OY53" i="1"/>
  <c r="PA53" i="1"/>
  <c r="PC53" i="1"/>
  <c r="PD53" i="1"/>
  <c r="PB53" i="1"/>
  <c r="BH54" i="148" s="1"/>
  <c r="PE53" i="1"/>
  <c r="PF53" i="1"/>
  <c r="PG53" i="1"/>
  <c r="PH53" i="1"/>
  <c r="PI53" i="1"/>
  <c r="PJ53" i="1"/>
  <c r="PK53" i="1"/>
  <c r="PL53" i="1"/>
  <c r="PM53" i="1"/>
  <c r="PN53" i="1"/>
  <c r="PO53" i="1"/>
  <c r="PQ53" i="1"/>
  <c r="PR53" i="1"/>
  <c r="PT53" i="1"/>
  <c r="PU53" i="1"/>
  <c r="PZ53" i="1"/>
  <c r="QA53" i="1"/>
  <c r="QB53" i="1"/>
  <c r="QC53" i="1"/>
  <c r="QD53" i="1"/>
  <c r="QE53" i="1"/>
  <c r="QF53" i="1"/>
  <c r="QG53" i="1"/>
  <c r="QH53" i="1"/>
  <c r="QI53" i="1"/>
  <c r="QJ53" i="1"/>
  <c r="QK53" i="1"/>
  <c r="QL53" i="1"/>
  <c r="QM53" i="1"/>
  <c r="QN53" i="1"/>
  <c r="QO53" i="1"/>
  <c r="QP53" i="1"/>
  <c r="QQ53" i="1"/>
  <c r="QR53" i="1"/>
  <c r="QS53" i="1"/>
  <c r="QT53" i="1"/>
  <c r="QU53" i="1"/>
  <c r="QV53" i="1"/>
  <c r="QW53" i="1"/>
  <c r="QX53" i="1"/>
  <c r="I73" i="1"/>
  <c r="J73" i="1"/>
  <c r="K73" i="1"/>
  <c r="MM73" i="1"/>
  <c r="MN73" i="1"/>
  <c r="MO73" i="1"/>
  <c r="MP73" i="1"/>
  <c r="MQ73" i="1"/>
  <c r="MR73" i="1"/>
  <c r="MS73" i="1"/>
  <c r="MT73" i="1"/>
  <c r="MW73" i="1"/>
  <c r="MX73" i="1"/>
  <c r="MY73" i="1"/>
  <c r="MZ73" i="1"/>
  <c r="NA73" i="1"/>
  <c r="NB73" i="1"/>
  <c r="NE73" i="1"/>
  <c r="NF73" i="1"/>
  <c r="NC73" i="1"/>
  <c r="ND73" i="1"/>
  <c r="NG73" i="1"/>
  <c r="NH73" i="1"/>
  <c r="NI73" i="1"/>
  <c r="NJ73" i="1"/>
  <c r="NK73" i="1"/>
  <c r="NL73" i="1"/>
  <c r="NM73" i="1"/>
  <c r="NN73" i="1"/>
  <c r="NO73" i="1"/>
  <c r="NP73" i="1"/>
  <c r="NQ73" i="1"/>
  <c r="NR73" i="1"/>
  <c r="NS73" i="1"/>
  <c r="NT73" i="1"/>
  <c r="NU73" i="1"/>
  <c r="NV73" i="1"/>
  <c r="NW73" i="1"/>
  <c r="NX73" i="1"/>
  <c r="NY73" i="1"/>
  <c r="NZ73" i="1"/>
  <c r="OA73" i="1"/>
  <c r="OB73" i="1"/>
  <c r="OC73" i="1"/>
  <c r="OD73" i="1"/>
  <c r="OE73" i="1"/>
  <c r="OF73" i="1"/>
  <c r="OG73" i="1"/>
  <c r="OH73" i="1"/>
  <c r="OI73" i="1"/>
  <c r="OJ73" i="1"/>
  <c r="OM73" i="1"/>
  <c r="ON73" i="1"/>
  <c r="OO73" i="1"/>
  <c r="OP73" i="1"/>
  <c r="OQ73" i="1"/>
  <c r="OR73" i="1"/>
  <c r="OS73" i="1"/>
  <c r="OT73" i="1"/>
  <c r="OU73" i="1"/>
  <c r="OV73" i="1"/>
  <c r="OW73" i="1"/>
  <c r="OX73" i="1"/>
  <c r="OY73" i="1"/>
  <c r="PA73" i="1"/>
  <c r="PC73" i="1"/>
  <c r="PD73" i="1"/>
  <c r="PB73" i="1"/>
  <c r="PE73" i="1"/>
  <c r="PF73" i="1"/>
  <c r="PG73" i="1"/>
  <c r="PH73" i="1"/>
  <c r="PI73" i="1"/>
  <c r="PJ73" i="1"/>
  <c r="PK73" i="1"/>
  <c r="PL73" i="1"/>
  <c r="PM73" i="1"/>
  <c r="PN73" i="1"/>
  <c r="PO73" i="1"/>
  <c r="PQ73" i="1"/>
  <c r="PR73" i="1"/>
  <c r="PT73" i="1"/>
  <c r="PU73" i="1"/>
  <c r="PZ73" i="1"/>
  <c r="QA73" i="1"/>
  <c r="QB73" i="1"/>
  <c r="QC73" i="1"/>
  <c r="QD73" i="1"/>
  <c r="QE73" i="1"/>
  <c r="QF73" i="1"/>
  <c r="QG73" i="1"/>
  <c r="QH73" i="1"/>
  <c r="QI73" i="1"/>
  <c r="QJ73" i="1"/>
  <c r="QK73" i="1"/>
  <c r="QL73" i="1"/>
  <c r="QM73" i="1"/>
  <c r="QN73" i="1"/>
  <c r="QO73" i="1"/>
  <c r="QP73" i="1"/>
  <c r="QQ73" i="1"/>
  <c r="QR73" i="1"/>
  <c r="QS73" i="1"/>
  <c r="QT73" i="1"/>
  <c r="QU73" i="1"/>
  <c r="QV73" i="1"/>
  <c r="QW73" i="1"/>
  <c r="QX73" i="1"/>
  <c r="I111" i="1"/>
  <c r="J111" i="1"/>
  <c r="K111" i="1"/>
  <c r="MM111" i="1"/>
  <c r="MN111" i="1"/>
  <c r="MO111" i="1"/>
  <c r="MP111" i="1"/>
  <c r="MQ111" i="1"/>
  <c r="MR111" i="1"/>
  <c r="MS111" i="1"/>
  <c r="MT111" i="1"/>
  <c r="MW111" i="1"/>
  <c r="MX111" i="1"/>
  <c r="MY111" i="1"/>
  <c r="MZ111" i="1"/>
  <c r="NA111" i="1"/>
  <c r="NB111" i="1"/>
  <c r="NE111" i="1"/>
  <c r="NF111" i="1"/>
  <c r="NC111" i="1"/>
  <c r="ND111" i="1"/>
  <c r="NG111" i="1"/>
  <c r="NH111" i="1"/>
  <c r="NI111" i="1"/>
  <c r="NJ111" i="1"/>
  <c r="NK111" i="1"/>
  <c r="NL111" i="1"/>
  <c r="NM111" i="1"/>
  <c r="NN111" i="1"/>
  <c r="NO111" i="1"/>
  <c r="NP111" i="1"/>
  <c r="NQ111" i="1"/>
  <c r="NR111" i="1"/>
  <c r="NS111" i="1"/>
  <c r="NT111" i="1"/>
  <c r="NU111" i="1"/>
  <c r="NV111" i="1"/>
  <c r="NW111" i="1"/>
  <c r="NX111" i="1"/>
  <c r="NY111" i="1"/>
  <c r="NZ111" i="1"/>
  <c r="OA111" i="1"/>
  <c r="OB111" i="1"/>
  <c r="OC111" i="1"/>
  <c r="OD111" i="1"/>
  <c r="OE111" i="1"/>
  <c r="OF111" i="1"/>
  <c r="OG111" i="1"/>
  <c r="OH111" i="1"/>
  <c r="OI111" i="1"/>
  <c r="OJ111" i="1"/>
  <c r="OM111" i="1"/>
  <c r="ON111" i="1"/>
  <c r="OO111" i="1"/>
  <c r="OP111" i="1"/>
  <c r="OQ111" i="1"/>
  <c r="OR111" i="1"/>
  <c r="OS111" i="1"/>
  <c r="OT111" i="1"/>
  <c r="OU111" i="1"/>
  <c r="OV111" i="1"/>
  <c r="OW111" i="1"/>
  <c r="OX111" i="1"/>
  <c r="OY111" i="1"/>
  <c r="PA111" i="1"/>
  <c r="PC111" i="1"/>
  <c r="PD111" i="1"/>
  <c r="PB111" i="1"/>
  <c r="PE111" i="1"/>
  <c r="PF111" i="1"/>
  <c r="PG111" i="1"/>
  <c r="PH111" i="1"/>
  <c r="PI111" i="1"/>
  <c r="PJ111" i="1"/>
  <c r="PK111" i="1"/>
  <c r="PL111" i="1"/>
  <c r="PM111" i="1"/>
  <c r="PN111" i="1"/>
  <c r="PO111" i="1"/>
  <c r="PQ111" i="1"/>
  <c r="PR111" i="1"/>
  <c r="PT111" i="1"/>
  <c r="PU111" i="1"/>
  <c r="PZ111" i="1"/>
  <c r="QA111" i="1"/>
  <c r="QB111" i="1"/>
  <c r="QC111" i="1"/>
  <c r="QD111" i="1"/>
  <c r="QE111" i="1"/>
  <c r="QF111" i="1"/>
  <c r="QG111" i="1"/>
  <c r="QH111" i="1"/>
  <c r="QI111" i="1"/>
  <c r="QJ111" i="1"/>
  <c r="QK111" i="1"/>
  <c r="QL111" i="1"/>
  <c r="QM111" i="1"/>
  <c r="QN111" i="1"/>
  <c r="QO111" i="1"/>
  <c r="QP111" i="1"/>
  <c r="QQ111" i="1"/>
  <c r="QR111" i="1"/>
  <c r="QS111" i="1"/>
  <c r="QT111" i="1"/>
  <c r="QU111" i="1"/>
  <c r="QV111" i="1"/>
  <c r="QW111" i="1"/>
  <c r="QX111" i="1"/>
  <c r="I175" i="1"/>
  <c r="J175" i="1"/>
  <c r="K175" i="1"/>
  <c r="MM175" i="1"/>
  <c r="MN175" i="1"/>
  <c r="MO175" i="1"/>
  <c r="MP175" i="1"/>
  <c r="MQ175" i="1"/>
  <c r="MR175" i="1"/>
  <c r="MS175" i="1"/>
  <c r="MT175" i="1"/>
  <c r="MW175" i="1"/>
  <c r="MX175" i="1"/>
  <c r="MY175" i="1"/>
  <c r="MZ175" i="1"/>
  <c r="NA175" i="1"/>
  <c r="NB175" i="1"/>
  <c r="NE175" i="1"/>
  <c r="NF175" i="1"/>
  <c r="NC175" i="1"/>
  <c r="ND175" i="1"/>
  <c r="NG175" i="1"/>
  <c r="NH175" i="1"/>
  <c r="NI175" i="1"/>
  <c r="NJ175" i="1"/>
  <c r="NK175" i="1"/>
  <c r="NL175" i="1"/>
  <c r="NM175" i="1"/>
  <c r="NN175" i="1"/>
  <c r="NO175" i="1"/>
  <c r="NP175" i="1"/>
  <c r="NQ175" i="1"/>
  <c r="NR175" i="1"/>
  <c r="NS175" i="1"/>
  <c r="NT175" i="1"/>
  <c r="NU175" i="1"/>
  <c r="NV175" i="1"/>
  <c r="NW175" i="1"/>
  <c r="NX175" i="1"/>
  <c r="NY175" i="1"/>
  <c r="NZ175" i="1"/>
  <c r="OA175" i="1"/>
  <c r="OB175" i="1"/>
  <c r="OC175" i="1"/>
  <c r="OD175" i="1"/>
  <c r="OE175" i="1"/>
  <c r="OF175" i="1"/>
  <c r="OG175" i="1"/>
  <c r="OH175" i="1"/>
  <c r="OI175" i="1"/>
  <c r="OJ175" i="1"/>
  <c r="OM175" i="1"/>
  <c r="ON175" i="1"/>
  <c r="OO175" i="1"/>
  <c r="OP175" i="1"/>
  <c r="OQ175" i="1"/>
  <c r="OR175" i="1"/>
  <c r="OS175" i="1"/>
  <c r="OT175" i="1"/>
  <c r="OU175" i="1"/>
  <c r="OV175" i="1"/>
  <c r="OW175" i="1"/>
  <c r="OX175" i="1"/>
  <c r="OY175" i="1"/>
  <c r="PA175" i="1"/>
  <c r="PC175" i="1"/>
  <c r="PD175" i="1"/>
  <c r="PB175" i="1"/>
  <c r="BH169" i="148" s="1"/>
  <c r="PE175" i="1"/>
  <c r="PF175" i="1"/>
  <c r="PG175" i="1"/>
  <c r="PH175" i="1"/>
  <c r="PI175" i="1"/>
  <c r="PJ175" i="1"/>
  <c r="PK175" i="1"/>
  <c r="PL175" i="1"/>
  <c r="PM175" i="1"/>
  <c r="PN175" i="1"/>
  <c r="PO175" i="1"/>
  <c r="PQ175" i="1"/>
  <c r="PR175" i="1"/>
  <c r="PT175" i="1"/>
  <c r="PU175" i="1"/>
  <c r="PZ175" i="1"/>
  <c r="QA175" i="1"/>
  <c r="QB175" i="1"/>
  <c r="QC175" i="1"/>
  <c r="QD175" i="1"/>
  <c r="QE175" i="1"/>
  <c r="QF175" i="1"/>
  <c r="QG175" i="1"/>
  <c r="QH175" i="1"/>
  <c r="QI175" i="1"/>
  <c r="QJ175" i="1"/>
  <c r="QK175" i="1"/>
  <c r="QL175" i="1"/>
  <c r="QM175" i="1"/>
  <c r="QN175" i="1"/>
  <c r="QO175" i="1"/>
  <c r="QP175" i="1"/>
  <c r="QQ175" i="1"/>
  <c r="QR175" i="1"/>
  <c r="QS175" i="1"/>
  <c r="QT175" i="1"/>
  <c r="QU175" i="1"/>
  <c r="QV175" i="1"/>
  <c r="QW175" i="1"/>
  <c r="QX175" i="1"/>
  <c r="I51" i="1"/>
  <c r="J51" i="1"/>
  <c r="K51" i="1"/>
  <c r="MM51" i="1"/>
  <c r="MN51" i="1"/>
  <c r="MO51" i="1"/>
  <c r="MP51" i="1"/>
  <c r="MQ51" i="1"/>
  <c r="MR51" i="1"/>
  <c r="MS51" i="1"/>
  <c r="MT51" i="1"/>
  <c r="MW51" i="1"/>
  <c r="MX51" i="1"/>
  <c r="MY51" i="1"/>
  <c r="MZ51" i="1"/>
  <c r="NA51" i="1"/>
  <c r="NB51" i="1"/>
  <c r="NE51" i="1"/>
  <c r="NF51" i="1"/>
  <c r="NC51" i="1"/>
  <c r="ND51" i="1"/>
  <c r="NG51" i="1"/>
  <c r="NH51" i="1"/>
  <c r="NI51" i="1"/>
  <c r="NJ51" i="1"/>
  <c r="NK51" i="1"/>
  <c r="NL51" i="1"/>
  <c r="NM51" i="1"/>
  <c r="NN51" i="1"/>
  <c r="NO51" i="1"/>
  <c r="NP51" i="1"/>
  <c r="NQ51" i="1"/>
  <c r="NR51" i="1"/>
  <c r="NS51" i="1"/>
  <c r="NT51" i="1"/>
  <c r="NU51" i="1"/>
  <c r="NV51" i="1"/>
  <c r="NW51" i="1"/>
  <c r="NX51" i="1"/>
  <c r="NY51" i="1"/>
  <c r="NZ51" i="1"/>
  <c r="OA51" i="1"/>
  <c r="OB51" i="1"/>
  <c r="OC51" i="1"/>
  <c r="OD51" i="1"/>
  <c r="OE51" i="1"/>
  <c r="OF51" i="1"/>
  <c r="OG51" i="1"/>
  <c r="OH51" i="1"/>
  <c r="OI51" i="1"/>
  <c r="OJ51" i="1"/>
  <c r="OM51" i="1"/>
  <c r="ON51" i="1"/>
  <c r="OO51" i="1"/>
  <c r="OP51" i="1"/>
  <c r="OQ51" i="1"/>
  <c r="OR51" i="1"/>
  <c r="OS51" i="1"/>
  <c r="OT51" i="1"/>
  <c r="OU51" i="1"/>
  <c r="OV51" i="1"/>
  <c r="OW51" i="1"/>
  <c r="OX51" i="1"/>
  <c r="OY51" i="1"/>
  <c r="PA51" i="1"/>
  <c r="PC51" i="1"/>
  <c r="PD51" i="1"/>
  <c r="PB51" i="1"/>
  <c r="BH51" i="148" s="1"/>
  <c r="PE51" i="1"/>
  <c r="PF51" i="1"/>
  <c r="PG51" i="1"/>
  <c r="PH51" i="1"/>
  <c r="PI51" i="1"/>
  <c r="PJ51" i="1"/>
  <c r="PK51" i="1"/>
  <c r="PL51" i="1"/>
  <c r="PM51" i="1"/>
  <c r="PN51" i="1"/>
  <c r="PO51" i="1"/>
  <c r="PQ51" i="1"/>
  <c r="PR51" i="1"/>
  <c r="PT51" i="1"/>
  <c r="PU51" i="1"/>
  <c r="PZ51" i="1"/>
  <c r="QA51" i="1"/>
  <c r="QB51" i="1"/>
  <c r="QC51" i="1"/>
  <c r="QD51" i="1"/>
  <c r="QE51" i="1"/>
  <c r="QF51" i="1"/>
  <c r="QG51" i="1"/>
  <c r="QH51" i="1"/>
  <c r="QI51" i="1"/>
  <c r="QJ51" i="1"/>
  <c r="QK51" i="1"/>
  <c r="QL51" i="1"/>
  <c r="QM51" i="1"/>
  <c r="QN51" i="1"/>
  <c r="QO51" i="1"/>
  <c r="QP51" i="1"/>
  <c r="QQ51" i="1"/>
  <c r="QR51" i="1"/>
  <c r="QS51" i="1"/>
  <c r="QT51" i="1"/>
  <c r="QU51" i="1"/>
  <c r="QV51" i="1"/>
  <c r="QW51" i="1"/>
  <c r="QX51" i="1"/>
  <c r="I83" i="1"/>
  <c r="J83" i="1"/>
  <c r="K83" i="1"/>
  <c r="MM83" i="1"/>
  <c r="MN83" i="1"/>
  <c r="MO83" i="1"/>
  <c r="MP83" i="1"/>
  <c r="MQ83" i="1"/>
  <c r="MR83" i="1"/>
  <c r="MS83" i="1"/>
  <c r="MT83" i="1"/>
  <c r="MW83" i="1"/>
  <c r="MX83" i="1"/>
  <c r="MY83" i="1"/>
  <c r="MZ83" i="1"/>
  <c r="NA83" i="1"/>
  <c r="NB83" i="1"/>
  <c r="NE83" i="1"/>
  <c r="NF83" i="1"/>
  <c r="NC83" i="1"/>
  <c r="ND83" i="1"/>
  <c r="NG83" i="1"/>
  <c r="NH83" i="1"/>
  <c r="NI83" i="1"/>
  <c r="NJ83" i="1"/>
  <c r="NK83" i="1"/>
  <c r="NL83" i="1"/>
  <c r="NM83" i="1"/>
  <c r="NN83" i="1"/>
  <c r="NO83" i="1"/>
  <c r="NP83" i="1"/>
  <c r="NQ83" i="1"/>
  <c r="NR83" i="1"/>
  <c r="NS83" i="1"/>
  <c r="NT83" i="1"/>
  <c r="NU83" i="1"/>
  <c r="NV83" i="1"/>
  <c r="NW83" i="1"/>
  <c r="NX83" i="1"/>
  <c r="NY83" i="1"/>
  <c r="NZ83" i="1"/>
  <c r="OA83" i="1"/>
  <c r="OB83" i="1"/>
  <c r="OC83" i="1"/>
  <c r="OD83" i="1"/>
  <c r="OE83" i="1"/>
  <c r="OF83" i="1"/>
  <c r="OG83" i="1"/>
  <c r="OH83" i="1"/>
  <c r="OI83" i="1"/>
  <c r="OJ83" i="1"/>
  <c r="OM83" i="1"/>
  <c r="ON83" i="1"/>
  <c r="OO83" i="1"/>
  <c r="OP83" i="1"/>
  <c r="OQ83" i="1"/>
  <c r="OR83" i="1"/>
  <c r="OS83" i="1"/>
  <c r="OT83" i="1"/>
  <c r="OU83" i="1"/>
  <c r="OV83" i="1"/>
  <c r="OW83" i="1"/>
  <c r="OX83" i="1"/>
  <c r="OY83" i="1"/>
  <c r="PA83" i="1"/>
  <c r="PC83" i="1"/>
  <c r="PD83" i="1"/>
  <c r="PB83" i="1"/>
  <c r="PE83" i="1"/>
  <c r="PF83" i="1"/>
  <c r="PG83" i="1"/>
  <c r="PH83" i="1"/>
  <c r="PI83" i="1"/>
  <c r="PJ83" i="1"/>
  <c r="PK83" i="1"/>
  <c r="PL83" i="1"/>
  <c r="PM83" i="1"/>
  <c r="PN83" i="1"/>
  <c r="PO83" i="1"/>
  <c r="PQ83" i="1"/>
  <c r="PR83" i="1"/>
  <c r="PT83" i="1"/>
  <c r="PU83" i="1"/>
  <c r="PZ83" i="1"/>
  <c r="QA83" i="1"/>
  <c r="QB83" i="1"/>
  <c r="QC83" i="1"/>
  <c r="QD83" i="1"/>
  <c r="QE83" i="1"/>
  <c r="QF83" i="1"/>
  <c r="QG83" i="1"/>
  <c r="QH83" i="1"/>
  <c r="QI83" i="1"/>
  <c r="QJ83" i="1"/>
  <c r="QK83" i="1"/>
  <c r="QL83" i="1"/>
  <c r="QM83" i="1"/>
  <c r="QN83" i="1"/>
  <c r="QO83" i="1"/>
  <c r="QP83" i="1"/>
  <c r="QQ83" i="1"/>
  <c r="QR83" i="1"/>
  <c r="QS83" i="1"/>
  <c r="QT83" i="1"/>
  <c r="QU83" i="1"/>
  <c r="QV83" i="1"/>
  <c r="QW83" i="1"/>
  <c r="QX83" i="1"/>
  <c r="I55" i="1"/>
  <c r="J55" i="1"/>
  <c r="K55" i="1"/>
  <c r="MM55" i="1"/>
  <c r="MN55" i="1"/>
  <c r="MO55" i="1"/>
  <c r="MP55" i="1"/>
  <c r="MQ55" i="1"/>
  <c r="MR55" i="1"/>
  <c r="MS55" i="1"/>
  <c r="MT55" i="1"/>
  <c r="MW55" i="1"/>
  <c r="MX55" i="1"/>
  <c r="MY55" i="1"/>
  <c r="MZ55" i="1"/>
  <c r="NA55" i="1"/>
  <c r="NB55" i="1"/>
  <c r="NE55" i="1"/>
  <c r="NF55" i="1"/>
  <c r="NC55" i="1"/>
  <c r="ND55" i="1"/>
  <c r="NG55" i="1"/>
  <c r="NH55" i="1"/>
  <c r="NI55" i="1"/>
  <c r="NJ55" i="1"/>
  <c r="NK55" i="1"/>
  <c r="NL55" i="1"/>
  <c r="NM55" i="1"/>
  <c r="NN55" i="1"/>
  <c r="NO55" i="1"/>
  <c r="NP55" i="1"/>
  <c r="NQ55" i="1"/>
  <c r="NR55" i="1"/>
  <c r="NS55" i="1"/>
  <c r="NT55" i="1"/>
  <c r="NU55" i="1"/>
  <c r="NV55" i="1"/>
  <c r="NW55" i="1"/>
  <c r="NX55" i="1"/>
  <c r="NY55" i="1"/>
  <c r="NZ55" i="1"/>
  <c r="OA55" i="1"/>
  <c r="OB55" i="1"/>
  <c r="OC55" i="1"/>
  <c r="OD55" i="1"/>
  <c r="OE55" i="1"/>
  <c r="OF55" i="1"/>
  <c r="OG55" i="1"/>
  <c r="OH55" i="1"/>
  <c r="OI55" i="1"/>
  <c r="OJ55" i="1"/>
  <c r="OM55" i="1"/>
  <c r="ON55" i="1"/>
  <c r="OO55" i="1"/>
  <c r="OP55" i="1"/>
  <c r="OQ55" i="1"/>
  <c r="OR55" i="1"/>
  <c r="OS55" i="1"/>
  <c r="OT55" i="1"/>
  <c r="OU55" i="1"/>
  <c r="OV55" i="1"/>
  <c r="OW55" i="1"/>
  <c r="OX55" i="1"/>
  <c r="OY55" i="1"/>
  <c r="PA55" i="1"/>
  <c r="PC55" i="1"/>
  <c r="PD55" i="1"/>
  <c r="PB55" i="1"/>
  <c r="BH53" i="148" s="1"/>
  <c r="PE55" i="1"/>
  <c r="PF55" i="1"/>
  <c r="PG55" i="1"/>
  <c r="PH55" i="1"/>
  <c r="PI55" i="1"/>
  <c r="PJ55" i="1"/>
  <c r="PK55" i="1"/>
  <c r="PL55" i="1"/>
  <c r="PM55" i="1"/>
  <c r="PN55" i="1"/>
  <c r="PO55" i="1"/>
  <c r="PQ55" i="1"/>
  <c r="PR55" i="1"/>
  <c r="PT55" i="1"/>
  <c r="PU55" i="1"/>
  <c r="PZ55" i="1"/>
  <c r="QA55" i="1"/>
  <c r="QB55" i="1"/>
  <c r="QC55" i="1"/>
  <c r="QD55" i="1"/>
  <c r="QE55" i="1"/>
  <c r="QF55" i="1"/>
  <c r="QG55" i="1"/>
  <c r="QH55" i="1"/>
  <c r="QI55" i="1"/>
  <c r="QJ55" i="1"/>
  <c r="QK55" i="1"/>
  <c r="QL55" i="1"/>
  <c r="QM55" i="1"/>
  <c r="QN55" i="1"/>
  <c r="QO55" i="1"/>
  <c r="QP55" i="1"/>
  <c r="QQ55" i="1"/>
  <c r="QR55" i="1"/>
  <c r="QS55" i="1"/>
  <c r="QT55" i="1"/>
  <c r="QU55" i="1"/>
  <c r="QV55" i="1"/>
  <c r="QW55" i="1"/>
  <c r="QX55" i="1"/>
  <c r="I157" i="1"/>
  <c r="J157" i="1"/>
  <c r="K157" i="1"/>
  <c r="MM157" i="1"/>
  <c r="MN157" i="1"/>
  <c r="MO157" i="1"/>
  <c r="MP157" i="1"/>
  <c r="MQ157" i="1"/>
  <c r="MR157" i="1"/>
  <c r="MS157" i="1"/>
  <c r="MT157" i="1"/>
  <c r="MW157" i="1"/>
  <c r="MX157" i="1"/>
  <c r="MY157" i="1"/>
  <c r="MZ157" i="1"/>
  <c r="NA157" i="1"/>
  <c r="NB157" i="1"/>
  <c r="NE157" i="1"/>
  <c r="NF157" i="1"/>
  <c r="NC157" i="1"/>
  <c r="ND157" i="1"/>
  <c r="NG157" i="1"/>
  <c r="NH157" i="1"/>
  <c r="NI157" i="1"/>
  <c r="NJ157" i="1"/>
  <c r="NK157" i="1"/>
  <c r="NL157" i="1"/>
  <c r="NM157" i="1"/>
  <c r="NN157" i="1"/>
  <c r="NO157" i="1"/>
  <c r="NP157" i="1"/>
  <c r="NQ157" i="1"/>
  <c r="NR157" i="1"/>
  <c r="NS157" i="1"/>
  <c r="NT157" i="1"/>
  <c r="NU157" i="1"/>
  <c r="NV157" i="1"/>
  <c r="NW157" i="1"/>
  <c r="NX157" i="1"/>
  <c r="NY157" i="1"/>
  <c r="NZ157" i="1"/>
  <c r="OA157" i="1"/>
  <c r="OB157" i="1"/>
  <c r="OC157" i="1"/>
  <c r="OD157" i="1"/>
  <c r="OE157" i="1"/>
  <c r="OF157" i="1"/>
  <c r="OG157" i="1"/>
  <c r="OH157" i="1"/>
  <c r="OI157" i="1"/>
  <c r="OJ157" i="1"/>
  <c r="OM157" i="1"/>
  <c r="ON157" i="1"/>
  <c r="OO157" i="1"/>
  <c r="OP157" i="1"/>
  <c r="OQ157" i="1"/>
  <c r="OR157" i="1"/>
  <c r="OS157" i="1"/>
  <c r="OT157" i="1"/>
  <c r="OU157" i="1"/>
  <c r="OV157" i="1"/>
  <c r="OW157" i="1"/>
  <c r="OX157" i="1"/>
  <c r="OY157" i="1"/>
  <c r="PA157" i="1"/>
  <c r="PC157" i="1"/>
  <c r="PD157" i="1"/>
  <c r="PB157" i="1"/>
  <c r="PE157" i="1"/>
  <c r="PF157" i="1"/>
  <c r="PG157" i="1"/>
  <c r="PH157" i="1"/>
  <c r="PI157" i="1"/>
  <c r="PJ157" i="1"/>
  <c r="PK157" i="1"/>
  <c r="PL157" i="1"/>
  <c r="PM157" i="1"/>
  <c r="PN157" i="1"/>
  <c r="PO157" i="1"/>
  <c r="PQ157" i="1"/>
  <c r="PR157" i="1"/>
  <c r="PT157" i="1"/>
  <c r="PU157" i="1"/>
  <c r="PZ157" i="1"/>
  <c r="QA157" i="1"/>
  <c r="QB157" i="1"/>
  <c r="QC157" i="1"/>
  <c r="QD157" i="1"/>
  <c r="QE157" i="1"/>
  <c r="QF157" i="1"/>
  <c r="QG157" i="1"/>
  <c r="QH157" i="1"/>
  <c r="QI157" i="1"/>
  <c r="QJ157" i="1"/>
  <c r="QK157" i="1"/>
  <c r="QL157" i="1"/>
  <c r="QM157" i="1"/>
  <c r="QN157" i="1"/>
  <c r="QO157" i="1"/>
  <c r="QP157" i="1"/>
  <c r="QQ157" i="1"/>
  <c r="QR157" i="1"/>
  <c r="QS157" i="1"/>
  <c r="QT157" i="1"/>
  <c r="QU157" i="1"/>
  <c r="QV157" i="1"/>
  <c r="QW157" i="1"/>
  <c r="QX157" i="1"/>
  <c r="I91" i="1"/>
  <c r="J91" i="1"/>
  <c r="K91" i="1"/>
  <c r="MM91" i="1"/>
  <c r="MN91" i="1"/>
  <c r="MO91" i="1"/>
  <c r="MP91" i="1"/>
  <c r="MQ91" i="1"/>
  <c r="MR91" i="1"/>
  <c r="MS91" i="1"/>
  <c r="MT91" i="1"/>
  <c r="MW91" i="1"/>
  <c r="MX91" i="1"/>
  <c r="MY91" i="1"/>
  <c r="MZ91" i="1"/>
  <c r="NA91" i="1"/>
  <c r="NB91" i="1"/>
  <c r="NE91" i="1"/>
  <c r="NF91" i="1"/>
  <c r="NC91" i="1"/>
  <c r="ND91" i="1"/>
  <c r="NG91" i="1"/>
  <c r="NH91" i="1"/>
  <c r="NI91" i="1"/>
  <c r="NJ91" i="1"/>
  <c r="NK91" i="1"/>
  <c r="NL91" i="1"/>
  <c r="NM91" i="1"/>
  <c r="NN91" i="1"/>
  <c r="NO91" i="1"/>
  <c r="NP91" i="1"/>
  <c r="NQ91" i="1"/>
  <c r="NR91" i="1"/>
  <c r="NS91" i="1"/>
  <c r="NT91" i="1"/>
  <c r="NU91" i="1"/>
  <c r="NV91" i="1"/>
  <c r="NW91" i="1"/>
  <c r="NX91" i="1"/>
  <c r="NY91" i="1"/>
  <c r="NZ91" i="1"/>
  <c r="OA91" i="1"/>
  <c r="OB91" i="1"/>
  <c r="OC91" i="1"/>
  <c r="OD91" i="1"/>
  <c r="OE91" i="1"/>
  <c r="OF91" i="1"/>
  <c r="OG91" i="1"/>
  <c r="OH91" i="1"/>
  <c r="OI91" i="1"/>
  <c r="OJ91" i="1"/>
  <c r="OM91" i="1"/>
  <c r="ON91" i="1"/>
  <c r="OO91" i="1"/>
  <c r="OP91" i="1"/>
  <c r="OQ91" i="1"/>
  <c r="OR91" i="1"/>
  <c r="OS91" i="1"/>
  <c r="OT91" i="1"/>
  <c r="OU91" i="1"/>
  <c r="OV91" i="1"/>
  <c r="OW91" i="1"/>
  <c r="OX91" i="1"/>
  <c r="OY91" i="1"/>
  <c r="PA91" i="1"/>
  <c r="PC91" i="1"/>
  <c r="PD91" i="1"/>
  <c r="PB91" i="1"/>
  <c r="PE91" i="1"/>
  <c r="PF91" i="1"/>
  <c r="PG91" i="1"/>
  <c r="PH91" i="1"/>
  <c r="PI91" i="1"/>
  <c r="PJ91" i="1"/>
  <c r="PK91" i="1"/>
  <c r="PL91" i="1"/>
  <c r="PM91" i="1"/>
  <c r="PN91" i="1"/>
  <c r="PO91" i="1"/>
  <c r="PQ91" i="1"/>
  <c r="PR91" i="1"/>
  <c r="PT91" i="1"/>
  <c r="PU91" i="1"/>
  <c r="PZ91" i="1"/>
  <c r="QA91" i="1"/>
  <c r="QB91" i="1"/>
  <c r="QC91" i="1"/>
  <c r="QD91" i="1"/>
  <c r="QE91" i="1"/>
  <c r="QF91" i="1"/>
  <c r="QG91" i="1"/>
  <c r="QH91" i="1"/>
  <c r="QI91" i="1"/>
  <c r="QJ91" i="1"/>
  <c r="QK91" i="1"/>
  <c r="QL91" i="1"/>
  <c r="QM91" i="1"/>
  <c r="QN91" i="1"/>
  <c r="QO91" i="1"/>
  <c r="QP91" i="1"/>
  <c r="QQ91" i="1"/>
  <c r="QR91" i="1"/>
  <c r="QS91" i="1"/>
  <c r="QT91" i="1"/>
  <c r="QU91" i="1"/>
  <c r="QV91" i="1"/>
  <c r="QW91" i="1"/>
  <c r="QX91" i="1"/>
  <c r="I158" i="1"/>
  <c r="J158" i="1"/>
  <c r="K158" i="1"/>
  <c r="MM158" i="1"/>
  <c r="MN158" i="1"/>
  <c r="MO158" i="1"/>
  <c r="MP158" i="1"/>
  <c r="MQ158" i="1"/>
  <c r="MR158" i="1"/>
  <c r="MS158" i="1"/>
  <c r="MT158" i="1"/>
  <c r="MW158" i="1"/>
  <c r="MX158" i="1"/>
  <c r="MY158" i="1"/>
  <c r="MZ158" i="1"/>
  <c r="NA158" i="1"/>
  <c r="NB158" i="1"/>
  <c r="NE158" i="1"/>
  <c r="NF158" i="1"/>
  <c r="NC158" i="1"/>
  <c r="ND158" i="1"/>
  <c r="NG158" i="1"/>
  <c r="NH158" i="1"/>
  <c r="NI158" i="1"/>
  <c r="NJ158" i="1"/>
  <c r="NK158" i="1"/>
  <c r="NL158" i="1"/>
  <c r="NM158" i="1"/>
  <c r="NN158" i="1"/>
  <c r="NO158" i="1"/>
  <c r="NP158" i="1"/>
  <c r="NQ158" i="1"/>
  <c r="NR158" i="1"/>
  <c r="NS158" i="1"/>
  <c r="NT158" i="1"/>
  <c r="NU158" i="1"/>
  <c r="NV158" i="1"/>
  <c r="NW158" i="1"/>
  <c r="NX158" i="1"/>
  <c r="NY158" i="1"/>
  <c r="NZ158" i="1"/>
  <c r="OA158" i="1"/>
  <c r="OB158" i="1"/>
  <c r="OC158" i="1"/>
  <c r="OD158" i="1"/>
  <c r="OE158" i="1"/>
  <c r="OF158" i="1"/>
  <c r="OG158" i="1"/>
  <c r="OH158" i="1"/>
  <c r="OI158" i="1"/>
  <c r="OJ158" i="1"/>
  <c r="OM158" i="1"/>
  <c r="ON158" i="1"/>
  <c r="OO158" i="1"/>
  <c r="OP158" i="1"/>
  <c r="OQ158" i="1"/>
  <c r="OR158" i="1"/>
  <c r="OS158" i="1"/>
  <c r="OT158" i="1"/>
  <c r="OU158" i="1"/>
  <c r="OV158" i="1"/>
  <c r="OW158" i="1"/>
  <c r="OX158" i="1"/>
  <c r="OY158" i="1"/>
  <c r="PA158" i="1"/>
  <c r="PC158" i="1"/>
  <c r="PD158" i="1"/>
  <c r="PB158" i="1"/>
  <c r="BH180" i="148" s="1"/>
  <c r="PE158" i="1"/>
  <c r="PF158" i="1"/>
  <c r="PG158" i="1"/>
  <c r="PH158" i="1"/>
  <c r="PI158" i="1"/>
  <c r="PJ158" i="1"/>
  <c r="PK158" i="1"/>
  <c r="PL158" i="1"/>
  <c r="PM158" i="1"/>
  <c r="PN158" i="1"/>
  <c r="PO158" i="1"/>
  <c r="PQ158" i="1"/>
  <c r="PR158" i="1"/>
  <c r="PT158" i="1"/>
  <c r="PU158" i="1"/>
  <c r="PZ158" i="1"/>
  <c r="QA158" i="1"/>
  <c r="QB158" i="1"/>
  <c r="QC158" i="1"/>
  <c r="QD158" i="1"/>
  <c r="QE158" i="1"/>
  <c r="QF158" i="1"/>
  <c r="QG158" i="1"/>
  <c r="QH158" i="1"/>
  <c r="QI158" i="1"/>
  <c r="QJ158" i="1"/>
  <c r="QK158" i="1"/>
  <c r="QL158" i="1"/>
  <c r="QM158" i="1"/>
  <c r="QN158" i="1"/>
  <c r="QO158" i="1"/>
  <c r="QP158" i="1"/>
  <c r="QQ158" i="1"/>
  <c r="QR158" i="1"/>
  <c r="QS158" i="1"/>
  <c r="QT158" i="1"/>
  <c r="QU158" i="1"/>
  <c r="QV158" i="1"/>
  <c r="QW158" i="1"/>
  <c r="QX158" i="1"/>
  <c r="I105" i="1"/>
  <c r="J105" i="1"/>
  <c r="K105" i="1"/>
  <c r="MM105" i="1"/>
  <c r="MN105" i="1"/>
  <c r="MO105" i="1"/>
  <c r="MP105" i="1"/>
  <c r="MQ105" i="1"/>
  <c r="MR105" i="1"/>
  <c r="MS105" i="1"/>
  <c r="MT105" i="1"/>
  <c r="MW105" i="1"/>
  <c r="MX105" i="1"/>
  <c r="MY105" i="1"/>
  <c r="MZ105" i="1"/>
  <c r="NA105" i="1"/>
  <c r="NB105" i="1"/>
  <c r="NE105" i="1"/>
  <c r="NF105" i="1"/>
  <c r="NC105" i="1"/>
  <c r="ND105" i="1"/>
  <c r="NG105" i="1"/>
  <c r="NH105" i="1"/>
  <c r="NI105" i="1"/>
  <c r="NJ105" i="1"/>
  <c r="NK105" i="1"/>
  <c r="NL105" i="1"/>
  <c r="NM105" i="1"/>
  <c r="NN105" i="1"/>
  <c r="NO105" i="1"/>
  <c r="NP105" i="1"/>
  <c r="NQ105" i="1"/>
  <c r="NR105" i="1"/>
  <c r="NS105" i="1"/>
  <c r="NT105" i="1"/>
  <c r="NU105" i="1"/>
  <c r="NV105" i="1"/>
  <c r="NW105" i="1"/>
  <c r="NX105" i="1"/>
  <c r="NY105" i="1"/>
  <c r="NZ105" i="1"/>
  <c r="OA105" i="1"/>
  <c r="OB105" i="1"/>
  <c r="OC105" i="1"/>
  <c r="OD105" i="1"/>
  <c r="OE105" i="1"/>
  <c r="OF105" i="1"/>
  <c r="OG105" i="1"/>
  <c r="OH105" i="1"/>
  <c r="OI105" i="1"/>
  <c r="OJ105" i="1"/>
  <c r="OM105" i="1"/>
  <c r="ON105" i="1"/>
  <c r="OO105" i="1"/>
  <c r="OP105" i="1"/>
  <c r="OQ105" i="1"/>
  <c r="OR105" i="1"/>
  <c r="OS105" i="1"/>
  <c r="OT105" i="1"/>
  <c r="OU105" i="1"/>
  <c r="OV105" i="1"/>
  <c r="OW105" i="1"/>
  <c r="OX105" i="1"/>
  <c r="OY105" i="1"/>
  <c r="PA105" i="1"/>
  <c r="PC105" i="1"/>
  <c r="PD105" i="1"/>
  <c r="PB105" i="1"/>
  <c r="PE105" i="1"/>
  <c r="PF105" i="1"/>
  <c r="PG105" i="1"/>
  <c r="PH105" i="1"/>
  <c r="PI105" i="1"/>
  <c r="PJ105" i="1"/>
  <c r="PK105" i="1"/>
  <c r="PL105" i="1"/>
  <c r="PM105" i="1"/>
  <c r="PN105" i="1"/>
  <c r="PO105" i="1"/>
  <c r="PQ105" i="1"/>
  <c r="PR105" i="1"/>
  <c r="PT105" i="1"/>
  <c r="PU105" i="1"/>
  <c r="PZ105" i="1"/>
  <c r="QA105" i="1"/>
  <c r="QB105" i="1"/>
  <c r="QC105" i="1"/>
  <c r="QD105" i="1"/>
  <c r="QE105" i="1"/>
  <c r="QF105" i="1"/>
  <c r="QG105" i="1"/>
  <c r="QH105" i="1"/>
  <c r="QI105" i="1"/>
  <c r="QJ105" i="1"/>
  <c r="QK105" i="1"/>
  <c r="QL105" i="1"/>
  <c r="QM105" i="1"/>
  <c r="QN105" i="1"/>
  <c r="QO105" i="1"/>
  <c r="QP105" i="1"/>
  <c r="QQ105" i="1"/>
  <c r="QR105" i="1"/>
  <c r="QS105" i="1"/>
  <c r="QT105" i="1"/>
  <c r="QU105" i="1"/>
  <c r="QV105" i="1"/>
  <c r="QW105" i="1"/>
  <c r="QX105" i="1"/>
  <c r="I103" i="1"/>
  <c r="J103" i="1"/>
  <c r="K103" i="1"/>
  <c r="MM103" i="1"/>
  <c r="MN103" i="1"/>
  <c r="MO103" i="1"/>
  <c r="MP103" i="1"/>
  <c r="MQ103" i="1"/>
  <c r="MR103" i="1"/>
  <c r="MS103" i="1"/>
  <c r="MT103" i="1"/>
  <c r="MW103" i="1"/>
  <c r="MX103" i="1"/>
  <c r="MY103" i="1"/>
  <c r="MZ103" i="1"/>
  <c r="NA103" i="1"/>
  <c r="NB103" i="1"/>
  <c r="NE103" i="1"/>
  <c r="NF103" i="1"/>
  <c r="NC103" i="1"/>
  <c r="ND103" i="1"/>
  <c r="NG103" i="1"/>
  <c r="NH103" i="1"/>
  <c r="NI103" i="1"/>
  <c r="NJ103" i="1"/>
  <c r="NK103" i="1"/>
  <c r="NL103" i="1"/>
  <c r="NM103" i="1"/>
  <c r="NN103" i="1"/>
  <c r="NO103" i="1"/>
  <c r="NP103" i="1"/>
  <c r="NQ103" i="1"/>
  <c r="NR103" i="1"/>
  <c r="NS103" i="1"/>
  <c r="NT103" i="1"/>
  <c r="NU103" i="1"/>
  <c r="NV103" i="1"/>
  <c r="NW103" i="1"/>
  <c r="NX103" i="1"/>
  <c r="NY103" i="1"/>
  <c r="NZ103" i="1"/>
  <c r="OA103" i="1"/>
  <c r="OB103" i="1"/>
  <c r="OC103" i="1"/>
  <c r="OD103" i="1"/>
  <c r="OE103" i="1"/>
  <c r="OF103" i="1"/>
  <c r="OG103" i="1"/>
  <c r="OH103" i="1"/>
  <c r="OI103" i="1"/>
  <c r="OJ103" i="1"/>
  <c r="OM103" i="1"/>
  <c r="ON103" i="1"/>
  <c r="OO103" i="1"/>
  <c r="OP103" i="1"/>
  <c r="OQ103" i="1"/>
  <c r="OR103" i="1"/>
  <c r="OS103" i="1"/>
  <c r="OT103" i="1"/>
  <c r="OU103" i="1"/>
  <c r="OV103" i="1"/>
  <c r="OW103" i="1"/>
  <c r="OX103" i="1"/>
  <c r="OY103" i="1"/>
  <c r="PA103" i="1"/>
  <c r="PC103" i="1"/>
  <c r="PD103" i="1"/>
  <c r="PB103" i="1"/>
  <c r="PE103" i="1"/>
  <c r="PF103" i="1"/>
  <c r="PG103" i="1"/>
  <c r="PH103" i="1"/>
  <c r="PI103" i="1"/>
  <c r="PJ103" i="1"/>
  <c r="PK103" i="1"/>
  <c r="PL103" i="1"/>
  <c r="PM103" i="1"/>
  <c r="PN103" i="1"/>
  <c r="PO103" i="1"/>
  <c r="PQ103" i="1"/>
  <c r="PR103" i="1"/>
  <c r="PT103" i="1"/>
  <c r="PU103" i="1"/>
  <c r="PZ103" i="1"/>
  <c r="QA103" i="1"/>
  <c r="QB103" i="1"/>
  <c r="QC103" i="1"/>
  <c r="QD103" i="1"/>
  <c r="QE103" i="1"/>
  <c r="QF103" i="1"/>
  <c r="QG103" i="1"/>
  <c r="QH103" i="1"/>
  <c r="QI103" i="1"/>
  <c r="QJ103" i="1"/>
  <c r="QK103" i="1"/>
  <c r="QL103" i="1"/>
  <c r="QM103" i="1"/>
  <c r="QN103" i="1"/>
  <c r="QO103" i="1"/>
  <c r="QP103" i="1"/>
  <c r="QQ103" i="1"/>
  <c r="QR103" i="1"/>
  <c r="QS103" i="1"/>
  <c r="QT103" i="1"/>
  <c r="QU103" i="1"/>
  <c r="QV103" i="1"/>
  <c r="QW103" i="1"/>
  <c r="QX103" i="1"/>
  <c r="I188" i="1"/>
  <c r="J188" i="1"/>
  <c r="K188" i="1"/>
  <c r="MM188" i="1"/>
  <c r="MN188" i="1"/>
  <c r="MO188" i="1"/>
  <c r="MP188" i="1"/>
  <c r="MQ188" i="1"/>
  <c r="MR188" i="1"/>
  <c r="MS188" i="1"/>
  <c r="MT188" i="1"/>
  <c r="MW188" i="1"/>
  <c r="MX188" i="1"/>
  <c r="MY188" i="1"/>
  <c r="MZ188" i="1"/>
  <c r="NA188" i="1"/>
  <c r="NB188" i="1"/>
  <c r="NE188" i="1"/>
  <c r="NF188" i="1"/>
  <c r="NC188" i="1"/>
  <c r="ND188" i="1"/>
  <c r="NG188" i="1"/>
  <c r="NH188" i="1"/>
  <c r="NI188" i="1"/>
  <c r="NJ188" i="1"/>
  <c r="NK188" i="1"/>
  <c r="NL188" i="1"/>
  <c r="NM188" i="1"/>
  <c r="NN188" i="1"/>
  <c r="NO188" i="1"/>
  <c r="NP188" i="1"/>
  <c r="NQ188" i="1"/>
  <c r="NR188" i="1"/>
  <c r="NS188" i="1"/>
  <c r="NT188" i="1"/>
  <c r="NU188" i="1"/>
  <c r="NV188" i="1"/>
  <c r="NW188" i="1"/>
  <c r="NX188" i="1"/>
  <c r="NY188" i="1"/>
  <c r="NZ188" i="1"/>
  <c r="OA188" i="1"/>
  <c r="OB188" i="1"/>
  <c r="OC188" i="1"/>
  <c r="OD188" i="1"/>
  <c r="OE188" i="1"/>
  <c r="OF188" i="1"/>
  <c r="OG188" i="1"/>
  <c r="OH188" i="1"/>
  <c r="OI188" i="1"/>
  <c r="OJ188" i="1"/>
  <c r="OM188" i="1"/>
  <c r="ON188" i="1"/>
  <c r="OO188" i="1"/>
  <c r="OP188" i="1"/>
  <c r="OQ188" i="1"/>
  <c r="OR188" i="1"/>
  <c r="OS188" i="1"/>
  <c r="OT188" i="1"/>
  <c r="OU188" i="1"/>
  <c r="OV188" i="1"/>
  <c r="OW188" i="1"/>
  <c r="OX188" i="1"/>
  <c r="OY188" i="1"/>
  <c r="PA188" i="1"/>
  <c r="PC188" i="1"/>
  <c r="PD188" i="1"/>
  <c r="PB188" i="1"/>
  <c r="BH185" i="148" s="1"/>
  <c r="PE188" i="1"/>
  <c r="PF188" i="1"/>
  <c r="PG188" i="1"/>
  <c r="PH188" i="1"/>
  <c r="PI188" i="1"/>
  <c r="PJ188" i="1"/>
  <c r="PK188" i="1"/>
  <c r="PL188" i="1"/>
  <c r="PM188" i="1"/>
  <c r="PN188" i="1"/>
  <c r="PO188" i="1"/>
  <c r="PQ188" i="1"/>
  <c r="PR188" i="1"/>
  <c r="PT188" i="1"/>
  <c r="PU188" i="1"/>
  <c r="PZ188" i="1"/>
  <c r="QA188" i="1"/>
  <c r="QB188" i="1"/>
  <c r="QC188" i="1"/>
  <c r="QD188" i="1"/>
  <c r="QE188" i="1"/>
  <c r="QF188" i="1"/>
  <c r="QG188" i="1"/>
  <c r="QH188" i="1"/>
  <c r="QI188" i="1"/>
  <c r="QJ188" i="1"/>
  <c r="QK188" i="1"/>
  <c r="QL188" i="1"/>
  <c r="QM188" i="1"/>
  <c r="QN188" i="1"/>
  <c r="QO188" i="1"/>
  <c r="QP188" i="1"/>
  <c r="QQ188" i="1"/>
  <c r="QR188" i="1"/>
  <c r="QS188" i="1"/>
  <c r="QT188" i="1"/>
  <c r="QU188" i="1"/>
  <c r="QV188" i="1"/>
  <c r="QW188" i="1"/>
  <c r="QX188" i="1"/>
  <c r="I163" i="1"/>
  <c r="J163" i="1"/>
  <c r="K163" i="1"/>
  <c r="MM163" i="1"/>
  <c r="MN163" i="1"/>
  <c r="MO163" i="1"/>
  <c r="MP163" i="1"/>
  <c r="MQ163" i="1"/>
  <c r="MR163" i="1"/>
  <c r="MS163" i="1"/>
  <c r="MT163" i="1"/>
  <c r="MW163" i="1"/>
  <c r="MX163" i="1"/>
  <c r="MY163" i="1"/>
  <c r="MZ163" i="1"/>
  <c r="NA163" i="1"/>
  <c r="NB163" i="1"/>
  <c r="NE163" i="1"/>
  <c r="NF163" i="1"/>
  <c r="NC163" i="1"/>
  <c r="ND163" i="1"/>
  <c r="NG163" i="1"/>
  <c r="NH163" i="1"/>
  <c r="NI163" i="1"/>
  <c r="NJ163" i="1"/>
  <c r="NK163" i="1"/>
  <c r="NL163" i="1"/>
  <c r="NM163" i="1"/>
  <c r="NN163" i="1"/>
  <c r="NO163" i="1"/>
  <c r="NP163" i="1"/>
  <c r="NQ163" i="1"/>
  <c r="NR163" i="1"/>
  <c r="NS163" i="1"/>
  <c r="NT163" i="1"/>
  <c r="NU163" i="1"/>
  <c r="NV163" i="1"/>
  <c r="NW163" i="1"/>
  <c r="NX163" i="1"/>
  <c r="NY163" i="1"/>
  <c r="NZ163" i="1"/>
  <c r="OA163" i="1"/>
  <c r="OB163" i="1"/>
  <c r="OC163" i="1"/>
  <c r="OD163" i="1"/>
  <c r="OE163" i="1"/>
  <c r="OF163" i="1"/>
  <c r="OG163" i="1"/>
  <c r="OH163" i="1"/>
  <c r="OI163" i="1"/>
  <c r="OJ163" i="1"/>
  <c r="OM163" i="1"/>
  <c r="ON163" i="1"/>
  <c r="OO163" i="1"/>
  <c r="OP163" i="1"/>
  <c r="OQ163" i="1"/>
  <c r="OR163" i="1"/>
  <c r="OS163" i="1"/>
  <c r="OT163" i="1"/>
  <c r="OU163" i="1"/>
  <c r="OV163" i="1"/>
  <c r="OW163" i="1"/>
  <c r="OX163" i="1"/>
  <c r="OY163" i="1"/>
  <c r="PA163" i="1"/>
  <c r="PC163" i="1"/>
  <c r="PD163" i="1"/>
  <c r="PB163" i="1"/>
  <c r="PE163" i="1"/>
  <c r="PF163" i="1"/>
  <c r="PG163" i="1"/>
  <c r="PH163" i="1"/>
  <c r="PI163" i="1"/>
  <c r="PJ163" i="1"/>
  <c r="PK163" i="1"/>
  <c r="PL163" i="1"/>
  <c r="PM163" i="1"/>
  <c r="PN163" i="1"/>
  <c r="PO163" i="1"/>
  <c r="PQ163" i="1"/>
  <c r="PR163" i="1"/>
  <c r="PT163" i="1"/>
  <c r="PU163" i="1"/>
  <c r="PZ163" i="1"/>
  <c r="QA163" i="1"/>
  <c r="QB163" i="1"/>
  <c r="QC163" i="1"/>
  <c r="QD163" i="1"/>
  <c r="QE163" i="1"/>
  <c r="QF163" i="1"/>
  <c r="QG163" i="1"/>
  <c r="QH163" i="1"/>
  <c r="QI163" i="1"/>
  <c r="QJ163" i="1"/>
  <c r="QK163" i="1"/>
  <c r="QL163" i="1"/>
  <c r="QM163" i="1"/>
  <c r="QN163" i="1"/>
  <c r="QO163" i="1"/>
  <c r="QP163" i="1"/>
  <c r="QQ163" i="1"/>
  <c r="QR163" i="1"/>
  <c r="QS163" i="1"/>
  <c r="QT163" i="1"/>
  <c r="QU163" i="1"/>
  <c r="QV163" i="1"/>
  <c r="QW163" i="1"/>
  <c r="QX163" i="1"/>
  <c r="I101" i="1"/>
  <c r="J101" i="1"/>
  <c r="K101" i="1"/>
  <c r="MM101" i="1"/>
  <c r="MN101" i="1"/>
  <c r="MO101" i="1"/>
  <c r="MP101" i="1"/>
  <c r="MQ101" i="1"/>
  <c r="MR101" i="1"/>
  <c r="MS101" i="1"/>
  <c r="MT101" i="1"/>
  <c r="MW101" i="1"/>
  <c r="MX101" i="1"/>
  <c r="MY101" i="1"/>
  <c r="MZ101" i="1"/>
  <c r="NA101" i="1"/>
  <c r="NB101" i="1"/>
  <c r="NE101" i="1"/>
  <c r="NF101" i="1"/>
  <c r="NC101" i="1"/>
  <c r="ND101" i="1"/>
  <c r="NG101" i="1"/>
  <c r="NH101" i="1"/>
  <c r="NI101" i="1"/>
  <c r="NJ101" i="1"/>
  <c r="NK101" i="1"/>
  <c r="NL101" i="1"/>
  <c r="NM101" i="1"/>
  <c r="NN101" i="1"/>
  <c r="NO101" i="1"/>
  <c r="NP101" i="1"/>
  <c r="NQ101" i="1"/>
  <c r="NR101" i="1"/>
  <c r="NS101" i="1"/>
  <c r="NT101" i="1"/>
  <c r="NU101" i="1"/>
  <c r="NV101" i="1"/>
  <c r="NW101" i="1"/>
  <c r="NX101" i="1"/>
  <c r="NY101" i="1"/>
  <c r="NZ101" i="1"/>
  <c r="OA101" i="1"/>
  <c r="OB101" i="1"/>
  <c r="OC101" i="1"/>
  <c r="OD101" i="1"/>
  <c r="OE101" i="1"/>
  <c r="OF101" i="1"/>
  <c r="OG101" i="1"/>
  <c r="OH101" i="1"/>
  <c r="OI101" i="1"/>
  <c r="OJ101" i="1"/>
  <c r="OM101" i="1"/>
  <c r="ON101" i="1"/>
  <c r="OO101" i="1"/>
  <c r="OP101" i="1"/>
  <c r="OQ101" i="1"/>
  <c r="OR101" i="1"/>
  <c r="OS101" i="1"/>
  <c r="OT101" i="1"/>
  <c r="OU101" i="1"/>
  <c r="OV101" i="1"/>
  <c r="OW101" i="1"/>
  <c r="OX101" i="1"/>
  <c r="OY101" i="1"/>
  <c r="PA101" i="1"/>
  <c r="PC101" i="1"/>
  <c r="PD101" i="1"/>
  <c r="PB101" i="1"/>
  <c r="BH113" i="148" s="1"/>
  <c r="PE101" i="1"/>
  <c r="PF101" i="1"/>
  <c r="PG101" i="1"/>
  <c r="PH101" i="1"/>
  <c r="PI101" i="1"/>
  <c r="PJ101" i="1"/>
  <c r="PK101" i="1"/>
  <c r="PL101" i="1"/>
  <c r="PM101" i="1"/>
  <c r="PN101" i="1"/>
  <c r="PO101" i="1"/>
  <c r="PQ101" i="1"/>
  <c r="PR101" i="1"/>
  <c r="PT101" i="1"/>
  <c r="PU101" i="1"/>
  <c r="PZ101" i="1"/>
  <c r="QA101" i="1"/>
  <c r="QB101" i="1"/>
  <c r="QC101" i="1"/>
  <c r="QD101" i="1"/>
  <c r="QE101" i="1"/>
  <c r="QF101" i="1"/>
  <c r="QG101" i="1"/>
  <c r="QH101" i="1"/>
  <c r="QI101" i="1"/>
  <c r="QJ101" i="1"/>
  <c r="QK101" i="1"/>
  <c r="QL101" i="1"/>
  <c r="QM101" i="1"/>
  <c r="QN101" i="1"/>
  <c r="QO101" i="1"/>
  <c r="QP101" i="1"/>
  <c r="QQ101" i="1"/>
  <c r="QR101" i="1"/>
  <c r="QS101" i="1"/>
  <c r="QT101" i="1"/>
  <c r="QU101" i="1"/>
  <c r="QV101" i="1"/>
  <c r="QW101" i="1"/>
  <c r="QX101" i="1"/>
  <c r="I25" i="1"/>
  <c r="J25" i="1"/>
  <c r="K25" i="1"/>
  <c r="MM25" i="1"/>
  <c r="MN25" i="1"/>
  <c r="MO25" i="1"/>
  <c r="MP25" i="1"/>
  <c r="MQ25" i="1"/>
  <c r="MR25" i="1"/>
  <c r="MS25" i="1"/>
  <c r="MT25" i="1"/>
  <c r="MW25" i="1"/>
  <c r="MX25" i="1"/>
  <c r="MY25" i="1"/>
  <c r="MZ25" i="1"/>
  <c r="NA25" i="1"/>
  <c r="NB25" i="1"/>
  <c r="NE25" i="1"/>
  <c r="NF25" i="1"/>
  <c r="NC25" i="1"/>
  <c r="ND25" i="1"/>
  <c r="NG25" i="1"/>
  <c r="NH25" i="1"/>
  <c r="NI25" i="1"/>
  <c r="NJ25" i="1"/>
  <c r="NK25" i="1"/>
  <c r="NL25" i="1"/>
  <c r="NM25" i="1"/>
  <c r="NN25" i="1"/>
  <c r="NO25" i="1"/>
  <c r="NP25" i="1"/>
  <c r="NQ25" i="1"/>
  <c r="NR25" i="1"/>
  <c r="NS25" i="1"/>
  <c r="NT25" i="1"/>
  <c r="NU25" i="1"/>
  <c r="NV25" i="1"/>
  <c r="NW25" i="1"/>
  <c r="NX25" i="1"/>
  <c r="NY25" i="1"/>
  <c r="NZ25" i="1"/>
  <c r="OA25" i="1"/>
  <c r="OB25" i="1"/>
  <c r="OC25" i="1"/>
  <c r="OD25" i="1"/>
  <c r="OE25" i="1"/>
  <c r="OF25" i="1"/>
  <c r="OG25" i="1"/>
  <c r="OH25" i="1"/>
  <c r="OI25" i="1"/>
  <c r="OJ25" i="1"/>
  <c r="OM25" i="1"/>
  <c r="ON25" i="1"/>
  <c r="OO25" i="1"/>
  <c r="OP25" i="1"/>
  <c r="OQ25" i="1"/>
  <c r="OR25" i="1"/>
  <c r="OS25" i="1"/>
  <c r="OT25" i="1"/>
  <c r="OU25" i="1"/>
  <c r="OV25" i="1"/>
  <c r="OW25" i="1"/>
  <c r="OX25" i="1"/>
  <c r="OY25" i="1"/>
  <c r="PA25" i="1"/>
  <c r="PC25" i="1"/>
  <c r="PD25" i="1"/>
  <c r="PB25" i="1"/>
  <c r="PE25" i="1"/>
  <c r="PF25" i="1"/>
  <c r="PG25" i="1"/>
  <c r="PH25" i="1"/>
  <c r="PI25" i="1"/>
  <c r="PJ25" i="1"/>
  <c r="PK25" i="1"/>
  <c r="PL25" i="1"/>
  <c r="PM25" i="1"/>
  <c r="PN25" i="1"/>
  <c r="PO25" i="1"/>
  <c r="PQ25" i="1"/>
  <c r="PR25" i="1"/>
  <c r="PT25" i="1"/>
  <c r="PU25" i="1"/>
  <c r="PZ25" i="1"/>
  <c r="QA25" i="1"/>
  <c r="QB25" i="1"/>
  <c r="QC25" i="1"/>
  <c r="QD25" i="1"/>
  <c r="QE25" i="1"/>
  <c r="QF25" i="1"/>
  <c r="QG25" i="1"/>
  <c r="QH25" i="1"/>
  <c r="QI25" i="1"/>
  <c r="QJ25" i="1"/>
  <c r="QK25" i="1"/>
  <c r="QL25" i="1"/>
  <c r="QM25" i="1"/>
  <c r="QN25" i="1"/>
  <c r="QO25" i="1"/>
  <c r="QP25" i="1"/>
  <c r="QQ25" i="1"/>
  <c r="QR25" i="1"/>
  <c r="QS25" i="1"/>
  <c r="QT25" i="1"/>
  <c r="QU25" i="1"/>
  <c r="QV25" i="1"/>
  <c r="QW25" i="1"/>
  <c r="QX25" i="1"/>
  <c r="I120" i="1"/>
  <c r="J120" i="1"/>
  <c r="K120" i="1"/>
  <c r="MM120" i="1"/>
  <c r="MN120" i="1"/>
  <c r="MO120" i="1"/>
  <c r="MP120" i="1"/>
  <c r="MQ120" i="1"/>
  <c r="MR120" i="1"/>
  <c r="MS120" i="1"/>
  <c r="MT120" i="1"/>
  <c r="MW120" i="1"/>
  <c r="MX120" i="1"/>
  <c r="MY120" i="1"/>
  <c r="MZ120" i="1"/>
  <c r="NA120" i="1"/>
  <c r="NB120" i="1"/>
  <c r="NE120" i="1"/>
  <c r="NF120" i="1"/>
  <c r="NC120" i="1"/>
  <c r="ND120" i="1"/>
  <c r="NG120" i="1"/>
  <c r="NH120" i="1"/>
  <c r="NI120" i="1"/>
  <c r="NJ120" i="1"/>
  <c r="NK120" i="1"/>
  <c r="NL120" i="1"/>
  <c r="NM120" i="1"/>
  <c r="NN120" i="1"/>
  <c r="NO120" i="1"/>
  <c r="NP120" i="1"/>
  <c r="NQ120" i="1"/>
  <c r="NR120" i="1"/>
  <c r="NS120" i="1"/>
  <c r="NT120" i="1"/>
  <c r="NU120" i="1"/>
  <c r="NV120" i="1"/>
  <c r="NW120" i="1"/>
  <c r="NX120" i="1"/>
  <c r="NY120" i="1"/>
  <c r="NZ120" i="1"/>
  <c r="OA120" i="1"/>
  <c r="OB120" i="1"/>
  <c r="OC120" i="1"/>
  <c r="OD120" i="1"/>
  <c r="OE120" i="1"/>
  <c r="OF120" i="1"/>
  <c r="OG120" i="1"/>
  <c r="OH120" i="1"/>
  <c r="OI120" i="1"/>
  <c r="OJ120" i="1"/>
  <c r="OM120" i="1"/>
  <c r="ON120" i="1"/>
  <c r="OO120" i="1"/>
  <c r="OP120" i="1"/>
  <c r="OQ120" i="1"/>
  <c r="OR120" i="1"/>
  <c r="OS120" i="1"/>
  <c r="OT120" i="1"/>
  <c r="OU120" i="1"/>
  <c r="OV120" i="1"/>
  <c r="OW120" i="1"/>
  <c r="OX120" i="1"/>
  <c r="OY120" i="1"/>
  <c r="PA120" i="1"/>
  <c r="PC120" i="1"/>
  <c r="PD120" i="1"/>
  <c r="PB120" i="1"/>
  <c r="PE120" i="1"/>
  <c r="PF120" i="1"/>
  <c r="PG120" i="1"/>
  <c r="PH120" i="1"/>
  <c r="PI120" i="1"/>
  <c r="PJ120" i="1"/>
  <c r="PK120" i="1"/>
  <c r="PL120" i="1"/>
  <c r="PM120" i="1"/>
  <c r="PN120" i="1"/>
  <c r="PO120" i="1"/>
  <c r="PQ120" i="1"/>
  <c r="PR120" i="1"/>
  <c r="PT120" i="1"/>
  <c r="PU120" i="1"/>
  <c r="PZ120" i="1"/>
  <c r="QA120" i="1"/>
  <c r="QB120" i="1"/>
  <c r="QC120" i="1"/>
  <c r="QD120" i="1"/>
  <c r="QE120" i="1"/>
  <c r="QF120" i="1"/>
  <c r="QG120" i="1"/>
  <c r="QH120" i="1"/>
  <c r="QI120" i="1"/>
  <c r="QJ120" i="1"/>
  <c r="QK120" i="1"/>
  <c r="QL120" i="1"/>
  <c r="QM120" i="1"/>
  <c r="QN120" i="1"/>
  <c r="QO120" i="1"/>
  <c r="QP120" i="1"/>
  <c r="QQ120" i="1"/>
  <c r="QR120" i="1"/>
  <c r="QS120" i="1"/>
  <c r="QT120" i="1"/>
  <c r="QU120" i="1"/>
  <c r="QV120" i="1"/>
  <c r="QW120" i="1"/>
  <c r="QX120" i="1"/>
  <c r="I42" i="1"/>
  <c r="J42" i="1"/>
  <c r="K42" i="1"/>
  <c r="MM42" i="1"/>
  <c r="MN42" i="1"/>
  <c r="MO42" i="1"/>
  <c r="MP42" i="1"/>
  <c r="MQ42" i="1"/>
  <c r="MR42" i="1"/>
  <c r="MS42" i="1"/>
  <c r="MT42" i="1"/>
  <c r="MW42" i="1"/>
  <c r="MX42" i="1"/>
  <c r="MY42" i="1"/>
  <c r="MZ42" i="1"/>
  <c r="NA42" i="1"/>
  <c r="NB42" i="1"/>
  <c r="NE42" i="1"/>
  <c r="NF42" i="1"/>
  <c r="NC42" i="1"/>
  <c r="ND42" i="1"/>
  <c r="NG42" i="1"/>
  <c r="NH42" i="1"/>
  <c r="NI42" i="1"/>
  <c r="NJ42" i="1"/>
  <c r="NK42" i="1"/>
  <c r="NL42" i="1"/>
  <c r="NM42" i="1"/>
  <c r="NN42" i="1"/>
  <c r="NO42" i="1"/>
  <c r="NP42" i="1"/>
  <c r="NQ42" i="1"/>
  <c r="NR42" i="1"/>
  <c r="NS42" i="1"/>
  <c r="NT42" i="1"/>
  <c r="NU42" i="1"/>
  <c r="NV42" i="1"/>
  <c r="NW42" i="1"/>
  <c r="NX42" i="1"/>
  <c r="NY42" i="1"/>
  <c r="NZ42" i="1"/>
  <c r="OA42" i="1"/>
  <c r="OB42" i="1"/>
  <c r="OC42" i="1"/>
  <c r="OD42" i="1"/>
  <c r="OE42" i="1"/>
  <c r="OF42" i="1"/>
  <c r="OG42" i="1"/>
  <c r="OH42" i="1"/>
  <c r="OI42" i="1"/>
  <c r="OJ42" i="1"/>
  <c r="OM42" i="1"/>
  <c r="ON42" i="1"/>
  <c r="OO42" i="1"/>
  <c r="OP42" i="1"/>
  <c r="OQ42" i="1"/>
  <c r="OR42" i="1"/>
  <c r="OS42" i="1"/>
  <c r="OT42" i="1"/>
  <c r="OU42" i="1"/>
  <c r="OV42" i="1"/>
  <c r="OW42" i="1"/>
  <c r="OX42" i="1"/>
  <c r="OY42" i="1"/>
  <c r="PA42" i="1"/>
  <c r="PC42" i="1"/>
  <c r="PD42" i="1"/>
  <c r="PB42" i="1"/>
  <c r="PE42" i="1"/>
  <c r="PF42" i="1"/>
  <c r="PG42" i="1"/>
  <c r="PH42" i="1"/>
  <c r="PI42" i="1"/>
  <c r="PJ42" i="1"/>
  <c r="PK42" i="1"/>
  <c r="PL42" i="1"/>
  <c r="PM42" i="1"/>
  <c r="PN42" i="1"/>
  <c r="PO42" i="1"/>
  <c r="PQ42" i="1"/>
  <c r="PR42" i="1"/>
  <c r="PT42" i="1"/>
  <c r="PU42" i="1"/>
  <c r="PZ42" i="1"/>
  <c r="QA42" i="1"/>
  <c r="QB42" i="1"/>
  <c r="QC42" i="1"/>
  <c r="QD42" i="1"/>
  <c r="QE42" i="1"/>
  <c r="QF42" i="1"/>
  <c r="QG42" i="1"/>
  <c r="QH42" i="1"/>
  <c r="QI42" i="1"/>
  <c r="QJ42" i="1"/>
  <c r="QK42" i="1"/>
  <c r="QL42" i="1"/>
  <c r="QM42" i="1"/>
  <c r="QN42" i="1"/>
  <c r="QO42" i="1"/>
  <c r="QP42" i="1"/>
  <c r="QQ42" i="1"/>
  <c r="QR42" i="1"/>
  <c r="QS42" i="1"/>
  <c r="QT42" i="1"/>
  <c r="QU42" i="1"/>
  <c r="QV42" i="1"/>
  <c r="QW42" i="1"/>
  <c r="QX42" i="1"/>
  <c r="I114" i="1"/>
  <c r="J114" i="1"/>
  <c r="K114" i="1"/>
  <c r="MM114" i="1"/>
  <c r="MN114" i="1"/>
  <c r="MO114" i="1"/>
  <c r="MP114" i="1"/>
  <c r="MQ114" i="1"/>
  <c r="MR114" i="1"/>
  <c r="MS114" i="1"/>
  <c r="MT114" i="1"/>
  <c r="MW114" i="1"/>
  <c r="MX114" i="1"/>
  <c r="MY114" i="1"/>
  <c r="MZ114" i="1"/>
  <c r="NA114" i="1"/>
  <c r="NB114" i="1"/>
  <c r="NE114" i="1"/>
  <c r="NF114" i="1"/>
  <c r="NC114" i="1"/>
  <c r="ND114" i="1"/>
  <c r="NG114" i="1"/>
  <c r="NH114" i="1"/>
  <c r="NI114" i="1"/>
  <c r="NJ114" i="1"/>
  <c r="NK114" i="1"/>
  <c r="NL114" i="1"/>
  <c r="NM114" i="1"/>
  <c r="NN114" i="1"/>
  <c r="NO114" i="1"/>
  <c r="NP114" i="1"/>
  <c r="NQ114" i="1"/>
  <c r="NR114" i="1"/>
  <c r="NS114" i="1"/>
  <c r="NT114" i="1"/>
  <c r="NU114" i="1"/>
  <c r="NV114" i="1"/>
  <c r="NW114" i="1"/>
  <c r="NX114" i="1"/>
  <c r="NY114" i="1"/>
  <c r="NZ114" i="1"/>
  <c r="OA114" i="1"/>
  <c r="OB114" i="1"/>
  <c r="OC114" i="1"/>
  <c r="OD114" i="1"/>
  <c r="OE114" i="1"/>
  <c r="OF114" i="1"/>
  <c r="OG114" i="1"/>
  <c r="OH114" i="1"/>
  <c r="OI114" i="1"/>
  <c r="OJ114" i="1"/>
  <c r="OM114" i="1"/>
  <c r="ON114" i="1"/>
  <c r="OO114" i="1"/>
  <c r="OP114" i="1"/>
  <c r="OQ114" i="1"/>
  <c r="OR114" i="1"/>
  <c r="OS114" i="1"/>
  <c r="OT114" i="1"/>
  <c r="OU114" i="1"/>
  <c r="OV114" i="1"/>
  <c r="OW114" i="1"/>
  <c r="OX114" i="1"/>
  <c r="OY114" i="1"/>
  <c r="PA114" i="1"/>
  <c r="PC114" i="1"/>
  <c r="PD114" i="1"/>
  <c r="PB114" i="1"/>
  <c r="PE114" i="1"/>
  <c r="PF114" i="1"/>
  <c r="PG114" i="1"/>
  <c r="PH114" i="1"/>
  <c r="PI114" i="1"/>
  <c r="PJ114" i="1"/>
  <c r="PK114" i="1"/>
  <c r="PL114" i="1"/>
  <c r="PM114" i="1"/>
  <c r="PN114" i="1"/>
  <c r="PO114" i="1"/>
  <c r="PQ114" i="1"/>
  <c r="PR114" i="1"/>
  <c r="PT114" i="1"/>
  <c r="PU114" i="1"/>
  <c r="PZ114" i="1"/>
  <c r="QA114" i="1"/>
  <c r="QB114" i="1"/>
  <c r="QC114" i="1"/>
  <c r="QD114" i="1"/>
  <c r="QE114" i="1"/>
  <c r="QF114" i="1"/>
  <c r="QG114" i="1"/>
  <c r="QH114" i="1"/>
  <c r="QI114" i="1"/>
  <c r="QJ114" i="1"/>
  <c r="QK114" i="1"/>
  <c r="QL114" i="1"/>
  <c r="QM114" i="1"/>
  <c r="QN114" i="1"/>
  <c r="QO114" i="1"/>
  <c r="QP114" i="1"/>
  <c r="QQ114" i="1"/>
  <c r="QR114" i="1"/>
  <c r="QS114" i="1"/>
  <c r="QT114" i="1"/>
  <c r="QU114" i="1"/>
  <c r="QV114" i="1"/>
  <c r="QW114" i="1"/>
  <c r="QX114" i="1"/>
  <c r="I67" i="1"/>
  <c r="J67" i="1"/>
  <c r="K67" i="1"/>
  <c r="MM67" i="1"/>
  <c r="MN67" i="1"/>
  <c r="MO67" i="1"/>
  <c r="MP67" i="1"/>
  <c r="MQ67" i="1"/>
  <c r="MR67" i="1"/>
  <c r="MS67" i="1"/>
  <c r="MT67" i="1"/>
  <c r="MW67" i="1"/>
  <c r="MX67" i="1"/>
  <c r="MY67" i="1"/>
  <c r="MZ67" i="1"/>
  <c r="NA67" i="1"/>
  <c r="NB67" i="1"/>
  <c r="NE67" i="1"/>
  <c r="NF67" i="1"/>
  <c r="NC67" i="1"/>
  <c r="ND67" i="1"/>
  <c r="NG67" i="1"/>
  <c r="NH67" i="1"/>
  <c r="NI67" i="1"/>
  <c r="NJ67" i="1"/>
  <c r="NK67" i="1"/>
  <c r="NL67" i="1"/>
  <c r="NM67" i="1"/>
  <c r="NN67" i="1"/>
  <c r="NO67" i="1"/>
  <c r="NP67" i="1"/>
  <c r="NQ67" i="1"/>
  <c r="NR67" i="1"/>
  <c r="NS67" i="1"/>
  <c r="NT67" i="1"/>
  <c r="NU67" i="1"/>
  <c r="NV67" i="1"/>
  <c r="NW67" i="1"/>
  <c r="NX67" i="1"/>
  <c r="NY67" i="1"/>
  <c r="NZ67" i="1"/>
  <c r="OA67" i="1"/>
  <c r="OB67" i="1"/>
  <c r="OC67" i="1"/>
  <c r="OD67" i="1"/>
  <c r="OE67" i="1"/>
  <c r="OF67" i="1"/>
  <c r="OG67" i="1"/>
  <c r="OH67" i="1"/>
  <c r="OI67" i="1"/>
  <c r="OJ67" i="1"/>
  <c r="OM67" i="1"/>
  <c r="ON67" i="1"/>
  <c r="OO67" i="1"/>
  <c r="OP67" i="1"/>
  <c r="OQ67" i="1"/>
  <c r="OR67" i="1"/>
  <c r="OS67" i="1"/>
  <c r="OT67" i="1"/>
  <c r="OU67" i="1"/>
  <c r="OV67" i="1"/>
  <c r="OW67" i="1"/>
  <c r="OX67" i="1"/>
  <c r="OY67" i="1"/>
  <c r="PA67" i="1"/>
  <c r="PC67" i="1"/>
  <c r="PD67" i="1"/>
  <c r="PB67" i="1"/>
  <c r="PE67" i="1"/>
  <c r="PF67" i="1"/>
  <c r="PG67" i="1"/>
  <c r="PH67" i="1"/>
  <c r="PI67" i="1"/>
  <c r="PJ67" i="1"/>
  <c r="PK67" i="1"/>
  <c r="PL67" i="1"/>
  <c r="PM67" i="1"/>
  <c r="PN67" i="1"/>
  <c r="PO67" i="1"/>
  <c r="PQ67" i="1"/>
  <c r="PR67" i="1"/>
  <c r="PT67" i="1"/>
  <c r="PU67" i="1"/>
  <c r="PZ67" i="1"/>
  <c r="QA67" i="1"/>
  <c r="QB67" i="1"/>
  <c r="QC67" i="1"/>
  <c r="QD67" i="1"/>
  <c r="QE67" i="1"/>
  <c r="QF67" i="1"/>
  <c r="QG67" i="1"/>
  <c r="QH67" i="1"/>
  <c r="QI67" i="1"/>
  <c r="QJ67" i="1"/>
  <c r="QK67" i="1"/>
  <c r="QL67" i="1"/>
  <c r="QM67" i="1"/>
  <c r="QN67" i="1"/>
  <c r="QO67" i="1"/>
  <c r="QP67" i="1"/>
  <c r="QQ67" i="1"/>
  <c r="QR67" i="1"/>
  <c r="QS67" i="1"/>
  <c r="QT67" i="1"/>
  <c r="QU67" i="1"/>
  <c r="QV67" i="1"/>
  <c r="QW67" i="1"/>
  <c r="QX67" i="1"/>
  <c r="I58" i="1"/>
  <c r="J58" i="1"/>
  <c r="K58" i="1"/>
  <c r="MM58" i="1"/>
  <c r="MN58" i="1"/>
  <c r="MO58" i="1"/>
  <c r="MP58" i="1"/>
  <c r="MQ58" i="1"/>
  <c r="MR58" i="1"/>
  <c r="MS58" i="1"/>
  <c r="MT58" i="1"/>
  <c r="MW58" i="1"/>
  <c r="MX58" i="1"/>
  <c r="MY58" i="1"/>
  <c r="MZ58" i="1"/>
  <c r="NA58" i="1"/>
  <c r="NB58" i="1"/>
  <c r="NE58" i="1"/>
  <c r="NF58" i="1"/>
  <c r="NC58" i="1"/>
  <c r="ND58" i="1"/>
  <c r="NG58" i="1"/>
  <c r="NH58" i="1"/>
  <c r="NI58" i="1"/>
  <c r="NJ58" i="1"/>
  <c r="NK58" i="1"/>
  <c r="NL58" i="1"/>
  <c r="NM58" i="1"/>
  <c r="NN58" i="1"/>
  <c r="NO58" i="1"/>
  <c r="NP58" i="1"/>
  <c r="NQ58" i="1"/>
  <c r="NR58" i="1"/>
  <c r="NS58" i="1"/>
  <c r="NT58" i="1"/>
  <c r="NU58" i="1"/>
  <c r="NV58" i="1"/>
  <c r="NW58" i="1"/>
  <c r="NX58" i="1"/>
  <c r="NY58" i="1"/>
  <c r="NZ58" i="1"/>
  <c r="OA58" i="1"/>
  <c r="OB58" i="1"/>
  <c r="OC58" i="1"/>
  <c r="OD58" i="1"/>
  <c r="OE58" i="1"/>
  <c r="OF58" i="1"/>
  <c r="OG58" i="1"/>
  <c r="OH58" i="1"/>
  <c r="OI58" i="1"/>
  <c r="OJ58" i="1"/>
  <c r="OM58" i="1"/>
  <c r="ON58" i="1"/>
  <c r="OO58" i="1"/>
  <c r="OP58" i="1"/>
  <c r="OQ58" i="1"/>
  <c r="OR58" i="1"/>
  <c r="OS58" i="1"/>
  <c r="OT58" i="1"/>
  <c r="OU58" i="1"/>
  <c r="OV58" i="1"/>
  <c r="OW58" i="1"/>
  <c r="OX58" i="1"/>
  <c r="OY58" i="1"/>
  <c r="PA58" i="1"/>
  <c r="PC58" i="1"/>
  <c r="PD58" i="1"/>
  <c r="PB58" i="1"/>
  <c r="BH56" i="148" s="1"/>
  <c r="PE58" i="1"/>
  <c r="PF58" i="1"/>
  <c r="PG58" i="1"/>
  <c r="PH58" i="1"/>
  <c r="PI58" i="1"/>
  <c r="PJ58" i="1"/>
  <c r="PK58" i="1"/>
  <c r="PL58" i="1"/>
  <c r="PM58" i="1"/>
  <c r="PN58" i="1"/>
  <c r="PO58" i="1"/>
  <c r="PQ58" i="1"/>
  <c r="PR58" i="1"/>
  <c r="PT58" i="1"/>
  <c r="PU58" i="1"/>
  <c r="PZ58" i="1"/>
  <c r="QA58" i="1"/>
  <c r="QB58" i="1"/>
  <c r="QC58" i="1"/>
  <c r="QD58" i="1"/>
  <c r="QE58" i="1"/>
  <c r="QF58" i="1"/>
  <c r="QG58" i="1"/>
  <c r="QH58" i="1"/>
  <c r="QI58" i="1"/>
  <c r="QJ58" i="1"/>
  <c r="QK58" i="1"/>
  <c r="QL58" i="1"/>
  <c r="QM58" i="1"/>
  <c r="QN58" i="1"/>
  <c r="QO58" i="1"/>
  <c r="QP58" i="1"/>
  <c r="QQ58" i="1"/>
  <c r="QR58" i="1"/>
  <c r="QS58" i="1"/>
  <c r="QT58" i="1"/>
  <c r="QU58" i="1"/>
  <c r="QV58" i="1"/>
  <c r="QW58" i="1"/>
  <c r="QX58" i="1"/>
  <c r="I43" i="1"/>
  <c r="J43" i="1"/>
  <c r="K43" i="1"/>
  <c r="MM43" i="1"/>
  <c r="MN43" i="1"/>
  <c r="MO43" i="1"/>
  <c r="MP43" i="1"/>
  <c r="MQ43" i="1"/>
  <c r="MR43" i="1"/>
  <c r="MS43" i="1"/>
  <c r="MT43" i="1"/>
  <c r="MW43" i="1"/>
  <c r="MX43" i="1"/>
  <c r="MY43" i="1"/>
  <c r="MZ43" i="1"/>
  <c r="NA43" i="1"/>
  <c r="NB43" i="1"/>
  <c r="NE43" i="1"/>
  <c r="NF43" i="1"/>
  <c r="NC43" i="1"/>
  <c r="ND43" i="1"/>
  <c r="NG43" i="1"/>
  <c r="NH43" i="1"/>
  <c r="NI43" i="1"/>
  <c r="NJ43" i="1"/>
  <c r="NK43" i="1"/>
  <c r="NL43" i="1"/>
  <c r="NM43" i="1"/>
  <c r="NN43" i="1"/>
  <c r="NO43" i="1"/>
  <c r="NP43" i="1"/>
  <c r="NQ43" i="1"/>
  <c r="NR43" i="1"/>
  <c r="NS43" i="1"/>
  <c r="NT43" i="1"/>
  <c r="NU43" i="1"/>
  <c r="NV43" i="1"/>
  <c r="NW43" i="1"/>
  <c r="NX43" i="1"/>
  <c r="NY43" i="1"/>
  <c r="NZ43" i="1"/>
  <c r="OA43" i="1"/>
  <c r="OB43" i="1"/>
  <c r="OC43" i="1"/>
  <c r="OD43" i="1"/>
  <c r="OE43" i="1"/>
  <c r="OF43" i="1"/>
  <c r="OG43" i="1"/>
  <c r="OH43" i="1"/>
  <c r="OI43" i="1"/>
  <c r="OJ43" i="1"/>
  <c r="OM43" i="1"/>
  <c r="ON43" i="1"/>
  <c r="OO43" i="1"/>
  <c r="OP43" i="1"/>
  <c r="OQ43" i="1"/>
  <c r="OR43" i="1"/>
  <c r="OS43" i="1"/>
  <c r="OT43" i="1"/>
  <c r="OU43" i="1"/>
  <c r="OV43" i="1"/>
  <c r="OW43" i="1"/>
  <c r="OX43" i="1"/>
  <c r="OY43" i="1"/>
  <c r="PA43" i="1"/>
  <c r="PC43" i="1"/>
  <c r="PD43" i="1"/>
  <c r="PB43" i="1"/>
  <c r="PE43" i="1"/>
  <c r="PF43" i="1"/>
  <c r="PG43" i="1"/>
  <c r="PH43" i="1"/>
  <c r="PI43" i="1"/>
  <c r="PJ43" i="1"/>
  <c r="PK43" i="1"/>
  <c r="PL43" i="1"/>
  <c r="PM43" i="1"/>
  <c r="PN43" i="1"/>
  <c r="PO43" i="1"/>
  <c r="PQ43" i="1"/>
  <c r="PR43" i="1"/>
  <c r="PT43" i="1"/>
  <c r="PU43" i="1"/>
  <c r="PZ43" i="1"/>
  <c r="QA43" i="1"/>
  <c r="QB43" i="1"/>
  <c r="QC43" i="1"/>
  <c r="QD43" i="1"/>
  <c r="QE43" i="1"/>
  <c r="QF43" i="1"/>
  <c r="QG43" i="1"/>
  <c r="QH43" i="1"/>
  <c r="QI43" i="1"/>
  <c r="QJ43" i="1"/>
  <c r="QK43" i="1"/>
  <c r="QL43" i="1"/>
  <c r="QM43" i="1"/>
  <c r="QN43" i="1"/>
  <c r="QO43" i="1"/>
  <c r="QP43" i="1"/>
  <c r="QQ43" i="1"/>
  <c r="QR43" i="1"/>
  <c r="QS43" i="1"/>
  <c r="QT43" i="1"/>
  <c r="QU43" i="1"/>
  <c r="QV43" i="1"/>
  <c r="QW43" i="1"/>
  <c r="QX43" i="1"/>
  <c r="I183" i="1"/>
  <c r="J183" i="1"/>
  <c r="K183" i="1"/>
  <c r="MM183" i="1"/>
  <c r="MN183" i="1"/>
  <c r="MO183" i="1"/>
  <c r="MP183" i="1"/>
  <c r="MQ183" i="1"/>
  <c r="MR183" i="1"/>
  <c r="MS183" i="1"/>
  <c r="MT183" i="1"/>
  <c r="MW183" i="1"/>
  <c r="MX183" i="1"/>
  <c r="MY183" i="1"/>
  <c r="MZ183" i="1"/>
  <c r="NA183" i="1"/>
  <c r="NB183" i="1"/>
  <c r="NE183" i="1"/>
  <c r="NF183" i="1"/>
  <c r="NC183" i="1"/>
  <c r="ND183" i="1"/>
  <c r="NG183" i="1"/>
  <c r="NH183" i="1"/>
  <c r="NI183" i="1"/>
  <c r="NJ183" i="1"/>
  <c r="NK183" i="1"/>
  <c r="NL183" i="1"/>
  <c r="NM183" i="1"/>
  <c r="NN183" i="1"/>
  <c r="NO183" i="1"/>
  <c r="NP183" i="1"/>
  <c r="NQ183" i="1"/>
  <c r="NR183" i="1"/>
  <c r="NS183" i="1"/>
  <c r="NT183" i="1"/>
  <c r="NU183" i="1"/>
  <c r="NV183" i="1"/>
  <c r="NW183" i="1"/>
  <c r="NX183" i="1"/>
  <c r="NY183" i="1"/>
  <c r="NZ183" i="1"/>
  <c r="OA183" i="1"/>
  <c r="OB183" i="1"/>
  <c r="OC183" i="1"/>
  <c r="OD183" i="1"/>
  <c r="OE183" i="1"/>
  <c r="OF183" i="1"/>
  <c r="OG183" i="1"/>
  <c r="OH183" i="1"/>
  <c r="OI183" i="1"/>
  <c r="OJ183" i="1"/>
  <c r="OM183" i="1"/>
  <c r="ON183" i="1"/>
  <c r="OO183" i="1"/>
  <c r="OP183" i="1"/>
  <c r="OQ183" i="1"/>
  <c r="OR183" i="1"/>
  <c r="OS183" i="1"/>
  <c r="OT183" i="1"/>
  <c r="OU183" i="1"/>
  <c r="OV183" i="1"/>
  <c r="OW183" i="1"/>
  <c r="OX183" i="1"/>
  <c r="OY183" i="1"/>
  <c r="PA183" i="1"/>
  <c r="PC183" i="1"/>
  <c r="PD183" i="1"/>
  <c r="PB183" i="1"/>
  <c r="PE183" i="1"/>
  <c r="PF183" i="1"/>
  <c r="PG183" i="1"/>
  <c r="PH183" i="1"/>
  <c r="PI183" i="1"/>
  <c r="PJ183" i="1"/>
  <c r="PK183" i="1"/>
  <c r="PL183" i="1"/>
  <c r="PM183" i="1"/>
  <c r="PN183" i="1"/>
  <c r="PO183" i="1"/>
  <c r="PQ183" i="1"/>
  <c r="PR183" i="1"/>
  <c r="PT183" i="1"/>
  <c r="PU183" i="1"/>
  <c r="PZ183" i="1"/>
  <c r="QA183" i="1"/>
  <c r="QB183" i="1"/>
  <c r="QC183" i="1"/>
  <c r="QD183" i="1"/>
  <c r="QE183" i="1"/>
  <c r="QF183" i="1"/>
  <c r="QG183" i="1"/>
  <c r="QH183" i="1"/>
  <c r="QI183" i="1"/>
  <c r="QJ183" i="1"/>
  <c r="QK183" i="1"/>
  <c r="QL183" i="1"/>
  <c r="QM183" i="1"/>
  <c r="QN183" i="1"/>
  <c r="QO183" i="1"/>
  <c r="QP183" i="1"/>
  <c r="QQ183" i="1"/>
  <c r="QR183" i="1"/>
  <c r="QS183" i="1"/>
  <c r="QT183" i="1"/>
  <c r="QU183" i="1"/>
  <c r="QV183" i="1"/>
  <c r="QW183" i="1"/>
  <c r="QX183" i="1"/>
  <c r="I46" i="1"/>
  <c r="J46" i="1"/>
  <c r="K46" i="1"/>
  <c r="MM46" i="1"/>
  <c r="MN46" i="1"/>
  <c r="MO46" i="1"/>
  <c r="MP46" i="1"/>
  <c r="MQ46" i="1"/>
  <c r="MR46" i="1"/>
  <c r="MS46" i="1"/>
  <c r="MT46" i="1"/>
  <c r="MW46" i="1"/>
  <c r="MX46" i="1"/>
  <c r="MY46" i="1"/>
  <c r="MZ46" i="1"/>
  <c r="NA46" i="1"/>
  <c r="NB46" i="1"/>
  <c r="NE46" i="1"/>
  <c r="NF46" i="1"/>
  <c r="NC46" i="1"/>
  <c r="ND46" i="1"/>
  <c r="NG46" i="1"/>
  <c r="NH46" i="1"/>
  <c r="NI46" i="1"/>
  <c r="NJ46" i="1"/>
  <c r="NK46" i="1"/>
  <c r="NL46" i="1"/>
  <c r="NM46" i="1"/>
  <c r="NN46" i="1"/>
  <c r="NO46" i="1"/>
  <c r="NP46" i="1"/>
  <c r="NQ46" i="1"/>
  <c r="NR46" i="1"/>
  <c r="NS46" i="1"/>
  <c r="NT46" i="1"/>
  <c r="NU46" i="1"/>
  <c r="NV46" i="1"/>
  <c r="NW46" i="1"/>
  <c r="NX46" i="1"/>
  <c r="NY46" i="1"/>
  <c r="NZ46" i="1"/>
  <c r="OA46" i="1"/>
  <c r="OB46" i="1"/>
  <c r="OC46" i="1"/>
  <c r="OD46" i="1"/>
  <c r="OE46" i="1"/>
  <c r="OF46" i="1"/>
  <c r="OG46" i="1"/>
  <c r="OH46" i="1"/>
  <c r="OI46" i="1"/>
  <c r="OJ46" i="1"/>
  <c r="OM46" i="1"/>
  <c r="ON46" i="1"/>
  <c r="OO46" i="1"/>
  <c r="OP46" i="1"/>
  <c r="OQ46" i="1"/>
  <c r="OR46" i="1"/>
  <c r="OS46" i="1"/>
  <c r="OT46" i="1"/>
  <c r="OU46" i="1"/>
  <c r="OV46" i="1"/>
  <c r="OW46" i="1"/>
  <c r="OX46" i="1"/>
  <c r="OY46" i="1"/>
  <c r="PA46" i="1"/>
  <c r="PC46" i="1"/>
  <c r="PD46" i="1"/>
  <c r="PB46" i="1"/>
  <c r="PE46" i="1"/>
  <c r="PF46" i="1"/>
  <c r="PG46" i="1"/>
  <c r="PH46" i="1"/>
  <c r="PI46" i="1"/>
  <c r="PJ46" i="1"/>
  <c r="PK46" i="1"/>
  <c r="PL46" i="1"/>
  <c r="PM46" i="1"/>
  <c r="PN46" i="1"/>
  <c r="PO46" i="1"/>
  <c r="PQ46" i="1"/>
  <c r="PR46" i="1"/>
  <c r="PT46" i="1"/>
  <c r="PU46" i="1"/>
  <c r="PZ46" i="1"/>
  <c r="QA46" i="1"/>
  <c r="QB46" i="1"/>
  <c r="QC46" i="1"/>
  <c r="QD46" i="1"/>
  <c r="QE46" i="1"/>
  <c r="QF46" i="1"/>
  <c r="QG46" i="1"/>
  <c r="QH46" i="1"/>
  <c r="QI46" i="1"/>
  <c r="QJ46" i="1"/>
  <c r="QK46" i="1"/>
  <c r="QL46" i="1"/>
  <c r="QM46" i="1"/>
  <c r="QN46" i="1"/>
  <c r="QO46" i="1"/>
  <c r="QP46" i="1"/>
  <c r="QQ46" i="1"/>
  <c r="QR46" i="1"/>
  <c r="QS46" i="1"/>
  <c r="QT46" i="1"/>
  <c r="QU46" i="1"/>
  <c r="QV46" i="1"/>
  <c r="QW46" i="1"/>
  <c r="QX46" i="1"/>
  <c r="I155" i="1"/>
  <c r="J155" i="1"/>
  <c r="K155" i="1"/>
  <c r="MM155" i="1"/>
  <c r="MN155" i="1"/>
  <c r="MO155" i="1"/>
  <c r="MP155" i="1"/>
  <c r="MQ155" i="1"/>
  <c r="MR155" i="1"/>
  <c r="MS155" i="1"/>
  <c r="MT155" i="1"/>
  <c r="MW155" i="1"/>
  <c r="MX155" i="1"/>
  <c r="MY155" i="1"/>
  <c r="MZ155" i="1"/>
  <c r="NA155" i="1"/>
  <c r="NB155" i="1"/>
  <c r="NE155" i="1"/>
  <c r="NF155" i="1"/>
  <c r="NC155" i="1"/>
  <c r="ND155" i="1"/>
  <c r="NG155" i="1"/>
  <c r="NH155" i="1"/>
  <c r="NI155" i="1"/>
  <c r="NJ155" i="1"/>
  <c r="NK155" i="1"/>
  <c r="NL155" i="1"/>
  <c r="NM155" i="1"/>
  <c r="NN155" i="1"/>
  <c r="NO155" i="1"/>
  <c r="NP155" i="1"/>
  <c r="NQ155" i="1"/>
  <c r="NR155" i="1"/>
  <c r="NS155" i="1"/>
  <c r="NT155" i="1"/>
  <c r="NU155" i="1"/>
  <c r="NV155" i="1"/>
  <c r="NW155" i="1"/>
  <c r="NX155" i="1"/>
  <c r="NY155" i="1"/>
  <c r="NZ155" i="1"/>
  <c r="OA155" i="1"/>
  <c r="OB155" i="1"/>
  <c r="OC155" i="1"/>
  <c r="OD155" i="1"/>
  <c r="OE155" i="1"/>
  <c r="OF155" i="1"/>
  <c r="OG155" i="1"/>
  <c r="OH155" i="1"/>
  <c r="OI155" i="1"/>
  <c r="OJ155" i="1"/>
  <c r="OM155" i="1"/>
  <c r="ON155" i="1"/>
  <c r="OO155" i="1"/>
  <c r="OP155" i="1"/>
  <c r="OQ155" i="1"/>
  <c r="OR155" i="1"/>
  <c r="OS155" i="1"/>
  <c r="OT155" i="1"/>
  <c r="OU155" i="1"/>
  <c r="OV155" i="1"/>
  <c r="OW155" i="1"/>
  <c r="OX155" i="1"/>
  <c r="OY155" i="1"/>
  <c r="PA155" i="1"/>
  <c r="PC155" i="1"/>
  <c r="PD155" i="1"/>
  <c r="PB155" i="1"/>
  <c r="BH173" i="148" s="1"/>
  <c r="PE155" i="1"/>
  <c r="PF155" i="1"/>
  <c r="PG155" i="1"/>
  <c r="PH155" i="1"/>
  <c r="PI155" i="1"/>
  <c r="PJ155" i="1"/>
  <c r="PK155" i="1"/>
  <c r="PL155" i="1"/>
  <c r="PM155" i="1"/>
  <c r="PN155" i="1"/>
  <c r="PO155" i="1"/>
  <c r="PQ155" i="1"/>
  <c r="PR155" i="1"/>
  <c r="PT155" i="1"/>
  <c r="PU155" i="1"/>
  <c r="PZ155" i="1"/>
  <c r="QA155" i="1"/>
  <c r="QB155" i="1"/>
  <c r="QC155" i="1"/>
  <c r="QD155" i="1"/>
  <c r="QE155" i="1"/>
  <c r="QF155" i="1"/>
  <c r="QG155" i="1"/>
  <c r="QH155" i="1"/>
  <c r="QI155" i="1"/>
  <c r="QJ155" i="1"/>
  <c r="QK155" i="1"/>
  <c r="QL155" i="1"/>
  <c r="QM155" i="1"/>
  <c r="QN155" i="1"/>
  <c r="QO155" i="1"/>
  <c r="QP155" i="1"/>
  <c r="QQ155" i="1"/>
  <c r="QR155" i="1"/>
  <c r="QS155" i="1"/>
  <c r="QT155" i="1"/>
  <c r="QU155" i="1"/>
  <c r="QV155" i="1"/>
  <c r="QW155" i="1"/>
  <c r="QX155" i="1"/>
  <c r="I145" i="1"/>
  <c r="J145" i="1"/>
  <c r="K145" i="1"/>
  <c r="MM145" i="1"/>
  <c r="MN145" i="1"/>
  <c r="MO145" i="1"/>
  <c r="MP145" i="1"/>
  <c r="MQ145" i="1"/>
  <c r="MR145" i="1"/>
  <c r="MS145" i="1"/>
  <c r="MT145" i="1"/>
  <c r="MW145" i="1"/>
  <c r="MX145" i="1"/>
  <c r="MY145" i="1"/>
  <c r="MZ145" i="1"/>
  <c r="NA145" i="1"/>
  <c r="NB145" i="1"/>
  <c r="NE145" i="1"/>
  <c r="NF145" i="1"/>
  <c r="NC145" i="1"/>
  <c r="ND145" i="1"/>
  <c r="NG145" i="1"/>
  <c r="NH145" i="1"/>
  <c r="NI145" i="1"/>
  <c r="NJ145" i="1"/>
  <c r="NK145" i="1"/>
  <c r="NL145" i="1"/>
  <c r="NM145" i="1"/>
  <c r="NN145" i="1"/>
  <c r="NO145" i="1"/>
  <c r="NP145" i="1"/>
  <c r="NQ145" i="1"/>
  <c r="NR145" i="1"/>
  <c r="NS145" i="1"/>
  <c r="NT145" i="1"/>
  <c r="NU145" i="1"/>
  <c r="NV145" i="1"/>
  <c r="NW145" i="1"/>
  <c r="NX145" i="1"/>
  <c r="NY145" i="1"/>
  <c r="NZ145" i="1"/>
  <c r="OA145" i="1"/>
  <c r="OB145" i="1"/>
  <c r="OC145" i="1"/>
  <c r="OD145" i="1"/>
  <c r="OE145" i="1"/>
  <c r="OF145" i="1"/>
  <c r="OG145" i="1"/>
  <c r="OH145" i="1"/>
  <c r="OI145" i="1"/>
  <c r="OJ145" i="1"/>
  <c r="OM145" i="1"/>
  <c r="ON145" i="1"/>
  <c r="OO145" i="1"/>
  <c r="OP145" i="1"/>
  <c r="OQ145" i="1"/>
  <c r="OR145" i="1"/>
  <c r="OS145" i="1"/>
  <c r="OT145" i="1"/>
  <c r="OU145" i="1"/>
  <c r="OV145" i="1"/>
  <c r="OW145" i="1"/>
  <c r="OX145" i="1"/>
  <c r="OY145" i="1"/>
  <c r="PA145" i="1"/>
  <c r="PC145" i="1"/>
  <c r="PD145" i="1"/>
  <c r="PB145" i="1"/>
  <c r="PE145" i="1"/>
  <c r="PF145" i="1"/>
  <c r="PG145" i="1"/>
  <c r="PH145" i="1"/>
  <c r="PI145" i="1"/>
  <c r="PJ145" i="1"/>
  <c r="PK145" i="1"/>
  <c r="PL145" i="1"/>
  <c r="PM145" i="1"/>
  <c r="PN145" i="1"/>
  <c r="PO145" i="1"/>
  <c r="PQ145" i="1"/>
  <c r="PR145" i="1"/>
  <c r="PT145" i="1"/>
  <c r="PU145" i="1"/>
  <c r="PZ145" i="1"/>
  <c r="QA145" i="1"/>
  <c r="QB145" i="1"/>
  <c r="QC145" i="1"/>
  <c r="QD145" i="1"/>
  <c r="QE145" i="1"/>
  <c r="QF145" i="1"/>
  <c r="QG145" i="1"/>
  <c r="QH145" i="1"/>
  <c r="QI145" i="1"/>
  <c r="QJ145" i="1"/>
  <c r="QK145" i="1"/>
  <c r="QL145" i="1"/>
  <c r="QM145" i="1"/>
  <c r="QN145" i="1"/>
  <c r="QO145" i="1"/>
  <c r="QP145" i="1"/>
  <c r="QQ145" i="1"/>
  <c r="QR145" i="1"/>
  <c r="QS145" i="1"/>
  <c r="QT145" i="1"/>
  <c r="QU145" i="1"/>
  <c r="QV145" i="1"/>
  <c r="QW145" i="1"/>
  <c r="QX145" i="1"/>
  <c r="I112" i="1"/>
  <c r="J112" i="1"/>
  <c r="K112" i="1"/>
  <c r="MM112" i="1"/>
  <c r="MN112" i="1"/>
  <c r="MO112" i="1"/>
  <c r="MP112" i="1"/>
  <c r="MQ112" i="1"/>
  <c r="MR112" i="1"/>
  <c r="MS112" i="1"/>
  <c r="MT112" i="1"/>
  <c r="MW112" i="1"/>
  <c r="MX112" i="1"/>
  <c r="MY112" i="1"/>
  <c r="MZ112" i="1"/>
  <c r="NA112" i="1"/>
  <c r="NB112" i="1"/>
  <c r="NE112" i="1"/>
  <c r="NF112" i="1"/>
  <c r="NC112" i="1"/>
  <c r="ND112" i="1"/>
  <c r="NG112" i="1"/>
  <c r="NH112" i="1"/>
  <c r="NI112" i="1"/>
  <c r="NJ112" i="1"/>
  <c r="NK112" i="1"/>
  <c r="NL112" i="1"/>
  <c r="NM112" i="1"/>
  <c r="NN112" i="1"/>
  <c r="NO112" i="1"/>
  <c r="NP112" i="1"/>
  <c r="NQ112" i="1"/>
  <c r="NR112" i="1"/>
  <c r="NS112" i="1"/>
  <c r="NT112" i="1"/>
  <c r="NU112" i="1"/>
  <c r="NV112" i="1"/>
  <c r="NW112" i="1"/>
  <c r="NX112" i="1"/>
  <c r="NY112" i="1"/>
  <c r="NZ112" i="1"/>
  <c r="OA112" i="1"/>
  <c r="OB112" i="1"/>
  <c r="OC112" i="1"/>
  <c r="OD112" i="1"/>
  <c r="OE112" i="1"/>
  <c r="OF112" i="1"/>
  <c r="OG112" i="1"/>
  <c r="OH112" i="1"/>
  <c r="OI112" i="1"/>
  <c r="OJ112" i="1"/>
  <c r="OM112" i="1"/>
  <c r="ON112" i="1"/>
  <c r="OO112" i="1"/>
  <c r="OP112" i="1"/>
  <c r="OQ112" i="1"/>
  <c r="OR112" i="1"/>
  <c r="OS112" i="1"/>
  <c r="OT112" i="1"/>
  <c r="OU112" i="1"/>
  <c r="OV112" i="1"/>
  <c r="OW112" i="1"/>
  <c r="OX112" i="1"/>
  <c r="OY112" i="1"/>
  <c r="PA112" i="1"/>
  <c r="PC112" i="1"/>
  <c r="PD112" i="1"/>
  <c r="PB112" i="1"/>
  <c r="PE112" i="1"/>
  <c r="PF112" i="1"/>
  <c r="PG112" i="1"/>
  <c r="PH112" i="1"/>
  <c r="PI112" i="1"/>
  <c r="PJ112" i="1"/>
  <c r="PK112" i="1"/>
  <c r="PL112" i="1"/>
  <c r="PM112" i="1"/>
  <c r="PN112" i="1"/>
  <c r="PO112" i="1"/>
  <c r="PQ112" i="1"/>
  <c r="PR112" i="1"/>
  <c r="PT112" i="1"/>
  <c r="PU112" i="1"/>
  <c r="PZ112" i="1"/>
  <c r="QA112" i="1"/>
  <c r="QB112" i="1"/>
  <c r="QC112" i="1"/>
  <c r="QD112" i="1"/>
  <c r="QE112" i="1"/>
  <c r="QF112" i="1"/>
  <c r="QG112" i="1"/>
  <c r="QH112" i="1"/>
  <c r="QI112" i="1"/>
  <c r="QJ112" i="1"/>
  <c r="QK112" i="1"/>
  <c r="QL112" i="1"/>
  <c r="QM112" i="1"/>
  <c r="QN112" i="1"/>
  <c r="QO112" i="1"/>
  <c r="QP112" i="1"/>
  <c r="QQ112" i="1"/>
  <c r="QR112" i="1"/>
  <c r="QS112" i="1"/>
  <c r="QT112" i="1"/>
  <c r="QU112" i="1"/>
  <c r="QV112" i="1"/>
  <c r="QW112" i="1"/>
  <c r="QX112" i="1"/>
  <c r="I92" i="1"/>
  <c r="J92" i="1"/>
  <c r="K92" i="1"/>
  <c r="MM92" i="1"/>
  <c r="MN92" i="1"/>
  <c r="MO92" i="1"/>
  <c r="MP92" i="1"/>
  <c r="MQ92" i="1"/>
  <c r="MR92" i="1"/>
  <c r="MS92" i="1"/>
  <c r="MT92" i="1"/>
  <c r="MW92" i="1"/>
  <c r="MX92" i="1"/>
  <c r="MY92" i="1"/>
  <c r="MZ92" i="1"/>
  <c r="NA92" i="1"/>
  <c r="NB92" i="1"/>
  <c r="NE92" i="1"/>
  <c r="NF92" i="1"/>
  <c r="NC92" i="1"/>
  <c r="ND92" i="1"/>
  <c r="NG92" i="1"/>
  <c r="NH92" i="1"/>
  <c r="NI92" i="1"/>
  <c r="NJ92" i="1"/>
  <c r="NK92" i="1"/>
  <c r="NL92" i="1"/>
  <c r="NM92" i="1"/>
  <c r="NN92" i="1"/>
  <c r="NO92" i="1"/>
  <c r="NP92" i="1"/>
  <c r="NQ92" i="1"/>
  <c r="NR92" i="1"/>
  <c r="NS92" i="1"/>
  <c r="NT92" i="1"/>
  <c r="NU92" i="1"/>
  <c r="NV92" i="1"/>
  <c r="NW92" i="1"/>
  <c r="NX92" i="1"/>
  <c r="NY92" i="1"/>
  <c r="NZ92" i="1"/>
  <c r="OA92" i="1"/>
  <c r="OB92" i="1"/>
  <c r="OC92" i="1"/>
  <c r="OD92" i="1"/>
  <c r="OE92" i="1"/>
  <c r="OF92" i="1"/>
  <c r="OG92" i="1"/>
  <c r="OH92" i="1"/>
  <c r="OI92" i="1"/>
  <c r="OJ92" i="1"/>
  <c r="OM92" i="1"/>
  <c r="ON92" i="1"/>
  <c r="OO92" i="1"/>
  <c r="OP92" i="1"/>
  <c r="OQ92" i="1"/>
  <c r="OR92" i="1"/>
  <c r="OS92" i="1"/>
  <c r="OT92" i="1"/>
  <c r="OU92" i="1"/>
  <c r="OV92" i="1"/>
  <c r="OW92" i="1"/>
  <c r="OX92" i="1"/>
  <c r="OY92" i="1"/>
  <c r="PA92" i="1"/>
  <c r="PC92" i="1"/>
  <c r="PD92" i="1"/>
  <c r="PB92" i="1"/>
  <c r="PE92" i="1"/>
  <c r="PF92" i="1"/>
  <c r="PG92" i="1"/>
  <c r="PH92" i="1"/>
  <c r="PI92" i="1"/>
  <c r="PJ92" i="1"/>
  <c r="PK92" i="1"/>
  <c r="PL92" i="1"/>
  <c r="PM92" i="1"/>
  <c r="PN92" i="1"/>
  <c r="PO92" i="1"/>
  <c r="PQ92" i="1"/>
  <c r="PR92" i="1"/>
  <c r="PT92" i="1"/>
  <c r="PU92" i="1"/>
  <c r="PZ92" i="1"/>
  <c r="QA92" i="1"/>
  <c r="QB92" i="1"/>
  <c r="QC92" i="1"/>
  <c r="QD92" i="1"/>
  <c r="QE92" i="1"/>
  <c r="QF92" i="1"/>
  <c r="QG92" i="1"/>
  <c r="QH92" i="1"/>
  <c r="QI92" i="1"/>
  <c r="QJ92" i="1"/>
  <c r="QK92" i="1"/>
  <c r="QL92" i="1"/>
  <c r="QM92" i="1"/>
  <c r="QN92" i="1"/>
  <c r="QO92" i="1"/>
  <c r="QP92" i="1"/>
  <c r="QQ92" i="1"/>
  <c r="QR92" i="1"/>
  <c r="QS92" i="1"/>
  <c r="QT92" i="1"/>
  <c r="QU92" i="1"/>
  <c r="QV92" i="1"/>
  <c r="QW92" i="1"/>
  <c r="QX92" i="1"/>
  <c r="I148" i="1"/>
  <c r="J148" i="1"/>
  <c r="K148" i="1"/>
  <c r="MM148" i="1"/>
  <c r="MN148" i="1"/>
  <c r="MO148" i="1"/>
  <c r="MP148" i="1"/>
  <c r="MQ148" i="1"/>
  <c r="MR148" i="1"/>
  <c r="MS148" i="1"/>
  <c r="MT148" i="1"/>
  <c r="MW148" i="1"/>
  <c r="MX148" i="1"/>
  <c r="MY148" i="1"/>
  <c r="MZ148" i="1"/>
  <c r="NA148" i="1"/>
  <c r="NB148" i="1"/>
  <c r="NE148" i="1"/>
  <c r="NF148" i="1"/>
  <c r="NC148" i="1"/>
  <c r="ND148" i="1"/>
  <c r="NG148" i="1"/>
  <c r="NH148" i="1"/>
  <c r="NI148" i="1"/>
  <c r="NJ148" i="1"/>
  <c r="NK148" i="1"/>
  <c r="NL148" i="1"/>
  <c r="NM148" i="1"/>
  <c r="NN148" i="1"/>
  <c r="NO148" i="1"/>
  <c r="NP148" i="1"/>
  <c r="NQ148" i="1"/>
  <c r="NR148" i="1"/>
  <c r="NS148" i="1"/>
  <c r="NT148" i="1"/>
  <c r="NU148" i="1"/>
  <c r="NV148" i="1"/>
  <c r="NW148" i="1"/>
  <c r="NX148" i="1"/>
  <c r="NY148" i="1"/>
  <c r="NZ148" i="1"/>
  <c r="OA148" i="1"/>
  <c r="OB148" i="1"/>
  <c r="OC148" i="1"/>
  <c r="OD148" i="1"/>
  <c r="OE148" i="1"/>
  <c r="OF148" i="1"/>
  <c r="OG148" i="1"/>
  <c r="OH148" i="1"/>
  <c r="OI148" i="1"/>
  <c r="OJ148" i="1"/>
  <c r="OM148" i="1"/>
  <c r="ON148" i="1"/>
  <c r="OO148" i="1"/>
  <c r="OP148" i="1"/>
  <c r="OQ148" i="1"/>
  <c r="OR148" i="1"/>
  <c r="OS148" i="1"/>
  <c r="OT148" i="1"/>
  <c r="OU148" i="1"/>
  <c r="OV148" i="1"/>
  <c r="OW148" i="1"/>
  <c r="OX148" i="1"/>
  <c r="OY148" i="1"/>
  <c r="PA148" i="1"/>
  <c r="PC148" i="1"/>
  <c r="PD148" i="1"/>
  <c r="PB148" i="1"/>
  <c r="PE148" i="1"/>
  <c r="PF148" i="1"/>
  <c r="PG148" i="1"/>
  <c r="PH148" i="1"/>
  <c r="PI148" i="1"/>
  <c r="PJ148" i="1"/>
  <c r="PK148" i="1"/>
  <c r="PL148" i="1"/>
  <c r="PM148" i="1"/>
  <c r="PN148" i="1"/>
  <c r="PO148" i="1"/>
  <c r="PQ148" i="1"/>
  <c r="PR148" i="1"/>
  <c r="PT148" i="1"/>
  <c r="PU148" i="1"/>
  <c r="PZ148" i="1"/>
  <c r="QA148" i="1"/>
  <c r="QB148" i="1"/>
  <c r="QC148" i="1"/>
  <c r="QD148" i="1"/>
  <c r="QE148" i="1"/>
  <c r="QF148" i="1"/>
  <c r="QG148" i="1"/>
  <c r="QH148" i="1"/>
  <c r="QI148" i="1"/>
  <c r="QJ148" i="1"/>
  <c r="QK148" i="1"/>
  <c r="QL148" i="1"/>
  <c r="QM148" i="1"/>
  <c r="QN148" i="1"/>
  <c r="QO148" i="1"/>
  <c r="QP148" i="1"/>
  <c r="QQ148" i="1"/>
  <c r="QR148" i="1"/>
  <c r="QS148" i="1"/>
  <c r="QT148" i="1"/>
  <c r="QU148" i="1"/>
  <c r="QV148" i="1"/>
  <c r="QW148" i="1"/>
  <c r="QX148" i="1"/>
  <c r="I179" i="1"/>
  <c r="J179" i="1"/>
  <c r="K179" i="1"/>
  <c r="MM179" i="1"/>
  <c r="MN179" i="1"/>
  <c r="MO179" i="1"/>
  <c r="MP179" i="1"/>
  <c r="MQ179" i="1"/>
  <c r="MR179" i="1"/>
  <c r="MS179" i="1"/>
  <c r="MT179" i="1"/>
  <c r="MW179" i="1"/>
  <c r="MX179" i="1"/>
  <c r="MY179" i="1"/>
  <c r="MZ179" i="1"/>
  <c r="NA179" i="1"/>
  <c r="NB179" i="1"/>
  <c r="NE179" i="1"/>
  <c r="NF179" i="1"/>
  <c r="NC179" i="1"/>
  <c r="ND179" i="1"/>
  <c r="NG179" i="1"/>
  <c r="NH179" i="1"/>
  <c r="NI179" i="1"/>
  <c r="NJ179" i="1"/>
  <c r="NK179" i="1"/>
  <c r="NL179" i="1"/>
  <c r="NM179" i="1"/>
  <c r="NN179" i="1"/>
  <c r="NO179" i="1"/>
  <c r="NP179" i="1"/>
  <c r="NQ179" i="1"/>
  <c r="NR179" i="1"/>
  <c r="NS179" i="1"/>
  <c r="NT179" i="1"/>
  <c r="NU179" i="1"/>
  <c r="NV179" i="1"/>
  <c r="NW179" i="1"/>
  <c r="NX179" i="1"/>
  <c r="NY179" i="1"/>
  <c r="NZ179" i="1"/>
  <c r="OA179" i="1"/>
  <c r="OB179" i="1"/>
  <c r="OC179" i="1"/>
  <c r="OD179" i="1"/>
  <c r="OE179" i="1"/>
  <c r="OF179" i="1"/>
  <c r="OG179" i="1"/>
  <c r="OH179" i="1"/>
  <c r="OI179" i="1"/>
  <c r="OJ179" i="1"/>
  <c r="OM179" i="1"/>
  <c r="ON179" i="1"/>
  <c r="OO179" i="1"/>
  <c r="OP179" i="1"/>
  <c r="OQ179" i="1"/>
  <c r="OR179" i="1"/>
  <c r="OS179" i="1"/>
  <c r="OT179" i="1"/>
  <c r="OU179" i="1"/>
  <c r="OV179" i="1"/>
  <c r="OW179" i="1"/>
  <c r="OX179" i="1"/>
  <c r="OY179" i="1"/>
  <c r="PA179" i="1"/>
  <c r="PC179" i="1"/>
  <c r="PD179" i="1"/>
  <c r="PB179" i="1"/>
  <c r="PE179" i="1"/>
  <c r="PF179" i="1"/>
  <c r="PG179" i="1"/>
  <c r="PH179" i="1"/>
  <c r="PI179" i="1"/>
  <c r="PJ179" i="1"/>
  <c r="PK179" i="1"/>
  <c r="PL179" i="1"/>
  <c r="PM179" i="1"/>
  <c r="PN179" i="1"/>
  <c r="PO179" i="1"/>
  <c r="PQ179" i="1"/>
  <c r="PR179" i="1"/>
  <c r="PT179" i="1"/>
  <c r="PU179" i="1"/>
  <c r="PZ179" i="1"/>
  <c r="QA179" i="1"/>
  <c r="QB179" i="1"/>
  <c r="QC179" i="1"/>
  <c r="QD179" i="1"/>
  <c r="QE179" i="1"/>
  <c r="QF179" i="1"/>
  <c r="QG179" i="1"/>
  <c r="QH179" i="1"/>
  <c r="QI179" i="1"/>
  <c r="QJ179" i="1"/>
  <c r="QK179" i="1"/>
  <c r="QL179" i="1"/>
  <c r="QM179" i="1"/>
  <c r="QN179" i="1"/>
  <c r="QO179" i="1"/>
  <c r="QP179" i="1"/>
  <c r="QQ179" i="1"/>
  <c r="QR179" i="1"/>
  <c r="QS179" i="1"/>
  <c r="QT179" i="1"/>
  <c r="QU179" i="1"/>
  <c r="QV179" i="1"/>
  <c r="QW179" i="1"/>
  <c r="QX179" i="1"/>
  <c r="I57" i="1"/>
  <c r="J57" i="1"/>
  <c r="K57" i="1"/>
  <c r="MM57" i="1"/>
  <c r="MN57" i="1"/>
  <c r="MO57" i="1"/>
  <c r="MP57" i="1"/>
  <c r="MQ57" i="1"/>
  <c r="MR57" i="1"/>
  <c r="MS57" i="1"/>
  <c r="MT57" i="1"/>
  <c r="MW57" i="1"/>
  <c r="MX57" i="1"/>
  <c r="MY57" i="1"/>
  <c r="MZ57" i="1"/>
  <c r="NA57" i="1"/>
  <c r="NB57" i="1"/>
  <c r="NE57" i="1"/>
  <c r="NF57" i="1"/>
  <c r="NC57" i="1"/>
  <c r="ND57" i="1"/>
  <c r="NG57" i="1"/>
  <c r="NH57" i="1"/>
  <c r="NI57" i="1"/>
  <c r="NJ57" i="1"/>
  <c r="NK57" i="1"/>
  <c r="NL57" i="1"/>
  <c r="NM57" i="1"/>
  <c r="NN57" i="1"/>
  <c r="NO57" i="1"/>
  <c r="NP57" i="1"/>
  <c r="NQ57" i="1"/>
  <c r="NR57" i="1"/>
  <c r="NS57" i="1"/>
  <c r="NT57" i="1"/>
  <c r="NU57" i="1"/>
  <c r="NV57" i="1"/>
  <c r="NW57" i="1"/>
  <c r="NX57" i="1"/>
  <c r="NY57" i="1"/>
  <c r="NZ57" i="1"/>
  <c r="OA57" i="1"/>
  <c r="OB57" i="1"/>
  <c r="OC57" i="1"/>
  <c r="OD57" i="1"/>
  <c r="OE57" i="1"/>
  <c r="OF57" i="1"/>
  <c r="OG57" i="1"/>
  <c r="OH57" i="1"/>
  <c r="OI57" i="1"/>
  <c r="OJ57" i="1"/>
  <c r="OM57" i="1"/>
  <c r="ON57" i="1"/>
  <c r="OO57" i="1"/>
  <c r="OP57" i="1"/>
  <c r="OQ57" i="1"/>
  <c r="OR57" i="1"/>
  <c r="OS57" i="1"/>
  <c r="OT57" i="1"/>
  <c r="OU57" i="1"/>
  <c r="OV57" i="1"/>
  <c r="OW57" i="1"/>
  <c r="OX57" i="1"/>
  <c r="OY57" i="1"/>
  <c r="PA57" i="1"/>
  <c r="PC57" i="1"/>
  <c r="PD57" i="1"/>
  <c r="PB57" i="1"/>
  <c r="PE57" i="1"/>
  <c r="PF57" i="1"/>
  <c r="PG57" i="1"/>
  <c r="PH57" i="1"/>
  <c r="PI57" i="1"/>
  <c r="PJ57" i="1"/>
  <c r="PK57" i="1"/>
  <c r="PL57" i="1"/>
  <c r="PM57" i="1"/>
  <c r="PN57" i="1"/>
  <c r="PO57" i="1"/>
  <c r="PQ57" i="1"/>
  <c r="PR57" i="1"/>
  <c r="PT57" i="1"/>
  <c r="PU57" i="1"/>
  <c r="PZ57" i="1"/>
  <c r="QA57" i="1"/>
  <c r="QB57" i="1"/>
  <c r="QC57" i="1"/>
  <c r="QD57" i="1"/>
  <c r="QE57" i="1"/>
  <c r="QF57" i="1"/>
  <c r="QG57" i="1"/>
  <c r="QH57" i="1"/>
  <c r="QI57" i="1"/>
  <c r="QJ57" i="1"/>
  <c r="QK57" i="1"/>
  <c r="QL57" i="1"/>
  <c r="QM57" i="1"/>
  <c r="QN57" i="1"/>
  <c r="QO57" i="1"/>
  <c r="QP57" i="1"/>
  <c r="QQ57" i="1"/>
  <c r="QR57" i="1"/>
  <c r="QS57" i="1"/>
  <c r="QT57" i="1"/>
  <c r="QU57" i="1"/>
  <c r="QV57" i="1"/>
  <c r="QW57" i="1"/>
  <c r="QX57" i="1"/>
  <c r="I128" i="1"/>
  <c r="J128" i="1"/>
  <c r="K128" i="1"/>
  <c r="MM128" i="1"/>
  <c r="MN128" i="1"/>
  <c r="MO128" i="1"/>
  <c r="MP128" i="1"/>
  <c r="MQ128" i="1"/>
  <c r="MR128" i="1"/>
  <c r="MS128" i="1"/>
  <c r="MT128" i="1"/>
  <c r="MW128" i="1"/>
  <c r="MX128" i="1"/>
  <c r="MY128" i="1"/>
  <c r="MZ128" i="1"/>
  <c r="NA128" i="1"/>
  <c r="NB128" i="1"/>
  <c r="NE128" i="1"/>
  <c r="NF128" i="1"/>
  <c r="NC128" i="1"/>
  <c r="ND128" i="1"/>
  <c r="NG128" i="1"/>
  <c r="NH128" i="1"/>
  <c r="NI128" i="1"/>
  <c r="NJ128" i="1"/>
  <c r="NK128" i="1"/>
  <c r="NL128" i="1"/>
  <c r="NM128" i="1"/>
  <c r="NN128" i="1"/>
  <c r="NO128" i="1"/>
  <c r="NP128" i="1"/>
  <c r="NQ128" i="1"/>
  <c r="NR128" i="1"/>
  <c r="NS128" i="1"/>
  <c r="NT128" i="1"/>
  <c r="NU128" i="1"/>
  <c r="NV128" i="1"/>
  <c r="NW128" i="1"/>
  <c r="NX128" i="1"/>
  <c r="NY128" i="1"/>
  <c r="NZ128" i="1"/>
  <c r="OA128" i="1"/>
  <c r="OB128" i="1"/>
  <c r="OC128" i="1"/>
  <c r="OD128" i="1"/>
  <c r="OE128" i="1"/>
  <c r="OF128" i="1"/>
  <c r="OG128" i="1"/>
  <c r="OH128" i="1"/>
  <c r="OI128" i="1"/>
  <c r="OJ128" i="1"/>
  <c r="OM128" i="1"/>
  <c r="ON128" i="1"/>
  <c r="OO128" i="1"/>
  <c r="OP128" i="1"/>
  <c r="OQ128" i="1"/>
  <c r="OR128" i="1"/>
  <c r="OS128" i="1"/>
  <c r="OT128" i="1"/>
  <c r="OU128" i="1"/>
  <c r="OV128" i="1"/>
  <c r="OW128" i="1"/>
  <c r="OX128" i="1"/>
  <c r="OY128" i="1"/>
  <c r="PA128" i="1"/>
  <c r="PC128" i="1"/>
  <c r="PD128" i="1"/>
  <c r="PB128" i="1"/>
  <c r="BH126" i="148" s="1"/>
  <c r="PE128" i="1"/>
  <c r="PF128" i="1"/>
  <c r="PG128" i="1"/>
  <c r="PH128" i="1"/>
  <c r="PI128" i="1"/>
  <c r="PJ128" i="1"/>
  <c r="PK128" i="1"/>
  <c r="PL128" i="1"/>
  <c r="PM128" i="1"/>
  <c r="PN128" i="1"/>
  <c r="PO128" i="1"/>
  <c r="PQ128" i="1"/>
  <c r="PR128" i="1"/>
  <c r="PT128" i="1"/>
  <c r="PU128" i="1"/>
  <c r="PZ128" i="1"/>
  <c r="QA128" i="1"/>
  <c r="QB128" i="1"/>
  <c r="QC128" i="1"/>
  <c r="QD128" i="1"/>
  <c r="QE128" i="1"/>
  <c r="QF128" i="1"/>
  <c r="QG128" i="1"/>
  <c r="QH128" i="1"/>
  <c r="QI128" i="1"/>
  <c r="QJ128" i="1"/>
  <c r="QK128" i="1"/>
  <c r="QL128" i="1"/>
  <c r="QM128" i="1"/>
  <c r="QN128" i="1"/>
  <c r="QO128" i="1"/>
  <c r="QP128" i="1"/>
  <c r="QQ128" i="1"/>
  <c r="QR128" i="1"/>
  <c r="QS128" i="1"/>
  <c r="QT128" i="1"/>
  <c r="QU128" i="1"/>
  <c r="QV128" i="1"/>
  <c r="QW128" i="1"/>
  <c r="QX128" i="1"/>
  <c r="I134" i="1"/>
  <c r="J134" i="1"/>
  <c r="K134" i="1"/>
  <c r="MM134" i="1"/>
  <c r="MN134" i="1"/>
  <c r="MO134" i="1"/>
  <c r="MP134" i="1"/>
  <c r="MQ134" i="1"/>
  <c r="MR134" i="1"/>
  <c r="MS134" i="1"/>
  <c r="MT134" i="1"/>
  <c r="MW134" i="1"/>
  <c r="MX134" i="1"/>
  <c r="MY134" i="1"/>
  <c r="MZ134" i="1"/>
  <c r="NA134" i="1"/>
  <c r="NB134" i="1"/>
  <c r="NE134" i="1"/>
  <c r="NF134" i="1"/>
  <c r="NC134" i="1"/>
  <c r="ND134" i="1"/>
  <c r="NG134" i="1"/>
  <c r="NH134" i="1"/>
  <c r="NI134" i="1"/>
  <c r="NJ134" i="1"/>
  <c r="NK134" i="1"/>
  <c r="NL134" i="1"/>
  <c r="NM134" i="1"/>
  <c r="NN134" i="1"/>
  <c r="NO134" i="1"/>
  <c r="NP134" i="1"/>
  <c r="NQ134" i="1"/>
  <c r="NR134" i="1"/>
  <c r="NS134" i="1"/>
  <c r="NT134" i="1"/>
  <c r="NU134" i="1"/>
  <c r="NV134" i="1"/>
  <c r="NW134" i="1"/>
  <c r="NX134" i="1"/>
  <c r="NY134" i="1"/>
  <c r="NZ134" i="1"/>
  <c r="OA134" i="1"/>
  <c r="OB134" i="1"/>
  <c r="OC134" i="1"/>
  <c r="OD134" i="1"/>
  <c r="OE134" i="1"/>
  <c r="OF134" i="1"/>
  <c r="OG134" i="1"/>
  <c r="OH134" i="1"/>
  <c r="OI134" i="1"/>
  <c r="OJ134" i="1"/>
  <c r="OM134" i="1"/>
  <c r="ON134" i="1"/>
  <c r="OO134" i="1"/>
  <c r="OP134" i="1"/>
  <c r="OQ134" i="1"/>
  <c r="OR134" i="1"/>
  <c r="OS134" i="1"/>
  <c r="OT134" i="1"/>
  <c r="OU134" i="1"/>
  <c r="OV134" i="1"/>
  <c r="OW134" i="1"/>
  <c r="OX134" i="1"/>
  <c r="OY134" i="1"/>
  <c r="PA134" i="1"/>
  <c r="PC134" i="1"/>
  <c r="PD134" i="1"/>
  <c r="PB134" i="1"/>
  <c r="PE134" i="1"/>
  <c r="PF134" i="1"/>
  <c r="PG134" i="1"/>
  <c r="PH134" i="1"/>
  <c r="PI134" i="1"/>
  <c r="PJ134" i="1"/>
  <c r="PK134" i="1"/>
  <c r="PL134" i="1"/>
  <c r="PM134" i="1"/>
  <c r="PN134" i="1"/>
  <c r="PO134" i="1"/>
  <c r="PQ134" i="1"/>
  <c r="PR134" i="1"/>
  <c r="PT134" i="1"/>
  <c r="PU134" i="1"/>
  <c r="PZ134" i="1"/>
  <c r="QA134" i="1"/>
  <c r="QB134" i="1"/>
  <c r="QC134" i="1"/>
  <c r="QD134" i="1"/>
  <c r="QE134" i="1"/>
  <c r="QF134" i="1"/>
  <c r="QG134" i="1"/>
  <c r="QH134" i="1"/>
  <c r="QI134" i="1"/>
  <c r="QJ134" i="1"/>
  <c r="QK134" i="1"/>
  <c r="QL134" i="1"/>
  <c r="QM134" i="1"/>
  <c r="QN134" i="1"/>
  <c r="QO134" i="1"/>
  <c r="QP134" i="1"/>
  <c r="QQ134" i="1"/>
  <c r="QR134" i="1"/>
  <c r="QS134" i="1"/>
  <c r="QT134" i="1"/>
  <c r="QU134" i="1"/>
  <c r="QV134" i="1"/>
  <c r="QW134" i="1"/>
  <c r="QX134" i="1"/>
  <c r="I144" i="1"/>
  <c r="J144" i="1"/>
  <c r="K144" i="1"/>
  <c r="MM144" i="1"/>
  <c r="MN144" i="1"/>
  <c r="MO144" i="1"/>
  <c r="MP144" i="1"/>
  <c r="MQ144" i="1"/>
  <c r="MR144" i="1"/>
  <c r="MS144" i="1"/>
  <c r="MT144" i="1"/>
  <c r="MW144" i="1"/>
  <c r="MX144" i="1"/>
  <c r="MY144" i="1"/>
  <c r="MZ144" i="1"/>
  <c r="NA144" i="1"/>
  <c r="NB144" i="1"/>
  <c r="NE144" i="1"/>
  <c r="NF144" i="1"/>
  <c r="NC144" i="1"/>
  <c r="ND144" i="1"/>
  <c r="NG144" i="1"/>
  <c r="NH144" i="1"/>
  <c r="NI144" i="1"/>
  <c r="NJ144" i="1"/>
  <c r="NK144" i="1"/>
  <c r="NL144" i="1"/>
  <c r="NM144" i="1"/>
  <c r="NN144" i="1"/>
  <c r="NO144" i="1"/>
  <c r="NP144" i="1"/>
  <c r="NQ144" i="1"/>
  <c r="NR144" i="1"/>
  <c r="NS144" i="1"/>
  <c r="NT144" i="1"/>
  <c r="NU144" i="1"/>
  <c r="NV144" i="1"/>
  <c r="NW144" i="1"/>
  <c r="NX144" i="1"/>
  <c r="NY144" i="1"/>
  <c r="NZ144" i="1"/>
  <c r="OA144" i="1"/>
  <c r="OB144" i="1"/>
  <c r="OC144" i="1"/>
  <c r="OD144" i="1"/>
  <c r="OE144" i="1"/>
  <c r="OF144" i="1"/>
  <c r="OG144" i="1"/>
  <c r="OH144" i="1"/>
  <c r="OI144" i="1"/>
  <c r="OJ144" i="1"/>
  <c r="OM144" i="1"/>
  <c r="ON144" i="1"/>
  <c r="OO144" i="1"/>
  <c r="OP144" i="1"/>
  <c r="OQ144" i="1"/>
  <c r="OR144" i="1"/>
  <c r="OS144" i="1"/>
  <c r="OT144" i="1"/>
  <c r="OU144" i="1"/>
  <c r="OV144" i="1"/>
  <c r="OW144" i="1"/>
  <c r="OX144" i="1"/>
  <c r="OY144" i="1"/>
  <c r="PA144" i="1"/>
  <c r="PC144" i="1"/>
  <c r="PD144" i="1"/>
  <c r="PB144" i="1"/>
  <c r="PE144" i="1"/>
  <c r="PF144" i="1"/>
  <c r="PG144" i="1"/>
  <c r="PH144" i="1"/>
  <c r="PI144" i="1"/>
  <c r="PJ144" i="1"/>
  <c r="PK144" i="1"/>
  <c r="PL144" i="1"/>
  <c r="PM144" i="1"/>
  <c r="PN144" i="1"/>
  <c r="PO144" i="1"/>
  <c r="PQ144" i="1"/>
  <c r="PR144" i="1"/>
  <c r="PT144" i="1"/>
  <c r="PU144" i="1"/>
  <c r="PZ144" i="1"/>
  <c r="QA144" i="1"/>
  <c r="QB144" i="1"/>
  <c r="QC144" i="1"/>
  <c r="QD144" i="1"/>
  <c r="QE144" i="1"/>
  <c r="QF144" i="1"/>
  <c r="QG144" i="1"/>
  <c r="QH144" i="1"/>
  <c r="QI144" i="1"/>
  <c r="QJ144" i="1"/>
  <c r="QK144" i="1"/>
  <c r="QL144" i="1"/>
  <c r="QM144" i="1"/>
  <c r="QN144" i="1"/>
  <c r="QO144" i="1"/>
  <c r="QP144" i="1"/>
  <c r="QQ144" i="1"/>
  <c r="QR144" i="1"/>
  <c r="QS144" i="1"/>
  <c r="QT144" i="1"/>
  <c r="QU144" i="1"/>
  <c r="QV144" i="1"/>
  <c r="QW144" i="1"/>
  <c r="QX144" i="1"/>
  <c r="I110" i="1"/>
  <c r="J110" i="1"/>
  <c r="K110" i="1"/>
  <c r="MM110" i="1"/>
  <c r="MN110" i="1"/>
  <c r="MO110" i="1"/>
  <c r="MP110" i="1"/>
  <c r="MQ110" i="1"/>
  <c r="MR110" i="1"/>
  <c r="MS110" i="1"/>
  <c r="MT110" i="1"/>
  <c r="MW110" i="1"/>
  <c r="MX110" i="1"/>
  <c r="MY110" i="1"/>
  <c r="MZ110" i="1"/>
  <c r="NA110" i="1"/>
  <c r="NB110" i="1"/>
  <c r="NE110" i="1"/>
  <c r="NF110" i="1"/>
  <c r="NC110" i="1"/>
  <c r="ND110" i="1"/>
  <c r="NG110" i="1"/>
  <c r="NH110" i="1"/>
  <c r="NI110" i="1"/>
  <c r="NJ110" i="1"/>
  <c r="NK110" i="1"/>
  <c r="NL110" i="1"/>
  <c r="NM110" i="1"/>
  <c r="NN110" i="1"/>
  <c r="NO110" i="1"/>
  <c r="NP110" i="1"/>
  <c r="NQ110" i="1"/>
  <c r="NR110" i="1"/>
  <c r="NS110" i="1"/>
  <c r="NT110" i="1"/>
  <c r="NU110" i="1"/>
  <c r="NV110" i="1"/>
  <c r="NW110" i="1"/>
  <c r="NX110" i="1"/>
  <c r="NY110" i="1"/>
  <c r="NZ110" i="1"/>
  <c r="OA110" i="1"/>
  <c r="OB110" i="1"/>
  <c r="OC110" i="1"/>
  <c r="OD110" i="1"/>
  <c r="OE110" i="1"/>
  <c r="OF110" i="1"/>
  <c r="OG110" i="1"/>
  <c r="OH110" i="1"/>
  <c r="OI110" i="1"/>
  <c r="OJ110" i="1"/>
  <c r="OM110" i="1"/>
  <c r="ON110" i="1"/>
  <c r="OO110" i="1"/>
  <c r="OP110" i="1"/>
  <c r="OQ110" i="1"/>
  <c r="OR110" i="1"/>
  <c r="OS110" i="1"/>
  <c r="OT110" i="1"/>
  <c r="OU110" i="1"/>
  <c r="OV110" i="1"/>
  <c r="OW110" i="1"/>
  <c r="OX110" i="1"/>
  <c r="OY110" i="1"/>
  <c r="PA110" i="1"/>
  <c r="PC110" i="1"/>
  <c r="PD110" i="1"/>
  <c r="PB110" i="1"/>
  <c r="PE110" i="1"/>
  <c r="PF110" i="1"/>
  <c r="PG110" i="1"/>
  <c r="PH110" i="1"/>
  <c r="PI110" i="1"/>
  <c r="PJ110" i="1"/>
  <c r="PK110" i="1"/>
  <c r="PL110" i="1"/>
  <c r="PM110" i="1"/>
  <c r="PN110" i="1"/>
  <c r="PO110" i="1"/>
  <c r="PQ110" i="1"/>
  <c r="PR110" i="1"/>
  <c r="PT110" i="1"/>
  <c r="PU110" i="1"/>
  <c r="PZ110" i="1"/>
  <c r="QA110" i="1"/>
  <c r="QB110" i="1"/>
  <c r="QC110" i="1"/>
  <c r="QD110" i="1"/>
  <c r="QE110" i="1"/>
  <c r="QF110" i="1"/>
  <c r="QG110" i="1"/>
  <c r="QH110" i="1"/>
  <c r="QI110" i="1"/>
  <c r="QJ110" i="1"/>
  <c r="QK110" i="1"/>
  <c r="QL110" i="1"/>
  <c r="QM110" i="1"/>
  <c r="QN110" i="1"/>
  <c r="QO110" i="1"/>
  <c r="QP110" i="1"/>
  <c r="QQ110" i="1"/>
  <c r="QR110" i="1"/>
  <c r="QS110" i="1"/>
  <c r="QT110" i="1"/>
  <c r="QU110" i="1"/>
  <c r="QV110" i="1"/>
  <c r="QW110" i="1"/>
  <c r="QX110" i="1"/>
  <c r="I95" i="1"/>
  <c r="J95" i="1"/>
  <c r="K95" i="1"/>
  <c r="MM95" i="1"/>
  <c r="MN95" i="1"/>
  <c r="MO95" i="1"/>
  <c r="MP95" i="1"/>
  <c r="MQ95" i="1"/>
  <c r="MR95" i="1"/>
  <c r="MS95" i="1"/>
  <c r="MT95" i="1"/>
  <c r="MW95" i="1"/>
  <c r="MX95" i="1"/>
  <c r="MY95" i="1"/>
  <c r="MZ95" i="1"/>
  <c r="NA95" i="1"/>
  <c r="NB95" i="1"/>
  <c r="NE95" i="1"/>
  <c r="NF95" i="1"/>
  <c r="NC95" i="1"/>
  <c r="ND95" i="1"/>
  <c r="NG95" i="1"/>
  <c r="NH95" i="1"/>
  <c r="NI95" i="1"/>
  <c r="NJ95" i="1"/>
  <c r="NK95" i="1"/>
  <c r="NL95" i="1"/>
  <c r="NM95" i="1"/>
  <c r="NN95" i="1"/>
  <c r="NO95" i="1"/>
  <c r="NP95" i="1"/>
  <c r="NQ95" i="1"/>
  <c r="NR95" i="1"/>
  <c r="NS95" i="1"/>
  <c r="NT95" i="1"/>
  <c r="NU95" i="1"/>
  <c r="NV95" i="1"/>
  <c r="NW95" i="1"/>
  <c r="NX95" i="1"/>
  <c r="NY95" i="1"/>
  <c r="NZ95" i="1"/>
  <c r="OA95" i="1"/>
  <c r="OB95" i="1"/>
  <c r="OC95" i="1"/>
  <c r="OD95" i="1"/>
  <c r="OE95" i="1"/>
  <c r="OF95" i="1"/>
  <c r="OG95" i="1"/>
  <c r="OH95" i="1"/>
  <c r="OI95" i="1"/>
  <c r="OJ95" i="1"/>
  <c r="OM95" i="1"/>
  <c r="ON95" i="1"/>
  <c r="OO95" i="1"/>
  <c r="OP95" i="1"/>
  <c r="OQ95" i="1"/>
  <c r="OR95" i="1"/>
  <c r="OS95" i="1"/>
  <c r="OT95" i="1"/>
  <c r="OU95" i="1"/>
  <c r="OV95" i="1"/>
  <c r="OW95" i="1"/>
  <c r="OX95" i="1"/>
  <c r="OY95" i="1"/>
  <c r="PA95" i="1"/>
  <c r="PC95" i="1"/>
  <c r="PD95" i="1"/>
  <c r="PB95" i="1"/>
  <c r="PE95" i="1"/>
  <c r="PF95" i="1"/>
  <c r="PG95" i="1"/>
  <c r="PH95" i="1"/>
  <c r="PI95" i="1"/>
  <c r="PJ95" i="1"/>
  <c r="PK95" i="1"/>
  <c r="PL95" i="1"/>
  <c r="PM95" i="1"/>
  <c r="PN95" i="1"/>
  <c r="PO95" i="1"/>
  <c r="PQ95" i="1"/>
  <c r="PR95" i="1"/>
  <c r="PT95" i="1"/>
  <c r="PU95" i="1"/>
  <c r="PZ95" i="1"/>
  <c r="QA95" i="1"/>
  <c r="QB95" i="1"/>
  <c r="QC95" i="1"/>
  <c r="QD95" i="1"/>
  <c r="QE95" i="1"/>
  <c r="QF95" i="1"/>
  <c r="QG95" i="1"/>
  <c r="QH95" i="1"/>
  <c r="QI95" i="1"/>
  <c r="QJ95" i="1"/>
  <c r="QK95" i="1"/>
  <c r="QL95" i="1"/>
  <c r="QM95" i="1"/>
  <c r="QN95" i="1"/>
  <c r="QO95" i="1"/>
  <c r="QP95" i="1"/>
  <c r="QQ95" i="1"/>
  <c r="QR95" i="1"/>
  <c r="QS95" i="1"/>
  <c r="QT95" i="1"/>
  <c r="QU95" i="1"/>
  <c r="QV95" i="1"/>
  <c r="QW95" i="1"/>
  <c r="QX95" i="1"/>
  <c r="I99" i="1"/>
  <c r="J99" i="1"/>
  <c r="K99" i="1"/>
  <c r="MM99" i="1"/>
  <c r="MN99" i="1"/>
  <c r="MO99" i="1"/>
  <c r="MP99" i="1"/>
  <c r="MQ99" i="1"/>
  <c r="MR99" i="1"/>
  <c r="MS99" i="1"/>
  <c r="MT99" i="1"/>
  <c r="MW99" i="1"/>
  <c r="MX99" i="1"/>
  <c r="MY99" i="1"/>
  <c r="MZ99" i="1"/>
  <c r="NA99" i="1"/>
  <c r="NB99" i="1"/>
  <c r="NE99" i="1"/>
  <c r="NF99" i="1"/>
  <c r="NC99" i="1"/>
  <c r="ND99" i="1"/>
  <c r="NG99" i="1"/>
  <c r="NH99" i="1"/>
  <c r="NI99" i="1"/>
  <c r="NJ99" i="1"/>
  <c r="NK99" i="1"/>
  <c r="NL99" i="1"/>
  <c r="NM99" i="1"/>
  <c r="NN99" i="1"/>
  <c r="NO99" i="1"/>
  <c r="NP99" i="1"/>
  <c r="NQ99" i="1"/>
  <c r="NR99" i="1"/>
  <c r="NS99" i="1"/>
  <c r="NT99" i="1"/>
  <c r="NU99" i="1"/>
  <c r="NV99" i="1"/>
  <c r="NW99" i="1"/>
  <c r="NX99" i="1"/>
  <c r="NY99" i="1"/>
  <c r="NZ99" i="1"/>
  <c r="OA99" i="1"/>
  <c r="OB99" i="1"/>
  <c r="OC99" i="1"/>
  <c r="OD99" i="1"/>
  <c r="OE99" i="1"/>
  <c r="OF99" i="1"/>
  <c r="OG99" i="1"/>
  <c r="OH99" i="1"/>
  <c r="OI99" i="1"/>
  <c r="OJ99" i="1"/>
  <c r="OM99" i="1"/>
  <c r="ON99" i="1"/>
  <c r="OO99" i="1"/>
  <c r="OP99" i="1"/>
  <c r="OQ99" i="1"/>
  <c r="OR99" i="1"/>
  <c r="OS99" i="1"/>
  <c r="OT99" i="1"/>
  <c r="OU99" i="1"/>
  <c r="OV99" i="1"/>
  <c r="OW99" i="1"/>
  <c r="OX99" i="1"/>
  <c r="OY99" i="1"/>
  <c r="PA99" i="1"/>
  <c r="PC99" i="1"/>
  <c r="PD99" i="1"/>
  <c r="PB99" i="1"/>
  <c r="PE99" i="1"/>
  <c r="PF99" i="1"/>
  <c r="PG99" i="1"/>
  <c r="PH99" i="1"/>
  <c r="PI99" i="1"/>
  <c r="PJ99" i="1"/>
  <c r="PK99" i="1"/>
  <c r="PL99" i="1"/>
  <c r="PM99" i="1"/>
  <c r="PN99" i="1"/>
  <c r="PO99" i="1"/>
  <c r="PQ99" i="1"/>
  <c r="PR99" i="1"/>
  <c r="PT99" i="1"/>
  <c r="PU99" i="1"/>
  <c r="PZ99" i="1"/>
  <c r="QA99" i="1"/>
  <c r="QB99" i="1"/>
  <c r="QC99" i="1"/>
  <c r="QD99" i="1"/>
  <c r="QE99" i="1"/>
  <c r="QF99" i="1"/>
  <c r="QG99" i="1"/>
  <c r="QH99" i="1"/>
  <c r="QI99" i="1"/>
  <c r="QJ99" i="1"/>
  <c r="QK99" i="1"/>
  <c r="QL99" i="1"/>
  <c r="QM99" i="1"/>
  <c r="QN99" i="1"/>
  <c r="QO99" i="1"/>
  <c r="QP99" i="1"/>
  <c r="QQ99" i="1"/>
  <c r="QR99" i="1"/>
  <c r="QS99" i="1"/>
  <c r="QT99" i="1"/>
  <c r="QU99" i="1"/>
  <c r="QV99" i="1"/>
  <c r="QW99" i="1"/>
  <c r="QX99" i="1"/>
  <c r="I80" i="1"/>
  <c r="J80" i="1"/>
  <c r="K80" i="1"/>
  <c r="MM80" i="1"/>
  <c r="MN80" i="1"/>
  <c r="MO80" i="1"/>
  <c r="MP80" i="1"/>
  <c r="MQ80" i="1"/>
  <c r="MR80" i="1"/>
  <c r="MS80" i="1"/>
  <c r="MT80" i="1"/>
  <c r="MW80" i="1"/>
  <c r="MX80" i="1"/>
  <c r="MY80" i="1"/>
  <c r="MZ80" i="1"/>
  <c r="NA80" i="1"/>
  <c r="NB80" i="1"/>
  <c r="NE80" i="1"/>
  <c r="NF80" i="1"/>
  <c r="NC80" i="1"/>
  <c r="ND80" i="1"/>
  <c r="NG80" i="1"/>
  <c r="NH80" i="1"/>
  <c r="NI80" i="1"/>
  <c r="NJ80" i="1"/>
  <c r="NK80" i="1"/>
  <c r="NL80" i="1"/>
  <c r="NM80" i="1"/>
  <c r="NN80" i="1"/>
  <c r="NO80" i="1"/>
  <c r="NP80" i="1"/>
  <c r="NQ80" i="1"/>
  <c r="NR80" i="1"/>
  <c r="NS80" i="1"/>
  <c r="NT80" i="1"/>
  <c r="NU80" i="1"/>
  <c r="NV80" i="1"/>
  <c r="NW80" i="1"/>
  <c r="NX80" i="1"/>
  <c r="NY80" i="1"/>
  <c r="NZ80" i="1"/>
  <c r="OA80" i="1"/>
  <c r="OB80" i="1"/>
  <c r="OC80" i="1"/>
  <c r="OD80" i="1"/>
  <c r="OE80" i="1"/>
  <c r="OF80" i="1"/>
  <c r="OG80" i="1"/>
  <c r="OH80" i="1"/>
  <c r="OI80" i="1"/>
  <c r="OJ80" i="1"/>
  <c r="OM80" i="1"/>
  <c r="ON80" i="1"/>
  <c r="OO80" i="1"/>
  <c r="OP80" i="1"/>
  <c r="OQ80" i="1"/>
  <c r="OR80" i="1"/>
  <c r="OS80" i="1"/>
  <c r="OT80" i="1"/>
  <c r="OU80" i="1"/>
  <c r="OV80" i="1"/>
  <c r="OW80" i="1"/>
  <c r="OX80" i="1"/>
  <c r="OY80" i="1"/>
  <c r="PA80" i="1"/>
  <c r="PC80" i="1"/>
  <c r="PD80" i="1"/>
  <c r="PB80" i="1"/>
  <c r="PE80" i="1"/>
  <c r="PF80" i="1"/>
  <c r="PG80" i="1"/>
  <c r="PH80" i="1"/>
  <c r="PI80" i="1"/>
  <c r="PJ80" i="1"/>
  <c r="PK80" i="1"/>
  <c r="PL80" i="1"/>
  <c r="PM80" i="1"/>
  <c r="PN80" i="1"/>
  <c r="PO80" i="1"/>
  <c r="PQ80" i="1"/>
  <c r="PR80" i="1"/>
  <c r="PT80" i="1"/>
  <c r="PU80" i="1"/>
  <c r="PZ80" i="1"/>
  <c r="QA80" i="1"/>
  <c r="QB80" i="1"/>
  <c r="QC80" i="1"/>
  <c r="QD80" i="1"/>
  <c r="QE80" i="1"/>
  <c r="QF80" i="1"/>
  <c r="QG80" i="1"/>
  <c r="QH80" i="1"/>
  <c r="QI80" i="1"/>
  <c r="QJ80" i="1"/>
  <c r="QK80" i="1"/>
  <c r="QL80" i="1"/>
  <c r="QM80" i="1"/>
  <c r="QN80" i="1"/>
  <c r="QO80" i="1"/>
  <c r="QP80" i="1"/>
  <c r="QQ80" i="1"/>
  <c r="QR80" i="1"/>
  <c r="QS80" i="1"/>
  <c r="QT80" i="1"/>
  <c r="QU80" i="1"/>
  <c r="QV80" i="1"/>
  <c r="QW80" i="1"/>
  <c r="QX80" i="1"/>
  <c r="I81" i="1"/>
  <c r="J81" i="1"/>
  <c r="K81" i="1"/>
  <c r="MM81" i="1"/>
  <c r="MN81" i="1"/>
  <c r="MO81" i="1"/>
  <c r="MP81" i="1"/>
  <c r="MQ81" i="1"/>
  <c r="MR81" i="1"/>
  <c r="MS81" i="1"/>
  <c r="MT81" i="1"/>
  <c r="MW81" i="1"/>
  <c r="MX81" i="1"/>
  <c r="MY81" i="1"/>
  <c r="MZ81" i="1"/>
  <c r="NA81" i="1"/>
  <c r="NB81" i="1"/>
  <c r="NE81" i="1"/>
  <c r="NF81" i="1"/>
  <c r="NC81" i="1"/>
  <c r="ND81" i="1"/>
  <c r="NG81" i="1"/>
  <c r="NH81" i="1"/>
  <c r="NI81" i="1"/>
  <c r="NJ81" i="1"/>
  <c r="NK81" i="1"/>
  <c r="NL81" i="1"/>
  <c r="NM81" i="1"/>
  <c r="NN81" i="1"/>
  <c r="NO81" i="1"/>
  <c r="NP81" i="1"/>
  <c r="NQ81" i="1"/>
  <c r="NR81" i="1"/>
  <c r="NS81" i="1"/>
  <c r="NT81" i="1"/>
  <c r="NU81" i="1"/>
  <c r="NV81" i="1"/>
  <c r="NW81" i="1"/>
  <c r="NX81" i="1"/>
  <c r="NY81" i="1"/>
  <c r="NZ81" i="1"/>
  <c r="OA81" i="1"/>
  <c r="OB81" i="1"/>
  <c r="OC81" i="1"/>
  <c r="OD81" i="1"/>
  <c r="OE81" i="1"/>
  <c r="OF81" i="1"/>
  <c r="OG81" i="1"/>
  <c r="OH81" i="1"/>
  <c r="OI81" i="1"/>
  <c r="OJ81" i="1"/>
  <c r="OM81" i="1"/>
  <c r="ON81" i="1"/>
  <c r="OO81" i="1"/>
  <c r="OP81" i="1"/>
  <c r="OQ81" i="1"/>
  <c r="OR81" i="1"/>
  <c r="OS81" i="1"/>
  <c r="OT81" i="1"/>
  <c r="OU81" i="1"/>
  <c r="OV81" i="1"/>
  <c r="OW81" i="1"/>
  <c r="OX81" i="1"/>
  <c r="OY81" i="1"/>
  <c r="PA81" i="1"/>
  <c r="PC81" i="1"/>
  <c r="PD81" i="1"/>
  <c r="PB81" i="1"/>
  <c r="PE81" i="1"/>
  <c r="PF81" i="1"/>
  <c r="PG81" i="1"/>
  <c r="PH81" i="1"/>
  <c r="PI81" i="1"/>
  <c r="PJ81" i="1"/>
  <c r="PK81" i="1"/>
  <c r="PL81" i="1"/>
  <c r="PM81" i="1"/>
  <c r="PN81" i="1"/>
  <c r="PO81" i="1"/>
  <c r="PQ81" i="1"/>
  <c r="PR81" i="1"/>
  <c r="PT81" i="1"/>
  <c r="PU81" i="1"/>
  <c r="PZ81" i="1"/>
  <c r="QA81" i="1"/>
  <c r="QB81" i="1"/>
  <c r="QC81" i="1"/>
  <c r="QD81" i="1"/>
  <c r="QE81" i="1"/>
  <c r="QF81" i="1"/>
  <c r="QG81" i="1"/>
  <c r="QH81" i="1"/>
  <c r="QI81" i="1"/>
  <c r="QJ81" i="1"/>
  <c r="QK81" i="1"/>
  <c r="QL81" i="1"/>
  <c r="QM81" i="1"/>
  <c r="QN81" i="1"/>
  <c r="QO81" i="1"/>
  <c r="QP81" i="1"/>
  <c r="QQ81" i="1"/>
  <c r="QR81" i="1"/>
  <c r="QS81" i="1"/>
  <c r="QT81" i="1"/>
  <c r="QU81" i="1"/>
  <c r="QV81" i="1"/>
  <c r="QW81" i="1"/>
  <c r="QX81" i="1"/>
  <c r="I100" i="1"/>
  <c r="J100" i="1"/>
  <c r="K100" i="1"/>
  <c r="MM100" i="1"/>
  <c r="MN100" i="1"/>
  <c r="MO100" i="1"/>
  <c r="MP100" i="1"/>
  <c r="MQ100" i="1"/>
  <c r="MR100" i="1"/>
  <c r="MS100" i="1"/>
  <c r="MT100" i="1"/>
  <c r="MW100" i="1"/>
  <c r="MX100" i="1"/>
  <c r="MY100" i="1"/>
  <c r="MZ100" i="1"/>
  <c r="NA100" i="1"/>
  <c r="NB100" i="1"/>
  <c r="NE100" i="1"/>
  <c r="NF100" i="1"/>
  <c r="NC100" i="1"/>
  <c r="ND100" i="1"/>
  <c r="NG100" i="1"/>
  <c r="NH100" i="1"/>
  <c r="NI100" i="1"/>
  <c r="NJ100" i="1"/>
  <c r="NK100" i="1"/>
  <c r="NL100" i="1"/>
  <c r="NM100" i="1"/>
  <c r="NN100" i="1"/>
  <c r="NO100" i="1"/>
  <c r="NP100" i="1"/>
  <c r="NQ100" i="1"/>
  <c r="NR100" i="1"/>
  <c r="NS100" i="1"/>
  <c r="NT100" i="1"/>
  <c r="NU100" i="1"/>
  <c r="NV100" i="1"/>
  <c r="NW100" i="1"/>
  <c r="NX100" i="1"/>
  <c r="NY100" i="1"/>
  <c r="NZ100" i="1"/>
  <c r="OA100" i="1"/>
  <c r="OB100" i="1"/>
  <c r="OC100" i="1"/>
  <c r="OD100" i="1"/>
  <c r="OE100" i="1"/>
  <c r="OF100" i="1"/>
  <c r="OG100" i="1"/>
  <c r="OH100" i="1"/>
  <c r="OI100" i="1"/>
  <c r="OJ100" i="1"/>
  <c r="OM100" i="1"/>
  <c r="ON100" i="1"/>
  <c r="OO100" i="1"/>
  <c r="OP100" i="1"/>
  <c r="OQ100" i="1"/>
  <c r="OR100" i="1"/>
  <c r="OS100" i="1"/>
  <c r="OT100" i="1"/>
  <c r="OU100" i="1"/>
  <c r="OV100" i="1"/>
  <c r="OW100" i="1"/>
  <c r="OX100" i="1"/>
  <c r="OY100" i="1"/>
  <c r="PA100" i="1"/>
  <c r="PC100" i="1"/>
  <c r="PD100" i="1"/>
  <c r="PB100" i="1"/>
  <c r="BH112" i="148" s="1"/>
  <c r="PE100" i="1"/>
  <c r="PF100" i="1"/>
  <c r="PG100" i="1"/>
  <c r="PH100" i="1"/>
  <c r="PI100" i="1"/>
  <c r="PJ100" i="1"/>
  <c r="PK100" i="1"/>
  <c r="PL100" i="1"/>
  <c r="PM100" i="1"/>
  <c r="PN100" i="1"/>
  <c r="PO100" i="1"/>
  <c r="PQ100" i="1"/>
  <c r="PR100" i="1"/>
  <c r="PT100" i="1"/>
  <c r="PU100" i="1"/>
  <c r="PZ100" i="1"/>
  <c r="QA100" i="1"/>
  <c r="QB100" i="1"/>
  <c r="QC100" i="1"/>
  <c r="QD100" i="1"/>
  <c r="QE100" i="1"/>
  <c r="QF100" i="1"/>
  <c r="QG100" i="1"/>
  <c r="QH100" i="1"/>
  <c r="QI100" i="1"/>
  <c r="QJ100" i="1"/>
  <c r="QK100" i="1"/>
  <c r="QL100" i="1"/>
  <c r="QM100" i="1"/>
  <c r="QN100" i="1"/>
  <c r="QO100" i="1"/>
  <c r="QP100" i="1"/>
  <c r="QQ100" i="1"/>
  <c r="QR100" i="1"/>
  <c r="QS100" i="1"/>
  <c r="QT100" i="1"/>
  <c r="QU100" i="1"/>
  <c r="QV100" i="1"/>
  <c r="QW100" i="1"/>
  <c r="QX100" i="1"/>
  <c r="I60" i="1"/>
  <c r="J60" i="1"/>
  <c r="K60" i="1"/>
  <c r="MM60" i="1"/>
  <c r="MN60" i="1"/>
  <c r="MO60" i="1"/>
  <c r="MP60" i="1"/>
  <c r="MQ60" i="1"/>
  <c r="MR60" i="1"/>
  <c r="MS60" i="1"/>
  <c r="MT60" i="1"/>
  <c r="MW60" i="1"/>
  <c r="MX60" i="1"/>
  <c r="MY60" i="1"/>
  <c r="MZ60" i="1"/>
  <c r="NA60" i="1"/>
  <c r="NB60" i="1"/>
  <c r="NE60" i="1"/>
  <c r="NF60" i="1"/>
  <c r="NC60" i="1"/>
  <c r="ND60" i="1"/>
  <c r="NG60" i="1"/>
  <c r="NH60" i="1"/>
  <c r="NI60" i="1"/>
  <c r="NJ60" i="1"/>
  <c r="NK60" i="1"/>
  <c r="NL60" i="1"/>
  <c r="NM60" i="1"/>
  <c r="NN60" i="1"/>
  <c r="NO60" i="1"/>
  <c r="NP60" i="1"/>
  <c r="NQ60" i="1"/>
  <c r="NR60" i="1"/>
  <c r="NS60" i="1"/>
  <c r="NT60" i="1"/>
  <c r="NU60" i="1"/>
  <c r="NV60" i="1"/>
  <c r="NW60" i="1"/>
  <c r="NX60" i="1"/>
  <c r="NY60" i="1"/>
  <c r="NZ60" i="1"/>
  <c r="OA60" i="1"/>
  <c r="OB60" i="1"/>
  <c r="OC60" i="1"/>
  <c r="OD60" i="1"/>
  <c r="OE60" i="1"/>
  <c r="OF60" i="1"/>
  <c r="OG60" i="1"/>
  <c r="OH60" i="1"/>
  <c r="OI60" i="1"/>
  <c r="OJ60" i="1"/>
  <c r="OM60" i="1"/>
  <c r="ON60" i="1"/>
  <c r="OO60" i="1"/>
  <c r="OP60" i="1"/>
  <c r="OQ60" i="1"/>
  <c r="OR60" i="1"/>
  <c r="OS60" i="1"/>
  <c r="OT60" i="1"/>
  <c r="OU60" i="1"/>
  <c r="OV60" i="1"/>
  <c r="OW60" i="1"/>
  <c r="OX60" i="1"/>
  <c r="OY60" i="1"/>
  <c r="PA60" i="1"/>
  <c r="PC60" i="1"/>
  <c r="PD60" i="1"/>
  <c r="PB60" i="1"/>
  <c r="PE60" i="1"/>
  <c r="PF60" i="1"/>
  <c r="PG60" i="1"/>
  <c r="PH60" i="1"/>
  <c r="PI60" i="1"/>
  <c r="PJ60" i="1"/>
  <c r="PK60" i="1"/>
  <c r="PL60" i="1"/>
  <c r="PM60" i="1"/>
  <c r="PN60" i="1"/>
  <c r="PO60" i="1"/>
  <c r="PQ60" i="1"/>
  <c r="PR60" i="1"/>
  <c r="PT60" i="1"/>
  <c r="PU60" i="1"/>
  <c r="PZ60" i="1"/>
  <c r="QA60" i="1"/>
  <c r="QB60" i="1"/>
  <c r="QC60" i="1"/>
  <c r="QD60" i="1"/>
  <c r="QE60" i="1"/>
  <c r="QF60" i="1"/>
  <c r="QG60" i="1"/>
  <c r="QH60" i="1"/>
  <c r="QI60" i="1"/>
  <c r="QJ60" i="1"/>
  <c r="QK60" i="1"/>
  <c r="QL60" i="1"/>
  <c r="QM60" i="1"/>
  <c r="QN60" i="1"/>
  <c r="QO60" i="1"/>
  <c r="QP60" i="1"/>
  <c r="QQ60" i="1"/>
  <c r="QR60" i="1"/>
  <c r="QS60" i="1"/>
  <c r="QT60" i="1"/>
  <c r="QU60" i="1"/>
  <c r="QV60" i="1"/>
  <c r="QW60" i="1"/>
  <c r="QX60" i="1"/>
  <c r="I123" i="1"/>
  <c r="J123" i="1"/>
  <c r="K123" i="1"/>
  <c r="MM123" i="1"/>
  <c r="MN123" i="1"/>
  <c r="MO123" i="1"/>
  <c r="MP123" i="1"/>
  <c r="MQ123" i="1"/>
  <c r="MR123" i="1"/>
  <c r="MS123" i="1"/>
  <c r="MT123" i="1"/>
  <c r="MW123" i="1"/>
  <c r="MX123" i="1"/>
  <c r="MY123" i="1"/>
  <c r="MZ123" i="1"/>
  <c r="NA123" i="1"/>
  <c r="NB123" i="1"/>
  <c r="NE123" i="1"/>
  <c r="NF123" i="1"/>
  <c r="NC123" i="1"/>
  <c r="ND123" i="1"/>
  <c r="NG123" i="1"/>
  <c r="NH123" i="1"/>
  <c r="NI123" i="1"/>
  <c r="NJ123" i="1"/>
  <c r="NK123" i="1"/>
  <c r="NL123" i="1"/>
  <c r="NM123" i="1"/>
  <c r="NN123" i="1"/>
  <c r="NO123" i="1"/>
  <c r="NP123" i="1"/>
  <c r="NQ123" i="1"/>
  <c r="NR123" i="1"/>
  <c r="NS123" i="1"/>
  <c r="NT123" i="1"/>
  <c r="NU123" i="1"/>
  <c r="NV123" i="1"/>
  <c r="NW123" i="1"/>
  <c r="NX123" i="1"/>
  <c r="NY123" i="1"/>
  <c r="NZ123" i="1"/>
  <c r="OA123" i="1"/>
  <c r="OB123" i="1"/>
  <c r="OC123" i="1"/>
  <c r="OD123" i="1"/>
  <c r="OE123" i="1"/>
  <c r="OF123" i="1"/>
  <c r="OG123" i="1"/>
  <c r="OH123" i="1"/>
  <c r="OI123" i="1"/>
  <c r="OJ123" i="1"/>
  <c r="OM123" i="1"/>
  <c r="ON123" i="1"/>
  <c r="OO123" i="1"/>
  <c r="OP123" i="1"/>
  <c r="OQ123" i="1"/>
  <c r="OR123" i="1"/>
  <c r="OS123" i="1"/>
  <c r="OT123" i="1"/>
  <c r="OU123" i="1"/>
  <c r="OV123" i="1"/>
  <c r="OW123" i="1"/>
  <c r="OX123" i="1"/>
  <c r="OY123" i="1"/>
  <c r="PA123" i="1"/>
  <c r="PC123" i="1"/>
  <c r="PD123" i="1"/>
  <c r="PB123" i="1"/>
  <c r="PE123" i="1"/>
  <c r="PF123" i="1"/>
  <c r="PG123" i="1"/>
  <c r="PH123" i="1"/>
  <c r="PI123" i="1"/>
  <c r="PJ123" i="1"/>
  <c r="PK123" i="1"/>
  <c r="PL123" i="1"/>
  <c r="PM123" i="1"/>
  <c r="PN123" i="1"/>
  <c r="PO123" i="1"/>
  <c r="PQ123" i="1"/>
  <c r="PR123" i="1"/>
  <c r="PT123" i="1"/>
  <c r="PU123" i="1"/>
  <c r="PZ123" i="1"/>
  <c r="QA123" i="1"/>
  <c r="QB123" i="1"/>
  <c r="QC123" i="1"/>
  <c r="QD123" i="1"/>
  <c r="QE123" i="1"/>
  <c r="QF123" i="1"/>
  <c r="QG123" i="1"/>
  <c r="QH123" i="1"/>
  <c r="QI123" i="1"/>
  <c r="QJ123" i="1"/>
  <c r="QK123" i="1"/>
  <c r="QL123" i="1"/>
  <c r="QM123" i="1"/>
  <c r="QN123" i="1"/>
  <c r="QO123" i="1"/>
  <c r="QP123" i="1"/>
  <c r="QQ123" i="1"/>
  <c r="QR123" i="1"/>
  <c r="QS123" i="1"/>
  <c r="QT123" i="1"/>
  <c r="QU123" i="1"/>
  <c r="QV123" i="1"/>
  <c r="QW123" i="1"/>
  <c r="QX123" i="1"/>
  <c r="I86" i="1"/>
  <c r="J86" i="1"/>
  <c r="K86" i="1"/>
  <c r="MM86" i="1"/>
  <c r="MN86" i="1"/>
  <c r="MO86" i="1"/>
  <c r="MP86" i="1"/>
  <c r="MQ86" i="1"/>
  <c r="MR86" i="1"/>
  <c r="MS86" i="1"/>
  <c r="MT86" i="1"/>
  <c r="MW86" i="1"/>
  <c r="MX86" i="1"/>
  <c r="MY86" i="1"/>
  <c r="MZ86" i="1"/>
  <c r="NA86" i="1"/>
  <c r="NB86" i="1"/>
  <c r="NE86" i="1"/>
  <c r="NF86" i="1"/>
  <c r="NC86" i="1"/>
  <c r="ND86" i="1"/>
  <c r="NG86" i="1"/>
  <c r="NH86" i="1"/>
  <c r="NI86" i="1"/>
  <c r="NJ86" i="1"/>
  <c r="NK86" i="1"/>
  <c r="NL86" i="1"/>
  <c r="NM86" i="1"/>
  <c r="NN86" i="1"/>
  <c r="NO86" i="1"/>
  <c r="NP86" i="1"/>
  <c r="NQ86" i="1"/>
  <c r="NR86" i="1"/>
  <c r="NS86" i="1"/>
  <c r="NT86" i="1"/>
  <c r="NU86" i="1"/>
  <c r="NV86" i="1"/>
  <c r="NW86" i="1"/>
  <c r="NX86" i="1"/>
  <c r="NY86" i="1"/>
  <c r="NZ86" i="1"/>
  <c r="OA86" i="1"/>
  <c r="OB86" i="1"/>
  <c r="OC86" i="1"/>
  <c r="OD86" i="1"/>
  <c r="OE86" i="1"/>
  <c r="OF86" i="1"/>
  <c r="OG86" i="1"/>
  <c r="OH86" i="1"/>
  <c r="OI86" i="1"/>
  <c r="OJ86" i="1"/>
  <c r="OM86" i="1"/>
  <c r="ON86" i="1"/>
  <c r="OO86" i="1"/>
  <c r="OP86" i="1"/>
  <c r="OQ86" i="1"/>
  <c r="OR86" i="1"/>
  <c r="OS86" i="1"/>
  <c r="OT86" i="1"/>
  <c r="OU86" i="1"/>
  <c r="OV86" i="1"/>
  <c r="OW86" i="1"/>
  <c r="OX86" i="1"/>
  <c r="OY86" i="1"/>
  <c r="PA86" i="1"/>
  <c r="PC86" i="1"/>
  <c r="PD86" i="1"/>
  <c r="PB86" i="1"/>
  <c r="PE86" i="1"/>
  <c r="PF86" i="1"/>
  <c r="PG86" i="1"/>
  <c r="PH86" i="1"/>
  <c r="PI86" i="1"/>
  <c r="PJ86" i="1"/>
  <c r="PK86" i="1"/>
  <c r="PL86" i="1"/>
  <c r="PM86" i="1"/>
  <c r="PN86" i="1"/>
  <c r="PO86" i="1"/>
  <c r="PQ86" i="1"/>
  <c r="PR86" i="1"/>
  <c r="PT86" i="1"/>
  <c r="PU86" i="1"/>
  <c r="PZ86" i="1"/>
  <c r="QA86" i="1"/>
  <c r="QB86" i="1"/>
  <c r="QC86" i="1"/>
  <c r="QD86" i="1"/>
  <c r="QE86" i="1"/>
  <c r="QF86" i="1"/>
  <c r="QG86" i="1"/>
  <c r="QH86" i="1"/>
  <c r="QI86" i="1"/>
  <c r="QJ86" i="1"/>
  <c r="QK86" i="1"/>
  <c r="QL86" i="1"/>
  <c r="QM86" i="1"/>
  <c r="QN86" i="1"/>
  <c r="QO86" i="1"/>
  <c r="QP86" i="1"/>
  <c r="QQ86" i="1"/>
  <c r="QR86" i="1"/>
  <c r="QS86" i="1"/>
  <c r="QT86" i="1"/>
  <c r="QU86" i="1"/>
  <c r="QV86" i="1"/>
  <c r="QW86" i="1"/>
  <c r="QX86" i="1"/>
  <c r="I159" i="1"/>
  <c r="J159" i="1"/>
  <c r="K159" i="1"/>
  <c r="MM159" i="1"/>
  <c r="MN159" i="1"/>
  <c r="MO159" i="1"/>
  <c r="MP159" i="1"/>
  <c r="MQ159" i="1"/>
  <c r="MR159" i="1"/>
  <c r="MS159" i="1"/>
  <c r="MT159" i="1"/>
  <c r="MW159" i="1"/>
  <c r="MX159" i="1"/>
  <c r="MY159" i="1"/>
  <c r="MZ159" i="1"/>
  <c r="NA159" i="1"/>
  <c r="NB159" i="1"/>
  <c r="NE159" i="1"/>
  <c r="NF159" i="1"/>
  <c r="NC159" i="1"/>
  <c r="ND159" i="1"/>
  <c r="NG159" i="1"/>
  <c r="NH159" i="1"/>
  <c r="NI159" i="1"/>
  <c r="NJ159" i="1"/>
  <c r="NK159" i="1"/>
  <c r="NL159" i="1"/>
  <c r="NM159" i="1"/>
  <c r="NN159" i="1"/>
  <c r="NO159" i="1"/>
  <c r="NP159" i="1"/>
  <c r="NQ159" i="1"/>
  <c r="NR159" i="1"/>
  <c r="NS159" i="1"/>
  <c r="NT159" i="1"/>
  <c r="NU159" i="1"/>
  <c r="NV159" i="1"/>
  <c r="NW159" i="1"/>
  <c r="NX159" i="1"/>
  <c r="NY159" i="1"/>
  <c r="NZ159" i="1"/>
  <c r="OA159" i="1"/>
  <c r="OB159" i="1"/>
  <c r="OC159" i="1"/>
  <c r="OD159" i="1"/>
  <c r="OE159" i="1"/>
  <c r="OF159" i="1"/>
  <c r="OG159" i="1"/>
  <c r="OH159" i="1"/>
  <c r="OI159" i="1"/>
  <c r="OJ159" i="1"/>
  <c r="OM159" i="1"/>
  <c r="ON159" i="1"/>
  <c r="OO159" i="1"/>
  <c r="OP159" i="1"/>
  <c r="OQ159" i="1"/>
  <c r="OR159" i="1"/>
  <c r="OS159" i="1"/>
  <c r="OT159" i="1"/>
  <c r="OU159" i="1"/>
  <c r="OV159" i="1"/>
  <c r="OW159" i="1"/>
  <c r="OX159" i="1"/>
  <c r="OY159" i="1"/>
  <c r="PA159" i="1"/>
  <c r="PC159" i="1"/>
  <c r="PD159" i="1"/>
  <c r="PB159" i="1"/>
  <c r="PE159" i="1"/>
  <c r="PF159" i="1"/>
  <c r="PG159" i="1"/>
  <c r="PH159" i="1"/>
  <c r="PI159" i="1"/>
  <c r="PJ159" i="1"/>
  <c r="PK159" i="1"/>
  <c r="PL159" i="1"/>
  <c r="PM159" i="1"/>
  <c r="PN159" i="1"/>
  <c r="PO159" i="1"/>
  <c r="PQ159" i="1"/>
  <c r="PR159" i="1"/>
  <c r="PT159" i="1"/>
  <c r="PU159" i="1"/>
  <c r="PZ159" i="1"/>
  <c r="QA159" i="1"/>
  <c r="QB159" i="1"/>
  <c r="QC159" i="1"/>
  <c r="QD159" i="1"/>
  <c r="QE159" i="1"/>
  <c r="QF159" i="1"/>
  <c r="QG159" i="1"/>
  <c r="QH159" i="1"/>
  <c r="QI159" i="1"/>
  <c r="QJ159" i="1"/>
  <c r="QK159" i="1"/>
  <c r="QL159" i="1"/>
  <c r="QM159" i="1"/>
  <c r="QN159" i="1"/>
  <c r="QO159" i="1"/>
  <c r="QP159" i="1"/>
  <c r="QQ159" i="1"/>
  <c r="QR159" i="1"/>
  <c r="QS159" i="1"/>
  <c r="QT159" i="1"/>
  <c r="QU159" i="1"/>
  <c r="QV159" i="1"/>
  <c r="QW159" i="1"/>
  <c r="QX159" i="1"/>
  <c r="I76" i="1"/>
  <c r="J76" i="1"/>
  <c r="K76" i="1"/>
  <c r="MM76" i="1"/>
  <c r="MN76" i="1"/>
  <c r="MO76" i="1"/>
  <c r="MP76" i="1"/>
  <c r="MQ76" i="1"/>
  <c r="MR76" i="1"/>
  <c r="MS76" i="1"/>
  <c r="MT76" i="1"/>
  <c r="MW76" i="1"/>
  <c r="MX76" i="1"/>
  <c r="MY76" i="1"/>
  <c r="MZ76" i="1"/>
  <c r="NA76" i="1"/>
  <c r="NB76" i="1"/>
  <c r="NE76" i="1"/>
  <c r="NF76" i="1"/>
  <c r="NC76" i="1"/>
  <c r="ND76" i="1"/>
  <c r="NG76" i="1"/>
  <c r="NH76" i="1"/>
  <c r="NI76" i="1"/>
  <c r="NJ76" i="1"/>
  <c r="NK76" i="1"/>
  <c r="NL76" i="1"/>
  <c r="NM76" i="1"/>
  <c r="NN76" i="1"/>
  <c r="NO76" i="1"/>
  <c r="NP76" i="1"/>
  <c r="NQ76" i="1"/>
  <c r="NR76" i="1"/>
  <c r="NS76" i="1"/>
  <c r="NT76" i="1"/>
  <c r="NU76" i="1"/>
  <c r="NV76" i="1"/>
  <c r="NW76" i="1"/>
  <c r="NX76" i="1"/>
  <c r="NY76" i="1"/>
  <c r="NZ76" i="1"/>
  <c r="OA76" i="1"/>
  <c r="OB76" i="1"/>
  <c r="OC76" i="1"/>
  <c r="OD76" i="1"/>
  <c r="OE76" i="1"/>
  <c r="OF76" i="1"/>
  <c r="OG76" i="1"/>
  <c r="OH76" i="1"/>
  <c r="OI76" i="1"/>
  <c r="OJ76" i="1"/>
  <c r="OM76" i="1"/>
  <c r="ON76" i="1"/>
  <c r="OO76" i="1"/>
  <c r="OP76" i="1"/>
  <c r="OQ76" i="1"/>
  <c r="OR76" i="1"/>
  <c r="OS76" i="1"/>
  <c r="OT76" i="1"/>
  <c r="OU76" i="1"/>
  <c r="OV76" i="1"/>
  <c r="OW76" i="1"/>
  <c r="OX76" i="1"/>
  <c r="OY76" i="1"/>
  <c r="PA76" i="1"/>
  <c r="PC76" i="1"/>
  <c r="PD76" i="1"/>
  <c r="PB76" i="1"/>
  <c r="PE76" i="1"/>
  <c r="PF76" i="1"/>
  <c r="PG76" i="1"/>
  <c r="PH76" i="1"/>
  <c r="PI76" i="1"/>
  <c r="PJ76" i="1"/>
  <c r="PK76" i="1"/>
  <c r="PL76" i="1"/>
  <c r="PM76" i="1"/>
  <c r="PN76" i="1"/>
  <c r="PO76" i="1"/>
  <c r="PQ76" i="1"/>
  <c r="PR76" i="1"/>
  <c r="PT76" i="1"/>
  <c r="PU76" i="1"/>
  <c r="PZ76" i="1"/>
  <c r="QA76" i="1"/>
  <c r="QB76" i="1"/>
  <c r="QC76" i="1"/>
  <c r="QD76" i="1"/>
  <c r="QE76" i="1"/>
  <c r="QF76" i="1"/>
  <c r="QG76" i="1"/>
  <c r="QH76" i="1"/>
  <c r="QI76" i="1"/>
  <c r="QJ76" i="1"/>
  <c r="QK76" i="1"/>
  <c r="QL76" i="1"/>
  <c r="QM76" i="1"/>
  <c r="QN76" i="1"/>
  <c r="QO76" i="1"/>
  <c r="QP76" i="1"/>
  <c r="QQ76" i="1"/>
  <c r="QR76" i="1"/>
  <c r="QS76" i="1"/>
  <c r="QT76" i="1"/>
  <c r="QU76" i="1"/>
  <c r="QV76" i="1"/>
  <c r="QW76" i="1"/>
  <c r="QX76" i="1"/>
  <c r="I174" i="1"/>
  <c r="J174" i="1"/>
  <c r="K174" i="1"/>
  <c r="MM174" i="1"/>
  <c r="MN174" i="1"/>
  <c r="MO174" i="1"/>
  <c r="MP174" i="1"/>
  <c r="MQ174" i="1"/>
  <c r="MR174" i="1"/>
  <c r="MS174" i="1"/>
  <c r="MT174" i="1"/>
  <c r="MW174" i="1"/>
  <c r="MX174" i="1"/>
  <c r="MY174" i="1"/>
  <c r="MZ174" i="1"/>
  <c r="NA174" i="1"/>
  <c r="NB174" i="1"/>
  <c r="NE174" i="1"/>
  <c r="NF174" i="1"/>
  <c r="NC174" i="1"/>
  <c r="ND174" i="1"/>
  <c r="NG174" i="1"/>
  <c r="NH174" i="1"/>
  <c r="NI174" i="1"/>
  <c r="NJ174" i="1"/>
  <c r="NK174" i="1"/>
  <c r="NL174" i="1"/>
  <c r="NM174" i="1"/>
  <c r="NN174" i="1"/>
  <c r="NO174" i="1"/>
  <c r="NP174" i="1"/>
  <c r="NQ174" i="1"/>
  <c r="NR174" i="1"/>
  <c r="NS174" i="1"/>
  <c r="NT174" i="1"/>
  <c r="NU174" i="1"/>
  <c r="NV174" i="1"/>
  <c r="NW174" i="1"/>
  <c r="NX174" i="1"/>
  <c r="NY174" i="1"/>
  <c r="NZ174" i="1"/>
  <c r="OA174" i="1"/>
  <c r="OB174" i="1"/>
  <c r="OC174" i="1"/>
  <c r="OD174" i="1"/>
  <c r="OE174" i="1"/>
  <c r="OF174" i="1"/>
  <c r="OG174" i="1"/>
  <c r="OH174" i="1"/>
  <c r="OI174" i="1"/>
  <c r="OJ174" i="1"/>
  <c r="OM174" i="1"/>
  <c r="ON174" i="1"/>
  <c r="OO174" i="1"/>
  <c r="OP174" i="1"/>
  <c r="OQ174" i="1"/>
  <c r="OR174" i="1"/>
  <c r="OS174" i="1"/>
  <c r="OT174" i="1"/>
  <c r="OU174" i="1"/>
  <c r="OV174" i="1"/>
  <c r="OW174" i="1"/>
  <c r="OX174" i="1"/>
  <c r="OY174" i="1"/>
  <c r="PA174" i="1"/>
  <c r="PC174" i="1"/>
  <c r="PD174" i="1"/>
  <c r="PB174" i="1"/>
  <c r="PE174" i="1"/>
  <c r="PF174" i="1"/>
  <c r="PG174" i="1"/>
  <c r="PH174" i="1"/>
  <c r="PI174" i="1"/>
  <c r="PJ174" i="1"/>
  <c r="PK174" i="1"/>
  <c r="PL174" i="1"/>
  <c r="PM174" i="1"/>
  <c r="PN174" i="1"/>
  <c r="PO174" i="1"/>
  <c r="PQ174" i="1"/>
  <c r="PR174" i="1"/>
  <c r="PT174" i="1"/>
  <c r="PU174" i="1"/>
  <c r="PZ174" i="1"/>
  <c r="QA174" i="1"/>
  <c r="QB174" i="1"/>
  <c r="QC174" i="1"/>
  <c r="QD174" i="1"/>
  <c r="QE174" i="1"/>
  <c r="QF174" i="1"/>
  <c r="QG174" i="1"/>
  <c r="QH174" i="1"/>
  <c r="QI174" i="1"/>
  <c r="QJ174" i="1"/>
  <c r="QK174" i="1"/>
  <c r="QL174" i="1"/>
  <c r="QM174" i="1"/>
  <c r="QN174" i="1"/>
  <c r="QO174" i="1"/>
  <c r="QP174" i="1"/>
  <c r="QQ174" i="1"/>
  <c r="QR174" i="1"/>
  <c r="QS174" i="1"/>
  <c r="QT174" i="1"/>
  <c r="QU174" i="1"/>
  <c r="QV174" i="1"/>
  <c r="QW174" i="1"/>
  <c r="QX174" i="1"/>
  <c r="I201" i="1"/>
  <c r="J201" i="1"/>
  <c r="K201" i="1"/>
  <c r="MM201" i="1"/>
  <c r="MN201" i="1"/>
  <c r="MO201" i="1"/>
  <c r="MP201" i="1"/>
  <c r="MQ201" i="1"/>
  <c r="MR201" i="1"/>
  <c r="MS201" i="1"/>
  <c r="MT201" i="1"/>
  <c r="MW201" i="1"/>
  <c r="MX201" i="1"/>
  <c r="MY201" i="1"/>
  <c r="MZ201" i="1"/>
  <c r="NA201" i="1"/>
  <c r="NB201" i="1"/>
  <c r="NE201" i="1"/>
  <c r="NF201" i="1"/>
  <c r="NC201" i="1"/>
  <c r="ND201" i="1"/>
  <c r="NG201" i="1"/>
  <c r="NH201" i="1"/>
  <c r="NI201" i="1"/>
  <c r="NJ201" i="1"/>
  <c r="NK201" i="1"/>
  <c r="NL201" i="1"/>
  <c r="NM201" i="1"/>
  <c r="NN201" i="1"/>
  <c r="NO201" i="1"/>
  <c r="NP201" i="1"/>
  <c r="NQ201" i="1"/>
  <c r="NR201" i="1"/>
  <c r="NS201" i="1"/>
  <c r="NT201" i="1"/>
  <c r="NU201" i="1"/>
  <c r="NV201" i="1"/>
  <c r="NW201" i="1"/>
  <c r="NX201" i="1"/>
  <c r="NY201" i="1"/>
  <c r="NZ201" i="1"/>
  <c r="OA201" i="1"/>
  <c r="OB201" i="1"/>
  <c r="OC201" i="1"/>
  <c r="OD201" i="1"/>
  <c r="OE201" i="1"/>
  <c r="OF201" i="1"/>
  <c r="OG201" i="1"/>
  <c r="OH201" i="1"/>
  <c r="OI201" i="1"/>
  <c r="OJ201" i="1"/>
  <c r="OM201" i="1"/>
  <c r="ON201" i="1"/>
  <c r="OO201" i="1"/>
  <c r="OP201" i="1"/>
  <c r="OQ201" i="1"/>
  <c r="OR201" i="1"/>
  <c r="OS201" i="1"/>
  <c r="OT201" i="1"/>
  <c r="OU201" i="1"/>
  <c r="OV201" i="1"/>
  <c r="OW201" i="1"/>
  <c r="OX201" i="1"/>
  <c r="OY201" i="1"/>
  <c r="PA201" i="1"/>
  <c r="PC201" i="1"/>
  <c r="PD201" i="1"/>
  <c r="PB201" i="1"/>
  <c r="PE201" i="1"/>
  <c r="PF201" i="1"/>
  <c r="PG201" i="1"/>
  <c r="PH201" i="1"/>
  <c r="PI201" i="1"/>
  <c r="PJ201" i="1"/>
  <c r="PK201" i="1"/>
  <c r="PL201" i="1"/>
  <c r="PM201" i="1"/>
  <c r="PN201" i="1"/>
  <c r="PO201" i="1"/>
  <c r="PQ201" i="1"/>
  <c r="PR201" i="1"/>
  <c r="PT201" i="1"/>
  <c r="PU201" i="1"/>
  <c r="PZ201" i="1"/>
  <c r="QA201" i="1"/>
  <c r="QB201" i="1"/>
  <c r="QC201" i="1"/>
  <c r="QD201" i="1"/>
  <c r="QE201" i="1"/>
  <c r="QF201" i="1"/>
  <c r="QG201" i="1"/>
  <c r="QH201" i="1"/>
  <c r="QI201" i="1"/>
  <c r="QJ201" i="1"/>
  <c r="QK201" i="1"/>
  <c r="QL201" i="1"/>
  <c r="QM201" i="1"/>
  <c r="QN201" i="1"/>
  <c r="QO201" i="1"/>
  <c r="QP201" i="1"/>
  <c r="QQ201" i="1"/>
  <c r="QR201" i="1"/>
  <c r="QS201" i="1"/>
  <c r="QT201" i="1"/>
  <c r="QU201" i="1"/>
  <c r="QV201" i="1"/>
  <c r="QW201" i="1"/>
  <c r="QX201" i="1"/>
  <c r="I54" i="1"/>
  <c r="J54" i="1"/>
  <c r="K54" i="1"/>
  <c r="MM54" i="1"/>
  <c r="MN54" i="1"/>
  <c r="MO54" i="1"/>
  <c r="MP54" i="1"/>
  <c r="MQ54" i="1"/>
  <c r="MR54" i="1"/>
  <c r="MS54" i="1"/>
  <c r="MT54" i="1"/>
  <c r="MW54" i="1"/>
  <c r="MX54" i="1"/>
  <c r="MY54" i="1"/>
  <c r="MZ54" i="1"/>
  <c r="NA54" i="1"/>
  <c r="NB54" i="1"/>
  <c r="NE54" i="1"/>
  <c r="NF54" i="1"/>
  <c r="NC54" i="1"/>
  <c r="ND54" i="1"/>
  <c r="NG54" i="1"/>
  <c r="NH54" i="1"/>
  <c r="NI54" i="1"/>
  <c r="NJ54" i="1"/>
  <c r="NK54" i="1"/>
  <c r="NL54" i="1"/>
  <c r="NM54" i="1"/>
  <c r="NN54" i="1"/>
  <c r="NO54" i="1"/>
  <c r="NP54" i="1"/>
  <c r="NQ54" i="1"/>
  <c r="NR54" i="1"/>
  <c r="NS54" i="1"/>
  <c r="NT54" i="1"/>
  <c r="NU54" i="1"/>
  <c r="NV54" i="1"/>
  <c r="NW54" i="1"/>
  <c r="NX54" i="1"/>
  <c r="NY54" i="1"/>
  <c r="NZ54" i="1"/>
  <c r="OA54" i="1"/>
  <c r="OB54" i="1"/>
  <c r="OC54" i="1"/>
  <c r="OD54" i="1"/>
  <c r="OE54" i="1"/>
  <c r="OF54" i="1"/>
  <c r="OG54" i="1"/>
  <c r="OH54" i="1"/>
  <c r="OI54" i="1"/>
  <c r="OJ54" i="1"/>
  <c r="OM54" i="1"/>
  <c r="ON54" i="1"/>
  <c r="OO54" i="1"/>
  <c r="OP54" i="1"/>
  <c r="OQ54" i="1"/>
  <c r="OR54" i="1"/>
  <c r="OS54" i="1"/>
  <c r="OT54" i="1"/>
  <c r="OU54" i="1"/>
  <c r="OV54" i="1"/>
  <c r="OW54" i="1"/>
  <c r="OX54" i="1"/>
  <c r="OY54" i="1"/>
  <c r="PA54" i="1"/>
  <c r="PC54" i="1"/>
  <c r="PD54" i="1"/>
  <c r="PB54" i="1"/>
  <c r="PE54" i="1"/>
  <c r="PF54" i="1"/>
  <c r="PG54" i="1"/>
  <c r="PH54" i="1"/>
  <c r="PI54" i="1"/>
  <c r="PJ54" i="1"/>
  <c r="PK54" i="1"/>
  <c r="PL54" i="1"/>
  <c r="PM54" i="1"/>
  <c r="PN54" i="1"/>
  <c r="PO54" i="1"/>
  <c r="PQ54" i="1"/>
  <c r="PR54" i="1"/>
  <c r="PT54" i="1"/>
  <c r="PU54" i="1"/>
  <c r="PZ54" i="1"/>
  <c r="QA54" i="1"/>
  <c r="QB54" i="1"/>
  <c r="QC54" i="1"/>
  <c r="QD54" i="1"/>
  <c r="QE54" i="1"/>
  <c r="QF54" i="1"/>
  <c r="QG54" i="1"/>
  <c r="QH54" i="1"/>
  <c r="QI54" i="1"/>
  <c r="QJ54" i="1"/>
  <c r="QK54" i="1"/>
  <c r="QL54" i="1"/>
  <c r="QM54" i="1"/>
  <c r="QN54" i="1"/>
  <c r="QO54" i="1"/>
  <c r="QP54" i="1"/>
  <c r="QQ54" i="1"/>
  <c r="QR54" i="1"/>
  <c r="QS54" i="1"/>
  <c r="QT54" i="1"/>
  <c r="QU54" i="1"/>
  <c r="QV54" i="1"/>
  <c r="QW54" i="1"/>
  <c r="QX54" i="1"/>
  <c r="I56" i="1"/>
  <c r="J56" i="1"/>
  <c r="K56" i="1"/>
  <c r="MM56" i="1"/>
  <c r="MN56" i="1"/>
  <c r="MO56" i="1"/>
  <c r="MP56" i="1"/>
  <c r="MQ56" i="1"/>
  <c r="MR56" i="1"/>
  <c r="MS56" i="1"/>
  <c r="MT56" i="1"/>
  <c r="MW56" i="1"/>
  <c r="MX56" i="1"/>
  <c r="MY56" i="1"/>
  <c r="MZ56" i="1"/>
  <c r="NA56" i="1"/>
  <c r="NB56" i="1"/>
  <c r="NE56" i="1"/>
  <c r="NF56" i="1"/>
  <c r="NC56" i="1"/>
  <c r="ND56" i="1"/>
  <c r="NG56" i="1"/>
  <c r="NH56" i="1"/>
  <c r="NI56" i="1"/>
  <c r="NJ56" i="1"/>
  <c r="NK56" i="1"/>
  <c r="NL56" i="1"/>
  <c r="NM56" i="1"/>
  <c r="NN56" i="1"/>
  <c r="NO56" i="1"/>
  <c r="NP56" i="1"/>
  <c r="NQ56" i="1"/>
  <c r="NR56" i="1"/>
  <c r="NS56" i="1"/>
  <c r="NT56" i="1"/>
  <c r="NU56" i="1"/>
  <c r="NV56" i="1"/>
  <c r="NW56" i="1"/>
  <c r="NX56" i="1"/>
  <c r="NY56" i="1"/>
  <c r="NZ56" i="1"/>
  <c r="OA56" i="1"/>
  <c r="OB56" i="1"/>
  <c r="OC56" i="1"/>
  <c r="OD56" i="1"/>
  <c r="OE56" i="1"/>
  <c r="OF56" i="1"/>
  <c r="OG56" i="1"/>
  <c r="OH56" i="1"/>
  <c r="OI56" i="1"/>
  <c r="OJ56" i="1"/>
  <c r="OM56" i="1"/>
  <c r="ON56" i="1"/>
  <c r="OO56" i="1"/>
  <c r="OP56" i="1"/>
  <c r="OQ56" i="1"/>
  <c r="OR56" i="1"/>
  <c r="OS56" i="1"/>
  <c r="OT56" i="1"/>
  <c r="OU56" i="1"/>
  <c r="OV56" i="1"/>
  <c r="OW56" i="1"/>
  <c r="OX56" i="1"/>
  <c r="OY56" i="1"/>
  <c r="PA56" i="1"/>
  <c r="PC56" i="1"/>
  <c r="PD56" i="1"/>
  <c r="PB56" i="1"/>
  <c r="PE56" i="1"/>
  <c r="PF56" i="1"/>
  <c r="PG56" i="1"/>
  <c r="PH56" i="1"/>
  <c r="PI56" i="1"/>
  <c r="PJ56" i="1"/>
  <c r="PK56" i="1"/>
  <c r="PL56" i="1"/>
  <c r="PM56" i="1"/>
  <c r="PN56" i="1"/>
  <c r="PO56" i="1"/>
  <c r="PQ56" i="1"/>
  <c r="PR56" i="1"/>
  <c r="PT56" i="1"/>
  <c r="PU56" i="1"/>
  <c r="PZ56" i="1"/>
  <c r="QA56" i="1"/>
  <c r="QB56" i="1"/>
  <c r="QC56" i="1"/>
  <c r="QD56" i="1"/>
  <c r="QE56" i="1"/>
  <c r="QF56" i="1"/>
  <c r="QG56" i="1"/>
  <c r="QH56" i="1"/>
  <c r="QI56" i="1"/>
  <c r="QJ56" i="1"/>
  <c r="QK56" i="1"/>
  <c r="QL56" i="1"/>
  <c r="QM56" i="1"/>
  <c r="QN56" i="1"/>
  <c r="QO56" i="1"/>
  <c r="QP56" i="1"/>
  <c r="QQ56" i="1"/>
  <c r="QR56" i="1"/>
  <c r="QS56" i="1"/>
  <c r="QT56" i="1"/>
  <c r="QU56" i="1"/>
  <c r="QV56" i="1"/>
  <c r="QW56" i="1"/>
  <c r="QX56" i="1"/>
  <c r="I66" i="1"/>
  <c r="J66" i="1"/>
  <c r="K66" i="1"/>
  <c r="MM66" i="1"/>
  <c r="MN66" i="1"/>
  <c r="MO66" i="1"/>
  <c r="MP66" i="1"/>
  <c r="MQ66" i="1"/>
  <c r="MR66" i="1"/>
  <c r="MS66" i="1"/>
  <c r="MT66" i="1"/>
  <c r="MW66" i="1"/>
  <c r="MX66" i="1"/>
  <c r="MY66" i="1"/>
  <c r="MZ66" i="1"/>
  <c r="NA66" i="1"/>
  <c r="NB66" i="1"/>
  <c r="NE66" i="1"/>
  <c r="NF66" i="1"/>
  <c r="NC66" i="1"/>
  <c r="ND66" i="1"/>
  <c r="NG66" i="1"/>
  <c r="NH66" i="1"/>
  <c r="NI66" i="1"/>
  <c r="NJ66" i="1"/>
  <c r="NK66" i="1"/>
  <c r="NL66" i="1"/>
  <c r="NM66" i="1"/>
  <c r="NN66" i="1"/>
  <c r="NO66" i="1"/>
  <c r="NP66" i="1"/>
  <c r="NQ66" i="1"/>
  <c r="NR66" i="1"/>
  <c r="NS66" i="1"/>
  <c r="NT66" i="1"/>
  <c r="NU66" i="1"/>
  <c r="NV66" i="1"/>
  <c r="NW66" i="1"/>
  <c r="NX66" i="1"/>
  <c r="NY66" i="1"/>
  <c r="NZ66" i="1"/>
  <c r="OA66" i="1"/>
  <c r="OB66" i="1"/>
  <c r="OC66" i="1"/>
  <c r="OD66" i="1"/>
  <c r="OE66" i="1"/>
  <c r="OF66" i="1"/>
  <c r="OG66" i="1"/>
  <c r="OH66" i="1"/>
  <c r="OI66" i="1"/>
  <c r="OJ66" i="1"/>
  <c r="OM66" i="1"/>
  <c r="ON66" i="1"/>
  <c r="OO66" i="1"/>
  <c r="OP66" i="1"/>
  <c r="OQ66" i="1"/>
  <c r="OR66" i="1"/>
  <c r="OS66" i="1"/>
  <c r="OT66" i="1"/>
  <c r="OU66" i="1"/>
  <c r="OV66" i="1"/>
  <c r="OW66" i="1"/>
  <c r="OX66" i="1"/>
  <c r="OY66" i="1"/>
  <c r="PA66" i="1"/>
  <c r="PC66" i="1"/>
  <c r="PD66" i="1"/>
  <c r="PB66" i="1"/>
  <c r="PE66" i="1"/>
  <c r="PF66" i="1"/>
  <c r="PG66" i="1"/>
  <c r="PH66" i="1"/>
  <c r="PI66" i="1"/>
  <c r="PJ66" i="1"/>
  <c r="PK66" i="1"/>
  <c r="PL66" i="1"/>
  <c r="PM66" i="1"/>
  <c r="PN66" i="1"/>
  <c r="PO66" i="1"/>
  <c r="PQ66" i="1"/>
  <c r="PR66" i="1"/>
  <c r="PT66" i="1"/>
  <c r="PU66" i="1"/>
  <c r="PZ66" i="1"/>
  <c r="QA66" i="1"/>
  <c r="QB66" i="1"/>
  <c r="QC66" i="1"/>
  <c r="QD66" i="1"/>
  <c r="QE66" i="1"/>
  <c r="QF66" i="1"/>
  <c r="QG66" i="1"/>
  <c r="QH66" i="1"/>
  <c r="QI66" i="1"/>
  <c r="QJ66" i="1"/>
  <c r="QK66" i="1"/>
  <c r="QL66" i="1"/>
  <c r="QM66" i="1"/>
  <c r="QN66" i="1"/>
  <c r="QO66" i="1"/>
  <c r="QP66" i="1"/>
  <c r="QQ66" i="1"/>
  <c r="QR66" i="1"/>
  <c r="QS66" i="1"/>
  <c r="QT66" i="1"/>
  <c r="QU66" i="1"/>
  <c r="QV66" i="1"/>
  <c r="QW66" i="1"/>
  <c r="QX66" i="1"/>
  <c r="I90" i="1"/>
  <c r="J90" i="1"/>
  <c r="K90" i="1"/>
  <c r="MM90" i="1"/>
  <c r="MN90" i="1"/>
  <c r="MO90" i="1"/>
  <c r="MP90" i="1"/>
  <c r="MQ90" i="1"/>
  <c r="MR90" i="1"/>
  <c r="MS90" i="1"/>
  <c r="MT90" i="1"/>
  <c r="MW90" i="1"/>
  <c r="MX90" i="1"/>
  <c r="MY90" i="1"/>
  <c r="MZ90" i="1"/>
  <c r="NA90" i="1"/>
  <c r="NB90" i="1"/>
  <c r="NE90" i="1"/>
  <c r="NF90" i="1"/>
  <c r="NC90" i="1"/>
  <c r="ND90" i="1"/>
  <c r="NG90" i="1"/>
  <c r="NH90" i="1"/>
  <c r="NI90" i="1"/>
  <c r="NJ90" i="1"/>
  <c r="NK90" i="1"/>
  <c r="NL90" i="1"/>
  <c r="NM90" i="1"/>
  <c r="NN90" i="1"/>
  <c r="NO90" i="1"/>
  <c r="NP90" i="1"/>
  <c r="NQ90" i="1"/>
  <c r="NR90" i="1"/>
  <c r="NS90" i="1"/>
  <c r="NT90" i="1"/>
  <c r="NU90" i="1"/>
  <c r="NV90" i="1"/>
  <c r="NW90" i="1"/>
  <c r="NX90" i="1"/>
  <c r="NY90" i="1"/>
  <c r="NZ90" i="1"/>
  <c r="OA90" i="1"/>
  <c r="OB90" i="1"/>
  <c r="OC90" i="1"/>
  <c r="OD90" i="1"/>
  <c r="OE90" i="1"/>
  <c r="OF90" i="1"/>
  <c r="OG90" i="1"/>
  <c r="OH90" i="1"/>
  <c r="OI90" i="1"/>
  <c r="OJ90" i="1"/>
  <c r="OM90" i="1"/>
  <c r="ON90" i="1"/>
  <c r="OO90" i="1"/>
  <c r="OP90" i="1"/>
  <c r="OQ90" i="1"/>
  <c r="OR90" i="1"/>
  <c r="OS90" i="1"/>
  <c r="OT90" i="1"/>
  <c r="OU90" i="1"/>
  <c r="OV90" i="1"/>
  <c r="OW90" i="1"/>
  <c r="OX90" i="1"/>
  <c r="OY90" i="1"/>
  <c r="PA90" i="1"/>
  <c r="PC90" i="1"/>
  <c r="PD90" i="1"/>
  <c r="PB90" i="1"/>
  <c r="PE90" i="1"/>
  <c r="PF90" i="1"/>
  <c r="PG90" i="1"/>
  <c r="PH90" i="1"/>
  <c r="PI90" i="1"/>
  <c r="PJ90" i="1"/>
  <c r="PK90" i="1"/>
  <c r="PL90" i="1"/>
  <c r="PM90" i="1"/>
  <c r="PN90" i="1"/>
  <c r="PO90" i="1"/>
  <c r="PQ90" i="1"/>
  <c r="PR90" i="1"/>
  <c r="PT90" i="1"/>
  <c r="PU90" i="1"/>
  <c r="PZ90" i="1"/>
  <c r="QA90" i="1"/>
  <c r="QB90" i="1"/>
  <c r="QC90" i="1"/>
  <c r="QD90" i="1"/>
  <c r="QE90" i="1"/>
  <c r="QF90" i="1"/>
  <c r="QG90" i="1"/>
  <c r="QH90" i="1"/>
  <c r="QI90" i="1"/>
  <c r="QJ90" i="1"/>
  <c r="QK90" i="1"/>
  <c r="QL90" i="1"/>
  <c r="QM90" i="1"/>
  <c r="QN90" i="1"/>
  <c r="QO90" i="1"/>
  <c r="QP90" i="1"/>
  <c r="QQ90" i="1"/>
  <c r="QR90" i="1"/>
  <c r="QS90" i="1"/>
  <c r="QT90" i="1"/>
  <c r="QU90" i="1"/>
  <c r="QV90" i="1"/>
  <c r="QW90" i="1"/>
  <c r="QX90" i="1"/>
  <c r="I102" i="1"/>
  <c r="J102" i="1"/>
  <c r="K102" i="1"/>
  <c r="MM102" i="1"/>
  <c r="MN102" i="1"/>
  <c r="MO102" i="1"/>
  <c r="MP102" i="1"/>
  <c r="MQ102" i="1"/>
  <c r="MR102" i="1"/>
  <c r="MS102" i="1"/>
  <c r="MT102" i="1"/>
  <c r="MW102" i="1"/>
  <c r="MX102" i="1"/>
  <c r="MY102" i="1"/>
  <c r="MZ102" i="1"/>
  <c r="NA102" i="1"/>
  <c r="NB102" i="1"/>
  <c r="NE102" i="1"/>
  <c r="NF102" i="1"/>
  <c r="NC102" i="1"/>
  <c r="ND102" i="1"/>
  <c r="NG102" i="1"/>
  <c r="NH102" i="1"/>
  <c r="NI102" i="1"/>
  <c r="NJ102" i="1"/>
  <c r="NK102" i="1"/>
  <c r="NL102" i="1"/>
  <c r="NM102" i="1"/>
  <c r="NN102" i="1"/>
  <c r="NO102" i="1"/>
  <c r="NP102" i="1"/>
  <c r="NQ102" i="1"/>
  <c r="NR102" i="1"/>
  <c r="NS102" i="1"/>
  <c r="NT102" i="1"/>
  <c r="NU102" i="1"/>
  <c r="NV102" i="1"/>
  <c r="NW102" i="1"/>
  <c r="NX102" i="1"/>
  <c r="NY102" i="1"/>
  <c r="NZ102" i="1"/>
  <c r="OA102" i="1"/>
  <c r="OB102" i="1"/>
  <c r="OC102" i="1"/>
  <c r="OD102" i="1"/>
  <c r="OE102" i="1"/>
  <c r="OF102" i="1"/>
  <c r="OG102" i="1"/>
  <c r="OH102" i="1"/>
  <c r="OI102" i="1"/>
  <c r="OJ102" i="1"/>
  <c r="OM102" i="1"/>
  <c r="ON102" i="1"/>
  <c r="OO102" i="1"/>
  <c r="OP102" i="1"/>
  <c r="OQ102" i="1"/>
  <c r="OR102" i="1"/>
  <c r="OS102" i="1"/>
  <c r="OT102" i="1"/>
  <c r="OU102" i="1"/>
  <c r="OV102" i="1"/>
  <c r="OW102" i="1"/>
  <c r="OX102" i="1"/>
  <c r="OY102" i="1"/>
  <c r="PA102" i="1"/>
  <c r="PC102" i="1"/>
  <c r="PD102" i="1"/>
  <c r="PB102" i="1"/>
  <c r="PE102" i="1"/>
  <c r="PF102" i="1"/>
  <c r="PG102" i="1"/>
  <c r="PH102" i="1"/>
  <c r="PI102" i="1"/>
  <c r="PJ102" i="1"/>
  <c r="PK102" i="1"/>
  <c r="PL102" i="1"/>
  <c r="PM102" i="1"/>
  <c r="PN102" i="1"/>
  <c r="PO102" i="1"/>
  <c r="PQ102" i="1"/>
  <c r="PR102" i="1"/>
  <c r="PT102" i="1"/>
  <c r="PU102" i="1"/>
  <c r="PZ102" i="1"/>
  <c r="QA102" i="1"/>
  <c r="QB102" i="1"/>
  <c r="QC102" i="1"/>
  <c r="QD102" i="1"/>
  <c r="QE102" i="1"/>
  <c r="QF102" i="1"/>
  <c r="QG102" i="1"/>
  <c r="QH102" i="1"/>
  <c r="QI102" i="1"/>
  <c r="QJ102" i="1"/>
  <c r="QK102" i="1"/>
  <c r="QL102" i="1"/>
  <c r="QM102" i="1"/>
  <c r="QN102" i="1"/>
  <c r="QO102" i="1"/>
  <c r="QP102" i="1"/>
  <c r="QQ102" i="1"/>
  <c r="QR102" i="1"/>
  <c r="QS102" i="1"/>
  <c r="QT102" i="1"/>
  <c r="QU102" i="1"/>
  <c r="QV102" i="1"/>
  <c r="QW102" i="1"/>
  <c r="QX102" i="1"/>
  <c r="I94" i="1"/>
  <c r="J94" i="1"/>
  <c r="K94" i="1"/>
  <c r="MM94" i="1"/>
  <c r="MN94" i="1"/>
  <c r="MO94" i="1"/>
  <c r="MP94" i="1"/>
  <c r="MQ94" i="1"/>
  <c r="MR94" i="1"/>
  <c r="MS94" i="1"/>
  <c r="MT94" i="1"/>
  <c r="MW94" i="1"/>
  <c r="MX94" i="1"/>
  <c r="MY94" i="1"/>
  <c r="MZ94" i="1"/>
  <c r="NA94" i="1"/>
  <c r="NB94" i="1"/>
  <c r="NE94" i="1"/>
  <c r="NF94" i="1"/>
  <c r="NC94" i="1"/>
  <c r="ND94" i="1"/>
  <c r="NG94" i="1"/>
  <c r="NH94" i="1"/>
  <c r="NI94" i="1"/>
  <c r="NJ94" i="1"/>
  <c r="NK94" i="1"/>
  <c r="NL94" i="1"/>
  <c r="NM94" i="1"/>
  <c r="NN94" i="1"/>
  <c r="NO94" i="1"/>
  <c r="NP94" i="1"/>
  <c r="NQ94" i="1"/>
  <c r="NR94" i="1"/>
  <c r="NS94" i="1"/>
  <c r="NT94" i="1"/>
  <c r="NU94" i="1"/>
  <c r="NV94" i="1"/>
  <c r="NW94" i="1"/>
  <c r="NX94" i="1"/>
  <c r="NY94" i="1"/>
  <c r="NZ94" i="1"/>
  <c r="OA94" i="1"/>
  <c r="OB94" i="1"/>
  <c r="OC94" i="1"/>
  <c r="OD94" i="1"/>
  <c r="OE94" i="1"/>
  <c r="OF94" i="1"/>
  <c r="OG94" i="1"/>
  <c r="OH94" i="1"/>
  <c r="OI94" i="1"/>
  <c r="OJ94" i="1"/>
  <c r="OM94" i="1"/>
  <c r="ON94" i="1"/>
  <c r="OO94" i="1"/>
  <c r="OP94" i="1"/>
  <c r="OQ94" i="1"/>
  <c r="OR94" i="1"/>
  <c r="OS94" i="1"/>
  <c r="OT94" i="1"/>
  <c r="OU94" i="1"/>
  <c r="OV94" i="1"/>
  <c r="OW94" i="1"/>
  <c r="OX94" i="1"/>
  <c r="OY94" i="1"/>
  <c r="PA94" i="1"/>
  <c r="PC94" i="1"/>
  <c r="PD94" i="1"/>
  <c r="PB94" i="1"/>
  <c r="PE94" i="1"/>
  <c r="PF94" i="1"/>
  <c r="PG94" i="1"/>
  <c r="PH94" i="1"/>
  <c r="PI94" i="1"/>
  <c r="PJ94" i="1"/>
  <c r="PK94" i="1"/>
  <c r="PL94" i="1"/>
  <c r="PM94" i="1"/>
  <c r="PN94" i="1"/>
  <c r="PO94" i="1"/>
  <c r="PQ94" i="1"/>
  <c r="PR94" i="1"/>
  <c r="PT94" i="1"/>
  <c r="PU94" i="1"/>
  <c r="PZ94" i="1"/>
  <c r="QA94" i="1"/>
  <c r="QB94" i="1"/>
  <c r="QC94" i="1"/>
  <c r="QD94" i="1"/>
  <c r="QE94" i="1"/>
  <c r="QF94" i="1"/>
  <c r="QG94" i="1"/>
  <c r="QH94" i="1"/>
  <c r="QI94" i="1"/>
  <c r="QJ94" i="1"/>
  <c r="QK94" i="1"/>
  <c r="QL94" i="1"/>
  <c r="QM94" i="1"/>
  <c r="QN94" i="1"/>
  <c r="QO94" i="1"/>
  <c r="QP94" i="1"/>
  <c r="QQ94" i="1"/>
  <c r="QR94" i="1"/>
  <c r="QS94" i="1"/>
  <c r="QT94" i="1"/>
  <c r="QU94" i="1"/>
  <c r="QV94" i="1"/>
  <c r="QW94" i="1"/>
  <c r="QX94" i="1"/>
  <c r="I119" i="1"/>
  <c r="J119" i="1"/>
  <c r="K119" i="1"/>
  <c r="MM119" i="1"/>
  <c r="MN119" i="1"/>
  <c r="MO119" i="1"/>
  <c r="MP119" i="1"/>
  <c r="MQ119" i="1"/>
  <c r="MR119" i="1"/>
  <c r="MS119" i="1"/>
  <c r="MT119" i="1"/>
  <c r="MW119" i="1"/>
  <c r="MX119" i="1"/>
  <c r="MY119" i="1"/>
  <c r="MZ119" i="1"/>
  <c r="NA119" i="1"/>
  <c r="NB119" i="1"/>
  <c r="NE119" i="1"/>
  <c r="NF119" i="1"/>
  <c r="NC119" i="1"/>
  <c r="ND119" i="1"/>
  <c r="NG119" i="1"/>
  <c r="NH119" i="1"/>
  <c r="NI119" i="1"/>
  <c r="NJ119" i="1"/>
  <c r="NK119" i="1"/>
  <c r="NL119" i="1"/>
  <c r="NM119" i="1"/>
  <c r="NN119" i="1"/>
  <c r="NO119" i="1"/>
  <c r="NP119" i="1"/>
  <c r="NQ119" i="1"/>
  <c r="NR119" i="1"/>
  <c r="NS119" i="1"/>
  <c r="NT119" i="1"/>
  <c r="NU119" i="1"/>
  <c r="NV119" i="1"/>
  <c r="NW119" i="1"/>
  <c r="NX119" i="1"/>
  <c r="NY119" i="1"/>
  <c r="NZ119" i="1"/>
  <c r="OA119" i="1"/>
  <c r="OB119" i="1"/>
  <c r="OC119" i="1"/>
  <c r="OD119" i="1"/>
  <c r="OE119" i="1"/>
  <c r="OF119" i="1"/>
  <c r="OG119" i="1"/>
  <c r="OH119" i="1"/>
  <c r="OI119" i="1"/>
  <c r="OJ119" i="1"/>
  <c r="OM119" i="1"/>
  <c r="ON119" i="1"/>
  <c r="OO119" i="1"/>
  <c r="OP119" i="1"/>
  <c r="OQ119" i="1"/>
  <c r="OR119" i="1"/>
  <c r="OS119" i="1"/>
  <c r="OT119" i="1"/>
  <c r="OU119" i="1"/>
  <c r="OV119" i="1"/>
  <c r="OW119" i="1"/>
  <c r="OX119" i="1"/>
  <c r="OY119" i="1"/>
  <c r="PA119" i="1"/>
  <c r="PC119" i="1"/>
  <c r="PD119" i="1"/>
  <c r="PB119" i="1"/>
  <c r="PE119" i="1"/>
  <c r="PF119" i="1"/>
  <c r="PG119" i="1"/>
  <c r="PH119" i="1"/>
  <c r="PI119" i="1"/>
  <c r="PJ119" i="1"/>
  <c r="PK119" i="1"/>
  <c r="PL119" i="1"/>
  <c r="PM119" i="1"/>
  <c r="PN119" i="1"/>
  <c r="PO119" i="1"/>
  <c r="PQ119" i="1"/>
  <c r="PR119" i="1"/>
  <c r="PT119" i="1"/>
  <c r="PU119" i="1"/>
  <c r="PZ119" i="1"/>
  <c r="QA119" i="1"/>
  <c r="QB119" i="1"/>
  <c r="QC119" i="1"/>
  <c r="QD119" i="1"/>
  <c r="QE119" i="1"/>
  <c r="QF119" i="1"/>
  <c r="QG119" i="1"/>
  <c r="QH119" i="1"/>
  <c r="QI119" i="1"/>
  <c r="QJ119" i="1"/>
  <c r="QK119" i="1"/>
  <c r="QL119" i="1"/>
  <c r="QM119" i="1"/>
  <c r="QN119" i="1"/>
  <c r="QO119" i="1"/>
  <c r="QP119" i="1"/>
  <c r="QQ119" i="1"/>
  <c r="QR119" i="1"/>
  <c r="QS119" i="1"/>
  <c r="QT119" i="1"/>
  <c r="QU119" i="1"/>
  <c r="QV119" i="1"/>
  <c r="QW119" i="1"/>
  <c r="QX119" i="1"/>
  <c r="I161" i="1"/>
  <c r="J161" i="1"/>
  <c r="K161" i="1"/>
  <c r="MM161" i="1"/>
  <c r="MN161" i="1"/>
  <c r="MO161" i="1"/>
  <c r="MP161" i="1"/>
  <c r="MQ161" i="1"/>
  <c r="MR161" i="1"/>
  <c r="MS161" i="1"/>
  <c r="MT161" i="1"/>
  <c r="MW161" i="1"/>
  <c r="MX161" i="1"/>
  <c r="MY161" i="1"/>
  <c r="MZ161" i="1"/>
  <c r="NA161" i="1"/>
  <c r="NB161" i="1"/>
  <c r="NE161" i="1"/>
  <c r="NF161" i="1"/>
  <c r="NC161" i="1"/>
  <c r="ND161" i="1"/>
  <c r="NG161" i="1"/>
  <c r="NH161" i="1"/>
  <c r="NI161" i="1"/>
  <c r="NJ161" i="1"/>
  <c r="NK161" i="1"/>
  <c r="NL161" i="1"/>
  <c r="NM161" i="1"/>
  <c r="NN161" i="1"/>
  <c r="NO161" i="1"/>
  <c r="NP161" i="1"/>
  <c r="NQ161" i="1"/>
  <c r="NR161" i="1"/>
  <c r="NS161" i="1"/>
  <c r="NT161" i="1"/>
  <c r="NU161" i="1"/>
  <c r="NV161" i="1"/>
  <c r="NW161" i="1"/>
  <c r="NX161" i="1"/>
  <c r="NY161" i="1"/>
  <c r="NZ161" i="1"/>
  <c r="OA161" i="1"/>
  <c r="OB161" i="1"/>
  <c r="OC161" i="1"/>
  <c r="OD161" i="1"/>
  <c r="OE161" i="1"/>
  <c r="OF161" i="1"/>
  <c r="OG161" i="1"/>
  <c r="OH161" i="1"/>
  <c r="OI161" i="1"/>
  <c r="OJ161" i="1"/>
  <c r="OM161" i="1"/>
  <c r="ON161" i="1"/>
  <c r="OO161" i="1"/>
  <c r="OP161" i="1"/>
  <c r="OQ161" i="1"/>
  <c r="OR161" i="1"/>
  <c r="OS161" i="1"/>
  <c r="OT161" i="1"/>
  <c r="OU161" i="1"/>
  <c r="OV161" i="1"/>
  <c r="OW161" i="1"/>
  <c r="OX161" i="1"/>
  <c r="OY161" i="1"/>
  <c r="PA161" i="1"/>
  <c r="PC161" i="1"/>
  <c r="PD161" i="1"/>
  <c r="PB161" i="1"/>
  <c r="PE161" i="1"/>
  <c r="PF161" i="1"/>
  <c r="PG161" i="1"/>
  <c r="PH161" i="1"/>
  <c r="PI161" i="1"/>
  <c r="PJ161" i="1"/>
  <c r="PK161" i="1"/>
  <c r="PL161" i="1"/>
  <c r="PM161" i="1"/>
  <c r="PN161" i="1"/>
  <c r="PO161" i="1"/>
  <c r="PQ161" i="1"/>
  <c r="PR161" i="1"/>
  <c r="PT161" i="1"/>
  <c r="PU161" i="1"/>
  <c r="PZ161" i="1"/>
  <c r="QA161" i="1"/>
  <c r="QB161" i="1"/>
  <c r="QC161" i="1"/>
  <c r="QD161" i="1"/>
  <c r="QE161" i="1"/>
  <c r="QF161" i="1"/>
  <c r="QG161" i="1"/>
  <c r="QH161" i="1"/>
  <c r="QI161" i="1"/>
  <c r="QJ161" i="1"/>
  <c r="QK161" i="1"/>
  <c r="QL161" i="1"/>
  <c r="QM161" i="1"/>
  <c r="QN161" i="1"/>
  <c r="QO161" i="1"/>
  <c r="QP161" i="1"/>
  <c r="QQ161" i="1"/>
  <c r="QR161" i="1"/>
  <c r="QS161" i="1"/>
  <c r="QT161" i="1"/>
  <c r="QU161" i="1"/>
  <c r="QV161" i="1"/>
  <c r="QW161" i="1"/>
  <c r="QX161" i="1"/>
  <c r="I141" i="1"/>
  <c r="J141" i="1"/>
  <c r="K141" i="1"/>
  <c r="MM141" i="1"/>
  <c r="MN141" i="1"/>
  <c r="MO141" i="1"/>
  <c r="MP141" i="1"/>
  <c r="MQ141" i="1"/>
  <c r="MR141" i="1"/>
  <c r="MS141" i="1"/>
  <c r="MT141" i="1"/>
  <c r="MW141" i="1"/>
  <c r="MX141" i="1"/>
  <c r="MY141" i="1"/>
  <c r="MZ141" i="1"/>
  <c r="NA141" i="1"/>
  <c r="NB141" i="1"/>
  <c r="NE141" i="1"/>
  <c r="NF141" i="1"/>
  <c r="NC141" i="1"/>
  <c r="ND141" i="1"/>
  <c r="NG141" i="1"/>
  <c r="NH141" i="1"/>
  <c r="NI141" i="1"/>
  <c r="NJ141" i="1"/>
  <c r="NK141" i="1"/>
  <c r="NL141" i="1"/>
  <c r="NM141" i="1"/>
  <c r="NN141" i="1"/>
  <c r="NO141" i="1"/>
  <c r="NP141" i="1"/>
  <c r="NQ141" i="1"/>
  <c r="NR141" i="1"/>
  <c r="NS141" i="1"/>
  <c r="NT141" i="1"/>
  <c r="NU141" i="1"/>
  <c r="NV141" i="1"/>
  <c r="NW141" i="1"/>
  <c r="NX141" i="1"/>
  <c r="NY141" i="1"/>
  <c r="NZ141" i="1"/>
  <c r="OA141" i="1"/>
  <c r="OB141" i="1"/>
  <c r="OC141" i="1"/>
  <c r="OD141" i="1"/>
  <c r="OE141" i="1"/>
  <c r="OF141" i="1"/>
  <c r="OG141" i="1"/>
  <c r="OH141" i="1"/>
  <c r="OI141" i="1"/>
  <c r="OJ141" i="1"/>
  <c r="OM141" i="1"/>
  <c r="ON141" i="1"/>
  <c r="OO141" i="1"/>
  <c r="OP141" i="1"/>
  <c r="OQ141" i="1"/>
  <c r="OR141" i="1"/>
  <c r="OS141" i="1"/>
  <c r="OT141" i="1"/>
  <c r="OU141" i="1"/>
  <c r="OV141" i="1"/>
  <c r="OW141" i="1"/>
  <c r="OX141" i="1"/>
  <c r="OY141" i="1"/>
  <c r="PA141" i="1"/>
  <c r="PC141" i="1"/>
  <c r="PD141" i="1"/>
  <c r="PB141" i="1"/>
  <c r="PE141" i="1"/>
  <c r="PF141" i="1"/>
  <c r="PG141" i="1"/>
  <c r="PH141" i="1"/>
  <c r="PI141" i="1"/>
  <c r="PJ141" i="1"/>
  <c r="PK141" i="1"/>
  <c r="PL141" i="1"/>
  <c r="PM141" i="1"/>
  <c r="PN141" i="1"/>
  <c r="PO141" i="1"/>
  <c r="PQ141" i="1"/>
  <c r="PR141" i="1"/>
  <c r="PT141" i="1"/>
  <c r="PU141" i="1"/>
  <c r="PZ141" i="1"/>
  <c r="QA141" i="1"/>
  <c r="QB141" i="1"/>
  <c r="QC141" i="1"/>
  <c r="QD141" i="1"/>
  <c r="QE141" i="1"/>
  <c r="QF141" i="1"/>
  <c r="QG141" i="1"/>
  <c r="QH141" i="1"/>
  <c r="QI141" i="1"/>
  <c r="QJ141" i="1"/>
  <c r="QK141" i="1"/>
  <c r="QL141" i="1"/>
  <c r="QM141" i="1"/>
  <c r="QN141" i="1"/>
  <c r="QO141" i="1"/>
  <c r="QP141" i="1"/>
  <c r="QQ141" i="1"/>
  <c r="QR141" i="1"/>
  <c r="QS141" i="1"/>
  <c r="QT141" i="1"/>
  <c r="QU141" i="1"/>
  <c r="QV141" i="1"/>
  <c r="QW141" i="1"/>
  <c r="QX141" i="1"/>
  <c r="I147" i="1"/>
  <c r="J147" i="1"/>
  <c r="K147" i="1"/>
  <c r="MM147" i="1"/>
  <c r="MN147" i="1"/>
  <c r="MO147" i="1"/>
  <c r="MP147" i="1"/>
  <c r="MQ147" i="1"/>
  <c r="MR147" i="1"/>
  <c r="MS147" i="1"/>
  <c r="MT147" i="1"/>
  <c r="MW147" i="1"/>
  <c r="MX147" i="1"/>
  <c r="MY147" i="1"/>
  <c r="MZ147" i="1"/>
  <c r="NA147" i="1"/>
  <c r="NB147" i="1"/>
  <c r="NE147" i="1"/>
  <c r="NF147" i="1"/>
  <c r="NC147" i="1"/>
  <c r="ND147" i="1"/>
  <c r="NG147" i="1"/>
  <c r="NH147" i="1"/>
  <c r="NI147" i="1"/>
  <c r="NJ147" i="1"/>
  <c r="NK147" i="1"/>
  <c r="NL147" i="1"/>
  <c r="NM147" i="1"/>
  <c r="NN147" i="1"/>
  <c r="NO147" i="1"/>
  <c r="NP147" i="1"/>
  <c r="NQ147" i="1"/>
  <c r="NR147" i="1"/>
  <c r="NS147" i="1"/>
  <c r="NT147" i="1"/>
  <c r="NU147" i="1"/>
  <c r="NV147" i="1"/>
  <c r="NW147" i="1"/>
  <c r="NX147" i="1"/>
  <c r="NY147" i="1"/>
  <c r="NZ147" i="1"/>
  <c r="OA147" i="1"/>
  <c r="OB147" i="1"/>
  <c r="OC147" i="1"/>
  <c r="OD147" i="1"/>
  <c r="OE147" i="1"/>
  <c r="OF147" i="1"/>
  <c r="OG147" i="1"/>
  <c r="OH147" i="1"/>
  <c r="OI147" i="1"/>
  <c r="OJ147" i="1"/>
  <c r="OM147" i="1"/>
  <c r="ON147" i="1"/>
  <c r="OO147" i="1"/>
  <c r="OP147" i="1"/>
  <c r="OQ147" i="1"/>
  <c r="OR147" i="1"/>
  <c r="OS147" i="1"/>
  <c r="OT147" i="1"/>
  <c r="OU147" i="1"/>
  <c r="OV147" i="1"/>
  <c r="OW147" i="1"/>
  <c r="OX147" i="1"/>
  <c r="OY147" i="1"/>
  <c r="PA147" i="1"/>
  <c r="PC147" i="1"/>
  <c r="PD147" i="1"/>
  <c r="PB147" i="1"/>
  <c r="PE147" i="1"/>
  <c r="PF147" i="1"/>
  <c r="PG147" i="1"/>
  <c r="PH147" i="1"/>
  <c r="PI147" i="1"/>
  <c r="PJ147" i="1"/>
  <c r="PK147" i="1"/>
  <c r="PL147" i="1"/>
  <c r="PM147" i="1"/>
  <c r="PN147" i="1"/>
  <c r="PO147" i="1"/>
  <c r="PQ147" i="1"/>
  <c r="PR147" i="1"/>
  <c r="PT147" i="1"/>
  <c r="PU147" i="1"/>
  <c r="PZ147" i="1"/>
  <c r="QA147" i="1"/>
  <c r="QB147" i="1"/>
  <c r="QC147" i="1"/>
  <c r="QD147" i="1"/>
  <c r="QE147" i="1"/>
  <c r="QF147" i="1"/>
  <c r="QG147" i="1"/>
  <c r="QH147" i="1"/>
  <c r="QI147" i="1"/>
  <c r="QJ147" i="1"/>
  <c r="QK147" i="1"/>
  <c r="QL147" i="1"/>
  <c r="QM147" i="1"/>
  <c r="QN147" i="1"/>
  <c r="QO147" i="1"/>
  <c r="QP147" i="1"/>
  <c r="QQ147" i="1"/>
  <c r="QR147" i="1"/>
  <c r="QS147" i="1"/>
  <c r="QT147" i="1"/>
  <c r="QU147" i="1"/>
  <c r="QV147" i="1"/>
  <c r="QW147" i="1"/>
  <c r="QX147" i="1"/>
  <c r="I165" i="1"/>
  <c r="J165" i="1"/>
  <c r="K165" i="1"/>
  <c r="MM165" i="1"/>
  <c r="MN165" i="1"/>
  <c r="MO165" i="1"/>
  <c r="MP165" i="1"/>
  <c r="MQ165" i="1"/>
  <c r="MR165" i="1"/>
  <c r="MS165" i="1"/>
  <c r="MT165" i="1"/>
  <c r="MW165" i="1"/>
  <c r="MX165" i="1"/>
  <c r="MY165" i="1"/>
  <c r="MZ165" i="1"/>
  <c r="NA165" i="1"/>
  <c r="NB165" i="1"/>
  <c r="NE165" i="1"/>
  <c r="NF165" i="1"/>
  <c r="NC165" i="1"/>
  <c r="ND165" i="1"/>
  <c r="NG165" i="1"/>
  <c r="NH165" i="1"/>
  <c r="NI165" i="1"/>
  <c r="NJ165" i="1"/>
  <c r="NK165" i="1"/>
  <c r="NL165" i="1"/>
  <c r="NM165" i="1"/>
  <c r="NN165" i="1"/>
  <c r="NO165" i="1"/>
  <c r="NP165" i="1"/>
  <c r="NQ165" i="1"/>
  <c r="NR165" i="1"/>
  <c r="NS165" i="1"/>
  <c r="NT165" i="1"/>
  <c r="NU165" i="1"/>
  <c r="NV165" i="1"/>
  <c r="NW165" i="1"/>
  <c r="NX165" i="1"/>
  <c r="NY165" i="1"/>
  <c r="NZ165" i="1"/>
  <c r="OA165" i="1"/>
  <c r="OB165" i="1"/>
  <c r="OC165" i="1"/>
  <c r="OD165" i="1"/>
  <c r="OE165" i="1"/>
  <c r="OF165" i="1"/>
  <c r="OG165" i="1"/>
  <c r="OH165" i="1"/>
  <c r="OI165" i="1"/>
  <c r="OJ165" i="1"/>
  <c r="OM165" i="1"/>
  <c r="ON165" i="1"/>
  <c r="OO165" i="1"/>
  <c r="OP165" i="1"/>
  <c r="OQ165" i="1"/>
  <c r="OR165" i="1"/>
  <c r="OS165" i="1"/>
  <c r="OT165" i="1"/>
  <c r="OU165" i="1"/>
  <c r="OV165" i="1"/>
  <c r="OW165" i="1"/>
  <c r="OX165" i="1"/>
  <c r="OY165" i="1"/>
  <c r="PA165" i="1"/>
  <c r="PC165" i="1"/>
  <c r="PD165" i="1"/>
  <c r="PB165" i="1"/>
  <c r="PE165" i="1"/>
  <c r="PF165" i="1"/>
  <c r="PG165" i="1"/>
  <c r="PH165" i="1"/>
  <c r="PI165" i="1"/>
  <c r="PJ165" i="1"/>
  <c r="PK165" i="1"/>
  <c r="PL165" i="1"/>
  <c r="PM165" i="1"/>
  <c r="PN165" i="1"/>
  <c r="PO165" i="1"/>
  <c r="PQ165" i="1"/>
  <c r="PR165" i="1"/>
  <c r="PT165" i="1"/>
  <c r="PU165" i="1"/>
  <c r="PZ165" i="1"/>
  <c r="QA165" i="1"/>
  <c r="QB165" i="1"/>
  <c r="QC165" i="1"/>
  <c r="QD165" i="1"/>
  <c r="QE165" i="1"/>
  <c r="QF165" i="1"/>
  <c r="QG165" i="1"/>
  <c r="QH165" i="1"/>
  <c r="QI165" i="1"/>
  <c r="QJ165" i="1"/>
  <c r="QK165" i="1"/>
  <c r="QL165" i="1"/>
  <c r="QM165" i="1"/>
  <c r="QN165" i="1"/>
  <c r="QO165" i="1"/>
  <c r="QP165" i="1"/>
  <c r="QQ165" i="1"/>
  <c r="QR165" i="1"/>
  <c r="QS165" i="1"/>
  <c r="QT165" i="1"/>
  <c r="QU165" i="1"/>
  <c r="QV165" i="1"/>
  <c r="QW165" i="1"/>
  <c r="QX165" i="1"/>
  <c r="I132" i="1"/>
  <c r="J132" i="1"/>
  <c r="K132" i="1"/>
  <c r="MM132" i="1"/>
  <c r="MN132" i="1"/>
  <c r="MO132" i="1"/>
  <c r="MP132" i="1"/>
  <c r="MQ132" i="1"/>
  <c r="MR132" i="1"/>
  <c r="MS132" i="1"/>
  <c r="MT132" i="1"/>
  <c r="MW132" i="1"/>
  <c r="MX132" i="1"/>
  <c r="MY132" i="1"/>
  <c r="MZ132" i="1"/>
  <c r="NA132" i="1"/>
  <c r="NB132" i="1"/>
  <c r="NE132" i="1"/>
  <c r="NF132" i="1"/>
  <c r="NC132" i="1"/>
  <c r="ND132" i="1"/>
  <c r="NG132" i="1"/>
  <c r="NH132" i="1"/>
  <c r="NI132" i="1"/>
  <c r="NJ132" i="1"/>
  <c r="NK132" i="1"/>
  <c r="NL132" i="1"/>
  <c r="NM132" i="1"/>
  <c r="NN132" i="1"/>
  <c r="NO132" i="1"/>
  <c r="NP132" i="1"/>
  <c r="NQ132" i="1"/>
  <c r="NR132" i="1"/>
  <c r="NS132" i="1"/>
  <c r="NT132" i="1"/>
  <c r="NU132" i="1"/>
  <c r="NV132" i="1"/>
  <c r="NW132" i="1"/>
  <c r="NX132" i="1"/>
  <c r="NY132" i="1"/>
  <c r="NZ132" i="1"/>
  <c r="OA132" i="1"/>
  <c r="OB132" i="1"/>
  <c r="OC132" i="1"/>
  <c r="OD132" i="1"/>
  <c r="OE132" i="1"/>
  <c r="OF132" i="1"/>
  <c r="OG132" i="1"/>
  <c r="OH132" i="1"/>
  <c r="OI132" i="1"/>
  <c r="OJ132" i="1"/>
  <c r="OM132" i="1"/>
  <c r="ON132" i="1"/>
  <c r="OO132" i="1"/>
  <c r="OP132" i="1"/>
  <c r="OQ132" i="1"/>
  <c r="OR132" i="1"/>
  <c r="OS132" i="1"/>
  <c r="OT132" i="1"/>
  <c r="OU132" i="1"/>
  <c r="OV132" i="1"/>
  <c r="OW132" i="1"/>
  <c r="OX132" i="1"/>
  <c r="OY132" i="1"/>
  <c r="PA132" i="1"/>
  <c r="PC132" i="1"/>
  <c r="PD132" i="1"/>
  <c r="PB132" i="1"/>
  <c r="PE132" i="1"/>
  <c r="PF132" i="1"/>
  <c r="PG132" i="1"/>
  <c r="PH132" i="1"/>
  <c r="PI132" i="1"/>
  <c r="PJ132" i="1"/>
  <c r="PK132" i="1"/>
  <c r="PL132" i="1"/>
  <c r="PM132" i="1"/>
  <c r="PN132" i="1"/>
  <c r="PO132" i="1"/>
  <c r="PQ132" i="1"/>
  <c r="PR132" i="1"/>
  <c r="PT132" i="1"/>
  <c r="PU132" i="1"/>
  <c r="PZ132" i="1"/>
  <c r="QA132" i="1"/>
  <c r="QB132" i="1"/>
  <c r="QC132" i="1"/>
  <c r="QD132" i="1"/>
  <c r="QE132" i="1"/>
  <c r="QF132" i="1"/>
  <c r="QG132" i="1"/>
  <c r="QH132" i="1"/>
  <c r="QI132" i="1"/>
  <c r="QJ132" i="1"/>
  <c r="QK132" i="1"/>
  <c r="QL132" i="1"/>
  <c r="QM132" i="1"/>
  <c r="QN132" i="1"/>
  <c r="QO132" i="1"/>
  <c r="QP132" i="1"/>
  <c r="QQ132" i="1"/>
  <c r="QR132" i="1"/>
  <c r="QS132" i="1"/>
  <c r="QT132" i="1"/>
  <c r="QU132" i="1"/>
  <c r="QV132" i="1"/>
  <c r="QW132" i="1"/>
  <c r="QX132" i="1"/>
  <c r="I189" i="1"/>
  <c r="J189" i="1"/>
  <c r="K189" i="1"/>
  <c r="MM189" i="1"/>
  <c r="MN189" i="1"/>
  <c r="MO189" i="1"/>
  <c r="MP189" i="1"/>
  <c r="MQ189" i="1"/>
  <c r="MR189" i="1"/>
  <c r="MS189" i="1"/>
  <c r="MT189" i="1"/>
  <c r="MW189" i="1"/>
  <c r="MX189" i="1"/>
  <c r="MY189" i="1"/>
  <c r="MZ189" i="1"/>
  <c r="NA189" i="1"/>
  <c r="NB189" i="1"/>
  <c r="NE189" i="1"/>
  <c r="NF189" i="1"/>
  <c r="NC189" i="1"/>
  <c r="ND189" i="1"/>
  <c r="NG189" i="1"/>
  <c r="NH189" i="1"/>
  <c r="NI189" i="1"/>
  <c r="NJ189" i="1"/>
  <c r="NK189" i="1"/>
  <c r="NL189" i="1"/>
  <c r="NM189" i="1"/>
  <c r="NN189" i="1"/>
  <c r="NO189" i="1"/>
  <c r="NP189" i="1"/>
  <c r="NQ189" i="1"/>
  <c r="NR189" i="1"/>
  <c r="NS189" i="1"/>
  <c r="NT189" i="1"/>
  <c r="NU189" i="1"/>
  <c r="NV189" i="1"/>
  <c r="NW189" i="1"/>
  <c r="NX189" i="1"/>
  <c r="NY189" i="1"/>
  <c r="NZ189" i="1"/>
  <c r="OA189" i="1"/>
  <c r="OB189" i="1"/>
  <c r="OC189" i="1"/>
  <c r="OD189" i="1"/>
  <c r="OE189" i="1"/>
  <c r="OF189" i="1"/>
  <c r="OG189" i="1"/>
  <c r="OH189" i="1"/>
  <c r="OI189" i="1"/>
  <c r="OJ189" i="1"/>
  <c r="OM189" i="1"/>
  <c r="ON189" i="1"/>
  <c r="OO189" i="1"/>
  <c r="OP189" i="1"/>
  <c r="OQ189" i="1"/>
  <c r="OR189" i="1"/>
  <c r="OS189" i="1"/>
  <c r="OT189" i="1"/>
  <c r="OU189" i="1"/>
  <c r="OV189" i="1"/>
  <c r="OW189" i="1"/>
  <c r="OX189" i="1"/>
  <c r="OY189" i="1"/>
  <c r="PA189" i="1"/>
  <c r="PC189" i="1"/>
  <c r="PD189" i="1"/>
  <c r="PB189" i="1"/>
  <c r="BH186" i="148" s="1"/>
  <c r="PE189" i="1"/>
  <c r="PF189" i="1"/>
  <c r="PG189" i="1"/>
  <c r="PH189" i="1"/>
  <c r="PI189" i="1"/>
  <c r="PJ189" i="1"/>
  <c r="PK189" i="1"/>
  <c r="PL189" i="1"/>
  <c r="PM189" i="1"/>
  <c r="PN189" i="1"/>
  <c r="PO189" i="1"/>
  <c r="PQ189" i="1"/>
  <c r="PR189" i="1"/>
  <c r="PT189" i="1"/>
  <c r="PU189" i="1"/>
  <c r="PZ189" i="1"/>
  <c r="QA189" i="1"/>
  <c r="QB189" i="1"/>
  <c r="QC189" i="1"/>
  <c r="QD189" i="1"/>
  <c r="QE189" i="1"/>
  <c r="QF189" i="1"/>
  <c r="QG189" i="1"/>
  <c r="QH189" i="1"/>
  <c r="QI189" i="1"/>
  <c r="QJ189" i="1"/>
  <c r="QK189" i="1"/>
  <c r="QL189" i="1"/>
  <c r="QM189" i="1"/>
  <c r="QN189" i="1"/>
  <c r="QO189" i="1"/>
  <c r="QP189" i="1"/>
  <c r="QQ189" i="1"/>
  <c r="QR189" i="1"/>
  <c r="QS189" i="1"/>
  <c r="QT189" i="1"/>
  <c r="QU189" i="1"/>
  <c r="QV189" i="1"/>
  <c r="QW189" i="1"/>
  <c r="QX189" i="1"/>
  <c r="I133" i="1"/>
  <c r="J133" i="1"/>
  <c r="K133" i="1"/>
  <c r="MM133" i="1"/>
  <c r="MN133" i="1"/>
  <c r="MO133" i="1"/>
  <c r="MP133" i="1"/>
  <c r="MQ133" i="1"/>
  <c r="MR133" i="1"/>
  <c r="MS133" i="1"/>
  <c r="MT133" i="1"/>
  <c r="MW133" i="1"/>
  <c r="MX133" i="1"/>
  <c r="MY133" i="1"/>
  <c r="MZ133" i="1"/>
  <c r="NA133" i="1"/>
  <c r="NB133" i="1"/>
  <c r="NE133" i="1"/>
  <c r="NF133" i="1"/>
  <c r="NC133" i="1"/>
  <c r="ND133" i="1"/>
  <c r="NG133" i="1"/>
  <c r="NH133" i="1"/>
  <c r="NI133" i="1"/>
  <c r="NJ133" i="1"/>
  <c r="NK133" i="1"/>
  <c r="NL133" i="1"/>
  <c r="NM133" i="1"/>
  <c r="NN133" i="1"/>
  <c r="NO133" i="1"/>
  <c r="NP133" i="1"/>
  <c r="NQ133" i="1"/>
  <c r="NR133" i="1"/>
  <c r="NS133" i="1"/>
  <c r="NT133" i="1"/>
  <c r="NU133" i="1"/>
  <c r="NV133" i="1"/>
  <c r="NW133" i="1"/>
  <c r="NX133" i="1"/>
  <c r="NY133" i="1"/>
  <c r="NZ133" i="1"/>
  <c r="OA133" i="1"/>
  <c r="OB133" i="1"/>
  <c r="OC133" i="1"/>
  <c r="OD133" i="1"/>
  <c r="OE133" i="1"/>
  <c r="OF133" i="1"/>
  <c r="OG133" i="1"/>
  <c r="OH133" i="1"/>
  <c r="OI133" i="1"/>
  <c r="OJ133" i="1"/>
  <c r="OM133" i="1"/>
  <c r="ON133" i="1"/>
  <c r="OO133" i="1"/>
  <c r="OP133" i="1"/>
  <c r="OQ133" i="1"/>
  <c r="OR133" i="1"/>
  <c r="OS133" i="1"/>
  <c r="OT133" i="1"/>
  <c r="OU133" i="1"/>
  <c r="OV133" i="1"/>
  <c r="OW133" i="1"/>
  <c r="OX133" i="1"/>
  <c r="OY133" i="1"/>
  <c r="PA133" i="1"/>
  <c r="PC133" i="1"/>
  <c r="PD133" i="1"/>
  <c r="PB133" i="1"/>
  <c r="PE133" i="1"/>
  <c r="PF133" i="1"/>
  <c r="PG133" i="1"/>
  <c r="PH133" i="1"/>
  <c r="PI133" i="1"/>
  <c r="PJ133" i="1"/>
  <c r="PK133" i="1"/>
  <c r="PL133" i="1"/>
  <c r="PM133" i="1"/>
  <c r="PN133" i="1"/>
  <c r="PO133" i="1"/>
  <c r="PQ133" i="1"/>
  <c r="PR133" i="1"/>
  <c r="PT133" i="1"/>
  <c r="PU133" i="1"/>
  <c r="PZ133" i="1"/>
  <c r="QA133" i="1"/>
  <c r="QB133" i="1"/>
  <c r="QC133" i="1"/>
  <c r="QD133" i="1"/>
  <c r="QE133" i="1"/>
  <c r="QF133" i="1"/>
  <c r="QG133" i="1"/>
  <c r="QH133" i="1"/>
  <c r="QI133" i="1"/>
  <c r="QJ133" i="1"/>
  <c r="QK133" i="1"/>
  <c r="QL133" i="1"/>
  <c r="QM133" i="1"/>
  <c r="QN133" i="1"/>
  <c r="QO133" i="1"/>
  <c r="QP133" i="1"/>
  <c r="QQ133" i="1"/>
  <c r="QR133" i="1"/>
  <c r="QS133" i="1"/>
  <c r="QT133" i="1"/>
  <c r="QU133" i="1"/>
  <c r="QV133" i="1"/>
  <c r="QW133" i="1"/>
  <c r="QX133" i="1"/>
  <c r="I206" i="1"/>
  <c r="J206" i="1"/>
  <c r="K206" i="1"/>
  <c r="MM206" i="1"/>
  <c r="MN206" i="1"/>
  <c r="MO206" i="1"/>
  <c r="MP206" i="1"/>
  <c r="MQ206" i="1"/>
  <c r="MR206" i="1"/>
  <c r="MS206" i="1"/>
  <c r="MT206" i="1"/>
  <c r="MW206" i="1"/>
  <c r="MX206" i="1"/>
  <c r="MY206" i="1"/>
  <c r="MZ206" i="1"/>
  <c r="NA206" i="1"/>
  <c r="NB206" i="1"/>
  <c r="NE206" i="1"/>
  <c r="NF206" i="1"/>
  <c r="NC206" i="1"/>
  <c r="ND206" i="1"/>
  <c r="NG206" i="1"/>
  <c r="NH206" i="1"/>
  <c r="NI206" i="1"/>
  <c r="NJ206" i="1"/>
  <c r="NK206" i="1"/>
  <c r="NL206" i="1"/>
  <c r="NM206" i="1"/>
  <c r="NN206" i="1"/>
  <c r="NO206" i="1"/>
  <c r="NP206" i="1"/>
  <c r="NQ206" i="1"/>
  <c r="NR206" i="1"/>
  <c r="NS206" i="1"/>
  <c r="NT206" i="1"/>
  <c r="NU206" i="1"/>
  <c r="NV206" i="1"/>
  <c r="NW206" i="1"/>
  <c r="NX206" i="1"/>
  <c r="NY206" i="1"/>
  <c r="NZ206" i="1"/>
  <c r="OA206" i="1"/>
  <c r="OB206" i="1"/>
  <c r="OC206" i="1"/>
  <c r="OD206" i="1"/>
  <c r="OE206" i="1"/>
  <c r="OF206" i="1"/>
  <c r="OG206" i="1"/>
  <c r="OH206" i="1"/>
  <c r="OI206" i="1"/>
  <c r="OJ206" i="1"/>
  <c r="OM206" i="1"/>
  <c r="ON206" i="1"/>
  <c r="OO206" i="1"/>
  <c r="OP206" i="1"/>
  <c r="OQ206" i="1"/>
  <c r="OR206" i="1"/>
  <c r="OS206" i="1"/>
  <c r="OT206" i="1"/>
  <c r="OU206" i="1"/>
  <c r="OV206" i="1"/>
  <c r="OW206" i="1"/>
  <c r="OX206" i="1"/>
  <c r="OY206" i="1"/>
  <c r="PA206" i="1"/>
  <c r="PC206" i="1"/>
  <c r="PD206" i="1"/>
  <c r="PB206" i="1"/>
  <c r="PE206" i="1"/>
  <c r="PF206" i="1"/>
  <c r="PG206" i="1"/>
  <c r="PH206" i="1"/>
  <c r="PI206" i="1"/>
  <c r="PJ206" i="1"/>
  <c r="PK206" i="1"/>
  <c r="PL206" i="1"/>
  <c r="PM206" i="1"/>
  <c r="PN206" i="1"/>
  <c r="PO206" i="1"/>
  <c r="PQ206" i="1"/>
  <c r="PR206" i="1"/>
  <c r="PT206" i="1"/>
  <c r="PU206" i="1"/>
  <c r="PZ206" i="1"/>
  <c r="QA206" i="1"/>
  <c r="QB206" i="1"/>
  <c r="QC206" i="1"/>
  <c r="QD206" i="1"/>
  <c r="QE206" i="1"/>
  <c r="QF206" i="1"/>
  <c r="QG206" i="1"/>
  <c r="QH206" i="1"/>
  <c r="QI206" i="1"/>
  <c r="QJ206" i="1"/>
  <c r="QK206" i="1"/>
  <c r="QL206" i="1"/>
  <c r="QM206" i="1"/>
  <c r="QN206" i="1"/>
  <c r="QO206" i="1"/>
  <c r="QP206" i="1"/>
  <c r="QQ206" i="1"/>
  <c r="QR206" i="1"/>
  <c r="QS206" i="1"/>
  <c r="QT206" i="1"/>
  <c r="QU206" i="1"/>
  <c r="QV206" i="1"/>
  <c r="QW206" i="1"/>
  <c r="QX206" i="1"/>
  <c r="I78" i="1"/>
  <c r="J78" i="1"/>
  <c r="K78" i="1"/>
  <c r="MM78" i="1"/>
  <c r="MN78" i="1"/>
  <c r="MO78" i="1"/>
  <c r="MP78" i="1"/>
  <c r="MQ78" i="1"/>
  <c r="MR78" i="1"/>
  <c r="MS78" i="1"/>
  <c r="MT78" i="1"/>
  <c r="MW78" i="1"/>
  <c r="MX78" i="1"/>
  <c r="MY78" i="1"/>
  <c r="MZ78" i="1"/>
  <c r="NA78" i="1"/>
  <c r="NB78" i="1"/>
  <c r="NE78" i="1"/>
  <c r="NF78" i="1"/>
  <c r="NC78" i="1"/>
  <c r="ND78" i="1"/>
  <c r="NG78" i="1"/>
  <c r="NH78" i="1"/>
  <c r="NI78" i="1"/>
  <c r="NJ78" i="1"/>
  <c r="NK78" i="1"/>
  <c r="NL78" i="1"/>
  <c r="NM78" i="1"/>
  <c r="NN78" i="1"/>
  <c r="NO78" i="1"/>
  <c r="NP78" i="1"/>
  <c r="NQ78" i="1"/>
  <c r="NR78" i="1"/>
  <c r="NS78" i="1"/>
  <c r="NT78" i="1"/>
  <c r="NU78" i="1"/>
  <c r="NV78" i="1"/>
  <c r="NW78" i="1"/>
  <c r="NX78" i="1"/>
  <c r="NY78" i="1"/>
  <c r="NZ78" i="1"/>
  <c r="OA78" i="1"/>
  <c r="OB78" i="1"/>
  <c r="OC78" i="1"/>
  <c r="OD78" i="1"/>
  <c r="OE78" i="1"/>
  <c r="OF78" i="1"/>
  <c r="OG78" i="1"/>
  <c r="OH78" i="1"/>
  <c r="OI78" i="1"/>
  <c r="OJ78" i="1"/>
  <c r="OM78" i="1"/>
  <c r="ON78" i="1"/>
  <c r="OO78" i="1"/>
  <c r="OP78" i="1"/>
  <c r="OQ78" i="1"/>
  <c r="OR78" i="1"/>
  <c r="OS78" i="1"/>
  <c r="OT78" i="1"/>
  <c r="OU78" i="1"/>
  <c r="OV78" i="1"/>
  <c r="OW78" i="1"/>
  <c r="OX78" i="1"/>
  <c r="OY78" i="1"/>
  <c r="PA78" i="1"/>
  <c r="PC78" i="1"/>
  <c r="PD78" i="1"/>
  <c r="PB78" i="1"/>
  <c r="PE78" i="1"/>
  <c r="PF78" i="1"/>
  <c r="PG78" i="1"/>
  <c r="PH78" i="1"/>
  <c r="PI78" i="1"/>
  <c r="PJ78" i="1"/>
  <c r="PK78" i="1"/>
  <c r="PL78" i="1"/>
  <c r="PM78" i="1"/>
  <c r="PN78" i="1"/>
  <c r="PO78" i="1"/>
  <c r="PQ78" i="1"/>
  <c r="PR78" i="1"/>
  <c r="PT78" i="1"/>
  <c r="PU78" i="1"/>
  <c r="PZ78" i="1"/>
  <c r="QA78" i="1"/>
  <c r="QB78" i="1"/>
  <c r="QC78" i="1"/>
  <c r="QD78" i="1"/>
  <c r="QE78" i="1"/>
  <c r="QF78" i="1"/>
  <c r="QG78" i="1"/>
  <c r="QH78" i="1"/>
  <c r="QI78" i="1"/>
  <c r="QJ78" i="1"/>
  <c r="QK78" i="1"/>
  <c r="QL78" i="1"/>
  <c r="QM78" i="1"/>
  <c r="QN78" i="1"/>
  <c r="QO78" i="1"/>
  <c r="QP78" i="1"/>
  <c r="QQ78" i="1"/>
  <c r="QR78" i="1"/>
  <c r="QS78" i="1"/>
  <c r="QT78" i="1"/>
  <c r="QU78" i="1"/>
  <c r="QV78" i="1"/>
  <c r="QW78" i="1"/>
  <c r="QX78" i="1"/>
  <c r="I164" i="1"/>
  <c r="J164" i="1"/>
  <c r="K164" i="1"/>
  <c r="MM164" i="1"/>
  <c r="MN164" i="1"/>
  <c r="MO164" i="1"/>
  <c r="MP164" i="1"/>
  <c r="MQ164" i="1"/>
  <c r="MR164" i="1"/>
  <c r="MS164" i="1"/>
  <c r="MT164" i="1"/>
  <c r="MW164" i="1"/>
  <c r="MX164" i="1"/>
  <c r="MY164" i="1"/>
  <c r="MZ164" i="1"/>
  <c r="NA164" i="1"/>
  <c r="NB164" i="1"/>
  <c r="NE164" i="1"/>
  <c r="NF164" i="1"/>
  <c r="NC164" i="1"/>
  <c r="ND164" i="1"/>
  <c r="NG164" i="1"/>
  <c r="NH164" i="1"/>
  <c r="NI164" i="1"/>
  <c r="NJ164" i="1"/>
  <c r="NK164" i="1"/>
  <c r="NL164" i="1"/>
  <c r="NM164" i="1"/>
  <c r="NN164" i="1"/>
  <c r="NO164" i="1"/>
  <c r="NP164" i="1"/>
  <c r="NQ164" i="1"/>
  <c r="NR164" i="1"/>
  <c r="NS164" i="1"/>
  <c r="NT164" i="1"/>
  <c r="NU164" i="1"/>
  <c r="NV164" i="1"/>
  <c r="NW164" i="1"/>
  <c r="NX164" i="1"/>
  <c r="NY164" i="1"/>
  <c r="NZ164" i="1"/>
  <c r="OA164" i="1"/>
  <c r="OB164" i="1"/>
  <c r="OC164" i="1"/>
  <c r="OD164" i="1"/>
  <c r="OE164" i="1"/>
  <c r="OF164" i="1"/>
  <c r="OG164" i="1"/>
  <c r="OH164" i="1"/>
  <c r="OI164" i="1"/>
  <c r="OJ164" i="1"/>
  <c r="OM164" i="1"/>
  <c r="ON164" i="1"/>
  <c r="OO164" i="1"/>
  <c r="OP164" i="1"/>
  <c r="OQ164" i="1"/>
  <c r="OR164" i="1"/>
  <c r="OS164" i="1"/>
  <c r="OT164" i="1"/>
  <c r="OU164" i="1"/>
  <c r="OV164" i="1"/>
  <c r="OW164" i="1"/>
  <c r="OX164" i="1"/>
  <c r="OY164" i="1"/>
  <c r="PA164" i="1"/>
  <c r="PC164" i="1"/>
  <c r="PD164" i="1"/>
  <c r="PB164" i="1"/>
  <c r="PE164" i="1"/>
  <c r="PF164" i="1"/>
  <c r="PG164" i="1"/>
  <c r="PH164" i="1"/>
  <c r="PI164" i="1"/>
  <c r="PJ164" i="1"/>
  <c r="PK164" i="1"/>
  <c r="PL164" i="1"/>
  <c r="PM164" i="1"/>
  <c r="PN164" i="1"/>
  <c r="PO164" i="1"/>
  <c r="PQ164" i="1"/>
  <c r="PR164" i="1"/>
  <c r="PT164" i="1"/>
  <c r="PU164" i="1"/>
  <c r="PZ164" i="1"/>
  <c r="QA164" i="1"/>
  <c r="QB164" i="1"/>
  <c r="QC164" i="1"/>
  <c r="QD164" i="1"/>
  <c r="QE164" i="1"/>
  <c r="QF164" i="1"/>
  <c r="QG164" i="1"/>
  <c r="QH164" i="1"/>
  <c r="QI164" i="1"/>
  <c r="QJ164" i="1"/>
  <c r="QK164" i="1"/>
  <c r="QL164" i="1"/>
  <c r="QM164" i="1"/>
  <c r="QN164" i="1"/>
  <c r="QO164" i="1"/>
  <c r="QP164" i="1"/>
  <c r="QQ164" i="1"/>
  <c r="QR164" i="1"/>
  <c r="QS164" i="1"/>
  <c r="QT164" i="1"/>
  <c r="QU164" i="1"/>
  <c r="QV164" i="1"/>
  <c r="QW164" i="1"/>
  <c r="QX164" i="1"/>
  <c r="I143" i="1"/>
  <c r="J143" i="1"/>
  <c r="K143" i="1"/>
  <c r="MM143" i="1"/>
  <c r="MN143" i="1"/>
  <c r="MO143" i="1"/>
  <c r="MP143" i="1"/>
  <c r="MQ143" i="1"/>
  <c r="MR143" i="1"/>
  <c r="MS143" i="1"/>
  <c r="MT143" i="1"/>
  <c r="MW143" i="1"/>
  <c r="MX143" i="1"/>
  <c r="MY143" i="1"/>
  <c r="MZ143" i="1"/>
  <c r="NA143" i="1"/>
  <c r="NB143" i="1"/>
  <c r="NE143" i="1"/>
  <c r="NF143" i="1"/>
  <c r="NC143" i="1"/>
  <c r="ND143" i="1"/>
  <c r="NG143" i="1"/>
  <c r="NH143" i="1"/>
  <c r="NI143" i="1"/>
  <c r="NJ143" i="1"/>
  <c r="NK143" i="1"/>
  <c r="NL143" i="1"/>
  <c r="NM143" i="1"/>
  <c r="NN143" i="1"/>
  <c r="NO143" i="1"/>
  <c r="NP143" i="1"/>
  <c r="NQ143" i="1"/>
  <c r="NR143" i="1"/>
  <c r="NS143" i="1"/>
  <c r="NT143" i="1"/>
  <c r="NU143" i="1"/>
  <c r="NV143" i="1"/>
  <c r="NW143" i="1"/>
  <c r="NX143" i="1"/>
  <c r="NY143" i="1"/>
  <c r="NZ143" i="1"/>
  <c r="OA143" i="1"/>
  <c r="OB143" i="1"/>
  <c r="OC143" i="1"/>
  <c r="OD143" i="1"/>
  <c r="OE143" i="1"/>
  <c r="OF143" i="1"/>
  <c r="OG143" i="1"/>
  <c r="OH143" i="1"/>
  <c r="OI143" i="1"/>
  <c r="OJ143" i="1"/>
  <c r="OM143" i="1"/>
  <c r="ON143" i="1"/>
  <c r="OO143" i="1"/>
  <c r="OP143" i="1"/>
  <c r="OQ143" i="1"/>
  <c r="OR143" i="1"/>
  <c r="OS143" i="1"/>
  <c r="OT143" i="1"/>
  <c r="OU143" i="1"/>
  <c r="OV143" i="1"/>
  <c r="OW143" i="1"/>
  <c r="OX143" i="1"/>
  <c r="OY143" i="1"/>
  <c r="PA143" i="1"/>
  <c r="PC143" i="1"/>
  <c r="PD143" i="1"/>
  <c r="PB143" i="1"/>
  <c r="PE143" i="1"/>
  <c r="PF143" i="1"/>
  <c r="PG143" i="1"/>
  <c r="PH143" i="1"/>
  <c r="PI143" i="1"/>
  <c r="PJ143" i="1"/>
  <c r="PK143" i="1"/>
  <c r="PL143" i="1"/>
  <c r="PM143" i="1"/>
  <c r="PN143" i="1"/>
  <c r="PO143" i="1"/>
  <c r="PQ143" i="1"/>
  <c r="PR143" i="1"/>
  <c r="PT143" i="1"/>
  <c r="PU143" i="1"/>
  <c r="PZ143" i="1"/>
  <c r="QA143" i="1"/>
  <c r="QB143" i="1"/>
  <c r="QC143" i="1"/>
  <c r="QD143" i="1"/>
  <c r="QE143" i="1"/>
  <c r="QF143" i="1"/>
  <c r="QG143" i="1"/>
  <c r="QH143" i="1"/>
  <c r="QI143" i="1"/>
  <c r="QJ143" i="1"/>
  <c r="QK143" i="1"/>
  <c r="QL143" i="1"/>
  <c r="QM143" i="1"/>
  <c r="QN143" i="1"/>
  <c r="QO143" i="1"/>
  <c r="QP143" i="1"/>
  <c r="QQ143" i="1"/>
  <c r="QR143" i="1"/>
  <c r="QS143" i="1"/>
  <c r="QT143" i="1"/>
  <c r="QU143" i="1"/>
  <c r="QV143" i="1"/>
  <c r="QW143" i="1"/>
  <c r="QX143" i="1"/>
  <c r="I160" i="1"/>
  <c r="J160" i="1"/>
  <c r="K160" i="1"/>
  <c r="MM160" i="1"/>
  <c r="MN160" i="1"/>
  <c r="MO160" i="1"/>
  <c r="MP160" i="1"/>
  <c r="MQ160" i="1"/>
  <c r="MR160" i="1"/>
  <c r="MS160" i="1"/>
  <c r="MT160" i="1"/>
  <c r="MW160" i="1"/>
  <c r="MX160" i="1"/>
  <c r="MY160" i="1"/>
  <c r="MZ160" i="1"/>
  <c r="NA160" i="1"/>
  <c r="NB160" i="1"/>
  <c r="NE160" i="1"/>
  <c r="NF160" i="1"/>
  <c r="NC160" i="1"/>
  <c r="ND160" i="1"/>
  <c r="NG160" i="1"/>
  <c r="NH160" i="1"/>
  <c r="NI160" i="1"/>
  <c r="NJ160" i="1"/>
  <c r="NK160" i="1"/>
  <c r="NL160" i="1"/>
  <c r="NM160" i="1"/>
  <c r="NN160" i="1"/>
  <c r="NO160" i="1"/>
  <c r="NP160" i="1"/>
  <c r="NQ160" i="1"/>
  <c r="NR160" i="1"/>
  <c r="NS160" i="1"/>
  <c r="NT160" i="1"/>
  <c r="NU160" i="1"/>
  <c r="NV160" i="1"/>
  <c r="NW160" i="1"/>
  <c r="NX160" i="1"/>
  <c r="NY160" i="1"/>
  <c r="NZ160" i="1"/>
  <c r="OA160" i="1"/>
  <c r="OB160" i="1"/>
  <c r="OC160" i="1"/>
  <c r="OD160" i="1"/>
  <c r="OE160" i="1"/>
  <c r="OF160" i="1"/>
  <c r="OG160" i="1"/>
  <c r="OH160" i="1"/>
  <c r="OI160" i="1"/>
  <c r="OJ160" i="1"/>
  <c r="OM160" i="1"/>
  <c r="ON160" i="1"/>
  <c r="OO160" i="1"/>
  <c r="OP160" i="1"/>
  <c r="OQ160" i="1"/>
  <c r="OR160" i="1"/>
  <c r="OS160" i="1"/>
  <c r="OT160" i="1"/>
  <c r="OU160" i="1"/>
  <c r="OV160" i="1"/>
  <c r="OW160" i="1"/>
  <c r="OX160" i="1"/>
  <c r="OY160" i="1"/>
  <c r="PA160" i="1"/>
  <c r="PC160" i="1"/>
  <c r="PD160" i="1"/>
  <c r="PB160" i="1"/>
  <c r="PE160" i="1"/>
  <c r="PF160" i="1"/>
  <c r="PG160" i="1"/>
  <c r="PH160" i="1"/>
  <c r="PI160" i="1"/>
  <c r="PJ160" i="1"/>
  <c r="PK160" i="1"/>
  <c r="PL160" i="1"/>
  <c r="PM160" i="1"/>
  <c r="PN160" i="1"/>
  <c r="PO160" i="1"/>
  <c r="PQ160" i="1"/>
  <c r="PR160" i="1"/>
  <c r="PT160" i="1"/>
  <c r="PU160" i="1"/>
  <c r="PZ160" i="1"/>
  <c r="QA160" i="1"/>
  <c r="QB160" i="1"/>
  <c r="QC160" i="1"/>
  <c r="QD160" i="1"/>
  <c r="QE160" i="1"/>
  <c r="QF160" i="1"/>
  <c r="QG160" i="1"/>
  <c r="QH160" i="1"/>
  <c r="QI160" i="1"/>
  <c r="QJ160" i="1"/>
  <c r="QK160" i="1"/>
  <c r="QL160" i="1"/>
  <c r="QM160" i="1"/>
  <c r="QN160" i="1"/>
  <c r="QO160" i="1"/>
  <c r="QP160" i="1"/>
  <c r="QQ160" i="1"/>
  <c r="QR160" i="1"/>
  <c r="QS160" i="1"/>
  <c r="QT160" i="1"/>
  <c r="QU160" i="1"/>
  <c r="QV160" i="1"/>
  <c r="QW160" i="1"/>
  <c r="QX160" i="1"/>
  <c r="I150" i="1"/>
  <c r="J150" i="1"/>
  <c r="K150" i="1"/>
  <c r="MM150" i="1"/>
  <c r="MN150" i="1"/>
  <c r="MO150" i="1"/>
  <c r="MP150" i="1"/>
  <c r="MQ150" i="1"/>
  <c r="MR150" i="1"/>
  <c r="MS150" i="1"/>
  <c r="MT150" i="1"/>
  <c r="MW150" i="1"/>
  <c r="MX150" i="1"/>
  <c r="MY150" i="1"/>
  <c r="MZ150" i="1"/>
  <c r="NA150" i="1"/>
  <c r="NB150" i="1"/>
  <c r="NE150" i="1"/>
  <c r="NF150" i="1"/>
  <c r="NC150" i="1"/>
  <c r="ND150" i="1"/>
  <c r="NG150" i="1"/>
  <c r="NH150" i="1"/>
  <c r="NI150" i="1"/>
  <c r="NJ150" i="1"/>
  <c r="NK150" i="1"/>
  <c r="NL150" i="1"/>
  <c r="NM150" i="1"/>
  <c r="NN150" i="1"/>
  <c r="NO150" i="1"/>
  <c r="NP150" i="1"/>
  <c r="NQ150" i="1"/>
  <c r="NR150" i="1"/>
  <c r="NS150" i="1"/>
  <c r="NT150" i="1"/>
  <c r="NU150" i="1"/>
  <c r="NV150" i="1"/>
  <c r="NW150" i="1"/>
  <c r="NX150" i="1"/>
  <c r="NY150" i="1"/>
  <c r="NZ150" i="1"/>
  <c r="OA150" i="1"/>
  <c r="OB150" i="1"/>
  <c r="OC150" i="1"/>
  <c r="OD150" i="1"/>
  <c r="OE150" i="1"/>
  <c r="OF150" i="1"/>
  <c r="OG150" i="1"/>
  <c r="OH150" i="1"/>
  <c r="OI150" i="1"/>
  <c r="OJ150" i="1"/>
  <c r="OM150" i="1"/>
  <c r="ON150" i="1"/>
  <c r="OO150" i="1"/>
  <c r="OP150" i="1"/>
  <c r="OQ150" i="1"/>
  <c r="OR150" i="1"/>
  <c r="OS150" i="1"/>
  <c r="OT150" i="1"/>
  <c r="OU150" i="1"/>
  <c r="OV150" i="1"/>
  <c r="OW150" i="1"/>
  <c r="OX150" i="1"/>
  <c r="OY150" i="1"/>
  <c r="PA150" i="1"/>
  <c r="PC150" i="1"/>
  <c r="PD150" i="1"/>
  <c r="PB150" i="1"/>
  <c r="PE150" i="1"/>
  <c r="PF150" i="1"/>
  <c r="PG150" i="1"/>
  <c r="PH150" i="1"/>
  <c r="PI150" i="1"/>
  <c r="PJ150" i="1"/>
  <c r="PK150" i="1"/>
  <c r="PL150" i="1"/>
  <c r="PM150" i="1"/>
  <c r="PN150" i="1"/>
  <c r="PO150" i="1"/>
  <c r="PQ150" i="1"/>
  <c r="PR150" i="1"/>
  <c r="PT150" i="1"/>
  <c r="PU150" i="1"/>
  <c r="PZ150" i="1"/>
  <c r="QA150" i="1"/>
  <c r="QB150" i="1"/>
  <c r="QC150" i="1"/>
  <c r="QD150" i="1"/>
  <c r="QE150" i="1"/>
  <c r="QF150" i="1"/>
  <c r="QG150" i="1"/>
  <c r="QH150" i="1"/>
  <c r="QI150" i="1"/>
  <c r="QJ150" i="1"/>
  <c r="QK150" i="1"/>
  <c r="QL150" i="1"/>
  <c r="QM150" i="1"/>
  <c r="QN150" i="1"/>
  <c r="QO150" i="1"/>
  <c r="QP150" i="1"/>
  <c r="QQ150" i="1"/>
  <c r="QR150" i="1"/>
  <c r="QS150" i="1"/>
  <c r="QT150" i="1"/>
  <c r="QU150" i="1"/>
  <c r="QV150" i="1"/>
  <c r="QW150" i="1"/>
  <c r="QX150" i="1"/>
  <c r="I130" i="1"/>
  <c r="J130" i="1"/>
  <c r="K130" i="1"/>
  <c r="MM130" i="1"/>
  <c r="MN130" i="1"/>
  <c r="MO130" i="1"/>
  <c r="MP130" i="1"/>
  <c r="MQ130" i="1"/>
  <c r="MR130" i="1"/>
  <c r="MS130" i="1"/>
  <c r="MT130" i="1"/>
  <c r="MW130" i="1"/>
  <c r="MX130" i="1"/>
  <c r="MY130" i="1"/>
  <c r="MZ130" i="1"/>
  <c r="NA130" i="1"/>
  <c r="NB130" i="1"/>
  <c r="NE130" i="1"/>
  <c r="NF130" i="1"/>
  <c r="NC130" i="1"/>
  <c r="ND130" i="1"/>
  <c r="NG130" i="1"/>
  <c r="NH130" i="1"/>
  <c r="NI130" i="1"/>
  <c r="NJ130" i="1"/>
  <c r="NK130" i="1"/>
  <c r="NL130" i="1"/>
  <c r="NM130" i="1"/>
  <c r="NN130" i="1"/>
  <c r="NO130" i="1"/>
  <c r="NP130" i="1"/>
  <c r="NQ130" i="1"/>
  <c r="NR130" i="1"/>
  <c r="NS130" i="1"/>
  <c r="NT130" i="1"/>
  <c r="NU130" i="1"/>
  <c r="NV130" i="1"/>
  <c r="NW130" i="1"/>
  <c r="NX130" i="1"/>
  <c r="NY130" i="1"/>
  <c r="NZ130" i="1"/>
  <c r="OA130" i="1"/>
  <c r="OB130" i="1"/>
  <c r="OC130" i="1"/>
  <c r="OD130" i="1"/>
  <c r="OE130" i="1"/>
  <c r="OF130" i="1"/>
  <c r="OG130" i="1"/>
  <c r="OH130" i="1"/>
  <c r="OI130" i="1"/>
  <c r="OJ130" i="1"/>
  <c r="OM130" i="1"/>
  <c r="ON130" i="1"/>
  <c r="OO130" i="1"/>
  <c r="OP130" i="1"/>
  <c r="OQ130" i="1"/>
  <c r="OR130" i="1"/>
  <c r="OS130" i="1"/>
  <c r="OT130" i="1"/>
  <c r="OU130" i="1"/>
  <c r="OV130" i="1"/>
  <c r="OW130" i="1"/>
  <c r="OX130" i="1"/>
  <c r="OY130" i="1"/>
  <c r="PA130" i="1"/>
  <c r="PC130" i="1"/>
  <c r="PD130" i="1"/>
  <c r="PB130" i="1"/>
  <c r="PE130" i="1"/>
  <c r="PF130" i="1"/>
  <c r="PG130" i="1"/>
  <c r="PH130" i="1"/>
  <c r="PI130" i="1"/>
  <c r="PJ130" i="1"/>
  <c r="PK130" i="1"/>
  <c r="PL130" i="1"/>
  <c r="PM130" i="1"/>
  <c r="PN130" i="1"/>
  <c r="PO130" i="1"/>
  <c r="PQ130" i="1"/>
  <c r="PR130" i="1"/>
  <c r="PT130" i="1"/>
  <c r="PU130" i="1"/>
  <c r="PZ130" i="1"/>
  <c r="QA130" i="1"/>
  <c r="QB130" i="1"/>
  <c r="QC130" i="1"/>
  <c r="QD130" i="1"/>
  <c r="QE130" i="1"/>
  <c r="QF130" i="1"/>
  <c r="QG130" i="1"/>
  <c r="QH130" i="1"/>
  <c r="QI130" i="1"/>
  <c r="QJ130" i="1"/>
  <c r="QK130" i="1"/>
  <c r="QL130" i="1"/>
  <c r="QM130" i="1"/>
  <c r="QN130" i="1"/>
  <c r="QO130" i="1"/>
  <c r="QP130" i="1"/>
  <c r="QQ130" i="1"/>
  <c r="QR130" i="1"/>
  <c r="QS130" i="1"/>
  <c r="QT130" i="1"/>
  <c r="QU130" i="1"/>
  <c r="QV130" i="1"/>
  <c r="QW130" i="1"/>
  <c r="QX130" i="1"/>
  <c r="I65" i="1"/>
  <c r="J65" i="1"/>
  <c r="K65" i="1"/>
  <c r="MM65" i="1"/>
  <c r="MN65" i="1"/>
  <c r="MO65" i="1"/>
  <c r="MP65" i="1"/>
  <c r="MQ65" i="1"/>
  <c r="MR65" i="1"/>
  <c r="MS65" i="1"/>
  <c r="MT65" i="1"/>
  <c r="MW65" i="1"/>
  <c r="MX65" i="1"/>
  <c r="MY65" i="1"/>
  <c r="MZ65" i="1"/>
  <c r="NA65" i="1"/>
  <c r="NB65" i="1"/>
  <c r="NE65" i="1"/>
  <c r="NF65" i="1"/>
  <c r="NC65" i="1"/>
  <c r="ND65" i="1"/>
  <c r="NG65" i="1"/>
  <c r="NH65" i="1"/>
  <c r="NI65" i="1"/>
  <c r="NJ65" i="1"/>
  <c r="NK65" i="1"/>
  <c r="NL65" i="1"/>
  <c r="NM65" i="1"/>
  <c r="NN65" i="1"/>
  <c r="NO65" i="1"/>
  <c r="NP65" i="1"/>
  <c r="NQ65" i="1"/>
  <c r="NR65" i="1"/>
  <c r="NS65" i="1"/>
  <c r="NT65" i="1"/>
  <c r="NU65" i="1"/>
  <c r="NV65" i="1"/>
  <c r="NW65" i="1"/>
  <c r="NX65" i="1"/>
  <c r="NY65" i="1"/>
  <c r="NZ65" i="1"/>
  <c r="OA65" i="1"/>
  <c r="OB65" i="1"/>
  <c r="OC65" i="1"/>
  <c r="OD65" i="1"/>
  <c r="OE65" i="1"/>
  <c r="OF65" i="1"/>
  <c r="OG65" i="1"/>
  <c r="OH65" i="1"/>
  <c r="OI65" i="1"/>
  <c r="OJ65" i="1"/>
  <c r="OM65" i="1"/>
  <c r="ON65" i="1"/>
  <c r="OO65" i="1"/>
  <c r="OP65" i="1"/>
  <c r="OQ65" i="1"/>
  <c r="OR65" i="1"/>
  <c r="OS65" i="1"/>
  <c r="OT65" i="1"/>
  <c r="OU65" i="1"/>
  <c r="OV65" i="1"/>
  <c r="OW65" i="1"/>
  <c r="OX65" i="1"/>
  <c r="OY65" i="1"/>
  <c r="PA65" i="1"/>
  <c r="PC65" i="1"/>
  <c r="PD65" i="1"/>
  <c r="PB65" i="1"/>
  <c r="PE65" i="1"/>
  <c r="PF65" i="1"/>
  <c r="PG65" i="1"/>
  <c r="PH65" i="1"/>
  <c r="PI65" i="1"/>
  <c r="PJ65" i="1"/>
  <c r="PK65" i="1"/>
  <c r="PL65" i="1"/>
  <c r="PM65" i="1"/>
  <c r="PN65" i="1"/>
  <c r="PO65" i="1"/>
  <c r="PQ65" i="1"/>
  <c r="PR65" i="1"/>
  <c r="PT65" i="1"/>
  <c r="PU65" i="1"/>
  <c r="PZ65" i="1"/>
  <c r="QA65" i="1"/>
  <c r="QB65" i="1"/>
  <c r="QC65" i="1"/>
  <c r="QD65" i="1"/>
  <c r="QE65" i="1"/>
  <c r="QF65" i="1"/>
  <c r="QG65" i="1"/>
  <c r="QH65" i="1"/>
  <c r="QI65" i="1"/>
  <c r="QJ65" i="1"/>
  <c r="QK65" i="1"/>
  <c r="QL65" i="1"/>
  <c r="QM65" i="1"/>
  <c r="QN65" i="1"/>
  <c r="QO65" i="1"/>
  <c r="QP65" i="1"/>
  <c r="QQ65" i="1"/>
  <c r="QR65" i="1"/>
  <c r="QS65" i="1"/>
  <c r="QT65" i="1"/>
  <c r="QU65" i="1"/>
  <c r="QV65" i="1"/>
  <c r="QW65" i="1"/>
  <c r="QX65" i="1"/>
  <c r="I126" i="1"/>
  <c r="J126" i="1"/>
  <c r="K126" i="1"/>
  <c r="MM126" i="1"/>
  <c r="MN126" i="1"/>
  <c r="MO126" i="1"/>
  <c r="MP126" i="1"/>
  <c r="MQ126" i="1"/>
  <c r="MR126" i="1"/>
  <c r="MS126" i="1"/>
  <c r="MT126" i="1"/>
  <c r="MW126" i="1"/>
  <c r="MX126" i="1"/>
  <c r="MY126" i="1"/>
  <c r="MZ126" i="1"/>
  <c r="NA126" i="1"/>
  <c r="NB126" i="1"/>
  <c r="NE126" i="1"/>
  <c r="NF126" i="1"/>
  <c r="NC126" i="1"/>
  <c r="ND126" i="1"/>
  <c r="NG126" i="1"/>
  <c r="NH126" i="1"/>
  <c r="NI126" i="1"/>
  <c r="NJ126" i="1"/>
  <c r="NK126" i="1"/>
  <c r="NL126" i="1"/>
  <c r="NM126" i="1"/>
  <c r="NN126" i="1"/>
  <c r="NO126" i="1"/>
  <c r="NP126" i="1"/>
  <c r="NQ126" i="1"/>
  <c r="NR126" i="1"/>
  <c r="NS126" i="1"/>
  <c r="NT126" i="1"/>
  <c r="NU126" i="1"/>
  <c r="NV126" i="1"/>
  <c r="NW126" i="1"/>
  <c r="NX126" i="1"/>
  <c r="NY126" i="1"/>
  <c r="NZ126" i="1"/>
  <c r="OA126" i="1"/>
  <c r="OB126" i="1"/>
  <c r="OC126" i="1"/>
  <c r="OD126" i="1"/>
  <c r="OE126" i="1"/>
  <c r="OF126" i="1"/>
  <c r="OG126" i="1"/>
  <c r="OH126" i="1"/>
  <c r="OI126" i="1"/>
  <c r="OJ126" i="1"/>
  <c r="OM126" i="1"/>
  <c r="ON126" i="1"/>
  <c r="OO126" i="1"/>
  <c r="OP126" i="1"/>
  <c r="OQ126" i="1"/>
  <c r="OR126" i="1"/>
  <c r="OS126" i="1"/>
  <c r="OT126" i="1"/>
  <c r="OU126" i="1"/>
  <c r="OV126" i="1"/>
  <c r="OW126" i="1"/>
  <c r="OX126" i="1"/>
  <c r="OY126" i="1"/>
  <c r="PA126" i="1"/>
  <c r="PC126" i="1"/>
  <c r="PD126" i="1"/>
  <c r="PB126" i="1"/>
  <c r="PE126" i="1"/>
  <c r="PF126" i="1"/>
  <c r="PG126" i="1"/>
  <c r="PH126" i="1"/>
  <c r="PI126" i="1"/>
  <c r="PJ126" i="1"/>
  <c r="PK126" i="1"/>
  <c r="PL126" i="1"/>
  <c r="PM126" i="1"/>
  <c r="PN126" i="1"/>
  <c r="PO126" i="1"/>
  <c r="PQ126" i="1"/>
  <c r="PR126" i="1"/>
  <c r="PT126" i="1"/>
  <c r="PU126" i="1"/>
  <c r="PZ126" i="1"/>
  <c r="QA126" i="1"/>
  <c r="QB126" i="1"/>
  <c r="QC126" i="1"/>
  <c r="QD126" i="1"/>
  <c r="QE126" i="1"/>
  <c r="QF126" i="1"/>
  <c r="QG126" i="1"/>
  <c r="QH126" i="1"/>
  <c r="QI126" i="1"/>
  <c r="QJ126" i="1"/>
  <c r="QK126" i="1"/>
  <c r="QL126" i="1"/>
  <c r="QM126" i="1"/>
  <c r="QN126" i="1"/>
  <c r="QO126" i="1"/>
  <c r="QP126" i="1"/>
  <c r="QQ126" i="1"/>
  <c r="QR126" i="1"/>
  <c r="QS126" i="1"/>
  <c r="QT126" i="1"/>
  <c r="QU126" i="1"/>
  <c r="QV126" i="1"/>
  <c r="QW126" i="1"/>
  <c r="QX126" i="1"/>
  <c r="I96" i="1"/>
  <c r="J96" i="1"/>
  <c r="K96" i="1"/>
  <c r="MM96" i="1"/>
  <c r="MN96" i="1"/>
  <c r="MO96" i="1"/>
  <c r="MP96" i="1"/>
  <c r="MQ96" i="1"/>
  <c r="MR96" i="1"/>
  <c r="MS96" i="1"/>
  <c r="MT96" i="1"/>
  <c r="MW96" i="1"/>
  <c r="MX96" i="1"/>
  <c r="MY96" i="1"/>
  <c r="MZ96" i="1"/>
  <c r="NA96" i="1"/>
  <c r="NB96" i="1"/>
  <c r="NE96" i="1"/>
  <c r="NF96" i="1"/>
  <c r="NC96" i="1"/>
  <c r="ND96" i="1"/>
  <c r="NG96" i="1"/>
  <c r="NH96" i="1"/>
  <c r="NI96" i="1"/>
  <c r="NJ96" i="1"/>
  <c r="NK96" i="1"/>
  <c r="NL96" i="1"/>
  <c r="NM96" i="1"/>
  <c r="NN96" i="1"/>
  <c r="NO96" i="1"/>
  <c r="NP96" i="1"/>
  <c r="NQ96" i="1"/>
  <c r="NR96" i="1"/>
  <c r="NS96" i="1"/>
  <c r="NT96" i="1"/>
  <c r="NU96" i="1"/>
  <c r="NV96" i="1"/>
  <c r="NW96" i="1"/>
  <c r="NX96" i="1"/>
  <c r="NY96" i="1"/>
  <c r="NZ96" i="1"/>
  <c r="OA96" i="1"/>
  <c r="OB96" i="1"/>
  <c r="OC96" i="1"/>
  <c r="OD96" i="1"/>
  <c r="OE96" i="1"/>
  <c r="OF96" i="1"/>
  <c r="OG96" i="1"/>
  <c r="OH96" i="1"/>
  <c r="OI96" i="1"/>
  <c r="OJ96" i="1"/>
  <c r="OM96" i="1"/>
  <c r="ON96" i="1"/>
  <c r="OO96" i="1"/>
  <c r="OP96" i="1"/>
  <c r="OQ96" i="1"/>
  <c r="OR96" i="1"/>
  <c r="OS96" i="1"/>
  <c r="OT96" i="1"/>
  <c r="OU96" i="1"/>
  <c r="OV96" i="1"/>
  <c r="OW96" i="1"/>
  <c r="OX96" i="1"/>
  <c r="OY96" i="1"/>
  <c r="PA96" i="1"/>
  <c r="PC96" i="1"/>
  <c r="PD96" i="1"/>
  <c r="PB96" i="1"/>
  <c r="BH89" i="148" s="1"/>
  <c r="PE96" i="1"/>
  <c r="PF96" i="1"/>
  <c r="PG96" i="1"/>
  <c r="PH96" i="1"/>
  <c r="PI96" i="1"/>
  <c r="PJ96" i="1"/>
  <c r="PK96" i="1"/>
  <c r="PL96" i="1"/>
  <c r="PM96" i="1"/>
  <c r="PN96" i="1"/>
  <c r="PO96" i="1"/>
  <c r="PQ96" i="1"/>
  <c r="PR96" i="1"/>
  <c r="PT96" i="1"/>
  <c r="PU96" i="1"/>
  <c r="PZ96" i="1"/>
  <c r="QA96" i="1"/>
  <c r="QB96" i="1"/>
  <c r="QC96" i="1"/>
  <c r="QD96" i="1"/>
  <c r="QE96" i="1"/>
  <c r="QF96" i="1"/>
  <c r="QG96" i="1"/>
  <c r="QH96" i="1"/>
  <c r="QI96" i="1"/>
  <c r="QJ96" i="1"/>
  <c r="QK96" i="1"/>
  <c r="QL96" i="1"/>
  <c r="QM96" i="1"/>
  <c r="QN96" i="1"/>
  <c r="QO96" i="1"/>
  <c r="QP96" i="1"/>
  <c r="QQ96" i="1"/>
  <c r="QR96" i="1"/>
  <c r="QS96" i="1"/>
  <c r="QT96" i="1"/>
  <c r="QU96" i="1"/>
  <c r="QV96" i="1"/>
  <c r="QW96" i="1"/>
  <c r="QX96" i="1"/>
  <c r="I182" i="1"/>
  <c r="J182" i="1"/>
  <c r="K182" i="1"/>
  <c r="MM182" i="1"/>
  <c r="MN182" i="1"/>
  <c r="MO182" i="1"/>
  <c r="MP182" i="1"/>
  <c r="MQ182" i="1"/>
  <c r="MR182" i="1"/>
  <c r="MS182" i="1"/>
  <c r="MT182" i="1"/>
  <c r="MW182" i="1"/>
  <c r="MX182" i="1"/>
  <c r="MY182" i="1"/>
  <c r="MZ182" i="1"/>
  <c r="NA182" i="1"/>
  <c r="NB182" i="1"/>
  <c r="NE182" i="1"/>
  <c r="NF182" i="1"/>
  <c r="NC182" i="1"/>
  <c r="ND182" i="1"/>
  <c r="NG182" i="1"/>
  <c r="NH182" i="1"/>
  <c r="NI182" i="1"/>
  <c r="NJ182" i="1"/>
  <c r="NK182" i="1"/>
  <c r="NL182" i="1"/>
  <c r="NM182" i="1"/>
  <c r="NN182" i="1"/>
  <c r="NO182" i="1"/>
  <c r="NP182" i="1"/>
  <c r="NQ182" i="1"/>
  <c r="NR182" i="1"/>
  <c r="NS182" i="1"/>
  <c r="NT182" i="1"/>
  <c r="NU182" i="1"/>
  <c r="NV182" i="1"/>
  <c r="NW182" i="1"/>
  <c r="NX182" i="1"/>
  <c r="NY182" i="1"/>
  <c r="NZ182" i="1"/>
  <c r="OA182" i="1"/>
  <c r="OB182" i="1"/>
  <c r="OC182" i="1"/>
  <c r="OD182" i="1"/>
  <c r="OE182" i="1"/>
  <c r="OF182" i="1"/>
  <c r="OG182" i="1"/>
  <c r="OH182" i="1"/>
  <c r="OI182" i="1"/>
  <c r="OJ182" i="1"/>
  <c r="OM182" i="1"/>
  <c r="ON182" i="1"/>
  <c r="OO182" i="1"/>
  <c r="OP182" i="1"/>
  <c r="OQ182" i="1"/>
  <c r="OR182" i="1"/>
  <c r="OS182" i="1"/>
  <c r="OT182" i="1"/>
  <c r="OU182" i="1"/>
  <c r="OV182" i="1"/>
  <c r="OW182" i="1"/>
  <c r="OX182" i="1"/>
  <c r="OY182" i="1"/>
  <c r="PA182" i="1"/>
  <c r="PC182" i="1"/>
  <c r="PD182" i="1"/>
  <c r="PB182" i="1"/>
  <c r="PE182" i="1"/>
  <c r="PF182" i="1"/>
  <c r="PG182" i="1"/>
  <c r="PH182" i="1"/>
  <c r="PI182" i="1"/>
  <c r="PJ182" i="1"/>
  <c r="PK182" i="1"/>
  <c r="PL182" i="1"/>
  <c r="PM182" i="1"/>
  <c r="PN182" i="1"/>
  <c r="PO182" i="1"/>
  <c r="PQ182" i="1"/>
  <c r="PR182" i="1"/>
  <c r="PT182" i="1"/>
  <c r="PU182" i="1"/>
  <c r="PZ182" i="1"/>
  <c r="QA182" i="1"/>
  <c r="QB182" i="1"/>
  <c r="QC182" i="1"/>
  <c r="QD182" i="1"/>
  <c r="QE182" i="1"/>
  <c r="QF182" i="1"/>
  <c r="QG182" i="1"/>
  <c r="QH182" i="1"/>
  <c r="QI182" i="1"/>
  <c r="QJ182" i="1"/>
  <c r="QK182" i="1"/>
  <c r="QL182" i="1"/>
  <c r="QM182" i="1"/>
  <c r="QN182" i="1"/>
  <c r="QO182" i="1"/>
  <c r="QP182" i="1"/>
  <c r="QQ182" i="1"/>
  <c r="QR182" i="1"/>
  <c r="QS182" i="1"/>
  <c r="QT182" i="1"/>
  <c r="QU182" i="1"/>
  <c r="QV182" i="1"/>
  <c r="QW182" i="1"/>
  <c r="QX182" i="1"/>
  <c r="I195" i="1"/>
  <c r="J195" i="1"/>
  <c r="K195" i="1"/>
  <c r="MM195" i="1"/>
  <c r="MN195" i="1"/>
  <c r="MO195" i="1"/>
  <c r="MP195" i="1"/>
  <c r="MQ195" i="1"/>
  <c r="MR195" i="1"/>
  <c r="MS195" i="1"/>
  <c r="MT195" i="1"/>
  <c r="MW195" i="1"/>
  <c r="MX195" i="1"/>
  <c r="MY195" i="1"/>
  <c r="MZ195" i="1"/>
  <c r="NA195" i="1"/>
  <c r="NB195" i="1"/>
  <c r="NE195" i="1"/>
  <c r="NF195" i="1"/>
  <c r="NC195" i="1"/>
  <c r="ND195" i="1"/>
  <c r="NG195" i="1"/>
  <c r="NH195" i="1"/>
  <c r="NI195" i="1"/>
  <c r="NJ195" i="1"/>
  <c r="NK195" i="1"/>
  <c r="NL195" i="1"/>
  <c r="NM195" i="1"/>
  <c r="NN195" i="1"/>
  <c r="NO195" i="1"/>
  <c r="NP195" i="1"/>
  <c r="NQ195" i="1"/>
  <c r="NR195" i="1"/>
  <c r="NS195" i="1"/>
  <c r="NT195" i="1"/>
  <c r="NU195" i="1"/>
  <c r="NV195" i="1"/>
  <c r="NW195" i="1"/>
  <c r="NX195" i="1"/>
  <c r="NY195" i="1"/>
  <c r="NZ195" i="1"/>
  <c r="OA195" i="1"/>
  <c r="OB195" i="1"/>
  <c r="OC195" i="1"/>
  <c r="OD195" i="1"/>
  <c r="OE195" i="1"/>
  <c r="OF195" i="1"/>
  <c r="OG195" i="1"/>
  <c r="OH195" i="1"/>
  <c r="OI195" i="1"/>
  <c r="OJ195" i="1"/>
  <c r="OM195" i="1"/>
  <c r="ON195" i="1"/>
  <c r="OO195" i="1"/>
  <c r="OP195" i="1"/>
  <c r="OQ195" i="1"/>
  <c r="OR195" i="1"/>
  <c r="OS195" i="1"/>
  <c r="OT195" i="1"/>
  <c r="OU195" i="1"/>
  <c r="OV195" i="1"/>
  <c r="OW195" i="1"/>
  <c r="OX195" i="1"/>
  <c r="OY195" i="1"/>
  <c r="PA195" i="1"/>
  <c r="PC195" i="1"/>
  <c r="PD195" i="1"/>
  <c r="PB195" i="1"/>
  <c r="BH192" i="148" s="1"/>
  <c r="PE195" i="1"/>
  <c r="PF195" i="1"/>
  <c r="PG195" i="1"/>
  <c r="PH195" i="1"/>
  <c r="PI195" i="1"/>
  <c r="PJ195" i="1"/>
  <c r="PK195" i="1"/>
  <c r="PL195" i="1"/>
  <c r="PM195" i="1"/>
  <c r="PN195" i="1"/>
  <c r="PO195" i="1"/>
  <c r="PQ195" i="1"/>
  <c r="PR195" i="1"/>
  <c r="PT195" i="1"/>
  <c r="PU195" i="1"/>
  <c r="PZ195" i="1"/>
  <c r="QA195" i="1"/>
  <c r="QB195" i="1"/>
  <c r="QC195" i="1"/>
  <c r="QD195" i="1"/>
  <c r="QE195" i="1"/>
  <c r="QF195" i="1"/>
  <c r="QG195" i="1"/>
  <c r="QH195" i="1"/>
  <c r="QI195" i="1"/>
  <c r="QJ195" i="1"/>
  <c r="QK195" i="1"/>
  <c r="QL195" i="1"/>
  <c r="QM195" i="1"/>
  <c r="QN195" i="1"/>
  <c r="QO195" i="1"/>
  <c r="QP195" i="1"/>
  <c r="QQ195" i="1"/>
  <c r="QR195" i="1"/>
  <c r="QS195" i="1"/>
  <c r="QT195" i="1"/>
  <c r="QU195" i="1"/>
  <c r="QV195" i="1"/>
  <c r="QW195" i="1"/>
  <c r="QX195" i="1"/>
  <c r="I178" i="1"/>
  <c r="J178" i="1"/>
  <c r="K178" i="1"/>
  <c r="MM178" i="1"/>
  <c r="MN178" i="1"/>
  <c r="MO178" i="1"/>
  <c r="MP178" i="1"/>
  <c r="MQ178" i="1"/>
  <c r="MR178" i="1"/>
  <c r="MS178" i="1"/>
  <c r="MT178" i="1"/>
  <c r="MW178" i="1"/>
  <c r="MX178" i="1"/>
  <c r="MY178" i="1"/>
  <c r="MZ178" i="1"/>
  <c r="NA178" i="1"/>
  <c r="NB178" i="1"/>
  <c r="NE178" i="1"/>
  <c r="NF178" i="1"/>
  <c r="NC178" i="1"/>
  <c r="ND178" i="1"/>
  <c r="NG178" i="1"/>
  <c r="NH178" i="1"/>
  <c r="NI178" i="1"/>
  <c r="NJ178" i="1"/>
  <c r="NK178" i="1"/>
  <c r="NL178" i="1"/>
  <c r="NM178" i="1"/>
  <c r="NN178" i="1"/>
  <c r="NO178" i="1"/>
  <c r="NP178" i="1"/>
  <c r="NQ178" i="1"/>
  <c r="NR178" i="1"/>
  <c r="NS178" i="1"/>
  <c r="NT178" i="1"/>
  <c r="NU178" i="1"/>
  <c r="NV178" i="1"/>
  <c r="NW178" i="1"/>
  <c r="NX178" i="1"/>
  <c r="NY178" i="1"/>
  <c r="NZ178" i="1"/>
  <c r="OA178" i="1"/>
  <c r="OB178" i="1"/>
  <c r="OC178" i="1"/>
  <c r="OD178" i="1"/>
  <c r="OE178" i="1"/>
  <c r="OF178" i="1"/>
  <c r="OG178" i="1"/>
  <c r="OH178" i="1"/>
  <c r="OI178" i="1"/>
  <c r="OJ178" i="1"/>
  <c r="OM178" i="1"/>
  <c r="ON178" i="1"/>
  <c r="OO178" i="1"/>
  <c r="OP178" i="1"/>
  <c r="OQ178" i="1"/>
  <c r="OR178" i="1"/>
  <c r="OS178" i="1"/>
  <c r="OT178" i="1"/>
  <c r="OU178" i="1"/>
  <c r="OV178" i="1"/>
  <c r="OW178" i="1"/>
  <c r="OX178" i="1"/>
  <c r="OY178" i="1"/>
  <c r="PA178" i="1"/>
  <c r="PC178" i="1"/>
  <c r="PD178" i="1"/>
  <c r="PB178" i="1"/>
  <c r="PE178" i="1"/>
  <c r="PF178" i="1"/>
  <c r="PG178" i="1"/>
  <c r="PH178" i="1"/>
  <c r="PI178" i="1"/>
  <c r="PJ178" i="1"/>
  <c r="PK178" i="1"/>
  <c r="PL178" i="1"/>
  <c r="PM178" i="1"/>
  <c r="PN178" i="1"/>
  <c r="PO178" i="1"/>
  <c r="PQ178" i="1"/>
  <c r="PR178" i="1"/>
  <c r="PT178" i="1"/>
  <c r="PU178" i="1"/>
  <c r="PZ178" i="1"/>
  <c r="QA178" i="1"/>
  <c r="QB178" i="1"/>
  <c r="QC178" i="1"/>
  <c r="QD178" i="1"/>
  <c r="QE178" i="1"/>
  <c r="QF178" i="1"/>
  <c r="QG178" i="1"/>
  <c r="QH178" i="1"/>
  <c r="QI178" i="1"/>
  <c r="QJ178" i="1"/>
  <c r="QK178" i="1"/>
  <c r="QL178" i="1"/>
  <c r="QM178" i="1"/>
  <c r="QN178" i="1"/>
  <c r="QO178" i="1"/>
  <c r="QP178" i="1"/>
  <c r="QQ178" i="1"/>
  <c r="QR178" i="1"/>
  <c r="QS178" i="1"/>
  <c r="QT178" i="1"/>
  <c r="QU178" i="1"/>
  <c r="QV178" i="1"/>
  <c r="QW178" i="1"/>
  <c r="QX178" i="1"/>
  <c r="I181" i="1"/>
  <c r="J181" i="1"/>
  <c r="K181" i="1"/>
  <c r="MM181" i="1"/>
  <c r="MN181" i="1"/>
  <c r="MO181" i="1"/>
  <c r="MP181" i="1"/>
  <c r="MQ181" i="1"/>
  <c r="MR181" i="1"/>
  <c r="MS181" i="1"/>
  <c r="MT181" i="1"/>
  <c r="MW181" i="1"/>
  <c r="MX181" i="1"/>
  <c r="MY181" i="1"/>
  <c r="MZ181" i="1"/>
  <c r="NA181" i="1"/>
  <c r="NB181" i="1"/>
  <c r="NE181" i="1"/>
  <c r="NF181" i="1"/>
  <c r="NC181" i="1"/>
  <c r="ND181" i="1"/>
  <c r="NG181" i="1"/>
  <c r="NH181" i="1"/>
  <c r="NI181" i="1"/>
  <c r="NJ181" i="1"/>
  <c r="NK181" i="1"/>
  <c r="NL181" i="1"/>
  <c r="NM181" i="1"/>
  <c r="NN181" i="1"/>
  <c r="NO181" i="1"/>
  <c r="NP181" i="1"/>
  <c r="NQ181" i="1"/>
  <c r="NR181" i="1"/>
  <c r="NS181" i="1"/>
  <c r="NT181" i="1"/>
  <c r="NU181" i="1"/>
  <c r="NV181" i="1"/>
  <c r="NW181" i="1"/>
  <c r="NX181" i="1"/>
  <c r="NY181" i="1"/>
  <c r="NZ181" i="1"/>
  <c r="OA181" i="1"/>
  <c r="OB181" i="1"/>
  <c r="OC181" i="1"/>
  <c r="OD181" i="1"/>
  <c r="OE181" i="1"/>
  <c r="OF181" i="1"/>
  <c r="OG181" i="1"/>
  <c r="OH181" i="1"/>
  <c r="OI181" i="1"/>
  <c r="OJ181" i="1"/>
  <c r="OM181" i="1"/>
  <c r="ON181" i="1"/>
  <c r="OO181" i="1"/>
  <c r="OP181" i="1"/>
  <c r="OQ181" i="1"/>
  <c r="OR181" i="1"/>
  <c r="OS181" i="1"/>
  <c r="OT181" i="1"/>
  <c r="OU181" i="1"/>
  <c r="OV181" i="1"/>
  <c r="OW181" i="1"/>
  <c r="OX181" i="1"/>
  <c r="OY181" i="1"/>
  <c r="PA181" i="1"/>
  <c r="PC181" i="1"/>
  <c r="PD181" i="1"/>
  <c r="PB181" i="1"/>
  <c r="BH176" i="148" s="1"/>
  <c r="PE181" i="1"/>
  <c r="PF181" i="1"/>
  <c r="PG181" i="1"/>
  <c r="PH181" i="1"/>
  <c r="PI181" i="1"/>
  <c r="PJ181" i="1"/>
  <c r="PK181" i="1"/>
  <c r="PL181" i="1"/>
  <c r="PM181" i="1"/>
  <c r="PN181" i="1"/>
  <c r="PO181" i="1"/>
  <c r="PQ181" i="1"/>
  <c r="PR181" i="1"/>
  <c r="PT181" i="1"/>
  <c r="PU181" i="1"/>
  <c r="PZ181" i="1"/>
  <c r="QA181" i="1"/>
  <c r="QB181" i="1"/>
  <c r="QC181" i="1"/>
  <c r="QD181" i="1"/>
  <c r="QE181" i="1"/>
  <c r="QF181" i="1"/>
  <c r="QG181" i="1"/>
  <c r="QH181" i="1"/>
  <c r="QI181" i="1"/>
  <c r="QJ181" i="1"/>
  <c r="QK181" i="1"/>
  <c r="QL181" i="1"/>
  <c r="QM181" i="1"/>
  <c r="QN181" i="1"/>
  <c r="QO181" i="1"/>
  <c r="QP181" i="1"/>
  <c r="QQ181" i="1"/>
  <c r="QR181" i="1"/>
  <c r="QS181" i="1"/>
  <c r="QT181" i="1"/>
  <c r="QU181" i="1"/>
  <c r="QV181" i="1"/>
  <c r="QW181" i="1"/>
  <c r="QX181" i="1"/>
  <c r="I194" i="1"/>
  <c r="J194" i="1"/>
  <c r="K194" i="1"/>
  <c r="MM194" i="1"/>
  <c r="MN194" i="1"/>
  <c r="MO194" i="1"/>
  <c r="MP194" i="1"/>
  <c r="MQ194" i="1"/>
  <c r="MR194" i="1"/>
  <c r="MS194" i="1"/>
  <c r="MT194" i="1"/>
  <c r="MW194" i="1"/>
  <c r="MX194" i="1"/>
  <c r="MY194" i="1"/>
  <c r="MZ194" i="1"/>
  <c r="NA194" i="1"/>
  <c r="NB194" i="1"/>
  <c r="NE194" i="1"/>
  <c r="NF194" i="1"/>
  <c r="NC194" i="1"/>
  <c r="ND194" i="1"/>
  <c r="NG194" i="1"/>
  <c r="NH194" i="1"/>
  <c r="NI194" i="1"/>
  <c r="NJ194" i="1"/>
  <c r="NK194" i="1"/>
  <c r="NL194" i="1"/>
  <c r="NM194" i="1"/>
  <c r="NN194" i="1"/>
  <c r="NO194" i="1"/>
  <c r="NP194" i="1"/>
  <c r="NQ194" i="1"/>
  <c r="NR194" i="1"/>
  <c r="NS194" i="1"/>
  <c r="NT194" i="1"/>
  <c r="NU194" i="1"/>
  <c r="NV194" i="1"/>
  <c r="NW194" i="1"/>
  <c r="NX194" i="1"/>
  <c r="NY194" i="1"/>
  <c r="NZ194" i="1"/>
  <c r="OA194" i="1"/>
  <c r="OB194" i="1"/>
  <c r="OC194" i="1"/>
  <c r="OD194" i="1"/>
  <c r="OE194" i="1"/>
  <c r="OF194" i="1"/>
  <c r="OG194" i="1"/>
  <c r="OH194" i="1"/>
  <c r="OI194" i="1"/>
  <c r="OJ194" i="1"/>
  <c r="OM194" i="1"/>
  <c r="ON194" i="1"/>
  <c r="OO194" i="1"/>
  <c r="OP194" i="1"/>
  <c r="OQ194" i="1"/>
  <c r="OR194" i="1"/>
  <c r="OS194" i="1"/>
  <c r="OT194" i="1"/>
  <c r="OU194" i="1"/>
  <c r="OV194" i="1"/>
  <c r="OW194" i="1"/>
  <c r="OX194" i="1"/>
  <c r="OY194" i="1"/>
  <c r="PA194" i="1"/>
  <c r="PC194" i="1"/>
  <c r="PD194" i="1"/>
  <c r="PB194" i="1"/>
  <c r="PE194" i="1"/>
  <c r="PF194" i="1"/>
  <c r="PG194" i="1"/>
  <c r="PH194" i="1"/>
  <c r="PI194" i="1"/>
  <c r="PJ194" i="1"/>
  <c r="PK194" i="1"/>
  <c r="PL194" i="1"/>
  <c r="PM194" i="1"/>
  <c r="PN194" i="1"/>
  <c r="PO194" i="1"/>
  <c r="PQ194" i="1"/>
  <c r="PR194" i="1"/>
  <c r="PT194" i="1"/>
  <c r="PU194" i="1"/>
  <c r="PZ194" i="1"/>
  <c r="QA194" i="1"/>
  <c r="QB194" i="1"/>
  <c r="QC194" i="1"/>
  <c r="QD194" i="1"/>
  <c r="QE194" i="1"/>
  <c r="QF194" i="1"/>
  <c r="QG194" i="1"/>
  <c r="QH194" i="1"/>
  <c r="QI194" i="1"/>
  <c r="QJ194" i="1"/>
  <c r="QK194" i="1"/>
  <c r="QL194" i="1"/>
  <c r="QM194" i="1"/>
  <c r="QN194" i="1"/>
  <c r="QO194" i="1"/>
  <c r="QP194" i="1"/>
  <c r="QQ194" i="1"/>
  <c r="QR194" i="1"/>
  <c r="QS194" i="1"/>
  <c r="QT194" i="1"/>
  <c r="QU194" i="1"/>
  <c r="QV194" i="1"/>
  <c r="QW194" i="1"/>
  <c r="QX194" i="1"/>
  <c r="I208" i="1"/>
  <c r="J208" i="1"/>
  <c r="K208" i="1"/>
  <c r="MM208" i="1"/>
  <c r="MN208" i="1"/>
  <c r="MO208" i="1"/>
  <c r="MP208" i="1"/>
  <c r="MQ208" i="1"/>
  <c r="MR208" i="1"/>
  <c r="MS208" i="1"/>
  <c r="MT208" i="1"/>
  <c r="MW208" i="1"/>
  <c r="MX208" i="1"/>
  <c r="MY208" i="1"/>
  <c r="MZ208" i="1"/>
  <c r="NA208" i="1"/>
  <c r="NB208" i="1"/>
  <c r="NE208" i="1"/>
  <c r="NF208" i="1"/>
  <c r="NC208" i="1"/>
  <c r="ND208" i="1"/>
  <c r="NG208" i="1"/>
  <c r="NH208" i="1"/>
  <c r="NI208" i="1"/>
  <c r="NJ208" i="1"/>
  <c r="NK208" i="1"/>
  <c r="NL208" i="1"/>
  <c r="NM208" i="1"/>
  <c r="NN208" i="1"/>
  <c r="NO208" i="1"/>
  <c r="NP208" i="1"/>
  <c r="NQ208" i="1"/>
  <c r="NR208" i="1"/>
  <c r="NS208" i="1"/>
  <c r="NT208" i="1"/>
  <c r="NU208" i="1"/>
  <c r="NV208" i="1"/>
  <c r="NW208" i="1"/>
  <c r="NX208" i="1"/>
  <c r="NY208" i="1"/>
  <c r="NZ208" i="1"/>
  <c r="OA208" i="1"/>
  <c r="OB208" i="1"/>
  <c r="OC208" i="1"/>
  <c r="OD208" i="1"/>
  <c r="OE208" i="1"/>
  <c r="OF208" i="1"/>
  <c r="OG208" i="1"/>
  <c r="OH208" i="1"/>
  <c r="OI208" i="1"/>
  <c r="OJ208" i="1"/>
  <c r="OM208" i="1"/>
  <c r="ON208" i="1"/>
  <c r="OO208" i="1"/>
  <c r="OP208" i="1"/>
  <c r="OQ208" i="1"/>
  <c r="OR208" i="1"/>
  <c r="OS208" i="1"/>
  <c r="OT208" i="1"/>
  <c r="OU208" i="1"/>
  <c r="OV208" i="1"/>
  <c r="OW208" i="1"/>
  <c r="OX208" i="1"/>
  <c r="OY208" i="1"/>
  <c r="PA208" i="1"/>
  <c r="PC208" i="1"/>
  <c r="PD208" i="1"/>
  <c r="PB208" i="1"/>
  <c r="BH208" i="148" s="1"/>
  <c r="PE208" i="1"/>
  <c r="PF208" i="1"/>
  <c r="PG208" i="1"/>
  <c r="PH208" i="1"/>
  <c r="PI208" i="1"/>
  <c r="PJ208" i="1"/>
  <c r="PK208" i="1"/>
  <c r="PL208" i="1"/>
  <c r="PM208" i="1"/>
  <c r="PN208" i="1"/>
  <c r="PO208" i="1"/>
  <c r="PQ208" i="1"/>
  <c r="PR208" i="1"/>
  <c r="PT208" i="1"/>
  <c r="PU208" i="1"/>
  <c r="PZ208" i="1"/>
  <c r="QA208" i="1"/>
  <c r="QB208" i="1"/>
  <c r="QC208" i="1"/>
  <c r="QD208" i="1"/>
  <c r="QE208" i="1"/>
  <c r="QF208" i="1"/>
  <c r="QG208" i="1"/>
  <c r="QH208" i="1"/>
  <c r="QI208" i="1"/>
  <c r="QJ208" i="1"/>
  <c r="QK208" i="1"/>
  <c r="QL208" i="1"/>
  <c r="QM208" i="1"/>
  <c r="QN208" i="1"/>
  <c r="QO208" i="1"/>
  <c r="QP208" i="1"/>
  <c r="QQ208" i="1"/>
  <c r="QR208" i="1"/>
  <c r="QS208" i="1"/>
  <c r="QT208" i="1"/>
  <c r="QU208" i="1"/>
  <c r="QV208" i="1"/>
  <c r="QW208" i="1"/>
  <c r="QX208" i="1"/>
  <c r="I129" i="1"/>
  <c r="J129" i="1"/>
  <c r="K129" i="1"/>
  <c r="MM129" i="1"/>
  <c r="MN129" i="1"/>
  <c r="MO129" i="1"/>
  <c r="MP129" i="1"/>
  <c r="MQ129" i="1"/>
  <c r="MR129" i="1"/>
  <c r="MS129" i="1"/>
  <c r="MT129" i="1"/>
  <c r="MW129" i="1"/>
  <c r="MX129" i="1"/>
  <c r="MY129" i="1"/>
  <c r="MZ129" i="1"/>
  <c r="NA129" i="1"/>
  <c r="NB129" i="1"/>
  <c r="NE129" i="1"/>
  <c r="NF129" i="1"/>
  <c r="NC129" i="1"/>
  <c r="ND129" i="1"/>
  <c r="NG129" i="1"/>
  <c r="NH129" i="1"/>
  <c r="NI129" i="1"/>
  <c r="NJ129" i="1"/>
  <c r="NK129" i="1"/>
  <c r="NL129" i="1"/>
  <c r="NM129" i="1"/>
  <c r="NN129" i="1"/>
  <c r="NO129" i="1"/>
  <c r="NP129" i="1"/>
  <c r="NQ129" i="1"/>
  <c r="NR129" i="1"/>
  <c r="NS129" i="1"/>
  <c r="NT129" i="1"/>
  <c r="NU129" i="1"/>
  <c r="NV129" i="1"/>
  <c r="NW129" i="1"/>
  <c r="NX129" i="1"/>
  <c r="NY129" i="1"/>
  <c r="NZ129" i="1"/>
  <c r="OA129" i="1"/>
  <c r="OB129" i="1"/>
  <c r="OC129" i="1"/>
  <c r="OD129" i="1"/>
  <c r="OE129" i="1"/>
  <c r="OF129" i="1"/>
  <c r="OG129" i="1"/>
  <c r="OH129" i="1"/>
  <c r="OI129" i="1"/>
  <c r="OJ129" i="1"/>
  <c r="OM129" i="1"/>
  <c r="ON129" i="1"/>
  <c r="OO129" i="1"/>
  <c r="OP129" i="1"/>
  <c r="OQ129" i="1"/>
  <c r="OR129" i="1"/>
  <c r="OS129" i="1"/>
  <c r="OT129" i="1"/>
  <c r="OU129" i="1"/>
  <c r="OV129" i="1"/>
  <c r="OW129" i="1"/>
  <c r="OX129" i="1"/>
  <c r="OY129" i="1"/>
  <c r="PA129" i="1"/>
  <c r="PC129" i="1"/>
  <c r="PD129" i="1"/>
  <c r="PB129" i="1"/>
  <c r="PE129" i="1"/>
  <c r="PF129" i="1"/>
  <c r="PG129" i="1"/>
  <c r="PH129" i="1"/>
  <c r="PI129" i="1"/>
  <c r="PJ129" i="1"/>
  <c r="PK129" i="1"/>
  <c r="PL129" i="1"/>
  <c r="PM129" i="1"/>
  <c r="PN129" i="1"/>
  <c r="PO129" i="1"/>
  <c r="PQ129" i="1"/>
  <c r="PR129" i="1"/>
  <c r="PT129" i="1"/>
  <c r="PU129" i="1"/>
  <c r="PZ129" i="1"/>
  <c r="QA129" i="1"/>
  <c r="QB129" i="1"/>
  <c r="QC129" i="1"/>
  <c r="QD129" i="1"/>
  <c r="QE129" i="1"/>
  <c r="QF129" i="1"/>
  <c r="QG129" i="1"/>
  <c r="QH129" i="1"/>
  <c r="QI129" i="1"/>
  <c r="QJ129" i="1"/>
  <c r="QK129" i="1"/>
  <c r="QL129" i="1"/>
  <c r="QM129" i="1"/>
  <c r="QN129" i="1"/>
  <c r="QO129" i="1"/>
  <c r="QP129" i="1"/>
  <c r="QQ129" i="1"/>
  <c r="QR129" i="1"/>
  <c r="QS129" i="1"/>
  <c r="QT129" i="1"/>
  <c r="QU129" i="1"/>
  <c r="QV129" i="1"/>
  <c r="QW129" i="1"/>
  <c r="QX129" i="1"/>
  <c r="I180" i="1"/>
  <c r="J180" i="1"/>
  <c r="K180" i="1"/>
  <c r="MM180" i="1"/>
  <c r="MN180" i="1"/>
  <c r="MO180" i="1"/>
  <c r="MP180" i="1"/>
  <c r="MQ180" i="1"/>
  <c r="MR180" i="1"/>
  <c r="MS180" i="1"/>
  <c r="MT180" i="1"/>
  <c r="MW180" i="1"/>
  <c r="MX180" i="1"/>
  <c r="MY180" i="1"/>
  <c r="MZ180" i="1"/>
  <c r="NA180" i="1"/>
  <c r="NB180" i="1"/>
  <c r="NE180" i="1"/>
  <c r="NF180" i="1"/>
  <c r="NC180" i="1"/>
  <c r="ND180" i="1"/>
  <c r="NG180" i="1"/>
  <c r="NH180" i="1"/>
  <c r="NI180" i="1"/>
  <c r="NJ180" i="1"/>
  <c r="NK180" i="1"/>
  <c r="NL180" i="1"/>
  <c r="NM180" i="1"/>
  <c r="NN180" i="1"/>
  <c r="NO180" i="1"/>
  <c r="NP180" i="1"/>
  <c r="NQ180" i="1"/>
  <c r="NR180" i="1"/>
  <c r="NS180" i="1"/>
  <c r="NT180" i="1"/>
  <c r="NU180" i="1"/>
  <c r="NV180" i="1"/>
  <c r="NW180" i="1"/>
  <c r="NX180" i="1"/>
  <c r="NY180" i="1"/>
  <c r="NZ180" i="1"/>
  <c r="OA180" i="1"/>
  <c r="OB180" i="1"/>
  <c r="OC180" i="1"/>
  <c r="OD180" i="1"/>
  <c r="OE180" i="1"/>
  <c r="OF180" i="1"/>
  <c r="OG180" i="1"/>
  <c r="OH180" i="1"/>
  <c r="OI180" i="1"/>
  <c r="OJ180" i="1"/>
  <c r="OM180" i="1"/>
  <c r="ON180" i="1"/>
  <c r="OO180" i="1"/>
  <c r="OP180" i="1"/>
  <c r="OQ180" i="1"/>
  <c r="OR180" i="1"/>
  <c r="OS180" i="1"/>
  <c r="OT180" i="1"/>
  <c r="OU180" i="1"/>
  <c r="OV180" i="1"/>
  <c r="OW180" i="1"/>
  <c r="OX180" i="1"/>
  <c r="OY180" i="1"/>
  <c r="PA180" i="1"/>
  <c r="PC180" i="1"/>
  <c r="PD180" i="1"/>
  <c r="PB180" i="1"/>
  <c r="BH175" i="148" s="1"/>
  <c r="PE180" i="1"/>
  <c r="PF180" i="1"/>
  <c r="PG180" i="1"/>
  <c r="PH180" i="1"/>
  <c r="PI180" i="1"/>
  <c r="PJ180" i="1"/>
  <c r="PK180" i="1"/>
  <c r="PL180" i="1"/>
  <c r="PM180" i="1"/>
  <c r="PN180" i="1"/>
  <c r="PO180" i="1"/>
  <c r="PQ180" i="1"/>
  <c r="PR180" i="1"/>
  <c r="PT180" i="1"/>
  <c r="PU180" i="1"/>
  <c r="PZ180" i="1"/>
  <c r="QA180" i="1"/>
  <c r="QB180" i="1"/>
  <c r="QC180" i="1"/>
  <c r="QD180" i="1"/>
  <c r="QE180" i="1"/>
  <c r="QF180" i="1"/>
  <c r="QG180" i="1"/>
  <c r="QH180" i="1"/>
  <c r="QI180" i="1"/>
  <c r="QJ180" i="1"/>
  <c r="QK180" i="1"/>
  <c r="QL180" i="1"/>
  <c r="QM180" i="1"/>
  <c r="QN180" i="1"/>
  <c r="QO180" i="1"/>
  <c r="QP180" i="1"/>
  <c r="QQ180" i="1"/>
  <c r="QR180" i="1"/>
  <c r="QS180" i="1"/>
  <c r="QT180" i="1"/>
  <c r="QU180" i="1"/>
  <c r="QV180" i="1"/>
  <c r="QW180" i="1"/>
  <c r="QX180" i="1"/>
  <c r="I140" i="1"/>
  <c r="J140" i="1"/>
  <c r="K140" i="1"/>
  <c r="MM140" i="1"/>
  <c r="MN140" i="1"/>
  <c r="MO140" i="1"/>
  <c r="MP140" i="1"/>
  <c r="MQ140" i="1"/>
  <c r="MR140" i="1"/>
  <c r="MS140" i="1"/>
  <c r="MT140" i="1"/>
  <c r="MW140" i="1"/>
  <c r="MX140" i="1"/>
  <c r="MY140" i="1"/>
  <c r="MZ140" i="1"/>
  <c r="NA140" i="1"/>
  <c r="NB140" i="1"/>
  <c r="NE140" i="1"/>
  <c r="NF140" i="1"/>
  <c r="NC140" i="1"/>
  <c r="ND140" i="1"/>
  <c r="NG140" i="1"/>
  <c r="NH140" i="1"/>
  <c r="NI140" i="1"/>
  <c r="NJ140" i="1"/>
  <c r="NK140" i="1"/>
  <c r="NL140" i="1"/>
  <c r="NM140" i="1"/>
  <c r="NN140" i="1"/>
  <c r="NO140" i="1"/>
  <c r="NP140" i="1"/>
  <c r="NQ140" i="1"/>
  <c r="NR140" i="1"/>
  <c r="NS140" i="1"/>
  <c r="NT140" i="1"/>
  <c r="NU140" i="1"/>
  <c r="NV140" i="1"/>
  <c r="NW140" i="1"/>
  <c r="NX140" i="1"/>
  <c r="NY140" i="1"/>
  <c r="NZ140" i="1"/>
  <c r="OA140" i="1"/>
  <c r="OB140" i="1"/>
  <c r="OC140" i="1"/>
  <c r="OD140" i="1"/>
  <c r="OE140" i="1"/>
  <c r="OF140" i="1"/>
  <c r="OG140" i="1"/>
  <c r="OH140" i="1"/>
  <c r="OI140" i="1"/>
  <c r="OJ140" i="1"/>
  <c r="OM140" i="1"/>
  <c r="ON140" i="1"/>
  <c r="OO140" i="1"/>
  <c r="OP140" i="1"/>
  <c r="OQ140" i="1"/>
  <c r="OR140" i="1"/>
  <c r="OS140" i="1"/>
  <c r="OT140" i="1"/>
  <c r="OU140" i="1"/>
  <c r="OV140" i="1"/>
  <c r="OW140" i="1"/>
  <c r="OX140" i="1"/>
  <c r="OY140" i="1"/>
  <c r="PA140" i="1"/>
  <c r="PC140" i="1"/>
  <c r="PD140" i="1"/>
  <c r="PB140" i="1"/>
  <c r="BH145" i="148" s="1"/>
  <c r="PE140" i="1"/>
  <c r="PF140" i="1"/>
  <c r="PG140" i="1"/>
  <c r="PH140" i="1"/>
  <c r="PI140" i="1"/>
  <c r="PJ140" i="1"/>
  <c r="PK140" i="1"/>
  <c r="PL140" i="1"/>
  <c r="PM140" i="1"/>
  <c r="PN140" i="1"/>
  <c r="PO140" i="1"/>
  <c r="PQ140" i="1"/>
  <c r="PR140" i="1"/>
  <c r="PT140" i="1"/>
  <c r="PU140" i="1"/>
  <c r="PZ140" i="1"/>
  <c r="QA140" i="1"/>
  <c r="QB140" i="1"/>
  <c r="QC140" i="1"/>
  <c r="QD140" i="1"/>
  <c r="QE140" i="1"/>
  <c r="QF140" i="1"/>
  <c r="QG140" i="1"/>
  <c r="QH140" i="1"/>
  <c r="QI140" i="1"/>
  <c r="QJ140" i="1"/>
  <c r="QK140" i="1"/>
  <c r="QL140" i="1"/>
  <c r="QM140" i="1"/>
  <c r="QN140" i="1"/>
  <c r="QO140" i="1"/>
  <c r="QP140" i="1"/>
  <c r="QQ140" i="1"/>
  <c r="QR140" i="1"/>
  <c r="QS140" i="1"/>
  <c r="QT140" i="1"/>
  <c r="QU140" i="1"/>
  <c r="QV140" i="1"/>
  <c r="QW140" i="1"/>
  <c r="QX140" i="1"/>
  <c r="I125" i="1"/>
  <c r="J125" i="1"/>
  <c r="K125" i="1"/>
  <c r="MM125" i="1"/>
  <c r="MN125" i="1"/>
  <c r="MO125" i="1"/>
  <c r="MP125" i="1"/>
  <c r="MQ125" i="1"/>
  <c r="MR125" i="1"/>
  <c r="MS125" i="1"/>
  <c r="MT125" i="1"/>
  <c r="MW125" i="1"/>
  <c r="MX125" i="1"/>
  <c r="MY125" i="1"/>
  <c r="MZ125" i="1"/>
  <c r="NA125" i="1"/>
  <c r="NB125" i="1"/>
  <c r="NE125" i="1"/>
  <c r="NF125" i="1"/>
  <c r="NC125" i="1"/>
  <c r="ND125" i="1"/>
  <c r="NG125" i="1"/>
  <c r="NH125" i="1"/>
  <c r="NI125" i="1"/>
  <c r="NJ125" i="1"/>
  <c r="NK125" i="1"/>
  <c r="NL125" i="1"/>
  <c r="NM125" i="1"/>
  <c r="NN125" i="1"/>
  <c r="NO125" i="1"/>
  <c r="NP125" i="1"/>
  <c r="NQ125" i="1"/>
  <c r="NR125" i="1"/>
  <c r="NS125" i="1"/>
  <c r="NT125" i="1"/>
  <c r="NU125" i="1"/>
  <c r="NV125" i="1"/>
  <c r="NW125" i="1"/>
  <c r="NX125" i="1"/>
  <c r="NY125" i="1"/>
  <c r="NZ125" i="1"/>
  <c r="OA125" i="1"/>
  <c r="OB125" i="1"/>
  <c r="OC125" i="1"/>
  <c r="OD125" i="1"/>
  <c r="OE125" i="1"/>
  <c r="OF125" i="1"/>
  <c r="OG125" i="1"/>
  <c r="OH125" i="1"/>
  <c r="OI125" i="1"/>
  <c r="OJ125" i="1"/>
  <c r="OM125" i="1"/>
  <c r="ON125" i="1"/>
  <c r="OO125" i="1"/>
  <c r="OP125" i="1"/>
  <c r="OQ125" i="1"/>
  <c r="OR125" i="1"/>
  <c r="OS125" i="1"/>
  <c r="OT125" i="1"/>
  <c r="OU125" i="1"/>
  <c r="OV125" i="1"/>
  <c r="OW125" i="1"/>
  <c r="OX125" i="1"/>
  <c r="OY125" i="1"/>
  <c r="PA125" i="1"/>
  <c r="PC125" i="1"/>
  <c r="PD125" i="1"/>
  <c r="PB125" i="1"/>
  <c r="PE125" i="1"/>
  <c r="PF125" i="1"/>
  <c r="PG125" i="1"/>
  <c r="PH125" i="1"/>
  <c r="PI125" i="1"/>
  <c r="PJ125" i="1"/>
  <c r="PK125" i="1"/>
  <c r="PL125" i="1"/>
  <c r="PM125" i="1"/>
  <c r="PN125" i="1"/>
  <c r="PO125" i="1"/>
  <c r="PQ125" i="1"/>
  <c r="PR125" i="1"/>
  <c r="PT125" i="1"/>
  <c r="PU125" i="1"/>
  <c r="PZ125" i="1"/>
  <c r="QA125" i="1"/>
  <c r="QB125" i="1"/>
  <c r="QC125" i="1"/>
  <c r="QD125" i="1"/>
  <c r="QE125" i="1"/>
  <c r="QF125" i="1"/>
  <c r="QG125" i="1"/>
  <c r="QH125" i="1"/>
  <c r="QI125" i="1"/>
  <c r="QJ125" i="1"/>
  <c r="QK125" i="1"/>
  <c r="QL125" i="1"/>
  <c r="QM125" i="1"/>
  <c r="QN125" i="1"/>
  <c r="QO125" i="1"/>
  <c r="QP125" i="1"/>
  <c r="QQ125" i="1"/>
  <c r="QR125" i="1"/>
  <c r="QS125" i="1"/>
  <c r="QT125" i="1"/>
  <c r="QU125" i="1"/>
  <c r="QV125" i="1"/>
  <c r="QW125" i="1"/>
  <c r="QX125" i="1"/>
  <c r="I131" i="1"/>
  <c r="J131" i="1"/>
  <c r="K131" i="1"/>
  <c r="MM131" i="1"/>
  <c r="MN131" i="1"/>
  <c r="MO131" i="1"/>
  <c r="MP131" i="1"/>
  <c r="MQ131" i="1"/>
  <c r="MR131" i="1"/>
  <c r="MS131" i="1"/>
  <c r="MT131" i="1"/>
  <c r="MW131" i="1"/>
  <c r="MX131" i="1"/>
  <c r="MY131" i="1"/>
  <c r="MZ131" i="1"/>
  <c r="NA131" i="1"/>
  <c r="NB131" i="1"/>
  <c r="NE131" i="1"/>
  <c r="NF131" i="1"/>
  <c r="NC131" i="1"/>
  <c r="ND131" i="1"/>
  <c r="NG131" i="1"/>
  <c r="NH131" i="1"/>
  <c r="NI131" i="1"/>
  <c r="NJ131" i="1"/>
  <c r="NK131" i="1"/>
  <c r="NL131" i="1"/>
  <c r="NM131" i="1"/>
  <c r="NN131" i="1"/>
  <c r="NO131" i="1"/>
  <c r="NP131" i="1"/>
  <c r="NQ131" i="1"/>
  <c r="NR131" i="1"/>
  <c r="NS131" i="1"/>
  <c r="NT131" i="1"/>
  <c r="NU131" i="1"/>
  <c r="NV131" i="1"/>
  <c r="NW131" i="1"/>
  <c r="NX131" i="1"/>
  <c r="NY131" i="1"/>
  <c r="NZ131" i="1"/>
  <c r="OA131" i="1"/>
  <c r="OB131" i="1"/>
  <c r="OC131" i="1"/>
  <c r="OD131" i="1"/>
  <c r="OE131" i="1"/>
  <c r="OF131" i="1"/>
  <c r="OG131" i="1"/>
  <c r="OH131" i="1"/>
  <c r="OI131" i="1"/>
  <c r="OJ131" i="1"/>
  <c r="OM131" i="1"/>
  <c r="ON131" i="1"/>
  <c r="OO131" i="1"/>
  <c r="OP131" i="1"/>
  <c r="OQ131" i="1"/>
  <c r="OR131" i="1"/>
  <c r="OS131" i="1"/>
  <c r="OT131" i="1"/>
  <c r="OU131" i="1"/>
  <c r="OV131" i="1"/>
  <c r="OW131" i="1"/>
  <c r="OX131" i="1"/>
  <c r="OY131" i="1"/>
  <c r="PA131" i="1"/>
  <c r="PC131" i="1"/>
  <c r="PD131" i="1"/>
  <c r="PB131" i="1"/>
  <c r="PE131" i="1"/>
  <c r="PF131" i="1"/>
  <c r="PG131" i="1"/>
  <c r="PH131" i="1"/>
  <c r="PI131" i="1"/>
  <c r="PJ131" i="1"/>
  <c r="PK131" i="1"/>
  <c r="PL131" i="1"/>
  <c r="PM131" i="1"/>
  <c r="PN131" i="1"/>
  <c r="PO131" i="1"/>
  <c r="PQ131" i="1"/>
  <c r="PR131" i="1"/>
  <c r="PT131" i="1"/>
  <c r="PU131" i="1"/>
  <c r="PZ131" i="1"/>
  <c r="QA131" i="1"/>
  <c r="QB131" i="1"/>
  <c r="QC131" i="1"/>
  <c r="QD131" i="1"/>
  <c r="QE131" i="1"/>
  <c r="QF131" i="1"/>
  <c r="QG131" i="1"/>
  <c r="QH131" i="1"/>
  <c r="QI131" i="1"/>
  <c r="QJ131" i="1"/>
  <c r="QK131" i="1"/>
  <c r="QL131" i="1"/>
  <c r="QM131" i="1"/>
  <c r="QN131" i="1"/>
  <c r="QO131" i="1"/>
  <c r="QP131" i="1"/>
  <c r="QQ131" i="1"/>
  <c r="QR131" i="1"/>
  <c r="QS131" i="1"/>
  <c r="QT131" i="1"/>
  <c r="QU131" i="1"/>
  <c r="QV131" i="1"/>
  <c r="QW131" i="1"/>
  <c r="QX131" i="1"/>
  <c r="I173" i="1"/>
  <c r="J173" i="1"/>
  <c r="K173" i="1"/>
  <c r="MM173" i="1"/>
  <c r="MN173" i="1"/>
  <c r="MO173" i="1"/>
  <c r="MP173" i="1"/>
  <c r="MQ173" i="1"/>
  <c r="MR173" i="1"/>
  <c r="MS173" i="1"/>
  <c r="MT173" i="1"/>
  <c r="MW173" i="1"/>
  <c r="MX173" i="1"/>
  <c r="MY173" i="1"/>
  <c r="MZ173" i="1"/>
  <c r="NA173" i="1"/>
  <c r="NB173" i="1"/>
  <c r="NE173" i="1"/>
  <c r="NF173" i="1"/>
  <c r="NC173" i="1"/>
  <c r="ND173" i="1"/>
  <c r="NG173" i="1"/>
  <c r="NH173" i="1"/>
  <c r="NI173" i="1"/>
  <c r="NJ173" i="1"/>
  <c r="NK173" i="1"/>
  <c r="NL173" i="1"/>
  <c r="NM173" i="1"/>
  <c r="NN173" i="1"/>
  <c r="NO173" i="1"/>
  <c r="NP173" i="1"/>
  <c r="NQ173" i="1"/>
  <c r="NR173" i="1"/>
  <c r="NS173" i="1"/>
  <c r="NT173" i="1"/>
  <c r="NU173" i="1"/>
  <c r="NV173" i="1"/>
  <c r="NW173" i="1"/>
  <c r="NX173" i="1"/>
  <c r="NY173" i="1"/>
  <c r="NZ173" i="1"/>
  <c r="OA173" i="1"/>
  <c r="OB173" i="1"/>
  <c r="OC173" i="1"/>
  <c r="OD173" i="1"/>
  <c r="OE173" i="1"/>
  <c r="OF173" i="1"/>
  <c r="OG173" i="1"/>
  <c r="OH173" i="1"/>
  <c r="OI173" i="1"/>
  <c r="OJ173" i="1"/>
  <c r="OM173" i="1"/>
  <c r="ON173" i="1"/>
  <c r="OO173" i="1"/>
  <c r="OP173" i="1"/>
  <c r="OQ173" i="1"/>
  <c r="OR173" i="1"/>
  <c r="OS173" i="1"/>
  <c r="OT173" i="1"/>
  <c r="OU173" i="1"/>
  <c r="OV173" i="1"/>
  <c r="OW173" i="1"/>
  <c r="OX173" i="1"/>
  <c r="OY173" i="1"/>
  <c r="PA173" i="1"/>
  <c r="PC173" i="1"/>
  <c r="PD173" i="1"/>
  <c r="PB173" i="1"/>
  <c r="PE173" i="1"/>
  <c r="PF173" i="1"/>
  <c r="PG173" i="1"/>
  <c r="PH173" i="1"/>
  <c r="PI173" i="1"/>
  <c r="PJ173" i="1"/>
  <c r="PK173" i="1"/>
  <c r="PL173" i="1"/>
  <c r="PM173" i="1"/>
  <c r="PN173" i="1"/>
  <c r="PO173" i="1"/>
  <c r="PQ173" i="1"/>
  <c r="PR173" i="1"/>
  <c r="PT173" i="1"/>
  <c r="PU173" i="1"/>
  <c r="PZ173" i="1"/>
  <c r="QA173" i="1"/>
  <c r="QB173" i="1"/>
  <c r="QC173" i="1"/>
  <c r="QD173" i="1"/>
  <c r="QE173" i="1"/>
  <c r="QF173" i="1"/>
  <c r="QG173" i="1"/>
  <c r="QH173" i="1"/>
  <c r="QI173" i="1"/>
  <c r="QJ173" i="1"/>
  <c r="QK173" i="1"/>
  <c r="QL173" i="1"/>
  <c r="QM173" i="1"/>
  <c r="QN173" i="1"/>
  <c r="QO173" i="1"/>
  <c r="QP173" i="1"/>
  <c r="QQ173" i="1"/>
  <c r="QR173" i="1"/>
  <c r="QS173" i="1"/>
  <c r="QT173" i="1"/>
  <c r="QU173" i="1"/>
  <c r="QV173" i="1"/>
  <c r="QW173" i="1"/>
  <c r="QX173" i="1"/>
  <c r="I71" i="1"/>
  <c r="J71" i="1"/>
  <c r="K71" i="1"/>
  <c r="MM71" i="1"/>
  <c r="MN71" i="1"/>
  <c r="MO71" i="1"/>
  <c r="MP71" i="1"/>
  <c r="MQ71" i="1"/>
  <c r="MR71" i="1"/>
  <c r="MS71" i="1"/>
  <c r="MT71" i="1"/>
  <c r="MW71" i="1"/>
  <c r="MX71" i="1"/>
  <c r="MY71" i="1"/>
  <c r="MZ71" i="1"/>
  <c r="NA71" i="1"/>
  <c r="NB71" i="1"/>
  <c r="NE71" i="1"/>
  <c r="NF71" i="1"/>
  <c r="NC71" i="1"/>
  <c r="ND71" i="1"/>
  <c r="NG71" i="1"/>
  <c r="NH71" i="1"/>
  <c r="NI71" i="1"/>
  <c r="NJ71" i="1"/>
  <c r="NK71" i="1"/>
  <c r="NL71" i="1"/>
  <c r="NM71" i="1"/>
  <c r="NN71" i="1"/>
  <c r="NO71" i="1"/>
  <c r="NP71" i="1"/>
  <c r="NQ71" i="1"/>
  <c r="NR71" i="1"/>
  <c r="NS71" i="1"/>
  <c r="NT71" i="1"/>
  <c r="NU71" i="1"/>
  <c r="NV71" i="1"/>
  <c r="NW71" i="1"/>
  <c r="NX71" i="1"/>
  <c r="NY71" i="1"/>
  <c r="NZ71" i="1"/>
  <c r="OA71" i="1"/>
  <c r="OB71" i="1"/>
  <c r="OC71" i="1"/>
  <c r="OD71" i="1"/>
  <c r="OE71" i="1"/>
  <c r="OF71" i="1"/>
  <c r="OG71" i="1"/>
  <c r="OH71" i="1"/>
  <c r="OI71" i="1"/>
  <c r="OJ71" i="1"/>
  <c r="OM71" i="1"/>
  <c r="ON71" i="1"/>
  <c r="OO71" i="1"/>
  <c r="OP71" i="1"/>
  <c r="OQ71" i="1"/>
  <c r="OR71" i="1"/>
  <c r="OS71" i="1"/>
  <c r="OT71" i="1"/>
  <c r="OU71" i="1"/>
  <c r="OV71" i="1"/>
  <c r="OW71" i="1"/>
  <c r="OX71" i="1"/>
  <c r="OY71" i="1"/>
  <c r="PA71" i="1"/>
  <c r="PC71" i="1"/>
  <c r="PD71" i="1"/>
  <c r="PB71" i="1"/>
  <c r="PE71" i="1"/>
  <c r="PF71" i="1"/>
  <c r="PG71" i="1"/>
  <c r="PH71" i="1"/>
  <c r="PI71" i="1"/>
  <c r="PJ71" i="1"/>
  <c r="PK71" i="1"/>
  <c r="PL71" i="1"/>
  <c r="PM71" i="1"/>
  <c r="PN71" i="1"/>
  <c r="PO71" i="1"/>
  <c r="PQ71" i="1"/>
  <c r="PR71" i="1"/>
  <c r="PT71" i="1"/>
  <c r="PU71" i="1"/>
  <c r="PZ71" i="1"/>
  <c r="QA71" i="1"/>
  <c r="QB71" i="1"/>
  <c r="QC71" i="1"/>
  <c r="QD71" i="1"/>
  <c r="QE71" i="1"/>
  <c r="QF71" i="1"/>
  <c r="QG71" i="1"/>
  <c r="QH71" i="1"/>
  <c r="QI71" i="1"/>
  <c r="QJ71" i="1"/>
  <c r="QK71" i="1"/>
  <c r="QL71" i="1"/>
  <c r="QM71" i="1"/>
  <c r="QN71" i="1"/>
  <c r="QO71" i="1"/>
  <c r="QP71" i="1"/>
  <c r="QQ71" i="1"/>
  <c r="QR71" i="1"/>
  <c r="QS71" i="1"/>
  <c r="QT71" i="1"/>
  <c r="QU71" i="1"/>
  <c r="QV71" i="1"/>
  <c r="QW71" i="1"/>
  <c r="QX71" i="1"/>
  <c r="I184" i="1"/>
  <c r="J184" i="1"/>
  <c r="K184" i="1"/>
  <c r="MM184" i="1"/>
  <c r="MN184" i="1"/>
  <c r="MO184" i="1"/>
  <c r="MP184" i="1"/>
  <c r="MQ184" i="1"/>
  <c r="MR184" i="1"/>
  <c r="MS184" i="1"/>
  <c r="MT184" i="1"/>
  <c r="MW184" i="1"/>
  <c r="MX184" i="1"/>
  <c r="MY184" i="1"/>
  <c r="MZ184" i="1"/>
  <c r="NA184" i="1"/>
  <c r="NB184" i="1"/>
  <c r="NE184" i="1"/>
  <c r="NF184" i="1"/>
  <c r="NC184" i="1"/>
  <c r="ND184" i="1"/>
  <c r="NG184" i="1"/>
  <c r="NH184" i="1"/>
  <c r="NI184" i="1"/>
  <c r="NJ184" i="1"/>
  <c r="NK184" i="1"/>
  <c r="NL184" i="1"/>
  <c r="NM184" i="1"/>
  <c r="NN184" i="1"/>
  <c r="NO184" i="1"/>
  <c r="NP184" i="1"/>
  <c r="NQ184" i="1"/>
  <c r="NR184" i="1"/>
  <c r="NS184" i="1"/>
  <c r="NT184" i="1"/>
  <c r="NU184" i="1"/>
  <c r="NV184" i="1"/>
  <c r="NW184" i="1"/>
  <c r="NX184" i="1"/>
  <c r="NY184" i="1"/>
  <c r="NZ184" i="1"/>
  <c r="OA184" i="1"/>
  <c r="OB184" i="1"/>
  <c r="OC184" i="1"/>
  <c r="OD184" i="1"/>
  <c r="OE184" i="1"/>
  <c r="OF184" i="1"/>
  <c r="OG184" i="1"/>
  <c r="OH184" i="1"/>
  <c r="OI184" i="1"/>
  <c r="OJ184" i="1"/>
  <c r="OM184" i="1"/>
  <c r="ON184" i="1"/>
  <c r="OO184" i="1"/>
  <c r="OP184" i="1"/>
  <c r="OQ184" i="1"/>
  <c r="OR184" i="1"/>
  <c r="OS184" i="1"/>
  <c r="OT184" i="1"/>
  <c r="OU184" i="1"/>
  <c r="OV184" i="1"/>
  <c r="OW184" i="1"/>
  <c r="OX184" i="1"/>
  <c r="OY184" i="1"/>
  <c r="PA184" i="1"/>
  <c r="PC184" i="1"/>
  <c r="PD184" i="1"/>
  <c r="PB184" i="1"/>
  <c r="PE184" i="1"/>
  <c r="PF184" i="1"/>
  <c r="PG184" i="1"/>
  <c r="PH184" i="1"/>
  <c r="PI184" i="1"/>
  <c r="PJ184" i="1"/>
  <c r="PK184" i="1"/>
  <c r="PL184" i="1"/>
  <c r="PM184" i="1"/>
  <c r="PN184" i="1"/>
  <c r="PO184" i="1"/>
  <c r="PQ184" i="1"/>
  <c r="PR184" i="1"/>
  <c r="PT184" i="1"/>
  <c r="PU184" i="1"/>
  <c r="PZ184" i="1"/>
  <c r="QA184" i="1"/>
  <c r="QB184" i="1"/>
  <c r="QC184" i="1"/>
  <c r="QD184" i="1"/>
  <c r="QE184" i="1"/>
  <c r="QF184" i="1"/>
  <c r="QG184" i="1"/>
  <c r="QH184" i="1"/>
  <c r="QI184" i="1"/>
  <c r="QJ184" i="1"/>
  <c r="QK184" i="1"/>
  <c r="QL184" i="1"/>
  <c r="QM184" i="1"/>
  <c r="QN184" i="1"/>
  <c r="QO184" i="1"/>
  <c r="QP184" i="1"/>
  <c r="QQ184" i="1"/>
  <c r="QR184" i="1"/>
  <c r="QS184" i="1"/>
  <c r="QT184" i="1"/>
  <c r="QU184" i="1"/>
  <c r="QV184" i="1"/>
  <c r="QW184" i="1"/>
  <c r="QX184" i="1"/>
  <c r="I190" i="1"/>
  <c r="J190" i="1"/>
  <c r="K190" i="1"/>
  <c r="MM190" i="1"/>
  <c r="MN190" i="1"/>
  <c r="MO190" i="1"/>
  <c r="MP190" i="1"/>
  <c r="MQ190" i="1"/>
  <c r="MR190" i="1"/>
  <c r="MS190" i="1"/>
  <c r="MT190" i="1"/>
  <c r="MW190" i="1"/>
  <c r="MX190" i="1"/>
  <c r="MY190" i="1"/>
  <c r="MZ190" i="1"/>
  <c r="NA190" i="1"/>
  <c r="NB190" i="1"/>
  <c r="NE190" i="1"/>
  <c r="NF190" i="1"/>
  <c r="NC190" i="1"/>
  <c r="ND190" i="1"/>
  <c r="NG190" i="1"/>
  <c r="NH190" i="1"/>
  <c r="NI190" i="1"/>
  <c r="NJ190" i="1"/>
  <c r="NK190" i="1"/>
  <c r="NL190" i="1"/>
  <c r="NM190" i="1"/>
  <c r="NN190" i="1"/>
  <c r="NO190" i="1"/>
  <c r="NP190" i="1"/>
  <c r="NQ190" i="1"/>
  <c r="NR190" i="1"/>
  <c r="NS190" i="1"/>
  <c r="NT190" i="1"/>
  <c r="NU190" i="1"/>
  <c r="NV190" i="1"/>
  <c r="NW190" i="1"/>
  <c r="NX190" i="1"/>
  <c r="NY190" i="1"/>
  <c r="NZ190" i="1"/>
  <c r="OA190" i="1"/>
  <c r="OB190" i="1"/>
  <c r="OC190" i="1"/>
  <c r="OD190" i="1"/>
  <c r="OE190" i="1"/>
  <c r="OF190" i="1"/>
  <c r="OG190" i="1"/>
  <c r="OH190" i="1"/>
  <c r="OI190" i="1"/>
  <c r="OJ190" i="1"/>
  <c r="OM190" i="1"/>
  <c r="ON190" i="1"/>
  <c r="OO190" i="1"/>
  <c r="OP190" i="1"/>
  <c r="OQ190" i="1"/>
  <c r="OR190" i="1"/>
  <c r="OS190" i="1"/>
  <c r="OT190" i="1"/>
  <c r="OU190" i="1"/>
  <c r="OV190" i="1"/>
  <c r="OW190" i="1"/>
  <c r="OX190" i="1"/>
  <c r="OY190" i="1"/>
  <c r="PA190" i="1"/>
  <c r="PC190" i="1"/>
  <c r="PD190" i="1"/>
  <c r="PB190" i="1"/>
  <c r="PE190" i="1"/>
  <c r="PF190" i="1"/>
  <c r="PG190" i="1"/>
  <c r="PH190" i="1"/>
  <c r="PI190" i="1"/>
  <c r="PJ190" i="1"/>
  <c r="PK190" i="1"/>
  <c r="PL190" i="1"/>
  <c r="PM190" i="1"/>
  <c r="PN190" i="1"/>
  <c r="PO190" i="1"/>
  <c r="PQ190" i="1"/>
  <c r="PR190" i="1"/>
  <c r="PT190" i="1"/>
  <c r="PU190" i="1"/>
  <c r="PZ190" i="1"/>
  <c r="QA190" i="1"/>
  <c r="QB190" i="1"/>
  <c r="QC190" i="1"/>
  <c r="QD190" i="1"/>
  <c r="QE190" i="1"/>
  <c r="QF190" i="1"/>
  <c r="QG190" i="1"/>
  <c r="QH190" i="1"/>
  <c r="QI190" i="1"/>
  <c r="QJ190" i="1"/>
  <c r="QK190" i="1"/>
  <c r="QL190" i="1"/>
  <c r="QM190" i="1"/>
  <c r="QN190" i="1"/>
  <c r="QO190" i="1"/>
  <c r="QP190" i="1"/>
  <c r="QQ190" i="1"/>
  <c r="QR190" i="1"/>
  <c r="QS190" i="1"/>
  <c r="QT190" i="1"/>
  <c r="QU190" i="1"/>
  <c r="QV190" i="1"/>
  <c r="QW190" i="1"/>
  <c r="QX190" i="1"/>
  <c r="I142" i="1"/>
  <c r="J142" i="1"/>
  <c r="K142" i="1"/>
  <c r="MM142" i="1"/>
  <c r="MN142" i="1"/>
  <c r="MO142" i="1"/>
  <c r="MP142" i="1"/>
  <c r="MQ142" i="1"/>
  <c r="MR142" i="1"/>
  <c r="MS142" i="1"/>
  <c r="MT142" i="1"/>
  <c r="MW142" i="1"/>
  <c r="MX142" i="1"/>
  <c r="MY142" i="1"/>
  <c r="MZ142" i="1"/>
  <c r="NA142" i="1"/>
  <c r="NB142" i="1"/>
  <c r="NE142" i="1"/>
  <c r="NF142" i="1"/>
  <c r="NC142" i="1"/>
  <c r="ND142" i="1"/>
  <c r="NG142" i="1"/>
  <c r="NH142" i="1"/>
  <c r="NI142" i="1"/>
  <c r="NJ142" i="1"/>
  <c r="NK142" i="1"/>
  <c r="NL142" i="1"/>
  <c r="NM142" i="1"/>
  <c r="NN142" i="1"/>
  <c r="NO142" i="1"/>
  <c r="NP142" i="1"/>
  <c r="NQ142" i="1"/>
  <c r="NR142" i="1"/>
  <c r="NS142" i="1"/>
  <c r="NT142" i="1"/>
  <c r="NU142" i="1"/>
  <c r="NV142" i="1"/>
  <c r="NW142" i="1"/>
  <c r="NX142" i="1"/>
  <c r="NY142" i="1"/>
  <c r="NZ142" i="1"/>
  <c r="OA142" i="1"/>
  <c r="OB142" i="1"/>
  <c r="OC142" i="1"/>
  <c r="OD142" i="1"/>
  <c r="OE142" i="1"/>
  <c r="OF142" i="1"/>
  <c r="OG142" i="1"/>
  <c r="OH142" i="1"/>
  <c r="OI142" i="1"/>
  <c r="OJ142" i="1"/>
  <c r="OM142" i="1"/>
  <c r="ON142" i="1"/>
  <c r="OO142" i="1"/>
  <c r="OP142" i="1"/>
  <c r="OQ142" i="1"/>
  <c r="OR142" i="1"/>
  <c r="OS142" i="1"/>
  <c r="OT142" i="1"/>
  <c r="OU142" i="1"/>
  <c r="OV142" i="1"/>
  <c r="OW142" i="1"/>
  <c r="OX142" i="1"/>
  <c r="OY142" i="1"/>
  <c r="PA142" i="1"/>
  <c r="PC142" i="1"/>
  <c r="PD142" i="1"/>
  <c r="PB142" i="1"/>
  <c r="BH150" i="148" s="1"/>
  <c r="PE142" i="1"/>
  <c r="PF142" i="1"/>
  <c r="PG142" i="1"/>
  <c r="PH142" i="1"/>
  <c r="PI142" i="1"/>
  <c r="PJ142" i="1"/>
  <c r="PK142" i="1"/>
  <c r="PL142" i="1"/>
  <c r="PM142" i="1"/>
  <c r="PN142" i="1"/>
  <c r="PO142" i="1"/>
  <c r="PQ142" i="1"/>
  <c r="PR142" i="1"/>
  <c r="PT142" i="1"/>
  <c r="PU142" i="1"/>
  <c r="PZ142" i="1"/>
  <c r="QA142" i="1"/>
  <c r="QB142" i="1"/>
  <c r="QC142" i="1"/>
  <c r="QD142" i="1"/>
  <c r="QE142" i="1"/>
  <c r="QF142" i="1"/>
  <c r="QG142" i="1"/>
  <c r="QH142" i="1"/>
  <c r="QI142" i="1"/>
  <c r="QJ142" i="1"/>
  <c r="QK142" i="1"/>
  <c r="QL142" i="1"/>
  <c r="QM142" i="1"/>
  <c r="QN142" i="1"/>
  <c r="QO142" i="1"/>
  <c r="QP142" i="1"/>
  <c r="QQ142" i="1"/>
  <c r="QR142" i="1"/>
  <c r="QS142" i="1"/>
  <c r="QT142" i="1"/>
  <c r="QU142" i="1"/>
  <c r="QV142" i="1"/>
  <c r="QW142" i="1"/>
  <c r="QX142" i="1"/>
  <c r="I69" i="1"/>
  <c r="J69" i="1"/>
  <c r="K69" i="1"/>
  <c r="MM69" i="1"/>
  <c r="MN69" i="1"/>
  <c r="MO69" i="1"/>
  <c r="MP69" i="1"/>
  <c r="MQ69" i="1"/>
  <c r="MR69" i="1"/>
  <c r="MS69" i="1"/>
  <c r="MT69" i="1"/>
  <c r="MW69" i="1"/>
  <c r="MX69" i="1"/>
  <c r="MY69" i="1"/>
  <c r="MZ69" i="1"/>
  <c r="NA69" i="1"/>
  <c r="NB69" i="1"/>
  <c r="NE69" i="1"/>
  <c r="NF69" i="1"/>
  <c r="NC69" i="1"/>
  <c r="ND69" i="1"/>
  <c r="NG69" i="1"/>
  <c r="NH69" i="1"/>
  <c r="NI69" i="1"/>
  <c r="NJ69" i="1"/>
  <c r="NK69" i="1"/>
  <c r="NL69" i="1"/>
  <c r="NM69" i="1"/>
  <c r="NN69" i="1"/>
  <c r="NO69" i="1"/>
  <c r="NP69" i="1"/>
  <c r="NQ69" i="1"/>
  <c r="NR69" i="1"/>
  <c r="NS69" i="1"/>
  <c r="NT69" i="1"/>
  <c r="NU69" i="1"/>
  <c r="NV69" i="1"/>
  <c r="NW69" i="1"/>
  <c r="NX69" i="1"/>
  <c r="NY69" i="1"/>
  <c r="NZ69" i="1"/>
  <c r="OA69" i="1"/>
  <c r="OB69" i="1"/>
  <c r="OC69" i="1"/>
  <c r="OD69" i="1"/>
  <c r="OE69" i="1"/>
  <c r="OF69" i="1"/>
  <c r="OG69" i="1"/>
  <c r="OH69" i="1"/>
  <c r="OI69" i="1"/>
  <c r="OJ69" i="1"/>
  <c r="OM69" i="1"/>
  <c r="ON69" i="1"/>
  <c r="OO69" i="1"/>
  <c r="OP69" i="1"/>
  <c r="OQ69" i="1"/>
  <c r="OR69" i="1"/>
  <c r="OS69" i="1"/>
  <c r="OT69" i="1"/>
  <c r="OU69" i="1"/>
  <c r="OV69" i="1"/>
  <c r="OW69" i="1"/>
  <c r="OX69" i="1"/>
  <c r="OY69" i="1"/>
  <c r="PA69" i="1"/>
  <c r="PC69" i="1"/>
  <c r="PD69" i="1"/>
  <c r="PB69" i="1"/>
  <c r="BH67" i="148" s="1"/>
  <c r="PE69" i="1"/>
  <c r="PF69" i="1"/>
  <c r="PG69" i="1"/>
  <c r="PH69" i="1"/>
  <c r="PI69" i="1"/>
  <c r="PJ69" i="1"/>
  <c r="PK69" i="1"/>
  <c r="PL69" i="1"/>
  <c r="PM69" i="1"/>
  <c r="PN69" i="1"/>
  <c r="PO69" i="1"/>
  <c r="PQ69" i="1"/>
  <c r="PR69" i="1"/>
  <c r="PT69" i="1"/>
  <c r="PU69" i="1"/>
  <c r="PZ69" i="1"/>
  <c r="QA69" i="1"/>
  <c r="QB69" i="1"/>
  <c r="QC69" i="1"/>
  <c r="QD69" i="1"/>
  <c r="QE69" i="1"/>
  <c r="QF69" i="1"/>
  <c r="QG69" i="1"/>
  <c r="QH69" i="1"/>
  <c r="QI69" i="1"/>
  <c r="QJ69" i="1"/>
  <c r="QK69" i="1"/>
  <c r="QL69" i="1"/>
  <c r="QM69" i="1"/>
  <c r="QN69" i="1"/>
  <c r="QO69" i="1"/>
  <c r="QP69" i="1"/>
  <c r="QQ69" i="1"/>
  <c r="QR69" i="1"/>
  <c r="QS69" i="1"/>
  <c r="QT69" i="1"/>
  <c r="QU69" i="1"/>
  <c r="QV69" i="1"/>
  <c r="QW69" i="1"/>
  <c r="QX69" i="1"/>
  <c r="I151" i="1"/>
  <c r="J151" i="1"/>
  <c r="K151" i="1"/>
  <c r="MM151" i="1"/>
  <c r="MN151" i="1"/>
  <c r="MO151" i="1"/>
  <c r="MP151" i="1"/>
  <c r="MQ151" i="1"/>
  <c r="MR151" i="1"/>
  <c r="MS151" i="1"/>
  <c r="MT151" i="1"/>
  <c r="MW151" i="1"/>
  <c r="MX151" i="1"/>
  <c r="MY151" i="1"/>
  <c r="MZ151" i="1"/>
  <c r="NA151" i="1"/>
  <c r="NB151" i="1"/>
  <c r="NE151" i="1"/>
  <c r="NF151" i="1"/>
  <c r="NC151" i="1"/>
  <c r="ND151" i="1"/>
  <c r="NG151" i="1"/>
  <c r="NH151" i="1"/>
  <c r="NI151" i="1"/>
  <c r="NJ151" i="1"/>
  <c r="NK151" i="1"/>
  <c r="NL151" i="1"/>
  <c r="NM151" i="1"/>
  <c r="NN151" i="1"/>
  <c r="NO151" i="1"/>
  <c r="NP151" i="1"/>
  <c r="NQ151" i="1"/>
  <c r="NR151" i="1"/>
  <c r="NS151" i="1"/>
  <c r="NT151" i="1"/>
  <c r="NU151" i="1"/>
  <c r="NV151" i="1"/>
  <c r="NW151" i="1"/>
  <c r="NX151" i="1"/>
  <c r="NY151" i="1"/>
  <c r="NZ151" i="1"/>
  <c r="OA151" i="1"/>
  <c r="OB151" i="1"/>
  <c r="OC151" i="1"/>
  <c r="OD151" i="1"/>
  <c r="OE151" i="1"/>
  <c r="OF151" i="1"/>
  <c r="OG151" i="1"/>
  <c r="OH151" i="1"/>
  <c r="OI151" i="1"/>
  <c r="OJ151" i="1"/>
  <c r="OM151" i="1"/>
  <c r="ON151" i="1"/>
  <c r="OO151" i="1"/>
  <c r="OP151" i="1"/>
  <c r="OQ151" i="1"/>
  <c r="OR151" i="1"/>
  <c r="OS151" i="1"/>
  <c r="OT151" i="1"/>
  <c r="OU151" i="1"/>
  <c r="OV151" i="1"/>
  <c r="OW151" i="1"/>
  <c r="OX151" i="1"/>
  <c r="OY151" i="1"/>
  <c r="PA151" i="1"/>
  <c r="PC151" i="1"/>
  <c r="PD151" i="1"/>
  <c r="PB151" i="1"/>
  <c r="PE151" i="1"/>
  <c r="PF151" i="1"/>
  <c r="PG151" i="1"/>
  <c r="PH151" i="1"/>
  <c r="PI151" i="1"/>
  <c r="PJ151" i="1"/>
  <c r="PK151" i="1"/>
  <c r="PL151" i="1"/>
  <c r="PM151" i="1"/>
  <c r="PN151" i="1"/>
  <c r="PO151" i="1"/>
  <c r="PQ151" i="1"/>
  <c r="PR151" i="1"/>
  <c r="PT151" i="1"/>
  <c r="PU151" i="1"/>
  <c r="PZ151" i="1"/>
  <c r="QA151" i="1"/>
  <c r="QB151" i="1"/>
  <c r="QC151" i="1"/>
  <c r="QD151" i="1"/>
  <c r="QE151" i="1"/>
  <c r="QF151" i="1"/>
  <c r="QG151" i="1"/>
  <c r="QH151" i="1"/>
  <c r="QI151" i="1"/>
  <c r="QJ151" i="1"/>
  <c r="QK151" i="1"/>
  <c r="QL151" i="1"/>
  <c r="QM151" i="1"/>
  <c r="QN151" i="1"/>
  <c r="QO151" i="1"/>
  <c r="QP151" i="1"/>
  <c r="QQ151" i="1"/>
  <c r="QR151" i="1"/>
  <c r="QS151" i="1"/>
  <c r="QT151" i="1"/>
  <c r="QU151" i="1"/>
  <c r="QV151" i="1"/>
  <c r="QW151" i="1"/>
  <c r="QX151" i="1"/>
  <c r="I193" i="1"/>
  <c r="J193" i="1"/>
  <c r="K193" i="1"/>
  <c r="MM193" i="1"/>
  <c r="MN193" i="1"/>
  <c r="MO193" i="1"/>
  <c r="MP193" i="1"/>
  <c r="MQ193" i="1"/>
  <c r="MR193" i="1"/>
  <c r="MS193" i="1"/>
  <c r="MT193" i="1"/>
  <c r="MW193" i="1"/>
  <c r="MX193" i="1"/>
  <c r="MY193" i="1"/>
  <c r="MZ193" i="1"/>
  <c r="NA193" i="1"/>
  <c r="NB193" i="1"/>
  <c r="NE193" i="1"/>
  <c r="NF193" i="1"/>
  <c r="NC193" i="1"/>
  <c r="ND193" i="1"/>
  <c r="NG193" i="1"/>
  <c r="NH193" i="1"/>
  <c r="NI193" i="1"/>
  <c r="NJ193" i="1"/>
  <c r="NK193" i="1"/>
  <c r="NL193" i="1"/>
  <c r="NM193" i="1"/>
  <c r="NN193" i="1"/>
  <c r="NO193" i="1"/>
  <c r="NP193" i="1"/>
  <c r="NQ193" i="1"/>
  <c r="NR193" i="1"/>
  <c r="NS193" i="1"/>
  <c r="NT193" i="1"/>
  <c r="NU193" i="1"/>
  <c r="NV193" i="1"/>
  <c r="NW193" i="1"/>
  <c r="NX193" i="1"/>
  <c r="NY193" i="1"/>
  <c r="NZ193" i="1"/>
  <c r="OA193" i="1"/>
  <c r="OB193" i="1"/>
  <c r="OC193" i="1"/>
  <c r="OD193" i="1"/>
  <c r="OE193" i="1"/>
  <c r="OF193" i="1"/>
  <c r="OG193" i="1"/>
  <c r="OH193" i="1"/>
  <c r="OI193" i="1"/>
  <c r="OJ193" i="1"/>
  <c r="OM193" i="1"/>
  <c r="ON193" i="1"/>
  <c r="OO193" i="1"/>
  <c r="OP193" i="1"/>
  <c r="OQ193" i="1"/>
  <c r="OR193" i="1"/>
  <c r="OS193" i="1"/>
  <c r="OT193" i="1"/>
  <c r="OU193" i="1"/>
  <c r="OV193" i="1"/>
  <c r="OW193" i="1"/>
  <c r="OX193" i="1"/>
  <c r="OY193" i="1"/>
  <c r="PA193" i="1"/>
  <c r="PC193" i="1"/>
  <c r="PD193" i="1"/>
  <c r="PB193" i="1"/>
  <c r="PE193" i="1"/>
  <c r="PF193" i="1"/>
  <c r="PG193" i="1"/>
  <c r="PH193" i="1"/>
  <c r="PI193" i="1"/>
  <c r="PJ193" i="1"/>
  <c r="PK193" i="1"/>
  <c r="PL193" i="1"/>
  <c r="PM193" i="1"/>
  <c r="PN193" i="1"/>
  <c r="PO193" i="1"/>
  <c r="PQ193" i="1"/>
  <c r="PR193" i="1"/>
  <c r="PT193" i="1"/>
  <c r="PU193" i="1"/>
  <c r="PZ193" i="1"/>
  <c r="QA193" i="1"/>
  <c r="QB193" i="1"/>
  <c r="QC193" i="1"/>
  <c r="QD193" i="1"/>
  <c r="QE193" i="1"/>
  <c r="QF193" i="1"/>
  <c r="QG193" i="1"/>
  <c r="QH193" i="1"/>
  <c r="QI193" i="1"/>
  <c r="QJ193" i="1"/>
  <c r="QK193" i="1"/>
  <c r="QL193" i="1"/>
  <c r="QM193" i="1"/>
  <c r="QN193" i="1"/>
  <c r="QO193" i="1"/>
  <c r="QP193" i="1"/>
  <c r="QQ193" i="1"/>
  <c r="QR193" i="1"/>
  <c r="QS193" i="1"/>
  <c r="QT193" i="1"/>
  <c r="QU193" i="1"/>
  <c r="QV193" i="1"/>
  <c r="QW193" i="1"/>
  <c r="QX193" i="1"/>
  <c r="I104" i="1"/>
  <c r="J104" i="1"/>
  <c r="K104" i="1"/>
  <c r="MM104" i="1"/>
  <c r="MN104" i="1"/>
  <c r="MO104" i="1"/>
  <c r="MP104" i="1"/>
  <c r="MQ104" i="1"/>
  <c r="MR104" i="1"/>
  <c r="MS104" i="1"/>
  <c r="MT104" i="1"/>
  <c r="MW104" i="1"/>
  <c r="MX104" i="1"/>
  <c r="MY104" i="1"/>
  <c r="MZ104" i="1"/>
  <c r="NA104" i="1"/>
  <c r="NB104" i="1"/>
  <c r="NE104" i="1"/>
  <c r="NF104" i="1"/>
  <c r="NC104" i="1"/>
  <c r="ND104" i="1"/>
  <c r="NG104" i="1"/>
  <c r="NH104" i="1"/>
  <c r="NI104" i="1"/>
  <c r="NJ104" i="1"/>
  <c r="NK104" i="1"/>
  <c r="NL104" i="1"/>
  <c r="NM104" i="1"/>
  <c r="NN104" i="1"/>
  <c r="NO104" i="1"/>
  <c r="NP104" i="1"/>
  <c r="NQ104" i="1"/>
  <c r="NR104" i="1"/>
  <c r="NS104" i="1"/>
  <c r="NT104" i="1"/>
  <c r="NU104" i="1"/>
  <c r="NV104" i="1"/>
  <c r="NW104" i="1"/>
  <c r="NX104" i="1"/>
  <c r="NY104" i="1"/>
  <c r="NZ104" i="1"/>
  <c r="OA104" i="1"/>
  <c r="OB104" i="1"/>
  <c r="OC104" i="1"/>
  <c r="OD104" i="1"/>
  <c r="OE104" i="1"/>
  <c r="OF104" i="1"/>
  <c r="OG104" i="1"/>
  <c r="OH104" i="1"/>
  <c r="OI104" i="1"/>
  <c r="OJ104" i="1"/>
  <c r="OM104" i="1"/>
  <c r="ON104" i="1"/>
  <c r="OO104" i="1"/>
  <c r="OP104" i="1"/>
  <c r="OQ104" i="1"/>
  <c r="OR104" i="1"/>
  <c r="OS104" i="1"/>
  <c r="OT104" i="1"/>
  <c r="OU104" i="1"/>
  <c r="OV104" i="1"/>
  <c r="OW104" i="1"/>
  <c r="OX104" i="1"/>
  <c r="OY104" i="1"/>
  <c r="PA104" i="1"/>
  <c r="PC104" i="1"/>
  <c r="PD104" i="1"/>
  <c r="PB104" i="1"/>
  <c r="BH109" i="148" s="1"/>
  <c r="PE104" i="1"/>
  <c r="PF104" i="1"/>
  <c r="PG104" i="1"/>
  <c r="PH104" i="1"/>
  <c r="PI104" i="1"/>
  <c r="PJ104" i="1"/>
  <c r="PK104" i="1"/>
  <c r="PL104" i="1"/>
  <c r="PM104" i="1"/>
  <c r="PN104" i="1"/>
  <c r="PO104" i="1"/>
  <c r="PQ104" i="1"/>
  <c r="PR104" i="1"/>
  <c r="PT104" i="1"/>
  <c r="PU104" i="1"/>
  <c r="PZ104" i="1"/>
  <c r="QA104" i="1"/>
  <c r="QB104" i="1"/>
  <c r="QC104" i="1"/>
  <c r="QD104" i="1"/>
  <c r="QE104" i="1"/>
  <c r="QF104" i="1"/>
  <c r="QG104" i="1"/>
  <c r="QH104" i="1"/>
  <c r="QI104" i="1"/>
  <c r="QJ104" i="1"/>
  <c r="QK104" i="1"/>
  <c r="QL104" i="1"/>
  <c r="QM104" i="1"/>
  <c r="QN104" i="1"/>
  <c r="QO104" i="1"/>
  <c r="QP104" i="1"/>
  <c r="QQ104" i="1"/>
  <c r="QR104" i="1"/>
  <c r="QS104" i="1"/>
  <c r="QT104" i="1"/>
  <c r="QU104" i="1"/>
  <c r="QV104" i="1"/>
  <c r="QW104" i="1"/>
  <c r="QX104" i="1"/>
  <c r="I169" i="1"/>
  <c r="J169" i="1"/>
  <c r="K169" i="1"/>
  <c r="MM169" i="1"/>
  <c r="MN169" i="1"/>
  <c r="MO169" i="1"/>
  <c r="MP169" i="1"/>
  <c r="MQ169" i="1"/>
  <c r="MR169" i="1"/>
  <c r="MS169" i="1"/>
  <c r="MT169" i="1"/>
  <c r="MW169" i="1"/>
  <c r="MX169" i="1"/>
  <c r="MY169" i="1"/>
  <c r="MZ169" i="1"/>
  <c r="NA169" i="1"/>
  <c r="NB169" i="1"/>
  <c r="NE169" i="1"/>
  <c r="NF169" i="1"/>
  <c r="NC169" i="1"/>
  <c r="ND169" i="1"/>
  <c r="NG169" i="1"/>
  <c r="NH169" i="1"/>
  <c r="NI169" i="1"/>
  <c r="NJ169" i="1"/>
  <c r="NK169" i="1"/>
  <c r="NL169" i="1"/>
  <c r="NM169" i="1"/>
  <c r="NN169" i="1"/>
  <c r="NO169" i="1"/>
  <c r="NP169" i="1"/>
  <c r="NQ169" i="1"/>
  <c r="NR169" i="1"/>
  <c r="NS169" i="1"/>
  <c r="NT169" i="1"/>
  <c r="NU169" i="1"/>
  <c r="NV169" i="1"/>
  <c r="NW169" i="1"/>
  <c r="NX169" i="1"/>
  <c r="NY169" i="1"/>
  <c r="NZ169" i="1"/>
  <c r="OA169" i="1"/>
  <c r="OB169" i="1"/>
  <c r="OC169" i="1"/>
  <c r="OD169" i="1"/>
  <c r="OE169" i="1"/>
  <c r="OF169" i="1"/>
  <c r="OG169" i="1"/>
  <c r="OH169" i="1"/>
  <c r="OI169" i="1"/>
  <c r="OJ169" i="1"/>
  <c r="OM169" i="1"/>
  <c r="ON169" i="1"/>
  <c r="OO169" i="1"/>
  <c r="OP169" i="1"/>
  <c r="OQ169" i="1"/>
  <c r="OR169" i="1"/>
  <c r="OS169" i="1"/>
  <c r="OT169" i="1"/>
  <c r="OU169" i="1"/>
  <c r="OV169" i="1"/>
  <c r="OW169" i="1"/>
  <c r="OX169" i="1"/>
  <c r="OY169" i="1"/>
  <c r="PA169" i="1"/>
  <c r="PC169" i="1"/>
  <c r="PD169" i="1"/>
  <c r="PB169" i="1"/>
  <c r="PE169" i="1"/>
  <c r="PF169" i="1"/>
  <c r="PG169" i="1"/>
  <c r="PH169" i="1"/>
  <c r="PI169" i="1"/>
  <c r="PJ169" i="1"/>
  <c r="PK169" i="1"/>
  <c r="PL169" i="1"/>
  <c r="PM169" i="1"/>
  <c r="PN169" i="1"/>
  <c r="PO169" i="1"/>
  <c r="PQ169" i="1"/>
  <c r="PR169" i="1"/>
  <c r="PT169" i="1"/>
  <c r="PU169" i="1"/>
  <c r="PZ169" i="1"/>
  <c r="QA169" i="1"/>
  <c r="QB169" i="1"/>
  <c r="QC169" i="1"/>
  <c r="QD169" i="1"/>
  <c r="QE169" i="1"/>
  <c r="QF169" i="1"/>
  <c r="QG169" i="1"/>
  <c r="QH169" i="1"/>
  <c r="QI169" i="1"/>
  <c r="QJ169" i="1"/>
  <c r="QK169" i="1"/>
  <c r="QL169" i="1"/>
  <c r="QM169" i="1"/>
  <c r="QN169" i="1"/>
  <c r="QO169" i="1"/>
  <c r="QP169" i="1"/>
  <c r="QQ169" i="1"/>
  <c r="QR169" i="1"/>
  <c r="QS169" i="1"/>
  <c r="QT169" i="1"/>
  <c r="QU169" i="1"/>
  <c r="QV169" i="1"/>
  <c r="QW169" i="1"/>
  <c r="QX169" i="1"/>
  <c r="I135" i="1"/>
  <c r="J135" i="1"/>
  <c r="K135" i="1"/>
  <c r="MM135" i="1"/>
  <c r="MN135" i="1"/>
  <c r="MO135" i="1"/>
  <c r="MP135" i="1"/>
  <c r="MQ135" i="1"/>
  <c r="MR135" i="1"/>
  <c r="MS135" i="1"/>
  <c r="MT135" i="1"/>
  <c r="MW135" i="1"/>
  <c r="MX135" i="1"/>
  <c r="MY135" i="1"/>
  <c r="MZ135" i="1"/>
  <c r="NA135" i="1"/>
  <c r="NB135" i="1"/>
  <c r="NE135" i="1"/>
  <c r="NF135" i="1"/>
  <c r="NC135" i="1"/>
  <c r="ND135" i="1"/>
  <c r="NG135" i="1"/>
  <c r="NH135" i="1"/>
  <c r="NI135" i="1"/>
  <c r="NJ135" i="1"/>
  <c r="NK135" i="1"/>
  <c r="NL135" i="1"/>
  <c r="NM135" i="1"/>
  <c r="NN135" i="1"/>
  <c r="NO135" i="1"/>
  <c r="NP135" i="1"/>
  <c r="NQ135" i="1"/>
  <c r="NR135" i="1"/>
  <c r="NS135" i="1"/>
  <c r="NT135" i="1"/>
  <c r="NU135" i="1"/>
  <c r="NV135" i="1"/>
  <c r="NW135" i="1"/>
  <c r="NX135" i="1"/>
  <c r="NY135" i="1"/>
  <c r="NZ135" i="1"/>
  <c r="OA135" i="1"/>
  <c r="OB135" i="1"/>
  <c r="OC135" i="1"/>
  <c r="OD135" i="1"/>
  <c r="OE135" i="1"/>
  <c r="OF135" i="1"/>
  <c r="OG135" i="1"/>
  <c r="OH135" i="1"/>
  <c r="OI135" i="1"/>
  <c r="OJ135" i="1"/>
  <c r="OM135" i="1"/>
  <c r="ON135" i="1"/>
  <c r="OO135" i="1"/>
  <c r="OP135" i="1"/>
  <c r="OQ135" i="1"/>
  <c r="OR135" i="1"/>
  <c r="OS135" i="1"/>
  <c r="OT135" i="1"/>
  <c r="OU135" i="1"/>
  <c r="OV135" i="1"/>
  <c r="OW135" i="1"/>
  <c r="OX135" i="1"/>
  <c r="OY135" i="1"/>
  <c r="PA135" i="1"/>
  <c r="PC135" i="1"/>
  <c r="PD135" i="1"/>
  <c r="PB135" i="1"/>
  <c r="PE135" i="1"/>
  <c r="PF135" i="1"/>
  <c r="PG135" i="1"/>
  <c r="PH135" i="1"/>
  <c r="PI135" i="1"/>
  <c r="PJ135" i="1"/>
  <c r="PK135" i="1"/>
  <c r="PL135" i="1"/>
  <c r="PM135" i="1"/>
  <c r="PN135" i="1"/>
  <c r="PO135" i="1"/>
  <c r="PQ135" i="1"/>
  <c r="PR135" i="1"/>
  <c r="PT135" i="1"/>
  <c r="PU135" i="1"/>
  <c r="PZ135" i="1"/>
  <c r="QA135" i="1"/>
  <c r="QB135" i="1"/>
  <c r="QC135" i="1"/>
  <c r="QD135" i="1"/>
  <c r="QE135" i="1"/>
  <c r="QF135" i="1"/>
  <c r="QG135" i="1"/>
  <c r="QH135" i="1"/>
  <c r="QI135" i="1"/>
  <c r="QJ135" i="1"/>
  <c r="QK135" i="1"/>
  <c r="QL135" i="1"/>
  <c r="QM135" i="1"/>
  <c r="QN135" i="1"/>
  <c r="QO135" i="1"/>
  <c r="QP135" i="1"/>
  <c r="QQ135" i="1"/>
  <c r="QR135" i="1"/>
  <c r="QS135" i="1"/>
  <c r="QT135" i="1"/>
  <c r="QU135" i="1"/>
  <c r="QV135" i="1"/>
  <c r="QW135" i="1"/>
  <c r="QX135" i="1"/>
  <c r="I166" i="1"/>
  <c r="J166" i="1"/>
  <c r="K166" i="1"/>
  <c r="MM166" i="1"/>
  <c r="MN166" i="1"/>
  <c r="MO166" i="1"/>
  <c r="MP166" i="1"/>
  <c r="MQ166" i="1"/>
  <c r="MR166" i="1"/>
  <c r="MS166" i="1"/>
  <c r="MT166" i="1"/>
  <c r="MW166" i="1"/>
  <c r="MX166" i="1"/>
  <c r="MY166" i="1"/>
  <c r="MZ166" i="1"/>
  <c r="NA166" i="1"/>
  <c r="NB166" i="1"/>
  <c r="NE166" i="1"/>
  <c r="NF166" i="1"/>
  <c r="NC166" i="1"/>
  <c r="ND166" i="1"/>
  <c r="NG166" i="1"/>
  <c r="NH166" i="1"/>
  <c r="NI166" i="1"/>
  <c r="NJ166" i="1"/>
  <c r="NK166" i="1"/>
  <c r="NL166" i="1"/>
  <c r="NM166" i="1"/>
  <c r="NN166" i="1"/>
  <c r="NO166" i="1"/>
  <c r="NP166" i="1"/>
  <c r="NQ166" i="1"/>
  <c r="NR166" i="1"/>
  <c r="NS166" i="1"/>
  <c r="NT166" i="1"/>
  <c r="NU166" i="1"/>
  <c r="NV166" i="1"/>
  <c r="NW166" i="1"/>
  <c r="NX166" i="1"/>
  <c r="NY166" i="1"/>
  <c r="NZ166" i="1"/>
  <c r="OA166" i="1"/>
  <c r="OB166" i="1"/>
  <c r="OC166" i="1"/>
  <c r="OD166" i="1"/>
  <c r="OE166" i="1"/>
  <c r="OF166" i="1"/>
  <c r="OG166" i="1"/>
  <c r="OH166" i="1"/>
  <c r="OI166" i="1"/>
  <c r="OJ166" i="1"/>
  <c r="OM166" i="1"/>
  <c r="ON166" i="1"/>
  <c r="OO166" i="1"/>
  <c r="OP166" i="1"/>
  <c r="OQ166" i="1"/>
  <c r="OR166" i="1"/>
  <c r="OS166" i="1"/>
  <c r="OT166" i="1"/>
  <c r="OU166" i="1"/>
  <c r="OV166" i="1"/>
  <c r="OW166" i="1"/>
  <c r="OX166" i="1"/>
  <c r="OY166" i="1"/>
  <c r="PA166" i="1"/>
  <c r="PC166" i="1"/>
  <c r="PD166" i="1"/>
  <c r="PB166" i="1"/>
  <c r="PE166" i="1"/>
  <c r="PF166" i="1"/>
  <c r="PG166" i="1"/>
  <c r="PH166" i="1"/>
  <c r="PI166" i="1"/>
  <c r="PJ166" i="1"/>
  <c r="PK166" i="1"/>
  <c r="PL166" i="1"/>
  <c r="PM166" i="1"/>
  <c r="PN166" i="1"/>
  <c r="PO166" i="1"/>
  <c r="PQ166" i="1"/>
  <c r="PR166" i="1"/>
  <c r="PT166" i="1"/>
  <c r="PU166" i="1"/>
  <c r="PZ166" i="1"/>
  <c r="QA166" i="1"/>
  <c r="QB166" i="1"/>
  <c r="QC166" i="1"/>
  <c r="QD166" i="1"/>
  <c r="QE166" i="1"/>
  <c r="QF166" i="1"/>
  <c r="QG166" i="1"/>
  <c r="QH166" i="1"/>
  <c r="QI166" i="1"/>
  <c r="QJ166" i="1"/>
  <c r="QK166" i="1"/>
  <c r="QL166" i="1"/>
  <c r="QM166" i="1"/>
  <c r="QN166" i="1"/>
  <c r="QO166" i="1"/>
  <c r="QP166" i="1"/>
  <c r="QQ166" i="1"/>
  <c r="QR166" i="1"/>
  <c r="QS166" i="1"/>
  <c r="QT166" i="1"/>
  <c r="QU166" i="1"/>
  <c r="QV166" i="1"/>
  <c r="QW166" i="1"/>
  <c r="QX166" i="1"/>
  <c r="I97" i="1"/>
  <c r="J97" i="1"/>
  <c r="K97" i="1"/>
  <c r="MM97" i="1"/>
  <c r="MN97" i="1"/>
  <c r="MO97" i="1"/>
  <c r="MP97" i="1"/>
  <c r="MQ97" i="1"/>
  <c r="MR97" i="1"/>
  <c r="MS97" i="1"/>
  <c r="MT97" i="1"/>
  <c r="MW97" i="1"/>
  <c r="MX97" i="1"/>
  <c r="MY97" i="1"/>
  <c r="MZ97" i="1"/>
  <c r="NA97" i="1"/>
  <c r="NB97" i="1"/>
  <c r="NE97" i="1"/>
  <c r="NF97" i="1"/>
  <c r="NC97" i="1"/>
  <c r="ND97" i="1"/>
  <c r="NG97" i="1"/>
  <c r="NH97" i="1"/>
  <c r="NI97" i="1"/>
  <c r="NJ97" i="1"/>
  <c r="NK97" i="1"/>
  <c r="NL97" i="1"/>
  <c r="NM97" i="1"/>
  <c r="NN97" i="1"/>
  <c r="NO97" i="1"/>
  <c r="NP97" i="1"/>
  <c r="NQ97" i="1"/>
  <c r="NR97" i="1"/>
  <c r="NS97" i="1"/>
  <c r="NT97" i="1"/>
  <c r="NU97" i="1"/>
  <c r="NV97" i="1"/>
  <c r="NW97" i="1"/>
  <c r="NX97" i="1"/>
  <c r="NY97" i="1"/>
  <c r="NZ97" i="1"/>
  <c r="OA97" i="1"/>
  <c r="OB97" i="1"/>
  <c r="OC97" i="1"/>
  <c r="OD97" i="1"/>
  <c r="OE97" i="1"/>
  <c r="OF97" i="1"/>
  <c r="OG97" i="1"/>
  <c r="OH97" i="1"/>
  <c r="OI97" i="1"/>
  <c r="OJ97" i="1"/>
  <c r="OM97" i="1"/>
  <c r="ON97" i="1"/>
  <c r="OO97" i="1"/>
  <c r="OP97" i="1"/>
  <c r="OQ97" i="1"/>
  <c r="OR97" i="1"/>
  <c r="OS97" i="1"/>
  <c r="OT97" i="1"/>
  <c r="OU97" i="1"/>
  <c r="OV97" i="1"/>
  <c r="OW97" i="1"/>
  <c r="OX97" i="1"/>
  <c r="OY97" i="1"/>
  <c r="PA97" i="1"/>
  <c r="PC97" i="1"/>
  <c r="PD97" i="1"/>
  <c r="PB97" i="1"/>
  <c r="BH95" i="148" s="1"/>
  <c r="PE97" i="1"/>
  <c r="PF97" i="1"/>
  <c r="PG97" i="1"/>
  <c r="PH97" i="1"/>
  <c r="PI97" i="1"/>
  <c r="PJ97" i="1"/>
  <c r="PK97" i="1"/>
  <c r="PL97" i="1"/>
  <c r="PM97" i="1"/>
  <c r="PN97" i="1"/>
  <c r="PO97" i="1"/>
  <c r="PQ97" i="1"/>
  <c r="PR97" i="1"/>
  <c r="PT97" i="1"/>
  <c r="PU97" i="1"/>
  <c r="PZ97" i="1"/>
  <c r="QA97" i="1"/>
  <c r="QB97" i="1"/>
  <c r="QC97" i="1"/>
  <c r="QD97" i="1"/>
  <c r="QE97" i="1"/>
  <c r="QF97" i="1"/>
  <c r="QG97" i="1"/>
  <c r="QH97" i="1"/>
  <c r="QI97" i="1"/>
  <c r="QJ97" i="1"/>
  <c r="QK97" i="1"/>
  <c r="QL97" i="1"/>
  <c r="QM97" i="1"/>
  <c r="QN97" i="1"/>
  <c r="QO97" i="1"/>
  <c r="QP97" i="1"/>
  <c r="QQ97" i="1"/>
  <c r="QR97" i="1"/>
  <c r="QS97" i="1"/>
  <c r="QT97" i="1"/>
  <c r="QU97" i="1"/>
  <c r="QV97" i="1"/>
  <c r="QW97" i="1"/>
  <c r="QX97" i="1"/>
  <c r="I79" i="1"/>
  <c r="J79" i="1"/>
  <c r="K79" i="1"/>
  <c r="MM79" i="1"/>
  <c r="MN79" i="1"/>
  <c r="MO79" i="1"/>
  <c r="MP79" i="1"/>
  <c r="MQ79" i="1"/>
  <c r="MR79" i="1"/>
  <c r="MS79" i="1"/>
  <c r="MT79" i="1"/>
  <c r="MW79" i="1"/>
  <c r="MX79" i="1"/>
  <c r="MY79" i="1"/>
  <c r="MZ79" i="1"/>
  <c r="NA79" i="1"/>
  <c r="NB79" i="1"/>
  <c r="NE79" i="1"/>
  <c r="NF79" i="1"/>
  <c r="NC79" i="1"/>
  <c r="ND79" i="1"/>
  <c r="NG79" i="1"/>
  <c r="NH79" i="1"/>
  <c r="NI79" i="1"/>
  <c r="NJ79" i="1"/>
  <c r="NK79" i="1"/>
  <c r="NL79" i="1"/>
  <c r="NM79" i="1"/>
  <c r="NN79" i="1"/>
  <c r="NO79" i="1"/>
  <c r="NP79" i="1"/>
  <c r="NQ79" i="1"/>
  <c r="NR79" i="1"/>
  <c r="NS79" i="1"/>
  <c r="NT79" i="1"/>
  <c r="NU79" i="1"/>
  <c r="NV79" i="1"/>
  <c r="NW79" i="1"/>
  <c r="NX79" i="1"/>
  <c r="NY79" i="1"/>
  <c r="NZ79" i="1"/>
  <c r="OA79" i="1"/>
  <c r="OB79" i="1"/>
  <c r="OC79" i="1"/>
  <c r="OD79" i="1"/>
  <c r="OE79" i="1"/>
  <c r="OF79" i="1"/>
  <c r="OG79" i="1"/>
  <c r="OH79" i="1"/>
  <c r="OI79" i="1"/>
  <c r="OJ79" i="1"/>
  <c r="OM79" i="1"/>
  <c r="ON79" i="1"/>
  <c r="OO79" i="1"/>
  <c r="OP79" i="1"/>
  <c r="OQ79" i="1"/>
  <c r="OR79" i="1"/>
  <c r="OS79" i="1"/>
  <c r="OT79" i="1"/>
  <c r="OU79" i="1"/>
  <c r="OV79" i="1"/>
  <c r="OW79" i="1"/>
  <c r="OX79" i="1"/>
  <c r="OY79" i="1"/>
  <c r="PA79" i="1"/>
  <c r="PC79" i="1"/>
  <c r="PD79" i="1"/>
  <c r="PB79" i="1"/>
  <c r="PE79" i="1"/>
  <c r="PF79" i="1"/>
  <c r="PG79" i="1"/>
  <c r="PH79" i="1"/>
  <c r="PI79" i="1"/>
  <c r="PJ79" i="1"/>
  <c r="PK79" i="1"/>
  <c r="PL79" i="1"/>
  <c r="PM79" i="1"/>
  <c r="PN79" i="1"/>
  <c r="PO79" i="1"/>
  <c r="PQ79" i="1"/>
  <c r="PR79" i="1"/>
  <c r="PT79" i="1"/>
  <c r="PU79" i="1"/>
  <c r="PZ79" i="1"/>
  <c r="QA79" i="1"/>
  <c r="QB79" i="1"/>
  <c r="QC79" i="1"/>
  <c r="QD79" i="1"/>
  <c r="QE79" i="1"/>
  <c r="QF79" i="1"/>
  <c r="QG79" i="1"/>
  <c r="QH79" i="1"/>
  <c r="QI79" i="1"/>
  <c r="QJ79" i="1"/>
  <c r="QK79" i="1"/>
  <c r="QL79" i="1"/>
  <c r="QM79" i="1"/>
  <c r="QN79" i="1"/>
  <c r="QO79" i="1"/>
  <c r="QP79" i="1"/>
  <c r="QQ79" i="1"/>
  <c r="QR79" i="1"/>
  <c r="QS79" i="1"/>
  <c r="QT79" i="1"/>
  <c r="QU79" i="1"/>
  <c r="QV79" i="1"/>
  <c r="QW79" i="1"/>
  <c r="QX79" i="1"/>
  <c r="I146" i="1"/>
  <c r="J146" i="1"/>
  <c r="K146" i="1"/>
  <c r="MM146" i="1"/>
  <c r="MN146" i="1"/>
  <c r="MO146" i="1"/>
  <c r="MP146" i="1"/>
  <c r="MQ146" i="1"/>
  <c r="MR146" i="1"/>
  <c r="MS146" i="1"/>
  <c r="MT146" i="1"/>
  <c r="MW146" i="1"/>
  <c r="MX146" i="1"/>
  <c r="MY146" i="1"/>
  <c r="MZ146" i="1"/>
  <c r="NA146" i="1"/>
  <c r="NB146" i="1"/>
  <c r="NE146" i="1"/>
  <c r="NF146" i="1"/>
  <c r="NC146" i="1"/>
  <c r="ND146" i="1"/>
  <c r="NG146" i="1"/>
  <c r="NH146" i="1"/>
  <c r="NI146" i="1"/>
  <c r="NJ146" i="1"/>
  <c r="NK146" i="1"/>
  <c r="NL146" i="1"/>
  <c r="NM146" i="1"/>
  <c r="NN146" i="1"/>
  <c r="NO146" i="1"/>
  <c r="NP146" i="1"/>
  <c r="NQ146" i="1"/>
  <c r="NR146" i="1"/>
  <c r="NS146" i="1"/>
  <c r="NT146" i="1"/>
  <c r="NU146" i="1"/>
  <c r="NV146" i="1"/>
  <c r="NW146" i="1"/>
  <c r="NX146" i="1"/>
  <c r="NY146" i="1"/>
  <c r="NZ146" i="1"/>
  <c r="OA146" i="1"/>
  <c r="OB146" i="1"/>
  <c r="OC146" i="1"/>
  <c r="OD146" i="1"/>
  <c r="OE146" i="1"/>
  <c r="OF146" i="1"/>
  <c r="OG146" i="1"/>
  <c r="OH146" i="1"/>
  <c r="OI146" i="1"/>
  <c r="OJ146" i="1"/>
  <c r="OM146" i="1"/>
  <c r="ON146" i="1"/>
  <c r="OO146" i="1"/>
  <c r="OP146" i="1"/>
  <c r="OQ146" i="1"/>
  <c r="OR146" i="1"/>
  <c r="OS146" i="1"/>
  <c r="OT146" i="1"/>
  <c r="OU146" i="1"/>
  <c r="OV146" i="1"/>
  <c r="OW146" i="1"/>
  <c r="OX146" i="1"/>
  <c r="OY146" i="1"/>
  <c r="PA146" i="1"/>
  <c r="PC146" i="1"/>
  <c r="PD146" i="1"/>
  <c r="PB146" i="1"/>
  <c r="PE146" i="1"/>
  <c r="PF146" i="1"/>
  <c r="PG146" i="1"/>
  <c r="PH146" i="1"/>
  <c r="PI146" i="1"/>
  <c r="PJ146" i="1"/>
  <c r="PK146" i="1"/>
  <c r="PL146" i="1"/>
  <c r="PM146" i="1"/>
  <c r="PN146" i="1"/>
  <c r="PO146" i="1"/>
  <c r="PQ146" i="1"/>
  <c r="PR146" i="1"/>
  <c r="PT146" i="1"/>
  <c r="PU146" i="1"/>
  <c r="PZ146" i="1"/>
  <c r="QA146" i="1"/>
  <c r="QB146" i="1"/>
  <c r="QC146" i="1"/>
  <c r="QD146" i="1"/>
  <c r="QE146" i="1"/>
  <c r="QF146" i="1"/>
  <c r="QG146" i="1"/>
  <c r="QH146" i="1"/>
  <c r="QI146" i="1"/>
  <c r="QJ146" i="1"/>
  <c r="QK146" i="1"/>
  <c r="QL146" i="1"/>
  <c r="QM146" i="1"/>
  <c r="QN146" i="1"/>
  <c r="QO146" i="1"/>
  <c r="QP146" i="1"/>
  <c r="QQ146" i="1"/>
  <c r="QR146" i="1"/>
  <c r="QS146" i="1"/>
  <c r="QT146" i="1"/>
  <c r="QU146" i="1"/>
  <c r="QV146" i="1"/>
  <c r="QW146" i="1"/>
  <c r="QX146" i="1"/>
  <c r="I204" i="1"/>
  <c r="J204" i="1"/>
  <c r="K204" i="1"/>
  <c r="MM204" i="1"/>
  <c r="MN204" i="1"/>
  <c r="MO204" i="1"/>
  <c r="MP204" i="1"/>
  <c r="MQ204" i="1"/>
  <c r="MR204" i="1"/>
  <c r="MS204" i="1"/>
  <c r="MT204" i="1"/>
  <c r="MW204" i="1"/>
  <c r="MX204" i="1"/>
  <c r="MY204" i="1"/>
  <c r="MZ204" i="1"/>
  <c r="NA204" i="1"/>
  <c r="NB204" i="1"/>
  <c r="NE204" i="1"/>
  <c r="NF204" i="1"/>
  <c r="NC204" i="1"/>
  <c r="ND204" i="1"/>
  <c r="NG204" i="1"/>
  <c r="NH204" i="1"/>
  <c r="NI204" i="1"/>
  <c r="NJ204" i="1"/>
  <c r="NK204" i="1"/>
  <c r="NL204" i="1"/>
  <c r="NM204" i="1"/>
  <c r="NN204" i="1"/>
  <c r="NO204" i="1"/>
  <c r="NP204" i="1"/>
  <c r="NQ204" i="1"/>
  <c r="NR204" i="1"/>
  <c r="NS204" i="1"/>
  <c r="NT204" i="1"/>
  <c r="NU204" i="1"/>
  <c r="NV204" i="1"/>
  <c r="NW204" i="1"/>
  <c r="NX204" i="1"/>
  <c r="NY204" i="1"/>
  <c r="NZ204" i="1"/>
  <c r="OA204" i="1"/>
  <c r="OB204" i="1"/>
  <c r="OC204" i="1"/>
  <c r="OD204" i="1"/>
  <c r="OE204" i="1"/>
  <c r="OF204" i="1"/>
  <c r="OG204" i="1"/>
  <c r="OH204" i="1"/>
  <c r="OI204" i="1"/>
  <c r="OJ204" i="1"/>
  <c r="OM204" i="1"/>
  <c r="ON204" i="1"/>
  <c r="OO204" i="1"/>
  <c r="OP204" i="1"/>
  <c r="OQ204" i="1"/>
  <c r="OR204" i="1"/>
  <c r="OS204" i="1"/>
  <c r="OT204" i="1"/>
  <c r="OU204" i="1"/>
  <c r="OV204" i="1"/>
  <c r="OW204" i="1"/>
  <c r="OX204" i="1"/>
  <c r="OY204" i="1"/>
  <c r="PA204" i="1"/>
  <c r="PC204" i="1"/>
  <c r="PD204" i="1"/>
  <c r="PB204" i="1"/>
  <c r="BH204" i="148" s="1"/>
  <c r="PE204" i="1"/>
  <c r="PF204" i="1"/>
  <c r="PG204" i="1"/>
  <c r="PH204" i="1"/>
  <c r="PI204" i="1"/>
  <c r="PJ204" i="1"/>
  <c r="PK204" i="1"/>
  <c r="PL204" i="1"/>
  <c r="PM204" i="1"/>
  <c r="PN204" i="1"/>
  <c r="PO204" i="1"/>
  <c r="PQ204" i="1"/>
  <c r="PR204" i="1"/>
  <c r="PT204" i="1"/>
  <c r="PU204" i="1"/>
  <c r="PZ204" i="1"/>
  <c r="QA204" i="1"/>
  <c r="QB204" i="1"/>
  <c r="QC204" i="1"/>
  <c r="QD204" i="1"/>
  <c r="QE204" i="1"/>
  <c r="QF204" i="1"/>
  <c r="QG204" i="1"/>
  <c r="QH204" i="1"/>
  <c r="QI204" i="1"/>
  <c r="QJ204" i="1"/>
  <c r="QK204" i="1"/>
  <c r="QL204" i="1"/>
  <c r="QM204" i="1"/>
  <c r="QN204" i="1"/>
  <c r="QO204" i="1"/>
  <c r="QP204" i="1"/>
  <c r="QQ204" i="1"/>
  <c r="QR204" i="1"/>
  <c r="QS204" i="1"/>
  <c r="QT204" i="1"/>
  <c r="QU204" i="1"/>
  <c r="QV204" i="1"/>
  <c r="QW204" i="1"/>
  <c r="QX204" i="1"/>
  <c r="I113" i="1"/>
  <c r="J113" i="1"/>
  <c r="K113" i="1"/>
  <c r="MM113" i="1"/>
  <c r="MN113" i="1"/>
  <c r="MO113" i="1"/>
  <c r="MP113" i="1"/>
  <c r="MQ113" i="1"/>
  <c r="MR113" i="1"/>
  <c r="MS113" i="1"/>
  <c r="MT113" i="1"/>
  <c r="MW113" i="1"/>
  <c r="MX113" i="1"/>
  <c r="MY113" i="1"/>
  <c r="MZ113" i="1"/>
  <c r="NA113" i="1"/>
  <c r="NB113" i="1"/>
  <c r="NE113" i="1"/>
  <c r="NF113" i="1"/>
  <c r="NC113" i="1"/>
  <c r="ND113" i="1"/>
  <c r="NG113" i="1"/>
  <c r="NH113" i="1"/>
  <c r="NI113" i="1"/>
  <c r="NJ113" i="1"/>
  <c r="NK113" i="1"/>
  <c r="NL113" i="1"/>
  <c r="NM113" i="1"/>
  <c r="NN113" i="1"/>
  <c r="NO113" i="1"/>
  <c r="NP113" i="1"/>
  <c r="NQ113" i="1"/>
  <c r="NR113" i="1"/>
  <c r="NS113" i="1"/>
  <c r="NT113" i="1"/>
  <c r="NU113" i="1"/>
  <c r="NV113" i="1"/>
  <c r="NW113" i="1"/>
  <c r="NX113" i="1"/>
  <c r="NY113" i="1"/>
  <c r="NZ113" i="1"/>
  <c r="OA113" i="1"/>
  <c r="OB113" i="1"/>
  <c r="OC113" i="1"/>
  <c r="OD113" i="1"/>
  <c r="OE113" i="1"/>
  <c r="OF113" i="1"/>
  <c r="OG113" i="1"/>
  <c r="OH113" i="1"/>
  <c r="OI113" i="1"/>
  <c r="OJ113" i="1"/>
  <c r="OM113" i="1"/>
  <c r="ON113" i="1"/>
  <c r="OO113" i="1"/>
  <c r="OP113" i="1"/>
  <c r="OQ113" i="1"/>
  <c r="OR113" i="1"/>
  <c r="OS113" i="1"/>
  <c r="OT113" i="1"/>
  <c r="OU113" i="1"/>
  <c r="OV113" i="1"/>
  <c r="OW113" i="1"/>
  <c r="OX113" i="1"/>
  <c r="OY113" i="1"/>
  <c r="PA113" i="1"/>
  <c r="PC113" i="1"/>
  <c r="PD113" i="1"/>
  <c r="PB113" i="1"/>
  <c r="PE113" i="1"/>
  <c r="PF113" i="1"/>
  <c r="PG113" i="1"/>
  <c r="PH113" i="1"/>
  <c r="PI113" i="1"/>
  <c r="PJ113" i="1"/>
  <c r="PK113" i="1"/>
  <c r="PL113" i="1"/>
  <c r="PM113" i="1"/>
  <c r="PN113" i="1"/>
  <c r="PO113" i="1"/>
  <c r="PQ113" i="1"/>
  <c r="PR113" i="1"/>
  <c r="PT113" i="1"/>
  <c r="PU113" i="1"/>
  <c r="PZ113" i="1"/>
  <c r="QA113" i="1"/>
  <c r="QB113" i="1"/>
  <c r="QC113" i="1"/>
  <c r="QD113" i="1"/>
  <c r="QE113" i="1"/>
  <c r="QF113" i="1"/>
  <c r="QG113" i="1"/>
  <c r="QH113" i="1"/>
  <c r="QI113" i="1"/>
  <c r="QJ113" i="1"/>
  <c r="QK113" i="1"/>
  <c r="QL113" i="1"/>
  <c r="QM113" i="1"/>
  <c r="QN113" i="1"/>
  <c r="QO113" i="1"/>
  <c r="QP113" i="1"/>
  <c r="QQ113" i="1"/>
  <c r="QR113" i="1"/>
  <c r="QS113" i="1"/>
  <c r="QT113" i="1"/>
  <c r="QU113" i="1"/>
  <c r="QV113" i="1"/>
  <c r="QW113" i="1"/>
  <c r="QX113" i="1"/>
  <c r="I172" i="1"/>
  <c r="J172" i="1"/>
  <c r="K172" i="1"/>
  <c r="MM172" i="1"/>
  <c r="MN172" i="1"/>
  <c r="MO172" i="1"/>
  <c r="MP172" i="1"/>
  <c r="MQ172" i="1"/>
  <c r="MR172" i="1"/>
  <c r="MS172" i="1"/>
  <c r="MT172" i="1"/>
  <c r="MW172" i="1"/>
  <c r="MX172" i="1"/>
  <c r="MY172" i="1"/>
  <c r="MZ172" i="1"/>
  <c r="NA172" i="1"/>
  <c r="NB172" i="1"/>
  <c r="NE172" i="1"/>
  <c r="NF172" i="1"/>
  <c r="NC172" i="1"/>
  <c r="ND172" i="1"/>
  <c r="NG172" i="1"/>
  <c r="NH172" i="1"/>
  <c r="NI172" i="1"/>
  <c r="NJ172" i="1"/>
  <c r="NK172" i="1"/>
  <c r="NL172" i="1"/>
  <c r="NM172" i="1"/>
  <c r="NN172" i="1"/>
  <c r="NO172" i="1"/>
  <c r="NP172" i="1"/>
  <c r="NQ172" i="1"/>
  <c r="NR172" i="1"/>
  <c r="NS172" i="1"/>
  <c r="NT172" i="1"/>
  <c r="NU172" i="1"/>
  <c r="NV172" i="1"/>
  <c r="NW172" i="1"/>
  <c r="NX172" i="1"/>
  <c r="NY172" i="1"/>
  <c r="NZ172" i="1"/>
  <c r="OA172" i="1"/>
  <c r="OB172" i="1"/>
  <c r="OC172" i="1"/>
  <c r="OD172" i="1"/>
  <c r="OE172" i="1"/>
  <c r="OF172" i="1"/>
  <c r="OG172" i="1"/>
  <c r="OH172" i="1"/>
  <c r="OI172" i="1"/>
  <c r="OJ172" i="1"/>
  <c r="OM172" i="1"/>
  <c r="ON172" i="1"/>
  <c r="OO172" i="1"/>
  <c r="OP172" i="1"/>
  <c r="OQ172" i="1"/>
  <c r="OR172" i="1"/>
  <c r="OS172" i="1"/>
  <c r="OT172" i="1"/>
  <c r="OU172" i="1"/>
  <c r="OV172" i="1"/>
  <c r="OW172" i="1"/>
  <c r="OX172" i="1"/>
  <c r="OY172" i="1"/>
  <c r="PA172" i="1"/>
  <c r="PC172" i="1"/>
  <c r="PD172" i="1"/>
  <c r="PB172" i="1"/>
  <c r="BH165" i="148" s="1"/>
  <c r="PE172" i="1"/>
  <c r="PF172" i="1"/>
  <c r="PG172" i="1"/>
  <c r="PH172" i="1"/>
  <c r="PI172" i="1"/>
  <c r="PJ172" i="1"/>
  <c r="PK172" i="1"/>
  <c r="PL172" i="1"/>
  <c r="PM172" i="1"/>
  <c r="PN172" i="1"/>
  <c r="PO172" i="1"/>
  <c r="PQ172" i="1"/>
  <c r="PR172" i="1"/>
  <c r="PT172" i="1"/>
  <c r="PU172" i="1"/>
  <c r="PZ172" i="1"/>
  <c r="QA172" i="1"/>
  <c r="QB172" i="1"/>
  <c r="QC172" i="1"/>
  <c r="QD172" i="1"/>
  <c r="QE172" i="1"/>
  <c r="QF172" i="1"/>
  <c r="QG172" i="1"/>
  <c r="QH172" i="1"/>
  <c r="QI172" i="1"/>
  <c r="QJ172" i="1"/>
  <c r="QK172" i="1"/>
  <c r="QL172" i="1"/>
  <c r="QM172" i="1"/>
  <c r="QN172" i="1"/>
  <c r="QO172" i="1"/>
  <c r="QP172" i="1"/>
  <c r="QQ172" i="1"/>
  <c r="QR172" i="1"/>
  <c r="QS172" i="1"/>
  <c r="QT172" i="1"/>
  <c r="QU172" i="1"/>
  <c r="QV172" i="1"/>
  <c r="QW172" i="1"/>
  <c r="QX172" i="1"/>
  <c r="I171" i="1"/>
  <c r="J171" i="1"/>
  <c r="K171" i="1"/>
  <c r="MM171" i="1"/>
  <c r="MN171" i="1"/>
  <c r="MO171" i="1"/>
  <c r="MP171" i="1"/>
  <c r="MQ171" i="1"/>
  <c r="MR171" i="1"/>
  <c r="MS171" i="1"/>
  <c r="MT171" i="1"/>
  <c r="MW171" i="1"/>
  <c r="MX171" i="1"/>
  <c r="MY171" i="1"/>
  <c r="MZ171" i="1"/>
  <c r="NA171" i="1"/>
  <c r="NB171" i="1"/>
  <c r="NE171" i="1"/>
  <c r="NF171" i="1"/>
  <c r="NC171" i="1"/>
  <c r="ND171" i="1"/>
  <c r="NG171" i="1"/>
  <c r="NH171" i="1"/>
  <c r="NI171" i="1"/>
  <c r="NJ171" i="1"/>
  <c r="NK171" i="1"/>
  <c r="NL171" i="1"/>
  <c r="NM171" i="1"/>
  <c r="NN171" i="1"/>
  <c r="NO171" i="1"/>
  <c r="NP171" i="1"/>
  <c r="NQ171" i="1"/>
  <c r="NR171" i="1"/>
  <c r="NS171" i="1"/>
  <c r="NT171" i="1"/>
  <c r="NU171" i="1"/>
  <c r="NV171" i="1"/>
  <c r="NW171" i="1"/>
  <c r="NX171" i="1"/>
  <c r="NY171" i="1"/>
  <c r="NZ171" i="1"/>
  <c r="OA171" i="1"/>
  <c r="OB171" i="1"/>
  <c r="OC171" i="1"/>
  <c r="OD171" i="1"/>
  <c r="OE171" i="1"/>
  <c r="OF171" i="1"/>
  <c r="OG171" i="1"/>
  <c r="OH171" i="1"/>
  <c r="OI171" i="1"/>
  <c r="OJ171" i="1"/>
  <c r="OM171" i="1"/>
  <c r="ON171" i="1"/>
  <c r="OO171" i="1"/>
  <c r="OP171" i="1"/>
  <c r="OQ171" i="1"/>
  <c r="OR171" i="1"/>
  <c r="OS171" i="1"/>
  <c r="OT171" i="1"/>
  <c r="OU171" i="1"/>
  <c r="OV171" i="1"/>
  <c r="OW171" i="1"/>
  <c r="OX171" i="1"/>
  <c r="OY171" i="1"/>
  <c r="PA171" i="1"/>
  <c r="PC171" i="1"/>
  <c r="PD171" i="1"/>
  <c r="PB171" i="1"/>
  <c r="PE171" i="1"/>
  <c r="PF171" i="1"/>
  <c r="PG171" i="1"/>
  <c r="PH171" i="1"/>
  <c r="PI171" i="1"/>
  <c r="PJ171" i="1"/>
  <c r="PK171" i="1"/>
  <c r="PL171" i="1"/>
  <c r="PM171" i="1"/>
  <c r="PN171" i="1"/>
  <c r="PO171" i="1"/>
  <c r="PQ171" i="1"/>
  <c r="PR171" i="1"/>
  <c r="PT171" i="1"/>
  <c r="PU171" i="1"/>
  <c r="PZ171" i="1"/>
  <c r="QA171" i="1"/>
  <c r="QB171" i="1"/>
  <c r="QC171" i="1"/>
  <c r="QD171" i="1"/>
  <c r="QE171" i="1"/>
  <c r="QF171" i="1"/>
  <c r="QG171" i="1"/>
  <c r="QH171" i="1"/>
  <c r="QI171" i="1"/>
  <c r="QJ171" i="1"/>
  <c r="QK171" i="1"/>
  <c r="QL171" i="1"/>
  <c r="QM171" i="1"/>
  <c r="QN171" i="1"/>
  <c r="QO171" i="1"/>
  <c r="QP171" i="1"/>
  <c r="QQ171" i="1"/>
  <c r="QR171" i="1"/>
  <c r="QS171" i="1"/>
  <c r="QT171" i="1"/>
  <c r="QU171" i="1"/>
  <c r="QV171" i="1"/>
  <c r="QW171" i="1"/>
  <c r="QX171" i="1"/>
  <c r="I185" i="1"/>
  <c r="J185" i="1"/>
  <c r="K185" i="1"/>
  <c r="MM185" i="1"/>
  <c r="MN185" i="1"/>
  <c r="MO185" i="1"/>
  <c r="MP185" i="1"/>
  <c r="MQ185" i="1"/>
  <c r="MR185" i="1"/>
  <c r="MS185" i="1"/>
  <c r="MT185" i="1"/>
  <c r="MW185" i="1"/>
  <c r="MX185" i="1"/>
  <c r="MY185" i="1"/>
  <c r="MZ185" i="1"/>
  <c r="NA185" i="1"/>
  <c r="NB185" i="1"/>
  <c r="NE185" i="1"/>
  <c r="NF185" i="1"/>
  <c r="NC185" i="1"/>
  <c r="ND185" i="1"/>
  <c r="NG185" i="1"/>
  <c r="NH185" i="1"/>
  <c r="NI185" i="1"/>
  <c r="NJ185" i="1"/>
  <c r="NK185" i="1"/>
  <c r="NL185" i="1"/>
  <c r="NM185" i="1"/>
  <c r="NN185" i="1"/>
  <c r="NO185" i="1"/>
  <c r="NP185" i="1"/>
  <c r="NQ185" i="1"/>
  <c r="NR185" i="1"/>
  <c r="NS185" i="1"/>
  <c r="NT185" i="1"/>
  <c r="NU185" i="1"/>
  <c r="NV185" i="1"/>
  <c r="NW185" i="1"/>
  <c r="NX185" i="1"/>
  <c r="NY185" i="1"/>
  <c r="NZ185" i="1"/>
  <c r="OA185" i="1"/>
  <c r="OB185" i="1"/>
  <c r="OC185" i="1"/>
  <c r="OD185" i="1"/>
  <c r="OE185" i="1"/>
  <c r="OF185" i="1"/>
  <c r="OG185" i="1"/>
  <c r="OH185" i="1"/>
  <c r="OI185" i="1"/>
  <c r="OJ185" i="1"/>
  <c r="OM185" i="1"/>
  <c r="ON185" i="1"/>
  <c r="OO185" i="1"/>
  <c r="OP185" i="1"/>
  <c r="OQ185" i="1"/>
  <c r="OR185" i="1"/>
  <c r="OS185" i="1"/>
  <c r="OT185" i="1"/>
  <c r="OU185" i="1"/>
  <c r="OV185" i="1"/>
  <c r="OW185" i="1"/>
  <c r="OX185" i="1"/>
  <c r="OY185" i="1"/>
  <c r="PA185" i="1"/>
  <c r="PC185" i="1"/>
  <c r="PD185" i="1"/>
  <c r="PB185" i="1"/>
  <c r="PE185" i="1"/>
  <c r="PF185" i="1"/>
  <c r="PG185" i="1"/>
  <c r="PH185" i="1"/>
  <c r="PI185" i="1"/>
  <c r="PJ185" i="1"/>
  <c r="PK185" i="1"/>
  <c r="PL185" i="1"/>
  <c r="PM185" i="1"/>
  <c r="PN185" i="1"/>
  <c r="PO185" i="1"/>
  <c r="PQ185" i="1"/>
  <c r="PR185" i="1"/>
  <c r="PT185" i="1"/>
  <c r="PU185" i="1"/>
  <c r="PZ185" i="1"/>
  <c r="QA185" i="1"/>
  <c r="QB185" i="1"/>
  <c r="QC185" i="1"/>
  <c r="QD185" i="1"/>
  <c r="QE185" i="1"/>
  <c r="QF185" i="1"/>
  <c r="QG185" i="1"/>
  <c r="QH185" i="1"/>
  <c r="QI185" i="1"/>
  <c r="QJ185" i="1"/>
  <c r="QK185" i="1"/>
  <c r="QL185" i="1"/>
  <c r="QM185" i="1"/>
  <c r="QN185" i="1"/>
  <c r="QO185" i="1"/>
  <c r="QP185" i="1"/>
  <c r="QQ185" i="1"/>
  <c r="QR185" i="1"/>
  <c r="QS185" i="1"/>
  <c r="QT185" i="1"/>
  <c r="QU185" i="1"/>
  <c r="QV185" i="1"/>
  <c r="QW185" i="1"/>
  <c r="QX185" i="1"/>
  <c r="I137" i="1"/>
  <c r="J137" i="1"/>
  <c r="K137" i="1"/>
  <c r="MM137" i="1"/>
  <c r="MN137" i="1"/>
  <c r="MO137" i="1"/>
  <c r="MP137" i="1"/>
  <c r="MQ137" i="1"/>
  <c r="MR137" i="1"/>
  <c r="MS137" i="1"/>
  <c r="MT137" i="1"/>
  <c r="MW137" i="1"/>
  <c r="MX137" i="1"/>
  <c r="MY137" i="1"/>
  <c r="MZ137" i="1"/>
  <c r="NA137" i="1"/>
  <c r="NB137" i="1"/>
  <c r="NE137" i="1"/>
  <c r="NF137" i="1"/>
  <c r="NC137" i="1"/>
  <c r="ND137" i="1"/>
  <c r="NG137" i="1"/>
  <c r="NH137" i="1"/>
  <c r="NI137" i="1"/>
  <c r="NJ137" i="1"/>
  <c r="NK137" i="1"/>
  <c r="NL137" i="1"/>
  <c r="NM137" i="1"/>
  <c r="NN137" i="1"/>
  <c r="NO137" i="1"/>
  <c r="NP137" i="1"/>
  <c r="NQ137" i="1"/>
  <c r="NR137" i="1"/>
  <c r="NS137" i="1"/>
  <c r="NT137" i="1"/>
  <c r="NU137" i="1"/>
  <c r="NV137" i="1"/>
  <c r="NW137" i="1"/>
  <c r="NX137" i="1"/>
  <c r="NY137" i="1"/>
  <c r="NZ137" i="1"/>
  <c r="OA137" i="1"/>
  <c r="OB137" i="1"/>
  <c r="OC137" i="1"/>
  <c r="OD137" i="1"/>
  <c r="OE137" i="1"/>
  <c r="OF137" i="1"/>
  <c r="OG137" i="1"/>
  <c r="OH137" i="1"/>
  <c r="OI137" i="1"/>
  <c r="OJ137" i="1"/>
  <c r="OM137" i="1"/>
  <c r="ON137" i="1"/>
  <c r="OO137" i="1"/>
  <c r="OP137" i="1"/>
  <c r="OQ137" i="1"/>
  <c r="OR137" i="1"/>
  <c r="OS137" i="1"/>
  <c r="OT137" i="1"/>
  <c r="OU137" i="1"/>
  <c r="OV137" i="1"/>
  <c r="OW137" i="1"/>
  <c r="OX137" i="1"/>
  <c r="OY137" i="1"/>
  <c r="PA137" i="1"/>
  <c r="PC137" i="1"/>
  <c r="PD137" i="1"/>
  <c r="PB137" i="1"/>
  <c r="PE137" i="1"/>
  <c r="PF137" i="1"/>
  <c r="PG137" i="1"/>
  <c r="PH137" i="1"/>
  <c r="PI137" i="1"/>
  <c r="PJ137" i="1"/>
  <c r="PK137" i="1"/>
  <c r="PL137" i="1"/>
  <c r="PM137" i="1"/>
  <c r="PN137" i="1"/>
  <c r="PO137" i="1"/>
  <c r="PQ137" i="1"/>
  <c r="PR137" i="1"/>
  <c r="PT137" i="1"/>
  <c r="PU137" i="1"/>
  <c r="PZ137" i="1"/>
  <c r="QA137" i="1"/>
  <c r="QB137" i="1"/>
  <c r="QC137" i="1"/>
  <c r="QD137" i="1"/>
  <c r="QE137" i="1"/>
  <c r="QF137" i="1"/>
  <c r="QG137" i="1"/>
  <c r="QH137" i="1"/>
  <c r="QI137" i="1"/>
  <c r="QJ137" i="1"/>
  <c r="QK137" i="1"/>
  <c r="QL137" i="1"/>
  <c r="QM137" i="1"/>
  <c r="QN137" i="1"/>
  <c r="QO137" i="1"/>
  <c r="QP137" i="1"/>
  <c r="QQ137" i="1"/>
  <c r="QR137" i="1"/>
  <c r="QS137" i="1"/>
  <c r="QT137" i="1"/>
  <c r="QU137" i="1"/>
  <c r="QV137" i="1"/>
  <c r="QW137" i="1"/>
  <c r="QX137" i="1"/>
  <c r="I205" i="1"/>
  <c r="J205" i="1"/>
  <c r="K205" i="1"/>
  <c r="MM205" i="1"/>
  <c r="MN205" i="1"/>
  <c r="MO205" i="1"/>
  <c r="MP205" i="1"/>
  <c r="MQ205" i="1"/>
  <c r="MR205" i="1"/>
  <c r="MS205" i="1"/>
  <c r="MT205" i="1"/>
  <c r="MW205" i="1"/>
  <c r="MX205" i="1"/>
  <c r="MY205" i="1"/>
  <c r="MZ205" i="1"/>
  <c r="NA205" i="1"/>
  <c r="NB205" i="1"/>
  <c r="NE205" i="1"/>
  <c r="NF205" i="1"/>
  <c r="NC205" i="1"/>
  <c r="ND205" i="1"/>
  <c r="NG205" i="1"/>
  <c r="NH205" i="1"/>
  <c r="NI205" i="1"/>
  <c r="NJ205" i="1"/>
  <c r="NK205" i="1"/>
  <c r="NL205" i="1"/>
  <c r="NM205" i="1"/>
  <c r="NN205" i="1"/>
  <c r="NO205" i="1"/>
  <c r="NP205" i="1"/>
  <c r="NQ205" i="1"/>
  <c r="NR205" i="1"/>
  <c r="NS205" i="1"/>
  <c r="NT205" i="1"/>
  <c r="NU205" i="1"/>
  <c r="NV205" i="1"/>
  <c r="NW205" i="1"/>
  <c r="NX205" i="1"/>
  <c r="NY205" i="1"/>
  <c r="NZ205" i="1"/>
  <c r="OA205" i="1"/>
  <c r="OB205" i="1"/>
  <c r="OC205" i="1"/>
  <c r="OD205" i="1"/>
  <c r="OE205" i="1"/>
  <c r="OF205" i="1"/>
  <c r="OG205" i="1"/>
  <c r="OH205" i="1"/>
  <c r="OI205" i="1"/>
  <c r="OJ205" i="1"/>
  <c r="OM205" i="1"/>
  <c r="ON205" i="1"/>
  <c r="OO205" i="1"/>
  <c r="OP205" i="1"/>
  <c r="OQ205" i="1"/>
  <c r="OR205" i="1"/>
  <c r="OS205" i="1"/>
  <c r="OT205" i="1"/>
  <c r="OU205" i="1"/>
  <c r="OV205" i="1"/>
  <c r="OW205" i="1"/>
  <c r="OX205" i="1"/>
  <c r="OY205" i="1"/>
  <c r="PA205" i="1"/>
  <c r="PC205" i="1"/>
  <c r="PD205" i="1"/>
  <c r="PB205" i="1"/>
  <c r="BH205" i="148" s="1"/>
  <c r="PE205" i="1"/>
  <c r="PF205" i="1"/>
  <c r="PG205" i="1"/>
  <c r="PH205" i="1"/>
  <c r="PI205" i="1"/>
  <c r="PJ205" i="1"/>
  <c r="PK205" i="1"/>
  <c r="PL205" i="1"/>
  <c r="PM205" i="1"/>
  <c r="PN205" i="1"/>
  <c r="PO205" i="1"/>
  <c r="PQ205" i="1"/>
  <c r="PR205" i="1"/>
  <c r="PT205" i="1"/>
  <c r="PU205" i="1"/>
  <c r="PZ205" i="1"/>
  <c r="QA205" i="1"/>
  <c r="QB205" i="1"/>
  <c r="QC205" i="1"/>
  <c r="QD205" i="1"/>
  <c r="QE205" i="1"/>
  <c r="QF205" i="1"/>
  <c r="QG205" i="1"/>
  <c r="QH205" i="1"/>
  <c r="QI205" i="1"/>
  <c r="QJ205" i="1"/>
  <c r="QK205" i="1"/>
  <c r="QL205" i="1"/>
  <c r="QM205" i="1"/>
  <c r="QN205" i="1"/>
  <c r="QO205" i="1"/>
  <c r="QP205" i="1"/>
  <c r="QQ205" i="1"/>
  <c r="QR205" i="1"/>
  <c r="QS205" i="1"/>
  <c r="QT205" i="1"/>
  <c r="QU205" i="1"/>
  <c r="QV205" i="1"/>
  <c r="QW205" i="1"/>
  <c r="QX205" i="1"/>
  <c r="I177" i="1"/>
  <c r="J177" i="1"/>
  <c r="K177" i="1"/>
  <c r="MM177" i="1"/>
  <c r="MN177" i="1"/>
  <c r="MO177" i="1"/>
  <c r="MP177" i="1"/>
  <c r="MQ177" i="1"/>
  <c r="MR177" i="1"/>
  <c r="MS177" i="1"/>
  <c r="MT177" i="1"/>
  <c r="MW177" i="1"/>
  <c r="MX177" i="1"/>
  <c r="MY177" i="1"/>
  <c r="MZ177" i="1"/>
  <c r="NA177" i="1"/>
  <c r="NB177" i="1"/>
  <c r="NE177" i="1"/>
  <c r="NF177" i="1"/>
  <c r="NC177" i="1"/>
  <c r="ND177" i="1"/>
  <c r="NG177" i="1"/>
  <c r="NH177" i="1"/>
  <c r="NI177" i="1"/>
  <c r="NJ177" i="1"/>
  <c r="NK177" i="1"/>
  <c r="NL177" i="1"/>
  <c r="NM177" i="1"/>
  <c r="NN177" i="1"/>
  <c r="NO177" i="1"/>
  <c r="NP177" i="1"/>
  <c r="NQ177" i="1"/>
  <c r="NR177" i="1"/>
  <c r="NS177" i="1"/>
  <c r="NT177" i="1"/>
  <c r="NU177" i="1"/>
  <c r="NV177" i="1"/>
  <c r="NW177" i="1"/>
  <c r="NX177" i="1"/>
  <c r="NY177" i="1"/>
  <c r="NZ177" i="1"/>
  <c r="OA177" i="1"/>
  <c r="OB177" i="1"/>
  <c r="OC177" i="1"/>
  <c r="OD177" i="1"/>
  <c r="OE177" i="1"/>
  <c r="OF177" i="1"/>
  <c r="OG177" i="1"/>
  <c r="OH177" i="1"/>
  <c r="OI177" i="1"/>
  <c r="OJ177" i="1"/>
  <c r="OM177" i="1"/>
  <c r="ON177" i="1"/>
  <c r="OO177" i="1"/>
  <c r="OP177" i="1"/>
  <c r="OQ177" i="1"/>
  <c r="OR177" i="1"/>
  <c r="OS177" i="1"/>
  <c r="OT177" i="1"/>
  <c r="OU177" i="1"/>
  <c r="OV177" i="1"/>
  <c r="OW177" i="1"/>
  <c r="OX177" i="1"/>
  <c r="OY177" i="1"/>
  <c r="PA177" i="1"/>
  <c r="PC177" i="1"/>
  <c r="PD177" i="1"/>
  <c r="PB177" i="1"/>
  <c r="PE177" i="1"/>
  <c r="PF177" i="1"/>
  <c r="PG177" i="1"/>
  <c r="PH177" i="1"/>
  <c r="PI177" i="1"/>
  <c r="PJ177" i="1"/>
  <c r="PK177" i="1"/>
  <c r="PL177" i="1"/>
  <c r="PM177" i="1"/>
  <c r="PN177" i="1"/>
  <c r="PO177" i="1"/>
  <c r="PQ177" i="1"/>
  <c r="PR177" i="1"/>
  <c r="PT177" i="1"/>
  <c r="PU177" i="1"/>
  <c r="PZ177" i="1"/>
  <c r="QA177" i="1"/>
  <c r="QB177" i="1"/>
  <c r="QC177" i="1"/>
  <c r="QD177" i="1"/>
  <c r="QE177" i="1"/>
  <c r="QF177" i="1"/>
  <c r="QG177" i="1"/>
  <c r="QH177" i="1"/>
  <c r="QI177" i="1"/>
  <c r="QJ177" i="1"/>
  <c r="QK177" i="1"/>
  <c r="QL177" i="1"/>
  <c r="QM177" i="1"/>
  <c r="QN177" i="1"/>
  <c r="QO177" i="1"/>
  <c r="QP177" i="1"/>
  <c r="QQ177" i="1"/>
  <c r="QR177" i="1"/>
  <c r="QS177" i="1"/>
  <c r="QT177" i="1"/>
  <c r="QU177" i="1"/>
  <c r="QV177" i="1"/>
  <c r="QW177" i="1"/>
  <c r="QX177" i="1"/>
  <c r="I199" i="1"/>
  <c r="J199" i="1"/>
  <c r="K199" i="1"/>
  <c r="MM199" i="1"/>
  <c r="MN199" i="1"/>
  <c r="MO199" i="1"/>
  <c r="MP199" i="1"/>
  <c r="MQ199" i="1"/>
  <c r="MR199" i="1"/>
  <c r="MS199" i="1"/>
  <c r="MT199" i="1"/>
  <c r="MW199" i="1"/>
  <c r="MX199" i="1"/>
  <c r="MY199" i="1"/>
  <c r="MZ199" i="1"/>
  <c r="NA199" i="1"/>
  <c r="NB199" i="1"/>
  <c r="NE199" i="1"/>
  <c r="NF199" i="1"/>
  <c r="NC199" i="1"/>
  <c r="ND199" i="1"/>
  <c r="NG199" i="1"/>
  <c r="NH199" i="1"/>
  <c r="NI199" i="1"/>
  <c r="NJ199" i="1"/>
  <c r="NK199" i="1"/>
  <c r="NL199" i="1"/>
  <c r="NM199" i="1"/>
  <c r="NN199" i="1"/>
  <c r="NO199" i="1"/>
  <c r="NP199" i="1"/>
  <c r="NQ199" i="1"/>
  <c r="NR199" i="1"/>
  <c r="NS199" i="1"/>
  <c r="NT199" i="1"/>
  <c r="NU199" i="1"/>
  <c r="NV199" i="1"/>
  <c r="NW199" i="1"/>
  <c r="NX199" i="1"/>
  <c r="NY199" i="1"/>
  <c r="NZ199" i="1"/>
  <c r="OA199" i="1"/>
  <c r="OB199" i="1"/>
  <c r="OC199" i="1"/>
  <c r="OD199" i="1"/>
  <c r="OE199" i="1"/>
  <c r="OF199" i="1"/>
  <c r="OG199" i="1"/>
  <c r="OH199" i="1"/>
  <c r="OI199" i="1"/>
  <c r="OJ199" i="1"/>
  <c r="OM199" i="1"/>
  <c r="ON199" i="1"/>
  <c r="OO199" i="1"/>
  <c r="OP199" i="1"/>
  <c r="OQ199" i="1"/>
  <c r="OR199" i="1"/>
  <c r="OS199" i="1"/>
  <c r="OT199" i="1"/>
  <c r="OU199" i="1"/>
  <c r="OV199" i="1"/>
  <c r="OW199" i="1"/>
  <c r="OX199" i="1"/>
  <c r="OY199" i="1"/>
  <c r="PA199" i="1"/>
  <c r="PC199" i="1"/>
  <c r="PD199" i="1"/>
  <c r="PB199" i="1"/>
  <c r="BH198" i="148" s="1"/>
  <c r="PE199" i="1"/>
  <c r="PF199" i="1"/>
  <c r="PG199" i="1"/>
  <c r="PH199" i="1"/>
  <c r="PI199" i="1"/>
  <c r="PJ199" i="1"/>
  <c r="PK199" i="1"/>
  <c r="PL199" i="1"/>
  <c r="PM199" i="1"/>
  <c r="PN199" i="1"/>
  <c r="PO199" i="1"/>
  <c r="PQ199" i="1"/>
  <c r="PR199" i="1"/>
  <c r="PT199" i="1"/>
  <c r="PU199" i="1"/>
  <c r="PZ199" i="1"/>
  <c r="QA199" i="1"/>
  <c r="QB199" i="1"/>
  <c r="QC199" i="1"/>
  <c r="QD199" i="1"/>
  <c r="QE199" i="1"/>
  <c r="QF199" i="1"/>
  <c r="QG199" i="1"/>
  <c r="QH199" i="1"/>
  <c r="QI199" i="1"/>
  <c r="QJ199" i="1"/>
  <c r="QK199" i="1"/>
  <c r="QL199" i="1"/>
  <c r="QM199" i="1"/>
  <c r="QN199" i="1"/>
  <c r="QO199" i="1"/>
  <c r="QP199" i="1"/>
  <c r="QQ199" i="1"/>
  <c r="QR199" i="1"/>
  <c r="QS199" i="1"/>
  <c r="QT199" i="1"/>
  <c r="QU199" i="1"/>
  <c r="QV199" i="1"/>
  <c r="QW199" i="1"/>
  <c r="QX199" i="1"/>
  <c r="I106" i="1"/>
  <c r="J106" i="1"/>
  <c r="K106" i="1"/>
  <c r="MM106" i="1"/>
  <c r="MN106" i="1"/>
  <c r="MO106" i="1"/>
  <c r="MP106" i="1"/>
  <c r="MQ106" i="1"/>
  <c r="MR106" i="1"/>
  <c r="MS106" i="1"/>
  <c r="MT106" i="1"/>
  <c r="MW106" i="1"/>
  <c r="MX106" i="1"/>
  <c r="MY106" i="1"/>
  <c r="MZ106" i="1"/>
  <c r="NA106" i="1"/>
  <c r="NB106" i="1"/>
  <c r="NE106" i="1"/>
  <c r="NF106" i="1"/>
  <c r="NC106" i="1"/>
  <c r="ND106" i="1"/>
  <c r="NG106" i="1"/>
  <c r="NH106" i="1"/>
  <c r="NI106" i="1"/>
  <c r="NJ106" i="1"/>
  <c r="NK106" i="1"/>
  <c r="NL106" i="1"/>
  <c r="NM106" i="1"/>
  <c r="NN106" i="1"/>
  <c r="NO106" i="1"/>
  <c r="NP106" i="1"/>
  <c r="NQ106" i="1"/>
  <c r="NR106" i="1"/>
  <c r="NS106" i="1"/>
  <c r="NT106" i="1"/>
  <c r="NU106" i="1"/>
  <c r="NV106" i="1"/>
  <c r="NW106" i="1"/>
  <c r="NX106" i="1"/>
  <c r="NY106" i="1"/>
  <c r="NZ106" i="1"/>
  <c r="OA106" i="1"/>
  <c r="OB106" i="1"/>
  <c r="OC106" i="1"/>
  <c r="OD106" i="1"/>
  <c r="OE106" i="1"/>
  <c r="OF106" i="1"/>
  <c r="OG106" i="1"/>
  <c r="OH106" i="1"/>
  <c r="OI106" i="1"/>
  <c r="OJ106" i="1"/>
  <c r="OM106" i="1"/>
  <c r="ON106" i="1"/>
  <c r="OO106" i="1"/>
  <c r="OP106" i="1"/>
  <c r="OQ106" i="1"/>
  <c r="OR106" i="1"/>
  <c r="OS106" i="1"/>
  <c r="OT106" i="1"/>
  <c r="OU106" i="1"/>
  <c r="OV106" i="1"/>
  <c r="OW106" i="1"/>
  <c r="OX106" i="1"/>
  <c r="OY106" i="1"/>
  <c r="PA106" i="1"/>
  <c r="PC106" i="1"/>
  <c r="PD106" i="1"/>
  <c r="PB106" i="1"/>
  <c r="BH114" i="148" s="1"/>
  <c r="PE106" i="1"/>
  <c r="PF106" i="1"/>
  <c r="PG106" i="1"/>
  <c r="PH106" i="1"/>
  <c r="PI106" i="1"/>
  <c r="PJ106" i="1"/>
  <c r="PK106" i="1"/>
  <c r="PL106" i="1"/>
  <c r="PM106" i="1"/>
  <c r="PN106" i="1"/>
  <c r="PO106" i="1"/>
  <c r="PQ106" i="1"/>
  <c r="PR106" i="1"/>
  <c r="PT106" i="1"/>
  <c r="PU106" i="1"/>
  <c r="PZ106" i="1"/>
  <c r="QA106" i="1"/>
  <c r="QB106" i="1"/>
  <c r="QC106" i="1"/>
  <c r="QD106" i="1"/>
  <c r="QE106" i="1"/>
  <c r="QF106" i="1"/>
  <c r="QG106" i="1"/>
  <c r="QH106" i="1"/>
  <c r="QI106" i="1"/>
  <c r="QJ106" i="1"/>
  <c r="QK106" i="1"/>
  <c r="QL106" i="1"/>
  <c r="QM106" i="1"/>
  <c r="QN106" i="1"/>
  <c r="QO106" i="1"/>
  <c r="QP106" i="1"/>
  <c r="QQ106" i="1"/>
  <c r="QR106" i="1"/>
  <c r="QS106" i="1"/>
  <c r="QT106" i="1"/>
  <c r="QU106" i="1"/>
  <c r="QV106" i="1"/>
  <c r="QW106" i="1"/>
  <c r="QX106" i="1"/>
  <c r="I203" i="1"/>
  <c r="J203" i="1"/>
  <c r="K203" i="1"/>
  <c r="MM203" i="1"/>
  <c r="MN203" i="1"/>
  <c r="MO203" i="1"/>
  <c r="MP203" i="1"/>
  <c r="MQ203" i="1"/>
  <c r="MR203" i="1"/>
  <c r="MS203" i="1"/>
  <c r="MT203" i="1"/>
  <c r="MW203" i="1"/>
  <c r="MX203" i="1"/>
  <c r="MY203" i="1"/>
  <c r="MZ203" i="1"/>
  <c r="NA203" i="1"/>
  <c r="NB203" i="1"/>
  <c r="NE203" i="1"/>
  <c r="NF203" i="1"/>
  <c r="NC203" i="1"/>
  <c r="ND203" i="1"/>
  <c r="NG203" i="1"/>
  <c r="NH203" i="1"/>
  <c r="NI203" i="1"/>
  <c r="NJ203" i="1"/>
  <c r="NK203" i="1"/>
  <c r="NL203" i="1"/>
  <c r="NM203" i="1"/>
  <c r="NN203" i="1"/>
  <c r="NO203" i="1"/>
  <c r="NP203" i="1"/>
  <c r="NQ203" i="1"/>
  <c r="NR203" i="1"/>
  <c r="NS203" i="1"/>
  <c r="NT203" i="1"/>
  <c r="NU203" i="1"/>
  <c r="NV203" i="1"/>
  <c r="NW203" i="1"/>
  <c r="NX203" i="1"/>
  <c r="NY203" i="1"/>
  <c r="NZ203" i="1"/>
  <c r="OA203" i="1"/>
  <c r="OB203" i="1"/>
  <c r="OC203" i="1"/>
  <c r="OD203" i="1"/>
  <c r="OE203" i="1"/>
  <c r="OF203" i="1"/>
  <c r="OG203" i="1"/>
  <c r="OH203" i="1"/>
  <c r="OI203" i="1"/>
  <c r="OJ203" i="1"/>
  <c r="OM203" i="1"/>
  <c r="ON203" i="1"/>
  <c r="OO203" i="1"/>
  <c r="OP203" i="1"/>
  <c r="OQ203" i="1"/>
  <c r="OR203" i="1"/>
  <c r="OS203" i="1"/>
  <c r="OT203" i="1"/>
  <c r="OU203" i="1"/>
  <c r="OV203" i="1"/>
  <c r="OW203" i="1"/>
  <c r="OX203" i="1"/>
  <c r="OY203" i="1"/>
  <c r="PA203" i="1"/>
  <c r="PC203" i="1"/>
  <c r="PD203" i="1"/>
  <c r="PB203" i="1"/>
  <c r="PE203" i="1"/>
  <c r="PF203" i="1"/>
  <c r="PG203" i="1"/>
  <c r="PH203" i="1"/>
  <c r="PI203" i="1"/>
  <c r="PJ203" i="1"/>
  <c r="PK203" i="1"/>
  <c r="PL203" i="1"/>
  <c r="PM203" i="1"/>
  <c r="PN203" i="1"/>
  <c r="PO203" i="1"/>
  <c r="PQ203" i="1"/>
  <c r="PR203" i="1"/>
  <c r="PT203" i="1"/>
  <c r="PU203" i="1"/>
  <c r="PZ203" i="1"/>
  <c r="QA203" i="1"/>
  <c r="QB203" i="1"/>
  <c r="QC203" i="1"/>
  <c r="QD203" i="1"/>
  <c r="QE203" i="1"/>
  <c r="QF203" i="1"/>
  <c r="QG203" i="1"/>
  <c r="QH203" i="1"/>
  <c r="QI203" i="1"/>
  <c r="QJ203" i="1"/>
  <c r="QK203" i="1"/>
  <c r="QL203" i="1"/>
  <c r="QM203" i="1"/>
  <c r="QN203" i="1"/>
  <c r="QO203" i="1"/>
  <c r="QP203" i="1"/>
  <c r="QQ203" i="1"/>
  <c r="QR203" i="1"/>
  <c r="QS203" i="1"/>
  <c r="QT203" i="1"/>
  <c r="QU203" i="1"/>
  <c r="QV203" i="1"/>
  <c r="QW203" i="1"/>
  <c r="QX203" i="1"/>
  <c r="I124" i="1"/>
  <c r="J124" i="1"/>
  <c r="K124" i="1"/>
  <c r="MM124" i="1"/>
  <c r="MN124" i="1"/>
  <c r="MO124" i="1"/>
  <c r="MP124" i="1"/>
  <c r="MQ124" i="1"/>
  <c r="MR124" i="1"/>
  <c r="MS124" i="1"/>
  <c r="MT124" i="1"/>
  <c r="MW124" i="1"/>
  <c r="MX124" i="1"/>
  <c r="MY124" i="1"/>
  <c r="MZ124" i="1"/>
  <c r="NA124" i="1"/>
  <c r="NB124" i="1"/>
  <c r="NE124" i="1"/>
  <c r="NF124" i="1"/>
  <c r="NC124" i="1"/>
  <c r="ND124" i="1"/>
  <c r="NG124" i="1"/>
  <c r="NH124" i="1"/>
  <c r="NI124" i="1"/>
  <c r="NJ124" i="1"/>
  <c r="NK124" i="1"/>
  <c r="NL124" i="1"/>
  <c r="NM124" i="1"/>
  <c r="NN124" i="1"/>
  <c r="NO124" i="1"/>
  <c r="NP124" i="1"/>
  <c r="NQ124" i="1"/>
  <c r="NR124" i="1"/>
  <c r="NS124" i="1"/>
  <c r="NT124" i="1"/>
  <c r="NU124" i="1"/>
  <c r="NV124" i="1"/>
  <c r="NW124" i="1"/>
  <c r="NX124" i="1"/>
  <c r="NY124" i="1"/>
  <c r="NZ124" i="1"/>
  <c r="OA124" i="1"/>
  <c r="OB124" i="1"/>
  <c r="OC124" i="1"/>
  <c r="OD124" i="1"/>
  <c r="OE124" i="1"/>
  <c r="OF124" i="1"/>
  <c r="OG124" i="1"/>
  <c r="OH124" i="1"/>
  <c r="OI124" i="1"/>
  <c r="OJ124" i="1"/>
  <c r="OM124" i="1"/>
  <c r="ON124" i="1"/>
  <c r="OO124" i="1"/>
  <c r="OP124" i="1"/>
  <c r="OQ124" i="1"/>
  <c r="OR124" i="1"/>
  <c r="OS124" i="1"/>
  <c r="OT124" i="1"/>
  <c r="OU124" i="1"/>
  <c r="OV124" i="1"/>
  <c r="OW124" i="1"/>
  <c r="OX124" i="1"/>
  <c r="OY124" i="1"/>
  <c r="PA124" i="1"/>
  <c r="PC124" i="1"/>
  <c r="PD124" i="1"/>
  <c r="PB124" i="1"/>
  <c r="BH132" i="148" s="1"/>
  <c r="PE124" i="1"/>
  <c r="PF124" i="1"/>
  <c r="PG124" i="1"/>
  <c r="PH124" i="1"/>
  <c r="PI124" i="1"/>
  <c r="PJ124" i="1"/>
  <c r="PK124" i="1"/>
  <c r="PL124" i="1"/>
  <c r="PM124" i="1"/>
  <c r="PN124" i="1"/>
  <c r="PO124" i="1"/>
  <c r="PQ124" i="1"/>
  <c r="PR124" i="1"/>
  <c r="PT124" i="1"/>
  <c r="PU124" i="1"/>
  <c r="PZ124" i="1"/>
  <c r="QA124" i="1"/>
  <c r="QB124" i="1"/>
  <c r="QC124" i="1"/>
  <c r="QD124" i="1"/>
  <c r="QE124" i="1"/>
  <c r="QF124" i="1"/>
  <c r="QG124" i="1"/>
  <c r="QH124" i="1"/>
  <c r="QI124" i="1"/>
  <c r="QJ124" i="1"/>
  <c r="QK124" i="1"/>
  <c r="QL124" i="1"/>
  <c r="QM124" i="1"/>
  <c r="QN124" i="1"/>
  <c r="QO124" i="1"/>
  <c r="QP124" i="1"/>
  <c r="QQ124" i="1"/>
  <c r="QR124" i="1"/>
  <c r="QS124" i="1"/>
  <c r="QT124" i="1"/>
  <c r="QU124" i="1"/>
  <c r="QV124" i="1"/>
  <c r="QW124" i="1"/>
  <c r="QX124" i="1"/>
  <c r="I170" i="1"/>
  <c r="J170" i="1"/>
  <c r="K170" i="1"/>
  <c r="MM170" i="1"/>
  <c r="MN170" i="1"/>
  <c r="MO170" i="1"/>
  <c r="MP170" i="1"/>
  <c r="MQ170" i="1"/>
  <c r="MR170" i="1"/>
  <c r="MS170" i="1"/>
  <c r="MT170" i="1"/>
  <c r="MW170" i="1"/>
  <c r="MX170" i="1"/>
  <c r="MY170" i="1"/>
  <c r="MZ170" i="1"/>
  <c r="NA170" i="1"/>
  <c r="NB170" i="1"/>
  <c r="NE170" i="1"/>
  <c r="NF170" i="1"/>
  <c r="NC170" i="1"/>
  <c r="ND170" i="1"/>
  <c r="NG170" i="1"/>
  <c r="NH170" i="1"/>
  <c r="NI170" i="1"/>
  <c r="NJ170" i="1"/>
  <c r="NK170" i="1"/>
  <c r="NL170" i="1"/>
  <c r="NM170" i="1"/>
  <c r="NN170" i="1"/>
  <c r="NO170" i="1"/>
  <c r="NP170" i="1"/>
  <c r="NQ170" i="1"/>
  <c r="NR170" i="1"/>
  <c r="NS170" i="1"/>
  <c r="NT170" i="1"/>
  <c r="NU170" i="1"/>
  <c r="NV170" i="1"/>
  <c r="NW170" i="1"/>
  <c r="NX170" i="1"/>
  <c r="NY170" i="1"/>
  <c r="NZ170" i="1"/>
  <c r="OA170" i="1"/>
  <c r="OB170" i="1"/>
  <c r="OC170" i="1"/>
  <c r="OD170" i="1"/>
  <c r="OE170" i="1"/>
  <c r="OF170" i="1"/>
  <c r="OG170" i="1"/>
  <c r="OH170" i="1"/>
  <c r="OI170" i="1"/>
  <c r="OJ170" i="1"/>
  <c r="OM170" i="1"/>
  <c r="ON170" i="1"/>
  <c r="OO170" i="1"/>
  <c r="OP170" i="1"/>
  <c r="OQ170" i="1"/>
  <c r="OR170" i="1"/>
  <c r="OS170" i="1"/>
  <c r="OT170" i="1"/>
  <c r="OU170" i="1"/>
  <c r="OV170" i="1"/>
  <c r="OW170" i="1"/>
  <c r="OX170" i="1"/>
  <c r="OY170" i="1"/>
  <c r="PA170" i="1"/>
  <c r="PC170" i="1"/>
  <c r="PD170" i="1"/>
  <c r="PB170" i="1"/>
  <c r="PE170" i="1"/>
  <c r="PF170" i="1"/>
  <c r="PG170" i="1"/>
  <c r="PH170" i="1"/>
  <c r="PI170" i="1"/>
  <c r="PJ170" i="1"/>
  <c r="PK170" i="1"/>
  <c r="PL170" i="1"/>
  <c r="PM170" i="1"/>
  <c r="PN170" i="1"/>
  <c r="PO170" i="1"/>
  <c r="PQ170" i="1"/>
  <c r="PR170" i="1"/>
  <c r="PT170" i="1"/>
  <c r="PU170" i="1"/>
  <c r="PZ170" i="1"/>
  <c r="QA170" i="1"/>
  <c r="QB170" i="1"/>
  <c r="QC170" i="1"/>
  <c r="QD170" i="1"/>
  <c r="QE170" i="1"/>
  <c r="QF170" i="1"/>
  <c r="QG170" i="1"/>
  <c r="QH170" i="1"/>
  <c r="QI170" i="1"/>
  <c r="QJ170" i="1"/>
  <c r="QK170" i="1"/>
  <c r="QL170" i="1"/>
  <c r="QM170" i="1"/>
  <c r="QN170" i="1"/>
  <c r="QO170" i="1"/>
  <c r="QP170" i="1"/>
  <c r="QQ170" i="1"/>
  <c r="QR170" i="1"/>
  <c r="QS170" i="1"/>
  <c r="QT170" i="1"/>
  <c r="QU170" i="1"/>
  <c r="QV170" i="1"/>
  <c r="QW170" i="1"/>
  <c r="QX170" i="1"/>
  <c r="I152" i="1"/>
  <c r="J152" i="1"/>
  <c r="K152" i="1"/>
  <c r="MM152" i="1"/>
  <c r="MN152" i="1"/>
  <c r="MO152" i="1"/>
  <c r="MP152" i="1"/>
  <c r="MQ152" i="1"/>
  <c r="MR152" i="1"/>
  <c r="MS152" i="1"/>
  <c r="MT152" i="1"/>
  <c r="MW152" i="1"/>
  <c r="MX152" i="1"/>
  <c r="MY152" i="1"/>
  <c r="MZ152" i="1"/>
  <c r="NA152" i="1"/>
  <c r="NB152" i="1"/>
  <c r="NE152" i="1"/>
  <c r="NF152" i="1"/>
  <c r="NC152" i="1"/>
  <c r="ND152" i="1"/>
  <c r="NG152" i="1"/>
  <c r="NH152" i="1"/>
  <c r="NI152" i="1"/>
  <c r="NJ152" i="1"/>
  <c r="NK152" i="1"/>
  <c r="NL152" i="1"/>
  <c r="NM152" i="1"/>
  <c r="NN152" i="1"/>
  <c r="NO152" i="1"/>
  <c r="NP152" i="1"/>
  <c r="NQ152" i="1"/>
  <c r="NR152" i="1"/>
  <c r="NS152" i="1"/>
  <c r="NT152" i="1"/>
  <c r="NU152" i="1"/>
  <c r="NV152" i="1"/>
  <c r="NW152" i="1"/>
  <c r="NX152" i="1"/>
  <c r="NY152" i="1"/>
  <c r="NZ152" i="1"/>
  <c r="OA152" i="1"/>
  <c r="OB152" i="1"/>
  <c r="OC152" i="1"/>
  <c r="OD152" i="1"/>
  <c r="OE152" i="1"/>
  <c r="OF152" i="1"/>
  <c r="OG152" i="1"/>
  <c r="OH152" i="1"/>
  <c r="OI152" i="1"/>
  <c r="OJ152" i="1"/>
  <c r="OM152" i="1"/>
  <c r="ON152" i="1"/>
  <c r="OO152" i="1"/>
  <c r="OP152" i="1"/>
  <c r="OQ152" i="1"/>
  <c r="OR152" i="1"/>
  <c r="OS152" i="1"/>
  <c r="OT152" i="1"/>
  <c r="OU152" i="1"/>
  <c r="OV152" i="1"/>
  <c r="OW152" i="1"/>
  <c r="OX152" i="1"/>
  <c r="OY152" i="1"/>
  <c r="PA152" i="1"/>
  <c r="PC152" i="1"/>
  <c r="PD152" i="1"/>
  <c r="PB152" i="1"/>
  <c r="PE152" i="1"/>
  <c r="PF152" i="1"/>
  <c r="PG152" i="1"/>
  <c r="PH152" i="1"/>
  <c r="PI152" i="1"/>
  <c r="PJ152" i="1"/>
  <c r="PK152" i="1"/>
  <c r="PL152" i="1"/>
  <c r="PM152" i="1"/>
  <c r="PN152" i="1"/>
  <c r="PO152" i="1"/>
  <c r="PQ152" i="1"/>
  <c r="PR152" i="1"/>
  <c r="PT152" i="1"/>
  <c r="PU152" i="1"/>
  <c r="PZ152" i="1"/>
  <c r="QA152" i="1"/>
  <c r="QB152" i="1"/>
  <c r="QC152" i="1"/>
  <c r="QD152" i="1"/>
  <c r="QE152" i="1"/>
  <c r="QF152" i="1"/>
  <c r="QG152" i="1"/>
  <c r="QH152" i="1"/>
  <c r="QI152" i="1"/>
  <c r="QJ152" i="1"/>
  <c r="QK152" i="1"/>
  <c r="QL152" i="1"/>
  <c r="QM152" i="1"/>
  <c r="QN152" i="1"/>
  <c r="QO152" i="1"/>
  <c r="QP152" i="1"/>
  <c r="QQ152" i="1"/>
  <c r="QR152" i="1"/>
  <c r="QS152" i="1"/>
  <c r="QT152" i="1"/>
  <c r="QU152" i="1"/>
  <c r="QV152" i="1"/>
  <c r="QW152" i="1"/>
  <c r="QX152" i="1"/>
  <c r="I127" i="1"/>
  <c r="J127" i="1"/>
  <c r="K127" i="1"/>
  <c r="MM127" i="1"/>
  <c r="MN127" i="1"/>
  <c r="MO127" i="1"/>
  <c r="MP127" i="1"/>
  <c r="MQ127" i="1"/>
  <c r="MR127" i="1"/>
  <c r="MS127" i="1"/>
  <c r="MT127" i="1"/>
  <c r="MW127" i="1"/>
  <c r="MX127" i="1"/>
  <c r="MY127" i="1"/>
  <c r="MZ127" i="1"/>
  <c r="NA127" i="1"/>
  <c r="NB127" i="1"/>
  <c r="NE127" i="1"/>
  <c r="NF127" i="1"/>
  <c r="NC127" i="1"/>
  <c r="ND127" i="1"/>
  <c r="NG127" i="1"/>
  <c r="NH127" i="1"/>
  <c r="NI127" i="1"/>
  <c r="NJ127" i="1"/>
  <c r="NK127" i="1"/>
  <c r="NL127" i="1"/>
  <c r="NM127" i="1"/>
  <c r="NN127" i="1"/>
  <c r="NO127" i="1"/>
  <c r="NP127" i="1"/>
  <c r="NQ127" i="1"/>
  <c r="NR127" i="1"/>
  <c r="NS127" i="1"/>
  <c r="NT127" i="1"/>
  <c r="NU127" i="1"/>
  <c r="NV127" i="1"/>
  <c r="NW127" i="1"/>
  <c r="NX127" i="1"/>
  <c r="NY127" i="1"/>
  <c r="NZ127" i="1"/>
  <c r="OA127" i="1"/>
  <c r="OB127" i="1"/>
  <c r="OC127" i="1"/>
  <c r="OD127" i="1"/>
  <c r="OE127" i="1"/>
  <c r="OF127" i="1"/>
  <c r="OG127" i="1"/>
  <c r="OH127" i="1"/>
  <c r="OI127" i="1"/>
  <c r="OJ127" i="1"/>
  <c r="OM127" i="1"/>
  <c r="ON127" i="1"/>
  <c r="OO127" i="1"/>
  <c r="OP127" i="1"/>
  <c r="OQ127" i="1"/>
  <c r="OR127" i="1"/>
  <c r="OS127" i="1"/>
  <c r="OT127" i="1"/>
  <c r="OU127" i="1"/>
  <c r="OV127" i="1"/>
  <c r="OW127" i="1"/>
  <c r="OX127" i="1"/>
  <c r="OY127" i="1"/>
  <c r="PA127" i="1"/>
  <c r="PC127" i="1"/>
  <c r="PD127" i="1"/>
  <c r="PB127" i="1"/>
  <c r="PE127" i="1"/>
  <c r="PF127" i="1"/>
  <c r="PG127" i="1"/>
  <c r="PH127" i="1"/>
  <c r="PI127" i="1"/>
  <c r="PJ127" i="1"/>
  <c r="PK127" i="1"/>
  <c r="PL127" i="1"/>
  <c r="PM127" i="1"/>
  <c r="PN127" i="1"/>
  <c r="PO127" i="1"/>
  <c r="PQ127" i="1"/>
  <c r="PR127" i="1"/>
  <c r="PT127" i="1"/>
  <c r="PU127" i="1"/>
  <c r="PZ127" i="1"/>
  <c r="QA127" i="1"/>
  <c r="QB127" i="1"/>
  <c r="QC127" i="1"/>
  <c r="QD127" i="1"/>
  <c r="QE127" i="1"/>
  <c r="QF127" i="1"/>
  <c r="QG127" i="1"/>
  <c r="QH127" i="1"/>
  <c r="QI127" i="1"/>
  <c r="QJ127" i="1"/>
  <c r="QK127" i="1"/>
  <c r="QL127" i="1"/>
  <c r="QM127" i="1"/>
  <c r="QN127" i="1"/>
  <c r="QO127" i="1"/>
  <c r="QP127" i="1"/>
  <c r="QQ127" i="1"/>
  <c r="QR127" i="1"/>
  <c r="QS127" i="1"/>
  <c r="QT127" i="1"/>
  <c r="QU127" i="1"/>
  <c r="QV127" i="1"/>
  <c r="QW127" i="1"/>
  <c r="QX127" i="1"/>
  <c r="I118" i="1"/>
  <c r="J118" i="1"/>
  <c r="K118" i="1"/>
  <c r="MM118" i="1"/>
  <c r="MN118" i="1"/>
  <c r="MO118" i="1"/>
  <c r="MP118" i="1"/>
  <c r="MQ118" i="1"/>
  <c r="MR118" i="1"/>
  <c r="MS118" i="1"/>
  <c r="MT118" i="1"/>
  <c r="MW118" i="1"/>
  <c r="MX118" i="1"/>
  <c r="MY118" i="1"/>
  <c r="MZ118" i="1"/>
  <c r="NA118" i="1"/>
  <c r="NB118" i="1"/>
  <c r="NE118" i="1"/>
  <c r="NF118" i="1"/>
  <c r="NC118" i="1"/>
  <c r="ND118" i="1"/>
  <c r="NG118" i="1"/>
  <c r="NH118" i="1"/>
  <c r="NI118" i="1"/>
  <c r="NJ118" i="1"/>
  <c r="NK118" i="1"/>
  <c r="NL118" i="1"/>
  <c r="NM118" i="1"/>
  <c r="NN118" i="1"/>
  <c r="NO118" i="1"/>
  <c r="NP118" i="1"/>
  <c r="NQ118" i="1"/>
  <c r="NR118" i="1"/>
  <c r="NS118" i="1"/>
  <c r="NT118" i="1"/>
  <c r="NU118" i="1"/>
  <c r="NV118" i="1"/>
  <c r="NW118" i="1"/>
  <c r="NX118" i="1"/>
  <c r="NY118" i="1"/>
  <c r="NZ118" i="1"/>
  <c r="OA118" i="1"/>
  <c r="OB118" i="1"/>
  <c r="OC118" i="1"/>
  <c r="OD118" i="1"/>
  <c r="OE118" i="1"/>
  <c r="OF118" i="1"/>
  <c r="OG118" i="1"/>
  <c r="OH118" i="1"/>
  <c r="OI118" i="1"/>
  <c r="OJ118" i="1"/>
  <c r="OM118" i="1"/>
  <c r="ON118" i="1"/>
  <c r="OO118" i="1"/>
  <c r="OP118" i="1"/>
  <c r="OQ118" i="1"/>
  <c r="OR118" i="1"/>
  <c r="OS118" i="1"/>
  <c r="OT118" i="1"/>
  <c r="OU118" i="1"/>
  <c r="OV118" i="1"/>
  <c r="OW118" i="1"/>
  <c r="OX118" i="1"/>
  <c r="OY118" i="1"/>
  <c r="PA118" i="1"/>
  <c r="PC118" i="1"/>
  <c r="PD118" i="1"/>
  <c r="PB118" i="1"/>
  <c r="BH131" i="148" s="1"/>
  <c r="PE118" i="1"/>
  <c r="PF118" i="1"/>
  <c r="PG118" i="1"/>
  <c r="PH118" i="1"/>
  <c r="PI118" i="1"/>
  <c r="PJ118" i="1"/>
  <c r="PK118" i="1"/>
  <c r="PL118" i="1"/>
  <c r="PM118" i="1"/>
  <c r="PN118" i="1"/>
  <c r="PO118" i="1"/>
  <c r="PQ118" i="1"/>
  <c r="PR118" i="1"/>
  <c r="PT118" i="1"/>
  <c r="PU118" i="1"/>
  <c r="PZ118" i="1"/>
  <c r="QA118" i="1"/>
  <c r="QB118" i="1"/>
  <c r="QC118" i="1"/>
  <c r="QD118" i="1"/>
  <c r="QE118" i="1"/>
  <c r="QF118" i="1"/>
  <c r="QG118" i="1"/>
  <c r="QH118" i="1"/>
  <c r="QI118" i="1"/>
  <c r="QJ118" i="1"/>
  <c r="QK118" i="1"/>
  <c r="QL118" i="1"/>
  <c r="QM118" i="1"/>
  <c r="QN118" i="1"/>
  <c r="QO118" i="1"/>
  <c r="QP118" i="1"/>
  <c r="QQ118" i="1"/>
  <c r="QR118" i="1"/>
  <c r="QS118" i="1"/>
  <c r="QT118" i="1"/>
  <c r="QU118" i="1"/>
  <c r="QV118" i="1"/>
  <c r="QW118" i="1"/>
  <c r="QX118" i="1"/>
  <c r="I198" i="1"/>
  <c r="J198" i="1"/>
  <c r="K198" i="1"/>
  <c r="MM198" i="1"/>
  <c r="MN198" i="1"/>
  <c r="MO198" i="1"/>
  <c r="MP198" i="1"/>
  <c r="MQ198" i="1"/>
  <c r="MR198" i="1"/>
  <c r="MS198" i="1"/>
  <c r="MT198" i="1"/>
  <c r="MW198" i="1"/>
  <c r="MX198" i="1"/>
  <c r="MY198" i="1"/>
  <c r="MZ198" i="1"/>
  <c r="NA198" i="1"/>
  <c r="NB198" i="1"/>
  <c r="NE198" i="1"/>
  <c r="NF198" i="1"/>
  <c r="NC198" i="1"/>
  <c r="ND198" i="1"/>
  <c r="NG198" i="1"/>
  <c r="NH198" i="1"/>
  <c r="NI198" i="1"/>
  <c r="NJ198" i="1"/>
  <c r="NK198" i="1"/>
  <c r="NL198" i="1"/>
  <c r="NM198" i="1"/>
  <c r="NN198" i="1"/>
  <c r="NO198" i="1"/>
  <c r="NP198" i="1"/>
  <c r="NQ198" i="1"/>
  <c r="NR198" i="1"/>
  <c r="NS198" i="1"/>
  <c r="NT198" i="1"/>
  <c r="NU198" i="1"/>
  <c r="NV198" i="1"/>
  <c r="NW198" i="1"/>
  <c r="NX198" i="1"/>
  <c r="NY198" i="1"/>
  <c r="NZ198" i="1"/>
  <c r="OA198" i="1"/>
  <c r="OB198" i="1"/>
  <c r="OC198" i="1"/>
  <c r="OD198" i="1"/>
  <c r="OE198" i="1"/>
  <c r="OF198" i="1"/>
  <c r="OG198" i="1"/>
  <c r="OH198" i="1"/>
  <c r="OI198" i="1"/>
  <c r="OJ198" i="1"/>
  <c r="OM198" i="1"/>
  <c r="ON198" i="1"/>
  <c r="OO198" i="1"/>
  <c r="OP198" i="1"/>
  <c r="OQ198" i="1"/>
  <c r="OR198" i="1"/>
  <c r="OS198" i="1"/>
  <c r="OT198" i="1"/>
  <c r="OU198" i="1"/>
  <c r="OV198" i="1"/>
  <c r="OW198" i="1"/>
  <c r="OX198" i="1"/>
  <c r="OY198" i="1"/>
  <c r="PA198" i="1"/>
  <c r="PC198" i="1"/>
  <c r="PD198" i="1"/>
  <c r="PB198" i="1"/>
  <c r="PE198" i="1"/>
  <c r="PF198" i="1"/>
  <c r="PG198" i="1"/>
  <c r="PH198" i="1"/>
  <c r="PI198" i="1"/>
  <c r="PJ198" i="1"/>
  <c r="PK198" i="1"/>
  <c r="PL198" i="1"/>
  <c r="PM198" i="1"/>
  <c r="PN198" i="1"/>
  <c r="PO198" i="1"/>
  <c r="PQ198" i="1"/>
  <c r="PR198" i="1"/>
  <c r="PT198" i="1"/>
  <c r="PU198" i="1"/>
  <c r="PZ198" i="1"/>
  <c r="QA198" i="1"/>
  <c r="QB198" i="1"/>
  <c r="QC198" i="1"/>
  <c r="QD198" i="1"/>
  <c r="QE198" i="1"/>
  <c r="QF198" i="1"/>
  <c r="QG198" i="1"/>
  <c r="QH198" i="1"/>
  <c r="QI198" i="1"/>
  <c r="QJ198" i="1"/>
  <c r="QK198" i="1"/>
  <c r="QL198" i="1"/>
  <c r="QM198" i="1"/>
  <c r="QN198" i="1"/>
  <c r="QO198" i="1"/>
  <c r="QP198" i="1"/>
  <c r="QQ198" i="1"/>
  <c r="QR198" i="1"/>
  <c r="QS198" i="1"/>
  <c r="QT198" i="1"/>
  <c r="QU198" i="1"/>
  <c r="QV198" i="1"/>
  <c r="QW198" i="1"/>
  <c r="QX198" i="1"/>
  <c r="I156" i="1"/>
  <c r="J156" i="1"/>
  <c r="K156" i="1"/>
  <c r="MM156" i="1"/>
  <c r="MN156" i="1"/>
  <c r="MO156" i="1"/>
  <c r="MP156" i="1"/>
  <c r="MQ156" i="1"/>
  <c r="MR156" i="1"/>
  <c r="MS156" i="1"/>
  <c r="MT156" i="1"/>
  <c r="MW156" i="1"/>
  <c r="MX156" i="1"/>
  <c r="MY156" i="1"/>
  <c r="MZ156" i="1"/>
  <c r="NA156" i="1"/>
  <c r="NB156" i="1"/>
  <c r="NE156" i="1"/>
  <c r="NF156" i="1"/>
  <c r="NC156" i="1"/>
  <c r="ND156" i="1"/>
  <c r="NG156" i="1"/>
  <c r="NH156" i="1"/>
  <c r="NI156" i="1"/>
  <c r="NJ156" i="1"/>
  <c r="NK156" i="1"/>
  <c r="NL156" i="1"/>
  <c r="NM156" i="1"/>
  <c r="NN156" i="1"/>
  <c r="NO156" i="1"/>
  <c r="NP156" i="1"/>
  <c r="NQ156" i="1"/>
  <c r="NR156" i="1"/>
  <c r="NS156" i="1"/>
  <c r="NT156" i="1"/>
  <c r="NU156" i="1"/>
  <c r="NV156" i="1"/>
  <c r="NW156" i="1"/>
  <c r="NX156" i="1"/>
  <c r="NY156" i="1"/>
  <c r="NZ156" i="1"/>
  <c r="OA156" i="1"/>
  <c r="OB156" i="1"/>
  <c r="OC156" i="1"/>
  <c r="OD156" i="1"/>
  <c r="OE156" i="1"/>
  <c r="OF156" i="1"/>
  <c r="OG156" i="1"/>
  <c r="OH156" i="1"/>
  <c r="OI156" i="1"/>
  <c r="OJ156" i="1"/>
  <c r="OM156" i="1"/>
  <c r="ON156" i="1"/>
  <c r="OO156" i="1"/>
  <c r="OP156" i="1"/>
  <c r="OQ156" i="1"/>
  <c r="OR156" i="1"/>
  <c r="OS156" i="1"/>
  <c r="OT156" i="1"/>
  <c r="OU156" i="1"/>
  <c r="OV156" i="1"/>
  <c r="OW156" i="1"/>
  <c r="OX156" i="1"/>
  <c r="OY156" i="1"/>
  <c r="PA156" i="1"/>
  <c r="PC156" i="1"/>
  <c r="PD156" i="1"/>
  <c r="PB156" i="1"/>
  <c r="PE156" i="1"/>
  <c r="PF156" i="1"/>
  <c r="PG156" i="1"/>
  <c r="PH156" i="1"/>
  <c r="PI156" i="1"/>
  <c r="PJ156" i="1"/>
  <c r="PK156" i="1"/>
  <c r="PL156" i="1"/>
  <c r="PM156" i="1"/>
  <c r="PN156" i="1"/>
  <c r="PO156" i="1"/>
  <c r="PQ156" i="1"/>
  <c r="PR156" i="1"/>
  <c r="PT156" i="1"/>
  <c r="PU156" i="1"/>
  <c r="PZ156" i="1"/>
  <c r="QA156" i="1"/>
  <c r="QB156" i="1"/>
  <c r="QC156" i="1"/>
  <c r="QD156" i="1"/>
  <c r="QE156" i="1"/>
  <c r="QF156" i="1"/>
  <c r="QG156" i="1"/>
  <c r="QH156" i="1"/>
  <c r="QI156" i="1"/>
  <c r="QJ156" i="1"/>
  <c r="QK156" i="1"/>
  <c r="QL156" i="1"/>
  <c r="QM156" i="1"/>
  <c r="QN156" i="1"/>
  <c r="QO156" i="1"/>
  <c r="QP156" i="1"/>
  <c r="QQ156" i="1"/>
  <c r="QR156" i="1"/>
  <c r="QS156" i="1"/>
  <c r="QT156" i="1"/>
  <c r="QU156" i="1"/>
  <c r="QV156" i="1"/>
  <c r="QW156" i="1"/>
  <c r="QX156" i="1"/>
  <c r="I200" i="1"/>
  <c r="J200" i="1"/>
  <c r="K200" i="1"/>
  <c r="MM200" i="1"/>
  <c r="MN200" i="1"/>
  <c r="MO200" i="1"/>
  <c r="MP200" i="1"/>
  <c r="MQ200" i="1"/>
  <c r="MR200" i="1"/>
  <c r="MS200" i="1"/>
  <c r="MT200" i="1"/>
  <c r="MW200" i="1"/>
  <c r="MX200" i="1"/>
  <c r="MY200" i="1"/>
  <c r="MZ200" i="1"/>
  <c r="NA200" i="1"/>
  <c r="NB200" i="1"/>
  <c r="NE200" i="1"/>
  <c r="NF200" i="1"/>
  <c r="NC200" i="1"/>
  <c r="ND200" i="1"/>
  <c r="NG200" i="1"/>
  <c r="NH200" i="1"/>
  <c r="NI200" i="1"/>
  <c r="NJ200" i="1"/>
  <c r="NK200" i="1"/>
  <c r="NL200" i="1"/>
  <c r="NM200" i="1"/>
  <c r="NN200" i="1"/>
  <c r="NO200" i="1"/>
  <c r="NP200" i="1"/>
  <c r="NQ200" i="1"/>
  <c r="NR200" i="1"/>
  <c r="NS200" i="1"/>
  <c r="NT200" i="1"/>
  <c r="NU200" i="1"/>
  <c r="NV200" i="1"/>
  <c r="NW200" i="1"/>
  <c r="NX200" i="1"/>
  <c r="NY200" i="1"/>
  <c r="NZ200" i="1"/>
  <c r="OA200" i="1"/>
  <c r="OB200" i="1"/>
  <c r="OC200" i="1"/>
  <c r="OD200" i="1"/>
  <c r="OE200" i="1"/>
  <c r="OF200" i="1"/>
  <c r="OG200" i="1"/>
  <c r="OH200" i="1"/>
  <c r="OI200" i="1"/>
  <c r="OJ200" i="1"/>
  <c r="OM200" i="1"/>
  <c r="ON200" i="1"/>
  <c r="OO200" i="1"/>
  <c r="OP200" i="1"/>
  <c r="OQ200" i="1"/>
  <c r="OR200" i="1"/>
  <c r="OS200" i="1"/>
  <c r="OT200" i="1"/>
  <c r="OU200" i="1"/>
  <c r="OV200" i="1"/>
  <c r="OW200" i="1"/>
  <c r="OX200" i="1"/>
  <c r="OY200" i="1"/>
  <c r="PA200" i="1"/>
  <c r="PC200" i="1"/>
  <c r="PD200" i="1"/>
  <c r="PB200" i="1"/>
  <c r="PE200" i="1"/>
  <c r="PF200" i="1"/>
  <c r="PG200" i="1"/>
  <c r="PH200" i="1"/>
  <c r="PI200" i="1"/>
  <c r="PJ200" i="1"/>
  <c r="PK200" i="1"/>
  <c r="PL200" i="1"/>
  <c r="PM200" i="1"/>
  <c r="PN200" i="1"/>
  <c r="PO200" i="1"/>
  <c r="PQ200" i="1"/>
  <c r="PR200" i="1"/>
  <c r="PT200" i="1"/>
  <c r="PU200" i="1"/>
  <c r="PZ200" i="1"/>
  <c r="QA200" i="1"/>
  <c r="QB200" i="1"/>
  <c r="QC200" i="1"/>
  <c r="QD200" i="1"/>
  <c r="QE200" i="1"/>
  <c r="QF200" i="1"/>
  <c r="QG200" i="1"/>
  <c r="QH200" i="1"/>
  <c r="QI200" i="1"/>
  <c r="QJ200" i="1"/>
  <c r="QK200" i="1"/>
  <c r="QL200" i="1"/>
  <c r="QM200" i="1"/>
  <c r="QN200" i="1"/>
  <c r="QO200" i="1"/>
  <c r="QP200" i="1"/>
  <c r="QQ200" i="1"/>
  <c r="QR200" i="1"/>
  <c r="QS200" i="1"/>
  <c r="QT200" i="1"/>
  <c r="QU200" i="1"/>
  <c r="QV200" i="1"/>
  <c r="QW200" i="1"/>
  <c r="QX200" i="1"/>
  <c r="I136" i="1"/>
  <c r="J136" i="1"/>
  <c r="K136" i="1"/>
  <c r="MM136" i="1"/>
  <c r="MN136" i="1"/>
  <c r="MO136" i="1"/>
  <c r="MP136" i="1"/>
  <c r="MQ136" i="1"/>
  <c r="MR136" i="1"/>
  <c r="MS136" i="1"/>
  <c r="MT136" i="1"/>
  <c r="MW136" i="1"/>
  <c r="MX136" i="1"/>
  <c r="MY136" i="1"/>
  <c r="MZ136" i="1"/>
  <c r="NA136" i="1"/>
  <c r="NB136" i="1"/>
  <c r="NE136" i="1"/>
  <c r="NF136" i="1"/>
  <c r="NC136" i="1"/>
  <c r="ND136" i="1"/>
  <c r="NG136" i="1"/>
  <c r="NH136" i="1"/>
  <c r="NI136" i="1"/>
  <c r="NJ136" i="1"/>
  <c r="NK136" i="1"/>
  <c r="NL136" i="1"/>
  <c r="NM136" i="1"/>
  <c r="NN136" i="1"/>
  <c r="NO136" i="1"/>
  <c r="NP136" i="1"/>
  <c r="NQ136" i="1"/>
  <c r="NR136" i="1"/>
  <c r="NS136" i="1"/>
  <c r="NT136" i="1"/>
  <c r="NU136" i="1"/>
  <c r="NV136" i="1"/>
  <c r="NW136" i="1"/>
  <c r="NX136" i="1"/>
  <c r="NY136" i="1"/>
  <c r="NZ136" i="1"/>
  <c r="OA136" i="1"/>
  <c r="OB136" i="1"/>
  <c r="OC136" i="1"/>
  <c r="OD136" i="1"/>
  <c r="OE136" i="1"/>
  <c r="OF136" i="1"/>
  <c r="OG136" i="1"/>
  <c r="OH136" i="1"/>
  <c r="OI136" i="1"/>
  <c r="OJ136" i="1"/>
  <c r="OM136" i="1"/>
  <c r="ON136" i="1"/>
  <c r="OO136" i="1"/>
  <c r="OP136" i="1"/>
  <c r="OQ136" i="1"/>
  <c r="OR136" i="1"/>
  <c r="OS136" i="1"/>
  <c r="OT136" i="1"/>
  <c r="OU136" i="1"/>
  <c r="OV136" i="1"/>
  <c r="OW136" i="1"/>
  <c r="OX136" i="1"/>
  <c r="OY136" i="1"/>
  <c r="PA136" i="1"/>
  <c r="PC136" i="1"/>
  <c r="PD136" i="1"/>
  <c r="PB136" i="1"/>
  <c r="PE136" i="1"/>
  <c r="PF136" i="1"/>
  <c r="PG136" i="1"/>
  <c r="PH136" i="1"/>
  <c r="PI136" i="1"/>
  <c r="PJ136" i="1"/>
  <c r="PK136" i="1"/>
  <c r="PL136" i="1"/>
  <c r="PM136" i="1"/>
  <c r="PN136" i="1"/>
  <c r="PO136" i="1"/>
  <c r="PQ136" i="1"/>
  <c r="PR136" i="1"/>
  <c r="PT136" i="1"/>
  <c r="PU136" i="1"/>
  <c r="PZ136" i="1"/>
  <c r="QA136" i="1"/>
  <c r="QB136" i="1"/>
  <c r="QC136" i="1"/>
  <c r="QD136" i="1"/>
  <c r="QE136" i="1"/>
  <c r="QF136" i="1"/>
  <c r="QG136" i="1"/>
  <c r="QH136" i="1"/>
  <c r="QI136" i="1"/>
  <c r="QJ136" i="1"/>
  <c r="QK136" i="1"/>
  <c r="QL136" i="1"/>
  <c r="QM136" i="1"/>
  <c r="QN136" i="1"/>
  <c r="QO136" i="1"/>
  <c r="QP136" i="1"/>
  <c r="QQ136" i="1"/>
  <c r="QR136" i="1"/>
  <c r="QS136" i="1"/>
  <c r="QT136" i="1"/>
  <c r="QU136" i="1"/>
  <c r="QV136" i="1"/>
  <c r="QW136" i="1"/>
  <c r="QX136" i="1"/>
  <c r="I108" i="1"/>
  <c r="J108" i="1"/>
  <c r="K108" i="1"/>
  <c r="MM108" i="1"/>
  <c r="MN108" i="1"/>
  <c r="MO108" i="1"/>
  <c r="MP108" i="1"/>
  <c r="MQ108" i="1"/>
  <c r="MR108" i="1"/>
  <c r="MS108" i="1"/>
  <c r="MT108" i="1"/>
  <c r="MW108" i="1"/>
  <c r="MX108" i="1"/>
  <c r="MY108" i="1"/>
  <c r="MZ108" i="1"/>
  <c r="NA108" i="1"/>
  <c r="NB108" i="1"/>
  <c r="NE108" i="1"/>
  <c r="NF108" i="1"/>
  <c r="NC108" i="1"/>
  <c r="ND108" i="1"/>
  <c r="NG108" i="1"/>
  <c r="NH108" i="1"/>
  <c r="NI108" i="1"/>
  <c r="NJ108" i="1"/>
  <c r="NK108" i="1"/>
  <c r="NL108" i="1"/>
  <c r="NM108" i="1"/>
  <c r="NN108" i="1"/>
  <c r="NO108" i="1"/>
  <c r="NP108" i="1"/>
  <c r="NQ108" i="1"/>
  <c r="NR108" i="1"/>
  <c r="NS108" i="1"/>
  <c r="NT108" i="1"/>
  <c r="NU108" i="1"/>
  <c r="NV108" i="1"/>
  <c r="NW108" i="1"/>
  <c r="NX108" i="1"/>
  <c r="NY108" i="1"/>
  <c r="NZ108" i="1"/>
  <c r="OA108" i="1"/>
  <c r="OB108" i="1"/>
  <c r="OC108" i="1"/>
  <c r="OD108" i="1"/>
  <c r="OE108" i="1"/>
  <c r="OF108" i="1"/>
  <c r="OG108" i="1"/>
  <c r="OH108" i="1"/>
  <c r="OI108" i="1"/>
  <c r="OJ108" i="1"/>
  <c r="OM108" i="1"/>
  <c r="ON108" i="1"/>
  <c r="OO108" i="1"/>
  <c r="OP108" i="1"/>
  <c r="OQ108" i="1"/>
  <c r="OR108" i="1"/>
  <c r="OS108" i="1"/>
  <c r="OT108" i="1"/>
  <c r="OU108" i="1"/>
  <c r="OV108" i="1"/>
  <c r="OW108" i="1"/>
  <c r="OX108" i="1"/>
  <c r="OY108" i="1"/>
  <c r="PA108" i="1"/>
  <c r="PC108" i="1"/>
  <c r="PD108" i="1"/>
  <c r="PB108" i="1"/>
  <c r="PE108" i="1"/>
  <c r="PF108" i="1"/>
  <c r="PG108" i="1"/>
  <c r="PH108" i="1"/>
  <c r="PI108" i="1"/>
  <c r="PJ108" i="1"/>
  <c r="PK108" i="1"/>
  <c r="PL108" i="1"/>
  <c r="PM108" i="1"/>
  <c r="PN108" i="1"/>
  <c r="PO108" i="1"/>
  <c r="PQ108" i="1"/>
  <c r="PR108" i="1"/>
  <c r="PT108" i="1"/>
  <c r="PU108" i="1"/>
  <c r="PZ108" i="1"/>
  <c r="QA108" i="1"/>
  <c r="QB108" i="1"/>
  <c r="QC108" i="1"/>
  <c r="QD108" i="1"/>
  <c r="QE108" i="1"/>
  <c r="QF108" i="1"/>
  <c r="QG108" i="1"/>
  <c r="QH108" i="1"/>
  <c r="QI108" i="1"/>
  <c r="QJ108" i="1"/>
  <c r="QK108" i="1"/>
  <c r="QL108" i="1"/>
  <c r="QM108" i="1"/>
  <c r="QN108" i="1"/>
  <c r="QO108" i="1"/>
  <c r="QP108" i="1"/>
  <c r="QQ108" i="1"/>
  <c r="QR108" i="1"/>
  <c r="QS108" i="1"/>
  <c r="QT108" i="1"/>
  <c r="QU108" i="1"/>
  <c r="QV108" i="1"/>
  <c r="QW108" i="1"/>
  <c r="QX108" i="1"/>
  <c r="I149" i="1"/>
  <c r="J149" i="1"/>
  <c r="K149" i="1"/>
  <c r="MM149" i="1"/>
  <c r="MN149" i="1"/>
  <c r="MO149" i="1"/>
  <c r="MP149" i="1"/>
  <c r="MQ149" i="1"/>
  <c r="MR149" i="1"/>
  <c r="MS149" i="1"/>
  <c r="MT149" i="1"/>
  <c r="MW149" i="1"/>
  <c r="MX149" i="1"/>
  <c r="MY149" i="1"/>
  <c r="MZ149" i="1"/>
  <c r="NA149" i="1"/>
  <c r="NB149" i="1"/>
  <c r="NE149" i="1"/>
  <c r="NF149" i="1"/>
  <c r="NC149" i="1"/>
  <c r="ND149" i="1"/>
  <c r="NG149" i="1"/>
  <c r="NH149" i="1"/>
  <c r="NI149" i="1"/>
  <c r="NJ149" i="1"/>
  <c r="NK149" i="1"/>
  <c r="NL149" i="1"/>
  <c r="NM149" i="1"/>
  <c r="NN149" i="1"/>
  <c r="NO149" i="1"/>
  <c r="NP149" i="1"/>
  <c r="NQ149" i="1"/>
  <c r="NR149" i="1"/>
  <c r="NS149" i="1"/>
  <c r="NT149" i="1"/>
  <c r="NU149" i="1"/>
  <c r="NV149" i="1"/>
  <c r="NW149" i="1"/>
  <c r="NX149" i="1"/>
  <c r="NY149" i="1"/>
  <c r="NZ149" i="1"/>
  <c r="OA149" i="1"/>
  <c r="OB149" i="1"/>
  <c r="OC149" i="1"/>
  <c r="OD149" i="1"/>
  <c r="OE149" i="1"/>
  <c r="OF149" i="1"/>
  <c r="OG149" i="1"/>
  <c r="OH149" i="1"/>
  <c r="OI149" i="1"/>
  <c r="OJ149" i="1"/>
  <c r="OM149" i="1"/>
  <c r="ON149" i="1"/>
  <c r="OO149" i="1"/>
  <c r="OP149" i="1"/>
  <c r="OQ149" i="1"/>
  <c r="OR149" i="1"/>
  <c r="OS149" i="1"/>
  <c r="OT149" i="1"/>
  <c r="OU149" i="1"/>
  <c r="OV149" i="1"/>
  <c r="OW149" i="1"/>
  <c r="OX149" i="1"/>
  <c r="OY149" i="1"/>
  <c r="PA149" i="1"/>
  <c r="PC149" i="1"/>
  <c r="PD149" i="1"/>
  <c r="PB149" i="1"/>
  <c r="PE149" i="1"/>
  <c r="PF149" i="1"/>
  <c r="PG149" i="1"/>
  <c r="PH149" i="1"/>
  <c r="PI149" i="1"/>
  <c r="PJ149" i="1"/>
  <c r="PK149" i="1"/>
  <c r="PL149" i="1"/>
  <c r="PM149" i="1"/>
  <c r="PN149" i="1"/>
  <c r="PO149" i="1"/>
  <c r="PQ149" i="1"/>
  <c r="PR149" i="1"/>
  <c r="PT149" i="1"/>
  <c r="PU149" i="1"/>
  <c r="PZ149" i="1"/>
  <c r="QA149" i="1"/>
  <c r="QB149" i="1"/>
  <c r="QC149" i="1"/>
  <c r="QD149" i="1"/>
  <c r="QE149" i="1"/>
  <c r="QF149" i="1"/>
  <c r="QG149" i="1"/>
  <c r="QH149" i="1"/>
  <c r="QI149" i="1"/>
  <c r="QJ149" i="1"/>
  <c r="QK149" i="1"/>
  <c r="QL149" i="1"/>
  <c r="QM149" i="1"/>
  <c r="QN149" i="1"/>
  <c r="QO149" i="1"/>
  <c r="QP149" i="1"/>
  <c r="QQ149" i="1"/>
  <c r="QR149" i="1"/>
  <c r="QS149" i="1"/>
  <c r="QT149" i="1"/>
  <c r="QU149" i="1"/>
  <c r="QV149" i="1"/>
  <c r="QW149" i="1"/>
  <c r="QX149" i="1"/>
  <c r="I187" i="1"/>
  <c r="J187" i="1"/>
  <c r="K187" i="1"/>
  <c r="MM187" i="1"/>
  <c r="MN187" i="1"/>
  <c r="MO187" i="1"/>
  <c r="MP187" i="1"/>
  <c r="MQ187" i="1"/>
  <c r="MR187" i="1"/>
  <c r="MS187" i="1"/>
  <c r="MT187" i="1"/>
  <c r="MW187" i="1"/>
  <c r="MX187" i="1"/>
  <c r="MY187" i="1"/>
  <c r="MZ187" i="1"/>
  <c r="NA187" i="1"/>
  <c r="NB187" i="1"/>
  <c r="NE187" i="1"/>
  <c r="NF187" i="1"/>
  <c r="NC187" i="1"/>
  <c r="ND187" i="1"/>
  <c r="NG187" i="1"/>
  <c r="NH187" i="1"/>
  <c r="NI187" i="1"/>
  <c r="NJ187" i="1"/>
  <c r="NK187" i="1"/>
  <c r="NL187" i="1"/>
  <c r="NM187" i="1"/>
  <c r="NN187" i="1"/>
  <c r="NO187" i="1"/>
  <c r="NP187" i="1"/>
  <c r="NQ187" i="1"/>
  <c r="NR187" i="1"/>
  <c r="NS187" i="1"/>
  <c r="NT187" i="1"/>
  <c r="NU187" i="1"/>
  <c r="NV187" i="1"/>
  <c r="NW187" i="1"/>
  <c r="NX187" i="1"/>
  <c r="NY187" i="1"/>
  <c r="NZ187" i="1"/>
  <c r="OA187" i="1"/>
  <c r="OB187" i="1"/>
  <c r="OC187" i="1"/>
  <c r="OD187" i="1"/>
  <c r="OE187" i="1"/>
  <c r="OF187" i="1"/>
  <c r="OG187" i="1"/>
  <c r="OH187" i="1"/>
  <c r="OI187" i="1"/>
  <c r="OJ187" i="1"/>
  <c r="OM187" i="1"/>
  <c r="ON187" i="1"/>
  <c r="OO187" i="1"/>
  <c r="OP187" i="1"/>
  <c r="OQ187" i="1"/>
  <c r="OR187" i="1"/>
  <c r="OS187" i="1"/>
  <c r="OT187" i="1"/>
  <c r="OU187" i="1"/>
  <c r="OV187" i="1"/>
  <c r="OW187" i="1"/>
  <c r="OX187" i="1"/>
  <c r="OY187" i="1"/>
  <c r="PA187" i="1"/>
  <c r="PC187" i="1"/>
  <c r="PD187" i="1"/>
  <c r="PB187" i="1"/>
  <c r="BH184" i="148" s="1"/>
  <c r="PE187" i="1"/>
  <c r="PF187" i="1"/>
  <c r="PG187" i="1"/>
  <c r="PH187" i="1"/>
  <c r="PI187" i="1"/>
  <c r="PJ187" i="1"/>
  <c r="PK187" i="1"/>
  <c r="PL187" i="1"/>
  <c r="PM187" i="1"/>
  <c r="PN187" i="1"/>
  <c r="PO187" i="1"/>
  <c r="PQ187" i="1"/>
  <c r="PR187" i="1"/>
  <c r="PT187" i="1"/>
  <c r="PU187" i="1"/>
  <c r="PZ187" i="1"/>
  <c r="QA187" i="1"/>
  <c r="QB187" i="1"/>
  <c r="QC187" i="1"/>
  <c r="QD187" i="1"/>
  <c r="QE187" i="1"/>
  <c r="QF187" i="1"/>
  <c r="QG187" i="1"/>
  <c r="QH187" i="1"/>
  <c r="QI187" i="1"/>
  <c r="QJ187" i="1"/>
  <c r="QK187" i="1"/>
  <c r="QL187" i="1"/>
  <c r="QM187" i="1"/>
  <c r="QN187" i="1"/>
  <c r="QO187" i="1"/>
  <c r="QP187" i="1"/>
  <c r="QQ187" i="1"/>
  <c r="QR187" i="1"/>
  <c r="QS187" i="1"/>
  <c r="QT187" i="1"/>
  <c r="QU187" i="1"/>
  <c r="QV187" i="1"/>
  <c r="QW187" i="1"/>
  <c r="QX187" i="1"/>
  <c r="I168" i="1"/>
  <c r="J168" i="1"/>
  <c r="K168" i="1"/>
  <c r="MM168" i="1"/>
  <c r="MN168" i="1"/>
  <c r="MO168" i="1"/>
  <c r="MP168" i="1"/>
  <c r="MQ168" i="1"/>
  <c r="MR168" i="1"/>
  <c r="MS168" i="1"/>
  <c r="MT168" i="1"/>
  <c r="MW168" i="1"/>
  <c r="MX168" i="1"/>
  <c r="MY168" i="1"/>
  <c r="MZ168" i="1"/>
  <c r="NA168" i="1"/>
  <c r="NB168" i="1"/>
  <c r="NE168" i="1"/>
  <c r="NF168" i="1"/>
  <c r="NC168" i="1"/>
  <c r="ND168" i="1"/>
  <c r="NG168" i="1"/>
  <c r="NH168" i="1"/>
  <c r="NI168" i="1"/>
  <c r="NJ168" i="1"/>
  <c r="NK168" i="1"/>
  <c r="NL168" i="1"/>
  <c r="NM168" i="1"/>
  <c r="NN168" i="1"/>
  <c r="NO168" i="1"/>
  <c r="NP168" i="1"/>
  <c r="NQ168" i="1"/>
  <c r="NR168" i="1"/>
  <c r="NS168" i="1"/>
  <c r="NT168" i="1"/>
  <c r="NU168" i="1"/>
  <c r="NV168" i="1"/>
  <c r="NW168" i="1"/>
  <c r="NX168" i="1"/>
  <c r="NY168" i="1"/>
  <c r="NZ168" i="1"/>
  <c r="OA168" i="1"/>
  <c r="OB168" i="1"/>
  <c r="OC168" i="1"/>
  <c r="OD168" i="1"/>
  <c r="OE168" i="1"/>
  <c r="OF168" i="1"/>
  <c r="OG168" i="1"/>
  <c r="OH168" i="1"/>
  <c r="OI168" i="1"/>
  <c r="OJ168" i="1"/>
  <c r="OM168" i="1"/>
  <c r="ON168" i="1"/>
  <c r="OO168" i="1"/>
  <c r="OP168" i="1"/>
  <c r="OQ168" i="1"/>
  <c r="OR168" i="1"/>
  <c r="OS168" i="1"/>
  <c r="OT168" i="1"/>
  <c r="OU168" i="1"/>
  <c r="OV168" i="1"/>
  <c r="OW168" i="1"/>
  <c r="OX168" i="1"/>
  <c r="OY168" i="1"/>
  <c r="PA168" i="1"/>
  <c r="PC168" i="1"/>
  <c r="PD168" i="1"/>
  <c r="PB168" i="1"/>
  <c r="BH160" i="148" s="1"/>
  <c r="PE168" i="1"/>
  <c r="PF168" i="1"/>
  <c r="PG168" i="1"/>
  <c r="PH168" i="1"/>
  <c r="PI168" i="1"/>
  <c r="PJ168" i="1"/>
  <c r="PK168" i="1"/>
  <c r="PL168" i="1"/>
  <c r="PM168" i="1"/>
  <c r="PN168" i="1"/>
  <c r="PO168" i="1"/>
  <c r="PQ168" i="1"/>
  <c r="PR168" i="1"/>
  <c r="PT168" i="1"/>
  <c r="PU168" i="1"/>
  <c r="PZ168" i="1"/>
  <c r="QA168" i="1"/>
  <c r="QB168" i="1"/>
  <c r="QC168" i="1"/>
  <c r="QD168" i="1"/>
  <c r="QE168" i="1"/>
  <c r="QF168" i="1"/>
  <c r="QG168" i="1"/>
  <c r="QH168" i="1"/>
  <c r="QI168" i="1"/>
  <c r="QJ168" i="1"/>
  <c r="QK168" i="1"/>
  <c r="QL168" i="1"/>
  <c r="QM168" i="1"/>
  <c r="QN168" i="1"/>
  <c r="QO168" i="1"/>
  <c r="QP168" i="1"/>
  <c r="QQ168" i="1"/>
  <c r="QR168" i="1"/>
  <c r="QS168" i="1"/>
  <c r="QT168" i="1"/>
  <c r="QU168" i="1"/>
  <c r="QV168" i="1"/>
  <c r="QW168" i="1"/>
  <c r="QX168" i="1"/>
  <c r="I162" i="1"/>
  <c r="J162" i="1"/>
  <c r="K162" i="1"/>
  <c r="MM162" i="1"/>
  <c r="MN162" i="1"/>
  <c r="MO162" i="1"/>
  <c r="MP162" i="1"/>
  <c r="MQ162" i="1"/>
  <c r="MR162" i="1"/>
  <c r="MS162" i="1"/>
  <c r="MT162" i="1"/>
  <c r="MW162" i="1"/>
  <c r="MX162" i="1"/>
  <c r="MY162" i="1"/>
  <c r="MZ162" i="1"/>
  <c r="NA162" i="1"/>
  <c r="NB162" i="1"/>
  <c r="NE162" i="1"/>
  <c r="NF162" i="1"/>
  <c r="NC162" i="1"/>
  <c r="ND162" i="1"/>
  <c r="NG162" i="1"/>
  <c r="NH162" i="1"/>
  <c r="NI162" i="1"/>
  <c r="NJ162" i="1"/>
  <c r="NK162" i="1"/>
  <c r="NL162" i="1"/>
  <c r="NM162" i="1"/>
  <c r="NN162" i="1"/>
  <c r="NO162" i="1"/>
  <c r="NP162" i="1"/>
  <c r="NQ162" i="1"/>
  <c r="NR162" i="1"/>
  <c r="NS162" i="1"/>
  <c r="NT162" i="1"/>
  <c r="NU162" i="1"/>
  <c r="NV162" i="1"/>
  <c r="NW162" i="1"/>
  <c r="NX162" i="1"/>
  <c r="NY162" i="1"/>
  <c r="NZ162" i="1"/>
  <c r="OA162" i="1"/>
  <c r="OB162" i="1"/>
  <c r="OC162" i="1"/>
  <c r="OD162" i="1"/>
  <c r="OE162" i="1"/>
  <c r="OF162" i="1"/>
  <c r="OG162" i="1"/>
  <c r="OH162" i="1"/>
  <c r="OI162" i="1"/>
  <c r="OJ162" i="1"/>
  <c r="OM162" i="1"/>
  <c r="ON162" i="1"/>
  <c r="OO162" i="1"/>
  <c r="OP162" i="1"/>
  <c r="OQ162" i="1"/>
  <c r="OR162" i="1"/>
  <c r="OS162" i="1"/>
  <c r="OT162" i="1"/>
  <c r="OU162" i="1"/>
  <c r="OV162" i="1"/>
  <c r="OW162" i="1"/>
  <c r="OX162" i="1"/>
  <c r="OY162" i="1"/>
  <c r="PA162" i="1"/>
  <c r="PC162" i="1"/>
  <c r="PD162" i="1"/>
  <c r="PB162" i="1"/>
  <c r="PE162" i="1"/>
  <c r="PF162" i="1"/>
  <c r="PG162" i="1"/>
  <c r="PH162" i="1"/>
  <c r="PI162" i="1"/>
  <c r="PJ162" i="1"/>
  <c r="PK162" i="1"/>
  <c r="PL162" i="1"/>
  <c r="PM162" i="1"/>
  <c r="PN162" i="1"/>
  <c r="PO162" i="1"/>
  <c r="PQ162" i="1"/>
  <c r="PR162" i="1"/>
  <c r="PT162" i="1"/>
  <c r="PU162" i="1"/>
  <c r="PZ162" i="1"/>
  <c r="QA162" i="1"/>
  <c r="QB162" i="1"/>
  <c r="QC162" i="1"/>
  <c r="QD162" i="1"/>
  <c r="QE162" i="1"/>
  <c r="QF162" i="1"/>
  <c r="QG162" i="1"/>
  <c r="QH162" i="1"/>
  <c r="QI162" i="1"/>
  <c r="QJ162" i="1"/>
  <c r="QK162" i="1"/>
  <c r="QL162" i="1"/>
  <c r="QM162" i="1"/>
  <c r="QN162" i="1"/>
  <c r="QO162" i="1"/>
  <c r="QP162" i="1"/>
  <c r="QQ162" i="1"/>
  <c r="QR162" i="1"/>
  <c r="QS162" i="1"/>
  <c r="QT162" i="1"/>
  <c r="QU162" i="1"/>
  <c r="QV162" i="1"/>
  <c r="QW162" i="1"/>
  <c r="QX162" i="1"/>
  <c r="I139" i="1"/>
  <c r="J139" i="1"/>
  <c r="K139" i="1"/>
  <c r="MM139" i="1"/>
  <c r="MN139" i="1"/>
  <c r="MO139" i="1"/>
  <c r="MP139" i="1"/>
  <c r="MQ139" i="1"/>
  <c r="MR139" i="1"/>
  <c r="MS139" i="1"/>
  <c r="MT139" i="1"/>
  <c r="MW139" i="1"/>
  <c r="MX139" i="1"/>
  <c r="MY139" i="1"/>
  <c r="MZ139" i="1"/>
  <c r="NA139" i="1"/>
  <c r="NB139" i="1"/>
  <c r="NE139" i="1"/>
  <c r="NF139" i="1"/>
  <c r="NC139" i="1"/>
  <c r="ND139" i="1"/>
  <c r="NG139" i="1"/>
  <c r="NH139" i="1"/>
  <c r="NI139" i="1"/>
  <c r="NJ139" i="1"/>
  <c r="NK139" i="1"/>
  <c r="NL139" i="1"/>
  <c r="NM139" i="1"/>
  <c r="NN139" i="1"/>
  <c r="NO139" i="1"/>
  <c r="NP139" i="1"/>
  <c r="NQ139" i="1"/>
  <c r="NR139" i="1"/>
  <c r="NS139" i="1"/>
  <c r="NT139" i="1"/>
  <c r="NU139" i="1"/>
  <c r="NV139" i="1"/>
  <c r="NW139" i="1"/>
  <c r="NX139" i="1"/>
  <c r="NY139" i="1"/>
  <c r="NZ139" i="1"/>
  <c r="OA139" i="1"/>
  <c r="OB139" i="1"/>
  <c r="OC139" i="1"/>
  <c r="OD139" i="1"/>
  <c r="OE139" i="1"/>
  <c r="OF139" i="1"/>
  <c r="OG139" i="1"/>
  <c r="OH139" i="1"/>
  <c r="OI139" i="1"/>
  <c r="OJ139" i="1"/>
  <c r="OM139" i="1"/>
  <c r="ON139" i="1"/>
  <c r="OO139" i="1"/>
  <c r="OP139" i="1"/>
  <c r="OQ139" i="1"/>
  <c r="OR139" i="1"/>
  <c r="OS139" i="1"/>
  <c r="OT139" i="1"/>
  <c r="OU139" i="1"/>
  <c r="OV139" i="1"/>
  <c r="OW139" i="1"/>
  <c r="OX139" i="1"/>
  <c r="OY139" i="1"/>
  <c r="PA139" i="1"/>
  <c r="PC139" i="1"/>
  <c r="PD139" i="1"/>
  <c r="PB139" i="1"/>
  <c r="PE139" i="1"/>
  <c r="PF139" i="1"/>
  <c r="PG139" i="1"/>
  <c r="PH139" i="1"/>
  <c r="PI139" i="1"/>
  <c r="PJ139" i="1"/>
  <c r="PK139" i="1"/>
  <c r="PL139" i="1"/>
  <c r="PM139" i="1"/>
  <c r="PN139" i="1"/>
  <c r="PO139" i="1"/>
  <c r="PQ139" i="1"/>
  <c r="PR139" i="1"/>
  <c r="PT139" i="1"/>
  <c r="PU139" i="1"/>
  <c r="PZ139" i="1"/>
  <c r="QA139" i="1"/>
  <c r="QB139" i="1"/>
  <c r="QC139" i="1"/>
  <c r="QD139" i="1"/>
  <c r="QE139" i="1"/>
  <c r="QF139" i="1"/>
  <c r="QG139" i="1"/>
  <c r="QH139" i="1"/>
  <c r="QI139" i="1"/>
  <c r="QJ139" i="1"/>
  <c r="QK139" i="1"/>
  <c r="QL139" i="1"/>
  <c r="QM139" i="1"/>
  <c r="QN139" i="1"/>
  <c r="QO139" i="1"/>
  <c r="QP139" i="1"/>
  <c r="QQ139" i="1"/>
  <c r="QR139" i="1"/>
  <c r="QS139" i="1"/>
  <c r="QT139" i="1"/>
  <c r="QU139" i="1"/>
  <c r="QV139" i="1"/>
  <c r="QW139" i="1"/>
  <c r="QX139" i="1"/>
  <c r="I196" i="1"/>
  <c r="J196" i="1"/>
  <c r="K196" i="1"/>
  <c r="MM196" i="1"/>
  <c r="MN196" i="1"/>
  <c r="MO196" i="1"/>
  <c r="MP196" i="1"/>
  <c r="MQ196" i="1"/>
  <c r="MR196" i="1"/>
  <c r="MS196" i="1"/>
  <c r="MT196" i="1"/>
  <c r="MW196" i="1"/>
  <c r="MX196" i="1"/>
  <c r="MY196" i="1"/>
  <c r="MZ196" i="1"/>
  <c r="NA196" i="1"/>
  <c r="NB196" i="1"/>
  <c r="NE196" i="1"/>
  <c r="NF196" i="1"/>
  <c r="NC196" i="1"/>
  <c r="ND196" i="1"/>
  <c r="NG196" i="1"/>
  <c r="NH196" i="1"/>
  <c r="NI196" i="1"/>
  <c r="NJ196" i="1"/>
  <c r="NK196" i="1"/>
  <c r="NL196" i="1"/>
  <c r="NM196" i="1"/>
  <c r="NN196" i="1"/>
  <c r="NO196" i="1"/>
  <c r="NP196" i="1"/>
  <c r="NQ196" i="1"/>
  <c r="NR196" i="1"/>
  <c r="NS196" i="1"/>
  <c r="NT196" i="1"/>
  <c r="NU196" i="1"/>
  <c r="NV196" i="1"/>
  <c r="NW196" i="1"/>
  <c r="NX196" i="1"/>
  <c r="NY196" i="1"/>
  <c r="NZ196" i="1"/>
  <c r="OA196" i="1"/>
  <c r="OB196" i="1"/>
  <c r="OC196" i="1"/>
  <c r="OD196" i="1"/>
  <c r="OE196" i="1"/>
  <c r="OF196" i="1"/>
  <c r="OG196" i="1"/>
  <c r="OH196" i="1"/>
  <c r="OI196" i="1"/>
  <c r="OJ196" i="1"/>
  <c r="OM196" i="1"/>
  <c r="ON196" i="1"/>
  <c r="OO196" i="1"/>
  <c r="OP196" i="1"/>
  <c r="OQ196" i="1"/>
  <c r="OR196" i="1"/>
  <c r="OS196" i="1"/>
  <c r="OT196" i="1"/>
  <c r="OU196" i="1"/>
  <c r="OV196" i="1"/>
  <c r="OW196" i="1"/>
  <c r="OX196" i="1"/>
  <c r="OY196" i="1"/>
  <c r="PA196" i="1"/>
  <c r="PC196" i="1"/>
  <c r="PD196" i="1"/>
  <c r="PB196" i="1"/>
  <c r="PE196" i="1"/>
  <c r="PF196" i="1"/>
  <c r="PG196" i="1"/>
  <c r="PH196" i="1"/>
  <c r="PI196" i="1"/>
  <c r="PJ196" i="1"/>
  <c r="PK196" i="1"/>
  <c r="PL196" i="1"/>
  <c r="PM196" i="1"/>
  <c r="PN196" i="1"/>
  <c r="PO196" i="1"/>
  <c r="PQ196" i="1"/>
  <c r="PR196" i="1"/>
  <c r="PT196" i="1"/>
  <c r="PU196" i="1"/>
  <c r="PZ196" i="1"/>
  <c r="QA196" i="1"/>
  <c r="QB196" i="1"/>
  <c r="QC196" i="1"/>
  <c r="QD196" i="1"/>
  <c r="QE196" i="1"/>
  <c r="QF196" i="1"/>
  <c r="QG196" i="1"/>
  <c r="QH196" i="1"/>
  <c r="QI196" i="1"/>
  <c r="QJ196" i="1"/>
  <c r="QK196" i="1"/>
  <c r="QL196" i="1"/>
  <c r="QM196" i="1"/>
  <c r="QN196" i="1"/>
  <c r="QO196" i="1"/>
  <c r="QP196" i="1"/>
  <c r="QQ196" i="1"/>
  <c r="QR196" i="1"/>
  <c r="QS196" i="1"/>
  <c r="QT196" i="1"/>
  <c r="QU196" i="1"/>
  <c r="QV196" i="1"/>
  <c r="QW196" i="1"/>
  <c r="QX196" i="1"/>
  <c r="I153" i="1"/>
  <c r="J153" i="1"/>
  <c r="K153" i="1"/>
  <c r="MM153" i="1"/>
  <c r="MN153" i="1"/>
  <c r="MO153" i="1"/>
  <c r="MP153" i="1"/>
  <c r="MQ153" i="1"/>
  <c r="MR153" i="1"/>
  <c r="MS153" i="1"/>
  <c r="MT153" i="1"/>
  <c r="MW153" i="1"/>
  <c r="MX153" i="1"/>
  <c r="MY153" i="1"/>
  <c r="MZ153" i="1"/>
  <c r="NA153" i="1"/>
  <c r="NB153" i="1"/>
  <c r="NE153" i="1"/>
  <c r="NF153" i="1"/>
  <c r="NC153" i="1"/>
  <c r="ND153" i="1"/>
  <c r="NG153" i="1"/>
  <c r="NH153" i="1"/>
  <c r="NI153" i="1"/>
  <c r="NJ153" i="1"/>
  <c r="NK153" i="1"/>
  <c r="NL153" i="1"/>
  <c r="NM153" i="1"/>
  <c r="NN153" i="1"/>
  <c r="NO153" i="1"/>
  <c r="NP153" i="1"/>
  <c r="NQ153" i="1"/>
  <c r="NR153" i="1"/>
  <c r="NS153" i="1"/>
  <c r="NT153" i="1"/>
  <c r="NU153" i="1"/>
  <c r="NV153" i="1"/>
  <c r="NW153" i="1"/>
  <c r="NX153" i="1"/>
  <c r="NY153" i="1"/>
  <c r="NZ153" i="1"/>
  <c r="OA153" i="1"/>
  <c r="OB153" i="1"/>
  <c r="OC153" i="1"/>
  <c r="OD153" i="1"/>
  <c r="OE153" i="1"/>
  <c r="OF153" i="1"/>
  <c r="OG153" i="1"/>
  <c r="OH153" i="1"/>
  <c r="OI153" i="1"/>
  <c r="OJ153" i="1"/>
  <c r="OM153" i="1"/>
  <c r="ON153" i="1"/>
  <c r="OO153" i="1"/>
  <c r="OP153" i="1"/>
  <c r="OQ153" i="1"/>
  <c r="OR153" i="1"/>
  <c r="OS153" i="1"/>
  <c r="OT153" i="1"/>
  <c r="OU153" i="1"/>
  <c r="OV153" i="1"/>
  <c r="OW153" i="1"/>
  <c r="OX153" i="1"/>
  <c r="OY153" i="1"/>
  <c r="PA153" i="1"/>
  <c r="PC153" i="1"/>
  <c r="PD153" i="1"/>
  <c r="PB153" i="1"/>
  <c r="PE153" i="1"/>
  <c r="PF153" i="1"/>
  <c r="PG153" i="1"/>
  <c r="PH153" i="1"/>
  <c r="PI153" i="1"/>
  <c r="PJ153" i="1"/>
  <c r="PK153" i="1"/>
  <c r="PL153" i="1"/>
  <c r="PM153" i="1"/>
  <c r="PN153" i="1"/>
  <c r="PO153" i="1"/>
  <c r="PQ153" i="1"/>
  <c r="PR153" i="1"/>
  <c r="PT153" i="1"/>
  <c r="PU153" i="1"/>
  <c r="PZ153" i="1"/>
  <c r="QA153" i="1"/>
  <c r="QB153" i="1"/>
  <c r="QC153" i="1"/>
  <c r="QD153" i="1"/>
  <c r="QE153" i="1"/>
  <c r="QF153" i="1"/>
  <c r="QG153" i="1"/>
  <c r="QH153" i="1"/>
  <c r="QI153" i="1"/>
  <c r="QJ153" i="1"/>
  <c r="QK153" i="1"/>
  <c r="QL153" i="1"/>
  <c r="QM153" i="1"/>
  <c r="QN153" i="1"/>
  <c r="QO153" i="1"/>
  <c r="QP153" i="1"/>
  <c r="QQ153" i="1"/>
  <c r="QR153" i="1"/>
  <c r="QS153" i="1"/>
  <c r="QT153" i="1"/>
  <c r="QU153" i="1"/>
  <c r="QV153" i="1"/>
  <c r="QW153" i="1"/>
  <c r="QX153" i="1"/>
  <c r="I197" i="1"/>
  <c r="J197" i="1"/>
  <c r="K197" i="1"/>
  <c r="MM197" i="1"/>
  <c r="MN197" i="1"/>
  <c r="MO197" i="1"/>
  <c r="MP197" i="1"/>
  <c r="MQ197" i="1"/>
  <c r="MR197" i="1"/>
  <c r="MS197" i="1"/>
  <c r="MT197" i="1"/>
  <c r="MW197" i="1"/>
  <c r="MX197" i="1"/>
  <c r="MY197" i="1"/>
  <c r="MZ197" i="1"/>
  <c r="NA197" i="1"/>
  <c r="NB197" i="1"/>
  <c r="NE197" i="1"/>
  <c r="NF197" i="1"/>
  <c r="NC197" i="1"/>
  <c r="ND197" i="1"/>
  <c r="NG197" i="1"/>
  <c r="NH197" i="1"/>
  <c r="NI197" i="1"/>
  <c r="NJ197" i="1"/>
  <c r="NK197" i="1"/>
  <c r="NL197" i="1"/>
  <c r="NM197" i="1"/>
  <c r="NN197" i="1"/>
  <c r="NO197" i="1"/>
  <c r="NP197" i="1"/>
  <c r="NQ197" i="1"/>
  <c r="NR197" i="1"/>
  <c r="NS197" i="1"/>
  <c r="NT197" i="1"/>
  <c r="NU197" i="1"/>
  <c r="NV197" i="1"/>
  <c r="NW197" i="1"/>
  <c r="NX197" i="1"/>
  <c r="NY197" i="1"/>
  <c r="NZ197" i="1"/>
  <c r="OA197" i="1"/>
  <c r="OB197" i="1"/>
  <c r="OC197" i="1"/>
  <c r="OD197" i="1"/>
  <c r="OE197" i="1"/>
  <c r="OF197" i="1"/>
  <c r="OG197" i="1"/>
  <c r="OH197" i="1"/>
  <c r="OI197" i="1"/>
  <c r="OJ197" i="1"/>
  <c r="OM197" i="1"/>
  <c r="ON197" i="1"/>
  <c r="OO197" i="1"/>
  <c r="OP197" i="1"/>
  <c r="OQ197" i="1"/>
  <c r="OR197" i="1"/>
  <c r="OS197" i="1"/>
  <c r="OT197" i="1"/>
  <c r="OU197" i="1"/>
  <c r="OV197" i="1"/>
  <c r="OW197" i="1"/>
  <c r="OX197" i="1"/>
  <c r="OY197" i="1"/>
  <c r="PA197" i="1"/>
  <c r="PC197" i="1"/>
  <c r="PD197" i="1"/>
  <c r="PB197" i="1"/>
  <c r="BH196" i="148" s="1"/>
  <c r="PE197" i="1"/>
  <c r="PF197" i="1"/>
  <c r="PG197" i="1"/>
  <c r="PH197" i="1"/>
  <c r="PI197" i="1"/>
  <c r="PJ197" i="1"/>
  <c r="PK197" i="1"/>
  <c r="PL197" i="1"/>
  <c r="PM197" i="1"/>
  <c r="PN197" i="1"/>
  <c r="PO197" i="1"/>
  <c r="PQ197" i="1"/>
  <c r="PR197" i="1"/>
  <c r="PT197" i="1"/>
  <c r="PU197" i="1"/>
  <c r="PZ197" i="1"/>
  <c r="QA197" i="1"/>
  <c r="QB197" i="1"/>
  <c r="QC197" i="1"/>
  <c r="QD197" i="1"/>
  <c r="QE197" i="1"/>
  <c r="QF197" i="1"/>
  <c r="QG197" i="1"/>
  <c r="QH197" i="1"/>
  <c r="QI197" i="1"/>
  <c r="QJ197" i="1"/>
  <c r="QK197" i="1"/>
  <c r="QL197" i="1"/>
  <c r="QM197" i="1"/>
  <c r="QN197" i="1"/>
  <c r="QO197" i="1"/>
  <c r="QP197" i="1"/>
  <c r="QQ197" i="1"/>
  <c r="QR197" i="1"/>
  <c r="QS197" i="1"/>
  <c r="QT197" i="1"/>
  <c r="QU197" i="1"/>
  <c r="QV197" i="1"/>
  <c r="QW197" i="1"/>
  <c r="QX197" i="1"/>
  <c r="I176" i="1"/>
  <c r="J176" i="1"/>
  <c r="K176" i="1"/>
  <c r="MM176" i="1"/>
  <c r="MN176" i="1"/>
  <c r="MO176" i="1"/>
  <c r="MP176" i="1"/>
  <c r="MQ176" i="1"/>
  <c r="MR176" i="1"/>
  <c r="MS176" i="1"/>
  <c r="MT176" i="1"/>
  <c r="MW176" i="1"/>
  <c r="MX176" i="1"/>
  <c r="MY176" i="1"/>
  <c r="MZ176" i="1"/>
  <c r="NA176" i="1"/>
  <c r="NB176" i="1"/>
  <c r="NE176" i="1"/>
  <c r="NF176" i="1"/>
  <c r="NC176" i="1"/>
  <c r="ND176" i="1"/>
  <c r="NG176" i="1"/>
  <c r="NH176" i="1"/>
  <c r="NI176" i="1"/>
  <c r="NJ176" i="1"/>
  <c r="NK176" i="1"/>
  <c r="NL176" i="1"/>
  <c r="NM176" i="1"/>
  <c r="NN176" i="1"/>
  <c r="NO176" i="1"/>
  <c r="NP176" i="1"/>
  <c r="NQ176" i="1"/>
  <c r="NR176" i="1"/>
  <c r="NS176" i="1"/>
  <c r="NT176" i="1"/>
  <c r="NU176" i="1"/>
  <c r="NV176" i="1"/>
  <c r="NW176" i="1"/>
  <c r="NX176" i="1"/>
  <c r="NY176" i="1"/>
  <c r="NZ176" i="1"/>
  <c r="OA176" i="1"/>
  <c r="OB176" i="1"/>
  <c r="OC176" i="1"/>
  <c r="OD176" i="1"/>
  <c r="OE176" i="1"/>
  <c r="OF176" i="1"/>
  <c r="OG176" i="1"/>
  <c r="OH176" i="1"/>
  <c r="OI176" i="1"/>
  <c r="OJ176" i="1"/>
  <c r="OM176" i="1"/>
  <c r="ON176" i="1"/>
  <c r="OO176" i="1"/>
  <c r="OP176" i="1"/>
  <c r="OQ176" i="1"/>
  <c r="OR176" i="1"/>
  <c r="OS176" i="1"/>
  <c r="OT176" i="1"/>
  <c r="OU176" i="1"/>
  <c r="OV176" i="1"/>
  <c r="OW176" i="1"/>
  <c r="OX176" i="1"/>
  <c r="OY176" i="1"/>
  <c r="PA176" i="1"/>
  <c r="PC176" i="1"/>
  <c r="PD176" i="1"/>
  <c r="PB176" i="1"/>
  <c r="PE176" i="1"/>
  <c r="PF176" i="1"/>
  <c r="PG176" i="1"/>
  <c r="PH176" i="1"/>
  <c r="PI176" i="1"/>
  <c r="PJ176" i="1"/>
  <c r="PK176" i="1"/>
  <c r="PL176" i="1"/>
  <c r="PM176" i="1"/>
  <c r="PN176" i="1"/>
  <c r="PO176" i="1"/>
  <c r="PQ176" i="1"/>
  <c r="PR176" i="1"/>
  <c r="PT176" i="1"/>
  <c r="PU176" i="1"/>
  <c r="PZ176" i="1"/>
  <c r="QA176" i="1"/>
  <c r="QB176" i="1"/>
  <c r="QC176" i="1"/>
  <c r="QD176" i="1"/>
  <c r="QE176" i="1"/>
  <c r="QF176" i="1"/>
  <c r="QG176" i="1"/>
  <c r="QH176" i="1"/>
  <c r="QI176" i="1"/>
  <c r="QJ176" i="1"/>
  <c r="QK176" i="1"/>
  <c r="QL176" i="1"/>
  <c r="QM176" i="1"/>
  <c r="QN176" i="1"/>
  <c r="QO176" i="1"/>
  <c r="QP176" i="1"/>
  <c r="QQ176" i="1"/>
  <c r="QR176" i="1"/>
  <c r="QS176" i="1"/>
  <c r="QT176" i="1"/>
  <c r="QU176" i="1"/>
  <c r="QV176" i="1"/>
  <c r="QW176" i="1"/>
  <c r="QX176" i="1"/>
  <c r="I202" i="1"/>
  <c r="J202" i="1"/>
  <c r="K202" i="1"/>
  <c r="MM202" i="1"/>
  <c r="MN202" i="1"/>
  <c r="MO202" i="1"/>
  <c r="MP202" i="1"/>
  <c r="MQ202" i="1"/>
  <c r="MR202" i="1"/>
  <c r="MS202" i="1"/>
  <c r="MT202" i="1"/>
  <c r="MW202" i="1"/>
  <c r="MX202" i="1"/>
  <c r="MY202" i="1"/>
  <c r="MZ202" i="1"/>
  <c r="NA202" i="1"/>
  <c r="NB202" i="1"/>
  <c r="NE202" i="1"/>
  <c r="NF202" i="1"/>
  <c r="NC202" i="1"/>
  <c r="ND202" i="1"/>
  <c r="NG202" i="1"/>
  <c r="NH202" i="1"/>
  <c r="NI202" i="1"/>
  <c r="NJ202" i="1"/>
  <c r="NK202" i="1"/>
  <c r="NL202" i="1"/>
  <c r="NM202" i="1"/>
  <c r="NN202" i="1"/>
  <c r="NO202" i="1"/>
  <c r="NP202" i="1"/>
  <c r="NQ202" i="1"/>
  <c r="NR202" i="1"/>
  <c r="NS202" i="1"/>
  <c r="NT202" i="1"/>
  <c r="NU202" i="1"/>
  <c r="NV202" i="1"/>
  <c r="NW202" i="1"/>
  <c r="NX202" i="1"/>
  <c r="NY202" i="1"/>
  <c r="NZ202" i="1"/>
  <c r="OA202" i="1"/>
  <c r="OB202" i="1"/>
  <c r="OC202" i="1"/>
  <c r="OD202" i="1"/>
  <c r="OE202" i="1"/>
  <c r="OF202" i="1"/>
  <c r="OG202" i="1"/>
  <c r="OH202" i="1"/>
  <c r="OI202" i="1"/>
  <c r="OJ202" i="1"/>
  <c r="OM202" i="1"/>
  <c r="ON202" i="1"/>
  <c r="OO202" i="1"/>
  <c r="OP202" i="1"/>
  <c r="OQ202" i="1"/>
  <c r="OR202" i="1"/>
  <c r="OS202" i="1"/>
  <c r="OT202" i="1"/>
  <c r="OU202" i="1"/>
  <c r="OV202" i="1"/>
  <c r="OW202" i="1"/>
  <c r="OX202" i="1"/>
  <c r="OY202" i="1"/>
  <c r="PA202" i="1"/>
  <c r="PC202" i="1"/>
  <c r="PD202" i="1"/>
  <c r="PB202" i="1"/>
  <c r="BH202" i="148" s="1"/>
  <c r="PE202" i="1"/>
  <c r="PF202" i="1"/>
  <c r="PG202" i="1"/>
  <c r="PH202" i="1"/>
  <c r="PI202" i="1"/>
  <c r="PJ202" i="1"/>
  <c r="PK202" i="1"/>
  <c r="PL202" i="1"/>
  <c r="PM202" i="1"/>
  <c r="PN202" i="1"/>
  <c r="PO202" i="1"/>
  <c r="PQ202" i="1"/>
  <c r="PR202" i="1"/>
  <c r="PT202" i="1"/>
  <c r="PU202" i="1"/>
  <c r="PZ202" i="1"/>
  <c r="QA202" i="1"/>
  <c r="QB202" i="1"/>
  <c r="QC202" i="1"/>
  <c r="QD202" i="1"/>
  <c r="QE202" i="1"/>
  <c r="QF202" i="1"/>
  <c r="QG202" i="1"/>
  <c r="QH202" i="1"/>
  <c r="QI202" i="1"/>
  <c r="QJ202" i="1"/>
  <c r="QK202" i="1"/>
  <c r="QL202" i="1"/>
  <c r="QM202" i="1"/>
  <c r="QN202" i="1"/>
  <c r="QO202" i="1"/>
  <c r="QP202" i="1"/>
  <c r="QQ202" i="1"/>
  <c r="QR202" i="1"/>
  <c r="QS202" i="1"/>
  <c r="QT202" i="1"/>
  <c r="QU202" i="1"/>
  <c r="QV202" i="1"/>
  <c r="QW202" i="1"/>
  <c r="QX202" i="1"/>
  <c r="I167" i="1"/>
  <c r="J167" i="1"/>
  <c r="K167" i="1"/>
  <c r="MM167" i="1"/>
  <c r="MN167" i="1"/>
  <c r="MO167" i="1"/>
  <c r="MP167" i="1"/>
  <c r="MQ167" i="1"/>
  <c r="MR167" i="1"/>
  <c r="MS167" i="1"/>
  <c r="MT167" i="1"/>
  <c r="MW167" i="1"/>
  <c r="MX167" i="1"/>
  <c r="MY167" i="1"/>
  <c r="MZ167" i="1"/>
  <c r="NA167" i="1"/>
  <c r="NB167" i="1"/>
  <c r="NE167" i="1"/>
  <c r="NF167" i="1"/>
  <c r="NC167" i="1"/>
  <c r="ND167" i="1"/>
  <c r="NG167" i="1"/>
  <c r="NH167" i="1"/>
  <c r="NI167" i="1"/>
  <c r="NJ167" i="1"/>
  <c r="NK167" i="1"/>
  <c r="NL167" i="1"/>
  <c r="NM167" i="1"/>
  <c r="NN167" i="1"/>
  <c r="NO167" i="1"/>
  <c r="NP167" i="1"/>
  <c r="NQ167" i="1"/>
  <c r="NR167" i="1"/>
  <c r="NS167" i="1"/>
  <c r="NT167" i="1"/>
  <c r="NU167" i="1"/>
  <c r="NV167" i="1"/>
  <c r="NW167" i="1"/>
  <c r="NX167" i="1"/>
  <c r="NY167" i="1"/>
  <c r="NZ167" i="1"/>
  <c r="OA167" i="1"/>
  <c r="OB167" i="1"/>
  <c r="OC167" i="1"/>
  <c r="OD167" i="1"/>
  <c r="OE167" i="1"/>
  <c r="OF167" i="1"/>
  <c r="OG167" i="1"/>
  <c r="OH167" i="1"/>
  <c r="OI167" i="1"/>
  <c r="OJ167" i="1"/>
  <c r="OM167" i="1"/>
  <c r="ON167" i="1"/>
  <c r="OO167" i="1"/>
  <c r="OP167" i="1"/>
  <c r="OQ167" i="1"/>
  <c r="OR167" i="1"/>
  <c r="OS167" i="1"/>
  <c r="OT167" i="1"/>
  <c r="OU167" i="1"/>
  <c r="OV167" i="1"/>
  <c r="OW167" i="1"/>
  <c r="OX167" i="1"/>
  <c r="OY167" i="1"/>
  <c r="PA167" i="1"/>
  <c r="PC167" i="1"/>
  <c r="PD167" i="1"/>
  <c r="PB167" i="1"/>
  <c r="PE167" i="1"/>
  <c r="PF167" i="1"/>
  <c r="PG167" i="1"/>
  <c r="PH167" i="1"/>
  <c r="PI167" i="1"/>
  <c r="PJ167" i="1"/>
  <c r="PK167" i="1"/>
  <c r="PL167" i="1"/>
  <c r="PM167" i="1"/>
  <c r="PN167" i="1"/>
  <c r="PO167" i="1"/>
  <c r="PQ167" i="1"/>
  <c r="PR167" i="1"/>
  <c r="PT167" i="1"/>
  <c r="PU167" i="1"/>
  <c r="PZ167" i="1"/>
  <c r="QA167" i="1"/>
  <c r="QB167" i="1"/>
  <c r="QC167" i="1"/>
  <c r="QD167" i="1"/>
  <c r="QE167" i="1"/>
  <c r="QF167" i="1"/>
  <c r="QG167" i="1"/>
  <c r="QH167" i="1"/>
  <c r="QI167" i="1"/>
  <c r="QJ167" i="1"/>
  <c r="QK167" i="1"/>
  <c r="QL167" i="1"/>
  <c r="QM167" i="1"/>
  <c r="QN167" i="1"/>
  <c r="QO167" i="1"/>
  <c r="QP167" i="1"/>
  <c r="QQ167" i="1"/>
  <c r="QR167" i="1"/>
  <c r="QS167" i="1"/>
  <c r="QT167" i="1"/>
  <c r="QU167" i="1"/>
  <c r="QV167" i="1"/>
  <c r="QW167" i="1"/>
  <c r="QX167" i="1"/>
  <c r="I207" i="1"/>
  <c r="J207" i="1"/>
  <c r="K207" i="1"/>
  <c r="MM207" i="1"/>
  <c r="MN207" i="1"/>
  <c r="MO207" i="1"/>
  <c r="MP207" i="1"/>
  <c r="MQ207" i="1"/>
  <c r="MR207" i="1"/>
  <c r="MS207" i="1"/>
  <c r="MT207" i="1"/>
  <c r="MW207" i="1"/>
  <c r="MX207" i="1"/>
  <c r="MY207" i="1"/>
  <c r="MZ207" i="1"/>
  <c r="NA207" i="1"/>
  <c r="NB207" i="1"/>
  <c r="NE207" i="1"/>
  <c r="NF207" i="1"/>
  <c r="NC207" i="1"/>
  <c r="ND207" i="1"/>
  <c r="NG207" i="1"/>
  <c r="NH207" i="1"/>
  <c r="NI207" i="1"/>
  <c r="NJ207" i="1"/>
  <c r="NK207" i="1"/>
  <c r="NL207" i="1"/>
  <c r="NM207" i="1"/>
  <c r="NN207" i="1"/>
  <c r="NO207" i="1"/>
  <c r="NP207" i="1"/>
  <c r="NQ207" i="1"/>
  <c r="NR207" i="1"/>
  <c r="NS207" i="1"/>
  <c r="NT207" i="1"/>
  <c r="NU207" i="1"/>
  <c r="NV207" i="1"/>
  <c r="NW207" i="1"/>
  <c r="NX207" i="1"/>
  <c r="NY207" i="1"/>
  <c r="NZ207" i="1"/>
  <c r="OA207" i="1"/>
  <c r="OB207" i="1"/>
  <c r="OC207" i="1"/>
  <c r="OD207" i="1"/>
  <c r="OE207" i="1"/>
  <c r="OF207" i="1"/>
  <c r="OG207" i="1"/>
  <c r="OH207" i="1"/>
  <c r="OI207" i="1"/>
  <c r="OJ207" i="1"/>
  <c r="OM207" i="1"/>
  <c r="ON207" i="1"/>
  <c r="OO207" i="1"/>
  <c r="OP207" i="1"/>
  <c r="OQ207" i="1"/>
  <c r="OR207" i="1"/>
  <c r="OS207" i="1"/>
  <c r="OT207" i="1"/>
  <c r="OU207" i="1"/>
  <c r="OV207" i="1"/>
  <c r="OW207" i="1"/>
  <c r="OX207" i="1"/>
  <c r="OY207" i="1"/>
  <c r="PA207" i="1"/>
  <c r="PC207" i="1"/>
  <c r="PD207" i="1"/>
  <c r="PB207" i="1"/>
  <c r="PE207" i="1"/>
  <c r="PF207" i="1"/>
  <c r="PG207" i="1"/>
  <c r="PH207" i="1"/>
  <c r="PI207" i="1"/>
  <c r="PJ207" i="1"/>
  <c r="PK207" i="1"/>
  <c r="PL207" i="1"/>
  <c r="PM207" i="1"/>
  <c r="PN207" i="1"/>
  <c r="PO207" i="1"/>
  <c r="PQ207" i="1"/>
  <c r="PR207" i="1"/>
  <c r="PT207" i="1"/>
  <c r="PU207" i="1"/>
  <c r="PZ207" i="1"/>
  <c r="QA207" i="1"/>
  <c r="QB207" i="1"/>
  <c r="QC207" i="1"/>
  <c r="QD207" i="1"/>
  <c r="QE207" i="1"/>
  <c r="QF207" i="1"/>
  <c r="QG207" i="1"/>
  <c r="QH207" i="1"/>
  <c r="QI207" i="1"/>
  <c r="QJ207" i="1"/>
  <c r="QK207" i="1"/>
  <c r="QL207" i="1"/>
  <c r="QM207" i="1"/>
  <c r="QN207" i="1"/>
  <c r="QO207" i="1"/>
  <c r="QP207" i="1"/>
  <c r="QQ207" i="1"/>
  <c r="QR207" i="1"/>
  <c r="QS207" i="1"/>
  <c r="QT207" i="1"/>
  <c r="QU207" i="1"/>
  <c r="QV207" i="1"/>
  <c r="QW207" i="1"/>
  <c r="QX207" i="1"/>
  <c r="I192" i="1"/>
  <c r="J192" i="1"/>
  <c r="K192" i="1"/>
  <c r="MM192" i="1"/>
  <c r="MN192" i="1"/>
  <c r="MO192" i="1"/>
  <c r="MP192" i="1"/>
  <c r="MQ192" i="1"/>
  <c r="MR192" i="1"/>
  <c r="MS192" i="1"/>
  <c r="MT192" i="1"/>
  <c r="MW192" i="1"/>
  <c r="MX192" i="1"/>
  <c r="MY192" i="1"/>
  <c r="MZ192" i="1"/>
  <c r="NA192" i="1"/>
  <c r="NB192" i="1"/>
  <c r="NE192" i="1"/>
  <c r="NF192" i="1"/>
  <c r="NC192" i="1"/>
  <c r="ND192" i="1"/>
  <c r="NG192" i="1"/>
  <c r="NH192" i="1"/>
  <c r="NI192" i="1"/>
  <c r="NJ192" i="1"/>
  <c r="NK192" i="1"/>
  <c r="NL192" i="1"/>
  <c r="NM192" i="1"/>
  <c r="NN192" i="1"/>
  <c r="NO192" i="1"/>
  <c r="NP192" i="1"/>
  <c r="NQ192" i="1"/>
  <c r="NR192" i="1"/>
  <c r="NS192" i="1"/>
  <c r="NT192" i="1"/>
  <c r="NU192" i="1"/>
  <c r="NV192" i="1"/>
  <c r="NW192" i="1"/>
  <c r="NX192" i="1"/>
  <c r="NY192" i="1"/>
  <c r="NZ192" i="1"/>
  <c r="OA192" i="1"/>
  <c r="OB192" i="1"/>
  <c r="OC192" i="1"/>
  <c r="OD192" i="1"/>
  <c r="OE192" i="1"/>
  <c r="OF192" i="1"/>
  <c r="OG192" i="1"/>
  <c r="OH192" i="1"/>
  <c r="OI192" i="1"/>
  <c r="OJ192" i="1"/>
  <c r="OM192" i="1"/>
  <c r="ON192" i="1"/>
  <c r="OO192" i="1"/>
  <c r="OP192" i="1"/>
  <c r="OQ192" i="1"/>
  <c r="OR192" i="1"/>
  <c r="OS192" i="1"/>
  <c r="OT192" i="1"/>
  <c r="OU192" i="1"/>
  <c r="OV192" i="1"/>
  <c r="OW192" i="1"/>
  <c r="OX192" i="1"/>
  <c r="OY192" i="1"/>
  <c r="PA192" i="1"/>
  <c r="PC192" i="1"/>
  <c r="PD192" i="1"/>
  <c r="PB192" i="1"/>
  <c r="BH189" i="148" s="1"/>
  <c r="PE192" i="1"/>
  <c r="PF192" i="1"/>
  <c r="PG192" i="1"/>
  <c r="PH192" i="1"/>
  <c r="PI192" i="1"/>
  <c r="PJ192" i="1"/>
  <c r="PK192" i="1"/>
  <c r="PL192" i="1"/>
  <c r="PM192" i="1"/>
  <c r="PN192" i="1"/>
  <c r="PO192" i="1"/>
  <c r="PQ192" i="1"/>
  <c r="PR192" i="1"/>
  <c r="PT192" i="1"/>
  <c r="PU192" i="1"/>
  <c r="PZ192" i="1"/>
  <c r="QA192" i="1"/>
  <c r="QB192" i="1"/>
  <c r="QC192" i="1"/>
  <c r="QD192" i="1"/>
  <c r="QE192" i="1"/>
  <c r="QF192" i="1"/>
  <c r="QG192" i="1"/>
  <c r="QH192" i="1"/>
  <c r="QI192" i="1"/>
  <c r="QJ192" i="1"/>
  <c r="QK192" i="1"/>
  <c r="QL192" i="1"/>
  <c r="QM192" i="1"/>
  <c r="QN192" i="1"/>
  <c r="QO192" i="1"/>
  <c r="QP192" i="1"/>
  <c r="QQ192" i="1"/>
  <c r="QR192" i="1"/>
  <c r="QS192" i="1"/>
  <c r="QT192" i="1"/>
  <c r="QU192" i="1"/>
  <c r="QV192" i="1"/>
  <c r="QW192" i="1"/>
  <c r="QX192" i="1"/>
  <c r="P2" i="1"/>
  <c r="P8" i="1"/>
  <c r="P72" i="1"/>
  <c r="P9" i="1"/>
  <c r="P5" i="1"/>
  <c r="P16" i="1"/>
  <c r="P12" i="1"/>
  <c r="P4" i="1"/>
  <c r="P23" i="1"/>
  <c r="P3" i="1"/>
  <c r="P15" i="1"/>
  <c r="P20" i="1"/>
  <c r="P13" i="1"/>
  <c r="P14" i="1"/>
  <c r="P59" i="1"/>
  <c r="P38" i="1"/>
  <c r="P21" i="1"/>
  <c r="P27" i="1"/>
  <c r="P17" i="1"/>
  <c r="P6" i="1"/>
  <c r="P68" i="1"/>
  <c r="P7" i="1"/>
  <c r="P121" i="1"/>
  <c r="P24" i="1"/>
  <c r="P30" i="1"/>
  <c r="P40" i="1"/>
  <c r="P35" i="1"/>
  <c r="P29" i="1"/>
  <c r="P37" i="1"/>
  <c r="P28" i="1"/>
  <c r="P50" i="1"/>
  <c r="P19" i="1"/>
  <c r="P11" i="1"/>
  <c r="P10" i="1"/>
  <c r="P33" i="1"/>
  <c r="P39" i="1"/>
  <c r="P26" i="1"/>
  <c r="P22" i="1"/>
  <c r="P47" i="1"/>
  <c r="P109" i="1"/>
  <c r="P64" i="1"/>
  <c r="P115" i="1"/>
  <c r="P52" i="1"/>
  <c r="P63" i="1"/>
  <c r="P49" i="1"/>
  <c r="P77" i="1"/>
  <c r="P31" i="1"/>
  <c r="P41" i="1"/>
  <c r="P62" i="1"/>
  <c r="P191" i="1"/>
  <c r="P85" i="1"/>
  <c r="P32" i="1"/>
  <c r="P34" i="1"/>
  <c r="P36" i="1"/>
  <c r="P93" i="1"/>
  <c r="P117" i="1"/>
  <c r="P45" i="1"/>
  <c r="P154" i="1"/>
  <c r="P107" i="1"/>
  <c r="P98" i="1"/>
  <c r="P48" i="1"/>
  <c r="P138" i="1"/>
  <c r="P75" i="1"/>
  <c r="P122" i="1"/>
  <c r="P186" i="1"/>
  <c r="P84" i="1"/>
  <c r="P116" i="1"/>
  <c r="P89" i="1"/>
  <c r="P74" i="1"/>
  <c r="P61" i="1"/>
  <c r="P87" i="1"/>
  <c r="P70" i="1"/>
  <c r="P44" i="1"/>
  <c r="P82" i="1"/>
  <c r="P88" i="1"/>
  <c r="P53" i="1"/>
  <c r="P73" i="1"/>
  <c r="P111" i="1"/>
  <c r="P175" i="1"/>
  <c r="P51" i="1"/>
  <c r="P83" i="1"/>
  <c r="P55" i="1"/>
  <c r="P157" i="1"/>
  <c r="P91" i="1"/>
  <c r="P158" i="1"/>
  <c r="P105" i="1"/>
  <c r="P103" i="1"/>
  <c r="P188" i="1"/>
  <c r="P163" i="1"/>
  <c r="P101" i="1"/>
  <c r="P25" i="1"/>
  <c r="P120" i="1"/>
  <c r="P42" i="1"/>
  <c r="P114" i="1"/>
  <c r="P67" i="1"/>
  <c r="P58" i="1"/>
  <c r="P43" i="1"/>
  <c r="P183" i="1"/>
  <c r="P46" i="1"/>
  <c r="P155" i="1"/>
  <c r="P145" i="1"/>
  <c r="P112" i="1"/>
  <c r="P92" i="1"/>
  <c r="P148" i="1"/>
  <c r="P179" i="1"/>
  <c r="P57" i="1"/>
  <c r="P128" i="1"/>
  <c r="P134" i="1"/>
  <c r="P144" i="1"/>
  <c r="P110" i="1"/>
  <c r="P95" i="1"/>
  <c r="P99" i="1"/>
  <c r="P80" i="1"/>
  <c r="P81" i="1"/>
  <c r="P100" i="1"/>
  <c r="P60" i="1"/>
  <c r="P123" i="1"/>
  <c r="P86" i="1"/>
  <c r="P159" i="1"/>
  <c r="P76" i="1"/>
  <c r="P174" i="1"/>
  <c r="P201" i="1"/>
  <c r="P54" i="1"/>
  <c r="P56" i="1"/>
  <c r="P66" i="1"/>
  <c r="P90" i="1"/>
  <c r="P102" i="1"/>
  <c r="P94" i="1"/>
  <c r="P119" i="1"/>
  <c r="P161" i="1"/>
  <c r="P141" i="1"/>
  <c r="P147" i="1"/>
  <c r="P165" i="1"/>
  <c r="P132" i="1"/>
  <c r="P189" i="1"/>
  <c r="P133" i="1"/>
  <c r="P206" i="1"/>
  <c r="P78" i="1"/>
  <c r="P164" i="1"/>
  <c r="P143" i="1"/>
  <c r="P160" i="1"/>
  <c r="P150" i="1"/>
  <c r="P130" i="1"/>
  <c r="P65" i="1"/>
  <c r="P126" i="1"/>
  <c r="P96" i="1"/>
  <c r="P182" i="1"/>
  <c r="P195" i="1"/>
  <c r="P178" i="1"/>
  <c r="P181" i="1"/>
  <c r="P194" i="1"/>
  <c r="P208" i="1"/>
  <c r="P129" i="1"/>
  <c r="P180" i="1"/>
  <c r="P140" i="1"/>
  <c r="P125" i="1"/>
  <c r="P131" i="1"/>
  <c r="P173" i="1"/>
  <c r="P71" i="1"/>
  <c r="P184" i="1"/>
  <c r="P190" i="1"/>
  <c r="P142" i="1"/>
  <c r="P69" i="1"/>
  <c r="P151" i="1"/>
  <c r="P193" i="1"/>
  <c r="P104" i="1"/>
  <c r="P169" i="1"/>
  <c r="P135" i="1"/>
  <c r="P166" i="1"/>
  <c r="P97" i="1"/>
  <c r="P79" i="1"/>
  <c r="P146" i="1"/>
  <c r="P204" i="1"/>
  <c r="P113" i="1"/>
  <c r="P172" i="1"/>
  <c r="P171" i="1"/>
  <c r="P185" i="1"/>
  <c r="P137" i="1"/>
  <c r="P205" i="1"/>
  <c r="P177" i="1"/>
  <c r="P199" i="1"/>
  <c r="P106" i="1"/>
  <c r="P203" i="1"/>
  <c r="P124" i="1"/>
  <c r="P170" i="1"/>
  <c r="P152" i="1"/>
  <c r="P127" i="1"/>
  <c r="P118" i="1"/>
  <c r="P198" i="1"/>
  <c r="P156" i="1"/>
  <c r="P200" i="1"/>
  <c r="P136" i="1"/>
  <c r="P108" i="1"/>
  <c r="P149" i="1"/>
  <c r="P187" i="1"/>
  <c r="P168" i="1"/>
  <c r="P162" i="1"/>
  <c r="P139" i="1"/>
  <c r="P196" i="1"/>
  <c r="P153" i="1"/>
  <c r="P197" i="1"/>
  <c r="P176" i="1"/>
  <c r="P202" i="1"/>
  <c r="P167" i="1"/>
  <c r="P207" i="1"/>
  <c r="P192" i="1"/>
  <c r="C2" i="1"/>
  <c r="T3" i="1"/>
  <c r="T2" i="1"/>
  <c r="T8" i="1"/>
  <c r="T9" i="1"/>
  <c r="T16" i="1"/>
  <c r="T5" i="1"/>
  <c r="T4" i="1"/>
  <c r="T72" i="1"/>
  <c r="T18" i="1"/>
  <c r="T6" i="1"/>
  <c r="T7" i="1"/>
  <c r="T12" i="1"/>
  <c r="T17" i="1"/>
  <c r="T23" i="1"/>
  <c r="T59" i="1"/>
  <c r="T13" i="1"/>
  <c r="T15" i="1"/>
  <c r="T21" i="1"/>
  <c r="T20" i="1"/>
  <c r="T11" i="1"/>
  <c r="T10" i="1"/>
  <c r="T27" i="1"/>
  <c r="T38" i="1"/>
  <c r="T14" i="1"/>
  <c r="T40" i="1"/>
  <c r="T39" i="1"/>
  <c r="T37" i="1"/>
  <c r="T29" i="1"/>
  <c r="T121" i="1"/>
  <c r="T28" i="1"/>
  <c r="T25" i="1"/>
  <c r="T68" i="1"/>
  <c r="T32" i="1"/>
  <c r="T30" i="1"/>
  <c r="T24" i="1"/>
  <c r="T35" i="1"/>
  <c r="T22" i="1"/>
  <c r="T33" i="1"/>
  <c r="T44" i="1"/>
  <c r="T49" i="1"/>
  <c r="T19" i="1"/>
  <c r="T50" i="1"/>
  <c r="T70" i="1"/>
  <c r="T26" i="1"/>
  <c r="T47" i="1"/>
  <c r="T41" i="1"/>
  <c r="T34" i="1"/>
  <c r="T63" i="1"/>
  <c r="T61" i="1"/>
  <c r="T46" i="1"/>
  <c r="T31" i="1"/>
  <c r="T45" i="1"/>
  <c r="T74" i="1"/>
  <c r="T36" i="1"/>
  <c r="T43" i="1"/>
  <c r="T80" i="1"/>
  <c r="T82" i="1"/>
  <c r="T115" i="1"/>
  <c r="T62" i="1"/>
  <c r="T52" i="1"/>
  <c r="T154" i="1"/>
  <c r="T107" i="1"/>
  <c r="T88" i="1"/>
  <c r="T51" i="1"/>
  <c r="T58" i="1"/>
  <c r="T57" i="1"/>
  <c r="T55" i="1"/>
  <c r="T87" i="1"/>
  <c r="T109" i="1"/>
  <c r="T64" i="1"/>
  <c r="T42" i="1"/>
  <c r="T73" i="1"/>
  <c r="T116" i="1"/>
  <c r="T158" i="1"/>
  <c r="T77" i="1"/>
  <c r="T134" i="1"/>
  <c r="T84" i="1"/>
  <c r="T85" i="1"/>
  <c r="T191" i="1"/>
  <c r="T60" i="1"/>
  <c r="T48" i="1"/>
  <c r="T161" i="1"/>
  <c r="T155" i="1"/>
  <c r="T83" i="1"/>
  <c r="T120" i="1"/>
  <c r="T93" i="1"/>
  <c r="T119" i="1"/>
  <c r="T92" i="1"/>
  <c r="T94" i="1"/>
  <c r="T67" i="1"/>
  <c r="T117" i="1"/>
  <c r="T122" i="1"/>
  <c r="T126" i="1"/>
  <c r="T98" i="1"/>
  <c r="T164" i="1"/>
  <c r="T145" i="1"/>
  <c r="T111" i="1"/>
  <c r="T138" i="1"/>
  <c r="T75" i="1"/>
  <c r="T186" i="1"/>
  <c r="T90" i="1"/>
  <c r="T157" i="1"/>
  <c r="T112" i="1"/>
  <c r="T148" i="1"/>
  <c r="T89" i="1"/>
  <c r="T172" i="1"/>
  <c r="T183" i="1"/>
  <c r="T99" i="1"/>
  <c r="T114" i="1"/>
  <c r="T97" i="1"/>
  <c r="T178" i="1"/>
  <c r="T144" i="1"/>
  <c r="T91" i="1"/>
  <c r="T95" i="1"/>
  <c r="T53" i="1"/>
  <c r="T175" i="1"/>
  <c r="T78" i="1"/>
  <c r="T160" i="1"/>
  <c r="T66" i="1"/>
  <c r="T81" i="1"/>
  <c r="T86" i="1"/>
  <c r="T140" i="1"/>
  <c r="T69" i="1"/>
  <c r="T54" i="1"/>
  <c r="T179" i="1"/>
  <c r="T110" i="1"/>
  <c r="T101" i="1"/>
  <c r="T76" i="1"/>
  <c r="T103" i="1"/>
  <c r="T174" i="1"/>
  <c r="T105" i="1"/>
  <c r="T188" i="1"/>
  <c r="T163" i="1"/>
  <c r="T129" i="1"/>
  <c r="T153" i="1"/>
  <c r="T208" i="1"/>
  <c r="T65" i="1"/>
  <c r="T123" i="1"/>
  <c r="T106" i="1"/>
  <c r="T205" i="1"/>
  <c r="T125" i="1"/>
  <c r="T152" i="1"/>
  <c r="T113" i="1"/>
  <c r="T131" i="1"/>
  <c r="T185" i="1"/>
  <c r="T181" i="1"/>
  <c r="T128" i="1"/>
  <c r="T146" i="1"/>
  <c r="T71" i="1"/>
  <c r="T165" i="1"/>
  <c r="T132" i="1"/>
  <c r="T79" i="1"/>
  <c r="T193" i="1"/>
  <c r="T141" i="1"/>
  <c r="T96" i="1"/>
  <c r="T159" i="1"/>
  <c r="T151" i="1"/>
  <c r="T204" i="1"/>
  <c r="T142" i="1"/>
  <c r="T100" i="1"/>
  <c r="T56" i="1"/>
  <c r="T150" i="1"/>
  <c r="T206" i="1"/>
  <c r="T124" i="1"/>
  <c r="T194" i="1"/>
  <c r="T195" i="1"/>
  <c r="T182" i="1"/>
  <c r="T201" i="1"/>
  <c r="T192" i="1"/>
  <c r="T173" i="1"/>
  <c r="T198" i="1"/>
  <c r="T167" i="1"/>
  <c r="T162" i="1"/>
  <c r="T147" i="1"/>
  <c r="T143" i="1"/>
  <c r="T168" i="1"/>
  <c r="T133" i="1"/>
  <c r="T180" i="1"/>
  <c r="T102" i="1"/>
  <c r="T177" i="1"/>
  <c r="T202" i="1"/>
  <c r="T127" i="1"/>
  <c r="T203" i="1"/>
  <c r="T199" i="1"/>
  <c r="T187" i="1"/>
  <c r="T184" i="1"/>
  <c r="T200" i="1"/>
  <c r="T130" i="1"/>
  <c r="T136" i="1"/>
  <c r="T104" i="1"/>
  <c r="T166" i="1"/>
  <c r="T135" i="1"/>
  <c r="T149" i="1"/>
  <c r="T190" i="1"/>
  <c r="T196" i="1"/>
  <c r="T108" i="1"/>
  <c r="T189" i="1"/>
  <c r="T169" i="1"/>
  <c r="T137" i="1"/>
  <c r="T176" i="1"/>
  <c r="T170" i="1"/>
  <c r="T171" i="1"/>
  <c r="T118" i="1"/>
  <c r="T156" i="1"/>
  <c r="T139" i="1"/>
  <c r="T197" i="1"/>
  <c r="T207" i="1"/>
  <c r="H7" i="2"/>
  <c r="B2" i="148"/>
  <c r="B16" i="148"/>
  <c r="B4" i="148"/>
  <c r="B5" i="148"/>
  <c r="B75" i="148"/>
  <c r="B3" i="148"/>
  <c r="B7" i="148"/>
  <c r="B6" i="148"/>
  <c r="B17" i="148"/>
  <c r="B60" i="148"/>
  <c r="B21" i="148"/>
  <c r="B18" i="148"/>
  <c r="B14" i="148"/>
  <c r="B11" i="148"/>
  <c r="B28" i="148"/>
  <c r="B37" i="148"/>
  <c r="B23" i="148"/>
  <c r="B10" i="148"/>
  <c r="B20" i="148"/>
  <c r="B38" i="148"/>
  <c r="B12" i="148"/>
  <c r="B36" i="148"/>
  <c r="B80" i="148"/>
  <c r="B15" i="148"/>
  <c r="B22" i="148"/>
  <c r="B40" i="148"/>
  <c r="B27" i="148"/>
  <c r="B32" i="148"/>
  <c r="B116" i="148"/>
  <c r="B39" i="148"/>
  <c r="B26" i="148"/>
  <c r="B68" i="148"/>
  <c r="B25" i="148"/>
  <c r="B13" i="148"/>
  <c r="B177" i="148"/>
  <c r="B46" i="148"/>
  <c r="B19" i="148"/>
  <c r="B49" i="148"/>
  <c r="B83" i="148"/>
  <c r="B33" i="148"/>
  <c r="B44" i="148"/>
  <c r="B64" i="148"/>
  <c r="B29" i="148"/>
  <c r="B85" i="148"/>
  <c r="B45" i="148"/>
  <c r="B61" i="148"/>
  <c r="B34" i="148"/>
  <c r="B24" i="148"/>
  <c r="B70" i="148"/>
  <c r="B35" i="148"/>
  <c r="B31" i="148"/>
  <c r="B41" i="148"/>
  <c r="B125" i="148"/>
  <c r="B52" i="148"/>
  <c r="B42" i="148"/>
  <c r="B55" i="148"/>
  <c r="B50" i="148"/>
  <c r="B48" i="148"/>
  <c r="B30" i="148"/>
  <c r="B53" i="148"/>
  <c r="B59" i="148"/>
  <c r="B173" i="148"/>
  <c r="B65" i="148"/>
  <c r="B66" i="148"/>
  <c r="B58" i="148"/>
  <c r="B43" i="148"/>
  <c r="B195" i="148"/>
  <c r="B128" i="148"/>
  <c r="B87" i="148"/>
  <c r="B200" i="148"/>
  <c r="B71" i="148"/>
  <c r="B86" i="148"/>
  <c r="B129" i="148"/>
  <c r="B206" i="148"/>
  <c r="B106" i="148"/>
  <c r="B56" i="148"/>
  <c r="B63" i="148"/>
  <c r="B73" i="148"/>
  <c r="B74" i="148"/>
  <c r="B157" i="148"/>
  <c r="B57" i="148"/>
  <c r="B47" i="148"/>
  <c r="B109" i="148"/>
  <c r="B153" i="148"/>
  <c r="B92" i="148"/>
  <c r="B97" i="148"/>
  <c r="B103" i="148"/>
  <c r="B188" i="148"/>
  <c r="B127" i="148"/>
  <c r="B180" i="148"/>
  <c r="B77" i="148"/>
  <c r="B91" i="148"/>
  <c r="B62" i="148"/>
  <c r="B193" i="148"/>
  <c r="B141" i="148"/>
  <c r="B142" i="148"/>
  <c r="B204" i="148"/>
  <c r="B174" i="148"/>
  <c r="B89" i="148"/>
  <c r="B100" i="148"/>
  <c r="B119" i="148"/>
  <c r="B90" i="148"/>
  <c r="B94" i="148"/>
  <c r="B98" i="148"/>
  <c r="B150" i="148"/>
  <c r="B95" i="148"/>
  <c r="B145" i="148"/>
  <c r="B111" i="148"/>
  <c r="B72" i="148"/>
  <c r="B84" i="148"/>
  <c r="B158" i="148"/>
  <c r="B166" i="148"/>
  <c r="B151" i="148"/>
  <c r="B118" i="148"/>
  <c r="B171" i="148"/>
  <c r="B156" i="148"/>
  <c r="B176" i="148"/>
  <c r="B82" i="148"/>
  <c r="B185" i="148"/>
  <c r="B76" i="148"/>
  <c r="B183" i="148"/>
  <c r="B192" i="148"/>
  <c r="B101" i="148"/>
  <c r="B202" i="148"/>
  <c r="B207" i="148"/>
  <c r="B130" i="148"/>
  <c r="B161" i="148"/>
  <c r="B197" i="148"/>
  <c r="B165" i="148"/>
  <c r="B175" i="148"/>
  <c r="B126" i="148"/>
  <c r="B201" i="148"/>
  <c r="B186" i="148"/>
  <c r="B51" i="148"/>
  <c r="B69" i="148"/>
  <c r="B88" i="148"/>
  <c r="B159" i="148"/>
  <c r="B99" i="148"/>
  <c r="B164" i="148"/>
  <c r="B131" i="148"/>
  <c r="B160" i="148"/>
  <c r="B93" i="148"/>
  <c r="B105" i="148"/>
  <c r="B137" i="148"/>
  <c r="B168" i="148"/>
  <c r="B154" i="148"/>
  <c r="B184" i="148"/>
  <c r="B108" i="148"/>
  <c r="B139" i="148"/>
  <c r="B152" i="148"/>
  <c r="B181" i="148"/>
  <c r="B155" i="148"/>
  <c r="B115" i="148"/>
  <c r="B81" i="148"/>
  <c r="B134" i="148"/>
  <c r="B117" i="148"/>
  <c r="B67" i="148"/>
  <c r="B162" i="148"/>
  <c r="B102" i="148"/>
  <c r="B135" i="148"/>
  <c r="B163" i="148"/>
  <c r="B136" i="148"/>
  <c r="B138" i="148"/>
  <c r="B167" i="148"/>
  <c r="B169" i="148"/>
  <c r="B170" i="148"/>
  <c r="B104" i="148"/>
  <c r="B120" i="148"/>
  <c r="B172" i="148"/>
  <c r="B78" i="148"/>
  <c r="B54" i="148"/>
  <c r="B79" i="148"/>
  <c r="B140" i="148"/>
  <c r="B178" i="148"/>
  <c r="B179" i="148"/>
  <c r="B182" i="148"/>
  <c r="B121" i="148"/>
  <c r="B122" i="148"/>
  <c r="B123" i="148"/>
  <c r="B124" i="148"/>
  <c r="B143" i="148"/>
  <c r="B187" i="148"/>
  <c r="B144" i="148"/>
  <c r="B189" i="148"/>
  <c r="B190" i="148"/>
  <c r="B191" i="148"/>
  <c r="B146" i="148"/>
  <c r="B147" i="148"/>
  <c r="B194" i="148"/>
  <c r="B107" i="148"/>
  <c r="B96" i="148"/>
  <c r="B148" i="148"/>
  <c r="B196" i="148"/>
  <c r="B110" i="148"/>
  <c r="B198" i="148"/>
  <c r="B199" i="148"/>
  <c r="B149" i="148"/>
  <c r="B203" i="148"/>
  <c r="B112" i="148"/>
  <c r="B205" i="148"/>
  <c r="B132" i="148"/>
  <c r="B208" i="148"/>
  <c r="B113" i="148"/>
  <c r="H36" i="2"/>
  <c r="H37" i="2" s="1"/>
  <c r="H50" i="2"/>
  <c r="H47" i="2"/>
  <c r="H46" i="2"/>
  <c r="H44" i="2"/>
  <c r="H51" i="2"/>
  <c r="H55" i="2"/>
  <c r="H53" i="2"/>
  <c r="H52" i="2"/>
  <c r="H49" i="2"/>
  <c r="H48" i="2"/>
  <c r="H45" i="2"/>
  <c r="H43" i="2"/>
  <c r="H42" i="2"/>
  <c r="H41" i="2"/>
  <c r="H40" i="2"/>
  <c r="H39" i="2"/>
  <c r="H38" i="2"/>
  <c r="H35" i="2"/>
  <c r="H33" i="2"/>
  <c r="H32" i="2"/>
  <c r="H34" i="2" s="1"/>
  <c r="H30" i="2"/>
  <c r="H29" i="2"/>
  <c r="H28" i="2"/>
  <c r="H27" i="2"/>
  <c r="H26" i="2"/>
  <c r="H25" i="2"/>
  <c r="H24" i="2"/>
  <c r="H22" i="2"/>
  <c r="H21" i="2"/>
  <c r="H20" i="2"/>
  <c r="H18" i="2"/>
  <c r="H17" i="2"/>
  <c r="H16" i="2"/>
  <c r="H15" i="2"/>
  <c r="H14" i="2"/>
  <c r="H19" i="2"/>
  <c r="H13" i="2"/>
  <c r="H10" i="2"/>
  <c r="H9" i="2"/>
  <c r="H8" i="2"/>
  <c r="H5" i="2"/>
  <c r="H4" i="2"/>
  <c r="H3" i="2"/>
  <c r="H2" i="2"/>
  <c r="H31" i="2" s="1"/>
  <c r="H1" i="2"/>
  <c r="C7" i="1"/>
  <c r="C8" i="1"/>
  <c r="C72" i="1"/>
  <c r="C23" i="1"/>
  <c r="C11" i="1"/>
  <c r="C10" i="1"/>
  <c r="C16" i="1"/>
  <c r="C5" i="1"/>
  <c r="C59" i="1"/>
  <c r="C3" i="1"/>
  <c r="C17" i="1"/>
  <c r="C43" i="1"/>
  <c r="C4" i="1"/>
  <c r="C37" i="1"/>
  <c r="C6" i="1"/>
  <c r="C36" i="1"/>
  <c r="C121" i="1"/>
  <c r="C12" i="1"/>
  <c r="C49" i="1"/>
  <c r="C20" i="1"/>
  <c r="C40" i="1"/>
  <c r="C48" i="1"/>
  <c r="C61" i="1"/>
  <c r="C18" i="1"/>
  <c r="C25" i="1"/>
  <c r="C71" i="1"/>
  <c r="C117" i="1"/>
  <c r="C15" i="1"/>
  <c r="C26" i="1"/>
  <c r="C57" i="1"/>
  <c r="C159" i="1"/>
  <c r="C42" i="1"/>
  <c r="C115" i="1"/>
  <c r="C32" i="1"/>
  <c r="C91" i="1"/>
  <c r="C82" i="1"/>
  <c r="C28" i="1"/>
  <c r="C47" i="1"/>
  <c r="C70" i="1"/>
  <c r="C84" i="1"/>
  <c r="C29" i="1"/>
  <c r="C62" i="1"/>
  <c r="C119" i="1"/>
  <c r="C21" i="1"/>
  <c r="C35" i="1"/>
  <c r="C164" i="1"/>
  <c r="C127" i="1"/>
  <c r="C99" i="1"/>
  <c r="C102" i="1"/>
  <c r="C96" i="1"/>
  <c r="C30" i="1"/>
  <c r="C22" i="1"/>
  <c r="C31" i="1"/>
  <c r="C88" i="1"/>
  <c r="C38" i="1"/>
  <c r="C14" i="1"/>
  <c r="C45" i="1"/>
  <c r="C116" i="1"/>
  <c r="C80" i="1"/>
  <c r="C68" i="1"/>
  <c r="C173" i="1"/>
  <c r="C41" i="1"/>
  <c r="C27" i="1"/>
  <c r="C171" i="1"/>
  <c r="C50" i="1"/>
  <c r="C168" i="1"/>
  <c r="C187" i="1"/>
  <c r="C51" i="1"/>
  <c r="C130" i="1"/>
  <c r="C103" i="1"/>
  <c r="C155" i="1"/>
  <c r="C153" i="1"/>
  <c r="C94" i="1"/>
  <c r="C156" i="1"/>
  <c r="C204" i="1"/>
  <c r="C178" i="1"/>
  <c r="C33" i="1"/>
  <c r="C44" i="1"/>
  <c r="C74" i="1"/>
  <c r="C34" i="1"/>
  <c r="C87" i="1"/>
  <c r="C76" i="1"/>
  <c r="C55" i="1"/>
  <c r="C24" i="1"/>
  <c r="C39" i="1"/>
  <c r="C19" i="1"/>
  <c r="C111" i="1"/>
  <c r="C163" i="1"/>
  <c r="C64" i="1"/>
  <c r="C125" i="1"/>
  <c r="C81" i="1"/>
  <c r="C165" i="1"/>
  <c r="C65" i="1"/>
  <c r="C151" i="1"/>
  <c r="C166" i="1"/>
  <c r="C167" i="1"/>
  <c r="C69" i="1"/>
  <c r="C89" i="1"/>
  <c r="C109" i="1"/>
  <c r="C169" i="1"/>
  <c r="C170" i="1"/>
  <c r="C149" i="1"/>
  <c r="C152" i="1"/>
  <c r="C172" i="1"/>
  <c r="C136" i="1"/>
  <c r="C137" i="1"/>
  <c r="C78" i="1"/>
  <c r="C46" i="1"/>
  <c r="C73" i="1"/>
  <c r="C58" i="1"/>
  <c r="C174" i="1"/>
  <c r="C175" i="1"/>
  <c r="C133" i="1"/>
  <c r="C176" i="1"/>
  <c r="C105" i="1"/>
  <c r="C177" i="1"/>
  <c r="C56" i="1"/>
  <c r="C92" i="1"/>
  <c r="C113" i="1"/>
  <c r="C131" i="1"/>
  <c r="C52" i="1"/>
  <c r="C135" i="1"/>
  <c r="C79" i="1"/>
  <c r="C179" i="1"/>
  <c r="C180" i="1"/>
  <c r="C53" i="1"/>
  <c r="C181" i="1"/>
  <c r="C154" i="1"/>
  <c r="C77" i="1"/>
  <c r="C60" i="1"/>
  <c r="C146" i="1"/>
  <c r="C95" i="1"/>
  <c r="C67" i="1"/>
  <c r="C54" i="1"/>
  <c r="C182" i="1"/>
  <c r="C93" i="1"/>
  <c r="C183" i="1"/>
  <c r="C158" i="1"/>
  <c r="C184" i="1"/>
  <c r="C85" i="1"/>
  <c r="C185" i="1"/>
  <c r="C132" i="1"/>
  <c r="C123" i="1"/>
  <c r="C75" i="1"/>
  <c r="C186" i="1"/>
  <c r="C138" i="1"/>
  <c r="C141" i="1"/>
  <c r="C129" i="1"/>
  <c r="C188" i="1"/>
  <c r="C189" i="1"/>
  <c r="C139" i="1"/>
  <c r="C90" i="1"/>
  <c r="C190" i="1"/>
  <c r="C98" i="1"/>
  <c r="C107" i="1"/>
  <c r="C191" i="1"/>
  <c r="C86" i="1"/>
  <c r="C147" i="1"/>
  <c r="C140" i="1"/>
  <c r="C192" i="1"/>
  <c r="C193" i="1"/>
  <c r="C194" i="1"/>
  <c r="C144" i="1"/>
  <c r="C134" i="1"/>
  <c r="C195" i="1"/>
  <c r="C157" i="1"/>
  <c r="C196" i="1"/>
  <c r="C128" i="1"/>
  <c r="C126" i="1"/>
  <c r="C110" i="1"/>
  <c r="C97" i="1"/>
  <c r="C13" i="1"/>
  <c r="C160" i="1"/>
  <c r="C114" i="1"/>
  <c r="C150" i="1"/>
  <c r="C197" i="1"/>
  <c r="C104" i="1"/>
  <c r="C108" i="1"/>
  <c r="C122" i="1"/>
  <c r="C198" i="1"/>
  <c r="C83" i="1"/>
  <c r="C112" i="1"/>
  <c r="C199" i="1"/>
  <c r="C200" i="1"/>
  <c r="C161" i="1"/>
  <c r="C201" i="1"/>
  <c r="C202" i="1"/>
  <c r="C142" i="1"/>
  <c r="C203" i="1"/>
  <c r="C100" i="1"/>
  <c r="C145" i="1"/>
  <c r="C118" i="1"/>
  <c r="C63" i="1"/>
  <c r="C205" i="1"/>
  <c r="C124" i="1"/>
  <c r="C206" i="1"/>
  <c r="C207" i="1"/>
  <c r="C66" i="1"/>
  <c r="C148" i="1"/>
  <c r="C208" i="1"/>
  <c r="C120" i="1"/>
  <c r="C101" i="1"/>
  <c r="C143" i="1"/>
  <c r="B449" i="2"/>
  <c r="AS148" i="148"/>
  <c r="BH197" i="148" l="1"/>
  <c r="BH171" i="148"/>
  <c r="BH203" i="148"/>
  <c r="BH80" i="148"/>
  <c r="BH143" i="148"/>
  <c r="BH17" i="148"/>
  <c r="BH30" i="148"/>
  <c r="BH141" i="148"/>
  <c r="BH97" i="148"/>
  <c r="BH133" i="148"/>
  <c r="BH147" i="148"/>
  <c r="BH201" i="148"/>
  <c r="BH157" i="148"/>
  <c r="BH148" i="148"/>
  <c r="BH77" i="148"/>
  <c r="BH174" i="148"/>
  <c r="BH130" i="148"/>
  <c r="BH96" i="148"/>
  <c r="BH161" i="148"/>
  <c r="BH140" i="148"/>
  <c r="BH127" i="148"/>
  <c r="BH166" i="148"/>
  <c r="D97" i="1"/>
  <c r="BH153" i="148"/>
  <c r="D446" i="2" a="1"/>
  <c r="D154" i="1"/>
  <c r="BH149" i="148"/>
  <c r="BH146" i="148"/>
  <c r="E446" i="2"/>
  <c r="BH13" i="148"/>
  <c r="BH162" i="148"/>
  <c r="BH137" i="148"/>
  <c r="BH122" i="148"/>
  <c r="BH128" i="148"/>
  <c r="BH129" i="148"/>
  <c r="BH178" i="148"/>
  <c r="BH115" i="148"/>
  <c r="BH159" i="148"/>
  <c r="BH98" i="148"/>
  <c r="BH183" i="148"/>
  <c r="BH57" i="148"/>
  <c r="BH158" i="148"/>
  <c r="BH134" i="148"/>
  <c r="BH168" i="148"/>
  <c r="BH179" i="148"/>
  <c r="BH38" i="148"/>
  <c r="BH107" i="148"/>
  <c r="BH187" i="148"/>
  <c r="BH34" i="148"/>
  <c r="BH25" i="148"/>
  <c r="BH10" i="148"/>
  <c r="BH155" i="148"/>
  <c r="BH73" i="148"/>
  <c r="BH170" i="148"/>
  <c r="D444" i="2" a="1"/>
  <c r="BH78" i="148"/>
  <c r="BH105" i="148"/>
  <c r="BH102" i="148"/>
  <c r="BH87" i="148"/>
  <c r="BH46" i="148"/>
  <c r="BH121" i="148"/>
  <c r="BH207" i="148"/>
  <c r="BH82" i="148"/>
  <c r="BH85" i="148"/>
  <c r="BH81" i="148"/>
  <c r="BH93" i="148"/>
  <c r="F82" i="1"/>
  <c r="F88" i="1"/>
  <c r="F75" i="1"/>
  <c r="F74" i="1"/>
  <c r="F158" i="1"/>
  <c r="F163" i="1"/>
  <c r="F25" i="1"/>
  <c r="F67" i="1"/>
  <c r="F161" i="1"/>
  <c r="F148" i="1"/>
  <c r="F81" i="1"/>
  <c r="F201" i="1"/>
  <c r="F141" i="1"/>
  <c r="F206" i="1"/>
  <c r="F96" i="1"/>
  <c r="F194" i="1"/>
  <c r="F131" i="1"/>
  <c r="F151" i="1"/>
  <c r="F79" i="1"/>
  <c r="F171" i="1"/>
  <c r="F199" i="1"/>
  <c r="F118" i="1"/>
  <c r="F149" i="1"/>
  <c r="F139" i="1"/>
  <c r="F167" i="1"/>
  <c r="F186" i="1"/>
  <c r="F53" i="1"/>
  <c r="F105" i="1"/>
  <c r="F57" i="1"/>
  <c r="F159" i="1"/>
  <c r="F112" i="1"/>
  <c r="F100" i="1"/>
  <c r="F94" i="1"/>
  <c r="F133" i="1"/>
  <c r="F182" i="1"/>
  <c r="F140" i="1"/>
  <c r="F69" i="1"/>
  <c r="F204" i="1"/>
  <c r="F205" i="1"/>
  <c r="F152" i="1"/>
  <c r="F162" i="1"/>
  <c r="F202" i="1"/>
  <c r="F27" i="1"/>
  <c r="F28" i="1"/>
  <c r="F64" i="1"/>
  <c r="F41" i="1"/>
  <c r="F34" i="1"/>
  <c r="F98" i="1"/>
  <c r="F116" i="1"/>
  <c r="F73" i="1"/>
  <c r="F175" i="1"/>
  <c r="F103" i="1"/>
  <c r="F66" i="1"/>
  <c r="F145" i="1"/>
  <c r="F95" i="1"/>
  <c r="F144" i="1"/>
  <c r="F174" i="1"/>
  <c r="F132" i="1"/>
  <c r="F130" i="1"/>
  <c r="F208" i="1"/>
  <c r="F184" i="1"/>
  <c r="F166" i="1"/>
  <c r="F185" i="1"/>
  <c r="F124" i="1"/>
  <c r="F136" i="1"/>
  <c r="F197" i="1"/>
  <c r="F16" i="1"/>
  <c r="F20" i="1"/>
  <c r="F18" i="1"/>
  <c r="F15" i="1"/>
  <c r="F21" i="1"/>
  <c r="F121" i="1"/>
  <c r="F40" i="1"/>
  <c r="F37" i="1"/>
  <c r="F109" i="1"/>
  <c r="F115" i="1"/>
  <c r="F191" i="1"/>
  <c r="F36" i="1"/>
  <c r="F154" i="1"/>
  <c r="F122" i="1"/>
  <c r="F61" i="1"/>
  <c r="F111" i="1"/>
  <c r="F55" i="1"/>
  <c r="F91" i="1"/>
  <c r="F60" i="1"/>
  <c r="F155" i="1"/>
  <c r="F120" i="1"/>
  <c r="F110" i="1"/>
  <c r="F90" i="1"/>
  <c r="F147" i="1"/>
  <c r="F78" i="1"/>
  <c r="F195" i="1"/>
  <c r="F129" i="1"/>
  <c r="F190" i="1"/>
  <c r="F169" i="1"/>
  <c r="F113" i="1"/>
  <c r="F177" i="1"/>
  <c r="F170" i="1"/>
  <c r="F108" i="1"/>
  <c r="F196" i="1"/>
  <c r="F192" i="1"/>
  <c r="F11" i="1"/>
  <c r="F13" i="1"/>
  <c r="F72" i="1"/>
  <c r="F14" i="1"/>
  <c r="F38" i="1"/>
  <c r="F17" i="1"/>
  <c r="F30" i="1"/>
  <c r="F35" i="1"/>
  <c r="F19" i="1"/>
  <c r="F63" i="1"/>
  <c r="F31" i="1"/>
  <c r="F62" i="1"/>
  <c r="F93" i="1"/>
  <c r="F107" i="1"/>
  <c r="F84" i="1"/>
  <c r="F70" i="1"/>
  <c r="F157" i="1"/>
  <c r="F188" i="1"/>
  <c r="F80" i="1"/>
  <c r="F134" i="1"/>
  <c r="F76" i="1"/>
  <c r="F42" i="1"/>
  <c r="F179" i="1"/>
  <c r="F123" i="1"/>
  <c r="F102" i="1"/>
  <c r="F165" i="1"/>
  <c r="F143" i="1"/>
  <c r="F178" i="1"/>
  <c r="F180" i="1"/>
  <c r="F173" i="1"/>
  <c r="F193" i="1"/>
  <c r="F146" i="1"/>
  <c r="F137" i="1"/>
  <c r="F203" i="1"/>
  <c r="F200" i="1"/>
  <c r="F168" i="1"/>
  <c r="F153" i="1"/>
  <c r="F207" i="1"/>
  <c r="F6" i="1"/>
  <c r="F12" i="1"/>
  <c r="F5" i="1"/>
  <c r="F23" i="1"/>
  <c r="F59" i="1"/>
  <c r="F68" i="1"/>
  <c r="F24" i="1"/>
  <c r="F29" i="1"/>
  <c r="F33" i="1"/>
  <c r="F77" i="1"/>
  <c r="F85" i="1"/>
  <c r="F32" i="1"/>
  <c r="F117" i="1"/>
  <c r="F138" i="1"/>
  <c r="F89" i="1"/>
  <c r="F87" i="1"/>
  <c r="F51" i="1"/>
  <c r="F83" i="1"/>
  <c r="F101" i="1"/>
  <c r="F58" i="1"/>
  <c r="F92" i="1"/>
  <c r="F114" i="1"/>
  <c r="F183" i="1"/>
  <c r="F128" i="1"/>
  <c r="F86" i="1"/>
  <c r="F119" i="1"/>
  <c r="F189" i="1"/>
  <c r="F150" i="1"/>
  <c r="F181" i="1"/>
  <c r="F125" i="1"/>
  <c r="F142" i="1"/>
  <c r="F97" i="1"/>
  <c r="F172" i="1"/>
  <c r="F106" i="1"/>
  <c r="F198" i="1"/>
  <c r="F187" i="1"/>
  <c r="F176" i="1"/>
  <c r="F52" i="1"/>
  <c r="F46" i="1"/>
  <c r="F126" i="1"/>
  <c r="F56" i="1"/>
  <c r="F156" i="1"/>
  <c r="F160" i="1"/>
  <c r="F49" i="1"/>
  <c r="F104" i="1"/>
  <c r="F135" i="1"/>
  <c r="F10" i="1"/>
  <c r="F39" i="1"/>
  <c r="F54" i="1"/>
  <c r="F50" i="1"/>
  <c r="F71" i="1"/>
  <c r="F7" i="1"/>
  <c r="F164" i="1"/>
  <c r="F4" i="1"/>
  <c r="F99" i="1"/>
  <c r="F8" i="1"/>
  <c r="F9" i="1"/>
  <c r="F127" i="1"/>
  <c r="F44" i="1"/>
  <c r="F45" i="1"/>
  <c r="F48" i="1"/>
  <c r="F47" i="1"/>
  <c r="F22" i="1"/>
  <c r="F26" i="1"/>
  <c r="F65" i="1"/>
  <c r="F3" i="1"/>
  <c r="F2" i="1"/>
  <c r="F43" i="1"/>
  <c r="BH142" i="148"/>
  <c r="BH156" i="148"/>
  <c r="BH154" i="148"/>
  <c r="BH8" i="148"/>
  <c r="BH31" i="148"/>
  <c r="BH181" i="148"/>
  <c r="BH119" i="148"/>
  <c r="BH43" i="148"/>
  <c r="BH191" i="148"/>
  <c r="BH74" i="148"/>
  <c r="BH3" i="148"/>
  <c r="BH84" i="148"/>
  <c r="BH110" i="148"/>
  <c r="BH70" i="148"/>
  <c r="BH188" i="148"/>
  <c r="BH152" i="148"/>
  <c r="BH79" i="148"/>
  <c r="BH111" i="148"/>
  <c r="BH117" i="148"/>
  <c r="BH88" i="148"/>
  <c r="BH39" i="148"/>
  <c r="BH206" i="148"/>
  <c r="BH75" i="148"/>
  <c r="BH120" i="148"/>
  <c r="BH190" i="148"/>
  <c r="BH199" i="148"/>
  <c r="BH135" i="148"/>
  <c r="BH123" i="148"/>
  <c r="BH90" i="148"/>
  <c r="BH101" i="148"/>
  <c r="BH163" i="148"/>
  <c r="BH21" i="148"/>
  <c r="BH139" i="148"/>
  <c r="BH48" i="148"/>
  <c r="BH172" i="148"/>
  <c r="BH138" i="148"/>
  <c r="BH182" i="148"/>
  <c r="BH194" i="148"/>
  <c r="BH44" i="148"/>
  <c r="BH22" i="148"/>
  <c r="BH116" i="148"/>
  <c r="BH62" i="148"/>
  <c r="BH71" i="148"/>
  <c r="BH55" i="148"/>
  <c r="BH65" i="148"/>
  <c r="BH41" i="148"/>
  <c r="BH104" i="148"/>
  <c r="BH23" i="148"/>
  <c r="BH124" i="148"/>
  <c r="BH59" i="148"/>
  <c r="BH177" i="148"/>
  <c r="BH92" i="148"/>
  <c r="BH151" i="148"/>
  <c r="BH35" i="148"/>
  <c r="BH28" i="148"/>
  <c r="BH144" i="148"/>
  <c r="BH52" i="148"/>
  <c r="BH83" i="148"/>
  <c r="BH99" i="148"/>
  <c r="BH26" i="148"/>
  <c r="BH108" i="148"/>
  <c r="BH69" i="148"/>
  <c r="BH63" i="148"/>
  <c r="BH61" i="148"/>
  <c r="BH118" i="148"/>
  <c r="BH27" i="148"/>
  <c r="BH72" i="148"/>
  <c r="BH200" i="148"/>
  <c r="BH58" i="148"/>
  <c r="BH47" i="148"/>
  <c r="BH40" i="148"/>
  <c r="BH195" i="148"/>
  <c r="BH100" i="148"/>
  <c r="BH50" i="148"/>
  <c r="BH4" i="148"/>
  <c r="BH6" i="148"/>
  <c r="BH16" i="148"/>
  <c r="BH12" i="148"/>
  <c r="BH68" i="148"/>
  <c r="BH193" i="148"/>
  <c r="BH86" i="148"/>
  <c r="BH42" i="148"/>
  <c r="BH103" i="148"/>
  <c r="BH91" i="148"/>
  <c r="BH64" i="148"/>
  <c r="BH36" i="148"/>
  <c r="BH76" i="148"/>
  <c r="BH164" i="148"/>
  <c r="BH2" i="148"/>
  <c r="BH136" i="148"/>
  <c r="BH15" i="148"/>
  <c r="BH37" i="148"/>
  <c r="BH18" i="148"/>
  <c r="BH19" i="148"/>
  <c r="BH33" i="148"/>
  <c r="BH167" i="148"/>
  <c r="BH9" i="148"/>
  <c r="BH49" i="148"/>
  <c r="BH45" i="148"/>
  <c r="BH7" i="148"/>
  <c r="BH60" i="148"/>
  <c r="BH20" i="148"/>
  <c r="BH14" i="148"/>
  <c r="BH24" i="148"/>
  <c r="BH106" i="148"/>
  <c r="BH32" i="148"/>
  <c r="BH11" i="148"/>
  <c r="BH29" i="148"/>
  <c r="BH5" i="148"/>
  <c r="BH66" i="148"/>
  <c r="BK2" i="148"/>
  <c r="BL40" i="148"/>
  <c r="BL59" i="148"/>
  <c r="BL141" i="148"/>
  <c r="BL116" i="148"/>
  <c r="BL139" i="148"/>
  <c r="H206" i="1"/>
  <c r="H152" i="1"/>
  <c r="H139" i="1"/>
  <c r="H186" i="1"/>
  <c r="H143" i="1"/>
  <c r="H63" i="1"/>
  <c r="H191" i="1"/>
  <c r="H74" i="1"/>
  <c r="H100" i="1"/>
  <c r="H164" i="1"/>
  <c r="H107" i="1"/>
  <c r="H36" i="1"/>
  <c r="H61" i="1"/>
  <c r="H146" i="1"/>
  <c r="H50" i="1"/>
  <c r="H47" i="1"/>
  <c r="H86" i="1"/>
  <c r="H54" i="1"/>
  <c r="H119" i="1"/>
  <c r="H58" i="1"/>
  <c r="H128" i="1"/>
  <c r="H133" i="1"/>
  <c r="H44" i="1"/>
  <c r="H96" i="1"/>
  <c r="H106" i="1"/>
  <c r="H176" i="1"/>
  <c r="H13" i="1"/>
  <c r="H38" i="1"/>
  <c r="H24" i="1"/>
  <c r="H22" i="1"/>
  <c r="H31" i="1"/>
  <c r="H93" i="1"/>
  <c r="H75" i="1"/>
  <c r="H183" i="1"/>
  <c r="H148" i="1"/>
  <c r="H57" i="1"/>
  <c r="H99" i="1"/>
  <c r="H81" i="1"/>
  <c r="H76" i="1"/>
  <c r="H201" i="1"/>
  <c r="H150" i="1"/>
  <c r="H182" i="1"/>
  <c r="H181" i="1"/>
  <c r="H129" i="1"/>
  <c r="H71" i="1"/>
  <c r="H151" i="1"/>
  <c r="H172" i="1"/>
  <c r="H203" i="1"/>
  <c r="H156" i="1"/>
  <c r="H64" i="1"/>
  <c r="H142" i="1"/>
  <c r="H196" i="1"/>
  <c r="H5" i="1"/>
  <c r="H11" i="1"/>
  <c r="H72" i="1"/>
  <c r="H21" i="1"/>
  <c r="H68" i="1"/>
  <c r="H10" i="1"/>
  <c r="H26" i="1"/>
  <c r="H62" i="1"/>
  <c r="H98" i="1"/>
  <c r="H163" i="1"/>
  <c r="H46" i="1"/>
  <c r="H78" i="1"/>
  <c r="H125" i="1"/>
  <c r="H69" i="1"/>
  <c r="H104" i="1"/>
  <c r="H79" i="1"/>
  <c r="H113" i="1"/>
  <c r="H168" i="1"/>
  <c r="H4" i="1"/>
  <c r="H20" i="1"/>
  <c r="H8" i="1"/>
  <c r="H28" i="1"/>
  <c r="H89" i="1"/>
  <c r="H114" i="1"/>
  <c r="H123" i="1"/>
  <c r="H207" i="1"/>
  <c r="H6" i="1"/>
  <c r="H112" i="1"/>
  <c r="H174" i="1"/>
  <c r="H108" i="1"/>
  <c r="H73" i="1"/>
  <c r="H111" i="1"/>
  <c r="H83" i="1"/>
  <c r="H55" i="1"/>
  <c r="H157" i="1"/>
  <c r="H105" i="1"/>
  <c r="H25" i="1"/>
  <c r="H144" i="1"/>
  <c r="H32" i="1"/>
  <c r="H53" i="1"/>
  <c r="H188" i="1"/>
  <c r="H43" i="1"/>
  <c r="H134" i="1"/>
  <c r="H66" i="1"/>
  <c r="H102" i="1"/>
  <c r="H165" i="1"/>
  <c r="H65" i="1"/>
  <c r="H178" i="1"/>
  <c r="H140" i="1"/>
  <c r="H131" i="1"/>
  <c r="H97" i="1"/>
  <c r="H177" i="1"/>
  <c r="H124" i="1"/>
  <c r="H127" i="1"/>
  <c r="H19" i="1"/>
  <c r="H115" i="1"/>
  <c r="H85" i="1"/>
  <c r="H48" i="1"/>
  <c r="H82" i="1"/>
  <c r="H159" i="1"/>
  <c r="H173" i="1"/>
  <c r="H190" i="1"/>
  <c r="H193" i="1"/>
  <c r="H199" i="1"/>
  <c r="H170" i="1"/>
  <c r="H27" i="1"/>
  <c r="H15" i="1"/>
  <c r="H17" i="1"/>
  <c r="H30" i="1"/>
  <c r="H29" i="1"/>
  <c r="H154" i="1"/>
  <c r="H116" i="1"/>
  <c r="H91" i="1"/>
  <c r="H42" i="1"/>
  <c r="H95" i="1"/>
  <c r="H90" i="1"/>
  <c r="H189" i="1"/>
  <c r="H185" i="1"/>
  <c r="H198" i="1"/>
  <c r="H162" i="1"/>
  <c r="H197" i="1"/>
  <c r="H59" i="1"/>
  <c r="H16" i="1"/>
  <c r="H23" i="1"/>
  <c r="H109" i="1"/>
  <c r="H77" i="1"/>
  <c r="H34" i="1"/>
  <c r="H122" i="1"/>
  <c r="H70" i="1"/>
  <c r="H175" i="1"/>
  <c r="H103" i="1"/>
  <c r="H92" i="1"/>
  <c r="H179" i="1"/>
  <c r="H110" i="1"/>
  <c r="H56" i="1"/>
  <c r="H94" i="1"/>
  <c r="H161" i="1"/>
  <c r="H160" i="1"/>
  <c r="H126" i="1"/>
  <c r="H208" i="1"/>
  <c r="H166" i="1"/>
  <c r="H204" i="1"/>
  <c r="H137" i="1"/>
  <c r="H136" i="1"/>
  <c r="H149" i="1"/>
  <c r="H202" i="1"/>
  <c r="H40" i="1"/>
  <c r="H12" i="1"/>
  <c r="H37" i="1"/>
  <c r="H52" i="1"/>
  <c r="H45" i="1"/>
  <c r="H138" i="1"/>
  <c r="H88" i="1"/>
  <c r="H101" i="1"/>
  <c r="H120" i="1"/>
  <c r="H145" i="1"/>
  <c r="H141" i="1"/>
  <c r="H132" i="1"/>
  <c r="H180" i="1"/>
  <c r="H171" i="1"/>
  <c r="H118" i="1"/>
  <c r="H167" i="1"/>
  <c r="H9" i="1"/>
  <c r="H18" i="1"/>
  <c r="H35" i="1"/>
  <c r="H39" i="1"/>
  <c r="H41" i="1"/>
  <c r="H87" i="1"/>
  <c r="H51" i="1"/>
  <c r="H67" i="1"/>
  <c r="H80" i="1"/>
  <c r="H130" i="1"/>
  <c r="H195" i="1"/>
  <c r="H135" i="1"/>
  <c r="H205" i="1"/>
  <c r="H200" i="1"/>
  <c r="H187" i="1"/>
  <c r="H153" i="1"/>
  <c r="H192" i="1"/>
  <c r="H2" i="1"/>
  <c r="H3" i="1"/>
  <c r="H7" i="1"/>
  <c r="H14" i="1"/>
  <c r="H121" i="1"/>
  <c r="H33" i="1"/>
  <c r="H49" i="1"/>
  <c r="H117" i="1"/>
  <c r="H84" i="1"/>
  <c r="H158" i="1"/>
  <c r="H155" i="1"/>
  <c r="H60" i="1"/>
  <c r="H147" i="1"/>
  <c r="H194" i="1"/>
  <c r="H184" i="1"/>
  <c r="H169" i="1"/>
  <c r="PW213" i="1"/>
  <c r="PW212" i="1"/>
  <c r="PX213" i="1"/>
  <c r="PX212" i="1"/>
  <c r="PY212" i="1"/>
  <c r="PY213" i="1"/>
  <c r="PS212" i="1"/>
  <c r="PS213" i="1"/>
  <c r="PP213" i="1"/>
  <c r="PP212" i="1"/>
  <c r="PD213" i="1"/>
  <c r="PD212" i="1"/>
  <c r="PE212" i="1"/>
  <c r="PE213" i="1"/>
  <c r="PF212" i="1"/>
  <c r="PF213" i="1"/>
  <c r="PG212" i="1"/>
  <c r="PG213" i="1"/>
  <c r="PH212" i="1"/>
  <c r="PH213" i="1"/>
  <c r="PI213" i="1"/>
  <c r="PI212" i="1"/>
  <c r="PJ212" i="1"/>
  <c r="PJ213" i="1"/>
  <c r="PK213" i="1"/>
  <c r="PK212" i="1"/>
  <c r="PL212" i="1"/>
  <c r="PL213" i="1"/>
  <c r="PM212" i="1"/>
  <c r="PM213" i="1"/>
  <c r="PN212" i="1"/>
  <c r="PN213" i="1"/>
  <c r="PO212" i="1"/>
  <c r="PO213" i="1"/>
  <c r="PQ212" i="1"/>
  <c r="PQ213" i="1"/>
  <c r="PR212" i="1"/>
  <c r="PR213" i="1"/>
  <c r="PT213" i="1"/>
  <c r="PT212" i="1"/>
  <c r="PU213" i="1"/>
  <c r="PU212" i="1"/>
  <c r="PZ213" i="1"/>
  <c r="PZ212" i="1"/>
  <c r="QA213" i="1"/>
  <c r="QA212" i="1"/>
  <c r="QB212" i="1"/>
  <c r="QB213" i="1"/>
  <c r="QC213" i="1"/>
  <c r="QC212" i="1"/>
  <c r="QD212" i="1"/>
  <c r="QD213" i="1"/>
  <c r="QE213" i="1"/>
  <c r="QE212" i="1"/>
  <c r="QF213" i="1"/>
  <c r="QF212" i="1"/>
  <c r="QG212" i="1"/>
  <c r="QG213" i="1"/>
  <c r="QH212" i="1"/>
  <c r="QH213" i="1"/>
  <c r="QI212" i="1"/>
  <c r="QI213" i="1"/>
  <c r="QJ212" i="1"/>
  <c r="QJ213" i="1"/>
  <c r="QL212" i="1"/>
  <c r="QL213" i="1"/>
  <c r="QN212" i="1"/>
  <c r="QN213" i="1"/>
  <c r="QP212" i="1"/>
  <c r="QP213" i="1"/>
  <c r="QQ212" i="1"/>
  <c r="QQ213" i="1"/>
  <c r="QS213" i="1"/>
  <c r="QS212" i="1"/>
  <c r="QV213" i="1"/>
  <c r="QV212" i="1"/>
  <c r="QW213" i="1"/>
  <c r="QW212" i="1"/>
  <c r="QX212" i="1"/>
  <c r="QX213" i="1"/>
  <c r="QK212" i="1"/>
  <c r="QK213" i="1"/>
  <c r="QO212" i="1"/>
  <c r="QO213" i="1"/>
  <c r="QT213" i="1"/>
  <c r="QT212" i="1"/>
  <c r="QM212" i="1"/>
  <c r="QM213" i="1"/>
  <c r="QR213" i="1"/>
  <c r="QR212" i="1"/>
  <c r="QU212" i="1"/>
  <c r="QU213" i="1"/>
  <c r="PC213" i="1"/>
  <c r="PC212" i="1"/>
  <c r="D443" i="2" a="1"/>
  <c r="E443" i="2" s="1"/>
  <c r="D215" i="2" a="1"/>
  <c r="E215" i="2" s="1"/>
  <c r="D201" i="2" a="1"/>
  <c r="E201" i="2" s="1"/>
  <c r="AU104" i="148"/>
  <c r="AU178" i="148"/>
  <c r="AU142" i="148"/>
  <c r="AU109" i="148"/>
  <c r="D422" i="2" a="1"/>
  <c r="E422" i="2" s="1"/>
  <c r="C443" i="2" a="1"/>
  <c r="C422" i="2" a="1"/>
  <c r="C413" i="2" a="1"/>
  <c r="E444" i="2"/>
  <c r="AU59" i="148"/>
  <c r="AU116" i="148"/>
  <c r="AU75" i="148"/>
  <c r="AU97" i="148"/>
  <c r="AU55" i="148"/>
  <c r="BL27" i="148"/>
  <c r="BL140" i="148"/>
  <c r="BL177" i="148"/>
  <c r="BL19" i="148"/>
  <c r="BL47" i="148"/>
  <c r="BL133" i="148"/>
  <c r="BL17" i="148"/>
  <c r="BL73" i="148"/>
  <c r="BL16" i="148"/>
  <c r="K210" i="1"/>
  <c r="J210" i="1"/>
  <c r="I210" i="1"/>
  <c r="AV171" i="148"/>
  <c r="AV36" i="148"/>
  <c r="BL150" i="148"/>
  <c r="BL124" i="148"/>
  <c r="BL200" i="148"/>
  <c r="BL94" i="148"/>
  <c r="BL143" i="148"/>
  <c r="BL170" i="148"/>
  <c r="BL97" i="148"/>
  <c r="BL164" i="148"/>
  <c r="AV135" i="148"/>
  <c r="AV124" i="148"/>
  <c r="AV65" i="148"/>
  <c r="AU169" i="148"/>
  <c r="AV169" i="148"/>
  <c r="AV44" i="148"/>
  <c r="AV193" i="148"/>
  <c r="AV181" i="148"/>
  <c r="AV203" i="148"/>
  <c r="AV78" i="148"/>
  <c r="AV102" i="148"/>
  <c r="AV57" i="148"/>
  <c r="AV70" i="148"/>
  <c r="AV92" i="148"/>
  <c r="AV68" i="148"/>
  <c r="AV46" i="148"/>
  <c r="AV16" i="148"/>
  <c r="AV156" i="148"/>
  <c r="AN173" i="148"/>
  <c r="D26" i="2" a="1"/>
  <c r="E26" i="2" s="1"/>
  <c r="AW185" i="148"/>
  <c r="H56" i="2"/>
  <c r="OU212" i="1"/>
  <c r="OU213" i="1"/>
  <c r="OG212" i="1"/>
  <c r="OG213" i="1"/>
  <c r="NU212" i="1"/>
  <c r="NU213" i="1"/>
  <c r="NI212" i="1"/>
  <c r="NI213" i="1"/>
  <c r="MW212" i="1"/>
  <c r="MW213" i="1"/>
  <c r="JZ212" i="1"/>
  <c r="JZ213" i="1"/>
  <c r="KD212" i="1"/>
  <c r="KD213" i="1"/>
  <c r="KH212" i="1"/>
  <c r="KH213" i="1"/>
  <c r="KL212" i="1"/>
  <c r="KL213" i="1"/>
  <c r="KP212" i="1"/>
  <c r="KP213" i="1"/>
  <c r="KT212" i="1"/>
  <c r="KT213" i="1"/>
  <c r="KX212" i="1"/>
  <c r="KX213" i="1"/>
  <c r="LB212" i="1"/>
  <c r="LB213" i="1"/>
  <c r="LF212" i="1"/>
  <c r="LF213" i="1"/>
  <c r="LJ212" i="1"/>
  <c r="LJ213" i="1"/>
  <c r="LN212" i="1"/>
  <c r="LN213" i="1"/>
  <c r="LR212" i="1"/>
  <c r="LR213" i="1"/>
  <c r="LV212" i="1"/>
  <c r="LV213" i="1"/>
  <c r="LZ212" i="1"/>
  <c r="LZ213" i="1"/>
  <c r="MD212" i="1"/>
  <c r="MD213" i="1"/>
  <c r="OT212" i="1"/>
  <c r="OT213" i="1"/>
  <c r="OF212" i="1"/>
  <c r="OF213" i="1"/>
  <c r="NT212" i="1"/>
  <c r="NT213" i="1"/>
  <c r="NH212" i="1"/>
  <c r="NH213" i="1"/>
  <c r="MT212" i="1"/>
  <c r="MT213" i="1"/>
  <c r="OS212" i="1"/>
  <c r="OS213" i="1"/>
  <c r="OE212" i="1"/>
  <c r="OE213" i="1"/>
  <c r="NS212" i="1"/>
  <c r="NS213" i="1"/>
  <c r="NG212" i="1"/>
  <c r="NG213" i="1"/>
  <c r="MS212" i="1"/>
  <c r="MS213" i="1"/>
  <c r="ME213" i="1"/>
  <c r="ME212" i="1"/>
  <c r="MI212" i="1"/>
  <c r="MI213" i="1"/>
  <c r="OL212" i="1"/>
  <c r="OL213" i="1"/>
  <c r="OR212" i="1"/>
  <c r="OR213" i="1"/>
  <c r="OD212" i="1"/>
  <c r="OD213" i="1"/>
  <c r="NR212" i="1"/>
  <c r="NR213" i="1"/>
  <c r="ND213" i="1"/>
  <c r="ND212" i="1"/>
  <c r="MR213" i="1"/>
  <c r="MR212" i="1"/>
  <c r="KA212" i="1"/>
  <c r="KA213" i="1"/>
  <c r="KE212" i="1"/>
  <c r="KE213" i="1"/>
  <c r="KI213" i="1"/>
  <c r="KI212" i="1"/>
  <c r="KM212" i="1"/>
  <c r="KM213" i="1"/>
  <c r="KQ212" i="1"/>
  <c r="KQ213" i="1"/>
  <c r="KU213" i="1"/>
  <c r="KU212" i="1"/>
  <c r="KY212" i="1"/>
  <c r="KY213" i="1"/>
  <c r="LC212" i="1"/>
  <c r="LC213" i="1"/>
  <c r="LG213" i="1"/>
  <c r="LG212" i="1"/>
  <c r="LK212" i="1"/>
  <c r="LK213" i="1"/>
  <c r="LO212" i="1"/>
  <c r="LO213" i="1"/>
  <c r="LS213" i="1"/>
  <c r="LS212" i="1"/>
  <c r="LW212" i="1"/>
  <c r="LW213" i="1"/>
  <c r="MA212" i="1"/>
  <c r="MA213" i="1"/>
  <c r="MU212" i="1"/>
  <c r="MU213" i="1"/>
  <c r="PB212" i="1"/>
  <c r="PB213" i="1"/>
  <c r="OQ212" i="1"/>
  <c r="OQ213" i="1"/>
  <c r="OC212" i="1"/>
  <c r="OC213" i="1"/>
  <c r="NQ212" i="1"/>
  <c r="NQ213" i="1"/>
  <c r="NC213" i="1"/>
  <c r="NC212" i="1"/>
  <c r="MQ213" i="1"/>
  <c r="MQ212" i="1"/>
  <c r="OP212" i="1"/>
  <c r="OP213" i="1"/>
  <c r="OB213" i="1"/>
  <c r="OB212" i="1"/>
  <c r="NP213" i="1"/>
  <c r="NP212" i="1"/>
  <c r="NF212" i="1"/>
  <c r="NF213" i="1"/>
  <c r="MP212" i="1"/>
  <c r="MP213" i="1"/>
  <c r="MF213" i="1"/>
  <c r="MF212" i="1"/>
  <c r="MJ212" i="1"/>
  <c r="MJ213" i="1"/>
  <c r="OO212" i="1"/>
  <c r="OO213" i="1"/>
  <c r="OA213" i="1"/>
  <c r="OA212" i="1"/>
  <c r="NO213" i="1"/>
  <c r="NO212" i="1"/>
  <c r="NE212" i="1"/>
  <c r="NE213" i="1"/>
  <c r="MO212" i="1"/>
  <c r="MO213" i="1"/>
  <c r="KB212" i="1"/>
  <c r="KB213" i="1"/>
  <c r="KF212" i="1"/>
  <c r="KF213" i="1"/>
  <c r="KJ213" i="1"/>
  <c r="KJ212" i="1"/>
  <c r="KN212" i="1"/>
  <c r="KN213" i="1"/>
  <c r="KR212" i="1"/>
  <c r="KR213" i="1"/>
  <c r="KV213" i="1"/>
  <c r="KV212" i="1"/>
  <c r="KZ212" i="1"/>
  <c r="KZ213" i="1"/>
  <c r="LD212" i="1"/>
  <c r="LD213" i="1"/>
  <c r="LH213" i="1"/>
  <c r="LH212" i="1"/>
  <c r="LL212" i="1"/>
  <c r="LL213" i="1"/>
  <c r="LP212" i="1"/>
  <c r="LP213" i="1"/>
  <c r="LT213" i="1"/>
  <c r="LT212" i="1"/>
  <c r="LX212" i="1"/>
  <c r="LX213" i="1"/>
  <c r="MB212" i="1"/>
  <c r="MB213" i="1"/>
  <c r="MV212" i="1"/>
  <c r="MV213" i="1"/>
  <c r="PA212" i="1"/>
  <c r="PA213" i="1"/>
  <c r="ON213" i="1"/>
  <c r="ON212" i="1"/>
  <c r="NZ212" i="1"/>
  <c r="NZ213" i="1"/>
  <c r="NN212" i="1"/>
  <c r="NN213" i="1"/>
  <c r="NB212" i="1"/>
  <c r="NB213" i="1"/>
  <c r="MN212" i="1"/>
  <c r="MN213" i="1"/>
  <c r="OY213" i="1"/>
  <c r="OY212" i="1"/>
  <c r="OM213" i="1"/>
  <c r="OM212" i="1"/>
  <c r="NY212" i="1"/>
  <c r="NY213" i="1"/>
  <c r="NM212" i="1"/>
  <c r="NM213" i="1"/>
  <c r="NA212" i="1"/>
  <c r="NA213" i="1"/>
  <c r="MM212" i="1"/>
  <c r="MM213" i="1"/>
  <c r="MG212" i="1"/>
  <c r="MG213" i="1"/>
  <c r="MK212" i="1"/>
  <c r="MK213" i="1"/>
  <c r="OX212" i="1"/>
  <c r="OX213" i="1"/>
  <c r="OJ212" i="1"/>
  <c r="OJ213" i="1"/>
  <c r="NX212" i="1"/>
  <c r="NX213" i="1"/>
  <c r="NL212" i="1"/>
  <c r="NL213" i="1"/>
  <c r="MZ212" i="1"/>
  <c r="MZ213" i="1"/>
  <c r="JY212" i="1"/>
  <c r="JY213" i="1"/>
  <c r="KC212" i="1"/>
  <c r="KC213" i="1"/>
  <c r="KG212" i="1"/>
  <c r="KG213" i="1"/>
  <c r="KK212" i="1"/>
  <c r="KK213" i="1"/>
  <c r="KO212" i="1"/>
  <c r="KO213" i="1"/>
  <c r="KS212" i="1"/>
  <c r="KS213" i="1"/>
  <c r="KW212" i="1"/>
  <c r="KW213" i="1"/>
  <c r="LA212" i="1"/>
  <c r="LA213" i="1"/>
  <c r="LE212" i="1"/>
  <c r="LE213" i="1"/>
  <c r="LI212" i="1"/>
  <c r="LI213" i="1"/>
  <c r="LM212" i="1"/>
  <c r="LM213" i="1"/>
  <c r="LQ212" i="1"/>
  <c r="LQ213" i="1"/>
  <c r="LU212" i="1"/>
  <c r="LU213" i="1"/>
  <c r="LY212" i="1"/>
  <c r="LY213" i="1"/>
  <c r="MC212" i="1"/>
  <c r="MC213" i="1"/>
  <c r="OW212" i="1"/>
  <c r="OW213" i="1"/>
  <c r="OI212" i="1"/>
  <c r="OI213" i="1"/>
  <c r="NW212" i="1"/>
  <c r="NW213" i="1"/>
  <c r="NK212" i="1"/>
  <c r="NK213" i="1"/>
  <c r="MY212" i="1"/>
  <c r="MY213" i="1"/>
  <c r="OK212" i="1"/>
  <c r="OK213" i="1"/>
  <c r="OZ213" i="1"/>
  <c r="OZ212" i="1"/>
  <c r="OV212" i="1"/>
  <c r="OV213" i="1"/>
  <c r="OH212" i="1"/>
  <c r="OH213" i="1"/>
  <c r="NV212" i="1"/>
  <c r="NV213" i="1"/>
  <c r="NJ212" i="1"/>
  <c r="NJ213" i="1"/>
  <c r="MX212" i="1"/>
  <c r="MX213" i="1"/>
  <c r="MH212" i="1"/>
  <c r="MH213" i="1"/>
  <c r="ML212" i="1"/>
  <c r="ML213" i="1"/>
  <c r="DN213" i="1"/>
  <c r="DN212" i="1"/>
  <c r="DT212" i="1"/>
  <c r="DT213" i="1"/>
  <c r="DX212" i="1"/>
  <c r="DX213" i="1"/>
  <c r="EB213" i="1"/>
  <c r="EB212" i="1"/>
  <c r="EF212" i="1"/>
  <c r="EF213" i="1"/>
  <c r="EJ212" i="1"/>
  <c r="EJ213" i="1"/>
  <c r="EN213" i="1"/>
  <c r="EN212" i="1"/>
  <c r="ER212" i="1"/>
  <c r="ER213" i="1"/>
  <c r="EV212" i="1"/>
  <c r="EV213" i="1"/>
  <c r="EZ213" i="1"/>
  <c r="EZ212" i="1"/>
  <c r="FD212" i="1"/>
  <c r="FD213" i="1"/>
  <c r="FH212" i="1"/>
  <c r="FH213" i="1"/>
  <c r="FL213" i="1"/>
  <c r="FL212" i="1"/>
  <c r="FP212" i="1"/>
  <c r="FP213" i="1"/>
  <c r="FT212" i="1"/>
  <c r="FT213" i="1"/>
  <c r="FX213" i="1"/>
  <c r="FX212" i="1"/>
  <c r="GD212" i="1"/>
  <c r="GD213" i="1"/>
  <c r="GH213" i="1"/>
  <c r="GH212" i="1"/>
  <c r="GP212" i="1"/>
  <c r="GP213" i="1"/>
  <c r="GT212" i="1"/>
  <c r="GT213" i="1"/>
  <c r="GX213" i="1"/>
  <c r="GX212" i="1"/>
  <c r="HB212" i="1"/>
  <c r="HB213" i="1"/>
  <c r="HF212" i="1"/>
  <c r="HF213" i="1"/>
  <c r="HJ213" i="1"/>
  <c r="HJ212" i="1"/>
  <c r="HN212" i="1"/>
  <c r="HN213" i="1"/>
  <c r="HR212" i="1"/>
  <c r="HR213" i="1"/>
  <c r="HV213" i="1"/>
  <c r="HV212" i="1"/>
  <c r="HZ212" i="1"/>
  <c r="HZ213" i="1"/>
  <c r="ID212" i="1"/>
  <c r="ID213" i="1"/>
  <c r="IH213" i="1"/>
  <c r="IH212" i="1"/>
  <c r="IL212" i="1"/>
  <c r="IL213" i="1"/>
  <c r="IN212" i="1"/>
  <c r="IN213" i="1"/>
  <c r="IT213" i="1"/>
  <c r="IT212" i="1"/>
  <c r="IX212" i="1"/>
  <c r="IX213" i="1"/>
  <c r="JB212" i="1"/>
  <c r="JB213" i="1"/>
  <c r="JF213" i="1"/>
  <c r="JF212" i="1"/>
  <c r="JJ212" i="1"/>
  <c r="JJ213" i="1"/>
  <c r="JN212" i="1"/>
  <c r="JN213" i="1"/>
  <c r="JV213" i="1"/>
  <c r="JV212" i="1"/>
  <c r="JR212" i="1"/>
  <c r="JR213" i="1"/>
  <c r="RC212" i="1"/>
  <c r="RC213" i="1"/>
  <c r="GL213" i="1"/>
  <c r="GL212" i="1"/>
  <c r="DL212" i="1"/>
  <c r="DL213" i="1"/>
  <c r="DQ213" i="1"/>
  <c r="DQ212" i="1"/>
  <c r="DU212" i="1"/>
  <c r="DU213" i="1"/>
  <c r="DY212" i="1"/>
  <c r="DY213" i="1"/>
  <c r="EC213" i="1"/>
  <c r="EC212" i="1"/>
  <c r="EG212" i="1"/>
  <c r="EG213" i="1"/>
  <c r="EK212" i="1"/>
  <c r="EK213" i="1"/>
  <c r="EO213" i="1"/>
  <c r="EO212" i="1"/>
  <c r="ES212" i="1"/>
  <c r="ES213" i="1"/>
  <c r="EW213" i="1"/>
  <c r="EW212" i="1"/>
  <c r="FA213" i="1"/>
  <c r="FA212" i="1"/>
  <c r="FE212" i="1"/>
  <c r="FE213" i="1"/>
  <c r="FI212" i="1"/>
  <c r="FI213" i="1"/>
  <c r="FM213" i="1"/>
  <c r="FM212" i="1"/>
  <c r="FQ212" i="1"/>
  <c r="FQ213" i="1"/>
  <c r="FU212" i="1"/>
  <c r="FU213" i="1"/>
  <c r="FY213" i="1"/>
  <c r="FY212" i="1"/>
  <c r="GE212" i="1"/>
  <c r="GE213" i="1"/>
  <c r="GM212" i="1"/>
  <c r="GM213" i="1"/>
  <c r="GQ212" i="1"/>
  <c r="GQ213" i="1"/>
  <c r="GU213" i="1"/>
  <c r="GU212" i="1"/>
  <c r="GY212" i="1"/>
  <c r="GY213" i="1"/>
  <c r="HC212" i="1"/>
  <c r="HC213" i="1"/>
  <c r="HG213" i="1"/>
  <c r="HG212" i="1"/>
  <c r="HK212" i="1"/>
  <c r="HK213" i="1"/>
  <c r="HO212" i="1"/>
  <c r="HO213" i="1"/>
  <c r="HS212" i="1"/>
  <c r="HS213" i="1"/>
  <c r="HW212" i="1"/>
  <c r="HW213" i="1"/>
  <c r="IA212" i="1"/>
  <c r="IA213" i="1"/>
  <c r="IE213" i="1"/>
  <c r="IE212" i="1"/>
  <c r="II212" i="1"/>
  <c r="II213" i="1"/>
  <c r="IM212" i="1"/>
  <c r="IM213" i="1"/>
  <c r="IQ212" i="1"/>
  <c r="IQ213" i="1"/>
  <c r="IU212" i="1"/>
  <c r="IU213" i="1"/>
  <c r="IY212" i="1"/>
  <c r="IY213" i="1"/>
  <c r="JC213" i="1"/>
  <c r="JC212" i="1"/>
  <c r="JG212" i="1"/>
  <c r="JG213" i="1"/>
  <c r="JK212" i="1"/>
  <c r="JK213" i="1"/>
  <c r="JO213" i="1"/>
  <c r="JO212" i="1"/>
  <c r="JW212" i="1"/>
  <c r="JW213" i="1"/>
  <c r="JS212" i="1"/>
  <c r="JS213" i="1"/>
  <c r="GJ212" i="1"/>
  <c r="GJ213" i="1"/>
  <c r="DR212" i="1"/>
  <c r="DR213" i="1"/>
  <c r="DV212" i="1"/>
  <c r="DV213" i="1"/>
  <c r="DZ212" i="1"/>
  <c r="DZ213" i="1"/>
  <c r="ED212" i="1"/>
  <c r="ED213" i="1"/>
  <c r="EH212" i="1"/>
  <c r="EH213" i="1"/>
  <c r="EL212" i="1"/>
  <c r="EL213" i="1"/>
  <c r="EP212" i="1"/>
  <c r="EP213" i="1"/>
  <c r="ET212" i="1"/>
  <c r="ET213" i="1"/>
  <c r="EX213" i="1"/>
  <c r="EX212" i="1"/>
  <c r="FB212" i="1"/>
  <c r="FB213" i="1"/>
  <c r="FF212" i="1"/>
  <c r="FF213" i="1"/>
  <c r="FJ213" i="1"/>
  <c r="FJ212" i="1"/>
  <c r="FN212" i="1"/>
  <c r="FN213" i="1"/>
  <c r="FR212" i="1"/>
  <c r="FR213" i="1"/>
  <c r="FV213" i="1"/>
  <c r="FV212" i="1"/>
  <c r="FZ212" i="1"/>
  <c r="FZ213" i="1"/>
  <c r="GF212" i="1"/>
  <c r="GF213" i="1"/>
  <c r="GN212" i="1"/>
  <c r="GN213" i="1"/>
  <c r="GR212" i="1"/>
  <c r="GR213" i="1"/>
  <c r="GV213" i="1"/>
  <c r="GV212" i="1"/>
  <c r="GZ212" i="1"/>
  <c r="GZ213" i="1"/>
  <c r="HD212" i="1"/>
  <c r="HD213" i="1"/>
  <c r="HH213" i="1"/>
  <c r="HH212" i="1"/>
  <c r="HL212" i="1"/>
  <c r="HL213" i="1"/>
  <c r="HP212" i="1"/>
  <c r="HP213" i="1"/>
  <c r="HT213" i="1"/>
  <c r="HT212" i="1"/>
  <c r="HX212" i="1"/>
  <c r="HX213" i="1"/>
  <c r="IB212" i="1"/>
  <c r="IB213" i="1"/>
  <c r="IF212" i="1"/>
  <c r="IF213" i="1"/>
  <c r="IJ212" i="1"/>
  <c r="IJ213" i="1"/>
  <c r="IO212" i="1"/>
  <c r="IO213" i="1"/>
  <c r="IR213" i="1"/>
  <c r="IR212" i="1"/>
  <c r="IV212" i="1"/>
  <c r="IV213" i="1"/>
  <c r="IZ212" i="1"/>
  <c r="IZ213" i="1"/>
  <c r="JD213" i="1"/>
  <c r="JD212" i="1"/>
  <c r="JH212" i="1"/>
  <c r="JH213" i="1"/>
  <c r="JL212" i="1"/>
  <c r="JL213" i="1"/>
  <c r="JP213" i="1"/>
  <c r="JP212" i="1"/>
  <c r="JX212" i="1"/>
  <c r="JX213" i="1"/>
  <c r="JT212" i="1"/>
  <c r="JT213" i="1"/>
  <c r="GK213" i="1"/>
  <c r="GK212" i="1"/>
  <c r="DM212" i="1"/>
  <c r="DM213" i="1"/>
  <c r="DS212" i="1"/>
  <c r="DS213" i="1"/>
  <c r="DW212" i="1"/>
  <c r="DW213" i="1"/>
  <c r="EA212" i="1"/>
  <c r="EA213" i="1"/>
  <c r="EE212" i="1"/>
  <c r="EE213" i="1"/>
  <c r="EI212" i="1"/>
  <c r="EI213" i="1"/>
  <c r="EM212" i="1"/>
  <c r="EM213" i="1"/>
  <c r="EQ212" i="1"/>
  <c r="EQ213" i="1"/>
  <c r="EU212" i="1"/>
  <c r="EU213" i="1"/>
  <c r="EY212" i="1"/>
  <c r="EY213" i="1"/>
  <c r="FC212" i="1"/>
  <c r="FC213" i="1"/>
  <c r="FG212" i="1"/>
  <c r="FG213" i="1"/>
  <c r="FK212" i="1"/>
  <c r="FK213" i="1"/>
  <c r="FO212" i="1"/>
  <c r="FO213" i="1"/>
  <c r="FS212" i="1"/>
  <c r="FS213" i="1"/>
  <c r="FW212" i="1"/>
  <c r="FW213" i="1"/>
  <c r="GA212" i="1"/>
  <c r="GA213" i="1"/>
  <c r="GG212" i="1"/>
  <c r="GG213" i="1"/>
  <c r="GO212" i="1"/>
  <c r="GO213" i="1"/>
  <c r="GS212" i="1"/>
  <c r="GS213" i="1"/>
  <c r="GW213" i="1"/>
  <c r="GW212" i="1"/>
  <c r="HA212" i="1"/>
  <c r="HA213" i="1"/>
  <c r="HE212" i="1"/>
  <c r="HE213" i="1"/>
  <c r="HI213" i="1"/>
  <c r="HI212" i="1"/>
  <c r="HM212" i="1"/>
  <c r="HM213" i="1"/>
  <c r="HQ212" i="1"/>
  <c r="HQ213" i="1"/>
  <c r="HU213" i="1"/>
  <c r="HU212" i="1"/>
  <c r="HY212" i="1"/>
  <c r="HY213" i="1"/>
  <c r="IC212" i="1"/>
  <c r="IC213" i="1"/>
  <c r="IG213" i="1"/>
  <c r="IG212" i="1"/>
  <c r="IK212" i="1"/>
  <c r="IK213" i="1"/>
  <c r="IP212" i="1"/>
  <c r="IP213" i="1"/>
  <c r="IS213" i="1"/>
  <c r="IS212" i="1"/>
  <c r="IW212" i="1"/>
  <c r="IW213" i="1"/>
  <c r="JA212" i="1"/>
  <c r="JA213" i="1"/>
  <c r="JE213" i="1"/>
  <c r="JE212" i="1"/>
  <c r="JI212" i="1"/>
  <c r="JI213" i="1"/>
  <c r="JM212" i="1"/>
  <c r="JM213" i="1"/>
  <c r="JU213" i="1"/>
  <c r="JU212" i="1"/>
  <c r="JQ212" i="1"/>
  <c r="JQ213" i="1"/>
  <c r="GI213" i="1"/>
  <c r="GI212" i="1"/>
  <c r="BJ212" i="1"/>
  <c r="BJ213" i="1"/>
  <c r="BN212" i="1"/>
  <c r="BN213" i="1"/>
  <c r="BR213" i="1"/>
  <c r="BR212" i="1"/>
  <c r="BV212" i="1"/>
  <c r="BV213" i="1"/>
  <c r="BZ212" i="1"/>
  <c r="BZ213" i="1"/>
  <c r="CD212" i="1"/>
  <c r="CD213" i="1"/>
  <c r="CH212" i="1"/>
  <c r="CH213" i="1"/>
  <c r="CL212" i="1"/>
  <c r="CL213" i="1"/>
  <c r="CP212" i="1"/>
  <c r="CP213" i="1"/>
  <c r="CT212" i="1"/>
  <c r="CT213" i="1"/>
  <c r="CX212" i="1"/>
  <c r="CX213" i="1"/>
  <c r="DG212" i="1"/>
  <c r="DG213" i="1"/>
  <c r="DK212" i="1"/>
  <c r="DK213" i="1"/>
  <c r="BF213" i="1"/>
  <c r="BF212" i="1"/>
  <c r="X212" i="1"/>
  <c r="X213" i="1"/>
  <c r="AC212" i="1"/>
  <c r="AC213" i="1"/>
  <c r="AG212" i="1"/>
  <c r="AG213" i="1"/>
  <c r="AK212" i="1"/>
  <c r="AK213" i="1"/>
  <c r="AO212" i="1"/>
  <c r="AO213" i="1"/>
  <c r="AS212" i="1"/>
  <c r="AS213" i="1"/>
  <c r="AW212" i="1"/>
  <c r="AW213" i="1"/>
  <c r="BA212" i="1"/>
  <c r="BA213" i="1"/>
  <c r="BE212" i="1"/>
  <c r="BE213" i="1"/>
  <c r="BG212" i="1"/>
  <c r="BG213" i="1"/>
  <c r="BK212" i="1"/>
  <c r="BK213" i="1"/>
  <c r="BO213" i="1"/>
  <c r="BO212" i="1"/>
  <c r="BS212" i="1"/>
  <c r="BS213" i="1"/>
  <c r="BW212" i="1"/>
  <c r="BW213" i="1"/>
  <c r="CA212" i="1"/>
  <c r="CA213" i="1"/>
  <c r="CE212" i="1"/>
  <c r="CE213" i="1"/>
  <c r="CI212" i="1"/>
  <c r="CI213" i="1"/>
  <c r="CM212" i="1"/>
  <c r="CM213" i="1"/>
  <c r="CQ212" i="1"/>
  <c r="CQ213" i="1"/>
  <c r="CU212" i="1"/>
  <c r="CU213" i="1"/>
  <c r="DE213" i="1"/>
  <c r="DE212" i="1"/>
  <c r="DI212" i="1"/>
  <c r="DI213" i="1"/>
  <c r="Y212" i="1"/>
  <c r="Y213" i="1"/>
  <c r="AD212" i="1"/>
  <c r="AD213" i="1"/>
  <c r="AH212" i="1"/>
  <c r="AH213" i="1"/>
  <c r="AL212" i="1"/>
  <c r="AL213" i="1"/>
  <c r="AP212" i="1"/>
  <c r="AP213" i="1"/>
  <c r="AT212" i="1"/>
  <c r="AT213" i="1"/>
  <c r="AX212" i="1"/>
  <c r="AX213" i="1"/>
  <c r="BB212" i="1"/>
  <c r="BB213" i="1"/>
  <c r="BH212" i="1"/>
  <c r="BH213" i="1"/>
  <c r="BL212" i="1"/>
  <c r="BL213" i="1"/>
  <c r="BP213" i="1"/>
  <c r="BP212" i="1"/>
  <c r="BT212" i="1"/>
  <c r="BT213" i="1"/>
  <c r="BX212" i="1"/>
  <c r="BX213" i="1"/>
  <c r="CB212" i="1"/>
  <c r="CB213" i="1"/>
  <c r="CF212" i="1"/>
  <c r="CF213" i="1"/>
  <c r="CJ212" i="1"/>
  <c r="CJ213" i="1"/>
  <c r="CN212" i="1"/>
  <c r="CN213" i="1"/>
  <c r="CR212" i="1"/>
  <c r="CR213" i="1"/>
  <c r="CV212" i="1"/>
  <c r="CV213" i="1"/>
  <c r="DF212" i="1"/>
  <c r="DF213" i="1"/>
  <c r="DJ212" i="1"/>
  <c r="DJ213" i="1"/>
  <c r="AA212" i="1"/>
  <c r="AA213" i="1"/>
  <c r="AE212" i="1"/>
  <c r="AE213" i="1"/>
  <c r="AI212" i="1"/>
  <c r="AI213" i="1"/>
  <c r="AM212" i="1"/>
  <c r="AM213" i="1"/>
  <c r="AQ212" i="1"/>
  <c r="AQ213" i="1"/>
  <c r="AU212" i="1"/>
  <c r="AU213" i="1"/>
  <c r="AY212" i="1"/>
  <c r="AY213" i="1"/>
  <c r="BC213" i="1"/>
  <c r="BC212" i="1"/>
  <c r="BI213" i="1"/>
  <c r="BI212" i="1"/>
  <c r="BM212" i="1"/>
  <c r="BM213" i="1"/>
  <c r="BQ212" i="1"/>
  <c r="BQ213" i="1"/>
  <c r="BU213" i="1"/>
  <c r="BU212" i="1"/>
  <c r="BY212" i="1"/>
  <c r="BY213" i="1"/>
  <c r="CC212" i="1"/>
  <c r="CC213" i="1"/>
  <c r="CG212" i="1"/>
  <c r="CG213" i="1"/>
  <c r="CK212" i="1"/>
  <c r="CK213" i="1"/>
  <c r="CO212" i="1"/>
  <c r="CO213" i="1"/>
  <c r="CS212" i="1"/>
  <c r="CS213" i="1"/>
  <c r="CW212" i="1"/>
  <c r="CW213" i="1"/>
  <c r="DH212" i="1"/>
  <c r="DH213" i="1"/>
  <c r="Z212" i="1"/>
  <c r="Z213" i="1"/>
  <c r="W212" i="1"/>
  <c r="W213" i="1"/>
  <c r="AB212" i="1"/>
  <c r="AB213" i="1"/>
  <c r="AF212" i="1"/>
  <c r="AF213" i="1"/>
  <c r="AJ212" i="1"/>
  <c r="AJ213" i="1"/>
  <c r="AN212" i="1"/>
  <c r="AN213" i="1"/>
  <c r="AR212" i="1"/>
  <c r="AR213" i="1"/>
  <c r="AV212" i="1"/>
  <c r="AV213" i="1"/>
  <c r="AZ212" i="1"/>
  <c r="AZ213" i="1"/>
  <c r="BD213" i="1"/>
  <c r="BD212" i="1"/>
  <c r="AM43" i="148"/>
  <c r="AM36" i="148"/>
  <c r="AM19" i="148"/>
  <c r="AK207" i="148"/>
  <c r="AK110" i="148"/>
  <c r="AK205" i="148"/>
  <c r="AK190" i="148"/>
  <c r="AK208" i="148"/>
  <c r="AK119" i="148"/>
  <c r="AK84" i="148"/>
  <c r="AK133" i="148"/>
  <c r="AK147" i="148"/>
  <c r="AK113" i="148"/>
  <c r="AK54" i="148"/>
  <c r="AK83" i="148"/>
  <c r="AK63" i="148"/>
  <c r="AK28" i="148"/>
  <c r="AK38" i="148"/>
  <c r="AK49" i="148"/>
  <c r="AK11" i="148"/>
  <c r="AK2" i="148"/>
  <c r="AE188" i="148"/>
  <c r="AT195" i="148"/>
  <c r="AK159" i="148"/>
  <c r="AK137" i="148"/>
  <c r="AK138" i="148"/>
  <c r="AK134" i="148"/>
  <c r="AK191" i="148"/>
  <c r="AK186" i="148"/>
  <c r="AK122" i="148"/>
  <c r="AK91" i="148"/>
  <c r="AK167" i="148"/>
  <c r="AK155" i="148"/>
  <c r="AK85" i="148"/>
  <c r="AK130" i="148"/>
  <c r="AK82" i="148"/>
  <c r="AK37" i="148"/>
  <c r="AK60" i="148"/>
  <c r="AK22" i="148"/>
  <c r="AK117" i="148"/>
  <c r="AK3" i="148"/>
  <c r="AK149" i="148"/>
  <c r="AK136" i="148"/>
  <c r="AK104" i="148"/>
  <c r="AK181" i="148"/>
  <c r="AK178" i="148"/>
  <c r="AK142" i="148"/>
  <c r="AK146" i="148"/>
  <c r="AK76" i="148"/>
  <c r="AK109" i="148"/>
  <c r="AK97" i="148"/>
  <c r="AK96" i="148"/>
  <c r="AK106" i="148"/>
  <c r="AK125" i="148"/>
  <c r="AK32" i="148"/>
  <c r="AK18" i="148"/>
  <c r="AK55" i="148"/>
  <c r="AK6" i="148"/>
  <c r="AV154" i="148"/>
  <c r="AV115" i="148"/>
  <c r="AV148" i="148"/>
  <c r="AV152" i="148"/>
  <c r="AV151" i="148"/>
  <c r="AV62" i="148"/>
  <c r="AK202" i="148"/>
  <c r="AK199" i="148"/>
  <c r="AK182" i="148"/>
  <c r="AK67" i="148"/>
  <c r="AK176" i="148"/>
  <c r="AK121" i="148"/>
  <c r="AK112" i="148"/>
  <c r="AK195" i="148"/>
  <c r="AK173" i="148"/>
  <c r="AK185" i="148"/>
  <c r="AK86" i="148"/>
  <c r="AK74" i="148"/>
  <c r="AK188" i="148"/>
  <c r="AK29" i="148"/>
  <c r="AK13" i="148"/>
  <c r="AK50" i="148"/>
  <c r="AK9" i="148"/>
  <c r="AW86" i="148"/>
  <c r="AK170" i="148"/>
  <c r="AK197" i="148"/>
  <c r="AK164" i="148"/>
  <c r="AK150" i="148"/>
  <c r="AK172" i="148"/>
  <c r="AK157" i="148"/>
  <c r="AK81" i="148"/>
  <c r="AK200" i="148"/>
  <c r="AK56" i="148"/>
  <c r="AK105" i="148"/>
  <c r="AK99" i="148"/>
  <c r="AK141" i="148"/>
  <c r="AK41" i="148"/>
  <c r="AK35" i="148"/>
  <c r="AK15" i="148"/>
  <c r="AK20" i="148"/>
  <c r="AK10" i="148"/>
  <c r="AK196" i="148"/>
  <c r="AK131" i="148"/>
  <c r="AK165" i="148"/>
  <c r="AK187" i="148"/>
  <c r="AK192" i="148"/>
  <c r="AK144" i="148"/>
  <c r="AK107" i="148"/>
  <c r="AK108" i="148"/>
  <c r="AK66" i="148"/>
  <c r="AK103" i="148"/>
  <c r="AK73" i="148"/>
  <c r="AK94" i="148"/>
  <c r="AK30" i="148"/>
  <c r="AK40" i="148"/>
  <c r="AK23" i="148"/>
  <c r="AK47" i="148"/>
  <c r="AK8" i="148"/>
  <c r="AK194" i="148"/>
  <c r="AK162" i="148"/>
  <c r="AK204" i="148"/>
  <c r="AK166" i="148"/>
  <c r="AK89" i="148"/>
  <c r="AK129" i="148"/>
  <c r="AK126" i="148"/>
  <c r="AK163" i="148"/>
  <c r="AK25" i="148"/>
  <c r="AK87" i="148"/>
  <c r="AK71" i="148"/>
  <c r="AK177" i="148"/>
  <c r="AK79" i="148"/>
  <c r="AK24" i="148"/>
  <c r="AK5" i="148"/>
  <c r="AK48" i="148"/>
  <c r="AK101" i="148"/>
  <c r="AK143" i="148"/>
  <c r="AK132" i="148"/>
  <c r="AK140" i="148"/>
  <c r="AK120" i="148"/>
  <c r="AK118" i="148"/>
  <c r="AK98" i="148"/>
  <c r="AK174" i="148"/>
  <c r="AK139" i="148"/>
  <c r="AK61" i="148"/>
  <c r="AK180" i="148"/>
  <c r="AK59" i="148"/>
  <c r="AK123" i="148"/>
  <c r="AK64" i="148"/>
  <c r="AK116" i="148"/>
  <c r="AK75" i="148"/>
  <c r="AK12" i="148"/>
  <c r="AK4" i="148"/>
  <c r="AK154" i="148"/>
  <c r="AK203" i="148"/>
  <c r="AK78" i="148"/>
  <c r="AK115" i="148"/>
  <c r="AK148" i="148"/>
  <c r="AK102" i="148"/>
  <c r="AK152" i="148"/>
  <c r="AK151" i="148"/>
  <c r="AK57" i="148"/>
  <c r="AK193" i="148"/>
  <c r="AK70" i="148"/>
  <c r="AK92" i="148"/>
  <c r="AK62" i="148"/>
  <c r="AK68" i="148"/>
  <c r="AK46" i="148"/>
  <c r="AK16" i="148"/>
  <c r="AK156" i="148"/>
  <c r="AK160" i="148"/>
  <c r="AK114" i="148"/>
  <c r="AK95" i="148"/>
  <c r="AK145" i="148"/>
  <c r="AK153" i="148"/>
  <c r="AK93" i="148"/>
  <c r="AK111" i="148"/>
  <c r="AK127" i="148"/>
  <c r="AK80" i="148"/>
  <c r="AK51" i="148"/>
  <c r="AK88" i="148"/>
  <c r="AK34" i="148"/>
  <c r="AK100" i="148"/>
  <c r="AK17" i="148"/>
  <c r="AK52" i="148"/>
  <c r="AK45" i="148"/>
  <c r="AK7" i="148"/>
  <c r="AK184" i="148"/>
  <c r="AK198" i="148"/>
  <c r="AK158" i="148"/>
  <c r="AK175" i="148"/>
  <c r="AK77" i="148"/>
  <c r="AK201" i="148"/>
  <c r="AK179" i="148"/>
  <c r="AK69" i="148"/>
  <c r="AK58" i="148"/>
  <c r="AK53" i="148"/>
  <c r="AK183" i="148"/>
  <c r="AK33" i="148"/>
  <c r="AK31" i="148"/>
  <c r="AK27" i="148"/>
  <c r="AK26" i="148"/>
  <c r="AK39" i="148"/>
  <c r="AK72" i="148"/>
  <c r="AK189" i="148"/>
  <c r="AK135" i="148"/>
  <c r="AK171" i="148"/>
  <c r="AK161" i="148"/>
  <c r="AK124" i="148"/>
  <c r="AK206" i="148"/>
  <c r="AK168" i="148"/>
  <c r="AK43" i="148"/>
  <c r="AK90" i="148"/>
  <c r="AK65" i="148"/>
  <c r="AK169" i="148"/>
  <c r="AK128" i="148"/>
  <c r="AK36" i="148"/>
  <c r="AK19" i="148"/>
  <c r="AK21" i="148"/>
  <c r="AK14" i="148"/>
  <c r="AK44" i="148"/>
  <c r="AK42" i="148"/>
  <c r="AW124" i="148"/>
  <c r="E3" i="148"/>
  <c r="AJ3" i="148"/>
  <c r="AE202" i="148"/>
  <c r="AE199" i="148"/>
  <c r="AE182" i="148"/>
  <c r="AE67" i="148"/>
  <c r="AE121" i="148"/>
  <c r="AE173" i="148"/>
  <c r="AE86" i="148"/>
  <c r="AE74" i="148"/>
  <c r="BL70" i="148"/>
  <c r="BL28" i="148"/>
  <c r="BL112" i="148"/>
  <c r="BL155" i="148"/>
  <c r="BL109" i="148"/>
  <c r="BL85" i="148"/>
  <c r="BL44" i="148"/>
  <c r="BL22" i="148"/>
  <c r="BL7" i="148"/>
  <c r="AE112" i="148"/>
  <c r="BL196" i="148"/>
  <c r="AM148" i="148"/>
  <c r="AM109" i="148"/>
  <c r="AE195" i="148"/>
  <c r="AE185" i="148"/>
  <c r="AE13" i="148"/>
  <c r="AU136" i="148"/>
  <c r="AU146" i="148"/>
  <c r="AU106" i="148"/>
  <c r="AV189" i="148"/>
  <c r="AV161" i="148"/>
  <c r="AV43" i="148"/>
  <c r="AV90" i="148"/>
  <c r="AV128" i="148"/>
  <c r="AV19" i="148"/>
  <c r="AV21" i="148"/>
  <c r="AW199" i="148"/>
  <c r="V55" i="148"/>
  <c r="AA32" i="148"/>
  <c r="AS68" i="148"/>
  <c r="AU70" i="148"/>
  <c r="AV202" i="148"/>
  <c r="AV199" i="148"/>
  <c r="BL197" i="148"/>
  <c r="AU143" i="148"/>
  <c r="AU132" i="148"/>
  <c r="AU140" i="148"/>
  <c r="AU118" i="148"/>
  <c r="AU61" i="148"/>
  <c r="AU4" i="148"/>
  <c r="AV191" i="148"/>
  <c r="BL151" i="148"/>
  <c r="AE115" i="148"/>
  <c r="AE149" i="148"/>
  <c r="AE136" i="148"/>
  <c r="AE104" i="148"/>
  <c r="AE181" i="148"/>
  <c r="AV149" i="148"/>
  <c r="AV136" i="148"/>
  <c r="AV104" i="148"/>
  <c r="AV178" i="148"/>
  <c r="AV142" i="148"/>
  <c r="AV146" i="148"/>
  <c r="AV76" i="148"/>
  <c r="AV109" i="148"/>
  <c r="AV97" i="148"/>
  <c r="AV96" i="148"/>
  <c r="AV106" i="148"/>
  <c r="AV125" i="148"/>
  <c r="AV32" i="148"/>
  <c r="AV18" i="148"/>
  <c r="AV55" i="148"/>
  <c r="AV6" i="148"/>
  <c r="BL79" i="148"/>
  <c r="AE178" i="148"/>
  <c r="AE142" i="148"/>
  <c r="AE146" i="148"/>
  <c r="AE76" i="148"/>
  <c r="AE97" i="148"/>
  <c r="AV182" i="148"/>
  <c r="AV67" i="148"/>
  <c r="AV176" i="148"/>
  <c r="AV121" i="148"/>
  <c r="AV112" i="148"/>
  <c r="BL87" i="148"/>
  <c r="BL100" i="148"/>
  <c r="Z70" i="148"/>
  <c r="AS109" i="148"/>
  <c r="AI55" i="148"/>
  <c r="AE96" i="148"/>
  <c r="AE106" i="148"/>
  <c r="AE32" i="148"/>
  <c r="AE55" i="148"/>
  <c r="AV173" i="148"/>
  <c r="AV185" i="148"/>
  <c r="AV86" i="148"/>
  <c r="AV74" i="148"/>
  <c r="AV188" i="148"/>
  <c r="AV50" i="148"/>
  <c r="AV9" i="148"/>
  <c r="BL12" i="148"/>
  <c r="V149" i="148"/>
  <c r="V136" i="148"/>
  <c r="V181" i="148"/>
  <c r="V142" i="148"/>
  <c r="V146" i="148"/>
  <c r="V76" i="148"/>
  <c r="V109" i="148"/>
  <c r="V125" i="148"/>
  <c r="V32" i="148"/>
  <c r="V18" i="148"/>
  <c r="V6" i="148"/>
  <c r="W65" i="148"/>
  <c r="W19" i="148"/>
  <c r="AA149" i="148"/>
  <c r="AA136" i="148"/>
  <c r="AA104" i="148"/>
  <c r="AA181" i="148"/>
  <c r="AA146" i="148"/>
  <c r="AA76" i="148"/>
  <c r="AA109" i="148"/>
  <c r="AA97" i="148"/>
  <c r="AA106" i="148"/>
  <c r="AA18" i="148"/>
  <c r="AA6" i="148"/>
  <c r="AS154" i="148"/>
  <c r="AS203" i="148"/>
  <c r="AS78" i="148"/>
  <c r="AS115" i="148"/>
  <c r="AS102" i="148"/>
  <c r="AS152" i="148"/>
  <c r="AS151" i="148"/>
  <c r="AS57" i="148"/>
  <c r="AS193" i="148"/>
  <c r="AS70" i="148"/>
  <c r="AS92" i="148"/>
  <c r="AS62" i="148"/>
  <c r="AS46" i="148"/>
  <c r="AS16" i="148"/>
  <c r="AS156" i="148"/>
  <c r="AC149" i="148"/>
  <c r="AC104" i="148"/>
  <c r="AC181" i="148"/>
  <c r="AC142" i="148"/>
  <c r="AC97" i="148"/>
  <c r="AC96" i="148"/>
  <c r="AC55" i="148"/>
  <c r="AG203" i="148"/>
  <c r="AI154" i="148"/>
  <c r="AI115" i="148"/>
  <c r="AI68" i="148"/>
  <c r="AJ173" i="148"/>
  <c r="AJ96" i="148"/>
  <c r="AL62" i="148"/>
  <c r="AL149" i="148"/>
  <c r="AL109" i="148"/>
  <c r="AL18" i="148"/>
  <c r="AL6" i="148"/>
  <c r="AM161" i="148"/>
  <c r="AM90" i="148"/>
  <c r="AM65" i="148"/>
  <c r="AM70" i="148"/>
  <c r="AN206" i="148"/>
  <c r="AQ65" i="148"/>
  <c r="AR189" i="148"/>
  <c r="AR135" i="148"/>
  <c r="AR171" i="148"/>
  <c r="AR161" i="148"/>
  <c r="AR124" i="148"/>
  <c r="AR206" i="148"/>
  <c r="AR168" i="148"/>
  <c r="AR43" i="148"/>
  <c r="AR65" i="148"/>
  <c r="AR128" i="148"/>
  <c r="AR36" i="148"/>
  <c r="AR19" i="148"/>
  <c r="AR14" i="148"/>
  <c r="AR44" i="148"/>
  <c r="AR42" i="148"/>
  <c r="AT202" i="148"/>
  <c r="AT182" i="148"/>
  <c r="AT67" i="148"/>
  <c r="AT176" i="148"/>
  <c r="AT121" i="148"/>
  <c r="AT112" i="148"/>
  <c r="AT173" i="148"/>
  <c r="AT86" i="148"/>
  <c r="AT74" i="148"/>
  <c r="AT50" i="148"/>
  <c r="AT9" i="148"/>
  <c r="AW189" i="148"/>
  <c r="AW135" i="148"/>
  <c r="AW171" i="148"/>
  <c r="AW161" i="148"/>
  <c r="AW206" i="148"/>
  <c r="AW168" i="148"/>
  <c r="AW43" i="148"/>
  <c r="AW90" i="148"/>
  <c r="AW65" i="148"/>
  <c r="AW128" i="148"/>
  <c r="AW36" i="148"/>
  <c r="AW19" i="148"/>
  <c r="AW21" i="148"/>
  <c r="AW14" i="148"/>
  <c r="AW44" i="148"/>
  <c r="AW42" i="148"/>
  <c r="AW156" i="148"/>
  <c r="AW149" i="148"/>
  <c r="AW136" i="148"/>
  <c r="AW104" i="148"/>
  <c r="AW181" i="148"/>
  <c r="AW178" i="148"/>
  <c r="AW142" i="148"/>
  <c r="AW146" i="148"/>
  <c r="AW76" i="148"/>
  <c r="AW109" i="148"/>
  <c r="AW97" i="148"/>
  <c r="AW106" i="148"/>
  <c r="AW32" i="148"/>
  <c r="AW18" i="148"/>
  <c r="BL204" i="148"/>
  <c r="BL110" i="148"/>
  <c r="BL181" i="148"/>
  <c r="BL135" i="148"/>
  <c r="BL62" i="148"/>
  <c r="BL167" i="148"/>
  <c r="BL191" i="148"/>
  <c r="BL145" i="148"/>
  <c r="BL50" i="148"/>
  <c r="BL37" i="148"/>
  <c r="BL86" i="148"/>
  <c r="BL10" i="148"/>
  <c r="BL15" i="148"/>
  <c r="AW55" i="148"/>
  <c r="AW6" i="148"/>
  <c r="AW202" i="148"/>
  <c r="AW182" i="148"/>
  <c r="AW67" i="148"/>
  <c r="AW176" i="148"/>
  <c r="AW121" i="148"/>
  <c r="AW112" i="148"/>
  <c r="AW195" i="148"/>
  <c r="AW173" i="148"/>
  <c r="AW74" i="148"/>
  <c r="AW29" i="148"/>
  <c r="AW50" i="148"/>
  <c r="BL42" i="148"/>
  <c r="BL175" i="148"/>
  <c r="BL138" i="148"/>
  <c r="BL56" i="148"/>
  <c r="BL2" i="148"/>
  <c r="AN143" i="148"/>
  <c r="AN180" i="148"/>
  <c r="AY64" i="148"/>
  <c r="AY50" i="148"/>
  <c r="AY13" i="148"/>
  <c r="AY60" i="148"/>
  <c r="AY3" i="148"/>
  <c r="AY27" i="148"/>
  <c r="AY190" i="148"/>
  <c r="AY87" i="148"/>
  <c r="AY123" i="148"/>
  <c r="AY43" i="148"/>
  <c r="AY195" i="148"/>
  <c r="AY122" i="148"/>
  <c r="AY71" i="148"/>
  <c r="AY197" i="148"/>
  <c r="AY129" i="148"/>
  <c r="AY182" i="148"/>
  <c r="AY174" i="148"/>
  <c r="AY196" i="148"/>
  <c r="AY124" i="148"/>
  <c r="AY170" i="148"/>
  <c r="AY167" i="148"/>
  <c r="AY138" i="148"/>
  <c r="AY109" i="148"/>
  <c r="AY175" i="148"/>
  <c r="AY148" i="148"/>
  <c r="AY200" i="148"/>
  <c r="AY84" i="148"/>
  <c r="AY61" i="148"/>
  <c r="AY108" i="148"/>
  <c r="AY53" i="148"/>
  <c r="AY59" i="148"/>
  <c r="AY45" i="148"/>
  <c r="AY49" i="148"/>
  <c r="AY19" i="148"/>
  <c r="AY38" i="148"/>
  <c r="AY106" i="148"/>
  <c r="AY40" i="148"/>
  <c r="AY149" i="148"/>
  <c r="AY131" i="148"/>
  <c r="AY164" i="148"/>
  <c r="AY134" i="148"/>
  <c r="AY208" i="148"/>
  <c r="AY153" i="148"/>
  <c r="AY98" i="148"/>
  <c r="AY58" i="148"/>
  <c r="AY152" i="148"/>
  <c r="AY133" i="148"/>
  <c r="AY51" i="148"/>
  <c r="AY88" i="148"/>
  <c r="AY92" i="148"/>
  <c r="AY52" i="148"/>
  <c r="AY28" i="148"/>
  <c r="AY14" i="148"/>
  <c r="AY5" i="148"/>
  <c r="AY4" i="148"/>
  <c r="AY194" i="148"/>
  <c r="AY117" i="148"/>
  <c r="AY165" i="148"/>
  <c r="AY67" i="148"/>
  <c r="AY191" i="148"/>
  <c r="AY156" i="148"/>
  <c r="AY102" i="148"/>
  <c r="AY112" i="148"/>
  <c r="AY90" i="148"/>
  <c r="AY25" i="148"/>
  <c r="AY169" i="148"/>
  <c r="AY128" i="148"/>
  <c r="AY36" i="148"/>
  <c r="AY125" i="148"/>
  <c r="AY37" i="148"/>
  <c r="AY15" i="148"/>
  <c r="AY7" i="148"/>
  <c r="AY9" i="148"/>
  <c r="AY143" i="148"/>
  <c r="AY136" i="148"/>
  <c r="AY104" i="148"/>
  <c r="AY150" i="148"/>
  <c r="AY176" i="148"/>
  <c r="AY77" i="148"/>
  <c r="AY93" i="148"/>
  <c r="AY81" i="148"/>
  <c r="AY111" i="148"/>
  <c r="AY113" i="148"/>
  <c r="AY99" i="148"/>
  <c r="AY83" i="148"/>
  <c r="AY34" i="148"/>
  <c r="AY62" i="148"/>
  <c r="AY29" i="148"/>
  <c r="AY23" i="148"/>
  <c r="AY154" i="148"/>
  <c r="AY162" i="148"/>
  <c r="AY204" i="148"/>
  <c r="AY187" i="148"/>
  <c r="AY172" i="148"/>
  <c r="AY206" i="148"/>
  <c r="AY66" i="148"/>
  <c r="AY80" i="148"/>
  <c r="AY151" i="148"/>
  <c r="AY155" i="148"/>
  <c r="AY73" i="148"/>
  <c r="AY183" i="148"/>
  <c r="AY33" i="148"/>
  <c r="AY100" i="148"/>
  <c r="AY35" i="148"/>
  <c r="AY12" i="148"/>
  <c r="AY160" i="148"/>
  <c r="AY132" i="148"/>
  <c r="AY140" i="148"/>
  <c r="AY181" i="148"/>
  <c r="AY192" i="148"/>
  <c r="AY119" i="148"/>
  <c r="AY57" i="148"/>
  <c r="AY101" i="148"/>
  <c r="AY173" i="148"/>
  <c r="AY185" i="148"/>
  <c r="AY54" i="148"/>
  <c r="AY130" i="148"/>
  <c r="AY82" i="148"/>
  <c r="AY47" i="148"/>
  <c r="AY32" i="148"/>
  <c r="AY18" i="148"/>
  <c r="AY184" i="148"/>
  <c r="AY203" i="148"/>
  <c r="AY78" i="148"/>
  <c r="AY72" i="148"/>
  <c r="AY178" i="148"/>
  <c r="AY186" i="148"/>
  <c r="AY55" i="148"/>
  <c r="AY91" i="148"/>
  <c r="AY46" i="148"/>
  <c r="AY105" i="148"/>
  <c r="AY96" i="148"/>
  <c r="AY74" i="148"/>
  <c r="AY188" i="148"/>
  <c r="AY22" i="148"/>
  <c r="AY24" i="148"/>
  <c r="AY16" i="148"/>
  <c r="AY189" i="148"/>
  <c r="AY135" i="148"/>
  <c r="AY114" i="148"/>
  <c r="AY95" i="148"/>
  <c r="AY166" i="148"/>
  <c r="AY89" i="148"/>
  <c r="AY121" i="148"/>
  <c r="AY201" i="148"/>
  <c r="AY107" i="148"/>
  <c r="AY179" i="148"/>
  <c r="AY103" i="148"/>
  <c r="AY85" i="148"/>
  <c r="AY141" i="148"/>
  <c r="AY63" i="148"/>
  <c r="AY26" i="148"/>
  <c r="AY116" i="148"/>
  <c r="AY75" i="148"/>
  <c r="AY207" i="148"/>
  <c r="AY110" i="148"/>
  <c r="AY198" i="148"/>
  <c r="AY158" i="148"/>
  <c r="AY120" i="148"/>
  <c r="AY127" i="148"/>
  <c r="AY157" i="148"/>
  <c r="AY168" i="148"/>
  <c r="AY146" i="148"/>
  <c r="AY42" i="148"/>
  <c r="AY180" i="148"/>
  <c r="AY44" i="148"/>
  <c r="AY48" i="148"/>
  <c r="AY41" i="148"/>
  <c r="AY39" i="148"/>
  <c r="AY68" i="148"/>
  <c r="AY8" i="148"/>
  <c r="AY159" i="148"/>
  <c r="AY137" i="148"/>
  <c r="AY171" i="148"/>
  <c r="AY139" i="148"/>
  <c r="AY115" i="148"/>
  <c r="AY65" i="148"/>
  <c r="AY144" i="148"/>
  <c r="AY76" i="148"/>
  <c r="AY147" i="148"/>
  <c r="AY56" i="148"/>
  <c r="AY97" i="148"/>
  <c r="AY70" i="148"/>
  <c r="AY94" i="148"/>
  <c r="AY30" i="148"/>
  <c r="AY31" i="148"/>
  <c r="AY17" i="148"/>
  <c r="AY11" i="148"/>
  <c r="AY2" i="148"/>
  <c r="AY202" i="148"/>
  <c r="AY199" i="148"/>
  <c r="AY205" i="148"/>
  <c r="AY161" i="148"/>
  <c r="AY145" i="148"/>
  <c r="AY118" i="148"/>
  <c r="AY142" i="148"/>
  <c r="AY163" i="148"/>
  <c r="AY126" i="148"/>
  <c r="AY69" i="148"/>
  <c r="AY193" i="148"/>
  <c r="AY86" i="148"/>
  <c r="AY177" i="148"/>
  <c r="AY79" i="148"/>
  <c r="AY10" i="148"/>
  <c r="AY21" i="148"/>
  <c r="AY20" i="148"/>
  <c r="AY6" i="148"/>
  <c r="D160" i="2" a="1"/>
  <c r="E160" i="2" s="1"/>
  <c r="C160" i="2" a="1"/>
  <c r="AC136" i="148"/>
  <c r="AC178" i="148"/>
  <c r="AC146" i="148"/>
  <c r="AC76" i="148"/>
  <c r="AC109" i="148"/>
  <c r="AC106" i="148"/>
  <c r="AC125" i="148"/>
  <c r="AC32" i="148"/>
  <c r="AC18" i="148"/>
  <c r="AC6" i="148"/>
  <c r="AI171" i="148"/>
  <c r="AI161" i="148"/>
  <c r="AI206" i="148"/>
  <c r="AI43" i="148"/>
  <c r="AI203" i="148"/>
  <c r="AI78" i="148"/>
  <c r="AI148" i="148"/>
  <c r="AI102" i="148"/>
  <c r="AI152" i="148"/>
  <c r="AI151" i="148"/>
  <c r="AI57" i="148"/>
  <c r="AI193" i="148"/>
  <c r="AI70" i="148"/>
  <c r="AI92" i="148"/>
  <c r="AI62" i="148"/>
  <c r="AI46" i="148"/>
  <c r="AI16" i="148"/>
  <c r="AI156" i="148"/>
  <c r="AE171" i="148"/>
  <c r="AE90" i="148"/>
  <c r="AE128" i="148"/>
  <c r="AQ43" i="148"/>
  <c r="AQ149" i="148"/>
  <c r="AU202" i="148"/>
  <c r="AU199" i="148"/>
  <c r="AU182" i="148"/>
  <c r="AU67" i="148"/>
  <c r="AU176" i="148"/>
  <c r="AU121" i="148"/>
  <c r="AU112" i="148"/>
  <c r="AU185" i="148"/>
  <c r="AU29" i="148"/>
  <c r="AU50" i="148"/>
  <c r="AU9" i="148"/>
  <c r="AU44" i="148"/>
  <c r="AB189" i="148"/>
  <c r="AB21" i="148"/>
  <c r="AP97" i="148"/>
  <c r="AP125" i="148"/>
  <c r="AN202" i="148"/>
  <c r="AN199" i="148"/>
  <c r="AN182" i="148"/>
  <c r="AN67" i="148"/>
  <c r="AN176" i="148"/>
  <c r="AN121" i="148"/>
  <c r="AN112" i="148"/>
  <c r="AN195" i="148"/>
  <c r="AN185" i="148"/>
  <c r="AN86" i="148"/>
  <c r="AN74" i="148"/>
  <c r="AN188" i="148"/>
  <c r="AN29" i="148"/>
  <c r="AN13" i="148"/>
  <c r="AN50" i="148"/>
  <c r="AN9" i="148"/>
  <c r="AF202" i="148"/>
  <c r="AF199" i="148"/>
  <c r="AF182" i="148"/>
  <c r="AF67" i="148"/>
  <c r="AF176" i="148"/>
  <c r="AF121" i="148"/>
  <c r="AF112" i="148"/>
  <c r="AF195" i="148"/>
  <c r="AF173" i="148"/>
  <c r="AF185" i="148"/>
  <c r="AF86" i="148"/>
  <c r="AF74" i="148"/>
  <c r="AF188" i="148"/>
  <c r="AF29" i="148"/>
  <c r="AF13" i="148"/>
  <c r="AF50" i="148"/>
  <c r="AF9" i="148"/>
  <c r="AR104" i="148"/>
  <c r="AR181" i="148"/>
  <c r="AR178" i="148"/>
  <c r="AR142" i="148"/>
  <c r="Z189" i="148"/>
  <c r="Z135" i="148"/>
  <c r="Z171" i="148"/>
  <c r="Z161" i="148"/>
  <c r="Z124" i="148"/>
  <c r="Z206" i="148"/>
  <c r="Z168" i="148"/>
  <c r="Z43" i="148"/>
  <c r="Z90" i="148"/>
  <c r="Z65" i="148"/>
  <c r="Z169" i="148"/>
  <c r="Z128" i="148"/>
  <c r="Z36" i="148"/>
  <c r="Z19" i="148"/>
  <c r="Z21" i="148"/>
  <c r="Z14" i="148"/>
  <c r="Z44" i="148"/>
  <c r="Z42" i="148"/>
  <c r="AT171" i="148"/>
  <c r="AL135" i="148"/>
  <c r="AQ203" i="148"/>
  <c r="AQ148" i="148"/>
  <c r="AP149" i="148"/>
  <c r="AP136" i="148"/>
  <c r="AP104" i="148"/>
  <c r="AP181" i="148"/>
  <c r="AP178" i="148"/>
  <c r="AP142" i="148"/>
  <c r="AP146" i="148"/>
  <c r="AP76" i="148"/>
  <c r="AP109" i="148"/>
  <c r="AP96" i="148"/>
  <c r="AP106" i="148"/>
  <c r="AP32" i="148"/>
  <c r="AP18" i="148"/>
  <c r="AP55" i="148"/>
  <c r="AE102" i="148"/>
  <c r="AE193" i="148"/>
  <c r="AE92" i="148"/>
  <c r="AE46" i="148"/>
  <c r="AE16" i="148"/>
  <c r="AR154" i="148"/>
  <c r="AR78" i="148"/>
  <c r="AR152" i="148"/>
  <c r="AR149" i="148"/>
  <c r="AR136" i="148"/>
  <c r="AR146" i="148"/>
  <c r="AR76" i="148"/>
  <c r="AR109" i="148"/>
  <c r="AR97" i="148"/>
  <c r="AR96" i="148"/>
  <c r="AR106" i="148"/>
  <c r="AR18" i="148"/>
  <c r="AR55" i="148"/>
  <c r="AG154" i="148"/>
  <c r="AG78" i="148"/>
  <c r="AG115" i="148"/>
  <c r="AG148" i="148"/>
  <c r="AG102" i="148"/>
  <c r="AG152" i="148"/>
  <c r="AG151" i="148"/>
  <c r="AG57" i="148"/>
  <c r="AG193" i="148"/>
  <c r="AG70" i="148"/>
  <c r="AG92" i="148"/>
  <c r="AG62" i="148"/>
  <c r="AG68" i="148"/>
  <c r="AG46" i="148"/>
  <c r="AG16" i="148"/>
  <c r="AG156" i="148"/>
  <c r="AN49" i="148"/>
  <c r="AU207" i="148"/>
  <c r="AU110" i="148"/>
  <c r="AU205" i="148"/>
  <c r="AU190" i="148"/>
  <c r="AU208" i="148"/>
  <c r="AU119" i="148"/>
  <c r="AU84" i="148"/>
  <c r="AU133" i="148"/>
  <c r="AU147" i="148"/>
  <c r="AU113" i="148"/>
  <c r="AU54" i="148"/>
  <c r="AU83" i="148"/>
  <c r="AU63" i="148"/>
  <c r="AU28" i="148"/>
  <c r="AU38" i="148"/>
  <c r="AU49" i="148"/>
  <c r="AU11" i="148"/>
  <c r="AU2" i="148"/>
  <c r="AU88" i="148"/>
  <c r="AV204" i="148"/>
  <c r="AR182" i="148"/>
  <c r="AU160" i="148"/>
  <c r="AU114" i="148"/>
  <c r="AU95" i="148"/>
  <c r="AU145" i="148"/>
  <c r="AU153" i="148"/>
  <c r="AU93" i="148"/>
  <c r="AU111" i="148"/>
  <c r="AU127" i="148"/>
  <c r="AU80" i="148"/>
  <c r="AU51" i="148"/>
  <c r="AU34" i="148"/>
  <c r="AU100" i="148"/>
  <c r="AU17" i="148"/>
  <c r="AU52" i="148"/>
  <c r="AU45" i="148"/>
  <c r="AU7" i="148"/>
  <c r="AE154" i="148"/>
  <c r="AE203" i="148"/>
  <c r="AE78" i="148"/>
  <c r="AE148" i="148"/>
  <c r="AE152" i="148"/>
  <c r="AE151" i="148"/>
  <c r="AE57" i="148"/>
  <c r="AE70" i="148"/>
  <c r="AE62" i="148"/>
  <c r="AE68" i="148"/>
  <c r="AE156" i="148"/>
  <c r="AT203" i="148"/>
  <c r="AT115" i="148"/>
  <c r="AT148" i="148"/>
  <c r="AT151" i="148"/>
  <c r="AT193" i="148"/>
  <c r="AT62" i="148"/>
  <c r="AT46" i="148"/>
  <c r="AT156" i="148"/>
  <c r="AN114" i="148"/>
  <c r="AN7" i="148"/>
  <c r="AQ199" i="148"/>
  <c r="AQ195" i="148"/>
  <c r="AQ188" i="148"/>
  <c r="AQ135" i="148"/>
  <c r="AQ171" i="148"/>
  <c r="AQ161" i="148"/>
  <c r="AQ124" i="148"/>
  <c r="AQ206" i="148"/>
  <c r="AQ168" i="148"/>
  <c r="AQ90" i="148"/>
  <c r="AQ169" i="148"/>
  <c r="AQ128" i="148"/>
  <c r="AQ36" i="148"/>
  <c r="AQ19" i="148"/>
  <c r="AQ44" i="148"/>
  <c r="AQ42" i="148"/>
  <c r="AQ154" i="148"/>
  <c r="AQ78" i="148"/>
  <c r="AQ115" i="148"/>
  <c r="AQ102" i="148"/>
  <c r="AQ152" i="148"/>
  <c r="AQ151" i="148"/>
  <c r="AQ57" i="148"/>
  <c r="AQ193" i="148"/>
  <c r="AQ62" i="148"/>
  <c r="AQ68" i="148"/>
  <c r="AQ46" i="148"/>
  <c r="AQ156" i="148"/>
  <c r="AQ136" i="148"/>
  <c r="AQ104" i="148"/>
  <c r="AQ181" i="148"/>
  <c r="AQ178" i="148"/>
  <c r="AQ142" i="148"/>
  <c r="AQ146" i="148"/>
  <c r="AQ76" i="148"/>
  <c r="AQ109" i="148"/>
  <c r="AQ97" i="148"/>
  <c r="AQ96" i="148"/>
  <c r="AQ106" i="148"/>
  <c r="AQ125" i="148"/>
  <c r="AQ55" i="148"/>
  <c r="AI135" i="148"/>
  <c r="AI124" i="148"/>
  <c r="AI168" i="148"/>
  <c r="AI65" i="148"/>
  <c r="AI128" i="148"/>
  <c r="AI21" i="148"/>
  <c r="AI14" i="148"/>
  <c r="AR202" i="148"/>
  <c r="AR199" i="148"/>
  <c r="AR67" i="148"/>
  <c r="AR176" i="148"/>
  <c r="AR121" i="148"/>
  <c r="AR112" i="148"/>
  <c r="AR195" i="148"/>
  <c r="AR173" i="148"/>
  <c r="AR185" i="148"/>
  <c r="AR86" i="148"/>
  <c r="AR50" i="148"/>
  <c r="AX48" i="148"/>
  <c r="AU189" i="148"/>
  <c r="AU135" i="148"/>
  <c r="AU171" i="148"/>
  <c r="AU161" i="148"/>
  <c r="AU124" i="148"/>
  <c r="AU206" i="148"/>
  <c r="AU168" i="148"/>
  <c r="AU43" i="148"/>
  <c r="AU90" i="148"/>
  <c r="AU65" i="148"/>
  <c r="AU128" i="148"/>
  <c r="AU36" i="148"/>
  <c r="AU19" i="148"/>
  <c r="AU21" i="148"/>
  <c r="AU14" i="148"/>
  <c r="AE189" i="148"/>
  <c r="AE135" i="148"/>
  <c r="AE161" i="148"/>
  <c r="AE124" i="148"/>
  <c r="AE206" i="148"/>
  <c r="AE168" i="148"/>
  <c r="AE43" i="148"/>
  <c r="AE65" i="148"/>
  <c r="AE169" i="148"/>
  <c r="AE36" i="148"/>
  <c r="AE19" i="148"/>
  <c r="AE21" i="148"/>
  <c r="AT189" i="148"/>
  <c r="AT135" i="148"/>
  <c r="AT161" i="148"/>
  <c r="AT124" i="148"/>
  <c r="AT206" i="148"/>
  <c r="AT168" i="148"/>
  <c r="AT43" i="148"/>
  <c r="AT90" i="148"/>
  <c r="AT65" i="148"/>
  <c r="AT36" i="148"/>
  <c r="AT19" i="148"/>
  <c r="AT21" i="148"/>
  <c r="AT14" i="148"/>
  <c r="AT44" i="148"/>
  <c r="AT42" i="148"/>
  <c r="AE14" i="148"/>
  <c r="AE44" i="148"/>
  <c r="AE42" i="148"/>
  <c r="D16" i="2" a="1"/>
  <c r="AC168" i="148"/>
  <c r="AC57" i="148"/>
  <c r="AG168" i="148"/>
  <c r="AG36" i="148"/>
  <c r="AG44" i="148"/>
  <c r="AU42" i="148"/>
  <c r="AE132" i="148"/>
  <c r="AE61" i="148"/>
  <c r="AU198" i="148"/>
  <c r="AU158" i="148"/>
  <c r="AU201" i="148"/>
  <c r="AU31" i="148"/>
  <c r="AU39" i="148"/>
  <c r="AU72" i="148"/>
  <c r="AV196" i="148"/>
  <c r="AV165" i="148"/>
  <c r="AV192" i="148"/>
  <c r="AV108" i="148"/>
  <c r="AV66" i="148"/>
  <c r="AV103" i="148"/>
  <c r="P169" i="148"/>
  <c r="Q76" i="148"/>
  <c r="AF149" i="148"/>
  <c r="AF104" i="148"/>
  <c r="AF181" i="148"/>
  <c r="AF178" i="148"/>
  <c r="AF76" i="148"/>
  <c r="AF106" i="148"/>
  <c r="AF125" i="148"/>
  <c r="AF32" i="148"/>
  <c r="AF18" i="148"/>
  <c r="AG189" i="148"/>
  <c r="AG135" i="148"/>
  <c r="AG171" i="148"/>
  <c r="AS143" i="148"/>
  <c r="AS118" i="148"/>
  <c r="AS64" i="148"/>
  <c r="AF60" i="148"/>
  <c r="AV8" i="148"/>
  <c r="AG161" i="148"/>
  <c r="AG206" i="148"/>
  <c r="AG43" i="148"/>
  <c r="AG90" i="148"/>
  <c r="AG19" i="148"/>
  <c r="AG14" i="148"/>
  <c r="AG42" i="148"/>
  <c r="AI13" i="148"/>
  <c r="AI189" i="148"/>
  <c r="AI90" i="148"/>
  <c r="AI169" i="148"/>
  <c r="AI36" i="148"/>
  <c r="AI19" i="148"/>
  <c r="AC30" i="148"/>
  <c r="AC70" i="148"/>
  <c r="AI44" i="148"/>
  <c r="Z184" i="148"/>
  <c r="AT66" i="148"/>
  <c r="BL123" i="148"/>
  <c r="BL165" i="148"/>
  <c r="BL193" i="148"/>
  <c r="BL160" i="148"/>
  <c r="BL32" i="148"/>
  <c r="AI42" i="148"/>
  <c r="X108" i="148"/>
  <c r="X8" i="148"/>
  <c r="Z202" i="148"/>
  <c r="Z199" i="148"/>
  <c r="Z121" i="148"/>
  <c r="Z112" i="148"/>
  <c r="Z173" i="148"/>
  <c r="Z29" i="148"/>
  <c r="AB202" i="148"/>
  <c r="AB50" i="148"/>
  <c r="AH173" i="148"/>
  <c r="AJ124" i="148"/>
  <c r="AJ169" i="148"/>
  <c r="X76" i="148"/>
  <c r="AN160" i="148"/>
  <c r="AN95" i="148"/>
  <c r="AN145" i="148"/>
  <c r="AN153" i="148"/>
  <c r="AN93" i="148"/>
  <c r="AN111" i="148"/>
  <c r="AV141" i="148"/>
  <c r="D194" i="2" a="1"/>
  <c r="P111" i="148"/>
  <c r="Z114" i="148"/>
  <c r="Z145" i="148"/>
  <c r="Z17" i="148"/>
  <c r="AA177" i="148"/>
  <c r="AA150" i="148"/>
  <c r="AA81" i="148"/>
  <c r="AA20" i="148"/>
  <c r="AG114" i="148"/>
  <c r="AG25" i="148"/>
  <c r="AN207" i="148"/>
  <c r="AN110" i="148"/>
  <c r="AN205" i="148"/>
  <c r="AN190" i="148"/>
  <c r="AN208" i="148"/>
  <c r="AN119" i="148"/>
  <c r="AN84" i="148"/>
  <c r="AN133" i="148"/>
  <c r="AN147" i="148"/>
  <c r="AN113" i="148"/>
  <c r="AN54" i="148"/>
  <c r="AN83" i="148"/>
  <c r="AN63" i="148"/>
  <c r="AN28" i="148"/>
  <c r="AN38" i="148"/>
  <c r="AN11" i="148"/>
  <c r="AN2" i="148"/>
  <c r="AN127" i="148"/>
  <c r="AN80" i="148"/>
  <c r="AN51" i="148"/>
  <c r="AN88" i="148"/>
  <c r="AN34" i="148"/>
  <c r="AN100" i="148"/>
  <c r="AN17" i="148"/>
  <c r="AN52" i="148"/>
  <c r="AN45" i="148"/>
  <c r="AE111" i="148"/>
  <c r="AE24" i="148"/>
  <c r="R158" i="148"/>
  <c r="V87" i="148"/>
  <c r="R153" i="148"/>
  <c r="Z80" i="148"/>
  <c r="AA41" i="148"/>
  <c r="AB127" i="148"/>
  <c r="AI87" i="148"/>
  <c r="AI177" i="148"/>
  <c r="AV170" i="148"/>
  <c r="AV197" i="148"/>
  <c r="AV164" i="148"/>
  <c r="AV150" i="148"/>
  <c r="AV172" i="148"/>
  <c r="AV157" i="148"/>
  <c r="AV81" i="148"/>
  <c r="AV200" i="148"/>
  <c r="AV56" i="148"/>
  <c r="AV105" i="148"/>
  <c r="AV99" i="148"/>
  <c r="AV41" i="148"/>
  <c r="AV35" i="148"/>
  <c r="AV15" i="148"/>
  <c r="AV20" i="148"/>
  <c r="Q144" i="148"/>
  <c r="Q101" i="148"/>
  <c r="AB113" i="148"/>
  <c r="AB28" i="148"/>
  <c r="AG145" i="148"/>
  <c r="AG153" i="148"/>
  <c r="AG7" i="148"/>
  <c r="P119" i="148"/>
  <c r="V177" i="148"/>
  <c r="V5" i="148"/>
  <c r="Z49" i="148"/>
  <c r="Z11" i="148"/>
  <c r="AB63" i="148"/>
  <c r="AS52" i="148"/>
  <c r="AC162" i="148"/>
  <c r="AC89" i="148"/>
  <c r="AC177" i="148"/>
  <c r="AI88" i="148"/>
  <c r="AI34" i="148"/>
  <c r="AE160" i="148"/>
  <c r="AE114" i="148"/>
  <c r="AE95" i="148"/>
  <c r="AE145" i="148"/>
  <c r="AE153" i="148"/>
  <c r="AE93" i="148"/>
  <c r="AE127" i="148"/>
  <c r="AE80" i="148"/>
  <c r="AE51" i="148"/>
  <c r="AE88" i="148"/>
  <c r="AE34" i="148"/>
  <c r="AE100" i="148"/>
  <c r="AE17" i="148"/>
  <c r="AE52" i="148"/>
  <c r="AE45" i="148"/>
  <c r="AE7" i="148"/>
  <c r="BL132" i="148"/>
  <c r="BL130" i="148"/>
  <c r="BL188" i="148"/>
  <c r="BL121" i="148"/>
  <c r="BL120" i="148"/>
  <c r="BL136" i="148"/>
  <c r="BL81" i="148"/>
  <c r="BL92" i="148"/>
  <c r="BL173" i="148"/>
  <c r="BL35" i="148"/>
  <c r="BL180" i="148"/>
  <c r="BL90" i="148"/>
  <c r="BL111" i="148"/>
  <c r="AV194" i="148"/>
  <c r="AV162" i="148"/>
  <c r="AV166" i="148"/>
  <c r="AV89" i="148"/>
  <c r="AV129" i="148"/>
  <c r="AV126" i="148"/>
  <c r="AV163" i="148"/>
  <c r="AV25" i="148"/>
  <c r="AV87" i="148"/>
  <c r="AV71" i="148"/>
  <c r="AV177" i="148"/>
  <c r="AV79" i="148"/>
  <c r="AV24" i="148"/>
  <c r="AV5" i="148"/>
  <c r="AV48" i="148"/>
  <c r="AV101" i="148"/>
  <c r="W17" i="148"/>
  <c r="AA178" i="148"/>
  <c r="AA142" i="148"/>
  <c r="AA96" i="148"/>
  <c r="AA125" i="148"/>
  <c r="AA55" i="148"/>
  <c r="AV10" i="148"/>
  <c r="AT154" i="148"/>
  <c r="AT78" i="148"/>
  <c r="AT102" i="148"/>
  <c r="AT152" i="148"/>
  <c r="AT57" i="148"/>
  <c r="AT70" i="148"/>
  <c r="AT92" i="148"/>
  <c r="AT68" i="148"/>
  <c r="AT16" i="148"/>
  <c r="AI48" i="148"/>
  <c r="AE194" i="148"/>
  <c r="AE162" i="148"/>
  <c r="AE204" i="148"/>
  <c r="BL29" i="148"/>
  <c r="BL21" i="148"/>
  <c r="BL11" i="148"/>
  <c r="AE166" i="148"/>
  <c r="AE89" i="148"/>
  <c r="AE129" i="148"/>
  <c r="AE126" i="148"/>
  <c r="AE163" i="148"/>
  <c r="AE25" i="148"/>
  <c r="AE87" i="148"/>
  <c r="AE71" i="148"/>
  <c r="AE177" i="148"/>
  <c r="AE79" i="148"/>
  <c r="AE5" i="148"/>
  <c r="AE48" i="148"/>
  <c r="AE101" i="148"/>
  <c r="AR203" i="148"/>
  <c r="AR115" i="148"/>
  <c r="AR148" i="148"/>
  <c r="AR151" i="148"/>
  <c r="AR57" i="148"/>
  <c r="AR70" i="148"/>
  <c r="AS89" i="148"/>
  <c r="AR92" i="148"/>
  <c r="AR68" i="148"/>
  <c r="AR46" i="148"/>
  <c r="AR156" i="148"/>
  <c r="Q172" i="148"/>
  <c r="BL182" i="148"/>
  <c r="BL68" i="148"/>
  <c r="BL71" i="148"/>
  <c r="BL51" i="148"/>
  <c r="BL129" i="148"/>
  <c r="BL5" i="148"/>
  <c r="BL142" i="148"/>
  <c r="BL176" i="148"/>
  <c r="BL118" i="148"/>
  <c r="BL88" i="148"/>
  <c r="BL74" i="148"/>
  <c r="BL6" i="148"/>
  <c r="K121" i="148"/>
  <c r="M181" i="148"/>
  <c r="P171" i="148"/>
  <c r="P19" i="148"/>
  <c r="Q181" i="148"/>
  <c r="Q55" i="148"/>
  <c r="I155" i="148"/>
  <c r="AV159" i="148"/>
  <c r="AV137" i="148"/>
  <c r="AV138" i="148"/>
  <c r="AV134" i="148"/>
  <c r="AV186" i="148"/>
  <c r="AV91" i="148"/>
  <c r="AV167" i="148"/>
  <c r="AV60" i="148"/>
  <c r="AV22" i="148"/>
  <c r="AB160" i="148"/>
  <c r="AB114" i="148"/>
  <c r="AB153" i="148"/>
  <c r="AN109" i="148"/>
  <c r="AX177" i="148"/>
  <c r="AV117" i="148"/>
  <c r="AB100" i="148"/>
  <c r="M104" i="148"/>
  <c r="AX56" i="148"/>
  <c r="V81" i="148"/>
  <c r="X41" i="148"/>
  <c r="AN154" i="148"/>
  <c r="AN156" i="148"/>
  <c r="AN6" i="148"/>
  <c r="AB135" i="148"/>
  <c r="AB171" i="148"/>
  <c r="AB161" i="148"/>
  <c r="AB124" i="148"/>
  <c r="R128" i="148"/>
  <c r="R21" i="148"/>
  <c r="AB206" i="148"/>
  <c r="AB168" i="148"/>
  <c r="AB43" i="148"/>
  <c r="AB90" i="148"/>
  <c r="AB65" i="148"/>
  <c r="AB169" i="148"/>
  <c r="AB128" i="148"/>
  <c r="AB36" i="148"/>
  <c r="AB19" i="148"/>
  <c r="AB14" i="148"/>
  <c r="AB44" i="148"/>
  <c r="AB42" i="148"/>
  <c r="AT196" i="148"/>
  <c r="AT103" i="148"/>
  <c r="AT23" i="148"/>
  <c r="AP171" i="148"/>
  <c r="AP42" i="148"/>
  <c r="AU154" i="148"/>
  <c r="AU203" i="148"/>
  <c r="AU78" i="148"/>
  <c r="AU148" i="148"/>
  <c r="AU102" i="148"/>
  <c r="AU151" i="148"/>
  <c r="AU57" i="148"/>
  <c r="AU193" i="148"/>
  <c r="AU62" i="148"/>
  <c r="AU68" i="148"/>
  <c r="AU156" i="148"/>
  <c r="AE192" i="148"/>
  <c r="AE23" i="148"/>
  <c r="AO19" i="148"/>
  <c r="AO193" i="148"/>
  <c r="AO202" i="148"/>
  <c r="AO121" i="148"/>
  <c r="AO13" i="148"/>
  <c r="AO50" i="148"/>
  <c r="AM29" i="148"/>
  <c r="AM13" i="148"/>
  <c r="P205" i="148"/>
  <c r="P208" i="148"/>
  <c r="P133" i="148"/>
  <c r="P147" i="148"/>
  <c r="P113" i="148"/>
  <c r="P54" i="148"/>
  <c r="P63" i="148"/>
  <c r="P38" i="148"/>
  <c r="P49" i="148"/>
  <c r="Q162" i="148"/>
  <c r="Q204" i="148"/>
  <c r="Q166" i="148"/>
  <c r="Q89" i="148"/>
  <c r="Q129" i="148"/>
  <c r="Q163" i="148"/>
  <c r="Q87" i="148"/>
  <c r="Q71" i="148"/>
  <c r="Q177" i="148"/>
  <c r="Q79" i="148"/>
  <c r="Q24" i="148"/>
  <c r="Q5" i="148"/>
  <c r="R207" i="148"/>
  <c r="R205" i="148"/>
  <c r="R190" i="148"/>
  <c r="AO102" i="148"/>
  <c r="AO70" i="148"/>
  <c r="AO62" i="148"/>
  <c r="AO68" i="148"/>
  <c r="AO46" i="148"/>
  <c r="AO16" i="148"/>
  <c r="AO156" i="148"/>
  <c r="AO199" i="148"/>
  <c r="AO182" i="148"/>
  <c r="AO195" i="148"/>
  <c r="AO185" i="148"/>
  <c r="R133" i="148"/>
  <c r="R147" i="148"/>
  <c r="R113" i="148"/>
  <c r="R54" i="148"/>
  <c r="R63" i="148"/>
  <c r="R28" i="148"/>
  <c r="R38" i="148"/>
  <c r="V162" i="148"/>
  <c r="V204" i="148"/>
  <c r="V166" i="148"/>
  <c r="V89" i="148"/>
  <c r="V129" i="148"/>
  <c r="V126" i="148"/>
  <c r="V163" i="148"/>
  <c r="V25" i="148"/>
  <c r="V71" i="148"/>
  <c r="V79" i="148"/>
  <c r="V48" i="148"/>
  <c r="V101" i="148"/>
  <c r="W207" i="148"/>
  <c r="W110" i="148"/>
  <c r="W205" i="148"/>
  <c r="W190" i="148"/>
  <c r="W208" i="148"/>
  <c r="W84" i="148"/>
  <c r="W133" i="148"/>
  <c r="W147" i="148"/>
  <c r="W113" i="148"/>
  <c r="W54" i="148"/>
  <c r="W83" i="148"/>
  <c r="W63" i="148"/>
  <c r="W28" i="148"/>
  <c r="W38" i="148"/>
  <c r="W49" i="148"/>
  <c r="W11" i="148"/>
  <c r="W2" i="148"/>
  <c r="X194" i="148"/>
  <c r="X162" i="148"/>
  <c r="X204" i="148"/>
  <c r="X166" i="148"/>
  <c r="X89" i="148"/>
  <c r="X129" i="148"/>
  <c r="X126" i="148"/>
  <c r="X163" i="148"/>
  <c r="X25" i="148"/>
  <c r="X87" i="148"/>
  <c r="X71" i="148"/>
  <c r="X177" i="148"/>
  <c r="X79" i="148"/>
  <c r="X24" i="148"/>
  <c r="X5" i="148"/>
  <c r="X48" i="148"/>
  <c r="X101" i="148"/>
  <c r="Z207" i="148"/>
  <c r="Z110" i="148"/>
  <c r="Z205" i="148"/>
  <c r="Z190" i="148"/>
  <c r="Z208" i="148"/>
  <c r="Z119" i="148"/>
  <c r="Z84" i="148"/>
  <c r="Z133" i="148"/>
  <c r="Z147" i="148"/>
  <c r="Z113" i="148"/>
  <c r="Z54" i="148"/>
  <c r="Z83" i="148"/>
  <c r="Z63" i="148"/>
  <c r="Z28" i="148"/>
  <c r="Z38" i="148"/>
  <c r="Z2" i="148"/>
  <c r="AA194" i="148"/>
  <c r="AA162" i="148"/>
  <c r="AA204" i="148"/>
  <c r="AA166" i="148"/>
  <c r="AA89" i="148"/>
  <c r="AA129" i="148"/>
  <c r="AA126" i="148"/>
  <c r="AA163" i="148"/>
  <c r="AA25" i="148"/>
  <c r="AA87" i="148"/>
  <c r="AA71" i="148"/>
  <c r="AA79" i="148"/>
  <c r="AA24" i="148"/>
  <c r="AA5" i="148"/>
  <c r="AA48" i="148"/>
  <c r="AA101" i="148"/>
  <c r="AO206" i="148"/>
  <c r="AO14" i="148"/>
  <c r="AU195" i="148"/>
  <c r="AU173" i="148"/>
  <c r="AU86" i="148"/>
  <c r="AU74" i="148"/>
  <c r="AU188" i="148"/>
  <c r="AU13" i="148"/>
  <c r="AM202" i="148"/>
  <c r="AM67" i="148"/>
  <c r="F171" i="148"/>
  <c r="M56" i="148"/>
  <c r="M15" i="148"/>
  <c r="P160" i="148"/>
  <c r="P114" i="148"/>
  <c r="P95" i="148"/>
  <c r="P145" i="148"/>
  <c r="P153" i="148"/>
  <c r="P127" i="148"/>
  <c r="P80" i="148"/>
  <c r="P51" i="148"/>
  <c r="P34" i="148"/>
  <c r="P100" i="148"/>
  <c r="P17" i="148"/>
  <c r="P52" i="148"/>
  <c r="P7" i="148"/>
  <c r="Q170" i="148"/>
  <c r="Q197" i="148"/>
  <c r="Q164" i="148"/>
  <c r="Q150" i="148"/>
  <c r="Q157" i="148"/>
  <c r="Q81" i="148"/>
  <c r="Q200" i="148"/>
  <c r="Q56" i="148"/>
  <c r="Q105" i="148"/>
  <c r="Q99" i="148"/>
  <c r="Q141" i="148"/>
  <c r="Q41" i="148"/>
  <c r="Q35" i="148"/>
  <c r="Q20" i="148"/>
  <c r="Q10" i="148"/>
  <c r="V170" i="148"/>
  <c r="V197" i="148"/>
  <c r="V164" i="148"/>
  <c r="V150" i="148"/>
  <c r="V172" i="148"/>
  <c r="V157" i="148"/>
  <c r="V200" i="148"/>
  <c r="V56" i="148"/>
  <c r="V105" i="148"/>
  <c r="V99" i="148"/>
  <c r="V141" i="148"/>
  <c r="V41" i="148"/>
  <c r="V35" i="148"/>
  <c r="V15" i="148"/>
  <c r="V20" i="148"/>
  <c r="V10" i="148"/>
  <c r="W160" i="148"/>
  <c r="W114" i="148"/>
  <c r="W95" i="148"/>
  <c r="W145" i="148"/>
  <c r="W153" i="148"/>
  <c r="W93" i="148"/>
  <c r="W111" i="148"/>
  <c r="W127" i="148"/>
  <c r="W80" i="148"/>
  <c r="W51" i="148"/>
  <c r="W88" i="148"/>
  <c r="W34" i="148"/>
  <c r="W100" i="148"/>
  <c r="W52" i="148"/>
  <c r="W45" i="148"/>
  <c r="W7" i="148"/>
  <c r="X170" i="148"/>
  <c r="X197" i="148"/>
  <c r="X164" i="148"/>
  <c r="X150" i="148"/>
  <c r="X172" i="148"/>
  <c r="X157" i="148"/>
  <c r="X81" i="148"/>
  <c r="X200" i="148"/>
  <c r="X56" i="148"/>
  <c r="X105" i="148"/>
  <c r="X99" i="148"/>
  <c r="X141" i="148"/>
  <c r="X35" i="148"/>
  <c r="X15" i="148"/>
  <c r="X20" i="148"/>
  <c r="X10" i="148"/>
  <c r="Z160" i="148"/>
  <c r="Z95" i="148"/>
  <c r="Z153" i="148"/>
  <c r="Z127" i="148"/>
  <c r="Z51" i="148"/>
  <c r="Z88" i="148"/>
  <c r="Z100" i="148"/>
  <c r="Z52" i="148"/>
  <c r="Z7" i="148"/>
  <c r="AA170" i="148"/>
  <c r="AA197" i="148"/>
  <c r="AA164" i="148"/>
  <c r="AA172" i="148"/>
  <c r="AA157" i="148"/>
  <c r="AA200" i="148"/>
  <c r="AA56" i="148"/>
  <c r="AA105" i="148"/>
  <c r="AA99" i="148"/>
  <c r="AA141" i="148"/>
  <c r="AA35" i="148"/>
  <c r="AA15" i="148"/>
  <c r="AA10" i="148"/>
  <c r="AB207" i="148"/>
  <c r="AB110" i="148"/>
  <c r="AB205" i="148"/>
  <c r="AB190" i="148"/>
  <c r="AB208" i="148"/>
  <c r="AB119" i="148"/>
  <c r="AB84" i="148"/>
  <c r="AB133" i="148"/>
  <c r="AB147" i="148"/>
  <c r="AB54" i="148"/>
  <c r="AB83" i="148"/>
  <c r="AB38" i="148"/>
  <c r="AB49" i="148"/>
  <c r="AB11" i="148"/>
  <c r="AB2" i="148"/>
  <c r="AS160" i="148"/>
  <c r="AS114" i="148"/>
  <c r="AS95" i="148"/>
  <c r="AS145" i="148"/>
  <c r="AS153" i="148"/>
  <c r="AS93" i="148"/>
  <c r="AS111" i="148"/>
  <c r="AS127" i="148"/>
  <c r="AS80" i="148"/>
  <c r="AS51" i="148"/>
  <c r="AS88" i="148"/>
  <c r="AS34" i="148"/>
  <c r="AS100" i="148"/>
  <c r="AS17" i="148"/>
  <c r="AS45" i="148"/>
  <c r="AS7" i="148"/>
  <c r="AS194" i="148"/>
  <c r="AS162" i="148"/>
  <c r="AS204" i="148"/>
  <c r="AS166" i="148"/>
  <c r="AS129" i="148"/>
  <c r="AS126" i="148"/>
  <c r="AF197" i="148"/>
  <c r="AF150" i="148"/>
  <c r="AB95" i="148"/>
  <c r="AB145" i="148"/>
  <c r="AB93" i="148"/>
  <c r="AB111" i="148"/>
  <c r="AB80" i="148"/>
  <c r="AB51" i="148"/>
  <c r="AB88" i="148"/>
  <c r="AB34" i="148"/>
  <c r="AB17" i="148"/>
  <c r="AB52" i="148"/>
  <c r="AB45" i="148"/>
  <c r="AB7" i="148"/>
  <c r="R160" i="148"/>
  <c r="R114" i="148"/>
  <c r="R95" i="148"/>
  <c r="R145" i="148"/>
  <c r="R93" i="148"/>
  <c r="R111" i="148"/>
  <c r="R127" i="148"/>
  <c r="R80" i="148"/>
  <c r="R88" i="148"/>
  <c r="R34" i="148"/>
  <c r="R100" i="148"/>
  <c r="R17" i="148"/>
  <c r="R52" i="148"/>
  <c r="R45" i="148"/>
  <c r="R7" i="148"/>
  <c r="AT194" i="148"/>
  <c r="AT162" i="148"/>
  <c r="AT204" i="148"/>
  <c r="AT166" i="148"/>
  <c r="AT89" i="148"/>
  <c r="AT129" i="148"/>
  <c r="AT126" i="148"/>
  <c r="AT163" i="148"/>
  <c r="AT25" i="148"/>
  <c r="AT87" i="148"/>
  <c r="AT71" i="148"/>
  <c r="AT177" i="148"/>
  <c r="AT79" i="148"/>
  <c r="AT24" i="148"/>
  <c r="AT5" i="148"/>
  <c r="AT48" i="148"/>
  <c r="AT101" i="148"/>
  <c r="AS25" i="148"/>
  <c r="AS87" i="148"/>
  <c r="AS71" i="148"/>
  <c r="AS79" i="148"/>
  <c r="AS5" i="148"/>
  <c r="AS48" i="148"/>
  <c r="AC194" i="148"/>
  <c r="AC204" i="148"/>
  <c r="AC166" i="148"/>
  <c r="AC129" i="148"/>
  <c r="AC126" i="148"/>
  <c r="AC163" i="148"/>
  <c r="AC25" i="148"/>
  <c r="AC87" i="148"/>
  <c r="AC71" i="148"/>
  <c r="AC79" i="148"/>
  <c r="AC24" i="148"/>
  <c r="AC5" i="148"/>
  <c r="AC48" i="148"/>
  <c r="AC101" i="148"/>
  <c r="AF170" i="148"/>
  <c r="AF164" i="148"/>
  <c r="AF172" i="148"/>
  <c r="AF81" i="148"/>
  <c r="AF200" i="148"/>
  <c r="AF41" i="148"/>
  <c r="AF35" i="148"/>
  <c r="AG160" i="148"/>
  <c r="AG95" i="148"/>
  <c r="AG93" i="148"/>
  <c r="AG111" i="148"/>
  <c r="AG127" i="148"/>
  <c r="AG80" i="148"/>
  <c r="AG51" i="148"/>
  <c r="AG88" i="148"/>
  <c r="AG34" i="148"/>
  <c r="AG100" i="148"/>
  <c r="AG17" i="148"/>
  <c r="AG52" i="148"/>
  <c r="AG45" i="148"/>
  <c r="AG194" i="148"/>
  <c r="AG162" i="148"/>
  <c r="AG204" i="148"/>
  <c r="AG166" i="148"/>
  <c r="AG89" i="148"/>
  <c r="AG129" i="148"/>
  <c r="AG126" i="148"/>
  <c r="AG163" i="148"/>
  <c r="AG87" i="148"/>
  <c r="AG71" i="148"/>
  <c r="AG177" i="148"/>
  <c r="AG79" i="148"/>
  <c r="AG24" i="148"/>
  <c r="AG5" i="148"/>
  <c r="AG48" i="148"/>
  <c r="AG101" i="148"/>
  <c r="AI160" i="148"/>
  <c r="AI114" i="148"/>
  <c r="AI95" i="148"/>
  <c r="AI145" i="148"/>
  <c r="AI153" i="148"/>
  <c r="AI93" i="148"/>
  <c r="AI111" i="148"/>
  <c r="AI127" i="148"/>
  <c r="AI80" i="148"/>
  <c r="AI51" i="148"/>
  <c r="AI100" i="148"/>
  <c r="AI17" i="148"/>
  <c r="AI52" i="148"/>
  <c r="AI45" i="148"/>
  <c r="AI7" i="148"/>
  <c r="AI194" i="148"/>
  <c r="AI162" i="148"/>
  <c r="AI204" i="148"/>
  <c r="AI166" i="148"/>
  <c r="AI89" i="148"/>
  <c r="AI129" i="148"/>
  <c r="AI126" i="148"/>
  <c r="AI163" i="148"/>
  <c r="AI25" i="148"/>
  <c r="AI71" i="148"/>
  <c r="AI79" i="148"/>
  <c r="AI24" i="148"/>
  <c r="AI5" i="148"/>
  <c r="AI101" i="148"/>
  <c r="AW130" i="148"/>
  <c r="AW26" i="148"/>
  <c r="AT136" i="148"/>
  <c r="AT104" i="148"/>
  <c r="AT181" i="148"/>
  <c r="AT178" i="148"/>
  <c r="AT142" i="148"/>
  <c r="AT146" i="148"/>
  <c r="AT109" i="148"/>
  <c r="AT96" i="148"/>
  <c r="AT106" i="148"/>
  <c r="AT125" i="148"/>
  <c r="AT55" i="148"/>
  <c r="AX29" i="148"/>
  <c r="AP154" i="148"/>
  <c r="AP203" i="148"/>
  <c r="AP78" i="148"/>
  <c r="AP115" i="148"/>
  <c r="AP148" i="148"/>
  <c r="AP102" i="148"/>
  <c r="AP152" i="148"/>
  <c r="AP151" i="148"/>
  <c r="AP57" i="148"/>
  <c r="AP193" i="148"/>
  <c r="AP70" i="148"/>
  <c r="AP92" i="148"/>
  <c r="AP68" i="148"/>
  <c r="AP46" i="148"/>
  <c r="AP16" i="148"/>
  <c r="AP156" i="148"/>
  <c r="AO189" i="148"/>
  <c r="AO135" i="148"/>
  <c r="AO171" i="148"/>
  <c r="AO169" i="148"/>
  <c r="AO44" i="148"/>
  <c r="P158" i="148"/>
  <c r="R26" i="148"/>
  <c r="AA40" i="148"/>
  <c r="AQ202" i="148"/>
  <c r="AQ182" i="148"/>
  <c r="AQ67" i="148"/>
  <c r="AQ176" i="148"/>
  <c r="AQ121" i="148"/>
  <c r="AQ112" i="148"/>
  <c r="AQ173" i="148"/>
  <c r="AQ185" i="148"/>
  <c r="AQ86" i="148"/>
  <c r="AQ74" i="148"/>
  <c r="AQ29" i="148"/>
  <c r="AQ13" i="148"/>
  <c r="AQ50" i="148"/>
  <c r="AQ9" i="148"/>
  <c r="I110" i="148"/>
  <c r="J48" i="148"/>
  <c r="X199" i="148"/>
  <c r="X182" i="148"/>
  <c r="Z78" i="148"/>
  <c r="Z115" i="148"/>
  <c r="AA202" i="148"/>
  <c r="AA121" i="148"/>
  <c r="AA173" i="148"/>
  <c r="AB156" i="148"/>
  <c r="AS104" i="148"/>
  <c r="AS18" i="148"/>
  <c r="AS6" i="148"/>
  <c r="AG6" i="148"/>
  <c r="AN203" i="148"/>
  <c r="AN78" i="148"/>
  <c r="AN115" i="148"/>
  <c r="AN148" i="148"/>
  <c r="AN102" i="148"/>
  <c r="AN152" i="148"/>
  <c r="W199" i="148"/>
  <c r="W189" i="148"/>
  <c r="W135" i="148"/>
  <c r="W171" i="148"/>
  <c r="W124" i="148"/>
  <c r="W206" i="148"/>
  <c r="W168" i="148"/>
  <c r="W43" i="148"/>
  <c r="W90" i="148"/>
  <c r="W169" i="148"/>
  <c r="X149" i="148"/>
  <c r="X136" i="148"/>
  <c r="AI149" i="148"/>
  <c r="AI178" i="148"/>
  <c r="AI146" i="148"/>
  <c r="AI106" i="148"/>
  <c r="AF157" i="148"/>
  <c r="AF56" i="148"/>
  <c r="AF105" i="148"/>
  <c r="AF99" i="148"/>
  <c r="AF141" i="148"/>
  <c r="AF15" i="148"/>
  <c r="AF20" i="148"/>
  <c r="AF10" i="148"/>
  <c r="AS169" i="148"/>
  <c r="AS36" i="148"/>
  <c r="I63" i="148"/>
  <c r="P93" i="148"/>
  <c r="P88" i="148"/>
  <c r="R51" i="148"/>
  <c r="I182" i="148"/>
  <c r="M106" i="148"/>
  <c r="M125" i="148"/>
  <c r="Q92" i="148"/>
  <c r="Z182" i="148"/>
  <c r="Z67" i="148"/>
  <c r="Z176" i="148"/>
  <c r="Z195" i="148"/>
  <c r="Z185" i="148"/>
  <c r="Z86" i="148"/>
  <c r="Z74" i="148"/>
  <c r="Z188" i="148"/>
  <c r="P67" i="148"/>
  <c r="R112" i="148"/>
  <c r="AB78" i="148"/>
  <c r="W36" i="148"/>
  <c r="W14" i="148"/>
  <c r="W44" i="148"/>
  <c r="W42" i="148"/>
  <c r="X104" i="148"/>
  <c r="X181" i="148"/>
  <c r="X178" i="148"/>
  <c r="X142" i="148"/>
  <c r="X146" i="148"/>
  <c r="X109" i="148"/>
  <c r="X97" i="148"/>
  <c r="X96" i="148"/>
  <c r="X106" i="148"/>
  <c r="X125" i="148"/>
  <c r="X32" i="148"/>
  <c r="X18" i="148"/>
  <c r="X55" i="148"/>
  <c r="X6" i="148"/>
  <c r="Z13" i="148"/>
  <c r="Z50" i="148"/>
  <c r="Z9" i="148"/>
  <c r="AS19" i="148"/>
  <c r="AS21" i="148"/>
  <c r="AS14" i="148"/>
  <c r="AS44" i="148"/>
  <c r="AS42" i="148"/>
  <c r="AC154" i="148"/>
  <c r="AC203" i="148"/>
  <c r="AC78" i="148"/>
  <c r="AC115" i="148"/>
  <c r="AC148" i="148"/>
  <c r="AC102" i="148"/>
  <c r="AC152" i="148"/>
  <c r="AC151" i="148"/>
  <c r="AC193" i="148"/>
  <c r="AC92" i="148"/>
  <c r="AC62" i="148"/>
  <c r="AC68" i="148"/>
  <c r="AP189" i="148"/>
  <c r="AP135" i="148"/>
  <c r="AP161" i="148"/>
  <c r="AP124" i="148"/>
  <c r="AP206" i="148"/>
  <c r="AP168" i="148"/>
  <c r="AP43" i="148"/>
  <c r="AP90" i="148"/>
  <c r="AP65" i="148"/>
  <c r="AP169" i="148"/>
  <c r="AP128" i="148"/>
  <c r="AP36" i="148"/>
  <c r="AP19" i="148"/>
  <c r="AP14" i="148"/>
  <c r="W67" i="148"/>
  <c r="W195" i="148"/>
  <c r="W173" i="148"/>
  <c r="W185" i="148"/>
  <c r="W86" i="148"/>
  <c r="W29" i="148"/>
  <c r="W13" i="148"/>
  <c r="W50" i="148"/>
  <c r="W9" i="148"/>
  <c r="V154" i="148"/>
  <c r="V203" i="148"/>
  <c r="V78" i="148"/>
  <c r="V115" i="148"/>
  <c r="V148" i="148"/>
  <c r="V102" i="148"/>
  <c r="V151" i="148"/>
  <c r="V57" i="148"/>
  <c r="V193" i="148"/>
  <c r="V70" i="148"/>
  <c r="V16" i="148"/>
  <c r="V156" i="148"/>
  <c r="AN193" i="148"/>
  <c r="AN62" i="148"/>
  <c r="AN46" i="148"/>
  <c r="Q15" i="148"/>
  <c r="AC46" i="148"/>
  <c r="AC16" i="148"/>
  <c r="AC156" i="148"/>
  <c r="AF136" i="148"/>
  <c r="AF142" i="148"/>
  <c r="AF146" i="148"/>
  <c r="AF109" i="148"/>
  <c r="AF97" i="148"/>
  <c r="AF96" i="148"/>
  <c r="AF55" i="148"/>
  <c r="AF6" i="148"/>
  <c r="Y96" i="148"/>
  <c r="Y125" i="148"/>
  <c r="Y199" i="148"/>
  <c r="AB146" i="148"/>
  <c r="AG13" i="148"/>
  <c r="AH42" i="148"/>
  <c r="AH154" i="148"/>
  <c r="AH203" i="148"/>
  <c r="AH78" i="148"/>
  <c r="AH115" i="148"/>
  <c r="AH62" i="148"/>
  <c r="AH46" i="148"/>
  <c r="AH156" i="148"/>
  <c r="AI112" i="148"/>
  <c r="AJ65" i="148"/>
  <c r="AJ19" i="148"/>
  <c r="AJ44" i="148"/>
  <c r="AJ142" i="148"/>
  <c r="AJ97" i="148"/>
  <c r="AJ112" i="148"/>
  <c r="AJ185" i="148"/>
  <c r="AJ86" i="148"/>
  <c r="AJ74" i="148"/>
  <c r="AJ29" i="148"/>
  <c r="AJ50" i="148"/>
  <c r="AL154" i="148"/>
  <c r="AL16" i="148"/>
  <c r="AL136" i="148"/>
  <c r="AL104" i="148"/>
  <c r="AL181" i="148"/>
  <c r="AL178" i="148"/>
  <c r="AL142" i="148"/>
  <c r="AL146" i="148"/>
  <c r="AL76" i="148"/>
  <c r="AL97" i="148"/>
  <c r="AL55" i="148"/>
  <c r="AL189" i="148"/>
  <c r="AL171" i="148"/>
  <c r="AL161" i="148"/>
  <c r="AL124" i="148"/>
  <c r="AL206" i="148"/>
  <c r="AL168" i="148"/>
  <c r="AL65" i="148"/>
  <c r="AL169" i="148"/>
  <c r="AL21" i="148"/>
  <c r="AL14" i="148"/>
  <c r="AL44" i="148"/>
  <c r="AL42" i="148"/>
  <c r="AM154" i="148"/>
  <c r="AM203" i="148"/>
  <c r="AM78" i="148"/>
  <c r="AM115" i="148"/>
  <c r="AM102" i="148"/>
  <c r="AM151" i="148"/>
  <c r="AM193" i="148"/>
  <c r="AM92" i="148"/>
  <c r="AM68" i="148"/>
  <c r="AM156" i="148"/>
  <c r="AM199" i="148"/>
  <c r="AM182" i="148"/>
  <c r="AM176" i="148"/>
  <c r="AM121" i="148"/>
  <c r="AM112" i="148"/>
  <c r="AM195" i="148"/>
  <c r="AM173" i="148"/>
  <c r="AM86" i="148"/>
  <c r="AM74" i="148"/>
  <c r="AM50" i="148"/>
  <c r="AM189" i="148"/>
  <c r="AM135" i="148"/>
  <c r="AM171" i="148"/>
  <c r="AM124" i="148"/>
  <c r="AM206" i="148"/>
  <c r="AM168" i="148"/>
  <c r="AM169" i="148"/>
  <c r="AM128" i="148"/>
  <c r="AM44" i="148"/>
  <c r="AM42" i="148"/>
  <c r="AN149" i="148"/>
  <c r="AN136" i="148"/>
  <c r="AN104" i="148"/>
  <c r="AN181" i="148"/>
  <c r="AN142" i="148"/>
  <c r="AN32" i="148"/>
  <c r="AN55" i="148"/>
  <c r="AO67" i="148"/>
  <c r="AO176" i="148"/>
  <c r="AO112" i="148"/>
  <c r="AO173" i="148"/>
  <c r="AO86" i="148"/>
  <c r="AO74" i="148"/>
  <c r="AO188" i="148"/>
  <c r="AO161" i="148"/>
  <c r="AO124" i="148"/>
  <c r="AO168" i="148"/>
  <c r="AO43" i="148"/>
  <c r="AO90" i="148"/>
  <c r="AO65" i="148"/>
  <c r="AO128" i="148"/>
  <c r="AO36" i="148"/>
  <c r="AO42" i="148"/>
  <c r="AO154" i="148"/>
  <c r="AO203" i="148"/>
  <c r="AO78" i="148"/>
  <c r="AO115" i="148"/>
  <c r="AO148" i="148"/>
  <c r="AO152" i="148"/>
  <c r="AO151" i="148"/>
  <c r="AO57" i="148"/>
  <c r="AO92" i="148"/>
  <c r="AH189" i="148"/>
  <c r="AH161" i="148"/>
  <c r="AH124" i="148"/>
  <c r="AH90" i="148"/>
  <c r="AH19" i="148"/>
  <c r="X154" i="148"/>
  <c r="X203" i="148"/>
  <c r="X78" i="148"/>
  <c r="X102" i="148"/>
  <c r="X152" i="148"/>
  <c r="X151" i="148"/>
  <c r="X92" i="148"/>
  <c r="X68" i="148"/>
  <c r="X16" i="148"/>
  <c r="X156" i="148"/>
  <c r="AA154" i="148"/>
  <c r="AA203" i="148"/>
  <c r="AA78" i="148"/>
  <c r="AA115" i="148"/>
  <c r="AA148" i="148"/>
  <c r="AA102" i="148"/>
  <c r="AA152" i="148"/>
  <c r="AA151" i="148"/>
  <c r="AA57" i="148"/>
  <c r="AA193" i="148"/>
  <c r="AA70" i="148"/>
  <c r="AA92" i="148"/>
  <c r="AA62" i="148"/>
  <c r="AA68" i="148"/>
  <c r="AA46" i="148"/>
  <c r="AA16" i="148"/>
  <c r="AA156" i="148"/>
  <c r="AB199" i="148"/>
  <c r="AB182" i="148"/>
  <c r="AB67" i="148"/>
  <c r="AB176" i="148"/>
  <c r="AB121" i="148"/>
  <c r="AB112" i="148"/>
  <c r="AB195" i="148"/>
  <c r="AB173" i="148"/>
  <c r="AB185" i="148"/>
  <c r="AB86" i="148"/>
  <c r="AB74" i="148"/>
  <c r="AB188" i="148"/>
  <c r="AB29" i="148"/>
  <c r="AB13" i="148"/>
  <c r="AB9" i="148"/>
  <c r="AS189" i="148"/>
  <c r="AS135" i="148"/>
  <c r="AS171" i="148"/>
  <c r="AS161" i="148"/>
  <c r="AS124" i="148"/>
  <c r="AS206" i="148"/>
  <c r="AS168" i="148"/>
  <c r="AS43" i="148"/>
  <c r="AS90" i="148"/>
  <c r="AS65" i="148"/>
  <c r="AS128" i="148"/>
  <c r="AG65" i="148"/>
  <c r="AG169" i="148"/>
  <c r="AG124" i="148"/>
  <c r="AG128" i="148"/>
  <c r="AG21" i="148"/>
  <c r="AN189" i="148"/>
  <c r="AN135" i="148"/>
  <c r="AN171" i="148"/>
  <c r="AN161" i="148"/>
  <c r="AN124" i="148"/>
  <c r="AN168" i="148"/>
  <c r="AN43" i="148"/>
  <c r="Y104" i="148"/>
  <c r="Y32" i="148"/>
  <c r="Y202" i="148"/>
  <c r="Y19" i="148"/>
  <c r="Y42" i="148"/>
  <c r="Z76" i="148"/>
  <c r="AA189" i="148"/>
  <c r="AA206" i="148"/>
  <c r="AB104" i="148"/>
  <c r="AB178" i="148"/>
  <c r="AB18" i="148"/>
  <c r="E68" i="148"/>
  <c r="AS202" i="148"/>
  <c r="AS182" i="148"/>
  <c r="AS121" i="148"/>
  <c r="AS195" i="148"/>
  <c r="AS185" i="148"/>
  <c r="AS86" i="148"/>
  <c r="AC161" i="148"/>
  <c r="AC124" i="148"/>
  <c r="AC36" i="148"/>
  <c r="AF156" i="148"/>
  <c r="X148" i="148"/>
  <c r="X70" i="148"/>
  <c r="X62" i="148"/>
  <c r="AN90" i="148"/>
  <c r="AN65" i="148"/>
  <c r="AN169" i="148"/>
  <c r="AN128" i="148"/>
  <c r="AE165" i="148"/>
  <c r="AM149" i="148"/>
  <c r="AM136" i="148"/>
  <c r="AM104" i="148"/>
  <c r="AM181" i="148"/>
  <c r="AM178" i="148"/>
  <c r="AC20" i="148"/>
  <c r="AJ152" i="148"/>
  <c r="AJ193" i="148"/>
  <c r="AJ16" i="148"/>
  <c r="AM142" i="148"/>
  <c r="AM146" i="148"/>
  <c r="AM96" i="148"/>
  <c r="AM32" i="148"/>
  <c r="AM55" i="148"/>
  <c r="AN36" i="148"/>
  <c r="AN19" i="148"/>
  <c r="AN21" i="148"/>
  <c r="AN14" i="148"/>
  <c r="AN44" i="148"/>
  <c r="AN42" i="148"/>
  <c r="E78" i="148"/>
  <c r="E156" i="148"/>
  <c r="E90" i="148"/>
  <c r="E161" i="148"/>
  <c r="AS163" i="148"/>
  <c r="AS177" i="148"/>
  <c r="AS24" i="148"/>
  <c r="AF130" i="148"/>
  <c r="AS101" i="148"/>
  <c r="M87" i="148"/>
  <c r="AW113" i="148"/>
  <c r="F57" i="148"/>
  <c r="I49" i="148"/>
  <c r="P45" i="148"/>
  <c r="M142" i="148"/>
  <c r="M146" i="148"/>
  <c r="R39" i="148"/>
  <c r="S158" i="148"/>
  <c r="V165" i="148"/>
  <c r="W58" i="148"/>
  <c r="AS75" i="148"/>
  <c r="AC131" i="148"/>
  <c r="AG143" i="148"/>
  <c r="J78" i="148"/>
  <c r="K9" i="148"/>
  <c r="P65" i="148"/>
  <c r="P44" i="148"/>
  <c r="Q146" i="148"/>
  <c r="Q96" i="148"/>
  <c r="R189" i="148"/>
  <c r="R124" i="148"/>
  <c r="R44" i="148"/>
  <c r="V104" i="148"/>
  <c r="V178" i="148"/>
  <c r="V97" i="148"/>
  <c r="V96" i="148"/>
  <c r="V106" i="148"/>
  <c r="W161" i="148"/>
  <c r="W128" i="148"/>
  <c r="W21" i="148"/>
  <c r="Z72" i="148"/>
  <c r="Q70" i="148"/>
  <c r="R173" i="148"/>
  <c r="V92" i="148"/>
  <c r="V62" i="148"/>
  <c r="V68" i="148"/>
  <c r="V46" i="148"/>
  <c r="F155" i="148"/>
  <c r="I142" i="148"/>
  <c r="I9" i="148"/>
  <c r="J161" i="148"/>
  <c r="K176" i="148"/>
  <c r="V152" i="148"/>
  <c r="W202" i="148"/>
  <c r="W182" i="148"/>
  <c r="W176" i="148"/>
  <c r="W121" i="148"/>
  <c r="W112" i="148"/>
  <c r="W74" i="148"/>
  <c r="W188" i="148"/>
  <c r="X115" i="148"/>
  <c r="X57" i="148"/>
  <c r="X193" i="148"/>
  <c r="X46" i="148"/>
  <c r="P124" i="148"/>
  <c r="P128" i="148"/>
  <c r="P36" i="148"/>
  <c r="P14" i="148"/>
  <c r="Q149" i="148"/>
  <c r="Q142" i="148"/>
  <c r="Q109" i="148"/>
  <c r="R168" i="148"/>
  <c r="R36" i="148"/>
  <c r="R19" i="148"/>
  <c r="P206" i="148"/>
  <c r="P161" i="148"/>
  <c r="I121" i="148"/>
  <c r="I185" i="148"/>
  <c r="I86" i="148"/>
  <c r="I74" i="148"/>
  <c r="I188" i="148"/>
  <c r="I29" i="148"/>
  <c r="J102" i="148"/>
  <c r="J16" i="148"/>
  <c r="K202" i="148"/>
  <c r="K182" i="148"/>
  <c r="K67" i="148"/>
  <c r="K173" i="148"/>
  <c r="K29" i="148"/>
  <c r="M136" i="148"/>
  <c r="M178" i="148"/>
  <c r="M76" i="148"/>
  <c r="M109" i="148"/>
  <c r="M97" i="148"/>
  <c r="M96" i="148"/>
  <c r="F198" i="148"/>
  <c r="I112" i="148"/>
  <c r="I13" i="148"/>
  <c r="J148" i="148"/>
  <c r="J152" i="148"/>
  <c r="J156" i="148"/>
  <c r="K112" i="148"/>
  <c r="P189" i="148"/>
  <c r="Q136" i="148"/>
  <c r="R171" i="148"/>
  <c r="R43" i="148"/>
  <c r="R65" i="148"/>
  <c r="R14" i="148"/>
  <c r="F91" i="148"/>
  <c r="F53" i="148"/>
  <c r="F27" i="148"/>
  <c r="I159" i="148"/>
  <c r="I137" i="148"/>
  <c r="I191" i="148"/>
  <c r="I186" i="148"/>
  <c r="I122" i="148"/>
  <c r="I91" i="148"/>
  <c r="I130" i="148"/>
  <c r="I82" i="148"/>
  <c r="I37" i="148"/>
  <c r="I60" i="148"/>
  <c r="I117" i="148"/>
  <c r="I3" i="148"/>
  <c r="J132" i="148"/>
  <c r="J98" i="148"/>
  <c r="J61" i="148"/>
  <c r="J180" i="148"/>
  <c r="J75" i="148"/>
  <c r="J12" i="148"/>
  <c r="J4" i="148"/>
  <c r="K159" i="148"/>
  <c r="K137" i="148"/>
  <c r="K134" i="148"/>
  <c r="K186" i="148"/>
  <c r="K130" i="148"/>
  <c r="K82" i="148"/>
  <c r="K37" i="148"/>
  <c r="K60" i="148"/>
  <c r="K22" i="148"/>
  <c r="K117" i="148"/>
  <c r="M196" i="148"/>
  <c r="M192" i="148"/>
  <c r="M107" i="148"/>
  <c r="M108" i="148"/>
  <c r="M103" i="148"/>
  <c r="M30" i="148"/>
  <c r="M40" i="148"/>
  <c r="M23" i="148"/>
  <c r="M8" i="148"/>
  <c r="P198" i="148"/>
  <c r="P77" i="148"/>
  <c r="P201" i="148"/>
  <c r="P69" i="148"/>
  <c r="P58" i="148"/>
  <c r="P53" i="148"/>
  <c r="P183" i="148"/>
  <c r="P33" i="148"/>
  <c r="P31" i="148"/>
  <c r="P27" i="148"/>
  <c r="P39" i="148"/>
  <c r="P72" i="148"/>
  <c r="Q196" i="148"/>
  <c r="Q192" i="148"/>
  <c r="Q108" i="148"/>
  <c r="Q66" i="148"/>
  <c r="Q73" i="148"/>
  <c r="Q94" i="148"/>
  <c r="Q40" i="148"/>
  <c r="Q23" i="148"/>
  <c r="Q47" i="148"/>
  <c r="R175" i="148"/>
  <c r="R77" i="148"/>
  <c r="R201" i="148"/>
  <c r="R179" i="148"/>
  <c r="R69" i="148"/>
  <c r="R27" i="148"/>
  <c r="R72" i="148"/>
  <c r="S184" i="148"/>
  <c r="S198" i="148"/>
  <c r="S175" i="148"/>
  <c r="S77" i="148"/>
  <c r="S201" i="148"/>
  <c r="S179" i="148"/>
  <c r="S53" i="148"/>
  <c r="S183" i="148"/>
  <c r="S33" i="148"/>
  <c r="S31" i="148"/>
  <c r="S27" i="148"/>
  <c r="S26" i="148"/>
  <c r="S39" i="148"/>
  <c r="V196" i="148"/>
  <c r="V131" i="148"/>
  <c r="V187" i="148"/>
  <c r="V192" i="148"/>
  <c r="V144" i="148"/>
  <c r="V107" i="148"/>
  <c r="V108" i="148"/>
  <c r="V66" i="148"/>
  <c r="V103" i="148"/>
  <c r="V73" i="148"/>
  <c r="V94" i="148"/>
  <c r="V30" i="148"/>
  <c r="V40" i="148"/>
  <c r="V23" i="148"/>
  <c r="V47" i="148"/>
  <c r="V8" i="148"/>
  <c r="W184" i="148"/>
  <c r="W198" i="148"/>
  <c r="W158" i="148"/>
  <c r="W175" i="148"/>
  <c r="W77" i="148"/>
  <c r="W201" i="148"/>
  <c r="W179" i="148"/>
  <c r="W69" i="148"/>
  <c r="W53" i="148"/>
  <c r="W183" i="148"/>
  <c r="W33" i="148"/>
  <c r="W31" i="148"/>
  <c r="W27" i="148"/>
  <c r="W26" i="148"/>
  <c r="W39" i="148"/>
  <c r="W72" i="148"/>
  <c r="X196" i="148"/>
  <c r="X131" i="148"/>
  <c r="X165" i="148"/>
  <c r="X187" i="148"/>
  <c r="X192" i="148"/>
  <c r="X144" i="148"/>
  <c r="X107" i="148"/>
  <c r="X66" i="148"/>
  <c r="X103" i="148"/>
  <c r="X73" i="148"/>
  <c r="X94" i="148"/>
  <c r="X30" i="148"/>
  <c r="X40" i="148"/>
  <c r="X23" i="148"/>
  <c r="X47" i="148"/>
  <c r="Z198" i="148"/>
  <c r="Z158" i="148"/>
  <c r="Z175" i="148"/>
  <c r="Z77" i="148"/>
  <c r="Z201" i="148"/>
  <c r="Z179" i="148"/>
  <c r="Z69" i="148"/>
  <c r="Z58" i="148"/>
  <c r="Z53" i="148"/>
  <c r="Z183" i="148"/>
  <c r="Z33" i="148"/>
  <c r="Z31" i="148"/>
  <c r="Z27" i="148"/>
  <c r="Z26" i="148"/>
  <c r="Z39" i="148"/>
  <c r="AA196" i="148"/>
  <c r="AA192" i="148"/>
  <c r="AA107" i="148"/>
  <c r="AA108" i="148"/>
  <c r="AA66" i="148"/>
  <c r="AA94" i="148"/>
  <c r="AB184" i="148"/>
  <c r="AB198" i="148"/>
  <c r="AB158" i="148"/>
  <c r="AB175" i="148"/>
  <c r="AB77" i="148"/>
  <c r="AB201" i="148"/>
  <c r="AB179" i="148"/>
  <c r="AB69" i="148"/>
  <c r="AB58" i="148"/>
  <c r="AB53" i="148"/>
  <c r="AB183" i="148"/>
  <c r="AB33" i="148"/>
  <c r="AB31" i="148"/>
  <c r="AB27" i="148"/>
  <c r="AB26" i="148"/>
  <c r="AB39" i="148"/>
  <c r="AB72" i="148"/>
  <c r="AS132" i="148"/>
  <c r="AS140" i="148"/>
  <c r="AS120" i="148"/>
  <c r="AS98" i="148"/>
  <c r="AS174" i="148"/>
  <c r="AS139" i="148"/>
  <c r="AS61" i="148"/>
  <c r="AS180" i="148"/>
  <c r="AS59" i="148"/>
  <c r="AS123" i="148"/>
  <c r="AS116" i="148"/>
  <c r="AS12" i="148"/>
  <c r="AS4" i="148"/>
  <c r="AC196" i="148"/>
  <c r="AC165" i="148"/>
  <c r="AC187" i="148"/>
  <c r="AC192" i="148"/>
  <c r="AC144" i="148"/>
  <c r="AC107" i="148"/>
  <c r="AC108" i="148"/>
  <c r="AC66" i="148"/>
  <c r="AC103" i="148"/>
  <c r="AC73" i="148"/>
  <c r="AC94" i="148"/>
  <c r="AC40" i="148"/>
  <c r="AC23" i="148"/>
  <c r="AC47" i="148"/>
  <c r="AC8" i="148"/>
  <c r="AF159" i="148"/>
  <c r="AF137" i="148"/>
  <c r="AF138" i="148"/>
  <c r="AF134" i="148"/>
  <c r="AF191" i="148"/>
  <c r="AF186" i="148"/>
  <c r="AF122" i="148"/>
  <c r="AF91" i="148"/>
  <c r="AF167" i="148"/>
  <c r="AF155" i="148"/>
  <c r="AF85" i="148"/>
  <c r="AF82" i="148"/>
  <c r="AF37" i="148"/>
  <c r="AF22" i="148"/>
  <c r="AF117" i="148"/>
  <c r="AF3" i="148"/>
  <c r="AG132" i="148"/>
  <c r="AG140" i="148"/>
  <c r="AG120" i="148"/>
  <c r="AG118" i="148"/>
  <c r="AG98" i="148"/>
  <c r="AG174" i="148"/>
  <c r="AG139" i="148"/>
  <c r="AG61" i="148"/>
  <c r="AG180" i="148"/>
  <c r="AG59" i="148"/>
  <c r="AG123" i="148"/>
  <c r="AG64" i="148"/>
  <c r="AG116" i="148"/>
  <c r="AG75" i="148"/>
  <c r="AG12" i="148"/>
  <c r="AG4" i="148"/>
  <c r="AI143" i="148"/>
  <c r="AI132" i="148"/>
  <c r="AI140" i="148"/>
  <c r="AI120" i="148"/>
  <c r="AI118" i="148"/>
  <c r="AI98" i="148"/>
  <c r="AI174" i="148"/>
  <c r="AI139" i="148"/>
  <c r="AI61" i="148"/>
  <c r="AI180" i="148"/>
  <c r="AI59" i="148"/>
  <c r="AI123" i="148"/>
  <c r="AI64" i="148"/>
  <c r="AI116" i="148"/>
  <c r="AI75" i="148"/>
  <c r="AI12" i="148"/>
  <c r="AI4" i="148"/>
  <c r="AN184" i="148"/>
  <c r="AN198" i="148"/>
  <c r="AN175" i="148"/>
  <c r="AN77" i="148"/>
  <c r="AN201" i="148"/>
  <c r="AN179" i="148"/>
  <c r="AN69" i="148"/>
  <c r="AN53" i="148"/>
  <c r="AN33" i="148"/>
  <c r="AN26" i="148"/>
  <c r="AN39" i="148"/>
  <c r="AN72" i="148"/>
  <c r="AN140" i="148"/>
  <c r="AN118" i="148"/>
  <c r="AN61" i="148"/>
  <c r="AE143" i="148"/>
  <c r="AE140" i="148"/>
  <c r="AE120" i="148"/>
  <c r="AE118" i="148"/>
  <c r="AE98" i="148"/>
  <c r="AE174" i="148"/>
  <c r="AE139" i="148"/>
  <c r="AE180" i="148"/>
  <c r="AE59" i="148"/>
  <c r="AE123" i="148"/>
  <c r="AE64" i="148"/>
  <c r="AE116" i="148"/>
  <c r="AE75" i="148"/>
  <c r="AE12" i="148"/>
  <c r="AE4" i="148"/>
  <c r="AE196" i="148"/>
  <c r="AE131" i="148"/>
  <c r="AE187" i="148"/>
  <c r="AE103" i="148"/>
  <c r="AE73" i="148"/>
  <c r="AE94" i="148"/>
  <c r="AE40" i="148"/>
  <c r="AT131" i="148"/>
  <c r="AT165" i="148"/>
  <c r="AT187" i="148"/>
  <c r="AT107" i="148"/>
  <c r="AT108" i="148"/>
  <c r="AT73" i="148"/>
  <c r="AT94" i="148"/>
  <c r="AT30" i="148"/>
  <c r="AT8" i="148"/>
  <c r="AU184" i="148"/>
  <c r="AU175" i="148"/>
  <c r="AU77" i="148"/>
  <c r="AU179" i="148"/>
  <c r="AU69" i="148"/>
  <c r="AU58" i="148"/>
  <c r="AU53" i="148"/>
  <c r="AU183" i="148"/>
  <c r="AU33" i="148"/>
  <c r="AU27" i="148"/>
  <c r="AU26" i="148"/>
  <c r="AV131" i="148"/>
  <c r="AV187" i="148"/>
  <c r="AV107" i="148"/>
  <c r="AV73" i="148"/>
  <c r="AV94" i="148"/>
  <c r="AV30" i="148"/>
  <c r="AV40" i="148"/>
  <c r="AV23" i="148"/>
  <c r="AV47" i="148"/>
  <c r="AN59" i="148"/>
  <c r="AU98" i="148"/>
  <c r="AU139" i="148"/>
  <c r="AU123" i="148"/>
  <c r="AU12" i="148"/>
  <c r="AV122" i="148"/>
  <c r="AV155" i="148"/>
  <c r="AV85" i="148"/>
  <c r="AW122" i="148"/>
  <c r="AE117" i="148"/>
  <c r="AM103" i="148"/>
  <c r="AO26" i="148"/>
  <c r="AR131" i="148"/>
  <c r="AR187" i="148"/>
  <c r="AR30" i="148"/>
  <c r="AU165" i="148"/>
  <c r="AU108" i="148"/>
  <c r="AU47" i="148"/>
  <c r="AV69" i="148"/>
  <c r="BL113" i="148"/>
  <c r="BL184" i="148"/>
  <c r="BL166" i="148"/>
  <c r="BL26" i="148"/>
  <c r="BL49" i="148"/>
  <c r="BL3" i="148"/>
  <c r="P22" i="148"/>
  <c r="R167" i="148"/>
  <c r="V139" i="148"/>
  <c r="V180" i="148"/>
  <c r="W3" i="148"/>
  <c r="AB82" i="148"/>
  <c r="AB60" i="148"/>
  <c r="AB3" i="148"/>
  <c r="AS201" i="148"/>
  <c r="AS58" i="148"/>
  <c r="AS39" i="148"/>
  <c r="AS72" i="148"/>
  <c r="AC59" i="148"/>
  <c r="AF73" i="148"/>
  <c r="AI27" i="148"/>
  <c r="AL137" i="148"/>
  <c r="AL134" i="148"/>
  <c r="AL117" i="148"/>
  <c r="AL58" i="148"/>
  <c r="AL27" i="148"/>
  <c r="AM191" i="148"/>
  <c r="AM117" i="148"/>
  <c r="AM118" i="148"/>
  <c r="AM180" i="148"/>
  <c r="AN155" i="148"/>
  <c r="AO174" i="148"/>
  <c r="AO180" i="148"/>
  <c r="AE158" i="148"/>
  <c r="AE183" i="148"/>
  <c r="AE31" i="148"/>
  <c r="AP201" i="148"/>
  <c r="AT158" i="148"/>
  <c r="AT77" i="148"/>
  <c r="AT33" i="148"/>
  <c r="AU186" i="148"/>
  <c r="AU22" i="148"/>
  <c r="AV72" i="148"/>
  <c r="AV132" i="148"/>
  <c r="AV140" i="148"/>
  <c r="AV118" i="148"/>
  <c r="AV61" i="148"/>
  <c r="AW196" i="148"/>
  <c r="AW107" i="148"/>
  <c r="AW108" i="148"/>
  <c r="AW30" i="148"/>
  <c r="AW85" i="148"/>
  <c r="AW82" i="148"/>
  <c r="AW117" i="148"/>
  <c r="AW69" i="148"/>
  <c r="AW53" i="148"/>
  <c r="AW33" i="148"/>
  <c r="AW31" i="148"/>
  <c r="AW39" i="148"/>
  <c r="AW140" i="148"/>
  <c r="AW139" i="148"/>
  <c r="AW180" i="148"/>
  <c r="AW123" i="148"/>
  <c r="AW64" i="148"/>
  <c r="AX165" i="148"/>
  <c r="AX202" i="148"/>
  <c r="AX199" i="148"/>
  <c r="AX182" i="148"/>
  <c r="AX67" i="148"/>
  <c r="AX176" i="148"/>
  <c r="AX121" i="148"/>
  <c r="AX112" i="148"/>
  <c r="AX195" i="148"/>
  <c r="AX173" i="148"/>
  <c r="AX185" i="148"/>
  <c r="AX86" i="148"/>
  <c r="AX74" i="148"/>
  <c r="AX188" i="148"/>
  <c r="AX13" i="148"/>
  <c r="AX50" i="148"/>
  <c r="AX154" i="148"/>
  <c r="AX203" i="148"/>
  <c r="AX78" i="148"/>
  <c r="AX115" i="148"/>
  <c r="AX148" i="148"/>
  <c r="AX102" i="148"/>
  <c r="AX152" i="148"/>
  <c r="AX151" i="148"/>
  <c r="AX57" i="148"/>
  <c r="AX193" i="148"/>
  <c r="AX70" i="148"/>
  <c r="AX92" i="148"/>
  <c r="AX62" i="148"/>
  <c r="AX68" i="148"/>
  <c r="AX46" i="148"/>
  <c r="AX156" i="148"/>
  <c r="BL162" i="148"/>
  <c r="BL154" i="148"/>
  <c r="BL30" i="148"/>
  <c r="BL156" i="148"/>
  <c r="BL205" i="148"/>
  <c r="BL187" i="148"/>
  <c r="BL82" i="148"/>
  <c r="BL104" i="148"/>
  <c r="BL89" i="148"/>
  <c r="BL115" i="148"/>
  <c r="BL147" i="148"/>
  <c r="BL58" i="148"/>
  <c r="BL95" i="148"/>
  <c r="BL96" i="148"/>
  <c r="BL108" i="148"/>
  <c r="BL52" i="148"/>
  <c r="BL20" i="148"/>
  <c r="BL23" i="148"/>
  <c r="BL80" i="148"/>
  <c r="AX124" i="148"/>
  <c r="AX162" i="148"/>
  <c r="AX204" i="148"/>
  <c r="AX25" i="148"/>
  <c r="AX87" i="148"/>
  <c r="AX207" i="148"/>
  <c r="AF207" i="148"/>
  <c r="AF110" i="148"/>
  <c r="AF205" i="148"/>
  <c r="AH121" i="148"/>
  <c r="AH112" i="148"/>
  <c r="AH188" i="148"/>
  <c r="AH50" i="148"/>
  <c r="AF190" i="148"/>
  <c r="AF208" i="148"/>
  <c r="AF119" i="148"/>
  <c r="V143" i="148"/>
  <c r="V132" i="148"/>
  <c r="V140" i="148"/>
  <c r="V120" i="148"/>
  <c r="V118" i="148"/>
  <c r="V98" i="148"/>
  <c r="V61" i="148"/>
  <c r="Z159" i="148"/>
  <c r="Z137" i="148"/>
  <c r="AB159" i="148"/>
  <c r="AB137" i="148"/>
  <c r="AB138" i="148"/>
  <c r="AB134" i="148"/>
  <c r="AB191" i="148"/>
  <c r="AB186" i="148"/>
  <c r="AB122" i="148"/>
  <c r="AB91" i="148"/>
  <c r="AB167" i="148"/>
  <c r="AB155" i="148"/>
  <c r="AB85" i="148"/>
  <c r="AB130" i="148"/>
  <c r="AS184" i="148"/>
  <c r="AS198" i="148"/>
  <c r="AS158" i="148"/>
  <c r="AS175" i="148"/>
  <c r="AS77" i="148"/>
  <c r="AS179" i="148"/>
  <c r="AS69" i="148"/>
  <c r="AS53" i="148"/>
  <c r="AS183" i="148"/>
  <c r="AS33" i="148"/>
  <c r="AS31" i="148"/>
  <c r="AS27" i="148"/>
  <c r="AS26" i="148"/>
  <c r="AC143" i="148"/>
  <c r="AC132" i="148"/>
  <c r="AC140" i="148"/>
  <c r="AC120" i="148"/>
  <c r="AC118" i="148"/>
  <c r="AC98" i="148"/>
  <c r="AC174" i="148"/>
  <c r="AC139" i="148"/>
  <c r="AF196" i="148"/>
  <c r="AF131" i="148"/>
  <c r="AF165" i="148"/>
  <c r="AF187" i="148"/>
  <c r="AF192" i="148"/>
  <c r="AF144" i="148"/>
  <c r="AF107" i="148"/>
  <c r="AF108" i="148"/>
  <c r="AF66" i="148"/>
  <c r="AF103" i="148"/>
  <c r="Z138" i="148"/>
  <c r="Z134" i="148"/>
  <c r="Z191" i="148"/>
  <c r="Z186" i="148"/>
  <c r="Z122" i="148"/>
  <c r="Z91" i="148"/>
  <c r="Z167" i="148"/>
  <c r="Z155" i="148"/>
  <c r="Z85" i="148"/>
  <c r="Z130" i="148"/>
  <c r="Z82" i="148"/>
  <c r="Z37" i="148"/>
  <c r="Z60" i="148"/>
  <c r="Z22" i="148"/>
  <c r="Z117" i="148"/>
  <c r="F78" i="148"/>
  <c r="AF84" i="148"/>
  <c r="BF3" i="148"/>
  <c r="AF94" i="148"/>
  <c r="I149" i="148"/>
  <c r="I96" i="148"/>
  <c r="I32" i="148"/>
  <c r="I18" i="148"/>
  <c r="J171" i="148"/>
  <c r="J206" i="148"/>
  <c r="J65" i="148"/>
  <c r="J19" i="148"/>
  <c r="J14" i="148"/>
  <c r="J44" i="148"/>
  <c r="K178" i="148"/>
  <c r="K76" i="148"/>
  <c r="K96" i="148"/>
  <c r="M203" i="148"/>
  <c r="M148" i="148"/>
  <c r="M57" i="148"/>
  <c r="M70" i="148"/>
  <c r="M46" i="148"/>
  <c r="M156" i="148"/>
  <c r="P202" i="148"/>
  <c r="P182" i="148"/>
  <c r="P112" i="148"/>
  <c r="P195" i="148"/>
  <c r="P185" i="148"/>
  <c r="P86" i="148"/>
  <c r="P188" i="148"/>
  <c r="P13" i="148"/>
  <c r="P50" i="148"/>
  <c r="P9" i="148"/>
  <c r="Q154" i="148"/>
  <c r="Q148" i="148"/>
  <c r="Q152" i="148"/>
  <c r="Q151" i="148"/>
  <c r="Q57" i="148"/>
  <c r="Q193" i="148"/>
  <c r="Q62" i="148"/>
  <c r="Q68" i="148"/>
  <c r="Q46" i="148"/>
  <c r="Q16" i="148"/>
  <c r="AF133" i="148"/>
  <c r="AF147" i="148"/>
  <c r="AF113" i="148"/>
  <c r="AF54" i="148"/>
  <c r="AF83" i="148"/>
  <c r="AF63" i="148"/>
  <c r="I131" i="148"/>
  <c r="I187" i="148"/>
  <c r="I192" i="148"/>
  <c r="I108" i="148"/>
  <c r="I66" i="148"/>
  <c r="I103" i="148"/>
  <c r="I73" i="148"/>
  <c r="I8" i="148"/>
  <c r="J184" i="148"/>
  <c r="J198" i="148"/>
  <c r="P159" i="148"/>
  <c r="P186" i="148"/>
  <c r="P167" i="148"/>
  <c r="P155" i="148"/>
  <c r="P85" i="148"/>
  <c r="P82" i="148"/>
  <c r="P60" i="148"/>
  <c r="P117" i="148"/>
  <c r="P3" i="148"/>
  <c r="Q143" i="148"/>
  <c r="Q120" i="148"/>
  <c r="Q118" i="148"/>
  <c r="Q98" i="148"/>
  <c r="V174" i="148"/>
  <c r="V59" i="148"/>
  <c r="V123" i="148"/>
  <c r="V64" i="148"/>
  <c r="V116" i="148"/>
  <c r="V75" i="148"/>
  <c r="V12" i="148"/>
  <c r="V4" i="148"/>
  <c r="Y123" i="148"/>
  <c r="AF30" i="148"/>
  <c r="AF40" i="148"/>
  <c r="AF23" i="148"/>
  <c r="AF47" i="148"/>
  <c r="AF8" i="148"/>
  <c r="AG184" i="148"/>
  <c r="AG198" i="148"/>
  <c r="AG158" i="148"/>
  <c r="AG175" i="148"/>
  <c r="AG77" i="148"/>
  <c r="AG201" i="148"/>
  <c r="AI184" i="148"/>
  <c r="AI198" i="148"/>
  <c r="AI158" i="148"/>
  <c r="AI175" i="148"/>
  <c r="AI77" i="148"/>
  <c r="AI201" i="148"/>
  <c r="AI179" i="148"/>
  <c r="AL196" i="148"/>
  <c r="AL131" i="148"/>
  <c r="AL187" i="148"/>
  <c r="AL94" i="148"/>
  <c r="AL30" i="148"/>
  <c r="AL47" i="148"/>
  <c r="AM131" i="148"/>
  <c r="AM165" i="148"/>
  <c r="AM192" i="148"/>
  <c r="AM107" i="148"/>
  <c r="AM108" i="148"/>
  <c r="AN196" i="148"/>
  <c r="AN131" i="148"/>
  <c r="AN165" i="148"/>
  <c r="AN144" i="148"/>
  <c r="AN107" i="148"/>
  <c r="AN108" i="148"/>
  <c r="AN103" i="148"/>
  <c r="AT155" i="148"/>
  <c r="AU196" i="148"/>
  <c r="AU131" i="148"/>
  <c r="AU187" i="148"/>
  <c r="AU107" i="148"/>
  <c r="AU103" i="148"/>
  <c r="AU40" i="148"/>
  <c r="AV184" i="148"/>
  <c r="AV198" i="148"/>
  <c r="AV77" i="148"/>
  <c r="AV33" i="148"/>
  <c r="AV31" i="148"/>
  <c r="AV26" i="148"/>
  <c r="Q156" i="148"/>
  <c r="AF28" i="148"/>
  <c r="AF38" i="148"/>
  <c r="AF49" i="148"/>
  <c r="AF11" i="148"/>
  <c r="J179" i="148"/>
  <c r="J53" i="148"/>
  <c r="J183" i="148"/>
  <c r="J33" i="148"/>
  <c r="J26" i="148"/>
  <c r="J39" i="148"/>
  <c r="J72" i="148"/>
  <c r="K196" i="148"/>
  <c r="K131" i="148"/>
  <c r="K40" i="148"/>
  <c r="Q139" i="148"/>
  <c r="Q180" i="148"/>
  <c r="Q59" i="148"/>
  <c r="Q64" i="148"/>
  <c r="AG179" i="148"/>
  <c r="AG69" i="148"/>
  <c r="AG58" i="148"/>
  <c r="AG53" i="148"/>
  <c r="AG183" i="148"/>
  <c r="AG33" i="148"/>
  <c r="AI69" i="148"/>
  <c r="R199" i="148"/>
  <c r="R67" i="148"/>
  <c r="R176" i="148"/>
  <c r="R121" i="148"/>
  <c r="R195" i="148"/>
  <c r="R185" i="148"/>
  <c r="R29" i="148"/>
  <c r="R13" i="148"/>
  <c r="R9" i="148"/>
  <c r="AF2" i="148"/>
  <c r="BJ7" i="148"/>
  <c r="BJ3" i="148"/>
  <c r="AA143" i="148"/>
  <c r="AA132" i="148"/>
  <c r="AA140" i="148"/>
  <c r="AA120" i="148"/>
  <c r="AA118" i="148"/>
  <c r="AA98" i="148"/>
  <c r="AA174" i="148"/>
  <c r="AA139" i="148"/>
  <c r="AA61" i="148"/>
  <c r="AA180" i="148"/>
  <c r="AA59" i="148"/>
  <c r="AA123" i="148"/>
  <c r="AA64" i="148"/>
  <c r="AA116" i="148"/>
  <c r="AA75" i="148"/>
  <c r="AA12" i="148"/>
  <c r="AA4" i="148"/>
  <c r="L163" i="1"/>
  <c r="L23" i="1"/>
  <c r="F190" i="148"/>
  <c r="K187" i="148"/>
  <c r="K192" i="148"/>
  <c r="K108" i="148"/>
  <c r="K66" i="148"/>
  <c r="K30" i="148"/>
  <c r="K23" i="148"/>
  <c r="K47" i="148"/>
  <c r="M132" i="148"/>
  <c r="M140" i="148"/>
  <c r="M118" i="148"/>
  <c r="M139" i="148"/>
  <c r="M116" i="148"/>
  <c r="Q116" i="148"/>
  <c r="Q75" i="148"/>
  <c r="Q12" i="148"/>
  <c r="R159" i="148"/>
  <c r="R134" i="148"/>
  <c r="R91" i="148"/>
  <c r="R155" i="148"/>
  <c r="R85" i="148"/>
  <c r="R82" i="148"/>
  <c r="R37" i="148"/>
  <c r="R60" i="148"/>
  <c r="AB37" i="148"/>
  <c r="AB22" i="148"/>
  <c r="AB117" i="148"/>
  <c r="AG31" i="148"/>
  <c r="AG27" i="148"/>
  <c r="AG26" i="148"/>
  <c r="AG39" i="148"/>
  <c r="AG72" i="148"/>
  <c r="AI58" i="148"/>
  <c r="AI53" i="148"/>
  <c r="AI183" i="148"/>
  <c r="AI33" i="148"/>
  <c r="AI31" i="148"/>
  <c r="AI26" i="148"/>
  <c r="AI39" i="148"/>
  <c r="AI72" i="148"/>
  <c r="AE159" i="148"/>
  <c r="AE137" i="148"/>
  <c r="AE138" i="148"/>
  <c r="AE134" i="148"/>
  <c r="AE191" i="148"/>
  <c r="AE186" i="148"/>
  <c r="AE91" i="148"/>
  <c r="AE167" i="148"/>
  <c r="AE85" i="148"/>
  <c r="AE130" i="148"/>
  <c r="AE37" i="148"/>
  <c r="AE60" i="148"/>
  <c r="AE3" i="148"/>
  <c r="W85" i="148"/>
  <c r="W117" i="148"/>
  <c r="S137" i="148"/>
  <c r="S134" i="148"/>
  <c r="BJ9" i="148"/>
  <c r="AL186" i="148"/>
  <c r="AL167" i="148"/>
  <c r="AL155" i="148"/>
  <c r="AL130" i="148"/>
  <c r="AL82" i="148"/>
  <c r="AL198" i="148"/>
  <c r="AL158" i="148"/>
  <c r="AL53" i="148"/>
  <c r="AL33" i="148"/>
  <c r="AL31" i="148"/>
  <c r="AL143" i="148"/>
  <c r="AL140" i="148"/>
  <c r="AL64" i="148"/>
  <c r="AL4" i="148"/>
  <c r="AM73" i="148"/>
  <c r="AM47" i="148"/>
  <c r="AM8" i="148"/>
  <c r="AM159" i="148"/>
  <c r="AM137" i="148"/>
  <c r="AM138" i="148"/>
  <c r="AM134" i="148"/>
  <c r="AM186" i="148"/>
  <c r="AM167" i="148"/>
  <c r="AM155" i="148"/>
  <c r="AM85" i="148"/>
  <c r="AM37" i="148"/>
  <c r="AM184" i="148"/>
  <c r="AM158" i="148"/>
  <c r="AM175" i="148"/>
  <c r="AM77" i="148"/>
  <c r="AM201" i="148"/>
  <c r="AM69" i="148"/>
  <c r="AM183" i="148"/>
  <c r="AM33" i="148"/>
  <c r="AM31" i="148"/>
  <c r="AM39" i="148"/>
  <c r="AM72" i="148"/>
  <c r="AM143" i="148"/>
  <c r="AM132" i="148"/>
  <c r="AM140" i="148"/>
  <c r="AM120" i="148"/>
  <c r="AM98" i="148"/>
  <c r="AM174" i="148"/>
  <c r="AM61" i="148"/>
  <c r="AM59" i="148"/>
  <c r="AM123" i="148"/>
  <c r="AM64" i="148"/>
  <c r="AN159" i="148"/>
  <c r="AN137" i="148"/>
  <c r="AN138" i="148"/>
  <c r="AN134" i="148"/>
  <c r="AN191" i="148"/>
  <c r="AN186" i="148"/>
  <c r="AN122" i="148"/>
  <c r="AN91" i="148"/>
  <c r="AN167" i="148"/>
  <c r="AN85" i="148"/>
  <c r="AN130" i="148"/>
  <c r="AN82" i="148"/>
  <c r="AN37" i="148"/>
  <c r="AN60" i="148"/>
  <c r="AN22" i="148"/>
  <c r="AN117" i="148"/>
  <c r="AN3" i="148"/>
  <c r="AO184" i="148"/>
  <c r="AO198" i="148"/>
  <c r="AO158" i="148"/>
  <c r="AO175" i="148"/>
  <c r="AO77" i="148"/>
  <c r="AO201" i="148"/>
  <c r="AO179" i="148"/>
  <c r="AO69" i="148"/>
  <c r="AO58" i="148"/>
  <c r="AO53" i="148"/>
  <c r="AO183" i="148"/>
  <c r="AO33" i="148"/>
  <c r="AO39" i="148"/>
  <c r="AO72" i="148"/>
  <c r="AO139" i="148"/>
  <c r="AO61" i="148"/>
  <c r="AO59" i="148"/>
  <c r="AO123" i="148"/>
  <c r="AO64" i="148"/>
  <c r="AO116" i="148"/>
  <c r="AO75" i="148"/>
  <c r="AE184" i="148"/>
  <c r="AE198" i="148"/>
  <c r="AE175" i="148"/>
  <c r="AE77" i="148"/>
  <c r="AE201" i="148"/>
  <c r="AE179" i="148"/>
  <c r="AE69" i="148"/>
  <c r="AE58" i="148"/>
  <c r="AE53" i="148"/>
  <c r="AE33" i="148"/>
  <c r="AE27" i="148"/>
  <c r="AE26" i="148"/>
  <c r="AE39" i="148"/>
  <c r="AE72" i="148"/>
  <c r="AQ187" i="148"/>
  <c r="AQ103" i="148"/>
  <c r="AR196" i="148"/>
  <c r="AR165" i="148"/>
  <c r="AR192" i="148"/>
  <c r="AR144" i="148"/>
  <c r="AR107" i="148"/>
  <c r="AR108" i="148"/>
  <c r="AR66" i="148"/>
  <c r="AR94" i="148"/>
  <c r="AR40" i="148"/>
  <c r="AR47" i="148"/>
  <c r="AC61" i="148"/>
  <c r="AC180" i="148"/>
  <c r="AC123" i="148"/>
  <c r="AC64" i="148"/>
  <c r="AC116" i="148"/>
  <c r="AC75" i="148"/>
  <c r="AC12" i="148"/>
  <c r="AC4" i="148"/>
  <c r="AP103" i="148"/>
  <c r="AQ191" i="148"/>
  <c r="AQ186" i="148"/>
  <c r="AR140" i="148"/>
  <c r="AR180" i="148"/>
  <c r="AR116" i="148"/>
  <c r="AT184" i="148"/>
  <c r="AT198" i="148"/>
  <c r="AT175" i="148"/>
  <c r="AT201" i="148"/>
  <c r="AT179" i="148"/>
  <c r="AT183" i="148"/>
  <c r="AT39" i="148"/>
  <c r="AT72" i="148"/>
  <c r="AT143" i="148"/>
  <c r="AT132" i="148"/>
  <c r="AT140" i="148"/>
  <c r="AT120" i="148"/>
  <c r="AT118" i="148"/>
  <c r="AT98" i="148"/>
  <c r="AT174" i="148"/>
  <c r="AT139" i="148"/>
  <c r="AT61" i="148"/>
  <c r="AT180" i="148"/>
  <c r="AT59" i="148"/>
  <c r="AT123" i="148"/>
  <c r="AT64" i="148"/>
  <c r="AT116" i="148"/>
  <c r="AT75" i="148"/>
  <c r="AT12" i="148"/>
  <c r="AT4" i="148"/>
  <c r="AU159" i="148"/>
  <c r="AU137" i="148"/>
  <c r="AU138" i="148"/>
  <c r="AU134" i="148"/>
  <c r="AU191" i="148"/>
  <c r="AU122" i="148"/>
  <c r="AU91" i="148"/>
  <c r="AU167" i="148"/>
  <c r="AU155" i="148"/>
  <c r="AU85" i="148"/>
  <c r="AU130" i="148"/>
  <c r="AU82" i="148"/>
  <c r="AU37" i="148"/>
  <c r="AU60" i="148"/>
  <c r="AU117" i="148"/>
  <c r="AU3" i="148"/>
  <c r="AV143" i="148"/>
  <c r="AV120" i="148"/>
  <c r="AV98" i="148"/>
  <c r="AV174" i="148"/>
  <c r="AV139" i="148"/>
  <c r="AV180" i="148"/>
  <c r="AV59" i="148"/>
  <c r="AV123" i="148"/>
  <c r="AV64" i="148"/>
  <c r="AV116" i="148"/>
  <c r="AV75" i="148"/>
  <c r="AV12" i="148"/>
  <c r="AV4" i="148"/>
  <c r="AW131" i="148"/>
  <c r="AW165" i="148"/>
  <c r="AW187" i="148"/>
  <c r="AW192" i="148"/>
  <c r="AW144" i="148"/>
  <c r="AW66" i="148"/>
  <c r="AW103" i="148"/>
  <c r="AW73" i="148"/>
  <c r="AW94" i="148"/>
  <c r="AW40" i="148"/>
  <c r="AW47" i="148"/>
  <c r="AW159" i="148"/>
  <c r="AW137" i="148"/>
  <c r="AW138" i="148"/>
  <c r="AW134" i="148"/>
  <c r="AW191" i="148"/>
  <c r="AW186" i="148"/>
  <c r="AW91" i="148"/>
  <c r="AW167" i="148"/>
  <c r="AW155" i="148"/>
  <c r="AW184" i="148"/>
  <c r="AW198" i="148"/>
  <c r="AW158" i="148"/>
  <c r="AW175" i="148"/>
  <c r="AW77" i="148"/>
  <c r="AW201" i="148"/>
  <c r="AW179" i="148"/>
  <c r="AW58" i="148"/>
  <c r="AW183" i="148"/>
  <c r="AW27" i="148"/>
  <c r="AW72" i="148"/>
  <c r="AW143" i="148"/>
  <c r="AW132" i="148"/>
  <c r="AW120" i="148"/>
  <c r="AW118" i="148"/>
  <c r="AW98" i="148"/>
  <c r="AW174" i="148"/>
  <c r="AW61" i="148"/>
  <c r="AW59" i="148"/>
  <c r="AW116" i="148"/>
  <c r="AW12" i="148"/>
  <c r="E13" i="148"/>
  <c r="BC3" i="148"/>
  <c r="BF20" i="148"/>
  <c r="AO143" i="148"/>
  <c r="AO132" i="148"/>
  <c r="AO140" i="148"/>
  <c r="AO120" i="148"/>
  <c r="AO118" i="148"/>
  <c r="AO98" i="148"/>
  <c r="AO159" i="148"/>
  <c r="AO137" i="148"/>
  <c r="AO138" i="148"/>
  <c r="AO134" i="148"/>
  <c r="AO191" i="148"/>
  <c r="AO186" i="148"/>
  <c r="AO122" i="148"/>
  <c r="AO91" i="148"/>
  <c r="AO167" i="148"/>
  <c r="AO155" i="148"/>
  <c r="AO85" i="148"/>
  <c r="AO130" i="148"/>
  <c r="AO82" i="148"/>
  <c r="AO37" i="148"/>
  <c r="AO22" i="148"/>
  <c r="AO117" i="148"/>
  <c r="AP85" i="148"/>
  <c r="AP82" i="148"/>
  <c r="AP3" i="148"/>
  <c r="AP184" i="148"/>
  <c r="AP198" i="148"/>
  <c r="AP158" i="148"/>
  <c r="AP175" i="148"/>
  <c r="AP69" i="148"/>
  <c r="AP58" i="148"/>
  <c r="AP53" i="148"/>
  <c r="AP31" i="148"/>
  <c r="AP26" i="148"/>
  <c r="AP39" i="148"/>
  <c r="AP72" i="148"/>
  <c r="AQ179" i="148"/>
  <c r="AQ33" i="148"/>
  <c r="AQ118" i="148"/>
  <c r="AQ64" i="148"/>
  <c r="AX9" i="148"/>
  <c r="W159" i="148"/>
  <c r="W137" i="148"/>
  <c r="W138" i="148"/>
  <c r="W134" i="148"/>
  <c r="W191" i="148"/>
  <c r="W186" i="148"/>
  <c r="W122" i="148"/>
  <c r="W91" i="148"/>
  <c r="W167" i="148"/>
  <c r="W155" i="148"/>
  <c r="W130" i="148"/>
  <c r="W82" i="148"/>
  <c r="W37" i="148"/>
  <c r="W60" i="148"/>
  <c r="W22" i="148"/>
  <c r="X143" i="148"/>
  <c r="X132" i="148"/>
  <c r="X140" i="148"/>
  <c r="X120" i="148"/>
  <c r="X118" i="148"/>
  <c r="X98" i="148"/>
  <c r="X174" i="148"/>
  <c r="X139" i="148"/>
  <c r="X61" i="148"/>
  <c r="X180" i="148"/>
  <c r="X59" i="148"/>
  <c r="X123" i="148"/>
  <c r="X64" i="148"/>
  <c r="X116" i="148"/>
  <c r="X75" i="148"/>
  <c r="X12" i="148"/>
  <c r="X4" i="148"/>
  <c r="AC170" i="148"/>
  <c r="AC197" i="148"/>
  <c r="AC164" i="148"/>
  <c r="AC150" i="148"/>
  <c r="AC172" i="148"/>
  <c r="AC157" i="148"/>
  <c r="AC81" i="148"/>
  <c r="AC200" i="148"/>
  <c r="AC56" i="148"/>
  <c r="AC105" i="148"/>
  <c r="AC99" i="148"/>
  <c r="AC141" i="148"/>
  <c r="AC41" i="148"/>
  <c r="AC35" i="148"/>
  <c r="AC15" i="148"/>
  <c r="AC10" i="148"/>
  <c r="AA131" i="148"/>
  <c r="AA165" i="148"/>
  <c r="AA187" i="148"/>
  <c r="AA144" i="148"/>
  <c r="AA103" i="148"/>
  <c r="AA73" i="148"/>
  <c r="AA30" i="148"/>
  <c r="AA23" i="148"/>
  <c r="AA47" i="148"/>
  <c r="AA8" i="148"/>
  <c r="BF6" i="148"/>
  <c r="M180" i="148"/>
  <c r="M123" i="148"/>
  <c r="M64" i="148"/>
  <c r="M12" i="148"/>
  <c r="Z3" i="148"/>
  <c r="AP159" i="148"/>
  <c r="AP137" i="148"/>
  <c r="AP138" i="148"/>
  <c r="AP134" i="148"/>
  <c r="AP191" i="148"/>
  <c r="AP186" i="148"/>
  <c r="AP122" i="148"/>
  <c r="AP91" i="148"/>
  <c r="AP167" i="148"/>
  <c r="AP155" i="148"/>
  <c r="AP130" i="148"/>
  <c r="AP37" i="148"/>
  <c r="AP22" i="148"/>
  <c r="AP117" i="148"/>
  <c r="AP75" i="148"/>
  <c r="AP196" i="148"/>
  <c r="AP131" i="148"/>
  <c r="AP165" i="148"/>
  <c r="AP187" i="148"/>
  <c r="AP192" i="148"/>
  <c r="AP144" i="148"/>
  <c r="AP107" i="148"/>
  <c r="AP162" i="148"/>
  <c r="AV110" i="148"/>
  <c r="AW56" i="148"/>
  <c r="AW141" i="148"/>
  <c r="AW147" i="148"/>
  <c r="AW83" i="148"/>
  <c r="AW89" i="148"/>
  <c r="AW87" i="148"/>
  <c r="AX184" i="148"/>
  <c r="AX198" i="148"/>
  <c r="AX158" i="148"/>
  <c r="AX175" i="148"/>
  <c r="AX77" i="148"/>
  <c r="AX201" i="148"/>
  <c r="AX179" i="148"/>
  <c r="AX69" i="148"/>
  <c r="AX58" i="148"/>
  <c r="AX53" i="148"/>
  <c r="AX183" i="148"/>
  <c r="AX33" i="148"/>
  <c r="AX31" i="148"/>
  <c r="AX26" i="148"/>
  <c r="AX39" i="148"/>
  <c r="AX72" i="148"/>
  <c r="AX196" i="148"/>
  <c r="AX131" i="148"/>
  <c r="AX187" i="148"/>
  <c r="AX192" i="148"/>
  <c r="AX144" i="148"/>
  <c r="AX107" i="148"/>
  <c r="AX108" i="148"/>
  <c r="AX66" i="148"/>
  <c r="AX103" i="148"/>
  <c r="AX73" i="148"/>
  <c r="AX94" i="148"/>
  <c r="AX30" i="148"/>
  <c r="AX47" i="148"/>
  <c r="AX8" i="148"/>
  <c r="BL206" i="148"/>
  <c r="BL198" i="148"/>
  <c r="BL144" i="148"/>
  <c r="AL78" i="148"/>
  <c r="AL115" i="148"/>
  <c r="AL148" i="148"/>
  <c r="AL102" i="148"/>
  <c r="AL152" i="148"/>
  <c r="AL151" i="148"/>
  <c r="AL57" i="148"/>
  <c r="AL70" i="148"/>
  <c r="AL92" i="148"/>
  <c r="AL156" i="148"/>
  <c r="AL202" i="148"/>
  <c r="AL199" i="148"/>
  <c r="AL182" i="148"/>
  <c r="AL67" i="148"/>
  <c r="AL176" i="148"/>
  <c r="AL121" i="148"/>
  <c r="AL112" i="148"/>
  <c r="AL195" i="148"/>
  <c r="AL173" i="148"/>
  <c r="AL185" i="148"/>
  <c r="AL74" i="148"/>
  <c r="AL13" i="148"/>
  <c r="AP202" i="148"/>
  <c r="AP199" i="148"/>
  <c r="AP182" i="148"/>
  <c r="AP67" i="148"/>
  <c r="AP176" i="148"/>
  <c r="AP121" i="148"/>
  <c r="AP112" i="148"/>
  <c r="AP195" i="148"/>
  <c r="AP173" i="148"/>
  <c r="AP185" i="148"/>
  <c r="AP86" i="148"/>
  <c r="AP74" i="148"/>
  <c r="AP188" i="148"/>
  <c r="AP13" i="148"/>
  <c r="AN158" i="148"/>
  <c r="AN58" i="148"/>
  <c r="AN183" i="148"/>
  <c r="AN31" i="148"/>
  <c r="AN27" i="148"/>
  <c r="AR26" i="148"/>
  <c r="AR12" i="148"/>
  <c r="AR4" i="148"/>
  <c r="AP108" i="148"/>
  <c r="AP66" i="148"/>
  <c r="AP73" i="148"/>
  <c r="AP94" i="148"/>
  <c r="AP30" i="148"/>
  <c r="AP47" i="148"/>
  <c r="AP8" i="148"/>
  <c r="AO196" i="148"/>
  <c r="AO131" i="148"/>
  <c r="AO165" i="148"/>
  <c r="AO187" i="148"/>
  <c r="AO192" i="148"/>
  <c r="AO144" i="148"/>
  <c r="AO107" i="148"/>
  <c r="AO108" i="148"/>
  <c r="AO66" i="148"/>
  <c r="AO103" i="148"/>
  <c r="AO73" i="148"/>
  <c r="AO94" i="148"/>
  <c r="AO30" i="148"/>
  <c r="AO23" i="148"/>
  <c r="AO47" i="148"/>
  <c r="AO8" i="148"/>
  <c r="AO149" i="148"/>
  <c r="AO136" i="148"/>
  <c r="AO104" i="148"/>
  <c r="AO181" i="148"/>
  <c r="AO178" i="148"/>
  <c r="AO142" i="148"/>
  <c r="AO146" i="148"/>
  <c r="AO76" i="148"/>
  <c r="AO109" i="148"/>
  <c r="AO97" i="148"/>
  <c r="AO96" i="148"/>
  <c r="AO125" i="148"/>
  <c r="AO32" i="148"/>
  <c r="AO18" i="148"/>
  <c r="AO55" i="148"/>
  <c r="AO6" i="148"/>
  <c r="BG60" i="148"/>
  <c r="BA2" i="148"/>
  <c r="L40" i="1"/>
  <c r="BG27" i="148"/>
  <c r="BC4" i="148"/>
  <c r="F135" i="148"/>
  <c r="F43" i="148"/>
  <c r="F65" i="148"/>
  <c r="F169" i="148"/>
  <c r="F36" i="148"/>
  <c r="F21" i="148"/>
  <c r="F42" i="148"/>
  <c r="F154" i="148"/>
  <c r="F115" i="148"/>
  <c r="F148" i="148"/>
  <c r="F102" i="148"/>
  <c r="I170" i="148"/>
  <c r="I164" i="148"/>
  <c r="I81" i="148"/>
  <c r="I200" i="148"/>
  <c r="I56" i="148"/>
  <c r="I99" i="148"/>
  <c r="I41" i="148"/>
  <c r="I35" i="148"/>
  <c r="I20" i="148"/>
  <c r="I10" i="148"/>
  <c r="I207" i="148"/>
  <c r="I205" i="148"/>
  <c r="I190" i="148"/>
  <c r="I208" i="148"/>
  <c r="I119" i="148"/>
  <c r="I84" i="148"/>
  <c r="I133" i="148"/>
  <c r="I147" i="148"/>
  <c r="I113" i="148"/>
  <c r="I54" i="148"/>
  <c r="I83" i="148"/>
  <c r="I28" i="148"/>
  <c r="I38" i="148"/>
  <c r="I11" i="148"/>
  <c r="I2" i="148"/>
  <c r="J194" i="148"/>
  <c r="J162" i="148"/>
  <c r="J204" i="148"/>
  <c r="J166" i="148"/>
  <c r="J89" i="148"/>
  <c r="J129" i="148"/>
  <c r="J126" i="148"/>
  <c r="J163" i="148"/>
  <c r="J25" i="148"/>
  <c r="J87" i="148"/>
  <c r="J71" i="148"/>
  <c r="J177" i="148"/>
  <c r="J79" i="148"/>
  <c r="J24" i="148"/>
  <c r="J5" i="148"/>
  <c r="J101" i="148"/>
  <c r="K170" i="148"/>
  <c r="K150" i="148"/>
  <c r="K200" i="148"/>
  <c r="K56" i="148"/>
  <c r="K99" i="148"/>
  <c r="K141" i="148"/>
  <c r="K35" i="148"/>
  <c r="K10" i="148"/>
  <c r="K207" i="148"/>
  <c r="K110" i="148"/>
  <c r="K205" i="148"/>
  <c r="K190" i="148"/>
  <c r="K208" i="148"/>
  <c r="K119" i="148"/>
  <c r="K84" i="148"/>
  <c r="K133" i="148"/>
  <c r="K147" i="148"/>
  <c r="K113" i="148"/>
  <c r="K54" i="148"/>
  <c r="K83" i="148"/>
  <c r="K63" i="148"/>
  <c r="K28" i="148"/>
  <c r="K38" i="148"/>
  <c r="K49" i="148"/>
  <c r="K11" i="148"/>
  <c r="K2" i="148"/>
  <c r="M162" i="148"/>
  <c r="M204" i="148"/>
  <c r="M166" i="148"/>
  <c r="M129" i="148"/>
  <c r="M177" i="148"/>
  <c r="M79" i="148"/>
  <c r="M5" i="148"/>
  <c r="M48" i="148"/>
  <c r="M170" i="148"/>
  <c r="M197" i="148"/>
  <c r="M164" i="148"/>
  <c r="M150" i="148"/>
  <c r="M172" i="148"/>
  <c r="M157" i="148"/>
  <c r="M81" i="148"/>
  <c r="M200" i="148"/>
  <c r="M105" i="148"/>
  <c r="F152" i="148"/>
  <c r="F151" i="148"/>
  <c r="F193" i="148"/>
  <c r="F62" i="148"/>
  <c r="F46" i="148"/>
  <c r="F156" i="148"/>
  <c r="M99" i="148"/>
  <c r="M141" i="148"/>
  <c r="M41" i="148"/>
  <c r="M35" i="148"/>
  <c r="M20" i="148"/>
  <c r="AR184" i="148"/>
  <c r="AR198" i="148"/>
  <c r="AR158" i="148"/>
  <c r="AR175" i="148"/>
  <c r="AR77" i="148"/>
  <c r="AR201" i="148"/>
  <c r="AR179" i="148"/>
  <c r="AR69" i="148"/>
  <c r="AR58" i="148"/>
  <c r="AR53" i="148"/>
  <c r="AR183" i="148"/>
  <c r="AR31" i="148"/>
  <c r="AR27" i="148"/>
  <c r="AR39" i="148"/>
  <c r="AR72" i="148"/>
  <c r="L6" i="1"/>
  <c r="M10" i="148"/>
  <c r="F70" i="148"/>
  <c r="F92" i="148"/>
  <c r="F68" i="148"/>
  <c r="F16" i="148"/>
  <c r="BF2" i="148"/>
  <c r="L3" i="1"/>
  <c r="BF40" i="148"/>
  <c r="L27" i="1"/>
  <c r="F207" i="148"/>
  <c r="F110" i="148"/>
  <c r="F205" i="148"/>
  <c r="F208" i="148"/>
  <c r="F119" i="148"/>
  <c r="F84" i="148"/>
  <c r="F147" i="148"/>
  <c r="F54" i="148"/>
  <c r="F83" i="148"/>
  <c r="F28" i="148"/>
  <c r="F38" i="148"/>
  <c r="F49" i="148"/>
  <c r="F2" i="148"/>
  <c r="F160" i="148"/>
  <c r="F145" i="148"/>
  <c r="F93" i="148"/>
  <c r="F111" i="148"/>
  <c r="F127" i="148"/>
  <c r="F80" i="148"/>
  <c r="F51" i="148"/>
  <c r="F88" i="148"/>
  <c r="F34" i="148"/>
  <c r="F100" i="148"/>
  <c r="F17" i="148"/>
  <c r="F52" i="148"/>
  <c r="F45" i="148"/>
  <c r="F7" i="148"/>
  <c r="I196" i="148"/>
  <c r="I165" i="148"/>
  <c r="I144" i="148"/>
  <c r="BJ18" i="148"/>
  <c r="BJ39" i="148"/>
  <c r="BF37" i="148"/>
  <c r="BF15" i="148"/>
  <c r="BF9" i="148"/>
  <c r="I107" i="148"/>
  <c r="I94" i="148"/>
  <c r="I30" i="148"/>
  <c r="I40" i="148"/>
  <c r="I23" i="148"/>
  <c r="I47" i="148"/>
  <c r="I138" i="148"/>
  <c r="I134" i="148"/>
  <c r="I167" i="148"/>
  <c r="I85" i="148"/>
  <c r="I22" i="148"/>
  <c r="J158" i="148"/>
  <c r="J175" i="148"/>
  <c r="J77" i="148"/>
  <c r="J201" i="148"/>
  <c r="J69" i="148"/>
  <c r="J58" i="148"/>
  <c r="J31" i="148"/>
  <c r="J27" i="148"/>
  <c r="J143" i="148"/>
  <c r="J140" i="148"/>
  <c r="J120" i="148"/>
  <c r="J118" i="148"/>
  <c r="J174" i="148"/>
  <c r="J139" i="148"/>
  <c r="J59" i="148"/>
  <c r="J123" i="148"/>
  <c r="J64" i="148"/>
  <c r="J116" i="148"/>
  <c r="K165" i="148"/>
  <c r="K144" i="148"/>
  <c r="K107" i="148"/>
  <c r="K103" i="148"/>
  <c r="K73" i="148"/>
  <c r="K94" i="148"/>
  <c r="K8" i="148"/>
  <c r="K138" i="148"/>
  <c r="K191" i="148"/>
  <c r="K122" i="148"/>
  <c r="K91" i="148"/>
  <c r="K167" i="148"/>
  <c r="K155" i="148"/>
  <c r="K85" i="148"/>
  <c r="K3" i="148"/>
  <c r="M143" i="148"/>
  <c r="M120" i="148"/>
  <c r="M98" i="148"/>
  <c r="M174" i="148"/>
  <c r="M61" i="148"/>
  <c r="M59" i="148"/>
  <c r="M75" i="148"/>
  <c r="M4" i="148"/>
  <c r="M131" i="148"/>
  <c r="M165" i="148"/>
  <c r="M187" i="148"/>
  <c r="M144" i="148"/>
  <c r="M66" i="148"/>
  <c r="M73" i="148"/>
  <c r="M94" i="148"/>
  <c r="M47" i="148"/>
  <c r="P137" i="148"/>
  <c r="P138" i="148"/>
  <c r="P134" i="148"/>
  <c r="P191" i="148"/>
  <c r="P122" i="148"/>
  <c r="P91" i="148"/>
  <c r="P130" i="148"/>
  <c r="P37" i="148"/>
  <c r="P184" i="148"/>
  <c r="P175" i="148"/>
  <c r="P179" i="148"/>
  <c r="P26" i="148"/>
  <c r="Q132" i="148"/>
  <c r="Q140" i="148"/>
  <c r="Q174" i="148"/>
  <c r="Q61" i="148"/>
  <c r="Q123" i="148"/>
  <c r="Q4" i="148"/>
  <c r="Q131" i="148"/>
  <c r="Q165" i="148"/>
  <c r="Q187" i="148"/>
  <c r="Q107" i="148"/>
  <c r="Q103" i="148"/>
  <c r="Q30" i="148"/>
  <c r="Q8" i="148"/>
  <c r="BJ116" i="148"/>
  <c r="F22" i="148"/>
  <c r="F117" i="148"/>
  <c r="F175" i="148"/>
  <c r="F69" i="148"/>
  <c r="F58" i="148"/>
  <c r="F183" i="148"/>
  <c r="F33" i="148"/>
  <c r="F72" i="148"/>
  <c r="I136" i="148"/>
  <c r="I104" i="148"/>
  <c r="I146" i="148"/>
  <c r="I125" i="148"/>
  <c r="I55" i="148"/>
  <c r="I6" i="148"/>
  <c r="J189" i="148"/>
  <c r="J124" i="148"/>
  <c r="J168" i="148"/>
  <c r="J43" i="148"/>
  <c r="J90" i="148"/>
  <c r="J21" i="148"/>
  <c r="K109" i="148"/>
  <c r="K106" i="148"/>
  <c r="K125" i="148"/>
  <c r="K6" i="148"/>
  <c r="I197" i="148"/>
  <c r="I150" i="148"/>
  <c r="I172" i="148"/>
  <c r="L28" i="1"/>
  <c r="R137" i="148"/>
  <c r="R138" i="148"/>
  <c r="R191" i="148"/>
  <c r="R186" i="148"/>
  <c r="R122" i="148"/>
  <c r="R130" i="148"/>
  <c r="R22" i="148"/>
  <c r="R117" i="148"/>
  <c r="R3" i="148"/>
  <c r="S159" i="148"/>
  <c r="M78" i="148"/>
  <c r="M115" i="148"/>
  <c r="M152" i="148"/>
  <c r="M151" i="148"/>
  <c r="M193" i="148"/>
  <c r="M68" i="148"/>
  <c r="M16" i="148"/>
  <c r="P199" i="148"/>
  <c r="P176" i="148"/>
  <c r="P121" i="148"/>
  <c r="P173" i="148"/>
  <c r="P74" i="148"/>
  <c r="P29" i="148"/>
  <c r="Q203" i="148"/>
  <c r="Q115" i="148"/>
  <c r="Q102" i="148"/>
  <c r="R202" i="148"/>
  <c r="R182" i="148"/>
  <c r="R86" i="148"/>
  <c r="R74" i="148"/>
  <c r="R50" i="148"/>
  <c r="AR159" i="148"/>
  <c r="AR137" i="148"/>
  <c r="AR138" i="148"/>
  <c r="AR134" i="148"/>
  <c r="AR191" i="148"/>
  <c r="AR186" i="148"/>
  <c r="AR122" i="148"/>
  <c r="AR155" i="148"/>
  <c r="AR130" i="148"/>
  <c r="AR82" i="148"/>
  <c r="AR117" i="148"/>
  <c r="AR3" i="148"/>
  <c r="R184" i="148"/>
  <c r="R198" i="148"/>
  <c r="R58" i="148"/>
  <c r="R53" i="148"/>
  <c r="R183" i="148"/>
  <c r="R33" i="148"/>
  <c r="R31" i="148"/>
  <c r="S69" i="148"/>
  <c r="S58" i="148"/>
  <c r="S72" i="148"/>
  <c r="I202" i="148"/>
  <c r="I199" i="148"/>
  <c r="I67" i="148"/>
  <c r="I176" i="148"/>
  <c r="I195" i="148"/>
  <c r="I173" i="148"/>
  <c r="J154" i="148"/>
  <c r="J203" i="148"/>
  <c r="J115" i="148"/>
  <c r="J151" i="148"/>
  <c r="J57" i="148"/>
  <c r="J193" i="148"/>
  <c r="J70" i="148"/>
  <c r="J92" i="148"/>
  <c r="J62" i="148"/>
  <c r="J68" i="148"/>
  <c r="J46" i="148"/>
  <c r="K199" i="148"/>
  <c r="K195" i="148"/>
  <c r="K185" i="148"/>
  <c r="K86" i="148"/>
  <c r="K74" i="148"/>
  <c r="K188" i="148"/>
  <c r="K13" i="148"/>
  <c r="K50" i="148"/>
  <c r="L57" i="148"/>
  <c r="M149" i="148"/>
  <c r="M32" i="148"/>
  <c r="M18" i="148"/>
  <c r="M55" i="148"/>
  <c r="M6" i="148"/>
  <c r="P135" i="148"/>
  <c r="P168" i="148"/>
  <c r="P43" i="148"/>
  <c r="P90" i="148"/>
  <c r="P21" i="148"/>
  <c r="P42" i="148"/>
  <c r="Q104" i="148"/>
  <c r="Q178" i="148"/>
  <c r="Q97" i="148"/>
  <c r="Q106" i="148"/>
  <c r="Q125" i="148"/>
  <c r="Q32" i="148"/>
  <c r="Q18" i="148"/>
  <c r="Q6" i="148"/>
  <c r="R135" i="148"/>
  <c r="R161" i="148"/>
  <c r="R206" i="148"/>
  <c r="R90" i="148"/>
  <c r="R169" i="148"/>
  <c r="R42" i="148"/>
  <c r="BF7" i="148"/>
  <c r="AR143" i="148"/>
  <c r="AR132" i="148"/>
  <c r="AR120" i="148"/>
  <c r="AR118" i="148"/>
  <c r="AR98" i="148"/>
  <c r="AR174" i="148"/>
  <c r="AR139" i="148"/>
  <c r="AR61" i="148"/>
  <c r="AR123" i="148"/>
  <c r="AR75" i="148"/>
  <c r="BA87" i="148"/>
  <c r="BD48" i="148"/>
  <c r="BG100" i="148"/>
  <c r="L37" i="1"/>
  <c r="L13" i="1"/>
  <c r="L5" i="1"/>
  <c r="BA27" i="148"/>
  <c r="BF92" i="148"/>
  <c r="L36" i="1"/>
  <c r="L7" i="1"/>
  <c r="F189" i="148"/>
  <c r="F124" i="148"/>
  <c r="F206" i="148"/>
  <c r="F168" i="148"/>
  <c r="F90" i="148"/>
  <c r="F128" i="148"/>
  <c r="F19" i="148"/>
  <c r="F44" i="148"/>
  <c r="I157" i="148"/>
  <c r="I105" i="148"/>
  <c r="I141" i="148"/>
  <c r="I15" i="148"/>
  <c r="J114" i="148"/>
  <c r="J111" i="148"/>
  <c r="K197" i="148"/>
  <c r="K164" i="148"/>
  <c r="K172" i="148"/>
  <c r="K157" i="148"/>
  <c r="K81" i="148"/>
  <c r="K105" i="148"/>
  <c r="K41" i="148"/>
  <c r="K15" i="148"/>
  <c r="K20" i="148"/>
  <c r="M194" i="148"/>
  <c r="M89" i="148"/>
  <c r="M126" i="148"/>
  <c r="M163" i="148"/>
  <c r="M25" i="148"/>
  <c r="M71" i="148"/>
  <c r="M24" i="148"/>
  <c r="M101" i="148"/>
  <c r="P207" i="148"/>
  <c r="P110" i="148"/>
  <c r="P190" i="148"/>
  <c r="P84" i="148"/>
  <c r="P83" i="148"/>
  <c r="P28" i="148"/>
  <c r="P11" i="148"/>
  <c r="P2" i="148"/>
  <c r="Q194" i="148"/>
  <c r="Q126" i="148"/>
  <c r="Q25" i="148"/>
  <c r="Q48" i="148"/>
  <c r="R110" i="148"/>
  <c r="R208" i="148"/>
  <c r="R119" i="148"/>
  <c r="R84" i="148"/>
  <c r="R83" i="148"/>
  <c r="R49" i="148"/>
  <c r="R11" i="148"/>
  <c r="R2" i="148"/>
  <c r="V194" i="148"/>
  <c r="V24" i="148"/>
  <c r="W119" i="148"/>
  <c r="BA9" i="148"/>
  <c r="Q78" i="148"/>
  <c r="R188" i="148"/>
  <c r="BC27" i="148"/>
  <c r="BF98" i="148"/>
  <c r="BF52" i="148"/>
  <c r="BG29" i="148"/>
  <c r="BC35" i="148"/>
  <c r="BC24" i="148"/>
  <c r="BF14" i="148"/>
  <c r="BA4" i="148"/>
  <c r="L25" i="1"/>
  <c r="BJ103" i="148"/>
  <c r="BJ85" i="148"/>
  <c r="BA3" i="148"/>
  <c r="BF4" i="148"/>
  <c r="L9" i="1"/>
  <c r="BA14" i="148"/>
  <c r="BC23" i="148"/>
  <c r="BG9" i="148"/>
  <c r="F159" i="148"/>
  <c r="F138" i="148"/>
  <c r="F134" i="148"/>
  <c r="F191" i="148"/>
  <c r="F167" i="148"/>
  <c r="F37" i="148"/>
  <c r="F3" i="148"/>
  <c r="I76" i="148"/>
  <c r="K142" i="148"/>
  <c r="BF51" i="148"/>
  <c r="L111" i="1"/>
  <c r="BF88" i="148"/>
  <c r="F153" i="148"/>
  <c r="BF153" i="148"/>
  <c r="BF58" i="148"/>
  <c r="BJ107" i="148"/>
  <c r="BF152" i="148"/>
  <c r="L112" i="1"/>
  <c r="BJ179" i="148"/>
  <c r="BF133" i="148"/>
  <c r="L101" i="1"/>
  <c r="L34" i="1"/>
  <c r="BC82" i="148"/>
  <c r="BJ63" i="148"/>
  <c r="L64" i="1"/>
  <c r="BF28" i="148"/>
  <c r="BF5" i="148"/>
  <c r="F184" i="148"/>
  <c r="F158" i="148"/>
  <c r="F77" i="148"/>
  <c r="F179" i="148"/>
  <c r="F26" i="148"/>
  <c r="F39" i="148"/>
  <c r="I50" i="148"/>
  <c r="M134" i="148"/>
  <c r="P139" i="148"/>
  <c r="V138" i="148"/>
  <c r="V134" i="148"/>
  <c r="L120" i="1"/>
  <c r="BJ74" i="148"/>
  <c r="BC34" i="148"/>
  <c r="BA50" i="148"/>
  <c r="L15" i="1"/>
  <c r="L4" i="1"/>
  <c r="F161" i="148"/>
  <c r="F14" i="148"/>
  <c r="F203" i="148"/>
  <c r="F133" i="148"/>
  <c r="L80" i="1"/>
  <c r="L145" i="1"/>
  <c r="BA128" i="148"/>
  <c r="BF83" i="148"/>
  <c r="L186" i="1"/>
  <c r="BA36" i="148"/>
  <c r="BF34" i="148"/>
  <c r="L32" i="1"/>
  <c r="L109" i="1"/>
  <c r="BC22" i="148"/>
  <c r="L35" i="1"/>
  <c r="BA15" i="148"/>
  <c r="BF23" i="148"/>
  <c r="BC16" i="148"/>
  <c r="BA7" i="148"/>
  <c r="F186" i="148"/>
  <c r="F122" i="148"/>
  <c r="F85" i="148"/>
  <c r="F130" i="148"/>
  <c r="F82" i="148"/>
  <c r="F60" i="148"/>
  <c r="I181" i="148"/>
  <c r="I178" i="148"/>
  <c r="I109" i="148"/>
  <c r="I97" i="148"/>
  <c r="I106" i="148"/>
  <c r="J135" i="148"/>
  <c r="J169" i="148"/>
  <c r="J128" i="148"/>
  <c r="J36" i="148"/>
  <c r="J42" i="148"/>
  <c r="K149" i="148"/>
  <c r="K136" i="148"/>
  <c r="K104" i="148"/>
  <c r="K181" i="148"/>
  <c r="K146" i="148"/>
  <c r="K97" i="148"/>
  <c r="K32" i="148"/>
  <c r="K18" i="148"/>
  <c r="K55" i="148"/>
  <c r="M154" i="148"/>
  <c r="M102" i="148"/>
  <c r="M92" i="148"/>
  <c r="M62" i="148"/>
  <c r="BF165" i="148"/>
  <c r="BF90" i="148"/>
  <c r="F149" i="148"/>
  <c r="F136" i="148"/>
  <c r="M207" i="148"/>
  <c r="M205" i="148"/>
  <c r="M190" i="148"/>
  <c r="V207" i="148"/>
  <c r="V110" i="148"/>
  <c r="V205" i="148"/>
  <c r="V190" i="148"/>
  <c r="V208" i="148"/>
  <c r="V84" i="148"/>
  <c r="W194" i="148"/>
  <c r="W162" i="148"/>
  <c r="W89" i="148"/>
  <c r="W126" i="148"/>
  <c r="W163" i="148"/>
  <c r="X207" i="148"/>
  <c r="X110" i="148"/>
  <c r="X205" i="148"/>
  <c r="N184" i="148"/>
  <c r="O82" i="148"/>
  <c r="O117" i="148"/>
  <c r="O192" i="148"/>
  <c r="T82" i="148"/>
  <c r="T60" i="148"/>
  <c r="AG159" i="148"/>
  <c r="AI117" i="148"/>
  <c r="F95" i="148"/>
  <c r="F201" i="148"/>
  <c r="F31" i="148"/>
  <c r="BG185" i="148"/>
  <c r="BG82" i="148"/>
  <c r="BA37" i="148"/>
  <c r="BF29" i="148"/>
  <c r="BG32" i="148"/>
  <c r="I154" i="148"/>
  <c r="I78" i="148"/>
  <c r="I115" i="148"/>
  <c r="I148" i="148"/>
  <c r="I151" i="148"/>
  <c r="I92" i="148"/>
  <c r="I62" i="148"/>
  <c r="I46" i="148"/>
  <c r="J176" i="148"/>
  <c r="J121" i="148"/>
  <c r="J86" i="148"/>
  <c r="J74" i="148"/>
  <c r="J188" i="148"/>
  <c r="J29" i="148"/>
  <c r="K152" i="148"/>
  <c r="K193" i="148"/>
  <c r="K70" i="148"/>
  <c r="K46" i="148"/>
  <c r="K156" i="148"/>
  <c r="M65" i="148"/>
  <c r="M128" i="148"/>
  <c r="P146" i="148"/>
  <c r="P109" i="148"/>
  <c r="P32" i="148"/>
  <c r="Q135" i="148"/>
  <c r="Q206" i="148"/>
  <c r="Q168" i="148"/>
  <c r="Q43" i="148"/>
  <c r="R136" i="148"/>
  <c r="R104" i="148"/>
  <c r="R109" i="148"/>
  <c r="R32" i="148"/>
  <c r="R55" i="148"/>
  <c r="R6" i="148"/>
  <c r="V189" i="148"/>
  <c r="V135" i="148"/>
  <c r="V171" i="148"/>
  <c r="V161" i="148"/>
  <c r="V124" i="148"/>
  <c r="V206" i="148"/>
  <c r="V43" i="148"/>
  <c r="V90" i="148"/>
  <c r="V65" i="148"/>
  <c r="V169" i="148"/>
  <c r="V36" i="148"/>
  <c r="V19" i="148"/>
  <c r="V21" i="148"/>
  <c r="W149" i="148"/>
  <c r="W136" i="148"/>
  <c r="W104" i="148"/>
  <c r="W181" i="148"/>
  <c r="W178" i="148"/>
  <c r="W142" i="148"/>
  <c r="W109" i="148"/>
  <c r="W96" i="148"/>
  <c r="W106" i="148"/>
  <c r="W18" i="148"/>
  <c r="W55" i="148"/>
  <c r="W6" i="148"/>
  <c r="X135" i="148"/>
  <c r="X171" i="148"/>
  <c r="X206" i="148"/>
  <c r="X14" i="148"/>
  <c r="X44" i="148"/>
  <c r="Z149" i="148"/>
  <c r="Z136" i="148"/>
  <c r="Z104" i="148"/>
  <c r="Z181" i="148"/>
  <c r="Z178" i="148"/>
  <c r="Z142" i="148"/>
  <c r="Z146" i="148"/>
  <c r="Z109" i="148"/>
  <c r="Z96" i="148"/>
  <c r="Z106" i="148"/>
  <c r="Z125" i="148"/>
  <c r="Z32" i="148"/>
  <c r="Z18" i="148"/>
  <c r="Z55" i="148"/>
  <c r="Z6" i="148"/>
  <c r="AA135" i="148"/>
  <c r="AA171" i="148"/>
  <c r="AA161" i="148"/>
  <c r="AA124" i="148"/>
  <c r="AA168" i="148"/>
  <c r="AA43" i="148"/>
  <c r="AA65" i="148"/>
  <c r="AA169" i="148"/>
  <c r="AA128" i="148"/>
  <c r="AA36" i="148"/>
  <c r="AA19" i="148"/>
  <c r="AA21" i="148"/>
  <c r="AA14" i="148"/>
  <c r="AA44" i="148"/>
  <c r="AA42" i="148"/>
  <c r="AB149" i="148"/>
  <c r="AB136" i="148"/>
  <c r="AB181" i="148"/>
  <c r="AB142" i="148"/>
  <c r="AB76" i="148"/>
  <c r="AB109" i="148"/>
  <c r="AB97" i="148"/>
  <c r="AB96" i="148"/>
  <c r="AB106" i="148"/>
  <c r="AB125" i="148"/>
  <c r="AB32" i="148"/>
  <c r="AB6" i="148"/>
  <c r="AS199" i="148"/>
  <c r="AS67" i="148"/>
  <c r="AS176" i="148"/>
  <c r="AS112" i="148"/>
  <c r="AS173" i="148"/>
  <c r="AS74" i="148"/>
  <c r="AS188" i="148"/>
  <c r="AS29" i="148"/>
  <c r="AS13" i="148"/>
  <c r="AS50" i="148"/>
  <c r="AS9" i="148"/>
  <c r="AC189" i="148"/>
  <c r="AC135" i="148"/>
  <c r="AC171" i="148"/>
  <c r="AC206" i="148"/>
  <c r="AC43" i="148"/>
  <c r="AC90" i="148"/>
  <c r="AC65" i="148"/>
  <c r="AC169" i="148"/>
  <c r="AC128" i="148"/>
  <c r="AC19" i="148"/>
  <c r="AC21" i="148"/>
  <c r="AC14" i="148"/>
  <c r="AC44" i="148"/>
  <c r="AC42" i="148"/>
  <c r="AF154" i="148"/>
  <c r="AF203" i="148"/>
  <c r="AF78" i="148"/>
  <c r="AF115" i="148"/>
  <c r="AF148" i="148"/>
  <c r="AF102" i="148"/>
  <c r="AF152" i="148"/>
  <c r="AF151" i="148"/>
  <c r="AF57" i="148"/>
  <c r="AF193" i="148"/>
  <c r="AF70" i="148"/>
  <c r="AF92" i="148"/>
  <c r="AF62" i="148"/>
  <c r="AF68" i="148"/>
  <c r="AF46" i="148"/>
  <c r="AF16" i="148"/>
  <c r="AG202" i="148"/>
  <c r="AG199" i="148"/>
  <c r="AG182" i="148"/>
  <c r="AG67" i="148"/>
  <c r="AG176" i="148"/>
  <c r="AG121" i="148"/>
  <c r="AG112" i="148"/>
  <c r="AG195" i="148"/>
  <c r="AG173" i="148"/>
  <c r="AG185" i="148"/>
  <c r="AG86" i="148"/>
  <c r="AG74" i="148"/>
  <c r="AG188" i="148"/>
  <c r="AG29" i="148"/>
  <c r="AG50" i="148"/>
  <c r="AG9" i="148"/>
  <c r="U91" i="148"/>
  <c r="U117" i="148"/>
  <c r="V130" i="148"/>
  <c r="V27" i="148"/>
  <c r="W174" i="148"/>
  <c r="W107" i="148"/>
  <c r="Y143" i="148"/>
  <c r="D158" i="148"/>
  <c r="D58" i="148"/>
  <c r="AD137" i="148"/>
  <c r="F59" i="148"/>
  <c r="F75" i="148"/>
  <c r="F12" i="148"/>
  <c r="H202" i="148"/>
  <c r="H121" i="148"/>
  <c r="H13" i="148"/>
  <c r="H50" i="148"/>
  <c r="H9" i="148"/>
  <c r="H171" i="148"/>
  <c r="H124" i="148"/>
  <c r="H43" i="148"/>
  <c r="H65" i="148"/>
  <c r="H128" i="148"/>
  <c r="H36" i="148"/>
  <c r="H44" i="148"/>
  <c r="H42" i="148"/>
  <c r="H203" i="148"/>
  <c r="H78" i="148"/>
  <c r="H70" i="148"/>
  <c r="H156" i="148"/>
  <c r="I189" i="148"/>
  <c r="I171" i="148"/>
  <c r="I128" i="148"/>
  <c r="I21" i="148"/>
  <c r="I42" i="148"/>
  <c r="J97" i="148"/>
  <c r="K135" i="148"/>
  <c r="K44" i="148"/>
  <c r="K42" i="148"/>
  <c r="L136" i="148"/>
  <c r="L142" i="148"/>
  <c r="L76" i="148"/>
  <c r="L97" i="148"/>
  <c r="L18" i="148"/>
  <c r="L6" i="148"/>
  <c r="L176" i="148"/>
  <c r="L112" i="148"/>
  <c r="L74" i="148"/>
  <c r="L9" i="148"/>
  <c r="L206" i="148"/>
  <c r="L43" i="148"/>
  <c r="L36" i="148"/>
  <c r="L14" i="148"/>
  <c r="L102" i="148"/>
  <c r="L152" i="148"/>
  <c r="L70" i="148"/>
  <c r="L46" i="148"/>
  <c r="M202" i="148"/>
  <c r="M195" i="148"/>
  <c r="M74" i="148"/>
  <c r="M188" i="148"/>
  <c r="M50" i="148"/>
  <c r="M9" i="148"/>
  <c r="N154" i="148"/>
  <c r="N203" i="148"/>
  <c r="N115" i="148"/>
  <c r="N102" i="148"/>
  <c r="N193" i="148"/>
  <c r="N46" i="148"/>
  <c r="N156" i="148"/>
  <c r="O199" i="148"/>
  <c r="O176" i="148"/>
  <c r="O112" i="148"/>
  <c r="O188" i="148"/>
  <c r="O50" i="148"/>
  <c r="O152" i="148"/>
  <c r="O76" i="148"/>
  <c r="P203" i="148"/>
  <c r="P78" i="148"/>
  <c r="P148" i="148"/>
  <c r="P152" i="148"/>
  <c r="P151" i="148"/>
  <c r="P57" i="148"/>
  <c r="P156" i="148"/>
  <c r="Q182" i="148"/>
  <c r="Q67" i="148"/>
  <c r="Q173" i="148"/>
  <c r="Q9" i="148"/>
  <c r="R115" i="148"/>
  <c r="R148" i="148"/>
  <c r="R151" i="148"/>
  <c r="R16" i="148"/>
  <c r="R156" i="148"/>
  <c r="T29" i="148"/>
  <c r="T189" i="148"/>
  <c r="T161" i="148"/>
  <c r="T90" i="148"/>
  <c r="T128" i="148"/>
  <c r="T44" i="148"/>
  <c r="T42" i="148"/>
  <c r="S102" i="148"/>
  <c r="S62" i="148"/>
  <c r="U202" i="148"/>
  <c r="U199" i="148"/>
  <c r="U182" i="148"/>
  <c r="U121" i="148"/>
  <c r="U112" i="148"/>
  <c r="U195" i="148"/>
  <c r="U173" i="148"/>
  <c r="U185" i="148"/>
  <c r="U86" i="148"/>
  <c r="U74" i="148"/>
  <c r="U188" i="148"/>
  <c r="U13" i="148"/>
  <c r="U50" i="148"/>
  <c r="U189" i="148"/>
  <c r="U135" i="148"/>
  <c r="U161" i="148"/>
  <c r="U124" i="148"/>
  <c r="U206" i="148"/>
  <c r="U168" i="148"/>
  <c r="U43" i="148"/>
  <c r="U90" i="148"/>
  <c r="U65" i="148"/>
  <c r="U169" i="148"/>
  <c r="U128" i="148"/>
  <c r="U36" i="148"/>
  <c r="U19" i="148"/>
  <c r="U21" i="148"/>
  <c r="U44" i="148"/>
  <c r="U42" i="148"/>
  <c r="U154" i="148"/>
  <c r="U203" i="148"/>
  <c r="U78" i="148"/>
  <c r="U115" i="148"/>
  <c r="U148" i="148"/>
  <c r="U102" i="148"/>
  <c r="U152" i="148"/>
  <c r="U151" i="148"/>
  <c r="U57" i="148"/>
  <c r="U193" i="148"/>
  <c r="U70" i="148"/>
  <c r="U92" i="148"/>
  <c r="U68" i="148"/>
  <c r="U46" i="148"/>
  <c r="U156" i="148"/>
  <c r="U149" i="148"/>
  <c r="U136" i="148"/>
  <c r="U104" i="148"/>
  <c r="U181" i="148"/>
  <c r="U178" i="148"/>
  <c r="U142" i="148"/>
  <c r="U146" i="148"/>
  <c r="U76" i="148"/>
  <c r="U109" i="148"/>
  <c r="U97" i="148"/>
  <c r="U96" i="148"/>
  <c r="U125" i="148"/>
  <c r="U32" i="148"/>
  <c r="U55" i="148"/>
  <c r="V202" i="148"/>
  <c r="V199" i="148"/>
  <c r="V182" i="148"/>
  <c r="V67" i="148"/>
  <c r="V176" i="148"/>
  <c r="V121" i="148"/>
  <c r="V112" i="148"/>
  <c r="V185" i="148"/>
  <c r="V86" i="148"/>
  <c r="V74" i="148"/>
  <c r="V29" i="148"/>
  <c r="V13" i="148"/>
  <c r="V50" i="148"/>
  <c r="V9" i="148"/>
  <c r="W154" i="148"/>
  <c r="W203" i="148"/>
  <c r="W78" i="148"/>
  <c r="W115" i="148"/>
  <c r="W148" i="148"/>
  <c r="W102" i="148"/>
  <c r="W152" i="148"/>
  <c r="W57" i="148"/>
  <c r="W193" i="148"/>
  <c r="W92" i="148"/>
  <c r="W62" i="148"/>
  <c r="W46" i="148"/>
  <c r="W156" i="148"/>
  <c r="X202" i="148"/>
  <c r="X67" i="148"/>
  <c r="X176" i="148"/>
  <c r="X112" i="148"/>
  <c r="X195" i="148"/>
  <c r="X173" i="148"/>
  <c r="X185" i="148"/>
  <c r="X86" i="148"/>
  <c r="X74" i="148"/>
  <c r="X188" i="148"/>
  <c r="X29" i="148"/>
  <c r="X13" i="148"/>
  <c r="X50" i="148"/>
  <c r="X9" i="148"/>
  <c r="Y203" i="148"/>
  <c r="Y102" i="148"/>
  <c r="Y152" i="148"/>
  <c r="Y151" i="148"/>
  <c r="Y68" i="148"/>
  <c r="Y136" i="148"/>
  <c r="Y181" i="148"/>
  <c r="Y146" i="148"/>
  <c r="Y76" i="148"/>
  <c r="Y97" i="148"/>
  <c r="Y55" i="148"/>
  <c r="Y182" i="148"/>
  <c r="Y67" i="148"/>
  <c r="Y176" i="148"/>
  <c r="Y195" i="148"/>
  <c r="Y173" i="148"/>
  <c r="Y185" i="148"/>
  <c r="Y86" i="148"/>
  <c r="Y74" i="148"/>
  <c r="Y188" i="148"/>
  <c r="Y50" i="148"/>
  <c r="Y189" i="148"/>
  <c r="Y135" i="148"/>
  <c r="Y206" i="148"/>
  <c r="Y43" i="148"/>
  <c r="Y65" i="148"/>
  <c r="Y169" i="148"/>
  <c r="Y128" i="148"/>
  <c r="Y36" i="148"/>
  <c r="Y21" i="148"/>
  <c r="Y44" i="148"/>
  <c r="Z154" i="148"/>
  <c r="Z203" i="148"/>
  <c r="Z148" i="148"/>
  <c r="Z102" i="148"/>
  <c r="Z152" i="148"/>
  <c r="Z151" i="148"/>
  <c r="Z57" i="148"/>
  <c r="Z193" i="148"/>
  <c r="Z92" i="148"/>
  <c r="Z62" i="148"/>
  <c r="Z68" i="148"/>
  <c r="Z46" i="148"/>
  <c r="Z16" i="148"/>
  <c r="Z156" i="148"/>
  <c r="AA199" i="148"/>
  <c r="AA182" i="148"/>
  <c r="AA67" i="148"/>
  <c r="AA176" i="148"/>
  <c r="AA112" i="148"/>
  <c r="AA195" i="148"/>
  <c r="AA185" i="148"/>
  <c r="AA86" i="148"/>
  <c r="AA74" i="148"/>
  <c r="AA188" i="148"/>
  <c r="AA29" i="148"/>
  <c r="AA13" i="148"/>
  <c r="AA50" i="148"/>
  <c r="AA9" i="148"/>
  <c r="AB154" i="148"/>
  <c r="Z143" i="148"/>
  <c r="Z139" i="148"/>
  <c r="Z180" i="148"/>
  <c r="E192" i="148"/>
  <c r="E108" i="148"/>
  <c r="E94" i="148"/>
  <c r="AH59" i="148"/>
  <c r="AH91" i="148"/>
  <c r="AH130" i="148"/>
  <c r="AB203" i="148"/>
  <c r="AB115" i="148"/>
  <c r="AB148" i="148"/>
  <c r="AB102" i="148"/>
  <c r="AB152" i="148"/>
  <c r="AB151" i="148"/>
  <c r="AB57" i="148"/>
  <c r="AB193" i="148"/>
  <c r="AB70" i="148"/>
  <c r="AB92" i="148"/>
  <c r="AB62" i="148"/>
  <c r="AB68" i="148"/>
  <c r="AB46" i="148"/>
  <c r="AB16" i="148"/>
  <c r="E202" i="148"/>
  <c r="E199" i="148"/>
  <c r="E182" i="148"/>
  <c r="E67" i="148"/>
  <c r="E176" i="148"/>
  <c r="E121" i="148"/>
  <c r="E112" i="148"/>
  <c r="E195" i="148"/>
  <c r="E173" i="148"/>
  <c r="E185" i="148"/>
  <c r="E86" i="148"/>
  <c r="E74" i="148"/>
  <c r="E188" i="148"/>
  <c r="E29" i="148"/>
  <c r="E50" i="148"/>
  <c r="E9" i="148"/>
  <c r="E189" i="148"/>
  <c r="E135" i="148"/>
  <c r="E171" i="148"/>
  <c r="E124" i="148"/>
  <c r="E206" i="148"/>
  <c r="E168" i="148"/>
  <c r="E43" i="148"/>
  <c r="E65" i="148"/>
  <c r="E169" i="148"/>
  <c r="E128" i="148"/>
  <c r="E36" i="148"/>
  <c r="E19" i="148"/>
  <c r="E21" i="148"/>
  <c r="E14" i="148"/>
  <c r="E44" i="148"/>
  <c r="E42" i="148"/>
  <c r="E154" i="148"/>
  <c r="E203" i="148"/>
  <c r="E115" i="148"/>
  <c r="E148" i="148"/>
  <c r="E102" i="148"/>
  <c r="E152" i="148"/>
  <c r="E151" i="148"/>
  <c r="E57" i="148"/>
  <c r="E193" i="148"/>
  <c r="E70" i="148"/>
  <c r="E92" i="148"/>
  <c r="E62" i="148"/>
  <c r="E46" i="148"/>
  <c r="E16" i="148"/>
  <c r="AS149" i="148"/>
  <c r="AS136" i="148"/>
  <c r="AS181" i="148"/>
  <c r="AS178" i="148"/>
  <c r="AS142" i="148"/>
  <c r="AS146" i="148"/>
  <c r="AS76" i="148"/>
  <c r="AS97" i="148"/>
  <c r="AS96" i="148"/>
  <c r="AS106" i="148"/>
  <c r="AS125" i="148"/>
  <c r="AS32" i="148"/>
  <c r="AS55" i="148"/>
  <c r="AC202" i="148"/>
  <c r="AC199" i="148"/>
  <c r="AC182" i="148"/>
  <c r="AC67" i="148"/>
  <c r="AC176" i="148"/>
  <c r="AC121" i="148"/>
  <c r="AC112" i="148"/>
  <c r="AC195" i="148"/>
  <c r="AC173" i="148"/>
  <c r="AC185" i="148"/>
  <c r="AC86" i="148"/>
  <c r="AC74" i="148"/>
  <c r="AC188" i="148"/>
  <c r="AC29" i="148"/>
  <c r="AC13" i="148"/>
  <c r="AC50" i="148"/>
  <c r="AC9" i="148"/>
  <c r="AF189" i="148"/>
  <c r="AF135" i="148"/>
  <c r="AF171" i="148"/>
  <c r="AF161" i="148"/>
  <c r="AF124" i="148"/>
  <c r="AF206" i="148"/>
  <c r="AF168" i="148"/>
  <c r="AF43" i="148"/>
  <c r="AF90" i="148"/>
  <c r="AF65" i="148"/>
  <c r="AF169" i="148"/>
  <c r="AF128" i="148"/>
  <c r="AF36" i="148"/>
  <c r="AF19" i="148"/>
  <c r="AF21" i="148"/>
  <c r="AF14" i="148"/>
  <c r="AF44" i="148"/>
  <c r="AF42" i="148"/>
  <c r="AG149" i="148"/>
  <c r="AG136" i="148"/>
  <c r="AG104" i="148"/>
  <c r="AG181" i="148"/>
  <c r="AG178" i="148"/>
  <c r="AG142" i="148"/>
  <c r="AG146" i="148"/>
  <c r="AG76" i="148"/>
  <c r="AG109" i="148"/>
  <c r="AG97" i="148"/>
  <c r="AG96" i="148"/>
  <c r="AG106" i="148"/>
  <c r="AG125" i="148"/>
  <c r="AG32" i="148"/>
  <c r="AG18" i="148"/>
  <c r="AG55" i="148"/>
  <c r="AH135" i="148"/>
  <c r="AH171" i="148"/>
  <c r="AH206" i="148"/>
  <c r="AH168" i="148"/>
  <c r="AH43" i="148"/>
  <c r="AH65" i="148"/>
  <c r="AH169" i="148"/>
  <c r="AH128" i="148"/>
  <c r="AH36" i="148"/>
  <c r="AH21" i="148"/>
  <c r="AH14" i="148"/>
  <c r="AH44" i="148"/>
  <c r="AH148" i="148"/>
  <c r="AH102" i="148"/>
  <c r="AH152" i="148"/>
  <c r="AH151" i="148"/>
  <c r="AH57" i="148"/>
  <c r="AH193" i="148"/>
  <c r="AH70" i="148"/>
  <c r="AH92" i="148"/>
  <c r="AH68" i="148"/>
  <c r="AH16" i="148"/>
  <c r="AH202" i="148"/>
  <c r="AH199" i="148"/>
  <c r="AH182" i="148"/>
  <c r="AH67" i="148"/>
  <c r="AH176" i="148"/>
  <c r="AH195" i="148"/>
  <c r="AH185" i="148"/>
  <c r="AH86" i="148"/>
  <c r="AH74" i="148"/>
  <c r="AH29" i="148"/>
  <c r="AH13" i="148"/>
  <c r="AH9" i="148"/>
  <c r="AI136" i="148"/>
  <c r="AI104" i="148"/>
  <c r="AI181" i="148"/>
  <c r="AI142" i="148"/>
  <c r="AI76" i="148"/>
  <c r="AI109" i="148"/>
  <c r="AI97" i="148"/>
  <c r="AI96" i="148"/>
  <c r="AI125" i="148"/>
  <c r="AI32" i="148"/>
  <c r="AI18" i="148"/>
  <c r="AI6" i="148"/>
  <c r="AJ187" i="148"/>
  <c r="AJ144" i="148"/>
  <c r="AJ159" i="148"/>
  <c r="AJ138" i="148"/>
  <c r="AJ186" i="148"/>
  <c r="AJ85" i="148"/>
  <c r="AL132" i="148"/>
  <c r="AL120" i="148"/>
  <c r="AL118" i="148"/>
  <c r="AL98" i="148"/>
  <c r="AL174" i="148"/>
  <c r="AL139" i="148"/>
  <c r="AL61" i="148"/>
  <c r="AL180" i="148"/>
  <c r="AL59" i="148"/>
  <c r="AL123" i="148"/>
  <c r="AL116" i="148"/>
  <c r="AL75" i="148"/>
  <c r="AL12" i="148"/>
  <c r="AL165" i="148"/>
  <c r="AL192" i="148"/>
  <c r="AL144" i="148"/>
  <c r="AL107" i="148"/>
  <c r="AL108" i="148"/>
  <c r="AL66" i="148"/>
  <c r="AL103" i="148"/>
  <c r="AL73" i="148"/>
  <c r="AL40" i="148"/>
  <c r="AL23" i="148"/>
  <c r="AL8" i="148"/>
  <c r="AL159" i="148"/>
  <c r="AL138" i="148"/>
  <c r="AL191" i="148"/>
  <c r="AL122" i="148"/>
  <c r="AL91" i="148"/>
  <c r="AL85" i="148"/>
  <c r="AL37" i="148"/>
  <c r="AL60" i="148"/>
  <c r="AL22" i="148"/>
  <c r="AL3" i="148"/>
  <c r="AL184" i="148"/>
  <c r="AL175" i="148"/>
  <c r="AL77" i="148"/>
  <c r="AL201" i="148"/>
  <c r="AL179" i="148"/>
  <c r="AL183" i="148"/>
  <c r="AL26" i="148"/>
  <c r="AL39" i="148"/>
  <c r="AL72" i="148"/>
  <c r="AM139" i="148"/>
  <c r="AM116" i="148"/>
  <c r="AM75" i="148"/>
  <c r="AM12" i="148"/>
  <c r="AM4" i="148"/>
  <c r="AM196" i="148"/>
  <c r="AM187" i="148"/>
  <c r="AM144" i="148"/>
  <c r="AM66" i="148"/>
  <c r="AM94" i="148"/>
  <c r="AM30" i="148"/>
  <c r="AM40" i="148"/>
  <c r="AM23" i="148"/>
  <c r="AM122" i="148"/>
  <c r="AM91" i="148"/>
  <c r="AM130" i="148"/>
  <c r="AM82" i="148"/>
  <c r="AM60" i="148"/>
  <c r="AM22" i="148"/>
  <c r="AM3" i="148"/>
  <c r="AM198" i="148"/>
  <c r="AM179" i="148"/>
  <c r="AM58" i="148"/>
  <c r="AM53" i="148"/>
  <c r="AM27" i="148"/>
  <c r="AM26" i="148"/>
  <c r="AN132" i="148"/>
  <c r="AN120" i="148"/>
  <c r="AN98" i="148"/>
  <c r="AN174" i="148"/>
  <c r="AN139" i="148"/>
  <c r="AN123" i="148"/>
  <c r="AN64" i="148"/>
  <c r="AN116" i="148"/>
  <c r="AN75" i="148"/>
  <c r="AN12" i="148"/>
  <c r="AN4" i="148"/>
  <c r="AN187" i="148"/>
  <c r="AN192" i="148"/>
  <c r="AN94" i="148"/>
  <c r="AN23" i="148"/>
  <c r="AN47" i="148"/>
  <c r="AO60" i="148"/>
  <c r="AO3" i="148"/>
  <c r="AO31" i="148"/>
  <c r="AO27" i="148"/>
  <c r="AE144" i="148"/>
  <c r="AE107" i="148"/>
  <c r="AI202" i="148"/>
  <c r="AI199" i="148"/>
  <c r="AI182" i="148"/>
  <c r="AI67" i="148"/>
  <c r="AI176" i="148"/>
  <c r="AI121" i="148"/>
  <c r="AI195" i="148"/>
  <c r="AI173" i="148"/>
  <c r="AI185" i="148"/>
  <c r="AI86" i="148"/>
  <c r="AI74" i="148"/>
  <c r="AI188" i="148"/>
  <c r="AI29" i="148"/>
  <c r="AI50" i="148"/>
  <c r="AI9" i="148"/>
  <c r="AJ189" i="148"/>
  <c r="AJ135" i="148"/>
  <c r="AJ171" i="148"/>
  <c r="AJ161" i="148"/>
  <c r="AJ206" i="148"/>
  <c r="AJ168" i="148"/>
  <c r="AJ43" i="148"/>
  <c r="AJ90" i="148"/>
  <c r="AJ128" i="148"/>
  <c r="AJ36" i="148"/>
  <c r="AJ21" i="148"/>
  <c r="AJ14" i="148"/>
  <c r="AJ42" i="148"/>
  <c r="AJ154" i="148"/>
  <c r="AJ203" i="148"/>
  <c r="AJ78" i="148"/>
  <c r="AJ115" i="148"/>
  <c r="AJ148" i="148"/>
  <c r="AJ102" i="148"/>
  <c r="AJ151" i="148"/>
  <c r="AJ57" i="148"/>
  <c r="AJ70" i="148"/>
  <c r="AJ92" i="148"/>
  <c r="AJ62" i="148"/>
  <c r="AJ68" i="148"/>
  <c r="AJ46" i="148"/>
  <c r="AJ156" i="148"/>
  <c r="AJ149" i="148"/>
  <c r="AJ136" i="148"/>
  <c r="AJ104" i="148"/>
  <c r="AJ181" i="148"/>
  <c r="AJ178" i="148"/>
  <c r="AJ146" i="148"/>
  <c r="AL203" i="148"/>
  <c r="AL193" i="148"/>
  <c r="AL68" i="148"/>
  <c r="AL46" i="148"/>
  <c r="AL96" i="148"/>
  <c r="AL106" i="148"/>
  <c r="AL125" i="148"/>
  <c r="AL32" i="148"/>
  <c r="AL86" i="148"/>
  <c r="AL188" i="148"/>
  <c r="AL29" i="148"/>
  <c r="AL50" i="148"/>
  <c r="AL9" i="148"/>
  <c r="AL43" i="148"/>
  <c r="AL90" i="148"/>
  <c r="AL128" i="148"/>
  <c r="AL36" i="148"/>
  <c r="AL19" i="148"/>
  <c r="AM152" i="148"/>
  <c r="AM57" i="148"/>
  <c r="AM62" i="148"/>
  <c r="AM46" i="148"/>
  <c r="AM16" i="148"/>
  <c r="AM76" i="148"/>
  <c r="AM97" i="148"/>
  <c r="AM106" i="148"/>
  <c r="AM125" i="148"/>
  <c r="AM18" i="148"/>
  <c r="AM6" i="148"/>
  <c r="AN151" i="148"/>
  <c r="AN57" i="148"/>
  <c r="AN70" i="148"/>
  <c r="AN92" i="148"/>
  <c r="AN68" i="148"/>
  <c r="AN16" i="148"/>
  <c r="AO29" i="148"/>
  <c r="AO9" i="148"/>
  <c r="AE108" i="148"/>
  <c r="AE66" i="148"/>
  <c r="AE30" i="148"/>
  <c r="AE47" i="148"/>
  <c r="AE8" i="148"/>
  <c r="AE122" i="148"/>
  <c r="AE155" i="148"/>
  <c r="AE82" i="148"/>
  <c r="AE22" i="148"/>
  <c r="AP77" i="148"/>
  <c r="AP179" i="148"/>
  <c r="AP183" i="148"/>
  <c r="AP33" i="148"/>
  <c r="AP27" i="148"/>
  <c r="AP40" i="148"/>
  <c r="AP23" i="148"/>
  <c r="AQ94" i="148"/>
  <c r="AR59" i="148"/>
  <c r="AR64" i="148"/>
  <c r="AR103" i="148"/>
  <c r="AR73" i="148"/>
  <c r="AR23" i="148"/>
  <c r="AR8" i="148"/>
  <c r="AR91" i="148"/>
  <c r="AR167" i="148"/>
  <c r="AR85" i="148"/>
  <c r="AR37" i="148"/>
  <c r="AR60" i="148"/>
  <c r="AR22" i="148"/>
  <c r="AR33" i="148"/>
  <c r="AT192" i="148"/>
  <c r="AT144" i="148"/>
  <c r="AT40" i="148"/>
  <c r="AT47" i="148"/>
  <c r="AT191" i="148"/>
  <c r="AT69" i="148"/>
  <c r="AT58" i="148"/>
  <c r="AT53" i="148"/>
  <c r="AT31" i="148"/>
  <c r="AT27" i="148"/>
  <c r="AT26" i="148"/>
  <c r="AU120" i="148"/>
  <c r="AU174" i="148"/>
  <c r="AU180" i="148"/>
  <c r="AU64" i="148"/>
  <c r="AU192" i="148"/>
  <c r="AU144" i="148"/>
  <c r="AU66" i="148"/>
  <c r="AU73" i="148"/>
  <c r="AU94" i="148"/>
  <c r="AU30" i="148"/>
  <c r="AU23" i="148"/>
  <c r="AU8" i="148"/>
  <c r="AV130" i="148"/>
  <c r="AV82" i="148"/>
  <c r="AV37" i="148"/>
  <c r="AV3" i="148"/>
  <c r="AV158" i="148"/>
  <c r="AV175" i="148"/>
  <c r="AV201" i="148"/>
  <c r="AV179" i="148"/>
  <c r="AV58" i="148"/>
  <c r="AV53" i="148"/>
  <c r="AV183" i="148"/>
  <c r="AV27" i="148"/>
  <c r="AV39" i="148"/>
  <c r="AW75" i="148"/>
  <c r="AW4" i="148"/>
  <c r="BL172" i="148"/>
  <c r="BL158" i="148"/>
  <c r="BL69" i="148"/>
  <c r="BL128" i="148"/>
  <c r="BL152" i="148"/>
  <c r="BL14" i="148"/>
  <c r="BL18" i="148"/>
  <c r="BL8" i="148"/>
  <c r="BL202" i="148"/>
  <c r="BL192" i="148"/>
  <c r="BL54" i="148"/>
  <c r="BL67" i="148"/>
  <c r="BL163" i="148"/>
  <c r="BL48" i="148"/>
  <c r="BL195" i="148"/>
  <c r="BL114" i="148"/>
  <c r="BL174" i="148"/>
  <c r="AE109" i="148"/>
  <c r="AE125" i="148"/>
  <c r="AE18" i="148"/>
  <c r="AE6" i="148"/>
  <c r="AE176" i="148"/>
  <c r="AE29" i="148"/>
  <c r="AE50" i="148"/>
  <c r="AE9" i="148"/>
  <c r="AP21" i="148"/>
  <c r="AP44" i="148"/>
  <c r="AP62" i="148"/>
  <c r="AQ70" i="148"/>
  <c r="AQ92" i="148"/>
  <c r="AQ16" i="148"/>
  <c r="AQ32" i="148"/>
  <c r="AQ18" i="148"/>
  <c r="AJ76" i="148"/>
  <c r="AJ109" i="148"/>
  <c r="AJ106" i="148"/>
  <c r="AJ125" i="148"/>
  <c r="AJ32" i="148"/>
  <c r="AJ18" i="148"/>
  <c r="AJ55" i="148"/>
  <c r="AJ6" i="148"/>
  <c r="AM185" i="148"/>
  <c r="AM188" i="148"/>
  <c r="AM9" i="148"/>
  <c r="AM21" i="148"/>
  <c r="AM14" i="148"/>
  <c r="AN178" i="148"/>
  <c r="AN146" i="148"/>
  <c r="AN76" i="148"/>
  <c r="AN97" i="148"/>
  <c r="AN96" i="148"/>
  <c r="AN106" i="148"/>
  <c r="AN125" i="148"/>
  <c r="AN18" i="148"/>
  <c r="AO21" i="148"/>
  <c r="AP6" i="148"/>
  <c r="AP29" i="148"/>
  <c r="AP50" i="148"/>
  <c r="AP9" i="148"/>
  <c r="AQ6" i="148"/>
  <c r="AR102" i="148"/>
  <c r="AR193" i="148"/>
  <c r="AR62" i="148"/>
  <c r="AR16" i="148"/>
  <c r="AR125" i="148"/>
  <c r="AR32" i="148"/>
  <c r="AR6" i="148"/>
  <c r="AR74" i="148"/>
  <c r="AR188" i="148"/>
  <c r="AR29" i="148"/>
  <c r="AR13" i="148"/>
  <c r="AR9" i="148"/>
  <c r="AR90" i="148"/>
  <c r="AR169" i="148"/>
  <c r="AR21" i="148"/>
  <c r="AT149" i="148"/>
  <c r="AT76" i="148"/>
  <c r="AT97" i="148"/>
  <c r="AT32" i="148"/>
  <c r="AT18" i="148"/>
  <c r="AT6" i="148"/>
  <c r="AT199" i="148"/>
  <c r="AT185" i="148"/>
  <c r="AT188" i="148"/>
  <c r="AT29" i="148"/>
  <c r="AT13" i="148"/>
  <c r="AU115" i="148"/>
  <c r="AU152" i="148"/>
  <c r="AU92" i="148"/>
  <c r="AU46" i="148"/>
  <c r="AU16" i="148"/>
  <c r="AU181" i="148"/>
  <c r="AU76" i="148"/>
  <c r="AU96" i="148"/>
  <c r="AU125" i="148"/>
  <c r="AU32" i="148"/>
  <c r="AU18" i="148"/>
  <c r="AU6" i="148"/>
  <c r="AV195" i="148"/>
  <c r="AV29" i="148"/>
  <c r="AV13" i="148"/>
  <c r="AV206" i="148"/>
  <c r="AV168" i="148"/>
  <c r="AV14" i="148"/>
  <c r="AV42" i="148"/>
  <c r="BL84" i="148"/>
  <c r="BL122" i="148"/>
  <c r="BL105" i="148"/>
  <c r="BL157" i="148"/>
  <c r="BL76" i="148"/>
  <c r="BL127" i="148"/>
  <c r="BL36" i="148"/>
  <c r="BL208" i="148"/>
  <c r="BL201" i="148"/>
  <c r="BL146" i="148"/>
  <c r="BL117" i="148"/>
  <c r="BL190" i="148"/>
  <c r="L174" i="148"/>
  <c r="L123" i="148"/>
  <c r="L64" i="148"/>
  <c r="M27" i="148"/>
  <c r="N131" i="148"/>
  <c r="N58" i="148"/>
  <c r="T27" i="148"/>
  <c r="AO40" i="148"/>
  <c r="AP60" i="148"/>
  <c r="AW23" i="148"/>
  <c r="AW8" i="148"/>
  <c r="AW37" i="148"/>
  <c r="AW60" i="148"/>
  <c r="AW22" i="148"/>
  <c r="AW3" i="148"/>
  <c r="AX23" i="148"/>
  <c r="BL41" i="148"/>
  <c r="BL103" i="148"/>
  <c r="BL66" i="148"/>
  <c r="BL203" i="148"/>
  <c r="BL107" i="148"/>
  <c r="BL185" i="148"/>
  <c r="BL178" i="148"/>
  <c r="BL169" i="148"/>
  <c r="BL101" i="148"/>
  <c r="BL43" i="148"/>
  <c r="BL98" i="148"/>
  <c r="BL131" i="148"/>
  <c r="BL65" i="148"/>
  <c r="BL60" i="148"/>
  <c r="BL106" i="148"/>
  <c r="BL9" i="148"/>
  <c r="AJ202" i="148"/>
  <c r="AJ199" i="148"/>
  <c r="AJ182" i="148"/>
  <c r="AJ67" i="148"/>
  <c r="AJ176" i="148"/>
  <c r="AJ121" i="148"/>
  <c r="AJ195" i="148"/>
  <c r="AJ188" i="148"/>
  <c r="AJ13" i="148"/>
  <c r="AJ9" i="148"/>
  <c r="AO106" i="148"/>
  <c r="AQ189" i="148"/>
  <c r="AQ21" i="148"/>
  <c r="AQ14" i="148"/>
  <c r="AT169" i="148"/>
  <c r="AT128" i="148"/>
  <c r="AW96" i="148"/>
  <c r="AW125" i="148"/>
  <c r="AW188" i="148"/>
  <c r="AW13" i="148"/>
  <c r="AW9" i="148"/>
  <c r="AW169" i="148"/>
  <c r="AX16" i="148"/>
  <c r="BJ125" i="148"/>
  <c r="BJ15" i="148"/>
  <c r="BL24" i="148"/>
  <c r="BL64" i="148"/>
  <c r="BL13" i="148"/>
  <c r="BL53" i="148"/>
  <c r="BL126" i="148"/>
  <c r="BL168" i="148"/>
  <c r="BL161" i="148"/>
  <c r="BL72" i="148"/>
  <c r="BL83" i="148"/>
  <c r="BL77" i="148"/>
  <c r="BL55" i="148"/>
  <c r="BL4" i="148"/>
  <c r="AH108" i="148"/>
  <c r="AD149" i="148"/>
  <c r="BJ36" i="148"/>
  <c r="BJ37" i="148"/>
  <c r="AE207" i="148"/>
  <c r="AE205" i="148"/>
  <c r="AX141" i="148"/>
  <c r="AX149" i="148"/>
  <c r="AX136" i="148"/>
  <c r="AX104" i="148"/>
  <c r="AX181" i="148"/>
  <c r="AX178" i="148"/>
  <c r="AX142" i="148"/>
  <c r="AX146" i="148"/>
  <c r="AX76" i="148"/>
  <c r="AX109" i="148"/>
  <c r="AX97" i="148"/>
  <c r="AX96" i="148"/>
  <c r="AX106" i="148"/>
  <c r="AX125" i="148"/>
  <c r="AX32" i="148"/>
  <c r="AX18" i="148"/>
  <c r="AX55" i="148"/>
  <c r="X189" i="148"/>
  <c r="X161" i="148"/>
  <c r="X124" i="148"/>
  <c r="X168" i="148"/>
  <c r="X90" i="148"/>
  <c r="X65" i="148"/>
  <c r="X169" i="148"/>
  <c r="X128" i="148"/>
  <c r="X36" i="148"/>
  <c r="X19" i="148"/>
  <c r="X21" i="148"/>
  <c r="X42" i="148"/>
  <c r="Y149" i="148"/>
  <c r="Y178" i="148"/>
  <c r="Y142" i="148"/>
  <c r="BJ169" i="148"/>
  <c r="BJ128" i="148"/>
  <c r="AX6" i="148"/>
  <c r="AX170" i="148"/>
  <c r="AX197" i="148"/>
  <c r="AX172" i="148"/>
  <c r="N97" i="148"/>
  <c r="N125" i="148"/>
  <c r="N199" i="148"/>
  <c r="N182" i="148"/>
  <c r="N112" i="148"/>
  <c r="N74" i="148"/>
  <c r="N9" i="148"/>
  <c r="N161" i="148"/>
  <c r="N19" i="148"/>
  <c r="O70" i="148"/>
  <c r="O62" i="148"/>
  <c r="O46" i="148"/>
  <c r="O16" i="148"/>
  <c r="O136" i="148"/>
  <c r="O142" i="148"/>
  <c r="O97" i="148"/>
  <c r="D131" i="148"/>
  <c r="AE190" i="148"/>
  <c r="Y109" i="148"/>
  <c r="Y106" i="148"/>
  <c r="Y18" i="148"/>
  <c r="Y6" i="148"/>
  <c r="Y121" i="148"/>
  <c r="Y112" i="148"/>
  <c r="Y29" i="148"/>
  <c r="Y13" i="148"/>
  <c r="Y9" i="148"/>
  <c r="Y171" i="148"/>
  <c r="Y161" i="148"/>
  <c r="Y124" i="148"/>
  <c r="Y168" i="148"/>
  <c r="Y90" i="148"/>
  <c r="Y14" i="148"/>
  <c r="Z97" i="148"/>
  <c r="AA90" i="148"/>
  <c r="AB55" i="148"/>
  <c r="L206" i="1"/>
  <c r="L73" i="1"/>
  <c r="BG18" i="148"/>
  <c r="BJ11" i="148"/>
  <c r="AU194" i="148"/>
  <c r="AU162" i="148"/>
  <c r="AU163" i="148"/>
  <c r="AU71" i="148"/>
  <c r="AV190" i="148"/>
  <c r="AV119" i="148"/>
  <c r="AV133" i="148"/>
  <c r="F114" i="148"/>
  <c r="BF134" i="148"/>
  <c r="AD136" i="148"/>
  <c r="AD104" i="148"/>
  <c r="AD181" i="148"/>
  <c r="AD178" i="148"/>
  <c r="AD142" i="148"/>
  <c r="AD146" i="148"/>
  <c r="AD76" i="148"/>
  <c r="AD109" i="148"/>
  <c r="AD97" i="148"/>
  <c r="AD96" i="148"/>
  <c r="AD106" i="148"/>
  <c r="AD125" i="148"/>
  <c r="AD32" i="148"/>
  <c r="AD18" i="148"/>
  <c r="AD55" i="148"/>
  <c r="AP160" i="148"/>
  <c r="AP95" i="148"/>
  <c r="AP204" i="148"/>
  <c r="AP25" i="148"/>
  <c r="AP99" i="148"/>
  <c r="AR162" i="148"/>
  <c r="AR25" i="148"/>
  <c r="AR197" i="148"/>
  <c r="AR81" i="148"/>
  <c r="AR56" i="148"/>
  <c r="AR110" i="148"/>
  <c r="AR205" i="148"/>
  <c r="AR190" i="148"/>
  <c r="AR113" i="148"/>
  <c r="AR114" i="148"/>
  <c r="AR95" i="148"/>
  <c r="AR153" i="148"/>
  <c r="AR93" i="148"/>
  <c r="AR111" i="148"/>
  <c r="AR51" i="148"/>
  <c r="AT170" i="148"/>
  <c r="AT164" i="148"/>
  <c r="AT172" i="148"/>
  <c r="AT41" i="148"/>
  <c r="AT205" i="148"/>
  <c r="AT190" i="148"/>
  <c r="AT84" i="148"/>
  <c r="AT160" i="148"/>
  <c r="AT114" i="148"/>
  <c r="AU197" i="148"/>
  <c r="AU99" i="148"/>
  <c r="BJ90" i="148"/>
  <c r="BJ25" i="148"/>
  <c r="BC9" i="148"/>
  <c r="F113" i="148"/>
  <c r="F63" i="148"/>
  <c r="F11" i="148"/>
  <c r="L115" i="1"/>
  <c r="BJ26" i="148"/>
  <c r="BJ75" i="148"/>
  <c r="F137" i="148"/>
  <c r="L81" i="1"/>
  <c r="L84" i="1"/>
  <c r="BA52" i="148"/>
  <c r="L29" i="1"/>
  <c r="BC32" i="148"/>
  <c r="BD68" i="148"/>
  <c r="L12" i="1"/>
  <c r="BC18" i="148"/>
  <c r="BJ8" i="148"/>
  <c r="BA5" i="148"/>
  <c r="BI27" i="148"/>
  <c r="F204" i="148"/>
  <c r="AW194" i="148"/>
  <c r="AW162" i="148"/>
  <c r="AW204" i="148"/>
  <c r="AW129" i="148"/>
  <c r="AW71" i="148"/>
  <c r="AW48" i="148"/>
  <c r="AW101" i="148"/>
  <c r="AW170" i="148"/>
  <c r="AW197" i="148"/>
  <c r="AW154" i="148"/>
  <c r="AW203" i="148"/>
  <c r="AW78" i="148"/>
  <c r="AW115" i="148"/>
  <c r="AW148" i="148"/>
  <c r="AW102" i="148"/>
  <c r="AW152" i="148"/>
  <c r="AW151" i="148"/>
  <c r="AW57" i="148"/>
  <c r="AW193" i="148"/>
  <c r="AW70" i="148"/>
  <c r="AW92" i="148"/>
  <c r="AW62" i="148"/>
  <c r="AW68" i="148"/>
  <c r="AW46" i="148"/>
  <c r="AW16" i="148"/>
  <c r="AW164" i="148"/>
  <c r="AW150" i="148"/>
  <c r="AW157" i="148"/>
  <c r="AW81" i="148"/>
  <c r="AW99" i="148"/>
  <c r="AW41" i="148"/>
  <c r="AW205" i="148"/>
  <c r="AW190" i="148"/>
  <c r="AX208" i="148"/>
  <c r="AX119" i="148"/>
  <c r="AX84" i="148"/>
  <c r="AX133" i="148"/>
  <c r="AX147" i="148"/>
  <c r="AX113" i="148"/>
  <c r="AX54" i="148"/>
  <c r="AX83" i="148"/>
  <c r="AX63" i="148"/>
  <c r="AX28" i="148"/>
  <c r="AX49" i="148"/>
  <c r="AW84" i="148"/>
  <c r="AW133" i="148"/>
  <c r="AW54" i="148"/>
  <c r="AW63" i="148"/>
  <c r="AW28" i="148"/>
  <c r="AW49" i="148"/>
  <c r="AW95" i="148"/>
  <c r="AW93" i="148"/>
  <c r="AW111" i="148"/>
  <c r="AW80" i="148"/>
  <c r="AW51" i="148"/>
  <c r="AW88" i="148"/>
  <c r="AW34" i="148"/>
  <c r="AW52" i="148"/>
  <c r="E149" i="148"/>
  <c r="E136" i="148"/>
  <c r="E104" i="148"/>
  <c r="E181" i="148"/>
  <c r="E178" i="148"/>
  <c r="E142" i="148"/>
  <c r="E146" i="148"/>
  <c r="E76" i="148"/>
  <c r="E109" i="148"/>
  <c r="E97" i="148"/>
  <c r="E96" i="148"/>
  <c r="E106" i="148"/>
  <c r="E125" i="148"/>
  <c r="E32" i="148"/>
  <c r="E18" i="148"/>
  <c r="E55" i="148"/>
  <c r="E6" i="148"/>
  <c r="P154" i="148"/>
  <c r="P115" i="148"/>
  <c r="P102" i="148"/>
  <c r="P193" i="148"/>
  <c r="P70" i="148"/>
  <c r="P92" i="148"/>
  <c r="P62" i="148"/>
  <c r="P68" i="148"/>
  <c r="P46" i="148"/>
  <c r="P16" i="148"/>
  <c r="Q202" i="148"/>
  <c r="Q199" i="148"/>
  <c r="Q176" i="148"/>
  <c r="Q121" i="148"/>
  <c r="Q112" i="148"/>
  <c r="Q195" i="148"/>
  <c r="Q185" i="148"/>
  <c r="Q86" i="148"/>
  <c r="Q74" i="148"/>
  <c r="Q188" i="148"/>
  <c r="Q29" i="148"/>
  <c r="Q13" i="148"/>
  <c r="Q50" i="148"/>
  <c r="R154" i="148"/>
  <c r="R203" i="148"/>
  <c r="R78" i="148"/>
  <c r="R102" i="148"/>
  <c r="R152" i="148"/>
  <c r="R57" i="148"/>
  <c r="R193" i="148"/>
  <c r="R70" i="148"/>
  <c r="R92" i="148"/>
  <c r="R62" i="148"/>
  <c r="R68" i="148"/>
  <c r="R46" i="148"/>
  <c r="S46" i="148"/>
  <c r="S156" i="148"/>
  <c r="AH149" i="148"/>
  <c r="AH136" i="148"/>
  <c r="AH104" i="148"/>
  <c r="AH181" i="148"/>
  <c r="AH178" i="148"/>
  <c r="AH142" i="148"/>
  <c r="AH146" i="148"/>
  <c r="AH76" i="148"/>
  <c r="AH109" i="148"/>
  <c r="AH97" i="148"/>
  <c r="AH96" i="148"/>
  <c r="AH106" i="148"/>
  <c r="AH125" i="148"/>
  <c r="AH32" i="148"/>
  <c r="AH18" i="148"/>
  <c r="AH55" i="148"/>
  <c r="AH6" i="148"/>
  <c r="AX64" i="148"/>
  <c r="AX110" i="148"/>
  <c r="AX205" i="148"/>
  <c r="AX190" i="148"/>
  <c r="AD202" i="148"/>
  <c r="AD199" i="148"/>
  <c r="AD182" i="148"/>
  <c r="AD67" i="148"/>
  <c r="AD176" i="148"/>
  <c r="AD121" i="148"/>
  <c r="AD112" i="148"/>
  <c r="AX52" i="148"/>
  <c r="AX194" i="148"/>
  <c r="AX166" i="148"/>
  <c r="AX89" i="148"/>
  <c r="AX129" i="148"/>
  <c r="AX126" i="148"/>
  <c r="AX163" i="148"/>
  <c r="AX71" i="148"/>
  <c r="AX79" i="148"/>
  <c r="AX101" i="148"/>
  <c r="T123" i="148"/>
  <c r="T64" i="148"/>
  <c r="O206" i="148"/>
  <c r="O36" i="148"/>
  <c r="O42" i="148"/>
  <c r="T108" i="148"/>
  <c r="T115" i="148"/>
  <c r="T102" i="148"/>
  <c r="T152" i="148"/>
  <c r="T57" i="148"/>
  <c r="T70" i="148"/>
  <c r="T92" i="148"/>
  <c r="T62" i="148"/>
  <c r="T149" i="148"/>
  <c r="T125" i="148"/>
  <c r="T176" i="148"/>
  <c r="T121" i="148"/>
  <c r="T185" i="148"/>
  <c r="T86" i="148"/>
  <c r="T74" i="148"/>
  <c r="T188" i="148"/>
  <c r="T50" i="148"/>
  <c r="AX164" i="148"/>
  <c r="AX81" i="148"/>
  <c r="AX200" i="148"/>
  <c r="AX105" i="148"/>
  <c r="AX99" i="148"/>
  <c r="AX41" i="148"/>
  <c r="AT159" i="148"/>
  <c r="AT137" i="148"/>
  <c r="D53" i="148"/>
  <c r="D26" i="148"/>
  <c r="F139" i="148"/>
  <c r="H199" i="148"/>
  <c r="H182" i="148"/>
  <c r="H67" i="148"/>
  <c r="H176" i="148"/>
  <c r="H112" i="148"/>
  <c r="H195" i="148"/>
  <c r="H173" i="148"/>
  <c r="H185" i="148"/>
  <c r="H86" i="148"/>
  <c r="H74" i="148"/>
  <c r="H188" i="148"/>
  <c r="H29" i="148"/>
  <c r="H189" i="148"/>
  <c r="H135" i="148"/>
  <c r="H161" i="148"/>
  <c r="H206" i="148"/>
  <c r="H168" i="148"/>
  <c r="H90" i="148"/>
  <c r="H169" i="148"/>
  <c r="H19" i="148"/>
  <c r="H21" i="148"/>
  <c r="H14" i="148"/>
  <c r="H154" i="148"/>
  <c r="H115" i="148"/>
  <c r="H148" i="148"/>
  <c r="H102" i="148"/>
  <c r="H152" i="148"/>
  <c r="H151" i="148"/>
  <c r="H57" i="148"/>
  <c r="H193" i="148"/>
  <c r="H92" i="148"/>
  <c r="H62" i="148"/>
  <c r="H68" i="148"/>
  <c r="H46" i="148"/>
  <c r="H16" i="148"/>
  <c r="H149" i="148"/>
  <c r="H136" i="148"/>
  <c r="H104" i="148"/>
  <c r="H181" i="148"/>
  <c r="H178" i="148"/>
  <c r="H142" i="148"/>
  <c r="H146" i="148"/>
  <c r="H76" i="148"/>
  <c r="H109" i="148"/>
  <c r="H97" i="148"/>
  <c r="H96" i="148"/>
  <c r="H106" i="148"/>
  <c r="H125" i="148"/>
  <c r="H32" i="148"/>
  <c r="H18" i="148"/>
  <c r="H55" i="148"/>
  <c r="H6" i="148"/>
  <c r="I135" i="148"/>
  <c r="I161" i="148"/>
  <c r="I124" i="148"/>
  <c r="I206" i="148"/>
  <c r="I168" i="148"/>
  <c r="I43" i="148"/>
  <c r="I90" i="148"/>
  <c r="I65" i="148"/>
  <c r="I169" i="148"/>
  <c r="I36" i="148"/>
  <c r="I19" i="148"/>
  <c r="I14" i="148"/>
  <c r="I44" i="148"/>
  <c r="I203" i="148"/>
  <c r="I102" i="148"/>
  <c r="I152" i="148"/>
  <c r="I57" i="148"/>
  <c r="I193" i="148"/>
  <c r="I70" i="148"/>
  <c r="I68" i="148"/>
  <c r="I16" i="148"/>
  <c r="I156" i="148"/>
  <c r="J149" i="148"/>
  <c r="J136" i="148"/>
  <c r="J104" i="148"/>
  <c r="J181" i="148"/>
  <c r="J178" i="148"/>
  <c r="J142" i="148"/>
  <c r="J146" i="148"/>
  <c r="J76" i="148"/>
  <c r="J109" i="148"/>
  <c r="J96" i="148"/>
  <c r="J106" i="148"/>
  <c r="J125" i="148"/>
  <c r="J32" i="148"/>
  <c r="J18" i="148"/>
  <c r="J55" i="148"/>
  <c r="J6" i="148"/>
  <c r="J202" i="148"/>
  <c r="J199" i="148"/>
  <c r="J182" i="148"/>
  <c r="J67" i="148"/>
  <c r="J112" i="148"/>
  <c r="J195" i="148"/>
  <c r="J173" i="148"/>
  <c r="J185" i="148"/>
  <c r="J13" i="148"/>
  <c r="J50" i="148"/>
  <c r="J9" i="148"/>
  <c r="K189" i="148"/>
  <c r="K171" i="148"/>
  <c r="K161" i="148"/>
  <c r="K124" i="148"/>
  <c r="K206" i="148"/>
  <c r="K168" i="148"/>
  <c r="K43" i="148"/>
  <c r="K90" i="148"/>
  <c r="K65" i="148"/>
  <c r="K169" i="148"/>
  <c r="K128" i="148"/>
  <c r="K36" i="148"/>
  <c r="K19" i="148"/>
  <c r="K21" i="148"/>
  <c r="K14" i="148"/>
  <c r="L149" i="148"/>
  <c r="L104" i="148"/>
  <c r="L181" i="148"/>
  <c r="L178" i="148"/>
  <c r="L146" i="148"/>
  <c r="L109" i="148"/>
  <c r="L96" i="148"/>
  <c r="L106" i="148"/>
  <c r="L125" i="148"/>
  <c r="L32" i="148"/>
  <c r="L55" i="148"/>
  <c r="M199" i="148"/>
  <c r="M182" i="148"/>
  <c r="M67" i="148"/>
  <c r="M176" i="148"/>
  <c r="M121" i="148"/>
  <c r="M112" i="148"/>
  <c r="M173" i="148"/>
  <c r="M185" i="148"/>
  <c r="M86" i="148"/>
  <c r="M29" i="148"/>
  <c r="M13" i="148"/>
  <c r="N78" i="148"/>
  <c r="N148" i="148"/>
  <c r="N152" i="148"/>
  <c r="N151" i="148"/>
  <c r="N57" i="148"/>
  <c r="N70" i="148"/>
  <c r="N92" i="148"/>
  <c r="N62" i="148"/>
  <c r="N68" i="148"/>
  <c r="N16" i="148"/>
  <c r="K154" i="148"/>
  <c r="K203" i="148"/>
  <c r="K78" i="148"/>
  <c r="K115" i="148"/>
  <c r="K148" i="148"/>
  <c r="K102" i="148"/>
  <c r="K151" i="148"/>
  <c r="K57" i="148"/>
  <c r="K92" i="148"/>
  <c r="K62" i="148"/>
  <c r="K68" i="148"/>
  <c r="K16" i="148"/>
  <c r="L202" i="148"/>
  <c r="L199" i="148"/>
  <c r="L182" i="148"/>
  <c r="L67" i="148"/>
  <c r="AW5" i="148"/>
  <c r="L121" i="148"/>
  <c r="L195" i="148"/>
  <c r="L173" i="148"/>
  <c r="L185" i="148"/>
  <c r="L86" i="148"/>
  <c r="L188" i="148"/>
  <c r="L29" i="148"/>
  <c r="L13" i="148"/>
  <c r="L50" i="148"/>
  <c r="L189" i="148"/>
  <c r="L135" i="148"/>
  <c r="L171" i="148"/>
  <c r="L161" i="148"/>
  <c r="L124" i="148"/>
  <c r="L168" i="148"/>
  <c r="L90" i="148"/>
  <c r="L65" i="148"/>
  <c r="L169" i="148"/>
  <c r="L128" i="148"/>
  <c r="L19" i="148"/>
  <c r="L21" i="148"/>
  <c r="L44" i="148"/>
  <c r="L42" i="148"/>
  <c r="L154" i="148"/>
  <c r="L203" i="148"/>
  <c r="L78" i="148"/>
  <c r="L115" i="148"/>
  <c r="L148" i="148"/>
  <c r="L151" i="148"/>
  <c r="L193" i="148"/>
  <c r="L92" i="148"/>
  <c r="L62" i="148"/>
  <c r="L68" i="148"/>
  <c r="L16" i="148"/>
  <c r="L156" i="148"/>
  <c r="M189" i="148"/>
  <c r="M135" i="148"/>
  <c r="M171" i="148"/>
  <c r="M161" i="148"/>
  <c r="M124" i="148"/>
  <c r="M206" i="148"/>
  <c r="M168" i="148"/>
  <c r="M43" i="148"/>
  <c r="M90" i="148"/>
  <c r="M169" i="148"/>
  <c r="M36" i="148"/>
  <c r="M19" i="148"/>
  <c r="M21" i="148"/>
  <c r="M14" i="148"/>
  <c r="M44" i="148"/>
  <c r="M42" i="148"/>
  <c r="N149" i="148"/>
  <c r="N136" i="148"/>
  <c r="N104" i="148"/>
  <c r="N181" i="148"/>
  <c r="N178" i="148"/>
  <c r="N142" i="148"/>
  <c r="N146" i="148"/>
  <c r="N76" i="148"/>
  <c r="N109" i="148"/>
  <c r="N96" i="148"/>
  <c r="N106" i="148"/>
  <c r="N32" i="148"/>
  <c r="N18" i="148"/>
  <c r="N55" i="148"/>
  <c r="N6" i="148"/>
  <c r="P149" i="148"/>
  <c r="P136" i="148"/>
  <c r="P104" i="148"/>
  <c r="P181" i="148"/>
  <c r="P178" i="148"/>
  <c r="P142" i="148"/>
  <c r="P76" i="148"/>
  <c r="P97" i="148"/>
  <c r="P96" i="148"/>
  <c r="P106" i="148"/>
  <c r="P125" i="148"/>
  <c r="V195" i="148"/>
  <c r="V173" i="148"/>
  <c r="V188" i="148"/>
  <c r="W151" i="148"/>
  <c r="W70" i="148"/>
  <c r="W68" i="148"/>
  <c r="W16" i="148"/>
  <c r="X121" i="148"/>
  <c r="AD195" i="148"/>
  <c r="AD173" i="148"/>
  <c r="AD185" i="148"/>
  <c r="AD86" i="148"/>
  <c r="AD74" i="148"/>
  <c r="AD188" i="148"/>
  <c r="AD29" i="148"/>
  <c r="AD13" i="148"/>
  <c r="AX160" i="148"/>
  <c r="AX114" i="148"/>
  <c r="AX145" i="148"/>
  <c r="AX153" i="148"/>
  <c r="AX93" i="148"/>
  <c r="AX111" i="148"/>
  <c r="AX127" i="148"/>
  <c r="AX80" i="148"/>
  <c r="AX51" i="148"/>
  <c r="AX88" i="148"/>
  <c r="AX34" i="148"/>
  <c r="AX100" i="148"/>
  <c r="AX45" i="148"/>
  <c r="AT138" i="148"/>
  <c r="AT134" i="148"/>
  <c r="AT186" i="148"/>
  <c r="AT122" i="148"/>
  <c r="AT91" i="148"/>
  <c r="AT167" i="148"/>
  <c r="AT85" i="148"/>
  <c r="AT130" i="148"/>
  <c r="N202" i="148"/>
  <c r="N67" i="148"/>
  <c r="N176" i="148"/>
  <c r="N121" i="148"/>
  <c r="N195" i="148"/>
  <c r="N173" i="148"/>
  <c r="N185" i="148"/>
  <c r="N86" i="148"/>
  <c r="N188" i="148"/>
  <c r="N29" i="148"/>
  <c r="N13" i="148"/>
  <c r="N50" i="148"/>
  <c r="N189" i="148"/>
  <c r="N135" i="148"/>
  <c r="N171" i="148"/>
  <c r="N124" i="148"/>
  <c r="N206" i="148"/>
  <c r="N168" i="148"/>
  <c r="N43" i="148"/>
  <c r="N90" i="148"/>
  <c r="N65" i="148"/>
  <c r="N169" i="148"/>
  <c r="N128" i="148"/>
  <c r="N36" i="148"/>
  <c r="N21" i="148"/>
  <c r="N14" i="148"/>
  <c r="N44" i="148"/>
  <c r="N42" i="148"/>
  <c r="O202" i="148"/>
  <c r="O182" i="148"/>
  <c r="O67" i="148"/>
  <c r="O121" i="148"/>
  <c r="O195" i="148"/>
  <c r="O173" i="148"/>
  <c r="O185" i="148"/>
  <c r="O86" i="148"/>
  <c r="O74" i="148"/>
  <c r="O29" i="148"/>
  <c r="O13" i="148"/>
  <c r="O9" i="148"/>
  <c r="O189" i="148"/>
  <c r="O135" i="148"/>
  <c r="O171" i="148"/>
  <c r="O161" i="148"/>
  <c r="O124" i="148"/>
  <c r="O168" i="148"/>
  <c r="O43" i="148"/>
  <c r="O90" i="148"/>
  <c r="O65" i="148"/>
  <c r="O169" i="148"/>
  <c r="O128" i="148"/>
  <c r="O19" i="148"/>
  <c r="O21" i="148"/>
  <c r="O14" i="148"/>
  <c r="O44" i="148"/>
  <c r="O154" i="148"/>
  <c r="O203" i="148"/>
  <c r="O78" i="148"/>
  <c r="O115" i="148"/>
  <c r="O148" i="148"/>
  <c r="D154" i="148"/>
  <c r="D115" i="148"/>
  <c r="D148" i="148"/>
  <c r="D151" i="148"/>
  <c r="D70" i="148"/>
  <c r="D156" i="148"/>
  <c r="D85" i="148"/>
  <c r="D143" i="148"/>
  <c r="D75" i="148"/>
  <c r="D165" i="148"/>
  <c r="D30" i="148"/>
  <c r="D23" i="148"/>
  <c r="D91" i="148"/>
  <c r="AX137" i="148"/>
  <c r="AX191" i="148"/>
  <c r="Y154" i="148"/>
  <c r="Y78" i="148"/>
  <c r="Y115" i="148"/>
  <c r="Y148" i="148"/>
  <c r="Y57" i="148"/>
  <c r="Y193" i="148"/>
  <c r="Y70" i="148"/>
  <c r="Y92" i="148"/>
  <c r="Y62" i="148"/>
  <c r="Y46" i="148"/>
  <c r="Y16" i="148"/>
  <c r="Y156" i="148"/>
  <c r="Y26" i="148"/>
  <c r="AD50" i="148"/>
  <c r="AD189" i="148"/>
  <c r="AD135" i="148"/>
  <c r="AD171" i="148"/>
  <c r="AT82" i="148"/>
  <c r="AT37" i="148"/>
  <c r="AT60" i="148"/>
  <c r="AT22" i="148"/>
  <c r="AT117" i="148"/>
  <c r="AT3" i="148"/>
  <c r="O102" i="148"/>
  <c r="O151" i="148"/>
  <c r="O57" i="148"/>
  <c r="O193" i="148"/>
  <c r="O92" i="148"/>
  <c r="O68" i="148"/>
  <c r="O156" i="148"/>
  <c r="O149" i="148"/>
  <c r="O104" i="148"/>
  <c r="O181" i="148"/>
  <c r="O178" i="148"/>
  <c r="O146" i="148"/>
  <c r="O109" i="148"/>
  <c r="O96" i="148"/>
  <c r="O106" i="148"/>
  <c r="O125" i="148"/>
  <c r="O32" i="148"/>
  <c r="O18" i="148"/>
  <c r="O55" i="148"/>
  <c r="O6" i="148"/>
  <c r="AP150" i="148"/>
  <c r="AP200" i="148"/>
  <c r="AP133" i="148"/>
  <c r="AP54" i="148"/>
  <c r="AQ194" i="148"/>
  <c r="AP143" i="148"/>
  <c r="AP132" i="148"/>
  <c r="AP140" i="148"/>
  <c r="AP120" i="148"/>
  <c r="AP118" i="148"/>
  <c r="AP98" i="148"/>
  <c r="AP174" i="148"/>
  <c r="AP139" i="148"/>
  <c r="AQ143" i="148"/>
  <c r="AQ132" i="148"/>
  <c r="AQ140" i="148"/>
  <c r="AQ120" i="148"/>
  <c r="AQ98" i="148"/>
  <c r="AQ174" i="148"/>
  <c r="AQ139" i="148"/>
  <c r="AQ61" i="148"/>
  <c r="AQ180" i="148"/>
  <c r="AQ59" i="148"/>
  <c r="AQ123" i="148"/>
  <c r="AQ116" i="148"/>
  <c r="AQ75" i="148"/>
  <c r="AQ12" i="148"/>
  <c r="AQ4" i="148"/>
  <c r="AQ165" i="148"/>
  <c r="AQ192" i="148"/>
  <c r="AQ144" i="148"/>
  <c r="AQ107" i="148"/>
  <c r="AQ108" i="148"/>
  <c r="AQ66" i="148"/>
  <c r="AQ73" i="148"/>
  <c r="AQ30" i="148"/>
  <c r="AQ40" i="148"/>
  <c r="AQ23" i="148"/>
  <c r="AQ47" i="148"/>
  <c r="AQ8" i="148"/>
  <c r="AX189" i="148"/>
  <c r="AX135" i="148"/>
  <c r="AX171" i="148"/>
  <c r="AX161" i="148"/>
  <c r="AX206" i="148"/>
  <c r="AX168" i="148"/>
  <c r="AX43" i="148"/>
  <c r="AX90" i="148"/>
  <c r="AX65" i="148"/>
  <c r="AX169" i="148"/>
  <c r="AX128" i="148"/>
  <c r="AX36" i="148"/>
  <c r="AX19" i="148"/>
  <c r="AX21" i="148"/>
  <c r="AX14" i="148"/>
  <c r="AX44" i="148"/>
  <c r="AX42" i="148"/>
  <c r="BF146" i="148"/>
  <c r="BF42" i="148"/>
  <c r="BF180" i="148"/>
  <c r="BF44" i="148"/>
  <c r="BF48" i="148"/>
  <c r="BF41" i="148"/>
  <c r="BF39" i="148"/>
  <c r="BF68" i="148"/>
  <c r="BF8" i="148"/>
  <c r="AX143" i="148"/>
  <c r="AX132" i="148"/>
  <c r="AX140" i="148"/>
  <c r="AX120" i="148"/>
  <c r="AX118" i="148"/>
  <c r="AX98" i="148"/>
  <c r="AX174" i="148"/>
  <c r="AX139" i="148"/>
  <c r="AX61" i="148"/>
  <c r="AX180" i="148"/>
  <c r="AX59" i="148"/>
  <c r="AX123" i="148"/>
  <c r="AX12" i="148"/>
  <c r="AX4" i="148"/>
  <c r="AQ196" i="148"/>
  <c r="AQ131" i="148"/>
  <c r="AQ159" i="148"/>
  <c r="AQ137" i="148"/>
  <c r="AQ138" i="148"/>
  <c r="AQ134" i="148"/>
  <c r="AQ122" i="148"/>
  <c r="AQ91" i="148"/>
  <c r="AQ167" i="148"/>
  <c r="AQ155" i="148"/>
  <c r="AQ85" i="148"/>
  <c r="AQ130" i="148"/>
  <c r="AQ82" i="148"/>
  <c r="AQ37" i="148"/>
  <c r="AQ60" i="148"/>
  <c r="AQ22" i="148"/>
  <c r="AQ117" i="148"/>
  <c r="AQ3" i="148"/>
  <c r="AQ184" i="148"/>
  <c r="AQ198" i="148"/>
  <c r="AQ158" i="148"/>
  <c r="AQ175" i="148"/>
  <c r="AQ77" i="148"/>
  <c r="AQ201" i="148"/>
  <c r="AQ69" i="148"/>
  <c r="AQ58" i="148"/>
  <c r="AQ53" i="148"/>
  <c r="AQ183" i="148"/>
  <c r="AQ31" i="148"/>
  <c r="AQ27" i="148"/>
  <c r="AQ26" i="148"/>
  <c r="AQ39" i="148"/>
  <c r="AQ72" i="148"/>
  <c r="AQ126" i="148"/>
  <c r="AQ87" i="148"/>
  <c r="AQ170" i="148"/>
  <c r="AQ207" i="148"/>
  <c r="AQ147" i="148"/>
  <c r="AP61" i="148"/>
  <c r="AP180" i="148"/>
  <c r="AP59" i="148"/>
  <c r="AP123" i="148"/>
  <c r="AP64" i="148"/>
  <c r="AP116" i="148"/>
  <c r="AP12" i="148"/>
  <c r="AP4" i="148"/>
  <c r="P18" i="148"/>
  <c r="P55" i="148"/>
  <c r="P6" i="148"/>
  <c r="Q189" i="148"/>
  <c r="Q171" i="148"/>
  <c r="Q161" i="148"/>
  <c r="Q124" i="148"/>
  <c r="Q90" i="148"/>
  <c r="Q65" i="148"/>
  <c r="Q169" i="148"/>
  <c r="Q128" i="148"/>
  <c r="Q36" i="148"/>
  <c r="Q19" i="148"/>
  <c r="Q21" i="148"/>
  <c r="Q14" i="148"/>
  <c r="L131" i="148"/>
  <c r="L103" i="148"/>
  <c r="Q44" i="148"/>
  <c r="Q42" i="148"/>
  <c r="R149" i="148"/>
  <c r="R181" i="148"/>
  <c r="R178" i="148"/>
  <c r="R142" i="148"/>
  <c r="R146" i="148"/>
  <c r="R76" i="148"/>
  <c r="R97" i="148"/>
  <c r="R96" i="148"/>
  <c r="R106" i="148"/>
  <c r="R125" i="148"/>
  <c r="R18" i="148"/>
  <c r="T202" i="148"/>
  <c r="T199" i="148"/>
  <c r="T182" i="148"/>
  <c r="T67" i="148"/>
  <c r="T112" i="148"/>
  <c r="T195" i="148"/>
  <c r="T173" i="148"/>
  <c r="T13" i="148"/>
  <c r="T9" i="148"/>
  <c r="T135" i="148"/>
  <c r="T171" i="148"/>
  <c r="T124" i="148"/>
  <c r="T206" i="148"/>
  <c r="T168" i="148"/>
  <c r="T43" i="148"/>
  <c r="T65" i="148"/>
  <c r="T169" i="148"/>
  <c r="T36" i="148"/>
  <c r="T19" i="148"/>
  <c r="T21" i="148"/>
  <c r="T14" i="148"/>
  <c r="U67" i="148"/>
  <c r="U176" i="148"/>
  <c r="U29" i="148"/>
  <c r="U9" i="148"/>
  <c r="AX159" i="148"/>
  <c r="AX138" i="148"/>
  <c r="AX134" i="148"/>
  <c r="AX186" i="148"/>
  <c r="AX122" i="148"/>
  <c r="AX91" i="148"/>
  <c r="AX167" i="148"/>
  <c r="AX155" i="148"/>
  <c r="AX85" i="148"/>
  <c r="AX130" i="148"/>
  <c r="AX82" i="148"/>
  <c r="AX37" i="148"/>
  <c r="AX60" i="148"/>
  <c r="AX22" i="148"/>
  <c r="AX117" i="148"/>
  <c r="AX3" i="148"/>
  <c r="AD161" i="148"/>
  <c r="AD124" i="148"/>
  <c r="AD206" i="148"/>
  <c r="AD168" i="148"/>
  <c r="AD43" i="148"/>
  <c r="AD90" i="148"/>
  <c r="AD65" i="148"/>
  <c r="AD169" i="148"/>
  <c r="AD128" i="148"/>
  <c r="AD36" i="148"/>
  <c r="AD19" i="148"/>
  <c r="AD21" i="148"/>
  <c r="AD44" i="148"/>
  <c r="AD42" i="148"/>
  <c r="AO12" i="148"/>
  <c r="AO4" i="148"/>
  <c r="T154" i="148"/>
  <c r="T203" i="148"/>
  <c r="T78" i="148"/>
  <c r="T148" i="148"/>
  <c r="T151" i="148"/>
  <c r="T193" i="148"/>
  <c r="T68" i="148"/>
  <c r="T46" i="148"/>
  <c r="T16" i="148"/>
  <c r="J160" i="148"/>
  <c r="J95" i="148"/>
  <c r="J145" i="148"/>
  <c r="J153" i="148"/>
  <c r="J93" i="148"/>
  <c r="J127" i="148"/>
  <c r="T156" i="148"/>
  <c r="T136" i="148"/>
  <c r="T104" i="148"/>
  <c r="T181" i="148"/>
  <c r="T178" i="148"/>
  <c r="T142" i="148"/>
  <c r="T146" i="148"/>
  <c r="T76" i="148"/>
  <c r="T109" i="148"/>
  <c r="T97" i="148"/>
  <c r="T96" i="148"/>
  <c r="T106" i="148"/>
  <c r="T32" i="148"/>
  <c r="T18" i="148"/>
  <c r="T55" i="148"/>
  <c r="T6" i="148"/>
  <c r="U171" i="148"/>
  <c r="U14" i="148"/>
  <c r="V14" i="148"/>
  <c r="V44" i="148"/>
  <c r="V42" i="148"/>
  <c r="J80" i="148"/>
  <c r="U62" i="148"/>
  <c r="U16" i="148"/>
  <c r="U106" i="148"/>
  <c r="U18" i="148"/>
  <c r="U6" i="148"/>
  <c r="V168" i="148"/>
  <c r="V128" i="148"/>
  <c r="W146" i="148"/>
  <c r="W76" i="148"/>
  <c r="W97" i="148"/>
  <c r="W125" i="148"/>
  <c r="W32" i="148"/>
  <c r="X43" i="148"/>
  <c r="J51" i="148"/>
  <c r="J88" i="148"/>
  <c r="J34" i="148"/>
  <c r="J100" i="148"/>
  <c r="J17" i="148"/>
  <c r="J52" i="148"/>
  <c r="J45" i="148"/>
  <c r="J7" i="148"/>
  <c r="I194" i="148"/>
  <c r="I162" i="148"/>
  <c r="I204" i="148"/>
  <c r="I166" i="148"/>
  <c r="I89" i="148"/>
  <c r="I129" i="148"/>
  <c r="I126" i="148"/>
  <c r="I163" i="148"/>
  <c r="I25" i="148"/>
  <c r="I87" i="148"/>
  <c r="I71" i="148"/>
  <c r="I177" i="148"/>
  <c r="I79" i="148"/>
  <c r="I24" i="148"/>
  <c r="I48" i="148"/>
  <c r="I101" i="148"/>
  <c r="J207" i="148"/>
  <c r="J110" i="148"/>
  <c r="J205" i="148"/>
  <c r="J190" i="148"/>
  <c r="L155" i="1"/>
  <c r="L188" i="1"/>
  <c r="L53" i="1"/>
  <c r="L122" i="1"/>
  <c r="L85" i="1"/>
  <c r="L47" i="1"/>
  <c r="L30" i="1"/>
  <c r="L18" i="1"/>
  <c r="AD154" i="148"/>
  <c r="AD203" i="148"/>
  <c r="AD78" i="148"/>
  <c r="AD115" i="148"/>
  <c r="AD148" i="148"/>
  <c r="AD102" i="148"/>
  <c r="AD152" i="148"/>
  <c r="AD151" i="148"/>
  <c r="AD57" i="148"/>
  <c r="AD193" i="148"/>
  <c r="AD70" i="148"/>
  <c r="AD92" i="148"/>
  <c r="AD62" i="148"/>
  <c r="AD68" i="148"/>
  <c r="AD46" i="148"/>
  <c r="AD156" i="148"/>
  <c r="F104" i="148"/>
  <c r="F181" i="148"/>
  <c r="F178" i="148"/>
  <c r="F142" i="148"/>
  <c r="F146" i="148"/>
  <c r="F76" i="148"/>
  <c r="F109" i="148"/>
  <c r="F97" i="148"/>
  <c r="F96" i="148"/>
  <c r="F106" i="148"/>
  <c r="F125" i="148"/>
  <c r="F32" i="148"/>
  <c r="F18" i="148"/>
  <c r="F55" i="148"/>
  <c r="H207" i="148"/>
  <c r="H110" i="148"/>
  <c r="H205" i="148"/>
  <c r="H190" i="148"/>
  <c r="H208" i="148"/>
  <c r="H119" i="148"/>
  <c r="H84" i="148"/>
  <c r="H133" i="148"/>
  <c r="H147" i="148"/>
  <c r="H113" i="148"/>
  <c r="H54" i="148"/>
  <c r="H83" i="148"/>
  <c r="H63" i="148"/>
  <c r="H28" i="148"/>
  <c r="H38" i="148"/>
  <c r="H49" i="148"/>
  <c r="H11" i="148"/>
  <c r="H160" i="148"/>
  <c r="H114" i="148"/>
  <c r="H95" i="148"/>
  <c r="H145" i="148"/>
  <c r="H153" i="148"/>
  <c r="H93" i="148"/>
  <c r="H111" i="148"/>
  <c r="H127" i="148"/>
  <c r="H80" i="148"/>
  <c r="H51" i="148"/>
  <c r="H88" i="148"/>
  <c r="H34" i="148"/>
  <c r="H100" i="148"/>
  <c r="H17" i="148"/>
  <c r="H52" i="148"/>
  <c r="H45" i="148"/>
  <c r="H7" i="148"/>
  <c r="H194" i="148"/>
  <c r="H162" i="148"/>
  <c r="H204" i="148"/>
  <c r="H166" i="148"/>
  <c r="H89" i="148"/>
  <c r="H129" i="148"/>
  <c r="I160" i="148"/>
  <c r="I114" i="148"/>
  <c r="I95" i="148"/>
  <c r="I145" i="148"/>
  <c r="I153" i="148"/>
  <c r="I93" i="148"/>
  <c r="I111" i="148"/>
  <c r="I127" i="148"/>
  <c r="I80" i="148"/>
  <c r="I51" i="148"/>
  <c r="I88" i="148"/>
  <c r="I34" i="148"/>
  <c r="I100" i="148"/>
  <c r="I17" i="148"/>
  <c r="I52" i="148"/>
  <c r="I45" i="148"/>
  <c r="I7" i="148"/>
  <c r="J170" i="148"/>
  <c r="J197" i="148"/>
  <c r="J164" i="148"/>
  <c r="J150" i="148"/>
  <c r="J172" i="148"/>
  <c r="J157" i="148"/>
  <c r="J81" i="148"/>
  <c r="J200" i="148"/>
  <c r="J56" i="148"/>
  <c r="J105" i="148"/>
  <c r="J99" i="148"/>
  <c r="J141" i="148"/>
  <c r="J41" i="148"/>
  <c r="J35" i="148"/>
  <c r="J15" i="148"/>
  <c r="J10" i="148"/>
  <c r="K127" i="148"/>
  <c r="BC187" i="148"/>
  <c r="BJ105" i="148"/>
  <c r="L92" i="1"/>
  <c r="L175" i="1"/>
  <c r="L116" i="1"/>
  <c r="BC100" i="148"/>
  <c r="F202" i="148"/>
  <c r="F199" i="148"/>
  <c r="F182" i="148"/>
  <c r="F67" i="148"/>
  <c r="F176" i="148"/>
  <c r="F121" i="148"/>
  <c r="F112" i="148"/>
  <c r="F195" i="148"/>
  <c r="F173" i="148"/>
  <c r="F185" i="148"/>
  <c r="F86" i="148"/>
  <c r="F74" i="148"/>
  <c r="F188" i="148"/>
  <c r="F29" i="148"/>
  <c r="F13" i="148"/>
  <c r="F50" i="148"/>
  <c r="F9" i="148"/>
  <c r="BK6" i="148"/>
  <c r="BK38" i="148"/>
  <c r="BK106" i="148"/>
  <c r="BK20" i="148"/>
  <c r="Z93" i="148"/>
  <c r="Z111" i="148"/>
  <c r="Z34" i="148"/>
  <c r="Z45" i="148"/>
  <c r="BK146" i="148"/>
  <c r="BA174" i="148"/>
  <c r="L148" i="1"/>
  <c r="BG111" i="148"/>
  <c r="BG151" i="148"/>
  <c r="BD56" i="148"/>
  <c r="BG113" i="148"/>
  <c r="BC113" i="148"/>
  <c r="BJ185" i="148"/>
  <c r="BD97" i="148"/>
  <c r="L51" i="1"/>
  <c r="BG99" i="148"/>
  <c r="BC99" i="148"/>
  <c r="BA71" i="148"/>
  <c r="L74" i="1"/>
  <c r="L89" i="1"/>
  <c r="BG83" i="148"/>
  <c r="BC83" i="148"/>
  <c r="BD94" i="148"/>
  <c r="BK177" i="148"/>
  <c r="BA123" i="148"/>
  <c r="BA92" i="148"/>
  <c r="L93" i="1"/>
  <c r="BG34" i="148"/>
  <c r="BG33" i="148"/>
  <c r="BK79" i="148"/>
  <c r="BA64" i="148"/>
  <c r="L52" i="1"/>
  <c r="BG62" i="148"/>
  <c r="BC62" i="148"/>
  <c r="BD31" i="148"/>
  <c r="BF50" i="148"/>
  <c r="BG35" i="148"/>
  <c r="BF13" i="148"/>
  <c r="BJ16" i="148"/>
  <c r="BF60" i="148"/>
  <c r="BF27" i="148"/>
  <c r="J208" i="148"/>
  <c r="BD17" i="148"/>
  <c r="BG12" i="148"/>
  <c r="BC12" i="148"/>
  <c r="BD11" i="148"/>
  <c r="BD2" i="148"/>
  <c r="BK40" i="148"/>
  <c r="BF149" i="148"/>
  <c r="H126" i="148"/>
  <c r="H163" i="148"/>
  <c r="H25" i="148"/>
  <c r="H87" i="148"/>
  <c r="H71" i="148"/>
  <c r="H177" i="148"/>
  <c r="H79" i="148"/>
  <c r="H24" i="148"/>
  <c r="H5" i="148"/>
  <c r="H48" i="148"/>
  <c r="H101" i="148"/>
  <c r="H170" i="148"/>
  <c r="H197" i="148"/>
  <c r="H164" i="148"/>
  <c r="H150" i="148"/>
  <c r="H172" i="148"/>
  <c r="H157" i="148"/>
  <c r="H81" i="148"/>
  <c r="H200" i="148"/>
  <c r="H99" i="148"/>
  <c r="H141" i="148"/>
  <c r="J119" i="148"/>
  <c r="J84" i="148"/>
  <c r="J133" i="148"/>
  <c r="J147" i="148"/>
  <c r="J113" i="148"/>
  <c r="J54" i="148"/>
  <c r="J83" i="148"/>
  <c r="J63" i="148"/>
  <c r="J28" i="148"/>
  <c r="J38" i="148"/>
  <c r="J49" i="148"/>
  <c r="J11" i="148"/>
  <c r="J2" i="148"/>
  <c r="K194" i="148"/>
  <c r="K162" i="148"/>
  <c r="K204" i="148"/>
  <c r="K166" i="148"/>
  <c r="K89" i="148"/>
  <c r="K129" i="148"/>
  <c r="K126" i="148"/>
  <c r="K163" i="148"/>
  <c r="K25" i="148"/>
  <c r="K87" i="148"/>
  <c r="L197" i="148"/>
  <c r="L172" i="148"/>
  <c r="L157" i="148"/>
  <c r="L81" i="148"/>
  <c r="L56" i="148"/>
  <c r="L105" i="148"/>
  <c r="L99" i="148"/>
  <c r="L141" i="148"/>
  <c r="L41" i="148"/>
  <c r="N194" i="148"/>
  <c r="N162" i="148"/>
  <c r="Q207" i="148"/>
  <c r="Q110" i="148"/>
  <c r="Q190" i="148"/>
  <c r="Q54" i="148"/>
  <c r="Q28" i="148"/>
  <c r="R194" i="148"/>
  <c r="R129" i="148"/>
  <c r="R87" i="148"/>
  <c r="R71" i="148"/>
  <c r="R48" i="148"/>
  <c r="R157" i="148"/>
  <c r="R41" i="148"/>
  <c r="W197" i="148"/>
  <c r="W164" i="148"/>
  <c r="W150" i="148"/>
  <c r="W81" i="148"/>
  <c r="W99" i="148"/>
  <c r="W141" i="148"/>
  <c r="Z204" i="148"/>
  <c r="BC29" i="148"/>
  <c r="BJ32" i="148"/>
  <c r="BK17" i="148"/>
  <c r="BK21" i="148"/>
  <c r="BF38" i="148"/>
  <c r="BA13" i="148"/>
  <c r="BC15" i="148"/>
  <c r="BG23" i="148"/>
  <c r="BD8" i="148"/>
  <c r="BF106" i="148"/>
  <c r="BA60" i="148"/>
  <c r="BG7" i="148"/>
  <c r="BC7" i="148"/>
  <c r="BG3" i="148"/>
  <c r="BA6" i="148"/>
  <c r="BA40" i="148"/>
  <c r="BG4" i="148"/>
  <c r="Z129" i="148"/>
  <c r="Z101" i="148"/>
  <c r="Z170" i="148"/>
  <c r="Z164" i="148"/>
  <c r="Z105" i="148"/>
  <c r="Z35" i="148"/>
  <c r="AA207" i="148"/>
  <c r="AA110" i="148"/>
  <c r="AA205" i="148"/>
  <c r="AA190" i="148"/>
  <c r="AA208" i="148"/>
  <c r="AA119" i="148"/>
  <c r="AA160" i="148"/>
  <c r="AA153" i="148"/>
  <c r="AA93" i="148"/>
  <c r="AA80" i="148"/>
  <c r="AA51" i="148"/>
  <c r="AA88" i="148"/>
  <c r="AA52" i="148"/>
  <c r="AA45" i="148"/>
  <c r="AF162" i="148"/>
  <c r="AF204" i="148"/>
  <c r="AG110" i="148"/>
  <c r="AG190" i="148"/>
  <c r="AI197" i="148"/>
  <c r="AI207" i="148"/>
  <c r="AI208" i="148"/>
  <c r="AI133" i="148"/>
  <c r="AI147" i="148"/>
  <c r="AJ160" i="148"/>
  <c r="AJ114" i="148"/>
  <c r="AJ95" i="148"/>
  <c r="AJ153" i="148"/>
  <c r="AJ127" i="148"/>
  <c r="AN194" i="148"/>
  <c r="AN162" i="148"/>
  <c r="AN166" i="148"/>
  <c r="AN126" i="148"/>
  <c r="AN163" i="148"/>
  <c r="AN25" i="148"/>
  <c r="AN170" i="148"/>
  <c r="AN197" i="148"/>
  <c r="AN164" i="148"/>
  <c r="AN150" i="148"/>
  <c r="AN81" i="148"/>
  <c r="AN200" i="148"/>
  <c r="AN99" i="148"/>
  <c r="AN141" i="148"/>
  <c r="AE170" i="148"/>
  <c r="AE197" i="148"/>
  <c r="AE150" i="148"/>
  <c r="AE172" i="148"/>
  <c r="AE200" i="148"/>
  <c r="AE110" i="148"/>
  <c r="AE208" i="148"/>
  <c r="AE119" i="148"/>
  <c r="AE133" i="148"/>
  <c r="AE147" i="148"/>
  <c r="AP114" i="148"/>
  <c r="AP145" i="148"/>
  <c r="AP153" i="148"/>
  <c r="AP93" i="148"/>
  <c r="AP127" i="148"/>
  <c r="AP80" i="148"/>
  <c r="AP51" i="148"/>
  <c r="AP88" i="148"/>
  <c r="AP100" i="148"/>
  <c r="AP17" i="148"/>
  <c r="AP52" i="148"/>
  <c r="AP45" i="148"/>
  <c r="AP194" i="148"/>
  <c r="AP166" i="148"/>
  <c r="AP89" i="148"/>
  <c r="AP129" i="148"/>
  <c r="AP126" i="148"/>
  <c r="AP163" i="148"/>
  <c r="AP177" i="148"/>
  <c r="AP79" i="148"/>
  <c r="AP48" i="148"/>
  <c r="AP101" i="148"/>
  <c r="AA133" i="148"/>
  <c r="AA147" i="148"/>
  <c r="AA54" i="148"/>
  <c r="AB194" i="148"/>
  <c r="AB162" i="148"/>
  <c r="AB204" i="148"/>
  <c r="AB166" i="148"/>
  <c r="AB89" i="148"/>
  <c r="AB129" i="148"/>
  <c r="AB87" i="148"/>
  <c r="AB71" i="148"/>
  <c r="AB48" i="148"/>
  <c r="AS170" i="148"/>
  <c r="AS197" i="148"/>
  <c r="AS150" i="148"/>
  <c r="AS172" i="148"/>
  <c r="AS157" i="148"/>
  <c r="AS81" i="148"/>
  <c r="AS200" i="148"/>
  <c r="AS41" i="148"/>
  <c r="AC207" i="148"/>
  <c r="AC110" i="148"/>
  <c r="AC205" i="148"/>
  <c r="AC208" i="148"/>
  <c r="AG170" i="148"/>
  <c r="AG150" i="148"/>
  <c r="AH160" i="148"/>
  <c r="AH114" i="148"/>
  <c r="AH95" i="148"/>
  <c r="AH111" i="148"/>
  <c r="AH80" i="148"/>
  <c r="AH34" i="148"/>
  <c r="AH100" i="148"/>
  <c r="AH45" i="148"/>
  <c r="AH194" i="148"/>
  <c r="AH162" i="148"/>
  <c r="AH204" i="148"/>
  <c r="AH89" i="148"/>
  <c r="AH126" i="148"/>
  <c r="AH87" i="148"/>
  <c r="AH101" i="148"/>
  <c r="AP170" i="148"/>
  <c r="AP197" i="148"/>
  <c r="AP164" i="148"/>
  <c r="AP172" i="148"/>
  <c r="AP157" i="148"/>
  <c r="AP81" i="148"/>
  <c r="AP56" i="148"/>
  <c r="AP105" i="148"/>
  <c r="AP141" i="148"/>
  <c r="AP41" i="148"/>
  <c r="AP35" i="148"/>
  <c r="AP15" i="148"/>
  <c r="F170" i="148"/>
  <c r="BJ14" i="148"/>
  <c r="BJ5" i="148"/>
  <c r="BJ4" i="148"/>
  <c r="BC143" i="148"/>
  <c r="F197" i="148"/>
  <c r="F150" i="148"/>
  <c r="BA195" i="148"/>
  <c r="L207" i="148"/>
  <c r="L110" i="148"/>
  <c r="L205" i="148"/>
  <c r="L190" i="148"/>
  <c r="L133" i="148"/>
  <c r="L113" i="148"/>
  <c r="L54" i="148"/>
  <c r="L83" i="148"/>
  <c r="L63" i="148"/>
  <c r="L49" i="148"/>
  <c r="E88" i="148"/>
  <c r="E34" i="148"/>
  <c r="AL162" i="148"/>
  <c r="AL166" i="148"/>
  <c r="AL163" i="148"/>
  <c r="AL25" i="148"/>
  <c r="AL87" i="148"/>
  <c r="AL101" i="148"/>
  <c r="AL170" i="148"/>
  <c r="AL197" i="148"/>
  <c r="AL164" i="148"/>
  <c r="AL150" i="148"/>
  <c r="AL172" i="148"/>
  <c r="AL157" i="148"/>
  <c r="AL56" i="148"/>
  <c r="AM194" i="148"/>
  <c r="AM162" i="148"/>
  <c r="AM204" i="148"/>
  <c r="AM166" i="148"/>
  <c r="AM89" i="148"/>
  <c r="AM129" i="148"/>
  <c r="AM126" i="148"/>
  <c r="AM163" i="148"/>
  <c r="AM25" i="148"/>
  <c r="AM87" i="148"/>
  <c r="AM48" i="148"/>
  <c r="AM170" i="148"/>
  <c r="AM197" i="148"/>
  <c r="AM164" i="148"/>
  <c r="AM150" i="148"/>
  <c r="AM172" i="148"/>
  <c r="AM157" i="148"/>
  <c r="AM81" i="148"/>
  <c r="AM200" i="148"/>
  <c r="AM105" i="148"/>
  <c r="AM99" i="148"/>
  <c r="AM41" i="148"/>
  <c r="AM35" i="148"/>
  <c r="AO207" i="148"/>
  <c r="AO110" i="148"/>
  <c r="AO205" i="148"/>
  <c r="AO190" i="148"/>
  <c r="AO208" i="148"/>
  <c r="AO119" i="148"/>
  <c r="AO84" i="148"/>
  <c r="AO133" i="148"/>
  <c r="AO147" i="148"/>
  <c r="AO113" i="148"/>
  <c r="AO54" i="148"/>
  <c r="AO83" i="148"/>
  <c r="AO63" i="148"/>
  <c r="AO28" i="148"/>
  <c r="AO49" i="148"/>
  <c r="AO160" i="148"/>
  <c r="AO114" i="148"/>
  <c r="AO95" i="148"/>
  <c r="AO145" i="148"/>
  <c r="AO153" i="148"/>
  <c r="AO93" i="148"/>
  <c r="F172" i="148"/>
  <c r="F157" i="148"/>
  <c r="F81" i="148"/>
  <c r="F105" i="148"/>
  <c r="F41" i="148"/>
  <c r="F15" i="148"/>
  <c r="D160" i="148"/>
  <c r="D114" i="148"/>
  <c r="D95" i="148"/>
  <c r="D145" i="148"/>
  <c r="D153" i="148"/>
  <c r="D127" i="148"/>
  <c r="D80" i="148"/>
  <c r="D51" i="148"/>
  <c r="D88" i="148"/>
  <c r="D52" i="148"/>
  <c r="D194" i="148"/>
  <c r="D162" i="148"/>
  <c r="D204" i="148"/>
  <c r="D166" i="148"/>
  <c r="D89" i="148"/>
  <c r="D129" i="148"/>
  <c r="D126" i="148"/>
  <c r="D163" i="148"/>
  <c r="D25" i="148"/>
  <c r="D71" i="148"/>
  <c r="D177" i="148"/>
  <c r="D79" i="148"/>
  <c r="D5" i="148"/>
  <c r="D101" i="148"/>
  <c r="D207" i="148"/>
  <c r="D110" i="148"/>
  <c r="D205" i="148"/>
  <c r="D190" i="148"/>
  <c r="D208" i="148"/>
  <c r="D119" i="148"/>
  <c r="D133" i="148"/>
  <c r="D147" i="148"/>
  <c r="D54" i="148"/>
  <c r="D11" i="148"/>
  <c r="F194" i="148"/>
  <c r="F162" i="148"/>
  <c r="F166" i="148"/>
  <c r="F89" i="148"/>
  <c r="F129" i="148"/>
  <c r="F87" i="148"/>
  <c r="F71" i="148"/>
  <c r="F79" i="148"/>
  <c r="F48" i="148"/>
  <c r="H159" i="148"/>
  <c r="H137" i="148"/>
  <c r="H138" i="148"/>
  <c r="H134" i="148"/>
  <c r="H191" i="148"/>
  <c r="H186" i="148"/>
  <c r="H91" i="148"/>
  <c r="H167" i="148"/>
  <c r="H85" i="148"/>
  <c r="H22" i="148"/>
  <c r="H117" i="148"/>
  <c r="H3" i="148"/>
  <c r="H184" i="148"/>
  <c r="H198" i="148"/>
  <c r="H158" i="148"/>
  <c r="H175" i="148"/>
  <c r="H77" i="148"/>
  <c r="H201" i="148"/>
  <c r="H179" i="148"/>
  <c r="H69" i="148"/>
  <c r="H58" i="148"/>
  <c r="H53" i="148"/>
  <c r="H31" i="148"/>
  <c r="H27" i="148"/>
  <c r="H26" i="148"/>
  <c r="H72" i="148"/>
  <c r="H143" i="148"/>
  <c r="H132" i="148"/>
  <c r="H140" i="148"/>
  <c r="H120" i="148"/>
  <c r="H118" i="148"/>
  <c r="H98" i="148"/>
  <c r="H139" i="148"/>
  <c r="H61" i="148"/>
  <c r="H59" i="148"/>
  <c r="H64" i="148"/>
  <c r="H75" i="148"/>
  <c r="H196" i="148"/>
  <c r="H131" i="148"/>
  <c r="H165" i="148"/>
  <c r="H187" i="148"/>
  <c r="H192" i="148"/>
  <c r="H144" i="148"/>
  <c r="H107" i="148"/>
  <c r="H108" i="148"/>
  <c r="H66" i="148"/>
  <c r="H103" i="148"/>
  <c r="H73" i="148"/>
  <c r="H40" i="148"/>
  <c r="H23" i="148"/>
  <c r="H47" i="148"/>
  <c r="H8" i="148"/>
  <c r="I184" i="148"/>
  <c r="I198" i="148"/>
  <c r="I77" i="148"/>
  <c r="I201" i="148"/>
  <c r="I179" i="148"/>
  <c r="I69" i="148"/>
  <c r="I58" i="148"/>
  <c r="I53" i="148"/>
  <c r="I31" i="148"/>
  <c r="I27" i="148"/>
  <c r="I39" i="148"/>
  <c r="I72" i="148"/>
  <c r="I143" i="148"/>
  <c r="I132" i="148"/>
  <c r="I140" i="148"/>
  <c r="I118" i="148"/>
  <c r="I98" i="148"/>
  <c r="I139" i="148"/>
  <c r="I61" i="148"/>
  <c r="I12" i="148"/>
  <c r="I4" i="148"/>
  <c r="J196" i="148"/>
  <c r="J131" i="148"/>
  <c r="J187" i="148"/>
  <c r="J192" i="148"/>
  <c r="J144" i="148"/>
  <c r="J66" i="148"/>
  <c r="J94" i="148"/>
  <c r="J30" i="148"/>
  <c r="J47" i="148"/>
  <c r="J159" i="148"/>
  <c r="J137" i="148"/>
  <c r="J138" i="148"/>
  <c r="J134" i="148"/>
  <c r="J122" i="148"/>
  <c r="J167" i="148"/>
  <c r="J130" i="148"/>
  <c r="J82" i="148"/>
  <c r="J22" i="148"/>
  <c r="J117" i="148"/>
  <c r="K184" i="148"/>
  <c r="K198" i="148"/>
  <c r="K158" i="148"/>
  <c r="K175" i="148"/>
  <c r="K77" i="148"/>
  <c r="K201" i="148"/>
  <c r="K179" i="148"/>
  <c r="K183" i="148"/>
  <c r="K33" i="148"/>
  <c r="K31" i="148"/>
  <c r="K26" i="148"/>
  <c r="K72" i="148"/>
  <c r="K143" i="148"/>
  <c r="K132" i="148"/>
  <c r="K140" i="148"/>
  <c r="K120" i="148"/>
  <c r="K118" i="148"/>
  <c r="K98" i="148"/>
  <c r="K61" i="148"/>
  <c r="K59" i="148"/>
  <c r="K123" i="148"/>
  <c r="K116" i="148"/>
  <c r="K12" i="148"/>
  <c r="K4" i="148"/>
  <c r="L196" i="148"/>
  <c r="L165" i="148"/>
  <c r="L187" i="148"/>
  <c r="L192" i="148"/>
  <c r="L144" i="148"/>
  <c r="L107" i="148"/>
  <c r="L108" i="148"/>
  <c r="L66" i="148"/>
  <c r="L73" i="148"/>
  <c r="L94" i="148"/>
  <c r="L30" i="148"/>
  <c r="L40" i="148"/>
  <c r="L47" i="148"/>
  <c r="L8" i="148"/>
  <c r="M159" i="148"/>
  <c r="M137" i="148"/>
  <c r="M138" i="148"/>
  <c r="M191" i="148"/>
  <c r="M186" i="148"/>
  <c r="M122" i="148"/>
  <c r="M91" i="148"/>
  <c r="M167" i="148"/>
  <c r="M155" i="148"/>
  <c r="M37" i="148"/>
  <c r="M22" i="148"/>
  <c r="M117" i="148"/>
  <c r="M3" i="148"/>
  <c r="P143" i="148"/>
  <c r="P132" i="148"/>
  <c r="P140" i="148"/>
  <c r="P120" i="148"/>
  <c r="P98" i="148"/>
  <c r="P174" i="148"/>
  <c r="P123" i="148"/>
  <c r="P64" i="148"/>
  <c r="P75" i="148"/>
  <c r="P12" i="148"/>
  <c r="P4" i="148"/>
  <c r="Q159" i="148"/>
  <c r="Q137" i="148"/>
  <c r="Q138" i="148"/>
  <c r="Q134" i="148"/>
  <c r="Q122" i="148"/>
  <c r="Q167" i="148"/>
  <c r="Q155" i="148"/>
  <c r="Q130" i="148"/>
  <c r="Q82" i="148"/>
  <c r="Q37" i="148"/>
  <c r="Q117" i="148"/>
  <c r="R143" i="148"/>
  <c r="R140" i="148"/>
  <c r="R120" i="148"/>
  <c r="R118" i="148"/>
  <c r="R174" i="148"/>
  <c r="R139" i="148"/>
  <c r="R61" i="148"/>
  <c r="R180" i="148"/>
  <c r="R59" i="148"/>
  <c r="R123" i="148"/>
  <c r="R64" i="148"/>
  <c r="R116" i="148"/>
  <c r="R75" i="148"/>
  <c r="R12" i="148"/>
  <c r="R4" i="148"/>
  <c r="V159" i="148"/>
  <c r="V137" i="148"/>
  <c r="V191" i="148"/>
  <c r="V186" i="148"/>
  <c r="V91" i="148"/>
  <c r="V167" i="148"/>
  <c r="V37" i="148"/>
  <c r="V60" i="148"/>
  <c r="V22" i="148"/>
  <c r="V117" i="148"/>
  <c r="V3" i="148"/>
  <c r="W143" i="148"/>
  <c r="W132" i="148"/>
  <c r="W140" i="148"/>
  <c r="W120" i="148"/>
  <c r="W118" i="148"/>
  <c r="W98" i="148"/>
  <c r="W139" i="148"/>
  <c r="W61" i="148"/>
  <c r="W180" i="148"/>
  <c r="W59" i="148"/>
  <c r="W123" i="148"/>
  <c r="W64" i="148"/>
  <c r="W116" i="148"/>
  <c r="W75" i="148"/>
  <c r="W4" i="148"/>
  <c r="X159" i="148"/>
  <c r="X137" i="148"/>
  <c r="X138" i="148"/>
  <c r="X134" i="148"/>
  <c r="X191" i="148"/>
  <c r="X186" i="148"/>
  <c r="X122" i="148"/>
  <c r="X91" i="148"/>
  <c r="X155" i="148"/>
  <c r="X130" i="148"/>
  <c r="X37" i="148"/>
  <c r="X60" i="148"/>
  <c r="X22" i="148"/>
  <c r="X117" i="148"/>
  <c r="X3" i="148"/>
  <c r="Z132" i="148"/>
  <c r="Z140" i="148"/>
  <c r="Z120" i="148"/>
  <c r="Z118" i="148"/>
  <c r="Z98" i="148"/>
  <c r="Z61" i="148"/>
  <c r="Z59" i="148"/>
  <c r="Z64" i="148"/>
  <c r="Z12" i="148"/>
  <c r="AA159" i="148"/>
  <c r="AA137" i="148"/>
  <c r="AA138" i="148"/>
  <c r="AA134" i="148"/>
  <c r="AA191" i="148"/>
  <c r="AA186" i="148"/>
  <c r="AA122" i="148"/>
  <c r="AA167" i="148"/>
  <c r="AA155" i="148"/>
  <c r="AA85" i="148"/>
  <c r="AA130" i="148"/>
  <c r="AA82" i="148"/>
  <c r="AA60" i="148"/>
  <c r="AA22" i="148"/>
  <c r="AA117" i="148"/>
  <c r="AA3" i="148"/>
  <c r="AB143" i="148"/>
  <c r="AB132" i="148"/>
  <c r="AB140" i="148"/>
  <c r="L44" i="1"/>
  <c r="L48" i="1"/>
  <c r="L41" i="1"/>
  <c r="L39" i="1"/>
  <c r="BG160" i="148"/>
  <c r="L68" i="1"/>
  <c r="L8" i="1"/>
  <c r="L159" i="148"/>
  <c r="L137" i="148"/>
  <c r="L138" i="148"/>
  <c r="L134" i="148"/>
  <c r="L191" i="148"/>
  <c r="L186" i="148"/>
  <c r="L122" i="148"/>
  <c r="L91" i="148"/>
  <c r="L167" i="148"/>
  <c r="L155" i="148"/>
  <c r="L85" i="148"/>
  <c r="L130" i="148"/>
  <c r="L82" i="148"/>
  <c r="L37" i="148"/>
  <c r="L60" i="148"/>
  <c r="L22" i="148"/>
  <c r="L117" i="148"/>
  <c r="L184" i="148"/>
  <c r="L198" i="148"/>
  <c r="L158" i="148"/>
  <c r="L175" i="148"/>
  <c r="L77" i="148"/>
  <c r="L201" i="148"/>
  <c r="L179" i="148"/>
  <c r="L69" i="148"/>
  <c r="L58" i="148"/>
  <c r="L53" i="148"/>
  <c r="L183" i="148"/>
  <c r="L33" i="148"/>
  <c r="L31" i="148"/>
  <c r="L27" i="148"/>
  <c r="L26" i="148"/>
  <c r="L39" i="148"/>
  <c r="L72" i="148"/>
  <c r="L143" i="148"/>
  <c r="L132" i="148"/>
  <c r="L140" i="148"/>
  <c r="L120" i="148"/>
  <c r="L118" i="148"/>
  <c r="L98" i="148"/>
  <c r="L139" i="148"/>
  <c r="L61" i="148"/>
  <c r="L180" i="148"/>
  <c r="L59" i="148"/>
  <c r="L75" i="148"/>
  <c r="L12" i="148"/>
  <c r="L4" i="148"/>
  <c r="M184" i="148"/>
  <c r="M198" i="148"/>
  <c r="M158" i="148"/>
  <c r="M175" i="148"/>
  <c r="N143" i="148"/>
  <c r="N132" i="148"/>
  <c r="N140" i="148"/>
  <c r="N120" i="148"/>
  <c r="N118" i="148"/>
  <c r="N98" i="148"/>
  <c r="N174" i="148"/>
  <c r="N139" i="148"/>
  <c r="N61" i="148"/>
  <c r="N180" i="148"/>
  <c r="N59" i="148"/>
  <c r="N123" i="148"/>
  <c r="N64" i="148"/>
  <c r="N116" i="148"/>
  <c r="N75" i="148"/>
  <c r="N4" i="148"/>
  <c r="N77" i="148"/>
  <c r="N201" i="148"/>
  <c r="N179" i="148"/>
  <c r="N69" i="148"/>
  <c r="N53" i="148"/>
  <c r="N33" i="148"/>
  <c r="N27" i="148"/>
  <c r="N26" i="148"/>
  <c r="N39" i="148"/>
  <c r="N72" i="148"/>
  <c r="O159" i="148"/>
  <c r="O137" i="148"/>
  <c r="O138" i="148"/>
  <c r="O134" i="148"/>
  <c r="O191" i="148"/>
  <c r="O186" i="148"/>
  <c r="O122" i="148"/>
  <c r="O91" i="148"/>
  <c r="O167" i="148"/>
  <c r="O155" i="148"/>
  <c r="O85" i="148"/>
  <c r="O130" i="148"/>
  <c r="O37" i="148"/>
  <c r="O60" i="148"/>
  <c r="O22" i="148"/>
  <c r="O3" i="148"/>
  <c r="O184" i="148"/>
  <c r="O198" i="148"/>
  <c r="O158" i="148"/>
  <c r="O175" i="148"/>
  <c r="O77" i="148"/>
  <c r="O201" i="148"/>
  <c r="O179" i="148"/>
  <c r="O69" i="148"/>
  <c r="O58" i="148"/>
  <c r="O53" i="148"/>
  <c r="O183" i="148"/>
  <c r="O33" i="148"/>
  <c r="O27" i="148"/>
  <c r="O26" i="148"/>
  <c r="O39" i="148"/>
  <c r="O72" i="148"/>
  <c r="O143" i="148"/>
  <c r="O132" i="148"/>
  <c r="O140" i="148"/>
  <c r="O120" i="148"/>
  <c r="O118" i="148"/>
  <c r="O98" i="148"/>
  <c r="O174" i="148"/>
  <c r="O139" i="148"/>
  <c r="O61" i="148"/>
  <c r="O180" i="148"/>
  <c r="O59" i="148"/>
  <c r="O123" i="148"/>
  <c r="O64" i="148"/>
  <c r="O116" i="148"/>
  <c r="O75" i="148"/>
  <c r="O12" i="148"/>
  <c r="O4" i="148"/>
  <c r="O196" i="148"/>
  <c r="O131" i="148"/>
  <c r="O165" i="148"/>
  <c r="O187" i="148"/>
  <c r="O144" i="148"/>
  <c r="O107" i="148"/>
  <c r="O108" i="148"/>
  <c r="O66" i="148"/>
  <c r="O103" i="148"/>
  <c r="O94" i="148"/>
  <c r="O30" i="148"/>
  <c r="O40" i="148"/>
  <c r="O23" i="148"/>
  <c r="O47" i="148"/>
  <c r="O8" i="148"/>
  <c r="P196" i="148"/>
  <c r="P131" i="148"/>
  <c r="P165" i="148"/>
  <c r="P187" i="148"/>
  <c r="P192" i="148"/>
  <c r="P144" i="148"/>
  <c r="P107" i="148"/>
  <c r="P66" i="148"/>
  <c r="P103" i="148"/>
  <c r="P73" i="148"/>
  <c r="P94" i="148"/>
  <c r="P30" i="148"/>
  <c r="P40" i="148"/>
  <c r="P47" i="148"/>
  <c r="P8" i="148"/>
  <c r="Q184" i="148"/>
  <c r="Q198" i="148"/>
  <c r="Q158" i="148"/>
  <c r="Q175" i="148"/>
  <c r="Q77" i="148"/>
  <c r="Q201" i="148"/>
  <c r="Q69" i="148"/>
  <c r="Q58" i="148"/>
  <c r="Q33" i="148"/>
  <c r="Q31" i="148"/>
  <c r="Q39" i="148"/>
  <c r="Q72" i="148"/>
  <c r="L91" i="1"/>
  <c r="L98" i="1"/>
  <c r="L31" i="1"/>
  <c r="BC49" i="148"/>
  <c r="L33" i="1"/>
  <c r="L17" i="1"/>
  <c r="L11" i="1"/>
  <c r="L2" i="1"/>
  <c r="R196" i="148"/>
  <c r="R165" i="148"/>
  <c r="R187" i="148"/>
  <c r="R144" i="148"/>
  <c r="R107" i="148"/>
  <c r="R108" i="148"/>
  <c r="R66" i="148"/>
  <c r="R103" i="148"/>
  <c r="R73" i="148"/>
  <c r="R30" i="148"/>
  <c r="R40" i="148"/>
  <c r="R23" i="148"/>
  <c r="R47" i="148"/>
  <c r="R8" i="148"/>
  <c r="T159" i="148"/>
  <c r="T137" i="148"/>
  <c r="T138" i="148"/>
  <c r="T134" i="148"/>
  <c r="T191" i="148"/>
  <c r="T186" i="148"/>
  <c r="T122" i="148"/>
  <c r="T91" i="148"/>
  <c r="T167" i="148"/>
  <c r="T155" i="148"/>
  <c r="T85" i="148"/>
  <c r="T130" i="148"/>
  <c r="T37" i="148"/>
  <c r="T22" i="148"/>
  <c r="T117" i="148"/>
  <c r="T3" i="148"/>
  <c r="T184" i="148"/>
  <c r="T198" i="148"/>
  <c r="T158" i="148"/>
  <c r="T175" i="148"/>
  <c r="T77" i="148"/>
  <c r="T201" i="148"/>
  <c r="T179" i="148"/>
  <c r="T69" i="148"/>
  <c r="T58" i="148"/>
  <c r="T53" i="148"/>
  <c r="T183" i="148"/>
  <c r="T33" i="148"/>
  <c r="T31" i="148"/>
  <c r="T26" i="148"/>
  <c r="T39" i="148"/>
  <c r="T72" i="148"/>
  <c r="T143" i="148"/>
  <c r="T132" i="148"/>
  <c r="T140" i="148"/>
  <c r="T120" i="148"/>
  <c r="T118" i="148"/>
  <c r="T98" i="148"/>
  <c r="T174" i="148"/>
  <c r="T139" i="148"/>
  <c r="T61" i="148"/>
  <c r="T180" i="148"/>
  <c r="T59" i="148"/>
  <c r="T116" i="148"/>
  <c r="T75" i="148"/>
  <c r="T12" i="148"/>
  <c r="T4" i="148"/>
  <c r="T196" i="148"/>
  <c r="T131" i="148"/>
  <c r="T165" i="148"/>
  <c r="T187" i="148"/>
  <c r="T192" i="148"/>
  <c r="T144" i="148"/>
  <c r="T107" i="148"/>
  <c r="T66" i="148"/>
  <c r="T103" i="148"/>
  <c r="T73" i="148"/>
  <c r="T94" i="148"/>
  <c r="T30" i="148"/>
  <c r="T40" i="148"/>
  <c r="T23" i="148"/>
  <c r="T47" i="148"/>
  <c r="T8" i="148"/>
  <c r="U159" i="148"/>
  <c r="U137" i="148"/>
  <c r="U138" i="148"/>
  <c r="U134" i="148"/>
  <c r="U191" i="148"/>
  <c r="U186" i="148"/>
  <c r="U122" i="148"/>
  <c r="Z174" i="148"/>
  <c r="M77" i="148"/>
  <c r="M201" i="148"/>
  <c r="M179" i="148"/>
  <c r="M69" i="148"/>
  <c r="M31" i="148"/>
  <c r="M26" i="148"/>
  <c r="M72" i="148"/>
  <c r="N196" i="148"/>
  <c r="N165" i="148"/>
  <c r="N187" i="148"/>
  <c r="N192" i="148"/>
  <c r="N144" i="148"/>
  <c r="N107" i="148"/>
  <c r="N108" i="148"/>
  <c r="N66" i="148"/>
  <c r="N103" i="148"/>
  <c r="N94" i="148"/>
  <c r="N30" i="148"/>
  <c r="N40" i="148"/>
  <c r="N23" i="148"/>
  <c r="N47" i="148"/>
  <c r="N8" i="148"/>
  <c r="N159" i="148"/>
  <c r="N137" i="148"/>
  <c r="N138" i="148"/>
  <c r="N134" i="148"/>
  <c r="N191" i="148"/>
  <c r="N186" i="148"/>
  <c r="N122" i="148"/>
  <c r="N91" i="148"/>
  <c r="N167" i="148"/>
  <c r="N155" i="148"/>
  <c r="N85" i="148"/>
  <c r="N130" i="148"/>
  <c r="N82" i="148"/>
  <c r="N37" i="148"/>
  <c r="N22" i="148"/>
  <c r="N117" i="148"/>
  <c r="N3" i="148"/>
  <c r="N198" i="148"/>
  <c r="N158" i="148"/>
  <c r="N175" i="148"/>
  <c r="S196" i="148"/>
  <c r="L158" i="1"/>
  <c r="D184" i="148"/>
  <c r="D198" i="148"/>
  <c r="D175" i="148"/>
  <c r="D77" i="148"/>
  <c r="D201" i="148"/>
  <c r="D69" i="148"/>
  <c r="D183" i="148"/>
  <c r="D33" i="148"/>
  <c r="D31" i="148"/>
  <c r="D39" i="148"/>
  <c r="D72" i="148"/>
  <c r="AD82" i="148"/>
  <c r="D132" i="148"/>
  <c r="D140" i="148"/>
  <c r="D120" i="148"/>
  <c r="D118" i="148"/>
  <c r="D98" i="148"/>
  <c r="D174" i="148"/>
  <c r="D139" i="148"/>
  <c r="D180" i="148"/>
  <c r="D59" i="148"/>
  <c r="D123" i="148"/>
  <c r="D64" i="148"/>
  <c r="D12" i="148"/>
  <c r="D4" i="148"/>
  <c r="D196" i="148"/>
  <c r="D187" i="148"/>
  <c r="D192" i="148"/>
  <c r="D144" i="148"/>
  <c r="D107" i="148"/>
  <c r="D108" i="148"/>
  <c r="D66" i="148"/>
  <c r="D103" i="148"/>
  <c r="D73" i="148"/>
  <c r="D94" i="148"/>
  <c r="D40" i="148"/>
  <c r="D47" i="148"/>
  <c r="D8" i="148"/>
  <c r="D159" i="148"/>
  <c r="D137" i="148"/>
  <c r="D138" i="148"/>
  <c r="D134" i="148"/>
  <c r="D191" i="148"/>
  <c r="D186" i="148"/>
  <c r="D122" i="148"/>
  <c r="D167" i="148"/>
  <c r="D155" i="148"/>
  <c r="D130" i="148"/>
  <c r="D82" i="148"/>
  <c r="D37" i="148"/>
  <c r="D60" i="148"/>
  <c r="D22" i="148"/>
  <c r="D117" i="148"/>
  <c r="D3" i="148"/>
  <c r="F143" i="148"/>
  <c r="F132" i="148"/>
  <c r="F140" i="148"/>
  <c r="F120" i="148"/>
  <c r="F118" i="148"/>
  <c r="F98" i="148"/>
  <c r="F174" i="148"/>
  <c r="F61" i="148"/>
  <c r="F180" i="148"/>
  <c r="F123" i="148"/>
  <c r="F64" i="148"/>
  <c r="F116" i="148"/>
  <c r="F4" i="148"/>
  <c r="F165" i="148"/>
  <c r="F108" i="148"/>
  <c r="F73" i="148"/>
  <c r="F30" i="148"/>
  <c r="G82" i="148"/>
  <c r="G132" i="148"/>
  <c r="G120" i="148"/>
  <c r="G61" i="148"/>
  <c r="G75" i="148"/>
  <c r="S131" i="148"/>
  <c r="S144" i="148"/>
  <c r="S107" i="148"/>
  <c r="S103" i="148"/>
  <c r="S23" i="148"/>
  <c r="U167" i="148"/>
  <c r="U155" i="148"/>
  <c r="U85" i="148"/>
  <c r="U130" i="148"/>
  <c r="U82" i="148"/>
  <c r="U37" i="148"/>
  <c r="U60" i="148"/>
  <c r="U22" i="148"/>
  <c r="U3" i="148"/>
  <c r="V184" i="148"/>
  <c r="V198" i="148"/>
  <c r="V158" i="148"/>
  <c r="V175" i="148"/>
  <c r="V77" i="148"/>
  <c r="V201" i="148"/>
  <c r="V179" i="148"/>
  <c r="V69" i="148"/>
  <c r="V58" i="148"/>
  <c r="V33" i="148"/>
  <c r="V31" i="148"/>
  <c r="V26" i="148"/>
  <c r="V72" i="148"/>
  <c r="W196" i="148"/>
  <c r="W131" i="148"/>
  <c r="W165" i="148"/>
  <c r="W187" i="148"/>
  <c r="W192" i="148"/>
  <c r="W144" i="148"/>
  <c r="W108" i="148"/>
  <c r="W103" i="148"/>
  <c r="W94" i="148"/>
  <c r="W30" i="148"/>
  <c r="W23" i="148"/>
  <c r="X184" i="148"/>
  <c r="X198" i="148"/>
  <c r="X158" i="148"/>
  <c r="X69" i="148"/>
  <c r="X58" i="148"/>
  <c r="X53" i="148"/>
  <c r="X33" i="148"/>
  <c r="X31" i="148"/>
  <c r="X27" i="148"/>
  <c r="X39" i="148"/>
  <c r="X72" i="148"/>
  <c r="Z196" i="148"/>
  <c r="Z131" i="148"/>
  <c r="Z165" i="148"/>
  <c r="Z187" i="148"/>
  <c r="Z192" i="148"/>
  <c r="Z144" i="148"/>
  <c r="Z107" i="148"/>
  <c r="Z66" i="148"/>
  <c r="Z103" i="148"/>
  <c r="Z73" i="148"/>
  <c r="Z94" i="148"/>
  <c r="Z40" i="148"/>
  <c r="Z47" i="148"/>
  <c r="AA184" i="148"/>
  <c r="AA198" i="148"/>
  <c r="AA158" i="148"/>
  <c r="AA175" i="148"/>
  <c r="AA77" i="148"/>
  <c r="AA201" i="148"/>
  <c r="AA179" i="148"/>
  <c r="AA69" i="148"/>
  <c r="AA58" i="148"/>
  <c r="AA53" i="148"/>
  <c r="AA183" i="148"/>
  <c r="AA33" i="148"/>
  <c r="AA31" i="148"/>
  <c r="AA27" i="148"/>
  <c r="AA26" i="148"/>
  <c r="AA39" i="148"/>
  <c r="AA72" i="148"/>
  <c r="AB196" i="148"/>
  <c r="AB165" i="148"/>
  <c r="AB187" i="148"/>
  <c r="AB144" i="148"/>
  <c r="AB107" i="148"/>
  <c r="AB108" i="148"/>
  <c r="AB120" i="148"/>
  <c r="AB98" i="148"/>
  <c r="AB174" i="148"/>
  <c r="AB61" i="148"/>
  <c r="AB180" i="148"/>
  <c r="AB59" i="148"/>
  <c r="AB123" i="148"/>
  <c r="AB64" i="148"/>
  <c r="AB116" i="148"/>
  <c r="AB75" i="148"/>
  <c r="AB12" i="148"/>
  <c r="AB4" i="148"/>
  <c r="AQ114" i="148"/>
  <c r="AQ93" i="148"/>
  <c r="AQ88" i="148"/>
  <c r="AQ45" i="148"/>
  <c r="AP10" i="148"/>
  <c r="AP207" i="148"/>
  <c r="AP110" i="148"/>
  <c r="AP205" i="148"/>
  <c r="AP190" i="148"/>
  <c r="AP208" i="148"/>
  <c r="AP119" i="148"/>
  <c r="AP147" i="148"/>
  <c r="AP113" i="148"/>
  <c r="AP83" i="148"/>
  <c r="AP28" i="148"/>
  <c r="AP38" i="148"/>
  <c r="AP49" i="148"/>
  <c r="AQ162" i="148"/>
  <c r="AQ204" i="148"/>
  <c r="AQ166" i="148"/>
  <c r="AQ89" i="148"/>
  <c r="AQ129" i="148"/>
  <c r="AQ163" i="148"/>
  <c r="AQ25" i="148"/>
  <c r="AQ71" i="148"/>
  <c r="AQ177" i="148"/>
  <c r="AQ79" i="148"/>
  <c r="AQ48" i="148"/>
  <c r="AQ101" i="148"/>
  <c r="AB66" i="148"/>
  <c r="AB103" i="148"/>
  <c r="AB73" i="148"/>
  <c r="AB94" i="148"/>
  <c r="AB30" i="148"/>
  <c r="AB40" i="148"/>
  <c r="AB23" i="148"/>
  <c r="AB47" i="148"/>
  <c r="AB8" i="148"/>
  <c r="U175" i="148"/>
  <c r="U184" i="148"/>
  <c r="U198" i="148"/>
  <c r="U158" i="148"/>
  <c r="U77" i="148"/>
  <c r="U201" i="148"/>
  <c r="U179" i="148"/>
  <c r="U69" i="148"/>
  <c r="U58" i="148"/>
  <c r="U53" i="148"/>
  <c r="AQ197" i="148"/>
  <c r="AQ164" i="148"/>
  <c r="AQ150" i="148"/>
  <c r="AQ172" i="148"/>
  <c r="AQ157" i="148"/>
  <c r="AQ81" i="148"/>
  <c r="AQ200" i="148"/>
  <c r="AQ105" i="148"/>
  <c r="AQ99" i="148"/>
  <c r="AQ141" i="148"/>
  <c r="F196" i="148"/>
  <c r="F131" i="148"/>
  <c r="BF164" i="148"/>
  <c r="BF208" i="148"/>
  <c r="D149" i="148"/>
  <c r="D136" i="148"/>
  <c r="D104" i="148"/>
  <c r="D146" i="148"/>
  <c r="D109" i="148"/>
  <c r="D97" i="148"/>
  <c r="D96" i="148"/>
  <c r="D42" i="148"/>
  <c r="D170" i="148"/>
  <c r="D197" i="148"/>
  <c r="D164" i="148"/>
  <c r="D172" i="148"/>
  <c r="D157" i="148"/>
  <c r="D81" i="148"/>
  <c r="D56" i="148"/>
  <c r="D105" i="148"/>
  <c r="D10" i="148"/>
  <c r="D189" i="148"/>
  <c r="D135" i="148"/>
  <c r="D202" i="148"/>
  <c r="D182" i="148"/>
  <c r="D67" i="148"/>
  <c r="D112" i="148"/>
  <c r="D185" i="148"/>
  <c r="D171" i="148"/>
  <c r="D161" i="148"/>
  <c r="D124" i="148"/>
  <c r="D206" i="148"/>
  <c r="D168" i="148"/>
  <c r="D43" i="148"/>
  <c r="D65" i="148"/>
  <c r="D128" i="148"/>
  <c r="D36" i="148"/>
  <c r="P170" i="148"/>
  <c r="P164" i="148"/>
  <c r="Q127" i="148"/>
  <c r="Q80" i="148"/>
  <c r="Q51" i="148"/>
  <c r="Q88" i="148"/>
  <c r="Q52" i="148"/>
  <c r="M160" i="148"/>
  <c r="M114" i="148"/>
  <c r="M95" i="148"/>
  <c r="G189" i="148"/>
  <c r="G135" i="148"/>
  <c r="G171" i="148"/>
  <c r="G161" i="148"/>
  <c r="G124" i="148"/>
  <c r="G206" i="148"/>
  <c r="G168" i="148"/>
  <c r="G43" i="148"/>
  <c r="G90" i="148"/>
  <c r="G65" i="148"/>
  <c r="G169" i="148"/>
  <c r="G128" i="148"/>
  <c r="G36" i="148"/>
  <c r="G19" i="148"/>
  <c r="G44" i="148"/>
  <c r="G42" i="148"/>
  <c r="G154" i="148"/>
  <c r="G203" i="148"/>
  <c r="G78" i="148"/>
  <c r="G115" i="148"/>
  <c r="G148" i="148"/>
  <c r="G102" i="148"/>
  <c r="G152" i="148"/>
  <c r="G151" i="148"/>
  <c r="G57" i="148"/>
  <c r="G193" i="148"/>
  <c r="G70" i="148"/>
  <c r="G92" i="148"/>
  <c r="G46" i="148"/>
  <c r="G156" i="148"/>
  <c r="G149" i="148"/>
  <c r="G136" i="148"/>
  <c r="G104" i="148"/>
  <c r="G181" i="148"/>
  <c r="G178" i="148"/>
  <c r="G142" i="148"/>
  <c r="G146" i="148"/>
  <c r="G76" i="148"/>
  <c r="G109" i="148"/>
  <c r="G97" i="148"/>
  <c r="G96" i="148"/>
  <c r="G125" i="148"/>
  <c r="G55" i="148"/>
  <c r="G202" i="148"/>
  <c r="G199" i="148"/>
  <c r="G182" i="148"/>
  <c r="G67" i="148"/>
  <c r="G176" i="148"/>
  <c r="G121" i="148"/>
  <c r="G112" i="148"/>
  <c r="G173" i="148"/>
  <c r="G185" i="148"/>
  <c r="G86" i="148"/>
  <c r="G50" i="148"/>
  <c r="G3" i="148"/>
  <c r="G184" i="148"/>
  <c r="G198" i="148"/>
  <c r="G158" i="148"/>
  <c r="G175" i="148"/>
  <c r="G201" i="1"/>
  <c r="G183" i="1"/>
  <c r="G60" i="1"/>
  <c r="G53" i="148"/>
  <c r="G186" i="1"/>
  <c r="G31" i="148"/>
  <c r="G27" i="148"/>
  <c r="G39" i="1"/>
  <c r="G72" i="148"/>
  <c r="G143" i="148"/>
  <c r="G140" i="148"/>
  <c r="G118" i="148"/>
  <c r="G98" i="148"/>
  <c r="G174" i="148"/>
  <c r="G139" i="148"/>
  <c r="G180" i="148"/>
  <c r="G59" i="148"/>
  <c r="G123" i="148"/>
  <c r="G64" i="148"/>
  <c r="G116" i="148"/>
  <c r="G12" i="148"/>
  <c r="G4" i="148"/>
  <c r="G196" i="148"/>
  <c r="G131" i="148"/>
  <c r="G165" i="148"/>
  <c r="G187" i="148"/>
  <c r="G192" i="148"/>
  <c r="G144" i="148"/>
  <c r="G107" i="148"/>
  <c r="G108" i="148"/>
  <c r="G66" i="148"/>
  <c r="G103" i="148"/>
  <c r="G73" i="148"/>
  <c r="G94" i="148"/>
  <c r="G30" i="148"/>
  <c r="G40" i="148"/>
  <c r="G23" i="148"/>
  <c r="G47" i="148"/>
  <c r="G8" i="148"/>
  <c r="G159" i="148"/>
  <c r="G137" i="148"/>
  <c r="G138" i="148"/>
  <c r="G134" i="148"/>
  <c r="G191" i="148"/>
  <c r="G186" i="148"/>
  <c r="G122" i="148"/>
  <c r="G95" i="1"/>
  <c r="G167" i="148"/>
  <c r="G155" i="148"/>
  <c r="G85" i="148"/>
  <c r="G130" i="148"/>
  <c r="G85" i="1"/>
  <c r="G37" i="148"/>
  <c r="G60" i="148"/>
  <c r="G22" i="148"/>
  <c r="G117" i="148"/>
  <c r="BJ89" i="148"/>
  <c r="L78" i="1"/>
  <c r="BJ121" i="148"/>
  <c r="L102" i="1"/>
  <c r="L90" i="1"/>
  <c r="BJ201" i="148"/>
  <c r="U183" i="148"/>
  <c r="U33" i="148"/>
  <c r="U31" i="148"/>
  <c r="U27" i="148"/>
  <c r="U26" i="148"/>
  <c r="U39" i="148"/>
  <c r="U72" i="148"/>
  <c r="U143" i="148"/>
  <c r="U132" i="148"/>
  <c r="U140" i="148"/>
  <c r="U120" i="148"/>
  <c r="U118" i="148"/>
  <c r="U98" i="148"/>
  <c r="U174" i="148"/>
  <c r="U139" i="148"/>
  <c r="U61" i="148"/>
  <c r="U180" i="148"/>
  <c r="U59" i="148"/>
  <c r="U123" i="148"/>
  <c r="U64" i="148"/>
  <c r="U116" i="148"/>
  <c r="U75" i="148"/>
  <c r="U12" i="148"/>
  <c r="U4" i="148"/>
  <c r="U196" i="148"/>
  <c r="U131" i="148"/>
  <c r="U165" i="148"/>
  <c r="U187" i="148"/>
  <c r="U192" i="148"/>
  <c r="U144" i="148"/>
  <c r="U107" i="148"/>
  <c r="U108" i="148"/>
  <c r="U66" i="148"/>
  <c r="U103" i="148"/>
  <c r="U73" i="148"/>
  <c r="U94" i="148"/>
  <c r="U30" i="148"/>
  <c r="U23" i="148"/>
  <c r="U47" i="148"/>
  <c r="U8" i="148"/>
  <c r="Y132" i="148"/>
  <c r="Y140" i="148"/>
  <c r="Y120" i="148"/>
  <c r="Y118" i="148"/>
  <c r="Y98" i="148"/>
  <c r="Y174" i="148"/>
  <c r="Y139" i="148"/>
  <c r="Y61" i="148"/>
  <c r="Y180" i="148"/>
  <c r="Y59" i="148"/>
  <c r="Y64" i="148"/>
  <c r="Y116" i="148"/>
  <c r="Y75" i="148"/>
  <c r="Y12" i="148"/>
  <c r="Y4" i="148"/>
  <c r="Y196" i="148"/>
  <c r="Y131" i="148"/>
  <c r="Y165" i="148"/>
  <c r="Y187" i="148"/>
  <c r="Y192" i="148"/>
  <c r="Y144" i="148"/>
  <c r="Y107" i="148"/>
  <c r="Y108" i="148"/>
  <c r="Y66" i="148"/>
  <c r="Y103" i="148"/>
  <c r="Y73" i="148"/>
  <c r="Y94" i="148"/>
  <c r="Y30" i="148"/>
  <c r="Y40" i="148"/>
  <c r="Y23" i="148"/>
  <c r="Y47" i="148"/>
  <c r="Y8" i="148"/>
  <c r="Y159" i="148"/>
  <c r="Y137" i="148"/>
  <c r="Y138" i="148"/>
  <c r="Y134" i="148"/>
  <c r="Y191" i="148"/>
  <c r="Y186" i="148"/>
  <c r="Y122" i="148"/>
  <c r="Y91" i="148"/>
  <c r="Y167" i="148"/>
  <c r="Y155" i="148"/>
  <c r="Y85" i="148"/>
  <c r="Y130" i="148"/>
  <c r="Y82" i="148"/>
  <c r="Y37" i="148"/>
  <c r="Y60" i="148"/>
  <c r="Y22" i="148"/>
  <c r="Y117" i="148"/>
  <c r="Y3" i="148"/>
  <c r="Y184" i="148"/>
  <c r="Y198" i="148"/>
  <c r="Y158" i="148"/>
  <c r="Y175" i="148"/>
  <c r="Y77" i="148"/>
  <c r="Y201" i="148"/>
  <c r="Y179" i="148"/>
  <c r="Y69" i="148"/>
  <c r="Y58" i="148"/>
  <c r="Y53" i="148"/>
  <c r="Y183" i="148"/>
  <c r="Y33" i="148"/>
  <c r="Y31" i="148"/>
  <c r="Y27" i="148"/>
  <c r="Y39" i="148"/>
  <c r="Y72" i="148"/>
  <c r="E159" i="148"/>
  <c r="E137" i="148"/>
  <c r="E138" i="148"/>
  <c r="E134" i="148"/>
  <c r="E191" i="148"/>
  <c r="E186" i="148"/>
  <c r="E122" i="148"/>
  <c r="E91" i="148"/>
  <c r="E167" i="148"/>
  <c r="E155" i="148"/>
  <c r="E85" i="148"/>
  <c r="E130" i="148"/>
  <c r="E82" i="148"/>
  <c r="E37" i="148"/>
  <c r="E60" i="148"/>
  <c r="E22" i="148"/>
  <c r="E117" i="148"/>
  <c r="E184" i="148"/>
  <c r="E198" i="148"/>
  <c r="E158" i="148"/>
  <c r="E175" i="148"/>
  <c r="E77" i="148"/>
  <c r="E201" i="148"/>
  <c r="E179" i="148"/>
  <c r="E69" i="148"/>
  <c r="E58" i="148"/>
  <c r="E53" i="148"/>
  <c r="E183" i="148"/>
  <c r="E33" i="148"/>
  <c r="E31" i="148"/>
  <c r="E27" i="148"/>
  <c r="E26" i="148"/>
  <c r="E39" i="148"/>
  <c r="E72" i="148"/>
  <c r="E143" i="148"/>
  <c r="E132" i="148"/>
  <c r="E140" i="148"/>
  <c r="E120" i="148"/>
  <c r="E118" i="148"/>
  <c r="E98" i="148"/>
  <c r="E139" i="148"/>
  <c r="E61" i="148"/>
  <c r="E180" i="148"/>
  <c r="E59" i="148"/>
  <c r="E123" i="148"/>
  <c r="E64" i="148"/>
  <c r="E116" i="148"/>
  <c r="E75" i="148"/>
  <c r="E12" i="148"/>
  <c r="E4" i="148"/>
  <c r="E196" i="148"/>
  <c r="E131" i="148"/>
  <c r="E165" i="148"/>
  <c r="E187" i="148"/>
  <c r="E144" i="148"/>
  <c r="E107" i="148"/>
  <c r="E66" i="148"/>
  <c r="E103" i="148"/>
  <c r="E73" i="148"/>
  <c r="E30" i="148"/>
  <c r="E40" i="148"/>
  <c r="E23" i="148"/>
  <c r="E47" i="148"/>
  <c r="AJ170" i="148"/>
  <c r="AJ197" i="148"/>
  <c r="AJ164" i="148"/>
  <c r="AJ172" i="148"/>
  <c r="AJ157" i="148"/>
  <c r="AJ105" i="148"/>
  <c r="AJ35" i="148"/>
  <c r="AJ15" i="148"/>
  <c r="AJ207" i="148"/>
  <c r="AJ110" i="148"/>
  <c r="AJ205" i="148"/>
  <c r="AJ190" i="148"/>
  <c r="AJ133" i="148"/>
  <c r="AL207" i="148"/>
  <c r="AL110" i="148"/>
  <c r="AL205" i="148"/>
  <c r="AL190" i="148"/>
  <c r="AL119" i="148"/>
  <c r="AL133" i="148"/>
  <c r="AL147" i="148"/>
  <c r="AL54" i="148"/>
  <c r="AL28" i="148"/>
  <c r="AL160" i="148"/>
  <c r="AL114" i="148"/>
  <c r="AL95" i="148"/>
  <c r="AL153" i="148"/>
  <c r="AL127" i="148"/>
  <c r="AL80" i="148"/>
  <c r="AL51" i="148"/>
  <c r="AL88" i="148"/>
  <c r="AL52" i="148"/>
  <c r="AM207" i="148"/>
  <c r="AM110" i="148"/>
  <c r="AM205" i="148"/>
  <c r="AM190" i="148"/>
  <c r="AM208" i="148"/>
  <c r="AM119" i="148"/>
  <c r="AM84" i="148"/>
  <c r="AM38" i="148"/>
  <c r="AM160" i="148"/>
  <c r="AM114" i="148"/>
  <c r="AM95" i="148"/>
  <c r="AM145" i="148"/>
  <c r="AM153" i="148"/>
  <c r="AM93" i="148"/>
  <c r="AM111" i="148"/>
  <c r="AM127" i="148"/>
  <c r="AM80" i="148"/>
  <c r="AM34" i="148"/>
  <c r="AM100" i="148"/>
  <c r="E8" i="148"/>
  <c r="AS196" i="148"/>
  <c r="AS187" i="148"/>
  <c r="AS192" i="148"/>
  <c r="AS107" i="148"/>
  <c r="AS108" i="148"/>
  <c r="AS66" i="148"/>
  <c r="AS73" i="148"/>
  <c r="AS30" i="148"/>
  <c r="AS23" i="148"/>
  <c r="AS47" i="148"/>
  <c r="AS159" i="148"/>
  <c r="AS137" i="148"/>
  <c r="AS138" i="148"/>
  <c r="AS134" i="148"/>
  <c r="AS191" i="148"/>
  <c r="AS122" i="148"/>
  <c r="AS167" i="148"/>
  <c r="AS155" i="148"/>
  <c r="AS85" i="148"/>
  <c r="AS130" i="148"/>
  <c r="AS37" i="148"/>
  <c r="AS117" i="148"/>
  <c r="AC159" i="148"/>
  <c r="AC137" i="148"/>
  <c r="AC138" i="148"/>
  <c r="AC134" i="148"/>
  <c r="AC191" i="148"/>
  <c r="AC186" i="148"/>
  <c r="AC122" i="148"/>
  <c r="AC91" i="148"/>
  <c r="AC167" i="148"/>
  <c r="AC155" i="148"/>
  <c r="AC85" i="148"/>
  <c r="AC130" i="148"/>
  <c r="AC82" i="148"/>
  <c r="AC37" i="148"/>
  <c r="AC60" i="148"/>
  <c r="AC22" i="148"/>
  <c r="AC117" i="148"/>
  <c r="AC3" i="148"/>
  <c r="AC184" i="148"/>
  <c r="AC198" i="148"/>
  <c r="AC158" i="148"/>
  <c r="AC175" i="148"/>
  <c r="AC69" i="148"/>
  <c r="AC58" i="148"/>
  <c r="AC53" i="148"/>
  <c r="AC183" i="148"/>
  <c r="AC26" i="148"/>
  <c r="AC39" i="148"/>
  <c r="AC72" i="148"/>
  <c r="AF143" i="148"/>
  <c r="AF132" i="148"/>
  <c r="AF140" i="148"/>
  <c r="AF120" i="148"/>
  <c r="AF118" i="148"/>
  <c r="AF98" i="148"/>
  <c r="AF174" i="148"/>
  <c r="AF139" i="148"/>
  <c r="AF61" i="148"/>
  <c r="AF180" i="148"/>
  <c r="AF123" i="148"/>
  <c r="AF64" i="148"/>
  <c r="AF116" i="148"/>
  <c r="AF75" i="148"/>
  <c r="AF12" i="148"/>
  <c r="AF4" i="148"/>
  <c r="AG137" i="148"/>
  <c r="AG138" i="148"/>
  <c r="AG134" i="148"/>
  <c r="AG191" i="148"/>
  <c r="AG186" i="148"/>
  <c r="AG122" i="148"/>
  <c r="AG91" i="148"/>
  <c r="AG167" i="148"/>
  <c r="AG155" i="148"/>
  <c r="AG85" i="148"/>
  <c r="AG82" i="148"/>
  <c r="AG37" i="148"/>
  <c r="AG60" i="148"/>
  <c r="AI159" i="148"/>
  <c r="AI137" i="148"/>
  <c r="AI138" i="148"/>
  <c r="AI134" i="148"/>
  <c r="BL99" i="148"/>
  <c r="BL134" i="148"/>
  <c r="BL93" i="148"/>
  <c r="BL31" i="148"/>
  <c r="BL34" i="148"/>
  <c r="AG22" i="148"/>
  <c r="AG117" i="148"/>
  <c r="AG3" i="148"/>
  <c r="AI191" i="148"/>
  <c r="AI186" i="148"/>
  <c r="AI122" i="148"/>
  <c r="AI91" i="148"/>
  <c r="AI167" i="148"/>
  <c r="AI85" i="148"/>
  <c r="F187" i="148"/>
  <c r="F192" i="148"/>
  <c r="F144" i="148"/>
  <c r="F107" i="148"/>
  <c r="F66" i="148"/>
  <c r="F8" i="148"/>
  <c r="G180" i="1"/>
  <c r="AJ58" i="148"/>
  <c r="G55" i="1"/>
  <c r="G33" i="1"/>
  <c r="AJ194" i="148"/>
  <c r="AJ162" i="148"/>
  <c r="AJ204" i="148"/>
  <c r="AJ166" i="148"/>
  <c r="AJ48" i="148"/>
  <c r="AQ41" i="148"/>
  <c r="AQ35" i="148"/>
  <c r="AQ15" i="148"/>
  <c r="AQ10" i="148"/>
  <c r="AQ110" i="148"/>
  <c r="AQ205" i="148"/>
  <c r="BL207" i="148"/>
  <c r="BL199" i="148"/>
  <c r="BL189" i="148"/>
  <c r="BL183" i="148"/>
  <c r="BL78" i="148"/>
  <c r="BL137" i="148"/>
  <c r="BL159" i="148"/>
  <c r="AI130" i="148"/>
  <c r="AI37" i="148"/>
  <c r="AI22" i="148"/>
  <c r="S76" i="148"/>
  <c r="BF110" i="148"/>
  <c r="L125" i="1"/>
  <c r="L162" i="1"/>
  <c r="X160" i="148"/>
  <c r="X145" i="148"/>
  <c r="X127" i="148"/>
  <c r="G194" i="1"/>
  <c r="G137" i="1"/>
  <c r="V160" i="148"/>
  <c r="V114" i="148"/>
  <c r="V95" i="148"/>
  <c r="V93" i="148"/>
  <c r="L192" i="1"/>
  <c r="L149" i="1"/>
  <c r="BK162" i="148"/>
  <c r="L106" i="1"/>
  <c r="L97" i="1"/>
  <c r="L173" i="1"/>
  <c r="L96" i="1"/>
  <c r="L132" i="1"/>
  <c r="AD143" i="148"/>
  <c r="AD132" i="148"/>
  <c r="AD140" i="148"/>
  <c r="AD120" i="148"/>
  <c r="AD118" i="148"/>
  <c r="AD98" i="148"/>
  <c r="AD174" i="148"/>
  <c r="AD139" i="148"/>
  <c r="AD61" i="148"/>
  <c r="AD180" i="148"/>
  <c r="AD59" i="148"/>
  <c r="AD123" i="148"/>
  <c r="AD64" i="148"/>
  <c r="AD12" i="148"/>
  <c r="AD4" i="148"/>
  <c r="AD196" i="148"/>
  <c r="AD131" i="148"/>
  <c r="AD165" i="148"/>
  <c r="AD187" i="148"/>
  <c r="AD192" i="148"/>
  <c r="AD144" i="148"/>
  <c r="AD107" i="148"/>
  <c r="AD108" i="148"/>
  <c r="AD66" i="148"/>
  <c r="AD103" i="148"/>
  <c r="AD73" i="148"/>
  <c r="AD94" i="148"/>
  <c r="AD30" i="148"/>
  <c r="AD40" i="148"/>
  <c r="AD23" i="148"/>
  <c r="AD47" i="148"/>
  <c r="AD8" i="148"/>
  <c r="AD159" i="148"/>
  <c r="AD138" i="148"/>
  <c r="AD134" i="148"/>
  <c r="AD191" i="148"/>
  <c r="AD186" i="148"/>
  <c r="AD122" i="148"/>
  <c r="AD91" i="148"/>
  <c r="AD167" i="148"/>
  <c r="AD155" i="148"/>
  <c r="L167" i="1"/>
  <c r="BF135" i="148"/>
  <c r="L136" i="1"/>
  <c r="L177" i="1"/>
  <c r="L135" i="1"/>
  <c r="L131" i="1"/>
  <c r="BF89" i="148"/>
  <c r="L126" i="1"/>
  <c r="L65" i="1"/>
  <c r="BF121" i="148"/>
  <c r="L165" i="1"/>
  <c r="L147" i="1"/>
  <c r="BF201" i="148"/>
  <c r="L174" i="1"/>
  <c r="L76" i="1"/>
  <c r="BF107" i="148"/>
  <c r="L144" i="1"/>
  <c r="L134" i="1"/>
  <c r="BC61" i="148"/>
  <c r="BJ152" i="148"/>
  <c r="BF179" i="148"/>
  <c r="L58" i="1"/>
  <c r="BC108" i="148"/>
  <c r="BJ133" i="148"/>
  <c r="BF103" i="148"/>
  <c r="BC53" i="148"/>
  <c r="BJ51" i="148"/>
  <c r="BF85" i="148"/>
  <c r="L70" i="1"/>
  <c r="BC59" i="148"/>
  <c r="BJ88" i="148"/>
  <c r="BF141" i="148"/>
  <c r="BI45" i="148"/>
  <c r="BC45" i="148"/>
  <c r="BJ92" i="148"/>
  <c r="BF63" i="148"/>
  <c r="BF26" i="148"/>
  <c r="BC19" i="148"/>
  <c r="BJ28" i="148"/>
  <c r="BF116" i="148"/>
  <c r="BC38" i="148"/>
  <c r="BF75" i="148"/>
  <c r="BI106" i="148"/>
  <c r="BC106" i="148"/>
  <c r="BI40" i="148"/>
  <c r="BG40" i="148"/>
  <c r="BC40" i="148"/>
  <c r="D179" i="148"/>
  <c r="D27" i="148"/>
  <c r="D61" i="148"/>
  <c r="D116" i="148"/>
  <c r="F103" i="148"/>
  <c r="F94" i="148"/>
  <c r="F40" i="148"/>
  <c r="F23" i="148"/>
  <c r="F47" i="148"/>
  <c r="AD85" i="148"/>
  <c r="AD130" i="148"/>
  <c r="AD37" i="148"/>
  <c r="AD60" i="148"/>
  <c r="AD22" i="148"/>
  <c r="AD117" i="148"/>
  <c r="AD3" i="148"/>
  <c r="AD184" i="148"/>
  <c r="AD198" i="148"/>
  <c r="AD158" i="148"/>
  <c r="AD175" i="148"/>
  <c r="AD77" i="148"/>
  <c r="AD201" i="148"/>
  <c r="AD179" i="148"/>
  <c r="AD69" i="148"/>
  <c r="AD58" i="148"/>
  <c r="AD53" i="148"/>
  <c r="AD183" i="148"/>
  <c r="AD33" i="148"/>
  <c r="AD27" i="148"/>
  <c r="AD39" i="148"/>
  <c r="AD72" i="148"/>
  <c r="AF184" i="148"/>
  <c r="AF198" i="148"/>
  <c r="AF158" i="148"/>
  <c r="AF175" i="148"/>
  <c r="AF77" i="148"/>
  <c r="AF201" i="148"/>
  <c r="AF179" i="148"/>
  <c r="AF53" i="148"/>
  <c r="AF183" i="148"/>
  <c r="AF33" i="148"/>
  <c r="AF39" i="148"/>
  <c r="AF72" i="148"/>
  <c r="AG196" i="148"/>
  <c r="AG131" i="148"/>
  <c r="AG165" i="148"/>
  <c r="AG187" i="148"/>
  <c r="AG192" i="148"/>
  <c r="AG144" i="148"/>
  <c r="AG107" i="148"/>
  <c r="AG108" i="148"/>
  <c r="AG66" i="148"/>
  <c r="AG73" i="148"/>
  <c r="AG40" i="148"/>
  <c r="AG23" i="148"/>
  <c r="AG47" i="148"/>
  <c r="AG8" i="148"/>
  <c r="AH184" i="148"/>
  <c r="AH198" i="148"/>
  <c r="AH158" i="148"/>
  <c r="AH175" i="148"/>
  <c r="AH77" i="148"/>
  <c r="AH201" i="148"/>
  <c r="AH179" i="148"/>
  <c r="AH69" i="148"/>
  <c r="AH58" i="148"/>
  <c r="AH53" i="148"/>
  <c r="AH183" i="148"/>
  <c r="AH33" i="148"/>
  <c r="AH31" i="148"/>
  <c r="AH27" i="148"/>
  <c r="AH26" i="148"/>
  <c r="AH39" i="148"/>
  <c r="AH72" i="148"/>
  <c r="AH143" i="148"/>
  <c r="AH132" i="148"/>
  <c r="AH140" i="148"/>
  <c r="AH120" i="148"/>
  <c r="AH118" i="148"/>
  <c r="AH98" i="148"/>
  <c r="AH174" i="148"/>
  <c r="AH139" i="148"/>
  <c r="AH61" i="148"/>
  <c r="AH180" i="148"/>
  <c r="AH123" i="148"/>
  <c r="AH64" i="148"/>
  <c r="AH116" i="148"/>
  <c r="AH75" i="148"/>
  <c r="AH196" i="148"/>
  <c r="AH131" i="148"/>
  <c r="AH165" i="148"/>
  <c r="AH187" i="148"/>
  <c r="AH192" i="148"/>
  <c r="AH144" i="148"/>
  <c r="AH107" i="148"/>
  <c r="AH66" i="148"/>
  <c r="AH103" i="148"/>
  <c r="AH73" i="148"/>
  <c r="AH94" i="148"/>
  <c r="AH30" i="148"/>
  <c r="AH40" i="148"/>
  <c r="AH23" i="148"/>
  <c r="AH47" i="148"/>
  <c r="AH8" i="148"/>
  <c r="AH159" i="148"/>
  <c r="AH137" i="148"/>
  <c r="AH138" i="148"/>
  <c r="AH134" i="148"/>
  <c r="AH191" i="148"/>
  <c r="AH186" i="148"/>
  <c r="AH122" i="148"/>
  <c r="AH167" i="148"/>
  <c r="AH155" i="148"/>
  <c r="AH85" i="148"/>
  <c r="AH82" i="148"/>
  <c r="AH37" i="148"/>
  <c r="AH22" i="148"/>
  <c r="AH117" i="148"/>
  <c r="AH3" i="148"/>
  <c r="AI196" i="148"/>
  <c r="AI131" i="148"/>
  <c r="AI165" i="148"/>
  <c r="AI187" i="148"/>
  <c r="AI192" i="148"/>
  <c r="AI144" i="148"/>
  <c r="AI107" i="148"/>
  <c r="AI108" i="148"/>
  <c r="AI94" i="148"/>
  <c r="AI30" i="148"/>
  <c r="AI40" i="148"/>
  <c r="AI23" i="148"/>
  <c r="AI47" i="148"/>
  <c r="AI8" i="148"/>
  <c r="AJ184" i="148"/>
  <c r="AJ198" i="148"/>
  <c r="AJ158" i="148"/>
  <c r="AJ175" i="148"/>
  <c r="AJ77" i="148"/>
  <c r="AJ201" i="148"/>
  <c r="AJ179" i="148"/>
  <c r="AJ69" i="148"/>
  <c r="AJ53" i="148"/>
  <c r="AJ183" i="148"/>
  <c r="AJ33" i="148"/>
  <c r="AJ31" i="148"/>
  <c r="AJ27" i="148"/>
  <c r="AJ26" i="148"/>
  <c r="AJ39" i="148"/>
  <c r="AJ72" i="148"/>
  <c r="AJ143" i="148"/>
  <c r="AJ132" i="148"/>
  <c r="AJ140" i="148"/>
  <c r="AJ120" i="148"/>
  <c r="AJ118" i="148"/>
  <c r="AJ98" i="148"/>
  <c r="AJ174" i="148"/>
  <c r="AJ139" i="148"/>
  <c r="AJ61" i="148"/>
  <c r="AJ180" i="148"/>
  <c r="AJ59" i="148"/>
  <c r="AJ123" i="148"/>
  <c r="AJ64" i="148"/>
  <c r="AJ116" i="148"/>
  <c r="AJ75" i="148"/>
  <c r="AJ12" i="148"/>
  <c r="AJ4" i="148"/>
  <c r="AJ196" i="148"/>
  <c r="AJ131" i="148"/>
  <c r="AJ165" i="148"/>
  <c r="AJ192" i="148"/>
  <c r="AJ107" i="148"/>
  <c r="AJ108" i="148"/>
  <c r="AJ66" i="148"/>
  <c r="AJ103" i="148"/>
  <c r="AJ73" i="148"/>
  <c r="AJ94" i="148"/>
  <c r="AJ30" i="148"/>
  <c r="AJ40" i="148"/>
  <c r="AJ23" i="148"/>
  <c r="AQ190" i="148"/>
  <c r="AQ119" i="148"/>
  <c r="AQ84" i="148"/>
  <c r="AQ113" i="148"/>
  <c r="AQ83" i="148"/>
  <c r="AQ63" i="148"/>
  <c r="AQ49" i="148"/>
  <c r="AQ2" i="148"/>
  <c r="AQ160" i="148"/>
  <c r="AQ95" i="148"/>
  <c r="AQ145" i="148"/>
  <c r="AQ153" i="148"/>
  <c r="AQ111" i="148"/>
  <c r="AQ127" i="148"/>
  <c r="AQ80" i="148"/>
  <c r="AQ34" i="148"/>
  <c r="AQ100" i="148"/>
  <c r="AQ17" i="148"/>
  <c r="AR194" i="148"/>
  <c r="AR204" i="148"/>
  <c r="AR166" i="148"/>
  <c r="AR89" i="148"/>
  <c r="AR129" i="148"/>
  <c r="AR87" i="148"/>
  <c r="AR79" i="148"/>
  <c r="AJ47" i="148"/>
  <c r="AJ8" i="148"/>
  <c r="AJ137" i="148"/>
  <c r="AJ134" i="148"/>
  <c r="AJ191" i="148"/>
  <c r="AJ122" i="148"/>
  <c r="AJ91" i="148"/>
  <c r="AJ167" i="148"/>
  <c r="AJ155" i="148"/>
  <c r="AJ130" i="148"/>
  <c r="AJ82" i="148"/>
  <c r="AJ37" i="148"/>
  <c r="AJ60" i="148"/>
  <c r="AJ22" i="148"/>
  <c r="AJ117" i="148"/>
  <c r="AR48" i="148"/>
  <c r="AR101" i="148"/>
  <c r="AR170" i="148"/>
  <c r="AR164" i="148"/>
  <c r="AR150" i="148"/>
  <c r="AR172" i="148"/>
  <c r="AR157" i="148"/>
  <c r="AR200" i="148"/>
  <c r="AR99" i="148"/>
  <c r="AR207" i="148"/>
  <c r="AR208" i="148"/>
  <c r="AR119" i="148"/>
  <c r="AR133" i="148"/>
  <c r="AR147" i="148"/>
  <c r="AR54" i="148"/>
  <c r="AR83" i="148"/>
  <c r="AR28" i="148"/>
  <c r="AR2" i="148"/>
  <c r="AR160" i="148"/>
  <c r="AR145" i="148"/>
  <c r="AR127" i="148"/>
  <c r="AR80" i="148"/>
  <c r="AR88" i="148"/>
  <c r="AR100" i="148"/>
  <c r="AR52" i="148"/>
  <c r="AT197" i="148"/>
  <c r="AT150" i="148"/>
  <c r="AT157" i="148"/>
  <c r="AT81" i="148"/>
  <c r="AT200" i="148"/>
  <c r="AT105" i="148"/>
  <c r="AT99" i="148"/>
  <c r="AT15" i="148"/>
  <c r="AT20" i="148"/>
  <c r="AT207" i="148"/>
  <c r="AT110" i="148"/>
  <c r="AT208" i="148"/>
  <c r="AT133" i="148"/>
  <c r="AT147" i="148"/>
  <c r="AT95" i="148"/>
  <c r="AT145" i="148"/>
  <c r="AT153" i="148"/>
  <c r="AT93" i="148"/>
  <c r="AT111" i="148"/>
  <c r="AT127" i="148"/>
  <c r="AT80" i="148"/>
  <c r="AT51" i="148"/>
  <c r="AT100" i="148"/>
  <c r="AT45" i="148"/>
  <c r="AT7" i="148"/>
  <c r="AU89" i="148"/>
  <c r="AU25" i="148"/>
  <c r="AU177" i="148"/>
  <c r="AU24" i="148"/>
  <c r="AU170" i="148"/>
  <c r="AU150" i="148"/>
  <c r="AU81" i="148"/>
  <c r="AV207" i="148"/>
  <c r="AV205" i="148"/>
  <c r="AV208" i="148"/>
  <c r="AV147" i="148"/>
  <c r="AV54" i="148"/>
  <c r="AV160" i="148"/>
  <c r="AV145" i="148"/>
  <c r="AV153" i="148"/>
  <c r="AV127" i="148"/>
  <c r="AV88" i="148"/>
  <c r="AV52" i="148"/>
  <c r="AV45" i="148"/>
  <c r="AV7" i="148"/>
  <c r="AW166" i="148"/>
  <c r="AW126" i="148"/>
  <c r="AW163" i="148"/>
  <c r="AW79" i="148"/>
  <c r="AW24" i="148"/>
  <c r="AW172" i="148"/>
  <c r="AW35" i="148"/>
  <c r="AW207" i="148"/>
  <c r="AW110" i="148"/>
  <c r="AW208" i="148"/>
  <c r="AW38" i="148"/>
  <c r="AW11" i="148"/>
  <c r="AW160" i="148"/>
  <c r="AX38" i="148"/>
  <c r="AX11" i="148"/>
  <c r="L201" i="1"/>
  <c r="L110" i="1"/>
  <c r="L103" i="1"/>
  <c r="L105" i="1"/>
  <c r="L88" i="1"/>
  <c r="L82" i="1"/>
  <c r="L75" i="1"/>
  <c r="L138" i="1"/>
  <c r="L191" i="1"/>
  <c r="L62" i="1"/>
  <c r="L22" i="1"/>
  <c r="L26" i="1"/>
  <c r="L24" i="1"/>
  <c r="L121" i="1"/>
  <c r="L16" i="1"/>
  <c r="L72" i="1"/>
  <c r="G160" i="148"/>
  <c r="G145" i="148"/>
  <c r="G153" i="148"/>
  <c r="G127" i="148"/>
  <c r="G80" i="148"/>
  <c r="G51" i="148"/>
  <c r="G88" i="148"/>
  <c r="G162" i="148"/>
  <c r="G204" i="148"/>
  <c r="G166" i="148"/>
  <c r="G129" i="148"/>
  <c r="G163" i="148"/>
  <c r="G25" i="148"/>
  <c r="G87" i="148"/>
  <c r="G71" i="148"/>
  <c r="G177" i="148"/>
  <c r="G101" i="148"/>
  <c r="G170" i="148"/>
  <c r="G164" i="148"/>
  <c r="G150" i="148"/>
  <c r="G172" i="148"/>
  <c r="G157" i="148"/>
  <c r="G56" i="148"/>
  <c r="G41" i="148"/>
  <c r="G10" i="148"/>
  <c r="G207" i="148"/>
  <c r="G110" i="148"/>
  <c r="G205" i="148"/>
  <c r="G190" i="148"/>
  <c r="G208" i="148"/>
  <c r="G133" i="148"/>
  <c r="G54" i="148"/>
  <c r="G63" i="148"/>
  <c r="G49" i="148"/>
  <c r="E174" i="148"/>
  <c r="G190" i="1"/>
  <c r="G40" i="1"/>
  <c r="L108" i="1"/>
  <c r="G69" i="148"/>
  <c r="G67" i="1"/>
  <c r="G33" i="148"/>
  <c r="G32" i="1"/>
  <c r="G73" i="1"/>
  <c r="G26" i="148"/>
  <c r="G26" i="1"/>
  <c r="G39" i="148"/>
  <c r="G183" i="148"/>
  <c r="G195" i="1"/>
  <c r="G179" i="148"/>
  <c r="G127" i="1"/>
  <c r="G78" i="1"/>
  <c r="G77" i="148"/>
  <c r="G172" i="1"/>
  <c r="G98" i="1"/>
  <c r="L166" i="1"/>
  <c r="G187" i="1"/>
  <c r="G199" i="1"/>
  <c r="G58" i="148"/>
  <c r="G167" i="1"/>
  <c r="G114" i="1"/>
  <c r="L207" i="1"/>
  <c r="G22" i="1"/>
  <c r="G66" i="1"/>
  <c r="L43" i="1"/>
  <c r="G156" i="1"/>
  <c r="G71" i="1"/>
  <c r="G201" i="148"/>
  <c r="G47" i="1"/>
  <c r="G136" i="1"/>
  <c r="G91" i="148"/>
  <c r="G27" i="1"/>
  <c r="O73" i="148"/>
  <c r="G166" i="1"/>
  <c r="G151" i="1"/>
  <c r="AD116" i="148"/>
  <c r="AD75" i="148"/>
  <c r="AD31" i="148"/>
  <c r="AD26" i="148"/>
  <c r="BJ131" i="148"/>
  <c r="BF95" i="148"/>
  <c r="S118" i="148"/>
  <c r="S98" i="148"/>
  <c r="G63" i="1"/>
  <c r="G72" i="1"/>
  <c r="S154" i="148"/>
  <c r="S203" i="148"/>
  <c r="S78" i="148"/>
  <c r="S115" i="148"/>
  <c r="S148" i="148"/>
  <c r="S152" i="148"/>
  <c r="S151" i="148"/>
  <c r="S57" i="148"/>
  <c r="S193" i="148"/>
  <c r="S70" i="148"/>
  <c r="S92" i="148"/>
  <c r="S68" i="148"/>
  <c r="S16" i="148"/>
  <c r="S171" i="148"/>
  <c r="S206" i="148"/>
  <c r="S21" i="148"/>
  <c r="S110" i="148"/>
  <c r="S54" i="148"/>
  <c r="S83" i="148"/>
  <c r="S63" i="148"/>
  <c r="S138" i="148"/>
  <c r="S191" i="148"/>
  <c r="G189" i="1"/>
  <c r="G123" i="1"/>
  <c r="S91" i="148"/>
  <c r="S167" i="148"/>
  <c r="G163" i="1"/>
  <c r="S85" i="148"/>
  <c r="S130" i="148"/>
  <c r="S82" i="148"/>
  <c r="S37" i="148"/>
  <c r="S60" i="148"/>
  <c r="S22" i="148"/>
  <c r="S117" i="148"/>
  <c r="S3" i="148"/>
  <c r="S202" i="148"/>
  <c r="S112" i="148"/>
  <c r="S195" i="148"/>
  <c r="H12" i="2"/>
  <c r="G197" i="1"/>
  <c r="G31" i="1"/>
  <c r="G79" i="1"/>
  <c r="G102" i="1"/>
  <c r="G148" i="1"/>
  <c r="G56" i="1"/>
  <c r="G157" i="1"/>
  <c r="G93" i="1"/>
  <c r="G64" i="1"/>
  <c r="G68" i="1"/>
  <c r="G46" i="1"/>
  <c r="S189" i="148"/>
  <c r="S135" i="148"/>
  <c r="S161" i="148"/>
  <c r="S124" i="148"/>
  <c r="S168" i="148"/>
  <c r="S43" i="148"/>
  <c r="S90" i="148"/>
  <c r="S65" i="148"/>
  <c r="S169" i="148"/>
  <c r="S128" i="148"/>
  <c r="S36" i="148"/>
  <c r="S19" i="148"/>
  <c r="S14" i="148"/>
  <c r="S44" i="148"/>
  <c r="S42" i="148"/>
  <c r="G105" i="1"/>
  <c r="S187" i="148"/>
  <c r="G110" i="1"/>
  <c r="S192" i="148"/>
  <c r="S30" i="148"/>
  <c r="S94" i="148"/>
  <c r="G118" i="1"/>
  <c r="G147" i="1"/>
  <c r="S108" i="148"/>
  <c r="S66" i="148"/>
  <c r="S47" i="148"/>
  <c r="S165" i="148"/>
  <c r="S149" i="148"/>
  <c r="S136" i="148"/>
  <c r="S104" i="148"/>
  <c r="S181" i="148"/>
  <c r="S178" i="148"/>
  <c r="S142" i="148"/>
  <c r="S146" i="148"/>
  <c r="S109" i="148"/>
  <c r="S97" i="148"/>
  <c r="S96" i="148"/>
  <c r="S106" i="148"/>
  <c r="S125" i="148"/>
  <c r="S32" i="148"/>
  <c r="S18" i="148"/>
  <c r="S55" i="148"/>
  <c r="S6" i="148"/>
  <c r="S199" i="148"/>
  <c r="S182" i="148"/>
  <c r="S67" i="148"/>
  <c r="S176" i="148"/>
  <c r="S121" i="148"/>
  <c r="S173" i="148"/>
  <c r="S185" i="148"/>
  <c r="S86" i="148"/>
  <c r="S74" i="148"/>
  <c r="S188" i="148"/>
  <c r="S29" i="148"/>
  <c r="S13" i="148"/>
  <c r="S50" i="148"/>
  <c r="S9" i="148"/>
  <c r="S186" i="148"/>
  <c r="S155" i="148"/>
  <c r="G122" i="1"/>
  <c r="G82" i="1"/>
  <c r="S122" i="148"/>
  <c r="S143" i="148"/>
  <c r="G124" i="1"/>
  <c r="G146" i="1"/>
  <c r="G131" i="1"/>
  <c r="G130" i="1"/>
  <c r="G94" i="1"/>
  <c r="G179" i="1"/>
  <c r="S139" i="148"/>
  <c r="S61" i="148"/>
  <c r="G158" i="1"/>
  <c r="G61" i="1"/>
  <c r="G117" i="1"/>
  <c r="S64" i="148"/>
  <c r="S116" i="148"/>
  <c r="S75" i="148"/>
  <c r="G12" i="1"/>
  <c r="S4" i="148"/>
  <c r="G203" i="1"/>
  <c r="S160" i="148"/>
  <c r="S114" i="148"/>
  <c r="S95" i="148"/>
  <c r="S145" i="148"/>
  <c r="S153" i="148"/>
  <c r="S93" i="148"/>
  <c r="S111" i="148"/>
  <c r="S127" i="148"/>
  <c r="S80" i="148"/>
  <c r="S51" i="148"/>
  <c r="S88" i="148"/>
  <c r="S34" i="148"/>
  <c r="S100" i="148"/>
  <c r="S17" i="148"/>
  <c r="S52" i="148"/>
  <c r="S45" i="148"/>
  <c r="S7" i="148"/>
  <c r="G196" i="1"/>
  <c r="G96" i="1"/>
  <c r="G128" i="1"/>
  <c r="S194" i="148"/>
  <c r="S166" i="148"/>
  <c r="S89" i="148"/>
  <c r="S163" i="148"/>
  <c r="S207" i="148"/>
  <c r="S205" i="148"/>
  <c r="S190" i="148"/>
  <c r="S208" i="148"/>
  <c r="S119" i="148"/>
  <c r="S84" i="148"/>
  <c r="S133" i="148"/>
  <c r="S147" i="148"/>
  <c r="S113" i="148"/>
  <c r="S28" i="148"/>
  <c r="S38" i="148"/>
  <c r="S49" i="148"/>
  <c r="S11" i="148"/>
  <c r="S2" i="148"/>
  <c r="G198" i="1"/>
  <c r="G81" i="1"/>
  <c r="G161" i="1"/>
  <c r="G103" i="1"/>
  <c r="G111" i="1"/>
  <c r="G138" i="1"/>
  <c r="G35" i="1"/>
  <c r="G133" i="1"/>
  <c r="G86" i="1"/>
  <c r="G134" i="1"/>
  <c r="G101" i="1"/>
  <c r="G84" i="1"/>
  <c r="G28" i="1"/>
  <c r="G106" i="1"/>
  <c r="G97" i="1"/>
  <c r="G90" i="1"/>
  <c r="G112" i="1"/>
  <c r="G34" i="1"/>
  <c r="G109" i="1"/>
  <c r="G52" i="1"/>
  <c r="G45" i="1"/>
  <c r="G139" i="1"/>
  <c r="G4" i="1"/>
  <c r="S180" i="148"/>
  <c r="G135" i="1"/>
  <c r="S140" i="148"/>
  <c r="G57" i="1"/>
  <c r="S59" i="148"/>
  <c r="G121" i="1"/>
  <c r="S120" i="148"/>
  <c r="S132" i="148"/>
  <c r="S164" i="148"/>
  <c r="S150" i="148"/>
  <c r="S81" i="148"/>
  <c r="S200" i="148"/>
  <c r="S99" i="148"/>
  <c r="S141" i="148"/>
  <c r="BG143" i="148"/>
  <c r="AW114" i="148"/>
  <c r="AW145" i="148"/>
  <c r="AW153" i="148"/>
  <c r="AW127" i="148"/>
  <c r="AW17" i="148"/>
  <c r="AW45" i="148"/>
  <c r="AX95" i="148"/>
  <c r="BL38" i="148"/>
  <c r="L199" i="1"/>
  <c r="BC78" i="148"/>
  <c r="D27" i="1"/>
  <c r="L111" i="148"/>
  <c r="L127" i="148"/>
  <c r="L80" i="148"/>
  <c r="L51" i="148"/>
  <c r="L88" i="148"/>
  <c r="L34" i="148"/>
  <c r="L100" i="148"/>
  <c r="L52" i="148"/>
  <c r="L45" i="148"/>
  <c r="L194" i="148"/>
  <c r="L162" i="148"/>
  <c r="L204" i="148"/>
  <c r="L129" i="148"/>
  <c r="L126" i="148"/>
  <c r="L163" i="148"/>
  <c r="L25" i="148"/>
  <c r="L87" i="148"/>
  <c r="L71" i="148"/>
  <c r="L177" i="148"/>
  <c r="L79" i="148"/>
  <c r="L48" i="148"/>
  <c r="L101" i="148"/>
  <c r="N89" i="148"/>
  <c r="N25" i="148"/>
  <c r="N177" i="148"/>
  <c r="N79" i="148"/>
  <c r="N24" i="148"/>
  <c r="N197" i="148"/>
  <c r="N164" i="148"/>
  <c r="N105" i="148"/>
  <c r="N99" i="148"/>
  <c r="N10" i="148"/>
  <c r="N207" i="148"/>
  <c r="N110" i="148"/>
  <c r="N205" i="148"/>
  <c r="N190" i="148"/>
  <c r="N208" i="148"/>
  <c r="N119" i="148"/>
  <c r="N113" i="148"/>
  <c r="N83" i="148"/>
  <c r="N63" i="148"/>
  <c r="N49" i="148"/>
  <c r="N160" i="148"/>
  <c r="N114" i="148"/>
  <c r="N95" i="148"/>
  <c r="N145" i="148"/>
  <c r="N111" i="148"/>
  <c r="N88" i="148"/>
  <c r="N34" i="148"/>
  <c r="N45" i="148"/>
  <c r="O205" i="148"/>
  <c r="O119" i="148"/>
  <c r="O84" i="148"/>
  <c r="O133" i="148"/>
  <c r="O147" i="148"/>
  <c r="O113" i="148"/>
  <c r="O54" i="148"/>
  <c r="O83" i="148"/>
  <c r="O63" i="148"/>
  <c r="O49" i="148"/>
  <c r="O153" i="148"/>
  <c r="O93" i="148"/>
  <c r="O111" i="148"/>
  <c r="O127" i="148"/>
  <c r="O80" i="148"/>
  <c r="O51" i="148"/>
  <c r="O88" i="148"/>
  <c r="O34" i="148"/>
  <c r="O100" i="148"/>
  <c r="O52" i="148"/>
  <c r="O45" i="148"/>
  <c r="O194" i="148"/>
  <c r="O126" i="148"/>
  <c r="O163" i="148"/>
  <c r="O25" i="148"/>
  <c r="O87" i="148"/>
  <c r="O71" i="148"/>
  <c r="O177" i="148"/>
  <c r="O79" i="148"/>
  <c r="O48" i="148"/>
  <c r="O101" i="148"/>
  <c r="O170" i="148"/>
  <c r="O81" i="148"/>
  <c r="O200" i="148"/>
  <c r="O56" i="148"/>
  <c r="O105" i="148"/>
  <c r="O99" i="148"/>
  <c r="O141" i="148"/>
  <c r="O41" i="148"/>
  <c r="T110" i="148"/>
  <c r="T205" i="148"/>
  <c r="T190" i="148"/>
  <c r="T208" i="148"/>
  <c r="T119" i="148"/>
  <c r="T84" i="148"/>
  <c r="T133" i="148"/>
  <c r="T147" i="148"/>
  <c r="T113" i="148"/>
  <c r="T54" i="148"/>
  <c r="T83" i="148"/>
  <c r="T63" i="148"/>
  <c r="T49" i="148"/>
  <c r="T114" i="148"/>
  <c r="T95" i="148"/>
  <c r="T145" i="148"/>
  <c r="T153" i="148"/>
  <c r="T93" i="148"/>
  <c r="T111" i="148"/>
  <c r="T127" i="148"/>
  <c r="BA189" i="148"/>
  <c r="BF176" i="148"/>
  <c r="BC186" i="148"/>
  <c r="T80" i="148"/>
  <c r="T51" i="148"/>
  <c r="T88" i="148"/>
  <c r="T34" i="148"/>
  <c r="T100" i="148"/>
  <c r="T52" i="148"/>
  <c r="T45" i="148"/>
  <c r="T204" i="148"/>
  <c r="T166" i="148"/>
  <c r="T89" i="148"/>
  <c r="T129" i="148"/>
  <c r="T126" i="148"/>
  <c r="T163" i="148"/>
  <c r="T25" i="148"/>
  <c r="T87" i="148"/>
  <c r="T71" i="148"/>
  <c r="T177" i="148"/>
  <c r="T79" i="148"/>
  <c r="T48" i="148"/>
  <c r="T101" i="148"/>
  <c r="T164" i="148"/>
  <c r="T150" i="148"/>
  <c r="T172" i="148"/>
  <c r="T157" i="148"/>
  <c r="T81" i="148"/>
  <c r="T200" i="148"/>
  <c r="T56" i="148"/>
  <c r="T105" i="148"/>
  <c r="T99" i="148"/>
  <c r="T141" i="148"/>
  <c r="T41" i="148"/>
  <c r="U207" i="148"/>
  <c r="U110" i="148"/>
  <c r="U205" i="148"/>
  <c r="U190" i="148"/>
  <c r="U208" i="148"/>
  <c r="U119" i="148"/>
  <c r="U84" i="148"/>
  <c r="U133" i="148"/>
  <c r="U147" i="148"/>
  <c r="U54" i="148"/>
  <c r="U83" i="148"/>
  <c r="U28" i="148"/>
  <c r="U160" i="148"/>
  <c r="U114" i="148"/>
  <c r="U145" i="148"/>
  <c r="U153" i="148"/>
  <c r="U93" i="148"/>
  <c r="U111" i="148"/>
  <c r="U127" i="148"/>
  <c r="U80" i="148"/>
  <c r="U51" i="148"/>
  <c r="U88" i="148"/>
  <c r="U100" i="148"/>
  <c r="U52" i="148"/>
  <c r="U162" i="148"/>
  <c r="U204" i="148"/>
  <c r="U129" i="148"/>
  <c r="U126" i="148"/>
  <c r="U163" i="148"/>
  <c r="U25" i="148"/>
  <c r="U87" i="148"/>
  <c r="U71" i="148"/>
  <c r="U177" i="148"/>
  <c r="U79" i="148"/>
  <c r="U48" i="148"/>
  <c r="U101" i="148"/>
  <c r="U170" i="148"/>
  <c r="U197" i="148"/>
  <c r="U164" i="148"/>
  <c r="U150" i="148"/>
  <c r="U172" i="148"/>
  <c r="U157" i="148"/>
  <c r="U81" i="148"/>
  <c r="U200" i="148"/>
  <c r="U56" i="148"/>
  <c r="U105" i="148"/>
  <c r="U99" i="148"/>
  <c r="U41" i="148"/>
  <c r="Y194" i="148"/>
  <c r="Y162" i="148"/>
  <c r="Y204" i="148"/>
  <c r="Y166" i="148"/>
  <c r="Y89" i="148"/>
  <c r="Y129" i="148"/>
  <c r="Y126" i="148"/>
  <c r="Y163" i="148"/>
  <c r="Y25" i="148"/>
  <c r="Y87" i="148"/>
  <c r="Y71" i="148"/>
  <c r="Y177" i="148"/>
  <c r="Y79" i="148"/>
  <c r="Y48" i="148"/>
  <c r="Y101" i="148"/>
  <c r="Y170" i="148"/>
  <c r="Y197" i="148"/>
  <c r="Y164" i="148"/>
  <c r="Y150" i="148"/>
  <c r="Y172" i="148"/>
  <c r="Y157" i="148"/>
  <c r="Y81" i="148"/>
  <c r="Y200" i="148"/>
  <c r="Y56" i="148"/>
  <c r="Y105" i="148"/>
  <c r="Y99" i="148"/>
  <c r="Y141" i="148"/>
  <c r="Y41" i="148"/>
  <c r="Y20" i="148"/>
  <c r="Y110" i="148"/>
  <c r="Y205" i="148"/>
  <c r="Y190" i="148"/>
  <c r="Y208" i="148"/>
  <c r="Y119" i="148"/>
  <c r="Y84" i="148"/>
  <c r="Y133" i="148"/>
  <c r="Y147" i="148"/>
  <c r="Y113" i="148"/>
  <c r="Y54" i="148"/>
  <c r="Y83" i="148"/>
  <c r="Y63" i="148"/>
  <c r="Y28" i="148"/>
  <c r="Y49" i="148"/>
  <c r="Y160" i="148"/>
  <c r="Y114" i="148"/>
  <c r="Y95" i="148"/>
  <c r="Y145" i="148"/>
  <c r="Y153" i="148"/>
  <c r="Y93" i="148"/>
  <c r="Y111" i="148"/>
  <c r="Y127" i="148"/>
  <c r="Y80" i="148"/>
  <c r="Y51" i="148"/>
  <c r="Y88" i="148"/>
  <c r="Y34" i="148"/>
  <c r="Y100" i="148"/>
  <c r="Y52" i="148"/>
  <c r="Y45" i="148"/>
  <c r="AD162" i="148"/>
  <c r="AD129" i="148"/>
  <c r="AD87" i="148"/>
  <c r="AD101" i="148"/>
  <c r="AD56" i="148"/>
  <c r="AD207" i="148"/>
  <c r="AD110" i="148"/>
  <c r="AD119" i="148"/>
  <c r="AD54" i="148"/>
  <c r="AD95" i="148"/>
  <c r="AD51" i="148"/>
  <c r="AD88" i="148"/>
  <c r="AD52" i="148"/>
  <c r="AH170" i="148"/>
  <c r="AH197" i="148"/>
  <c r="AH150" i="148"/>
  <c r="AH81" i="148"/>
  <c r="AH200" i="148"/>
  <c r="AH99" i="148"/>
  <c r="AH141" i="148"/>
  <c r="AH41" i="148"/>
  <c r="AH207" i="148"/>
  <c r="AH110" i="148"/>
  <c r="AH84" i="148"/>
  <c r="AH133" i="148"/>
  <c r="AH113" i="148"/>
  <c r="AH54" i="148"/>
  <c r="AH83" i="148"/>
  <c r="AH63" i="148"/>
  <c r="AO111" i="148"/>
  <c r="AO127" i="148"/>
  <c r="AO80" i="148"/>
  <c r="AO51" i="148"/>
  <c r="AO88" i="148"/>
  <c r="AO34" i="148"/>
  <c r="AO100" i="148"/>
  <c r="AO17" i="148"/>
  <c r="AO52" i="148"/>
  <c r="AO45" i="148"/>
  <c r="AO194" i="148"/>
  <c r="AO162" i="148"/>
  <c r="AO204" i="148"/>
  <c r="AO166" i="148"/>
  <c r="AO89" i="148"/>
  <c r="AO129" i="148"/>
  <c r="AO126" i="148"/>
  <c r="AO163" i="148"/>
  <c r="AO25" i="148"/>
  <c r="AO87" i="148"/>
  <c r="AO71" i="148"/>
  <c r="AO177" i="148"/>
  <c r="AO79" i="148"/>
  <c r="AO24" i="148"/>
  <c r="AO48" i="148"/>
  <c r="AO101" i="148"/>
  <c r="AO170" i="148"/>
  <c r="AO197" i="148"/>
  <c r="AO164" i="148"/>
  <c r="AO150" i="148"/>
  <c r="AO172" i="148"/>
  <c r="AO157" i="148"/>
  <c r="AO81" i="148"/>
  <c r="AO200" i="148"/>
  <c r="AO56" i="148"/>
  <c r="AO105" i="148"/>
  <c r="AO99" i="148"/>
  <c r="AO141" i="148"/>
  <c r="AO41" i="148"/>
  <c r="AO35" i="148"/>
  <c r="AO15" i="148"/>
  <c r="AX150" i="148"/>
  <c r="AX15" i="148"/>
  <c r="AX20" i="148"/>
  <c r="AX10" i="148"/>
  <c r="AX40" i="148"/>
  <c r="G37" i="1"/>
  <c r="BJ141" i="148"/>
  <c r="AM7" i="148"/>
  <c r="AO10" i="148"/>
  <c r="AN5" i="148"/>
  <c r="AM2" i="148"/>
  <c r="AJ7" i="148"/>
  <c r="AO7" i="148"/>
  <c r="L66" i="1"/>
  <c r="G89" i="148"/>
  <c r="G114" i="148"/>
  <c r="L171" i="1"/>
  <c r="G48" i="1"/>
  <c r="D6" i="1"/>
  <c r="L139" i="1"/>
  <c r="BC160" i="148"/>
  <c r="BC181" i="148"/>
  <c r="L181" i="1"/>
  <c r="BD127" i="148"/>
  <c r="BG80" i="148"/>
  <c r="AB170" i="148"/>
  <c r="AB197" i="148"/>
  <c r="AB150" i="148"/>
  <c r="AB172" i="148"/>
  <c r="AB157" i="148"/>
  <c r="AB200" i="148"/>
  <c r="AB99" i="148"/>
  <c r="AB41" i="148"/>
  <c r="E207" i="148"/>
  <c r="E110" i="148"/>
  <c r="E205" i="148"/>
  <c r="E190" i="148"/>
  <c r="E208" i="148"/>
  <c r="E119" i="148"/>
  <c r="E84" i="148"/>
  <c r="E133" i="148"/>
  <c r="E147" i="148"/>
  <c r="E113" i="148"/>
  <c r="E54" i="148"/>
  <c r="E83" i="148"/>
  <c r="E63" i="148"/>
  <c r="E49" i="148"/>
  <c r="E160" i="148"/>
  <c r="E114" i="148"/>
  <c r="E95" i="148"/>
  <c r="E145" i="148"/>
  <c r="E153" i="148"/>
  <c r="E93" i="148"/>
  <c r="E111" i="148"/>
  <c r="E127" i="148"/>
  <c r="E80" i="148"/>
  <c r="E51" i="148"/>
  <c r="E52" i="148"/>
  <c r="E45" i="148"/>
  <c r="E194" i="148"/>
  <c r="E162" i="148"/>
  <c r="E204" i="148"/>
  <c r="E166" i="148"/>
  <c r="E89" i="148"/>
  <c r="E129" i="148"/>
  <c r="E126" i="148"/>
  <c r="E163" i="148"/>
  <c r="E25" i="148"/>
  <c r="E87" i="148"/>
  <c r="E71" i="148"/>
  <c r="E177" i="148"/>
  <c r="E79" i="148"/>
  <c r="E24" i="148"/>
  <c r="E48" i="148"/>
  <c r="E101" i="148"/>
  <c r="E170" i="148"/>
  <c r="E197" i="148"/>
  <c r="E164" i="148"/>
  <c r="E150" i="148"/>
  <c r="E172" i="148"/>
  <c r="E157" i="148"/>
  <c r="E81" i="148"/>
  <c r="E200" i="148"/>
  <c r="E56" i="148"/>
  <c r="E105" i="148"/>
  <c r="E99" i="148"/>
  <c r="E141" i="148"/>
  <c r="AS207" i="148"/>
  <c r="AS110" i="148"/>
  <c r="AS190" i="148"/>
  <c r="AC160" i="148"/>
  <c r="AC114" i="148"/>
  <c r="AC95" i="148"/>
  <c r="AC145" i="148"/>
  <c r="AC153" i="148"/>
  <c r="AC100" i="148"/>
  <c r="AF194" i="148"/>
  <c r="AF129" i="148"/>
  <c r="AG207" i="148"/>
  <c r="AG208" i="148"/>
  <c r="AG84" i="148"/>
  <c r="AG147" i="148"/>
  <c r="AG83" i="148"/>
  <c r="AG28" i="148"/>
  <c r="AI110" i="148"/>
  <c r="AI205" i="148"/>
  <c r="AI190" i="148"/>
  <c r="AI119" i="148"/>
  <c r="AI84" i="148"/>
  <c r="AI11" i="148"/>
  <c r="G195" i="148"/>
  <c r="G188" i="148"/>
  <c r="AF114" i="148"/>
  <c r="AF145" i="148"/>
  <c r="AF153" i="148"/>
  <c r="AF111" i="148"/>
  <c r="AF127" i="148"/>
  <c r="AF34" i="148"/>
  <c r="AG197" i="148"/>
  <c r="AG172" i="148"/>
  <c r="AG157" i="148"/>
  <c r="AG41" i="148"/>
  <c r="AH145" i="148"/>
  <c r="AH153" i="148"/>
  <c r="AH93" i="148"/>
  <c r="AH127" i="148"/>
  <c r="AH51" i="148"/>
  <c r="AH88" i="148"/>
  <c r="AH17" i="148"/>
  <c r="AH52" i="148"/>
  <c r="AH166" i="148"/>
  <c r="AH129" i="148"/>
  <c r="AH163" i="148"/>
  <c r="AH25" i="148"/>
  <c r="AH71" i="148"/>
  <c r="AH177" i="148"/>
  <c r="AH79" i="148"/>
  <c r="AH48" i="148"/>
  <c r="AH164" i="148"/>
  <c r="AH172" i="148"/>
  <c r="AH157" i="148"/>
  <c r="AH56" i="148"/>
  <c r="AH105" i="148"/>
  <c r="AH205" i="148"/>
  <c r="AH190" i="148"/>
  <c r="AH208" i="148"/>
  <c r="AH119" i="148"/>
  <c r="AH147" i="148"/>
  <c r="AH49" i="148"/>
  <c r="AI170" i="148"/>
  <c r="AI164" i="148"/>
  <c r="AI105" i="148"/>
  <c r="AJ145" i="148"/>
  <c r="AJ93" i="148"/>
  <c r="AJ111" i="148"/>
  <c r="AJ80" i="148"/>
  <c r="AJ51" i="148"/>
  <c r="AJ88" i="148"/>
  <c r="AJ34" i="148"/>
  <c r="AJ100" i="148"/>
  <c r="AJ17" i="148"/>
  <c r="AJ52" i="148"/>
  <c r="AJ45" i="148"/>
  <c r="AJ89" i="148"/>
  <c r="AJ129" i="148"/>
  <c r="AJ126" i="148"/>
  <c r="AJ163" i="148"/>
  <c r="AJ25" i="148"/>
  <c r="G89" i="1"/>
  <c r="G74" i="148"/>
  <c r="G174" i="1"/>
  <c r="D102" i="148"/>
  <c r="AJ87" i="148"/>
  <c r="AJ71" i="148"/>
  <c r="AJ177" i="148"/>
  <c r="AJ79" i="148"/>
  <c r="AJ24" i="148"/>
  <c r="AJ101" i="148"/>
  <c r="AJ150" i="148"/>
  <c r="AJ81" i="148"/>
  <c r="AJ200" i="148"/>
  <c r="AJ56" i="148"/>
  <c r="AJ99" i="148"/>
  <c r="AJ141" i="148"/>
  <c r="AJ41" i="148"/>
  <c r="AJ20" i="148"/>
  <c r="AJ208" i="148"/>
  <c r="AJ119" i="148"/>
  <c r="AJ84" i="148"/>
  <c r="AJ147" i="148"/>
  <c r="AJ113" i="148"/>
  <c r="AJ54" i="148"/>
  <c r="AJ83" i="148"/>
  <c r="AJ63" i="148"/>
  <c r="AJ38" i="148"/>
  <c r="AJ49" i="148"/>
  <c r="AJ11" i="148"/>
  <c r="AL194" i="148"/>
  <c r="AL204" i="148"/>
  <c r="AL89" i="148"/>
  <c r="AL129" i="148"/>
  <c r="AL126" i="148"/>
  <c r="AL71" i="148"/>
  <c r="AL177" i="148"/>
  <c r="AL79" i="148"/>
  <c r="AL48" i="148"/>
  <c r="AL81" i="148"/>
  <c r="AL99" i="148"/>
  <c r="AL15" i="148"/>
  <c r="AL10" i="148"/>
  <c r="AL208" i="148"/>
  <c r="AL113" i="148"/>
  <c r="AM71" i="148"/>
  <c r="AM79" i="148"/>
  <c r="AM56" i="148"/>
  <c r="AM10" i="148"/>
  <c r="AN204" i="148"/>
  <c r="AN89" i="148"/>
  <c r="AN177" i="148"/>
  <c r="AN172" i="148"/>
  <c r="AN105" i="148"/>
  <c r="AN41" i="148"/>
  <c r="AE84" i="148"/>
  <c r="AE54" i="148"/>
  <c r="AE63" i="148"/>
  <c r="AE38" i="148"/>
  <c r="AE11" i="148"/>
  <c r="AL83" i="148"/>
  <c r="AL49" i="148"/>
  <c r="AL11" i="148"/>
  <c r="AL2" i="148"/>
  <c r="AL145" i="148"/>
  <c r="AL93" i="148"/>
  <c r="AL17" i="148"/>
  <c r="AL45" i="148"/>
  <c r="AL7" i="148"/>
  <c r="AM113" i="148"/>
  <c r="AM63" i="148"/>
  <c r="BF117" i="148"/>
  <c r="BF191" i="148"/>
  <c r="BF156" i="148"/>
  <c r="BG181" i="148"/>
  <c r="AN15" i="148"/>
  <c r="AO38" i="148"/>
  <c r="AO11" i="148"/>
  <c r="AO2" i="148"/>
  <c r="AO5" i="148"/>
  <c r="AO20" i="148"/>
  <c r="AE164" i="148"/>
  <c r="AE157" i="148"/>
  <c r="AE105" i="148"/>
  <c r="AP111" i="148"/>
  <c r="AP34" i="148"/>
  <c r="AP87" i="148"/>
  <c r="AP71" i="148"/>
  <c r="AP24" i="148"/>
  <c r="AP5" i="148"/>
  <c r="AP20" i="148"/>
  <c r="AP84" i="148"/>
  <c r="AP63" i="148"/>
  <c r="AP11" i="148"/>
  <c r="AP2" i="148"/>
  <c r="AQ24" i="148"/>
  <c r="AQ5" i="148"/>
  <c r="AQ56" i="148"/>
  <c r="AQ20" i="148"/>
  <c r="AQ208" i="148"/>
  <c r="AQ54" i="148"/>
  <c r="AQ28" i="148"/>
  <c r="AQ11" i="148"/>
  <c r="AQ51" i="148"/>
  <c r="AQ52" i="148"/>
  <c r="AQ7" i="148"/>
  <c r="AR126" i="148"/>
  <c r="AR163" i="148"/>
  <c r="AR71" i="148"/>
  <c r="AR177" i="148"/>
  <c r="AR24" i="148"/>
  <c r="AR5" i="148"/>
  <c r="AR105" i="148"/>
  <c r="AR141" i="148"/>
  <c r="AR41" i="148"/>
  <c r="AR35" i="148"/>
  <c r="AR15" i="148"/>
  <c r="AR84" i="148"/>
  <c r="AR49" i="148"/>
  <c r="AR17" i="148"/>
  <c r="AR7" i="148"/>
  <c r="AT56" i="148"/>
  <c r="AT141" i="148"/>
  <c r="AT35" i="148"/>
  <c r="AT10" i="148"/>
  <c r="AT113" i="148"/>
  <c r="AT54" i="148"/>
  <c r="AT28" i="148"/>
  <c r="AT49" i="148"/>
  <c r="AT2" i="148"/>
  <c r="AT52" i="148"/>
  <c r="AU204" i="148"/>
  <c r="AU166" i="148"/>
  <c r="AU129" i="148"/>
  <c r="AU126" i="148"/>
  <c r="AU87" i="148"/>
  <c r="AU79" i="148"/>
  <c r="AU5" i="148"/>
  <c r="AU48" i="148"/>
  <c r="AU101" i="148"/>
  <c r="AU200" i="148"/>
  <c r="AU105" i="148"/>
  <c r="AU141" i="148"/>
  <c r="AU20" i="148"/>
  <c r="AV84" i="148"/>
  <c r="AV83" i="148"/>
  <c r="AV2" i="148"/>
  <c r="AV80" i="148"/>
  <c r="AV51" i="148"/>
  <c r="AV34" i="148"/>
  <c r="AV100" i="148"/>
  <c r="AV17" i="148"/>
  <c r="AW25" i="148"/>
  <c r="AW177" i="148"/>
  <c r="AW200" i="148"/>
  <c r="AW105" i="148"/>
  <c r="AW15" i="148"/>
  <c r="AW10" i="148"/>
  <c r="AX17" i="148"/>
  <c r="AX7" i="148"/>
  <c r="D3" i="1"/>
  <c r="D40" i="1"/>
  <c r="D4" i="1"/>
  <c r="G184" i="1"/>
  <c r="G182" i="1"/>
  <c r="G141" i="1"/>
  <c r="G76" i="1"/>
  <c r="G91" i="1"/>
  <c r="G115" i="1"/>
  <c r="G54" i="1"/>
  <c r="G200" i="1"/>
  <c r="G181" i="1"/>
  <c r="G132" i="1"/>
  <c r="G100" i="1"/>
  <c r="G160" i="1"/>
  <c r="G155" i="1"/>
  <c r="G87" i="1"/>
  <c r="G75" i="1"/>
  <c r="G191" i="1"/>
  <c r="G50" i="1"/>
  <c r="D9" i="1"/>
  <c r="G169" i="1"/>
  <c r="G92" i="1"/>
  <c r="G175" i="1"/>
  <c r="G19" i="1"/>
  <c r="G44" i="1"/>
  <c r="D7" i="1"/>
  <c r="D77" i="1"/>
  <c r="D5" i="1"/>
  <c r="D2" i="1"/>
  <c r="AD194" i="148"/>
  <c r="AD204" i="148"/>
  <c r="AD166" i="148"/>
  <c r="AD89" i="148"/>
  <c r="AD126" i="148"/>
  <c r="AD163" i="148"/>
  <c r="AD25" i="148"/>
  <c r="L67" i="1"/>
  <c r="BC43" i="148"/>
  <c r="BJ113" i="148"/>
  <c r="BF97" i="148"/>
  <c r="L157" i="1"/>
  <c r="BC87" i="148"/>
  <c r="BJ99" i="148"/>
  <c r="BF70" i="148"/>
  <c r="BF30" i="148"/>
  <c r="L77" i="1"/>
  <c r="BC64" i="148"/>
  <c r="BJ62" i="148"/>
  <c r="BF31" i="148"/>
  <c r="L10" i="1"/>
  <c r="BC50" i="148"/>
  <c r="BJ29" i="148"/>
  <c r="BF17" i="148"/>
  <c r="BJ23" i="148"/>
  <c r="BF11" i="148"/>
  <c r="L152" i="1"/>
  <c r="BC132" i="148"/>
  <c r="L113" i="1"/>
  <c r="L142" i="1"/>
  <c r="BA208" i="148"/>
  <c r="BC119" i="148"/>
  <c r="BJ157" i="148"/>
  <c r="BK142" i="148"/>
  <c r="BF102" i="148"/>
  <c r="BC57" i="148"/>
  <c r="BJ168" i="148"/>
  <c r="BF112" i="148"/>
  <c r="BC101" i="148"/>
  <c r="BJ146" i="148"/>
  <c r="BC173" i="148"/>
  <c r="BJ42" i="148"/>
  <c r="BF25" i="148"/>
  <c r="BC185" i="148"/>
  <c r="BJ180" i="148"/>
  <c r="BF169" i="148"/>
  <c r="BC54" i="148"/>
  <c r="BJ44" i="148"/>
  <c r="BF128" i="148"/>
  <c r="BC130" i="148"/>
  <c r="BJ48" i="148"/>
  <c r="BF36" i="148"/>
  <c r="BJ41" i="148"/>
  <c r="BD41" i="148"/>
  <c r="BF125" i="148"/>
  <c r="BC47" i="148"/>
  <c r="BJ68" i="148"/>
  <c r="AD71" i="148"/>
  <c r="AD177" i="148"/>
  <c r="AD79" i="148"/>
  <c r="AD48" i="148"/>
  <c r="AD170" i="148"/>
  <c r="AD197" i="148"/>
  <c r="AD164" i="148"/>
  <c r="AD150" i="148"/>
  <c r="AD172" i="148"/>
  <c r="AD157" i="148"/>
  <c r="AD81" i="148"/>
  <c r="AD200" i="148"/>
  <c r="AD105" i="148"/>
  <c r="AD99" i="148"/>
  <c r="AD141" i="148"/>
  <c r="AD41" i="148"/>
  <c r="AD15" i="148"/>
  <c r="AD205" i="148"/>
  <c r="AD190" i="148"/>
  <c r="AD208" i="148"/>
  <c r="AD84" i="148"/>
  <c r="AD133" i="148"/>
  <c r="AD147" i="148"/>
  <c r="AD113" i="148"/>
  <c r="AD83" i="148"/>
  <c r="AD63" i="148"/>
  <c r="AD49" i="148"/>
  <c r="AD160" i="148"/>
  <c r="AD114" i="148"/>
  <c r="AD145" i="148"/>
  <c r="AD153" i="148"/>
  <c r="AD93" i="148"/>
  <c r="AD111" i="148"/>
  <c r="AD127" i="148"/>
  <c r="AD80" i="148"/>
  <c r="AD34" i="148"/>
  <c r="AD17" i="148"/>
  <c r="AD45" i="148"/>
  <c r="AW119" i="148"/>
  <c r="AW2" i="148"/>
  <c r="AW7" i="148"/>
  <c r="AX24" i="148"/>
  <c r="AX157" i="148"/>
  <c r="AX35" i="148"/>
  <c r="AX116" i="148"/>
  <c r="AX75" i="148"/>
  <c r="G23" i="1"/>
  <c r="G8" i="1"/>
  <c r="G59" i="1"/>
  <c r="AX27" i="148"/>
  <c r="BJ24" i="148"/>
  <c r="BJ52" i="148"/>
  <c r="BJ31" i="148"/>
  <c r="BL153" i="148"/>
  <c r="BL149" i="148"/>
  <c r="BL194" i="148"/>
  <c r="BL91" i="148"/>
  <c r="BL61" i="148"/>
  <c r="BL125" i="148"/>
  <c r="BL63" i="148"/>
  <c r="BL46" i="148"/>
  <c r="BL148" i="148"/>
  <c r="BL33" i="148"/>
  <c r="BL186" i="148"/>
  <c r="BL179" i="148"/>
  <c r="BL119" i="148"/>
  <c r="BL102" i="148"/>
  <c r="BL171" i="148"/>
  <c r="BL75" i="148"/>
  <c r="BL45" i="148"/>
  <c r="BL57" i="148"/>
  <c r="BL39" i="148"/>
  <c r="T10" i="148"/>
  <c r="Y7" i="148"/>
  <c r="AH10" i="148"/>
  <c r="AJ5" i="148"/>
  <c r="AJ10" i="148"/>
  <c r="AJ2" i="148"/>
  <c r="G204" i="1"/>
  <c r="G150" i="1"/>
  <c r="G104" i="1"/>
  <c r="G65" i="1"/>
  <c r="G144" i="1"/>
  <c r="D178" i="148"/>
  <c r="D203" i="148"/>
  <c r="G62" i="1"/>
  <c r="G154" i="1"/>
  <c r="G48" i="148"/>
  <c r="G80" i="1"/>
  <c r="G119" i="148"/>
  <c r="AA2" i="148"/>
  <c r="G193" i="1"/>
  <c r="G162" i="1"/>
  <c r="G111" i="148"/>
  <c r="G178" i="1"/>
  <c r="G95" i="148"/>
  <c r="D125" i="148"/>
  <c r="G83" i="148"/>
  <c r="G105" i="148"/>
  <c r="G43" i="1"/>
  <c r="G100" i="148"/>
  <c r="G192" i="1"/>
  <c r="G202" i="1"/>
  <c r="G176" i="1"/>
  <c r="G125" i="1"/>
  <c r="D173" i="148"/>
  <c r="D55" i="148"/>
  <c r="D78" i="148"/>
  <c r="G49" i="1"/>
  <c r="D86" i="148"/>
  <c r="G51" i="1"/>
  <c r="G126" i="148"/>
  <c r="G36" i="1"/>
  <c r="G168" i="1"/>
  <c r="D199" i="148"/>
  <c r="G119" i="1"/>
  <c r="G141" i="148"/>
  <c r="G120" i="1"/>
  <c r="G88" i="1"/>
  <c r="G197" i="148"/>
  <c r="G25" i="1"/>
  <c r="G84" i="148"/>
  <c r="D57" i="148"/>
  <c r="G200" i="148"/>
  <c r="D188" i="148"/>
  <c r="G99" i="148"/>
  <c r="G113" i="148"/>
  <c r="G29" i="1"/>
  <c r="G126" i="1"/>
  <c r="G129" i="1"/>
  <c r="G149" i="1"/>
  <c r="G185" i="1"/>
  <c r="G113" i="1"/>
  <c r="G152" i="1"/>
  <c r="G42" i="1"/>
  <c r="G52" i="148"/>
  <c r="G116" i="1"/>
  <c r="G74" i="1"/>
  <c r="D193" i="148"/>
  <c r="G188" i="1"/>
  <c r="D68" i="1"/>
  <c r="G69" i="1"/>
  <c r="G206" i="1"/>
  <c r="G194" i="148"/>
  <c r="D90" i="148"/>
  <c r="G99" i="1"/>
  <c r="D142" i="148"/>
  <c r="G10" i="1"/>
  <c r="G77" i="1"/>
  <c r="G41" i="1"/>
  <c r="G45" i="148"/>
  <c r="G53" i="1"/>
  <c r="G147" i="148"/>
  <c r="U10" i="148"/>
  <c r="G140" i="1"/>
  <c r="G108" i="1"/>
  <c r="G170" i="1"/>
  <c r="G208" i="1"/>
  <c r="G173" i="1"/>
  <c r="G171" i="1"/>
  <c r="G142" i="1"/>
  <c r="G153" i="1"/>
  <c r="G164" i="1"/>
  <c r="G58" i="1"/>
  <c r="D152" i="148"/>
  <c r="G159" i="1"/>
  <c r="D181" i="148"/>
  <c r="G79" i="148"/>
  <c r="D92" i="148"/>
  <c r="G205" i="1"/>
  <c r="G143" i="1"/>
  <c r="G81" i="148"/>
  <c r="D76" i="148"/>
  <c r="G93" i="148"/>
  <c r="D74" i="148"/>
  <c r="G70" i="1"/>
  <c r="G207" i="1"/>
  <c r="D46" i="148"/>
  <c r="G145" i="1"/>
  <c r="G34" i="148"/>
  <c r="D169" i="148"/>
  <c r="G83" i="1"/>
  <c r="L10" i="148"/>
  <c r="G177" i="1"/>
  <c r="G165" i="1"/>
  <c r="AX2" i="148"/>
  <c r="AX5" i="148"/>
  <c r="G3" i="1"/>
  <c r="AL5" i="148"/>
  <c r="BL25" i="148"/>
  <c r="BK54" i="148"/>
  <c r="BJ34" i="148"/>
  <c r="BG49" i="148"/>
  <c r="BA194" i="148"/>
  <c r="BF143" i="148"/>
  <c r="BA117" i="148"/>
  <c r="BF136" i="148"/>
  <c r="L170" i="1"/>
  <c r="BG132" i="148"/>
  <c r="L204" i="1"/>
  <c r="BA67" i="148"/>
  <c r="BF150" i="148"/>
  <c r="L190" i="1"/>
  <c r="BC72" i="148"/>
  <c r="BA191" i="148"/>
  <c r="L178" i="1"/>
  <c r="BG192" i="148"/>
  <c r="BC178" i="148"/>
  <c r="BJ65" i="148"/>
  <c r="BA156" i="148"/>
  <c r="BJ144" i="148"/>
  <c r="BA102" i="148"/>
  <c r="BF93" i="148"/>
  <c r="BG57" i="148"/>
  <c r="BJ76" i="148"/>
  <c r="BA112" i="148"/>
  <c r="BF81" i="148"/>
  <c r="BG101" i="148"/>
  <c r="BC91" i="148"/>
  <c r="BA90" i="148"/>
  <c r="BF111" i="148"/>
  <c r="BG173" i="148"/>
  <c r="BF113" i="148"/>
  <c r="BC105" i="148"/>
  <c r="BJ97" i="148"/>
  <c r="BA169" i="148"/>
  <c r="BF99" i="148"/>
  <c r="BG54" i="148"/>
  <c r="BC96" i="148"/>
  <c r="BJ70" i="148"/>
  <c r="BG130" i="148"/>
  <c r="BC74" i="148"/>
  <c r="BJ94" i="148"/>
  <c r="BC188" i="148"/>
  <c r="BJ30" i="148"/>
  <c r="BA125" i="148"/>
  <c r="BF62" i="148"/>
  <c r="BG47" i="148"/>
  <c r="BJ17" i="148"/>
  <c r="BC189" i="148"/>
  <c r="BJ202" i="148"/>
  <c r="BD202" i="148"/>
  <c r="BK196" i="148"/>
  <c r="BD196" i="148"/>
  <c r="BK149" i="148"/>
  <c r="BJ171" i="148"/>
  <c r="BF104" i="148"/>
  <c r="BD149" i="148"/>
  <c r="BA143" i="148"/>
  <c r="BF154" i="148"/>
  <c r="BA154" i="148"/>
  <c r="BI160" i="148"/>
  <c r="L168" i="1"/>
  <c r="BG184" i="148"/>
  <c r="L187" i="1"/>
  <c r="BG135" i="148"/>
  <c r="BC135" i="148"/>
  <c r="BJ199" i="148"/>
  <c r="BD199" i="148"/>
  <c r="BK197" i="148"/>
  <c r="BD197" i="148"/>
  <c r="BA136" i="148"/>
  <c r="BF162" i="148"/>
  <c r="L124" i="1"/>
  <c r="BG203" i="148"/>
  <c r="L203" i="1"/>
  <c r="BC114" i="148"/>
  <c r="BJ205" i="148"/>
  <c r="BD205" i="148"/>
  <c r="BK182" i="148"/>
  <c r="BD164" i="148"/>
  <c r="BA104" i="148"/>
  <c r="BF204" i="148"/>
  <c r="L146" i="1"/>
  <c r="BG78" i="148"/>
  <c r="L79" i="1"/>
  <c r="BC95" i="148"/>
  <c r="BJ161" i="148"/>
  <c r="BD161" i="148"/>
  <c r="BK190" i="148"/>
  <c r="BD134" i="148"/>
  <c r="BA150" i="148"/>
  <c r="BF187" i="148"/>
  <c r="L184" i="1"/>
  <c r="BG72" i="148"/>
  <c r="L71" i="1"/>
  <c r="BC166" i="148"/>
  <c r="BJ145" i="148"/>
  <c r="BD145" i="148"/>
  <c r="BK124" i="148"/>
  <c r="BD208" i="148"/>
  <c r="BA176" i="148"/>
  <c r="BF172" i="148"/>
  <c r="L195" i="1"/>
  <c r="BG178" i="148"/>
  <c r="L182" i="1"/>
  <c r="BC89" i="148"/>
  <c r="BJ118" i="148"/>
  <c r="BD118" i="148"/>
  <c r="BK195" i="148"/>
  <c r="BK153" i="148"/>
  <c r="BA77" i="148"/>
  <c r="BF206" i="148"/>
  <c r="L133" i="1"/>
  <c r="BG186" i="148"/>
  <c r="L189" i="1"/>
  <c r="BC121" i="148"/>
  <c r="BJ142" i="148"/>
  <c r="BD142" i="148"/>
  <c r="BK129" i="148"/>
  <c r="BD129" i="148"/>
  <c r="BK98" i="148"/>
  <c r="BF66" i="148"/>
  <c r="BA66" i="148"/>
  <c r="L56" i="1"/>
  <c r="BG55" i="148"/>
  <c r="L54" i="1"/>
  <c r="BC201" i="148"/>
  <c r="BJ163" i="148"/>
  <c r="BD163" i="148"/>
  <c r="BK122" i="148"/>
  <c r="BD58" i="148"/>
  <c r="BA81" i="148"/>
  <c r="BF80" i="148"/>
  <c r="L202" i="1"/>
  <c r="L200" i="1"/>
  <c r="L205" i="1"/>
  <c r="L169" i="1"/>
  <c r="BC190" i="148"/>
  <c r="L140" i="1"/>
  <c r="L130" i="1"/>
  <c r="BC195" i="148"/>
  <c r="L141" i="1"/>
  <c r="L159" i="1"/>
  <c r="BC122" i="148"/>
  <c r="BF147" i="148"/>
  <c r="L128" i="1"/>
  <c r="BC174" i="148"/>
  <c r="BJ111" i="148"/>
  <c r="BF56" i="148"/>
  <c r="L87" i="1"/>
  <c r="BC71" i="148"/>
  <c r="BJ83" i="148"/>
  <c r="BA48" i="148"/>
  <c r="BF94" i="148"/>
  <c r="L154" i="1"/>
  <c r="BC123" i="148"/>
  <c r="BJ154" i="148"/>
  <c r="D176" i="148"/>
  <c r="D121" i="148"/>
  <c r="D195" i="148"/>
  <c r="K71" i="148"/>
  <c r="K177" i="148"/>
  <c r="K79" i="148"/>
  <c r="BA159" i="148"/>
  <c r="BF202" i="148"/>
  <c r="L176" i="1"/>
  <c r="BF199" i="148"/>
  <c r="BA199" i="148"/>
  <c r="L156" i="1"/>
  <c r="BF205" i="148"/>
  <c r="L137" i="1"/>
  <c r="BF161" i="148"/>
  <c r="L104" i="1"/>
  <c r="BJ187" i="148"/>
  <c r="BA115" i="148"/>
  <c r="BF145" i="148"/>
  <c r="BA145" i="148"/>
  <c r="L180" i="1"/>
  <c r="L129" i="1"/>
  <c r="BJ172" i="148"/>
  <c r="BF118" i="148"/>
  <c r="L150" i="1"/>
  <c r="BG195" i="148"/>
  <c r="BJ206" i="148"/>
  <c r="BF142" i="148"/>
  <c r="BA200" i="148"/>
  <c r="L161" i="1"/>
  <c r="L119" i="1"/>
  <c r="BJ66" i="148"/>
  <c r="BF163" i="148"/>
  <c r="BA84" i="148"/>
  <c r="L86" i="1"/>
  <c r="L123" i="1"/>
  <c r="BC112" i="148"/>
  <c r="BJ80" i="148"/>
  <c r="BA147" i="148"/>
  <c r="BF126" i="148"/>
  <c r="L57" i="1"/>
  <c r="BG174" i="148"/>
  <c r="BC152" i="148"/>
  <c r="BJ151" i="148"/>
  <c r="BD151" i="148"/>
  <c r="L114" i="1"/>
  <c r="BG43" i="148"/>
  <c r="D188" i="1"/>
  <c r="L83" i="1"/>
  <c r="BE88" i="148"/>
  <c r="D116" i="1"/>
  <c r="D122" i="1"/>
  <c r="BM33" i="148"/>
  <c r="BJ33" i="148"/>
  <c r="D85" i="1"/>
  <c r="BK188" i="148"/>
  <c r="BA49" i="148"/>
  <c r="D26" i="1"/>
  <c r="BA17" i="148"/>
  <c r="BF21" i="148"/>
  <c r="L21" i="1"/>
  <c r="L38" i="1"/>
  <c r="BG13" i="148"/>
  <c r="BC13" i="148"/>
  <c r="BC14" i="148"/>
  <c r="BJ12" i="148"/>
  <c r="BA11" i="148"/>
  <c r="L20" i="1"/>
  <c r="L107" i="1"/>
  <c r="BC60" i="148"/>
  <c r="BC5" i="148"/>
  <c r="BF138" i="148"/>
  <c r="BG204" i="148"/>
  <c r="BJ140" i="148"/>
  <c r="BF109" i="148"/>
  <c r="BJ181" i="148"/>
  <c r="BF175" i="148"/>
  <c r="BJ192" i="148"/>
  <c r="BF148" i="148"/>
  <c r="BJ119" i="148"/>
  <c r="BF200" i="148"/>
  <c r="BF84" i="148"/>
  <c r="BC80" i="148"/>
  <c r="BJ101" i="148"/>
  <c r="BF61" i="148"/>
  <c r="BJ173" i="148"/>
  <c r="BF108" i="148"/>
  <c r="BA28" i="148"/>
  <c r="BI202" i="148"/>
  <c r="BG170" i="148"/>
  <c r="BD154" i="148"/>
  <c r="BK171" i="148"/>
  <c r="BK65" i="148"/>
  <c r="BK144" i="148"/>
  <c r="BG200" i="148"/>
  <c r="BK55" i="148"/>
  <c r="BD201" i="148"/>
  <c r="BA168" i="148"/>
  <c r="BK76" i="148"/>
  <c r="BD80" i="148"/>
  <c r="BK91" i="148"/>
  <c r="BA146" i="148"/>
  <c r="BG61" i="148"/>
  <c r="L179" i="1"/>
  <c r="BK173" i="148"/>
  <c r="BK46" i="148"/>
  <c r="BD46" i="148"/>
  <c r="BA42" i="148"/>
  <c r="BA56" i="148"/>
  <c r="BF69" i="148"/>
  <c r="BI108" i="148"/>
  <c r="BG108" i="148"/>
  <c r="L42" i="1"/>
  <c r="BC133" i="148"/>
  <c r="AZ113" i="148"/>
  <c r="D101" i="1"/>
  <c r="BM155" i="148"/>
  <c r="BJ155" i="148"/>
  <c r="BD155" i="148"/>
  <c r="D163" i="1"/>
  <c r="BK185" i="148"/>
  <c r="BK105" i="148"/>
  <c r="BD105" i="148"/>
  <c r="BD103" i="148"/>
  <c r="D105" i="1"/>
  <c r="BA180" i="148"/>
  <c r="D158" i="1"/>
  <c r="BK97" i="148"/>
  <c r="BA97" i="148"/>
  <c r="D91" i="1"/>
  <c r="BF193" i="148"/>
  <c r="D157" i="1"/>
  <c r="BI53" i="148"/>
  <c r="BG53" i="148"/>
  <c r="D55" i="1"/>
  <c r="L55" i="1"/>
  <c r="BI87" i="148"/>
  <c r="BG87" i="148"/>
  <c r="D83" i="1"/>
  <c r="BC51" i="148"/>
  <c r="D51" i="1"/>
  <c r="D175" i="1"/>
  <c r="AZ99" i="148"/>
  <c r="D111" i="1"/>
  <c r="BM73" i="148"/>
  <c r="BJ73" i="148"/>
  <c r="BD73" i="148"/>
  <c r="D73" i="1"/>
  <c r="BK96" i="148"/>
  <c r="BD96" i="148"/>
  <c r="D88" i="1"/>
  <c r="BA44" i="148"/>
  <c r="D44" i="1"/>
  <c r="BK70" i="148"/>
  <c r="BA70" i="148"/>
  <c r="D70" i="1"/>
  <c r="BF86" i="148"/>
  <c r="BI59" i="148"/>
  <c r="BG59" i="148"/>
  <c r="BA59" i="148"/>
  <c r="L61" i="1"/>
  <c r="BI71" i="148"/>
  <c r="BG71" i="148"/>
  <c r="BC88" i="148"/>
  <c r="AZ83" i="148"/>
  <c r="BM183" i="148"/>
  <c r="BJ183" i="148"/>
  <c r="BD183" i="148"/>
  <c r="BK130" i="148"/>
  <c r="BE130" i="148"/>
  <c r="BD130" i="148"/>
  <c r="BK74" i="148"/>
  <c r="BD74" i="148"/>
  <c r="D75" i="1"/>
  <c r="BK94" i="148"/>
  <c r="BE94" i="148"/>
  <c r="BA94" i="148"/>
  <c r="BF177" i="148"/>
  <c r="BG45" i="148"/>
  <c r="L45" i="1"/>
  <c r="BI123" i="148"/>
  <c r="BG123" i="148"/>
  <c r="L117" i="1"/>
  <c r="BE92" i="148"/>
  <c r="BC92" i="148"/>
  <c r="D36" i="1"/>
  <c r="AZ34" i="148"/>
  <c r="BD33" i="148"/>
  <c r="BK82" i="148"/>
  <c r="BE82" i="148"/>
  <c r="BD82" i="148"/>
  <c r="BD188" i="148"/>
  <c r="BA41" i="148"/>
  <c r="D41" i="1"/>
  <c r="BK30" i="148"/>
  <c r="BE30" i="148"/>
  <c r="BA30" i="148"/>
  <c r="BF79" i="148"/>
  <c r="BI49" i="148"/>
  <c r="D49" i="1"/>
  <c r="L49" i="1"/>
  <c r="BI64" i="148"/>
  <c r="BG64" i="148"/>
  <c r="D63" i="1"/>
  <c r="L63" i="1"/>
  <c r="BE52" i="148"/>
  <c r="BC52" i="148"/>
  <c r="AZ62" i="148"/>
  <c r="BF53" i="148"/>
  <c r="BJ54" i="148"/>
  <c r="BF59" i="148"/>
  <c r="BJ130" i="148"/>
  <c r="BF45" i="148"/>
  <c r="BJ82" i="148"/>
  <c r="BF49" i="148"/>
  <c r="BJ47" i="148"/>
  <c r="BK10" i="148"/>
  <c r="BF19" i="148"/>
  <c r="BF131" i="148"/>
  <c r="BJ114" i="148"/>
  <c r="BJ95" i="148"/>
  <c r="BJ166" i="148"/>
  <c r="BJ100" i="148"/>
  <c r="BD100" i="148"/>
  <c r="D109" i="1"/>
  <c r="D47" i="1"/>
  <c r="BK22" i="148"/>
  <c r="BD26" i="148"/>
  <c r="BA39" i="148"/>
  <c r="BE31" i="148"/>
  <c r="BA31" i="148"/>
  <c r="D33" i="1"/>
  <c r="BF10" i="148"/>
  <c r="BG19" i="148"/>
  <c r="D19" i="1"/>
  <c r="L19" i="1"/>
  <c r="BG50" i="148"/>
  <c r="BE50" i="148"/>
  <c r="D50" i="1"/>
  <c r="L50" i="1"/>
  <c r="BG28" i="148"/>
  <c r="BC28" i="148"/>
  <c r="BG37" i="148"/>
  <c r="BC37" i="148"/>
  <c r="D37" i="1"/>
  <c r="D29" i="1"/>
  <c r="BJ35" i="148"/>
  <c r="BD35" i="148"/>
  <c r="D35" i="1"/>
  <c r="BD32" i="148"/>
  <c r="D30" i="1"/>
  <c r="BK24" i="148"/>
  <c r="BD24" i="148"/>
  <c r="BK116" i="148"/>
  <c r="BD116" i="148"/>
  <c r="D121" i="1"/>
  <c r="BK68" i="148"/>
  <c r="BA68" i="148"/>
  <c r="D17" i="1"/>
  <c r="BA21" i="148"/>
  <c r="D21" i="1"/>
  <c r="BI38" i="148"/>
  <c r="BG38" i="148"/>
  <c r="BA38" i="148"/>
  <c r="D38" i="1"/>
  <c r="BI13" i="148"/>
  <c r="D14" i="1"/>
  <c r="L14" i="1"/>
  <c r="BG14" i="148"/>
  <c r="D13" i="1"/>
  <c r="BG15" i="148"/>
  <c r="D15" i="1"/>
  <c r="D23" i="1"/>
  <c r="BD12" i="148"/>
  <c r="D12" i="1"/>
  <c r="BD18" i="148"/>
  <c r="BK16" i="148"/>
  <c r="BD16" i="148"/>
  <c r="BK75" i="148"/>
  <c r="BD75" i="148"/>
  <c r="D72" i="1"/>
  <c r="BK8" i="148"/>
  <c r="BA8" i="148"/>
  <c r="D8" i="1"/>
  <c r="BK11" i="148"/>
  <c r="D11" i="1"/>
  <c r="BA20" i="148"/>
  <c r="D20" i="1"/>
  <c r="BG106" i="148"/>
  <c r="BA106" i="148"/>
  <c r="D107" i="1"/>
  <c r="BI60" i="148"/>
  <c r="D59" i="1"/>
  <c r="L59" i="1"/>
  <c r="BG5" i="148"/>
  <c r="D24" i="1"/>
  <c r="AZ202" i="148"/>
  <c r="BM170" i="148"/>
  <c r="BI184" i="148"/>
  <c r="BM148" i="148"/>
  <c r="D32" i="1"/>
  <c r="D117" i="1"/>
  <c r="D34" i="1"/>
  <c r="D74" i="1"/>
  <c r="D82" i="1"/>
  <c r="D10" i="1"/>
  <c r="D45" i="1"/>
  <c r="D22" i="1"/>
  <c r="D52" i="1"/>
  <c r="D186" i="1"/>
  <c r="D28" i="1"/>
  <c r="D48" i="1"/>
  <c r="D16" i="1"/>
  <c r="D115" i="1"/>
  <c r="D31" i="1"/>
  <c r="D98" i="1"/>
  <c r="D138" i="1"/>
  <c r="D84" i="1"/>
  <c r="D61" i="1"/>
  <c r="D191" i="1"/>
  <c r="D18" i="1"/>
  <c r="D103" i="1"/>
  <c r="L197" i="1"/>
  <c r="BC194" i="148"/>
  <c r="BD160" i="148"/>
  <c r="L198" i="1"/>
  <c r="BC117" i="148"/>
  <c r="L185" i="1"/>
  <c r="BC165" i="148"/>
  <c r="L193" i="1"/>
  <c r="BC67" i="148"/>
  <c r="BC191" i="148"/>
  <c r="L160" i="1"/>
  <c r="BC156" i="148"/>
  <c r="BC102" i="148"/>
  <c r="BA163" i="148"/>
  <c r="BA126" i="148"/>
  <c r="BG152" i="148"/>
  <c r="BC90" i="148"/>
  <c r="BD173" i="148"/>
  <c r="BK179" i="148"/>
  <c r="BA69" i="148"/>
  <c r="BG133" i="148"/>
  <c r="BC25" i="148"/>
  <c r="BD185" i="148"/>
  <c r="BK103" i="148"/>
  <c r="BA193" i="148"/>
  <c r="BG51" i="148"/>
  <c r="BC169" i="148"/>
  <c r="BD54" i="148"/>
  <c r="BK85" i="148"/>
  <c r="BA86" i="148"/>
  <c r="BG88" i="148"/>
  <c r="BC128" i="148"/>
  <c r="BK141" i="148"/>
  <c r="BA177" i="148"/>
  <c r="BG92" i="148"/>
  <c r="BC36" i="148"/>
  <c r="BK63" i="148"/>
  <c r="BA79" i="148"/>
  <c r="BG52" i="148"/>
  <c r="BC125" i="148"/>
  <c r="BD47" i="148"/>
  <c r="BK31" i="148"/>
  <c r="BA10" i="148"/>
  <c r="BA19" i="148"/>
  <c r="D87" i="1"/>
  <c r="D93" i="1"/>
  <c r="D89" i="1"/>
  <c r="D53" i="1"/>
  <c r="D62" i="1"/>
  <c r="D64" i="1"/>
  <c r="D39" i="1"/>
  <c r="BJ208" i="148"/>
  <c r="BF159" i="148"/>
  <c r="BC170" i="148"/>
  <c r="BC131" i="148"/>
  <c r="BG182" i="148"/>
  <c r="BC182" i="148"/>
  <c r="BJ176" i="148"/>
  <c r="BD189" i="148"/>
  <c r="BD207" i="148"/>
  <c r="BK159" i="148"/>
  <c r="BD159" i="148"/>
  <c r="BA170" i="148"/>
  <c r="BI196" i="148"/>
  <c r="BF196" i="148"/>
  <c r="BA196" i="148"/>
  <c r="BA149" i="148"/>
  <c r="L153" i="1"/>
  <c r="BG194" i="148"/>
  <c r="L196" i="1"/>
  <c r="AZ143" i="148"/>
  <c r="BG154" i="148"/>
  <c r="BC154" i="148"/>
  <c r="BJ184" i="148"/>
  <c r="BK110" i="148"/>
  <c r="BD110" i="148"/>
  <c r="BK137" i="148"/>
  <c r="BF197" i="148"/>
  <c r="BA131" i="148"/>
  <c r="L118" i="1"/>
  <c r="BG117" i="148"/>
  <c r="L127" i="1"/>
  <c r="BG136" i="148"/>
  <c r="BC136" i="148"/>
  <c r="BG162" i="148"/>
  <c r="BJ203" i="148"/>
  <c r="BD114" i="148"/>
  <c r="BD198" i="148"/>
  <c r="BD171" i="148"/>
  <c r="BK205" i="148"/>
  <c r="BK138" i="148"/>
  <c r="BA138" i="148"/>
  <c r="BF182" i="148"/>
  <c r="BA182" i="148"/>
  <c r="BG165" i="148"/>
  <c r="L172" i="1"/>
  <c r="BJ78" i="148"/>
  <c r="BD78" i="148"/>
  <c r="BK139" i="148"/>
  <c r="BD139" i="148"/>
  <c r="BK161" i="148"/>
  <c r="BK109" i="148"/>
  <c r="BA109" i="148"/>
  <c r="BF190" i="148"/>
  <c r="BA134" i="148"/>
  <c r="L151" i="1"/>
  <c r="BG67" i="148"/>
  <c r="L69" i="1"/>
  <c r="BG150" i="148"/>
  <c r="BC150" i="148"/>
  <c r="BG187" i="148"/>
  <c r="BJ72" i="148"/>
  <c r="BD166" i="148"/>
  <c r="BD120" i="148"/>
  <c r="BK115" i="148"/>
  <c r="BK175" i="148"/>
  <c r="BF124" i="148"/>
  <c r="BA124" i="148"/>
  <c r="L208" i="1"/>
  <c r="L194" i="1"/>
  <c r="BG176" i="148"/>
  <c r="BC176" i="148"/>
  <c r="BG172" i="148"/>
  <c r="BC172" i="148"/>
  <c r="BJ178" i="148"/>
  <c r="BD65" i="148"/>
  <c r="BA148" i="148"/>
  <c r="BF195" i="148"/>
  <c r="BA153" i="148"/>
  <c r="L143" i="1"/>
  <c r="BG156" i="148"/>
  <c r="L164" i="1"/>
  <c r="BG77" i="148"/>
  <c r="BC77" i="148"/>
  <c r="BG206" i="148"/>
  <c r="BC206" i="148"/>
  <c r="BD186" i="148"/>
  <c r="BD121" i="148"/>
  <c r="BD157" i="148"/>
  <c r="BD144" i="148"/>
  <c r="BF129" i="148"/>
  <c r="BA129" i="148"/>
  <c r="BA98" i="148"/>
  <c r="L94" i="1"/>
  <c r="BG102" i="148"/>
  <c r="BG93" i="148"/>
  <c r="BC93" i="148"/>
  <c r="BC66" i="148"/>
  <c r="BD168" i="148"/>
  <c r="BD76" i="148"/>
  <c r="BF122" i="148"/>
  <c r="BA122" i="148"/>
  <c r="BA58" i="148"/>
  <c r="L60" i="1"/>
  <c r="BG112" i="148"/>
  <c r="L100" i="1"/>
  <c r="BG81" i="148"/>
  <c r="BC81" i="148"/>
  <c r="BJ91" i="148"/>
  <c r="BD107" i="148"/>
  <c r="BD146" i="148"/>
  <c r="BK147" i="148"/>
  <c r="BD147" i="148"/>
  <c r="BK126" i="148"/>
  <c r="BK61" i="148"/>
  <c r="BI61" i="148"/>
  <c r="BA61" i="148"/>
  <c r="L99" i="1"/>
  <c r="BG91" i="148"/>
  <c r="L95" i="1"/>
  <c r="BC107" i="148"/>
  <c r="BJ126" i="148"/>
  <c r="BD126" i="148"/>
  <c r="BK174" i="148"/>
  <c r="BA111" i="148"/>
  <c r="BF151" i="148"/>
  <c r="BA151" i="148"/>
  <c r="BG46" i="148"/>
  <c r="L46" i="1"/>
  <c r="BG179" i="148"/>
  <c r="BC179" i="148"/>
  <c r="BJ69" i="148"/>
  <c r="BD69" i="148"/>
  <c r="BK43" i="148"/>
  <c r="BK133" i="148"/>
  <c r="BA113" i="148"/>
  <c r="BF155" i="148"/>
  <c r="BA155" i="148"/>
  <c r="BG105" i="148"/>
  <c r="BG103" i="148"/>
  <c r="BC103" i="148"/>
  <c r="BJ193" i="148"/>
  <c r="BD193" i="148"/>
  <c r="BK87" i="148"/>
  <c r="BK51" i="148"/>
  <c r="BA99" i="148"/>
  <c r="BF73" i="148"/>
  <c r="BA73" i="148"/>
  <c r="BG96" i="148"/>
  <c r="BG85" i="148"/>
  <c r="BC85" i="148"/>
  <c r="BJ86" i="148"/>
  <c r="BD86" i="148"/>
  <c r="BK71" i="148"/>
  <c r="BK88" i="148"/>
  <c r="BA83" i="148"/>
  <c r="BF183" i="148"/>
  <c r="BA183" i="148"/>
  <c r="BG74" i="148"/>
  <c r="BG141" i="148"/>
  <c r="BC141" i="148"/>
  <c r="BJ177" i="148"/>
  <c r="BD177" i="148"/>
  <c r="BK123" i="148"/>
  <c r="BK92" i="148"/>
  <c r="BA34" i="148"/>
  <c r="BG188" i="148"/>
  <c r="BG63" i="148"/>
  <c r="BC63" i="148"/>
  <c r="BJ79" i="148"/>
  <c r="BD79" i="148"/>
  <c r="BF100" i="148"/>
  <c r="BJ10" i="148"/>
  <c r="BF35" i="148"/>
  <c r="BJ21" i="148"/>
  <c r="BF12" i="148"/>
  <c r="BJ20" i="148"/>
  <c r="BJ6" i="148"/>
  <c r="H56" i="148"/>
  <c r="H105" i="148"/>
  <c r="H41" i="148"/>
  <c r="H35" i="148"/>
  <c r="H15" i="148"/>
  <c r="H10" i="148"/>
  <c r="K24" i="148"/>
  <c r="K5" i="148"/>
  <c r="K48" i="148"/>
  <c r="K101" i="148"/>
  <c r="BF168" i="148"/>
  <c r="BI174" i="148"/>
  <c r="BF174" i="148"/>
  <c r="BA152" i="148"/>
  <c r="BG90" i="148"/>
  <c r="BC111" i="148"/>
  <c r="AZ111" i="148"/>
  <c r="BC151" i="148"/>
  <c r="BJ46" i="148"/>
  <c r="BD179" i="148"/>
  <c r="BK42" i="148"/>
  <c r="BD42" i="148"/>
  <c r="BK56" i="148"/>
  <c r="BK69" i="148"/>
  <c r="BK108" i="148"/>
  <c r="BA108" i="148"/>
  <c r="BI43" i="148"/>
  <c r="BF43" i="148"/>
  <c r="BA43" i="148"/>
  <c r="BA133" i="148"/>
  <c r="BG25" i="148"/>
  <c r="BG155" i="148"/>
  <c r="BC155" i="148"/>
  <c r="BK180" i="148"/>
  <c r="BD180" i="148"/>
  <c r="BK193" i="148"/>
  <c r="BK53" i="148"/>
  <c r="BA53" i="148"/>
  <c r="BF87" i="148"/>
  <c r="BA51" i="148"/>
  <c r="BG169" i="148"/>
  <c r="BG73" i="148"/>
  <c r="BC73" i="148"/>
  <c r="BJ96" i="148"/>
  <c r="BD85" i="148"/>
  <c r="BK44" i="148"/>
  <c r="BD70" i="148"/>
  <c r="BK86" i="148"/>
  <c r="BK59" i="148"/>
  <c r="BF71" i="148"/>
  <c r="BA88" i="148"/>
  <c r="BG128" i="148"/>
  <c r="BG183" i="148"/>
  <c r="BC183" i="148"/>
  <c r="BD141" i="148"/>
  <c r="BK48" i="148"/>
  <c r="BK45" i="148"/>
  <c r="BA45" i="148"/>
  <c r="BF123" i="148"/>
  <c r="BG36" i="148"/>
  <c r="BC33" i="148"/>
  <c r="BJ188" i="148"/>
  <c r="BD63" i="148"/>
  <c r="BK41" i="148"/>
  <c r="BD30" i="148"/>
  <c r="BK49" i="148"/>
  <c r="BF64" i="148"/>
  <c r="BG125" i="148"/>
  <c r="BJ22" i="148"/>
  <c r="BD22" i="148"/>
  <c r="BK26" i="148"/>
  <c r="BK39" i="148"/>
  <c r="BD39" i="148"/>
  <c r="BK19" i="148"/>
  <c r="BI19" i="148"/>
  <c r="BI50" i="148"/>
  <c r="BN189" i="148"/>
  <c r="BE189" i="148"/>
  <c r="BB189" i="148"/>
  <c r="BN207" i="148"/>
  <c r="BI207" i="148"/>
  <c r="AZ207" i="148"/>
  <c r="BN159" i="148"/>
  <c r="BM159" i="148"/>
  <c r="BI159" i="148"/>
  <c r="BE159" i="148"/>
  <c r="BB159" i="148"/>
  <c r="AZ159" i="148"/>
  <c r="BN202" i="148"/>
  <c r="BM202" i="148"/>
  <c r="BB202" i="148"/>
  <c r="BN170" i="148"/>
  <c r="BE170" i="148"/>
  <c r="BB170" i="148"/>
  <c r="BN196" i="148"/>
  <c r="AZ196" i="148"/>
  <c r="BI149" i="148"/>
  <c r="BE149" i="148"/>
  <c r="BN194" i="148"/>
  <c r="BM194" i="148"/>
  <c r="BB194" i="148"/>
  <c r="AZ194" i="148"/>
  <c r="BN143" i="148"/>
  <c r="BM143" i="148"/>
  <c r="BI143" i="148"/>
  <c r="BB143" i="148"/>
  <c r="BI154" i="148"/>
  <c r="BB154" i="148"/>
  <c r="AZ154" i="148"/>
  <c r="BM160" i="148"/>
  <c r="BE160" i="148"/>
  <c r="BB160" i="148"/>
  <c r="BB184" i="148"/>
  <c r="BB135" i="148"/>
  <c r="BN110" i="148"/>
  <c r="BE137" i="148"/>
  <c r="BB137" i="148"/>
  <c r="BI131" i="148"/>
  <c r="BE131" i="148"/>
  <c r="AZ131" i="148"/>
  <c r="BE117" i="148"/>
  <c r="AZ162" i="148"/>
  <c r="BM132" i="148"/>
  <c r="BE132" i="148"/>
  <c r="BB132" i="148"/>
  <c r="AZ132" i="148"/>
  <c r="BB114" i="148"/>
  <c r="BE171" i="148"/>
  <c r="AZ171" i="148"/>
  <c r="BI164" i="148"/>
  <c r="BE164" i="148"/>
  <c r="AZ164" i="148"/>
  <c r="AZ204" i="148"/>
  <c r="BM140" i="148"/>
  <c r="BE140" i="148"/>
  <c r="AZ140" i="148"/>
  <c r="BB95" i="148"/>
  <c r="BE139" i="148"/>
  <c r="AZ139" i="148"/>
  <c r="BB161" i="148"/>
  <c r="BE190" i="148"/>
  <c r="BN134" i="148"/>
  <c r="BI134" i="148"/>
  <c r="BE134" i="148"/>
  <c r="AZ134" i="148"/>
  <c r="AZ187" i="148"/>
  <c r="BM181" i="148"/>
  <c r="BE181" i="148"/>
  <c r="AZ181" i="148"/>
  <c r="BB166" i="148"/>
  <c r="BE115" i="148"/>
  <c r="AZ115" i="148"/>
  <c r="BI208" i="148"/>
  <c r="BE208" i="148"/>
  <c r="AZ208" i="148"/>
  <c r="AZ172" i="148"/>
  <c r="BM192" i="148"/>
  <c r="BE192" i="148"/>
  <c r="BB89" i="148"/>
  <c r="BE65" i="148"/>
  <c r="BE118" i="148"/>
  <c r="BB118" i="148"/>
  <c r="BI153" i="148"/>
  <c r="BE153" i="148"/>
  <c r="BI93" i="148"/>
  <c r="BI146" i="148"/>
  <c r="BE146" i="148"/>
  <c r="BB146" i="148"/>
  <c r="BE147" i="148"/>
  <c r="BE61" i="148"/>
  <c r="AZ174" i="148"/>
  <c r="BN152" i="148"/>
  <c r="BM152" i="148"/>
  <c r="BI152" i="148"/>
  <c r="BE152" i="148"/>
  <c r="BM46" i="148"/>
  <c r="BI133" i="148"/>
  <c r="BI169" i="148"/>
  <c r="BK189" i="148"/>
  <c r="BI170" i="148"/>
  <c r="BK135" i="148"/>
  <c r="BD203" i="148"/>
  <c r="BI138" i="148"/>
  <c r="BA142" i="148"/>
  <c r="D168" i="1"/>
  <c r="D200" i="1"/>
  <c r="D118" i="1"/>
  <c r="D203" i="1"/>
  <c r="D137" i="1"/>
  <c r="D169" i="1"/>
  <c r="D104" i="1"/>
  <c r="D151" i="1"/>
  <c r="D173" i="1"/>
  <c r="D125" i="1"/>
  <c r="D180" i="1"/>
  <c r="D129" i="1"/>
  <c r="D208" i="1"/>
  <c r="D182" i="1"/>
  <c r="D130" i="1"/>
  <c r="D160" i="1"/>
  <c r="D164" i="1"/>
  <c r="D78" i="1"/>
  <c r="BE206" i="148"/>
  <c r="BB206" i="148"/>
  <c r="BM119" i="148"/>
  <c r="BE119" i="148"/>
  <c r="AZ186" i="148"/>
  <c r="BI121" i="148"/>
  <c r="BE121" i="148"/>
  <c r="BB121" i="148"/>
  <c r="BE144" i="148"/>
  <c r="D141" i="1"/>
  <c r="D161" i="1"/>
  <c r="BE143" i="148"/>
  <c r="BB129" i="148"/>
  <c r="AZ129" i="148"/>
  <c r="BI98" i="148"/>
  <c r="BE98" i="148"/>
  <c r="BB98" i="148"/>
  <c r="BB102" i="148"/>
  <c r="AZ102" i="148"/>
  <c r="D90" i="1"/>
  <c r="AZ66" i="148"/>
  <c r="BM57" i="148"/>
  <c r="BE57" i="148"/>
  <c r="BB201" i="148"/>
  <c r="BI168" i="148"/>
  <c r="BE168" i="148"/>
  <c r="BM76" i="148"/>
  <c r="BE76" i="148"/>
  <c r="BB76" i="148"/>
  <c r="BE163" i="148"/>
  <c r="BB163" i="148"/>
  <c r="BN84" i="148"/>
  <c r="BM84" i="148"/>
  <c r="BI58" i="148"/>
  <c r="BE58" i="148"/>
  <c r="D60" i="1"/>
  <c r="BB81" i="148"/>
  <c r="D81" i="1"/>
  <c r="AZ80" i="148"/>
  <c r="BM101" i="148"/>
  <c r="BE101" i="148"/>
  <c r="BN91" i="148"/>
  <c r="BB107" i="148"/>
  <c r="D148" i="1"/>
  <c r="BB90" i="148"/>
  <c r="AZ90" i="148"/>
  <c r="D92" i="1"/>
  <c r="BB111" i="148"/>
  <c r="BI151" i="148"/>
  <c r="BE151" i="148"/>
  <c r="BB151" i="148"/>
  <c r="AZ151" i="148"/>
  <c r="BM173" i="148"/>
  <c r="BI173" i="148"/>
  <c r="BE173" i="148"/>
  <c r="BB173" i="148"/>
  <c r="BN46" i="148"/>
  <c r="BE46" i="148"/>
  <c r="BB46" i="148"/>
  <c r="BN179" i="148"/>
  <c r="BM179" i="148"/>
  <c r="BI179" i="148"/>
  <c r="BE179" i="148"/>
  <c r="BB179" i="148"/>
  <c r="AZ179" i="148"/>
  <c r="L183" i="1"/>
  <c r="BN42" i="148"/>
  <c r="BI42" i="148"/>
  <c r="BE42" i="148"/>
  <c r="BB42" i="148"/>
  <c r="AZ42" i="148"/>
  <c r="BN56" i="148"/>
  <c r="BM56" i="148"/>
  <c r="BI56" i="148"/>
  <c r="BE56" i="148"/>
  <c r="BB56" i="148"/>
  <c r="D58" i="1"/>
  <c r="BN69" i="148"/>
  <c r="BM69" i="148"/>
  <c r="BE69" i="148"/>
  <c r="BB69" i="148"/>
  <c r="AZ69" i="148"/>
  <c r="D67" i="1"/>
  <c r="BN108" i="148"/>
  <c r="BM108" i="148"/>
  <c r="BE108" i="148"/>
  <c r="BB108" i="148"/>
  <c r="AZ108" i="148"/>
  <c r="D114" i="1"/>
  <c r="BN43" i="148"/>
  <c r="BM43" i="148"/>
  <c r="BE43" i="148"/>
  <c r="BB43" i="148"/>
  <c r="AZ43" i="148"/>
  <c r="D42" i="1"/>
  <c r="BN133" i="148"/>
  <c r="BM133" i="148"/>
  <c r="BE133" i="148"/>
  <c r="BB133" i="148"/>
  <c r="D120" i="1"/>
  <c r="BN25" i="148"/>
  <c r="BM25" i="148"/>
  <c r="BE25" i="148"/>
  <c r="BD25" i="148"/>
  <c r="BB25" i="148"/>
  <c r="BN113" i="148"/>
  <c r="BM113" i="148"/>
  <c r="BI113" i="148"/>
  <c r="BB113" i="148"/>
  <c r="BI155" i="148"/>
  <c r="BE155" i="148"/>
  <c r="BB155" i="148"/>
  <c r="BM185" i="148"/>
  <c r="BI185" i="148"/>
  <c r="BE185" i="148"/>
  <c r="BB185" i="148"/>
  <c r="BN105" i="148"/>
  <c r="BM105" i="148"/>
  <c r="BE105" i="148"/>
  <c r="BB105" i="148"/>
  <c r="AZ105" i="148"/>
  <c r="BN103" i="148"/>
  <c r="BM103" i="148"/>
  <c r="BI103" i="148"/>
  <c r="BE103" i="148"/>
  <c r="BB103" i="148"/>
  <c r="AZ103" i="148"/>
  <c r="BN180" i="148"/>
  <c r="BM180" i="148"/>
  <c r="BI180" i="148"/>
  <c r="BE180" i="148"/>
  <c r="BB180" i="148"/>
  <c r="AZ180" i="148"/>
  <c r="BN97" i="148"/>
  <c r="BM97" i="148"/>
  <c r="BI97" i="148"/>
  <c r="BE97" i="148"/>
  <c r="BB97" i="148"/>
  <c r="BN193" i="148"/>
  <c r="BM193" i="148"/>
  <c r="BE193" i="148"/>
  <c r="BB193" i="148"/>
  <c r="AZ193" i="148"/>
  <c r="BN53" i="148"/>
  <c r="BM53" i="148"/>
  <c r="BE53" i="148"/>
  <c r="BB53" i="148"/>
  <c r="AZ53" i="148"/>
  <c r="BN87" i="148"/>
  <c r="BM87" i="148"/>
  <c r="BE87" i="148"/>
  <c r="BB87" i="148"/>
  <c r="AZ87" i="148"/>
  <c r="BN51" i="148"/>
  <c r="BM51" i="148"/>
  <c r="BI51" i="148"/>
  <c r="BE51" i="148"/>
  <c r="BB51" i="148"/>
  <c r="BN169" i="148"/>
  <c r="BM169" i="148"/>
  <c r="BE169" i="148"/>
  <c r="BD169" i="148"/>
  <c r="BB169" i="148"/>
  <c r="AZ169" i="148"/>
  <c r="BN99" i="148"/>
  <c r="BM99" i="148"/>
  <c r="BI99" i="148"/>
  <c r="BB99" i="148"/>
  <c r="BI73" i="148"/>
  <c r="BE73" i="148"/>
  <c r="BB73" i="148"/>
  <c r="BM54" i="148"/>
  <c r="BI54" i="148"/>
  <c r="BE54" i="148"/>
  <c r="BB54" i="148"/>
  <c r="BN96" i="148"/>
  <c r="BM96" i="148"/>
  <c r="BE96" i="148"/>
  <c r="BB96" i="148"/>
  <c r="AZ96" i="148"/>
  <c r="BN85" i="148"/>
  <c r="BM85" i="148"/>
  <c r="BI85" i="148"/>
  <c r="BE85" i="148"/>
  <c r="BB85" i="148"/>
  <c r="AZ85" i="148"/>
  <c r="BN44" i="148"/>
  <c r="BM44" i="148"/>
  <c r="BI44" i="148"/>
  <c r="BE44" i="148"/>
  <c r="BB44" i="148"/>
  <c r="AZ44" i="148"/>
  <c r="BN70" i="148"/>
  <c r="BM70" i="148"/>
  <c r="BI70" i="148"/>
  <c r="BE70" i="148"/>
  <c r="BB70" i="148"/>
  <c r="BN86" i="148"/>
  <c r="BM86" i="148"/>
  <c r="BE86" i="148"/>
  <c r="BB86" i="148"/>
  <c r="AZ86" i="148"/>
  <c r="BN59" i="148"/>
  <c r="BM59" i="148"/>
  <c r="BE59" i="148"/>
  <c r="BB59" i="148"/>
  <c r="AZ59" i="148"/>
  <c r="BN71" i="148"/>
  <c r="BM71" i="148"/>
  <c r="BE71" i="148"/>
  <c r="BB71" i="148"/>
  <c r="AZ71" i="148"/>
  <c r="BN88" i="148"/>
  <c r="BM88" i="148"/>
  <c r="BI88" i="148"/>
  <c r="BB88" i="148"/>
  <c r="BN128" i="148"/>
  <c r="BM128" i="148"/>
  <c r="BE128" i="148"/>
  <c r="BD128" i="148"/>
  <c r="BB128" i="148"/>
  <c r="AZ128" i="148"/>
  <c r="BN83" i="148"/>
  <c r="BM83" i="148"/>
  <c r="BI83" i="148"/>
  <c r="BB83" i="148"/>
  <c r="BI183" i="148"/>
  <c r="BE183" i="148"/>
  <c r="BB183" i="148"/>
  <c r="AZ183" i="148"/>
  <c r="BM130" i="148"/>
  <c r="BI130" i="148"/>
  <c r="BB130" i="148"/>
  <c r="BN74" i="148"/>
  <c r="BM74" i="148"/>
  <c r="BE74" i="148"/>
  <c r="BB74" i="148"/>
  <c r="AZ74" i="148"/>
  <c r="BN141" i="148"/>
  <c r="BM141" i="148"/>
  <c r="BI141" i="148"/>
  <c r="BE141" i="148"/>
  <c r="BB141" i="148"/>
  <c r="AZ141" i="148"/>
  <c r="BN48" i="148"/>
  <c r="BM48" i="148"/>
  <c r="BI48" i="148"/>
  <c r="BE48" i="148"/>
  <c r="BB48" i="148"/>
  <c r="AZ48" i="148"/>
  <c r="BN94" i="148"/>
  <c r="BM94" i="148"/>
  <c r="BI94" i="148"/>
  <c r="BB94" i="148"/>
  <c r="BN177" i="148"/>
  <c r="BM177" i="148"/>
  <c r="BE177" i="148"/>
  <c r="BB177" i="148"/>
  <c r="AZ177" i="148"/>
  <c r="BN45" i="148"/>
  <c r="BM45" i="148"/>
  <c r="BE45" i="148"/>
  <c r="BB45" i="148"/>
  <c r="AZ45" i="148"/>
  <c r="BN123" i="148"/>
  <c r="BM123" i="148"/>
  <c r="BB123" i="148"/>
  <c r="AZ123" i="148"/>
  <c r="BN92" i="148"/>
  <c r="BI92" i="148"/>
  <c r="BB92" i="148"/>
  <c r="BN36" i="148"/>
  <c r="BM36" i="148"/>
  <c r="BE36" i="148"/>
  <c r="BD36" i="148"/>
  <c r="BB36" i="148"/>
  <c r="AZ36" i="148"/>
  <c r="BN34" i="148"/>
  <c r="BI34" i="148"/>
  <c r="BB34" i="148"/>
  <c r="BI33" i="148"/>
  <c r="BM82" i="148"/>
  <c r="BI82" i="148"/>
  <c r="BB82" i="148"/>
  <c r="BN188" i="148"/>
  <c r="BM188" i="148"/>
  <c r="BE188" i="148"/>
  <c r="BB188" i="148"/>
  <c r="AZ188" i="148"/>
  <c r="BN63" i="148"/>
  <c r="BM63" i="148"/>
  <c r="BI63" i="148"/>
  <c r="BE63" i="148"/>
  <c r="BB63" i="148"/>
  <c r="AZ63" i="148"/>
  <c r="BN41" i="148"/>
  <c r="BM41" i="148"/>
  <c r="BI41" i="148"/>
  <c r="BE41" i="148"/>
  <c r="BB41" i="148"/>
  <c r="AZ41" i="148"/>
  <c r="BN30" i="148"/>
  <c r="BM30" i="148"/>
  <c r="BI30" i="148"/>
  <c r="BB30" i="148"/>
  <c r="BN79" i="148"/>
  <c r="BM79" i="148"/>
  <c r="BE79" i="148"/>
  <c r="BB79" i="148"/>
  <c r="BM125" i="148"/>
  <c r="BD125" i="148"/>
  <c r="G21" i="148"/>
  <c r="G62" i="148"/>
  <c r="G68" i="148"/>
  <c r="G106" i="148"/>
  <c r="G32" i="148"/>
  <c r="G18" i="148"/>
  <c r="G6" i="148"/>
  <c r="G29" i="148"/>
  <c r="G13" i="148"/>
  <c r="K160" i="148"/>
  <c r="K114" i="148"/>
  <c r="K95" i="148"/>
  <c r="K145" i="148"/>
  <c r="K153" i="148"/>
  <c r="K93" i="148"/>
  <c r="K111" i="148"/>
  <c r="K80" i="148"/>
  <c r="K51" i="148"/>
  <c r="K88" i="148"/>
  <c r="K34" i="148"/>
  <c r="K100" i="148"/>
  <c r="K17" i="148"/>
  <c r="K52" i="148"/>
  <c r="K45" i="148"/>
  <c r="L170" i="148"/>
  <c r="L164" i="148"/>
  <c r="L150" i="148"/>
  <c r="L200" i="148"/>
  <c r="L35" i="148"/>
  <c r="L15" i="148"/>
  <c r="L20" i="148"/>
  <c r="L208" i="148"/>
  <c r="L119" i="148"/>
  <c r="L84" i="148"/>
  <c r="L147" i="148"/>
  <c r="L28" i="148"/>
  <c r="L38" i="148"/>
  <c r="BF194" i="148"/>
  <c r="BJ198" i="148"/>
  <c r="BA164" i="148"/>
  <c r="BC140" i="148"/>
  <c r="BJ158" i="148"/>
  <c r="BF67" i="148"/>
  <c r="BJ120" i="148"/>
  <c r="BC192" i="148"/>
  <c r="BJ127" i="148"/>
  <c r="L11" i="148"/>
  <c r="L160" i="148"/>
  <c r="L114" i="148"/>
  <c r="L95" i="148"/>
  <c r="L145" i="148"/>
  <c r="L153" i="148"/>
  <c r="L93" i="148"/>
  <c r="L17" i="148"/>
  <c r="L7" i="148"/>
  <c r="L166" i="148"/>
  <c r="L89" i="148"/>
  <c r="L24" i="148"/>
  <c r="L5" i="148"/>
  <c r="M110" i="148"/>
  <c r="M208" i="148"/>
  <c r="M119" i="148"/>
  <c r="M84" i="148"/>
  <c r="M133" i="148"/>
  <c r="M147" i="148"/>
  <c r="M113" i="148"/>
  <c r="M54" i="148"/>
  <c r="M83" i="148"/>
  <c r="M63" i="148"/>
  <c r="M28" i="148"/>
  <c r="M38" i="148"/>
  <c r="M49" i="148"/>
  <c r="M11" i="148"/>
  <c r="M2" i="148"/>
  <c r="M145" i="148"/>
  <c r="M153" i="148"/>
  <c r="M93" i="148"/>
  <c r="M111" i="148"/>
  <c r="M127" i="148"/>
  <c r="M80" i="148"/>
  <c r="M51" i="148"/>
  <c r="M88" i="148"/>
  <c r="M34" i="148"/>
  <c r="M100" i="148"/>
  <c r="M17" i="148"/>
  <c r="M52" i="148"/>
  <c r="M45" i="148"/>
  <c r="M7" i="148"/>
  <c r="N204" i="148"/>
  <c r="N166" i="148"/>
  <c r="N129" i="148"/>
  <c r="N126" i="148"/>
  <c r="N163" i="148"/>
  <c r="N87" i="148"/>
  <c r="N71" i="148"/>
  <c r="N5" i="148"/>
  <c r="N48" i="148"/>
  <c r="N101" i="148"/>
  <c r="N170" i="148"/>
  <c r="N150" i="148"/>
  <c r="N172" i="148"/>
  <c r="N157" i="148"/>
  <c r="N81" i="148"/>
  <c r="N200" i="148"/>
  <c r="N56" i="148"/>
  <c r="N141" i="148"/>
  <c r="N41" i="148"/>
  <c r="N35" i="148"/>
  <c r="N15" i="148"/>
  <c r="N84" i="148"/>
  <c r="N133" i="148"/>
  <c r="N147" i="148"/>
  <c r="N54" i="148"/>
  <c r="N28" i="148"/>
  <c r="N38" i="148"/>
  <c r="N11" i="148"/>
  <c r="N153" i="148"/>
  <c r="N93" i="148"/>
  <c r="N127" i="148"/>
  <c r="N80" i="148"/>
  <c r="N51" i="148"/>
  <c r="N100" i="148"/>
  <c r="N17" i="148"/>
  <c r="N52" i="148"/>
  <c r="O207" i="148"/>
  <c r="O110" i="148"/>
  <c r="O190" i="148"/>
  <c r="O208" i="148"/>
  <c r="O28" i="148"/>
  <c r="O38" i="148"/>
  <c r="O11" i="148"/>
  <c r="O2" i="148"/>
  <c r="O160" i="148"/>
  <c r="O114" i="148"/>
  <c r="O95" i="148"/>
  <c r="O145" i="148"/>
  <c r="O17" i="148"/>
  <c r="O162" i="148"/>
  <c r="O204" i="148"/>
  <c r="O166" i="148"/>
  <c r="O89" i="148"/>
  <c r="O129" i="148"/>
  <c r="O24" i="148"/>
  <c r="O197" i="148"/>
  <c r="O164" i="148"/>
  <c r="O150" i="148"/>
  <c r="O172" i="148"/>
  <c r="O157" i="148"/>
  <c r="O35" i="148"/>
  <c r="O15" i="148"/>
  <c r="O20" i="148"/>
  <c r="O10" i="148"/>
  <c r="P194" i="148"/>
  <c r="P162" i="148"/>
  <c r="P204" i="148"/>
  <c r="P166" i="148"/>
  <c r="P89" i="148"/>
  <c r="P129" i="148"/>
  <c r="P126" i="148"/>
  <c r="P163" i="148"/>
  <c r="P25" i="148"/>
  <c r="P87" i="148"/>
  <c r="P71" i="148"/>
  <c r="P177" i="148"/>
  <c r="P79" i="148"/>
  <c r="P24" i="148"/>
  <c r="P48" i="148"/>
  <c r="P101" i="148"/>
  <c r="P197" i="148"/>
  <c r="P150" i="148"/>
  <c r="P172" i="148"/>
  <c r="P157" i="148"/>
  <c r="P81" i="148"/>
  <c r="P200" i="148"/>
  <c r="P56" i="148"/>
  <c r="P105" i="148"/>
  <c r="P99" i="148"/>
  <c r="P141" i="148"/>
  <c r="P41" i="148"/>
  <c r="P35" i="148"/>
  <c r="P15" i="148"/>
  <c r="P20" i="148"/>
  <c r="P10" i="148"/>
  <c r="Q205" i="148"/>
  <c r="Q208" i="148"/>
  <c r="Q119" i="148"/>
  <c r="Q84" i="148"/>
  <c r="Q133" i="148"/>
  <c r="Q147" i="148"/>
  <c r="Q113" i="148"/>
  <c r="Q83" i="148"/>
  <c r="Q63" i="148"/>
  <c r="Q38" i="148"/>
  <c r="Q49" i="148"/>
  <c r="Q11" i="148"/>
  <c r="Q2" i="148"/>
  <c r="Q160" i="148"/>
  <c r="Q114" i="148"/>
  <c r="Q95" i="148"/>
  <c r="Q145" i="148"/>
  <c r="Q153" i="148"/>
  <c r="Q93" i="148"/>
  <c r="Q111" i="148"/>
  <c r="Q34" i="148"/>
  <c r="Q100" i="148"/>
  <c r="Q17" i="148"/>
  <c r="Q45" i="148"/>
  <c r="Q7" i="148"/>
  <c r="R162" i="148"/>
  <c r="R204" i="148"/>
  <c r="R166" i="148"/>
  <c r="R89" i="148"/>
  <c r="R126" i="148"/>
  <c r="R163" i="148"/>
  <c r="R25" i="148"/>
  <c r="R177" i="148"/>
  <c r="R79" i="148"/>
  <c r="R24" i="148"/>
  <c r="R5" i="148"/>
  <c r="R101" i="148"/>
  <c r="R170" i="148"/>
  <c r="R197" i="148"/>
  <c r="R164" i="148"/>
  <c r="R150" i="148"/>
  <c r="R172" i="148"/>
  <c r="R81" i="148"/>
  <c r="R200" i="148"/>
  <c r="R56" i="148"/>
  <c r="R105" i="148"/>
  <c r="R99" i="148"/>
  <c r="R141" i="148"/>
  <c r="R35" i="148"/>
  <c r="R15" i="148"/>
  <c r="R20" i="148"/>
  <c r="R10" i="148"/>
  <c r="T207" i="148"/>
  <c r="T28" i="148"/>
  <c r="T38" i="148"/>
  <c r="T11" i="148"/>
  <c r="T2" i="148"/>
  <c r="S162" i="148"/>
  <c r="S204" i="148"/>
  <c r="S129" i="148"/>
  <c r="S126" i="148"/>
  <c r="S25" i="148"/>
  <c r="S87" i="148"/>
  <c r="S71" i="148"/>
  <c r="S177" i="148"/>
  <c r="S79" i="148"/>
  <c r="S24" i="148"/>
  <c r="S5" i="148"/>
  <c r="S48" i="148"/>
  <c r="S101" i="148"/>
  <c r="V119" i="148"/>
  <c r="V133" i="148"/>
  <c r="V147" i="148"/>
  <c r="V113" i="148"/>
  <c r="V54" i="148"/>
  <c r="V83" i="148"/>
  <c r="V63" i="148"/>
  <c r="V28" i="148"/>
  <c r="V38" i="148"/>
  <c r="V49" i="148"/>
  <c r="V11" i="148"/>
  <c r="W204" i="148"/>
  <c r="W166" i="148"/>
  <c r="W129" i="148"/>
  <c r="W25" i="148"/>
  <c r="W87" i="148"/>
  <c r="W71" i="148"/>
  <c r="W177" i="148"/>
  <c r="W79" i="148"/>
  <c r="W24" i="148"/>
  <c r="W5" i="148"/>
  <c r="W48" i="148"/>
  <c r="W101" i="148"/>
  <c r="X190" i="148"/>
  <c r="X208" i="148"/>
  <c r="X119" i="148"/>
  <c r="X84" i="148"/>
  <c r="X133" i="148"/>
  <c r="X147" i="148"/>
  <c r="X113" i="148"/>
  <c r="X54" i="148"/>
  <c r="X83" i="148"/>
  <c r="X63" i="148"/>
  <c r="X28" i="148"/>
  <c r="X38" i="148"/>
  <c r="X49" i="148"/>
  <c r="X11" i="148"/>
  <c r="X2" i="148"/>
  <c r="Z194" i="148"/>
  <c r="Z162" i="148"/>
  <c r="Z166" i="148"/>
  <c r="Z89" i="148"/>
  <c r="Z126" i="148"/>
  <c r="Z163" i="148"/>
  <c r="Z25" i="148"/>
  <c r="Z87" i="148"/>
  <c r="Z71" i="148"/>
  <c r="Z177" i="148"/>
  <c r="D84" i="2" a="1"/>
  <c r="E84" i="2" s="1"/>
  <c r="D96" i="1"/>
  <c r="D193" i="1"/>
  <c r="D46" i="1"/>
  <c r="D110" i="1"/>
  <c r="D185" i="1"/>
  <c r="BJ143" i="148"/>
  <c r="BF137" i="148"/>
  <c r="BJ136" i="148"/>
  <c r="BF171" i="148"/>
  <c r="BJ104" i="148"/>
  <c r="BF139" i="148"/>
  <c r="BJ150" i="148"/>
  <c r="BF115" i="148"/>
  <c r="D100" i="1"/>
  <c r="D131" i="1"/>
  <c r="BJ162" i="148"/>
  <c r="BJ204" i="148"/>
  <c r="D155" i="1"/>
  <c r="BC162" i="148"/>
  <c r="BC204" i="148"/>
  <c r="BJ186" i="148"/>
  <c r="BJ55" i="148"/>
  <c r="D171" i="1"/>
  <c r="D112" i="1"/>
  <c r="D146" i="1"/>
  <c r="D99" i="1"/>
  <c r="D136" i="1"/>
  <c r="D132" i="1"/>
  <c r="D25" i="1"/>
  <c r="D43" i="1"/>
  <c r="BG66" i="148"/>
  <c r="D201" i="1"/>
  <c r="BJ159" i="148"/>
  <c r="BK170" i="148"/>
  <c r="BJ137" i="148"/>
  <c r="BG119" i="148"/>
  <c r="Z79" i="148"/>
  <c r="Z24" i="148"/>
  <c r="Z5" i="148"/>
  <c r="Z48" i="148"/>
  <c r="AA84" i="148"/>
  <c r="AA113" i="148"/>
  <c r="AA83" i="148"/>
  <c r="AA63" i="148"/>
  <c r="AA28" i="148"/>
  <c r="AA38" i="148"/>
  <c r="AA49" i="148"/>
  <c r="AA11" i="148"/>
  <c r="AB126" i="148"/>
  <c r="AB163" i="148"/>
  <c r="AB25" i="148"/>
  <c r="AB177" i="148"/>
  <c r="AB79" i="148"/>
  <c r="AB24" i="148"/>
  <c r="AB5" i="148"/>
  <c r="AB101" i="148"/>
  <c r="AS164" i="148"/>
  <c r="AS56" i="148"/>
  <c r="AS105" i="148"/>
  <c r="AS99" i="148"/>
  <c r="AS141" i="148"/>
  <c r="AS35" i="148"/>
  <c r="AS15" i="148"/>
  <c r="AS20" i="148"/>
  <c r="AS10" i="148"/>
  <c r="AC190" i="148"/>
  <c r="AC119" i="148"/>
  <c r="AC84" i="148"/>
  <c r="AC133" i="148"/>
  <c r="AC147" i="148"/>
  <c r="AC113" i="148"/>
  <c r="AC54" i="148"/>
  <c r="AC83" i="148"/>
  <c r="AC63" i="148"/>
  <c r="AC28" i="148"/>
  <c r="AC38" i="148"/>
  <c r="AC49" i="148"/>
  <c r="AC11" i="148"/>
  <c r="AC2" i="148"/>
  <c r="AF160" i="148"/>
  <c r="AF95" i="148"/>
  <c r="AF93" i="148"/>
  <c r="AF80" i="148"/>
  <c r="AF51" i="148"/>
  <c r="AF88" i="148"/>
  <c r="AF100" i="148"/>
  <c r="AF17" i="148"/>
  <c r="AF52" i="148"/>
  <c r="AF45" i="148"/>
  <c r="AF7" i="148"/>
  <c r="AG164" i="148"/>
  <c r="AG81" i="148"/>
  <c r="AG200" i="148"/>
  <c r="AG56" i="148"/>
  <c r="AG105" i="148"/>
  <c r="AG99" i="148"/>
  <c r="AG141" i="148"/>
  <c r="AG35" i="148"/>
  <c r="AG15" i="148"/>
  <c r="AG20" i="148"/>
  <c r="AG10" i="148"/>
  <c r="AI150" i="148"/>
  <c r="AI172" i="148"/>
  <c r="AI157" i="148"/>
  <c r="AI81" i="148"/>
  <c r="AI200" i="148"/>
  <c r="AI56" i="148"/>
  <c r="AI99" i="148"/>
  <c r="AI141" i="148"/>
  <c r="AI41" i="148"/>
  <c r="AI35" i="148"/>
  <c r="AI15" i="148"/>
  <c r="AI20" i="148"/>
  <c r="AI10" i="148"/>
  <c r="AN129" i="148"/>
  <c r="AN87" i="148"/>
  <c r="AN71" i="148"/>
  <c r="AN79" i="148"/>
  <c r="AN24" i="148"/>
  <c r="AN48" i="148"/>
  <c r="AN101" i="148"/>
  <c r="D300" i="2" a="1"/>
  <c r="E300" i="2" s="1"/>
  <c r="D196" i="1"/>
  <c r="D343" i="2" a="1"/>
  <c r="E343" i="2" s="1"/>
  <c r="D225" i="2" a="1"/>
  <c r="E225" i="2" s="1"/>
  <c r="D197" i="2" a="1"/>
  <c r="D57" i="1"/>
  <c r="D306" i="2" a="1"/>
  <c r="E306" i="2" s="1"/>
  <c r="D79" i="1"/>
  <c r="D166" i="1"/>
  <c r="D133" i="1"/>
  <c r="D206" i="1"/>
  <c r="D56" i="1"/>
  <c r="C74" i="2" a="1"/>
  <c r="D143" i="1"/>
  <c r="D147" i="1"/>
  <c r="D123" i="1"/>
  <c r="D172" i="1"/>
  <c r="D142" i="1"/>
  <c r="D204" i="1"/>
  <c r="D135" i="1"/>
  <c r="D177" i="2" a="1"/>
  <c r="E177" i="2" s="1"/>
  <c r="D159" i="1"/>
  <c r="D322" i="2" a="1"/>
  <c r="E322" i="2" s="1"/>
  <c r="AZ160" i="148"/>
  <c r="D67" i="2" a="1"/>
  <c r="E67" i="2" s="1"/>
  <c r="D66" i="1"/>
  <c r="D71" i="1"/>
  <c r="D39" i="2" a="1"/>
  <c r="E39" i="2" s="1"/>
  <c r="BC149" i="148"/>
  <c r="BA137" i="148"/>
  <c r="BC164" i="148"/>
  <c r="BC134" i="148"/>
  <c r="BC208" i="148"/>
  <c r="D2" i="2" a="1"/>
  <c r="E2" i="2" s="1"/>
  <c r="D199" i="1"/>
  <c r="D65" i="1"/>
  <c r="D150" i="1"/>
  <c r="U150" i="1" s="1"/>
  <c r="D126" i="1"/>
  <c r="D76" i="1"/>
  <c r="D54" i="1"/>
  <c r="D102" i="1"/>
  <c r="D152" i="1"/>
  <c r="D170" i="1"/>
  <c r="D195" i="1"/>
  <c r="D119" i="1"/>
  <c r="D178" i="1"/>
  <c r="D179" i="1"/>
  <c r="D144" i="1"/>
  <c r="D106" i="1"/>
  <c r="D128" i="1"/>
  <c r="D181" i="1"/>
  <c r="D165" i="1"/>
  <c r="D140" i="1"/>
  <c r="D134" i="1"/>
  <c r="D86" i="1"/>
  <c r="D139" i="1"/>
  <c r="C244" i="2" a="1"/>
  <c r="D69" i="1"/>
  <c r="D197" i="1"/>
  <c r="D283" i="2" a="1"/>
  <c r="E283" i="2" s="1"/>
  <c r="C218" i="2" a="1"/>
  <c r="D244" i="2" a="1"/>
  <c r="E244" i="2" s="1"/>
  <c r="D124" i="1"/>
  <c r="D95" i="1"/>
  <c r="D177" i="1"/>
  <c r="U177" i="1" s="1"/>
  <c r="D205" i="1"/>
  <c r="D156" i="1"/>
  <c r="D80" i="1"/>
  <c r="D184" i="1"/>
  <c r="BF170" i="148"/>
  <c r="BD135" i="148"/>
  <c r="BF167" i="148"/>
  <c r="BA167" i="148"/>
  <c r="BA197" i="148"/>
  <c r="BJ132" i="148"/>
  <c r="BG104" i="148"/>
  <c r="BC104" i="148"/>
  <c r="BD95" i="148"/>
  <c r="BA190" i="148"/>
  <c r="BK120" i="148"/>
  <c r="BA175" i="148"/>
  <c r="BG191" i="148"/>
  <c r="BD89" i="148"/>
  <c r="BK121" i="148"/>
  <c r="BJ57" i="148"/>
  <c r="C177" i="2" a="1"/>
  <c r="D190" i="1"/>
  <c r="C243" i="2" a="1"/>
  <c r="D353" i="2" a="1"/>
  <c r="E353" i="2" s="1"/>
  <c r="BJ189" i="148"/>
  <c r="BJ135" i="148"/>
  <c r="D275" i="2" a="1"/>
  <c r="E275" i="2" s="1"/>
  <c r="D194" i="1"/>
  <c r="D108" i="1"/>
  <c r="D189" i="1"/>
  <c r="D74" i="2" a="1"/>
  <c r="E74" i="2" s="1"/>
  <c r="D198" i="1"/>
  <c r="D187" i="1"/>
  <c r="D176" i="1"/>
  <c r="BK202" i="148"/>
  <c r="BC184" i="148"/>
  <c r="BD137" i="148"/>
  <c r="BK199" i="148"/>
  <c r="BK167" i="148"/>
  <c r="BI197" i="148"/>
  <c r="BC203" i="148"/>
  <c r="BA165" i="148"/>
  <c r="BG140" i="148"/>
  <c r="BD158" i="148"/>
  <c r="BJ139" i="148"/>
  <c r="BJ115" i="148"/>
  <c r="BD115" i="148"/>
  <c r="BK145" i="148"/>
  <c r="BK118" i="148"/>
  <c r="BK148" i="148"/>
  <c r="BF77" i="148"/>
  <c r="BK200" i="148"/>
  <c r="BC55" i="148"/>
  <c r="BK163" i="148"/>
  <c r="BK84" i="148"/>
  <c r="BJ147" i="148"/>
  <c r="BC46" i="148"/>
  <c r="BJ56" i="148"/>
  <c r="BA25" i="148"/>
  <c r="BD44" i="148"/>
  <c r="C222" i="2" a="1"/>
  <c r="D94" i="1"/>
  <c r="D162" i="1"/>
  <c r="D127" i="1"/>
  <c r="D202" i="1"/>
  <c r="D113" i="1"/>
  <c r="D183" i="1"/>
  <c r="D174" i="1"/>
  <c r="D145" i="1"/>
  <c r="D111" i="2" a="1"/>
  <c r="E111" i="2" s="1"/>
  <c r="D227" i="2" a="1"/>
  <c r="D19" i="2" a="1"/>
  <c r="E19" i="2" s="1"/>
  <c r="AZ79" i="148"/>
  <c r="BN49" i="148"/>
  <c r="BM49" i="148"/>
  <c r="BE49" i="148"/>
  <c r="BB49" i="148"/>
  <c r="AZ49" i="148"/>
  <c r="BN64" i="148"/>
  <c r="BM64" i="148"/>
  <c r="BK64" i="148"/>
  <c r="BE64" i="148"/>
  <c r="BB64" i="148"/>
  <c r="AZ64" i="148"/>
  <c r="BN52" i="148"/>
  <c r="BM52" i="148"/>
  <c r="BK52" i="148"/>
  <c r="BI52" i="148"/>
  <c r="BB52" i="148"/>
  <c r="BN125" i="148"/>
  <c r="BK125" i="148"/>
  <c r="BE125" i="148"/>
  <c r="BB125" i="148"/>
  <c r="AZ125" i="148"/>
  <c r="BA62" i="148"/>
  <c r="AZ100" i="148"/>
  <c r="BM47" i="148"/>
  <c r="BI47" i="148"/>
  <c r="BG22" i="148"/>
  <c r="BN26" i="148"/>
  <c r="BC26" i="148"/>
  <c r="BB26" i="148"/>
  <c r="BB31" i="148"/>
  <c r="BD10" i="148"/>
  <c r="BK50" i="148"/>
  <c r="BI28" i="148"/>
  <c r="BA29" i="148"/>
  <c r="AZ35" i="148"/>
  <c r="BM32" i="148"/>
  <c r="BG24" i="148"/>
  <c r="BC116" i="148"/>
  <c r="BB116" i="148"/>
  <c r="BD21" i="148"/>
  <c r="BK13" i="148"/>
  <c r="BI14" i="148"/>
  <c r="BA23" i="148"/>
  <c r="AZ12" i="148"/>
  <c r="BM18" i="148"/>
  <c r="BG16" i="148"/>
  <c r="BC75" i="148"/>
  <c r="BB75" i="148"/>
  <c r="BD20" i="148"/>
  <c r="BK60" i="148"/>
  <c r="BI5" i="148"/>
  <c r="BK27" i="148"/>
  <c r="BI4" i="148"/>
  <c r="G17" i="148"/>
  <c r="D253" i="2" a="1"/>
  <c r="E253" i="2" s="1"/>
  <c r="C93" i="2" a="1"/>
  <c r="D192" i="1"/>
  <c r="D167" i="1"/>
  <c r="AZ149" i="148"/>
  <c r="D248" i="2" a="1"/>
  <c r="E248" i="2" s="1"/>
  <c r="D91" i="2" a="1"/>
  <c r="E91" i="2" s="1"/>
  <c r="D218" i="2" a="1"/>
  <c r="E218" i="2" s="1"/>
  <c r="C288" i="2" a="1"/>
  <c r="D257" i="2" a="1"/>
  <c r="E257" i="2" s="1"/>
  <c r="AZ189" i="148"/>
  <c r="D301" i="2" a="1"/>
  <c r="E301" i="2" s="1"/>
  <c r="D97" i="2" a="1"/>
  <c r="E97" i="2" s="1"/>
  <c r="D270" i="2" a="1"/>
  <c r="E270" i="2" s="1"/>
  <c r="C229" i="2" a="1"/>
  <c r="D243" i="2" a="1"/>
  <c r="E243" i="2" s="1"/>
  <c r="D153" i="1"/>
  <c r="D403" i="2" a="1"/>
  <c r="E403" i="2" s="1"/>
  <c r="D316" i="2" a="1"/>
  <c r="E316" i="2" s="1"/>
  <c r="D40" i="2" a="1"/>
  <c r="E40" i="2" s="1"/>
  <c r="D241" i="2" a="1"/>
  <c r="E241" i="2" s="1"/>
  <c r="D349" i="2" a="1"/>
  <c r="E349" i="2" s="1"/>
  <c r="D280" i="2" a="1"/>
  <c r="E280" i="2" s="1"/>
  <c r="BK207" i="148"/>
  <c r="BA202" i="148"/>
  <c r="BG149" i="148"/>
  <c r="D132" i="2" a="1"/>
  <c r="E132" i="2" s="1"/>
  <c r="D373" i="2" a="1"/>
  <c r="D226" i="2" a="1"/>
  <c r="E226" i="2" s="1"/>
  <c r="C270" i="2" a="1"/>
  <c r="C306" i="2" a="1"/>
  <c r="D317" i="2" a="1"/>
  <c r="E317" i="2" s="1"/>
  <c r="D125" i="2" a="1"/>
  <c r="E125" i="2" s="1"/>
  <c r="D229" i="2" a="1"/>
  <c r="E229" i="2" s="1"/>
  <c r="D207" i="1"/>
  <c r="U207" i="1" s="1"/>
  <c r="D182" i="2" a="1"/>
  <c r="E182" i="2" s="1"/>
  <c r="D240" i="2" a="1"/>
  <c r="E240" i="2" s="1"/>
  <c r="C257" i="2" a="1"/>
  <c r="C253" i="2" a="1"/>
  <c r="D207" i="2" a="1"/>
  <c r="E207" i="2" s="1"/>
  <c r="C207" i="2" a="1"/>
  <c r="D274" i="2" a="1"/>
  <c r="E274" i="2" s="1"/>
  <c r="D222" i="2" a="1"/>
  <c r="E222" i="2" s="1"/>
  <c r="D93" i="2" a="1"/>
  <c r="E93" i="2" s="1"/>
  <c r="C67" i="2" a="1"/>
  <c r="D149" i="1"/>
  <c r="BN149" i="148"/>
  <c r="D82" i="2" a="1"/>
  <c r="D61" i="2" a="1"/>
  <c r="E61" i="2" s="1"/>
  <c r="BJ110" i="148"/>
  <c r="D180" i="2" a="1"/>
  <c r="E180" i="2" s="1"/>
  <c r="D374" i="2" a="1"/>
  <c r="E374" i="2" s="1"/>
  <c r="D35" i="2" a="1"/>
  <c r="E35" i="2" s="1"/>
  <c r="D347" i="2" a="1"/>
  <c r="E347" i="2" s="1"/>
  <c r="D116" i="2" a="1"/>
  <c r="E116" i="2" s="1"/>
  <c r="D78" i="2" a="1"/>
  <c r="E78" i="2" s="1"/>
  <c r="D408" i="2" a="1"/>
  <c r="D392" i="2" a="1"/>
  <c r="E392" i="2" s="1"/>
  <c r="D144" i="2" a="1"/>
  <c r="E144" i="2" s="1"/>
  <c r="D267" i="2" a="1"/>
  <c r="D76" i="2" a="1"/>
  <c r="E76" i="2" s="1"/>
  <c r="D252" i="2" a="1"/>
  <c r="E252" i="2" s="1"/>
  <c r="D8" i="2" a="1"/>
  <c r="E8" i="2" s="1"/>
  <c r="D363" i="2" a="1"/>
  <c r="E363" i="2" s="1"/>
  <c r="D106" i="2" a="1"/>
  <c r="E106" i="2" s="1"/>
  <c r="D259" i="2" a="1"/>
  <c r="E259" i="2" s="1"/>
  <c r="D205" i="2" a="1"/>
  <c r="D142" i="2" a="1"/>
  <c r="E142" i="2" s="1"/>
  <c r="D379" i="2" a="1"/>
  <c r="E379" i="2" s="1"/>
  <c r="D181" i="2" a="1"/>
  <c r="E181" i="2" s="1"/>
  <c r="D314" i="2" a="1"/>
  <c r="E314" i="2" s="1"/>
  <c r="BF189" i="148"/>
  <c r="BJ149" i="148"/>
  <c r="BF114" i="148"/>
  <c r="BJ164" i="148"/>
  <c r="BJ134" i="148"/>
  <c r="BF166" i="148"/>
  <c r="BJ153" i="148"/>
  <c r="BJ98" i="148"/>
  <c r="BJ58" i="148"/>
  <c r="D421" i="2" a="1"/>
  <c r="E421" i="2" s="1"/>
  <c r="D397" i="2" a="1"/>
  <c r="E397" i="2" s="1"/>
  <c r="D124" i="2" a="1"/>
  <c r="E124" i="2" s="1"/>
  <c r="D193" i="2" a="1"/>
  <c r="E193" i="2" s="1"/>
  <c r="D276" i="2" a="1"/>
  <c r="E276" i="2" s="1"/>
  <c r="C119" i="2" a="1"/>
  <c r="D95" i="2" a="1"/>
  <c r="E95" i="2" s="1"/>
  <c r="D58" i="2" a="1"/>
  <c r="E58" i="2" s="1"/>
  <c r="D64" i="2" a="1"/>
  <c r="E64" i="2" s="1"/>
  <c r="D326" i="2" a="1"/>
  <c r="E326" i="2" s="1"/>
  <c r="D175" i="2" a="1"/>
  <c r="E175" i="2" s="1"/>
  <c r="BF207" i="148"/>
  <c r="BA207" i="148"/>
  <c r="BG196" i="148"/>
  <c r="BC196" i="148"/>
  <c r="BJ194" i="148"/>
  <c r="BK184" i="148"/>
  <c r="BA110" i="148"/>
  <c r="BG167" i="148"/>
  <c r="BC167" i="148"/>
  <c r="BG197" i="148"/>
  <c r="BC197" i="148"/>
  <c r="BJ117" i="148"/>
  <c r="BD162" i="148"/>
  <c r="BK203" i="148"/>
  <c r="BF198" i="148"/>
  <c r="BA198" i="148"/>
  <c r="BA171" i="148"/>
  <c r="BG138" i="148"/>
  <c r="BC138" i="148"/>
  <c r="BJ165" i="148"/>
  <c r="BD204" i="148"/>
  <c r="BK78" i="148"/>
  <c r="BF158" i="148"/>
  <c r="BA158" i="148"/>
  <c r="BA139" i="148"/>
  <c r="BG109" i="148"/>
  <c r="BC109" i="148"/>
  <c r="BG190" i="148"/>
  <c r="BJ67" i="148"/>
  <c r="BD187" i="148"/>
  <c r="BK72" i="148"/>
  <c r="BF120" i="148"/>
  <c r="BA120" i="148"/>
  <c r="BG175" i="148"/>
  <c r="BC175" i="148"/>
  <c r="BG124" i="148"/>
  <c r="BC124" i="148"/>
  <c r="BJ191" i="148"/>
  <c r="BD172" i="148"/>
  <c r="BK178" i="148"/>
  <c r="BF127" i="148"/>
  <c r="BA127" i="148"/>
  <c r="BF65" i="148"/>
  <c r="BA65" i="148"/>
  <c r="BG148" i="148"/>
  <c r="BC148" i="148"/>
  <c r="BC153" i="148"/>
  <c r="BJ156" i="148"/>
  <c r="BJ77" i="148"/>
  <c r="BD206" i="148"/>
  <c r="BK186" i="148"/>
  <c r="BF157" i="148"/>
  <c r="BA157" i="148"/>
  <c r="BF144" i="148"/>
  <c r="BA144" i="148"/>
  <c r="BC200" i="148"/>
  <c r="BG129" i="148"/>
  <c r="BC129" i="148"/>
  <c r="BC98" i="148"/>
  <c r="BJ102" i="148"/>
  <c r="BJ93" i="148"/>
  <c r="BF76" i="148"/>
  <c r="BJ112" i="148"/>
  <c r="D187" i="2" a="1"/>
  <c r="E187" i="2" s="1"/>
  <c r="D81" i="2" a="1"/>
  <c r="E81" i="2" s="1"/>
  <c r="D296" i="2" a="1"/>
  <c r="E296" i="2" s="1"/>
  <c r="D384" i="2" a="1"/>
  <c r="E384" i="2" s="1"/>
  <c r="D148" i="2" a="1"/>
  <c r="E148" i="2" s="1"/>
  <c r="D431" i="2" a="1"/>
  <c r="E431" i="2" s="1"/>
  <c r="D319" i="2" a="1"/>
  <c r="E319" i="2" s="1"/>
  <c r="D114" i="2" a="1"/>
  <c r="E114" i="2" s="1"/>
  <c r="D350" i="2" a="1"/>
  <c r="E350" i="2" s="1"/>
  <c r="D389" i="2" a="1"/>
  <c r="E389" i="2" s="1"/>
  <c r="D402" i="2" a="1"/>
  <c r="E402" i="2" s="1"/>
  <c r="D83" i="2" a="1"/>
  <c r="E83" i="2" s="1"/>
  <c r="D209" i="2" a="1"/>
  <c r="E209" i="2" s="1"/>
  <c r="D30" i="2" a="1"/>
  <c r="D376" i="2" a="1"/>
  <c r="E376" i="2" s="1"/>
  <c r="D88" i="2" a="1"/>
  <c r="E88" i="2" s="1"/>
  <c r="D174" i="2" a="1"/>
  <c r="E174" i="2" s="1"/>
  <c r="D292" i="2" a="1"/>
  <c r="E292" i="2" s="1"/>
  <c r="D289" i="2" a="1"/>
  <c r="E289" i="2" s="1"/>
  <c r="D232" i="2" a="1"/>
  <c r="E232" i="2" s="1"/>
  <c r="D169" i="2" a="1"/>
  <c r="E169" i="2" s="1"/>
  <c r="D189" i="2" a="1"/>
  <c r="E189" i="2" s="1"/>
  <c r="D55" i="2" a="1"/>
  <c r="E55" i="2" s="1"/>
  <c r="D166" i="2" a="1"/>
  <c r="D436" i="2" a="1"/>
  <c r="E436" i="2" s="1"/>
  <c r="D391" i="2" a="1"/>
  <c r="E391" i="2" s="1"/>
  <c r="D71" i="2" a="1"/>
  <c r="E71" i="2" s="1"/>
  <c r="D234" i="2" a="1"/>
  <c r="E234" i="2" s="1"/>
  <c r="D192" i="2" a="1"/>
  <c r="E192" i="2" s="1"/>
  <c r="D413" i="2" a="1"/>
  <c r="E413" i="2" s="1"/>
  <c r="D216" i="2" a="1"/>
  <c r="E216" i="2" s="1"/>
  <c r="D309" i="2" a="1"/>
  <c r="E309" i="2" s="1"/>
  <c r="D362" i="2" a="1"/>
  <c r="E362" i="2" s="1"/>
  <c r="D285" i="2" a="1"/>
  <c r="E285" i="2" s="1"/>
  <c r="D441" i="2" a="1"/>
  <c r="E441" i="2" s="1"/>
  <c r="D170" i="2" a="1"/>
  <c r="E170" i="2" s="1"/>
  <c r="D294" i="2" a="1"/>
  <c r="E294" i="2" s="1"/>
  <c r="D115" i="2" a="1"/>
  <c r="E115" i="2" s="1"/>
  <c r="D346" i="2" a="1"/>
  <c r="E346" i="2" s="1"/>
  <c r="D69" i="2" a="1"/>
  <c r="E69" i="2" s="1"/>
  <c r="T160" i="148"/>
  <c r="T17" i="148"/>
  <c r="T7" i="148"/>
  <c r="T194" i="148"/>
  <c r="T162" i="148"/>
  <c r="T24" i="148"/>
  <c r="T5" i="148"/>
  <c r="T170" i="148"/>
  <c r="T197" i="148"/>
  <c r="T35" i="148"/>
  <c r="T15" i="148"/>
  <c r="T20" i="148"/>
  <c r="U113" i="148"/>
  <c r="U63" i="148"/>
  <c r="U38" i="148"/>
  <c r="U49" i="148"/>
  <c r="U11" i="148"/>
  <c r="U2" i="148"/>
  <c r="U95" i="148"/>
  <c r="U34" i="148"/>
  <c r="U17" i="148"/>
  <c r="U45" i="148"/>
  <c r="U7" i="148"/>
  <c r="U194" i="148"/>
  <c r="U166" i="148"/>
  <c r="U89" i="148"/>
  <c r="U24" i="148"/>
  <c r="U5" i="148"/>
  <c r="U141" i="148"/>
  <c r="U35" i="148"/>
  <c r="U15" i="148"/>
  <c r="U20" i="148"/>
  <c r="V145" i="148"/>
  <c r="V153" i="148"/>
  <c r="V111" i="148"/>
  <c r="V127" i="148"/>
  <c r="V80" i="148"/>
  <c r="V51" i="148"/>
  <c r="V88" i="148"/>
  <c r="V34" i="148"/>
  <c r="V100" i="148"/>
  <c r="V17" i="148"/>
  <c r="V52" i="148"/>
  <c r="V45" i="148"/>
  <c r="V7" i="148"/>
  <c r="W170" i="148"/>
  <c r="W172" i="148"/>
  <c r="W157" i="148"/>
  <c r="W200" i="148"/>
  <c r="W56" i="148"/>
  <c r="W105" i="148"/>
  <c r="W41" i="148"/>
  <c r="W35" i="148"/>
  <c r="W15" i="148"/>
  <c r="W20" i="148"/>
  <c r="W10" i="148"/>
  <c r="X114" i="148"/>
  <c r="X95" i="148"/>
  <c r="X153" i="148"/>
  <c r="X93" i="148"/>
  <c r="X111" i="148"/>
  <c r="X80" i="148"/>
  <c r="X51" i="148"/>
  <c r="X88" i="148"/>
  <c r="X34" i="148"/>
  <c r="X100" i="148"/>
  <c r="X17" i="148"/>
  <c r="X52" i="148"/>
  <c r="X45" i="148"/>
  <c r="X7" i="148"/>
  <c r="Y24" i="148"/>
  <c r="Y5" i="148"/>
  <c r="Y35" i="148"/>
  <c r="Y15" i="148"/>
  <c r="Y10" i="148"/>
  <c r="Y207" i="148"/>
  <c r="Y38" i="148"/>
  <c r="Y11" i="148"/>
  <c r="Y2" i="148"/>
  <c r="Y17" i="148"/>
  <c r="Z197" i="148"/>
  <c r="Z150" i="148"/>
  <c r="Z172" i="148"/>
  <c r="Z157" i="148"/>
  <c r="Z81" i="148"/>
  <c r="E167" i="1"/>
  <c r="E176" i="1"/>
  <c r="D236" i="2" a="1"/>
  <c r="E236" i="2" s="1"/>
  <c r="E168" i="1"/>
  <c r="D445" i="2" a="1"/>
  <c r="E445" i="2" s="1"/>
  <c r="D107" i="2" a="1"/>
  <c r="E107" i="2" s="1"/>
  <c r="D437" i="2" a="1"/>
  <c r="Z200" i="148"/>
  <c r="Z56" i="148"/>
  <c r="Z99" i="148"/>
  <c r="AF166" i="148"/>
  <c r="AF89" i="148"/>
  <c r="AF126" i="148"/>
  <c r="AF163" i="148"/>
  <c r="D117" i="2" a="1"/>
  <c r="E117" i="2" s="1"/>
  <c r="D282" i="2" a="1"/>
  <c r="E282" i="2" s="1"/>
  <c r="D50" i="2" a="1"/>
  <c r="E50" i="2" s="1"/>
  <c r="D337" i="2" a="1"/>
  <c r="E337" i="2" s="1"/>
  <c r="D70" i="2" a="1"/>
  <c r="E70" i="2" s="1"/>
  <c r="D293" i="2" a="1"/>
  <c r="E293" i="2" s="1"/>
  <c r="C158" i="2" a="1"/>
  <c r="D401" i="2" a="1"/>
  <c r="E401" i="2" s="1"/>
  <c r="D75" i="2" a="1"/>
  <c r="E75" i="2" s="1"/>
  <c r="D429" i="2" a="1"/>
  <c r="E429" i="2" s="1"/>
  <c r="D250" i="2" a="1"/>
  <c r="E250" i="2" s="1"/>
  <c r="D417" i="2" a="1"/>
  <c r="E417" i="2" s="1"/>
  <c r="D99" i="2" a="1"/>
  <c r="E99" i="2" s="1"/>
  <c r="D258" i="2" a="1"/>
  <c r="E258" i="2" s="1"/>
  <c r="BD66" i="148"/>
  <c r="BA76" i="148"/>
  <c r="BG84" i="148"/>
  <c r="BC84" i="148"/>
  <c r="BG122" i="148"/>
  <c r="BC58" i="148"/>
  <c r="D32" i="2" a="1"/>
  <c r="E32" i="2" s="1"/>
  <c r="D393" i="2" a="1"/>
  <c r="E393" i="2" s="1"/>
  <c r="D68" i="2" a="1"/>
  <c r="E68" i="2" s="1"/>
  <c r="D281" i="2" a="1"/>
  <c r="E281" i="2" s="1"/>
  <c r="D278" i="2" a="1"/>
  <c r="E278" i="2" s="1"/>
  <c r="D228" i="2" a="1"/>
  <c r="E228" i="2" s="1"/>
  <c r="D328" i="2" a="1"/>
  <c r="E328" i="2" s="1"/>
  <c r="D430" i="2" a="1"/>
  <c r="E430" i="2" s="1"/>
  <c r="D238" i="2" a="1"/>
  <c r="E238" i="2" s="1"/>
  <c r="D25" i="2" a="1"/>
  <c r="E25" i="2" s="1"/>
  <c r="D341" i="2" a="1"/>
  <c r="E341" i="2" s="1"/>
  <c r="D119" i="2" a="1"/>
  <c r="E119" i="2" s="1"/>
  <c r="D105" i="2" a="1"/>
  <c r="E105" i="2" s="1"/>
  <c r="D433" i="2" a="1"/>
  <c r="E433" i="2" s="1"/>
  <c r="D6" i="2" a="1"/>
  <c r="E6" i="2" s="1"/>
  <c r="D338" i="2" a="1"/>
  <c r="E338" i="2" s="1"/>
  <c r="D263" i="2" a="1"/>
  <c r="E263" i="2" s="1"/>
  <c r="D120" i="2" a="1"/>
  <c r="E120" i="2" s="1"/>
  <c r="E192" i="1"/>
  <c r="D159" i="2" a="1"/>
  <c r="E159" i="2" s="1"/>
  <c r="D121" i="2" a="1"/>
  <c r="E121" i="2" s="1"/>
  <c r="E171" i="1"/>
  <c r="E179" i="1"/>
  <c r="D129" i="2" a="1"/>
  <c r="E129" i="2" s="1"/>
  <c r="BN73" i="148"/>
  <c r="BN54" i="148"/>
  <c r="BE83" i="148"/>
  <c r="BE34" i="148"/>
  <c r="BN33" i="148"/>
  <c r="D7" i="2" a="1"/>
  <c r="E7" i="2" s="1"/>
  <c r="D27" i="2" a="1"/>
  <c r="E27" i="2" s="1"/>
  <c r="BN82" i="148"/>
  <c r="D17" i="2" a="1"/>
  <c r="E17" i="2" s="1"/>
  <c r="D254" i="2" a="1"/>
  <c r="E254" i="2" s="1"/>
  <c r="D438" i="2" a="1"/>
  <c r="E438" i="2" s="1"/>
  <c r="C204" i="2" a="1"/>
  <c r="D371" i="2" a="1"/>
  <c r="E371" i="2" s="1"/>
  <c r="D33" i="2" a="1"/>
  <c r="E33" i="2" s="1"/>
  <c r="D195" i="2" a="1"/>
  <c r="E195" i="2" s="1"/>
  <c r="D426" i="2" a="1"/>
  <c r="E426" i="2" s="1"/>
  <c r="D44" i="2" a="1"/>
  <c r="E44" i="2" s="1"/>
  <c r="D179" i="2" a="1"/>
  <c r="E179" i="2" s="1"/>
  <c r="D123" i="2" a="1"/>
  <c r="E123" i="2" s="1"/>
  <c r="D65" i="2" a="1"/>
  <c r="E65" i="2" s="1"/>
  <c r="D407" i="2" a="1"/>
  <c r="E407" i="2" s="1"/>
  <c r="D378" i="2" a="1"/>
  <c r="E378" i="2" s="1"/>
  <c r="D20" i="2" a="1"/>
  <c r="E20" i="2" s="1"/>
  <c r="D101" i="2" a="1"/>
  <c r="E101" i="2" s="1"/>
  <c r="D416" i="2" a="1"/>
  <c r="E416" i="2" s="1"/>
  <c r="D9" i="2" a="1"/>
  <c r="E9" i="2" s="1"/>
  <c r="D128" i="2" a="1"/>
  <c r="E128" i="2" s="1"/>
  <c r="D155" i="2" a="1"/>
  <c r="E155" i="2" s="1"/>
  <c r="D37" i="2" a="1"/>
  <c r="D394" i="2" a="1"/>
  <c r="E394" i="2" s="1"/>
  <c r="D172" i="2" a="1"/>
  <c r="E172" i="2" s="1"/>
  <c r="D334" i="2" a="1"/>
  <c r="E334" i="2" s="1"/>
  <c r="D22" i="2" a="1"/>
  <c r="E22" i="2" s="1"/>
  <c r="D13" i="2" a="1"/>
  <c r="E13" i="2" s="1"/>
  <c r="D176" i="2" a="1"/>
  <c r="E176" i="2" s="1"/>
  <c r="D307" i="2" a="1"/>
  <c r="E307" i="2" s="1"/>
  <c r="D405" i="2" a="1"/>
  <c r="E405" i="2" s="1"/>
  <c r="D432" i="2" a="1"/>
  <c r="E432" i="2" s="1"/>
  <c r="D340" i="2" a="1"/>
  <c r="E340" i="2" s="1"/>
  <c r="D318" i="2" a="1"/>
  <c r="E318" i="2" s="1"/>
  <c r="D211" i="2" a="1"/>
  <c r="E211" i="2" s="1"/>
  <c r="D63" i="2" a="1"/>
  <c r="E63" i="2" s="1"/>
  <c r="D290" i="2" a="1"/>
  <c r="E290" i="2" s="1"/>
  <c r="D336" i="2" a="1"/>
  <c r="E336" i="2" s="1"/>
  <c r="BD184" i="148"/>
  <c r="BI167" i="148"/>
  <c r="BG131" i="148"/>
  <c r="BD132" i="148"/>
  <c r="BK114" i="148"/>
  <c r="BK198" i="148"/>
  <c r="BA205" i="148"/>
  <c r="BI182" i="148"/>
  <c r="BG164" i="148"/>
  <c r="BD140" i="148"/>
  <c r="BK95" i="148"/>
  <c r="BK158" i="148"/>
  <c r="BA161" i="148"/>
  <c r="BI109" i="148"/>
  <c r="BI190" i="148"/>
  <c r="BG134" i="148"/>
  <c r="BD181" i="148"/>
  <c r="BD72" i="148"/>
  <c r="BK166" i="148"/>
  <c r="BI175" i="148"/>
  <c r="BI124" i="148"/>
  <c r="BG208" i="148"/>
  <c r="BD192" i="148"/>
  <c r="BD178" i="148"/>
  <c r="BK89" i="148"/>
  <c r="BK127" i="148"/>
  <c r="BA118" i="148"/>
  <c r="BI148" i="148"/>
  <c r="BI195" i="148"/>
  <c r="BG153" i="148"/>
  <c r="BD119" i="148"/>
  <c r="BK157" i="148"/>
  <c r="BI200" i="148"/>
  <c r="BI129" i="148"/>
  <c r="BG98" i="148"/>
  <c r="BD57" i="148"/>
  <c r="BD55" i="148"/>
  <c r="BK201" i="148"/>
  <c r="BK168" i="148"/>
  <c r="BI84" i="148"/>
  <c r="BI122" i="148"/>
  <c r="BG58" i="148"/>
  <c r="BJ81" i="148"/>
  <c r="BD101" i="148"/>
  <c r="D131" i="2" a="1"/>
  <c r="E131" i="2" s="1"/>
  <c r="D242" i="2" a="1"/>
  <c r="E242" i="2" s="1"/>
  <c r="D41" i="2" a="1"/>
  <c r="E41" i="2" s="1"/>
  <c r="D156" i="2" a="1"/>
  <c r="E156" i="2" s="1"/>
  <c r="D43" i="2" a="1"/>
  <c r="E43" i="2" s="1"/>
  <c r="D183" i="2" a="1"/>
  <c r="E183" i="2" s="1"/>
  <c r="D388" i="2" a="1"/>
  <c r="E388" i="2" s="1"/>
  <c r="D158" i="2" a="1"/>
  <c r="E158" i="2" s="1"/>
  <c r="D94" i="2" a="1"/>
  <c r="E94" i="2" s="1"/>
  <c r="D439" i="2" a="1"/>
  <c r="E439" i="2" s="1"/>
  <c r="D410" i="2" a="1"/>
  <c r="E410" i="2" s="1"/>
  <c r="D138" i="2" a="1"/>
  <c r="E138" i="2" s="1"/>
  <c r="D150" i="2" a="1"/>
  <c r="E150" i="2" s="1"/>
  <c r="D383" i="2" a="1"/>
  <c r="E383" i="2" s="1"/>
  <c r="D435" i="2" a="1"/>
  <c r="E435" i="2" s="1"/>
  <c r="C352" i="2" a="1"/>
  <c r="D224" i="2" a="1"/>
  <c r="E224" i="2" s="1"/>
  <c r="D268" i="2" a="1"/>
  <c r="E268" i="2" s="1"/>
  <c r="D188" i="2" a="1"/>
  <c r="E188" i="2" s="1"/>
  <c r="C47" i="2" a="1"/>
  <c r="D139" i="2" a="1"/>
  <c r="E139" i="2" s="1"/>
  <c r="D271" i="2" a="1"/>
  <c r="E271" i="2" s="1"/>
  <c r="D260" i="2" a="1"/>
  <c r="E260" i="2" s="1"/>
  <c r="D387" i="2" a="1"/>
  <c r="E387" i="2" s="1"/>
  <c r="D3" i="2" a="1"/>
  <c r="E3" i="2" s="1"/>
  <c r="D424" i="2" a="1"/>
  <c r="E424" i="2" s="1"/>
  <c r="D404" i="2" a="1"/>
  <c r="E404" i="2" s="1"/>
  <c r="D56" i="2" a="1"/>
  <c r="D200" i="2" a="1"/>
  <c r="E200" i="2" s="1"/>
  <c r="D60" i="2" a="1"/>
  <c r="E60" i="2" s="1"/>
  <c r="D66" i="2" a="1"/>
  <c r="E66" i="2" s="1"/>
  <c r="D230" i="2" a="1"/>
  <c r="E230" i="2" s="1"/>
  <c r="D203" i="2" a="1"/>
  <c r="E203" i="2" s="1"/>
  <c r="D204" i="2" a="1"/>
  <c r="E204" i="2" s="1"/>
  <c r="D212" i="2" a="1"/>
  <c r="E212" i="2" s="1"/>
  <c r="D45" i="2" a="1"/>
  <c r="E45" i="2" s="1"/>
  <c r="D295" i="2" a="1"/>
  <c r="E295" i="2" s="1"/>
  <c r="D419" i="2" a="1"/>
  <c r="E419" i="2" s="1"/>
  <c r="D164" i="2" a="1"/>
  <c r="E164" i="2" s="1"/>
  <c r="D199" i="2" a="1"/>
  <c r="E199" i="2" s="1"/>
  <c r="C173" i="2" a="1"/>
  <c r="D140" i="2" a="1"/>
  <c r="E140" i="2" s="1"/>
  <c r="D135" i="2" a="1"/>
  <c r="E135" i="2" s="1"/>
  <c r="D77" i="2" a="1"/>
  <c r="E77" i="2" s="1"/>
  <c r="D173" i="2" a="1"/>
  <c r="E173" i="2" s="1"/>
  <c r="D265" i="2" a="1"/>
  <c r="E265" i="2" s="1"/>
  <c r="D315" i="2" a="1"/>
  <c r="E315" i="2" s="1"/>
  <c r="D335" i="2" a="1"/>
  <c r="E335" i="2" s="1"/>
  <c r="D395" i="2" a="1"/>
  <c r="E395" i="2" s="1"/>
  <c r="D277" i="2" a="1"/>
  <c r="E277" i="2" s="1"/>
  <c r="C139" i="2" a="1"/>
  <c r="D5" i="2" a="1"/>
  <c r="E5" i="2" s="1"/>
  <c r="D11" i="2" a="1"/>
  <c r="E11" i="2" s="1"/>
  <c r="D357" i="2" a="1"/>
  <c r="E357" i="2" s="1"/>
  <c r="D365" i="2" a="1"/>
  <c r="E365" i="2" s="1"/>
  <c r="D21" i="2" a="1"/>
  <c r="E21" i="2" s="1"/>
  <c r="E207" i="1"/>
  <c r="C21" i="2" a="1"/>
  <c r="D14" i="2" a="1"/>
  <c r="E14" i="2" s="1"/>
  <c r="C275" i="2" a="1"/>
  <c r="BE113" i="148"/>
  <c r="BN185" i="148"/>
  <c r="BE99" i="148"/>
  <c r="BN183" i="148"/>
  <c r="BN130" i="148"/>
  <c r="D409" i="2" a="1"/>
  <c r="E409" i="2" s="1"/>
  <c r="C164" i="2" a="1"/>
  <c r="C334" i="2" a="1"/>
  <c r="C273" i="2" a="1"/>
  <c r="C20" i="2" a="1"/>
  <c r="C99" i="2" a="1"/>
  <c r="C346" i="2" a="1"/>
  <c r="C319" i="2" a="1"/>
  <c r="E178" i="1"/>
  <c r="Z141" i="148"/>
  <c r="Z41" i="148"/>
  <c r="Z15" i="148"/>
  <c r="Z20" i="148"/>
  <c r="Z10" i="148"/>
  <c r="AA114" i="148"/>
  <c r="AA95" i="148"/>
  <c r="AA145" i="148"/>
  <c r="AA111" i="148"/>
  <c r="AA127" i="148"/>
  <c r="AA34" i="148"/>
  <c r="AF25" i="148"/>
  <c r="AF87" i="148"/>
  <c r="D375" i="2" a="1"/>
  <c r="E375" i="2" s="1"/>
  <c r="D231" i="2" a="1"/>
  <c r="E231" i="2" s="1"/>
  <c r="D221" i="2" a="1"/>
  <c r="E221" i="2" s="1"/>
  <c r="D122" i="2" a="1"/>
  <c r="D279" i="2" a="1"/>
  <c r="E279" i="2" s="1"/>
  <c r="D269" i="2" a="1"/>
  <c r="E269" i="2" s="1"/>
  <c r="D428" i="2" a="1"/>
  <c r="E428" i="2" s="1"/>
  <c r="D400" i="2" a="1"/>
  <c r="E400" i="2" s="1"/>
  <c r="D333" i="2" a="1"/>
  <c r="E333" i="2" s="1"/>
  <c r="D10" i="2" a="1"/>
  <c r="E10" i="2" s="1"/>
  <c r="BB10" i="148"/>
  <c r="C330" i="2" a="1"/>
  <c r="D418" i="2" a="1"/>
  <c r="E418" i="2" s="1"/>
  <c r="D420" i="2" a="1"/>
  <c r="E420" i="2" s="1"/>
  <c r="D23" i="2" a="1"/>
  <c r="E23" i="2" s="1"/>
  <c r="C267" i="2" a="1"/>
  <c r="D29" i="2" a="1"/>
  <c r="E29" i="2" s="1"/>
  <c r="D411" i="2" a="1"/>
  <c r="E411" i="2" s="1"/>
  <c r="D256" i="2" a="1"/>
  <c r="E256" i="2" s="1"/>
  <c r="D202" i="2" a="1"/>
  <c r="E202" i="2" s="1"/>
  <c r="D162" i="2" a="1"/>
  <c r="E162" i="2" s="1"/>
  <c r="D163" i="2" a="1"/>
  <c r="E163" i="2" s="1"/>
  <c r="C309" i="2" a="1"/>
  <c r="D235" i="2" a="1"/>
  <c r="E235" i="2" s="1"/>
  <c r="C419" i="2" a="1"/>
  <c r="D130" i="2" a="1"/>
  <c r="E130" i="2" s="1"/>
  <c r="D245" i="2" a="1"/>
  <c r="E245" i="2" s="1"/>
  <c r="D36" i="2" a="1"/>
  <c r="E36" i="2" s="1"/>
  <c r="D261" i="2" a="1"/>
  <c r="E261" i="2" s="1"/>
  <c r="C245" i="2" a="1"/>
  <c r="E199" i="1"/>
  <c r="D342" i="2" a="1"/>
  <c r="E342" i="2" s="1"/>
  <c r="D266" i="2" a="1"/>
  <c r="E266" i="2" s="1"/>
  <c r="D206" i="2" a="1"/>
  <c r="E206" i="2" s="1"/>
  <c r="D324" i="2" a="1"/>
  <c r="E324" i="2" s="1"/>
  <c r="D327" i="2" a="1"/>
  <c r="E327" i="2" s="1"/>
  <c r="C260" i="2" a="1"/>
  <c r="D184" i="2" a="1"/>
  <c r="E184" i="2" s="1"/>
  <c r="D214" i="2" a="1"/>
  <c r="E214" i="2" s="1"/>
  <c r="D103" i="2" a="1"/>
  <c r="E103" i="2" s="1"/>
  <c r="D302" i="2" a="1"/>
  <c r="E302" i="2" s="1"/>
  <c r="D72" i="2" a="1"/>
  <c r="E72" i="2" s="1"/>
  <c r="D427" i="2" a="1"/>
  <c r="E427" i="2" s="1"/>
  <c r="D325" i="2" a="1"/>
  <c r="E325" i="2" s="1"/>
  <c r="D284" i="2" a="1"/>
  <c r="E284" i="2" s="1"/>
  <c r="C180" i="2" a="1"/>
  <c r="C258" i="2" a="1"/>
  <c r="AZ137" i="148"/>
  <c r="BI118" i="148"/>
  <c r="BG163" i="148"/>
  <c r="BK101" i="148"/>
  <c r="BD91" i="148"/>
  <c r="BK107" i="148"/>
  <c r="D198" i="2" a="1"/>
  <c r="E198" i="2" s="1"/>
  <c r="D151" i="2" a="1"/>
  <c r="E151" i="2" s="1"/>
  <c r="D118" i="2" a="1"/>
  <c r="E118" i="2" s="1"/>
  <c r="D134" i="2" a="1"/>
  <c r="E134" i="2" s="1"/>
  <c r="E153" i="1"/>
  <c r="D110" i="2" a="1"/>
  <c r="E110" i="2" s="1"/>
  <c r="D28" i="2" a="1"/>
  <c r="E28" i="2" s="1"/>
  <c r="D161" i="2" a="1"/>
  <c r="E161" i="2" s="1"/>
  <c r="D345" i="2" a="1"/>
  <c r="E345" i="2" s="1"/>
  <c r="D191" i="2" a="1"/>
  <c r="E191" i="2" s="1"/>
  <c r="D339" i="2" a="1"/>
  <c r="E339" i="2" s="1"/>
  <c r="D398" i="2" a="1"/>
  <c r="E398" i="2" s="1"/>
  <c r="D152" i="2" a="1"/>
  <c r="E152" i="2" s="1"/>
  <c r="C114" i="2" a="1"/>
  <c r="D297" i="2" a="1"/>
  <c r="E297" i="2" s="1"/>
  <c r="D233" i="2" a="1"/>
  <c r="E233" i="2" s="1"/>
  <c r="E200" i="1"/>
  <c r="D90" i="2" a="1"/>
  <c r="E90" i="2" s="1"/>
  <c r="D104" i="2" a="1"/>
  <c r="E104" i="2" s="1"/>
  <c r="D305" i="2" a="1"/>
  <c r="E305" i="2" s="1"/>
  <c r="C248" i="2" a="1"/>
  <c r="D92" i="2" a="1"/>
  <c r="E92" i="2" s="1"/>
  <c r="D406" i="2" a="1"/>
  <c r="E406" i="2" s="1"/>
  <c r="D165" i="2" a="1"/>
  <c r="E165" i="2" s="1"/>
  <c r="D217" i="2" a="1"/>
  <c r="D145" i="2" a="1"/>
  <c r="E145" i="2" s="1"/>
  <c r="BB33" i="148"/>
  <c r="C294" i="2" a="1"/>
  <c r="D38" i="2" a="1"/>
  <c r="E38" i="2" s="1"/>
  <c r="D168" i="2" a="1"/>
  <c r="E168" i="2" s="1"/>
  <c r="D42" i="2" a="1"/>
  <c r="E42" i="2" s="1"/>
  <c r="C102" i="2" a="1"/>
  <c r="D323" i="2" a="1"/>
  <c r="E323" i="2" s="1"/>
  <c r="D47" i="2" a="1"/>
  <c r="E47" i="2" s="1"/>
  <c r="D331" i="2" a="1"/>
  <c r="E331" i="2" s="1"/>
  <c r="D133" i="2" a="1"/>
  <c r="E133" i="2" s="1"/>
  <c r="D15" i="2" a="1"/>
  <c r="E15" i="2" s="1"/>
  <c r="BE33" i="148"/>
  <c r="D127" i="2" a="1"/>
  <c r="E127" i="2" s="1"/>
  <c r="D18" i="2" a="1"/>
  <c r="E18" i="2" s="1"/>
  <c r="D59" i="2" a="1"/>
  <c r="E59" i="2" s="1"/>
  <c r="C435" i="2" a="1"/>
  <c r="D361" i="2" a="1"/>
  <c r="E361" i="2" s="1"/>
  <c r="D255" i="2" a="1"/>
  <c r="E255" i="2" s="1"/>
  <c r="D210" i="2" a="1"/>
  <c r="E210" i="2" s="1"/>
  <c r="C361" i="2" a="1"/>
  <c r="D355" i="2" a="1"/>
  <c r="E355" i="2" s="1"/>
  <c r="D287" i="2" a="1"/>
  <c r="E287" i="2" s="1"/>
  <c r="D288" i="2" a="1"/>
  <c r="E288" i="2" s="1"/>
  <c r="D149" i="2" a="1"/>
  <c r="E149" i="2" s="1"/>
  <c r="D313" i="2" a="1"/>
  <c r="E313" i="2" s="1"/>
  <c r="D414" i="2" a="1"/>
  <c r="E414" i="2" s="1"/>
  <c r="D186" i="2" a="1"/>
  <c r="E186" i="2" s="1"/>
  <c r="C388" i="2" a="1"/>
  <c r="D352" i="2" a="1"/>
  <c r="E352" i="2" s="1"/>
  <c r="D87" i="2" a="1"/>
  <c r="E87" i="2" s="1"/>
  <c r="D286" i="2" a="1"/>
  <c r="E286" i="2" s="1"/>
  <c r="D330" i="2" a="1"/>
  <c r="E330" i="2" s="1"/>
  <c r="D360" i="2" a="1"/>
  <c r="E360" i="2" s="1"/>
  <c r="D366" i="2" a="1"/>
  <c r="E366" i="2" s="1"/>
  <c r="D113" i="2" a="1"/>
  <c r="E113" i="2" s="1"/>
  <c r="D51" i="2" a="1"/>
  <c r="E51" i="2" s="1"/>
  <c r="D143" i="2" a="1"/>
  <c r="E143" i="2" s="1"/>
  <c r="D100" i="2" a="1"/>
  <c r="E100" i="2" s="1"/>
  <c r="C66" i="2" a="1"/>
  <c r="D102" i="2" a="1"/>
  <c r="E102" i="2" s="1"/>
  <c r="D167" i="2" a="1"/>
  <c r="E167" i="2" s="1"/>
  <c r="D137" i="2" a="1"/>
  <c r="E137" i="2" s="1"/>
  <c r="D4" i="2" a="1"/>
  <c r="E4" i="2" s="1"/>
  <c r="C301" i="2" a="1"/>
  <c r="D247" i="2" a="1"/>
  <c r="E247" i="2" s="1"/>
  <c r="D368" i="2" a="1"/>
  <c r="E368" i="2" s="1"/>
  <c r="D358" i="2" a="1"/>
  <c r="E358" i="2" s="1"/>
  <c r="D136" i="2" a="1"/>
  <c r="E136" i="2" s="1"/>
  <c r="C37" i="2" a="1"/>
  <c r="BJ207" i="148"/>
  <c r="D369" i="2" a="1"/>
  <c r="E369" i="2" s="1"/>
  <c r="D249" i="2" a="1"/>
  <c r="E249" i="2" s="1"/>
  <c r="D96" i="2" a="1"/>
  <c r="E96" i="2" s="1"/>
  <c r="D237" i="2" a="1"/>
  <c r="E237" i="2" s="1"/>
  <c r="S170" i="148"/>
  <c r="S197" i="148"/>
  <c r="S172" i="148"/>
  <c r="S157" i="148"/>
  <c r="S56" i="148"/>
  <c r="S105" i="148"/>
  <c r="S41" i="148"/>
  <c r="S35" i="148"/>
  <c r="S15" i="148"/>
  <c r="S20" i="148"/>
  <c r="S10" i="148"/>
  <c r="H57" i="2"/>
  <c r="C314" i="2" a="1"/>
  <c r="C232" i="2" a="1"/>
  <c r="E139" i="1"/>
  <c r="E149" i="1"/>
  <c r="E136" i="1"/>
  <c r="E152" i="1"/>
  <c r="E137" i="1"/>
  <c r="E146" i="1"/>
  <c r="E135" i="1"/>
  <c r="E104" i="1"/>
  <c r="E193" i="1"/>
  <c r="E142" i="1"/>
  <c r="E173" i="1"/>
  <c r="E125" i="1"/>
  <c r="C137" i="2" a="1"/>
  <c r="E140" i="1"/>
  <c r="E180" i="1"/>
  <c r="E129" i="1"/>
  <c r="E65" i="1"/>
  <c r="E150" i="1"/>
  <c r="E160" i="1"/>
  <c r="E147" i="1"/>
  <c r="E161" i="1"/>
  <c r="E54" i="1"/>
  <c r="E159" i="1"/>
  <c r="E100" i="1"/>
  <c r="E99" i="1"/>
  <c r="E95" i="1"/>
  <c r="E110" i="1"/>
  <c r="E134" i="1"/>
  <c r="E128" i="1"/>
  <c r="E57" i="1"/>
  <c r="E148" i="1"/>
  <c r="E92" i="1"/>
  <c r="BE111" i="148"/>
  <c r="E112" i="1"/>
  <c r="BN151" i="148"/>
  <c r="BN173" i="148"/>
  <c r="E155" i="1"/>
  <c r="E46" i="1"/>
  <c r="E58" i="1"/>
  <c r="E114" i="1"/>
  <c r="E42" i="1"/>
  <c r="E120" i="1"/>
  <c r="E101" i="1"/>
  <c r="BN155" i="148"/>
  <c r="E163" i="1"/>
  <c r="E188" i="1"/>
  <c r="E91" i="1"/>
  <c r="E157" i="1"/>
  <c r="E55" i="1"/>
  <c r="E51" i="1"/>
  <c r="E175" i="1"/>
  <c r="E111" i="1"/>
  <c r="E73" i="1"/>
  <c r="E53" i="1"/>
  <c r="E82" i="1"/>
  <c r="C285" i="2" a="1"/>
  <c r="C3" i="2" a="1"/>
  <c r="C95" i="2" a="1"/>
  <c r="C259" i="2" a="1"/>
  <c r="C350" i="2" a="1"/>
  <c r="V212" i="1"/>
  <c r="E141" i="1"/>
  <c r="D24" i="2" a="1"/>
  <c r="E24" i="2" s="1"/>
  <c r="D272" i="2" a="1"/>
  <c r="E272" i="2" s="1"/>
  <c r="D385" i="2" a="1"/>
  <c r="E385" i="2" s="1"/>
  <c r="D442" i="2" a="1"/>
  <c r="E442" i="2" s="1"/>
  <c r="C292" i="2" a="1"/>
  <c r="C132" i="2" a="1"/>
  <c r="C169" i="2" a="1"/>
  <c r="C135" i="2" a="1"/>
  <c r="C148" i="2" a="1"/>
  <c r="C56" i="2" a="1"/>
  <c r="C401" i="2" a="1"/>
  <c r="C332" i="2" a="1"/>
  <c r="AZ192" i="148"/>
  <c r="BG202" i="148"/>
  <c r="D303" i="2" a="1"/>
  <c r="E303" i="2" s="1"/>
  <c r="D423" i="2" a="1"/>
  <c r="E423" i="2" s="1"/>
  <c r="D386" i="2" a="1"/>
  <c r="E386" i="2" s="1"/>
  <c r="D329" i="2" a="1"/>
  <c r="E329" i="2" s="1"/>
  <c r="D390" i="2" a="1"/>
  <c r="E390" i="2" s="1"/>
  <c r="D412" i="2" a="1"/>
  <c r="E412" i="2" s="1"/>
  <c r="D312" i="2" a="1"/>
  <c r="E312" i="2" s="1"/>
  <c r="C25" i="2" a="1"/>
  <c r="C328" i="2" a="1"/>
  <c r="C219" i="2" a="1"/>
  <c r="C417" i="2" a="1"/>
  <c r="C77" i="2" a="1"/>
  <c r="C86" i="2" a="1"/>
  <c r="C274" i="2" a="1"/>
  <c r="C402" i="2" a="1"/>
  <c r="D299" i="2" a="1"/>
  <c r="E299" i="2" s="1"/>
  <c r="E16" i="2"/>
  <c r="D146" i="2" a="1"/>
  <c r="E146" i="2" s="1"/>
  <c r="D185" i="2" a="1"/>
  <c r="E185" i="2" s="1"/>
  <c r="D425" i="2" a="1"/>
  <c r="E425" i="2" s="1"/>
  <c r="D264" i="2" a="1"/>
  <c r="E264" i="2" s="1"/>
  <c r="D434" i="2" a="1"/>
  <c r="E434" i="2" s="1"/>
  <c r="D304" i="2" a="1"/>
  <c r="E304" i="2" s="1"/>
  <c r="D321" i="2" a="1"/>
  <c r="E321" i="2" s="1"/>
  <c r="D49" i="2" a="1"/>
  <c r="E49" i="2" s="1"/>
  <c r="C189" i="2" a="1"/>
  <c r="C40" i="2" a="1"/>
  <c r="C375" i="2" a="1"/>
  <c r="C205" i="2" a="1"/>
  <c r="C250" i="2" a="1"/>
  <c r="D310" i="2" a="1"/>
  <c r="E310" i="2" s="1"/>
  <c r="C106" i="2" a="1"/>
  <c r="C8" i="2" a="1"/>
  <c r="C39" i="2" a="1"/>
  <c r="D12" i="2" a="1"/>
  <c r="E12" i="2" s="1"/>
  <c r="D80" i="2" a="1"/>
  <c r="E80" i="2" s="1"/>
  <c r="D190" i="2" a="1"/>
  <c r="E190" i="2" s="1"/>
  <c r="D57" i="2" a="1"/>
  <c r="E57" i="2" s="1"/>
  <c r="D372" i="2" a="1"/>
  <c r="E372" i="2" s="1"/>
  <c r="D109" i="2" a="1"/>
  <c r="E109" i="2" s="1"/>
  <c r="C242" i="2" a="1"/>
  <c r="C22" i="2" a="1"/>
  <c r="C376" i="2" a="1"/>
  <c r="C68" i="2" a="1"/>
  <c r="C7" i="2" a="1"/>
  <c r="C53" i="2" a="1"/>
  <c r="D73" i="2" a="1"/>
  <c r="E73" i="2" s="1"/>
  <c r="D108" i="2" a="1"/>
  <c r="E108" i="2" s="1"/>
  <c r="D46" i="2" a="1"/>
  <c r="E46" i="2" s="1"/>
  <c r="D141" i="2" a="1"/>
  <c r="E141" i="2" s="1"/>
  <c r="D112" i="2" a="1"/>
  <c r="E112" i="2" s="1"/>
  <c r="D354" i="2" a="1"/>
  <c r="E354" i="2" s="1"/>
  <c r="D154" i="2" a="1"/>
  <c r="E154" i="2" s="1"/>
  <c r="D239" i="2" a="1"/>
  <c r="E239" i="2" s="1"/>
  <c r="AZ33" i="148"/>
  <c r="C317" i="2" a="1"/>
  <c r="C174" i="2" a="1"/>
  <c r="C35" i="2" a="1"/>
  <c r="C277" i="2" a="1"/>
  <c r="C254" i="2" a="1"/>
  <c r="C282" i="2" a="1"/>
  <c r="C195" i="2" a="1"/>
  <c r="C365" i="2" a="1"/>
  <c r="D308" i="2" a="1"/>
  <c r="E308" i="2" s="1"/>
  <c r="D86" i="2" a="1"/>
  <c r="E86" i="2" s="1"/>
  <c r="D147" i="2" a="1"/>
  <c r="E147" i="2" s="1"/>
  <c r="C156" i="2" a="1"/>
  <c r="C356" i="2" a="1"/>
  <c r="C61" i="2" a="1"/>
  <c r="C70" i="2" a="1"/>
  <c r="C147" i="2" a="1"/>
  <c r="C215" i="2" a="1"/>
  <c r="C130" i="2" a="1"/>
  <c r="C199" i="2" a="1"/>
  <c r="E156" i="1"/>
  <c r="D171" i="2" a="1"/>
  <c r="E171" i="2" s="1"/>
  <c r="D126" i="2" a="1"/>
  <c r="E126" i="2" s="1"/>
  <c r="D48" i="2" a="1"/>
  <c r="E48" i="2" s="1"/>
  <c r="D219" i="2" a="1"/>
  <c r="E219" i="2" s="1"/>
  <c r="D332" i="2" a="1"/>
  <c r="E332" i="2" s="1"/>
  <c r="C78" i="2" a="1"/>
  <c r="C30" i="2" a="1"/>
  <c r="C394" i="2" a="1"/>
  <c r="C421" i="2" a="1"/>
  <c r="C337" i="2" a="1"/>
  <c r="C69" i="2" a="1"/>
  <c r="AZ46" i="148"/>
  <c r="C141" i="2" a="1"/>
  <c r="D79" i="2" a="1"/>
  <c r="E79" i="2" s="1"/>
  <c r="D196" i="2" a="1"/>
  <c r="E196" i="2" s="1"/>
  <c r="D178" i="2" a="1"/>
  <c r="E178" i="2" s="1"/>
  <c r="D356" i="2" a="1"/>
  <c r="E356" i="2" s="1"/>
  <c r="D34" i="2" a="1"/>
  <c r="E34" i="2" s="1"/>
  <c r="D415" i="2" a="1"/>
  <c r="E415" i="2" s="1"/>
  <c r="D31" i="2" a="1"/>
  <c r="E31" i="2" s="1"/>
  <c r="D359" i="2" a="1"/>
  <c r="E359" i="2" s="1"/>
  <c r="C393" i="2" a="1"/>
  <c r="C432" i="2" a="1"/>
  <c r="C50" i="2" a="1"/>
  <c r="C278" i="2" a="1"/>
  <c r="C98" i="2" a="1"/>
  <c r="C115" i="2" a="1"/>
  <c r="C117" i="2" a="1"/>
  <c r="C116" i="2" a="1"/>
  <c r="C335" i="2" a="1"/>
  <c r="D291" i="2" a="1"/>
  <c r="E291" i="2" s="1"/>
  <c r="E194" i="2"/>
  <c r="D208" i="2" a="1"/>
  <c r="E208" i="2" s="1"/>
  <c r="D153" i="2" a="1"/>
  <c r="E153" i="2" s="1"/>
  <c r="D364" i="2" a="1"/>
  <c r="E364" i="2" s="1"/>
  <c r="D98" i="2" a="1"/>
  <c r="E98" i="2" s="1"/>
  <c r="D53" i="2" a="1"/>
  <c r="E53" i="2" s="1"/>
  <c r="D381" i="2" a="1"/>
  <c r="E381" i="2" s="1"/>
  <c r="AZ73" i="148"/>
  <c r="C396" i="2" a="1"/>
  <c r="C283" i="2" a="1"/>
  <c r="C144" i="2" a="1"/>
  <c r="C166" i="2" a="1"/>
  <c r="D213" i="2" a="1"/>
  <c r="E213" i="2" s="1"/>
  <c r="C363" i="2" a="1"/>
  <c r="C105" i="2" a="1"/>
  <c r="C55" i="2" a="1"/>
  <c r="C29" i="2" a="1"/>
  <c r="D273" i="2" a="1"/>
  <c r="E273" i="2" s="1"/>
  <c r="D380" i="2" a="1"/>
  <c r="E380" i="2" s="1"/>
  <c r="D351" i="2" a="1"/>
  <c r="E351" i="2" s="1"/>
  <c r="D399" i="2" a="1"/>
  <c r="E399" i="2" s="1"/>
  <c r="D344" i="2" a="1"/>
  <c r="E344" i="2" s="1"/>
  <c r="D382" i="2" a="1"/>
  <c r="E382" i="2" s="1"/>
  <c r="D320" i="2" a="1"/>
  <c r="E320" i="2" s="1"/>
  <c r="C11" i="2" a="1"/>
  <c r="C200" i="2" a="1"/>
  <c r="C124" i="2" a="1"/>
  <c r="C172" i="2" a="1"/>
  <c r="C167" i="2" a="1"/>
  <c r="C125" i="2" a="1"/>
  <c r="C423" i="2" a="1"/>
  <c r="C228" i="2" a="1"/>
  <c r="C225" i="2" a="1"/>
  <c r="E145" i="1"/>
  <c r="D440" i="2" a="1"/>
  <c r="E440" i="2" s="1"/>
  <c r="D367" i="2" a="1"/>
  <c r="E367" i="2" s="1"/>
  <c r="D157" i="2" a="1"/>
  <c r="E157" i="2" s="1"/>
  <c r="D298" i="2" a="1"/>
  <c r="E298" i="2" s="1"/>
  <c r="D89" i="2" a="1"/>
  <c r="E89" i="2" s="1"/>
  <c r="D52" i="2" a="1"/>
  <c r="E52" i="2" s="1"/>
  <c r="C236" i="2" a="1"/>
  <c r="C203" i="2" a="1"/>
  <c r="C391" i="2" a="1"/>
  <c r="C5" i="2" a="1"/>
  <c r="BC202" i="148"/>
  <c r="BD143" i="148"/>
  <c r="BK160" i="148"/>
  <c r="BF184" i="148"/>
  <c r="BA135" i="148"/>
  <c r="BG199" i="148"/>
  <c r="BC199" i="148"/>
  <c r="BJ197" i="148"/>
  <c r="BD136" i="148"/>
  <c r="BK132" i="148"/>
  <c r="BF203" i="148"/>
  <c r="BA114" i="148"/>
  <c r="BG205" i="148"/>
  <c r="BC205" i="148"/>
  <c r="BJ182" i="148"/>
  <c r="BD104" i="148"/>
  <c r="BK140" i="148"/>
  <c r="BF78" i="148"/>
  <c r="BA95" i="148"/>
  <c r="BG161" i="148"/>
  <c r="BC161" i="148"/>
  <c r="BJ190" i="148"/>
  <c r="BD150" i="148"/>
  <c r="BK181" i="148"/>
  <c r="BF72" i="148"/>
  <c r="BA166" i="148"/>
  <c r="BG145" i="148"/>
  <c r="BC145" i="148"/>
  <c r="BJ124" i="148"/>
  <c r="BD176" i="148"/>
  <c r="BK192" i="148"/>
  <c r="BF178" i="148"/>
  <c r="BA89" i="148"/>
  <c r="BG118" i="148"/>
  <c r="BC118" i="148"/>
  <c r="BJ195" i="148"/>
  <c r="BD77" i="148"/>
  <c r="BK119" i="148"/>
  <c r="BF186" i="148"/>
  <c r="BA121" i="148"/>
  <c r="BG142" i="148"/>
  <c r="BC142" i="148"/>
  <c r="BJ129" i="148"/>
  <c r="BD93" i="148"/>
  <c r="BK57" i="148"/>
  <c r="BF55" i="148"/>
  <c r="BA201" i="148"/>
  <c r="BC163" i="148"/>
  <c r="BJ122" i="148"/>
  <c r="BD81" i="148"/>
  <c r="BF91" i="148"/>
  <c r="BA107" i="148"/>
  <c r="BG126" i="148"/>
  <c r="BC126" i="148"/>
  <c r="BJ174" i="148"/>
  <c r="BD111" i="148"/>
  <c r="BF46" i="148"/>
  <c r="BA179" i="148"/>
  <c r="BG69" i="148"/>
  <c r="BC69" i="148"/>
  <c r="BJ43" i="148"/>
  <c r="BD113" i="148"/>
  <c r="BF105" i="148"/>
  <c r="BA103" i="148"/>
  <c r="BG193" i="148"/>
  <c r="BC193" i="148"/>
  <c r="BJ87" i="148"/>
  <c r="BD99" i="148"/>
  <c r="BF96" i="148"/>
  <c r="BA85" i="148"/>
  <c r="BG86" i="148"/>
  <c r="BC86" i="148"/>
  <c r="BJ71" i="148"/>
  <c r="BD83" i="148"/>
  <c r="BF74" i="148"/>
  <c r="BA141" i="148"/>
  <c r="BG177" i="148"/>
  <c r="BC177" i="148"/>
  <c r="BJ123" i="148"/>
  <c r="BD34" i="148"/>
  <c r="BF188" i="148"/>
  <c r="BA63" i="148"/>
  <c r="BG79" i="148"/>
  <c r="BC79" i="148"/>
  <c r="BJ64" i="148"/>
  <c r="BD62" i="148"/>
  <c r="BK47" i="148"/>
  <c r="BF22" i="148"/>
  <c r="BA26" i="148"/>
  <c r="BG10" i="148"/>
  <c r="BC10" i="148"/>
  <c r="BJ50" i="148"/>
  <c r="BD29" i="148"/>
  <c r="BK32" i="148"/>
  <c r="BF24" i="148"/>
  <c r="BA116" i="148"/>
  <c r="BG21" i="148"/>
  <c r="BC21" i="148"/>
  <c r="BJ13" i="148"/>
  <c r="BD23" i="148"/>
  <c r="BF16" i="148"/>
  <c r="BA75" i="148"/>
  <c r="BG20" i="148"/>
  <c r="BC20" i="148"/>
  <c r="BJ60" i="148"/>
  <c r="BG2" i="148"/>
  <c r="BG6" i="148"/>
  <c r="BC6" i="148"/>
  <c r="BJ27" i="148"/>
  <c r="D93" i="148"/>
  <c r="D111" i="148"/>
  <c r="D45" i="148"/>
  <c r="AD24" i="148"/>
  <c r="AD5" i="148"/>
  <c r="AD35" i="148"/>
  <c r="AD20" i="148"/>
  <c r="AD10" i="148"/>
  <c r="AD28" i="148"/>
  <c r="AD38" i="148"/>
  <c r="AD11" i="148"/>
  <c r="AD2" i="148"/>
  <c r="AD100" i="148"/>
  <c r="AD7" i="148"/>
  <c r="F126" i="148"/>
  <c r="F163" i="148"/>
  <c r="F25" i="148"/>
  <c r="F177" i="148"/>
  <c r="F24" i="148"/>
  <c r="F5" i="148"/>
  <c r="F101" i="148"/>
  <c r="F164" i="148"/>
  <c r="F200" i="148"/>
  <c r="F56" i="148"/>
  <c r="F99" i="148"/>
  <c r="F141" i="148"/>
  <c r="F35" i="148"/>
  <c r="F20" i="148"/>
  <c r="F10" i="148"/>
  <c r="H122" i="148"/>
  <c r="H155" i="148"/>
  <c r="H130" i="148"/>
  <c r="H82" i="148"/>
  <c r="H37" i="148"/>
  <c r="H60" i="148"/>
  <c r="H183" i="148"/>
  <c r="H33" i="148"/>
  <c r="H39" i="148"/>
  <c r="H174" i="148"/>
  <c r="H180" i="148"/>
  <c r="H123" i="148"/>
  <c r="H116" i="148"/>
  <c r="H12" i="148"/>
  <c r="H4" i="148"/>
  <c r="BJ160" i="148"/>
  <c r="AE81" i="148"/>
  <c r="AE56" i="148"/>
  <c r="AE99" i="148"/>
  <c r="AE141" i="148"/>
  <c r="AE41" i="148"/>
  <c r="AE35" i="148"/>
  <c r="AE15" i="148"/>
  <c r="AE20" i="148"/>
  <c r="AE10" i="148"/>
  <c r="H94" i="148"/>
  <c r="H30" i="148"/>
  <c r="I158" i="148"/>
  <c r="I175" i="148"/>
  <c r="I183" i="148"/>
  <c r="I33" i="148"/>
  <c r="I26" i="148"/>
  <c r="I120" i="148"/>
  <c r="I174" i="148"/>
  <c r="I180" i="148"/>
  <c r="I59" i="148"/>
  <c r="I123" i="148"/>
  <c r="I64" i="148"/>
  <c r="I116" i="148"/>
  <c r="I75" i="148"/>
  <c r="J165" i="148"/>
  <c r="J107" i="148"/>
  <c r="J108" i="148"/>
  <c r="J103" i="148"/>
  <c r="J73" i="148"/>
  <c r="J40" i="148"/>
  <c r="J23" i="148"/>
  <c r="J8" i="148"/>
  <c r="K69" i="148"/>
  <c r="K58" i="148"/>
  <c r="K53" i="148"/>
  <c r="K27" i="148"/>
  <c r="K39" i="148"/>
  <c r="L23" i="148"/>
  <c r="M85" i="148"/>
  <c r="M130" i="148"/>
  <c r="M82" i="148"/>
  <c r="M60" i="148"/>
  <c r="N12" i="148"/>
  <c r="P118" i="148"/>
  <c r="P61" i="148"/>
  <c r="P180" i="148"/>
  <c r="P59" i="148"/>
  <c r="P116" i="148"/>
  <c r="Q191" i="148"/>
  <c r="Q186" i="148"/>
  <c r="Q91" i="148"/>
  <c r="Q85" i="148"/>
  <c r="Q60" i="148"/>
  <c r="Q22" i="148"/>
  <c r="Q3" i="148"/>
  <c r="R132" i="148"/>
  <c r="R98" i="148"/>
  <c r="S174" i="148"/>
  <c r="S123" i="148"/>
  <c r="S12" i="148"/>
  <c r="V122" i="148"/>
  <c r="V155" i="148"/>
  <c r="V85" i="148"/>
  <c r="V82" i="148"/>
  <c r="W12" i="148"/>
  <c r="X167" i="148"/>
  <c r="X85" i="148"/>
  <c r="X82" i="148"/>
  <c r="Z123" i="148"/>
  <c r="Z116" i="148"/>
  <c r="Z75" i="148"/>
  <c r="Z4" i="148"/>
  <c r="AA91" i="148"/>
  <c r="AA37" i="148"/>
  <c r="AB118" i="148"/>
  <c r="AB139" i="148"/>
  <c r="AS131" i="148"/>
  <c r="AS165" i="148"/>
  <c r="AS144" i="148"/>
  <c r="AS103" i="148"/>
  <c r="AS94" i="148"/>
  <c r="AS40" i="148"/>
  <c r="AS8" i="148"/>
  <c r="AF69" i="148"/>
  <c r="AF58" i="148"/>
  <c r="AF31" i="148"/>
  <c r="AF27" i="148"/>
  <c r="AF26" i="148"/>
  <c r="AG103" i="148"/>
  <c r="AG94" i="148"/>
  <c r="AG30" i="148"/>
  <c r="AI66" i="148"/>
  <c r="AI103" i="148"/>
  <c r="AI73" i="148"/>
  <c r="C214" i="2" a="1"/>
  <c r="C33" i="2" a="1"/>
  <c r="E208" i="1"/>
  <c r="E81" i="1"/>
  <c r="C27" i="2" a="1"/>
  <c r="C49" i="2" a="1"/>
  <c r="C123" i="2" a="1"/>
  <c r="C175" i="2" a="1"/>
  <c r="C26" i="2" a="1"/>
  <c r="C327" i="2" a="1"/>
  <c r="C264" i="2" a="1"/>
  <c r="C407" i="2" a="1"/>
  <c r="C374" i="2" a="1"/>
  <c r="E126" i="1"/>
  <c r="E43" i="1"/>
  <c r="C293" i="2" a="1"/>
  <c r="C368" i="2" a="1"/>
  <c r="BM154" i="148"/>
  <c r="BI199" i="148"/>
  <c r="AZ136" i="148"/>
  <c r="BM162" i="148"/>
  <c r="BI205" i="148"/>
  <c r="AZ104" i="148"/>
  <c r="BM204" i="148"/>
  <c r="BI161" i="148"/>
  <c r="AZ150" i="148"/>
  <c r="BM187" i="148"/>
  <c r="BI145" i="148"/>
  <c r="AZ176" i="148"/>
  <c r="BM172" i="148"/>
  <c r="AZ77" i="148"/>
  <c r="BM206" i="148"/>
  <c r="BI142" i="148"/>
  <c r="AZ93" i="148"/>
  <c r="BM66" i="148"/>
  <c r="C329" i="2" a="1"/>
  <c r="C276" i="2" a="1"/>
  <c r="D396" i="2" a="1"/>
  <c r="C408" i="2" a="1"/>
  <c r="C65" i="2" a="1"/>
  <c r="C355" i="2" a="1"/>
  <c r="C142" i="2" a="1"/>
  <c r="C389" i="2" a="1"/>
  <c r="E184" i="1"/>
  <c r="AZ155" i="148"/>
  <c r="C289" i="2" a="1"/>
  <c r="C57" i="2" a="1"/>
  <c r="C6" i="2" a="1"/>
  <c r="C58" i="2" a="1"/>
  <c r="C429" i="2" a="1"/>
  <c r="C398" i="2" a="1"/>
  <c r="C97" i="2" a="1"/>
  <c r="C72" i="2" a="1"/>
  <c r="C353" i="2" a="1"/>
  <c r="C226" i="2" a="1"/>
  <c r="C107" i="2" a="1"/>
  <c r="C296" i="2" a="1"/>
  <c r="C341" i="2" a="1"/>
  <c r="E166" i="1"/>
  <c r="AZ25" i="148"/>
  <c r="C291" i="2" a="1"/>
  <c r="C96" i="2" a="1"/>
  <c r="D54" i="2" a="1"/>
  <c r="E54" i="2" s="1"/>
  <c r="C379" i="2" a="1"/>
  <c r="C311" i="2" a="1"/>
  <c r="C431" i="2" a="1"/>
  <c r="C305" i="2" a="1"/>
  <c r="C424" i="2" a="1"/>
  <c r="C216" i="2" a="1"/>
  <c r="C371" i="2" a="1"/>
  <c r="C295" i="2" a="1"/>
  <c r="C302" i="2" a="1"/>
  <c r="C89" i="2" a="1"/>
  <c r="C249" i="2" a="1"/>
  <c r="C281" i="2" a="1"/>
  <c r="C54" i="2" a="1"/>
  <c r="C385" i="2" a="1"/>
  <c r="C212" i="2" a="1"/>
  <c r="C82" i="2" a="1"/>
  <c r="C88" i="2" a="1"/>
  <c r="C10" i="2" a="1"/>
  <c r="E124" i="1"/>
  <c r="E25" i="1"/>
  <c r="C46" i="2" a="1"/>
  <c r="C92" i="2" a="1"/>
  <c r="C237" i="2" a="1"/>
  <c r="C122" i="2" a="1"/>
  <c r="C359" i="2" a="1"/>
  <c r="C181" i="2" a="1"/>
  <c r="C436" i="2" a="1"/>
  <c r="C12" i="2" a="1"/>
  <c r="E170" i="1"/>
  <c r="BA33" i="148"/>
  <c r="E183" i="1"/>
  <c r="C193" i="2" a="1"/>
  <c r="C190" i="2" a="1"/>
  <c r="C131" i="2" a="1"/>
  <c r="C81" i="2" a="1"/>
  <c r="C187" i="2" a="1"/>
  <c r="C315" i="2" a="1"/>
  <c r="C217" i="2" a="1"/>
  <c r="C41" i="2" a="1"/>
  <c r="C298" i="2" a="1"/>
  <c r="C349" i="2" a="1"/>
  <c r="C310" i="2" a="1"/>
  <c r="C179" i="2" a="1"/>
  <c r="C373" i="2" a="1"/>
  <c r="C140" i="2" a="1"/>
  <c r="D223" i="2" a="1"/>
  <c r="E223" i="2" s="1"/>
  <c r="C76" i="2" a="1"/>
  <c r="C129" i="2" a="1"/>
  <c r="C221" i="2" a="1"/>
  <c r="C170" i="2" a="1"/>
  <c r="D311" i="2" a="1"/>
  <c r="E311" i="2" s="1"/>
  <c r="C410" i="2" a="1"/>
  <c r="C300" i="2" a="1"/>
  <c r="E190" i="1"/>
  <c r="C84" i="2" a="1"/>
  <c r="C252" i="2" a="1"/>
  <c r="E144" i="1"/>
  <c r="C323" i="2" a="1"/>
  <c r="C343" i="2" a="1"/>
  <c r="C324" i="2" a="1"/>
  <c r="C397" i="2" a="1"/>
  <c r="C75" i="2" a="1"/>
  <c r="C279" i="2" a="1"/>
  <c r="C91" i="2" a="1"/>
  <c r="C446" i="2" a="1"/>
  <c r="C247" i="2" a="1"/>
  <c r="C366" i="2" a="1"/>
  <c r="E158" i="1"/>
  <c r="C280" i="2" a="1"/>
  <c r="C440" i="2" a="1"/>
  <c r="C360" i="2" a="1"/>
  <c r="C286" i="2" a="1"/>
  <c r="C347" i="2" a="1"/>
  <c r="C425" i="2" a="1"/>
  <c r="C439" i="2" a="1"/>
  <c r="C138" i="2" a="1"/>
  <c r="C83" i="2" a="1"/>
  <c r="C357" i="2" a="1"/>
  <c r="E204" i="1"/>
  <c r="C261" i="2" a="1"/>
  <c r="C416" i="2" a="1"/>
  <c r="C19" i="2" a="1"/>
  <c r="C241" i="2" a="1"/>
  <c r="C227" i="2" a="1"/>
  <c r="BI163" i="148"/>
  <c r="AZ81" i="148"/>
  <c r="BM80" i="148"/>
  <c r="BI126" i="148"/>
  <c r="BM151" i="148"/>
  <c r="BI69" i="148"/>
  <c r="BI193" i="148"/>
  <c r="BI86" i="148"/>
  <c r="BI177" i="148"/>
  <c r="BI79" i="148"/>
  <c r="BM100" i="148"/>
  <c r="BI10" i="148"/>
  <c r="AZ29" i="148"/>
  <c r="BM35" i="148"/>
  <c r="BI21" i="148"/>
  <c r="AZ23" i="148"/>
  <c r="BM12" i="148"/>
  <c r="BI20" i="148"/>
  <c r="BI2" i="148"/>
  <c r="BI6" i="148"/>
  <c r="D48" i="148"/>
  <c r="J191" i="148"/>
  <c r="J186" i="148"/>
  <c r="J91" i="148"/>
  <c r="J155" i="148"/>
  <c r="J85" i="148"/>
  <c r="J37" i="148"/>
  <c r="J60" i="148"/>
  <c r="J3" i="148"/>
  <c r="K174" i="148"/>
  <c r="K139" i="148"/>
  <c r="K180" i="148"/>
  <c r="K64" i="148"/>
  <c r="K75" i="148"/>
  <c r="L3" i="148"/>
  <c r="L116" i="148"/>
  <c r="M58" i="148"/>
  <c r="M53" i="148"/>
  <c r="M183" i="148"/>
  <c r="M33" i="148"/>
  <c r="M39" i="148"/>
  <c r="N73" i="148"/>
  <c r="N60" i="148"/>
  <c r="N183" i="148"/>
  <c r="N31" i="148"/>
  <c r="O31" i="148"/>
  <c r="P108" i="148"/>
  <c r="P23" i="148"/>
  <c r="Q179" i="148"/>
  <c r="Q53" i="148"/>
  <c r="Q183" i="148"/>
  <c r="Q27" i="148"/>
  <c r="Q26" i="148"/>
  <c r="R131" i="148"/>
  <c r="R192" i="148"/>
  <c r="R94" i="148"/>
  <c r="S73" i="148"/>
  <c r="S40" i="148"/>
  <c r="S8" i="148"/>
  <c r="U40" i="148"/>
  <c r="V53" i="148"/>
  <c r="V183" i="148"/>
  <c r="V39" i="148"/>
  <c r="W66" i="148"/>
  <c r="W73" i="148"/>
  <c r="W40" i="148"/>
  <c r="W47" i="148"/>
  <c r="W8" i="148"/>
  <c r="X175" i="148"/>
  <c r="X77" i="148"/>
  <c r="X201" i="148"/>
  <c r="X179" i="148"/>
  <c r="X183" i="148"/>
  <c r="X26" i="148"/>
  <c r="Z108" i="148"/>
  <c r="Z30" i="148"/>
  <c r="Z23" i="148"/>
  <c r="Z8" i="148"/>
  <c r="AB131" i="148"/>
  <c r="AA100" i="148"/>
  <c r="AA17" i="148"/>
  <c r="AA7" i="148"/>
  <c r="AB164" i="148"/>
  <c r="AB81" i="148"/>
  <c r="AB56" i="148"/>
  <c r="AB105" i="148"/>
  <c r="AB141" i="148"/>
  <c r="AB35" i="148"/>
  <c r="AB15" i="148"/>
  <c r="AB20" i="148"/>
  <c r="AB10" i="148"/>
  <c r="E28" i="148"/>
  <c r="E38" i="148"/>
  <c r="E11" i="148"/>
  <c r="E2" i="148"/>
  <c r="E100" i="148"/>
  <c r="E17" i="148"/>
  <c r="E7" i="148"/>
  <c r="AS205" i="148"/>
  <c r="AS208" i="148"/>
  <c r="AS119" i="148"/>
  <c r="AS84" i="148"/>
  <c r="AS133" i="148"/>
  <c r="AS147" i="148"/>
  <c r="AS113" i="148"/>
  <c r="AS54" i="148"/>
  <c r="AS83" i="148"/>
  <c r="AS63" i="148"/>
  <c r="AS28" i="148"/>
  <c r="AS38" i="148"/>
  <c r="AS49" i="148"/>
  <c r="AS11" i="148"/>
  <c r="AS2" i="148"/>
  <c r="AC93" i="148"/>
  <c r="AC111" i="148"/>
  <c r="AC127" i="148"/>
  <c r="AC80" i="148"/>
  <c r="AC51" i="148"/>
  <c r="AC88" i="148"/>
  <c r="AC34" i="148"/>
  <c r="AC17" i="148"/>
  <c r="AC52" i="148"/>
  <c r="AC45" i="148"/>
  <c r="AC7" i="148"/>
  <c r="AF71" i="148"/>
  <c r="AF177" i="148"/>
  <c r="AF79" i="148"/>
  <c r="AF24" i="148"/>
  <c r="AF5" i="148"/>
  <c r="AF48" i="148"/>
  <c r="AF101" i="148"/>
  <c r="AG205" i="148"/>
  <c r="AG119" i="148"/>
  <c r="AG133" i="148"/>
  <c r="AG113" i="148"/>
  <c r="AG54" i="148"/>
  <c r="AG63" i="148"/>
  <c r="AG38" i="148"/>
  <c r="AG49" i="148"/>
  <c r="AG11" i="148"/>
  <c r="AH7" i="148"/>
  <c r="AH24" i="148"/>
  <c r="AH5" i="148"/>
  <c r="AH35" i="148"/>
  <c r="AH15" i="148"/>
  <c r="AH20" i="148"/>
  <c r="AH28" i="148"/>
  <c r="AH38" i="148"/>
  <c r="AH11" i="148"/>
  <c r="AH2" i="148"/>
  <c r="AT119" i="148"/>
  <c r="AT83" i="148"/>
  <c r="AT63" i="148"/>
  <c r="AT38" i="148"/>
  <c r="AT11" i="148"/>
  <c r="AU164" i="148"/>
  <c r="AU172" i="148"/>
  <c r="AU157" i="148"/>
  <c r="AV113" i="148"/>
  <c r="AV63" i="148"/>
  <c r="AV28" i="148"/>
  <c r="AV38" i="148"/>
  <c r="AV49" i="148"/>
  <c r="AV11" i="148"/>
  <c r="AB192" i="148"/>
  <c r="AS186" i="148"/>
  <c r="AS91" i="148"/>
  <c r="AS82" i="148"/>
  <c r="AS60" i="148"/>
  <c r="AS22" i="148"/>
  <c r="AS3" i="148"/>
  <c r="AC77" i="148"/>
  <c r="AC201" i="148"/>
  <c r="AC179" i="148"/>
  <c r="AC33" i="148"/>
  <c r="AC31" i="148"/>
  <c r="AC27" i="148"/>
  <c r="AF59" i="148"/>
  <c r="AG130" i="148"/>
  <c r="AH12" i="148"/>
  <c r="AH4" i="148"/>
  <c r="G38" i="1"/>
  <c r="D150" i="148"/>
  <c r="D200" i="148"/>
  <c r="D99" i="148"/>
  <c r="D41" i="148"/>
  <c r="D35" i="148"/>
  <c r="D84" i="148"/>
  <c r="D113" i="148"/>
  <c r="C155" i="2" a="1"/>
  <c r="E187" i="1"/>
  <c r="E198" i="1"/>
  <c r="E118" i="1"/>
  <c r="E127" i="1"/>
  <c r="E203" i="1"/>
  <c r="E106" i="1"/>
  <c r="E177" i="1"/>
  <c r="E205" i="1"/>
  <c r="E185" i="1"/>
  <c r="E172" i="1"/>
  <c r="E113" i="1"/>
  <c r="E79" i="1"/>
  <c r="E97" i="1"/>
  <c r="E169" i="1"/>
  <c r="E69" i="1"/>
  <c r="E71" i="1"/>
  <c r="C73" i="2" a="1"/>
  <c r="E194" i="1"/>
  <c r="E181" i="1"/>
  <c r="E195" i="1"/>
  <c r="E96" i="1"/>
  <c r="E130" i="1"/>
  <c r="C231" i="2" a="1"/>
  <c r="E164" i="1"/>
  <c r="E78" i="1"/>
  <c r="E133" i="1"/>
  <c r="E132" i="1"/>
  <c r="E119" i="1"/>
  <c r="E94" i="1"/>
  <c r="E102" i="1"/>
  <c r="E90" i="1"/>
  <c r="E56" i="1"/>
  <c r="E201" i="1"/>
  <c r="E76" i="1"/>
  <c r="E123" i="1"/>
  <c r="E60" i="1"/>
  <c r="C444" i="2" a="1"/>
  <c r="C345" i="2" a="1"/>
  <c r="C256" i="2" a="1"/>
  <c r="C224" i="2" a="1"/>
  <c r="C428" i="2" a="1"/>
  <c r="C44" i="2" a="1"/>
  <c r="C266" i="2" a="1"/>
  <c r="C367" i="2" a="1"/>
  <c r="C316" i="2" a="1"/>
  <c r="C238" i="2" a="1"/>
  <c r="C404" i="2" a="1"/>
  <c r="C383" i="2" a="1"/>
  <c r="C206" i="2" a="1"/>
  <c r="C434" i="2" a="1"/>
  <c r="C378" i="2" a="1"/>
  <c r="C112" i="2" a="1"/>
  <c r="C146" i="2" a="1"/>
  <c r="C354" i="2" a="1"/>
  <c r="C426" i="2" a="1"/>
  <c r="C176" i="2" a="1"/>
  <c r="C101" i="2" a="1"/>
  <c r="C364" i="2" a="1"/>
  <c r="C171" i="2" a="1"/>
  <c r="C384" i="2" a="1"/>
  <c r="C290" i="2" a="1"/>
  <c r="C202" i="2" a="1"/>
  <c r="C120" i="2" a="1"/>
  <c r="C111" i="2" a="1"/>
  <c r="C4" i="2" a="1"/>
  <c r="C109" i="2" a="1"/>
  <c r="C406" i="2" a="1"/>
  <c r="C427" i="2" a="1"/>
  <c r="C382" i="2" a="1"/>
  <c r="C192" i="2" a="1"/>
  <c r="C23" i="2" a="1"/>
  <c r="C209" i="2" a="1"/>
  <c r="C433" i="2" a="1"/>
  <c r="C308" i="2" a="1"/>
  <c r="C303" i="2" a="1"/>
  <c r="C145" i="2" a="1"/>
  <c r="C445" i="2" a="1"/>
  <c r="C437" i="2" a="1"/>
  <c r="C284" i="2" a="1"/>
  <c r="C441" i="2" a="1"/>
  <c r="C287" i="2" a="1"/>
  <c r="C312" i="2" a="1"/>
  <c r="C48" i="2" a="1"/>
  <c r="C269" i="2" a="1"/>
  <c r="C194" i="2" a="1"/>
  <c r="C197" i="2" a="1"/>
  <c r="C340" i="2" a="1"/>
  <c r="C351" i="2" a="1"/>
  <c r="C442" i="2" a="1"/>
  <c r="C15" i="2" a="1"/>
  <c r="C157" i="2" a="1"/>
  <c r="C52" i="2" a="1"/>
  <c r="C331" i="2" a="1"/>
  <c r="C94" i="2" a="1"/>
  <c r="C325" i="2" a="1"/>
  <c r="C380" i="2" a="1"/>
  <c r="C409" i="2" a="1"/>
  <c r="C297" i="2" a="1"/>
  <c r="C163" i="2" a="1"/>
  <c r="C108" i="2" a="1"/>
  <c r="C411" i="2" a="1"/>
  <c r="C339" i="2" a="1"/>
  <c r="C208" i="2" a="1"/>
  <c r="C213" i="2" a="1"/>
  <c r="C165" i="2" a="1"/>
  <c r="C381" i="2" a="1"/>
  <c r="C313" i="2" a="1"/>
  <c r="C338" i="2" a="1"/>
  <c r="C133" i="2" a="1"/>
  <c r="C438" i="2" a="1"/>
  <c r="C320" i="2" a="1"/>
  <c r="C45" i="2" a="1"/>
  <c r="C405" i="2" a="1"/>
  <c r="AI113" i="148"/>
  <c r="AI54" i="148"/>
  <c r="AI83" i="148"/>
  <c r="AI63" i="148"/>
  <c r="AI28" i="148"/>
  <c r="AI38" i="148"/>
  <c r="AI49" i="148"/>
  <c r="AI2" i="148"/>
  <c r="AJ28" i="148"/>
  <c r="AL24" i="148"/>
  <c r="AL200" i="148"/>
  <c r="AL105" i="148"/>
  <c r="AL141" i="148"/>
  <c r="AL41" i="148"/>
  <c r="AL35" i="148"/>
  <c r="AL20" i="148"/>
  <c r="AL84" i="148"/>
  <c r="AL63" i="148"/>
  <c r="AL38" i="148"/>
  <c r="AL111" i="148"/>
  <c r="AL34" i="148"/>
  <c r="AL100" i="148"/>
  <c r="AM177" i="148"/>
  <c r="AM24" i="148"/>
  <c r="AM5" i="148"/>
  <c r="AM101" i="148"/>
  <c r="AM141" i="148"/>
  <c r="AM15" i="148"/>
  <c r="AM20" i="148"/>
  <c r="AM133" i="148"/>
  <c r="AM147" i="148"/>
  <c r="AM54" i="148"/>
  <c r="AM83" i="148"/>
  <c r="AM28" i="148"/>
  <c r="AM49" i="148"/>
  <c r="AM11" i="148"/>
  <c r="AM51" i="148"/>
  <c r="AM88" i="148"/>
  <c r="AM17" i="148"/>
  <c r="AM52" i="148"/>
  <c r="AM45" i="148"/>
  <c r="AN157" i="148"/>
  <c r="AN56" i="148"/>
  <c r="AN35" i="148"/>
  <c r="AN20" i="148"/>
  <c r="AN10" i="148"/>
  <c r="AE113" i="148"/>
  <c r="AE83" i="148"/>
  <c r="AE28" i="148"/>
  <c r="AE49" i="148"/>
  <c r="AE2" i="148"/>
  <c r="AP7" i="148"/>
  <c r="AQ133" i="148"/>
  <c r="AQ38" i="148"/>
  <c r="AR20" i="148"/>
  <c r="AR10" i="148"/>
  <c r="AR63" i="148"/>
  <c r="AR38" i="148"/>
  <c r="AR11" i="148"/>
  <c r="AR34" i="148"/>
  <c r="AR45" i="148"/>
  <c r="AT88" i="148"/>
  <c r="AT34" i="148"/>
  <c r="AT17" i="148"/>
  <c r="AU56" i="148"/>
  <c r="AU41" i="148"/>
  <c r="AU35" i="148"/>
  <c r="AU15" i="148"/>
  <c r="AU10" i="148"/>
  <c r="AV114" i="148"/>
  <c r="AV95" i="148"/>
  <c r="AV93" i="148"/>
  <c r="AV111" i="148"/>
  <c r="AW20" i="148"/>
  <c r="AW100" i="148"/>
  <c r="AH60" i="148"/>
  <c r="AI155" i="148"/>
  <c r="AI82" i="148"/>
  <c r="AI60" i="148"/>
  <c r="AI3" i="148"/>
  <c r="AL69" i="148"/>
  <c r="AN66" i="148"/>
  <c r="AN73" i="148"/>
  <c r="AN30" i="148"/>
  <c r="AN40" i="148"/>
  <c r="AN8" i="148"/>
  <c r="E5" i="148"/>
  <c r="E41" i="148"/>
  <c r="E35" i="148"/>
  <c r="E15" i="148"/>
  <c r="E20" i="148"/>
  <c r="E10" i="148"/>
  <c r="BN154" i="148"/>
  <c r="BE136" i="148"/>
  <c r="BN162" i="148"/>
  <c r="BE104" i="148"/>
  <c r="BN204" i="148"/>
  <c r="E151" i="1"/>
  <c r="BE150" i="148"/>
  <c r="BN187" i="148"/>
  <c r="BE176" i="148"/>
  <c r="BN172" i="148"/>
  <c r="BE77" i="148"/>
  <c r="BN206" i="148"/>
  <c r="AZ206" i="148"/>
  <c r="E206" i="1"/>
  <c r="BM93" i="148"/>
  <c r="BE93" i="148"/>
  <c r="BA93" i="148"/>
  <c r="BN66" i="148"/>
  <c r="BE81" i="148"/>
  <c r="BN80" i="148"/>
  <c r="BN101" i="148"/>
  <c r="C121" i="2" a="1"/>
  <c r="C151" i="2" a="1"/>
  <c r="C150" i="2" a="1"/>
  <c r="C28" i="2" a="1"/>
  <c r="C390" i="2" a="1"/>
  <c r="C387" i="2" a="1"/>
  <c r="C59" i="2" a="1"/>
  <c r="C153" i="2" a="1"/>
  <c r="C271" i="2" a="1"/>
  <c r="C210" i="2" a="1"/>
  <c r="C62" i="2" a="1"/>
  <c r="C183" i="2" a="1"/>
  <c r="C103" i="2" a="1"/>
  <c r="C90" i="2" a="1"/>
  <c r="C321" i="2" a="1"/>
  <c r="C239" i="2" a="1"/>
  <c r="C134" i="2" a="1"/>
  <c r="C201" i="2" a="1"/>
  <c r="E165" i="1"/>
  <c r="E131" i="1"/>
  <c r="BM189" i="148"/>
  <c r="BI189" i="148"/>
  <c r="BG189" i="148"/>
  <c r="BM207" i="148"/>
  <c r="BG207" i="148"/>
  <c r="BE207" i="148"/>
  <c r="BC207" i="148"/>
  <c r="BB207" i="148"/>
  <c r="BG159" i="148"/>
  <c r="BC159" i="148"/>
  <c r="BE202" i="148"/>
  <c r="BJ170" i="148"/>
  <c r="BD170" i="148"/>
  <c r="AZ170" i="148"/>
  <c r="BM196" i="148"/>
  <c r="BE196" i="148"/>
  <c r="BB196" i="148"/>
  <c r="E197" i="1"/>
  <c r="BM149" i="148"/>
  <c r="BB149" i="148"/>
  <c r="BK194" i="148"/>
  <c r="BI194" i="148"/>
  <c r="BE194" i="148"/>
  <c r="BD194" i="148"/>
  <c r="E196" i="1"/>
  <c r="BK143" i="148"/>
  <c r="BK154" i="148"/>
  <c r="BE154" i="148"/>
  <c r="BN160" i="148"/>
  <c r="BF160" i="148"/>
  <c r="BA160" i="148"/>
  <c r="BN184" i="148"/>
  <c r="BM184" i="148"/>
  <c r="BE184" i="148"/>
  <c r="BA184" i="148"/>
  <c r="AZ184" i="148"/>
  <c r="BN135" i="148"/>
  <c r="BM135" i="148"/>
  <c r="BI135" i="148"/>
  <c r="BE135" i="148"/>
  <c r="AZ135" i="148"/>
  <c r="BM110" i="148"/>
  <c r="BI110" i="148"/>
  <c r="BG110" i="148"/>
  <c r="BE110" i="148"/>
  <c r="BC110" i="148"/>
  <c r="BB110" i="148"/>
  <c r="AZ110" i="148"/>
  <c r="BN137" i="148"/>
  <c r="BM137" i="148"/>
  <c r="BI137" i="148"/>
  <c r="BG137" i="148"/>
  <c r="BC137" i="148"/>
  <c r="BN199" i="148"/>
  <c r="BM199" i="148"/>
  <c r="BE199" i="148"/>
  <c r="BB199" i="148"/>
  <c r="AZ199" i="148"/>
  <c r="BN167" i="148"/>
  <c r="BM167" i="148"/>
  <c r="BJ167" i="148"/>
  <c r="BE167" i="148"/>
  <c r="BD167" i="148"/>
  <c r="BB167" i="148"/>
  <c r="AZ167" i="148"/>
  <c r="BN197" i="148"/>
  <c r="BM197" i="148"/>
  <c r="BE197" i="148"/>
  <c r="BB197" i="148"/>
  <c r="AZ197" i="148"/>
  <c r="BN131" i="148"/>
  <c r="BM131" i="148"/>
  <c r="BK131" i="148"/>
  <c r="BD131" i="148"/>
  <c r="BB131" i="148"/>
  <c r="BN117" i="148"/>
  <c r="BM117" i="148"/>
  <c r="BK117" i="148"/>
  <c r="BI117" i="148"/>
  <c r="BD117" i="148"/>
  <c r="BB117" i="148"/>
  <c r="AZ117" i="148"/>
  <c r="BN136" i="148"/>
  <c r="BM136" i="148"/>
  <c r="BK136" i="148"/>
  <c r="BI136" i="148"/>
  <c r="BB136" i="148"/>
  <c r="BI162" i="148"/>
  <c r="BE162" i="148"/>
  <c r="BB162" i="148"/>
  <c r="BA162" i="148"/>
  <c r="BN132" i="148"/>
  <c r="BI132" i="148"/>
  <c r="BF132" i="148"/>
  <c r="BA132" i="148"/>
  <c r="BN203" i="148"/>
  <c r="BM203" i="148"/>
  <c r="BI203" i="148"/>
  <c r="BE203" i="148"/>
  <c r="BB203" i="148"/>
  <c r="BA203" i="148"/>
  <c r="AZ203" i="148"/>
  <c r="BN114" i="148"/>
  <c r="BM114" i="148"/>
  <c r="BI114" i="148"/>
  <c r="BG114" i="148"/>
  <c r="BE114" i="148"/>
  <c r="AZ114" i="148"/>
  <c r="BN198" i="148"/>
  <c r="BM198" i="148"/>
  <c r="BI198" i="148"/>
  <c r="BG198" i="148"/>
  <c r="BE198" i="148"/>
  <c r="BC198" i="148"/>
  <c r="BB198" i="148"/>
  <c r="AZ198" i="148"/>
  <c r="BN171" i="148"/>
  <c r="BM171" i="148"/>
  <c r="BI171" i="148"/>
  <c r="BG171" i="148"/>
  <c r="BC171" i="148"/>
  <c r="BB171" i="148"/>
  <c r="BN205" i="148"/>
  <c r="BM205" i="148"/>
  <c r="BE205" i="148"/>
  <c r="BB205" i="148"/>
  <c r="AZ205" i="148"/>
  <c r="BN138" i="148"/>
  <c r="BM138" i="148"/>
  <c r="BJ138" i="148"/>
  <c r="BE138" i="148"/>
  <c r="BD138" i="148"/>
  <c r="BB138" i="148"/>
  <c r="AZ138" i="148"/>
  <c r="BN182" i="148"/>
  <c r="BM182" i="148"/>
  <c r="BE182" i="148"/>
  <c r="BD182" i="148"/>
  <c r="BB182" i="148"/>
  <c r="AZ182" i="148"/>
  <c r="BN164" i="148"/>
  <c r="BM164" i="148"/>
  <c r="BK164" i="148"/>
  <c r="BB164" i="148"/>
  <c r="BN165" i="148"/>
  <c r="BM165" i="148"/>
  <c r="BK165" i="148"/>
  <c r="BI165" i="148"/>
  <c r="BE165" i="148"/>
  <c r="BD165" i="148"/>
  <c r="BB165" i="148"/>
  <c r="AZ165" i="148"/>
  <c r="BN104" i="148"/>
  <c r="BM104" i="148"/>
  <c r="BK104" i="148"/>
  <c r="BE78" i="148"/>
  <c r="C126" i="2" a="1"/>
  <c r="C403" i="2" a="1"/>
  <c r="C178" i="2" a="1"/>
  <c r="C372" i="2" a="1"/>
  <c r="C13" i="2" a="1"/>
  <c r="C149" i="2" a="1"/>
  <c r="C395" i="2" a="1"/>
  <c r="C196" i="2" a="1"/>
  <c r="E189" i="1"/>
  <c r="C113" i="2" a="1"/>
  <c r="C128" i="2" a="1"/>
  <c r="C80" i="2" a="1"/>
  <c r="C399" i="2" a="1"/>
  <c r="E174" i="1"/>
  <c r="C392" i="2" a="1"/>
  <c r="C386" i="2" a="1"/>
  <c r="C17" i="2" a="1"/>
  <c r="C318" i="2" a="1"/>
  <c r="C415" i="2" a="1"/>
  <c r="C100" i="2" a="1"/>
  <c r="C168" i="2" a="1"/>
  <c r="C152" i="2" a="1"/>
  <c r="C182" i="2" a="1"/>
  <c r="C344" i="2" a="1"/>
  <c r="C322" i="2" a="1"/>
  <c r="C412" i="2" a="1"/>
  <c r="C369" i="2" a="1"/>
  <c r="C198" i="2" a="1"/>
  <c r="C64" i="2" a="1"/>
  <c r="C430" i="2" a="1"/>
  <c r="C51" i="2" a="1"/>
  <c r="E66" i="1"/>
  <c r="C240" i="2" a="1"/>
  <c r="C234" i="2" a="1"/>
  <c r="C9" i="2" a="1"/>
  <c r="C326" i="2" a="1"/>
  <c r="C342" i="2" a="1"/>
  <c r="C136" i="2" a="1"/>
  <c r="C362" i="2" a="1"/>
  <c r="C42" i="2" a="1"/>
  <c r="C36" i="2" a="1"/>
  <c r="C154" i="2" a="1"/>
  <c r="C185" i="2" a="1"/>
  <c r="E108" i="1"/>
  <c r="C265" i="2" a="1"/>
  <c r="C420" i="2" a="1"/>
  <c r="C186" i="2" a="1"/>
  <c r="C71" i="2" a="1"/>
  <c r="C336" i="2" a="1"/>
  <c r="C31" i="2" a="1"/>
  <c r="E162" i="1"/>
  <c r="E80" i="1"/>
  <c r="C110" i="2" a="1"/>
  <c r="BF33" i="148"/>
  <c r="BE62" i="148"/>
  <c r="BN100" i="148"/>
  <c r="E39" i="1"/>
  <c r="BE29" i="148"/>
  <c r="BN35" i="148"/>
  <c r="BE23" i="148"/>
  <c r="E202" i="1"/>
  <c r="E87" i="1"/>
  <c r="E86" i="1"/>
  <c r="BI104" i="148"/>
  <c r="BB104" i="148"/>
  <c r="BK204" i="148"/>
  <c r="BI204" i="148"/>
  <c r="BE204" i="148"/>
  <c r="BB204" i="148"/>
  <c r="BA204" i="148"/>
  <c r="BN140" i="148"/>
  <c r="BI140" i="148"/>
  <c r="BF140" i="148"/>
  <c r="BB140" i="148"/>
  <c r="BA140" i="148"/>
  <c r="BN78" i="148"/>
  <c r="BM78" i="148"/>
  <c r="BI78" i="148"/>
  <c r="BB78" i="148"/>
  <c r="BA78" i="148"/>
  <c r="AZ78" i="148"/>
  <c r="BN95" i="148"/>
  <c r="BM95" i="148"/>
  <c r="BI95" i="148"/>
  <c r="BG95" i="148"/>
  <c r="BE95" i="148"/>
  <c r="AZ95" i="148"/>
  <c r="BN158" i="148"/>
  <c r="BM158" i="148"/>
  <c r="BI158" i="148"/>
  <c r="BG158" i="148"/>
  <c r="BE158" i="148"/>
  <c r="BC158" i="148"/>
  <c r="BB158" i="148"/>
  <c r="AZ158" i="148"/>
  <c r="BN139" i="148"/>
  <c r="BM139" i="148"/>
  <c r="BI139" i="148"/>
  <c r="BG139" i="148"/>
  <c r="BC139" i="148"/>
  <c r="BB139" i="148"/>
  <c r="BN161" i="148"/>
  <c r="BM161" i="148"/>
  <c r="BE161" i="148"/>
  <c r="AZ161" i="148"/>
  <c r="BN109" i="148"/>
  <c r="BM109" i="148"/>
  <c r="BJ109" i="148"/>
  <c r="BE109" i="148"/>
  <c r="BD109" i="148"/>
  <c r="BB109" i="148"/>
  <c r="AZ109" i="148"/>
  <c r="BN190" i="148"/>
  <c r="BM190" i="148"/>
  <c r="BD190" i="148"/>
  <c r="BB190" i="148"/>
  <c r="AZ190" i="148"/>
  <c r="BM134" i="148"/>
  <c r="BK134" i="148"/>
  <c r="BB134" i="148"/>
  <c r="BN67" i="148"/>
  <c r="BM67" i="148"/>
  <c r="BK67" i="148"/>
  <c r="BI67" i="148"/>
  <c r="BE67" i="148"/>
  <c r="BD67" i="148"/>
  <c r="BB67" i="148"/>
  <c r="AZ67" i="148"/>
  <c r="BN150" i="148"/>
  <c r="BM150" i="148"/>
  <c r="BK150" i="148"/>
  <c r="BI150" i="148"/>
  <c r="BB150" i="148"/>
  <c r="BK187" i="148"/>
  <c r="BI187" i="148"/>
  <c r="BE187" i="148"/>
  <c r="BB187" i="148"/>
  <c r="BA187" i="148"/>
  <c r="BN181" i="148"/>
  <c r="BI181" i="148"/>
  <c r="BF181" i="148"/>
  <c r="BB181" i="148"/>
  <c r="BA181" i="148"/>
  <c r="BN72" i="148"/>
  <c r="BM72" i="148"/>
  <c r="BI72" i="148"/>
  <c r="BE72" i="148"/>
  <c r="BB72" i="148"/>
  <c r="BA72" i="148"/>
  <c r="AZ72" i="148"/>
  <c r="BN166" i="148"/>
  <c r="BM166" i="148"/>
  <c r="BI166" i="148"/>
  <c r="BG166" i="148"/>
  <c r="BE166" i="148"/>
  <c r="AZ166" i="148"/>
  <c r="BN120" i="148"/>
  <c r="BM120" i="148"/>
  <c r="BI120" i="148"/>
  <c r="BG120" i="148"/>
  <c r="BE120" i="148"/>
  <c r="BC120" i="148"/>
  <c r="BB120" i="148"/>
  <c r="AZ120" i="148"/>
  <c r="BN115" i="148"/>
  <c r="BM115" i="148"/>
  <c r="BI115" i="148"/>
  <c r="BG115" i="148"/>
  <c r="BC115" i="148"/>
  <c r="BB115" i="148"/>
  <c r="BN145" i="148"/>
  <c r="BM145" i="148"/>
  <c r="BE145" i="148"/>
  <c r="BB145" i="148"/>
  <c r="AZ145" i="148"/>
  <c r="BN175" i="148"/>
  <c r="BM175" i="148"/>
  <c r="BJ175" i="148"/>
  <c r="BE175" i="148"/>
  <c r="BD175" i="148"/>
  <c r="BB175" i="148"/>
  <c r="AZ175" i="148"/>
  <c r="BN124" i="148"/>
  <c r="BM124" i="148"/>
  <c r="BE124" i="148"/>
  <c r="BD124" i="148"/>
  <c r="BB124" i="148"/>
  <c r="AZ124" i="148"/>
  <c r="BN208" i="148"/>
  <c r="BM208" i="148"/>
  <c r="BK208" i="148"/>
  <c r="BB208" i="148"/>
  <c r="BN191" i="148"/>
  <c r="BM191" i="148"/>
  <c r="BK191" i="148"/>
  <c r="BI191" i="148"/>
  <c r="BE191" i="148"/>
  <c r="BD191" i="148"/>
  <c r="BB191" i="148"/>
  <c r="AZ191" i="148"/>
  <c r="BN176" i="148"/>
  <c r="BM176" i="148"/>
  <c r="BK176" i="148"/>
  <c r="BI176" i="148"/>
  <c r="BB176" i="148"/>
  <c r="BK172" i="148"/>
  <c r="BI172" i="148"/>
  <c r="BE172" i="148"/>
  <c r="BB172" i="148"/>
  <c r="BA172" i="148"/>
  <c r="BN192" i="148"/>
  <c r="BI192" i="148"/>
  <c r="BF192" i="148"/>
  <c r="BB192" i="148"/>
  <c r="BA192" i="148"/>
  <c r="BN178" i="148"/>
  <c r="BM127" i="148"/>
  <c r="BI127" i="148"/>
  <c r="AZ65" i="148"/>
  <c r="BN118" i="148"/>
  <c r="BM118" i="148"/>
  <c r="AZ118" i="148"/>
  <c r="BN148" i="148"/>
  <c r="BE148" i="148"/>
  <c r="BB148" i="148"/>
  <c r="AZ148" i="148"/>
  <c r="BN195" i="148"/>
  <c r="BM195" i="148"/>
  <c r="BE195" i="148"/>
  <c r="BB195" i="148"/>
  <c r="AZ195" i="148"/>
  <c r="BN153" i="148"/>
  <c r="BM153" i="148"/>
  <c r="BB153" i="148"/>
  <c r="BN156" i="148"/>
  <c r="BM156" i="148"/>
  <c r="BE156" i="148"/>
  <c r="BB156" i="148"/>
  <c r="AZ156" i="148"/>
  <c r="BN77" i="148"/>
  <c r="BM77" i="148"/>
  <c r="BI77" i="148"/>
  <c r="BB77" i="148"/>
  <c r="BK206" i="148"/>
  <c r="BI206" i="148"/>
  <c r="BA206" i="148"/>
  <c r="BN119" i="148"/>
  <c r="BB119" i="148"/>
  <c r="BN186" i="148"/>
  <c r="BM186" i="148"/>
  <c r="BI186" i="148"/>
  <c r="BE186" i="148"/>
  <c r="BB186" i="148"/>
  <c r="BN121" i="148"/>
  <c r="BM121" i="148"/>
  <c r="AZ121" i="148"/>
  <c r="BN157" i="148"/>
  <c r="BM157" i="148"/>
  <c r="BI157" i="148"/>
  <c r="BE157" i="148"/>
  <c r="BB157" i="148"/>
  <c r="AZ157" i="148"/>
  <c r="BN144" i="148"/>
  <c r="BM144" i="148"/>
  <c r="BB144" i="148"/>
  <c r="AZ144" i="148"/>
  <c r="BN142" i="148"/>
  <c r="BM142" i="148"/>
  <c r="BE142" i="148"/>
  <c r="BB142" i="148"/>
  <c r="AZ142" i="148"/>
  <c r="BN200" i="148"/>
  <c r="BM200" i="148"/>
  <c r="BE200" i="148"/>
  <c r="BB200" i="148"/>
  <c r="AZ200" i="148"/>
  <c r="BN129" i="148"/>
  <c r="BM129" i="148"/>
  <c r="BE129" i="148"/>
  <c r="BN98" i="148"/>
  <c r="BM98" i="148"/>
  <c r="BN102" i="148"/>
  <c r="BM102" i="148"/>
  <c r="BI102" i="148"/>
  <c r="BE102" i="148"/>
  <c r="BN93" i="148"/>
  <c r="BB93" i="148"/>
  <c r="BK66" i="148"/>
  <c r="BI66" i="148"/>
  <c r="BE66" i="148"/>
  <c r="BB66" i="148"/>
  <c r="BN57" i="148"/>
  <c r="BB57" i="148"/>
  <c r="BN55" i="148"/>
  <c r="BM55" i="148"/>
  <c r="BE55" i="148"/>
  <c r="BB55" i="148"/>
  <c r="AZ55" i="148"/>
  <c r="BN201" i="148"/>
  <c r="BM201" i="148"/>
  <c r="BI201" i="148"/>
  <c r="BE201" i="148"/>
  <c r="AZ201" i="148"/>
  <c r="BN168" i="148"/>
  <c r="BM168" i="148"/>
  <c r="BG168" i="148"/>
  <c r="BB168" i="148"/>
  <c r="AZ168" i="148"/>
  <c r="BN76" i="148"/>
  <c r="BN163" i="148"/>
  <c r="BM163" i="148"/>
  <c r="AZ163" i="148"/>
  <c r="BE84" i="148"/>
  <c r="BB84" i="148"/>
  <c r="AZ84" i="148"/>
  <c r="BN122" i="148"/>
  <c r="BM122" i="148"/>
  <c r="BE122" i="148"/>
  <c r="BD122" i="148"/>
  <c r="BB122" i="148"/>
  <c r="AZ122" i="148"/>
  <c r="BN58" i="148"/>
  <c r="BM58" i="148"/>
  <c r="BB58" i="148"/>
  <c r="BN112" i="148"/>
  <c r="BM112" i="148"/>
  <c r="BE112" i="148"/>
  <c r="BB112" i="148"/>
  <c r="AZ112" i="148"/>
  <c r="BN81" i="148"/>
  <c r="BM81" i="148"/>
  <c r="BI81" i="148"/>
  <c r="BI80" i="148"/>
  <c r="BE80" i="148"/>
  <c r="BB80" i="148"/>
  <c r="BA80" i="148"/>
  <c r="BB101" i="148"/>
  <c r="BM91" i="148"/>
  <c r="BE91" i="148"/>
  <c r="BB91" i="148"/>
  <c r="AZ91" i="148"/>
  <c r="BN107" i="148"/>
  <c r="BM107" i="148"/>
  <c r="BI107" i="148"/>
  <c r="BG107" i="148"/>
  <c r="BE107" i="148"/>
  <c r="AZ107" i="148"/>
  <c r="BN146" i="148"/>
  <c r="BM146" i="148"/>
  <c r="AZ146" i="148"/>
  <c r="BN147" i="148"/>
  <c r="BM147" i="148"/>
  <c r="BB147" i="148"/>
  <c r="BN126" i="148"/>
  <c r="BM126" i="148"/>
  <c r="BE126" i="148"/>
  <c r="BB126" i="148"/>
  <c r="AZ126" i="148"/>
  <c r="BN61" i="148"/>
  <c r="BM61" i="148"/>
  <c r="BB61" i="148"/>
  <c r="AZ61" i="148"/>
  <c r="BN174" i="148"/>
  <c r="BM174" i="148"/>
  <c r="BE174" i="148"/>
  <c r="BD174" i="148"/>
  <c r="BB174" i="148"/>
  <c r="BK152" i="148"/>
  <c r="BB152" i="148"/>
  <c r="BN90" i="148"/>
  <c r="BM90" i="148"/>
  <c r="BE90" i="148"/>
  <c r="BD90" i="148"/>
  <c r="BN111" i="148"/>
  <c r="BM111" i="148"/>
  <c r="BI111" i="148"/>
  <c r="BI46" i="148"/>
  <c r="BM42" i="148"/>
  <c r="BG42" i="148"/>
  <c r="BI96" i="148"/>
  <c r="BD71" i="148"/>
  <c r="BA130" i="148"/>
  <c r="C255" i="2" a="1"/>
  <c r="C127" i="2" a="1"/>
  <c r="C263" i="2" a="1"/>
  <c r="C191" i="2" a="1"/>
  <c r="C118" i="2" a="1"/>
  <c r="C60" i="2" a="1"/>
  <c r="BN12" i="148"/>
  <c r="E8" i="1"/>
  <c r="C14" i="2" a="1"/>
  <c r="C272" i="2" a="1"/>
  <c r="C400" i="2" a="1"/>
  <c r="BJ2" i="148"/>
  <c r="BD6" i="148"/>
  <c r="E70" i="1"/>
  <c r="E93" i="1"/>
  <c r="D62" i="148"/>
  <c r="E64" i="1"/>
  <c r="E68" i="1"/>
  <c r="D68" i="148"/>
  <c r="D16" i="148"/>
  <c r="G16" i="1"/>
  <c r="E16" i="1"/>
  <c r="AD6" i="148"/>
  <c r="AD9" i="148"/>
  <c r="AD14" i="148"/>
  <c r="AD16" i="148"/>
  <c r="E182" i="1"/>
  <c r="E88" i="1"/>
  <c r="E107" i="1"/>
  <c r="D106" i="148"/>
  <c r="G107" i="1"/>
  <c r="E115" i="1"/>
  <c r="G30" i="1"/>
  <c r="D32" i="148"/>
  <c r="E30" i="1"/>
  <c r="D18" i="148"/>
  <c r="E18" i="1"/>
  <c r="G18" i="1"/>
  <c r="D6" i="148"/>
  <c r="G6" i="1"/>
  <c r="E6" i="1"/>
  <c r="E75" i="1"/>
  <c r="E191" i="1"/>
  <c r="D29" i="148"/>
  <c r="E29" i="1"/>
  <c r="E14" i="1"/>
  <c r="D13" i="148"/>
  <c r="G14" i="1"/>
  <c r="D50" i="148"/>
  <c r="E50" i="1"/>
  <c r="D9" i="148"/>
  <c r="E9" i="1"/>
  <c r="G9" i="1"/>
  <c r="E116" i="1"/>
  <c r="E36" i="1"/>
  <c r="D19" i="148"/>
  <c r="E19" i="1"/>
  <c r="G21" i="1"/>
  <c r="E21" i="1"/>
  <c r="D21" i="148"/>
  <c r="D14" i="148"/>
  <c r="E13" i="1"/>
  <c r="G13" i="1"/>
  <c r="D44" i="148"/>
  <c r="E44" i="1"/>
  <c r="F6" i="148"/>
  <c r="G14" i="148"/>
  <c r="G16" i="148"/>
  <c r="G9" i="148"/>
  <c r="E143" i="1"/>
  <c r="E45" i="1"/>
  <c r="E48" i="1"/>
  <c r="E41" i="1"/>
  <c r="E35" i="1"/>
  <c r="G20" i="1"/>
  <c r="E28" i="1"/>
  <c r="E11" i="1"/>
  <c r="G2" i="148"/>
  <c r="H2" i="148"/>
  <c r="H20" i="148"/>
  <c r="I5" i="148"/>
  <c r="J20" i="148"/>
  <c r="K7" i="148"/>
  <c r="L2" i="148"/>
  <c r="N20" i="148"/>
  <c r="N2" i="148"/>
  <c r="N7" i="148"/>
  <c r="O7" i="148"/>
  <c r="O5" i="148"/>
  <c r="BM178" i="148"/>
  <c r="BI178" i="148"/>
  <c r="BE178" i="148"/>
  <c r="BB178" i="148"/>
  <c r="BA178" i="148"/>
  <c r="AZ178" i="148"/>
  <c r="BN89" i="148"/>
  <c r="BM89" i="148"/>
  <c r="BI89" i="148"/>
  <c r="BG89" i="148"/>
  <c r="BE89" i="148"/>
  <c r="AZ89" i="148"/>
  <c r="BN127" i="148"/>
  <c r="BG127" i="148"/>
  <c r="BE127" i="148"/>
  <c r="BC127" i="148"/>
  <c r="BB127" i="148"/>
  <c r="AZ127" i="148"/>
  <c r="BN65" i="148"/>
  <c r="BM65" i="148"/>
  <c r="BI65" i="148"/>
  <c r="BG65" i="148"/>
  <c r="BC65" i="148"/>
  <c r="BB65" i="148"/>
  <c r="BJ148" i="148"/>
  <c r="BD148" i="148"/>
  <c r="BD195" i="148"/>
  <c r="BD153" i="148"/>
  <c r="AZ153" i="148"/>
  <c r="BK156" i="148"/>
  <c r="BI156" i="148"/>
  <c r="BD156" i="148"/>
  <c r="BK77" i="148"/>
  <c r="BI119" i="148"/>
  <c r="BF119" i="148"/>
  <c r="BA119" i="148"/>
  <c r="AZ119" i="148"/>
  <c r="BA186" i="148"/>
  <c r="BG121" i="148"/>
  <c r="BG157" i="148"/>
  <c r="BC157" i="148"/>
  <c r="BI144" i="148"/>
  <c r="BG144" i="148"/>
  <c r="BC144" i="148"/>
  <c r="BJ200" i="148"/>
  <c r="BD200" i="148"/>
  <c r="BD98" i="148"/>
  <c r="AZ98" i="148"/>
  <c r="BK102" i="148"/>
  <c r="BD102" i="148"/>
  <c r="BK93" i="148"/>
  <c r="BI57" i="148"/>
  <c r="BF57" i="148"/>
  <c r="BA57" i="148"/>
  <c r="AZ57" i="148"/>
  <c r="BI55" i="148"/>
  <c r="BA55" i="148"/>
  <c r="BG201" i="148"/>
  <c r="BC168" i="148"/>
  <c r="BI76" i="148"/>
  <c r="BG76" i="148"/>
  <c r="BC76" i="148"/>
  <c r="AZ76" i="148"/>
  <c r="BJ84" i="148"/>
  <c r="BD84" i="148"/>
  <c r="BK58" i="148"/>
  <c r="AZ58" i="148"/>
  <c r="BK112" i="148"/>
  <c r="BI112" i="148"/>
  <c r="BD112" i="148"/>
  <c r="BK81" i="148"/>
  <c r="BK80" i="148"/>
  <c r="BI101" i="148"/>
  <c r="BF101" i="148"/>
  <c r="BA101" i="148"/>
  <c r="AZ101" i="148"/>
  <c r="BI91" i="148"/>
  <c r="BA91" i="148"/>
  <c r="BG146" i="148"/>
  <c r="BC146" i="148"/>
  <c r="BI147" i="148"/>
  <c r="BG147" i="148"/>
  <c r="BC147" i="148"/>
  <c r="AZ147" i="148"/>
  <c r="BJ61" i="148"/>
  <c r="BD61" i="148"/>
  <c r="BD152" i="148"/>
  <c r="AZ152" i="148"/>
  <c r="BK90" i="148"/>
  <c r="BI90" i="148"/>
  <c r="BK111" i="148"/>
  <c r="BK151" i="148"/>
  <c r="BF173" i="148"/>
  <c r="BA173" i="148"/>
  <c r="AZ173" i="148"/>
  <c r="BA46" i="148"/>
  <c r="BC42" i="148"/>
  <c r="BG56" i="148"/>
  <c r="BC56" i="148"/>
  <c r="AZ56" i="148"/>
  <c r="BJ108" i="148"/>
  <c r="BD108" i="148"/>
  <c r="BD43" i="148"/>
  <c r="BD133" i="148"/>
  <c r="AZ133" i="148"/>
  <c r="BK25" i="148"/>
  <c r="BI25" i="148"/>
  <c r="BK113" i="148"/>
  <c r="BK155" i="148"/>
  <c r="BF185" i="148"/>
  <c r="BA185" i="148"/>
  <c r="AZ185" i="148"/>
  <c r="BI105" i="148"/>
  <c r="BA105" i="148"/>
  <c r="E105" i="1"/>
  <c r="BG180" i="148"/>
  <c r="BC180" i="148"/>
  <c r="BG97" i="148"/>
  <c r="BC97" i="148"/>
  <c r="AZ97" i="148"/>
  <c r="BJ53" i="148"/>
  <c r="BD53" i="148"/>
  <c r="BD87" i="148"/>
  <c r="BD51" i="148"/>
  <c r="AZ51" i="148"/>
  <c r="BK169" i="148"/>
  <c r="BK99" i="148"/>
  <c r="BK73" i="148"/>
  <c r="BF54" i="148"/>
  <c r="BA54" i="148"/>
  <c r="AZ54" i="148"/>
  <c r="BA96" i="148"/>
  <c r="BG44" i="148"/>
  <c r="BC44" i="148"/>
  <c r="BG70" i="148"/>
  <c r="BC70" i="148"/>
  <c r="AZ70" i="148"/>
  <c r="BJ59" i="148"/>
  <c r="BD59" i="148"/>
  <c r="E61" i="1"/>
  <c r="BD88" i="148"/>
  <c r="AZ88" i="148"/>
  <c r="BK128" i="148"/>
  <c r="BI128" i="148"/>
  <c r="BK83" i="148"/>
  <c r="BK183" i="148"/>
  <c r="E186" i="1"/>
  <c r="BF130" i="148"/>
  <c r="AZ130" i="148"/>
  <c r="E122" i="1"/>
  <c r="BI74" i="148"/>
  <c r="BA74" i="148"/>
  <c r="BG48" i="148"/>
  <c r="BC48" i="148"/>
  <c r="BG94" i="148"/>
  <c r="BC94" i="148"/>
  <c r="AZ94" i="148"/>
  <c r="E98" i="1"/>
  <c r="BJ45" i="148"/>
  <c r="BD45" i="148"/>
  <c r="BE123" i="148"/>
  <c r="BD123" i="148"/>
  <c r="E117" i="1"/>
  <c r="BM92" i="148"/>
  <c r="BD92" i="148"/>
  <c r="AZ92" i="148"/>
  <c r="BK36" i="148"/>
  <c r="BI36" i="148"/>
  <c r="BM34" i="148"/>
  <c r="BK34" i="148"/>
  <c r="BK33" i="148"/>
  <c r="E32" i="1"/>
  <c r="BF82" i="148"/>
  <c r="BA82" i="148"/>
  <c r="AZ82" i="148"/>
  <c r="E85" i="1"/>
  <c r="BI188" i="148"/>
  <c r="BA188" i="148"/>
  <c r="BG41" i="148"/>
  <c r="BC41" i="148"/>
  <c r="BG30" i="148"/>
  <c r="BC30" i="148"/>
  <c r="AZ30" i="148"/>
  <c r="E31" i="1"/>
  <c r="BJ49" i="148"/>
  <c r="BD49" i="148"/>
  <c r="BD64" i="148"/>
  <c r="E63" i="1"/>
  <c r="BD52" i="148"/>
  <c r="AZ52" i="148"/>
  <c r="BI125" i="148"/>
  <c r="BN62" i="148"/>
  <c r="BM62" i="148"/>
  <c r="BK62" i="148"/>
  <c r="BI62" i="148"/>
  <c r="BB62" i="148"/>
  <c r="BK100" i="148"/>
  <c r="BI100" i="148"/>
  <c r="BE100" i="148"/>
  <c r="BB100" i="148"/>
  <c r="BA100" i="148"/>
  <c r="BN47" i="148"/>
  <c r="BF47" i="148"/>
  <c r="BE47" i="148"/>
  <c r="BB47" i="148"/>
  <c r="BA47" i="148"/>
  <c r="AZ47" i="148"/>
  <c r="E47" i="1"/>
  <c r="BN22" i="148"/>
  <c r="BM22" i="148"/>
  <c r="BI22" i="148"/>
  <c r="BE22" i="148"/>
  <c r="BB22" i="148"/>
  <c r="BA22" i="148"/>
  <c r="E22" i="1"/>
  <c r="AZ22" i="148"/>
  <c r="BM26" i="148"/>
  <c r="BI26" i="148"/>
  <c r="BG26" i="148"/>
  <c r="BE26" i="148"/>
  <c r="AZ26" i="148"/>
  <c r="E26" i="1"/>
  <c r="BN39" i="148"/>
  <c r="BM39" i="148"/>
  <c r="BI39" i="148"/>
  <c r="BG39" i="148"/>
  <c r="BE39" i="148"/>
  <c r="BC39" i="148"/>
  <c r="BB39" i="148"/>
  <c r="AZ39" i="148"/>
  <c r="BN31" i="148"/>
  <c r="BM31" i="148"/>
  <c r="BI31" i="148"/>
  <c r="BG31" i="148"/>
  <c r="BC31" i="148"/>
  <c r="AZ31" i="148"/>
  <c r="E33" i="1"/>
  <c r="BN10" i="148"/>
  <c r="BM10" i="148"/>
  <c r="BE10" i="148"/>
  <c r="AZ10" i="148"/>
  <c r="BN19" i="148"/>
  <c r="BM19" i="148"/>
  <c r="BJ19" i="148"/>
  <c r="BE19" i="148"/>
  <c r="BM116" i="148"/>
  <c r="C104" i="2" a="1"/>
  <c r="C87" i="2" a="1"/>
  <c r="C79" i="2" a="1"/>
  <c r="C143" i="2" a="1"/>
  <c r="C188" i="2" a="1"/>
  <c r="C159" i="2" a="1"/>
  <c r="C414" i="2" a="1"/>
  <c r="C418" i="2" a="1"/>
  <c r="C358" i="2" a="1"/>
  <c r="E67" i="1"/>
  <c r="C233" i="2" a="1"/>
  <c r="C32" i="2" a="1"/>
  <c r="C34" i="2" a="1"/>
  <c r="C184" i="2" a="1"/>
  <c r="C162" i="2" a="1"/>
  <c r="C307" i="2" a="1"/>
  <c r="C211" i="2" a="1"/>
  <c r="C43" i="2" a="1"/>
  <c r="C38" i="2" a="1"/>
  <c r="C63" i="2" a="1"/>
  <c r="C230" i="2" a="1"/>
  <c r="C333" i="2" a="1"/>
  <c r="C24" i="2" a="1"/>
  <c r="C223" i="2" a="1"/>
  <c r="C304" i="2" a="1"/>
  <c r="C18" i="2" a="1"/>
  <c r="V213" i="1"/>
  <c r="C268" i="2" a="1"/>
  <c r="C161" i="2" a="1"/>
  <c r="C235" i="2" a="1"/>
  <c r="C299" i="2" a="1"/>
  <c r="C16" i="2" a="1"/>
  <c r="P5" i="148"/>
  <c r="V2" i="148"/>
  <c r="BD19" i="148"/>
  <c r="BB19" i="148"/>
  <c r="AZ19" i="148"/>
  <c r="BN50" i="148"/>
  <c r="BM50" i="148"/>
  <c r="BD50" i="148"/>
  <c r="BB50" i="148"/>
  <c r="AZ50" i="148"/>
  <c r="BN28" i="148"/>
  <c r="BM28" i="148"/>
  <c r="BK28" i="148"/>
  <c r="BE28" i="148"/>
  <c r="BD28" i="148"/>
  <c r="BB28" i="148"/>
  <c r="AZ28" i="148"/>
  <c r="BN37" i="148"/>
  <c r="BM37" i="148"/>
  <c r="BK37" i="148"/>
  <c r="BI37" i="148"/>
  <c r="BE37" i="148"/>
  <c r="BD37" i="148"/>
  <c r="BB37" i="148"/>
  <c r="AZ37" i="148"/>
  <c r="E37" i="1"/>
  <c r="BN29" i="148"/>
  <c r="BM29" i="148"/>
  <c r="BK29" i="148"/>
  <c r="BI29" i="148"/>
  <c r="BB29" i="148"/>
  <c r="BK35" i="148"/>
  <c r="BI35" i="148"/>
  <c r="BE35" i="148"/>
  <c r="BB35" i="148"/>
  <c r="BA35" i="148"/>
  <c r="BN32" i="148"/>
  <c r="BI32" i="148"/>
  <c r="BF32" i="148"/>
  <c r="BE32" i="148"/>
  <c r="BB32" i="148"/>
  <c r="BA32" i="148"/>
  <c r="AZ32" i="148"/>
  <c r="BN24" i="148"/>
  <c r="BM24" i="148"/>
  <c r="BI24" i="148"/>
  <c r="BE24" i="148"/>
  <c r="BB24" i="148"/>
  <c r="BA24" i="148"/>
  <c r="AZ24" i="148"/>
  <c r="BN116" i="148"/>
  <c r="BI116" i="148"/>
  <c r="BG116" i="148"/>
  <c r="BE116" i="148"/>
  <c r="E121" i="1"/>
  <c r="AZ116" i="148"/>
  <c r="BN68" i="148"/>
  <c r="BM68" i="148"/>
  <c r="BI68" i="148"/>
  <c r="BG68" i="148"/>
  <c r="BE68" i="148"/>
  <c r="BC68" i="148"/>
  <c r="BB68" i="148"/>
  <c r="AZ68" i="148"/>
  <c r="BN17" i="148"/>
  <c r="BM17" i="148"/>
  <c r="BI17" i="148"/>
  <c r="BG17" i="148"/>
  <c r="BE17" i="148"/>
  <c r="BC17" i="148"/>
  <c r="BB17" i="148"/>
  <c r="AZ17" i="148"/>
  <c r="BN21" i="148"/>
  <c r="BM21" i="148"/>
  <c r="BE21" i="148"/>
  <c r="BB21" i="148"/>
  <c r="AZ21" i="148"/>
  <c r="BN38" i="148"/>
  <c r="BM38" i="148"/>
  <c r="BJ38" i="148"/>
  <c r="BE38" i="148"/>
  <c r="BD38" i="148"/>
  <c r="BB38" i="148"/>
  <c r="AZ38" i="148"/>
  <c r="BN13" i="148"/>
  <c r="BM13" i="148"/>
  <c r="BE13" i="148"/>
  <c r="BD13" i="148"/>
  <c r="BB13" i="148"/>
  <c r="AZ13" i="148"/>
  <c r="BN14" i="148"/>
  <c r="BM14" i="148"/>
  <c r="BK14" i="148"/>
  <c r="BE14" i="148"/>
  <c r="BD14" i="148"/>
  <c r="BB14" i="148"/>
  <c r="AZ14" i="148"/>
  <c r="BN15" i="148"/>
  <c r="BM15" i="148"/>
  <c r="BK15" i="148"/>
  <c r="BI15" i="148"/>
  <c r="BE15" i="148"/>
  <c r="BD15" i="148"/>
  <c r="BB15" i="148"/>
  <c r="AZ15" i="148"/>
  <c r="BN23" i="148"/>
  <c r="BM23" i="148"/>
  <c r="BK23" i="148"/>
  <c r="BI23" i="148"/>
  <c r="BB23" i="148"/>
  <c r="E23" i="1"/>
  <c r="BK12" i="148"/>
  <c r="BI12" i="148"/>
  <c r="BE12" i="148"/>
  <c r="BB12" i="148"/>
  <c r="BA12" i="148"/>
  <c r="E12" i="1"/>
  <c r="BN18" i="148"/>
  <c r="BK18" i="148"/>
  <c r="BI18" i="148"/>
  <c r="BF18" i="148"/>
  <c r="BE18" i="148"/>
  <c r="BB18" i="148"/>
  <c r="BA18" i="148"/>
  <c r="AZ18" i="148"/>
  <c r="BN16" i="148"/>
  <c r="BM16" i="148"/>
  <c r="BI16" i="148"/>
  <c r="BE16" i="148"/>
  <c r="BB16" i="148"/>
  <c r="BA16" i="148"/>
  <c r="AZ16" i="148"/>
  <c r="BN75" i="148"/>
  <c r="BM75" i="148"/>
  <c r="BI75" i="148"/>
  <c r="BG75" i="148"/>
  <c r="BE75" i="148"/>
  <c r="AZ75" i="148"/>
  <c r="E72" i="1"/>
  <c r="BN8" i="148"/>
  <c r="BM8" i="148"/>
  <c r="BI8" i="148"/>
  <c r="BG8" i="148"/>
  <c r="BE8" i="148"/>
  <c r="BC8" i="148"/>
  <c r="BB8" i="148"/>
  <c r="AZ8" i="148"/>
  <c r="BN11" i="148"/>
  <c r="BM11" i="148"/>
  <c r="BI11" i="148"/>
  <c r="BG11" i="148"/>
  <c r="BE11" i="148"/>
  <c r="BC11" i="148"/>
  <c r="BB11" i="148"/>
  <c r="AZ11" i="148"/>
  <c r="BN20" i="148"/>
  <c r="BM20" i="148"/>
  <c r="BE20" i="148"/>
  <c r="BB20" i="148"/>
  <c r="AZ20" i="148"/>
  <c r="BN106" i="148"/>
  <c r="BM106" i="148"/>
  <c r="BJ106" i="148"/>
  <c r="BE106" i="148"/>
  <c r="BD106" i="148"/>
  <c r="BB106" i="148"/>
  <c r="AZ106" i="148"/>
  <c r="BN60" i="148"/>
  <c r="BM60" i="148"/>
  <c r="BE60" i="148"/>
  <c r="BD5" i="148"/>
  <c r="BM3" i="148"/>
  <c r="BK3" i="148"/>
  <c r="BM40" i="148"/>
  <c r="BB27" i="148"/>
  <c r="BM9" i="148"/>
  <c r="AG2" i="148"/>
  <c r="BD60" i="148"/>
  <c r="BB60" i="148"/>
  <c r="AZ60" i="148"/>
  <c r="E59" i="1"/>
  <c r="BN5" i="148"/>
  <c r="BM5" i="148"/>
  <c r="BK5" i="148"/>
  <c r="BE5" i="148"/>
  <c r="BB5" i="148"/>
  <c r="AZ5" i="148"/>
  <c r="BN7" i="148"/>
  <c r="BM7" i="148"/>
  <c r="BK7" i="148"/>
  <c r="BI7" i="148"/>
  <c r="BE7" i="148"/>
  <c r="BD7" i="148"/>
  <c r="BB7" i="148"/>
  <c r="AZ7" i="148"/>
  <c r="BN3" i="148"/>
  <c r="BI3" i="148"/>
  <c r="BE3" i="148"/>
  <c r="BD3" i="148"/>
  <c r="BB3" i="148"/>
  <c r="AZ3" i="148"/>
  <c r="E3" i="1"/>
  <c r="BN2" i="148"/>
  <c r="BM2" i="148"/>
  <c r="BE2" i="148"/>
  <c r="BC2" i="148"/>
  <c r="BB2" i="148"/>
  <c r="AZ2" i="148"/>
  <c r="BN6" i="148"/>
  <c r="BM6" i="148"/>
  <c r="BE6" i="148"/>
  <c r="BB6" i="148"/>
  <c r="AZ6" i="148"/>
  <c r="BN40" i="148"/>
  <c r="BJ40" i="148"/>
  <c r="BE40" i="148"/>
  <c r="BD40" i="148"/>
  <c r="BB40" i="148"/>
  <c r="AZ40" i="148"/>
  <c r="E40" i="1"/>
  <c r="BN27" i="148"/>
  <c r="BM27" i="148"/>
  <c r="BE27" i="148"/>
  <c r="BD27" i="148"/>
  <c r="AZ27" i="148"/>
  <c r="E27" i="1"/>
  <c r="BN4" i="148"/>
  <c r="BM4" i="148"/>
  <c r="BK4" i="148"/>
  <c r="BE4" i="148"/>
  <c r="BD4" i="148"/>
  <c r="BB4" i="148"/>
  <c r="AZ4" i="148"/>
  <c r="E4" i="1"/>
  <c r="BN9" i="148"/>
  <c r="BK9" i="148"/>
  <c r="BI9" i="148"/>
  <c r="BE9" i="148"/>
  <c r="BD9" i="148"/>
  <c r="BB9" i="148"/>
  <c r="AZ9" i="148"/>
  <c r="E89" i="1"/>
  <c r="D34" i="148"/>
  <c r="E34" i="1"/>
  <c r="D100" i="148"/>
  <c r="E109" i="1"/>
  <c r="E17" i="1"/>
  <c r="G17" i="1"/>
  <c r="D17" i="148"/>
  <c r="E52" i="1"/>
  <c r="G7" i="1"/>
  <c r="E7" i="1"/>
  <c r="D7" i="148"/>
  <c r="D87" i="148"/>
  <c r="E83" i="1"/>
  <c r="E74" i="1"/>
  <c r="E154" i="1"/>
  <c r="E77" i="1"/>
  <c r="G24" i="1"/>
  <c r="D24" i="148"/>
  <c r="E24" i="1"/>
  <c r="G5" i="1"/>
  <c r="E5" i="1"/>
  <c r="E103" i="1"/>
  <c r="D141" i="148"/>
  <c r="E138" i="1"/>
  <c r="D15" i="148"/>
  <c r="E15" i="1"/>
  <c r="G15" i="1"/>
  <c r="D20" i="148"/>
  <c r="E20" i="1"/>
  <c r="E10" i="1"/>
  <c r="D83" i="148"/>
  <c r="E84" i="1"/>
  <c r="D63" i="148"/>
  <c r="E62" i="1"/>
  <c r="D28" i="148"/>
  <c r="E38" i="1"/>
  <c r="D38" i="148"/>
  <c r="E49" i="1"/>
  <c r="D49" i="148"/>
  <c r="G11" i="1"/>
  <c r="D2" i="148"/>
  <c r="E2" i="1"/>
  <c r="G2" i="1"/>
  <c r="G28" i="148"/>
  <c r="G38" i="148"/>
  <c r="G11" i="148"/>
  <c r="G7" i="148"/>
  <c r="G24" i="148"/>
  <c r="G5" i="148"/>
  <c r="G35" i="148"/>
  <c r="G15" i="148"/>
  <c r="G20" i="148"/>
  <c r="C251" i="2" a="1"/>
  <c r="C85" i="2" a="1"/>
  <c r="D251" i="2" a="1"/>
  <c r="E251" i="2" s="1"/>
  <c r="D62" i="2" a="1"/>
  <c r="E62" i="2" s="1"/>
  <c r="D85" i="2" a="1"/>
  <c r="E85" i="2" s="1"/>
  <c r="C348" i="2" a="1"/>
  <c r="D246" i="2" a="1"/>
  <c r="E246" i="2" s="1"/>
  <c r="C246" i="2" a="1"/>
  <c r="D370" i="2" a="1"/>
  <c r="E370" i="2" s="1"/>
  <c r="D377" i="2" a="1"/>
  <c r="E377" i="2" s="1"/>
  <c r="C220" i="2" a="1"/>
  <c r="D262" i="2" a="1"/>
  <c r="E262" i="2" s="1"/>
  <c r="C2" i="2" a="1"/>
  <c r="C377" i="2" a="1"/>
  <c r="D348" i="2" a="1"/>
  <c r="E348" i="2" s="1"/>
  <c r="C262" i="2" a="1"/>
  <c r="D220" i="2" a="1"/>
  <c r="E220" i="2" s="1"/>
  <c r="C370" i="2" a="1"/>
  <c r="BJ196" i="148"/>
  <c r="U51" i="1"/>
  <c r="U126" i="1"/>
  <c r="E408" i="2"/>
  <c r="U206" i="1"/>
  <c r="U160" i="1"/>
  <c r="U178" i="1"/>
  <c r="U163" i="1"/>
  <c r="U49" i="1"/>
  <c r="U129" i="1"/>
  <c r="U147" i="1"/>
  <c r="U32" i="1"/>
  <c r="U81" i="1"/>
  <c r="U193" i="1"/>
  <c r="U158" i="1"/>
  <c r="U133" i="1"/>
  <c r="U109" i="1"/>
  <c r="U103" i="1"/>
  <c r="U62" i="1"/>
  <c r="U155" i="1"/>
  <c r="U25" i="1"/>
  <c r="U157" i="1"/>
  <c r="U88" i="1"/>
  <c r="U73" i="1"/>
  <c r="U50" i="1"/>
  <c r="U22" i="1"/>
  <c r="U102" i="1"/>
  <c r="U166" i="1"/>
  <c r="U10" i="1"/>
  <c r="U121" i="1"/>
  <c r="U138" i="1"/>
  <c r="U78" i="1"/>
  <c r="U112" i="1"/>
  <c r="U183" i="1"/>
  <c r="U42" i="1"/>
  <c r="U188" i="1"/>
  <c r="U181" i="1"/>
  <c r="U24" i="1"/>
  <c r="U141" i="1"/>
  <c r="U14" i="1"/>
  <c r="U26" i="1"/>
  <c r="U68" i="1"/>
  <c r="U117" i="1"/>
  <c r="U203" i="1"/>
  <c r="U130" i="1"/>
  <c r="U106" i="1"/>
  <c r="U154" i="1"/>
  <c r="U13" i="1"/>
  <c r="U54" i="1"/>
  <c r="U135" i="1"/>
  <c r="U152" i="1"/>
  <c r="U87" i="1"/>
  <c r="U122" i="1"/>
  <c r="U164" i="1"/>
  <c r="U161" i="1"/>
  <c r="U110" i="1"/>
  <c r="U86" i="1"/>
  <c r="U159" i="1"/>
  <c r="U162" i="1"/>
  <c r="U53" i="1"/>
  <c r="U38" i="1"/>
  <c r="U144" i="1"/>
  <c r="U197" i="1"/>
  <c r="U45" i="1"/>
  <c r="U47" i="1"/>
  <c r="U100" i="1"/>
  <c r="U70" i="1"/>
  <c r="U75" i="1"/>
  <c r="U79" i="1"/>
  <c r="U185" i="1"/>
  <c r="U99" i="1"/>
  <c r="U4" i="1"/>
  <c r="U192" i="1"/>
  <c r="U200" i="1"/>
  <c r="U56" i="1"/>
  <c r="U187" i="1"/>
  <c r="U198" i="1"/>
  <c r="U132" i="1"/>
  <c r="U173" i="1"/>
  <c r="U52" i="1"/>
  <c r="U39" i="1"/>
  <c r="U91" i="1"/>
  <c r="U61" i="1"/>
  <c r="U190" i="1"/>
  <c r="U204" i="1"/>
  <c r="U191" i="1"/>
  <c r="U64" i="1"/>
  <c r="U58" i="1"/>
  <c r="U82" i="1"/>
  <c r="U77" i="1"/>
  <c r="U143" i="1"/>
  <c r="U105" i="1"/>
  <c r="U74" i="1"/>
  <c r="U40" i="1"/>
  <c r="U124" i="1"/>
  <c r="U182" i="1"/>
  <c r="U184" i="1"/>
  <c r="U67" i="1"/>
  <c r="U9" i="1"/>
  <c r="U83" i="1"/>
  <c r="U41" i="1"/>
  <c r="U30" i="1"/>
  <c r="U23" i="1"/>
  <c r="U55" i="1"/>
  <c r="U44" i="1"/>
  <c r="U12" i="1"/>
  <c r="U194" i="1"/>
  <c r="U156" i="1"/>
  <c r="U97" i="1"/>
  <c r="U28" i="1"/>
  <c r="U93" i="1"/>
  <c r="U98" i="1"/>
  <c r="U101" i="1"/>
  <c r="U20" i="1"/>
  <c r="U180" i="1"/>
  <c r="U65" i="1"/>
  <c r="U165" i="1"/>
  <c r="U139" i="1"/>
  <c r="U189" i="1"/>
  <c r="U6" i="1"/>
  <c r="U29" i="1"/>
  <c r="U16" i="1"/>
  <c r="U208" i="1"/>
  <c r="U171" i="1"/>
  <c r="U104" i="1"/>
  <c r="U205" i="1"/>
  <c r="U186" i="1"/>
  <c r="U18" i="1"/>
  <c r="U120" i="1"/>
  <c r="E37" i="2"/>
  <c r="E437" i="2"/>
  <c r="E82" i="2"/>
  <c r="E373" i="2"/>
  <c r="U31" i="1"/>
  <c r="U118" i="1"/>
  <c r="U17" i="1"/>
  <c r="U119" i="1"/>
  <c r="U60" i="1"/>
  <c r="U92" i="1"/>
  <c r="U168" i="1"/>
  <c r="U131" i="1"/>
  <c r="U15" i="1"/>
  <c r="U136" i="1"/>
  <c r="U84" i="1"/>
  <c r="U201" i="1"/>
  <c r="U153" i="1"/>
  <c r="U172" i="1"/>
  <c r="U76" i="1"/>
  <c r="U151" i="1"/>
  <c r="U43" i="1"/>
  <c r="U175" i="1"/>
  <c r="U63" i="1"/>
  <c r="U174" i="1"/>
  <c r="U46" i="1"/>
  <c r="U96" i="1"/>
  <c r="U128" i="1"/>
  <c r="U113" i="1"/>
  <c r="U69" i="1"/>
  <c r="U169" i="1"/>
  <c r="U34" i="1"/>
  <c r="U125" i="1"/>
  <c r="U116" i="1"/>
  <c r="U85" i="1"/>
  <c r="U148" i="1"/>
  <c r="U7" i="1"/>
  <c r="U202" i="1"/>
  <c r="U48" i="1"/>
  <c r="U19" i="1"/>
  <c r="U145" i="1"/>
  <c r="U11" i="1"/>
  <c r="U57" i="1"/>
  <c r="U137" i="1"/>
  <c r="U146" i="1"/>
  <c r="U108" i="1"/>
  <c r="U196" i="1"/>
  <c r="U123" i="1"/>
  <c r="U59" i="1"/>
  <c r="U115" i="1"/>
  <c r="E166" i="2"/>
  <c r="E197" i="2"/>
  <c r="U114" i="1"/>
  <c r="U3" i="1"/>
  <c r="E30" i="2"/>
  <c r="U111" i="1"/>
  <c r="E267" i="2"/>
  <c r="U37" i="1"/>
  <c r="E205" i="2"/>
  <c r="U36" i="1"/>
  <c r="U95" i="1"/>
  <c r="U2" i="1"/>
  <c r="U8" i="1"/>
  <c r="U199" i="1"/>
  <c r="U90" i="1"/>
  <c r="U33" i="1"/>
  <c r="E227" i="2"/>
  <c r="U89" i="1"/>
  <c r="U35" i="1"/>
  <c r="U21" i="1"/>
  <c r="U176" i="1" l="1"/>
  <c r="U80" i="1"/>
  <c r="U149" i="1"/>
  <c r="U134" i="1"/>
  <c r="U179" i="1"/>
  <c r="BQ141" i="148"/>
  <c r="BQ21" i="148"/>
  <c r="BQ176" i="148"/>
  <c r="BQ46" i="148"/>
  <c r="BQ173" i="148"/>
  <c r="BQ63" i="148"/>
  <c r="BQ32" i="148"/>
  <c r="BQ181" i="148"/>
  <c r="BQ55" i="148"/>
  <c r="BQ100" i="148"/>
  <c r="BQ152" i="148"/>
  <c r="BQ87" i="148"/>
  <c r="BQ50" i="148"/>
  <c r="BQ7" i="148"/>
  <c r="BQ106" i="148"/>
  <c r="BQ68" i="148"/>
  <c r="BQ74" i="148"/>
  <c r="BQ193" i="148"/>
  <c r="BQ199" i="148"/>
  <c r="BQ102" i="148"/>
  <c r="BQ19" i="148"/>
  <c r="BQ13" i="148"/>
  <c r="BQ76" i="148"/>
  <c r="BQ188" i="148"/>
  <c r="BQ44" i="148"/>
  <c r="BQ17" i="148"/>
  <c r="BQ18" i="148"/>
  <c r="BQ142" i="148"/>
  <c r="BQ57" i="148"/>
  <c r="BQ29" i="148"/>
  <c r="BQ62" i="148"/>
  <c r="BQ195" i="148"/>
  <c r="BQ169" i="148"/>
  <c r="BQ92" i="148"/>
  <c r="BQ90" i="148"/>
  <c r="BQ203" i="148"/>
  <c r="BQ150" i="148"/>
  <c r="BQ121" i="148"/>
  <c r="BQ78" i="148"/>
  <c r="BQ178" i="148"/>
  <c r="BQ34" i="148"/>
  <c r="BQ9" i="148"/>
  <c r="BQ61" i="148"/>
  <c r="BQ206" i="148"/>
  <c r="BQ146" i="148"/>
  <c r="BQ94" i="148"/>
  <c r="BQ64" i="148"/>
  <c r="BQ72" i="148"/>
  <c r="BQ190" i="148"/>
  <c r="BQ129" i="148"/>
  <c r="BQ145" i="148"/>
  <c r="BQ156" i="148"/>
  <c r="BQ58" i="148"/>
  <c r="BR143" i="148"/>
  <c r="BQ27" i="148"/>
  <c r="BQ124" i="148"/>
  <c r="BQ104" i="148"/>
  <c r="BQ167" i="148"/>
  <c r="BQ123" i="148"/>
  <c r="BQ89" i="148"/>
  <c r="BQ70" i="148"/>
  <c r="BQ158" i="148"/>
  <c r="BQ179" i="148"/>
  <c r="BQ161" i="148"/>
  <c r="BQ81" i="148"/>
  <c r="BQ136" i="148"/>
  <c r="BQ122" i="148"/>
  <c r="BQ103" i="148"/>
  <c r="BQ110" i="148"/>
  <c r="BQ166" i="148"/>
  <c r="BQ151" i="148"/>
  <c r="BQ83" i="148"/>
  <c r="BQ171" i="148"/>
  <c r="BQ149" i="148"/>
  <c r="BQ33" i="148"/>
  <c r="BQ207" i="148"/>
  <c r="BQ204" i="148"/>
  <c r="BQ160" i="148"/>
  <c r="BQ148" i="148"/>
  <c r="BQ185" i="148"/>
  <c r="BQ172" i="148"/>
  <c r="BQ139" i="148"/>
  <c r="BQ162" i="148"/>
  <c r="BQ115" i="148"/>
  <c r="BR177" i="148"/>
  <c r="BQ112" i="148"/>
  <c r="BQ164" i="148"/>
  <c r="BQ134" i="148"/>
  <c r="BQ107" i="148"/>
  <c r="BQ174" i="148"/>
  <c r="BQ194" i="148"/>
  <c r="BQ91" i="148"/>
  <c r="BQ154" i="148"/>
  <c r="BQ67" i="148"/>
  <c r="BQ197" i="148"/>
  <c r="BQ117" i="148"/>
  <c r="BQ138" i="148"/>
  <c r="BQ144" i="148"/>
  <c r="BQ98" i="148"/>
  <c r="BQ201" i="148"/>
  <c r="BQ79" i="148"/>
  <c r="BQ23" i="148"/>
  <c r="BR193" i="148"/>
  <c r="BQ36" i="148"/>
  <c r="BQ182" i="148"/>
  <c r="BQ170" i="148"/>
  <c r="BQ137" i="148"/>
  <c r="BQ192" i="148"/>
  <c r="BQ118" i="148"/>
  <c r="BR69" i="148"/>
  <c r="BR63" i="148"/>
  <c r="BQ128" i="148"/>
  <c r="BQ202" i="148"/>
  <c r="BQ42" i="148"/>
  <c r="BQ159" i="148"/>
  <c r="BQ187" i="148"/>
  <c r="BQ120" i="148"/>
  <c r="BQ175" i="148"/>
  <c r="BQ71" i="148"/>
  <c r="BQ165" i="148"/>
  <c r="BQ131" i="148"/>
  <c r="BR141" i="148"/>
  <c r="BQ99" i="148"/>
  <c r="BQ86" i="148"/>
  <c r="BQ65" i="148"/>
  <c r="BQ135" i="148"/>
  <c r="BQ96" i="148"/>
  <c r="BQ196" i="148"/>
  <c r="BQ140" i="148"/>
  <c r="BQ198" i="148"/>
  <c r="BQ25" i="148"/>
  <c r="BQ80" i="148"/>
  <c r="BR85" i="148"/>
  <c r="BQ125" i="148"/>
  <c r="BQ43" i="148"/>
  <c r="BQ189" i="148"/>
  <c r="BQ97" i="148"/>
  <c r="BQ82" i="148"/>
  <c r="BQ47" i="148"/>
  <c r="BQ4" i="148"/>
  <c r="BQ132" i="148"/>
  <c r="BQ184" i="148"/>
  <c r="BQ119" i="148"/>
  <c r="BQ163" i="148"/>
  <c r="BQ143" i="148"/>
  <c r="BR103" i="148"/>
  <c r="BQ15" i="148"/>
  <c r="BQ14" i="148"/>
  <c r="BQ116" i="148"/>
  <c r="BQ168" i="148"/>
  <c r="BQ109" i="148"/>
  <c r="BQ130" i="148"/>
  <c r="BQ12" i="148"/>
  <c r="BQ208" i="148"/>
  <c r="BQ126" i="148"/>
  <c r="BQ153" i="148"/>
  <c r="BR179" i="148"/>
  <c r="BQ105" i="148"/>
  <c r="BQ155" i="148"/>
  <c r="BR20" i="148"/>
  <c r="BR145" i="148"/>
  <c r="BR97" i="148"/>
  <c r="BR68" i="148"/>
  <c r="BR158" i="148"/>
  <c r="BR107" i="148"/>
  <c r="BR188" i="148"/>
  <c r="BR184" i="148"/>
  <c r="BR192" i="148"/>
  <c r="BR151" i="148"/>
  <c r="BR34" i="148"/>
  <c r="BR102" i="148"/>
  <c r="BR92" i="148"/>
  <c r="BR149" i="148"/>
  <c r="BR200" i="148"/>
  <c r="BR197" i="148"/>
  <c r="BR50" i="148"/>
  <c r="BQ56" i="148"/>
  <c r="BQ73" i="148"/>
  <c r="BQ39" i="148"/>
  <c r="BQ205" i="148"/>
  <c r="BQ95" i="148"/>
  <c r="BR21" i="148"/>
  <c r="BR161" i="148"/>
  <c r="BR56" i="148"/>
  <c r="BR39" i="148"/>
  <c r="BR198" i="148"/>
  <c r="BR201" i="148"/>
  <c r="BR74" i="148"/>
  <c r="BR18" i="148"/>
  <c r="BR181" i="148"/>
  <c r="BR80" i="148"/>
  <c r="BR83" i="148"/>
  <c r="BR9" i="148"/>
  <c r="BR156" i="148"/>
  <c r="BR88" i="148"/>
  <c r="BR40" i="148"/>
  <c r="BR148" i="148"/>
  <c r="BR71" i="148"/>
  <c r="BR64" i="148"/>
  <c r="BQ2" i="148"/>
  <c r="BQ59" i="148"/>
  <c r="BQ31" i="148"/>
  <c r="BQ114" i="148"/>
  <c r="BR10" i="148"/>
  <c r="BR205" i="148"/>
  <c r="BR147" i="148"/>
  <c r="BR41" i="148"/>
  <c r="BR110" i="148"/>
  <c r="BR121" i="148"/>
  <c r="BR96" i="148"/>
  <c r="BR32" i="148"/>
  <c r="BR140" i="148"/>
  <c r="BR66" i="148"/>
  <c r="BR99" i="148"/>
  <c r="BR7" i="148"/>
  <c r="BR191" i="148"/>
  <c r="BR51" i="148"/>
  <c r="BR106" i="148"/>
  <c r="BR175" i="148"/>
  <c r="BR122" i="148"/>
  <c r="BQ28" i="148"/>
  <c r="BQ16" i="148"/>
  <c r="BQ157" i="148"/>
  <c r="BQ186" i="148"/>
  <c r="BQ66" i="148"/>
  <c r="BQ180" i="148"/>
  <c r="BR79" i="148"/>
  <c r="BR199" i="148"/>
  <c r="BR76" i="148"/>
  <c r="BR48" i="148"/>
  <c r="BR207" i="148"/>
  <c r="BR89" i="148"/>
  <c r="BR105" i="148"/>
  <c r="BR47" i="148"/>
  <c r="BR132" i="148"/>
  <c r="BR206" i="148"/>
  <c r="BR113" i="148"/>
  <c r="BR15" i="148"/>
  <c r="BR67" i="148"/>
  <c r="BR133" i="148"/>
  <c r="BR38" i="148"/>
  <c r="BR109" i="148"/>
  <c r="BR195" i="148"/>
  <c r="BQ191" i="148"/>
  <c r="BQ108" i="148"/>
  <c r="BQ183" i="148"/>
  <c r="BQ101" i="148"/>
  <c r="BR202" i="148"/>
  <c r="BR144" i="148"/>
  <c r="BR44" i="148"/>
  <c r="BR75" i="148"/>
  <c r="BR166" i="148"/>
  <c r="BR46" i="148"/>
  <c r="BR82" i="148"/>
  <c r="BR160" i="148"/>
  <c r="BR172" i="148"/>
  <c r="BR111" i="148"/>
  <c r="BR37" i="148"/>
  <c r="BR165" i="148"/>
  <c r="BR152" i="148"/>
  <c r="BR19" i="148"/>
  <c r="BR138" i="148"/>
  <c r="BR43" i="148"/>
  <c r="BQ49" i="148"/>
  <c r="BQ113" i="148"/>
  <c r="BQ48" i="148"/>
  <c r="BQ3" i="148"/>
  <c r="BQ69" i="148"/>
  <c r="BQ5" i="148"/>
  <c r="BR86" i="148"/>
  <c r="BR2" i="148"/>
  <c r="BR65" i="148"/>
  <c r="BR180" i="148"/>
  <c r="BR116" i="148"/>
  <c r="BR95" i="148"/>
  <c r="BR91" i="148"/>
  <c r="BR130" i="148"/>
  <c r="BR12" i="148"/>
  <c r="BR187" i="148"/>
  <c r="BR81" i="148"/>
  <c r="BR125" i="148"/>
  <c r="BR117" i="148"/>
  <c r="BR58" i="148"/>
  <c r="BR49" i="148"/>
  <c r="BR167" i="148"/>
  <c r="BR123" i="148"/>
  <c r="BQ6" i="148"/>
  <c r="BQ84" i="148"/>
  <c r="BQ11" i="148"/>
  <c r="BQ52" i="148"/>
  <c r="BR11" i="148"/>
  <c r="BR115" i="148"/>
  <c r="BR42" i="148"/>
  <c r="BR26" i="148"/>
  <c r="BR114" i="148"/>
  <c r="BR55" i="148"/>
  <c r="BR54" i="148"/>
  <c r="BR35" i="148"/>
  <c r="BR204" i="148"/>
  <c r="BR93" i="148"/>
  <c r="BR36" i="148"/>
  <c r="BR194" i="148"/>
  <c r="BR98" i="148"/>
  <c r="BR45" i="148"/>
  <c r="BR170" i="148"/>
  <c r="BR87" i="148"/>
  <c r="BQ38" i="148"/>
  <c r="BQ24" i="148"/>
  <c r="BQ35" i="148"/>
  <c r="BQ22" i="148"/>
  <c r="BQ77" i="148"/>
  <c r="BQ54" i="148"/>
  <c r="BQ177" i="148"/>
  <c r="BQ88" i="148"/>
  <c r="BQ30" i="148"/>
  <c r="BR17" i="148"/>
  <c r="BR139" i="148"/>
  <c r="BR146" i="148"/>
  <c r="BR135" i="148"/>
  <c r="BR186" i="148"/>
  <c r="BR185" i="148"/>
  <c r="BR100" i="148"/>
  <c r="BR162" i="148"/>
  <c r="BR77" i="148"/>
  <c r="BR128" i="148"/>
  <c r="BR4" i="148"/>
  <c r="BR153" i="148"/>
  <c r="BR59" i="148"/>
  <c r="BR124" i="148"/>
  <c r="BR190" i="148"/>
  <c r="BQ20" i="148"/>
  <c r="BQ41" i="148"/>
  <c r="BQ60" i="148"/>
  <c r="BQ147" i="148"/>
  <c r="BQ51" i="148"/>
  <c r="BR126" i="148"/>
  <c r="BR31" i="148"/>
  <c r="BR171" i="148"/>
  <c r="BR168" i="148"/>
  <c r="BR189" i="148"/>
  <c r="BR178" i="148"/>
  <c r="BR173" i="148"/>
  <c r="BR33" i="148"/>
  <c r="BR154" i="148"/>
  <c r="BR176" i="148"/>
  <c r="BR169" i="148"/>
  <c r="BR5" i="148"/>
  <c r="BR208" i="148"/>
  <c r="BR53" i="148"/>
  <c r="BR196" i="148"/>
  <c r="BR27" i="148"/>
  <c r="BQ45" i="148"/>
  <c r="BQ37" i="148"/>
  <c r="BQ8" i="148"/>
  <c r="BQ133" i="148"/>
  <c r="BQ75" i="148"/>
  <c r="BR163" i="148"/>
  <c r="BR30" i="148"/>
  <c r="BR137" i="148"/>
  <c r="BR157" i="148"/>
  <c r="BR16" i="148"/>
  <c r="BR72" i="148"/>
  <c r="BR101" i="148"/>
  <c r="BR183" i="148"/>
  <c r="BR23" i="148"/>
  <c r="BR150" i="148"/>
  <c r="BR25" i="148"/>
  <c r="BR14" i="148"/>
  <c r="BR134" i="148"/>
  <c r="BR108" i="148"/>
  <c r="BR174" i="148"/>
  <c r="BR3" i="148"/>
  <c r="BQ200" i="148"/>
  <c r="BQ111" i="148"/>
  <c r="BQ127" i="148"/>
  <c r="BQ26" i="148"/>
  <c r="BR142" i="148"/>
  <c r="BR94" i="148"/>
  <c r="BR159" i="148"/>
  <c r="BR127" i="148"/>
  <c r="BR24" i="148"/>
  <c r="BR78" i="148"/>
  <c r="BR57" i="148"/>
  <c r="BR73" i="148"/>
  <c r="BR29" i="148"/>
  <c r="BR104" i="148"/>
  <c r="BR90" i="148"/>
  <c r="BR28" i="148"/>
  <c r="BR164" i="148"/>
  <c r="BR61" i="148"/>
  <c r="BR182" i="148"/>
  <c r="BR60" i="148"/>
  <c r="BQ93" i="148"/>
  <c r="BQ10" i="148"/>
  <c r="BQ40" i="148"/>
  <c r="BQ85" i="148"/>
  <c r="BQ53" i="148"/>
  <c r="BR6" i="148"/>
  <c r="BR118" i="148"/>
  <c r="BR70" i="148"/>
  <c r="BR8" i="148"/>
  <c r="BR120" i="148"/>
  <c r="BR22" i="148"/>
  <c r="BR203" i="148"/>
  <c r="BR119" i="148"/>
  <c r="BR155" i="148"/>
  <c r="BR62" i="148"/>
  <c r="BR136" i="148"/>
  <c r="BR112" i="148"/>
  <c r="BR52" i="148"/>
  <c r="BR131" i="148"/>
  <c r="BR84" i="148"/>
  <c r="BR129" i="148"/>
  <c r="BR13" i="148"/>
  <c r="U170" i="1"/>
  <c r="U195" i="1"/>
  <c r="U127" i="1"/>
  <c r="U94" i="1"/>
  <c r="U140" i="1"/>
  <c r="U71" i="1"/>
  <c r="U66" i="1"/>
  <c r="I7" i="2"/>
  <c r="J7" i="2" s="1"/>
  <c r="G210" i="1"/>
  <c r="H210" i="1"/>
  <c r="I10" i="2"/>
  <c r="J10" i="2" s="1"/>
  <c r="E217" i="2"/>
  <c r="I23" i="2"/>
  <c r="J23" i="2" s="1"/>
  <c r="U167" i="1"/>
  <c r="E122" i="2"/>
  <c r="I11" i="2"/>
  <c r="J11" i="2" s="1"/>
  <c r="E396" i="2"/>
  <c r="I6" i="2"/>
  <c r="J6" i="2" s="1"/>
  <c r="C27" i="148"/>
  <c r="I17" i="2"/>
  <c r="J17" i="2" s="1"/>
  <c r="I4" i="2"/>
  <c r="J4" i="2" s="1"/>
  <c r="D210" i="1"/>
  <c r="I45" i="2"/>
  <c r="J45" i="2" s="1"/>
  <c r="I16" i="2"/>
  <c r="J16" i="2" s="1"/>
  <c r="I22" i="2"/>
  <c r="J22" i="2" s="1"/>
  <c r="I46" i="2"/>
  <c r="J46" i="2" s="1"/>
  <c r="I30" i="2"/>
  <c r="J30" i="2" s="1"/>
  <c r="U27" i="1"/>
  <c r="U5" i="1"/>
  <c r="U142" i="1"/>
  <c r="I25" i="2"/>
  <c r="J25" i="2" s="1"/>
  <c r="I35" i="2"/>
  <c r="J35" i="2" s="1"/>
  <c r="I41" i="2"/>
  <c r="E56" i="2"/>
  <c r="I55" i="2"/>
  <c r="J55" i="2" s="1"/>
  <c r="I18" i="2"/>
  <c r="J18" i="2" s="1"/>
  <c r="I50" i="2"/>
  <c r="J50" i="2" s="1"/>
  <c r="I38" i="2"/>
  <c r="J38" i="2" s="1"/>
  <c r="I20" i="2"/>
  <c r="J20" i="2" s="1"/>
  <c r="I48" i="2"/>
  <c r="J48" i="2" s="1"/>
  <c r="U72" i="1"/>
  <c r="I36" i="2"/>
  <c r="J36" i="2" s="1"/>
  <c r="I28" i="2"/>
  <c r="J28" i="2" s="1"/>
  <c r="I26" i="2"/>
  <c r="J26" i="2" s="1"/>
  <c r="I13" i="2"/>
  <c r="J13" i="2" s="1"/>
  <c r="I42" i="2"/>
  <c r="J42" i="2" s="1"/>
  <c r="I21" i="2"/>
  <c r="J21" i="2" s="1"/>
  <c r="I15" i="2"/>
  <c r="J15" i="2" s="1"/>
  <c r="BL210" i="148"/>
  <c r="AX212" i="148"/>
  <c r="AO212" i="148"/>
  <c r="AX210" i="148"/>
  <c r="BL212" i="148"/>
  <c r="AJ210" i="148"/>
  <c r="AP212" i="148"/>
  <c r="AO210" i="148"/>
  <c r="Y212" i="148"/>
  <c r="U210" i="148"/>
  <c r="T210" i="148"/>
  <c r="T212" i="148"/>
  <c r="Y210" i="148"/>
  <c r="U212" i="148"/>
  <c r="I33" i="2"/>
  <c r="J33" i="2" s="1"/>
  <c r="I1" i="2"/>
  <c r="I40" i="2"/>
  <c r="J40" i="2" s="1"/>
  <c r="I51" i="2"/>
  <c r="J51" i="2" s="1"/>
  <c r="U107" i="1"/>
  <c r="I8" i="2"/>
  <c r="J8" i="2" s="1"/>
  <c r="I9" i="2"/>
  <c r="J9" i="2" s="1"/>
  <c r="C103" i="148"/>
  <c r="I32" i="2"/>
  <c r="I34" i="2" s="1"/>
  <c r="J34" i="2" s="1"/>
  <c r="I44" i="2"/>
  <c r="J44" i="2" s="1"/>
  <c r="I29" i="2"/>
  <c r="J29" i="2" s="1"/>
  <c r="I27" i="2"/>
  <c r="J27" i="2" s="1"/>
  <c r="I14" i="2"/>
  <c r="J14" i="2" s="1"/>
  <c r="I39" i="2"/>
  <c r="J39" i="2" s="1"/>
  <c r="I24" i="2"/>
  <c r="J24" i="2" s="1"/>
  <c r="I2" i="2"/>
  <c r="S212" i="148"/>
  <c r="BO103" i="148"/>
  <c r="C193" i="148"/>
  <c r="L210" i="148"/>
  <c r="P212" i="148"/>
  <c r="AC212" i="148"/>
  <c r="AA212" i="148"/>
  <c r="X210" i="148"/>
  <c r="Q212" i="148"/>
  <c r="M210" i="148"/>
  <c r="AC210" i="148"/>
  <c r="AA210" i="148"/>
  <c r="Q210" i="148"/>
  <c r="C85" i="148"/>
  <c r="I210" i="148"/>
  <c r="F210" i="148"/>
  <c r="BO179" i="148"/>
  <c r="R212" i="148"/>
  <c r="AS210" i="148"/>
  <c r="X212" i="148"/>
  <c r="S210" i="148"/>
  <c r="AS212" i="148"/>
  <c r="AB212" i="148"/>
  <c r="AH210" i="148"/>
  <c r="AF212" i="148"/>
  <c r="W212" i="148"/>
  <c r="C179" i="148"/>
  <c r="R210" i="148"/>
  <c r="AP210" i="148"/>
  <c r="AG210" i="148"/>
  <c r="K212" i="148"/>
  <c r="J212" i="148"/>
  <c r="BO85" i="148"/>
  <c r="AH212" i="148"/>
  <c r="BO79" i="148"/>
  <c r="AJ212" i="148"/>
  <c r="AF210" i="148"/>
  <c r="Z212" i="148"/>
  <c r="W210" i="148"/>
  <c r="AB210" i="148"/>
  <c r="M212" i="148"/>
  <c r="AU210" i="148"/>
  <c r="AK210" i="148"/>
  <c r="Z210" i="148"/>
  <c r="BO73" i="148"/>
  <c r="BO86" i="148"/>
  <c r="I43" i="2"/>
  <c r="J43" i="2" s="1"/>
  <c r="C151" i="148"/>
  <c r="AT210" i="148"/>
  <c r="V212" i="148"/>
  <c r="AW212" i="148"/>
  <c r="AU212" i="148"/>
  <c r="AQ212" i="148"/>
  <c r="AK212" i="148"/>
  <c r="AT212" i="148"/>
  <c r="AW210" i="148"/>
  <c r="AQ210" i="148"/>
  <c r="AV212" i="148"/>
  <c r="E210" i="148"/>
  <c r="AN210" i="148"/>
  <c r="AR212" i="148"/>
  <c r="AE212" i="148"/>
  <c r="AM212" i="148"/>
  <c r="AL212" i="148"/>
  <c r="C69" i="148"/>
  <c r="AE210" i="148"/>
  <c r="E212" i="148"/>
  <c r="AM210" i="148"/>
  <c r="C177" i="148"/>
  <c r="AN212" i="148"/>
  <c r="AR210" i="148"/>
  <c r="AI210" i="148"/>
  <c r="AV210" i="148"/>
  <c r="AL210" i="148"/>
  <c r="AI212" i="148"/>
  <c r="BO63" i="148"/>
  <c r="BO141" i="148"/>
  <c r="C73" i="148"/>
  <c r="C132" i="148"/>
  <c r="BO132" i="148"/>
  <c r="BO170" i="148"/>
  <c r="C189" i="148"/>
  <c r="BO189" i="148"/>
  <c r="C184" i="148"/>
  <c r="L212" i="148"/>
  <c r="I53" i="2"/>
  <c r="J53" i="2" s="1"/>
  <c r="C205" i="148"/>
  <c r="C182" i="148"/>
  <c r="C114" i="148"/>
  <c r="C170" i="148"/>
  <c r="BO184" i="148"/>
  <c r="C194" i="148"/>
  <c r="BO194" i="148"/>
  <c r="BO114" i="148"/>
  <c r="BO105" i="148"/>
  <c r="BO41" i="148"/>
  <c r="C141" i="148"/>
  <c r="C118" i="148"/>
  <c r="C99" i="148"/>
  <c r="H210" i="148"/>
  <c r="C48" i="148"/>
  <c r="C33" i="148"/>
  <c r="BO72" i="148"/>
  <c r="C140" i="148"/>
  <c r="C133" i="148"/>
  <c r="C105" i="148"/>
  <c r="BO54" i="148"/>
  <c r="BO87" i="148"/>
  <c r="BO122" i="148"/>
  <c r="BO168" i="148"/>
  <c r="BO126" i="148"/>
  <c r="C208" i="148"/>
  <c r="C180" i="148"/>
  <c r="BO56" i="148"/>
  <c r="BO46" i="148"/>
  <c r="C142" i="148"/>
  <c r="C56" i="148"/>
  <c r="C74" i="148"/>
  <c r="C185" i="148"/>
  <c r="BO43" i="148"/>
  <c r="C121" i="148"/>
  <c r="BO52" i="148"/>
  <c r="BO94" i="148"/>
  <c r="BO95" i="148"/>
  <c r="C94" i="148"/>
  <c r="BO93" i="148"/>
  <c r="O212" i="148"/>
  <c r="AD210" i="148"/>
  <c r="BO156" i="148"/>
  <c r="BO120" i="148"/>
  <c r="C104" i="148"/>
  <c r="I3" i="2"/>
  <c r="J3" i="2" s="1"/>
  <c r="BO173" i="148"/>
  <c r="C174" i="148"/>
  <c r="BO146" i="148"/>
  <c r="C204" i="148"/>
  <c r="BO121" i="148"/>
  <c r="C111" i="148"/>
  <c r="O210" i="148"/>
  <c r="I49" i="2"/>
  <c r="J49" i="2" s="1"/>
  <c r="BO42" i="148"/>
  <c r="BO10" i="148"/>
  <c r="C59" i="148"/>
  <c r="BO133" i="148"/>
  <c r="C202" i="148"/>
  <c r="C82" i="148"/>
  <c r="BO51" i="148"/>
  <c r="C91" i="148"/>
  <c r="BO58" i="148"/>
  <c r="BO137" i="148"/>
  <c r="C154" i="148"/>
  <c r="BO207" i="148"/>
  <c r="C81" i="148"/>
  <c r="C46" i="148"/>
  <c r="C128" i="148"/>
  <c r="K210" i="148"/>
  <c r="C188" i="148"/>
  <c r="C88" i="148"/>
  <c r="BO60" i="148"/>
  <c r="C8" i="148"/>
  <c r="C18" i="148"/>
  <c r="C15" i="148"/>
  <c r="BA210" i="148"/>
  <c r="BO47" i="148"/>
  <c r="C36" i="148"/>
  <c r="C70" i="148"/>
  <c r="BO112" i="148"/>
  <c r="C153" i="148"/>
  <c r="BO84" i="148"/>
  <c r="BO129" i="148"/>
  <c r="BO161" i="148"/>
  <c r="BO164" i="148"/>
  <c r="C162" i="148"/>
  <c r="BO110" i="148"/>
  <c r="I212" i="148"/>
  <c r="F212" i="148"/>
  <c r="BK210" i="148"/>
  <c r="BO92" i="148"/>
  <c r="BO91" i="148"/>
  <c r="C139" i="148"/>
  <c r="BO44" i="148"/>
  <c r="C83" i="148"/>
  <c r="BO151" i="148"/>
  <c r="AG212" i="148"/>
  <c r="BO154" i="148"/>
  <c r="C63" i="148"/>
  <c r="BO177" i="148"/>
  <c r="BO64" i="148"/>
  <c r="BO59" i="148"/>
  <c r="C147" i="148"/>
  <c r="C79" i="148"/>
  <c r="BO185" i="148"/>
  <c r="N210" i="148"/>
  <c r="BO115" i="148"/>
  <c r="C44" i="148"/>
  <c r="BO108" i="148"/>
  <c r="BO176" i="148"/>
  <c r="C145" i="148"/>
  <c r="C120" i="148"/>
  <c r="BO139" i="148"/>
  <c r="C93" i="148"/>
  <c r="BO204" i="148"/>
  <c r="BO196" i="148"/>
  <c r="C30" i="148"/>
  <c r="BO33" i="148"/>
  <c r="BO123" i="148"/>
  <c r="C72" i="148"/>
  <c r="C169" i="148"/>
  <c r="N212" i="148"/>
  <c r="BO31" i="148"/>
  <c r="BO97" i="148"/>
  <c r="C108" i="148"/>
  <c r="BO76" i="148"/>
  <c r="BO200" i="148"/>
  <c r="C119" i="148"/>
  <c r="C89" i="148"/>
  <c r="BO61" i="148"/>
  <c r="C101" i="148"/>
  <c r="BO201" i="148"/>
  <c r="C186" i="148"/>
  <c r="BO127" i="148"/>
  <c r="BO124" i="148"/>
  <c r="C166" i="148"/>
  <c r="C181" i="148"/>
  <c r="BO134" i="148"/>
  <c r="C78" i="148"/>
  <c r="BO165" i="148"/>
  <c r="BO138" i="148"/>
  <c r="C198" i="148"/>
  <c r="BO203" i="148"/>
  <c r="C137" i="148"/>
  <c r="BO206" i="148"/>
  <c r="C125" i="148"/>
  <c r="C51" i="148"/>
  <c r="C113" i="148"/>
  <c r="BO111" i="148"/>
  <c r="C102" i="148"/>
  <c r="BO142" i="148"/>
  <c r="C80" i="148"/>
  <c r="BO163" i="148"/>
  <c r="BO55" i="148"/>
  <c r="C156" i="148"/>
  <c r="C6" i="148"/>
  <c r="BO22" i="148"/>
  <c r="C52" i="148"/>
  <c r="C92" i="148"/>
  <c r="BO183" i="148"/>
  <c r="BO180" i="148"/>
  <c r="BO101" i="148"/>
  <c r="C58" i="148"/>
  <c r="C144" i="148"/>
  <c r="BO148" i="148"/>
  <c r="BO19" i="148"/>
  <c r="BO152" i="148"/>
  <c r="C126" i="148"/>
  <c r="C122" i="148"/>
  <c r="C55" i="148"/>
  <c r="C157" i="148"/>
  <c r="C192" i="148"/>
  <c r="BO208" i="148"/>
  <c r="C175" i="148"/>
  <c r="BO145" i="148"/>
  <c r="BO187" i="148"/>
  <c r="BO67" i="148"/>
  <c r="C190" i="148"/>
  <c r="C95" i="148"/>
  <c r="BO104" i="148"/>
  <c r="BO182" i="148"/>
  <c r="C135" i="148"/>
  <c r="C207" i="148"/>
  <c r="BO193" i="148"/>
  <c r="C54" i="148"/>
  <c r="C87" i="148"/>
  <c r="BO100" i="148"/>
  <c r="C39" i="148"/>
  <c r="BO48" i="148"/>
  <c r="BO128" i="148"/>
  <c r="BO99" i="148"/>
  <c r="C53" i="148"/>
  <c r="C42" i="148"/>
  <c r="C152" i="148"/>
  <c r="BO81" i="148"/>
  <c r="C57" i="148"/>
  <c r="BO98" i="148"/>
  <c r="BO118" i="148"/>
  <c r="BO172" i="148"/>
  <c r="BO188" i="148"/>
  <c r="BO36" i="148"/>
  <c r="BO70" i="148"/>
  <c r="BO153" i="148"/>
  <c r="BO66" i="148"/>
  <c r="C195" i="148"/>
  <c r="I47" i="2"/>
  <c r="J47" i="2" s="1"/>
  <c r="BO205" i="148"/>
  <c r="C173" i="148"/>
  <c r="BO181" i="148"/>
  <c r="BO130" i="148"/>
  <c r="BO71" i="148"/>
  <c r="C176" i="148"/>
  <c r="BO191" i="148"/>
  <c r="C191" i="148"/>
  <c r="BO162" i="148"/>
  <c r="C178" i="148"/>
  <c r="C134" i="148"/>
  <c r="C161" i="148"/>
  <c r="C45" i="148"/>
  <c r="BO78" i="148"/>
  <c r="BO192" i="148"/>
  <c r="C130" i="148"/>
  <c r="BO57" i="148"/>
  <c r="C138" i="148"/>
  <c r="BO136" i="148"/>
  <c r="C129" i="148"/>
  <c r="C43" i="148"/>
  <c r="C110" i="148"/>
  <c r="C160" i="148"/>
  <c r="BO147" i="148"/>
  <c r="C165" i="148"/>
  <c r="C150" i="148"/>
  <c r="BO109" i="148"/>
  <c r="BO9" i="148"/>
  <c r="BJ212" i="148"/>
  <c r="BK212" i="148"/>
  <c r="C21" i="148"/>
  <c r="C76" i="148"/>
  <c r="BO166" i="148"/>
  <c r="BO107" i="148"/>
  <c r="C149" i="148"/>
  <c r="BO17" i="148"/>
  <c r="BO116" i="148"/>
  <c r="BO158" i="148"/>
  <c r="C4" i="148"/>
  <c r="C196" i="148"/>
  <c r="BO77" i="148"/>
  <c r="BO106" i="148"/>
  <c r="C107" i="148"/>
  <c r="C168" i="148"/>
  <c r="BO140" i="148"/>
  <c r="C127" i="148"/>
  <c r="J210" i="148"/>
  <c r="C148" i="148"/>
  <c r="C60" i="148"/>
  <c r="C71" i="148"/>
  <c r="BO69" i="148"/>
  <c r="C146" i="148"/>
  <c r="BO102" i="148"/>
  <c r="BO117" i="148"/>
  <c r="BO25" i="148"/>
  <c r="C86" i="148"/>
  <c r="BO149" i="148"/>
  <c r="C61" i="148"/>
  <c r="C203" i="148"/>
  <c r="C96" i="148"/>
  <c r="BO171" i="148"/>
  <c r="C172" i="148"/>
  <c r="BO135" i="148"/>
  <c r="BO23" i="148"/>
  <c r="BO88" i="148"/>
  <c r="BO8" i="148"/>
  <c r="C124" i="148"/>
  <c r="C171" i="148"/>
  <c r="C19" i="148"/>
  <c r="C90" i="148"/>
  <c r="BO174" i="148"/>
  <c r="BO96" i="148"/>
  <c r="C67" i="148"/>
  <c r="C41" i="148"/>
  <c r="C206" i="148"/>
  <c r="C159" i="148"/>
  <c r="C164" i="148"/>
  <c r="C155" i="148"/>
  <c r="BO190" i="148"/>
  <c r="BO125" i="148"/>
  <c r="BO119" i="148"/>
  <c r="BO159" i="148"/>
  <c r="C136" i="148"/>
  <c r="C115" i="148"/>
  <c r="BA212" i="148"/>
  <c r="BO39" i="148"/>
  <c r="C62" i="148"/>
  <c r="C64" i="148"/>
  <c r="BO30" i="148"/>
  <c r="C123" i="148"/>
  <c r="C84" i="148"/>
  <c r="H212" i="148"/>
  <c r="BO20" i="148"/>
  <c r="C25" i="148"/>
  <c r="BO175" i="148"/>
  <c r="C187" i="148"/>
  <c r="C183" i="148"/>
  <c r="C158" i="148"/>
  <c r="C100" i="148"/>
  <c r="C109" i="148"/>
  <c r="BO198" i="148"/>
  <c r="C66" i="148"/>
  <c r="BO150" i="148"/>
  <c r="C22" i="148"/>
  <c r="BO160" i="148"/>
  <c r="BO157" i="148"/>
  <c r="BO155" i="148"/>
  <c r="C117" i="148"/>
  <c r="BO131" i="148"/>
  <c r="BM210" i="148"/>
  <c r="BO82" i="148"/>
  <c r="BO74" i="148"/>
  <c r="BO80" i="148"/>
  <c r="D212" i="148"/>
  <c r="BO27" i="148"/>
  <c r="BO40" i="148"/>
  <c r="BJ210" i="148"/>
  <c r="C11" i="148"/>
  <c r="C75" i="148"/>
  <c r="C16" i="148"/>
  <c r="BO12" i="148"/>
  <c r="C14" i="148"/>
  <c r="BO13" i="148"/>
  <c r="C38" i="148"/>
  <c r="BF212" i="148"/>
  <c r="C37" i="148"/>
  <c r="C31" i="148"/>
  <c r="C26" i="148"/>
  <c r="C47" i="148"/>
  <c r="BO45" i="148"/>
  <c r="C112" i="148"/>
  <c r="C163" i="148"/>
  <c r="BO186" i="148"/>
  <c r="BO65" i="148"/>
  <c r="AD212" i="148"/>
  <c r="BO26" i="148"/>
  <c r="BO169" i="148"/>
  <c r="C200" i="148"/>
  <c r="C65" i="148"/>
  <c r="BO89" i="148"/>
  <c r="BO14" i="148"/>
  <c r="BB212" i="148"/>
  <c r="BO32" i="148"/>
  <c r="G210" i="148"/>
  <c r="BO24" i="148"/>
  <c r="BE210" i="148"/>
  <c r="BG210" i="148"/>
  <c r="C20" i="148"/>
  <c r="BG212" i="148"/>
  <c r="P210" i="148"/>
  <c r="BO195" i="148"/>
  <c r="BO113" i="148"/>
  <c r="C143" i="148"/>
  <c r="C449" i="2"/>
  <c r="BI212" i="148"/>
  <c r="C24" i="148"/>
  <c r="BH210" i="148"/>
  <c r="BD210" i="148"/>
  <c r="BC212" i="148"/>
  <c r="C10" i="148"/>
  <c r="BO90" i="148"/>
  <c r="C201" i="148"/>
  <c r="C98" i="148"/>
  <c r="BO144" i="148"/>
  <c r="BO178" i="148"/>
  <c r="C23" i="148"/>
  <c r="BO38" i="148"/>
  <c r="BC210" i="148"/>
  <c r="BO49" i="148"/>
  <c r="C9" i="148"/>
  <c r="BO21" i="148"/>
  <c r="BO6" i="148"/>
  <c r="BO143" i="148"/>
  <c r="BH212" i="148"/>
  <c r="C3" i="148"/>
  <c r="C77" i="148"/>
  <c r="C97" i="148"/>
  <c r="BO53" i="148"/>
  <c r="C28" i="148"/>
  <c r="BI210" i="148"/>
  <c r="V210" i="148"/>
  <c r="C131" i="148"/>
  <c r="BN210" i="148"/>
  <c r="BM212" i="148"/>
  <c r="C49" i="148"/>
  <c r="BO83" i="148"/>
  <c r="AY212" i="148"/>
  <c r="BO197" i="148"/>
  <c r="C7" i="148"/>
  <c r="BO3" i="148"/>
  <c r="AY210" i="148"/>
  <c r="I54" i="2"/>
  <c r="J54" i="2" s="1"/>
  <c r="BO35" i="148"/>
  <c r="BB210" i="148"/>
  <c r="BO28" i="148"/>
  <c r="C35" i="148"/>
  <c r="BO15" i="148"/>
  <c r="AZ212" i="148"/>
  <c r="BN212" i="148"/>
  <c r="C29" i="148"/>
  <c r="C106" i="148"/>
  <c r="C17" i="148"/>
  <c r="I52" i="2"/>
  <c r="J52" i="2" s="1"/>
  <c r="C34" i="148"/>
  <c r="BO2" i="148"/>
  <c r="G212" i="148"/>
  <c r="BO50" i="148"/>
  <c r="BO167" i="148"/>
  <c r="C116" i="148"/>
  <c r="C32" i="148"/>
  <c r="C199" i="148"/>
  <c r="BO202" i="148"/>
  <c r="C2" i="148"/>
  <c r="BO11" i="148"/>
  <c r="BO5" i="148"/>
  <c r="BO199" i="148"/>
  <c r="D210" i="148"/>
  <c r="C13" i="148"/>
  <c r="C68" i="148"/>
  <c r="BO18" i="148"/>
  <c r="BO75" i="148"/>
  <c r="BO4" i="148"/>
  <c r="C40" i="148"/>
  <c r="BE212" i="148"/>
  <c r="C12" i="148"/>
  <c r="BO29" i="148"/>
  <c r="BO7" i="148"/>
  <c r="C5" i="148"/>
  <c r="BO34" i="148"/>
  <c r="C167" i="148"/>
  <c r="BF210" i="148"/>
  <c r="BD212" i="148"/>
  <c r="C50" i="148"/>
  <c r="C197" i="148"/>
  <c r="BO68" i="148"/>
  <c r="BO62" i="148"/>
  <c r="BO37" i="148"/>
  <c r="BO16" i="148"/>
  <c r="AZ210" i="148"/>
  <c r="D449" i="2"/>
  <c r="D450" i="2" s="1"/>
  <c r="BP19" i="148" l="1"/>
  <c r="BP32" i="148"/>
  <c r="BP66" i="148"/>
  <c r="BP98" i="148"/>
  <c r="BP100" i="148"/>
  <c r="BP21" i="148"/>
  <c r="BP83" i="148"/>
  <c r="BP106" i="148"/>
  <c r="BP23" i="148"/>
  <c r="BP82" i="148"/>
  <c r="BP29" i="148"/>
  <c r="BP200" i="148"/>
  <c r="BP43" i="148"/>
  <c r="BP78" i="148"/>
  <c r="BP169" i="148"/>
  <c r="BP55" i="148"/>
  <c r="BP61" i="148"/>
  <c r="BP18" i="148"/>
  <c r="BP176" i="148"/>
  <c r="BP33" i="148"/>
  <c r="BP164" i="148"/>
  <c r="BP88" i="148"/>
  <c r="BP174" i="148"/>
  <c r="BP42" i="148"/>
  <c r="BP160" i="148"/>
  <c r="BP9" i="148"/>
  <c r="BP173" i="148"/>
  <c r="BP4" i="148"/>
  <c r="BP15" i="148"/>
  <c r="BP99" i="148"/>
  <c r="BP181" i="148"/>
  <c r="BP135" i="148"/>
  <c r="BP193" i="148"/>
  <c r="BP145" i="148"/>
  <c r="BP168" i="148"/>
  <c r="BP141" i="148"/>
  <c r="BP75" i="148"/>
  <c r="BP152" i="148"/>
  <c r="BP198" i="148"/>
  <c r="BP46" i="148"/>
  <c r="BP143" i="148"/>
  <c r="BP203" i="148"/>
  <c r="BP163" i="148"/>
  <c r="BP147" i="148"/>
  <c r="BP184" i="148"/>
  <c r="BP133" i="148"/>
  <c r="BP144" i="148"/>
  <c r="BP129" i="148"/>
  <c r="BP94" i="148"/>
  <c r="BP165" i="148"/>
  <c r="BP72" i="148"/>
  <c r="BP63" i="148"/>
  <c r="BP44" i="148"/>
  <c r="BP208" i="148"/>
  <c r="BP150" i="148"/>
  <c r="BP50" i="148"/>
  <c r="BP130" i="148"/>
  <c r="BP70" i="148"/>
  <c r="BP38" i="148"/>
  <c r="BP190" i="148"/>
  <c r="BP171" i="148"/>
  <c r="BP62" i="148"/>
  <c r="BP97" i="148"/>
  <c r="BP27" i="148"/>
  <c r="BP17" i="148"/>
  <c r="BP68" i="148"/>
  <c r="BP196" i="148"/>
  <c r="BP187" i="148"/>
  <c r="BP195" i="148"/>
  <c r="BP36" i="148"/>
  <c r="BP13" i="148"/>
  <c r="BP91" i="148"/>
  <c r="BP199" i="148"/>
  <c r="BP90" i="148"/>
  <c r="BP207" i="148"/>
  <c r="BP161" i="148"/>
  <c r="BP108" i="148"/>
  <c r="BP11" i="148"/>
  <c r="BP153" i="148"/>
  <c r="BP142" i="148"/>
  <c r="BP178" i="148"/>
  <c r="BP96" i="148"/>
  <c r="BP86" i="148"/>
  <c r="BP10" i="148"/>
  <c r="BP117" i="148"/>
  <c r="BP115" i="148"/>
  <c r="BP121" i="148"/>
  <c r="BP148" i="148"/>
  <c r="BP116" i="148"/>
  <c r="BP34" i="148"/>
  <c r="BP69" i="148"/>
  <c r="BP122" i="148"/>
  <c r="BP194" i="148"/>
  <c r="BP192" i="148"/>
  <c r="BP7" i="148"/>
  <c r="BP80" i="148"/>
  <c r="BP71" i="148"/>
  <c r="BP197" i="148"/>
  <c r="BP76" i="148"/>
  <c r="BP188" i="148"/>
  <c r="BP104" i="148"/>
  <c r="BP102" i="148"/>
  <c r="BP185" i="148"/>
  <c r="BP89" i="148"/>
  <c r="BP57" i="148"/>
  <c r="BP110" i="148"/>
  <c r="BP92" i="148"/>
  <c r="BP93" i="148"/>
  <c r="BP146" i="148"/>
  <c r="BP166" i="148"/>
  <c r="BP175" i="148"/>
  <c r="BP53" i="148"/>
  <c r="BP45" i="148"/>
  <c r="BP124" i="148"/>
  <c r="BP139" i="148"/>
  <c r="BP87" i="148"/>
  <c r="BP167" i="148"/>
  <c r="BP170" i="148"/>
  <c r="BP49" i="148"/>
  <c r="BP67" i="148"/>
  <c r="BP58" i="148"/>
  <c r="BP74" i="148"/>
  <c r="BP191" i="148"/>
  <c r="BP64" i="148"/>
  <c r="BP151" i="148"/>
  <c r="BP137" i="148"/>
  <c r="BP125" i="148"/>
  <c r="BP138" i="148"/>
  <c r="BP119" i="148"/>
  <c r="BP56" i="148"/>
  <c r="BP25" i="148"/>
  <c r="BP126" i="148"/>
  <c r="BP12" i="148"/>
  <c r="BP132" i="148"/>
  <c r="BP140" i="148"/>
  <c r="BP182" i="148"/>
  <c r="BP172" i="148"/>
  <c r="BP103" i="148"/>
  <c r="BP109" i="148"/>
  <c r="BP47" i="148"/>
  <c r="BP159" i="148"/>
  <c r="BP123" i="148"/>
  <c r="BP206" i="148"/>
  <c r="BP37" i="148"/>
  <c r="BP65" i="148"/>
  <c r="BP202" i="148"/>
  <c r="BP79" i="148"/>
  <c r="BP107" i="148"/>
  <c r="BP112" i="148"/>
  <c r="BP162" i="148"/>
  <c r="BP14" i="148"/>
  <c r="BP189" i="148"/>
  <c r="BP128" i="148"/>
  <c r="BP201" i="148"/>
  <c r="BP105" i="148"/>
  <c r="BP40" i="148"/>
  <c r="BP134" i="148"/>
  <c r="BP179" i="148"/>
  <c r="BP120" i="148"/>
  <c r="BP177" i="148"/>
  <c r="BP81" i="148"/>
  <c r="BP26" i="148"/>
  <c r="BP158" i="148"/>
  <c r="BP77" i="148"/>
  <c r="BP131" i="148"/>
  <c r="BP118" i="148"/>
  <c r="BP3" i="148"/>
  <c r="BP111" i="148"/>
  <c r="BP41" i="148"/>
  <c r="BP48" i="148"/>
  <c r="BP149" i="148"/>
  <c r="BP156" i="148"/>
  <c r="BP136" i="148"/>
  <c r="BP85" i="148"/>
  <c r="BP51" i="148"/>
  <c r="BP20" i="148"/>
  <c r="BP204" i="148"/>
  <c r="BP154" i="148"/>
  <c r="BP127" i="148"/>
  <c r="BP186" i="148"/>
  <c r="BP95" i="148"/>
  <c r="BP101" i="148"/>
  <c r="BP183" i="148"/>
  <c r="BP157" i="148"/>
  <c r="BP114" i="148"/>
  <c r="BP2" i="148"/>
  <c r="BP205" i="148"/>
  <c r="BP22" i="148"/>
  <c r="BP113" i="148"/>
  <c r="BP39" i="148"/>
  <c r="BP155" i="148"/>
  <c r="BP16" i="148"/>
  <c r="BP52" i="148"/>
  <c r="BP84" i="148"/>
  <c r="BP31" i="148"/>
  <c r="BP73" i="148"/>
  <c r="BP60" i="148"/>
  <c r="BP5" i="148"/>
  <c r="BP59" i="148"/>
  <c r="BP8" i="148"/>
  <c r="BP30" i="148"/>
  <c r="BP35" i="148"/>
  <c r="BP28" i="148"/>
  <c r="BP24" i="148"/>
  <c r="BP6" i="148"/>
  <c r="BP54" i="148"/>
  <c r="BP180" i="148"/>
  <c r="E449" i="2"/>
  <c r="E448" i="2"/>
  <c r="J41" i="2"/>
  <c r="J1" i="2"/>
  <c r="I19" i="2"/>
  <c r="J19" i="2" s="1"/>
  <c r="I12" i="2"/>
  <c r="J12" i="2" s="1"/>
  <c r="I37" i="2"/>
  <c r="J37" i="2" s="1"/>
  <c r="I56" i="2"/>
  <c r="J56" i="2" s="1"/>
  <c r="J32" i="2"/>
  <c r="I5" i="2"/>
  <c r="J2" i="2"/>
  <c r="I31" i="2"/>
  <c r="J31" i="2" s="1"/>
  <c r="C210" i="148"/>
  <c r="J5" i="2" l="1"/>
  <c r="J57" i="2" s="1"/>
  <c r="F449" i="2"/>
  <c r="F450" i="2" s="1"/>
  <c r="G449" i="2"/>
  <c r="G450" i="2" s="1"/>
  <c r="I57" i="2"/>
  <c r="G61" i="2" a="1"/>
  <c r="I60" i="2"/>
  <c r="I61" i="2" a="1"/>
  <c r="G60" i="2"/>
  <c r="J60" i="2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0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  <bk>
      <extLst>
        <ext uri="{3e2802c4-a4d2-4d8b-9148-e3be6c30e623}">
          <xlrd:rvb i="73"/>
        </ext>
      </extLst>
    </bk>
    <bk>
      <extLst>
        <ext uri="{3e2802c4-a4d2-4d8b-9148-e3be6c30e623}">
          <xlrd:rvb i="74"/>
        </ext>
      </extLst>
    </bk>
    <bk>
      <extLst>
        <ext uri="{3e2802c4-a4d2-4d8b-9148-e3be6c30e623}">
          <xlrd:rvb i="75"/>
        </ext>
      </extLst>
    </bk>
    <bk>
      <extLst>
        <ext uri="{3e2802c4-a4d2-4d8b-9148-e3be6c30e623}">
          <xlrd:rvb i="76"/>
        </ext>
      </extLst>
    </bk>
    <bk>
      <extLst>
        <ext uri="{3e2802c4-a4d2-4d8b-9148-e3be6c30e623}">
          <xlrd:rvb i="77"/>
        </ext>
      </extLst>
    </bk>
    <bk>
      <extLst>
        <ext uri="{3e2802c4-a4d2-4d8b-9148-e3be6c30e623}">
          <xlrd:rvb i="78"/>
        </ext>
      </extLst>
    </bk>
    <bk>
      <extLst>
        <ext uri="{3e2802c4-a4d2-4d8b-9148-e3be6c30e623}">
          <xlrd:rvb i="79"/>
        </ext>
      </extLst>
    </bk>
    <bk>
      <extLst>
        <ext uri="{3e2802c4-a4d2-4d8b-9148-e3be6c30e623}">
          <xlrd:rvb i="80"/>
        </ext>
      </extLst>
    </bk>
    <bk>
      <extLst>
        <ext uri="{3e2802c4-a4d2-4d8b-9148-e3be6c30e623}">
          <xlrd:rvb i="81"/>
        </ext>
      </extLst>
    </bk>
    <bk>
      <extLst>
        <ext uri="{3e2802c4-a4d2-4d8b-9148-e3be6c30e623}">
          <xlrd:rvb i="82"/>
        </ext>
      </extLst>
    </bk>
    <bk>
      <extLst>
        <ext uri="{3e2802c4-a4d2-4d8b-9148-e3be6c30e623}">
          <xlrd:rvb i="83"/>
        </ext>
      </extLst>
    </bk>
    <bk>
      <extLst>
        <ext uri="{3e2802c4-a4d2-4d8b-9148-e3be6c30e623}">
          <xlrd:rvb i="84"/>
        </ext>
      </extLst>
    </bk>
    <bk>
      <extLst>
        <ext uri="{3e2802c4-a4d2-4d8b-9148-e3be6c30e623}">
          <xlrd:rvb i="85"/>
        </ext>
      </extLst>
    </bk>
    <bk>
      <extLst>
        <ext uri="{3e2802c4-a4d2-4d8b-9148-e3be6c30e623}">
          <xlrd:rvb i="86"/>
        </ext>
      </extLst>
    </bk>
    <bk>
      <extLst>
        <ext uri="{3e2802c4-a4d2-4d8b-9148-e3be6c30e623}">
          <xlrd:rvb i="87"/>
        </ext>
      </extLst>
    </bk>
    <bk>
      <extLst>
        <ext uri="{3e2802c4-a4d2-4d8b-9148-e3be6c30e623}">
          <xlrd:rvb i="88"/>
        </ext>
      </extLst>
    </bk>
    <bk>
      <extLst>
        <ext uri="{3e2802c4-a4d2-4d8b-9148-e3be6c30e623}">
          <xlrd:rvb i="89"/>
        </ext>
      </extLst>
    </bk>
    <bk>
      <extLst>
        <ext uri="{3e2802c4-a4d2-4d8b-9148-e3be6c30e623}">
          <xlrd:rvb i="90"/>
        </ext>
      </extLst>
    </bk>
    <bk>
      <extLst>
        <ext uri="{3e2802c4-a4d2-4d8b-9148-e3be6c30e623}">
          <xlrd:rvb i="91"/>
        </ext>
      </extLst>
    </bk>
    <bk>
      <extLst>
        <ext uri="{3e2802c4-a4d2-4d8b-9148-e3be6c30e623}">
          <xlrd:rvb i="92"/>
        </ext>
      </extLst>
    </bk>
    <bk>
      <extLst>
        <ext uri="{3e2802c4-a4d2-4d8b-9148-e3be6c30e623}">
          <xlrd:rvb i="93"/>
        </ext>
      </extLst>
    </bk>
    <bk>
      <extLst>
        <ext uri="{3e2802c4-a4d2-4d8b-9148-e3be6c30e623}">
          <xlrd:rvb i="94"/>
        </ext>
      </extLst>
    </bk>
    <bk>
      <extLst>
        <ext uri="{3e2802c4-a4d2-4d8b-9148-e3be6c30e623}">
          <xlrd:rvb i="95"/>
        </ext>
      </extLst>
    </bk>
    <bk>
      <extLst>
        <ext uri="{3e2802c4-a4d2-4d8b-9148-e3be6c30e623}">
          <xlrd:rvb i="96"/>
        </ext>
      </extLst>
    </bk>
    <bk>
      <extLst>
        <ext uri="{3e2802c4-a4d2-4d8b-9148-e3be6c30e623}">
          <xlrd:rvb i="97"/>
        </ext>
      </extLst>
    </bk>
    <bk>
      <extLst>
        <ext uri="{3e2802c4-a4d2-4d8b-9148-e3be6c30e623}">
          <xlrd:rvb i="98"/>
        </ext>
      </extLst>
    </bk>
    <bk>
      <extLst>
        <ext uri="{3e2802c4-a4d2-4d8b-9148-e3be6c30e623}">
          <xlrd:rvb i="99"/>
        </ext>
      </extLst>
    </bk>
    <bk>
      <extLst>
        <ext uri="{3e2802c4-a4d2-4d8b-9148-e3be6c30e623}">
          <xlrd:rvb i="100"/>
        </ext>
      </extLst>
    </bk>
    <bk>
      <extLst>
        <ext uri="{3e2802c4-a4d2-4d8b-9148-e3be6c30e623}">
          <xlrd:rvb i="101"/>
        </ext>
      </extLst>
    </bk>
    <bk>
      <extLst>
        <ext uri="{3e2802c4-a4d2-4d8b-9148-e3be6c30e623}">
          <xlrd:rvb i="102"/>
        </ext>
      </extLst>
    </bk>
    <bk>
      <extLst>
        <ext uri="{3e2802c4-a4d2-4d8b-9148-e3be6c30e623}">
          <xlrd:rvb i="103"/>
        </ext>
      </extLst>
    </bk>
    <bk>
      <extLst>
        <ext uri="{3e2802c4-a4d2-4d8b-9148-e3be6c30e623}">
          <xlrd:rvb i="104"/>
        </ext>
      </extLst>
    </bk>
    <bk>
      <extLst>
        <ext uri="{3e2802c4-a4d2-4d8b-9148-e3be6c30e623}">
          <xlrd:rvb i="105"/>
        </ext>
      </extLst>
    </bk>
    <bk>
      <extLst>
        <ext uri="{3e2802c4-a4d2-4d8b-9148-e3be6c30e623}">
          <xlrd:rvb i="106"/>
        </ext>
      </extLst>
    </bk>
    <bk>
      <extLst>
        <ext uri="{3e2802c4-a4d2-4d8b-9148-e3be6c30e623}">
          <xlrd:rvb i="107"/>
        </ext>
      </extLst>
    </bk>
    <bk>
      <extLst>
        <ext uri="{3e2802c4-a4d2-4d8b-9148-e3be6c30e623}">
          <xlrd:rvb i="108"/>
        </ext>
      </extLst>
    </bk>
    <bk>
      <extLst>
        <ext uri="{3e2802c4-a4d2-4d8b-9148-e3be6c30e623}">
          <xlrd:rvb i="109"/>
        </ext>
      </extLst>
    </bk>
    <bk>
      <extLst>
        <ext uri="{3e2802c4-a4d2-4d8b-9148-e3be6c30e623}">
          <xlrd:rvb i="110"/>
        </ext>
      </extLst>
    </bk>
    <bk>
      <extLst>
        <ext uri="{3e2802c4-a4d2-4d8b-9148-e3be6c30e623}">
          <xlrd:rvb i="111"/>
        </ext>
      </extLst>
    </bk>
    <bk>
      <extLst>
        <ext uri="{3e2802c4-a4d2-4d8b-9148-e3be6c30e623}">
          <xlrd:rvb i="112"/>
        </ext>
      </extLst>
    </bk>
    <bk>
      <extLst>
        <ext uri="{3e2802c4-a4d2-4d8b-9148-e3be6c30e623}">
          <xlrd:rvb i="113"/>
        </ext>
      </extLst>
    </bk>
    <bk>
      <extLst>
        <ext uri="{3e2802c4-a4d2-4d8b-9148-e3be6c30e623}">
          <xlrd:rvb i="114"/>
        </ext>
      </extLst>
    </bk>
    <bk>
      <extLst>
        <ext uri="{3e2802c4-a4d2-4d8b-9148-e3be6c30e623}">
          <xlrd:rvb i="115"/>
        </ext>
      </extLst>
    </bk>
    <bk>
      <extLst>
        <ext uri="{3e2802c4-a4d2-4d8b-9148-e3be6c30e623}">
          <xlrd:rvb i="116"/>
        </ext>
      </extLst>
    </bk>
    <bk>
      <extLst>
        <ext uri="{3e2802c4-a4d2-4d8b-9148-e3be6c30e623}">
          <xlrd:rvb i="117"/>
        </ext>
      </extLst>
    </bk>
    <bk>
      <extLst>
        <ext uri="{3e2802c4-a4d2-4d8b-9148-e3be6c30e623}">
          <xlrd:rvb i="118"/>
        </ext>
      </extLst>
    </bk>
    <bk>
      <extLst>
        <ext uri="{3e2802c4-a4d2-4d8b-9148-e3be6c30e623}">
          <xlrd:rvb i="119"/>
        </ext>
      </extLst>
    </bk>
    <bk>
      <extLst>
        <ext uri="{3e2802c4-a4d2-4d8b-9148-e3be6c30e623}">
          <xlrd:rvb i="120"/>
        </ext>
      </extLst>
    </bk>
    <bk>
      <extLst>
        <ext uri="{3e2802c4-a4d2-4d8b-9148-e3be6c30e623}">
          <xlrd:rvb i="121"/>
        </ext>
      </extLst>
    </bk>
    <bk>
      <extLst>
        <ext uri="{3e2802c4-a4d2-4d8b-9148-e3be6c30e623}">
          <xlrd:rvb i="122"/>
        </ext>
      </extLst>
    </bk>
    <bk>
      <extLst>
        <ext uri="{3e2802c4-a4d2-4d8b-9148-e3be6c30e623}">
          <xlrd:rvb i="123"/>
        </ext>
      </extLst>
    </bk>
    <bk>
      <extLst>
        <ext uri="{3e2802c4-a4d2-4d8b-9148-e3be6c30e623}">
          <xlrd:rvb i="124"/>
        </ext>
      </extLst>
    </bk>
    <bk>
      <extLst>
        <ext uri="{3e2802c4-a4d2-4d8b-9148-e3be6c30e623}">
          <xlrd:rvb i="125"/>
        </ext>
      </extLst>
    </bk>
    <bk>
      <extLst>
        <ext uri="{3e2802c4-a4d2-4d8b-9148-e3be6c30e623}">
          <xlrd:rvb i="126"/>
        </ext>
      </extLst>
    </bk>
    <bk>
      <extLst>
        <ext uri="{3e2802c4-a4d2-4d8b-9148-e3be6c30e623}">
          <xlrd:rvb i="127"/>
        </ext>
      </extLst>
    </bk>
    <bk>
      <extLst>
        <ext uri="{3e2802c4-a4d2-4d8b-9148-e3be6c30e623}">
          <xlrd:rvb i="128"/>
        </ext>
      </extLst>
    </bk>
    <bk>
      <extLst>
        <ext uri="{3e2802c4-a4d2-4d8b-9148-e3be6c30e623}">
          <xlrd:rvb i="129"/>
        </ext>
      </extLst>
    </bk>
    <bk>
      <extLst>
        <ext uri="{3e2802c4-a4d2-4d8b-9148-e3be6c30e623}">
          <xlrd:rvb i="130"/>
        </ext>
      </extLst>
    </bk>
    <bk>
      <extLst>
        <ext uri="{3e2802c4-a4d2-4d8b-9148-e3be6c30e623}">
          <xlrd:rvb i="131"/>
        </ext>
      </extLst>
    </bk>
    <bk>
      <extLst>
        <ext uri="{3e2802c4-a4d2-4d8b-9148-e3be6c30e623}">
          <xlrd:rvb i="132"/>
        </ext>
      </extLst>
    </bk>
    <bk>
      <extLst>
        <ext uri="{3e2802c4-a4d2-4d8b-9148-e3be6c30e623}">
          <xlrd:rvb i="133"/>
        </ext>
      </extLst>
    </bk>
    <bk>
      <extLst>
        <ext uri="{3e2802c4-a4d2-4d8b-9148-e3be6c30e623}">
          <xlrd:rvb i="134"/>
        </ext>
      </extLst>
    </bk>
    <bk>
      <extLst>
        <ext uri="{3e2802c4-a4d2-4d8b-9148-e3be6c30e623}">
          <xlrd:rvb i="135"/>
        </ext>
      </extLst>
    </bk>
    <bk>
      <extLst>
        <ext uri="{3e2802c4-a4d2-4d8b-9148-e3be6c30e623}">
          <xlrd:rvb i="136"/>
        </ext>
      </extLst>
    </bk>
    <bk>
      <extLst>
        <ext uri="{3e2802c4-a4d2-4d8b-9148-e3be6c30e623}">
          <xlrd:rvb i="137"/>
        </ext>
      </extLst>
    </bk>
    <bk>
      <extLst>
        <ext uri="{3e2802c4-a4d2-4d8b-9148-e3be6c30e623}">
          <xlrd:rvb i="138"/>
        </ext>
      </extLst>
    </bk>
    <bk>
      <extLst>
        <ext uri="{3e2802c4-a4d2-4d8b-9148-e3be6c30e623}">
          <xlrd:rvb i="139"/>
        </ext>
      </extLst>
    </bk>
    <bk>
      <extLst>
        <ext uri="{3e2802c4-a4d2-4d8b-9148-e3be6c30e623}">
          <xlrd:rvb i="140"/>
        </ext>
      </extLst>
    </bk>
    <bk>
      <extLst>
        <ext uri="{3e2802c4-a4d2-4d8b-9148-e3be6c30e623}">
          <xlrd:rvb i="141"/>
        </ext>
      </extLst>
    </bk>
    <bk>
      <extLst>
        <ext uri="{3e2802c4-a4d2-4d8b-9148-e3be6c30e623}">
          <xlrd:rvb i="142"/>
        </ext>
      </extLst>
    </bk>
    <bk>
      <extLst>
        <ext uri="{3e2802c4-a4d2-4d8b-9148-e3be6c30e623}">
          <xlrd:rvb i="143"/>
        </ext>
      </extLst>
    </bk>
    <bk>
      <extLst>
        <ext uri="{3e2802c4-a4d2-4d8b-9148-e3be6c30e623}">
          <xlrd:rvb i="144"/>
        </ext>
      </extLst>
    </bk>
    <bk>
      <extLst>
        <ext uri="{3e2802c4-a4d2-4d8b-9148-e3be6c30e623}">
          <xlrd:rvb i="145"/>
        </ext>
      </extLst>
    </bk>
    <bk>
      <extLst>
        <ext uri="{3e2802c4-a4d2-4d8b-9148-e3be6c30e623}">
          <xlrd:rvb i="146"/>
        </ext>
      </extLst>
    </bk>
    <bk>
      <extLst>
        <ext uri="{3e2802c4-a4d2-4d8b-9148-e3be6c30e623}">
          <xlrd:rvb i="147"/>
        </ext>
      </extLst>
    </bk>
    <bk>
      <extLst>
        <ext uri="{3e2802c4-a4d2-4d8b-9148-e3be6c30e623}">
          <xlrd:rvb i="148"/>
        </ext>
      </extLst>
    </bk>
    <bk>
      <extLst>
        <ext uri="{3e2802c4-a4d2-4d8b-9148-e3be6c30e623}">
          <xlrd:rvb i="149"/>
        </ext>
      </extLst>
    </bk>
    <bk>
      <extLst>
        <ext uri="{3e2802c4-a4d2-4d8b-9148-e3be6c30e623}">
          <xlrd:rvb i="150"/>
        </ext>
      </extLst>
    </bk>
    <bk>
      <extLst>
        <ext uri="{3e2802c4-a4d2-4d8b-9148-e3be6c30e623}">
          <xlrd:rvb i="151"/>
        </ext>
      </extLst>
    </bk>
    <bk>
      <extLst>
        <ext uri="{3e2802c4-a4d2-4d8b-9148-e3be6c30e623}">
          <xlrd:rvb i="152"/>
        </ext>
      </extLst>
    </bk>
    <bk>
      <extLst>
        <ext uri="{3e2802c4-a4d2-4d8b-9148-e3be6c30e623}">
          <xlrd:rvb i="153"/>
        </ext>
      </extLst>
    </bk>
    <bk>
      <extLst>
        <ext uri="{3e2802c4-a4d2-4d8b-9148-e3be6c30e623}">
          <xlrd:rvb i="154"/>
        </ext>
      </extLst>
    </bk>
    <bk>
      <extLst>
        <ext uri="{3e2802c4-a4d2-4d8b-9148-e3be6c30e623}">
          <xlrd:rvb i="155"/>
        </ext>
      </extLst>
    </bk>
    <bk>
      <extLst>
        <ext uri="{3e2802c4-a4d2-4d8b-9148-e3be6c30e623}">
          <xlrd:rvb i="156"/>
        </ext>
      </extLst>
    </bk>
    <bk>
      <extLst>
        <ext uri="{3e2802c4-a4d2-4d8b-9148-e3be6c30e623}">
          <xlrd:rvb i="157"/>
        </ext>
      </extLst>
    </bk>
    <bk>
      <extLst>
        <ext uri="{3e2802c4-a4d2-4d8b-9148-e3be6c30e623}">
          <xlrd:rvb i="158"/>
        </ext>
      </extLst>
    </bk>
    <bk>
      <extLst>
        <ext uri="{3e2802c4-a4d2-4d8b-9148-e3be6c30e623}">
          <xlrd:rvb i="159"/>
        </ext>
      </extLst>
    </bk>
    <bk>
      <extLst>
        <ext uri="{3e2802c4-a4d2-4d8b-9148-e3be6c30e623}">
          <xlrd:rvb i="160"/>
        </ext>
      </extLst>
    </bk>
    <bk>
      <extLst>
        <ext uri="{3e2802c4-a4d2-4d8b-9148-e3be6c30e623}">
          <xlrd:rvb i="161"/>
        </ext>
      </extLst>
    </bk>
    <bk>
      <extLst>
        <ext uri="{3e2802c4-a4d2-4d8b-9148-e3be6c30e623}">
          <xlrd:rvb i="162"/>
        </ext>
      </extLst>
    </bk>
    <bk>
      <extLst>
        <ext uri="{3e2802c4-a4d2-4d8b-9148-e3be6c30e623}">
          <xlrd:rvb i="163"/>
        </ext>
      </extLst>
    </bk>
    <bk>
      <extLst>
        <ext uri="{3e2802c4-a4d2-4d8b-9148-e3be6c30e623}">
          <xlrd:rvb i="164"/>
        </ext>
      </extLst>
    </bk>
    <bk>
      <extLst>
        <ext uri="{3e2802c4-a4d2-4d8b-9148-e3be6c30e623}">
          <xlrd:rvb i="165"/>
        </ext>
      </extLst>
    </bk>
    <bk>
      <extLst>
        <ext uri="{3e2802c4-a4d2-4d8b-9148-e3be6c30e623}">
          <xlrd:rvb i="166"/>
        </ext>
      </extLst>
    </bk>
    <bk>
      <extLst>
        <ext uri="{3e2802c4-a4d2-4d8b-9148-e3be6c30e623}">
          <xlrd:rvb i="167"/>
        </ext>
      </extLst>
    </bk>
    <bk>
      <extLst>
        <ext uri="{3e2802c4-a4d2-4d8b-9148-e3be6c30e623}">
          <xlrd:rvb i="168"/>
        </ext>
      </extLst>
    </bk>
    <bk>
      <extLst>
        <ext uri="{3e2802c4-a4d2-4d8b-9148-e3be6c30e623}">
          <xlrd:rvb i="169"/>
        </ext>
      </extLst>
    </bk>
    <bk>
      <extLst>
        <ext uri="{3e2802c4-a4d2-4d8b-9148-e3be6c30e623}">
          <xlrd:rvb i="170"/>
        </ext>
      </extLst>
    </bk>
    <bk>
      <extLst>
        <ext uri="{3e2802c4-a4d2-4d8b-9148-e3be6c30e623}">
          <xlrd:rvb i="171"/>
        </ext>
      </extLst>
    </bk>
    <bk>
      <extLst>
        <ext uri="{3e2802c4-a4d2-4d8b-9148-e3be6c30e623}">
          <xlrd:rvb i="172"/>
        </ext>
      </extLst>
    </bk>
    <bk>
      <extLst>
        <ext uri="{3e2802c4-a4d2-4d8b-9148-e3be6c30e623}">
          <xlrd:rvb i="173"/>
        </ext>
      </extLst>
    </bk>
    <bk>
      <extLst>
        <ext uri="{3e2802c4-a4d2-4d8b-9148-e3be6c30e623}">
          <xlrd:rvb i="174"/>
        </ext>
      </extLst>
    </bk>
    <bk>
      <extLst>
        <ext uri="{3e2802c4-a4d2-4d8b-9148-e3be6c30e623}">
          <xlrd:rvb i="175"/>
        </ext>
      </extLst>
    </bk>
    <bk>
      <extLst>
        <ext uri="{3e2802c4-a4d2-4d8b-9148-e3be6c30e623}">
          <xlrd:rvb i="176"/>
        </ext>
      </extLst>
    </bk>
    <bk>
      <extLst>
        <ext uri="{3e2802c4-a4d2-4d8b-9148-e3be6c30e623}">
          <xlrd:rvb i="177"/>
        </ext>
      </extLst>
    </bk>
    <bk>
      <extLst>
        <ext uri="{3e2802c4-a4d2-4d8b-9148-e3be6c30e623}">
          <xlrd:rvb i="178"/>
        </ext>
      </extLst>
    </bk>
    <bk>
      <extLst>
        <ext uri="{3e2802c4-a4d2-4d8b-9148-e3be6c30e623}">
          <xlrd:rvb i="179"/>
        </ext>
      </extLst>
    </bk>
    <bk>
      <extLst>
        <ext uri="{3e2802c4-a4d2-4d8b-9148-e3be6c30e623}">
          <xlrd:rvb i="180"/>
        </ext>
      </extLst>
    </bk>
    <bk>
      <extLst>
        <ext uri="{3e2802c4-a4d2-4d8b-9148-e3be6c30e623}">
          <xlrd:rvb i="181"/>
        </ext>
      </extLst>
    </bk>
    <bk>
      <extLst>
        <ext uri="{3e2802c4-a4d2-4d8b-9148-e3be6c30e623}">
          <xlrd:rvb i="182"/>
        </ext>
      </extLst>
    </bk>
    <bk>
      <extLst>
        <ext uri="{3e2802c4-a4d2-4d8b-9148-e3be6c30e623}">
          <xlrd:rvb i="183"/>
        </ext>
      </extLst>
    </bk>
    <bk>
      <extLst>
        <ext uri="{3e2802c4-a4d2-4d8b-9148-e3be6c30e623}">
          <xlrd:rvb i="184"/>
        </ext>
      </extLst>
    </bk>
    <bk>
      <extLst>
        <ext uri="{3e2802c4-a4d2-4d8b-9148-e3be6c30e623}">
          <xlrd:rvb i="185"/>
        </ext>
      </extLst>
    </bk>
    <bk>
      <extLst>
        <ext uri="{3e2802c4-a4d2-4d8b-9148-e3be6c30e623}">
          <xlrd:rvb i="186"/>
        </ext>
      </extLst>
    </bk>
    <bk>
      <extLst>
        <ext uri="{3e2802c4-a4d2-4d8b-9148-e3be6c30e623}">
          <xlrd:rvb i="187"/>
        </ext>
      </extLst>
    </bk>
    <bk>
      <extLst>
        <ext uri="{3e2802c4-a4d2-4d8b-9148-e3be6c30e623}">
          <xlrd:rvb i="188"/>
        </ext>
      </extLst>
    </bk>
    <bk>
      <extLst>
        <ext uri="{3e2802c4-a4d2-4d8b-9148-e3be6c30e623}">
          <xlrd:rvb i="189"/>
        </ext>
      </extLst>
    </bk>
    <bk>
      <extLst>
        <ext uri="{3e2802c4-a4d2-4d8b-9148-e3be6c30e623}">
          <xlrd:rvb i="190"/>
        </ext>
      </extLst>
    </bk>
    <bk>
      <extLst>
        <ext uri="{3e2802c4-a4d2-4d8b-9148-e3be6c30e623}">
          <xlrd:rvb i="191"/>
        </ext>
      </extLst>
    </bk>
    <bk>
      <extLst>
        <ext uri="{3e2802c4-a4d2-4d8b-9148-e3be6c30e623}">
          <xlrd:rvb i="192"/>
        </ext>
      </extLst>
    </bk>
    <bk>
      <extLst>
        <ext uri="{3e2802c4-a4d2-4d8b-9148-e3be6c30e623}">
          <xlrd:rvb i="193"/>
        </ext>
      </extLst>
    </bk>
    <bk>
      <extLst>
        <ext uri="{3e2802c4-a4d2-4d8b-9148-e3be6c30e623}">
          <xlrd:rvb i="194"/>
        </ext>
      </extLst>
    </bk>
    <bk>
      <extLst>
        <ext uri="{3e2802c4-a4d2-4d8b-9148-e3be6c30e623}">
          <xlrd:rvb i="195"/>
        </ext>
      </extLst>
    </bk>
    <bk>
      <extLst>
        <ext uri="{3e2802c4-a4d2-4d8b-9148-e3be6c30e623}">
          <xlrd:rvb i="196"/>
        </ext>
      </extLst>
    </bk>
    <bk>
      <extLst>
        <ext uri="{3e2802c4-a4d2-4d8b-9148-e3be6c30e623}">
          <xlrd:rvb i="197"/>
        </ext>
      </extLst>
    </bk>
    <bk>
      <extLst>
        <ext uri="{3e2802c4-a4d2-4d8b-9148-e3be6c30e623}">
          <xlrd:rvb i="198"/>
        </ext>
      </extLst>
    </bk>
    <bk>
      <extLst>
        <ext uri="{3e2802c4-a4d2-4d8b-9148-e3be6c30e623}">
          <xlrd:rvb i="199"/>
        </ext>
      </extLst>
    </bk>
    <bk>
      <extLst>
        <ext uri="{3e2802c4-a4d2-4d8b-9148-e3be6c30e623}">
          <xlrd:rvb i="200"/>
        </ext>
      </extLst>
    </bk>
    <bk>
      <extLst>
        <ext uri="{3e2802c4-a4d2-4d8b-9148-e3be6c30e623}">
          <xlrd:rvb i="201"/>
        </ext>
      </extLst>
    </bk>
    <bk>
      <extLst>
        <ext uri="{3e2802c4-a4d2-4d8b-9148-e3be6c30e623}">
          <xlrd:rvb i="202"/>
        </ext>
      </extLst>
    </bk>
    <bk>
      <extLst>
        <ext uri="{3e2802c4-a4d2-4d8b-9148-e3be6c30e623}">
          <xlrd:rvb i="203"/>
        </ext>
      </extLst>
    </bk>
    <bk>
      <extLst>
        <ext uri="{3e2802c4-a4d2-4d8b-9148-e3be6c30e623}">
          <xlrd:rvb i="204"/>
        </ext>
      </extLst>
    </bk>
    <bk>
      <extLst>
        <ext uri="{3e2802c4-a4d2-4d8b-9148-e3be6c30e623}">
          <xlrd:rvb i="205"/>
        </ext>
      </extLst>
    </bk>
    <bk>
      <extLst>
        <ext uri="{3e2802c4-a4d2-4d8b-9148-e3be6c30e623}">
          <xlrd:rvb i="206"/>
        </ext>
      </extLst>
    </bk>
  </futureMetadata>
  <cellMetadata count="1">
    <bk>
      <rc t="1" v="0"/>
    </bk>
  </cellMetadata>
  <valueMetadata count="207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  <bk>
      <rc t="2" v="14"/>
    </bk>
    <bk>
      <rc t="2" v="15"/>
    </bk>
    <bk>
      <rc t="2" v="16"/>
    </bk>
    <bk>
      <rc t="2" v="17"/>
    </bk>
    <bk>
      <rc t="2" v="18"/>
    </bk>
    <bk>
      <rc t="2" v="19"/>
    </bk>
    <bk>
      <rc t="2" v="20"/>
    </bk>
    <bk>
      <rc t="2" v="21"/>
    </bk>
    <bk>
      <rc t="2" v="22"/>
    </bk>
    <bk>
      <rc t="2" v="23"/>
    </bk>
    <bk>
      <rc t="2" v="24"/>
    </bk>
    <bk>
      <rc t="2" v="25"/>
    </bk>
    <bk>
      <rc t="2" v="26"/>
    </bk>
    <bk>
      <rc t="2" v="27"/>
    </bk>
    <bk>
      <rc t="2" v="28"/>
    </bk>
    <bk>
      <rc t="2" v="29"/>
    </bk>
    <bk>
      <rc t="2" v="30"/>
    </bk>
    <bk>
      <rc t="2" v="31"/>
    </bk>
    <bk>
      <rc t="2" v="32"/>
    </bk>
    <bk>
      <rc t="2" v="33"/>
    </bk>
    <bk>
      <rc t="2" v="34"/>
    </bk>
    <bk>
      <rc t="2" v="35"/>
    </bk>
    <bk>
      <rc t="2" v="36"/>
    </bk>
    <bk>
      <rc t="2" v="37"/>
    </bk>
    <bk>
      <rc t="2" v="38"/>
    </bk>
    <bk>
      <rc t="2" v="39"/>
    </bk>
    <bk>
      <rc t="2" v="40"/>
    </bk>
    <bk>
      <rc t="2" v="41"/>
    </bk>
    <bk>
      <rc t="2" v="42"/>
    </bk>
    <bk>
      <rc t="2" v="43"/>
    </bk>
    <bk>
      <rc t="2" v="44"/>
    </bk>
    <bk>
      <rc t="2" v="45"/>
    </bk>
    <bk>
      <rc t="2" v="46"/>
    </bk>
    <bk>
      <rc t="2" v="47"/>
    </bk>
    <bk>
      <rc t="2" v="48"/>
    </bk>
    <bk>
      <rc t="2" v="49"/>
    </bk>
    <bk>
      <rc t="2" v="50"/>
    </bk>
    <bk>
      <rc t="2" v="51"/>
    </bk>
    <bk>
      <rc t="2" v="52"/>
    </bk>
    <bk>
      <rc t="2" v="53"/>
    </bk>
    <bk>
      <rc t="2" v="54"/>
    </bk>
    <bk>
      <rc t="2" v="55"/>
    </bk>
    <bk>
      <rc t="2" v="56"/>
    </bk>
    <bk>
      <rc t="2" v="57"/>
    </bk>
    <bk>
      <rc t="2" v="58"/>
    </bk>
    <bk>
      <rc t="2" v="59"/>
    </bk>
    <bk>
      <rc t="2" v="60"/>
    </bk>
    <bk>
      <rc t="2" v="61"/>
    </bk>
    <bk>
      <rc t="2" v="62"/>
    </bk>
    <bk>
      <rc t="2" v="63"/>
    </bk>
    <bk>
      <rc t="2" v="64"/>
    </bk>
    <bk>
      <rc t="2" v="65"/>
    </bk>
    <bk>
      <rc t="2" v="66"/>
    </bk>
    <bk>
      <rc t="2" v="67"/>
    </bk>
    <bk>
      <rc t="2" v="68"/>
    </bk>
    <bk>
      <rc t="2" v="69"/>
    </bk>
    <bk>
      <rc t="2" v="70"/>
    </bk>
    <bk>
      <rc t="2" v="71"/>
    </bk>
    <bk>
      <rc t="2" v="72"/>
    </bk>
    <bk>
      <rc t="2" v="73"/>
    </bk>
    <bk>
      <rc t="2" v="74"/>
    </bk>
    <bk>
      <rc t="2" v="75"/>
    </bk>
    <bk>
      <rc t="2" v="76"/>
    </bk>
    <bk>
      <rc t="2" v="77"/>
    </bk>
    <bk>
      <rc t="2" v="78"/>
    </bk>
    <bk>
      <rc t="2" v="79"/>
    </bk>
    <bk>
      <rc t="2" v="80"/>
    </bk>
    <bk>
      <rc t="2" v="81"/>
    </bk>
    <bk>
      <rc t="2" v="82"/>
    </bk>
    <bk>
      <rc t="2" v="83"/>
    </bk>
    <bk>
      <rc t="2" v="84"/>
    </bk>
    <bk>
      <rc t="2" v="85"/>
    </bk>
    <bk>
      <rc t="2" v="86"/>
    </bk>
    <bk>
      <rc t="2" v="87"/>
    </bk>
    <bk>
      <rc t="2" v="88"/>
    </bk>
    <bk>
      <rc t="2" v="89"/>
    </bk>
    <bk>
      <rc t="2" v="90"/>
    </bk>
    <bk>
      <rc t="2" v="91"/>
    </bk>
    <bk>
      <rc t="2" v="92"/>
    </bk>
    <bk>
      <rc t="2" v="93"/>
    </bk>
    <bk>
      <rc t="2" v="94"/>
    </bk>
    <bk>
      <rc t="2" v="95"/>
    </bk>
    <bk>
      <rc t="2" v="96"/>
    </bk>
    <bk>
      <rc t="2" v="97"/>
    </bk>
    <bk>
      <rc t="2" v="98"/>
    </bk>
    <bk>
      <rc t="2" v="99"/>
    </bk>
    <bk>
      <rc t="2" v="100"/>
    </bk>
    <bk>
      <rc t="2" v="101"/>
    </bk>
    <bk>
      <rc t="2" v="102"/>
    </bk>
    <bk>
      <rc t="2" v="103"/>
    </bk>
    <bk>
      <rc t="2" v="104"/>
    </bk>
    <bk>
      <rc t="2" v="105"/>
    </bk>
    <bk>
      <rc t="2" v="106"/>
    </bk>
    <bk>
      <rc t="2" v="107"/>
    </bk>
    <bk>
      <rc t="2" v="108"/>
    </bk>
    <bk>
      <rc t="2" v="109"/>
    </bk>
    <bk>
      <rc t="2" v="110"/>
    </bk>
    <bk>
      <rc t="2" v="111"/>
    </bk>
    <bk>
      <rc t="2" v="112"/>
    </bk>
    <bk>
      <rc t="2" v="113"/>
    </bk>
    <bk>
      <rc t="2" v="114"/>
    </bk>
    <bk>
      <rc t="2" v="115"/>
    </bk>
    <bk>
      <rc t="2" v="116"/>
    </bk>
    <bk>
      <rc t="2" v="117"/>
    </bk>
    <bk>
      <rc t="2" v="118"/>
    </bk>
    <bk>
      <rc t="2" v="119"/>
    </bk>
    <bk>
      <rc t="2" v="120"/>
    </bk>
    <bk>
      <rc t="2" v="121"/>
    </bk>
    <bk>
      <rc t="2" v="122"/>
    </bk>
    <bk>
      <rc t="2" v="123"/>
    </bk>
    <bk>
      <rc t="2" v="124"/>
    </bk>
    <bk>
      <rc t="2" v="125"/>
    </bk>
    <bk>
      <rc t="2" v="126"/>
    </bk>
    <bk>
      <rc t="2" v="127"/>
    </bk>
    <bk>
      <rc t="2" v="128"/>
    </bk>
    <bk>
      <rc t="2" v="129"/>
    </bk>
    <bk>
      <rc t="2" v="130"/>
    </bk>
    <bk>
      <rc t="2" v="131"/>
    </bk>
    <bk>
      <rc t="2" v="132"/>
    </bk>
    <bk>
      <rc t="2" v="133"/>
    </bk>
    <bk>
      <rc t="2" v="134"/>
    </bk>
    <bk>
      <rc t="2" v="135"/>
    </bk>
    <bk>
      <rc t="2" v="136"/>
    </bk>
    <bk>
      <rc t="2" v="137"/>
    </bk>
    <bk>
      <rc t="2" v="138"/>
    </bk>
    <bk>
      <rc t="2" v="139"/>
    </bk>
    <bk>
      <rc t="2" v="140"/>
    </bk>
    <bk>
      <rc t="2" v="141"/>
    </bk>
    <bk>
      <rc t="2" v="142"/>
    </bk>
    <bk>
      <rc t="2" v="143"/>
    </bk>
    <bk>
      <rc t="2" v="144"/>
    </bk>
    <bk>
      <rc t="2" v="145"/>
    </bk>
    <bk>
      <rc t="2" v="146"/>
    </bk>
    <bk>
      <rc t="2" v="147"/>
    </bk>
    <bk>
      <rc t="2" v="148"/>
    </bk>
    <bk>
      <rc t="2" v="149"/>
    </bk>
    <bk>
      <rc t="2" v="150"/>
    </bk>
    <bk>
      <rc t="2" v="151"/>
    </bk>
    <bk>
      <rc t="2" v="152"/>
    </bk>
    <bk>
      <rc t="2" v="153"/>
    </bk>
    <bk>
      <rc t="2" v="154"/>
    </bk>
    <bk>
      <rc t="2" v="155"/>
    </bk>
    <bk>
      <rc t="2" v="156"/>
    </bk>
    <bk>
      <rc t="2" v="157"/>
    </bk>
    <bk>
      <rc t="2" v="158"/>
    </bk>
    <bk>
      <rc t="2" v="159"/>
    </bk>
    <bk>
      <rc t="2" v="160"/>
    </bk>
    <bk>
      <rc t="2" v="161"/>
    </bk>
    <bk>
      <rc t="2" v="162"/>
    </bk>
    <bk>
      <rc t="2" v="163"/>
    </bk>
    <bk>
      <rc t="2" v="164"/>
    </bk>
    <bk>
      <rc t="2" v="165"/>
    </bk>
    <bk>
      <rc t="2" v="166"/>
    </bk>
    <bk>
      <rc t="2" v="167"/>
    </bk>
    <bk>
      <rc t="2" v="168"/>
    </bk>
    <bk>
      <rc t="2" v="169"/>
    </bk>
    <bk>
      <rc t="2" v="170"/>
    </bk>
    <bk>
      <rc t="2" v="171"/>
    </bk>
    <bk>
      <rc t="2" v="172"/>
    </bk>
    <bk>
      <rc t="2" v="173"/>
    </bk>
    <bk>
      <rc t="2" v="174"/>
    </bk>
    <bk>
      <rc t="2" v="175"/>
    </bk>
    <bk>
      <rc t="2" v="176"/>
    </bk>
    <bk>
      <rc t="2" v="177"/>
    </bk>
    <bk>
      <rc t="2" v="178"/>
    </bk>
    <bk>
      <rc t="2" v="179"/>
    </bk>
    <bk>
      <rc t="2" v="180"/>
    </bk>
    <bk>
      <rc t="2" v="181"/>
    </bk>
    <bk>
      <rc t="2" v="182"/>
    </bk>
    <bk>
      <rc t="2" v="183"/>
    </bk>
    <bk>
      <rc t="2" v="184"/>
    </bk>
    <bk>
      <rc t="2" v="185"/>
    </bk>
    <bk>
      <rc t="2" v="186"/>
    </bk>
    <bk>
      <rc t="2" v="187"/>
    </bk>
    <bk>
      <rc t="2" v="188"/>
    </bk>
    <bk>
      <rc t="2" v="189"/>
    </bk>
    <bk>
      <rc t="2" v="190"/>
    </bk>
    <bk>
      <rc t="2" v="191"/>
    </bk>
    <bk>
      <rc t="2" v="192"/>
    </bk>
    <bk>
      <rc t="2" v="193"/>
    </bk>
    <bk>
      <rc t="2" v="194"/>
    </bk>
    <bk>
      <rc t="2" v="195"/>
    </bk>
    <bk>
      <rc t="2" v="196"/>
    </bk>
    <bk>
      <rc t="2" v="197"/>
    </bk>
    <bk>
      <rc t="2" v="198"/>
    </bk>
    <bk>
      <rc t="2" v="199"/>
    </bk>
    <bk>
      <rc t="2" v="200"/>
    </bk>
    <bk>
      <rc t="2" v="201"/>
    </bk>
    <bk>
      <rc t="2" v="202"/>
    </bk>
    <bk>
      <rc t="2" v="203"/>
    </bk>
    <bk>
      <rc t="2" v="204"/>
    </bk>
    <bk>
      <rc t="2" v="205"/>
    </bk>
    <bk>
      <rc t="2" v="206"/>
    </bk>
  </valueMetadata>
</metadata>
</file>

<file path=xl/sharedStrings.xml><?xml version="1.0" encoding="utf-8"?>
<sst xmlns="http://schemas.openxmlformats.org/spreadsheetml/2006/main" count="17773" uniqueCount="5074">
  <si>
    <t>Place</t>
  </si>
  <si>
    <t>Country</t>
  </si>
  <si>
    <t>Flag</t>
  </si>
  <si>
    <t>Total Quotas</t>
  </si>
  <si>
    <t>Total Events</t>
  </si>
  <si>
    <t>Best Olympic Games</t>
  </si>
  <si>
    <t>Summer Olympics Quotas</t>
  </si>
  <si>
    <t>Winter Olympics Quotas</t>
  </si>
  <si>
    <t>Total Gold Medals</t>
  </si>
  <si>
    <t>Total Silver Medals</t>
  </si>
  <si>
    <t>Total Bronze Medals</t>
  </si>
  <si>
    <t>Total Medals</t>
  </si>
  <si>
    <t>Summer Gold Medals</t>
  </si>
  <si>
    <t>Summer Silver Medals</t>
  </si>
  <si>
    <t>Summer Bronze Medals</t>
  </si>
  <si>
    <t>Summer Total Medals</t>
  </si>
  <si>
    <t>Winter Gold Medals</t>
  </si>
  <si>
    <t>Winter Silver Medals</t>
  </si>
  <si>
    <t>Winter Bronze Medals</t>
  </si>
  <si>
    <t>Winter Total Medals</t>
  </si>
  <si>
    <t>Medals/Quotas Ratio</t>
  </si>
  <si>
    <t>Athletics - Men's 100m</t>
  </si>
  <si>
    <t>Athletics - Women's 100m</t>
  </si>
  <si>
    <t>Athletics - Men's 200m</t>
  </si>
  <si>
    <t>Athletics - Women's 200m</t>
  </si>
  <si>
    <t>Athletics - Men's 400m</t>
  </si>
  <si>
    <t>Athletics - Women's 400m</t>
  </si>
  <si>
    <t>Athletics - Men's 800m</t>
  </si>
  <si>
    <t>Athletics - Women's 800m</t>
  </si>
  <si>
    <t>Athletics - Men's 1500m</t>
  </si>
  <si>
    <t>Athletics - Women's 1500m</t>
  </si>
  <si>
    <t>Athletics - Men's 5000m</t>
  </si>
  <si>
    <t>Athletics - Women's 5000m</t>
  </si>
  <si>
    <t>Athletics - Men's 110m Hurdles</t>
  </si>
  <si>
    <t>Athletics - Women's 100m Hurdles</t>
  </si>
  <si>
    <t>Athletics - Men's 400m Hurdles</t>
  </si>
  <si>
    <t>Athletics - Women's 400m Hurdles</t>
  </si>
  <si>
    <t>Athletics - Men's 3000m Steeplechase</t>
  </si>
  <si>
    <t>Athletics - Women's 3000m Steeplechase</t>
  </si>
  <si>
    <t>Athletics - Men's Marathon</t>
  </si>
  <si>
    <t>Athletics - Women's Marathon</t>
  </si>
  <si>
    <t>Athletics - Men's Discus Throw</t>
  </si>
  <si>
    <t>Athletics - Women's Discus Throw</t>
  </si>
  <si>
    <t>Athletics - Men's Hammer Throw</t>
  </si>
  <si>
    <t>Athletics - Women's Hammer Throw</t>
  </si>
  <si>
    <t>Athletics - Men's High Jump</t>
  </si>
  <si>
    <t>Athletics - Women's High Jump</t>
  </si>
  <si>
    <t>Athletics - Men's Javelin Throw</t>
  </si>
  <si>
    <t>Athletics - Women's Javelin Throw</t>
  </si>
  <si>
    <t>Athletics - Men's Long Jump</t>
  </si>
  <si>
    <t>Athletics - Women's Long Jump</t>
  </si>
  <si>
    <t>Athletics - Men's Pole Vault</t>
  </si>
  <si>
    <t>Athletics - Women's Pole Vault</t>
  </si>
  <si>
    <t>Athletics - Men's Shot Put</t>
  </si>
  <si>
    <t>Athletics - Women's Shot Put</t>
  </si>
  <si>
    <t>Athletics - Men's Triple Jump</t>
  </si>
  <si>
    <t>Athletics - Women's Triple Jump</t>
  </si>
  <si>
    <t>Athletics - Men's Decathlon</t>
  </si>
  <si>
    <t>Athletics - Women's Heptathlon</t>
  </si>
  <si>
    <t>Badminton - Men's Singles</t>
  </si>
  <si>
    <t>Badminton - Women's Singles</t>
  </si>
  <si>
    <t>Badminton - Men's Doubles</t>
  </si>
  <si>
    <t>Badminton - Women's Doubles</t>
  </si>
  <si>
    <t>Badminton - Mixed Doubles</t>
  </si>
  <si>
    <t>Boxing - Men's 51kg</t>
  </si>
  <si>
    <t>Boxing - Men's 57kg</t>
  </si>
  <si>
    <t>Boxing - Men's 63.5kg</t>
  </si>
  <si>
    <t>Boxing - Men's 71kg</t>
  </si>
  <si>
    <t>Boxing - Men's 80kg</t>
  </si>
  <si>
    <t>Boxing - Men's 92kg</t>
  </si>
  <si>
    <t>Boxing - Men's +92kg</t>
  </si>
  <si>
    <t>Boxing - Women's 50kg</t>
  </si>
  <si>
    <t>Boxing - Women's 54kg</t>
  </si>
  <si>
    <t>Boxing - Women's 57kg</t>
  </si>
  <si>
    <t>Boxing - Women's 60kg</t>
  </si>
  <si>
    <t>Boxing - Women's 66kg</t>
  </si>
  <si>
    <t>Boxing - Women's 75kg</t>
  </si>
  <si>
    <t>Canoeing - Men's C1 Slalom</t>
  </si>
  <si>
    <t>Canoeing - Women's C1 Slalom</t>
  </si>
  <si>
    <t>Canoeing - Men's K1 Slalom</t>
  </si>
  <si>
    <t>Canoeing - Women's K1 Slalom</t>
  </si>
  <si>
    <t>Canoeing - Women's C1 200m</t>
  </si>
  <si>
    <t>Canoeing - Men's C1 1000m</t>
  </si>
  <si>
    <t>Canoeing - Women's C2 500m</t>
  </si>
  <si>
    <t>Canoeing - Men's C2 500m</t>
  </si>
  <si>
    <t>Canoeing - Women's K1 500m</t>
  </si>
  <si>
    <t>Canoeing - Men's K1 1000m</t>
  </si>
  <si>
    <t>Canoeing - Women's K2 500m</t>
  </si>
  <si>
    <t>Canoeing - Men's K2 500m</t>
  </si>
  <si>
    <t>Canoeing - Men's K4 500m</t>
  </si>
  <si>
    <t>Canoeing - Women's K4 500m</t>
  </si>
  <si>
    <t>Cycling - Men's BMX Freestyle</t>
  </si>
  <si>
    <t>Cycling - Women's BMX Freestyle</t>
  </si>
  <si>
    <t>Cycling - Men's BMX Racing</t>
  </si>
  <si>
    <t>Cycling - Women's BMX Racing</t>
  </si>
  <si>
    <t>Cycling - Men's Keirin</t>
  </si>
  <si>
    <t>Cycling - Women's Keirin</t>
  </si>
  <si>
    <t>Cycling - Men's Madison</t>
  </si>
  <si>
    <t>Cycling - Women's Madison</t>
  </si>
  <si>
    <t>Cycling - Men's Omnium</t>
  </si>
  <si>
    <t>Cycling - Women's Omnium</t>
  </si>
  <si>
    <t>Cycling - Men's Road Race</t>
  </si>
  <si>
    <t>Cycling - Women's Road Race</t>
  </si>
  <si>
    <t>Cycling - Men's Team Pursuit</t>
  </si>
  <si>
    <t>Cycling - Women's Team Pursuit</t>
  </si>
  <si>
    <t>Cycling - Men's Time-Trial</t>
  </si>
  <si>
    <t>Cycling - Women's Time-Trial</t>
  </si>
  <si>
    <t>Equestrian - Individual Dressage</t>
  </si>
  <si>
    <t>Equestrian - Team Dressage</t>
  </si>
  <si>
    <t>Equestrian - Individual Eventing</t>
  </si>
  <si>
    <t>Equestrian - Team Eventing</t>
  </si>
  <si>
    <t>Equestrian - Individual Jumping</t>
  </si>
  <si>
    <t>Equestrian - Team Jumping</t>
  </si>
  <si>
    <t>Gymnastics - Women's Balance Beam</t>
  </si>
  <si>
    <t>Gymnastics - Men's Horizontal Bar</t>
  </si>
  <si>
    <t>Gymnastics - Men's Parallel Bars</t>
  </si>
  <si>
    <t>Gymnastics - Men's Rings</t>
  </si>
  <si>
    <t>Gymnastics - Men's Trampoline</t>
  </si>
  <si>
    <t>Gymnastics - Women's Trampoline</t>
  </si>
  <si>
    <t>Gymnastics - Women's Uneven Bars</t>
  </si>
  <si>
    <t>Gymnastics - Men's Vault</t>
  </si>
  <si>
    <t>Gymnastics - Women's Vault</t>
  </si>
  <si>
    <t>Judo - Men's 60kg</t>
  </si>
  <si>
    <t>Judo - Men's 66kg</t>
  </si>
  <si>
    <t>Judo - Men's 73kg</t>
  </si>
  <si>
    <t>Judo - Men's 81kg</t>
  </si>
  <si>
    <t>Judo - Men's 90kg</t>
  </si>
  <si>
    <t>Judo - Men's 100kg</t>
  </si>
  <si>
    <t>Judo - Men's +100kg</t>
  </si>
  <si>
    <t>Judo - Women's 48kg</t>
  </si>
  <si>
    <t>Judo - Women's 52kg</t>
  </si>
  <si>
    <t>Judo - Women's 57kg</t>
  </si>
  <si>
    <t>Judo - Women's 63kg</t>
  </si>
  <si>
    <t>Judo - Women's 70kg</t>
  </si>
  <si>
    <t>Judo - Women's 78kg</t>
  </si>
  <si>
    <t>Judo - Women's +78kg</t>
  </si>
  <si>
    <t>Judo - Mixed Team</t>
  </si>
  <si>
    <t>Rowing - Men's Single Sculls</t>
  </si>
  <si>
    <t>Rowing - Women's Single Sculls</t>
  </si>
  <si>
    <t>Rowing - Men's Double Sculls</t>
  </si>
  <si>
    <t>Rowing - Women's Double Sculls</t>
  </si>
  <si>
    <t>Rowing - Men's Quadruple Sculls</t>
  </si>
  <si>
    <t>Rowing - Women's Quadruple Sculls</t>
  </si>
  <si>
    <t>Rowing - Men's Lwt. Double Sculls</t>
  </si>
  <si>
    <t>Rowing - Women's Lwt. Double Sculls</t>
  </si>
  <si>
    <t>Sailing - Mixed 470</t>
  </si>
  <si>
    <t>Sailing - Men's 49er</t>
  </si>
  <si>
    <t>Sailing - Women's 49er FX</t>
  </si>
  <si>
    <t>Sailing - Men's Formula Kite</t>
  </si>
  <si>
    <t>Sailing - Women's Formula Kite</t>
  </si>
  <si>
    <t>Sailing - Men's ILCA 7</t>
  </si>
  <si>
    <t>Sailing - Women's ILCA 6</t>
  </si>
  <si>
    <t>Sailing - Men's IQFoil</t>
  </si>
  <si>
    <t>Sailing - Women's IQFoil</t>
  </si>
  <si>
    <t>Sailing - Mixed Nacra 17</t>
  </si>
  <si>
    <t>Shooting - Men's 10m Air Pistol</t>
  </si>
  <si>
    <t>Shooting - Women's 10m Air Pistol</t>
  </si>
  <si>
    <t>Shooting - Men's 10m Air Rifle</t>
  </si>
  <si>
    <t>Shooting - Women's 10m Air Rifle</t>
  </si>
  <si>
    <t>Shooting - Men's 25m Rapid Fire Pistol</t>
  </si>
  <si>
    <t>Shooting - Women's 25m Pistol</t>
  </si>
  <si>
    <t>Shooting - Men's 50m Rifle 3 Positions</t>
  </si>
  <si>
    <t>Shooting - Women's 50m Rifle 3 Positions</t>
  </si>
  <si>
    <t>Shooting - Men's Skeet</t>
  </si>
  <si>
    <t>Shooting - Women's Skeet</t>
  </si>
  <si>
    <t>Shooting - Men's Trap</t>
  </si>
  <si>
    <t>Shooting - Women's Trap</t>
  </si>
  <si>
    <t>Skateboarding - Men's Park</t>
  </si>
  <si>
    <t>Skateboarding - Women's Park</t>
  </si>
  <si>
    <t>Skateboarding - Men's Street</t>
  </si>
  <si>
    <t>Skateboarding - Women's Street</t>
  </si>
  <si>
    <t>Sport Climbing - Men's Speed</t>
  </si>
  <si>
    <t>Sport Climbing - Women's Speed</t>
  </si>
  <si>
    <t>Swimming - Men's 50m Freestyle</t>
  </si>
  <si>
    <t>Swimming - Women's 50m Freestyle</t>
  </si>
  <si>
    <t>Swimming - Men's 100m Freestyle</t>
  </si>
  <si>
    <t>Swimming - Women's 100m Freestyle</t>
  </si>
  <si>
    <t>Swimming - Men's 200m Freestyle</t>
  </si>
  <si>
    <t>Swimming - Women's 200m Freestyle</t>
  </si>
  <si>
    <t>Swimming - Men's 400m Freestyle</t>
  </si>
  <si>
    <t>Swimming - Women's 400m Freestyle</t>
  </si>
  <si>
    <t>Swimming - Men's 800m Freestyle</t>
  </si>
  <si>
    <t>Swimming - Women's 800m Freestyle</t>
  </si>
  <si>
    <t>Swimming - Men's 1500m Freestyle</t>
  </si>
  <si>
    <t>Swimming - Women's 1500m Freestyle</t>
  </si>
  <si>
    <t>Swimming - Men's 100m Backstroke</t>
  </si>
  <si>
    <t>Swimming - Women's 100m Backstroke</t>
  </si>
  <si>
    <t>Swimming - Men's 200m Backstroke</t>
  </si>
  <si>
    <t>Swimming - Women's 200m Backstroke</t>
  </si>
  <si>
    <t>Swimming - Men's 100m Butterfly</t>
  </si>
  <si>
    <t>Swimming - Women's 100m Butterfly</t>
  </si>
  <si>
    <t>Swimming - Men's 200m Butterfly</t>
  </si>
  <si>
    <t>Swimming - Women's 200m Butterfly</t>
  </si>
  <si>
    <t>Swimming - Men's 100m Breaststroke</t>
  </si>
  <si>
    <t>Swimming - Women's 100m Breaststroke</t>
  </si>
  <si>
    <t>Swimming - Men's 200m Breaststroke</t>
  </si>
  <si>
    <t>Swimming - Women's 200m Breaststroke</t>
  </si>
  <si>
    <t>Table Tennis - Men's Singles</t>
  </si>
  <si>
    <t>Table Tennis - Women's Singles</t>
  </si>
  <si>
    <t>Table Tennis - Men's Team</t>
  </si>
  <si>
    <t>Table Tennis - Women's Team</t>
  </si>
  <si>
    <t>Table Tennis - Mixed Doubles</t>
  </si>
  <si>
    <t>Taekwondo - Men's 58kg</t>
  </si>
  <si>
    <t>Taekwondo - Men's 68kg</t>
  </si>
  <si>
    <t>Taekwondo - Men's 80kg</t>
  </si>
  <si>
    <t>Taekwondo - Men's +80kg</t>
  </si>
  <si>
    <t>Taekwondo - Women's 49kg</t>
  </si>
  <si>
    <t>Taekwondo - Women's 57kg</t>
  </si>
  <si>
    <t>Taekwondo - Women's 67kg</t>
  </si>
  <si>
    <t>Taekwondo - Women's +67kg</t>
  </si>
  <si>
    <t>Tennis - Men's Singles</t>
  </si>
  <si>
    <t>Tennis - Women's Singles</t>
  </si>
  <si>
    <t>Tennis - Men's Doubles</t>
  </si>
  <si>
    <t>Tennis - Women's Doubles</t>
  </si>
  <si>
    <t>Tennis - Mixed Doubles</t>
  </si>
  <si>
    <t>Triathlon - Mixed Relay</t>
  </si>
  <si>
    <t>Weightlifting - Men's 61kg</t>
  </si>
  <si>
    <t>Weightlifting - Men's 73kg</t>
  </si>
  <si>
    <t>Weightlifting - Men's 89kg</t>
  </si>
  <si>
    <t>Weightlifting - Men's 102kg</t>
  </si>
  <si>
    <t>Weightlifting - Men's +102kg</t>
  </si>
  <si>
    <t>Weightlifting - Women's 49kg</t>
  </si>
  <si>
    <t>Weightlifting - Women's 59kg</t>
  </si>
  <si>
    <t>Weightlifting - Women's 71kg</t>
  </si>
  <si>
    <t>Weightlifting - Women's 81kg</t>
  </si>
  <si>
    <t>Weightlifting - Women's +81kg</t>
  </si>
  <si>
    <t>Wrestling - Men's Freestyle 57kg</t>
  </si>
  <si>
    <t>Wrestling - Men's Freestyle 65kg</t>
  </si>
  <si>
    <t>Wrestling - Men's Freestyle 74kg</t>
  </si>
  <si>
    <t>Wrestling - Men's Freestyle 86kg</t>
  </si>
  <si>
    <t>Wrestling - Men's Freestyle 97kg</t>
  </si>
  <si>
    <t>Wrestling - Men's Freestyle 125kg</t>
  </si>
  <si>
    <t>Wrestling - Men's Greco-Roman 60kg</t>
  </si>
  <si>
    <t>Wrestling - Men's Greco-Roman 67kg</t>
  </si>
  <si>
    <t>Wrestling - Men's Greco-Roman 77kg</t>
  </si>
  <si>
    <t>Wrestling - Men's Greco-Roman 87kg</t>
  </si>
  <si>
    <t>Wrestling - Men's Greco-Roman 97kg</t>
  </si>
  <si>
    <t>Wrestling - Men's Greco-Roman 130kg</t>
  </si>
  <si>
    <t>Wrestling - Women's Freestyle 50kg</t>
  </si>
  <si>
    <t>Wrestling - Women's Freestyle 53kg</t>
  </si>
  <si>
    <t>Wrestling - Women's Freestyle 57kg</t>
  </si>
  <si>
    <t>Wrestling - Women's Freestyle 62kg</t>
  </si>
  <si>
    <t>Wrestling - Women's Freestyle 68kg</t>
  </si>
  <si>
    <t>Wrestling - Women's Freestyle 76kg</t>
  </si>
  <si>
    <t>Alpine Skiing - Men's Downhill</t>
  </si>
  <si>
    <t>Alpine Skiing - Women's Downhill</t>
  </si>
  <si>
    <t>Alpine Skiing - Men's Giant Slalom</t>
  </si>
  <si>
    <t>Alpine Skiing - Women's Giant Slalom</t>
  </si>
  <si>
    <t>Alpine Skiing - Men's Slalom</t>
  </si>
  <si>
    <t>Alpine Skiing - Women's Slalom</t>
  </si>
  <si>
    <t>Alpine Skiing - Men's Super-G</t>
  </si>
  <si>
    <t>Alpine Skiing - Women's Super-G</t>
  </si>
  <si>
    <t>Biathlon - Men's Individual</t>
  </si>
  <si>
    <t>Biathlon - Women's Individual</t>
  </si>
  <si>
    <t>Biathlon - Men's Mass Start</t>
  </si>
  <si>
    <t>Biathlon - Women's Mass Start</t>
  </si>
  <si>
    <t>Biathlon - Men's Pursuit</t>
  </si>
  <si>
    <t>Biathlon - Women's Pursuit</t>
  </si>
  <si>
    <t>Biathlon - Men's Relay</t>
  </si>
  <si>
    <t>Biathlon - Women's Relay</t>
  </si>
  <si>
    <t>Biathlon - Men's Sprint</t>
  </si>
  <si>
    <t>Biathlon - Women's Sprint</t>
  </si>
  <si>
    <t>Biathlon - Mixed Relay</t>
  </si>
  <si>
    <t>Bobsleigh - Women's Monobob</t>
  </si>
  <si>
    <t>Bobsleigh - Men's Two</t>
  </si>
  <si>
    <t>Bobsleigh - Women's Two</t>
  </si>
  <si>
    <t>Bobsleigh - Men's Four</t>
  </si>
  <si>
    <t>Cross-country skiing - Men's Classical</t>
  </si>
  <si>
    <t>Cross-country skiing - Women's Classical</t>
  </si>
  <si>
    <t>Cross-country skiing - Men's Freestyle</t>
  </si>
  <si>
    <t>Cross-country skiing - Women's Freestyle</t>
  </si>
  <si>
    <t>Cross-country skiing - Men's Relay</t>
  </si>
  <si>
    <t>Cross-country skiing - Women's Relay</t>
  </si>
  <si>
    <t>Cross-country skiing - Men's Skiathlon</t>
  </si>
  <si>
    <t>Cross-country skiing - Women's Skiathlon</t>
  </si>
  <si>
    <t>Curling - Mixed Doubles</t>
  </si>
  <si>
    <t>Figure Skating - Men's Singles</t>
  </si>
  <si>
    <t>Figure Skating - Women's Singles</t>
  </si>
  <si>
    <t>Figure Skating - Ice Dance</t>
  </si>
  <si>
    <t>Freestyle Skiing - Men's Aerials</t>
  </si>
  <si>
    <t>Freestyle Skiing - Women's Aerials</t>
  </si>
  <si>
    <t>Freestyle Skiing - Men's Big Air</t>
  </si>
  <si>
    <t>Freestyle Skiing - Women's Big Air</t>
  </si>
  <si>
    <t>Freestyle Skiing - Men's Halfpipe</t>
  </si>
  <si>
    <t>Freestyle Skiing - Women's Halfpipe</t>
  </si>
  <si>
    <t>Freestyle Skiing - Men's Moguls</t>
  </si>
  <si>
    <t>Freestyle Skiing - Women's Moguls</t>
  </si>
  <si>
    <t>Freestyle Skiing - Men's Ski Cross</t>
  </si>
  <si>
    <t>Freestyle Skiing - Women's Ski Cross</t>
  </si>
  <si>
    <t>Freestyle Skiing - Men's Slopestyle</t>
  </si>
  <si>
    <t>Freestyle Skiing - Women's Slopestyle</t>
  </si>
  <si>
    <t>Luge - Men's Singles</t>
  </si>
  <si>
    <t>Luge - Women's Singles</t>
  </si>
  <si>
    <t>Short track speed skating - Men's 500m</t>
  </si>
  <si>
    <t>Short track speed skating - Women's 500m</t>
  </si>
  <si>
    <t>Short track speed skating - Men's 1000m</t>
  </si>
  <si>
    <t>Short track speed skating - Women's 1000m</t>
  </si>
  <si>
    <t>Short track speed skating - Men's 1500m</t>
  </si>
  <si>
    <t>Short track speed skating - Women's 1500m</t>
  </si>
  <si>
    <t>Short track speed skating - Men's 5000m Relay</t>
  </si>
  <si>
    <t>Short track speed skating - Women's 3000m Relay</t>
  </si>
  <si>
    <t>Short track speed skating - Mixed 2000m Relay</t>
  </si>
  <si>
    <t>Snowboarding - Men's Big Air</t>
  </si>
  <si>
    <t>Snowboarding - Women's Big Air</t>
  </si>
  <si>
    <t>Snowboarding - Men's Halfpipe</t>
  </si>
  <si>
    <t>Snowboarding - Women's Halfpipe</t>
  </si>
  <si>
    <t>Snowboarding - Men's Parallel Giant Slalom</t>
  </si>
  <si>
    <t>Snowboarding - Women's Parallel Giant Slalom</t>
  </si>
  <si>
    <t>Snowboarding - Men's Slopestyle</t>
  </si>
  <si>
    <t>Snowboarding - Women's Slopestyle</t>
  </si>
  <si>
    <t>Snowboarding - Men's Snowboard Cross</t>
  </si>
  <si>
    <t>Snowboarding - Women's Snowboard Cross</t>
  </si>
  <si>
    <t>Speed Skating - Men's 500m</t>
  </si>
  <si>
    <t>Speed Skating - Women's 500m</t>
  </si>
  <si>
    <t>Speed Skating - Men's 1000m</t>
  </si>
  <si>
    <t>Speed Skating - Women's 1000m</t>
  </si>
  <si>
    <t>Speed Skating - Men's 1500m</t>
  </si>
  <si>
    <t>Speed Skating - Women's 1500m</t>
  </si>
  <si>
    <t>Speed Skating - Women's 3000m</t>
  </si>
  <si>
    <t>Speed Skating - Men's 5000m</t>
  </si>
  <si>
    <t>Speed Skating - Women's 5000m</t>
  </si>
  <si>
    <t>Speed Skating - Men's Mass Start</t>
  </si>
  <si>
    <t>Speed Skating - Women's Mass Start</t>
  </si>
  <si>
    <t>Speed Skating - Men's Team Pursuit</t>
  </si>
  <si>
    <t>Speed Skating - Women's Team Pursuit</t>
  </si>
  <si>
    <t>Image Link</t>
  </si>
  <si>
    <t>Egypt</t>
  </si>
  <si>
    <t>https://upload.wikimedia.org/wikipedia/commons/thumb/f/fe/Flag_of_Egypt.svg/188px-Flag_of_Egypt.svg.png</t>
  </si>
  <si>
    <t>China</t>
  </si>
  <si>
    <t>https://upload.wikimedia.org/wikipedia/commons/thumb/f/fa/Flag_of_the_People%27s_Republic_of_China.svg/188px-Flag_of_the_People%27s_Republic_of_China.svg.png</t>
  </si>
  <si>
    <t>Spain</t>
  </si>
  <si>
    <t>https://upload.wikimedia.org/wikipedia/commons/thumb/8/89/Bandera_de_Espa%C3%B1a.svg/188px-Bandera_de_Espa%C3%B1a.svg.png</t>
  </si>
  <si>
    <t>United States</t>
  </si>
  <si>
    <t>https://upload.wikimedia.org/wikipedia/commons/thumb/a/a9/Flag_of_the_United_States_%28DoS_ECA_Color_Standard%29.svg/188px-Flag_of_the_United_States_%28DoS_ECA_Color_Standard%29.svg.png</t>
  </si>
  <si>
    <t>Germany</t>
  </si>
  <si>
    <t>https://upload.wikimedia.org/wikipedia/en/thumb/b/ba/Flag_of_Germany.svg/188px-Flag_of_Germany.svg.png</t>
  </si>
  <si>
    <t>Brazil</t>
  </si>
  <si>
    <t>https://upload.wikimedia.org/wikipedia/en/thumb/0/05/Flag_of_Brazil.svg/188px-Flag_of_Brazil.svg.png</t>
  </si>
  <si>
    <t>Sweden</t>
  </si>
  <si>
    <t>https://upload.wikimedia.org/wikipedia/en/thumb/4/4c/Flag_of_Sweden.svg/188px-Flag_of_Sweden.svg.png</t>
  </si>
  <si>
    <t>Argentina</t>
  </si>
  <si>
    <t>https://upload.wikimedia.org/wikipedia/commons/thumb/1/1a/Flag_of_Argentina.svg/188px-Flag_of_Argentina.svg.png</t>
  </si>
  <si>
    <t>Greece</t>
  </si>
  <si>
    <t>https://upload.wikimedia.org/wikipedia/commons/thumb/5/5c/Flag_of_Greece.svg/188px-Flag_of_Greece.svg.png</t>
  </si>
  <si>
    <t>France</t>
  </si>
  <si>
    <t>https://upload.wikimedia.org/wikipedia/en/thumb/c/c3/Flag_of_France.svg/188px-Flag_of_France.svg.png</t>
  </si>
  <si>
    <t>Portugal</t>
  </si>
  <si>
    <t>https://upload.wikimedia.org/wikipedia/commons/thumb/5/5c/Flag_of_Portugal.svg/188px-Flag_of_Portugal.svg.png</t>
  </si>
  <si>
    <t>Romania</t>
  </si>
  <si>
    <t>https://upload.wikimedia.org/wikipedia/commons/thumb/7/73/Flag_of_Romania.svg/188px-Flag_of_Romania.svg.png</t>
  </si>
  <si>
    <t>Mexico</t>
  </si>
  <si>
    <t>https://upload.wikimedia.org/wikipedia/commons/thumb/f/fc/Flag_of_Mexico.svg/188px-Flag_of_Mexico.svg.png</t>
  </si>
  <si>
    <t>Venezuela</t>
  </si>
  <si>
    <t>https://upload.wikimedia.org/wikipedia/commons/thumb/0/06/Flag_of_Venezuela.svg/188px-Flag_of_Venezuela.svg.png</t>
  </si>
  <si>
    <t>Australia</t>
  </si>
  <si>
    <t>https://upload.wikimedia.org/wikipedia/commons/thumb/8/88/Flag_of_Australia_%28converted%29.svg/188px-Flag_of_Australia_%28converted%29.svg.png</t>
  </si>
  <si>
    <t>Italy</t>
  </si>
  <si>
    <t>https://upload.wikimedia.org/wikipedia/en/thumb/0/03/Flag_of_Italy.svg/188px-Flag_of_Italy.svg.png</t>
  </si>
  <si>
    <t>Austria</t>
  </si>
  <si>
    <t>https://upload.wikimedia.org/wikipedia/commons/thumb/4/41/Flag_of_Austria.svg/188px-Flag_of_Austria.svg.png</t>
  </si>
  <si>
    <t>Iran</t>
  </si>
  <si>
    <t>https://upload.wikimedia.org/wikipedia/commons/thumb/c/ca/Flag_of_Iran.svg/188px-Flag_of_Iran.svg.png</t>
  </si>
  <si>
    <t>Colombia</t>
  </si>
  <si>
    <t>https://upload.wikimedia.org/wikipedia/commons/thumb/2/21/Flag_of_Colombia.svg/188px-Flag_of_Colombia.svg.png</t>
  </si>
  <si>
    <t>Norway</t>
  </si>
  <si>
    <t>https://upload.wikimedia.org/wikipedia/commons/thumb/d/d9/Flag_of_Norway.svg/188px-Flag_of_Norway.svg.png</t>
  </si>
  <si>
    <t>Chile</t>
  </si>
  <si>
    <t>https://upload.wikimedia.org/wikipedia/commons/thumb/7/78/Flag_of_Chile.svg/188px-Flag_of_Chile.svg.png</t>
  </si>
  <si>
    <t>Taiwan</t>
  </si>
  <si>
    <t>https://upload.wikimedia.org/wikipedia/commons/thumb/7/72/Flag_of_the_Republic_of_China.svg/188px-Flag_of_the_Republic_of_China.svg.png</t>
  </si>
  <si>
    <t>Bulgaria</t>
  </si>
  <si>
    <t>https://upload.wikimedia.org/wikipedia/commons/thumb/9/9a/Flag_of_Bulgaria.svg/188px-Flag_of_Bulgaria.svg.png</t>
  </si>
  <si>
    <t>Finland</t>
  </si>
  <si>
    <t>https://upload.wikimedia.org/wikipedia/commons/thumb/b/bc/Flag_of_Finland.svg/188px-Flag_of_Finland.svg.png</t>
  </si>
  <si>
    <t>Dominican Republic</t>
  </si>
  <si>
    <t>https://upload.wikimedia.org/wikipedia/commons/thumb/9/9f/Flag_of_the_Dominican_Republic.svg/188px-Flag_of_the_Dominican_Republic.svg.png</t>
  </si>
  <si>
    <t>Pakistan</t>
  </si>
  <si>
    <t>https://upload.wikimedia.org/wikipedia/commons/thumb/3/32/Flag_of_Pakistan.svg/188px-Flag_of_Pakistan.svg.png</t>
  </si>
  <si>
    <t>Morocco</t>
  </si>
  <si>
    <t>https://upload.wikimedia.org/wikipedia/commons/thumb/2/2c/Flag_of_Morocco.svg/188px-Flag_of_Morocco.svg.png</t>
  </si>
  <si>
    <t>Algeria</t>
  </si>
  <si>
    <t>https://upload.wikimedia.org/wikipedia/commons/thumb/7/77/Flag_of_Algeria.svg/188px-Flag_of_Algeria.svg.png</t>
  </si>
  <si>
    <t>Malaysia</t>
  </si>
  <si>
    <t>https://upload.wikimedia.org/wikipedia/commons/thumb/6/66/Flag_of_Malaysia.svg/188px-Flag_of_Malaysia.svg.png</t>
  </si>
  <si>
    <t>Canada</t>
  </si>
  <si>
    <t>https://upload.wikimedia.org/wikipedia/commons/thumb/d/d9/Flag_of_Canada_%28Pantone%29.svg/188px-Flag_of_Canada_%28Pantone%29.svg.png</t>
  </si>
  <si>
    <t>Refugee Team</t>
  </si>
  <si>
    <t>https://upload.wikimedia.org/wikipedia/commons/thumb/a/a7/Olympic_flag.svg/330px-Olympic_flag.svg.png</t>
  </si>
  <si>
    <t>Gambia</t>
  </si>
  <si>
    <t>https://upload.wikimedia.org/wikipedia/commons/thumb/7/77/Flag_of_The_Gambia.svg/188px-Flag_of_The_Gambia.svg.png</t>
  </si>
  <si>
    <t>Moldova</t>
  </si>
  <si>
    <t>https://upload.wikimedia.org/wikipedia/commons/thumb/2/27/Flag_of_Moldova.svg/188px-Flag_of_Moldova.svg.png</t>
  </si>
  <si>
    <t>Peru</t>
  </si>
  <si>
    <t>https://upload.wikimedia.org/wikipedia/commons/thumb/c/cf/Flag_of_Peru.svg/188px-Flag_of_Peru.svg.png</t>
  </si>
  <si>
    <t>Poland</t>
  </si>
  <si>
    <t>https://upload.wikimedia.org/wikipedia/en/thumb/1/12/Flag_of_Poland.svg/188px-Flag_of_Poland.svg.png</t>
  </si>
  <si>
    <t>Nicaragua</t>
  </si>
  <si>
    <t>https://upload.wikimedia.org/wikipedia/commons/thumb/1/19/Flag_of_Nicaragua.svg/188px-Flag_of_Nicaragua.svg.png</t>
  </si>
  <si>
    <t>Puerto Rico</t>
  </si>
  <si>
    <t>https://upload.wikimedia.org/wikipedia/commons/thumb/2/28/Flag_of_Puerto_Rico.svg/188px-Flag_of_Puerto_Rico.svg.png</t>
  </si>
  <si>
    <t>Ecuador</t>
  </si>
  <si>
    <t>https://upload.wikimedia.org/wikipedia/commons/thumb/e/e8/Flag_of_Ecuador.svg/188px-Flag_of_Ecuador.svg.png</t>
  </si>
  <si>
    <t>Great Britain</t>
  </si>
  <si>
    <t>https://upload.wikimedia.org/wikipedia/commons/thumb/a/a5/Flag_of_the_United_Kingdom_%281-2%29.svg/188px-Flag_of_the_United_Kingdom_%281-2%29.svg.png</t>
  </si>
  <si>
    <t>Tunisia</t>
  </si>
  <si>
    <t>https://upload.wikimedia.org/wikipedia/commons/thumb/c/ce/Flag_of_Tunisia.svg/188px-Flag_of_Tunisia.svg.png</t>
  </si>
  <si>
    <t>Hungary</t>
  </si>
  <si>
    <t>https://upload.wikimedia.org/wikipedia/commons/thumb/c/c1/Flag_of_Hungary.svg/188px-Flag_of_Hungary.svg.png</t>
  </si>
  <si>
    <t>Slovakia</t>
  </si>
  <si>
    <t>https://upload.wikimedia.org/wikipedia/commons/thumb/e/e6/Flag_of_Slovakia.svg/188px-Flag_of_Slovakia.svg.png</t>
  </si>
  <si>
    <t>Uruguay</t>
  </si>
  <si>
    <t>https://upload.wikimedia.org/wikipedia/commons/thumb/f/fe/Flag_of_Uruguay.svg/188px-Flag_of_Uruguay.svg.png</t>
  </si>
  <si>
    <t>Netherlands</t>
  </si>
  <si>
    <t>https://upload.wikimedia.org/wikipedia/commons/thumb/2/20/Flag_of_the_Netherlands.svg/188px-Flag_of_the_Netherlands.svg.png</t>
  </si>
  <si>
    <t>Denmark</t>
  </si>
  <si>
    <t>https://upload.wikimedia.org/wikipedia/commons/thumb/9/9c/Flag_of_Denmark.svg/180px-Flag_of_Denmark.svg.png</t>
  </si>
  <si>
    <t>Guam</t>
  </si>
  <si>
    <t>https://upload.wikimedia.org/wikipedia/commons/thumb/0/07/Flag_of_Guam.svg/195px-Flag_of_Guam.svg.png</t>
  </si>
  <si>
    <t>Guatemala</t>
  </si>
  <si>
    <t>https://upload.wikimedia.org/wikipedia/commons/thumb/e/ec/Flag_of_Guatemala.svg/188px-Flag_of_Guatemala.svg.png</t>
  </si>
  <si>
    <t>Fiji</t>
  </si>
  <si>
    <t>https://upload.wikimedia.org/wikipedia/commons/thumb/b/ba/Flag_of_Fiji.svg/188px-Flag_of_Fiji.svg.png</t>
  </si>
  <si>
    <t>South Africa</t>
  </si>
  <si>
    <t>https://upload.wikimedia.org/wikipedia/commons/thumb/a/af/Flag_of_South_Africa.svg/188px-Flag_of_South_Africa.svg.png</t>
  </si>
  <si>
    <t>Ghana</t>
  </si>
  <si>
    <t>https://upload.wikimedia.org/wikipedia/commons/thumb/1/19/Flag_of_Ghana.svg/188px-Flag_of_Ghana.svg.png</t>
  </si>
  <si>
    <t>Ivory Coast</t>
  </si>
  <si>
    <t>https://upload.wikimedia.org/wikipedia/commons/thumb/f/fe/Flag_of_C%C3%B4te_d%27Ivoire.svg/188px-Flag_of_C%C3%B4te_d%27Ivoire.svg.png</t>
  </si>
  <si>
    <t>Japan</t>
  </si>
  <si>
    <t>https://upload.wikimedia.org/wikipedia/en/thumb/9/9e/Flag_of_Japan.svg/188px-Flag_of_Japan.svg.png</t>
  </si>
  <si>
    <t>Liberia</t>
  </si>
  <si>
    <t>https://upload.wikimedia.org/wikipedia/commons/thumb/b/b8/Flag_of_Liberia.svg/188px-Flag_of_Liberia.svg.png</t>
  </si>
  <si>
    <t>Indonesia</t>
  </si>
  <si>
    <t>https://upload.wikimedia.org/wikipedia/commons/thumb/9/9f/Flag_of_Indonesia.svg/188px-Flag_of_Indonesia.svg.png</t>
  </si>
  <si>
    <t>Guinea</t>
  </si>
  <si>
    <t>https://upload.wikimedia.org/wikipedia/commons/thumb/e/ed/Flag_of_Guinea.svg/188px-Flag_of_Guinea.svg.png</t>
  </si>
  <si>
    <t>Kenya</t>
  </si>
  <si>
    <t>https://upload.wikimedia.org/wikipedia/commons/thumb/4/49/Flag_of_Kenya.svg/188px-Flag_of_Kenya.svg.png</t>
  </si>
  <si>
    <t>Libya</t>
  </si>
  <si>
    <t>https://upload.wikimedia.org/wikipedia/commons/thumb/0/05/Flag_of_Libya.svg/188px-Flag_of_Libya.svg.png</t>
  </si>
  <si>
    <t>Nigeria</t>
  </si>
  <si>
    <t>https://upload.wikimedia.org/wikipedia/commons/thumb/7/79/Flag_of_Nigeria.svg/195px-Flag_of_Nigeria.svg.png</t>
  </si>
  <si>
    <t>Czech Republic</t>
  </si>
  <si>
    <t>https://upload.wikimedia.org/wikipedia/commons/thumb/c/cb/Flag_of_the_Czech_Republic.svg/188px-Flag_of_the_Czech_Republic.svg.png</t>
  </si>
  <si>
    <t>Switzerland</t>
  </si>
  <si>
    <t>https://upload.wikimedia.org/wikipedia/commons/thumb/0/08/Flag_of_Switzerland_%28Pantone%29.svg/188px-Flag_of_Switzerland_%28Pantone%29.svg.png</t>
  </si>
  <si>
    <t>Singapore</t>
  </si>
  <si>
    <t>https://upload.wikimedia.org/wikipedia/commons/thumb/4/48/Flag_of_Singapore.svg/188px-Flag_of_Singapore.svg.png</t>
  </si>
  <si>
    <t>India</t>
  </si>
  <si>
    <t>https://upload.wikimedia.org/wikipedia/en/thumb/4/41/Flag_of_India.svg/188px-Flag_of_India.svg.png</t>
  </si>
  <si>
    <t>Croatia</t>
  </si>
  <si>
    <t>https://upload.wikimedia.org/wikipedia/commons/thumb/1/1b/Flag_of_Croatia.svg/188px-Flag_of_Croatia.svg.png</t>
  </si>
  <si>
    <t>Sierra Leone</t>
  </si>
  <si>
    <t>https://upload.wikimedia.org/wikipedia/commons/thumb/1/17/Flag_of_Sierra_Leone.svg/188px-Flag_of_Sierra_Leone.svg.png</t>
  </si>
  <si>
    <t>United Arab Emirates</t>
  </si>
  <si>
    <t>https://upload.wikimedia.org/wikipedia/commons/thumb/c/cb/Flag_of_the_United_Arab_Emirates.svg/188px-Flag_of_the_United_Arab_Emirates.svg.png</t>
  </si>
  <si>
    <t>Azerbaijan</t>
  </si>
  <si>
    <t>https://upload.wikimedia.org/wikipedia/commons/thumb/d/dd/Flag_of_Azerbaijan.svg/188px-Flag_of_Azerbaijan.svg.png</t>
  </si>
  <si>
    <t>Bolivia</t>
  </si>
  <si>
    <t>https://upload.wikimedia.org/wikipedia/commons/thumb/d/de/Flag_of_Bolivia_%28state%29.svg/188px-Flag_of_Bolivia_%28state%29.svg.png</t>
  </si>
  <si>
    <t>Lebanon</t>
  </si>
  <si>
    <t>https://upload.wikimedia.org/wikipedia/commons/thumb/5/59/Flag_of_Lebanon.svg/188px-Flag_of_Lebanon.svg.png</t>
  </si>
  <si>
    <t>South Sudan</t>
  </si>
  <si>
    <t>https://upload.wikimedia.org/wikipedia/commons/thumb/7/7a/Flag_of_South_Sudan.svg/188px-Flag_of_South_Sudan.svg.png</t>
  </si>
  <si>
    <t>Iraq</t>
  </si>
  <si>
    <t>https://upload.wikimedia.org/wikipedia/commons/thumb/f/f6/Flag_of_Iraq.svg/188px-Flag_of_Iraq.svg.png</t>
  </si>
  <si>
    <t>Palestine</t>
  </si>
  <si>
    <t>https://upload.wikimedia.org/wikipedia/commons/thumb/0/00/Flag_of_Palestine.svg/188px-Flag_of_Palestine.svg.png</t>
  </si>
  <si>
    <t>Cape Verde</t>
  </si>
  <si>
    <t>https://upload.wikimedia.org/wikipedia/commons/thumb/3/38/Flag_of_Cape_Verde.svg/188px-Flag_of_Cape_Verde.svg.png</t>
  </si>
  <si>
    <t>Cuba</t>
  </si>
  <si>
    <t>https://upload.wikimedia.org/wikipedia/commons/thumb/b/bd/Flag_of_Cuba.svg/188px-Flag_of_Cuba.svg.png</t>
  </si>
  <si>
    <t>El Salvador</t>
  </si>
  <si>
    <t>https://upload.wikimedia.org/wikipedia/commons/thumb/3/34/Flag_of_El_Salvador.svg/188px-Flag_of_El_Salvador.svg.png</t>
  </si>
  <si>
    <t>New Zealand</t>
  </si>
  <si>
    <t>https://upload.wikimedia.org/wikipedia/commons/thumb/3/3e/Flag_of_New_Zealand.svg/188px-Flag_of_New_Zealand.svg.png</t>
  </si>
  <si>
    <t>Saint Lucia</t>
  </si>
  <si>
    <t>https://upload.wikimedia.org/wikipedia/commons/thumb/9/9f/Flag_of_Saint_Lucia.svg/188px-Flag_of_Saint_Lucia.svg.png</t>
  </si>
  <si>
    <t>Thailand</t>
  </si>
  <si>
    <t>https://upload.wikimedia.org/wikipedia/commons/thumb/a/a9/Flag_of_Thailand.svg/188px-Flag_of_Thailand.svg.png</t>
  </si>
  <si>
    <t>Trinidad and Tobago</t>
  </si>
  <si>
    <t>https://upload.wikimedia.org/wikipedia/commons/thumb/6/64/Flag_of_Trinidad_and_Tobago.svg/188px-Flag_of_Trinidad_and_Tobago.svg.png</t>
  </si>
  <si>
    <t>Uzbekistan</t>
  </si>
  <si>
    <t>https://upload.wikimedia.org/wikipedia/commons/thumb/8/84/Flag_of_Uzbekistan.svg/188px-Flag_of_Uzbekistan.svg.png</t>
  </si>
  <si>
    <t>Djibouti</t>
  </si>
  <si>
    <t>https://upload.wikimedia.org/wikipedia/commons/thumb/3/34/Flag_of_Djibouti.svg/188px-Flag_of_Djibouti.svg.png</t>
  </si>
  <si>
    <t>Maldives</t>
  </si>
  <si>
    <t>https://upload.wikimedia.org/wikipedia/commons/thumb/0/0f/Flag_of_Maldives.svg/188px-Flag_of_Maldives.svg.png</t>
  </si>
  <si>
    <t>Mali</t>
  </si>
  <si>
    <t>https://upload.wikimedia.org/wikipedia/commons/thumb/9/92/Flag_of_Mali.svg/188px-Flag_of_Mali.svg.png</t>
  </si>
  <si>
    <t>Saudi Arabia</t>
  </si>
  <si>
    <t>https://upload.wikimedia.org/wikipedia/commons/thumb/0/0d/Flag_of_Saudi_Arabia.svg/188px-Flag_of_Saudi_Arabia.svg.png</t>
  </si>
  <si>
    <t>Afghanistan</t>
  </si>
  <si>
    <t>https://upload.wikimedia.org/wikipedia/commons/thumb/c/cd/Flag_of_Afghanistan_%282013%E2%80%932021%29.svg/188px-Flag_of_Afghanistan_%282013%E2%80%932021%29.svg.png</t>
  </si>
  <si>
    <t>Kuwait</t>
  </si>
  <si>
    <t>https://upload.wikimedia.org/wikipedia/commons/thumb/a/aa/Flag_of_Kuwait.svg/188px-Flag_of_Kuwait.svg.png</t>
  </si>
  <si>
    <t>Albania</t>
  </si>
  <si>
    <t>https://upload.wikimedia.org/wikipedia/commons/thumb/3/36/Flag_of_Albania.svg/188px-Flag_of_Albania.svg.png</t>
  </si>
  <si>
    <t>American Samoa</t>
  </si>
  <si>
    <t>https://upload.wikimedia.org/wikipedia/commons/thumb/8/87/Flag_of_American_Samoa.svg/195px-Flag_of_American_Samoa.svg.png</t>
  </si>
  <si>
    <t>Andorra</t>
  </si>
  <si>
    <t>https://upload.wikimedia.org/wikipedia/commons/thumb/1/19/Flag_of_Andorra.svg/188px-Flag_of_Andorra.svg.png</t>
  </si>
  <si>
    <t>Angola</t>
  </si>
  <si>
    <t>https://upload.wikimedia.org/wikipedia/commons/thumb/9/9d/Flag_of_Angola.svg/188px-Flag_of_Angola.svg.png</t>
  </si>
  <si>
    <t>Antigua and Barbuda</t>
  </si>
  <si>
    <t>https://upload.wikimedia.org/wikipedia/commons/thumb/8/89/Flag_of_Antigua_and_Barbuda.svg/188px-Flag_of_Antigua_and_Barbuda.svg.png</t>
  </si>
  <si>
    <t>Armenia</t>
  </si>
  <si>
    <t>https://upload.wikimedia.org/wikipedia/commons/thumb/2/2f/Flag_of_Armenia.svg/188px-Flag_of_Armenia.svg.png</t>
  </si>
  <si>
    <t>Aruba</t>
  </si>
  <si>
    <t>https://upload.wikimedia.org/wikipedia/commons/thumb/f/f6/Flag_of_Aruba.svg/188px-Flag_of_Aruba.svg.png</t>
  </si>
  <si>
    <t>Bahamas</t>
  </si>
  <si>
    <t>https://upload.wikimedia.org/wikipedia/commons/thumb/9/93/Flag_of_the_Bahamas.svg/188px-Flag_of_the_Bahamas.svg.png</t>
  </si>
  <si>
    <t>Bahrain</t>
  </si>
  <si>
    <t>https://upload.wikimedia.org/wikipedia/commons/thumb/2/2c/Flag_of_Bahrain.svg/188px-Flag_of_Bahrain.svg.png</t>
  </si>
  <si>
    <t>Bangladesh</t>
  </si>
  <si>
    <t>https://upload.wikimedia.org/wikipedia/commons/thumb/f/f9/Flag_of_Bangladesh.svg/188px-Flag_of_Bangladesh.svg.png</t>
  </si>
  <si>
    <t>Barbados</t>
  </si>
  <si>
    <t>https://upload.wikimedia.org/wikipedia/commons/thumb/e/ef/Flag_of_Barbados.svg/188px-Flag_of_Barbados.svg.png</t>
  </si>
  <si>
    <t>Belarus</t>
  </si>
  <si>
    <t>https://upload.wikimedia.org/wikipedia/commons/thumb/8/85/Flag_of_Belarus.svg/188px-Flag_of_Belarus.svg.png</t>
  </si>
  <si>
    <t>Belgium</t>
  </si>
  <si>
    <t>https://upload.wikimedia.org/wikipedia/commons/thumb/6/65/Flag_of_Belgium.svg/188px-Flag_of_Belgium.svg.png</t>
  </si>
  <si>
    <t>Belize</t>
  </si>
  <si>
    <t>https://upload.wikimedia.org/wikipedia/commons/thumb/e/e7/Flag_of_Belize.svg/188px-Flag_of_Belize.svg.png</t>
  </si>
  <si>
    <t>Benin</t>
  </si>
  <si>
    <t>https://upload.wikimedia.org/wikipedia/commons/thumb/0/0a/Flag_of_Benin.svg/188px-Flag_of_Benin.svg.png</t>
  </si>
  <si>
    <t>Bermuda</t>
  </si>
  <si>
    <t>https://upload.wikimedia.org/wikipedia/commons/thumb/b/bf/Flag_of_Bermuda.svg/195px-Flag_of_Bermuda.svg.png</t>
  </si>
  <si>
    <t>Bhutan</t>
  </si>
  <si>
    <t>https://upload.wikimedia.org/wikipedia/commons/thumb/9/91/Flag_of_Bhutan.svg/188px-Flag_of_Bhutan.svg.png</t>
  </si>
  <si>
    <t>Bosnia</t>
  </si>
  <si>
    <t>https://upload.wikimedia.org/wikipedia/commons/thumb/b/bf/Flag_of_Bosnia_and_Herzegovina.svg/195px-Flag_of_Bosnia_and_Herzegovina.svg.png</t>
  </si>
  <si>
    <t>Botswana</t>
  </si>
  <si>
    <t>https://upload.wikimedia.org/wikipedia/commons/thumb/f/fa/Flag_of_Botswana.svg/188px-Flag_of_Botswana.svg.png</t>
  </si>
  <si>
    <t>British Virgin Islands</t>
  </si>
  <si>
    <t>https://upload.wikimedia.org/wikipedia/commons/thumb/4/42/Flag_of_the_British_Virgin_Islands.svg/195px-Flag_of_the_British_Virgin_Islands.svg.png</t>
  </si>
  <si>
    <t>Brunei</t>
  </si>
  <si>
    <t>https://upload.wikimedia.org/wikipedia/commons/thumb/9/9c/Flag_of_Brunei.svg/188px-Flag_of_Brunei.svg.png</t>
  </si>
  <si>
    <t>Burkina Faso</t>
  </si>
  <si>
    <t>https://upload.wikimedia.org/wikipedia/commons/thumb/3/31/Flag_of_Burkina_Faso.svg/188px-Flag_of_Burkina_Faso.svg.png</t>
  </si>
  <si>
    <t>Burundi</t>
  </si>
  <si>
    <t>https://upload.wikimedia.org/wikipedia/commons/thumb/5/50/Flag_of_Burundi.svg/188px-Flag_of_Burundi.svg.png</t>
  </si>
  <si>
    <t>Cambodia</t>
  </si>
  <si>
    <t>https://upload.wikimedia.org/wikipedia/commons/thumb/8/83/Flag_of_Cambodia.svg/188px-Flag_of_Cambodia.svg.png</t>
  </si>
  <si>
    <t>Cameroon</t>
  </si>
  <si>
    <t>https://upload.wikimedia.org/wikipedia/commons/thumb/4/4f/Flag_of_Cameroon.svg/188px-Flag_of_Cameroon.svg.png</t>
  </si>
  <si>
    <t>Cayman Islands</t>
  </si>
  <si>
    <t>https://upload.wikimedia.org/wikipedia/commons/thumb/0/0f/Flag_of_the_Cayman_Islands.svg/195px-Flag_of_the_Cayman_Islands.svg.png</t>
  </si>
  <si>
    <t>Central African Republic</t>
  </si>
  <si>
    <t>https://upload.wikimedia.org/wikipedia/commons/thumb/6/6f/Flag_of_the_Central_African_Republic.svg/188px-Flag_of_the_Central_African_Republic.svg.png</t>
  </si>
  <si>
    <t>Chad</t>
  </si>
  <si>
    <t>https://upload.wikimedia.org/wikipedia/commons/thumb/4/4b/Flag_of_Chad.svg/188px-Flag_of_Chad.svg.png</t>
  </si>
  <si>
    <t>Comoros</t>
  </si>
  <si>
    <t>https://upload.wikimedia.org/wikipedia/commons/thumb/9/94/Flag_of_the_Comoros.svg/188px-Flag_of_the_Comoros.svg.png</t>
  </si>
  <si>
    <t>Congo</t>
  </si>
  <si>
    <t>https://upload.wikimedia.org/wikipedia/commons/thumb/9/92/Flag_of_the_Republic_of_the_Congo.svg/188px-Flag_of_the_Republic_of_the_Congo.svg.png</t>
  </si>
  <si>
    <t>Cook Islands</t>
  </si>
  <si>
    <t>https://upload.wikimedia.org/wikipedia/commons/thumb/3/35/Flag_of_the_Cook_Islands.svg/188px-Flag_of_the_Cook_Islands.svg.png</t>
  </si>
  <si>
    <t>Costa Rica</t>
  </si>
  <si>
    <t>https://upload.wikimedia.org/wikipedia/commons/thumb/f/f2/Flag_of_Costa_Rica.svg/188px-Flag_of_Costa_Rica.svg.png</t>
  </si>
  <si>
    <t>Cyprus</t>
  </si>
  <si>
    <t>https://upload.wikimedia.org/wikipedia/commons/thumb/d/d4/Flag_of_Cyprus.svg/188px-Flag_of_Cyprus.svg.png</t>
  </si>
  <si>
    <t>Dominica</t>
  </si>
  <si>
    <t>https://upload.wikimedia.org/wikipedia/commons/thumb/c/c4/Flag_of_Dominica.svg/188px-Flag_of_Dominica.svg.png</t>
  </si>
  <si>
    <t>DR Congo</t>
  </si>
  <si>
    <t>https://upload.wikimedia.org/wikipedia/commons/thumb/6/6f/Flag_of_the_Democratic_Republic_of_the_Congo.svg/188px-Flag_of_the_Democratic_Republic_of_the_Congo.svg.png</t>
  </si>
  <si>
    <t>East Timor</t>
  </si>
  <si>
    <t>https://upload.wikimedia.org/wikipedia/commons/thumb/2/26/Flag_of_East_Timor.svg/188px-Flag_of_East_Timor.svg.png</t>
  </si>
  <si>
    <t>Equatorial Guinea</t>
  </si>
  <si>
    <t>https://upload.wikimedia.org/wikipedia/commons/thumb/3/31/Flag_of_Equatorial_Guinea.svg/188px-Flag_of_Equatorial_Guinea.svg.png</t>
  </si>
  <si>
    <t>Eritrea</t>
  </si>
  <si>
    <t>https://upload.wikimedia.org/wikipedia/commons/thumb/2/29/Flag_of_Eritrea.svg/188px-Flag_of_Eritrea.svg.png</t>
  </si>
  <si>
    <t>Estonia</t>
  </si>
  <si>
    <t>https://upload.wikimedia.org/wikipedia/commons/thumb/8/8f/Flag_of_Estonia.svg/188px-Flag_of_Estonia.svg.png</t>
  </si>
  <si>
    <t>Eswatini</t>
  </si>
  <si>
    <t>https://upload.wikimedia.org/wikipedia/commons/thumb/f/fb/Flag_of_Eswatini.svg/1200px-Flag_of_Eswatini.svg.png</t>
  </si>
  <si>
    <t>Ethiopia</t>
  </si>
  <si>
    <t>https://upload.wikimedia.org/wikipedia/commons/thumb/7/71/Flag_of_Ethiopia.svg/188px-Flag_of_Ethiopia.svg.png</t>
  </si>
  <si>
    <t>Gabon</t>
  </si>
  <si>
    <t>https://upload.wikimedia.org/wikipedia/commons/thumb/0/04/Flag_of_Gabon.svg/188px-Flag_of_Gabon.svg.png</t>
  </si>
  <si>
    <t>Georgia</t>
  </si>
  <si>
    <t>https://upload.wikimedia.org/wikipedia/commons/thumb/0/0f/Flag_of_Georgia.svg/188px-Flag_of_Georgia.svg.png</t>
  </si>
  <si>
    <t>Grenada</t>
  </si>
  <si>
    <t>https://upload.wikimedia.org/wikipedia/commons/thumb/b/bc/Flag_of_Grenada.svg/188px-Flag_of_Grenada.svg.png</t>
  </si>
  <si>
    <t>Guinea-Bissau</t>
  </si>
  <si>
    <t>https://upload.wikimedia.org/wikipedia/commons/thumb/0/01/Flag_of_Guinea-Bissau.svg/188px-Flag_of_Guinea-Bissau.svg.png</t>
  </si>
  <si>
    <t>Guyana</t>
  </si>
  <si>
    <t>https://upload.wikimedia.org/wikipedia/commons/thumb/9/99/Flag_of_Guyana.svg/188px-Flag_of_Guyana.svg.png</t>
  </si>
  <si>
    <t>Haiti</t>
  </si>
  <si>
    <t>https://upload.wikimedia.org/wikipedia/commons/thumb/5/56/Flag_of_Haiti.svg/188px-Flag_of_Haiti.svg.png</t>
  </si>
  <si>
    <t>Honduras</t>
  </si>
  <si>
    <t>https://upload.wikimedia.org/wikipedia/commons/thumb/8/82/Flag_of_Honduras.svg/188px-Flag_of_Honduras.svg.png</t>
  </si>
  <si>
    <t>Hong Kong</t>
  </si>
  <si>
    <t>https://upload.wikimedia.org/wikipedia/commons/thumb/5/5b/Flag_of_Hong_Kong.svg/188px-Flag_of_Hong_Kong.svg.png</t>
  </si>
  <si>
    <t>Iceland</t>
  </si>
  <si>
    <t>https://upload.wikimedia.org/wikipedia/commons/thumb/c/ce/Flag_of_Iceland.svg/188px-Flag_of_Iceland.svg.png</t>
  </si>
  <si>
    <t>Ireland</t>
  </si>
  <si>
    <t>https://upload.wikimedia.org/wikipedia/commons/thumb/4/45/Flag_of_Ireland.svg/195px-Flag_of_Ireland.svg.png</t>
  </si>
  <si>
    <t>Israel</t>
  </si>
  <si>
    <t>https://upload.wikimedia.org/wikipedia/commons/thumb/d/d4/Flag_of_Israel.svg/188px-Flag_of_Israel.svg.png</t>
  </si>
  <si>
    <t>Jamaica</t>
  </si>
  <si>
    <t>https://upload.wikimedia.org/wikipedia/commons/thumb/0/0a/Flag_of_Jamaica.svg/188px-Flag_of_Jamaica.svg.png</t>
  </si>
  <si>
    <t>Jordan</t>
  </si>
  <si>
    <t>https://upload.wikimedia.org/wikipedia/commons/thumb/c/c0/Flag_of_Jordan.svg/188px-Flag_of_Jordan.svg.png</t>
  </si>
  <si>
    <t>Kazakhstan</t>
  </si>
  <si>
    <t>https://upload.wikimedia.org/wikipedia/commons/thumb/0/04/Flag_of_Kazakhstan_%28President_of_Kazakhstan_website%29.svg/203px-Flag_of_Kazakhstan_%28President_of_Kazakhstan_website%29.svg.png</t>
  </si>
  <si>
    <t>Kiribati</t>
  </si>
  <si>
    <t>https://upload.wikimedia.org/wikipedia/commons/thumb/d/d3/Flag_of_Kiribati.svg/188px-Flag_of_Kiribati.svg.png</t>
  </si>
  <si>
    <t>Kosovo</t>
  </si>
  <si>
    <t>https://upload.wikimedia.org/wikipedia/commons/thumb/1/1f/Flag_of_Kosovo.svg/188px-Flag_of_Kosovo.svg.png</t>
  </si>
  <si>
    <t>Kyrgyzstan</t>
  </si>
  <si>
    <t>https://upload.wikimedia.org/wikipedia/commons/thumb/c/c7/Flag_of_Kyrgyzstan.svg/188px-Flag_of_Kyrgyzstan.svg.png</t>
  </si>
  <si>
    <t>Laos</t>
  </si>
  <si>
    <t>https://upload.wikimedia.org/wikipedia/commons/thumb/5/56/Flag_of_Laos.svg/188px-Flag_of_Laos.svg.png</t>
  </si>
  <si>
    <t>Latvia</t>
  </si>
  <si>
    <t>https://upload.wikimedia.org/wikipedia/commons/thumb/8/84/Flag_of_Latvia.svg/188px-Flag_of_Latvia.svg.png</t>
  </si>
  <si>
    <t>Lesotho</t>
  </si>
  <si>
    <t>https://upload.wikimedia.org/wikipedia/commons/thumb/4/4a/Flag_of_Lesotho.svg/188px-Flag_of_Lesotho.svg.png</t>
  </si>
  <si>
    <t>Liechtenstein</t>
  </si>
  <si>
    <t>https://upload.wikimedia.org/wikipedia/commons/thumb/4/47/Flag_of_Liechtenstein.svg/188px-Flag_of_Liechtenstein.svg.png</t>
  </si>
  <si>
    <t>Lithuania</t>
  </si>
  <si>
    <t>https://upload.wikimedia.org/wikipedia/commons/thumb/1/11/Flag_of_Lithuania.svg/188px-Flag_of_Lithuania.svg.png</t>
  </si>
  <si>
    <t>Luxembourg</t>
  </si>
  <si>
    <t>https://upload.wikimedia.org/wikipedia/commons/thumb/d/da/Flag_of_Luxembourg.svg/188px-Flag_of_Luxembourg.svg.png</t>
  </si>
  <si>
    <t>Macedonia</t>
  </si>
  <si>
    <t>https://upload.wikimedia.org/wikipedia/commons/thumb/7/79/Flag_of_North_Macedonia.svg/188px-Flag_of_North_Macedonia.svg.png</t>
  </si>
  <si>
    <t>Madagascar</t>
  </si>
  <si>
    <t>https://upload.wikimedia.org/wikipedia/commons/thumb/b/bc/Flag_of_Madagascar.svg/188px-Flag_of_Madagascar.svg.png</t>
  </si>
  <si>
    <t>Malawi</t>
  </si>
  <si>
    <t>https://upload.wikimedia.org/wikipedia/commons/thumb/d/d1/Flag_of_Malawi.svg/188px-Flag_of_Malawi.svg.png</t>
  </si>
  <si>
    <t>Malta</t>
  </si>
  <si>
    <t>https://upload.wikimedia.org/wikipedia/commons/thumb/7/73/Flag_of_Malta.svg/188px-Flag_of_Malta.svg.png</t>
  </si>
  <si>
    <t>Marshall Islands</t>
  </si>
  <si>
    <t>https://upload.wikimedia.org/wikipedia/commons/thumb/2/2e/Flag_of_the_Marshall_Islands.svg/188px-Flag_of_the_Marshall_Islands.svg.png</t>
  </si>
  <si>
    <t>Mauritania</t>
  </si>
  <si>
    <t>https://upload.wikimedia.org/wikipedia/commons/thumb/4/43/Flag_of_Mauritania.svg/188px-Flag_of_Mauritania.svg.png</t>
  </si>
  <si>
    <t>Mauritius</t>
  </si>
  <si>
    <t>https://upload.wikimedia.org/wikipedia/commons/thumb/7/77/Flag_of_Mauritius.svg/188px-Flag_of_Mauritius.svg.png</t>
  </si>
  <si>
    <t>Micronesia</t>
  </si>
  <si>
    <t>https://upload.wikimedia.org/wikipedia/commons/thumb/e/e4/Flag_of_the_Federated_States_of_Micronesia.svg/188px-Flag_of_the_Federated_States_of_Micronesia.svg.png</t>
  </si>
  <si>
    <t>Monaco</t>
  </si>
  <si>
    <t>https://upload.wikimedia.org/wikipedia/commons/thumb/e/ea/Flag_of_Monaco.svg/180px-Flag_of_Monaco.svg.png</t>
  </si>
  <si>
    <t>Mongolia</t>
  </si>
  <si>
    <t>https://upload.wikimedia.org/wikipedia/commons/thumb/4/4c/Flag_of_Mongolia.svg/188px-Flag_of_Mongolia.svg.png</t>
  </si>
  <si>
    <t>Montenegro</t>
  </si>
  <si>
    <t>https://upload.wikimedia.org/wikipedia/commons/thumb/6/64/Flag_of_Montenegro.svg/188px-Flag_of_Montenegro.svg.png</t>
  </si>
  <si>
    <t>Mozambique</t>
  </si>
  <si>
    <t>https://upload.wikimedia.org/wikipedia/commons/thumb/d/d0/Flag_of_Mozambique.svg/188px-Flag_of_Mozambique.svg.png</t>
  </si>
  <si>
    <t>Myanmar</t>
  </si>
  <si>
    <t>https://upload.wikimedia.org/wikipedia/commons/thumb/8/8c/Flag_of_Myanmar.svg/188px-Flag_of_Myanmar.svg.png</t>
  </si>
  <si>
    <t>Namibia</t>
  </si>
  <si>
    <t>https://upload.wikimedia.org/wikipedia/commons/thumb/0/00/Flag_of_Namibia.svg/188px-Flag_of_Namibia.svg.png</t>
  </si>
  <si>
    <t>Nauru</t>
  </si>
  <si>
    <t>https://upload.wikimedia.org/wikipedia/commons/thumb/3/30/Flag_of_Nauru.svg/188px-Flag_of_Nauru.svg.png</t>
  </si>
  <si>
    <t>Nepal</t>
  </si>
  <si>
    <t>https://upload.wikimedia.org/wikipedia/commons/thumb/9/9b/Flag_of_Nepal.svg/143px-Flag_of_Nepal.svg.png</t>
  </si>
  <si>
    <t>Niger</t>
  </si>
  <si>
    <t>https://upload.wikimedia.org/wikipedia/commons/thumb/f/f4/Flag_of_Niger.svg/150px-Flag_of_Niger.svg.png</t>
  </si>
  <si>
    <t>North Korea</t>
  </si>
  <si>
    <t>https://upload.wikimedia.org/wikipedia/commons/thumb/5/51/Flag_of_North_Korea.svg/188px-Flag_of_North_Korea.svg.png</t>
  </si>
  <si>
    <t>Oman</t>
  </si>
  <si>
    <t>https://upload.wikimedia.org/wikipedia/commons/thumb/d/dd/Flag_of_Oman.svg/188px-Flag_of_Oman.svg.png</t>
  </si>
  <si>
    <t>Palau</t>
  </si>
  <si>
    <t>https://upload.wikimedia.org/wikipedia/commons/thumb/4/48/Flag_of_Palau.svg/188px-Flag_of_Palau.svg.png</t>
  </si>
  <si>
    <t>Panama</t>
  </si>
  <si>
    <t>https://upload.wikimedia.org/wikipedia/commons/thumb/a/ab/Flag_of_Panama.svg/188px-Flag_of_Panama.svg.png</t>
  </si>
  <si>
    <t>Papua New Guinea</t>
  </si>
  <si>
    <t>https://upload.wikimedia.org/wikipedia/commons/thumb/e/e3/Flag_of_Papua_New_Guinea.svg/188px-Flag_of_Papua_New_Guinea.svg.png</t>
  </si>
  <si>
    <t>Paraguay</t>
  </si>
  <si>
    <t>https://upload.wikimedia.org/wikipedia/commons/thumb/2/27/Flag_of_Paraguay.svg/188px-Flag_of_Paraguay.svg.png</t>
  </si>
  <si>
    <t>Philippines</t>
  </si>
  <si>
    <t>https://upload.wikimedia.org/wikipedia/commons/thumb/9/99/Flag_of_the_Philippines.svg/195px-Flag_of_the_Philippines.svg.png</t>
  </si>
  <si>
    <t>Qatar</t>
  </si>
  <si>
    <t>https://upload.wikimedia.org/wikipedia/commons/thumb/6/65/Flag_of_Qatar.svg/203px-Flag_of_Qatar.svg.png</t>
  </si>
  <si>
    <t>Russia</t>
  </si>
  <si>
    <t>https://upload.wikimedia.org/wikipedia/en/thumb/f/f3/Flag_of_Russia.svg/1920px-Flag_of_Russia.svg.png</t>
  </si>
  <si>
    <t>Rwanda</t>
  </si>
  <si>
    <t>https://upload.wikimedia.org/wikipedia/commons/thumb/1/17/Flag_of_Rwanda.svg/188px-Flag_of_Rwanda.svg.png</t>
  </si>
  <si>
    <t>Saint Kitts and Nevis</t>
  </si>
  <si>
    <t>https://upload.wikimedia.org/wikipedia/commons/thumb/f/fe/Flag_of_Saint_Kitts_and_Nevis.svg/188px-Flag_of_Saint_Kitts_and_Nevis.svg.png</t>
  </si>
  <si>
    <t>Saint Vincent and Grenadines</t>
  </si>
  <si>
    <t>https://upload.wikimedia.org/wikipedia/commons/thumb/6/6d/Flag_of_Saint_Vincent_and_the_Grenadines.svg/188px-Flag_of_Saint_Vincent_and_the_Grenadines.svg.png</t>
  </si>
  <si>
    <t>Samoa</t>
  </si>
  <si>
    <t>https://upload.wikimedia.org/wikipedia/commons/thumb/3/31/Flag_of_Samoa.svg/188px-Flag_of_Samoa.svg.png</t>
  </si>
  <si>
    <t>San Marino</t>
  </si>
  <si>
    <t>https://upload.wikimedia.org/wikipedia/commons/thumb/b/b1/Flag_of_San_Marino.svg/188px-Flag_of_San_Marino.svg.png</t>
  </si>
  <si>
    <t>São Tomé</t>
  </si>
  <si>
    <t>https://upload.wikimedia.org/wikipedia/commons/thumb/0/0a/Flag_of_S%C3%A3o_Tom%C3%A9_and_Pr%C3%ADncipe.svg/188px-Flag_of_S%C3%A3o_Tom%C3%A9_and_Pr%C3%ADncipe.svg.png</t>
  </si>
  <si>
    <t>Senegal</t>
  </si>
  <si>
    <t>https://upload.wikimedia.org/wikipedia/commons/thumb/f/fd/Flag_of_Senegal.svg/188px-Flag_of_Senegal.svg.png</t>
  </si>
  <si>
    <t>Serbia</t>
  </si>
  <si>
    <t>https://upload.wikimedia.org/wikipedia/commons/thumb/f/ff/Flag_of_Serbia.svg/188px-Flag_of_Serbia.svg.png</t>
  </si>
  <si>
    <t>Seychelles</t>
  </si>
  <si>
    <t>https://upload.wikimedia.org/wikipedia/commons/thumb/f/fc/Flag_of_Seychelles.svg/188px-Flag_of_Seychelles.svg.png</t>
  </si>
  <si>
    <t>Slovenia</t>
  </si>
  <si>
    <t>https://upload.wikimedia.org/wikipedia/commons/thumb/f/f0/Flag_of_Slovenia.svg/188px-Flag_of_Slovenia.svg.png</t>
  </si>
  <si>
    <t>Solomon Islands</t>
  </si>
  <si>
    <t>https://upload.wikimedia.org/wikipedia/commons/thumb/7/74/Flag_of_the_Solomon_Islands.svg/188px-Flag_of_the_Solomon_Islands.svg.png</t>
  </si>
  <si>
    <t>Somalia</t>
  </si>
  <si>
    <t>https://upload.wikimedia.org/wikipedia/commons/thumb/a/a0/Flag_of_Somalia.svg/188px-Flag_of_Somalia.svg.png</t>
  </si>
  <si>
    <t>South Korea</t>
  </si>
  <si>
    <t>https://upload.wikimedia.org/wikipedia/commons/thumb/0/09/Flag_of_South_Korea.svg/188px-Flag_of_South_Korea.svg.png</t>
  </si>
  <si>
    <t>Sri Lanka</t>
  </si>
  <si>
    <t>https://upload.wikimedia.org/wikipedia/commons/thumb/1/11/Flag_of_Sri_Lanka.svg/188px-Flag_of_Sri_Lanka.svg.png</t>
  </si>
  <si>
    <t>Sudan</t>
  </si>
  <si>
    <t>https://upload.wikimedia.org/wikipedia/commons/thumb/0/01/Flag_of_Sudan.svg/188px-Flag_of_Sudan.svg.png</t>
  </si>
  <si>
    <t>Suriname</t>
  </si>
  <si>
    <t>https://upload.wikimedia.org/wikipedia/commons/thumb/6/60/Flag_of_Suriname.svg/188px-Flag_of_Suriname.svg.png</t>
  </si>
  <si>
    <t>Syria</t>
  </si>
  <si>
    <t>https://upload.wikimedia.org/wikipedia/commons/thumb/5/53/Flag_of_Syria.svg/188px-Flag_of_Syria.svg.png</t>
  </si>
  <si>
    <t>Tajikistan</t>
  </si>
  <si>
    <t>https://upload.wikimedia.org/wikipedia/commons/thumb/d/d0/Flag_of_Tajikistan.svg/188px-Flag_of_Tajikistan.svg.png</t>
  </si>
  <si>
    <t>Tanzania</t>
  </si>
  <si>
    <t>https://upload.wikimedia.org/wikipedia/commons/thumb/3/38/Flag_of_Tanzania.svg/188px-Flag_of_Tanzania.svg.png</t>
  </si>
  <si>
    <t>Togo</t>
  </si>
  <si>
    <t>https://upload.wikimedia.org/wikipedia/commons/thumb/6/68/Flag_of_Togo.svg/188px-Flag_of_Togo.svg.png</t>
  </si>
  <si>
    <t>Tonga</t>
  </si>
  <si>
    <t>https://upload.wikimedia.org/wikipedia/commons/thumb/9/9a/Flag_of_Tonga.svg/188px-Flag_of_Tonga.svg.png</t>
  </si>
  <si>
    <t>Turkey</t>
  </si>
  <si>
    <t>https://upload.wikimedia.org/wikipedia/commons/thumb/b/b4/Flag_of_Turkey.svg/188px-Flag_of_Turkey.svg.png</t>
  </si>
  <si>
    <t>Turkmenistan</t>
  </si>
  <si>
    <t>https://upload.wikimedia.org/wikipedia/commons/thumb/1/1b/Flag_of_Turkmenistan.svg/180px-Flag_of_Turkmenistan.svg.png</t>
  </si>
  <si>
    <t>Tuvalu</t>
  </si>
  <si>
    <t>https://upload.wikimedia.org/wikipedia/commons/thumb/3/38/Flag_of_Tuvalu.svg/188px-Flag_of_Tuvalu.svg.png</t>
  </si>
  <si>
    <t>Uganda</t>
  </si>
  <si>
    <t>https://upload.wikimedia.org/wikipedia/commons/thumb/4/4e/Flag_of_Uganda.svg/188px-Flag_of_Uganda.svg.png</t>
  </si>
  <si>
    <t>Ukraine</t>
  </si>
  <si>
    <t>https://upload.wikimedia.org/wikipedia/commons/thumb/4/49/Flag_of_Ukraine.svg/188px-Flag_of_Ukraine.svg.png</t>
  </si>
  <si>
    <t>Vanuatu</t>
  </si>
  <si>
    <t>https://upload.wikimedia.org/wikipedia/commons/thumb/b/bc/Flag_of_Vanuatu.svg/188px-Flag_of_Vanuatu.svg.png</t>
  </si>
  <si>
    <t>Vietnam</t>
  </si>
  <si>
    <t>https://upload.wikimedia.org/wikipedia/commons/thumb/2/21/Flag_of_Vietnam.svg/188px-Flag_of_Vietnam.svg.png</t>
  </si>
  <si>
    <t>Virgin Islands</t>
  </si>
  <si>
    <t>https://upload.wikimedia.org/wikipedia/commons/thumb/f/f8/Flag_of_the_United_States_Virgin_Islands.svg/188px-Flag_of_the_United_States_Virgin_Islands.svg.png</t>
  </si>
  <si>
    <t>Yemen</t>
  </si>
  <si>
    <t>https://upload.wikimedia.org/wikipedia/commons/thumb/8/89/Flag_of_Yemen.svg/188px-Flag_of_Yemen.svg.png</t>
  </si>
  <si>
    <t>Zambia</t>
  </si>
  <si>
    <t>https://upload.wikimedia.org/wikipedia/commons/thumb/0/06/Flag_of_Zambia.svg/188px-Flag_of_Zambia.svg.png</t>
  </si>
  <si>
    <t>Zimbabwe</t>
  </si>
  <si>
    <t>https://upload.wikimedia.org/wikipedia/commons/thumb/6/6a/Flag_of_Zimbabwe.svg/188px-Flag_of_Zimbabwe.svg.png</t>
  </si>
  <si>
    <t>Total Countries</t>
  </si>
  <si>
    <t>Event</t>
  </si>
  <si>
    <t>Quotas Avaliable</t>
  </si>
  <si>
    <t>Check</t>
  </si>
  <si>
    <t>Quotas Missing</t>
  </si>
  <si>
    <t>Percentage Missing</t>
  </si>
  <si>
    <t>Archery Quotas</t>
  </si>
  <si>
    <t>Artistic Swimming Quotas</t>
  </si>
  <si>
    <t>Cross-Country Skiing - Men's Classical</t>
  </si>
  <si>
    <t>Athletics Quotas</t>
  </si>
  <si>
    <t>Cross-Country Skiing - Women's Classical</t>
  </si>
  <si>
    <t>Badminton Quotas</t>
  </si>
  <si>
    <t>Basketball Quotas</t>
  </si>
  <si>
    <t>Basketball 3x3 Quotas</t>
  </si>
  <si>
    <t>Breaking Quotas</t>
  </si>
  <si>
    <t>Boxing Quotas</t>
  </si>
  <si>
    <t>Canoeing Quotas</t>
  </si>
  <si>
    <t>Cycling - BMX Quotas</t>
  </si>
  <si>
    <t>Cycling - Mountain Bike Quotas</t>
  </si>
  <si>
    <t>Cycling Quotas</t>
  </si>
  <si>
    <t>Diving Quotas</t>
  </si>
  <si>
    <t>Equestrian Quotas</t>
  </si>
  <si>
    <t>Fencing Quotas</t>
  </si>
  <si>
    <t>Field Hockey Quotas</t>
  </si>
  <si>
    <t>Football Quotas</t>
  </si>
  <si>
    <t>Golf Quotas</t>
  </si>
  <si>
    <t>Gymnastics Quotas</t>
  </si>
  <si>
    <t>Handball Quotas</t>
  </si>
  <si>
    <t>Judo Quotas</t>
  </si>
  <si>
    <t>Modern Pentathlon Quotas</t>
  </si>
  <si>
    <t>Rhytmic Gymnastics Quotas</t>
  </si>
  <si>
    <t>Rowing Quotas</t>
  </si>
  <si>
    <t>Rugby Sevens Quotas</t>
  </si>
  <si>
    <t>Sailing Quotas</t>
  </si>
  <si>
    <t>Cross-Country Skiing - Men's Skiathlon</t>
  </si>
  <si>
    <t>Shooting Quotas</t>
  </si>
  <si>
    <t>Skateboarding Quotas</t>
  </si>
  <si>
    <t>Sport Climbing Quotas</t>
  </si>
  <si>
    <t>Surfing Quotas</t>
  </si>
  <si>
    <t>Swimming Quotas</t>
  </si>
  <si>
    <t>Table Tennis Quotas</t>
  </si>
  <si>
    <t>Taekwondo Quotas</t>
  </si>
  <si>
    <t>Tennis Quotas</t>
  </si>
  <si>
    <t>Triathlon Quotas</t>
  </si>
  <si>
    <t>Beach Volleyball Quotas</t>
  </si>
  <si>
    <t>Cross-Country Skiing - Women's Skiathlon</t>
  </si>
  <si>
    <t>Volleyball Quotas</t>
  </si>
  <si>
    <t>Water Polo Quotas</t>
  </si>
  <si>
    <t>Weightlifting Quotas</t>
  </si>
  <si>
    <t>Cross-Country Skiing - Women's Freestyle</t>
  </si>
  <si>
    <t>Wrestling Quotas</t>
  </si>
  <si>
    <t>Alpine Skiing Quotas</t>
  </si>
  <si>
    <t>Cross-Country Skiing - Men's Freestyle</t>
  </si>
  <si>
    <t>Biathlon Quotas</t>
  </si>
  <si>
    <t>Bobsleigh Quotas</t>
  </si>
  <si>
    <t>Cross-Country Skiing  Quotas</t>
  </si>
  <si>
    <t>Curling Quotas</t>
  </si>
  <si>
    <t>Figure Skating Quotas</t>
  </si>
  <si>
    <t>Freestyle Skiing Quotas</t>
  </si>
  <si>
    <t>Ice Hockey Quotas</t>
  </si>
  <si>
    <t>Luge Quotas</t>
  </si>
  <si>
    <t>Nordic Combined Quotas</t>
  </si>
  <si>
    <t>Short Track Speed Skating Quotas</t>
  </si>
  <si>
    <t>Skeleton Quotas</t>
  </si>
  <si>
    <t>Ski Jumping Quotas</t>
  </si>
  <si>
    <t>Snowboarding Quotas</t>
  </si>
  <si>
    <t>Speed Skating Quotas</t>
  </si>
  <si>
    <t>Short Track Speed Skating - Women's 1500m</t>
  </si>
  <si>
    <t>Short Track Speed Skating - Men's 1500m</t>
  </si>
  <si>
    <t>Short Track Speed Skating - Women's 500m</t>
  </si>
  <si>
    <t>Short Track Speed Skating - Women's 1000m</t>
  </si>
  <si>
    <t>Short Track Speed Skating - Men's 1000m</t>
  </si>
  <si>
    <t>Short Track Speed Skating - Men's 500m</t>
  </si>
  <si>
    <t>Cross-Country Skiing - Women's Relay</t>
  </si>
  <si>
    <t>Cross-Country Skiing - Men's Relay</t>
  </si>
  <si>
    <t>Short Track Speed Skating - Mixed 2000m Relay</t>
  </si>
  <si>
    <t>Short Track Speed Skating - Women's 3000m Relay</t>
  </si>
  <si>
    <t>Short Track Speed Skating - Men's 5000m Relay</t>
  </si>
  <si>
    <t>Artistic Gymnastics Quotas</t>
  </si>
  <si>
    <t>Canoeing Slalom Quotas</t>
  </si>
  <si>
    <t>Canoeing Sprint Quotas</t>
  </si>
  <si>
    <t>Cycling BMX Freestyle Quotas</t>
  </si>
  <si>
    <t>Cycling BMX Racing Quotas</t>
  </si>
  <si>
    <t>Cycling Mountain Bike Quotas</t>
  </si>
  <si>
    <t>Cycling Road Quotas</t>
  </si>
  <si>
    <t>Cycling Track Quotas</t>
  </si>
  <si>
    <t>Marathon Swimming Quotas</t>
  </si>
  <si>
    <t>Trampolining Quotas</t>
  </si>
  <si>
    <t>Cross Country Skiing Quotas</t>
  </si>
  <si>
    <t>Max Quotas</t>
  </si>
  <si>
    <t>Different Sports</t>
  </si>
  <si>
    <t>Flag Link</t>
  </si>
  <si>
    <t>Athlete</t>
  </si>
  <si>
    <t>Pair</t>
  </si>
  <si>
    <t>Team</t>
  </si>
  <si>
    <t>Guards</t>
  </si>
  <si>
    <t>Forwards</t>
  </si>
  <si>
    <t>Centers</t>
  </si>
  <si>
    <t>Goalkeepers</t>
  </si>
  <si>
    <t>Defenders</t>
  </si>
  <si>
    <t>Midfielders</t>
  </si>
  <si>
    <t>Wingmans</t>
  </si>
  <si>
    <t>Centre Backcourts</t>
  </si>
  <si>
    <t>Left/Right Backcourts</t>
  </si>
  <si>
    <t>Pivots</t>
  </si>
  <si>
    <t>Setters</t>
  </si>
  <si>
    <t>Liberos</t>
  </si>
  <si>
    <t>Outside Hitters</t>
  </si>
  <si>
    <t>Opposite Spikers</t>
  </si>
  <si>
    <t>Middle Blockers</t>
  </si>
  <si>
    <t>Centre Backs</t>
  </si>
  <si>
    <t>Center Forwards</t>
  </si>
  <si>
    <t>Goalies</t>
  </si>
  <si>
    <t>Alpine Skiing - Men's Team Combined</t>
  </si>
  <si>
    <t>Alpine Skiing - Women's Team Combined</t>
  </si>
  <si>
    <t>Freestyle Skiing - Men's Dual Moguls</t>
  </si>
  <si>
    <t>Freestyle Skiing - Women's Dual Moguls</t>
  </si>
  <si>
    <t>Skeleton - Mixed Team</t>
  </si>
  <si>
    <t>Luge - Men's Doubles</t>
  </si>
  <si>
    <t>Luge - Women's Doubles</t>
  </si>
  <si>
    <t>Ski Mountaineering - Men's Sprint</t>
  </si>
  <si>
    <t>Ski Mountaineering - Women's Sprint</t>
  </si>
  <si>
    <t>Ski Mountaineering - Mixed Relay</t>
  </si>
  <si>
    <t>Ski Mountaineering Quotas</t>
  </si>
  <si>
    <t>Balance Beam Classification</t>
  </si>
  <si>
    <t>All-Around Classification</t>
  </si>
  <si>
    <t>Uneven Bars Classification</t>
  </si>
  <si>
    <t>Vault Classification</t>
  </si>
  <si>
    <t>Road Race Classification</t>
  </si>
  <si>
    <t>Time-Trial Classification</t>
  </si>
  <si>
    <t>48kg Classification</t>
  </si>
  <si>
    <t>52kg Classification</t>
  </si>
  <si>
    <t>57kg Classification</t>
  </si>
  <si>
    <t>63kg Classification</t>
  </si>
  <si>
    <t>70kg Classification</t>
  </si>
  <si>
    <t>78kg Classification</t>
  </si>
  <si>
    <t>Plus 78kg Classification</t>
  </si>
  <si>
    <t>Horizontal Bar Classification</t>
  </si>
  <si>
    <t>Parallel Bars Classification</t>
  </si>
  <si>
    <t>Rings Classification</t>
  </si>
  <si>
    <t>51kg Classification</t>
  </si>
  <si>
    <t>63.5kg Classification</t>
  </si>
  <si>
    <t>71kg Classification</t>
  </si>
  <si>
    <t>80kg Classification</t>
  </si>
  <si>
    <t>Women's C2 500m Classification</t>
  </si>
  <si>
    <t>Men's C2 500m Classification</t>
  </si>
  <si>
    <t>Women's K2 500m Classification</t>
  </si>
  <si>
    <t>Men's K2 500m Classification</t>
  </si>
  <si>
    <t>10m Air Pistol Classification</t>
  </si>
  <si>
    <t>10m Air Rifle Classification</t>
  </si>
  <si>
    <t>25m Rapid Fire Pistol Classification</t>
  </si>
  <si>
    <t>50m Rifle 3 Positions Classification</t>
  </si>
  <si>
    <t>Skeet Classification</t>
  </si>
  <si>
    <t>Trap Classification</t>
  </si>
  <si>
    <t>49kg Classification</t>
  </si>
  <si>
    <t>59kg Classification</t>
  </si>
  <si>
    <t>81kg Classification</t>
  </si>
  <si>
    <t>Plus 81kg Classification</t>
  </si>
  <si>
    <t>Single Sculls Classification</t>
  </si>
  <si>
    <t>Classification</t>
  </si>
  <si>
    <t>Men's Classification</t>
  </si>
  <si>
    <t>Women's Classification</t>
  </si>
  <si>
    <t>C1 Slalom Classification</t>
  </si>
  <si>
    <t>K1 Slalom Classification</t>
  </si>
  <si>
    <t>C1 1000m Classification</t>
  </si>
  <si>
    <t>K1 1000m Classification</t>
  </si>
  <si>
    <t>C1 200m Classification</t>
  </si>
  <si>
    <t>K1 500m Classification</t>
  </si>
  <si>
    <t>Freestyle Classification</t>
  </si>
  <si>
    <t>Dressage Classification</t>
  </si>
  <si>
    <t>Eventing Classification</t>
  </si>
  <si>
    <t>Jumping Classification</t>
  </si>
  <si>
    <t>60kg Classification</t>
  </si>
  <si>
    <t>66kg Classification</t>
  </si>
  <si>
    <t>73kg Classification</t>
  </si>
  <si>
    <t>90kg Classification</t>
  </si>
  <si>
    <t>100kg Classification</t>
  </si>
  <si>
    <t>Plus 100kg Classification</t>
  </si>
  <si>
    <t>Formula Kite Classification</t>
  </si>
  <si>
    <t>ILCA 7 Classification</t>
  </si>
  <si>
    <t>IQFoil Classification</t>
  </si>
  <si>
    <t>ILCA 6 Classification</t>
  </si>
  <si>
    <t>Men's 49er Classification</t>
  </si>
  <si>
    <t>Women's 49er FX Classification</t>
  </si>
  <si>
    <t>Mixed 470 Classification</t>
  </si>
  <si>
    <t>25m Pistol Classification</t>
  </si>
  <si>
    <t>Street Classification</t>
  </si>
  <si>
    <t>Park Classification</t>
  </si>
  <si>
    <t>58kg Classification</t>
  </si>
  <si>
    <t>68kg Classification</t>
  </si>
  <si>
    <t>Plus 80kg Classification</t>
  </si>
  <si>
    <t>67kg Classification</t>
  </si>
  <si>
    <t>Plus 67kg Classification</t>
  </si>
  <si>
    <t>61kg Classification</t>
  </si>
  <si>
    <t>89kg Classification</t>
  </si>
  <si>
    <t>102kg Classification</t>
  </si>
  <si>
    <t>Plus 102kg Classification</t>
  </si>
  <si>
    <t>Men's All-Around Classification</t>
  </si>
  <si>
    <t>Women's All-Around Classification</t>
  </si>
  <si>
    <t>100m Classification</t>
  </si>
  <si>
    <t>200m Classification</t>
  </si>
  <si>
    <t>400m Classification</t>
  </si>
  <si>
    <t>800m Classification</t>
  </si>
  <si>
    <t>1500m Classification</t>
  </si>
  <si>
    <t>5000m Classification</t>
  </si>
  <si>
    <t>10000m Classification</t>
  </si>
  <si>
    <t>100m Hurdles Classification</t>
  </si>
  <si>
    <t>400m Hurdles Classification</t>
  </si>
  <si>
    <t>3000m Steeplechase Classification</t>
  </si>
  <si>
    <t>Marathon Classification</t>
  </si>
  <si>
    <t>Discus Throw Classification</t>
  </si>
  <si>
    <t>Hammer Throw Classification</t>
  </si>
  <si>
    <t>High Jump Classification</t>
  </si>
  <si>
    <t>Javelin Throw Classification</t>
  </si>
  <si>
    <t>Long Jump Classification</t>
  </si>
  <si>
    <t>Pole Vault Classification</t>
  </si>
  <si>
    <t>Shot Put Classification</t>
  </si>
  <si>
    <t>Triple Jump Classification</t>
  </si>
  <si>
    <t>Heptathlon Classification</t>
  </si>
  <si>
    <t>110m Hurdles Classification</t>
  </si>
  <si>
    <t>Decathlon Classification</t>
  </si>
  <si>
    <t>50m Freestyle Classification</t>
  </si>
  <si>
    <t>100m Freestyle Classification</t>
  </si>
  <si>
    <t>200m Freestyle Classification</t>
  </si>
  <si>
    <t>400m Freestyle Classification</t>
  </si>
  <si>
    <t>800m Freestyle Classification</t>
  </si>
  <si>
    <t>1500m Freestyle Classification</t>
  </si>
  <si>
    <t>100m Backstroke Classification</t>
  </si>
  <si>
    <t>200m Backstroke Classification</t>
  </si>
  <si>
    <t>100m Breaststroke Classification</t>
  </si>
  <si>
    <t>200m Breaststroke Classification</t>
  </si>
  <si>
    <t>100m Butterfly Classification</t>
  </si>
  <si>
    <t>200m Butterfly Classification</t>
  </si>
  <si>
    <t>200m Medley Classification</t>
  </si>
  <si>
    <t>400m Medley Classification</t>
  </si>
  <si>
    <t>Women's Madison Classification</t>
  </si>
  <si>
    <t>Men's Madison Classification</t>
  </si>
  <si>
    <t>Keirin Classification</t>
  </si>
  <si>
    <t>Omnium Classification</t>
  </si>
  <si>
    <t>Sprint Classification</t>
  </si>
  <si>
    <t>Men's K4 500m Classification</t>
  </si>
  <si>
    <t>Women's K4 500m Classification</t>
  </si>
  <si>
    <t>Épée Classification</t>
  </si>
  <si>
    <t>Foil Classification</t>
  </si>
  <si>
    <t>Sabre Classification</t>
  </si>
  <si>
    <t>Men's Double Sculls Classification</t>
  </si>
  <si>
    <t>Women's Double Sculls Classification</t>
  </si>
  <si>
    <t>Men's Lwt. Double Sculls Classification</t>
  </si>
  <si>
    <t>Women's Lwt. Double Sculls Classification</t>
  </si>
  <si>
    <t>Freestyle 57kg Classification</t>
  </si>
  <si>
    <t>Freestyle 65kg Classification</t>
  </si>
  <si>
    <t>Freestyle 74kg Classification</t>
  </si>
  <si>
    <t>Freestyle 86kg Classification</t>
  </si>
  <si>
    <t>Freestyle 97kg Classification</t>
  </si>
  <si>
    <t>Freestyle 125kg Classification</t>
  </si>
  <si>
    <t>Greco-Roman 60kg Classification</t>
  </si>
  <si>
    <t>Greco-Roman 67kg Classification</t>
  </si>
  <si>
    <t>Greco-Roman 77kg Classification</t>
  </si>
  <si>
    <t>Greco-Roman 87kg Classification</t>
  </si>
  <si>
    <t>Greco-Roman 97kg Classification</t>
  </si>
  <si>
    <t>Greco-Roman 130kg Classification</t>
  </si>
  <si>
    <t>50kg Classification</t>
  </si>
  <si>
    <t>54kg Classification</t>
  </si>
  <si>
    <t>75kg Classification</t>
  </si>
  <si>
    <t>Men's Quadruple Sculls Classification</t>
  </si>
  <si>
    <t>Women's Quadruple Sculls Classification</t>
  </si>
  <si>
    <t>Speed Classification</t>
  </si>
  <si>
    <t>53kg Classification</t>
  </si>
  <si>
    <t>62kg Classification</t>
  </si>
  <si>
    <t>76kg Classification</t>
  </si>
  <si>
    <t>Downhill Classification</t>
  </si>
  <si>
    <t>Giant Slalom Classification</t>
  </si>
  <si>
    <t>Slalom Classification</t>
  </si>
  <si>
    <t>Super-G Classification</t>
  </si>
  <si>
    <t>Individual Classification</t>
  </si>
  <si>
    <t>Mass Start Classification</t>
  </si>
  <si>
    <t>Pursuit Classification</t>
  </si>
  <si>
    <t>Mixed Classification</t>
  </si>
  <si>
    <t>Men's Relay Classification</t>
  </si>
  <si>
    <t>Women's Relay Classification</t>
  </si>
  <si>
    <t>Mixed Relay Classification</t>
  </si>
  <si>
    <t>Monobob Classification</t>
  </si>
  <si>
    <t>Classical Classification</t>
  </si>
  <si>
    <t>Skiathlon Classification</t>
  </si>
  <si>
    <t>Pair Skating Classification</t>
  </si>
  <si>
    <t>Ice Dance Classification</t>
  </si>
  <si>
    <t>Aerials Classification</t>
  </si>
  <si>
    <t>Big Air Classification</t>
  </si>
  <si>
    <t>Dual Moguls Classification</t>
  </si>
  <si>
    <t>Halfpipe Classification</t>
  </si>
  <si>
    <t>Moguls Classification</t>
  </si>
  <si>
    <t>Ski Cross Classification</t>
  </si>
  <si>
    <t>Slopestyle Classification</t>
  </si>
  <si>
    <t>Large Hill Classification</t>
  </si>
  <si>
    <t>Normal Hill Classification</t>
  </si>
  <si>
    <t>500m Classification</t>
  </si>
  <si>
    <t>1000m Classification</t>
  </si>
  <si>
    <t>Men's 5000m Relay Classification</t>
  </si>
  <si>
    <t>Women's 3000m Relay Classification</t>
  </si>
  <si>
    <t>Mixed 2000m Relay Classification</t>
  </si>
  <si>
    <t>Parallel Giant Slalom Classification</t>
  </si>
  <si>
    <t>Snowboard Cross Classification</t>
  </si>
  <si>
    <t>Men's Épée Classification</t>
  </si>
  <si>
    <t>Men's Foil Classification</t>
  </si>
  <si>
    <t>Men's Sabre Classification</t>
  </si>
  <si>
    <t>Women's Épée Classification</t>
  </si>
  <si>
    <t>Women's Foil Classification</t>
  </si>
  <si>
    <t>Women's Sabre Classification</t>
  </si>
  <si>
    <t>3000m Classification</t>
  </si>
  <si>
    <t>Backs</t>
  </si>
  <si>
    <t>Wingers</t>
  </si>
  <si>
    <t>3x3 Basketball - Men's Tournament</t>
  </si>
  <si>
    <t>Basketball - Men's Tournament</t>
  </si>
  <si>
    <t>Beach Volleyball - Men's Tournament</t>
  </si>
  <si>
    <t>Curling - Men's Tournament</t>
  </si>
  <si>
    <t>Field Hockey - Men's Tournament</t>
  </si>
  <si>
    <t>Football - Men's Tournament</t>
  </si>
  <si>
    <t>Handball - Men's Tournament</t>
  </si>
  <si>
    <t>Ice Hockey - Men's Tournament</t>
  </si>
  <si>
    <t>Rugby Sevens - Men's Tournament</t>
  </si>
  <si>
    <t>Surfing - Men's Shortboard</t>
  </si>
  <si>
    <t>Triathlon - Men's Individual</t>
  </si>
  <si>
    <t>Volleyball - Men's Tournament</t>
  </si>
  <si>
    <t>Water Polo - Men's Tournament</t>
  </si>
  <si>
    <t>Artistic Swimming - Women's Duet</t>
  </si>
  <si>
    <t>Artistic Swimming - Women's Team</t>
  </si>
  <si>
    <t>Athletics - Men's 4x100m Relay</t>
  </si>
  <si>
    <t>Athletics - Men's 4x400m Relay</t>
  </si>
  <si>
    <t>Athletics - Mixed 4x400m Relay</t>
  </si>
  <si>
    <t>Athletics - Women's 4x400m Relay</t>
  </si>
  <si>
    <t>Athletics - Women's 4x100m Relay</t>
  </si>
  <si>
    <t>Basketball - Women's Tournament</t>
  </si>
  <si>
    <t>3x3 Basketball - Women's Tournament</t>
  </si>
  <si>
    <t>Beach Volleyball - Women's Tournament</t>
  </si>
  <si>
    <t>Curling - Women's Tournament</t>
  </si>
  <si>
    <t>Field Hockey - Women's Tournament</t>
  </si>
  <si>
    <t>Football - Women's Tournament</t>
  </si>
  <si>
    <t>Handball - Women's Tournament</t>
  </si>
  <si>
    <t>Ice Hockey - Women's Tournament</t>
  </si>
  <si>
    <t>Golf - Women's Individual</t>
  </si>
  <si>
    <t>Modern Pentathlon - Women's Individual</t>
  </si>
  <si>
    <t>Rugby Sevens - Women's Tournament</t>
  </si>
  <si>
    <t>Skeleton - Women's Individual</t>
  </si>
  <si>
    <t>Surfing - Women's Shortboard</t>
  </si>
  <si>
    <t>Triathlon - Women's Individual</t>
  </si>
  <si>
    <t>Volleyball - Women's Tournament</t>
  </si>
  <si>
    <t>Water Polo - Women's Tournament</t>
  </si>
  <si>
    <t>Canoeing - Men's Kayak Cross Slalom</t>
  </si>
  <si>
    <t>Canoeing - Women's Kayak Cross Slalom</t>
  </si>
  <si>
    <t>Cycling - Men's Sprint</t>
  </si>
  <si>
    <t>Cycling - Women's Sprint</t>
  </si>
  <si>
    <t>Cycling - Men's Cross-Country</t>
  </si>
  <si>
    <t>Cycling - Women's Cross-Country</t>
  </si>
  <si>
    <t>Fencing - Men's Épée</t>
  </si>
  <si>
    <t>Fencing - Women's Épée</t>
  </si>
  <si>
    <t>Fencing - Men's Team Épée</t>
  </si>
  <si>
    <t>Fencing - Women's Team Épée</t>
  </si>
  <si>
    <t>Fencing - Men's Foil</t>
  </si>
  <si>
    <t>Fencing - Women's Foil</t>
  </si>
  <si>
    <t>Fencing - Men's Team Foil</t>
  </si>
  <si>
    <t>Fencing - Women's Team Foil</t>
  </si>
  <si>
    <t>Fencing - Men's Sabre</t>
  </si>
  <si>
    <t>Fencing - Women's Sabre</t>
  </si>
  <si>
    <t>Fencing - Men's Team Sabre</t>
  </si>
  <si>
    <t>Fencing - Women's Team Sabre</t>
  </si>
  <si>
    <t>Golf - Men's Individual</t>
  </si>
  <si>
    <t>Gymnastics - Men's Individual All-Around</t>
  </si>
  <si>
    <t>Gymnastics - Women's Individual All-Around</t>
  </si>
  <si>
    <t>Gymnastics - Men's Team All-Around</t>
  </si>
  <si>
    <t>Gymnastics - Women's Team All-Around</t>
  </si>
  <si>
    <t>Modern Pentathlon - Men's Individual</t>
  </si>
  <si>
    <t>Shooting - Mixed Skeet Team</t>
  </si>
  <si>
    <t>Shooting - Mixed 10m Air Rifle Team</t>
  </si>
  <si>
    <t>Shooting - Mixed 10m Air Pistol Team</t>
  </si>
  <si>
    <t>Swimming - Men's 200m Individual Medley</t>
  </si>
  <si>
    <t>Swimming - Women's 200m Individual Medley</t>
  </si>
  <si>
    <t>Swimming - Men's 400m Individual Medley</t>
  </si>
  <si>
    <t>Swimming - Women's 400m Individual Medley</t>
  </si>
  <si>
    <t>Swimming - Men's 4x100m Freestyle Relay</t>
  </si>
  <si>
    <t>Swimming - Women's 4x100m Freestyle Relay</t>
  </si>
  <si>
    <t>Swimming - Men's 4x200m Freestyle Relay</t>
  </si>
  <si>
    <t>Swimming - Women's 4x200m Freestyle Relay</t>
  </si>
  <si>
    <t>Swimming - Men's 4x100m Medley Relay</t>
  </si>
  <si>
    <t>Swimming - Women's 4x100m Medley Relay</t>
  </si>
  <si>
    <t>Swimming - Mixed 4x100m Medley Relay</t>
  </si>
  <si>
    <t>Figure Skating - Pair Skating</t>
  </si>
  <si>
    <t>Figure Skating - Team Event</t>
  </si>
  <si>
    <t>Freestyle Skiing - Mixed Team Aerials</t>
  </si>
  <si>
    <t>Luge - Mixed Team Relay</t>
  </si>
  <si>
    <t>Skeleton - Men's Individual</t>
  </si>
  <si>
    <t>Ski Jumping - Men's Individual Large Hill</t>
  </si>
  <si>
    <t>Ski Jumping - Men's Individual Normal Hill</t>
  </si>
  <si>
    <t>Ski Jumping - Women's Individual Large Hill</t>
  </si>
  <si>
    <t>Ski Jumping - Women's Individual Normal Hill</t>
  </si>
  <si>
    <t>Snowboarding - Mixed Team Snowboard Cross</t>
  </si>
  <si>
    <t>Rhythmic Gymnastics - Women's Individual All-Around</t>
  </si>
  <si>
    <t>Rhythmic Gymnastics - Women's Group All-Around</t>
  </si>
  <si>
    <t>Men's 4x100m Relay Classification</t>
  </si>
  <si>
    <t>Women's 4x100m Relay Classification</t>
  </si>
  <si>
    <t>Men's 4x400m Relay Classification</t>
  </si>
  <si>
    <t>Women's 4x400m Relay Classification</t>
  </si>
  <si>
    <t>Mixed 4x400m Relay Classification</t>
  </si>
  <si>
    <t>Kayak Cross Slalom Classification</t>
  </si>
  <si>
    <t>Mixed Nacra 17 Classification</t>
  </si>
  <si>
    <t>Men's 4x100m Freestyle Relay Classification</t>
  </si>
  <si>
    <t>Women's 4x100m Freestyle Relay Classification</t>
  </si>
  <si>
    <t>Men's 4x200m Freestyle Relay Classification</t>
  </si>
  <si>
    <t>Women's 4x200m Freestyle Relay Classification</t>
  </si>
  <si>
    <t>Men's 4x100m Medley Relay Classification</t>
  </si>
  <si>
    <t>Women's 4x100m Medley Relay Classification</t>
  </si>
  <si>
    <t>Mixed 4x100m Medley Relay Classification</t>
  </si>
  <si>
    <t>Gymnastics - Men's Floor Exercise</t>
  </si>
  <si>
    <t>Gymnastics - Women's Floor Exercise</t>
  </si>
  <si>
    <t>Floor Exercise Classification</t>
  </si>
  <si>
    <t>Athletics - Men's 20km Race Walk</t>
  </si>
  <si>
    <t>Athletics - Women's 20km Race Walk</t>
  </si>
  <si>
    <t>Athletics - Mixed Marathon Race Walk Relay</t>
  </si>
  <si>
    <t>Mixed Marathon Race Walk Relay Classification</t>
  </si>
  <si>
    <t>20km Race Walk Classification</t>
  </si>
  <si>
    <t>Breaking - Women's Individual</t>
  </si>
  <si>
    <t>Breaking - Men's Individual</t>
  </si>
  <si>
    <t>Cycling - Men's Team Sprint</t>
  </si>
  <si>
    <t>Cycling - Women's Team Sprint</t>
  </si>
  <si>
    <t>Men's Team Sprint Classification</t>
  </si>
  <si>
    <t>Women's Team Sprint Classification</t>
  </si>
  <si>
    <t>Diving - Men's Springboard</t>
  </si>
  <si>
    <t>Diving - Men's Platform</t>
  </si>
  <si>
    <t>Diving - Men's Synchronized Platform</t>
  </si>
  <si>
    <t>Diving - Men's Synchronized Springboard</t>
  </si>
  <si>
    <t>Diving - Women's Platform</t>
  </si>
  <si>
    <t>Diving - Women's Springboard</t>
  </si>
  <si>
    <t>Diving - Women's Synchronized Platform</t>
  </si>
  <si>
    <t>Diving - Women's Synchronized Springboard</t>
  </si>
  <si>
    <t>Springboard Classification</t>
  </si>
  <si>
    <t>Platform Classification</t>
  </si>
  <si>
    <t>Swimming - Men's 10km Open Water</t>
  </si>
  <si>
    <t>Swimming - Women's 10km Open Water</t>
  </si>
  <si>
    <t>10km Open Water Classification</t>
  </si>
  <si>
    <t>Rowing - Men's Coxless Fours</t>
  </si>
  <si>
    <t>Rowing - Men's Coxless Pairs</t>
  </si>
  <si>
    <t>Rowing - Women's Coxless Pairs</t>
  </si>
  <si>
    <t>Rowing - Women's Coxless Fours</t>
  </si>
  <si>
    <t>Rowing - Men's Eights</t>
  </si>
  <si>
    <t>Rowing - Women's Eights</t>
  </si>
  <si>
    <t>Men's Coxless Pairs Classification</t>
  </si>
  <si>
    <t>Women's Coxless Pairs Classification</t>
  </si>
  <si>
    <t>Men's Eights Classification</t>
  </si>
  <si>
    <t>Women's Eights Classification</t>
  </si>
  <si>
    <t>Men's Coxless Fours Classification</t>
  </si>
  <si>
    <t>Women's Coxless Fours Classification</t>
  </si>
  <si>
    <t>Cross-Country Skiing - Men's Team Sprint</t>
  </si>
  <si>
    <t>Cross-Country Skiing - Women's Sprint</t>
  </si>
  <si>
    <t>Cross-Country Skiing - Women's Team Sprint</t>
  </si>
  <si>
    <t>Cross-Country Skiing - Men's Sprint</t>
  </si>
  <si>
    <t>Cross-country skiing - Men's Sprint</t>
  </si>
  <si>
    <t>Cross-country skiing - Women's Sprint</t>
  </si>
  <si>
    <t>Cross-country skiing - Men's Team Sprint</t>
  </si>
  <si>
    <t>Cross-country skiing - Women's Team Sprint</t>
  </si>
  <si>
    <t>Nordic Combined - Men's Team Sprint Large Hill</t>
  </si>
  <si>
    <t>Ski Jumping - Men's Super Team</t>
  </si>
  <si>
    <t>Men's Super Team Classification</t>
  </si>
  <si>
    <t>Speed Skating - Men's 10000m</t>
  </si>
  <si>
    <t>Athletics - Men's 10000m</t>
  </si>
  <si>
    <t>Athletics - Women's 10000m</t>
  </si>
  <si>
    <t>Sport Climbing - Men's Boulder and Lead</t>
  </si>
  <si>
    <t>Sport Climbing - Women's Boulder and Lead</t>
  </si>
  <si>
    <t>Boulder and Lead Classification</t>
  </si>
  <si>
    <t>Men's Synchronized Springboard Classification</t>
  </si>
  <si>
    <t>Women's Synchronized Springboard Classification</t>
  </si>
  <si>
    <t>Men's Synchronized Platform Classification</t>
  </si>
  <si>
    <t>Women's Synchronized Platform Classification</t>
  </si>
  <si>
    <t>Mixed Normal Hill Classification</t>
  </si>
  <si>
    <t>Missing Athletes</t>
  </si>
  <si>
    <t>Total Athletes</t>
  </si>
  <si>
    <t>Plus 92kg Classification</t>
  </si>
  <si>
    <t>92kg Classification</t>
  </si>
  <si>
    <t>Summer Sports</t>
  </si>
  <si>
    <t>Winter Sports</t>
  </si>
  <si>
    <t>Equestrian Dressage Quotas</t>
  </si>
  <si>
    <t>Equestrian Eventing Quotas</t>
  </si>
  <si>
    <t>Equestrian Jumping Quotas</t>
  </si>
  <si>
    <t>Mixed Team Snowboard Cross Classification</t>
  </si>
  <si>
    <t>Mixed 10m Air Pistol Team Classification</t>
  </si>
  <si>
    <t>Mixed 10m Air Rifle Team Classification</t>
  </si>
  <si>
    <t>Mixed Skeet Team Classification</t>
  </si>
  <si>
    <t>Men's Four Classification</t>
  </si>
  <si>
    <t>Ski Jumping - Mixed Team Normal Hill</t>
  </si>
  <si>
    <t>Men's Team Sprint Large Hill Classification</t>
  </si>
  <si>
    <t>Nordic Combined - Men's Sprint</t>
  </si>
  <si>
    <t>Nordic Combined - Men's Individual</t>
  </si>
  <si>
    <t>Michelle Harrison</t>
  </si>
  <si>
    <t>Trey Lyles</t>
  </si>
  <si>
    <t>Mark McMorris</t>
  </si>
  <si>
    <t>Logan Pletz</t>
  </si>
  <si>
    <t>Maïa Schwinghammer</t>
  </si>
  <si>
    <t>Savannah Sutherland</t>
  </si>
  <si>
    <t>Kelsey Wog</t>
  </si>
  <si>
    <t>Raiza Dhillon</t>
  </si>
  <si>
    <t>Anjum Moudgil</t>
  </si>
  <si>
    <t>Mikhail Kushteyn</t>
  </si>
  <si>
    <t>Iona Anderson</t>
  </si>
  <si>
    <t>Georgia-Rose Brown</t>
  </si>
  <si>
    <t>Hannah Green</t>
  </si>
  <si>
    <t>Nina Kennedy</t>
  </si>
  <si>
    <t>Min Woo Lee</t>
  </si>
  <si>
    <t>Minjee Lee</t>
  </si>
  <si>
    <t>Genevieve Longman</t>
  </si>
  <si>
    <t>Alexandra Manly</t>
  </si>
  <si>
    <t>William Matthew</t>
  </si>
  <si>
    <t>Annabelle McIntyre</t>
  </si>
  <si>
    <t>Kenji Nener</t>
  </si>
  <si>
    <t>Ben O'Connor</t>
  </si>
  <si>
    <t>Caitlin Parker</t>
  </si>
  <si>
    <t>Luke Pavillard</t>
  </si>
  <si>
    <t>Kiara Reddingius</t>
  </si>
  <si>
    <t>Lauren Reynolds</t>
  </si>
  <si>
    <t>Jack Robinson</t>
  </si>
  <si>
    <t>Flynn Southam/Zac Incerti</t>
  </si>
  <si>
    <t>Zoe Thomson</t>
  </si>
  <si>
    <t>Nicholas Timmings</t>
  </si>
  <si>
    <t>Matt Wearn</t>
  </si>
  <si>
    <t>Sam Welsford</t>
  </si>
  <si>
    <t>Conor Leahy/Sam Welsford</t>
  </si>
  <si>
    <t>Alanah Yukich</t>
  </si>
  <si>
    <t>Sasha Zhoya</t>
  </si>
  <si>
    <t>Mireia Benito</t>
  </si>
  <si>
    <t>Elia Canales</t>
  </si>
  <si>
    <t>David García Torné</t>
  </si>
  <si>
    <t>Mar Molné Magriñà</t>
  </si>
  <si>
    <t>Saskia Tidey</t>
  </si>
  <si>
    <t>Joaquín Blanco</t>
  </si>
  <si>
    <t>Tim Elter</t>
  </si>
  <si>
    <t>Ismael García Roque</t>
  </si>
  <si>
    <t>Lorea Ibarzabal</t>
  </si>
  <si>
    <t>Andrés Barrio/Tara Pacheco</t>
  </si>
  <si>
    <t>Leonor Rodríguez/Leticia Romero/Maite Cazorla</t>
  </si>
  <si>
    <t>Charles Kagimu</t>
  </si>
  <si>
    <t>Halimah Nakaayi</t>
  </si>
  <si>
    <t>Winnie Nanyondo</t>
  </si>
  <si>
    <t>Kathleen Noble</t>
  </si>
  <si>
    <t>Shiro Aihara</t>
  </si>
  <si>
    <t>Asa Ando</t>
  </si>
  <si>
    <t>Motonaga Arito</t>
  </si>
  <si>
    <t>Airi Ebina</t>
  </si>
  <si>
    <t>Kokona Hiraki</t>
  </si>
  <si>
    <t>Momoka Horikawa</t>
  </si>
  <si>
    <t>Haruto Igarashi</t>
  </si>
  <si>
    <t>Runa Igarashi</t>
  </si>
  <si>
    <t>Yuki Ito</t>
  </si>
  <si>
    <t>Haruka Kitaguchi</t>
  </si>
  <si>
    <t>Rise Kudo</t>
  </si>
  <si>
    <t>Mayu Matsumoto</t>
  </si>
  <si>
    <t>Wataru Morishige</t>
  </si>
  <si>
    <t>Yuna Nagaoka</t>
  </si>
  <si>
    <t>Ryuju Nagayama</t>
  </si>
  <si>
    <t>Naoki Nakamura</t>
  </si>
  <si>
    <t>Ren Nikaido</t>
  </si>
  <si>
    <t>Taiyo Nonomura</t>
  </si>
  <si>
    <t>Shomu Sasaki</t>
  </si>
  <si>
    <t>Ayano Sato</t>
  </si>
  <si>
    <t>Yuka Seto</t>
  </si>
  <si>
    <t>Takuya Shimakawa</t>
  </si>
  <si>
    <t>Tatsuya Shinhama</t>
  </si>
  <si>
    <t>Miho Takagi</t>
  </si>
  <si>
    <t>Ayano Sato/Miho Takagi/Momoka Horikawa</t>
  </si>
  <si>
    <t>Sara Takanashi</t>
  </si>
  <si>
    <t>Ren Nikaido/Sara Takanashi</t>
  </si>
  <si>
    <t>Tomoka Takeuchi</t>
  </si>
  <si>
    <t>Nozomi Tanaka</t>
  </si>
  <si>
    <t>Kazuya Yamada</t>
  </si>
  <si>
    <t>Kazuya Yamada/Motonaga Arito/Shomu Sasaki</t>
  </si>
  <si>
    <t>Ryusei Yamada</t>
  </si>
  <si>
    <t>Tomohiro Yamamoto</t>
  </si>
  <si>
    <t>Anna Ohmiya/Kaho Onodera/Mina Kobayashi/Sayaka Yoshimura</t>
  </si>
  <si>
    <t>Charlotte Bankes</t>
  </si>
  <si>
    <t>Phoebe Gill</t>
  </si>
  <si>
    <t>Anna Henderson</t>
  </si>
  <si>
    <t>Max Whitlock</t>
  </si>
  <si>
    <t>Samirkhon Ababakirov</t>
  </si>
  <si>
    <t>Assylkhan Assan</t>
  </si>
  <si>
    <t>Mariya Dmitriyenko</t>
  </si>
  <si>
    <t>Dinmukhammed Raimkulov</t>
  </si>
  <si>
    <t>Makhmud Sabyrkhan</t>
  </si>
  <si>
    <t>Sergey Yemelyanov</t>
  </si>
  <si>
    <t>Irina Yunusmetova</t>
  </si>
  <si>
    <t>Ayana Zholdas</t>
  </si>
  <si>
    <t>Leona Maguire</t>
  </si>
  <si>
    <t>Iman Kouraogo</t>
  </si>
  <si>
    <t>Faysal Sawadogo</t>
  </si>
  <si>
    <t>Hugues Zango</t>
  </si>
  <si>
    <t>Kate Ludik</t>
  </si>
  <si>
    <t>Aurélie Halbwachs</t>
  </si>
  <si>
    <t>Christopher Lagane</t>
  </si>
  <si>
    <t>Kimberley Le Court</t>
  </si>
  <si>
    <t>Misaki Emura</t>
  </si>
  <si>
    <t>Misaki Emura/Seri Ozaki</t>
  </si>
  <si>
    <t>Tomoyuki Matsushita</t>
  </si>
  <si>
    <t>Misaki Nobata</t>
  </si>
  <si>
    <t>Yuka Ueno</t>
  </si>
  <si>
    <t>Ippei Watanabe</t>
  </si>
  <si>
    <t>Jin Watanabe</t>
  </si>
  <si>
    <t>Angélica André</t>
  </si>
  <si>
    <t>Messias Baptista</t>
  </si>
  <si>
    <t>Maria Inês Barros</t>
  </si>
  <si>
    <t>Nuno Borges</t>
  </si>
  <si>
    <t>Francisco Cabral</t>
  </si>
  <si>
    <t>Francisco Cabral/Nuno Borges</t>
  </si>
  <si>
    <t>Diogo Costa</t>
  </si>
  <si>
    <t>Rui Costa</t>
  </si>
  <si>
    <t>Susana Santos</t>
  </si>
  <si>
    <t>Filipa Martins</t>
  </si>
  <si>
    <t>Rui Oliveira</t>
  </si>
  <si>
    <t>Mafalda Pires de Lima</t>
  </si>
  <si>
    <t>Raquel Queirós</t>
  </si>
  <si>
    <t>Mohamed Gabr</t>
  </si>
  <si>
    <t>Mostafa Gabr</t>
  </si>
  <si>
    <t>Taryn Kloth</t>
  </si>
  <si>
    <t>Samuel Fitwi</t>
  </si>
  <si>
    <t>Cheng I-Ching</t>
  </si>
  <si>
    <t>Mathieu Gravier</t>
  </si>
  <si>
    <t>Marie Oteiza</t>
  </si>
  <si>
    <t>James McCubbin</t>
  </si>
  <si>
    <t>Dolores Moreira</t>
  </si>
  <si>
    <t>Dante Soto/Guillermo Lijtenstein/Valentín Grille</t>
  </si>
  <si>
    <t>Antoine Brizard</t>
  </si>
  <si>
    <t>Rahmad Adi Mulyono</t>
  </si>
  <si>
    <t>Diananda Choirunisa</t>
  </si>
  <si>
    <t>Diananda Choirunisa/Rezza Octavia</t>
  </si>
  <si>
    <t>Rezza Octavia</t>
  </si>
  <si>
    <t>Natalia Kuipers</t>
  </si>
  <si>
    <t>Habitam Alemu</t>
  </si>
  <si>
    <t>Gashau Ayale</t>
  </si>
  <si>
    <t>Birhanu Balew</t>
  </si>
  <si>
    <t>Yemaneberhan Crippa</t>
  </si>
  <si>
    <t>Medina Eisa</t>
  </si>
  <si>
    <t>Sintayehu Vissa</t>
  </si>
  <si>
    <t>Patience Okon George</t>
  </si>
  <si>
    <t>Edem Offiong</t>
  </si>
  <si>
    <t>Doriane Escané</t>
  </si>
  <si>
    <t>Julian Junca</t>
  </si>
  <si>
    <t>Nawal Moniker</t>
  </si>
  <si>
    <t>Nana Taboulet</t>
  </si>
  <si>
    <t>Samuel Barata</t>
  </si>
  <si>
    <t>Patrick Burgener</t>
  </si>
  <si>
    <t>Romain Détraz</t>
  </si>
  <si>
    <t>Maud Jayet</t>
  </si>
  <si>
    <t>Binta Ndiaye</t>
  </si>
  <si>
    <t>Cathia Schär</t>
  </si>
  <si>
    <t>Fanny Smith</t>
  </si>
  <si>
    <t>Stan Wawrinka</t>
  </si>
  <si>
    <t>Brandie Wilkerson</t>
  </si>
  <si>
    <t>Nikola Jokić</t>
  </si>
  <si>
    <t>Chaima Benadouda</t>
  </si>
  <si>
    <t>Sid Boudina</t>
  </si>
  <si>
    <t>Abdelkarim Fergat</t>
  </si>
  <si>
    <t>Yacine Hamza</t>
  </si>
  <si>
    <t>Salim Heroui</t>
  </si>
  <si>
    <t>Nesrine Houili</t>
  </si>
  <si>
    <t>Abdelkrim Ouakali</t>
  </si>
  <si>
    <t>Bachir Sid Azara</t>
  </si>
  <si>
    <t>Mi Jiujiang</t>
  </si>
  <si>
    <t>Wang Yundi</t>
  </si>
  <si>
    <t>Wu Yu</t>
  </si>
  <si>
    <t>Xie Yuyu</t>
  </si>
  <si>
    <t>Callum Wilkinson</t>
  </si>
  <si>
    <t>Sam Redgrave</t>
  </si>
  <si>
    <t>Kieran Reilly</t>
  </si>
  <si>
    <t>Kate Waugh</t>
  </si>
  <si>
    <t>Alex Wise</t>
  </si>
  <si>
    <t>Fateh Benferdjallah</t>
  </si>
  <si>
    <t>Fadi Rouabah</t>
  </si>
  <si>
    <t>Marta Menegatti</t>
  </si>
  <si>
    <t>Jacira Ferreira</t>
  </si>
  <si>
    <t>Tiago Muxanga</t>
  </si>
  <si>
    <t>Deizy Nhaquile</t>
  </si>
  <si>
    <t>Alcinda Panguana</t>
  </si>
  <si>
    <t>Daichi Ogihara</t>
  </si>
  <si>
    <t>Pavel Magazeev</t>
  </si>
  <si>
    <t>Abdi Waiss</t>
  </si>
  <si>
    <t>Assylkhan Assan/Roman Ivanov/Ayana Zholdas</t>
  </si>
  <si>
    <t>Roman Ivanov</t>
  </si>
  <si>
    <t>Olga Tikhonova</t>
  </si>
  <si>
    <t>Safiatou Acquaviva</t>
  </si>
  <si>
    <t>Émilie Alexandre</t>
  </si>
  <si>
    <t>Romain Allemand</t>
  </si>
  <si>
    <t>Camille Cerutti</t>
  </si>
  <si>
    <t>Clara Copponi</t>
  </si>
  <si>
    <t>Robin Emig</t>
  </si>
  <si>
    <t>Jessica Fox</t>
  </si>
  <si>
    <t>Noemie Fox</t>
  </si>
  <si>
    <t>Béryl Gastaldello</t>
  </si>
  <si>
    <t>Mathilde Lamolle</t>
  </si>
  <si>
    <t>Hachim Maaroufou</t>
  </si>
  <si>
    <t>Vincent Matheron</t>
  </si>
  <si>
    <t>Sébastien Patrice</t>
  </si>
  <si>
    <t>Elohim Prandi/Melvyn Richardson</t>
  </si>
  <si>
    <t>Clément Secchi</t>
  </si>
  <si>
    <t>Melvin Tchiknavorian</t>
  </si>
  <si>
    <t>Capucine Viglione</t>
  </si>
  <si>
    <t>Anniina Ahtosalo</t>
  </si>
  <si>
    <t>Akseli Ahvenainen</t>
  </si>
  <si>
    <t>Jakob Eklund</t>
  </si>
  <si>
    <t>Eduard Hallberg</t>
  </si>
  <si>
    <t>Tuomas Harjula</t>
  </si>
  <si>
    <t>Oliver Helander</t>
  </si>
  <si>
    <t>Olli Hiidensalo</t>
  </si>
  <si>
    <t>Ronja Grönblom/Veera Hokka</t>
  </si>
  <si>
    <t>Jasmi Joensuu</t>
  </si>
  <si>
    <t>Ella Junnila</t>
  </si>
  <si>
    <t>Anni Kärävä</t>
  </si>
  <si>
    <t>Lotta Kemppinen</t>
  </si>
  <si>
    <t>Akseli Keskinen</t>
  </si>
  <si>
    <t>Kalle Koljonen</t>
  </si>
  <si>
    <t>Sara Lappalainen</t>
  </si>
  <si>
    <t>Viivi Lehikoinen</t>
  </si>
  <si>
    <t>Eveliina Määttänen</t>
  </si>
  <si>
    <t>Monika Mikkola</t>
  </si>
  <si>
    <t>Faye Njie</t>
  </si>
  <si>
    <t>Jesper Pohjolainen</t>
  </si>
  <si>
    <t>Rosa Pohjolainen</t>
  </si>
  <si>
    <t>My Relander</t>
  </si>
  <si>
    <t>Joanna Robinson</t>
  </si>
  <si>
    <t>Joni Savaste</t>
  </si>
  <si>
    <t>Olli Hiidensalo/Tero Seppälä</t>
  </si>
  <si>
    <t>Tero Seppälä</t>
  </si>
  <si>
    <t>Heili Sirviö</t>
  </si>
  <si>
    <t>Kaarle Tapper</t>
  </si>
  <si>
    <t>Matthias Versluis/Juulia Turkkila</t>
  </si>
  <si>
    <t>Ursula Wikström</t>
  </si>
  <si>
    <t>Dina Asher-Smith</t>
  </si>
  <si>
    <t>Prisca Awiti</t>
  </si>
  <si>
    <t>Michael Bargeron</t>
  </si>
  <si>
    <t>Anna Burnet</t>
  </si>
  <si>
    <t>William Calnan</t>
  </si>
  <si>
    <t>Joseph Choong</t>
  </si>
  <si>
    <t>David Ambler/Freddie Davidson</t>
  </si>
  <si>
    <t>Jack Draper</t>
  </si>
  <si>
    <t>Charlotte Englebert</t>
  </si>
  <si>
    <t>Matthew Garbett</t>
  </si>
  <si>
    <t>Pfeiffer Georgi</t>
  </si>
  <si>
    <t>Michelle Gulyás</t>
  </si>
  <si>
    <t>Ethan Hayter</t>
  </si>
  <si>
    <t>Carl Hester</t>
  </si>
  <si>
    <t>Mathilda Hodgkins-Byrne</t>
  </si>
  <si>
    <t>Reece Holder</t>
  </si>
  <si>
    <t>Alex Hua</t>
  </si>
  <si>
    <t>Gary Hunt</t>
  </si>
  <si>
    <t>Josh Kirlew</t>
  </si>
  <si>
    <t>Jessie Knight</t>
  </si>
  <si>
    <t>Peder Kongshaug</t>
  </si>
  <si>
    <t>Kyle Kothari</t>
  </si>
  <si>
    <t>Ben Lane</t>
  </si>
  <si>
    <t>Imani Lansiquot</t>
  </si>
  <si>
    <t>Ben Maher</t>
  </si>
  <si>
    <t>Ciara McGing</t>
  </si>
  <si>
    <t>Ashley McKenzie</t>
  </si>
  <si>
    <t>Scarlett Mew Jensen</t>
  </si>
  <si>
    <t>Nethaneel Mitchell-Blake</t>
  </si>
  <si>
    <t>Daryll Neita</t>
  </si>
  <si>
    <t>Laviai Nielsen</t>
  </si>
  <si>
    <t>Lina Nielsen</t>
  </si>
  <si>
    <t>Victoria Ohuruogu</t>
  </si>
  <si>
    <t>Tade Ojora</t>
  </si>
  <si>
    <t>Lawrence Okoye</t>
  </si>
  <si>
    <t>Thomas Kaan Önol Lang</t>
  </si>
  <si>
    <t>Ben Proud</t>
  </si>
  <si>
    <t>Dean Reeves</t>
  </si>
  <si>
    <t>Philip Sesemann</t>
  </si>
  <si>
    <t>Bethany Shriever</t>
  </si>
  <si>
    <t>Sofia Sjöberg</t>
  </si>
  <si>
    <t>Andrea Spendolini-Sirieix</t>
  </si>
  <si>
    <t>Kristen Spours</t>
  </si>
  <si>
    <t>Harry Stacey</t>
  </si>
  <si>
    <t>Laura Stephens</t>
  </si>
  <si>
    <t>Tabitha Stoecker</t>
  </si>
  <si>
    <t>Molly Thompson-Smith</t>
  </si>
  <si>
    <t>Alex Tofalides</t>
  </si>
  <si>
    <t>Joseph Jonathan Weston</t>
  </si>
  <si>
    <t>Kye Whyte</t>
  </si>
  <si>
    <t>Bianca Williams/Daryll Neita/Desirèe Henry/Dina Asher-Smith/Imani Lansiquot</t>
  </si>
  <si>
    <t>Bianca Williams</t>
  </si>
  <si>
    <t>Noah Williams</t>
  </si>
  <si>
    <t>Fred Wright</t>
  </si>
  <si>
    <t>Alex Yee</t>
  </si>
  <si>
    <t>Alessia Messiano</t>
  </si>
  <si>
    <t>Matteo Sartori</t>
  </si>
  <si>
    <t>Ryoichi Akamatsu</t>
  </si>
  <si>
    <t>Makiko Arai</t>
  </si>
  <si>
    <t>Eiya Hashimoto</t>
  </si>
  <si>
    <t>Ikuma Horishima</t>
  </si>
  <si>
    <t>Nanaho Kiriyama</t>
  </si>
  <si>
    <t>Toma Matsuura</t>
  </si>
  <si>
    <t>Kokomo Murase</t>
  </si>
  <si>
    <t>Hazuki Nagai</t>
  </si>
  <si>
    <t>Fumiya Saito</t>
  </si>
  <si>
    <t>Kazuma Tomoto</t>
  </si>
  <si>
    <t>Danka Barteková</t>
  </si>
  <si>
    <t>Hana Burzalová</t>
  </si>
  <si>
    <t>Dominik Černý/Hana Burzalová</t>
  </si>
  <si>
    <t>Dominik Černý</t>
  </si>
  <si>
    <t>Lucia Mokrášová</t>
  </si>
  <si>
    <t>Worthy de Jong</t>
  </si>
  <si>
    <t>Sören Opti</t>
  </si>
  <si>
    <t>Jaïr Tjon En Fa</t>
  </si>
  <si>
    <t>Chari Hawkins</t>
  </si>
  <si>
    <t>Matteo Jorgenson</t>
  </si>
  <si>
    <t>Chase Josey</t>
  </si>
  <si>
    <t>Alyssa Mendoza</t>
  </si>
  <si>
    <t>Ryder Sarchett</t>
  </si>
  <si>
    <t>Mia Griffin</t>
  </si>
  <si>
    <t>Joan Verdú</t>
  </si>
  <si>
    <t>Alphonce Simbu</t>
  </si>
  <si>
    <t>Vera Looser</t>
  </si>
  <si>
    <t>Maria Andrejczyk</t>
  </si>
  <si>
    <t>Klaudia Kardasz</t>
  </si>
  <si>
    <t>Natalia Maliszewska</t>
  </si>
  <si>
    <t>Michał Niewiński</t>
  </si>
  <si>
    <t>Wojciech Nowicki</t>
  </si>
  <si>
    <t>Aleksandra Pietruk</t>
  </si>
  <si>
    <t>Daria Zabawska</t>
  </si>
  <si>
    <t>Bonface Mweresa</t>
  </si>
  <si>
    <t>Peeter Olesk</t>
  </si>
  <si>
    <t>Lorène Bazolo</t>
  </si>
  <si>
    <t>Saheed Idowu</t>
  </si>
  <si>
    <t>Medi Harris</t>
  </si>
  <si>
    <t>Anatoliy Budiak</t>
  </si>
  <si>
    <t>Dariya Derkach</t>
  </si>
  <si>
    <t>Hanna Pysmenska</t>
  </si>
  <si>
    <t>Djenabou Bah</t>
  </si>
  <si>
    <t>Elhadj Diallo</t>
  </si>
  <si>
    <t>Thierno Diallo</t>
  </si>
  <si>
    <t>Pommel Horse Classification</t>
  </si>
  <si>
    <t>Gymnastics - Men's Pommel Horse</t>
  </si>
  <si>
    <t>Amadou Diawara/Ilaix Moriba/Issiaga Camara/Lancinet Kourouma/Naby Keïta</t>
  </si>
  <si>
    <t>Fatoumata Sylla</t>
  </si>
  <si>
    <t>Ferhat Arıcan</t>
  </si>
  <si>
    <t>Beyza Arıcı</t>
  </si>
  <si>
    <t>Özkan Baltacı</t>
  </si>
  <si>
    <t>Buse Tosun-Çavuşoğlu</t>
  </si>
  <si>
    <t>Deniz Çınar</t>
  </si>
  <si>
    <t>İbrahim Çolak</t>
  </si>
  <si>
    <t>Beste Kaynakçı</t>
  </si>
  <si>
    <t>Ahmet Önder/Ferhat Arıcan/İbrahim Çolak</t>
  </si>
  <si>
    <t>Ahmet Önder</t>
  </si>
  <si>
    <t>Cansu Özbay</t>
  </si>
  <si>
    <t>Gabriel Bordier</t>
  </si>
  <si>
    <t>Lisvel Eve</t>
  </si>
  <si>
    <t>Frandiel Gómez</t>
  </si>
  <si>
    <t>Semire Dauti</t>
  </si>
  <si>
    <t>Rosie Eccles</t>
  </si>
  <si>
    <t>Mewen Tomac</t>
  </si>
  <si>
    <t>Ryan Zézé</t>
  </si>
  <si>
    <t>Anahira McCutcheon</t>
  </si>
  <si>
    <t>Pamella Owino</t>
  </si>
  <si>
    <t>Taha Akgül</t>
  </si>
  <si>
    <t>Roberto Russo</t>
  </si>
  <si>
    <t>Myriam Sylla</t>
  </si>
  <si>
    <t>Rachael Darragh</t>
  </si>
  <si>
    <t>Mark English</t>
  </si>
  <si>
    <t>Velimir Stjepanović</t>
  </si>
  <si>
    <t>Nikolas Antoniou</t>
  </si>
  <si>
    <t>Antri Christoforou</t>
  </si>
  <si>
    <t>Yiannos Kouyoumdjian</t>
  </si>
  <si>
    <t>Marta Bertoncelli</t>
  </si>
  <si>
    <t>Jessica Rossi</t>
  </si>
  <si>
    <t>Isabela Abreu</t>
  </si>
  <si>
    <t>Augusto Akio</t>
  </si>
  <si>
    <t>Lívia Avancini</t>
  </si>
  <si>
    <t>Luigi Cini</t>
  </si>
  <si>
    <t>Renan Correa</t>
  </si>
  <si>
    <t>Bárbara Domingos</t>
  </si>
  <si>
    <t>Natasha Ferreira</t>
  </si>
  <si>
    <t>Bruno Fontes</t>
  </si>
  <si>
    <t>Arthur Lanci</t>
  </si>
  <si>
    <t>Flávia de Lima</t>
  </si>
  <si>
    <t>Valdiléia Martins</t>
  </si>
  <si>
    <t>Thiago Seyboth Wild</t>
  </si>
  <si>
    <t>Tatiane Raquel da Silva</t>
  </si>
  <si>
    <t>Gabriel Soares</t>
  </si>
  <si>
    <t>Júlia Soares</t>
  </si>
  <si>
    <t>Ana Paula Vergutz</t>
  </si>
  <si>
    <t>Bence Bicsák</t>
  </si>
  <si>
    <t>Balázs Kaizinger</t>
  </si>
  <si>
    <t>Veronika Major</t>
  </si>
  <si>
    <t>Rhasidat Adeleke</t>
  </si>
  <si>
    <t>Cormac Comerford</t>
  </si>
  <si>
    <t>Robert Dickson</t>
  </si>
  <si>
    <t>Cathal Doyle</t>
  </si>
  <si>
    <t>Sarah Ennis</t>
  </si>
  <si>
    <t>Brian Fay</t>
  </si>
  <si>
    <t>Kellie Harrington</t>
  </si>
  <si>
    <t>Noel Hendrick</t>
  </si>
  <si>
    <t>Jennifer Lehane</t>
  </si>
  <si>
    <t>Benjamin Lynch</t>
  </si>
  <si>
    <t>Jack Marley</t>
  </si>
  <si>
    <t>Jodie McCann</t>
  </si>
  <si>
    <t>Luke McCann</t>
  </si>
  <si>
    <t>Eve McMahon</t>
  </si>
  <si>
    <t>Daina Moorehouse</t>
  </si>
  <si>
    <t>Cian O'Connor</t>
  </si>
  <si>
    <t>Gavin Mullin/Hugo Keenan/Mark Roche/Terry Kennedy</t>
  </si>
  <si>
    <t>Daragh Walsh/Shane O'Donoghue</t>
  </si>
  <si>
    <t>Gráinne Walsh</t>
  </si>
  <si>
    <t>Ellen Walshe</t>
  </si>
  <si>
    <t>Jack Woolley</t>
  </si>
  <si>
    <t>Ellie Cole</t>
  </si>
  <si>
    <t>Kelly Curtis</t>
  </si>
  <si>
    <t>Nicholas D'Amour</t>
  </si>
  <si>
    <t>Jacqueline Dubrovich</t>
  </si>
  <si>
    <t>Matt Fallon</t>
  </si>
  <si>
    <t>Jesse Grupper</t>
  </si>
  <si>
    <t>Birk Irving</t>
  </si>
  <si>
    <t>Sydney McLaughlin-Levrone</t>
  </si>
  <si>
    <t>Casey Murphy</t>
  </si>
  <si>
    <t>Keturah Orji</t>
  </si>
  <si>
    <t>Tommy Paul</t>
  </si>
  <si>
    <t>Adriana Penruddocke</t>
  </si>
  <si>
    <t>Hezly Rivera</t>
  </si>
  <si>
    <t>Mitchell Saron</t>
  </si>
  <si>
    <t>Brianna Schnorrbusch</t>
  </si>
  <si>
    <t>Elizabeth Tartakovsky</t>
  </si>
  <si>
    <t>Curtis Thompson</t>
  </si>
  <si>
    <t>Amy Wang</t>
  </si>
  <si>
    <t>Jack Yonezuka</t>
  </si>
  <si>
    <t>Michael Beckett</t>
  </si>
  <si>
    <t>Liam Pitchford</t>
  </si>
  <si>
    <t>Jacob Whittle</t>
  </si>
  <si>
    <t>Abbie Wood</t>
  </si>
  <si>
    <t>Megan Keith</t>
  </si>
  <si>
    <t>Laura Muir</t>
  </si>
  <si>
    <t>Ben Maher/Scott Brash</t>
  </si>
  <si>
    <t>Scott Brash</t>
  </si>
  <si>
    <t>Josh Kerr</t>
  </si>
  <si>
    <t>Keanna MacInnes</t>
  </si>
  <si>
    <t>Michael Bargeron/Seonaid McIntosh</t>
  </si>
  <si>
    <t>Seonaid McIntosh</t>
  </si>
  <si>
    <t>Bruce Mouat/Jennifer Dodds</t>
  </si>
  <si>
    <t>Grace Reid</t>
  </si>
  <si>
    <t>Mahe Ben Hlima</t>
  </si>
  <si>
    <t>Marie-Julie Bonnin</t>
  </si>
  <si>
    <t>Thomas Boudat</t>
  </si>
  <si>
    <t>Camil Doua</t>
  </si>
  <si>
    <t>Clément Ducos</t>
  </si>
  <si>
    <t>Lucie Ehrmann</t>
  </si>
  <si>
    <t>Timothy Loubineaud</t>
  </si>
  <si>
    <t>Carla Sénéchal</t>
  </si>
  <si>
    <t>Adam Siao Him Fa</t>
  </si>
  <si>
    <t>Sarah Steyaert</t>
  </si>
  <si>
    <t>Loren Alfonso</t>
  </si>
  <si>
    <t>Néstor Almanza</t>
  </si>
  <si>
    <t>Jorge Álvarez</t>
  </si>
  <si>
    <t>Andrea Becali</t>
  </si>
  <si>
    <t>Jorge Campos</t>
  </si>
  <si>
    <t>Reidy Cardona</t>
  </si>
  <si>
    <t>Yasmani Copello</t>
  </si>
  <si>
    <t>Andy Díaz</t>
  </si>
  <si>
    <t>Jordan Díaz</t>
  </si>
  <si>
    <t>Rodolfo Falcón Jr.</t>
  </si>
  <si>
    <t>Anisley García</t>
  </si>
  <si>
    <t>Yusneylys Guzmán</t>
  </si>
  <si>
    <t>Yoandy Leal</t>
  </si>
  <si>
    <t>Milaimys Marín</t>
  </si>
  <si>
    <t>Cristian Nápoles</t>
  </si>
  <si>
    <t>Luis Alberto Orta</t>
  </si>
  <si>
    <t>Andy Pereira</t>
  </si>
  <si>
    <t>Enmanuel Reyes</t>
  </si>
  <si>
    <t>Alejandro Valdés</t>
  </si>
  <si>
    <t>Marco Pfiffner</t>
  </si>
  <si>
    <t>Eunice Chumba</t>
  </si>
  <si>
    <t>Peres Jepchirchir</t>
  </si>
  <si>
    <t>Nelly Jepkosgei</t>
  </si>
  <si>
    <t>Abraham Kibiwot</t>
  </si>
  <si>
    <t>Isaac Kimeli</t>
  </si>
  <si>
    <t>Nicholas Kipkorir Kimeli</t>
  </si>
  <si>
    <t>Pang Chol-Mi</t>
  </si>
  <si>
    <t>Filip Gustavsson</t>
  </si>
  <si>
    <t>Tindra Holm</t>
  </si>
  <si>
    <t>Vanessa Kamga</t>
  </si>
  <si>
    <t>Isak Öhrström</t>
  </si>
  <si>
    <t>Jonna Sundling</t>
  </si>
  <si>
    <t>Linn Svahn</t>
  </si>
  <si>
    <t>Jonna Sundling/Linn Svahn</t>
  </si>
  <si>
    <t>Harald Ambros</t>
  </si>
  <si>
    <t>Martin Espernberger</t>
  </si>
  <si>
    <t>Christina Födermayr</t>
  </si>
  <si>
    <t>Samuel Gaßner</t>
  </si>
  <si>
    <t>Susanne Gogl-Walli</t>
  </si>
  <si>
    <t>Felix Großschartner</t>
  </si>
  <si>
    <t>Daniel Hemetsberger</t>
  </si>
  <si>
    <t>Marlene Jahl</t>
  </si>
  <si>
    <t>Anna Kiesenhofer</t>
  </si>
  <si>
    <t>Lena Kreundl</t>
  </si>
  <si>
    <t>Vincent Kriechmayr</t>
  </si>
  <si>
    <t>Stefan Lehfellner</t>
  </si>
  <si>
    <t>Stefan Lehfellner/Victoria Max-Theurer</t>
  </si>
  <si>
    <t>Victoria Max-Theurer</t>
  </si>
  <si>
    <t>Clemens Millauer</t>
  </si>
  <si>
    <t>Julia Mühlbacher</t>
  </si>
  <si>
    <t>Lukas Weißhaidinger</t>
  </si>
  <si>
    <t>Ihab Abdelrahman</t>
  </si>
  <si>
    <t>Youssry Samy</t>
  </si>
  <si>
    <t>Carlos Sansores</t>
  </si>
  <si>
    <t>Luca Braidot</t>
  </si>
  <si>
    <t>Algassime Bah/Aliou Baldé/Amadou Diallo/Ousmane Camara</t>
  </si>
  <si>
    <t>Miyu Suzuki/Rika Ogawa/Yu Asai</t>
  </si>
  <si>
    <t>Hina Fujiki</t>
  </si>
  <si>
    <t>Ryo Hamanishi</t>
  </si>
  <si>
    <t>Maika Hamano</t>
  </si>
  <si>
    <t>Sumire Hata</t>
  </si>
  <si>
    <t>Rei Higuchi</t>
  </si>
  <si>
    <t>Ruka Hirano</t>
  </si>
  <si>
    <t>Mao Ichiyama</t>
  </si>
  <si>
    <t>Saki Kumagai/Toko Koga</t>
  </si>
  <si>
    <t>Shogo Miyata</t>
  </si>
  <si>
    <t>Mariko Morimoto</t>
  </si>
  <si>
    <t>Haruka Nakamura</t>
  </si>
  <si>
    <t>Haruka Nakao</t>
  </si>
  <si>
    <t>Ryusei Nishioka</t>
  </si>
  <si>
    <t>Naomi Osaka</t>
  </si>
  <si>
    <t>Tatsuru Saito</t>
  </si>
  <si>
    <t>Ryuichiro Sakai</t>
  </si>
  <si>
    <t>Shigeyuki Nakarai</t>
  </si>
  <si>
    <t>Taizo Sugitani</t>
  </si>
  <si>
    <t>Misaki Tanaka/Sera Nagamatsu</t>
  </si>
  <si>
    <t>Yumi Tanaka</t>
  </si>
  <si>
    <t>Ageha Tanigawa</t>
  </si>
  <si>
    <t>Miyu Yamashita</t>
  </si>
  <si>
    <t>Eri Yonamine</t>
  </si>
  <si>
    <t>Adilijiang Sulitan</t>
  </si>
  <si>
    <t>Ahenaer Adake</t>
  </si>
  <si>
    <t>An Qixuan</t>
  </si>
  <si>
    <t>Habila Awusayiman</t>
  </si>
  <si>
    <t>Bu Luer</t>
  </si>
  <si>
    <t>Tian Ruining</t>
  </si>
  <si>
    <t>Tuohetaerbieke Tanglatihan</t>
  </si>
  <si>
    <t>Wang Ziyang</t>
  </si>
  <si>
    <t>Xia Xinyi</t>
  </si>
  <si>
    <t>Yilamujiang Dinigeer</t>
  </si>
  <si>
    <t>Neueli Leitufia</t>
  </si>
  <si>
    <t>Cheng Yujie</t>
  </si>
  <si>
    <t>Li Jiangyan</t>
  </si>
  <si>
    <t>Liu Hong</t>
  </si>
  <si>
    <t>Margaret Mac Neil</t>
  </si>
  <si>
    <t>Wan Letian</t>
  </si>
  <si>
    <t>Wang Peixuan</t>
  </si>
  <si>
    <t>Xu Shixiao</t>
  </si>
  <si>
    <t>Yang Wenlong</t>
  </si>
  <si>
    <t>Zou Jiaqi</t>
  </si>
  <si>
    <t>Enzo Diessl</t>
  </si>
  <si>
    <t>Francisco Guaragna</t>
  </si>
  <si>
    <t>Nadia Podoroska</t>
  </si>
  <si>
    <t>Alejandro Tosti</t>
  </si>
  <si>
    <t>Chloe Farro</t>
  </si>
  <si>
    <t>Shanayah Howell</t>
  </si>
  <si>
    <t>Mikel Schreuders</t>
  </si>
  <si>
    <t>Ethan Westera</t>
  </si>
  <si>
    <t>Jorinde van Klinken</t>
  </si>
  <si>
    <t>Maike van der Duin</t>
  </si>
  <si>
    <t>Manon Veenstra</t>
  </si>
  <si>
    <t>Anastasiya Kirpichnikova</t>
  </si>
  <si>
    <t>Alyona Krylova</t>
  </si>
  <si>
    <t>Vladimir Semirunniy</t>
  </si>
  <si>
    <t>Freya Anderson/Keanna MacInnes</t>
  </si>
  <si>
    <t>Tommy Fleetwood</t>
  </si>
  <si>
    <t>Katarina Johnson-Thompson</t>
  </si>
  <si>
    <t>Ryan Mullen</t>
  </si>
  <si>
    <t>Zak Perzamanos</t>
  </si>
  <si>
    <t>Lucy Renshall</t>
  </si>
  <si>
    <t>Joe Salisbury/Neal Skupski</t>
  </si>
  <si>
    <t>Sky Brown</t>
  </si>
  <si>
    <t>Masatora Kawano</t>
  </si>
  <si>
    <t>Rika Takayama</t>
  </si>
  <si>
    <t>Andrew Thomas Mlugu</t>
  </si>
  <si>
    <t>Aditi Ashok</t>
  </si>
  <si>
    <t>Rohan Bopanna</t>
  </si>
  <si>
    <t>Srihari Nataraj</t>
  </si>
  <si>
    <t>Ashwini Ponnappa</t>
  </si>
  <si>
    <t>Machettira Raju Povamma</t>
  </si>
  <si>
    <t>Rakan Alireza</t>
  </si>
  <si>
    <t>Brittany Bowe</t>
  </si>
  <si>
    <t>Aaliyah Butler/Sydney McLaughlin-Levrone</t>
  </si>
  <si>
    <t>Aaliyah Butler</t>
  </si>
  <si>
    <t>Lloydricia Cameron</t>
  </si>
  <si>
    <t>Inés Castillo</t>
  </si>
  <si>
    <t>Emelia Chatfield</t>
  </si>
  <si>
    <t>Mayah Chouloute</t>
  </si>
  <si>
    <t>Danielle Collins</t>
  </si>
  <si>
    <t>Kassidy Cook</t>
  </si>
  <si>
    <t>Jeremiah Davis</t>
  </si>
  <si>
    <t>Angelica Delgado</t>
  </si>
  <si>
    <t>Caeleb Dressel/Jack Alexy</t>
  </si>
  <si>
    <t>Caeleb Dressel</t>
  </si>
  <si>
    <t>Markus Edegran</t>
  </si>
  <si>
    <t>Kendall Ellis</t>
  </si>
  <si>
    <t>Robert Finke</t>
  </si>
  <si>
    <t>Jared Firestone</t>
  </si>
  <si>
    <t>Eduardo Garcia</t>
  </si>
  <si>
    <t>Coco Gauff</t>
  </si>
  <si>
    <t>Zackary Gresham</t>
  </si>
  <si>
    <t>Andrin Gulich</t>
  </si>
  <si>
    <t>Vincent Hancock</t>
  </si>
  <si>
    <t>Erin Jackson</t>
  </si>
  <si>
    <t>Omari Jones</t>
  </si>
  <si>
    <t>Erriyon Knighton</t>
  </si>
  <si>
    <t>Nelly Korda</t>
  </si>
  <si>
    <t>Noah Lyles</t>
  </si>
  <si>
    <t>Noah Lyons</t>
  </si>
  <si>
    <t>Mia Manganello</t>
  </si>
  <si>
    <t>Caroline Marks</t>
  </si>
  <si>
    <t>Benjamin Cremaschi/Djordje Mihailovic</t>
  </si>
  <si>
    <t>Monae' Nichols</t>
  </si>
  <si>
    <t>Nick Page</t>
  </si>
  <si>
    <t>Tomás Peribonio</t>
  </si>
  <si>
    <t>Sydney Pickrem</t>
  </si>
  <si>
    <t>Poe Pinson</t>
  </si>
  <si>
    <t>Erika Reineke</t>
  </si>
  <si>
    <t>Donald Scott</t>
  </si>
  <si>
    <t>Alex Sorgente</t>
  </si>
  <si>
    <t>Dominique Stater</t>
  </si>
  <si>
    <t>Aiyanna Stiverne</t>
  </si>
  <si>
    <t>Kristina Teachout</t>
  </si>
  <si>
    <t>Twanisha Terry</t>
  </si>
  <si>
    <t>Andrew Torgashev</t>
  </si>
  <si>
    <t>Victor Montalvo</t>
  </si>
  <si>
    <t>Dania Vizzi</t>
  </si>
  <si>
    <t>Emma Weyant</t>
  </si>
  <si>
    <t>Frank Del Duca/Joshua Williamson</t>
  </si>
  <si>
    <t>Kaii Winkler</t>
  </si>
  <si>
    <t>Ádám Kónya</t>
  </si>
  <si>
    <t>Kristóf Rasovszky</t>
  </si>
  <si>
    <t>Gergely Siklósi</t>
  </si>
  <si>
    <t>Jonatán Vadnai</t>
  </si>
  <si>
    <t>Lotta Harala</t>
  </si>
  <si>
    <t>Reetta Hurske</t>
  </si>
  <si>
    <t>Urho Kujanpää</t>
  </si>
  <si>
    <t>Anni Keisala/Emilia Kyrkkö/Sanni Ahola</t>
  </si>
  <si>
    <t xml:space="preserve">	Krista Lähteenmäki-Pärmäkoski</t>
  </si>
  <si>
    <t>Sofia Mattila</t>
  </si>
  <si>
    <t>Topi Raitanen</t>
  </si>
  <si>
    <t>Amanda Saari</t>
  </si>
  <si>
    <t>Sanna Siltakorpi</t>
  </si>
  <si>
    <t>Elli Suoranta/Jenni Hiirikoski/Nelli Laitinen/Ronja Savolainen/Siiri Yrjölä</t>
  </si>
  <si>
    <t>Noora Komulainen</t>
  </si>
  <si>
    <t>Sami Välimäki</t>
  </si>
  <si>
    <t>Emilia Vesa/Emma Nuutinen/Julia Schalin/Noora Tulus/Petra Nieminen/Sanni Vanhanen/Viivi Vainikka</t>
  </si>
  <si>
    <t>Saga Vanninen</t>
  </si>
  <si>
    <t>Karoline Bjerkeli Grøvdal</t>
  </si>
  <si>
    <t>Thea Helseth</t>
  </si>
  <si>
    <t>Karsten Warholm</t>
  </si>
  <si>
    <t>Antti Aalto</t>
  </si>
  <si>
    <t>Lassi Etelätalo</t>
  </si>
  <si>
    <t>Timo Grönlund</t>
  </si>
  <si>
    <t>Inka Hämäläinen</t>
  </si>
  <si>
    <t>Neama Said</t>
  </si>
  <si>
    <t>Sara Samir</t>
  </si>
  <si>
    <t>Muhammad Rian Ardianto</t>
  </si>
  <si>
    <t>Arif Dwi Pangestu/Diananda Choirunisa</t>
  </si>
  <si>
    <t>Arif Dwi Pangestu</t>
  </si>
  <si>
    <t>Irina Begu</t>
  </si>
  <si>
    <t>Mălina Călugăreanu</t>
  </si>
  <si>
    <t>Jaqueline Cristian</t>
  </si>
  <si>
    <t>Collins Filimon</t>
  </si>
  <si>
    <t>Diana Ion</t>
  </si>
  <si>
    <t>David Popovici</t>
  </si>
  <si>
    <t>Andrei Neamțu/Andrei Prioteasa</t>
  </si>
  <si>
    <t>Alina Rotaru-Kottmann</t>
  </si>
  <si>
    <t>Vlad Ștefan Stancu</t>
  </si>
  <si>
    <t>Alexandru Ștefănescu</t>
  </si>
  <si>
    <t>Andrei Țepeluș/Matei Lutescu</t>
  </si>
  <si>
    <t>Vasile Usturoi</t>
  </si>
  <si>
    <t>Agata Barwińska</t>
  </si>
  <si>
    <t>Konrad Bukowiecki</t>
  </si>
  <si>
    <t>Jakub Kochanowski</t>
  </si>
  <si>
    <t>Maciej Kowalewicz</t>
  </si>
  <si>
    <t>Aleksandra Lisowska</t>
  </si>
  <si>
    <t>Michał Niewiński/Kamila Sellier/Natalia Maliszewska</t>
  </si>
  <si>
    <t>Kamila Sellier</t>
  </si>
  <si>
    <t>Aleksandra Szczygłowska</t>
  </si>
  <si>
    <t>Piotr Woźniak</t>
  </si>
  <si>
    <t>Karol Zalewski</t>
  </si>
  <si>
    <t>Martin Čater</t>
  </si>
  <si>
    <t>Matic Guček</t>
  </si>
  <si>
    <t>Blaž Janc/Tilen Kodrin</t>
  </si>
  <si>
    <t>Urban Lesjak</t>
  </si>
  <si>
    <t>Nataša Ljepoja</t>
  </si>
  <si>
    <t>Rok Marguč</t>
  </si>
  <si>
    <t>Tim Mastnak</t>
  </si>
  <si>
    <t>Alja Varagić</t>
  </si>
  <si>
    <t>Mihael Žgank</t>
  </si>
  <si>
    <t>Yuka Kagami</t>
  </si>
  <si>
    <t>Taketo Nishizawa</t>
  </si>
  <si>
    <t>Sewonrets Okazawa</t>
  </si>
  <si>
    <t>Masaki Shiba</t>
  </si>
  <si>
    <t>Mantas Knystautas</t>
  </si>
  <si>
    <t>Gintarė Venčkauskaitė</t>
  </si>
  <si>
    <t>Salvatore Cavallaro</t>
  </si>
  <si>
    <t>Francesco Condemi/Gonzalo Echenique</t>
  </si>
  <si>
    <t>Aurora Condorelli</t>
  </si>
  <si>
    <t>Rossella Fiamingo</t>
  </si>
  <si>
    <t>Claudia Marletta</t>
  </si>
  <si>
    <t>Valeria Palmieri</t>
  </si>
  <si>
    <t>Alberta Santuccio</t>
  </si>
  <si>
    <t>Anriquelis Barrios</t>
  </si>
  <si>
    <t>Francisco Limardo</t>
  </si>
  <si>
    <t>Rubén Limardo</t>
  </si>
  <si>
    <t>Ese Brume</t>
  </si>
  <si>
    <t>Hannah Rueben</t>
  </si>
  <si>
    <t>Lasha Bekauri</t>
  </si>
  <si>
    <t>Georgy Kushitashvili</t>
  </si>
  <si>
    <t>Tristani Mosakhlishvili</t>
  </si>
  <si>
    <t>Guillaume Cizeron</t>
  </si>
  <si>
    <t>Élodie Clouvel</t>
  </si>
  <si>
    <t>Jordan Sarrou</t>
  </si>
  <si>
    <t>Sya Dembélé</t>
  </si>
  <si>
    <t>Lucas Dussoulier/Timothé Vergiat</t>
  </si>
  <si>
    <t>Burak Abay</t>
  </si>
  <si>
    <t>Berke Akçam</t>
  </si>
  <si>
    <t>Berkay Öğretir</t>
  </si>
  <si>
    <t>Busenaz Sürmeneli</t>
  </si>
  <si>
    <t>Neslihan Arın</t>
  </si>
  <si>
    <t>Andranik Karapetyan</t>
  </si>
  <si>
    <t>Fayik Abdi</t>
  </si>
  <si>
    <t>Nia Akins</t>
  </si>
  <si>
    <t>Nikhil Alleyne</t>
  </si>
  <si>
    <t>Chidinma Okeke/Michelle Alozie</t>
  </si>
  <si>
    <t>Thomas Augusto</t>
  </si>
  <si>
    <t>Bryce Bennett</t>
  </si>
  <si>
    <t>Luisa Blanco</t>
  </si>
  <si>
    <t>Savilia Blunk</t>
  </si>
  <si>
    <t>Gavin Bottger</t>
  </si>
  <si>
    <t>Blake Broszus</t>
  </si>
  <si>
    <t>Brittany Brown</t>
  </si>
  <si>
    <t>Tate Carew</t>
  </si>
  <si>
    <t>Dylan Carter</t>
  </si>
  <si>
    <t>Keely Cashman</t>
  </si>
  <si>
    <t>Madison Chock</t>
  </si>
  <si>
    <t>Grant Clancy</t>
  </si>
  <si>
    <t>Malcolm Clemons</t>
  </si>
  <si>
    <t>Anna Cockrell</t>
  </si>
  <si>
    <t>Griffin Colapinto</t>
  </si>
  <si>
    <t>Karl Cook</t>
  </si>
  <si>
    <t>Caspar Corbeau</t>
  </si>
  <si>
    <t>James Corrigan</t>
  </si>
  <si>
    <t>Azja Czajkowski</t>
  </si>
  <si>
    <t>McKenna DeBever</t>
  </si>
  <si>
    <t>Rebecca-Aimee Diaconescu</t>
  </si>
  <si>
    <t>Annaliese Dragan</t>
  </si>
  <si>
    <t>Amit Elor</t>
  </si>
  <si>
    <t>Chase Budinger/Miles Evans</t>
  </si>
  <si>
    <t>Ashley Farquharson</t>
  </si>
  <si>
    <t>Lyon Farrell</t>
  </si>
  <si>
    <t>Alex Fiva</t>
  </si>
  <si>
    <t>Taylor Fritz</t>
  </si>
  <si>
    <t>Taylor Fritz/Tommy Paul</t>
  </si>
  <si>
    <t>Taylor Fritz/Coco Gauff</t>
  </si>
  <si>
    <t>Marcos Giron</t>
  </si>
  <si>
    <t>Rachel Glenn</t>
  </si>
  <si>
    <t>Catalina Gnoriega</t>
  </si>
  <si>
    <t>Daniel Golubovic</t>
  </si>
  <si>
    <t>Jajaira Gonzalez</t>
  </si>
  <si>
    <t>Kate Gray</t>
  </si>
  <si>
    <t>Natalia Grossman</t>
  </si>
  <si>
    <t>Eileen Gu</t>
  </si>
  <si>
    <t>Sondre Guttormsen</t>
  </si>
  <si>
    <t>John Steel Hagenbuch</t>
  </si>
  <si>
    <t>Elizabeth Halliday</t>
  </si>
  <si>
    <t>Hans Henken</t>
  </si>
  <si>
    <t>Nikki Hiltz</t>
  </si>
  <si>
    <t>Spencer Howe</t>
  </si>
  <si>
    <t>Kelly Cheng/Sara Hughes</t>
  </si>
  <si>
    <t>AJ Hurt/Keely Cashman</t>
  </si>
  <si>
    <t>AJ Hurt</t>
  </si>
  <si>
    <t>Nyjah Huston</t>
  </si>
  <si>
    <t>Shortboard Classification</t>
  </si>
  <si>
    <t>Kanoa Igarashi</t>
  </si>
  <si>
    <t>Nick Itkin</t>
  </si>
  <si>
    <t>Kanak Jha</t>
  </si>
  <si>
    <t>Chris Joslin</t>
  </si>
  <si>
    <t>Sam Kendricks</t>
  </si>
  <si>
    <t>Julia Kern</t>
  </si>
  <si>
    <t>Chloe Kim</t>
  </si>
  <si>
    <t>Kara Kohler</t>
  </si>
  <si>
    <t>Danielle Collins/Desirae Krawczyk</t>
  </si>
  <si>
    <t>Kamren Larsen</t>
  </si>
  <si>
    <t>David Liebenberg/Sarah Newberry-Moore</t>
  </si>
  <si>
    <t>Ruby Lilley</t>
  </si>
  <si>
    <t>Alysa Liu</t>
  </si>
  <si>
    <t>Logan Edra</t>
  </si>
  <si>
    <t>Amanda Longan/Ashleigh Johnson</t>
  </si>
  <si>
    <t>Brandon Loschiavo</t>
  </si>
  <si>
    <t>Alexander Massialas</t>
  </si>
  <si>
    <t>Maddie Mastro</t>
  </si>
  <si>
    <t>Alexander Massialas/Gerek Meinhardt/Miles Chamley-Watson/Nick Itkin</t>
  </si>
  <si>
    <t>Gerek Meinhardt</t>
  </si>
  <si>
    <t>Elana Meyers Taylor</t>
  </si>
  <si>
    <t>Collin Morikawa</t>
  </si>
  <si>
    <t>Daniela Moroz</t>
  </si>
  <si>
    <t>Lin Nakanishi</t>
  </si>
  <si>
    <t>CJ Nickolas</t>
  </si>
  <si>
    <t>Jenna Nighswonger/Naomi Girma/Tierna Davidson</t>
  </si>
  <si>
    <t>Michael Norman</t>
  </si>
  <si>
    <t>Nina O'Brien</t>
  </si>
  <si>
    <t>Fiona O'Keeffe</t>
  </si>
  <si>
    <t>Alex Obert/Benjamin Hallock</t>
  </si>
  <si>
    <t>Ifeoma Onumonu</t>
  </si>
  <si>
    <t>Keegan Palmer</t>
  </si>
  <si>
    <t>Dominique Parrish</t>
  </si>
  <si>
    <t>Andrew Benesh/Miles Partain</t>
  </si>
  <si>
    <t>Džeja Patrika</t>
  </si>
  <si>
    <t>Isaiah Piñeiro</t>
  </si>
  <si>
    <t>Anthony Ponomarenko</t>
  </si>
  <si>
    <t>Isalys Quiñones</t>
  </si>
  <si>
    <t>Mystique Ro</t>
  </si>
  <si>
    <t>Jewel Roemer/Jordan Raney/Ryann Neushul</t>
  </si>
  <si>
    <t>Levi Ruivivar</t>
  </si>
  <si>
    <t>Mia Rycraw</t>
  </si>
  <si>
    <t>Omar Salim</t>
  </si>
  <si>
    <t>Tom Schaar</t>
  </si>
  <si>
    <t>Xander Schauffele</t>
  </si>
  <si>
    <t>JC Schoonmaker</t>
  </si>
  <si>
    <t>Michelle Sechser/Molly Reckford</t>
  </si>
  <si>
    <t>Ena Shibahara/Shuko Aoyama</t>
  </si>
  <si>
    <t>Ena Shibahara</t>
  </si>
  <si>
    <t>Howard Shu</t>
  </si>
  <si>
    <t>Skylar Sieben</t>
  </si>
  <si>
    <t>Caitlin Simmers</t>
  </si>
  <si>
    <t>David Smith</t>
  </si>
  <si>
    <t>Taylor Spivey</t>
  </si>
  <si>
    <t>Emily Ausmus/Jenna Flynn/Kaleigh Gilchrist/Madeline Musselman/Maggie Steffens/Rachel Fattal</t>
  </si>
  <si>
    <t>Minna Stess</t>
  </si>
  <si>
    <t>Rachel Stoyanov</t>
  </si>
  <si>
    <t>Chelsea Gray/Diana Taurasi/Kelsey Plum/Sabrina Ionescu</t>
  </si>
  <si>
    <t>Elisavet Teltsidou</t>
  </si>
  <si>
    <t>Davon Reed/Jordan Howard/Stephen Thompson Jr.</t>
  </si>
  <si>
    <t>Declan Tingay</t>
  </si>
  <si>
    <t>Matai Leuta/Stephen Tomasin</t>
  </si>
  <si>
    <t>Luca Urlando</t>
  </si>
  <si>
    <t>Jennifer Valente</t>
  </si>
  <si>
    <t>Jennifer Valente/Lily Williams</t>
  </si>
  <si>
    <t>Alex Bowen/Chase Dodd/Hannes Daube/Johnny Hooper/Marko Vavic/Max Irving/Ryder Dodd</t>
  </si>
  <si>
    <t>Maka Unufe/Marcus Tupuola/Naima Fuala'au/Perry Baker/Pita Vi</t>
  </si>
  <si>
    <t>Lilia Vu</t>
  </si>
  <si>
    <t>Adrian Weinberg/Drew Holland</t>
  </si>
  <si>
    <t>Abbey Weitzeil/Erika Connolly</t>
  </si>
  <si>
    <t>Bryce Wettstein</t>
  </si>
  <si>
    <t>Justine Wong-Orantes</t>
  </si>
  <si>
    <t>Dylan Woodhead</t>
  </si>
  <si>
    <t>Gianna Woodruff</t>
  </si>
  <si>
    <t>Annie Xu/Kerry Xu</t>
  </si>
  <si>
    <t>Nicolas Young</t>
  </si>
  <si>
    <t>Joshua Yuan/Vinson Chiu</t>
  </si>
  <si>
    <t>Lily Zhang</t>
  </si>
  <si>
    <t>Amy Wang/Lily Zhang/Rachel Sung</t>
  </si>
  <si>
    <t>Rose Zhang</t>
  </si>
  <si>
    <t>Valentina Raposo</t>
  </si>
  <si>
    <t>Martin Fuksa/Petr Fuksa Jr.</t>
  </si>
  <si>
    <t>Martin Fuksa</t>
  </si>
  <si>
    <t>Alena Labaštová</t>
  </si>
  <si>
    <t>Tomáš Macháč</t>
  </si>
  <si>
    <t>Daniel Mrázek</t>
  </si>
  <si>
    <t>Vít Müller</t>
  </si>
  <si>
    <t>Veronika Novotná</t>
  </si>
  <si>
    <t>Miloslav Příhoda Jr.</t>
  </si>
  <si>
    <t>Jiří Prskavec</t>
  </si>
  <si>
    <t>Lukáš Rohan</t>
  </si>
  <si>
    <t>Jakub Špicar</t>
  </si>
  <si>
    <t>Marie-Sára Štochlová</t>
  </si>
  <si>
    <t>Barbora Šumová</t>
  </si>
  <si>
    <t>Mathias Vacek</t>
  </si>
  <si>
    <t>Alastair Chalmers</t>
  </si>
  <si>
    <t>Heather Watson</t>
  </si>
  <si>
    <t>Joe Salisbury/Heather Watson</t>
  </si>
  <si>
    <t>Philip Broberg</t>
  </si>
  <si>
    <t>Chang Hao</t>
  </si>
  <si>
    <t>Chang Yani</t>
  </si>
  <si>
    <t>Luo Huan</t>
  </si>
  <si>
    <t>Peng Xuwei</t>
  </si>
  <si>
    <t>Sun Jiajun</t>
  </si>
  <si>
    <t>Long Daoyi/Wang Zongyuan</t>
  </si>
  <si>
    <t>Wang Zongyuan</t>
  </si>
  <si>
    <t>Xiong Shiqi</t>
  </si>
  <si>
    <t>Zheng Qinwen</t>
  </si>
  <si>
    <t>Huo Shuo/Jubayi Saikeyi</t>
  </si>
  <si>
    <t>Wang Zheng</t>
  </si>
  <si>
    <t>Gulijienaiti Adikeyoumu/Zhao Jiaying</t>
  </si>
  <si>
    <t>Huo Shuo/Jubayi Seikeyi/Gulijienaiti Adikeyoumu/Wang Peixuan/Zhao Jiaying</t>
  </si>
  <si>
    <t>Zheng Saisai</t>
  </si>
  <si>
    <t>Gašper Brecl</t>
  </si>
  <si>
    <t>Enej Marinič</t>
  </si>
  <si>
    <t>Alen Pajenk</t>
  </si>
  <si>
    <t>Barbara Lazović/Tjaša Stanko</t>
  </si>
  <si>
    <t>Tonček Štern</t>
  </si>
  <si>
    <t>Rok Možič/Žiga Štern</t>
  </si>
  <si>
    <t>Linda Angounou</t>
  </si>
  <si>
    <t>Bam Adebayo/Joel Embiid</t>
  </si>
  <si>
    <t>Marie Fegue</t>
  </si>
  <si>
    <t>Bernardin Kingué Matam</t>
  </si>
  <si>
    <t>Dora Tchakounté</t>
  </si>
  <si>
    <t>Lysa Tchaptchet</t>
  </si>
  <si>
    <t>Reynaldo Espinosa</t>
  </si>
  <si>
    <t>Marcos Rojas</t>
  </si>
  <si>
    <t>Shannon-Ogbani Abeda</t>
  </si>
  <si>
    <t>Kiki Alexander</t>
  </si>
  <si>
    <t>Taylor Austin</t>
  </si>
  <si>
    <t>Jaime Czarkowski</t>
  </si>
  <si>
    <t>Brooke D'Hondt</t>
  </si>
  <si>
    <t>Gabriella Durante</t>
  </si>
  <si>
    <t>Natalie Eilers</t>
  </si>
  <si>
    <t>Yvonne Ejim</t>
  </si>
  <si>
    <t>Margo Erlam</t>
  </si>
  <si>
    <t>Yohan Eskrick-Parkinson</t>
  </si>
  <si>
    <t>Emma Finlin</t>
  </si>
  <si>
    <t>Grant Fisher</t>
  </si>
  <si>
    <t>Jasper Fleming</t>
  </si>
  <si>
    <t>Felicity Geremia</t>
  </si>
  <si>
    <t>Cassidy Gray</t>
  </si>
  <si>
    <t>Daniel Gu</t>
  </si>
  <si>
    <t>Kaillie Humphries</t>
  </si>
  <si>
    <t>Tye Ikeda</t>
  </si>
  <si>
    <t>Alison Jackson</t>
  </si>
  <si>
    <t>Sophia Jensen</t>
  </si>
  <si>
    <t>Yuri Kisil</t>
  </si>
  <si>
    <t>Francis Lekness</t>
  </si>
  <si>
    <t>Rory Linkletter</t>
  </si>
  <si>
    <t>Andrew Longino</t>
  </si>
  <si>
    <t>Melissa Lotholz</t>
  </si>
  <si>
    <t>Brendan Mackay</t>
  </si>
  <si>
    <t>Dylan Marineau</t>
  </si>
  <si>
    <t>Emerance Maschmeyer</t>
  </si>
  <si>
    <t>Nicole Maurer</t>
  </si>
  <si>
    <t>Brooklyn McDougall</t>
  </si>
  <si>
    <t>Caeli McKay</t>
  </si>
  <si>
    <t>Xavier McKeever</t>
  </si>
  <si>
    <t>Finley Melville Ives</t>
  </si>
  <si>
    <t>Nadia Moser</t>
  </si>
  <si>
    <t>Jonnie Newman/Kenzie Priddell</t>
  </si>
  <si>
    <t>Emma O'Croinin</t>
  </si>
  <si>
    <t>Sarah Orban</t>
  </si>
  <si>
    <t>Pascale Paradis</t>
  </si>
  <si>
    <t>Kindred Paul</t>
  </si>
  <si>
    <t>Kacie Bosch/Katherine Plouffe/Michelle Plouffe/Paige Crozon</t>
  </si>
  <si>
    <t>Beattie Podulsky/Kailey Allan</t>
  </si>
  <si>
    <t>Jeffrey Read</t>
  </si>
  <si>
    <t>Britt Richardson</t>
  </si>
  <si>
    <t>Adam Runnalls</t>
  </si>
  <si>
    <t>Adam Runnalls/Jasper Fleming/Logan Pletz</t>
  </si>
  <si>
    <t>Adam Runnalls/Jasper Fleming/Nadia Moser/Pascale Paradis</t>
  </si>
  <si>
    <t>Cassie Sharpe</t>
  </si>
  <si>
    <t>Molly Simpson</t>
  </si>
  <si>
    <t>Rebecca Smith</t>
  </si>
  <si>
    <t>Thomas Stephen</t>
  </si>
  <si>
    <t>Abigail Strate</t>
  </si>
  <si>
    <t>Darcy Kuemper/Logan Thompson</t>
  </si>
  <si>
    <t>Brett Walsh/Luke Herr</t>
  </si>
  <si>
    <t>Rylan Wiens</t>
  </si>
  <si>
    <t>Lorne Wigginton</t>
  </si>
  <si>
    <t>Cole Zajanski/Devin Wardrope</t>
  </si>
  <si>
    <t>Karim Abokahla</t>
  </si>
  <si>
    <t>Mohamed El-Beialy</t>
  </si>
  <si>
    <t>Abdellatif Mohamed</t>
  </si>
  <si>
    <t>Leslie Romero</t>
  </si>
  <si>
    <t>Leodán Torrealba</t>
  </si>
  <si>
    <t>Rodrigo Conde</t>
  </si>
  <si>
    <t>Rodrigo Corrales</t>
  </si>
  <si>
    <t>Pablo Crespo</t>
  </si>
  <si>
    <t>Carolina García</t>
  </si>
  <si>
    <t>Rodrigo Germade</t>
  </si>
  <si>
    <t>Antía Jácome</t>
  </si>
  <si>
    <t>Ester Navarrete</t>
  </si>
  <si>
    <t>Manuel Ochoa</t>
  </si>
  <si>
    <t>Carolina García/Teresa Portela</t>
  </si>
  <si>
    <t>Bendegúz Bóka/Pedro Rodríguez</t>
  </si>
  <si>
    <t>Antonio Serrat Seoane</t>
  </si>
  <si>
    <t>Yann Chaussinand</t>
  </si>
  <si>
    <t>Félix Duchampt</t>
  </si>
  <si>
    <t>Laëtitia Guapo</t>
  </si>
  <si>
    <t>Léa Labrousse</t>
  </si>
  <si>
    <t>Simon Andreassen</t>
  </si>
  <si>
    <t>Viktor Axelsen</t>
  </si>
  <si>
    <t>Daniel Bachmann Andersen</t>
  </si>
  <si>
    <t>Kathrine Heindahl</t>
  </si>
  <si>
    <t>Nicolai Højgaard</t>
  </si>
  <si>
    <t>Anders Koch</t>
  </si>
  <si>
    <t>Rasmus Pedersen/Tobias Aagaard Hansen</t>
  </si>
  <si>
    <t>Henrik Møllgaard/Niclas Kirkeløkke/Simon Pytlick</t>
  </si>
  <si>
    <t>Natacha Saouma-Pedersen</t>
  </si>
  <si>
    <t>Andreas Schou</t>
  </si>
  <si>
    <t>Nikolai Terteryan</t>
  </si>
  <si>
    <t>Maiken Fruergaard/Sara Thygesen</t>
  </si>
  <si>
    <t>Karen Mortensen/Sofie Vikkelsø</t>
  </si>
  <si>
    <t>Caroline Wozniacki</t>
  </si>
  <si>
    <t>Wendy Holdener</t>
  </si>
  <si>
    <t>Corinne Suter</t>
  </si>
  <si>
    <t>Michael Vogt</t>
  </si>
  <si>
    <t>Yeni Arias</t>
  </si>
  <si>
    <t>Víctor Bolaños</t>
  </si>
  <si>
    <t>Jorge Enríquez</t>
  </si>
  <si>
    <t>Erika Lasso</t>
  </si>
  <si>
    <t>Luis Mosquera</t>
  </si>
  <si>
    <t>Lesman Paredes</t>
  </si>
  <si>
    <t>Linda Caicedo/Manuela Pavi</t>
  </si>
  <si>
    <t>Jhonny Rentería</t>
  </si>
  <si>
    <t>Tatiana Rentería</t>
  </si>
  <si>
    <t>John Édison Rodríguez</t>
  </si>
  <si>
    <t>Flor Ruiz</t>
  </si>
  <si>
    <t>Queen Villegas</t>
  </si>
  <si>
    <t>Men's Combined Classification</t>
  </si>
  <si>
    <t>Women's Combined Classification</t>
  </si>
  <si>
    <t>Noemi Neubauerová/Sára Čajanová</t>
  </si>
  <si>
    <t>Tomáš Habarta</t>
  </si>
  <si>
    <t>David Klammert</t>
  </si>
  <si>
    <t>Hana Matelová</t>
  </si>
  <si>
    <t>Petr Meindlschmid</t>
  </si>
  <si>
    <t>Linda Nosková</t>
  </si>
  <si>
    <t>Daniel Paulus</t>
  </si>
  <si>
    <t>František Smetana</t>
  </si>
  <si>
    <t>Klára Ulrichová</t>
  </si>
  <si>
    <t>Mashael Al-Ayed</t>
  </si>
  <si>
    <t>Hussain Al-Hizam</t>
  </si>
  <si>
    <t>Hannah Auchentaller</t>
  </si>
  <si>
    <t>Patrick Baumgartner</t>
  </si>
  <si>
    <t>Jasmin Coratti</t>
  </si>
  <si>
    <t>Samuel Costa</t>
  </si>
  <si>
    <t>Iris de Martin Pinter</t>
  </si>
  <si>
    <t>Alba De Silvestro</t>
  </si>
  <si>
    <t>Nadia Delago</t>
  </si>
  <si>
    <t>Nicol Delago</t>
  </si>
  <si>
    <t>Leon Felderer</t>
  </si>
  <si>
    <t>Dominik Fischnaller</t>
  </si>
  <si>
    <t>Roland Fischnaller</t>
  </si>
  <si>
    <t>Barbara Gambaro</t>
  </si>
  <si>
    <t>Maria Gasslitter</t>
  </si>
  <si>
    <t>Tommaso Giacomel</t>
  </si>
  <si>
    <t>Simone Giannelli</t>
  </si>
  <si>
    <t>Daniel Grassl</t>
  </si>
  <si>
    <t>Alex Gufler</t>
  </si>
  <si>
    <t>Lukas Hofer</t>
  </si>
  <si>
    <t>Verena Hofer</t>
  </si>
  <si>
    <t>Christof Innerhofer</t>
  </si>
  <si>
    <t>Alex Insam</t>
  </si>
  <si>
    <t>Tobias Kastlunger</t>
  </si>
  <si>
    <t>Aaron Kostner</t>
  </si>
  <si>
    <t>Aaron Kostner/Samuel Costa</t>
  </si>
  <si>
    <t>Jessica Malsiner</t>
  </si>
  <si>
    <t>Aaron March</t>
  </si>
  <si>
    <t>Fabian Malleier/Ivan Nagler</t>
  </si>
  <si>
    <t>Dominik Paris</t>
  </si>
  <si>
    <t>Giorgia Piccolin</t>
  </si>
  <si>
    <t>Emanuel Rieder/Simon Kainzwaldner</t>
  </si>
  <si>
    <t>Sandra Robatscher</t>
  </si>
  <si>
    <t>Florian Schieder</t>
  </si>
  <si>
    <t>Florian Schieder/Tobias Kastlunger</t>
  </si>
  <si>
    <t>Verena Steinhauser</t>
  </si>
  <si>
    <t>Alex Trivellato/Daniel Glira/Thomas Larkin</t>
  </si>
  <si>
    <t>Anna Trocker</t>
  </si>
  <si>
    <t>Anna Trocker/Nicol Delago</t>
  </si>
  <si>
    <t>Damian Clara/Gianluca Vallini</t>
  </si>
  <si>
    <t>Maybritt Vigl</t>
  </si>
  <si>
    <t>Alex Vinatzer</t>
  </si>
  <si>
    <t>Omar Visintin</t>
  </si>
  <si>
    <t>Debora Vivarelli</t>
  </si>
  <si>
    <t>Andrea Vötter/Marion Oberhofer</t>
  </si>
  <si>
    <t>Dominik Fischnaller/Emanuel Rieder/Simon Kainzwaldner/Andrea Vötter/Marion Oberhofer/Verena Hofer</t>
  </si>
  <si>
    <t>Dorothea Wierer</t>
  </si>
  <si>
    <t>Lukas Hofer/Tommaso Giacomel/Dorothea Wierer</t>
  </si>
  <si>
    <t>Dominik Zuech</t>
  </si>
  <si>
    <t>La Memo</t>
  </si>
  <si>
    <t>Julián Álvarez/Lucas Beltrán/Luciano Gondou</t>
  </si>
  <si>
    <t>Romina Biagioli</t>
  </si>
  <si>
    <t>Macarena Ceballos</t>
  </si>
  <si>
    <t>Chiara Ferretti</t>
  </si>
  <si>
    <t>Cande Moreno</t>
  </si>
  <si>
    <t>Fernanda Russo</t>
  </si>
  <si>
    <t>Tomás Santiago</t>
  </si>
  <si>
    <t>Germán Schulz</t>
  </si>
  <si>
    <t>Ilfat Abdullin</t>
  </si>
  <si>
    <t>Milana Geneva</t>
  </si>
  <si>
    <t>Aleksandr Yeremenko</t>
  </si>
  <si>
    <t>Demeu Zhadrayev</t>
  </si>
  <si>
    <t>Dauletkeldi Zhangbyrbay</t>
  </si>
  <si>
    <t>Aleksandr Yeremenko/Dauletkeldi Zhangbyrbay/Ilfat Abdullin</t>
  </si>
  <si>
    <t>Simon Doueihy</t>
  </si>
  <si>
    <t>Samer Tawk</t>
  </si>
  <si>
    <t>Dechapol Puavaranukroh</t>
  </si>
  <si>
    <t>Maghnès Akliouche</t>
  </si>
  <si>
    <t>Cassandre Beaugrand</t>
  </si>
  <si>
    <t>Vicki Becho</t>
  </si>
  <si>
    <t>Mehdi Bouloussa</t>
  </si>
  <si>
    <t>Amandine Buchard</t>
  </si>
  <si>
    <t>Aurélien Diesse</t>
  </si>
  <si>
    <t>Axelle Étienne</t>
  </si>
  <si>
    <t>Walide Khyar</t>
  </si>
  <si>
    <t>Althéa Laurin</t>
  </si>
  <si>
    <t>Mehdi Marzouki/Romain Marion-Vernoux/Ugo Crousillat</t>
  </si>
  <si>
    <t>Jean-Philippe Mateta/Michael Olise</t>
  </si>
  <si>
    <t>Prithika Pavade</t>
  </si>
  <si>
    <t>Tom Reux</t>
  </si>
  <si>
    <t>Amina Zidani</t>
  </si>
  <si>
    <t>Illia Kovtun</t>
  </si>
  <si>
    <t>Serhiy Kulish</t>
  </si>
  <si>
    <t>Yaroslav Zhmudenko</t>
  </si>
  <si>
    <t>Kristrún Guðnadóttir</t>
  </si>
  <si>
    <t>Erna Sóley Gunnarsdóttir</t>
  </si>
  <si>
    <t>Edda Hannesdóttir</t>
  </si>
  <si>
    <t>Anton McKee</t>
  </si>
  <si>
    <t>Quan Ye</t>
  </si>
  <si>
    <t>Liam Adcock</t>
  </si>
  <si>
    <t>Emily Arthur</t>
  </si>
  <si>
    <t>Joshua Azzopardi</t>
  </si>
  <si>
    <t>Joshua Azzopardi/Lachlan Kennedy</t>
  </si>
  <si>
    <t>Hwan Bae</t>
  </si>
  <si>
    <t>Josie Baff</t>
  </si>
  <si>
    <t>Jocelyn Bartram</t>
  </si>
  <si>
    <t>Ella Beere</t>
  </si>
  <si>
    <t>Ella Beere/Yale Steinepreis</t>
  </si>
  <si>
    <t>Joshua Bell</t>
  </si>
  <si>
    <t>Catriona Bisset</t>
  </si>
  <si>
    <t>Emma Bosco</t>
  </si>
  <si>
    <t>Peter Boukouvalas</t>
  </si>
  <si>
    <t>Michelle Bromley</t>
  </si>
  <si>
    <t>Rohan Browning</t>
  </si>
  <si>
    <t>Kyle Bruce</t>
  </si>
  <si>
    <t>Sarah Carli</t>
  </si>
  <si>
    <t>Izac Carracher</t>
  </si>
  <si>
    <t>Andrew Charter</t>
  </si>
  <si>
    <t>Liz Clay</t>
  </si>
  <si>
    <t>Abbey Connor</t>
  </si>
  <si>
    <t>Jim Colley/Shaun Connor</t>
  </si>
  <si>
    <t>Chloe Covell</t>
  </si>
  <si>
    <t>Phoebe Cridland</t>
  </si>
  <si>
    <t>Shannan Davey</t>
  </si>
  <si>
    <t>Rose Davies</t>
  </si>
  <si>
    <t>Jake Harvie/Matthew Dawson</t>
  </si>
  <si>
    <t>Alex de Minaur</t>
  </si>
  <si>
    <t>Thaisa Erwin</t>
  </si>
  <si>
    <t>Cara Feain-Ryan</t>
  </si>
  <si>
    <t>Rosie Fordham</t>
  </si>
  <si>
    <t>Phoebe Cridland/Rosie Fordham</t>
  </si>
  <si>
    <t>Kiera Gazzard</t>
  </si>
  <si>
    <t>Laura Gourley/Rowena Meredith</t>
  </si>
  <si>
    <t>Matt Graham</t>
  </si>
  <si>
    <t>Sienna Green</t>
  </si>
  <si>
    <t>Thomas Green</t>
  </si>
  <si>
    <t>Lara Hamilton</t>
  </si>
  <si>
    <t>Holly Harris</t>
  </si>
  <si>
    <t>Meg Harris</t>
  </si>
  <si>
    <t>Amelie Haskell</t>
  </si>
  <si>
    <t>Noah Havard/Riley Fitzsimmons</t>
  </si>
  <si>
    <t>Bronte Halligan/Keesja Gofers/Sienna Hearn/Zoe Arancini</t>
  </si>
  <si>
    <t>Phoebe Heaydon</t>
  </si>
  <si>
    <t>Caitlin Foord/Michelle Heyman</t>
  </si>
  <si>
    <t>Ally Hickman</t>
  </si>
  <si>
    <t>Rinky Hijikata</t>
  </si>
  <si>
    <t>Tiffany Ho</t>
  </si>
  <si>
    <t>Oliver Hoare</t>
  </si>
  <si>
    <t>Madison Hoffman</t>
  </si>
  <si>
    <t>Jarryd Hughes</t>
  </si>
  <si>
    <t>Jessica Jolliffe</t>
  </si>
  <si>
    <t>Lauren Jackson</t>
  </si>
  <si>
    <t>Genevieve Janse van Rensburg</t>
  </si>
  <si>
    <t>Michelle Jenneke</t>
  </si>
  <si>
    <t>Moesha Johnson</t>
  </si>
  <si>
    <t>Joshua Katz</t>
  </si>
  <si>
    <t>Matilda Kearns</t>
  </si>
  <si>
    <t>Maddison Keeney</t>
  </si>
  <si>
    <t>Alanna Kennedy/Clare Hunt/Ellie Carpenter</t>
  </si>
  <si>
    <t>Adam Lambert</t>
  </si>
  <si>
    <t>Adam Lambert/Josie Baff</t>
  </si>
  <si>
    <t>Angus Lambie</t>
  </si>
  <si>
    <t>Jayden Lawrence</t>
  </si>
  <si>
    <t>Se-Bom Lee</t>
  </si>
  <si>
    <t>Ellen Soehol Lie</t>
  </si>
  <si>
    <t>Ellen Soehol Lie/Phoebe Cridland/Rosie Fordham</t>
  </si>
  <si>
    <t>Boyd Martin</t>
  </si>
  <si>
    <t>Bree Masters/Kristie Edwards</t>
  </si>
  <si>
    <t>Bree Masters</t>
  </si>
  <si>
    <t>Nicola Olyslagers</t>
  </si>
  <si>
    <t>Morgan McDonald</t>
  </si>
  <si>
    <t>Cameron McEntyre</t>
  </si>
  <si>
    <t>Caitlin McFarlane</t>
  </si>
  <si>
    <t>Caitlin McFarlane/Camille Cerutti</t>
  </si>
  <si>
    <t>Emma McKeon</t>
  </si>
  <si>
    <t>Emma McKeon/Iona Anderson/Meg Harris</t>
  </si>
  <si>
    <t>Grae Morris</t>
  </si>
  <si>
    <t>Connor Murphy</t>
  </si>
  <si>
    <t>George Murphy</t>
  </si>
  <si>
    <t>Emma Nedov</t>
  </si>
  <si>
    <t>Jacqueline Nichele</t>
  </si>
  <si>
    <t>Connor O'Leary</t>
  </si>
  <si>
    <t>Brianna Throssell/Lani Pallister</t>
  </si>
  <si>
    <t>Lani Pallister</t>
  </si>
  <si>
    <t>Emma Nedov/Ruby Pass</t>
  </si>
  <si>
    <t>Ruby Pass</t>
  </si>
  <si>
    <t>Henry Hutchison/Henry Paterson/Mark Nawaqanitawase/Nathan Lawson</t>
  </si>
  <si>
    <t>Ellen Perez</t>
  </si>
  <si>
    <t>Molly Picklum</t>
  </si>
  <si>
    <t>Ato Plodzicki-Faoagali</t>
  </si>
  <si>
    <t>Alexei Popyrin</t>
  </si>
  <si>
    <t>John Hedges/Nic Porter</t>
  </si>
  <si>
    <t>Risi Pouri-Lane</t>
  </si>
  <si>
    <t>Nathan Power</t>
  </si>
  <si>
    <t>Evie Haseldine/Olivia Price</t>
  </si>
  <si>
    <t>Tina Rahimi</t>
  </si>
  <si>
    <t>Rachael Gunn</t>
  </si>
  <si>
    <t>Tara Rigney</t>
  </si>
  <si>
    <t>Alice Robinson</t>
  </si>
  <si>
    <t>Shane Rose</t>
  </si>
  <si>
    <t>Shane Rose/Shenae Lowings</t>
  </si>
  <si>
    <t>Georgina Rowe/Giorgia Patten/Jacqui Swick</t>
  </si>
  <si>
    <t>Lauren Ryan</t>
  </si>
  <si>
    <t>Zoi Sadowski-Synnott</t>
  </si>
  <si>
    <t>Dane Sampson</t>
  </si>
  <si>
    <t>Danielle Scott</t>
  </si>
  <si>
    <t>Hilary Scott</t>
  </si>
  <si>
    <t>Brendon Smith</t>
  </si>
  <si>
    <t>Kieran Smith</t>
  </si>
  <si>
    <t>Brandon Starc</t>
  </si>
  <si>
    <t>Alice Arnott/Grace Stewart</t>
  </si>
  <si>
    <t>Teremoana Teremoana</t>
  </si>
  <si>
    <t>Bienne Terita/Faith Nathan/Teagan Levi/Tia Hinds</t>
  </si>
  <si>
    <t>Ben Dowling/Corey Toole/Dietrich Roache/Hayden Sargeant/Matthew Gonzalez/Maurice Longbottom</t>
  </si>
  <si>
    <t>Edwina Tops-Alexander</t>
  </si>
  <si>
    <t>Edwina Tops-Alexander/Hilary Scott/Thaisa Erwin</t>
  </si>
  <si>
    <t>Ruby Trew</t>
  </si>
  <si>
    <t>Natalie van Coevorden</t>
  </si>
  <si>
    <t>Kyra Wheatley</t>
  </si>
  <si>
    <t>Clare Wheeler/Emily Van Egmond/Tameka Yallop</t>
  </si>
  <si>
    <t>Abbey Willcox</t>
  </si>
  <si>
    <t>Abbey Willcox/Danielle Scott</t>
  </si>
  <si>
    <t>Bridget Clark/Maddison Levi/Sariah Paki/Sharni Smale</t>
  </si>
  <si>
    <t>Aran Zalewski/Flynn Ogilvie/Ky Willott/Lachlan Sharp</t>
  </si>
  <si>
    <t>Abbey Wilson</t>
  </si>
  <si>
    <t>Charlotte Wilson</t>
  </si>
  <si>
    <t>Cooper Woods</t>
  </si>
  <si>
    <t>Bradley Woodward</t>
  </si>
  <si>
    <t>Kieran Woolley</t>
  </si>
  <si>
    <t>Tyler Wright</t>
  </si>
  <si>
    <t>Melissa Wu</t>
  </si>
  <si>
    <t>William Yang</t>
  </si>
  <si>
    <t>David Young</t>
  </si>
  <si>
    <t>Hilary Kpatcha</t>
  </si>
  <si>
    <t>Anastasiya Rybachok</t>
  </si>
  <si>
    <t>Diana Dymchenko</t>
  </si>
  <si>
    <t>Stanislav Kovalov</t>
  </si>
  <si>
    <t>Andriy Protsenko</t>
  </si>
  <si>
    <t>Daryna Verkhohliad/Yevheniya Dovhodko</t>
  </si>
  <si>
    <t>Laura Bernat</t>
  </si>
  <si>
    <t>Michał Jasiczek</t>
  </si>
  <si>
    <t>Malwina Kopron</t>
  </si>
  <si>
    <t>Anhelina Łysak</t>
  </si>
  <si>
    <t>Angelika Mach</t>
  </si>
  <si>
    <t>Aleksandra Mirosław</t>
  </si>
  <si>
    <t>Monika Skinder</t>
  </si>
  <si>
    <t>Karol Zalewski/Alicja-Wrona Kutrzepa</t>
  </si>
  <si>
    <t>Sayaka Mikami</t>
  </si>
  <si>
    <t>Pablo Herrera</t>
  </si>
  <si>
    <t>Sara Sorribes</t>
  </si>
  <si>
    <t>Julien Alfred</t>
  </si>
  <si>
    <t>Sabah Shariati</t>
  </si>
  <si>
    <t>Kjetil Borch/Martin Helseth</t>
  </si>
  <si>
    <t>Jeanette Hegg Duestad</t>
  </si>
  <si>
    <t>Ingvild Gåskjenn</t>
  </si>
  <si>
    <t>Harald Reinkind</t>
  </si>
  <si>
    <t>Madelene Stavnar</t>
  </si>
  <si>
    <t>Oskar Opstad Vike</t>
  </si>
  <si>
    <t>Annamari Chundak-Dancha</t>
  </si>
  <si>
    <t>Vlada Kharkova</t>
  </si>
  <si>
    <t>Oleksandr Okipniuk</t>
  </si>
  <si>
    <t>Nelli Popovych</t>
  </si>
  <si>
    <t>Dmytro Shepiuk</t>
  </si>
  <si>
    <t>Timon Haugan</t>
  </si>
  <si>
    <t>Einar Hedegart</t>
  </si>
  <si>
    <t>Sunniva Hofstad</t>
  </si>
  <si>
    <t>Emil Iversen</t>
  </si>
  <si>
    <t>Einar Hedegart/Emil Iversen</t>
  </si>
  <si>
    <t>Lotte Lie</t>
  </si>
  <si>
    <t>Bjørn Magnussen</t>
  </si>
  <si>
    <t>Thomas Maloney Westgård</t>
  </si>
  <si>
    <t>Sondre Nordstad Moen</t>
  </si>
  <si>
    <t>Kristin Skaslien</t>
  </si>
  <si>
    <t>Astrid Slind</t>
  </si>
  <si>
    <t>Lorenzo Simonelli</t>
  </si>
  <si>
    <t>Cameron Alexander</t>
  </si>
  <si>
    <t>Lucas Ball</t>
  </si>
  <si>
    <t>Matt Berger</t>
  </si>
  <si>
    <t>Evan Bichon</t>
  </si>
  <si>
    <t>Rachel Brown</t>
  </si>
  <si>
    <t>Emily Bugeja</t>
  </si>
  <si>
    <t>Jane Channell</t>
  </si>
  <si>
    <t>Skye Clarke</t>
  </si>
  <si>
    <t>Zachary Clay</t>
  </si>
  <si>
    <t>Maggie Coles-Lyster</t>
  </si>
  <si>
    <t>Joe Davies</t>
  </si>
  <si>
    <t>Ryan Decenzo</t>
  </si>
  <si>
    <t>Sanoa Dempfle-Olin</t>
  </si>
  <si>
    <t>Amarveer Dhesi</t>
  </si>
  <si>
    <t>Justina di Stasio</t>
  </si>
  <si>
    <t>Jasmine Drolet</t>
  </si>
  <si>
    <t>Rémi Drolet</t>
  </si>
  <si>
    <t>Rémi Drolet/Thomas Stephen/Xavier McKeever</t>
  </si>
  <si>
    <t>Evan Dunfee</t>
  </si>
  <si>
    <t>Trinity Ellis</t>
  </si>
  <si>
    <t>Malindi Elmore</t>
  </si>
  <si>
    <t>Nirra Fields</t>
  </si>
  <si>
    <t>Tiffany Foster</t>
  </si>
  <si>
    <t>Elena Gaskell</t>
  </si>
  <si>
    <t>Dillan Glennie</t>
  </si>
  <si>
    <t>Julia Grosso</t>
  </si>
  <si>
    <t>Daniel Hall</t>
  </si>
  <si>
    <t>Laura Hall</t>
  </si>
  <si>
    <t>Rowan Hamilton</t>
  </si>
  <si>
    <t>Carolina Hiller-Donnelly</t>
  </si>
  <si>
    <t>Brodie Hofer</t>
  </si>
  <si>
    <t>Reece Howden</t>
  </si>
  <si>
    <t>Anna Marie Jaklová</t>
  </si>
  <si>
    <t>Anders Johnson</t>
  </si>
  <si>
    <t>Josipa Kafadar</t>
  </si>
  <si>
    <t>Ethan Katzberg</t>
  </si>
  <si>
    <t>Adam Keenan</t>
  </si>
  <si>
    <t>Avery Krumme</t>
  </si>
  <si>
    <t>Cameron Levins</t>
  </si>
  <si>
    <t>Jessica Linton</t>
  </si>
  <si>
    <t>Kieran Lumb</t>
  </si>
  <si>
    <t>Evan Dunfee/Olivia Lundman</t>
  </si>
  <si>
    <t>Malica Malherbe</t>
  </si>
  <si>
    <t>Ceili McCabe</t>
  </si>
  <si>
    <t>Fynnian McCarthy/Lucas Van Berkel</t>
  </si>
  <si>
    <t>Blaire McDowell/Hayley McKelvey/Shae La Roche</t>
  </si>
  <si>
    <t>Shallon Olsen</t>
  </si>
  <si>
    <t>Benita Peiffer</t>
  </si>
  <si>
    <t>Benita Peiffer/Nadia Moser/Pascale Paradis</t>
  </si>
  <si>
    <t>Juliette Pelchat</t>
  </si>
  <si>
    <t>Brandon Hagel/Macklin Celebrini/Sam Reinhart</t>
  </si>
  <si>
    <t>Camryn Rogers</t>
  </si>
  <si>
    <t>Gavin Rowell</t>
  </si>
  <si>
    <t>Taylor Ruck</t>
  </si>
  <si>
    <t>Margaret Mac Neil/Taylor Ruck</t>
  </si>
  <si>
    <t>Briana Scott</t>
  </si>
  <si>
    <t>Brodie Seger</t>
  </si>
  <si>
    <t>Riley Seger</t>
  </si>
  <si>
    <t>Amelia Smart</t>
  </si>
  <si>
    <t>Embyr-Lee Susko</t>
  </si>
  <si>
    <t>Marielle Thompson</t>
  </si>
  <si>
    <t>Cale Makar/Colton Parayko/Devon Toews/Josh Morrissey/Shea Theodore</t>
  </si>
  <si>
    <t>Fancy Bermudez/Keyara Wardley/Olivia Apps/Piper Logan/Shalaya Valenzuela</t>
  </si>
  <si>
    <t>Erin Attwell/Maggie Coles-Lyster/Sarah van Dam</t>
  </si>
  <si>
    <t>Caileigh Filmer/Jessica Sevick/Kristina Walker/Maya Meschkuleit/Sydney Payne</t>
  </si>
  <si>
    <t>Amelia Wells</t>
  </si>
  <si>
    <t>Regan Yee</t>
  </si>
  <si>
    <t>Nicholas Zhang</t>
  </si>
  <si>
    <t>Adrián Abadía/Nicolás García</t>
  </si>
  <si>
    <t>Nacho Baltasar</t>
  </si>
  <si>
    <t>Paula Barceló</t>
  </si>
  <si>
    <t>Cata Coll/Misa Rodríguez</t>
  </si>
  <si>
    <t>Sergio de Celis</t>
  </si>
  <si>
    <t>Margarita García</t>
  </si>
  <si>
    <t>Hugo González</t>
  </si>
  <si>
    <t>Carles Coll/Hugo González/Sergio de Celis</t>
  </si>
  <si>
    <t>Sergio Llull</t>
  </si>
  <si>
    <t>Nicolau Mir</t>
  </si>
  <si>
    <t>Nicolau Mir/Thierno Diallo</t>
  </si>
  <si>
    <t>Jaume Munar</t>
  </si>
  <si>
    <t>Rafael Nadal</t>
  </si>
  <si>
    <t>Albert Torres</t>
  </si>
  <si>
    <t>Albert Torres/Sebastián Mora</t>
  </si>
  <si>
    <t>Bryony Pitman</t>
  </si>
  <si>
    <t>Alex Wise/Bryony Pitman</t>
  </si>
  <si>
    <t>Deepika Kumari</t>
  </si>
  <si>
    <t>Anthony Montero</t>
  </si>
  <si>
    <t>Teesi Tuul</t>
  </si>
  <si>
    <t>Kate O'Connor</t>
  </si>
  <si>
    <t>Rasuljon Abdurakhimov</t>
  </si>
  <si>
    <t>Ziyodakhon Abdusattorova</t>
  </si>
  <si>
    <t>Muhammadkodir Hamraliev</t>
  </si>
  <si>
    <t>Diyor Kholmatov</t>
  </si>
  <si>
    <t>Crésus Ganira</t>
  </si>
  <si>
    <t>Lois Eliora Irishura</t>
  </si>
  <si>
    <t>Ange Ciella Niragira</t>
  </si>
  <si>
    <t>Vili Črv</t>
  </si>
  <si>
    <t>Karen Roco</t>
  </si>
  <si>
    <t>Lê Đức Phát</t>
  </si>
  <si>
    <t>Lê Thị Mộng Tuyền</t>
  </si>
  <si>
    <t>Gina del Rio</t>
  </si>
  <si>
    <t>Carla Mijares Ruf</t>
  </si>
  <si>
    <t>Maurizio Bormolini</t>
  </si>
  <si>
    <t>Michele Boscacci/Alba De Silvestro</t>
  </si>
  <si>
    <t>Michele Boscacci</t>
  </si>
  <si>
    <t>Beatrice Colli</t>
  </si>
  <si>
    <t>Elisa Confortola</t>
  </si>
  <si>
    <t>Elena Curtoni</t>
  </si>
  <si>
    <t>Arianna Fontana</t>
  </si>
  <si>
    <t>Arianna Fontana/Elisa Confortola</t>
  </si>
  <si>
    <t>Giulia Murada</t>
  </si>
  <si>
    <t>Elisa Negri</t>
  </si>
  <si>
    <t>Alena Labaštová/Elisa Negri</t>
  </si>
  <si>
    <t>Luca Spechenhauser</t>
  </si>
  <si>
    <t>Luca Spechenhauser/Arianna Fontana/Elisa Confortola</t>
  </si>
  <si>
    <t>Olfa Charni</t>
  </si>
  <si>
    <t>Ikram Dhahri</t>
  </si>
  <si>
    <t>Moez Echargui</t>
  </si>
  <si>
    <t>Fares Ferjani</t>
  </si>
  <si>
    <t>Firas Katoussi</t>
  </si>
  <si>
    <t>Chaima Toumi</t>
  </si>
  <si>
    <t>Osama Zoghlami</t>
  </si>
  <si>
    <t>Dejan Vinčič</t>
  </si>
  <si>
    <t>Vid Vrhovnik</t>
  </si>
  <si>
    <t>Gašper Brecl/Vid Vrhovnik</t>
  </si>
  <si>
    <t>Brisa Hennessy</t>
  </si>
  <si>
    <t>Milagro Mena</t>
  </si>
  <si>
    <t>Alondra Ortiz</t>
  </si>
  <si>
    <t>Lois Abbingh</t>
  </si>
  <si>
    <t>Jenning de Boo</t>
  </si>
  <si>
    <t>Chris Huizinga</t>
  </si>
  <si>
    <t>Emmelie Scholtens</t>
  </si>
  <si>
    <t>Michel Tsiba</t>
  </si>
  <si>
    <t>Melvin Twellaar</t>
  </si>
  <si>
    <t>Aleksandr Nedovyesov</t>
  </si>
  <si>
    <t>Peter Paltchik</t>
  </si>
  <si>
    <t>Simone Barontini</t>
  </si>
  <si>
    <t>Anastasia Carbonari</t>
  </si>
  <si>
    <t>Elisabetta Cocciaretto</t>
  </si>
  <si>
    <t>Carlo Macchini</t>
  </si>
  <si>
    <t>Tommaso Marini</t>
  </si>
  <si>
    <t>Sofia Raffaeli</t>
  </si>
  <si>
    <t>Alessandro Ragaini</t>
  </si>
  <si>
    <t>Mai Toriyama/Yuri Nagai</t>
  </si>
  <si>
    <t>Hidenari Mano/Konosuke Yanagimoto</t>
  </si>
  <si>
    <t>Sesenieli Donu/Vani Buleki/Verenaisi Ditavutu</t>
  </si>
  <si>
    <t>Reapi Ulunisau</t>
  </si>
  <si>
    <t>Truls Gisselman</t>
  </si>
  <si>
    <t>David Mobärg</t>
  </si>
  <si>
    <t>Erik Mobärg</t>
  </si>
  <si>
    <t>Linnea Mobärg</t>
  </si>
  <si>
    <t>Martin Ponsiluoma</t>
  </si>
  <si>
    <t>Jesper Tjäder</t>
  </si>
  <si>
    <t>Nurul Izzah Asri</t>
  </si>
  <si>
    <t>Khairulnizam Mohd Afendy</t>
  </si>
  <si>
    <t>Alex Baldoni</t>
  </si>
  <si>
    <t>Joan Duru</t>
  </si>
  <si>
    <t>Marine Fauthoux</t>
  </si>
  <si>
    <t>Sébastien Guerrero</t>
  </si>
  <si>
    <t>Vincent Milou</t>
  </si>
  <si>
    <t>Akari Fujinami</t>
  </si>
  <si>
    <t>Kenta Nishimoto</t>
  </si>
  <si>
    <t>Mana Okamura</t>
  </si>
  <si>
    <t>Haruka Nakamura/Mana Okamura</t>
  </si>
  <si>
    <t>Nishida Oura</t>
  </si>
  <si>
    <t>Takaaki Sugino</t>
  </si>
  <si>
    <t>Shunsuke Togami</t>
  </si>
  <si>
    <t>Masaru Yamada</t>
  </si>
  <si>
    <t>Anna Gibson</t>
  </si>
  <si>
    <t>Breezy Johnson</t>
  </si>
  <si>
    <t>Clément Bessaguet</t>
  </si>
  <si>
    <t>Océane Cassignol</t>
  </si>
  <si>
    <t>Kim Dumont Zanella</t>
  </si>
  <si>
    <t>Youri Duplessis-Kergomard</t>
  </si>
  <si>
    <t>Anthony Jeanjean</t>
  </si>
  <si>
    <t>Enzo Khasz</t>
  </si>
  <si>
    <t>Victor Koretzky</t>
  </si>
  <si>
    <t>Alexis Lebrun</t>
  </si>
  <si>
    <t>Alexis Lebrun/Félix Lebrun</t>
  </si>
  <si>
    <t>Félix Lebrun</t>
  </si>
  <si>
    <t>Julien Lyneel</t>
  </si>
  <si>
    <t>Carla Neisen/Lou Noël-Rivier</t>
  </si>
  <si>
    <t>Jean Patry/Théo Faure</t>
  </si>
  <si>
    <t>Laury Perez</t>
  </si>
  <si>
    <t>Matteo Arnaldi</t>
  </si>
  <si>
    <t>Susannah Berry</t>
  </si>
  <si>
    <t>Daire Lynch/Philip Doyle</t>
  </si>
  <si>
    <t>Konstantia Nikolaou</t>
  </si>
  <si>
    <t>Aikaterini Stefanidi</t>
  </si>
  <si>
    <t>Morgan Lake</t>
  </si>
  <si>
    <t>Megan Armitage</t>
  </si>
  <si>
    <t>Aifric Keogh/Fiona Murtagh</t>
  </si>
  <si>
    <t>Beibhinn Parsons/Erin King/Eve Higgins/Vicki Elmes Kinlan</t>
  </si>
  <si>
    <t>Ivan Litvinovich</t>
  </si>
  <si>
    <t>Aliaksandra Piatrova</t>
  </si>
  <si>
    <t>Liu Qingyi</t>
  </si>
  <si>
    <t>Bao Shanju</t>
  </si>
  <si>
    <t>Dou Zecheng</t>
  </si>
  <si>
    <t>Guo Yufang</t>
  </si>
  <si>
    <t>Bao Shanju/Guo Yufang</t>
  </si>
  <si>
    <t>Han Xuezhen</t>
  </si>
  <si>
    <t>Li Qian</t>
  </si>
  <si>
    <t>Li Zhongyuan</t>
  </si>
  <si>
    <t>Liu Qi</t>
  </si>
  <si>
    <t>Lu Huihui</t>
  </si>
  <si>
    <t>Su Shuaibing</t>
  </si>
  <si>
    <t>Sun Jiaqi</t>
  </si>
  <si>
    <t>Wang Haoyu</t>
  </si>
  <si>
    <t>Wu Cuicui</t>
  </si>
  <si>
    <t>Xie Zhiyu</t>
  </si>
  <si>
    <t>Yan Zheng</t>
  </si>
  <si>
    <t>Yang Ruyi</t>
  </si>
  <si>
    <t>Jianan Yuan</t>
  </si>
  <si>
    <t>Alexis Lebrun/Jianan Yuan</t>
  </si>
  <si>
    <t>Wang Zifeng/Xu Xingye/Zhang Shuxian</t>
  </si>
  <si>
    <t>Zhu Ting</t>
  </si>
  <si>
    <t>Quentin Fillon Maillet</t>
  </si>
  <si>
    <t>Laurent Mühlethaler</t>
  </si>
  <si>
    <t>Oliver Morgan</t>
  </si>
  <si>
    <t>Adele Nicoll</t>
  </si>
  <si>
    <t>Jade Carey</t>
  </si>
  <si>
    <t>Jagger Eaton</t>
  </si>
  <si>
    <t>Brady Ellison</t>
  </si>
  <si>
    <t>Paige Heyn</t>
  </si>
  <si>
    <t>Keaton Jones</t>
  </si>
  <si>
    <t>Abdihamid Nur</t>
  </si>
  <si>
    <t>Daleny Vaughn</t>
  </si>
  <si>
    <t>Cameron Wood</t>
  </si>
  <si>
    <t>Melissa Galloway</t>
  </si>
  <si>
    <t>Adrián Ben</t>
  </si>
  <si>
    <t>Niamh Fisher-Black</t>
  </si>
  <si>
    <t>Tayla Ford</t>
  </si>
  <si>
    <t>Keegan Hornblow</t>
  </si>
  <si>
    <t>Jonelle Richards-Price</t>
  </si>
  <si>
    <t>Yasmine Daghfous</t>
  </si>
  <si>
    <t>Lynda Loghraibi</t>
  </si>
  <si>
    <t>Gabriela Schloesser</t>
  </si>
  <si>
    <t>Natalia Escalera</t>
  </si>
  <si>
    <t>Alexa Moreno</t>
  </si>
  <si>
    <t>Gregoria Mariska Tunjung</t>
  </si>
  <si>
    <t>Tyquendo Tracey</t>
  </si>
  <si>
    <t>Josip Brusić</t>
  </si>
  <si>
    <t>Josip Brusić/Jane Channell</t>
  </si>
  <si>
    <t>Krešimir Crnković</t>
  </si>
  <si>
    <t>Jakov Fak</t>
  </si>
  <si>
    <t>Anika Kožica</t>
  </si>
  <si>
    <t>Matija Legović</t>
  </si>
  <si>
    <t>Matija Marinić</t>
  </si>
  <si>
    <t>Veron Načinović</t>
  </si>
  <si>
    <t>Leona Popović</t>
  </si>
  <si>
    <t>Filip Pravdica</t>
  </si>
  <si>
    <t>Marko Skender</t>
  </si>
  <si>
    <t>Ema Sobol</t>
  </si>
  <si>
    <t>Irakli Chkheidze</t>
  </si>
  <si>
    <t>Sera Azuma</t>
  </si>
  <si>
    <t>Shuichi Yoshida</t>
  </si>
  <si>
    <t>Sakura Yosozumi</t>
  </si>
  <si>
    <t>Feng Yanzhe</t>
  </si>
  <si>
    <t>Guo Zongying</t>
  </si>
  <si>
    <t>Jia Yifan</t>
  </si>
  <si>
    <t>Sun Jiajun/Wang Changhao</t>
  </si>
  <si>
    <t>Wang Changhao</t>
  </si>
  <si>
    <t>Wang Xuan</t>
  </si>
  <si>
    <t>Wang Yu</t>
  </si>
  <si>
    <t>Yan Jing</t>
  </si>
  <si>
    <t>Zhang Shuai</t>
  </si>
  <si>
    <t>Olivija Baleišytė</t>
  </si>
  <si>
    <t>Ieva Dainytė</t>
  </si>
  <si>
    <t>Liveta Jasiūnaitė</t>
  </si>
  <si>
    <t>Vasilijus Lendel</t>
  </si>
  <si>
    <t>Kevin Quintero</t>
  </si>
  <si>
    <t>Danas Rapšys</t>
  </si>
  <si>
    <t>Andrius Šidlauskas/Danas Rapšys/Tomas Lukminas</t>
  </si>
  <si>
    <t>Andrius Šidlauskas</t>
  </si>
  <si>
    <t>Christian Bosman</t>
  </si>
  <si>
    <t>Márius Fízeľ</t>
  </si>
  <si>
    <t>Nora Jenčušová</t>
  </si>
  <si>
    <t>Robert Kubin</t>
  </si>
  <si>
    <t>Zuzana Paňková</t>
  </si>
  <si>
    <t>Viktoria Praxová</t>
  </si>
  <si>
    <t>Anna Schmiedlová</t>
  </si>
  <si>
    <t>Richard Tury</t>
  </si>
  <si>
    <t>Noora Antikainen</t>
  </si>
  <si>
    <t>Heta Hirvonen</t>
  </si>
  <si>
    <t>Vilma Nissinen</t>
  </si>
  <si>
    <t>Jonni Kunnari Sarkkinen</t>
  </si>
  <si>
    <t>Arvi Savolainen</t>
  </si>
  <si>
    <t>Laura Cabanes Garzás</t>
  </si>
  <si>
    <t>Miguel Sánchez-Migallón</t>
  </si>
  <si>
    <t>Lovlina Borgohain</t>
  </si>
  <si>
    <t>Ulan Bastos Galinski</t>
  </si>
  <si>
    <t>Tatiana Chagas</t>
  </si>
  <si>
    <t>Ana Marcela Cunha</t>
  </si>
  <si>
    <t>Valdenice do Nascimento</t>
  </si>
  <si>
    <t>Beatriz Ferreira</t>
  </si>
  <si>
    <t>Keno Marley</t>
  </si>
  <si>
    <t>Mateus Nunes</t>
  </si>
  <si>
    <t>Wanderley Pereira</t>
  </si>
  <si>
    <t>Isaquias Queiroz</t>
  </si>
  <si>
    <t>Isaquias Queiroz/Jacky Godmann</t>
  </si>
  <si>
    <t>Paôla Reis</t>
  </si>
  <si>
    <t>Bárbara Santos</t>
  </si>
  <si>
    <t>Guilherme Santos</t>
  </si>
  <si>
    <t>Thomas Barr</t>
  </si>
  <si>
    <t>Alison Bergin</t>
  </si>
  <si>
    <t>Ben Johnson/Jeremy Duncan/John McKee</t>
  </si>
  <si>
    <t>Maggie Pescetto</t>
  </si>
  <si>
    <t>Djamili-Dini Aboudou</t>
  </si>
  <si>
    <t>Victoire Berteau</t>
  </si>
  <si>
    <t>Clara Copponi/Victoire Berteau</t>
  </si>
  <si>
    <t>Chaima Benadouda/Saoussen Boudiaf</t>
  </si>
  <si>
    <t>Saoussen Boudiaf</t>
  </si>
  <si>
    <t>Benoît Brunet/Guillaume Turlan/Téo Rayet/Thibaud Turlan</t>
  </si>
  <si>
    <t>Barthélémy Chinenyeze</t>
  </si>
  <si>
    <t>Chloé Galet</t>
  </si>
  <si>
    <t>François Goyet/Lucas Montécot</t>
  </si>
  <si>
    <t>Sarah Hanffou</t>
  </si>
  <si>
    <t>Manon Hostens</t>
  </si>
  <si>
    <t>Romain Imadouchène</t>
  </si>
  <si>
    <t>Hélène Karbanov</t>
  </si>
  <si>
    <t>Karim Laghouag</t>
  </si>
  <si>
    <t>Géraldine Mahieu</t>
  </si>
  <si>
    <t>Pauline Mahieu</t>
  </si>
  <si>
    <t>Romain Mahieu</t>
  </si>
  <si>
    <t>Marc-Antoine Olivier</t>
  </si>
  <si>
    <t>Alexia Richard/Lézana Placette</t>
  </si>
  <si>
    <t>Emma Ponthieu/Inès Lardeur</t>
  </si>
  <si>
    <t>Arthur Thieffry</t>
  </si>
  <si>
    <t>Étienne Tynevez/Noé Jouin</t>
  </si>
  <si>
    <t>Alexandre Bouet/Pierre-Frédéric Vanpeperstraete</t>
  </si>
  <si>
    <t>Béryl Gastaldello/Marie Wattel</t>
  </si>
  <si>
    <t>Marie Wattel</t>
  </si>
  <si>
    <t>Kim Yu-Jin</t>
  </si>
  <si>
    <t>Michaela Blyde</t>
  </si>
  <si>
    <t>Zoe Hobbs</t>
  </si>
  <si>
    <t>Jackie Kiddle</t>
  </si>
  <si>
    <t>Nika Vodan</t>
  </si>
  <si>
    <t>Pietro Bertagnoli</t>
  </si>
  <si>
    <t>Clara Guerra</t>
  </si>
  <si>
    <t>Raffaello Ivaldi</t>
  </si>
  <si>
    <t>Matteo Manassero</t>
  </si>
  <si>
    <t>Elisa Molinarolo</t>
  </si>
  <si>
    <t>Anna Polinari/Giancarla Trevisan</t>
  </si>
  <si>
    <t>Elia Viviani</t>
  </si>
  <si>
    <t>Yan Havriuk</t>
  </si>
  <si>
    <t>Dmytro Kotovskyi</t>
  </si>
  <si>
    <t>Dmytro Kotovskyi/Oleksandr Okipniuk</t>
  </si>
  <si>
    <t>Maksym Kuznietsov</t>
  </si>
  <si>
    <t>Mykhailo Romanchuk</t>
  </si>
  <si>
    <t>Mykhailo Usach</t>
  </si>
  <si>
    <t>Diana Yablonska</t>
  </si>
  <si>
    <t>Anna Costella</t>
  </si>
  <si>
    <t>Alex Ranghieri</t>
  </si>
  <si>
    <t>Fátima Diame</t>
  </si>
  <si>
    <t>Enrique Llopis</t>
  </si>
  <si>
    <t>Pedro Martínez</t>
  </si>
  <si>
    <t>Roberto Sánchez</t>
  </si>
  <si>
    <t>Chu Yuanmeng</t>
  </si>
  <si>
    <t>Han Mei</t>
  </si>
  <si>
    <t>Ahenaer Adake/Han Mei</t>
  </si>
  <si>
    <t>Fei Xueqing/Li Zhichao</t>
  </si>
  <si>
    <t>Yang Jiayu</t>
  </si>
  <si>
    <t>Zhu Yaming</t>
  </si>
  <si>
    <t>Latisha Chan</t>
  </si>
  <si>
    <t>Chen Nien-Chin</t>
  </si>
  <si>
    <t>Chien Pei-Yun</t>
  </si>
  <si>
    <t>Chou Tien-Chen</t>
  </si>
  <si>
    <t>Hsieh Su-Wei</t>
  </si>
  <si>
    <t>Hsu Wei-Ling</t>
  </si>
  <si>
    <t>Huang Hsiao-Wen</t>
  </si>
  <si>
    <t>Kuo Hsing-Chun</t>
  </si>
  <si>
    <t>Lai Chu-En</t>
  </si>
  <si>
    <t>Lien Chen-Ling</t>
  </si>
  <si>
    <t>Lin Yun-Ju</t>
  </si>
  <si>
    <t>Lin Yun-Ju/Chen Szu-Yu</t>
  </si>
  <si>
    <t>Pan Cheng-Tsung</t>
  </si>
  <si>
    <t>Tang Chih-Chun</t>
  </si>
  <si>
    <t>Tien Chia-Chen</t>
  </si>
  <si>
    <t>Yang Kun-Pi</t>
  </si>
  <si>
    <t>Rustam Assakalov</t>
  </si>
  <si>
    <t>Olesya Romasenko</t>
  </si>
  <si>
    <t>Benjamin Azamati-Kwaku</t>
  </si>
  <si>
    <t>Kenneth Bednarek/Kyree King</t>
  </si>
  <si>
    <t>Kenneth Bednarek</t>
  </si>
  <si>
    <t>Micha Hancock</t>
  </si>
  <si>
    <t>Juliette Landi</t>
  </si>
  <si>
    <t>Anabelle Zurbay</t>
  </si>
  <si>
    <t>Mauro De Filippis</t>
  </si>
  <si>
    <t>Antonella Palmisano</t>
  </si>
  <si>
    <t>Benedetta Pilato</t>
  </si>
  <si>
    <t>Matthew Coward-Holley</t>
  </si>
  <si>
    <t>Alex Haydock-Wilson/Charles Dobson/Sam Reardon/Toby Harries</t>
  </si>
  <si>
    <t>Charles Dobson</t>
  </si>
  <si>
    <t>Makayla Gerken Schofield</t>
  </si>
  <si>
    <t>Gus Kenworthy</t>
  </si>
  <si>
    <t>Alice Kinsella</t>
  </si>
  <si>
    <t>George Mills</t>
  </si>
  <si>
    <t>Lewis Richardson</t>
  </si>
  <si>
    <t>Toby Roberts</t>
  </si>
  <si>
    <t>Stefanía Gómez</t>
  </si>
  <si>
    <t>Andrea Panizza/Luca Rambaldi</t>
  </si>
  <si>
    <t>Lorenzo Previtali</t>
  </si>
  <si>
    <t>Kethobogile Haingura</t>
  </si>
  <si>
    <t>Tshepiso Masalela</t>
  </si>
  <si>
    <t>Tumo Nkape</t>
  </si>
  <si>
    <t>Victor Ntweng</t>
  </si>
  <si>
    <t>Anthony Pesela</t>
  </si>
  <si>
    <t>Leungo Scotch</t>
  </si>
  <si>
    <t>Andrej Barna/Velimir Stjepanović</t>
  </si>
  <si>
    <t>Andrej Barna</t>
  </si>
  <si>
    <t>Martin Mačković</t>
  </si>
  <si>
    <t>Charlie Negus/Chaz Poot/Matthew Byrnes/Miloš Maksimović</t>
  </si>
  <si>
    <t>Askerby Gerbekov</t>
  </si>
  <si>
    <t>Adam Burgess</t>
  </si>
  <si>
    <t>Joseph Clarke</t>
  </si>
  <si>
    <t>Adele Nicoll/Ashleigh Nelson</t>
  </si>
  <si>
    <t>Fathimath Ali</t>
  </si>
  <si>
    <t>Viren Nettasinghe</t>
  </si>
  <si>
    <t>Sanne van Dijke</t>
  </si>
  <si>
    <t>Friso Emons</t>
  </si>
  <si>
    <t>Jelen Franjic</t>
  </si>
  <si>
    <t>Janko Franjic/Jelen Franjic</t>
  </si>
  <si>
    <t>Chelsey Heijnen</t>
  </si>
  <si>
    <t>Tjep Hoedemakers</t>
  </si>
  <si>
    <t>Maya Kingma</t>
  </si>
  <si>
    <t>Harrie Lavreysen</t>
  </si>
  <si>
    <t>Menno van Gorp</t>
  </si>
  <si>
    <t>Freeke Moes/Joosje Burg</t>
  </si>
  <si>
    <t>Laura Nunnink</t>
  </si>
  <si>
    <t>Joris Otten</t>
  </si>
  <si>
    <t>Lisa Post</t>
  </si>
  <si>
    <t>Harrie Smolders</t>
  </si>
  <si>
    <t>Hetty van de Wouw</t>
  </si>
  <si>
    <t>Dave van der Burg</t>
  </si>
  <si>
    <t>Laura van der Winkel</t>
  </si>
  <si>
    <t>Gabriela Schloesser/Laura van der Winkel</t>
  </si>
  <si>
    <t>Joanne van Lieshout</t>
  </si>
  <si>
    <t>Maikel van der Vleuten</t>
  </si>
  <si>
    <t>Harrie Smolders/Maikel van der Vleuten</t>
  </si>
  <si>
    <t>Tisha Volleman</t>
  </si>
  <si>
    <t>Marianne Vos</t>
  </si>
  <si>
    <t>Yasameen Al-Raimi</t>
  </si>
  <si>
    <t>Shawna Pendry</t>
  </si>
  <si>
    <t>Chantelle Reid</t>
  </si>
  <si>
    <t>Freya Tarbit</t>
  </si>
  <si>
    <t>Amy Costello/Anna Toman/Hollie Pearne-Webb</t>
  </si>
  <si>
    <t>Olha Kharlan</t>
  </si>
  <si>
    <t>Danylo Konovalov/Oleh Kolodiy</t>
  </si>
  <si>
    <t>Oleksiy Sereda</t>
  </si>
  <si>
    <t>Olga Carmona</t>
  </si>
  <si>
    <t>Miguel de Toro</t>
  </si>
  <si>
    <t>Ilias El-Fallaki</t>
  </si>
  <si>
    <t>Jaime Canalejo/Javier García</t>
  </si>
  <si>
    <t>Pilar Lamadrid</t>
  </si>
  <si>
    <t>Ana Pérez</t>
  </si>
  <si>
    <t>María Isabel Pérez/Paula Sevilla/Sonia Molina-Prados</t>
  </si>
  <si>
    <t>Carolina Robles</t>
  </si>
  <si>
    <t>Sophie Capewell</t>
  </si>
  <si>
    <t>Callum Dixon/Matthew Haywood</t>
  </si>
  <si>
    <t>Adam Peaty</t>
  </si>
  <si>
    <t>Radek Houser</t>
  </si>
  <si>
    <t>Dominika Hronová</t>
  </si>
  <si>
    <t>Denisa Křížová/Kristýna Kaltounková/Linda Vocetková/Natálie Mlýnková</t>
  </si>
  <si>
    <t>Lukáš Krpálek</t>
  </si>
  <si>
    <t>Martina Sáblíková</t>
  </si>
  <si>
    <t>Daniel Vladař/Karel Vejmelka</t>
  </si>
  <si>
    <t>Lada Vondrová</t>
  </si>
  <si>
    <t>Jan Voneš</t>
  </si>
  <si>
    <t>Archery - Men's Individual Recurve</t>
  </si>
  <si>
    <t>Archery - Women's Individual Recurve</t>
  </si>
  <si>
    <t>Archery - Men's Team Recurve</t>
  </si>
  <si>
    <t>Archery - Women's Team Recurve</t>
  </si>
  <si>
    <t>Archery - Mixed Team Recurve</t>
  </si>
  <si>
    <t>Recurve Classification</t>
  </si>
  <si>
    <t>Mixed Team Recurve Classification</t>
  </si>
  <si>
    <t>Men's Team Recurve Classification</t>
  </si>
  <si>
    <t>Women's Team Recurve Classification</t>
  </si>
  <si>
    <t>Victoria Garza</t>
  </si>
  <si>
    <t>Jesús Tonatiú López</t>
  </si>
  <si>
    <t>Edgar Rivera</t>
  </si>
  <si>
    <t>Alejandra Valencia</t>
  </si>
  <si>
    <t>Haley Batten</t>
  </si>
  <si>
    <t>Rosie Brennan</t>
  </si>
  <si>
    <t>Casey Dawson</t>
  </si>
  <si>
    <t>Faye Thelen</t>
  </si>
  <si>
    <t>Marin Hamill</t>
  </si>
  <si>
    <t>Rell Harwood</t>
  </si>
  <si>
    <t>Josie Johnson</t>
  </si>
  <si>
    <t>Paige Jones</t>
  </si>
  <si>
    <t>Kaysha Love</t>
  </si>
  <si>
    <t>Conner Mantz</t>
  </si>
  <si>
    <t>Whittni Morgan</t>
  </si>
  <si>
    <t>Troy Podmilsak</t>
  </si>
  <si>
    <t>Courtney Wayment</t>
  </si>
  <si>
    <t>Isabella Wright</t>
  </si>
  <si>
    <t>Isabella Wright/Nina O'Brien</t>
  </si>
  <si>
    <t>Clayton Young</t>
  </si>
  <si>
    <t>Summer Britcher</t>
  </si>
  <si>
    <t>Aaron Brooks</t>
  </si>
  <si>
    <t>Erin Gemmell</t>
  </si>
  <si>
    <t>Jahmal Harvey</t>
  </si>
  <si>
    <t>Chase Kalisz</t>
  </si>
  <si>
    <t>Helen Maroulis</t>
  </si>
  <si>
    <t>Elizabeth Tartakovsky/Maia Chamberlain/Tatiana Nazlymov</t>
  </si>
  <si>
    <t>Tatiana Nazlymov</t>
  </si>
  <si>
    <t>Masai Russell</t>
  </si>
  <si>
    <t>Kyle Snyder</t>
  </si>
  <si>
    <t>Jessica Stevens</t>
  </si>
  <si>
    <t>Juliette Whittaker</t>
  </si>
  <si>
    <t>Jodie Williams/Laviai Nielsen/Lina Nielsen/Nicole Yeargin/Victoria Ohuruogu</t>
  </si>
  <si>
    <t>Alex Haydock-Wilson/Sam Reardon/Laviai Nielsen/Nicole Yeargin</t>
  </si>
  <si>
    <t>Gerald Drummond</t>
  </si>
  <si>
    <t>Sebastián Sancho</t>
  </si>
  <si>
    <t>Alberto Vega</t>
  </si>
  <si>
    <t>Omar Elawady</t>
  </si>
  <si>
    <t>Mohamed Kota</t>
  </si>
  <si>
    <t>An Se-Young</t>
  </si>
  <si>
    <t>Im Ae-Ji</t>
  </si>
  <si>
    <t>Christiaan Bezuidenhout</t>
  </si>
  <si>
    <t>Diana Alecrim</t>
  </si>
  <si>
    <t>Rebeca Andrade</t>
  </si>
  <si>
    <t>Júlia Soares/Rebeca Andrade</t>
  </si>
  <si>
    <t>Natália Araújo</t>
  </si>
  <si>
    <t>Marina Arndt</t>
  </si>
  <si>
    <t>Marcela Arounian</t>
  </si>
  <si>
    <t>Michel Augusto</t>
  </si>
  <si>
    <t>Ana Carolina Azevedo</t>
  </si>
  <si>
    <t>Felipe Bardi</t>
  </si>
  <si>
    <t>Juliana Campos</t>
  </si>
  <si>
    <t>Erik Cardoso</t>
  </si>
  <si>
    <t>Macrís Carneiro/Roberta Ratzke</t>
  </si>
  <si>
    <t>Lucas Carvalho</t>
  </si>
  <si>
    <t>Marcelo Chierighini</t>
  </si>
  <si>
    <t>Eduardo Rodrigues</t>
  </si>
  <si>
    <t>Gustavo de Oliveira</t>
  </si>
  <si>
    <t>Beatriz Dizotti</t>
  </si>
  <si>
    <t>Alison dos Santos</t>
  </si>
  <si>
    <t>Fernando Ferreira</t>
  </si>
  <si>
    <t>Erik Cardoso/Felipe Bardi/Gabriel Garcia/Renan Correa</t>
  </si>
  <si>
    <t>Leonardo Gonçalves</t>
  </si>
  <si>
    <t>Edson Bindilatti/Luis Gonçalves</t>
  </si>
  <si>
    <t>Davidson Henrique de Souza/Edson Bindilatti/Luis Gonçalves</t>
  </si>
  <si>
    <t>Pedro Gonçalves</t>
  </si>
  <si>
    <t>Beatriz Haddad Maia</t>
  </si>
  <si>
    <t>Miguel Hidalgo</t>
  </si>
  <si>
    <t>Kelvin Hoefler</t>
  </si>
  <si>
    <t>Mateus Isaac</t>
  </si>
  <si>
    <t>Vitor Ishiy</t>
  </si>
  <si>
    <t>Márcio Jorge</t>
  </si>
  <si>
    <t>Kahena Kunze</t>
  </si>
  <si>
    <t>Antônia/Lauren Leal/Rafaelle Souza/Thaís Ferreira</t>
  </si>
  <si>
    <t>Willian Lima</t>
  </si>
  <si>
    <t>Rafael Losano</t>
  </si>
  <si>
    <t>Lucas Marcelino</t>
  </si>
  <si>
    <t>Rafael Macedo</t>
  </si>
  <si>
    <t>Yuri Mansur</t>
  </si>
  <si>
    <t>Gabi Mazetto</t>
  </si>
  <si>
    <t>Gabriel Medina</t>
  </si>
  <si>
    <t>Bruno Caboclo/Léonardo Meindl/Lucas Dias</t>
  </si>
  <si>
    <t>Kayky Mota</t>
  </si>
  <si>
    <t>Bruna Moura</t>
  </si>
  <si>
    <t>Arthur Mariano</t>
  </si>
  <si>
    <t>João Victor Oliva</t>
  </si>
  <si>
    <t>Luiz Oliveira</t>
  </si>
  <si>
    <t>Maria Clara Pacheco</t>
  </si>
  <si>
    <t>Carlos Parro</t>
  </si>
  <si>
    <t>Carlos Parro/Márcio Jorge/Rafael Losano/Ruy Fonseca</t>
  </si>
  <si>
    <t>Paulo André</t>
  </si>
  <si>
    <t>Laura Pigossi</t>
  </si>
  <si>
    <t>Larissa Pimenta</t>
  </si>
  <si>
    <t>Eduarda Ribera</t>
  </si>
  <si>
    <t>Bruna Moura/Eduarda Ribera</t>
  </si>
  <si>
    <t>Jucielen Romeu</t>
  </si>
  <si>
    <t>Gabrielle Roncatto/Stephanie Balduccini</t>
  </si>
  <si>
    <t>Guilherme Basseto/Gabrielle Roncatto/Stephanie Balduccini</t>
  </si>
  <si>
    <t>Gabrielle Roncatto</t>
  </si>
  <si>
    <t>Pâmela Rosa</t>
  </si>
  <si>
    <t>Breno Correia/Gabriel Santos/Guilherme Santos/Marcelo Chierighini</t>
  </si>
  <si>
    <t>Tainara Santos</t>
  </si>
  <si>
    <t>Izabela da Silva</t>
  </si>
  <si>
    <t>Gisele Gomes/Mariana Nicolau/Milena Silva</t>
  </si>
  <si>
    <t>Diogo Soares</t>
  </si>
  <si>
    <t>Beatriz Souza</t>
  </si>
  <si>
    <t>Beatriz Haddad Maia/Luísa Stefani</t>
  </si>
  <si>
    <t>Thiago Seyboth Wild/Luísa Stefani</t>
  </si>
  <si>
    <t>Lorena/Tainá</t>
  </si>
  <si>
    <t>Bruna Takahashi</t>
  </si>
  <si>
    <t>Bruna Takahashi/Vitor Ishiy</t>
  </si>
  <si>
    <t>Giulia Takahashi</t>
  </si>
  <si>
    <t>Bruna Takahashi/Giulia Takahashi</t>
  </si>
  <si>
    <t>Abner Teixeira</t>
  </si>
  <si>
    <t>Guilherme Teodoro/Vitor Ishiy</t>
  </si>
  <si>
    <t>Filipe Toledo</t>
  </si>
  <si>
    <t>Dora Varella</t>
  </si>
  <si>
    <t>Pedro Veniss</t>
  </si>
  <si>
    <t>Raicca Ventura</t>
  </si>
  <si>
    <t>Giovanni Vianna</t>
  </si>
  <si>
    <t>Ana Vieira/Giovana Medeiros/Stephanie Balduccini</t>
  </si>
  <si>
    <t>Douglas Mendes/Lucas Carvalho/Lucas Vilar</t>
  </si>
  <si>
    <t>Angelina/Vitória Yaya</t>
  </si>
  <si>
    <t>Moon Won-Jun</t>
  </si>
  <si>
    <t>Boipelo Awuah</t>
  </si>
  <si>
    <t>Takaharu Furukawa</t>
  </si>
  <si>
    <t>Fumiya Saito/Takaharu Furukawa</t>
  </si>
  <si>
    <t>Kodai Naraoka</t>
  </si>
  <si>
    <t>Yuta Obara</t>
  </si>
  <si>
    <t>Taishu Sato</t>
  </si>
  <si>
    <t>Eduardo Sepúlveda</t>
  </si>
  <si>
    <t>Lucie Breyne</t>
  </si>
  <si>
    <t>Thomas Carmoy</t>
  </si>
  <si>
    <t>Sarah Chaâri</t>
  </si>
  <si>
    <t>Eliott Crestan</t>
  </si>
  <si>
    <t>Jérôme Guéry</t>
  </si>
  <si>
    <t>Delphine Nkansa</t>
  </si>
  <si>
    <t>Leonard Essau Korir</t>
  </si>
  <si>
    <t>Mourad Kadi</t>
  </si>
  <si>
    <t>Slimane Moula</t>
  </si>
  <si>
    <t>Charlie Aldridge</t>
  </si>
  <si>
    <t>Agnes Alexiusson</t>
  </si>
  <si>
    <t>Fabian Ax Swartz</t>
  </si>
  <si>
    <t>Tara Babulfath</t>
  </si>
  <si>
    <t>Linda Bergström</t>
  </si>
  <si>
    <t>Linn Blohm</t>
  </si>
  <si>
    <t>Rebecca Netzler/Vilma Bobeck</t>
  </si>
  <si>
    <t>Michelle Coleman</t>
  </si>
  <si>
    <t>Oskar Edlund</t>
  </si>
  <si>
    <t>Evelina Eriksson</t>
  </si>
  <si>
    <t>Nicole Hall</t>
  </si>
  <si>
    <t>Robin Hanson</t>
  </si>
  <si>
    <t>David Åhman/Jonatan Hellvig</t>
  </si>
  <si>
    <t>Johanna Hjertberg</t>
  </si>
  <si>
    <t>Emil Järudd</t>
  </si>
  <si>
    <t>Anton Källberg</t>
  </si>
  <si>
    <t>Patrik Kittel</t>
  </si>
  <si>
    <t>Agnes Knochenhauer/Anna Hasselborg</t>
  </si>
  <si>
    <t>Svante Kohala</t>
  </si>
  <si>
    <t>Tove Kohala</t>
  </si>
  <si>
    <t>Elis Lundholm</t>
  </si>
  <si>
    <t>Elin Hansson/Mathilda Lundström/Nathalie Hagman</t>
  </si>
  <si>
    <t>Tilda Månsson</t>
  </si>
  <si>
    <t>Therese Nilshagen</t>
  </si>
  <si>
    <t>Patrik Kittel/Therese Nilshagen</t>
  </si>
  <si>
    <t>Andreas Nordebäck</t>
  </si>
  <si>
    <t>Alex Norén</t>
  </si>
  <si>
    <t>Marcus Nyman</t>
  </si>
  <si>
    <t>Cornelia Öhlund</t>
  </si>
  <si>
    <t>Nelson Onana</t>
  </si>
  <si>
    <t>Lucas Pellas</t>
  </si>
  <si>
    <t>Michelle Coleman/Sarah Sjöström</t>
  </si>
  <si>
    <t>Sarah Sjöström</t>
  </si>
  <si>
    <t>Daniel Ståhl</t>
  </si>
  <si>
    <t>Linnea Stensils</t>
  </si>
  <si>
    <t>Carin Strömberg</t>
  </si>
  <si>
    <t>Linnea Stensils/Moa Wikberg</t>
  </si>
  <si>
    <t>Rasmus Wranå/Isabella Wranå</t>
  </si>
  <si>
    <t>Christoffer Sundgren/Rasmus Wranå</t>
  </si>
  <si>
    <t>Alexander Wennberg/Gabriel Landeskog/Jesper Bratt/Mika Zibanejad/Rickard Rakell/William Nylander</t>
  </si>
  <si>
    <t>Clémence Beretta</t>
  </si>
  <si>
    <t>Luc Chevrier</t>
  </si>
  <si>
    <t>Fabien Claude</t>
  </si>
  <si>
    <t>Fabien Claude/Quentin Fillon Maillet</t>
  </si>
  <si>
    <t>Florent Claude</t>
  </si>
  <si>
    <t>Florent Claude/Lotte Lie</t>
  </si>
  <si>
    <t>Delphine Claudel</t>
  </si>
  <si>
    <t>Clémence Didierlaurent</t>
  </si>
  <si>
    <t>Clément Noël</t>
  </si>
  <si>
    <t>Léonie Perry</t>
  </si>
  <si>
    <t>Kim Woo-Jin</t>
  </si>
  <si>
    <t>Aurélie Battu</t>
  </si>
  <si>
    <t>Geoffrey Brissaud</t>
  </si>
  <si>
    <t>Carole Cormenier</t>
  </si>
  <si>
    <t>Ema Vernoux/Louise Guillet/Valentine Heurtaux</t>
  </si>
  <si>
    <t>Yukiya Arashiro</t>
  </si>
  <si>
    <t>Masanori Miyamoto</t>
  </si>
  <si>
    <t>Taishi Nozawa</t>
  </si>
  <si>
    <t>Katsuyuki Tanamura</t>
  </si>
  <si>
    <t>Elizabeth Deignan</t>
  </si>
  <si>
    <t>Georgina Brayshaw/Lola Anderson</t>
  </si>
  <si>
    <t>Max Burgin</t>
  </si>
  <si>
    <t>Emile Cairess</t>
  </si>
  <si>
    <t>Leah Crisp</t>
  </si>
  <si>
    <t>Caden Cunningham</t>
  </si>
  <si>
    <t>Yona Knight-Wisdom</t>
  </si>
  <si>
    <t>Finlay Knox/Yuri Kisil</t>
  </si>
  <si>
    <t>Finlay Knox</t>
  </si>
  <si>
    <t>Apollo Hess/Finlay Knox/Margaret Mac Neil/Taylor Ruck</t>
  </si>
  <si>
    <t>Max Litchfield</t>
  </si>
  <si>
    <t>Katy Marchant</t>
  </si>
  <si>
    <t>Katy Marchant/Sophie Capewell</t>
  </si>
  <si>
    <t>Jake Passmore</t>
  </si>
  <si>
    <t>Thomas Pidcock</t>
  </si>
  <si>
    <t>Charlie Senior</t>
  </si>
  <si>
    <t>Andrea Spendolini-Sirieix/Lois Toulson</t>
  </si>
  <si>
    <t>Lois Toulson</t>
  </si>
  <si>
    <t>Luke Whitehouse</t>
  </si>
  <si>
    <t>Luke Whitehouse/Max Whitlock</t>
  </si>
  <si>
    <t>Daniel Wiffen</t>
  </si>
  <si>
    <t>Oliver Wood</t>
  </si>
  <si>
    <t>Daniel Bigham/Ethan Hayter/Oliver Wood</t>
  </si>
  <si>
    <t>Matija Gregurić</t>
  </si>
  <si>
    <t>Jana Pavalić</t>
  </si>
  <si>
    <t>Daniele Lavia</t>
  </si>
  <si>
    <t>Giovanni Tocci</t>
  </si>
  <si>
    <t>Akil Gjakova</t>
  </si>
  <si>
    <t>Nora Gjakova</t>
  </si>
  <si>
    <t>Distria Krasniqi</t>
  </si>
  <si>
    <t>Loriana Kuka</t>
  </si>
  <si>
    <t>Yilmar González</t>
  </si>
  <si>
    <t>Íngrit Valencia</t>
  </si>
  <si>
    <t>Ilionis Guillaume</t>
  </si>
  <si>
    <t>Stevenson Savart</t>
  </si>
  <si>
    <t>Richardson Viano</t>
  </si>
  <si>
    <t>Luka Buchukuri</t>
  </si>
  <si>
    <t>Givi Matcharashvili</t>
  </si>
  <si>
    <t>Rafael Mini</t>
  </si>
  <si>
    <t>Armin Sinančević</t>
  </si>
  <si>
    <t>Silvian Colodrovschi</t>
  </si>
  <si>
    <t>Alice Finot</t>
  </si>
  <si>
    <t>Marco Heinis</t>
  </si>
  <si>
    <t>Lou Jeanmonnot</t>
  </si>
  <si>
    <t>Quentin Fillon Maillet/Lou Jeanmonnot</t>
  </si>
  <si>
    <t>Juliette Labous</t>
  </si>
  <si>
    <t>Éva Lacheray</t>
  </si>
  <si>
    <t>Cloé Pagnier</t>
  </si>
  <si>
    <t>Cloé Pagnier/Delphine Claudel/Léonie Perry</t>
  </si>
  <si>
    <t>Joséphine Pagnier</t>
  </si>
  <si>
    <t>Axelle Renard</t>
  </si>
  <si>
    <t>Maël Tyrode</t>
  </si>
  <si>
    <t>Maël Tyrode/Marco Heinis</t>
  </si>
  <si>
    <t>Chloé Valentini/Lucie Granier</t>
  </si>
  <si>
    <t>Jean-Charles Valladont</t>
  </si>
  <si>
    <t>Andrea Miklós</t>
  </si>
  <si>
    <t>Sofia Maria Moldovan</t>
  </si>
  <si>
    <t>Laura Galván</t>
  </si>
  <si>
    <t>Goretti Zumaya</t>
  </si>
  <si>
    <t>Supak Jomkoh</t>
  </si>
  <si>
    <t>Baptiste Addis</t>
  </si>
  <si>
    <t>Adrien Bart</t>
  </si>
  <si>
    <t>Bérénice Comby</t>
  </si>
  <si>
    <t>Lolassonn Djouhan</t>
  </si>
  <si>
    <t>Ionnah Douillet</t>
  </si>
  <si>
    <t>Evann Girault</t>
  </si>
  <si>
    <t>Bangaly Cissé/Chérif Camara/Madiou Keïta/Mohamed Soumah/Naby Oularé/Rayane Doucouré</t>
  </si>
  <si>
    <t>Auriana Lazraq-Khlass</t>
  </si>
  <si>
    <t>María José Palacios</t>
  </si>
  <si>
    <t>Ninon Chapelle</t>
  </si>
  <si>
    <t>Simon Delestre</t>
  </si>
  <si>
    <t>Rémi Desbonnet/Vincent Gérard</t>
  </si>
  <si>
    <t>Ugo Humbert</t>
  </si>
  <si>
    <t>Yann Schrub</t>
  </si>
  <si>
    <t>Kiliann Sildillia/Soungoutou Magassa</t>
  </si>
  <si>
    <t>Anastasiya Kirpichnikova/Assia Touati/Lucile Tessariol</t>
  </si>
  <si>
    <t>Viviana Márton</t>
  </si>
  <si>
    <t>Berihu Aregawi</t>
  </si>
  <si>
    <t>Selemon Barega</t>
  </si>
  <si>
    <t>Tsigie Gebreselama</t>
  </si>
  <si>
    <t>Hagos Gebrhiwet</t>
  </si>
  <si>
    <t>Eyeru Gebru</t>
  </si>
  <si>
    <t>Aron Kifle</t>
  </si>
  <si>
    <t>Biniam Mehary</t>
  </si>
  <si>
    <t>Fotyen Tesfay</t>
  </si>
  <si>
    <t>Gudaf Tsegay</t>
  </si>
  <si>
    <t>Virginia Aymard</t>
  </si>
  <si>
    <t>Étienne Bastier</t>
  </si>
  <si>
    <t>Étienne Bastier/Bérénice Comby</t>
  </si>
  <si>
    <t>Thomas Chirault</t>
  </si>
  <si>
    <t>Baptiste Addis/Jean-Charles /Thomas Chirault</t>
  </si>
  <si>
    <t>Amaury Bellenger/Brieuc Delemazure/Gaspard Xavier/Matteo Desgouillons/Victor Charlet</t>
  </si>
  <si>
    <t>Eve Verzura/Mickaela Lahlah/Philippine Delemazure/Victoire Arnaud</t>
  </si>
  <si>
    <t>Thomas Gogois</t>
  </si>
  <si>
    <t>Mélanie Henique</t>
  </si>
  <si>
    <t>Corentin Le Clezio</t>
  </si>
  <si>
    <t>Antoine Riou</t>
  </si>
  <si>
    <t>Satoshi Furuno</t>
  </si>
  <si>
    <t>Ryo Hirose</t>
  </si>
  <si>
    <t>Reo Inaba</t>
  </si>
  <si>
    <t>Kai Inoue/Kiyomu Date/Seiya Adachi/Toi Suzuki/Yusuke Inaba</t>
  </si>
  <si>
    <t>Eishiro Murakami</t>
  </si>
  <si>
    <t>Funa Nakayama</t>
  </si>
  <si>
    <t>Daito Yamazaki</t>
  </si>
  <si>
    <t>Kosuke Yasuhira</t>
  </si>
  <si>
    <t>Tomislav Pucar</t>
  </si>
  <si>
    <t>Valentina Dimitrova</t>
  </si>
  <si>
    <t>Kiril Milov</t>
  </si>
  <si>
    <t>Daniel Peshkov</t>
  </si>
  <si>
    <t>Shani Bakanov</t>
  </si>
  <si>
    <t>David Gerchik</t>
  </si>
  <si>
    <t>Anastasia Gorbenko</t>
  </si>
  <si>
    <t>Shay Kakon</t>
  </si>
  <si>
    <t>Anastasia Gorbenko/Lea Polonsky</t>
  </si>
  <si>
    <t>Lea Polonsky</t>
  </si>
  <si>
    <t>Ron Polonsky/Anastasia Gorbenko/Andrea Murez</t>
  </si>
  <si>
    <t>Ron Polonsky</t>
  </si>
  <si>
    <t>Gefen Primo</t>
  </si>
  <si>
    <t>Shachar Sagiv</t>
  </si>
  <si>
    <t>Gal Zukerman</t>
  </si>
  <si>
    <t>Takanori Nagase</t>
  </si>
  <si>
    <t>Akira Akasaki</t>
  </si>
  <si>
    <t>Kento Miyaura/Yuji Nishida</t>
  </si>
  <si>
    <t>Kaito Tsutsue</t>
  </si>
  <si>
    <t>Mari Fukada</t>
  </si>
  <si>
    <t>Takuya Haneda</t>
  </si>
  <si>
    <t>Taiga Hasegawa</t>
  </si>
  <si>
    <t>Mayu Ishikawa</t>
  </si>
  <si>
    <t>Masato Kai/Tatsunori Otsuka/Yuki Ishikawa</t>
  </si>
  <si>
    <t>Koki Kano/Masaru Yamada</t>
  </si>
  <si>
    <t>Koki Kano</t>
  </si>
  <si>
    <t>Jun Kasai</t>
  </si>
  <si>
    <t>Ryuichi Kihara</t>
  </si>
  <si>
    <t>Ryoma Kimata</t>
  </si>
  <si>
    <t>Evelyn Mawuli/Nanako Todo/Stephanie Mawuli</t>
  </si>
  <si>
    <t>Daiki Ogawa</t>
  </si>
  <si>
    <t>Ayami Oishi</t>
  </si>
  <si>
    <t>Yoshiaki Oiwa</t>
  </si>
  <si>
    <t>Kazuma Tomoto/Yoshiaki Oiwa</t>
  </si>
  <si>
    <t>Tsugumi Sakurai</t>
  </si>
  <si>
    <t>Maki Takada</t>
  </si>
  <si>
    <t>Keisei Tominaga</t>
  </si>
  <si>
    <t>Nichika Yamada</t>
  </si>
  <si>
    <t>Akihiro Yamauchi</t>
  </si>
  <si>
    <t>Rino Yanagimoto</t>
  </si>
  <si>
    <t>Ayano Shimada/Megumu Yoshida</t>
  </si>
  <si>
    <t>Kazuki Yoshinaga</t>
  </si>
  <si>
    <t>Kazuki Yoshinaga/Shogo Miyata</t>
  </si>
  <si>
    <t>Blaž Blagotinšek/Kristjan Horžen</t>
  </si>
  <si>
    <t>Peter Hribar</t>
  </si>
  <si>
    <t>Klara Lukan</t>
  </si>
  <si>
    <t>Maja Vojnovič</t>
  </si>
  <si>
    <t>Yousef Abubaker</t>
  </si>
  <si>
    <t>Mohamed Boukrah</t>
  </si>
  <si>
    <t>Chang Yani/Chen Yiwen</t>
  </si>
  <si>
    <t>Chen Yiwen</t>
  </si>
  <si>
    <t>Iosefo Masi/Jeremaia Matana/Ponipate Loganimasi/Sevuloni Mocenacagi</t>
  </si>
  <si>
    <t>Iowane Teba</t>
  </si>
  <si>
    <t>Dominik Buksak</t>
  </si>
  <si>
    <t>Maja Dziarnowska</t>
  </si>
  <si>
    <t>Aleksandra Formella/Alicja Wrona-Kutrzepa/Anastazja Kuś</t>
  </si>
  <si>
    <t>Marta Lach</t>
  </si>
  <si>
    <t>Weronika Lizakowska</t>
  </si>
  <si>
    <t>Martyna Łukasik/Natalia Mędrzyk</t>
  </si>
  <si>
    <t>Aleksandra Melzacka</t>
  </si>
  <si>
    <t>Wojciech Stachowiak</t>
  </si>
  <si>
    <t>Jakub Szymański</t>
  </si>
  <si>
    <t>Jasmine Paolini</t>
  </si>
  <si>
    <t>Daniela Stanciu</t>
  </si>
  <si>
    <t>Abduvohid Nematov</t>
  </si>
  <si>
    <t>Ozoda Sobirjonova</t>
  </si>
  <si>
    <t>Fie Udby Erichsen</t>
  </si>
  <si>
    <t>Simon Hald</t>
  </si>
  <si>
    <t>Amalie Iuel</t>
  </si>
  <si>
    <t>Louise Burgaard/Michala Møller</t>
  </si>
  <si>
    <t>Christian Wejse/Joakim Blichfeld/Mikkel Aagaard/Nick Olesen/Nikolaj Ehlers/Oscar Fisker Mølgaard</t>
  </si>
  <si>
    <t>Emil Jakobsen/Magnus Saugstrup</t>
  </si>
  <si>
    <t>Frederik Dichow/Mads Søgaard</t>
  </si>
  <si>
    <t>Luca De Tullio</t>
  </si>
  <si>
    <t>Marco De Tullio</t>
  </si>
  <si>
    <t>Massimo Stano/Antonella Palmisano</t>
  </si>
  <si>
    <t>Massimo Stano</t>
  </si>
  <si>
    <t>Chiara Tarantino</t>
  </si>
  <si>
    <t>Iryna Koliadenko</t>
  </si>
  <si>
    <t>Kendija Aparjode</t>
  </si>
  <si>
    <t>Kristers Aparjods</t>
  </si>
  <si>
    <t>Gints Bērziņš</t>
  </si>
  <si>
    <t>Toms Skujiņš</t>
  </si>
  <si>
    <t>Elīna Bota</t>
  </si>
  <si>
    <t>Daniel Jervis</t>
  </si>
  <si>
    <t>Lora Hristova</t>
  </si>
  <si>
    <t>Vladimir Iliev</t>
  </si>
  <si>
    <t>Milena Todorova</t>
  </si>
  <si>
    <t>Lora Hristova/Milena Todorova/Valentina Dimitrova</t>
  </si>
  <si>
    <t>Vladimir Iliev/Lora Hristova/Milena Todorova</t>
  </si>
  <si>
    <t>Konstantin Vasilev</t>
  </si>
  <si>
    <t>Konstantin Vasilev/Vladimir Iliev</t>
  </si>
  <si>
    <t>Mateusz Borkowski</t>
  </si>
  <si>
    <t>Daria Pikulik</t>
  </si>
  <si>
    <t>Daria Pikulik/Wiktoria Pikulik</t>
  </si>
  <si>
    <t>Nicole Begue</t>
  </si>
  <si>
    <t>Augustinho Teixeira</t>
  </si>
  <si>
    <t>Dovilė Kilty</t>
  </si>
  <si>
    <t>Bruno Lima</t>
  </si>
  <si>
    <t>Gonzalo Molina</t>
  </si>
  <si>
    <t>Luciano De Cecco/Matías Sánchez</t>
  </si>
  <si>
    <t>Komronshokh Ustopiriyon</t>
  </si>
  <si>
    <t>Ștefan Berariu</t>
  </si>
  <si>
    <t>Andrei Muntean</t>
  </si>
  <si>
    <t>Laurie Taylor</t>
  </si>
  <si>
    <t>Artur Aleksanyan</t>
  </si>
  <si>
    <t>Davit Chaloyan</t>
  </si>
  <si>
    <t>Katya Galstyan</t>
  </si>
  <si>
    <t>Garik Karapetyan</t>
  </si>
  <si>
    <t>Varazdat Lalayan</t>
  </si>
  <si>
    <t>Mikayel Mikayelyan</t>
  </si>
  <si>
    <t>Gor Minasyan</t>
  </si>
  <si>
    <t>Yervand Mkrtchyan</t>
  </si>
  <si>
    <t>Georgios Bouglas</t>
  </si>
  <si>
    <t>Christina Bourmpou</t>
  </si>
  <si>
    <t>Polyniki Emmanouilidou</t>
  </si>
  <si>
    <t>Petros Gkaidatzis</t>
  </si>
  <si>
    <t>Georgios Kougioumtsidis</t>
  </si>
  <si>
    <t>Dimitris Nikolaidis</t>
  </si>
  <si>
    <t>Antigoni Ntrismpioti</t>
  </si>
  <si>
    <t>Kostas Papanikolaou</t>
  </si>
  <si>
    <t>Margarita Plevritou/Maria Patra</t>
  </si>
  <si>
    <t>Eleftheria Plevritou/Vasiliki Plevritou</t>
  </si>
  <si>
    <t>Ariadne Paraskevi Spanaki</t>
  </si>
  <si>
    <t>Miltiadis Tentoglou</t>
  </si>
  <si>
    <t>Maria-Eleni Tsiovolou</t>
  </si>
  <si>
    <t>Elina Tzengko</t>
  </si>
  <si>
    <t>Angelos Vlachopoulos</t>
  </si>
  <si>
    <t>Isaac Bonga</t>
  </si>
  <si>
    <t>Jule Brand</t>
  </si>
  <si>
    <t>Marvin Dogue</t>
  </si>
  <si>
    <t>Ricarda Funk</t>
  </si>
  <si>
    <t>Olivia Gürth</t>
  </si>
  <si>
    <t>Tim Hellwig</t>
  </si>
  <si>
    <t>Christin Hussong</t>
  </si>
  <si>
    <t>Niklas Kaul</t>
  </si>
  <si>
    <t>Hanna Klein</t>
  </si>
  <si>
    <t>Angelina Köhler</t>
  </si>
  <si>
    <t>Majtie Kolberg</t>
  </si>
  <si>
    <t>Yemisi Ogunleye</t>
  </si>
  <si>
    <t>Moritz Seider</t>
  </si>
  <si>
    <t>David Späth</t>
  </si>
  <si>
    <t>Jan Stölben</t>
  </si>
  <si>
    <t>Johannes Thiemann</t>
  </si>
  <si>
    <t>Hannah Vester</t>
  </si>
  <si>
    <t>Julian Weber</t>
  </si>
  <si>
    <t>Jonas Wiesen</t>
  </si>
  <si>
    <t>Sonja Zimmermann</t>
  </si>
  <si>
    <t>Luca Aerni</t>
  </si>
  <si>
    <t>Christoph Bertschy</t>
  </si>
  <si>
    <t>Robin Godel</t>
  </si>
  <si>
    <t>Mathilde Gremaud</t>
  </si>
  <si>
    <t>Vahid Abbasov</t>
  </si>
  <si>
    <t>Lukas Britschgi</t>
  </si>
  <si>
    <t>Annina Fahr</t>
  </si>
  <si>
    <t>Pirmin Werner</t>
  </si>
  <si>
    <t>Ali Davoudi</t>
  </si>
  <si>
    <t>Amina Belkadi</t>
  </si>
  <si>
    <t>Walid Bidani</t>
  </si>
  <si>
    <t>Kumel Al-Rekabe</t>
  </si>
  <si>
    <t>Michelle Andres</t>
  </si>
  <si>
    <t>Fabian Bösch</t>
  </si>
  <si>
    <t>Marcel Bosker</t>
  </si>
  <si>
    <t>Ramona Härdi</t>
  </si>
  <si>
    <t>Lina Kozomara</t>
  </si>
  <si>
    <t>Pirmin Werner/Lina Kozomara</t>
  </si>
  <si>
    <t>José María Rocca</t>
  </si>
  <si>
    <t>Noemi Rüegg</t>
  </si>
  <si>
    <t>Noelani Day</t>
  </si>
  <si>
    <t>Alan Uhi</t>
  </si>
  <si>
    <t>Thet Htar Thuzar</t>
  </si>
  <si>
    <t>Makanakaishe Charamba</t>
  </si>
  <si>
    <t>Stephen Cox</t>
  </si>
  <si>
    <t>Rachel Klamer</t>
  </si>
  <si>
    <t>Maya Kingma/Rachel Klamer</t>
  </si>
  <si>
    <t>Kyle Lee</t>
  </si>
  <si>
    <t>Rutendo Nyahora</t>
  </si>
  <si>
    <t>Saud Ghali</t>
  </si>
  <si>
    <t>Harry McNulty/Jack Kelly/Niall Comerford</t>
  </si>
  <si>
    <t>Amani Al-Obaidli</t>
  </si>
  <si>
    <t>Reinis Bērziņš</t>
  </si>
  <si>
    <t>Renārs Birkentāls</t>
  </si>
  <si>
    <t>Daniils Bobrovs</t>
  </si>
  <si>
    <t>Liene Bondare</t>
  </si>
  <si>
    <t>Patrīcija Eiduka</t>
  </si>
  <si>
    <t>Tīna Graudiņa</t>
  </si>
  <si>
    <t>Emīls Indriksons</t>
  </si>
  <si>
    <t>Samanta Krampe</t>
  </si>
  <si>
    <t>Patrīcija Eiduka/Samanta Krampe</t>
  </si>
  <si>
    <t>Eduards Ševics-Mikeļševics/Lūkass Krasts</t>
  </si>
  <si>
    <t>Valters Kreišs</t>
  </si>
  <si>
    <t>Francis Lācis</t>
  </si>
  <si>
    <t>Elvis Opmanis</t>
  </si>
  <si>
    <t>Jeļena Ostapenko</t>
  </si>
  <si>
    <t>Mārtiņš Bots/Roberts Plūme</t>
  </si>
  <si>
    <t>Kitija Bogdanova/Marta Robežniece</t>
  </si>
  <si>
    <t>Kristers Aparjods/Mārtiņš Bots/Roberts Plūme/Elīna Bota/Kitija Bogdanova/Marta Robežniece</t>
  </si>
  <si>
    <t>Annija Keita Sabule</t>
  </si>
  <si>
    <t>Artūrs Šilovs/Elvis Merzļikins</t>
  </si>
  <si>
    <t>Anrī Ravinskis/Eduards Tralmaks/Kaspars Daugaviņš/Mārtiņš Dzierkals/Oskars Batņa/Sandis Vilmanis/Teodors Bļugers/Zemgus Girgensons</t>
  </si>
  <si>
    <t>Estere Volfa</t>
  </si>
  <si>
    <t>Jānis Jaks/Kristaps Zīle/Oskars Cibuļskis/Ralfs Freibergs</t>
  </si>
  <si>
    <t>Ádám Jászó</t>
  </si>
  <si>
    <t>Gréta Márton</t>
  </si>
  <si>
    <t>Rita Récsei</t>
  </si>
  <si>
    <t>Eter Askilashvili</t>
  </si>
  <si>
    <t>Goderdzi Dzebisashvili</t>
  </si>
  <si>
    <t>Tato Grigalashvili</t>
  </si>
  <si>
    <t>Ushangi Kokauri</t>
  </si>
  <si>
    <t>Vazha Margvelashvili</t>
  </si>
  <si>
    <t>Geno Petriashvili</t>
  </si>
  <si>
    <t>Lasha Shavdatuashvili</t>
  </si>
  <si>
    <t>Lasha Bekauri/Lasha Shavdatuashvili/Eter Askilashvili</t>
  </si>
  <si>
    <t>Nugzar Tatalashvili</t>
  </si>
  <si>
    <t>Meliha Diken</t>
  </si>
  <si>
    <t>Martin Allegro</t>
  </si>
  <si>
    <t>Emeline Detilleux</t>
  </si>
  <si>
    <t>Camille Laus</t>
  </si>
  <si>
    <t>Maxuella Lisowa-Mbaka</t>
  </si>
  <si>
    <t>Florent Mabille</t>
  </si>
  <si>
    <t>Élise Vanderelst</t>
  </si>
  <si>
    <t>Cejhae Greene</t>
  </si>
  <si>
    <t>Joella Lloyd</t>
  </si>
  <si>
    <t>Maxime Egner</t>
  </si>
  <si>
    <t>Hellen Obiri</t>
  </si>
  <si>
    <t>Azizulhasni Awang</t>
  </si>
  <si>
    <t>Batmönkhiin Achbadrakh</t>
  </si>
  <si>
    <t>Conor Nicholas/Nia Jerwood</t>
  </si>
  <si>
    <t>Vito Dell'Aquila</t>
  </si>
  <si>
    <t>Paolo Monna</t>
  </si>
  <si>
    <t>Emre Kutalmış Ateşli</t>
  </si>
  <si>
    <t>Katarina Burić</t>
  </si>
  <si>
    <t>Marko Golubić</t>
  </si>
  <si>
    <t>Anamaria Govorčinović</t>
  </si>
  <si>
    <t>Tena Hadžić</t>
  </si>
  <si>
    <t>Ema Sobol/Tena Hadžić</t>
  </si>
  <si>
    <t>Dominik Kuzmanović</t>
  </si>
  <si>
    <t>Zrinka Ljutić</t>
  </si>
  <si>
    <t>Josip Vrlić/Luka Lončar</t>
  </si>
  <si>
    <t>Martin Marković</t>
  </si>
  <si>
    <t>Lovro Mihić</t>
  </si>
  <si>
    <t>Nikola Miljenić</t>
  </si>
  <si>
    <t>Matea Parlov Koštro</t>
  </si>
  <si>
    <t>Sandra Elkašević</t>
  </si>
  <si>
    <t>Ivan Šapina</t>
  </si>
  <si>
    <t>Martin Sinković/Valent Sinković</t>
  </si>
  <si>
    <t>Tin Srbić</t>
  </si>
  <si>
    <t>Ajla Tomljanovic</t>
  </si>
  <si>
    <t>Pia Vučinić</t>
  </si>
  <si>
    <t>Filip Zubčić</t>
  </si>
  <si>
    <t>Louise Maraval</t>
  </si>
  <si>
    <t>Hélène Noesmoen</t>
  </si>
  <si>
    <t>Arthur de Villaucourt</t>
  </si>
  <si>
    <t>Constance Picaud</t>
  </si>
  <si>
    <t>Sanita Bulina</t>
  </si>
  <si>
    <t>Annija Keita Sabule/Estere Volfa/Sanita Bulina</t>
  </si>
  <si>
    <t>Andrejs Rastorgujevs</t>
  </si>
  <si>
    <t>Andrejs Rastorgujevs/Renārs Birkentāls</t>
  </si>
  <si>
    <t>Andrejs Rastorgujevs/Renārs Birkentāls/Estere Volfa</t>
  </si>
  <si>
    <t>Bilyana Dudova</t>
  </si>
  <si>
    <t>Iszmail Muszukajev</t>
  </si>
  <si>
    <t>Illia Krupskyi/Maksym Talovierov/Oleksandr Martyniuk/Oleksiy Sych</t>
  </si>
  <si>
    <t>Tom Dean</t>
  </si>
  <si>
    <t>Mallory Franklin</t>
  </si>
  <si>
    <t>Amber Rutter</t>
  </si>
  <si>
    <t>Antoaneta Kostadinova</t>
  </si>
  <si>
    <t>Aoife Casey/Margaret Cremen</t>
  </si>
  <si>
    <t>David Harte</t>
  </si>
  <si>
    <t>Phil Healy/Rhasidat Adeleke</t>
  </si>
  <si>
    <t>Eimear Lambe/Emily Hegarty</t>
  </si>
  <si>
    <t>Austin O'Connor</t>
  </si>
  <si>
    <t>Aoife Clark/Austin O'Connor/Sarah Ennis/Susannah Berry</t>
  </si>
  <si>
    <t>Fintan McCarthy/Paul O'Donovan</t>
  </si>
  <si>
    <t>Shane Sweetnam</t>
  </si>
  <si>
    <t>Cian O'Connor/Shane Sweetnam</t>
  </si>
  <si>
    <t>Nicola Tuthill</t>
  </si>
  <si>
    <t>Dinja van Liere</t>
  </si>
  <si>
    <t>Hans Peter Minderhoud</t>
  </si>
  <si>
    <t>Dinja van Liere/Emmelie Scholtens/Hans Peter Minderhoud</t>
  </si>
  <si>
    <t>Anne Terpstra</t>
  </si>
  <si>
    <t>Barbora Antošová</t>
  </si>
  <si>
    <t>Tereza Beranová</t>
  </si>
  <si>
    <t>Diana Cholenská</t>
  </si>
  <si>
    <t>Markéta Davidová</t>
  </si>
  <si>
    <t>Patrik Hájek</t>
  </si>
  <si>
    <t>Petr Hák</t>
  </si>
  <si>
    <t>Vítězslav Hornig</t>
  </si>
  <si>
    <t>Petr Hák/Vítězslav Hornig</t>
  </si>
  <si>
    <t>Vítězslav Hornig/Markéta Davidová</t>
  </si>
  <si>
    <t>Tereza Hrochová</t>
  </si>
  <si>
    <t>Jakub Hroneš</t>
  </si>
  <si>
    <t>Ondřej Hyman</t>
  </si>
  <si>
    <t>Anežka Indráčková</t>
  </si>
  <si>
    <t>Kateřina Janatová</t>
  </si>
  <si>
    <t>Veronika Jenčová</t>
  </si>
  <si>
    <t>Jessica Jislová</t>
  </si>
  <si>
    <t>Jiří Konvalinka</t>
  </si>
  <si>
    <t>Roman Koudelka</t>
  </si>
  <si>
    <t>Petra Kuříková</t>
  </si>
  <si>
    <t>Zuzana Maděrová</t>
  </si>
  <si>
    <t>Sandra Schützová</t>
  </si>
  <si>
    <t>Kateřina Janatová/Sandra Schützová</t>
  </si>
  <si>
    <t>Anna Marie Jaklová/Kateřina Janatová/Sandra Schützová</t>
  </si>
  <si>
    <t>Jiří Tuž</t>
  </si>
  <si>
    <t>Jan Vytrval</t>
  </si>
  <si>
    <t>Jan Vytrval/Jiří Konvalinka</t>
  </si>
  <si>
    <t>Lee Bo-Na</t>
  </si>
  <si>
    <t>John Ume</t>
  </si>
  <si>
    <t>Caroline Almeida</t>
  </si>
  <si>
    <t>Gabriela Moreschi/Renata Arruda</t>
  </si>
  <si>
    <t>José Fernando Santana</t>
  </si>
  <si>
    <t>Érica Sena</t>
  </si>
  <si>
    <t>Manika Batra</t>
  </si>
  <si>
    <t>Rajeshwari Kumari</t>
  </si>
  <si>
    <t>Tulika Maan</t>
  </si>
  <si>
    <t>Aman Sehrawat</t>
  </si>
  <si>
    <t>Shreyasi Singh</t>
  </si>
  <si>
    <t>Rajindra Campbell</t>
  </si>
  <si>
    <t>Christania Williams</t>
  </si>
  <si>
    <t>Charokee Young</t>
  </si>
  <si>
    <t>Mirra Andreyeva</t>
  </si>
  <si>
    <t>Anastasia Bayandina</t>
  </si>
  <si>
    <t>Artem Selin</t>
  </si>
  <si>
    <t>Anna Polinari/Giancarla Trevisan/Ilaria Accame</t>
  </si>
  <si>
    <t>Chiara Rebagliati</t>
  </si>
  <si>
    <t>Ilaria Spirito</t>
  </si>
  <si>
    <t>Jai Angsuthasawit</t>
  </si>
  <si>
    <t>Isobel Batt-Doyle</t>
  </si>
  <si>
    <t>Jaxon Bowshire</t>
  </si>
  <si>
    <t>Flynn Southam/Kyle Chalmers/William Yang</t>
  </si>
  <si>
    <t>Kyle Chalmers</t>
  </si>
  <si>
    <t>Grace Young/Jane Claxton/Kaitlin Nobbs/Mariah Williams</t>
  </si>
  <si>
    <t>Angus Dawson/Jack Hargreaves/Jack O'Brien/Spencer Turrin/Kendall Brodie</t>
  </si>
  <si>
    <t>Chevonne Forgan</t>
  </si>
  <si>
    <t>Amy Atwell/Cayla George</t>
  </si>
  <si>
    <t>Matthew Glaetzer</t>
  </si>
  <si>
    <t>Molly Goodman/Olympia Aldersey</t>
  </si>
  <si>
    <t>Leigh Hoffman</t>
  </si>
  <si>
    <t>Jack McVeigh/Joe Ingles/Josh Green/Nick Kay</t>
  </si>
  <si>
    <t>Sophie Linn</t>
  </si>
  <si>
    <t>Natalie van Coevorden/Sophie Linn</t>
  </si>
  <si>
    <t>Sami Whitcomb/Tess Madgen</t>
  </si>
  <si>
    <t>Kurtis Marschall</t>
  </si>
  <si>
    <t>Jesse Moore</t>
  </si>
  <si>
    <t>Alexandra Manly/Chloe Moran/Maeve Plouffe/Sophie Edwards</t>
  </si>
  <si>
    <t>Callum Peters</t>
  </si>
  <si>
    <t>Jack Rossiter</t>
  </si>
  <si>
    <t>Zachery Schubert</t>
  </si>
  <si>
    <t>Hattie Shand/Karri Somerville/Penny Squibb</t>
  </si>
  <si>
    <t>Jessica Stenson</t>
  </si>
  <si>
    <t>Blake Govers/Tom Craig/Tom Wickham</t>
  </si>
  <si>
    <t>Alex Wilson/Lauren Mansfield</t>
  </si>
  <si>
    <t>Kristian Blummenfelt</t>
  </si>
  <si>
    <t>Ole Martin Halvorsen</t>
  </si>
  <si>
    <t>Jon-Hermann Hegg/Jeanette Hegg Duestad</t>
  </si>
  <si>
    <t>Jon-Hermann Hegg</t>
  </si>
  <si>
    <t>Maren Kirkeeide</t>
  </si>
  <si>
    <t>Beatrice Nedberge Llano</t>
  </si>
  <si>
    <t>Thomas Mardal</t>
  </si>
  <si>
    <t>Anders Mol</t>
  </si>
  <si>
    <t>Gaute Nepstad/Magnus Ramsfjell</t>
  </si>
  <si>
    <t>Julie Nistad Samsonsen</t>
  </si>
  <si>
    <t>Stine Skogrand</t>
  </si>
  <si>
    <t>Marcus Thomsen</t>
  </si>
  <si>
    <t>Vetle Bergsvik Thorn</t>
  </si>
  <si>
    <t>Kristian Blummenfelt/Vetle Bergsvik Thorn</t>
  </si>
  <si>
    <t>Revee Walcott-Nolan</t>
  </si>
  <si>
    <t>Sreeja Akula</t>
  </si>
  <si>
    <t>Archana Kamath/Manika Batra/Sreeja Akula</t>
  </si>
  <si>
    <t>PV Sindhu</t>
  </si>
  <si>
    <t>Esha Singh</t>
  </si>
  <si>
    <t>Konrad Badacz</t>
  </si>
  <si>
    <t>Mateusz Bereźnicki</t>
  </si>
  <si>
    <t>Natalia Czerwonka</t>
  </si>
  <si>
    <t>Paweł Fajdek</t>
  </si>
  <si>
    <t>Kornelia Fiedkiewicz</t>
  </si>
  <si>
    <t>Michał Gancarczyk/Wojciech Chmielewski</t>
  </si>
  <si>
    <t>Bartosz Kurek</t>
  </si>
  <si>
    <t>Piotr Lisek</t>
  </si>
  <si>
    <t>Adela Piskorska</t>
  </si>
  <si>
    <t>Mateusz Rudyk</t>
  </si>
  <si>
    <t>Aleksander Śliwka</t>
  </si>
  <si>
    <t>Robert Sobera</t>
  </si>
  <si>
    <t>Mateusz Sochowicz</t>
  </si>
  <si>
    <t>Mateusz Sochowicz/Michał Gancarczyk/Wojciech Chmielewski</t>
  </si>
  <si>
    <t>Adela Piskorska/Dominika Sztandera/Kornelia Fiedkiewicz</t>
  </si>
  <si>
    <t>Dominika Sztandera/Kornelia Fiedkiewicz</t>
  </si>
  <si>
    <t>Dominika Sztandera</t>
  </si>
  <si>
    <t>Anna Węgrzyn</t>
  </si>
  <si>
    <t>Katarzyna Wegrzyn</t>
  </si>
  <si>
    <t>Andżelika Wójcik</t>
  </si>
  <si>
    <t>Marcin Zawół</t>
  </si>
  <si>
    <t>Konrad Badacz/Marcin Zawół</t>
  </si>
  <si>
    <t>Kaja Ziomek-Nogal</t>
  </si>
  <si>
    <t>Kamila Żuk</t>
  </si>
  <si>
    <t>Konrad Badacz/Kamila Żuk</t>
  </si>
  <si>
    <t>Kristen Faulkner</t>
  </si>
  <si>
    <t>Jennifer Valente/Kristen Faulkner/Lily Williams</t>
  </si>
  <si>
    <t>Maxime Germain</t>
  </si>
  <si>
    <t>Alexander Hall</t>
  </si>
  <si>
    <t>Peter Hinds</t>
  </si>
  <si>
    <t>Kendall Kramer</t>
  </si>
  <si>
    <t>Zanden McMullen</t>
  </si>
  <si>
    <t>Hunter Wonders</t>
  </si>
  <si>
    <t>Rino Burić</t>
  </si>
  <si>
    <t>Palma Čargo</t>
  </si>
  <si>
    <t>Martin Dolenc</t>
  </si>
  <si>
    <t>Jere Hribar</t>
  </si>
  <si>
    <t>Filip Jurišic</t>
  </si>
  <si>
    <t>Katarina Krišto</t>
  </si>
  <si>
    <t>Zlatko Kumrić</t>
  </si>
  <si>
    <t>Ante Vukičević/Jerko Marinić Kragić/Luka Bukić</t>
  </si>
  <si>
    <t>Petra Martić</t>
  </si>
  <si>
    <t>Barbara Matić</t>
  </si>
  <si>
    <t>Damir Mikec</t>
  </si>
  <si>
    <t>Mate Pavić/Nikola Mektić</t>
  </si>
  <si>
    <t>Lena Stojković</t>
  </si>
  <si>
    <t>Yeral Núñez</t>
  </si>
  <si>
    <t>Cristian Pinales</t>
  </si>
  <si>
    <t>Wilhem Belocian</t>
  </si>
  <si>
    <t>Yannick Borel</t>
  </si>
  <si>
    <t>Luidgi Midelton/Yannick Borel</t>
  </si>
  <si>
    <t>Luidgi Midelton</t>
  </si>
  <si>
    <t>Méline Nocandy</t>
  </si>
  <si>
    <t>Teddy Riner</t>
  </si>
  <si>
    <t>Amandha Sylves/Christina Bauer/Léandra Olinga-Andela</t>
  </si>
  <si>
    <t>Anita Blaze/Éva Lacheray/Ysaora Thibus</t>
  </si>
  <si>
    <t>Ysaora Thibus</t>
  </si>
  <si>
    <t>Coraline Vitalis</t>
  </si>
  <si>
    <t>Eero Hirvonen</t>
  </si>
  <si>
    <t>Pihla Kaivo-Oja</t>
  </si>
  <si>
    <t>Rasmus Karjalainen</t>
  </si>
  <si>
    <t>Elias Lajunen</t>
  </si>
  <si>
    <t>Esa Lindell/Miro Heiskanen/Nikolas Matinpalo/Olli Määttä</t>
  </si>
  <si>
    <t>Suvi Minkkinen</t>
  </si>
  <si>
    <t>Inka Hämäläinen/Suvi Minkkinen</t>
  </si>
  <si>
    <t>Olli Hiidensalo/Tero Seppälä/Inka Hämäläinen/Suvi Minkkinen</t>
  </si>
  <si>
    <t>Soichi Hashimoto</t>
  </si>
  <si>
    <t>Miu Hirano</t>
  </si>
  <si>
    <t>Shota Iizuka</t>
  </si>
  <si>
    <t>Koki Ikeda</t>
  </si>
  <si>
    <t>Shiho Matsumoto</t>
  </si>
  <si>
    <t>Tsubaki Miki</t>
  </si>
  <si>
    <t>Tomoki Ota</t>
  </si>
  <si>
    <t>Hiroki Sekine/Kaito Suzuki/Ryuya Nishio</t>
  </si>
  <si>
    <t>Taku Taniguchi</t>
  </si>
  <si>
    <t>Sara Balzer</t>
  </si>
  <si>
    <t>Gwendal Bisch</t>
  </si>
  <si>
    <t>Violette Braun</t>
  </si>
  <si>
    <t>Jeff Erius/Ryan Zézé</t>
  </si>
  <si>
    <t>Laura Flippes/Orlane Kanor</t>
  </si>
  <si>
    <t>Salim Jemai</t>
  </si>
  <si>
    <t>Ludovic Fabregas/Luka Karabatić</t>
  </si>
  <si>
    <t>Charlotte Lutz/Jianan Yuan/Prithika Pavade</t>
  </si>
  <si>
    <t>Océanne Muller</t>
  </si>
  <si>
    <t>Pauline Stey</t>
  </si>
  <si>
    <t>Connor Bainbridge</t>
  </si>
  <si>
    <t>Alexander Hill/Fergus Hamilton</t>
  </si>
  <si>
    <t>Conor Williamson/Nicholas Park</t>
  </si>
  <si>
    <t>Stefan Babinsky</t>
  </si>
  <si>
    <t>Emma Davidsmeyer</t>
  </si>
  <si>
    <t>Angelique Kerber</t>
  </si>
  <si>
    <t>Paul Kohlhoff</t>
  </si>
  <si>
    <t>Florian Wellbrock</t>
  </si>
  <si>
    <t>Jorrit Bergsma</t>
  </si>
  <si>
    <t>Chris Huizinga/Jorrit Bergsma/Marcel Bosker</t>
  </si>
  <si>
    <t>Jan van der Bij/Sander de Graaf</t>
  </si>
  <si>
    <t>Anna Boersma</t>
  </si>
  <si>
    <t>Marit Bouwmeester</t>
  </si>
  <si>
    <t>Ymkje Clevering</t>
  </si>
  <si>
    <t>Tineke den Dulk</t>
  </si>
  <si>
    <t>Marijke Groenewoud</t>
  </si>
  <si>
    <t>Jolien Knollema/Marrit Jasper</t>
  </si>
  <si>
    <t>Femke Kok</t>
  </si>
  <si>
    <t>Caspar Corbeau/Nyls Korstanje/Stan Pijnenburg</t>
  </si>
  <si>
    <t>Nyls Korstanje</t>
  </si>
  <si>
    <t>Itzhak de Laat</t>
  </si>
  <si>
    <t>Friso Emons/Itzhak de Laat</t>
  </si>
  <si>
    <t>Antoinette Rijpma-de Jong</t>
  </si>
  <si>
    <t>Antoinette Rijpma-de Jong/Marijke Groenewoud</t>
  </si>
  <si>
    <t>Marrit Steenbergen</t>
  </si>
  <si>
    <t>Caspar Corbeau/Nyls Korstanje/Marrit Steenbergen</t>
  </si>
  <si>
    <t>Bjarne Bouwer/Laila van der Meer</t>
  </si>
  <si>
    <t>Lieke Wevers</t>
  </si>
  <si>
    <t>Sanne Wevers</t>
  </si>
  <si>
    <t>Lieke Wevers/Sanne Wevers/Tisha Volleman</t>
  </si>
  <si>
    <t>Yulenmis Aguilar</t>
  </si>
  <si>
    <t>Arlenis Sierra</t>
  </si>
  <si>
    <t>Atheyna Bylon</t>
  </si>
  <si>
    <t>Pablo Abián</t>
  </si>
  <si>
    <t>Aina Cid/Esther Briz</t>
  </si>
  <si>
    <t>Luis Domínguez/Sergio de Celis</t>
  </si>
  <si>
    <t>Yu Hanaguruma</t>
  </si>
  <si>
    <t>Nao Kusaka</t>
  </si>
  <si>
    <t>Sakara Motoki</t>
  </si>
  <si>
    <t>Hirotaka Yoshii/Rui Hachimura/Yudai Baba/Yuta Watanabe</t>
  </si>
  <si>
    <t>Zaid Abo Yaman</t>
  </si>
  <si>
    <t>Ahmad Abu Al-Soud</t>
  </si>
  <si>
    <t>Karin Belbeisi</t>
  </si>
  <si>
    <t>Zeyad Eashash</t>
  </si>
  <si>
    <t>Obada Al-Kasbeh</t>
  </si>
  <si>
    <t>Moath Al-Khawaldeh</t>
  </si>
  <si>
    <t>Zaid Mustafa</t>
  </si>
  <si>
    <t>Julyana Al-Sadeq</t>
  </si>
  <si>
    <t>Soufiane El-Bakkali</t>
  </si>
  <si>
    <t>Irina Rodrigues</t>
  </si>
  <si>
    <t>Vanessa Marina</t>
  </si>
  <si>
    <t>Agustina Albertario/Julieta Jankunas</t>
  </si>
  <si>
    <t>Florencia Borelli</t>
  </si>
  <si>
    <t>Eugenia Bosco</t>
  </si>
  <si>
    <t>Juana Camilión/Sandra Ygueravide/Vega Gimeno</t>
  </si>
  <si>
    <t>María Lourdes Carlé</t>
  </si>
  <si>
    <t>María Lourdes Carlé/Nadia Podoroska</t>
  </si>
  <si>
    <t>Belén Casetta</t>
  </si>
  <si>
    <t>Alejandro Colomino</t>
  </si>
  <si>
    <t>Facundo Conte</t>
  </si>
  <si>
    <t>Luciano Darderi</t>
  </si>
  <si>
    <t>Matías Dell Olio</t>
  </si>
  <si>
    <t>Tomás Martín Etcheverry</t>
  </si>
  <si>
    <t>Sofía Fiora</t>
  </si>
  <si>
    <t>Delfina Gaspari/Mathilde Duffrene</t>
  </si>
  <si>
    <t>Federico Gil</t>
  </si>
  <si>
    <t>Joaquín Gómez</t>
  </si>
  <si>
    <t>Máximo González</t>
  </si>
  <si>
    <t>Máximo González/Nadia Podoroska</t>
  </si>
  <si>
    <t>Lucas Guzmán</t>
  </si>
  <si>
    <t>Agostina Hein</t>
  </si>
  <si>
    <t>Mauro Iglesias</t>
  </si>
  <si>
    <t>Mario Jajarabilla</t>
  </si>
  <si>
    <t>Elián Larregina</t>
  </si>
  <si>
    <t>Juan Manuel Bar/Leonel Maciel</t>
  </si>
  <si>
    <t>Agustín Mazzilli/Tomás Domene</t>
  </si>
  <si>
    <t>Cristian Medina/Kevin Zenón</t>
  </si>
  <si>
    <t>Gastón Revol/Marcos Moneta/Santiago Álvarez/Tomás Elizalde</t>
  </si>
  <si>
    <t>Gabriela Narváez</t>
  </si>
  <si>
    <t>Mariano Navone</t>
  </si>
  <si>
    <t>Mariano Navone/Tomás Martín Etcheverry</t>
  </si>
  <si>
    <t>Daiana Ocampo</t>
  </si>
  <si>
    <t>Federico Pizarro/Guillermo Fischer/James Parker/Nicolás Bonanno</t>
  </si>
  <si>
    <t>Federico Fernández/Ignacio Pizarro</t>
  </si>
  <si>
    <t>Agustín Bugallo/Matías Rey</t>
  </si>
  <si>
    <t>Brenda Rojas</t>
  </si>
  <si>
    <t>Gerónimo Rulli/Leandro Brey</t>
  </si>
  <si>
    <t>Ulises Saravía</t>
  </si>
  <si>
    <t>Evelyn Silvestro</t>
  </si>
  <si>
    <t>Diego Simonet/Pablo Simonet</t>
  </si>
  <si>
    <t>Pilar Campoy/Sofía Toccalino/Victoria Sauze</t>
  </si>
  <si>
    <t>Agustín Vernice</t>
  </si>
  <si>
    <t>Alanna Fitzpatrick/Amy Larn/Emily Lane/Lucy Rock/Stacey Flood</t>
  </si>
  <si>
    <t>Justin Addamo/Pierre-Édouard Bellemare/Stéphane da Costa</t>
  </si>
  <si>
    <t>Valentin Foubert</t>
  </si>
  <si>
    <t>Valentin Foubert/Joséphine Pagnier</t>
  </si>
  <si>
    <t>Pierre Gouzou</t>
  </si>
  <si>
    <t>Valentin Houinato</t>
  </si>
  <si>
    <t>Rénelle Lamote</t>
  </si>
  <si>
    <t>Sarah Madeleine</t>
  </si>
  <si>
    <t>Aymeric Minne</t>
  </si>
  <si>
    <t>Hatadou Sako/Laura Glauser</t>
  </si>
  <si>
    <t>Manex Silva</t>
  </si>
  <si>
    <t>Kevin Berlín</t>
  </si>
  <si>
    <t>Crisanto Grajales</t>
  </si>
  <si>
    <t>Ricardo Ortiz</t>
  </si>
  <si>
    <t>Robert Florentino</t>
  </si>
  <si>
    <t>Ángel Montes de Oca/Edison Azcona/Omar de la Cruz</t>
  </si>
  <si>
    <t>Alexander Ogando</t>
  </si>
  <si>
    <t>Bryan Pérez</t>
  </si>
  <si>
    <t>Patrik Ligetvári/Richárd Bodó/Zoltán Szita</t>
  </si>
  <si>
    <t>Márton Fucsovics</t>
  </si>
  <si>
    <t>Petra Füzi-Tóvízi</t>
  </si>
  <si>
    <t>Máté Helebrandt</t>
  </si>
  <si>
    <t>Richárd Kovács</t>
  </si>
  <si>
    <t>Pedro Buaró</t>
  </si>
  <si>
    <t>Marcos Freitas</t>
  </si>
  <si>
    <t>Klaudia Breś</t>
  </si>
  <si>
    <t>Martyna Jelińska</t>
  </si>
  <si>
    <t>Andrzej Rządkowski/Jan Jurkiewicz</t>
  </si>
  <si>
    <t>Jan Jurkiewicz</t>
  </si>
  <si>
    <t>Klaudia Kazimierska</t>
  </si>
  <si>
    <t>Michał Kwiatkowski</t>
  </si>
  <si>
    <t>Hanna Łyczbińska/Martyna Jelińska</t>
  </si>
  <si>
    <t>Hanna Łyczbińska</t>
  </si>
  <si>
    <t>Martyna Radosz</t>
  </si>
  <si>
    <t>Adrianna Sułek-Schubert</t>
  </si>
  <si>
    <t>Angelika Szymańska</t>
  </si>
  <si>
    <t>Dawid Wegner</t>
  </si>
  <si>
    <t>Joanna Wołosz/Katarzyna Wenerska</t>
  </si>
  <si>
    <t>Fabian Barański/Mateusz Biskup/Mirosław Ziętarski</t>
  </si>
  <si>
    <t>Heiki Nabi</t>
  </si>
  <si>
    <t>Andrei Toader</t>
  </si>
  <si>
    <t>Nima Alamian</t>
  </si>
  <si>
    <t>Noshad Alamian</t>
  </si>
  <si>
    <t>Rahman Amouzad</t>
  </si>
  <si>
    <t>Mohammad Nabi Rezaei</t>
  </si>
  <si>
    <t>Mohammadhadi Saravi</t>
  </si>
  <si>
    <t>Hassan Yazdani</t>
  </si>
  <si>
    <t>Amir Hossein Zare</t>
  </si>
  <si>
    <t>Alyona Ivanchenko</t>
  </si>
  <si>
    <t>Geiner Moreno</t>
  </si>
  <si>
    <t>Koceila Adoul</t>
  </si>
  <si>
    <t>Samir Bouchireb</t>
  </si>
  <si>
    <t>Benjamin Hassan</t>
  </si>
  <si>
    <t>Lisa Klein</t>
  </si>
  <si>
    <t>Moritz Reichert/Tobias Brand</t>
  </si>
  <si>
    <t>Pauline Schäfer-Betz</t>
  </si>
  <si>
    <t>Marvin Seidel</t>
  </si>
  <si>
    <t>Alex Joachim</t>
  </si>
  <si>
    <t>Shafiqua Maloney</t>
  </si>
  <si>
    <t>Handal Roban</t>
  </si>
  <si>
    <t>Johanne Defay</t>
  </si>
  <si>
    <t>Elzan Bibić</t>
  </si>
  <si>
    <t>Jelena Erić</t>
  </si>
  <si>
    <t>Miran Kujundžić/Uroš Kovačević</t>
  </si>
  <si>
    <t>Marko Gudurić/Vasilije Micić</t>
  </si>
  <si>
    <t>Hena Kurtagić/Maja Aleksić/Mina Popović</t>
  </si>
  <si>
    <t>Charlize Mörz</t>
  </si>
  <si>
    <t>Raphael Pallitsch</t>
  </si>
  <si>
    <t>Lynnzee Brown</t>
  </si>
  <si>
    <t>Freddie Crittenden</t>
  </si>
  <si>
    <t>Aaron Russell/Garrett Muagututia/TJ DeFalco</t>
  </si>
  <si>
    <t>Tyler Downs</t>
  </si>
  <si>
    <t>Quincy Hall</t>
  </si>
  <si>
    <t>Blake Broszus/Bogdan Hamilton/Daniel Gu</t>
  </si>
  <si>
    <t>Brandon Miller</t>
  </si>
  <si>
    <t>Christopher Nilsen</t>
  </si>
  <si>
    <t>DeAnna Price</t>
  </si>
  <si>
    <t>Patrick Schulte</t>
  </si>
  <si>
    <t>Jayson Tatum</t>
  </si>
  <si>
    <t>Rachel Tozier</t>
  </si>
  <si>
    <t>Sinead Diver</t>
  </si>
  <si>
    <t>Noel Chama</t>
  </si>
  <si>
    <t>Margarita Hernández</t>
  </si>
  <si>
    <t>Joana Jiménez</t>
  </si>
  <si>
    <t>Bruno Martínez Wing</t>
  </si>
  <si>
    <t>Mayan Oliver</t>
  </si>
  <si>
    <t>Edson Ramírez/Goretti Zumaya</t>
  </si>
  <si>
    <t>Edson Ramírez</t>
  </si>
  <si>
    <t>Thomas Briceño</t>
  </si>
  <si>
    <t>Nicolás Burgos</t>
  </si>
  <si>
    <t>Esteban Bustos</t>
  </si>
  <si>
    <t>Joaquín Churchill</t>
  </si>
  <si>
    <t>Eduardo Cisternas</t>
  </si>
  <si>
    <t>Agustín Covarrubias</t>
  </si>
  <si>
    <t>Francisca Crovetto</t>
  </si>
  <si>
    <t>Carlos Díaz</t>
  </si>
  <si>
    <t>Esteban Grimalt</t>
  </si>
  <si>
    <t>Tomás Holscher</t>
  </si>
  <si>
    <t>Arantza Inostroza</t>
  </si>
  <si>
    <t>Nicolás Jarry</t>
  </si>
  <si>
    <t>Stephanie Joffroy</t>
  </si>
  <si>
    <t>Kristel Köbrich</t>
  </si>
  <si>
    <t>Mauricio Molina</t>
  </si>
  <si>
    <t>Diego Moya</t>
  </si>
  <si>
    <t>Joaquín Niemann</t>
  </si>
  <si>
    <t>Mito Pereira</t>
  </si>
  <si>
    <t>Macarena Pérez</t>
  </si>
  <si>
    <t>Nicolás Pirozzi</t>
  </si>
  <si>
    <t>María José Poncell</t>
  </si>
  <si>
    <t>Gaspar Riveros</t>
  </si>
  <si>
    <t>Claudio Romero</t>
  </si>
  <si>
    <t>Martín Sáenz</t>
  </si>
  <si>
    <t>Jorge Antonio Salhe</t>
  </si>
  <si>
    <t>Matilde Schwencke</t>
  </si>
  <si>
    <t>Catalina Soto</t>
  </si>
  <si>
    <t>Mary Dee Vargas</t>
  </si>
  <si>
    <t>Martín Vidaurre</t>
  </si>
  <si>
    <t>Martina Weil</t>
  </si>
  <si>
    <t>Esma Alić</t>
  </si>
  <si>
    <t>Nadija Smailbegović/Nevena Jovanović/Saša Čađo/Yvonne Anderson</t>
  </si>
  <si>
    <t>Tina Krajišnik</t>
  </si>
  <si>
    <t>Nemanja Majdov</t>
  </si>
  <si>
    <t>Tijana Bošković</t>
  </si>
  <si>
    <t>Aleksandra Samardžić</t>
  </si>
  <si>
    <t>Eileen Cikamatana</t>
  </si>
  <si>
    <t>Eduardo Álvarez</t>
  </si>
  <si>
    <t>Eduardo Álvarez/Ismael García Roque</t>
  </si>
  <si>
    <t>Ana Arnau/Inés Bergua/Mireia Martínez/Patricia Pérez</t>
  </si>
  <si>
    <t>Constanza Amundson/Laura Barrios/Lola Riera</t>
  </si>
  <si>
    <t>Alejandro Bustos</t>
  </si>
  <si>
    <t>Carmen Campos/Silvia Arderíus</t>
  </si>
  <si>
    <t>Paula Camús</t>
  </si>
  <si>
    <t>Borja Carrascosa</t>
  </si>
  <si>
    <t>Ana Carvajal</t>
  </si>
  <si>
    <t>Cecilia Castro</t>
  </si>
  <si>
    <t>Adriana Cerezo</t>
  </si>
  <si>
    <t>Alba Torrens/María Araújo/María Conde</t>
  </si>
  <si>
    <t>María Corbera</t>
  </si>
  <si>
    <t>Antía Jácome/María Corbera</t>
  </si>
  <si>
    <t>Adrián del Río</t>
  </si>
  <si>
    <t>Diego Domínguez/Joan Moreno</t>
  </si>
  <si>
    <t>Alberto Fernández</t>
  </si>
  <si>
    <t>David García/Julio Arenas/Óscar Husillos</t>
  </si>
  <si>
    <t>Diego García</t>
  </si>
  <si>
    <t>Francisco Garrigós</t>
  </si>
  <si>
    <t>José de León/Peter González</t>
  </si>
  <si>
    <t>Jennifer Hermoso/Mariona Caldentey/Salma Paralluelo</t>
  </si>
  <si>
    <t>Álex Abrines/Juan Hernangómez/Rudy Fernández/Santi Aldama/Usman Garuba</t>
  </si>
  <si>
    <t>Jaime Pradilla/Willy Hernangómez</t>
  </si>
  <si>
    <t>Álvaro Iglesias</t>
  </si>
  <si>
    <t>Alejandro Iturbe</t>
  </si>
  <si>
    <t>Daniel León</t>
  </si>
  <si>
    <t>Carlos Llavador</t>
  </si>
  <si>
    <t>Patricia Guijarro/Teresa Abelleira/Vicky López</t>
  </si>
  <si>
    <t>Eduardo Lorrio</t>
  </si>
  <si>
    <t>Lucía Martín-Portugués</t>
  </si>
  <si>
    <t>Laura Martínez</t>
  </si>
  <si>
    <t>Tania Moreno</t>
  </si>
  <si>
    <t>Pili Peña</t>
  </si>
  <si>
    <t>Begoña García/Belén Iglesias/Blanca Pérez/Sara Barrios</t>
  </si>
  <si>
    <t>Javier Pérez</t>
  </si>
  <si>
    <t>Javier Rodríguez</t>
  </si>
  <si>
    <t>Yago Rojo</t>
  </si>
  <si>
    <t>Noemí Romero Rosario</t>
  </si>
  <si>
    <t>Blanca Toledano/Lilou Lluis/Marina García</t>
  </si>
  <si>
    <t>Alejandra Torres-Quevedo/Lucía Jiménez</t>
  </si>
  <si>
    <t>Joao Urbáez</t>
  </si>
  <si>
    <t>Sofía Val</t>
  </si>
  <si>
    <t>Adrián Vicente</t>
  </si>
  <si>
    <t>Mercedes Castellanos/Nicole Wiggins</t>
  </si>
  <si>
    <t>Pravin Jadhav</t>
  </si>
  <si>
    <t>Chirag Shetty</t>
  </si>
  <si>
    <t>Alin Firfirică</t>
  </si>
  <si>
    <t>Amalia Ghigoarță</t>
  </si>
  <si>
    <t>Aleksandar Nedeljković</t>
  </si>
  <si>
    <t>Milan Trajkovic</t>
  </si>
  <si>
    <t>Milagros Durán</t>
  </si>
  <si>
    <t>Beatriz Pirón</t>
  </si>
  <si>
    <t>César Abaroa</t>
  </si>
  <si>
    <t>Antonia Abraham/Melita Abraham</t>
  </si>
  <si>
    <t>Paula Gómez</t>
  </si>
  <si>
    <t>María Paulina Vega</t>
  </si>
  <si>
    <t>Mohamed Amin Jhinaoui</t>
  </si>
  <si>
    <t>Penny Healey</t>
  </si>
  <si>
    <t>Bryony Pitman/Penny Healey</t>
  </si>
  <si>
    <t>Mia Brookes</t>
  </si>
  <si>
    <t>Morgan Bolding/Sholto Carnegie/Thomas Ford</t>
  </si>
  <si>
    <t>Luke Greenbank</t>
  </si>
  <si>
    <t>Bryony Page</t>
  </si>
  <si>
    <t>Reona Aoki</t>
  </si>
  <si>
    <t>Joel Chima Fujita/Ryotaro Araki</t>
  </si>
  <si>
    <t>Miyuu Masuhara/Rei Halloran</t>
  </si>
  <si>
    <t>Akiko Hasegawa</t>
  </si>
  <si>
    <t>Arisa Nishi/Emii Tanaka/Wakaba Hara/Yume Hirano</t>
  </si>
  <si>
    <t>Yuto Horigome</t>
  </si>
  <si>
    <t>Rikako Ikee</t>
  </si>
  <si>
    <t>Taku Taniguchi/Rikako Ikee</t>
  </si>
  <si>
    <t>Hayato Ishiguro</t>
  </si>
  <si>
    <t>Koyomi Iwasaki</t>
  </si>
  <si>
    <t>Ellie Kam</t>
  </si>
  <si>
    <t>Alysa Liu/Ellie Kam/Madison Chock</t>
  </si>
  <si>
    <t>Kazuma Kaya</t>
  </si>
  <si>
    <t>Kazuma Kaya/Takaaki Sugino</t>
  </si>
  <si>
    <t>Yuna Koga</t>
  </si>
  <si>
    <t>Hiroko Makino</t>
  </si>
  <si>
    <t>Takamasa Maruo/Yu Okudaira</t>
  </si>
  <si>
    <t>Kyosuke Matsuyama/Yudai Nagano</t>
  </si>
  <si>
    <t>Kyosuke Matsuyama</t>
  </si>
  <si>
    <t>Kao Miura</t>
  </si>
  <si>
    <t>Karin Miyawaki/Komaki Kikuchi/Sera Azuma/Yuka Ueno</t>
  </si>
  <si>
    <t>Karin Miyawaki</t>
  </si>
  <si>
    <t>Hikaru Mori</t>
  </si>
  <si>
    <t>Rachid Muratake</t>
  </si>
  <si>
    <t>Kaito Kawabata/Yuki Joseph Nakajima</t>
  </si>
  <si>
    <t>Yuki Joseph Nakajima</t>
  </si>
  <si>
    <t>Mio Narita</t>
  </si>
  <si>
    <t>Junya Matsumoto/Kazuma Ueda/Kippei Taninaka/Taiga Ishida/Yoshihiro Noguchi</t>
  </si>
  <si>
    <t>Miho Nonaka</t>
  </si>
  <si>
    <t>Makoto Odakura</t>
  </si>
  <si>
    <t>Suguru Osako</t>
  </si>
  <si>
    <t>Nonoka Ozaki</t>
  </si>
  <si>
    <t>Chiaki Saegusa/Sakura Mizutani</t>
  </si>
  <si>
    <t>Kein Sato/Koki Saito/Shota Fujio/Yu Hirakawa</t>
  </si>
  <si>
    <t>Aoba Fujino/Fuka Nagano/Kiko Seike/Momoko Tanikawa</t>
  </si>
  <si>
    <t>Akihiro Fukatsu/Masahiro Sekita</t>
  </si>
  <si>
    <t>Hiroto Shinozuka/Shunsuke Togami</t>
  </si>
  <si>
    <t>Yuko Takahashi</t>
  </si>
  <si>
    <t>Sota Takano</t>
  </si>
  <si>
    <t>Miku Takaichi</t>
  </si>
  <si>
    <t>Akane Hosoyamada/Aoi Shiga/Ayaka Toko-Hitosato/Kanami Seki/Shiori Yamashita</t>
  </si>
  <si>
    <t>Ai Tada/Akane Shiga/Haruka Toko/Makoto Ito/Mei Miura/Rio Noro/Riri Noro/Rui Ukita/Suzuka Maeda/Umeka Odaira/Yumeka Wajima</t>
  </si>
  <si>
    <t>Hinako Tomitaka</t>
  </si>
  <si>
    <t>Ken Toyoda</t>
  </si>
  <si>
    <t>Tsuyaka Uchino</t>
  </si>
  <si>
    <t>Mizuki Ikeda/Tsuyaka Uchino</t>
  </si>
  <si>
    <t>Aoi Watanabe</t>
  </si>
  <si>
    <t>Yuta Watanabe/Arisa Higashino</t>
  </si>
  <si>
    <t>Aaron Wolf</t>
  </si>
  <si>
    <t>Aaron Wolf/Sochi Hashimoto/Takanori Nagase/Tatsuru Saito/Miku Takaichi/Rika Takayama</t>
  </si>
  <si>
    <t>Ayaka Yamashita</t>
  </si>
  <si>
    <t>Asami Yoshida/Rui Machida</t>
  </si>
  <si>
    <t>Miho Yoshimura</t>
  </si>
  <si>
    <t>Liliana Cá</t>
  </si>
  <si>
    <t>Jéssica Inchude</t>
  </si>
  <si>
    <t>Matteo Iocchi Gratta</t>
  </si>
  <si>
    <t>Flora Duffy</t>
  </si>
  <si>
    <t>Emma Harvey</t>
  </si>
  <si>
    <t>Jack Harvey</t>
  </si>
  <si>
    <t>Erica Hawley</t>
  </si>
  <si>
    <t>Jan-Nhai Perinchief</t>
  </si>
  <si>
    <t>Tyler Smith</t>
  </si>
  <si>
    <t>Kirill Gerasimenko</t>
  </si>
  <si>
    <t>Yana Khan</t>
  </si>
  <si>
    <t>Olga Tikhonova/Yana Khan</t>
  </si>
  <si>
    <t>Aibek Oralbay</t>
  </si>
  <si>
    <t>Nurbek Oralbay</t>
  </si>
  <si>
    <t>Mario García</t>
  </si>
  <si>
    <t>Lorena Martín</t>
  </si>
  <si>
    <t>Mayra Aguiar</t>
  </si>
  <si>
    <t>Bianca Silva/Leila Silva/Luiza Campos/Marina Fioravanti</t>
  </si>
  <si>
    <t>Daniel Cargnin</t>
  </si>
  <si>
    <t>Fernando Kreling</t>
  </si>
  <si>
    <t>Georgia Furquim</t>
  </si>
  <si>
    <t>Thales Hoss</t>
  </si>
  <si>
    <t>Viviane Jungblut</t>
  </si>
  <si>
    <t>Lucas Saatkamp</t>
  </si>
  <si>
    <t>Rochele Nunes</t>
  </si>
  <si>
    <t>Mariana Pistoia</t>
  </si>
  <si>
    <t>Fernando Scheffer/Murilo Sartori</t>
  </si>
  <si>
    <t>Nicole Silveira</t>
  </si>
  <si>
    <t>Gabriel Simões</t>
  </si>
  <si>
    <t>Guilherme Toldo</t>
  </si>
  <si>
    <t>Tatiana Weston-Webb</t>
  </si>
  <si>
    <t>Neil Gourley</t>
  </si>
  <si>
    <t>Ollie MacLean/Thomas Murray</t>
  </si>
  <si>
    <t>Chris McCormick</t>
  </si>
  <si>
    <t>Emily Ford/Harriet Taylor/Lauren Irwin/Rowan McKellar/Henry Fieldman</t>
  </si>
  <si>
    <t>David Goodfield/Jack Waller/James Albery/Lee Morton</t>
  </si>
  <si>
    <t>Andy Murray</t>
  </si>
  <si>
    <t>Nicholas Percy</t>
  </si>
  <si>
    <t>Beth Potter</t>
  </si>
  <si>
    <t>Duncan Scott/Jacob Whittle/Tom Dean</t>
  </si>
  <si>
    <t>Duncan Scott/Tom Dean</t>
  </si>
  <si>
    <t>Adam Peaty/Duncan Scott/Joe Litchfield/Oliver Morgan</t>
  </si>
  <si>
    <t>Duncan Scott</t>
  </si>
  <si>
    <t>Katie Shanahan</t>
  </si>
  <si>
    <t>Duncan Scott/James Wilby/Joe Litchfield</t>
  </si>
  <si>
    <t>James Wilby</t>
  </si>
  <si>
    <t>José Cabeça</t>
  </si>
  <si>
    <t>Manuel Grave</t>
  </si>
  <si>
    <t>Meryem Bekmez</t>
  </si>
  <si>
    <t>Ayşe Tekdal</t>
  </si>
  <si>
    <t>Desislava Angelova</t>
  </si>
  <si>
    <t>Tihomir Ivanov</t>
  </si>
  <si>
    <t>Ellesse Andrews</t>
  </si>
  <si>
    <t>Ruby Andrews</t>
  </si>
  <si>
    <t>Nina Brown</t>
  </si>
  <si>
    <t>Lauren Bruce</t>
  </si>
  <si>
    <t>Madaline Davidson</t>
  </si>
  <si>
    <t>Victoria Esson</t>
  </si>
  <si>
    <t>Luke Harrold</t>
  </si>
  <si>
    <t>Sam Lane/Scott Boyde</t>
  </si>
  <si>
    <t>Mackenzie Barry/Meikayla Moore</t>
  </si>
  <si>
    <t>Joseph Morrison</t>
  </si>
  <si>
    <t>Laurence Pithie</t>
  </si>
  <si>
    <t>Tim Price</t>
  </si>
  <si>
    <t>Jonelle Richards-Price/Tim Price</t>
  </si>
  <si>
    <t>Ally Green/Gabi Rennie</t>
  </si>
  <si>
    <t>Lucy Spoors</t>
  </si>
  <si>
    <t>Blair Tarrant/Charlie Morrison</t>
  </si>
  <si>
    <t>Kate Taylor/Macey Fraser</t>
  </si>
  <si>
    <t>Chloe Tipple</t>
  </si>
  <si>
    <t>Taiko Torepe-Ormsby</t>
  </si>
  <si>
    <t>Davina Waddy/Phoebe Spoors</t>
  </si>
  <si>
    <t>Tom Walsh</t>
  </si>
  <si>
    <t>Alexia Chery/Valériane Vukosavljević</t>
  </si>
  <si>
    <t>Alysha Corrigan/Caroline Crossley/Krissy Scurfield</t>
  </si>
  <si>
    <t>Brett Gallant/Jocelyn Peterman</t>
  </si>
  <si>
    <t>Ben Hebert/Brett Gallant/Marc Kennedy/Tyler Tardi</t>
  </si>
  <si>
    <t>Hannah Taylor</t>
  </si>
  <si>
    <t>Yuka Saso</t>
  </si>
  <si>
    <t>Riley Amos</t>
  </si>
  <si>
    <t>Janine Beckie/Jordyn Huitema</t>
  </si>
  <si>
    <t>Annika Belshaw</t>
  </si>
  <si>
    <t>Annika Belshaw/Paige Jones</t>
  </si>
  <si>
    <t>Wyndham Clark</t>
  </si>
  <si>
    <t>Valerie Constien</t>
  </si>
  <si>
    <t>Elise Cranny</t>
  </si>
  <si>
    <t>Lily Dhawornvej</t>
  </si>
  <si>
    <t>Alex Ferreira</t>
  </si>
  <si>
    <t>Margie Freed</t>
  </si>
  <si>
    <t>Maxime Germain/Margie Freed</t>
  </si>
  <si>
    <t>Stacy Gaskill</t>
  </si>
  <si>
    <t>Lasse Gaxiola</t>
  </si>
  <si>
    <t>Anna Hall</t>
  </si>
  <si>
    <t>Jackson Harvey</t>
  </si>
  <si>
    <t>Lindsey Horan</t>
  </si>
  <si>
    <t>Riley Jacobs</t>
  </si>
  <si>
    <t>Tess Johnson</t>
  </si>
  <si>
    <t>Lauren Jortberg</t>
  </si>
  <si>
    <t>Jaelin Kauf</t>
  </si>
  <si>
    <t>William Kincaid</t>
  </si>
  <si>
    <t>Rylan Kissell</t>
  </si>
  <si>
    <t>Grant Koontz</t>
  </si>
  <si>
    <t>Elizabeth Lemley</t>
  </si>
  <si>
    <t>Niklas Malacinski</t>
  </si>
  <si>
    <t>Layla Al-Masri</t>
  </si>
  <si>
    <t>Kyle Negomir</t>
  </si>
  <si>
    <t>Jake Pates</t>
  </si>
  <si>
    <t>Brooke Raboutou</t>
  </si>
  <si>
    <t>River Radamus</t>
  </si>
  <si>
    <t>Kyle Negomir/River Radamus</t>
  </si>
  <si>
    <t>Austin Krajicek/Rajeev Ram</t>
  </si>
  <si>
    <t>Madeline Schaffrick</t>
  </si>
  <si>
    <t>Sarah Schleper</t>
  </si>
  <si>
    <t>Mikaela Shiffrin</t>
  </si>
  <si>
    <t>Breezy Johnson/Mikaela Shiffrin</t>
  </si>
  <si>
    <t>Lynn Williams/Mallory Pugh-Swanson/Sophia Smith/Trinity Rodman</t>
  </si>
  <si>
    <t>Hailey Swirbul</t>
  </si>
  <si>
    <t>Haleigh Washington</t>
  </si>
  <si>
    <t>Emma Weber</t>
  </si>
  <si>
    <t>Landon Wendler</t>
  </si>
  <si>
    <t>Derrick White/Jrue Holiday</t>
  </si>
  <si>
    <t>Cody Winters</t>
  </si>
  <si>
    <t>Blessing Afrifah</t>
  </si>
  <si>
    <t>Daria Atamanov</t>
  </si>
  <si>
    <t>Shaul Gordon</t>
  </si>
  <si>
    <t>Anat Lelior</t>
  </si>
  <si>
    <t>Mikaella Moshe</t>
  </si>
  <si>
    <t>Tom Reuveny</t>
  </si>
  <si>
    <t>Noam Ben Harush/Roy Revivo/Sean Goldberg/Stav Lemkin</t>
  </si>
  <si>
    <t>Shira Rishony</t>
  </si>
  <si>
    <t>Matan Roditi</t>
  </si>
  <si>
    <t>Ding Xinyi/Guo Qiqi</t>
  </si>
  <si>
    <t>Su Wen</t>
  </si>
  <si>
    <t>Xu Shuangshuang</t>
  </si>
  <si>
    <t>Yuan Xinyue</t>
  </si>
  <si>
    <t>Fay Henderson/Jennifer Dodds/Sophie Jackson/Sophie Sinclair</t>
  </si>
  <si>
    <t>Anastasia Vaipan-Law</t>
  </si>
  <si>
    <t>Edward Appleby/Anastasia Vaipan-Law/Kristen Spours</t>
  </si>
  <si>
    <t>Kseniya Bailo/Sofiya Lyskun</t>
  </si>
  <si>
    <t>Sofiya Lyskun</t>
  </si>
  <si>
    <t>Yelena Potapenko</t>
  </si>
  <si>
    <t>Anna Skydan</t>
  </si>
  <si>
    <t>Michael Trindade</t>
  </si>
  <si>
    <t>Eric Manizabayo</t>
  </si>
  <si>
    <t>Ivana Malobabić</t>
  </si>
  <si>
    <t>Nicolás Claveau-Laviolette</t>
  </si>
  <si>
    <t>José Maita</t>
  </si>
  <si>
    <t>Alessandra Fanali</t>
  </si>
  <si>
    <t>Diana Durango</t>
  </si>
  <si>
    <t>Mary Granja</t>
  </si>
  <si>
    <t>David Hurtado</t>
  </si>
  <si>
    <t>Sol Naranjo</t>
  </si>
  <si>
    <t>Andrés Torres</t>
  </si>
  <si>
    <t>Ronald Zabala</t>
  </si>
  <si>
    <t>Dalia Alcocer/Julia Gutiérrez/Kimberly Salazar</t>
  </si>
  <si>
    <t>Aleksey Lutsenko</t>
  </si>
  <si>
    <t>Antoine de Lapparent</t>
  </si>
  <si>
    <t>Jessika Gbai</t>
  </si>
  <si>
    <t>Jessika Gbai/Marie-Josée Ta Lou-Smith</t>
  </si>
  <si>
    <t>Marie-Josée Ta Lou-Smith</t>
  </si>
  <si>
    <t>Luca Giubellini</t>
  </si>
  <si>
    <t>Matteo Giubellini</t>
  </si>
  <si>
    <t>Luca Giubellini/Matteo Giubellini</t>
  </si>
  <si>
    <t>Salomé Kora</t>
  </si>
  <si>
    <t>Salomé Kora/Sarah Atcho-Jaquier</t>
  </si>
  <si>
    <t>Stefan Küng</t>
  </si>
  <si>
    <t>Miloš Milosavljević</t>
  </si>
  <si>
    <t>Julie Zogg</t>
  </si>
  <si>
    <t>Noslen Díaz</t>
  </si>
  <si>
    <t>Idalys Ortiz</t>
  </si>
  <si>
    <t>Francisco Belo</t>
  </si>
  <si>
    <t>Elmo Lakka</t>
  </si>
  <si>
    <t>Aleksi Leppä</t>
  </si>
  <si>
    <t>Emil Liekari</t>
  </si>
  <si>
    <t>Tapio Pulkkanen</t>
  </si>
  <si>
    <t>Krista Tervo</t>
  </si>
  <si>
    <t>Eliud Kipchoge</t>
  </si>
  <si>
    <t>Margaret Kipkemboi</t>
  </si>
  <si>
    <t>Benson Kipruto</t>
  </si>
  <si>
    <t>Julius Yego</t>
  </si>
  <si>
    <t>Michela Carrara</t>
  </si>
  <si>
    <t>Dorothea Wierer/Hannah Auchentaller/Michela Carrara</t>
  </si>
  <si>
    <t>Federica Cassol</t>
  </si>
  <si>
    <t>Karen Chanloung</t>
  </si>
  <si>
    <t>Mark Chanloung</t>
  </si>
  <si>
    <t>Lisa Francesia Boirai</t>
  </si>
  <si>
    <t>Federico Pellegrino</t>
  </si>
  <si>
    <t>Alessandro Ragaini/Giovanni Caserta</t>
  </si>
  <si>
    <t>Chang Yuan</t>
  </si>
  <si>
    <t>Chi Chunxue</t>
  </si>
  <si>
    <t>Chi Chunxue/Yilamujiang Dinigeer</t>
  </si>
  <si>
    <t>Deng Zhiwei</t>
  </si>
  <si>
    <t>Ding Xia</t>
  </si>
  <si>
    <t>Gao Weizhong</t>
  </si>
  <si>
    <t>Gong Lijiao</t>
  </si>
  <si>
    <t>Han Xu/Sun Mengran</t>
  </si>
  <si>
    <t>He Kaile</t>
  </si>
  <si>
    <t>Chi Chunxue/He Kaile/Wang Yundi/Yilamujiang Dinigeer</t>
  </si>
  <si>
    <t>Jeon Ji-Hee</t>
  </si>
  <si>
    <t>Jeon Ji-Hee/Lee Eun-Hye</t>
  </si>
  <si>
    <t>Li Bingjie</t>
  </si>
  <si>
    <t>Li Chunjian</t>
  </si>
  <si>
    <t>Li Wenhao</t>
  </si>
  <si>
    <t>Liu Yishan</t>
  </si>
  <si>
    <t>Shen Shuangmei</t>
  </si>
  <si>
    <t>Song Zhaoxiang</t>
  </si>
  <si>
    <t>Sun Huadong</t>
  </si>
  <si>
    <t>Sun Yingsha</t>
  </si>
  <si>
    <t>Eugene Wang</t>
  </si>
  <si>
    <t>Wang Xindi</t>
  </si>
  <si>
    <t>Yang Kaiyue</t>
  </si>
  <si>
    <t>Fu Yu</t>
  </si>
  <si>
    <t>Mo Zhang</t>
  </si>
  <si>
    <t>Zhang Ning</t>
  </si>
  <si>
    <t>Morea Baru</t>
  </si>
  <si>
    <t>Kevin Sogo Kassman</t>
  </si>
  <si>
    <t>Constantin Adam/Laurențiu Danciu</t>
  </si>
  <si>
    <t>Munir El-Kajoui</t>
  </si>
  <si>
    <t>Abel Ruiz/Samu Aghehowa/Sergio Camello</t>
  </si>
  <si>
    <t>Ritvars Suharevs</t>
  </si>
  <si>
    <t>Dara Alizadeh</t>
  </si>
  <si>
    <t>Zoe Atkin</t>
  </si>
  <si>
    <t>Eli Dershwitz/Mitchell Saron</t>
  </si>
  <si>
    <t>Eli Dershwitz</t>
  </si>
  <si>
    <t>Zachary DiGregorio</t>
  </si>
  <si>
    <t>Adam Edelman</t>
  </si>
  <si>
    <t>Adam Edelman/Uri Zisman</t>
  </si>
  <si>
    <t>Vinson Chiu/Jennie Gai</t>
  </si>
  <si>
    <t>Ansel Haugsjaa</t>
  </si>
  <si>
    <t>Ansel Haugsjaa/Ashley Farquharson/Chevonne Forgan</t>
  </si>
  <si>
    <t>Clark Dean/Henry Hollingsworth</t>
  </si>
  <si>
    <t>Caleb Furnell/Hunter Powell/Kristopher Horn</t>
  </si>
  <si>
    <t>Kirsten Kasper</t>
  </si>
  <si>
    <t>Alev Kelter/Kristi Kirshe</t>
  </si>
  <si>
    <t>Ada Korkhin</t>
  </si>
  <si>
    <t>Julie Letai</t>
  </si>
  <si>
    <t>Eunice Lee/Julie Letai</t>
  </si>
  <si>
    <t>Andrew MacDonald</t>
  </si>
  <si>
    <t>Emily Clark/Emma Maltais/Jennifer Gardiner</t>
  </si>
  <si>
    <t>Daisy Mazzio-Manson</t>
  </si>
  <si>
    <t>Jennifer Mucino-Fernandez</t>
  </si>
  <si>
    <t>Stephen Nedoroscik</t>
  </si>
  <si>
    <t>Daniella Ramirez/Jacklyn Luu/Jaime Czarkowski/Ruby Remati</t>
  </si>
  <si>
    <t>Frederick Richard</t>
  </si>
  <si>
    <t>Frederick Richard/Stephen Nedoroscik</t>
  </si>
  <si>
    <t>John Tolkin/Miles Robinson/Nathan Harriel</t>
  </si>
  <si>
    <t>Claire Collins/Margaret Hedeman/Regina Salmons</t>
  </si>
  <si>
    <t>Keith Sanderson</t>
  </si>
  <si>
    <t>Amie Varano/Franziska Stocker/Jacqueline Pierri/Laura Lobis</t>
  </si>
  <si>
    <t>Kristina Wagner</t>
  </si>
  <si>
    <t>Desak Made Rita Kusuma Dewi</t>
  </si>
  <si>
    <t>Ismaël Coulibaly</t>
  </si>
  <si>
    <t>Lassine Diarra</t>
  </si>
  <si>
    <t>Thiemoko Diarra</t>
  </si>
  <si>
    <t>Fodé Doucouré/Hamidou Diallo/Mamadou Tounkara/Moussa Diakité</t>
  </si>
  <si>
    <t>Boubacar Traoré/Issouf Sissokho</t>
  </si>
  <si>
    <t>Alin Alexuc</t>
  </si>
  <si>
    <t>Mihai Chiruță</t>
  </si>
  <si>
    <t>Patricia Cireș</t>
  </si>
  <si>
    <t>Simona Radiș</t>
  </si>
  <si>
    <t>Loredana Toma</t>
  </si>
  <si>
    <t>Clarisse Agbegnenou</t>
  </si>
  <si>
    <t>Teddy Riner/Clarisse Agbegnenou</t>
  </si>
  <si>
    <t>Mathieu Belloir</t>
  </si>
  <si>
    <t>Clara Burel</t>
  </si>
  <si>
    <t>Titouan Castryck</t>
  </si>
  <si>
    <t>Lucas Defayet</t>
  </si>
  <si>
    <t>Germain Deschamps/Timothy Loubineaud</t>
  </si>
  <si>
    <t>Amélie Rotar/Lucille Gicquel</t>
  </si>
  <si>
    <t>Solène Gicquel</t>
  </si>
  <si>
    <t>Jénia Grebennikov</t>
  </si>
  <si>
    <t>Louise Maraval/Shana Grebo/Sounkamba Sylla</t>
  </si>
  <si>
    <t>Shana Grebo</t>
  </si>
  <si>
    <t>Camille Prigent</t>
  </si>
  <si>
    <t>Mario Matikanov</t>
  </si>
  <si>
    <t>Daniel Peshkov/Mario Matikanov</t>
  </si>
  <si>
    <t>Vladimir Zografski</t>
  </si>
  <si>
    <t>Franko Burraj</t>
  </si>
  <si>
    <t>Gabrijel Veočić</t>
  </si>
  <si>
    <t>Eva Okaro/Freya Anderson/Lucy Hope</t>
  </si>
  <si>
    <t>Abbie Wood/Freya Anderson/Lucy Hope/Medi Harris</t>
  </si>
  <si>
    <t>Hannah French/Sarah Robertson</t>
  </si>
  <si>
    <t>Abi Burton/Grace Crompton/Heather Cowell/Lisa Thomson</t>
  </si>
  <si>
    <t>Anastasia Tolmacheva</t>
  </si>
  <si>
    <t>Dominique Malonga/Marième Badiane</t>
  </si>
  <si>
    <t>Cécilia Berder/Sara Balzer/Sarah Noutcha</t>
  </si>
  <si>
    <t>Cécilia Berder</t>
  </si>
  <si>
    <t>Yves Bourhis</t>
  </si>
  <si>
    <t>Nicolas Gestin</t>
  </si>
  <si>
    <t>Charlène Guignard</t>
  </si>
  <si>
    <t>Daniel Grassl/Charlène Guignard</t>
  </si>
  <si>
    <t>Agathe Guillemot</t>
  </si>
  <si>
    <t>Léna Kandissounon</t>
  </si>
  <si>
    <t>Yann Le Goff</t>
  </si>
  <si>
    <t>Valentin Madouas</t>
  </si>
  <si>
    <t>Griedge Mbock/Sakina Karchaoui</t>
  </si>
  <si>
    <t>Lisa Barbelin</t>
  </si>
  <si>
    <t>Hugo Beurey</t>
  </si>
  <si>
    <t>Pauletta Foppa/Sarah Bouktit</t>
  </si>
  <si>
    <t>Lucas Kryzs/Océanne Muller</t>
  </si>
  <si>
    <t>Lucas Kryzs</t>
  </si>
  <si>
    <t>Caroline Lopez</t>
  </si>
  <si>
    <t>Caroline Lopez/Lisa Barbelin</t>
  </si>
  <si>
    <t>Magda Wiet-Hénin</t>
  </si>
  <si>
    <t>Nour Abbas</t>
  </si>
  <si>
    <t>Mohamed El-Beialy/Youssef Abdel-Aziz</t>
  </si>
  <si>
    <t>Abdelrahman Abdelghany</t>
  </si>
  <si>
    <t>Doaa El-Ghobashy/Marwa Abdelhady</t>
  </si>
  <si>
    <t>Salma Abdelmaksoud</t>
  </si>
  <si>
    <t>Gamal Abdelnaser</t>
  </si>
  <si>
    <t>Ahmed Koka/Ibrahim Adel/Omar Fayed</t>
  </si>
  <si>
    <t>Maha Amer</t>
  </si>
  <si>
    <t>Mohamed Amer</t>
  </si>
  <si>
    <t>Maggy Ashmawy</t>
  </si>
  <si>
    <t>Seif El-Deraa/Yehia El-Deraa</t>
  </si>
  <si>
    <t>Seif Eissa</t>
  </si>
  <si>
    <t>Hossam Youssif/Mostafa Gaber</t>
  </si>
  <si>
    <t>Ahmed El-Gendy</t>
  </si>
  <si>
    <t>Hana Goda</t>
  </si>
  <si>
    <t>Reda Haikal</t>
  </si>
  <si>
    <t>Hamza Alaa</t>
  </si>
  <si>
    <t>Mohamed Magdi Hamza-Khalifa</t>
  </si>
  <si>
    <t>Ahmed Hesham/Mohab Abdelhak</t>
  </si>
  <si>
    <t>Hanna Hiekal/Nadine Barsoum</t>
  </si>
  <si>
    <t>Hana Goda/Marwa Al-Hodaby</t>
  </si>
  <si>
    <t>Abdelrahman El-Hossiny/Ahmed Azab</t>
  </si>
  <si>
    <t>Aya Hussein</t>
  </si>
  <si>
    <t>Malak Ismail</t>
  </si>
  <si>
    <t>Mohamed Amer/Yassin Khodir</t>
  </si>
  <si>
    <t>Mustafa Mahmoud</t>
  </si>
  <si>
    <t>Ibrahim El-Masry</t>
  </si>
  <si>
    <t>Mahmoud Mohsen</t>
  </si>
  <si>
    <t>Ahmed Nassar</t>
  </si>
  <si>
    <t>Stiliyana Nikolova</t>
  </si>
  <si>
    <t>Esraa Owis</t>
  </si>
  <si>
    <t>Mumin Rabie</t>
  </si>
  <si>
    <t>Amr Reda</t>
  </si>
  <si>
    <t>Amina El-Feky/Farida Abdelbary/Hanna Hiekal/Mariam Ahmed/Nada Saafan/Nadine Barsoum/Salma Marei/Sondos Mohamed</t>
  </si>
  <si>
    <t>Karim Hendawy/Mohammad Sanad</t>
  </si>
  <si>
    <t>Mahmoud El-Sayed/Mahmoud Mohsen/Mohamed El-Sayed</t>
  </si>
  <si>
    <t>Mohamed El-Sayed</t>
  </si>
  <si>
    <t>Abdelrahman Seoudy</t>
  </si>
  <si>
    <t>Mohanad Shaban</t>
  </si>
  <si>
    <t>Noha Hany/Yara El-Sharkawy</t>
  </si>
  <si>
    <t>Yara El-Sharkawy</t>
  </si>
  <si>
    <t>Maiar Sherif</t>
  </si>
  <si>
    <t>Amina Sobeih/Farida Hussein/Johara El-Deeb/Lamar Behairy</t>
  </si>
  <si>
    <t>Malak Tawfik</t>
  </si>
  <si>
    <t>Abdelrahman Tolba</t>
  </si>
  <si>
    <t>Emmanuella Atora</t>
  </si>
  <si>
    <t>Astan Bathily</t>
  </si>
  <si>
    <t>Adam Mpali</t>
  </si>
  <si>
    <t>Omailyn Alcalá</t>
  </si>
  <si>
    <t>Patricia Ferrando</t>
  </si>
  <si>
    <t>Yohandri Granado</t>
  </si>
  <si>
    <t>Luis Fernando Larrazabal</t>
  </si>
  <si>
    <t>Alberto Mestre</t>
  </si>
  <si>
    <t>Alfonso Mestre</t>
  </si>
  <si>
    <t>Yoveinny Mota</t>
  </si>
  <si>
    <t>Katherine Paredes</t>
  </si>
  <si>
    <t>Robeilys Peinado</t>
  </si>
  <si>
    <t>María Yegres</t>
  </si>
  <si>
    <t>Clément Dubois</t>
  </si>
  <si>
    <t>Alexandre Houssein</t>
  </si>
  <si>
    <t>Camille Jedrzejewski</t>
  </si>
  <si>
    <t>Enzo Valax</t>
  </si>
  <si>
    <t>Joaquín Vargas</t>
  </si>
  <si>
    <t>Chen Meiting</t>
  </si>
  <si>
    <t>Li Yuting</t>
  </si>
  <si>
    <t>Niu Chunge</t>
  </si>
  <si>
    <t>Qian Haitao</t>
  </si>
  <si>
    <t>Tang Jing</t>
  </si>
  <si>
    <t>Tang Junyao</t>
  </si>
  <si>
    <t>Wang Yang</t>
  </si>
  <si>
    <t>Wang Juan</t>
  </si>
  <si>
    <t>Wu Xiangdong</t>
  </si>
  <si>
    <t>Xu Jie</t>
  </si>
  <si>
    <t>Yang Xiaolei</t>
  </si>
  <si>
    <t>An Qixuan/Yang Xiaolei</t>
  </si>
  <si>
    <t>Zhong Tao</t>
  </si>
  <si>
    <t>Zhou Yan</t>
  </si>
  <si>
    <t>Martha Araújo</t>
  </si>
  <si>
    <t>Nurul Akmal</t>
  </si>
  <si>
    <t>Laetitia Aoun</t>
  </si>
  <si>
    <t>Bryan Levell</t>
  </si>
  <si>
    <t>Carey McLeod</t>
  </si>
  <si>
    <t>Lara Della Mea</t>
  </si>
  <si>
    <t>Jana Germani</t>
  </si>
  <si>
    <t>Caterina Sinigoi</t>
  </si>
  <si>
    <t>Veronica Toniolo</t>
  </si>
  <si>
    <t>Petar Gorša</t>
  </si>
  <si>
    <t>Miran Maričić</t>
  </si>
  <si>
    <t>Sara Ćirković</t>
  </si>
  <si>
    <t>Dean Bombač/Miha Zarabec</t>
  </si>
  <si>
    <t>Giovanni Cernogoraz</t>
  </si>
  <si>
    <t>Andreja Leški</t>
  </si>
  <si>
    <t>Borut Mačkovšek/Nejc Cehte</t>
  </si>
  <si>
    <t>Tina Mrak</t>
  </si>
  <si>
    <t>Anna Molnar</t>
  </si>
  <si>
    <t>Bernadette Szőcs</t>
  </si>
  <si>
    <t>Stergios Bilas</t>
  </si>
  <si>
    <t>Samiul Rafi</t>
  </si>
  <si>
    <t>Caio Bonfim</t>
  </si>
  <si>
    <t>Gabriela de Sousa</t>
  </si>
  <si>
    <t>Felipe Gustavo</t>
  </si>
  <si>
    <t>Gabi Nunes/Gabi Portilho/Jheniffer/Kerolin Nicoli/Ludmila/Priscila</t>
  </si>
  <si>
    <t>Ketleyn Quadros</t>
  </si>
  <si>
    <t>Daniel Cargnin/Leonardo Gonçalves/Rafael Macedo/Willian Lima/Beatriz Souza/Ketleyn Quadros</t>
  </si>
  <si>
    <t>Gabriela Bitolo/Giulia Guarieiro/Kelly Rosa/Samara Vieira</t>
  </si>
  <si>
    <t>Max Santos</t>
  </si>
  <si>
    <t>Guilherme Schimidt</t>
  </si>
  <si>
    <t>Milena Baldassarri</t>
  </si>
  <si>
    <t>Lorenzo Bilotti/Patrick Baumgartner</t>
  </si>
  <si>
    <t>Daniel Barefoot</t>
  </si>
  <si>
    <t>Daniel Barefoot/Kelly Curtis</t>
  </si>
  <si>
    <t>Ali Gibson/Jackie Benítez</t>
  </si>
  <si>
    <t>Casey Eichfeld</t>
  </si>
  <si>
    <t>Matthew Greiner</t>
  </si>
  <si>
    <t>Caeleb Dressel/Chris Guiliano/Jack Alexy</t>
  </si>
  <si>
    <t>Chris Guiliano/Kieran Smith</t>
  </si>
  <si>
    <t>Chris Guiliano</t>
  </si>
  <si>
    <t>Andrew Heo</t>
  </si>
  <si>
    <t>Andrew Heo/Julie Letai</t>
  </si>
  <si>
    <t>Jasmine Jones/Kaillie Humphries</t>
  </si>
  <si>
    <t>Casey Kaufhold</t>
  </si>
  <si>
    <t>Brady Ellison/Casey Kaufhold</t>
  </si>
  <si>
    <t>Casey Kaufhold/Catalina Gnoriega/Jennifer Mucino-Fernandez</t>
  </si>
  <si>
    <t>Joe Kovacs</t>
  </si>
  <si>
    <t>Spencer Lee</t>
  </si>
  <si>
    <t>Isabeau Levito</t>
  </si>
  <si>
    <t>Josh Matheny</t>
  </si>
  <si>
    <t>Ava McNaughton</t>
  </si>
  <si>
    <t>Michael Grady/Nicholas Mead</t>
  </si>
  <si>
    <t>Caroline Pamukcu</t>
  </si>
  <si>
    <t>Boyd Martin/Caroline Pamukcu/Elizabeth Halliday</t>
  </si>
  <si>
    <t>Ivan Puskovitch</t>
  </si>
  <si>
    <t>Alex Sedrick/Ariana Ramsey/Kayla Canett</t>
  </si>
  <si>
    <t>Zain Retherford</t>
  </si>
  <si>
    <t>Russell Robinson</t>
  </si>
  <si>
    <t>Darragh Greene/Shane Ryan</t>
  </si>
  <si>
    <t>Jovana Sekulic/Tara Prentice</t>
  </si>
  <si>
    <t>Ashley Sessa/Megan Valzonis/Sophia Gladieux</t>
  </si>
  <si>
    <t>Amanda Golini/Brooke DeBerdine/Emma DeBerdine/Karlie Kisha/Meredith Sholder</t>
  </si>
  <si>
    <t>Alyssa Thomas/Kahleah Cooper/Napheesa Collier</t>
  </si>
  <si>
    <t>Marcedes Walker/Tiffany Hayes</t>
  </si>
  <si>
    <t>Jacqueline Dubrovich/Maia Weintraub</t>
  </si>
  <si>
    <t>Bridget Williams</t>
  </si>
  <si>
    <t>Alexandra Hammel/Ashley Hoffman/Kelee Lepage/Madeleine Zimmer</t>
  </si>
  <si>
    <t>Men's Pursuit Classification</t>
  </si>
  <si>
    <t>Women's Pursuit Classification</t>
  </si>
  <si>
    <t>Men's Sprint Classification</t>
  </si>
  <si>
    <t>Women's Sprint Classification</t>
  </si>
  <si>
    <t>Mixed Aerials Classification</t>
  </si>
  <si>
    <t>Mixed Team Classification</t>
  </si>
  <si>
    <t>Ladina Caviezel</t>
  </si>
  <si>
    <t>Charlotte Webster</t>
  </si>
  <si>
    <t>Federico Fernández</t>
  </si>
  <si>
    <t>Marcos Madrid</t>
  </si>
  <si>
    <t>Sofía Reinoso</t>
  </si>
  <si>
    <t>Kristoffer Ventura</t>
  </si>
  <si>
    <t>Gibrán Zea</t>
  </si>
  <si>
    <t>Anna Gasser</t>
  </si>
  <si>
    <t>Heiko Gigler</t>
  </si>
  <si>
    <t>Marco Haller</t>
  </si>
  <si>
    <t>Magdalena Lobnig</t>
  </si>
  <si>
    <t>Katrin Ofner</t>
  </si>
  <si>
    <t>Felix Oschmautz</t>
  </si>
  <si>
    <t>Alexander Payer</t>
  </si>
  <si>
    <t>Sabine Payer</t>
  </si>
  <si>
    <t>Lisa Perterer</t>
  </si>
  <si>
    <t>Gerfried Puck</t>
  </si>
  <si>
    <t>Marco Schwarz</t>
  </si>
  <si>
    <t>Daniel Hemetsberger/Marco Schwarz</t>
  </si>
  <si>
    <t>Katharina Truppe</t>
  </si>
  <si>
    <t>Daniel Tschofenig</t>
  </si>
  <si>
    <t>Paul Verbnjak</t>
  </si>
  <si>
    <t>Nahuel Carabaña</t>
  </si>
  <si>
    <t>Emma Carrasco</t>
  </si>
  <si>
    <t>Marc Colell Pantebre</t>
  </si>
  <si>
    <t>Rodrigo Germade/Saúl Craviotto</t>
  </si>
  <si>
    <t>Mònica Dòria</t>
  </si>
  <si>
    <t>Ferran Julià/Luis Domínguez</t>
  </si>
  <si>
    <t>Berta Segura/Blanca Hervás/Carmen Avilés</t>
  </si>
  <si>
    <t>Bernat Selles Gasch</t>
  </si>
  <si>
    <t>Miquel Travé</t>
  </si>
  <si>
    <t>Ai Tsunoda</t>
  </si>
  <si>
    <t>Widad Bertal</t>
  </si>
  <si>
    <t>Oumaima El-Bouchti</t>
  </si>
  <si>
    <t>Mohamed Abicha/Zouhei El-Graoui</t>
  </si>
  <si>
    <t>Ines Laklalech</t>
  </si>
  <si>
    <t>Khadija Mardi</t>
  </si>
  <si>
    <t>Achraf Moutii</t>
  </si>
  <si>
    <t>Yasmine Mouttaki</t>
  </si>
  <si>
    <t>Noor Slaoui</t>
  </si>
  <si>
    <t>Achraf Hakimi/Adil Tahif/Akram Nakach/Haytam Manaout/Mehdi Boukamir</t>
  </si>
  <si>
    <t>Oussama Targhalline</t>
  </si>
  <si>
    <t>Aaron Grandidier/Antoine Dupont/Jefferson-Lee Joseph/Théo Forner</t>
  </si>
  <si>
    <t>Aïnhoa Dot-Espinosa/Justine Lavit</t>
  </si>
  <si>
    <t>Boris Neveu</t>
  </si>
  <si>
    <t>Victor Perez</t>
  </si>
  <si>
    <t>Jean-Philippe Patrice/Maxime Pianfetti/Sébastien Patrice</t>
  </si>
  <si>
    <t>Maxime Pianfetti</t>
  </si>
  <si>
    <t>Béryl Gastaldello/Lilou Ressencourt/Marie Wattel</t>
  </si>
  <si>
    <t>Anaé Simon/Anaïs Peyne-Dingival/Emma Nonnenmacher/Estelle Duvin/Julia Mesplède/Margot Huot-Marchand</t>
  </si>
  <si>
    <t>Márk Bányai</t>
  </si>
  <si>
    <t>Alex Creţ</t>
  </si>
  <si>
    <t>Sebastian Oltean/Tudor Fulea/Vlad Georgescu</t>
  </si>
  <si>
    <t>Marius Țic/Mihai Drăgușin</t>
  </si>
  <si>
    <t>Joselyn Brea</t>
  </si>
  <si>
    <t>Katherin Echandia</t>
  </si>
  <si>
    <t>Francisco Limardo/Grabiel Lugo/Jesús Limardo/Rubén Limardo</t>
  </si>
  <si>
    <t>Grabiel Lugo</t>
  </si>
  <si>
    <t>Peruth Chemutai</t>
  </si>
  <si>
    <t>Joshua Cheptegei</t>
  </si>
  <si>
    <t>Stella Chesang</t>
  </si>
  <si>
    <t>Jacob Kiplimo</t>
  </si>
  <si>
    <t>Stephen Kissa</t>
  </si>
  <si>
    <t>Jordan Larson</t>
  </si>
  <si>
    <t>Duncan McGuire/Paxten Aaronson/Taylor Booth</t>
  </si>
  <si>
    <t>JT Thor</t>
  </si>
  <si>
    <t>Dylan Travis/Kareem Maddox</t>
  </si>
  <si>
    <t>Alice Betto</t>
  </si>
  <si>
    <t>Alice Betto/Verena Steinhauser</t>
  </si>
  <si>
    <t>Caterina Bosetti</t>
  </si>
  <si>
    <t>Davide Comini/Giovanni Codato</t>
  </si>
  <si>
    <t>Denise Donelli</t>
  </si>
  <si>
    <t>Nicolò Martinenghi</t>
  </si>
  <si>
    <t>Riccardo Mazzetti</t>
  </si>
  <si>
    <t>Danilo Sollazzo/Barbara Gambaro</t>
  </si>
  <si>
    <t>Danilo Sollazzo</t>
  </si>
  <si>
    <t>Davide Verità/Emanuele Gaetani Liseo</t>
  </si>
  <si>
    <t>Alex Petan/Diego Kostner/Marco Zanetti/Matthew Bradley/Nick Saracino/Tommaso De Luca/Tommy Purdeller</t>
  </si>
  <si>
    <t>Ayk Mnatsakanyan</t>
  </si>
  <si>
    <t>Cindy Ngamba</t>
  </si>
  <si>
    <t>Grace Nguelo'o</t>
  </si>
  <si>
    <t>Richelle Soppi Mbella</t>
  </si>
  <si>
    <t>Samuel Dickinson</t>
  </si>
  <si>
    <t>Alex Yee/Samuel Dickinson/Beth Potter</t>
  </si>
  <si>
    <t>Hamish McArthur</t>
  </si>
  <si>
    <t>Mihovil Fantela/Šime Fantela</t>
  </si>
  <si>
    <t>Andrej Gaćina</t>
  </si>
  <si>
    <t>Andrej Gaćina/Filip Zeljko/Tomislav Pucar</t>
  </si>
  <si>
    <t>Luka Lovre Klarica</t>
  </si>
  <si>
    <t>Navasky Anderson</t>
  </si>
  <si>
    <t>Shashalee Forbes</t>
  </si>
  <si>
    <t>Natoya Goule-Toppin</t>
  </si>
  <si>
    <t>Janieve Russell</t>
  </si>
  <si>
    <t>Ackelia Smith</t>
  </si>
  <si>
    <t>Deandre Watkin</t>
  </si>
  <si>
    <t>Sam Atkin</t>
  </si>
  <si>
    <t>Rosalind Canter</t>
  </si>
  <si>
    <t>Marie Gülich/Romy Bär</t>
  </si>
  <si>
    <t>Karl Bebendorf</t>
  </si>
  <si>
    <t>Marie Branser</t>
  </si>
  <si>
    <t>Lucia Dörffel</t>
  </si>
  <si>
    <t>Robert Farken</t>
  </si>
  <si>
    <t>Selina Freitag</t>
  </si>
  <si>
    <t>Timon Grancagnolo</t>
  </si>
  <si>
    <t>Rebekka Haase/Sophia Junk</t>
  </si>
  <si>
    <t>Rebekka Haase</t>
  </si>
  <si>
    <t>Anne Bartsch/Mathilda Heine</t>
  </si>
  <si>
    <t>Katharina Hennig</t>
  </si>
  <si>
    <t>Max Heß</t>
  </si>
  <si>
    <t>Hanna Hoppe</t>
  </si>
  <si>
    <t>Axel Jungk</t>
  </si>
  <si>
    <t>Maxi Klötzer</t>
  </si>
  <si>
    <t>Susanne Kreher</t>
  </si>
  <si>
    <t>Axel Jungk/Susanne Kreher</t>
  </si>
  <si>
    <t>Sönke Kruse</t>
  </si>
  <si>
    <t>Tom Liebscher-Lucz</t>
  </si>
  <si>
    <t>Anton Brehme/Lukas Maase/Tobias Krick</t>
  </si>
  <si>
    <t>Felix Maly</t>
  </si>
  <si>
    <t>Florian Müller</t>
  </si>
  <si>
    <t>Kathrin Murche</t>
  </si>
  <si>
    <t>Leo Neugebauer</t>
  </si>
  <si>
    <t>Fridtjof Petzold</t>
  </si>
  <si>
    <t>Felix Maly/Fridtjof Petzold</t>
  </si>
  <si>
    <t>Christian Reitz</t>
  </si>
  <si>
    <t>Josephine Schlörb</t>
  </si>
  <si>
    <t>Alexander Schüller/Francesco Friedrich</t>
  </si>
  <si>
    <t>Benjamin Steffan</t>
  </si>
  <si>
    <t>Justus Strelow</t>
  </si>
  <si>
    <t>Julia Taubitz</t>
  </si>
  <si>
    <t>Erik Thiele</t>
  </si>
  <si>
    <t>Jörn Wenzel</t>
  </si>
  <si>
    <t>Elia Colombo</t>
  </si>
  <si>
    <t>Michael Fora</t>
  </si>
  <si>
    <t>Leonardo Genoni</t>
  </si>
  <si>
    <t>Matteo Lodo/Nicholas Kohl</t>
  </si>
  <si>
    <t>Noè Ponti</t>
  </si>
  <si>
    <t>Jason Solari</t>
  </si>
  <si>
    <t>Nicole Vallario/Shannon Sigrist</t>
  </si>
  <si>
    <t>Linda Zanetti</t>
  </si>
  <si>
    <t>Benjamin Cavet</t>
  </si>
  <si>
    <t>Emily Craig</t>
  </si>
  <si>
    <t>Georgia-Mae Fenton</t>
  </si>
  <si>
    <t>Kate French</t>
  </si>
  <si>
    <t>Leon Greenwood/Taylor Lawrence</t>
  </si>
  <si>
    <t>Fynn Sterritt/James Peters</t>
  </si>
  <si>
    <t>Leigh Hoffman/Matthew Glaetzer/Matthew Richardson</t>
  </si>
  <si>
    <t>Katie-Jemima Yeats-Brown</t>
  </si>
  <si>
    <t>Aurel Benović</t>
  </si>
  <si>
    <t>Domagoj Duvnjak/Luka Cindrić/Tin Lučin</t>
  </si>
  <si>
    <t>Anton Lončarić/Patrik Lončarić</t>
  </si>
  <si>
    <t>Donna Vekić</t>
  </si>
  <si>
    <t>Adriana Adam</t>
  </si>
  <si>
    <t>Adriana Adam/Simona Radiș</t>
  </si>
  <si>
    <t>Andrei Lungu/Florin Bogdan Horodișteanu</t>
  </si>
  <si>
    <t>Christopher Blevins</t>
  </si>
  <si>
    <t>Mariah Duran</t>
  </si>
  <si>
    <t>Chase Jackson</t>
  </si>
  <si>
    <t>Sara Fantini</t>
  </si>
  <si>
    <t>Tommaso Saccardi</t>
  </si>
  <si>
    <t>Giovanni Ugolotti</t>
  </si>
  <si>
    <t>Giovanni Ugolotti/Pietro Sandei</t>
  </si>
  <si>
    <t>Eduarda Lisboa</t>
  </si>
  <si>
    <t>Yenny Álvarez</t>
  </si>
  <si>
    <t>Valeria Arboleda</t>
  </si>
  <si>
    <t>Carolina Arias/Daniela Caracas/Jorelyn Carabalí</t>
  </si>
  <si>
    <t>Santiago Buitrago</t>
  </si>
  <si>
    <t>Alisson Cardozo</t>
  </si>
  <si>
    <t>Fredrik Fodstad</t>
  </si>
  <si>
    <t>Jhancarlos González</t>
  </si>
  <si>
    <t>Andrés Hernández</t>
  </si>
  <si>
    <t>Andrés Hernández/Jorge Enríquez</t>
  </si>
  <si>
    <t>César Herrera</t>
  </si>
  <si>
    <t>René López</t>
  </si>
  <si>
    <t>Angie Orjuela</t>
  </si>
  <si>
    <t>Catalina Pérez</t>
  </si>
  <si>
    <t>Mateo Romero</t>
  </si>
  <si>
    <t>Ilana Izquierdo/Liana Salazar</t>
  </si>
  <si>
    <t>Bai Li</t>
  </si>
  <si>
    <t>Chen Yang/Li Hong/Zhang Ying</t>
  </si>
  <si>
    <t>Chen Yunxia/Cui Xiaotong/Lü Yang</t>
  </si>
  <si>
    <t>Kong Fanyu</t>
  </si>
  <si>
    <t>Li Meng</t>
  </si>
  <si>
    <t>Li Wenlong</t>
  </si>
  <si>
    <t>Li Wenwen</t>
  </si>
  <si>
    <t>Liu Shengshu</t>
  </si>
  <si>
    <t>Liu Yang</t>
  </si>
  <si>
    <t>Ma Long</t>
  </si>
  <si>
    <t>Shan Xiaona</t>
  </si>
  <si>
    <t>Shao Jieni</t>
  </si>
  <si>
    <t>Shao Qi</t>
  </si>
  <si>
    <t>Sun Kaizhi</t>
  </si>
  <si>
    <t>Wang Jianan</t>
  </si>
  <si>
    <t>Wu Tongtong/Zhang Ru</t>
  </si>
  <si>
    <t>Li Wenhao/Wu Yu</t>
  </si>
  <si>
    <t>Yang Lu</t>
  </si>
  <si>
    <t>Carl Yuan</t>
  </si>
  <si>
    <t>Zeng Ping</t>
  </si>
  <si>
    <t>Beiwen Zhang</t>
  </si>
  <si>
    <t>Zhou Feng</t>
  </si>
  <si>
    <t>Finn Surman/Isaac Hughes</t>
  </si>
  <si>
    <t>Līna Sirmā</t>
  </si>
  <si>
    <t>Anna Caumo/Aurora Abatangelo/Justine Reyes/Manuela Heidenberger/Marta Mazzocchi/Sara Kaneppele</t>
  </si>
  <si>
    <t>Arianna Errigo</t>
  </si>
  <si>
    <t>Sara Fiorin</t>
  </si>
  <si>
    <t>Chloe Moran</t>
  </si>
  <si>
    <t>Francesca Zunino/Sofia Mastroianni</t>
  </si>
  <si>
    <t>Yuri Romanò</t>
  </si>
  <si>
    <t>Aleksandra Feigin</t>
  </si>
  <si>
    <t>Tomer Frankel</t>
  </si>
  <si>
    <t>Yuval Freilich</t>
  </si>
  <si>
    <t>Adam Maraana</t>
  </si>
  <si>
    <t>Timna Nelson-Levy</t>
  </si>
  <si>
    <t>Peter Paltchik/Timna Nelson-Levy</t>
  </si>
  <si>
    <t>Adi Yona/Ayanaw Ferede</t>
  </si>
  <si>
    <t>Jugurtha Ait-Bekka</t>
  </si>
  <si>
    <t>Farès Arfa/Shaul Gordon</t>
  </si>
  <si>
    <t>Farès Arfa</t>
  </si>
  <si>
    <t>Amine Bouanani</t>
  </si>
  <si>
    <t>Zahra Tatar</t>
  </si>
  <si>
    <t>Olena Kravatska/Olha Kharlan</t>
  </si>
  <si>
    <t>Olena Kravatska</t>
  </si>
  <si>
    <t>Beatrice Chepkoech</t>
  </si>
  <si>
    <t>Abigail Martin</t>
  </si>
  <si>
    <t>Abigail Martin/Alice Kinsella/Georgia-Mae Fenton</t>
  </si>
  <si>
    <t>Oliver Payne</t>
  </si>
  <si>
    <t>Bohdan Borkovskyi</t>
  </si>
  <si>
    <t>Anton Dudchenko</t>
  </si>
  <si>
    <t>Daryna Myhal</t>
  </si>
  <si>
    <t>Anastasiya Nikon</t>
  </si>
  <si>
    <t>Sofiya Shkatula</t>
  </si>
  <si>
    <t>Anastasiya Nikon/Sofiya Shkatula</t>
  </si>
  <si>
    <t>Anastasiya Nikon/Daryna Myhal/Sofiya Shkatula</t>
  </si>
  <si>
    <t>Yelyzaveta Sydorko</t>
  </si>
  <si>
    <t>Angèle Hug</t>
  </si>
  <si>
    <t>Margot Lambert</t>
  </si>
  <si>
    <t>Juan Caicedo</t>
  </si>
  <si>
    <t>Andrés Montaño</t>
  </si>
  <si>
    <t>Bronte Campbell/Emma McKeon/Meg Harris/Olivia Wunsch</t>
  </si>
  <si>
    <t>Artem Dolgopyat</t>
  </si>
  <si>
    <t>Yevheniya Kazbekova</t>
  </si>
  <si>
    <t>Liudmyla Kichenok/Nadiya Kichenok</t>
  </si>
  <si>
    <t>Yelizaveta Luzan</t>
  </si>
  <si>
    <t>Yaroslava Mahuchikh</t>
  </si>
  <si>
    <t>Kira Shyrykina</t>
  </si>
  <si>
    <t>Sergey Tokarnitsky</t>
  </si>
  <si>
    <t>Hanna Ryzhkova</t>
  </si>
  <si>
    <t>Oleksandr Zheltyakov</t>
  </si>
  <si>
    <t>Matyáš Bauer</t>
  </si>
  <si>
    <t>Jakub Flek/Martin Nečas</t>
  </si>
  <si>
    <t>Vít Hlaváč</t>
  </si>
  <si>
    <t>Sára Kousková</t>
  </si>
  <si>
    <t>Michal Novák</t>
  </si>
  <si>
    <t>Jiří Tuž/Michal Novák</t>
  </si>
  <si>
    <t>Jiří Tuž/Matyáš Bauer/Michal Novák</t>
  </si>
  <si>
    <t>Nicholas Novak</t>
  </si>
  <si>
    <t>Martin Rubeš</t>
  </si>
  <si>
    <t>Jiří Ticháček/Radim Šimek</t>
  </si>
  <si>
    <t>Ilya Sibirtsev</t>
  </si>
  <si>
    <t>Darja Varfolomeev</t>
  </si>
  <si>
    <t>Lauris Kaufmanis/Mairis Kļava</t>
  </si>
  <si>
    <t>Lucinda Anderson</t>
  </si>
  <si>
    <t>Lucinda Anderson/Margie Freed</t>
  </si>
  <si>
    <t>Alasan Ann</t>
  </si>
  <si>
    <t>Korey Dropkin/Cory Thiesse</t>
  </si>
  <si>
    <t>Stuart McNay/Lara Dallman-Weiss</t>
  </si>
  <si>
    <t>Anicka Delgado</t>
  </si>
  <si>
    <t>Jessie Diggins</t>
  </si>
  <si>
    <t>Jessie Diggins/Julia Kern</t>
  </si>
  <si>
    <t>Jessie Diggins/Julia Kern/Rosie Brennan</t>
  </si>
  <si>
    <t>Joseph Fahnbulleh</t>
  </si>
  <si>
    <t>Megan Gustafson</t>
  </si>
  <si>
    <t>Zak Ketterson</t>
  </si>
  <si>
    <t>John Steel Hagenbuch/Zak Ketterson</t>
  </si>
  <si>
    <t>Lindsey Vonn</t>
  </si>
  <si>
    <t>Brock Faber/Jaccob Slavin/Jackson LaCombe/Noah Hanifin/Quinn Hughes</t>
  </si>
  <si>
    <t>Sunisa Lee</t>
  </si>
  <si>
    <t>Hezly Rivera/Jade Carey/Sunisa Lee</t>
  </si>
  <si>
    <t>Dakotah Lindwurm</t>
  </si>
  <si>
    <t>MacKenzie Little</t>
  </si>
  <si>
    <t>Paula Moltzan</t>
  </si>
  <si>
    <t>Greta Myers</t>
  </si>
  <si>
    <t>Brittany Bowe/Greta Myers/Mia Manganello</t>
  </si>
  <si>
    <t>Auston Matthews/Brady Tkachuk/Brock Nelson/Clayton Keller/Jack Eichel/Jack Hughes/Jake Guentzel/Matt Boldy/Matthew Tkachuk/Tage Thompson/Vincent Trocheck</t>
  </si>
  <si>
    <t>Jake Oettinger/Jeremy Swayman</t>
  </si>
  <si>
    <t>Payton Otterdahl</t>
  </si>
  <si>
    <t>Aileen Geving/Cory Thiesse/Tabitha Peterson-Lovick/Tara Peterson/Taylor Anderson-Heide</t>
  </si>
  <si>
    <t>Iris Pflum</t>
  </si>
  <si>
    <t>Alise Willoughby</t>
  </si>
  <si>
    <t>Aidan Oldenburg/Benjamin Richardson/Rich Ruohonen</t>
  </si>
  <si>
    <t>Emma Weber/Regan Smith</t>
  </si>
  <si>
    <t>Caeleb Dressel/Abbey Weitzeil/Regan Smith</t>
  </si>
  <si>
    <t>Regan Smith</t>
  </si>
  <si>
    <t>Cayla Barnes/Lee Stecklein/Rory Guilday</t>
  </si>
  <si>
    <t>Chiaka Ogbogu/Jordan Thompson/Kathryn Plummer</t>
  </si>
  <si>
    <t>Matthew Wilkinson</t>
  </si>
  <si>
    <t>Alex Carpenter/Britta Curl-Salemme/Grace Zumwinkle/Hilary Knight/Joy Dunne/Kelly Pannek/Taylor Heise</t>
  </si>
  <si>
    <t>Younes Emami</t>
  </si>
  <si>
    <t>Arian Salimi</t>
  </si>
  <si>
    <t>Neda Shahsavari</t>
  </si>
  <si>
    <t>Jamal Valizadeh</t>
  </si>
  <si>
    <t>Sarah De Nutte</t>
  </si>
  <si>
    <t>Alex Kirsch</t>
  </si>
  <si>
    <t>Pit Klein</t>
  </si>
  <si>
    <t>Nora Lindahl</t>
  </si>
  <si>
    <t>Christine Majerus</t>
  </si>
  <si>
    <t>Luka Mladenovic</t>
  </si>
  <si>
    <t>Matthieu Osch</t>
  </si>
  <si>
    <t>Shirine Boukli</t>
  </si>
  <si>
    <t>Jean-Marc Pontvianne</t>
  </si>
  <si>
    <t>Amandine Henry/Kenza Dali/Sandie Toletti</t>
  </si>
  <si>
    <t>Mary Luz Andía</t>
  </si>
  <si>
    <t>Luis Campos</t>
  </si>
  <si>
    <t>Thom Gicquel</t>
  </si>
  <si>
    <t>Eliesse Ben Seghir/Mehdi Maouhoub/Soufiane Rahimi</t>
  </si>
  <si>
    <t>Jean-Baptiste Bernaz</t>
  </si>
  <si>
    <t>Michaël Bodegas/Thomas Vernoux</t>
  </si>
  <si>
    <t>Marie Duaux</t>
  </si>
  <si>
    <t>Ambre Esnault/Anastasia Bayandina/Charlotte Tremble/Ève Planeix/Laura Tremble</t>
  </si>
  <si>
    <t>Amandine Giardino/Juliette Gelin</t>
  </si>
  <si>
    <t>Damien Joly</t>
  </si>
  <si>
    <t>Christophe Laporte</t>
  </si>
  <si>
    <t>Axel Mazella</t>
  </si>
  <si>
    <t>Nicolas Navarro</t>
  </si>
  <si>
    <t>Earvin Ngapeth/Yacine Louati</t>
  </si>
  <si>
    <t>Lauriane Nolot</t>
  </si>
  <si>
    <t>Lisa Pou</t>
  </si>
  <si>
    <t>Émilie Respaut</t>
  </si>
  <si>
    <t>Natalia Linares</t>
  </si>
  <si>
    <t>Sonjaa Schmidt</t>
  </si>
  <si>
    <t>Jasmine Drolet/Sonjaa Schmidt</t>
  </si>
  <si>
    <t>Giovanna Epis</t>
  </si>
  <si>
    <t>Bilal Mazhar</t>
  </si>
  <si>
    <t>Carlota Ciganda</t>
  </si>
  <si>
    <t>Asier Martínez</t>
  </si>
  <si>
    <t>Daniel Milagros</t>
  </si>
  <si>
    <t>Alberto Munárriz</t>
  </si>
  <si>
    <t>Aimar Oroz/Pablo Barrios</t>
  </si>
  <si>
    <t>Jon Pacheco/Juan Miranda/Juanlu Sánchez/Miguel Gutiérrez</t>
  </si>
  <si>
    <t>Ariane Toro</t>
  </si>
  <si>
    <t>David García Torné/Tristani Mosakhlishvili/Ai Tsunoda/Ariane Toro</t>
  </si>
  <si>
    <t>Sara Kolak</t>
  </si>
  <si>
    <t>Marin Ranteš</t>
  </si>
  <si>
    <t>Istok Rodeš</t>
  </si>
  <si>
    <t>Ella MacLean-Howell</t>
  </si>
  <si>
    <t>Ellie Kildunne/Emma Uren/Jasmine Joyce/Kayleigh Powell</t>
  </si>
  <si>
    <t>Jaouad Syoud</t>
  </si>
  <si>
    <t>Yasser Triki</t>
  </si>
  <si>
    <t>Nils Allègre</t>
  </si>
  <si>
    <t>Clément Noël/Nils Allègre</t>
  </si>
  <si>
    <t>Estelle Alphand</t>
  </si>
  <si>
    <t>Nils Alphand</t>
  </si>
  <si>
    <t>Florian Chakiachvili/Hugo Gallet/Jules Boscq</t>
  </si>
  <si>
    <t>Aïdan Chollet</t>
  </si>
  <si>
    <t>Jonas Chollet</t>
  </si>
  <si>
    <t>Richard Jouve</t>
  </si>
  <si>
    <t>Elina Zilliox/Léa Villiot/Lucie Quarto/Sophie Leclerc</t>
  </si>
  <si>
    <t>Šimon Adamov</t>
  </si>
  <si>
    <t>Rebeka Cully</t>
  </si>
  <si>
    <t>Gabriela Gajanová</t>
  </si>
  <si>
    <t>Jakub Grigar</t>
  </si>
  <si>
    <t>Eliška Mintálová</t>
  </si>
  <si>
    <t>Erik Černák/Martin Gernát/Martin Marinčin/Peter Čerešňák/Šimon Nemec</t>
  </si>
  <si>
    <t>Jozef Ninis</t>
  </si>
  <si>
    <t>Mária Remeňová</t>
  </si>
  <si>
    <t>Jakub Šiarnik</t>
  </si>
  <si>
    <t>Samuel Hlavaj/Stanislav Škorvánek</t>
  </si>
  <si>
    <t>Katarína Šrobová</t>
  </si>
  <si>
    <t>Juraj Slafkovský/Lukáš Cingeľ/Matúš Sukeľ/Oliver Okuliar/Pavol Regenda/Peter Cehlárik/Tomáš Tatar</t>
  </si>
  <si>
    <t>Jessica Triebeľová</t>
  </si>
  <si>
    <t>Petra Vlhová</t>
  </si>
  <si>
    <t>Katarína Šrobová/Petra Vlhová</t>
  </si>
  <si>
    <t>Wakana Kabasawa</t>
  </si>
  <si>
    <t>Hiroki Yanagita/Ryuichiro Sakai</t>
  </si>
  <si>
    <t>Jairo Moreno</t>
  </si>
  <si>
    <t>Karim El-Debes</t>
  </si>
  <si>
    <t>Mahmoud Khaled</t>
  </si>
  <si>
    <t>Ana Cláudia Bolzan/Jéssica Quintino/Larissa Araújo</t>
  </si>
  <si>
    <t>Didi Louzada/George de Paula/Gui Santos/Marcelo Huertas/Vitor Benite/Yago dos Santos</t>
  </si>
  <si>
    <t>Déborah Medrado/Nicole Pircio/Sofia Pereira/Victória Borges</t>
  </si>
  <si>
    <t>André Stein</t>
  </si>
  <si>
    <t>Ristomatti Hakola</t>
  </si>
  <si>
    <t>Anton Lundell/Eeli Tolvanen/Erik Haula/Joel Armia/Joel Kiviranta/Roope Hintz/Sebastian Aho/Teuvo Teräväinen</t>
  </si>
  <si>
    <t>Joonas Korpisalo/Kevin Lankinen</t>
  </si>
  <si>
    <t>Matti Mattsson</t>
  </si>
  <si>
    <t>Henri Ruoste</t>
  </si>
  <si>
    <t>Henri Ruoste/Joanna Robinson</t>
  </si>
  <si>
    <t>Patrick Chinyemba</t>
  </si>
  <si>
    <t>Barbra Banda/Hellen Chanda/Kabange Mupopo/Racheal Nachula</t>
  </si>
  <si>
    <t>Chanda Mulenga/Muzala Samukonga</t>
  </si>
  <si>
    <t>Muzala Samukonga</t>
  </si>
  <si>
    <t>Damien Shamambo</t>
  </si>
  <si>
    <t>Margret Tembo</t>
  </si>
  <si>
    <t>Mary Wilombe/Misozi Zulu/Ochumba Lubandji/Rhoda Chileshe</t>
  </si>
  <si>
    <t>Esther Muchinga/Lushomo Mweemba/Martha Tembo/Pauline Zulu</t>
  </si>
  <si>
    <t>Simon Zulu</t>
  </si>
  <si>
    <t>Alica Schmidt/Eileen Demes</t>
  </si>
  <si>
    <t>Joshua Yong/Kyle Chalmers</t>
  </si>
  <si>
    <t>Joshua Yong/Kyle Chalmers/Emma McKeon/Iona Anderson</t>
  </si>
  <si>
    <t>Joshua Yong</t>
  </si>
  <si>
    <t>Achraf Ed-Doghmy</t>
  </si>
  <si>
    <t>Hideki Matsuyama</t>
  </si>
  <si>
    <t>Haruna Nagamori</t>
  </si>
  <si>
    <t>Aoi Watanabe/Haruna Nagamori</t>
  </si>
  <si>
    <t>Charley Davison</t>
  </si>
  <si>
    <t>Erin McNeice</t>
  </si>
  <si>
    <t>Ingrid Wilm/Margaret Mac Neil</t>
  </si>
  <si>
    <t>Ingrid Wilm</t>
  </si>
  <si>
    <t>Alessia Gatti/Giada Andreutti</t>
  </si>
  <si>
    <t>Giada Andreutti</t>
  </si>
  <si>
    <t>Michela Battiston</t>
  </si>
  <si>
    <t>Elena Cecchini</t>
  </si>
  <si>
    <t>Francesco Cecon</t>
  </si>
  <si>
    <t>Martina Di Centa</t>
  </si>
  <si>
    <t>Federica Cassol/Iris de Martin Pinter/Martina Di Centa</t>
  </si>
  <si>
    <t>Alice Gnatta/Giorgia Pelacchi/Linda De Filippis/Emanuele Capponi</t>
  </si>
  <si>
    <t>Francesco Lamon/Jonathan Milan</t>
  </si>
  <si>
    <t>Alessandro Pittin</t>
  </si>
  <si>
    <t>Matteo Restivo</t>
  </si>
  <si>
    <t>Alberta Santuccio/Giulia Rizzi/Mara Navarria/Rossella Fiamingo</t>
  </si>
  <si>
    <t>Giulia Rizzi</t>
  </si>
  <si>
    <t>Nicola Romanin</t>
  </si>
  <si>
    <t>Lukas Hofer/Nicola Romanin/Tommaso Giacomel</t>
  </si>
  <si>
    <t>Asya Tavano</t>
  </si>
  <si>
    <t>Asya Tavano/Veronica Toniolo</t>
  </si>
  <si>
    <t>Martina Zanitzer</t>
  </si>
  <si>
    <t>Alex Insam/Martina Zanitzer</t>
  </si>
  <si>
    <t>Chien Tung-Chuan</t>
  </si>
  <si>
    <t>Chen Szu-Yu/Cheng I-Ching/Chien Tung-Chuan</t>
  </si>
  <si>
    <t>Chiu Yi-Ching</t>
  </si>
  <si>
    <t>Li Tsai-Chi</t>
  </si>
  <si>
    <t>Chiu Yi-Ching/Li Tsai-Chi</t>
  </si>
  <si>
    <t>Lin Yi-Chun</t>
  </si>
  <si>
    <t>Lin Yu-Ting</t>
  </si>
  <si>
    <t>Yu Ai-Wen</t>
  </si>
  <si>
    <t>Kevin Yu</t>
  </si>
  <si>
    <t>Søren Wærenskjold</t>
  </si>
  <si>
    <t>María Prieto</t>
  </si>
  <si>
    <t>Ole Martin Halvorsen/Synnøve Berg</t>
  </si>
  <si>
    <t>Synnøve Berg</t>
  </si>
  <si>
    <t>Torbjørn Bergerud</t>
  </si>
  <si>
    <t>Henrik Christiansen</t>
  </si>
  <si>
    <t>Vetle Sjåstad Christiansen</t>
  </si>
  <si>
    <t>Vetle Sjåstad Christiansen/Maren Kirkeeide</t>
  </si>
  <si>
    <t>Kari Brattset Dale/Maren Aardahl</t>
  </si>
  <si>
    <t>Sebastian Endrestad</t>
  </si>
  <si>
    <t>Kristin Fosnæs</t>
  </si>
  <si>
    <t>Isabel Freese</t>
  </si>
  <si>
    <t>Tormod Frostad</t>
  </si>
  <si>
    <t>Victoria Gulliksen</t>
  </si>
  <si>
    <t>Henriette Jæger</t>
  </si>
  <si>
    <t>Henrik Kristoffersen</t>
  </si>
  <si>
    <t>Sturla Holm Lægreid</t>
  </si>
  <si>
    <t>Sturla Holm Lægreid/Vetle Sjåstad Christiansen</t>
  </si>
  <si>
    <t>Einar Lurås Oftebro</t>
  </si>
  <si>
    <t>Jens Lurås Oftebro</t>
  </si>
  <si>
    <t>Silje Opseth</t>
  </si>
  <si>
    <t>Hedda Øritsland</t>
  </si>
  <si>
    <t>Henny Reistad</t>
  </si>
  <si>
    <t>Lene Retzius</t>
  </si>
  <si>
    <t>Mons Røisland</t>
  </si>
  <si>
    <t>Helene Næss/Marie Rønningen</t>
  </si>
  <si>
    <t>Birk Ruud</t>
  </si>
  <si>
    <t>Casper Ruud</t>
  </si>
  <si>
    <t>Adrian Smiseth Sejersted</t>
  </si>
  <si>
    <t>Andreas Skoglund</t>
  </si>
  <si>
    <t>Andreas Skoglund/Jens Lurås Oftebro</t>
  </si>
  <si>
    <t>Erik Solbakken/Kristoffer Brun</t>
  </si>
  <si>
    <t>Sanna Solberg-Isaksen</t>
  </si>
  <si>
    <t>Katrine Lunde/Silje Solberg-Østhassel</t>
  </si>
  <si>
    <t>Anita Stenberg</t>
  </si>
  <si>
    <t>Jenny Stene</t>
  </si>
  <si>
    <t>Thea Stjernesund</t>
  </si>
  <si>
    <t>Ingrid Landmark Tandrevold</t>
  </si>
  <si>
    <t>Ask Jarl Tjøm/Lars Benske</t>
  </si>
  <si>
    <t>Hermann Tomasgaard</t>
  </si>
  <si>
    <t>Anna Sletsjøe/Hedda Øritsland/Kristine Amundsen/Maria Virik</t>
  </si>
  <si>
    <t>Anna Sletsjøe/Maria Virik</t>
  </si>
  <si>
    <t>Heidi Weng</t>
  </si>
  <si>
    <t>Astrid Slind/Heidi Weng/Kristin Fosnæs</t>
  </si>
  <si>
    <t>Nadezhda Dubovitskaya</t>
  </si>
  <si>
    <t>Yuliya Galysheva</t>
  </si>
  <si>
    <t>Anastasiya Gorodko</t>
  </si>
  <si>
    <t>Sherzod Khashyrbayev</t>
  </si>
  <si>
    <t>Pavel Kolmakov</t>
  </si>
  <si>
    <t>Ruslan Kurbanov</t>
  </si>
  <si>
    <t>Zhanna Mamazhanova</t>
  </si>
  <si>
    <t>Aisha Rakisheva</t>
  </si>
  <si>
    <t>Aisha Rakisheva/Milana Geneva</t>
  </si>
  <si>
    <t>Batyrkhan Toleugali</t>
  </si>
  <si>
    <t>Nursultan Tursynov</t>
  </si>
  <si>
    <t>Kirsty Gilmour</t>
  </si>
  <si>
    <t>Bobby Lammie/Bruce Mouat/Grant Hardie/Hammy McMillan/Kyle Waddell</t>
  </si>
  <si>
    <t>Vita Heathcote</t>
  </si>
  <si>
    <t>Hannah Snellgrove</t>
  </si>
  <si>
    <t>Elise Chabbey</t>
  </si>
  <si>
    <t>Jérémy Desplanches</t>
  </si>
  <si>
    <t>Jeremy Finello</t>
  </si>
  <si>
    <t>Sarah Höfflin</t>
  </si>
  <si>
    <t>Jérémy Desplanches/Nils Liess</t>
  </si>
  <si>
    <t>Jérémy Desplanches/Nils Liess/Roman Mityukov</t>
  </si>
  <si>
    <t>Roman Mityukov</t>
  </si>
  <si>
    <t>Timothé Mumenthaler</t>
  </si>
  <si>
    <t>Tanguy Nef</t>
  </si>
  <si>
    <t>Alina Marti/Alina Müller/Kaleigh Quennec</t>
  </si>
  <si>
    <t>Joël Retornaz</t>
  </si>
  <si>
    <t>Arno de Planta/Sébastien Schneiter</t>
  </si>
  <si>
    <t>Benoît Schwarz-van Berkel</t>
  </si>
  <si>
    <t>Thomas Weir</t>
  </si>
  <si>
    <t>Rory McIlroy</t>
  </si>
  <si>
    <t>Jonathan Lynch/Michael Robson</t>
  </si>
  <si>
    <t>Arnaud Alessandria</t>
  </si>
  <si>
    <t>Quentin Antognelli</t>
  </si>
  <si>
    <t>Robin Muhr</t>
  </si>
  <si>
    <t>Ashlee Bond/Robin Muhr</t>
  </si>
  <si>
    <t>Antoine Zeghdar/Rayan Rebbadj</t>
  </si>
  <si>
    <t>Andy Hechavarría</t>
  </si>
  <si>
    <t>Leuris Pupo</t>
  </si>
  <si>
    <t>Alejandra Alonso</t>
  </si>
  <si>
    <t>Gatito Fernández</t>
  </si>
  <si>
    <t>Alexis Cantero/Gilberto Flores</t>
  </si>
  <si>
    <t>Marcos Gómez</t>
  </si>
  <si>
    <t>Enso González</t>
  </si>
  <si>
    <t>Bruno Amione/Joaquín García/Julio Soler</t>
  </si>
  <si>
    <t>Fabrizio Zanotti</t>
  </si>
  <si>
    <t>Diego Arias</t>
  </si>
  <si>
    <t>Arnovis Dalmero</t>
  </si>
  <si>
    <t>Ever Palma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</si>
</sst>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theme="4"/>
      </patternFill>
    </fill>
    <fill>
      <patternFill patternType="solid">
        <fgColor theme="7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2">
    <xf numFmtId="0" fontId="0" fillId="0" borderId="0" xfId="0"/>
    <xf numFmtId="0" fontId="2" fillId="4" borderId="0" xfId="0" applyFont="1" applyFill="1" applyAlignment="1">
      <alignment horizontal="center"/>
    </xf>
    <xf numFmtId="10" fontId="0" fillId="0" borderId="0" xfId="0" applyNumberFormat="1"/>
    <xf numFmtId="0" fontId="3" fillId="0" borderId="0" xfId="1" applyNumberFormat="1"/>
    <xf numFmtId="0" fontId="3" fillId="0" borderId="0" xfId="1"/>
    <xf numFmtId="0" fontId="0" fillId="3" borderId="0" xfId="0" applyFill="1" applyAlignment="1">
      <alignment horizontal="center"/>
    </xf>
    <xf numFmtId="0" fontId="4" fillId="0" borderId="0" xfId="0" applyFont="1"/>
    <xf numFmtId="10" fontId="4" fillId="0" borderId="0" xfId="0" applyNumberFormat="1" applyFont="1"/>
    <xf numFmtId="0" fontId="4" fillId="2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0" fontId="4" fillId="0" borderId="0" xfId="0" applyFont="1" applyAlignment="1"/>
  </cellXfs>
  <cellStyles count="2">
    <cellStyle name="Hiperligação" xfId="1" builtinId="8"/>
    <cellStyle name="Normal" xfId="0" builtinId="0"/>
  </cellStyles>
  <dxfs count="1575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  <numFmt numFmtId="0" formatCode="General"/>
    </dxf>
    <dxf>
      <font>
        <b/>
      </font>
    </dxf>
    <dxf>
      <font>
        <b/>
      </font>
    </dxf>
    <dxf>
      <font>
        <b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  <numFmt numFmtId="0" formatCode="General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  <numFmt numFmtId="0" formatCode="General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  <numFmt numFmtId="0" formatCode="General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</font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</font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  <numFmt numFmtId="0" formatCode="General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font>
        <b/>
      </font>
    </dxf>
    <dxf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14" formatCode="0.00%"/>
    </dxf>
    <dxf>
      <font>
        <b/>
      </font>
      <numFmt numFmtId="0" formatCode="General"/>
    </dxf>
    <dxf>
      <font>
        <b/>
      </font>
    </dxf>
    <dxf>
      <font>
        <b/>
      </font>
    </dxf>
    <dxf>
      <font>
        <b/>
      </font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numFmt numFmtId="0" formatCode="General"/>
    </dxf>
    <dxf>
      <font>
        <b/>
      </font>
    </dxf>
    <dxf>
      <font>
        <b/>
      </font>
      <numFmt numFmtId="14" formatCode="0.00%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</dxf>
    <dxf>
      <font>
        <b/>
      </font>
    </dxf>
  </dxfs>
  <tableStyles count="0" defaultTableStyle="TableStyleLight2" defaultPivotStyle="PivotStyleLight16"/>
  <colors>
    <mruColors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microsoft.com/office/2017/06/relationships/rdRichValueStructure" Target="richData/rdrichvaluestructure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microsoft.com/office/2017/06/relationships/rdRichValueTypes" Target="richData/rdRichValueTypes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sheetMetadata" Target="metadata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microsoft.com/office/2020/07/relationships/rdRichValueWebImage" Target="richData/rdRichValueWebImage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microsoft.com/office/2017/06/relationships/rdRichValue" Target="richData/rdrichvalue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theme" Target="theme/theme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styles" Target="styles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sharedStrings" Target="sharedStrings.xml"/></Relationships>
</file>

<file path=xl/richData/_rels/rdRichValueWebImage.xml.rels><?xml version="1.0" encoding="UTF-8" standalone="yes"?>
<Relationships xmlns="http://schemas.openxmlformats.org/package/2006/relationships"><Relationship Id="rId117" Type="http://schemas.openxmlformats.org/officeDocument/2006/relationships/hyperlink" Target="https://upload.wikimedia.org/wikipedia/commons/thumb/9/9f/Flag_of_Indonesia.svg/188px-Flag_of_Indonesia.svg.png" TargetMode="External"/><Relationship Id="rId299" Type="http://schemas.openxmlformats.org/officeDocument/2006/relationships/hyperlink" Target="https://upload.wikimedia.org/wikipedia/commons/thumb/f/f9/Flag_of_Bangladesh.svg/188px-Flag_of_Bangladesh.svg.png" TargetMode="External"/><Relationship Id="rId21" Type="http://schemas.openxmlformats.org/officeDocument/2006/relationships/hyperlink" Target="https://upload.wikimedia.org/wikipedia/commons/thumb/d/d9/Flag_of_Norway.svg/188px-Flag_of_Norway.svg.png" TargetMode="External"/><Relationship Id="rId63" Type="http://schemas.openxmlformats.org/officeDocument/2006/relationships/hyperlink" Target="https://upload.wikimedia.org/wikipedia/commons/thumb/d/d4/Flag_of_Israel.svg/188px-Flag_of_Israel.svg.png" TargetMode="External"/><Relationship Id="rId159" Type="http://schemas.openxmlformats.org/officeDocument/2006/relationships/hyperlink" Target="https://upload.wikimedia.org/wikipedia/commons/thumb/f/f6/Flag_of_Aruba.svg/188px-Flag_of_Aruba.svg.png" TargetMode="External"/><Relationship Id="rId324" Type="http://schemas.openxmlformats.org/officeDocument/2006/relationships/image" Target="../media/image162.png"/><Relationship Id="rId366" Type="http://schemas.openxmlformats.org/officeDocument/2006/relationships/image" Target="../media/image183.png"/><Relationship Id="rId170" Type="http://schemas.openxmlformats.org/officeDocument/2006/relationships/image" Target="../media/image85.png"/><Relationship Id="rId226" Type="http://schemas.openxmlformats.org/officeDocument/2006/relationships/image" Target="../media/image113.png"/><Relationship Id="rId268" Type="http://schemas.openxmlformats.org/officeDocument/2006/relationships/image" Target="../media/image134.png"/><Relationship Id="rId32" Type="http://schemas.openxmlformats.org/officeDocument/2006/relationships/image" Target="../media/image16.png"/><Relationship Id="rId74" Type="http://schemas.openxmlformats.org/officeDocument/2006/relationships/image" Target="../media/image37.png"/><Relationship Id="rId128" Type="http://schemas.openxmlformats.org/officeDocument/2006/relationships/image" Target="../media/image64.png"/><Relationship Id="rId335" Type="http://schemas.openxmlformats.org/officeDocument/2006/relationships/hyperlink" Target="https://upload.wikimedia.org/wikipedia/commons/thumb/4/42/Flag_of_the_British_Virgin_Islands.svg/195px-Flag_of_the_British_Virgin_Islands.svg.png" TargetMode="External"/><Relationship Id="rId377" Type="http://schemas.openxmlformats.org/officeDocument/2006/relationships/hyperlink" Target="https://upload.wikimedia.org/wikipedia/commons/thumb/e/e4/Flag_of_the_Federated_States_of_Micronesia.svg/188px-Flag_of_the_Federated_States_of_Micronesia.svg.png" TargetMode="External"/><Relationship Id="rId5" Type="http://schemas.openxmlformats.org/officeDocument/2006/relationships/hyperlink" Target="https://upload.wikimedia.org/wikipedia/en/thumb/9/9e/Flag_of_Japan.svg/188px-Flag_of_Japan.svg.png" TargetMode="External"/><Relationship Id="rId181" Type="http://schemas.openxmlformats.org/officeDocument/2006/relationships/hyperlink" Target="https://upload.wikimedia.org/wikipedia/commons/thumb/b/ba/Flag_of_Fiji.svg/188px-Flag_of_Fiji.svg.png" TargetMode="External"/><Relationship Id="rId237" Type="http://schemas.openxmlformats.org/officeDocument/2006/relationships/hyperlink" Target="https://upload.wikimedia.org/wikipedia/commons/thumb/2/21/Flag_of_Vietnam.svg/188px-Flag_of_Vietnam.svg.png" TargetMode="External"/><Relationship Id="rId402" Type="http://schemas.openxmlformats.org/officeDocument/2006/relationships/image" Target="../media/image201.png"/><Relationship Id="rId279" Type="http://schemas.openxmlformats.org/officeDocument/2006/relationships/hyperlink" Target="https://upload.wikimedia.org/wikipedia/commons/thumb/0/0f/Flag_of_Maldives.svg/188px-Flag_of_Maldives.svg.png" TargetMode="External"/><Relationship Id="rId43" Type="http://schemas.openxmlformats.org/officeDocument/2006/relationships/hyperlink" Target="https://upload.wikimedia.org/wikipedia/commons/thumb/4/41/Flag_of_Austria.svg/188px-Flag_of_Austria.svg.png" TargetMode="External"/><Relationship Id="rId139" Type="http://schemas.openxmlformats.org/officeDocument/2006/relationships/hyperlink" Target="https://upload.wikimedia.org/wikipedia/commons/thumb/f/fa/Flag_of_Botswana.svg/188px-Flag_of_Botswana.svg.png" TargetMode="External"/><Relationship Id="rId290" Type="http://schemas.openxmlformats.org/officeDocument/2006/relationships/image" Target="../media/image145.png"/><Relationship Id="rId304" Type="http://schemas.openxmlformats.org/officeDocument/2006/relationships/image" Target="../media/image152.png"/><Relationship Id="rId346" Type="http://schemas.openxmlformats.org/officeDocument/2006/relationships/image" Target="../media/image173.png"/><Relationship Id="rId388" Type="http://schemas.openxmlformats.org/officeDocument/2006/relationships/image" Target="../media/image194.png"/><Relationship Id="rId85" Type="http://schemas.openxmlformats.org/officeDocument/2006/relationships/hyperlink" Target="https://upload.wikimedia.org/wikipedia/en/thumb/4/41/Flag_of_India.svg/188px-Flag_of_India.svg.png" TargetMode="External"/><Relationship Id="rId150" Type="http://schemas.openxmlformats.org/officeDocument/2006/relationships/image" Target="../media/image75.png"/><Relationship Id="rId192" Type="http://schemas.openxmlformats.org/officeDocument/2006/relationships/image" Target="../media/image96.png"/><Relationship Id="rId206" Type="http://schemas.openxmlformats.org/officeDocument/2006/relationships/image" Target="../media/image103.png"/><Relationship Id="rId413" Type="http://schemas.openxmlformats.org/officeDocument/2006/relationships/hyperlink" Target="https://upload.wikimedia.org/wikipedia/commons/thumb/b/bc/Flag_of_Vanuatu.svg/188px-Flag_of_Vanuatu.svg.png" TargetMode="External"/><Relationship Id="rId248" Type="http://schemas.openxmlformats.org/officeDocument/2006/relationships/image" Target="../media/image124.png"/><Relationship Id="rId12" Type="http://schemas.openxmlformats.org/officeDocument/2006/relationships/image" Target="../media/image6.png"/><Relationship Id="rId108" Type="http://schemas.openxmlformats.org/officeDocument/2006/relationships/image" Target="../media/image54.png"/><Relationship Id="rId315" Type="http://schemas.openxmlformats.org/officeDocument/2006/relationships/hyperlink" Target="https://upload.wikimedia.org/wikipedia/commons/thumb/3/38/Flag_of_Cape_Verde.svg/188px-Flag_of_Cape_Verde.svg.png" TargetMode="External"/><Relationship Id="rId357" Type="http://schemas.openxmlformats.org/officeDocument/2006/relationships/hyperlink" Target="https://upload.wikimedia.org/wikipedia/commons/thumb/9/99/Flag_of_Guyana.svg/188px-Flag_of_Guyana.svg.png" TargetMode="External"/><Relationship Id="rId54" Type="http://schemas.openxmlformats.org/officeDocument/2006/relationships/image" Target="../media/image27.png"/><Relationship Id="rId96" Type="http://schemas.openxmlformats.org/officeDocument/2006/relationships/image" Target="../media/image48.png"/><Relationship Id="rId161" Type="http://schemas.openxmlformats.org/officeDocument/2006/relationships/hyperlink" Target="https://upload.wikimedia.org/wikipedia/commons/thumb/7/79/Flag_of_Nigeria.svg/195px-Flag_of_Nigeria.svg.png" TargetMode="External"/><Relationship Id="rId217" Type="http://schemas.openxmlformats.org/officeDocument/2006/relationships/hyperlink" Target="https://upload.wikimedia.org/wikipedia/commons/thumb/e/e3/Flag_of_Papua_New_Guinea.svg/188px-Flag_of_Papua_New_Guinea.svg.png" TargetMode="External"/><Relationship Id="rId399" Type="http://schemas.openxmlformats.org/officeDocument/2006/relationships/hyperlink" Target="https://upload.wikimedia.org/wikipedia/commons/thumb/7/74/Flag_of_the_Solomon_Islands.svg/188px-Flag_of_the_Solomon_Islands.svg.png" TargetMode="External"/><Relationship Id="rId259" Type="http://schemas.openxmlformats.org/officeDocument/2006/relationships/hyperlink" Target="https://upload.wikimedia.org/wikipedia/commons/thumb/7/77/Flag_of_The_Gambia.svg/188px-Flag_of_The_Gambia.svg.png" TargetMode="External"/><Relationship Id="rId23" Type="http://schemas.openxmlformats.org/officeDocument/2006/relationships/hyperlink" Target="https://upload.wikimedia.org/wikipedia/en/thumb/1/12/Flag_of_Poland.svg/188px-Flag_of_Poland.svg.png" TargetMode="External"/><Relationship Id="rId119" Type="http://schemas.openxmlformats.org/officeDocument/2006/relationships/hyperlink" Target="https://upload.wikimedia.org/wikipedia/commons/thumb/c/ca/Flag_of_Iran.svg/188px-Flag_of_Iran.svg.png" TargetMode="External"/><Relationship Id="rId270" Type="http://schemas.openxmlformats.org/officeDocument/2006/relationships/image" Target="../media/image135.png"/><Relationship Id="rId326" Type="http://schemas.openxmlformats.org/officeDocument/2006/relationships/image" Target="../media/image163.png"/><Relationship Id="rId65" Type="http://schemas.openxmlformats.org/officeDocument/2006/relationships/hyperlink" Target="https://upload.wikimedia.org/wikipedia/commons/thumb/2/21/Flag_of_Colombia.svg/188px-Flag_of_Colombia.svg.png" TargetMode="External"/><Relationship Id="rId130" Type="http://schemas.openxmlformats.org/officeDocument/2006/relationships/image" Target="../media/image65.png"/><Relationship Id="rId368" Type="http://schemas.openxmlformats.org/officeDocument/2006/relationships/image" Target="../media/image184.png"/><Relationship Id="rId172" Type="http://schemas.openxmlformats.org/officeDocument/2006/relationships/image" Target="../media/image86.png"/><Relationship Id="rId228" Type="http://schemas.openxmlformats.org/officeDocument/2006/relationships/image" Target="../media/image114.png"/><Relationship Id="rId281" Type="http://schemas.openxmlformats.org/officeDocument/2006/relationships/hyperlink" Target="https://upload.wikimedia.org/wikipedia/commons/thumb/1/11/Flag_of_Sri_Lanka.svg/188px-Flag_of_Sri_Lanka.svg.png" TargetMode="External"/><Relationship Id="rId337" Type="http://schemas.openxmlformats.org/officeDocument/2006/relationships/hyperlink" Target="https://upload.wikimedia.org/wikipedia/commons/thumb/9/9c/Flag_of_Brunei.svg/188px-Flag_of_Brunei.svg.png" TargetMode="External"/><Relationship Id="rId34" Type="http://schemas.openxmlformats.org/officeDocument/2006/relationships/image" Target="../media/image17.png"/><Relationship Id="rId76" Type="http://schemas.openxmlformats.org/officeDocument/2006/relationships/image" Target="../media/image38.png"/><Relationship Id="rId141" Type="http://schemas.openxmlformats.org/officeDocument/2006/relationships/hyperlink" Target="https://upload.wikimedia.org/wikipedia/en/thumb/f/f3/Flag_of_Russia.svg/1920px-Flag_of_Russia.svg.png" TargetMode="External"/><Relationship Id="rId379" Type="http://schemas.openxmlformats.org/officeDocument/2006/relationships/hyperlink" Target="https://upload.wikimedia.org/wikipedia/commons/thumb/6/64/Flag_of_Montenegro.svg/188px-Flag_of_Montenegro.svg.png" TargetMode="External"/><Relationship Id="rId7" Type="http://schemas.openxmlformats.org/officeDocument/2006/relationships/hyperlink" Target="https://upload.wikimedia.org/wikipedia/en/thumb/0/03/Flag_of_Italy.svg/188px-Flag_of_Italy.svg.png" TargetMode="External"/><Relationship Id="rId183" Type="http://schemas.openxmlformats.org/officeDocument/2006/relationships/hyperlink" Target="https://upload.wikimedia.org/wikipedia/commons/thumb/1/1f/Flag_of_Kosovo.svg/188px-Flag_of_Kosovo.svg.png" TargetMode="External"/><Relationship Id="rId239" Type="http://schemas.openxmlformats.org/officeDocument/2006/relationships/hyperlink" Target="https://upload.wikimedia.org/wikipedia/commons/thumb/8/85/Flag_of_Belarus.svg/188px-Flag_of_Belarus.svg.png" TargetMode="External"/><Relationship Id="rId390" Type="http://schemas.openxmlformats.org/officeDocument/2006/relationships/image" Target="../media/image195.png"/><Relationship Id="rId404" Type="http://schemas.openxmlformats.org/officeDocument/2006/relationships/image" Target="../media/image202.png"/><Relationship Id="rId250" Type="http://schemas.openxmlformats.org/officeDocument/2006/relationships/image" Target="../media/image125.png"/><Relationship Id="rId292" Type="http://schemas.openxmlformats.org/officeDocument/2006/relationships/image" Target="../media/image146.png"/><Relationship Id="rId306" Type="http://schemas.openxmlformats.org/officeDocument/2006/relationships/image" Target="../media/image153.png"/><Relationship Id="rId45" Type="http://schemas.openxmlformats.org/officeDocument/2006/relationships/hyperlink" Target="https://upload.wikimedia.org/wikipedia/commons/thumb/8/84/Flag_of_Latvia.svg/188px-Flag_of_Latvia.svg.png" TargetMode="External"/><Relationship Id="rId87" Type="http://schemas.openxmlformats.org/officeDocument/2006/relationships/hyperlink" Target="https://upload.wikimedia.org/wikipedia/commons/thumb/f/ff/Flag_of_Serbia.svg/188px-Flag_of_Serbia.svg.png" TargetMode="External"/><Relationship Id="rId110" Type="http://schemas.openxmlformats.org/officeDocument/2006/relationships/image" Target="../media/image55.png"/><Relationship Id="rId348" Type="http://schemas.openxmlformats.org/officeDocument/2006/relationships/image" Target="../media/image174.png"/><Relationship Id="rId152" Type="http://schemas.openxmlformats.org/officeDocument/2006/relationships/image" Target="../media/image76.png"/><Relationship Id="rId194" Type="http://schemas.openxmlformats.org/officeDocument/2006/relationships/image" Target="../media/image97.png"/><Relationship Id="rId208" Type="http://schemas.openxmlformats.org/officeDocument/2006/relationships/image" Target="../media/image104.png"/><Relationship Id="rId261" Type="http://schemas.openxmlformats.org/officeDocument/2006/relationships/hyperlink" Target="https://upload.wikimedia.org/wikipedia/commons/thumb/b/b8/Flag_of_Liberia.svg/188px-Flag_of_Liberia.svg.png" TargetMode="External"/><Relationship Id="rId14" Type="http://schemas.openxmlformats.org/officeDocument/2006/relationships/image" Target="../media/image7.png"/><Relationship Id="rId56" Type="http://schemas.openxmlformats.org/officeDocument/2006/relationships/image" Target="../media/image28.png"/><Relationship Id="rId317" Type="http://schemas.openxmlformats.org/officeDocument/2006/relationships/hyperlink" Target="https://upload.wikimedia.org/wikipedia/commons/thumb/6/65/Flag_of_Qatar.svg/203px-Flag_of_Qatar.svg.png" TargetMode="External"/><Relationship Id="rId359" Type="http://schemas.openxmlformats.org/officeDocument/2006/relationships/hyperlink" Target="https://upload.wikimedia.org/wikipedia/commons/thumb/8/82/Flag_of_Honduras.svg/188px-Flag_of_Honduras.svg.png" TargetMode="External"/><Relationship Id="rId98" Type="http://schemas.openxmlformats.org/officeDocument/2006/relationships/image" Target="../media/image49.png"/><Relationship Id="rId121" Type="http://schemas.openxmlformats.org/officeDocument/2006/relationships/hyperlink" Target="https://upload.wikimedia.org/wikipedia/commons/thumb/2/2f/Flag_of_Armenia.svg/188px-Flag_of_Armenia.svg.png" TargetMode="External"/><Relationship Id="rId163" Type="http://schemas.openxmlformats.org/officeDocument/2006/relationships/hyperlink" Target="https://upload.wikimedia.org/wikipedia/commons/thumb/0/0d/Flag_of_Saudi_Arabia.svg/188px-Flag_of_Saudi_Arabia.svg.png" TargetMode="External"/><Relationship Id="rId219" Type="http://schemas.openxmlformats.org/officeDocument/2006/relationships/hyperlink" Target="https://upload.wikimedia.org/wikipedia/commons/thumb/3/36/Flag_of_Albania.svg/188px-Flag_of_Albania.svg.png" TargetMode="External"/><Relationship Id="rId370" Type="http://schemas.openxmlformats.org/officeDocument/2006/relationships/image" Target="../media/image185.png"/><Relationship Id="rId230" Type="http://schemas.openxmlformats.org/officeDocument/2006/relationships/image" Target="../media/image115.png"/><Relationship Id="rId25" Type="http://schemas.openxmlformats.org/officeDocument/2006/relationships/hyperlink" Target="https://upload.wikimedia.org/wikipedia/commons/thumb/b/bc/Flag_of_Finland.svg/188px-Flag_of_Finland.svg.png" TargetMode="External"/><Relationship Id="rId67" Type="http://schemas.openxmlformats.org/officeDocument/2006/relationships/hyperlink" Target="https://upload.wikimedia.org/wikipedia/commons/thumb/9/9a/Flag_of_Bulgaria.svg/188px-Flag_of_Bulgaria.svg.png" TargetMode="External"/><Relationship Id="rId272" Type="http://schemas.openxmlformats.org/officeDocument/2006/relationships/image" Target="../media/image136.png"/><Relationship Id="rId328" Type="http://schemas.openxmlformats.org/officeDocument/2006/relationships/image" Target="../media/image164.png"/><Relationship Id="rId132" Type="http://schemas.openxmlformats.org/officeDocument/2006/relationships/image" Target="../media/image66.png"/><Relationship Id="rId174" Type="http://schemas.openxmlformats.org/officeDocument/2006/relationships/image" Target="../media/image87.png"/><Relationship Id="rId381" Type="http://schemas.openxmlformats.org/officeDocument/2006/relationships/hyperlink" Target="https://upload.wikimedia.org/wikipedia/commons/thumb/3/30/Flag_of_Nauru.svg/188px-Flag_of_Nauru.svg.png" TargetMode="External"/><Relationship Id="rId241" Type="http://schemas.openxmlformats.org/officeDocument/2006/relationships/hyperlink" Target="https://upload.wikimedia.org/wikipedia/commons/thumb/b/b1/Flag_of_San_Marino.svg/188px-Flag_of_San_Marino.svg.png" TargetMode="External"/><Relationship Id="rId36" Type="http://schemas.openxmlformats.org/officeDocument/2006/relationships/image" Target="../media/image18.png"/><Relationship Id="rId283" Type="http://schemas.openxmlformats.org/officeDocument/2006/relationships/hyperlink" Target="https://upload.wikimedia.org/wikipedia/commons/thumb/8/89/Flag_of_Yemen.svg/188px-Flag_of_Yemen.svg.png" TargetMode="External"/><Relationship Id="rId339" Type="http://schemas.openxmlformats.org/officeDocument/2006/relationships/hyperlink" Target="https://upload.wikimedia.org/wikipedia/commons/thumb/6/6f/Flag_of_the_Central_African_Republic.svg/188px-Flag_of_the_Central_African_Republic.svg.png" TargetMode="External"/><Relationship Id="rId78" Type="http://schemas.openxmlformats.org/officeDocument/2006/relationships/image" Target="../media/image39.png"/><Relationship Id="rId101" Type="http://schemas.openxmlformats.org/officeDocument/2006/relationships/hyperlink" Target="https://upload.wikimedia.org/wikipedia/commons/thumb/0/0f/Flag_of_Georgia.svg/188px-Flag_of_Georgia.svg.png" TargetMode="External"/><Relationship Id="rId143" Type="http://schemas.openxmlformats.org/officeDocument/2006/relationships/hyperlink" Target="https://upload.wikimedia.org/wikipedia/commons/thumb/d/d4/Flag_of_Cyprus.svg/188px-Flag_of_Cyprus.svg.png" TargetMode="External"/><Relationship Id="rId185" Type="http://schemas.openxmlformats.org/officeDocument/2006/relationships/hyperlink" Target="https://upload.wikimedia.org/wikipedia/commons/thumb/f/fe/Flag_of_Uruguay.svg/188px-Flag_of_Uruguay.svg.png" TargetMode="External"/><Relationship Id="rId350" Type="http://schemas.openxmlformats.org/officeDocument/2006/relationships/image" Target="../media/image175.png"/><Relationship Id="rId406" Type="http://schemas.openxmlformats.org/officeDocument/2006/relationships/image" Target="../media/image203.png"/><Relationship Id="rId9" Type="http://schemas.openxmlformats.org/officeDocument/2006/relationships/hyperlink" Target="https://upload.wikimedia.org/wikipedia/commons/thumb/8/88/Flag_of_Australia_%28converted%29.svg/188px-Flag_of_Australia_%28converted%29.svg.png" TargetMode="External"/><Relationship Id="rId210" Type="http://schemas.openxmlformats.org/officeDocument/2006/relationships/image" Target="../media/image105.png"/><Relationship Id="rId392" Type="http://schemas.openxmlformats.org/officeDocument/2006/relationships/image" Target="../media/image196.png"/><Relationship Id="rId252" Type="http://schemas.openxmlformats.org/officeDocument/2006/relationships/image" Target="../media/image126.png"/><Relationship Id="rId294" Type="http://schemas.openxmlformats.org/officeDocument/2006/relationships/image" Target="../media/image147.png"/><Relationship Id="rId308" Type="http://schemas.openxmlformats.org/officeDocument/2006/relationships/image" Target="../media/image154.png"/><Relationship Id="rId47" Type="http://schemas.openxmlformats.org/officeDocument/2006/relationships/hyperlink" Target="https://upload.wikimedia.org/wikipedia/commons/thumb/f/fe/Flag_of_Egypt.svg/188px-Flag_of_Egypt.svg.png" TargetMode="External"/><Relationship Id="rId89" Type="http://schemas.openxmlformats.org/officeDocument/2006/relationships/hyperlink" Target="https://upload.wikimedia.org/wikipedia/commons/thumb/b/bd/Flag_of_Cuba.svg/188px-Flag_of_Cuba.svg.png" TargetMode="External"/><Relationship Id="rId112" Type="http://schemas.openxmlformats.org/officeDocument/2006/relationships/image" Target="../media/image56.png"/><Relationship Id="rId154" Type="http://schemas.openxmlformats.org/officeDocument/2006/relationships/image" Target="../media/image77.png"/><Relationship Id="rId361" Type="http://schemas.openxmlformats.org/officeDocument/2006/relationships/hyperlink" Target="https://upload.wikimedia.org/wikipedia/commons/thumb/d/d3/Flag_of_Kiribati.svg/188px-Flag_of_Kiribati.svg.png" TargetMode="External"/><Relationship Id="rId196" Type="http://schemas.openxmlformats.org/officeDocument/2006/relationships/image" Target="../media/image98.png"/><Relationship Id="rId16" Type="http://schemas.openxmlformats.org/officeDocument/2006/relationships/image" Target="../media/image8.png"/><Relationship Id="rId221" Type="http://schemas.openxmlformats.org/officeDocument/2006/relationships/hyperlink" Target="https://upload.wikimedia.org/wikipedia/commons/thumb/f/fd/Flag_of_Senegal.svg/188px-Flag_of_Senegal.svg.png" TargetMode="External"/><Relationship Id="rId263" Type="http://schemas.openxmlformats.org/officeDocument/2006/relationships/hyperlink" Target="https://upload.wikimedia.org/wikipedia/commons/thumb/3/34/Flag_of_El_Salvador.svg/188px-Flag_of_El_Salvador.svg.png" TargetMode="External"/><Relationship Id="rId319" Type="http://schemas.openxmlformats.org/officeDocument/2006/relationships/hyperlink" Target="https://upload.wikimedia.org/wikipedia/commons/thumb/4/48/Flag_of_Singapore.svg/188px-Flag_of_Singapore.svg.png" TargetMode="External"/><Relationship Id="rId58" Type="http://schemas.openxmlformats.org/officeDocument/2006/relationships/image" Target="../media/image29.png"/><Relationship Id="rId123" Type="http://schemas.openxmlformats.org/officeDocument/2006/relationships/hyperlink" Target="https://upload.wikimedia.org/wikipedia/commons/thumb/a/a9/Flag_of_Thailand.svg/188px-Flag_of_Thailand.svg.png" TargetMode="External"/><Relationship Id="rId330" Type="http://schemas.openxmlformats.org/officeDocument/2006/relationships/image" Target="../media/image165.png"/><Relationship Id="rId165" Type="http://schemas.openxmlformats.org/officeDocument/2006/relationships/hyperlink" Target="https://upload.wikimedia.org/wikipedia/commons/thumb/6/66/Flag_of_Malaysia.svg/188px-Flag_of_Malaysia.svg.png" TargetMode="External"/><Relationship Id="rId372" Type="http://schemas.openxmlformats.org/officeDocument/2006/relationships/image" Target="../media/image186.png"/><Relationship Id="rId232" Type="http://schemas.openxmlformats.org/officeDocument/2006/relationships/image" Target="../media/image116.png"/><Relationship Id="rId274" Type="http://schemas.openxmlformats.org/officeDocument/2006/relationships/image" Target="../media/image137.png"/><Relationship Id="rId27" Type="http://schemas.openxmlformats.org/officeDocument/2006/relationships/hyperlink" Target="https://upload.wikimedia.org/wikipedia/commons/thumb/c/cb/Flag_of_the_Czech_Republic.svg/188px-Flag_of_the_Czech_Republic.svg.png" TargetMode="External"/><Relationship Id="rId69" Type="http://schemas.openxmlformats.org/officeDocument/2006/relationships/hyperlink" Target="https://upload.wikimedia.org/wikipedia/commons/thumb/5/5c/Flag_of_Portugal.svg/188px-Flag_of_Portugal.svg.png" TargetMode="External"/><Relationship Id="rId134" Type="http://schemas.openxmlformats.org/officeDocument/2006/relationships/image" Target="../media/image67.png"/><Relationship Id="rId80" Type="http://schemas.openxmlformats.org/officeDocument/2006/relationships/image" Target="../media/image40.png"/><Relationship Id="rId155" Type="http://schemas.openxmlformats.org/officeDocument/2006/relationships/hyperlink" Target="https://upload.wikimedia.org/wikipedia/commons/thumb/e/ed/Flag_of_Guinea.svg/188px-Flag_of_Guinea.svg.png" TargetMode="External"/><Relationship Id="rId176" Type="http://schemas.openxmlformats.org/officeDocument/2006/relationships/image" Target="../media/image88.png"/><Relationship Id="rId197" Type="http://schemas.openxmlformats.org/officeDocument/2006/relationships/hyperlink" Target="https://upload.wikimedia.org/wikipedia/commons/thumb/6/60/Flag_of_Suriname.svg/188px-Flag_of_Suriname.svg.png" TargetMode="External"/><Relationship Id="rId341" Type="http://schemas.openxmlformats.org/officeDocument/2006/relationships/hyperlink" Target="https://upload.wikimedia.org/wikipedia/commons/thumb/4/4b/Flag_of_Chad.svg/188px-Flag_of_Chad.svg.png" TargetMode="External"/><Relationship Id="rId362" Type="http://schemas.openxmlformats.org/officeDocument/2006/relationships/image" Target="../media/image181.png"/><Relationship Id="rId383" Type="http://schemas.openxmlformats.org/officeDocument/2006/relationships/hyperlink" Target="https://upload.wikimedia.org/wikipedia/commons/thumb/9/9b/Flag_of_Nepal.svg/143px-Flag_of_Nepal.svg.png" TargetMode="External"/><Relationship Id="rId201" Type="http://schemas.openxmlformats.org/officeDocument/2006/relationships/hyperlink" Target="https://upload.wikimedia.org/wikipedia/commons/thumb/5/50/Flag_of_Burundi.svg/188px-Flag_of_Burundi.svg.png" TargetMode="External"/><Relationship Id="rId222" Type="http://schemas.openxmlformats.org/officeDocument/2006/relationships/image" Target="../media/image111.png"/><Relationship Id="rId243" Type="http://schemas.openxmlformats.org/officeDocument/2006/relationships/hyperlink" Target="https://upload.wikimedia.org/wikipedia/commons/thumb/0/05/Flag_of_Libya.svg/188px-Flag_of_Libya.svg.png" TargetMode="External"/><Relationship Id="rId264" Type="http://schemas.openxmlformats.org/officeDocument/2006/relationships/image" Target="../media/image132.png"/><Relationship Id="rId285" Type="http://schemas.openxmlformats.org/officeDocument/2006/relationships/hyperlink" Target="https://upload.wikimedia.org/wikipedia/commons/thumb/f/f4/Flag_of_Niger.svg/150px-Flag_of_Niger.svg.png" TargetMode="External"/><Relationship Id="rId17" Type="http://schemas.openxmlformats.org/officeDocument/2006/relationships/hyperlink" Target="https://upload.wikimedia.org/wikipedia/en/thumb/0/05/Flag_of_Brazil.svg/188px-Flag_of_Brazil.svg.png" TargetMode="External"/><Relationship Id="rId38" Type="http://schemas.openxmlformats.org/officeDocument/2006/relationships/image" Target="../media/image19.png"/><Relationship Id="rId59" Type="http://schemas.openxmlformats.org/officeDocument/2006/relationships/hyperlink" Target="https://upload.wikimedia.org/wikipedia/commons/thumb/7/78/Flag_of_Chile.svg/188px-Flag_of_Chile.svg.png" TargetMode="External"/><Relationship Id="rId103" Type="http://schemas.openxmlformats.org/officeDocument/2006/relationships/hyperlink" Target="https://upload.wikimedia.org/wikipedia/commons/thumb/5/56/Flag_of_Haiti.svg/188px-Flag_of_Haiti.svg.png" TargetMode="External"/><Relationship Id="rId124" Type="http://schemas.openxmlformats.org/officeDocument/2006/relationships/image" Target="../media/image62.png"/><Relationship Id="rId310" Type="http://schemas.openxmlformats.org/officeDocument/2006/relationships/image" Target="../media/image155.png"/><Relationship Id="rId70" Type="http://schemas.openxmlformats.org/officeDocument/2006/relationships/image" Target="../media/image35.png"/><Relationship Id="rId91" Type="http://schemas.openxmlformats.org/officeDocument/2006/relationships/hyperlink" Target="https://upload.wikimedia.org/wikipedia/commons/thumb/5/5c/Flag_of_Greece.svg/188px-Flag_of_Greece.svg.png" TargetMode="External"/><Relationship Id="rId145" Type="http://schemas.openxmlformats.org/officeDocument/2006/relationships/hyperlink" Target="https://upload.wikimedia.org/wikipedia/commons/thumb/d/dd/Flag_of_Azerbaijan.svg/188px-Flag_of_Azerbaijan.svg.png" TargetMode="External"/><Relationship Id="rId166" Type="http://schemas.openxmlformats.org/officeDocument/2006/relationships/image" Target="../media/image83.png"/><Relationship Id="rId187" Type="http://schemas.openxmlformats.org/officeDocument/2006/relationships/hyperlink" Target="https://upload.wikimedia.org/wikipedia/commons/thumb/f/fe/Flag_of_C%C3%B4te_d%27Ivoire.svg/188px-Flag_of_C%C3%B4te_d%27Ivoire.svg.png" TargetMode="External"/><Relationship Id="rId331" Type="http://schemas.openxmlformats.org/officeDocument/2006/relationships/hyperlink" Target="https://upload.wikimedia.org/wikipedia/commons/thumb/e/e7/Flag_of_Belize.svg/188px-Flag_of_Belize.svg.png" TargetMode="External"/><Relationship Id="rId352" Type="http://schemas.openxmlformats.org/officeDocument/2006/relationships/image" Target="../media/image176.png"/><Relationship Id="rId373" Type="http://schemas.openxmlformats.org/officeDocument/2006/relationships/hyperlink" Target="https://upload.wikimedia.org/wikipedia/commons/thumb/7/73/Flag_of_Malta.svg/188px-Flag_of_Malta.svg.png" TargetMode="External"/><Relationship Id="rId394" Type="http://schemas.openxmlformats.org/officeDocument/2006/relationships/image" Target="../media/image197.png"/><Relationship Id="rId408" Type="http://schemas.openxmlformats.org/officeDocument/2006/relationships/image" Target="../media/image204.png"/><Relationship Id="rId1" Type="http://schemas.openxmlformats.org/officeDocument/2006/relationships/hyperlink" Target="https://upload.wikimedia.org/wikipedia/commons/thumb/a/a9/Flag_of_the_United_States_%28DoS_ECA_Color_Standard%29.svg/188px-Flag_of_the_United_States_%28DoS_ECA_Color_Standard%29.svg.png" TargetMode="External"/><Relationship Id="rId212" Type="http://schemas.openxmlformats.org/officeDocument/2006/relationships/image" Target="../media/image106.png"/><Relationship Id="rId233" Type="http://schemas.openxmlformats.org/officeDocument/2006/relationships/hyperlink" Target="https://upload.wikimedia.org/wikipedia/commons/thumb/3/38/Flag_of_Tanzania.svg/188px-Flag_of_Tanzania.svg.png" TargetMode="External"/><Relationship Id="rId254" Type="http://schemas.openxmlformats.org/officeDocument/2006/relationships/image" Target="../media/image127.png"/><Relationship Id="rId28" Type="http://schemas.openxmlformats.org/officeDocument/2006/relationships/image" Target="../media/image14.png"/><Relationship Id="rId49" Type="http://schemas.openxmlformats.org/officeDocument/2006/relationships/hyperlink" Target="https://upload.wikimedia.org/wikipedia/commons/thumb/1/1a/Flag_of_Argentina.svg/188px-Flag_of_Argentina.svg.png" TargetMode="External"/><Relationship Id="rId114" Type="http://schemas.openxmlformats.org/officeDocument/2006/relationships/image" Target="../media/image57.png"/><Relationship Id="rId275" Type="http://schemas.openxmlformats.org/officeDocument/2006/relationships/hyperlink" Target="https://upload.wikimedia.org/wikipedia/commons/thumb/4/43/Flag_of_Mauritania.svg/188px-Flag_of_Mauritania.svg.png" TargetMode="External"/><Relationship Id="rId296" Type="http://schemas.openxmlformats.org/officeDocument/2006/relationships/image" Target="../media/image148.png"/><Relationship Id="rId300" Type="http://schemas.openxmlformats.org/officeDocument/2006/relationships/image" Target="../media/image150.png"/><Relationship Id="rId60" Type="http://schemas.openxmlformats.org/officeDocument/2006/relationships/image" Target="../media/image30.png"/><Relationship Id="rId81" Type="http://schemas.openxmlformats.org/officeDocument/2006/relationships/hyperlink" Target="https://upload.wikimedia.org/wikipedia/commons/thumb/0/06/Flag_of_Venezuela.svg/188px-Flag_of_Venezuela.svg.png" TargetMode="External"/><Relationship Id="rId135" Type="http://schemas.openxmlformats.org/officeDocument/2006/relationships/hyperlink" Target="https://upload.wikimedia.org/wikipedia/commons/thumb/b/bf/Flag_of_Bermuda.svg/195px-Flag_of_Bermuda.svg.png" TargetMode="External"/><Relationship Id="rId156" Type="http://schemas.openxmlformats.org/officeDocument/2006/relationships/image" Target="../media/image78.png"/><Relationship Id="rId177" Type="http://schemas.openxmlformats.org/officeDocument/2006/relationships/hyperlink" Target="https://upload.wikimedia.org/wikipedia/commons/thumb/7/77/Flag_of_Mauritius.svg/188px-Flag_of_Mauritius.svg.png" TargetMode="External"/><Relationship Id="rId198" Type="http://schemas.openxmlformats.org/officeDocument/2006/relationships/image" Target="../media/image99.png"/><Relationship Id="rId321" Type="http://schemas.openxmlformats.org/officeDocument/2006/relationships/hyperlink" Target="https://upload.wikimedia.org/wikipedia/commons/thumb/c/cd/Flag_of_Afghanistan_%282013%E2%80%932021%29.svg/188px-Flag_of_Afghanistan_%282013%E2%80%932021%29.svg.png" TargetMode="External"/><Relationship Id="rId342" Type="http://schemas.openxmlformats.org/officeDocument/2006/relationships/image" Target="../media/image171.png"/><Relationship Id="rId363" Type="http://schemas.openxmlformats.org/officeDocument/2006/relationships/hyperlink" Target="https://upload.wikimedia.org/wikipedia/commons/thumb/a/aa/Flag_of_Kuwait.svg/188px-Flag_of_Kuwait.svg.png" TargetMode="External"/><Relationship Id="rId384" Type="http://schemas.openxmlformats.org/officeDocument/2006/relationships/image" Target="../media/image192.png"/><Relationship Id="rId202" Type="http://schemas.openxmlformats.org/officeDocument/2006/relationships/image" Target="../media/image101.png"/><Relationship Id="rId223" Type="http://schemas.openxmlformats.org/officeDocument/2006/relationships/hyperlink" Target="https://upload.wikimedia.org/wikipedia/commons/thumb/0/04/Flag_of_Gabon.svg/188px-Flag_of_Gabon.svg.png" TargetMode="External"/><Relationship Id="rId244" Type="http://schemas.openxmlformats.org/officeDocument/2006/relationships/image" Target="../media/image122.png"/><Relationship Id="rId18" Type="http://schemas.openxmlformats.org/officeDocument/2006/relationships/image" Target="../media/image9.png"/><Relationship Id="rId39" Type="http://schemas.openxmlformats.org/officeDocument/2006/relationships/hyperlink" Target="https://upload.wikimedia.org/wikipedia/commons/thumb/4/49/Flag_of_Ukraine.svg/188px-Flag_of_Ukraine.svg.png" TargetMode="External"/><Relationship Id="rId265" Type="http://schemas.openxmlformats.org/officeDocument/2006/relationships/hyperlink" Target="https://upload.wikimedia.org/wikipedia/commons/thumb/5/51/Flag_of_North_Korea.svg/188px-Flag_of_North_Korea.svg.png" TargetMode="External"/><Relationship Id="rId286" Type="http://schemas.openxmlformats.org/officeDocument/2006/relationships/image" Target="../media/image143.png"/><Relationship Id="rId50" Type="http://schemas.openxmlformats.org/officeDocument/2006/relationships/image" Target="../media/image25.png"/><Relationship Id="rId104" Type="http://schemas.openxmlformats.org/officeDocument/2006/relationships/image" Target="../media/image52.png"/><Relationship Id="rId125" Type="http://schemas.openxmlformats.org/officeDocument/2006/relationships/hyperlink" Target="https://upload.wikimedia.org/wikipedia/commons/thumb/1/19/Flag_of_Andorra.svg/188px-Flag_of_Andorra.svg.png" TargetMode="External"/><Relationship Id="rId146" Type="http://schemas.openxmlformats.org/officeDocument/2006/relationships/image" Target="../media/image73.png"/><Relationship Id="rId167" Type="http://schemas.openxmlformats.org/officeDocument/2006/relationships/hyperlink" Target="https://upload.wikimedia.org/wikipedia/commons/thumb/5/59/Flag_of_Lebanon.svg/188px-Flag_of_Lebanon.svg.png" TargetMode="External"/><Relationship Id="rId188" Type="http://schemas.openxmlformats.org/officeDocument/2006/relationships/image" Target="../media/image94.png"/><Relationship Id="rId311" Type="http://schemas.openxmlformats.org/officeDocument/2006/relationships/hyperlink" Target="https://upload.wikimedia.org/wikipedia/commons/thumb/3/32/Flag_of_Pakistan.svg/188px-Flag_of_Pakistan.svg.png" TargetMode="External"/><Relationship Id="rId332" Type="http://schemas.openxmlformats.org/officeDocument/2006/relationships/image" Target="../media/image166.png"/><Relationship Id="rId353" Type="http://schemas.openxmlformats.org/officeDocument/2006/relationships/hyperlink" Target="https://upload.wikimedia.org/wikipedia/commons/thumb/0/07/Flag_of_Guam.svg/195px-Flag_of_Guam.svg.png" TargetMode="External"/><Relationship Id="rId374" Type="http://schemas.openxmlformats.org/officeDocument/2006/relationships/image" Target="../media/image187.png"/><Relationship Id="rId395" Type="http://schemas.openxmlformats.org/officeDocument/2006/relationships/hyperlink" Target="https://upload.wikimedia.org/wikipedia/commons/thumb/f/fc/Flag_of_Seychelles.svg/188px-Flag_of_Seychelles.svg.png" TargetMode="External"/><Relationship Id="rId409" Type="http://schemas.openxmlformats.org/officeDocument/2006/relationships/hyperlink" Target="https://upload.wikimedia.org/wikipedia/commons/thumb/1/1b/Flag_of_Turkmenistan.svg/180px-Flag_of_Turkmenistan.svg.png" TargetMode="External"/><Relationship Id="rId71" Type="http://schemas.openxmlformats.org/officeDocument/2006/relationships/hyperlink" Target="https://upload.wikimedia.org/wikipedia/commons/thumb/c/c1/Flag_of_Hungary.svg/188px-Flag_of_Hungary.svg.png" TargetMode="External"/><Relationship Id="rId92" Type="http://schemas.openxmlformats.org/officeDocument/2006/relationships/image" Target="../media/image46.png"/><Relationship Id="rId213" Type="http://schemas.openxmlformats.org/officeDocument/2006/relationships/hyperlink" Target="https://upload.wikimedia.org/wikipedia/commons/thumb/6/6d/Flag_of_Saint_Vincent_and_the_Grenadines.svg/188px-Flag_of_Saint_Vincent_and_the_Grenadines.svg.png" TargetMode="External"/><Relationship Id="rId234" Type="http://schemas.openxmlformats.org/officeDocument/2006/relationships/image" Target="../media/image117.png"/><Relationship Id="rId2" Type="http://schemas.openxmlformats.org/officeDocument/2006/relationships/image" Target="../media/image1.png"/><Relationship Id="rId29" Type="http://schemas.openxmlformats.org/officeDocument/2006/relationships/hyperlink" Target="https://upload.wikimedia.org/wikipedia/en/thumb/b/ba/Flag_of_Germany.svg/188px-Flag_of_Germany.svg.png" TargetMode="External"/><Relationship Id="rId255" Type="http://schemas.openxmlformats.org/officeDocument/2006/relationships/hyperlink" Target="https://upload.wikimedia.org/wikipedia/commons/thumb/9/92/Flag_of_Mali.svg/188px-Flag_of_Mali.svg.png" TargetMode="External"/><Relationship Id="rId276" Type="http://schemas.openxmlformats.org/officeDocument/2006/relationships/image" Target="../media/image138.png"/><Relationship Id="rId297" Type="http://schemas.openxmlformats.org/officeDocument/2006/relationships/hyperlink" Target="https://upload.wikimedia.org/wikipedia/commons/thumb/1/17/Flag_of_Rwanda.svg/188px-Flag_of_Rwanda.svg.png" TargetMode="External"/><Relationship Id="rId40" Type="http://schemas.openxmlformats.org/officeDocument/2006/relationships/image" Target="../media/image20.png"/><Relationship Id="rId115" Type="http://schemas.openxmlformats.org/officeDocument/2006/relationships/hyperlink" Target="https://upload.wikimedia.org/wikipedia/commons/thumb/0/09/Flag_of_South_Korea.svg/188px-Flag_of_South_Korea.svg.png" TargetMode="External"/><Relationship Id="rId136" Type="http://schemas.openxmlformats.org/officeDocument/2006/relationships/image" Target="../media/image68.png"/><Relationship Id="rId157" Type="http://schemas.openxmlformats.org/officeDocument/2006/relationships/hyperlink" Target="https://upload.wikimedia.org/wikipedia/commons/thumb/a/af/Flag_of_South_Africa.svg/188px-Flag_of_South_Africa.svg.png" TargetMode="External"/><Relationship Id="rId178" Type="http://schemas.openxmlformats.org/officeDocument/2006/relationships/image" Target="../media/image89.png"/><Relationship Id="rId301" Type="http://schemas.openxmlformats.org/officeDocument/2006/relationships/hyperlink" Target="https://upload.wikimedia.org/wikipedia/commons/thumb/0/0f/Flag_of_the_Cayman_Islands.svg/195px-Flag_of_the_Cayman_Islands.svg.png" TargetMode="External"/><Relationship Id="rId322" Type="http://schemas.openxmlformats.org/officeDocument/2006/relationships/image" Target="../media/image161.png"/><Relationship Id="rId343" Type="http://schemas.openxmlformats.org/officeDocument/2006/relationships/hyperlink" Target="https://upload.wikimedia.org/wikipedia/commons/thumb/3/35/Flag_of_the_Cook_Islands.svg/188px-Flag_of_the_Cook_Islands.svg.png" TargetMode="External"/><Relationship Id="rId364" Type="http://schemas.openxmlformats.org/officeDocument/2006/relationships/image" Target="../media/image182.png"/><Relationship Id="rId61" Type="http://schemas.openxmlformats.org/officeDocument/2006/relationships/hyperlink" Target="https://upload.wikimedia.org/wikipedia/commons/thumb/f/fc/Flag_of_Mexico.svg/188px-Flag_of_Mexico.svg.png" TargetMode="External"/><Relationship Id="rId82" Type="http://schemas.openxmlformats.org/officeDocument/2006/relationships/image" Target="../media/image41.png"/><Relationship Id="rId199" Type="http://schemas.openxmlformats.org/officeDocument/2006/relationships/hyperlink" Target="https://upload.wikimedia.org/wikipedia/commons/thumb/f/f8/Flag_of_the_United_States_Virgin_Islands.svg/188px-Flag_of_the_United_States_Virgin_Islands.svg.png" TargetMode="External"/><Relationship Id="rId203" Type="http://schemas.openxmlformats.org/officeDocument/2006/relationships/hyperlink" Target="https://upload.wikimedia.org/wikipedia/commons/thumb/1/19/Flag_of_Ghana.svg/188px-Flag_of_Ghana.svg.png" TargetMode="External"/><Relationship Id="rId385" Type="http://schemas.openxmlformats.org/officeDocument/2006/relationships/hyperlink" Target="https://upload.wikimedia.org/wikipedia/commons/thumb/1/19/Flag_of_Nicaragua.svg/188px-Flag_of_Nicaragua.svg.png" TargetMode="External"/><Relationship Id="rId19" Type="http://schemas.openxmlformats.org/officeDocument/2006/relationships/hyperlink" Target="https://upload.wikimedia.org/wikipedia/commons/thumb/8/89/Bandera_de_Espa%C3%B1a.svg/188px-Bandera_de_Espa%C3%B1a.svg.png" TargetMode="External"/><Relationship Id="rId224" Type="http://schemas.openxmlformats.org/officeDocument/2006/relationships/image" Target="../media/image112.png"/><Relationship Id="rId245" Type="http://schemas.openxmlformats.org/officeDocument/2006/relationships/hyperlink" Target="https://upload.wikimedia.org/wikipedia/commons/thumb/9/9a/Flag_of_Tonga.svg/188px-Flag_of_Tonga.svg.png" TargetMode="External"/><Relationship Id="rId266" Type="http://schemas.openxmlformats.org/officeDocument/2006/relationships/image" Target="../media/image133.png"/><Relationship Id="rId287" Type="http://schemas.openxmlformats.org/officeDocument/2006/relationships/hyperlink" Target="https://upload.wikimedia.org/wikipedia/commons/thumb/d/d0/Flag_of_Tajikistan.svg/188px-Flag_of_Tajikistan.svg.png" TargetMode="External"/><Relationship Id="rId410" Type="http://schemas.openxmlformats.org/officeDocument/2006/relationships/image" Target="../media/image205.png"/><Relationship Id="rId30" Type="http://schemas.openxmlformats.org/officeDocument/2006/relationships/image" Target="../media/image15.png"/><Relationship Id="rId105" Type="http://schemas.openxmlformats.org/officeDocument/2006/relationships/hyperlink" Target="https://upload.wikimedia.org/wikipedia/commons/thumb/4/49/Flag_of_Kenya.svg/188px-Flag_of_Kenya.svg.png" TargetMode="External"/><Relationship Id="rId126" Type="http://schemas.openxmlformats.org/officeDocument/2006/relationships/image" Target="../media/image63.png"/><Relationship Id="rId147" Type="http://schemas.openxmlformats.org/officeDocument/2006/relationships/hyperlink" Target="https://upload.wikimedia.org/wikipedia/commons/thumb/d/da/Flag_of_Luxembourg.svg/188px-Flag_of_Luxembourg.svg.png" TargetMode="External"/><Relationship Id="rId168" Type="http://schemas.openxmlformats.org/officeDocument/2006/relationships/image" Target="../media/image84.png"/><Relationship Id="rId312" Type="http://schemas.openxmlformats.org/officeDocument/2006/relationships/image" Target="../media/image156.png"/><Relationship Id="rId333" Type="http://schemas.openxmlformats.org/officeDocument/2006/relationships/hyperlink" Target="https://upload.wikimedia.org/wikipedia/commons/thumb/9/91/Flag_of_Bhutan.svg/188px-Flag_of_Bhutan.svg.png" TargetMode="External"/><Relationship Id="rId354" Type="http://schemas.openxmlformats.org/officeDocument/2006/relationships/image" Target="../media/image177.png"/><Relationship Id="rId51" Type="http://schemas.openxmlformats.org/officeDocument/2006/relationships/hyperlink" Target="https://upload.wikimedia.org/wikipedia/commons/thumb/0/04/Flag_of_Kazakhstan_%28President_of_Kazakhstan_website%29.svg/203px-Flag_of_Kazakhstan_%28President_of_Kazakhstan_website%29.svg.png" TargetMode="External"/><Relationship Id="rId72" Type="http://schemas.openxmlformats.org/officeDocument/2006/relationships/image" Target="../media/image36.png"/><Relationship Id="rId93" Type="http://schemas.openxmlformats.org/officeDocument/2006/relationships/hyperlink" Target="https://upload.wikimedia.org/wikipedia/commons/thumb/0/0a/Flag_of_Jamaica.svg/188px-Flag_of_Jamaica.svg.png" TargetMode="External"/><Relationship Id="rId189" Type="http://schemas.openxmlformats.org/officeDocument/2006/relationships/hyperlink" Target="https://upload.wikimedia.org/wikipedia/commons/thumb/4/4f/Flag_of_Cameroon.svg/188px-Flag_of_Cameroon.svg.png" TargetMode="External"/><Relationship Id="rId375" Type="http://schemas.openxmlformats.org/officeDocument/2006/relationships/hyperlink" Target="https://upload.wikimedia.org/wikipedia/commons/thumb/2/2e/Flag_of_the_Marshall_Islands.svg/188px-Flag_of_the_Marshall_Islands.svg.png" TargetMode="External"/><Relationship Id="rId396" Type="http://schemas.openxmlformats.org/officeDocument/2006/relationships/image" Target="../media/image198.png"/><Relationship Id="rId3" Type="http://schemas.openxmlformats.org/officeDocument/2006/relationships/hyperlink" Target="https://upload.wikimedia.org/wikipedia/en/thumb/c/c3/Flag_of_France.svg/188px-Flag_of_France.svg.png" TargetMode="External"/><Relationship Id="rId214" Type="http://schemas.openxmlformats.org/officeDocument/2006/relationships/image" Target="../media/image107.png"/><Relationship Id="rId235" Type="http://schemas.openxmlformats.org/officeDocument/2006/relationships/hyperlink" Target="https://upload.wikimedia.org/wikipedia/commons/thumb/3/31/Flag_of_Samoa.svg/188px-Flag_of_Samoa.svg.png" TargetMode="External"/><Relationship Id="rId256" Type="http://schemas.openxmlformats.org/officeDocument/2006/relationships/image" Target="../media/image128.png"/><Relationship Id="rId277" Type="http://schemas.openxmlformats.org/officeDocument/2006/relationships/hyperlink" Target="https://upload.wikimedia.org/wikipedia/commons/thumb/0/00/Flag_of_Namibia.svg/188px-Flag_of_Namibia.svg.png" TargetMode="External"/><Relationship Id="rId298" Type="http://schemas.openxmlformats.org/officeDocument/2006/relationships/image" Target="../media/image149.png"/><Relationship Id="rId400" Type="http://schemas.openxmlformats.org/officeDocument/2006/relationships/image" Target="../media/image200.png"/><Relationship Id="rId116" Type="http://schemas.openxmlformats.org/officeDocument/2006/relationships/image" Target="../media/image58.png"/><Relationship Id="rId137" Type="http://schemas.openxmlformats.org/officeDocument/2006/relationships/hyperlink" Target="https://upload.wikimedia.org/wikipedia/commons/thumb/8/84/Flag_of_Uzbekistan.svg/188px-Flag_of_Uzbekistan.svg.png" TargetMode="External"/><Relationship Id="rId158" Type="http://schemas.openxmlformats.org/officeDocument/2006/relationships/image" Target="../media/image79.png"/><Relationship Id="rId302" Type="http://schemas.openxmlformats.org/officeDocument/2006/relationships/image" Target="../media/image151.png"/><Relationship Id="rId323" Type="http://schemas.openxmlformats.org/officeDocument/2006/relationships/hyperlink" Target="https://upload.wikimedia.org/wikipedia/commons/thumb/8/87/Flag_of_American_Samoa.svg/195px-Flag_of_American_Samoa.svg.png" TargetMode="External"/><Relationship Id="rId344" Type="http://schemas.openxmlformats.org/officeDocument/2006/relationships/image" Target="../media/image172.png"/><Relationship Id="rId20" Type="http://schemas.openxmlformats.org/officeDocument/2006/relationships/image" Target="../media/image10.png"/><Relationship Id="rId41" Type="http://schemas.openxmlformats.org/officeDocument/2006/relationships/hyperlink" Target="https://upload.wikimedia.org/wikipedia/commons/thumb/4/45/Flag_of_Ireland.svg/195px-Flag_of_Ireland.svg.png" TargetMode="External"/><Relationship Id="rId62" Type="http://schemas.openxmlformats.org/officeDocument/2006/relationships/image" Target="../media/image31.png"/><Relationship Id="rId83" Type="http://schemas.openxmlformats.org/officeDocument/2006/relationships/hyperlink" Target="https://upload.wikimedia.org/wikipedia/commons/thumb/7/77/Flag_of_Algeria.svg/188px-Flag_of_Algeria.svg.png" TargetMode="External"/><Relationship Id="rId179" Type="http://schemas.openxmlformats.org/officeDocument/2006/relationships/hyperlink" Target="https://upload.wikimedia.org/wikipedia/commons/thumb/6/64/Flag_of_Trinidad_and_Tobago.svg/188px-Flag_of_Trinidad_and_Tobago.svg.png" TargetMode="External"/><Relationship Id="rId365" Type="http://schemas.openxmlformats.org/officeDocument/2006/relationships/hyperlink" Target="https://upload.wikimedia.org/wikipedia/commons/thumb/5/56/Flag_of_Laos.svg/188px-Flag_of_Laos.svg.png" TargetMode="External"/><Relationship Id="rId386" Type="http://schemas.openxmlformats.org/officeDocument/2006/relationships/image" Target="../media/image193.png"/><Relationship Id="rId190" Type="http://schemas.openxmlformats.org/officeDocument/2006/relationships/image" Target="../media/image95.png"/><Relationship Id="rId204" Type="http://schemas.openxmlformats.org/officeDocument/2006/relationships/image" Target="../media/image102.png"/><Relationship Id="rId225" Type="http://schemas.openxmlformats.org/officeDocument/2006/relationships/hyperlink" Target="https://upload.wikimedia.org/wikipedia/commons/thumb/a/a7/Olympic_flag.svg/330px-Olympic_flag.svg.png" TargetMode="External"/><Relationship Id="rId246" Type="http://schemas.openxmlformats.org/officeDocument/2006/relationships/image" Target="../media/image123.png"/><Relationship Id="rId267" Type="http://schemas.openxmlformats.org/officeDocument/2006/relationships/hyperlink" Target="https://upload.wikimedia.org/wikipedia/commons/thumb/b/bc/Flag_of_Grenada.svg/188px-Flag_of_Grenada.svg.png" TargetMode="External"/><Relationship Id="rId288" Type="http://schemas.openxmlformats.org/officeDocument/2006/relationships/image" Target="../media/image144.png"/><Relationship Id="rId411" Type="http://schemas.openxmlformats.org/officeDocument/2006/relationships/hyperlink" Target="https://upload.wikimedia.org/wikipedia/commons/thumb/3/38/Flag_of_Tuvalu.svg/188px-Flag_of_Tuvalu.svg.png" TargetMode="External"/><Relationship Id="rId106" Type="http://schemas.openxmlformats.org/officeDocument/2006/relationships/image" Target="../media/image53.png"/><Relationship Id="rId127" Type="http://schemas.openxmlformats.org/officeDocument/2006/relationships/hyperlink" Target="https://upload.wikimedia.org/wikipedia/commons/thumb/2/2c/Flag_of_Bahrain.svg/188px-Flag_of_Bahrain.svg.png" TargetMode="External"/><Relationship Id="rId313" Type="http://schemas.openxmlformats.org/officeDocument/2006/relationships/hyperlink" Target="https://upload.wikimedia.org/wikipedia/commons/thumb/c/c7/Flag_of_Kyrgyzstan.svg/188px-Flag_of_Kyrgyzstan.svg.png" TargetMode="External"/><Relationship Id="rId10" Type="http://schemas.openxmlformats.org/officeDocument/2006/relationships/image" Target="../media/image5.png"/><Relationship Id="rId31" Type="http://schemas.openxmlformats.org/officeDocument/2006/relationships/hyperlink" Target="https://upload.wikimedia.org/wikipedia/commons/thumb/2/20/Flag_of_the_Netherlands.svg/188px-Flag_of_the_Netherlands.svg.png" TargetMode="External"/><Relationship Id="rId52" Type="http://schemas.openxmlformats.org/officeDocument/2006/relationships/image" Target="../media/image26.png"/><Relationship Id="rId73" Type="http://schemas.openxmlformats.org/officeDocument/2006/relationships/hyperlink" Target="https://upload.wikimedia.org/wikipedia/commons/thumb/f/f0/Flag_of_Slovenia.svg/188px-Flag_of_Slovenia.svg.png" TargetMode="External"/><Relationship Id="rId94" Type="http://schemas.openxmlformats.org/officeDocument/2006/relationships/image" Target="../media/image47.png"/><Relationship Id="rId148" Type="http://schemas.openxmlformats.org/officeDocument/2006/relationships/image" Target="../media/image74.png"/><Relationship Id="rId169" Type="http://schemas.openxmlformats.org/officeDocument/2006/relationships/hyperlink" Target="https://upload.wikimedia.org/wikipedia/commons/thumb/d/d0/Flag_of_Mozambique.svg/188px-Flag_of_Mozambique.svg.png" TargetMode="External"/><Relationship Id="rId334" Type="http://schemas.openxmlformats.org/officeDocument/2006/relationships/image" Target="../media/image167.png"/><Relationship Id="rId355" Type="http://schemas.openxmlformats.org/officeDocument/2006/relationships/hyperlink" Target="https://upload.wikimedia.org/wikipedia/commons/thumb/0/01/Flag_of_Guinea-Bissau.svg/188px-Flag_of_Guinea-Bissau.svg.png" TargetMode="External"/><Relationship Id="rId376" Type="http://schemas.openxmlformats.org/officeDocument/2006/relationships/image" Target="../media/image188.png"/><Relationship Id="rId397" Type="http://schemas.openxmlformats.org/officeDocument/2006/relationships/hyperlink" Target="https://upload.wikimedia.org/wikipedia/commons/thumb/1/17/Flag_of_Sierra_Leone.svg/188px-Flag_of_Sierra_Leone.svg.png" TargetMode="External"/><Relationship Id="rId4" Type="http://schemas.openxmlformats.org/officeDocument/2006/relationships/image" Target="../media/image2.png"/><Relationship Id="rId180" Type="http://schemas.openxmlformats.org/officeDocument/2006/relationships/image" Target="../media/image90.png"/><Relationship Id="rId215" Type="http://schemas.openxmlformats.org/officeDocument/2006/relationships/hyperlink" Target="https://upload.wikimedia.org/wikipedia/commons/thumb/b/bf/Flag_of_Bosnia_and_Herzegovina.svg/195px-Flag_of_Bosnia_and_Herzegovina.svg.png" TargetMode="External"/><Relationship Id="rId236" Type="http://schemas.openxmlformats.org/officeDocument/2006/relationships/image" Target="../media/image118.png"/><Relationship Id="rId257" Type="http://schemas.openxmlformats.org/officeDocument/2006/relationships/hyperlink" Target="https://upload.wikimedia.org/wikipedia/commons/thumb/3/34/Flag_of_Djibouti.svg/188px-Flag_of_Djibouti.svg.png" TargetMode="External"/><Relationship Id="rId278" Type="http://schemas.openxmlformats.org/officeDocument/2006/relationships/image" Target="../media/image139.png"/><Relationship Id="rId401" Type="http://schemas.openxmlformats.org/officeDocument/2006/relationships/hyperlink" Target="https://upload.wikimedia.org/wikipedia/commons/thumb/a/a0/Flag_of_Somalia.svg/188px-Flag_of_Somalia.svg.png" TargetMode="External"/><Relationship Id="rId303" Type="http://schemas.openxmlformats.org/officeDocument/2006/relationships/hyperlink" Target="https://upload.wikimedia.org/wikipedia/commons/thumb/7/7a/Flag_of_South_Sudan.svg/188px-Flag_of_South_Sudan.svg.png" TargetMode="External"/><Relationship Id="rId42" Type="http://schemas.openxmlformats.org/officeDocument/2006/relationships/image" Target="../media/image21.png"/><Relationship Id="rId84" Type="http://schemas.openxmlformats.org/officeDocument/2006/relationships/image" Target="../media/image42.png"/><Relationship Id="rId138" Type="http://schemas.openxmlformats.org/officeDocument/2006/relationships/image" Target="../media/image69.png"/><Relationship Id="rId345" Type="http://schemas.openxmlformats.org/officeDocument/2006/relationships/hyperlink" Target="https://upload.wikimedia.org/wikipedia/commons/thumb/6/6f/Flag_of_the_Democratic_Republic_of_the_Congo.svg/188px-Flag_of_the_Democratic_Republic_of_the_Congo.svg.png" TargetMode="External"/><Relationship Id="rId387" Type="http://schemas.openxmlformats.org/officeDocument/2006/relationships/hyperlink" Target="https://upload.wikimedia.org/wikipedia/commons/thumb/d/dd/Flag_of_Oman.svg/188px-Flag_of_Oman.svg.png" TargetMode="External"/><Relationship Id="rId191" Type="http://schemas.openxmlformats.org/officeDocument/2006/relationships/hyperlink" Target="https://upload.wikimedia.org/wikipedia/commons/thumb/2/27/Flag_of_Paraguay.svg/188px-Flag_of_Paraguay.svg.png" TargetMode="External"/><Relationship Id="rId205" Type="http://schemas.openxmlformats.org/officeDocument/2006/relationships/hyperlink" Target="https://upload.wikimedia.org/wikipedia/commons/thumb/9/9f/Flag_of_Saint_Lucia.svg/188px-Flag_of_Saint_Lucia.svg.png" TargetMode="External"/><Relationship Id="rId247" Type="http://schemas.openxmlformats.org/officeDocument/2006/relationships/hyperlink" Target="https://upload.wikimedia.org/wikipedia/commons/thumb/8/89/Flag_of_Antigua_and_Barbuda.svg/188px-Flag_of_Antigua_and_Barbuda.svg.png" TargetMode="External"/><Relationship Id="rId412" Type="http://schemas.openxmlformats.org/officeDocument/2006/relationships/image" Target="../media/image206.png"/><Relationship Id="rId107" Type="http://schemas.openxmlformats.org/officeDocument/2006/relationships/hyperlink" Target="https://upload.wikimedia.org/wikipedia/commons/thumb/e/e8/Flag_of_Ecuador.svg/188px-Flag_of_Ecuador.svg.png" TargetMode="External"/><Relationship Id="rId289" Type="http://schemas.openxmlformats.org/officeDocument/2006/relationships/hyperlink" Target="https://upload.wikimedia.org/wikipedia/commons/thumb/f/f6/Flag_of_Iraq.svg/188px-Flag_of_Iraq.svg.png" TargetMode="External"/><Relationship Id="rId11" Type="http://schemas.openxmlformats.org/officeDocument/2006/relationships/hyperlink" Target="https://upload.wikimedia.org/wikipedia/commons/thumb/a/a5/Flag_of_the_United_Kingdom_%281-2%29.svg/188px-Flag_of_the_United_Kingdom_%281-2%29.svg.png" TargetMode="External"/><Relationship Id="rId53" Type="http://schemas.openxmlformats.org/officeDocument/2006/relationships/hyperlink" Target="https://upload.wikimedia.org/wikipedia/commons/thumb/3/3e/Flag_of_New_Zealand.svg/188px-Flag_of_New_Zealand.svg.png" TargetMode="External"/><Relationship Id="rId149" Type="http://schemas.openxmlformats.org/officeDocument/2006/relationships/hyperlink" Target="https://upload.wikimedia.org/wikipedia/commons/thumb/0/06/Flag_of_Zambia.svg/188px-Flag_of_Zambia.svg.png" TargetMode="External"/><Relationship Id="rId314" Type="http://schemas.openxmlformats.org/officeDocument/2006/relationships/image" Target="../media/image157.png"/><Relationship Id="rId356" Type="http://schemas.openxmlformats.org/officeDocument/2006/relationships/image" Target="../media/image178.png"/><Relationship Id="rId398" Type="http://schemas.openxmlformats.org/officeDocument/2006/relationships/image" Target="../media/image199.png"/><Relationship Id="rId95" Type="http://schemas.openxmlformats.org/officeDocument/2006/relationships/hyperlink" Target="https://upload.wikimedia.org/wikipedia/commons/thumb/9/9c/Flag_of_Denmark.svg/180px-Flag_of_Denmark.svg.png" TargetMode="External"/><Relationship Id="rId160" Type="http://schemas.openxmlformats.org/officeDocument/2006/relationships/image" Target="../media/image80.png"/><Relationship Id="rId216" Type="http://schemas.openxmlformats.org/officeDocument/2006/relationships/image" Target="../media/image108.png"/><Relationship Id="rId258" Type="http://schemas.openxmlformats.org/officeDocument/2006/relationships/image" Target="../media/image129.png"/><Relationship Id="rId22" Type="http://schemas.openxmlformats.org/officeDocument/2006/relationships/image" Target="../media/image11.png"/><Relationship Id="rId64" Type="http://schemas.openxmlformats.org/officeDocument/2006/relationships/image" Target="../media/image32.png"/><Relationship Id="rId118" Type="http://schemas.openxmlformats.org/officeDocument/2006/relationships/image" Target="../media/image59.png"/><Relationship Id="rId325" Type="http://schemas.openxmlformats.org/officeDocument/2006/relationships/hyperlink" Target="https://upload.wikimedia.org/wikipedia/commons/thumb/9/9d/Flag_of_Angola.svg/188px-Flag_of_Angola.svg.png" TargetMode="External"/><Relationship Id="rId367" Type="http://schemas.openxmlformats.org/officeDocument/2006/relationships/hyperlink" Target="https://upload.wikimedia.org/wikipedia/commons/thumb/4/4a/Flag_of_Lesotho.svg/188px-Flag_of_Lesotho.svg.png" TargetMode="External"/><Relationship Id="rId171" Type="http://schemas.openxmlformats.org/officeDocument/2006/relationships/hyperlink" Target="https://upload.wikimedia.org/wikipedia/commons/thumb/c/cf/Flag_of_Peru.svg/188px-Flag_of_Peru.svg.png" TargetMode="External"/><Relationship Id="rId227" Type="http://schemas.openxmlformats.org/officeDocument/2006/relationships/hyperlink" Target="https://upload.wikimedia.org/wikipedia/commons/thumb/2/27/Flag_of_Moldova.svg/188px-Flag_of_Moldova.svg.png" TargetMode="External"/><Relationship Id="rId269" Type="http://schemas.openxmlformats.org/officeDocument/2006/relationships/hyperlink" Target="https://upload.wikimedia.org/wikipedia/commons/thumb/9/94/Flag_of_the_Comoros.svg/188px-Flag_of_the_Comoros.svg.png" TargetMode="External"/><Relationship Id="rId33" Type="http://schemas.openxmlformats.org/officeDocument/2006/relationships/hyperlink" Target="https://upload.wikimedia.org/wikipedia/commons/thumb/0/08/Flag_of_Switzerland_%28Pantone%29.svg/188px-Flag_of_Switzerland_%28Pantone%29.svg.png" TargetMode="External"/><Relationship Id="rId129" Type="http://schemas.openxmlformats.org/officeDocument/2006/relationships/hyperlink" Target="https://upload.wikimedia.org/wikipedia/commons/thumb/4/4e/Flag_of_Uganda.svg/188px-Flag_of_Uganda.svg.png" TargetMode="External"/><Relationship Id="rId280" Type="http://schemas.openxmlformats.org/officeDocument/2006/relationships/image" Target="../media/image140.png"/><Relationship Id="rId336" Type="http://schemas.openxmlformats.org/officeDocument/2006/relationships/image" Target="../media/image168.png"/><Relationship Id="rId75" Type="http://schemas.openxmlformats.org/officeDocument/2006/relationships/hyperlink" Target="https://upload.wikimedia.org/wikipedia/commons/thumb/b/b4/Flag_of_Turkey.svg/188px-Flag_of_Turkey.svg.png" TargetMode="External"/><Relationship Id="rId140" Type="http://schemas.openxmlformats.org/officeDocument/2006/relationships/image" Target="../media/image70.png"/><Relationship Id="rId182" Type="http://schemas.openxmlformats.org/officeDocument/2006/relationships/image" Target="../media/image91.png"/><Relationship Id="rId378" Type="http://schemas.openxmlformats.org/officeDocument/2006/relationships/image" Target="../media/image189.png"/><Relationship Id="rId403" Type="http://schemas.openxmlformats.org/officeDocument/2006/relationships/hyperlink" Target="https://upload.wikimedia.org/wikipedia/commons/thumb/0/01/Flag_of_Sudan.svg/188px-Flag_of_Sudan.svg.png" TargetMode="External"/><Relationship Id="rId6" Type="http://schemas.openxmlformats.org/officeDocument/2006/relationships/image" Target="../media/image3.png"/><Relationship Id="rId238" Type="http://schemas.openxmlformats.org/officeDocument/2006/relationships/image" Target="../media/image119.png"/><Relationship Id="rId291" Type="http://schemas.openxmlformats.org/officeDocument/2006/relationships/hyperlink" Target="https://upload.wikimedia.org/wikipedia/commons/thumb/8/8c/Flag_of_Myanmar.svg/188px-Flag_of_Myanmar.svg.png" TargetMode="External"/><Relationship Id="rId305" Type="http://schemas.openxmlformats.org/officeDocument/2006/relationships/hyperlink" Target="https://upload.wikimedia.org/wikipedia/commons/thumb/5/5b/Flag_of_Hong_Kong.svg/188px-Flag_of_Hong_Kong.svg.png" TargetMode="External"/><Relationship Id="rId347" Type="http://schemas.openxmlformats.org/officeDocument/2006/relationships/hyperlink" Target="https://upload.wikimedia.org/wikipedia/commons/thumb/2/26/Flag_of_East_Timor.svg/188px-Flag_of_East_Timor.svg.png" TargetMode="External"/><Relationship Id="rId44" Type="http://schemas.openxmlformats.org/officeDocument/2006/relationships/image" Target="../media/image22.png"/><Relationship Id="rId86" Type="http://schemas.openxmlformats.org/officeDocument/2006/relationships/image" Target="../media/image43.png"/><Relationship Id="rId151" Type="http://schemas.openxmlformats.org/officeDocument/2006/relationships/hyperlink" Target="https://upload.wikimedia.org/wikipedia/commons/thumb/c/ce/Flag_of_Iceland.svg/188px-Flag_of_Iceland.svg.png" TargetMode="External"/><Relationship Id="rId389" Type="http://schemas.openxmlformats.org/officeDocument/2006/relationships/hyperlink" Target="https://upload.wikimedia.org/wikipedia/commons/thumb/4/48/Flag_of_Palau.svg/188px-Flag_of_Palau.svg.png" TargetMode="External"/><Relationship Id="rId193" Type="http://schemas.openxmlformats.org/officeDocument/2006/relationships/hyperlink" Target="https://upload.wikimedia.org/wikipedia/commons/thumb/e/ea/Flag_of_Monaco.svg/180px-Flag_of_Monaco.svg.png" TargetMode="External"/><Relationship Id="rId207" Type="http://schemas.openxmlformats.org/officeDocument/2006/relationships/hyperlink" Target="https://upload.wikimedia.org/wikipedia/commons/thumb/2/29/Flag_of_Eritrea.svg/188px-Flag_of_Eritrea.svg.png" TargetMode="External"/><Relationship Id="rId249" Type="http://schemas.openxmlformats.org/officeDocument/2006/relationships/hyperlink" Target="https://upload.wikimedia.org/wikipedia/commons/thumb/a/ab/Flag_of_Panama.svg/188px-Flag_of_Panama.svg.png" TargetMode="External"/><Relationship Id="rId414" Type="http://schemas.openxmlformats.org/officeDocument/2006/relationships/image" Target="../media/image207.png"/><Relationship Id="rId13" Type="http://schemas.openxmlformats.org/officeDocument/2006/relationships/hyperlink" Target="https://upload.wikimedia.org/wikipedia/commons/thumb/d/d9/Flag_of_Canada_%28Pantone%29.svg/188px-Flag_of_Canada_%28Pantone%29.svg.png" TargetMode="External"/><Relationship Id="rId109" Type="http://schemas.openxmlformats.org/officeDocument/2006/relationships/hyperlink" Target="https://upload.wikimedia.org/wikipedia/commons/thumb/7/71/Flag_of_Ethiopia.svg/188px-Flag_of_Ethiopia.svg.png" TargetMode="External"/><Relationship Id="rId260" Type="http://schemas.openxmlformats.org/officeDocument/2006/relationships/image" Target="../media/image130.png"/><Relationship Id="rId316" Type="http://schemas.openxmlformats.org/officeDocument/2006/relationships/image" Target="../media/image158.png"/><Relationship Id="rId55" Type="http://schemas.openxmlformats.org/officeDocument/2006/relationships/hyperlink" Target="https://upload.wikimedia.org/wikipedia/commons/thumb/7/73/Flag_of_Romania.svg/188px-Flag_of_Romania.svg.png" TargetMode="External"/><Relationship Id="rId97" Type="http://schemas.openxmlformats.org/officeDocument/2006/relationships/hyperlink" Target="https://upload.wikimedia.org/wikipedia/commons/thumb/1/11/Flag_of_Lithuania.svg/188px-Flag_of_Lithuania.svg.png" TargetMode="External"/><Relationship Id="rId120" Type="http://schemas.openxmlformats.org/officeDocument/2006/relationships/image" Target="../media/image60.png"/><Relationship Id="rId358" Type="http://schemas.openxmlformats.org/officeDocument/2006/relationships/image" Target="../media/image179.png"/><Relationship Id="rId162" Type="http://schemas.openxmlformats.org/officeDocument/2006/relationships/image" Target="../media/image81.png"/><Relationship Id="rId218" Type="http://schemas.openxmlformats.org/officeDocument/2006/relationships/image" Target="../media/image109.png"/><Relationship Id="rId271" Type="http://schemas.openxmlformats.org/officeDocument/2006/relationships/hyperlink" Target="https://upload.wikimedia.org/wikipedia/commons/thumb/9/92/Flag_of_the_Republic_of_the_Congo.svg/188px-Flag_of_the_Republic_of_the_Congo.svg.png" TargetMode="External"/><Relationship Id="rId24" Type="http://schemas.openxmlformats.org/officeDocument/2006/relationships/image" Target="../media/image12.png"/><Relationship Id="rId66" Type="http://schemas.openxmlformats.org/officeDocument/2006/relationships/image" Target="../media/image33.png"/><Relationship Id="rId131" Type="http://schemas.openxmlformats.org/officeDocument/2006/relationships/hyperlink" Target="https://upload.wikimedia.org/wikipedia/commons/thumb/c/c0/Flag_of_Jordan.svg/188px-Flag_of_Jordan.svg.png" TargetMode="External"/><Relationship Id="rId327" Type="http://schemas.openxmlformats.org/officeDocument/2006/relationships/hyperlink" Target="https://upload.wikimedia.org/wikipedia/commons/thumb/9/93/Flag_of_the_Bahamas.svg/188px-Flag_of_the_Bahamas.svg.png" TargetMode="External"/><Relationship Id="rId369" Type="http://schemas.openxmlformats.org/officeDocument/2006/relationships/hyperlink" Target="https://upload.wikimedia.org/wikipedia/commons/thumb/7/79/Flag_of_North_Macedonia.svg/188px-Flag_of_North_Macedonia.svg.png" TargetMode="External"/><Relationship Id="rId173" Type="http://schemas.openxmlformats.org/officeDocument/2006/relationships/hyperlink" Target="https://upload.wikimedia.org/wikipedia/commons/thumb/9/99/Flag_of_the_Philippines.svg/195px-Flag_of_the_Philippines.svg.png" TargetMode="External"/><Relationship Id="rId229" Type="http://schemas.openxmlformats.org/officeDocument/2006/relationships/hyperlink" Target="https://upload.wikimedia.org/wikipedia/commons/thumb/2/28/Flag_of_Puerto_Rico.svg/188px-Flag_of_Puerto_Rico.svg.png" TargetMode="External"/><Relationship Id="rId380" Type="http://schemas.openxmlformats.org/officeDocument/2006/relationships/image" Target="../media/image190.png"/><Relationship Id="rId240" Type="http://schemas.openxmlformats.org/officeDocument/2006/relationships/image" Target="../media/image120.png"/><Relationship Id="rId35" Type="http://schemas.openxmlformats.org/officeDocument/2006/relationships/hyperlink" Target="https://upload.wikimedia.org/wikipedia/commons/thumb/1/1b/Flag_of_Croatia.svg/188px-Flag_of_Croatia.svg.png" TargetMode="External"/><Relationship Id="rId77" Type="http://schemas.openxmlformats.org/officeDocument/2006/relationships/hyperlink" Target="https://upload.wikimedia.org/wikipedia/commons/thumb/6/65/Flag_of_Belgium.svg/188px-Flag_of_Belgium.svg.png" TargetMode="External"/><Relationship Id="rId100" Type="http://schemas.openxmlformats.org/officeDocument/2006/relationships/image" Target="../media/image50.png"/><Relationship Id="rId282" Type="http://schemas.openxmlformats.org/officeDocument/2006/relationships/image" Target="../media/image141.png"/><Relationship Id="rId338" Type="http://schemas.openxmlformats.org/officeDocument/2006/relationships/image" Target="../media/image169.png"/><Relationship Id="rId8" Type="http://schemas.openxmlformats.org/officeDocument/2006/relationships/image" Target="../media/image4.png"/><Relationship Id="rId142" Type="http://schemas.openxmlformats.org/officeDocument/2006/relationships/image" Target="../media/image71.png"/><Relationship Id="rId184" Type="http://schemas.openxmlformats.org/officeDocument/2006/relationships/image" Target="../media/image92.png"/><Relationship Id="rId391" Type="http://schemas.openxmlformats.org/officeDocument/2006/relationships/hyperlink" Target="https://upload.wikimedia.org/wikipedia/commons/thumb/f/fe/Flag_of_Saint_Kitts_and_Nevis.svg/188px-Flag_of_Saint_Kitts_and_Nevis.svg.png" TargetMode="External"/><Relationship Id="rId405" Type="http://schemas.openxmlformats.org/officeDocument/2006/relationships/hyperlink" Target="https://upload.wikimedia.org/wikipedia/commons/thumb/5/53/Flag_of_Syria.svg/188px-Flag_of_Syria.svg.png" TargetMode="External"/><Relationship Id="rId251" Type="http://schemas.openxmlformats.org/officeDocument/2006/relationships/hyperlink" Target="https://upload.wikimedia.org/wikipedia/commons/thumb/0/0a/Flag_of_Benin.svg/188px-Flag_of_Benin.svg.png" TargetMode="External"/><Relationship Id="rId46" Type="http://schemas.openxmlformats.org/officeDocument/2006/relationships/image" Target="../media/image23.png"/><Relationship Id="rId293" Type="http://schemas.openxmlformats.org/officeDocument/2006/relationships/hyperlink" Target="https://upload.wikimedia.org/wikipedia/commons/thumb/c/cb/Flag_of_the_United_Arab_Emirates.svg/188px-Flag_of_the_United_Arab_Emirates.svg.png" TargetMode="External"/><Relationship Id="rId307" Type="http://schemas.openxmlformats.org/officeDocument/2006/relationships/hyperlink" Target="https://upload.wikimedia.org/wikipedia/commons/thumb/e/ec/Flag_of_Guatemala.svg/188px-Flag_of_Guatemala.svg.png" TargetMode="External"/><Relationship Id="rId349" Type="http://schemas.openxmlformats.org/officeDocument/2006/relationships/hyperlink" Target="https://upload.wikimedia.org/wikipedia/commons/thumb/3/31/Flag_of_Equatorial_Guinea.svg/188px-Flag_of_Equatorial_Guinea.svg.png" TargetMode="External"/><Relationship Id="rId88" Type="http://schemas.openxmlformats.org/officeDocument/2006/relationships/image" Target="../media/image44.png"/><Relationship Id="rId111" Type="http://schemas.openxmlformats.org/officeDocument/2006/relationships/hyperlink" Target="https://upload.wikimedia.org/wikipedia/commons/thumb/c/ce/Flag_of_Tunisia.svg/188px-Flag_of_Tunisia.svg.png" TargetMode="External"/><Relationship Id="rId153" Type="http://schemas.openxmlformats.org/officeDocument/2006/relationships/hyperlink" Target="https://upload.wikimedia.org/wikipedia/commons/thumb/f/f2/Flag_of_Costa_Rica.svg/188px-Flag_of_Costa_Rica.svg.png" TargetMode="External"/><Relationship Id="rId195" Type="http://schemas.openxmlformats.org/officeDocument/2006/relationships/hyperlink" Target="https://upload.wikimedia.org/wikipedia/commons/thumb/3/31/Flag_of_Burkina_Faso.svg/188px-Flag_of_Burkina_Faso.svg.png" TargetMode="External"/><Relationship Id="rId209" Type="http://schemas.openxmlformats.org/officeDocument/2006/relationships/hyperlink" Target="https://upload.wikimedia.org/wikipedia/commons/thumb/6/6a/Flag_of_Zimbabwe.svg/188px-Flag_of_Zimbabwe.svg.png" TargetMode="External"/><Relationship Id="rId360" Type="http://schemas.openxmlformats.org/officeDocument/2006/relationships/image" Target="../media/image180.png"/><Relationship Id="rId220" Type="http://schemas.openxmlformats.org/officeDocument/2006/relationships/image" Target="../media/image110.png"/><Relationship Id="rId15" Type="http://schemas.openxmlformats.org/officeDocument/2006/relationships/hyperlink" Target="https://upload.wikimedia.org/wikipedia/commons/thumb/f/fa/Flag_of_the_People%27s_Republic_of_China.svg/188px-Flag_of_the_People%27s_Republic_of_China.svg.png" TargetMode="External"/><Relationship Id="rId57" Type="http://schemas.openxmlformats.org/officeDocument/2006/relationships/hyperlink" Target="https://upload.wikimedia.org/wikipedia/commons/thumb/e/e6/Flag_of_Slovakia.svg/188px-Flag_of_Slovakia.svg.png" TargetMode="External"/><Relationship Id="rId262" Type="http://schemas.openxmlformats.org/officeDocument/2006/relationships/image" Target="../media/image131.png"/><Relationship Id="rId318" Type="http://schemas.openxmlformats.org/officeDocument/2006/relationships/image" Target="../media/image159.png"/><Relationship Id="rId99" Type="http://schemas.openxmlformats.org/officeDocument/2006/relationships/hyperlink" Target="https://upload.wikimedia.org/wikipedia/commons/thumb/2/2c/Flag_of_Morocco.svg/188px-Flag_of_Morocco.svg.png" TargetMode="External"/><Relationship Id="rId122" Type="http://schemas.openxmlformats.org/officeDocument/2006/relationships/image" Target="../media/image61.png"/><Relationship Id="rId164" Type="http://schemas.openxmlformats.org/officeDocument/2006/relationships/image" Target="../media/image82.png"/><Relationship Id="rId371" Type="http://schemas.openxmlformats.org/officeDocument/2006/relationships/hyperlink" Target="https://upload.wikimedia.org/wikipedia/commons/thumb/d/d1/Flag_of_Malawi.svg/188px-Flag_of_Malawi.svg.png" TargetMode="External"/><Relationship Id="rId26" Type="http://schemas.openxmlformats.org/officeDocument/2006/relationships/image" Target="../media/image13.png"/><Relationship Id="rId231" Type="http://schemas.openxmlformats.org/officeDocument/2006/relationships/hyperlink" Target="https://upload.wikimedia.org/wikipedia/commons/thumb/4/47/Flag_of_Liechtenstein.svg/188px-Flag_of_Liechtenstein.svg.png" TargetMode="External"/><Relationship Id="rId273" Type="http://schemas.openxmlformats.org/officeDocument/2006/relationships/hyperlink" Target="https://upload.wikimedia.org/wikipedia/commons/thumb/b/bc/Flag_of_Madagascar.svg/188px-Flag_of_Madagascar.svg.png" TargetMode="External"/><Relationship Id="rId329" Type="http://schemas.openxmlformats.org/officeDocument/2006/relationships/hyperlink" Target="https://upload.wikimedia.org/wikipedia/commons/thumb/e/ef/Flag_of_Barbados.svg/188px-Flag_of_Barbados.svg.png" TargetMode="External"/><Relationship Id="rId68" Type="http://schemas.openxmlformats.org/officeDocument/2006/relationships/image" Target="../media/image34.png"/><Relationship Id="rId133" Type="http://schemas.openxmlformats.org/officeDocument/2006/relationships/hyperlink" Target="https://upload.wikimedia.org/wikipedia/commons/thumb/8/8f/Flag_of_Estonia.svg/188px-Flag_of_Estonia.svg.png" TargetMode="External"/><Relationship Id="rId175" Type="http://schemas.openxmlformats.org/officeDocument/2006/relationships/hyperlink" Target="https://upload.wikimedia.org/wikipedia/commons/thumb/d/de/Flag_of_Bolivia_%28state%29.svg/188px-Flag_of_Bolivia_%28state%29.svg.png" TargetMode="External"/><Relationship Id="rId340" Type="http://schemas.openxmlformats.org/officeDocument/2006/relationships/image" Target="../media/image170.png"/><Relationship Id="rId200" Type="http://schemas.openxmlformats.org/officeDocument/2006/relationships/image" Target="../media/image100.png"/><Relationship Id="rId382" Type="http://schemas.openxmlformats.org/officeDocument/2006/relationships/image" Target="../media/image191.png"/><Relationship Id="rId242" Type="http://schemas.openxmlformats.org/officeDocument/2006/relationships/image" Target="../media/image121.png"/><Relationship Id="rId284" Type="http://schemas.openxmlformats.org/officeDocument/2006/relationships/image" Target="../media/image142.png"/><Relationship Id="rId37" Type="http://schemas.openxmlformats.org/officeDocument/2006/relationships/hyperlink" Target="https://upload.wikimedia.org/wikipedia/en/thumb/4/4c/Flag_of_Sweden.svg/188px-Flag_of_Sweden.svg.png" TargetMode="External"/><Relationship Id="rId79" Type="http://schemas.openxmlformats.org/officeDocument/2006/relationships/hyperlink" Target="https://upload.wikimedia.org/wikipedia/commons/thumb/7/72/Flag_of_the_Republic_of_China.svg/188px-Flag_of_the_Republic_of_China.svg.png" TargetMode="External"/><Relationship Id="rId102" Type="http://schemas.openxmlformats.org/officeDocument/2006/relationships/image" Target="../media/image51.png"/><Relationship Id="rId144" Type="http://schemas.openxmlformats.org/officeDocument/2006/relationships/image" Target="../media/image72.png"/><Relationship Id="rId90" Type="http://schemas.openxmlformats.org/officeDocument/2006/relationships/image" Target="../media/image45.png"/><Relationship Id="rId186" Type="http://schemas.openxmlformats.org/officeDocument/2006/relationships/image" Target="../media/image93.png"/><Relationship Id="rId351" Type="http://schemas.openxmlformats.org/officeDocument/2006/relationships/hyperlink" Target="https://upload.wikimedia.org/wikipedia/commons/thumb/f/fb/Flag_of_Eswatini.svg/1200px-Flag_of_Eswatini.svg.png" TargetMode="External"/><Relationship Id="rId393" Type="http://schemas.openxmlformats.org/officeDocument/2006/relationships/hyperlink" Target="https://upload.wikimedia.org/wikipedia/commons/thumb/0/0a/Flag_of_S%C3%A3o_Tom%C3%A9_and_Pr%C3%ADncipe.svg/188px-Flag_of_S%C3%A3o_Tom%C3%A9_and_Pr%C3%ADncipe.svg.png" TargetMode="External"/><Relationship Id="rId407" Type="http://schemas.openxmlformats.org/officeDocument/2006/relationships/hyperlink" Target="https://upload.wikimedia.org/wikipedia/commons/thumb/6/68/Flag_of_Togo.svg/188px-Flag_of_Togo.svg.png" TargetMode="External"/><Relationship Id="rId211" Type="http://schemas.openxmlformats.org/officeDocument/2006/relationships/hyperlink" Target="https://upload.wikimedia.org/wikipedia/commons/thumb/4/4c/Flag_of_Mongolia.svg/188px-Flag_of_Mongolia.svg.png" TargetMode="External"/><Relationship Id="rId253" Type="http://schemas.openxmlformats.org/officeDocument/2006/relationships/hyperlink" Target="https://upload.wikimedia.org/wikipedia/commons/thumb/0/00/Flag_of_Palestine.svg/188px-Flag_of_Palestine.svg.png" TargetMode="External"/><Relationship Id="rId295" Type="http://schemas.openxmlformats.org/officeDocument/2006/relationships/hyperlink" Target="https://upload.wikimedia.org/wikipedia/commons/thumb/8/83/Flag_of_Cambodia.svg/188px-Flag_of_Cambodia.svg.png" TargetMode="External"/><Relationship Id="rId309" Type="http://schemas.openxmlformats.org/officeDocument/2006/relationships/hyperlink" Target="https://upload.wikimedia.org/wikipedia/commons/thumb/c/c4/Flag_of_Dominica.svg/188px-Flag_of_Dominica.svg.png" TargetMode="External"/><Relationship Id="rId48" Type="http://schemas.openxmlformats.org/officeDocument/2006/relationships/image" Target="../media/image24.png"/><Relationship Id="rId113" Type="http://schemas.openxmlformats.org/officeDocument/2006/relationships/hyperlink" Target="https://upload.wikimedia.org/wikipedia/commons/thumb/9/9f/Flag_of_the_Dominican_Republic.svg/188px-Flag_of_the_Dominican_Republic.svg.png" TargetMode="External"/><Relationship Id="rId320" Type="http://schemas.openxmlformats.org/officeDocument/2006/relationships/image" Target="../media/image160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webimage">
      <keyFlags>
        <key name="WebImageIdentifier">
          <flag name="ShowInCardView" value="0"/>
        </key>
      </keyFlags>
    </type>
  </types>
</rvTypesInfo>
</file>

<file path=xl/richData/rdRichValueWebImage.xml><?xml version="1.0" encoding="utf-8"?>
<webImagesSrd xmlns="http://schemas.microsoft.com/office/spreadsheetml/2020/richdatawebimage" xmlns:r="http://schemas.openxmlformats.org/officeDocument/2006/relationships">
  <webImageSrd>
    <address r:id="rId1"/>
    <blip r:id="rId2"/>
  </webImageSrd>
  <webImageSrd>
    <address r:id="rId3"/>
    <blip r:id="rId4"/>
  </webImageSrd>
  <webImageSrd>
    <address r:id="rId5"/>
    <blip r:id="rId6"/>
  </webImageSrd>
  <webImageSrd>
    <address r:id="rId7"/>
    <blip r:id="rId8"/>
  </webImageSrd>
  <webImageSrd>
    <address r:id="rId9"/>
    <blip r:id="rId10"/>
  </webImageSrd>
  <webImageSrd>
    <address r:id="rId11"/>
    <blip r:id="rId12"/>
  </webImageSrd>
  <webImageSrd>
    <address r:id="rId13"/>
    <blip r:id="rId14"/>
  </webImageSrd>
  <webImageSrd>
    <address r:id="rId15"/>
    <blip r:id="rId16"/>
  </webImageSrd>
  <webImageSrd>
    <address r:id="rId17"/>
    <blip r:id="rId18"/>
  </webImageSrd>
  <webImageSrd>
    <address r:id="rId19"/>
    <blip r:id="rId20"/>
  </webImageSrd>
  <webImageSrd>
    <address r:id="rId21"/>
    <blip r:id="rId22"/>
  </webImageSrd>
  <webImageSrd>
    <address r:id="rId23"/>
    <blip r:id="rId24"/>
  </webImageSrd>
  <webImageSrd>
    <address r:id="rId25"/>
    <blip r:id="rId26"/>
  </webImageSrd>
  <webImageSrd>
    <address r:id="rId27"/>
    <blip r:id="rId28"/>
  </webImageSrd>
  <webImageSrd>
    <address r:id="rId29"/>
    <blip r:id="rId30"/>
  </webImageSrd>
  <webImageSrd>
    <address r:id="rId31"/>
    <blip r:id="rId32"/>
  </webImageSrd>
  <webImageSrd>
    <address r:id="rId33"/>
    <blip r:id="rId34"/>
  </webImageSrd>
  <webImageSrd>
    <address r:id="rId35"/>
    <blip r:id="rId36"/>
  </webImageSrd>
  <webImageSrd>
    <address r:id="rId37"/>
    <blip r:id="rId38"/>
  </webImageSrd>
  <webImageSrd>
    <address r:id="rId39"/>
    <blip r:id="rId40"/>
  </webImageSrd>
  <webImageSrd>
    <address r:id="rId41"/>
    <blip r:id="rId42"/>
  </webImageSrd>
  <webImageSrd>
    <address r:id="rId43"/>
    <blip r:id="rId44"/>
  </webImageSrd>
  <webImageSrd>
    <address r:id="rId45"/>
    <blip r:id="rId46"/>
  </webImageSrd>
  <webImageSrd>
    <address r:id="rId47"/>
    <blip r:id="rId48"/>
  </webImageSrd>
  <webImageSrd>
    <address r:id="rId49"/>
    <blip r:id="rId50"/>
  </webImageSrd>
  <webImageSrd>
    <address r:id="rId51"/>
    <blip r:id="rId52"/>
  </webImageSrd>
  <webImageSrd>
    <address r:id="rId53"/>
    <blip r:id="rId54"/>
  </webImageSrd>
  <webImageSrd>
    <address r:id="rId55"/>
    <blip r:id="rId56"/>
  </webImageSrd>
  <webImageSrd>
    <address r:id="rId57"/>
    <blip r:id="rId58"/>
  </webImageSrd>
  <webImageSrd>
    <address r:id="rId59"/>
    <blip r:id="rId60"/>
  </webImageSrd>
  <webImageSrd>
    <address r:id="rId61"/>
    <blip r:id="rId62"/>
  </webImageSrd>
  <webImageSrd>
    <address r:id="rId63"/>
    <blip r:id="rId64"/>
  </webImageSrd>
  <webImageSrd>
    <address r:id="rId65"/>
    <blip r:id="rId66"/>
  </webImageSrd>
  <webImageSrd>
    <address r:id="rId67"/>
    <blip r:id="rId68"/>
  </webImageSrd>
  <webImageSrd>
    <address r:id="rId69"/>
    <blip r:id="rId70"/>
  </webImageSrd>
  <webImageSrd>
    <address r:id="rId71"/>
    <blip r:id="rId72"/>
  </webImageSrd>
  <webImageSrd>
    <address r:id="rId73"/>
    <blip r:id="rId74"/>
  </webImageSrd>
  <webImageSrd>
    <address r:id="rId75"/>
    <blip r:id="rId76"/>
  </webImageSrd>
  <webImageSrd>
    <address r:id="rId77"/>
    <blip r:id="rId78"/>
  </webImageSrd>
  <webImageSrd>
    <address r:id="rId79"/>
    <blip r:id="rId80"/>
  </webImageSrd>
  <webImageSrd>
    <address r:id="rId81"/>
    <blip r:id="rId82"/>
  </webImageSrd>
  <webImageSrd>
    <address r:id="rId83"/>
    <blip r:id="rId84"/>
  </webImageSrd>
  <webImageSrd>
    <address r:id="rId85"/>
    <blip r:id="rId86"/>
  </webImageSrd>
  <webImageSrd>
    <address r:id="rId87"/>
    <blip r:id="rId88"/>
  </webImageSrd>
  <webImageSrd>
    <address r:id="rId89"/>
    <blip r:id="rId90"/>
  </webImageSrd>
  <webImageSrd>
    <address r:id="rId91"/>
    <blip r:id="rId92"/>
  </webImageSrd>
  <webImageSrd>
    <address r:id="rId93"/>
    <blip r:id="rId94"/>
  </webImageSrd>
  <webImageSrd>
    <address r:id="rId95"/>
    <blip r:id="rId96"/>
  </webImageSrd>
  <webImageSrd>
    <address r:id="rId97"/>
    <blip r:id="rId98"/>
  </webImageSrd>
  <webImageSrd>
    <address r:id="rId99"/>
    <blip r:id="rId100"/>
  </webImageSrd>
  <webImageSrd>
    <address r:id="rId101"/>
    <blip r:id="rId102"/>
  </webImageSrd>
  <webImageSrd>
    <address r:id="rId103"/>
    <blip r:id="rId104"/>
  </webImageSrd>
  <webImageSrd>
    <address r:id="rId105"/>
    <blip r:id="rId106"/>
  </webImageSrd>
  <webImageSrd>
    <address r:id="rId107"/>
    <blip r:id="rId108"/>
  </webImageSrd>
  <webImageSrd>
    <address r:id="rId109"/>
    <blip r:id="rId110"/>
  </webImageSrd>
  <webImageSrd>
    <address r:id="rId111"/>
    <blip r:id="rId112"/>
  </webImageSrd>
  <webImageSrd>
    <address r:id="rId113"/>
    <blip r:id="rId114"/>
  </webImageSrd>
  <webImageSrd>
    <address r:id="rId115"/>
    <blip r:id="rId116"/>
  </webImageSrd>
  <webImageSrd>
    <address r:id="rId117"/>
    <blip r:id="rId118"/>
  </webImageSrd>
  <webImageSrd>
    <address r:id="rId119"/>
    <blip r:id="rId120"/>
  </webImageSrd>
  <webImageSrd>
    <address r:id="rId121"/>
    <blip r:id="rId122"/>
  </webImageSrd>
  <webImageSrd>
    <address r:id="rId123"/>
    <blip r:id="rId124"/>
  </webImageSrd>
  <webImageSrd>
    <address r:id="rId125"/>
    <blip r:id="rId126"/>
  </webImageSrd>
  <webImageSrd>
    <address r:id="rId127"/>
    <blip r:id="rId128"/>
  </webImageSrd>
  <webImageSrd>
    <address r:id="rId129"/>
    <blip r:id="rId130"/>
  </webImageSrd>
  <webImageSrd>
    <address r:id="rId131"/>
    <blip r:id="rId132"/>
  </webImageSrd>
  <webImageSrd>
    <address r:id="rId133"/>
    <blip r:id="rId134"/>
  </webImageSrd>
  <webImageSrd>
    <address r:id="rId135"/>
    <blip r:id="rId136"/>
  </webImageSrd>
  <webImageSrd>
    <address r:id="rId137"/>
    <blip r:id="rId138"/>
  </webImageSrd>
  <webImageSrd>
    <address r:id="rId139"/>
    <blip r:id="rId140"/>
  </webImageSrd>
  <webImageSrd>
    <address r:id="rId141"/>
    <blip r:id="rId142"/>
  </webImageSrd>
  <webImageSrd>
    <address r:id="rId143"/>
    <blip r:id="rId144"/>
  </webImageSrd>
  <webImageSrd>
    <address r:id="rId145"/>
    <blip r:id="rId146"/>
  </webImageSrd>
  <webImageSrd>
    <address r:id="rId147"/>
    <blip r:id="rId148"/>
  </webImageSrd>
  <webImageSrd>
    <address r:id="rId149"/>
    <blip r:id="rId150"/>
  </webImageSrd>
  <webImageSrd>
    <address r:id="rId151"/>
    <blip r:id="rId152"/>
  </webImageSrd>
  <webImageSrd>
    <address r:id="rId153"/>
    <blip r:id="rId154"/>
  </webImageSrd>
  <webImageSrd>
    <address r:id="rId155"/>
    <blip r:id="rId156"/>
  </webImageSrd>
  <webImageSrd>
    <address r:id="rId157"/>
    <blip r:id="rId158"/>
  </webImageSrd>
  <webImageSrd>
    <address r:id="rId159"/>
    <blip r:id="rId160"/>
  </webImageSrd>
  <webImageSrd>
    <address r:id="rId161"/>
    <blip r:id="rId162"/>
  </webImageSrd>
  <webImageSrd>
    <address r:id="rId163"/>
    <blip r:id="rId164"/>
  </webImageSrd>
  <webImageSrd>
    <address r:id="rId165"/>
    <blip r:id="rId166"/>
  </webImageSrd>
  <webImageSrd>
    <address r:id="rId167"/>
    <blip r:id="rId168"/>
  </webImageSrd>
  <webImageSrd>
    <address r:id="rId169"/>
    <blip r:id="rId170"/>
  </webImageSrd>
  <webImageSrd>
    <address r:id="rId171"/>
    <blip r:id="rId172"/>
  </webImageSrd>
  <webImageSrd>
    <address r:id="rId173"/>
    <blip r:id="rId174"/>
  </webImageSrd>
  <webImageSrd>
    <address r:id="rId175"/>
    <blip r:id="rId176"/>
  </webImageSrd>
  <webImageSrd>
    <address r:id="rId177"/>
    <blip r:id="rId178"/>
  </webImageSrd>
  <webImageSrd>
    <address r:id="rId179"/>
    <blip r:id="rId180"/>
  </webImageSrd>
  <webImageSrd>
    <address r:id="rId181"/>
    <blip r:id="rId182"/>
  </webImageSrd>
  <webImageSrd>
    <address r:id="rId183"/>
    <blip r:id="rId184"/>
  </webImageSrd>
  <webImageSrd>
    <address r:id="rId185"/>
    <blip r:id="rId186"/>
  </webImageSrd>
  <webImageSrd>
    <address r:id="rId187"/>
    <blip r:id="rId188"/>
  </webImageSrd>
  <webImageSrd>
    <address r:id="rId189"/>
    <blip r:id="rId190"/>
  </webImageSrd>
  <webImageSrd>
    <address r:id="rId191"/>
    <blip r:id="rId192"/>
  </webImageSrd>
  <webImageSrd>
    <address r:id="rId193"/>
    <blip r:id="rId194"/>
  </webImageSrd>
  <webImageSrd>
    <address r:id="rId195"/>
    <blip r:id="rId196"/>
  </webImageSrd>
  <webImageSrd>
    <address r:id="rId197"/>
    <blip r:id="rId198"/>
  </webImageSrd>
  <webImageSrd>
    <address r:id="rId199"/>
    <blip r:id="rId200"/>
  </webImageSrd>
  <webImageSrd>
    <address r:id="rId201"/>
    <blip r:id="rId202"/>
  </webImageSrd>
  <webImageSrd>
    <address r:id="rId203"/>
    <blip r:id="rId204"/>
  </webImageSrd>
  <webImageSrd>
    <address r:id="rId205"/>
    <blip r:id="rId206"/>
  </webImageSrd>
  <webImageSrd>
    <address r:id="rId207"/>
    <blip r:id="rId208"/>
  </webImageSrd>
  <webImageSrd>
    <address r:id="rId209"/>
    <blip r:id="rId210"/>
  </webImageSrd>
  <webImageSrd>
    <address r:id="rId211"/>
    <blip r:id="rId212"/>
  </webImageSrd>
  <webImageSrd>
    <address r:id="rId213"/>
    <blip r:id="rId214"/>
  </webImageSrd>
  <webImageSrd>
    <address r:id="rId215"/>
    <blip r:id="rId216"/>
  </webImageSrd>
  <webImageSrd>
    <address r:id="rId217"/>
    <blip r:id="rId218"/>
  </webImageSrd>
  <webImageSrd>
    <address r:id="rId219"/>
    <blip r:id="rId220"/>
  </webImageSrd>
  <webImageSrd>
    <address r:id="rId221"/>
    <blip r:id="rId222"/>
  </webImageSrd>
  <webImageSrd>
    <address r:id="rId223"/>
    <blip r:id="rId224"/>
  </webImageSrd>
  <webImageSrd>
    <address r:id="rId225"/>
    <blip r:id="rId226"/>
  </webImageSrd>
  <webImageSrd>
    <address r:id="rId227"/>
    <blip r:id="rId228"/>
  </webImageSrd>
  <webImageSrd>
    <address r:id="rId229"/>
    <blip r:id="rId230"/>
  </webImageSrd>
  <webImageSrd>
    <address r:id="rId231"/>
    <blip r:id="rId232"/>
  </webImageSrd>
  <webImageSrd>
    <address r:id="rId233"/>
    <blip r:id="rId234"/>
  </webImageSrd>
  <webImageSrd>
    <address r:id="rId235"/>
    <blip r:id="rId236"/>
  </webImageSrd>
  <webImageSrd>
    <address r:id="rId237"/>
    <blip r:id="rId238"/>
  </webImageSrd>
  <webImageSrd>
    <address r:id="rId239"/>
    <blip r:id="rId240"/>
  </webImageSrd>
  <webImageSrd>
    <address r:id="rId241"/>
    <blip r:id="rId242"/>
  </webImageSrd>
  <webImageSrd>
    <address r:id="rId243"/>
    <blip r:id="rId244"/>
  </webImageSrd>
  <webImageSrd>
    <address r:id="rId245"/>
    <blip r:id="rId246"/>
  </webImageSrd>
  <webImageSrd>
    <address r:id="rId247"/>
    <blip r:id="rId248"/>
  </webImageSrd>
  <webImageSrd>
    <address r:id="rId249"/>
    <blip r:id="rId250"/>
  </webImageSrd>
  <webImageSrd>
    <address r:id="rId251"/>
    <blip r:id="rId252"/>
  </webImageSrd>
  <webImageSrd>
    <address r:id="rId253"/>
    <blip r:id="rId254"/>
  </webImageSrd>
  <webImageSrd>
    <address r:id="rId255"/>
    <blip r:id="rId256"/>
  </webImageSrd>
  <webImageSrd>
    <address r:id="rId257"/>
    <blip r:id="rId258"/>
  </webImageSrd>
  <webImageSrd>
    <address r:id="rId259"/>
    <blip r:id="rId260"/>
  </webImageSrd>
  <webImageSrd>
    <address r:id="rId261"/>
    <blip r:id="rId262"/>
  </webImageSrd>
  <webImageSrd>
    <address r:id="rId263"/>
    <blip r:id="rId264"/>
  </webImageSrd>
  <webImageSrd>
    <address r:id="rId265"/>
    <blip r:id="rId266"/>
  </webImageSrd>
  <webImageSrd>
    <address r:id="rId267"/>
    <blip r:id="rId268"/>
  </webImageSrd>
  <webImageSrd>
    <address r:id="rId269"/>
    <blip r:id="rId270"/>
  </webImageSrd>
  <webImageSrd>
    <address r:id="rId271"/>
    <blip r:id="rId272"/>
  </webImageSrd>
  <webImageSrd>
    <address r:id="rId273"/>
    <blip r:id="rId274"/>
  </webImageSrd>
  <webImageSrd>
    <address r:id="rId275"/>
    <blip r:id="rId276"/>
  </webImageSrd>
  <webImageSrd>
    <address r:id="rId277"/>
    <blip r:id="rId278"/>
  </webImageSrd>
  <webImageSrd>
    <address r:id="rId279"/>
    <blip r:id="rId280"/>
  </webImageSrd>
  <webImageSrd>
    <address r:id="rId281"/>
    <blip r:id="rId282"/>
  </webImageSrd>
  <webImageSrd>
    <address r:id="rId283"/>
    <blip r:id="rId284"/>
  </webImageSrd>
  <webImageSrd>
    <address r:id="rId285"/>
    <blip r:id="rId286"/>
  </webImageSrd>
  <webImageSrd>
    <address r:id="rId287"/>
    <blip r:id="rId288"/>
  </webImageSrd>
  <webImageSrd>
    <address r:id="rId289"/>
    <blip r:id="rId290"/>
  </webImageSrd>
  <webImageSrd>
    <address r:id="rId291"/>
    <blip r:id="rId292"/>
  </webImageSrd>
  <webImageSrd>
    <address r:id="rId293"/>
    <blip r:id="rId294"/>
  </webImageSrd>
  <webImageSrd>
    <address r:id="rId295"/>
    <blip r:id="rId296"/>
  </webImageSrd>
  <webImageSrd>
    <address r:id="rId297"/>
    <blip r:id="rId298"/>
  </webImageSrd>
  <webImageSrd>
    <address r:id="rId299"/>
    <blip r:id="rId300"/>
  </webImageSrd>
  <webImageSrd>
    <address r:id="rId301"/>
    <blip r:id="rId302"/>
  </webImageSrd>
  <webImageSrd>
    <address r:id="rId303"/>
    <blip r:id="rId304"/>
  </webImageSrd>
  <webImageSrd>
    <address r:id="rId305"/>
    <blip r:id="rId306"/>
  </webImageSrd>
  <webImageSrd>
    <address r:id="rId307"/>
    <blip r:id="rId308"/>
  </webImageSrd>
  <webImageSrd>
    <address r:id="rId309"/>
    <blip r:id="rId310"/>
  </webImageSrd>
  <webImageSrd>
    <address r:id="rId311"/>
    <blip r:id="rId312"/>
  </webImageSrd>
  <webImageSrd>
    <address r:id="rId313"/>
    <blip r:id="rId314"/>
  </webImageSrd>
  <webImageSrd>
    <address r:id="rId315"/>
    <blip r:id="rId316"/>
  </webImageSrd>
  <webImageSrd>
    <address r:id="rId317"/>
    <blip r:id="rId318"/>
  </webImageSrd>
  <webImageSrd>
    <address r:id="rId319"/>
    <blip r:id="rId320"/>
  </webImageSrd>
  <webImageSrd>
    <address r:id="rId321"/>
    <blip r:id="rId322"/>
  </webImageSrd>
  <webImageSrd>
    <address r:id="rId323"/>
    <blip r:id="rId324"/>
  </webImageSrd>
  <webImageSrd>
    <address r:id="rId325"/>
    <blip r:id="rId326"/>
  </webImageSrd>
  <webImageSrd>
    <address r:id="rId327"/>
    <blip r:id="rId328"/>
  </webImageSrd>
  <webImageSrd>
    <address r:id="rId329"/>
    <blip r:id="rId330"/>
  </webImageSrd>
  <webImageSrd>
    <address r:id="rId331"/>
    <blip r:id="rId332"/>
  </webImageSrd>
  <webImageSrd>
    <address r:id="rId333"/>
    <blip r:id="rId334"/>
  </webImageSrd>
  <webImageSrd>
    <address r:id="rId335"/>
    <blip r:id="rId336"/>
  </webImageSrd>
  <webImageSrd>
    <address r:id="rId337"/>
    <blip r:id="rId338"/>
  </webImageSrd>
  <webImageSrd>
    <address r:id="rId339"/>
    <blip r:id="rId340"/>
  </webImageSrd>
  <webImageSrd>
    <address r:id="rId341"/>
    <blip r:id="rId342"/>
  </webImageSrd>
  <webImageSrd>
    <address r:id="rId343"/>
    <blip r:id="rId344"/>
  </webImageSrd>
  <webImageSrd>
    <address r:id="rId345"/>
    <blip r:id="rId346"/>
  </webImageSrd>
  <webImageSrd>
    <address r:id="rId347"/>
    <blip r:id="rId348"/>
  </webImageSrd>
  <webImageSrd>
    <address r:id="rId349"/>
    <blip r:id="rId350"/>
  </webImageSrd>
  <webImageSrd>
    <address r:id="rId351"/>
    <blip r:id="rId352"/>
  </webImageSrd>
  <webImageSrd>
    <address r:id="rId353"/>
    <blip r:id="rId354"/>
  </webImageSrd>
  <webImageSrd>
    <address r:id="rId355"/>
    <blip r:id="rId356"/>
  </webImageSrd>
  <webImageSrd>
    <address r:id="rId357"/>
    <blip r:id="rId358"/>
  </webImageSrd>
  <webImageSrd>
    <address r:id="rId359"/>
    <blip r:id="rId360"/>
  </webImageSrd>
  <webImageSrd>
    <address r:id="rId361"/>
    <blip r:id="rId362"/>
  </webImageSrd>
  <webImageSrd>
    <address r:id="rId363"/>
    <blip r:id="rId364"/>
  </webImageSrd>
  <webImageSrd>
    <address r:id="rId365"/>
    <blip r:id="rId366"/>
  </webImageSrd>
  <webImageSrd>
    <address r:id="rId367"/>
    <blip r:id="rId368"/>
  </webImageSrd>
  <webImageSrd>
    <address r:id="rId369"/>
    <blip r:id="rId370"/>
  </webImageSrd>
  <webImageSrd>
    <address r:id="rId371"/>
    <blip r:id="rId372"/>
  </webImageSrd>
  <webImageSrd>
    <address r:id="rId373"/>
    <blip r:id="rId374"/>
  </webImageSrd>
  <webImageSrd>
    <address r:id="rId375"/>
    <blip r:id="rId376"/>
  </webImageSrd>
  <webImageSrd>
    <address r:id="rId377"/>
    <blip r:id="rId378"/>
  </webImageSrd>
  <webImageSrd>
    <address r:id="rId379"/>
    <blip r:id="rId380"/>
  </webImageSrd>
  <webImageSrd>
    <address r:id="rId381"/>
    <blip r:id="rId382"/>
  </webImageSrd>
  <webImageSrd>
    <address r:id="rId383"/>
    <blip r:id="rId384"/>
  </webImageSrd>
  <webImageSrd>
    <address r:id="rId385"/>
    <blip r:id="rId386"/>
  </webImageSrd>
  <webImageSrd>
    <address r:id="rId387"/>
    <blip r:id="rId388"/>
  </webImageSrd>
  <webImageSrd>
    <address r:id="rId389"/>
    <blip r:id="rId390"/>
  </webImageSrd>
  <webImageSrd>
    <address r:id="rId391"/>
    <blip r:id="rId392"/>
  </webImageSrd>
  <webImageSrd>
    <address r:id="rId393"/>
    <blip r:id="rId394"/>
  </webImageSrd>
  <webImageSrd>
    <address r:id="rId395"/>
    <blip r:id="rId396"/>
  </webImageSrd>
  <webImageSrd>
    <address r:id="rId397"/>
    <blip r:id="rId398"/>
  </webImageSrd>
  <webImageSrd>
    <address r:id="rId399"/>
    <blip r:id="rId400"/>
  </webImageSrd>
  <webImageSrd>
    <address r:id="rId401"/>
    <blip r:id="rId402"/>
  </webImageSrd>
  <webImageSrd>
    <address r:id="rId403"/>
    <blip r:id="rId404"/>
  </webImageSrd>
  <webImageSrd>
    <address r:id="rId405"/>
    <blip r:id="rId406"/>
  </webImageSrd>
  <webImageSrd>
    <address r:id="rId407"/>
    <blip r:id="rId408"/>
  </webImageSrd>
  <webImageSrd>
    <address r:id="rId409"/>
    <blip r:id="rId410"/>
  </webImageSrd>
  <webImageSrd>
    <address r:id="rId411"/>
    <blip r:id="rId412"/>
  </webImageSrd>
  <webImageSrd>
    <address r:id="rId413"/>
    <blip r:id="rId414"/>
  </webImageSrd>
</webImagesSrd>
</file>

<file path=xl/richData/rdrichvalue.xml><?xml version="1.0" encoding="utf-8"?>
<rvData xmlns="http://schemas.microsoft.com/office/spreadsheetml/2017/richdata" count="207">
  <rv s="0">
    <v>0</v>
    <v>1</v>
    <v>0</v>
    <v>1</v>
    <v>1</v>
  </rv>
  <rv s="0">
    <v>1</v>
    <v>1</v>
    <v>0</v>
    <v>1</v>
    <v>1</v>
  </rv>
  <rv s="0">
    <v>2</v>
    <v>1</v>
    <v>0</v>
    <v>1</v>
    <v>1</v>
  </rv>
  <rv s="0">
    <v>3</v>
    <v>1</v>
    <v>0</v>
    <v>1</v>
    <v>1</v>
  </rv>
  <rv s="0">
    <v>4</v>
    <v>1</v>
    <v>0</v>
    <v>1</v>
    <v>1</v>
  </rv>
  <rv s="0">
    <v>5</v>
    <v>1</v>
    <v>0</v>
    <v>1</v>
    <v>1</v>
  </rv>
  <rv s="0">
    <v>6</v>
    <v>1</v>
    <v>0</v>
    <v>1</v>
    <v>1</v>
  </rv>
  <rv s="0">
    <v>7</v>
    <v>1</v>
    <v>0</v>
    <v>1</v>
    <v>1</v>
  </rv>
  <rv s="0">
    <v>8</v>
    <v>1</v>
    <v>0</v>
    <v>1</v>
    <v>1</v>
  </rv>
  <rv s="0">
    <v>9</v>
    <v>1</v>
    <v>0</v>
    <v>1</v>
    <v>1</v>
  </rv>
  <rv s="0">
    <v>10</v>
    <v>1</v>
    <v>0</v>
    <v>1</v>
    <v>1</v>
  </rv>
  <rv s="0">
    <v>11</v>
    <v>1</v>
    <v>0</v>
    <v>1</v>
    <v>1</v>
  </rv>
  <rv s="0">
    <v>12</v>
    <v>1</v>
    <v>0</v>
    <v>1</v>
    <v>1</v>
  </rv>
  <rv s="0">
    <v>13</v>
    <v>1</v>
    <v>0</v>
    <v>1</v>
    <v>1</v>
  </rv>
  <rv s="0">
    <v>14</v>
    <v>1</v>
    <v>0</v>
    <v>1</v>
    <v>1</v>
  </rv>
  <rv s="0">
    <v>15</v>
    <v>1</v>
    <v>0</v>
    <v>1</v>
    <v>1</v>
  </rv>
  <rv s="0">
    <v>16</v>
    <v>1</v>
    <v>0</v>
    <v>1</v>
    <v>1</v>
  </rv>
  <rv s="0">
    <v>17</v>
    <v>1</v>
    <v>0</v>
    <v>1</v>
    <v>1</v>
  </rv>
  <rv s="0">
    <v>18</v>
    <v>1</v>
    <v>0</v>
    <v>1</v>
    <v>1</v>
  </rv>
  <rv s="0">
    <v>19</v>
    <v>1</v>
    <v>0</v>
    <v>1</v>
    <v>1</v>
  </rv>
  <rv s="0">
    <v>20</v>
    <v>1</v>
    <v>0</v>
    <v>1</v>
    <v>1</v>
  </rv>
  <rv s="0">
    <v>21</v>
    <v>1</v>
    <v>0</v>
    <v>1</v>
    <v>1</v>
  </rv>
  <rv s="0">
    <v>22</v>
    <v>1</v>
    <v>0</v>
    <v>1</v>
    <v>1</v>
  </rv>
  <rv s="0">
    <v>23</v>
    <v>1</v>
    <v>0</v>
    <v>1</v>
    <v>1</v>
  </rv>
  <rv s="0">
    <v>24</v>
    <v>1</v>
    <v>0</v>
    <v>1</v>
    <v>1</v>
  </rv>
  <rv s="0">
    <v>25</v>
    <v>1</v>
    <v>0</v>
    <v>1</v>
    <v>1</v>
  </rv>
  <rv s="0">
    <v>26</v>
    <v>1</v>
    <v>0</v>
    <v>1</v>
    <v>1</v>
  </rv>
  <rv s="0">
    <v>27</v>
    <v>1</v>
    <v>0</v>
    <v>1</v>
    <v>1</v>
  </rv>
  <rv s="0">
    <v>28</v>
    <v>1</v>
    <v>0</v>
    <v>1</v>
    <v>1</v>
  </rv>
  <rv s="0">
    <v>29</v>
    <v>1</v>
    <v>0</v>
    <v>1</v>
    <v>1</v>
  </rv>
  <rv s="0">
    <v>30</v>
    <v>1</v>
    <v>0</v>
    <v>1</v>
    <v>1</v>
  </rv>
  <rv s="0">
    <v>31</v>
    <v>1</v>
    <v>0</v>
    <v>1</v>
    <v>1</v>
  </rv>
  <rv s="0">
    <v>32</v>
    <v>1</v>
    <v>0</v>
    <v>1</v>
    <v>1</v>
  </rv>
  <rv s="0">
    <v>33</v>
    <v>1</v>
    <v>0</v>
    <v>1</v>
    <v>1</v>
  </rv>
  <rv s="0">
    <v>34</v>
    <v>1</v>
    <v>0</v>
    <v>1</v>
    <v>1</v>
  </rv>
  <rv s="0">
    <v>35</v>
    <v>1</v>
    <v>0</v>
    <v>1</v>
    <v>1</v>
  </rv>
  <rv s="0">
    <v>36</v>
    <v>1</v>
    <v>0</v>
    <v>1</v>
    <v>1</v>
  </rv>
  <rv s="0">
    <v>37</v>
    <v>1</v>
    <v>0</v>
    <v>1</v>
    <v>1</v>
  </rv>
  <rv s="0">
    <v>38</v>
    <v>1</v>
    <v>0</v>
    <v>1</v>
    <v>1</v>
  </rv>
  <rv s="0">
    <v>39</v>
    <v>1</v>
    <v>0</v>
    <v>1</v>
    <v>1</v>
  </rv>
  <rv s="0">
    <v>40</v>
    <v>1</v>
    <v>0</v>
    <v>1</v>
    <v>1</v>
  </rv>
  <rv s="0">
    <v>41</v>
    <v>1</v>
    <v>0</v>
    <v>1</v>
    <v>1</v>
  </rv>
  <rv s="0">
    <v>42</v>
    <v>1</v>
    <v>0</v>
    <v>1</v>
    <v>1</v>
  </rv>
  <rv s="0">
    <v>43</v>
    <v>1</v>
    <v>0</v>
    <v>1</v>
    <v>1</v>
  </rv>
  <rv s="0">
    <v>44</v>
    <v>1</v>
    <v>0</v>
    <v>1</v>
    <v>1</v>
  </rv>
  <rv s="0">
    <v>45</v>
    <v>1</v>
    <v>0</v>
    <v>1</v>
    <v>1</v>
  </rv>
  <rv s="0">
    <v>46</v>
    <v>1</v>
    <v>0</v>
    <v>1</v>
    <v>1</v>
  </rv>
  <rv s="0">
    <v>47</v>
    <v>1</v>
    <v>0</v>
    <v>1</v>
    <v>1</v>
  </rv>
  <rv s="0">
    <v>48</v>
    <v>1</v>
    <v>0</v>
    <v>1</v>
    <v>1</v>
  </rv>
  <rv s="0">
    <v>49</v>
    <v>1</v>
    <v>0</v>
    <v>1</v>
    <v>1</v>
  </rv>
  <rv s="0">
    <v>50</v>
    <v>1</v>
    <v>0</v>
    <v>1</v>
    <v>1</v>
  </rv>
  <rv s="0">
    <v>51</v>
    <v>1</v>
    <v>0</v>
    <v>1</v>
    <v>1</v>
  </rv>
  <rv s="0">
    <v>52</v>
    <v>1</v>
    <v>0</v>
    <v>1</v>
    <v>1</v>
  </rv>
  <rv s="0">
    <v>53</v>
    <v>1</v>
    <v>0</v>
    <v>1</v>
    <v>1</v>
  </rv>
  <rv s="0">
    <v>54</v>
    <v>1</v>
    <v>0</v>
    <v>1</v>
    <v>1</v>
  </rv>
  <rv s="0">
    <v>55</v>
    <v>1</v>
    <v>0</v>
    <v>1</v>
    <v>1</v>
  </rv>
  <rv s="0">
    <v>56</v>
    <v>1</v>
    <v>0</v>
    <v>1</v>
    <v>1</v>
  </rv>
  <rv s="0">
    <v>57</v>
    <v>1</v>
    <v>0</v>
    <v>1</v>
    <v>1</v>
  </rv>
  <rv s="0">
    <v>58</v>
    <v>1</v>
    <v>0</v>
    <v>1</v>
    <v>1</v>
  </rv>
  <rv s="0">
    <v>59</v>
    <v>1</v>
    <v>0</v>
    <v>1</v>
    <v>1</v>
  </rv>
  <rv s="0">
    <v>60</v>
    <v>1</v>
    <v>0</v>
    <v>1</v>
    <v>1</v>
  </rv>
  <rv s="0">
    <v>61</v>
    <v>1</v>
    <v>0</v>
    <v>1</v>
    <v>1</v>
  </rv>
  <rv s="0">
    <v>62</v>
    <v>1</v>
    <v>0</v>
    <v>1</v>
    <v>1</v>
  </rv>
  <rv s="0">
    <v>63</v>
    <v>1</v>
    <v>0</v>
    <v>1</v>
    <v>1</v>
  </rv>
  <rv s="0">
    <v>64</v>
    <v>1</v>
    <v>0</v>
    <v>1</v>
    <v>1</v>
  </rv>
  <rv s="0">
    <v>65</v>
    <v>1</v>
    <v>0</v>
    <v>1</v>
    <v>1</v>
  </rv>
  <rv s="0">
    <v>66</v>
    <v>1</v>
    <v>0</v>
    <v>1</v>
    <v>1</v>
  </rv>
  <rv s="0">
    <v>67</v>
    <v>1</v>
    <v>0</v>
    <v>1</v>
    <v>1</v>
  </rv>
  <rv s="0">
    <v>68</v>
    <v>1</v>
    <v>0</v>
    <v>1</v>
    <v>1</v>
  </rv>
  <rv s="0">
    <v>69</v>
    <v>1</v>
    <v>0</v>
    <v>1</v>
    <v>1</v>
  </rv>
  <rv s="0">
    <v>70</v>
    <v>1</v>
    <v>0</v>
    <v>1</v>
    <v>1</v>
  </rv>
  <rv s="0">
    <v>71</v>
    <v>1</v>
    <v>0</v>
    <v>1</v>
    <v>1</v>
  </rv>
  <rv s="0">
    <v>72</v>
    <v>1</v>
    <v>0</v>
    <v>1</v>
    <v>1</v>
  </rv>
  <rv s="0">
    <v>73</v>
    <v>1</v>
    <v>0</v>
    <v>1</v>
    <v>1</v>
  </rv>
  <rv s="0">
    <v>74</v>
    <v>1</v>
    <v>0</v>
    <v>1</v>
    <v>1</v>
  </rv>
  <rv s="0">
    <v>75</v>
    <v>1</v>
    <v>0</v>
    <v>1</v>
    <v>1</v>
  </rv>
  <rv s="0">
    <v>76</v>
    <v>1</v>
    <v>0</v>
    <v>1</v>
    <v>1</v>
  </rv>
  <rv s="0">
    <v>77</v>
    <v>1</v>
    <v>0</v>
    <v>1</v>
    <v>1</v>
  </rv>
  <rv s="0">
    <v>78</v>
    <v>1</v>
    <v>0</v>
    <v>1</v>
    <v>1</v>
  </rv>
  <rv s="0">
    <v>79</v>
    <v>1</v>
    <v>0</v>
    <v>1</v>
    <v>1</v>
  </rv>
  <rv s="0">
    <v>80</v>
    <v>1</v>
    <v>0</v>
    <v>1</v>
    <v>1</v>
  </rv>
  <rv s="0">
    <v>81</v>
    <v>1</v>
    <v>0</v>
    <v>1</v>
    <v>1</v>
  </rv>
  <rv s="0">
    <v>82</v>
    <v>1</v>
    <v>0</v>
    <v>1</v>
    <v>1</v>
  </rv>
  <rv s="0">
    <v>83</v>
    <v>1</v>
    <v>0</v>
    <v>1</v>
    <v>1</v>
  </rv>
  <rv s="0">
    <v>84</v>
    <v>1</v>
    <v>0</v>
    <v>1</v>
    <v>1</v>
  </rv>
  <rv s="0">
    <v>85</v>
    <v>1</v>
    <v>0</v>
    <v>1</v>
    <v>1</v>
  </rv>
  <rv s="0">
    <v>86</v>
    <v>1</v>
    <v>0</v>
    <v>1</v>
    <v>1</v>
  </rv>
  <rv s="0">
    <v>87</v>
    <v>1</v>
    <v>0</v>
    <v>1</v>
    <v>1</v>
  </rv>
  <rv s="0">
    <v>88</v>
    <v>1</v>
    <v>0</v>
    <v>1</v>
    <v>1</v>
  </rv>
  <rv s="0">
    <v>89</v>
    <v>1</v>
    <v>0</v>
    <v>1</v>
    <v>1</v>
  </rv>
  <rv s="0">
    <v>90</v>
    <v>1</v>
    <v>0</v>
    <v>1</v>
    <v>1</v>
  </rv>
  <rv s="0">
    <v>91</v>
    <v>1</v>
    <v>0</v>
    <v>1</v>
    <v>1</v>
  </rv>
  <rv s="0">
    <v>92</v>
    <v>1</v>
    <v>0</v>
    <v>1</v>
    <v>1</v>
  </rv>
  <rv s="0">
    <v>93</v>
    <v>1</v>
    <v>0</v>
    <v>1</v>
    <v>1</v>
  </rv>
  <rv s="0">
    <v>94</v>
    <v>1</v>
    <v>0</v>
    <v>1</v>
    <v>1</v>
  </rv>
  <rv s="0">
    <v>95</v>
    <v>1</v>
    <v>0</v>
    <v>1</v>
    <v>1</v>
  </rv>
  <rv s="0">
    <v>96</v>
    <v>1</v>
    <v>0</v>
    <v>1</v>
    <v>1</v>
  </rv>
  <rv s="0">
    <v>97</v>
    <v>1</v>
    <v>0</v>
    <v>1</v>
    <v>1</v>
  </rv>
  <rv s="0">
    <v>98</v>
    <v>1</v>
    <v>0</v>
    <v>1</v>
    <v>1</v>
  </rv>
  <rv s="0">
    <v>99</v>
    <v>1</v>
    <v>0</v>
    <v>1</v>
    <v>1</v>
  </rv>
  <rv s="0">
    <v>100</v>
    <v>1</v>
    <v>0</v>
    <v>1</v>
    <v>1</v>
  </rv>
  <rv s="0">
    <v>101</v>
    <v>1</v>
    <v>0</v>
    <v>1</v>
    <v>1</v>
  </rv>
  <rv s="0">
    <v>102</v>
    <v>1</v>
    <v>0</v>
    <v>1</v>
    <v>1</v>
  </rv>
  <rv s="0">
    <v>103</v>
    <v>1</v>
    <v>0</v>
    <v>1</v>
    <v>1</v>
  </rv>
  <rv s="0">
    <v>104</v>
    <v>1</v>
    <v>0</v>
    <v>1</v>
    <v>1</v>
  </rv>
  <rv s="0">
    <v>105</v>
    <v>1</v>
    <v>0</v>
    <v>1</v>
    <v>1</v>
  </rv>
  <rv s="0">
    <v>106</v>
    <v>1</v>
    <v>0</v>
    <v>1</v>
    <v>1</v>
  </rv>
  <rv s="0">
    <v>107</v>
    <v>1</v>
    <v>0</v>
    <v>1</v>
    <v>1</v>
  </rv>
  <rv s="0">
    <v>108</v>
    <v>1</v>
    <v>0</v>
    <v>1</v>
    <v>1</v>
  </rv>
  <rv s="0">
    <v>109</v>
    <v>1</v>
    <v>0</v>
    <v>1</v>
    <v>1</v>
  </rv>
  <rv s="0">
    <v>110</v>
    <v>1</v>
    <v>0</v>
    <v>1</v>
    <v>1</v>
  </rv>
  <rv s="0">
    <v>111</v>
    <v>1</v>
    <v>0</v>
    <v>1</v>
    <v>1</v>
  </rv>
  <rv s="0">
    <v>112</v>
    <v>1</v>
    <v>0</v>
    <v>1</v>
    <v>1</v>
  </rv>
  <rv s="0">
    <v>113</v>
    <v>1</v>
    <v>0</v>
    <v>1</v>
    <v>1</v>
  </rv>
  <rv s="0">
    <v>114</v>
    <v>1</v>
    <v>0</v>
    <v>1</v>
    <v>1</v>
  </rv>
  <rv s="0">
    <v>115</v>
    <v>1</v>
    <v>0</v>
    <v>1</v>
    <v>1</v>
  </rv>
  <rv s="0">
    <v>116</v>
    <v>1</v>
    <v>0</v>
    <v>1</v>
    <v>1</v>
  </rv>
  <rv s="0">
    <v>117</v>
    <v>1</v>
    <v>0</v>
    <v>1</v>
    <v>1</v>
  </rv>
  <rv s="0">
    <v>118</v>
    <v>1</v>
    <v>0</v>
    <v>1</v>
    <v>1</v>
  </rv>
  <rv s="0">
    <v>119</v>
    <v>1</v>
    <v>0</v>
    <v>1</v>
    <v>1</v>
  </rv>
  <rv s="0">
    <v>120</v>
    <v>1</v>
    <v>0</v>
    <v>1</v>
    <v>1</v>
  </rv>
  <rv s="0">
    <v>121</v>
    <v>1</v>
    <v>0</v>
    <v>1</v>
    <v>1</v>
  </rv>
  <rv s="0">
    <v>122</v>
    <v>1</v>
    <v>0</v>
    <v>1</v>
    <v>1</v>
  </rv>
  <rv s="0">
    <v>123</v>
    <v>1</v>
    <v>0</v>
    <v>1</v>
    <v>1</v>
  </rv>
  <rv s="0">
    <v>124</v>
    <v>1</v>
    <v>0</v>
    <v>1</v>
    <v>1</v>
  </rv>
  <rv s="0">
    <v>125</v>
    <v>1</v>
    <v>0</v>
    <v>1</v>
    <v>1</v>
  </rv>
  <rv s="0">
    <v>126</v>
    <v>1</v>
    <v>0</v>
    <v>1</v>
    <v>1</v>
  </rv>
  <rv s="0">
    <v>127</v>
    <v>1</v>
    <v>0</v>
    <v>1</v>
    <v>1</v>
  </rv>
  <rv s="0">
    <v>128</v>
    <v>1</v>
    <v>0</v>
    <v>1</v>
    <v>1</v>
  </rv>
  <rv s="0">
    <v>129</v>
    <v>1</v>
    <v>0</v>
    <v>1</v>
    <v>1</v>
  </rv>
  <rv s="0">
    <v>130</v>
    <v>1</v>
    <v>0</v>
    <v>1</v>
    <v>1</v>
  </rv>
  <rv s="0">
    <v>131</v>
    <v>1</v>
    <v>0</v>
    <v>1</v>
    <v>1</v>
  </rv>
  <rv s="0">
    <v>132</v>
    <v>1</v>
    <v>0</v>
    <v>1</v>
    <v>1</v>
  </rv>
  <rv s="0">
    <v>133</v>
    <v>1</v>
    <v>0</v>
    <v>1</v>
    <v>1</v>
  </rv>
  <rv s="0">
    <v>134</v>
    <v>1</v>
    <v>0</v>
    <v>1</v>
    <v>1</v>
  </rv>
  <rv s="0">
    <v>135</v>
    <v>1</v>
    <v>0</v>
    <v>1</v>
    <v>1</v>
  </rv>
  <rv s="0">
    <v>136</v>
    <v>1</v>
    <v>0</v>
    <v>1</v>
    <v>1</v>
  </rv>
  <rv s="0">
    <v>137</v>
    <v>1</v>
    <v>0</v>
    <v>1</v>
    <v>1</v>
  </rv>
  <rv s="0">
    <v>138</v>
    <v>1</v>
    <v>0</v>
    <v>1</v>
    <v>1</v>
  </rv>
  <rv s="0">
    <v>139</v>
    <v>1</v>
    <v>0</v>
    <v>1</v>
    <v>1</v>
  </rv>
  <rv s="0">
    <v>140</v>
    <v>1</v>
    <v>0</v>
    <v>1</v>
    <v>1</v>
  </rv>
  <rv s="0">
    <v>141</v>
    <v>1</v>
    <v>0</v>
    <v>1</v>
    <v>1</v>
  </rv>
  <rv s="0">
    <v>142</v>
    <v>1</v>
    <v>0</v>
    <v>1</v>
    <v>1</v>
  </rv>
  <rv s="0">
    <v>143</v>
    <v>1</v>
    <v>0</v>
    <v>1</v>
    <v>1</v>
  </rv>
  <rv s="0">
    <v>144</v>
    <v>1</v>
    <v>0</v>
    <v>1</v>
    <v>1</v>
  </rv>
  <rv s="0">
    <v>145</v>
    <v>1</v>
    <v>0</v>
    <v>1</v>
    <v>1</v>
  </rv>
  <rv s="0">
    <v>146</v>
    <v>1</v>
    <v>0</v>
    <v>1</v>
    <v>1</v>
  </rv>
  <rv s="0">
    <v>147</v>
    <v>1</v>
    <v>0</v>
    <v>1</v>
    <v>1</v>
  </rv>
  <rv s="0">
    <v>148</v>
    <v>1</v>
    <v>0</v>
    <v>1</v>
    <v>1</v>
  </rv>
  <rv s="0">
    <v>149</v>
    <v>1</v>
    <v>0</v>
    <v>1</v>
    <v>1</v>
  </rv>
  <rv s="0">
    <v>150</v>
    <v>1</v>
    <v>0</v>
    <v>1</v>
    <v>1</v>
  </rv>
  <rv s="0">
    <v>151</v>
    <v>1</v>
    <v>0</v>
    <v>1</v>
    <v>1</v>
  </rv>
  <rv s="0">
    <v>152</v>
    <v>1</v>
    <v>0</v>
    <v>1</v>
    <v>1</v>
  </rv>
  <rv s="0">
    <v>153</v>
    <v>1</v>
    <v>0</v>
    <v>1</v>
    <v>1</v>
  </rv>
  <rv s="0">
    <v>154</v>
    <v>1</v>
    <v>0</v>
    <v>1</v>
    <v>1</v>
  </rv>
  <rv s="0">
    <v>155</v>
    <v>1</v>
    <v>0</v>
    <v>1</v>
    <v>1</v>
  </rv>
  <rv s="0">
    <v>156</v>
    <v>1</v>
    <v>0</v>
    <v>1</v>
    <v>1</v>
  </rv>
  <rv s="0">
    <v>157</v>
    <v>1</v>
    <v>0</v>
    <v>1</v>
    <v>1</v>
  </rv>
  <rv s="0">
    <v>158</v>
    <v>1</v>
    <v>0</v>
    <v>1</v>
    <v>1</v>
  </rv>
  <rv s="0">
    <v>159</v>
    <v>1</v>
    <v>0</v>
    <v>1</v>
    <v>1</v>
  </rv>
  <rv s="0">
    <v>160</v>
    <v>1</v>
    <v>0</v>
    <v>1</v>
    <v>1</v>
  </rv>
  <rv s="0">
    <v>161</v>
    <v>1</v>
    <v>0</v>
    <v>1</v>
    <v>1</v>
  </rv>
  <rv s="0">
    <v>162</v>
    <v>1</v>
    <v>0</v>
    <v>1</v>
    <v>1</v>
  </rv>
  <rv s="0">
    <v>163</v>
    <v>1</v>
    <v>0</v>
    <v>1</v>
    <v>1</v>
  </rv>
  <rv s="0">
    <v>164</v>
    <v>1</v>
    <v>0</v>
    <v>1</v>
    <v>1</v>
  </rv>
  <rv s="0">
    <v>165</v>
    <v>1</v>
    <v>0</v>
    <v>1</v>
    <v>1</v>
  </rv>
  <rv s="0">
    <v>166</v>
    <v>1</v>
    <v>0</v>
    <v>1</v>
    <v>1</v>
  </rv>
  <rv s="0">
    <v>167</v>
    <v>1</v>
    <v>0</v>
    <v>1</v>
    <v>1</v>
  </rv>
  <rv s="0">
    <v>168</v>
    <v>1</v>
    <v>0</v>
    <v>1</v>
    <v>1</v>
  </rv>
  <rv s="0">
    <v>169</v>
    <v>1</v>
    <v>0</v>
    <v>1</v>
    <v>1</v>
  </rv>
  <rv s="0">
    <v>170</v>
    <v>1</v>
    <v>0</v>
    <v>1</v>
    <v>1</v>
  </rv>
  <rv s="0">
    <v>171</v>
    <v>1</v>
    <v>0</v>
    <v>1</v>
    <v>1</v>
  </rv>
  <rv s="0">
    <v>172</v>
    <v>1</v>
    <v>0</v>
    <v>1</v>
    <v>1</v>
  </rv>
  <rv s="0">
    <v>173</v>
    <v>1</v>
    <v>0</v>
    <v>1</v>
    <v>1</v>
  </rv>
  <rv s="0">
    <v>174</v>
    <v>1</v>
    <v>0</v>
    <v>1</v>
    <v>1</v>
  </rv>
  <rv s="0">
    <v>175</v>
    <v>1</v>
    <v>0</v>
    <v>1</v>
    <v>1</v>
  </rv>
  <rv s="0">
    <v>176</v>
    <v>1</v>
    <v>0</v>
    <v>1</v>
    <v>1</v>
  </rv>
  <rv s="0">
    <v>177</v>
    <v>1</v>
    <v>0</v>
    <v>1</v>
    <v>1</v>
  </rv>
  <rv s="0">
    <v>178</v>
    <v>1</v>
    <v>0</v>
    <v>1</v>
    <v>1</v>
  </rv>
  <rv s="0">
    <v>179</v>
    <v>1</v>
    <v>0</v>
    <v>1</v>
    <v>1</v>
  </rv>
  <rv s="0">
    <v>180</v>
    <v>1</v>
    <v>0</v>
    <v>1</v>
    <v>1</v>
  </rv>
  <rv s="0">
    <v>181</v>
    <v>1</v>
    <v>0</v>
    <v>1</v>
    <v>1</v>
  </rv>
  <rv s="0">
    <v>182</v>
    <v>1</v>
    <v>0</v>
    <v>1</v>
    <v>1</v>
  </rv>
  <rv s="0">
    <v>183</v>
    <v>1</v>
    <v>0</v>
    <v>1</v>
    <v>1</v>
  </rv>
  <rv s="0">
    <v>184</v>
    <v>1</v>
    <v>0</v>
    <v>1</v>
    <v>1</v>
  </rv>
  <rv s="0">
    <v>185</v>
    <v>1</v>
    <v>0</v>
    <v>1</v>
    <v>1</v>
  </rv>
  <rv s="0">
    <v>186</v>
    <v>1</v>
    <v>0</v>
    <v>1</v>
    <v>1</v>
  </rv>
  <rv s="0">
    <v>187</v>
    <v>1</v>
    <v>0</v>
    <v>1</v>
    <v>1</v>
  </rv>
  <rv s="0">
    <v>188</v>
    <v>1</v>
    <v>0</v>
    <v>1</v>
    <v>1</v>
  </rv>
  <rv s="0">
    <v>189</v>
    <v>1</v>
    <v>0</v>
    <v>1</v>
    <v>1</v>
  </rv>
  <rv s="0">
    <v>190</v>
    <v>1</v>
    <v>0</v>
    <v>1</v>
    <v>1</v>
  </rv>
  <rv s="0">
    <v>191</v>
    <v>1</v>
    <v>0</v>
    <v>1</v>
    <v>1</v>
  </rv>
  <rv s="0">
    <v>192</v>
    <v>1</v>
    <v>0</v>
    <v>1</v>
    <v>1</v>
  </rv>
  <rv s="0">
    <v>193</v>
    <v>1</v>
    <v>0</v>
    <v>1</v>
    <v>1</v>
  </rv>
  <rv s="0">
    <v>194</v>
    <v>1</v>
    <v>0</v>
    <v>1</v>
    <v>1</v>
  </rv>
  <rv s="0">
    <v>195</v>
    <v>1</v>
    <v>0</v>
    <v>1</v>
    <v>1</v>
  </rv>
  <rv s="0">
    <v>196</v>
    <v>1</v>
    <v>0</v>
    <v>1</v>
    <v>1</v>
  </rv>
  <rv s="0">
    <v>197</v>
    <v>1</v>
    <v>0</v>
    <v>1</v>
    <v>1</v>
  </rv>
  <rv s="0">
    <v>198</v>
    <v>1</v>
    <v>0</v>
    <v>1</v>
    <v>1</v>
  </rv>
  <rv s="0">
    <v>199</v>
    <v>1</v>
    <v>0</v>
    <v>1</v>
    <v>1</v>
  </rv>
  <rv s="0">
    <v>200</v>
    <v>1</v>
    <v>0</v>
    <v>1</v>
    <v>1</v>
  </rv>
  <rv s="0">
    <v>201</v>
    <v>1</v>
    <v>0</v>
    <v>1</v>
    <v>1</v>
  </rv>
  <rv s="0">
    <v>202</v>
    <v>1</v>
    <v>0</v>
    <v>1</v>
    <v>1</v>
  </rv>
  <rv s="0">
    <v>203</v>
    <v>1</v>
    <v>0</v>
    <v>1</v>
    <v>1</v>
  </rv>
  <rv s="0">
    <v>204</v>
    <v>1</v>
    <v>0</v>
    <v>1</v>
    <v>1</v>
  </rv>
  <rv s="0">
    <v>205</v>
    <v>1</v>
    <v>0</v>
    <v>1</v>
    <v>1</v>
  </rv>
  <rv s="0">
    <v>206</v>
    <v>1</v>
    <v>0</v>
    <v>1</v>
    <v>1</v>
  </rv>
</rvData>
</file>

<file path=xl/richData/rdrichvaluestructure.xml><?xml version="1.0" encoding="utf-8"?>
<rvStructures xmlns="http://schemas.microsoft.com/office/spreadsheetml/2017/richdata" count="1">
  <s t="_webimage">
    <k n="WebImageIdentifier" t="i"/>
    <k n="CalcOrigin" t="i"/>
    <k n="ComputedImage" t="b"/>
    <k n="ImageSizing" t="i"/>
    <k n="Text" t="s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E4D02A-F4E1-4A42-A393-F7CB714BBE9A}" name="Tabela1" displayName="Tabela1" ref="B1:QY208" totalsRowShown="0">
  <autoFilter ref="B1:QY208" xr:uid="{5AE4D02A-F4E1-4A42-A393-F7CB714BBE9A}"/>
  <sortState xmlns:xlrd2="http://schemas.microsoft.com/office/spreadsheetml/2017/richdata2" ref="B2:QY208">
    <sortCondition descending="1" ref="D1:D208"/>
  </sortState>
  <tableColumns count="466">
    <tableColumn id="1" xr3:uid="{301D6477-2D63-4E59-A486-1B521E7D9F68}" name="Country" dataDxfId="1568"/>
    <tableColumn id="228" xr3:uid="{54D0711B-4439-428F-B901-62E5A82ECBF0}" name="Flag" dataDxfId="1567">
      <calculatedColumnFormula>IF(ISBLANK(Tabela1[[#This Row],[Image Link]]), "", _xlfn.IMAGE(Tabela1[[#This Row],[Image Link]],1,1))</calculatedColumnFormula>
    </tableColumn>
    <tableColumn id="2" xr3:uid="{2CD9BEF6-F815-4D84-9802-DB75F02A7240}" name="Total Quotas" dataDxfId="1566">
      <calculatedColumnFormula>SUM(Tabela1[[#This Row],[Archery - Men''s Individual Recurve]:[Speed Skating - Women''s Team Pursuit]])</calculatedColumnFormula>
    </tableColumn>
    <tableColumn id="38" xr3:uid="{078D3724-B92A-4987-B41C-ED115DCEBCB0}" name="Total Events" dataDxfId="1565">
      <calculatedColumnFormula>COUNTIF(Tabela1[[#This Row],[Archery - Men''s Individual Recurve]:[Speed Skating - Women''s Team Pursuit]],"&gt;0")</calculatedColumnFormula>
    </tableColumn>
    <tableColumn id="231" xr3:uid="{7F6F415F-20BA-42C2-8419-2FEE5CF31497}" name="Best Olympic Games" dataDxfId="1564">
      <calculatedColumnFormula>IF(SUM(Tabela1[[#This Row],[Archery - Men''s Individual Recurve]:[Wrestling - Women''s Freestyle 76kg]])&gt;=SUM(Tabela1[[#This Row],[Alpine Skiing - Men''s Downhill]:[Speed Skating - Women''s Team Pursuit]]),"Summer Olympics","Winter Olympics")</calculatedColumnFormula>
    </tableColumn>
    <tableColumn id="61" xr3:uid="{2299FC9C-8FB7-47AC-BCDA-6E72BD36FE0C}" name="Summer Olympics Quotas" dataDxfId="1563">
      <calculatedColumnFormula>SUM(Tabela1[[#This Row],[Archery - Men''s Individual Recurve]:[Wrestling - Women''s Freestyle 76kg]])</calculatedColumnFormula>
    </tableColumn>
    <tableColumn id="152" xr3:uid="{311BBD99-1ED2-4A30-94D1-84D43EADD628}" name="Winter Olympics Quotas" dataDxfId="1562">
      <calculatedColumnFormula>SUM(Tabela1[[#This Row],[Alpine Skiing - Men''s Downhill]:[Speed Skating - Women''s Team Pursuit]])</calculatedColumnFormula>
    </tableColumn>
    <tableColumn id="115" xr3:uid="{BF27500E-1FD0-8C43-B29D-A8991EC6F7BF}" name="Total Gold Medals" dataDxfId="1561">
      <calculatedColumnFormula>Tabela1[[#This Row],[Summer Gold Medals]]+Tabela1[[#This Row],[Winter Gold Medals]]</calculatedColumnFormula>
    </tableColumn>
    <tableColumn id="155" xr3:uid="{59E50158-10A1-8F4C-9A53-11F29A20C8D8}" name="Total Silver Medals" dataDxfId="1560">
      <calculatedColumnFormula>Tabela1[[#This Row],[Summer Silver Medals]]+Tabela1[[#This Row],[Winter Silver Medals]]</calculatedColumnFormula>
    </tableColumn>
    <tableColumn id="328" xr3:uid="{CDE4CEFE-0E6F-544B-BB2B-3B30B2B54FB3}" name="Total Bronze Medals" dataDxfId="1559">
      <calculatedColumnFormula>Tabela1[[#This Row],[Summer Bronze Medals]]+Tabela1[[#This Row],[Winter Bronze Medals]]</calculatedColumnFormula>
    </tableColumn>
    <tableColumn id="329" xr3:uid="{5BE56DC3-2564-9545-B3C2-97BBBE74B2E0}" name="Total Medals" dataDxfId="1558">
      <calculatedColumnFormula>SUM(Tabela1[[#This Row],[Total Gold Medals]:[Total Bronze Medals]])</calculatedColumnFormula>
    </tableColumn>
    <tableColumn id="4" xr3:uid="{DE7B8868-5B8E-FD49-A548-C54D252E9EC5}" name="Summer Gold Medals" dataDxfId="1557"/>
    <tableColumn id="112" xr3:uid="{A4E662D3-5775-7148-B581-C35F1DF219A2}" name="Summer Silver Medals" dataDxfId="1556"/>
    <tableColumn id="113" xr3:uid="{DE7BC638-ED59-FB49-8950-2D700D403AE6}" name="Summer Bronze Medals" dataDxfId="1555"/>
    <tableColumn id="114" xr3:uid="{33EEAFFF-BEDC-034B-9DB3-DB05EEFA1EAD}" name="Summer Total Medals" dataDxfId="1554">
      <calculatedColumnFormula>SUM(Tabela1[[#This Row],[Summer Gold Medals]:[Summer Bronze Medals]])</calculatedColumnFormula>
    </tableColumn>
    <tableColumn id="159" xr3:uid="{0FBE5323-D481-4D66-8856-EABC4846B5E5}" name="Winter Gold Medals" dataDxfId="1553"/>
    <tableColumn id="223" xr3:uid="{A5C6706B-0A2D-4316-9631-7FAFC8962942}" name="Winter Silver Medals" dataDxfId="1552"/>
    <tableColumn id="224" xr3:uid="{5D9C64D7-1A56-46C6-946C-A8B0597ECBF1}" name="Winter Bronze Medals" dataDxfId="1551"/>
    <tableColumn id="225" xr3:uid="{4703014A-24D5-4DA7-81DF-0C50940B4B1C}" name="Winter Total Medals" dataDxfId="1550">
      <calculatedColumnFormula>Tabela1[[#This Row],[Winter Gold Medals]]+Tabela1[[#This Row],[Winter Silver Medals]]+Tabela1[[#This Row],[Winter Bronze Medals]]</calculatedColumnFormula>
    </tableColumn>
    <tableColumn id="230" xr3:uid="{B8F9B391-708F-4BA4-827E-0AAA73682311}" name="Medals/Quotas Ratio" dataDxfId="1549">
      <calculatedColumnFormula>Tabela1[[#This Row],[Total Medals]]/Tabela1[[#This Row],[Total Quotas]]</calculatedColumnFormula>
    </tableColumn>
    <tableColumn id="29" xr3:uid="{0BDA39AD-A051-4BF4-BA81-F2134898855E}" name="Archery - Men's Individual Recurve" dataDxfId="1548">
      <calculatedColumnFormula>COUNTIFS(Table3[Country],Tabela1[[#This Row],[Country]],Table3[Recurve Classification],"&gt;0")</calculatedColumnFormula>
    </tableColumn>
    <tableColumn id="236" xr3:uid="{39B3BDCF-355E-4BE7-A9C1-9C63BA112E69}" name="Archery - Women's Individual Recurve" dataDxfId="1547">
      <calculatedColumnFormula>COUNTIFS(Table33[Country],Tabela1[[#This Row],[Country]],Table33[Recurve Classification],"&gt;0")</calculatedColumnFormula>
    </tableColumn>
    <tableColumn id="30" xr3:uid="{DAD913FF-049F-47FE-A15E-4C92CCDF1EFE}" name="Archery - Men's Team Recurve" dataDxfId="1546">
      <calculatedColumnFormula>COUNTIFS(Table35[Country],Tabela1[[#This Row],[Country]],Table35[Men''s Team Recurve Classification],"&gt;0")</calculatedColumnFormula>
    </tableColumn>
    <tableColumn id="237" xr3:uid="{E8D75865-A118-4A0A-BEB8-411822C9B7C1}" name="Archery - Women's Team Recurve" dataDxfId="1545">
      <calculatedColumnFormula>COUNTIFS(Table35[Country],Tabela1[[#This Row],[Country]],Table35[Women''s Team Recurve Classification],"&gt;0")</calculatedColumnFormula>
    </tableColumn>
    <tableColumn id="238" xr3:uid="{B68FC6AD-E831-407F-B87C-9BB909A1158A}" name="Archery - Mixed Team Recurve" dataDxfId="1544">
      <calculatedColumnFormula>COUNTIFS(Tabela88[Country],Tabela1[[#This Row],[Country]],Tabela88[Mixed Team Recurve Classification],"&gt;0")</calculatedColumnFormula>
    </tableColumn>
    <tableColumn id="239" xr3:uid="{864755AF-5997-4D03-8407-F783D78D7A04}" name="Artistic Swimming - Women's Duet" dataDxfId="1543">
      <calculatedColumnFormula>COUNTIFS(Table36[Country],Tabela1[[#This Row],[Country]],Table36[Classification],"&gt;0")</calculatedColumnFormula>
    </tableColumn>
    <tableColumn id="240" xr3:uid="{7E1CA52A-1F35-4E5E-A69E-31FF9A530E20}" name="Artistic Swimming - Women's Team" dataDxfId="1542">
      <calculatedColumnFormula>COUNTIFS(Table37[Country],Tabela1[[#This Row],[Country]],Table37[Classification],"&gt;0")</calculatedColumnFormula>
    </tableColumn>
    <tableColumn id="31" xr3:uid="{BAA7B54F-D9E4-47A1-AF1E-88C444E0B5D2}" name="Athletics - Men's 100m" dataDxfId="1541">
      <calculatedColumnFormula>COUNTIFS(Table4[Country],Tabela1[[#This Row],[Country]],Table4[100m Classification],"&gt;0")</calculatedColumnFormula>
    </tableColumn>
    <tableColumn id="241" xr3:uid="{9B2776E8-7D48-4E78-9D30-D382560ED669}" name="Athletics - Women's 100m" dataDxfId="1540">
      <calculatedColumnFormula>COUNTIFS(Table5[Country],Tabela1[[#This Row],[Country]],Table5[100m Classification],"&gt;0")</calculatedColumnFormula>
    </tableColumn>
    <tableColumn id="32" xr3:uid="{1BE516BC-516F-4730-A5C1-C61FDB94096B}" name="Athletics - Men's 200m" dataDxfId="1539">
      <calculatedColumnFormula>COUNTIFS(Table4[Country],Tabela1[[#This Row],[Country]],Table4[200m Classification],"&gt;0")</calculatedColumnFormula>
    </tableColumn>
    <tableColumn id="242" xr3:uid="{3485A7A3-D5EB-43F9-A53B-4BCAAED34579}" name="Athletics - Women's 200m" dataDxfId="1538">
      <calculatedColumnFormula>COUNTIFS(Table5[Country],Tabela1[[#This Row],[Country]],Table5[200m Classification],"&gt;0")</calculatedColumnFormula>
    </tableColumn>
    <tableColumn id="33" xr3:uid="{854BF23B-B49F-44BD-B52E-FE07D7233B55}" name="Athletics - Men's 400m" dataDxfId="1537">
      <calculatedColumnFormula>COUNTIFS(Table4[Country],Tabela1[[#This Row],[Country]],Table4[400m Classification],"&gt;0")</calculatedColumnFormula>
    </tableColumn>
    <tableColumn id="243" xr3:uid="{7B889E66-B39C-412C-91E7-7CF8DD8930E0}" name="Athletics - Women's 400m" dataDxfId="1536">
      <calculatedColumnFormula>COUNTIFS(Table5[Country],Tabela1[[#This Row],[Country]],Table5[400m Classification],"&gt;0")</calculatedColumnFormula>
    </tableColumn>
    <tableColumn id="34" xr3:uid="{06B55007-C4BB-4AFB-B32C-588A185CE773}" name="Athletics - Men's 800m" dataDxfId="1535">
      <calculatedColumnFormula>COUNTIFS(Table4[Country],Tabela1[[#This Row],[Country]],Table4[800m Classification],"&gt;0")</calculatedColumnFormula>
    </tableColumn>
    <tableColumn id="244" xr3:uid="{5A62A712-8166-46E6-8B89-1F876F3D552E}" name="Athletics - Women's 800m" dataDxfId="1534">
      <calculatedColumnFormula>COUNTIFS(Table5[Country],Tabela1[[#This Row],[Country]],Table5[800m Classification],"&gt;0")</calculatedColumnFormula>
    </tableColumn>
    <tableColumn id="35" xr3:uid="{DC7E7D3E-C387-4FE1-8FD6-9C2410F23C53}" name="Athletics - Men's 1500m" dataDxfId="1533">
      <calculatedColumnFormula>COUNTIFS(Table4[Country],Tabela1[[#This Row],[Country]],Table4[1500m Classification],"&gt;0")</calculatedColumnFormula>
    </tableColumn>
    <tableColumn id="245" xr3:uid="{E881A662-3569-4128-954B-01041103BCF3}" name="Athletics - Women's 1500m" dataDxfId="1532">
      <calculatedColumnFormula>COUNTIFS(Table5[Country],Tabela1[[#This Row],[Country]],Table5[1500m Classification],"&gt;0")</calculatedColumnFormula>
    </tableColumn>
    <tableColumn id="36" xr3:uid="{B08BA405-E8B2-4960-B381-006DD60B067B}" name="Athletics - Men's 5000m" dataDxfId="1531">
      <calculatedColumnFormula>COUNTIFS(Table4[Country],Tabela1[[#This Row],[Country]],Table4[5000m Classification],"&gt;0")</calculatedColumnFormula>
    </tableColumn>
    <tableColumn id="246" xr3:uid="{71275E13-6DDB-43F2-AD6C-E965A6CC984C}" name="Athletics - Women's 5000m" dataDxfId="1530">
      <calculatedColumnFormula>COUNTIFS(Table5[Country],Tabela1[[#This Row],[Country]],Table5[5000m Classification],"&gt;0")</calculatedColumnFormula>
    </tableColumn>
    <tableColumn id="37" xr3:uid="{8704B947-2A69-4EE1-85D7-8914D7CD15A2}" name="Athletics - Men's 10000m" dataDxfId="1529">
      <calculatedColumnFormula>COUNTIFS(Table4[Country],Tabela1[[#This Row],[Country]],Table4[10000m Classification],"&gt;0")</calculatedColumnFormula>
    </tableColumn>
    <tableColumn id="247" xr3:uid="{6B7A9E83-6137-41C5-88FA-B50CFE3C0F7B}" name="Athletics - Women's 10000m" dataDxfId="1528">
      <calculatedColumnFormula>COUNTIFS(Table5[Country],Tabela1[[#This Row],[Country]],Table5[10000m Classification],"&gt;0")</calculatedColumnFormula>
    </tableColumn>
    <tableColumn id="39" xr3:uid="{8E2D89B8-DE6A-4480-B371-2BF6BC4840B9}" name="Athletics - Men's 110m Hurdles" dataDxfId="1527">
      <calculatedColumnFormula>COUNTIFS(Table4[Country],Tabela1[[#This Row],[Country]],Table4[110m Hurdles Classification],"&gt;0")</calculatedColumnFormula>
    </tableColumn>
    <tableColumn id="248" xr3:uid="{7235D7AE-E176-4F7C-9D7F-4001266E26B8}" name="Athletics - Women's 100m Hurdles" dataDxfId="1526">
      <calculatedColumnFormula>COUNTIFS(Table5[Country],Tabela1[[#This Row],[Country]],Table5[100m Hurdles Classification],"&gt;0")</calculatedColumnFormula>
    </tableColumn>
    <tableColumn id="40" xr3:uid="{6C563D88-3A80-4CD8-B2FF-DBC38D6EA477}" name="Athletics - Men's 400m Hurdles" dataDxfId="1525">
      <calculatedColumnFormula>COUNTIFS(Table4[Country],Tabela1[[#This Row],[Country]],Table4[400m Hurdles Classification],"&gt;0")</calculatedColumnFormula>
    </tableColumn>
    <tableColumn id="249" xr3:uid="{F089F1C1-6FD3-44F5-AE48-2BF8F5585BEF}" name="Athletics - Women's 400m Hurdles" dataDxfId="1524">
      <calculatedColumnFormula>COUNTIFS(Table5[Country],Tabela1[[#This Row],[Country]],Table5[400m Hurdles Classification],"&gt;0")</calculatedColumnFormula>
    </tableColumn>
    <tableColumn id="42" xr3:uid="{0A76A839-77BD-4487-AF17-CE2F7F4B7DE5}" name="Athletics - Men's 3000m Steeplechase" dataDxfId="1523">
      <calculatedColumnFormula>COUNTIFS(Table4[Country],Tabela1[[#This Row],[Country]],Table4[3000m Steeplechase Classification],"&gt;0")</calculatedColumnFormula>
    </tableColumn>
    <tableColumn id="250" xr3:uid="{69E702DF-7413-4CE7-A353-B9C09D4851E4}" name="Athletics - Women's 3000m Steeplechase" dataDxfId="1522">
      <calculatedColumnFormula>COUNTIFS(Table5[Country],Tabela1[[#This Row],[Country]],Table5[3000m Steeplechase Classification],"&gt;0")</calculatedColumnFormula>
    </tableColumn>
    <tableColumn id="43" xr3:uid="{E2FC4AD4-497F-4770-B012-A2D976A40B52}" name="Athletics - Men's 4x100m Relay" dataDxfId="1521">
      <calculatedColumnFormula>COUNTIFS(Table27[Country],Tabela1[[#This Row],[Country]],Table27[Men''s 4x100m Relay Classification],"&gt;0")</calculatedColumnFormula>
    </tableColumn>
    <tableColumn id="251" xr3:uid="{FF9147A8-9BFC-4405-8BBC-C4C250F0FCE7}" name="Athletics - Women's 4x100m Relay" dataDxfId="1520">
      <calculatedColumnFormula>COUNTIFS(Table27[Country],Tabela1[[#This Row],[Country]],Table27[Women''s 4x100m Relay Classification],"&gt;0")</calculatedColumnFormula>
    </tableColumn>
    <tableColumn id="41" xr3:uid="{E87A0159-3984-4A7A-9F43-2BD68A65F036}" name="Athletics - Men's 4x400m Relay" dataDxfId="1519">
      <calculatedColumnFormula>COUNTIFS(Table27[Country],Tabela1[[#This Row],[Country]],Table27[Men''s 4x400m Relay Classification],"&gt;0")</calculatedColumnFormula>
    </tableColumn>
    <tableColumn id="252" xr3:uid="{B4F917CE-B2F1-4C09-A4D3-A378682D683E}" name="Athletics - Women's 4x400m Relay" dataDxfId="1518">
      <calculatedColumnFormula>COUNTIFS(Table27[Country],Tabela1[[#This Row],[Country]],Table27[Women''s 4x400m Relay Classification],"&gt;0")</calculatedColumnFormula>
    </tableColumn>
    <tableColumn id="253" xr3:uid="{2B32CEE0-7807-4615-A637-FFCA28DE6E6F}" name="Athletics - Mixed 4x400m Relay" dataDxfId="1517">
      <calculatedColumnFormula>COUNTIFS(Table27[Country],Tabela1[[#This Row],[Country]],Table27[Mixed 4x400m Relay Classification],"&gt;0")</calculatedColumnFormula>
    </tableColumn>
    <tableColumn id="46" xr3:uid="{3644E929-6CDE-4DC1-9579-3627680B7E71}" name="Athletics - Men's Marathon" dataDxfId="1516">
      <calculatedColumnFormula>COUNTIFS(Table4[Country],Tabela1[[#This Row],[Country]],Table4[Marathon Classification],"&gt;0")</calculatedColumnFormula>
    </tableColumn>
    <tableColumn id="254" xr3:uid="{29819ADD-B898-4D62-A6BE-502A7D98907B}" name="Athletics - Women's Marathon" dataDxfId="1515">
      <calculatedColumnFormula>COUNTIFS(Table5[Country],Tabela1[[#This Row],[Country]],Table5[Marathon Classification],"&gt;0")</calculatedColumnFormula>
    </tableColumn>
    <tableColumn id="45" xr3:uid="{CFFE86DA-165C-4FC8-A834-8F7A7CD33008}" name="Athletics - Men's 20km Race Walk" dataDxfId="1514">
      <calculatedColumnFormula>COUNTIFS(Table4[Country],Tabela1[[#This Row],[Country]],Table4[20km Race Walk Classification],"&gt;0")</calculatedColumnFormula>
    </tableColumn>
    <tableColumn id="255" xr3:uid="{D6D848A5-EDE2-4A4A-AF7D-BB900BB1FEA5}" name="Athletics - Women's 20km Race Walk" dataDxfId="1513">
      <calculatedColumnFormula>COUNTIFS(Table5[Country],Tabela1[[#This Row],[Country]],Table5[20km Race Walk Classification],"&gt;0")</calculatedColumnFormula>
    </tableColumn>
    <tableColumn id="44" xr3:uid="{3385F2CE-D5B7-465F-8032-9BD9C6BCA867}" name="Athletics - Mixed Marathon Race Walk Relay" dataDxfId="1512">
      <calculatedColumnFormula>COUNTIFS(Tabela96[Country],Tabela1[[#This Row],[Country]],Tabela96[Mixed Marathon Race Walk Relay Classification],"&gt;0")</calculatedColumnFormula>
    </tableColumn>
    <tableColumn id="47" xr3:uid="{5DAC1608-0884-4585-9F2C-E72EA23B6631}" name="Athletics - Men's Discus Throw" dataDxfId="1511">
      <calculatedColumnFormula>COUNTIFS(Table4[Country],Tabela1[[#This Row],[Country]],Table4[Discus Throw Classification],"&gt;0")</calculatedColumnFormula>
    </tableColumn>
    <tableColumn id="256" xr3:uid="{F613E612-17C2-4631-87E2-00E80CB96804}" name="Athletics - Women's Discus Throw" dataDxfId="1510">
      <calculatedColumnFormula>COUNTIFS(Table5[Country],Tabela1[[#This Row],[Country]],Table5[Discus Throw Classification],"&gt;0")</calculatedColumnFormula>
    </tableColumn>
    <tableColumn id="48" xr3:uid="{E5466B64-4F58-438E-8936-FCFEAB87DF79}" name="Athletics - Men's Hammer Throw" dataDxfId="1509">
      <calculatedColumnFormula>COUNTIFS(Table4[Country],Tabela1[[#This Row],[Country]],Table4[Hammer Throw Classification],"&gt;0")</calculatedColumnFormula>
    </tableColumn>
    <tableColumn id="257" xr3:uid="{D6D2E4AD-2703-40DF-A4FB-8089CF9E4838}" name="Athletics - Women's Hammer Throw" dataDxfId="1508">
      <calculatedColumnFormula>COUNTIFS(Table5[Country],Tabela1[[#This Row],[Country]],Table5[Hammer Throw Classification],"&gt;0")</calculatedColumnFormula>
    </tableColumn>
    <tableColumn id="49" xr3:uid="{377FFC89-364F-4893-A7EA-CF030A3BE011}" name="Athletics - Men's High Jump" dataDxfId="1507">
      <calculatedColumnFormula>COUNTIFS(Table4[Country],Tabela1[[#This Row],[Country]],Table4[High Jump Classification],"&gt;0")</calculatedColumnFormula>
    </tableColumn>
    <tableColumn id="258" xr3:uid="{73D03263-EB60-45F7-AF03-200374529905}" name="Athletics - Women's High Jump" dataDxfId="1506">
      <calculatedColumnFormula>COUNTIFS(Table5[Country],Tabela1[[#This Row],[Country]],Table5[High Jump Classification],"&gt;0")</calculatedColumnFormula>
    </tableColumn>
    <tableColumn id="50" xr3:uid="{1F3A59B8-1177-43E3-971F-847969A7C571}" name="Athletics - Men's Javelin Throw" dataDxfId="1505">
      <calculatedColumnFormula>COUNTIFS(Table4[Country],Tabela1[[#This Row],[Country]],Table4[Javelin Throw Classification],"&gt;0")</calculatedColumnFormula>
    </tableColumn>
    <tableColumn id="259" xr3:uid="{4B7470B1-1618-4A62-A24C-CA19B6C22C09}" name="Athletics - Women's Javelin Throw" dataDxfId="1504">
      <calculatedColumnFormula>COUNTIFS(Table5[Country],Tabela1[[#This Row],[Country]],Table5[Javelin Throw Classification],"&gt;0")</calculatedColumnFormula>
    </tableColumn>
    <tableColumn id="51" xr3:uid="{AECBEE74-50AC-4D3E-B174-513A2FDABA49}" name="Athletics - Men's Long Jump" dataDxfId="1503">
      <calculatedColumnFormula>COUNTIFS(Table4[Country],Tabela1[[#This Row],[Country]],Table4[Long Jump Classification],"&gt;0")</calculatedColumnFormula>
    </tableColumn>
    <tableColumn id="260" xr3:uid="{5D476B72-F636-4C28-BAA2-14ECFF84E12E}" name="Athletics - Women's Long Jump" dataDxfId="1502">
      <calculatedColumnFormula>COUNTIFS(Table5[Country],Tabela1[[#This Row],[Country]],Table5[Long Jump Classification],"&gt;0")</calculatedColumnFormula>
    </tableColumn>
    <tableColumn id="52" xr3:uid="{D78B98FF-8EFD-4D13-B20D-5F285059624F}" name="Athletics - Men's Pole Vault" dataDxfId="1501">
      <calculatedColumnFormula>COUNTIFS(Table4[Country],Tabela1[[#This Row],[Country]],Table4[Pole Vault Classification],"&gt;0")</calculatedColumnFormula>
    </tableColumn>
    <tableColumn id="262" xr3:uid="{0E4D87F2-C4C6-4EA2-A717-9D77E02D7F48}" name="Athletics - Women's Pole Vault" dataDxfId="1500">
      <calculatedColumnFormula>COUNTIFS(Table5[Country],Tabela1[[#This Row],[Country]],Table5[Pole Vault Classification],"&gt;0")</calculatedColumnFormula>
    </tableColumn>
    <tableColumn id="53" xr3:uid="{1ECC4316-5033-482B-B197-87F33D02FD94}" name="Athletics - Men's Shot Put" dataDxfId="1499">
      <calculatedColumnFormula>COUNTIFS(Table4[Country],Tabela1[[#This Row],[Country]],Table4[Shot Put Classification],"&gt;0")</calculatedColumnFormula>
    </tableColumn>
    <tableColumn id="263" xr3:uid="{5A89011D-9D87-4E47-9D65-C3DA75B963E4}" name="Athletics - Women's Shot Put" dataDxfId="1498">
      <calculatedColumnFormula>COUNTIFS(Table5[Country],Tabela1[[#This Row],[Country]],Table5[Shot Put Classification],"&gt;0")</calculatedColumnFormula>
    </tableColumn>
    <tableColumn id="54" xr3:uid="{47A85F80-B6F9-4078-87D1-85D5CA80FCCA}" name="Athletics - Men's Triple Jump" dataDxfId="1497">
      <calculatedColumnFormula>COUNTIFS(Table4[Country],Tabela1[[#This Row],[Country]],Table4[Triple Jump Classification],"&gt;0")</calculatedColumnFormula>
    </tableColumn>
    <tableColumn id="264" xr3:uid="{083D9B2B-E8E6-4AAB-B2D7-689D1CE3A6B7}" name="Athletics - Women's Triple Jump" dataDxfId="1496">
      <calculatedColumnFormula>COUNTIFS(Table5[Country],Tabela1[[#This Row],[Country]],Table5[Triple Jump Classification],"&gt;0")</calculatedColumnFormula>
    </tableColumn>
    <tableColumn id="55" xr3:uid="{FC73A03A-FBD1-4BA5-A071-C9CCFF6CD40E}" name="Athletics - Men's Decathlon" dataDxfId="1495">
      <calculatedColumnFormula>COUNTIFS(Table4[Country],Tabela1[[#This Row],[Country]],Table4[Decathlon Classification],"&gt;0")</calculatedColumnFormula>
    </tableColumn>
    <tableColumn id="265" xr3:uid="{F8F3751E-5681-4603-8172-9D255DA0C2DD}" name="Athletics - Women's Heptathlon" dataDxfId="1494">
      <calculatedColumnFormula>COUNTIFS(Table5[Country],Tabela1[[#This Row],[Country]],Table5[Heptathlon Classification],"&gt;0")</calculatedColumnFormula>
    </tableColumn>
    <tableColumn id="56" xr3:uid="{D9DAB6A5-FC03-46FF-B25F-C12584D1A1AE}" name="Badminton - Men's Singles" dataDxfId="1493">
      <calculatedColumnFormula>COUNTIFS(Table61[Country],Tabela1[[#This Row],[Country]],Table61[Classification],"&gt;0")</calculatedColumnFormula>
    </tableColumn>
    <tableColumn id="266" xr3:uid="{D12D4A39-508B-4B64-8600-0BB3E250DF80}" name="Badminton - Women's Singles" dataDxfId="1492">
      <calculatedColumnFormula>COUNTIFS(Table38[Country],Tabela1[[#This Row],[Country]],Table38[Classification],"&gt;0")</calculatedColumnFormula>
    </tableColumn>
    <tableColumn id="57" xr3:uid="{7AE65088-BD4A-431B-BEAC-A62206969FEE}" name="Badminton - Men's Doubles" dataDxfId="1491">
      <calculatedColumnFormula>COUNTIFS(Table39[Country],Tabela1[[#This Row],[Country]],Table39[Men''s Classification],"&gt;0")</calculatedColumnFormula>
    </tableColumn>
    <tableColumn id="267" xr3:uid="{D9D2C77B-86FD-4B42-AFAA-A77C97CD2493}" name="Badminton - Women's Doubles" dataDxfId="1490">
      <calculatedColumnFormula>COUNTIFS(Table39[Country],Tabela1[[#This Row],[Country]],Table39[Women''s Classification],"&gt;0")</calculatedColumnFormula>
    </tableColumn>
    <tableColumn id="268" xr3:uid="{BAEB340A-4D19-4AE5-A977-C336468308C1}" name="Badminton - Mixed Doubles" dataDxfId="1489">
      <calculatedColumnFormula>COUNTIFS(Table39[Country],Tabela1[[#This Row],[Country]],Table39[Mixed Classification],"&gt;0")</calculatedColumnFormula>
    </tableColumn>
    <tableColumn id="5" xr3:uid="{416114E1-0436-46A9-89D9-008E2EB544F9}" name="Basketball - Men's Tournament" dataDxfId="1488">
      <calculatedColumnFormula>COUNTIFS(Table89[Country],Tabela1[[#This Row],[Country]],Table89[Men''s Classification],"&gt;0")</calculatedColumnFormula>
    </tableColumn>
    <tableColumn id="269" xr3:uid="{EF0F3C39-1A60-464D-9AF4-5D0C3445B0BD}" name="Basketball - Women's Tournament" dataDxfId="1487">
      <calculatedColumnFormula>COUNTIFS(Table89[Country],Tabela1[[#This Row],[Country]],Table89[Women''s Classification],"&gt;0")</calculatedColumnFormula>
    </tableColumn>
    <tableColumn id="6" xr3:uid="{2C28011F-2E73-446C-9C0A-0AA97E83E181}" name="3x3 Basketball - Men's Tournament" dataDxfId="1486">
      <calculatedColumnFormula>COUNTIFS(Table90[Country],Tabela1[[#This Row],[Country]],Table90[Men''s Classification],"&gt;0")</calculatedColumnFormula>
    </tableColumn>
    <tableColumn id="270" xr3:uid="{4DE94076-B20D-4CEE-A507-F653E907046A}" name="3x3 Basketball - Women's Tournament" dataDxfId="1485">
      <calculatedColumnFormula>COUNTIFS(Table90[Country],Tabela1[[#This Row],[Country]],Table90[Women''s Classification],"&gt;0")</calculatedColumnFormula>
    </tableColumn>
    <tableColumn id="150" xr3:uid="{C3C09089-2ED2-4B31-9103-CC5AE4C81881}" name="Beach Volleyball - Men's Tournament" dataDxfId="1484">
      <calculatedColumnFormula>COUNTIFS(Table60[Country],Tabela1[[#This Row],[Country]],Table60[Men''s Classification],"&gt;0")</calculatedColumnFormula>
    </tableColumn>
    <tableColumn id="271" xr3:uid="{8ED6D1F7-9B07-48FA-98AC-17561EF212EB}" name="Beach Volleyball - Women's Tournament" dataDxfId="1483">
      <calculatedColumnFormula>COUNTIFS(Table60[Country],Tabela1[[#This Row],[Country]],Table60[Women''s Classification],"&gt;0")</calculatedColumnFormula>
    </tableColumn>
    <tableColumn id="58" xr3:uid="{F54CD35D-E7FE-468C-8037-E46304E468C9}" name="Boxing - Men's 51kg" dataDxfId="1482">
      <calculatedColumnFormula>COUNTIFS(Table6[Country],Tabela1[[#This Row],[Country]],Table6[51kg Classification],"&gt;0")</calculatedColumnFormula>
    </tableColumn>
    <tableColumn id="59" xr3:uid="{999C7627-E3B3-48FB-B14A-D72D4DE13000}" name="Boxing - Men's 57kg" dataDxfId="1481">
      <calculatedColumnFormula>COUNTIFS(Table6[Country],Tabela1[[#This Row],[Country]],Table6[57kg Classification],"&gt;0")</calculatedColumnFormula>
    </tableColumn>
    <tableColumn id="60" xr3:uid="{8141E6B1-A895-4180-9002-0C0758F53B12}" name="Boxing - Men's 63.5kg" dataDxfId="1480">
      <calculatedColumnFormula>COUNTIFS(Table6[Country],Tabela1[[#This Row],[Country]],Table6[63.5kg Classification],"&gt;0")</calculatedColumnFormula>
    </tableColumn>
    <tableColumn id="62" xr3:uid="{0D8FD9CA-D0AE-4319-88DA-E74E8A5A6BDC}" name="Boxing - Men's 71kg" dataDxfId="1479">
      <calculatedColumnFormula>COUNTIFS(Table6[Country],Tabela1[[#This Row],[Country]],Table6[71kg Classification],"&gt;0")</calculatedColumnFormula>
    </tableColumn>
    <tableColumn id="63" xr3:uid="{BBDEFC05-96EE-479A-AF17-0002EC13B29A}" name="Boxing - Men's 80kg" dataDxfId="1478">
      <calculatedColumnFormula>COUNTIFS(Table6[Country],Tabela1[[#This Row],[Country]],Table6[80kg Classification],"&gt;0")</calculatedColumnFormula>
    </tableColumn>
    <tableColumn id="64" xr3:uid="{D8BB09DD-B8BD-4F3A-AFF9-58D46BF5CD47}" name="Boxing - Men's 92kg" dataDxfId="1477">
      <calculatedColumnFormula>COUNTIFS(Table6[Country],Tabela1[[#This Row],[Country]],Table6[92kg Classification],"&gt;0")</calculatedColumnFormula>
    </tableColumn>
    <tableColumn id="65" xr3:uid="{016D8319-2B95-4B0A-80B7-F61607AF7341}" name="Boxing - Men's +92kg" dataDxfId="1476">
      <calculatedColumnFormula>COUNTIFS(Table6[Country],Tabela1[[#This Row],[Country]],Table6[Plus 92kg Classification],"&gt;0")</calculatedColumnFormula>
    </tableColumn>
    <tableColumn id="272" xr3:uid="{B4497641-0DFD-46D3-BBC9-5CA2B8187538}" name="Boxing - Women's 50kg" dataDxfId="1475">
      <calculatedColumnFormula>COUNTIFS(Table7[Country],Tabela1[[#This Row],[Country]],Table7[50kg Classification],"&gt;0")</calculatedColumnFormula>
    </tableColumn>
    <tableColumn id="394" xr3:uid="{E936AD0E-36B2-4B7A-8444-B45EC6C4A871}" name="Boxing - Women's 54kg" dataDxfId="1474">
      <calculatedColumnFormula>COUNTIFS(Table7[Country],Tabela1[[#This Row],[Country]],Table7[54kg Classification],"&gt;0")</calculatedColumnFormula>
    </tableColumn>
    <tableColumn id="273" xr3:uid="{00F2AFBC-2600-47D8-8B22-79DD71FA1E3E}" name="Boxing - Women's 57kg" dataDxfId="1473">
      <calculatedColumnFormula>COUNTIFS(Table7[Country],Tabela1[[#This Row],[Country]],Table7[57kg Classification],"&gt;0")</calculatedColumnFormula>
    </tableColumn>
    <tableColumn id="274" xr3:uid="{A4C0240C-A42F-4340-9968-212C78BBA6EF}" name="Boxing - Women's 60kg" dataDxfId="1472">
      <calculatedColumnFormula>COUNTIFS(Table7[Country],Tabela1[[#This Row],[Country]],Table7[60kg Classification],"&gt;0")</calculatedColumnFormula>
    </tableColumn>
    <tableColumn id="275" xr3:uid="{7D0057AF-6848-4C10-AD27-5E8E452B45D8}" name="Boxing - Women's 66kg" dataDxfId="1471">
      <calculatedColumnFormula>COUNTIFS(Table7[Country],Tabela1[[#This Row],[Country]],Table7[66kg Classification],"&gt;0")</calculatedColumnFormula>
    </tableColumn>
    <tableColumn id="276" xr3:uid="{759E30DF-EF9B-4E14-B782-BEB6710F6DE7}" name="Boxing - Women's 75kg" dataDxfId="1470">
      <calculatedColumnFormula>COUNTIFS(Table7[Country],Tabela1[[#This Row],[Country]],Table7[75kg Classification],"&gt;0")</calculatedColumnFormula>
    </tableColumn>
    <tableColumn id="232" xr3:uid="{CA4277A2-D008-4A7C-BC93-04F1E7E144E4}" name="Breaking - Men's Individual" dataDxfId="1469">
      <calculatedColumnFormula>COUNTIFS(Tabela94[Country],Tabela1[[#This Row],[Country]],Tabela94[Classification],"&gt;0")</calculatedColumnFormula>
    </tableColumn>
    <tableColumn id="233" xr3:uid="{A087AD35-2C6D-4E5E-A207-1DCDE2F8B739}" name="Breaking - Women's Individual" dataDxfId="1468">
      <calculatedColumnFormula>COUNTIFS(Tabela9499[Country],Tabela1[[#This Row],[Country]],Tabela9499[Classification],"&gt;0")</calculatedColumnFormula>
    </tableColumn>
    <tableColumn id="66" xr3:uid="{44F32F85-099E-43F7-91A7-7FB70E05BE4D}" name="Canoeing - Men's C1 Slalom" dataDxfId="1467">
      <calculatedColumnFormula>COUNTIFS(Tabela107[Country],Tabela1[[#This Row],[Country]],Tabela107[C1 Slalom Classification],"&gt;0")</calculatedColumnFormula>
    </tableColumn>
    <tableColumn id="277" xr3:uid="{4B6945C9-064E-4B56-939B-F0B85CCC2110}" name="Canoeing - Women's C1 Slalom" dataDxfId="1466">
      <calculatedColumnFormula>COUNTIFS(Tabela107122[Country],Tabela1[[#This Row],[Country]],Tabela107122[C1 Slalom Classification],"&gt;0")</calculatedColumnFormula>
    </tableColumn>
    <tableColumn id="67" xr3:uid="{5E91BCCB-7653-40FC-A0F4-E28AA2F5835A}" name="Canoeing - Men's K1 Slalom" dataDxfId="1465">
      <calculatedColumnFormula>COUNTIFS(Tabela107[Country],Tabela1[[#This Row],[Country]],Tabela107[K1 Slalom Classification],"&gt;0")</calculatedColumnFormula>
    </tableColumn>
    <tableColumn id="278" xr3:uid="{B507E04A-A53A-4EF5-A6A2-37CCABC077F4}" name="Canoeing - Women's K1 Slalom" dataDxfId="1464">
      <calculatedColumnFormula>COUNTIFS(Tabela107122[Country],Tabela1[[#This Row],[Country]],Tabela107122[K1 Slalom Classification],"&gt;0")</calculatedColumnFormula>
    </tableColumn>
    <tableColumn id="280" xr3:uid="{A9B2D5EF-1745-41D8-BC0F-3A1A326F8354}" name="Canoeing - Men's Kayak Cross Slalom" dataDxfId="1463">
      <calculatedColumnFormula>COUNTIFS(Tabela107[Country],Tabela1[[#This Row],[Country]],Tabela107[Kayak Cross Slalom Classification],"&gt;0")</calculatedColumnFormula>
    </tableColumn>
    <tableColumn id="343" xr3:uid="{B1B9D578-C88F-45B4-B437-3974DF33A84C}" name="Canoeing - Women's Kayak Cross Slalom" dataDxfId="1462">
      <calculatedColumnFormula>COUNTIFS(Tabela107122[Country],Tabela1[[#This Row],[Country]],Tabela107122[Kayak Cross Slalom Classification],"&gt;0")</calculatedColumnFormula>
    </tableColumn>
    <tableColumn id="226" xr3:uid="{43A0FEDF-129E-4CD9-A924-C60F031A158E}" name="Canoeing - Women's C1 200m" dataDxfId="1461">
      <calculatedColumnFormula>COUNTIFS(Table8[Country],Tabela1[[#This Row],[Country]],Table8[C1 200m Classification],"&gt;0")</calculatedColumnFormula>
    </tableColumn>
    <tableColumn id="68" xr3:uid="{86B1D94B-AC72-453C-BFDC-F938449B0AF4}" name="Canoeing - Men's C1 1000m" dataDxfId="1460">
      <calculatedColumnFormula>COUNTIFS(Table40[Country],Tabela1[[#This Row],[Country]],Table40[C1 1000m Classification],"&gt;0")</calculatedColumnFormula>
    </tableColumn>
    <tableColumn id="69" xr3:uid="{B68E6379-B4B0-4E63-BFC7-1712E9570F4D}" name="Canoeing - Men's C2 500m" dataDxfId="1459">
      <calculatedColumnFormula>COUNTIFS(Table68[Country],Tabela1[[#This Row],[Country]],Table68[Men''s C2 500m Classification],"&gt;0")</calculatedColumnFormula>
    </tableColumn>
    <tableColumn id="279" xr3:uid="{4C3A73D1-E192-47CE-8FA3-B0242C30507E}" name="Canoeing - Women's C2 500m" dataDxfId="1458">
      <calculatedColumnFormula>COUNTIFS(Table68[Country],Tabela1[[#This Row],[Country]],Table68[Women''s C2 500m Classification],"&gt;0")</calculatedColumnFormula>
    </tableColumn>
    <tableColumn id="281" xr3:uid="{EEE54B23-C916-4246-BA55-0DBEB7EC41AB}" name="Canoeing - Women's K1 500m" dataDxfId="1457">
      <calculatedColumnFormula>COUNTIFS(Table8[Country],Tabela1[[#This Row],[Country]],Table8[K1 500m Classification],"&gt;0")</calculatedColumnFormula>
    </tableColumn>
    <tableColumn id="71" xr3:uid="{F045B81B-6F55-40B6-A86D-911D3563EA4D}" name="Canoeing - Men's K1 1000m" dataDxfId="1456">
      <calculatedColumnFormula>COUNTIFS(Table40[Country],Tabela1[[#This Row],[Country]],Table40[K1 1000m Classification],"&gt;0")</calculatedColumnFormula>
    </tableColumn>
    <tableColumn id="72" xr3:uid="{B0F16A1B-DA64-45BE-B158-C6A90071CA84}" name="Canoeing - Men's K2 500m" dataDxfId="1455">
      <calculatedColumnFormula>COUNTIFS(Table68[Country],Tabela1[[#This Row],[Country]],Table68[Men''s K2 500m Classification],"&gt;0")</calculatedColumnFormula>
    </tableColumn>
    <tableColumn id="227" xr3:uid="{730B4D7B-90A9-4DD0-BD23-CFED6376D804}" name="Canoeing - Women's K2 500m" dataDxfId="1454">
      <calculatedColumnFormula>COUNTIFS(Table68[Country],Tabela1[[#This Row],[Country]],Table68[Women''s K2 500m Classification],"&gt;0")</calculatedColumnFormula>
    </tableColumn>
    <tableColumn id="73" xr3:uid="{D2AA037F-3220-447C-90C0-72CA12AFD797}" name="Canoeing - Men's K4 500m" dataDxfId="1453">
      <calculatedColumnFormula>COUNTIFS(Table83[Country],Tabela1[[#This Row],[Country]],Table83[Men''s K4 500m Classification],"&gt;0")</calculatedColumnFormula>
    </tableColumn>
    <tableColumn id="282" xr3:uid="{A8A9728E-0B59-4A00-85CC-85B26FCA1020}" name="Canoeing - Women's K4 500m" dataDxfId="1452">
      <calculatedColumnFormula>COUNTIFS(Table83[Country],Tabela1[[#This Row],[Country]],Table83[Women''s K4 500m Classification],"&gt;0")</calculatedColumnFormula>
    </tableColumn>
    <tableColumn id="75" xr3:uid="{8163F213-3045-4EA7-AA35-92692B444F93}" name="Cycling - Men's BMX Freestyle" dataDxfId="1451">
      <calculatedColumnFormula>COUNTIFS(Tabela126[Country],Tabela1[[#This Row],[Country]],Tabela126[Classification],"&gt;0")</calculatedColumnFormula>
    </tableColumn>
    <tableColumn id="283" xr3:uid="{2A3C4125-DD66-4A9C-A0FA-0783143A0AEA}" name="Cycling - Women's BMX Freestyle" dataDxfId="1450">
      <calculatedColumnFormula>COUNTIFS(Tabela126130[Country],Tabela1[[#This Row],[Country]],Tabela126130[Classification],"&gt;0")</calculatedColumnFormula>
    </tableColumn>
    <tableColumn id="76" xr3:uid="{36C95E60-BC2E-4DD6-BD41-64F58EC224A5}" name="Cycling - Men's BMX Racing" dataDxfId="1449">
      <calculatedColumnFormula>COUNTIFS(Table70[Country],Tabela1[[#This Row],[Country]],Table70[Classification],"&gt;0")</calculatedColumnFormula>
    </tableColumn>
    <tableColumn id="284" xr3:uid="{0618BEF8-643A-4117-89A9-F30FFFDE11EA}" name="Cycling - Women's BMX Racing" dataDxfId="1448">
      <calculatedColumnFormula>COUNTIFS(Table80[Country],Tabela1[[#This Row],[Country]],Table80[Classification],"&gt;0")</calculatedColumnFormula>
    </tableColumn>
    <tableColumn id="78" xr3:uid="{5998F659-71EC-4DE4-891C-9166E23A3D9B}" name="Cycling - Men's Cross-Country" dataDxfId="1447">
      <calculatedColumnFormula>COUNTIFS(Table66[Country],Tabela1[[#This Row],[Country]],Table66[Classification],"&gt;0")</calculatedColumnFormula>
    </tableColumn>
    <tableColumn id="285" xr3:uid="{2F40F46B-0690-4431-A276-3F6554653FF3}" name="Cycling - Women's Cross-Country" dataDxfId="1446">
      <calculatedColumnFormula>COUNTIFS(Table67[Country],Tabela1[[#This Row],[Country]],Table67[Classification],"&gt;0")</calculatedColumnFormula>
    </tableColumn>
    <tableColumn id="82" xr3:uid="{1B66580B-03EC-42DE-8A08-065F663F555B}" name="Cycling - Men's Keirin" dataDxfId="1445">
      <calculatedColumnFormula>COUNTIFS(Table69[Country],Tabela1[[#This Row],[Country]],Table69[Keirin Classification],"&gt;0")</calculatedColumnFormula>
    </tableColumn>
    <tableColumn id="286" xr3:uid="{BD5291E2-44E8-488B-8E6C-EAE01960A87C}" name="Cycling - Women's Keirin" dataDxfId="1444">
      <calculatedColumnFormula>COUNTIFS(Table41[Country],Tabela1[[#This Row],[Country]],Table41[Keirin Classification],"&gt;0")</calculatedColumnFormula>
    </tableColumn>
    <tableColumn id="83" xr3:uid="{55DC8A8A-8FD7-40B8-8760-C1C9C843AD99}" name="Cycling - Men's Madison" dataDxfId="1443">
      <calculatedColumnFormula>COUNTIFS(Table84[Country],Tabela1[[#This Row],[Country]],Table84[Men''s Madison Classification],"&gt;0")</calculatedColumnFormula>
    </tableColumn>
    <tableColumn id="287" xr3:uid="{82FB8ED8-BE1E-47BE-815B-5962A3300935}" name="Cycling - Women's Madison" dataDxfId="1442">
      <calculatedColumnFormula>COUNTIFS(Table84[Country],Tabela1[[#This Row],[Country]],Table84[Women''s Madison Classification],"&gt;0")</calculatedColumnFormula>
    </tableColumn>
    <tableColumn id="84" xr3:uid="{E137A5CA-E3E5-44B6-9065-B063EFE7D73E}" name="Cycling - Men's Omnium" dataDxfId="1441">
      <calculatedColumnFormula>COUNTIFS(Table69[Country],Tabela1[[#This Row],[Country]],Table69[Omnium Classification],"&gt;0")</calculatedColumnFormula>
    </tableColumn>
    <tableColumn id="288" xr3:uid="{3F309ED9-17DF-4936-986D-2BA85EEF88E3}" name="Cycling - Women's Omnium" dataDxfId="1440">
      <calculatedColumnFormula>COUNTIFS(Table41[Country],Tabela1[[#This Row],[Country]],Table41[Omnium Classification],"&gt;0")</calculatedColumnFormula>
    </tableColumn>
    <tableColumn id="74" xr3:uid="{0AF9E357-CBD9-41D1-87E0-15AC7E1B5474}" name="Cycling - Men's Road Race" dataDxfId="1439">
      <calculatedColumnFormula>COUNTIFS(Table9[Country],Tabela1[[#This Row],[Country]],Table9[Road Race Classification],"&gt;0")</calculatedColumnFormula>
    </tableColumn>
    <tableColumn id="289" xr3:uid="{7DC7932A-0860-4DC6-AD6A-2F4FEBAA27E8}" name="Cycling - Women's Road Race" dataDxfId="1438">
      <calculatedColumnFormula>COUNTIFS(Table14[Country],Tabela1[[#This Row],[Country]],Table14[Road Race Classification],"&gt;0")</calculatedColumnFormula>
    </tableColumn>
    <tableColumn id="79" xr3:uid="{4C65D2B5-53D9-4C83-876F-87ED6FD2C145}" name="Cycling - Men's Sprint" dataDxfId="1437">
      <calculatedColumnFormula>COUNTIFS(Table69[Country],Tabela1[[#This Row],[Country]],Table69[Sprint Classification],"&gt;0")</calculatedColumnFormula>
    </tableColumn>
    <tableColumn id="290" xr3:uid="{07450C92-3A2F-4B06-93A8-EA0E9FDDA850}" name="Cycling - Women's Sprint" dataDxfId="1436">
      <calculatedColumnFormula>COUNTIFS(Table41[Country],Tabela1[[#This Row],[Country]],Table41[Sprint Classification],"&gt;0")</calculatedColumnFormula>
    </tableColumn>
    <tableColumn id="80" xr3:uid="{94821D5B-7619-4A0A-8D01-29D7998D7328}" name="Cycling - Men's Team Sprint" dataDxfId="1435">
      <calculatedColumnFormula>COUNTIFS(Table85[Country],Tabela1[[#This Row],[Country]],Table85[Men''s Sprint Classification],"&gt;0")</calculatedColumnFormula>
    </tableColumn>
    <tableColumn id="291" xr3:uid="{C87CEAC3-93A8-4D72-B91C-D479CFA6A5D6}" name="Cycling - Women's Team Sprint" dataDxfId="1434">
      <calculatedColumnFormula>COUNTIFS(Table85[Country],Tabela1[[#This Row],[Country]],Table85[Women''s Sprint Classification],"&gt;0")</calculatedColumnFormula>
    </tableColumn>
    <tableColumn id="81" xr3:uid="{CDDFBFA9-1A58-4948-9AC7-985A01E23995}" name="Cycling - Men's Team Pursuit" dataDxfId="1433">
      <calculatedColumnFormula>COUNTIFS(Table85[Country],Tabela1[[#This Row],[Country]],Table85[Men''s Pursuit Classification],"&gt;0")</calculatedColumnFormula>
    </tableColumn>
    <tableColumn id="292" xr3:uid="{DE269635-31E2-4484-AB83-17DEA50B3317}" name="Cycling - Women's Team Pursuit" dataDxfId="1432">
      <calculatedColumnFormula>COUNTIFS(Table85[Country],Tabela1[[#This Row],[Country]],Table85[Women''s Pursuit Classification],"&gt;0")</calculatedColumnFormula>
    </tableColumn>
    <tableColumn id="77" xr3:uid="{3870E84B-7C31-4821-91AA-69FF9CFC72F8}" name="Cycling - Men's Time-Trial" dataDxfId="1431">
      <calculatedColumnFormula>COUNTIFS(Table9[Country],Tabela1[[#This Row],[Country]],Table9[Time-Trial Classification],"&gt;0")</calculatedColumnFormula>
    </tableColumn>
    <tableColumn id="293" xr3:uid="{B0F63460-FEA4-4F04-902C-282052613882}" name="Cycling - Women's Time-Trial" dataDxfId="1430">
      <calculatedColumnFormula>COUNTIFS(Table14[Country],Tabela1[[#This Row],[Country]],Table14[Time-Trial Classification],"&gt;0")</calculatedColumnFormula>
    </tableColumn>
    <tableColumn id="3" xr3:uid="{FF6CC6FD-78CF-434A-B1A7-6BC950D0C50F}" name="Diving - Men's Springboard" dataDxfId="1429">
      <calculatedColumnFormula>COUNTIFS(Table42[Country],Tabela1[[#This Row],[Country]],Table42[Springboard Classification],"&gt;0")</calculatedColumnFormula>
    </tableColumn>
    <tableColumn id="294" xr3:uid="{799EBF80-0C3E-47DD-9537-86BF568F542A}" name="Diving - Women's Springboard" dataDxfId="1428">
      <calculatedColumnFormula>COUNTIFS(Table43[Country],Tabela1[[#This Row],[Country]],Table43[Springboard Classification],"&gt;0")</calculatedColumnFormula>
    </tableColumn>
    <tableColumn id="7" xr3:uid="{47FA606E-EA0C-4104-84F3-3D1D2DC4CBA4}" name="Diving - Men's Platform" dataDxfId="1427">
      <calculatedColumnFormula>COUNTIFS(Table42[Country],Tabela1[[#This Row],[Country]],Table42[Platform Classification],"&gt;0")</calculatedColumnFormula>
    </tableColumn>
    <tableColumn id="295" xr3:uid="{741B230D-E990-4B51-9A5A-CB070910CCDA}" name="Diving - Women's Platform" dataDxfId="1426">
      <calculatedColumnFormula>COUNTIFS(Table43[Country],Tabela1[[#This Row],[Country]],Table43[Platform Classification],"&gt;0")</calculatedColumnFormula>
    </tableColumn>
    <tableColumn id="8" xr3:uid="{064FC534-CD36-48D4-8C6F-8AA6A979BD0C}" name="Diving - Men's Synchronized Springboard" dataDxfId="1425">
      <calculatedColumnFormula>COUNTIFS(Table86[Country],Tabela1[[#This Row],[Country]],Table86[Men''s Synchronized Springboard Classification],"&gt;0")</calculatedColumnFormula>
    </tableColumn>
    <tableColumn id="296" xr3:uid="{2F87D1A3-6000-48CD-89DD-D7700AD477EB}" name="Diving - Women's Synchronized Springboard" dataDxfId="1424">
      <calculatedColumnFormula>COUNTIFS(Table86[Country],Tabela1[[#This Row],[Country]],Table86[Women''s Synchronized Springboard Classification],"&gt;0")</calculatedColumnFormula>
    </tableColumn>
    <tableColumn id="9" xr3:uid="{35ACD4F6-A93C-4BA1-8A27-DB08ED814009}" name="Diving - Men's Synchronized Platform" dataDxfId="1423">
      <calculatedColumnFormula>COUNTIFS(Table86[Country],Tabela1[[#This Row],[Country]],Table86[Men''s Synchronized Platform Classification],"&gt;0")</calculatedColumnFormula>
    </tableColumn>
    <tableColumn id="297" xr3:uid="{8CC3D3DB-6031-4FAC-9BB0-78A63C2F4FBD}" name="Diving - Women's Synchronized Platform" dataDxfId="1422">
      <calculatedColumnFormula>COUNTIFS(Table86[Country],Tabela1[[#This Row],[Country]],Table86[Women''s Synchronized Platform Classification],"&gt;0")</calculatedColumnFormula>
    </tableColumn>
    <tableColumn id="85" xr3:uid="{DE253FBE-CB4F-4E01-87D0-3A45778A1175}" name="Equestrian - Individual Dressage" dataDxfId="1421">
      <calculatedColumnFormula>COUNTIFS(Table44[Country],Tabela1[[#This Row],[Country]],Table44[Dressage Classification],"&gt;0")</calculatedColumnFormula>
    </tableColumn>
    <tableColumn id="298" xr3:uid="{289A8ABC-CA3E-426E-ACE3-3EF5140CCFC3}" name="Equestrian - Team Dressage" dataDxfId="1420">
      <calculatedColumnFormula>COUNTIFS(Table45[Country],Tabela1[[#This Row],[Country]],Table45[Dressage Classification],"&gt;0")</calculatedColumnFormula>
    </tableColumn>
    <tableColumn id="86" xr3:uid="{72DC3FFF-0BF4-4628-9E1F-5990C87B0F9A}" name="Equestrian - Individual Eventing" dataDxfId="1419">
      <calculatedColumnFormula>COUNTIFS(Table44[Country],Tabela1[[#This Row],[Country]],Table44[Eventing Classification],"&gt;0")</calculatedColumnFormula>
    </tableColumn>
    <tableColumn id="299" xr3:uid="{51C9B35F-43F4-4A0D-AA60-890F33018F3D}" name="Equestrian - Team Eventing" dataDxfId="1418">
      <calculatedColumnFormula>COUNTIFS(Table45[Country],Tabela1[[#This Row],[Country]],Table45[Eventing Classification],"&gt;0")</calculatedColumnFormula>
    </tableColumn>
    <tableColumn id="87" xr3:uid="{557F78D4-61BE-485C-A115-BBF172D27740}" name="Equestrian - Individual Jumping" dataDxfId="1417">
      <calculatedColumnFormula>COUNTIFS(Table44[Country],Tabela1[[#This Row],[Country]],Table44[Jumping Classification],"&gt;0")</calculatedColumnFormula>
    </tableColumn>
    <tableColumn id="300" xr3:uid="{B138E794-5F2B-4966-B01D-EADBE51F3D37}" name="Equestrian - Team Jumping" dataDxfId="1416">
      <calculatedColumnFormula>COUNTIFS(Table45[Country],Tabela1[[#This Row],[Country]],Table45[Jumping Classification],"&gt;0")</calculatedColumnFormula>
    </tableColumn>
    <tableColumn id="92" xr3:uid="{B6EC57F5-36D4-4B39-8FC2-5DFAB1EC78F4}" name="Fencing - Men's Épée" dataDxfId="1415">
      <calculatedColumnFormula>COUNTIFS(Table10[Country],Tabela1[[#This Row],[Country]],Table10[Épée Classification],"&gt;0")</calculatedColumnFormula>
    </tableColumn>
    <tableColumn id="301" xr3:uid="{57B4E635-A85D-4E45-9CEF-84C54C0B9CE0}" name="Fencing - Women's Épée" dataDxfId="1414">
      <calculatedColumnFormula>COUNTIFS(Table11[Country],Tabela1[[#This Row],[Country]],Table11[Épée Classification],"&gt;0")</calculatedColumnFormula>
    </tableColumn>
    <tableColumn id="93" xr3:uid="{59CE40E8-FA00-46A1-B5A7-24CAAFF11249}" name="Fencing - Men's Team Épée" dataDxfId="1413">
      <calculatedColumnFormula>COUNTIFS(Table46[Country],Tabela1[[#This Row],[Country]],Table46[Men''s Épée Classification],"&gt;0")</calculatedColumnFormula>
    </tableColumn>
    <tableColumn id="302" xr3:uid="{5CA20DED-2194-4C21-89C0-8BB0970CC94D}" name="Fencing - Women's Team Épée" dataDxfId="1412">
      <calculatedColumnFormula>COUNTIFS(Table46[Country],Tabela1[[#This Row],[Country]],Table46[Women''s Épée Classification],"&gt;0")</calculatedColumnFormula>
    </tableColumn>
    <tableColumn id="94" xr3:uid="{E727FD2B-587C-4DA2-8F56-F02E95811949}" name="Fencing - Men's Foil" dataDxfId="1411">
      <calculatedColumnFormula>COUNTIFS(Table10[Country],Tabela1[[#This Row],[Country]],Table10[Foil Classification],"&gt;0")</calculatedColumnFormula>
    </tableColumn>
    <tableColumn id="303" xr3:uid="{2445BEE6-B49E-4ABB-A8A0-808DEA403A84}" name="Fencing - Women's Foil" dataDxfId="1410">
      <calculatedColumnFormula>COUNTIFS(Table11[Country],Tabela1[[#This Row],[Country]],Table11[Foil Classification],"&gt;0")</calculatedColumnFormula>
    </tableColumn>
    <tableColumn id="95" xr3:uid="{10C5282B-4F2C-4A81-97AA-25D37C8EA6A5}" name="Fencing - Men's Team Foil" dataDxfId="1409">
      <calculatedColumnFormula>COUNTIFS(Table46[Country],Tabela1[[#This Row],[Country]],Table46[Men''s Foil Classification],"&gt;0")</calculatedColumnFormula>
    </tableColumn>
    <tableColumn id="304" xr3:uid="{53F967FA-7580-4D18-B4EC-111B8D1CA149}" name="Fencing - Women's Team Foil" dataDxfId="1408">
      <calculatedColumnFormula>COUNTIFS(Table46[Country],Tabela1[[#This Row],[Country]],Table46[Women''s Foil Classification],"&gt;0")</calculatedColumnFormula>
    </tableColumn>
    <tableColumn id="88" xr3:uid="{CE49DD62-AACE-4658-ABDA-43146C6B23EA}" name="Fencing - Men's Sabre" dataDxfId="1407">
      <calculatedColumnFormula>COUNTIFS(Table10[Country],Tabela1[[#This Row],[Country]],Table10[Sabre Classification],"&gt;0")</calculatedColumnFormula>
    </tableColumn>
    <tableColumn id="305" xr3:uid="{3ECA37A4-C155-4BDE-8C0F-AE40D0CBE2AB}" name="Fencing - Women's Sabre" dataDxfId="1406">
      <calculatedColumnFormula>COUNTIFS(Table11[Country],Tabela1[[#This Row],[Country]],Table11[Sabre Classification],"&gt;0")</calculatedColumnFormula>
    </tableColumn>
    <tableColumn id="89" xr3:uid="{3773444D-F1C0-460F-9F10-56772AA31B56}" name="Fencing - Men's Team Sabre" dataDxfId="1405">
      <calculatedColumnFormula>COUNTIFS(Table46[Country],Tabela1[[#This Row],[Country]],Table46[Men''s Sabre Classification],"&gt;0")</calculatedColumnFormula>
    </tableColumn>
    <tableColumn id="306" xr3:uid="{247F5402-16F6-4A28-9F05-19E8AB63F45B}" name="Fencing - Women's Team Sabre" dataDxfId="1404">
      <calculatedColumnFormula>COUNTIFS(Table46[Country],Tabela1[[#This Row],[Country]],Table46[Women''s Sabre Classification],"&gt;0")</calculatedColumnFormula>
    </tableColumn>
    <tableColumn id="221" xr3:uid="{336ADE11-61A2-4A3A-9B05-D4C793A1FAFA}" name="Field Hockey - Men's Tournament" dataDxfId="1403">
      <calculatedColumnFormula>COUNTIFS(Table91[Country],Tabela1[[#This Row],[Country]],Table91[Men''s Classification],"&gt;0")</calculatedColumnFormula>
    </tableColumn>
    <tableColumn id="307" xr3:uid="{FE076BD9-6601-437A-B3FE-133D8717D6D0}" name="Field Hockey - Women's Tournament" dataDxfId="1402">
      <calculatedColumnFormula>COUNTIFS(Table91[Country],Tabela1[[#This Row],[Country]],Table91[Women''s Classification],"&gt;0")</calculatedColumnFormula>
    </tableColumn>
    <tableColumn id="222" xr3:uid="{41E85486-07AE-423F-8C34-F46C20ADDAAD}" name="Football - Men's Tournament" dataDxfId="1401">
      <calculatedColumnFormula>COUNTIFS(Table9194[Country],Tabela1[[#This Row],[Country]],Table9194[Men''s Classification],"&gt;0")</calculatedColumnFormula>
    </tableColumn>
    <tableColumn id="308" xr3:uid="{EF08A198-B7B3-4E90-8CBC-B92BC94601D5}" name="Football - Women's Tournament" dataDxfId="1400">
      <calculatedColumnFormula>COUNTIFS(Table9194[Country],Tabela1[[#This Row],[Country]],Table9194[Women''s Classification],"&gt;0")</calculatedColumnFormula>
    </tableColumn>
    <tableColumn id="90" xr3:uid="{4D377D3A-C4D9-4318-B01D-EC884E9B38EE}" name="Golf - Men's Individual" dataDxfId="1399">
      <calculatedColumnFormula>COUNTIFS(Table71[Country],Tabela1[[#This Row],[Country]],Table71[Classification],"&gt;0")</calculatedColumnFormula>
    </tableColumn>
    <tableColumn id="309" xr3:uid="{EBCD42D7-83B6-45BF-AF07-5352140B3227}" name="Golf - Women's Individual" dataDxfId="1398">
      <calculatedColumnFormula>COUNTIFS(Table62[Country],Tabela1[[#This Row],[Country]],Table62[Classification],"&gt;0")</calculatedColumnFormula>
    </tableColumn>
    <tableColumn id="98" xr3:uid="{3A6BADDF-78E9-427D-AF3F-8D9835D1A7D5}" name="Gymnastics - Men's Individual All-Around" dataDxfId="1397">
      <calculatedColumnFormula>COUNTIFS(Table47[Country],Tabela1[[#This Row],[Country]],Table47[All-Around Classification],"&gt;0")</calculatedColumnFormula>
    </tableColumn>
    <tableColumn id="310" xr3:uid="{7F53B5D9-1789-4AF4-93F8-4688CBEAD4F0}" name="Gymnastics - Women's Individual All-Around" dataDxfId="1396">
      <calculatedColumnFormula>COUNTIFS(Table48[Country],Tabela1[[#This Row],[Country]],Table48[All-Around Classification],"&gt;0")</calculatedColumnFormula>
    </tableColumn>
    <tableColumn id="99" xr3:uid="{369AA4BC-8A5F-4F12-8F79-430D5326D3C4}" name="Gymnastics - Men's Team All-Around" dataDxfId="1395">
      <calculatedColumnFormula>COUNTIFS(Table81[Country],Tabela1[[#This Row],[Country]],Table81[Men''s All-Around Classification],"&gt;0")</calculatedColumnFormula>
    </tableColumn>
    <tableColumn id="311" xr3:uid="{742113B9-A140-4DE6-BE98-BA4D2271A2E1}" name="Gymnastics - Women's Team All-Around" dataDxfId="1394">
      <calculatedColumnFormula>COUNTIFS(Table81[Country],Tabela1[[#This Row],[Country]],Table81[Women''s All-Around Classification],"&gt;0")</calculatedColumnFormula>
    </tableColumn>
    <tableColumn id="315" xr3:uid="{16583121-5791-446E-9924-95229FA65CCF}" name="Gymnastics - Women's Balance Beam" dataDxfId="1393">
      <calculatedColumnFormula>COUNTIFS(Table48[Country],Tabela1[[#This Row],[Country]],Table48[Balance Beam Classification],"&gt;0")</calculatedColumnFormula>
    </tableColumn>
    <tableColumn id="96" xr3:uid="{5D7FB363-4D87-44F7-88F3-6EF6EF4276CA}" name="Gymnastics - Men's Floor Exercise" dataDxfId="1392">
      <calculatedColumnFormula>COUNTIFS(Table47[Country],Tabela1[[#This Row],[Country]],Table47[Floor Exercise Classification],"&gt;0")</calculatedColumnFormula>
    </tableColumn>
    <tableColumn id="312" xr3:uid="{1B80FEEF-67FC-4290-B311-1DB885EEB3FE}" name="Gymnastics - Women's Floor Exercise" dataDxfId="1391">
      <calculatedColumnFormula>COUNTIFS(Table48[Country],Tabela1[[#This Row],[Country]],Table48[Floor Exercise Classification],"&gt;0")</calculatedColumnFormula>
    </tableColumn>
    <tableColumn id="97" xr3:uid="{7D3D4008-F231-40F4-9C46-DBB7A138E69B}" name="Gymnastics - Men's Horizontal Bar" dataDxfId="1390">
      <calculatedColumnFormula>COUNTIFS(Table47[Country],Tabela1[[#This Row],[Country]],Table47[Horizontal Bar Classification],"&gt;0")</calculatedColumnFormula>
    </tableColumn>
    <tableColumn id="100" xr3:uid="{156F4231-1447-4BC8-BDA7-9FB1FCF8C4BC}" name="Gymnastics - Men's Parallel Bars" dataDxfId="1389">
      <calculatedColumnFormula>COUNTIFS(Table47[Country],Tabela1[[#This Row],[Country]],Table47[Parallel Bars Classification],"&gt;0")</calculatedColumnFormula>
    </tableColumn>
    <tableColumn id="101" xr3:uid="{2F7DEDCD-C4E3-4F3F-8045-C5616848D405}" name="Gymnastics - Men's Pommel Horse" dataDxfId="1388">
      <calculatedColumnFormula>COUNTIFS(Table47[Country],Tabela1[[#This Row],[Country]],Table47[Pommel Horse Classification],"&gt;0")</calculatedColumnFormula>
    </tableColumn>
    <tableColumn id="102" xr3:uid="{D3AEC594-95D8-4243-B2F1-FAA396672155}" name="Gymnastics - Men's Rings" dataDxfId="1387">
      <calculatedColumnFormula>COUNTIFS(Table47[Country],Tabela1[[#This Row],[Country]],Table47[Rings Classification],"&gt;0")</calculatedColumnFormula>
    </tableColumn>
    <tableColumn id="104" xr3:uid="{E481EB9A-7C31-4DA1-9F29-3548D3BDF2BB}" name="Gymnastics - Men's Trampoline" dataDxfId="1386">
      <calculatedColumnFormula>COUNTIFS(Tabela132[Country],Tabela1[[#This Row],[Country]],Tabela132[Classification],"&gt;0")</calculatedColumnFormula>
    </tableColumn>
    <tableColumn id="314" xr3:uid="{C2E47106-F2B2-49B7-AB79-9D88B8468403}" name="Gymnastics - Women's Trampoline" dataDxfId="1385">
      <calculatedColumnFormula>COUNTIFS(Tabela139[Country],Tabela1[[#This Row],[Country]],Tabela139[Classification],"&gt;0")</calculatedColumnFormula>
    </tableColumn>
    <tableColumn id="316" xr3:uid="{9D9769A0-51C8-4AF4-9133-983294A1338F}" name="Gymnastics - Women's Uneven Bars" dataDxfId="1384">
      <calculatedColumnFormula>COUNTIFS(Table48[Country],Tabela1[[#This Row],[Country]],Table48[Uneven Bars Classification],"&gt;0")</calculatedColumnFormula>
    </tableColumn>
    <tableColumn id="103" xr3:uid="{B32AF77E-57AA-4C5B-B718-B673ABC6E8C3}" name="Gymnastics - Men's Vault" dataDxfId="1383">
      <calculatedColumnFormula>COUNTIFS(Table47[Country],Tabela1[[#This Row],[Country]],Table47[Vault Classification],"&gt;0")</calculatedColumnFormula>
    </tableColumn>
    <tableColumn id="313" xr3:uid="{223B2DB4-1CCA-49EB-9802-D968B84DD5C9}" name="Gymnastics - Women's Vault" dataDxfId="1382">
      <calculatedColumnFormula>COUNTIFS(Table48[Country],Tabela1[[#This Row],[Country]],Table48[Vault Classification],"&gt;0")</calculatedColumnFormula>
    </tableColumn>
    <tableColumn id="91" xr3:uid="{E90C429C-E4B7-418F-8202-9966B3DD6735}" name="Handball - Men's Tournament" dataDxfId="1381">
      <calculatedColumnFormula>COUNTIFS(Table919496[Country],Tabela1[[#This Row],[Country]],Table919496[Men''s Classification],"&gt;0")</calculatedColumnFormula>
    </tableColumn>
    <tableColumn id="317" xr3:uid="{76B16DB4-8246-49DC-989E-07078B86DB9B}" name="Handball - Women's Tournament" dataDxfId="1380">
      <calculatedColumnFormula>COUNTIFS(Table919496[Country],Tabela1[[#This Row],[Country]],Table919496[Women''s Classification],"&gt;0")</calculatedColumnFormula>
    </tableColumn>
    <tableColumn id="105" xr3:uid="{26EC6479-8D72-40D3-A9BD-60FCF6857B6F}" name="Judo - Men's 60kg" dataDxfId="1379">
      <calculatedColumnFormula>COUNTIFS(Table12[Country],Tabela1[[#This Row],[Country]],Table12[60kg Classification],"&gt;0")</calculatedColumnFormula>
    </tableColumn>
    <tableColumn id="106" xr3:uid="{7DDC979E-AB60-4B3F-8C58-8887E3943BB9}" name="Judo - Men's 66kg" dataDxfId="1378">
      <calculatedColumnFormula>COUNTIFS(Table12[Country],Tabela1[[#This Row],[Country]],Table12[66kg Classification],"&gt;0")</calculatedColumnFormula>
    </tableColumn>
    <tableColumn id="107" xr3:uid="{4B9714C3-A3F6-49DA-A1AA-6EAA07EBC953}" name="Judo - Men's 73kg" dataDxfId="1377">
      <calculatedColumnFormula>COUNTIFS(Table12[Country],Tabela1[[#This Row],[Country]],Table12[73kg Classification],"&gt;0")</calculatedColumnFormula>
    </tableColumn>
    <tableColumn id="108" xr3:uid="{25E492BE-E543-487C-937E-B1E7DFFC03D7}" name="Judo - Men's 81kg" dataDxfId="1376">
      <calculatedColumnFormula>COUNTIFS(Table12[Country],Tabela1[[#This Row],[Country]],Table12[81kg Classification],"&gt;0")</calculatedColumnFormula>
    </tableColumn>
    <tableColumn id="109" xr3:uid="{E5565793-1CCF-42AA-8DBC-C108978EF5A6}" name="Judo - Men's 90kg" dataDxfId="1375">
      <calculatedColumnFormula>COUNTIFS(Table12[Country],Tabela1[[#This Row],[Country]],Table12[90kg Classification],"&gt;0")</calculatedColumnFormula>
    </tableColumn>
    <tableColumn id="110" xr3:uid="{86BAB406-73CF-4C10-9348-C9F0737187FE}" name="Judo - Men's 100kg" dataDxfId="1374">
      <calculatedColumnFormula>COUNTIFS(Table12[Country],Tabela1[[#This Row],[Country]],Table12[100kg Classification],"&gt;0")</calculatedColumnFormula>
    </tableColumn>
    <tableColumn id="111" xr3:uid="{88DFBFB1-9AC3-4BFF-B189-83A25B3AE69D}" name="Judo - Men's +100kg" dataDxfId="1373">
      <calculatedColumnFormula>COUNTIFS(Table12[Country],Tabela1[[#This Row],[Country]],Table12[Plus 100kg Classification],"&gt;0")</calculatedColumnFormula>
    </tableColumn>
    <tableColumn id="320" xr3:uid="{A50BB1F1-A466-41E9-9B77-E8493B423154}" name="Judo - Women's 48kg" dataDxfId="1372">
      <calculatedColumnFormula>COUNTIFS(Table13[Country],Tabela1[[#This Row],[Country]],Table13[48kg Classification],"&gt;0")</calculatedColumnFormula>
    </tableColumn>
    <tableColumn id="321" xr3:uid="{A5B6D509-7C2F-446D-8054-3551F7C34CDF}" name="Judo - Women's 52kg" dataDxfId="1371">
      <calculatedColumnFormula>COUNTIFS(Table13[Country],Tabela1[[#This Row],[Country]],Table13[52kg Classification],"&gt;0")</calculatedColumnFormula>
    </tableColumn>
    <tableColumn id="322" xr3:uid="{33E32FC8-AE3C-4FCC-830D-E2A5261C9727}" name="Judo - Women's 57kg" dataDxfId="1370">
      <calculatedColumnFormula>COUNTIFS(Table13[Country],Tabela1[[#This Row],[Country]],Table13[57kg Classification],"&gt;0")</calculatedColumnFormula>
    </tableColumn>
    <tableColumn id="323" xr3:uid="{F2199C96-AF11-4AAE-8249-61039940E21E}" name="Judo - Women's 63kg" dataDxfId="1369">
      <calculatedColumnFormula>COUNTIFS(Table13[Country],Tabela1[[#This Row],[Country]],Table13[63kg Classification],"&gt;0")</calculatedColumnFormula>
    </tableColumn>
    <tableColumn id="324" xr3:uid="{7A8971B7-5DDF-46A3-8892-B5EE5CF35763}" name="Judo - Women's 70kg" dataDxfId="1368">
      <calculatedColumnFormula>COUNTIFS(Table13[Country],Tabela1[[#This Row],[Country]],Table13[70kg Classification],"&gt;0")</calculatedColumnFormula>
    </tableColumn>
    <tableColumn id="325" xr3:uid="{8A11BF2B-BF73-4A0F-84CB-C8A9A0B26345}" name="Judo - Women's 78kg" dataDxfId="1367">
      <calculatedColumnFormula>COUNTIFS(Table13[Country],Tabela1[[#This Row],[Country]],Table13[78kg Classification],"&gt;0")</calculatedColumnFormula>
    </tableColumn>
    <tableColumn id="326" xr3:uid="{A7C611CB-FD76-4E17-8B60-2847015E728E}" name="Judo - Women's +78kg" dataDxfId="1366">
      <calculatedColumnFormula>COUNTIFS(Table13[Country],Tabela1[[#This Row],[Country]],Table13[Plus 78kg Classification],"&gt;0")</calculatedColumnFormula>
    </tableColumn>
    <tableColumn id="327" xr3:uid="{43E9902B-ECBD-45B2-9AC7-9708A4BEC0E9}" name="Judo - Mixed Team" dataDxfId="1365">
      <calculatedColumnFormula>COUNTIFS(Table82[Country],Tabela1[[#This Row],[Country]],Table82[Mixed Classification],"&gt;0")</calculatedColumnFormula>
    </tableColumn>
    <tableColumn id="116" xr3:uid="{0B972414-DD61-4A1D-99A1-229859B7EFDF}" name="Modern Pentathlon - Men's Individual" dataDxfId="1364">
      <calculatedColumnFormula>COUNTIFS(Table51[Country],Tabela1[[#This Row],[Country]],Table51[Classification],"&gt;0")</calculatedColumnFormula>
    </tableColumn>
    <tableColumn id="332" xr3:uid="{45E4D4CB-9433-491A-9149-771A0C5B67E8}" name="Modern Pentathlon - Women's Individual" dataDxfId="1363">
      <calculatedColumnFormula>COUNTIFS(Table52[Country],Tabela1[[#This Row],[Country]],Table52[Classification],"&gt;0")</calculatedColumnFormula>
    </tableColumn>
    <tableColumn id="318" xr3:uid="{516A7782-4E45-404A-87D5-E61FCA0FEAEB}" name="Rhythmic Gymnastics - Women's Individual All-Around" dataDxfId="1362">
      <calculatedColumnFormula>COUNTIFS(Table32[Country],Tabela1[[#This Row],[Country]],Table32[All-Around Classification],"&gt;0")</calculatedColumnFormula>
    </tableColumn>
    <tableColumn id="319" xr3:uid="{7B353E40-EAA6-412B-B30B-B1C6905F7BE5}" name="Rhythmic Gymnastics - Women's Group All-Around" dataDxfId="1361">
      <calculatedColumnFormula>COUNTIFS(Table49[Country],Tabela1[[#This Row],[Country]],Table49[All-Around Classification],"&gt;0")</calculatedColumnFormula>
    </tableColumn>
    <tableColumn id="117" xr3:uid="{D24FD599-B6D8-456D-8662-7DFA2B757913}" name="Rowing - Men's Single Sculls" dataDxfId="1360">
      <calculatedColumnFormula>COUNTIFS(Table26[Country],Tabela1[[#This Row],[Country]],Table26[Single Sculls Classification],"&gt;0")</calculatedColumnFormula>
    </tableColumn>
    <tableColumn id="333" xr3:uid="{11F42731-BC2B-4D5A-8D21-427B48227916}" name="Rowing - Women's Single Sculls" dataDxfId="1359">
      <calculatedColumnFormula>COUNTIFS(Table63[Country],Tabela1[[#This Row],[Country]],Table63[Single Sculls Classification],"&gt;0")</calculatedColumnFormula>
    </tableColumn>
    <tableColumn id="118" xr3:uid="{2F502815-F8E0-421C-A26F-6524B6EC389D}" name="Rowing - Men's Double Sculls" dataDxfId="1358">
      <calculatedColumnFormula>COUNTIFS(Table16[Country],Tabela1[[#This Row],[Country]],Table16[Men''s Double Sculls Classification],"&gt;0")</calculatedColumnFormula>
    </tableColumn>
    <tableColumn id="334" xr3:uid="{4ACFC114-257C-41C9-8860-5E3A0050C6B2}" name="Rowing - Women's Double Sculls" dataDxfId="1357">
      <calculatedColumnFormula>COUNTIFS(Table16[Country],Tabela1[[#This Row],[Country]],Table16[Women''s Double Sculls Classification],"&gt;0")</calculatedColumnFormula>
    </tableColumn>
    <tableColumn id="119" xr3:uid="{2D6008B3-330D-4C36-BF6E-562FBE487E50}" name="Rowing - Men's Quadruple Sculls" dataDxfId="1356">
      <calculatedColumnFormula>COUNTIFS(Table72[Country],Tabela1[[#This Row],[Country]],Table72[Men''s Quadruple Sculls Classification],"&gt;0")</calculatedColumnFormula>
    </tableColumn>
    <tableColumn id="335" xr3:uid="{4F92FD75-46B8-48A8-9619-5B20B5CE0C32}" name="Rowing - Women's Quadruple Sculls" dataDxfId="1355">
      <calculatedColumnFormula>COUNTIFS(Table72[Country],Tabela1[[#This Row],[Country]],Table72[Women''s Quadruple Sculls Classification],"&gt;0")</calculatedColumnFormula>
    </tableColumn>
    <tableColumn id="120" xr3:uid="{8A98C7E6-82F1-4EAD-B815-08D2AEEE638F}" name="Rowing - Men's Coxless Pairs" dataDxfId="1354">
      <calculatedColumnFormula>COUNTIFS(Table16[Country],Tabela1[[#This Row],[Country]],Table16[Men''s Coxless Pairs Classification],"&gt;0")</calculatedColumnFormula>
    </tableColumn>
    <tableColumn id="336" xr3:uid="{01583BE9-76F2-4FDE-B918-B5722E54C488}" name="Rowing - Women's Coxless Pairs" dataDxfId="1353">
      <calculatedColumnFormula>COUNTIFS(Table16[Country],Tabela1[[#This Row],[Country]],Table16[Women''s Coxless Pairs Classification],"&gt;0")</calculatedColumnFormula>
    </tableColumn>
    <tableColumn id="121" xr3:uid="{B0B2EBAB-C853-41E5-87CD-F5BFBD00C52C}" name="Rowing - Men's Coxless Fours" dataDxfId="1352">
      <calculatedColumnFormula>COUNTIFS(Table72[Country],Tabela1[[#This Row],[Country]],Table72[Men''s Coxless Fours Classification],"&gt;0")</calculatedColumnFormula>
    </tableColumn>
    <tableColumn id="337" xr3:uid="{B4C9FBB9-9EFB-4F02-A23F-89FBC245B754}" name="Rowing - Women's Coxless Fours" dataDxfId="1351">
      <calculatedColumnFormula>COUNTIFS(Table72[Country],Tabela1[[#This Row],[Country]],Table72[Women''s Coxless Fours Classification],"&gt;0")</calculatedColumnFormula>
    </tableColumn>
    <tableColumn id="122" xr3:uid="{F1DDD7A2-E4A5-4D74-BC78-AAC9DF1B7C4A}" name="Rowing - Men's Eights" dataDxfId="1350">
      <calculatedColumnFormula>COUNTIFS(Table72[Country],Tabela1[[#This Row],[Country]],Table72[Men''s Eights Classification],"&gt;0")</calculatedColumnFormula>
    </tableColumn>
    <tableColumn id="338" xr3:uid="{AB429797-C6D6-4CA4-9A05-A00EBE03E0F8}" name="Rowing - Women's Eights" dataDxfId="1349">
      <calculatedColumnFormula>COUNTIFS(Table72[Country],Tabela1[[#This Row],[Country]],Table72[Women''s Eights Classification],"&gt;0")</calculatedColumnFormula>
    </tableColumn>
    <tableColumn id="123" xr3:uid="{09080CBC-CA26-4F0E-A183-A0A064492C79}" name="Rowing - Men's Lwt. Double Sculls" dataDxfId="1348">
      <calculatedColumnFormula>COUNTIFS(Table16[Country],Tabela1[[#This Row],[Country]],Table16[Men''s Lwt. Double Sculls Classification],"&gt;0")</calculatedColumnFormula>
    </tableColumn>
    <tableColumn id="339" xr3:uid="{96951296-E5D7-4F76-BC06-673762162BB5}" name="Rowing - Women's Lwt. Double Sculls" dataDxfId="1347">
      <calculatedColumnFormula>COUNTIFS(Table16[Country],Tabela1[[#This Row],[Country]],Table16[Women''s Lwt. Double Sculls Classification],"&gt;0")</calculatedColumnFormula>
    </tableColumn>
    <tableColumn id="124" xr3:uid="{9CBBBA9B-8514-4E2D-90F4-884126815D97}" name="Rugby Sevens - Men's Tournament" dataDxfId="1346">
      <calculatedColumnFormula>COUNTIFS(Table91949698[Country],Tabela1[[#This Row],[Country]],Table91949698[Men''s Classification],"&gt;0")</calculatedColumnFormula>
    </tableColumn>
    <tableColumn id="340" xr3:uid="{D1C43704-D43F-4DE1-BE23-0BAF7DCEBB7C}" name="Rugby Sevens - Women's Tournament" dataDxfId="1345">
      <calculatedColumnFormula>COUNTIFS(Table91949698[Country],Tabela1[[#This Row],[Country]],Table91949698[Women''s Classification],"&gt;0")</calculatedColumnFormula>
    </tableColumn>
    <tableColumn id="70" xr3:uid="{E2C60C41-AD4C-4308-9553-20F9148FF1B8}" name="Sailing - Mixed 470" dataDxfId="1344">
      <calculatedColumnFormula>COUNTIFS(Table25[Country],Tabela1[[#This Row],[Country]],Table25[Mixed 470 Classification],"&gt;0")</calculatedColumnFormula>
    </tableColumn>
    <tableColumn id="126" xr3:uid="{C2D6FA06-51C4-481D-95DB-515A4A88C817}" name="Sailing - Men's 49er" dataDxfId="1343">
      <calculatedColumnFormula>COUNTIFS(Table25[Country],Tabela1[[#This Row],[Country]],Table25[Men''s 49er Classification],"&gt;0")</calculatedColumnFormula>
    </tableColumn>
    <tableColumn id="344" xr3:uid="{BF684393-A100-4A58-BFEB-7D6DBFBB4A76}" name="Sailing - Women's 49er FX" dataDxfId="1342">
      <calculatedColumnFormula>COUNTIFS(Table25[Country],Tabela1[[#This Row],[Country]],Table25[Women''s 49er FX Classification],"&gt;0")</calculatedColumnFormula>
    </tableColumn>
    <tableColumn id="127" xr3:uid="{AE809EA9-4032-4F9A-B034-D8C639C312BB}" name="Sailing - Men's Formula Kite" dataDxfId="1341">
      <calculatedColumnFormula>COUNTIFS(Table17[Country],Tabela1[[#This Row],[Country]],Table17[Formula Kite Classification],"&gt;0")</calculatedColumnFormula>
    </tableColumn>
    <tableColumn id="125" xr3:uid="{EBB24B2F-E4F0-476B-B286-CD0BD39EA469}" name="Sailing - Women's Formula Kite" dataDxfId="1340">
      <calculatedColumnFormula>COUNTIFS(Table18[Country],Tabela1[[#This Row],[Country]],Table18[Formula Kite Classification],"&gt;0")</calculatedColumnFormula>
    </tableColumn>
    <tableColumn id="128" xr3:uid="{2AD1B6B6-A761-4957-B057-3793656119D1}" name="Sailing - Men's ILCA 7" dataDxfId="1339">
      <calculatedColumnFormula>COUNTIFS(Table17[Country],Tabela1[[#This Row],[Country]],Table17[ILCA 7 Classification],"&gt;0")</calculatedColumnFormula>
    </tableColumn>
    <tableColumn id="342" xr3:uid="{24F41C1F-1E73-4756-983C-23986D8E90B0}" name="Sailing - Women's ILCA 6" dataDxfId="1338">
      <calculatedColumnFormula>COUNTIFS(Table18[Country],Tabela1[[#This Row],[Country]],Table18[ILCA 6 Classification],"&gt;0")</calculatedColumnFormula>
    </tableColumn>
    <tableColumn id="129" xr3:uid="{FCBE0F74-D47C-4143-B44A-E11A80843996}" name="Sailing - Men's IQFoil" dataDxfId="1337">
      <calculatedColumnFormula>COUNTIFS(Table17[Country],Tabela1[[#This Row],[Country]],Table17[IQFoil Classification],"&gt;0")</calculatedColumnFormula>
    </tableColumn>
    <tableColumn id="341" xr3:uid="{9036B477-F257-47CB-88D9-C3DB378FF29C}" name="Sailing - Women's IQFoil" dataDxfId="1336">
      <calculatedColumnFormula>COUNTIFS(Table18[Country],Tabela1[[#This Row],[Country]],Table18[IQFoil Classification],"&gt;0")</calculatedColumnFormula>
    </tableColumn>
    <tableColumn id="345" xr3:uid="{D9E92BCA-0A75-43B9-B279-3FB42B745524}" name="Sailing - Mixed Nacra 17" dataDxfId="1335">
      <calculatedColumnFormula>COUNTIFS(Table25[Country],Tabela1[[#This Row],[Country]],Table25[Mixed Nacra 17 Classification],"&gt;0")</calculatedColumnFormula>
    </tableColumn>
    <tableColumn id="130" xr3:uid="{9B886912-DD62-4FAA-9968-7C4847FF1346}" name="Shooting - Men's 10m Air Pistol" dataDxfId="1334">
      <calculatedColumnFormula>COUNTIFS(Table53[Country],Tabela1[[#This Row],[Country]],Table53[10m Air Pistol Classification],"&gt;0")</calculatedColumnFormula>
    </tableColumn>
    <tableColumn id="346" xr3:uid="{381D6501-2BB4-4549-AF7C-814322F485E1}" name="Shooting - Women's 10m Air Pistol" dataDxfId="1333">
      <calculatedColumnFormula>COUNTIFS(Table19[Country],Tabela1[[#This Row],[Country]],Table19[10m Air Pistol Classification],"&gt;0")</calculatedColumnFormula>
    </tableColumn>
    <tableColumn id="350" xr3:uid="{95A66209-45A9-4113-A92B-8ECC2BE8E2E7}" name="Shooting - Mixed 10m Air Pistol Team" dataDxfId="1332">
      <calculatedColumnFormula>COUNTIFS(Table54[Country],Tabela1[[#This Row],[Country]],Table54[Mixed 10m Air Pistol Team Classification],"&gt;0")</calculatedColumnFormula>
    </tableColumn>
    <tableColumn id="131" xr3:uid="{2827C740-0BED-4E73-A2AB-DCD2AB825B8D}" name="Shooting - Men's 10m Air Rifle" dataDxfId="1331">
      <calculatedColumnFormula>COUNTIFS(Table53[Country],Tabela1[[#This Row],[Country]],Table53[10m Air Rifle Classification],"&gt;0")</calculatedColumnFormula>
    </tableColumn>
    <tableColumn id="347" xr3:uid="{A89CD0E5-4205-4AA6-BCB7-2B134187F58C}" name="Shooting - Women's 10m Air Rifle" dataDxfId="1330">
      <calculatedColumnFormula>COUNTIFS(Table19[Country],Tabela1[[#This Row],[Country]],Table19[10m Air Rifle Classification],"&gt;0")</calculatedColumnFormula>
    </tableColumn>
    <tableColumn id="349" xr3:uid="{13B09A87-1782-4323-B11B-1786F712ECAB}" name="Shooting - Mixed 10m Air Rifle Team" dataDxfId="1329">
      <calculatedColumnFormula>COUNTIFS(Table54[Country],Tabela1[[#This Row],[Country]],Table54[Mixed 10m Air Rifle Team Classification],"&gt;0")</calculatedColumnFormula>
    </tableColumn>
    <tableColumn id="132" xr3:uid="{1FE43127-3855-4C31-9DF4-8D1E2AFCCD3A}" name="Shooting - Men's 25m Rapid Fire Pistol" dataDxfId="1328">
      <calculatedColumnFormula>COUNTIFS(Table53[Country],Tabela1[[#This Row],[Country]],Table53[25m Rapid Fire Pistol Classification],"&gt;0")</calculatedColumnFormula>
    </tableColumn>
    <tableColumn id="351" xr3:uid="{3A347B04-C5ED-4786-B71D-065D6A048A8D}" name="Shooting - Women's 25m Pistol" dataDxfId="1327">
      <calculatedColumnFormula>COUNTIFS(Table19[Country],Tabela1[[#This Row],[Country]],Table19[25m Pistol Classification],"&gt;0")</calculatedColumnFormula>
    </tableColumn>
    <tableColumn id="133" xr3:uid="{F96B18E2-19E9-4737-A4AE-478D82F63806}" name="Shooting - Men's 50m Rifle 3 Positions" dataDxfId="1326">
      <calculatedColumnFormula>COUNTIFS(Table53[Country],Tabela1[[#This Row],[Country]],Table53[50m Rifle 3 Positions Classification],"&gt;0")</calculatedColumnFormula>
    </tableColumn>
    <tableColumn id="348" xr3:uid="{03A312D6-3D77-459D-A734-B79A2E481D4F}" name="Shooting - Women's 50m Rifle 3 Positions" dataDxfId="1325">
      <calculatedColumnFormula>COUNTIFS(Table19[Country],Tabela1[[#This Row],[Country]],Table19[50m Rifle 3 Positions Classification],"&gt;0")</calculatedColumnFormula>
    </tableColumn>
    <tableColumn id="134" xr3:uid="{C895DCA0-CB0C-43EB-BF59-066EBBF6633E}" name="Shooting - Men's Skeet" dataDxfId="1324">
      <calculatedColumnFormula>COUNTIFS(Table53[Country],Tabela1[[#This Row],[Country]],Table53[Skeet Classification],"&gt;0")</calculatedColumnFormula>
    </tableColumn>
    <tableColumn id="352" xr3:uid="{D6DC7E2D-A31A-4670-AEC4-3416A6622C1B}" name="Shooting - Women's Skeet" dataDxfId="1323">
      <calculatedColumnFormula>COUNTIFS(Table19[Country],Tabela1[[#This Row],[Country]],Table19[Skeet Classification],"&gt;0")</calculatedColumnFormula>
    </tableColumn>
    <tableColumn id="354" xr3:uid="{4DD548E3-0980-4506-AF78-652E11CD9207}" name="Shooting - Mixed Skeet Team" dataDxfId="1322">
      <calculatedColumnFormula>COUNTIFS(Table54[Country],Tabela1[[#This Row],[Country]],Table54[Mixed Skeet Team Classification],"&gt;0")</calculatedColumnFormula>
    </tableColumn>
    <tableColumn id="135" xr3:uid="{9C851424-B07C-4D5A-A602-D000E4CF0DCD}" name="Shooting - Men's Trap" dataDxfId="1321">
      <calculatedColumnFormula>COUNTIFS(Table53[Country],Tabela1[[#This Row],[Country]],Table53[Trap Classification],"&gt;0")</calculatedColumnFormula>
    </tableColumn>
    <tableColumn id="353" xr3:uid="{3FA5226C-2112-46D5-BC4A-E0DD60FE1178}" name="Shooting - Women's Trap" dataDxfId="1320">
      <calculatedColumnFormula>COUNTIFS(Table19[Country],Tabela1[[#This Row],[Country]],Table19[Trap Classification],"&gt;0")</calculatedColumnFormula>
    </tableColumn>
    <tableColumn id="136" xr3:uid="{DF7F7B6B-5613-4A63-8DC9-F04BA65F92DA}" name="Skateboarding - Men's Park" dataDxfId="1319">
      <calculatedColumnFormula>COUNTIFS(Table73[Country],Tabela1[[#This Row],[Country]],Table73[Park Classification],"&gt;0")</calculatedColumnFormula>
    </tableColumn>
    <tableColumn id="356" xr3:uid="{44AFAE61-845D-4155-A431-60ADD3E8F67B}" name="Skateboarding - Women's Park" dataDxfId="1318">
      <calculatedColumnFormula>COUNTIFS(Table74[Country],Tabela1[[#This Row],[Country]],Table74[Park Classification],"&gt;0")</calculatedColumnFormula>
    </tableColumn>
    <tableColumn id="137" xr3:uid="{3243651D-A96B-47E9-AD8F-3D004862E3CC}" name="Skateboarding - Men's Street" dataDxfId="1317">
      <calculatedColumnFormula>COUNTIFS(Table73[Country],Tabela1[[#This Row],[Country]],Table73[Street Classification],"&gt;0")</calculatedColumnFormula>
    </tableColumn>
    <tableColumn id="357" xr3:uid="{AB479D67-AF95-4360-ACD1-72D84B697519}" name="Skateboarding - Women's Street" dataDxfId="1316">
      <calculatedColumnFormula>COUNTIFS(Table74[Country],Tabela1[[#This Row],[Country]],Table74[Street Classification],"&gt;0")</calculatedColumnFormula>
    </tableColumn>
    <tableColumn id="138" xr3:uid="{CD96DFE2-E6BB-45B4-9476-510E0DECC8EF}" name="Sport Climbing - Men's Boulder and Lead" dataDxfId="1315">
      <calculatedColumnFormula>COUNTIFS(Table75[Country],Tabela1[[#This Row],[Country]],Table75[Boulder and Lead Classification],"&gt;0")</calculatedColumnFormula>
    </tableColumn>
    <tableColumn id="358" xr3:uid="{8C3C1736-DA54-4E9C-B3EB-E885DE6F1E7C}" name="Sport Climbing - Women's Boulder and Lead" dataDxfId="1314">
      <calculatedColumnFormula>COUNTIFS(Table76[Country],Tabela1[[#This Row],[Country]],Table76[Boulder and Lead Classification],"&gt;0")</calculatedColumnFormula>
    </tableColumn>
    <tableColumn id="235" xr3:uid="{559370A0-430F-4CAE-848E-60DE6BA89264}" name="Sport Climbing - Men's Speed" dataDxfId="1313">
      <calculatedColumnFormula>COUNTIFS(Table75[Country],Tabela1[[#This Row],[Country]],Table75[Speed Classification],"&gt;0")</calculatedColumnFormula>
    </tableColumn>
    <tableColumn id="261" xr3:uid="{70539AAD-0DDD-41E8-9D42-0679BBFC70E9}" name="Sport Climbing - Women's Speed" dataDxfId="1312">
      <calculatedColumnFormula>COUNTIFS(Table76[Country],Tabela1[[#This Row],[Country]],Table76[Speed Classification],"&gt;0")</calculatedColumnFormula>
    </tableColumn>
    <tableColumn id="139" xr3:uid="{264426AD-D210-401C-B22B-DE2AE2C5FF7A}" name="Surfing - Men's Shortboard" dataDxfId="1311">
      <calculatedColumnFormula>COUNTIFS(Table64[Country],Tabela1[[#This Row],[Country]],Table64[Shortboard Classification],"&gt;0")</calculatedColumnFormula>
    </tableColumn>
    <tableColumn id="359" xr3:uid="{005B6E43-E426-4DDD-A522-D15DAB27F619}" name="Surfing - Women's Shortboard" dataDxfId="1310">
      <calculatedColumnFormula>COUNTIFS(Table77[Country],Tabela1[[#This Row],[Country]],Table77[Shortboard Classification],"&gt;0")</calculatedColumnFormula>
    </tableColumn>
    <tableColumn id="10" xr3:uid="{E793386F-40CF-488B-9BB6-24AE7FE1C9AC}" name="Swimming - Men's 50m Freestyle" dataDxfId="1309">
      <calculatedColumnFormula>COUNTIFS(Table20[Country],Tabela1[[#This Row],[Country]],Table20[50m Freestyle Classification],"&gt;0")</calculatedColumnFormula>
    </tableColumn>
    <tableColumn id="360" xr3:uid="{8FD5CF40-F661-4ED3-89C6-FF83F3A54E24}" name="Swimming - Women's 50m Freestyle" dataDxfId="1308">
      <calculatedColumnFormula>COUNTIFS(Table21[Country],Tabela1[[#This Row],[Country]],Table21[50m Freestyle Classification],"&gt;0")</calculatedColumnFormula>
    </tableColumn>
    <tableColumn id="11" xr3:uid="{DBD880AB-9525-4FEF-8595-424F11029EFE}" name="Swimming - Men's 100m Freestyle" dataDxfId="1307">
      <calculatedColumnFormula>COUNTIFS(Table20[Country],Tabela1[[#This Row],[Country]],Table20[100m Freestyle Classification],"&gt;0")</calculatedColumnFormula>
    </tableColumn>
    <tableColumn id="361" xr3:uid="{74F3E1A6-E2CD-43A5-8318-5780BA43AFC6}" name="Swimming - Women's 100m Freestyle" dataDxfId="1306">
      <calculatedColumnFormula>COUNTIFS(Table21[Country],Tabela1[[#This Row],[Country]],Table21[100m Freestyle Classification],"&gt;0")</calculatedColumnFormula>
    </tableColumn>
    <tableColumn id="12" xr3:uid="{D7A56846-7526-40DB-8C90-3784287A38B1}" name="Swimming - Men's 200m Freestyle" dataDxfId="1305">
      <calculatedColumnFormula>COUNTIFS(Table20[Country],Tabela1[[#This Row],[Country]],Table20[200m Freestyle Classification],"&gt;0")</calculatedColumnFormula>
    </tableColumn>
    <tableColumn id="362" xr3:uid="{127ADE99-5C81-40B3-9FD5-04B023B65BAE}" name="Swimming - Women's 200m Freestyle" dataDxfId="1304">
      <calculatedColumnFormula>COUNTIFS(Table21[Country],Tabela1[[#This Row],[Country]],Table21[200m Freestyle Classification],"&gt;0")</calculatedColumnFormula>
    </tableColumn>
    <tableColumn id="13" xr3:uid="{E52D5653-979B-44A2-906B-8EED75C07287}" name="Swimming - Men's 400m Freestyle" dataDxfId="1303">
      <calculatedColumnFormula>COUNTIFS(Table20[Country],Tabela1[[#This Row],[Country]],Table20[400m Freestyle Classification],"&gt;0")</calculatedColumnFormula>
    </tableColumn>
    <tableColumn id="363" xr3:uid="{467D4D34-276B-4208-ADF6-1E3D9FF7CC90}" name="Swimming - Women's 400m Freestyle" dataDxfId="1302">
      <calculatedColumnFormula>COUNTIFS(Table21[Country],Tabela1[[#This Row],[Country]],Table21[400m Freestyle Classification],"&gt;0")</calculatedColumnFormula>
    </tableColumn>
    <tableColumn id="14" xr3:uid="{C17A7FAF-AC4F-4623-98D1-484FE872F3B1}" name="Swimming - Men's 800m Freestyle" dataDxfId="1301">
      <calculatedColumnFormula>COUNTIFS(Table20[Country],Tabela1[[#This Row],[Country]],Table20[800m Freestyle Classification],"&gt;0")</calculatedColumnFormula>
    </tableColumn>
    <tableColumn id="364" xr3:uid="{7C2560CC-FBFC-44BF-ACDA-C17B26726615}" name="Swimming - Women's 800m Freestyle" dataDxfId="1300">
      <calculatedColumnFormula>COUNTIFS(Table21[Country],Tabela1[[#This Row],[Country]],Table21[800m Freestyle Classification],"&gt;0")</calculatedColumnFormula>
    </tableColumn>
    <tableColumn id="15" xr3:uid="{75A62A45-4DC5-413F-AF04-B3CB1A77982A}" name="Swimming - Men's 1500m Freestyle" dataDxfId="1299">
      <calculatedColumnFormula>COUNTIFS(Table20[Country],Tabela1[[#This Row],[Country]],Table20[1500m Freestyle Classification],"&gt;0")</calculatedColumnFormula>
    </tableColumn>
    <tableColumn id="365" xr3:uid="{D9C151AA-C041-425E-8CCC-22B2D4F66E24}" name="Swimming - Women's 1500m Freestyle" dataDxfId="1298">
      <calculatedColumnFormula>COUNTIFS(Table21[Country],Tabela1[[#This Row],[Country]],Table21[1500m Freestyle Classification],"&gt;0")</calculatedColumnFormula>
    </tableColumn>
    <tableColumn id="16" xr3:uid="{16F770B7-0C3B-416C-A660-FA7F2CA5B700}" name="Swimming - Men's 100m Backstroke" dataDxfId="1297">
      <calculatedColumnFormula>COUNTIFS(Table20[Country],Tabela1[[#This Row],[Country]],Table20[100m Backstroke Classification],"&gt;0")</calculatedColumnFormula>
    </tableColumn>
    <tableColumn id="366" xr3:uid="{E7112831-3D14-4DF9-98F7-B7620C7B2457}" name="Swimming - Women's 100m Backstroke" dataDxfId="1296">
      <calculatedColumnFormula>COUNTIFS(Table21[Country],Tabela1[[#This Row],[Country]],Table21[100m Backstroke Classification],"&gt;0")</calculatedColumnFormula>
    </tableColumn>
    <tableColumn id="17" xr3:uid="{60CC4091-3FC9-4A2B-9424-7CB6CCF53F9C}" name="Swimming - Men's 200m Backstroke" dataDxfId="1295">
      <calculatedColumnFormula>COUNTIFS(Table20[Country],Tabela1[[#This Row],[Country]],Table20[200m Backstroke Classification],"&gt;0")</calculatedColumnFormula>
    </tableColumn>
    <tableColumn id="367" xr3:uid="{EF0922F3-6562-4882-8434-4BC80131189B}" name="Swimming - Women's 200m Backstroke" dataDxfId="1294">
      <calculatedColumnFormula>COUNTIFS(Table21[Country],Tabela1[[#This Row],[Country]],Table21[200m Backstroke Classification],"&gt;0")</calculatedColumnFormula>
    </tableColumn>
    <tableColumn id="20" xr3:uid="{140577CA-F04B-41E2-AD7D-9767387AB489}" name="Swimming - Men's 100m Breaststroke" dataDxfId="1293">
      <calculatedColumnFormula>COUNTIFS(Table20[Country],Tabela1[[#This Row],[Country]],Table20[100m Breaststroke Classification],"&gt;0")</calculatedColumnFormula>
    </tableColumn>
    <tableColumn id="370" xr3:uid="{D6C4887E-9D70-4691-AAA4-8B0957A18670}" name="Swimming - Women's 100m Breaststroke" dataDxfId="1292">
      <calculatedColumnFormula>COUNTIFS(Table21[Country],Tabela1[[#This Row],[Country]],Table21[100m Breaststroke Classification],"&gt;0")</calculatedColumnFormula>
    </tableColumn>
    <tableColumn id="21" xr3:uid="{64D49D24-44E8-40CC-A412-D8A175D3E684}" name="Swimming - Men's 200m Breaststroke" dataDxfId="1291">
      <calculatedColumnFormula>COUNTIFS(Table20[Country],Tabela1[[#This Row],[Country]],Table20[200m Breaststroke Classification],"&gt;0")</calculatedColumnFormula>
    </tableColumn>
    <tableColumn id="371" xr3:uid="{C3DB724F-7F3D-4B94-8C9B-7EF8AD267FD0}" name="Swimming - Women's 200m Breaststroke" dataDxfId="1290">
      <calculatedColumnFormula>COUNTIFS(Table21[Country],Tabela1[[#This Row],[Country]],Table21[200m Breaststroke Classification],"&gt;0")</calculatedColumnFormula>
    </tableColumn>
    <tableColumn id="18" xr3:uid="{65E1F45E-3EB6-4167-8BDA-CCF77802D17F}" name="Swimming - Men's 100m Butterfly" dataDxfId="1289">
      <calculatedColumnFormula>COUNTIFS(Table20[Country],Tabela1[[#This Row],[Country]],Table20[100m Butterfly Classification],"&gt;0")</calculatedColumnFormula>
    </tableColumn>
    <tableColumn id="368" xr3:uid="{C7CE204C-50D4-42DC-B994-5C69AAD6E7B3}" name="Swimming - Women's 100m Butterfly" dataDxfId="1288">
      <calculatedColumnFormula>COUNTIFS(Table21[Country],Tabela1[[#This Row],[Country]],Table21[100m Butterfly Classification],"&gt;0")</calculatedColumnFormula>
    </tableColumn>
    <tableColumn id="19" xr3:uid="{D4125821-6D3C-45C9-8B58-53B3397632BB}" name="Swimming - Men's 200m Butterfly" dataDxfId="1287">
      <calculatedColumnFormula>COUNTIFS(Table20[Country],Tabela1[[#This Row],[Country]],Table20[200m Butterfly Classification],"&gt;0")</calculatedColumnFormula>
    </tableColumn>
    <tableColumn id="369" xr3:uid="{79F1AA72-5548-4C06-93B8-A35395995351}" name="Swimming - Women's 200m Butterfly" dataDxfId="1286">
      <calculatedColumnFormula>COUNTIFS(Table21[Country],Tabela1[[#This Row],[Country]],Table21[200m Butterfly Classification],"&gt;0")</calculatedColumnFormula>
    </tableColumn>
    <tableColumn id="22" xr3:uid="{C058A036-2E19-48D8-8BE2-D86E885E593F}" name="Swimming - Men's 200m Individual Medley" dataDxfId="1285">
      <calculatedColumnFormula>COUNTIFS(Table20[Country],Tabela1[[#This Row],[Country]],Table20[200m Medley Classification],"&gt;0")</calculatedColumnFormula>
    </tableColumn>
    <tableColumn id="372" xr3:uid="{6C03135B-1DD5-462F-8C43-F043C5441C20}" name="Swimming - Women's 200m Individual Medley" dataDxfId="1284">
      <calculatedColumnFormula>COUNTIFS(Table21[Country],Tabela1[[#This Row],[Country]],Table21[200m Medley Classification],"&gt;0")</calculatedColumnFormula>
    </tableColumn>
    <tableColumn id="23" xr3:uid="{9BA27E05-6A1A-477E-9484-2BED6E9D4BD3}" name="Swimming - Men's 400m Individual Medley" dataDxfId="1283">
      <calculatedColumnFormula>COUNTIFS(Table20[Country],Tabela1[[#This Row],[Country]],Table20[400m Medley Classification],"&gt;0")</calculatedColumnFormula>
    </tableColumn>
    <tableColumn id="373" xr3:uid="{182BF715-31B8-4AC5-92F5-A5EE2E25DDF1}" name="Swimming - Women's 400m Individual Medley" dataDxfId="1282">
      <calculatedColumnFormula>COUNTIFS(Table21[Country],Tabela1[[#This Row],[Country]],Table21[400m Medley Classification],"&gt;0")</calculatedColumnFormula>
    </tableColumn>
    <tableColumn id="24" xr3:uid="{8985EB1A-4859-4EB7-841B-8F5C82682675}" name="Swimming - Men's 4x100m Freestyle Relay" dataDxfId="1281">
      <calculatedColumnFormula>COUNTIFS(Table78[Country],Tabela1[[#This Row],[Country]],Table78[Men''s 4x100m Freestyle Relay Classification],"&gt;0")</calculatedColumnFormula>
    </tableColumn>
    <tableColumn id="374" xr3:uid="{B5C71E71-84D3-47D4-A4D3-A7525E3B2539}" name="Swimming - Women's 4x100m Freestyle Relay" dataDxfId="1280">
      <calculatedColumnFormula>COUNTIFS(Table78[Country],Tabela1[[#This Row],[Country]],Table78[Women''s 4x100m Freestyle Relay Classification],"&gt;0")</calculatedColumnFormula>
    </tableColumn>
    <tableColumn id="25" xr3:uid="{BB8816C6-CC1F-49E0-93A4-03BD79065A73}" name="Swimming - Men's 4x200m Freestyle Relay" dataDxfId="1279">
      <calculatedColumnFormula>COUNTIFS(Table78[Country],Tabela1[[#This Row],[Country]],Table78[Men''s 4x200m Freestyle Relay Classification],"&gt;0")</calculatedColumnFormula>
    </tableColumn>
    <tableColumn id="375" xr3:uid="{0DC50213-5E5C-4150-88FA-E96F0247E669}" name="Swimming - Women's 4x200m Freestyle Relay" dataDxfId="1278">
      <calculatedColumnFormula>COUNTIFS(Table78[Country],Tabela1[[#This Row],[Country]],Table78[Women''s 4x200m Freestyle Relay Classification],"&gt;0")</calculatedColumnFormula>
    </tableColumn>
    <tableColumn id="26" xr3:uid="{19564A82-1BB4-4105-92FB-FAB2089D98EC}" name="Swimming - Men's 4x100m Medley Relay" dataDxfId="1277">
      <calculatedColumnFormula>COUNTIFS(Table78[Country],Tabela1[[#This Row],[Country]],Table78[Men''s 4x100m Medley Relay Classification],"&gt;0")</calculatedColumnFormula>
    </tableColumn>
    <tableColumn id="376" xr3:uid="{7EDC3B16-82C2-4F8D-80F4-D742AE597F91}" name="Swimming - Women's 4x100m Medley Relay" dataDxfId="1276">
      <calculatedColumnFormula>COUNTIFS(Table78[Country],Tabela1[[#This Row],[Country]],Table78[Women''s 4x100m Medley Relay Classification],"&gt;0")</calculatedColumnFormula>
    </tableColumn>
    <tableColumn id="377" xr3:uid="{7654C77B-C378-472D-9129-D92C9D40A6DE}" name="Swimming - Mixed 4x100m Medley Relay" dataDxfId="1275">
      <calculatedColumnFormula>COUNTIFS(Table78[Country],Tabela1[[#This Row],[Country]],Table78[Mixed 4x100m Medley Relay Classification],"&gt;0")</calculatedColumnFormula>
    </tableColumn>
    <tableColumn id="27" xr3:uid="{420CDAB5-AE28-4487-8DC6-B03511871690}" name="Swimming - Men's 10km Open Water" dataDxfId="1274">
      <calculatedColumnFormula>COUNTIFS(Table20[Country],Tabela1[[#This Row],[Country]],Table20[10km Open Water Classification],"&gt;0")</calculatedColumnFormula>
    </tableColumn>
    <tableColumn id="378" xr3:uid="{3954214F-DF48-4296-B08A-EC4D9F4BD88B}" name="Swimming - Women's 10km Open Water" dataDxfId="1273">
      <calculatedColumnFormula>COUNTIFS(Table21[Country],Tabela1[[#This Row],[Country]],Table21[10km Open Water Classification],"&gt;0")</calculatedColumnFormula>
    </tableColumn>
    <tableColumn id="140" xr3:uid="{338A3512-E1D0-4BE4-B148-194F930C08CB}" name="Table Tennis - Men's Singles" dataDxfId="1272">
      <calculatedColumnFormula>COUNTIFS(Table22[Country],Tabela1[[#This Row],[Country]],Table22[Classification],"&gt;0")</calculatedColumnFormula>
    </tableColumn>
    <tableColumn id="379" xr3:uid="{9AF66303-0284-4F28-9FF8-78C83EF17F52}" name="Table Tennis - Women's Singles" dataDxfId="1271">
      <calculatedColumnFormula>COUNTIFS(Table30[Country],Tabela1[[#This Row],[Country]],Table30[Classification],"&gt;0")</calculatedColumnFormula>
    </tableColumn>
    <tableColumn id="142" xr3:uid="{E828F54A-D0B7-449C-9B76-75FC41D523A7}" name="Table Tennis - Men's Team" dataDxfId="1270">
      <calculatedColumnFormula>COUNTIFS(Table55[Country],Tabela1[[#This Row],[Country]],Table55[Men''s Classification],"&gt;0")</calculatedColumnFormula>
    </tableColumn>
    <tableColumn id="380" xr3:uid="{1DCB09C3-C7F8-468F-B890-03C1E3207428}" name="Table Tennis - Women's Team" dataDxfId="1269">
      <calculatedColumnFormula>COUNTIFS(Table55[Country],Tabela1[[#This Row],[Country]],Table55[Women''s Classification],"&gt;0")</calculatedColumnFormula>
    </tableColumn>
    <tableColumn id="381" xr3:uid="{DE78D3DB-4F9C-4638-B7B2-BEDCECBBDDD4}" name="Table Tennis - Mixed Doubles" dataDxfId="1268">
      <calculatedColumnFormula>COUNTIFS(Table56[Country],Tabela1[[#This Row],[Country]],Table56[Mixed Classification],"&gt;0")</calculatedColumnFormula>
    </tableColumn>
    <tableColumn id="141" xr3:uid="{86F08A8E-B09B-406F-B80E-3118E41F7A0F}" name="Taekwondo - Men's 58kg" dataDxfId="1267">
      <calculatedColumnFormula>COUNTIFS(Table29[Country],Tabela1[[#This Row],[Country]],Table29[58kg Classification],"&gt;0")</calculatedColumnFormula>
    </tableColumn>
    <tableColumn id="143" xr3:uid="{512594B4-DA08-4C80-9D70-F7A6BB2E506C}" name="Taekwondo - Men's 68kg" dataDxfId="1266">
      <calculatedColumnFormula>COUNTIFS(Table29[Country],Tabela1[[#This Row],[Country]],Table29[68kg Classification],"&gt;0")</calculatedColumnFormula>
    </tableColumn>
    <tableColumn id="144" xr3:uid="{CC2345BC-2ED7-4DEB-BFBE-63DBC32FFCAA}" name="Taekwondo - Men's 80kg" dataDxfId="1265">
      <calculatedColumnFormula>COUNTIFS(Table29[Country],Tabela1[[#This Row],[Country]],Table29[80kg Classification],"&gt;0")</calculatedColumnFormula>
    </tableColumn>
    <tableColumn id="145" xr3:uid="{6CB57D1A-95BF-4233-A0F3-126B6B4C5A99}" name="Taekwondo - Men's +80kg" dataDxfId="1264">
      <calculatedColumnFormula>COUNTIFS(Table29[Country],Tabela1[[#This Row],[Country]],Table29[Plus 80kg Classification],"&gt;0")</calculatedColumnFormula>
    </tableColumn>
    <tableColumn id="382" xr3:uid="{DBFA76F4-94A6-4CDF-8FDE-884E46F19C48}" name="Taekwondo - Women's 49kg" dataDxfId="1263">
      <calculatedColumnFormula>COUNTIFS(Table34[Country],Tabela1[[#This Row],[Country]],Table34[49kg Classification],"&gt;0")</calculatedColumnFormula>
    </tableColumn>
    <tableColumn id="383" xr3:uid="{AE547BF4-7585-4CAC-B5FE-3E67D832021D}" name="Taekwondo - Women's 57kg" dataDxfId="1262">
      <calculatedColumnFormula>COUNTIFS(Table34[Country],Tabela1[[#This Row],[Country]],Table34[57kg Classification],"&gt;0")</calculatedColumnFormula>
    </tableColumn>
    <tableColumn id="384" xr3:uid="{D7046905-C498-45DC-8A81-19EF6600B4B0}" name="Taekwondo - Women's 67kg" dataDxfId="1261">
      <calculatedColumnFormula>COUNTIFS(Table34[Country],Tabela1[[#This Row],[Country]],Table34[67kg Classification],"&gt;0")</calculatedColumnFormula>
    </tableColumn>
    <tableColumn id="385" xr3:uid="{D15A32CB-2CAF-4DFA-8F3F-0E6F62BE6771}" name="Taekwondo - Women's +67kg" dataDxfId="1260">
      <calculatedColumnFormula>COUNTIFS(Table34[Country],Tabela1[[#This Row],[Country]],Table34[Plus 67kg Classification],"&gt;0")</calculatedColumnFormula>
    </tableColumn>
    <tableColumn id="146" xr3:uid="{A966830E-9221-4CE5-9BCC-4877FB664F3F}" name="Tennis - Men's Singles" dataDxfId="1259">
      <calculatedColumnFormula>COUNTIFS(Table57[Country],Tabela1[[#This Row],[Country]],Table57[Classification],"&gt;0")</calculatedColumnFormula>
    </tableColumn>
    <tableColumn id="386" xr3:uid="{41741476-6375-494A-89ED-76A2FEA76150}" name="Tennis - Women's Singles" dataDxfId="1258">
      <calculatedColumnFormula>COUNTIFS(Table58[Country],Tabela1[[#This Row],[Country]],Table58[Classification],"&gt;0")</calculatedColumnFormula>
    </tableColumn>
    <tableColumn id="147" xr3:uid="{99C4497A-6954-4B17-A9C0-588184F998E7}" name="Tennis - Men's Doubles" dataDxfId="1257">
      <calculatedColumnFormula>COUNTIFS(Table79[Country],Tabela1[[#This Row],[Country]],Table79[Men''s Classification],"&gt;0")</calculatedColumnFormula>
    </tableColumn>
    <tableColumn id="387" xr3:uid="{FCAC7BF1-F8FB-4508-B055-74D0191F36CD}" name="Tennis - Women's Doubles" dataDxfId="1256">
      <calculatedColumnFormula>COUNTIFS(Table79[Country],Tabela1[[#This Row],[Country]],Table79[Women''s Classification],"&gt;0")</calculatedColumnFormula>
    </tableColumn>
    <tableColumn id="388" xr3:uid="{951599D3-DDC6-47C2-B675-0021558609B2}" name="Tennis - Mixed Doubles" dataDxfId="1255">
      <calculatedColumnFormula>COUNTIFS(Table79[Country],Tabela1[[#This Row],[Country]],Table79[Mixed Classification],"&gt;0")</calculatedColumnFormula>
    </tableColumn>
    <tableColumn id="148" xr3:uid="{5BFBB355-CA2C-4025-A838-59414A2EEF02}" name="Triathlon - Men's Individual" dataDxfId="1254">
      <calculatedColumnFormula>COUNTIFS(Table65[Country],Tabela1[[#This Row],[Country]],Table65[Classification],"&gt;0")</calculatedColumnFormula>
    </tableColumn>
    <tableColumn id="389" xr3:uid="{37D7EEEF-5FB4-43AF-B025-6FFADD6EE4A0}" name="Triathlon - Women's Individual" dataDxfId="1253">
      <calculatedColumnFormula>COUNTIFS(Table59[Country],Tabela1[[#This Row],[Country]],Table59[Classification],"&gt;0")</calculatedColumnFormula>
    </tableColumn>
    <tableColumn id="390" xr3:uid="{67F85142-8D5D-4D08-B375-F28AFA353C1B}" name="Triathlon - Mixed Relay" dataDxfId="1252">
      <calculatedColumnFormula>COUNTIFS(Table87[Country],Tabela1[[#This Row],[Country]],Table87[Mixed Relay Classification],"&gt;0")</calculatedColumnFormula>
    </tableColumn>
    <tableColumn id="149" xr3:uid="{E5C305C7-21AF-4E48-A014-594285D9389A}" name="Volleyball - Men's Tournament" dataDxfId="1251">
      <calculatedColumnFormula>COUNTIFS(Table91949698100[Country],Tabela1[[#This Row],[Country]],Table91949698100[Men''s Classification],"&gt;0")</calculatedColumnFormula>
    </tableColumn>
    <tableColumn id="391" xr3:uid="{DA6410E6-B43F-494D-A91D-EBAC1DAA9178}" name="Volleyball - Women's Tournament" dataDxfId="1250">
      <calculatedColumnFormula>COUNTIFS(Table91949698100[Country],Tabela1[[#This Row],[Country]],Table91949698100[Women''s Classification],"&gt;0")</calculatedColumnFormula>
    </tableColumn>
    <tableColumn id="28" xr3:uid="{374A2074-7C1A-4D41-8664-49541A4ABC58}" name="Water Polo - Men's Tournament" dataDxfId="1249">
      <calculatedColumnFormula>COUNTIFS(Table91949698100102[Country],Tabela1[[#This Row],[Country]],Table91949698100102[Men''s Classification],"&gt;0")</calculatedColumnFormula>
    </tableColumn>
    <tableColumn id="392" xr3:uid="{52517367-73A0-4C52-B869-480DAFDA9371}" name="Water Polo - Women's Tournament" dataDxfId="1248">
      <calculatedColumnFormula>COUNTIFS(Table91949698100102[Country],Tabela1[[#This Row],[Country]],Table91949698100102[Women''s Classification],"&gt;0")</calculatedColumnFormula>
    </tableColumn>
    <tableColumn id="151" xr3:uid="{C759B6C5-9D84-4651-8266-69D0AEE5C3C7}" name="Weightlifting - Men's 61kg" dataDxfId="1247">
      <calculatedColumnFormula>COUNTIFS(Table23[Country],Tabela1[[#This Row],[Country]],Table23[61kg Classification],"&gt;0")</calculatedColumnFormula>
    </tableColumn>
    <tableColumn id="153" xr3:uid="{060F15F4-3C01-41EF-B8E0-8A4D80BD8F14}" name="Weightlifting - Men's 73kg" dataDxfId="1246">
      <calculatedColumnFormula>COUNTIFS(Table23[Country],Tabela1[[#This Row],[Country]],Table23[73kg Classification],"&gt;0")</calculatedColumnFormula>
    </tableColumn>
    <tableColumn id="154" xr3:uid="{C693824B-2139-4DDD-9148-F6C421D9D12C}" name="Weightlifting - Men's 89kg" dataDxfId="1245">
      <calculatedColumnFormula>COUNTIFS(Table23[Country],Tabela1[[#This Row],[Country]],Table23[89kg Classification],"&gt;0")</calculatedColumnFormula>
    </tableColumn>
    <tableColumn id="156" xr3:uid="{C1B8699D-76B7-4844-AA4F-6919729A4E4B}" name="Weightlifting - Men's 102kg" dataDxfId="1244">
      <calculatedColumnFormula>COUNTIFS(Table23[Country],Tabela1[[#This Row],[Country]],Table23[102kg Classification],"&gt;0")</calculatedColumnFormula>
    </tableColumn>
    <tableColumn id="157" xr3:uid="{397A816E-61C9-414E-AAF8-8E1E2576FD28}" name="Weightlifting - Men's +102kg" dataDxfId="1243">
      <calculatedColumnFormula>COUNTIFS(Table23[Country],Tabela1[[#This Row],[Country]],Table23[Plus 102kg Classification],"&gt;0")</calculatedColumnFormula>
    </tableColumn>
    <tableColumn id="393" xr3:uid="{9F2A90A8-F59D-4DF2-AEE3-44C4DD4D394F}" name="Weightlifting - Women's 49kg" dataDxfId="1242">
      <calculatedColumnFormula>COUNTIFS(Table28[Country],Tabela1[[#This Row],[Country]],Table28[49kg Classification],"&gt;0")</calculatedColumnFormula>
    </tableColumn>
    <tableColumn id="395" xr3:uid="{55F87578-DF43-412F-9F03-D166A10BDD93}" name="Weightlifting - Women's 59kg" dataDxfId="1241">
      <calculatedColumnFormula>COUNTIFS(Table28[Country],Tabela1[[#This Row],[Country]],Table28[59kg Classification],"&gt;0")</calculatedColumnFormula>
    </tableColumn>
    <tableColumn id="397" xr3:uid="{8FCEB34C-A221-42FD-AE8F-DDF3B19D61DA}" name="Weightlifting - Women's 71kg" dataDxfId="1240">
      <calculatedColumnFormula>COUNTIFS(Table28[Country],Tabela1[[#This Row],[Country]],Table28[71kg Classification],"&gt;0")</calculatedColumnFormula>
    </tableColumn>
    <tableColumn id="398" xr3:uid="{20792C0A-4E80-4747-A4A3-174CD025FC4E}" name="Weightlifting - Women's 81kg" dataDxfId="1239">
      <calculatedColumnFormula>COUNTIFS(Table28[Country],Tabela1[[#This Row],[Country]],Table28[81kg Classification],"&gt;0")</calculatedColumnFormula>
    </tableColumn>
    <tableColumn id="399" xr3:uid="{80D0A34C-3D27-456E-9531-0E649144C4C4}" name="Weightlifting - Women's +81kg" dataDxfId="1238">
      <calculatedColumnFormula>COUNTIFS(Table28[Country],Tabela1[[#This Row],[Country]],Table28[Plus 81kg Classification],"&gt;0")</calculatedColumnFormula>
    </tableColumn>
    <tableColumn id="158" xr3:uid="{4C3A48B8-E284-49A6-896E-8EC8D4831B8B}" name="Wrestling - Men's Freestyle 57kg" dataDxfId="1237">
      <calculatedColumnFormula>COUNTIFS(Table24[Country],Tabela1[[#This Row],[Country]],Table24[Freestyle 57kg Classification],"&gt;0")</calculatedColumnFormula>
    </tableColumn>
    <tableColumn id="160" xr3:uid="{CA112644-0078-48AB-843D-C287829525AC}" name="Wrestling - Men's Freestyle 65kg" dataDxfId="1236">
      <calculatedColumnFormula>COUNTIFS(Table24[Country],Tabela1[[#This Row],[Country]],Table24[Freestyle 65kg Classification],"&gt;0")</calculatedColumnFormula>
    </tableColumn>
    <tableColumn id="161" xr3:uid="{CE80A241-F432-4F3A-8906-FD5FCA437D7A}" name="Wrestling - Men's Freestyle 74kg" dataDxfId="1235">
      <calculatedColumnFormula>COUNTIFS(Table24[Country],Tabela1[[#This Row],[Country]],Table24[Freestyle 74kg Classification],"&gt;0")</calculatedColumnFormula>
    </tableColumn>
    <tableColumn id="162" xr3:uid="{5BF9FCCE-581A-4F72-A870-D843B74AB572}" name="Wrestling - Men's Freestyle 86kg" dataDxfId="1234">
      <calculatedColumnFormula>COUNTIFS(Table24[Country],Tabela1[[#This Row],[Country]],Table24[Freestyle 86kg Classification],"&gt;0")</calculatedColumnFormula>
    </tableColumn>
    <tableColumn id="234" xr3:uid="{6ED29162-92F4-4BD2-A1B7-1C929C99503B}" name="Wrestling - Men's Freestyle 97kg" dataDxfId="1233">
      <calculatedColumnFormula>COUNTIFS(Table24[Country],Tabela1[[#This Row],[Country]],Table24[Freestyle 97kg Classification],"&gt;0")</calculatedColumnFormula>
    </tableColumn>
    <tableColumn id="163" xr3:uid="{D789AEA5-52C0-4F19-ACF9-6CD7026D206F}" name="Wrestling - Men's Freestyle 125kg" dataDxfId="1232">
      <calculatedColumnFormula>COUNTIFS(Table24[Country],Tabela1[[#This Row],[Country]],Table24[Freestyle 125kg Classification],"&gt;0")</calculatedColumnFormula>
    </tableColumn>
    <tableColumn id="164" xr3:uid="{2A90B51A-FFFA-46B5-B2D9-A49602231982}" name="Wrestling - Men's Greco-Roman 60kg" dataDxfId="1231">
      <calculatedColumnFormula>COUNTIFS(Table24[Country],Tabela1[[#This Row],[Country]],Table24[Greco-Roman 60kg Classification],"&gt;0")</calculatedColumnFormula>
    </tableColumn>
    <tableColumn id="165" xr3:uid="{C0303C30-EE47-46BD-BBE1-D8E133B9C6BB}" name="Wrestling - Men's Greco-Roman 67kg" dataDxfId="1230">
      <calculatedColumnFormula>COUNTIFS(Table24[Country],Tabela1[[#This Row],[Country]],Table24[Greco-Roman 67kg Classification],"&gt;0")</calculatedColumnFormula>
    </tableColumn>
    <tableColumn id="166" xr3:uid="{3222B33A-7A4F-4DC4-A422-081467EE09E3}" name="Wrestling - Men's Greco-Roman 77kg" dataDxfId="1229">
      <calculatedColumnFormula>COUNTIFS(Table24[Country],Tabela1[[#This Row],[Country]],Table24[Greco-Roman 77kg Classification],"&gt;0")</calculatedColumnFormula>
    </tableColumn>
    <tableColumn id="167" xr3:uid="{77F29FD7-82FF-47DA-A815-D9C2BD232D14}" name="Wrestling - Men's Greco-Roman 87kg" dataDxfId="1228">
      <calculatedColumnFormula>COUNTIFS(Table24[Country],Tabela1[[#This Row],[Country]],Table24[Greco-Roman 87kg Classification],"&gt;0")</calculatedColumnFormula>
    </tableColumn>
    <tableColumn id="168" xr3:uid="{5FBF8521-8D5F-4C70-B71A-3F592F8F4298}" name="Wrestling - Men's Greco-Roman 97kg" dataDxfId="1227">
      <calculatedColumnFormula>COUNTIFS(Table24[Country],Tabela1[[#This Row],[Country]],Table24[Greco-Roman 97kg Classification],"&gt;0")</calculatedColumnFormula>
    </tableColumn>
    <tableColumn id="169" xr3:uid="{4381E27C-9D86-43FD-B4E4-206D6494BF9B}" name="Wrestling - Men's Greco-Roman 130kg" dataDxfId="1226">
      <calculatedColumnFormula>COUNTIFS(Table24[Country],Tabela1[[#This Row],[Country]],Table24[Greco-Roman 130kg Classification],"&gt;0")</calculatedColumnFormula>
    </tableColumn>
    <tableColumn id="400" xr3:uid="{27FA1AA6-EF53-49D5-832B-DFD6B900A926}" name="Wrestling - Women's Freestyle 50kg" dataDxfId="1225">
      <calculatedColumnFormula>COUNTIFS(Table31[Country],Tabela1[[#This Row],[Country]],Table31[50kg Classification],"&gt;0")</calculatedColumnFormula>
    </tableColumn>
    <tableColumn id="401" xr3:uid="{3624A442-C96B-40A9-A4EB-7271FF1EADCF}" name="Wrestling - Women's Freestyle 53kg" dataDxfId="1224">
      <calculatedColumnFormula>COUNTIFS(Table31[Country],Tabela1[[#This Row],[Country]],Table31[53kg Classification],"&gt;0")</calculatedColumnFormula>
    </tableColumn>
    <tableColumn id="402" xr3:uid="{9D9905E7-DCFF-4F32-8E83-A05C1CA079E2}" name="Wrestling - Women's Freestyle 57kg" dataDxfId="1223">
      <calculatedColumnFormula>COUNTIFS(Table31[Country],Tabela1[[#This Row],[Country]],Table31[57kg Classification],"&gt;0")</calculatedColumnFormula>
    </tableColumn>
    <tableColumn id="403" xr3:uid="{734C91E1-E44C-4270-9464-71B79CAFF1C9}" name="Wrestling - Women's Freestyle 62kg" dataDxfId="1222">
      <calculatedColumnFormula>COUNTIFS(Table31[Country],Tabela1[[#This Row],[Country]],Table31[62kg Classification],"&gt;0")</calculatedColumnFormula>
    </tableColumn>
    <tableColumn id="404" xr3:uid="{16AE1115-5565-480C-9EB9-0BF28F2FBBFC}" name="Wrestling - Women's Freestyle 68kg" dataDxfId="1221">
      <calculatedColumnFormula>COUNTIFS(Table31[Country],Tabela1[[#This Row],[Country]],Table31[68kg Classification],"&gt;0")</calculatedColumnFormula>
    </tableColumn>
    <tableColumn id="405" xr3:uid="{E4499E6D-809B-46CC-B03A-6D0065B15F05}" name="Wrestling - Women's Freestyle 76kg" dataDxfId="1220">
      <calculatedColumnFormula>COUNTIFS(Table31[Country],Tabela1[[#This Row],[Country]],Table31[76kg Classification],"&gt;0")</calculatedColumnFormula>
    </tableColumn>
    <tableColumn id="171" xr3:uid="{16B7F367-2EC9-4AD9-AC48-D45E7B278212}" name="Alpine Skiing - Men's Downhill" dataDxfId="1219">
      <calculatedColumnFormula>COUNTIFS(Table102[Country],Tabela1[[#This Row],[Country]],Table102[Downhill Classification],"&gt;0")</calculatedColumnFormula>
    </tableColumn>
    <tableColumn id="407" xr3:uid="{11D682C3-864D-4130-860A-58B8B96AB848}" name="Alpine Skiing - Women's Downhill" dataDxfId="1218">
      <calculatedColumnFormula>COUNTIFS(Table102105[Country],Tabela1[[#This Row],[Country]],Table102105[Downhill Classification],"&gt;0")</calculatedColumnFormula>
    </tableColumn>
    <tableColumn id="172" xr3:uid="{FE097AC6-892E-499C-8A8C-B15686534760}" name="Alpine Skiing - Men's Giant Slalom" dataDxfId="1217">
      <calculatedColumnFormula>COUNTIFS(Table102[Country],Tabela1[[#This Row],[Country]],Table102[Giant Slalom Classification],"&gt;0")</calculatedColumnFormula>
    </tableColumn>
    <tableColumn id="408" xr3:uid="{F543CD8D-0FAF-407E-BAB9-97CD75F8E382}" name="Alpine Skiing - Women's Giant Slalom" dataDxfId="1216">
      <calculatedColumnFormula>COUNTIFS(Table102105[Country],Tabela1[[#This Row],[Country]],Table102105[Giant Slalom Classification],"&gt;0")</calculatedColumnFormula>
    </tableColumn>
    <tableColumn id="173" xr3:uid="{56FBAC68-4D3F-418C-8973-BE3DD11A07CE}" name="Alpine Skiing - Men's Slalom" dataDxfId="1215">
      <calculatedColumnFormula>COUNTIFS(Table102[Country],Tabela1[[#This Row],[Country]],Table102[Slalom Classification],"&gt;0")</calculatedColumnFormula>
    </tableColumn>
    <tableColumn id="409" xr3:uid="{297CD3AF-880C-426E-AA3C-510F4052321B}" name="Alpine Skiing - Women's Slalom" dataDxfId="1214">
      <calculatedColumnFormula>COUNTIFS(Table102105[Country],Tabela1[[#This Row],[Country]],Table102105[Slalom Classification],"&gt;0")</calculatedColumnFormula>
    </tableColumn>
    <tableColumn id="174" xr3:uid="{05477813-1ACD-46B9-A2D2-6F64D8131784}" name="Alpine Skiing - Men's Super-G" dataDxfId="1213">
      <calculatedColumnFormula>COUNTIFS(Table102[Country],Tabela1[[#This Row],[Country]],Table102[Super-G Classification],"&gt;0")</calculatedColumnFormula>
    </tableColumn>
    <tableColumn id="410" xr3:uid="{B315C85C-4053-441B-96C8-1C23F2C0D858}" name="Alpine Skiing - Women's Super-G" dataDxfId="1212">
      <calculatedColumnFormula>COUNTIFS(Table102105[Country],Tabela1[[#This Row],[Country]],Table102105[Super-G Classification],"&gt;0")</calculatedColumnFormula>
    </tableColumn>
    <tableColumn id="170" xr3:uid="{5C8A4F3A-A06C-40FC-A7D3-A91DE60271FF}" name="Alpine Skiing - Men's Team Combined" dataDxfId="1211">
      <calculatedColumnFormula>COUNTIFS(Table105[Country],Tabela1[[#This Row],[Country]],Table105[Men''s Combined Classification],"&gt;0")</calculatedColumnFormula>
    </tableColumn>
    <tableColumn id="406" xr3:uid="{F509D3F6-D39D-490C-BBB9-5FA40CA3E013}" name="Alpine Skiing - Women's Team Combined" dataDxfId="1210">
      <calculatedColumnFormula>COUNTIFS(Table105[Country],Tabela1[[#This Row],[Country]],Table105[Women''s Combined Classification],"&gt;0")</calculatedColumnFormula>
    </tableColumn>
    <tableColumn id="175" xr3:uid="{B2FA86DA-B34E-4394-8614-A029F9CE6DFF}" name="Biathlon - Men's Individual" dataDxfId="1209">
      <calculatedColumnFormula>COUNTIFS(Table106[Country],Tabela1[[#This Row],[Country]],Table106[Individual Classification],"&gt;0")</calculatedColumnFormula>
    </tableColumn>
    <tableColumn id="412" xr3:uid="{F937E50A-E27F-4E26-A841-78D59EDB7A9C}" name="Biathlon - Women's Individual" dataDxfId="1208">
      <calculatedColumnFormula>COUNTIFS(Table106109[Country],Tabela1[[#This Row],[Country]],Table106109[Individual Classification],"&gt;0")</calculatedColumnFormula>
    </tableColumn>
    <tableColumn id="176" xr3:uid="{1EE57784-62B0-4BD7-A3D6-55C81DF20896}" name="Biathlon - Men's Mass Start" dataDxfId="1207">
      <calculatedColumnFormula>COUNTIFS(Table106[Country],Tabela1[[#This Row],[Country]],Table106[Mass Start Classification],"&gt;0")</calculatedColumnFormula>
    </tableColumn>
    <tableColumn id="413" xr3:uid="{BD5854FC-A591-4479-A1D2-85F027A44C8F}" name="Biathlon - Women's Mass Start" dataDxfId="1206">
      <calculatedColumnFormula>COUNTIFS(Table106109[Country],Tabela1[[#This Row],[Country]],Table106109[Mass Start Classification],"&gt;0")</calculatedColumnFormula>
    </tableColumn>
    <tableColumn id="177" xr3:uid="{1CD0C1B6-0E23-4545-9DB6-7D9B078376DD}" name="Biathlon - Men's Pursuit" dataDxfId="1205">
      <calculatedColumnFormula>COUNTIFS(Table106[Country],Tabela1[[#This Row],[Country]],Table106[Pursuit Classification],"&gt;0")</calculatedColumnFormula>
    </tableColumn>
    <tableColumn id="414" xr3:uid="{AD95664E-0C40-4F7E-9EDD-0CF98911B2A9}" name="Biathlon - Women's Pursuit" dataDxfId="1204">
      <calculatedColumnFormula>COUNTIFS(Table106109[Country],Tabela1[[#This Row],[Country]],Table106109[Pursuit Classification],"&gt;0")</calculatedColumnFormula>
    </tableColumn>
    <tableColumn id="179" xr3:uid="{04A23A99-3130-4BFF-B51C-60824C5549D1}" name="Biathlon - Men's Sprint" dataDxfId="1203">
      <calculatedColumnFormula>COUNTIFS(Table106[Country],Tabela1[[#This Row],[Country]],Table106[Sprint Classification],"&gt;0")</calculatedColumnFormula>
    </tableColumn>
    <tableColumn id="416" xr3:uid="{2D3B9752-B865-4CBE-A20B-E75359FF1FE5}" name="Biathlon - Women's Sprint" dataDxfId="1202">
      <calculatedColumnFormula>COUNTIFS(Table106109[Country],Tabela1[[#This Row],[Country]],Table106109[Sprint Classification],"&gt;0")</calculatedColumnFormula>
    </tableColumn>
    <tableColumn id="178" xr3:uid="{5C9F880F-3CCC-4CD6-B781-00D15FD875A1}" name="Biathlon - Men's Relay" dataDxfId="1201">
      <calculatedColumnFormula>COUNTIFS(Table109[Country],Tabela1[[#This Row],[Country]],Table109[Men''s Relay Classification],"&gt;0")</calculatedColumnFormula>
    </tableColumn>
    <tableColumn id="415" xr3:uid="{0EE4D0FC-0583-490E-8B95-C5BDDD4B24F2}" name="Biathlon - Women's Relay" dataDxfId="1200">
      <calculatedColumnFormula>COUNTIFS(Table109[Country],Tabela1[[#This Row],[Country]],Table109[Women''s Relay Classification],"&gt;0")</calculatedColumnFormula>
    </tableColumn>
    <tableColumn id="417" xr3:uid="{6AFC68B6-CA9E-40F3-9971-22035A03C597}" name="Biathlon - Mixed Relay" dataDxfId="1199">
      <calculatedColumnFormula>COUNTIFS(Table109[Country],Tabela1[[#This Row],[Country]],Table109[Mixed Relay Classification],"&gt;0")</calculatedColumnFormula>
    </tableColumn>
    <tableColumn id="418" xr3:uid="{7D9BCCAA-2C10-4C3B-BE99-3B65A5B8FE5D}" name="Bobsleigh - Women's Monobob" dataDxfId="1198">
      <calculatedColumnFormula>COUNTIFS(Table110[Country],Tabela1[[#This Row],[Country]],Table110[Monobob Classification],"&gt;0")</calculatedColumnFormula>
    </tableColumn>
    <tableColumn id="180" xr3:uid="{5BE0CF09-2C75-4B1E-A7A6-A2671611F484}" name="Bobsleigh - Men's Two" dataDxfId="1197">
      <calculatedColumnFormula>COUNTIFS(Table111[Country],Tabela1[[#This Row],[Country]],Table111[Men''s Classification],"&gt;0")</calculatedColumnFormula>
    </tableColumn>
    <tableColumn id="419" xr3:uid="{DFC52FE7-8B2B-4B3F-A4DD-725FEED9E5E8}" name="Bobsleigh - Women's Two" dataDxfId="1196">
      <calculatedColumnFormula>COUNTIFS(Table111[Country],Tabela1[[#This Row],[Country]],Table111[Women''s Classification],"&gt;0")</calculatedColumnFormula>
    </tableColumn>
    <tableColumn id="181" xr3:uid="{90767844-6162-40AE-B922-9E8742AA828C}" name="Bobsleigh - Men's Four" dataDxfId="1195">
      <calculatedColumnFormula>COUNTIFS(Table112[Country],Tabela1[[#This Row],[Country]],Table112[Men''s Four Classification],"&gt;0")</calculatedColumnFormula>
    </tableColumn>
    <tableColumn id="182" xr3:uid="{A2610F06-C65D-43EF-8488-1289CAC8D8C0}" name="Cross-country skiing - Men's Classical" dataDxfId="1194">
      <calculatedColumnFormula>COUNTIFS(Table113[Country],Tabela1[[#This Row],[Country]],Table113[Classical Classification],"&gt;0")</calculatedColumnFormula>
    </tableColumn>
    <tableColumn id="420" xr3:uid="{9C97CC6D-9A13-43A5-B84D-E301EACA7D73}" name="Cross-country skiing - Women's Classical" dataDxfId="1193">
      <calculatedColumnFormula>COUNTIFS(Table113116[Country],Tabela1[[#This Row],[Country]],Table113116[Classical Classification],"&gt;0")</calculatedColumnFormula>
    </tableColumn>
    <tableColumn id="183" xr3:uid="{EE259645-69D2-4B6F-B08D-E8E4DB56FB20}" name="Cross-country skiing - Men's Freestyle" dataDxfId="1192">
      <calculatedColumnFormula>COUNTIFS(Table113[Country],Tabela1[[#This Row],[Country]],Table113[Freestyle Classification],"&gt;0")</calculatedColumnFormula>
    </tableColumn>
    <tableColumn id="421" xr3:uid="{06EF0441-73BC-4CE2-B508-51F97BBE00E6}" name="Cross-country skiing - Women's Freestyle" dataDxfId="1191">
      <calculatedColumnFormula>COUNTIFS(Table113116[Country],Tabela1[[#This Row],[Country]],Table113116[Freestyle Classification],"&gt;0")</calculatedColumnFormula>
    </tableColumn>
    <tableColumn id="184" xr3:uid="{B0EEF587-2973-4992-B5DA-D886501740C9}" name="Cross-country skiing - Men's Relay" dataDxfId="1190">
      <calculatedColumnFormula>COUNTIFS(Table117[Country],Tabela1[[#This Row],[Country]],Table117[Men''s Relay Classification],"&gt;0")</calculatedColumnFormula>
    </tableColumn>
    <tableColumn id="422" xr3:uid="{2C4CE6C1-D4FA-4898-8DC2-514D7AE0C46B}" name="Cross-country skiing - Women's Relay" dataDxfId="1189">
      <calculatedColumnFormula>COUNTIFS(Table117[Country],Tabela1[[#This Row],[Country]],Table117[Women''s Relay Classification],"&gt;0")</calculatedColumnFormula>
    </tableColumn>
    <tableColumn id="185" xr3:uid="{289E303C-128E-4963-B8F1-778C2314C302}" name="Cross-country skiing - Men's Skiathlon" dataDxfId="1188">
      <calculatedColumnFormula>COUNTIFS(Table113[Country],Tabela1[[#This Row],[Country]],Table113[Skiathlon Classification],"&gt;0")</calculatedColumnFormula>
    </tableColumn>
    <tableColumn id="423" xr3:uid="{DFA26000-03E6-42A4-A91D-C1BE600DB4AB}" name="Cross-country skiing - Women's Skiathlon" dataDxfId="1187">
      <calculatedColumnFormula>COUNTIFS(Table113116[Country],Tabela1[[#This Row],[Country]],Table113116[Skiathlon Classification],"&gt;0")</calculatedColumnFormula>
    </tableColumn>
    <tableColumn id="186" xr3:uid="{9B0450BA-7040-4B34-804A-B45D93F89850}" name="Cross-country skiing - Men's Sprint" dataDxfId="1186">
      <calculatedColumnFormula>COUNTIFS(Table113[Country],Tabela1[[#This Row],[Country]],Table113[Sprint Classification],"&gt;0")</calculatedColumnFormula>
    </tableColumn>
    <tableColumn id="424" xr3:uid="{17F156AC-6432-4563-B611-741C4E056B38}" name="Cross-country skiing - Women's Sprint" dataDxfId="1185">
      <calculatedColumnFormula>COUNTIFS(Table113116[Country],Tabela1[[#This Row],[Country]],Table113116[Sprint Classification],"&gt;0")</calculatedColumnFormula>
    </tableColumn>
    <tableColumn id="187" xr3:uid="{09AEED2C-A078-4D1F-B398-C91C280FB2EE}" name="Cross-country skiing - Men's Team Sprint" dataDxfId="1184">
      <calculatedColumnFormula>COUNTIFS(Table116[Country],Tabela1[[#This Row],[Country]],Table116[Men''s Team Sprint Classification],"&gt;0")</calculatedColumnFormula>
    </tableColumn>
    <tableColumn id="425" xr3:uid="{A8682739-C0EA-41FF-B95C-EC4338F290EC}" name="Cross-country skiing - Women's Team Sprint" dataDxfId="1183">
      <calculatedColumnFormula>COUNTIFS(Table116[Country],Tabela1[[#This Row],[Country]],Table116[Women''s Team Sprint Classification],"&gt;0")</calculatedColumnFormula>
    </tableColumn>
    <tableColumn id="188" xr3:uid="{B898CAC1-9549-4199-B85A-B4C2867C34C4}" name="Curling - Men's Tournament" dataDxfId="1182">
      <calculatedColumnFormula>COUNTIFS(Table119[Country],Tabela1[[#This Row],[Country]],Table119[Men''s Classification],"&gt;0")</calculatedColumnFormula>
    </tableColumn>
    <tableColumn id="426" xr3:uid="{5EB8389C-CFCA-47CE-A0F1-27698BFCE5B4}" name="Curling - Women's Tournament" dataDxfId="1181">
      <calculatedColumnFormula>COUNTIFS(Table119[Country],Tabela1[[#This Row],[Country]],Table119[Women''s Classification],"&gt;0")</calculatedColumnFormula>
    </tableColumn>
    <tableColumn id="427" xr3:uid="{0A9C5AF4-5429-4356-AE75-3E9AB9C33936}" name="Curling - Mixed Doubles" dataDxfId="1180">
      <calculatedColumnFormula>COUNTIFS(Table118[Country],Tabela1[[#This Row],[Country]],Table118[Mixed Classification],"&gt;0")</calculatedColumnFormula>
    </tableColumn>
    <tableColumn id="189" xr3:uid="{57742B81-59BF-4EA4-9C57-1FD848B76420}" name="Figure Skating - Men's Singles" dataDxfId="1179">
      <calculatedColumnFormula>COUNTIFS(Table120[Country],Tabela1[[#This Row],[Country]],Table120[Classification],"&gt;0")</calculatedColumnFormula>
    </tableColumn>
    <tableColumn id="428" xr3:uid="{6E261931-B339-4581-B697-5B6FB4C58A34}" name="Figure Skating - Women's Singles" dataDxfId="1178">
      <calculatedColumnFormula>COUNTIFS(Table120123[Country],Tabela1[[#This Row],[Country]],Table120123[Classification],"&gt;0")</calculatedColumnFormula>
    </tableColumn>
    <tableColumn id="431" xr3:uid="{E5831268-5E43-4613-AFE4-E1A48F2EDF5B}" name="Figure Skating - Ice Dance" dataDxfId="1177">
      <calculatedColumnFormula>COUNTIFS(Table123[Country],Tabela1[[#This Row],[Country]],Table123[Ice Dance Classification],"&gt;0")</calculatedColumnFormula>
    </tableColumn>
    <tableColumn id="429" xr3:uid="{A6232BF1-C621-41A2-9BD7-A1476E676EB4}" name="Figure Skating - Pair Skating" dataDxfId="1176">
      <calculatedColumnFormula>COUNTIFS(Table123[Country],Tabela1[[#This Row],[Country]],Table123[Pair Skating Classification],"&gt;0")</calculatedColumnFormula>
    </tableColumn>
    <tableColumn id="430" xr3:uid="{45C42C89-E1A7-4D86-B870-60DA62458E12}" name="Figure Skating - Team Event" dataDxfId="1175">
      <calculatedColumnFormula>COUNTIFS(Table124[Country],Tabela1[[#This Row],[Country]],Table124[Mixed Classification],"&gt;0")</calculatedColumnFormula>
    </tableColumn>
    <tableColumn id="190" xr3:uid="{06AABE84-8E84-4818-A8AA-39965D24DE4A}" name="Freestyle Skiing - Men's Aerials" dataDxfId="1174">
      <calculatedColumnFormula>COUNTIFS(Table125[Country],Tabela1[[#This Row],[Country]],Table125[Aerials Classification],"&gt;0")</calculatedColumnFormula>
    </tableColumn>
    <tableColumn id="432" xr3:uid="{39E50187-53FC-4F43-B9C2-1DD4501738CB}" name="Freestyle Skiing - Women's Aerials" dataDxfId="1173">
      <calculatedColumnFormula>COUNTIFS(Table125128[Country],Tabela1[[#This Row],[Country]],Table125128[Aerials Classification],"&gt;0")</calculatedColumnFormula>
    </tableColumn>
    <tableColumn id="433" xr3:uid="{60DE20A4-C983-4FE3-B4AB-A66EAB2CF9E6}" name="Freestyle Skiing - Mixed Team Aerials" dataDxfId="1172">
      <calculatedColumnFormula>COUNTIFS(Table128[Country],Tabela1[[#This Row],[Country]],Table128[Mixed Aerials Classification],"&gt;0")</calculatedColumnFormula>
    </tableColumn>
    <tableColumn id="191" xr3:uid="{21DB45BD-BD07-4362-A6E5-5276542A2865}" name="Freestyle Skiing - Men's Big Air" dataDxfId="1171">
      <calculatedColumnFormula>COUNTIFS(Table125[Country],Tabela1[[#This Row],[Country]],Table125[Big Air Classification],"&gt;0")</calculatedColumnFormula>
    </tableColumn>
    <tableColumn id="434" xr3:uid="{650205AB-CB44-4270-AF1C-0CB79C1908B1}" name="Freestyle Skiing - Women's Big Air" dataDxfId="1170">
      <calculatedColumnFormula>COUNTIFS(Table125128[Country],Tabela1[[#This Row],[Country]],Table125128[Big Air Classification],"&gt;0")</calculatedColumnFormula>
    </tableColumn>
    <tableColumn id="330" xr3:uid="{BD5A6998-A266-4364-A326-9673D620423C}" name="Freestyle Skiing - Men's Dual Moguls" dataDxfId="1169">
      <calculatedColumnFormula>COUNTIFS(Table125[Country],Tabela1[[#This Row],[Country]],Table125[Dual Moguls Classification],"&gt;0")</calculatedColumnFormula>
    </tableColumn>
    <tableColumn id="331" xr3:uid="{9A79F81C-6ABC-443F-8420-3C6D70153540}" name="Freestyle Skiing - Women's Dual Moguls" dataDxfId="1168">
      <calculatedColumnFormula>COUNTIFS(Table125128[Country],Tabela1[[#This Row],[Country]],Table125128[Dual Moguls Classification],"&gt;0")</calculatedColumnFormula>
    </tableColumn>
    <tableColumn id="192" xr3:uid="{A886468B-B29A-4EB3-8EA4-7496928362F3}" name="Freestyle Skiing - Men's Halfpipe" dataDxfId="1167">
      <calculatedColumnFormula>COUNTIFS(Table125[Country],Tabela1[[#This Row],[Country]],Table125[Halfpipe Classification],"&gt;0")</calculatedColumnFormula>
    </tableColumn>
    <tableColumn id="435" xr3:uid="{D5DF3A14-59FA-478B-BD3F-4D5397FA1A41}" name="Freestyle Skiing - Women's Halfpipe" dataDxfId="1166">
      <calculatedColumnFormula>COUNTIFS(Table125128[Country],Tabela1[[#This Row],[Country]],Table125128[Halfpipe Classification],"&gt;0")</calculatedColumnFormula>
    </tableColumn>
    <tableColumn id="193" xr3:uid="{8E1CDBCA-24DD-43B5-B3CE-11592B65BF7F}" name="Freestyle Skiing - Men's Moguls" dataDxfId="1165">
      <calculatedColumnFormula>COUNTIFS(Table125[Country],Tabela1[[#This Row],[Country]],Table125[Moguls Classification],"&gt;0")</calculatedColumnFormula>
    </tableColumn>
    <tableColumn id="436" xr3:uid="{8D70C275-5FD5-4AC2-8ECC-323B72858D3B}" name="Freestyle Skiing - Women's Moguls" dataDxfId="1164">
      <calculatedColumnFormula>COUNTIFS(Table125128[Country],Tabela1[[#This Row],[Country]],Table125128[Moguls Classification],"&gt;0")</calculatedColumnFormula>
    </tableColumn>
    <tableColumn id="194" xr3:uid="{FBD7FBA5-727B-4CA9-A36E-8E45E20E1D07}" name="Freestyle Skiing - Men's Ski Cross" dataDxfId="1163">
      <calculatedColumnFormula>COUNTIFS(Table125[Country],Tabela1[[#This Row],[Country]],Table125[Ski Cross Classification],"&gt;0")</calculatedColumnFormula>
    </tableColumn>
    <tableColumn id="437" xr3:uid="{CD8E037B-168B-4CE5-BE20-9B960BB68BAA}" name="Freestyle Skiing - Women's Ski Cross" dataDxfId="1162">
      <calculatedColumnFormula>COUNTIFS(Table125128[Country],Tabela1[[#This Row],[Country]],Table125128[Ski Cross Classification],"&gt;0")</calculatedColumnFormula>
    </tableColumn>
    <tableColumn id="195" xr3:uid="{1ACC6E70-981A-4FD7-8223-2523113F35D4}" name="Freestyle Skiing - Men's Slopestyle" dataDxfId="1161">
      <calculatedColumnFormula>COUNTIFS(Table125[Country],Tabela1[[#This Row],[Country]],Table125[Slopestyle Classification],"&gt;0")</calculatedColumnFormula>
    </tableColumn>
    <tableColumn id="438" xr3:uid="{419B396A-8AC5-4C1C-AC04-58B685CF36A6}" name="Freestyle Skiing - Women's Slopestyle" dataDxfId="1160">
      <calculatedColumnFormula>COUNTIFS(Table125128[Country],Tabela1[[#This Row],[Country]],Table125128[Slopestyle Classification],"&gt;0")</calculatedColumnFormula>
    </tableColumn>
    <tableColumn id="196" xr3:uid="{9FE3F689-323B-4A34-8B3B-32AD75130A9F}" name="Ice Hockey - Men's Tournament" dataDxfId="1159">
      <calculatedColumnFormula>COUNTIFS(Table119131[Country],Tabela1[[#This Row],[Country]],Table119131[Men''s Classification],"&gt;0")</calculatedColumnFormula>
    </tableColumn>
    <tableColumn id="439" xr3:uid="{C8F24C3D-BC9F-4E22-B826-A864775E94A1}" name="Ice Hockey - Women's Tournament" dataDxfId="1158">
      <calculatedColumnFormula>COUNTIFS(Table119131[Country],Tabela1[[#This Row],[Country]],Table119131[Women''s Classification],"&gt;0")</calculatedColumnFormula>
    </tableColumn>
    <tableColumn id="197" xr3:uid="{17680BBE-0B90-4078-A798-B97327317F30}" name="Luge - Men's Singles" dataDxfId="1157">
      <calculatedColumnFormula>COUNTIFS(Table131[Country],Tabela1[[#This Row],[Country]],Table131[Classification],"&gt;0")</calculatedColumnFormula>
    </tableColumn>
    <tableColumn id="440" xr3:uid="{AB8CE281-BB7A-4974-AC6C-DC9A848537D0}" name="Luge - Women's Singles" dataDxfId="1156">
      <calculatedColumnFormula>COUNTIFS(Table131134[Country],Tabela1[[#This Row],[Country]],Table131134[Classification],"&gt;0")</calculatedColumnFormula>
    </tableColumn>
    <tableColumn id="441" xr3:uid="{3EA7D0C8-9FEA-4BA5-BBDB-291C4E6EE983}" name="Luge - Men's Doubles" dataDxfId="1155">
      <calculatedColumnFormula>COUNTIFS(Table134[Country],Tabela1[[#This Row],[Country]],Table134[Men''s Classification],"&gt;0")</calculatedColumnFormula>
    </tableColumn>
    <tableColumn id="396" xr3:uid="{2A995CE2-9C3C-440F-9A82-F6B3AC86D621}" name="Luge - Women's Doubles" dataDxfId="1154">
      <calculatedColumnFormula>COUNTIFS(Table134[Country],Tabela1[[#This Row],[Country]],Table134[Women''s Classification],"&gt;0")</calculatedColumnFormula>
    </tableColumn>
    <tableColumn id="442" xr3:uid="{8321049F-AE84-4A6F-9075-2D9CD0566238}" name="Luge - Mixed Team Relay" dataDxfId="1153">
      <calculatedColumnFormula>COUNTIFS(Table135[Country],Tabela1[[#This Row],[Country]],Table135[Mixed Relay Classification],"&gt;0")</calculatedColumnFormula>
    </tableColumn>
    <tableColumn id="200" xr3:uid="{56E5F2C8-0E30-4EAA-9426-D33C46773DA8}" name="Nordic Combined - Men's Individual" dataDxfId="1152">
      <calculatedColumnFormula>COUNTIFS(Table136[Country],Tabela1[[#This Row],[Country]],Table136[Individual Classification],"&gt;0")</calculatedColumnFormula>
    </tableColumn>
    <tableColumn id="198" xr3:uid="{3F2C86E2-813C-468A-8A2F-25AAE0E1C92B}" name="Nordic Combined - Men's Sprint" dataDxfId="1151">
      <calculatedColumnFormula>COUNTIFS(Table136[Country],Tabela1[[#This Row],[Country]],Table136[Sprint Classification],"&gt;0")</calculatedColumnFormula>
    </tableColumn>
    <tableColumn id="199" xr3:uid="{3DCA7F8D-66DE-498F-B9D0-CF687B35BC9D}" name="Nordic Combined - Men's Team Sprint Large Hill" dataDxfId="1150">
      <calculatedColumnFormula>COUNTIFS(Table137[Country],Tabela1[[#This Row],[Country]],Table137[Men''s Team Sprint Large Hill Classification],"&gt;0")</calculatedColumnFormula>
    </tableColumn>
    <tableColumn id="201" xr3:uid="{54D2F10F-38C3-44AB-8405-0A5451FB262F}" name="Short track speed skating - Men's 500m" dataDxfId="1149">
      <calculatedColumnFormula>COUNTIFS(Table138[Country],Tabela1[[#This Row],[Country]],Table138[500m Classification],"&gt;0")</calculatedColumnFormula>
    </tableColumn>
    <tableColumn id="443" xr3:uid="{A3A4A42A-F85F-4294-A126-17375A8B04CB}" name="Short track speed skating - Women's 500m" dataDxfId="1148">
      <calculatedColumnFormula>COUNTIFS(Table138141[Country],Tabela1[[#This Row],[Country]],Table138141[500m Classification],"&gt;0")</calculatedColumnFormula>
    </tableColumn>
    <tableColumn id="202" xr3:uid="{82ECD1E9-1067-436D-93B9-474D8D3C131B}" name="Short track speed skating - Men's 1000m" dataDxfId="1147">
      <calculatedColumnFormula>COUNTIFS(Table138[Country],Tabela1[[#This Row],[Country]],Table138[1000m Classification],"&gt;0")</calculatedColumnFormula>
    </tableColumn>
    <tableColumn id="444" xr3:uid="{E75380D9-D7C8-4A48-90D4-78B91BA0A2C5}" name="Short track speed skating - Women's 1000m" dataDxfId="1146">
      <calculatedColumnFormula>COUNTIFS(Table138141[Country],Tabela1[[#This Row],[Country]],Table138141[1000m Classification],"&gt;0")</calculatedColumnFormula>
    </tableColumn>
    <tableColumn id="203" xr3:uid="{EE25FCE3-E81C-4629-94CD-B7A33820E8FD}" name="Short track speed skating - Men's 1500m" dataDxfId="1145">
      <calculatedColumnFormula>COUNTIFS(Table138[Country],Tabela1[[#This Row],[Country]],Table138[1500m Classification],"&gt;0")</calculatedColumnFormula>
    </tableColumn>
    <tableColumn id="445" xr3:uid="{524C5460-D155-4505-82FE-B17B09A8C399}" name="Short track speed skating - Women's 1500m" dataDxfId="1144">
      <calculatedColumnFormula>COUNTIFS(Table138141[Country],Tabela1[[#This Row],[Country]],Table138141[1500m Classification],"&gt;0")</calculatedColumnFormula>
    </tableColumn>
    <tableColumn id="204" xr3:uid="{9ACEEC91-8E36-456A-AE3F-B1776B9D6D26}" name="Short track speed skating - Men's 5000m Relay" dataDxfId="1143">
      <calculatedColumnFormula>COUNTIFS(Table141[Country],Tabela1[[#This Row],[Country]],Table141[Men''s 5000m Relay Classification],"&gt;0")</calculatedColumnFormula>
    </tableColumn>
    <tableColumn id="446" xr3:uid="{85D4A8AC-B605-4AFA-828F-370E2A91DE00}" name="Short track speed skating - Women's 3000m Relay" dataDxfId="1142">
      <calculatedColumnFormula>COUNTIFS(Table141[Country],Tabela1[[#This Row],[Country]],Table141[Women''s 3000m Relay Classification],"&gt;0")</calculatedColumnFormula>
    </tableColumn>
    <tableColumn id="447" xr3:uid="{DC330D83-4262-470F-88EB-6D4074BDD815}" name="Short track speed skating - Mixed 2000m Relay" dataDxfId="1141">
      <calculatedColumnFormula>COUNTIFS(Table141[Country],Tabela1[[#This Row],[Country]],Table141[Mixed 2000m Relay Classification],"&gt;0")</calculatedColumnFormula>
    </tableColumn>
    <tableColumn id="205" xr3:uid="{59FDAF96-869B-4EFB-B908-1E5C4056BCDC}" name="Skeleton - Men's Individual" dataDxfId="1140">
      <calculatedColumnFormula>COUNTIFS(Table142[Country],Tabela1[[#This Row],[Country]],Table142[Classification],"&gt;0")</calculatedColumnFormula>
    </tableColumn>
    <tableColumn id="448" xr3:uid="{E4FAF71A-4C24-4C2C-BE0A-55BD5CDF8007}" name="Skeleton - Women's Individual" dataDxfId="1139">
      <calculatedColumnFormula>COUNTIFS(Table142145[Country],Tabela1[[#This Row],[Country]],Table142145[Classification],"&gt;0")</calculatedColumnFormula>
    </tableColumn>
    <tableColumn id="355" xr3:uid="{90EC533C-EBA2-4A9E-BBE4-6FD4FFB59DEF}" name="Skeleton - Mixed Team" dataDxfId="1138">
      <calculatedColumnFormula>COUNTIFS(Tabela15[Country],Tabela1[[#This Row],[Country]],Tabela15[Mixed Team Classification],"&gt;0")</calculatedColumnFormula>
    </tableColumn>
    <tableColumn id="206" xr3:uid="{A236E533-84A5-418F-BE93-DCA35A890068}" name="Ski Jumping - Men's Individual Large Hill" dataDxfId="1137">
      <calculatedColumnFormula>COUNTIFS(Table145[Country],Tabela1[[#This Row],[Country]],Table145[Large Hill Classification],"&gt;0")</calculatedColumnFormula>
    </tableColumn>
    <tableColumn id="207" xr3:uid="{D5C5195A-4F0A-4B90-AA94-A6DB411F7DB1}" name="Ski Jumping - Men's Individual Normal Hill" dataDxfId="1136">
      <calculatedColumnFormula>COUNTIFS(Table145[Country],Tabela1[[#This Row],[Country]],Table145[Normal Hill Classification],"&gt;0")</calculatedColumnFormula>
    </tableColumn>
    <tableColumn id="411" xr3:uid="{46DAB0E1-2C5C-41D9-980B-B651C64AB176}" name="Ski Jumping - Women's Individual Large Hill" dataDxfId="1135">
      <calculatedColumnFormula>COUNTIFS(Table145148[Country],Tabela1[[#This Row],[Country]],Table145148[Large Hill Classification],"&gt;0")</calculatedColumnFormula>
    </tableColumn>
    <tableColumn id="449" xr3:uid="{2FB2532B-FC3F-4784-9E1A-B95FB8C59EE2}" name="Ski Jumping - Women's Individual Normal Hill" dataDxfId="1134">
      <calculatedColumnFormula>COUNTIFS(Table145148[Country],Tabela1[[#This Row],[Country]],Table145148[Normal Hill Classification],"&gt;0")</calculatedColumnFormula>
    </tableColumn>
    <tableColumn id="208" xr3:uid="{83D6DED0-69BF-4B25-AB6B-813AFD905886}" name="Ski Jumping - Men's Super Team" dataDxfId="1133">
      <calculatedColumnFormula>COUNTIFS(Table148[Country],Tabela1[[#This Row],[Country]],Table148[Men''s Super Team Classification],"&gt;0")</calculatedColumnFormula>
    </tableColumn>
    <tableColumn id="450" xr3:uid="{5CAE2D4C-DD76-497E-B6EE-5A69692D59C6}" name="Ski Jumping - Mixed Team Normal Hill" dataDxfId="1132">
      <calculatedColumnFormula>COUNTIFS(Tabela114[Country],Tabela1[[#This Row],[Country]],Tabela114[Mixed Normal Hill Classification],"&gt;0")</calculatedColumnFormula>
    </tableColumn>
    <tableColumn id="464" xr3:uid="{FEA1B685-47B3-4515-9C40-32B77A4A49FF}" name="Ski Mountaineering - Men's Sprint" dataDxfId="1131">
      <calculatedColumnFormula>COUNTIFS(Tabela50[Country],Tabela1[[#This Row],[Country]],Tabela50[Sprint Classification],"&gt;0")</calculatedColumnFormula>
    </tableColumn>
    <tableColumn id="465" xr3:uid="{55BDC893-0299-4258-9A8A-D1F70C3C563E}" name="Ski Mountaineering - Women's Sprint" dataDxfId="1130">
      <calculatedColumnFormula>COUNTIFS(Tabela50101[Country],Tabela1[[#This Row],[Country]],Tabela50101[Sprint Classification],"&gt;0")</calculatedColumnFormula>
    </tableColumn>
    <tableColumn id="466" xr3:uid="{B0F4FEA8-6CA3-4A50-AB20-9130638045CD}" name="Ski Mountaineering - Mixed Relay" dataDxfId="1129">
      <calculatedColumnFormula>COUNTIFS(Tabela103[Country],Tabela1[[#This Row],[Country]],Tabela103[Mixed Relay Classification],"&gt;0")</calculatedColumnFormula>
    </tableColumn>
    <tableColumn id="209" xr3:uid="{862324A1-86B4-49C9-AA73-7ADE399152FA}" name="Snowboarding - Men's Big Air" dataDxfId="1128">
      <calculatedColumnFormula>COUNTIFS(Table149[Country],Tabela1[[#This Row],[Country]],Table149[Big Air Classification],"&gt;0")</calculatedColumnFormula>
    </tableColumn>
    <tableColumn id="451" xr3:uid="{40B1FD35-215E-41C2-9F12-B419C04B0EA1}" name="Snowboarding - Women's Big Air" dataDxfId="1127">
      <calculatedColumnFormula>COUNTIFS(Table149152[Country],Tabela1[[#This Row],[Country]],Table149152[Big Air Classification],"&gt;0")</calculatedColumnFormula>
    </tableColumn>
    <tableColumn id="210" xr3:uid="{6FE0CCF9-AD19-48D8-9575-ADE8C33177DC}" name="Snowboarding - Men's Halfpipe" dataDxfId="1126">
      <calculatedColumnFormula>COUNTIFS(Table149[Country],Tabela1[[#This Row],[Country]],Table149[Halfpipe Classification],"&gt;0")</calculatedColumnFormula>
    </tableColumn>
    <tableColumn id="452" xr3:uid="{737B7DB2-7FC5-409F-AB4A-B71E6AF06445}" name="Snowboarding - Women's Halfpipe" dataDxfId="1125">
      <calculatedColumnFormula>COUNTIFS(Table149152[Country],Tabela1[[#This Row],[Country]],Table149152[Halfpipe Classification],"&gt;0")</calculatedColumnFormula>
    </tableColumn>
    <tableColumn id="211" xr3:uid="{1246EDE4-8AD4-44A9-B344-0C04903EF2D7}" name="Snowboarding - Men's Parallel Giant Slalom" dataDxfId="1124">
      <calculatedColumnFormula>COUNTIFS(Table149[Country],Tabela1[[#This Row],[Country]],Table149[Parallel Giant Slalom Classification],"&gt;0")</calculatedColumnFormula>
    </tableColumn>
    <tableColumn id="453" xr3:uid="{25848F53-A074-43A0-8D81-ED762DD6BD04}" name="Snowboarding - Women's Parallel Giant Slalom" dataDxfId="1123">
      <calculatedColumnFormula>COUNTIFS(Table149152[Country],Tabela1[[#This Row],[Country]],Table149152[Parallel Giant Slalom Classification],"&gt;0")</calculatedColumnFormula>
    </tableColumn>
    <tableColumn id="212" xr3:uid="{3B5F19A8-382F-4052-85B3-5DEA8CEDFAFF}" name="Snowboarding - Men's Slopestyle" dataDxfId="1122">
      <calculatedColumnFormula>COUNTIFS(Table149[Country],Tabela1[[#This Row],[Country]],Table149[Slopestyle Classification],"&gt;0")</calculatedColumnFormula>
    </tableColumn>
    <tableColumn id="454" xr3:uid="{3B5F0CDC-E779-4DBA-9C6D-857DD044C5AB}" name="Snowboarding - Women's Slopestyle" dataDxfId="1121">
      <calculatedColumnFormula>COUNTIFS(Table149152[Country],Tabela1[[#This Row],[Country]],Table149152[Slopestyle Classification],"&gt;0")</calculatedColumnFormula>
    </tableColumn>
    <tableColumn id="213" xr3:uid="{6BEAF3A5-8186-4710-A886-E68EB573D899}" name="Snowboarding - Men's Snowboard Cross" dataDxfId="1120">
      <calculatedColumnFormula>COUNTIFS(Table149[Country],Tabela1[[#This Row],[Country]],Table149[Snowboard Cross Classification],"&gt;0")</calculatedColumnFormula>
    </tableColumn>
    <tableColumn id="455" xr3:uid="{99ED56AF-8BA2-4B77-87EE-8D16556705F0}" name="Snowboarding - Women's Snowboard Cross" dataDxfId="1119">
      <calculatedColumnFormula>COUNTIFS(Table149152[Country],Tabela1[[#This Row],[Country]],Table149152[Snowboard Cross Classification],"&gt;0")</calculatedColumnFormula>
    </tableColumn>
    <tableColumn id="456" xr3:uid="{D8AFEB25-A734-4B31-A01D-35A279247D35}" name="Snowboarding - Mixed Team Snowboard Cross" dataDxfId="1118">
      <calculatedColumnFormula>COUNTIFS(Table153[Country],Tabela1[[#This Row],[Country]],Table153[Mixed Team Snowboard Cross Classification],"&gt;0")</calculatedColumnFormula>
    </tableColumn>
    <tableColumn id="214" xr3:uid="{B20DA26D-F563-4EFA-9E6C-C78A2488198B}" name="Speed Skating - Men's 500m" dataDxfId="1117">
      <calculatedColumnFormula>COUNTIFS(Table154[Country],Tabela1[[#This Row],[Country]],Table154[500m Classification],"&gt;0")</calculatedColumnFormula>
    </tableColumn>
    <tableColumn id="463" xr3:uid="{0B7B37D5-455C-48B6-A0B7-4CE1F727E630}" name="Speed Skating - Women's 500m" dataDxfId="1116">
      <calculatedColumnFormula>COUNTIFS(Table154157[Country],Tabela1[[#This Row],[Country]],Table154157[500m Classification],"&gt;0")</calculatedColumnFormula>
    </tableColumn>
    <tableColumn id="215" xr3:uid="{DEBDDCDB-DAE3-4363-8CFD-124B04DDF8ED}" name="Speed Skating - Men's 1000m" dataDxfId="1115">
      <calculatedColumnFormula>COUNTIFS(Table154[Country],Tabela1[[#This Row],[Country]],Table154[1000m Classification],"&gt;0")</calculatedColumnFormula>
    </tableColumn>
    <tableColumn id="462" xr3:uid="{557B6E9B-9546-43C4-9119-0AABBEFA4E3E}" name="Speed Skating - Women's 1000m" dataDxfId="1114">
      <calculatedColumnFormula>COUNTIFS(Table154157[Country],Tabela1[[#This Row],[Country]],Table154157[1000m Classification],"&gt;0")</calculatedColumnFormula>
    </tableColumn>
    <tableColumn id="216" xr3:uid="{7E7249B9-B32B-483F-9500-65F169C1E392}" name="Speed Skating - Men's 1500m" dataDxfId="1113">
      <calculatedColumnFormula>COUNTIFS(Table154[Country],Tabela1[[#This Row],[Country]],Table154[1500m Classification],"&gt;0")</calculatedColumnFormula>
    </tableColumn>
    <tableColumn id="461" xr3:uid="{2D2B5898-10E4-4F51-8CAD-FC3CACA5EF6D}" name="Speed Skating - Women's 1500m" dataDxfId="1112">
      <calculatedColumnFormula>COUNTIFS(Table154157[Country],Tabela1[[#This Row],[Country]],Table154157[1500m Classification],"&gt;0")</calculatedColumnFormula>
    </tableColumn>
    <tableColumn id="460" xr3:uid="{27D30AA5-D965-4A25-AA5A-81598F6EA960}" name="Speed Skating - Women's 3000m" dataDxfId="1111">
      <calculatedColumnFormula>COUNTIFS(Table154157[Country],Tabela1[[#This Row],[Country]],Table154157[3000m Classification],"&gt;0")</calculatedColumnFormula>
    </tableColumn>
    <tableColumn id="217" xr3:uid="{CD17ED18-C025-41B5-B58E-2941CCE6C5FB}" name="Speed Skating - Men's 5000m" dataDxfId="1110">
      <calculatedColumnFormula>COUNTIFS(Table154[Country],Tabela1[[#This Row],[Country]],Table154[5000m Classification],"&gt;0")</calculatedColumnFormula>
    </tableColumn>
    <tableColumn id="459" xr3:uid="{B13771F7-A008-43ED-8404-853F20BBA8E8}" name="Speed Skating - Women's 5000m" dataDxfId="1109">
      <calculatedColumnFormula>COUNTIFS(Table154157[Country],Tabela1[[#This Row],[Country]],Table154157[5000m Classification],"&gt;0")</calculatedColumnFormula>
    </tableColumn>
    <tableColumn id="218" xr3:uid="{81971A3A-AE67-4656-A6E9-B336B399832C}" name="Speed Skating - Men's 10000m" dataDxfId="1108">
      <calculatedColumnFormula>COUNTIFS(Table154[Country],Tabela1[[#This Row],[Country]],Table154[10000m Classification],"&gt;0")</calculatedColumnFormula>
    </tableColumn>
    <tableColumn id="219" xr3:uid="{191B2C89-AAC9-4BF0-9EAE-498B7AC610DD}" name="Speed Skating - Men's Mass Start" dataDxfId="1107">
      <calculatedColumnFormula>COUNTIFS(Table154[Country],Tabela1[[#This Row],[Country]],Table154[Mass Start Classification],"&gt;0")</calculatedColumnFormula>
    </tableColumn>
    <tableColumn id="458" xr3:uid="{105A3DD3-D29B-43EA-A4B2-4FEB45F8B7C4}" name="Speed Skating - Women's Mass Start" dataDxfId="1106">
      <calculatedColumnFormula>COUNTIFS(Table154157[Country],Tabela1[[#This Row],[Country]],Table154157[Mass Start Classification],"&gt;0")</calculatedColumnFormula>
    </tableColumn>
    <tableColumn id="220" xr3:uid="{9D11284A-7007-4F89-BBFE-C4F46712B401}" name="Speed Skating - Men's Team Pursuit" dataDxfId="1105">
      <calculatedColumnFormula>COUNTIFS(Table157[Country],Tabela1[[#This Row],[Country]],Table157[Men''s Pursuit Classification],"&gt;0")</calculatedColumnFormula>
    </tableColumn>
    <tableColumn id="457" xr3:uid="{577B4639-F20F-43A5-AFC5-DF4FD8DC8B66}" name="Speed Skating - Women's Team Pursuit" dataDxfId="1104">
      <calculatedColumnFormula>COUNTIFS(Table157[Country],Tabela1[[#This Row],[Country]],Table157[Women''s Pursuit Classification],"&gt;0")</calculatedColumnFormula>
    </tableColumn>
    <tableColumn id="229" xr3:uid="{3189BB4A-B3CB-41CA-AF27-84ACB2184125}" name="Image Link" dataDxfId="1103"/>
  </tableColumns>
  <tableStyleInfo name="TableStyleLight1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E90789D-42B3-43BC-8011-F41D34A27F60}" name="Table2" displayName="Table2" ref="A1:E446" totalsRowShown="0" dataDxfId="1574">
  <autoFilter ref="A1:E446" xr:uid="{DE90789D-42B3-43BC-8011-F41D34A27F60}"/>
  <sortState xmlns:xlrd2="http://schemas.microsoft.com/office/spreadsheetml/2017/richdata2" ref="A2:E446">
    <sortCondition descending="1" ref="D1:D446"/>
  </sortState>
  <tableColumns count="5">
    <tableColumn id="1" xr3:uid="{72B68809-9700-4272-8B7D-96F4BD15748D}" name="Event" dataDxfId="1573"/>
    <tableColumn id="2" xr3:uid="{F3BD68FF-C564-4D57-BFB5-C642C9832AD6}" name="Quotas Avaliable" dataDxfId="1572"/>
    <tableColumn id="4" xr3:uid="{EC78E38E-0A4F-42BA-BA06-7C0255DE4D4A}" name="Check" dataDxfId="1571">
      <calculatedColumnFormula array="1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calculatedColumnFormula>
    </tableColumn>
    <tableColumn id="3" xr3:uid="{1FB3A435-8E5D-43B7-9A27-F0D18C6BA30E}" name="Quotas Missing" dataDxfId="1570">
      <calculatedColumnFormula array="1">Table2[[#This Row],[Quotas Avaliable]]-SUMPRODUCT((Tabela1[[#Headers],[Archery - Men''s Individual Recurve]:[Speed Skating - Women''s Team Pursuit]]=Table2[[#This Row],[Event]])*Tabela1[[Archery - Men''s Individual Recurve]:[Speed Skating - Women''s Team Pursuit]])</calculatedColumnFormula>
    </tableColumn>
    <tableColumn id="5" xr3:uid="{C4488B67-1288-4289-820A-8537E84C824E}" name="Percentage Missing" dataDxfId="1569">
      <calculatedColumnFormula>Table2[[#This Row],[Quotas Missing]]/Table2[[#This Row],[Quotas Avaliable]]</calculatedColumnFormula>
    </tableColumn>
  </tableColumns>
  <tableStyleInfo name="TableStyleLight1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1CA478B6-84BD-48D3-9A9A-951C0E448BC7}" name="Table92" displayName="Table92" ref="A1:BS208" totalsRowShown="0">
  <autoFilter ref="A1:BS208" xr:uid="{1CA478B6-84BD-48D3-9A9A-951C0E448BC7}"/>
  <sortState xmlns:xlrd2="http://schemas.microsoft.com/office/spreadsheetml/2017/richdata2" ref="A2:BS208">
    <sortCondition descending="1" ref="C1:C208"/>
  </sortState>
  <tableColumns count="71">
    <tableColumn id="1" xr3:uid="{F30871BB-980C-4655-806D-E978DC3A6CCB}" name="Country" dataDxfId="1102"/>
    <tableColumn id="2" xr3:uid="{94C59778-B9F0-497F-B784-39D2074A2E6E}" name="Flag" dataDxfId="1101" totalsRowDxfId="1100">
      <calculatedColumnFormula>IF(ISBLANK(Table92[[#This Row],[Flag Link]]), "", _xlfn.IMAGE(Table92[[#This Row],[Flag Link]],1,1))</calculatedColumnFormula>
    </tableColumn>
    <tableColumn id="9" xr3:uid="{40A79D1E-04BF-429B-89B8-4B1EB4ADB611}" name="Total Quotas" dataDxfId="1099">
      <calculatedColumnFormula>SUM(Table92[[#This Row],[Archery Quotas]:[Speed Skating Quotas]])</calculatedColumnFormula>
    </tableColumn>
    <tableColumn id="5" xr3:uid="{8726ADC8-0ECF-4FE6-BD83-08D265502C21}" name="Archery Quotas" dataDxfId="1098">
      <calculatedColumnFormula>SUM(INDEX(Tabela1[[Archery - Men''s Individual Recurve]:[Archery - Mixed Team Recurve]],MATCH(Table92[[#This Row],[Country]],Tabela1[Country], 0),0))</calculatedColumnFormula>
    </tableColumn>
    <tableColumn id="6" xr3:uid="{F89A97A1-8651-4415-BD97-A06A6621F668}" name="Artistic Gymnastics Quotas" dataDxfId="1097">
      <calculatedColumnFormula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calculatedColumnFormula>
    </tableColumn>
    <tableColumn id="7" xr3:uid="{3C02548F-2986-47ED-BD1E-8E4EE5FE2019}" name="Artistic Swimming Quotas" dataDxfId="1096">
      <calculatedColumnFormula>SUM(INDEX(Tabela1[[Artistic Swimming - Women''s Duet]:[Artistic Swimming - Women''s Team]],MATCH(Table92[[#This Row],[Country]],Tabela1[Country], 0),0))</calculatedColumnFormula>
    </tableColumn>
    <tableColumn id="8" xr3:uid="{2BCB1357-B4F7-4AD4-8CFC-DA6721659242}" name="Athletics Quotas" dataDxfId="1095">
      <calculatedColumnFormula>SUM(INDEX(Tabela1[[Athletics - Men''s 100m]:[Athletics - Women''s Heptathlon]],MATCH(Table92[[#This Row],[Country]],Tabela1[Country], 0),0))</calculatedColumnFormula>
    </tableColumn>
    <tableColumn id="10" xr3:uid="{433A707B-307B-4354-AD55-2094F3762733}" name="Badminton Quotas" dataDxfId="1094">
      <calculatedColumnFormula>SUM(INDEX(Tabela1[[Badminton - Men''s Singles]:[Badminton - Mixed Doubles]],MATCH(Table92[[#This Row],[Country]],Tabela1[Country], 0),0))</calculatedColumnFormula>
    </tableColumn>
    <tableColumn id="12" xr3:uid="{CB42D8BA-5C0E-4015-BCBD-970055704210}" name="Basketball Quotas" dataDxfId="1093">
      <calculatedColumnFormula>SUM(INDEX(Tabela1[[Basketball - Men''s Tournament]:[Basketball - Women''s Tournament]],MATCH(Table92[[#This Row],[Country]],Tabela1[Country], 0),0))</calculatedColumnFormula>
    </tableColumn>
    <tableColumn id="4" xr3:uid="{BF630FB7-C1C5-4107-951C-D50769C58E50}" name="Basketball 3x3 Quotas" dataDxfId="1092">
      <calculatedColumnFormula>SUM(INDEX(Tabela1[[3x3 Basketball - Men''s Tournament]:[3x3 Basketball - Women''s Tournament]],MATCH(Table92[[#This Row],[Country]],Tabela1[Country], 0),0))</calculatedColumnFormula>
    </tableColumn>
    <tableColumn id="13" xr3:uid="{2CB08D5D-8F1B-4D69-A816-F02ED3DDB246}" name="Beach Volleyball Quotas" dataDxfId="1091">
      <calculatedColumnFormula>SUM(INDEX(Tabela1[[Beach Volleyball - Men''s Tournament]:[Beach Volleyball - Women''s Tournament]],MATCH(Table92[[#This Row],[Country]],Tabela1[Country], 0),0))</calculatedColumnFormula>
    </tableColumn>
    <tableColumn id="14" xr3:uid="{1FD9F2E7-48B8-40D7-AD5A-0FB991C5F87B}" name="Boxing Quotas" dataDxfId="1090">
      <calculatedColumnFormula>SUM(INDEX(Tabela1[[Boxing - Men''s 51kg]:[Boxing - Women''s 75kg]],MATCH(Table92[[#This Row],[Country]],Tabela1[Country], 0),0))</calculatedColumnFormula>
    </tableColumn>
    <tableColumn id="69" xr3:uid="{E8A41517-21F7-46AE-81E5-21C63D1000CD}" name="Breaking Quotas" dataDxfId="1089">
      <calculatedColumnFormula>SUM(INDEX(Tabela1[[Breaking - Men''s Individual]:[Breaking - Women''s Individual]],MATCH(Table92[[#This Row],[Country]],Tabela1[Country], 0),0))</calculatedColumnFormula>
    </tableColumn>
    <tableColumn id="15" xr3:uid="{EA9D27DF-9999-43F7-986E-2071DE893BB1}" name="Canoeing Slalom Quotas" dataDxfId="1088">
      <calculatedColumnFormula>SUM(INDEX(Tabela1[[Canoeing - Men''s C1 Slalom]:[Canoeing - Women''s Kayak Cross Slalom]],MATCH(Table92[[#This Row],[Country]],Tabela1[Country], 0),0))</calculatedColumnFormula>
    </tableColumn>
    <tableColumn id="16" xr3:uid="{59B71E62-844A-4373-A579-9D4DE61430B1}" name="Canoeing Sprint Quotas" dataDxfId="1087">
      <calculatedColumnFormula>SUM(INDEX(Tabela1[[Canoeing - Women''s C1 200m]:[Canoeing - Women''s K4 500m]],MATCH(Table92[[#This Row],[Country]],Tabela1[Country], 0),0))</calculatedColumnFormula>
    </tableColumn>
    <tableColumn id="17" xr3:uid="{0CC9CE37-C71D-432A-B1B8-F9AAEB1F0990}" name="Cycling BMX Freestyle Quotas" dataDxfId="1086">
      <calculatedColumnFormula>SUM(INDEX(Tabela1[[Cycling - Men''s BMX Freestyle]:[Cycling - Women''s BMX Freestyle]],MATCH(Table92[[#This Row],[Country]],Tabela1[Country], 0),0))</calculatedColumnFormula>
    </tableColumn>
    <tableColumn id="18" xr3:uid="{A1820A76-432D-4043-9B43-1B5B6C2A63BD}" name="Cycling BMX Racing Quotas" dataDxfId="1085">
      <calculatedColumnFormula>SUM(INDEX(Tabela1[[Cycling - Men''s BMX Racing]:[Cycling - Women''s BMX Racing]],MATCH(Table92[[#This Row],[Country]],Tabela1[Country], 0),0))</calculatedColumnFormula>
    </tableColumn>
    <tableColumn id="19" xr3:uid="{B6354051-F6A6-4D8B-A2D3-80C433206123}" name="Cycling Mountain Bike Quotas" dataDxfId="1084">
      <calculatedColumnFormula>SUM(INDEX(Tabela1[[Cycling - Men''s Cross-Country]:[Cycling - Women''s Cross-Country]],MATCH(Table92[[#This Row],[Country]],Tabela1[Country], 0),0))</calculatedColumnFormula>
    </tableColumn>
    <tableColumn id="20" xr3:uid="{CF1FB724-2250-4C87-80FC-1AAE81B5AD3C}" name="Cycling Road Quotas" dataDxfId="1083">
      <calculatedColumnFormula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calculatedColumnFormula>
    </tableColumn>
    <tableColumn id="21" xr3:uid="{56413D95-3C21-44DD-9FFD-976C4A645600}" name="Cycling Track Quotas" dataDxfId="1082">
      <calculatedColumnFormula>SUM(INDEX(Tabela1[[Cycling - Men''s Keirin]:[Cycling - Women''s Omnium]],MATCH(Table92[[#This Row],[Country]],Tabela1[Country], 0),0))+SUM(INDEX(Tabela1[[Cycling - Men''s Sprint]:[Cycling - Women''s Team Pursuit]],MATCH(Table92[[#This Row],[Country]],Tabela1[Country], 0),0))</calculatedColumnFormula>
    </tableColumn>
    <tableColumn id="22" xr3:uid="{A9018844-D430-4F19-B953-33971A12464D}" name="Diving Quotas" dataDxfId="1081">
      <calculatedColumnFormula>SUM(INDEX(Tabela1[[Diving - Men''s Springboard]:[Diving - Women''s Synchronized Platform]],MATCH(Table92[[#This Row],[Country]],Tabela1[Country], 0),0))</calculatedColumnFormula>
    </tableColumn>
    <tableColumn id="23" xr3:uid="{6C49074B-C123-400B-909D-63516CB340D8}" name="Equestrian Dressage Quotas" dataDxfId="1080">
      <calculatedColumnFormula>SUM(INDEX(Tabela1[[Equestrian - Individual Dressage]:[Equestrian - Team Dressage]],MATCH(Table92[[#This Row],[Country]],Tabela1[Country], 0),0))</calculatedColumnFormula>
    </tableColumn>
    <tableColumn id="24" xr3:uid="{F7D49C97-F644-4C6D-B85A-ECFD0DA849A1}" name="Equestrian Eventing Quotas" dataDxfId="1079">
      <calculatedColumnFormula>SUM(INDEX(Tabela1[[Equestrian - Individual Eventing]:[Equestrian - Team Eventing]],MATCH(Table92[[#This Row],[Country]],Tabela1[Country], 0),0))</calculatedColumnFormula>
    </tableColumn>
    <tableColumn id="25" xr3:uid="{E1E62378-54A7-4D8E-B79E-CEB97FD5B1F6}" name="Equestrian Jumping Quotas" dataDxfId="1078">
      <calculatedColumnFormula>SUM(INDEX(Tabela1[[Equestrian - Individual Jumping]:[Equestrian - Team Jumping]],MATCH(Table92[[#This Row],[Country]],Tabela1[Country], 0),0))</calculatedColumnFormula>
    </tableColumn>
    <tableColumn id="26" xr3:uid="{100347D0-8BE1-4454-9AB0-C507135F15ED}" name="Fencing Quotas" dataDxfId="1077">
      <calculatedColumnFormula>SUM(INDEX(Tabela1[[Fencing - Men''s Épée]:[Fencing - Women''s Team Sabre]],MATCH(Table92[[#This Row],[Country]],Tabela1[Country], 0),0))</calculatedColumnFormula>
    </tableColumn>
    <tableColumn id="30" xr3:uid="{EA55620B-E369-45CD-ABCF-5B5F6C038DFD}" name="Field Hockey Quotas" dataDxfId="1076">
      <calculatedColumnFormula>SUM(INDEX(Tabela1[[Field Hockey - Men''s Tournament]:[Field Hockey - Women''s Tournament]],MATCH(Table92[[#This Row],[Country]],Tabela1[Country], 0),0))</calculatedColumnFormula>
    </tableColumn>
    <tableColumn id="27" xr3:uid="{E0493834-5852-47B0-9C9F-ECFB0E0BDE57}" name="Football Quotas" dataDxfId="1075">
      <calculatedColumnFormula>SUM(INDEX(Tabela1[[Football - Men''s Tournament]:[Football - Women''s Tournament]],MATCH(Table92[[#This Row],[Country]],Tabela1[Country], 0),0))</calculatedColumnFormula>
    </tableColumn>
    <tableColumn id="28" xr3:uid="{9901F4F2-1C49-4052-A766-86943E7EDFB5}" name="Golf Quotas" dataDxfId="1074">
      <calculatedColumnFormula>SUM(INDEX(Tabela1[[Golf - Men''s Individual]:[Golf - Women''s Individual]],MATCH(Table92[[#This Row],[Country]],Tabela1[Country], 0),0))</calculatedColumnFormula>
    </tableColumn>
    <tableColumn id="29" xr3:uid="{83397E24-0788-41E6-AC2E-E1A371544F84}" name="Handball Quotas" dataDxfId="1073">
      <calculatedColumnFormula>SUM(INDEX(Tabela1[[Handball - Men''s Tournament]:[Handball - Women''s Tournament]],MATCH(Table92[[#This Row],[Country]],Tabela1[Country], 0),0))</calculatedColumnFormula>
    </tableColumn>
    <tableColumn id="31" xr3:uid="{60EE97C1-2FF9-45F0-B877-48D4974E6C0F}" name="Judo Quotas" dataDxfId="1072">
      <calculatedColumnFormula>SUM(INDEX(Tabela1[[Judo - Men''s 60kg]:[Judo - Mixed Team]],MATCH(Table92[[#This Row],[Country]],Tabela1[Country], 0),0))</calculatedColumnFormula>
    </tableColumn>
    <tableColumn id="33" xr3:uid="{F66761F9-2D1C-4A4C-A36C-F5DFA900CC7B}" name="Marathon Swimming Quotas" dataDxfId="1071">
      <calculatedColumnFormula>SUM(INDEX(Tabela1[[Swimming - Men''s 10km Open Water]:[Swimming - Women''s 10km Open Water]],MATCH(Table92[[#This Row],[Country]],Tabela1[Country], 0),0))</calculatedColumnFormula>
    </tableColumn>
    <tableColumn id="34" xr3:uid="{7E8F98F6-7465-432B-8EF9-B025B8E2906A}" name="Modern Pentathlon Quotas" dataDxfId="1070">
      <calculatedColumnFormula>SUM(INDEX(Tabela1[[Modern Pentathlon - Men''s Individual]:[Modern Pentathlon - Women''s Individual]],MATCH(Table92[[#This Row],[Country]],Tabela1[Country], 0),0))</calculatedColumnFormula>
    </tableColumn>
    <tableColumn id="35" xr3:uid="{0B38AC97-602B-4130-B7BF-07947D986627}" name="Rhytmic Gymnastics Quotas" dataDxfId="1069">
      <calculatedColumnFormula>SUM(INDEX(Tabela1[[Rhythmic Gymnastics - Women''s Individual All-Around]:[Rhythmic Gymnastics - Women''s Group All-Around]],MATCH(Table92[[#This Row],[Country]],Tabela1[Country], 0),0))</calculatedColumnFormula>
    </tableColumn>
    <tableColumn id="36" xr3:uid="{8F3E842E-03B2-4F84-A1F0-4146A1A2F907}" name="Rowing Quotas" dataDxfId="1068">
      <calculatedColumnFormula>SUM(INDEX(Tabela1[[Rowing - Men''s Single Sculls]:[Rowing - Women''s Lwt. Double Sculls]],MATCH(Table92[[#This Row],[Country]],Tabela1[Country], 0),0))</calculatedColumnFormula>
    </tableColumn>
    <tableColumn id="37" xr3:uid="{4BFF8D55-1A4A-482A-A86F-DBC80014C939}" name="Rugby Sevens Quotas" dataDxfId="1067">
      <calculatedColumnFormula>SUM(INDEX(Tabela1[[Rugby Sevens - Men''s Tournament]:[Rugby Sevens - Women''s Tournament]],MATCH(Table92[[#This Row],[Country]],Tabela1[Country], 0),0))</calculatedColumnFormula>
    </tableColumn>
    <tableColumn id="38" xr3:uid="{F7B2F535-DABC-4131-BDEB-E37A1F299C73}" name="Sailing Quotas" dataDxfId="1066">
      <calculatedColumnFormula>SUM(INDEX(Tabela1[[Sailing - Mixed 470]:[Sailing - Mixed Nacra 17]],MATCH(Table92[[#This Row],[Country]],Tabela1[Country], 0),0))</calculatedColumnFormula>
    </tableColumn>
    <tableColumn id="39" xr3:uid="{7F3FA5D8-F166-40EC-9D00-F193FF6F3A0C}" name="Shooting Quotas" dataDxfId="1065">
      <calculatedColumnFormula>SUM(INDEX(Tabela1[[Shooting - Men''s 10m Air Pistol]:[Shooting - Women''s Trap]],MATCH(Table92[[#This Row],[Country]],Tabela1[Country], 0),0))</calculatedColumnFormula>
    </tableColumn>
    <tableColumn id="40" xr3:uid="{CAA4A900-31ED-4651-BBDC-65F239FC1DA3}" name="Skateboarding Quotas" dataDxfId="1064">
      <calculatedColumnFormula>SUM(INDEX(Tabela1[[Skateboarding - Men''s Park]:[Skateboarding - Women''s Street]],MATCH(Table92[[#This Row],[Country]],Tabela1[Country], 0),0))</calculatedColumnFormula>
    </tableColumn>
    <tableColumn id="42" xr3:uid="{A29439DE-578D-4F3A-992A-B5658A897900}" name="Sport Climbing Quotas" dataDxfId="1063">
      <calculatedColumnFormula>SUM(INDEX(Tabela1[[Sport Climbing - Men''s Boulder and Lead]:[Sport Climbing - Women''s Speed]],MATCH(Table92[[#This Row],[Country]],Tabela1[Country], 0),0))</calculatedColumnFormula>
    </tableColumn>
    <tableColumn id="43" xr3:uid="{8E8A3597-4947-4823-9F4B-F8F8080F1B92}" name="Surfing Quotas" dataDxfId="1062">
      <calculatedColumnFormula>SUM(INDEX(Tabela1[[Surfing - Men''s Shortboard]:[Surfing - Women''s Shortboard]],MATCH(Table92[[#This Row],[Country]],Tabela1[Country], 0),0))</calculatedColumnFormula>
    </tableColumn>
    <tableColumn id="44" xr3:uid="{4759B76C-CA12-4310-861E-70CDEFC03FDE}" name="Swimming Quotas" dataDxfId="1061">
      <calculatedColumnFormula>SUM(INDEX(Tabela1[[Swimming - Men''s 50m Freestyle]:[Swimming - Mixed 4x100m Medley Relay]],MATCH(Table92[[#This Row],[Country]],Tabela1[Country], 0),0))</calculatedColumnFormula>
    </tableColumn>
    <tableColumn id="45" xr3:uid="{120D5AF4-332E-47B2-AF8D-2088B9796444}" name="Table Tennis Quotas" dataDxfId="1060">
      <calculatedColumnFormula>SUM(INDEX(Tabela1[[Table Tennis - Men''s Singles]:[Table Tennis - Mixed Doubles]],MATCH(Table92[[#This Row],[Country]],Tabela1[Country], 0),0))</calculatedColumnFormula>
    </tableColumn>
    <tableColumn id="46" xr3:uid="{79417906-8A59-4DEC-8B07-378B0EE797CD}" name="Taekwondo Quotas" dataDxfId="1059">
      <calculatedColumnFormula>SUM(INDEX(Tabela1[[Taekwondo - Men''s 58kg]:[Taekwondo - Women''s +67kg]],MATCH(Table92[[#This Row],[Country]],Tabela1[Country], 0),0))</calculatedColumnFormula>
    </tableColumn>
    <tableColumn id="47" xr3:uid="{CF318566-1AD7-4E7B-816D-926DF722E019}" name="Tennis Quotas" dataDxfId="1058">
      <calculatedColumnFormula>SUM(INDEX(Tabela1[[Tennis - Men''s Singles]:[Tennis - Mixed Doubles]],MATCH(Table92[[#This Row],[Country]],Tabela1[Country], 0),0))</calculatedColumnFormula>
    </tableColumn>
    <tableColumn id="48" xr3:uid="{91DFA108-18EB-4849-86FF-59A034F00EB8}" name="Trampolining Quotas" dataDxfId="1057">
      <calculatedColumnFormula>SUM(INDEX(Tabela1[[Gymnastics - Men''s Trampoline]:[Gymnastics - Women''s Trampoline]],MATCH(Table92[[#This Row],[Country]],Tabela1[Country], 0),0))</calculatedColumnFormula>
    </tableColumn>
    <tableColumn id="49" xr3:uid="{9019616E-01A0-4AB6-A28A-62DD23B259F5}" name="Triathlon Quotas" dataDxfId="1056">
      <calculatedColumnFormula>SUM(INDEX(Tabela1[[Triathlon - Men''s Individual]:[Triathlon - Mixed Relay]],MATCH(Table92[[#This Row],[Country]],Tabela1[Country], 0),0))</calculatedColumnFormula>
    </tableColumn>
    <tableColumn id="50" xr3:uid="{02509F03-AB00-48C4-97B4-17F1160F3AB7}" name="Volleyball Quotas" dataDxfId="1055">
      <calculatedColumnFormula>SUM(INDEX(Tabela1[[Volleyball - Men''s Tournament]:[Volleyball - Women''s Tournament]],MATCH(Table92[[#This Row],[Country]],Tabela1[Country], 0),0))</calculatedColumnFormula>
    </tableColumn>
    <tableColumn id="51" xr3:uid="{618729F9-E29A-47DB-B1D4-8D93741CD635}" name="Water Polo Quotas" dataDxfId="1054">
      <calculatedColumnFormula>SUM(INDEX(Tabela1[[Water Polo - Men''s Tournament]:[Water Polo - Women''s Tournament]],MATCH(Table92[[#This Row],[Country]],Tabela1[Country], 0),0))</calculatedColumnFormula>
    </tableColumn>
    <tableColumn id="52" xr3:uid="{3D1112F2-6194-40D1-91DD-8A47610F1535}" name="Weightlifting Quotas" dataDxfId="1053">
      <calculatedColumnFormula>SUM(INDEX(Tabela1[[Weightlifting - Men''s 61kg]:[Weightlifting - Women''s +81kg]],MATCH(Table92[[#This Row],[Country]],Tabela1[Country], 0),0))</calculatedColumnFormula>
    </tableColumn>
    <tableColumn id="53" xr3:uid="{DF0F0065-3B29-4680-9303-3CB013347B90}" name="Wrestling Quotas" dataDxfId="1052">
      <calculatedColumnFormula>SUM(INDEX(Tabela1[[Wrestling - Men''s Freestyle 57kg]:[Wrestling - Women''s Freestyle 76kg]],MATCH(Table92[[#This Row],[Country]],Tabela1[Country], 0),0))</calculatedColumnFormula>
    </tableColumn>
    <tableColumn id="54" xr3:uid="{0ACF4F86-0DE9-4EC9-A704-02DF111CF732}" name="Alpine Skiing Quotas" dataDxfId="1051">
      <calculatedColumnFormula>SUM(INDEX(Tabela1[[Alpine Skiing - Men''s Downhill]:[Alpine Skiing - Women''s Team Combined]],MATCH(Table92[[#This Row],[Country]],Tabela1[Country], 0),0))</calculatedColumnFormula>
    </tableColumn>
    <tableColumn id="55" xr3:uid="{92A571C5-237B-4312-BB6F-AC85607A361A}" name="Biathlon Quotas" dataDxfId="1050">
      <calculatedColumnFormula>SUM(INDEX(Tabela1[[Biathlon - Men''s Individual]:[Biathlon - Mixed Relay]],MATCH(Table92[[#This Row],[Country]],Tabela1[Country], 0),0))</calculatedColumnFormula>
    </tableColumn>
    <tableColumn id="56" xr3:uid="{E27DBE82-0B48-4DDC-9EAC-22C747AFC22E}" name="Bobsleigh Quotas" dataDxfId="1049">
      <calculatedColumnFormula>SUM(INDEX(Tabela1[[Bobsleigh - Women''s Monobob]:[Bobsleigh - Men''s Four]],MATCH(Table92[[#This Row],[Country]],Tabela1[Country], 0),0))</calculatedColumnFormula>
    </tableColumn>
    <tableColumn id="57" xr3:uid="{CAD74DDB-491E-4088-AB99-C65961152C2A}" name="Cross Country Skiing Quotas" dataDxfId="1048">
      <calculatedColumnFormula>SUM(INDEX(Tabela1[[Cross-country skiing - Men''s Classical]:[Cross-country skiing - Women''s Team Sprint]],MATCH(Table92[[#This Row],[Country]],Tabela1[Country], 0),0))</calculatedColumnFormula>
    </tableColumn>
    <tableColumn id="58" xr3:uid="{F7C5CBA5-D0A2-40F2-98B2-07B6D2887018}" name="Curling Quotas" dataDxfId="1047">
      <calculatedColumnFormula>SUM(INDEX(Tabela1[[Curling - Men''s Tournament]:[Curling - Mixed Doubles]],MATCH(Table92[[#This Row],[Country]],Tabela1[Country], 0),0))</calculatedColumnFormula>
    </tableColumn>
    <tableColumn id="59" xr3:uid="{F71571CF-3F2E-4AFB-AC2C-A57FE72BE999}" name="Figure Skating Quotas" dataDxfId="1046">
      <calculatedColumnFormula>SUM(INDEX(Tabela1[[Figure Skating - Men''s Singles]:[Figure Skating - Team Event]],MATCH(Table92[[#This Row],[Country]],Tabela1[Country], 0),0))</calculatedColumnFormula>
    </tableColumn>
    <tableColumn id="60" xr3:uid="{EBAEAC93-A091-4DEB-819A-9C29D3B39B3B}" name="Freestyle Skiing Quotas" dataDxfId="1045">
      <calculatedColumnFormula>SUM(INDEX(Tabela1[[Freestyle Skiing - Men''s Aerials]:[Freestyle Skiing - Women''s Slopestyle]],MATCH(Table92[[#This Row],[Country]],Tabela1[Country], 0),0))</calculatedColumnFormula>
    </tableColumn>
    <tableColumn id="61" xr3:uid="{5FB2AFEA-03E3-4F70-BC92-F2833BA0087E}" name="Ice Hockey Quotas" dataDxfId="1044">
      <calculatedColumnFormula>SUM(INDEX(Tabela1[[Ice Hockey - Men''s Tournament]:[Ice Hockey - Women''s Tournament]],MATCH(Table92[[#This Row],[Country]],Tabela1[Country], 0),0))</calculatedColumnFormula>
    </tableColumn>
    <tableColumn id="62" xr3:uid="{A75E1A79-F48F-45AC-AC0C-92E3D4EF3DED}" name="Luge Quotas" dataDxfId="1043">
      <calculatedColumnFormula>SUM(INDEX(Tabela1[[Luge - Men''s Singles]:[Luge - Mixed Team Relay]],MATCH(Table92[[#This Row],[Country]],Tabela1[Country], 0),0))</calculatedColumnFormula>
    </tableColumn>
    <tableColumn id="63" xr3:uid="{0F6C065D-02DE-4FD8-B1AC-49519CB113E5}" name="Nordic Combined Quotas" dataDxfId="1042">
      <calculatedColumnFormula>SUM(INDEX(Tabela1[[Nordic Combined - Men''s Individual]:[Nordic Combined - Men''s Team Sprint Large Hill]],MATCH(Table92[[#This Row],[Country]],Tabela1[Country], 0),0))</calculatedColumnFormula>
    </tableColumn>
    <tableColumn id="64" xr3:uid="{8EAAD564-F6AA-4604-8D58-5C98FA656849}" name="Short Track Speed Skating Quotas" dataDxfId="1041">
      <calculatedColumnFormula>SUM(INDEX(Tabela1[[Short track speed skating - Men''s 500m]:[Short track speed skating - Mixed 2000m Relay]],MATCH(Table92[[#This Row],[Country]],Tabela1[Country], 0),0))</calculatedColumnFormula>
    </tableColumn>
    <tableColumn id="65" xr3:uid="{2D2928F9-692E-42B1-9A44-7D5721B18F1D}" name="Skeleton Quotas" dataDxfId="1040">
      <calculatedColumnFormula>SUM(INDEX(Tabela1[[Skeleton - Men''s Individual]:[Skeleton - Mixed Team]],MATCH(Table92[[#This Row],[Country]],Tabela1[Country], 0),0))</calculatedColumnFormula>
    </tableColumn>
    <tableColumn id="66" xr3:uid="{F514A6D3-906F-4533-AA6D-18708DBA479D}" name="Ski Jumping Quotas" dataDxfId="1039">
      <calculatedColumnFormula>SUM(INDEX(Tabela1[[Ski Jumping - Men''s Individual Large Hill]:[Ski Jumping - Mixed Team Normal Hill]],MATCH(Table92[[#This Row],[Country]],Tabela1[Country], 0),0))</calculatedColumnFormula>
    </tableColumn>
    <tableColumn id="32" xr3:uid="{BCE9725E-A1FA-4BF0-A0DB-3E650444FFE6}" name="Ski Mountaineering Quotas" dataDxfId="1038">
      <calculatedColumnFormula>SUM(INDEX(Tabela1[[Ski Mountaineering - Men''s Sprint]:[Ski Mountaineering - Mixed Relay]],MATCH(Table92[[#This Row],[Country]],Tabela1[Country], 0),0))</calculatedColumnFormula>
    </tableColumn>
    <tableColumn id="67" xr3:uid="{8D583600-73BA-43D2-B092-ED252DC616BD}" name="Snowboarding Quotas" dataDxfId="1037">
      <calculatedColumnFormula>SUM(INDEX(Tabela1[[Snowboarding - Men''s Big Air]:[Snowboarding - Mixed Team Snowboard Cross]],MATCH(Table92[[#This Row],[Country]],Tabela1[Country], 0),0))</calculatedColumnFormula>
    </tableColumn>
    <tableColumn id="68" xr3:uid="{065D9759-3660-4A72-AC1A-7545CF2C0F25}" name="Speed Skating Quotas" dataDxfId="1036">
      <calculatedColumnFormula>SUM(INDEX(Tabela1[[Speed Skating - Men''s 500m]:[Speed Skating - Women''s Team Pursuit]],MATCH(Table92[[#This Row],[Country]],Tabela1[Country], 0),0))</calculatedColumnFormula>
    </tableColumn>
    <tableColumn id="70" xr3:uid="{47716345-7B57-4860-8BF5-EEE4F9771C7F}" name="Max Quotas" dataDxfId="1035">
      <calculatedColumnFormula>SUBSTITUTE(INDEX(Table92[[#Headers],[Archery Quotas]:[Speed Skating Quotas]], MATCH(MAX(Table92[[#This Row],[Archery Quotas]:[Speed Skating Quotas]]), Table92[[#This Row],[Archery Quotas]:[Speed Skating Quotas]], 0))," Quotas","")</calculatedColumnFormula>
    </tableColumn>
    <tableColumn id="11" xr3:uid="{61D4ECF7-6E80-492D-AC4D-FA0708D03958}" name="Different Sports" dataDxfId="1034">
      <calculatedColumnFormula>SUM(Table92[[#This Row],[Summer Sports]:[Winter Sports]])</calculatedColumnFormula>
    </tableColumn>
    <tableColumn id="71" xr3:uid="{62F65CDD-AD78-416D-8B45-6B3A1BDEF9E8}" name="Summer Sports" dataDxfId="1033">
      <calculatedColumnFormula>COUNTIF(Table92[[#This Row],[Archery Quotas]:[Wrestling Quotas]],"&lt;&gt;0")</calculatedColumnFormula>
    </tableColumn>
    <tableColumn id="41" xr3:uid="{850F91C3-A7A7-4FCD-97BB-99C757908CF2}" name="Winter Sports" dataDxfId="1032">
      <calculatedColumnFormula>COUNTIF(Table92[[#This Row],[Alpine Skiing Quotas]:[Speed Skating Quotas]],"&lt;&gt;0")</calculatedColumnFormula>
    </tableColumn>
    <tableColumn id="3" xr3:uid="{D0D0219C-EAB0-4796-AAF7-71930F98F357}" name="Flag Link"/>
  </tableColumns>
  <tableStyleInfo name="TableStyleLight1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2AD19D9-1B0E-4D35-AB45-BB027CFAD8DA}" name="Table3" displayName="Table3" ref="A1:C65" totalsRowShown="0" dataDxfId="1031">
  <autoFilter ref="A1:C65" xr:uid="{22AD19D9-1B0E-4D35-AB45-BB027CFAD8DA}"/>
  <sortState xmlns:xlrd2="http://schemas.microsoft.com/office/spreadsheetml/2017/richdata2" ref="A2:C2">
    <sortCondition ref="B1:B2"/>
  </sortState>
  <tableColumns count="3">
    <tableColumn id="1" xr3:uid="{A4A870FB-7F7D-40A9-912A-349427B27AE9}" name="Athlete" dataDxfId="1030"/>
    <tableColumn id="2" xr3:uid="{3EEF2924-E3E1-4960-A0A1-CDCFB5E1B9F5}" name="Country" dataDxfId="1029"/>
    <tableColumn id="3" xr3:uid="{68AD4EEF-E648-4342-A226-ADE53EE3CE40}" name="Recurve Classification" dataDxfId="1028"/>
  </tableColumns>
  <tableStyleInfo name="TableStyleLight1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75BC4F9D-09CD-4DC3-9073-E68530BEED5E}" name="Table33" displayName="Table33" ref="A1:C65" totalsRowShown="0" dataDxfId="1027">
  <autoFilter ref="A1:C65" xr:uid="{75BC4F9D-09CD-4DC3-9073-E68530BEED5E}"/>
  <sortState xmlns:xlrd2="http://schemas.microsoft.com/office/spreadsheetml/2017/richdata2" ref="A2:C2">
    <sortCondition ref="B1:B2"/>
  </sortState>
  <tableColumns count="3">
    <tableColumn id="1" xr3:uid="{700B76A1-3B13-43C1-BE1F-8DDEC4553B7E}" name="Athlete" dataDxfId="1026"/>
    <tableColumn id="2" xr3:uid="{5EFE8A59-B262-441E-9417-3E91A1EC6111}" name="Country" dataDxfId="1025"/>
    <tableColumn id="3" xr3:uid="{FA3BB16E-A71C-4634-85EA-63A2C54DBC52}" name="Recurve Classification" dataDxfId="1024"/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0DDE6C66-3CA3-4CA9-B9AE-943B9CDF3B70}" name="Tabela88" displayName="Tabela88" ref="A1:E28" totalsRowShown="0" dataDxfId="1023">
  <autoFilter ref="A1:E28" xr:uid="{0DDE6C66-3CA3-4CA9-B9AE-943B9CDF3B70}"/>
  <sortState xmlns:xlrd2="http://schemas.microsoft.com/office/spreadsheetml/2017/richdata2" ref="A2:C2">
    <sortCondition ref="B1:B2"/>
  </sortState>
  <tableColumns count="5">
    <tableColumn id="1" xr3:uid="{941B6C4D-3D37-4282-81BC-1AAFBFFAFA62}" name="Pair" dataDxfId="1022"/>
    <tableColumn id="2" xr3:uid="{8FCD9D2F-BEC1-4CE7-8B77-45B3FA1C5B86}" name="Country" dataDxfId="1021"/>
    <tableColumn id="3" xr3:uid="{E32793BB-1E85-4465-9669-2E841AE00052}" name="Mixed Team Recurve Classification" dataDxfId="1020"/>
    <tableColumn id="4" xr3:uid="{E407C630-C405-44D2-801D-36C815B039B2}" name="Missing Athletes" dataDxfId="1019">
      <calculatedColumnFormula>Tabela88[[#This Row],[Total Athletes]]-(LEN(Tabela88[[#This Row],[Pair]])-LEN(SUBSTITUTE(Tabela88[[#This Row],[Pair]],"/","")))-1</calculatedColumnFormula>
    </tableColumn>
    <tableColumn id="5" xr3:uid="{6760DAF7-1ED9-497A-96AA-BFA4FC4654B6}" name="Total Athletes" dataDxfId="1018"/>
  </tableColumns>
  <tableStyleInfo name="TableStyleLight1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05984FAF-4E12-4DEB-B2EC-5DDBA15262DD}" name="Table35" displayName="Table35" ref="A1:F25" totalsRowShown="0" dataDxfId="1017">
  <autoFilter ref="A1:F25" xr:uid="{05984FAF-4E12-4DEB-B2EC-5DDBA15262DD}"/>
  <sortState xmlns:xlrd2="http://schemas.microsoft.com/office/spreadsheetml/2017/richdata2" ref="A2:D2">
    <sortCondition ref="B1:B2"/>
  </sortState>
  <tableColumns count="6">
    <tableColumn id="1" xr3:uid="{5F61BB7B-6BD8-4BA4-B184-E66AE3EBDC77}" name="Team" dataDxfId="1016"/>
    <tableColumn id="2" xr3:uid="{2375110B-DABE-4C58-B28D-D613AC4C78BA}" name="Country" dataDxfId="1015"/>
    <tableColumn id="5" xr3:uid="{AF246DE2-D547-4FD4-8526-4E95D126ADC0}" name="Men's Team Recurve Classification" dataDxfId="1014"/>
    <tableColumn id="4" xr3:uid="{1A4FDCAE-0327-4DFD-A93A-5E35DA9D4865}" name="Women's Team Recurve Classification" dataDxfId="1013"/>
    <tableColumn id="3" xr3:uid="{FBEED68B-6F4E-4E78-9469-BF32857E8387}" name="Missing Athletes" dataDxfId="1012">
      <calculatedColumnFormula>Table35[[#This Row],[Total Athletes]]-(LEN(Table35[[#This Row],[Team]])-LEN(SUBSTITUTE(Table35[[#This Row],[Team]],"/","")))-1</calculatedColumnFormula>
    </tableColumn>
    <tableColumn id="6" xr3:uid="{7E673AB2-CBF3-413F-A81E-F408E9647BC1}" name="Total Athletes" dataDxfId="1011"/>
  </tableColumns>
  <tableStyleInfo name="TableStyleLight1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75629147-0B11-4B6A-A773-F8C6AAA8D727}" name="Table47" displayName="Table47" ref="A1:I97" totalsRowShown="0" dataDxfId="1010">
  <autoFilter ref="A1:I97" xr:uid="{75629147-0B11-4B6A-A773-F8C6AAA8D727}"/>
  <sortState xmlns:xlrd2="http://schemas.microsoft.com/office/spreadsheetml/2017/richdata2" ref="A2:I2">
    <sortCondition ref="B1:B2"/>
  </sortState>
  <tableColumns count="9">
    <tableColumn id="1" xr3:uid="{9D24686E-7A98-4058-8586-14EB8E52C08D}" name="Athlete" dataDxfId="1009"/>
    <tableColumn id="2" xr3:uid="{5BD3D4FA-BAE3-4AA7-9C6A-DFBCBC0FD925}" name="Country" dataDxfId="1008"/>
    <tableColumn id="3" xr3:uid="{294AC293-AD03-44AA-BE5C-F5F8A45FF259}" name="All-Around Classification" dataDxfId="1007"/>
    <tableColumn id="4" xr3:uid="{03596AB0-D7E6-44B3-962A-1182309A84CB}" name="Floor Exercise Classification" dataDxfId="1006"/>
    <tableColumn id="6" xr3:uid="{831E381C-FF47-4949-BE7A-8D4FB4196883}" name="Horizontal Bar Classification" dataDxfId="1005"/>
    <tableColumn id="5" xr3:uid="{D467ABF5-8597-4D82-BB75-A4DA6EA29AAA}" name="Parallel Bars Classification" dataDxfId="1004"/>
    <tableColumn id="8" xr3:uid="{11C1E950-7D40-4DFA-BCDC-583416741000}" name="Pommel Horse Classification" dataDxfId="1003"/>
    <tableColumn id="7" xr3:uid="{35797490-BF4E-47CC-8863-DED3A4E9931D}" name="Rings Classification" dataDxfId="1002"/>
    <tableColumn id="10" xr3:uid="{47F6BB1C-B33A-48E3-BE3B-CC73FCB8F342}" name="Vault Classification" dataDxfId="1001"/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B1808071-22C1-4FF5-B197-649B573B3630}" name="Table48" displayName="Table48" ref="A1:G97" totalsRowShown="0" dataDxfId="1000">
  <autoFilter ref="A1:G97" xr:uid="{B1808071-22C1-4FF5-B197-649B573B3630}"/>
  <sortState xmlns:xlrd2="http://schemas.microsoft.com/office/spreadsheetml/2017/richdata2" ref="A2:G2">
    <sortCondition ref="F1:F2"/>
  </sortState>
  <tableColumns count="7">
    <tableColumn id="1" xr3:uid="{19CEEE0C-3AC3-417F-96E8-4E082D17E6E9}" name="Athlete" dataDxfId="999"/>
    <tableColumn id="2" xr3:uid="{F8934CFA-28A7-468A-871B-6210183E8674}" name="Country" dataDxfId="998"/>
    <tableColumn id="3" xr3:uid="{9D1B1AB8-1B3A-460D-89D7-961D12D66718}" name="All-Around Classification" dataDxfId="997"/>
    <tableColumn id="6" xr3:uid="{A678C872-7758-4CEB-883F-848B249E4CAC}" name="Balance Beam Classification" dataDxfId="996"/>
    <tableColumn id="4" xr3:uid="{1DB8981B-E92F-4260-BCFC-F7A06E4FF0AC}" name="Floor Exercise Classification" dataDxfId="995"/>
    <tableColumn id="5" xr3:uid="{799F3AD7-FB9B-4F2C-A2D4-593B50BFE3C1}" name="Uneven Bars Classification" dataDxfId="994"/>
    <tableColumn id="8" xr3:uid="{63909459-746F-4078-BE45-479F234C5EDA}" name="Vault Classification" dataDxfId="993"/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5A1B918F-2FC8-4505-B8E6-2F82D99CFCC1}" name="Table81" displayName="Table81" ref="A1:F25" totalsRowShown="0" dataDxfId="992">
  <autoFilter ref="A1:F25" xr:uid="{5A1B918F-2FC8-4505-B8E6-2F82D99CFCC1}"/>
  <sortState xmlns:xlrd2="http://schemas.microsoft.com/office/spreadsheetml/2017/richdata2" ref="A2:D2">
    <sortCondition ref="B1:B2"/>
  </sortState>
  <tableColumns count="6">
    <tableColumn id="1" xr3:uid="{EDF4ACDC-17B4-4D6F-B86A-2D2FADF18586}" name="Team" dataDxfId="991"/>
    <tableColumn id="2" xr3:uid="{02B12004-01F7-40D6-B4DC-E35DE7D3AD90}" name="Country" dataDxfId="990"/>
    <tableColumn id="3" xr3:uid="{BF40A155-40EB-49DF-9FBE-2543B4FFB29B}" name="Men's All-Around Classification" dataDxfId="989"/>
    <tableColumn id="4" xr3:uid="{66BDFC17-5632-48E5-9C8C-D7E5A50CED24}" name="Women's All-Around Classification" dataDxfId="988"/>
    <tableColumn id="5" xr3:uid="{7903082C-E1EE-4BFF-9B20-804EEB782339}" name="Missing Athletes" dataDxfId="987">
      <calculatedColumnFormula>Table81[[#This Row],[Total Athletes]]-(LEN(Table81[[#This Row],[Team]])-LEN(SUBSTITUTE(Table81[[#This Row],[Team]],"/","")))-1</calculatedColumnFormula>
    </tableColumn>
    <tableColumn id="6" xr3:uid="{66A75291-E391-483C-8458-9AC10259E0F7}" name="Total Athletes" dataDxfId="986"/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FCB8C506-E9AC-41E3-8053-345A56E008FD}" name="Table36" displayName="Table36" ref="A1:E19" totalsRowShown="0" dataDxfId="985">
  <autoFilter ref="A1:E19" xr:uid="{FCB8C506-E9AC-41E3-8053-345A56E008FD}"/>
  <sortState xmlns:xlrd2="http://schemas.microsoft.com/office/spreadsheetml/2017/richdata2" ref="A2:C2">
    <sortCondition ref="A1:A2"/>
  </sortState>
  <tableColumns count="5">
    <tableColumn id="1" xr3:uid="{A6B3C3BE-25E3-4E2A-A6AE-994F8E880785}" name="Pair" dataDxfId="984"/>
    <tableColumn id="2" xr3:uid="{86ECE432-A303-4674-9379-56F39740D5B3}" name="Country" dataDxfId="983"/>
    <tableColumn id="3" xr3:uid="{3E13C770-7314-44C6-AFEA-DDEEE688D11E}" name="Classification" dataDxfId="982"/>
    <tableColumn id="4" xr3:uid="{140244B6-6778-4410-936B-047EF26EDC3F}" name="Missing Athletes" dataDxfId="981">
      <calculatedColumnFormula>Table36[[#This Row],[Total Athletes]]-(LEN(Table36[[#This Row],[Pair]])-LEN(SUBSTITUTE(Table36[[#This Row],[Pair]],"/","")))-1</calculatedColumnFormula>
    </tableColumn>
    <tableColumn id="5" xr3:uid="{747FB63D-7412-436C-8A5E-05E8C046DEFA}" name="Total Athletes" dataDxfId="980"/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6A9AD8F2-2E66-4C5A-9622-BCB72397F632}" name="Table37" displayName="Table37" ref="A1:E11" totalsRowShown="0" dataDxfId="979">
  <autoFilter ref="A1:E11" xr:uid="{6A9AD8F2-2E66-4C5A-9622-BCB72397F632}"/>
  <tableColumns count="5">
    <tableColumn id="1" xr3:uid="{DB145B20-9EEA-4418-8B4E-D57EDF7F0175}" name="Team" dataDxfId="978"/>
    <tableColumn id="2" xr3:uid="{DFC030CE-1EC3-4AA9-9D58-5BB367C0DA63}" name="Country" dataDxfId="977"/>
    <tableColumn id="3" xr3:uid="{01B574C1-2A70-47C8-B82E-00B8B8573436}" name="Classification" dataDxfId="976"/>
    <tableColumn id="4" xr3:uid="{027CB666-CAD2-415A-9F67-43C66E082CC5}" name="Missing Athletes" dataDxfId="975">
      <calculatedColumnFormula>Table37[[#This Row],[Total Athletes]]-(LEN(Table37[[#This Row],[Team]])-LEN(SUBSTITUTE(Table37[[#This Row],[Team]],"/","")))-1</calculatedColumnFormula>
    </tableColumn>
    <tableColumn id="5" xr3:uid="{A55BCC49-5AAC-439C-A2BF-1CA1A4FAA261}" name="Total Athletes" dataDxfId="974"/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34A700C-5674-4452-AE09-563E6EDAF461}" name="Table4" displayName="Table4" ref="A1:W886" totalsRowShown="0" dataDxfId="973">
  <autoFilter ref="A1:W886" xr:uid="{A34A700C-5674-4452-AE09-563E6EDAF461}"/>
  <sortState xmlns:xlrd2="http://schemas.microsoft.com/office/spreadsheetml/2017/richdata2" ref="A2:W2">
    <sortCondition ref="C1:C2"/>
  </sortState>
  <tableColumns count="23">
    <tableColumn id="1" xr3:uid="{1C506128-E997-49A4-BFA4-DF8FDFFCD636}" name="Athlete" dataDxfId="972"/>
    <tableColumn id="2" xr3:uid="{1D09CC28-3D89-4643-B360-07E621A4939D}" name="Country" dataDxfId="971"/>
    <tableColumn id="7" xr3:uid="{8DA9D1E3-9782-4A27-A492-AEBBDCB553AD}" name="100m Classification" dataDxfId="970"/>
    <tableColumn id="10" xr3:uid="{75478D5E-AB04-4C9B-A7A5-7E73C9B45267}" name="200m Classification" dataDxfId="969"/>
    <tableColumn id="8" xr3:uid="{1ED62D23-0D75-46E9-89E2-B5BBBE435FF8}" name="400m Classification" dataDxfId="968"/>
    <tableColumn id="3" xr3:uid="{F8C13F82-3EC8-4225-96CB-00A78ECE570C}" name="800m Classification" dataDxfId="967"/>
    <tableColumn id="12" xr3:uid="{3F973A61-6A25-4F1E-9F2C-9190E918A525}" name="1500m Classification" dataDxfId="966"/>
    <tableColumn id="17" xr3:uid="{9DEA8D40-FFF7-4F89-A7B8-55C603402E94}" name="5000m Classification" dataDxfId="965"/>
    <tableColumn id="16" xr3:uid="{C8E9B66A-3D85-4780-9BD7-967B1BBBB6BB}" name="10000m Classification" dataDxfId="964"/>
    <tableColumn id="11" xr3:uid="{D0BCB409-8CA4-49D1-82B2-AE35DD7304DD}" name="110m Hurdles Classification" dataDxfId="963"/>
    <tableColumn id="4" xr3:uid="{0842FA6D-EC94-4AAC-9B03-D06220F6AC29}" name="400m Hurdles Classification" dataDxfId="962"/>
    <tableColumn id="5" xr3:uid="{9B5FEBF6-B6D0-4C8E-9A4A-C7572063C877}" name="3000m Steeplechase Classification" dataDxfId="961"/>
    <tableColumn id="9" xr3:uid="{FF01CE1B-F020-4118-8AAA-7C31C7CD21FC}" name="Marathon Classification" dataDxfId="960"/>
    <tableColumn id="19" xr3:uid="{D196D8F8-7020-4460-8CE8-AC739A1DD355}" name="20km Race Walk Classification" dataDxfId="959"/>
    <tableColumn id="24" xr3:uid="{C4709F6A-A21F-4E5A-BA7C-36735409E345}" name="Discus Throw Classification" dataDxfId="958"/>
    <tableColumn id="14" xr3:uid="{74EE0E58-B917-474D-84A2-60F4D23E67D3}" name="Hammer Throw Classification" dataDxfId="957"/>
    <tableColumn id="18" xr3:uid="{55206DD6-9CB9-4DF6-9D3B-1D23EE868B2F}" name="High Jump Classification" dataDxfId="956"/>
    <tableColumn id="15" xr3:uid="{1002EFEA-E981-452D-906B-43E3E8F1B67C}" name="Javelin Throw Classification" dataDxfId="955"/>
    <tableColumn id="21" xr3:uid="{114DE6DB-DF07-4C85-83F1-A676AE8BF78D}" name="Long Jump Classification" dataDxfId="954"/>
    <tableColumn id="22" xr3:uid="{639E0177-3494-40C6-983D-384A8256774E}" name="Pole Vault Classification" dataDxfId="953"/>
    <tableColumn id="13" xr3:uid="{8C36BFE8-E324-47AA-A2EC-430F250CF87C}" name="Shot Put Classification" dataDxfId="952"/>
    <tableColumn id="6" xr3:uid="{B633BBC5-4617-4E14-8D92-236660554926}" name="Triple Jump Classification" dataDxfId="951"/>
    <tableColumn id="23" xr3:uid="{1419A241-A710-4BBA-95B1-8C20ABD942DF}" name="Decathlon Classification" dataDxfId="950"/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F6CF567-46AA-46C3-A0FC-CF12CF02D935}" name="Table5" displayName="Table5" ref="A1:W869" totalsRowShown="0" dataDxfId="949">
  <autoFilter ref="A1:W869" xr:uid="{3F6CF567-46AA-46C3-A0FC-CF12CF02D935}"/>
  <sortState xmlns:xlrd2="http://schemas.microsoft.com/office/spreadsheetml/2017/richdata2" ref="A2:W2">
    <sortCondition ref="B1:B2"/>
  </sortState>
  <tableColumns count="23">
    <tableColumn id="1" xr3:uid="{56B800BD-E29D-4629-BF4F-97EC7E216BB2}" name="Athlete" dataDxfId="948"/>
    <tableColumn id="2" xr3:uid="{1CDDB702-7393-4474-B478-6C1D43DB8C4A}" name="Country" dataDxfId="947"/>
    <tableColumn id="10" xr3:uid="{DFC5C99B-8720-43B7-9DF7-0CA0832CED79}" name="100m Classification" dataDxfId="946"/>
    <tableColumn id="15" xr3:uid="{FA8A66B8-B82F-4D1A-A481-5C4F8B4FC519}" name="200m Classification" dataDxfId="945"/>
    <tableColumn id="6" xr3:uid="{EA912FA6-7148-4FF7-88C3-77D8A5714B3F}" name="400m Classification" dataDxfId="944"/>
    <tableColumn id="4" xr3:uid="{A978ABAB-C5BF-4D71-A41B-7CC53BFA06A9}" name="800m Classification" dataDxfId="943"/>
    <tableColumn id="11" xr3:uid="{3ED8E952-F046-40B2-AF4C-985E0E33B1CC}" name="1500m Classification" dataDxfId="942"/>
    <tableColumn id="8" xr3:uid="{E88347C1-29BD-4ED1-8571-720A2FCEE1D9}" name="5000m Classification" dataDxfId="941"/>
    <tableColumn id="9" xr3:uid="{293661BC-4802-4D67-90E3-9DA08511F545}" name="10000m Classification" dataDxfId="940"/>
    <tableColumn id="7" xr3:uid="{8C891839-188B-4233-BEC2-5552870FBE67}" name="100m Hurdles Classification" dataDxfId="939"/>
    <tableColumn id="3" xr3:uid="{29EDF615-D1F0-4996-8B6F-F160CFE11FE1}" name="400m Hurdles Classification" dataDxfId="938"/>
    <tableColumn id="13" xr3:uid="{BBC494A0-4DE5-424B-A197-2F0ECCCF45A5}" name="3000m Steeplechase Classification" dataDxfId="937"/>
    <tableColumn id="12" xr3:uid="{5A544D77-8EC7-42D5-8CB5-81124A8BE65E}" name="Marathon Classification" dataDxfId="936"/>
    <tableColumn id="14" xr3:uid="{E5543862-144E-41B6-84CF-698D74EDAB71}" name="20km Race Walk Classification" dataDxfId="935"/>
    <tableColumn id="20" xr3:uid="{C0D22939-14B6-44D0-BBAF-081BEEAF5602}" name="Discus Throw Classification" dataDxfId="934"/>
    <tableColumn id="22" xr3:uid="{57C5DFCA-3359-4B66-A206-B8BD09171E0D}" name="Hammer Throw Classification" dataDxfId="933"/>
    <tableColumn id="23" xr3:uid="{486E46CB-EAD5-4638-91E3-D09667A8A8AB}" name="High Jump Classification" dataDxfId="932"/>
    <tableColumn id="18" xr3:uid="{3E5BF479-A637-436C-927E-5996877DD683}" name="Javelin Throw Classification" dataDxfId="931"/>
    <tableColumn id="17" xr3:uid="{E52A7D66-A713-4B95-B30C-C40E17DFEDFD}" name="Long Jump Classification" dataDxfId="930"/>
    <tableColumn id="21" xr3:uid="{4C4B8DC0-19CD-447E-87DB-FA31B87A4B19}" name="Pole Vault Classification" dataDxfId="929"/>
    <tableColumn id="19" xr3:uid="{7E63F109-74C5-4E83-AC6E-93780E9D06B0}" name="Shot Put Classification" dataDxfId="928"/>
    <tableColumn id="16" xr3:uid="{1CF6836A-E4F5-4EAD-8269-055B95CA23FD}" name="Triple Jump Classification" dataDxfId="927"/>
    <tableColumn id="5" xr3:uid="{16A08D2E-4FDA-4EEB-8BB6-A37157A4AB21}" name="Heptathlon Classification" dataDxfId="926"/>
  </tableColumns>
  <tableStyleInfo name="TableStyleLight1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95F257A2-D330-4965-AEB9-480605AEBA50}" name="Tabela96" displayName="Tabela96" ref="A1:E26" totalsRowShown="0" dataDxfId="925">
  <autoFilter ref="A1:E26" xr:uid="{95F257A2-D330-4965-AEB9-480605AEBA50}"/>
  <tableColumns count="5">
    <tableColumn id="1" xr3:uid="{D6108BC2-A846-4D8E-976F-63C3B269CFAC}" name="Pair" dataDxfId="924"/>
    <tableColumn id="2" xr3:uid="{BC874A34-AB00-45F8-B5EB-8BCC27665B48}" name="Country" dataDxfId="923"/>
    <tableColumn id="3" xr3:uid="{7EE11BFF-73EE-4431-9AAA-F687030881C8}" name="Mixed Marathon Race Walk Relay Classification" dataDxfId="922"/>
    <tableColumn id="4" xr3:uid="{1633BCCD-24E6-4451-A9AA-D20E946CED96}" name="Missing Athletes" dataDxfId="921">
      <calculatedColumnFormula>Tabela96[[#This Row],[Total Athletes]]-(LEN(Tabela96[[#This Row],[Pair]])-LEN(SUBSTITUTE(Tabela96[[#This Row],[Pair]],"/","")))-1</calculatedColumnFormula>
    </tableColumn>
    <tableColumn id="5" xr3:uid="{84C07454-66C3-4B68-B7D4-C06D53FA0B82}" name="Total Athletes" dataDxfId="920"/>
  </tableColumns>
  <tableStyleInfo name="TableStyleLight1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8601A3F3-C2D7-4CFE-925B-2FDB8EF4371D}" name="Table27" displayName="Table27" ref="A1:I81" totalsRowShown="0" dataDxfId="919">
  <autoFilter ref="A1:I81" xr:uid="{8601A3F3-C2D7-4CFE-925B-2FDB8EF4371D}"/>
  <sortState xmlns:xlrd2="http://schemas.microsoft.com/office/spreadsheetml/2017/richdata2" ref="A2:G2">
    <sortCondition ref="B1:B2"/>
  </sortState>
  <tableColumns count="9">
    <tableColumn id="1" xr3:uid="{016B7280-407C-4512-B6FF-CC2E29F35A3B}" name="Team" dataDxfId="918"/>
    <tableColumn id="2" xr3:uid="{6A28DFA6-189F-4C33-B35A-F8016EB63E35}" name="Country" dataDxfId="917"/>
    <tableColumn id="4" xr3:uid="{0DA97CD4-E866-4AE2-B2E3-181DFCE53CCB}" name="Men's 4x100m Relay Classification" dataDxfId="916"/>
    <tableColumn id="5" xr3:uid="{A60C2438-27D6-4D83-9FF7-1420B08E0E40}" name="Women's 4x100m Relay Classification" dataDxfId="915"/>
    <tableColumn id="3" xr3:uid="{F0D20973-D321-47E3-9563-4C7941683821}" name="Men's 4x400m Relay Classification" dataDxfId="914"/>
    <tableColumn id="7" xr3:uid="{DB98BBB1-5A7E-4724-8C74-6CF10764793C}" name="Women's 4x400m Relay Classification" dataDxfId="913"/>
    <tableColumn id="6" xr3:uid="{B726A9F0-2479-4E3B-9A9E-4CB5EF9E11A6}" name="Mixed 4x400m Relay Classification" dataDxfId="912"/>
    <tableColumn id="8" xr3:uid="{AB31DA65-B7BA-4305-8394-1C2088ADCD30}" name="Missing Athletes" dataDxfId="911">
      <calculatedColumnFormula>Table27[[#This Row],[Total Athletes]]-(LEN(Table27[[#This Row],[Team]])-LEN(SUBSTITUTE(Table27[[#This Row],[Team]],"/","")))-1</calculatedColumnFormula>
    </tableColumn>
    <tableColumn id="9" xr3:uid="{A42E4B9F-302C-48F5-9666-81C934E9AB23}" name="Total Athletes" dataDxfId="910"/>
  </tableColumns>
  <tableStyleInfo name="TableStyleLight1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72983FDE-237D-45EE-9FAE-EC45B028A1E7}" name="Table61" displayName="Table61" ref="A1:C42" totalsRowShown="0" dataDxfId="909">
  <autoFilter ref="A1:C42" xr:uid="{72983FDE-237D-45EE-9FAE-EC45B028A1E7}"/>
  <sortState xmlns:xlrd2="http://schemas.microsoft.com/office/spreadsheetml/2017/richdata2" ref="A2:C2">
    <sortCondition ref="A1:A2"/>
  </sortState>
  <tableColumns count="3">
    <tableColumn id="1" xr3:uid="{B095E9BD-F919-43A1-9CA5-9476B62B454A}" name="Athlete" dataDxfId="908"/>
    <tableColumn id="2" xr3:uid="{293941A8-963E-4659-A30D-EE9C02523AD3}" name="Country" dataDxfId="907"/>
    <tableColumn id="3" xr3:uid="{B19E91FC-86C2-4F63-9D66-2E54B886A348}" name="Classification" dataDxfId="906"/>
  </tableColumns>
  <tableStyleInfo name="TableStyleLight1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14883790-087E-49EF-9828-254F8E40FFA8}" name="Table38" displayName="Table38" ref="A1:C40" totalsRowShown="0" dataDxfId="905">
  <autoFilter ref="A1:C40" xr:uid="{14883790-087E-49EF-9828-254F8E40FFA8}"/>
  <sortState xmlns:xlrd2="http://schemas.microsoft.com/office/spreadsheetml/2017/richdata2" ref="A2:C2">
    <sortCondition ref="B1:B2"/>
  </sortState>
  <tableColumns count="3">
    <tableColumn id="1" xr3:uid="{C772DF15-7F3B-4036-A09A-1447231F2FC2}" name="Athlete" dataDxfId="904"/>
    <tableColumn id="2" xr3:uid="{CAB222A9-EFB3-4B80-9E56-9E2BEC160E92}" name="Country" dataDxfId="903"/>
    <tableColumn id="3" xr3:uid="{512F5750-287E-40EA-B6C1-2C8023232635}" name="Classification" dataDxfId="902"/>
  </tableColumns>
  <tableStyleInfo name="TableStyleLight1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FBEA11E-18E3-4242-BAC0-93DA792DB795}" name="Table39" displayName="Table39" ref="A1:G49" totalsRowShown="0" dataDxfId="901">
  <autoFilter ref="A1:G49" xr:uid="{FFBEA11E-18E3-4242-BAC0-93DA792DB795}"/>
  <sortState xmlns:xlrd2="http://schemas.microsoft.com/office/spreadsheetml/2017/richdata2" ref="A2:E2">
    <sortCondition ref="A1:A2"/>
  </sortState>
  <tableColumns count="7">
    <tableColumn id="1" xr3:uid="{0DDF37E6-8443-49A0-A7C7-9B9BA56D31AF}" name="Pair" dataDxfId="900"/>
    <tableColumn id="2" xr3:uid="{0F6ADDAC-8D7E-4160-AE90-21B8F8B93896}" name="Country" dataDxfId="899"/>
    <tableColumn id="5" xr3:uid="{3A51175E-6A1B-4065-8DA9-0C95F36197DC}" name="Men's Classification" dataDxfId="898"/>
    <tableColumn id="3" xr3:uid="{0D09821F-AEBF-4BDF-916D-C053FD905EF5}" name="Women's Classification" dataDxfId="897"/>
    <tableColumn id="4" xr3:uid="{CED4CEF4-C65F-457B-B674-01AB1F8A341F}" name="Mixed Classification" dataDxfId="896"/>
    <tableColumn id="6" xr3:uid="{E829E70C-2D83-4E3C-A70A-979D492FA816}" name="Missing Athletes" dataDxfId="895">
      <calculatedColumnFormula>Table39[[#This Row],[Total Athletes]]-(LEN(Table39[[#This Row],[Pair]])-LEN(SUBSTITUTE(Table39[[#This Row],[Pair]],"/","")))-1</calculatedColumnFormula>
    </tableColumn>
    <tableColumn id="7" xr3:uid="{82BEECA1-89C3-465D-9437-27AD6782FD10}" name="Total Athletes" dataDxfId="894"/>
  </tableColumns>
  <tableStyleInfo name="TableStyleLight1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50241E03-D457-4FB7-9E62-689765F44784}" name="Table89" displayName="Table89" ref="A1:H25" totalsRowShown="0" dataDxfId="893">
  <autoFilter ref="A1:H25" xr:uid="{50241E03-D457-4FB7-9E62-689765F44784}"/>
  <tableColumns count="8">
    <tableColumn id="5" xr3:uid="{9C9EF55E-BF46-4CAB-9580-57F2722ABCBA}" name="Guards" dataDxfId="892"/>
    <tableColumn id="6" xr3:uid="{FE9BB5B9-F9A6-4461-82C8-5A49E2465304}" name="Forwards" dataDxfId="891"/>
    <tableColumn id="8" xr3:uid="{252C22C5-B08B-4511-89B1-D2336F0480D6}" name="Centers" dataDxfId="890"/>
    <tableColumn id="2" xr3:uid="{C4E12808-5FB6-4C1A-9FE3-D34B3895FA05}" name="Country" dataDxfId="889"/>
    <tableColumn id="3" xr3:uid="{DA651605-AF63-491D-8053-58FB77A7EF06}" name="Men's Classification" dataDxfId="888"/>
    <tableColumn id="4" xr3:uid="{BA63A55A-5343-4F7A-B9D1-A53DCC252A7C}" name="Women's Classification" dataDxfId="887"/>
    <tableColumn id="1" xr3:uid="{795ACB7F-2AE5-47C9-9272-CAB3F343DBE7}" name="Missing Athletes" dataDxfId="886">
      <calculatedColumnFormula>Table89[[#This Row],[Total Athletes]]-(LEN(Table89[[#This Row],[Guards]])-LEN(SUBSTITUTE(Table89[[#This Row],[Guards]],"/","")))-(LEN(Table89[[#This Row],[Forwards]])-LEN(SUBSTITUTE(Table89[[#This Row],[Forwards]],"/","")))-(LEN(Table89[[#This Row],[Centers]])-LEN(SUBSTITUTE(Table89[[#This Row],[Centers]],"/","")))-3</calculatedColumnFormula>
    </tableColumn>
    <tableColumn id="7" xr3:uid="{CC9789F2-4EEC-4B5E-943A-F4E86A409B46}" name="Total Athletes" dataDxfId="885"/>
  </tableColumns>
  <tableStyleInfo name="TableStyleLight1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22728916-0615-41C5-AE6C-4CAE9B084BAE}" name="Table90" displayName="Table90" ref="A1:F17" totalsRowShown="0" dataDxfId="884">
  <autoFilter ref="A1:F17" xr:uid="{22728916-0615-41C5-AE6C-4CAE9B084BAE}"/>
  <sortState xmlns:xlrd2="http://schemas.microsoft.com/office/spreadsheetml/2017/richdata2" ref="A2:D2">
    <sortCondition ref="A1:A2"/>
  </sortState>
  <tableColumns count="6">
    <tableColumn id="1" xr3:uid="{EA2BF8CD-7CFD-48E3-86A7-D5B56F67BE9E}" name="Team" dataDxfId="883"/>
    <tableColumn id="2" xr3:uid="{3DC59008-2611-4E2A-88EE-E3288AE477F3}" name="Country" dataDxfId="882"/>
    <tableColumn id="3" xr3:uid="{C11C00D7-933F-4B94-83C0-F6F61A37E2EC}" name="Men's Classification" dataDxfId="881"/>
    <tableColumn id="4" xr3:uid="{947AB218-C100-4467-98CF-3FBDF9486AAE}" name="Women's Classification" dataDxfId="880"/>
    <tableColumn id="5" xr3:uid="{A0BF1557-C810-43E6-92C1-6FDD306A1E04}" name="Missing Athletes" dataDxfId="879">
      <calculatedColumnFormula>Table90[[#This Row],[Total Athletes]]-(LEN(Table90[[#This Row],[Team]])-LEN(SUBSTITUTE(Table90[[#This Row],[Team]],"/","")))-1</calculatedColumnFormula>
    </tableColumn>
    <tableColumn id="6" xr3:uid="{AC4DAB9C-B87D-4230-9251-1A59AFE28F52}" name="Total Athletes" dataDxfId="878"/>
  </tableColumns>
  <tableStyleInfo name="TableStyleLight1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7A7356A0-2B3F-49B0-896B-BA0143EB0C0C}" name="Table60" displayName="Table60" ref="A1:F49" totalsRowShown="0" dataDxfId="877">
  <autoFilter ref="A1:F49" xr:uid="{7A7356A0-2B3F-49B0-896B-BA0143EB0C0C}"/>
  <sortState xmlns:xlrd2="http://schemas.microsoft.com/office/spreadsheetml/2017/richdata2" ref="A2:D2">
    <sortCondition ref="B1:B2"/>
  </sortState>
  <tableColumns count="6">
    <tableColumn id="1" xr3:uid="{0159B862-EF73-49CD-A619-6E9DC13BB906}" name="Pair" dataDxfId="876"/>
    <tableColumn id="2" xr3:uid="{B12165A3-2D16-43D6-B092-B96FDB415A3A}" name="Country" dataDxfId="875"/>
    <tableColumn id="4" xr3:uid="{A1D08375-CE6B-4F18-BBB6-C391066F5AB2}" name="Men's Classification" dataDxfId="874"/>
    <tableColumn id="3" xr3:uid="{3E03A79E-1F93-4D74-8944-8FFE44D5FFA6}" name="Women's Classification" dataDxfId="873"/>
    <tableColumn id="5" xr3:uid="{526CA21B-9890-49A8-B213-264590F8DAA8}" name="Missing Athletes" dataDxfId="872">
      <calculatedColumnFormula>Table60[[#This Row],[Total Athletes]]-(LEN(Table60[[#This Row],[Pair]])-LEN(SUBSTITUTE(Table60[[#This Row],[Pair]],"/","")))-1</calculatedColumnFormula>
    </tableColumn>
    <tableColumn id="6" xr3:uid="{756D904B-2241-4606-B9AB-023C84E717F4}" name="Total Athletes" dataDxfId="871"/>
  </tableColumns>
  <tableStyleInfo name="TableStyleLight1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F65AC7C-5C42-4F6E-AABF-F8A0BFFFAA82}" name="Table6" displayName="Table6" ref="A1:I126" totalsRowShown="0" dataDxfId="870">
  <autoFilter ref="A1:I126" xr:uid="{2F65AC7C-5C42-4F6E-AABF-F8A0BFFFAA82}"/>
  <sortState xmlns:xlrd2="http://schemas.microsoft.com/office/spreadsheetml/2017/richdata2" ref="A2:I2">
    <sortCondition ref="B1:B2"/>
  </sortState>
  <tableColumns count="9">
    <tableColumn id="1" xr3:uid="{5A0FEAA8-DFDC-4E6C-A075-86BE143276A9}" name="Athlete" dataDxfId="869"/>
    <tableColumn id="2" xr3:uid="{71C07F93-C967-471A-ADAB-B1275EB8E85F}" name="Country" dataDxfId="868"/>
    <tableColumn id="3" xr3:uid="{49D1C9EF-62E4-4397-9F02-3C719128B7B5}" name="51kg Classification" dataDxfId="867"/>
    <tableColumn id="10" xr3:uid="{8B4504F7-6226-42B7-8E7F-FA5008050697}" name="57kg Classification" dataDxfId="866"/>
    <tableColumn id="9" xr3:uid="{87372BDA-3D84-47CD-AB55-6AA5055F50EB}" name="63.5kg Classification" dataDxfId="865"/>
    <tableColumn id="4" xr3:uid="{813AAC14-E7AC-47F8-B599-A0B11EBF0DDA}" name="71kg Classification" dataDxfId="864"/>
    <tableColumn id="5" xr3:uid="{AF1CE728-39CA-44C8-96AA-E7D77477AA97}" name="80kg Classification" dataDxfId="863"/>
    <tableColumn id="6" xr3:uid="{DF47A02E-43D0-4139-AB32-45303732FF43}" name="92kg Classification" dataDxfId="862"/>
    <tableColumn id="7" xr3:uid="{0C46090B-13BE-4E99-8272-FCF216D37354}" name="Plus 92kg Classification" dataDxfId="861"/>
  </tableColumns>
  <tableStyleInfo name="TableStyleLight1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51F6427-91BD-4835-8B49-C5304BC4C485}" name="Table7" displayName="Table7" ref="A1:H125" totalsRowShown="0" dataDxfId="860">
  <autoFilter ref="A1:H125" xr:uid="{D51F6427-91BD-4835-8B49-C5304BC4C485}"/>
  <sortState xmlns:xlrd2="http://schemas.microsoft.com/office/spreadsheetml/2017/richdata2" ref="A2:H2">
    <sortCondition ref="B1:B2"/>
  </sortState>
  <tableColumns count="8">
    <tableColumn id="1" xr3:uid="{FD8751A0-0DE3-4D5B-81C1-D2F52CDDAFEB}" name="Athlete" dataDxfId="859"/>
    <tableColumn id="2" xr3:uid="{22C5F9B5-2909-4C5A-86ED-14755AB204A2}" name="Country" dataDxfId="858"/>
    <tableColumn id="3" xr3:uid="{9E302A0D-5D31-415F-809E-184B70E79AEF}" name="50kg Classification" dataDxfId="857"/>
    <tableColumn id="8" xr3:uid="{107706AF-4F5C-4A15-907B-8144988862F1}" name="54kg Classification" dataDxfId="856"/>
    <tableColumn id="6" xr3:uid="{7511A276-699A-4162-814F-A6A29D9B287A}" name="57kg Classification" dataDxfId="855"/>
    <tableColumn id="4" xr3:uid="{A36D0983-44C4-455C-B32A-6F99BFEBF32A}" name="60kg Classification" dataDxfId="854"/>
    <tableColumn id="7" xr3:uid="{76E75215-91F6-4510-9C0B-D68C4FEF4701}" name="66kg Classification" dataDxfId="853"/>
    <tableColumn id="5" xr3:uid="{59A3F3CF-B047-4099-B4B2-FEE7117200C9}" name="75kg Classification" dataDxfId="852"/>
  </tableColumns>
  <tableStyleInfo name="TableStyleLight1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D39279CC-6BDD-44F2-A4C7-65E3C64590A3}" name="Tabela94" displayName="Tabela94" ref="A1:C17" totalsRowShown="0" dataDxfId="851">
  <autoFilter ref="A1:C17" xr:uid="{D39279CC-6BDD-44F2-A4C7-65E3C64590A3}"/>
  <sortState xmlns:xlrd2="http://schemas.microsoft.com/office/spreadsheetml/2017/richdata2" ref="A2:C2">
    <sortCondition ref="C1:C2"/>
  </sortState>
  <tableColumns count="3">
    <tableColumn id="1" xr3:uid="{6DD6567C-9F5E-42A7-87FD-84DE755EB835}" name="Athlete" dataDxfId="850"/>
    <tableColumn id="2" xr3:uid="{39D4C4D1-0529-489B-92B0-D3E820408157}" name="Country" dataDxfId="849"/>
    <tableColumn id="3" xr3:uid="{812DB74A-4C3F-4EBA-94D1-C711223BA2B0}" name="Classification" dataDxfId="848"/>
  </tableColumns>
  <tableStyleInfo name="TableStyleLight1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B00C7DE4-64B8-4EE0-B969-9C89D27CD69B}" name="Tabela9499" displayName="Tabela9499" ref="A1:C18" dataDxfId="847">
  <autoFilter ref="A1:C18" xr:uid="{B00C7DE4-64B8-4EE0-B969-9C89D27CD69B}"/>
  <sortState xmlns:xlrd2="http://schemas.microsoft.com/office/spreadsheetml/2017/richdata2" ref="A2:C2">
    <sortCondition ref="A1:A2"/>
  </sortState>
  <tableColumns count="3">
    <tableColumn id="1" xr3:uid="{5832C250-D735-4259-A58E-6A656E0F75E0}" name="Athlete" totalsRowLabel="Total" dataDxfId="846" totalsRowDxfId="845"/>
    <tableColumn id="2" xr3:uid="{16FD69E6-5923-455D-8DA8-BD39876E65A2}" name="Country" dataDxfId="844" totalsRowDxfId="843"/>
    <tableColumn id="3" xr3:uid="{696349B3-CD80-4377-973A-6EFCE4A5D575}" name="Classification" totalsRowFunction="count" dataDxfId="842" totalsRowDxfId="841"/>
  </tableColumns>
  <tableStyleInfo name="TableStyleLight1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7" xr:uid="{899DC69B-CBF0-48C0-BD7E-6E4B904B87B6}" name="Tabela107" displayName="Tabela107" ref="A1:E44" totalsRowShown="0" dataDxfId="840">
  <autoFilter ref="A1:E44" xr:uid="{899DC69B-CBF0-48C0-BD7E-6E4B904B87B6}"/>
  <tableColumns count="5">
    <tableColumn id="1" xr3:uid="{98B9C625-0A97-4D72-9BEB-FC177BDB8BF1}" name="Athlete" dataDxfId="839"/>
    <tableColumn id="2" xr3:uid="{9FA60FD5-396C-4AB7-8DF4-EEE6E959DF8D}" name="Country" dataDxfId="838"/>
    <tableColumn id="3" xr3:uid="{5815B635-A7F8-4EFF-8C2D-14FEEA1AF6DD}" name="C1 Slalom Classification" dataDxfId="837"/>
    <tableColumn id="4" xr3:uid="{9DAF7D4D-E4E5-4B47-A638-ACC9EB932F0F}" name="K1 Slalom Classification" dataDxfId="836"/>
    <tableColumn id="5" xr3:uid="{6DE645AE-89D7-4F8F-8E81-2C7729A4BBC6}" name="Kayak Cross Slalom Classification" dataDxfId="835"/>
  </tableColumns>
  <tableStyleInfo name="TableStyleLight1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1" xr:uid="{1EDF774C-32AE-4E4E-96E8-476E64C765F5}" name="Tabela107122" displayName="Tabela107122" ref="A1:E41" totalsRowShown="0" dataDxfId="834">
  <autoFilter ref="A1:E41" xr:uid="{1EDF774C-32AE-4E4E-96E8-476E64C765F5}"/>
  <tableColumns count="5">
    <tableColumn id="1" xr3:uid="{E9830184-56BF-4D44-970F-A6383D1C5F3D}" name="Athlete" dataDxfId="833"/>
    <tableColumn id="2" xr3:uid="{1B6A20FC-3789-48C0-BD14-AC642B92015F}" name="Country" dataDxfId="832"/>
    <tableColumn id="3" xr3:uid="{EB09258B-0ED6-4101-875F-406B93716840}" name="C1 Slalom Classification" dataDxfId="831"/>
    <tableColumn id="4" xr3:uid="{B094EA40-5D8A-4B48-A094-3F5DA6DC0C0D}" name="K1 Slalom Classification" dataDxfId="830"/>
    <tableColumn id="5" xr3:uid="{19E7E089-CF9E-4DE3-B8C0-DD3D8E3E5B62}" name="Kayak Cross Slalom Classification" dataDxfId="829"/>
  </tableColumns>
  <tableStyleInfo name="TableStyleLight1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D6D47DD5-C779-4684-AB5D-57F9B52BC189}" name="Table40" displayName="Table40" ref="A1:D39" totalsRowShown="0" dataDxfId="828">
  <autoFilter ref="A1:D39" xr:uid="{D6D47DD5-C779-4684-AB5D-57F9B52BC189}"/>
  <tableColumns count="4">
    <tableColumn id="1" xr3:uid="{A35B784B-6277-4B2C-94CD-7FCCC989C6A3}" name="Athlete" dataDxfId="827"/>
    <tableColumn id="2" xr3:uid="{46B7D5E6-2902-43A2-88DA-3B5E30A2326C}" name="Country" dataDxfId="826"/>
    <tableColumn id="5" xr3:uid="{1627866C-741E-4909-A3CD-B63ECEEC7B65}" name="C1 1000m Classification" dataDxfId="825"/>
    <tableColumn id="7" xr3:uid="{EC4F05B7-4DB3-455C-93EF-7AB3C95961BE}" name="K1 1000m Classification" dataDxfId="824"/>
  </tableColumns>
  <tableStyleInfo name="TableStyleLight1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F5A4AC6-5D80-4A0B-BEFC-69D4E13E0515}" name="Table8" displayName="Table8" ref="A1:D44" totalsRowShown="0" dataDxfId="823">
  <autoFilter ref="A1:D44" xr:uid="{9F5A4AC6-5D80-4A0B-BEFC-69D4E13E0515}"/>
  <tableColumns count="4">
    <tableColumn id="1" xr3:uid="{D43BE42F-877C-43F1-AA3F-D115B52A0C34}" name="Athlete" dataDxfId="822"/>
    <tableColumn id="2" xr3:uid="{EF3CE167-C6A9-47F1-822D-6A5BCE23E6B1}" name="Country" dataDxfId="821"/>
    <tableColumn id="6" xr3:uid="{88F00AA6-A0D7-4137-B3F3-419593EAD43E}" name="C1 200m Classification" dataDxfId="820"/>
    <tableColumn id="4" xr3:uid="{38FC0736-8D48-453D-955D-4F547EDD5D76}" name="K1 500m Classification" dataDxfId="819"/>
  </tableColumns>
  <tableStyleInfo name="TableStyleLight1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6AE6CAC4-5EC1-44C9-8487-3188413B40ED}" name="Table68" displayName="Table68" ref="A1:H55" totalsRowShown="0" dataDxfId="818">
  <autoFilter ref="A1:H55" xr:uid="{6AE6CAC4-5EC1-44C9-8487-3188413B40ED}"/>
  <sortState xmlns:xlrd2="http://schemas.microsoft.com/office/spreadsheetml/2017/richdata2" ref="A2:F2">
    <sortCondition ref="B1:B2"/>
  </sortState>
  <tableColumns count="8">
    <tableColumn id="1" xr3:uid="{170E6951-668D-4925-8ED3-3637D287335A}" name="Pair" dataDxfId="817"/>
    <tableColumn id="2" xr3:uid="{5EFD671D-95A1-4830-9854-6BA3A8BCAAC7}" name="Country" dataDxfId="816"/>
    <tableColumn id="3" xr3:uid="{7E8D5C95-DF77-466A-91FE-85E79B444342}" name="Men's C2 500m Classification" dataDxfId="815"/>
    <tableColumn id="6" xr3:uid="{5715126E-5A4C-445C-B31C-EDB06534190A}" name="Women's C2 500m Classification" dataDxfId="814"/>
    <tableColumn id="5" xr3:uid="{B03503E1-1C4F-46AB-BDE8-85D2FF62958A}" name="Men's K2 500m Classification" dataDxfId="813"/>
    <tableColumn id="4" xr3:uid="{1411A0E7-CDA5-492B-BFC9-A0F499D7899A}" name="Women's K2 500m Classification" dataDxfId="812"/>
    <tableColumn id="7" xr3:uid="{F26078E5-0D2E-470E-A5ED-9536882F9017}" name="Missing Athletes" dataDxfId="811">
      <calculatedColumnFormula>Table68[[#This Row],[Total Athletes]]-(LEN(Table68[[#This Row],[Pair]])-LEN(SUBSTITUTE(Table68[[#This Row],[Pair]],"/","")))-1</calculatedColumnFormula>
    </tableColumn>
    <tableColumn id="8" xr3:uid="{01277D9D-3799-45BB-B339-7CCD7EA9783D}" name="Total Athletes" dataDxfId="810"/>
  </tableColumns>
  <tableStyleInfo name="TableStyleLight1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7313C6CF-4398-4501-BBB5-CF18FB087405}" name="Table83" displayName="Table83" ref="A1:F22" totalsRowShown="0" dataDxfId="809">
  <autoFilter ref="A1:F22" xr:uid="{7313C6CF-4398-4501-BBB5-CF18FB087405}"/>
  <sortState xmlns:xlrd2="http://schemas.microsoft.com/office/spreadsheetml/2017/richdata2" ref="A2:D2">
    <sortCondition ref="A1:A2"/>
  </sortState>
  <tableColumns count="6">
    <tableColumn id="1" xr3:uid="{835E5E42-DA21-430B-B8F8-EA76FC9BE81E}" name="Team" dataDxfId="808"/>
    <tableColumn id="2" xr3:uid="{E001EC81-6B4D-4068-9FFB-4D42E0060CD5}" name="Country" dataDxfId="807"/>
    <tableColumn id="3" xr3:uid="{B9A46244-C450-45EA-9B3F-055E38AAA17A}" name="Men's K4 500m Classification" dataDxfId="806"/>
    <tableColumn id="4" xr3:uid="{9351171F-1449-4EEC-B8C5-567460D87B06}" name="Women's K4 500m Classification" dataDxfId="805"/>
    <tableColumn id="5" xr3:uid="{AEB5FE28-A47B-4DB3-8D1F-366A9C1C7119}" name="Missing Athletes" dataDxfId="804">
      <calculatedColumnFormula>Table83[[#This Row],[Total Athletes]]-(LEN(Table83[[#This Row],[Team]])-LEN(SUBSTITUTE(Table83[[#This Row],[Team]],"/","")))-1</calculatedColumnFormula>
    </tableColumn>
    <tableColumn id="6" xr3:uid="{A04C1A38-49B3-44CF-B980-45DF92ECB717}" name="Total Athletes" dataDxfId="803"/>
  </tableColumns>
  <tableStyleInfo name="TableStyleLight1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2C3A99E8-B86A-4971-970B-7DCE9FFE6BDF}" name="Table66" displayName="Table66" ref="A1:C37" totalsRowShown="0" dataDxfId="802">
  <autoFilter ref="A1:C37" xr:uid="{2C3A99E8-B86A-4971-970B-7DCE9FFE6BDF}"/>
  <sortState xmlns:xlrd2="http://schemas.microsoft.com/office/spreadsheetml/2017/richdata2" ref="A2:C2">
    <sortCondition ref="A1:A2"/>
  </sortState>
  <tableColumns count="3">
    <tableColumn id="1" xr3:uid="{BD97150F-F5D8-4587-ACAC-49B72F608984}" name="Athlete" dataDxfId="801"/>
    <tableColumn id="2" xr3:uid="{868E3A82-032C-4E76-84D3-9414D43263FA}" name="Country" dataDxfId="800"/>
    <tableColumn id="3" xr3:uid="{8A9EE975-0BB2-4E2B-8C26-D73D8B5FCAC5}" name="Classification" dataDxfId="799"/>
  </tableColumns>
  <tableStyleInfo name="TableStyleLight1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74881687-77F4-4D34-A6CD-3B8AB0A06C52}" name="Table67" displayName="Table67" ref="A1:C37" totalsRowShown="0" dataDxfId="798">
  <autoFilter ref="A1:C37" xr:uid="{74881687-77F4-4D34-A6CD-3B8AB0A06C52}"/>
  <sortState xmlns:xlrd2="http://schemas.microsoft.com/office/spreadsheetml/2017/richdata2" ref="A2:C2">
    <sortCondition ref="C1:C2"/>
  </sortState>
  <tableColumns count="3">
    <tableColumn id="1" xr3:uid="{D34E19F6-60D0-4A06-BDEB-7184F5E7697A}" name="Athlete" dataDxfId="797"/>
    <tableColumn id="2" xr3:uid="{CD8A2918-E75B-4966-BC2D-B323497804F1}" name="Country" dataDxfId="796"/>
    <tableColumn id="3" xr3:uid="{5A0AE4BA-B0C2-4D85-A010-6887ED41909F}" name="Classification" dataDxfId="795"/>
  </tableColumns>
  <tableStyleInfo name="TableStyleLight1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6" xr:uid="{14AB19B8-0D5D-4954-AA48-1A856580F2BF}" name="Tabela126" displayName="Tabela126" ref="A1:C13" totalsRowShown="0" dataDxfId="794">
  <autoFilter ref="A1:C13" xr:uid="{14AB19B8-0D5D-4954-AA48-1A856580F2BF}"/>
  <tableColumns count="3">
    <tableColumn id="1" xr3:uid="{25D1A3A0-580F-4CDC-BBD2-DCAEB0D3700F}" name="Athlete" dataDxfId="793"/>
    <tableColumn id="2" xr3:uid="{A74AF052-C305-4A56-93B5-5585813E38D0}" name="Country" dataDxfId="792"/>
    <tableColumn id="3" xr3:uid="{7F6FCA34-181C-4CF4-8D32-74D1410B27C1}" name="Classification" dataDxfId="791"/>
  </tableColumns>
  <tableStyleInfo name="TableStyleLight1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9" xr:uid="{00EDE08D-EBFF-45D0-B0BA-E1BE6CD0AA2B}" name="Tabela126130" displayName="Tabela126130" ref="A1:C13" totalsRowShown="0" dataDxfId="790">
  <autoFilter ref="A1:C13" xr:uid="{00EDE08D-EBFF-45D0-B0BA-E1BE6CD0AA2B}"/>
  <tableColumns count="3">
    <tableColumn id="1" xr3:uid="{13F41577-2BCF-45A4-8CE0-9B516806309C}" name="Athlete" dataDxfId="789"/>
    <tableColumn id="2" xr3:uid="{CA2A7726-FFCA-407B-908B-1AA8E97DDD52}" name="Country" dataDxfId="788"/>
    <tableColumn id="3" xr3:uid="{8A481A93-3FA4-465E-BBF7-AF11685AF62A}" name="Classification" dataDxfId="787"/>
  </tableColumns>
  <tableStyleInfo name="TableStyleLight1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D27F2AB1-1D50-4EA3-BB82-C5D66EB546A3}" name="Table70" displayName="Table70" ref="A1:C25" totalsRowShown="0" dataDxfId="786">
  <autoFilter ref="A1:C25" xr:uid="{D27F2AB1-1D50-4EA3-BB82-C5D66EB546A3}"/>
  <sortState xmlns:xlrd2="http://schemas.microsoft.com/office/spreadsheetml/2017/richdata2" ref="A2:C2">
    <sortCondition ref="B1:B2"/>
  </sortState>
  <tableColumns count="3">
    <tableColumn id="1" xr3:uid="{1DC80DED-3F2D-4221-BFD0-491B104AA4D1}" name="Athlete" dataDxfId="785"/>
    <tableColumn id="2" xr3:uid="{9775A644-BD09-4E83-859A-9A1C787C2644}" name="Country" dataDxfId="784"/>
    <tableColumn id="3" xr3:uid="{710CD455-91C5-4879-876C-DE614D601ADA}" name="Classification" dataDxfId="783"/>
  </tableColumns>
  <tableStyleInfo name="TableStyleLight1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CF68A311-1386-424F-9664-6BF4C6EBFF4C}" name="Table80" displayName="Table80" ref="A1:C25" totalsRowShown="0" dataDxfId="782">
  <autoFilter ref="A1:C25" xr:uid="{CF68A311-1386-424F-9664-6BF4C6EBFF4C}"/>
  <sortState xmlns:xlrd2="http://schemas.microsoft.com/office/spreadsheetml/2017/richdata2" ref="A2:C2">
    <sortCondition ref="B1:B2"/>
  </sortState>
  <tableColumns count="3">
    <tableColumn id="1" xr3:uid="{6B9A3407-7335-4B57-A0C2-97E2C1FC0D8F}" name="Athlete" dataDxfId="781"/>
    <tableColumn id="2" xr3:uid="{13761FB6-7F34-4E2E-A803-4DFFAD4C0B89}" name="Country" dataDxfId="780"/>
    <tableColumn id="3" xr3:uid="{7AFC5CFA-617C-4E90-989A-E273C9343206}" name="Classification" dataDxfId="779"/>
  </tableColumns>
  <tableStyleInfo name="TableStyleLight1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DDA5DC9-2266-483A-8A0B-E3301F57914A}" name="Table9" displayName="Table9" ref="A1:D120" totalsRowShown="0" dataDxfId="778">
  <autoFilter ref="A1:D120" xr:uid="{9DDA5DC9-2266-483A-8A0B-E3301F57914A}"/>
  <sortState xmlns:xlrd2="http://schemas.microsoft.com/office/spreadsheetml/2017/richdata2" ref="A2:D2">
    <sortCondition ref="B1:B2"/>
  </sortState>
  <tableColumns count="4">
    <tableColumn id="1" xr3:uid="{EF0E5BF6-2748-4AF0-B595-784C0DA5DFDC}" name="Athlete" dataDxfId="777"/>
    <tableColumn id="2" xr3:uid="{EB1C89B5-EEE9-4768-AD23-B6BBF787D610}" name="Country" dataDxfId="776"/>
    <tableColumn id="3" xr3:uid="{C41AF3E3-70EE-48A3-A9F3-2AAB6BF11E42}" name="Road Race Classification" dataDxfId="775"/>
    <tableColumn id="4" xr3:uid="{4B143305-C1FB-4B69-B0AA-4244867106D0}" name="Time-Trial Classification" dataDxfId="774"/>
  </tableColumns>
  <tableStyleInfo name="TableStyleLight12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815881CD-D54E-4008-81C0-CA4920933996}" name="Table14" displayName="Table14" ref="A1:D123" totalsRowShown="0" dataDxfId="773">
  <autoFilter ref="A1:D123" xr:uid="{815881CD-D54E-4008-81C0-CA4920933996}"/>
  <sortState xmlns:xlrd2="http://schemas.microsoft.com/office/spreadsheetml/2017/richdata2" ref="A2:D2">
    <sortCondition ref="B1:B2"/>
  </sortState>
  <tableColumns count="4">
    <tableColumn id="1" xr3:uid="{2CE7BB23-AD79-4297-BCE5-325AFF89ED55}" name="Athlete" dataDxfId="772"/>
    <tableColumn id="2" xr3:uid="{8C3E2000-4C85-4BC2-9394-7B5406C661D7}" name="Country" dataDxfId="771"/>
    <tableColumn id="3" xr3:uid="{9DBDE3C2-65F0-4DB8-B77F-F64798136500}" name="Road Race Classification" dataDxfId="770"/>
    <tableColumn id="4" xr3:uid="{C3E36F27-A52C-4B41-9537-ABB2B8098E7E}" name="Time-Trial Classification" dataDxfId="769"/>
  </tableColumns>
  <tableStyleInfo name="TableStyleLight1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5B3AE1B-7C35-4199-98E1-40E73DC10913}" name="Table69" displayName="Table69" ref="A1:E68" totalsRowShown="0" dataDxfId="768">
  <autoFilter ref="A1:E68" xr:uid="{15B3AE1B-7C35-4199-98E1-40E73DC10913}"/>
  <sortState xmlns:xlrd2="http://schemas.microsoft.com/office/spreadsheetml/2017/richdata2" ref="A2:E2">
    <sortCondition ref="B1:B2"/>
  </sortState>
  <tableColumns count="5">
    <tableColumn id="1" xr3:uid="{41AF447C-D86E-4D03-AB09-FA5654B32A88}" name="Athlete" dataDxfId="767"/>
    <tableColumn id="2" xr3:uid="{5504A826-C61F-459A-BDEB-3AD0CB0DFE7E}" name="Country" dataDxfId="766"/>
    <tableColumn id="3" xr3:uid="{DF858C72-F932-45B6-9339-E2D645D7F3B9}" name="Keirin Classification" dataDxfId="765"/>
    <tableColumn id="4" xr3:uid="{F01C478D-60CD-4B36-BB9B-8B77C9C030AB}" name="Omnium Classification" dataDxfId="764"/>
    <tableColumn id="5" xr3:uid="{0B6AA5CF-E9AA-42CA-AF0B-045E81984E31}" name="Sprint Classification" dataDxfId="763"/>
  </tableColumns>
  <tableStyleInfo name="TableStyleLight1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CE8F666-7B7F-41C7-ADE4-BD84E1833259}" name="Table41" displayName="Table41" ref="A1:E66" totalsRowShown="0" dataDxfId="762">
  <autoFilter ref="A1:E66" xr:uid="{4CE8F666-7B7F-41C7-ADE4-BD84E1833259}"/>
  <sortState xmlns:xlrd2="http://schemas.microsoft.com/office/spreadsheetml/2017/richdata2" ref="A2:E2">
    <sortCondition ref="B1:B2"/>
  </sortState>
  <tableColumns count="5">
    <tableColumn id="1" xr3:uid="{7F1DDCC5-FFFF-4AAB-A1AC-AABCB0FDDCB4}" name="Athlete" dataDxfId="761"/>
    <tableColumn id="2" xr3:uid="{AEC28DB0-2C69-498A-85C8-F617454C76B6}" name="Country" dataDxfId="760"/>
    <tableColumn id="5" xr3:uid="{BB7C0D88-48EB-427E-B56E-2227C4F6694F}" name="Keirin Classification" dataDxfId="759"/>
    <tableColumn id="3" xr3:uid="{E6D0674F-3573-4703-BD7E-3946242CF12D}" name="Omnium Classification" dataDxfId="758"/>
    <tableColumn id="4" xr3:uid="{8A471A0F-BC05-4E90-BCB5-2E47BCAE1937}" name="Sprint Classification" dataDxfId="757"/>
  </tableColumns>
  <tableStyleInfo name="TableStyleLight12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4D7B9DF7-0032-432E-BCD3-C2F5326A87F3}" name="Table84" displayName="Table84" ref="A1:F31" totalsRowShown="0" dataDxfId="756">
  <autoFilter ref="A1:F31" xr:uid="{4D7B9DF7-0032-432E-BCD3-C2F5326A87F3}"/>
  <sortState xmlns:xlrd2="http://schemas.microsoft.com/office/spreadsheetml/2017/richdata2" ref="A2:D2">
    <sortCondition ref="B1:B2"/>
  </sortState>
  <tableColumns count="6">
    <tableColumn id="1" xr3:uid="{15FA0AC2-50CD-4BB7-A42B-438BC960F259}" name="Pair" dataDxfId="755"/>
    <tableColumn id="2" xr3:uid="{00195D17-DBDC-48E1-AB8F-6FA0A89089DF}" name="Country" dataDxfId="754"/>
    <tableColumn id="3" xr3:uid="{79F8AC2B-1D26-4FCE-ABEC-BA535A29FF5F}" name="Men's Madison Classification" dataDxfId="753"/>
    <tableColumn id="5" xr3:uid="{F9A735DB-8D58-4F3F-927E-78664C9E4C96}" name="Women's Madison Classification" dataDxfId="752"/>
    <tableColumn id="4" xr3:uid="{0AC20ABF-6287-45FB-97D9-DEE903B61465}" name="Missing Athletes" dataDxfId="751">
      <calculatedColumnFormula>Table84[[#This Row],[Total Athletes]]-(LEN(Table84[[#This Row],[Pair]])-LEN(SUBSTITUTE(Table84[[#This Row],[Pair]],"/","")))-1</calculatedColumnFormula>
    </tableColumn>
    <tableColumn id="6" xr3:uid="{17368ED4-EA07-4C94-BEDF-9BD5C52A2337}" name="Total Athletes" dataDxfId="750"/>
  </tableColumns>
  <tableStyleInfo name="TableStyleLight1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B0E02A8A-C795-4AF3-9403-7CD17093D3A8}" name="Table85" displayName="Table85" ref="A1:H37" totalsRowShown="0" dataDxfId="749">
  <autoFilter ref="A1:H37" xr:uid="{B0E02A8A-C795-4AF3-9403-7CD17093D3A8}"/>
  <sortState xmlns:xlrd2="http://schemas.microsoft.com/office/spreadsheetml/2017/richdata2" ref="A2:F2">
    <sortCondition ref="B1:B2"/>
  </sortState>
  <tableColumns count="8">
    <tableColumn id="1" xr3:uid="{0FC730CE-BEC7-4D40-9720-0D3EFF9746E4}" name="Team" dataDxfId="748"/>
    <tableColumn id="2" xr3:uid="{6D54B074-1E73-44C9-AC08-5903C3FA3332}" name="Country" dataDxfId="747"/>
    <tableColumn id="3" xr3:uid="{7C413204-E158-46AE-8E4A-C919A621F94D}" name="Men's Pursuit Classification" dataDxfId="746"/>
    <tableColumn id="4" xr3:uid="{61FEF967-A486-4CCC-AA13-487246EBC5C7}" name="Women's Pursuit Classification" dataDxfId="745"/>
    <tableColumn id="5" xr3:uid="{C693AB8A-E27D-49CF-9856-0353F6C702CA}" name="Men's Sprint Classification" dataDxfId="744"/>
    <tableColumn id="6" xr3:uid="{0E56437E-5F04-43AD-908C-8CB48D812316}" name="Women's Sprint Classification" dataDxfId="743"/>
    <tableColumn id="7" xr3:uid="{C222EB91-6FE6-42AF-99B9-A2CA3F8CA711}" name="Missing Athletes" dataDxfId="742">
      <calculatedColumnFormula>Table85[[#This Row],[Total Athletes]]-(LEN(Table85[[#This Row],[Team]])-LEN(SUBSTITUTE(Table85[[#This Row],[Team]],"/","")))-1</calculatedColumnFormula>
    </tableColumn>
    <tableColumn id="8" xr3:uid="{E67982FF-EF97-4E75-924B-A0D31A3F3311}" name="Total Athletes" dataDxfId="741"/>
  </tableColumns>
  <tableStyleInfo name="TableStyleLight1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99D00FFB-19E4-435B-9658-5E7D3AAC5675}" name="Table42" displayName="Table42" ref="A1:D52" totalsRowShown="0" dataDxfId="740">
  <autoFilter ref="A1:D52" xr:uid="{99D00FFB-19E4-435B-9658-5E7D3AAC5675}"/>
  <sortState xmlns:xlrd2="http://schemas.microsoft.com/office/spreadsheetml/2017/richdata2" ref="A2:D2">
    <sortCondition ref="B1:B2"/>
  </sortState>
  <tableColumns count="4">
    <tableColumn id="1" xr3:uid="{28498E16-F791-405C-82C2-6C69D2CEA6AF}" name="Athlete" dataDxfId="739"/>
    <tableColumn id="2" xr3:uid="{F312F322-6040-4AEE-A376-C3EB5E481EF8}" name="Country" dataDxfId="738"/>
    <tableColumn id="3" xr3:uid="{EBDC785F-A70F-4808-B0BC-11DE1C131530}" name="Springboard Classification" dataDxfId="737"/>
    <tableColumn id="4" xr3:uid="{73B9D7A1-34E6-4258-A839-A8930CDE622A}" name="Platform Classification" dataDxfId="736"/>
  </tableColumns>
  <tableStyleInfo name="TableStyleLight12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E999D1E9-7A0B-4D70-AFEA-294D01FD7C63}" name="Table43" displayName="Table43" ref="A1:D57" totalsRowShown="0" dataDxfId="735">
  <autoFilter ref="A1:D57" xr:uid="{E999D1E9-7A0B-4D70-AFEA-294D01FD7C63}"/>
  <sortState xmlns:xlrd2="http://schemas.microsoft.com/office/spreadsheetml/2017/richdata2" ref="A2:D2">
    <sortCondition ref="B1:B2"/>
  </sortState>
  <tableColumns count="4">
    <tableColumn id="1" xr3:uid="{7794C9E4-6BDA-4A65-A209-FD1E7202346C}" name="Athlete" dataDxfId="734"/>
    <tableColumn id="2" xr3:uid="{9C90CFAE-3D93-49D1-AE82-AD12A7D9EC85}" name="Country" dataDxfId="733"/>
    <tableColumn id="4" xr3:uid="{250089E0-7D37-4197-9DE2-66111724848C}" name="Springboard Classification" dataDxfId="732"/>
    <tableColumn id="3" xr3:uid="{BF795BC2-E215-4AC9-B567-EC1CD4221D8E}" name="Platform Classification" dataDxfId="731"/>
  </tableColumns>
  <tableStyleInfo name="TableStyleLight12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973DA029-F204-4818-B5E0-2BFE743F294E}" name="Table86" displayName="Table86" ref="A1:H33" totalsRowShown="0" dataDxfId="730">
  <autoFilter ref="A1:H33" xr:uid="{973DA029-F204-4818-B5E0-2BFE743F294E}"/>
  <sortState xmlns:xlrd2="http://schemas.microsoft.com/office/spreadsheetml/2017/richdata2" ref="A2:F2">
    <sortCondition ref="B1:B2"/>
  </sortState>
  <tableColumns count="8">
    <tableColumn id="1" xr3:uid="{29F20659-D9C5-442C-B0A3-839F4B49E330}" name="Pair" dataDxfId="729"/>
    <tableColumn id="2" xr3:uid="{6B24D20B-EA5E-486A-98CA-954B8F1AE4D0}" name="Country" dataDxfId="728"/>
    <tableColumn id="6" xr3:uid="{46F4EEF9-4A4B-4170-B2FF-C9194E188752}" name="Men's Synchronized Springboard Classification" dataDxfId="727"/>
    <tableColumn id="5" xr3:uid="{947E685D-253A-4368-AD6F-4B84856D9406}" name="Women's Synchronized Springboard Classification" dataDxfId="726"/>
    <tableColumn id="3" xr3:uid="{F494DCD0-5FFB-4F2A-BCBE-20F75B899E37}" name="Men's Synchronized Platform Classification" dataDxfId="725"/>
    <tableColumn id="4" xr3:uid="{0A2CB4D0-AA8A-4534-BCE8-250C2F037E3D}" name="Women's Synchronized Platform Classification" dataDxfId="724"/>
    <tableColumn id="7" xr3:uid="{72685F60-F377-4BCC-B5DF-DD229950CF94}" name="Missing Athletes" dataDxfId="723">
      <calculatedColumnFormula>Table86[[#This Row],[Total Athletes]]-(LEN(Table86[[#This Row],[Pair]])-LEN(SUBSTITUTE(Table86[[#This Row],[Pair]],"/","")))-1</calculatedColumnFormula>
    </tableColumn>
    <tableColumn id="8" xr3:uid="{DA007AF8-94BC-4AEA-A8E5-A2F9BAFA2D75}" name="Total Athletes" dataDxfId="722"/>
  </tableColumns>
  <tableStyleInfo name="TableStyleLight1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7A242832-232E-4C7E-B8BC-6507EF32E662}" name="Table44" displayName="Table44" ref="A1:E201" totalsRowShown="0" dataDxfId="721">
  <autoFilter ref="A1:E201" xr:uid="{7A242832-232E-4C7E-B8BC-6507EF32E662}"/>
  <sortState xmlns:xlrd2="http://schemas.microsoft.com/office/spreadsheetml/2017/richdata2" ref="A2:E2">
    <sortCondition ref="D1:D2"/>
  </sortState>
  <tableColumns count="5">
    <tableColumn id="1" xr3:uid="{2D140423-C960-45FA-A1B3-F65505851482}" name="Athlete" dataDxfId="720"/>
    <tableColumn id="2" xr3:uid="{09F7CF48-EF9A-458E-9BE8-C9A1659E0D94}" name="Country" dataDxfId="719"/>
    <tableColumn id="4" xr3:uid="{1C0C2C82-6075-44E9-9626-A202BEE27217}" name="Dressage Classification" dataDxfId="718"/>
    <tableColumn id="5" xr3:uid="{4C2F88DD-19DD-4EB1-BBFB-B74BE22C8695}" name="Eventing Classification" dataDxfId="717"/>
    <tableColumn id="3" xr3:uid="{59DA3046-DA24-4309-9F3B-BFA13030E520}" name="Jumping Classification" dataDxfId="716"/>
  </tableColumns>
  <tableStyleInfo name="TableStyleLight12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64B3DED9-079A-4915-A04C-03DA9E0C3614}" name="Table45" displayName="Table45" ref="A1:G52" totalsRowShown="0" dataDxfId="715">
  <autoFilter ref="A1:G52" xr:uid="{64B3DED9-079A-4915-A04C-03DA9E0C3614}"/>
  <sortState xmlns:xlrd2="http://schemas.microsoft.com/office/spreadsheetml/2017/richdata2" ref="A2:E2">
    <sortCondition ref="B1:B2"/>
  </sortState>
  <tableColumns count="7">
    <tableColumn id="1" xr3:uid="{AA8BEC8E-AD1D-4EED-B013-850A416D134A}" name="Team" dataDxfId="714"/>
    <tableColumn id="2" xr3:uid="{FEE69999-42B2-4D13-82A2-DE2357A51940}" name="Country" dataDxfId="713"/>
    <tableColumn id="5" xr3:uid="{58881136-F7F5-482C-9B3B-4306E0A4AACA}" name="Dressage Classification" dataDxfId="712"/>
    <tableColumn id="4" xr3:uid="{69866D6D-1484-4370-AA96-1D040A1C67E1}" name="Eventing Classification" dataDxfId="711"/>
    <tableColumn id="3" xr3:uid="{0C5CF6D6-8E9D-4B14-8927-36A996796E3C}" name="Jumping Classification" dataDxfId="710"/>
    <tableColumn id="6" xr3:uid="{191F2A03-32B6-469F-9EC4-E7574AD232CE}" name="Missing Athletes" dataDxfId="709">
      <calculatedColumnFormula>Table45[[#This Row],[Total Athletes]]-(LEN(Table45[[#This Row],[Team]])-LEN(SUBSTITUTE(Table45[[#This Row],[Team]],"/","")))-1</calculatedColumnFormula>
    </tableColumn>
    <tableColumn id="7" xr3:uid="{A80D9291-70A9-461F-B01D-B3E65D7B59DB}" name="Total Athletes" dataDxfId="708"/>
  </tableColumns>
  <tableStyleInfo name="TableStyleLight12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65B5D02-346E-4A2C-9311-6E66692C102A}" name="Table10" displayName="Table10" ref="A1:E107" totalsRowShown="0" dataDxfId="707">
  <autoFilter ref="A1:E107" xr:uid="{F65B5D02-346E-4A2C-9311-6E66692C102A}"/>
  <sortState xmlns:xlrd2="http://schemas.microsoft.com/office/spreadsheetml/2017/richdata2" ref="A2:E2">
    <sortCondition ref="B1:B2"/>
  </sortState>
  <tableColumns count="5">
    <tableColumn id="1" xr3:uid="{FC602AA0-1191-45F7-B3FD-B6A2321C8FA1}" name="Athlete" dataDxfId="706"/>
    <tableColumn id="2" xr3:uid="{04775087-7C38-40A3-AF8F-76FF89F2E0F7}" name="Country" dataDxfId="705"/>
    <tableColumn id="5" xr3:uid="{046DAA92-7FD6-4CEF-B1BD-197166B04B00}" name="Épée Classification" dataDxfId="704"/>
    <tableColumn id="3" xr3:uid="{9880B474-5A3B-45E7-A793-01BE0E1AFB5C}" name="Foil Classification" dataDxfId="703"/>
    <tableColumn id="4" xr3:uid="{56F08634-BCD3-403B-B53C-FD0E01484721}" name="Sabre Classification" dataDxfId="702"/>
  </tableColumns>
  <tableStyleInfo name="TableStyleLight12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B2E3369-0CB5-473E-8E1D-BEC7CEA4AB77}" name="Table11" displayName="Table11" ref="A1:E107" totalsRowShown="0" dataDxfId="701">
  <autoFilter ref="A1:E107" xr:uid="{6B2E3369-0CB5-473E-8E1D-BEC7CEA4AB77}"/>
  <sortState xmlns:xlrd2="http://schemas.microsoft.com/office/spreadsheetml/2017/richdata2" ref="A2:E2">
    <sortCondition ref="B1:B2"/>
  </sortState>
  <tableColumns count="5">
    <tableColumn id="1" xr3:uid="{B2676727-A8A0-4195-86CA-FFB982DEA7BD}" name="Athlete" dataDxfId="700"/>
    <tableColumn id="2" xr3:uid="{9DD8396A-DE21-423B-8877-D0111170FECE}" name="Country" dataDxfId="699"/>
    <tableColumn id="5" xr3:uid="{60892A46-03EF-4D5B-AE1C-1FB5A2501F02}" name="Épée Classification" dataDxfId="698"/>
    <tableColumn id="3" xr3:uid="{116C24A2-759D-4AF0-990D-13BA9BE67156}" name="Foil Classification" dataDxfId="697"/>
    <tableColumn id="4" xr3:uid="{ACFC3BFA-EB87-4FA7-916F-18821828DD50}" name="Sabre Classification" dataDxfId="696"/>
  </tableColumns>
  <tableStyleInfo name="TableStyleLight12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316214C0-037C-430E-AB79-67273510DA42}" name="Table46" displayName="Table46" ref="A1:J49" totalsRowShown="0" dataDxfId="695">
  <autoFilter ref="A1:J49" xr:uid="{316214C0-037C-430E-AB79-67273510DA42}"/>
  <sortState xmlns:xlrd2="http://schemas.microsoft.com/office/spreadsheetml/2017/richdata2" ref="A2:H2">
    <sortCondition ref="B1:B2"/>
  </sortState>
  <tableColumns count="10">
    <tableColumn id="1" xr3:uid="{39B800D0-5D49-4433-B529-665DD1540EA9}" name="Team" dataDxfId="694"/>
    <tableColumn id="2" xr3:uid="{4228A4E2-D3DB-429B-A6E0-B0819C4B7452}" name="Country" dataDxfId="693"/>
    <tableColumn id="7" xr3:uid="{BDED2A5F-11DC-4B7C-A219-D6911EF27C9A}" name="Men's Épée Classification" dataDxfId="692"/>
    <tableColumn id="3" xr3:uid="{34C5162D-E18F-4DD4-8755-95FB01EECD0C}" name="Men's Foil Classification" dataDxfId="691"/>
    <tableColumn id="4" xr3:uid="{863FBC13-F19E-4083-A380-EE78B404987C}" name="Men's Sabre Classification" dataDxfId="690"/>
    <tableColumn id="8" xr3:uid="{D4524247-AF96-4241-969E-4301B00AB251}" name="Women's Épée Classification" dataDxfId="689"/>
    <tableColumn id="5" xr3:uid="{66313DDB-D5A3-46CB-B013-9409450EB1F5}" name="Women's Foil Classification" dataDxfId="688"/>
    <tableColumn id="6" xr3:uid="{E436AA1B-D824-4EA9-AA06-4AED6E0CBE7B}" name="Women's Sabre Classification" dataDxfId="687"/>
    <tableColumn id="9" xr3:uid="{CEFBA538-893A-41B9-A139-13468BDA1949}" name="Missing Athletes" dataDxfId="686">
      <calculatedColumnFormula>Table46[[#This Row],[Total Athletes]]-(LEN(Table46[[#This Row],[Team]])-LEN(SUBSTITUTE(Table46[[#This Row],[Team]],"/","")))-1</calculatedColumnFormula>
    </tableColumn>
    <tableColumn id="10" xr3:uid="{0F14DED7-4B68-473D-86C5-9280B280C58C}" name="Total Athletes" dataDxfId="685"/>
  </tableColumns>
  <tableStyleInfo name="TableStyleLight12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57C4EB61-A7E8-463A-B574-5189A44811D5}" name="Table91" displayName="Table91" ref="A1:I25" totalsRowShown="0" dataDxfId="684">
  <autoFilter ref="A1:I25" xr:uid="{57C4EB61-A7E8-463A-B574-5189A44811D5}"/>
  <sortState xmlns:xlrd2="http://schemas.microsoft.com/office/spreadsheetml/2017/richdata2" ref="A2:G2">
    <sortCondition ref="E1:E2"/>
  </sortState>
  <tableColumns count="9">
    <tableColumn id="1" xr3:uid="{305EDDCC-490B-4377-88DD-9C5FAAE77883}" name="Goalkeepers" dataDxfId="683"/>
    <tableColumn id="5" xr3:uid="{C9F81605-186D-4DC6-A13B-2DBBC698744E}" name="Defenders" dataDxfId="682"/>
    <tableColumn id="6" xr3:uid="{4073467F-4D10-41F7-8B60-4F84860CE59C}" name="Midfielders" dataDxfId="681"/>
    <tableColumn id="7" xr3:uid="{A9869433-5826-4DCF-847D-9C2EACA1BB80}" name="Forwards" dataDxfId="680"/>
    <tableColumn id="2" xr3:uid="{6E192532-6A74-42B8-BCE0-80757BD46C86}" name="Country" dataDxfId="679"/>
    <tableColumn id="3" xr3:uid="{6642088A-4CF9-4B79-B368-9D733C2B765E}" name="Men's Classification" dataDxfId="678"/>
    <tableColumn id="4" xr3:uid="{C353C09D-0494-4AF1-9C7F-8E6FFF591822}" name="Women's Classification" dataDxfId="677"/>
    <tableColumn id="8" xr3:uid="{7361C113-675D-445E-9F91-BAC9D3D383D1}" name="Missing Athletes" dataDxfId="676">
      <calculatedColumnFormula>Table91[[#This Row],[Total Athletes]]-(LEN(Table91[[#This Row],[Goalkeepers]])-LEN(SUBSTITUTE(Table91[[#This Row],[Goalkeepers]],"/","")))-(LEN(Table91[[#This Row],[Defenders]])-LEN(SUBSTITUTE(Table91[[#This Row],[Defenders]],"/","")))-(LEN(Table91[[#This Row],[Midfielders]])-LEN(SUBSTITUTE(Table91[[#This Row],[Midfielders]],"/","")))-(LEN(Table91[[#This Row],[Forwards]])-LEN(SUBSTITUTE(Table91[[#This Row],[Forwards]],"/","")))-4</calculatedColumnFormula>
    </tableColumn>
    <tableColumn id="9" xr3:uid="{A908C389-53E1-4B32-A238-C9C5DB96D3DB}" name="Total Athletes" dataDxfId="675"/>
  </tableColumns>
  <tableStyleInfo name="TableStyleLight12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C1D8FBD6-D51D-43E3-89B4-9BAD0A3C8C91}" name="Table9194" displayName="Table9194" ref="A1:I29" totalsRowShown="0" dataDxfId="674">
  <autoFilter ref="A1:I29" xr:uid="{C1D8FBD6-D51D-43E3-89B4-9BAD0A3C8C91}"/>
  <sortState xmlns:xlrd2="http://schemas.microsoft.com/office/spreadsheetml/2017/richdata2" ref="A2:G2">
    <sortCondition ref="E1:E2"/>
  </sortState>
  <tableColumns count="9">
    <tableColumn id="1" xr3:uid="{05716207-EF6D-4AED-9CFA-6ED9B0D660FC}" name="Goalkeepers" dataDxfId="673"/>
    <tableColumn id="5" xr3:uid="{E6D81C6C-03B4-4B11-B1F8-BF7B7129C79E}" name="Defenders" dataDxfId="672"/>
    <tableColumn id="6" xr3:uid="{F85DFC6B-482F-4914-8AF2-3C6E15A31157}" name="Midfielders" dataDxfId="671"/>
    <tableColumn id="7" xr3:uid="{08EF5C68-63CD-4022-BA2F-97434DE79490}" name="Forwards" dataDxfId="670"/>
    <tableColumn id="2" xr3:uid="{3981C8D8-1371-4FEA-86C4-2D44C292E4FA}" name="Country" dataDxfId="669"/>
    <tableColumn id="3" xr3:uid="{A993636B-38AD-40E8-87B1-703CCC1E546C}" name="Men's Classification" dataDxfId="668"/>
    <tableColumn id="4" xr3:uid="{F6801BD8-51C5-4A0D-AA8A-2E6195FF177D}" name="Women's Classification" dataDxfId="667"/>
    <tableColumn id="8" xr3:uid="{46D9524E-B958-40F3-8A9C-9CD550B97E45}" name="Missing Athletes" dataDxfId="666">
      <calculatedColumnFormula>Table9194[[#This Row],[Total Athletes]]-(LEN(Table9194[[#This Row],[Goalkeepers]])-LEN(SUBSTITUTE(Table9194[[#This Row],[Goalkeepers]],"/","")))-(LEN(Table9194[[#This Row],[Defenders]])-LEN(SUBSTITUTE(Table9194[[#This Row],[Defenders]],"/","")))-(LEN(Table9194[[#This Row],[Midfielders]])-LEN(SUBSTITUTE(Table9194[[#This Row],[Midfielders]],"/","")))-(LEN(Table9194[[#This Row],[Forwards]])-LEN(SUBSTITUTE(Table9194[[#This Row],[Forwards]],"/","")))-4</calculatedColumnFormula>
    </tableColumn>
    <tableColumn id="9" xr3:uid="{7579853A-71DB-4D74-9CFB-11204354BFC1}" name="Total Athletes" dataDxfId="665"/>
  </tableColumns>
  <tableStyleInfo name="TableStyleLight12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2CEB1ADA-B04D-45CE-B969-A4BCB7501387}" name="Table71" displayName="Table71" ref="A1:C61" totalsRowShown="0" dataDxfId="664">
  <autoFilter ref="A1:C61" xr:uid="{2CEB1ADA-B04D-45CE-B969-A4BCB7501387}"/>
  <sortState xmlns:xlrd2="http://schemas.microsoft.com/office/spreadsheetml/2017/richdata2" ref="A2:C2">
    <sortCondition ref="B1:B2"/>
  </sortState>
  <tableColumns count="3">
    <tableColumn id="1" xr3:uid="{81D1C31F-F297-4D56-AAFC-9B272AA357F5}" name="Athlete" dataDxfId="663"/>
    <tableColumn id="2" xr3:uid="{A5598D39-2927-424E-A3CC-D4B91E5D39E3}" name="Country" dataDxfId="662"/>
    <tableColumn id="3" xr3:uid="{31EF6A53-46BC-473C-95ED-DA23563052E4}" name="Classification" dataDxfId="661"/>
  </tableColumns>
  <tableStyleInfo name="TableStyleLight12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6844655B-EE0D-4C0D-88B9-2AC1F0823A70}" name="Table62" displayName="Table62" ref="A1:C61" totalsRowShown="0" dataDxfId="660">
  <autoFilter ref="A1:C61" xr:uid="{6844655B-EE0D-4C0D-88B9-2AC1F0823A70}"/>
  <sortState xmlns:xlrd2="http://schemas.microsoft.com/office/spreadsheetml/2017/richdata2" ref="A2:C2">
    <sortCondition ref="C1:C2"/>
  </sortState>
  <tableColumns count="3">
    <tableColumn id="1" xr3:uid="{BCC49F7A-4420-4A4A-893B-29A116D5E2B5}" name="Athlete" dataDxfId="659"/>
    <tableColumn id="2" xr3:uid="{C2246867-D824-469B-B014-00D2F39E51CF}" name="Country" dataDxfId="658"/>
    <tableColumn id="3" xr3:uid="{BF4219D6-E442-4534-AC50-052742285352}" name="Classification" dataDxfId="657"/>
  </tableColumns>
  <tableStyleInfo name="TableStyleLight12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6FFA153E-B6C3-4CEA-BFEE-699270B4F63D}" name="Table919496" displayName="Table919496" ref="A1:J25" totalsRowShown="0" dataDxfId="656">
  <autoFilter ref="A1:J25" xr:uid="{6FFA153E-B6C3-4CEA-BFEE-699270B4F63D}"/>
  <sortState xmlns:xlrd2="http://schemas.microsoft.com/office/spreadsheetml/2017/richdata2" ref="A2:H2">
    <sortCondition ref="F1:F2"/>
  </sortState>
  <tableColumns count="10">
    <tableColumn id="1" xr3:uid="{6E434880-FC3D-43FC-9282-C5FBA242FC4E}" name="Goalkeepers" dataDxfId="655"/>
    <tableColumn id="5" xr3:uid="{88C8A8D6-AF4E-429A-8323-A1C6C54789F3}" name="Wingmans" dataDxfId="654"/>
    <tableColumn id="6" xr3:uid="{B9F8ECC5-31DF-40D9-9BC8-0280FE063AAF}" name="Centre Backcourts" dataDxfId="653"/>
    <tableColumn id="7" xr3:uid="{93F5347B-408F-4532-A0E0-01BF08E4D345}" name="Left/Right Backcourts" dataDxfId="652"/>
    <tableColumn id="8" xr3:uid="{39D3EE64-0F01-4653-AB7E-FD1720F61382}" name="Pivots" dataDxfId="651"/>
    <tableColumn id="2" xr3:uid="{D12929F3-93C3-4AED-86D8-5F0B206A4FEE}" name="Country" dataDxfId="650"/>
    <tableColumn id="3" xr3:uid="{DF2651F4-AB05-4F87-9586-AF996498944B}" name="Men's Classification" dataDxfId="649"/>
    <tableColumn id="4" xr3:uid="{ECCDD196-7C23-4E64-91CA-BEDBD0551EE4}" name="Women's Classification" dataDxfId="648"/>
    <tableColumn id="9" xr3:uid="{CDB92960-417B-4784-AD10-A44EB59F34D6}" name="Missing Athletes" dataDxfId="647">
      <calculatedColumnFormula>Table919496[[#This Row],[Total Athletes]]-(LEN(Table919496[[#This Row],[Goalkeepers]])-LEN(SUBSTITUTE(Table919496[[#This Row],[Goalkeepers]],"/","")))-(LEN(Table919496[[#This Row],[Wingmans]])-LEN(SUBSTITUTE(Table919496[[#This Row],[Wingmans]],"/","")))-(LEN(Table919496[[#This Row],[Centre Backcourts]])-LEN(SUBSTITUTE(Table919496[[#This Row],[Centre Backcourts]],"/","")))-(LEN(Table919496[[#This Row],[Left/Right Backcourts]])-LEN(SUBSTITUTE(Table919496[[#This Row],[Left/Right Backcourts]],"/","")))-(LEN(Table919496[[#This Row],[Pivots]])-LEN(SUBSTITUTE(Table919496[[#This Row],[Pivots]],"/","")))-5</calculatedColumnFormula>
    </tableColumn>
    <tableColumn id="10" xr3:uid="{9417A2F1-C707-4F67-B642-7866327C12E1}" name="Total Athletes" dataDxfId="646"/>
  </tableColumns>
  <tableStyleInfo name="TableStyleLight12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D91F8F17-92B8-46D1-9773-2B53C927EE7E}" name="Table12" displayName="Table12" ref="A1:I194" totalsRowShown="0" dataDxfId="645">
  <autoFilter ref="A1:I194" xr:uid="{D91F8F17-92B8-46D1-9773-2B53C927EE7E}"/>
  <sortState xmlns:xlrd2="http://schemas.microsoft.com/office/spreadsheetml/2017/richdata2" ref="A2:I2">
    <sortCondition ref="B1:B2"/>
  </sortState>
  <tableColumns count="9">
    <tableColumn id="1" xr3:uid="{A6E8CC25-6F9B-46A5-827B-DE507B4894F0}" name="Athlete" dataDxfId="644"/>
    <tableColumn id="2" xr3:uid="{972F5548-C283-403A-9233-9F4ED44BCC80}" name="Country" dataDxfId="643"/>
    <tableColumn id="9" xr3:uid="{B18DE174-EE50-4CB6-A24F-9D7A7C6EB3FA}" name="60kg Classification" dataDxfId="642"/>
    <tableColumn id="6" xr3:uid="{2AD4BF5C-2759-465D-83C0-75BDAB092FEC}" name="66kg Classification" dataDxfId="641"/>
    <tableColumn id="3" xr3:uid="{14CEE531-62D4-4AE0-8507-5DD44961D1D3}" name="73kg Classification" dataDxfId="640"/>
    <tableColumn id="5" xr3:uid="{1C2BDBC1-46DA-44AC-8CC1-2F4C05A6FDF9}" name="81kg Classification" dataDxfId="639"/>
    <tableColumn id="4" xr3:uid="{6772E537-16F1-401A-8B69-6892E4E2C7F2}" name="90kg Classification" dataDxfId="638"/>
    <tableColumn id="7" xr3:uid="{B220BD16-D065-4533-B9E3-5F67329122E7}" name="100kg Classification" dataDxfId="637"/>
    <tableColumn id="8" xr3:uid="{2F974233-CB88-46A3-8754-1E75281B8483}" name="Plus 100kg Classification" dataDxfId="636"/>
  </tableColumns>
  <tableStyleInfo name="TableStyleLight12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65E068C-5F8A-493B-BAAF-A55C4EC08074}" name="Table13" displayName="Table13" ref="A1:I186" totalsRowShown="0" dataDxfId="635">
  <autoFilter ref="A1:I186" xr:uid="{365E068C-5F8A-493B-BAAF-A55C4EC08074}"/>
  <sortState xmlns:xlrd2="http://schemas.microsoft.com/office/spreadsheetml/2017/richdata2" ref="A2:I2">
    <sortCondition ref="B1:B2"/>
  </sortState>
  <tableColumns count="9">
    <tableColumn id="1" xr3:uid="{B689D67A-7BC9-4BF4-85C2-D50950C20B51}" name="Athlete" dataDxfId="634"/>
    <tableColumn id="2" xr3:uid="{FDF93CF7-115C-448A-AAAC-3C66B1267ED5}" name="Country" dataDxfId="633"/>
    <tableColumn id="9" xr3:uid="{001FA978-662B-47E8-A917-CD09CE95130E}" name="48kg Classification" dataDxfId="632"/>
    <tableColumn id="8" xr3:uid="{11EC6EE1-F2E1-4B36-A6A8-C66C0A826373}" name="52kg Classification" dataDxfId="631"/>
    <tableColumn id="4" xr3:uid="{9BF8BE05-535C-4099-84A9-0FE4E7BF0C4C}" name="57kg Classification" dataDxfId="630"/>
    <tableColumn id="6" xr3:uid="{88BC01F1-64DE-47FC-8337-18C6DAEB592F}" name="63kg Classification" dataDxfId="629"/>
    <tableColumn id="7" xr3:uid="{D8BA5A5C-C874-4C57-B9DF-8C856AB2544C}" name="70kg Classification" dataDxfId="628"/>
    <tableColumn id="5" xr3:uid="{3F751272-F6DE-4429-AF8A-3161BBD6FDDF}" name="78kg Classification" dataDxfId="627"/>
    <tableColumn id="3" xr3:uid="{40EBB9DC-669C-4ADB-B745-C91E5D951018}" name="Plus 78kg Classification" dataDxfId="626"/>
  </tableColumns>
  <tableStyleInfo name="TableStyleLight12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E91C7A22-6E14-4A96-A221-7DF83226CBAA}" name="Table82" displayName="Table82" ref="A1:E20" totalsRowShown="0" dataDxfId="625">
  <autoFilter ref="A1:E20" xr:uid="{E91C7A22-6E14-4A96-A221-7DF83226CBAA}"/>
  <sortState xmlns:xlrd2="http://schemas.microsoft.com/office/spreadsheetml/2017/richdata2" ref="A2:C2">
    <sortCondition ref="B1:B2"/>
  </sortState>
  <tableColumns count="5">
    <tableColumn id="1" xr3:uid="{70A60465-C70F-42E5-9017-F90394E51CDF}" name="Team" dataDxfId="624"/>
    <tableColumn id="2" xr3:uid="{E5092BBB-51C4-4C34-A372-A1902EA138BC}" name="Country" dataDxfId="623"/>
    <tableColumn id="3" xr3:uid="{C14EE209-6316-43CD-88C9-327C997BB263}" name="Mixed Classification" dataDxfId="622"/>
    <tableColumn id="4" xr3:uid="{5BBF05AA-1B5E-4648-8F23-D1449B08D150}" name="Missing Athletes" dataDxfId="621">
      <calculatedColumnFormula>Table82[[#This Row],[Total Athletes]]-(LEN(Table82[[#This Row],[Team]])-LEN(SUBSTITUTE(Table82[[#This Row],[Team]],"/","")))-1</calculatedColumnFormula>
    </tableColumn>
    <tableColumn id="5" xr3:uid="{6744D0FF-C709-4F2D-B4E4-3A233287DA3C}" name="Total Athletes" dataDxfId="620"/>
  </tableColumns>
  <tableStyleInfo name="TableStyleLight12" showFirstColumn="0" showLastColumn="0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121FEF89-3CBB-47FD-B036-1A460A825968}" name="Table51" displayName="Table51" ref="A1:C37" totalsRowShown="0" dataDxfId="619">
  <autoFilter ref="A1:C37" xr:uid="{121FEF89-3CBB-47FD-B036-1A460A825968}"/>
  <sortState xmlns:xlrd2="http://schemas.microsoft.com/office/spreadsheetml/2017/richdata2" ref="A2:C2">
    <sortCondition ref="B1:B2"/>
  </sortState>
  <tableColumns count="3">
    <tableColumn id="1" xr3:uid="{79E44D86-D143-485B-AD3F-2183BAB4FB46}" name="Athlete" dataDxfId="618"/>
    <tableColumn id="2" xr3:uid="{04CAD306-E7B1-4705-A50E-4F5F75126A6A}" name="Country" dataDxfId="617"/>
    <tableColumn id="3" xr3:uid="{B3256E03-59F2-433F-81AA-C93CC2ECAA44}" name="Classification" dataDxfId="616"/>
  </tableColumns>
  <tableStyleInfo name="TableStyleLight12" showFirstColumn="0" showLastColumn="0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EF3AF9D7-37A8-44A2-A30E-4E23A9101710}" name="Table52" displayName="Table52" ref="A1:C37" totalsRowShown="0" dataDxfId="615">
  <autoFilter ref="A1:C37" xr:uid="{EF3AF9D7-37A8-44A2-A30E-4E23A9101710}"/>
  <sortState xmlns:xlrd2="http://schemas.microsoft.com/office/spreadsheetml/2017/richdata2" ref="A2:C2">
    <sortCondition ref="B1:B2"/>
  </sortState>
  <tableColumns count="3">
    <tableColumn id="1" xr3:uid="{BFCBABD0-3B1D-489F-9BD4-AFBE58D60738}" name="Athlete" dataDxfId="614"/>
    <tableColumn id="2" xr3:uid="{7DE8F22D-14D5-4FD5-BDE5-9E871FB9B600}" name="Country" dataDxfId="613"/>
    <tableColumn id="3" xr3:uid="{B5167D91-F68A-4EF6-880B-9FDD22557AE3}" name="Classification" dataDxfId="612"/>
  </tableColumns>
  <tableStyleInfo name="TableStyleLight12" showFirstColumn="0" showLastColumn="0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87FE7C71-E50C-4BD1-92DD-A4324C8C78EF}" name="Table32" displayName="Table32" ref="A1:C25" totalsRowShown="0" dataDxfId="611">
  <autoFilter ref="A1:C25" xr:uid="{87FE7C71-E50C-4BD1-92DD-A4324C8C78EF}"/>
  <sortState xmlns:xlrd2="http://schemas.microsoft.com/office/spreadsheetml/2017/richdata2" ref="A2:C2">
    <sortCondition ref="B1:B2"/>
  </sortState>
  <tableColumns count="3">
    <tableColumn id="1" xr3:uid="{A3543ACA-3EE5-42FC-8C4D-C76D20172407}" name="Athlete" dataDxfId="610"/>
    <tableColumn id="2" xr3:uid="{7CBEAD28-8E15-4B4C-B331-33A6D2CE0B36}" name="Country" dataDxfId="609"/>
    <tableColumn id="3" xr3:uid="{09FC99EA-7F9F-438F-8A39-AC6BC607C8F2}" name="All-Around Classification" dataDxfId="608"/>
  </tableColumns>
  <tableStyleInfo name="TableStyleLight12" showFirstColumn="0" showLastColumn="0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1C5CED49-5E96-412C-9A77-B6E445D9B208}" name="Table49" displayName="Table49" ref="A1:E15" totalsRowShown="0" dataDxfId="607">
  <autoFilter ref="A1:E15" xr:uid="{1C5CED49-5E96-412C-9A77-B6E445D9B208}"/>
  <sortState xmlns:xlrd2="http://schemas.microsoft.com/office/spreadsheetml/2017/richdata2" ref="A2:C2">
    <sortCondition ref="B1:B2"/>
  </sortState>
  <tableColumns count="5">
    <tableColumn id="1" xr3:uid="{1BF8CFAA-CBDA-4921-9B83-D73D188DA5C2}" name="Team" dataDxfId="606"/>
    <tableColumn id="2" xr3:uid="{ECDBC0EC-37C1-4860-835A-20EFDC31C650}" name="Country" dataDxfId="605"/>
    <tableColumn id="3" xr3:uid="{311DF6A8-C8C5-444E-A44E-E051DB784204}" name="All-Around Classification" dataDxfId="604"/>
    <tableColumn id="4" xr3:uid="{0520122E-8DD6-444B-98C2-C75E3AADE201}" name="Missing Athletes" dataDxfId="603">
      <calculatedColumnFormula>Table49[[#This Row],[Total Athletes]]-(LEN(Table49[[#This Row],[Team]])-LEN(SUBSTITUTE(Table49[[#This Row],[Team]],"/","")))-1</calculatedColumnFormula>
    </tableColumn>
    <tableColumn id="5" xr3:uid="{F62ED1F8-542A-4C71-A08F-2E8021564461}" name="Total Athletes" dataDxfId="602"/>
  </tableColumns>
  <tableStyleInfo name="TableStyleLight12" showFirstColumn="0" showLastColumn="0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F352320-2D1C-41B4-9D66-C8DF49096A3E}" name="Table26" displayName="Table26" ref="A1:C32" totalsRowShown="0" dataDxfId="601">
  <autoFilter ref="A1:C32" xr:uid="{0F352320-2D1C-41B4-9D66-C8DF49096A3E}"/>
  <sortState xmlns:xlrd2="http://schemas.microsoft.com/office/spreadsheetml/2017/richdata2" ref="A2:C2">
    <sortCondition ref="B1:B2"/>
  </sortState>
  <tableColumns count="3">
    <tableColumn id="1" xr3:uid="{56D137D7-C827-4778-AE77-F0CEE0AEA498}" name="Athlete" dataDxfId="600"/>
    <tableColumn id="2" xr3:uid="{38D58FF1-37FD-43C7-8948-0B503577C8F4}" name="Country" dataDxfId="599"/>
    <tableColumn id="3" xr3:uid="{3D46B3EC-E6A5-48A0-AA28-28AEF8E2182E}" name="Single Sculls Classification" dataDxfId="598"/>
  </tableColumns>
  <tableStyleInfo name="TableStyleLight12" showFirstColumn="0" showLastColumn="0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9ACA9BF3-B13F-4534-BC03-7A938DCD4D8C}" name="Table63" displayName="Table63" ref="A1:C32" totalsRowShown="0" dataDxfId="597">
  <autoFilter ref="A1:C32" xr:uid="{9ACA9BF3-B13F-4534-BC03-7A938DCD4D8C}"/>
  <sortState xmlns:xlrd2="http://schemas.microsoft.com/office/spreadsheetml/2017/richdata2" ref="A2:C2">
    <sortCondition ref="B1:B2"/>
  </sortState>
  <tableColumns count="3">
    <tableColumn id="1" xr3:uid="{E0A7BD43-ED15-4675-B1C8-3BCFE842719F}" name="Athlete" dataDxfId="596"/>
    <tableColumn id="2" xr3:uid="{001CD175-7337-467F-B237-A62E30C4DC40}" name="Country" dataDxfId="595"/>
    <tableColumn id="3" xr3:uid="{22132C25-8EE0-44E9-AF9D-D128AEFE2104}" name="Single Sculls Classification" dataDxfId="594"/>
  </tableColumns>
  <tableStyleInfo name="TableStyleLight12" showFirstColumn="0" showLastColumn="0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371D70DC-BC7F-4C8A-BC95-362FC2DCB732}" name="Table16" displayName="Table16" ref="A1:J86" totalsRowShown="0" dataDxfId="593">
  <autoFilter ref="A1:J86" xr:uid="{371D70DC-BC7F-4C8A-BC95-362FC2DCB732}"/>
  <sortState xmlns:xlrd2="http://schemas.microsoft.com/office/spreadsheetml/2017/richdata2" ref="A2:H2">
    <sortCondition ref="B1:B2"/>
  </sortState>
  <tableColumns count="10">
    <tableColumn id="1" xr3:uid="{D2B9642E-40F4-46F9-AD2F-C572CF3A2195}" name="Pair" dataDxfId="592"/>
    <tableColumn id="2" xr3:uid="{C8DBF57C-4903-446C-84C1-D1E8420F732D}" name="Country" dataDxfId="591"/>
    <tableColumn id="8" xr3:uid="{B75A5FB0-B6D3-4ECC-9D1D-1F7460CE0B37}" name="Men's Double Sculls Classification" dataDxfId="590"/>
    <tableColumn id="6" xr3:uid="{C580CD12-82CC-4180-BB56-69E8837D3158}" name="Women's Double Sculls Classification" dataDxfId="589"/>
    <tableColumn id="3" xr3:uid="{247DDC6D-B1E1-4119-B6D6-404D1CDA301D}" name="Men's Lwt. Double Sculls Classification" dataDxfId="588"/>
    <tableColumn id="5" xr3:uid="{DF0732C8-75E9-4493-AD65-394084ECC794}" name="Women's Lwt. Double Sculls Classification" dataDxfId="587"/>
    <tableColumn id="4" xr3:uid="{B45A2E36-DAB2-49D2-9A89-1CC9FA1E3F93}" name="Men's Coxless Pairs Classification" dataDxfId="586"/>
    <tableColumn id="7" xr3:uid="{715D5300-558A-45BE-91D4-D710153A793F}" name="Women's Coxless Pairs Classification" dataDxfId="585"/>
    <tableColumn id="9" xr3:uid="{5AADD5B6-9A58-4CDF-8B5B-81CBE4B70681}" name="Missing Athletes" dataDxfId="584">
      <calculatedColumnFormula>Table16[[#This Row],[Total Athletes]]-(LEN(Table16[[#This Row],[Pair]])-LEN(SUBSTITUTE(Table16[[#This Row],[Pair]],"/","")))-1</calculatedColumnFormula>
    </tableColumn>
    <tableColumn id="10" xr3:uid="{57171092-7A1B-43DD-8E43-5789EE7A716C}" name="Total Athletes" dataDxfId="583"/>
  </tableColumns>
  <tableStyleInfo name="TableStyleLight12" showFirstColumn="0" showLastColumn="0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043A8ED7-CA0D-45C9-A9B4-0DF435EFB6F6}" name="Table72" displayName="Table72" ref="A1:J51" totalsRowShown="0" dataDxfId="582">
  <autoFilter ref="A1:J51" xr:uid="{043A8ED7-CA0D-45C9-A9B4-0DF435EFB6F6}"/>
  <sortState xmlns:xlrd2="http://schemas.microsoft.com/office/spreadsheetml/2017/richdata2" ref="A2:H2">
    <sortCondition ref="B1:B2"/>
  </sortState>
  <tableColumns count="10">
    <tableColumn id="1" xr3:uid="{CAE27715-07BD-4F10-8D21-B074476C67A0}" name="Team" dataDxfId="581"/>
    <tableColumn id="2" xr3:uid="{AA8378D0-51BB-492D-A5FF-D1EDEC9B9A33}" name="Country" dataDxfId="580"/>
    <tableColumn id="8" xr3:uid="{1F2134AB-BA4E-45B1-9589-60EA06C1FB11}" name="Men's Quadruple Sculls Classification" dataDxfId="579"/>
    <tableColumn id="7" xr3:uid="{DA8C8788-D1E0-4EB4-B7DD-15F192A131AB}" name="Women's Quadruple Sculls Classification" dataDxfId="578"/>
    <tableColumn id="3" xr3:uid="{DF40408B-5D9C-4CAC-84BF-A131DE80D624}" name="Men's Coxless Fours Classification" dataDxfId="577"/>
    <tableColumn id="4" xr3:uid="{A2C82994-C160-4FBA-A2C9-1413C05EA6F4}" name="Women's Coxless Fours Classification" dataDxfId="576"/>
    <tableColumn id="6" xr3:uid="{F714B679-C5B5-483A-AF0B-D9319999D620}" name="Men's Eights Classification" dataDxfId="575"/>
    <tableColumn id="5" xr3:uid="{A5F90FB9-89E7-48A0-A0FD-A3FAC51F3B5D}" name="Women's Eights Classification" dataDxfId="574"/>
    <tableColumn id="9" xr3:uid="{782DD4BF-7A6E-476C-A65F-9F827E04AA2A}" name="Missing Athletes" dataDxfId="573">
      <calculatedColumnFormula>Table72[[#This Row],[Total Athletes]]-(LEN(Table72[[#This Row],[Team]])-LEN(SUBSTITUTE(Table72[[#This Row],[Team]],"/","")))-1</calculatedColumnFormula>
    </tableColumn>
    <tableColumn id="10" xr3:uid="{B6059D0B-EFEE-4AB5-BE3B-AB98ACBAE146}" name="Total Athletes" dataDxfId="572"/>
  </tableColumns>
  <tableStyleInfo name="TableStyleLight12" showFirstColumn="0" showLastColumn="0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65E217CF-5DE6-46A7-B259-70CADBE74382}" name="Table91949698" displayName="Table91949698" ref="A1:G25" totalsRowShown="0" dataDxfId="571">
  <autoFilter ref="A1:G25" xr:uid="{65E217CF-5DE6-46A7-B259-70CADBE74382}"/>
  <sortState xmlns:xlrd2="http://schemas.microsoft.com/office/spreadsheetml/2017/richdata2" ref="A2:E2">
    <sortCondition ref="C1:C2"/>
  </sortState>
  <tableColumns count="7">
    <tableColumn id="1" xr3:uid="{B45AFA79-93A6-4A0F-BF44-690DEAC65EE2}" name="Backs" dataDxfId="570"/>
    <tableColumn id="5" xr3:uid="{379A5E23-0D69-4D4B-BAEE-0FE2B425CEA9}" name="Forwards" dataDxfId="569"/>
    <tableColumn id="2" xr3:uid="{E412DB53-E13A-4E7A-9203-C38C87D3198A}" name="Country" dataDxfId="568"/>
    <tableColumn id="3" xr3:uid="{04D40AB0-7EDF-422C-86E9-4FAC0F730822}" name="Men's Classification" dataDxfId="567"/>
    <tableColumn id="4" xr3:uid="{79D713BD-DA4C-47DC-936A-E19EE9269623}" name="Women's Classification" dataDxfId="566"/>
    <tableColumn id="6" xr3:uid="{D2ADE34A-DC01-4B88-8A26-C8C81AEA53A3}" name="Missing Athletes" dataDxfId="565">
      <calculatedColumnFormula>Table91949698[[#This Row],[Total Athletes]]-(LEN(Table91949698[[#This Row],[Backs]])-LEN(SUBSTITUTE(Table91949698[[#This Row],[Backs]],"/","")))-(LEN(Table91949698[[#This Row],[Forwards]])-LEN(SUBSTITUTE(Table91949698[[#This Row],[Forwards]],"/","")))-2</calculatedColumnFormula>
    </tableColumn>
    <tableColumn id="7" xr3:uid="{A4DBCFBD-C41E-4833-A51E-6D95CC3E1969}" name="Total Athletes" dataDxfId="564"/>
  </tableColumns>
  <tableStyleInfo name="TableStyleLight12" showFirstColumn="0" showLastColumn="0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279DFF8B-48AA-4283-86A1-982D92E396C2}" name="Table17" displayName="Table17" ref="A1:E88" totalsRowShown="0" dataDxfId="563">
  <autoFilter ref="A1:E88" xr:uid="{279DFF8B-48AA-4283-86A1-982D92E396C2}"/>
  <sortState xmlns:xlrd2="http://schemas.microsoft.com/office/spreadsheetml/2017/richdata2" ref="A2:E2">
    <sortCondition ref="B1:B2"/>
  </sortState>
  <tableColumns count="5">
    <tableColumn id="1" xr3:uid="{3FD6E4B1-41D8-428E-B9D0-54034BE4DFFE}" name="Athlete" dataDxfId="562"/>
    <tableColumn id="2" xr3:uid="{698C3840-EBAB-477D-95CB-84FE23575651}" name="Country" dataDxfId="561"/>
    <tableColumn id="5" xr3:uid="{11126759-3AD3-4394-94BC-E3D05D907206}" name="Formula Kite Classification" dataDxfId="560"/>
    <tableColumn id="4" xr3:uid="{981AA3F0-7550-4C43-A72D-D1682E17D8F6}" name="ILCA 7 Classification" dataDxfId="559"/>
    <tableColumn id="3" xr3:uid="{BA933A20-FCA8-456C-B5B4-4267362A6484}" name="IQFoil Classification" dataDxfId="558"/>
  </tableColumns>
  <tableStyleInfo name="TableStyleLight12" showFirstColumn="0" showLastColumn="0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FEE081C1-8684-415D-884A-C11D26555F5A}" name="Table18" displayName="Table18" ref="A1:E88" totalsRowShown="0" dataDxfId="557">
  <autoFilter ref="A1:E88" xr:uid="{FEE081C1-8684-415D-884A-C11D26555F5A}"/>
  <sortState xmlns:xlrd2="http://schemas.microsoft.com/office/spreadsheetml/2017/richdata2" ref="A2:E2">
    <sortCondition ref="B1:B2"/>
  </sortState>
  <tableColumns count="5">
    <tableColumn id="1" xr3:uid="{95FCC84F-D4CE-4BB9-A7B3-9EE572652A59}" name="Athlete" dataDxfId="556"/>
    <tableColumn id="2" xr3:uid="{08D70938-BDA0-4B2E-8FCF-5B913D4A7A3F}" name="Country" dataDxfId="555"/>
    <tableColumn id="4" xr3:uid="{E8197C63-460B-4DDE-9710-6938FDA27013}" name="Formula Kite Classification" dataDxfId="554"/>
    <tableColumn id="3" xr3:uid="{33B81CC1-2553-4EDF-AFA7-D7043BAC03B9}" name="ILCA 6 Classification" dataDxfId="553"/>
    <tableColumn id="5" xr3:uid="{BCA677EC-05B2-435C-AFA5-4015486B9E16}" name="IQFoil Classification" dataDxfId="552"/>
  </tableColumns>
  <tableStyleInfo name="TableStyleLight12" showFirstColumn="0" showLastColumn="0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761277A8-7160-4F88-9AB3-9D730282D1F5}" name="Table25" displayName="Table25" ref="A1:H79" totalsRowShown="0" dataDxfId="551">
  <autoFilter ref="A1:H79" xr:uid="{761277A8-7160-4F88-9AB3-9D730282D1F5}"/>
  <sortState xmlns:xlrd2="http://schemas.microsoft.com/office/spreadsheetml/2017/richdata2" ref="A2:F2">
    <sortCondition ref="B1:B2"/>
  </sortState>
  <tableColumns count="8">
    <tableColumn id="1" xr3:uid="{366C073C-7C44-46A0-8804-1067071AFAA0}" name="Pair" dataDxfId="550"/>
    <tableColumn id="2" xr3:uid="{17BE2FB4-DD52-4104-B3CC-8223584E1D6F}" name="Country" dataDxfId="549"/>
    <tableColumn id="6" xr3:uid="{29CC175A-B7EC-440B-8A04-E8E631BBD2A0}" name="Men's 49er Classification" dataDxfId="548"/>
    <tableColumn id="5" xr3:uid="{CD1817B5-EDE7-4A68-B5FC-087F24FBC3B2}" name="Women's 49er FX Classification" dataDxfId="547"/>
    <tableColumn id="7" xr3:uid="{C09A2424-8055-4B46-BF11-9A938DD8E897}" name="Mixed Nacra 17 Classification" dataDxfId="546"/>
    <tableColumn id="3" xr3:uid="{C4BE8A8C-141D-4613-B0B7-480972307638}" name="Mixed 470 Classification" dataDxfId="545"/>
    <tableColumn id="4" xr3:uid="{C316E64E-4278-4F40-89B0-F586A8D98C4D}" name="Missing Athletes" dataDxfId="544">
      <calculatedColumnFormula>Table25[[#This Row],[Total Athletes]]-(LEN(Table25[[#This Row],[Pair]])-LEN(SUBSTITUTE(Table25[[#This Row],[Pair]],"/","")))-1</calculatedColumnFormula>
    </tableColumn>
    <tableColumn id="8" xr3:uid="{2DA54EA1-571B-4E48-ADA2-C563A0AF52DD}" name="Total Athletes" dataDxfId="543"/>
  </tableColumns>
  <tableStyleInfo name="TableStyleLight12" showFirstColumn="0" showLastColumn="0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203C5BFA-9A6E-4322-B020-4FA73E9FC2E3}" name="Table53" displayName="Table53" ref="A1:H174" totalsRowShown="0" dataDxfId="542">
  <autoFilter ref="A1:H174" xr:uid="{203C5BFA-9A6E-4322-B020-4FA73E9FC2E3}"/>
  <sortState xmlns:xlrd2="http://schemas.microsoft.com/office/spreadsheetml/2017/richdata2" ref="A2:H2">
    <sortCondition ref="B1:B2"/>
  </sortState>
  <tableColumns count="8">
    <tableColumn id="1" xr3:uid="{FFF233DE-B388-4E54-972E-FC02E8151CC9}" name="Athlete" dataDxfId="541"/>
    <tableColumn id="2" xr3:uid="{B5E5FF53-E20C-4B16-B35A-CB2BE6B1D416}" name="Country" dataDxfId="540"/>
    <tableColumn id="3" xr3:uid="{91A0611D-7C69-4FE4-85E7-7ADD7A525BD7}" name="10m Air Pistol Classification" dataDxfId="539"/>
    <tableColumn id="4" xr3:uid="{55AD5A73-6C4A-4D3C-9A59-CE01FB0C83F9}" name="10m Air Rifle Classification" dataDxfId="538"/>
    <tableColumn id="8" xr3:uid="{39B448B3-82D9-407A-9464-84C80F4EE263}" name="25m Rapid Fire Pistol Classification" dataDxfId="537"/>
    <tableColumn id="5" xr3:uid="{FB374ECB-23DF-425C-A21D-4FA01EE13E9C}" name="50m Rifle 3 Positions Classification" dataDxfId="536"/>
    <tableColumn id="6" xr3:uid="{985C10CE-32B0-48F8-83D6-EFFB804E4D11}" name="Skeet Classification" dataDxfId="535"/>
    <tableColumn id="7" xr3:uid="{ED09B5C7-2A86-4E82-A61C-4BD49954AC63}" name="Trap Classification" dataDxfId="534"/>
  </tableColumns>
  <tableStyleInfo name="TableStyleLight12" showFirstColumn="0" showLastColumn="0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10A185E8-A7A1-47A0-9928-BBEB069F7FAC}" name="Table19" displayName="Table19" ref="A1:H180" totalsRowShown="0" dataDxfId="533">
  <autoFilter ref="A1:H180" xr:uid="{10A185E8-A7A1-47A0-9928-BBEB069F7FAC}"/>
  <sortState xmlns:xlrd2="http://schemas.microsoft.com/office/spreadsheetml/2017/richdata2" ref="A2:H2">
    <sortCondition ref="B1:B2"/>
  </sortState>
  <tableColumns count="8">
    <tableColumn id="1" xr3:uid="{86F3DCE4-9061-433F-96B8-5B06AE9437F4}" name="Athlete" dataDxfId="532"/>
    <tableColumn id="2" xr3:uid="{B9509216-37CB-4437-B024-36FC34B3B1CC}" name="Country" dataDxfId="531"/>
    <tableColumn id="4" xr3:uid="{B455B25F-15CC-4E3A-ACB3-216353F4EC55}" name="10m Air Pistol Classification" dataDxfId="530"/>
    <tableColumn id="3" xr3:uid="{EBDF9F5D-0FAA-4F05-B9C0-600A3E28A629}" name="10m Air Rifle Classification" dataDxfId="529"/>
    <tableColumn id="8" xr3:uid="{B43A4ADB-E3CC-4782-9746-8F60668AA7DB}" name="25m Pistol Classification" dataDxfId="528"/>
    <tableColumn id="5" xr3:uid="{9BB8D454-1C6F-44D3-A57A-1FE631157FD2}" name="50m Rifle 3 Positions Classification" dataDxfId="527"/>
    <tableColumn id="7" xr3:uid="{8D92B762-82E4-4075-93AC-98A86BFC362D}" name="Skeet Classification" dataDxfId="526"/>
    <tableColumn id="6" xr3:uid="{FBFD10BA-D4FD-497F-B540-F8E4D65CE19E}" name="Trap Classification" dataDxfId="525"/>
  </tableColumns>
  <tableStyleInfo name="TableStyleLight12" showFirstColumn="0" showLastColumn="0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CC56202A-6728-471A-8144-A929ACEEB887}" name="Table54" displayName="Table54" ref="A1:G61" totalsRowShown="0" dataDxfId="524">
  <autoFilter ref="A1:G61" xr:uid="{CC56202A-6728-471A-8144-A929ACEEB887}"/>
  <sortState xmlns:xlrd2="http://schemas.microsoft.com/office/spreadsheetml/2017/richdata2" ref="A2:G61">
    <sortCondition ref="B1:B61"/>
  </sortState>
  <tableColumns count="7">
    <tableColumn id="1" xr3:uid="{89B6AB10-301E-4467-B21F-2E6A3FD74C04}" name="Pair" dataDxfId="523"/>
    <tableColumn id="2" xr3:uid="{4D5BE345-3A47-4E46-B3F5-AAEC24CC2837}" name="Country" dataDxfId="522"/>
    <tableColumn id="3" xr3:uid="{AE37DBC8-E4E1-4674-8023-B4A74C91EEFC}" name="Mixed 10m Air Pistol Team Classification" dataDxfId="521"/>
    <tableColumn id="4" xr3:uid="{09F8CDA3-68F1-4633-8BFD-5B9DFC2B59D7}" name="Mixed 10m Air Rifle Team Classification" dataDxfId="520"/>
    <tableColumn id="5" xr3:uid="{87191D97-D910-4190-BFFA-DFFF3D60CB7F}" name="Mixed Skeet Team Classification" dataDxfId="519"/>
    <tableColumn id="6" xr3:uid="{D2219B2D-8A67-4ED6-BD09-6A1C6416E417}" name="Missing Athletes" dataDxfId="518">
      <calculatedColumnFormula>Table54[[#This Row],[Total Athletes]]-(LEN(Table54[[#This Row],[Pair]])-LEN(SUBSTITUTE(Table54[[#This Row],[Pair]],"/","")))-1</calculatedColumnFormula>
    </tableColumn>
    <tableColumn id="7" xr3:uid="{59814DAB-3ED1-4F58-88EE-697E0FB12832}" name="Total Athletes" dataDxfId="517"/>
  </tableColumns>
  <tableStyleInfo name="TableStyleLight12" showFirstColumn="0" showLastColumn="0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0E0D93E2-AD45-46BA-B023-BDBEF7F7CC9A}" name="Table73" displayName="Table73" ref="A1:D45" totalsRowShown="0" dataDxfId="516">
  <autoFilter ref="A1:D45" xr:uid="{0E0D93E2-AD45-46BA-B023-BDBEF7F7CC9A}"/>
  <sortState xmlns:xlrd2="http://schemas.microsoft.com/office/spreadsheetml/2017/richdata2" ref="A2:D2">
    <sortCondition ref="B1:B2"/>
  </sortState>
  <tableColumns count="4">
    <tableColumn id="1" xr3:uid="{1EAE5E80-6C67-4C3E-AF88-579C7E7F4127}" name="Athlete" dataDxfId="515"/>
    <tableColumn id="2" xr3:uid="{3AE62AD7-C94E-4F9F-8230-39C18123ECD3}" name="Country" dataDxfId="514"/>
    <tableColumn id="3" xr3:uid="{223D15A3-415F-44A7-A806-F7235C58517A}" name="Park Classification" dataDxfId="513"/>
    <tableColumn id="4" xr3:uid="{96926DC9-6732-4DD9-B3CC-96DCE7FD5A81}" name="Street Classification" dataDxfId="512"/>
  </tableColumns>
  <tableStyleInfo name="TableStyleLight12" showFirstColumn="0" showLastColumn="0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559A3B39-8F3B-4960-9A20-33D75923CBEA}" name="Table74" displayName="Table74" ref="A1:D45" totalsRowShown="0" dataDxfId="511">
  <autoFilter ref="A1:D45" xr:uid="{559A3B39-8F3B-4960-9A20-33D75923CBEA}"/>
  <sortState xmlns:xlrd2="http://schemas.microsoft.com/office/spreadsheetml/2017/richdata2" ref="A2:D2">
    <sortCondition ref="B1:B2"/>
  </sortState>
  <tableColumns count="4">
    <tableColumn id="1" xr3:uid="{6D2828EB-AEDA-4C70-93BC-591BC068C003}" name="Athlete" dataDxfId="510"/>
    <tableColumn id="2" xr3:uid="{74835DCA-1DA1-496B-A19B-355A42F59A53}" name="Country" dataDxfId="509"/>
    <tableColumn id="3" xr3:uid="{30AC8ACF-14CC-4F89-898A-FE9E2D9FD5CB}" name="Park Classification" dataDxfId="508"/>
    <tableColumn id="4" xr3:uid="{7CAD606A-3D07-43CA-A1BF-159FFA590B4D}" name="Street Classification" dataDxfId="507"/>
  </tableColumns>
  <tableStyleInfo name="TableStyleLight12" showFirstColumn="0" showLastColumn="0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44BB30F1-9923-4042-B93D-E71E1FA18C09}" name="Table75" displayName="Table75" ref="A1:D35" totalsRowShown="0" dataDxfId="506">
  <autoFilter ref="A1:D35" xr:uid="{44BB30F1-9923-4042-B93D-E71E1FA18C09}"/>
  <sortState xmlns:xlrd2="http://schemas.microsoft.com/office/spreadsheetml/2017/richdata2" ref="A2:D2">
    <sortCondition ref="B1:B2"/>
  </sortState>
  <tableColumns count="4">
    <tableColumn id="1" xr3:uid="{DA249DCA-9676-46EB-92F3-A9E0141227C1}" name="Athlete" dataDxfId="505"/>
    <tableColumn id="2" xr3:uid="{7F214FC2-988A-4198-BA7C-8D8003918D81}" name="Country" dataDxfId="504"/>
    <tableColumn id="3" xr3:uid="{11585F9B-C0EB-4741-9C9E-DACBC0D8CA71}" name="Boulder and Lead Classification" dataDxfId="503"/>
    <tableColumn id="4" xr3:uid="{75AF493C-53E4-4653-9154-2AD3DFD0FF69}" name="Speed Classification" dataDxfId="502"/>
  </tableColumns>
  <tableStyleInfo name="TableStyleLight12" showFirstColumn="0" showLastColumn="0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5506BB14-14C0-42AD-A079-B795A331B3B6}" name="Table76" displayName="Table76" ref="A1:D35" totalsRowShown="0" dataDxfId="501">
  <autoFilter ref="A1:D35" xr:uid="{5506BB14-14C0-42AD-A079-B795A331B3B6}"/>
  <sortState xmlns:xlrd2="http://schemas.microsoft.com/office/spreadsheetml/2017/richdata2" ref="A2:D2">
    <sortCondition ref="B1:B2"/>
  </sortState>
  <tableColumns count="4">
    <tableColumn id="1" xr3:uid="{27CFF648-C250-4C45-AE57-DAA9C87F53AE}" name="Athlete" dataDxfId="500"/>
    <tableColumn id="2" xr3:uid="{77A2A1AF-08ED-476F-8DF9-8894323CBB0C}" name="Country" dataDxfId="499"/>
    <tableColumn id="3" xr3:uid="{0746D6E5-6B04-4365-B654-556E148696E3}" name="Boulder and Lead Classification" dataDxfId="498"/>
    <tableColumn id="4" xr3:uid="{4450B548-211F-4DD5-B90F-AF4442365506}" name="Speed Classification" dataDxfId="497"/>
  </tableColumns>
  <tableStyleInfo name="TableStyleLight12" showFirstColumn="0" showLastColumn="0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C144384B-8328-4E5D-99A8-64A1257D5DC9}" name="Table64" displayName="Table64" ref="A1:C25" totalsRowShown="0" dataDxfId="496">
  <autoFilter ref="A1:C25" xr:uid="{C144384B-8328-4E5D-99A8-64A1257D5DC9}"/>
  <sortState xmlns:xlrd2="http://schemas.microsoft.com/office/spreadsheetml/2017/richdata2" ref="A2:C2">
    <sortCondition ref="C1:C2"/>
  </sortState>
  <tableColumns count="3">
    <tableColumn id="1" xr3:uid="{CA25F9CE-020A-4A6C-8EBA-8A04146F2BB7}" name="Athlete" dataDxfId="495"/>
    <tableColumn id="2" xr3:uid="{53E45197-5D61-48AC-92E2-11F77C06DD74}" name="Country" dataDxfId="494"/>
    <tableColumn id="3" xr3:uid="{5231120E-355D-44A8-80EF-1EBA6B8A016D}" name="Shortboard Classification" dataDxfId="493"/>
  </tableColumns>
  <tableStyleInfo name="TableStyleLight12" showFirstColumn="0" showLastColumn="0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84D0229E-3AD9-412C-AAB2-C9DE312F154E}" name="Table77" displayName="Table77" ref="A1:C25" totalsRowShown="0" dataDxfId="492">
  <autoFilter ref="A1:C25" xr:uid="{84D0229E-3AD9-412C-AAB2-C9DE312F154E}"/>
  <sortState xmlns:xlrd2="http://schemas.microsoft.com/office/spreadsheetml/2017/richdata2" ref="A2:C2">
    <sortCondition ref="C1:C2"/>
  </sortState>
  <tableColumns count="3">
    <tableColumn id="1" xr3:uid="{110BB1E4-D25D-422D-94AB-DBAA6A61EA7C}" name="Athlete" dataDxfId="491"/>
    <tableColumn id="2" xr3:uid="{56E61496-6739-43E7-8C5F-DD992E712327}" name="Country" dataDxfId="490"/>
    <tableColumn id="3" xr3:uid="{73F0CBA8-BB27-48B7-9590-8223D39AC9DC}" name="Shortboard Classification" dataDxfId="489"/>
  </tableColumns>
  <tableStyleInfo name="TableStyleLight12" showFirstColumn="0" showLastColumn="0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F5D310A-11A3-48D9-B12A-580394C5B4C3}" name="Table20" displayName="Table20" ref="A1:Q525" totalsRowShown="0" dataDxfId="488">
  <autoFilter ref="A1:Q525" xr:uid="{0F5D310A-11A3-48D9-B12A-580394C5B4C3}"/>
  <sortState xmlns:xlrd2="http://schemas.microsoft.com/office/spreadsheetml/2017/richdata2" ref="A2:Q2">
    <sortCondition ref="B1:B2"/>
  </sortState>
  <tableColumns count="17">
    <tableColumn id="1" xr3:uid="{8597B3D5-CC61-4678-A17B-562E640C6098}" name="Athlete" dataDxfId="487"/>
    <tableColumn id="2" xr3:uid="{96A7CDB2-E55B-4941-A407-D77391580F03}" name="Country" dataDxfId="486"/>
    <tableColumn id="3" xr3:uid="{4B9463A9-259F-4EB1-9B5B-8F399927372B}" name="50m Freestyle Classification" dataDxfId="485"/>
    <tableColumn id="4" xr3:uid="{25D986BA-0000-48F2-ABAE-26006AC95DC7}" name="100m Freestyle Classification" dataDxfId="484"/>
    <tableColumn id="6" xr3:uid="{84A0C96A-88A9-484E-9680-0D3F75E11FB0}" name="200m Freestyle Classification" dataDxfId="483"/>
    <tableColumn id="7" xr3:uid="{741FFECD-011B-4131-ADCC-D57753C39881}" name="400m Freestyle Classification" dataDxfId="482"/>
    <tableColumn id="8" xr3:uid="{734FF42D-CC9A-4002-AE22-70109F22A4B8}" name="800m Freestyle Classification" dataDxfId="481"/>
    <tableColumn id="9" xr3:uid="{7B2AA6DA-F039-4AEA-9859-BD1CFB387880}" name="1500m Freestyle Classification" dataDxfId="480"/>
    <tableColumn id="10" xr3:uid="{929755E5-E404-45CE-A627-5C17B01618F5}" name="100m Backstroke Classification" dataDxfId="479"/>
    <tableColumn id="14" xr3:uid="{84D50ABA-D8C6-47D9-B851-5A30B1DDBB29}" name="200m Backstroke Classification" dataDxfId="478"/>
    <tableColumn id="11" xr3:uid="{DE63F007-602B-48D8-AC6E-4F83B745036E}" name="100m Breaststroke Classification" dataDxfId="477"/>
    <tableColumn id="16" xr3:uid="{F1B24824-BEED-4A66-A3F7-18912CD9471C}" name="200m Breaststroke Classification" dataDxfId="476"/>
    <tableColumn id="5" xr3:uid="{17EDB7DC-5483-4FFF-897C-63171EDFCCCA}" name="100m Butterfly Classification" dataDxfId="475"/>
    <tableColumn id="13" xr3:uid="{CD57044A-7078-4B34-ACAB-74C0DBFEE3BF}" name="200m Butterfly Classification" dataDxfId="474"/>
    <tableColumn id="15" xr3:uid="{F1458E24-3046-4ED3-97BB-C2C7863AEA0F}" name="200m Medley Classification" dataDxfId="473"/>
    <tableColumn id="17" xr3:uid="{B81FBF03-FDBB-4BF7-BA18-D7C98E3E386F}" name="400m Medley Classification" dataDxfId="472"/>
    <tableColumn id="12" xr3:uid="{E5873D7A-1FCF-4DB0-8619-87ACA608CEE0}" name="10km Open Water Classification" dataDxfId="471"/>
  </tableColumns>
  <tableStyleInfo name="TableStyleLight12" showFirstColumn="0" showLastColumn="0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E8681F87-41B2-4722-8E7D-8927FF24B728}" name="Table21" displayName="Table21" ref="A1:Q416" totalsRowShown="0" dataDxfId="470">
  <autoFilter ref="A1:Q416" xr:uid="{E8681F87-41B2-4722-8E7D-8927FF24B728}"/>
  <sortState xmlns:xlrd2="http://schemas.microsoft.com/office/spreadsheetml/2017/richdata2" ref="A2:Q2">
    <sortCondition ref="B1:B2"/>
  </sortState>
  <tableColumns count="17">
    <tableColumn id="1" xr3:uid="{9B6F2F72-7ED0-4155-B213-16A8809F829E}" name="Athlete" dataDxfId="469"/>
    <tableColumn id="2" xr3:uid="{B5E1E519-2D03-40FD-B7FC-19ED96F6A852}" name="Country" dataDxfId="468"/>
    <tableColumn id="3" xr3:uid="{78AFB2E4-4656-4814-AC16-F54385CDDCBF}" name="50m Freestyle Classification" dataDxfId="467"/>
    <tableColumn id="4" xr3:uid="{9A6CC63D-A11C-4969-AA49-C7E4CC9D111C}" name="100m Freestyle Classification" dataDxfId="466"/>
    <tableColumn id="9" xr3:uid="{A1654777-593D-4665-9BB5-170518F7966E}" name="200m Freestyle Classification" dataDxfId="465"/>
    <tableColumn id="8" xr3:uid="{0F2353DE-77B6-425A-812D-EA28E58DC8E7}" name="400m Freestyle Classification" dataDxfId="464"/>
    <tableColumn id="15" xr3:uid="{F85005C7-C629-4999-A6F7-4D2BB3253575}" name="800m Freestyle Classification" dataDxfId="463"/>
    <tableColumn id="16" xr3:uid="{C64441A7-F62C-47CA-8908-E22015EC7849}" name="1500m Freestyle Classification" dataDxfId="462"/>
    <tableColumn id="10" xr3:uid="{59465437-AE86-46AD-BE5F-BBE86DD04E1D}" name="100m Backstroke Classification" dataDxfId="461"/>
    <tableColumn id="11" xr3:uid="{11CE7364-689E-441E-8F6E-B6473DAA7754}" name="200m Backstroke Classification" dataDxfId="460"/>
    <tableColumn id="6" xr3:uid="{5D26CEDF-5975-455C-9006-A15E5933E117}" name="100m Breaststroke Classification" dataDxfId="459"/>
    <tableColumn id="12" xr3:uid="{6A855DF2-DCD0-4596-A868-F4F345009EB8}" name="200m Breaststroke Classification" dataDxfId="458"/>
    <tableColumn id="7" xr3:uid="{08123D0A-E8A9-48B9-88E4-2B49DB3EEC86}" name="100m Butterfly Classification" dataDxfId="457"/>
    <tableColumn id="17" xr3:uid="{D0EABB2A-6193-46B6-9EC7-B241287586A1}" name="200m Butterfly Classification" dataDxfId="456"/>
    <tableColumn id="13" xr3:uid="{32CA9589-04F6-467E-BE37-91475132153E}" name="200m Medley Classification" dataDxfId="455"/>
    <tableColumn id="14" xr3:uid="{530F8F62-B435-4DD7-8B59-8536ADBE02D8}" name="400m Medley Classification" dataDxfId="454"/>
    <tableColumn id="5" xr3:uid="{11F4376D-686A-45F1-A96B-B6A177D00590}" name="10km Open Water Classification" dataDxfId="453"/>
  </tableColumns>
  <tableStyleInfo name="TableStyleLight12" showFirstColumn="0" showLastColumn="0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8C596147-3F53-486B-9F60-D4EFE3911EEA}" name="Table78" displayName="Table78" ref="A1:K113" totalsRowShown="0" dataDxfId="452">
  <autoFilter ref="A1:K113" xr:uid="{8C596147-3F53-486B-9F60-D4EFE3911EEA}"/>
  <sortState xmlns:xlrd2="http://schemas.microsoft.com/office/spreadsheetml/2017/richdata2" ref="A2:I2">
    <sortCondition ref="B1:B2"/>
  </sortState>
  <tableColumns count="11">
    <tableColumn id="1" xr3:uid="{FEFE51B4-2ECB-40C5-A4F7-F84A56DFE722}" name="Team" dataDxfId="451"/>
    <tableColumn id="2" xr3:uid="{8BAA9366-ECEB-4EA5-A50C-87D7D87993CE}" name="Country" dataDxfId="450"/>
    <tableColumn id="5" xr3:uid="{F2E5FEF7-3259-4A97-A47D-A9C3BB64510B}" name="Men's 4x100m Freestyle Relay Classification" dataDxfId="449"/>
    <tableColumn id="8" xr3:uid="{7715E362-8F61-47B4-AF6B-B5B891E8C931}" name="Women's 4x100m Freestyle Relay Classification" dataDxfId="448"/>
    <tableColumn id="6" xr3:uid="{8AE83083-D4A9-4314-A666-FC4EF4C926E2}" name="Men's 4x200m Freestyle Relay Classification" dataDxfId="447"/>
    <tableColumn id="3" xr3:uid="{F34E30A4-111E-4A36-B660-6432C0A461B5}" name="Women's 4x200m Freestyle Relay Classification" dataDxfId="446"/>
    <tableColumn id="7" xr3:uid="{9D03F3C4-0B96-4DC7-99B9-237317742665}" name="Men's 4x100m Medley Relay Classification" dataDxfId="445"/>
    <tableColumn id="4" xr3:uid="{C6E2B558-0094-4140-ABA4-4335C9DE6E84}" name="Women's 4x100m Medley Relay Classification" dataDxfId="444"/>
    <tableColumn id="9" xr3:uid="{51C38161-E395-4956-8091-7FDB05E401D0}" name="Mixed 4x100m Medley Relay Classification" dataDxfId="443"/>
    <tableColumn id="10" xr3:uid="{F598CD12-F4AE-4712-9E8F-11E4EA6C5C99}" name="Missing Athletes" dataDxfId="442">
      <calculatedColumnFormula>Table78[[#This Row],[Total Athletes]]-(LEN(Table78[[#This Row],[Team]])-LEN(SUBSTITUTE(Table78[[#This Row],[Team]],"/","")))-1</calculatedColumnFormula>
    </tableColumn>
    <tableColumn id="11" xr3:uid="{877135C2-8971-4080-83DB-90B1911C4B85}" name="Total Athletes" dataDxfId="441"/>
  </tableColumns>
  <tableStyleInfo name="TableStyleLight12" showFirstColumn="0" showLastColumn="0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8122FF9-11B5-4B91-A555-FAA9846E2BCB}" name="Table22" displayName="Table22" ref="A1:C68" totalsRowShown="0" dataDxfId="440">
  <autoFilter ref="A1:C68" xr:uid="{08122FF9-11B5-4B91-A555-FAA9846E2BCB}"/>
  <sortState xmlns:xlrd2="http://schemas.microsoft.com/office/spreadsheetml/2017/richdata2" ref="A2:C2">
    <sortCondition ref="B1:B2"/>
  </sortState>
  <tableColumns count="3">
    <tableColumn id="1" xr3:uid="{0BCC4622-315D-4B73-8CB8-7E979C133E33}" name="Athlete" dataDxfId="439"/>
    <tableColumn id="2" xr3:uid="{6F5BB851-17B9-48DC-9A2C-C904718ABFE3}" name="Country" dataDxfId="438"/>
    <tableColumn id="3" xr3:uid="{118E64BB-1793-43F0-8C35-37BAFEC7B00E}" name="Classification" dataDxfId="437"/>
  </tableColumns>
  <tableStyleInfo name="TableStyleLight12" showFirstColumn="0" showLastColumn="0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AF3FB952-0051-4911-8EC0-C2937A1F9FA3}" name="Table30" displayName="Table30" ref="A1:C68" totalsRowShown="0" dataDxfId="436">
  <autoFilter ref="A1:C68" xr:uid="{AF3FB952-0051-4911-8EC0-C2937A1F9FA3}"/>
  <sortState xmlns:xlrd2="http://schemas.microsoft.com/office/spreadsheetml/2017/richdata2" ref="A2:C2">
    <sortCondition ref="B1:B2"/>
  </sortState>
  <tableColumns count="3">
    <tableColumn id="1" xr3:uid="{400F21C3-014A-4EEC-870E-331AF0D3C87A}" name="Athlete" dataDxfId="435"/>
    <tableColumn id="2" xr3:uid="{CAC16006-EC64-42C4-848A-FB88489EBE89}" name="Country" dataDxfId="434"/>
    <tableColumn id="3" xr3:uid="{BFA240B9-0D94-458C-8BBE-38717554CCC0}" name="Classification" dataDxfId="433"/>
  </tableColumns>
  <tableStyleInfo name="TableStyleLight12" showFirstColumn="0" showLastColumn="0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B0DB2355-296C-4601-9EFF-B99E70343147}" name="Table56" displayName="Table56" ref="A1:E17" totalsRowShown="0" dataDxfId="432">
  <autoFilter ref="A1:E17" xr:uid="{B0DB2355-296C-4601-9EFF-B99E70343147}"/>
  <sortState xmlns:xlrd2="http://schemas.microsoft.com/office/spreadsheetml/2017/richdata2" ref="A2:C2">
    <sortCondition ref="B1:B2"/>
  </sortState>
  <tableColumns count="5">
    <tableColumn id="1" xr3:uid="{4773309A-3A16-4D5E-9AA1-D97DBBE0D40B}" name="Pair" dataDxfId="431"/>
    <tableColumn id="2" xr3:uid="{7E7DB49C-CA24-4469-A143-BA201ABAFCC7}" name="Country" dataDxfId="430"/>
    <tableColumn id="3" xr3:uid="{194712C9-7EC7-41B3-B856-847C614E035F}" name="Mixed Classification" dataDxfId="429"/>
    <tableColumn id="4" xr3:uid="{E6DB8285-0384-480B-9E06-46B4DC41B7FF}" name="Missing Athletes" dataDxfId="428">
      <calculatedColumnFormula>Table56[[#This Row],[Total Athletes]]-(LEN(Table56[[#This Row],[Pair]])-LEN(SUBSTITUTE(Table56[[#This Row],[Pair]],"/","")))-1</calculatedColumnFormula>
    </tableColumn>
    <tableColumn id="5" xr3:uid="{185EECA5-04C1-44A6-9FE0-922B9A068433}" name="Total Athletes" dataDxfId="427"/>
  </tableColumns>
  <tableStyleInfo name="TableStyleLight12" showFirstColumn="0" showLastColumn="0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0AB4731E-97AB-44BC-814F-5A37AAAC8C85}" name="Table55" displayName="Table55" ref="A1:F33" totalsRowShown="0" dataDxfId="426">
  <autoFilter ref="A1:F33" xr:uid="{0AB4731E-97AB-44BC-814F-5A37AAAC8C85}"/>
  <sortState xmlns:xlrd2="http://schemas.microsoft.com/office/spreadsheetml/2017/richdata2" ref="A2:D2">
    <sortCondition ref="B1:B2"/>
  </sortState>
  <tableColumns count="6">
    <tableColumn id="1" xr3:uid="{1F2BD18A-1D3D-4DD1-9139-646B8DC65FA8}" name="Team" dataDxfId="425"/>
    <tableColumn id="2" xr3:uid="{8C36ADD0-45BD-4772-8D1F-484F4C4218DC}" name="Country" dataDxfId="424"/>
    <tableColumn id="3" xr3:uid="{F43D0CD2-3AE9-4B3C-B8A2-B96625C48072}" name="Men's Classification" dataDxfId="423"/>
    <tableColumn id="4" xr3:uid="{88C62EA9-CC89-44E5-90E0-D5C0FAA97C24}" name="Women's Classification" dataDxfId="422"/>
    <tableColumn id="5" xr3:uid="{3FDA238C-222A-488E-A7C2-9620DC39F6B5}" name="Missing Athletes" dataDxfId="421">
      <calculatedColumnFormula>Table55[[#This Row],[Total Athletes]]-(LEN(Table55[[#This Row],[Team]])-LEN(SUBSTITUTE(Table55[[#This Row],[Team]],"/","")))-1</calculatedColumnFormula>
    </tableColumn>
    <tableColumn id="6" xr3:uid="{212AF847-88B0-4C41-868D-C74E3BAA299B}" name="Total Athletes" dataDxfId="420"/>
  </tableColumns>
  <tableStyleInfo name="TableStyleLight12" showFirstColumn="0" showLastColumn="0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2D728880-9E87-4702-84D6-55BC0272145B}" name="Table29" displayName="Table29" ref="A1:F70" totalsRowShown="0" dataDxfId="419">
  <autoFilter ref="A1:F70" xr:uid="{2D728880-9E87-4702-84D6-55BC0272145B}"/>
  <sortState xmlns:xlrd2="http://schemas.microsoft.com/office/spreadsheetml/2017/richdata2" ref="A2:F2">
    <sortCondition ref="B1:B2"/>
  </sortState>
  <tableColumns count="6">
    <tableColumn id="1" xr3:uid="{C43B2701-AABA-4298-98F4-1AE18ADDB0F2}" name="Athlete" dataDxfId="418"/>
    <tableColumn id="2" xr3:uid="{09C16236-29B4-42D1-8BEA-B07F053BB770}" name="Country" dataDxfId="417"/>
    <tableColumn id="5" xr3:uid="{6383B38F-B992-4611-AAA8-B4E9F9879721}" name="58kg Classification" dataDxfId="416"/>
    <tableColumn id="4" xr3:uid="{A003B2B1-CC4D-4E97-889C-0858B518488F}" name="68kg Classification" dataDxfId="415"/>
    <tableColumn id="3" xr3:uid="{0D8DDFAD-344A-482E-9D25-7EBF85675856}" name="80kg Classification" dataDxfId="414"/>
    <tableColumn id="6" xr3:uid="{C2B30218-9224-4B9E-8D75-758B2F564DC6}" name="Plus 80kg Classification" dataDxfId="413"/>
  </tableColumns>
  <tableStyleInfo name="TableStyleLight12" showFirstColumn="0" showLastColumn="0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FFFFE597-F348-4FCF-8A66-C71C0E353F85}" name="Table34" displayName="Table34" ref="A1:F66" totalsRowShown="0" dataDxfId="412">
  <autoFilter ref="A1:F66" xr:uid="{FFFFE597-F348-4FCF-8A66-C71C0E353F85}"/>
  <sortState xmlns:xlrd2="http://schemas.microsoft.com/office/spreadsheetml/2017/richdata2" ref="A2:F2">
    <sortCondition ref="B1:B2"/>
  </sortState>
  <tableColumns count="6">
    <tableColumn id="1" xr3:uid="{10A8C925-5E1C-451C-9F38-8E00A9CD3C05}" name="Athlete" dataDxfId="411"/>
    <tableColumn id="2" xr3:uid="{5EC3A40C-EA94-4A4A-89BB-7FA8CD1638E8}" name="Country" dataDxfId="410"/>
    <tableColumn id="4" xr3:uid="{DCCC2CC6-5005-41D7-8AD5-3B75AED75526}" name="49kg Classification" dataDxfId="409"/>
    <tableColumn id="6" xr3:uid="{256A3DBA-5FDD-4D09-8117-CE2F4B889C74}" name="57kg Classification" dataDxfId="408"/>
    <tableColumn id="3" xr3:uid="{07CCD593-2251-4B20-9787-C16CCD58DAFF}" name="67kg Classification" dataDxfId="407"/>
    <tableColumn id="5" xr3:uid="{2ACFF56F-0537-4587-A190-2FB6ADA01321}" name="Plus 67kg Classification" dataDxfId="406"/>
  </tableColumns>
  <tableStyleInfo name="TableStyleLight12" showFirstColumn="0" showLastColumn="0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5AE6B75C-E2E0-46DA-BA03-ACEE4B86C667}" name="Table57" displayName="Table57" ref="A1:C65" totalsRowShown="0" dataDxfId="405">
  <autoFilter ref="A1:C65" xr:uid="{5AE6B75C-E2E0-46DA-BA03-ACEE4B86C667}"/>
  <sortState xmlns:xlrd2="http://schemas.microsoft.com/office/spreadsheetml/2017/richdata2" ref="A2:C2">
    <sortCondition ref="B1:B2"/>
  </sortState>
  <tableColumns count="3">
    <tableColumn id="1" xr3:uid="{22DC49D3-4671-4F0E-A40C-BACF8AF6E357}" name="Athlete" dataDxfId="404"/>
    <tableColumn id="2" xr3:uid="{DC88837C-3061-4311-B402-C8E0C6B4556D}" name="Country" dataDxfId="403"/>
    <tableColumn id="3" xr3:uid="{98BCB544-0A56-46A2-B253-1429B947CA10}" name="Classification" dataDxfId="402"/>
  </tableColumns>
  <tableStyleInfo name="TableStyleLight12" showFirstColumn="0" showLastColumn="0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1A3FAEA9-731C-4D17-8454-4BE98AE7400A}" name="Table58" displayName="Table58" ref="A1:C65" totalsRowShown="0" dataDxfId="401">
  <autoFilter ref="A1:C65" xr:uid="{1A3FAEA9-731C-4D17-8454-4BE98AE7400A}"/>
  <sortState xmlns:xlrd2="http://schemas.microsoft.com/office/spreadsheetml/2017/richdata2" ref="A2:C2">
    <sortCondition ref="B1:B2"/>
  </sortState>
  <tableColumns count="3">
    <tableColumn id="1" xr3:uid="{A5F10260-FC6B-4136-B548-7D317F2004F9}" name="Athlete" dataDxfId="400"/>
    <tableColumn id="2" xr3:uid="{41063D8B-AF52-4993-A566-DBDFD7874069}" name="Country" dataDxfId="399"/>
    <tableColumn id="3" xr3:uid="{B408D1AF-16CE-49FB-96B3-752237D99E4F}" name="Classification" dataDxfId="398"/>
  </tableColumns>
  <tableStyleInfo name="TableStyleLight12" showFirstColumn="0" showLastColumn="0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C4DE3A97-F694-444C-A6A4-7C054A0BE32C}" name="Table79" displayName="Table79" ref="A1:G81" totalsRowShown="0" dataDxfId="397">
  <autoFilter ref="A1:G81" xr:uid="{C4DE3A97-F694-444C-A6A4-7C054A0BE32C}"/>
  <sortState xmlns:xlrd2="http://schemas.microsoft.com/office/spreadsheetml/2017/richdata2" ref="A2:E2">
    <sortCondition ref="B1:B2"/>
  </sortState>
  <tableColumns count="7">
    <tableColumn id="1" xr3:uid="{0FDABDA9-2182-4C31-9A52-FCDBBB2DD55B}" name="Pair" dataDxfId="396"/>
    <tableColumn id="2" xr3:uid="{70191C05-70FE-404D-8F56-D43F5AD547F7}" name="Country" dataDxfId="395"/>
    <tableColumn id="3" xr3:uid="{2794FB30-3F0D-467C-AE53-34D0CAB11F2E}" name="Men's Classification" dataDxfId="394"/>
    <tableColumn id="5" xr3:uid="{8C5C3644-D7BD-4C6E-B2A1-566373F5630D}" name="Women's Classification" dataDxfId="393"/>
    <tableColumn id="4" xr3:uid="{212C8DCB-18A5-4160-B1CD-9752C6FD4E05}" name="Mixed Classification" dataDxfId="392"/>
    <tableColumn id="6" xr3:uid="{86A51AAF-1F5C-4349-8353-2101B51EC994}" name="Missing Athletes" dataDxfId="391">
      <calculatedColumnFormula>Table79[[#This Row],[Total Athletes]]-(LEN(Table79[[#This Row],[Pair]])-LEN(SUBSTITUTE(Table79[[#This Row],[Pair]],"/","")))-1</calculatedColumnFormula>
    </tableColumn>
    <tableColumn id="7" xr3:uid="{A21A0D5C-6F7B-4EF3-BCE0-012F3C78E59A}" name="Total Athletes" dataDxfId="390"/>
  </tableColumns>
  <tableStyleInfo name="TableStyleLight12" showFirstColumn="0" showLastColumn="0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2" xr:uid="{A4521A0C-2BEB-40EF-8A7C-76DADBE21AD1}" name="Tabela132" displayName="Tabela132" ref="A1:C17" totalsRowShown="0" dataDxfId="389">
  <autoFilter ref="A1:C17" xr:uid="{A4521A0C-2BEB-40EF-8A7C-76DADBE21AD1}"/>
  <tableColumns count="3">
    <tableColumn id="1" xr3:uid="{58549026-6E6D-4950-A0F3-7C4623DB2CE4}" name="Athlete" dataDxfId="388"/>
    <tableColumn id="2" xr3:uid="{AA1373DE-802A-4D60-99A2-C8358F5295C3}" name="Country" dataDxfId="387"/>
    <tableColumn id="3" xr3:uid="{573B8208-2465-41FE-8D40-6A96FCBD1BF1}" name="Classification" dataDxfId="386"/>
  </tableColumns>
  <tableStyleInfo name="TableStyleLight12" showFirstColumn="0" showLastColumn="0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9" xr:uid="{2A33B8D7-D93C-4A11-8B9F-5CAC4699DEF9}" name="Tabela139" displayName="Tabela139" ref="A1:C17" totalsRowShown="0" dataDxfId="385">
  <autoFilter ref="A1:C17" xr:uid="{2A33B8D7-D93C-4A11-8B9F-5CAC4699DEF9}"/>
  <tableColumns count="3">
    <tableColumn id="1" xr3:uid="{716B77BA-83AC-4A58-A992-92B76AAC726B}" name="Athlete" dataDxfId="384"/>
    <tableColumn id="2" xr3:uid="{141130EB-7ECC-4B3E-B2C2-F7834EDD0B86}" name="Country" dataDxfId="383"/>
    <tableColumn id="3" xr3:uid="{C0EE5B09-AF1D-4F39-9E07-3540FCCB24D6}" name="Classification" dataDxfId="382"/>
  </tableColumns>
  <tableStyleInfo name="TableStyleLight12" showFirstColumn="0" showLastColumn="0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9E366377-86FA-4DE8-AE60-C80FD3DE9E5D}" name="Table65" displayName="Table65" ref="A1:C56" totalsRowShown="0" dataDxfId="381">
  <autoFilter ref="A1:C56" xr:uid="{9E366377-86FA-4DE8-AE60-C80FD3DE9E5D}"/>
  <sortState xmlns:xlrd2="http://schemas.microsoft.com/office/spreadsheetml/2017/richdata2" ref="A2:C2">
    <sortCondition ref="B1:B2"/>
  </sortState>
  <tableColumns count="3">
    <tableColumn id="1" xr3:uid="{55A119E8-B3E2-4F63-9583-3B3FAA479BBB}" name="Athlete" dataDxfId="380"/>
    <tableColumn id="2" xr3:uid="{1E0F0366-9843-4236-8145-DA5B2356B779}" name="Country" dataDxfId="379"/>
    <tableColumn id="3" xr3:uid="{FE163107-F0C3-487C-BA53-F4840412A23A}" name="Classification" dataDxfId="378"/>
  </tableColumns>
  <tableStyleInfo name="TableStyleLight12" showFirstColumn="0" showLastColumn="0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3FB98EFA-F37B-4900-9B31-B7A984B517CB}" name="Table59" displayName="Table59" ref="A1:C56" totalsRowShown="0" dataDxfId="377">
  <autoFilter ref="A1:C56" xr:uid="{3FB98EFA-F37B-4900-9B31-B7A984B517CB}"/>
  <sortState xmlns:xlrd2="http://schemas.microsoft.com/office/spreadsheetml/2017/richdata2" ref="A2:C2">
    <sortCondition ref="C1:C2"/>
  </sortState>
  <tableColumns count="3">
    <tableColumn id="1" xr3:uid="{90153386-65AA-427C-8F80-4A532FD432E6}" name="Athlete" dataDxfId="376"/>
    <tableColumn id="2" xr3:uid="{5297D4B8-54F9-4799-8433-2070C41822CF}" name="Country" dataDxfId="375"/>
    <tableColumn id="3" xr3:uid="{C8427965-E4B4-4F0D-9DC7-4BAB3A79AEAF}" name="Classification" dataDxfId="374"/>
  </tableColumns>
  <tableStyleInfo name="TableStyleLight12" showFirstColumn="0" showLastColumn="0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F70EA5CA-D99E-4A30-BE25-9B22F994B51A}" name="Table87" displayName="Table87" ref="A1:E17" totalsRowShown="0" dataDxfId="373">
  <autoFilter ref="A1:E17" xr:uid="{F70EA5CA-D99E-4A30-BE25-9B22F994B51A}"/>
  <sortState xmlns:xlrd2="http://schemas.microsoft.com/office/spreadsheetml/2017/richdata2" ref="A2:C2">
    <sortCondition ref="C1:C2"/>
  </sortState>
  <tableColumns count="5">
    <tableColumn id="1" xr3:uid="{8EAE523E-DA49-418F-AEE7-4F7C449D7131}" name="Team" dataDxfId="372"/>
    <tableColumn id="2" xr3:uid="{A300E7E2-65FE-48A0-817A-6D018BEB4159}" name="Country" dataDxfId="371"/>
    <tableColumn id="3" xr3:uid="{B013B579-EDBB-4B0B-870E-716973D77550}" name="Mixed Relay Classification" dataDxfId="370"/>
    <tableColumn id="4" xr3:uid="{A690ED11-72AF-4CCF-BDB1-E3025C252B6C}" name="Missing Athletes" dataDxfId="369">
      <calculatedColumnFormula>Table87[[#This Row],[Total Athletes]]-(LEN(Table87[[#This Row],[Team]])-LEN(SUBSTITUTE(Table87[[#This Row],[Team]],"/","")))-1</calculatedColumnFormula>
    </tableColumn>
    <tableColumn id="5" xr3:uid="{29CA6F7F-0F42-4761-9260-A30CB85D9DBC}" name="Total Athletes" dataDxfId="368"/>
  </tableColumns>
  <tableStyleInfo name="TableStyleLight12" showFirstColumn="0" showLastColumn="0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CAED500D-4A0F-4361-B9E4-ED4842003561}" name="Table91949698100" displayName="Table91949698100" ref="A1:J25" totalsRowShown="0" dataDxfId="367">
  <autoFilter ref="A1:J25" xr:uid="{CAED500D-4A0F-4361-B9E4-ED4842003561}"/>
  <sortState xmlns:xlrd2="http://schemas.microsoft.com/office/spreadsheetml/2017/richdata2" ref="A2:H2">
    <sortCondition ref="F1:F2"/>
  </sortState>
  <tableColumns count="10">
    <tableColumn id="1" xr3:uid="{603A769E-BDD7-472D-9903-8A8E47413FD7}" name="Setters" dataDxfId="366"/>
    <tableColumn id="5" xr3:uid="{F3C94123-2270-419E-8D9F-6CCBD539D73F}" name="Liberos" dataDxfId="365"/>
    <tableColumn id="6" xr3:uid="{4B7DF259-AE48-4B8C-9C39-F0E82A44611C}" name="Outside Hitters" dataDxfId="364"/>
    <tableColumn id="8" xr3:uid="{7570720D-CF44-4880-A981-2E1357007D38}" name="Opposite Spikers" dataDxfId="363"/>
    <tableColumn id="7" xr3:uid="{73CBB9D4-5C0B-4E3F-BDC2-70BC8083AB9A}" name="Middle Blockers" dataDxfId="362"/>
    <tableColumn id="2" xr3:uid="{EE338D48-ACB2-422C-85A9-8FD546E72580}" name="Country" dataDxfId="361"/>
    <tableColumn id="3" xr3:uid="{22E2FF5C-3A5A-45E3-B39E-C195B0588A8D}" name="Men's Classification" dataDxfId="360"/>
    <tableColumn id="4" xr3:uid="{C64A8DA4-9A5A-4280-A43B-D77A9AB9C3B2}" name="Women's Classification" dataDxfId="359"/>
    <tableColumn id="9" xr3:uid="{18567943-E029-4E62-AE8D-AA344A67BEE9}" name="Missing Athletes" dataDxfId="358">
      <calculatedColumnFormula>Table91949698100[[#This Row],[Total Athletes]]-(LEN(Table91949698100[[#This Row],[Setters]])-LEN(SUBSTITUTE(Table91949698100[[#This Row],[Setters]],"/","")))-(LEN(Table91949698100[[#This Row],[Liberos]])-LEN(SUBSTITUTE(Table91949698100[[#This Row],[Liberos]],"/","")))-(LEN(Table91949698100[[#This Row],[Outside Hitters]])-LEN(SUBSTITUTE(Table91949698100[[#This Row],[Outside Hitters]],"/","")))-(LEN(Table91949698100[[#This Row],[Opposite Spikers]])-LEN(SUBSTITUTE(Table91949698100[[#This Row],[Opposite Spikers]],"/","")))-(LEN(Table91949698100[[#This Row],[Middle Blockers]])-LEN(SUBSTITUTE(Table91949698100[[#This Row],[Middle Blockers]],"/","")))-5</calculatedColumnFormula>
    </tableColumn>
    <tableColumn id="10" xr3:uid="{5C8BC67F-F0D3-4EFF-90C7-028DD8EFD478}" name="Total Athletes" dataDxfId="357"/>
  </tableColumns>
  <tableStyleInfo name="TableStyleLight12" showFirstColumn="0" showLastColumn="0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83B5C870-6401-4133-937F-936CDE16555B}" name="Table91949698100102" displayName="Table91949698100102" ref="A1:J23" totalsRowShown="0" dataDxfId="356">
  <autoFilter ref="A1:J23" xr:uid="{83B5C870-6401-4133-937F-936CDE16555B}"/>
  <tableColumns count="10">
    <tableColumn id="1" xr3:uid="{EA6DD6EC-3394-4537-AFF8-5A2C048DF1AD}" name="Goalkeepers" dataDxfId="355"/>
    <tableColumn id="8" xr3:uid="{0779F844-D1EB-4444-BE82-10EDABA42CD6}" name="Defenders" dataDxfId="354"/>
    <tableColumn id="5" xr3:uid="{D983945A-E9D5-4417-9344-CB6E200072EC}" name="Centre Backs" dataDxfId="353"/>
    <tableColumn id="6" xr3:uid="{754AA130-C2EB-442A-B5CC-9FC6D3566747}" name="Center Forwards" dataDxfId="352"/>
    <tableColumn id="7" xr3:uid="{A6DE58DB-0996-4F9E-883F-CD17B8976835}" name="Wingers" dataDxfId="351"/>
    <tableColumn id="2" xr3:uid="{D387A2B8-B9CB-48DB-A9D0-0DF8B0C489A3}" name="Country" dataDxfId="350"/>
    <tableColumn id="3" xr3:uid="{D8477F2B-4219-40C3-BDD5-9DF8B62D0A04}" name="Men's Classification" dataDxfId="349"/>
    <tableColumn id="4" xr3:uid="{019EDFEB-E8B1-49BF-BC0F-EFDD0A996AC0}" name="Women's Classification" dataDxfId="348"/>
    <tableColumn id="9" xr3:uid="{A1DEAA96-C316-4517-AA88-7802A2505173}" name="Missing Athletes" dataDxfId="347">
      <calculatedColumnFormula>Table91949698100102[[#This Row],[Total Athletes]]-(LEN(Table91949698100102[[#This Row],[Goalkeepers]])-LEN(SUBSTITUTE(Table91949698100102[[#This Row],[Goalkeepers]],"/","")))-(LEN(Table91949698100102[[#This Row],[Defenders]])-LEN(SUBSTITUTE(Table91949698100102[[#This Row],[Defenders]],"/","")))-(LEN(Table91949698100102[[#This Row],[Centre Backs]])-LEN(SUBSTITUTE(Table91949698100102[[#This Row],[Centre Backs]],"/","")))-(LEN(Table91949698100102[[#This Row],[Center Forwards]])-LEN(SUBSTITUTE(Table91949698100102[[#This Row],[Center Forwards]],"/","")))-(LEN(Table91949698100102[[#This Row],[Wingers]])-LEN(SUBSTITUTE(Table91949698100102[[#This Row],[Wingers]],"/","")))-5</calculatedColumnFormula>
    </tableColumn>
    <tableColumn id="10" xr3:uid="{70F765FF-FAC3-4832-895F-6D391AF0555B}" name="Total Athletes" dataDxfId="346"/>
  </tableColumns>
  <tableStyleInfo name="TableStyleLight12" showFirstColumn="0" showLastColumn="0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609F94E-CF4B-417F-82B0-100903CE651A}" name="Table23" displayName="Table23" ref="A1:G62" totalsRowShown="0" dataDxfId="345">
  <autoFilter ref="A1:G62" xr:uid="{8609F94E-CF4B-417F-82B0-100903CE651A}"/>
  <sortState xmlns:xlrd2="http://schemas.microsoft.com/office/spreadsheetml/2017/richdata2" ref="A2:G2">
    <sortCondition ref="B1:B2"/>
  </sortState>
  <tableColumns count="7">
    <tableColumn id="1" xr3:uid="{C5424549-DB81-4252-9196-0043B66179E1}" name="Athlete" dataDxfId="344"/>
    <tableColumn id="2" xr3:uid="{D6BB9E32-ABB2-4638-BBCD-97CB96AE25E2}" name="Country" dataDxfId="343"/>
    <tableColumn id="5" xr3:uid="{5B5E5193-C719-46AD-946E-0D9ADE2520FC}" name="61kg Classification" dataDxfId="342"/>
    <tableColumn id="7" xr3:uid="{7543C7A8-1406-4308-B5EF-49BB2D24EAAB}" name="73kg Classification" dataDxfId="341"/>
    <tableColumn id="8" xr3:uid="{42E3E496-33EA-4438-9C69-1772AE4786DE}" name="89kg Classification" dataDxfId="340"/>
    <tableColumn id="9" xr3:uid="{21CCB385-C8E8-4066-A15E-9BEBF64A9E66}" name="102kg Classification" dataDxfId="339"/>
    <tableColumn id="3" xr3:uid="{608E85A8-7995-4E1E-A710-6DC3E3507FE1}" name="Plus 102kg Classification" dataDxfId="338"/>
  </tableColumns>
  <tableStyleInfo name="TableStyleLight12" showFirstColumn="0" showLastColumn="0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B0510DA4-FE57-4A98-B3D8-8E8CF3F34CE8}" name="Table28" displayName="Table28" ref="A1:G62" totalsRowShown="0" dataDxfId="337">
  <autoFilter ref="A1:G62" xr:uid="{B0510DA4-FE57-4A98-B3D8-8E8CF3F34CE8}"/>
  <sortState xmlns:xlrd2="http://schemas.microsoft.com/office/spreadsheetml/2017/richdata2" ref="A2:G2">
    <sortCondition ref="B1:B2"/>
  </sortState>
  <tableColumns count="7">
    <tableColumn id="1" xr3:uid="{EDDD67D8-CA20-40EC-A9C5-353DF50BE294}" name="Athlete" dataDxfId="336"/>
    <tableColumn id="2" xr3:uid="{6744E31B-A4F6-4418-BFAE-94AE1390A5E5}" name="Country" dataDxfId="335"/>
    <tableColumn id="6" xr3:uid="{E20004F5-11DD-42B9-8A80-975B65953357}" name="49kg Classification" dataDxfId="334"/>
    <tableColumn id="3" xr3:uid="{3DDAACE4-3852-4F17-A3C6-B083C652DDB8}" name="59kg Classification" dataDxfId="333"/>
    <tableColumn id="4" xr3:uid="{78ED2633-F81A-4594-9651-25685D4B1375}" name="71kg Classification" dataDxfId="332"/>
    <tableColumn id="5" xr3:uid="{03B76A8D-7B81-4449-9076-CC99FA82DB82}" name="81kg Classification" dataDxfId="331"/>
    <tableColumn id="9" xr3:uid="{9F1436C7-E3A4-4166-8995-F9523A408BFB}" name="Plus 81kg Classification" dataDxfId="330"/>
  </tableColumns>
  <tableStyleInfo name="TableStyleLight12" showFirstColumn="0" showLastColumn="0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93F51308-67EE-4F03-8AA3-783E21E5C743}" name="Table24" displayName="Table24" ref="A1:N196" totalsRowShown="0" dataDxfId="329">
  <autoFilter ref="A1:N196" xr:uid="{93F51308-67EE-4F03-8AA3-783E21E5C743}"/>
  <sortState xmlns:xlrd2="http://schemas.microsoft.com/office/spreadsheetml/2017/richdata2" ref="A2:N2">
    <sortCondition ref="B1:B2"/>
  </sortState>
  <tableColumns count="14">
    <tableColumn id="1" xr3:uid="{C157E731-E436-45E0-947F-B1AD1FF0A2F1}" name="Athlete" dataDxfId="328"/>
    <tableColumn id="2" xr3:uid="{A37ACF91-3999-49CB-B584-E28A52C6486C}" name="Country" dataDxfId="327"/>
    <tableColumn id="3" xr3:uid="{0162CD36-D892-4125-842E-B8428D0D5D5B}" name="Freestyle 57kg Classification" dataDxfId="326"/>
    <tableColumn id="14" xr3:uid="{F7F2D74B-FF28-45D6-B795-88AB713179BB}" name="Freestyle 65kg Classification" dataDxfId="325"/>
    <tableColumn id="11" xr3:uid="{6B0F0512-FA06-4E34-89AC-DE58539E1645}" name="Freestyle 74kg Classification" dataDxfId="324"/>
    <tableColumn id="4" xr3:uid="{8DF351F4-71AF-4FFF-97BF-2690F81EDC83}" name="Freestyle 86kg Classification" dataDxfId="323"/>
    <tableColumn id="5" xr3:uid="{2F2E4F3A-017F-46F4-BDE2-1BBAEF96A3D6}" name="Freestyle 97kg Classification" dataDxfId="322"/>
    <tableColumn id="6" xr3:uid="{14A76E70-70B7-42E3-A94A-29EB135AE59F}" name="Freestyle 125kg Classification" dataDxfId="321"/>
    <tableColumn id="7" xr3:uid="{14D1D025-5FEA-4454-91BE-C9AE81686E97}" name="Greco-Roman 60kg Classification" dataDxfId="320"/>
    <tableColumn id="8" xr3:uid="{A7C906A9-0A02-4F41-8F3A-C5A22B40A0FF}" name="Greco-Roman 67kg Classification" dataDxfId="319"/>
    <tableColumn id="13" xr3:uid="{5C942E63-E8DD-4A71-BF20-E6DD9BBC9512}" name="Greco-Roman 77kg Classification" dataDxfId="318"/>
    <tableColumn id="9" xr3:uid="{58E58CFF-F1B3-4977-B548-F54B6F81E162}" name="Greco-Roman 87kg Classification" dataDxfId="317"/>
    <tableColumn id="10" xr3:uid="{13712345-F6C0-43B7-8C8E-31D81F5AC412}" name="Greco-Roman 97kg Classification" dataDxfId="316"/>
    <tableColumn id="12" xr3:uid="{D5702B2B-93BD-4440-8134-49D1E0978086}" name="Greco-Roman 130kg Classification" dataDxfId="315"/>
  </tableColumns>
  <tableStyleInfo name="TableStyleLight12" showFirstColumn="0" showLastColumn="0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4215B395-8047-467B-9492-378A58A0F53D}" name="Table31" displayName="Table31" ref="A1:H97" totalsRowShown="0" dataDxfId="314">
  <autoFilter ref="A1:H97" xr:uid="{4215B395-8047-467B-9492-378A58A0F53D}"/>
  <sortState xmlns:xlrd2="http://schemas.microsoft.com/office/spreadsheetml/2017/richdata2" ref="A2:H2">
    <sortCondition ref="B1:B2"/>
  </sortState>
  <tableColumns count="8">
    <tableColumn id="1" xr3:uid="{406881F6-C04C-413C-85B5-2BCF74885392}" name="Athlete" dataDxfId="313"/>
    <tableColumn id="2" xr3:uid="{99066C97-0181-484F-822E-A03B834C3892}" name="Country" dataDxfId="312"/>
    <tableColumn id="7" xr3:uid="{1B7D6188-1DE2-46CE-8359-4564A27397EA}" name="50kg Classification" dataDxfId="311"/>
    <tableColumn id="3" xr3:uid="{B35FE836-D1EE-40EF-B3A0-B2EBE741F1FF}" name="53kg Classification" dataDxfId="310"/>
    <tableColumn id="6" xr3:uid="{29F64A32-4182-468D-B01D-E70FA7C9FFAF}" name="57kg Classification" dataDxfId="309"/>
    <tableColumn id="8" xr3:uid="{029F1D83-50E2-4DCD-88DF-3F33D6E1E75B}" name="62kg Classification" dataDxfId="308"/>
    <tableColumn id="4" xr3:uid="{C3FB8F60-E932-4A9E-B100-8DB8942DF22B}" name="68kg Classification" dataDxfId="307"/>
    <tableColumn id="5" xr3:uid="{5D5E548C-D51E-4445-8A16-229CCC47F8EB}" name="76kg Classification" dataDxfId="306"/>
  </tableColumns>
  <tableStyleInfo name="TableStyleLight12" showFirstColumn="0" showLastColumn="0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7A16550E-6569-4D84-AF63-0427B14D3629}" name="Table102" displayName="Table102" ref="A1:F154" totalsRowShown="0" dataDxfId="305">
  <autoFilter ref="A1:F154" xr:uid="{7A16550E-6569-4D84-AF63-0427B14D3629}"/>
  <sortState xmlns:xlrd2="http://schemas.microsoft.com/office/spreadsheetml/2017/richdata2" ref="A2:F2">
    <sortCondition ref="B1:B2"/>
  </sortState>
  <tableColumns count="6">
    <tableColumn id="1" xr3:uid="{CAA9E6C8-54EC-441A-8005-AA175FCCE243}" name="Athlete" dataDxfId="304"/>
    <tableColumn id="2" xr3:uid="{18DCF5BE-C2D8-49E7-A2D3-67D1DCDC86CA}" name="Country" dataDxfId="303"/>
    <tableColumn id="4" xr3:uid="{7DC6B5E1-0B4C-40FF-A49C-6917CDC61F70}" name="Downhill Classification" dataDxfId="302"/>
    <tableColumn id="5" xr3:uid="{AFFEBD69-55B1-40A1-8050-E12D3598ABF3}" name="Giant Slalom Classification" dataDxfId="301"/>
    <tableColumn id="6" xr3:uid="{724DAD06-3B5B-40E6-997B-2EA1D387E652}" name="Slalom Classification" dataDxfId="300"/>
    <tableColumn id="7" xr3:uid="{C978F0A9-0C5A-4C8D-BCCB-AADD8C33F920}" name="Super-G Classification" dataDxfId="299"/>
  </tableColumns>
  <tableStyleInfo name="TableStyleLight12" showFirstColumn="0" showLastColumn="0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9F5A98D2-891D-4ADF-ACD8-0723833CE42F}" name="Table102105" displayName="Table102105" ref="A1:F153" totalsRowShown="0" dataDxfId="298">
  <autoFilter ref="A1:F153" xr:uid="{9F5A98D2-891D-4ADF-ACD8-0723833CE42F}"/>
  <sortState xmlns:xlrd2="http://schemas.microsoft.com/office/spreadsheetml/2017/richdata2" ref="A2:F2">
    <sortCondition ref="B1:B2"/>
  </sortState>
  <tableColumns count="6">
    <tableColumn id="1" xr3:uid="{BFCD0B6B-317A-404C-8E13-0D3277C54B08}" name="Athlete" dataDxfId="297"/>
    <tableColumn id="2" xr3:uid="{E91EAA24-C276-495C-B629-B4A04F1982AF}" name="Country" dataDxfId="296"/>
    <tableColumn id="4" xr3:uid="{EBBD65B7-3830-4BC5-9F74-92993699125E}" name="Downhill Classification" dataDxfId="295"/>
    <tableColumn id="5" xr3:uid="{A6FB55C2-BAB4-4C49-9DE0-DCE1957DB100}" name="Giant Slalom Classification" dataDxfId="294"/>
    <tableColumn id="6" xr3:uid="{7BDAE5B8-F620-45A7-8033-97B58991E292}" name="Slalom Classification" dataDxfId="293"/>
    <tableColumn id="7" xr3:uid="{16195FB9-C397-441B-9FFE-BCDFC3BD3688}" name="Super-G Classification" dataDxfId="292"/>
  </tableColumns>
  <tableStyleInfo name="TableStyleLight12" showFirstColumn="0" showLastColumn="0" showRowStripes="1" showColumnStripes="0"/>
</table>
</file>

<file path=xl/tables/table1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4A34192A-462A-4AAF-9DB3-FDBC09945D77}" name="Table105" displayName="Table105" ref="A1:F49" totalsRowShown="0" dataDxfId="291">
  <autoFilter ref="A1:F49" xr:uid="{4A34192A-462A-4AAF-9DB3-FDBC09945D77}"/>
  <sortState xmlns:xlrd2="http://schemas.microsoft.com/office/spreadsheetml/2017/richdata2" ref="A2:C2">
    <sortCondition ref="C1:C2"/>
  </sortState>
  <tableColumns count="6">
    <tableColumn id="1" xr3:uid="{EF2F6F35-F3E0-4C46-BD5F-110CF6CDDF84}" name="Pair" dataDxfId="290"/>
    <tableColumn id="2" xr3:uid="{6812C70A-CCA4-45AB-9103-969E952EC6EF}" name="Country" dataDxfId="289"/>
    <tableColumn id="3" xr3:uid="{344A899F-386D-4BF9-AC57-C24949FB3340}" name="Men's Combined Classification" dataDxfId="288"/>
    <tableColumn id="4" xr3:uid="{EC494079-EB9B-4902-A605-3F0457703445}" name="Women's Combined Classification" dataDxfId="287"/>
    <tableColumn id="5" xr3:uid="{FC1F9FD8-547D-441E-BBF3-5CC597695D85}" name="Missing Athletes" dataDxfId="286">
      <calculatedColumnFormula>Table105[[#This Row],[Total Athletes]]-(LEN(Table105[[#This Row],[Pair]])-LEN(SUBSTITUTE(Table105[[#This Row],[Pair]],"/","")))-1</calculatedColumnFormula>
    </tableColumn>
    <tableColumn id="6" xr3:uid="{4B080DA1-EC30-4D90-9F2C-314C5D7E729F}" name="Total Athletes" dataDxfId="285"/>
  </tableColumns>
  <tableStyleInfo name="TableStyleLight12" showFirstColumn="0" showLastColumn="0" showRowStripes="1" showColumnStripes="0"/>
</table>
</file>

<file path=xl/tables/table1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88B30E64-0CC7-4CDB-9DEF-D399431DF4D8}" name="Table106" displayName="Table106" ref="A1:F106" totalsRowShown="0" dataDxfId="284">
  <autoFilter ref="A1:F106" xr:uid="{88B30E64-0CC7-4CDB-9DEF-D399431DF4D8}"/>
  <sortState xmlns:xlrd2="http://schemas.microsoft.com/office/spreadsheetml/2017/richdata2" ref="A2:F2">
    <sortCondition ref="B1:B2"/>
  </sortState>
  <tableColumns count="6">
    <tableColumn id="1" xr3:uid="{B300ED28-E4B6-4B30-96B7-F7F12140A3C3}" name="Athlete" dataDxfId="283"/>
    <tableColumn id="2" xr3:uid="{4B970B78-C550-4B42-966E-D0B06374FAC0}" name="Country" dataDxfId="282"/>
    <tableColumn id="3" xr3:uid="{126D051E-F022-47B9-9740-A3A0B3B1480E}" name="Individual Classification" dataDxfId="281"/>
    <tableColumn id="4" xr3:uid="{38987341-864A-4858-820C-C9C95E344088}" name="Mass Start Classification" dataDxfId="280"/>
    <tableColumn id="5" xr3:uid="{B308A14F-ED95-45B3-9539-4057FA08503B}" name="Pursuit Classification" dataDxfId="279"/>
    <tableColumn id="6" xr3:uid="{44734D7C-04AC-4CDD-BEED-BAD3E30C408F}" name="Sprint Classification" dataDxfId="278"/>
  </tableColumns>
  <tableStyleInfo name="TableStyleLight12" showFirstColumn="0" showLastColumn="0" showRowStripes="1" showColumnStripes="0"/>
</table>
</file>

<file path=xl/tables/table1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8" xr:uid="{D00C9872-0A0F-4318-918B-92835E987D82}" name="Table106109" displayName="Table106109" ref="A1:F107" totalsRowShown="0" dataDxfId="277">
  <autoFilter ref="A1:F107" xr:uid="{D00C9872-0A0F-4318-918B-92835E987D82}"/>
  <sortState xmlns:xlrd2="http://schemas.microsoft.com/office/spreadsheetml/2017/richdata2" ref="A2:F2">
    <sortCondition ref="B1:B2"/>
  </sortState>
  <tableColumns count="6">
    <tableColumn id="1" xr3:uid="{CD5AB839-EB34-4E78-81C7-AE2985EC684D}" name="Athlete" dataDxfId="276"/>
    <tableColumn id="2" xr3:uid="{2AC6719D-5303-4FCC-855D-80ED55694FBF}" name="Country" dataDxfId="275"/>
    <tableColumn id="3" xr3:uid="{FF56E599-0623-42DF-93C3-7298B4C9F466}" name="Individual Classification" dataDxfId="274"/>
    <tableColumn id="4" xr3:uid="{1648DD3C-8ECA-4EC0-BF65-E14CC438A891}" name="Mass Start Classification" dataDxfId="273"/>
    <tableColumn id="5" xr3:uid="{6944A9B2-6E42-4BEB-8434-93C090E199CE}" name="Pursuit Classification" dataDxfId="272"/>
    <tableColumn id="6" xr3:uid="{F575B98D-A26C-41E1-9639-3CDF68200CF9}" name="Sprint Classification" dataDxfId="271"/>
  </tableColumns>
  <tableStyleInfo name="TableStyleLight12" showFirstColumn="0" showLastColumn="0" showRowStripes="1" showColumnStripes="0"/>
</table>
</file>

<file path=xl/tables/table1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9" xr:uid="{AC3053D2-15C6-4E0A-959F-26479BAF0887}" name="Table109" displayName="Table109" ref="A1:G62" totalsRowShown="0" dataDxfId="270">
  <autoFilter ref="A1:G62" xr:uid="{AC3053D2-15C6-4E0A-959F-26479BAF0887}"/>
  <sortState xmlns:xlrd2="http://schemas.microsoft.com/office/spreadsheetml/2017/richdata2" ref="A2:E2">
    <sortCondition ref="E1:E2"/>
  </sortState>
  <tableColumns count="7">
    <tableColumn id="1" xr3:uid="{7C36463A-1013-4776-A5D1-9BDFD94AF4E7}" name="Team" dataDxfId="269"/>
    <tableColumn id="2" xr3:uid="{12202987-B6C3-47D2-BF15-327215A44EEC}" name="Country" dataDxfId="268"/>
    <tableColumn id="3" xr3:uid="{B9AD4A7F-D26E-4AA9-AF77-5226F656B912}" name="Men's Relay Classification" dataDxfId="267"/>
    <tableColumn id="4" xr3:uid="{A226F820-BC14-4C3E-8960-C1E19B18E8C9}" name="Women's Relay Classification" dataDxfId="266"/>
    <tableColumn id="5" xr3:uid="{ECCF6C2D-BAB2-44CE-98FE-C03E57137D2E}" name="Mixed Relay Classification" dataDxfId="265"/>
    <tableColumn id="6" xr3:uid="{D38528A2-17AA-483E-BC18-92BD9FAA43E1}" name="Missing Athletes" dataDxfId="264">
      <calculatedColumnFormula>Table109[[#This Row],[Total Athletes]]-(LEN(Table109[[#This Row],[Team]])-LEN(SUBSTITUTE(Table109[[#This Row],[Team]],"/","")))-1</calculatedColumnFormula>
    </tableColumn>
    <tableColumn id="7" xr3:uid="{71CABA7D-22C8-4507-8D34-A5354DCA7958}" name="Total Athletes" dataDxfId="263"/>
  </tableColumns>
  <tableStyleInfo name="TableStyleLight12" showFirstColumn="0" showLastColumn="0" showRowStripes="1" showColumnStripes="0"/>
</table>
</file>

<file path=xl/tables/table1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0" xr:uid="{57CA8665-3E36-406B-BB0D-38BC3687710F}" name="Table110" displayName="Table110" ref="A1:C26" totalsRowShown="0" dataDxfId="262">
  <autoFilter ref="A1:C26" xr:uid="{57CA8665-3E36-406B-BB0D-38BC3687710F}"/>
  <sortState xmlns:xlrd2="http://schemas.microsoft.com/office/spreadsheetml/2017/richdata2" ref="A2:C2">
    <sortCondition ref="B1:B2"/>
  </sortState>
  <tableColumns count="3">
    <tableColumn id="1" xr3:uid="{427901A7-C9BB-4D1A-82D0-7349361996DB}" name="Athlete" dataDxfId="261"/>
    <tableColumn id="2" xr3:uid="{CCBAC9B5-A0C3-4756-8522-717DFD84A2B1}" name="Country" dataDxfId="260"/>
    <tableColumn id="3" xr3:uid="{CA73B57E-AD93-4C0D-A9F1-7AC72B2127CD}" name="Monobob Classification" dataDxfId="259"/>
  </tableColumns>
  <tableStyleInfo name="TableStyleLight12" showFirstColumn="0" showLastColumn="0" showRowStripes="1" showColumnStripes="0"/>
</table>
</file>

<file path=xl/tables/table1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1" xr:uid="{5ADBEA98-310E-4490-8AB0-2195F8865179}" name="Table111" displayName="Table111" ref="A1:F54" totalsRowShown="0" dataDxfId="258">
  <autoFilter ref="A1:F54" xr:uid="{5ADBEA98-310E-4490-8AB0-2195F8865179}"/>
  <sortState xmlns:xlrd2="http://schemas.microsoft.com/office/spreadsheetml/2017/richdata2" ref="A2:D2">
    <sortCondition ref="B1:B2"/>
  </sortState>
  <tableColumns count="6">
    <tableColumn id="1" xr3:uid="{304EDCB7-6F65-4DFE-A858-4AE24D3B98BD}" name="Pair" dataDxfId="257"/>
    <tableColumn id="2" xr3:uid="{CA715CD7-297F-4129-A549-662CFEF678C5}" name="Country" dataDxfId="256"/>
    <tableColumn id="3" xr3:uid="{17E4BD98-6F4B-4940-B100-A750622C05AA}" name="Men's Classification" dataDxfId="255"/>
    <tableColumn id="4" xr3:uid="{4A63162E-D255-4FF8-95C6-B56D98E0E309}" name="Women's Classification" dataDxfId="254"/>
    <tableColumn id="5" xr3:uid="{BDC5C091-1B18-4F5A-8B56-AA40FBF032CD}" name="Missing Athletes" dataDxfId="253">
      <calculatedColumnFormula>Table111[[#This Row],[Total Athletes]]-(LEN(Table111[[#This Row],[Pair]])-LEN(SUBSTITUTE(Table111[[#This Row],[Pair]],"/","")))-1</calculatedColumnFormula>
    </tableColumn>
    <tableColumn id="6" xr3:uid="{4BDE532D-8EFB-41F7-BD52-FE93B451A6FE}" name="Total Athletes" dataDxfId="252"/>
  </tableColumns>
  <tableStyleInfo name="TableStyleLight12" showFirstColumn="0" showLastColumn="0" showRowStripes="1" showColumnStripes="0"/>
</table>
</file>

<file path=xl/tables/table1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2" xr:uid="{469C7664-7454-49A2-8764-8BE7B94E0BE0}" name="Table112" displayName="Table112" ref="A1:E29" totalsRowShown="0" dataDxfId="251">
  <autoFilter ref="A1:E29" xr:uid="{469C7664-7454-49A2-8764-8BE7B94E0BE0}"/>
  <sortState xmlns:xlrd2="http://schemas.microsoft.com/office/spreadsheetml/2017/richdata2" ref="A2:C2">
    <sortCondition ref="B1:B2"/>
  </sortState>
  <tableColumns count="5">
    <tableColumn id="1" xr3:uid="{11A7BEF5-8C6C-476E-B59E-4CD692AA767F}" name="Team" dataDxfId="250"/>
    <tableColumn id="2" xr3:uid="{E7DB4519-4163-4973-9489-78392DA5FFE3}" name="Country" dataDxfId="249"/>
    <tableColumn id="3" xr3:uid="{C54F4887-757F-49F2-B793-09081F4491A4}" name="Men's Four Classification" dataDxfId="248"/>
    <tableColumn id="4" xr3:uid="{58B9F972-BFD1-4ED9-80A8-CE01856126F6}" name="Missing Athletes" dataDxfId="247">
      <calculatedColumnFormula>Table112[[#This Row],[Total Athletes]]-(LEN(Table112[[#This Row],[Team]])-LEN(SUBSTITUTE(Table112[[#This Row],[Team]],"/","")))-1</calculatedColumnFormula>
    </tableColumn>
    <tableColumn id="5" xr3:uid="{F08C887D-1390-47F0-B49F-54FCA5BDE562}" name="Total Athletes" dataDxfId="246"/>
  </tableColumns>
  <tableStyleInfo name="TableStyleLight12" showFirstColumn="0" showLastColumn="0" showRowStripes="1" showColumnStripes="0"/>
</table>
</file>

<file path=xl/tables/table1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3" xr:uid="{E7903C3E-D922-4755-A182-F714AD6695B9}" name="Table113" displayName="Table113" ref="A1:F151" totalsRowShown="0" dataDxfId="245">
  <autoFilter ref="A1:F151" xr:uid="{E7903C3E-D922-4755-A182-F714AD6695B9}"/>
  <sortState xmlns:xlrd2="http://schemas.microsoft.com/office/spreadsheetml/2017/richdata2" ref="A2:F2">
    <sortCondition ref="B1:B2"/>
  </sortState>
  <tableColumns count="6">
    <tableColumn id="1" xr3:uid="{D9D6CFBD-1B3C-4D5A-ADF1-77BD23400426}" name="Athlete" dataDxfId="244"/>
    <tableColumn id="2" xr3:uid="{29A911F3-6FC8-4773-90D9-9AC44B506759}" name="Country" dataDxfId="243"/>
    <tableColumn id="3" xr3:uid="{BA4505AC-3077-4416-94BA-879F72B70B39}" name="Classical Classification" dataDxfId="242"/>
    <tableColumn id="4" xr3:uid="{AC1274B8-9BC9-4142-BF5D-6D3501351E11}" name="Freestyle Classification" dataDxfId="241"/>
    <tableColumn id="5" xr3:uid="{0405B891-9988-48B6-97BC-E8C28F0CE3CB}" name="Skiathlon Classification" dataDxfId="240"/>
    <tableColumn id="6" xr3:uid="{CBC47886-75C0-4513-8CD5-5BEE0831786D}" name="Sprint Classification" dataDxfId="239"/>
  </tableColumns>
  <tableStyleInfo name="TableStyleLight12" showFirstColumn="0" showLastColumn="0" showRowStripes="1" showColumnStripes="0"/>
</table>
</file>

<file path=xl/tables/table1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5" xr:uid="{CF1F33D1-4946-4BDE-98FD-6529B69FD955}" name="Table113116" displayName="Table113116" ref="A1:F155" totalsRowShown="0" dataDxfId="238">
  <autoFilter ref="A1:F155" xr:uid="{CF1F33D1-4946-4BDE-98FD-6529B69FD955}"/>
  <sortState xmlns:xlrd2="http://schemas.microsoft.com/office/spreadsheetml/2017/richdata2" ref="A2:F2">
    <sortCondition ref="B1:B2"/>
  </sortState>
  <tableColumns count="6">
    <tableColumn id="1" xr3:uid="{819E7EAA-153E-49F7-B54C-0EAE2D1D3370}" name="Athlete" dataDxfId="237"/>
    <tableColumn id="2" xr3:uid="{B47277EA-B458-435E-AC8E-194B1CF3C2EB}" name="Country" dataDxfId="236"/>
    <tableColumn id="3" xr3:uid="{30052B47-4B56-4DE3-B6D1-CFA279925A03}" name="Classical Classification" dataDxfId="235"/>
    <tableColumn id="4" xr3:uid="{1BDA1037-D8D3-4BC4-9AC5-43EF9662C10E}" name="Freestyle Classification" dataDxfId="234"/>
    <tableColumn id="5" xr3:uid="{338DC613-6424-43CF-B9C8-B8436302683B}" name="Skiathlon Classification" dataDxfId="233"/>
    <tableColumn id="6" xr3:uid="{EEC63E8F-C19F-412E-8A80-657E834B661A}" name="Sprint Classification" dataDxfId="232"/>
  </tableColumns>
  <tableStyleInfo name="TableStyleLight12" showFirstColumn="0" showLastColumn="0" showRowStripes="1" showColumnStripes="0"/>
</table>
</file>

<file path=xl/tables/table1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6" xr:uid="{F0350EEE-B8F0-4A4F-AB68-7BF31D065540}" name="Table116" displayName="Table116" ref="A1:F54" totalsRowShown="0" dataDxfId="231">
  <autoFilter ref="A1:F54" xr:uid="{F0350EEE-B8F0-4A4F-AB68-7BF31D065540}"/>
  <sortState xmlns:xlrd2="http://schemas.microsoft.com/office/spreadsheetml/2017/richdata2" ref="A2:D2">
    <sortCondition ref="B1:B2"/>
  </sortState>
  <tableColumns count="6">
    <tableColumn id="1" xr3:uid="{7701B04C-4874-404C-BC64-21A693705C64}" name="Pair" dataDxfId="230"/>
    <tableColumn id="2" xr3:uid="{0B3762CB-2430-4D92-8E8F-A8B40D8D0CE2}" name="Country" dataDxfId="229"/>
    <tableColumn id="3" xr3:uid="{E62469B5-97E9-4957-9D5B-50B05E0955FB}" name="Men's Team Sprint Classification" dataDxfId="228"/>
    <tableColumn id="4" xr3:uid="{7E56AD79-84A5-441D-930E-A12B363AAD71}" name="Women's Team Sprint Classification" dataDxfId="227"/>
    <tableColumn id="5" xr3:uid="{B47A9194-C29B-4F34-9267-73D3F8347E3E}" name="Missing Athletes" dataDxfId="226">
      <calculatedColumnFormula>Table116[[#This Row],[Total Athletes]]-(LEN(Table116[[#This Row],[Pair]])-LEN(SUBSTITUTE(Table116[[#This Row],[Pair]],"/","")))-1</calculatedColumnFormula>
    </tableColumn>
    <tableColumn id="6" xr3:uid="{8774DF92-4E58-4FC6-80FC-408F07AA7F9E}" name="Total Athletes" dataDxfId="225"/>
  </tableColumns>
  <tableStyleInfo name="TableStyleLight12" showFirstColumn="0" showLastColumn="0" showRowStripes="1" showColumnStripes="0"/>
</table>
</file>

<file path=xl/tables/table1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7" xr:uid="{1AFFDCE7-232A-41A6-B5D1-226D6FF53CDF}" name="Table117" displayName="Table117" ref="A1:F30" totalsRowShown="0" dataDxfId="224">
  <autoFilter ref="A1:F30" xr:uid="{1AFFDCE7-232A-41A6-B5D1-226D6FF53CDF}"/>
  <sortState xmlns:xlrd2="http://schemas.microsoft.com/office/spreadsheetml/2017/richdata2" ref="A2:D2">
    <sortCondition ref="B1:B2"/>
  </sortState>
  <tableColumns count="6">
    <tableColumn id="1" xr3:uid="{1F2DDD54-1B22-4098-9352-B2A2D7312BDC}" name="Team" dataDxfId="223"/>
    <tableColumn id="2" xr3:uid="{4160662C-A8C6-4283-A887-91958F5C36C3}" name="Country" dataDxfId="222"/>
    <tableColumn id="3" xr3:uid="{CD2211C6-83F6-45A7-B33A-F9B6BAC54DD3}" name="Men's Relay Classification" dataDxfId="221"/>
    <tableColumn id="4" xr3:uid="{8E4D183B-6BE6-4AAE-B3F5-AB6FF2BB2E36}" name="Women's Relay Classification" dataDxfId="220"/>
    <tableColumn id="5" xr3:uid="{FF2CFACF-8485-42C7-B01A-EC8A44322155}" name="Missing Athletes" dataDxfId="219">
      <calculatedColumnFormula>Table117[[#This Row],[Total Athletes]]-(LEN(Table117[[#This Row],[Team]])-LEN(SUBSTITUTE(Table117[[#This Row],[Team]],"/","")))-1</calculatedColumnFormula>
    </tableColumn>
    <tableColumn id="6" xr3:uid="{84FAB244-534F-405B-A45B-BB45808CDC55}" name="Total Athletes" dataDxfId="218"/>
  </tableColumns>
  <tableStyleInfo name="TableStyleLight12" showFirstColumn="0" showLastColumn="0" showRowStripes="1" showColumnStripes="0"/>
</table>
</file>

<file path=xl/tables/table1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8" xr:uid="{B234FB4C-1687-48BA-88F7-82577C3A7F97}" name="Table118" displayName="Table118" ref="A1:E11" totalsRowShown="0" dataDxfId="217">
  <autoFilter ref="A1:E11" xr:uid="{B234FB4C-1687-48BA-88F7-82577C3A7F97}"/>
  <sortState xmlns:xlrd2="http://schemas.microsoft.com/office/spreadsheetml/2017/richdata2" ref="A2:C2">
    <sortCondition ref="B1:B2"/>
  </sortState>
  <tableColumns count="5">
    <tableColumn id="1" xr3:uid="{851E42BD-8479-4635-9BAB-D9F6BFB5688C}" name="Pair" dataDxfId="216"/>
    <tableColumn id="2" xr3:uid="{69EF0CE1-346A-4147-B4D9-568D25DDCF97}" name="Country" dataDxfId="215"/>
    <tableColumn id="3" xr3:uid="{3E5BC6CA-1654-4FA7-9DDF-E2B73F18372E}" name="Mixed Classification" dataDxfId="214"/>
    <tableColumn id="4" xr3:uid="{72EB2475-8EF4-40A9-9AFC-9B205418CFB2}" name="Missing Athletes" dataDxfId="213">
      <calculatedColumnFormula>Table118[[#This Row],[Total Athletes]]-(LEN(Table118[[#This Row],[Pair]])-LEN(SUBSTITUTE(Table118[[#This Row],[Pair]],"/","")))-1</calculatedColumnFormula>
    </tableColumn>
    <tableColumn id="5" xr3:uid="{F165F67E-5546-4A2A-B9EE-F436C028A32D}" name="Total Athletes" dataDxfId="212"/>
  </tableColumns>
  <tableStyleInfo name="TableStyleLight12" showFirstColumn="0" showLastColumn="0" showRowStripes="1" showColumnStripes="0"/>
</table>
</file>

<file path=xl/tables/table1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9" xr:uid="{9258D322-B624-4384-B6F6-314A42EAF8D1}" name="Table119" displayName="Table119" ref="A1:F21" totalsRowShown="0" dataDxfId="211">
  <autoFilter ref="A1:F21" xr:uid="{9258D322-B624-4384-B6F6-314A42EAF8D1}"/>
  <sortState xmlns:xlrd2="http://schemas.microsoft.com/office/spreadsheetml/2017/richdata2" ref="A2:D2">
    <sortCondition ref="B1:B2"/>
  </sortState>
  <tableColumns count="6">
    <tableColumn id="1" xr3:uid="{CA83A91E-D549-4C1B-815F-986F89199B82}" name="Team" dataDxfId="210"/>
    <tableColumn id="2" xr3:uid="{EDAF8157-B2E6-4EC9-865E-4F8B7CAE60AE}" name="Country" dataDxfId="209"/>
    <tableColumn id="3" xr3:uid="{78393893-0148-4937-A371-67A74040B7AF}" name="Men's Classification" dataDxfId="208"/>
    <tableColumn id="4" xr3:uid="{42AA5D95-FC49-4638-8162-B9D34867E58B}" name="Women's Classification" dataDxfId="207"/>
    <tableColumn id="5" xr3:uid="{3B1E65D2-D688-4483-A9DF-72794B1346A2}" name="Missing Athletes" dataDxfId="206">
      <calculatedColumnFormula>Table119[[#This Row],[Total Athletes]]-(LEN(Table119[[#This Row],[Team]])-LEN(SUBSTITUTE(Table119[[#This Row],[Team]],"/","")))-1</calculatedColumnFormula>
    </tableColumn>
    <tableColumn id="6" xr3:uid="{56B349F0-F541-4729-A1BF-DF9367EF1543}" name="Total Athletes" dataDxfId="205"/>
  </tableColumns>
  <tableStyleInfo name="TableStyleLight12" showFirstColumn="0" showLastColumn="0" showRowStripes="1" showColumnStripes="0"/>
</table>
</file>

<file path=xl/tables/table1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0" xr:uid="{BD3AA4FD-3893-4FAF-A36F-37D482B3B0E8}" name="Table120" displayName="Table120" ref="A1:C30" totalsRowShown="0" dataDxfId="204">
  <autoFilter ref="A1:C30" xr:uid="{BD3AA4FD-3893-4FAF-A36F-37D482B3B0E8}"/>
  <sortState xmlns:xlrd2="http://schemas.microsoft.com/office/spreadsheetml/2017/richdata2" ref="A2:C2">
    <sortCondition ref="B1:B2"/>
  </sortState>
  <tableColumns count="3">
    <tableColumn id="1" xr3:uid="{6E01732F-01E2-48F5-BCF8-AA4123E71EA1}" name="Athlete" dataDxfId="203"/>
    <tableColumn id="2" xr3:uid="{D09B7E26-9E5E-472B-A492-4CE8560D1978}" name="Country" dataDxfId="202"/>
    <tableColumn id="3" xr3:uid="{4DB28F18-EF62-469A-9B23-59A8DC2AFE24}" name="Classification" dataDxfId="201"/>
  </tableColumns>
  <tableStyleInfo name="TableStyleLight12" showFirstColumn="0" showLastColumn="0" showRowStripes="1" showColumnStripes="0"/>
</table>
</file>

<file path=xl/tables/table1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2" xr:uid="{26D230F7-8343-4729-A408-F506C37C7D41}" name="Table120123" displayName="Table120123" ref="A1:C30" totalsRowShown="0" dataDxfId="200">
  <autoFilter ref="A1:C30" xr:uid="{26D230F7-8343-4729-A408-F506C37C7D41}"/>
  <sortState xmlns:xlrd2="http://schemas.microsoft.com/office/spreadsheetml/2017/richdata2" ref="A2:C2">
    <sortCondition ref="B1:B2"/>
  </sortState>
  <tableColumns count="3">
    <tableColumn id="1" xr3:uid="{31BE70C3-7A47-425A-BAB2-213FD93DF92A}" name="Athlete" dataDxfId="199"/>
    <tableColumn id="2" xr3:uid="{22D0E2F0-3EC9-4CA7-9CE2-06D9CC153E7C}" name="Country" dataDxfId="198"/>
    <tableColumn id="3" xr3:uid="{AA087A90-85E7-4A82-8952-6AC0505E8878}" name="Classification" dataDxfId="197"/>
  </tableColumns>
  <tableStyleInfo name="TableStyleLight12" showFirstColumn="0" showLastColumn="0" showRowStripes="1" showColumnStripes="0"/>
</table>
</file>

<file path=xl/tables/table1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3" xr:uid="{C5BF5E8E-952C-497D-AC36-2630DC35D87B}" name="Table123" displayName="Table123" ref="A1:F43" totalsRowShown="0" dataDxfId="196">
  <autoFilter ref="A1:F43" xr:uid="{C5BF5E8E-952C-497D-AC36-2630DC35D87B}"/>
  <sortState xmlns:xlrd2="http://schemas.microsoft.com/office/spreadsheetml/2017/richdata2" ref="A2:D2">
    <sortCondition ref="B1:B2"/>
  </sortState>
  <tableColumns count="6">
    <tableColumn id="1" xr3:uid="{A16B38B7-6838-4C2C-8BCD-1C557455C556}" name="Pair" dataDxfId="195"/>
    <tableColumn id="2" xr3:uid="{1F7485A3-62B7-45A6-BBDD-86CC8EDC3BAD}" name="Country" dataDxfId="194"/>
    <tableColumn id="4" xr3:uid="{E0505EC6-2825-4C80-8B7D-40400B1A91A5}" name="Ice Dance Classification" dataDxfId="193"/>
    <tableColumn id="3" xr3:uid="{A2113001-E318-4AEA-9E12-D0D062F067C3}" name="Pair Skating Classification" dataDxfId="192"/>
    <tableColumn id="5" xr3:uid="{5F9B25A7-00C8-484A-A9D3-5790B1C8645D}" name="Missing Athletes" dataDxfId="191">
      <calculatedColumnFormula>Table123[[#This Row],[Total Athletes]]-(LEN(Table123[[#This Row],[Pair]])-LEN(SUBSTITUTE(Table123[[#This Row],[Pair]],"/","")))-1</calculatedColumnFormula>
    </tableColumn>
    <tableColumn id="6" xr3:uid="{A5F61170-731D-4DCF-B0C3-4BC0078B0326}" name="Total Athletes" dataDxfId="190"/>
  </tableColumns>
  <tableStyleInfo name="TableStyleLight12" showFirstColumn="0" showLastColumn="0" showRowStripes="1" showColumnStripes="0"/>
</table>
</file>

<file path=xl/tables/table1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4" xr:uid="{56121BA4-D870-451A-8C5C-3B03EC49B452}" name="Table124" displayName="Table124" ref="A1:E11" totalsRowShown="0" dataDxfId="189">
  <autoFilter ref="A1:E11" xr:uid="{56121BA4-D870-451A-8C5C-3B03EC49B452}"/>
  <sortState xmlns:xlrd2="http://schemas.microsoft.com/office/spreadsheetml/2017/richdata2" ref="A2:C2">
    <sortCondition ref="B1:B2"/>
  </sortState>
  <tableColumns count="5">
    <tableColumn id="1" xr3:uid="{CD4C8093-5424-4B74-AFA9-FB05F60B5EAC}" name="Team" dataDxfId="188"/>
    <tableColumn id="2" xr3:uid="{995BDA5D-0075-483A-8DEC-E14F00724D3C}" name="Country" dataDxfId="187"/>
    <tableColumn id="3" xr3:uid="{10DC6850-8EC1-4DBA-B696-408E18F4B2D9}" name="Mixed Classification" dataDxfId="186"/>
    <tableColumn id="4" xr3:uid="{B2D190B5-C31F-442A-A41C-D2440727C1D7}" name="Missing Athletes" dataDxfId="185">
      <calculatedColumnFormula>Table124[[#This Row],[Total Athletes]]-(LEN(Table124[[#This Row],[Team]])-LEN(SUBSTITUTE(Table124[[#This Row],[Team]],"/","")))-1</calculatedColumnFormula>
    </tableColumn>
    <tableColumn id="5" xr3:uid="{3DB520AE-8F30-4AB3-BCF2-C645B65F2225}" name="Total Athletes" dataDxfId="184"/>
  </tableColumns>
  <tableStyleInfo name="TableStyleLight12" showFirstColumn="0" showLastColumn="0" showRowStripes="1" showColumnStripes="0"/>
</table>
</file>

<file path=xl/tables/table1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5" xr:uid="{A8B31560-5C2F-4352-82CA-17D139DCA35C}" name="Table125" displayName="Table125" ref="A1:I145" totalsRowShown="0" dataDxfId="183">
  <autoFilter ref="A1:I145" xr:uid="{A8B31560-5C2F-4352-82CA-17D139DCA35C}"/>
  <sortState xmlns:xlrd2="http://schemas.microsoft.com/office/spreadsheetml/2017/richdata2" ref="A2:I2">
    <sortCondition ref="B1:B2"/>
  </sortState>
  <tableColumns count="9">
    <tableColumn id="1" xr3:uid="{9E8FC7CF-9F00-4901-AEF9-0203E046F860}" name="Athlete" dataDxfId="182"/>
    <tableColumn id="2" xr3:uid="{C1678B91-4544-4872-9E31-4BBE0555D83C}" name="Country" dataDxfId="181"/>
    <tableColumn id="3" xr3:uid="{851C5127-F8D7-495F-A95C-884D10D6A486}" name="Aerials Classification" dataDxfId="180"/>
    <tableColumn id="4" xr3:uid="{FD1A8B78-927D-4656-BBB0-E50728E0D8AA}" name="Big Air Classification" dataDxfId="179"/>
    <tableColumn id="9" xr3:uid="{E0F33898-8F5E-4B7D-ACE1-C17AB198A645}" name="Dual Moguls Classification" dataDxfId="178"/>
    <tableColumn id="5" xr3:uid="{7E08E03B-2A2C-490A-928D-8E4D3F405AB6}" name="Halfpipe Classification" dataDxfId="177"/>
    <tableColumn id="6" xr3:uid="{77D0F8FC-174D-4442-904C-CB1D0CEDD6F4}" name="Moguls Classification" dataDxfId="176"/>
    <tableColumn id="7" xr3:uid="{AD6EA706-9190-4AC2-8195-6F5FA25075F5}" name="Ski Cross Classification" dataDxfId="175"/>
    <tableColumn id="8" xr3:uid="{EB3D5CA6-80D2-4328-8EB0-5114DE24E28D}" name="Slopestyle Classification" dataDxfId="174"/>
  </tableColumns>
  <tableStyleInfo name="TableStyleLight12" showFirstColumn="0" showLastColumn="0" showRowStripes="1" showColumnStripes="0"/>
</table>
</file>

<file path=xl/tables/table1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7" xr:uid="{CC19472B-2BCE-414C-8C42-74CB83114761}" name="Table125128" displayName="Table125128" ref="A1:I138" totalsRowShown="0" dataDxfId="173">
  <autoFilter ref="A1:I138" xr:uid="{CC19472B-2BCE-414C-8C42-74CB83114761}"/>
  <sortState xmlns:xlrd2="http://schemas.microsoft.com/office/spreadsheetml/2017/richdata2" ref="A2:I2">
    <sortCondition ref="B1:B2"/>
  </sortState>
  <tableColumns count="9">
    <tableColumn id="1" xr3:uid="{487B5878-20F5-4E5B-A618-A05CC41A657D}" name="Athlete" dataDxfId="172"/>
    <tableColumn id="2" xr3:uid="{7CC70F69-CD49-4299-B3E8-4F3C3271ED64}" name="Country" dataDxfId="171"/>
    <tableColumn id="3" xr3:uid="{A5E896F1-37A8-4D93-8302-A87E5B825496}" name="Aerials Classification" dataDxfId="170"/>
    <tableColumn id="4" xr3:uid="{167D69B5-E766-4DA3-9C04-F34403071C68}" name="Big Air Classification" dataDxfId="169"/>
    <tableColumn id="9" xr3:uid="{24201C8D-4699-4DC9-941A-F463A5271D5C}" name="Dual Moguls Classification" dataDxfId="168"/>
    <tableColumn id="5" xr3:uid="{CA24A421-C0BF-49C9-A5E2-7CB7576CDF28}" name="Halfpipe Classification" dataDxfId="167"/>
    <tableColumn id="6" xr3:uid="{AE48F332-D8DF-486D-B96F-3A5DB27DB890}" name="Moguls Classification" dataDxfId="166"/>
    <tableColumn id="7" xr3:uid="{0BE0983E-E976-4623-9AAB-FD381FE75C3A}" name="Ski Cross Classification" dataDxfId="165"/>
    <tableColumn id="8" xr3:uid="{D9C86E1B-3A32-4AFB-BB91-2FC6122C27AA}" name="Slopestyle Classification" dataDxfId="164"/>
  </tableColumns>
  <tableStyleInfo name="TableStyleLight12" showFirstColumn="0" showLastColumn="0" showRowStripes="1" showColumnStripes="0"/>
</table>
</file>

<file path=xl/tables/table1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8" xr:uid="{5E9A9F43-C9A9-4857-A586-560CF3ACFC9C}" name="Table128" displayName="Table128" ref="A1:E8" totalsRowShown="0" dataDxfId="163">
  <autoFilter ref="A1:E8" xr:uid="{5E9A9F43-C9A9-4857-A586-560CF3ACFC9C}"/>
  <sortState xmlns:xlrd2="http://schemas.microsoft.com/office/spreadsheetml/2017/richdata2" ref="A2:C2">
    <sortCondition ref="C1:C2"/>
  </sortState>
  <tableColumns count="5">
    <tableColumn id="1" xr3:uid="{3746DF63-1550-45EC-B97D-3D056EB9801E}" name="Team" dataDxfId="162"/>
    <tableColumn id="2" xr3:uid="{FFE8A364-439C-4232-8A3A-5490244F45EB}" name="Country" dataDxfId="161"/>
    <tableColumn id="3" xr3:uid="{D753111A-85A0-48A9-BEF6-0242E9A5B2FE}" name="Mixed Aerials Classification" dataDxfId="160"/>
    <tableColumn id="4" xr3:uid="{1A129927-CC7B-4E38-98D1-F96B1524D50B}" name="Missing Athletes" dataDxfId="159">
      <calculatedColumnFormula>Table128[[#This Row],[Total Athletes]]-(LEN(Table128[[#This Row],[Team]])-LEN(SUBSTITUTE(Table128[[#This Row],[Team]],"/","")))-1</calculatedColumnFormula>
    </tableColumn>
    <tableColumn id="5" xr3:uid="{3FA8AB43-6362-4E7E-93E9-84F5EC5437D5}" name="Total Athletes" dataDxfId="158"/>
  </tableColumns>
  <tableStyleInfo name="TableStyleLight12" showFirstColumn="0" showLastColumn="0" showRowStripes="1" showColumnStripes="0"/>
</table>
</file>

<file path=xl/tables/table1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0" xr:uid="{0E753236-7107-4CC9-A627-E08738FD1F30}" name="Table119131" displayName="Table119131" ref="A1:H23" totalsRowShown="0" dataDxfId="157">
  <autoFilter ref="A1:H23" xr:uid="{0E753236-7107-4CC9-A627-E08738FD1F30}"/>
  <sortState xmlns:xlrd2="http://schemas.microsoft.com/office/spreadsheetml/2017/richdata2" ref="A2:F2">
    <sortCondition ref="D1:D2"/>
  </sortState>
  <tableColumns count="8">
    <tableColumn id="1" xr3:uid="{E8311530-227A-4596-A99E-495D4E83F96D}" name="Goalies" dataDxfId="156"/>
    <tableColumn id="5" xr3:uid="{35D5CE4F-35E4-475E-A1CB-EAF34905F5FE}" name="Defenders" dataDxfId="155"/>
    <tableColumn id="6" xr3:uid="{00A91F54-45F0-4348-B5B6-3DE1F0CB8AE6}" name="Forwards" dataDxfId="154"/>
    <tableColumn id="2" xr3:uid="{E42153AA-B8B9-45DA-81BB-87090E521722}" name="Country" dataDxfId="153"/>
    <tableColumn id="3" xr3:uid="{E1EDC2FE-5628-46CC-9C31-FAAF79A3077B}" name="Men's Classification" dataDxfId="152"/>
    <tableColumn id="4" xr3:uid="{608D2AB3-608A-4149-88BA-6458D8E7FFD2}" name="Women's Classification" dataDxfId="151"/>
    <tableColumn id="7" xr3:uid="{F8E126A8-FB6C-47C6-9A19-900678A1C794}" name="Missing Athletes" dataDxfId="150">
      <calculatedColumnFormula>Table119131[[#This Row],[Total Athletes]]-(LEN(Table119131[[#This Row],[Goalies]])-LEN(SUBSTITUTE(Table119131[[#This Row],[Goalies]],"/","")))-(LEN(Table119131[[#This Row],[Defenders]])-LEN(SUBSTITUTE(Table119131[[#This Row],[Defenders]],"/","")))-(LEN(Table119131[[#This Row],[Forwards]])-LEN(SUBSTITUTE(Table119131[[#This Row],[Forwards]],"/","")))-3</calculatedColumnFormula>
    </tableColumn>
    <tableColumn id="8" xr3:uid="{75C5CD89-9058-4A76-A599-CFC60D5ACC6D}" name="Total Athletes" dataDxfId="149"/>
  </tableColumns>
  <tableStyleInfo name="TableStyleLight12" showFirstColumn="0" showLastColumn="0" showRowStripes="1" showColumnStripes="0"/>
</table>
</file>

<file path=xl/tables/table1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1" xr:uid="{E688DE82-FF86-45FA-AEC7-DC206CCEDD94}" name="Table131" displayName="Table131" ref="A1:C27" totalsRowShown="0" dataDxfId="148">
  <autoFilter ref="A1:C27" xr:uid="{E688DE82-FF86-45FA-AEC7-DC206CCEDD94}"/>
  <sortState xmlns:xlrd2="http://schemas.microsoft.com/office/spreadsheetml/2017/richdata2" ref="A2:C2">
    <sortCondition ref="B1:B2"/>
  </sortState>
  <tableColumns count="3">
    <tableColumn id="1" xr3:uid="{01357E85-91C8-408F-806F-EA07A2123FE0}" name="Athlete" dataDxfId="147"/>
    <tableColumn id="2" xr3:uid="{AD795A6B-BA59-4B34-AF4C-86760E44B6F1}" name="Country" dataDxfId="146"/>
    <tableColumn id="3" xr3:uid="{E14CC513-D370-4092-94C4-F45C8491E5E6}" name="Classification" dataDxfId="145"/>
  </tableColumns>
  <tableStyleInfo name="TableStyleLight12" showFirstColumn="0" showLastColumn="0" showRowStripes="1" showColumnStripes="0"/>
</table>
</file>

<file path=xl/tables/table1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3" xr:uid="{01F7EBC8-1D82-48E6-A68E-201BAE06BA99}" name="Table131134" displayName="Table131134" ref="A1:C26" totalsRowShown="0" dataDxfId="144">
  <autoFilter ref="A1:C26" xr:uid="{01F7EBC8-1D82-48E6-A68E-201BAE06BA99}"/>
  <sortState xmlns:xlrd2="http://schemas.microsoft.com/office/spreadsheetml/2017/richdata2" ref="A2:C2">
    <sortCondition ref="B1:B2"/>
  </sortState>
  <tableColumns count="3">
    <tableColumn id="1" xr3:uid="{8FFAE94D-98E2-4DA2-BE02-90984BEEC799}" name="Athlete" dataDxfId="143"/>
    <tableColumn id="2" xr3:uid="{EE38F903-8A5B-441D-AE31-5F8F950F31E5}" name="Country" dataDxfId="142"/>
    <tableColumn id="3" xr3:uid="{228C7429-3904-400A-BE03-6448A0BD8F4B}" name="Classification" dataDxfId="141"/>
  </tableColumns>
  <tableStyleInfo name="TableStyleLight12" showFirstColumn="0" showLastColumn="0" showRowStripes="1" showColumnStripes="0"/>
</table>
</file>

<file path=xl/tables/table1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4" xr:uid="{778E7BAB-0024-4521-926E-E2DDEDCBDA9B}" name="Table134" displayName="Table134" ref="A1:F29" totalsRowShown="0" dataDxfId="140">
  <autoFilter ref="A1:F29" xr:uid="{778E7BAB-0024-4521-926E-E2DDEDCBDA9B}"/>
  <sortState xmlns:xlrd2="http://schemas.microsoft.com/office/spreadsheetml/2017/richdata2" ref="A2:D2">
    <sortCondition ref="B1:B2"/>
  </sortState>
  <tableColumns count="6">
    <tableColumn id="1" xr3:uid="{1C18057A-5504-4A6D-B818-BBFA6C063F2E}" name="Pair" dataDxfId="139"/>
    <tableColumn id="2" xr3:uid="{8F3EEACF-87C8-4FA5-82AB-D7D5A5C8E823}" name="Country" dataDxfId="138"/>
    <tableColumn id="3" xr3:uid="{8F56B03A-FC5D-4605-AAFF-818D3838C2F0}" name="Men's Classification" dataDxfId="137"/>
    <tableColumn id="4" xr3:uid="{CE1F920F-1495-4B9D-AE36-89494874059B}" name="Women's Classification" dataDxfId="136"/>
    <tableColumn id="5" xr3:uid="{7170D14C-4E4F-419A-BF9C-43124E63EDB8}" name="Missing Athletes" dataDxfId="135">
      <calculatedColumnFormula>Table134[[#This Row],[Total Athletes]]-(LEN(Table134[[#This Row],[Pair]])-LEN(SUBSTITUTE(Table134[[#This Row],[Pair]],"/","")))-1</calculatedColumnFormula>
    </tableColumn>
    <tableColumn id="6" xr3:uid="{519C6CE5-46CD-40AC-9119-EE7DDFB335C8}" name="Total Athletes" dataDxfId="134"/>
  </tableColumns>
  <tableStyleInfo name="TableStyleLight12" showFirstColumn="0" showLastColumn="0" showRowStripes="1" showColumnStripes="0"/>
</table>
</file>

<file path=xl/tables/table1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5" xr:uid="{7B72FCE1-4D81-4CEC-954D-6CC034184ECE}" name="Table135" displayName="Table135" ref="A1:E10" totalsRowShown="0" dataDxfId="133">
  <autoFilter ref="A1:E10" xr:uid="{7B72FCE1-4D81-4CEC-954D-6CC034184ECE}"/>
  <sortState xmlns:xlrd2="http://schemas.microsoft.com/office/spreadsheetml/2017/richdata2" ref="A2:C2">
    <sortCondition ref="B1:B2"/>
  </sortState>
  <tableColumns count="5">
    <tableColumn id="1" xr3:uid="{A159C867-4ABB-4246-BFAE-84C3566F9201}" name="Team" dataDxfId="132"/>
    <tableColumn id="2" xr3:uid="{2C313902-FB8B-4171-A8ED-EE63D24BBE52}" name="Country" dataDxfId="131"/>
    <tableColumn id="3" xr3:uid="{3D8E891E-590A-4BAB-8477-C86A582AC8DF}" name="Mixed Relay Classification" dataDxfId="130"/>
    <tableColumn id="4" xr3:uid="{D23082A0-D9A4-4B46-814B-CD1274549D78}" name="Missing Athletes" dataDxfId="129">
      <calculatedColumnFormula>Table135[[#This Row],[Total Athletes]]-(LEN(Table135[[#This Row],[Team]])-LEN(SUBSTITUTE(Table135[[#This Row],[Team]],"/","")))-1</calculatedColumnFormula>
    </tableColumn>
    <tableColumn id="5" xr3:uid="{58FBB741-1137-4E51-A770-8EDAE024BBE0}" name="Total Athletes" dataDxfId="128"/>
  </tableColumns>
  <tableStyleInfo name="TableStyleLight12" showFirstColumn="0" showLastColumn="0" showRowStripes="1" showColumnStripes="0"/>
</table>
</file>

<file path=xl/tables/table1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6" xr:uid="{FCEA4E98-B17F-4554-9FFC-7E222C21B7F7}" name="Table136" displayName="Table136" ref="A1:D37" totalsRowShown="0" dataDxfId="127">
  <autoFilter ref="A1:D37" xr:uid="{FCEA4E98-B17F-4554-9FFC-7E222C21B7F7}"/>
  <sortState xmlns:xlrd2="http://schemas.microsoft.com/office/spreadsheetml/2017/richdata2" ref="A2:D2">
    <sortCondition ref="B1:B2"/>
  </sortState>
  <tableColumns count="4">
    <tableColumn id="1" xr3:uid="{FD2A5799-FC38-405F-A006-1ACD64C23A68}" name="Athlete" dataDxfId="126"/>
    <tableColumn id="2" xr3:uid="{33F86B92-3C65-4D09-A78E-F470CFCB6399}" name="Country" dataDxfId="125"/>
    <tableColumn id="4" xr3:uid="{BCF04B43-B19F-49EB-BAE9-D6E3B527E00E}" name="Individual Classification" dataDxfId="124"/>
    <tableColumn id="3" xr3:uid="{90FE259D-F2A9-499B-A6EA-2577881023BA}" name="Sprint Classification" dataDxfId="123"/>
  </tableColumns>
  <tableStyleInfo name="TableStyleLight12" showFirstColumn="0" showLastColumn="0" showRowStripes="1" showColumnStripes="0"/>
</table>
</file>

<file path=xl/tables/table1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7" xr:uid="{73827E13-8D6F-4802-A7B8-B9911EC19E5D}" name="Table137" displayName="Table137" ref="A1:E15" totalsRowShown="0" dataDxfId="122">
  <autoFilter ref="A1:E15" xr:uid="{73827E13-8D6F-4802-A7B8-B9911EC19E5D}"/>
  <sortState xmlns:xlrd2="http://schemas.microsoft.com/office/spreadsheetml/2017/richdata2" ref="A2:C2">
    <sortCondition ref="C1:C2"/>
  </sortState>
  <tableColumns count="5">
    <tableColumn id="1" xr3:uid="{7FFCF00E-9E51-4430-BF0B-A75B462D90B7}" name="Pair" dataDxfId="121"/>
    <tableColumn id="2" xr3:uid="{9D64E422-D4FE-4FCD-836A-4CB6CBAC5D95}" name="Country" dataDxfId="120"/>
    <tableColumn id="3" xr3:uid="{83C4CD3D-E8ED-4B7E-92CD-0B2573CAB7FE}" name="Men's Team Sprint Large Hill Classification" dataDxfId="119"/>
    <tableColumn id="4" xr3:uid="{BDE61EBF-1AFB-4EA4-8F8D-E86E843E53B8}" name="Missing Athletes" dataDxfId="118">
      <calculatedColumnFormula>Table137[[#This Row],[Total Athletes]]-(LEN(Table137[[#This Row],[Pair]])-LEN(SUBSTITUTE(Table137[[#This Row],[Pair]],"/","")))-1</calculatedColumnFormula>
    </tableColumn>
    <tableColumn id="5" xr3:uid="{25DA776F-F9B4-4B91-B7C3-7B0AF783BE4D}" name="Total Athletes" dataDxfId="117"/>
  </tableColumns>
  <tableStyleInfo name="TableStyleLight12" showFirstColumn="0" showLastColumn="0" showRowStripes="1" showColumnStripes="0"/>
</table>
</file>

<file path=xl/tables/table1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8" xr:uid="{0263D83D-224E-4E7A-9911-501D75FEC309}" name="Table138" displayName="Table138" ref="A1:E91" totalsRowShown="0" dataDxfId="116">
  <autoFilter ref="A1:E91" xr:uid="{0263D83D-224E-4E7A-9911-501D75FEC309}"/>
  <sortState xmlns:xlrd2="http://schemas.microsoft.com/office/spreadsheetml/2017/richdata2" ref="A2:E2">
    <sortCondition ref="B1:B2"/>
  </sortState>
  <tableColumns count="5">
    <tableColumn id="1" xr3:uid="{C02108BC-4B6A-4A6D-B1EF-50E9963F3744}" name="Athlete" dataDxfId="115"/>
    <tableColumn id="2" xr3:uid="{1B984E0D-D4B8-4D0B-9217-B31F5C6B28FA}" name="Country" dataDxfId="114"/>
    <tableColumn id="3" xr3:uid="{F3AE9AC3-8757-4948-82E9-8CB32FF123B3}" name="500m Classification" dataDxfId="113"/>
    <tableColumn id="4" xr3:uid="{113026AF-24A7-479F-8445-F8B14E104E93}" name="1000m Classification" dataDxfId="112"/>
    <tableColumn id="5" xr3:uid="{1FE5FDF4-CF60-45BC-91D0-27F99EED8D9E}" name="1500m Classification" dataDxfId="111"/>
  </tableColumns>
  <tableStyleInfo name="TableStyleLight12" showFirstColumn="0" showLastColumn="0" showRowStripes="1" showColumnStripes="0"/>
</table>
</file>

<file path=xl/tables/table1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0" xr:uid="{A253E6D6-E1FE-4F72-AE74-36EEE9D4E709}" name="Table138141" displayName="Table138141" ref="A1:E99" totalsRowShown="0" dataDxfId="110">
  <autoFilter ref="A1:E99" xr:uid="{A253E6D6-E1FE-4F72-AE74-36EEE9D4E709}"/>
  <sortState xmlns:xlrd2="http://schemas.microsoft.com/office/spreadsheetml/2017/richdata2" ref="A2:E2">
    <sortCondition ref="B1:B2"/>
  </sortState>
  <tableColumns count="5">
    <tableColumn id="1" xr3:uid="{A8B22D7B-0B1F-4C32-8967-388B2585C812}" name="Athlete" dataDxfId="109"/>
    <tableColumn id="2" xr3:uid="{5E7F7A2B-D101-4CF9-81DC-FA47C3F328F4}" name="Country" dataDxfId="108"/>
    <tableColumn id="3" xr3:uid="{1EE63637-2AD6-4957-A2A1-4AE5A70A447D}" name="500m Classification" dataDxfId="107"/>
    <tableColumn id="4" xr3:uid="{CE29E7ED-6FA1-4819-A2BD-10C4C7EA09B2}" name="1000m Classification" dataDxfId="106"/>
    <tableColumn id="5" xr3:uid="{2156B5F2-69EC-4286-847C-FB8578A2E3E4}" name="1500m Classification" dataDxfId="105"/>
  </tableColumns>
  <tableStyleInfo name="TableStyleLight12" showFirstColumn="0" showLastColumn="0" showRowStripes="1" showColumnStripes="0"/>
</table>
</file>

<file path=xl/tables/table1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1" xr:uid="{6E015B3C-301E-4B21-8348-0057B521B28E}" name="Table141" displayName="Table141" ref="A1:G29" totalsRowShown="0" dataDxfId="104">
  <autoFilter ref="A1:G29" xr:uid="{6E015B3C-301E-4B21-8348-0057B521B28E}"/>
  <sortState xmlns:xlrd2="http://schemas.microsoft.com/office/spreadsheetml/2017/richdata2" ref="A2:E2">
    <sortCondition ref="B1:B2"/>
  </sortState>
  <tableColumns count="7">
    <tableColumn id="1" xr3:uid="{AB09F9E5-F315-49AD-94F3-BB9AB6E873FE}" name="Team" dataDxfId="103"/>
    <tableColumn id="2" xr3:uid="{94B4BC23-4BEB-43E1-B27F-BC207E96F91A}" name="Country" dataDxfId="102"/>
    <tableColumn id="3" xr3:uid="{ADD40BD1-9C70-489F-9259-78FD49CEA42A}" name="Men's 5000m Relay Classification" dataDxfId="101"/>
    <tableColumn id="4" xr3:uid="{21416F6C-B663-4144-8293-397874000E0A}" name="Women's 3000m Relay Classification" dataDxfId="100"/>
    <tableColumn id="5" xr3:uid="{BBDB3CF7-F21C-4B7E-B2F2-1860AF6EE97E}" name="Mixed 2000m Relay Classification" dataDxfId="99"/>
    <tableColumn id="6" xr3:uid="{CC31BCAB-3644-4B06-AF5C-E62ED11EB01A}" name="Missing Athletes" dataDxfId="98">
      <calculatedColumnFormula>Table141[[#This Row],[Total Athletes]]-(LEN(Table141[[#This Row],[Team]])-LEN(SUBSTITUTE(Table141[[#This Row],[Team]],"/","")))-1</calculatedColumnFormula>
    </tableColumn>
    <tableColumn id="7" xr3:uid="{A731ABA9-3A98-4914-AB7D-87C44A25417A}" name="Total Athletes" dataDxfId="97"/>
  </tableColumns>
  <tableStyleInfo name="TableStyleLight12" showFirstColumn="0" showLastColumn="0" showRowStripes="1" showColumnStripes="0"/>
</table>
</file>

<file path=xl/tables/table1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2" xr:uid="{182D50E7-EF58-45CF-9A3F-42040EF27388}" name="Table142" displayName="Table142" ref="A1:C26" totalsRowShown="0" dataDxfId="96">
  <autoFilter ref="A1:C26" xr:uid="{182D50E7-EF58-45CF-9A3F-42040EF27388}"/>
  <sortState xmlns:xlrd2="http://schemas.microsoft.com/office/spreadsheetml/2017/richdata2" ref="A2:C2">
    <sortCondition ref="B1:B2"/>
  </sortState>
  <tableColumns count="3">
    <tableColumn id="1" xr3:uid="{9805F789-A3F0-46A8-8353-F5FD0C391C36}" name="Athlete" dataDxfId="95"/>
    <tableColumn id="2" xr3:uid="{82AE59A7-6865-48C8-84F4-B9C1ED688972}" name="Country" dataDxfId="94"/>
    <tableColumn id="3" xr3:uid="{452C9A95-E3CD-4E3C-8EDB-4EFC0F8A78AB}" name="Classification" dataDxfId="93"/>
  </tableColumns>
  <tableStyleInfo name="TableStyleLight12" showFirstColumn="0" showLastColumn="0" showRowStripes="1" showColumnStripes="0"/>
</table>
</file>

<file path=xl/tables/table1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4" xr:uid="{DF0E1B87-3E14-4297-951E-099D954C5EEC}" name="Table142145" displayName="Table142145" ref="A1:C26" totalsRowShown="0" dataDxfId="92">
  <autoFilter ref="A1:C26" xr:uid="{DF0E1B87-3E14-4297-951E-099D954C5EEC}"/>
  <sortState xmlns:xlrd2="http://schemas.microsoft.com/office/spreadsheetml/2017/richdata2" ref="A2:C2">
    <sortCondition ref="B1:B2"/>
  </sortState>
  <tableColumns count="3">
    <tableColumn id="1" xr3:uid="{86C76FB2-80CC-4583-AAF7-F8F2E0FA360E}" name="Athlete" dataDxfId="91"/>
    <tableColumn id="2" xr3:uid="{A9BD6D58-7FA5-4A76-A0F6-C4102DCCC851}" name="Country" dataDxfId="90"/>
    <tableColumn id="3" xr3:uid="{12CD4100-D642-49A1-AB19-64185DDCFCB9}" name="Classification" dataDxfId="89"/>
  </tableColumns>
  <tableStyleInfo name="TableStyleLight12" showFirstColumn="0" showLastColumn="0" showRowStripes="1" showColumnStripes="0"/>
</table>
</file>

<file path=xl/tables/table1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27C7D4E5-C84B-4A4C-A484-545AC8ABDD52}" name="Tabela15" displayName="Tabela15" ref="A1:E14" totalsRowShown="0" dataDxfId="88">
  <autoFilter ref="A1:E14" xr:uid="{27C7D4E5-C84B-4A4C-A484-545AC8ABDD52}"/>
  <sortState xmlns:xlrd2="http://schemas.microsoft.com/office/spreadsheetml/2017/richdata2" ref="A2:C2">
    <sortCondition ref="B1:B2"/>
  </sortState>
  <tableColumns count="5">
    <tableColumn id="1" xr3:uid="{231F04B6-B9F2-4284-8C95-41909C51ADA2}" name="Pair" dataDxfId="87"/>
    <tableColumn id="2" xr3:uid="{DE486C33-3D94-4967-A3C6-5CE0ECE55869}" name="Country" dataDxfId="86"/>
    <tableColumn id="3" xr3:uid="{5EAEF12D-6DBF-4CDD-AFB3-F2DBF4C2FAB7}" name="Mixed Team Classification" dataDxfId="85"/>
    <tableColumn id="4" xr3:uid="{7DE31D2F-84CE-47EC-A39C-9238083EB5E5}" name="Missing Athletes" dataDxfId="84">
      <calculatedColumnFormula>Tabela15[[#This Row],[Total Athletes]]-(LEN(Tabela15[[#This Row],[Pair]])-LEN(SUBSTITUTE(Tabela15[[#This Row],[Pair]],"/","")))-1</calculatedColumnFormula>
    </tableColumn>
    <tableColumn id="5" xr3:uid="{73EE257D-75C5-4E7A-8D8B-DBD87316B3D4}" name="Total Athletes" dataDxfId="83"/>
  </tableColumns>
  <tableStyleInfo name="TableStyleLight12" showFirstColumn="0" showLastColumn="0" showRowStripes="1" showColumnStripes="0"/>
</table>
</file>

<file path=xl/tables/table1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5" xr:uid="{FC5EA9B3-1D03-4D10-B5F2-CE157AA6F933}" name="Table145" displayName="Table145" ref="A1:D51" totalsRowShown="0" dataDxfId="82">
  <autoFilter ref="A1:D51" xr:uid="{FC5EA9B3-1D03-4D10-B5F2-CE157AA6F933}"/>
  <sortState xmlns:xlrd2="http://schemas.microsoft.com/office/spreadsheetml/2017/richdata2" ref="A2:D2">
    <sortCondition ref="B1:B2"/>
  </sortState>
  <tableColumns count="4">
    <tableColumn id="1" xr3:uid="{ED9C88EE-DDCB-43C7-A579-6B9E45D8BD3B}" name="Athlete" dataDxfId="81"/>
    <tableColumn id="2" xr3:uid="{D03A67E5-5E9E-4FAA-B019-02F983BC6A41}" name="Country" dataDxfId="80"/>
    <tableColumn id="3" xr3:uid="{2E55B399-D9E9-42CD-B33C-CCA25C8395D0}" name="Large Hill Classification" dataDxfId="79"/>
    <tableColumn id="4" xr3:uid="{ABA67B2B-527D-43CF-83D6-37DC099405A8}" name="Normal Hill Classification" dataDxfId="78"/>
  </tableColumns>
  <tableStyleInfo name="TableStyleLight12" showFirstColumn="0" showLastColumn="0" showRowStripes="1" showColumnStripes="0"/>
</table>
</file>

<file path=xl/tables/table1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7" xr:uid="{B952D865-3B29-49F3-BC74-9363CCE350A3}" name="Table145148" displayName="Table145148" ref="A1:D51" totalsRowShown="0" dataDxfId="77">
  <autoFilter ref="A1:D51" xr:uid="{B952D865-3B29-49F3-BC74-9363CCE350A3}"/>
  <sortState xmlns:xlrd2="http://schemas.microsoft.com/office/spreadsheetml/2017/richdata2" ref="A2:D2">
    <sortCondition ref="B1:B2"/>
  </sortState>
  <tableColumns count="4">
    <tableColumn id="1" xr3:uid="{54E6D818-5FDB-4D5D-A5CA-118115592766}" name="Athlete" dataDxfId="76"/>
    <tableColumn id="2" xr3:uid="{C0D4CD3F-9EB5-45A7-B133-DAC858FE8C11}" name="Country" dataDxfId="75"/>
    <tableColumn id="3" xr3:uid="{E3B14A96-07EF-47A8-89AC-09A3B81BE08D}" name="Large Hill Classification" dataDxfId="74"/>
    <tableColumn id="4" xr3:uid="{923CA09F-265A-4904-8C22-9376D0D4807B}" name="Normal Hill Classification" dataDxfId="73"/>
  </tableColumns>
  <tableStyleInfo name="TableStyleLight12" showFirstColumn="0" showLastColumn="0" showRowStripes="1" showColumnStripes="0"/>
</table>
</file>

<file path=xl/tables/table1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8" xr:uid="{FB60B721-41B6-4B26-939E-3D86EACEF51F}" name="Table148" displayName="Table148" ref="A1:E18" totalsRowShown="0" dataDxfId="72">
  <autoFilter ref="A1:E18" xr:uid="{FB60B721-41B6-4B26-939E-3D86EACEF51F}"/>
  <sortState xmlns:xlrd2="http://schemas.microsoft.com/office/spreadsheetml/2017/richdata2" ref="A2:C2">
    <sortCondition ref="B1:B2"/>
  </sortState>
  <tableColumns count="5">
    <tableColumn id="1" xr3:uid="{B33DA390-3192-4576-BCFE-1A68A1D78CCE}" name="Pair" dataDxfId="71"/>
    <tableColumn id="2" xr3:uid="{5DE4DD1E-F9AF-41DB-A6BD-56BC69EB7F01}" name="Country" dataDxfId="70"/>
    <tableColumn id="3" xr3:uid="{84C2700B-12BB-4B64-BA1F-796E8FA640EB}" name="Men's Super Team Classification" dataDxfId="69"/>
    <tableColumn id="4" xr3:uid="{FFC1F3FE-E4F4-4052-B764-12E8E87359DA}" name="Missing Athletes" dataDxfId="68">
      <calculatedColumnFormula>Table148[[#This Row],[Total Athletes]]-(LEN(Table148[[#This Row],[Pair]])-LEN(SUBSTITUTE(Table148[[#This Row],[Pair]],"/","")))-1</calculatedColumnFormula>
    </tableColumn>
    <tableColumn id="5" xr3:uid="{B8B213FA-F167-44D3-8DAE-0BAE6C751F3E}" name="Total Athletes" dataDxfId="67"/>
  </tableColumns>
  <tableStyleInfo name="TableStyleLight12" showFirstColumn="0" showLastColumn="0" showRowStripes="1" showColumnStripes="0"/>
</table>
</file>

<file path=xl/tables/table1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4" xr:uid="{8AD494BE-D15F-4F07-8B08-299A1390F263}" name="Tabela114" displayName="Tabela114" ref="A1:E13" totalsRowShown="0" dataDxfId="66">
  <autoFilter ref="A1:E13" xr:uid="{8AD494BE-D15F-4F07-8B08-299A1390F263}"/>
  <tableColumns count="5">
    <tableColumn id="1" xr3:uid="{C97910A8-7B24-4448-B65A-E3C72F1312AE}" name="Team" dataDxfId="65"/>
    <tableColumn id="2" xr3:uid="{26FDE5DB-74D6-45A9-AACC-07135E71E7BC}" name="Country" dataDxfId="64"/>
    <tableColumn id="3" xr3:uid="{D6DB0299-68B6-4D30-B555-5334402118A0}" name="Mixed Normal Hill Classification" dataDxfId="63"/>
    <tableColumn id="4" xr3:uid="{42A7A1EB-D3BC-4F88-BF6A-891E660236B7}" name="Missing Athletes" dataDxfId="62">
      <calculatedColumnFormula>Tabela114[[#This Row],[Total Athletes]]-(LEN(Tabela114[[#This Row],[Team]])-LEN(SUBSTITUTE(Tabela114[[#This Row],[Team]],"/","")))-1</calculatedColumnFormula>
    </tableColumn>
    <tableColumn id="5" xr3:uid="{BE68EA7E-02AE-4FB6-9837-63BCB19E9608}" name="Total Athletes" dataDxfId="61"/>
  </tableColumns>
  <tableStyleInfo name="TableStyleLight12" showFirstColumn="0" showLastColumn="0" showRowStripes="1" showColumnStripes="0"/>
</table>
</file>

<file path=xl/tables/table1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9712F66E-0938-49EE-8A4B-658A8CCD4000}" name="Tabela50" displayName="Tabela50" ref="A1:C19" totalsRowShown="0" dataDxfId="60">
  <autoFilter ref="A1:C19" xr:uid="{9712F66E-0938-49EE-8A4B-658A8CCD4000}"/>
  <sortState xmlns:xlrd2="http://schemas.microsoft.com/office/spreadsheetml/2017/richdata2" ref="A2:C2">
    <sortCondition ref="B1:B2"/>
  </sortState>
  <tableColumns count="3">
    <tableColumn id="1" xr3:uid="{B263FE14-24B0-47DF-825E-C55E6E6BDDBD}" name="Athlete" dataDxfId="59"/>
    <tableColumn id="2" xr3:uid="{61851887-1043-455B-936C-4F756464C46E}" name="Country" dataDxfId="58"/>
    <tableColumn id="3" xr3:uid="{E3F77A1B-03BE-46E8-8C8C-94BEFEC002F6}" name="Sprint Classification" dataDxfId="57"/>
  </tableColumns>
  <tableStyleInfo name="TableStyleLight12" showFirstColumn="0" showLastColumn="0" showRowStripes="1" showColumnStripes="0"/>
</table>
</file>

<file path=xl/tables/table1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0FD5AC52-6BA2-497C-94CA-D93746F81BFF}" name="Tabela50101" displayName="Tabela50101" ref="A1:C19" totalsRowShown="0" dataDxfId="56">
  <autoFilter ref="A1:C19" xr:uid="{0FD5AC52-6BA2-497C-94CA-D93746F81BFF}"/>
  <sortState xmlns:xlrd2="http://schemas.microsoft.com/office/spreadsheetml/2017/richdata2" ref="A2:C2">
    <sortCondition ref="B1:B2"/>
  </sortState>
  <tableColumns count="3">
    <tableColumn id="1" xr3:uid="{B27BB5DF-05CB-4319-9CE0-AC3268C8B52D}" name="Athlete" dataDxfId="55"/>
    <tableColumn id="2" xr3:uid="{2F9A0F1E-93C0-43EA-B458-E3FDA2453CFE}" name="Country" dataDxfId="54"/>
    <tableColumn id="3" xr3:uid="{B8B4BEA2-EB10-43E1-B663-13C12B559C26}" name="Sprint Classification" dataDxfId="53"/>
  </tableColumns>
  <tableStyleInfo name="TableStyleLight12" showFirstColumn="0" showLastColumn="0" showRowStripes="1" showColumnStripes="0"/>
</table>
</file>

<file path=xl/tables/table1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065175AF-4EBF-405F-8CE0-BA99155A788C}" name="Tabela103" displayName="Tabela103" ref="A1:E13" totalsRowShown="0" dataDxfId="52">
  <autoFilter ref="A1:E13" xr:uid="{065175AF-4EBF-405F-8CE0-BA99155A788C}"/>
  <sortState xmlns:xlrd2="http://schemas.microsoft.com/office/spreadsheetml/2017/richdata2" ref="A2:C2">
    <sortCondition ref="B1:B2"/>
  </sortState>
  <tableColumns count="5">
    <tableColumn id="1" xr3:uid="{89915236-53F9-47F6-8D65-6A6D93FFAA1E}" name="Pair" dataDxfId="51"/>
    <tableColumn id="2" xr3:uid="{501CE9BA-EFC5-4AC2-B4FD-692047DD2621}" name="Country" dataDxfId="50"/>
    <tableColumn id="3" xr3:uid="{FA1F1701-1F03-4D84-8DD4-484FF14C39F6}" name="Mixed Relay Classification" dataDxfId="49"/>
    <tableColumn id="4" xr3:uid="{3B8CBFE9-DCE6-4DE6-93DC-FAEFAE0BE61E}" name="Missing Athletes" dataDxfId="48">
      <calculatedColumnFormula>Tabela103[[#This Row],[Total Athletes]]-(LEN(Tabela103[[#This Row],[Pair]])-LEN(SUBSTITUTE(Tabela103[[#This Row],[Pair]],"/","")))-1</calculatedColumnFormula>
    </tableColumn>
    <tableColumn id="5" xr3:uid="{93F440CD-E5F1-40D5-8C24-A21B98AC47E7}" name="Total Athletes" dataDxfId="47"/>
  </tableColumns>
  <tableStyleInfo name="TableStyleLight12" showFirstColumn="0" showLastColumn="0" showRowStripes="1" showColumnStripes="0"/>
</table>
</file>

<file path=xl/tables/table1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9" xr:uid="{9EA575F9-2C43-42E5-B267-393FEA217F23}" name="Table149" displayName="Table149" ref="A1:G119" totalsRowShown="0" dataDxfId="46">
  <autoFilter ref="A1:G119" xr:uid="{9EA575F9-2C43-42E5-B267-393FEA217F23}"/>
  <sortState xmlns:xlrd2="http://schemas.microsoft.com/office/spreadsheetml/2017/richdata2" ref="A2:G2">
    <sortCondition ref="B1:B2"/>
  </sortState>
  <tableColumns count="7">
    <tableColumn id="1" xr3:uid="{9E974225-323D-41BA-B53B-1622B2F26729}" name="Athlete" dataDxfId="45"/>
    <tableColumn id="2" xr3:uid="{15418DED-8C1F-4BEF-82CE-B8D4B56CCB3B}" name="Country" dataDxfId="44"/>
    <tableColumn id="3" xr3:uid="{51DA7DC6-5D80-464D-887F-BDC036A3C009}" name="Big Air Classification" dataDxfId="43"/>
    <tableColumn id="4" xr3:uid="{3733AD68-8284-4AD1-846E-13A472029A53}" name="Halfpipe Classification" dataDxfId="42"/>
    <tableColumn id="5" xr3:uid="{EF58A3F4-0300-4B7C-B243-3AD73FAACA6A}" name="Parallel Giant Slalom Classification" dataDxfId="41"/>
    <tableColumn id="6" xr3:uid="{0CD12BFD-A1C4-4421-8136-694665158358}" name="Slopestyle Classification" dataDxfId="40"/>
    <tableColumn id="7" xr3:uid="{F2A26CBB-9CA8-4CE7-A2CE-07A4B2D59737}" name="Snowboard Cross Classification" dataDxfId="39"/>
  </tableColumns>
  <tableStyleInfo name="TableStyleLight12" showFirstColumn="0" showLastColumn="0" showRowStripes="1" showColumnStripes="0"/>
</table>
</file>

<file path=xl/tables/table1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1" xr:uid="{C002EF01-3C51-4B95-AC4E-F882E7AE809E}" name="Table149152" displayName="Table149152" ref="A1:G120" totalsRowShown="0" dataDxfId="38">
  <autoFilter ref="A1:G120" xr:uid="{C002EF01-3C51-4B95-AC4E-F882E7AE809E}"/>
  <sortState xmlns:xlrd2="http://schemas.microsoft.com/office/spreadsheetml/2017/richdata2" ref="A2:G2">
    <sortCondition ref="B1:B2"/>
  </sortState>
  <tableColumns count="7">
    <tableColumn id="1" xr3:uid="{B44A5866-EF0C-4B14-B0E3-D5B07CCA32BD}" name="Athlete" dataDxfId="37"/>
    <tableColumn id="2" xr3:uid="{14513327-F858-4586-8424-CEA01D9A58FF}" name="Country" dataDxfId="36"/>
    <tableColumn id="3" xr3:uid="{9B9EEE3D-CC04-425C-BF9F-3E6074C4D06B}" name="Big Air Classification" dataDxfId="35"/>
    <tableColumn id="4" xr3:uid="{3C6C045A-B448-4FB0-B264-E796219BEBAE}" name="Halfpipe Classification" dataDxfId="34"/>
    <tableColumn id="5" xr3:uid="{BF6FA891-2FAD-4846-B0C4-1C0EB9AEB1F2}" name="Parallel Giant Slalom Classification" dataDxfId="33"/>
    <tableColumn id="6" xr3:uid="{E9235C5E-6520-4C0F-AC08-B4768077003D}" name="Slopestyle Classification" dataDxfId="32"/>
    <tableColumn id="7" xr3:uid="{96BE82FC-91F2-475E-A73E-8EB17700E4D9}" name="Snowboard Cross Classification" dataDxfId="31"/>
  </tableColumns>
  <tableStyleInfo name="TableStyleLight12" showFirstColumn="0" showLastColumn="0" showRowStripes="1" showColumnStripes="0"/>
</table>
</file>

<file path=xl/tables/table1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3" xr:uid="{109FBE9B-6A37-4A85-9F3C-D1B71EE8A8AA}" name="Table153" displayName="Table153" ref="A1:E17" totalsRowShown="0" dataDxfId="30">
  <autoFilter ref="A1:E17" xr:uid="{109FBE9B-6A37-4A85-9F3C-D1B71EE8A8AA}"/>
  <sortState xmlns:xlrd2="http://schemas.microsoft.com/office/spreadsheetml/2017/richdata2" ref="A2:C2">
    <sortCondition ref="B1:B2"/>
  </sortState>
  <tableColumns count="5">
    <tableColumn id="1" xr3:uid="{34083E72-F35B-4B7A-9A7C-5151C4296EAC}" name="Pair" dataDxfId="29"/>
    <tableColumn id="2" xr3:uid="{0103E07B-5E6B-48B6-B196-4B1F6C5AA317}" name="Country" dataDxfId="28"/>
    <tableColumn id="3" xr3:uid="{E273263F-8D8B-47F0-8E99-C470EAC6A8BD}" name="Mixed Team Snowboard Cross Classification" dataDxfId="27"/>
    <tableColumn id="4" xr3:uid="{B716F408-C1AF-42FB-9822-00CEDFF2CE6B}" name="Missing Athletes" dataDxfId="26">
      <calculatedColumnFormula>Table153[[#This Row],[Total Athletes]]-(LEN(Table153[[#This Row],[Pair]])-LEN(SUBSTITUTE(Table153[[#This Row],[Pair]],"/","")))-1</calculatedColumnFormula>
    </tableColumn>
    <tableColumn id="5" xr3:uid="{0F7AE675-71DE-4369-B225-1C614EB2CD3C}" name="Total Athletes" dataDxfId="25"/>
  </tableColumns>
  <tableStyleInfo name="TableStyleLight12" showFirstColumn="0" showLastColumn="0" showRowStripes="1" showColumnStripes="0"/>
</table>
</file>

<file path=xl/tables/table1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4" xr:uid="{07AB054C-AF42-4283-B3BA-0EE148BE9AE7}" name="Table154" displayName="Table154" ref="A1:H122" totalsRowShown="0" dataDxfId="24">
  <autoFilter ref="A1:H122" xr:uid="{07AB054C-AF42-4283-B3BA-0EE148BE9AE7}"/>
  <sortState xmlns:xlrd2="http://schemas.microsoft.com/office/spreadsheetml/2017/richdata2" ref="A2:H2">
    <sortCondition ref="B1:B2"/>
  </sortState>
  <tableColumns count="8">
    <tableColumn id="1" xr3:uid="{11010380-0812-4D29-A930-7324EE38121B}" name="Athlete" dataDxfId="23"/>
    <tableColumn id="2" xr3:uid="{6B618B24-F20D-4ADA-B433-7FE146204320}" name="Country" dataDxfId="22"/>
    <tableColumn id="3" xr3:uid="{BC5D5829-6153-4000-808A-9D0CC607BFC0}" name="500m Classification" dataDxfId="21"/>
    <tableColumn id="4" xr3:uid="{037953BA-2104-40D8-AA3A-B3894F9DB7B9}" name="1000m Classification" dataDxfId="20"/>
    <tableColumn id="5" xr3:uid="{2227F466-E9AF-4BBB-AC5C-4B2CB69A8811}" name="1500m Classification" dataDxfId="19"/>
    <tableColumn id="6" xr3:uid="{486858C1-46BC-4EF6-972F-DDF9CFAD93E4}" name="5000m Classification" dataDxfId="18"/>
    <tableColumn id="7" xr3:uid="{23F558DC-9708-4BA6-810C-784B9EC6EA61}" name="10000m Classification" dataDxfId="17"/>
    <tableColumn id="8" xr3:uid="{BDA39121-ECAF-4CC3-AAED-BDC63EDA8A30}" name="Mass Start Classification" dataDxfId="16"/>
  </tableColumns>
  <tableStyleInfo name="TableStyleLight12" showFirstColumn="0" showLastColumn="0" showRowStripes="1" showColumnStripes="0"/>
</table>
</file>

<file path=xl/tables/table1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6" xr:uid="{5385E358-2963-4F94-8375-23DFCDD315EC}" name="Table154157" displayName="Table154157" ref="A1:H119" totalsRowShown="0" dataDxfId="15">
  <autoFilter ref="A1:H119" xr:uid="{5385E358-2963-4F94-8375-23DFCDD315EC}"/>
  <sortState xmlns:xlrd2="http://schemas.microsoft.com/office/spreadsheetml/2017/richdata2" ref="A2:H2">
    <sortCondition ref="B1:B2"/>
  </sortState>
  <tableColumns count="8">
    <tableColumn id="1" xr3:uid="{94AB97E0-6270-4DFA-AE3F-0F7A2520F744}" name="Athlete" dataDxfId="14"/>
    <tableColumn id="2" xr3:uid="{3267BAC3-2FF8-462C-A92F-58E4D95F21FC}" name="Country" dataDxfId="13"/>
    <tableColumn id="3" xr3:uid="{4B70D766-E344-4310-981C-3A90A4048B95}" name="500m Classification" dataDxfId="12"/>
    <tableColumn id="4" xr3:uid="{B43A07CE-1AE7-4A83-92A2-5225101EF89D}" name="1000m Classification" dataDxfId="11"/>
    <tableColumn id="5" xr3:uid="{6D8E5793-AB93-4C33-90C8-7EA0BAA41F80}" name="1500m Classification" dataDxfId="10"/>
    <tableColumn id="6" xr3:uid="{99AE0ED4-ACA6-4140-B077-1EF6D8ADDE89}" name="3000m Classification" dataDxfId="9"/>
    <tableColumn id="7" xr3:uid="{C79E409D-7D58-4570-AB80-642CB2889070}" name="5000m Classification" dataDxfId="8"/>
    <tableColumn id="8" xr3:uid="{70A12E02-60B7-429B-A34B-5CA98ADAB420}" name="Mass Start Classification" dataDxfId="7"/>
  </tableColumns>
  <tableStyleInfo name="TableStyleLight12" showFirstColumn="0" showLastColumn="0" showRowStripes="1" showColumnStripes="0"/>
</table>
</file>

<file path=xl/tables/table1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7" xr:uid="{D8E7080E-37B8-4303-85E7-38D0B4B30241}" name="Table157" displayName="Table157" ref="A1:F17" totalsRowShown="0" dataDxfId="6">
  <autoFilter ref="A1:F17" xr:uid="{D8E7080E-37B8-4303-85E7-38D0B4B30241}"/>
  <sortState xmlns:xlrd2="http://schemas.microsoft.com/office/spreadsheetml/2017/richdata2" ref="A2:D2">
    <sortCondition ref="B1:B2"/>
  </sortState>
  <tableColumns count="6">
    <tableColumn id="1" xr3:uid="{04F7382A-6C77-4B47-A240-BE5F519089CC}" name="Team" dataDxfId="5"/>
    <tableColumn id="2" xr3:uid="{EE6A183A-E71A-4926-9546-D05B2A93453F}" name="Country" dataDxfId="4"/>
    <tableColumn id="3" xr3:uid="{5585DF41-09E6-4354-95C2-BBC7F3CD7DFF}" name="Men's Pursuit Classification" dataDxfId="3"/>
    <tableColumn id="4" xr3:uid="{86718A1F-07E1-4850-B83F-F65724B2719E}" name="Women's Pursuit Classification" dataDxfId="2"/>
    <tableColumn id="5" xr3:uid="{77433A04-229B-4FA1-A452-D0AAB6269463}" name="Missing Athletes" dataDxfId="1">
      <calculatedColumnFormula>Table157[[#This Row],[Total Athletes]]-(LEN(Table157[[#This Row],[Team]])-LEN(SUBSTITUTE(Table157[[#This Row],[Team]],"/","")))-1</calculatedColumnFormula>
    </tableColumn>
    <tableColumn id="6" xr3:uid="{22CA7288-FA29-4A23-966F-4F1728020ED3}" name="Total Athletes" dataDxfId="0"/>
  </tableColumns>
  <tableStyleInfo name="TableStyleLight1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Roxo II">
      <a:dk1>
        <a:sysClr val="windowText" lastClr="000000"/>
      </a:dk1>
      <a:lt1>
        <a:sysClr val="window" lastClr="FFFFFF"/>
      </a:lt1>
      <a:dk2>
        <a:srgbClr val="632E62"/>
      </a:dk2>
      <a:lt2>
        <a:srgbClr val="EAE5EB"/>
      </a:lt2>
      <a:accent1>
        <a:srgbClr val="92278F"/>
      </a:accent1>
      <a:accent2>
        <a:srgbClr val="9B57D3"/>
      </a:accent2>
      <a:accent3>
        <a:srgbClr val="755DD9"/>
      </a:accent3>
      <a:accent4>
        <a:srgbClr val="665EB8"/>
      </a:accent4>
      <a:accent5>
        <a:srgbClr val="45A5ED"/>
      </a:accent5>
      <a:accent6>
        <a:srgbClr val="5982DB"/>
      </a:accent6>
      <a:hlink>
        <a:srgbClr val="0066FF"/>
      </a:hlink>
      <a:folHlink>
        <a:srgbClr val="666699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upload.wikimedia.org/wikipedia/commons/thumb/5/5c/Flag_of_Greece.svg/188px-Flag_of_Greece.svg.png" TargetMode="External"/><Relationship Id="rId21" Type="http://schemas.openxmlformats.org/officeDocument/2006/relationships/hyperlink" Target="https://upload.wikimedia.org/wikipedia/commons/thumb/f/f6/Flag_of_Iraq.svg/188px-Flag_of_Iraq.svg.png" TargetMode="External"/><Relationship Id="rId42" Type="http://schemas.openxmlformats.org/officeDocument/2006/relationships/hyperlink" Target="https://upload.wikimedia.org/wikipedia/commons/thumb/4/4a/Flag_of_Lesotho.svg/188px-Flag_of_Lesotho.svg.png" TargetMode="External"/><Relationship Id="rId63" Type="http://schemas.openxmlformats.org/officeDocument/2006/relationships/hyperlink" Target="https://upload.wikimedia.org/wikipedia/commons/thumb/6/6f/Flag_of_the_Central_African_Republic.svg/188px-Flag_of_the_Central_African_Republic.svg.png" TargetMode="External"/><Relationship Id="rId84" Type="http://schemas.openxmlformats.org/officeDocument/2006/relationships/hyperlink" Target="https://upload.wikimedia.org/wikipedia/commons/thumb/3/31/Flag_of_Burkina_Faso.svg/188px-Flag_of_Burkina_Faso.svg.png" TargetMode="External"/><Relationship Id="rId138" Type="http://schemas.openxmlformats.org/officeDocument/2006/relationships/hyperlink" Target="https://upload.wikimedia.org/wikipedia/commons/thumb/0/08/Flag_of_Switzerland_%28Pantone%29.svg/188px-Flag_of_Switzerland_%28Pantone%29.svg.png" TargetMode="External"/><Relationship Id="rId159" Type="http://schemas.openxmlformats.org/officeDocument/2006/relationships/hyperlink" Target="https://upload.wikimedia.org/wikipedia/commons/thumb/5/56/Flag_of_Laos.svg/188px-Flag_of_Laos.svg.png" TargetMode="External"/><Relationship Id="rId170" Type="http://schemas.openxmlformats.org/officeDocument/2006/relationships/hyperlink" Target="https://upload.wikimedia.org/wikipedia/commons/thumb/f/fe/Flag_of_Egypt.svg/188px-Flag_of_Egypt.svg.png" TargetMode="External"/><Relationship Id="rId191" Type="http://schemas.openxmlformats.org/officeDocument/2006/relationships/hyperlink" Target="https://upload.wikimedia.org/wikipedia/en/thumb/b/ba/Flag_of_Germany.svg/188px-Flag_of_Germany.svg.png" TargetMode="External"/><Relationship Id="rId205" Type="http://schemas.openxmlformats.org/officeDocument/2006/relationships/hyperlink" Target="https://upload.wikimedia.org/wikipedia/commons/thumb/f/fb/Flag_of_Eswatini.svg/1200px-Flag_of_Eswatini.svg.png" TargetMode="External"/><Relationship Id="rId107" Type="http://schemas.openxmlformats.org/officeDocument/2006/relationships/hyperlink" Target="https://upload.wikimedia.org/wikipedia/commons/thumb/f/f9/Flag_of_Bangladesh.svg/188px-Flag_of_Bangladesh.svg.png" TargetMode="External"/><Relationship Id="rId11" Type="http://schemas.openxmlformats.org/officeDocument/2006/relationships/hyperlink" Target="https://upload.wikimedia.org/wikipedia/commons/thumb/f/f8/Flag_of_the_United_States_Virgin_Islands.svg/188px-Flag_of_the_United_States_Virgin_Islands.svg.png" TargetMode="External"/><Relationship Id="rId32" Type="http://schemas.openxmlformats.org/officeDocument/2006/relationships/hyperlink" Target="https://upload.wikimedia.org/wikipedia/commons/thumb/9/94/Flag_of_the_Comoros.svg/188px-Flag_of_the_Comoros.svg.png" TargetMode="External"/><Relationship Id="rId53" Type="http://schemas.openxmlformats.org/officeDocument/2006/relationships/hyperlink" Target="https://upload.wikimedia.org/wikipedia/commons/thumb/7/7a/Flag_of_South_Sudan.svg/188px-Flag_of_South_Sudan.svg.png" TargetMode="External"/><Relationship Id="rId74" Type="http://schemas.openxmlformats.org/officeDocument/2006/relationships/hyperlink" Target="https://upload.wikimedia.org/wikipedia/commons/thumb/2/28/Flag_of_Puerto_Rico.svg/188px-Flag_of_Puerto_Rico.svg.png" TargetMode="External"/><Relationship Id="rId128" Type="http://schemas.openxmlformats.org/officeDocument/2006/relationships/hyperlink" Target="https://upload.wikimedia.org/wikipedia/commons/thumb/f/f6/Flag_of_Aruba.svg/188px-Flag_of_Aruba.svg.png" TargetMode="External"/><Relationship Id="rId149" Type="http://schemas.openxmlformats.org/officeDocument/2006/relationships/hyperlink" Target="https://upload.wikimedia.org/wikipedia/commons/thumb/e/ef/Flag_of_Barbados.svg/188px-Flag_of_Barbados.svg.png" TargetMode="External"/><Relationship Id="rId5" Type="http://schemas.openxmlformats.org/officeDocument/2006/relationships/hyperlink" Target="https://upload.wikimedia.org/wikipedia/commons/thumb/5/51/Flag_of_North_Korea.svg/188px-Flag_of_North_Korea.svg.png" TargetMode="External"/><Relationship Id="rId95" Type="http://schemas.openxmlformats.org/officeDocument/2006/relationships/hyperlink" Target="https://upload.wikimedia.org/wikipedia/commons/thumb/d/d4/Flag_of_Cyprus.svg/188px-Flag_of_Cyprus.svg.png" TargetMode="External"/><Relationship Id="rId160" Type="http://schemas.openxmlformats.org/officeDocument/2006/relationships/hyperlink" Target="https://upload.wikimedia.org/wikipedia/commons/thumb/8/83/Flag_of_Cambodia.svg/188px-Flag_of_Cambodia.svg.png" TargetMode="External"/><Relationship Id="rId181" Type="http://schemas.openxmlformats.org/officeDocument/2006/relationships/hyperlink" Target="https://upload.wikimedia.org/wikipedia/commons/thumb/9/93/Flag_of_the_Bahamas.svg/188px-Flag_of_the_Bahamas.svg.png" TargetMode="External"/><Relationship Id="rId22" Type="http://schemas.openxmlformats.org/officeDocument/2006/relationships/hyperlink" Target="https://upload.wikimedia.org/wikipedia/commons/thumb/c/ce/Flag_of_Iceland.svg/188px-Flag_of_Iceland.svg.png" TargetMode="External"/><Relationship Id="rId43" Type="http://schemas.openxmlformats.org/officeDocument/2006/relationships/hyperlink" Target="https://upload.wikimedia.org/wikipedia/commons/thumb/a/aa/Flag_of_Kuwait.svg/188px-Flag_of_Kuwait.svg.png" TargetMode="External"/><Relationship Id="rId64" Type="http://schemas.openxmlformats.org/officeDocument/2006/relationships/hyperlink" Target="https://upload.wikimedia.org/wikipedia/commons/thumb/7/72/Flag_of_the_Republic_of_China.svg/188px-Flag_of_the_Republic_of_China.svg.png" TargetMode="External"/><Relationship Id="rId118" Type="http://schemas.openxmlformats.org/officeDocument/2006/relationships/hyperlink" Target="https://upload.wikimedia.org/wikipedia/commons/thumb/7/79/Flag_of_Nigeria.svg/195px-Flag_of_Nigeria.svg.png" TargetMode="External"/><Relationship Id="rId139" Type="http://schemas.openxmlformats.org/officeDocument/2006/relationships/hyperlink" Target="https://upload.wikimedia.org/wikipedia/commons/thumb/6/65/Flag_of_Belgium.svg/188px-Flag_of_Belgium.svg.png" TargetMode="External"/><Relationship Id="rId85" Type="http://schemas.openxmlformats.org/officeDocument/2006/relationships/hyperlink" Target="https://upload.wikimedia.org/wikipedia/commons/thumb/0/0a/Flag_of_Benin.svg/188px-Flag_of_Benin.svg.png" TargetMode="External"/><Relationship Id="rId150" Type="http://schemas.openxmlformats.org/officeDocument/2006/relationships/hyperlink" Target="https://upload.wikimedia.org/wikipedia/commons/thumb/9/9a/Flag_of_Tonga.svg/188px-Flag_of_Tonga.svg.png" TargetMode="External"/><Relationship Id="rId171" Type="http://schemas.openxmlformats.org/officeDocument/2006/relationships/hyperlink" Target="https://upload.wikimedia.org/wikipedia/commons/thumb/f/fd/Flag_of_Senegal.svg/188px-Flag_of_Senegal.svg.png" TargetMode="External"/><Relationship Id="rId192" Type="http://schemas.openxmlformats.org/officeDocument/2006/relationships/hyperlink" Target="https://upload.wikimedia.org/wikipedia/en/thumb/0/05/Flag_of_Brazil.svg/188px-Flag_of_Brazil.svg.png" TargetMode="External"/><Relationship Id="rId206" Type="http://schemas.openxmlformats.org/officeDocument/2006/relationships/hyperlink" Target="https://upload.wikimedia.org/wikipedia/commons/thumb/d/d9/Flag_of_Canada_%28Pantone%29.svg/188px-Flag_of_Canada_%28Pantone%29.svg.png" TargetMode="External"/><Relationship Id="rId12" Type="http://schemas.openxmlformats.org/officeDocument/2006/relationships/hyperlink" Target="https://upload.wikimedia.org/wikipedia/commons/thumb/8/89/Flag_of_Yemen.svg/188px-Flag_of_Yemen.svg.png" TargetMode="External"/><Relationship Id="rId33" Type="http://schemas.openxmlformats.org/officeDocument/2006/relationships/hyperlink" Target="https://upload.wikimedia.org/wikipedia/commons/thumb/9/9f/Flag_of_the_Dominican_Republic.svg/188px-Flag_of_the_Dominican_Republic.svg.png" TargetMode="External"/><Relationship Id="rId108" Type="http://schemas.openxmlformats.org/officeDocument/2006/relationships/hyperlink" Target="https://upload.wikimedia.org/wikipedia/commons/thumb/9/91/Flag_of_Bhutan.svg/188px-Flag_of_Bhutan.svg.png" TargetMode="External"/><Relationship Id="rId129" Type="http://schemas.openxmlformats.org/officeDocument/2006/relationships/hyperlink" Target="https://upload.wikimedia.org/wikipedia/commons/thumb/6/6d/Flag_of_Saint_Vincent_and_the_Grenadines.svg/188px-Flag_of_Saint_Vincent_and_the_Grenadines.svg.png" TargetMode="External"/><Relationship Id="rId54" Type="http://schemas.openxmlformats.org/officeDocument/2006/relationships/hyperlink" Target="https://upload.wikimedia.org/wikipedia/commons/thumb/e/ec/Flag_of_Guatemala.svg/188px-Flag_of_Guatemala.svg.png" TargetMode="External"/><Relationship Id="rId75" Type="http://schemas.openxmlformats.org/officeDocument/2006/relationships/hyperlink" Target="https://upload.wikimedia.org/wikipedia/commons/thumb/b/bc/Flag_of_Finland.svg/188px-Flag_of_Finland.svg.png" TargetMode="External"/><Relationship Id="rId96" Type="http://schemas.openxmlformats.org/officeDocument/2006/relationships/hyperlink" Target="https://upload.wikimedia.org/wikipedia/commons/thumb/b/b4/Flag_of_Turkey.svg/188px-Flag_of_Turkey.svg.png" TargetMode="External"/><Relationship Id="rId140" Type="http://schemas.openxmlformats.org/officeDocument/2006/relationships/hyperlink" Target="https://upload.wikimedia.org/wikipedia/commons/thumb/2/2c/Flag_of_Morocco.svg/188px-Flag_of_Morocco.svg.png" TargetMode="External"/><Relationship Id="rId161" Type="http://schemas.openxmlformats.org/officeDocument/2006/relationships/hyperlink" Target="https://upload.wikimedia.org/wikipedia/commons/thumb/a/a9/Flag_of_Thailand.svg/188px-Flag_of_Thailand.svg.png" TargetMode="External"/><Relationship Id="rId182" Type="http://schemas.openxmlformats.org/officeDocument/2006/relationships/hyperlink" Target="https://upload.wikimedia.org/wikipedia/commons/thumb/8/89/Flag_of_Antigua_and_Barbuda.svg/188px-Flag_of_Antigua_and_Barbuda.svg.png" TargetMode="External"/><Relationship Id="rId6" Type="http://schemas.openxmlformats.org/officeDocument/2006/relationships/hyperlink" Target="https://upload.wikimedia.org/wikipedia/commons/thumb/d/dd/Flag_of_Oman.svg/188px-Flag_of_Oman.svg.png" TargetMode="External"/><Relationship Id="rId23" Type="http://schemas.openxmlformats.org/officeDocument/2006/relationships/hyperlink" Target="https://upload.wikimedia.org/wikipedia/commons/thumb/5/5b/Flag_of_Hong_Kong.svg/188px-Flag_of_Hong_Kong.svg.png" TargetMode="External"/><Relationship Id="rId119" Type="http://schemas.openxmlformats.org/officeDocument/2006/relationships/hyperlink" Target="https://upload.wikimedia.org/wikipedia/commons/thumb/2/27/Flag_of_Moldova.svg/188px-Flag_of_Moldova.svg.png" TargetMode="External"/><Relationship Id="rId44" Type="http://schemas.openxmlformats.org/officeDocument/2006/relationships/hyperlink" Target="https://upload.wikimedia.org/wikipedia/commons/thumb/d/d3/Flag_of_Kiribati.svg/188px-Flag_of_Kiribati.svg.png" TargetMode="External"/><Relationship Id="rId65" Type="http://schemas.openxmlformats.org/officeDocument/2006/relationships/hyperlink" Target="https://upload.wikimedia.org/wikipedia/commons/thumb/3/35/Flag_of_the_Cook_Islands.svg/188px-Flag_of_the_Cook_Islands.svg.png" TargetMode="External"/><Relationship Id="rId86" Type="http://schemas.openxmlformats.org/officeDocument/2006/relationships/hyperlink" Target="https://upload.wikimedia.org/wikipedia/commons/thumb/0/06/Flag_of_Zambia.svg/188px-Flag_of_Zambia.svg.png" TargetMode="External"/><Relationship Id="rId130" Type="http://schemas.openxmlformats.org/officeDocument/2006/relationships/hyperlink" Target="https://upload.wikimedia.org/wikipedia/commons/thumb/6/64/Flag_of_Trinidad_and_Tobago.svg/188px-Flag_of_Trinidad_and_Tobago.svg.png" TargetMode="External"/><Relationship Id="rId151" Type="http://schemas.openxmlformats.org/officeDocument/2006/relationships/hyperlink" Target="https://upload.wikimedia.org/wikipedia/commons/thumb/b/ba/Flag_of_Fiji.svg/188px-Flag_of_Fiji.svg.png" TargetMode="External"/><Relationship Id="rId172" Type="http://schemas.openxmlformats.org/officeDocument/2006/relationships/hyperlink" Target="https://upload.wikimedia.org/wikipedia/en/thumb/1/12/Flag_of_Poland.svg/188px-Flag_of_Poland.svg.png" TargetMode="External"/><Relationship Id="rId193" Type="http://schemas.openxmlformats.org/officeDocument/2006/relationships/hyperlink" Target="https://upload.wikimedia.org/wikipedia/commons/thumb/5/53/Flag_of_Syria.svg/188px-Flag_of_Syria.svg.png" TargetMode="External"/><Relationship Id="rId207" Type="http://schemas.openxmlformats.org/officeDocument/2006/relationships/hyperlink" Target="https://upload.wikimedia.org/wikipedia/en/thumb/f/f3/Flag_of_Russia.svg/1920px-Flag_of_Russia.svg.png" TargetMode="External"/><Relationship Id="rId13" Type="http://schemas.openxmlformats.org/officeDocument/2006/relationships/hyperlink" Target="https://upload.wikimedia.org/wikipedia/commons/thumb/6/6a/Flag_of_Zimbabwe.svg/188px-Flag_of_Zimbabwe.svg.png" TargetMode="External"/><Relationship Id="rId109" Type="http://schemas.openxmlformats.org/officeDocument/2006/relationships/hyperlink" Target="https://upload.wikimedia.org/wikipedia/commons/thumb/9/9b/Flag_of_Nepal.svg/143px-Flag_of_Nepal.svg.png" TargetMode="External"/><Relationship Id="rId34" Type="http://schemas.openxmlformats.org/officeDocument/2006/relationships/hyperlink" Target="https://upload.wikimedia.org/wikipedia/commons/thumb/b/bd/Flag_of_Cuba.svg/188px-Flag_of_Cuba.svg.png" TargetMode="External"/><Relationship Id="rId55" Type="http://schemas.openxmlformats.org/officeDocument/2006/relationships/hyperlink" Target="https://upload.wikimedia.org/wikipedia/commons/thumb/3/34/Flag_of_El_Salvador.svg/188px-Flag_of_El_Salvador.svg.png" TargetMode="External"/><Relationship Id="rId76" Type="http://schemas.openxmlformats.org/officeDocument/2006/relationships/hyperlink" Target="https://upload.wikimedia.org/wikipedia/commons/thumb/f/f0/Flag_of_Slovenia.svg/188px-Flag_of_Slovenia.svg.png" TargetMode="External"/><Relationship Id="rId97" Type="http://schemas.openxmlformats.org/officeDocument/2006/relationships/hyperlink" Target="https://upload.wikimedia.org/wikipedia/commons/thumb/0/0f/Flag_of_Georgia.svg/188px-Flag_of_Georgia.svg.png" TargetMode="External"/><Relationship Id="rId120" Type="http://schemas.openxmlformats.org/officeDocument/2006/relationships/hyperlink" Target="https://upload.wikimedia.org/wikipedia/commons/thumb/f/fc/Flag_of_Seychelles.svg/188px-Flag_of_Seychelles.svg.png" TargetMode="External"/><Relationship Id="rId141" Type="http://schemas.openxmlformats.org/officeDocument/2006/relationships/hyperlink" Target="https://upload.wikimedia.org/wikipedia/commons/thumb/f/f2/Flag_of_Costa_Rica.svg/188px-Flag_of_Costa_Rica.svg.png" TargetMode="External"/><Relationship Id="rId7" Type="http://schemas.openxmlformats.org/officeDocument/2006/relationships/hyperlink" Target="https://upload.wikimedia.org/wikipedia/commons/thumb/a/ab/Flag_of_Panama.svg/188px-Flag_of_Panama.svg.png" TargetMode="External"/><Relationship Id="rId162" Type="http://schemas.openxmlformats.org/officeDocument/2006/relationships/hyperlink" Target="https://upload.wikimedia.org/wikipedia/commons/thumb/1/11/Flag_of_Lithuania.svg/188px-Flag_of_Lithuania.svg.png" TargetMode="External"/><Relationship Id="rId183" Type="http://schemas.openxmlformats.org/officeDocument/2006/relationships/hyperlink" Target="https://upload.wikimedia.org/wikipedia/commons/thumb/8/88/Flag_of_Australia_%28converted%29.svg/188px-Flag_of_Australia_%28converted%29.svg.png" TargetMode="External"/><Relationship Id="rId24" Type="http://schemas.openxmlformats.org/officeDocument/2006/relationships/hyperlink" Target="https://upload.wikimedia.org/wikipedia/commons/thumb/d/dd/Flag_of_Azerbaijan.svg/188px-Flag_of_Azerbaijan.svg.png" TargetMode="External"/><Relationship Id="rId40" Type="http://schemas.openxmlformats.org/officeDocument/2006/relationships/hyperlink" Target="https://upload.wikimedia.org/wikipedia/commons/thumb/d/da/Flag_of_Luxembourg.svg/188px-Flag_of_Luxembourg.svg.png" TargetMode="External"/><Relationship Id="rId45" Type="http://schemas.openxmlformats.org/officeDocument/2006/relationships/hyperlink" Target="https://upload.wikimedia.org/wikipedia/commons/thumb/c/c0/Flag_of_Jordan.svg/188px-Flag_of_Jordan.svg.png" TargetMode="External"/><Relationship Id="rId66" Type="http://schemas.openxmlformats.org/officeDocument/2006/relationships/hyperlink" Target="https://upload.wikimedia.org/wikipedia/commons/thumb/4/4b/Flag_of_Chad.svg/188px-Flag_of_Chad.svg.png" TargetMode="External"/><Relationship Id="rId87" Type="http://schemas.openxmlformats.org/officeDocument/2006/relationships/hyperlink" Target="https://upload.wikimedia.org/wikipedia/commons/thumb/5/50/Flag_of_Burundi.svg/188px-Flag_of_Burundi.svg.png" TargetMode="External"/><Relationship Id="rId110" Type="http://schemas.openxmlformats.org/officeDocument/2006/relationships/hyperlink" Target="https://upload.wikimedia.org/wikipedia/commons/thumb/3/32/Flag_of_Pakistan.svg/188px-Flag_of_Pakistan.svg.png" TargetMode="External"/><Relationship Id="rId115" Type="http://schemas.openxmlformats.org/officeDocument/2006/relationships/hyperlink" Target="https://upload.wikimedia.org/wikipedia/commons/thumb/c/c7/Flag_of_Kyrgyzstan.svg/188px-Flag_of_Kyrgyzstan.svg.png" TargetMode="External"/><Relationship Id="rId131" Type="http://schemas.openxmlformats.org/officeDocument/2006/relationships/hyperlink" Target="https://upload.wikimedia.org/wikipedia/commons/thumb/0/06/Flag_of_Venezuela.svg/188px-Flag_of_Venezuela.svg.png" TargetMode="External"/><Relationship Id="rId136" Type="http://schemas.openxmlformats.org/officeDocument/2006/relationships/hyperlink" Target="https://upload.wikimedia.org/wikipedia/commons/thumb/4/4f/Flag_of_Cameroon.svg/188px-Flag_of_Cameroon.svg.png" TargetMode="External"/><Relationship Id="rId157" Type="http://schemas.openxmlformats.org/officeDocument/2006/relationships/hyperlink" Target="https://upload.wikimedia.org/wikipedia/commons/thumb/9/99/Flag_of_the_Philippines.svg/195px-Flag_of_the_Philippines.svg.png" TargetMode="External"/><Relationship Id="rId178" Type="http://schemas.openxmlformats.org/officeDocument/2006/relationships/hyperlink" Target="https://upload.wikimedia.org/wikipedia/commons/thumb/0/0a/Flag_of_Jamaica.svg/188px-Flag_of_Jamaica.svg.png" TargetMode="External"/><Relationship Id="rId61" Type="http://schemas.openxmlformats.org/officeDocument/2006/relationships/hyperlink" Target="https://upload.wikimedia.org/wikipedia/commons/thumb/0/04/Flag_of_Gabon.svg/188px-Flag_of_Gabon.svg.png" TargetMode="External"/><Relationship Id="rId82" Type="http://schemas.openxmlformats.org/officeDocument/2006/relationships/hyperlink" Target="https://upload.wikimedia.org/wikipedia/commons/thumb/4/43/Flag_of_Mauritania.svg/188px-Flag_of_Mauritania.svg.png" TargetMode="External"/><Relationship Id="rId152" Type="http://schemas.openxmlformats.org/officeDocument/2006/relationships/hyperlink" Target="https://upload.wikimedia.org/wikipedia/commons/thumb/b/bc/Flag_of_Vanuatu.svg/188px-Flag_of_Vanuatu.svg.png" TargetMode="External"/><Relationship Id="rId173" Type="http://schemas.openxmlformats.org/officeDocument/2006/relationships/hyperlink" Target="https://upload.wikimedia.org/wikipedia/commons/thumb/7/71/Flag_of_Ethiopia.svg/188px-Flag_of_Ethiopia.svg.png" TargetMode="External"/><Relationship Id="rId194" Type="http://schemas.openxmlformats.org/officeDocument/2006/relationships/hyperlink" Target="https://upload.wikimedia.org/wikipedia/en/thumb/9/9e/Flag_of_Japan.svg/188px-Flag_of_Japan.svg.png" TargetMode="External"/><Relationship Id="rId199" Type="http://schemas.openxmlformats.org/officeDocument/2006/relationships/hyperlink" Target="https://upload.wikimedia.org/wikipedia/commons/thumb/a/a9/Flag_of_the_United_States_%28DoS_ECA_Color_Standard%29.svg/188px-Flag_of_the_United_States_%28DoS_ECA_Color_Standard%29.svg.png" TargetMode="External"/><Relationship Id="rId203" Type="http://schemas.openxmlformats.org/officeDocument/2006/relationships/hyperlink" Target="https://upload.wikimedia.org/wikipedia/commons/thumb/1/1b/Flag_of_Croatia.svg/188px-Flag_of_Croatia.svg.png" TargetMode="External"/><Relationship Id="rId208" Type="http://schemas.openxmlformats.org/officeDocument/2006/relationships/table" Target="../tables/table1.xml"/><Relationship Id="rId19" Type="http://schemas.openxmlformats.org/officeDocument/2006/relationships/hyperlink" Target="https://upload.wikimedia.org/wikipedia/commons/thumb/7/73/Flag_of_Malta.svg/188px-Flag_of_Malta.svg.png" TargetMode="External"/><Relationship Id="rId14" Type="http://schemas.openxmlformats.org/officeDocument/2006/relationships/hyperlink" Target="https://upload.wikimedia.org/wikipedia/commons/thumb/0/00/Flag_of_Namibia.svg/188px-Flag_of_Namibia.svg.png" TargetMode="External"/><Relationship Id="rId30" Type="http://schemas.openxmlformats.org/officeDocument/2006/relationships/hyperlink" Target="https://upload.wikimedia.org/wikipedia/commons/thumb/9/9c/Flag_of_Brunei.svg/188px-Flag_of_Brunei.svg.png" TargetMode="External"/><Relationship Id="rId35" Type="http://schemas.openxmlformats.org/officeDocument/2006/relationships/hyperlink" Target="https://upload.wikimedia.org/wikipedia/commons/thumb/5/56/Flag_of_Haiti.svg/188px-Flag_of_Haiti.svg.png" TargetMode="External"/><Relationship Id="rId56" Type="http://schemas.openxmlformats.org/officeDocument/2006/relationships/hyperlink" Target="https://upload.wikimedia.org/wikipedia/commons/thumb/3/31/Flag_of_Equatorial_Guinea.svg/188px-Flag_of_Equatorial_Guinea.svg.png" TargetMode="External"/><Relationship Id="rId77" Type="http://schemas.openxmlformats.org/officeDocument/2006/relationships/hyperlink" Target="https://upload.wikimedia.org/wikipedia/commons/thumb/4/45/Flag_of_Ireland.svg/195px-Flag_of_Ireland.svg.png" TargetMode="External"/><Relationship Id="rId100" Type="http://schemas.openxmlformats.org/officeDocument/2006/relationships/hyperlink" Target="https://upload.wikimedia.org/wikipedia/commons/thumb/9/9f/Flag_of_Indonesia.svg/188px-Flag_of_Indonesia.svg.png" TargetMode="External"/><Relationship Id="rId105" Type="http://schemas.openxmlformats.org/officeDocument/2006/relationships/hyperlink" Target="https://upload.wikimedia.org/wikipedia/commons/thumb/b/bf/Flag_of_Bosnia_and_Herzegovina.svg/195px-Flag_of_Bosnia_and_Herzegovina.svg.png" TargetMode="External"/><Relationship Id="rId126" Type="http://schemas.openxmlformats.org/officeDocument/2006/relationships/hyperlink" Target="https://upload.wikimedia.org/wikipedia/commons/thumb/2/21/Flag_of_Colombia.svg/188px-Flag_of_Colombia.svg.png" TargetMode="External"/><Relationship Id="rId147" Type="http://schemas.openxmlformats.org/officeDocument/2006/relationships/hyperlink" Target="https://upload.wikimedia.org/wikipedia/commons/thumb/5/5c/Flag_of_Portugal.svg/188px-Flag_of_Portugal.svg.png" TargetMode="External"/><Relationship Id="rId168" Type="http://schemas.openxmlformats.org/officeDocument/2006/relationships/hyperlink" Target="https://upload.wikimedia.org/wikipedia/commons/thumb/7/79/Flag_of_North_Macedonia.svg/188px-Flag_of_North_Macedonia.svg.png" TargetMode="External"/><Relationship Id="rId8" Type="http://schemas.openxmlformats.org/officeDocument/2006/relationships/hyperlink" Target="https://upload.wikimedia.org/wikipedia/commons/thumb/a/a0/Flag_of_Somalia.svg/188px-Flag_of_Somalia.svg.png" TargetMode="External"/><Relationship Id="rId51" Type="http://schemas.openxmlformats.org/officeDocument/2006/relationships/hyperlink" Target="https://upload.wikimedia.org/wikipedia/commons/thumb/a/a7/Olympic_flag.svg/330px-Olympic_flag.svg.png" TargetMode="External"/><Relationship Id="rId72" Type="http://schemas.openxmlformats.org/officeDocument/2006/relationships/hyperlink" Target="https://upload.wikimedia.org/wikipedia/commons/thumb/d/d0/Flag_of_Mozambique.svg/188px-Flag_of_Mozambique.svg.png" TargetMode="External"/><Relationship Id="rId93" Type="http://schemas.openxmlformats.org/officeDocument/2006/relationships/hyperlink" Target="https://upload.wikimedia.org/wikipedia/commons/thumb/3/31/Flag_of_Samoa.svg/188px-Flag_of_Samoa.svg.png" TargetMode="External"/><Relationship Id="rId98" Type="http://schemas.openxmlformats.org/officeDocument/2006/relationships/hyperlink" Target="https://upload.wikimedia.org/wikipedia/commons/thumb/2/2f/Flag_of_Armenia.svg/188px-Flag_of_Armenia.svg.png" TargetMode="External"/><Relationship Id="rId121" Type="http://schemas.openxmlformats.org/officeDocument/2006/relationships/hyperlink" Target="https://upload.wikimedia.org/wikipedia/commons/thumb/0/0a/Flag_of_S%C3%A3o_Tom%C3%A9_and_Pr%C3%ADncipe.svg/188px-Flag_of_S%C3%A3o_Tom%C3%A9_and_Pr%C3%ADncipe.svg.png" TargetMode="External"/><Relationship Id="rId142" Type="http://schemas.openxmlformats.org/officeDocument/2006/relationships/hyperlink" Target="https://upload.wikimedia.org/wikipedia/commons/thumb/c/ce/Flag_of_Tunisia.svg/188px-Flag_of_Tunisia.svg.png" TargetMode="External"/><Relationship Id="rId163" Type="http://schemas.openxmlformats.org/officeDocument/2006/relationships/hyperlink" Target="https://upload.wikimedia.org/wikipedia/commons/thumb/8/84/Flag_of_Latvia.svg/188px-Flag_of_Latvia.svg.png" TargetMode="External"/><Relationship Id="rId184" Type="http://schemas.openxmlformats.org/officeDocument/2006/relationships/hyperlink" Target="https://upload.wikimedia.org/wikipedia/commons/thumb/1/1a/Flag_of_Argentina.svg/188px-Flag_of_Argentina.svg.png" TargetMode="External"/><Relationship Id="rId189" Type="http://schemas.openxmlformats.org/officeDocument/2006/relationships/hyperlink" Target="https://upload.wikimedia.org/wikipedia/commons/thumb/0/09/Flag_of_South_Korea.svg/188px-Flag_of_South_Korea.svg.png" TargetMode="External"/><Relationship Id="rId3" Type="http://schemas.openxmlformats.org/officeDocument/2006/relationships/hyperlink" Target="https://upload.wikimedia.org/wikipedia/commons/thumb/4/4c/Flag_of_Mongolia.svg/188px-Flag_of_Mongolia.svg.png" TargetMode="External"/><Relationship Id="rId25" Type="http://schemas.openxmlformats.org/officeDocument/2006/relationships/hyperlink" Target="https://upload.wikimedia.org/wikipedia/commons/thumb/f/fe/Flag_of_Uruguay.svg/188px-Flag_of_Uruguay.svg.png" TargetMode="External"/><Relationship Id="rId46" Type="http://schemas.openxmlformats.org/officeDocument/2006/relationships/hyperlink" Target="https://upload.wikimedia.org/wikipedia/commons/thumb/d/d4/Flag_of_Israel.svg/188px-Flag_of_Israel.svg.png" TargetMode="External"/><Relationship Id="rId67" Type="http://schemas.openxmlformats.org/officeDocument/2006/relationships/hyperlink" Target="https://upload.wikimedia.org/wikipedia/commons/thumb/0/05/Flag_of_Libya.svg/188px-Flag_of_Libya.svg.png" TargetMode="External"/><Relationship Id="rId116" Type="http://schemas.openxmlformats.org/officeDocument/2006/relationships/hyperlink" Target="https://upload.wikimedia.org/wikipedia/commons/thumb/8/84/Flag_of_Uzbekistan.svg/188px-Flag_of_Uzbekistan.svg.png" TargetMode="External"/><Relationship Id="rId137" Type="http://schemas.openxmlformats.org/officeDocument/2006/relationships/hyperlink" Target="https://upload.wikimedia.org/wikipedia/commons/thumb/f/ff/Flag_of_Serbia.svg/188px-Flag_of_Serbia.svg.png" TargetMode="External"/><Relationship Id="rId158" Type="http://schemas.openxmlformats.org/officeDocument/2006/relationships/hyperlink" Target="https://upload.wikimedia.org/wikipedia/commons/thumb/2/21/Flag_of_Vietnam.svg/188px-Flag_of_Vietnam.svg.png" TargetMode="External"/><Relationship Id="rId20" Type="http://schemas.openxmlformats.org/officeDocument/2006/relationships/hyperlink" Target="https://upload.wikimedia.org/wikipedia/commons/thumb/b/bc/Flag_of_Madagascar.svg/188px-Flag_of_Madagascar.svg.png" TargetMode="External"/><Relationship Id="rId41" Type="http://schemas.openxmlformats.org/officeDocument/2006/relationships/hyperlink" Target="https://upload.wikimedia.org/wikipedia/commons/thumb/b/b8/Flag_of_Liberia.svg/188px-Flag_of_Liberia.svg.png" TargetMode="External"/><Relationship Id="rId62" Type="http://schemas.openxmlformats.org/officeDocument/2006/relationships/hyperlink" Target="https://upload.wikimedia.org/wikipedia/commons/thumb/9/92/Flag_of_the_Republic_of_the_Congo.svg/188px-Flag_of_the_Republic_of_the_Congo.svg.png" TargetMode="External"/><Relationship Id="rId83" Type="http://schemas.openxmlformats.org/officeDocument/2006/relationships/hyperlink" Target="https://upload.wikimedia.org/wikipedia/commons/thumb/9/92/Flag_of_Mali.svg/188px-Flag_of_Mali.svg.png" TargetMode="External"/><Relationship Id="rId88" Type="http://schemas.openxmlformats.org/officeDocument/2006/relationships/hyperlink" Target="https://upload.wikimedia.org/wikipedia/commons/thumb/3/38/Flag_of_Tanzania.svg/188px-Flag_of_Tanzania.svg.png" TargetMode="External"/><Relationship Id="rId111" Type="http://schemas.openxmlformats.org/officeDocument/2006/relationships/hyperlink" Target="https://upload.wikimedia.org/wikipedia/commons/thumb/d/d0/Flag_of_Tajikistan.svg/188px-Flag_of_Tajikistan.svg.png" TargetMode="External"/><Relationship Id="rId132" Type="http://schemas.openxmlformats.org/officeDocument/2006/relationships/hyperlink" Target="https://upload.wikimedia.org/wikipedia/commons/thumb/3/38/Flag_of_Cape_Verde.svg/188px-Flag_of_Cape_Verde.svg.png" TargetMode="External"/><Relationship Id="rId153" Type="http://schemas.openxmlformats.org/officeDocument/2006/relationships/hyperlink" Target="https://upload.wikimedia.org/wikipedia/commons/thumb/7/74/Flag_of_the_Solomon_Islands.svg/188px-Flag_of_the_Solomon_Islands.svg.png" TargetMode="External"/><Relationship Id="rId174" Type="http://schemas.openxmlformats.org/officeDocument/2006/relationships/hyperlink" Target="https://upload.wikimedia.org/wikipedia/commons/thumb/e/e8/Flag_of_Ecuador.svg/188px-Flag_of_Ecuador.svg.png" TargetMode="External"/><Relationship Id="rId179" Type="http://schemas.openxmlformats.org/officeDocument/2006/relationships/hyperlink" Target="https://upload.wikimedia.org/wikipedia/commons/thumb/b/bc/Flag_of_Grenada.svg/188px-Flag_of_Grenada.svg.png" TargetMode="External"/><Relationship Id="rId195" Type="http://schemas.openxmlformats.org/officeDocument/2006/relationships/hyperlink" Target="https://upload.wikimedia.org/wikipedia/en/thumb/4/4c/Flag_of_Sweden.svg/188px-Flag_of_Sweden.svg.png" TargetMode="External"/><Relationship Id="rId190" Type="http://schemas.openxmlformats.org/officeDocument/2006/relationships/hyperlink" Target="https://upload.wikimedia.org/wikipedia/en/thumb/0/03/Flag_of_Italy.svg/188px-Flag_of_Italy.svg.png" TargetMode="External"/><Relationship Id="rId204" Type="http://schemas.openxmlformats.org/officeDocument/2006/relationships/hyperlink" Target="https://upload.wikimedia.org/wikipedia/commons/thumb/4/41/Flag_of_Austria.svg/188px-Flag_of_Austria.svg.png" TargetMode="External"/><Relationship Id="rId15" Type="http://schemas.openxmlformats.org/officeDocument/2006/relationships/hyperlink" Target="https://upload.wikimedia.org/wikipedia/commons/thumb/8/8c/Flag_of_Myanmar.svg/188px-Flag_of_Myanmar.svg.png" TargetMode="External"/><Relationship Id="rId36" Type="http://schemas.openxmlformats.org/officeDocument/2006/relationships/hyperlink" Target="https://upload.wikimedia.org/wikipedia/commons/thumb/9/99/Flag_of_Guyana.svg/188px-Flag_of_Guyana.svg.png" TargetMode="External"/><Relationship Id="rId57" Type="http://schemas.openxmlformats.org/officeDocument/2006/relationships/hyperlink" Target="https://upload.wikimedia.org/wikipedia/commons/thumb/1/17/Flag_of_Sierra_Leone.svg/188px-Flag_of_Sierra_Leone.svg.png" TargetMode="External"/><Relationship Id="rId106" Type="http://schemas.openxmlformats.org/officeDocument/2006/relationships/hyperlink" Target="https://upload.wikimedia.org/wikipedia/commons/thumb/b/bf/Flag_of_Bermuda.svg/195px-Flag_of_Bermuda.svg.png" TargetMode="External"/><Relationship Id="rId127" Type="http://schemas.openxmlformats.org/officeDocument/2006/relationships/hyperlink" Target="https://upload.wikimedia.org/wikipedia/commons/thumb/4/42/Flag_of_the_British_Virgin_Islands.svg/195px-Flag_of_the_British_Virgin_Islands.svg.png" TargetMode="External"/><Relationship Id="rId10" Type="http://schemas.openxmlformats.org/officeDocument/2006/relationships/hyperlink" Target="https://upload.wikimedia.org/wikipedia/commons/thumb/c/cb/Flag_of_the_United_Arab_Emirates.svg/188px-Flag_of_the_United_Arab_Emirates.svg.png" TargetMode="External"/><Relationship Id="rId31" Type="http://schemas.openxmlformats.org/officeDocument/2006/relationships/hyperlink" Target="https://upload.wikimedia.org/wikipedia/commons/thumb/0/0f/Flag_of_the_Cayman_Islands.svg/195px-Flag_of_the_Cayman_Islands.svg.png" TargetMode="External"/><Relationship Id="rId52" Type="http://schemas.openxmlformats.org/officeDocument/2006/relationships/hyperlink" Target="https://upload.wikimedia.org/wikipedia/commons/thumb/4/49/Flag_of_Kenya.svg/188px-Flag_of_Kenya.svg.png" TargetMode="External"/><Relationship Id="rId73" Type="http://schemas.openxmlformats.org/officeDocument/2006/relationships/hyperlink" Target="https://upload.wikimedia.org/wikipedia/commons/thumb/a/af/Flag_of_South_Africa.svg/188px-Flag_of_South_Africa.svg.png" TargetMode="External"/><Relationship Id="rId78" Type="http://schemas.openxmlformats.org/officeDocument/2006/relationships/hyperlink" Target="https://upload.wikimedia.org/wikipedia/commons/thumb/e/e6/Flag_of_Slovakia.svg/188px-Flag_of_Slovakia.svg.png" TargetMode="External"/><Relationship Id="rId94" Type="http://schemas.openxmlformats.org/officeDocument/2006/relationships/hyperlink" Target="https://upload.wikimedia.org/wikipedia/commons/thumb/5/59/Flag_of_Lebanon.svg/188px-Flag_of_Lebanon.svg.png" TargetMode="External"/><Relationship Id="rId99" Type="http://schemas.openxmlformats.org/officeDocument/2006/relationships/hyperlink" Target="https://upload.wikimedia.org/wikipedia/commons/thumb/2/26/Flag_of_East_Timor.svg/188px-Flag_of_East_Timor.svg.png" TargetMode="External"/><Relationship Id="rId101" Type="http://schemas.openxmlformats.org/officeDocument/2006/relationships/hyperlink" Target="https://upload.wikimedia.org/wikipedia/commons/thumb/4/48/Flag_of_Singapore.svg/188px-Flag_of_Singapore.svg.png" TargetMode="External"/><Relationship Id="rId122" Type="http://schemas.openxmlformats.org/officeDocument/2006/relationships/hyperlink" Target="https://upload.wikimedia.org/wikipedia/commons/thumb/b/b1/Flag_of_San_Marino.svg/188px-Flag_of_San_Marino.svg.png" TargetMode="External"/><Relationship Id="rId143" Type="http://schemas.openxmlformats.org/officeDocument/2006/relationships/hyperlink" Target="https://upload.wikimedia.org/wikipedia/commons/thumb/0/0d/Flag_of_Saudi_Arabia.svg/188px-Flag_of_Saudi_Arabia.svg.png" TargetMode="External"/><Relationship Id="rId148" Type="http://schemas.openxmlformats.org/officeDocument/2006/relationships/hyperlink" Target="https://upload.wikimedia.org/wikipedia/commons/thumb/8/82/Flag_of_Honduras.svg/188px-Flag_of_Honduras.svg.png" TargetMode="External"/><Relationship Id="rId164" Type="http://schemas.openxmlformats.org/officeDocument/2006/relationships/hyperlink" Target="https://upload.wikimedia.org/wikipedia/commons/thumb/8/8f/Flag_of_Estonia.svg/188px-Flag_of_Estonia.svg.png" TargetMode="External"/><Relationship Id="rId169" Type="http://schemas.openxmlformats.org/officeDocument/2006/relationships/hyperlink" Target="https://upload.wikimedia.org/wikipedia/commons/thumb/3/36/Flag_of_Albania.svg/188px-Flag_of_Albania.svg.png" TargetMode="External"/><Relationship Id="rId185" Type="http://schemas.openxmlformats.org/officeDocument/2006/relationships/hyperlink" Target="https://upload.wikimedia.org/wikipedia/commons/thumb/f/fa/Flag_of_the_People%27s_Republic_of_China.svg/188px-Flag_of_the_People%27s_Republic_of_China.svg.png" TargetMode="External"/><Relationship Id="rId4" Type="http://schemas.openxmlformats.org/officeDocument/2006/relationships/hyperlink" Target="https://upload.wikimedia.org/wikipedia/commons/thumb/f/f4/Flag_of_Niger.svg/150px-Flag_of_Niger.svg.png" TargetMode="External"/><Relationship Id="rId9" Type="http://schemas.openxmlformats.org/officeDocument/2006/relationships/hyperlink" Target="https://upload.wikimedia.org/wikipedia/commons/thumb/3/38/Flag_of_Tuvalu.svg/188px-Flag_of_Tuvalu.svg.png" TargetMode="External"/><Relationship Id="rId180" Type="http://schemas.openxmlformats.org/officeDocument/2006/relationships/hyperlink" Target="https://upload.wikimedia.org/wikipedia/commons/thumb/e/e7/Flag_of_Belize.svg/188px-Flag_of_Belize.svg.png" TargetMode="External"/><Relationship Id="rId26" Type="http://schemas.openxmlformats.org/officeDocument/2006/relationships/hyperlink" Target="https://upload.wikimedia.org/wikipedia/commons/thumb/c/c4/Flag_of_Dominica.svg/188px-Flag_of_Dominica.svg.png" TargetMode="External"/><Relationship Id="rId47" Type="http://schemas.openxmlformats.org/officeDocument/2006/relationships/hyperlink" Target="https://upload.wikimedia.org/wikipedia/commons/thumb/0/00/Flag_of_Palestine.svg/188px-Flag_of_Palestine.svg.png" TargetMode="External"/><Relationship Id="rId68" Type="http://schemas.openxmlformats.org/officeDocument/2006/relationships/hyperlink" Target="https://upload.wikimedia.org/wikipedia/commons/thumb/0/01/Flag_of_Sudan.svg/188px-Flag_of_Sudan.svg.png" TargetMode="External"/><Relationship Id="rId89" Type="http://schemas.openxmlformats.org/officeDocument/2006/relationships/hyperlink" Target="https://upload.wikimedia.org/wikipedia/commons/thumb/1/17/Flag_of_Rwanda.svg/188px-Flag_of_Rwanda.svg.png" TargetMode="External"/><Relationship Id="rId112" Type="http://schemas.openxmlformats.org/officeDocument/2006/relationships/hyperlink" Target="https://upload.wikimedia.org/wikipedia/commons/thumb/c/cd/Flag_of_Afghanistan_%282013%E2%80%932021%29.svg/188px-Flag_of_Afghanistan_%282013%E2%80%932021%29.svg.png" TargetMode="External"/><Relationship Id="rId133" Type="http://schemas.openxmlformats.org/officeDocument/2006/relationships/hyperlink" Target="https://upload.wikimedia.org/wikipedia/commons/thumb/4/47/Flag_of_Liechtenstein.svg/188px-Flag_of_Liechtenstein.svg.png" TargetMode="External"/><Relationship Id="rId154" Type="http://schemas.openxmlformats.org/officeDocument/2006/relationships/hyperlink" Target="https://upload.wikimedia.org/wikipedia/commons/thumb/e/e3/Flag_of_Papua_New_Guinea.svg/188px-Flag_of_Papua_New_Guinea.svg.png" TargetMode="External"/><Relationship Id="rId175" Type="http://schemas.openxmlformats.org/officeDocument/2006/relationships/hyperlink" Target="https://upload.wikimedia.org/wikipedia/commons/thumb/c/ca/Flag_of_Iran.svg/188px-Flag_of_Iran.svg.png" TargetMode="External"/><Relationship Id="rId196" Type="http://schemas.openxmlformats.org/officeDocument/2006/relationships/hyperlink" Target="https://upload.wikimedia.org/wikipedia/commons/thumb/7/73/Flag_of_Romania.svg/188px-Flag_of_Romania.svg.png" TargetMode="External"/><Relationship Id="rId200" Type="http://schemas.openxmlformats.org/officeDocument/2006/relationships/hyperlink" Target="https://upload.wikimedia.org/wikipedia/commons/thumb/8/89/Bandera_de_Espa%C3%B1a.svg/188px-Bandera_de_Espa%C3%B1a.svg.png" TargetMode="External"/><Relationship Id="rId16" Type="http://schemas.openxmlformats.org/officeDocument/2006/relationships/hyperlink" Target="https://upload.wikimedia.org/wikipedia/commons/thumb/1/19/Flag_of_Nicaragua.svg/188px-Flag_of_Nicaragua.svg.png" TargetMode="External"/><Relationship Id="rId37" Type="http://schemas.openxmlformats.org/officeDocument/2006/relationships/hyperlink" Target="https://upload.wikimedia.org/wikipedia/commons/thumb/6/60/Flag_of_Suriname.svg/188px-Flag_of_Suriname.svg.png" TargetMode="External"/><Relationship Id="rId58" Type="http://schemas.openxmlformats.org/officeDocument/2006/relationships/hyperlink" Target="https://upload.wikimedia.org/wikipedia/commons/thumb/0/01/Flag_of_Guinea-Bissau.svg/188px-Flag_of_Guinea-Bissau.svg.png" TargetMode="External"/><Relationship Id="rId79" Type="http://schemas.openxmlformats.org/officeDocument/2006/relationships/hyperlink" Target="https://upload.wikimedia.org/wikipedia/commons/thumb/6/68/Flag_of_Togo.svg/188px-Flag_of_Togo.svg.png" TargetMode="External"/><Relationship Id="rId102" Type="http://schemas.openxmlformats.org/officeDocument/2006/relationships/hyperlink" Target="https://upload.wikimedia.org/wikipedia/commons/thumb/6/66/Flag_of_Malaysia.svg/188px-Flag_of_Malaysia.svg.png" TargetMode="External"/><Relationship Id="rId123" Type="http://schemas.openxmlformats.org/officeDocument/2006/relationships/hyperlink" Target="https://upload.wikimedia.org/wikipedia/commons/thumb/7/78/Flag_of_Chile.svg/188px-Flag_of_Chile.svg.png" TargetMode="External"/><Relationship Id="rId144" Type="http://schemas.openxmlformats.org/officeDocument/2006/relationships/hyperlink" Target="https://upload.wikimedia.org/wikipedia/commons/thumb/f/fc/Flag_of_Mexico.svg/188px-Flag_of_Mexico.svg.png" TargetMode="External"/><Relationship Id="rId90" Type="http://schemas.openxmlformats.org/officeDocument/2006/relationships/hyperlink" Target="https://upload.wikimedia.org/wikipedia/commons/thumb/4/4e/Flag_of_Uganda.svg/188px-Flag_of_Uganda.svg.png" TargetMode="External"/><Relationship Id="rId165" Type="http://schemas.openxmlformats.org/officeDocument/2006/relationships/hyperlink" Target="https://upload.wikimedia.org/wikipedia/commons/thumb/9/9c/Flag_of_Denmark.svg/180px-Flag_of_Denmark.svg.png" TargetMode="External"/><Relationship Id="rId186" Type="http://schemas.openxmlformats.org/officeDocument/2006/relationships/hyperlink" Target="https://upload.wikimedia.org/wikipedia/commons/thumb/7/77/Flag_of_Algeria.svg/188px-Flag_of_Algeria.svg.png" TargetMode="External"/><Relationship Id="rId27" Type="http://schemas.openxmlformats.org/officeDocument/2006/relationships/hyperlink" Target="https://upload.wikimedia.org/wikipedia/commons/thumb/0/07/Flag_of_Guam.svg/195px-Flag_of_Guam.svg.png" TargetMode="External"/><Relationship Id="rId48" Type="http://schemas.openxmlformats.org/officeDocument/2006/relationships/hyperlink" Target="https://upload.wikimedia.org/wikipedia/commons/thumb/2/27/Flag_of_Paraguay.svg/188px-Flag_of_Paraguay.svg.png" TargetMode="External"/><Relationship Id="rId69" Type="http://schemas.openxmlformats.org/officeDocument/2006/relationships/hyperlink" Target="https://upload.wikimedia.org/wikipedia/commons/thumb/2/29/Flag_of_Eritrea.svg/188px-Flag_of_Eritrea.svg.png" TargetMode="External"/><Relationship Id="rId113" Type="http://schemas.openxmlformats.org/officeDocument/2006/relationships/hyperlink" Target="https://upload.wikimedia.org/wikipedia/commons/thumb/1/1b/Flag_of_Turkmenistan.svg/180px-Flag_of_Turkmenistan.svg.png" TargetMode="External"/><Relationship Id="rId134" Type="http://schemas.openxmlformats.org/officeDocument/2006/relationships/hyperlink" Target="https://upload.wikimedia.org/wikipedia/commons/thumb/f/fa/Flag_of_Botswana.svg/188px-Flag_of_Botswana.svg.png" TargetMode="External"/><Relationship Id="rId80" Type="http://schemas.openxmlformats.org/officeDocument/2006/relationships/hyperlink" Target="https://upload.wikimedia.org/wikipedia/commons/thumb/1/19/Flag_of_Ghana.svg/188px-Flag_of_Ghana.svg.png" TargetMode="External"/><Relationship Id="rId155" Type="http://schemas.openxmlformats.org/officeDocument/2006/relationships/hyperlink" Target="https://upload.wikimedia.org/wikipedia/commons/thumb/e/e4/Flag_of_the_Federated_States_of_Micronesia.svg/188px-Flag_of_the_Federated_States_of_Micronesia.svg.png" TargetMode="External"/><Relationship Id="rId176" Type="http://schemas.openxmlformats.org/officeDocument/2006/relationships/hyperlink" Target="https://upload.wikimedia.org/wikipedia/commons/thumb/2/2c/Flag_of_Bahrain.svg/188px-Flag_of_Bahrain.svg.png" TargetMode="External"/><Relationship Id="rId197" Type="http://schemas.openxmlformats.org/officeDocument/2006/relationships/hyperlink" Target="https://upload.wikimedia.org/wikipedia/commons/thumb/4/49/Flag_of_Ukraine.svg/188px-Flag_of_Ukraine.svg.png" TargetMode="External"/><Relationship Id="rId201" Type="http://schemas.openxmlformats.org/officeDocument/2006/relationships/hyperlink" Target="https://upload.wikimedia.org/wikipedia/en/thumb/4/41/Flag_of_India.svg/188px-Flag_of_India.svg.png" TargetMode="External"/><Relationship Id="rId17" Type="http://schemas.openxmlformats.org/officeDocument/2006/relationships/hyperlink" Target="https://upload.wikimedia.org/wikipedia/commons/thumb/3/30/Flag_of_Nauru.svg/188px-Flag_of_Nauru.svg.png" TargetMode="External"/><Relationship Id="rId38" Type="http://schemas.openxmlformats.org/officeDocument/2006/relationships/hyperlink" Target="https://upload.wikimedia.org/wikipedia/commons/thumb/1/11/Flag_of_Sri_Lanka.svg/188px-Flag_of_Sri_Lanka.svg.png" TargetMode="External"/><Relationship Id="rId59" Type="http://schemas.openxmlformats.org/officeDocument/2006/relationships/hyperlink" Target="https://upload.wikimedia.org/wikipedia/commons/thumb/e/ed/Flag_of_Guinea.svg/188px-Flag_of_Guinea.svg.png" TargetMode="External"/><Relationship Id="rId103" Type="http://schemas.openxmlformats.org/officeDocument/2006/relationships/hyperlink" Target="https://upload.wikimedia.org/wikipedia/commons/thumb/1/1f/Flag_of_Kosovo.svg/188px-Flag_of_Kosovo.svg.png" TargetMode="External"/><Relationship Id="rId124" Type="http://schemas.openxmlformats.org/officeDocument/2006/relationships/hyperlink" Target="https://upload.wikimedia.org/wikipedia/commons/thumb/d/de/Flag_of_Bolivia_%28state%29.svg/188px-Flag_of_Bolivia_%28state%29.svg.png" TargetMode="External"/><Relationship Id="rId70" Type="http://schemas.openxmlformats.org/officeDocument/2006/relationships/hyperlink" Target="https://upload.wikimedia.org/wikipedia/commons/thumb/3/34/Flag_of_Djibouti.svg/188px-Flag_of_Djibouti.svg.png" TargetMode="External"/><Relationship Id="rId91" Type="http://schemas.openxmlformats.org/officeDocument/2006/relationships/hyperlink" Target="https://upload.wikimedia.org/wikipedia/commons/thumb/6/6f/Flag_of_the_Democratic_Republic_of_the_Congo.svg/188px-Flag_of_the_Democratic_Republic_of_the_Congo.svg.png" TargetMode="External"/><Relationship Id="rId145" Type="http://schemas.openxmlformats.org/officeDocument/2006/relationships/hyperlink" Target="https://upload.wikimedia.org/wikipedia/commons/thumb/6/65/Flag_of_Qatar.svg/203px-Flag_of_Qatar.svg.png" TargetMode="External"/><Relationship Id="rId166" Type="http://schemas.openxmlformats.org/officeDocument/2006/relationships/hyperlink" Target="https://upload.wikimedia.org/wikipedia/commons/thumb/9/9a/Flag_of_Bulgaria.svg/188px-Flag_of_Bulgaria.svg.png" TargetMode="External"/><Relationship Id="rId187" Type="http://schemas.openxmlformats.org/officeDocument/2006/relationships/hyperlink" Target="https://upload.wikimedia.org/wikipedia/commons/thumb/2/20/Flag_of_the_Netherlands.svg/188px-Flag_of_the_Netherlands.svg.png" TargetMode="External"/><Relationship Id="rId1" Type="http://schemas.openxmlformats.org/officeDocument/2006/relationships/hyperlink" Target="https://upload.wikimedia.org/wikipedia/commons/thumb/7/77/Flag_of_Mauritius.svg/188px-Flag_of_Mauritius.svg.png" TargetMode="External"/><Relationship Id="rId28" Type="http://schemas.openxmlformats.org/officeDocument/2006/relationships/hyperlink" Target="https://upload.wikimedia.org/wikipedia/commons/thumb/8/87/Flag_of_American_Samoa.svg/195px-Flag_of_American_Samoa.svg.png" TargetMode="External"/><Relationship Id="rId49" Type="http://schemas.openxmlformats.org/officeDocument/2006/relationships/hyperlink" Target="https://upload.wikimedia.org/wikipedia/commons/thumb/f/fe/Flag_of_Saint_Kitts_and_Nevis.svg/188px-Flag_of_Saint_Kitts_and_Nevis.svg.png" TargetMode="External"/><Relationship Id="rId114" Type="http://schemas.openxmlformats.org/officeDocument/2006/relationships/hyperlink" Target="https://upload.wikimedia.org/wikipedia/commons/thumb/0/04/Flag_of_Kazakhstan_%28President_of_Kazakhstan_website%29.svg/203px-Flag_of_Kazakhstan_%28President_of_Kazakhstan_website%29.svg.png" TargetMode="External"/><Relationship Id="rId60" Type="http://schemas.openxmlformats.org/officeDocument/2006/relationships/hyperlink" Target="https://upload.wikimedia.org/wikipedia/commons/thumb/7/77/Flag_of_The_Gambia.svg/188px-Flag_of_The_Gambia.svg.png" TargetMode="External"/><Relationship Id="rId81" Type="http://schemas.openxmlformats.org/officeDocument/2006/relationships/hyperlink" Target="https://upload.wikimedia.org/wikipedia/commons/thumb/f/fe/Flag_of_C%C3%B4te_d%27Ivoire.svg/188px-Flag_of_C%C3%B4te_d%27Ivoire.svg.png" TargetMode="External"/><Relationship Id="rId135" Type="http://schemas.openxmlformats.org/officeDocument/2006/relationships/hyperlink" Target="https://upload.wikimedia.org/wikipedia/commons/thumb/d/d9/Flag_of_Norway.svg/188px-Flag_of_Norway.svg.png" TargetMode="External"/><Relationship Id="rId156" Type="http://schemas.openxmlformats.org/officeDocument/2006/relationships/hyperlink" Target="https://upload.wikimedia.org/wikipedia/commons/thumb/4/48/Flag_of_Palau.svg/188px-Flag_of_Palau.svg.png" TargetMode="External"/><Relationship Id="rId177" Type="http://schemas.openxmlformats.org/officeDocument/2006/relationships/hyperlink" Target="https://upload.wikimedia.org/wikipedia/commons/thumb/3/3e/Flag_of_New_Zealand.svg/188px-Flag_of_New_Zealand.svg.png" TargetMode="External"/><Relationship Id="rId198" Type="http://schemas.openxmlformats.org/officeDocument/2006/relationships/hyperlink" Target="https://upload.wikimedia.org/wikipedia/commons/thumb/c/c1/Flag_of_Hungary.svg/188px-Flag_of_Hungary.svg.png" TargetMode="External"/><Relationship Id="rId202" Type="http://schemas.openxmlformats.org/officeDocument/2006/relationships/hyperlink" Target="https://upload.wikimedia.org/wikipedia/commons/thumb/a/a5/Flag_of_the_United_Kingdom_%281-2%29.svg/188px-Flag_of_the_United_Kingdom_%281-2%29.svg.png" TargetMode="External"/><Relationship Id="rId18" Type="http://schemas.openxmlformats.org/officeDocument/2006/relationships/hyperlink" Target="https://upload.wikimedia.org/wikipedia/commons/thumb/2/2e/Flag_of_the_Marshall_Islands.svg/188px-Flag_of_the_Marshall_Islands.svg.png" TargetMode="External"/><Relationship Id="rId39" Type="http://schemas.openxmlformats.org/officeDocument/2006/relationships/hyperlink" Target="https://upload.wikimedia.org/wikipedia/commons/thumb/0/0f/Flag_of_Maldives.svg/188px-Flag_of_Maldives.svg.png" TargetMode="External"/><Relationship Id="rId50" Type="http://schemas.openxmlformats.org/officeDocument/2006/relationships/hyperlink" Target="https://upload.wikimedia.org/wikipedia/commons/thumb/9/9f/Flag_of_Saint_Lucia.svg/188px-Flag_of_Saint_Lucia.svg.png" TargetMode="External"/><Relationship Id="rId104" Type="http://schemas.openxmlformats.org/officeDocument/2006/relationships/hyperlink" Target="https://upload.wikimedia.org/wikipedia/commons/thumb/6/64/Flag_of_Montenegro.svg/188px-Flag_of_Montenegro.svg.png" TargetMode="External"/><Relationship Id="rId125" Type="http://schemas.openxmlformats.org/officeDocument/2006/relationships/hyperlink" Target="https://upload.wikimedia.org/wikipedia/commons/thumb/c/cf/Flag_of_Peru.svg/188px-Flag_of_Peru.svg.png" TargetMode="External"/><Relationship Id="rId146" Type="http://schemas.openxmlformats.org/officeDocument/2006/relationships/hyperlink" Target="https://upload.wikimedia.org/wikipedia/commons/thumb/c/cb/Flag_of_the_Czech_Republic.svg/188px-Flag_of_the_Czech_Republic.svg.png" TargetMode="External"/><Relationship Id="rId167" Type="http://schemas.openxmlformats.org/officeDocument/2006/relationships/hyperlink" Target="https://upload.wikimedia.org/wikipedia/commons/thumb/8/85/Flag_of_Belarus.svg/188px-Flag_of_Belarus.svg.png" TargetMode="External"/><Relationship Id="rId188" Type="http://schemas.openxmlformats.org/officeDocument/2006/relationships/hyperlink" Target="https://upload.wikimedia.org/wikipedia/en/thumb/c/c3/Flag_of_France.svg/188px-Flag_of_France.svg.png" TargetMode="External"/><Relationship Id="rId71" Type="http://schemas.openxmlformats.org/officeDocument/2006/relationships/hyperlink" Target="https://upload.wikimedia.org/wikipedia/commons/thumb/d/d1/Flag_of_Malawi.svg/188px-Flag_of_Malawi.svg.png" TargetMode="External"/><Relationship Id="rId92" Type="http://schemas.openxmlformats.org/officeDocument/2006/relationships/hyperlink" Target="https://upload.wikimedia.org/wikipedia/commons/thumb/9/9d/Flag_of_Angola.svg/188px-Flag_of_Angola.svg.png" TargetMode="External"/><Relationship Id="rId2" Type="http://schemas.openxmlformats.org/officeDocument/2006/relationships/hyperlink" Target="https://upload.wikimedia.org/wikipedia/commons/thumb/e/ea/Flag_of_Monaco.svg/180px-Flag_of_Monaco.svg.png" TargetMode="External"/><Relationship Id="rId29" Type="http://schemas.openxmlformats.org/officeDocument/2006/relationships/hyperlink" Target="https://upload.wikimedia.org/wikipedia/commons/thumb/1/19/Flag_of_Andorra.svg/188px-Flag_of_Andorra.svg.png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https://upload.wikimedia.org/wikipedia/commons/thumb/6/6f/Flag_of_the_Democratic_Republic_of_the_Congo.svg/188px-Flag_of_the_Democratic_Republic_of_the_Congo.svg.png" TargetMode="External"/><Relationship Id="rId21" Type="http://schemas.openxmlformats.org/officeDocument/2006/relationships/hyperlink" Target="https://upload.wikimedia.org/wikipedia/commons/thumb/2/20/Flag_of_the_Netherlands.svg/188px-Flag_of_the_Netherlands.svg.png" TargetMode="External"/><Relationship Id="rId42" Type="http://schemas.openxmlformats.org/officeDocument/2006/relationships/hyperlink" Target="https://upload.wikimedia.org/wikipedia/commons/thumb/9/9a/Flag_of_Bulgaria.svg/188px-Flag_of_Bulgaria.svg.png" TargetMode="External"/><Relationship Id="rId63" Type="http://schemas.openxmlformats.org/officeDocument/2006/relationships/hyperlink" Target="https://upload.wikimedia.org/wikipedia/commons/thumb/6/65/Flag_of_Qatar.svg/203px-Flag_of_Qatar.svg.png" TargetMode="External"/><Relationship Id="rId84" Type="http://schemas.openxmlformats.org/officeDocument/2006/relationships/hyperlink" Target="https://upload.wikimedia.org/wikipedia/commons/thumb/d/de/Flag_of_Bolivia_%28state%29.svg/188px-Flag_of_Bolivia_%28state%29.svg.png" TargetMode="External"/><Relationship Id="rId138" Type="http://schemas.openxmlformats.org/officeDocument/2006/relationships/hyperlink" Target="https://upload.wikimedia.org/wikipedia/commons/thumb/3/34/Flag_of_Djibouti.svg/188px-Flag_of_Djibouti.svg.png" TargetMode="External"/><Relationship Id="rId159" Type="http://schemas.openxmlformats.org/officeDocument/2006/relationships/hyperlink" Target="https://upload.wikimedia.org/wikipedia/commons/thumb/f/fe/Flag_of_Saint_Kitts_and_Nevis.svg/188px-Flag_of_Saint_Kitts_and_Nevis.svg.png" TargetMode="External"/><Relationship Id="rId170" Type="http://schemas.openxmlformats.org/officeDocument/2006/relationships/hyperlink" Target="https://upload.wikimedia.org/wikipedia/commons/thumb/1/11/Flag_of_Sri_Lanka.svg/188px-Flag_of_Sri_Lanka.svg.png" TargetMode="External"/><Relationship Id="rId191" Type="http://schemas.openxmlformats.org/officeDocument/2006/relationships/hyperlink" Target="https://upload.wikimedia.org/wikipedia/commons/thumb/3/30/Flag_of_Nauru.svg/188px-Flag_of_Nauru.svg.png" TargetMode="External"/><Relationship Id="rId205" Type="http://schemas.openxmlformats.org/officeDocument/2006/relationships/hyperlink" Target="https://upload.wikimedia.org/wikipedia/commons/thumb/4/4c/Flag_of_Mongolia.svg/188px-Flag_of_Mongolia.svg.png" TargetMode="External"/><Relationship Id="rId107" Type="http://schemas.openxmlformats.org/officeDocument/2006/relationships/hyperlink" Target="https://upload.wikimedia.org/wikipedia/commons/thumb/4/48/Flag_of_Singapore.svg/188px-Flag_of_Singapore.svg.png" TargetMode="External"/><Relationship Id="rId11" Type="http://schemas.openxmlformats.org/officeDocument/2006/relationships/hyperlink" Target="https://upload.wikimedia.org/wikipedia/commons/thumb/4/49/Flag_of_Ukraine.svg/188px-Flag_of_Ukraine.svg.png" TargetMode="External"/><Relationship Id="rId32" Type="http://schemas.openxmlformats.org/officeDocument/2006/relationships/hyperlink" Target="https://upload.wikimedia.org/wikipedia/commons/thumb/2/2c/Flag_of_Bahrain.svg/188px-Flag_of_Bahrain.svg.png" TargetMode="External"/><Relationship Id="rId53" Type="http://schemas.openxmlformats.org/officeDocument/2006/relationships/hyperlink" Target="https://upload.wikimedia.org/wikipedia/commons/thumb/e/e4/Flag_of_the_Federated_States_of_Micronesia.svg/188px-Flag_of_the_Federated_States_of_Micronesia.svg.png" TargetMode="External"/><Relationship Id="rId74" Type="http://schemas.openxmlformats.org/officeDocument/2006/relationships/hyperlink" Target="https://upload.wikimedia.org/wikipedia/commons/thumb/f/fa/Flag_of_Botswana.svg/188px-Flag_of_Botswana.svg.png" TargetMode="External"/><Relationship Id="rId128" Type="http://schemas.openxmlformats.org/officeDocument/2006/relationships/hyperlink" Target="https://upload.wikimedia.org/wikipedia/commons/thumb/1/19/Flag_of_Ghana.svg/188px-Flag_of_Ghana.svg.png" TargetMode="External"/><Relationship Id="rId149" Type="http://schemas.openxmlformats.org/officeDocument/2006/relationships/hyperlink" Target="https://upload.wikimedia.org/wikipedia/commons/thumb/e/ed/Flag_of_Guinea.svg/188px-Flag_of_Guinea.svg.png" TargetMode="External"/><Relationship Id="rId5" Type="http://schemas.openxmlformats.org/officeDocument/2006/relationships/hyperlink" Target="https://upload.wikimedia.org/wikipedia/commons/thumb/1/1b/Flag_of_Croatia.svg/188px-Flag_of_Croatia.svg.png" TargetMode="External"/><Relationship Id="rId95" Type="http://schemas.openxmlformats.org/officeDocument/2006/relationships/hyperlink" Target="https://upload.wikimedia.org/wikipedia/commons/thumb/1/1b/Flag_of_Turkmenistan.svg/180px-Flag_of_Turkmenistan.svg.png" TargetMode="External"/><Relationship Id="rId160" Type="http://schemas.openxmlformats.org/officeDocument/2006/relationships/hyperlink" Target="https://upload.wikimedia.org/wikipedia/commons/thumb/2/27/Flag_of_Paraguay.svg/188px-Flag_of_Paraguay.svg.png" TargetMode="External"/><Relationship Id="rId181" Type="http://schemas.openxmlformats.org/officeDocument/2006/relationships/hyperlink" Target="https://upload.wikimedia.org/wikipedia/commons/thumb/0/07/Flag_of_Guam.svg/195px-Flag_of_Guam.svg.png" TargetMode="External"/><Relationship Id="rId22" Type="http://schemas.openxmlformats.org/officeDocument/2006/relationships/hyperlink" Target="https://upload.wikimedia.org/wikipedia/commons/thumb/7/77/Flag_of_Algeria.svg/188px-Flag_of_Algeria.svg.png" TargetMode="External"/><Relationship Id="rId43" Type="http://schemas.openxmlformats.org/officeDocument/2006/relationships/hyperlink" Target="https://upload.wikimedia.org/wikipedia/commons/thumb/9/9c/Flag_of_Denmark.svg/180px-Flag_of_Denmark.svg.png" TargetMode="External"/><Relationship Id="rId64" Type="http://schemas.openxmlformats.org/officeDocument/2006/relationships/hyperlink" Target="https://upload.wikimedia.org/wikipedia/commons/thumb/f/fc/Flag_of_Mexico.svg/188px-Flag_of_Mexico.svg.png" TargetMode="External"/><Relationship Id="rId118" Type="http://schemas.openxmlformats.org/officeDocument/2006/relationships/hyperlink" Target="https://upload.wikimedia.org/wikipedia/commons/thumb/4/4e/Flag_of_Uganda.svg/188px-Flag_of_Uganda.svg.png" TargetMode="External"/><Relationship Id="rId139" Type="http://schemas.openxmlformats.org/officeDocument/2006/relationships/hyperlink" Target="https://upload.wikimedia.org/wikipedia/commons/thumb/2/29/Flag_of_Eritrea.svg/188px-Flag_of_Eritrea.svg.png" TargetMode="External"/><Relationship Id="rId85" Type="http://schemas.openxmlformats.org/officeDocument/2006/relationships/hyperlink" Target="https://upload.wikimedia.org/wikipedia/commons/thumb/7/78/Flag_of_Chile.svg/188px-Flag_of_Chile.svg.png" TargetMode="External"/><Relationship Id="rId150" Type="http://schemas.openxmlformats.org/officeDocument/2006/relationships/hyperlink" Target="https://upload.wikimedia.org/wikipedia/commons/thumb/0/01/Flag_of_Guinea-Bissau.svg/188px-Flag_of_Guinea-Bissau.svg.png" TargetMode="External"/><Relationship Id="rId171" Type="http://schemas.openxmlformats.org/officeDocument/2006/relationships/hyperlink" Target="https://upload.wikimedia.org/wikipedia/commons/thumb/6/60/Flag_of_Suriname.svg/188px-Flag_of_Suriname.svg.png" TargetMode="External"/><Relationship Id="rId192" Type="http://schemas.openxmlformats.org/officeDocument/2006/relationships/hyperlink" Target="https://upload.wikimedia.org/wikipedia/commons/thumb/1/19/Flag_of_Nicaragua.svg/188px-Flag_of_Nicaragua.svg.png" TargetMode="External"/><Relationship Id="rId206" Type="http://schemas.openxmlformats.org/officeDocument/2006/relationships/hyperlink" Target="https://upload.wikimedia.org/wikipedia/commons/thumb/e/ea/Flag_of_Monaco.svg/180px-Flag_of_Monaco.svg.png" TargetMode="External"/><Relationship Id="rId12" Type="http://schemas.openxmlformats.org/officeDocument/2006/relationships/hyperlink" Target="https://upload.wikimedia.org/wikipedia/commons/thumb/7/73/Flag_of_Romania.svg/188px-Flag_of_Romania.svg.png" TargetMode="External"/><Relationship Id="rId33" Type="http://schemas.openxmlformats.org/officeDocument/2006/relationships/hyperlink" Target="https://upload.wikimedia.org/wikipedia/commons/thumb/c/ca/Flag_of_Iran.svg/188px-Flag_of_Iran.svg.png" TargetMode="External"/><Relationship Id="rId108" Type="http://schemas.openxmlformats.org/officeDocument/2006/relationships/hyperlink" Target="https://upload.wikimedia.org/wikipedia/commons/thumb/9/9f/Flag_of_Indonesia.svg/188px-Flag_of_Indonesia.svg.png" TargetMode="External"/><Relationship Id="rId129" Type="http://schemas.openxmlformats.org/officeDocument/2006/relationships/hyperlink" Target="https://upload.wikimedia.org/wikipedia/commons/thumb/6/68/Flag_of_Togo.svg/188px-Flag_of_Togo.svg.png" TargetMode="External"/><Relationship Id="rId54" Type="http://schemas.openxmlformats.org/officeDocument/2006/relationships/hyperlink" Target="https://upload.wikimedia.org/wikipedia/commons/thumb/e/e3/Flag_of_Papua_New_Guinea.svg/188px-Flag_of_Papua_New_Guinea.svg.png" TargetMode="External"/><Relationship Id="rId75" Type="http://schemas.openxmlformats.org/officeDocument/2006/relationships/hyperlink" Target="https://upload.wikimedia.org/wikipedia/commons/thumb/4/47/Flag_of_Liechtenstein.svg/188px-Flag_of_Liechtenstein.svg.png" TargetMode="External"/><Relationship Id="rId96" Type="http://schemas.openxmlformats.org/officeDocument/2006/relationships/hyperlink" Target="https://upload.wikimedia.org/wikipedia/commons/thumb/c/cd/Flag_of_Afghanistan_%282013%E2%80%932021%29.svg/188px-Flag_of_Afghanistan_%282013%E2%80%932021%29.svg.png" TargetMode="External"/><Relationship Id="rId140" Type="http://schemas.openxmlformats.org/officeDocument/2006/relationships/hyperlink" Target="https://upload.wikimedia.org/wikipedia/commons/thumb/0/01/Flag_of_Sudan.svg/188px-Flag_of_Sudan.svg.png" TargetMode="External"/><Relationship Id="rId161" Type="http://schemas.openxmlformats.org/officeDocument/2006/relationships/hyperlink" Target="https://upload.wikimedia.org/wikipedia/commons/thumb/0/00/Flag_of_Palestine.svg/188px-Flag_of_Palestine.svg.png" TargetMode="External"/><Relationship Id="rId182" Type="http://schemas.openxmlformats.org/officeDocument/2006/relationships/hyperlink" Target="https://upload.wikimedia.org/wikipedia/commons/thumb/c/c4/Flag_of_Dominica.svg/188px-Flag_of_Dominica.svg.png" TargetMode="External"/><Relationship Id="rId6" Type="http://schemas.openxmlformats.org/officeDocument/2006/relationships/hyperlink" Target="https://upload.wikimedia.org/wikipedia/commons/thumb/a/a5/Flag_of_the_United_Kingdom_%281-2%29.svg/188px-Flag_of_the_United_Kingdom_%281-2%29.svg.png" TargetMode="External"/><Relationship Id="rId23" Type="http://schemas.openxmlformats.org/officeDocument/2006/relationships/hyperlink" Target="https://upload.wikimedia.org/wikipedia/commons/thumb/f/fa/Flag_of_the_People%27s_Republic_of_China.svg/188px-Flag_of_the_People%27s_Republic_of_China.svg.png" TargetMode="External"/><Relationship Id="rId119" Type="http://schemas.openxmlformats.org/officeDocument/2006/relationships/hyperlink" Target="https://upload.wikimedia.org/wikipedia/commons/thumb/1/17/Flag_of_Rwanda.svg/188px-Flag_of_Rwanda.svg.png" TargetMode="External"/><Relationship Id="rId44" Type="http://schemas.openxmlformats.org/officeDocument/2006/relationships/hyperlink" Target="https://upload.wikimedia.org/wikipedia/commons/thumb/8/8f/Flag_of_Estonia.svg/188px-Flag_of_Estonia.svg.png" TargetMode="External"/><Relationship Id="rId65" Type="http://schemas.openxmlformats.org/officeDocument/2006/relationships/hyperlink" Target="https://upload.wikimedia.org/wikipedia/commons/thumb/0/0d/Flag_of_Saudi_Arabia.svg/188px-Flag_of_Saudi_Arabia.svg.png" TargetMode="External"/><Relationship Id="rId86" Type="http://schemas.openxmlformats.org/officeDocument/2006/relationships/hyperlink" Target="https://upload.wikimedia.org/wikipedia/commons/thumb/b/b1/Flag_of_San_Marino.svg/188px-Flag_of_San_Marino.svg.png" TargetMode="External"/><Relationship Id="rId130" Type="http://schemas.openxmlformats.org/officeDocument/2006/relationships/hyperlink" Target="https://upload.wikimedia.org/wikipedia/commons/thumb/e/e6/Flag_of_Slovakia.svg/188px-Flag_of_Slovakia.svg.png" TargetMode="External"/><Relationship Id="rId151" Type="http://schemas.openxmlformats.org/officeDocument/2006/relationships/hyperlink" Target="https://upload.wikimedia.org/wikipedia/commons/thumb/1/17/Flag_of_Sierra_Leone.svg/188px-Flag_of_Sierra_Leone.svg.png" TargetMode="External"/><Relationship Id="rId172" Type="http://schemas.openxmlformats.org/officeDocument/2006/relationships/hyperlink" Target="https://upload.wikimedia.org/wikipedia/commons/thumb/9/99/Flag_of_Guyana.svg/188px-Flag_of_Guyana.svg.png" TargetMode="External"/><Relationship Id="rId193" Type="http://schemas.openxmlformats.org/officeDocument/2006/relationships/hyperlink" Target="https://upload.wikimedia.org/wikipedia/commons/thumb/8/8c/Flag_of_Myanmar.svg/188px-Flag_of_Myanmar.svg.png" TargetMode="External"/><Relationship Id="rId207" Type="http://schemas.openxmlformats.org/officeDocument/2006/relationships/hyperlink" Target="https://upload.wikimedia.org/wikipedia/commons/thumb/7/77/Flag_of_Mauritius.svg/188px-Flag_of_Mauritius.svg.png" TargetMode="External"/><Relationship Id="rId13" Type="http://schemas.openxmlformats.org/officeDocument/2006/relationships/hyperlink" Target="https://upload.wikimedia.org/wikipedia/en/thumb/4/4c/Flag_of_Sweden.svg/188px-Flag_of_Sweden.svg.png" TargetMode="External"/><Relationship Id="rId109" Type="http://schemas.openxmlformats.org/officeDocument/2006/relationships/hyperlink" Target="https://upload.wikimedia.org/wikipedia/commons/thumb/2/26/Flag_of_East_Timor.svg/188px-Flag_of_East_Timor.svg.png" TargetMode="External"/><Relationship Id="rId34" Type="http://schemas.openxmlformats.org/officeDocument/2006/relationships/hyperlink" Target="https://upload.wikimedia.org/wikipedia/commons/thumb/e/e8/Flag_of_Ecuador.svg/188px-Flag_of_Ecuador.svg.png" TargetMode="External"/><Relationship Id="rId55" Type="http://schemas.openxmlformats.org/officeDocument/2006/relationships/hyperlink" Target="https://upload.wikimedia.org/wikipedia/commons/thumb/7/74/Flag_of_the_Solomon_Islands.svg/188px-Flag_of_the_Solomon_Islands.svg.png" TargetMode="External"/><Relationship Id="rId76" Type="http://schemas.openxmlformats.org/officeDocument/2006/relationships/hyperlink" Target="https://upload.wikimedia.org/wikipedia/commons/thumb/3/38/Flag_of_Cape_Verde.svg/188px-Flag_of_Cape_Verde.svg.png" TargetMode="External"/><Relationship Id="rId97" Type="http://schemas.openxmlformats.org/officeDocument/2006/relationships/hyperlink" Target="https://upload.wikimedia.org/wikipedia/commons/thumb/d/d0/Flag_of_Tajikistan.svg/188px-Flag_of_Tajikistan.svg.png" TargetMode="External"/><Relationship Id="rId120" Type="http://schemas.openxmlformats.org/officeDocument/2006/relationships/hyperlink" Target="https://upload.wikimedia.org/wikipedia/commons/thumb/3/38/Flag_of_Tanzania.svg/188px-Flag_of_Tanzania.svg.png" TargetMode="External"/><Relationship Id="rId141" Type="http://schemas.openxmlformats.org/officeDocument/2006/relationships/hyperlink" Target="https://upload.wikimedia.org/wikipedia/commons/thumb/0/05/Flag_of_Libya.svg/188px-Flag_of_Libya.svg.png" TargetMode="External"/><Relationship Id="rId7" Type="http://schemas.openxmlformats.org/officeDocument/2006/relationships/hyperlink" Target="https://upload.wikimedia.org/wikipedia/en/thumb/4/41/Flag_of_India.svg/188px-Flag_of_India.svg.png" TargetMode="External"/><Relationship Id="rId162" Type="http://schemas.openxmlformats.org/officeDocument/2006/relationships/hyperlink" Target="https://upload.wikimedia.org/wikipedia/commons/thumb/d/d4/Flag_of_Israel.svg/188px-Flag_of_Israel.svg.png" TargetMode="External"/><Relationship Id="rId183" Type="http://schemas.openxmlformats.org/officeDocument/2006/relationships/hyperlink" Target="https://upload.wikimedia.org/wikipedia/commons/thumb/f/fe/Flag_of_Uruguay.svg/188px-Flag_of_Uruguay.svg.png" TargetMode="External"/><Relationship Id="rId24" Type="http://schemas.openxmlformats.org/officeDocument/2006/relationships/hyperlink" Target="https://upload.wikimedia.org/wikipedia/commons/thumb/1/1a/Flag_of_Argentina.svg/188px-Flag_of_Argentina.svg.png" TargetMode="External"/><Relationship Id="rId45" Type="http://schemas.openxmlformats.org/officeDocument/2006/relationships/hyperlink" Target="https://upload.wikimedia.org/wikipedia/commons/thumb/8/84/Flag_of_Latvia.svg/188px-Flag_of_Latvia.svg.png" TargetMode="External"/><Relationship Id="rId66" Type="http://schemas.openxmlformats.org/officeDocument/2006/relationships/hyperlink" Target="https://upload.wikimedia.org/wikipedia/commons/thumb/c/ce/Flag_of_Tunisia.svg/188px-Flag_of_Tunisia.svg.png" TargetMode="External"/><Relationship Id="rId87" Type="http://schemas.openxmlformats.org/officeDocument/2006/relationships/hyperlink" Target="https://upload.wikimedia.org/wikipedia/commons/thumb/0/0a/Flag_of_S%C3%A3o_Tom%C3%A9_and_Pr%C3%ADncipe.svg/188px-Flag_of_S%C3%A3o_Tom%C3%A9_and_Pr%C3%ADncipe.svg.png" TargetMode="External"/><Relationship Id="rId110" Type="http://schemas.openxmlformats.org/officeDocument/2006/relationships/hyperlink" Target="https://upload.wikimedia.org/wikipedia/commons/thumb/2/2f/Flag_of_Armenia.svg/188px-Flag_of_Armenia.svg.png" TargetMode="External"/><Relationship Id="rId131" Type="http://schemas.openxmlformats.org/officeDocument/2006/relationships/hyperlink" Target="https://upload.wikimedia.org/wikipedia/commons/thumb/4/45/Flag_of_Ireland.svg/195px-Flag_of_Ireland.svg.png" TargetMode="External"/><Relationship Id="rId61" Type="http://schemas.openxmlformats.org/officeDocument/2006/relationships/hyperlink" Target="https://upload.wikimedia.org/wikipedia/commons/thumb/5/5c/Flag_of_Portugal.svg/188px-Flag_of_Portugal.svg.png" TargetMode="External"/><Relationship Id="rId82" Type="http://schemas.openxmlformats.org/officeDocument/2006/relationships/hyperlink" Target="https://upload.wikimedia.org/wikipedia/commons/thumb/2/21/Flag_of_Colombia.svg/188px-Flag_of_Colombia.svg.png" TargetMode="External"/><Relationship Id="rId152" Type="http://schemas.openxmlformats.org/officeDocument/2006/relationships/hyperlink" Target="https://upload.wikimedia.org/wikipedia/commons/thumb/3/31/Flag_of_Equatorial_Guinea.svg/188px-Flag_of_Equatorial_Guinea.svg.png" TargetMode="External"/><Relationship Id="rId173" Type="http://schemas.openxmlformats.org/officeDocument/2006/relationships/hyperlink" Target="https://upload.wikimedia.org/wikipedia/commons/thumb/5/56/Flag_of_Haiti.svg/188px-Flag_of_Haiti.svg.png" TargetMode="External"/><Relationship Id="rId194" Type="http://schemas.openxmlformats.org/officeDocument/2006/relationships/hyperlink" Target="https://upload.wikimedia.org/wikipedia/commons/thumb/0/00/Flag_of_Namibia.svg/188px-Flag_of_Namibia.svg.png" TargetMode="External"/><Relationship Id="rId199" Type="http://schemas.openxmlformats.org/officeDocument/2006/relationships/hyperlink" Target="https://upload.wikimedia.org/wikipedia/commons/thumb/3/38/Flag_of_Tuvalu.svg/188px-Flag_of_Tuvalu.svg.png" TargetMode="External"/><Relationship Id="rId203" Type="http://schemas.openxmlformats.org/officeDocument/2006/relationships/hyperlink" Target="https://upload.wikimedia.org/wikipedia/commons/thumb/5/51/Flag_of_North_Korea.svg/188px-Flag_of_North_Korea.svg.png" TargetMode="External"/><Relationship Id="rId208" Type="http://schemas.openxmlformats.org/officeDocument/2006/relationships/printerSettings" Target="../printerSettings/printerSettings2.bin"/><Relationship Id="rId19" Type="http://schemas.openxmlformats.org/officeDocument/2006/relationships/hyperlink" Target="https://upload.wikimedia.org/wikipedia/commons/thumb/0/09/Flag_of_South_Korea.svg/188px-Flag_of_South_Korea.svg.png" TargetMode="External"/><Relationship Id="rId14" Type="http://schemas.openxmlformats.org/officeDocument/2006/relationships/hyperlink" Target="https://upload.wikimedia.org/wikipedia/en/thumb/9/9e/Flag_of_Japan.svg/188px-Flag_of_Japan.svg.png" TargetMode="External"/><Relationship Id="rId30" Type="http://schemas.openxmlformats.org/officeDocument/2006/relationships/hyperlink" Target="https://upload.wikimedia.org/wikipedia/commons/thumb/0/0a/Flag_of_Jamaica.svg/188px-Flag_of_Jamaica.svg.png" TargetMode="External"/><Relationship Id="rId35" Type="http://schemas.openxmlformats.org/officeDocument/2006/relationships/hyperlink" Target="https://upload.wikimedia.org/wikipedia/commons/thumb/7/71/Flag_of_Ethiopia.svg/188px-Flag_of_Ethiopia.svg.png" TargetMode="External"/><Relationship Id="rId56" Type="http://schemas.openxmlformats.org/officeDocument/2006/relationships/hyperlink" Target="https://upload.wikimedia.org/wikipedia/commons/thumb/b/bc/Flag_of_Vanuatu.svg/188px-Flag_of_Vanuatu.svg.png" TargetMode="External"/><Relationship Id="rId77" Type="http://schemas.openxmlformats.org/officeDocument/2006/relationships/hyperlink" Target="https://upload.wikimedia.org/wikipedia/commons/thumb/0/06/Flag_of_Venezuela.svg/188px-Flag_of_Venezuela.svg.png" TargetMode="External"/><Relationship Id="rId100" Type="http://schemas.openxmlformats.org/officeDocument/2006/relationships/hyperlink" Target="https://upload.wikimedia.org/wikipedia/commons/thumb/9/91/Flag_of_Bhutan.svg/188px-Flag_of_Bhutan.svg.png" TargetMode="External"/><Relationship Id="rId105" Type="http://schemas.openxmlformats.org/officeDocument/2006/relationships/hyperlink" Target="https://upload.wikimedia.org/wikipedia/commons/thumb/1/1f/Flag_of_Kosovo.svg/188px-Flag_of_Kosovo.svg.png" TargetMode="External"/><Relationship Id="rId126" Type="http://schemas.openxmlformats.org/officeDocument/2006/relationships/hyperlink" Target="https://upload.wikimedia.org/wikipedia/commons/thumb/4/43/Flag_of_Mauritania.svg/188px-Flag_of_Mauritania.svg.png" TargetMode="External"/><Relationship Id="rId147" Type="http://schemas.openxmlformats.org/officeDocument/2006/relationships/hyperlink" Target="https://upload.wikimedia.org/wikipedia/commons/thumb/0/04/Flag_of_Gabon.svg/188px-Flag_of_Gabon.svg.png" TargetMode="External"/><Relationship Id="rId168" Type="http://schemas.openxmlformats.org/officeDocument/2006/relationships/hyperlink" Target="https://upload.wikimedia.org/wikipedia/commons/thumb/d/da/Flag_of_Luxembourg.svg/188px-Flag_of_Luxembourg.svg.png" TargetMode="External"/><Relationship Id="rId8" Type="http://schemas.openxmlformats.org/officeDocument/2006/relationships/hyperlink" Target="https://upload.wikimedia.org/wikipedia/commons/thumb/8/89/Bandera_de_Espa%C3%B1a.svg/188px-Bandera_de_Espa%C3%B1a.svg.png" TargetMode="External"/><Relationship Id="rId51" Type="http://schemas.openxmlformats.org/officeDocument/2006/relationships/hyperlink" Target="https://upload.wikimedia.org/wikipedia/commons/thumb/9/99/Flag_of_the_Philippines.svg/195px-Flag_of_the_Philippines.svg.png" TargetMode="External"/><Relationship Id="rId72" Type="http://schemas.openxmlformats.org/officeDocument/2006/relationships/hyperlink" Target="https://upload.wikimedia.org/wikipedia/commons/thumb/4/4f/Flag_of_Cameroon.svg/188px-Flag_of_Cameroon.svg.png" TargetMode="External"/><Relationship Id="rId93" Type="http://schemas.openxmlformats.org/officeDocument/2006/relationships/hyperlink" Target="https://upload.wikimedia.org/wikipedia/commons/thumb/c/c7/Flag_of_Kyrgyzstan.svg/188px-Flag_of_Kyrgyzstan.svg.png" TargetMode="External"/><Relationship Id="rId98" Type="http://schemas.openxmlformats.org/officeDocument/2006/relationships/hyperlink" Target="https://upload.wikimedia.org/wikipedia/commons/thumb/3/32/Flag_of_Pakistan.svg/188px-Flag_of_Pakistan.svg.png" TargetMode="External"/><Relationship Id="rId121" Type="http://schemas.openxmlformats.org/officeDocument/2006/relationships/hyperlink" Target="https://upload.wikimedia.org/wikipedia/commons/thumb/5/50/Flag_of_Burundi.svg/188px-Flag_of_Burundi.svg.png" TargetMode="External"/><Relationship Id="rId142" Type="http://schemas.openxmlformats.org/officeDocument/2006/relationships/hyperlink" Target="https://upload.wikimedia.org/wikipedia/commons/thumb/4/4b/Flag_of_Chad.svg/188px-Flag_of_Chad.svg.png" TargetMode="External"/><Relationship Id="rId163" Type="http://schemas.openxmlformats.org/officeDocument/2006/relationships/hyperlink" Target="https://upload.wikimedia.org/wikipedia/commons/thumb/c/c0/Flag_of_Jordan.svg/188px-Flag_of_Jordan.svg.png" TargetMode="External"/><Relationship Id="rId184" Type="http://schemas.openxmlformats.org/officeDocument/2006/relationships/hyperlink" Target="https://upload.wikimedia.org/wikipedia/commons/thumb/d/dd/Flag_of_Azerbaijan.svg/188px-Flag_of_Azerbaijan.svg.png" TargetMode="External"/><Relationship Id="rId189" Type="http://schemas.openxmlformats.org/officeDocument/2006/relationships/hyperlink" Target="https://upload.wikimedia.org/wikipedia/commons/thumb/7/73/Flag_of_Malta.svg/188px-Flag_of_Malta.svg.png" TargetMode="External"/><Relationship Id="rId3" Type="http://schemas.openxmlformats.org/officeDocument/2006/relationships/hyperlink" Target="https://upload.wikimedia.org/wikipedia/commons/thumb/f/fb/Flag_of_Eswatini.svg/1200px-Flag_of_Eswatini.svg.png" TargetMode="External"/><Relationship Id="rId25" Type="http://schemas.openxmlformats.org/officeDocument/2006/relationships/hyperlink" Target="https://upload.wikimedia.org/wikipedia/commons/thumb/8/88/Flag_of_Australia_%28converted%29.svg/188px-Flag_of_Australia_%28converted%29.svg.png" TargetMode="External"/><Relationship Id="rId46" Type="http://schemas.openxmlformats.org/officeDocument/2006/relationships/hyperlink" Target="https://upload.wikimedia.org/wikipedia/commons/thumb/1/11/Flag_of_Lithuania.svg/188px-Flag_of_Lithuania.svg.png" TargetMode="External"/><Relationship Id="rId67" Type="http://schemas.openxmlformats.org/officeDocument/2006/relationships/hyperlink" Target="https://upload.wikimedia.org/wikipedia/commons/thumb/f/f2/Flag_of_Costa_Rica.svg/188px-Flag_of_Costa_Rica.svg.png" TargetMode="External"/><Relationship Id="rId116" Type="http://schemas.openxmlformats.org/officeDocument/2006/relationships/hyperlink" Target="https://upload.wikimedia.org/wikipedia/commons/thumb/9/9d/Flag_of_Angola.svg/188px-Flag_of_Angola.svg.png" TargetMode="External"/><Relationship Id="rId137" Type="http://schemas.openxmlformats.org/officeDocument/2006/relationships/hyperlink" Target="https://upload.wikimedia.org/wikipedia/commons/thumb/d/d1/Flag_of_Malawi.svg/188px-Flag_of_Malawi.svg.png" TargetMode="External"/><Relationship Id="rId158" Type="http://schemas.openxmlformats.org/officeDocument/2006/relationships/hyperlink" Target="https://upload.wikimedia.org/wikipedia/commons/thumb/9/9f/Flag_of_Saint_Lucia.svg/188px-Flag_of_Saint_Lucia.svg.png" TargetMode="External"/><Relationship Id="rId20" Type="http://schemas.openxmlformats.org/officeDocument/2006/relationships/hyperlink" Target="https://upload.wikimedia.org/wikipedia/en/thumb/c/c3/Flag_of_France.svg/188px-Flag_of_France.svg.png" TargetMode="External"/><Relationship Id="rId41" Type="http://schemas.openxmlformats.org/officeDocument/2006/relationships/hyperlink" Target="https://upload.wikimedia.org/wikipedia/commons/thumb/8/85/Flag_of_Belarus.svg/188px-Flag_of_Belarus.svg.png" TargetMode="External"/><Relationship Id="rId62" Type="http://schemas.openxmlformats.org/officeDocument/2006/relationships/hyperlink" Target="https://upload.wikimedia.org/wikipedia/commons/thumb/c/cb/Flag_of_the_Czech_Republic.svg/188px-Flag_of_the_Czech_Republic.svg.png" TargetMode="External"/><Relationship Id="rId83" Type="http://schemas.openxmlformats.org/officeDocument/2006/relationships/hyperlink" Target="https://upload.wikimedia.org/wikipedia/commons/thumb/c/cf/Flag_of_Peru.svg/188px-Flag_of_Peru.svg.png" TargetMode="External"/><Relationship Id="rId88" Type="http://schemas.openxmlformats.org/officeDocument/2006/relationships/hyperlink" Target="https://upload.wikimedia.org/wikipedia/commons/thumb/f/fc/Flag_of_Seychelles.svg/188px-Flag_of_Seychelles.svg.png" TargetMode="External"/><Relationship Id="rId111" Type="http://schemas.openxmlformats.org/officeDocument/2006/relationships/hyperlink" Target="https://upload.wikimedia.org/wikipedia/commons/thumb/0/0f/Flag_of_Georgia.svg/188px-Flag_of_Georgia.svg.png" TargetMode="External"/><Relationship Id="rId132" Type="http://schemas.openxmlformats.org/officeDocument/2006/relationships/hyperlink" Target="https://upload.wikimedia.org/wikipedia/commons/thumb/f/f0/Flag_of_Slovenia.svg/188px-Flag_of_Slovenia.svg.png" TargetMode="External"/><Relationship Id="rId153" Type="http://schemas.openxmlformats.org/officeDocument/2006/relationships/hyperlink" Target="https://upload.wikimedia.org/wikipedia/commons/thumb/3/34/Flag_of_El_Salvador.svg/188px-Flag_of_El_Salvador.svg.png" TargetMode="External"/><Relationship Id="rId174" Type="http://schemas.openxmlformats.org/officeDocument/2006/relationships/hyperlink" Target="https://upload.wikimedia.org/wikipedia/commons/thumb/b/bd/Flag_of_Cuba.svg/188px-Flag_of_Cuba.svg.png" TargetMode="External"/><Relationship Id="rId179" Type="http://schemas.openxmlformats.org/officeDocument/2006/relationships/hyperlink" Target="https://upload.wikimedia.org/wikipedia/commons/thumb/1/19/Flag_of_Andorra.svg/188px-Flag_of_Andorra.svg.png" TargetMode="External"/><Relationship Id="rId195" Type="http://schemas.openxmlformats.org/officeDocument/2006/relationships/hyperlink" Target="https://upload.wikimedia.org/wikipedia/commons/thumb/6/6a/Flag_of_Zimbabwe.svg/188px-Flag_of_Zimbabwe.svg.png" TargetMode="External"/><Relationship Id="rId209" Type="http://schemas.openxmlformats.org/officeDocument/2006/relationships/table" Target="../tables/table3.xml"/><Relationship Id="rId190" Type="http://schemas.openxmlformats.org/officeDocument/2006/relationships/hyperlink" Target="https://upload.wikimedia.org/wikipedia/commons/thumb/2/2e/Flag_of_the_Marshall_Islands.svg/188px-Flag_of_the_Marshall_Islands.svg.png" TargetMode="External"/><Relationship Id="rId204" Type="http://schemas.openxmlformats.org/officeDocument/2006/relationships/hyperlink" Target="https://upload.wikimedia.org/wikipedia/commons/thumb/f/f4/Flag_of_Niger.svg/150px-Flag_of_Niger.svg.png" TargetMode="External"/><Relationship Id="rId15" Type="http://schemas.openxmlformats.org/officeDocument/2006/relationships/hyperlink" Target="https://upload.wikimedia.org/wikipedia/commons/thumb/5/53/Flag_of_Syria.svg/188px-Flag_of_Syria.svg.png" TargetMode="External"/><Relationship Id="rId36" Type="http://schemas.openxmlformats.org/officeDocument/2006/relationships/hyperlink" Target="https://upload.wikimedia.org/wikipedia/en/thumb/1/12/Flag_of_Poland.svg/188px-Flag_of_Poland.svg.png" TargetMode="External"/><Relationship Id="rId57" Type="http://schemas.openxmlformats.org/officeDocument/2006/relationships/hyperlink" Target="https://upload.wikimedia.org/wikipedia/commons/thumb/b/ba/Flag_of_Fiji.svg/188px-Flag_of_Fiji.svg.png" TargetMode="External"/><Relationship Id="rId106" Type="http://schemas.openxmlformats.org/officeDocument/2006/relationships/hyperlink" Target="https://upload.wikimedia.org/wikipedia/commons/thumb/6/66/Flag_of_Malaysia.svg/188px-Flag_of_Malaysia.svg.png" TargetMode="External"/><Relationship Id="rId127" Type="http://schemas.openxmlformats.org/officeDocument/2006/relationships/hyperlink" Target="https://upload.wikimedia.org/wikipedia/commons/thumb/f/fe/Flag_of_C%C3%B4te_d%27Ivoire.svg/188px-Flag_of_C%C3%B4te_d%27Ivoire.svg.png" TargetMode="External"/><Relationship Id="rId10" Type="http://schemas.openxmlformats.org/officeDocument/2006/relationships/hyperlink" Target="https://upload.wikimedia.org/wikipedia/commons/thumb/c/c1/Flag_of_Hungary.svg/188px-Flag_of_Hungary.svg.png" TargetMode="External"/><Relationship Id="rId31" Type="http://schemas.openxmlformats.org/officeDocument/2006/relationships/hyperlink" Target="https://upload.wikimedia.org/wikipedia/commons/thumb/3/3e/Flag_of_New_Zealand.svg/188px-Flag_of_New_Zealand.svg.png" TargetMode="External"/><Relationship Id="rId52" Type="http://schemas.openxmlformats.org/officeDocument/2006/relationships/hyperlink" Target="https://upload.wikimedia.org/wikipedia/commons/thumb/4/48/Flag_of_Palau.svg/188px-Flag_of_Palau.svg.png" TargetMode="External"/><Relationship Id="rId73" Type="http://schemas.openxmlformats.org/officeDocument/2006/relationships/hyperlink" Target="https://upload.wikimedia.org/wikipedia/commons/thumb/d/d9/Flag_of_Norway.svg/188px-Flag_of_Norway.svg.png" TargetMode="External"/><Relationship Id="rId78" Type="http://schemas.openxmlformats.org/officeDocument/2006/relationships/hyperlink" Target="https://upload.wikimedia.org/wikipedia/commons/thumb/6/64/Flag_of_Trinidad_and_Tobago.svg/188px-Flag_of_Trinidad_and_Tobago.svg.png" TargetMode="External"/><Relationship Id="rId94" Type="http://schemas.openxmlformats.org/officeDocument/2006/relationships/hyperlink" Target="https://upload.wikimedia.org/wikipedia/commons/thumb/0/04/Flag_of_Kazakhstan_%28President_of_Kazakhstan_website%29.svg/203px-Flag_of_Kazakhstan_%28President_of_Kazakhstan_website%29.svg.png" TargetMode="External"/><Relationship Id="rId99" Type="http://schemas.openxmlformats.org/officeDocument/2006/relationships/hyperlink" Target="https://upload.wikimedia.org/wikipedia/commons/thumb/9/9b/Flag_of_Nepal.svg/143px-Flag_of_Nepal.svg.png" TargetMode="External"/><Relationship Id="rId101" Type="http://schemas.openxmlformats.org/officeDocument/2006/relationships/hyperlink" Target="https://upload.wikimedia.org/wikipedia/commons/thumb/f/f9/Flag_of_Bangladesh.svg/188px-Flag_of_Bangladesh.svg.png" TargetMode="External"/><Relationship Id="rId122" Type="http://schemas.openxmlformats.org/officeDocument/2006/relationships/hyperlink" Target="https://upload.wikimedia.org/wikipedia/commons/thumb/0/06/Flag_of_Zambia.svg/188px-Flag_of_Zambia.svg.png" TargetMode="External"/><Relationship Id="rId143" Type="http://schemas.openxmlformats.org/officeDocument/2006/relationships/hyperlink" Target="https://upload.wikimedia.org/wikipedia/commons/thumb/3/35/Flag_of_the_Cook_Islands.svg/188px-Flag_of_the_Cook_Islands.svg.png" TargetMode="External"/><Relationship Id="rId148" Type="http://schemas.openxmlformats.org/officeDocument/2006/relationships/hyperlink" Target="https://upload.wikimedia.org/wikipedia/commons/thumb/7/77/Flag_of_The_Gambia.svg/188px-Flag_of_The_Gambia.svg.png" TargetMode="External"/><Relationship Id="rId164" Type="http://schemas.openxmlformats.org/officeDocument/2006/relationships/hyperlink" Target="https://upload.wikimedia.org/wikipedia/commons/thumb/d/d3/Flag_of_Kiribati.svg/188px-Flag_of_Kiribati.svg.png" TargetMode="External"/><Relationship Id="rId169" Type="http://schemas.openxmlformats.org/officeDocument/2006/relationships/hyperlink" Target="https://upload.wikimedia.org/wikipedia/commons/thumb/0/0f/Flag_of_Maldives.svg/188px-Flag_of_Maldives.svg.png" TargetMode="External"/><Relationship Id="rId185" Type="http://schemas.openxmlformats.org/officeDocument/2006/relationships/hyperlink" Target="https://upload.wikimedia.org/wikipedia/commons/thumb/5/5b/Flag_of_Hong_Kong.svg/188px-Flag_of_Hong_Kong.svg.png" TargetMode="External"/><Relationship Id="rId4" Type="http://schemas.openxmlformats.org/officeDocument/2006/relationships/hyperlink" Target="https://upload.wikimedia.org/wikipedia/commons/thumb/4/41/Flag_of_Austria.svg/188px-Flag_of_Austria.svg.png" TargetMode="External"/><Relationship Id="rId9" Type="http://schemas.openxmlformats.org/officeDocument/2006/relationships/hyperlink" Target="https://upload.wikimedia.org/wikipedia/commons/thumb/a/a9/Flag_of_the_United_States_%28DoS_ECA_Color_Standard%29.svg/188px-Flag_of_the_United_States_%28DoS_ECA_Color_Standard%29.svg.png" TargetMode="External"/><Relationship Id="rId180" Type="http://schemas.openxmlformats.org/officeDocument/2006/relationships/hyperlink" Target="https://upload.wikimedia.org/wikipedia/commons/thumb/8/87/Flag_of_American_Samoa.svg/195px-Flag_of_American_Samoa.svg.png" TargetMode="External"/><Relationship Id="rId26" Type="http://schemas.openxmlformats.org/officeDocument/2006/relationships/hyperlink" Target="https://upload.wikimedia.org/wikipedia/commons/thumb/8/89/Flag_of_Antigua_and_Barbuda.svg/188px-Flag_of_Antigua_and_Barbuda.svg.png" TargetMode="External"/><Relationship Id="rId47" Type="http://schemas.openxmlformats.org/officeDocument/2006/relationships/hyperlink" Target="https://upload.wikimedia.org/wikipedia/commons/thumb/a/a9/Flag_of_Thailand.svg/188px-Flag_of_Thailand.svg.png" TargetMode="External"/><Relationship Id="rId68" Type="http://schemas.openxmlformats.org/officeDocument/2006/relationships/hyperlink" Target="https://upload.wikimedia.org/wikipedia/commons/thumb/2/2c/Flag_of_Morocco.svg/188px-Flag_of_Morocco.svg.png" TargetMode="External"/><Relationship Id="rId89" Type="http://schemas.openxmlformats.org/officeDocument/2006/relationships/hyperlink" Target="https://upload.wikimedia.org/wikipedia/commons/thumb/2/27/Flag_of_Moldova.svg/188px-Flag_of_Moldova.svg.png" TargetMode="External"/><Relationship Id="rId112" Type="http://schemas.openxmlformats.org/officeDocument/2006/relationships/hyperlink" Target="https://upload.wikimedia.org/wikipedia/commons/thumb/b/b4/Flag_of_Turkey.svg/188px-Flag_of_Turkey.svg.png" TargetMode="External"/><Relationship Id="rId133" Type="http://schemas.openxmlformats.org/officeDocument/2006/relationships/hyperlink" Target="https://upload.wikimedia.org/wikipedia/commons/thumb/b/bc/Flag_of_Finland.svg/188px-Flag_of_Finland.svg.png" TargetMode="External"/><Relationship Id="rId154" Type="http://schemas.openxmlformats.org/officeDocument/2006/relationships/hyperlink" Target="https://upload.wikimedia.org/wikipedia/commons/thumb/e/ec/Flag_of_Guatemala.svg/188px-Flag_of_Guatemala.svg.png" TargetMode="External"/><Relationship Id="rId175" Type="http://schemas.openxmlformats.org/officeDocument/2006/relationships/hyperlink" Target="https://upload.wikimedia.org/wikipedia/commons/thumb/9/9f/Flag_of_the_Dominican_Republic.svg/188px-Flag_of_the_Dominican_Republic.svg.png" TargetMode="External"/><Relationship Id="rId196" Type="http://schemas.openxmlformats.org/officeDocument/2006/relationships/hyperlink" Target="https://upload.wikimedia.org/wikipedia/commons/thumb/8/89/Flag_of_Yemen.svg/188px-Flag_of_Yemen.svg.png" TargetMode="External"/><Relationship Id="rId200" Type="http://schemas.openxmlformats.org/officeDocument/2006/relationships/hyperlink" Target="https://upload.wikimedia.org/wikipedia/commons/thumb/a/a0/Flag_of_Somalia.svg/188px-Flag_of_Somalia.svg.png" TargetMode="External"/><Relationship Id="rId16" Type="http://schemas.openxmlformats.org/officeDocument/2006/relationships/hyperlink" Target="https://upload.wikimedia.org/wikipedia/en/thumb/0/05/Flag_of_Brazil.svg/188px-Flag_of_Brazil.svg.png" TargetMode="External"/><Relationship Id="rId37" Type="http://schemas.openxmlformats.org/officeDocument/2006/relationships/hyperlink" Target="https://upload.wikimedia.org/wikipedia/commons/thumb/f/fd/Flag_of_Senegal.svg/188px-Flag_of_Senegal.svg.png" TargetMode="External"/><Relationship Id="rId58" Type="http://schemas.openxmlformats.org/officeDocument/2006/relationships/hyperlink" Target="https://upload.wikimedia.org/wikipedia/commons/thumb/9/9a/Flag_of_Tonga.svg/188px-Flag_of_Tonga.svg.png" TargetMode="External"/><Relationship Id="rId79" Type="http://schemas.openxmlformats.org/officeDocument/2006/relationships/hyperlink" Target="https://upload.wikimedia.org/wikipedia/commons/thumb/6/6d/Flag_of_Saint_Vincent_and_the_Grenadines.svg/188px-Flag_of_Saint_Vincent_and_the_Grenadines.svg.png" TargetMode="External"/><Relationship Id="rId102" Type="http://schemas.openxmlformats.org/officeDocument/2006/relationships/hyperlink" Target="https://upload.wikimedia.org/wikipedia/commons/thumb/b/bf/Flag_of_Bermuda.svg/195px-Flag_of_Bermuda.svg.png" TargetMode="External"/><Relationship Id="rId123" Type="http://schemas.openxmlformats.org/officeDocument/2006/relationships/hyperlink" Target="https://upload.wikimedia.org/wikipedia/commons/thumb/0/0a/Flag_of_Benin.svg/188px-Flag_of_Benin.svg.png" TargetMode="External"/><Relationship Id="rId144" Type="http://schemas.openxmlformats.org/officeDocument/2006/relationships/hyperlink" Target="https://upload.wikimedia.org/wikipedia/commons/thumb/7/72/Flag_of_the_Republic_of_China.svg/188px-Flag_of_the_Republic_of_China.svg.png" TargetMode="External"/><Relationship Id="rId90" Type="http://schemas.openxmlformats.org/officeDocument/2006/relationships/hyperlink" Target="https://upload.wikimedia.org/wikipedia/commons/thumb/7/79/Flag_of_Nigeria.svg/195px-Flag_of_Nigeria.svg.png" TargetMode="External"/><Relationship Id="rId165" Type="http://schemas.openxmlformats.org/officeDocument/2006/relationships/hyperlink" Target="https://upload.wikimedia.org/wikipedia/commons/thumb/a/aa/Flag_of_Kuwait.svg/188px-Flag_of_Kuwait.svg.png" TargetMode="External"/><Relationship Id="rId186" Type="http://schemas.openxmlformats.org/officeDocument/2006/relationships/hyperlink" Target="https://upload.wikimedia.org/wikipedia/commons/thumb/c/ce/Flag_of_Iceland.svg/188px-Flag_of_Iceland.svg.png" TargetMode="External"/><Relationship Id="rId27" Type="http://schemas.openxmlformats.org/officeDocument/2006/relationships/hyperlink" Target="https://upload.wikimedia.org/wikipedia/commons/thumb/9/93/Flag_of_the_Bahamas.svg/188px-Flag_of_the_Bahamas.svg.png" TargetMode="External"/><Relationship Id="rId48" Type="http://schemas.openxmlformats.org/officeDocument/2006/relationships/hyperlink" Target="https://upload.wikimedia.org/wikipedia/commons/thumb/8/83/Flag_of_Cambodia.svg/188px-Flag_of_Cambodia.svg.png" TargetMode="External"/><Relationship Id="rId69" Type="http://schemas.openxmlformats.org/officeDocument/2006/relationships/hyperlink" Target="https://upload.wikimedia.org/wikipedia/commons/thumb/6/65/Flag_of_Belgium.svg/188px-Flag_of_Belgium.svg.png" TargetMode="External"/><Relationship Id="rId113" Type="http://schemas.openxmlformats.org/officeDocument/2006/relationships/hyperlink" Target="https://upload.wikimedia.org/wikipedia/commons/thumb/d/d4/Flag_of_Cyprus.svg/188px-Flag_of_Cyprus.svg.png" TargetMode="External"/><Relationship Id="rId134" Type="http://schemas.openxmlformats.org/officeDocument/2006/relationships/hyperlink" Target="https://upload.wikimedia.org/wikipedia/commons/thumb/2/28/Flag_of_Puerto_Rico.svg/188px-Flag_of_Puerto_Rico.svg.png" TargetMode="External"/><Relationship Id="rId80" Type="http://schemas.openxmlformats.org/officeDocument/2006/relationships/hyperlink" Target="https://upload.wikimedia.org/wikipedia/commons/thumb/f/f6/Flag_of_Aruba.svg/188px-Flag_of_Aruba.svg.png" TargetMode="External"/><Relationship Id="rId155" Type="http://schemas.openxmlformats.org/officeDocument/2006/relationships/hyperlink" Target="https://upload.wikimedia.org/wikipedia/commons/thumb/7/7a/Flag_of_South_Sudan.svg/188px-Flag_of_South_Sudan.svg.png" TargetMode="External"/><Relationship Id="rId176" Type="http://schemas.openxmlformats.org/officeDocument/2006/relationships/hyperlink" Target="https://upload.wikimedia.org/wikipedia/commons/thumb/9/94/Flag_of_the_Comoros.svg/188px-Flag_of_the_Comoros.svg.png" TargetMode="External"/><Relationship Id="rId197" Type="http://schemas.openxmlformats.org/officeDocument/2006/relationships/hyperlink" Target="https://upload.wikimedia.org/wikipedia/commons/thumb/f/f8/Flag_of_the_United_States_Virgin_Islands.svg/188px-Flag_of_the_United_States_Virgin_Islands.svg.png" TargetMode="External"/><Relationship Id="rId201" Type="http://schemas.openxmlformats.org/officeDocument/2006/relationships/hyperlink" Target="https://upload.wikimedia.org/wikipedia/commons/thumb/a/ab/Flag_of_Panama.svg/188px-Flag_of_Panama.svg.png" TargetMode="External"/><Relationship Id="rId17" Type="http://schemas.openxmlformats.org/officeDocument/2006/relationships/hyperlink" Target="https://upload.wikimedia.org/wikipedia/en/thumb/b/ba/Flag_of_Germany.svg/188px-Flag_of_Germany.svg.png" TargetMode="External"/><Relationship Id="rId38" Type="http://schemas.openxmlformats.org/officeDocument/2006/relationships/hyperlink" Target="https://upload.wikimedia.org/wikipedia/commons/thumb/f/fe/Flag_of_Egypt.svg/188px-Flag_of_Egypt.svg.png" TargetMode="External"/><Relationship Id="rId59" Type="http://schemas.openxmlformats.org/officeDocument/2006/relationships/hyperlink" Target="https://upload.wikimedia.org/wikipedia/commons/thumb/e/ef/Flag_of_Barbados.svg/188px-Flag_of_Barbados.svg.png" TargetMode="External"/><Relationship Id="rId103" Type="http://schemas.openxmlformats.org/officeDocument/2006/relationships/hyperlink" Target="https://upload.wikimedia.org/wikipedia/commons/thumb/b/bf/Flag_of_Bosnia_and_Herzegovina.svg/195px-Flag_of_Bosnia_and_Herzegovina.svg.png" TargetMode="External"/><Relationship Id="rId124" Type="http://schemas.openxmlformats.org/officeDocument/2006/relationships/hyperlink" Target="https://upload.wikimedia.org/wikipedia/commons/thumb/3/31/Flag_of_Burkina_Faso.svg/188px-Flag_of_Burkina_Faso.svg.png" TargetMode="External"/><Relationship Id="rId70" Type="http://schemas.openxmlformats.org/officeDocument/2006/relationships/hyperlink" Target="https://upload.wikimedia.org/wikipedia/commons/thumb/0/08/Flag_of_Switzerland_%28Pantone%29.svg/188px-Flag_of_Switzerland_%28Pantone%29.svg.png" TargetMode="External"/><Relationship Id="rId91" Type="http://schemas.openxmlformats.org/officeDocument/2006/relationships/hyperlink" Target="https://upload.wikimedia.org/wikipedia/commons/thumb/5/5c/Flag_of_Greece.svg/188px-Flag_of_Greece.svg.png" TargetMode="External"/><Relationship Id="rId145" Type="http://schemas.openxmlformats.org/officeDocument/2006/relationships/hyperlink" Target="https://upload.wikimedia.org/wikipedia/commons/thumb/6/6f/Flag_of_the_Central_African_Republic.svg/188px-Flag_of_the_Central_African_Republic.svg.png" TargetMode="External"/><Relationship Id="rId166" Type="http://schemas.openxmlformats.org/officeDocument/2006/relationships/hyperlink" Target="https://upload.wikimedia.org/wikipedia/commons/thumb/4/4a/Flag_of_Lesotho.svg/188px-Flag_of_Lesotho.svg.png" TargetMode="External"/><Relationship Id="rId187" Type="http://schemas.openxmlformats.org/officeDocument/2006/relationships/hyperlink" Target="https://upload.wikimedia.org/wikipedia/commons/thumb/f/f6/Flag_of_Iraq.svg/188px-Flag_of_Iraq.svg.png" TargetMode="External"/><Relationship Id="rId1" Type="http://schemas.openxmlformats.org/officeDocument/2006/relationships/hyperlink" Target="https://upload.wikimedia.org/wikipedia/en/thumb/f/f3/Flag_of_Russia.svg/1920px-Flag_of_Russia.svg.png" TargetMode="External"/><Relationship Id="rId28" Type="http://schemas.openxmlformats.org/officeDocument/2006/relationships/hyperlink" Target="https://upload.wikimedia.org/wikipedia/commons/thumb/e/e7/Flag_of_Belize.svg/188px-Flag_of_Belize.svg.png" TargetMode="External"/><Relationship Id="rId49" Type="http://schemas.openxmlformats.org/officeDocument/2006/relationships/hyperlink" Target="https://upload.wikimedia.org/wikipedia/commons/thumb/5/56/Flag_of_Laos.svg/188px-Flag_of_Laos.svg.png" TargetMode="External"/><Relationship Id="rId114" Type="http://schemas.openxmlformats.org/officeDocument/2006/relationships/hyperlink" Target="https://upload.wikimedia.org/wikipedia/commons/thumb/5/59/Flag_of_Lebanon.svg/188px-Flag_of_Lebanon.svg.png" TargetMode="External"/><Relationship Id="rId60" Type="http://schemas.openxmlformats.org/officeDocument/2006/relationships/hyperlink" Target="https://upload.wikimedia.org/wikipedia/commons/thumb/8/82/Flag_of_Honduras.svg/188px-Flag_of_Honduras.svg.png" TargetMode="External"/><Relationship Id="rId81" Type="http://schemas.openxmlformats.org/officeDocument/2006/relationships/hyperlink" Target="https://upload.wikimedia.org/wikipedia/commons/thumb/4/42/Flag_of_the_British_Virgin_Islands.svg/195px-Flag_of_the_British_Virgin_Islands.svg.png" TargetMode="External"/><Relationship Id="rId135" Type="http://schemas.openxmlformats.org/officeDocument/2006/relationships/hyperlink" Target="https://upload.wikimedia.org/wikipedia/commons/thumb/a/af/Flag_of_South_Africa.svg/188px-Flag_of_South_Africa.svg.png" TargetMode="External"/><Relationship Id="rId156" Type="http://schemas.openxmlformats.org/officeDocument/2006/relationships/hyperlink" Target="https://upload.wikimedia.org/wikipedia/commons/thumb/4/49/Flag_of_Kenya.svg/188px-Flag_of_Kenya.svg.png" TargetMode="External"/><Relationship Id="rId177" Type="http://schemas.openxmlformats.org/officeDocument/2006/relationships/hyperlink" Target="https://upload.wikimedia.org/wikipedia/commons/thumb/0/0f/Flag_of_the_Cayman_Islands.svg/195px-Flag_of_the_Cayman_Islands.svg.png" TargetMode="External"/><Relationship Id="rId198" Type="http://schemas.openxmlformats.org/officeDocument/2006/relationships/hyperlink" Target="https://upload.wikimedia.org/wikipedia/commons/thumb/c/cb/Flag_of_the_United_Arab_Emirates.svg/188px-Flag_of_the_United_Arab_Emirates.svg.png" TargetMode="External"/><Relationship Id="rId202" Type="http://schemas.openxmlformats.org/officeDocument/2006/relationships/hyperlink" Target="https://upload.wikimedia.org/wikipedia/commons/thumb/d/dd/Flag_of_Oman.svg/188px-Flag_of_Oman.svg.png" TargetMode="External"/><Relationship Id="rId18" Type="http://schemas.openxmlformats.org/officeDocument/2006/relationships/hyperlink" Target="https://upload.wikimedia.org/wikipedia/en/thumb/0/03/Flag_of_Italy.svg/188px-Flag_of_Italy.svg.png" TargetMode="External"/><Relationship Id="rId39" Type="http://schemas.openxmlformats.org/officeDocument/2006/relationships/hyperlink" Target="https://upload.wikimedia.org/wikipedia/commons/thumb/3/36/Flag_of_Albania.svg/188px-Flag_of_Albania.svg.png" TargetMode="External"/><Relationship Id="rId50" Type="http://schemas.openxmlformats.org/officeDocument/2006/relationships/hyperlink" Target="https://upload.wikimedia.org/wikipedia/commons/thumb/2/21/Flag_of_Vietnam.svg/188px-Flag_of_Vietnam.svg.png" TargetMode="External"/><Relationship Id="rId104" Type="http://schemas.openxmlformats.org/officeDocument/2006/relationships/hyperlink" Target="https://upload.wikimedia.org/wikipedia/commons/thumb/6/64/Flag_of_Montenegro.svg/188px-Flag_of_Montenegro.svg.png" TargetMode="External"/><Relationship Id="rId125" Type="http://schemas.openxmlformats.org/officeDocument/2006/relationships/hyperlink" Target="https://upload.wikimedia.org/wikipedia/commons/thumb/9/92/Flag_of_Mali.svg/188px-Flag_of_Mali.svg.png" TargetMode="External"/><Relationship Id="rId146" Type="http://schemas.openxmlformats.org/officeDocument/2006/relationships/hyperlink" Target="https://upload.wikimedia.org/wikipedia/commons/thumb/9/92/Flag_of_the_Republic_of_the_Congo.svg/188px-Flag_of_the_Republic_of_the_Congo.svg.png" TargetMode="External"/><Relationship Id="rId167" Type="http://schemas.openxmlformats.org/officeDocument/2006/relationships/hyperlink" Target="https://upload.wikimedia.org/wikipedia/commons/thumb/b/b8/Flag_of_Liberia.svg/188px-Flag_of_Liberia.svg.png" TargetMode="External"/><Relationship Id="rId188" Type="http://schemas.openxmlformats.org/officeDocument/2006/relationships/hyperlink" Target="https://upload.wikimedia.org/wikipedia/commons/thumb/b/bc/Flag_of_Madagascar.svg/188px-Flag_of_Madagascar.svg.png" TargetMode="External"/><Relationship Id="rId71" Type="http://schemas.openxmlformats.org/officeDocument/2006/relationships/hyperlink" Target="https://upload.wikimedia.org/wikipedia/commons/thumb/f/ff/Flag_of_Serbia.svg/188px-Flag_of_Serbia.svg.png" TargetMode="External"/><Relationship Id="rId92" Type="http://schemas.openxmlformats.org/officeDocument/2006/relationships/hyperlink" Target="https://upload.wikimedia.org/wikipedia/commons/thumb/8/84/Flag_of_Uzbekistan.svg/188px-Flag_of_Uzbekistan.svg.png" TargetMode="External"/><Relationship Id="rId2" Type="http://schemas.openxmlformats.org/officeDocument/2006/relationships/hyperlink" Target="https://upload.wikimedia.org/wikipedia/commons/thumb/d/d9/Flag_of_Canada_%28Pantone%29.svg/188px-Flag_of_Canada_%28Pantone%29.svg.png" TargetMode="External"/><Relationship Id="rId29" Type="http://schemas.openxmlformats.org/officeDocument/2006/relationships/hyperlink" Target="https://upload.wikimedia.org/wikipedia/commons/thumb/b/bc/Flag_of_Grenada.svg/188px-Flag_of_Grenada.svg.png" TargetMode="External"/><Relationship Id="rId40" Type="http://schemas.openxmlformats.org/officeDocument/2006/relationships/hyperlink" Target="https://upload.wikimedia.org/wikipedia/commons/thumb/7/79/Flag_of_North_Macedonia.svg/188px-Flag_of_North_Macedonia.svg.png" TargetMode="External"/><Relationship Id="rId115" Type="http://schemas.openxmlformats.org/officeDocument/2006/relationships/hyperlink" Target="https://upload.wikimedia.org/wikipedia/commons/thumb/3/31/Flag_of_Samoa.svg/188px-Flag_of_Samoa.svg.png" TargetMode="External"/><Relationship Id="rId136" Type="http://schemas.openxmlformats.org/officeDocument/2006/relationships/hyperlink" Target="https://upload.wikimedia.org/wikipedia/commons/thumb/d/d0/Flag_of_Mozambique.svg/188px-Flag_of_Mozambique.svg.png" TargetMode="External"/><Relationship Id="rId157" Type="http://schemas.openxmlformats.org/officeDocument/2006/relationships/hyperlink" Target="https://upload.wikimedia.org/wikipedia/commons/thumb/a/a7/Olympic_flag.svg/330px-Olympic_flag.svg.png" TargetMode="External"/><Relationship Id="rId178" Type="http://schemas.openxmlformats.org/officeDocument/2006/relationships/hyperlink" Target="https://upload.wikimedia.org/wikipedia/commons/thumb/9/9c/Flag_of_Brunei.svg/188px-Flag_of_Brunei.svg.png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6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7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8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9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0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1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2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3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4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5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6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7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8.xml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9.xml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0.xm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1.xml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2.xml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3.xml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4.xml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5.xml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6.xml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7.xml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8.xml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9.xml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0.xml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1.xml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2.x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3.xml"/><Relationship Id="rId1" Type="http://schemas.openxmlformats.org/officeDocument/2006/relationships/printerSettings" Target="../printerSettings/printerSettings5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4.xml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5.xml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6.xml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7.xml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8.xml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9.xml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0.xml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1.xml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2.xml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3.xml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4.xml"/><Relationship Id="rId1" Type="http://schemas.openxmlformats.org/officeDocument/2006/relationships/printerSettings" Target="../printerSettings/printerSettings6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5.xml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6.xml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7.xml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8.xml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9.xml"/><Relationship Id="rId1" Type="http://schemas.openxmlformats.org/officeDocument/2006/relationships/printerSettings" Target="../printerSettings/printerSettings7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0.xml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1.xml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2.xml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3.xml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4.xml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5.xml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6.xml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7.xml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8.xml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9.xml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0.xml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1.xml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2.xml"/><Relationship Id="rId1" Type="http://schemas.openxmlformats.org/officeDocument/2006/relationships/printerSettings" Target="../printerSettings/printerSettings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3.xml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4.xml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5.xml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6.xml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7.xml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8.xml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9.xml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0.xml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1.xml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2.xml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3.xml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4.xml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5.xml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6.xml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7.xml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8.xml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9.xml"/><Relationship Id="rId1" Type="http://schemas.openxmlformats.org/officeDocument/2006/relationships/printerSettings" Target="../printerSettings/printerSettings9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0.xml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1.xml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2.xml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3.xml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4.xml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5.xml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6.xml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7.xml"/><Relationship Id="rId1" Type="http://schemas.openxmlformats.org/officeDocument/2006/relationships/printerSettings" Target="../printerSettings/printerSettings10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8.xml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9.xml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0.xml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1.xml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2.xml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3.xml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4.xml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5.xml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6.xml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7.xml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8.xml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9.xml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0.xml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1.xml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2.xml"/></Relationships>
</file>

<file path=xl/worksheets/_rels/sheet1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3.xml"/></Relationships>
</file>

<file path=xl/worksheets/_rels/sheet1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4.xml"/></Relationships>
</file>

<file path=xl/worksheets/_rels/sheet1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5.xml"/></Relationships>
</file>

<file path=xl/worksheets/_rels/sheet1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6.xml"/></Relationships>
</file>

<file path=xl/worksheets/_rels/sheet1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7.xml"/></Relationships>
</file>

<file path=xl/worksheets/_rels/sheet12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8.xml"/></Relationships>
</file>

<file path=xl/worksheets/_rels/sheet12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9.xml"/></Relationships>
</file>

<file path=xl/worksheets/_rels/sheet13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0.xml"/></Relationships>
</file>

<file path=xl/worksheets/_rels/sheet13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1.xml"/></Relationships>
</file>

<file path=xl/worksheets/_rels/sheet1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2.xml"/></Relationships>
</file>

<file path=xl/worksheets/_rels/sheet1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3.xml"/></Relationships>
</file>

<file path=xl/worksheets/_rels/sheet13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4.xml"/></Relationships>
</file>

<file path=xl/worksheets/_rels/sheet13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5.xml"/></Relationships>
</file>

<file path=xl/worksheets/_rels/sheet13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6.xml"/></Relationships>
</file>

<file path=xl/worksheets/_rels/sheet13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7.xml"/></Relationships>
</file>

<file path=xl/worksheets/_rels/sheet13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8.xml"/></Relationships>
</file>

<file path=xl/worksheets/_rels/sheet13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9.xml"/></Relationships>
</file>

<file path=xl/worksheets/_rels/sheet14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0.xml"/></Relationships>
</file>

<file path=xl/worksheets/_rels/sheet14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1.xml"/></Relationships>
</file>

<file path=xl/worksheets/_rels/sheet14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2.xml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3.xml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4.xml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5.xml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6.xml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7.xml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8.xml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9.xml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0.xml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1.xml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C213"/>
  <sheetViews>
    <sheetView workbookViewId="0">
      <pane xSplit="10056" topLeftCell="G1"/>
      <selection activeCell="E10" sqref="E10"/>
      <selection pane="topRight" activeCell="G106" sqref="G106"/>
    </sheetView>
  </sheetViews>
  <sheetFormatPr defaultRowHeight="14.4" x14ac:dyDescent="0.3"/>
  <cols>
    <col min="2" max="2" width="26.109375" bestFit="1" customWidth="1"/>
    <col min="3" max="3" width="6.5546875" bestFit="1" customWidth="1"/>
    <col min="4" max="4" width="13.88671875" bestFit="1" customWidth="1"/>
    <col min="5" max="5" width="13.44140625" bestFit="1" customWidth="1"/>
    <col min="6" max="6" width="20.44140625" bestFit="1" customWidth="1"/>
    <col min="7" max="7" width="25.21875" bestFit="1" customWidth="1"/>
    <col min="8" max="8" width="23.77734375" bestFit="1" customWidth="1"/>
    <col min="9" max="9" width="18.44140625" bestFit="1" customWidth="1"/>
    <col min="10" max="10" width="19.109375" bestFit="1" customWidth="1"/>
    <col min="11" max="11" width="20.44140625" bestFit="1" customWidth="1"/>
    <col min="12" max="12" width="14" bestFit="1" customWidth="1"/>
    <col min="13" max="13" width="21.44140625" bestFit="1" customWidth="1"/>
    <col min="14" max="14" width="22.109375" bestFit="1" customWidth="1"/>
    <col min="15" max="15" width="23.33203125" bestFit="1" customWidth="1"/>
    <col min="16" max="16" width="21.77734375" bestFit="1" customWidth="1"/>
    <col min="17" max="17" width="20" bestFit="1" customWidth="1"/>
    <col min="18" max="18" width="20.6640625" bestFit="1" customWidth="1"/>
    <col min="19" max="19" width="21.88671875" bestFit="1" customWidth="1"/>
    <col min="20" max="20" width="20.33203125" bestFit="1" customWidth="1"/>
    <col min="21" max="21" width="21.21875" bestFit="1" customWidth="1"/>
    <col min="22" max="22" width="33" bestFit="1" customWidth="1"/>
    <col min="23" max="23" width="35.88671875" bestFit="1" customWidth="1"/>
    <col min="24" max="24" width="29.21875" bestFit="1" customWidth="1"/>
    <col min="25" max="25" width="32.109375" bestFit="1" customWidth="1"/>
    <col min="26" max="26" width="29.33203125" bestFit="1" customWidth="1"/>
    <col min="27" max="27" width="32.6640625" bestFit="1" customWidth="1"/>
    <col min="28" max="28" width="33.33203125" bestFit="1" customWidth="1"/>
    <col min="29" max="29" width="22.44140625" bestFit="1" customWidth="1"/>
    <col min="30" max="30" width="25.33203125" bestFit="1" customWidth="1"/>
    <col min="31" max="31" width="22.44140625" bestFit="1" customWidth="1"/>
    <col min="32" max="32" width="25.33203125" bestFit="1" customWidth="1"/>
    <col min="33" max="33" width="22.44140625" bestFit="1" customWidth="1"/>
    <col min="34" max="34" width="25.33203125" bestFit="1" customWidth="1"/>
    <col min="35" max="35" width="22.44140625" bestFit="1" customWidth="1"/>
    <col min="36" max="36" width="25.33203125" bestFit="1" customWidth="1"/>
    <col min="37" max="37" width="23.5546875" bestFit="1" customWidth="1"/>
    <col min="38" max="38" width="26.33203125" bestFit="1" customWidth="1"/>
    <col min="39" max="39" width="23.5546875" bestFit="1" customWidth="1"/>
    <col min="40" max="40" width="26.33203125" bestFit="1" customWidth="1"/>
    <col min="41" max="41" width="24.5546875" bestFit="1" customWidth="1"/>
    <col min="42" max="42" width="27.33203125" bestFit="1" customWidth="1"/>
    <col min="43" max="43" width="29.44140625" bestFit="1" customWidth="1"/>
    <col min="44" max="44" width="32.33203125" bestFit="1" customWidth="1"/>
    <col min="45" max="45" width="29.44140625" bestFit="1" customWidth="1"/>
    <col min="46" max="46" width="32.33203125" bestFit="1" customWidth="1"/>
    <col min="47" max="47" width="35.21875" bestFit="1" customWidth="1"/>
    <col min="48" max="48" width="38.109375" bestFit="1" customWidth="1"/>
    <col min="49" max="49" width="29.5546875" bestFit="1" customWidth="1"/>
    <col min="50" max="50" width="32.44140625" bestFit="1" customWidth="1"/>
    <col min="51" max="51" width="29.5546875" bestFit="1" customWidth="1"/>
    <col min="52" max="52" width="32.44140625" bestFit="1" customWidth="1"/>
    <col min="53" max="53" width="29.6640625" bestFit="1" customWidth="1"/>
    <col min="54" max="54" width="26.33203125" bestFit="1" customWidth="1"/>
    <col min="55" max="55" width="29.21875" bestFit="1" customWidth="1"/>
    <col min="56" max="56" width="31.88671875" bestFit="1" customWidth="1"/>
    <col min="57" max="57" width="34.6640625" bestFit="1" customWidth="1"/>
    <col min="58" max="58" width="41" bestFit="1" customWidth="1"/>
    <col min="59" max="59" width="29" bestFit="1" customWidth="1"/>
    <col min="60" max="60" width="31.88671875" bestFit="1" customWidth="1"/>
    <col min="61" max="61" width="31" bestFit="1" customWidth="1"/>
    <col min="62" max="62" width="33.88671875" bestFit="1" customWidth="1"/>
    <col min="63" max="63" width="26.6640625" bestFit="1" customWidth="1"/>
    <col min="64" max="64" width="29.5546875" bestFit="1" customWidth="1"/>
    <col min="65" max="65" width="29.44140625" bestFit="1" customWidth="1"/>
    <col min="66" max="66" width="32.33203125" bestFit="1" customWidth="1"/>
    <col min="67" max="67" width="27" bestFit="1" customWidth="1"/>
    <col min="68" max="68" width="29.88671875" bestFit="1" customWidth="1"/>
    <col min="69" max="69" width="26.44140625" bestFit="1" customWidth="1"/>
    <col min="70" max="70" width="29.33203125" bestFit="1" customWidth="1"/>
    <col min="71" max="71" width="25.109375" bestFit="1" customWidth="1"/>
    <col min="72" max="72" width="28" bestFit="1" customWidth="1"/>
    <col min="73" max="73" width="27.6640625" bestFit="1" customWidth="1"/>
    <col min="74" max="74" width="30.44140625" bestFit="1" customWidth="1"/>
    <col min="75" max="75" width="26.44140625" bestFit="1" customWidth="1"/>
    <col min="76" max="76" width="30.21875" bestFit="1" customWidth="1"/>
    <col min="77" max="77" width="25.77734375" bestFit="1" customWidth="1"/>
    <col min="78" max="78" width="28.6640625" bestFit="1" customWidth="1"/>
    <col min="79" max="79" width="26.77734375" bestFit="1" customWidth="1"/>
    <col min="80" max="80" width="29.6640625" bestFit="1" customWidth="1"/>
    <col min="81" max="81" width="26.88671875" bestFit="1" customWidth="1"/>
    <col min="82" max="82" width="29.77734375" bestFit="1" customWidth="1"/>
    <col min="83" max="83" width="32.6640625" bestFit="1" customWidth="1"/>
    <col min="84" max="84" width="33.21875" bestFit="1" customWidth="1"/>
    <col min="85" max="85" width="36.109375" bestFit="1" customWidth="1"/>
    <col min="86" max="86" width="35.109375" bestFit="1" customWidth="1"/>
    <col min="87" max="87" width="38" bestFit="1" customWidth="1"/>
    <col min="88" max="89" width="20.21875" bestFit="1" customWidth="1"/>
    <col min="90" max="90" width="21.77734375" bestFit="1" customWidth="1"/>
    <col min="91" max="93" width="20.21875" bestFit="1" customWidth="1"/>
    <col min="94" max="94" width="21.21875" bestFit="1" customWidth="1"/>
    <col min="95" max="100" width="23" bestFit="1" customWidth="1"/>
    <col min="101" max="101" width="26.33203125" bestFit="1" customWidth="1"/>
    <col min="102" max="102" width="29.21875" bestFit="1" customWidth="1"/>
    <col min="103" max="103" width="26.77734375" bestFit="1" customWidth="1"/>
    <col min="104" max="104" width="29.6640625" bestFit="1" customWidth="1"/>
    <col min="105" max="105" width="26.77734375" bestFit="1" customWidth="1"/>
    <col min="106" max="106" width="29.6640625" bestFit="1" customWidth="1"/>
    <col min="107" max="107" width="34.88671875" bestFit="1" customWidth="1"/>
    <col min="108" max="108" width="37.77734375" bestFit="1" customWidth="1"/>
    <col min="109" max="109" width="28.6640625" bestFit="1" customWidth="1"/>
    <col min="110" max="110" width="26.77734375" bestFit="1" customWidth="1"/>
    <col min="111" max="111" width="25.77734375" bestFit="1" customWidth="1"/>
    <col min="112" max="113" width="28.6640625" bestFit="1" customWidth="1"/>
    <col min="114" max="114" width="26.77734375" bestFit="1" customWidth="1"/>
    <col min="115" max="115" width="25.77734375" bestFit="1" customWidth="1"/>
    <col min="116" max="116" width="28.6640625" bestFit="1" customWidth="1"/>
    <col min="117" max="117" width="25.77734375" bestFit="1" customWidth="1"/>
    <col min="118" max="119" width="28.6640625" bestFit="1" customWidth="1"/>
    <col min="120" max="120" width="31.44140625" bestFit="1" customWidth="1"/>
    <col min="121" max="121" width="26.6640625" bestFit="1" customWidth="1"/>
    <col min="122" max="122" width="29.5546875" bestFit="1" customWidth="1"/>
    <col min="123" max="123" width="28.6640625" bestFit="1" customWidth="1"/>
    <col min="124" max="124" width="31.44140625" bestFit="1" customWidth="1"/>
    <col min="125" max="125" width="21.33203125" bestFit="1" customWidth="1"/>
    <col min="126" max="126" width="24.21875" bestFit="1" customWidth="1"/>
    <col min="127" max="127" width="24" bestFit="1" customWidth="1"/>
    <col min="128" max="128" width="26.77734375" bestFit="1" customWidth="1"/>
    <col min="129" max="129" width="24" bestFit="1" customWidth="1"/>
    <col min="130" max="130" width="26.77734375" bestFit="1" customWidth="1"/>
    <col min="131" max="131" width="25.44140625" bestFit="1" customWidth="1"/>
    <col min="132" max="132" width="28.33203125" bestFit="1" customWidth="1"/>
    <col min="133" max="133" width="21.5546875" bestFit="1" customWidth="1"/>
    <col min="134" max="134" width="24.44140625" bestFit="1" customWidth="1"/>
    <col min="135" max="135" width="26.77734375" bestFit="1" customWidth="1"/>
    <col min="136" max="136" width="29.6640625" bestFit="1" customWidth="1"/>
    <col min="137" max="137" width="27.77734375" bestFit="1" customWidth="1"/>
    <col min="138" max="138" width="30.5546875" bestFit="1" customWidth="1"/>
    <col min="139" max="139" width="25" bestFit="1" customWidth="1"/>
    <col min="140" max="140" width="27.88671875" bestFit="1" customWidth="1"/>
    <col min="141" max="141" width="26.21875" bestFit="1" customWidth="1"/>
    <col min="142" max="142" width="29.109375" bestFit="1" customWidth="1"/>
    <col min="143" max="143" width="23.109375" bestFit="1" customWidth="1"/>
    <col min="144" max="144" width="26" bestFit="1" customWidth="1"/>
    <col min="145" max="145" width="38.33203125" bestFit="1" customWidth="1"/>
    <col min="146" max="146" width="41.21875" bestFit="1" customWidth="1"/>
    <col min="147" max="147" width="35.21875" bestFit="1" customWidth="1"/>
    <col min="148" max="148" width="38.109375" bestFit="1" customWidth="1"/>
    <col min="149" max="149" width="30.33203125" bestFit="1" customWidth="1"/>
    <col min="150" max="150" width="26.5546875" bestFit="1" customWidth="1"/>
    <col min="151" max="151" width="30.21875" bestFit="1" customWidth="1"/>
    <col min="152" max="152" width="26.44140625" bestFit="1" customWidth="1"/>
    <col min="153" max="153" width="30" bestFit="1" customWidth="1"/>
    <col min="154" max="154" width="26.21875" bestFit="1" customWidth="1"/>
    <col min="155" max="155" width="21.109375" bestFit="1" customWidth="1"/>
    <col min="156" max="156" width="24" bestFit="1" customWidth="1"/>
    <col min="157" max="157" width="26.33203125" bestFit="1" customWidth="1"/>
    <col min="158" max="158" width="29.21875" bestFit="1" customWidth="1"/>
    <col min="159" max="159" width="19.88671875" bestFit="1" customWidth="1"/>
    <col min="160" max="160" width="22.6640625" bestFit="1" customWidth="1"/>
    <col min="161" max="161" width="25.109375" bestFit="1" customWidth="1"/>
    <col min="162" max="162" width="28" bestFit="1" customWidth="1"/>
    <col min="163" max="163" width="21.77734375" bestFit="1" customWidth="1"/>
    <col min="164" max="164" width="24.6640625" bestFit="1" customWidth="1"/>
    <col min="165" max="165" width="27" bestFit="1" customWidth="1"/>
    <col min="166" max="166" width="29.88671875" bestFit="1" customWidth="1"/>
    <col min="167" max="167" width="31.88671875" bestFit="1" customWidth="1"/>
    <col min="168" max="168" width="34.6640625" bestFit="1" customWidth="1"/>
    <col min="169" max="169" width="28" bestFit="1" customWidth="1"/>
    <col min="170" max="170" width="30.77734375" bestFit="1" customWidth="1"/>
    <col min="171" max="171" width="22.33203125" bestFit="1" customWidth="1"/>
    <col min="172" max="172" width="25.21875" bestFit="1" customWidth="1"/>
    <col min="173" max="173" width="38.44140625" bestFit="1" customWidth="1"/>
    <col min="174" max="174" width="41.33203125" bestFit="1" customWidth="1"/>
    <col min="175" max="175" width="34.6640625" bestFit="1" customWidth="1"/>
    <col min="176" max="176" width="37.5546875" bestFit="1" customWidth="1"/>
    <col min="177" max="177" width="35" bestFit="1" customWidth="1"/>
    <col min="178" max="178" width="31.77734375" bestFit="1" customWidth="1"/>
    <col min="179" max="179" width="34.5546875" bestFit="1" customWidth="1"/>
    <col min="180" max="180" width="32.21875" bestFit="1" customWidth="1"/>
    <col min="181" max="181" width="30.44140625" bestFit="1" customWidth="1"/>
    <col min="182" max="182" width="32.6640625" bestFit="1" customWidth="1"/>
    <col min="183" max="183" width="24.6640625" bestFit="1" customWidth="1"/>
    <col min="184" max="184" width="29.88671875" bestFit="1" customWidth="1"/>
    <col min="185" max="185" width="32.77734375" bestFit="1" customWidth="1"/>
    <col min="186" max="186" width="33.77734375" bestFit="1" customWidth="1"/>
    <col min="187" max="187" width="24.6640625" bestFit="1" customWidth="1"/>
    <col min="188" max="188" width="27.44140625" bestFit="1" customWidth="1"/>
    <col min="189" max="189" width="28.6640625" bestFit="1" customWidth="1"/>
    <col min="190" max="190" width="31.44140625" bestFit="1" customWidth="1"/>
    <col min="191" max="195" width="18.44140625" bestFit="1" customWidth="1"/>
    <col min="196" max="196" width="19.5546875" bestFit="1" customWidth="1"/>
    <col min="197" max="197" width="20.5546875" bestFit="1" customWidth="1"/>
    <col min="198" max="203" width="21.33203125" bestFit="1" customWidth="1"/>
    <col min="204" max="204" width="22.33203125" bestFit="1" customWidth="1"/>
    <col min="205" max="205" width="19.21875" bestFit="1" customWidth="1"/>
    <col min="206" max="206" width="35.88671875" bestFit="1" customWidth="1"/>
    <col min="207" max="207" width="38.6640625" bestFit="1" customWidth="1"/>
    <col min="208" max="208" width="50" bestFit="1" customWidth="1"/>
    <col min="209" max="209" width="46.77734375" bestFit="1" customWidth="1"/>
    <col min="210" max="210" width="27" bestFit="1" customWidth="1"/>
    <col min="211" max="211" width="29.88671875" bestFit="1" customWidth="1"/>
    <col min="212" max="212" width="28.109375" bestFit="1" customWidth="1"/>
    <col min="213" max="213" width="30.88671875" bestFit="1" customWidth="1"/>
    <col min="214" max="214" width="31" bestFit="1" customWidth="1"/>
    <col min="215" max="215" width="33.88671875" bestFit="1" customWidth="1"/>
    <col min="216" max="216" width="27.44140625" bestFit="1" customWidth="1"/>
    <col min="217" max="217" width="30.33203125" bestFit="1" customWidth="1"/>
    <col min="218" max="218" width="28.109375" bestFit="1" customWidth="1"/>
    <col min="219" max="219" width="30.88671875" bestFit="1" customWidth="1"/>
    <col min="220" max="220" width="21.77734375" bestFit="1" customWidth="1"/>
    <col min="221" max="221" width="24.6640625" bestFit="1" customWidth="1"/>
    <col min="222" max="222" width="32.21875" bestFit="1" customWidth="1"/>
    <col min="223" max="223" width="35" bestFit="1" customWidth="1"/>
    <col min="224" max="224" width="33" bestFit="1" customWidth="1"/>
    <col min="225" max="225" width="35.88671875" bestFit="1" customWidth="1"/>
    <col min="226" max="226" width="19" bestFit="1" customWidth="1"/>
    <col min="227" max="227" width="19.6640625" bestFit="1" customWidth="1"/>
    <col min="228" max="228" width="25" bestFit="1" customWidth="1"/>
    <col min="229" max="229" width="26.6640625" bestFit="1" customWidth="1"/>
    <col min="230" max="230" width="29.5546875" bestFit="1" customWidth="1"/>
    <col min="231" max="231" width="21.21875" bestFit="1" customWidth="1"/>
    <col min="232" max="232" width="24.109375" bestFit="1" customWidth="1"/>
    <col min="233" max="233" width="20.77734375" bestFit="1" customWidth="1"/>
    <col min="234" max="234" width="23.6640625" bestFit="1" customWidth="1"/>
    <col min="235" max="235" width="23.5546875" bestFit="1" customWidth="1"/>
    <col min="236" max="236" width="29.77734375" bestFit="1" customWidth="1"/>
    <col min="237" max="237" width="32.6640625" bestFit="1" customWidth="1"/>
    <col min="238" max="238" width="35.109375" bestFit="1" customWidth="1"/>
    <col min="239" max="239" width="28.88671875" bestFit="1" customWidth="1"/>
    <col min="240" max="240" width="31.77734375" bestFit="1" customWidth="1"/>
    <col min="241" max="241" width="34.21875" bestFit="1" customWidth="1"/>
    <col min="242" max="242" width="35.88671875" bestFit="1" customWidth="1"/>
    <col min="243" max="243" width="29.77734375" bestFit="1" customWidth="1"/>
    <col min="244" max="244" width="35.6640625" bestFit="1" customWidth="1"/>
    <col min="245" max="245" width="38.5546875" bestFit="1" customWidth="1"/>
    <col min="246" max="246" width="22.77734375" bestFit="1" customWidth="1"/>
    <col min="247" max="247" width="25.6640625" bestFit="1" customWidth="1"/>
    <col min="248" max="248" width="28.21875" bestFit="1" customWidth="1"/>
    <col min="249" max="249" width="21.88671875" bestFit="1" customWidth="1"/>
    <col min="250" max="250" width="24.77734375" bestFit="1" customWidth="1"/>
    <col min="251" max="251" width="26.6640625" bestFit="1" customWidth="1"/>
    <col min="252" max="252" width="29.5546875" bestFit="1" customWidth="1"/>
    <col min="253" max="253" width="28" bestFit="1" customWidth="1"/>
    <col min="254" max="254" width="30.77734375" bestFit="1" customWidth="1"/>
    <col min="255" max="255" width="38" bestFit="1" customWidth="1"/>
    <col min="256" max="256" width="40.88671875" bestFit="1" customWidth="1"/>
    <col min="257" max="257" width="28.33203125" bestFit="1" customWidth="1"/>
    <col min="258" max="258" width="31.109375" bestFit="1" customWidth="1"/>
    <col min="259" max="259" width="26.21875" bestFit="1" customWidth="1"/>
    <col min="260" max="260" width="29.109375" bestFit="1" customWidth="1"/>
    <col min="261" max="261" width="31.109375" bestFit="1" customWidth="1"/>
    <col min="262" max="262" width="34" bestFit="1" customWidth="1"/>
    <col min="263" max="263" width="32.21875" bestFit="1" customWidth="1"/>
    <col min="264" max="264" width="35" bestFit="1" customWidth="1"/>
    <col min="265" max="265" width="32.21875" bestFit="1" customWidth="1"/>
    <col min="266" max="266" width="35" bestFit="1" customWidth="1"/>
    <col min="267" max="267" width="32.21875" bestFit="1" customWidth="1"/>
    <col min="268" max="268" width="35" bestFit="1" customWidth="1"/>
    <col min="269" max="269" width="32.21875" bestFit="1" customWidth="1"/>
    <col min="270" max="270" width="35" bestFit="1" customWidth="1"/>
    <col min="271" max="271" width="33.21875" bestFit="1" customWidth="1"/>
    <col min="272" max="272" width="36.109375" bestFit="1" customWidth="1"/>
    <col min="273" max="273" width="34" bestFit="1" customWidth="1"/>
    <col min="274" max="274" width="36.88671875" bestFit="1" customWidth="1"/>
    <col min="275" max="275" width="34" bestFit="1" customWidth="1"/>
    <col min="276" max="276" width="36.88671875" bestFit="1" customWidth="1"/>
    <col min="277" max="277" width="35.21875" bestFit="1" customWidth="1"/>
    <col min="278" max="278" width="38.109375" bestFit="1" customWidth="1"/>
    <col min="279" max="279" width="35.21875" bestFit="1" customWidth="1"/>
    <col min="280" max="280" width="38.109375" bestFit="1" customWidth="1"/>
    <col min="281" max="281" width="32.109375" bestFit="1" customWidth="1"/>
    <col min="282" max="282" width="34.88671875" bestFit="1" customWidth="1"/>
    <col min="283" max="283" width="32.109375" bestFit="1" customWidth="1"/>
    <col min="284" max="284" width="34.88671875" bestFit="1" customWidth="1"/>
    <col min="285" max="285" width="40.109375" bestFit="1" customWidth="1"/>
    <col min="286" max="286" width="42.88671875" bestFit="1" customWidth="1"/>
    <col min="287" max="287" width="40.109375" bestFit="1" customWidth="1"/>
    <col min="288" max="288" width="42.88671875" bestFit="1" customWidth="1"/>
    <col min="289" max="289" width="39.21875" bestFit="1" customWidth="1"/>
    <col min="290" max="290" width="42.109375" bestFit="1" customWidth="1"/>
    <col min="291" max="291" width="39.21875" bestFit="1" customWidth="1"/>
    <col min="292" max="292" width="42.109375" bestFit="1" customWidth="1"/>
    <col min="293" max="293" width="38.109375" bestFit="1" customWidth="1"/>
    <col min="294" max="294" width="41" bestFit="1" customWidth="1"/>
    <col min="295" max="295" width="38.21875" bestFit="1" customWidth="1"/>
    <col min="296" max="296" width="34.88671875" bestFit="1" customWidth="1"/>
    <col min="297" max="297" width="37.77734375" bestFit="1" customWidth="1"/>
    <col min="298" max="298" width="26.88671875" bestFit="1" customWidth="1"/>
    <col min="299" max="299" width="29.77734375" bestFit="1" customWidth="1"/>
    <col min="300" max="300" width="25.77734375" bestFit="1" customWidth="1"/>
    <col min="301" max="301" width="28.6640625" bestFit="1" customWidth="1"/>
    <col min="302" max="302" width="28.109375" bestFit="1" customWidth="1"/>
    <col min="303" max="305" width="24.5546875" bestFit="1" customWidth="1"/>
    <col min="306" max="306" width="25.5546875" bestFit="1" customWidth="1"/>
    <col min="307" max="309" width="27.33203125" bestFit="1" customWidth="1"/>
    <col min="310" max="310" width="28.44140625" bestFit="1" customWidth="1"/>
    <col min="311" max="311" width="21.77734375" bestFit="1" customWidth="1"/>
    <col min="312" max="312" width="24.6640625" bestFit="1" customWidth="1"/>
    <col min="313" max="313" width="22.77734375" bestFit="1" customWidth="1"/>
    <col min="314" max="314" width="25.6640625" bestFit="1" customWidth="1"/>
    <col min="315" max="315" width="22.88671875" bestFit="1" customWidth="1"/>
    <col min="316" max="316" width="26.5546875" bestFit="1" customWidth="1"/>
    <col min="317" max="317" width="29.44140625" bestFit="1" customWidth="1"/>
    <col min="318" max="318" width="22.77734375" bestFit="1" customWidth="1"/>
    <col min="319" max="319" width="29.44140625" bestFit="1" customWidth="1"/>
    <col min="320" max="320" width="32.33203125" bestFit="1" customWidth="1"/>
    <col min="321" max="321" width="30.5546875" bestFit="1" customWidth="1"/>
    <col min="322" max="322" width="33.44140625" bestFit="1" customWidth="1"/>
    <col min="323" max="325" width="25.44140625" bestFit="1" customWidth="1"/>
    <col min="326" max="326" width="26.44140625" bestFit="1" customWidth="1"/>
    <col min="327" max="327" width="27.44140625" bestFit="1" customWidth="1"/>
    <col min="328" max="331" width="28.33203125" bestFit="1" customWidth="1"/>
    <col min="332" max="332" width="29.33203125" bestFit="1" customWidth="1"/>
    <col min="333" max="337" width="30.5546875" bestFit="1" customWidth="1"/>
    <col min="338" max="338" width="31.5546875" bestFit="1" customWidth="1"/>
    <col min="339" max="343" width="34.77734375" bestFit="1" customWidth="1"/>
    <col min="344" max="344" width="35.88671875" bestFit="1" customWidth="1"/>
    <col min="345" max="350" width="33.44140625" bestFit="1" customWidth="1"/>
    <col min="351" max="351" width="28.88671875" bestFit="1" customWidth="1"/>
    <col min="352" max="352" width="31.77734375" bestFit="1" customWidth="1"/>
    <col min="353" max="353" width="32.21875" bestFit="1" customWidth="1"/>
    <col min="354" max="354" width="35" bestFit="1" customWidth="1"/>
    <col min="355" max="355" width="27.109375" bestFit="1" customWidth="1"/>
    <col min="356" max="356" width="30" bestFit="1" customWidth="1"/>
    <col min="357" max="357" width="28.33203125" bestFit="1" customWidth="1"/>
    <col min="358" max="358" width="31.109375" bestFit="1" customWidth="1"/>
    <col min="359" max="359" width="35.44140625" bestFit="1" customWidth="1"/>
    <col min="360" max="360" width="38.33203125" bestFit="1" customWidth="1"/>
    <col min="361" max="361" width="26" bestFit="1" customWidth="1"/>
    <col min="362" max="362" width="28.88671875" bestFit="1" customWidth="1"/>
    <col min="363" max="363" width="26.44140625" bestFit="1" customWidth="1"/>
    <col min="364" max="364" width="29.33203125" bestFit="1" customWidth="1"/>
    <col min="365" max="365" width="23.5546875" bestFit="1" customWidth="1"/>
    <col min="366" max="366" width="26.33203125" bestFit="1" customWidth="1"/>
    <col min="367" max="367" width="22.5546875" bestFit="1" customWidth="1"/>
    <col min="368" max="368" width="25.44140625" bestFit="1" customWidth="1"/>
    <col min="369" max="369" width="22.109375" bestFit="1" customWidth="1"/>
    <col min="370" max="370" width="25" bestFit="1" customWidth="1"/>
    <col min="371" max="371" width="22.21875" bestFit="1" customWidth="1"/>
    <col min="372" max="372" width="30.109375" bestFit="1" customWidth="1"/>
    <col min="373" max="373" width="22.21875" bestFit="1" customWidth="1"/>
    <col min="374" max="374" width="25.109375" bestFit="1" customWidth="1"/>
    <col min="375" max="375" width="22.44140625" bestFit="1" customWidth="1"/>
    <col min="376" max="376" width="34.6640625" bestFit="1" customWidth="1"/>
    <col min="377" max="377" width="37.5546875" bestFit="1" customWidth="1"/>
    <col min="378" max="378" width="35.21875" bestFit="1" customWidth="1"/>
    <col min="379" max="379" width="38.109375" bestFit="1" customWidth="1"/>
    <col min="380" max="380" width="32.33203125" bestFit="1" customWidth="1"/>
    <col min="381" max="381" width="35.109375" bestFit="1" customWidth="1"/>
    <col min="382" max="382" width="35.6640625" bestFit="1" customWidth="1"/>
    <col min="383" max="383" width="38.5546875" bestFit="1" customWidth="1"/>
    <col min="384" max="384" width="32.77734375" bestFit="1" customWidth="1"/>
    <col min="385" max="385" width="35.5546875" bestFit="1" customWidth="1"/>
    <col min="386" max="386" width="38" bestFit="1" customWidth="1"/>
    <col min="387" max="387" width="40.88671875" bestFit="1" customWidth="1"/>
    <col min="388" max="388" width="27" bestFit="1" customWidth="1"/>
    <col min="389" max="389" width="29.88671875" bestFit="1" customWidth="1"/>
    <col min="390" max="390" width="23.33203125" bestFit="1" customWidth="1"/>
    <col min="391" max="391" width="28.33203125" bestFit="1" customWidth="1"/>
    <col min="392" max="392" width="31.109375" bestFit="1" customWidth="1"/>
    <col min="393" max="393" width="25" bestFit="1" customWidth="1"/>
    <col min="394" max="395" width="26.77734375" bestFit="1" customWidth="1"/>
    <col min="396" max="396" width="29.21875" bestFit="1" customWidth="1"/>
    <col min="397" max="397" width="32.109375" bestFit="1" customWidth="1"/>
    <col min="398" max="398" width="34.5546875" bestFit="1" customWidth="1"/>
    <col min="399" max="399" width="29" bestFit="1" customWidth="1"/>
    <col min="400" max="400" width="31.88671875" bestFit="1" customWidth="1"/>
    <col min="401" max="401" width="34.21875" bestFit="1" customWidth="1"/>
    <col min="402" max="402" width="37.109375" bestFit="1" customWidth="1"/>
    <col min="403" max="403" width="30.6640625" bestFit="1" customWidth="1"/>
    <col min="404" max="404" width="33.5546875" bestFit="1" customWidth="1"/>
    <col min="405" max="405" width="29.88671875" bestFit="1" customWidth="1"/>
    <col min="406" max="406" width="32.77734375" bestFit="1" customWidth="1"/>
    <col min="407" max="407" width="31" bestFit="1" customWidth="1"/>
    <col min="408" max="408" width="33.88671875" bestFit="1" customWidth="1"/>
    <col min="409" max="409" width="32.33203125" bestFit="1" customWidth="1"/>
    <col min="410" max="410" width="35.109375" bestFit="1" customWidth="1"/>
    <col min="411" max="411" width="30.33203125" bestFit="1" customWidth="1"/>
    <col min="412" max="412" width="33.21875" bestFit="1" customWidth="1"/>
    <col min="413" max="413" width="20.33203125" bestFit="1" customWidth="1"/>
    <col min="414" max="414" width="23.109375" bestFit="1" customWidth="1"/>
    <col min="415" max="415" width="21.33203125" bestFit="1" customWidth="1"/>
    <col min="416" max="416" width="24.21875" bestFit="1" customWidth="1"/>
    <col min="417" max="417" width="24.44140625" bestFit="1" customWidth="1"/>
    <col min="418" max="418" width="33.88671875" bestFit="1" customWidth="1"/>
    <col min="419" max="419" width="30.44140625" bestFit="1" customWidth="1"/>
    <col min="420" max="420" width="43.88671875" bestFit="1" customWidth="1"/>
    <col min="421" max="421" width="36.77734375" bestFit="1" customWidth="1"/>
    <col min="422" max="422" width="39.5546875" bestFit="1" customWidth="1"/>
    <col min="423" max="423" width="37.77734375" bestFit="1" customWidth="1"/>
    <col min="424" max="424" width="40.6640625" bestFit="1" customWidth="1"/>
    <col min="425" max="425" width="37.77734375" bestFit="1" customWidth="1"/>
    <col min="426" max="426" width="40.6640625" bestFit="1" customWidth="1"/>
    <col min="427" max="427" width="42.88671875" bestFit="1" customWidth="1"/>
    <col min="428" max="428" width="45.77734375" bestFit="1" customWidth="1"/>
    <col min="429" max="429" width="43" bestFit="1" customWidth="1"/>
    <col min="430" max="430" width="26.33203125" bestFit="1" customWidth="1"/>
    <col min="431" max="431" width="29.21875" bestFit="1" customWidth="1"/>
    <col min="432" max="432" width="22.6640625" bestFit="1" customWidth="1"/>
    <col min="433" max="433" width="37.33203125" bestFit="1" customWidth="1"/>
    <col min="434" max="434" width="39" bestFit="1" customWidth="1"/>
    <col min="435" max="435" width="40.21875" bestFit="1" customWidth="1"/>
    <col min="436" max="436" width="41.88671875" bestFit="1" customWidth="1"/>
    <col min="437" max="437" width="30.77734375" bestFit="1" customWidth="1"/>
    <col min="438" max="438" width="35.33203125" bestFit="1" customWidth="1"/>
    <col min="439" max="439" width="32.33203125" bestFit="1" customWidth="1"/>
    <col min="440" max="440" width="35.109375" bestFit="1" customWidth="1"/>
    <col min="441" max="441" width="32" bestFit="1" customWidth="1"/>
    <col min="442" max="442" width="28.33203125" bestFit="1" customWidth="1"/>
    <col min="443" max="443" width="31.109375" bestFit="1" customWidth="1"/>
    <col min="444" max="444" width="30" bestFit="1" customWidth="1"/>
    <col min="445" max="445" width="32.88671875" bestFit="1" customWidth="1"/>
    <col min="446" max="446" width="40.44140625" bestFit="1" customWidth="1"/>
    <col min="447" max="447" width="43.21875" bestFit="1" customWidth="1"/>
    <col min="448" max="448" width="31.5546875" bestFit="1" customWidth="1"/>
    <col min="449" max="449" width="34.44140625" bestFit="1" customWidth="1"/>
    <col min="450" max="450" width="37.77734375" bestFit="1" customWidth="1"/>
    <col min="451" max="451" width="40.6640625" bestFit="1" customWidth="1"/>
    <col min="452" max="452" width="43.109375" bestFit="1" customWidth="1"/>
    <col min="453" max="453" width="27.21875" bestFit="1" customWidth="1"/>
    <col min="454" max="454" width="30.109375" bestFit="1" customWidth="1"/>
    <col min="455" max="455" width="28.33203125" bestFit="1" customWidth="1"/>
    <col min="456" max="456" width="31.109375" bestFit="1" customWidth="1"/>
    <col min="457" max="457" width="28.33203125" bestFit="1" customWidth="1"/>
    <col min="458" max="459" width="31.109375" bestFit="1" customWidth="1"/>
    <col min="460" max="460" width="28.33203125" bestFit="1" customWidth="1"/>
    <col min="461" max="461" width="31.109375" bestFit="1" customWidth="1"/>
    <col min="462" max="462" width="29.33203125" bestFit="1" customWidth="1"/>
    <col min="463" max="463" width="31.44140625" bestFit="1" customWidth="1"/>
    <col min="464" max="464" width="34.33203125" bestFit="1" customWidth="1"/>
    <col min="465" max="465" width="33.77734375" bestFit="1" customWidth="1"/>
    <col min="466" max="467" width="36.6640625" bestFit="1" customWidth="1"/>
    <col min="468" max="468" width="31.44140625" bestFit="1" customWidth="1"/>
    <col min="469" max="469" width="34.33203125" bestFit="1" customWidth="1"/>
    <col min="470" max="470" width="33.77734375" bestFit="1" customWidth="1"/>
    <col min="471" max="471" width="36.6640625" bestFit="1" customWidth="1"/>
    <col min="472" max="472" width="29.33203125" bestFit="1" customWidth="1"/>
    <col min="473" max="473" width="31.44140625" bestFit="1" customWidth="1"/>
    <col min="474" max="474" width="34.33203125" bestFit="1" customWidth="1"/>
    <col min="475" max="475" width="33.6640625" bestFit="1" customWidth="1"/>
    <col min="476" max="476" width="36.6640625" bestFit="1" customWidth="1"/>
    <col min="477" max="477" width="12.33203125" bestFit="1" customWidth="1"/>
    <col min="478" max="478" width="7.21875" customWidth="1"/>
  </cols>
  <sheetData>
    <row r="1" spans="1:467" ht="13.2" customHeight="1" x14ac:dyDescent="0.3">
      <c r="A1" s="9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2990</v>
      </c>
      <c r="W1" t="s">
        <v>2991</v>
      </c>
      <c r="X1" t="s">
        <v>2992</v>
      </c>
      <c r="Y1" t="s">
        <v>2993</v>
      </c>
      <c r="Z1" t="s">
        <v>2994</v>
      </c>
      <c r="AA1" t="s">
        <v>1064</v>
      </c>
      <c r="AB1" t="s">
        <v>1065</v>
      </c>
      <c r="AC1" t="s">
        <v>21</v>
      </c>
      <c r="AD1" t="s">
        <v>22</v>
      </c>
      <c r="AE1" t="s">
        <v>23</v>
      </c>
      <c r="AF1" t="s">
        <v>24</v>
      </c>
      <c r="AG1" t="s">
        <v>25</v>
      </c>
      <c r="AH1" t="s">
        <v>26</v>
      </c>
      <c r="AI1" t="s">
        <v>27</v>
      </c>
      <c r="AJ1" t="s">
        <v>28</v>
      </c>
      <c r="AK1" t="s">
        <v>29</v>
      </c>
      <c r="AL1" t="s">
        <v>30</v>
      </c>
      <c r="AM1" t="s">
        <v>31</v>
      </c>
      <c r="AN1" t="s">
        <v>32</v>
      </c>
      <c r="AO1" t="s">
        <v>1202</v>
      </c>
      <c r="AP1" t="s">
        <v>1203</v>
      </c>
      <c r="AQ1" t="s">
        <v>33</v>
      </c>
      <c r="AR1" t="s">
        <v>34</v>
      </c>
      <c r="AS1" t="s">
        <v>35</v>
      </c>
      <c r="AT1" t="s">
        <v>36</v>
      </c>
      <c r="AU1" t="s">
        <v>37</v>
      </c>
      <c r="AV1" t="s">
        <v>38</v>
      </c>
      <c r="AW1" t="s">
        <v>1066</v>
      </c>
      <c r="AX1" t="s">
        <v>1070</v>
      </c>
      <c r="AY1" t="s">
        <v>1067</v>
      </c>
      <c r="AZ1" t="s">
        <v>1069</v>
      </c>
      <c r="BA1" t="s">
        <v>1068</v>
      </c>
      <c r="BB1" t="s">
        <v>39</v>
      </c>
      <c r="BC1" t="s">
        <v>40</v>
      </c>
      <c r="BD1" t="s">
        <v>1154</v>
      </c>
      <c r="BE1" t="s">
        <v>1155</v>
      </c>
      <c r="BF1" t="s">
        <v>1156</v>
      </c>
      <c r="BG1" t="s">
        <v>41</v>
      </c>
      <c r="BH1" t="s">
        <v>42</v>
      </c>
      <c r="BI1" t="s">
        <v>43</v>
      </c>
      <c r="BJ1" t="s">
        <v>44</v>
      </c>
      <c r="BK1" t="s">
        <v>45</v>
      </c>
      <c r="BL1" t="s">
        <v>46</v>
      </c>
      <c r="BM1" t="s">
        <v>47</v>
      </c>
      <c r="BN1" t="s">
        <v>48</v>
      </c>
      <c r="BO1" t="s">
        <v>49</v>
      </c>
      <c r="BP1" t="s">
        <v>50</v>
      </c>
      <c r="BQ1" t="s">
        <v>51</v>
      </c>
      <c r="BR1" t="s">
        <v>52</v>
      </c>
      <c r="BS1" t="s">
        <v>53</v>
      </c>
      <c r="BT1" t="s">
        <v>54</v>
      </c>
      <c r="BU1" t="s">
        <v>55</v>
      </c>
      <c r="BV1" t="s">
        <v>56</v>
      </c>
      <c r="BW1" t="s">
        <v>57</v>
      </c>
      <c r="BX1" t="s">
        <v>58</v>
      </c>
      <c r="BY1" t="s">
        <v>59</v>
      </c>
      <c r="BZ1" t="s">
        <v>60</v>
      </c>
      <c r="CA1" t="s">
        <v>61</v>
      </c>
      <c r="CB1" t="s">
        <v>62</v>
      </c>
      <c r="CC1" t="s">
        <v>63</v>
      </c>
      <c r="CD1" t="s">
        <v>1052</v>
      </c>
      <c r="CE1" t="s">
        <v>1071</v>
      </c>
      <c r="CF1" t="s">
        <v>1051</v>
      </c>
      <c r="CG1" t="s">
        <v>1072</v>
      </c>
      <c r="CH1" t="s">
        <v>1053</v>
      </c>
      <c r="CI1" t="s">
        <v>1073</v>
      </c>
      <c r="CJ1" t="s">
        <v>64</v>
      </c>
      <c r="CK1" t="s">
        <v>65</v>
      </c>
      <c r="CL1" t="s">
        <v>66</v>
      </c>
      <c r="CM1" t="s">
        <v>67</v>
      </c>
      <c r="CN1" t="s">
        <v>68</v>
      </c>
      <c r="CO1" t="s">
        <v>69</v>
      </c>
      <c r="CP1" t="s">
        <v>70</v>
      </c>
      <c r="CQ1" t="s">
        <v>71</v>
      </c>
      <c r="CR1" t="s">
        <v>72</v>
      </c>
      <c r="CS1" t="s">
        <v>73</v>
      </c>
      <c r="CT1" t="s">
        <v>74</v>
      </c>
      <c r="CU1" t="s">
        <v>75</v>
      </c>
      <c r="CV1" t="s">
        <v>76</v>
      </c>
      <c r="CW1" t="s">
        <v>1160</v>
      </c>
      <c r="CX1" t="s">
        <v>1159</v>
      </c>
      <c r="CY1" t="s">
        <v>77</v>
      </c>
      <c r="CZ1" t="s">
        <v>78</v>
      </c>
      <c r="DA1" t="s">
        <v>79</v>
      </c>
      <c r="DB1" t="s">
        <v>80</v>
      </c>
      <c r="DC1" t="s">
        <v>1087</v>
      </c>
      <c r="DD1" t="s">
        <v>1088</v>
      </c>
      <c r="DE1" t="s">
        <v>81</v>
      </c>
      <c r="DF1" t="s">
        <v>82</v>
      </c>
      <c r="DG1" t="s">
        <v>84</v>
      </c>
      <c r="DH1" t="s">
        <v>83</v>
      </c>
      <c r="DI1" t="s">
        <v>85</v>
      </c>
      <c r="DJ1" t="s">
        <v>86</v>
      </c>
      <c r="DK1" t="s">
        <v>88</v>
      </c>
      <c r="DL1" t="s">
        <v>87</v>
      </c>
      <c r="DM1" t="s">
        <v>89</v>
      </c>
      <c r="DN1" t="s">
        <v>90</v>
      </c>
      <c r="DO1" t="s">
        <v>91</v>
      </c>
      <c r="DP1" t="s">
        <v>92</v>
      </c>
      <c r="DQ1" t="s">
        <v>93</v>
      </c>
      <c r="DR1" t="s">
        <v>94</v>
      </c>
      <c r="DS1" t="s">
        <v>1091</v>
      </c>
      <c r="DT1" t="s">
        <v>1092</v>
      </c>
      <c r="DU1" t="s">
        <v>95</v>
      </c>
      <c r="DV1" t="s">
        <v>96</v>
      </c>
      <c r="DW1" t="s">
        <v>97</v>
      </c>
      <c r="DX1" t="s">
        <v>98</v>
      </c>
      <c r="DY1" t="s">
        <v>99</v>
      </c>
      <c r="DZ1" t="s">
        <v>100</v>
      </c>
      <c r="EA1" t="s">
        <v>101</v>
      </c>
      <c r="EB1" t="s">
        <v>102</v>
      </c>
      <c r="EC1" t="s">
        <v>1089</v>
      </c>
      <c r="ED1" t="s">
        <v>1090</v>
      </c>
      <c r="EE1" t="s">
        <v>1161</v>
      </c>
      <c r="EF1" t="s">
        <v>1162</v>
      </c>
      <c r="EG1" t="s">
        <v>103</v>
      </c>
      <c r="EH1" t="s">
        <v>104</v>
      </c>
      <c r="EI1" t="s">
        <v>105</v>
      </c>
      <c r="EJ1" t="s">
        <v>106</v>
      </c>
      <c r="EK1" t="s">
        <v>1165</v>
      </c>
      <c r="EL1" t="s">
        <v>1170</v>
      </c>
      <c r="EM1" t="s">
        <v>1166</v>
      </c>
      <c r="EN1" t="s">
        <v>1169</v>
      </c>
      <c r="EO1" t="s">
        <v>1168</v>
      </c>
      <c r="EP1" t="s">
        <v>1172</v>
      </c>
      <c r="EQ1" t="s">
        <v>1167</v>
      </c>
      <c r="ER1" t="s">
        <v>1171</v>
      </c>
      <c r="ES1" t="s">
        <v>107</v>
      </c>
      <c r="ET1" t="s">
        <v>108</v>
      </c>
      <c r="EU1" t="s">
        <v>109</v>
      </c>
      <c r="EV1" t="s">
        <v>110</v>
      </c>
      <c r="EW1" t="s">
        <v>111</v>
      </c>
      <c r="EX1" t="s">
        <v>112</v>
      </c>
      <c r="EY1" t="s">
        <v>1093</v>
      </c>
      <c r="EZ1" t="s">
        <v>1094</v>
      </c>
      <c r="FA1" t="s">
        <v>1095</v>
      </c>
      <c r="FB1" t="s">
        <v>1096</v>
      </c>
      <c r="FC1" t="s">
        <v>1097</v>
      </c>
      <c r="FD1" t="s">
        <v>1098</v>
      </c>
      <c r="FE1" t="s">
        <v>1099</v>
      </c>
      <c r="FF1" t="s">
        <v>1100</v>
      </c>
      <c r="FG1" t="s">
        <v>1101</v>
      </c>
      <c r="FH1" t="s">
        <v>1102</v>
      </c>
      <c r="FI1" t="s">
        <v>1103</v>
      </c>
      <c r="FJ1" t="s">
        <v>1104</v>
      </c>
      <c r="FK1" t="s">
        <v>1055</v>
      </c>
      <c r="FL1" t="s">
        <v>1075</v>
      </c>
      <c r="FM1" t="s">
        <v>1056</v>
      </c>
      <c r="FN1" t="s">
        <v>1076</v>
      </c>
      <c r="FO1" t="s">
        <v>1105</v>
      </c>
      <c r="FP1" t="s">
        <v>1079</v>
      </c>
      <c r="FQ1" t="s">
        <v>1106</v>
      </c>
      <c r="FR1" t="s">
        <v>1107</v>
      </c>
      <c r="FS1" t="s">
        <v>1108</v>
      </c>
      <c r="FT1" t="s">
        <v>1109</v>
      </c>
      <c r="FU1" t="s">
        <v>113</v>
      </c>
      <c r="FV1" t="s">
        <v>1151</v>
      </c>
      <c r="FW1" t="s">
        <v>1152</v>
      </c>
      <c r="FX1" t="s">
        <v>114</v>
      </c>
      <c r="FY1" t="s">
        <v>115</v>
      </c>
      <c r="FZ1" t="s">
        <v>1572</v>
      </c>
      <c r="GA1" t="s">
        <v>116</v>
      </c>
      <c r="GB1" t="s">
        <v>117</v>
      </c>
      <c r="GC1" t="s">
        <v>118</v>
      </c>
      <c r="GD1" t="s">
        <v>119</v>
      </c>
      <c r="GE1" t="s">
        <v>120</v>
      </c>
      <c r="GF1" t="s">
        <v>121</v>
      </c>
      <c r="GG1" t="s">
        <v>1057</v>
      </c>
      <c r="GH1" t="s">
        <v>1077</v>
      </c>
      <c r="GI1" t="s">
        <v>122</v>
      </c>
      <c r="GJ1" t="s">
        <v>123</v>
      </c>
      <c r="GK1" t="s">
        <v>124</v>
      </c>
      <c r="GL1" t="s">
        <v>125</v>
      </c>
      <c r="GM1" t="s">
        <v>126</v>
      </c>
      <c r="GN1" t="s">
        <v>127</v>
      </c>
      <c r="GO1" t="s">
        <v>128</v>
      </c>
      <c r="GP1" t="s">
        <v>129</v>
      </c>
      <c r="GQ1" t="s">
        <v>130</v>
      </c>
      <c r="GR1" t="s">
        <v>131</v>
      </c>
      <c r="GS1" t="s">
        <v>132</v>
      </c>
      <c r="GT1" t="s">
        <v>133</v>
      </c>
      <c r="GU1" t="s">
        <v>134</v>
      </c>
      <c r="GV1" t="s">
        <v>135</v>
      </c>
      <c r="GW1" t="s">
        <v>136</v>
      </c>
      <c r="GX1" t="s">
        <v>1110</v>
      </c>
      <c r="GY1" t="s">
        <v>1080</v>
      </c>
      <c r="GZ1" t="s">
        <v>1135</v>
      </c>
      <c r="HA1" t="s">
        <v>1136</v>
      </c>
      <c r="HB1" t="s">
        <v>137</v>
      </c>
      <c r="HC1" t="s">
        <v>138</v>
      </c>
      <c r="HD1" t="s">
        <v>139</v>
      </c>
      <c r="HE1" t="s">
        <v>140</v>
      </c>
      <c r="HF1" t="s">
        <v>141</v>
      </c>
      <c r="HG1" t="s">
        <v>142</v>
      </c>
      <c r="HH1" t="s">
        <v>1179</v>
      </c>
      <c r="HI1" t="s">
        <v>1180</v>
      </c>
      <c r="HJ1" t="s">
        <v>1178</v>
      </c>
      <c r="HK1" t="s">
        <v>1181</v>
      </c>
      <c r="HL1" t="s">
        <v>1182</v>
      </c>
      <c r="HM1" t="s">
        <v>1183</v>
      </c>
      <c r="HN1" t="s">
        <v>143</v>
      </c>
      <c r="HO1" t="s">
        <v>144</v>
      </c>
      <c r="HP1" t="s">
        <v>1059</v>
      </c>
      <c r="HQ1" t="s">
        <v>1081</v>
      </c>
      <c r="HR1" t="s">
        <v>145</v>
      </c>
      <c r="HS1" t="s">
        <v>146</v>
      </c>
      <c r="HT1" t="s">
        <v>147</v>
      </c>
      <c r="HU1" t="s">
        <v>148</v>
      </c>
      <c r="HV1" t="s">
        <v>149</v>
      </c>
      <c r="HW1" t="s">
        <v>150</v>
      </c>
      <c r="HX1" t="s">
        <v>151</v>
      </c>
      <c r="HY1" t="s">
        <v>152</v>
      </c>
      <c r="HZ1" t="s">
        <v>153</v>
      </c>
      <c r="IA1" t="s">
        <v>154</v>
      </c>
      <c r="IB1" t="s">
        <v>155</v>
      </c>
      <c r="IC1" t="s">
        <v>156</v>
      </c>
      <c r="ID1" t="s">
        <v>1113</v>
      </c>
      <c r="IE1" t="s">
        <v>157</v>
      </c>
      <c r="IF1" t="s">
        <v>158</v>
      </c>
      <c r="IG1" t="s">
        <v>1112</v>
      </c>
      <c r="IH1" t="s">
        <v>159</v>
      </c>
      <c r="II1" t="s">
        <v>160</v>
      </c>
      <c r="IJ1" t="s">
        <v>161</v>
      </c>
      <c r="IK1" t="s">
        <v>162</v>
      </c>
      <c r="IL1" t="s">
        <v>163</v>
      </c>
      <c r="IM1" t="s">
        <v>164</v>
      </c>
      <c r="IN1" t="s">
        <v>1111</v>
      </c>
      <c r="IO1" t="s">
        <v>165</v>
      </c>
      <c r="IP1" t="s">
        <v>166</v>
      </c>
      <c r="IQ1" t="s">
        <v>167</v>
      </c>
      <c r="IR1" t="s">
        <v>168</v>
      </c>
      <c r="IS1" t="s">
        <v>169</v>
      </c>
      <c r="IT1" t="s">
        <v>170</v>
      </c>
      <c r="IU1" t="s">
        <v>1204</v>
      </c>
      <c r="IV1" t="s">
        <v>1205</v>
      </c>
      <c r="IW1" t="s">
        <v>171</v>
      </c>
      <c r="IX1" t="s">
        <v>172</v>
      </c>
      <c r="IY1" t="s">
        <v>1060</v>
      </c>
      <c r="IZ1" t="s">
        <v>1083</v>
      </c>
      <c r="JA1" t="s">
        <v>173</v>
      </c>
      <c r="JB1" t="s">
        <v>174</v>
      </c>
      <c r="JC1" t="s">
        <v>175</v>
      </c>
      <c r="JD1" t="s">
        <v>176</v>
      </c>
      <c r="JE1" t="s">
        <v>177</v>
      </c>
      <c r="JF1" t="s">
        <v>178</v>
      </c>
      <c r="JG1" t="s">
        <v>179</v>
      </c>
      <c r="JH1" t="s">
        <v>180</v>
      </c>
      <c r="JI1" t="s">
        <v>181</v>
      </c>
      <c r="JJ1" t="s">
        <v>182</v>
      </c>
      <c r="JK1" t="s">
        <v>183</v>
      </c>
      <c r="JL1" t="s">
        <v>184</v>
      </c>
      <c r="JM1" t="s">
        <v>185</v>
      </c>
      <c r="JN1" t="s">
        <v>186</v>
      </c>
      <c r="JO1" t="s">
        <v>187</v>
      </c>
      <c r="JP1" t="s">
        <v>188</v>
      </c>
      <c r="JQ1" t="s">
        <v>193</v>
      </c>
      <c r="JR1" t="s">
        <v>194</v>
      </c>
      <c r="JS1" t="s">
        <v>195</v>
      </c>
      <c r="JT1" t="s">
        <v>196</v>
      </c>
      <c r="JU1" t="s">
        <v>189</v>
      </c>
      <c r="JV1" t="s">
        <v>190</v>
      </c>
      <c r="JW1" t="s">
        <v>191</v>
      </c>
      <c r="JX1" t="s">
        <v>192</v>
      </c>
      <c r="JY1" t="s">
        <v>1114</v>
      </c>
      <c r="JZ1" t="s">
        <v>1115</v>
      </c>
      <c r="KA1" t="s">
        <v>1116</v>
      </c>
      <c r="KB1" t="s">
        <v>1117</v>
      </c>
      <c r="KC1" t="s">
        <v>1118</v>
      </c>
      <c r="KD1" t="s">
        <v>1119</v>
      </c>
      <c r="KE1" t="s">
        <v>1120</v>
      </c>
      <c r="KF1" t="s">
        <v>1121</v>
      </c>
      <c r="KG1" t="s">
        <v>1122</v>
      </c>
      <c r="KH1" t="s">
        <v>1123</v>
      </c>
      <c r="KI1" t="s">
        <v>1124</v>
      </c>
      <c r="KJ1" t="s">
        <v>1175</v>
      </c>
      <c r="KK1" t="s">
        <v>1176</v>
      </c>
      <c r="KL1" t="s">
        <v>197</v>
      </c>
      <c r="KM1" t="s">
        <v>198</v>
      </c>
      <c r="KN1" t="s">
        <v>199</v>
      </c>
      <c r="KO1" t="s">
        <v>200</v>
      </c>
      <c r="KP1" t="s">
        <v>201</v>
      </c>
      <c r="KQ1" t="s">
        <v>202</v>
      </c>
      <c r="KR1" t="s">
        <v>203</v>
      </c>
      <c r="KS1" t="s">
        <v>204</v>
      </c>
      <c r="KT1" t="s">
        <v>205</v>
      </c>
      <c r="KU1" t="s">
        <v>206</v>
      </c>
      <c r="KV1" t="s">
        <v>207</v>
      </c>
      <c r="KW1" t="s">
        <v>208</v>
      </c>
      <c r="KX1" t="s">
        <v>209</v>
      </c>
      <c r="KY1" t="s">
        <v>210</v>
      </c>
      <c r="KZ1" t="s">
        <v>211</v>
      </c>
      <c r="LA1" t="s">
        <v>212</v>
      </c>
      <c r="LB1" t="s">
        <v>213</v>
      </c>
      <c r="LC1" t="s">
        <v>214</v>
      </c>
      <c r="LD1" t="s">
        <v>1061</v>
      </c>
      <c r="LE1" t="s">
        <v>1084</v>
      </c>
      <c r="LF1" t="s">
        <v>215</v>
      </c>
      <c r="LG1" t="s">
        <v>1062</v>
      </c>
      <c r="LH1" t="s">
        <v>1085</v>
      </c>
      <c r="LI1" t="s">
        <v>1063</v>
      </c>
      <c r="LJ1" t="s">
        <v>1086</v>
      </c>
      <c r="LK1" t="s">
        <v>216</v>
      </c>
      <c r="LL1" t="s">
        <v>217</v>
      </c>
      <c r="LM1" t="s">
        <v>218</v>
      </c>
      <c r="LN1" t="s">
        <v>219</v>
      </c>
      <c r="LO1" t="s">
        <v>220</v>
      </c>
      <c r="LP1" t="s">
        <v>221</v>
      </c>
      <c r="LQ1" t="s">
        <v>222</v>
      </c>
      <c r="LR1" t="s">
        <v>223</v>
      </c>
      <c r="LS1" t="s">
        <v>224</v>
      </c>
      <c r="LT1" t="s">
        <v>225</v>
      </c>
      <c r="LU1" t="s">
        <v>226</v>
      </c>
      <c r="LV1" t="s">
        <v>227</v>
      </c>
      <c r="LW1" t="s">
        <v>228</v>
      </c>
      <c r="LX1" t="s">
        <v>229</v>
      </c>
      <c r="LY1" t="s">
        <v>230</v>
      </c>
      <c r="LZ1" t="s">
        <v>231</v>
      </c>
      <c r="MA1" t="s">
        <v>232</v>
      </c>
      <c r="MB1" t="s">
        <v>233</v>
      </c>
      <c r="MC1" t="s">
        <v>234</v>
      </c>
      <c r="MD1" t="s">
        <v>235</v>
      </c>
      <c r="ME1" t="s">
        <v>236</v>
      </c>
      <c r="MF1" t="s">
        <v>237</v>
      </c>
      <c r="MG1" t="s">
        <v>238</v>
      </c>
      <c r="MH1" t="s">
        <v>239</v>
      </c>
      <c r="MI1" t="s">
        <v>240</v>
      </c>
      <c r="MJ1" t="s">
        <v>241</v>
      </c>
      <c r="MK1" t="s">
        <v>242</v>
      </c>
      <c r="ML1" t="s">
        <v>243</v>
      </c>
      <c r="MM1" t="s">
        <v>244</v>
      </c>
      <c r="MN1" t="s">
        <v>245</v>
      </c>
      <c r="MO1" t="s">
        <v>246</v>
      </c>
      <c r="MP1" t="s">
        <v>247</v>
      </c>
      <c r="MQ1" t="s">
        <v>248</v>
      </c>
      <c r="MR1" t="s">
        <v>249</v>
      </c>
      <c r="MS1" t="s">
        <v>250</v>
      </c>
      <c r="MT1" t="s">
        <v>251</v>
      </c>
      <c r="MU1" t="s">
        <v>853</v>
      </c>
      <c r="MV1" t="s">
        <v>854</v>
      </c>
      <c r="MW1" t="s">
        <v>252</v>
      </c>
      <c r="MX1" t="s">
        <v>253</v>
      </c>
      <c r="MY1" t="s">
        <v>254</v>
      </c>
      <c r="MZ1" t="s">
        <v>255</v>
      </c>
      <c r="NA1" t="s">
        <v>256</v>
      </c>
      <c r="NB1" t="s">
        <v>257</v>
      </c>
      <c r="NC1" t="s">
        <v>260</v>
      </c>
      <c r="ND1" t="s">
        <v>261</v>
      </c>
      <c r="NE1" t="s">
        <v>258</v>
      </c>
      <c r="NF1" t="s">
        <v>259</v>
      </c>
      <c r="NG1" t="s">
        <v>262</v>
      </c>
      <c r="NH1" t="s">
        <v>263</v>
      </c>
      <c r="NI1" t="s">
        <v>264</v>
      </c>
      <c r="NJ1" t="s">
        <v>265</v>
      </c>
      <c r="NK1" t="s">
        <v>266</v>
      </c>
      <c r="NL1" t="s">
        <v>267</v>
      </c>
      <c r="NM1" t="s">
        <v>268</v>
      </c>
      <c r="NN1" t="s">
        <v>269</v>
      </c>
      <c r="NO1" t="s">
        <v>270</v>
      </c>
      <c r="NP1" t="s">
        <v>271</v>
      </c>
      <c r="NQ1" t="s">
        <v>272</v>
      </c>
      <c r="NR1" t="s">
        <v>273</v>
      </c>
      <c r="NS1" t="s">
        <v>274</v>
      </c>
      <c r="NT1" t="s">
        <v>1194</v>
      </c>
      <c r="NU1" t="s">
        <v>1195</v>
      </c>
      <c r="NV1" t="s">
        <v>1196</v>
      </c>
      <c r="NW1" t="s">
        <v>1197</v>
      </c>
      <c r="NX1" t="s">
        <v>1054</v>
      </c>
      <c r="NY1" t="s">
        <v>1074</v>
      </c>
      <c r="NZ1" t="s">
        <v>275</v>
      </c>
      <c r="OA1" t="s">
        <v>276</v>
      </c>
      <c r="OB1" t="s">
        <v>277</v>
      </c>
      <c r="OC1" t="s">
        <v>278</v>
      </c>
      <c r="OD1" t="s">
        <v>1125</v>
      </c>
      <c r="OE1" t="s">
        <v>1126</v>
      </c>
      <c r="OF1" t="s">
        <v>279</v>
      </c>
      <c r="OG1" t="s">
        <v>280</v>
      </c>
      <c r="OH1" t="s">
        <v>1127</v>
      </c>
      <c r="OI1" t="s">
        <v>281</v>
      </c>
      <c r="OJ1" t="s">
        <v>282</v>
      </c>
      <c r="OK1" t="s">
        <v>855</v>
      </c>
      <c r="OL1" t="s">
        <v>856</v>
      </c>
      <c r="OM1" t="s">
        <v>283</v>
      </c>
      <c r="ON1" t="s">
        <v>284</v>
      </c>
      <c r="OO1" t="s">
        <v>285</v>
      </c>
      <c r="OP1" t="s">
        <v>286</v>
      </c>
      <c r="OQ1" t="s">
        <v>287</v>
      </c>
      <c r="OR1" t="s">
        <v>288</v>
      </c>
      <c r="OS1" t="s">
        <v>289</v>
      </c>
      <c r="OT1" t="s">
        <v>290</v>
      </c>
      <c r="OU1" t="s">
        <v>1058</v>
      </c>
      <c r="OV1" t="s">
        <v>1078</v>
      </c>
      <c r="OW1" t="s">
        <v>291</v>
      </c>
      <c r="OX1" t="s">
        <v>292</v>
      </c>
      <c r="OY1" t="s">
        <v>858</v>
      </c>
      <c r="OZ1" t="s">
        <v>859</v>
      </c>
      <c r="PA1" t="s">
        <v>1128</v>
      </c>
      <c r="PB1" t="s">
        <v>1229</v>
      </c>
      <c r="PC1" t="s">
        <v>1228</v>
      </c>
      <c r="PD1" t="s">
        <v>1198</v>
      </c>
      <c r="PE1" t="s">
        <v>293</v>
      </c>
      <c r="PF1" t="s">
        <v>294</v>
      </c>
      <c r="PG1" t="s">
        <v>295</v>
      </c>
      <c r="PH1" t="s">
        <v>296</v>
      </c>
      <c r="PI1" t="s">
        <v>297</v>
      </c>
      <c r="PJ1" t="s">
        <v>298</v>
      </c>
      <c r="PK1" t="s">
        <v>299</v>
      </c>
      <c r="PL1" t="s">
        <v>300</v>
      </c>
      <c r="PM1" t="s">
        <v>301</v>
      </c>
      <c r="PN1" t="s">
        <v>1129</v>
      </c>
      <c r="PO1" t="s">
        <v>1082</v>
      </c>
      <c r="PP1" t="s">
        <v>857</v>
      </c>
      <c r="PQ1" t="s">
        <v>1130</v>
      </c>
      <c r="PR1" t="s">
        <v>1131</v>
      </c>
      <c r="PS1" t="s">
        <v>1132</v>
      </c>
      <c r="PT1" t="s">
        <v>1133</v>
      </c>
      <c r="PU1" t="s">
        <v>1199</v>
      </c>
      <c r="PV1" t="s">
        <v>1226</v>
      </c>
      <c r="PW1" t="s">
        <v>860</v>
      </c>
      <c r="PX1" t="s">
        <v>861</v>
      </c>
      <c r="PY1" t="s">
        <v>862</v>
      </c>
      <c r="PZ1" t="s">
        <v>302</v>
      </c>
      <c r="QA1" t="s">
        <v>303</v>
      </c>
      <c r="QB1" t="s">
        <v>304</v>
      </c>
      <c r="QC1" t="s">
        <v>305</v>
      </c>
      <c r="QD1" t="s">
        <v>306</v>
      </c>
      <c r="QE1" t="s">
        <v>307</v>
      </c>
      <c r="QF1" t="s">
        <v>308</v>
      </c>
      <c r="QG1" t="s">
        <v>309</v>
      </c>
      <c r="QH1" t="s">
        <v>310</v>
      </c>
      <c r="QI1" t="s">
        <v>311</v>
      </c>
      <c r="QJ1" t="s">
        <v>1134</v>
      </c>
      <c r="QK1" t="s">
        <v>312</v>
      </c>
      <c r="QL1" t="s">
        <v>313</v>
      </c>
      <c r="QM1" t="s">
        <v>314</v>
      </c>
      <c r="QN1" t="s">
        <v>315</v>
      </c>
      <c r="QO1" t="s">
        <v>316</v>
      </c>
      <c r="QP1" t="s">
        <v>317</v>
      </c>
      <c r="QQ1" t="s">
        <v>318</v>
      </c>
      <c r="QR1" t="s">
        <v>319</v>
      </c>
      <c r="QS1" t="s">
        <v>320</v>
      </c>
      <c r="QT1" t="s">
        <v>1201</v>
      </c>
      <c r="QU1" t="s">
        <v>321</v>
      </c>
      <c r="QV1" t="s">
        <v>322</v>
      </c>
      <c r="QW1" t="s">
        <v>323</v>
      </c>
      <c r="QX1" t="s">
        <v>324</v>
      </c>
      <c r="QY1" t="s">
        <v>325</v>
      </c>
    </row>
    <row r="2" spans="1:467" x14ac:dyDescent="0.3">
      <c r="A2" s="6">
        <v>1</v>
      </c>
      <c r="B2" s="6" t="s">
        <v>332</v>
      </c>
      <c r="C2" t="e" vm="1">
        <f>IF(ISBLANK(Tabela1[[#This Row],[Image Link]]), "", _xlfn.IMAGE(Tabela1[[#This Row],[Image Link]],1,1))</f>
        <v>#VALUE!</v>
      </c>
      <c r="D2" s="6">
        <f>SUM(Tabela1[[#This Row],[Archery - Men''s Individual Recurve]:[Speed Skating - Women''s Team Pursuit]])</f>
        <v>414</v>
      </c>
      <c r="E2" s="6">
        <f>COUNTIF(Tabela1[[#This Row],[Archery - Men''s Individual Recurve]:[Speed Skating - Women''s Team Pursuit]],"&gt;0")</f>
        <v>280</v>
      </c>
      <c r="F2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2" s="6">
        <f>SUM(Tabela1[[#This Row],[Archery - Men''s Individual Recurve]:[Wrestling - Women''s Freestyle 76kg]])</f>
        <v>252</v>
      </c>
      <c r="H2" s="6">
        <f>SUM(Tabela1[[#This Row],[Alpine Skiing - Men''s Downhill]:[Speed Skating - Women''s Team Pursuit]])</f>
        <v>162</v>
      </c>
      <c r="I2" s="6">
        <f>Tabela1[[#This Row],[Summer Gold Medals]]+Tabela1[[#This Row],[Winter Gold Medals]]</f>
        <v>52</v>
      </c>
      <c r="J2" s="6">
        <f>Tabela1[[#This Row],[Summer Silver Medals]]+Tabela1[[#This Row],[Winter Silver Medals]]</f>
        <v>56</v>
      </c>
      <c r="K2" s="6">
        <f>Tabela1[[#This Row],[Summer Bronze Medals]]+Tabela1[[#This Row],[Winter Bronze Medals]]</f>
        <v>51</v>
      </c>
      <c r="L2" s="6">
        <f>SUM(Tabela1[[#This Row],[Total Gold Medals]:[Total Bronze Medals]])</f>
        <v>159</v>
      </c>
      <c r="M2" s="6">
        <v>40</v>
      </c>
      <c r="N2" s="6">
        <v>44</v>
      </c>
      <c r="O2" s="6">
        <v>42</v>
      </c>
      <c r="P2" s="6">
        <f>SUM(Tabela1[[#This Row],[Summer Gold Medals]:[Summer Bronze Medals]])</f>
        <v>126</v>
      </c>
      <c r="Q2" s="6">
        <v>12</v>
      </c>
      <c r="R2" s="6">
        <v>12</v>
      </c>
      <c r="S2" s="6">
        <v>9</v>
      </c>
      <c r="T2" s="6">
        <f>Tabela1[[#This Row],[Winter Gold Medals]]+Tabela1[[#This Row],[Winter Silver Medals]]+Tabela1[[#This Row],[Winter Bronze Medals]]</f>
        <v>33</v>
      </c>
      <c r="U2" s="7">
        <f>Tabela1[[#This Row],[Total Medals]]/Tabela1[[#This Row],[Total Quotas]]</f>
        <v>0.38405797101449274</v>
      </c>
      <c r="V2" s="6">
        <f>COUNTIFS(Table3[Country],Tabela1[[#This Row],[Country]],Table3[Recurve Classification],"&gt;0")</f>
        <v>1</v>
      </c>
      <c r="W2" s="6">
        <f>COUNTIFS(Table33[Country],Tabela1[[#This Row],[Country]],Table33[Recurve Classification],"&gt;0")</f>
        <v>3</v>
      </c>
      <c r="X2" s="6">
        <f>COUNTIFS(Table35[Country],Tabela1[[#This Row],[Country]],Table35[Men''s Team Recurve Classification],"&gt;0")</f>
        <v>0</v>
      </c>
      <c r="Y2" s="6">
        <f>COUNTIFS(Table35[Country],Tabela1[[#This Row],[Country]],Table35[Women''s Team Recurve Classification],"&gt;0")</f>
        <v>1</v>
      </c>
      <c r="Z2" s="6">
        <f>COUNTIFS(Tabela88[Country],Tabela1[[#This Row],[Country]],Tabela88[Mixed Team Recurve Classification],"&gt;0")</f>
        <v>1</v>
      </c>
      <c r="AA2" s="6">
        <f>COUNTIFS(Table36[Country],Tabela1[[#This Row],[Country]],Table36[Classification],"&gt;0")</f>
        <v>1</v>
      </c>
      <c r="AB2" s="6">
        <f>COUNTIFS(Table37[Country],Tabela1[[#This Row],[Country]],Table37[Classification],"&gt;0")</f>
        <v>1</v>
      </c>
      <c r="AC2" s="6">
        <f>COUNTIFS(Table4[Country],Tabela1[[#This Row],[Country]],Table4[100m Classification],"&gt;0")</f>
        <v>2</v>
      </c>
      <c r="AD2" s="6">
        <f>COUNTIFS(Table5[Country],Tabela1[[#This Row],[Country]],Table5[100m Classification],"&gt;0")</f>
        <v>1</v>
      </c>
      <c r="AE2" s="6">
        <f>COUNTIFS(Table4[Country],Tabela1[[#This Row],[Country]],Table4[200m Classification],"&gt;0")</f>
        <v>3</v>
      </c>
      <c r="AF2" s="6">
        <f>COUNTIFS(Table5[Country],Tabela1[[#This Row],[Country]],Table5[200m Classification],"&gt;0")</f>
        <v>1</v>
      </c>
      <c r="AG2" s="6">
        <f>COUNTIFS(Table4[Country],Tabela1[[#This Row],[Country]],Table4[400m Classification],"&gt;0")</f>
        <v>2</v>
      </c>
      <c r="AH2" s="6">
        <f>COUNTIFS(Table5[Country],Tabela1[[#This Row],[Country]],Table5[400m Classification],"&gt;0")</f>
        <v>2</v>
      </c>
      <c r="AI2" s="6">
        <f>COUNTIFS(Table4[Country],Tabela1[[#This Row],[Country]],Table4[800m Classification],"&gt;0")</f>
        <v>1</v>
      </c>
      <c r="AJ2" s="6">
        <f>COUNTIFS(Table5[Country],Tabela1[[#This Row],[Country]],Table5[800m Classification],"&gt;0")</f>
        <v>2</v>
      </c>
      <c r="AK2" s="6">
        <f>COUNTIFS(Table4[Country],Tabela1[[#This Row],[Country]],Table4[1500m Classification],"&gt;0")</f>
        <v>0</v>
      </c>
      <c r="AL2" s="6">
        <f>COUNTIFS(Table5[Country],Tabela1[[#This Row],[Country]],Table5[1500m Classification],"&gt;0")</f>
        <v>1</v>
      </c>
      <c r="AM2" s="6">
        <f>COUNTIFS(Table4[Country],Tabela1[[#This Row],[Country]],Table4[5000m Classification],"&gt;0")</f>
        <v>2</v>
      </c>
      <c r="AN2" s="6">
        <f>COUNTIFS(Table5[Country],Tabela1[[#This Row],[Country]],Table5[5000m Classification],"&gt;0")</f>
        <v>2</v>
      </c>
      <c r="AO2" s="6">
        <f>COUNTIFS(Table4[Country],Tabela1[[#This Row],[Country]],Table4[10000m Classification],"&gt;0")</f>
        <v>3</v>
      </c>
      <c r="AP2" s="6">
        <f>COUNTIFS(Table5[Country],Tabela1[[#This Row],[Country]],Table5[10000m Classification],"&gt;0")</f>
        <v>0</v>
      </c>
      <c r="AQ2" s="6">
        <f>COUNTIFS(Table4[Country],Tabela1[[#This Row],[Country]],Table4[110m Hurdles Classification],"&gt;0")</f>
        <v>1</v>
      </c>
      <c r="AR2" s="6">
        <f>COUNTIFS(Table5[Country],Tabela1[[#This Row],[Country]],Table5[100m Hurdles Classification],"&gt;0")</f>
        <v>1</v>
      </c>
      <c r="AS2" s="6">
        <f>COUNTIFS(Table4[Country],Tabela1[[#This Row],[Country]],Table4[400m Hurdles Classification],"&gt;0")</f>
        <v>0</v>
      </c>
      <c r="AT2" s="6">
        <f>COUNTIFS(Table5[Country],Tabela1[[#This Row],[Country]],Table5[400m Hurdles Classification],"&gt;0")</f>
        <v>2</v>
      </c>
      <c r="AU2" s="6">
        <f>COUNTIFS(Table4[Country],Tabela1[[#This Row],[Country]],Table4[3000m Steeplechase Classification],"&gt;0")</f>
        <v>2</v>
      </c>
      <c r="AV2" s="6">
        <f>COUNTIFS(Table5[Country],Tabela1[[#This Row],[Country]],Table5[3000m Steeplechase Classification],"&gt;0")</f>
        <v>2</v>
      </c>
      <c r="AW2" s="6">
        <f>COUNTIFS(Table27[Country],Tabela1[[#This Row],[Country]],Table27[Men''s 4x100m Relay Classification],"&gt;0")</f>
        <v>1</v>
      </c>
      <c r="AX2" s="6">
        <f>COUNTIFS(Table27[Country],Tabela1[[#This Row],[Country]],Table27[Women''s 4x100m Relay Classification],"&gt;0")</f>
        <v>1</v>
      </c>
      <c r="AY2" s="6">
        <f>COUNTIFS(Table27[Country],Tabela1[[#This Row],[Country]],Table27[Men''s 4x400m Relay Classification],"&gt;0")</f>
        <v>0</v>
      </c>
      <c r="AZ2" s="6">
        <f>COUNTIFS(Table27[Country],Tabela1[[#This Row],[Country]],Table27[Women''s 4x400m Relay Classification],"&gt;0")</f>
        <v>1</v>
      </c>
      <c r="BA2" s="6">
        <f>COUNTIFS(Table27[Country],Tabela1[[#This Row],[Country]],Table27[Mixed 4x400m Relay Classification],"&gt;0")</f>
        <v>0</v>
      </c>
      <c r="BB2" s="6">
        <f>COUNTIFS(Table4[Country],Tabela1[[#This Row],[Country]],Table4[Marathon Classification],"&gt;0")</f>
        <v>3</v>
      </c>
      <c r="BC2" s="6">
        <f>COUNTIFS(Table5[Country],Tabela1[[#This Row],[Country]],Table5[Marathon Classification],"&gt;0")</f>
        <v>2</v>
      </c>
      <c r="BD2" s="6">
        <f>COUNTIFS(Table4[Country],Tabela1[[#This Row],[Country]],Table4[20km Race Walk Classification],"&gt;0")</f>
        <v>0</v>
      </c>
      <c r="BE2" s="6">
        <f>COUNTIFS(Table5[Country],Tabela1[[#This Row],[Country]],Table5[20km Race Walk Classification],"&gt;0")</f>
        <v>0</v>
      </c>
      <c r="BF2" s="6">
        <f>COUNTIFS(Tabela96[Country],Tabela1[[#This Row],[Country]],Tabela96[Mixed Marathon Race Walk Relay Classification],"&gt;0")</f>
        <v>0</v>
      </c>
      <c r="BG2" s="6">
        <f>COUNTIFS(Table4[Country],Tabela1[[#This Row],[Country]],Table4[Discus Throw Classification],"&gt;0")</f>
        <v>0</v>
      </c>
      <c r="BH2" s="6">
        <f>COUNTIFS(Table5[Country],Tabela1[[#This Row],[Country]],Table5[Discus Throw Classification],"&gt;0")</f>
        <v>0</v>
      </c>
      <c r="BI2" s="6">
        <f>COUNTIFS(Table4[Country],Tabela1[[#This Row],[Country]],Table4[Hammer Throw Classification],"&gt;0")</f>
        <v>0</v>
      </c>
      <c r="BJ2" s="6">
        <f>COUNTIFS(Table5[Country],Tabela1[[#This Row],[Country]],Table5[Hammer Throw Classification],"&gt;0")</f>
        <v>1</v>
      </c>
      <c r="BK2" s="6">
        <f>COUNTIFS(Table4[Country],Tabela1[[#This Row],[Country]],Table4[High Jump Classification],"&gt;0")</f>
        <v>0</v>
      </c>
      <c r="BL2" s="6">
        <f>COUNTIFS(Table5[Country],Tabela1[[#This Row],[Country]],Table5[High Jump Classification],"&gt;0")</f>
        <v>1</v>
      </c>
      <c r="BM2" s="6">
        <f>COUNTIFS(Table4[Country],Tabela1[[#This Row],[Country]],Table4[Javelin Throw Classification],"&gt;0")</f>
        <v>1</v>
      </c>
      <c r="BN2" s="6">
        <f>COUNTIFS(Table5[Country],Tabela1[[#This Row],[Country]],Table5[Javelin Throw Classification],"&gt;0")</f>
        <v>0</v>
      </c>
      <c r="BO2" s="6">
        <f>COUNTIFS(Table4[Country],Tabela1[[#This Row],[Country]],Table4[Long Jump Classification],"&gt;0")</f>
        <v>2</v>
      </c>
      <c r="BP2" s="6">
        <f>COUNTIFS(Table5[Country],Tabela1[[#This Row],[Country]],Table5[Long Jump Classification],"&gt;0")</f>
        <v>1</v>
      </c>
      <c r="BQ2" s="6">
        <f>COUNTIFS(Table4[Country],Tabela1[[#This Row],[Country]],Table4[Pole Vault Classification],"&gt;0")</f>
        <v>2</v>
      </c>
      <c r="BR2" s="6">
        <f>COUNTIFS(Table5[Country],Tabela1[[#This Row],[Country]],Table5[Pole Vault Classification],"&gt;0")</f>
        <v>1</v>
      </c>
      <c r="BS2" s="6">
        <f>COUNTIFS(Table4[Country],Tabela1[[#This Row],[Country]],Table4[Shot Put Classification],"&gt;0")</f>
        <v>2</v>
      </c>
      <c r="BT2" s="6">
        <f>COUNTIFS(Table5[Country],Tabela1[[#This Row],[Country]],Table5[Shot Put Classification],"&gt;0")</f>
        <v>1</v>
      </c>
      <c r="BU2" s="6">
        <f>COUNTIFS(Table4[Country],Tabela1[[#This Row],[Country]],Table4[Triple Jump Classification],"&gt;0")</f>
        <v>2</v>
      </c>
      <c r="BV2" s="6">
        <f>COUNTIFS(Table5[Country],Tabela1[[#This Row],[Country]],Table5[Triple Jump Classification],"&gt;0")</f>
        <v>1</v>
      </c>
      <c r="BW2" s="6">
        <f>COUNTIFS(Table4[Country],Tabela1[[#This Row],[Country]],Table4[Decathlon Classification],"&gt;0")</f>
        <v>0</v>
      </c>
      <c r="BX2" s="6">
        <f>COUNTIFS(Table5[Country],Tabela1[[#This Row],[Country]],Table5[Heptathlon Classification],"&gt;0")</f>
        <v>2</v>
      </c>
      <c r="BY2" s="6">
        <f>COUNTIFS(Table61[Country],Tabela1[[#This Row],[Country]],Table61[Classification],"&gt;0")</f>
        <v>1</v>
      </c>
      <c r="BZ2" s="6">
        <f>COUNTIFS(Table38[Country],Tabela1[[#This Row],[Country]],Table38[Classification],"&gt;0")</f>
        <v>1</v>
      </c>
      <c r="CA2" s="6">
        <f>COUNTIFS(Table39[Country],Tabela1[[#This Row],[Country]],Table39[Men''s Classification],"&gt;0")</f>
        <v>1</v>
      </c>
      <c r="CB2" s="6">
        <f>COUNTIFS(Table39[Country],Tabela1[[#This Row],[Country]],Table39[Women''s Classification],"&gt;0")</f>
        <v>1</v>
      </c>
      <c r="CC2" s="6">
        <f>COUNTIFS(Table39[Country],Tabela1[[#This Row],[Country]],Table39[Mixed Classification],"&gt;0")</f>
        <v>1</v>
      </c>
      <c r="CD2" s="6">
        <f>COUNTIFS(Table89[Country],Tabela1[[#This Row],[Country]],Table89[Men''s Classification],"&gt;0")</f>
        <v>1</v>
      </c>
      <c r="CE2" s="6">
        <f>COUNTIFS(Table89[Country],Tabela1[[#This Row],[Country]],Table89[Women''s Classification],"&gt;0")</f>
        <v>1</v>
      </c>
      <c r="CF2" s="6">
        <f>COUNTIFS(Table90[Country],Tabela1[[#This Row],[Country]],Table90[Men''s Classification],"&gt;0")</f>
        <v>1</v>
      </c>
      <c r="CG2" s="6">
        <f>COUNTIFS(Table90[Country],Tabela1[[#This Row],[Country]],Table90[Women''s Classification],"&gt;0")</f>
        <v>0</v>
      </c>
      <c r="CH2" s="6">
        <f>COUNTIFS(Table60[Country],Tabela1[[#This Row],[Country]],Table60[Men''s Classification],"&gt;0")</f>
        <v>2</v>
      </c>
      <c r="CI2" s="6">
        <f>COUNTIFS(Table60[Country],Tabela1[[#This Row],[Country]],Table60[Women''s Classification],"&gt;0")</f>
        <v>2</v>
      </c>
      <c r="CJ2" s="6">
        <f>COUNTIFS(Table6[Country],Tabela1[[#This Row],[Country]],Table6[51kg Classification],"&gt;0")</f>
        <v>0</v>
      </c>
      <c r="CK2" s="6">
        <f>COUNTIFS(Table6[Country],Tabela1[[#This Row],[Country]],Table6[57kg Classification],"&gt;0")</f>
        <v>1</v>
      </c>
      <c r="CL2" s="6">
        <f>COUNTIFS(Table6[Country],Tabela1[[#This Row],[Country]],Table6[63.5kg Classification],"&gt;0")</f>
        <v>0</v>
      </c>
      <c r="CM2" s="6">
        <f>COUNTIFS(Table6[Country],Tabela1[[#This Row],[Country]],Table6[71kg Classification],"&gt;0")</f>
        <v>1</v>
      </c>
      <c r="CN2" s="6">
        <f>COUNTIFS(Table6[Country],Tabela1[[#This Row],[Country]],Table6[80kg Classification],"&gt;0")</f>
        <v>0</v>
      </c>
      <c r="CO2" s="6">
        <f>COUNTIFS(Table6[Country],Tabela1[[#This Row],[Country]],Table6[92kg Classification],"&gt;0")</f>
        <v>0</v>
      </c>
      <c r="CP2" s="6">
        <f>COUNTIFS(Table6[Country],Tabela1[[#This Row],[Country]],Table6[Plus 92kg Classification],"&gt;0")</f>
        <v>0</v>
      </c>
      <c r="CQ2" s="6">
        <f>COUNTIFS(Table7[Country],Tabela1[[#This Row],[Country]],Table7[50kg Classification],"&gt;0")</f>
        <v>0</v>
      </c>
      <c r="CR2" s="6">
        <f>COUNTIFS(Table7[Country],Tabela1[[#This Row],[Country]],Table7[54kg Classification],"&gt;0")</f>
        <v>0</v>
      </c>
      <c r="CS2" s="6">
        <f>COUNTIFS(Table7[Country],Tabela1[[#This Row],[Country]],Table7[57kg Classification],"&gt;0")</f>
        <v>1</v>
      </c>
      <c r="CT2" s="6">
        <f>COUNTIFS(Table7[Country],Tabela1[[#This Row],[Country]],Table7[60kg Classification],"&gt;0")</f>
        <v>1</v>
      </c>
      <c r="CU2" s="6">
        <f>COUNTIFS(Table7[Country],Tabela1[[#This Row],[Country]],Table7[66kg Classification],"&gt;0")</f>
        <v>0</v>
      </c>
      <c r="CV2" s="6">
        <f>COUNTIFS(Table7[Country],Tabela1[[#This Row],[Country]],Table7[75kg Classification],"&gt;0")</f>
        <v>0</v>
      </c>
      <c r="CW2" s="6">
        <f>COUNTIFS(Tabela94[Country],Tabela1[[#This Row],[Country]],Tabela94[Classification],"&gt;0")</f>
        <v>1</v>
      </c>
      <c r="CX2" s="6">
        <f>COUNTIFS(Tabela9499[Country],Tabela1[[#This Row],[Country]],Tabela9499[Classification],"&gt;0")</f>
        <v>1</v>
      </c>
      <c r="CY2" s="6">
        <f>COUNTIFS(Tabela107[Country],Tabela1[[#This Row],[Country]],Tabela107[C1 Slalom Classification],"&gt;0")</f>
        <v>1</v>
      </c>
      <c r="CZ2" s="6">
        <f>COUNTIFS(Tabela107122[Country],Tabela1[[#This Row],[Country]],Tabela107122[C1 Slalom Classification],"&gt;0")</f>
        <v>0</v>
      </c>
      <c r="DA2" s="6">
        <f>COUNTIFS(Tabela107[Country],Tabela1[[#This Row],[Country]],Tabela107[K1 Slalom Classification],"&gt;0")</f>
        <v>0</v>
      </c>
      <c r="DB2" s="6">
        <f>COUNTIFS(Tabela107122[Country],Tabela1[[#This Row],[Country]],Tabela107122[K1 Slalom Classification],"&gt;0")</f>
        <v>0</v>
      </c>
      <c r="DC2" s="6">
        <f>COUNTIFS(Tabela107[Country],Tabela1[[#This Row],[Country]],Tabela107[Kayak Cross Slalom Classification],"&gt;0")</f>
        <v>1</v>
      </c>
      <c r="DD2" s="6">
        <f>COUNTIFS(Tabela107122[Country],Tabela1[[#This Row],[Country]],Tabela107122[Kayak Cross Slalom Classification],"&gt;0")</f>
        <v>0</v>
      </c>
      <c r="DE2" s="6">
        <f>COUNTIFS(Table8[Country],Tabela1[[#This Row],[Country]],Table8[C1 200m Classification],"&gt;0")</f>
        <v>0</v>
      </c>
      <c r="DF2" s="6">
        <f>COUNTIFS(Table40[Country],Tabela1[[#This Row],[Country]],Table40[C1 1000m Classification],"&gt;0")</f>
        <v>0</v>
      </c>
      <c r="DG2" s="6">
        <f>COUNTIFS(Table68[Country],Tabela1[[#This Row],[Country]],Table68[Men''s C2 500m Classification],"&gt;0")</f>
        <v>0</v>
      </c>
      <c r="DH2" s="6">
        <f>COUNTIFS(Table68[Country],Tabela1[[#This Row],[Country]],Table68[Women''s C2 500m Classification],"&gt;0")</f>
        <v>0</v>
      </c>
      <c r="DI2" s="6">
        <f>COUNTIFS(Table8[Country],Tabela1[[#This Row],[Country]],Table8[K1 500m Classification],"&gt;0")</f>
        <v>0</v>
      </c>
      <c r="DJ2" s="6">
        <f>COUNTIFS(Table40[Country],Tabela1[[#This Row],[Country]],Table40[K1 1000m Classification],"&gt;0")</f>
        <v>0</v>
      </c>
      <c r="DK2" s="6">
        <f>COUNTIFS(Table68[Country],Tabela1[[#This Row],[Country]],Table68[Men''s K2 500m Classification],"&gt;0")</f>
        <v>0</v>
      </c>
      <c r="DL2" s="6">
        <f>COUNTIFS(Table68[Country],Tabela1[[#This Row],[Country]],Table68[Women''s K2 500m Classification],"&gt;0")</f>
        <v>0</v>
      </c>
      <c r="DM2" s="6">
        <f>COUNTIFS(Table83[Country],Tabela1[[#This Row],[Country]],Table83[Men''s K4 500m Classification],"&gt;0")</f>
        <v>0</v>
      </c>
      <c r="DN2" s="6">
        <f>COUNTIFS(Table83[Country],Tabela1[[#This Row],[Country]],Table83[Women''s K4 500m Classification],"&gt;0")</f>
        <v>0</v>
      </c>
      <c r="DO2" s="6">
        <f>COUNTIFS(Tabela126[Country],Tabela1[[#This Row],[Country]],Tabela126[Classification],"&gt;0")</f>
        <v>0</v>
      </c>
      <c r="DP2" s="6">
        <f>COUNTIFS(Tabela126130[Country],Tabela1[[#This Row],[Country]],Tabela126130[Classification],"&gt;0")</f>
        <v>0</v>
      </c>
      <c r="DQ2" s="6">
        <f>COUNTIFS(Table70[Country],Tabela1[[#This Row],[Country]],Table70[Classification],"&gt;0")</f>
        <v>2</v>
      </c>
      <c r="DR2" s="6">
        <f>COUNTIFS(Table80[Country],Tabela1[[#This Row],[Country]],Table80[Classification],"&gt;0")</f>
        <v>2</v>
      </c>
      <c r="DS2" s="6">
        <f>COUNTIFS(Table66[Country],Tabela1[[#This Row],[Country]],Table66[Classification],"&gt;0")</f>
        <v>2</v>
      </c>
      <c r="DT2" s="6">
        <f>COUNTIFS(Table67[Country],Tabela1[[#This Row],[Country]],Table67[Classification],"&gt;0")</f>
        <v>2</v>
      </c>
      <c r="DU2" s="6">
        <f>COUNTIFS(Table69[Country],Tabela1[[#This Row],[Country]],Table69[Keirin Classification],"&gt;0")</f>
        <v>0</v>
      </c>
      <c r="DV2" s="6">
        <f>COUNTIFS(Table41[Country],Tabela1[[#This Row],[Country]],Table41[Keirin Classification],"&gt;0")</f>
        <v>0</v>
      </c>
      <c r="DW2" s="6">
        <f>COUNTIFS(Table84[Country],Tabela1[[#This Row],[Country]],Table84[Men''s Madison Classification],"&gt;0")</f>
        <v>0</v>
      </c>
      <c r="DX2" s="6">
        <f>COUNTIFS(Table84[Country],Tabela1[[#This Row],[Country]],Table84[Women''s Madison Classification],"&gt;0")</f>
        <v>1</v>
      </c>
      <c r="DY2" s="6">
        <f>COUNTIFS(Table69[Country],Tabela1[[#This Row],[Country]],Table69[Omnium Classification],"&gt;0")</f>
        <v>1</v>
      </c>
      <c r="DZ2" s="6">
        <f>COUNTIFS(Table41[Country],Tabela1[[#This Row],[Country]],Table41[Omnium Classification],"&gt;0")</f>
        <v>1</v>
      </c>
      <c r="EA2" s="6">
        <f>COUNTIFS(Table9[Country],Tabela1[[#This Row],[Country]],Table9[Road Race Classification],"&gt;0")</f>
        <v>2</v>
      </c>
      <c r="EB2" s="6">
        <f>COUNTIFS(Table14[Country],Tabela1[[#This Row],[Country]],Table14[Road Race Classification],"&gt;0")</f>
        <v>1</v>
      </c>
      <c r="EC2" s="6">
        <f>COUNTIFS(Table69[Country],Tabela1[[#This Row],[Country]],Table69[Sprint Classification],"&gt;0")</f>
        <v>0</v>
      </c>
      <c r="ED2" s="6">
        <f>COUNTIFS(Table41[Country],Tabela1[[#This Row],[Country]],Table41[Sprint Classification],"&gt;0")</f>
        <v>0</v>
      </c>
      <c r="EE2" s="6">
        <f>COUNTIFS(Table85[Country],Tabela1[[#This Row],[Country]],Table85[Men''s Sprint Classification],"&gt;0")</f>
        <v>0</v>
      </c>
      <c r="EF2" s="6">
        <f>COUNTIFS(Table85[Country],Tabela1[[#This Row],[Country]],Table85[Women''s Sprint Classification],"&gt;0")</f>
        <v>0</v>
      </c>
      <c r="EG2" s="6">
        <f>COUNTIFS(Table85[Country],Tabela1[[#This Row],[Country]],Table85[Men''s Pursuit Classification],"&gt;0")</f>
        <v>0</v>
      </c>
      <c r="EH2" s="6">
        <f>COUNTIFS(Table85[Country],Tabela1[[#This Row],[Country]],Table85[Women''s Pursuit Classification],"&gt;0")</f>
        <v>1</v>
      </c>
      <c r="EI2" s="6">
        <f>COUNTIFS(Table9[Country],Tabela1[[#This Row],[Country]],Table9[Time-Trial Classification],"&gt;0")</f>
        <v>1</v>
      </c>
      <c r="EJ2" s="6">
        <f>COUNTIFS(Table14[Country],Tabela1[[#This Row],[Country]],Table14[Time-Trial Classification],"&gt;0")</f>
        <v>0</v>
      </c>
      <c r="EK2" s="6">
        <f>COUNTIFS(Table42[Country],Tabela1[[#This Row],[Country]],Table42[Springboard Classification],"&gt;0")</f>
        <v>0</v>
      </c>
      <c r="EL2" s="6">
        <f>COUNTIFS(Table43[Country],Tabela1[[#This Row],[Country]],Table43[Springboard Classification],"&gt;0")</f>
        <v>0</v>
      </c>
      <c r="EM2" s="6">
        <f>COUNTIFS(Table42[Country],Tabela1[[#This Row],[Country]],Table42[Platform Classification],"&gt;0")</f>
        <v>1</v>
      </c>
      <c r="EN2" s="6">
        <f>COUNTIFS(Table43[Country],Tabela1[[#This Row],[Country]],Table43[Platform Classification],"&gt;0")</f>
        <v>0</v>
      </c>
      <c r="EO2" s="6">
        <f>COUNTIFS(Table86[Country],Tabela1[[#This Row],[Country]],Table86[Men''s Synchronized Springboard Classification],"&gt;0")</f>
        <v>1</v>
      </c>
      <c r="EP2" s="6">
        <f>COUNTIFS(Table86[Country],Tabela1[[#This Row],[Country]],Table86[Women''s Synchronized Springboard Classification],"&gt;0")</f>
        <v>1</v>
      </c>
      <c r="EQ2" s="6">
        <f>COUNTIFS(Table86[Country],Tabela1[[#This Row],[Country]],Table86[Men''s Synchronized Platform Classification],"&gt;0")</f>
        <v>0</v>
      </c>
      <c r="ER2" s="6">
        <f>COUNTIFS(Table86[Country],Tabela1[[#This Row],[Country]],Table86[Women''s Synchronized Platform Classification],"&gt;0")</f>
        <v>0</v>
      </c>
      <c r="ES2" s="6">
        <f>COUNTIFS(Table44[Country],Tabela1[[#This Row],[Country]],Table44[Dressage Classification],"&gt;0")</f>
        <v>0</v>
      </c>
      <c r="ET2" s="6">
        <f>COUNTIFS(Table45[Country],Tabela1[[#This Row],[Country]],Table45[Dressage Classification],"&gt;0")</f>
        <v>0</v>
      </c>
      <c r="EU2" s="6">
        <f>COUNTIFS(Table44[Country],Tabela1[[#This Row],[Country]],Table44[Eventing Classification],"&gt;0")</f>
        <v>3</v>
      </c>
      <c r="EV2" s="6">
        <f>COUNTIFS(Table45[Country],Tabela1[[#This Row],[Country]],Table45[Eventing Classification],"&gt;0")</f>
        <v>1</v>
      </c>
      <c r="EW2" s="6">
        <f>COUNTIFS(Table44[Country],Tabela1[[#This Row],[Country]],Table44[Jumping Classification],"&gt;0")</f>
        <v>1</v>
      </c>
      <c r="EX2" s="6">
        <f>COUNTIFS(Table45[Country],Tabela1[[#This Row],[Country]],Table45[Jumping Classification],"&gt;0")</f>
        <v>1</v>
      </c>
      <c r="EY2" s="6">
        <f>COUNTIFS(Table10[Country],Tabela1[[#This Row],[Country]],Table10[Épée Classification],"&gt;0")</f>
        <v>0</v>
      </c>
      <c r="EZ2" s="6">
        <f>COUNTIFS(Table11[Country],Tabela1[[#This Row],[Country]],Table11[Épée Classification],"&gt;0")</f>
        <v>0</v>
      </c>
      <c r="FA2" s="6">
        <f>COUNTIFS(Table46[Country],Tabela1[[#This Row],[Country]],Table46[Men''s Épée Classification],"&gt;0")</f>
        <v>0</v>
      </c>
      <c r="FB2" s="6">
        <f>COUNTIFS(Table46[Country],Tabela1[[#This Row],[Country]],Table46[Women''s Épée Classification],"&gt;0")</f>
        <v>0</v>
      </c>
      <c r="FC2" s="6">
        <f>COUNTIFS(Table10[Country],Tabela1[[#This Row],[Country]],Table10[Foil Classification],"&gt;0")</f>
        <v>3</v>
      </c>
      <c r="FD2" s="6">
        <f>COUNTIFS(Table11[Country],Tabela1[[#This Row],[Country]],Table11[Foil Classification],"&gt;0")</f>
        <v>1</v>
      </c>
      <c r="FE2" s="6">
        <f>COUNTIFS(Table46[Country],Tabela1[[#This Row],[Country]],Table46[Men''s Foil Classification],"&gt;0")</f>
        <v>1</v>
      </c>
      <c r="FF2" s="6">
        <f>COUNTIFS(Table46[Country],Tabela1[[#This Row],[Country]],Table46[Women''s Foil Classification],"&gt;0")</f>
        <v>1</v>
      </c>
      <c r="FG2" s="6">
        <f>COUNTIFS(Table10[Country],Tabela1[[#This Row],[Country]],Table10[Sabre Classification],"&gt;0")</f>
        <v>2</v>
      </c>
      <c r="FH2" s="6">
        <f>COUNTIFS(Table11[Country],Tabela1[[#This Row],[Country]],Table11[Sabre Classification],"&gt;0")</f>
        <v>2</v>
      </c>
      <c r="FI2" s="6">
        <f>COUNTIFS(Table46[Country],Tabela1[[#This Row],[Country]],Table46[Men''s Sabre Classification],"&gt;0")</f>
        <v>1</v>
      </c>
      <c r="FJ2" s="6">
        <f>COUNTIFS(Table46[Country],Tabela1[[#This Row],[Country]],Table46[Women''s Sabre Classification],"&gt;0")</f>
        <v>1</v>
      </c>
      <c r="FK2" s="6">
        <f>COUNTIFS(Table91[Country],Tabela1[[#This Row],[Country]],Table91[Men''s Classification],"&gt;0")</f>
        <v>0</v>
      </c>
      <c r="FL2" s="6">
        <f>COUNTIFS(Table91[Country],Tabela1[[#This Row],[Country]],Table91[Women''s Classification],"&gt;0")</f>
        <v>1</v>
      </c>
      <c r="FM2" s="6">
        <f>COUNTIFS(Table9194[Country],Tabela1[[#This Row],[Country]],Table9194[Men''s Classification],"&gt;0")</f>
        <v>1</v>
      </c>
      <c r="FN2" s="6">
        <f>COUNTIFS(Table9194[Country],Tabela1[[#This Row],[Country]],Table9194[Women''s Classification],"&gt;0")</f>
        <v>1</v>
      </c>
      <c r="FO2" s="6">
        <f>COUNTIFS(Table71[Country],Tabela1[[#This Row],[Country]],Table71[Classification],"&gt;0")</f>
        <v>3</v>
      </c>
      <c r="FP2" s="6">
        <f>COUNTIFS(Table62[Country],Tabela1[[#This Row],[Country]],Table62[Classification],"&gt;0")</f>
        <v>3</v>
      </c>
      <c r="FQ2" s="6">
        <f>COUNTIFS(Table47[Country],Tabela1[[#This Row],[Country]],Table47[All-Around Classification],"&gt;0")</f>
        <v>1</v>
      </c>
      <c r="FR2" s="6">
        <f>COUNTIFS(Table48[Country],Tabela1[[#This Row],[Country]],Table48[All-Around Classification],"&gt;0")</f>
        <v>1</v>
      </c>
      <c r="FS2" s="6">
        <f>COUNTIFS(Table81[Country],Tabela1[[#This Row],[Country]],Table81[Men''s All-Around Classification],"&gt;0")</f>
        <v>1</v>
      </c>
      <c r="FT2" s="6">
        <f>COUNTIFS(Table81[Country],Tabela1[[#This Row],[Country]],Table81[Women''s All-Around Classification],"&gt;0")</f>
        <v>1</v>
      </c>
      <c r="FU2" s="6">
        <f>COUNTIFS(Table48[Country],Tabela1[[#This Row],[Country]],Table48[Balance Beam Classification],"&gt;0")</f>
        <v>2</v>
      </c>
      <c r="FV2" s="6">
        <f>COUNTIFS(Table47[Country],Tabela1[[#This Row],[Country]],Table47[Floor Exercise Classification],"&gt;0")</f>
        <v>1</v>
      </c>
      <c r="FW2" s="6">
        <f>COUNTIFS(Table48[Country],Tabela1[[#This Row],[Country]],Table48[Floor Exercise Classification],"&gt;0")</f>
        <v>2</v>
      </c>
      <c r="FX2" s="6">
        <f>COUNTIFS(Table47[Country],Tabela1[[#This Row],[Country]],Table47[Horizontal Bar Classification],"&gt;0")</f>
        <v>1</v>
      </c>
      <c r="FY2" s="6">
        <f>COUNTIFS(Table47[Country],Tabela1[[#This Row],[Country]],Table47[Parallel Bars Classification],"&gt;0")</f>
        <v>1</v>
      </c>
      <c r="FZ2" s="6">
        <f>COUNTIFS(Table47[Country],Tabela1[[#This Row],[Country]],Table47[Pommel Horse Classification],"&gt;0")</f>
        <v>2</v>
      </c>
      <c r="GA2" s="6">
        <f>COUNTIFS(Table47[Country],Tabela1[[#This Row],[Country]],Table47[Rings Classification],"&gt;0")</f>
        <v>1</v>
      </c>
      <c r="GB2" s="6">
        <f>COUNTIFS(Tabela132[Country],Tabela1[[#This Row],[Country]],Tabela132[Classification],"&gt;0")</f>
        <v>0</v>
      </c>
      <c r="GC2" s="6">
        <f>COUNTIFS(Tabela139[Country],Tabela1[[#This Row],[Country]],Tabela139[Classification],"&gt;0")</f>
        <v>1</v>
      </c>
      <c r="GD2" s="6">
        <f>COUNTIFS(Table48[Country],Tabela1[[#This Row],[Country]],Table48[Uneven Bars Classification],"&gt;0")</f>
        <v>2</v>
      </c>
      <c r="GE2" s="6">
        <f>COUNTIFS(Table47[Country],Tabela1[[#This Row],[Country]],Table47[Vault Classification],"&gt;0")</f>
        <v>0</v>
      </c>
      <c r="GF2" s="6">
        <f>COUNTIFS(Table48[Country],Tabela1[[#This Row],[Country]],Table48[Vault Classification],"&gt;0")</f>
        <v>1</v>
      </c>
      <c r="GG2" s="6">
        <f>COUNTIFS(Table919496[Country],Tabela1[[#This Row],[Country]],Table919496[Men''s Classification],"&gt;0")</f>
        <v>0</v>
      </c>
      <c r="GH2" s="6">
        <f>COUNTIFS(Table919496[Country],Tabela1[[#This Row],[Country]],Table919496[Women''s Classification],"&gt;0")</f>
        <v>0</v>
      </c>
      <c r="GI2" s="6">
        <f>COUNTIFS(Table12[Country],Tabela1[[#This Row],[Country]],Table12[60kg Classification],"&gt;0")</f>
        <v>0</v>
      </c>
      <c r="GJ2" s="6">
        <f>COUNTIFS(Table12[Country],Tabela1[[#This Row],[Country]],Table12[66kg Classification],"&gt;0")</f>
        <v>0</v>
      </c>
      <c r="GK2" s="6">
        <f>COUNTIFS(Table12[Country],Tabela1[[#This Row],[Country]],Table12[73kg Classification],"&gt;0")</f>
        <v>1</v>
      </c>
      <c r="GL2" s="6">
        <f>COUNTIFS(Table12[Country],Tabela1[[#This Row],[Country]],Table12[81kg Classification],"&gt;0")</f>
        <v>0</v>
      </c>
      <c r="GM2" s="6">
        <f>COUNTIFS(Table12[Country],Tabela1[[#This Row],[Country]],Table12[90kg Classification],"&gt;0")</f>
        <v>0</v>
      </c>
      <c r="GN2" s="6">
        <f>COUNTIFS(Table12[Country],Tabela1[[#This Row],[Country]],Table12[100kg Classification],"&gt;0")</f>
        <v>0</v>
      </c>
      <c r="GO2" s="6">
        <f>COUNTIFS(Table12[Country],Tabela1[[#This Row],[Country]],Table12[Plus 100kg Classification],"&gt;0")</f>
        <v>0</v>
      </c>
      <c r="GP2" s="6">
        <f>COUNTIFS(Table13[Country],Tabela1[[#This Row],[Country]],Table13[48kg Classification],"&gt;0")</f>
        <v>0</v>
      </c>
      <c r="GQ2" s="6">
        <f>COUNTIFS(Table13[Country],Tabela1[[#This Row],[Country]],Table13[52kg Classification],"&gt;0")</f>
        <v>1</v>
      </c>
      <c r="GR2" s="6">
        <f>COUNTIFS(Table13[Country],Tabela1[[#This Row],[Country]],Table13[57kg Classification],"&gt;0")</f>
        <v>0</v>
      </c>
      <c r="GS2" s="6">
        <f>COUNTIFS(Table13[Country],Tabela1[[#This Row],[Country]],Table13[63kg Classification],"&gt;0")</f>
        <v>0</v>
      </c>
      <c r="GT2" s="6">
        <f>COUNTIFS(Table13[Country],Tabela1[[#This Row],[Country]],Table13[70kg Classification],"&gt;0")</f>
        <v>0</v>
      </c>
      <c r="GU2" s="6">
        <f>COUNTIFS(Table13[Country],Tabela1[[#This Row],[Country]],Table13[78kg Classification],"&gt;0")</f>
        <v>0</v>
      </c>
      <c r="GV2" s="6">
        <f>COUNTIFS(Table13[Country],Tabela1[[#This Row],[Country]],Table13[Plus 78kg Classification],"&gt;0")</f>
        <v>0</v>
      </c>
      <c r="GW2" s="6">
        <f>COUNTIFS(Table82[Country],Tabela1[[#This Row],[Country]],Table82[Mixed Classification],"&gt;0")</f>
        <v>0</v>
      </c>
      <c r="GX2" s="6">
        <f>COUNTIFS(Table51[Country],Tabela1[[#This Row],[Country]],Table51[Classification],"&gt;0")</f>
        <v>0</v>
      </c>
      <c r="GY2" s="6">
        <f>COUNTIFS(Table52[Country],Tabela1[[#This Row],[Country]],Table52[Classification],"&gt;0")</f>
        <v>0</v>
      </c>
      <c r="GZ2" s="6">
        <f>COUNTIFS(Table32[Country],Tabela1[[#This Row],[Country]],Table32[All-Around Classification],"&gt;0")</f>
        <v>0</v>
      </c>
      <c r="HA2" s="6">
        <f>COUNTIFS(Table49[Country],Tabela1[[#This Row],[Country]],Table49[All-Around Classification],"&gt;0")</f>
        <v>0</v>
      </c>
      <c r="HB2" s="6">
        <f>COUNTIFS(Table26[Country],Tabela1[[#This Row],[Country]],Table26[Single Sculls Classification],"&gt;0")</f>
        <v>0</v>
      </c>
      <c r="HC2" s="6">
        <f>COUNTIFS(Table63[Country],Tabela1[[#This Row],[Country]],Table63[Single Sculls Classification],"&gt;0")</f>
        <v>1</v>
      </c>
      <c r="HD2" s="6">
        <f>COUNTIFS(Table16[Country],Tabela1[[#This Row],[Country]],Table16[Men''s Double Sculls Classification],"&gt;0")</f>
        <v>0</v>
      </c>
      <c r="HE2" s="6">
        <f>COUNTIFS(Table16[Country],Tabela1[[#This Row],[Country]],Table16[Women''s Double Sculls Classification],"&gt;0")</f>
        <v>1</v>
      </c>
      <c r="HF2" s="6">
        <f>COUNTIFS(Table72[Country],Tabela1[[#This Row],[Country]],Table72[Men''s Quadruple Sculls Classification],"&gt;0")</f>
        <v>0</v>
      </c>
      <c r="HG2" s="6">
        <f>COUNTIFS(Table72[Country],Tabela1[[#This Row],[Country]],Table72[Women''s Quadruple Sculls Classification],"&gt;0")</f>
        <v>0</v>
      </c>
      <c r="HH2" s="6">
        <f>COUNTIFS(Table16[Country],Tabela1[[#This Row],[Country]],Table16[Men''s Coxless Pairs Classification],"&gt;0")</f>
        <v>0</v>
      </c>
      <c r="HI2" s="6">
        <f>COUNTIFS(Table16[Country],Tabela1[[#This Row],[Country]],Table16[Women''s Coxless Pairs Classification],"&gt;0")</f>
        <v>1</v>
      </c>
      <c r="HJ2" s="6">
        <f>COUNTIFS(Table72[Country],Tabela1[[#This Row],[Country]],Table72[Men''s Coxless Fours Classification],"&gt;0")</f>
        <v>1</v>
      </c>
      <c r="HK2" s="6">
        <f>COUNTIFS(Table72[Country],Tabela1[[#This Row],[Country]],Table72[Women''s Coxless Fours Classification],"&gt;0")</f>
        <v>1</v>
      </c>
      <c r="HL2" s="6">
        <f>COUNTIFS(Table72[Country],Tabela1[[#This Row],[Country]],Table72[Men''s Eights Classification],"&gt;0")</f>
        <v>1</v>
      </c>
      <c r="HM2" s="6">
        <f>COUNTIFS(Table72[Country],Tabela1[[#This Row],[Country]],Table72[Women''s Eights Classification],"&gt;0")</f>
        <v>1</v>
      </c>
      <c r="HN2" s="6">
        <f>COUNTIFS(Table16[Country],Tabela1[[#This Row],[Country]],Table16[Men''s Lwt. Double Sculls Classification],"&gt;0")</f>
        <v>0</v>
      </c>
      <c r="HO2" s="6">
        <f>COUNTIFS(Table16[Country],Tabela1[[#This Row],[Country]],Table16[Women''s Lwt. Double Sculls Classification],"&gt;0")</f>
        <v>1</v>
      </c>
      <c r="HP2" s="6">
        <f>COUNTIFS(Table91949698[Country],Tabela1[[#This Row],[Country]],Table91949698[Men''s Classification],"&gt;0")</f>
        <v>1</v>
      </c>
      <c r="HQ2" s="6">
        <f>COUNTIFS(Table91949698[Country],Tabela1[[#This Row],[Country]],Table91949698[Women''s Classification],"&gt;0")</f>
        <v>1</v>
      </c>
      <c r="HR2" s="6">
        <f>COUNTIFS(Table25[Country],Tabela1[[#This Row],[Country]],Table25[Mixed 470 Classification],"&gt;0")</f>
        <v>1</v>
      </c>
      <c r="HS2" s="6">
        <f>COUNTIFS(Table25[Country],Tabela1[[#This Row],[Country]],Table25[Men''s 49er Classification],"&gt;0")</f>
        <v>1</v>
      </c>
      <c r="HT2" s="6">
        <f>COUNTIFS(Table25[Country],Tabela1[[#This Row],[Country]],Table25[Women''s 49er FX Classification],"&gt;0")</f>
        <v>0</v>
      </c>
      <c r="HU2" s="6">
        <f>COUNTIFS(Table17[Country],Tabela1[[#This Row],[Country]],Table17[Formula Kite Classification],"&gt;0")</f>
        <v>1</v>
      </c>
      <c r="HV2" s="6">
        <f>COUNTIFS(Table18[Country],Tabela1[[#This Row],[Country]],Table18[Formula Kite Classification],"&gt;0")</f>
        <v>1</v>
      </c>
      <c r="HW2" s="6">
        <f>COUNTIFS(Table17[Country],Tabela1[[#This Row],[Country]],Table17[ILCA 7 Classification],"&gt;0")</f>
        <v>0</v>
      </c>
      <c r="HX2" s="6">
        <f>COUNTIFS(Table18[Country],Tabela1[[#This Row],[Country]],Table18[ILCA 6 Classification],"&gt;0")</f>
        <v>1</v>
      </c>
      <c r="HY2" s="6">
        <f>COUNTIFS(Table17[Country],Tabela1[[#This Row],[Country]],Table17[IQFoil Classification],"&gt;0")</f>
        <v>1</v>
      </c>
      <c r="HZ2" s="6">
        <f>COUNTIFS(Table18[Country],Tabela1[[#This Row],[Country]],Table18[IQFoil Classification],"&gt;0")</f>
        <v>1</v>
      </c>
      <c r="IA2" s="6">
        <f>COUNTIFS(Table25[Country],Tabela1[[#This Row],[Country]],Table25[Mixed Nacra 17 Classification],"&gt;0")</f>
        <v>1</v>
      </c>
      <c r="IB2" s="6">
        <f>COUNTIFS(Table53[Country],Tabela1[[#This Row],[Country]],Table53[10m Air Pistol Classification],"&gt;0")</f>
        <v>0</v>
      </c>
      <c r="IC2" s="6">
        <f>COUNTIFS(Table19[Country],Tabela1[[#This Row],[Country]],Table19[10m Air Pistol Classification],"&gt;0")</f>
        <v>0</v>
      </c>
      <c r="ID2" s="6">
        <f>COUNTIFS(Table54[Country],Tabela1[[#This Row],[Country]],Table54[Mixed 10m Air Pistol Team Classification],"&gt;0")</f>
        <v>0</v>
      </c>
      <c r="IE2" s="6">
        <f>COUNTIFS(Table53[Country],Tabela1[[#This Row],[Country]],Table53[10m Air Rifle Classification],"&gt;0")</f>
        <v>1</v>
      </c>
      <c r="IF2" s="6">
        <f>COUNTIFS(Table19[Country],Tabela1[[#This Row],[Country]],Table19[10m Air Rifle Classification],"&gt;0")</f>
        <v>0</v>
      </c>
      <c r="IG2" s="6">
        <f>COUNTIFS(Table54[Country],Tabela1[[#This Row],[Country]],Table54[Mixed 10m Air Rifle Team Classification],"&gt;0")</f>
        <v>1</v>
      </c>
      <c r="IH2" s="6">
        <f>COUNTIFS(Table53[Country],Tabela1[[#This Row],[Country]],Table53[25m Rapid Fire Pistol Classification],"&gt;0")</f>
        <v>1</v>
      </c>
      <c r="II2" s="6">
        <f>COUNTIFS(Table19[Country],Tabela1[[#This Row],[Country]],Table19[25m Pistol Classification],"&gt;0")</f>
        <v>1</v>
      </c>
      <c r="IJ2" s="6">
        <f>COUNTIFS(Table53[Country],Tabela1[[#This Row],[Country]],Table53[50m Rifle 3 Positions Classification],"&gt;0")</f>
        <v>1</v>
      </c>
      <c r="IK2" s="6">
        <f>COUNTIFS(Table19[Country],Tabela1[[#This Row],[Country]],Table19[50m Rifle 3 Positions Classification],"&gt;0")</f>
        <v>0</v>
      </c>
      <c r="IL2" s="6">
        <f>COUNTIFS(Table53[Country],Tabela1[[#This Row],[Country]],Table53[Skeet Classification],"&gt;0")</f>
        <v>1</v>
      </c>
      <c r="IM2" s="6">
        <f>COUNTIFS(Table19[Country],Tabela1[[#This Row],[Country]],Table19[Skeet Classification],"&gt;0")</f>
        <v>1</v>
      </c>
      <c r="IN2" s="6">
        <f>COUNTIFS(Table54[Country],Tabela1[[#This Row],[Country]],Table54[Mixed Skeet Team Classification],"&gt;0")</f>
        <v>2</v>
      </c>
      <c r="IO2" s="6">
        <f>COUNTIFS(Table53[Country],Tabela1[[#This Row],[Country]],Table53[Trap Classification],"&gt;0")</f>
        <v>0</v>
      </c>
      <c r="IP2" s="6">
        <f>COUNTIFS(Table19[Country],Tabela1[[#This Row],[Country]],Table19[Trap Classification],"&gt;0")</f>
        <v>1</v>
      </c>
      <c r="IQ2" s="6">
        <f>COUNTIFS(Table73[Country],Tabela1[[#This Row],[Country]],Table73[Park Classification],"&gt;0")</f>
        <v>3</v>
      </c>
      <c r="IR2" s="6">
        <f>COUNTIFS(Table74[Country],Tabela1[[#This Row],[Country]],Table74[Park Classification],"&gt;0")</f>
        <v>3</v>
      </c>
      <c r="IS2" s="6">
        <f>COUNTIFS(Table73[Country],Tabela1[[#This Row],[Country]],Table73[Street Classification],"&gt;0")</f>
        <v>3</v>
      </c>
      <c r="IT2" s="6">
        <f>COUNTIFS(Table74[Country],Tabela1[[#This Row],[Country]],Table74[Street Classification],"&gt;0")</f>
        <v>3</v>
      </c>
      <c r="IU2" s="6">
        <f>COUNTIFS(Table75[Country],Tabela1[[#This Row],[Country]],Table75[Boulder and Lead Classification],"&gt;0")</f>
        <v>1</v>
      </c>
      <c r="IV2" s="6">
        <f>COUNTIFS(Table76[Country],Tabela1[[#This Row],[Country]],Table76[Boulder and Lead Classification],"&gt;0")</f>
        <v>2</v>
      </c>
      <c r="IW2" s="6">
        <f>COUNTIFS(Table75[Country],Tabela1[[#This Row],[Country]],Table75[Speed Classification],"&gt;0")</f>
        <v>0</v>
      </c>
      <c r="IX2" s="6">
        <f>COUNTIFS(Table76[Country],Tabela1[[#This Row],[Country]],Table76[Speed Classification],"&gt;0")</f>
        <v>0</v>
      </c>
      <c r="IY2" s="6">
        <f>COUNTIFS(Table64[Country],Tabela1[[#This Row],[Country]],Table64[Shortboard Classification],"&gt;0")</f>
        <v>1</v>
      </c>
      <c r="IZ2" s="6">
        <f>COUNTIFS(Table77[Country],Tabela1[[#This Row],[Country]],Table77[Shortboard Classification],"&gt;0")</f>
        <v>2</v>
      </c>
      <c r="JA2" s="6">
        <f>COUNTIFS(Table20[Country],Tabela1[[#This Row],[Country]],Table20[50m Freestyle Classification],"&gt;0")</f>
        <v>2</v>
      </c>
      <c r="JB2" s="6">
        <f>COUNTIFS(Table21[Country],Tabela1[[#This Row],[Country]],Table21[50m Freestyle Classification],"&gt;0")</f>
        <v>0</v>
      </c>
      <c r="JC2" s="6">
        <f>COUNTIFS(Table20[Country],Tabela1[[#This Row],[Country]],Table20[100m Freestyle Classification],"&gt;0")</f>
        <v>1</v>
      </c>
      <c r="JD2" s="6">
        <f>COUNTIFS(Table21[Country],Tabela1[[#This Row],[Country]],Table21[100m Freestyle Classification],"&gt;0")</f>
        <v>0</v>
      </c>
      <c r="JE2" s="6">
        <f>COUNTIFS(Table20[Country],Tabela1[[#This Row],[Country]],Table20[200m Freestyle Classification],"&gt;0")</f>
        <v>1</v>
      </c>
      <c r="JF2" s="6">
        <f>COUNTIFS(Table21[Country],Tabela1[[#This Row],[Country]],Table21[200m Freestyle Classification],"&gt;0")</f>
        <v>1</v>
      </c>
      <c r="JG2" s="6">
        <f>COUNTIFS(Table20[Country],Tabela1[[#This Row],[Country]],Table20[400m Freestyle Classification],"&gt;0")</f>
        <v>1</v>
      </c>
      <c r="JH2" s="6">
        <f>COUNTIFS(Table21[Country],Tabela1[[#This Row],[Country]],Table21[400m Freestyle Classification],"&gt;0")</f>
        <v>0</v>
      </c>
      <c r="JI2" s="6">
        <f>COUNTIFS(Table20[Country],Tabela1[[#This Row],[Country]],Table20[800m Freestyle Classification],"&gt;0")</f>
        <v>1</v>
      </c>
      <c r="JJ2" s="6">
        <f>COUNTIFS(Table21[Country],Tabela1[[#This Row],[Country]],Table21[800m Freestyle Classification],"&gt;0")</f>
        <v>0</v>
      </c>
      <c r="JK2" s="6">
        <f>COUNTIFS(Table20[Country],Tabela1[[#This Row],[Country]],Table20[1500m Freestyle Classification],"&gt;0")</f>
        <v>1</v>
      </c>
      <c r="JL2" s="6">
        <f>COUNTIFS(Table21[Country],Tabela1[[#This Row],[Country]],Table21[1500m Freestyle Classification],"&gt;0")</f>
        <v>0</v>
      </c>
      <c r="JM2" s="6">
        <f>COUNTIFS(Table20[Country],Tabela1[[#This Row],[Country]],Table20[100m Backstroke Classification],"&gt;0")</f>
        <v>0</v>
      </c>
      <c r="JN2" s="6">
        <f>COUNTIFS(Table21[Country],Tabela1[[#This Row],[Country]],Table21[100m Backstroke Classification],"&gt;0")</f>
        <v>1</v>
      </c>
      <c r="JO2" s="6">
        <f>COUNTIFS(Table20[Country],Tabela1[[#This Row],[Country]],Table20[200m Backstroke Classification],"&gt;0")</f>
        <v>1</v>
      </c>
      <c r="JP2" s="6">
        <f>COUNTIFS(Table21[Country],Tabela1[[#This Row],[Country]],Table21[200m Backstroke Classification],"&gt;0")</f>
        <v>1</v>
      </c>
      <c r="JQ2" s="6">
        <f>COUNTIFS(Table20[Country],Tabela1[[#This Row],[Country]],Table20[100m Breaststroke Classification],"&gt;0")</f>
        <v>0</v>
      </c>
      <c r="JR2" s="6">
        <f>COUNTIFS(Table21[Country],Tabela1[[#This Row],[Country]],Table21[100m Breaststroke Classification],"&gt;0")</f>
        <v>1</v>
      </c>
      <c r="JS2" s="6">
        <f>COUNTIFS(Table20[Country],Tabela1[[#This Row],[Country]],Table20[200m Breaststroke Classification],"&gt;0")</f>
        <v>2</v>
      </c>
      <c r="JT2" s="6">
        <f>COUNTIFS(Table21[Country],Tabela1[[#This Row],[Country]],Table21[200m Breaststroke Classification],"&gt;0")</f>
        <v>0</v>
      </c>
      <c r="JU2" s="6">
        <f>COUNTIFS(Table20[Country],Tabela1[[#This Row],[Country]],Table20[100m Butterfly Classification],"&gt;0")</f>
        <v>1</v>
      </c>
      <c r="JV2" s="6">
        <f>COUNTIFS(Table21[Country],Tabela1[[#This Row],[Country]],Table21[100m Butterfly Classification],"&gt;0")</f>
        <v>0</v>
      </c>
      <c r="JW2" s="6">
        <f>COUNTIFS(Table20[Country],Tabela1[[#This Row],[Country]],Table20[200m Butterfly Classification],"&gt;0")</f>
        <v>1</v>
      </c>
      <c r="JX2" s="6">
        <f>COUNTIFS(Table21[Country],Tabela1[[#This Row],[Country]],Table21[200m Butterfly Classification],"&gt;0")</f>
        <v>1</v>
      </c>
      <c r="JY2" s="6">
        <f>COUNTIFS(Table20[Country],Tabela1[[#This Row],[Country]],Table20[200m Medley Classification],"&gt;0")</f>
        <v>0</v>
      </c>
      <c r="JZ2" s="6">
        <f>COUNTIFS(Table21[Country],Tabela1[[#This Row],[Country]],Table21[200m Medley Classification],"&gt;0")</f>
        <v>0</v>
      </c>
      <c r="KA2" s="6">
        <f>COUNTIFS(Table20[Country],Tabela1[[#This Row],[Country]],Table20[400m Medley Classification],"&gt;0")</f>
        <v>1</v>
      </c>
      <c r="KB2" s="6">
        <f>COUNTIFS(Table21[Country],Tabela1[[#This Row],[Country]],Table21[400m Medley Classification],"&gt;0")</f>
        <v>1</v>
      </c>
      <c r="KC2" s="6">
        <f>COUNTIFS(Table78[Country],Tabela1[[#This Row],[Country]],Table78[Men''s 4x100m Freestyle Relay Classification],"&gt;0")</f>
        <v>1</v>
      </c>
      <c r="KD2" s="6">
        <f>COUNTIFS(Table78[Country],Tabela1[[#This Row],[Country]],Table78[Women''s 4x100m Freestyle Relay Classification],"&gt;0")</f>
        <v>1</v>
      </c>
      <c r="KE2" s="6">
        <f>COUNTIFS(Table78[Country],Tabela1[[#This Row],[Country]],Table78[Men''s 4x200m Freestyle Relay Classification],"&gt;0")</f>
        <v>1</v>
      </c>
      <c r="KF2" s="6">
        <f>COUNTIFS(Table78[Country],Tabela1[[#This Row],[Country]],Table78[Women''s 4x200m Freestyle Relay Classification],"&gt;0")</f>
        <v>1</v>
      </c>
      <c r="KG2" s="6">
        <f>COUNTIFS(Table78[Country],Tabela1[[#This Row],[Country]],Table78[Men''s 4x100m Medley Relay Classification],"&gt;0")</f>
        <v>1</v>
      </c>
      <c r="KH2" s="6">
        <f>COUNTIFS(Table78[Country],Tabela1[[#This Row],[Country]],Table78[Women''s 4x100m Medley Relay Classification],"&gt;0")</f>
        <v>1</v>
      </c>
      <c r="KI2" s="6">
        <f>COUNTIFS(Table78[Country],Tabela1[[#This Row],[Country]],Table78[Mixed 4x100m Medley Relay Classification],"&gt;0")</f>
        <v>1</v>
      </c>
      <c r="KJ2" s="6">
        <f>COUNTIFS(Table20[Country],Tabela1[[#This Row],[Country]],Table20[10km Open Water Classification],"&gt;0")</f>
        <v>1</v>
      </c>
      <c r="KK2" s="6">
        <f>COUNTIFS(Table21[Country],Tabela1[[#This Row],[Country]],Table21[10km Open Water Classification],"&gt;0")</f>
        <v>0</v>
      </c>
      <c r="KL2" s="6">
        <f>COUNTIFS(Table22[Country],Tabela1[[#This Row],[Country]],Table22[Classification],"&gt;0")</f>
        <v>1</v>
      </c>
      <c r="KM2" s="6">
        <f>COUNTIFS(Table30[Country],Tabela1[[#This Row],[Country]],Table30[Classification],"&gt;0")</f>
        <v>2</v>
      </c>
      <c r="KN2" s="6">
        <f>COUNTIFS(Table55[Country],Tabela1[[#This Row],[Country]],Table55[Men''s Classification],"&gt;0")</f>
        <v>0</v>
      </c>
      <c r="KO2" s="6">
        <f>COUNTIFS(Table55[Country],Tabela1[[#This Row],[Country]],Table55[Women''s Classification],"&gt;0")</f>
        <v>1</v>
      </c>
      <c r="KP2" s="6">
        <f>COUNTIFS(Table56[Country],Tabela1[[#This Row],[Country]],Table56[Mixed Classification],"&gt;0")</f>
        <v>0</v>
      </c>
      <c r="KQ2" s="6">
        <f>COUNTIFS(Table29[Country],Tabela1[[#This Row],[Country]],Table29[58kg Classification],"&gt;0")</f>
        <v>0</v>
      </c>
      <c r="KR2" s="6">
        <f>COUNTIFS(Table29[Country],Tabela1[[#This Row],[Country]],Table29[68kg Classification],"&gt;0")</f>
        <v>0</v>
      </c>
      <c r="KS2" s="6">
        <f>COUNTIFS(Table29[Country],Tabela1[[#This Row],[Country]],Table29[80kg Classification],"&gt;0")</f>
        <v>1</v>
      </c>
      <c r="KT2" s="6">
        <f>COUNTIFS(Table29[Country],Tabela1[[#This Row],[Country]],Table29[Plus 80kg Classification],"&gt;0")</f>
        <v>0</v>
      </c>
      <c r="KU2" s="6">
        <f>COUNTIFS(Table34[Country],Tabela1[[#This Row],[Country]],Table34[49kg Classification],"&gt;0")</f>
        <v>0</v>
      </c>
      <c r="KV2" s="6">
        <f>COUNTIFS(Table34[Country],Tabela1[[#This Row],[Country]],Table34[57kg Classification],"&gt;0")</f>
        <v>0</v>
      </c>
      <c r="KW2" s="6">
        <f>COUNTIFS(Table34[Country],Tabela1[[#This Row],[Country]],Table34[67kg Classification],"&gt;0")</f>
        <v>1</v>
      </c>
      <c r="KX2" s="6">
        <f>COUNTIFS(Table34[Country],Tabela1[[#This Row],[Country]],Table34[Plus 67kg Classification],"&gt;0")</f>
        <v>0</v>
      </c>
      <c r="KY2" s="6">
        <f>COUNTIFS(Table57[Country],Tabela1[[#This Row],[Country]],Table57[Classification],"&gt;0")</f>
        <v>3</v>
      </c>
      <c r="KZ2" s="6">
        <f>COUNTIFS(Table58[Country],Tabela1[[#This Row],[Country]],Table58[Classification],"&gt;0")</f>
        <v>2</v>
      </c>
      <c r="LA2" s="6">
        <f>COUNTIFS(Table79[Country],Tabela1[[#This Row],[Country]],Table79[Men''s Classification],"&gt;0")</f>
        <v>2</v>
      </c>
      <c r="LB2" s="6">
        <f>COUNTIFS(Table79[Country],Tabela1[[#This Row],[Country]],Table79[Women''s Classification],"&gt;0")</f>
        <v>2</v>
      </c>
      <c r="LC2" s="6">
        <f>COUNTIFS(Table79[Country],Tabela1[[#This Row],[Country]],Table79[Mixed Classification],"&gt;0")</f>
        <v>1</v>
      </c>
      <c r="LD2" s="6">
        <f>COUNTIFS(Table65[Country],Tabela1[[#This Row],[Country]],Table65[Classification],"&gt;0")</f>
        <v>0</v>
      </c>
      <c r="LE2" s="6">
        <f>COUNTIFS(Table59[Country],Tabela1[[#This Row],[Country]],Table59[Classification],"&gt;0")</f>
        <v>2</v>
      </c>
      <c r="LF2" s="6">
        <f>COUNTIFS(Table87[Country],Tabela1[[#This Row],[Country]],Table87[Mixed Relay Classification],"&gt;0")</f>
        <v>1</v>
      </c>
      <c r="LG2" s="6">
        <f>COUNTIFS(Table91949698100[Country],Tabela1[[#This Row],[Country]],Table91949698100[Men''s Classification],"&gt;0")</f>
        <v>1</v>
      </c>
      <c r="LH2" s="6">
        <f>COUNTIFS(Table91949698100[Country],Tabela1[[#This Row],[Country]],Table91949698100[Women''s Classification],"&gt;0")</f>
        <v>1</v>
      </c>
      <c r="LI2" s="6">
        <f>COUNTIFS(Table91949698100102[Country],Tabela1[[#This Row],[Country]],Table91949698100102[Men''s Classification],"&gt;0")</f>
        <v>1</v>
      </c>
      <c r="LJ2" s="6">
        <f>COUNTIFS(Table91949698100102[Country],Tabela1[[#This Row],[Country]],Table91949698100102[Women''s Classification],"&gt;0")</f>
        <v>1</v>
      </c>
      <c r="LK2" s="6">
        <f>COUNTIFS(Table23[Country],Tabela1[[#This Row],[Country]],Table23[61kg Classification],"&gt;0")</f>
        <v>0</v>
      </c>
      <c r="LL2" s="6">
        <f>COUNTIFS(Table23[Country],Tabela1[[#This Row],[Country]],Table23[73kg Classification],"&gt;0")</f>
        <v>0</v>
      </c>
      <c r="LM2" s="6">
        <f>COUNTIFS(Table23[Country],Tabela1[[#This Row],[Country]],Table23[89kg Classification],"&gt;0")</f>
        <v>0</v>
      </c>
      <c r="LN2" s="6">
        <f>COUNTIFS(Table23[Country],Tabela1[[#This Row],[Country]],Table23[102kg Classification],"&gt;0")</f>
        <v>0</v>
      </c>
      <c r="LO2" s="6">
        <f>COUNTIFS(Table23[Country],Tabela1[[#This Row],[Country]],Table23[Plus 102kg Classification],"&gt;0")</f>
        <v>0</v>
      </c>
      <c r="LP2" s="6">
        <f>COUNTIFS(Table28[Country],Tabela1[[#This Row],[Country]],Table28[49kg Classification],"&gt;0")</f>
        <v>0</v>
      </c>
      <c r="LQ2" s="6">
        <f>COUNTIFS(Table28[Country],Tabela1[[#This Row],[Country]],Table28[59kg Classification],"&gt;0")</f>
        <v>0</v>
      </c>
      <c r="LR2" s="6">
        <f>COUNTIFS(Table28[Country],Tabela1[[#This Row],[Country]],Table28[71kg Classification],"&gt;0")</f>
        <v>0</v>
      </c>
      <c r="LS2" s="6">
        <f>COUNTIFS(Table28[Country],Tabela1[[#This Row],[Country]],Table28[81kg Classification],"&gt;0")</f>
        <v>0</v>
      </c>
      <c r="LT2" s="6">
        <f>COUNTIFS(Table28[Country],Tabela1[[#This Row],[Country]],Table28[Plus 81kg Classification],"&gt;0")</f>
        <v>0</v>
      </c>
      <c r="LU2" s="6">
        <f>COUNTIFS(Table24[Country],Tabela1[[#This Row],[Country]],Table24[Freestyle 57kg Classification],"&gt;0")</f>
        <v>1</v>
      </c>
      <c r="LV2" s="6">
        <f>COUNTIFS(Table24[Country],Tabela1[[#This Row],[Country]],Table24[Freestyle 65kg Classification],"&gt;0")</f>
        <v>1</v>
      </c>
      <c r="LW2" s="6">
        <f>COUNTIFS(Table24[Country],Tabela1[[#This Row],[Country]],Table24[Freestyle 74kg Classification],"&gt;0")</f>
        <v>0</v>
      </c>
      <c r="LX2" s="6">
        <f>COUNTIFS(Table24[Country],Tabela1[[#This Row],[Country]],Table24[Freestyle 86kg Classification],"&gt;0")</f>
        <v>1</v>
      </c>
      <c r="LY2" s="6">
        <f>COUNTIFS(Table24[Country],Tabela1[[#This Row],[Country]],Table24[Freestyle 97kg Classification],"&gt;0")</f>
        <v>1</v>
      </c>
      <c r="LZ2" s="6">
        <f>COUNTIFS(Table24[Country],Tabela1[[#This Row],[Country]],Table24[Freestyle 125kg Classification],"&gt;0")</f>
        <v>0</v>
      </c>
      <c r="MA2" s="6">
        <f>COUNTIFS(Table24[Country],Tabela1[[#This Row],[Country]],Table24[Greco-Roman 60kg Classification],"&gt;0")</f>
        <v>0</v>
      </c>
      <c r="MB2" s="6">
        <f>COUNTIFS(Table24[Country],Tabela1[[#This Row],[Country]],Table24[Greco-Roman 67kg Classification],"&gt;0")</f>
        <v>0</v>
      </c>
      <c r="MC2" s="6">
        <f>COUNTIFS(Table24[Country],Tabela1[[#This Row],[Country]],Table24[Greco-Roman 77kg Classification],"&gt;0")</f>
        <v>0</v>
      </c>
      <c r="MD2" s="6">
        <f>COUNTIFS(Table24[Country],Tabela1[[#This Row],[Country]],Table24[Greco-Roman 87kg Classification],"&gt;0")</f>
        <v>0</v>
      </c>
      <c r="ME2" s="6">
        <f>COUNTIFS(Table24[Country],Tabela1[[#This Row],[Country]],Table24[Greco-Roman 97kg Classification],"&gt;0")</f>
        <v>0</v>
      </c>
      <c r="MF2" s="6">
        <f>COUNTIFS(Table24[Country],Tabela1[[#This Row],[Country]],Table24[Greco-Roman 130kg Classification],"&gt;0")</f>
        <v>0</v>
      </c>
      <c r="MG2" s="6">
        <f>COUNTIFS(Table31[Country],Tabela1[[#This Row],[Country]],Table31[50kg Classification],"&gt;0")</f>
        <v>0</v>
      </c>
      <c r="MH2" s="6">
        <f>COUNTIFS(Table31[Country],Tabela1[[#This Row],[Country]],Table31[53kg Classification],"&gt;0")</f>
        <v>1</v>
      </c>
      <c r="MI2" s="6">
        <f>COUNTIFS(Table31[Country],Tabela1[[#This Row],[Country]],Table31[57kg Classification],"&gt;0")</f>
        <v>1</v>
      </c>
      <c r="MJ2" s="6">
        <f>COUNTIFS(Table31[Country],Tabela1[[#This Row],[Country]],Table31[62kg Classification],"&gt;0")</f>
        <v>0</v>
      </c>
      <c r="MK2" s="6">
        <f>COUNTIFS(Table31[Country],Tabela1[[#This Row],[Country]],Table31[68kg Classification],"&gt;0")</f>
        <v>1</v>
      </c>
      <c r="ML2" s="6">
        <f>COUNTIFS(Table31[Country],Tabela1[[#This Row],[Country]],Table31[76kg Classification],"&gt;0")</f>
        <v>0</v>
      </c>
      <c r="MM2" s="6">
        <f>COUNTIFS(Table102[Country],Tabela1[[#This Row],[Country]],Table102[Downhill Classification],"&gt;0")</f>
        <v>2</v>
      </c>
      <c r="MN2" s="6">
        <f>COUNTIFS(Table102105[Country],Tabela1[[#This Row],[Country]],Table102105[Downhill Classification],"&gt;0")</f>
        <v>3</v>
      </c>
      <c r="MO2" s="6">
        <f>COUNTIFS(Table102[Country],Tabela1[[#This Row],[Country]],Table102[Giant Slalom Classification],"&gt;0")</f>
        <v>3</v>
      </c>
      <c r="MP2" s="6">
        <f>COUNTIFS(Table102105[Country],Tabela1[[#This Row],[Country]],Table102105[Giant Slalom Classification],"&gt;0")</f>
        <v>4</v>
      </c>
      <c r="MQ2" s="6">
        <f>COUNTIFS(Table102[Country],Tabela1[[#This Row],[Country]],Table102[Slalom Classification],"&gt;0")</f>
        <v>1</v>
      </c>
      <c r="MR2" s="6">
        <f>COUNTIFS(Table102105[Country],Tabela1[[#This Row],[Country]],Table102105[Slalom Classification],"&gt;0")</f>
        <v>4</v>
      </c>
      <c r="MS2" s="6">
        <f>COUNTIFS(Table102[Country],Tabela1[[#This Row],[Country]],Table102[Super-G Classification],"&gt;0")</f>
        <v>2</v>
      </c>
      <c r="MT2" s="6">
        <f>COUNTIFS(Table102105[Country],Tabela1[[#This Row],[Country]],Table102105[Super-G Classification],"&gt;0")</f>
        <v>2</v>
      </c>
      <c r="MU2" s="6">
        <f>COUNTIFS(Table105[Country],Tabela1[[#This Row],[Country]],Table105[Men''s Combined Classification],"&gt;0")</f>
        <v>1</v>
      </c>
      <c r="MV2" s="6">
        <f>COUNTIFS(Table105[Country],Tabela1[[#This Row],[Country]],Table105[Women''s Combined Classification],"&gt;0")</f>
        <v>4</v>
      </c>
      <c r="MW2" s="6">
        <f>COUNTIFS(Table106[Country],Tabela1[[#This Row],[Country]],Table106[Individual Classification],"&gt;0")</f>
        <v>1</v>
      </c>
      <c r="MX2" s="6">
        <f>COUNTIFS(Table106109[Country],Tabela1[[#This Row],[Country]],Table106109[Individual Classification],"&gt;0")</f>
        <v>2</v>
      </c>
      <c r="MY2" s="6">
        <f>COUNTIFS(Table106[Country],Tabela1[[#This Row],[Country]],Table106[Mass Start Classification],"&gt;0")</f>
        <v>0</v>
      </c>
      <c r="MZ2" s="6">
        <f>COUNTIFS(Table106109[Country],Tabela1[[#This Row],[Country]],Table106109[Mass Start Classification],"&gt;0")</f>
        <v>0</v>
      </c>
      <c r="NA2" s="6">
        <f>COUNTIFS(Table106[Country],Tabela1[[#This Row],[Country]],Table106[Pursuit Classification],"&gt;0")</f>
        <v>0</v>
      </c>
      <c r="NB2" s="6">
        <f>COUNTIFS(Table106109[Country],Tabela1[[#This Row],[Country]],Table106109[Pursuit Classification],"&gt;0")</f>
        <v>0</v>
      </c>
      <c r="NC2" s="6">
        <f>COUNTIFS(Table106[Country],Tabela1[[#This Row],[Country]],Table106[Sprint Classification],"&gt;0")</f>
        <v>1</v>
      </c>
      <c r="ND2" s="6">
        <f>COUNTIFS(Table106109[Country],Tabela1[[#This Row],[Country]],Table106109[Sprint Classification],"&gt;0")</f>
        <v>2</v>
      </c>
      <c r="NE2" s="6">
        <f>COUNTIFS(Table109[Country],Tabela1[[#This Row],[Country]],Table109[Men''s Relay Classification],"&gt;0")</f>
        <v>1</v>
      </c>
      <c r="NF2" s="6">
        <f>COUNTIFS(Table109[Country],Tabela1[[#This Row],[Country]],Table109[Women''s Relay Classification],"&gt;0")</f>
        <v>1</v>
      </c>
      <c r="NG2" s="6">
        <f>COUNTIFS(Table109[Country],Tabela1[[#This Row],[Country]],Table109[Mixed Relay Classification],"&gt;0")</f>
        <v>1</v>
      </c>
      <c r="NH2" s="6">
        <f>COUNTIFS(Table110[Country],Tabela1[[#This Row],[Country]],Table110[Monobob Classification],"&gt;0")</f>
        <v>3</v>
      </c>
      <c r="NI2" s="6">
        <f>COUNTIFS(Table111[Country],Tabela1[[#This Row],[Country]],Table111[Men''s Classification],"&gt;0")</f>
        <v>1</v>
      </c>
      <c r="NJ2" s="6">
        <f>COUNTIFS(Table111[Country],Tabela1[[#This Row],[Country]],Table111[Women''s Classification],"&gt;0")</f>
        <v>3</v>
      </c>
      <c r="NK2" s="6">
        <f>COUNTIFS(Table112[Country],Tabela1[[#This Row],[Country]],Table112[Men''s Four Classification],"&gt;0")</f>
        <v>2</v>
      </c>
      <c r="NL2" s="6">
        <f>COUNTIFS(Table113[Country],Tabela1[[#This Row],[Country]],Table113[Classical Classification],"&gt;0")</f>
        <v>1</v>
      </c>
      <c r="NM2" s="6">
        <f>COUNTIFS(Table113116[Country],Tabela1[[#This Row],[Country]],Table113116[Classical Classification],"&gt;0")</f>
        <v>4</v>
      </c>
      <c r="NN2" s="6">
        <f>COUNTIFS(Table113[Country],Tabela1[[#This Row],[Country]],Table113[Freestyle Classification],"&gt;0")</f>
        <v>3</v>
      </c>
      <c r="NO2" s="6">
        <f>COUNTIFS(Table113116[Country],Tabela1[[#This Row],[Country]],Table113116[Freestyle Classification],"&gt;0")</f>
        <v>3</v>
      </c>
      <c r="NP2" s="6">
        <f>COUNTIFS(Table117[Country],Tabela1[[#This Row],[Country]],Table117[Men''s Relay Classification],"&gt;0")</f>
        <v>1</v>
      </c>
      <c r="NQ2" s="6">
        <f>COUNTIFS(Table117[Country],Tabela1[[#This Row],[Country]],Table117[Women''s Relay Classification],"&gt;0")</f>
        <v>1</v>
      </c>
      <c r="NR2" s="6">
        <f>COUNTIFS(Table113[Country],Tabela1[[#This Row],[Country]],Table113[Skiathlon Classification],"&gt;0")</f>
        <v>3</v>
      </c>
      <c r="NS2" s="6">
        <f>COUNTIFS(Table113116[Country],Tabela1[[#This Row],[Country]],Table113116[Skiathlon Classification],"&gt;0")</f>
        <v>3</v>
      </c>
      <c r="NT2" s="6">
        <f>COUNTIFS(Table113[Country],Tabela1[[#This Row],[Country]],Table113[Sprint Classification],"&gt;0")</f>
        <v>2</v>
      </c>
      <c r="NU2" s="6">
        <f>COUNTIFS(Table113116[Country],Tabela1[[#This Row],[Country]],Table113116[Sprint Classification],"&gt;0")</f>
        <v>3</v>
      </c>
      <c r="NV2" s="6">
        <f>COUNTIFS(Table116[Country],Tabela1[[#This Row],[Country]],Table116[Men''s Team Sprint Classification],"&gt;0")</f>
        <v>0</v>
      </c>
      <c r="NW2" s="6">
        <f>COUNTIFS(Table116[Country],Tabela1[[#This Row],[Country]],Table116[Women''s Team Sprint Classification],"&gt;0")</f>
        <v>1</v>
      </c>
      <c r="NX2" s="6">
        <f>COUNTIFS(Table119[Country],Tabela1[[#This Row],[Country]],Table119[Men''s Classification],"&gt;0")</f>
        <v>1</v>
      </c>
      <c r="NY2" s="6">
        <f>COUNTIFS(Table119[Country],Tabela1[[#This Row],[Country]],Table119[Women''s Classification],"&gt;0")</f>
        <v>1</v>
      </c>
      <c r="NZ2" s="6">
        <f>COUNTIFS(Table118[Country],Tabela1[[#This Row],[Country]],Table118[Mixed Classification],"&gt;0")</f>
        <v>1</v>
      </c>
      <c r="OA2" s="6">
        <f>COUNTIFS(Table120[Country],Tabela1[[#This Row],[Country]],Table120[Classification],"&gt;0")</f>
        <v>1</v>
      </c>
      <c r="OB2" s="6">
        <f>COUNTIFS(Table120123[Country],Tabela1[[#This Row],[Country]],Table120123[Classification],"&gt;0")</f>
        <v>2</v>
      </c>
      <c r="OC2" s="6">
        <f>COUNTIFS(Table123[Country],Tabela1[[#This Row],[Country]],Table123[Ice Dance Classification],"&gt;0")</f>
        <v>2</v>
      </c>
      <c r="OD2" s="6">
        <f>COUNTIFS(Table123[Country],Tabela1[[#This Row],[Country]],Table123[Pair Skating Classification],"&gt;0")</f>
        <v>2</v>
      </c>
      <c r="OE2" s="6">
        <f>COUNTIFS(Table124[Country],Tabela1[[#This Row],[Country]],Table124[Mixed Classification],"&gt;0")</f>
        <v>1</v>
      </c>
      <c r="OF2" s="6">
        <f>COUNTIFS(Table125[Country],Tabela1[[#This Row],[Country]],Table125[Aerials Classification],"&gt;0")</f>
        <v>0</v>
      </c>
      <c r="OG2" s="6">
        <f>COUNTIFS(Table125128[Country],Tabela1[[#This Row],[Country]],Table125128[Aerials Classification],"&gt;0")</f>
        <v>0</v>
      </c>
      <c r="OH2" s="6">
        <f>COUNTIFS(Table128[Country],Tabela1[[#This Row],[Country]],Table128[Mixed Aerials Classification],"&gt;0")</f>
        <v>0</v>
      </c>
      <c r="OI2" s="6">
        <f>COUNTIFS(Table125[Country],Tabela1[[#This Row],[Country]],Table125[Big Air Classification],"&gt;0")</f>
        <v>2</v>
      </c>
      <c r="OJ2" s="6">
        <f>COUNTIFS(Table125128[Country],Tabela1[[#This Row],[Country]],Table125128[Big Air Classification],"&gt;0")</f>
        <v>3</v>
      </c>
      <c r="OK2" s="6">
        <f>COUNTIFS(Table125[Country],Tabela1[[#This Row],[Country]],Table125[Dual Moguls Classification],"&gt;0")</f>
        <v>2</v>
      </c>
      <c r="OL2" s="6">
        <f>COUNTIFS(Table125128[Country],Tabela1[[#This Row],[Country]],Table125128[Dual Moguls Classification],"&gt;0")</f>
        <v>3</v>
      </c>
      <c r="OM2" s="6">
        <f>COUNTIFS(Table125[Country],Tabela1[[#This Row],[Country]],Table125[Halfpipe Classification],"&gt;0")</f>
        <v>2</v>
      </c>
      <c r="ON2" s="6">
        <f>COUNTIFS(Table125128[Country],Tabela1[[#This Row],[Country]],Table125128[Halfpipe Classification],"&gt;0")</f>
        <v>2</v>
      </c>
      <c r="OO2" s="6">
        <f>COUNTIFS(Table125[Country],Tabela1[[#This Row],[Country]],Table125[Moguls Classification],"&gt;0")</f>
        <v>2</v>
      </c>
      <c r="OP2" s="6">
        <f>COUNTIFS(Table125128[Country],Tabela1[[#This Row],[Country]],Table125128[Moguls Classification],"&gt;0")</f>
        <v>3</v>
      </c>
      <c r="OQ2" s="6">
        <f>COUNTIFS(Table125[Country],Tabela1[[#This Row],[Country]],Table125[Ski Cross Classification],"&gt;0")</f>
        <v>0</v>
      </c>
      <c r="OR2" s="6">
        <f>COUNTIFS(Table125128[Country],Tabela1[[#This Row],[Country]],Table125128[Ski Cross Classification],"&gt;0")</f>
        <v>0</v>
      </c>
      <c r="OS2" s="6">
        <f>COUNTIFS(Table125[Country],Tabela1[[#This Row],[Country]],Table125[Slopestyle Classification],"&gt;0")</f>
        <v>2</v>
      </c>
      <c r="OT2" s="6">
        <f>COUNTIFS(Table125128[Country],Tabela1[[#This Row],[Country]],Table125128[Slopestyle Classification],"&gt;0")</f>
        <v>2</v>
      </c>
      <c r="OU2" s="6">
        <f>COUNTIFS(Table119131[Country],Tabela1[[#This Row],[Country]],Table119131[Men''s Classification],"&gt;0")</f>
        <v>1</v>
      </c>
      <c r="OV2" s="6">
        <f>COUNTIFS(Table119131[Country],Tabela1[[#This Row],[Country]],Table119131[Women''s Classification],"&gt;0")</f>
        <v>1</v>
      </c>
      <c r="OW2" s="6">
        <f>COUNTIFS(Table131[Country],Tabela1[[#This Row],[Country]],Table131[Classification],"&gt;0")</f>
        <v>1</v>
      </c>
      <c r="OX2" s="6">
        <f>COUNTIFS(Table131134[Country],Tabela1[[#This Row],[Country]],Table131134[Classification],"&gt;0")</f>
        <v>2</v>
      </c>
      <c r="OY2" s="6">
        <f>COUNTIFS(Table134[Country],Tabela1[[#This Row],[Country]],Table134[Men''s Classification],"&gt;0")</f>
        <v>2</v>
      </c>
      <c r="OZ2" s="6">
        <f>COUNTIFS(Table134[Country],Tabela1[[#This Row],[Country]],Table134[Women''s Classification],"&gt;0")</f>
        <v>1</v>
      </c>
      <c r="PA2" s="6">
        <f>COUNTIFS(Table135[Country],Tabela1[[#This Row],[Country]],Table135[Mixed Relay Classification],"&gt;0")</f>
        <v>1</v>
      </c>
      <c r="PB2" s="6">
        <f>COUNTIFS(Table136[Country],Tabela1[[#This Row],[Country]],Table136[Individual Classification],"&gt;0")</f>
        <v>1</v>
      </c>
      <c r="PC2" s="6">
        <f>COUNTIFS(Table136[Country],Tabela1[[#This Row],[Country]],Table136[Sprint Classification],"&gt;0")</f>
        <v>1</v>
      </c>
      <c r="PD2" s="6">
        <f>COUNTIFS(Table137[Country],Tabela1[[#This Row],[Country]],Table137[Men''s Team Sprint Large Hill Classification],"&gt;0")</f>
        <v>1</v>
      </c>
      <c r="PE2" s="6">
        <f>COUNTIFS(Table138[Country],Tabela1[[#This Row],[Country]],Table138[500m Classification],"&gt;0")</f>
        <v>1</v>
      </c>
      <c r="PF2" s="6">
        <f>COUNTIFS(Table138141[Country],Tabela1[[#This Row],[Country]],Table138141[500m Classification],"&gt;0")</f>
        <v>1</v>
      </c>
      <c r="PG2" s="6">
        <f>COUNTIFS(Table138[Country],Tabela1[[#This Row],[Country]],Table138[1000m Classification],"&gt;0")</f>
        <v>0</v>
      </c>
      <c r="PH2" s="6">
        <f>COUNTIFS(Table138141[Country],Tabela1[[#This Row],[Country]],Table138141[1000m Classification],"&gt;0")</f>
        <v>1</v>
      </c>
      <c r="PI2" s="6">
        <f>COUNTIFS(Table138[Country],Tabela1[[#This Row],[Country]],Table138[1500m Classification],"&gt;0")</f>
        <v>1</v>
      </c>
      <c r="PJ2" s="6">
        <f>COUNTIFS(Table138141[Country],Tabela1[[#This Row],[Country]],Table138141[1500m Classification],"&gt;0")</f>
        <v>0</v>
      </c>
      <c r="PK2" s="6">
        <f>COUNTIFS(Table141[Country],Tabela1[[#This Row],[Country]],Table141[Men''s 5000m Relay Classification],"&gt;0")</f>
        <v>0</v>
      </c>
      <c r="PL2" s="6">
        <f>COUNTIFS(Table141[Country],Tabela1[[#This Row],[Country]],Table141[Women''s 3000m Relay Classification],"&gt;0")</f>
        <v>1</v>
      </c>
      <c r="PM2" s="6">
        <f>COUNTIFS(Table141[Country],Tabela1[[#This Row],[Country]],Table141[Mixed 2000m Relay Classification],"&gt;0")</f>
        <v>1</v>
      </c>
      <c r="PN2" s="6">
        <f>COUNTIFS(Table142[Country],Tabela1[[#This Row],[Country]],Table142[Classification],"&gt;0")</f>
        <v>1</v>
      </c>
      <c r="PO2" s="6">
        <f>COUNTIFS(Table142145[Country],Tabela1[[#This Row],[Country]],Table142145[Classification],"&gt;0")</f>
        <v>2</v>
      </c>
      <c r="PP2" s="6">
        <f>COUNTIFS(Tabela15[Country],Tabela1[[#This Row],[Country]],Tabela15[Mixed Team Classification],"&gt;0")</f>
        <v>2</v>
      </c>
      <c r="PQ2" s="6">
        <f>COUNTIFS(Table145[Country],Tabela1[[#This Row],[Country]],Table145[Large Hill Classification],"&gt;0")</f>
        <v>0</v>
      </c>
      <c r="PR2" s="6">
        <f>COUNTIFS(Table145[Country],Tabela1[[#This Row],[Country]],Table145[Normal Hill Classification],"&gt;0")</f>
        <v>0</v>
      </c>
      <c r="PS2" s="6">
        <f>COUNTIFS(Table145148[Country],Tabela1[[#This Row],[Country]],Table145148[Large Hill Classification],"&gt;0")</f>
        <v>3</v>
      </c>
      <c r="PT2" s="6">
        <f>COUNTIFS(Table145148[Country],Tabela1[[#This Row],[Country]],Table145148[Normal Hill Classification],"&gt;0")</f>
        <v>3</v>
      </c>
      <c r="PU2" s="6">
        <f>COUNTIFS(Table148[Country],Tabela1[[#This Row],[Country]],Table148[Men''s Super Team Classification],"&gt;0")</f>
        <v>0</v>
      </c>
      <c r="PV2" s="6">
        <f>COUNTIFS(Tabela114[Country],Tabela1[[#This Row],[Country]],Tabela114[Mixed Normal Hill Classification],"&gt;0")</f>
        <v>1</v>
      </c>
      <c r="PW2" s="6">
        <f>COUNTIFS(Tabela50[Country],Tabela1[[#This Row],[Country]],Tabela50[Sprint Classification],"&gt;0")</f>
        <v>0</v>
      </c>
      <c r="PX2" s="6">
        <f>COUNTIFS(Tabela50101[Country],Tabela1[[#This Row],[Country]],Tabela50101[Sprint Classification],"&gt;0")</f>
        <v>1</v>
      </c>
      <c r="PY2" s="6">
        <f>COUNTIFS(Tabela103[Country],Tabela1[[#This Row],[Country]],Tabela103[Mixed Relay Classification],"&gt;0")</f>
        <v>1</v>
      </c>
      <c r="PZ2" s="6">
        <f>COUNTIFS(Table149[Country],Tabela1[[#This Row],[Country]],Table149[Big Air Classification],"&gt;0")</f>
        <v>0</v>
      </c>
      <c r="QA2" s="6">
        <f>COUNTIFS(Table149152[Country],Tabela1[[#This Row],[Country]],Table149152[Big Air Classification],"&gt;0")</f>
        <v>1</v>
      </c>
      <c r="QB2" s="6">
        <f>COUNTIFS(Table149[Country],Tabela1[[#This Row],[Country]],Table149[Halfpipe Classification],"&gt;0")</f>
        <v>2</v>
      </c>
      <c r="QC2" s="6">
        <f>COUNTIFS(Table149152[Country],Tabela1[[#This Row],[Country]],Table149152[Halfpipe Classification],"&gt;0")</f>
        <v>3</v>
      </c>
      <c r="QD2" s="6">
        <f>COUNTIFS(Table149[Country],Tabela1[[#This Row],[Country]],Table149[Parallel Giant Slalom Classification],"&gt;0")</f>
        <v>1</v>
      </c>
      <c r="QE2" s="6">
        <f>COUNTIFS(Table149152[Country],Tabela1[[#This Row],[Country]],Table149152[Parallel Giant Slalom Classification],"&gt;0")</f>
        <v>1</v>
      </c>
      <c r="QF2" s="6">
        <f>COUNTIFS(Table149[Country],Tabela1[[#This Row],[Country]],Table149[Slopestyle Classification],"&gt;0")</f>
        <v>0</v>
      </c>
      <c r="QG2" s="6">
        <f>COUNTIFS(Table149152[Country],Tabela1[[#This Row],[Country]],Table149152[Slopestyle Classification],"&gt;0")</f>
        <v>1</v>
      </c>
      <c r="QH2" s="6">
        <f>COUNTIFS(Table149[Country],Tabela1[[#This Row],[Country]],Table149[Snowboard Cross Classification],"&gt;0")</f>
        <v>1</v>
      </c>
      <c r="QI2" s="6">
        <f>COUNTIFS(Table149152[Country],Tabela1[[#This Row],[Country]],Table149152[Snowboard Cross Classification],"&gt;0")</f>
        <v>3</v>
      </c>
      <c r="QJ2" s="6">
        <f>COUNTIFS(Table153[Country],Tabela1[[#This Row],[Country]],Table153[Mixed Team Snowboard Cross Classification],"&gt;0")</f>
        <v>2</v>
      </c>
      <c r="QK2" s="6">
        <f>COUNTIFS(Table154[Country],Tabela1[[#This Row],[Country]],Table154[500m Classification],"&gt;0")</f>
        <v>0</v>
      </c>
      <c r="QL2" s="6">
        <f>COUNTIFS(Table154157[Country],Tabela1[[#This Row],[Country]],Table154157[500m Classification],"&gt;0")</f>
        <v>1</v>
      </c>
      <c r="QM2" s="6">
        <f>COUNTIFS(Table154[Country],Tabela1[[#This Row],[Country]],Table154[1000m Classification],"&gt;0")</f>
        <v>0</v>
      </c>
      <c r="QN2" s="6">
        <f>COUNTIFS(Table154157[Country],Tabela1[[#This Row],[Country]],Table154157[1000m Classification],"&gt;0")</f>
        <v>2</v>
      </c>
      <c r="QO2" s="6">
        <f>COUNTIFS(Table154[Country],Tabela1[[#This Row],[Country]],Table154[1500m Classification],"&gt;0")</f>
        <v>1</v>
      </c>
      <c r="QP2" s="6">
        <f>COUNTIFS(Table154157[Country],Tabela1[[#This Row],[Country]],Table154157[1500m Classification],"&gt;0")</f>
        <v>2</v>
      </c>
      <c r="QQ2" s="6">
        <f>COUNTIFS(Table154157[Country],Tabela1[[#This Row],[Country]],Table154157[3000m Classification],"&gt;0")</f>
        <v>1</v>
      </c>
      <c r="QR2" s="6">
        <f>COUNTIFS(Table154[Country],Tabela1[[#This Row],[Country]],Table154[5000m Classification],"&gt;0")</f>
        <v>1</v>
      </c>
      <c r="QS2" s="6">
        <f>COUNTIFS(Table154157[Country],Tabela1[[#This Row],[Country]],Table154157[5000m Classification],"&gt;0")</f>
        <v>0</v>
      </c>
      <c r="QT2" s="6">
        <f>COUNTIFS(Table154[Country],Tabela1[[#This Row],[Country]],Table154[10000m Classification],"&gt;0")</f>
        <v>0</v>
      </c>
      <c r="QU2" s="6">
        <f>COUNTIFS(Table154[Country],Tabela1[[#This Row],[Country]],Table154[Mass Start Classification],"&gt;0")</f>
        <v>0</v>
      </c>
      <c r="QV2" s="6">
        <f>COUNTIFS(Table154157[Country],Tabela1[[#This Row],[Country]],Table154157[Mass Start Classification],"&gt;0")</f>
        <v>2</v>
      </c>
      <c r="QW2" s="6">
        <f>COUNTIFS(Table157[Country],Tabela1[[#This Row],[Country]],Table157[Men''s Pursuit Classification],"&gt;0")</f>
        <v>1</v>
      </c>
      <c r="QX2" s="6">
        <f>COUNTIFS(Table157[Country],Tabela1[[#This Row],[Country]],Table157[Women''s Pursuit Classification],"&gt;0")</f>
        <v>1</v>
      </c>
      <c r="QY2" s="3" t="s">
        <v>333</v>
      </c>
    </row>
    <row r="3" spans="1:467" x14ac:dyDescent="0.3">
      <c r="A3" s="6">
        <v>2</v>
      </c>
      <c r="B3" s="6" t="s">
        <v>344</v>
      </c>
      <c r="C3" t="e" vm="2">
        <f>IF(ISBLANK(Tabela1[[#This Row],[Image Link]]), "", _xlfn.IMAGE(Tabela1[[#This Row],[Image Link]],1,1))</f>
        <v>#VALUE!</v>
      </c>
      <c r="D3" s="6">
        <f>SUM(Tabela1[[#This Row],[Archery - Men''s Individual Recurve]:[Speed Skating - Women''s Team Pursuit]])</f>
        <v>287</v>
      </c>
      <c r="E3" s="6">
        <f>COUNTIF(Tabela1[[#This Row],[Archery - Men''s Individual Recurve]:[Speed Skating - Women''s Team Pursuit]],"&gt;0")</f>
        <v>235</v>
      </c>
      <c r="F3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3" s="6">
        <f>SUM(Tabela1[[#This Row],[Archery - Men''s Individual Recurve]:[Wrestling - Women''s Freestyle 76kg]])</f>
        <v>196</v>
      </c>
      <c r="H3" s="6">
        <f>SUM(Tabela1[[#This Row],[Alpine Skiing - Men''s Downhill]:[Speed Skating - Women''s Team Pursuit]])</f>
        <v>91</v>
      </c>
      <c r="I3" s="6">
        <f>Tabela1[[#This Row],[Summer Gold Medals]]+Tabela1[[#This Row],[Winter Gold Medals]]</f>
        <v>24</v>
      </c>
      <c r="J3" s="6">
        <f>Tabela1[[#This Row],[Summer Silver Medals]]+Tabela1[[#This Row],[Winter Silver Medals]]</f>
        <v>35</v>
      </c>
      <c r="K3" s="6">
        <f>Tabela1[[#This Row],[Summer Bronze Medals]]+Tabela1[[#This Row],[Winter Bronze Medals]]</f>
        <v>28</v>
      </c>
      <c r="L3" s="6">
        <f>SUM(Tabela1[[#This Row],[Total Gold Medals]:[Total Bronze Medals]])</f>
        <v>87</v>
      </c>
      <c r="M3" s="6">
        <v>16</v>
      </c>
      <c r="N3" s="6">
        <v>26</v>
      </c>
      <c r="O3" s="6">
        <v>22</v>
      </c>
      <c r="P3" s="6">
        <f>SUM(Tabela1[[#This Row],[Summer Gold Medals]:[Summer Bronze Medals]])</f>
        <v>64</v>
      </c>
      <c r="Q3" s="6">
        <v>8</v>
      </c>
      <c r="R3" s="6">
        <v>9</v>
      </c>
      <c r="S3" s="6">
        <v>6</v>
      </c>
      <c r="T3" s="6">
        <f>Tabela1[[#This Row],[Winter Gold Medals]]+Tabela1[[#This Row],[Winter Silver Medals]]+Tabela1[[#This Row],[Winter Bronze Medals]]</f>
        <v>23</v>
      </c>
      <c r="U3" s="7">
        <f>Tabela1[[#This Row],[Total Medals]]/Tabela1[[#This Row],[Total Quotas]]</f>
        <v>0.30313588850174217</v>
      </c>
      <c r="V3" s="6">
        <f>COUNTIFS(Table3[Country],Tabela1[[#This Row],[Country]],Table3[Recurve Classification],"&gt;0")</f>
        <v>3</v>
      </c>
      <c r="W3" s="6">
        <f>COUNTIFS(Table33[Country],Tabela1[[#This Row],[Country]],Table33[Recurve Classification],"&gt;0")</f>
        <v>2</v>
      </c>
      <c r="X3" s="6">
        <f>COUNTIFS(Table35[Country],Tabela1[[#This Row],[Country]],Table35[Men''s Team Recurve Classification],"&gt;0")</f>
        <v>1</v>
      </c>
      <c r="Y3" s="6">
        <f>COUNTIFS(Table35[Country],Tabela1[[#This Row],[Country]],Table35[Women''s Team Recurve Classification],"&gt;0")</f>
        <v>1</v>
      </c>
      <c r="Z3" s="6">
        <f>COUNTIFS(Tabela88[Country],Tabela1[[#This Row],[Country]],Tabela88[Mixed Team Recurve Classification],"&gt;0")</f>
        <v>1</v>
      </c>
      <c r="AA3" s="6">
        <f>COUNTIFS(Table36[Country],Tabela1[[#This Row],[Country]],Table36[Classification],"&gt;0")</f>
        <v>1</v>
      </c>
      <c r="AB3" s="6">
        <f>COUNTIFS(Table37[Country],Tabela1[[#This Row],[Country]],Table37[Classification],"&gt;0")</f>
        <v>1</v>
      </c>
      <c r="AC3" s="6">
        <f>COUNTIFS(Table4[Country],Tabela1[[#This Row],[Country]],Table4[100m Classification],"&gt;0")</f>
        <v>0</v>
      </c>
      <c r="AD3" s="6">
        <f>COUNTIFS(Table5[Country],Tabela1[[#This Row],[Country]],Table5[100m Classification],"&gt;0")</f>
        <v>0</v>
      </c>
      <c r="AE3" s="6">
        <f>COUNTIFS(Table4[Country],Tabela1[[#This Row],[Country]],Table4[200m Classification],"&gt;0")</f>
        <v>1</v>
      </c>
      <c r="AF3" s="6">
        <f>COUNTIFS(Table5[Country],Tabela1[[#This Row],[Country]],Table5[200m Classification],"&gt;0")</f>
        <v>0</v>
      </c>
      <c r="AG3" s="6">
        <f>COUNTIFS(Table4[Country],Tabela1[[#This Row],[Country]],Table4[400m Classification],"&gt;0")</f>
        <v>0</v>
      </c>
      <c r="AH3" s="6">
        <f>COUNTIFS(Table5[Country],Tabela1[[#This Row],[Country]],Table5[400m Classification],"&gt;0")</f>
        <v>0</v>
      </c>
      <c r="AI3" s="6">
        <f>COUNTIFS(Table4[Country],Tabela1[[#This Row],[Country]],Table4[800m Classification],"&gt;0")</f>
        <v>1</v>
      </c>
      <c r="AJ3" s="6">
        <f>COUNTIFS(Table5[Country],Tabela1[[#This Row],[Country]],Table5[800m Classification],"&gt;0")</f>
        <v>2</v>
      </c>
      <c r="AK3" s="6">
        <f>COUNTIFS(Table4[Country],Tabela1[[#This Row],[Country]],Table4[1500m Classification],"&gt;0")</f>
        <v>0</v>
      </c>
      <c r="AL3" s="6">
        <f>COUNTIFS(Table5[Country],Tabela1[[#This Row],[Country]],Table5[1500m Classification],"&gt;0")</f>
        <v>1</v>
      </c>
      <c r="AM3" s="6">
        <f>COUNTIFS(Table4[Country],Tabela1[[#This Row],[Country]],Table4[5000m Classification],"&gt;0")</f>
        <v>1</v>
      </c>
      <c r="AN3" s="6">
        <f>COUNTIFS(Table5[Country],Tabela1[[#This Row],[Country]],Table5[5000m Classification],"&gt;0")</f>
        <v>1</v>
      </c>
      <c r="AO3" s="6">
        <f>COUNTIFS(Table4[Country],Tabela1[[#This Row],[Country]],Table4[10000m Classification],"&gt;0")</f>
        <v>1</v>
      </c>
      <c r="AP3" s="6">
        <f>COUNTIFS(Table5[Country],Tabela1[[#This Row],[Country]],Table5[10000m Classification],"&gt;0")</f>
        <v>0</v>
      </c>
      <c r="AQ3" s="6">
        <f>COUNTIFS(Table4[Country],Tabela1[[#This Row],[Country]],Table4[110m Hurdles Classification],"&gt;0")</f>
        <v>2</v>
      </c>
      <c r="AR3" s="6">
        <f>COUNTIFS(Table5[Country],Tabela1[[#This Row],[Country]],Table5[100m Hurdles Classification],"&gt;0")</f>
        <v>0</v>
      </c>
      <c r="AS3" s="6">
        <f>COUNTIFS(Table4[Country],Tabela1[[#This Row],[Country]],Table4[400m Hurdles Classification],"&gt;0")</f>
        <v>1</v>
      </c>
      <c r="AT3" s="6">
        <f>COUNTIFS(Table5[Country],Tabela1[[#This Row],[Country]],Table5[400m Hurdles Classification],"&gt;0")</f>
        <v>2</v>
      </c>
      <c r="AU3" s="6">
        <f>COUNTIFS(Table4[Country],Tabela1[[#This Row],[Country]],Table4[3000m Steeplechase Classification],"&gt;0")</f>
        <v>0</v>
      </c>
      <c r="AV3" s="6">
        <f>COUNTIFS(Table5[Country],Tabela1[[#This Row],[Country]],Table5[3000m Steeplechase Classification],"&gt;0")</f>
        <v>1</v>
      </c>
      <c r="AW3" s="6">
        <f>COUNTIFS(Table27[Country],Tabela1[[#This Row],[Country]],Table27[Men''s 4x100m Relay Classification],"&gt;0")</f>
        <v>1</v>
      </c>
      <c r="AX3" s="6">
        <f>COUNTIFS(Table27[Country],Tabela1[[#This Row],[Country]],Table27[Women''s 4x100m Relay Classification],"&gt;0")</f>
        <v>1</v>
      </c>
      <c r="AY3" s="6">
        <f>COUNTIFS(Table27[Country],Tabela1[[#This Row],[Country]],Table27[Men''s 4x400m Relay Classification],"&gt;0")</f>
        <v>0</v>
      </c>
      <c r="AZ3" s="6">
        <f>COUNTIFS(Table27[Country],Tabela1[[#This Row],[Country]],Table27[Women''s 4x400m Relay Classification],"&gt;0")</f>
        <v>1</v>
      </c>
      <c r="BA3" s="6">
        <f>COUNTIFS(Table27[Country],Tabela1[[#This Row],[Country]],Table27[Mixed 4x400m Relay Classification],"&gt;0")</f>
        <v>1</v>
      </c>
      <c r="BB3" s="6">
        <f>COUNTIFS(Table4[Country],Tabela1[[#This Row],[Country]],Table4[Marathon Classification],"&gt;0")</f>
        <v>1</v>
      </c>
      <c r="BC3" s="6">
        <f>COUNTIFS(Table5[Country],Tabela1[[#This Row],[Country]],Table5[Marathon Classification],"&gt;0")</f>
        <v>0</v>
      </c>
      <c r="BD3" s="6">
        <f>COUNTIFS(Table4[Country],Tabela1[[#This Row],[Country]],Table4[20km Race Walk Classification],"&gt;0")</f>
        <v>1</v>
      </c>
      <c r="BE3" s="6">
        <f>COUNTIFS(Table5[Country],Tabela1[[#This Row],[Country]],Table5[20km Race Walk Classification],"&gt;0")</f>
        <v>2</v>
      </c>
      <c r="BF3" s="6">
        <f>COUNTIFS(Tabela96[Country],Tabela1[[#This Row],[Country]],Tabela96[Mixed Marathon Race Walk Relay Classification],"&gt;0")</f>
        <v>1</v>
      </c>
      <c r="BG3" s="6">
        <f>COUNTIFS(Table4[Country],Tabela1[[#This Row],[Country]],Table4[Discus Throw Classification],"&gt;0")</f>
        <v>2</v>
      </c>
      <c r="BH3" s="6">
        <f>COUNTIFS(Table5[Country],Tabela1[[#This Row],[Country]],Table5[Discus Throw Classification],"&gt;0")</f>
        <v>0</v>
      </c>
      <c r="BI3" s="6">
        <f>COUNTIFS(Table4[Country],Tabela1[[#This Row],[Country]],Table4[Hammer Throw Classification],"&gt;0")</f>
        <v>1</v>
      </c>
      <c r="BJ3" s="6">
        <f>COUNTIFS(Table5[Country],Tabela1[[#This Row],[Country]],Table5[Hammer Throw Classification],"&gt;0")</f>
        <v>0</v>
      </c>
      <c r="BK3" s="6">
        <f>COUNTIFS(Table4[Country],Tabela1[[#This Row],[Country]],Table4[High Jump Classification],"&gt;0")</f>
        <v>0</v>
      </c>
      <c r="BL3" s="6">
        <f>COUNTIFS(Table5[Country],Tabela1[[#This Row],[Country]],Table5[High Jump Classification],"&gt;0")</f>
        <v>2</v>
      </c>
      <c r="BM3" s="6">
        <f>COUNTIFS(Table4[Country],Tabela1[[#This Row],[Country]],Table4[Javelin Throw Classification],"&gt;0")</f>
        <v>0</v>
      </c>
      <c r="BN3" s="6">
        <f>COUNTIFS(Table5[Country],Tabela1[[#This Row],[Country]],Table5[Javelin Throw Classification],"&gt;0")</f>
        <v>0</v>
      </c>
      <c r="BO3" s="6">
        <f>COUNTIFS(Table4[Country],Tabela1[[#This Row],[Country]],Table4[Long Jump Classification],"&gt;0")</f>
        <v>0</v>
      </c>
      <c r="BP3" s="6">
        <f>COUNTIFS(Table5[Country],Tabela1[[#This Row],[Country]],Table5[Long Jump Classification],"&gt;0")</f>
        <v>1</v>
      </c>
      <c r="BQ3" s="6">
        <f>COUNTIFS(Table4[Country],Tabela1[[#This Row],[Country]],Table4[Pole Vault Classification],"&gt;0")</f>
        <v>1</v>
      </c>
      <c r="BR3" s="6">
        <f>COUNTIFS(Table5[Country],Tabela1[[#This Row],[Country]],Table5[Pole Vault Classification],"&gt;0")</f>
        <v>2</v>
      </c>
      <c r="BS3" s="6">
        <f>COUNTIFS(Table4[Country],Tabela1[[#This Row],[Country]],Table4[Shot Put Classification],"&gt;0")</f>
        <v>0</v>
      </c>
      <c r="BT3" s="6">
        <f>COUNTIFS(Table5[Country],Tabela1[[#This Row],[Country]],Table5[Shot Put Classification],"&gt;0")</f>
        <v>0</v>
      </c>
      <c r="BU3" s="6">
        <f>COUNTIFS(Table4[Country],Tabela1[[#This Row],[Country]],Table4[Triple Jump Classification],"&gt;0")</f>
        <v>2</v>
      </c>
      <c r="BV3" s="6">
        <f>COUNTIFS(Table5[Country],Tabela1[[#This Row],[Country]],Table5[Triple Jump Classification],"&gt;0")</f>
        <v>1</v>
      </c>
      <c r="BW3" s="6">
        <f>COUNTIFS(Table4[Country],Tabela1[[#This Row],[Country]],Table4[Decathlon Classification],"&gt;0")</f>
        <v>0</v>
      </c>
      <c r="BX3" s="6">
        <f>COUNTIFS(Table5[Country],Tabela1[[#This Row],[Country]],Table5[Heptathlon Classification],"&gt;0")</f>
        <v>1</v>
      </c>
      <c r="BY3" s="6">
        <f>COUNTIFS(Table61[Country],Tabela1[[#This Row],[Country]],Table61[Classification],"&gt;0")</f>
        <v>0</v>
      </c>
      <c r="BZ3" s="6">
        <f>COUNTIFS(Table38[Country],Tabela1[[#This Row],[Country]],Table38[Classification],"&gt;0")</f>
        <v>0</v>
      </c>
      <c r="CA3" s="6">
        <f>COUNTIFS(Table39[Country],Tabela1[[#This Row],[Country]],Table39[Men''s Classification],"&gt;0")</f>
        <v>0</v>
      </c>
      <c r="CB3" s="6">
        <f>COUNTIFS(Table39[Country],Tabela1[[#This Row],[Country]],Table39[Women''s Classification],"&gt;0")</f>
        <v>1</v>
      </c>
      <c r="CC3" s="6">
        <f>COUNTIFS(Table39[Country],Tabela1[[#This Row],[Country]],Table39[Mixed Classification],"&gt;0")</f>
        <v>1</v>
      </c>
      <c r="CD3" s="6">
        <f>COUNTIFS(Table89[Country],Tabela1[[#This Row],[Country]],Table89[Men''s Classification],"&gt;0")</f>
        <v>0</v>
      </c>
      <c r="CE3" s="6">
        <f>COUNTIFS(Table89[Country],Tabela1[[#This Row],[Country]],Table89[Women''s Classification],"&gt;0")</f>
        <v>1</v>
      </c>
      <c r="CF3" s="6">
        <f>COUNTIFS(Table90[Country],Tabela1[[#This Row],[Country]],Table90[Men''s Classification],"&gt;0")</f>
        <v>1</v>
      </c>
      <c r="CG3" s="6">
        <f>COUNTIFS(Table90[Country],Tabela1[[#This Row],[Country]],Table90[Women''s Classification],"&gt;0")</f>
        <v>1</v>
      </c>
      <c r="CH3" s="6">
        <f>COUNTIFS(Table60[Country],Tabela1[[#This Row],[Country]],Table60[Men''s Classification],"&gt;0")</f>
        <v>1</v>
      </c>
      <c r="CI3" s="6">
        <f>COUNTIFS(Table60[Country],Tabela1[[#This Row],[Country]],Table60[Women''s Classification],"&gt;0")</f>
        <v>1</v>
      </c>
      <c r="CJ3" s="6">
        <f>COUNTIFS(Table6[Country],Tabela1[[#This Row],[Country]],Table6[51kg Classification],"&gt;0")</f>
        <v>0</v>
      </c>
      <c r="CK3" s="6">
        <f>COUNTIFS(Table6[Country],Tabela1[[#This Row],[Country]],Table6[57kg Classification],"&gt;0")</f>
        <v>0</v>
      </c>
      <c r="CL3" s="6">
        <f>COUNTIFS(Table6[Country],Tabela1[[#This Row],[Country]],Table6[63.5kg Classification],"&gt;0")</f>
        <v>0</v>
      </c>
      <c r="CM3" s="6">
        <f>COUNTIFS(Table6[Country],Tabela1[[#This Row],[Country]],Table6[71kg Classification],"&gt;0")</f>
        <v>0</v>
      </c>
      <c r="CN3" s="6">
        <f>COUNTIFS(Table6[Country],Tabela1[[#This Row],[Country]],Table6[80kg Classification],"&gt;0")</f>
        <v>0</v>
      </c>
      <c r="CO3" s="6">
        <f>COUNTIFS(Table6[Country],Tabela1[[#This Row],[Country]],Table6[92kg Classification],"&gt;0")</f>
        <v>0</v>
      </c>
      <c r="CP3" s="6">
        <f>COUNTIFS(Table6[Country],Tabela1[[#This Row],[Country]],Table6[Plus 92kg Classification],"&gt;0")</f>
        <v>1</v>
      </c>
      <c r="CQ3" s="6">
        <f>COUNTIFS(Table7[Country],Tabela1[[#This Row],[Country]],Table7[50kg Classification],"&gt;0")</f>
        <v>0</v>
      </c>
      <c r="CR3" s="6">
        <f>COUNTIFS(Table7[Country],Tabela1[[#This Row],[Country]],Table7[54kg Classification],"&gt;0")</f>
        <v>0</v>
      </c>
      <c r="CS3" s="6">
        <f>COUNTIFS(Table7[Country],Tabela1[[#This Row],[Country]],Table7[57kg Classification],"&gt;0")</f>
        <v>1</v>
      </c>
      <c r="CT3" s="6">
        <f>COUNTIFS(Table7[Country],Tabela1[[#This Row],[Country]],Table7[60kg Classification],"&gt;0")</f>
        <v>0</v>
      </c>
      <c r="CU3" s="6">
        <f>COUNTIFS(Table7[Country],Tabela1[[#This Row],[Country]],Table7[66kg Classification],"&gt;0")</f>
        <v>0</v>
      </c>
      <c r="CV3" s="6">
        <f>COUNTIFS(Table7[Country],Tabela1[[#This Row],[Country]],Table7[75kg Classification],"&gt;0")</f>
        <v>0</v>
      </c>
      <c r="CW3" s="6">
        <f>COUNTIFS(Tabela94[Country],Tabela1[[#This Row],[Country]],Tabela94[Classification],"&gt;0")</f>
        <v>0</v>
      </c>
      <c r="CX3" s="6">
        <f>COUNTIFS(Tabela9499[Country],Tabela1[[#This Row],[Country]],Tabela9499[Classification],"&gt;0")</f>
        <v>1</v>
      </c>
      <c r="CY3" s="6">
        <f>COUNTIFS(Tabela107[Country],Tabela1[[#This Row],[Country]],Tabela107[C1 Slalom Classification],"&gt;0")</f>
        <v>1</v>
      </c>
      <c r="CZ3" s="6">
        <f>COUNTIFS(Tabela107122[Country],Tabela1[[#This Row],[Country]],Tabela107122[C1 Slalom Classification],"&gt;0")</f>
        <v>0</v>
      </c>
      <c r="DA3" s="6">
        <f>COUNTIFS(Tabela107[Country],Tabela1[[#This Row],[Country]],Tabela107[K1 Slalom Classification],"&gt;0")</f>
        <v>1</v>
      </c>
      <c r="DB3" s="6">
        <f>COUNTIFS(Tabela107122[Country],Tabela1[[#This Row],[Country]],Tabela107122[K1 Slalom Classification],"&gt;0")</f>
        <v>1</v>
      </c>
      <c r="DC3" s="6">
        <f>COUNTIFS(Tabela107[Country],Tabela1[[#This Row],[Country]],Tabela107[Kayak Cross Slalom Classification],"&gt;0")</f>
        <v>2</v>
      </c>
      <c r="DD3" s="6">
        <f>COUNTIFS(Tabela107122[Country],Tabela1[[#This Row],[Country]],Tabela107122[Kayak Cross Slalom Classification],"&gt;0")</f>
        <v>2</v>
      </c>
      <c r="DE3" s="6">
        <f>COUNTIFS(Table8[Country],Tabela1[[#This Row],[Country]],Table8[C1 200m Classification],"&gt;0")</f>
        <v>0</v>
      </c>
      <c r="DF3" s="6">
        <f>COUNTIFS(Table40[Country],Tabela1[[#This Row],[Country]],Table40[C1 1000m Classification],"&gt;0")</f>
        <v>1</v>
      </c>
      <c r="DG3" s="6">
        <f>COUNTIFS(Table68[Country],Tabela1[[#This Row],[Country]],Table68[Men''s C2 500m Classification],"&gt;0")</f>
        <v>1</v>
      </c>
      <c r="DH3" s="6">
        <f>COUNTIFS(Table68[Country],Tabela1[[#This Row],[Country]],Table68[Women''s C2 500m Classification],"&gt;0")</f>
        <v>1</v>
      </c>
      <c r="DI3" s="6">
        <f>COUNTIFS(Table8[Country],Tabela1[[#This Row],[Country]],Table8[K1 500m Classification],"&gt;0")</f>
        <v>1</v>
      </c>
      <c r="DJ3" s="6">
        <f>COUNTIFS(Table40[Country],Tabela1[[#This Row],[Country]],Table40[K1 1000m Classification],"&gt;0")</f>
        <v>0</v>
      </c>
      <c r="DK3" s="6">
        <f>COUNTIFS(Table68[Country],Tabela1[[#This Row],[Country]],Table68[Men''s K2 500m Classification],"&gt;0")</f>
        <v>0</v>
      </c>
      <c r="DL3" s="6">
        <f>COUNTIFS(Table68[Country],Tabela1[[#This Row],[Country]],Table68[Women''s K2 500m Classification],"&gt;0")</f>
        <v>1</v>
      </c>
      <c r="DM3" s="6">
        <f>COUNTIFS(Table83[Country],Tabela1[[#This Row],[Country]],Table83[Men''s K4 500m Classification],"&gt;0")</f>
        <v>0</v>
      </c>
      <c r="DN3" s="6">
        <f>COUNTIFS(Table83[Country],Tabela1[[#This Row],[Country]],Table83[Women''s K4 500m Classification],"&gt;0")</f>
        <v>0</v>
      </c>
      <c r="DO3" s="6">
        <f>COUNTIFS(Tabela126[Country],Tabela1[[#This Row],[Country]],Tabela126[Classification],"&gt;0")</f>
        <v>1</v>
      </c>
      <c r="DP3" s="6">
        <f>COUNTIFS(Tabela126130[Country],Tabela1[[#This Row],[Country]],Tabela126130[Classification],"&gt;0")</f>
        <v>1</v>
      </c>
      <c r="DQ3" s="6">
        <f>COUNTIFS(Table70[Country],Tabela1[[#This Row],[Country]],Table70[Classification],"&gt;0")</f>
        <v>1</v>
      </c>
      <c r="DR3" s="6">
        <f>COUNTIFS(Table80[Country],Tabela1[[#This Row],[Country]],Table80[Classification],"&gt;0")</f>
        <v>1</v>
      </c>
      <c r="DS3" s="6">
        <f>COUNTIFS(Table66[Country],Tabela1[[#This Row],[Country]],Table66[Classification],"&gt;0")</f>
        <v>2</v>
      </c>
      <c r="DT3" s="6">
        <f>COUNTIFS(Table67[Country],Tabela1[[#This Row],[Country]],Table67[Classification],"&gt;0")</f>
        <v>0</v>
      </c>
      <c r="DU3" s="6">
        <f>COUNTIFS(Table69[Country],Tabela1[[#This Row],[Country]],Table69[Keirin Classification],"&gt;0")</f>
        <v>0</v>
      </c>
      <c r="DV3" s="6">
        <f>COUNTIFS(Table41[Country],Tabela1[[#This Row],[Country]],Table41[Keirin Classification],"&gt;0")</f>
        <v>0</v>
      </c>
      <c r="DW3" s="6">
        <f>COUNTIFS(Table84[Country],Tabela1[[#This Row],[Country]],Table84[Men''s Madison Classification],"&gt;0")</f>
        <v>1</v>
      </c>
      <c r="DX3" s="6">
        <f>COUNTIFS(Table84[Country],Tabela1[[#This Row],[Country]],Table84[Women''s Madison Classification],"&gt;0")</f>
        <v>1</v>
      </c>
      <c r="DY3" s="6">
        <f>COUNTIFS(Table69[Country],Tabela1[[#This Row],[Country]],Table69[Omnium Classification],"&gt;0")</f>
        <v>0</v>
      </c>
      <c r="DZ3" s="6">
        <f>COUNTIFS(Table41[Country],Tabela1[[#This Row],[Country]],Table41[Omnium Classification],"&gt;0")</f>
        <v>0</v>
      </c>
      <c r="EA3" s="6">
        <f>COUNTIFS(Table9[Country],Tabela1[[#This Row],[Country]],Table9[Road Race Classification],"&gt;0")</f>
        <v>2</v>
      </c>
      <c r="EB3" s="6">
        <f>COUNTIFS(Table14[Country],Tabela1[[#This Row],[Country]],Table14[Road Race Classification],"&gt;0")</f>
        <v>2</v>
      </c>
      <c r="EC3" s="6">
        <f>COUNTIFS(Table69[Country],Tabela1[[#This Row],[Country]],Table69[Sprint Classification],"&gt;0")</f>
        <v>0</v>
      </c>
      <c r="ED3" s="6">
        <f>COUNTIFS(Table41[Country],Tabela1[[#This Row],[Country]],Table41[Sprint Classification],"&gt;0")</f>
        <v>0</v>
      </c>
      <c r="EE3" s="6">
        <f>COUNTIFS(Table85[Country],Tabela1[[#This Row],[Country]],Table85[Men''s Sprint Classification],"&gt;0")</f>
        <v>0</v>
      </c>
      <c r="EF3" s="6">
        <f>COUNTIFS(Table85[Country],Tabela1[[#This Row],[Country]],Table85[Women''s Sprint Classification],"&gt;0")</f>
        <v>0</v>
      </c>
      <c r="EG3" s="6">
        <f>COUNTIFS(Table85[Country],Tabela1[[#This Row],[Country]],Table85[Men''s Pursuit Classification],"&gt;0")</f>
        <v>1</v>
      </c>
      <c r="EH3" s="6">
        <f>COUNTIFS(Table85[Country],Tabela1[[#This Row],[Country]],Table85[Women''s Pursuit Classification],"&gt;0")</f>
        <v>1</v>
      </c>
      <c r="EI3" s="6">
        <f>COUNTIFS(Table9[Country],Tabela1[[#This Row],[Country]],Table9[Time-Trial Classification],"&gt;0")</f>
        <v>0</v>
      </c>
      <c r="EJ3" s="6">
        <f>COUNTIFS(Table14[Country],Tabela1[[#This Row],[Country]],Table14[Time-Trial Classification],"&gt;0")</f>
        <v>1</v>
      </c>
      <c r="EK3" s="6">
        <f>COUNTIFS(Table42[Country],Tabela1[[#This Row],[Country]],Table42[Springboard Classification],"&gt;0")</f>
        <v>1</v>
      </c>
      <c r="EL3" s="6">
        <f>COUNTIFS(Table43[Country],Tabela1[[#This Row],[Country]],Table43[Springboard Classification],"&gt;0")</f>
        <v>0</v>
      </c>
      <c r="EM3" s="6">
        <f>COUNTIFS(Table42[Country],Tabela1[[#This Row],[Country]],Table42[Platform Classification],"&gt;0")</f>
        <v>0</v>
      </c>
      <c r="EN3" s="6">
        <f>COUNTIFS(Table43[Country],Tabela1[[#This Row],[Country]],Table43[Platform Classification],"&gt;0")</f>
        <v>0</v>
      </c>
      <c r="EO3" s="6">
        <f>COUNTIFS(Table86[Country],Tabela1[[#This Row],[Country]],Table86[Men''s Synchronized Springboard Classification],"&gt;0")</f>
        <v>0</v>
      </c>
      <c r="EP3" s="6">
        <f>COUNTIFS(Table86[Country],Tabela1[[#This Row],[Country]],Table86[Women''s Synchronized Springboard Classification],"&gt;0")</f>
        <v>1</v>
      </c>
      <c r="EQ3" s="6">
        <f>COUNTIFS(Table86[Country],Tabela1[[#This Row],[Country]],Table86[Men''s Synchronized Platform Classification],"&gt;0")</f>
        <v>1</v>
      </c>
      <c r="ER3" s="6">
        <f>COUNTIFS(Table86[Country],Tabela1[[#This Row],[Country]],Table86[Women''s Synchronized Platform Classification],"&gt;0")</f>
        <v>0</v>
      </c>
      <c r="ES3" s="6">
        <f>COUNTIFS(Table44[Country],Tabela1[[#This Row],[Country]],Table44[Dressage Classification],"&gt;0")</f>
        <v>0</v>
      </c>
      <c r="ET3" s="6">
        <f>COUNTIFS(Table45[Country],Tabela1[[#This Row],[Country]],Table45[Dressage Classification],"&gt;0")</f>
        <v>0</v>
      </c>
      <c r="EU3" s="6">
        <f>COUNTIFS(Table44[Country],Tabela1[[#This Row],[Country]],Table44[Eventing Classification],"&gt;0")</f>
        <v>1</v>
      </c>
      <c r="EV3" s="6">
        <f>COUNTIFS(Table45[Country],Tabela1[[#This Row],[Country]],Table45[Eventing Classification],"&gt;0")</f>
        <v>1</v>
      </c>
      <c r="EW3" s="6">
        <f>COUNTIFS(Table44[Country],Tabela1[[#This Row],[Country]],Table44[Jumping Classification],"&gt;0")</f>
        <v>1</v>
      </c>
      <c r="EX3" s="6">
        <f>COUNTIFS(Table45[Country],Tabela1[[#This Row],[Country]],Table45[Jumping Classification],"&gt;0")</f>
        <v>1</v>
      </c>
      <c r="EY3" s="6">
        <f>COUNTIFS(Table10[Country],Tabela1[[#This Row],[Country]],Table10[Épée Classification],"&gt;0")</f>
        <v>2</v>
      </c>
      <c r="EZ3" s="6">
        <f>COUNTIFS(Table11[Country],Tabela1[[#This Row],[Country]],Table11[Épée Classification],"&gt;0")</f>
        <v>1</v>
      </c>
      <c r="FA3" s="6">
        <f>COUNTIFS(Table46[Country],Tabela1[[#This Row],[Country]],Table46[Men''s Épée Classification],"&gt;0")</f>
        <v>1</v>
      </c>
      <c r="FB3" s="6">
        <f>COUNTIFS(Table46[Country],Tabela1[[#This Row],[Country]],Table46[Women''s Épée Classification],"&gt;0")</f>
        <v>1</v>
      </c>
      <c r="FC3" s="6">
        <f>COUNTIFS(Table10[Country],Tabela1[[#This Row],[Country]],Table10[Foil Classification],"&gt;0")</f>
        <v>0</v>
      </c>
      <c r="FD3" s="6">
        <f>COUNTIFS(Table11[Country],Tabela1[[#This Row],[Country]],Table11[Foil Classification],"&gt;0")</f>
        <v>2</v>
      </c>
      <c r="FE3" s="6">
        <f>COUNTIFS(Table46[Country],Tabela1[[#This Row],[Country]],Table46[Men''s Foil Classification],"&gt;0")</f>
        <v>0</v>
      </c>
      <c r="FF3" s="6">
        <f>COUNTIFS(Table46[Country],Tabela1[[#This Row],[Country]],Table46[Women''s Foil Classification],"&gt;0")</f>
        <v>1</v>
      </c>
      <c r="FG3" s="6">
        <f>COUNTIFS(Table10[Country],Tabela1[[#This Row],[Country]],Table10[Sabre Classification],"&gt;0")</f>
        <v>2</v>
      </c>
      <c r="FH3" s="6">
        <f>COUNTIFS(Table11[Country],Tabela1[[#This Row],[Country]],Table11[Sabre Classification],"&gt;0")</f>
        <v>2</v>
      </c>
      <c r="FI3" s="6">
        <f>COUNTIFS(Table46[Country],Tabela1[[#This Row],[Country]],Table46[Men''s Sabre Classification],"&gt;0")</f>
        <v>1</v>
      </c>
      <c r="FJ3" s="6">
        <f>COUNTIFS(Table46[Country],Tabela1[[#This Row],[Country]],Table46[Women''s Sabre Classification],"&gt;0")</f>
        <v>1</v>
      </c>
      <c r="FK3" s="6">
        <f>COUNTIFS(Table91[Country],Tabela1[[#This Row],[Country]],Table91[Men''s Classification],"&gt;0")</f>
        <v>1</v>
      </c>
      <c r="FL3" s="6">
        <f>COUNTIFS(Table91[Country],Tabela1[[#This Row],[Country]],Table91[Women''s Classification],"&gt;0")</f>
        <v>1</v>
      </c>
      <c r="FM3" s="6">
        <f>COUNTIFS(Table9194[Country],Tabela1[[#This Row],[Country]],Table9194[Men''s Classification],"&gt;0")</f>
        <v>1</v>
      </c>
      <c r="FN3" s="6">
        <f>COUNTIFS(Table9194[Country],Tabela1[[#This Row],[Country]],Table9194[Women''s Classification],"&gt;0")</f>
        <v>1</v>
      </c>
      <c r="FO3" s="6">
        <f>COUNTIFS(Table71[Country],Tabela1[[#This Row],[Country]],Table71[Classification],"&gt;0")</f>
        <v>1</v>
      </c>
      <c r="FP3" s="6">
        <f>COUNTIFS(Table62[Country],Tabela1[[#This Row],[Country]],Table62[Classification],"&gt;0")</f>
        <v>0</v>
      </c>
      <c r="FQ3" s="6">
        <f>COUNTIFS(Table47[Country],Tabela1[[#This Row],[Country]],Table47[All-Around Classification],"&gt;0")</f>
        <v>0</v>
      </c>
      <c r="FR3" s="6">
        <f>COUNTIFS(Table48[Country],Tabela1[[#This Row],[Country]],Table48[All-Around Classification],"&gt;0")</f>
        <v>0</v>
      </c>
      <c r="FS3" s="6">
        <f>COUNTIFS(Table81[Country],Tabela1[[#This Row],[Country]],Table81[Men''s All-Around Classification],"&gt;0")</f>
        <v>0</v>
      </c>
      <c r="FT3" s="6">
        <f>COUNTIFS(Table81[Country],Tabela1[[#This Row],[Country]],Table81[Women''s All-Around Classification],"&gt;0")</f>
        <v>0</v>
      </c>
      <c r="FU3" s="6">
        <f>COUNTIFS(Table48[Country],Tabela1[[#This Row],[Country]],Table48[Balance Beam Classification],"&gt;0")</f>
        <v>0</v>
      </c>
      <c r="FV3" s="6">
        <f>COUNTIFS(Table47[Country],Tabela1[[#This Row],[Country]],Table47[Floor Exercise Classification],"&gt;0")</f>
        <v>0</v>
      </c>
      <c r="FW3" s="6">
        <f>COUNTIFS(Table48[Country],Tabela1[[#This Row],[Country]],Table48[Floor Exercise Classification],"&gt;0")</f>
        <v>0</v>
      </c>
      <c r="FX3" s="6">
        <f>COUNTIFS(Table47[Country],Tabela1[[#This Row],[Country]],Table47[Horizontal Bar Classification],"&gt;0")</f>
        <v>0</v>
      </c>
      <c r="FY3" s="6">
        <f>COUNTIFS(Table47[Country],Tabela1[[#This Row],[Country]],Table47[Parallel Bars Classification],"&gt;0")</f>
        <v>0</v>
      </c>
      <c r="FZ3" s="6">
        <f>COUNTIFS(Table47[Country],Tabela1[[#This Row],[Country]],Table47[Pommel Horse Classification],"&gt;0")</f>
        <v>0</v>
      </c>
      <c r="GA3" s="6">
        <f>COUNTIFS(Table47[Country],Tabela1[[#This Row],[Country]],Table47[Rings Classification],"&gt;0")</f>
        <v>0</v>
      </c>
      <c r="GB3" s="6">
        <f>COUNTIFS(Tabela132[Country],Tabela1[[#This Row],[Country]],Tabela132[Classification],"&gt;0")</f>
        <v>1</v>
      </c>
      <c r="GC3" s="6">
        <f>COUNTIFS(Tabela139[Country],Tabela1[[#This Row],[Country]],Tabela139[Classification],"&gt;0")</f>
        <v>1</v>
      </c>
      <c r="GD3" s="6">
        <f>COUNTIFS(Table48[Country],Tabela1[[#This Row],[Country]],Table48[Uneven Bars Classification],"&gt;0")</f>
        <v>0</v>
      </c>
      <c r="GE3" s="6">
        <f>COUNTIFS(Table47[Country],Tabela1[[#This Row],[Country]],Table47[Vault Classification],"&gt;0")</f>
        <v>0</v>
      </c>
      <c r="GF3" s="6">
        <f>COUNTIFS(Table48[Country],Tabela1[[#This Row],[Country]],Table48[Vault Classification],"&gt;0")</f>
        <v>0</v>
      </c>
      <c r="GG3" s="6">
        <f>COUNTIFS(Table919496[Country],Tabela1[[#This Row],[Country]],Table919496[Men''s Classification],"&gt;0")</f>
        <v>1</v>
      </c>
      <c r="GH3" s="6">
        <f>COUNTIFS(Table919496[Country],Tabela1[[#This Row],[Country]],Table919496[Women''s Classification],"&gt;0")</f>
        <v>1</v>
      </c>
      <c r="GI3" s="6">
        <f>COUNTIFS(Table12[Country],Tabela1[[#This Row],[Country]],Table12[60kg Classification],"&gt;0")</f>
        <v>0</v>
      </c>
      <c r="GJ3" s="6">
        <f>COUNTIFS(Table12[Country],Tabela1[[#This Row],[Country]],Table12[66kg Classification],"&gt;0")</f>
        <v>1</v>
      </c>
      <c r="GK3" s="6">
        <f>COUNTIFS(Table12[Country],Tabela1[[#This Row],[Country]],Table12[73kg Classification],"&gt;0")</f>
        <v>0</v>
      </c>
      <c r="GL3" s="6">
        <f>COUNTIFS(Table12[Country],Tabela1[[#This Row],[Country]],Table12[81kg Classification],"&gt;0")</f>
        <v>0</v>
      </c>
      <c r="GM3" s="6">
        <f>COUNTIFS(Table12[Country],Tabela1[[#This Row],[Country]],Table12[90kg Classification],"&gt;0")</f>
        <v>0</v>
      </c>
      <c r="GN3" s="6">
        <f>COUNTIFS(Table12[Country],Tabela1[[#This Row],[Country]],Table12[100kg Classification],"&gt;0")</f>
        <v>1</v>
      </c>
      <c r="GO3" s="6">
        <f>COUNTIFS(Table12[Country],Tabela1[[#This Row],[Country]],Table12[Plus 100kg Classification],"&gt;0")</f>
        <v>1</v>
      </c>
      <c r="GP3" s="6">
        <f>COUNTIFS(Table13[Country],Tabela1[[#This Row],[Country]],Table13[48kg Classification],"&gt;0")</f>
        <v>1</v>
      </c>
      <c r="GQ3" s="6">
        <f>COUNTIFS(Table13[Country],Tabela1[[#This Row],[Country]],Table13[52kg Classification],"&gt;0")</f>
        <v>1</v>
      </c>
      <c r="GR3" s="6">
        <f>COUNTIFS(Table13[Country],Tabela1[[#This Row],[Country]],Table13[57kg Classification],"&gt;0")</f>
        <v>0</v>
      </c>
      <c r="GS3" s="6">
        <f>COUNTIFS(Table13[Country],Tabela1[[#This Row],[Country]],Table13[63kg Classification],"&gt;0")</f>
        <v>1</v>
      </c>
      <c r="GT3" s="6">
        <f>COUNTIFS(Table13[Country],Tabela1[[#This Row],[Country]],Table13[70kg Classification],"&gt;0")</f>
        <v>0</v>
      </c>
      <c r="GU3" s="6">
        <f>COUNTIFS(Table13[Country],Tabela1[[#This Row],[Country]],Table13[78kg Classification],"&gt;0")</f>
        <v>0</v>
      </c>
      <c r="GV3" s="6">
        <f>COUNTIFS(Table13[Country],Tabela1[[#This Row],[Country]],Table13[Plus 78kg Classification],"&gt;0")</f>
        <v>0</v>
      </c>
      <c r="GW3" s="6">
        <f>COUNTIFS(Table82[Country],Tabela1[[#This Row],[Country]],Table82[Mixed Classification],"&gt;0")</f>
        <v>1</v>
      </c>
      <c r="GX3" s="6">
        <f>COUNTIFS(Table51[Country],Tabela1[[#This Row],[Country]],Table51[Classification],"&gt;0")</f>
        <v>0</v>
      </c>
      <c r="GY3" s="6">
        <f>COUNTIFS(Table52[Country],Tabela1[[#This Row],[Country]],Table52[Classification],"&gt;0")</f>
        <v>2</v>
      </c>
      <c r="GZ3" s="6">
        <f>COUNTIFS(Table32[Country],Tabela1[[#This Row],[Country]],Table32[All-Around Classification],"&gt;0")</f>
        <v>1</v>
      </c>
      <c r="HA3" s="6">
        <f>COUNTIFS(Table49[Country],Tabela1[[#This Row],[Country]],Table49[All-Around Classification],"&gt;0")</f>
        <v>1</v>
      </c>
      <c r="HB3" s="6">
        <f>COUNTIFS(Table26[Country],Tabela1[[#This Row],[Country]],Table26[Single Sculls Classification],"&gt;0")</f>
        <v>0</v>
      </c>
      <c r="HC3" s="6">
        <f>COUNTIFS(Table63[Country],Tabela1[[#This Row],[Country]],Table63[Single Sculls Classification],"&gt;0")</f>
        <v>0</v>
      </c>
      <c r="HD3" s="6">
        <f>COUNTIFS(Table16[Country],Tabela1[[#This Row],[Country]],Table16[Men''s Double Sculls Classification],"&gt;0")</f>
        <v>0</v>
      </c>
      <c r="HE3" s="6">
        <f>COUNTIFS(Table16[Country],Tabela1[[#This Row],[Country]],Table16[Women''s Double Sculls Classification],"&gt;0")</f>
        <v>0</v>
      </c>
      <c r="HF3" s="6">
        <f>COUNTIFS(Table72[Country],Tabela1[[#This Row],[Country]],Table72[Men''s Quadruple Sculls Classification],"&gt;0")</f>
        <v>0</v>
      </c>
      <c r="HG3" s="6">
        <f>COUNTIFS(Table72[Country],Tabela1[[#This Row],[Country]],Table72[Women''s Quadruple Sculls Classification],"&gt;0")</f>
        <v>0</v>
      </c>
      <c r="HH3" s="6">
        <f>COUNTIFS(Table16[Country],Tabela1[[#This Row],[Country]],Table16[Men''s Coxless Pairs Classification],"&gt;0")</f>
        <v>0</v>
      </c>
      <c r="HI3" s="6">
        <f>COUNTIFS(Table16[Country],Tabela1[[#This Row],[Country]],Table16[Women''s Coxless Pairs Classification],"&gt;0")</f>
        <v>0</v>
      </c>
      <c r="HJ3" s="6">
        <f>COUNTIFS(Table72[Country],Tabela1[[#This Row],[Country]],Table72[Men''s Coxless Fours Classification],"&gt;0")</f>
        <v>1</v>
      </c>
      <c r="HK3" s="6">
        <f>COUNTIFS(Table72[Country],Tabela1[[#This Row],[Country]],Table72[Women''s Coxless Fours Classification],"&gt;0")</f>
        <v>0</v>
      </c>
      <c r="HL3" s="6">
        <f>COUNTIFS(Table72[Country],Tabela1[[#This Row],[Country]],Table72[Men''s Eights Classification],"&gt;0")</f>
        <v>0</v>
      </c>
      <c r="HM3" s="6">
        <f>COUNTIFS(Table72[Country],Tabela1[[#This Row],[Country]],Table72[Women''s Eights Classification],"&gt;0")</f>
        <v>0</v>
      </c>
      <c r="HN3" s="6">
        <f>COUNTIFS(Table16[Country],Tabela1[[#This Row],[Country]],Table16[Men''s Lwt. Double Sculls Classification],"&gt;0")</f>
        <v>1</v>
      </c>
      <c r="HO3" s="6">
        <f>COUNTIFS(Table16[Country],Tabela1[[#This Row],[Country]],Table16[Women''s Lwt. Double Sculls Classification],"&gt;0")</f>
        <v>0</v>
      </c>
      <c r="HP3" s="6">
        <f>COUNTIFS(Table91949698[Country],Tabela1[[#This Row],[Country]],Table91949698[Men''s Classification],"&gt;0")</f>
        <v>1</v>
      </c>
      <c r="HQ3" s="6">
        <f>COUNTIFS(Table91949698[Country],Tabela1[[#This Row],[Country]],Table91949698[Women''s Classification],"&gt;0")</f>
        <v>1</v>
      </c>
      <c r="HR3" s="6">
        <f>COUNTIFS(Table25[Country],Tabela1[[#This Row],[Country]],Table25[Mixed 470 Classification],"&gt;0")</f>
        <v>0</v>
      </c>
      <c r="HS3" s="6">
        <f>COUNTIFS(Table25[Country],Tabela1[[#This Row],[Country]],Table25[Men''s 49er Classification],"&gt;0")</f>
        <v>0</v>
      </c>
      <c r="HT3" s="6">
        <f>COUNTIFS(Table25[Country],Tabela1[[#This Row],[Country]],Table25[Women''s 49er FX Classification],"&gt;0")</f>
        <v>1</v>
      </c>
      <c r="HU3" s="6">
        <f>COUNTIFS(Table17[Country],Tabela1[[#This Row],[Country]],Table17[Formula Kite Classification],"&gt;0")</f>
        <v>1</v>
      </c>
      <c r="HV3" s="6">
        <f>COUNTIFS(Table18[Country],Tabela1[[#This Row],[Country]],Table18[Formula Kite Classification],"&gt;0")</f>
        <v>1</v>
      </c>
      <c r="HW3" s="6">
        <f>COUNTIFS(Table17[Country],Tabela1[[#This Row],[Country]],Table17[ILCA 7 Classification],"&gt;0")</f>
        <v>1</v>
      </c>
      <c r="HX3" s="6">
        <f>COUNTIFS(Table18[Country],Tabela1[[#This Row],[Country]],Table18[ILCA 6 Classification],"&gt;0")</f>
        <v>0</v>
      </c>
      <c r="HY3" s="6">
        <f>COUNTIFS(Table17[Country],Tabela1[[#This Row],[Country]],Table17[IQFoil Classification],"&gt;0")</f>
        <v>0</v>
      </c>
      <c r="HZ3" s="6">
        <f>COUNTIFS(Table18[Country],Tabela1[[#This Row],[Country]],Table18[IQFoil Classification],"&gt;0")</f>
        <v>1</v>
      </c>
      <c r="IA3" s="6">
        <f>COUNTIFS(Table25[Country],Tabela1[[#This Row],[Country]],Table25[Mixed Nacra 17 Classification],"&gt;0")</f>
        <v>0</v>
      </c>
      <c r="IB3" s="6">
        <f>COUNTIFS(Table53[Country],Tabela1[[#This Row],[Country]],Table53[10m Air Pistol Classification],"&gt;0")</f>
        <v>0</v>
      </c>
      <c r="IC3" s="6">
        <f>COUNTIFS(Table19[Country],Tabela1[[#This Row],[Country]],Table19[10m Air Pistol Classification],"&gt;0")</f>
        <v>1</v>
      </c>
      <c r="ID3" s="6">
        <f>COUNTIFS(Table54[Country],Tabela1[[#This Row],[Country]],Table54[Mixed 10m Air Pistol Team Classification],"&gt;0")</f>
        <v>1</v>
      </c>
      <c r="IE3" s="6">
        <f>COUNTIFS(Table53[Country],Tabela1[[#This Row],[Country]],Table53[10m Air Rifle Classification],"&gt;0")</f>
        <v>1</v>
      </c>
      <c r="IF3" s="6">
        <f>COUNTIFS(Table19[Country],Tabela1[[#This Row],[Country]],Table19[10m Air Rifle Classification],"&gt;0")</f>
        <v>1</v>
      </c>
      <c r="IG3" s="6">
        <f>COUNTIFS(Table54[Country],Tabela1[[#This Row],[Country]],Table54[Mixed 10m Air Rifle Team Classification],"&gt;0")</f>
        <v>1</v>
      </c>
      <c r="IH3" s="6">
        <f>COUNTIFS(Table53[Country],Tabela1[[#This Row],[Country]],Table53[25m Rapid Fire Pistol Classification],"&gt;0")</f>
        <v>1</v>
      </c>
      <c r="II3" s="6">
        <f>COUNTIFS(Table19[Country],Tabela1[[#This Row],[Country]],Table19[25m Pistol Classification],"&gt;0")</f>
        <v>2</v>
      </c>
      <c r="IJ3" s="6">
        <f>COUNTIFS(Table53[Country],Tabela1[[#This Row],[Country]],Table53[50m Rifle 3 Positions Classification],"&gt;0")</f>
        <v>1</v>
      </c>
      <c r="IK3" s="6">
        <f>COUNTIFS(Table19[Country],Tabela1[[#This Row],[Country]],Table19[50m Rifle 3 Positions Classification],"&gt;0")</f>
        <v>0</v>
      </c>
      <c r="IL3" s="6">
        <f>COUNTIFS(Table53[Country],Tabela1[[#This Row],[Country]],Table53[Skeet Classification],"&gt;0")</f>
        <v>0</v>
      </c>
      <c r="IM3" s="6">
        <f>COUNTIFS(Table19[Country],Tabela1[[#This Row],[Country]],Table19[Skeet Classification],"&gt;0")</f>
        <v>0</v>
      </c>
      <c r="IN3" s="6">
        <f>COUNTIFS(Table54[Country],Tabela1[[#This Row],[Country]],Table54[Mixed Skeet Team Classification],"&gt;0")</f>
        <v>0</v>
      </c>
      <c r="IO3" s="6">
        <f>COUNTIFS(Table53[Country],Tabela1[[#This Row],[Country]],Table53[Trap Classification],"&gt;0")</f>
        <v>1</v>
      </c>
      <c r="IP3" s="6">
        <f>COUNTIFS(Table19[Country],Tabela1[[#This Row],[Country]],Table19[Trap Classification],"&gt;0")</f>
        <v>1</v>
      </c>
      <c r="IQ3" s="6">
        <f>COUNTIFS(Table73[Country],Tabela1[[#This Row],[Country]],Table73[Park Classification],"&gt;0")</f>
        <v>1</v>
      </c>
      <c r="IR3" s="6">
        <f>COUNTIFS(Table74[Country],Tabela1[[#This Row],[Country]],Table74[Park Classification],"&gt;0")</f>
        <v>2</v>
      </c>
      <c r="IS3" s="6">
        <f>COUNTIFS(Table73[Country],Tabela1[[#This Row],[Country]],Table73[Street Classification],"&gt;0")</f>
        <v>1</v>
      </c>
      <c r="IT3" s="6">
        <f>COUNTIFS(Table74[Country],Tabela1[[#This Row],[Country]],Table74[Street Classification],"&gt;0")</f>
        <v>0</v>
      </c>
      <c r="IU3" s="6">
        <f>COUNTIFS(Table75[Country],Tabela1[[#This Row],[Country]],Table75[Boulder and Lead Classification],"&gt;0")</f>
        <v>0</v>
      </c>
      <c r="IV3" s="6">
        <f>COUNTIFS(Table76[Country],Tabela1[[#This Row],[Country]],Table76[Boulder and Lead Classification],"&gt;0")</f>
        <v>0</v>
      </c>
      <c r="IW3" s="6">
        <f>COUNTIFS(Table75[Country],Tabela1[[#This Row],[Country]],Table75[Speed Classification],"&gt;0")</f>
        <v>0</v>
      </c>
      <c r="IX3" s="6">
        <f>COUNTIFS(Table76[Country],Tabela1[[#This Row],[Country]],Table76[Speed Classification],"&gt;0")</f>
        <v>1</v>
      </c>
      <c r="IY3" s="6">
        <f>COUNTIFS(Table64[Country],Tabela1[[#This Row],[Country]],Table64[Shortboard Classification],"&gt;0")</f>
        <v>1</v>
      </c>
      <c r="IZ3" s="6">
        <f>COUNTIFS(Table77[Country],Tabela1[[#This Row],[Country]],Table77[Shortboard Classification],"&gt;0")</f>
        <v>1</v>
      </c>
      <c r="JA3" s="6">
        <f>COUNTIFS(Table20[Country],Tabela1[[#This Row],[Country]],Table20[50m Freestyle Classification],"&gt;0")</f>
        <v>0</v>
      </c>
      <c r="JB3" s="6">
        <f>COUNTIFS(Table21[Country],Tabela1[[#This Row],[Country]],Table21[50m Freestyle Classification],"&gt;0")</f>
        <v>2</v>
      </c>
      <c r="JC3" s="6">
        <f>COUNTIFS(Table20[Country],Tabela1[[#This Row],[Country]],Table20[100m Freestyle Classification],"&gt;0")</f>
        <v>0</v>
      </c>
      <c r="JD3" s="6">
        <f>COUNTIFS(Table21[Country],Tabela1[[#This Row],[Country]],Table21[100m Freestyle Classification],"&gt;0")</f>
        <v>2</v>
      </c>
      <c r="JE3" s="6">
        <f>COUNTIFS(Table20[Country],Tabela1[[#This Row],[Country]],Table20[200m Freestyle Classification],"&gt;0")</f>
        <v>0</v>
      </c>
      <c r="JF3" s="6">
        <f>COUNTIFS(Table21[Country],Tabela1[[#This Row],[Country]],Table21[200m Freestyle Classification],"&gt;0")</f>
        <v>0</v>
      </c>
      <c r="JG3" s="6">
        <f>COUNTIFS(Table20[Country],Tabela1[[#This Row],[Country]],Table20[400m Freestyle Classification],"&gt;0")</f>
        <v>0</v>
      </c>
      <c r="JH3" s="6">
        <f>COUNTIFS(Table21[Country],Tabela1[[#This Row],[Country]],Table21[400m Freestyle Classification],"&gt;0")</f>
        <v>1</v>
      </c>
      <c r="JI3" s="6">
        <f>COUNTIFS(Table20[Country],Tabela1[[#This Row],[Country]],Table20[800m Freestyle Classification],"&gt;0")</f>
        <v>0</v>
      </c>
      <c r="JJ3" s="6">
        <f>COUNTIFS(Table21[Country],Tabela1[[#This Row],[Country]],Table21[800m Freestyle Classification],"&gt;0")</f>
        <v>1</v>
      </c>
      <c r="JK3" s="6">
        <f>COUNTIFS(Table20[Country],Tabela1[[#This Row],[Country]],Table20[1500m Freestyle Classification],"&gt;0")</f>
        <v>1</v>
      </c>
      <c r="JL3" s="6">
        <f>COUNTIFS(Table21[Country],Tabela1[[#This Row],[Country]],Table21[1500m Freestyle Classification],"&gt;0")</f>
        <v>1</v>
      </c>
      <c r="JM3" s="6">
        <f>COUNTIFS(Table20[Country],Tabela1[[#This Row],[Country]],Table20[100m Backstroke Classification],"&gt;0")</f>
        <v>1</v>
      </c>
      <c r="JN3" s="6">
        <f>COUNTIFS(Table21[Country],Tabela1[[#This Row],[Country]],Table21[100m Backstroke Classification],"&gt;0")</f>
        <v>1</v>
      </c>
      <c r="JO3" s="6">
        <f>COUNTIFS(Table20[Country],Tabela1[[#This Row],[Country]],Table20[200m Backstroke Classification],"&gt;0")</f>
        <v>1</v>
      </c>
      <c r="JP3" s="6">
        <f>COUNTIFS(Table21[Country],Tabela1[[#This Row],[Country]],Table21[200m Backstroke Classification],"&gt;0")</f>
        <v>1</v>
      </c>
      <c r="JQ3" s="6">
        <f>COUNTIFS(Table20[Country],Tabela1[[#This Row],[Country]],Table20[100m Breaststroke Classification],"&gt;0")</f>
        <v>0</v>
      </c>
      <c r="JR3" s="6">
        <f>COUNTIFS(Table21[Country],Tabela1[[#This Row],[Country]],Table21[100m Breaststroke Classification],"&gt;0")</f>
        <v>0</v>
      </c>
      <c r="JS3" s="6">
        <f>COUNTIFS(Table20[Country],Tabela1[[#This Row],[Country]],Table20[200m Breaststroke Classification],"&gt;0")</f>
        <v>0</v>
      </c>
      <c r="JT3" s="6">
        <f>COUNTIFS(Table21[Country],Tabela1[[#This Row],[Country]],Table21[200m Breaststroke Classification],"&gt;0")</f>
        <v>0</v>
      </c>
      <c r="JU3" s="6">
        <f>COUNTIFS(Table20[Country],Tabela1[[#This Row],[Country]],Table20[100m Butterfly Classification],"&gt;0")</f>
        <v>1</v>
      </c>
      <c r="JV3" s="6">
        <f>COUNTIFS(Table21[Country],Tabela1[[#This Row],[Country]],Table21[100m Butterfly Classification],"&gt;0")</f>
        <v>1</v>
      </c>
      <c r="JW3" s="6">
        <f>COUNTIFS(Table20[Country],Tabela1[[#This Row],[Country]],Table20[200m Butterfly Classification],"&gt;0")</f>
        <v>0</v>
      </c>
      <c r="JX3" s="6">
        <f>COUNTIFS(Table21[Country],Tabela1[[#This Row],[Country]],Table21[200m Butterfly Classification],"&gt;0")</f>
        <v>0</v>
      </c>
      <c r="JY3" s="6">
        <f>COUNTIFS(Table20[Country],Tabela1[[#This Row],[Country]],Table20[200m Medley Classification],"&gt;0")</f>
        <v>0</v>
      </c>
      <c r="JZ3" s="6">
        <f>COUNTIFS(Table21[Country],Tabela1[[#This Row],[Country]],Table21[200m Medley Classification],"&gt;0")</f>
        <v>0</v>
      </c>
      <c r="KA3" s="6">
        <f>COUNTIFS(Table20[Country],Tabela1[[#This Row],[Country]],Table20[400m Medley Classification],"&gt;0")</f>
        <v>0</v>
      </c>
      <c r="KB3" s="6">
        <f>COUNTIFS(Table21[Country],Tabela1[[#This Row],[Country]],Table21[400m Medley Classification],"&gt;0")</f>
        <v>0</v>
      </c>
      <c r="KC3" s="6">
        <f>COUNTIFS(Table78[Country],Tabela1[[#This Row],[Country]],Table78[Men''s 4x100m Freestyle Relay Classification],"&gt;0")</f>
        <v>0</v>
      </c>
      <c r="KD3" s="6">
        <f>COUNTIFS(Table78[Country],Tabela1[[#This Row],[Country]],Table78[Women''s 4x100m Freestyle Relay Classification],"&gt;0")</f>
        <v>1</v>
      </c>
      <c r="KE3" s="6">
        <f>COUNTIFS(Table78[Country],Tabela1[[#This Row],[Country]],Table78[Men''s 4x200m Freestyle Relay Classification],"&gt;0")</f>
        <v>1</v>
      </c>
      <c r="KF3" s="6">
        <f>COUNTIFS(Table78[Country],Tabela1[[#This Row],[Country]],Table78[Women''s 4x200m Freestyle Relay Classification],"&gt;0")</f>
        <v>1</v>
      </c>
      <c r="KG3" s="6">
        <f>COUNTIFS(Table78[Country],Tabela1[[#This Row],[Country]],Table78[Men''s 4x100m Medley Relay Classification],"&gt;0")</f>
        <v>1</v>
      </c>
      <c r="KH3" s="6">
        <f>COUNTIFS(Table78[Country],Tabela1[[#This Row],[Country]],Table78[Women''s 4x100m Medley Relay Classification],"&gt;0")</f>
        <v>1</v>
      </c>
      <c r="KI3" s="6">
        <f>COUNTIFS(Table78[Country],Tabela1[[#This Row],[Country]],Table78[Mixed 4x100m Medley Relay Classification],"&gt;0")</f>
        <v>1</v>
      </c>
      <c r="KJ3" s="6">
        <f>COUNTIFS(Table20[Country],Tabela1[[#This Row],[Country]],Table20[10km Open Water Classification],"&gt;0")</f>
        <v>1</v>
      </c>
      <c r="KK3" s="6">
        <f>COUNTIFS(Table21[Country],Tabela1[[#This Row],[Country]],Table21[10km Open Water Classification],"&gt;0")</f>
        <v>1</v>
      </c>
      <c r="KL3" s="6">
        <f>COUNTIFS(Table22[Country],Tabela1[[#This Row],[Country]],Table22[Classification],"&gt;0")</f>
        <v>2</v>
      </c>
      <c r="KM3" s="6">
        <f>COUNTIFS(Table30[Country],Tabela1[[#This Row],[Country]],Table30[Classification],"&gt;0")</f>
        <v>2</v>
      </c>
      <c r="KN3" s="6">
        <f>COUNTIFS(Table55[Country],Tabela1[[#This Row],[Country]],Table55[Men''s Classification],"&gt;0")</f>
        <v>1</v>
      </c>
      <c r="KO3" s="6">
        <f>COUNTIFS(Table55[Country],Tabela1[[#This Row],[Country]],Table55[Women''s Classification],"&gt;0")</f>
        <v>1</v>
      </c>
      <c r="KP3" s="6">
        <f>COUNTIFS(Table56[Country],Tabela1[[#This Row],[Country]],Table56[Mixed Classification],"&gt;0")</f>
        <v>1</v>
      </c>
      <c r="KQ3" s="6">
        <f>COUNTIFS(Table29[Country],Tabela1[[#This Row],[Country]],Table29[58kg Classification],"&gt;0")</f>
        <v>0</v>
      </c>
      <c r="KR3" s="6">
        <f>COUNTIFS(Table29[Country],Tabela1[[#This Row],[Country]],Table29[68kg Classification],"&gt;0")</f>
        <v>0</v>
      </c>
      <c r="KS3" s="6">
        <f>COUNTIFS(Table29[Country],Tabela1[[#This Row],[Country]],Table29[80kg Classification],"&gt;0")</f>
        <v>0</v>
      </c>
      <c r="KT3" s="6">
        <f>COUNTIFS(Table29[Country],Tabela1[[#This Row],[Country]],Table29[Plus 80kg Classification],"&gt;0")</f>
        <v>0</v>
      </c>
      <c r="KU3" s="6">
        <f>COUNTIFS(Table34[Country],Tabela1[[#This Row],[Country]],Table34[49kg Classification],"&gt;0")</f>
        <v>0</v>
      </c>
      <c r="KV3" s="6">
        <f>COUNTIFS(Table34[Country],Tabela1[[#This Row],[Country]],Table34[57kg Classification],"&gt;0")</f>
        <v>0</v>
      </c>
      <c r="KW3" s="6">
        <f>COUNTIFS(Table34[Country],Tabela1[[#This Row],[Country]],Table34[67kg Classification],"&gt;0")</f>
        <v>1</v>
      </c>
      <c r="KX3" s="6">
        <f>COUNTIFS(Table34[Country],Tabela1[[#This Row],[Country]],Table34[Plus 67kg Classification],"&gt;0")</f>
        <v>1</v>
      </c>
      <c r="KY3" s="6">
        <f>COUNTIFS(Table57[Country],Tabela1[[#This Row],[Country]],Table57[Classification],"&gt;0")</f>
        <v>1</v>
      </c>
      <c r="KZ3" s="6">
        <f>COUNTIFS(Table58[Country],Tabela1[[#This Row],[Country]],Table58[Classification],"&gt;0")</f>
        <v>1</v>
      </c>
      <c r="LA3" s="6">
        <f>COUNTIFS(Table79[Country],Tabela1[[#This Row],[Country]],Table79[Men''s Classification],"&gt;0")</f>
        <v>1</v>
      </c>
      <c r="LB3" s="6">
        <f>COUNTIFS(Table79[Country],Tabela1[[#This Row],[Country]],Table79[Women''s Classification],"&gt;0")</f>
        <v>1</v>
      </c>
      <c r="LC3" s="6">
        <f>COUNTIFS(Table79[Country],Tabela1[[#This Row],[Country]],Table79[Mixed Classification],"&gt;0")</f>
        <v>0</v>
      </c>
      <c r="LD3" s="6">
        <f>COUNTIFS(Table65[Country],Tabela1[[#This Row],[Country]],Table65[Classification],"&gt;0")</f>
        <v>0</v>
      </c>
      <c r="LE3" s="6">
        <f>COUNTIFS(Table59[Country],Tabela1[[#This Row],[Country]],Table59[Classification],"&gt;0")</f>
        <v>1</v>
      </c>
      <c r="LF3" s="6">
        <f>COUNTIFS(Table87[Country],Tabela1[[#This Row],[Country]],Table87[Mixed Relay Classification],"&gt;0")</f>
        <v>1</v>
      </c>
      <c r="LG3" s="6">
        <f>COUNTIFS(Table91949698100[Country],Tabela1[[#This Row],[Country]],Table91949698100[Men''s Classification],"&gt;0")</f>
        <v>1</v>
      </c>
      <c r="LH3" s="6">
        <f>COUNTIFS(Table91949698100[Country],Tabela1[[#This Row],[Country]],Table91949698100[Women''s Classification],"&gt;0")</f>
        <v>1</v>
      </c>
      <c r="LI3" s="6">
        <f>COUNTIFS(Table91949698100102[Country],Tabela1[[#This Row],[Country]],Table91949698100102[Men''s Classification],"&gt;0")</f>
        <v>1</v>
      </c>
      <c r="LJ3" s="6">
        <f>COUNTIFS(Table91949698100102[Country],Tabela1[[#This Row],[Country]],Table91949698100102[Women''s Classification],"&gt;0")</f>
        <v>1</v>
      </c>
      <c r="LK3" s="6">
        <f>COUNTIFS(Table23[Country],Tabela1[[#This Row],[Country]],Table23[61kg Classification],"&gt;0")</f>
        <v>0</v>
      </c>
      <c r="LL3" s="6">
        <f>COUNTIFS(Table23[Country],Tabela1[[#This Row],[Country]],Table23[73kg Classification],"&gt;0")</f>
        <v>1</v>
      </c>
      <c r="LM3" s="6">
        <f>COUNTIFS(Table23[Country],Tabela1[[#This Row],[Country]],Table23[89kg Classification],"&gt;0")</f>
        <v>1</v>
      </c>
      <c r="LN3" s="6">
        <f>COUNTIFS(Table23[Country],Tabela1[[#This Row],[Country]],Table23[102kg Classification],"&gt;0")</f>
        <v>0</v>
      </c>
      <c r="LO3" s="6">
        <f>COUNTIFS(Table23[Country],Tabela1[[#This Row],[Country]],Table23[Plus 102kg Classification],"&gt;0")</f>
        <v>0</v>
      </c>
      <c r="LP3" s="6">
        <f>COUNTIFS(Table28[Country],Tabela1[[#This Row],[Country]],Table28[49kg Classification],"&gt;0")</f>
        <v>0</v>
      </c>
      <c r="LQ3" s="6">
        <f>COUNTIFS(Table28[Country],Tabela1[[#This Row],[Country]],Table28[59kg Classification],"&gt;0")</f>
        <v>1</v>
      </c>
      <c r="LR3" s="6">
        <f>COUNTIFS(Table28[Country],Tabela1[[#This Row],[Country]],Table28[71kg Classification],"&gt;0")</f>
        <v>1</v>
      </c>
      <c r="LS3" s="6">
        <f>COUNTIFS(Table28[Country],Tabela1[[#This Row],[Country]],Table28[81kg Classification],"&gt;0")</f>
        <v>0</v>
      </c>
      <c r="LT3" s="6">
        <f>COUNTIFS(Table28[Country],Tabela1[[#This Row],[Country]],Table28[Plus 81kg Classification],"&gt;0")</f>
        <v>0</v>
      </c>
      <c r="LU3" s="6">
        <f>COUNTIFS(Table24[Country],Tabela1[[#This Row],[Country]],Table24[Freestyle 57kg Classification],"&gt;0")</f>
        <v>0</v>
      </c>
      <c r="LV3" s="6">
        <f>COUNTIFS(Table24[Country],Tabela1[[#This Row],[Country]],Table24[Freestyle 65kg Classification],"&gt;0")</f>
        <v>0</v>
      </c>
      <c r="LW3" s="6">
        <f>COUNTIFS(Table24[Country],Tabela1[[#This Row],[Country]],Table24[Freestyle 74kg Classification],"&gt;0")</f>
        <v>0</v>
      </c>
      <c r="LX3" s="6">
        <f>COUNTIFS(Table24[Country],Tabela1[[#This Row],[Country]],Table24[Freestyle 86kg Classification],"&gt;0")</f>
        <v>0</v>
      </c>
      <c r="LY3" s="6">
        <f>COUNTIFS(Table24[Country],Tabela1[[#This Row],[Country]],Table24[Freestyle 97kg Classification],"&gt;0")</f>
        <v>0</v>
      </c>
      <c r="LZ3" s="6">
        <f>COUNTIFS(Table24[Country],Tabela1[[#This Row],[Country]],Table24[Freestyle 125kg Classification],"&gt;0")</f>
        <v>0</v>
      </c>
      <c r="MA3" s="6">
        <f>COUNTIFS(Table24[Country],Tabela1[[#This Row],[Country]],Table24[Greco-Roman 60kg Classification],"&gt;0")</f>
        <v>0</v>
      </c>
      <c r="MB3" s="6">
        <f>COUNTIFS(Table24[Country],Tabela1[[#This Row],[Country]],Table24[Greco-Roman 67kg Classification],"&gt;0")</f>
        <v>0</v>
      </c>
      <c r="MC3" s="6">
        <f>COUNTIFS(Table24[Country],Tabela1[[#This Row],[Country]],Table24[Greco-Roman 77kg Classification],"&gt;0")</f>
        <v>0</v>
      </c>
      <c r="MD3" s="6">
        <f>COUNTIFS(Table24[Country],Tabela1[[#This Row],[Country]],Table24[Greco-Roman 87kg Classification],"&gt;0")</f>
        <v>0</v>
      </c>
      <c r="ME3" s="6">
        <f>COUNTIFS(Table24[Country],Tabela1[[#This Row],[Country]],Table24[Greco-Roman 97kg Classification],"&gt;0")</f>
        <v>0</v>
      </c>
      <c r="MF3" s="6">
        <f>COUNTIFS(Table24[Country],Tabela1[[#This Row],[Country]],Table24[Greco-Roman 130kg Classification],"&gt;0")</f>
        <v>0</v>
      </c>
      <c r="MG3" s="6">
        <f>COUNTIFS(Table31[Country],Tabela1[[#This Row],[Country]],Table31[50kg Classification],"&gt;0")</f>
        <v>0</v>
      </c>
      <c r="MH3" s="6">
        <f>COUNTIFS(Table31[Country],Tabela1[[#This Row],[Country]],Table31[53kg Classification],"&gt;0")</f>
        <v>0</v>
      </c>
      <c r="MI3" s="6">
        <f>COUNTIFS(Table31[Country],Tabela1[[#This Row],[Country]],Table31[57kg Classification],"&gt;0")</f>
        <v>0</v>
      </c>
      <c r="MJ3" s="6">
        <f>COUNTIFS(Table31[Country],Tabela1[[#This Row],[Country]],Table31[62kg Classification],"&gt;0")</f>
        <v>0</v>
      </c>
      <c r="MK3" s="6">
        <f>COUNTIFS(Table31[Country],Tabela1[[#This Row],[Country]],Table31[68kg Classification],"&gt;0")</f>
        <v>0</v>
      </c>
      <c r="ML3" s="6">
        <f>COUNTIFS(Table31[Country],Tabela1[[#This Row],[Country]],Table31[76kg Classification],"&gt;0")</f>
        <v>0</v>
      </c>
      <c r="MM3" s="6">
        <f>COUNTIFS(Table102[Country],Tabela1[[#This Row],[Country]],Table102[Downhill Classification],"&gt;0")</f>
        <v>2</v>
      </c>
      <c r="MN3" s="6">
        <f>COUNTIFS(Table102105[Country],Tabela1[[#This Row],[Country]],Table102105[Downhill Classification],"&gt;0")</f>
        <v>1</v>
      </c>
      <c r="MO3" s="6">
        <f>COUNTIFS(Table102[Country],Tabela1[[#This Row],[Country]],Table102[Giant Slalom Classification],"&gt;0")</f>
        <v>0</v>
      </c>
      <c r="MP3" s="6">
        <f>COUNTIFS(Table102105[Country],Tabela1[[#This Row],[Country]],Table102105[Giant Slalom Classification],"&gt;0")</f>
        <v>2</v>
      </c>
      <c r="MQ3" s="6">
        <f>COUNTIFS(Table102[Country],Tabela1[[#This Row],[Country]],Table102[Slalom Classification],"&gt;0")</f>
        <v>1</v>
      </c>
      <c r="MR3" s="6">
        <f>COUNTIFS(Table102105[Country],Tabela1[[#This Row],[Country]],Table102105[Slalom Classification],"&gt;0")</f>
        <v>2</v>
      </c>
      <c r="MS3" s="6">
        <f>COUNTIFS(Table102[Country],Tabela1[[#This Row],[Country]],Table102[Super-G Classification],"&gt;0")</f>
        <v>2</v>
      </c>
      <c r="MT3" s="6">
        <f>COUNTIFS(Table102105[Country],Tabela1[[#This Row],[Country]],Table102105[Super-G Classification],"&gt;0")</f>
        <v>1</v>
      </c>
      <c r="MU3" s="6">
        <f>COUNTIFS(Table105[Country],Tabela1[[#This Row],[Country]],Table105[Men''s Combined Classification],"&gt;0")</f>
        <v>2</v>
      </c>
      <c r="MV3" s="6">
        <f>COUNTIFS(Table105[Country],Tabela1[[#This Row],[Country]],Table105[Women''s Combined Classification],"&gt;0")</f>
        <v>1</v>
      </c>
      <c r="MW3" s="6">
        <f>COUNTIFS(Table106[Country],Tabela1[[#This Row],[Country]],Table106[Individual Classification],"&gt;0")</f>
        <v>2</v>
      </c>
      <c r="MX3" s="6">
        <f>COUNTIFS(Table106109[Country],Tabela1[[#This Row],[Country]],Table106109[Individual Classification],"&gt;0")</f>
        <v>1</v>
      </c>
      <c r="MY3" s="6">
        <f>COUNTIFS(Table106[Country],Tabela1[[#This Row],[Country]],Table106[Mass Start Classification],"&gt;0")</f>
        <v>2</v>
      </c>
      <c r="MZ3" s="6">
        <f>COUNTIFS(Table106109[Country],Tabela1[[#This Row],[Country]],Table106109[Mass Start Classification],"&gt;0")</f>
        <v>1</v>
      </c>
      <c r="NA3" s="6">
        <f>COUNTIFS(Table106[Country],Tabela1[[#This Row],[Country]],Table106[Pursuit Classification],"&gt;0")</f>
        <v>2</v>
      </c>
      <c r="NB3" s="6">
        <f>COUNTIFS(Table106109[Country],Tabela1[[#This Row],[Country]],Table106109[Pursuit Classification],"&gt;0")</f>
        <v>1</v>
      </c>
      <c r="NC3" s="6">
        <f>COUNTIFS(Table106[Country],Tabela1[[#This Row],[Country]],Table106[Sprint Classification],"&gt;0")</f>
        <v>2</v>
      </c>
      <c r="ND3" s="6">
        <f>COUNTIFS(Table106109[Country],Tabela1[[#This Row],[Country]],Table106109[Sprint Classification],"&gt;0")</f>
        <v>1</v>
      </c>
      <c r="NE3" s="6">
        <f>COUNTIFS(Table109[Country],Tabela1[[#This Row],[Country]],Table109[Men''s Relay Classification],"&gt;0")</f>
        <v>1</v>
      </c>
      <c r="NF3" s="6">
        <f>COUNTIFS(Table109[Country],Tabela1[[#This Row],[Country]],Table109[Women''s Relay Classification],"&gt;0")</f>
        <v>1</v>
      </c>
      <c r="NG3" s="6">
        <f>COUNTIFS(Table109[Country],Tabela1[[#This Row],[Country]],Table109[Mixed Relay Classification],"&gt;0")</f>
        <v>1</v>
      </c>
      <c r="NH3" s="6">
        <f>COUNTIFS(Table110[Country],Tabela1[[#This Row],[Country]],Table110[Monobob Classification],"&gt;0")</f>
        <v>0</v>
      </c>
      <c r="NI3" s="6">
        <f>COUNTIFS(Table111[Country],Tabela1[[#This Row],[Country]],Table111[Men''s Classification],"&gt;0")</f>
        <v>0</v>
      </c>
      <c r="NJ3" s="6">
        <f>COUNTIFS(Table111[Country],Tabela1[[#This Row],[Country]],Table111[Women''s Classification],"&gt;0")</f>
        <v>1</v>
      </c>
      <c r="NK3" s="6">
        <f>COUNTIFS(Table112[Country],Tabela1[[#This Row],[Country]],Table112[Men''s Four Classification],"&gt;0")</f>
        <v>1</v>
      </c>
      <c r="NL3" s="6">
        <f>COUNTIFS(Table113[Country],Tabela1[[#This Row],[Country]],Table113[Classical Classification],"&gt;0")</f>
        <v>0</v>
      </c>
      <c r="NM3" s="6">
        <f>COUNTIFS(Table113116[Country],Tabela1[[#This Row],[Country]],Table113116[Classical Classification],"&gt;0")</f>
        <v>1</v>
      </c>
      <c r="NN3" s="6">
        <f>COUNTIFS(Table113[Country],Tabela1[[#This Row],[Country]],Table113[Freestyle Classification],"&gt;0")</f>
        <v>0</v>
      </c>
      <c r="NO3" s="6">
        <f>COUNTIFS(Table113116[Country],Tabela1[[#This Row],[Country]],Table113116[Freestyle Classification],"&gt;0")</f>
        <v>2</v>
      </c>
      <c r="NP3" s="6">
        <f>COUNTIFS(Table117[Country],Tabela1[[#This Row],[Country]],Table117[Men''s Relay Classification],"&gt;0")</f>
        <v>0</v>
      </c>
      <c r="NQ3" s="6">
        <f>COUNTIFS(Table117[Country],Tabela1[[#This Row],[Country]],Table117[Women''s Relay Classification],"&gt;0")</f>
        <v>1</v>
      </c>
      <c r="NR3" s="6">
        <f>COUNTIFS(Table113[Country],Tabela1[[#This Row],[Country]],Table113[Skiathlon Classification],"&gt;0")</f>
        <v>0</v>
      </c>
      <c r="NS3" s="6">
        <f>COUNTIFS(Table113116[Country],Tabela1[[#This Row],[Country]],Table113116[Skiathlon Classification],"&gt;0")</f>
        <v>3</v>
      </c>
      <c r="NT3" s="6">
        <f>COUNTIFS(Table113[Country],Tabela1[[#This Row],[Country]],Table113[Sprint Classification],"&gt;0")</f>
        <v>1</v>
      </c>
      <c r="NU3" s="6">
        <f>COUNTIFS(Table113116[Country],Tabela1[[#This Row],[Country]],Table113116[Sprint Classification],"&gt;0")</f>
        <v>1</v>
      </c>
      <c r="NV3" s="6">
        <f>COUNTIFS(Table116[Country],Tabela1[[#This Row],[Country]],Table116[Men''s Team Sprint Classification],"&gt;0")</f>
        <v>0</v>
      </c>
      <c r="NW3" s="6">
        <f>COUNTIFS(Table116[Country],Tabela1[[#This Row],[Country]],Table116[Women''s Team Sprint Classification],"&gt;0")</f>
        <v>1</v>
      </c>
      <c r="NX3" s="6">
        <f>COUNTIFS(Table119[Country],Tabela1[[#This Row],[Country]],Table119[Men''s Classification],"&gt;0")</f>
        <v>0</v>
      </c>
      <c r="NY3" s="6">
        <f>COUNTIFS(Table119[Country],Tabela1[[#This Row],[Country]],Table119[Women''s Classification],"&gt;0")</f>
        <v>0</v>
      </c>
      <c r="NZ3" s="6">
        <f>COUNTIFS(Table118[Country],Tabela1[[#This Row],[Country]],Table118[Mixed Classification],"&gt;0")</f>
        <v>0</v>
      </c>
      <c r="OA3" s="6">
        <f>COUNTIFS(Table120[Country],Tabela1[[#This Row],[Country]],Table120[Classification],"&gt;0")</f>
        <v>1</v>
      </c>
      <c r="OB3" s="6">
        <f>COUNTIFS(Table120123[Country],Tabela1[[#This Row],[Country]],Table120123[Classification],"&gt;0")</f>
        <v>0</v>
      </c>
      <c r="OC3" s="6">
        <f>COUNTIFS(Table123[Country],Tabela1[[#This Row],[Country]],Table123[Ice Dance Classification],"&gt;0")</f>
        <v>2</v>
      </c>
      <c r="OD3" s="6">
        <f>COUNTIFS(Table123[Country],Tabela1[[#This Row],[Country]],Table123[Pair Skating Classification],"&gt;0")</f>
        <v>0</v>
      </c>
      <c r="OE3" s="6">
        <f>COUNTIFS(Table124[Country],Tabela1[[#This Row],[Country]],Table124[Mixed Classification],"&gt;0")</f>
        <v>1</v>
      </c>
      <c r="OF3" s="6">
        <f>COUNTIFS(Table125[Country],Tabela1[[#This Row],[Country]],Table125[Aerials Classification],"&gt;0")</f>
        <v>0</v>
      </c>
      <c r="OG3" s="6">
        <f>COUNTIFS(Table125128[Country],Tabela1[[#This Row],[Country]],Table125128[Aerials Classification],"&gt;0")</f>
        <v>0</v>
      </c>
      <c r="OH3" s="6">
        <f>COUNTIFS(Table128[Country],Tabela1[[#This Row],[Country]],Table128[Mixed Aerials Classification],"&gt;0")</f>
        <v>0</v>
      </c>
      <c r="OI3" s="6">
        <f>COUNTIFS(Table125[Country],Tabela1[[#This Row],[Country]],Table125[Big Air Classification],"&gt;0")</f>
        <v>0</v>
      </c>
      <c r="OJ3" s="6">
        <f>COUNTIFS(Table125128[Country],Tabela1[[#This Row],[Country]],Table125128[Big Air Classification],"&gt;0")</f>
        <v>1</v>
      </c>
      <c r="OK3" s="6">
        <f>COUNTIFS(Table125[Country],Tabela1[[#This Row],[Country]],Table125[Dual Moguls Classification],"&gt;0")</f>
        <v>2</v>
      </c>
      <c r="OL3" s="6">
        <f>COUNTIFS(Table125128[Country],Tabela1[[#This Row],[Country]],Table125128[Dual Moguls Classification],"&gt;0")</f>
        <v>1</v>
      </c>
      <c r="OM3" s="6">
        <f>COUNTIFS(Table125[Country],Tabela1[[#This Row],[Country]],Table125[Halfpipe Classification],"&gt;0")</f>
        <v>0</v>
      </c>
      <c r="ON3" s="6">
        <f>COUNTIFS(Table125128[Country],Tabela1[[#This Row],[Country]],Table125128[Halfpipe Classification],"&gt;0")</f>
        <v>0</v>
      </c>
      <c r="OO3" s="6">
        <f>COUNTIFS(Table125[Country],Tabela1[[#This Row],[Country]],Table125[Moguls Classification],"&gt;0")</f>
        <v>2</v>
      </c>
      <c r="OP3" s="6">
        <f>COUNTIFS(Table125128[Country],Tabela1[[#This Row],[Country]],Table125128[Moguls Classification],"&gt;0")</f>
        <v>1</v>
      </c>
      <c r="OQ3" s="6">
        <f>COUNTIFS(Table125[Country],Tabela1[[#This Row],[Country]],Table125[Ski Cross Classification],"&gt;0")</f>
        <v>2</v>
      </c>
      <c r="OR3" s="6">
        <f>COUNTIFS(Table125128[Country],Tabela1[[#This Row],[Country]],Table125128[Ski Cross Classification],"&gt;0")</f>
        <v>0</v>
      </c>
      <c r="OS3" s="6">
        <f>COUNTIFS(Table125[Country],Tabela1[[#This Row],[Country]],Table125[Slopestyle Classification],"&gt;0")</f>
        <v>0</v>
      </c>
      <c r="OT3" s="6">
        <f>COUNTIFS(Table125128[Country],Tabela1[[#This Row],[Country]],Table125128[Slopestyle Classification],"&gt;0")</f>
        <v>1</v>
      </c>
      <c r="OU3" s="6">
        <f>COUNTIFS(Table119131[Country],Tabela1[[#This Row],[Country]],Table119131[Men''s Classification],"&gt;0")</f>
        <v>1</v>
      </c>
      <c r="OV3" s="6">
        <f>COUNTIFS(Table119131[Country],Tabela1[[#This Row],[Country]],Table119131[Women''s Classification],"&gt;0")</f>
        <v>1</v>
      </c>
      <c r="OW3" s="6">
        <f>COUNTIFS(Table131[Country],Tabela1[[#This Row],[Country]],Table131[Classification],"&gt;0")</f>
        <v>0</v>
      </c>
      <c r="OX3" s="6">
        <f>COUNTIFS(Table131134[Country],Tabela1[[#This Row],[Country]],Table131134[Classification],"&gt;0")</f>
        <v>0</v>
      </c>
      <c r="OY3" s="6">
        <f>COUNTIFS(Table134[Country],Tabela1[[#This Row],[Country]],Table134[Men''s Classification],"&gt;0")</f>
        <v>0</v>
      </c>
      <c r="OZ3" s="6">
        <f>COUNTIFS(Table134[Country],Tabela1[[#This Row],[Country]],Table134[Women''s Classification],"&gt;0")</f>
        <v>0</v>
      </c>
      <c r="PA3" s="6">
        <f>COUNTIFS(Table135[Country],Tabela1[[#This Row],[Country]],Table135[Mixed Relay Classification],"&gt;0")</f>
        <v>0</v>
      </c>
      <c r="PB3" s="6">
        <f>COUNTIFS(Table136[Country],Tabela1[[#This Row],[Country]],Table136[Individual Classification],"&gt;0")</f>
        <v>3</v>
      </c>
      <c r="PC3" s="6">
        <f>COUNTIFS(Table136[Country],Tabela1[[#This Row],[Country]],Table136[Sprint Classification],"&gt;0")</f>
        <v>3</v>
      </c>
      <c r="PD3" s="6">
        <f>COUNTIFS(Table137[Country],Tabela1[[#This Row],[Country]],Table137[Men''s Team Sprint Large Hill Classification],"&gt;0")</f>
        <v>1</v>
      </c>
      <c r="PE3" s="6">
        <f>COUNTIFS(Table138[Country],Tabela1[[#This Row],[Country]],Table138[500m Classification],"&gt;0")</f>
        <v>0</v>
      </c>
      <c r="PF3" s="6">
        <f>COUNTIFS(Table138141[Country],Tabela1[[#This Row],[Country]],Table138141[500m Classification],"&gt;0")</f>
        <v>1</v>
      </c>
      <c r="PG3" s="6">
        <f>COUNTIFS(Table138[Country],Tabela1[[#This Row],[Country]],Table138[1000m Classification],"&gt;0")</f>
        <v>1</v>
      </c>
      <c r="PH3" s="6">
        <f>COUNTIFS(Table138141[Country],Tabela1[[#This Row],[Country]],Table138141[1000m Classification],"&gt;0")</f>
        <v>0</v>
      </c>
      <c r="PI3" s="6">
        <f>COUNTIFS(Table138[Country],Tabela1[[#This Row],[Country]],Table138[1500m Classification],"&gt;0")</f>
        <v>1</v>
      </c>
      <c r="PJ3" s="6">
        <f>COUNTIFS(Table138141[Country],Tabela1[[#This Row],[Country]],Table138141[1500m Classification],"&gt;0")</f>
        <v>0</v>
      </c>
      <c r="PK3" s="6">
        <f>COUNTIFS(Table141[Country],Tabela1[[#This Row],[Country]],Table141[Men''s 5000m Relay Classification],"&gt;0")</f>
        <v>0</v>
      </c>
      <c r="PL3" s="6">
        <f>COUNTIFS(Table141[Country],Tabela1[[#This Row],[Country]],Table141[Women''s 3000m Relay Classification],"&gt;0")</f>
        <v>1</v>
      </c>
      <c r="PM3" s="6">
        <f>COUNTIFS(Table141[Country],Tabela1[[#This Row],[Country]],Table141[Mixed 2000m Relay Classification],"&gt;0")</f>
        <v>1</v>
      </c>
      <c r="PN3" s="6">
        <f>COUNTIFS(Table142[Country],Tabela1[[#This Row],[Country]],Table142[Classification],"&gt;0")</f>
        <v>1</v>
      </c>
      <c r="PO3" s="6">
        <f>COUNTIFS(Table142145[Country],Tabela1[[#This Row],[Country]],Table142145[Classification],"&gt;0")</f>
        <v>0</v>
      </c>
      <c r="PP3" s="6">
        <f>COUNTIFS(Tabela15[Country],Tabela1[[#This Row],[Country]],Tabela15[Mixed Team Classification],"&gt;0")</f>
        <v>0</v>
      </c>
      <c r="PQ3" s="6">
        <f>COUNTIFS(Table145[Country],Tabela1[[#This Row],[Country]],Table145[Large Hill Classification],"&gt;0")</f>
        <v>1</v>
      </c>
      <c r="PR3" s="6">
        <f>COUNTIFS(Table145[Country],Tabela1[[#This Row],[Country]],Table145[Normal Hill Classification],"&gt;0")</f>
        <v>1</v>
      </c>
      <c r="PS3" s="6">
        <f>COUNTIFS(Table145148[Country],Tabela1[[#This Row],[Country]],Table145148[Large Hill Classification],"&gt;0")</f>
        <v>1</v>
      </c>
      <c r="PT3" s="6">
        <f>COUNTIFS(Table145148[Country],Tabela1[[#This Row],[Country]],Table145148[Normal Hill Classification],"&gt;0")</f>
        <v>1</v>
      </c>
      <c r="PU3" s="6">
        <f>COUNTIFS(Table148[Country],Tabela1[[#This Row],[Country]],Table148[Men''s Super Team Classification],"&gt;0")</f>
        <v>1</v>
      </c>
      <c r="PV3" s="6">
        <f>COUNTIFS(Tabela114[Country],Tabela1[[#This Row],[Country]],Tabela114[Mixed Normal Hill Classification],"&gt;0")</f>
        <v>1</v>
      </c>
      <c r="PW3" s="6">
        <f>COUNTIFS(Tabela50[Country],Tabela1[[#This Row],[Country]],Tabela50[Sprint Classification],"&gt;0")</f>
        <v>0</v>
      </c>
      <c r="PX3" s="6">
        <f>COUNTIFS(Tabela50101[Country],Tabela1[[#This Row],[Country]],Tabela50101[Sprint Classification],"&gt;0")</f>
        <v>0</v>
      </c>
      <c r="PY3" s="6">
        <f>COUNTIFS(Tabela103[Country],Tabela1[[#This Row],[Country]],Tabela103[Mixed Relay Classification],"&gt;0")</f>
        <v>0</v>
      </c>
      <c r="PZ3" s="6">
        <f>COUNTIFS(Table149[Country],Tabela1[[#This Row],[Country]],Table149[Big Air Classification],"&gt;0")</f>
        <v>2</v>
      </c>
      <c r="QA3" s="6">
        <f>COUNTIFS(Table149152[Country],Tabela1[[#This Row],[Country]],Table149152[Big Air Classification],"&gt;0")</f>
        <v>0</v>
      </c>
      <c r="QB3" s="6">
        <f>COUNTIFS(Table149[Country],Tabela1[[#This Row],[Country]],Table149[Halfpipe Classification],"&gt;0")</f>
        <v>0</v>
      </c>
      <c r="QC3" s="6">
        <f>COUNTIFS(Table149152[Country],Tabela1[[#This Row],[Country]],Table149152[Halfpipe Classification],"&gt;0")</f>
        <v>0</v>
      </c>
      <c r="QD3" s="6">
        <f>COUNTIFS(Table149[Country],Tabela1[[#This Row],[Country]],Table149[Parallel Giant Slalom Classification],"&gt;0")</f>
        <v>0</v>
      </c>
      <c r="QE3" s="6">
        <f>COUNTIFS(Table149152[Country],Tabela1[[#This Row],[Country]],Table149152[Parallel Giant Slalom Classification],"&gt;0")</f>
        <v>0</v>
      </c>
      <c r="QF3" s="6">
        <f>COUNTIFS(Table149[Country],Tabela1[[#This Row],[Country]],Table149[Slopestyle Classification],"&gt;0")</f>
        <v>2</v>
      </c>
      <c r="QG3" s="6">
        <f>COUNTIFS(Table149152[Country],Tabela1[[#This Row],[Country]],Table149152[Slopestyle Classification],"&gt;0")</f>
        <v>0</v>
      </c>
      <c r="QH3" s="6">
        <f>COUNTIFS(Table149[Country],Tabela1[[#This Row],[Country]],Table149[Snowboard Cross Classification],"&gt;0")</f>
        <v>2</v>
      </c>
      <c r="QI3" s="6">
        <f>COUNTIFS(Table149152[Country],Tabela1[[#This Row],[Country]],Table149152[Snowboard Cross Classification],"&gt;0")</f>
        <v>0</v>
      </c>
      <c r="QJ3" s="6">
        <f>COUNTIFS(Table153[Country],Tabela1[[#This Row],[Country]],Table153[Mixed Team Snowboard Cross Classification],"&gt;0")</f>
        <v>2</v>
      </c>
      <c r="QK3" s="6">
        <f>COUNTIFS(Table154[Country],Tabela1[[#This Row],[Country]],Table154[500m Classification],"&gt;0")</f>
        <v>0</v>
      </c>
      <c r="QL3" s="6">
        <f>COUNTIFS(Table154157[Country],Tabela1[[#This Row],[Country]],Table154157[500m Classification],"&gt;0")</f>
        <v>0</v>
      </c>
      <c r="QM3" s="6">
        <f>COUNTIFS(Table154[Country],Tabela1[[#This Row],[Country]],Table154[1000m Classification],"&gt;0")</f>
        <v>0</v>
      </c>
      <c r="QN3" s="6">
        <f>COUNTIFS(Table154157[Country],Tabela1[[#This Row],[Country]],Table154157[1000m Classification],"&gt;0")</f>
        <v>0</v>
      </c>
      <c r="QO3" s="6">
        <f>COUNTIFS(Table154[Country],Tabela1[[#This Row],[Country]],Table154[1500m Classification],"&gt;0")</f>
        <v>0</v>
      </c>
      <c r="QP3" s="6">
        <f>COUNTIFS(Table154157[Country],Tabela1[[#This Row],[Country]],Table154157[1500m Classification],"&gt;0")</f>
        <v>0</v>
      </c>
      <c r="QQ3" s="6">
        <f>COUNTIFS(Table154157[Country],Tabela1[[#This Row],[Country]],Table154157[3000m Classification],"&gt;0")</f>
        <v>1</v>
      </c>
      <c r="QR3" s="6">
        <f>COUNTIFS(Table154[Country],Tabela1[[#This Row],[Country]],Table154[5000m Classification],"&gt;0")</f>
        <v>1</v>
      </c>
      <c r="QS3" s="6">
        <f>COUNTIFS(Table154157[Country],Tabela1[[#This Row],[Country]],Table154157[5000m Classification],"&gt;0")</f>
        <v>0</v>
      </c>
      <c r="QT3" s="6">
        <f>COUNTIFS(Table154[Country],Tabela1[[#This Row],[Country]],Table154[10000m Classification],"&gt;0")</f>
        <v>1</v>
      </c>
      <c r="QU3" s="6">
        <f>COUNTIFS(Table154[Country],Tabela1[[#This Row],[Country]],Table154[Mass Start Classification],"&gt;0")</f>
        <v>2</v>
      </c>
      <c r="QV3" s="6">
        <f>COUNTIFS(Table154157[Country],Tabela1[[#This Row],[Country]],Table154157[Mass Start Classification],"&gt;0")</f>
        <v>1</v>
      </c>
      <c r="QW3" s="6">
        <f>COUNTIFS(Table157[Country],Tabela1[[#This Row],[Country]],Table157[Men''s Pursuit Classification],"&gt;0")</f>
        <v>1</v>
      </c>
      <c r="QX3" s="6">
        <f>COUNTIFS(Table157[Country],Tabela1[[#This Row],[Country]],Table157[Women''s Pursuit Classification],"&gt;0")</f>
        <v>0</v>
      </c>
      <c r="QY3" s="3" t="s">
        <v>345</v>
      </c>
    </row>
    <row r="4" spans="1:467" x14ac:dyDescent="0.3">
      <c r="A4" s="6">
        <v>3</v>
      </c>
      <c r="B4" s="6" t="s">
        <v>428</v>
      </c>
      <c r="C4" t="e" vm="3">
        <f>IF(ISBLANK(Tabela1[[#This Row],[Image Link]]), "", _xlfn.IMAGE(Tabela1[[#This Row],[Image Link]],1,1))</f>
        <v>#VALUE!</v>
      </c>
      <c r="D4" s="6">
        <f>SUM(Tabela1[[#This Row],[Archery - Men''s Individual Recurve]:[Speed Skating - Women''s Team Pursuit]])</f>
        <v>247</v>
      </c>
      <c r="E4" s="6">
        <f>COUNTIF(Tabela1[[#This Row],[Archery - Men''s Individual Recurve]:[Speed Skating - Women''s Team Pursuit]],"&gt;0")</f>
        <v>185</v>
      </c>
      <c r="F4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4" s="6">
        <f>SUM(Tabela1[[#This Row],[Archery - Men''s Individual Recurve]:[Wrestling - Women''s Freestyle 76kg]])</f>
        <v>153</v>
      </c>
      <c r="H4" s="6">
        <f>SUM(Tabela1[[#This Row],[Alpine Skiing - Men''s Downhill]:[Speed Skating - Women''s Team Pursuit]])</f>
        <v>94</v>
      </c>
      <c r="I4" s="6">
        <f>Tabela1[[#This Row],[Summer Gold Medals]]+Tabela1[[#This Row],[Winter Gold Medals]]</f>
        <v>25</v>
      </c>
      <c r="J4" s="6">
        <f>Tabela1[[#This Row],[Summer Silver Medals]]+Tabela1[[#This Row],[Winter Silver Medals]]</f>
        <v>19</v>
      </c>
      <c r="K4" s="6">
        <f>Tabela1[[#This Row],[Summer Bronze Medals]]+Tabela1[[#This Row],[Winter Bronze Medals]]</f>
        <v>25</v>
      </c>
      <c r="L4" s="6">
        <f>SUM(Tabela1[[#This Row],[Total Gold Medals]:[Total Bronze Medals]])</f>
        <v>69</v>
      </c>
      <c r="M4" s="6">
        <v>20</v>
      </c>
      <c r="N4" s="6">
        <v>12</v>
      </c>
      <c r="O4" s="6">
        <v>13</v>
      </c>
      <c r="P4" s="6">
        <f>SUM(Tabela1[[#This Row],[Summer Gold Medals]:[Summer Bronze Medals]])</f>
        <v>45</v>
      </c>
      <c r="Q4" s="6">
        <v>5</v>
      </c>
      <c r="R4" s="6">
        <v>7</v>
      </c>
      <c r="S4" s="6">
        <v>12</v>
      </c>
      <c r="T4" s="6">
        <f>Tabela1[[#This Row],[Winter Gold Medals]]+Tabela1[[#This Row],[Winter Silver Medals]]+Tabela1[[#This Row],[Winter Bronze Medals]]</f>
        <v>24</v>
      </c>
      <c r="U4" s="7">
        <f>Tabela1[[#This Row],[Total Medals]]/Tabela1[[#This Row],[Total Quotas]]</f>
        <v>0.2793522267206478</v>
      </c>
      <c r="V4" s="6">
        <f>COUNTIFS(Table3[Country],Tabela1[[#This Row],[Country]],Table3[Recurve Classification],"&gt;0")</f>
        <v>2</v>
      </c>
      <c r="W4" s="6">
        <f>COUNTIFS(Table33[Country],Tabela1[[#This Row],[Country]],Table33[Recurve Classification],"&gt;0")</f>
        <v>0</v>
      </c>
      <c r="X4" s="6">
        <f>COUNTIFS(Table35[Country],Tabela1[[#This Row],[Country]],Table35[Men''s Team Recurve Classification],"&gt;0")</f>
        <v>1</v>
      </c>
      <c r="Y4" s="6">
        <f>COUNTIFS(Table35[Country],Tabela1[[#This Row],[Country]],Table35[Women''s Team Recurve Classification],"&gt;0")</f>
        <v>0</v>
      </c>
      <c r="Z4" s="6">
        <f>COUNTIFS(Tabela88[Country],Tabela1[[#This Row],[Country]],Tabela88[Mixed Team Recurve Classification],"&gt;0")</f>
        <v>0</v>
      </c>
      <c r="AA4" s="6">
        <f>COUNTIFS(Table36[Country],Tabela1[[#This Row],[Country]],Table36[Classification],"&gt;0")</f>
        <v>0</v>
      </c>
      <c r="AB4" s="6">
        <f>COUNTIFS(Table37[Country],Tabela1[[#This Row],[Country]],Table37[Classification],"&gt;0")</f>
        <v>1</v>
      </c>
      <c r="AC4" s="6">
        <f>COUNTIFS(Table4[Country],Tabela1[[#This Row],[Country]],Table4[100m Classification],"&gt;0")</f>
        <v>1</v>
      </c>
      <c r="AD4" s="6">
        <f>COUNTIFS(Table5[Country],Tabela1[[#This Row],[Country]],Table5[100m Classification],"&gt;0")</f>
        <v>0</v>
      </c>
      <c r="AE4" s="6">
        <f>COUNTIFS(Table4[Country],Tabela1[[#This Row],[Country]],Table4[200m Classification],"&gt;0")</f>
        <v>1</v>
      </c>
      <c r="AF4" s="6">
        <f>COUNTIFS(Table5[Country],Tabela1[[#This Row],[Country]],Table5[200m Classification],"&gt;0")</f>
        <v>0</v>
      </c>
      <c r="AG4" s="6">
        <f>COUNTIFS(Table4[Country],Tabela1[[#This Row],[Country]],Table4[400m Classification],"&gt;0")</f>
        <v>1</v>
      </c>
      <c r="AH4" s="6">
        <f>COUNTIFS(Table5[Country],Tabela1[[#This Row],[Country]],Table5[400m Classification],"&gt;0")</f>
        <v>0</v>
      </c>
      <c r="AI4" s="6">
        <f>COUNTIFS(Table4[Country],Tabela1[[#This Row],[Country]],Table4[800m Classification],"&gt;0")</f>
        <v>0</v>
      </c>
      <c r="AJ4" s="6">
        <f>COUNTIFS(Table5[Country],Tabela1[[#This Row],[Country]],Table5[800m Classification],"&gt;0")</f>
        <v>0</v>
      </c>
      <c r="AK4" s="6">
        <f>COUNTIFS(Table4[Country],Tabela1[[#This Row],[Country]],Table4[1500m Classification],"&gt;0")</f>
        <v>0</v>
      </c>
      <c r="AL4" s="6">
        <f>COUNTIFS(Table5[Country],Tabela1[[#This Row],[Country]],Table5[1500m Classification],"&gt;0")</f>
        <v>1</v>
      </c>
      <c r="AM4" s="6">
        <f>COUNTIFS(Table4[Country],Tabela1[[#This Row],[Country]],Table4[5000m Classification],"&gt;0")</f>
        <v>0</v>
      </c>
      <c r="AN4" s="6">
        <f>COUNTIFS(Table5[Country],Tabela1[[#This Row],[Country]],Table5[5000m Classification],"&gt;0")</f>
        <v>2</v>
      </c>
      <c r="AO4" s="6">
        <f>COUNTIFS(Table4[Country],Tabela1[[#This Row],[Country]],Table4[10000m Classification],"&gt;0")</f>
        <v>2</v>
      </c>
      <c r="AP4" s="6">
        <f>COUNTIFS(Table5[Country],Tabela1[[#This Row],[Country]],Table5[10000m Classification],"&gt;0")</f>
        <v>0</v>
      </c>
      <c r="AQ4" s="6">
        <f>COUNTIFS(Table4[Country],Tabela1[[#This Row],[Country]],Table4[110m Hurdles Classification],"&gt;0")</f>
        <v>1</v>
      </c>
      <c r="AR4" s="6">
        <f>COUNTIFS(Table5[Country],Tabela1[[#This Row],[Country]],Table5[100m Hurdles Classification],"&gt;0")</f>
        <v>1</v>
      </c>
      <c r="AS4" s="6">
        <f>COUNTIFS(Table4[Country],Tabela1[[#This Row],[Country]],Table4[400m Hurdles Classification],"&gt;0")</f>
        <v>3</v>
      </c>
      <c r="AT4" s="6">
        <f>COUNTIFS(Table5[Country],Tabela1[[#This Row],[Country]],Table5[400m Hurdles Classification],"&gt;0")</f>
        <v>0</v>
      </c>
      <c r="AU4" s="6">
        <f>COUNTIFS(Table4[Country],Tabela1[[#This Row],[Country]],Table4[3000m Steeplechase Classification],"&gt;0")</f>
        <v>0</v>
      </c>
      <c r="AV4" s="6">
        <f>COUNTIFS(Table5[Country],Tabela1[[#This Row],[Country]],Table5[3000m Steeplechase Classification],"&gt;0")</f>
        <v>0</v>
      </c>
      <c r="AW4" s="6">
        <f>COUNTIFS(Table27[Country],Tabela1[[#This Row],[Country]],Table27[Men''s 4x100m Relay Classification],"&gt;0")</f>
        <v>1</v>
      </c>
      <c r="AX4" s="6">
        <f>COUNTIFS(Table27[Country],Tabela1[[#This Row],[Country]],Table27[Women''s 4x100m Relay Classification],"&gt;0")</f>
        <v>0</v>
      </c>
      <c r="AY4" s="6">
        <f>COUNTIFS(Table27[Country],Tabela1[[#This Row],[Country]],Table27[Men''s 4x400m Relay Classification],"&gt;0")</f>
        <v>1</v>
      </c>
      <c r="AZ4" s="6">
        <f>COUNTIFS(Table27[Country],Tabela1[[#This Row],[Country]],Table27[Women''s 4x400m Relay Classification],"&gt;0")</f>
        <v>0</v>
      </c>
      <c r="BA4" s="6">
        <f>COUNTIFS(Table27[Country],Tabela1[[#This Row],[Country]],Table27[Mixed 4x400m Relay Classification],"&gt;0")</f>
        <v>0</v>
      </c>
      <c r="BB4" s="6">
        <f>COUNTIFS(Table4[Country],Tabela1[[#This Row],[Country]],Table4[Marathon Classification],"&gt;0")</f>
        <v>2</v>
      </c>
      <c r="BC4" s="6">
        <f>COUNTIFS(Table5[Country],Tabela1[[#This Row],[Country]],Table5[Marathon Classification],"&gt;0")</f>
        <v>1</v>
      </c>
      <c r="BD4" s="6">
        <f>COUNTIFS(Table4[Country],Tabela1[[#This Row],[Country]],Table4[20km Race Walk Classification],"&gt;0")</f>
        <v>2</v>
      </c>
      <c r="BE4" s="6">
        <f>COUNTIFS(Table5[Country],Tabela1[[#This Row],[Country]],Table5[20km Race Walk Classification],"&gt;0")</f>
        <v>0</v>
      </c>
      <c r="BF4" s="6">
        <f>COUNTIFS(Tabela96[Country],Tabela1[[#This Row],[Country]],Tabela96[Mixed Marathon Race Walk Relay Classification],"&gt;0")</f>
        <v>1</v>
      </c>
      <c r="BG4" s="6">
        <f>COUNTIFS(Table4[Country],Tabela1[[#This Row],[Country]],Table4[Discus Throw Classification],"&gt;0")</f>
        <v>0</v>
      </c>
      <c r="BH4" s="6">
        <f>COUNTIFS(Table5[Country],Tabela1[[#This Row],[Country]],Table5[Discus Throw Classification],"&gt;0")</f>
        <v>0</v>
      </c>
      <c r="BI4" s="6">
        <f>COUNTIFS(Table4[Country],Tabela1[[#This Row],[Country]],Table4[Hammer Throw Classification],"&gt;0")</f>
        <v>0</v>
      </c>
      <c r="BJ4" s="6">
        <f>COUNTIFS(Table5[Country],Tabela1[[#This Row],[Country]],Table5[Hammer Throw Classification],"&gt;0")</f>
        <v>0</v>
      </c>
      <c r="BK4" s="6">
        <f>COUNTIFS(Table4[Country],Tabela1[[#This Row],[Country]],Table4[High Jump Classification],"&gt;0")</f>
        <v>1</v>
      </c>
      <c r="BL4" s="6">
        <f>COUNTIFS(Table5[Country],Tabela1[[#This Row],[Country]],Table5[High Jump Classification],"&gt;0")</f>
        <v>0</v>
      </c>
      <c r="BM4" s="6">
        <f>COUNTIFS(Table4[Country],Tabela1[[#This Row],[Country]],Table4[Javelin Throw Classification],"&gt;0")</f>
        <v>0</v>
      </c>
      <c r="BN4" s="6">
        <f>COUNTIFS(Table5[Country],Tabela1[[#This Row],[Country]],Table5[Javelin Throw Classification],"&gt;0")</f>
        <v>1</v>
      </c>
      <c r="BO4" s="6">
        <f>COUNTIFS(Table4[Country],Tabela1[[#This Row],[Country]],Table4[Long Jump Classification],"&gt;0")</f>
        <v>0</v>
      </c>
      <c r="BP4" s="6">
        <f>COUNTIFS(Table5[Country],Tabela1[[#This Row],[Country]],Table5[Long Jump Classification],"&gt;0")</f>
        <v>1</v>
      </c>
      <c r="BQ4" s="6">
        <f>COUNTIFS(Table4[Country],Tabela1[[#This Row],[Country]],Table4[Pole Vault Classification],"&gt;0")</f>
        <v>0</v>
      </c>
      <c r="BR4" s="6">
        <f>COUNTIFS(Table5[Country],Tabela1[[#This Row],[Country]],Table5[Pole Vault Classification],"&gt;0")</f>
        <v>0</v>
      </c>
      <c r="BS4" s="6">
        <f>COUNTIFS(Table4[Country],Tabela1[[#This Row],[Country]],Table4[Shot Put Classification],"&gt;0")</f>
        <v>0</v>
      </c>
      <c r="BT4" s="6">
        <f>COUNTIFS(Table5[Country],Tabela1[[#This Row],[Country]],Table5[Shot Put Classification],"&gt;0")</f>
        <v>0</v>
      </c>
      <c r="BU4" s="6">
        <f>COUNTIFS(Table4[Country],Tabela1[[#This Row],[Country]],Table4[Triple Jump Classification],"&gt;0")</f>
        <v>0</v>
      </c>
      <c r="BV4" s="6">
        <f>COUNTIFS(Table5[Country],Tabela1[[#This Row],[Country]],Table5[Triple Jump Classification],"&gt;0")</f>
        <v>1</v>
      </c>
      <c r="BW4" s="6">
        <f>COUNTIFS(Table4[Country],Tabela1[[#This Row],[Country]],Table4[Decathlon Classification],"&gt;0")</f>
        <v>0</v>
      </c>
      <c r="BX4" s="6">
        <f>COUNTIFS(Table5[Country],Tabela1[[#This Row],[Country]],Table5[Heptathlon Classification],"&gt;0")</f>
        <v>0</v>
      </c>
      <c r="BY4" s="6">
        <f>COUNTIFS(Table61[Country],Tabela1[[#This Row],[Country]],Table61[Classification],"&gt;0")</f>
        <v>2</v>
      </c>
      <c r="BZ4" s="6">
        <f>COUNTIFS(Table38[Country],Tabela1[[#This Row],[Country]],Table38[Classification],"&gt;0")</f>
        <v>0</v>
      </c>
      <c r="CA4" s="6">
        <f>COUNTIFS(Table39[Country],Tabela1[[#This Row],[Country]],Table39[Men''s Classification],"&gt;0")</f>
        <v>0</v>
      </c>
      <c r="CB4" s="6">
        <f>COUNTIFS(Table39[Country],Tabela1[[#This Row],[Country]],Table39[Women''s Classification],"&gt;0")</f>
        <v>1</v>
      </c>
      <c r="CC4" s="6">
        <f>COUNTIFS(Table39[Country],Tabela1[[#This Row],[Country]],Table39[Mixed Classification],"&gt;0")</f>
        <v>1</v>
      </c>
      <c r="CD4" s="6">
        <f>COUNTIFS(Table89[Country],Tabela1[[#This Row],[Country]],Table89[Men''s Classification],"&gt;0")</f>
        <v>1</v>
      </c>
      <c r="CE4" s="6">
        <f>COUNTIFS(Table89[Country],Tabela1[[#This Row],[Country]],Table89[Women''s Classification],"&gt;0")</f>
        <v>1</v>
      </c>
      <c r="CF4" s="6">
        <f>COUNTIFS(Table90[Country],Tabela1[[#This Row],[Country]],Table90[Men''s Classification],"&gt;0")</f>
        <v>0</v>
      </c>
      <c r="CG4" s="6">
        <f>COUNTIFS(Table90[Country],Tabela1[[#This Row],[Country]],Table90[Women''s Classification],"&gt;0")</f>
        <v>0</v>
      </c>
      <c r="CH4" s="6">
        <f>COUNTIFS(Table60[Country],Tabela1[[#This Row],[Country]],Table60[Men''s Classification],"&gt;0")</f>
        <v>0</v>
      </c>
      <c r="CI4" s="6">
        <f>COUNTIFS(Table60[Country],Tabela1[[#This Row],[Country]],Table60[Women''s Classification],"&gt;0")</f>
        <v>1</v>
      </c>
      <c r="CJ4" s="6">
        <f>COUNTIFS(Table6[Country],Tabela1[[#This Row],[Country]],Table6[51kg Classification],"&gt;0")</f>
        <v>0</v>
      </c>
      <c r="CK4" s="6">
        <f>COUNTIFS(Table6[Country],Tabela1[[#This Row],[Country]],Table6[57kg Classification],"&gt;0")</f>
        <v>0</v>
      </c>
      <c r="CL4" s="6">
        <f>COUNTIFS(Table6[Country],Tabela1[[#This Row],[Country]],Table6[63.5kg Classification],"&gt;0")</f>
        <v>0</v>
      </c>
      <c r="CM4" s="6">
        <f>COUNTIFS(Table6[Country],Tabela1[[#This Row],[Country]],Table6[71kg Classification],"&gt;0")</f>
        <v>1</v>
      </c>
      <c r="CN4" s="6">
        <f>COUNTIFS(Table6[Country],Tabela1[[#This Row],[Country]],Table6[80kg Classification],"&gt;0")</f>
        <v>0</v>
      </c>
      <c r="CO4" s="6">
        <f>COUNTIFS(Table6[Country],Tabela1[[#This Row],[Country]],Table6[92kg Classification],"&gt;0")</f>
        <v>0</v>
      </c>
      <c r="CP4" s="6">
        <f>COUNTIFS(Table6[Country],Tabela1[[#This Row],[Country]],Table6[Plus 92kg Classification],"&gt;0")</f>
        <v>0</v>
      </c>
      <c r="CQ4" s="6">
        <f>COUNTIFS(Table7[Country],Tabela1[[#This Row],[Country]],Table7[50kg Classification],"&gt;0")</f>
        <v>0</v>
      </c>
      <c r="CR4" s="6">
        <f>COUNTIFS(Table7[Country],Tabela1[[#This Row],[Country]],Table7[54kg Classification],"&gt;0")</f>
        <v>0</v>
      </c>
      <c r="CS4" s="6">
        <f>COUNTIFS(Table7[Country],Tabela1[[#This Row],[Country]],Table7[57kg Classification],"&gt;0")</f>
        <v>0</v>
      </c>
      <c r="CT4" s="6">
        <f>COUNTIFS(Table7[Country],Tabela1[[#This Row],[Country]],Table7[60kg Classification],"&gt;0")</f>
        <v>0</v>
      </c>
      <c r="CU4" s="6">
        <f>COUNTIFS(Table7[Country],Tabela1[[#This Row],[Country]],Table7[66kg Classification],"&gt;0")</f>
        <v>0</v>
      </c>
      <c r="CV4" s="6">
        <f>COUNTIFS(Table7[Country],Tabela1[[#This Row],[Country]],Table7[75kg Classification],"&gt;0")</f>
        <v>0</v>
      </c>
      <c r="CW4" s="6">
        <f>COUNTIFS(Tabela94[Country],Tabela1[[#This Row],[Country]],Tabela94[Classification],"&gt;0")</f>
        <v>1</v>
      </c>
      <c r="CX4" s="6">
        <f>COUNTIFS(Tabela9499[Country],Tabela1[[#This Row],[Country]],Tabela9499[Classification],"&gt;0")</f>
        <v>0</v>
      </c>
      <c r="CY4" s="6">
        <f>COUNTIFS(Tabela107[Country],Tabela1[[#This Row],[Country]],Tabela107[C1 Slalom Classification],"&gt;0")</f>
        <v>1</v>
      </c>
      <c r="CZ4" s="6">
        <f>COUNTIFS(Tabela107122[Country],Tabela1[[#This Row],[Country]],Tabela107122[C1 Slalom Classification],"&gt;0")</f>
        <v>0</v>
      </c>
      <c r="DA4" s="6">
        <f>COUNTIFS(Tabela107[Country],Tabela1[[#This Row],[Country]],Tabela107[K1 Slalom Classification],"&gt;0")</f>
        <v>0</v>
      </c>
      <c r="DB4" s="6">
        <f>COUNTIFS(Tabela107122[Country],Tabela1[[#This Row],[Country]],Tabela107122[K1 Slalom Classification],"&gt;0")</f>
        <v>0</v>
      </c>
      <c r="DC4" s="6">
        <f>COUNTIFS(Tabela107[Country],Tabela1[[#This Row],[Country]],Tabela107[Kayak Cross Slalom Classification],"&gt;0")</f>
        <v>0</v>
      </c>
      <c r="DD4" s="6">
        <f>COUNTIFS(Tabela107122[Country],Tabela1[[#This Row],[Country]],Tabela107122[Kayak Cross Slalom Classification],"&gt;0")</f>
        <v>0</v>
      </c>
      <c r="DE4" s="6">
        <f>COUNTIFS(Table8[Country],Tabela1[[#This Row],[Country]],Table8[C1 200m Classification],"&gt;0")</f>
        <v>0</v>
      </c>
      <c r="DF4" s="6">
        <f>COUNTIFS(Table40[Country],Tabela1[[#This Row],[Country]],Table40[C1 1000m Classification],"&gt;0")</f>
        <v>0</v>
      </c>
      <c r="DG4" s="6">
        <f>COUNTIFS(Table68[Country],Tabela1[[#This Row],[Country]],Table68[Men''s C2 500m Classification],"&gt;0")</f>
        <v>0</v>
      </c>
      <c r="DH4" s="6">
        <f>COUNTIFS(Table68[Country],Tabela1[[#This Row],[Country]],Table68[Women''s C2 500m Classification],"&gt;0")</f>
        <v>0</v>
      </c>
      <c r="DI4" s="6">
        <f>COUNTIFS(Table8[Country],Tabela1[[#This Row],[Country]],Table8[K1 500m Classification],"&gt;0")</f>
        <v>0</v>
      </c>
      <c r="DJ4" s="6">
        <f>COUNTIFS(Table40[Country],Tabela1[[#This Row],[Country]],Table40[K1 1000m Classification],"&gt;0")</f>
        <v>0</v>
      </c>
      <c r="DK4" s="6">
        <f>COUNTIFS(Table68[Country],Tabela1[[#This Row],[Country]],Table68[Men''s K2 500m Classification],"&gt;0")</f>
        <v>0</v>
      </c>
      <c r="DL4" s="6">
        <f>COUNTIFS(Table68[Country],Tabela1[[#This Row],[Country]],Table68[Women''s K2 500m Classification],"&gt;0")</f>
        <v>0</v>
      </c>
      <c r="DM4" s="6">
        <f>COUNTIFS(Table83[Country],Tabela1[[#This Row],[Country]],Table83[Men''s K4 500m Classification],"&gt;0")</f>
        <v>0</v>
      </c>
      <c r="DN4" s="6">
        <f>COUNTIFS(Table83[Country],Tabela1[[#This Row],[Country]],Table83[Women''s K4 500m Classification],"&gt;0")</f>
        <v>0</v>
      </c>
      <c r="DO4" s="6">
        <f>COUNTIFS(Tabela126[Country],Tabela1[[#This Row],[Country]],Tabela126[Classification],"&gt;0")</f>
        <v>0</v>
      </c>
      <c r="DP4" s="6">
        <f>COUNTIFS(Tabela126130[Country],Tabela1[[#This Row],[Country]],Tabela126130[Classification],"&gt;0")</f>
        <v>0</v>
      </c>
      <c r="DQ4" s="6">
        <f>COUNTIFS(Table70[Country],Tabela1[[#This Row],[Country]],Table70[Classification],"&gt;0")</f>
        <v>0</v>
      </c>
      <c r="DR4" s="6">
        <f>COUNTIFS(Table80[Country],Tabela1[[#This Row],[Country]],Table80[Classification],"&gt;0")</f>
        <v>0</v>
      </c>
      <c r="DS4" s="6">
        <f>COUNTIFS(Table66[Country],Tabela1[[#This Row],[Country]],Table66[Classification],"&gt;0")</f>
        <v>0</v>
      </c>
      <c r="DT4" s="6">
        <f>COUNTIFS(Table67[Country],Tabela1[[#This Row],[Country]],Table67[Classification],"&gt;0")</f>
        <v>0</v>
      </c>
      <c r="DU4" s="6">
        <f>COUNTIFS(Table69[Country],Tabela1[[#This Row],[Country]],Table69[Keirin Classification],"&gt;0")</f>
        <v>0</v>
      </c>
      <c r="DV4" s="6">
        <f>COUNTIFS(Table41[Country],Tabela1[[#This Row],[Country]],Table41[Keirin Classification],"&gt;0")</f>
        <v>0</v>
      </c>
      <c r="DW4" s="6">
        <f>COUNTIFS(Table84[Country],Tabela1[[#This Row],[Country]],Table84[Men''s Madison Classification],"&gt;0")</f>
        <v>0</v>
      </c>
      <c r="DX4" s="6">
        <f>COUNTIFS(Table84[Country],Tabela1[[#This Row],[Country]],Table84[Women''s Madison Classification],"&gt;0")</f>
        <v>1</v>
      </c>
      <c r="DY4" s="6">
        <f>COUNTIFS(Table69[Country],Tabela1[[#This Row],[Country]],Table69[Omnium Classification],"&gt;0")</f>
        <v>0</v>
      </c>
      <c r="DZ4" s="6">
        <f>COUNTIFS(Table41[Country],Tabela1[[#This Row],[Country]],Table41[Omnium Classification],"&gt;0")</f>
        <v>0</v>
      </c>
      <c r="EA4" s="6">
        <f>COUNTIFS(Table9[Country],Tabela1[[#This Row],[Country]],Table9[Road Race Classification],"&gt;0")</f>
        <v>1</v>
      </c>
      <c r="EB4" s="6">
        <f>COUNTIFS(Table14[Country],Tabela1[[#This Row],[Country]],Table14[Road Race Classification],"&gt;0")</f>
        <v>1</v>
      </c>
      <c r="EC4" s="6">
        <f>COUNTIFS(Table69[Country],Tabela1[[#This Row],[Country]],Table69[Sprint Classification],"&gt;0")</f>
        <v>1</v>
      </c>
      <c r="ED4" s="6">
        <f>COUNTIFS(Table41[Country],Tabela1[[#This Row],[Country]],Table41[Sprint Classification],"&gt;0")</f>
        <v>0</v>
      </c>
      <c r="EE4" s="6">
        <f>COUNTIFS(Table85[Country],Tabela1[[#This Row],[Country]],Table85[Men''s Sprint Classification],"&gt;0")</f>
        <v>1</v>
      </c>
      <c r="EF4" s="6">
        <f>COUNTIFS(Table85[Country],Tabela1[[#This Row],[Country]],Table85[Women''s Sprint Classification],"&gt;0")</f>
        <v>0</v>
      </c>
      <c r="EG4" s="6">
        <f>COUNTIFS(Table85[Country],Tabela1[[#This Row],[Country]],Table85[Men''s Pursuit Classification],"&gt;0")</f>
        <v>1</v>
      </c>
      <c r="EH4" s="6">
        <f>COUNTIFS(Table85[Country],Tabela1[[#This Row],[Country]],Table85[Women''s Pursuit Classification],"&gt;0")</f>
        <v>1</v>
      </c>
      <c r="EI4" s="6">
        <f>COUNTIFS(Table9[Country],Tabela1[[#This Row],[Country]],Table9[Time-Trial Classification],"&gt;0")</f>
        <v>0</v>
      </c>
      <c r="EJ4" s="6">
        <f>COUNTIFS(Table14[Country],Tabela1[[#This Row],[Country]],Table14[Time-Trial Classification],"&gt;0")</f>
        <v>0</v>
      </c>
      <c r="EK4" s="6">
        <f>COUNTIFS(Table42[Country],Tabela1[[#This Row],[Country]],Table42[Springboard Classification],"&gt;0")</f>
        <v>0</v>
      </c>
      <c r="EL4" s="6">
        <f>COUNTIFS(Table43[Country],Tabela1[[#This Row],[Country]],Table43[Springboard Classification],"&gt;0")</f>
        <v>1</v>
      </c>
      <c r="EM4" s="6">
        <f>COUNTIFS(Table42[Country],Tabela1[[#This Row],[Country]],Table42[Platform Classification],"&gt;0")</f>
        <v>0</v>
      </c>
      <c r="EN4" s="6">
        <f>COUNTIFS(Table43[Country],Tabela1[[#This Row],[Country]],Table43[Platform Classification],"&gt;0")</f>
        <v>0</v>
      </c>
      <c r="EO4" s="6">
        <f>COUNTIFS(Table86[Country],Tabela1[[#This Row],[Country]],Table86[Men''s Synchronized Springboard Classification],"&gt;0")</f>
        <v>0</v>
      </c>
      <c r="EP4" s="6">
        <f>COUNTIFS(Table86[Country],Tabela1[[#This Row],[Country]],Table86[Women''s Synchronized Springboard Classification],"&gt;0")</f>
        <v>0</v>
      </c>
      <c r="EQ4" s="6">
        <f>COUNTIFS(Table86[Country],Tabela1[[#This Row],[Country]],Table86[Men''s Synchronized Platform Classification],"&gt;0")</f>
        <v>0</v>
      </c>
      <c r="ER4" s="6">
        <f>COUNTIFS(Table86[Country],Tabela1[[#This Row],[Country]],Table86[Women''s Synchronized Platform Classification],"&gt;0")</f>
        <v>0</v>
      </c>
      <c r="ES4" s="6">
        <f>COUNTIFS(Table44[Country],Tabela1[[#This Row],[Country]],Table44[Dressage Classification],"&gt;0")</f>
        <v>0</v>
      </c>
      <c r="ET4" s="6">
        <f>COUNTIFS(Table45[Country],Tabela1[[#This Row],[Country]],Table45[Dressage Classification],"&gt;0")</f>
        <v>0</v>
      </c>
      <c r="EU4" s="6">
        <f>COUNTIFS(Table44[Country],Tabela1[[#This Row],[Country]],Table44[Eventing Classification],"&gt;0")</f>
        <v>2</v>
      </c>
      <c r="EV4" s="6">
        <f>COUNTIFS(Table45[Country],Tabela1[[#This Row],[Country]],Table45[Eventing Classification],"&gt;0")</f>
        <v>1</v>
      </c>
      <c r="EW4" s="6">
        <f>COUNTIFS(Table44[Country],Tabela1[[#This Row],[Country]],Table44[Jumping Classification],"&gt;0")</f>
        <v>1</v>
      </c>
      <c r="EX4" s="6">
        <f>COUNTIFS(Table45[Country],Tabela1[[#This Row],[Country]],Table45[Jumping Classification],"&gt;0")</f>
        <v>1</v>
      </c>
      <c r="EY4" s="6">
        <f>COUNTIFS(Table10[Country],Tabela1[[#This Row],[Country]],Table10[Épée Classification],"&gt;0")</f>
        <v>2</v>
      </c>
      <c r="EZ4" s="6">
        <f>COUNTIFS(Table11[Country],Tabela1[[#This Row],[Country]],Table11[Épée Classification],"&gt;0")</f>
        <v>1</v>
      </c>
      <c r="FA4" s="6">
        <f>COUNTIFS(Table46[Country],Tabela1[[#This Row],[Country]],Table46[Men''s Épée Classification],"&gt;0")</f>
        <v>1</v>
      </c>
      <c r="FB4" s="6">
        <f>COUNTIFS(Table46[Country],Tabela1[[#This Row],[Country]],Table46[Women''s Épée Classification],"&gt;0")</f>
        <v>0</v>
      </c>
      <c r="FC4" s="6">
        <f>COUNTIFS(Table10[Country],Tabela1[[#This Row],[Country]],Table10[Foil Classification],"&gt;0")</f>
        <v>1</v>
      </c>
      <c r="FD4" s="6">
        <f>COUNTIFS(Table11[Country],Tabela1[[#This Row],[Country]],Table11[Foil Classification],"&gt;0")</f>
        <v>3</v>
      </c>
      <c r="FE4" s="6">
        <f>COUNTIFS(Table46[Country],Tabela1[[#This Row],[Country]],Table46[Men''s Foil Classification],"&gt;0")</f>
        <v>1</v>
      </c>
      <c r="FF4" s="6">
        <f>COUNTIFS(Table46[Country],Tabela1[[#This Row],[Country]],Table46[Women''s Foil Classification],"&gt;0")</f>
        <v>1</v>
      </c>
      <c r="FG4" s="6">
        <f>COUNTIFS(Table10[Country],Tabela1[[#This Row],[Country]],Table10[Sabre Classification],"&gt;0")</f>
        <v>0</v>
      </c>
      <c r="FH4" s="6">
        <f>COUNTIFS(Table11[Country],Tabela1[[#This Row],[Country]],Table11[Sabre Classification],"&gt;0")</f>
        <v>1</v>
      </c>
      <c r="FI4" s="6">
        <f>COUNTIFS(Table46[Country],Tabela1[[#This Row],[Country]],Table46[Men''s Sabre Classification],"&gt;0")</f>
        <v>0</v>
      </c>
      <c r="FJ4" s="6">
        <f>COUNTIFS(Table46[Country],Tabela1[[#This Row],[Country]],Table46[Women''s Sabre Classification],"&gt;0")</f>
        <v>1</v>
      </c>
      <c r="FK4" s="6">
        <f>COUNTIFS(Table91[Country],Tabela1[[#This Row],[Country]],Table91[Men''s Classification],"&gt;0")</f>
        <v>0</v>
      </c>
      <c r="FL4" s="6">
        <f>COUNTIFS(Table91[Country],Tabela1[[#This Row],[Country]],Table91[Women''s Classification],"&gt;0")</f>
        <v>1</v>
      </c>
      <c r="FM4" s="6">
        <f>COUNTIFS(Table9194[Country],Tabela1[[#This Row],[Country]],Table9194[Men''s Classification],"&gt;0")</f>
        <v>1</v>
      </c>
      <c r="FN4" s="6">
        <f>COUNTIFS(Table9194[Country],Tabela1[[#This Row],[Country]],Table9194[Women''s Classification],"&gt;0")</f>
        <v>1</v>
      </c>
      <c r="FO4" s="6">
        <f>COUNTIFS(Table71[Country],Tabela1[[#This Row],[Country]],Table71[Classification],"&gt;0")</f>
        <v>1</v>
      </c>
      <c r="FP4" s="6">
        <f>COUNTIFS(Table62[Country],Tabela1[[#This Row],[Country]],Table62[Classification],"&gt;0")</f>
        <v>2</v>
      </c>
      <c r="FQ4" s="6">
        <f>COUNTIFS(Table47[Country],Tabela1[[#This Row],[Country]],Table47[All-Around Classification],"&gt;0")</f>
        <v>0</v>
      </c>
      <c r="FR4" s="6">
        <f>COUNTIFS(Table48[Country],Tabela1[[#This Row],[Country]],Table48[All-Around Classification],"&gt;0")</f>
        <v>2</v>
      </c>
      <c r="FS4" s="6">
        <f>COUNTIFS(Table81[Country],Tabela1[[#This Row],[Country]],Table81[Men''s All-Around Classification],"&gt;0")</f>
        <v>1</v>
      </c>
      <c r="FT4" s="6">
        <f>COUNTIFS(Table81[Country],Tabela1[[#This Row],[Country]],Table81[Women''s All-Around Classification],"&gt;0")</f>
        <v>1</v>
      </c>
      <c r="FU4" s="6">
        <f>COUNTIFS(Table48[Country],Tabela1[[#This Row],[Country]],Table48[Balance Beam Classification],"&gt;0")</f>
        <v>2</v>
      </c>
      <c r="FV4" s="6">
        <f>COUNTIFS(Table47[Country],Tabela1[[#This Row],[Country]],Table47[Floor Exercise Classification],"&gt;0")</f>
        <v>1</v>
      </c>
      <c r="FW4" s="6">
        <f>COUNTIFS(Table48[Country],Tabela1[[#This Row],[Country]],Table48[Floor Exercise Classification],"&gt;0")</f>
        <v>2</v>
      </c>
      <c r="FX4" s="6">
        <f>COUNTIFS(Table47[Country],Tabela1[[#This Row],[Country]],Table47[Horizontal Bar Classification],"&gt;0")</f>
        <v>2</v>
      </c>
      <c r="FY4" s="6">
        <f>COUNTIFS(Table47[Country],Tabela1[[#This Row],[Country]],Table47[Parallel Bars Classification],"&gt;0")</f>
        <v>1</v>
      </c>
      <c r="FZ4" s="6">
        <f>COUNTIFS(Table47[Country],Tabela1[[#This Row],[Country]],Table47[Pommel Horse Classification],"&gt;0")</f>
        <v>2</v>
      </c>
      <c r="GA4" s="6">
        <f>COUNTIFS(Table47[Country],Tabela1[[#This Row],[Country]],Table47[Rings Classification],"&gt;0")</f>
        <v>1</v>
      </c>
      <c r="GB4" s="6">
        <f>COUNTIFS(Tabela132[Country],Tabela1[[#This Row],[Country]],Tabela132[Classification],"&gt;0")</f>
        <v>1</v>
      </c>
      <c r="GC4" s="6">
        <f>COUNTIFS(Tabela139[Country],Tabela1[[#This Row],[Country]],Tabela139[Classification],"&gt;0")</f>
        <v>1</v>
      </c>
      <c r="GD4" s="6">
        <f>COUNTIFS(Table48[Country],Tabela1[[#This Row],[Country]],Table48[Uneven Bars Classification],"&gt;0")</f>
        <v>2</v>
      </c>
      <c r="GE4" s="6">
        <f>COUNTIFS(Table47[Country],Tabela1[[#This Row],[Country]],Table47[Vault Classification],"&gt;0")</f>
        <v>0</v>
      </c>
      <c r="GF4" s="6">
        <f>COUNTIFS(Table48[Country],Tabela1[[#This Row],[Country]],Table48[Vault Classification],"&gt;0")</f>
        <v>0</v>
      </c>
      <c r="GG4" s="6">
        <f>COUNTIFS(Table919496[Country],Tabela1[[#This Row],[Country]],Table919496[Men''s Classification],"&gt;0")</f>
        <v>1</v>
      </c>
      <c r="GH4" s="6">
        <f>COUNTIFS(Table919496[Country],Tabela1[[#This Row],[Country]],Table919496[Women''s Classification],"&gt;0")</f>
        <v>0</v>
      </c>
      <c r="GI4" s="6">
        <f>COUNTIFS(Table12[Country],Tabela1[[#This Row],[Country]],Table12[60kg Classification],"&gt;0")</f>
        <v>1</v>
      </c>
      <c r="GJ4" s="6">
        <f>COUNTIFS(Table12[Country],Tabela1[[#This Row],[Country]],Table12[66kg Classification],"&gt;0")</f>
        <v>0</v>
      </c>
      <c r="GK4" s="6">
        <f>COUNTIFS(Table12[Country],Tabela1[[#This Row],[Country]],Table12[73kg Classification],"&gt;0")</f>
        <v>1</v>
      </c>
      <c r="GL4" s="6">
        <f>COUNTIFS(Table12[Country],Tabela1[[#This Row],[Country]],Table12[81kg Classification],"&gt;0")</f>
        <v>1</v>
      </c>
      <c r="GM4" s="6">
        <f>COUNTIFS(Table12[Country],Tabela1[[#This Row],[Country]],Table12[90kg Classification],"&gt;0")</f>
        <v>0</v>
      </c>
      <c r="GN4" s="6">
        <f>COUNTIFS(Table12[Country],Tabela1[[#This Row],[Country]],Table12[100kg Classification],"&gt;0")</f>
        <v>1</v>
      </c>
      <c r="GO4" s="6">
        <f>COUNTIFS(Table12[Country],Tabela1[[#This Row],[Country]],Table12[Plus 100kg Classification],"&gt;0")</f>
        <v>1</v>
      </c>
      <c r="GP4" s="6">
        <f>COUNTIFS(Table13[Country],Tabela1[[#This Row],[Country]],Table13[48kg Classification],"&gt;0")</f>
        <v>0</v>
      </c>
      <c r="GQ4" s="6">
        <f>COUNTIFS(Table13[Country],Tabela1[[#This Row],[Country]],Table13[52kg Classification],"&gt;0")</f>
        <v>0</v>
      </c>
      <c r="GR4" s="6">
        <f>COUNTIFS(Table13[Country],Tabela1[[#This Row],[Country]],Table13[57kg Classification],"&gt;0")</f>
        <v>0</v>
      </c>
      <c r="GS4" s="6">
        <f>COUNTIFS(Table13[Country],Tabela1[[#This Row],[Country]],Table13[63kg Classification],"&gt;0")</f>
        <v>1</v>
      </c>
      <c r="GT4" s="6">
        <f>COUNTIFS(Table13[Country],Tabela1[[#This Row],[Country]],Table13[70kg Classification],"&gt;0")</f>
        <v>0</v>
      </c>
      <c r="GU4" s="6">
        <f>COUNTIFS(Table13[Country],Tabela1[[#This Row],[Country]],Table13[78kg Classification],"&gt;0")</f>
        <v>1</v>
      </c>
      <c r="GV4" s="6">
        <f>COUNTIFS(Table13[Country],Tabela1[[#This Row],[Country]],Table13[Plus 78kg Classification],"&gt;0")</f>
        <v>0</v>
      </c>
      <c r="GW4" s="6">
        <f>COUNTIFS(Table82[Country],Tabela1[[#This Row],[Country]],Table82[Mixed Classification],"&gt;0")</f>
        <v>1</v>
      </c>
      <c r="GX4" s="6">
        <f>COUNTIFS(Table51[Country],Tabela1[[#This Row],[Country]],Table51[Classification],"&gt;0")</f>
        <v>1</v>
      </c>
      <c r="GY4" s="6">
        <f>COUNTIFS(Table52[Country],Tabela1[[#This Row],[Country]],Table52[Classification],"&gt;0")</f>
        <v>0</v>
      </c>
      <c r="GZ4" s="6">
        <f>COUNTIFS(Table32[Country],Tabela1[[#This Row],[Country]],Table32[All-Around Classification],"&gt;0")</f>
        <v>0</v>
      </c>
      <c r="HA4" s="6">
        <f>COUNTIFS(Table49[Country],Tabela1[[#This Row],[Country]],Table49[All-Around Classification],"&gt;0")</f>
        <v>0</v>
      </c>
      <c r="HB4" s="6">
        <f>COUNTIFS(Table26[Country],Tabela1[[#This Row],[Country]],Table26[Single Sculls Classification],"&gt;0")</f>
        <v>0</v>
      </c>
      <c r="HC4" s="6">
        <f>COUNTIFS(Table63[Country],Tabela1[[#This Row],[Country]],Table63[Single Sculls Classification],"&gt;0")</f>
        <v>0</v>
      </c>
      <c r="HD4" s="6">
        <f>COUNTIFS(Table16[Country],Tabela1[[#This Row],[Country]],Table16[Men''s Double Sculls Classification],"&gt;0")</f>
        <v>0</v>
      </c>
      <c r="HE4" s="6">
        <f>COUNTIFS(Table16[Country],Tabela1[[#This Row],[Country]],Table16[Women''s Double Sculls Classification],"&gt;0")</f>
        <v>0</v>
      </c>
      <c r="HF4" s="6">
        <f>COUNTIFS(Table72[Country],Tabela1[[#This Row],[Country]],Table72[Men''s Quadruple Sculls Classification],"&gt;0")</f>
        <v>0</v>
      </c>
      <c r="HG4" s="6">
        <f>COUNTIFS(Table72[Country],Tabela1[[#This Row],[Country]],Table72[Women''s Quadruple Sculls Classification],"&gt;0")</f>
        <v>0</v>
      </c>
      <c r="HH4" s="6">
        <f>COUNTIFS(Table16[Country],Tabela1[[#This Row],[Country]],Table16[Men''s Coxless Pairs Classification],"&gt;0")</f>
        <v>0</v>
      </c>
      <c r="HI4" s="6">
        <f>COUNTIFS(Table16[Country],Tabela1[[#This Row],[Country]],Table16[Women''s Coxless Pairs Classification],"&gt;0")</f>
        <v>0</v>
      </c>
      <c r="HJ4" s="6">
        <f>COUNTIFS(Table72[Country],Tabela1[[#This Row],[Country]],Table72[Men''s Coxless Fours Classification],"&gt;0")</f>
        <v>0</v>
      </c>
      <c r="HK4" s="6">
        <f>COUNTIFS(Table72[Country],Tabela1[[#This Row],[Country]],Table72[Women''s Coxless Fours Classification],"&gt;0")</f>
        <v>0</v>
      </c>
      <c r="HL4" s="6">
        <f>COUNTIFS(Table72[Country],Tabela1[[#This Row],[Country]],Table72[Men''s Eights Classification],"&gt;0")</f>
        <v>0</v>
      </c>
      <c r="HM4" s="6">
        <f>COUNTIFS(Table72[Country],Tabela1[[#This Row],[Country]],Table72[Women''s Eights Classification],"&gt;0")</f>
        <v>0</v>
      </c>
      <c r="HN4" s="6">
        <f>COUNTIFS(Table16[Country],Tabela1[[#This Row],[Country]],Table16[Men''s Lwt. Double Sculls Classification],"&gt;0")</f>
        <v>0</v>
      </c>
      <c r="HO4" s="6">
        <f>COUNTIFS(Table16[Country],Tabela1[[#This Row],[Country]],Table16[Women''s Lwt. Double Sculls Classification],"&gt;0")</f>
        <v>1</v>
      </c>
      <c r="HP4" s="6">
        <f>COUNTIFS(Table91949698[Country],Tabela1[[#This Row],[Country]],Table91949698[Men''s Classification],"&gt;0")</f>
        <v>1</v>
      </c>
      <c r="HQ4" s="6">
        <f>COUNTIFS(Table91949698[Country],Tabela1[[#This Row],[Country]],Table91949698[Women''s Classification],"&gt;0")</f>
        <v>1</v>
      </c>
      <c r="HR4" s="6">
        <f>COUNTIFS(Table25[Country],Tabela1[[#This Row],[Country]],Table25[Mixed 470 Classification],"&gt;0")</f>
        <v>0</v>
      </c>
      <c r="HS4" s="6">
        <f>COUNTIFS(Table25[Country],Tabela1[[#This Row],[Country]],Table25[Men''s 49er Classification],"&gt;0")</f>
        <v>0</v>
      </c>
      <c r="HT4" s="6">
        <f>COUNTIFS(Table25[Country],Tabela1[[#This Row],[Country]],Table25[Women''s 49er FX Classification],"&gt;0")</f>
        <v>1</v>
      </c>
      <c r="HU4" s="6">
        <f>COUNTIFS(Table17[Country],Tabela1[[#This Row],[Country]],Table17[Formula Kite Classification],"&gt;0")</f>
        <v>0</v>
      </c>
      <c r="HV4" s="6">
        <f>COUNTIFS(Table18[Country],Tabela1[[#This Row],[Country]],Table18[Formula Kite Classification],"&gt;0")</f>
        <v>0</v>
      </c>
      <c r="HW4" s="6">
        <f>COUNTIFS(Table17[Country],Tabela1[[#This Row],[Country]],Table17[ILCA 7 Classification],"&gt;0")</f>
        <v>0</v>
      </c>
      <c r="HX4" s="6">
        <f>COUNTIFS(Table18[Country],Tabela1[[#This Row],[Country]],Table18[ILCA 6 Classification],"&gt;0")</f>
        <v>0</v>
      </c>
      <c r="HY4" s="6">
        <f>COUNTIFS(Table17[Country],Tabela1[[#This Row],[Country]],Table17[IQFoil Classification],"&gt;0")</f>
        <v>0</v>
      </c>
      <c r="HZ4" s="6">
        <f>COUNTIFS(Table18[Country],Tabela1[[#This Row],[Country]],Table18[IQFoil Classification],"&gt;0")</f>
        <v>0</v>
      </c>
      <c r="IA4" s="6">
        <f>COUNTIFS(Table25[Country],Tabela1[[#This Row],[Country]],Table25[Mixed Nacra 17 Classification],"&gt;0")</f>
        <v>1</v>
      </c>
      <c r="IB4" s="6">
        <f>COUNTIFS(Table53[Country],Tabela1[[#This Row],[Country]],Table53[10m Air Pistol Classification],"&gt;0")</f>
        <v>0</v>
      </c>
      <c r="IC4" s="6">
        <f>COUNTIFS(Table19[Country],Tabela1[[#This Row],[Country]],Table19[10m Air Pistol Classification],"&gt;0")</f>
        <v>0</v>
      </c>
      <c r="ID4" s="6">
        <f>COUNTIFS(Table54[Country],Tabela1[[#This Row],[Country]],Table54[Mixed 10m Air Pistol Team Classification],"&gt;0")</f>
        <v>0</v>
      </c>
      <c r="IE4" s="6">
        <f>COUNTIFS(Table53[Country],Tabela1[[#This Row],[Country]],Table53[10m Air Rifle Classification],"&gt;0")</f>
        <v>0</v>
      </c>
      <c r="IF4" s="6">
        <f>COUNTIFS(Table19[Country],Tabela1[[#This Row],[Country]],Table19[10m Air Rifle Classification],"&gt;0")</f>
        <v>1</v>
      </c>
      <c r="IG4" s="6">
        <f>COUNTIFS(Table54[Country],Tabela1[[#This Row],[Country]],Table54[Mixed 10m Air Rifle Team Classification],"&gt;0")</f>
        <v>1</v>
      </c>
      <c r="IH4" s="6">
        <f>COUNTIFS(Table53[Country],Tabela1[[#This Row],[Country]],Table53[25m Rapid Fire Pistol Classification],"&gt;0")</f>
        <v>0</v>
      </c>
      <c r="II4" s="6">
        <f>COUNTIFS(Table19[Country],Tabela1[[#This Row],[Country]],Table19[25m Pistol Classification],"&gt;0")</f>
        <v>0</v>
      </c>
      <c r="IJ4" s="6">
        <f>COUNTIFS(Table53[Country],Tabela1[[#This Row],[Country]],Table53[50m Rifle 3 Positions Classification],"&gt;0")</f>
        <v>0</v>
      </c>
      <c r="IK4" s="6">
        <f>COUNTIFS(Table19[Country],Tabela1[[#This Row],[Country]],Table19[50m Rifle 3 Positions Classification],"&gt;0")</f>
        <v>0</v>
      </c>
      <c r="IL4" s="6">
        <f>COUNTIFS(Table53[Country],Tabela1[[#This Row],[Country]],Table53[Skeet Classification],"&gt;0")</f>
        <v>0</v>
      </c>
      <c r="IM4" s="6">
        <f>COUNTIFS(Table19[Country],Tabela1[[#This Row],[Country]],Table19[Skeet Classification],"&gt;0")</f>
        <v>0</v>
      </c>
      <c r="IN4" s="6">
        <f>COUNTIFS(Table54[Country],Tabela1[[#This Row],[Country]],Table54[Mixed Skeet Team Classification],"&gt;0")</f>
        <v>0</v>
      </c>
      <c r="IO4" s="6">
        <f>COUNTIFS(Table53[Country],Tabela1[[#This Row],[Country]],Table53[Trap Classification],"&gt;0")</f>
        <v>0</v>
      </c>
      <c r="IP4" s="6">
        <f>COUNTIFS(Table19[Country],Tabela1[[#This Row],[Country]],Table19[Trap Classification],"&gt;0")</f>
        <v>0</v>
      </c>
      <c r="IQ4" s="6">
        <f>COUNTIFS(Table73[Country],Tabela1[[#This Row],[Country]],Table73[Park Classification],"&gt;0")</f>
        <v>0</v>
      </c>
      <c r="IR4" s="6">
        <f>COUNTIFS(Table74[Country],Tabela1[[#This Row],[Country]],Table74[Park Classification],"&gt;0")</f>
        <v>2</v>
      </c>
      <c r="IS4" s="6">
        <f>COUNTIFS(Table73[Country],Tabela1[[#This Row],[Country]],Table73[Street Classification],"&gt;0")</f>
        <v>1</v>
      </c>
      <c r="IT4" s="6">
        <f>COUNTIFS(Table74[Country],Tabela1[[#This Row],[Country]],Table74[Street Classification],"&gt;0")</f>
        <v>1</v>
      </c>
      <c r="IU4" s="6">
        <f>COUNTIFS(Table75[Country],Tabela1[[#This Row],[Country]],Table75[Boulder and Lead Classification],"&gt;0")</f>
        <v>0</v>
      </c>
      <c r="IV4" s="6">
        <f>COUNTIFS(Table76[Country],Tabela1[[#This Row],[Country]],Table76[Boulder and Lead Classification],"&gt;0")</f>
        <v>1</v>
      </c>
      <c r="IW4" s="6">
        <f>COUNTIFS(Table75[Country],Tabela1[[#This Row],[Country]],Table75[Speed Classification],"&gt;0")</f>
        <v>0</v>
      </c>
      <c r="IX4" s="6">
        <f>COUNTIFS(Table76[Country],Tabela1[[#This Row],[Country]],Table76[Speed Classification],"&gt;0")</f>
        <v>0</v>
      </c>
      <c r="IY4" s="6">
        <f>COUNTIFS(Table64[Country],Tabela1[[#This Row],[Country]],Table64[Shortboard Classification],"&gt;0")</f>
        <v>3</v>
      </c>
      <c r="IZ4" s="6">
        <f>COUNTIFS(Table77[Country],Tabela1[[#This Row],[Country]],Table77[Shortboard Classification],"&gt;0")</f>
        <v>0</v>
      </c>
      <c r="JA4" s="6">
        <f>COUNTIFS(Table20[Country],Tabela1[[#This Row],[Country]],Table20[50m Freestyle Classification],"&gt;0")</f>
        <v>0</v>
      </c>
      <c r="JB4" s="6">
        <f>COUNTIFS(Table21[Country],Tabela1[[#This Row],[Country]],Table21[50m Freestyle Classification],"&gt;0")</f>
        <v>0</v>
      </c>
      <c r="JC4" s="6">
        <f>COUNTIFS(Table20[Country],Tabela1[[#This Row],[Country]],Table20[100m Freestyle Classification],"&gt;0")</f>
        <v>0</v>
      </c>
      <c r="JD4" s="6">
        <f>COUNTIFS(Table21[Country],Tabela1[[#This Row],[Country]],Table21[100m Freestyle Classification],"&gt;0")</f>
        <v>0</v>
      </c>
      <c r="JE4" s="6">
        <f>COUNTIFS(Table20[Country],Tabela1[[#This Row],[Country]],Table20[200m Freestyle Classification],"&gt;0")</f>
        <v>0</v>
      </c>
      <c r="JF4" s="6">
        <f>COUNTIFS(Table21[Country],Tabela1[[#This Row],[Country]],Table21[200m Freestyle Classification],"&gt;0")</f>
        <v>0</v>
      </c>
      <c r="JG4" s="6">
        <f>COUNTIFS(Table20[Country],Tabela1[[#This Row],[Country]],Table20[400m Freestyle Classification],"&gt;0")</f>
        <v>0</v>
      </c>
      <c r="JH4" s="6">
        <f>COUNTIFS(Table21[Country],Tabela1[[#This Row],[Country]],Table21[400m Freestyle Classification],"&gt;0")</f>
        <v>0</v>
      </c>
      <c r="JI4" s="6">
        <f>COUNTIFS(Table20[Country],Tabela1[[#This Row],[Country]],Table20[800m Freestyle Classification],"&gt;0")</f>
        <v>0</v>
      </c>
      <c r="JJ4" s="6">
        <f>COUNTIFS(Table21[Country],Tabela1[[#This Row],[Country]],Table21[800m Freestyle Classification],"&gt;0")</f>
        <v>0</v>
      </c>
      <c r="JK4" s="6">
        <f>COUNTIFS(Table20[Country],Tabela1[[#This Row],[Country]],Table20[1500m Freestyle Classification],"&gt;0")</f>
        <v>0</v>
      </c>
      <c r="JL4" s="6">
        <f>COUNTIFS(Table21[Country],Tabela1[[#This Row],[Country]],Table21[1500m Freestyle Classification],"&gt;0")</f>
        <v>0</v>
      </c>
      <c r="JM4" s="6">
        <f>COUNTIFS(Table20[Country],Tabela1[[#This Row],[Country]],Table20[100m Backstroke Classification],"&gt;0")</f>
        <v>0</v>
      </c>
      <c r="JN4" s="6">
        <f>COUNTIFS(Table21[Country],Tabela1[[#This Row],[Country]],Table21[100m Backstroke Classification],"&gt;0")</f>
        <v>0</v>
      </c>
      <c r="JO4" s="6">
        <f>COUNTIFS(Table20[Country],Tabela1[[#This Row],[Country]],Table20[200m Backstroke Classification],"&gt;0")</f>
        <v>0</v>
      </c>
      <c r="JP4" s="6">
        <f>COUNTIFS(Table21[Country],Tabela1[[#This Row],[Country]],Table21[200m Backstroke Classification],"&gt;0")</f>
        <v>0</v>
      </c>
      <c r="JQ4" s="6">
        <f>COUNTIFS(Table20[Country],Tabela1[[#This Row],[Country]],Table20[100m Breaststroke Classification],"&gt;0")</f>
        <v>1</v>
      </c>
      <c r="JR4" s="6">
        <f>COUNTIFS(Table21[Country],Tabela1[[#This Row],[Country]],Table21[100m Breaststroke Classification],"&gt;0")</f>
        <v>1</v>
      </c>
      <c r="JS4" s="6">
        <f>COUNTIFS(Table20[Country],Tabela1[[#This Row],[Country]],Table20[200m Breaststroke Classification],"&gt;0")</f>
        <v>2</v>
      </c>
      <c r="JT4" s="6">
        <f>COUNTIFS(Table21[Country],Tabela1[[#This Row],[Country]],Table21[200m Breaststroke Classification],"&gt;0")</f>
        <v>0</v>
      </c>
      <c r="JU4" s="6">
        <f>COUNTIFS(Table20[Country],Tabela1[[#This Row],[Country]],Table20[100m Butterfly Classification],"&gt;0")</f>
        <v>0</v>
      </c>
      <c r="JV4" s="6">
        <f>COUNTIFS(Table21[Country],Tabela1[[#This Row],[Country]],Table21[100m Butterfly Classification],"&gt;0")</f>
        <v>1</v>
      </c>
      <c r="JW4" s="6">
        <f>COUNTIFS(Table20[Country],Tabela1[[#This Row],[Country]],Table20[200m Butterfly Classification],"&gt;0")</f>
        <v>0</v>
      </c>
      <c r="JX4" s="6">
        <f>COUNTIFS(Table21[Country],Tabela1[[#This Row],[Country]],Table21[200m Butterfly Classification],"&gt;0")</f>
        <v>1</v>
      </c>
      <c r="JY4" s="6">
        <f>COUNTIFS(Table20[Country],Tabela1[[#This Row],[Country]],Table20[200m Medley Classification],"&gt;0")</f>
        <v>0</v>
      </c>
      <c r="JZ4" s="6">
        <f>COUNTIFS(Table21[Country],Tabela1[[#This Row],[Country]],Table21[200m Medley Classification],"&gt;0")</f>
        <v>1</v>
      </c>
      <c r="KA4" s="6">
        <f>COUNTIFS(Table20[Country],Tabela1[[#This Row],[Country]],Table20[400m Medley Classification],"&gt;0")</f>
        <v>1</v>
      </c>
      <c r="KB4" s="6">
        <f>COUNTIFS(Table21[Country],Tabela1[[#This Row],[Country]],Table21[400m Medley Classification],"&gt;0")</f>
        <v>2</v>
      </c>
      <c r="KC4" s="6">
        <f>COUNTIFS(Table78[Country],Tabela1[[#This Row],[Country]],Table78[Men''s 4x100m Freestyle Relay Classification],"&gt;0")</f>
        <v>0</v>
      </c>
      <c r="KD4" s="6">
        <f>COUNTIFS(Table78[Country],Tabela1[[#This Row],[Country]],Table78[Women''s 4x100m Freestyle Relay Classification],"&gt;0")</f>
        <v>0</v>
      </c>
      <c r="KE4" s="6">
        <f>COUNTIFS(Table78[Country],Tabela1[[#This Row],[Country]],Table78[Men''s 4x200m Freestyle Relay Classification],"&gt;0")</f>
        <v>1</v>
      </c>
      <c r="KF4" s="6">
        <f>COUNTIFS(Table78[Country],Tabela1[[#This Row],[Country]],Table78[Women''s 4x200m Freestyle Relay Classification],"&gt;0")</f>
        <v>1</v>
      </c>
      <c r="KG4" s="6">
        <f>COUNTIFS(Table78[Country],Tabela1[[#This Row],[Country]],Table78[Men''s 4x100m Medley Relay Classification],"&gt;0")</f>
        <v>1</v>
      </c>
      <c r="KH4" s="6">
        <f>COUNTIFS(Table78[Country],Tabela1[[#This Row],[Country]],Table78[Women''s 4x100m Medley Relay Classification],"&gt;0")</f>
        <v>1</v>
      </c>
      <c r="KI4" s="6">
        <f>COUNTIFS(Table78[Country],Tabela1[[#This Row],[Country]],Table78[Mixed 4x100m Medley Relay Classification],"&gt;0")</f>
        <v>1</v>
      </c>
      <c r="KJ4" s="6">
        <f>COUNTIFS(Table20[Country],Tabela1[[#This Row],[Country]],Table20[10km Open Water Classification],"&gt;0")</f>
        <v>0</v>
      </c>
      <c r="KK4" s="6">
        <f>COUNTIFS(Table21[Country],Tabela1[[#This Row],[Country]],Table21[10km Open Water Classification],"&gt;0")</f>
        <v>1</v>
      </c>
      <c r="KL4" s="6">
        <f>COUNTIFS(Table22[Country],Tabela1[[#This Row],[Country]],Table22[Classification],"&gt;0")</f>
        <v>1</v>
      </c>
      <c r="KM4" s="6">
        <f>COUNTIFS(Table30[Country],Tabela1[[#This Row],[Country]],Table30[Classification],"&gt;0")</f>
        <v>1</v>
      </c>
      <c r="KN4" s="6">
        <f>COUNTIFS(Table55[Country],Tabela1[[#This Row],[Country]],Table55[Men''s Classification],"&gt;0")</f>
        <v>1</v>
      </c>
      <c r="KO4" s="6">
        <f>COUNTIFS(Table55[Country],Tabela1[[#This Row],[Country]],Table55[Women''s Classification],"&gt;0")</f>
        <v>1</v>
      </c>
      <c r="KP4" s="6">
        <f>COUNTIFS(Table56[Country],Tabela1[[#This Row],[Country]],Table56[Mixed Classification],"&gt;0")</f>
        <v>0</v>
      </c>
      <c r="KQ4" s="6">
        <f>COUNTIFS(Table29[Country],Tabela1[[#This Row],[Country]],Table29[58kg Classification],"&gt;0")</f>
        <v>0</v>
      </c>
      <c r="KR4" s="6">
        <f>COUNTIFS(Table29[Country],Tabela1[[#This Row],[Country]],Table29[68kg Classification],"&gt;0")</f>
        <v>0</v>
      </c>
      <c r="KS4" s="6">
        <f>COUNTIFS(Table29[Country],Tabela1[[#This Row],[Country]],Table29[80kg Classification],"&gt;0")</f>
        <v>0</v>
      </c>
      <c r="KT4" s="6">
        <f>COUNTIFS(Table29[Country],Tabela1[[#This Row],[Country]],Table29[Plus 80kg Classification],"&gt;0")</f>
        <v>0</v>
      </c>
      <c r="KU4" s="6">
        <f>COUNTIFS(Table34[Country],Tabela1[[#This Row],[Country]],Table34[49kg Classification],"&gt;0")</f>
        <v>0</v>
      </c>
      <c r="KV4" s="6">
        <f>COUNTIFS(Table34[Country],Tabela1[[#This Row],[Country]],Table34[57kg Classification],"&gt;0")</f>
        <v>0</v>
      </c>
      <c r="KW4" s="6">
        <f>COUNTIFS(Table34[Country],Tabela1[[#This Row],[Country]],Table34[67kg Classification],"&gt;0")</f>
        <v>0</v>
      </c>
      <c r="KX4" s="6">
        <f>COUNTIFS(Table34[Country],Tabela1[[#This Row],[Country]],Table34[Plus 67kg Classification],"&gt;0")</f>
        <v>0</v>
      </c>
      <c r="KY4" s="6">
        <f>COUNTIFS(Table57[Country],Tabela1[[#This Row],[Country]],Table57[Classification],"&gt;0")</f>
        <v>0</v>
      </c>
      <c r="KZ4" s="6">
        <f>COUNTIFS(Table58[Country],Tabela1[[#This Row],[Country]],Table58[Classification],"&gt;0")</f>
        <v>1</v>
      </c>
      <c r="LA4" s="6">
        <f>COUNTIFS(Table79[Country],Tabela1[[#This Row],[Country]],Table79[Men''s Classification],"&gt;0")</f>
        <v>0</v>
      </c>
      <c r="LB4" s="6">
        <f>COUNTIFS(Table79[Country],Tabela1[[#This Row],[Country]],Table79[Women''s Classification],"&gt;0")</f>
        <v>1</v>
      </c>
      <c r="LC4" s="6">
        <f>COUNTIFS(Table79[Country],Tabela1[[#This Row],[Country]],Table79[Mixed Classification],"&gt;0")</f>
        <v>1</v>
      </c>
      <c r="LD4" s="6">
        <f>COUNTIFS(Table65[Country],Tabela1[[#This Row],[Country]],Table65[Classification],"&gt;0")</f>
        <v>2</v>
      </c>
      <c r="LE4" s="6">
        <f>COUNTIFS(Table59[Country],Tabela1[[#This Row],[Country]],Table59[Classification],"&gt;0")</f>
        <v>1</v>
      </c>
      <c r="LF4" s="6">
        <f>COUNTIFS(Table87[Country],Tabela1[[#This Row],[Country]],Table87[Mixed Relay Classification],"&gt;0")</f>
        <v>0</v>
      </c>
      <c r="LG4" s="6">
        <f>COUNTIFS(Table91949698100[Country],Tabela1[[#This Row],[Country]],Table91949698100[Men''s Classification],"&gt;0")</f>
        <v>1</v>
      </c>
      <c r="LH4" s="6">
        <f>COUNTIFS(Table91949698100[Country],Tabela1[[#This Row],[Country]],Table91949698100[Women''s Classification],"&gt;0")</f>
        <v>1</v>
      </c>
      <c r="LI4" s="6">
        <f>COUNTIFS(Table91949698100102[Country],Tabela1[[#This Row],[Country]],Table91949698100102[Men''s Classification],"&gt;0")</f>
        <v>1</v>
      </c>
      <c r="LJ4" s="6">
        <f>COUNTIFS(Table91949698100102[Country],Tabela1[[#This Row],[Country]],Table91949698100102[Women''s Classification],"&gt;0")</f>
        <v>0</v>
      </c>
      <c r="LK4" s="6">
        <f>COUNTIFS(Table23[Country],Tabela1[[#This Row],[Country]],Table23[61kg Classification],"&gt;0")</f>
        <v>0</v>
      </c>
      <c r="LL4" s="6">
        <f>COUNTIFS(Table23[Country],Tabela1[[#This Row],[Country]],Table23[73kg Classification],"&gt;0")</f>
        <v>1</v>
      </c>
      <c r="LM4" s="6">
        <f>COUNTIFS(Table23[Country],Tabela1[[#This Row],[Country]],Table23[89kg Classification],"&gt;0")</f>
        <v>0</v>
      </c>
      <c r="LN4" s="6">
        <f>COUNTIFS(Table23[Country],Tabela1[[#This Row],[Country]],Table23[102kg Classification],"&gt;0")</f>
        <v>0</v>
      </c>
      <c r="LO4" s="6">
        <f>COUNTIFS(Table23[Country],Tabela1[[#This Row],[Country]],Table23[Plus 102kg Classification],"&gt;0")</f>
        <v>1</v>
      </c>
      <c r="LP4" s="6">
        <f>COUNTIFS(Table28[Country],Tabela1[[#This Row],[Country]],Table28[49kg Classification],"&gt;0")</f>
        <v>0</v>
      </c>
      <c r="LQ4" s="6">
        <f>COUNTIFS(Table28[Country],Tabela1[[#This Row],[Country]],Table28[59kg Classification],"&gt;0")</f>
        <v>0</v>
      </c>
      <c r="LR4" s="6">
        <f>COUNTIFS(Table28[Country],Tabela1[[#This Row],[Country]],Table28[71kg Classification],"&gt;0")</f>
        <v>0</v>
      </c>
      <c r="LS4" s="6">
        <f>COUNTIFS(Table28[Country],Tabela1[[#This Row],[Country]],Table28[81kg Classification],"&gt;0")</f>
        <v>0</v>
      </c>
      <c r="LT4" s="6">
        <f>COUNTIFS(Table28[Country],Tabela1[[#This Row],[Country]],Table28[Plus 81kg Classification],"&gt;0")</f>
        <v>0</v>
      </c>
      <c r="LU4" s="6">
        <f>COUNTIFS(Table24[Country],Tabela1[[#This Row],[Country]],Table24[Freestyle 57kg Classification],"&gt;0")</f>
        <v>1</v>
      </c>
      <c r="LV4" s="6">
        <f>COUNTIFS(Table24[Country],Tabela1[[#This Row],[Country]],Table24[Freestyle 65kg Classification],"&gt;0")</f>
        <v>0</v>
      </c>
      <c r="LW4" s="6">
        <f>COUNTIFS(Table24[Country],Tabela1[[#This Row],[Country]],Table24[Freestyle 74kg Classification],"&gt;0")</f>
        <v>0</v>
      </c>
      <c r="LX4" s="6">
        <f>COUNTIFS(Table24[Country],Tabela1[[#This Row],[Country]],Table24[Freestyle 86kg Classification],"&gt;0")</f>
        <v>1</v>
      </c>
      <c r="LY4" s="6">
        <f>COUNTIFS(Table24[Country],Tabela1[[#This Row],[Country]],Table24[Freestyle 97kg Classification],"&gt;0")</f>
        <v>0</v>
      </c>
      <c r="LZ4" s="6">
        <f>COUNTIFS(Table24[Country],Tabela1[[#This Row],[Country]],Table24[Freestyle 125kg Classification],"&gt;0")</f>
        <v>0</v>
      </c>
      <c r="MA4" s="6">
        <f>COUNTIFS(Table24[Country],Tabela1[[#This Row],[Country]],Table24[Greco-Roman 60kg Classification],"&gt;0")</f>
        <v>0</v>
      </c>
      <c r="MB4" s="6">
        <f>COUNTIFS(Table24[Country],Tabela1[[#This Row],[Country]],Table24[Greco-Roman 67kg Classification],"&gt;0")</f>
        <v>0</v>
      </c>
      <c r="MC4" s="6">
        <f>COUNTIFS(Table24[Country],Tabela1[[#This Row],[Country]],Table24[Greco-Roman 77kg Classification],"&gt;0")</f>
        <v>1</v>
      </c>
      <c r="MD4" s="6">
        <f>COUNTIFS(Table24[Country],Tabela1[[#This Row],[Country]],Table24[Greco-Roman 87kg Classification],"&gt;0")</f>
        <v>0</v>
      </c>
      <c r="ME4" s="6">
        <f>COUNTIFS(Table24[Country],Tabela1[[#This Row],[Country]],Table24[Greco-Roman 97kg Classification],"&gt;0")</f>
        <v>0</v>
      </c>
      <c r="MF4" s="6">
        <f>COUNTIFS(Table24[Country],Tabela1[[#This Row],[Country]],Table24[Greco-Roman 130kg Classification],"&gt;0")</f>
        <v>0</v>
      </c>
      <c r="MG4" s="6">
        <f>COUNTIFS(Table31[Country],Tabela1[[#This Row],[Country]],Table31[50kg Classification],"&gt;0")</f>
        <v>0</v>
      </c>
      <c r="MH4" s="6">
        <f>COUNTIFS(Table31[Country],Tabela1[[#This Row],[Country]],Table31[53kg Classification],"&gt;0")</f>
        <v>1</v>
      </c>
      <c r="MI4" s="6">
        <f>COUNTIFS(Table31[Country],Tabela1[[#This Row],[Country]],Table31[57kg Classification],"&gt;0")</f>
        <v>1</v>
      </c>
      <c r="MJ4" s="6">
        <f>COUNTIFS(Table31[Country],Tabela1[[#This Row],[Country]],Table31[62kg Classification],"&gt;0")</f>
        <v>1</v>
      </c>
      <c r="MK4" s="6">
        <f>COUNTIFS(Table31[Country],Tabela1[[#This Row],[Country]],Table31[68kg Classification],"&gt;0")</f>
        <v>1</v>
      </c>
      <c r="ML4" s="6">
        <f>COUNTIFS(Table31[Country],Tabela1[[#This Row],[Country]],Table31[76kg Classification],"&gt;0")</f>
        <v>1</v>
      </c>
      <c r="MM4" s="6">
        <f>COUNTIFS(Table102[Country],Tabela1[[#This Row],[Country]],Table102[Downhill Classification],"&gt;0")</f>
        <v>0</v>
      </c>
      <c r="MN4" s="6">
        <f>COUNTIFS(Table102105[Country],Tabela1[[#This Row],[Country]],Table102105[Downhill Classification],"&gt;0")</f>
        <v>0</v>
      </c>
      <c r="MO4" s="6">
        <f>COUNTIFS(Table102[Country],Tabela1[[#This Row],[Country]],Table102[Giant Slalom Classification],"&gt;0")</f>
        <v>0</v>
      </c>
      <c r="MP4" s="6">
        <f>COUNTIFS(Table102105[Country],Tabela1[[#This Row],[Country]],Table102105[Giant Slalom Classification],"&gt;0")</f>
        <v>0</v>
      </c>
      <c r="MQ4" s="6">
        <f>COUNTIFS(Table102[Country],Tabela1[[#This Row],[Country]],Table102[Slalom Classification],"&gt;0")</f>
        <v>1</v>
      </c>
      <c r="MR4" s="6">
        <f>COUNTIFS(Table102105[Country],Tabela1[[#This Row],[Country]],Table102105[Slalom Classification],"&gt;0")</f>
        <v>1</v>
      </c>
      <c r="MS4" s="6">
        <f>COUNTIFS(Table102[Country],Tabela1[[#This Row],[Country]],Table102[Super-G Classification],"&gt;0")</f>
        <v>0</v>
      </c>
      <c r="MT4" s="6">
        <f>COUNTIFS(Table102105[Country],Tabela1[[#This Row],[Country]],Table102105[Super-G Classification],"&gt;0")</f>
        <v>0</v>
      </c>
      <c r="MU4" s="6">
        <f>COUNTIFS(Table105[Country],Tabela1[[#This Row],[Country]],Table105[Men''s Combined Classification],"&gt;0")</f>
        <v>0</v>
      </c>
      <c r="MV4" s="6">
        <f>COUNTIFS(Table105[Country],Tabela1[[#This Row],[Country]],Table105[Women''s Combined Classification],"&gt;0")</f>
        <v>0</v>
      </c>
      <c r="MW4" s="6">
        <f>COUNTIFS(Table106[Country],Tabela1[[#This Row],[Country]],Table106[Individual Classification],"&gt;0")</f>
        <v>0</v>
      </c>
      <c r="MX4" s="6">
        <f>COUNTIFS(Table106109[Country],Tabela1[[#This Row],[Country]],Table106109[Individual Classification],"&gt;0")</f>
        <v>0</v>
      </c>
      <c r="MY4" s="6">
        <f>COUNTIFS(Table106[Country],Tabela1[[#This Row],[Country]],Table106[Mass Start Classification],"&gt;0")</f>
        <v>0</v>
      </c>
      <c r="MZ4" s="6">
        <f>COUNTIFS(Table106109[Country],Tabela1[[#This Row],[Country]],Table106109[Mass Start Classification],"&gt;0")</f>
        <v>0</v>
      </c>
      <c r="NA4" s="6">
        <f>COUNTIFS(Table106[Country],Tabela1[[#This Row],[Country]],Table106[Pursuit Classification],"&gt;0")</f>
        <v>0</v>
      </c>
      <c r="NB4" s="6">
        <f>COUNTIFS(Table106109[Country],Tabela1[[#This Row],[Country]],Table106109[Pursuit Classification],"&gt;0")</f>
        <v>0</v>
      </c>
      <c r="NC4" s="6">
        <f>COUNTIFS(Table106[Country],Tabela1[[#This Row],[Country]],Table106[Sprint Classification],"&gt;0")</f>
        <v>0</v>
      </c>
      <c r="ND4" s="6">
        <f>COUNTIFS(Table106109[Country],Tabela1[[#This Row],[Country]],Table106109[Sprint Classification],"&gt;0")</f>
        <v>0</v>
      </c>
      <c r="NE4" s="6">
        <f>COUNTIFS(Table109[Country],Tabela1[[#This Row],[Country]],Table109[Men''s Relay Classification],"&gt;0")</f>
        <v>0</v>
      </c>
      <c r="NF4" s="6">
        <f>COUNTIFS(Table109[Country],Tabela1[[#This Row],[Country]],Table109[Women''s Relay Classification],"&gt;0")</f>
        <v>0</v>
      </c>
      <c r="NG4" s="6">
        <f>COUNTIFS(Table109[Country],Tabela1[[#This Row],[Country]],Table109[Mixed Relay Classification],"&gt;0")</f>
        <v>0</v>
      </c>
      <c r="NH4" s="6">
        <f>COUNTIFS(Table110[Country],Tabela1[[#This Row],[Country]],Table110[Monobob Classification],"&gt;0")</f>
        <v>0</v>
      </c>
      <c r="NI4" s="6">
        <f>COUNTIFS(Table111[Country],Tabela1[[#This Row],[Country]],Table111[Men''s Classification],"&gt;0")</f>
        <v>0</v>
      </c>
      <c r="NJ4" s="6">
        <f>COUNTIFS(Table111[Country],Tabela1[[#This Row],[Country]],Table111[Women''s Classification],"&gt;0")</f>
        <v>0</v>
      </c>
      <c r="NK4" s="6">
        <f>COUNTIFS(Table112[Country],Tabela1[[#This Row],[Country]],Table112[Men''s Four Classification],"&gt;0")</f>
        <v>0</v>
      </c>
      <c r="NL4" s="6">
        <f>COUNTIFS(Table113[Country],Tabela1[[#This Row],[Country]],Table113[Classical Classification],"&gt;0")</f>
        <v>1</v>
      </c>
      <c r="NM4" s="6">
        <f>COUNTIFS(Table113116[Country],Tabela1[[#This Row],[Country]],Table113116[Classical Classification],"&gt;0")</f>
        <v>0</v>
      </c>
      <c r="NN4" s="6">
        <f>COUNTIFS(Table113[Country],Tabela1[[#This Row],[Country]],Table113[Freestyle Classification],"&gt;0")</f>
        <v>2</v>
      </c>
      <c r="NO4" s="6">
        <f>COUNTIFS(Table113116[Country],Tabela1[[#This Row],[Country]],Table113116[Freestyle Classification],"&gt;0")</f>
        <v>0</v>
      </c>
      <c r="NP4" s="6">
        <f>COUNTIFS(Table117[Country],Tabela1[[#This Row],[Country]],Table117[Men''s Relay Classification],"&gt;0")</f>
        <v>0</v>
      </c>
      <c r="NQ4" s="6">
        <f>COUNTIFS(Table117[Country],Tabela1[[#This Row],[Country]],Table117[Women''s Relay Classification],"&gt;0")</f>
        <v>0</v>
      </c>
      <c r="NR4" s="6">
        <f>COUNTIFS(Table113[Country],Tabela1[[#This Row],[Country]],Table113[Skiathlon Classification],"&gt;0")</f>
        <v>2</v>
      </c>
      <c r="NS4" s="6">
        <f>COUNTIFS(Table113116[Country],Tabela1[[#This Row],[Country]],Table113116[Skiathlon Classification],"&gt;0")</f>
        <v>0</v>
      </c>
      <c r="NT4" s="6">
        <f>COUNTIFS(Table113[Country],Tabela1[[#This Row],[Country]],Table113[Sprint Classification],"&gt;0")</f>
        <v>0</v>
      </c>
      <c r="NU4" s="6">
        <f>COUNTIFS(Table113116[Country],Tabela1[[#This Row],[Country]],Table113116[Sprint Classification],"&gt;0")</f>
        <v>0</v>
      </c>
      <c r="NV4" s="6">
        <f>COUNTIFS(Table116[Country],Tabela1[[#This Row],[Country]],Table116[Men''s Team Sprint Classification],"&gt;0")</f>
        <v>0</v>
      </c>
      <c r="NW4" s="6">
        <f>COUNTIFS(Table116[Country],Tabela1[[#This Row],[Country]],Table116[Women''s Team Sprint Classification],"&gt;0")</f>
        <v>0</v>
      </c>
      <c r="NX4" s="6">
        <f>COUNTIFS(Table119[Country],Tabela1[[#This Row],[Country]],Table119[Men''s Classification],"&gt;0")</f>
        <v>0</v>
      </c>
      <c r="NY4" s="6">
        <f>COUNTIFS(Table119[Country],Tabela1[[#This Row],[Country]],Table119[Women''s Classification],"&gt;0")</f>
        <v>1</v>
      </c>
      <c r="NZ4" s="6">
        <f>COUNTIFS(Table118[Country],Tabela1[[#This Row],[Country]],Table118[Mixed Classification],"&gt;0")</f>
        <v>0</v>
      </c>
      <c r="OA4" s="6">
        <f>COUNTIFS(Table120[Country],Tabela1[[#This Row],[Country]],Table120[Classification],"&gt;0")</f>
        <v>1</v>
      </c>
      <c r="OB4" s="6">
        <f>COUNTIFS(Table120123[Country],Tabela1[[#This Row],[Country]],Table120123[Classification],"&gt;0")</f>
        <v>0</v>
      </c>
      <c r="OC4" s="6">
        <f>COUNTIFS(Table123[Country],Tabela1[[#This Row],[Country]],Table123[Ice Dance Classification],"&gt;0")</f>
        <v>0</v>
      </c>
      <c r="OD4" s="6">
        <f>COUNTIFS(Table123[Country],Tabela1[[#This Row],[Country]],Table123[Pair Skating Classification],"&gt;0")</f>
        <v>2</v>
      </c>
      <c r="OE4" s="6">
        <f>COUNTIFS(Table124[Country],Tabela1[[#This Row],[Country]],Table124[Mixed Classification],"&gt;0")</f>
        <v>1</v>
      </c>
      <c r="OF4" s="6">
        <f>COUNTIFS(Table125[Country],Tabela1[[#This Row],[Country]],Table125[Aerials Classification],"&gt;0")</f>
        <v>1</v>
      </c>
      <c r="OG4" s="6">
        <f>COUNTIFS(Table125128[Country],Tabela1[[#This Row],[Country]],Table125128[Aerials Classification],"&gt;0")</f>
        <v>1</v>
      </c>
      <c r="OH4" s="6">
        <f>COUNTIFS(Table128[Country],Tabela1[[#This Row],[Country]],Table128[Mixed Aerials Classification],"&gt;0")</f>
        <v>0</v>
      </c>
      <c r="OI4" s="6">
        <f>COUNTIFS(Table125[Country],Tabela1[[#This Row],[Country]],Table125[Big Air Classification],"&gt;0")</f>
        <v>0</v>
      </c>
      <c r="OJ4" s="6">
        <f>COUNTIFS(Table125128[Country],Tabela1[[#This Row],[Country]],Table125128[Big Air Classification],"&gt;0")</f>
        <v>1</v>
      </c>
      <c r="OK4" s="6">
        <f>COUNTIFS(Table125[Country],Tabela1[[#This Row],[Country]],Table125[Dual Moguls Classification],"&gt;0")</f>
        <v>3</v>
      </c>
      <c r="OL4" s="6">
        <f>COUNTIFS(Table125128[Country],Tabela1[[#This Row],[Country]],Table125128[Dual Moguls Classification],"&gt;0")</f>
        <v>4</v>
      </c>
      <c r="OM4" s="6">
        <f>COUNTIFS(Table125[Country],Tabela1[[#This Row],[Country]],Table125[Halfpipe Classification],"&gt;0")</f>
        <v>1</v>
      </c>
      <c r="ON4" s="6">
        <f>COUNTIFS(Table125128[Country],Tabela1[[#This Row],[Country]],Table125128[Halfpipe Classification],"&gt;0")</f>
        <v>1</v>
      </c>
      <c r="OO4" s="6">
        <f>COUNTIFS(Table125[Country],Tabela1[[#This Row],[Country]],Table125[Moguls Classification],"&gt;0")</f>
        <v>3</v>
      </c>
      <c r="OP4" s="6">
        <f>COUNTIFS(Table125128[Country],Tabela1[[#This Row],[Country]],Table125128[Moguls Classification],"&gt;0")</f>
        <v>4</v>
      </c>
      <c r="OQ4" s="6">
        <f>COUNTIFS(Table125[Country],Tabela1[[#This Row],[Country]],Table125[Ski Cross Classification],"&gt;0")</f>
        <v>1</v>
      </c>
      <c r="OR4" s="6">
        <f>COUNTIFS(Table125128[Country],Tabela1[[#This Row],[Country]],Table125128[Ski Cross Classification],"&gt;0")</f>
        <v>2</v>
      </c>
      <c r="OS4" s="6">
        <f>COUNTIFS(Table125[Country],Tabela1[[#This Row],[Country]],Table125[Slopestyle Classification],"&gt;0")</f>
        <v>0</v>
      </c>
      <c r="OT4" s="6">
        <f>COUNTIFS(Table125128[Country],Tabela1[[#This Row],[Country]],Table125128[Slopestyle Classification],"&gt;0")</f>
        <v>1</v>
      </c>
      <c r="OU4" s="6">
        <f>COUNTIFS(Table119131[Country],Tabela1[[#This Row],[Country]],Table119131[Men''s Classification],"&gt;0")</f>
        <v>0</v>
      </c>
      <c r="OV4" s="6">
        <f>COUNTIFS(Table119131[Country],Tabela1[[#This Row],[Country]],Table119131[Women''s Classification],"&gt;0")</f>
        <v>1</v>
      </c>
      <c r="OW4" s="6">
        <f>COUNTIFS(Table131[Country],Tabela1[[#This Row],[Country]],Table131[Classification],"&gt;0")</f>
        <v>0</v>
      </c>
      <c r="OX4" s="6">
        <f>COUNTIFS(Table131134[Country],Tabela1[[#This Row],[Country]],Table131134[Classification],"&gt;0")</f>
        <v>0</v>
      </c>
      <c r="OY4" s="6">
        <f>COUNTIFS(Table134[Country],Tabela1[[#This Row],[Country]],Table134[Men''s Classification],"&gt;0")</f>
        <v>0</v>
      </c>
      <c r="OZ4" s="6">
        <f>COUNTIFS(Table134[Country],Tabela1[[#This Row],[Country]],Table134[Women''s Classification],"&gt;0")</f>
        <v>0</v>
      </c>
      <c r="PA4" s="6">
        <f>COUNTIFS(Table135[Country],Tabela1[[#This Row],[Country]],Table135[Mixed Relay Classification],"&gt;0")</f>
        <v>0</v>
      </c>
      <c r="PB4" s="6">
        <f>COUNTIFS(Table136[Country],Tabela1[[#This Row],[Country]],Table136[Individual Classification],"&gt;0")</f>
        <v>0</v>
      </c>
      <c r="PC4" s="6">
        <f>COUNTIFS(Table136[Country],Tabela1[[#This Row],[Country]],Table136[Sprint Classification],"&gt;0")</f>
        <v>0</v>
      </c>
      <c r="PD4" s="6">
        <f>COUNTIFS(Table137[Country],Tabela1[[#This Row],[Country]],Table137[Men''s Team Sprint Large Hill Classification],"&gt;0")</f>
        <v>0</v>
      </c>
      <c r="PE4" s="6">
        <f>COUNTIFS(Table138[Country],Tabela1[[#This Row],[Country]],Table138[500m Classification],"&gt;0")</f>
        <v>2</v>
      </c>
      <c r="PF4" s="6">
        <f>COUNTIFS(Table138141[Country],Tabela1[[#This Row],[Country]],Table138141[500m Classification],"&gt;0")</f>
        <v>0</v>
      </c>
      <c r="PG4" s="6">
        <f>COUNTIFS(Table138[Country],Tabela1[[#This Row],[Country]],Table138[1000m Classification],"&gt;0")</f>
        <v>2</v>
      </c>
      <c r="PH4" s="6">
        <f>COUNTIFS(Table138141[Country],Tabela1[[#This Row],[Country]],Table138141[1000m Classification],"&gt;0")</f>
        <v>1</v>
      </c>
      <c r="PI4" s="6">
        <f>COUNTIFS(Table138[Country],Tabela1[[#This Row],[Country]],Table138[1500m Classification],"&gt;0")</f>
        <v>2</v>
      </c>
      <c r="PJ4" s="6">
        <f>COUNTIFS(Table138141[Country],Tabela1[[#This Row],[Country]],Table138141[1500m Classification],"&gt;0")</f>
        <v>1</v>
      </c>
      <c r="PK4" s="6">
        <f>COUNTIFS(Table141[Country],Tabela1[[#This Row],[Country]],Table141[Men''s 5000m Relay Classification],"&gt;0")</f>
        <v>1</v>
      </c>
      <c r="PL4" s="6">
        <f>COUNTIFS(Table141[Country],Tabela1[[#This Row],[Country]],Table141[Women''s 3000m Relay Classification],"&gt;0")</f>
        <v>1</v>
      </c>
      <c r="PM4" s="6">
        <f>COUNTIFS(Table141[Country],Tabela1[[#This Row],[Country]],Table141[Mixed 2000m Relay Classification],"&gt;0")</f>
        <v>1</v>
      </c>
      <c r="PN4" s="6">
        <f>COUNTIFS(Table142[Country],Tabela1[[#This Row],[Country]],Table142[Classification],"&gt;0")</f>
        <v>0</v>
      </c>
      <c r="PO4" s="6">
        <f>COUNTIFS(Table142145[Country],Tabela1[[#This Row],[Country]],Table142145[Classification],"&gt;0")</f>
        <v>0</v>
      </c>
      <c r="PP4" s="6">
        <f>COUNTIFS(Tabela15[Country],Tabela1[[#This Row],[Country]],Tabela15[Mixed Team Classification],"&gt;0")</f>
        <v>0</v>
      </c>
      <c r="PQ4" s="6">
        <f>COUNTIFS(Table145[Country],Tabela1[[#This Row],[Country]],Table145[Large Hill Classification],"&gt;0")</f>
        <v>2</v>
      </c>
      <c r="PR4" s="6">
        <f>COUNTIFS(Table145[Country],Tabela1[[#This Row],[Country]],Table145[Normal Hill Classification],"&gt;0")</f>
        <v>2</v>
      </c>
      <c r="PS4" s="6">
        <f>COUNTIFS(Table145148[Country],Tabela1[[#This Row],[Country]],Table145148[Large Hill Classification],"&gt;0")</f>
        <v>3</v>
      </c>
      <c r="PT4" s="6">
        <f>COUNTIFS(Table145148[Country],Tabela1[[#This Row],[Country]],Table145148[Normal Hill Classification],"&gt;0")</f>
        <v>3</v>
      </c>
      <c r="PU4" s="6">
        <f>COUNTIFS(Table148[Country],Tabela1[[#This Row],[Country]],Table148[Men''s Super Team Classification],"&gt;0")</f>
        <v>1</v>
      </c>
      <c r="PV4" s="6">
        <f>COUNTIFS(Tabela114[Country],Tabela1[[#This Row],[Country]],Tabela114[Mixed Normal Hill Classification],"&gt;0")</f>
        <v>1</v>
      </c>
      <c r="PW4" s="6">
        <f>COUNTIFS(Tabela50[Country],Tabela1[[#This Row],[Country]],Tabela50[Sprint Classification],"&gt;0")</f>
        <v>0</v>
      </c>
      <c r="PX4" s="6">
        <f>COUNTIFS(Tabela50101[Country],Tabela1[[#This Row],[Country]],Tabela50101[Sprint Classification],"&gt;0")</f>
        <v>0</v>
      </c>
      <c r="PY4" s="6">
        <f>COUNTIFS(Tabela103[Country],Tabela1[[#This Row],[Country]],Tabela103[Mixed Relay Classification],"&gt;0")</f>
        <v>0</v>
      </c>
      <c r="PZ4" s="6">
        <f>COUNTIFS(Table149[Country],Tabela1[[#This Row],[Country]],Table149[Big Air Classification],"&gt;0")</f>
        <v>2</v>
      </c>
      <c r="QA4" s="6">
        <f>COUNTIFS(Table149152[Country],Tabela1[[#This Row],[Country]],Table149152[Big Air Classification],"&gt;0")</f>
        <v>2</v>
      </c>
      <c r="QB4" s="6">
        <f>COUNTIFS(Table149[Country],Tabela1[[#This Row],[Country]],Table149[Halfpipe Classification],"&gt;0")</f>
        <v>2</v>
      </c>
      <c r="QC4" s="6">
        <f>COUNTIFS(Table149152[Country],Tabela1[[#This Row],[Country]],Table149152[Halfpipe Classification],"&gt;0")</f>
        <v>1</v>
      </c>
      <c r="QD4" s="6">
        <f>COUNTIFS(Table149[Country],Tabela1[[#This Row],[Country]],Table149[Parallel Giant Slalom Classification],"&gt;0")</f>
        <v>1</v>
      </c>
      <c r="QE4" s="6">
        <f>COUNTIFS(Table149152[Country],Tabela1[[#This Row],[Country]],Table149152[Parallel Giant Slalom Classification],"&gt;0")</f>
        <v>1</v>
      </c>
      <c r="QF4" s="6">
        <f>COUNTIFS(Table149[Country],Tabela1[[#This Row],[Country]],Table149[Slopestyle Classification],"&gt;0")</f>
        <v>2</v>
      </c>
      <c r="QG4" s="6">
        <f>COUNTIFS(Table149152[Country],Tabela1[[#This Row],[Country]],Table149152[Slopestyle Classification],"&gt;0")</f>
        <v>2</v>
      </c>
      <c r="QH4" s="6">
        <f>COUNTIFS(Table149[Country],Tabela1[[#This Row],[Country]],Table149[Snowboard Cross Classification],"&gt;0")</f>
        <v>0</v>
      </c>
      <c r="QI4" s="6">
        <f>COUNTIFS(Table149152[Country],Tabela1[[#This Row],[Country]],Table149152[Snowboard Cross Classification],"&gt;0")</f>
        <v>1</v>
      </c>
      <c r="QJ4" s="6">
        <f>COUNTIFS(Table153[Country],Tabela1[[#This Row],[Country]],Table153[Mixed Team Snowboard Cross Classification],"&gt;0")</f>
        <v>0</v>
      </c>
      <c r="QK4" s="6">
        <f>COUNTIFS(Table154[Country],Tabela1[[#This Row],[Country]],Table154[500m Classification],"&gt;0")</f>
        <v>2</v>
      </c>
      <c r="QL4" s="6">
        <f>COUNTIFS(Table154157[Country],Tabela1[[#This Row],[Country]],Table154157[500m Classification],"&gt;0")</f>
        <v>1</v>
      </c>
      <c r="QM4" s="6">
        <f>COUNTIFS(Table154[Country],Tabela1[[#This Row],[Country]],Table154[1000m Classification],"&gt;0")</f>
        <v>3</v>
      </c>
      <c r="QN4" s="6">
        <f>COUNTIFS(Table154157[Country],Tabela1[[#This Row],[Country]],Table154157[1000m Classification],"&gt;0")</f>
        <v>1</v>
      </c>
      <c r="QO4" s="6">
        <f>COUNTIFS(Table154[Country],Tabela1[[#This Row],[Country]],Table154[1500m Classification],"&gt;0")</f>
        <v>3</v>
      </c>
      <c r="QP4" s="6">
        <f>COUNTIFS(Table154157[Country],Tabela1[[#This Row],[Country]],Table154157[1500m Classification],"&gt;0")</f>
        <v>3</v>
      </c>
      <c r="QQ4" s="6">
        <f>COUNTIFS(Table154157[Country],Tabela1[[#This Row],[Country]],Table154157[3000m Classification],"&gt;0")</f>
        <v>1</v>
      </c>
      <c r="QR4" s="6">
        <f>COUNTIFS(Table154[Country],Tabela1[[#This Row],[Country]],Table154[5000m Classification],"&gt;0")</f>
        <v>1</v>
      </c>
      <c r="QS4" s="6">
        <f>COUNTIFS(Table154157[Country],Tabela1[[#This Row],[Country]],Table154157[5000m Classification],"&gt;0")</f>
        <v>0</v>
      </c>
      <c r="QT4" s="6">
        <f>COUNTIFS(Table154[Country],Tabela1[[#This Row],[Country]],Table154[10000m Classification],"&gt;0")</f>
        <v>0</v>
      </c>
      <c r="QU4" s="6">
        <f>COUNTIFS(Table154[Country],Tabela1[[#This Row],[Country]],Table154[Mass Start Classification],"&gt;0")</f>
        <v>2</v>
      </c>
      <c r="QV4" s="6">
        <f>COUNTIFS(Table154157[Country],Tabela1[[#This Row],[Country]],Table154157[Mass Start Classification],"&gt;0")</f>
        <v>2</v>
      </c>
      <c r="QW4" s="6">
        <f>COUNTIFS(Table157[Country],Tabela1[[#This Row],[Country]],Table157[Men''s Pursuit Classification],"&gt;0")</f>
        <v>1</v>
      </c>
      <c r="QX4" s="6">
        <f>COUNTIFS(Table157[Country],Tabela1[[#This Row],[Country]],Table157[Women''s Pursuit Classification],"&gt;0")</f>
        <v>1</v>
      </c>
      <c r="QY4" s="3" t="s">
        <v>429</v>
      </c>
    </row>
    <row r="5" spans="1:467" x14ac:dyDescent="0.3">
      <c r="A5" s="6">
        <v>4</v>
      </c>
      <c r="B5" s="6" t="s">
        <v>356</v>
      </c>
      <c r="C5" t="e" vm="4">
        <f>IF(ISBLANK(Tabela1[[#This Row],[Image Link]]), "", _xlfn.IMAGE(Tabela1[[#This Row],[Image Link]],1,1))</f>
        <v>#VALUE!</v>
      </c>
      <c r="D5" s="6">
        <f>SUM(Tabela1[[#This Row],[Archery - Men''s Individual Recurve]:[Speed Skating - Women''s Team Pursuit]])</f>
        <v>227</v>
      </c>
      <c r="E5" s="6">
        <f>COUNTIF(Tabela1[[#This Row],[Archery - Men''s Individual Recurve]:[Speed Skating - Women''s Team Pursuit]],"&gt;0")</f>
        <v>176</v>
      </c>
      <c r="F5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Winter Olympics</v>
      </c>
      <c r="G5" s="6">
        <f>SUM(Tabela1[[#This Row],[Archery - Men''s Individual Recurve]:[Wrestling - Women''s Freestyle 76kg]])</f>
        <v>108</v>
      </c>
      <c r="H5" s="6">
        <f>SUM(Tabela1[[#This Row],[Alpine Skiing - Men''s Downhill]:[Speed Skating - Women''s Team Pursuit]])</f>
        <v>119</v>
      </c>
      <c r="I5" s="6">
        <f>Tabela1[[#This Row],[Summer Gold Medals]]+Tabela1[[#This Row],[Winter Gold Medals]]</f>
        <v>22</v>
      </c>
      <c r="J5" s="6">
        <f>Tabela1[[#This Row],[Summer Silver Medals]]+Tabela1[[#This Row],[Winter Silver Medals]]</f>
        <v>19</v>
      </c>
      <c r="K5" s="6">
        <f>Tabela1[[#This Row],[Summer Bronze Medals]]+Tabela1[[#This Row],[Winter Bronze Medals]]</f>
        <v>29</v>
      </c>
      <c r="L5" s="6">
        <f>SUM(Tabela1[[#This Row],[Total Gold Medals]:[Total Bronze Medals]])</f>
        <v>70</v>
      </c>
      <c r="M5" s="6">
        <v>12</v>
      </c>
      <c r="N5" s="6">
        <v>13</v>
      </c>
      <c r="O5" s="6">
        <v>15</v>
      </c>
      <c r="P5" s="6">
        <f>SUM(Tabela1[[#This Row],[Summer Gold Medals]:[Summer Bronze Medals]])</f>
        <v>40</v>
      </c>
      <c r="Q5" s="6">
        <v>10</v>
      </c>
      <c r="R5" s="6">
        <v>6</v>
      </c>
      <c r="S5" s="6">
        <v>14</v>
      </c>
      <c r="T5" s="6">
        <f>Tabela1[[#This Row],[Winter Gold Medals]]+Tabela1[[#This Row],[Winter Silver Medals]]+Tabela1[[#This Row],[Winter Bronze Medals]]</f>
        <v>30</v>
      </c>
      <c r="U5" s="7">
        <f>Tabela1[[#This Row],[Total Medals]]/Tabela1[[#This Row],[Total Quotas]]</f>
        <v>0.30837004405286345</v>
      </c>
      <c r="V5" s="6">
        <f>COUNTIFS(Table3[Country],Tabela1[[#This Row],[Country]],Table3[Recurve Classification],"&gt;0")</f>
        <v>0</v>
      </c>
      <c r="W5" s="6">
        <f>COUNTIFS(Table33[Country],Tabela1[[#This Row],[Country]],Table33[Recurve Classification],"&gt;0")</f>
        <v>1</v>
      </c>
      <c r="X5" s="6">
        <f>COUNTIFS(Table35[Country],Tabela1[[#This Row],[Country]],Table35[Men''s Team Recurve Classification],"&gt;0")</f>
        <v>0</v>
      </c>
      <c r="Y5" s="6">
        <f>COUNTIFS(Table35[Country],Tabela1[[#This Row],[Country]],Table35[Women''s Team Recurve Classification],"&gt;0")</f>
        <v>0</v>
      </c>
      <c r="Z5" s="6">
        <f>COUNTIFS(Tabela88[Country],Tabela1[[#This Row],[Country]],Tabela88[Mixed Team Recurve Classification],"&gt;0")</f>
        <v>1</v>
      </c>
      <c r="AA5" s="6">
        <f>COUNTIFS(Table36[Country],Tabela1[[#This Row],[Country]],Table36[Classification],"&gt;0")</f>
        <v>0</v>
      </c>
      <c r="AB5" s="6">
        <f>COUNTIFS(Table37[Country],Tabela1[[#This Row],[Country]],Table37[Classification],"&gt;0")</f>
        <v>1</v>
      </c>
      <c r="AC5" s="6">
        <f>COUNTIFS(Table4[Country],Tabela1[[#This Row],[Country]],Table4[100m Classification],"&gt;0")</f>
        <v>0</v>
      </c>
      <c r="AD5" s="6">
        <f>COUNTIFS(Table5[Country],Tabela1[[#This Row],[Country]],Table5[100m Classification],"&gt;0")</f>
        <v>0</v>
      </c>
      <c r="AE5" s="6">
        <f>COUNTIFS(Table4[Country],Tabela1[[#This Row],[Country]],Table4[200m Classification],"&gt;0")</f>
        <v>0</v>
      </c>
      <c r="AF5" s="6">
        <f>COUNTIFS(Table5[Country],Tabela1[[#This Row],[Country]],Table5[200m Classification],"&gt;0")</f>
        <v>0</v>
      </c>
      <c r="AG5" s="6">
        <f>COUNTIFS(Table4[Country],Tabela1[[#This Row],[Country]],Table4[400m Classification],"&gt;0")</f>
        <v>0</v>
      </c>
      <c r="AH5" s="6">
        <f>COUNTIFS(Table5[Country],Tabela1[[#This Row],[Country]],Table5[400m Classification],"&gt;0")</f>
        <v>0</v>
      </c>
      <c r="AI5" s="6">
        <f>COUNTIFS(Table4[Country],Tabela1[[#This Row],[Country]],Table4[800m Classification],"&gt;0")</f>
        <v>1</v>
      </c>
      <c r="AJ5" s="6">
        <f>COUNTIFS(Table5[Country],Tabela1[[#This Row],[Country]],Table5[800m Classification],"&gt;0")</f>
        <v>0</v>
      </c>
      <c r="AK5" s="6">
        <f>COUNTIFS(Table4[Country],Tabela1[[#This Row],[Country]],Table4[1500m Classification],"&gt;0")</f>
        <v>0</v>
      </c>
      <c r="AL5" s="6">
        <f>COUNTIFS(Table5[Country],Tabela1[[#This Row],[Country]],Table5[1500m Classification],"&gt;0")</f>
        <v>1</v>
      </c>
      <c r="AM5" s="6">
        <f>COUNTIFS(Table4[Country],Tabela1[[#This Row],[Country]],Table4[5000m Classification],"&gt;0")</f>
        <v>0</v>
      </c>
      <c r="AN5" s="6">
        <f>COUNTIFS(Table5[Country],Tabela1[[#This Row],[Country]],Table5[5000m Classification],"&gt;0")</f>
        <v>0</v>
      </c>
      <c r="AO5" s="6">
        <f>COUNTIFS(Table4[Country],Tabela1[[#This Row],[Country]],Table4[10000m Classification],"&gt;0")</f>
        <v>0</v>
      </c>
      <c r="AP5" s="6">
        <f>COUNTIFS(Table5[Country],Tabela1[[#This Row],[Country]],Table5[10000m Classification],"&gt;0")</f>
        <v>0</v>
      </c>
      <c r="AQ5" s="6">
        <f>COUNTIFS(Table4[Country],Tabela1[[#This Row],[Country]],Table4[110m Hurdles Classification],"&gt;0")</f>
        <v>1</v>
      </c>
      <c r="AR5" s="6">
        <f>COUNTIFS(Table5[Country],Tabela1[[#This Row],[Country]],Table5[100m Hurdles Classification],"&gt;0")</f>
        <v>0</v>
      </c>
      <c r="AS5" s="6">
        <f>COUNTIFS(Table4[Country],Tabela1[[#This Row],[Country]],Table4[400m Hurdles Classification],"&gt;0")</f>
        <v>0</v>
      </c>
      <c r="AT5" s="6">
        <f>COUNTIFS(Table5[Country],Tabela1[[#This Row],[Country]],Table5[400m Hurdles Classification],"&gt;0")</f>
        <v>0</v>
      </c>
      <c r="AU5" s="6">
        <f>COUNTIFS(Table4[Country],Tabela1[[#This Row],[Country]],Table4[3000m Steeplechase Classification],"&gt;0")</f>
        <v>1</v>
      </c>
      <c r="AV5" s="6">
        <f>COUNTIFS(Table5[Country],Tabela1[[#This Row],[Country]],Table5[3000m Steeplechase Classification],"&gt;0")</f>
        <v>0</v>
      </c>
      <c r="AW5" s="6">
        <f>COUNTIFS(Table27[Country],Tabela1[[#This Row],[Country]],Table27[Men''s 4x100m Relay Classification],"&gt;0")</f>
        <v>0</v>
      </c>
      <c r="AX5" s="6">
        <f>COUNTIFS(Table27[Country],Tabela1[[#This Row],[Country]],Table27[Women''s 4x100m Relay Classification],"&gt;0")</f>
        <v>0</v>
      </c>
      <c r="AY5" s="6">
        <f>COUNTIFS(Table27[Country],Tabela1[[#This Row],[Country]],Table27[Men''s 4x400m Relay Classification],"&gt;0")</f>
        <v>0</v>
      </c>
      <c r="AZ5" s="6">
        <f>COUNTIFS(Table27[Country],Tabela1[[#This Row],[Country]],Table27[Women''s 4x400m Relay Classification],"&gt;0")</f>
        <v>1</v>
      </c>
      <c r="BA5" s="6">
        <f>COUNTIFS(Table27[Country],Tabela1[[#This Row],[Country]],Table27[Mixed 4x400m Relay Classification],"&gt;0")</f>
        <v>1</v>
      </c>
      <c r="BB5" s="6">
        <f>COUNTIFS(Table4[Country],Tabela1[[#This Row],[Country]],Table4[Marathon Classification],"&gt;0")</f>
        <v>1</v>
      </c>
      <c r="BC5" s="6">
        <f>COUNTIFS(Table5[Country],Tabela1[[#This Row],[Country]],Table5[Marathon Classification],"&gt;0")</f>
        <v>1</v>
      </c>
      <c r="BD5" s="6">
        <f>COUNTIFS(Table4[Country],Tabela1[[#This Row],[Country]],Table4[20km Race Walk Classification],"&gt;0")</f>
        <v>1</v>
      </c>
      <c r="BE5" s="6">
        <f>COUNTIFS(Table5[Country],Tabela1[[#This Row],[Country]],Table5[20km Race Walk Classification],"&gt;0")</f>
        <v>1</v>
      </c>
      <c r="BF5" s="6">
        <f>COUNTIFS(Tabela96[Country],Tabela1[[#This Row],[Country]],Tabela96[Mixed Marathon Race Walk Relay Classification],"&gt;0")</f>
        <v>1</v>
      </c>
      <c r="BG5" s="6">
        <f>COUNTIFS(Table4[Country],Tabela1[[#This Row],[Country]],Table4[Discus Throw Classification],"&gt;0")</f>
        <v>0</v>
      </c>
      <c r="BH5" s="6">
        <f>COUNTIFS(Table5[Country],Tabela1[[#This Row],[Country]],Table5[Discus Throw Classification],"&gt;0")</f>
        <v>0</v>
      </c>
      <c r="BI5" s="6">
        <f>COUNTIFS(Table4[Country],Tabela1[[#This Row],[Country]],Table4[Hammer Throw Classification],"&gt;0")</f>
        <v>0</v>
      </c>
      <c r="BJ5" s="6">
        <f>COUNTIFS(Table5[Country],Tabela1[[#This Row],[Country]],Table5[Hammer Throw Classification],"&gt;0")</f>
        <v>1</v>
      </c>
      <c r="BK5" s="6">
        <f>COUNTIFS(Table4[Country],Tabela1[[#This Row],[Country]],Table4[High Jump Classification],"&gt;0")</f>
        <v>0</v>
      </c>
      <c r="BL5" s="6">
        <f>COUNTIFS(Table5[Country],Tabela1[[#This Row],[Country]],Table5[High Jump Classification],"&gt;0")</f>
        <v>0</v>
      </c>
      <c r="BM5" s="6">
        <f>COUNTIFS(Table4[Country],Tabela1[[#This Row],[Country]],Table4[Javelin Throw Classification],"&gt;0")</f>
        <v>0</v>
      </c>
      <c r="BN5" s="6">
        <f>COUNTIFS(Table5[Country],Tabela1[[#This Row],[Country]],Table5[Javelin Throw Classification],"&gt;0")</f>
        <v>0</v>
      </c>
      <c r="BO5" s="6">
        <f>COUNTIFS(Table4[Country],Tabela1[[#This Row],[Country]],Table4[Long Jump Classification],"&gt;0")</f>
        <v>0</v>
      </c>
      <c r="BP5" s="6">
        <f>COUNTIFS(Table5[Country],Tabela1[[#This Row],[Country]],Table5[Long Jump Classification],"&gt;0")</f>
        <v>0</v>
      </c>
      <c r="BQ5" s="6">
        <f>COUNTIFS(Table4[Country],Tabela1[[#This Row],[Country]],Table4[Pole Vault Classification],"&gt;0")</f>
        <v>0</v>
      </c>
      <c r="BR5" s="6">
        <f>COUNTIFS(Table5[Country],Tabela1[[#This Row],[Country]],Table5[Pole Vault Classification],"&gt;0")</f>
        <v>1</v>
      </c>
      <c r="BS5" s="6">
        <f>COUNTIFS(Table4[Country],Tabela1[[#This Row],[Country]],Table4[Shot Put Classification],"&gt;0")</f>
        <v>0</v>
      </c>
      <c r="BT5" s="6">
        <f>COUNTIFS(Table5[Country],Tabela1[[#This Row],[Country]],Table5[Shot Put Classification],"&gt;0")</f>
        <v>0</v>
      </c>
      <c r="BU5" s="6">
        <f>COUNTIFS(Table4[Country],Tabela1[[#This Row],[Country]],Table4[Triple Jump Classification],"&gt;0")</f>
        <v>1</v>
      </c>
      <c r="BV5" s="6">
        <f>COUNTIFS(Table5[Country],Tabela1[[#This Row],[Country]],Table5[Triple Jump Classification],"&gt;0")</f>
        <v>1</v>
      </c>
      <c r="BW5" s="6">
        <f>COUNTIFS(Table4[Country],Tabela1[[#This Row],[Country]],Table4[Decathlon Classification],"&gt;0")</f>
        <v>0</v>
      </c>
      <c r="BX5" s="6">
        <f>COUNTIFS(Table5[Country],Tabela1[[#This Row],[Country]],Table5[Heptathlon Classification],"&gt;0")</f>
        <v>0</v>
      </c>
      <c r="BY5" s="6">
        <f>COUNTIFS(Table61[Country],Tabela1[[#This Row],[Country]],Table61[Classification],"&gt;0")</f>
        <v>0</v>
      </c>
      <c r="BZ5" s="6">
        <f>COUNTIFS(Table38[Country],Tabela1[[#This Row],[Country]],Table38[Classification],"&gt;0")</f>
        <v>0</v>
      </c>
      <c r="CA5" s="6">
        <f>COUNTIFS(Table39[Country],Tabela1[[#This Row],[Country]],Table39[Men''s Classification],"&gt;0")</f>
        <v>0</v>
      </c>
      <c r="CB5" s="6">
        <f>COUNTIFS(Table39[Country],Tabela1[[#This Row],[Country]],Table39[Women''s Classification],"&gt;0")</f>
        <v>0</v>
      </c>
      <c r="CC5" s="6">
        <f>COUNTIFS(Table39[Country],Tabela1[[#This Row],[Country]],Table39[Mixed Classification],"&gt;0")</f>
        <v>0</v>
      </c>
      <c r="CD5" s="6">
        <f>COUNTIFS(Table89[Country],Tabela1[[#This Row],[Country]],Table89[Men''s Classification],"&gt;0")</f>
        <v>0</v>
      </c>
      <c r="CE5" s="6">
        <f>COUNTIFS(Table89[Country],Tabela1[[#This Row],[Country]],Table89[Women''s Classification],"&gt;0")</f>
        <v>0</v>
      </c>
      <c r="CF5" s="6">
        <f>COUNTIFS(Table90[Country],Tabela1[[#This Row],[Country]],Table90[Men''s Classification],"&gt;0")</f>
        <v>0</v>
      </c>
      <c r="CG5" s="6">
        <f>COUNTIFS(Table90[Country],Tabela1[[#This Row],[Country]],Table90[Women''s Classification],"&gt;0")</f>
        <v>0</v>
      </c>
      <c r="CH5" s="6">
        <f>COUNTIFS(Table60[Country],Tabela1[[#This Row],[Country]],Table60[Men''s Classification],"&gt;0")</f>
        <v>1</v>
      </c>
      <c r="CI5" s="6">
        <f>COUNTIFS(Table60[Country],Tabela1[[#This Row],[Country]],Table60[Women''s Classification],"&gt;0")</f>
        <v>1</v>
      </c>
      <c r="CJ5" s="6">
        <f>COUNTIFS(Table6[Country],Tabela1[[#This Row],[Country]],Table6[51kg Classification],"&gt;0")</f>
        <v>0</v>
      </c>
      <c r="CK5" s="6">
        <f>COUNTIFS(Table6[Country],Tabela1[[#This Row],[Country]],Table6[57kg Classification],"&gt;0")</f>
        <v>0</v>
      </c>
      <c r="CL5" s="6">
        <f>COUNTIFS(Table6[Country],Tabela1[[#This Row],[Country]],Table6[63.5kg Classification],"&gt;0")</f>
        <v>0</v>
      </c>
      <c r="CM5" s="6">
        <f>COUNTIFS(Table6[Country],Tabela1[[#This Row],[Country]],Table6[71kg Classification],"&gt;0")</f>
        <v>0</v>
      </c>
      <c r="CN5" s="6">
        <f>COUNTIFS(Table6[Country],Tabela1[[#This Row],[Country]],Table6[80kg Classification],"&gt;0")</f>
        <v>1</v>
      </c>
      <c r="CO5" s="6">
        <f>COUNTIFS(Table6[Country],Tabela1[[#This Row],[Country]],Table6[92kg Classification],"&gt;0")</f>
        <v>0</v>
      </c>
      <c r="CP5" s="6">
        <f>COUNTIFS(Table6[Country],Tabela1[[#This Row],[Country]],Table6[Plus 92kg Classification],"&gt;0")</f>
        <v>0</v>
      </c>
      <c r="CQ5" s="6">
        <f>COUNTIFS(Table7[Country],Tabela1[[#This Row],[Country]],Table7[50kg Classification],"&gt;0")</f>
        <v>0</v>
      </c>
      <c r="CR5" s="6">
        <f>COUNTIFS(Table7[Country],Tabela1[[#This Row],[Country]],Table7[54kg Classification],"&gt;0")</f>
        <v>0</v>
      </c>
      <c r="CS5" s="6">
        <f>COUNTIFS(Table7[Country],Tabela1[[#This Row],[Country]],Table7[57kg Classification],"&gt;0")</f>
        <v>0</v>
      </c>
      <c r="CT5" s="6">
        <f>COUNTIFS(Table7[Country],Tabela1[[#This Row],[Country]],Table7[60kg Classification],"&gt;0")</f>
        <v>1</v>
      </c>
      <c r="CU5" s="6">
        <f>COUNTIFS(Table7[Country],Tabela1[[#This Row],[Country]],Table7[66kg Classification],"&gt;0")</f>
        <v>0</v>
      </c>
      <c r="CV5" s="6">
        <f>COUNTIFS(Table7[Country],Tabela1[[#This Row],[Country]],Table7[75kg Classification],"&gt;0")</f>
        <v>0</v>
      </c>
      <c r="CW5" s="6">
        <f>COUNTIFS(Tabela94[Country],Tabela1[[#This Row],[Country]],Tabela94[Classification],"&gt;0")</f>
        <v>0</v>
      </c>
      <c r="CX5" s="6">
        <f>COUNTIFS(Tabela9499[Country],Tabela1[[#This Row],[Country]],Tabela9499[Classification],"&gt;0")</f>
        <v>0</v>
      </c>
      <c r="CY5" s="6">
        <f>COUNTIFS(Tabela107[Country],Tabela1[[#This Row],[Country]],Tabela107[C1 Slalom Classification],"&gt;0")</f>
        <v>1</v>
      </c>
      <c r="CZ5" s="6">
        <f>COUNTIFS(Tabela107122[Country],Tabela1[[#This Row],[Country]],Tabela107122[C1 Slalom Classification],"&gt;0")</f>
        <v>1</v>
      </c>
      <c r="DA5" s="6">
        <f>COUNTIFS(Tabela107[Country],Tabela1[[#This Row],[Country]],Tabela107[K1 Slalom Classification],"&gt;0")</f>
        <v>0</v>
      </c>
      <c r="DB5" s="6">
        <f>COUNTIFS(Tabela107122[Country],Tabela1[[#This Row],[Country]],Tabela107122[K1 Slalom Classification],"&gt;0")</f>
        <v>0</v>
      </c>
      <c r="DC5" s="6">
        <f>COUNTIFS(Tabela107[Country],Tabela1[[#This Row],[Country]],Tabela107[Kayak Cross Slalom Classification],"&gt;0")</f>
        <v>0</v>
      </c>
      <c r="DD5" s="6">
        <f>COUNTIFS(Tabela107122[Country],Tabela1[[#This Row],[Country]],Tabela107122[Kayak Cross Slalom Classification],"&gt;0")</f>
        <v>1</v>
      </c>
      <c r="DE5" s="6">
        <f>COUNTIFS(Table8[Country],Tabela1[[#This Row],[Country]],Table8[C1 200m Classification],"&gt;0")</f>
        <v>0</v>
      </c>
      <c r="DF5" s="6">
        <f>COUNTIFS(Table40[Country],Tabela1[[#This Row],[Country]],Table40[C1 1000m Classification],"&gt;0")</f>
        <v>0</v>
      </c>
      <c r="DG5" s="6">
        <f>COUNTIFS(Table68[Country],Tabela1[[#This Row],[Country]],Table68[Men''s C2 500m Classification],"&gt;0")</f>
        <v>0</v>
      </c>
      <c r="DH5" s="6">
        <f>COUNTIFS(Table68[Country],Tabela1[[#This Row],[Country]],Table68[Women''s C2 500m Classification],"&gt;0")</f>
        <v>0</v>
      </c>
      <c r="DI5" s="6">
        <f>COUNTIFS(Table8[Country],Tabela1[[#This Row],[Country]],Table8[K1 500m Classification],"&gt;0")</f>
        <v>0</v>
      </c>
      <c r="DJ5" s="6">
        <f>COUNTIFS(Table40[Country],Tabela1[[#This Row],[Country]],Table40[K1 1000m Classification],"&gt;0")</f>
        <v>0</v>
      </c>
      <c r="DK5" s="6">
        <f>COUNTIFS(Table68[Country],Tabela1[[#This Row],[Country]],Table68[Men''s K2 500m Classification],"&gt;0")</f>
        <v>0</v>
      </c>
      <c r="DL5" s="6">
        <f>COUNTIFS(Table68[Country],Tabela1[[#This Row],[Country]],Table68[Women''s K2 500m Classification],"&gt;0")</f>
        <v>0</v>
      </c>
      <c r="DM5" s="6">
        <f>COUNTIFS(Table83[Country],Tabela1[[#This Row],[Country]],Table83[Men''s K4 500m Classification],"&gt;0")</f>
        <v>0</v>
      </c>
      <c r="DN5" s="6">
        <f>COUNTIFS(Table83[Country],Tabela1[[#This Row],[Country]],Table83[Women''s K4 500m Classification],"&gt;0")</f>
        <v>0</v>
      </c>
      <c r="DO5" s="6">
        <f>COUNTIFS(Tabela126[Country],Tabela1[[#This Row],[Country]],Tabela126[Classification],"&gt;0")</f>
        <v>0</v>
      </c>
      <c r="DP5" s="6">
        <f>COUNTIFS(Tabela126130[Country],Tabela1[[#This Row],[Country]],Tabela126130[Classification],"&gt;0")</f>
        <v>0</v>
      </c>
      <c r="DQ5" s="6">
        <f>COUNTIFS(Table70[Country],Tabela1[[#This Row],[Country]],Table70[Classification],"&gt;0")</f>
        <v>1</v>
      </c>
      <c r="DR5" s="6">
        <f>COUNTIFS(Table80[Country],Tabela1[[#This Row],[Country]],Table80[Classification],"&gt;0")</f>
        <v>0</v>
      </c>
      <c r="DS5" s="6">
        <f>COUNTIFS(Table66[Country],Tabela1[[#This Row],[Country]],Table66[Classification],"&gt;0")</f>
        <v>1</v>
      </c>
      <c r="DT5" s="6">
        <f>COUNTIFS(Table67[Country],Tabela1[[#This Row],[Country]],Table67[Classification],"&gt;0")</f>
        <v>0</v>
      </c>
      <c r="DU5" s="6">
        <f>COUNTIFS(Table69[Country],Tabela1[[#This Row],[Country]],Table69[Keirin Classification],"&gt;0")</f>
        <v>0</v>
      </c>
      <c r="DV5" s="6">
        <f>COUNTIFS(Table41[Country],Tabela1[[#This Row],[Country]],Table41[Keirin Classification],"&gt;0")</f>
        <v>1</v>
      </c>
      <c r="DW5" s="6">
        <f>COUNTIFS(Table84[Country],Tabela1[[#This Row],[Country]],Table84[Men''s Madison Classification],"&gt;0")</f>
        <v>1</v>
      </c>
      <c r="DX5" s="6">
        <f>COUNTIFS(Table84[Country],Tabela1[[#This Row],[Country]],Table84[Women''s Madison Classification],"&gt;0")</f>
        <v>0</v>
      </c>
      <c r="DY5" s="6">
        <f>COUNTIFS(Table69[Country],Tabela1[[#This Row],[Country]],Table69[Omnium Classification],"&gt;0")</f>
        <v>1</v>
      </c>
      <c r="DZ5" s="6">
        <f>COUNTIFS(Table41[Country],Tabela1[[#This Row],[Country]],Table41[Omnium Classification],"&gt;0")</f>
        <v>0</v>
      </c>
      <c r="EA5" s="6">
        <f>COUNTIFS(Table9[Country],Tabela1[[#This Row],[Country]],Table9[Road Race Classification],"&gt;0")</f>
        <v>1</v>
      </c>
      <c r="EB5" s="6">
        <f>COUNTIFS(Table14[Country],Tabela1[[#This Row],[Country]],Table14[Road Race Classification],"&gt;0")</f>
        <v>1</v>
      </c>
      <c r="EC5" s="6">
        <f>COUNTIFS(Table69[Country],Tabela1[[#This Row],[Country]],Table69[Sprint Classification],"&gt;0")</f>
        <v>0</v>
      </c>
      <c r="ED5" s="6">
        <f>COUNTIFS(Table41[Country],Tabela1[[#This Row],[Country]],Table41[Sprint Classification],"&gt;0")</f>
        <v>1</v>
      </c>
      <c r="EE5" s="6">
        <f>COUNTIFS(Table85[Country],Tabela1[[#This Row],[Country]],Table85[Men''s Sprint Classification],"&gt;0")</f>
        <v>0</v>
      </c>
      <c r="EF5" s="6">
        <f>COUNTIFS(Table85[Country],Tabela1[[#This Row],[Country]],Table85[Women''s Sprint Classification],"&gt;0")</f>
        <v>0</v>
      </c>
      <c r="EG5" s="6">
        <f>COUNTIFS(Table85[Country],Tabela1[[#This Row],[Country]],Table85[Men''s Pursuit Classification],"&gt;0")</f>
        <v>1</v>
      </c>
      <c r="EH5" s="6">
        <f>COUNTIFS(Table85[Country],Tabela1[[#This Row],[Country]],Table85[Women''s Pursuit Classification],"&gt;0")</f>
        <v>0</v>
      </c>
      <c r="EI5" s="6">
        <f>COUNTIFS(Table9[Country],Tabela1[[#This Row],[Country]],Table9[Time-Trial Classification],"&gt;0")</f>
        <v>0</v>
      </c>
      <c r="EJ5" s="6">
        <f>COUNTIFS(Table14[Country],Tabela1[[#This Row],[Country]],Table14[Time-Trial Classification],"&gt;0")</f>
        <v>0</v>
      </c>
      <c r="EK5" s="6">
        <f>COUNTIFS(Table42[Country],Tabela1[[#This Row],[Country]],Table42[Springboard Classification],"&gt;0")</f>
        <v>1</v>
      </c>
      <c r="EL5" s="6">
        <f>COUNTIFS(Table43[Country],Tabela1[[#This Row],[Country]],Table43[Springboard Classification],"&gt;0")</f>
        <v>0</v>
      </c>
      <c r="EM5" s="6">
        <f>COUNTIFS(Table42[Country],Tabela1[[#This Row],[Country]],Table42[Platform Classification],"&gt;0")</f>
        <v>0</v>
      </c>
      <c r="EN5" s="6">
        <f>COUNTIFS(Table43[Country],Tabela1[[#This Row],[Country]],Table43[Platform Classification],"&gt;0")</f>
        <v>0</v>
      </c>
      <c r="EO5" s="6">
        <f>COUNTIFS(Table86[Country],Tabela1[[#This Row],[Country]],Table86[Men''s Synchronized Springboard Classification],"&gt;0")</f>
        <v>1</v>
      </c>
      <c r="EP5" s="6">
        <f>COUNTIFS(Table86[Country],Tabela1[[#This Row],[Country]],Table86[Women''s Synchronized Springboard Classification],"&gt;0")</f>
        <v>0</v>
      </c>
      <c r="EQ5" s="6">
        <f>COUNTIFS(Table86[Country],Tabela1[[#This Row],[Country]],Table86[Men''s Synchronized Platform Classification],"&gt;0")</f>
        <v>0</v>
      </c>
      <c r="ER5" s="6">
        <f>COUNTIFS(Table86[Country],Tabela1[[#This Row],[Country]],Table86[Women''s Synchronized Platform Classification],"&gt;0")</f>
        <v>0</v>
      </c>
      <c r="ES5" s="6">
        <f>COUNTIFS(Table44[Country],Tabela1[[#This Row],[Country]],Table44[Dressage Classification],"&gt;0")</f>
        <v>0</v>
      </c>
      <c r="ET5" s="6">
        <f>COUNTIFS(Table45[Country],Tabela1[[#This Row],[Country]],Table45[Dressage Classification],"&gt;0")</f>
        <v>0</v>
      </c>
      <c r="EU5" s="6">
        <f>COUNTIFS(Table44[Country],Tabela1[[#This Row],[Country]],Table44[Eventing Classification],"&gt;0")</f>
        <v>1</v>
      </c>
      <c r="EV5" s="6">
        <f>COUNTIFS(Table45[Country],Tabela1[[#This Row],[Country]],Table45[Eventing Classification],"&gt;0")</f>
        <v>1</v>
      </c>
      <c r="EW5" s="6">
        <f>COUNTIFS(Table44[Country],Tabela1[[#This Row],[Country]],Table44[Jumping Classification],"&gt;0")</f>
        <v>0</v>
      </c>
      <c r="EX5" s="6">
        <f>COUNTIFS(Table45[Country],Tabela1[[#This Row],[Country]],Table45[Jumping Classification],"&gt;0")</f>
        <v>0</v>
      </c>
      <c r="EY5" s="6">
        <f>COUNTIFS(Table10[Country],Tabela1[[#This Row],[Country]],Table10[Épée Classification],"&gt;0")</f>
        <v>0</v>
      </c>
      <c r="EZ5" s="6">
        <f>COUNTIFS(Table11[Country],Tabela1[[#This Row],[Country]],Table11[Épée Classification],"&gt;0")</f>
        <v>3</v>
      </c>
      <c r="FA5" s="6">
        <f>COUNTIFS(Table46[Country],Tabela1[[#This Row],[Country]],Table46[Men''s Épée Classification],"&gt;0")</f>
        <v>0</v>
      </c>
      <c r="FB5" s="6">
        <f>COUNTIFS(Table46[Country],Tabela1[[#This Row],[Country]],Table46[Women''s Épée Classification],"&gt;0")</f>
        <v>1</v>
      </c>
      <c r="FC5" s="6">
        <f>COUNTIFS(Table10[Country],Tabela1[[#This Row],[Country]],Table10[Foil Classification],"&gt;0")</f>
        <v>1</v>
      </c>
      <c r="FD5" s="6">
        <f>COUNTIFS(Table11[Country],Tabela1[[#This Row],[Country]],Table11[Foil Classification],"&gt;0")</f>
        <v>1</v>
      </c>
      <c r="FE5" s="6">
        <f>COUNTIFS(Table46[Country],Tabela1[[#This Row],[Country]],Table46[Men''s Foil Classification],"&gt;0")</f>
        <v>1</v>
      </c>
      <c r="FF5" s="6">
        <f>COUNTIFS(Table46[Country],Tabela1[[#This Row],[Country]],Table46[Women''s Foil Classification],"&gt;0")</f>
        <v>1</v>
      </c>
      <c r="FG5" s="6">
        <f>COUNTIFS(Table10[Country],Tabela1[[#This Row],[Country]],Table10[Sabre Classification],"&gt;0")</f>
        <v>0</v>
      </c>
      <c r="FH5" s="6">
        <f>COUNTIFS(Table11[Country],Tabela1[[#This Row],[Country]],Table11[Sabre Classification],"&gt;0")</f>
        <v>1</v>
      </c>
      <c r="FI5" s="6">
        <f>COUNTIFS(Table46[Country],Tabela1[[#This Row],[Country]],Table46[Men''s Sabre Classification],"&gt;0")</f>
        <v>0</v>
      </c>
      <c r="FJ5" s="6">
        <f>COUNTIFS(Table46[Country],Tabela1[[#This Row],[Country]],Table46[Women''s Sabre Classification],"&gt;0")</f>
        <v>1</v>
      </c>
      <c r="FK5" s="6">
        <f>COUNTIFS(Table91[Country],Tabela1[[#This Row],[Country]],Table91[Men''s Classification],"&gt;0")</f>
        <v>0</v>
      </c>
      <c r="FL5" s="6">
        <f>COUNTIFS(Table91[Country],Tabela1[[#This Row],[Country]],Table91[Women''s Classification],"&gt;0")</f>
        <v>0</v>
      </c>
      <c r="FM5" s="6">
        <f>COUNTIFS(Table9194[Country],Tabela1[[#This Row],[Country]],Table9194[Men''s Classification],"&gt;0")</f>
        <v>0</v>
      </c>
      <c r="FN5" s="6">
        <f>COUNTIFS(Table9194[Country],Tabela1[[#This Row],[Country]],Table9194[Women''s Classification],"&gt;0")</f>
        <v>0</v>
      </c>
      <c r="FO5" s="6">
        <f>COUNTIFS(Table71[Country],Tabela1[[#This Row],[Country]],Table71[Classification],"&gt;0")</f>
        <v>1</v>
      </c>
      <c r="FP5" s="6">
        <f>COUNTIFS(Table62[Country],Tabela1[[#This Row],[Country]],Table62[Classification],"&gt;0")</f>
        <v>1</v>
      </c>
      <c r="FQ5" s="6">
        <f>COUNTIFS(Table47[Country],Tabela1[[#This Row],[Country]],Table47[All-Around Classification],"&gt;0")</f>
        <v>0</v>
      </c>
      <c r="FR5" s="6">
        <f>COUNTIFS(Table48[Country],Tabela1[[#This Row],[Country]],Table48[All-Around Classification],"&gt;0")</f>
        <v>0</v>
      </c>
      <c r="FS5" s="6">
        <f>COUNTIFS(Table81[Country],Tabela1[[#This Row],[Country]],Table81[Men''s All-Around Classification],"&gt;0")</f>
        <v>1</v>
      </c>
      <c r="FT5" s="6">
        <f>COUNTIFS(Table81[Country],Tabela1[[#This Row],[Country]],Table81[Women''s All-Around Classification],"&gt;0")</f>
        <v>0</v>
      </c>
      <c r="FU5" s="6">
        <f>COUNTIFS(Table48[Country],Tabela1[[#This Row],[Country]],Table48[Balance Beam Classification],"&gt;0")</f>
        <v>0</v>
      </c>
      <c r="FV5" s="6">
        <f>COUNTIFS(Table47[Country],Tabela1[[#This Row],[Country]],Table47[Floor Exercise Classification],"&gt;0")</f>
        <v>0</v>
      </c>
      <c r="FW5" s="6">
        <f>COUNTIFS(Table48[Country],Tabela1[[#This Row],[Country]],Table48[Floor Exercise Classification],"&gt;0")</f>
        <v>0</v>
      </c>
      <c r="FX5" s="6">
        <f>COUNTIFS(Table47[Country],Tabela1[[#This Row],[Country]],Table47[Horizontal Bar Classification],"&gt;0")</f>
        <v>1</v>
      </c>
      <c r="FY5" s="6">
        <f>COUNTIFS(Table47[Country],Tabela1[[#This Row],[Country]],Table47[Parallel Bars Classification],"&gt;0")</f>
        <v>0</v>
      </c>
      <c r="FZ5" s="6">
        <f>COUNTIFS(Table47[Country],Tabela1[[#This Row],[Country]],Table47[Pommel Horse Classification],"&gt;0")</f>
        <v>1</v>
      </c>
      <c r="GA5" s="6">
        <f>COUNTIFS(Table47[Country],Tabela1[[#This Row],[Country]],Table47[Rings Classification],"&gt;0")</f>
        <v>0</v>
      </c>
      <c r="GB5" s="6">
        <f>COUNTIFS(Tabela132[Country],Tabela1[[#This Row],[Country]],Tabela132[Classification],"&gt;0")</f>
        <v>0</v>
      </c>
      <c r="GC5" s="6">
        <f>COUNTIFS(Tabela139[Country],Tabela1[[#This Row],[Country]],Tabela139[Classification],"&gt;0")</f>
        <v>0</v>
      </c>
      <c r="GD5" s="6">
        <f>COUNTIFS(Table48[Country],Tabela1[[#This Row],[Country]],Table48[Uneven Bars Classification],"&gt;0")</f>
        <v>0</v>
      </c>
      <c r="GE5" s="6">
        <f>COUNTIFS(Table47[Country],Tabela1[[#This Row],[Country]],Table47[Vault Classification],"&gt;0")</f>
        <v>0</v>
      </c>
      <c r="GF5" s="6">
        <f>COUNTIFS(Table48[Country],Tabela1[[#This Row],[Country]],Table48[Vault Classification],"&gt;0")</f>
        <v>0</v>
      </c>
      <c r="GG5" s="6">
        <f>COUNTIFS(Table919496[Country],Tabela1[[#This Row],[Country]],Table919496[Men''s Classification],"&gt;0")</f>
        <v>0</v>
      </c>
      <c r="GH5" s="6">
        <f>COUNTIFS(Table919496[Country],Tabela1[[#This Row],[Country]],Table919496[Women''s Classification],"&gt;0")</f>
        <v>0</v>
      </c>
      <c r="GI5" s="6">
        <f>COUNTIFS(Table12[Country],Tabela1[[#This Row],[Country]],Table12[60kg Classification],"&gt;0")</f>
        <v>0</v>
      </c>
      <c r="GJ5" s="6">
        <f>COUNTIFS(Table12[Country],Tabela1[[#This Row],[Country]],Table12[66kg Classification],"&gt;0")</f>
        <v>0</v>
      </c>
      <c r="GK5" s="6">
        <f>COUNTIFS(Table12[Country],Tabela1[[#This Row],[Country]],Table12[73kg Classification],"&gt;0")</f>
        <v>0</v>
      </c>
      <c r="GL5" s="6">
        <f>COUNTIFS(Table12[Country],Tabela1[[#This Row],[Country]],Table12[81kg Classification],"&gt;0")</f>
        <v>0</v>
      </c>
      <c r="GM5" s="6">
        <f>COUNTIFS(Table12[Country],Tabela1[[#This Row],[Country]],Table12[90kg Classification],"&gt;0")</f>
        <v>0</v>
      </c>
      <c r="GN5" s="6">
        <f>COUNTIFS(Table12[Country],Tabela1[[#This Row],[Country]],Table12[100kg Classification],"&gt;0")</f>
        <v>0</v>
      </c>
      <c r="GO5" s="6">
        <f>COUNTIFS(Table12[Country],Tabela1[[#This Row],[Country]],Table12[Plus 100kg Classification],"&gt;0")</f>
        <v>0</v>
      </c>
      <c r="GP5" s="6">
        <f>COUNTIFS(Table13[Country],Tabela1[[#This Row],[Country]],Table13[48kg Classification],"&gt;0")</f>
        <v>0</v>
      </c>
      <c r="GQ5" s="6">
        <f>COUNTIFS(Table13[Country],Tabela1[[#This Row],[Country]],Table13[52kg Classification],"&gt;0")</f>
        <v>0</v>
      </c>
      <c r="GR5" s="6">
        <f>COUNTIFS(Table13[Country],Tabela1[[#This Row],[Country]],Table13[57kg Classification],"&gt;0")</f>
        <v>1</v>
      </c>
      <c r="GS5" s="6">
        <f>COUNTIFS(Table13[Country],Tabela1[[#This Row],[Country]],Table13[63kg Classification],"&gt;0")</f>
        <v>0</v>
      </c>
      <c r="GT5" s="6">
        <f>COUNTIFS(Table13[Country],Tabela1[[#This Row],[Country]],Table13[70kg Classification],"&gt;0")</f>
        <v>0</v>
      </c>
      <c r="GU5" s="6">
        <f>COUNTIFS(Table13[Country],Tabela1[[#This Row],[Country]],Table13[78kg Classification],"&gt;0")</f>
        <v>0</v>
      </c>
      <c r="GV5" s="6">
        <f>COUNTIFS(Table13[Country],Tabela1[[#This Row],[Country]],Table13[Plus 78kg Classification],"&gt;0")</f>
        <v>1</v>
      </c>
      <c r="GW5" s="6">
        <f>COUNTIFS(Table82[Country],Tabela1[[#This Row],[Country]],Table82[Mixed Classification],"&gt;0")</f>
        <v>1</v>
      </c>
      <c r="GX5" s="6">
        <f>COUNTIFS(Table51[Country],Tabela1[[#This Row],[Country]],Table51[Classification],"&gt;0")</f>
        <v>0</v>
      </c>
      <c r="GY5" s="6">
        <f>COUNTIFS(Table52[Country],Tabela1[[#This Row],[Country]],Table52[Classification],"&gt;0")</f>
        <v>0</v>
      </c>
      <c r="GZ5" s="6">
        <f>COUNTIFS(Table32[Country],Tabela1[[#This Row],[Country]],Table32[All-Around Classification],"&gt;0")</f>
        <v>2</v>
      </c>
      <c r="HA5" s="6">
        <f>COUNTIFS(Table49[Country],Tabela1[[#This Row],[Country]],Table49[All-Around Classification],"&gt;0")</f>
        <v>0</v>
      </c>
      <c r="HB5" s="6">
        <f>COUNTIFS(Table26[Country],Tabela1[[#This Row],[Country]],Table26[Single Sculls Classification],"&gt;0")</f>
        <v>0</v>
      </c>
      <c r="HC5" s="6">
        <f>COUNTIFS(Table63[Country],Tabela1[[#This Row],[Country]],Table63[Single Sculls Classification],"&gt;0")</f>
        <v>0</v>
      </c>
      <c r="HD5" s="6">
        <f>COUNTIFS(Table16[Country],Tabela1[[#This Row],[Country]],Table16[Men''s Double Sculls Classification],"&gt;0")</f>
        <v>1</v>
      </c>
      <c r="HE5" s="6">
        <f>COUNTIFS(Table16[Country],Tabela1[[#This Row],[Country]],Table16[Women''s Double Sculls Classification],"&gt;0")</f>
        <v>1</v>
      </c>
      <c r="HF5" s="6">
        <f>COUNTIFS(Table72[Country],Tabela1[[#This Row],[Country]],Table72[Men''s Quadruple Sculls Classification],"&gt;0")</f>
        <v>1</v>
      </c>
      <c r="HG5" s="6">
        <f>COUNTIFS(Table72[Country],Tabela1[[#This Row],[Country]],Table72[Women''s Quadruple Sculls Classification],"&gt;0")</f>
        <v>0</v>
      </c>
      <c r="HH5" s="6">
        <f>COUNTIFS(Table16[Country],Tabela1[[#This Row],[Country]],Table16[Men''s Coxless Pairs Classification],"&gt;0")</f>
        <v>1</v>
      </c>
      <c r="HI5" s="6">
        <f>COUNTIFS(Table16[Country],Tabela1[[#This Row],[Country]],Table16[Women''s Coxless Pairs Classification],"&gt;0")</f>
        <v>0</v>
      </c>
      <c r="HJ5" s="6">
        <f>COUNTIFS(Table72[Country],Tabela1[[#This Row],[Country]],Table72[Men''s Coxless Fours Classification],"&gt;0")</f>
        <v>1</v>
      </c>
      <c r="HK5" s="6">
        <f>COUNTIFS(Table72[Country],Tabela1[[#This Row],[Country]],Table72[Women''s Coxless Fours Classification],"&gt;0")</f>
        <v>0</v>
      </c>
      <c r="HL5" s="6">
        <f>COUNTIFS(Table72[Country],Tabela1[[#This Row],[Country]],Table72[Men''s Eights Classification],"&gt;0")</f>
        <v>1</v>
      </c>
      <c r="HM5" s="6">
        <f>COUNTIFS(Table72[Country],Tabela1[[#This Row],[Country]],Table72[Women''s Eights Classification],"&gt;0")</f>
        <v>1</v>
      </c>
      <c r="HN5" s="6">
        <f>COUNTIFS(Table16[Country],Tabela1[[#This Row],[Country]],Table16[Men''s Lwt. Double Sculls Classification],"&gt;0")</f>
        <v>1</v>
      </c>
      <c r="HO5" s="6">
        <f>COUNTIFS(Table16[Country],Tabela1[[#This Row],[Country]],Table16[Women''s Lwt. Double Sculls Classification],"&gt;0")</f>
        <v>0</v>
      </c>
      <c r="HP5" s="6">
        <f>COUNTIFS(Table91949698[Country],Tabela1[[#This Row],[Country]],Table91949698[Men''s Classification],"&gt;0")</f>
        <v>0</v>
      </c>
      <c r="HQ5" s="6">
        <f>COUNTIFS(Table91949698[Country],Tabela1[[#This Row],[Country]],Table91949698[Women''s Classification],"&gt;0")</f>
        <v>0</v>
      </c>
      <c r="HR5" s="6">
        <f>COUNTIFS(Table25[Country],Tabela1[[#This Row],[Country]],Table25[Mixed 470 Classification],"&gt;0")</f>
        <v>0</v>
      </c>
      <c r="HS5" s="6">
        <f>COUNTIFS(Table25[Country],Tabela1[[#This Row],[Country]],Table25[Men''s 49er Classification],"&gt;0")</f>
        <v>0</v>
      </c>
      <c r="HT5" s="6">
        <f>COUNTIFS(Table25[Country],Tabela1[[#This Row],[Country]],Table25[Women''s 49er FX Classification],"&gt;0")</f>
        <v>1</v>
      </c>
      <c r="HU5" s="6">
        <f>COUNTIFS(Table17[Country],Tabela1[[#This Row],[Country]],Table17[Formula Kite Classification],"&gt;0")</f>
        <v>0</v>
      </c>
      <c r="HV5" s="6">
        <f>COUNTIFS(Table18[Country],Tabela1[[#This Row],[Country]],Table18[Formula Kite Classification],"&gt;0")</f>
        <v>1</v>
      </c>
      <c r="HW5" s="6">
        <f>COUNTIFS(Table17[Country],Tabela1[[#This Row],[Country]],Table17[ILCA 7 Classification],"&gt;0")</f>
        <v>0</v>
      </c>
      <c r="HX5" s="6">
        <f>COUNTIFS(Table18[Country],Tabela1[[#This Row],[Country]],Table18[ILCA 6 Classification],"&gt;0")</f>
        <v>0</v>
      </c>
      <c r="HY5" s="6">
        <f>COUNTIFS(Table17[Country],Tabela1[[#This Row],[Country]],Table17[IQFoil Classification],"&gt;0")</f>
        <v>0</v>
      </c>
      <c r="HZ5" s="6">
        <f>COUNTIFS(Table18[Country],Tabela1[[#This Row],[Country]],Table18[IQFoil Classification],"&gt;0")</f>
        <v>0</v>
      </c>
      <c r="IA5" s="6">
        <f>COUNTIFS(Table25[Country],Tabela1[[#This Row],[Country]],Table25[Mixed Nacra 17 Classification],"&gt;0")</f>
        <v>0</v>
      </c>
      <c r="IB5" s="6">
        <f>COUNTIFS(Table53[Country],Tabela1[[#This Row],[Country]],Table53[10m Air Pistol Classification],"&gt;0")</f>
        <v>1</v>
      </c>
      <c r="IC5" s="6">
        <f>COUNTIFS(Table19[Country],Tabela1[[#This Row],[Country]],Table19[10m Air Pistol Classification],"&gt;0")</f>
        <v>0</v>
      </c>
      <c r="ID5" s="6">
        <f>COUNTIFS(Table54[Country],Tabela1[[#This Row],[Country]],Table54[Mixed 10m Air Pistol Team Classification],"&gt;0")</f>
        <v>0</v>
      </c>
      <c r="IE5" s="6">
        <f>COUNTIFS(Table53[Country],Tabela1[[#This Row],[Country]],Table53[10m Air Rifle Classification],"&gt;0")</f>
        <v>1</v>
      </c>
      <c r="IF5" s="6">
        <f>COUNTIFS(Table19[Country],Tabela1[[#This Row],[Country]],Table19[10m Air Rifle Classification],"&gt;0")</f>
        <v>1</v>
      </c>
      <c r="IG5" s="6">
        <f>COUNTIFS(Table54[Country],Tabela1[[#This Row],[Country]],Table54[Mixed 10m Air Rifle Team Classification],"&gt;0")</f>
        <v>1</v>
      </c>
      <c r="IH5" s="6">
        <f>COUNTIFS(Table53[Country],Tabela1[[#This Row],[Country]],Table53[25m Rapid Fire Pistol Classification],"&gt;0")</f>
        <v>1</v>
      </c>
      <c r="II5" s="6">
        <f>COUNTIFS(Table19[Country],Tabela1[[#This Row],[Country]],Table19[25m Pistol Classification],"&gt;0")</f>
        <v>0</v>
      </c>
      <c r="IJ5" s="6">
        <f>COUNTIFS(Table53[Country],Tabela1[[#This Row],[Country]],Table53[50m Rifle 3 Positions Classification],"&gt;0")</f>
        <v>1</v>
      </c>
      <c r="IK5" s="6">
        <f>COUNTIFS(Table19[Country],Tabela1[[#This Row],[Country]],Table19[50m Rifle 3 Positions Classification],"&gt;0")</f>
        <v>1</v>
      </c>
      <c r="IL5" s="6">
        <f>COUNTIFS(Table53[Country],Tabela1[[#This Row],[Country]],Table53[Skeet Classification],"&gt;0")</f>
        <v>0</v>
      </c>
      <c r="IM5" s="6">
        <f>COUNTIFS(Table19[Country],Tabela1[[#This Row],[Country]],Table19[Skeet Classification],"&gt;0")</f>
        <v>0</v>
      </c>
      <c r="IN5" s="6">
        <f>COUNTIFS(Table54[Country],Tabela1[[#This Row],[Country]],Table54[Mixed Skeet Team Classification],"&gt;0")</f>
        <v>0</v>
      </c>
      <c r="IO5" s="6">
        <f>COUNTIFS(Table53[Country],Tabela1[[#This Row],[Country]],Table53[Trap Classification],"&gt;0")</f>
        <v>1</v>
      </c>
      <c r="IP5" s="6">
        <f>COUNTIFS(Table19[Country],Tabela1[[#This Row],[Country]],Table19[Trap Classification],"&gt;0")</f>
        <v>1</v>
      </c>
      <c r="IQ5" s="6">
        <f>COUNTIFS(Table73[Country],Tabela1[[#This Row],[Country]],Table73[Park Classification],"&gt;0")</f>
        <v>1</v>
      </c>
      <c r="IR5" s="6">
        <f>COUNTIFS(Table74[Country],Tabela1[[#This Row],[Country]],Table74[Park Classification],"&gt;0")</f>
        <v>0</v>
      </c>
      <c r="IS5" s="6">
        <f>COUNTIFS(Table73[Country],Tabela1[[#This Row],[Country]],Table73[Street Classification],"&gt;0")</f>
        <v>0</v>
      </c>
      <c r="IT5" s="6">
        <f>COUNTIFS(Table74[Country],Tabela1[[#This Row],[Country]],Table74[Street Classification],"&gt;0")</f>
        <v>0</v>
      </c>
      <c r="IU5" s="6">
        <f>COUNTIFS(Table75[Country],Tabela1[[#This Row],[Country]],Table75[Boulder and Lead Classification],"&gt;0")</f>
        <v>0</v>
      </c>
      <c r="IV5" s="6">
        <f>COUNTIFS(Table76[Country],Tabela1[[#This Row],[Country]],Table76[Boulder and Lead Classification],"&gt;0")</f>
        <v>0</v>
      </c>
      <c r="IW5" s="6">
        <f>COUNTIFS(Table75[Country],Tabela1[[#This Row],[Country]],Table75[Speed Classification],"&gt;0")</f>
        <v>0</v>
      </c>
      <c r="IX5" s="6">
        <f>COUNTIFS(Table76[Country],Tabela1[[#This Row],[Country]],Table76[Speed Classification],"&gt;0")</f>
        <v>1</v>
      </c>
      <c r="IY5" s="6">
        <f>COUNTIFS(Table64[Country],Tabela1[[#This Row],[Country]],Table64[Shortboard Classification],"&gt;0")</f>
        <v>0</v>
      </c>
      <c r="IZ5" s="6">
        <f>COUNTIFS(Table77[Country],Tabela1[[#This Row],[Country]],Table77[Shortboard Classification],"&gt;0")</f>
        <v>0</v>
      </c>
      <c r="JA5" s="6">
        <f>COUNTIFS(Table20[Country],Tabela1[[#This Row],[Country]],Table20[50m Freestyle Classification],"&gt;0")</f>
        <v>0</v>
      </c>
      <c r="JB5" s="6">
        <f>COUNTIFS(Table21[Country],Tabela1[[#This Row],[Country]],Table21[50m Freestyle Classification],"&gt;0")</f>
        <v>0</v>
      </c>
      <c r="JC5" s="6">
        <f>COUNTIFS(Table20[Country],Tabela1[[#This Row],[Country]],Table20[100m Freestyle Classification],"&gt;0")</f>
        <v>0</v>
      </c>
      <c r="JD5" s="6">
        <f>COUNTIFS(Table21[Country],Tabela1[[#This Row],[Country]],Table21[100m Freestyle Classification],"&gt;0")</f>
        <v>0</v>
      </c>
      <c r="JE5" s="6">
        <f>COUNTIFS(Table20[Country],Tabela1[[#This Row],[Country]],Table20[200m Freestyle Classification],"&gt;0")</f>
        <v>1</v>
      </c>
      <c r="JF5" s="6">
        <f>COUNTIFS(Table21[Country],Tabela1[[#This Row],[Country]],Table21[200m Freestyle Classification],"&gt;0")</f>
        <v>0</v>
      </c>
      <c r="JG5" s="6">
        <f>COUNTIFS(Table20[Country],Tabela1[[#This Row],[Country]],Table20[400m Freestyle Classification],"&gt;0")</f>
        <v>1</v>
      </c>
      <c r="JH5" s="6">
        <f>COUNTIFS(Table21[Country],Tabela1[[#This Row],[Country]],Table21[400m Freestyle Classification],"&gt;0")</f>
        <v>0</v>
      </c>
      <c r="JI5" s="6">
        <f>COUNTIFS(Table20[Country],Tabela1[[#This Row],[Country]],Table20[800m Freestyle Classification],"&gt;0")</f>
        <v>1</v>
      </c>
      <c r="JJ5" s="6">
        <f>COUNTIFS(Table21[Country],Tabela1[[#This Row],[Country]],Table21[800m Freestyle Classification],"&gt;0")</f>
        <v>0</v>
      </c>
      <c r="JK5" s="6">
        <f>COUNTIFS(Table20[Country],Tabela1[[#This Row],[Country]],Table20[1500m Freestyle Classification],"&gt;0")</f>
        <v>1</v>
      </c>
      <c r="JL5" s="6">
        <f>COUNTIFS(Table21[Country],Tabela1[[#This Row],[Country]],Table21[1500m Freestyle Classification],"&gt;0")</f>
        <v>0</v>
      </c>
      <c r="JM5" s="6">
        <f>COUNTIFS(Table20[Country],Tabela1[[#This Row],[Country]],Table20[100m Backstroke Classification],"&gt;0")</f>
        <v>0</v>
      </c>
      <c r="JN5" s="6">
        <f>COUNTIFS(Table21[Country],Tabela1[[#This Row],[Country]],Table21[100m Backstroke Classification],"&gt;0")</f>
        <v>0</v>
      </c>
      <c r="JO5" s="6">
        <f>COUNTIFS(Table20[Country],Tabela1[[#This Row],[Country]],Table20[200m Backstroke Classification],"&gt;0")</f>
        <v>1</v>
      </c>
      <c r="JP5" s="6">
        <f>COUNTIFS(Table21[Country],Tabela1[[#This Row],[Country]],Table21[200m Backstroke Classification],"&gt;0")</f>
        <v>0</v>
      </c>
      <c r="JQ5" s="6">
        <f>COUNTIFS(Table20[Country],Tabela1[[#This Row],[Country]],Table20[100m Breaststroke Classification],"&gt;0")</f>
        <v>1</v>
      </c>
      <c r="JR5" s="6">
        <f>COUNTIFS(Table21[Country],Tabela1[[#This Row],[Country]],Table21[100m Breaststroke Classification],"&gt;0")</f>
        <v>1</v>
      </c>
      <c r="JS5" s="6">
        <f>COUNTIFS(Table20[Country],Tabela1[[#This Row],[Country]],Table20[200m Breaststroke Classification],"&gt;0")</f>
        <v>0</v>
      </c>
      <c r="JT5" s="6">
        <f>COUNTIFS(Table21[Country],Tabela1[[#This Row],[Country]],Table21[200m Breaststroke Classification],"&gt;0")</f>
        <v>0</v>
      </c>
      <c r="JU5" s="6">
        <f>COUNTIFS(Table20[Country],Tabela1[[#This Row],[Country]],Table20[100m Butterfly Classification],"&gt;0")</f>
        <v>0</v>
      </c>
      <c r="JV5" s="6">
        <f>COUNTIFS(Table21[Country],Tabela1[[#This Row],[Country]],Table21[100m Butterfly Classification],"&gt;0")</f>
        <v>0</v>
      </c>
      <c r="JW5" s="6">
        <f>COUNTIFS(Table20[Country],Tabela1[[#This Row],[Country]],Table20[200m Butterfly Classification],"&gt;0")</f>
        <v>0</v>
      </c>
      <c r="JX5" s="6">
        <f>COUNTIFS(Table21[Country],Tabela1[[#This Row],[Country]],Table21[200m Butterfly Classification],"&gt;0")</f>
        <v>0</v>
      </c>
      <c r="JY5" s="6">
        <f>COUNTIFS(Table20[Country],Tabela1[[#This Row],[Country]],Table20[200m Medley Classification],"&gt;0")</f>
        <v>0</v>
      </c>
      <c r="JZ5" s="6">
        <f>COUNTIFS(Table21[Country],Tabela1[[#This Row],[Country]],Table21[200m Medley Classification],"&gt;0")</f>
        <v>0</v>
      </c>
      <c r="KA5" s="6">
        <f>COUNTIFS(Table20[Country],Tabela1[[#This Row],[Country]],Table20[400m Medley Classification],"&gt;0")</f>
        <v>0</v>
      </c>
      <c r="KB5" s="6">
        <f>COUNTIFS(Table21[Country],Tabela1[[#This Row],[Country]],Table21[400m Medley Classification],"&gt;0")</f>
        <v>0</v>
      </c>
      <c r="KC5" s="6">
        <f>COUNTIFS(Table78[Country],Tabela1[[#This Row],[Country]],Table78[Men''s 4x100m Freestyle Relay Classification],"&gt;0")</f>
        <v>0</v>
      </c>
      <c r="KD5" s="6">
        <f>COUNTIFS(Table78[Country],Tabela1[[#This Row],[Country]],Table78[Women''s 4x100m Freestyle Relay Classification],"&gt;0")</f>
        <v>1</v>
      </c>
      <c r="KE5" s="6">
        <f>COUNTIFS(Table78[Country],Tabela1[[#This Row],[Country]],Table78[Men''s 4x200m Freestyle Relay Classification],"&gt;0")</f>
        <v>1</v>
      </c>
      <c r="KF5" s="6">
        <f>COUNTIFS(Table78[Country],Tabela1[[#This Row],[Country]],Table78[Women''s 4x200m Freestyle Relay Classification],"&gt;0")</f>
        <v>0</v>
      </c>
      <c r="KG5" s="6">
        <f>COUNTIFS(Table78[Country],Tabela1[[#This Row],[Country]],Table78[Men''s 4x100m Medley Relay Classification],"&gt;0")</f>
        <v>1</v>
      </c>
      <c r="KH5" s="6">
        <f>COUNTIFS(Table78[Country],Tabela1[[#This Row],[Country]],Table78[Women''s 4x100m Medley Relay Classification],"&gt;0")</f>
        <v>1</v>
      </c>
      <c r="KI5" s="6">
        <f>COUNTIFS(Table78[Country],Tabela1[[#This Row],[Country]],Table78[Mixed 4x100m Medley Relay Classification],"&gt;0")</f>
        <v>1</v>
      </c>
      <c r="KJ5" s="6">
        <f>COUNTIFS(Table20[Country],Tabela1[[#This Row],[Country]],Table20[10km Open Water Classification],"&gt;0")</f>
        <v>0</v>
      </c>
      <c r="KK5" s="6">
        <f>COUNTIFS(Table21[Country],Tabela1[[#This Row],[Country]],Table21[10km Open Water Classification],"&gt;0")</f>
        <v>0</v>
      </c>
      <c r="KL5" s="6">
        <f>COUNTIFS(Table22[Country],Tabela1[[#This Row],[Country]],Table22[Classification],"&gt;0")</f>
        <v>0</v>
      </c>
      <c r="KM5" s="6">
        <f>COUNTIFS(Table30[Country],Tabela1[[#This Row],[Country]],Table30[Classification],"&gt;0")</f>
        <v>2</v>
      </c>
      <c r="KN5" s="6">
        <f>COUNTIFS(Table55[Country],Tabela1[[#This Row],[Country]],Table55[Men''s Classification],"&gt;0")</f>
        <v>0</v>
      </c>
      <c r="KO5" s="6">
        <f>COUNTIFS(Table55[Country],Tabela1[[#This Row],[Country]],Table55[Women''s Classification],"&gt;0")</f>
        <v>0</v>
      </c>
      <c r="KP5" s="6">
        <f>COUNTIFS(Table56[Country],Tabela1[[#This Row],[Country]],Table56[Mixed Classification],"&gt;0")</f>
        <v>0</v>
      </c>
      <c r="KQ5" s="6">
        <f>COUNTIFS(Table29[Country],Tabela1[[#This Row],[Country]],Table29[58kg Classification],"&gt;0")</f>
        <v>1</v>
      </c>
      <c r="KR5" s="6">
        <f>COUNTIFS(Table29[Country],Tabela1[[#This Row],[Country]],Table29[68kg Classification],"&gt;0")</f>
        <v>0</v>
      </c>
      <c r="KS5" s="6">
        <f>COUNTIFS(Table29[Country],Tabela1[[#This Row],[Country]],Table29[80kg Classification],"&gt;0")</f>
        <v>0</v>
      </c>
      <c r="KT5" s="6">
        <f>COUNTIFS(Table29[Country],Tabela1[[#This Row],[Country]],Table29[Plus 80kg Classification],"&gt;0")</f>
        <v>0</v>
      </c>
      <c r="KU5" s="6">
        <f>COUNTIFS(Table34[Country],Tabela1[[#This Row],[Country]],Table34[49kg Classification],"&gt;0")</f>
        <v>0</v>
      </c>
      <c r="KV5" s="6">
        <f>COUNTIFS(Table34[Country],Tabela1[[#This Row],[Country]],Table34[57kg Classification],"&gt;0")</f>
        <v>0</v>
      </c>
      <c r="KW5" s="6">
        <f>COUNTIFS(Table34[Country],Tabela1[[#This Row],[Country]],Table34[67kg Classification],"&gt;0")</f>
        <v>0</v>
      </c>
      <c r="KX5" s="6">
        <f>COUNTIFS(Table34[Country],Tabela1[[#This Row],[Country]],Table34[Plus 67kg Classification],"&gt;0")</f>
        <v>0</v>
      </c>
      <c r="KY5" s="6">
        <f>COUNTIFS(Table57[Country],Tabela1[[#This Row],[Country]],Table57[Classification],"&gt;0")</f>
        <v>2</v>
      </c>
      <c r="KZ5" s="6">
        <f>COUNTIFS(Table58[Country],Tabela1[[#This Row],[Country]],Table58[Classification],"&gt;0")</f>
        <v>2</v>
      </c>
      <c r="LA5" s="6">
        <f>COUNTIFS(Table79[Country],Tabela1[[#This Row],[Country]],Table79[Men''s Classification],"&gt;0")</f>
        <v>1</v>
      </c>
      <c r="LB5" s="6">
        <f>COUNTIFS(Table79[Country],Tabela1[[#This Row],[Country]],Table79[Women''s Classification],"&gt;0")</f>
        <v>2</v>
      </c>
      <c r="LC5" s="6">
        <f>COUNTIFS(Table79[Country],Tabela1[[#This Row],[Country]],Table79[Mixed Classification],"&gt;0")</f>
        <v>0</v>
      </c>
      <c r="LD5" s="6">
        <f>COUNTIFS(Table65[Country],Tabela1[[#This Row],[Country]],Table65[Classification],"&gt;0")</f>
        <v>0</v>
      </c>
      <c r="LE5" s="6">
        <f>COUNTIFS(Table59[Country],Tabela1[[#This Row],[Country]],Table59[Classification],"&gt;0")</f>
        <v>2</v>
      </c>
      <c r="LF5" s="6">
        <f>COUNTIFS(Table87[Country],Tabela1[[#This Row],[Country]],Table87[Mixed Relay Classification],"&gt;0")</f>
        <v>1</v>
      </c>
      <c r="LG5" s="6">
        <f>COUNTIFS(Table91949698100[Country],Tabela1[[#This Row],[Country]],Table91949698100[Men''s Classification],"&gt;0")</f>
        <v>1</v>
      </c>
      <c r="LH5" s="6">
        <f>COUNTIFS(Table91949698100[Country],Tabela1[[#This Row],[Country]],Table91949698100[Women''s Classification],"&gt;0")</f>
        <v>1</v>
      </c>
      <c r="LI5" s="6">
        <f>COUNTIFS(Table91949698100102[Country],Tabela1[[#This Row],[Country]],Table91949698100102[Men''s Classification],"&gt;0")</f>
        <v>1</v>
      </c>
      <c r="LJ5" s="6">
        <f>COUNTIFS(Table91949698100102[Country],Tabela1[[#This Row],[Country]],Table91949698100102[Women''s Classification],"&gt;0")</f>
        <v>1</v>
      </c>
      <c r="LK5" s="6">
        <f>COUNTIFS(Table23[Country],Tabela1[[#This Row],[Country]],Table23[61kg Classification],"&gt;0")</f>
        <v>0</v>
      </c>
      <c r="LL5" s="6">
        <f>COUNTIFS(Table23[Country],Tabela1[[#This Row],[Country]],Table23[73kg Classification],"&gt;0")</f>
        <v>0</v>
      </c>
      <c r="LM5" s="6">
        <f>COUNTIFS(Table23[Country],Tabela1[[#This Row],[Country]],Table23[89kg Classification],"&gt;0")</f>
        <v>0</v>
      </c>
      <c r="LN5" s="6">
        <f>COUNTIFS(Table23[Country],Tabela1[[#This Row],[Country]],Table23[102kg Classification],"&gt;0")</f>
        <v>0</v>
      </c>
      <c r="LO5" s="6">
        <f>COUNTIFS(Table23[Country],Tabela1[[#This Row],[Country]],Table23[Plus 102kg Classification],"&gt;0")</f>
        <v>0</v>
      </c>
      <c r="LP5" s="6">
        <f>COUNTIFS(Table28[Country],Tabela1[[#This Row],[Country]],Table28[49kg Classification],"&gt;0")</f>
        <v>0</v>
      </c>
      <c r="LQ5" s="6">
        <f>COUNTIFS(Table28[Country],Tabela1[[#This Row],[Country]],Table28[59kg Classification],"&gt;0")</f>
        <v>0</v>
      </c>
      <c r="LR5" s="6">
        <f>COUNTIFS(Table28[Country],Tabela1[[#This Row],[Country]],Table28[71kg Classification],"&gt;0")</f>
        <v>0</v>
      </c>
      <c r="LS5" s="6">
        <f>COUNTIFS(Table28[Country],Tabela1[[#This Row],[Country]],Table28[81kg Classification],"&gt;0")</f>
        <v>0</v>
      </c>
      <c r="LT5" s="6">
        <f>COUNTIFS(Table28[Country],Tabela1[[#This Row],[Country]],Table28[Plus 81kg Classification],"&gt;0")</f>
        <v>0</v>
      </c>
      <c r="LU5" s="6">
        <f>COUNTIFS(Table24[Country],Tabela1[[#This Row],[Country]],Table24[Freestyle 57kg Classification],"&gt;0")</f>
        <v>0</v>
      </c>
      <c r="LV5" s="6">
        <f>COUNTIFS(Table24[Country],Tabela1[[#This Row],[Country]],Table24[Freestyle 65kg Classification],"&gt;0")</f>
        <v>0</v>
      </c>
      <c r="LW5" s="6">
        <f>COUNTIFS(Table24[Country],Tabela1[[#This Row],[Country]],Table24[Freestyle 74kg Classification],"&gt;0")</f>
        <v>0</v>
      </c>
      <c r="LX5" s="6">
        <f>COUNTIFS(Table24[Country],Tabela1[[#This Row],[Country]],Table24[Freestyle 86kg Classification],"&gt;0")</f>
        <v>0</v>
      </c>
      <c r="LY5" s="6">
        <f>COUNTIFS(Table24[Country],Tabela1[[#This Row],[Country]],Table24[Freestyle 97kg Classification],"&gt;0")</f>
        <v>0</v>
      </c>
      <c r="LZ5" s="6">
        <f>COUNTIFS(Table24[Country],Tabela1[[#This Row],[Country]],Table24[Freestyle 125kg Classification],"&gt;0")</f>
        <v>0</v>
      </c>
      <c r="MA5" s="6">
        <f>COUNTIFS(Table24[Country],Tabela1[[#This Row],[Country]],Table24[Greco-Roman 60kg Classification],"&gt;0")</f>
        <v>0</v>
      </c>
      <c r="MB5" s="6">
        <f>COUNTIFS(Table24[Country],Tabela1[[#This Row],[Country]],Table24[Greco-Roman 67kg Classification],"&gt;0")</f>
        <v>0</v>
      </c>
      <c r="MC5" s="6">
        <f>COUNTIFS(Table24[Country],Tabela1[[#This Row],[Country]],Table24[Greco-Roman 77kg Classification],"&gt;0")</f>
        <v>0</v>
      </c>
      <c r="MD5" s="6">
        <f>COUNTIFS(Table24[Country],Tabela1[[#This Row],[Country]],Table24[Greco-Roman 87kg Classification],"&gt;0")</f>
        <v>0</v>
      </c>
      <c r="ME5" s="6">
        <f>COUNTIFS(Table24[Country],Tabela1[[#This Row],[Country]],Table24[Greco-Roman 97kg Classification],"&gt;0")</f>
        <v>0</v>
      </c>
      <c r="MF5" s="6">
        <f>COUNTIFS(Table24[Country],Tabela1[[#This Row],[Country]],Table24[Greco-Roman 130kg Classification],"&gt;0")</f>
        <v>0</v>
      </c>
      <c r="MG5" s="6">
        <f>COUNTIFS(Table31[Country],Tabela1[[#This Row],[Country]],Table31[50kg Classification],"&gt;0")</f>
        <v>0</v>
      </c>
      <c r="MH5" s="6">
        <f>COUNTIFS(Table31[Country],Tabela1[[#This Row],[Country]],Table31[53kg Classification],"&gt;0")</f>
        <v>0</v>
      </c>
      <c r="MI5" s="6">
        <f>COUNTIFS(Table31[Country],Tabela1[[#This Row],[Country]],Table31[57kg Classification],"&gt;0")</f>
        <v>0</v>
      </c>
      <c r="MJ5" s="6">
        <f>COUNTIFS(Table31[Country],Tabela1[[#This Row],[Country]],Table31[62kg Classification],"&gt;0")</f>
        <v>0</v>
      </c>
      <c r="MK5" s="6">
        <f>COUNTIFS(Table31[Country],Tabela1[[#This Row],[Country]],Table31[68kg Classification],"&gt;0")</f>
        <v>0</v>
      </c>
      <c r="ML5" s="6">
        <f>COUNTIFS(Table31[Country],Tabela1[[#This Row],[Country]],Table31[76kg Classification],"&gt;0")</f>
        <v>0</v>
      </c>
      <c r="MM5" s="6">
        <f>COUNTIFS(Table102[Country],Tabela1[[#This Row],[Country]],Table102[Downhill Classification],"&gt;0")</f>
        <v>2</v>
      </c>
      <c r="MN5" s="6">
        <f>COUNTIFS(Table102105[Country],Tabela1[[#This Row],[Country]],Table102105[Downhill Classification],"&gt;0")</f>
        <v>1</v>
      </c>
      <c r="MO5" s="6">
        <f>COUNTIFS(Table102[Country],Tabela1[[#This Row],[Country]],Table102[Giant Slalom Classification],"&gt;0")</f>
        <v>2</v>
      </c>
      <c r="MP5" s="6">
        <f>COUNTIFS(Table102105[Country],Tabela1[[#This Row],[Country]],Table102105[Giant Slalom Classification],"&gt;0")</f>
        <v>1</v>
      </c>
      <c r="MQ5" s="6">
        <f>COUNTIFS(Table102[Country],Tabela1[[#This Row],[Country]],Table102[Slalom Classification],"&gt;0")</f>
        <v>3</v>
      </c>
      <c r="MR5" s="6">
        <f>COUNTIFS(Table102105[Country],Tabela1[[#This Row],[Country]],Table102105[Slalom Classification],"&gt;0")</f>
        <v>2</v>
      </c>
      <c r="MS5" s="6">
        <f>COUNTIFS(Table102[Country],Tabela1[[#This Row],[Country]],Table102[Super-G Classification],"&gt;0")</f>
        <v>2</v>
      </c>
      <c r="MT5" s="6">
        <f>COUNTIFS(Table102105[Country],Tabela1[[#This Row],[Country]],Table102105[Super-G Classification],"&gt;0")</f>
        <v>1</v>
      </c>
      <c r="MU5" s="6">
        <f>COUNTIFS(Table105[Country],Tabela1[[#This Row],[Country]],Table105[Men''s Combined Classification],"&gt;0")</f>
        <v>4</v>
      </c>
      <c r="MV5" s="6">
        <f>COUNTIFS(Table105[Country],Tabela1[[#This Row],[Country]],Table105[Women''s Combined Classification],"&gt;0")</f>
        <v>3</v>
      </c>
      <c r="MW5" s="6">
        <f>COUNTIFS(Table106[Country],Tabela1[[#This Row],[Country]],Table106[Individual Classification],"&gt;0")</f>
        <v>2</v>
      </c>
      <c r="MX5" s="6">
        <f>COUNTIFS(Table106109[Country],Tabela1[[#This Row],[Country]],Table106109[Individual Classification],"&gt;0")</f>
        <v>3</v>
      </c>
      <c r="MY5" s="6">
        <f>COUNTIFS(Table106[Country],Tabela1[[#This Row],[Country]],Table106[Mass Start Classification],"&gt;0")</f>
        <v>3</v>
      </c>
      <c r="MZ5" s="6">
        <f>COUNTIFS(Table106109[Country],Tabela1[[#This Row],[Country]],Table106109[Mass Start Classification],"&gt;0")</f>
        <v>1</v>
      </c>
      <c r="NA5" s="6">
        <f>COUNTIFS(Table106[Country],Tabela1[[#This Row],[Country]],Table106[Pursuit Classification],"&gt;0")</f>
        <v>3</v>
      </c>
      <c r="NB5" s="6">
        <f>COUNTIFS(Table106109[Country],Tabela1[[#This Row],[Country]],Table106109[Pursuit Classification],"&gt;0")</f>
        <v>3</v>
      </c>
      <c r="NC5" s="6">
        <f>COUNTIFS(Table106[Country],Tabela1[[#This Row],[Country]],Table106[Sprint Classification],"&gt;0")</f>
        <v>3</v>
      </c>
      <c r="ND5" s="6">
        <f>COUNTIFS(Table106109[Country],Tabela1[[#This Row],[Country]],Table106109[Sprint Classification],"&gt;0")</f>
        <v>3</v>
      </c>
      <c r="NE5" s="6">
        <f>COUNTIFS(Table109[Country],Tabela1[[#This Row],[Country]],Table109[Men''s Relay Classification],"&gt;0")</f>
        <v>1</v>
      </c>
      <c r="NF5" s="6">
        <f>COUNTIFS(Table109[Country],Tabela1[[#This Row],[Country]],Table109[Women''s Relay Classification],"&gt;0")</f>
        <v>1</v>
      </c>
      <c r="NG5" s="6">
        <f>COUNTIFS(Table109[Country],Tabela1[[#This Row],[Country]],Table109[Mixed Relay Classification],"&gt;0")</f>
        <v>1</v>
      </c>
      <c r="NH5" s="6">
        <f>COUNTIFS(Table110[Country],Tabela1[[#This Row],[Country]],Table110[Monobob Classification],"&gt;0")</f>
        <v>1</v>
      </c>
      <c r="NI5" s="6">
        <f>COUNTIFS(Table111[Country],Tabela1[[#This Row],[Country]],Table111[Men''s Classification],"&gt;0")</f>
        <v>1</v>
      </c>
      <c r="NJ5" s="6">
        <f>COUNTIFS(Table111[Country],Tabela1[[#This Row],[Country]],Table111[Women''s Classification],"&gt;0")</f>
        <v>2</v>
      </c>
      <c r="NK5" s="6">
        <f>COUNTIFS(Table112[Country],Tabela1[[#This Row],[Country]],Table112[Men''s Four Classification],"&gt;0")</f>
        <v>1</v>
      </c>
      <c r="NL5" s="6">
        <f>COUNTIFS(Table113[Country],Tabela1[[#This Row],[Country]],Table113[Classical Classification],"&gt;0")</f>
        <v>0</v>
      </c>
      <c r="NM5" s="6">
        <f>COUNTIFS(Table113116[Country],Tabela1[[#This Row],[Country]],Table113116[Classical Classification],"&gt;0")</f>
        <v>0</v>
      </c>
      <c r="NN5" s="6">
        <f>COUNTIFS(Table113[Country],Tabela1[[#This Row],[Country]],Table113[Freestyle Classification],"&gt;0")</f>
        <v>0</v>
      </c>
      <c r="NO5" s="6">
        <f>COUNTIFS(Table113116[Country],Tabela1[[#This Row],[Country]],Table113116[Freestyle Classification],"&gt;0")</f>
        <v>1</v>
      </c>
      <c r="NP5" s="6">
        <f>COUNTIFS(Table117[Country],Tabela1[[#This Row],[Country]],Table117[Men''s Relay Classification],"&gt;0")</f>
        <v>1</v>
      </c>
      <c r="NQ5" s="6">
        <f>COUNTIFS(Table117[Country],Tabela1[[#This Row],[Country]],Table117[Women''s Relay Classification],"&gt;0")</f>
        <v>1</v>
      </c>
      <c r="NR5" s="6">
        <f>COUNTIFS(Table113[Country],Tabela1[[#This Row],[Country]],Table113[Skiathlon Classification],"&gt;0")</f>
        <v>1</v>
      </c>
      <c r="NS5" s="6">
        <f>COUNTIFS(Table113116[Country],Tabela1[[#This Row],[Country]],Table113116[Skiathlon Classification],"&gt;0")</f>
        <v>1</v>
      </c>
      <c r="NT5" s="6">
        <f>COUNTIFS(Table113[Country],Tabela1[[#This Row],[Country]],Table113[Sprint Classification],"&gt;0")</f>
        <v>1</v>
      </c>
      <c r="NU5" s="6">
        <f>COUNTIFS(Table113116[Country],Tabela1[[#This Row],[Country]],Table113116[Sprint Classification],"&gt;0")</f>
        <v>2</v>
      </c>
      <c r="NV5" s="6">
        <f>COUNTIFS(Table116[Country],Tabela1[[#This Row],[Country]],Table116[Men''s Team Sprint Classification],"&gt;0")</f>
        <v>1</v>
      </c>
      <c r="NW5" s="6">
        <f>COUNTIFS(Table116[Country],Tabela1[[#This Row],[Country]],Table116[Women''s Team Sprint Classification],"&gt;0")</f>
        <v>1</v>
      </c>
      <c r="NX5" s="6">
        <f>COUNTIFS(Table119[Country],Tabela1[[#This Row],[Country]],Table119[Men''s Classification],"&gt;0")</f>
        <v>1</v>
      </c>
      <c r="NY5" s="6">
        <f>COUNTIFS(Table119[Country],Tabela1[[#This Row],[Country]],Table119[Women''s Classification],"&gt;0")</f>
        <v>0</v>
      </c>
      <c r="NZ5" s="6">
        <f>COUNTIFS(Table118[Country],Tabela1[[#This Row],[Country]],Table118[Mixed Classification],"&gt;0")</f>
        <v>0</v>
      </c>
      <c r="OA5" s="6">
        <f>COUNTIFS(Table120[Country],Tabela1[[#This Row],[Country]],Table120[Classification],"&gt;0")</f>
        <v>1</v>
      </c>
      <c r="OB5" s="6">
        <f>COUNTIFS(Table120123[Country],Tabela1[[#This Row],[Country]],Table120123[Classification],"&gt;0")</f>
        <v>0</v>
      </c>
      <c r="OC5" s="6">
        <f>COUNTIFS(Table123[Country],Tabela1[[#This Row],[Country]],Table123[Ice Dance Classification],"&gt;0")</f>
        <v>1</v>
      </c>
      <c r="OD5" s="6">
        <f>COUNTIFS(Table123[Country],Tabela1[[#This Row],[Country]],Table123[Pair Skating Classification],"&gt;0")</f>
        <v>0</v>
      </c>
      <c r="OE5" s="6">
        <f>COUNTIFS(Table124[Country],Tabela1[[#This Row],[Country]],Table124[Mixed Classification],"&gt;0")</f>
        <v>1</v>
      </c>
      <c r="OF5" s="6">
        <f>COUNTIFS(Table125[Country],Tabela1[[#This Row],[Country]],Table125[Aerials Classification],"&gt;0")</f>
        <v>0</v>
      </c>
      <c r="OG5" s="6">
        <f>COUNTIFS(Table125128[Country],Tabela1[[#This Row],[Country]],Table125128[Aerials Classification],"&gt;0")</f>
        <v>0</v>
      </c>
      <c r="OH5" s="6">
        <f>COUNTIFS(Table128[Country],Tabela1[[#This Row],[Country]],Table128[Mixed Aerials Classification],"&gt;0")</f>
        <v>0</v>
      </c>
      <c r="OI5" s="6">
        <f>COUNTIFS(Table125[Country],Tabela1[[#This Row],[Country]],Table125[Big Air Classification],"&gt;0")</f>
        <v>0</v>
      </c>
      <c r="OJ5" s="6">
        <f>COUNTIFS(Table125128[Country],Tabela1[[#This Row],[Country]],Table125128[Big Air Classification],"&gt;0")</f>
        <v>1</v>
      </c>
      <c r="OK5" s="6">
        <f>COUNTIFS(Table125[Country],Tabela1[[#This Row],[Country]],Table125[Dual Moguls Classification],"&gt;0")</f>
        <v>0</v>
      </c>
      <c r="OL5" s="6">
        <f>COUNTIFS(Table125128[Country],Tabela1[[#This Row],[Country]],Table125128[Dual Moguls Classification],"&gt;0")</f>
        <v>0</v>
      </c>
      <c r="OM5" s="6">
        <f>COUNTIFS(Table125[Country],Tabela1[[#This Row],[Country]],Table125[Halfpipe Classification],"&gt;0")</f>
        <v>0</v>
      </c>
      <c r="ON5" s="6">
        <f>COUNTIFS(Table125128[Country],Tabela1[[#This Row],[Country]],Table125128[Halfpipe Classification],"&gt;0")</f>
        <v>0</v>
      </c>
      <c r="OO5" s="6">
        <f>COUNTIFS(Table125[Country],Tabela1[[#This Row],[Country]],Table125[Moguls Classification],"&gt;0")</f>
        <v>0</v>
      </c>
      <c r="OP5" s="6">
        <f>COUNTIFS(Table125128[Country],Tabela1[[#This Row],[Country]],Table125128[Moguls Classification],"&gt;0")</f>
        <v>0</v>
      </c>
      <c r="OQ5" s="6">
        <f>COUNTIFS(Table125[Country],Tabela1[[#This Row],[Country]],Table125[Ski Cross Classification],"&gt;0")</f>
        <v>1</v>
      </c>
      <c r="OR5" s="6">
        <f>COUNTIFS(Table125128[Country],Tabela1[[#This Row],[Country]],Table125128[Ski Cross Classification],"&gt;0")</f>
        <v>0</v>
      </c>
      <c r="OS5" s="6">
        <f>COUNTIFS(Table125[Country],Tabela1[[#This Row],[Country]],Table125[Slopestyle Classification],"&gt;0")</f>
        <v>0</v>
      </c>
      <c r="OT5" s="6">
        <f>COUNTIFS(Table125128[Country],Tabela1[[#This Row],[Country]],Table125128[Slopestyle Classification],"&gt;0")</f>
        <v>1</v>
      </c>
      <c r="OU5" s="6">
        <f>COUNTIFS(Table119131[Country],Tabela1[[#This Row],[Country]],Table119131[Men''s Classification],"&gt;0")</f>
        <v>1</v>
      </c>
      <c r="OV5" s="6">
        <f>COUNTIFS(Table119131[Country],Tabela1[[#This Row],[Country]],Table119131[Women''s Classification],"&gt;0")</f>
        <v>1</v>
      </c>
      <c r="OW5" s="6">
        <f>COUNTIFS(Table131[Country],Tabela1[[#This Row],[Country]],Table131[Classification],"&gt;0")</f>
        <v>3</v>
      </c>
      <c r="OX5" s="6">
        <f>COUNTIFS(Table131134[Country],Tabela1[[#This Row],[Country]],Table131134[Classification],"&gt;0")</f>
        <v>2</v>
      </c>
      <c r="OY5" s="6">
        <f>COUNTIFS(Table134[Country],Tabela1[[#This Row],[Country]],Table134[Men''s Classification],"&gt;0")</f>
        <v>2</v>
      </c>
      <c r="OZ5" s="6">
        <f>COUNTIFS(Table134[Country],Tabela1[[#This Row],[Country]],Table134[Women''s Classification],"&gt;0")</f>
        <v>1</v>
      </c>
      <c r="PA5" s="6">
        <f>COUNTIFS(Table135[Country],Tabela1[[#This Row],[Country]],Table135[Mixed Relay Classification],"&gt;0")</f>
        <v>1</v>
      </c>
      <c r="PB5" s="6">
        <f>COUNTIFS(Table136[Country],Tabela1[[#This Row],[Country]],Table136[Individual Classification],"&gt;0")</f>
        <v>3</v>
      </c>
      <c r="PC5" s="6">
        <f>COUNTIFS(Table136[Country],Tabela1[[#This Row],[Country]],Table136[Sprint Classification],"&gt;0")</f>
        <v>3</v>
      </c>
      <c r="PD5" s="6">
        <f>COUNTIFS(Table137[Country],Tabela1[[#This Row],[Country]],Table137[Men''s Team Sprint Large Hill Classification],"&gt;0")</f>
        <v>1</v>
      </c>
      <c r="PE5" s="6">
        <f>COUNTIFS(Table138[Country],Tabela1[[#This Row],[Country]],Table138[500m Classification],"&gt;0")</f>
        <v>1</v>
      </c>
      <c r="PF5" s="6">
        <f>COUNTIFS(Table138141[Country],Tabela1[[#This Row],[Country]],Table138141[500m Classification],"&gt;0")</f>
        <v>1</v>
      </c>
      <c r="PG5" s="6">
        <f>COUNTIFS(Table138[Country],Tabela1[[#This Row],[Country]],Table138[1000m Classification],"&gt;0")</f>
        <v>1</v>
      </c>
      <c r="PH5" s="6">
        <f>COUNTIFS(Table138141[Country],Tabela1[[#This Row],[Country]],Table138141[1000m Classification],"&gt;0")</f>
        <v>2</v>
      </c>
      <c r="PI5" s="6">
        <f>COUNTIFS(Table138[Country],Tabela1[[#This Row],[Country]],Table138[1500m Classification],"&gt;0")</f>
        <v>1</v>
      </c>
      <c r="PJ5" s="6">
        <f>COUNTIFS(Table138141[Country],Tabela1[[#This Row],[Country]],Table138141[1500m Classification],"&gt;0")</f>
        <v>2</v>
      </c>
      <c r="PK5" s="6">
        <f>COUNTIFS(Table141[Country],Tabela1[[#This Row],[Country]],Table141[Men''s 5000m Relay Classification],"&gt;0")</f>
        <v>1</v>
      </c>
      <c r="PL5" s="6">
        <f>COUNTIFS(Table141[Country],Tabela1[[#This Row],[Country]],Table141[Women''s 3000m Relay Classification],"&gt;0")</f>
        <v>1</v>
      </c>
      <c r="PM5" s="6">
        <f>COUNTIFS(Table141[Country],Tabela1[[#This Row],[Country]],Table141[Mixed 2000m Relay Classification],"&gt;0")</f>
        <v>1</v>
      </c>
      <c r="PN5" s="6">
        <f>COUNTIFS(Table142[Country],Tabela1[[#This Row],[Country]],Table142[Classification],"&gt;0")</f>
        <v>0</v>
      </c>
      <c r="PO5" s="6">
        <f>COUNTIFS(Table142145[Country],Tabela1[[#This Row],[Country]],Table142145[Classification],"&gt;0")</f>
        <v>0</v>
      </c>
      <c r="PP5" s="6">
        <f>COUNTIFS(Tabela15[Country],Tabela1[[#This Row],[Country]],Tabela15[Mixed Team Classification],"&gt;0")</f>
        <v>0</v>
      </c>
      <c r="PQ5" s="6">
        <f>COUNTIFS(Table145[Country],Tabela1[[#This Row],[Country]],Table145[Large Hill Classification],"&gt;0")</f>
        <v>2</v>
      </c>
      <c r="PR5" s="6">
        <f>COUNTIFS(Table145[Country],Tabela1[[#This Row],[Country]],Table145[Normal Hill Classification],"&gt;0")</f>
        <v>2</v>
      </c>
      <c r="PS5" s="6">
        <f>COUNTIFS(Table145148[Country],Tabela1[[#This Row],[Country]],Table145148[Large Hill Classification],"&gt;0")</f>
        <v>2</v>
      </c>
      <c r="PT5" s="6">
        <f>COUNTIFS(Table145148[Country],Tabela1[[#This Row],[Country]],Table145148[Normal Hill Classification],"&gt;0")</f>
        <v>2</v>
      </c>
      <c r="PU5" s="6">
        <f>COUNTIFS(Table148[Country],Tabela1[[#This Row],[Country]],Table148[Men''s Super Team Classification],"&gt;0")</f>
        <v>1</v>
      </c>
      <c r="PV5" s="6">
        <f>COUNTIFS(Tabela114[Country],Tabela1[[#This Row],[Country]],Tabela114[Mixed Normal Hill Classification],"&gt;0")</f>
        <v>1</v>
      </c>
      <c r="PW5" s="6">
        <f>COUNTIFS(Tabela50[Country],Tabela1[[#This Row],[Country]],Tabela50[Sprint Classification],"&gt;0")</f>
        <v>1</v>
      </c>
      <c r="PX5" s="6">
        <f>COUNTIFS(Tabela50101[Country],Tabela1[[#This Row],[Country]],Tabela50101[Sprint Classification],"&gt;0")</f>
        <v>2</v>
      </c>
      <c r="PY5" s="6">
        <f>COUNTIFS(Tabela103[Country],Tabela1[[#This Row],[Country]],Tabela103[Mixed Relay Classification],"&gt;0")</f>
        <v>1</v>
      </c>
      <c r="PZ5" s="6">
        <f>COUNTIFS(Table149[Country],Tabela1[[#This Row],[Country]],Table149[Big Air Classification],"&gt;0")</f>
        <v>0</v>
      </c>
      <c r="QA5" s="6">
        <f>COUNTIFS(Table149152[Country],Tabela1[[#This Row],[Country]],Table149152[Big Air Classification],"&gt;0")</f>
        <v>0</v>
      </c>
      <c r="QB5" s="6">
        <f>COUNTIFS(Table149[Country],Tabela1[[#This Row],[Country]],Table149[Halfpipe Classification],"&gt;0")</f>
        <v>0</v>
      </c>
      <c r="QC5" s="6">
        <f>COUNTIFS(Table149152[Country],Tabela1[[#This Row],[Country]],Table149152[Halfpipe Classification],"&gt;0")</f>
        <v>0</v>
      </c>
      <c r="QD5" s="6">
        <f>COUNTIFS(Table149[Country],Tabela1[[#This Row],[Country]],Table149[Parallel Giant Slalom Classification],"&gt;0")</f>
        <v>3</v>
      </c>
      <c r="QE5" s="6">
        <f>COUNTIFS(Table149152[Country],Tabela1[[#This Row],[Country]],Table149152[Parallel Giant Slalom Classification],"&gt;0")</f>
        <v>1</v>
      </c>
      <c r="QF5" s="6">
        <f>COUNTIFS(Table149[Country],Tabela1[[#This Row],[Country]],Table149[Slopestyle Classification],"&gt;0")</f>
        <v>0</v>
      </c>
      <c r="QG5" s="6">
        <f>COUNTIFS(Table149152[Country],Tabela1[[#This Row],[Country]],Table149152[Slopestyle Classification],"&gt;0")</f>
        <v>0</v>
      </c>
      <c r="QH5" s="6">
        <f>COUNTIFS(Table149[Country],Tabela1[[#This Row],[Country]],Table149[Snowboard Cross Classification],"&gt;0")</f>
        <v>1</v>
      </c>
      <c r="QI5" s="6">
        <f>COUNTIFS(Table149152[Country],Tabela1[[#This Row],[Country]],Table149152[Snowboard Cross Classification],"&gt;0")</f>
        <v>1</v>
      </c>
      <c r="QJ5" s="6">
        <f>COUNTIFS(Table153[Country],Tabela1[[#This Row],[Country]],Table153[Mixed Team Snowboard Cross Classification],"&gt;0")</f>
        <v>1</v>
      </c>
      <c r="QK5" s="6">
        <f>COUNTIFS(Table154[Country],Tabela1[[#This Row],[Country]],Table154[500m Classification],"&gt;0")</f>
        <v>0</v>
      </c>
      <c r="QL5" s="6">
        <f>COUNTIFS(Table154157[Country],Tabela1[[#This Row],[Country]],Table154157[500m Classification],"&gt;0")</f>
        <v>1</v>
      </c>
      <c r="QM5" s="6">
        <f>COUNTIFS(Table154[Country],Tabela1[[#This Row],[Country]],Table154[1000m Classification],"&gt;0")</f>
        <v>0</v>
      </c>
      <c r="QN5" s="6">
        <f>COUNTIFS(Table154157[Country],Tabela1[[#This Row],[Country]],Table154157[1000m Classification],"&gt;0")</f>
        <v>1</v>
      </c>
      <c r="QO5" s="6">
        <f>COUNTIFS(Table154[Country],Tabela1[[#This Row],[Country]],Table154[1500m Classification],"&gt;0")</f>
        <v>0</v>
      </c>
      <c r="QP5" s="6">
        <f>COUNTIFS(Table154157[Country],Tabela1[[#This Row],[Country]],Table154157[1500m Classification],"&gt;0")</f>
        <v>0</v>
      </c>
      <c r="QQ5" s="6">
        <f>COUNTIFS(Table154157[Country],Tabela1[[#This Row],[Country]],Table154157[3000m Classification],"&gt;0")</f>
        <v>0</v>
      </c>
      <c r="QR5" s="6">
        <f>COUNTIFS(Table154[Country],Tabela1[[#This Row],[Country]],Table154[5000m Classification],"&gt;0")</f>
        <v>0</v>
      </c>
      <c r="QS5" s="6">
        <f>COUNTIFS(Table154157[Country],Tabela1[[#This Row],[Country]],Table154157[5000m Classification],"&gt;0")</f>
        <v>0</v>
      </c>
      <c r="QT5" s="6">
        <f>COUNTIFS(Table154[Country],Tabela1[[#This Row],[Country]],Table154[10000m Classification],"&gt;0")</f>
        <v>0</v>
      </c>
      <c r="QU5" s="6">
        <f>COUNTIFS(Table154[Country],Tabela1[[#This Row],[Country]],Table154[Mass Start Classification],"&gt;0")</f>
        <v>0</v>
      </c>
      <c r="QV5" s="6">
        <f>COUNTIFS(Table154157[Country],Tabela1[[#This Row],[Country]],Table154157[Mass Start Classification],"&gt;0")</f>
        <v>0</v>
      </c>
      <c r="QW5" s="6">
        <f>COUNTIFS(Table157[Country],Tabela1[[#This Row],[Country]],Table157[Men''s Pursuit Classification],"&gt;0")</f>
        <v>0</v>
      </c>
      <c r="QX5" s="6">
        <f>COUNTIFS(Table157[Country],Tabela1[[#This Row],[Country]],Table157[Women''s Pursuit Classification],"&gt;0")</f>
        <v>0</v>
      </c>
      <c r="QY5" s="3" t="s">
        <v>357</v>
      </c>
    </row>
    <row r="6" spans="1:467" x14ac:dyDescent="0.3">
      <c r="A6" s="6">
        <v>5</v>
      </c>
      <c r="B6" s="6" t="s">
        <v>354</v>
      </c>
      <c r="C6" t="e" vm="5">
        <f>IF(ISBLANK(Tabela1[[#This Row],[Image Link]]), "", _xlfn.IMAGE(Tabela1[[#This Row],[Image Link]],1,1))</f>
        <v>#VALUE!</v>
      </c>
      <c r="D6" s="6">
        <f>SUM(Tabela1[[#This Row],[Archery - Men''s Individual Recurve]:[Speed Skating - Women''s Team Pursuit]])</f>
        <v>222</v>
      </c>
      <c r="E6" s="6">
        <f>COUNTIF(Tabela1[[#This Row],[Archery - Men''s Individual Recurve]:[Speed Skating - Women''s Team Pursuit]],"&gt;0")</f>
        <v>177</v>
      </c>
      <c r="F6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6" s="6">
        <f>SUM(Tabela1[[#This Row],[Archery - Men''s Individual Recurve]:[Wrestling - Women''s Freestyle 76kg]])</f>
        <v>178</v>
      </c>
      <c r="H6" s="6">
        <f>SUM(Tabela1[[#This Row],[Alpine Skiing - Men''s Downhill]:[Speed Skating - Women''s Team Pursuit]])</f>
        <v>44</v>
      </c>
      <c r="I6" s="6">
        <f>Tabela1[[#This Row],[Summer Gold Medals]]+Tabela1[[#This Row],[Winter Gold Medals]]</f>
        <v>21</v>
      </c>
      <c r="J6" s="6">
        <f>Tabela1[[#This Row],[Summer Silver Medals]]+Tabela1[[#This Row],[Winter Silver Medals]]</f>
        <v>21</v>
      </c>
      <c r="K6" s="6">
        <f>Tabela1[[#This Row],[Summer Bronze Medals]]+Tabela1[[#This Row],[Winter Bronze Medals]]</f>
        <v>17</v>
      </c>
      <c r="L6" s="6">
        <f>SUM(Tabela1[[#This Row],[Total Gold Medals]:[Total Bronze Medals]])</f>
        <v>59</v>
      </c>
      <c r="M6" s="6">
        <v>18</v>
      </c>
      <c r="N6" s="6">
        <v>19</v>
      </c>
      <c r="O6" s="6">
        <v>16</v>
      </c>
      <c r="P6" s="6">
        <f>SUM(Tabela1[[#This Row],[Summer Gold Medals]:[Summer Bronze Medals]])</f>
        <v>53</v>
      </c>
      <c r="Q6" s="6">
        <v>3</v>
      </c>
      <c r="R6" s="6">
        <v>2</v>
      </c>
      <c r="S6" s="6">
        <v>1</v>
      </c>
      <c r="T6" s="6">
        <f>Tabela1[[#This Row],[Winter Gold Medals]]+Tabela1[[#This Row],[Winter Silver Medals]]+Tabela1[[#This Row],[Winter Bronze Medals]]</f>
        <v>6</v>
      </c>
      <c r="U6" s="7">
        <f>Tabela1[[#This Row],[Total Medals]]/Tabela1[[#This Row],[Total Quotas]]</f>
        <v>0.26576576576576577</v>
      </c>
      <c r="V6" s="6">
        <f>COUNTIFS(Table3[Country],Tabela1[[#This Row],[Country]],Table3[Recurve Classification],"&gt;0")</f>
        <v>1</v>
      </c>
      <c r="W6" s="6">
        <f>COUNTIFS(Table33[Country],Tabela1[[#This Row],[Country]],Table33[Recurve Classification],"&gt;0")</f>
        <v>0</v>
      </c>
      <c r="X6" s="6">
        <f>COUNTIFS(Table35[Country],Tabela1[[#This Row],[Country]],Table35[Men''s Team Recurve Classification],"&gt;0")</f>
        <v>0</v>
      </c>
      <c r="Y6" s="6">
        <f>COUNTIFS(Table35[Country],Tabela1[[#This Row],[Country]],Table35[Women''s Team Recurve Classification],"&gt;0")</f>
        <v>0</v>
      </c>
      <c r="Z6" s="6">
        <f>COUNTIFS(Tabela88[Country],Tabela1[[#This Row],[Country]],Tabela88[Mixed Team Recurve Classification],"&gt;0")</f>
        <v>1</v>
      </c>
      <c r="AA6" s="6">
        <f>COUNTIFS(Table36[Country],Tabela1[[#This Row],[Country]],Table36[Classification],"&gt;0")</f>
        <v>1</v>
      </c>
      <c r="AB6" s="6">
        <f>COUNTIFS(Table37[Country],Tabela1[[#This Row],[Country]],Table37[Classification],"&gt;0")</f>
        <v>1</v>
      </c>
      <c r="AC6" s="6">
        <f>COUNTIFS(Table4[Country],Tabela1[[#This Row],[Country]],Table4[100m Classification],"&gt;0")</f>
        <v>2</v>
      </c>
      <c r="AD6" s="6">
        <f>COUNTIFS(Table5[Country],Tabela1[[#This Row],[Country]],Table5[100m Classification],"&gt;0")</f>
        <v>1</v>
      </c>
      <c r="AE6" s="6">
        <f>COUNTIFS(Table4[Country],Tabela1[[#This Row],[Country]],Table4[200m Classification],"&gt;0")</f>
        <v>0</v>
      </c>
      <c r="AF6" s="6">
        <f>COUNTIFS(Table5[Country],Tabela1[[#This Row],[Country]],Table5[200m Classification],"&gt;0")</f>
        <v>0</v>
      </c>
      <c r="AG6" s="6">
        <f>COUNTIFS(Table4[Country],Tabela1[[#This Row],[Country]],Table4[400m Classification],"&gt;0")</f>
        <v>1</v>
      </c>
      <c r="AH6" s="6">
        <f>COUNTIFS(Table5[Country],Tabela1[[#This Row],[Country]],Table5[400m Classification],"&gt;0")</f>
        <v>0</v>
      </c>
      <c r="AI6" s="6">
        <f>COUNTIFS(Table4[Country],Tabela1[[#This Row],[Country]],Table4[800m Classification],"&gt;0")</f>
        <v>0</v>
      </c>
      <c r="AJ6" s="6">
        <f>COUNTIFS(Table5[Country],Tabela1[[#This Row],[Country]],Table5[800m Classification],"&gt;0")</f>
        <v>1</v>
      </c>
      <c r="AK6" s="6">
        <f>COUNTIFS(Table4[Country],Tabela1[[#This Row],[Country]],Table4[1500m Classification],"&gt;0")</f>
        <v>1</v>
      </c>
      <c r="AL6" s="6">
        <f>COUNTIFS(Table5[Country],Tabela1[[#This Row],[Country]],Table5[1500m Classification],"&gt;0")</f>
        <v>1</v>
      </c>
      <c r="AM6" s="6">
        <f>COUNTIFS(Table4[Country],Tabela1[[#This Row],[Country]],Table4[5000m Classification],"&gt;0")</f>
        <v>1</v>
      </c>
      <c r="AN6" s="6">
        <f>COUNTIFS(Table5[Country],Tabela1[[#This Row],[Country]],Table5[5000m Classification],"&gt;0")</f>
        <v>3</v>
      </c>
      <c r="AO6" s="6">
        <f>COUNTIFS(Table4[Country],Tabela1[[#This Row],[Country]],Table4[10000m Classification],"&gt;0")</f>
        <v>0</v>
      </c>
      <c r="AP6" s="6">
        <f>COUNTIFS(Table5[Country],Tabela1[[#This Row],[Country]],Table5[10000m Classification],"&gt;0")</f>
        <v>1</v>
      </c>
      <c r="AQ6" s="6">
        <f>COUNTIFS(Table4[Country],Tabela1[[#This Row],[Country]],Table4[110m Hurdles Classification],"&gt;0")</f>
        <v>0</v>
      </c>
      <c r="AR6" s="6">
        <f>COUNTIFS(Table5[Country],Tabela1[[#This Row],[Country]],Table5[100m Hurdles Classification],"&gt;0")</f>
        <v>2</v>
      </c>
      <c r="AS6" s="6">
        <f>COUNTIFS(Table4[Country],Tabela1[[#This Row],[Country]],Table4[400m Hurdles Classification],"&gt;0")</f>
        <v>0</v>
      </c>
      <c r="AT6" s="6">
        <f>COUNTIFS(Table5[Country],Tabela1[[#This Row],[Country]],Table5[400m Hurdles Classification],"&gt;0")</f>
        <v>2</v>
      </c>
      <c r="AU6" s="6">
        <f>COUNTIFS(Table4[Country],Tabela1[[#This Row],[Country]],Table4[3000m Steeplechase Classification],"&gt;0")</f>
        <v>0</v>
      </c>
      <c r="AV6" s="6">
        <f>COUNTIFS(Table5[Country],Tabela1[[#This Row],[Country]],Table5[3000m Steeplechase Classification],"&gt;0")</f>
        <v>1</v>
      </c>
      <c r="AW6" s="6">
        <f>COUNTIFS(Table27[Country],Tabela1[[#This Row],[Country]],Table27[Men''s 4x100m Relay Classification],"&gt;0")</f>
        <v>1</v>
      </c>
      <c r="AX6" s="6">
        <f>COUNTIFS(Table27[Country],Tabela1[[#This Row],[Country]],Table27[Women''s 4x100m Relay Classification],"&gt;0")</f>
        <v>1</v>
      </c>
      <c r="AY6" s="6">
        <f>COUNTIFS(Table27[Country],Tabela1[[#This Row],[Country]],Table27[Men''s 4x400m Relay Classification],"&gt;0")</f>
        <v>0</v>
      </c>
      <c r="AZ6" s="6">
        <f>COUNTIFS(Table27[Country],Tabela1[[#This Row],[Country]],Table27[Women''s 4x400m Relay Classification],"&gt;0")</f>
        <v>0</v>
      </c>
      <c r="BA6" s="6">
        <f>COUNTIFS(Table27[Country],Tabela1[[#This Row],[Country]],Table27[Mixed 4x400m Relay Classification],"&gt;0")</f>
        <v>0</v>
      </c>
      <c r="BB6" s="6">
        <f>COUNTIFS(Table4[Country],Tabela1[[#This Row],[Country]],Table4[Marathon Classification],"&gt;0")</f>
        <v>0</v>
      </c>
      <c r="BC6" s="6">
        <f>COUNTIFS(Table5[Country],Tabela1[[#This Row],[Country]],Table5[Marathon Classification],"&gt;0")</f>
        <v>2</v>
      </c>
      <c r="BD6" s="6">
        <f>COUNTIFS(Table4[Country],Tabela1[[#This Row],[Country]],Table4[20km Race Walk Classification],"&gt;0")</f>
        <v>1</v>
      </c>
      <c r="BE6" s="6">
        <f>COUNTIFS(Table5[Country],Tabela1[[#This Row],[Country]],Table5[20km Race Walk Classification],"&gt;0")</f>
        <v>0</v>
      </c>
      <c r="BF6" s="6">
        <f>COUNTIFS(Tabela96[Country],Tabela1[[#This Row],[Country]],Tabela96[Mixed Marathon Race Walk Relay Classification],"&gt;0")</f>
        <v>1</v>
      </c>
      <c r="BG6" s="6">
        <f>COUNTIFS(Table4[Country],Tabela1[[#This Row],[Country]],Table4[Discus Throw Classification],"&gt;0")</f>
        <v>0</v>
      </c>
      <c r="BH6" s="6">
        <f>COUNTIFS(Table5[Country],Tabela1[[#This Row],[Country]],Table5[Discus Throw Classification],"&gt;0")</f>
        <v>0</v>
      </c>
      <c r="BI6" s="6">
        <f>COUNTIFS(Table4[Country],Tabela1[[#This Row],[Country]],Table4[Hammer Throw Classification],"&gt;0")</f>
        <v>0</v>
      </c>
      <c r="BJ6" s="6">
        <f>COUNTIFS(Table5[Country],Tabela1[[#This Row],[Country]],Table5[Hammer Throw Classification],"&gt;0")</f>
        <v>0</v>
      </c>
      <c r="BK6" s="6">
        <f>COUNTIFS(Table4[Country],Tabela1[[#This Row],[Country]],Table4[High Jump Classification],"&gt;0")</f>
        <v>1</v>
      </c>
      <c r="BL6" s="6">
        <f>COUNTIFS(Table5[Country],Tabela1[[#This Row],[Country]],Table5[High Jump Classification],"&gt;0")</f>
        <v>1</v>
      </c>
      <c r="BM6" s="6">
        <f>COUNTIFS(Table4[Country],Tabela1[[#This Row],[Country]],Table4[Javelin Throw Classification],"&gt;0")</f>
        <v>1</v>
      </c>
      <c r="BN6" s="6">
        <f>COUNTIFS(Table5[Country],Tabela1[[#This Row],[Country]],Table5[Javelin Throw Classification],"&gt;0")</f>
        <v>1</v>
      </c>
      <c r="BO6" s="6">
        <f>COUNTIFS(Table4[Country],Tabela1[[#This Row],[Country]],Table4[Long Jump Classification],"&gt;0")</f>
        <v>1</v>
      </c>
      <c r="BP6" s="6">
        <f>COUNTIFS(Table5[Country],Tabela1[[#This Row],[Country]],Table5[Long Jump Classification],"&gt;0")</f>
        <v>0</v>
      </c>
      <c r="BQ6" s="6">
        <f>COUNTIFS(Table4[Country],Tabela1[[#This Row],[Country]],Table4[Pole Vault Classification],"&gt;0")</f>
        <v>1</v>
      </c>
      <c r="BR6" s="6">
        <f>COUNTIFS(Table5[Country],Tabela1[[#This Row],[Country]],Table5[Pole Vault Classification],"&gt;0")</f>
        <v>1</v>
      </c>
      <c r="BS6" s="6">
        <f>COUNTIFS(Table4[Country],Tabela1[[#This Row],[Country]],Table4[Shot Put Classification],"&gt;0")</f>
        <v>0</v>
      </c>
      <c r="BT6" s="6">
        <f>COUNTIFS(Table5[Country],Tabela1[[#This Row],[Country]],Table5[Shot Put Classification],"&gt;0")</f>
        <v>0</v>
      </c>
      <c r="BU6" s="6">
        <f>COUNTIFS(Table4[Country],Tabela1[[#This Row],[Country]],Table4[Triple Jump Classification],"&gt;0")</f>
        <v>1</v>
      </c>
      <c r="BV6" s="6">
        <f>COUNTIFS(Table5[Country],Tabela1[[#This Row],[Country]],Table5[Triple Jump Classification],"&gt;0")</f>
        <v>0</v>
      </c>
      <c r="BW6" s="6">
        <f>COUNTIFS(Table4[Country],Tabela1[[#This Row],[Country]],Table4[Decathlon Classification],"&gt;0")</f>
        <v>1</v>
      </c>
      <c r="BX6" s="6">
        <f>COUNTIFS(Table5[Country],Tabela1[[#This Row],[Country]],Table5[Heptathlon Classification],"&gt;0")</f>
        <v>0</v>
      </c>
      <c r="BY6" s="6">
        <f>COUNTIFS(Table61[Country],Tabela1[[#This Row],[Country]],Table61[Classification],"&gt;0")</f>
        <v>0</v>
      </c>
      <c r="BZ6" s="6">
        <f>COUNTIFS(Table38[Country],Tabela1[[#This Row],[Country]],Table38[Classification],"&gt;0")</f>
        <v>1</v>
      </c>
      <c r="CA6" s="6">
        <f>COUNTIFS(Table39[Country],Tabela1[[#This Row],[Country]],Table39[Men''s Classification],"&gt;0")</f>
        <v>0</v>
      </c>
      <c r="CB6" s="6">
        <f>COUNTIFS(Table39[Country],Tabela1[[#This Row],[Country]],Table39[Women''s Classification],"&gt;0")</f>
        <v>0</v>
      </c>
      <c r="CC6" s="6">
        <f>COUNTIFS(Table39[Country],Tabela1[[#This Row],[Country]],Table39[Mixed Classification],"&gt;0")</f>
        <v>0</v>
      </c>
      <c r="CD6" s="6">
        <f>COUNTIFS(Table89[Country],Tabela1[[#This Row],[Country]],Table89[Men''s Classification],"&gt;0")</f>
        <v>1</v>
      </c>
      <c r="CE6" s="6">
        <f>COUNTIFS(Table89[Country],Tabela1[[#This Row],[Country]],Table89[Women''s Classification],"&gt;0")</f>
        <v>1</v>
      </c>
      <c r="CF6" s="6">
        <f>COUNTIFS(Table90[Country],Tabela1[[#This Row],[Country]],Table90[Men''s Classification],"&gt;0")</f>
        <v>0</v>
      </c>
      <c r="CG6" s="6">
        <f>COUNTIFS(Table90[Country],Tabela1[[#This Row],[Country]],Table90[Women''s Classification],"&gt;0")</f>
        <v>1</v>
      </c>
      <c r="CH6" s="6">
        <f>COUNTIFS(Table60[Country],Tabela1[[#This Row],[Country]],Table60[Men''s Classification],"&gt;0")</f>
        <v>2</v>
      </c>
      <c r="CI6" s="6">
        <f>COUNTIFS(Table60[Country],Tabela1[[#This Row],[Country]],Table60[Women''s Classification],"&gt;0")</f>
        <v>0</v>
      </c>
      <c r="CJ6" s="6">
        <f>COUNTIFS(Table6[Country],Tabela1[[#This Row],[Country]],Table6[51kg Classification],"&gt;0")</f>
        <v>0</v>
      </c>
      <c r="CK6" s="6">
        <f>COUNTIFS(Table6[Country],Tabela1[[#This Row],[Country]],Table6[57kg Classification],"&gt;0")</f>
        <v>1</v>
      </c>
      <c r="CL6" s="6">
        <f>COUNTIFS(Table6[Country],Tabela1[[#This Row],[Country]],Table6[63.5kg Classification],"&gt;0")</f>
        <v>0</v>
      </c>
      <c r="CM6" s="6">
        <f>COUNTIFS(Table6[Country],Tabela1[[#This Row],[Country]],Table6[71kg Classification],"&gt;0")</f>
        <v>1</v>
      </c>
      <c r="CN6" s="6">
        <f>COUNTIFS(Table6[Country],Tabela1[[#This Row],[Country]],Table6[80kg Classification],"&gt;0")</f>
        <v>1</v>
      </c>
      <c r="CO6" s="6">
        <f>COUNTIFS(Table6[Country],Tabela1[[#This Row],[Country]],Table6[92kg Classification],"&gt;0")</f>
        <v>0</v>
      </c>
      <c r="CP6" s="6">
        <f>COUNTIFS(Table6[Country],Tabela1[[#This Row],[Country]],Table6[Plus 92kg Classification],"&gt;0")</f>
        <v>1</v>
      </c>
      <c r="CQ6" s="6">
        <f>COUNTIFS(Table7[Country],Tabela1[[#This Row],[Country]],Table7[50kg Classification],"&gt;0")</f>
        <v>0</v>
      </c>
      <c r="CR6" s="6">
        <f>COUNTIFS(Table7[Country],Tabela1[[#This Row],[Country]],Table7[54kg Classification],"&gt;0")</f>
        <v>0</v>
      </c>
      <c r="CS6" s="6">
        <f>COUNTIFS(Table7[Country],Tabela1[[#This Row],[Country]],Table7[57kg Classification],"&gt;0")</f>
        <v>1</v>
      </c>
      <c r="CT6" s="6">
        <f>COUNTIFS(Table7[Country],Tabela1[[#This Row],[Country]],Table7[60kg Classification],"&gt;0")</f>
        <v>0</v>
      </c>
      <c r="CU6" s="6">
        <f>COUNTIFS(Table7[Country],Tabela1[[#This Row],[Country]],Table7[66kg Classification],"&gt;0")</f>
        <v>0</v>
      </c>
      <c r="CV6" s="6">
        <f>COUNTIFS(Table7[Country],Tabela1[[#This Row],[Country]],Table7[75kg Classification],"&gt;0")</f>
        <v>1</v>
      </c>
      <c r="CW6" s="6">
        <f>COUNTIFS(Tabela94[Country],Tabela1[[#This Row],[Country]],Tabela94[Classification],"&gt;0")</f>
        <v>0</v>
      </c>
      <c r="CX6" s="6">
        <f>COUNTIFS(Tabela9499[Country],Tabela1[[#This Row],[Country]],Tabela9499[Classification],"&gt;0")</f>
        <v>1</v>
      </c>
      <c r="CY6" s="6">
        <f>COUNTIFS(Tabela107[Country],Tabela1[[#This Row],[Country]],Tabela107[C1 Slalom Classification],"&gt;0")</f>
        <v>0</v>
      </c>
      <c r="CZ6" s="6">
        <f>COUNTIFS(Tabela107122[Country],Tabela1[[#This Row],[Country]],Tabela107122[C1 Slalom Classification],"&gt;0")</f>
        <v>1</v>
      </c>
      <c r="DA6" s="6">
        <f>COUNTIFS(Tabela107[Country],Tabela1[[#This Row],[Country]],Tabela107[K1 Slalom Classification],"&gt;0")</f>
        <v>0</v>
      </c>
      <c r="DB6" s="6">
        <f>COUNTIFS(Tabela107122[Country],Tabela1[[#This Row],[Country]],Tabela107122[K1 Slalom Classification],"&gt;0")</f>
        <v>1</v>
      </c>
      <c r="DC6" s="6">
        <f>COUNTIFS(Tabela107[Country],Tabela1[[#This Row],[Country]],Tabela107[Kayak Cross Slalom Classification],"&gt;0")</f>
        <v>0</v>
      </c>
      <c r="DD6" s="6">
        <f>COUNTIFS(Tabela107122[Country],Tabela1[[#This Row],[Country]],Tabela107122[Kayak Cross Slalom Classification],"&gt;0")</f>
        <v>2</v>
      </c>
      <c r="DE6" s="6">
        <f>COUNTIFS(Table8[Country],Tabela1[[#This Row],[Country]],Table8[C1 200m Classification],"&gt;0")</f>
        <v>0</v>
      </c>
      <c r="DF6" s="6">
        <f>COUNTIFS(Table40[Country],Tabela1[[#This Row],[Country]],Table40[C1 1000m Classification],"&gt;0")</f>
        <v>0</v>
      </c>
      <c r="DG6" s="6">
        <f>COUNTIFS(Table68[Country],Tabela1[[#This Row],[Country]],Table68[Men''s C2 500m Classification],"&gt;0")</f>
        <v>0</v>
      </c>
      <c r="DH6" s="6">
        <f>COUNTIFS(Table68[Country],Tabela1[[#This Row],[Country]],Table68[Women''s C2 500m Classification],"&gt;0")</f>
        <v>0</v>
      </c>
      <c r="DI6" s="6">
        <f>COUNTIFS(Table8[Country],Tabela1[[#This Row],[Country]],Table8[K1 500m Classification],"&gt;0")</f>
        <v>0</v>
      </c>
      <c r="DJ6" s="6">
        <f>COUNTIFS(Table40[Country],Tabela1[[#This Row],[Country]],Table40[K1 1000m Classification],"&gt;0")</f>
        <v>1</v>
      </c>
      <c r="DK6" s="6">
        <f>COUNTIFS(Table68[Country],Tabela1[[#This Row],[Country]],Table68[Men''s K2 500m Classification],"&gt;0")</f>
        <v>1</v>
      </c>
      <c r="DL6" s="6">
        <f>COUNTIFS(Table68[Country],Tabela1[[#This Row],[Country]],Table68[Women''s K2 500m Classification],"&gt;0")</f>
        <v>1</v>
      </c>
      <c r="DM6" s="6">
        <f>COUNTIFS(Table83[Country],Tabela1[[#This Row],[Country]],Table83[Men''s K4 500m Classification],"&gt;0")</f>
        <v>1</v>
      </c>
      <c r="DN6" s="6">
        <f>COUNTIFS(Table83[Country],Tabela1[[#This Row],[Country]],Table83[Women''s K4 500m Classification],"&gt;0")</f>
        <v>1</v>
      </c>
      <c r="DO6" s="6">
        <f>COUNTIFS(Tabela126[Country],Tabela1[[#This Row],[Country]],Tabela126[Classification],"&gt;0")</f>
        <v>0</v>
      </c>
      <c r="DP6" s="6">
        <f>COUNTIFS(Tabela126130[Country],Tabela1[[#This Row],[Country]],Tabela126130[Classification],"&gt;0")</f>
        <v>0</v>
      </c>
      <c r="DQ6" s="6">
        <f>COUNTIFS(Table70[Country],Tabela1[[#This Row],[Country]],Table70[Classification],"&gt;0")</f>
        <v>0</v>
      </c>
      <c r="DR6" s="6">
        <f>COUNTIFS(Table80[Country],Tabela1[[#This Row],[Country]],Table80[Classification],"&gt;0")</f>
        <v>1</v>
      </c>
      <c r="DS6" s="6">
        <f>COUNTIFS(Table66[Country],Tabela1[[#This Row],[Country]],Table66[Classification],"&gt;0")</f>
        <v>0</v>
      </c>
      <c r="DT6" s="6">
        <f>COUNTIFS(Table67[Country],Tabela1[[#This Row],[Country]],Table67[Classification],"&gt;0")</f>
        <v>0</v>
      </c>
      <c r="DU6" s="6">
        <f>COUNTIFS(Table69[Country],Tabela1[[#This Row],[Country]],Table69[Keirin Classification],"&gt;0")</f>
        <v>2</v>
      </c>
      <c r="DV6" s="6">
        <f>COUNTIFS(Table41[Country],Tabela1[[#This Row],[Country]],Table41[Keirin Classification],"&gt;0")</f>
        <v>1</v>
      </c>
      <c r="DW6" s="6">
        <f>COUNTIFS(Table84[Country],Tabela1[[#This Row],[Country]],Table84[Men''s Madison Classification],"&gt;0")</f>
        <v>1</v>
      </c>
      <c r="DX6" s="6">
        <f>COUNTIFS(Table84[Country],Tabela1[[#This Row],[Country]],Table84[Women''s Madison Classification],"&gt;0")</f>
        <v>1</v>
      </c>
      <c r="DY6" s="6">
        <f>COUNTIFS(Table69[Country],Tabela1[[#This Row],[Country]],Table69[Omnium Classification],"&gt;0")</f>
        <v>1</v>
      </c>
      <c r="DZ6" s="6">
        <f>COUNTIFS(Table41[Country],Tabela1[[#This Row],[Country]],Table41[Omnium Classification],"&gt;0")</f>
        <v>0</v>
      </c>
      <c r="EA6" s="6">
        <f>COUNTIFS(Table9[Country],Tabela1[[#This Row],[Country]],Table9[Road Race Classification],"&gt;0")</f>
        <v>1</v>
      </c>
      <c r="EB6" s="6">
        <f>COUNTIFS(Table14[Country],Tabela1[[#This Row],[Country]],Table14[Road Race Classification],"&gt;0")</f>
        <v>0</v>
      </c>
      <c r="EC6" s="6">
        <f>COUNTIFS(Table69[Country],Tabela1[[#This Row],[Country]],Table69[Sprint Classification],"&gt;0")</f>
        <v>2</v>
      </c>
      <c r="ED6" s="6">
        <f>COUNTIFS(Table41[Country],Tabela1[[#This Row],[Country]],Table41[Sprint Classification],"&gt;0")</f>
        <v>1</v>
      </c>
      <c r="EE6" s="6">
        <f>COUNTIFS(Table85[Country],Tabela1[[#This Row],[Country]],Table85[Men''s Sprint Classification],"&gt;0")</f>
        <v>1</v>
      </c>
      <c r="EF6" s="6">
        <f>COUNTIFS(Table85[Country],Tabela1[[#This Row],[Country]],Table85[Women''s Sprint Classification],"&gt;0")</f>
        <v>0</v>
      </c>
      <c r="EG6" s="6">
        <f>COUNTIFS(Table85[Country],Tabela1[[#This Row],[Country]],Table85[Men''s Pursuit Classification],"&gt;0")</f>
        <v>1</v>
      </c>
      <c r="EH6" s="6">
        <f>COUNTIFS(Table85[Country],Tabela1[[#This Row],[Country]],Table85[Women''s Pursuit Classification],"&gt;0")</f>
        <v>1</v>
      </c>
      <c r="EI6" s="6">
        <f>COUNTIFS(Table9[Country],Tabela1[[#This Row],[Country]],Table9[Time-Trial Classification],"&gt;0")</f>
        <v>0</v>
      </c>
      <c r="EJ6" s="6">
        <f>COUNTIFS(Table14[Country],Tabela1[[#This Row],[Country]],Table14[Time-Trial Classification],"&gt;0")</f>
        <v>0</v>
      </c>
      <c r="EK6" s="6">
        <f>COUNTIFS(Table42[Country],Tabela1[[#This Row],[Country]],Table42[Springboard Classification],"&gt;0")</f>
        <v>0</v>
      </c>
      <c r="EL6" s="6">
        <f>COUNTIFS(Table43[Country],Tabela1[[#This Row],[Country]],Table43[Springboard Classification],"&gt;0")</f>
        <v>1</v>
      </c>
      <c r="EM6" s="6">
        <f>COUNTIFS(Table42[Country],Tabela1[[#This Row],[Country]],Table42[Platform Classification],"&gt;0")</f>
        <v>1</v>
      </c>
      <c r="EN6" s="6">
        <f>COUNTIFS(Table43[Country],Tabela1[[#This Row],[Country]],Table43[Platform Classification],"&gt;0")</f>
        <v>2</v>
      </c>
      <c r="EO6" s="6">
        <f>COUNTIFS(Table86[Country],Tabela1[[#This Row],[Country]],Table86[Men''s Synchronized Springboard Classification],"&gt;0")</f>
        <v>0</v>
      </c>
      <c r="EP6" s="6">
        <f>COUNTIFS(Table86[Country],Tabela1[[#This Row],[Country]],Table86[Women''s Synchronized Springboard Classification],"&gt;0")</f>
        <v>1</v>
      </c>
      <c r="EQ6" s="6">
        <f>COUNTIFS(Table86[Country],Tabela1[[#This Row],[Country]],Table86[Men''s Synchronized Platform Classification],"&gt;0")</f>
        <v>0</v>
      </c>
      <c r="ER6" s="6">
        <f>COUNTIFS(Table86[Country],Tabela1[[#This Row],[Country]],Table86[Women''s Synchronized Platform Classification],"&gt;0")</f>
        <v>0</v>
      </c>
      <c r="ES6" s="6">
        <f>COUNTIFS(Table44[Country],Tabela1[[#This Row],[Country]],Table44[Dressage Classification],"&gt;0")</f>
        <v>1</v>
      </c>
      <c r="ET6" s="6">
        <f>COUNTIFS(Table45[Country],Tabela1[[#This Row],[Country]],Table45[Dressage Classification],"&gt;0")</f>
        <v>1</v>
      </c>
      <c r="EU6" s="6">
        <f>COUNTIFS(Table44[Country],Tabela1[[#This Row],[Country]],Table44[Eventing Classification],"&gt;0")</f>
        <v>1</v>
      </c>
      <c r="EV6" s="6">
        <f>COUNTIFS(Table45[Country],Tabela1[[#This Row],[Country]],Table45[Eventing Classification],"&gt;0")</f>
        <v>1</v>
      </c>
      <c r="EW6" s="6">
        <f>COUNTIFS(Table44[Country],Tabela1[[#This Row],[Country]],Table44[Jumping Classification],"&gt;0")</f>
        <v>3</v>
      </c>
      <c r="EX6" s="6">
        <f>COUNTIFS(Table45[Country],Tabela1[[#This Row],[Country]],Table45[Jumping Classification],"&gt;0")</f>
        <v>1</v>
      </c>
      <c r="EY6" s="6">
        <f>COUNTIFS(Table10[Country],Tabela1[[#This Row],[Country]],Table10[Épée Classification],"&gt;0")</f>
        <v>0</v>
      </c>
      <c r="EZ6" s="6">
        <f>COUNTIFS(Table11[Country],Tabela1[[#This Row],[Country]],Table11[Épée Classification],"&gt;0")</f>
        <v>0</v>
      </c>
      <c r="FA6" s="6">
        <f>COUNTIFS(Table46[Country],Tabela1[[#This Row],[Country]],Table46[Men''s Épée Classification],"&gt;0")</f>
        <v>0</v>
      </c>
      <c r="FB6" s="6">
        <f>COUNTIFS(Table46[Country],Tabela1[[#This Row],[Country]],Table46[Women''s Épée Classification],"&gt;0")</f>
        <v>0</v>
      </c>
      <c r="FC6" s="6">
        <f>COUNTIFS(Table10[Country],Tabela1[[#This Row],[Country]],Table10[Foil Classification],"&gt;0")</f>
        <v>0</v>
      </c>
      <c r="FD6" s="6">
        <f>COUNTIFS(Table11[Country],Tabela1[[#This Row],[Country]],Table11[Foil Classification],"&gt;0")</f>
        <v>0</v>
      </c>
      <c r="FE6" s="6">
        <f>COUNTIFS(Table46[Country],Tabela1[[#This Row],[Country]],Table46[Men''s Foil Classification],"&gt;0")</f>
        <v>0</v>
      </c>
      <c r="FF6" s="6">
        <f>COUNTIFS(Table46[Country],Tabela1[[#This Row],[Country]],Table46[Women''s Foil Classification],"&gt;0")</f>
        <v>0</v>
      </c>
      <c r="FG6" s="6">
        <f>COUNTIFS(Table10[Country],Tabela1[[#This Row],[Country]],Table10[Sabre Classification],"&gt;0")</f>
        <v>0</v>
      </c>
      <c r="FH6" s="6">
        <f>COUNTIFS(Table11[Country],Tabela1[[#This Row],[Country]],Table11[Sabre Classification],"&gt;0")</f>
        <v>0</v>
      </c>
      <c r="FI6" s="6">
        <f>COUNTIFS(Table46[Country],Tabela1[[#This Row],[Country]],Table46[Men''s Sabre Classification],"&gt;0")</f>
        <v>0</v>
      </c>
      <c r="FJ6" s="6">
        <f>COUNTIFS(Table46[Country],Tabela1[[#This Row],[Country]],Table46[Women''s Sabre Classification],"&gt;0")</f>
        <v>0</v>
      </c>
      <c r="FK6" s="6">
        <f>COUNTIFS(Table91[Country],Tabela1[[#This Row],[Country]],Table91[Men''s Classification],"&gt;0")</f>
        <v>1</v>
      </c>
      <c r="FL6" s="6">
        <f>COUNTIFS(Table91[Country],Tabela1[[#This Row],[Country]],Table91[Women''s Classification],"&gt;0")</f>
        <v>1</v>
      </c>
      <c r="FM6" s="6">
        <f>COUNTIFS(Table9194[Country],Tabela1[[#This Row],[Country]],Table9194[Men''s Classification],"&gt;0")</f>
        <v>0</v>
      </c>
      <c r="FN6" s="6">
        <f>COUNTIFS(Table9194[Country],Tabela1[[#This Row],[Country]],Table9194[Women''s Classification],"&gt;0")</f>
        <v>1</v>
      </c>
      <c r="FO6" s="6">
        <f>COUNTIFS(Table71[Country],Tabela1[[#This Row],[Country]],Table71[Classification],"&gt;0")</f>
        <v>1</v>
      </c>
      <c r="FP6" s="6">
        <f>COUNTIFS(Table62[Country],Tabela1[[#This Row],[Country]],Table62[Classification],"&gt;0")</f>
        <v>2</v>
      </c>
      <c r="FQ6" s="6">
        <f>COUNTIFS(Table47[Country],Tabela1[[#This Row],[Country]],Table47[All-Around Classification],"&gt;0")</f>
        <v>1</v>
      </c>
      <c r="FR6" s="6">
        <f>COUNTIFS(Table48[Country],Tabela1[[#This Row],[Country]],Table48[All-Around Classification],"&gt;0")</f>
        <v>2</v>
      </c>
      <c r="FS6" s="6">
        <f>COUNTIFS(Table81[Country],Tabela1[[#This Row],[Country]],Table81[Men''s All-Around Classification],"&gt;0")</f>
        <v>0</v>
      </c>
      <c r="FT6" s="6">
        <f>COUNTIFS(Table81[Country],Tabela1[[#This Row],[Country]],Table81[Women''s All-Around Classification],"&gt;0")</f>
        <v>1</v>
      </c>
      <c r="FU6" s="6">
        <f>COUNTIFS(Table48[Country],Tabela1[[#This Row],[Country]],Table48[Balance Beam Classification],"&gt;0")</f>
        <v>2</v>
      </c>
      <c r="FV6" s="6">
        <f>COUNTIFS(Table47[Country],Tabela1[[#This Row],[Country]],Table47[Floor Exercise Classification],"&gt;0")</f>
        <v>1</v>
      </c>
      <c r="FW6" s="6">
        <f>COUNTIFS(Table48[Country],Tabela1[[#This Row],[Country]],Table48[Floor Exercise Classification],"&gt;0")</f>
        <v>2</v>
      </c>
      <c r="FX6" s="6">
        <f>COUNTIFS(Table47[Country],Tabela1[[#This Row],[Country]],Table47[Horizontal Bar Classification],"&gt;0")</f>
        <v>1</v>
      </c>
      <c r="FY6" s="6">
        <f>COUNTIFS(Table47[Country],Tabela1[[#This Row],[Country]],Table47[Parallel Bars Classification],"&gt;0")</f>
        <v>1</v>
      </c>
      <c r="FZ6" s="6">
        <f>COUNTIFS(Table47[Country],Tabela1[[#This Row],[Country]],Table47[Pommel Horse Classification],"&gt;0")</f>
        <v>1</v>
      </c>
      <c r="GA6" s="6">
        <f>COUNTIFS(Table47[Country],Tabela1[[#This Row],[Country]],Table47[Rings Classification],"&gt;0")</f>
        <v>1</v>
      </c>
      <c r="GB6" s="6">
        <f>COUNTIFS(Tabela132[Country],Tabela1[[#This Row],[Country]],Tabela132[Classification],"&gt;0")</f>
        <v>0</v>
      </c>
      <c r="GC6" s="6">
        <f>COUNTIFS(Tabela139[Country],Tabela1[[#This Row],[Country]],Tabela139[Classification],"&gt;0")</f>
        <v>0</v>
      </c>
      <c r="GD6" s="6">
        <f>COUNTIFS(Table48[Country],Tabela1[[#This Row],[Country]],Table48[Uneven Bars Classification],"&gt;0")</f>
        <v>2</v>
      </c>
      <c r="GE6" s="6">
        <f>COUNTIFS(Table47[Country],Tabela1[[#This Row],[Country]],Table47[Vault Classification],"&gt;0")</f>
        <v>0</v>
      </c>
      <c r="GF6" s="6">
        <f>COUNTIFS(Table48[Country],Tabela1[[#This Row],[Country]],Table48[Vault Classification],"&gt;0")</f>
        <v>1</v>
      </c>
      <c r="GG6" s="6">
        <f>COUNTIFS(Table919496[Country],Tabela1[[#This Row],[Country]],Table919496[Men''s Classification],"&gt;0")</f>
        <v>0</v>
      </c>
      <c r="GH6" s="6">
        <f>COUNTIFS(Table919496[Country],Tabela1[[#This Row],[Country]],Table919496[Women''s Classification],"&gt;0")</f>
        <v>0</v>
      </c>
      <c r="GI6" s="6">
        <f>COUNTIFS(Table12[Country],Tabela1[[#This Row],[Country]],Table12[60kg Classification],"&gt;0")</f>
        <v>1</v>
      </c>
      <c r="GJ6" s="6">
        <f>COUNTIFS(Table12[Country],Tabela1[[#This Row],[Country]],Table12[66kg Classification],"&gt;0")</f>
        <v>0</v>
      </c>
      <c r="GK6" s="6">
        <f>COUNTIFS(Table12[Country],Tabela1[[#This Row],[Country]],Table12[73kg Classification],"&gt;0")</f>
        <v>0</v>
      </c>
      <c r="GL6" s="6">
        <f>COUNTIFS(Table12[Country],Tabela1[[#This Row],[Country]],Table12[81kg Classification],"&gt;0")</f>
        <v>0</v>
      </c>
      <c r="GM6" s="6">
        <f>COUNTIFS(Table12[Country],Tabela1[[#This Row],[Country]],Table12[90kg Classification],"&gt;0")</f>
        <v>0</v>
      </c>
      <c r="GN6" s="6">
        <f>COUNTIFS(Table12[Country],Tabela1[[#This Row],[Country]],Table12[100kg Classification],"&gt;0")</f>
        <v>0</v>
      </c>
      <c r="GO6" s="6">
        <f>COUNTIFS(Table12[Country],Tabela1[[#This Row],[Country]],Table12[Plus 100kg Classification],"&gt;0")</f>
        <v>0</v>
      </c>
      <c r="GP6" s="6">
        <f>COUNTIFS(Table13[Country],Tabela1[[#This Row],[Country]],Table13[48kg Classification],"&gt;0")</f>
        <v>0</v>
      </c>
      <c r="GQ6" s="6">
        <f>COUNTIFS(Table13[Country],Tabela1[[#This Row],[Country]],Table13[52kg Classification],"&gt;0")</f>
        <v>0</v>
      </c>
      <c r="GR6" s="6">
        <f>COUNTIFS(Table13[Country],Tabela1[[#This Row],[Country]],Table13[57kg Classification],"&gt;0")</f>
        <v>0</v>
      </c>
      <c r="GS6" s="6">
        <f>COUNTIFS(Table13[Country],Tabela1[[#This Row],[Country]],Table13[63kg Classification],"&gt;0")</f>
        <v>0</v>
      </c>
      <c r="GT6" s="6">
        <f>COUNTIFS(Table13[Country],Tabela1[[#This Row],[Country]],Table13[70kg Classification],"&gt;0")</f>
        <v>0</v>
      </c>
      <c r="GU6" s="6">
        <f>COUNTIFS(Table13[Country],Tabela1[[#This Row],[Country]],Table13[78kg Classification],"&gt;0")</f>
        <v>0</v>
      </c>
      <c r="GV6" s="6">
        <f>COUNTIFS(Table13[Country],Tabela1[[#This Row],[Country]],Table13[Plus 78kg Classification],"&gt;0")</f>
        <v>0</v>
      </c>
      <c r="GW6" s="6">
        <f>COUNTIFS(Table82[Country],Tabela1[[#This Row],[Country]],Table82[Mixed Classification],"&gt;0")</f>
        <v>0</v>
      </c>
      <c r="GX6" s="6">
        <f>COUNTIFS(Table51[Country],Tabela1[[#This Row],[Country]],Table51[Classification],"&gt;0")</f>
        <v>0</v>
      </c>
      <c r="GY6" s="6">
        <f>COUNTIFS(Table52[Country],Tabela1[[#This Row],[Country]],Table52[Classification],"&gt;0")</f>
        <v>1</v>
      </c>
      <c r="GZ6" s="6">
        <f>COUNTIFS(Table32[Country],Tabela1[[#This Row],[Country]],Table32[All-Around Classification],"&gt;0")</f>
        <v>0</v>
      </c>
      <c r="HA6" s="6">
        <f>COUNTIFS(Table49[Country],Tabela1[[#This Row],[Country]],Table49[All-Around Classification],"&gt;0")</f>
        <v>0</v>
      </c>
      <c r="HB6" s="6">
        <f>COUNTIFS(Table26[Country],Tabela1[[#This Row],[Country]],Table26[Single Sculls Classification],"&gt;0")</f>
        <v>0</v>
      </c>
      <c r="HC6" s="6">
        <f>COUNTIFS(Table63[Country],Tabela1[[#This Row],[Country]],Table63[Single Sculls Classification],"&gt;0")</f>
        <v>1</v>
      </c>
      <c r="HD6" s="6">
        <f>COUNTIFS(Table16[Country],Tabela1[[#This Row],[Country]],Table16[Men''s Double Sculls Classification],"&gt;0")</f>
        <v>0</v>
      </c>
      <c r="HE6" s="6">
        <f>COUNTIFS(Table16[Country],Tabela1[[#This Row],[Country]],Table16[Women''s Double Sculls Classification],"&gt;0")</f>
        <v>0</v>
      </c>
      <c r="HF6" s="6">
        <f>COUNTIFS(Table72[Country],Tabela1[[#This Row],[Country]],Table72[Men''s Quadruple Sculls Classification],"&gt;0")</f>
        <v>0</v>
      </c>
      <c r="HG6" s="6">
        <f>COUNTIFS(Table72[Country],Tabela1[[#This Row],[Country]],Table72[Women''s Quadruple Sculls Classification],"&gt;0")</f>
        <v>1</v>
      </c>
      <c r="HH6" s="6">
        <f>COUNTIFS(Table16[Country],Tabela1[[#This Row],[Country]],Table16[Men''s Coxless Pairs Classification],"&gt;0")</f>
        <v>0</v>
      </c>
      <c r="HI6" s="6">
        <f>COUNTIFS(Table16[Country],Tabela1[[#This Row],[Country]],Table16[Women''s Coxless Pairs Classification],"&gt;0")</f>
        <v>1</v>
      </c>
      <c r="HJ6" s="6">
        <f>COUNTIFS(Table72[Country],Tabela1[[#This Row],[Country]],Table72[Men''s Coxless Fours Classification],"&gt;0")</f>
        <v>1</v>
      </c>
      <c r="HK6" s="6">
        <f>COUNTIFS(Table72[Country],Tabela1[[#This Row],[Country]],Table72[Women''s Coxless Fours Classification],"&gt;0")</f>
        <v>1</v>
      </c>
      <c r="HL6" s="6">
        <f>COUNTIFS(Table72[Country],Tabela1[[#This Row],[Country]],Table72[Men''s Eights Classification],"&gt;0")</f>
        <v>1</v>
      </c>
      <c r="HM6" s="6">
        <f>COUNTIFS(Table72[Country],Tabela1[[#This Row],[Country]],Table72[Women''s Eights Classification],"&gt;0")</f>
        <v>1</v>
      </c>
      <c r="HN6" s="6">
        <f>COUNTIFS(Table16[Country],Tabela1[[#This Row],[Country]],Table16[Men''s Lwt. Double Sculls Classification],"&gt;0")</f>
        <v>0</v>
      </c>
      <c r="HO6" s="6">
        <f>COUNTIFS(Table16[Country],Tabela1[[#This Row],[Country]],Table16[Women''s Lwt. Double Sculls Classification],"&gt;0")</f>
        <v>0</v>
      </c>
      <c r="HP6" s="6">
        <f>COUNTIFS(Table91949698[Country],Tabela1[[#This Row],[Country]],Table91949698[Men''s Classification],"&gt;0")</f>
        <v>1</v>
      </c>
      <c r="HQ6" s="6">
        <f>COUNTIFS(Table91949698[Country],Tabela1[[#This Row],[Country]],Table91949698[Women''s Classification],"&gt;0")</f>
        <v>1</v>
      </c>
      <c r="HR6" s="6">
        <f>COUNTIFS(Table25[Country],Tabela1[[#This Row],[Country]],Table25[Mixed 470 Classification],"&gt;0")</f>
        <v>1</v>
      </c>
      <c r="HS6" s="6">
        <f>COUNTIFS(Table25[Country],Tabela1[[#This Row],[Country]],Table25[Men''s 49er Classification],"&gt;0")</f>
        <v>1</v>
      </c>
      <c r="HT6" s="6">
        <f>COUNTIFS(Table25[Country],Tabela1[[#This Row],[Country]],Table25[Women''s 49er FX Classification],"&gt;0")</f>
        <v>1</v>
      </c>
      <c r="HU6" s="6">
        <f>COUNTIFS(Table17[Country],Tabela1[[#This Row],[Country]],Table17[Formula Kite Classification],"&gt;0")</f>
        <v>0</v>
      </c>
      <c r="HV6" s="6">
        <f>COUNTIFS(Table18[Country],Tabela1[[#This Row],[Country]],Table18[Formula Kite Classification],"&gt;0")</f>
        <v>0</v>
      </c>
      <c r="HW6" s="6">
        <f>COUNTIFS(Table17[Country],Tabela1[[#This Row],[Country]],Table17[ILCA 7 Classification],"&gt;0")</f>
        <v>1</v>
      </c>
      <c r="HX6" s="6">
        <f>COUNTIFS(Table18[Country],Tabela1[[#This Row],[Country]],Table18[ILCA 6 Classification],"&gt;0")</f>
        <v>1</v>
      </c>
      <c r="HY6" s="6">
        <f>COUNTIFS(Table17[Country],Tabela1[[#This Row],[Country]],Table17[IQFoil Classification],"&gt;0")</f>
        <v>1</v>
      </c>
      <c r="HZ6" s="6">
        <f>COUNTIFS(Table18[Country],Tabela1[[#This Row],[Country]],Table18[IQFoil Classification],"&gt;0")</f>
        <v>0</v>
      </c>
      <c r="IA6" s="6">
        <f>COUNTIFS(Table25[Country],Tabela1[[#This Row],[Country]],Table25[Mixed Nacra 17 Classification],"&gt;0")</f>
        <v>0</v>
      </c>
      <c r="IB6" s="6">
        <f>COUNTIFS(Table53[Country],Tabela1[[#This Row],[Country]],Table53[10m Air Pistol Classification],"&gt;0")</f>
        <v>0</v>
      </c>
      <c r="IC6" s="6">
        <f>COUNTIFS(Table19[Country],Tabela1[[#This Row],[Country]],Table19[10m Air Pistol Classification],"&gt;0")</f>
        <v>0</v>
      </c>
      <c r="ID6" s="6">
        <f>COUNTIFS(Table54[Country],Tabela1[[#This Row],[Country]],Table54[Mixed 10m Air Pistol Team Classification],"&gt;0")</f>
        <v>0</v>
      </c>
      <c r="IE6" s="6">
        <f>COUNTIFS(Table53[Country],Tabela1[[#This Row],[Country]],Table53[10m Air Rifle Classification],"&gt;0")</f>
        <v>2</v>
      </c>
      <c r="IF6" s="6">
        <f>COUNTIFS(Table19[Country],Tabela1[[#This Row],[Country]],Table19[10m Air Rifle Classification],"&gt;0")</f>
        <v>0</v>
      </c>
      <c r="IG6" s="6">
        <f>COUNTIFS(Table54[Country],Tabela1[[#This Row],[Country]],Table54[Mixed 10m Air Rifle Team Classification],"&gt;0")</f>
        <v>0</v>
      </c>
      <c r="IH6" s="6">
        <f>COUNTIFS(Table53[Country],Tabela1[[#This Row],[Country]],Table53[25m Rapid Fire Pistol Classification],"&gt;0")</f>
        <v>0</v>
      </c>
      <c r="II6" s="6">
        <f>COUNTIFS(Table19[Country],Tabela1[[#This Row],[Country]],Table19[25m Pistol Classification],"&gt;0")</f>
        <v>0</v>
      </c>
      <c r="IJ6" s="6">
        <f>COUNTIFS(Table53[Country],Tabela1[[#This Row],[Country]],Table53[50m Rifle 3 Positions Classification],"&gt;0")</f>
        <v>2</v>
      </c>
      <c r="IK6" s="6">
        <f>COUNTIFS(Table19[Country],Tabela1[[#This Row],[Country]],Table19[50m Rifle 3 Positions Classification],"&gt;0")</f>
        <v>0</v>
      </c>
      <c r="IL6" s="6">
        <f>COUNTIFS(Table53[Country],Tabela1[[#This Row],[Country]],Table53[Skeet Classification],"&gt;0")</f>
        <v>1</v>
      </c>
      <c r="IM6" s="6">
        <f>COUNTIFS(Table19[Country],Tabela1[[#This Row],[Country]],Table19[Skeet Classification],"&gt;0")</f>
        <v>0</v>
      </c>
      <c r="IN6" s="6">
        <f>COUNTIFS(Table54[Country],Tabela1[[#This Row],[Country]],Table54[Mixed Skeet Team Classification],"&gt;0")</f>
        <v>1</v>
      </c>
      <c r="IO6" s="6">
        <f>COUNTIFS(Table53[Country],Tabela1[[#This Row],[Country]],Table53[Trap Classification],"&gt;0")</f>
        <v>0</v>
      </c>
      <c r="IP6" s="6">
        <f>COUNTIFS(Table19[Country],Tabela1[[#This Row],[Country]],Table19[Trap Classification],"&gt;0")</f>
        <v>0</v>
      </c>
      <c r="IQ6" s="6">
        <f>COUNTIFS(Table73[Country],Tabela1[[#This Row],[Country]],Table73[Park Classification],"&gt;0")</f>
        <v>2</v>
      </c>
      <c r="IR6" s="6">
        <f>COUNTIFS(Table74[Country],Tabela1[[#This Row],[Country]],Table74[Park Classification],"&gt;0")</f>
        <v>1</v>
      </c>
      <c r="IS6" s="6">
        <f>COUNTIFS(Table73[Country],Tabela1[[#This Row],[Country]],Table73[Street Classification],"&gt;0")</f>
        <v>0</v>
      </c>
      <c r="IT6" s="6">
        <f>COUNTIFS(Table74[Country],Tabela1[[#This Row],[Country]],Table74[Street Classification],"&gt;0")</f>
        <v>1</v>
      </c>
      <c r="IU6" s="6">
        <f>COUNTIFS(Table75[Country],Tabela1[[#This Row],[Country]],Table75[Boulder and Lead Classification],"&gt;0")</f>
        <v>0</v>
      </c>
      <c r="IV6" s="6">
        <f>COUNTIFS(Table76[Country],Tabela1[[#This Row],[Country]],Table76[Boulder and Lead Classification],"&gt;0")</f>
        <v>0</v>
      </c>
      <c r="IW6" s="6">
        <f>COUNTIFS(Table75[Country],Tabela1[[#This Row],[Country]],Table75[Speed Classification],"&gt;0")</f>
        <v>0</v>
      </c>
      <c r="IX6" s="6">
        <f>COUNTIFS(Table76[Country],Tabela1[[#This Row],[Country]],Table76[Speed Classification],"&gt;0")</f>
        <v>0</v>
      </c>
      <c r="IY6" s="6">
        <f>COUNTIFS(Table64[Country],Tabela1[[#This Row],[Country]],Table64[Shortboard Classification],"&gt;0")</f>
        <v>1</v>
      </c>
      <c r="IZ6" s="6">
        <f>COUNTIFS(Table77[Country],Tabela1[[#This Row],[Country]],Table77[Shortboard Classification],"&gt;0")</f>
        <v>2</v>
      </c>
      <c r="JA6" s="6">
        <f>COUNTIFS(Table20[Country],Tabela1[[#This Row],[Country]],Table20[50m Freestyle Classification],"&gt;0")</f>
        <v>0</v>
      </c>
      <c r="JB6" s="6">
        <f>COUNTIFS(Table21[Country],Tabela1[[#This Row],[Country]],Table21[50m Freestyle Classification],"&gt;0")</f>
        <v>1</v>
      </c>
      <c r="JC6" s="6">
        <f>COUNTIFS(Table20[Country],Tabela1[[#This Row],[Country]],Table20[100m Freestyle Classification],"&gt;0")</f>
        <v>2</v>
      </c>
      <c r="JD6" s="6">
        <f>COUNTIFS(Table21[Country],Tabela1[[#This Row],[Country]],Table21[100m Freestyle Classification],"&gt;0")</f>
        <v>0</v>
      </c>
      <c r="JE6" s="6">
        <f>COUNTIFS(Table20[Country],Tabela1[[#This Row],[Country]],Table20[200m Freestyle Classification],"&gt;0")</f>
        <v>0</v>
      </c>
      <c r="JF6" s="6">
        <f>COUNTIFS(Table21[Country],Tabela1[[#This Row],[Country]],Table21[200m Freestyle Classification],"&gt;0")</f>
        <v>0</v>
      </c>
      <c r="JG6" s="6">
        <f>COUNTIFS(Table20[Country],Tabela1[[#This Row],[Country]],Table20[400m Freestyle Classification],"&gt;0")</f>
        <v>0</v>
      </c>
      <c r="JH6" s="6">
        <f>COUNTIFS(Table21[Country],Tabela1[[#This Row],[Country]],Table21[400m Freestyle Classification],"&gt;0")</f>
        <v>0</v>
      </c>
      <c r="JI6" s="6">
        <f>COUNTIFS(Table20[Country],Tabela1[[#This Row],[Country]],Table20[800m Freestyle Classification],"&gt;0")</f>
        <v>0</v>
      </c>
      <c r="JJ6" s="6">
        <f>COUNTIFS(Table21[Country],Tabela1[[#This Row],[Country]],Table21[800m Freestyle Classification],"&gt;0")</f>
        <v>1</v>
      </c>
      <c r="JK6" s="6">
        <f>COUNTIFS(Table20[Country],Tabela1[[#This Row],[Country]],Table20[1500m Freestyle Classification],"&gt;0")</f>
        <v>0</v>
      </c>
      <c r="JL6" s="6">
        <f>COUNTIFS(Table21[Country],Tabela1[[#This Row],[Country]],Table21[1500m Freestyle Classification],"&gt;0")</f>
        <v>1</v>
      </c>
      <c r="JM6" s="6">
        <f>COUNTIFS(Table20[Country],Tabela1[[#This Row],[Country]],Table20[100m Backstroke Classification],"&gt;0")</f>
        <v>1</v>
      </c>
      <c r="JN6" s="6">
        <f>COUNTIFS(Table21[Country],Tabela1[[#This Row],[Country]],Table21[100m Backstroke Classification],"&gt;0")</f>
        <v>1</v>
      </c>
      <c r="JO6" s="6">
        <f>COUNTIFS(Table20[Country],Tabela1[[#This Row],[Country]],Table20[200m Backstroke Classification],"&gt;0")</f>
        <v>2</v>
      </c>
      <c r="JP6" s="6">
        <f>COUNTIFS(Table21[Country],Tabela1[[#This Row],[Country]],Table21[200m Backstroke Classification],"&gt;0")</f>
        <v>0</v>
      </c>
      <c r="JQ6" s="6">
        <f>COUNTIFS(Table20[Country],Tabela1[[#This Row],[Country]],Table20[100m Breaststroke Classification],"&gt;0")</f>
        <v>1</v>
      </c>
      <c r="JR6" s="6">
        <f>COUNTIFS(Table21[Country],Tabela1[[#This Row],[Country]],Table21[100m Breaststroke Classification],"&gt;0")</f>
        <v>0</v>
      </c>
      <c r="JS6" s="6">
        <f>COUNTIFS(Table20[Country],Tabela1[[#This Row],[Country]],Table20[200m Breaststroke Classification],"&gt;0")</f>
        <v>1</v>
      </c>
      <c r="JT6" s="6">
        <f>COUNTIFS(Table21[Country],Tabela1[[#This Row],[Country]],Table21[200m Breaststroke Classification],"&gt;0")</f>
        <v>0</v>
      </c>
      <c r="JU6" s="6">
        <f>COUNTIFS(Table20[Country],Tabela1[[#This Row],[Country]],Table20[100m Butterfly Classification],"&gt;0")</f>
        <v>0</v>
      </c>
      <c r="JV6" s="6">
        <f>COUNTIFS(Table21[Country],Tabela1[[#This Row],[Country]],Table21[100m Butterfly Classification],"&gt;0")</f>
        <v>1</v>
      </c>
      <c r="JW6" s="6">
        <f>COUNTIFS(Table20[Country],Tabela1[[#This Row],[Country]],Table20[200m Butterfly Classification],"&gt;0")</f>
        <v>0</v>
      </c>
      <c r="JX6" s="6">
        <f>COUNTIFS(Table21[Country],Tabela1[[#This Row],[Country]],Table21[200m Butterfly Classification],"&gt;0")</f>
        <v>1</v>
      </c>
      <c r="JY6" s="6">
        <f>COUNTIFS(Table20[Country],Tabela1[[#This Row],[Country]],Table20[200m Medley Classification],"&gt;0")</f>
        <v>0</v>
      </c>
      <c r="JZ6" s="6">
        <f>COUNTIFS(Table21[Country],Tabela1[[#This Row],[Country]],Table21[200m Medley Classification],"&gt;0")</f>
        <v>0</v>
      </c>
      <c r="KA6" s="6">
        <f>COUNTIFS(Table20[Country],Tabela1[[#This Row],[Country]],Table20[400m Medley Classification],"&gt;0")</f>
        <v>1</v>
      </c>
      <c r="KB6" s="6">
        <f>COUNTIFS(Table21[Country],Tabela1[[#This Row],[Country]],Table21[400m Medley Classification],"&gt;0")</f>
        <v>0</v>
      </c>
      <c r="KC6" s="6">
        <f>COUNTIFS(Table78[Country],Tabela1[[#This Row],[Country]],Table78[Men''s 4x100m Freestyle Relay Classification],"&gt;0")</f>
        <v>1</v>
      </c>
      <c r="KD6" s="6">
        <f>COUNTIFS(Table78[Country],Tabela1[[#This Row],[Country]],Table78[Women''s 4x100m Freestyle Relay Classification],"&gt;0")</f>
        <v>1</v>
      </c>
      <c r="KE6" s="6">
        <f>COUNTIFS(Table78[Country],Tabela1[[#This Row],[Country]],Table78[Men''s 4x200m Freestyle Relay Classification],"&gt;0")</f>
        <v>1</v>
      </c>
      <c r="KF6" s="6">
        <f>COUNTIFS(Table78[Country],Tabela1[[#This Row],[Country]],Table78[Women''s 4x200m Freestyle Relay Classification],"&gt;0")</f>
        <v>1</v>
      </c>
      <c r="KG6" s="6">
        <f>COUNTIFS(Table78[Country],Tabela1[[#This Row],[Country]],Table78[Men''s 4x100m Medley Relay Classification],"&gt;0")</f>
        <v>1</v>
      </c>
      <c r="KH6" s="6">
        <f>COUNTIFS(Table78[Country],Tabela1[[#This Row],[Country]],Table78[Women''s 4x100m Medley Relay Classification],"&gt;0")</f>
        <v>1</v>
      </c>
      <c r="KI6" s="6">
        <f>COUNTIFS(Table78[Country],Tabela1[[#This Row],[Country]],Table78[Mixed 4x100m Medley Relay Classification],"&gt;0")</f>
        <v>1</v>
      </c>
      <c r="KJ6" s="6">
        <f>COUNTIFS(Table20[Country],Tabela1[[#This Row],[Country]],Table20[10km Open Water Classification],"&gt;0")</f>
        <v>1</v>
      </c>
      <c r="KK6" s="6">
        <f>COUNTIFS(Table21[Country],Tabela1[[#This Row],[Country]],Table21[10km Open Water Classification],"&gt;0")</f>
        <v>1</v>
      </c>
      <c r="KL6" s="6">
        <f>COUNTIFS(Table22[Country],Tabela1[[#This Row],[Country]],Table22[Classification],"&gt;0")</f>
        <v>0</v>
      </c>
      <c r="KM6" s="6">
        <f>COUNTIFS(Table30[Country],Tabela1[[#This Row],[Country]],Table30[Classification],"&gt;0")</f>
        <v>0</v>
      </c>
      <c r="KN6" s="6">
        <f>COUNTIFS(Table55[Country],Tabela1[[#This Row],[Country]],Table55[Men''s Classification],"&gt;0")</f>
        <v>1</v>
      </c>
      <c r="KO6" s="6">
        <f>COUNTIFS(Table55[Country],Tabela1[[#This Row],[Country]],Table55[Women''s Classification],"&gt;0")</f>
        <v>1</v>
      </c>
      <c r="KP6" s="6">
        <f>COUNTIFS(Table56[Country],Tabela1[[#This Row],[Country]],Table56[Mixed Classification],"&gt;0")</f>
        <v>0</v>
      </c>
      <c r="KQ6" s="6">
        <f>COUNTIFS(Table29[Country],Tabela1[[#This Row],[Country]],Table29[58kg Classification],"&gt;0")</f>
        <v>0</v>
      </c>
      <c r="KR6" s="6">
        <f>COUNTIFS(Table29[Country],Tabela1[[#This Row],[Country]],Table29[68kg Classification],"&gt;0")</f>
        <v>0</v>
      </c>
      <c r="KS6" s="6">
        <f>COUNTIFS(Table29[Country],Tabela1[[#This Row],[Country]],Table29[80kg Classification],"&gt;0")</f>
        <v>0</v>
      </c>
      <c r="KT6" s="6">
        <f>COUNTIFS(Table29[Country],Tabela1[[#This Row],[Country]],Table29[Plus 80kg Classification],"&gt;0")</f>
        <v>0</v>
      </c>
      <c r="KU6" s="6">
        <f>COUNTIFS(Table34[Country],Tabela1[[#This Row],[Country]],Table34[49kg Classification],"&gt;0")</f>
        <v>0</v>
      </c>
      <c r="KV6" s="6">
        <f>COUNTIFS(Table34[Country],Tabela1[[#This Row],[Country]],Table34[57kg Classification],"&gt;0")</f>
        <v>0</v>
      </c>
      <c r="KW6" s="6">
        <f>COUNTIFS(Table34[Country],Tabela1[[#This Row],[Country]],Table34[67kg Classification],"&gt;0")</f>
        <v>0</v>
      </c>
      <c r="KX6" s="6">
        <f>COUNTIFS(Table34[Country],Tabela1[[#This Row],[Country]],Table34[Plus 67kg Classification],"&gt;0")</f>
        <v>0</v>
      </c>
      <c r="KY6" s="6">
        <f>COUNTIFS(Table57[Country],Tabela1[[#This Row],[Country]],Table57[Classification],"&gt;0")</f>
        <v>2</v>
      </c>
      <c r="KZ6" s="6">
        <f>COUNTIFS(Table58[Country],Tabela1[[#This Row],[Country]],Table58[Classification],"&gt;0")</f>
        <v>1</v>
      </c>
      <c r="LA6" s="6">
        <f>COUNTIFS(Table79[Country],Tabela1[[#This Row],[Country]],Table79[Men''s Classification],"&gt;0")</f>
        <v>1</v>
      </c>
      <c r="LB6" s="6">
        <f>COUNTIFS(Table79[Country],Tabela1[[#This Row],[Country]],Table79[Women''s Classification],"&gt;0")</f>
        <v>2</v>
      </c>
      <c r="LC6" s="6">
        <f>COUNTIFS(Table79[Country],Tabela1[[#This Row],[Country]],Table79[Mixed Classification],"&gt;0")</f>
        <v>1</v>
      </c>
      <c r="LD6" s="6">
        <f>COUNTIFS(Table65[Country],Tabela1[[#This Row],[Country]],Table65[Classification],"&gt;0")</f>
        <v>0</v>
      </c>
      <c r="LE6" s="6">
        <f>COUNTIFS(Table59[Country],Tabela1[[#This Row],[Country]],Table59[Classification],"&gt;0")</f>
        <v>2</v>
      </c>
      <c r="LF6" s="6">
        <f>COUNTIFS(Table87[Country],Tabela1[[#This Row],[Country]],Table87[Mixed Relay Classification],"&gt;0")</f>
        <v>1</v>
      </c>
      <c r="LG6" s="6">
        <f>COUNTIFS(Table91949698100[Country],Tabela1[[#This Row],[Country]],Table91949698100[Men''s Classification],"&gt;0")</f>
        <v>0</v>
      </c>
      <c r="LH6" s="6">
        <f>COUNTIFS(Table91949698100[Country],Tabela1[[#This Row],[Country]],Table91949698100[Women''s Classification],"&gt;0")</f>
        <v>0</v>
      </c>
      <c r="LI6" s="6">
        <f>COUNTIFS(Table91949698100102[Country],Tabela1[[#This Row],[Country]],Table91949698100102[Men''s Classification],"&gt;0")</f>
        <v>1</v>
      </c>
      <c r="LJ6" s="6">
        <f>COUNTIFS(Table91949698100102[Country],Tabela1[[#This Row],[Country]],Table91949698100102[Women''s Classification],"&gt;0")</f>
        <v>1</v>
      </c>
      <c r="LK6" s="6">
        <f>COUNTIFS(Table23[Country],Tabela1[[#This Row],[Country]],Table23[61kg Classification],"&gt;0")</f>
        <v>0</v>
      </c>
      <c r="LL6" s="6">
        <f>COUNTIFS(Table23[Country],Tabela1[[#This Row],[Country]],Table23[73kg Classification],"&gt;0")</f>
        <v>0</v>
      </c>
      <c r="LM6" s="6">
        <f>COUNTIFS(Table23[Country],Tabela1[[#This Row],[Country]],Table23[89kg Classification],"&gt;0")</f>
        <v>1</v>
      </c>
      <c r="LN6" s="6">
        <f>COUNTIFS(Table23[Country],Tabela1[[#This Row],[Country]],Table23[102kg Classification],"&gt;0")</f>
        <v>0</v>
      </c>
      <c r="LO6" s="6">
        <f>COUNTIFS(Table23[Country],Tabela1[[#This Row],[Country]],Table23[Plus 102kg Classification],"&gt;0")</f>
        <v>0</v>
      </c>
      <c r="LP6" s="6">
        <f>COUNTIFS(Table28[Country],Tabela1[[#This Row],[Country]],Table28[49kg Classification],"&gt;0")</f>
        <v>0</v>
      </c>
      <c r="LQ6" s="6">
        <f>COUNTIFS(Table28[Country],Tabela1[[#This Row],[Country]],Table28[59kg Classification],"&gt;0")</f>
        <v>0</v>
      </c>
      <c r="LR6" s="6">
        <f>COUNTIFS(Table28[Country],Tabela1[[#This Row],[Country]],Table28[71kg Classification],"&gt;0")</f>
        <v>1</v>
      </c>
      <c r="LS6" s="6">
        <f>COUNTIFS(Table28[Country],Tabela1[[#This Row],[Country]],Table28[81kg Classification],"&gt;0")</f>
        <v>1</v>
      </c>
      <c r="LT6" s="6">
        <f>COUNTIFS(Table28[Country],Tabela1[[#This Row],[Country]],Table28[Plus 81kg Classification],"&gt;0")</f>
        <v>0</v>
      </c>
      <c r="LU6" s="6">
        <f>COUNTIFS(Table24[Country],Tabela1[[#This Row],[Country]],Table24[Freestyle 57kg Classification],"&gt;0")</f>
        <v>0</v>
      </c>
      <c r="LV6" s="6">
        <f>COUNTIFS(Table24[Country],Tabela1[[#This Row],[Country]],Table24[Freestyle 65kg Classification],"&gt;0")</f>
        <v>0</v>
      </c>
      <c r="LW6" s="6">
        <f>COUNTIFS(Table24[Country],Tabela1[[#This Row],[Country]],Table24[Freestyle 74kg Classification],"&gt;0")</f>
        <v>0</v>
      </c>
      <c r="LX6" s="6">
        <f>COUNTIFS(Table24[Country],Tabela1[[#This Row],[Country]],Table24[Freestyle 86kg Classification],"&gt;0")</f>
        <v>1</v>
      </c>
      <c r="LY6" s="6">
        <f>COUNTIFS(Table24[Country],Tabela1[[#This Row],[Country]],Table24[Freestyle 97kg Classification],"&gt;0")</f>
        <v>0</v>
      </c>
      <c r="LZ6" s="6">
        <f>COUNTIFS(Table24[Country],Tabela1[[#This Row],[Country]],Table24[Freestyle 125kg Classification],"&gt;0")</f>
        <v>0</v>
      </c>
      <c r="MA6" s="6">
        <f>COUNTIFS(Table24[Country],Tabela1[[#This Row],[Country]],Table24[Greco-Roman 60kg Classification],"&gt;0")</f>
        <v>0</v>
      </c>
      <c r="MB6" s="6">
        <f>COUNTIFS(Table24[Country],Tabela1[[#This Row],[Country]],Table24[Greco-Roman 67kg Classification],"&gt;0")</f>
        <v>0</v>
      </c>
      <c r="MC6" s="6">
        <f>COUNTIFS(Table24[Country],Tabela1[[#This Row],[Country]],Table24[Greco-Roman 77kg Classification],"&gt;0")</f>
        <v>0</v>
      </c>
      <c r="MD6" s="6">
        <f>COUNTIFS(Table24[Country],Tabela1[[#This Row],[Country]],Table24[Greco-Roman 87kg Classification],"&gt;0")</f>
        <v>0</v>
      </c>
      <c r="ME6" s="6">
        <f>COUNTIFS(Table24[Country],Tabela1[[#This Row],[Country]],Table24[Greco-Roman 97kg Classification],"&gt;0")</f>
        <v>0</v>
      </c>
      <c r="MF6" s="6">
        <f>COUNTIFS(Table24[Country],Tabela1[[#This Row],[Country]],Table24[Greco-Roman 130kg Classification],"&gt;0")</f>
        <v>0</v>
      </c>
      <c r="MG6" s="6">
        <f>COUNTIFS(Table31[Country],Tabela1[[#This Row],[Country]],Table31[50kg Classification],"&gt;0")</f>
        <v>0</v>
      </c>
      <c r="MH6" s="6">
        <f>COUNTIFS(Table31[Country],Tabela1[[#This Row],[Country]],Table31[53kg Classification],"&gt;0")</f>
        <v>0</v>
      </c>
      <c r="MI6" s="6">
        <f>COUNTIFS(Table31[Country],Tabela1[[#This Row],[Country]],Table31[57kg Classification],"&gt;0")</f>
        <v>0</v>
      </c>
      <c r="MJ6" s="6">
        <f>COUNTIFS(Table31[Country],Tabela1[[#This Row],[Country]],Table31[62kg Classification],"&gt;0")</f>
        <v>0</v>
      </c>
      <c r="MK6" s="6">
        <f>COUNTIFS(Table31[Country],Tabela1[[#This Row],[Country]],Table31[68kg Classification],"&gt;0")</f>
        <v>0</v>
      </c>
      <c r="ML6" s="6">
        <f>COUNTIFS(Table31[Country],Tabela1[[#This Row],[Country]],Table31[76kg Classification],"&gt;0")</f>
        <v>0</v>
      </c>
      <c r="MM6" s="6">
        <f>COUNTIFS(Table102[Country],Tabela1[[#This Row],[Country]],Table102[Downhill Classification],"&gt;0")</f>
        <v>0</v>
      </c>
      <c r="MN6" s="6">
        <f>COUNTIFS(Table102105[Country],Tabela1[[#This Row],[Country]],Table102105[Downhill Classification],"&gt;0")</f>
        <v>0</v>
      </c>
      <c r="MO6" s="6">
        <f>COUNTIFS(Table102[Country],Tabela1[[#This Row],[Country]],Table102[Giant Slalom Classification],"&gt;0")</f>
        <v>0</v>
      </c>
      <c r="MP6" s="6">
        <f>COUNTIFS(Table102105[Country],Tabela1[[#This Row],[Country]],Table102105[Giant Slalom Classification],"&gt;0")</f>
        <v>1</v>
      </c>
      <c r="MQ6" s="6">
        <f>COUNTIFS(Table102[Country],Tabela1[[#This Row],[Country]],Table102[Slalom Classification],"&gt;0")</f>
        <v>0</v>
      </c>
      <c r="MR6" s="6">
        <f>COUNTIFS(Table102105[Country],Tabela1[[#This Row],[Country]],Table102105[Slalom Classification],"&gt;0")</f>
        <v>2</v>
      </c>
      <c r="MS6" s="6">
        <f>COUNTIFS(Table102[Country],Tabela1[[#This Row],[Country]],Table102[Super-G Classification],"&gt;0")</f>
        <v>0</v>
      </c>
      <c r="MT6" s="6">
        <f>COUNTIFS(Table102105[Country],Tabela1[[#This Row],[Country]],Table102105[Super-G Classification],"&gt;0")</f>
        <v>0</v>
      </c>
      <c r="MU6" s="6">
        <f>COUNTIFS(Table105[Country],Tabela1[[#This Row],[Country]],Table105[Men''s Combined Classification],"&gt;0")</f>
        <v>0</v>
      </c>
      <c r="MV6" s="6">
        <f>COUNTIFS(Table105[Country],Tabela1[[#This Row],[Country]],Table105[Women''s Combined Classification],"&gt;0")</f>
        <v>0</v>
      </c>
      <c r="MW6" s="6">
        <f>COUNTIFS(Table106[Country],Tabela1[[#This Row],[Country]],Table106[Individual Classification],"&gt;0")</f>
        <v>0</v>
      </c>
      <c r="MX6" s="6">
        <f>COUNTIFS(Table106109[Country],Tabela1[[#This Row],[Country]],Table106109[Individual Classification],"&gt;0")</f>
        <v>0</v>
      </c>
      <c r="MY6" s="6">
        <f>COUNTIFS(Table106[Country],Tabela1[[#This Row],[Country]],Table106[Mass Start Classification],"&gt;0")</f>
        <v>0</v>
      </c>
      <c r="MZ6" s="6">
        <f>COUNTIFS(Table106109[Country],Tabela1[[#This Row],[Country]],Table106109[Mass Start Classification],"&gt;0")</f>
        <v>0</v>
      </c>
      <c r="NA6" s="6">
        <f>COUNTIFS(Table106[Country],Tabela1[[#This Row],[Country]],Table106[Pursuit Classification],"&gt;0")</f>
        <v>0</v>
      </c>
      <c r="NB6" s="6">
        <f>COUNTIFS(Table106109[Country],Tabela1[[#This Row],[Country]],Table106109[Pursuit Classification],"&gt;0")</f>
        <v>0</v>
      </c>
      <c r="NC6" s="6">
        <f>COUNTIFS(Table106[Country],Tabela1[[#This Row],[Country]],Table106[Sprint Classification],"&gt;0")</f>
        <v>0</v>
      </c>
      <c r="ND6" s="6">
        <f>COUNTIFS(Table106109[Country],Tabela1[[#This Row],[Country]],Table106109[Sprint Classification],"&gt;0")</f>
        <v>0</v>
      </c>
      <c r="NE6" s="6">
        <f>COUNTIFS(Table109[Country],Tabela1[[#This Row],[Country]],Table109[Men''s Relay Classification],"&gt;0")</f>
        <v>0</v>
      </c>
      <c r="NF6" s="6">
        <f>COUNTIFS(Table109[Country],Tabela1[[#This Row],[Country]],Table109[Women''s Relay Classification],"&gt;0")</f>
        <v>0</v>
      </c>
      <c r="NG6" s="6">
        <f>COUNTIFS(Table109[Country],Tabela1[[#This Row],[Country]],Table109[Mixed Relay Classification],"&gt;0")</f>
        <v>0</v>
      </c>
      <c r="NH6" s="6">
        <f>COUNTIFS(Table110[Country],Tabela1[[#This Row],[Country]],Table110[Monobob Classification],"&gt;0")</f>
        <v>0</v>
      </c>
      <c r="NI6" s="6">
        <f>COUNTIFS(Table111[Country],Tabela1[[#This Row],[Country]],Table111[Men''s Classification],"&gt;0")</f>
        <v>0</v>
      </c>
      <c r="NJ6" s="6">
        <f>COUNTIFS(Table111[Country],Tabela1[[#This Row],[Country]],Table111[Women''s Classification],"&gt;0")</f>
        <v>1</v>
      </c>
      <c r="NK6" s="6">
        <f>COUNTIFS(Table112[Country],Tabela1[[#This Row],[Country]],Table112[Men''s Four Classification],"&gt;0")</f>
        <v>0</v>
      </c>
      <c r="NL6" s="6">
        <f>COUNTIFS(Table113[Country],Tabela1[[#This Row],[Country]],Table113[Classical Classification],"&gt;0")</f>
        <v>0</v>
      </c>
      <c r="NM6" s="6">
        <f>COUNTIFS(Table113116[Country],Tabela1[[#This Row],[Country]],Table113116[Classical Classification],"&gt;0")</f>
        <v>1</v>
      </c>
      <c r="NN6" s="6">
        <f>COUNTIFS(Table113[Country],Tabela1[[#This Row],[Country]],Table113[Freestyle Classification],"&gt;0")</f>
        <v>0</v>
      </c>
      <c r="NO6" s="6">
        <f>COUNTIFS(Table113116[Country],Tabela1[[#This Row],[Country]],Table113116[Freestyle Classification],"&gt;0")</f>
        <v>3</v>
      </c>
      <c r="NP6" s="6">
        <f>COUNTIFS(Table117[Country],Tabela1[[#This Row],[Country]],Table117[Men''s Relay Classification],"&gt;0")</f>
        <v>0</v>
      </c>
      <c r="NQ6" s="6">
        <f>COUNTIFS(Table117[Country],Tabela1[[#This Row],[Country]],Table117[Women''s Relay Classification],"&gt;0")</f>
        <v>1</v>
      </c>
      <c r="NR6" s="6">
        <f>COUNTIFS(Table113[Country],Tabela1[[#This Row],[Country]],Table113[Skiathlon Classification],"&gt;0")</f>
        <v>0</v>
      </c>
      <c r="NS6" s="6">
        <f>COUNTIFS(Table113116[Country],Tabela1[[#This Row],[Country]],Table113116[Skiathlon Classification],"&gt;0")</f>
        <v>3</v>
      </c>
      <c r="NT6" s="6">
        <f>COUNTIFS(Table113[Country],Tabela1[[#This Row],[Country]],Table113[Sprint Classification],"&gt;0")</f>
        <v>0</v>
      </c>
      <c r="NU6" s="6">
        <f>COUNTIFS(Table113116[Country],Tabela1[[#This Row],[Country]],Table113116[Sprint Classification],"&gt;0")</f>
        <v>1</v>
      </c>
      <c r="NV6" s="6">
        <f>COUNTIFS(Table116[Country],Tabela1[[#This Row],[Country]],Table116[Men''s Team Sprint Classification],"&gt;0")</f>
        <v>0</v>
      </c>
      <c r="NW6" s="6">
        <f>COUNTIFS(Table116[Country],Tabela1[[#This Row],[Country]],Table116[Women''s Team Sprint Classification],"&gt;0")</f>
        <v>1</v>
      </c>
      <c r="NX6" s="6">
        <f>COUNTIFS(Table119[Country],Tabela1[[#This Row],[Country]],Table119[Men''s Classification],"&gt;0")</f>
        <v>0</v>
      </c>
      <c r="NY6" s="6">
        <f>COUNTIFS(Table119[Country],Tabela1[[#This Row],[Country]],Table119[Women''s Classification],"&gt;0")</f>
        <v>0</v>
      </c>
      <c r="NZ6" s="6">
        <f>COUNTIFS(Table118[Country],Tabela1[[#This Row],[Country]],Table118[Mixed Classification],"&gt;0")</f>
        <v>0</v>
      </c>
      <c r="OA6" s="6">
        <f>COUNTIFS(Table120[Country],Tabela1[[#This Row],[Country]],Table120[Classification],"&gt;0")</f>
        <v>0</v>
      </c>
      <c r="OB6" s="6">
        <f>COUNTIFS(Table120123[Country],Tabela1[[#This Row],[Country]],Table120123[Classification],"&gt;0")</f>
        <v>0</v>
      </c>
      <c r="OC6" s="6">
        <f>COUNTIFS(Table123[Country],Tabela1[[#This Row],[Country]],Table123[Ice Dance Classification],"&gt;0")</f>
        <v>1</v>
      </c>
      <c r="OD6" s="6">
        <f>COUNTIFS(Table123[Country],Tabela1[[#This Row],[Country]],Table123[Pair Skating Classification],"&gt;0")</f>
        <v>0</v>
      </c>
      <c r="OE6" s="6">
        <f>COUNTIFS(Table124[Country],Tabela1[[#This Row],[Country]],Table124[Mixed Classification],"&gt;0")</f>
        <v>0</v>
      </c>
      <c r="OF6" s="6">
        <f>COUNTIFS(Table125[Country],Tabela1[[#This Row],[Country]],Table125[Aerials Classification],"&gt;0")</f>
        <v>0</v>
      </c>
      <c r="OG6" s="6">
        <f>COUNTIFS(Table125128[Country],Tabela1[[#This Row],[Country]],Table125128[Aerials Classification],"&gt;0")</f>
        <v>2</v>
      </c>
      <c r="OH6" s="6">
        <f>COUNTIFS(Table128[Country],Tabela1[[#This Row],[Country]],Table128[Mixed Aerials Classification],"&gt;0")</f>
        <v>1</v>
      </c>
      <c r="OI6" s="6">
        <f>COUNTIFS(Table125[Country],Tabela1[[#This Row],[Country]],Table125[Big Air Classification],"&gt;0")</f>
        <v>0</v>
      </c>
      <c r="OJ6" s="6">
        <f>COUNTIFS(Table125128[Country],Tabela1[[#This Row],[Country]],Table125128[Big Air Classification],"&gt;0")</f>
        <v>0</v>
      </c>
      <c r="OK6" s="6">
        <f>COUNTIFS(Table125[Country],Tabela1[[#This Row],[Country]],Table125[Dual Moguls Classification],"&gt;0")</f>
        <v>4</v>
      </c>
      <c r="OL6" s="6">
        <f>COUNTIFS(Table125128[Country],Tabela1[[#This Row],[Country]],Table125128[Dual Moguls Classification],"&gt;0")</f>
        <v>2</v>
      </c>
      <c r="OM6" s="6">
        <f>COUNTIFS(Table125[Country],Tabela1[[#This Row],[Country]],Table125[Halfpipe Classification],"&gt;0")</f>
        <v>0</v>
      </c>
      <c r="ON6" s="6">
        <f>COUNTIFS(Table125128[Country],Tabela1[[#This Row],[Country]],Table125128[Halfpipe Classification],"&gt;0")</f>
        <v>0</v>
      </c>
      <c r="OO6" s="6">
        <f>COUNTIFS(Table125[Country],Tabela1[[#This Row],[Country]],Table125[Moguls Classification],"&gt;0")</f>
        <v>4</v>
      </c>
      <c r="OP6" s="6">
        <f>COUNTIFS(Table125128[Country],Tabela1[[#This Row],[Country]],Table125128[Moguls Classification],"&gt;0")</f>
        <v>2</v>
      </c>
      <c r="OQ6" s="6">
        <f>COUNTIFS(Table125[Country],Tabela1[[#This Row],[Country]],Table125[Ski Cross Classification],"&gt;0")</f>
        <v>0</v>
      </c>
      <c r="OR6" s="6">
        <f>COUNTIFS(Table125128[Country],Tabela1[[#This Row],[Country]],Table125128[Ski Cross Classification],"&gt;0")</f>
        <v>1</v>
      </c>
      <c r="OS6" s="6">
        <f>COUNTIFS(Table125[Country],Tabela1[[#This Row],[Country]],Table125[Slopestyle Classification],"&gt;0")</f>
        <v>0</v>
      </c>
      <c r="OT6" s="6">
        <f>COUNTIFS(Table125128[Country],Tabela1[[#This Row],[Country]],Table125128[Slopestyle Classification],"&gt;0")</f>
        <v>0</v>
      </c>
      <c r="OU6" s="6">
        <f>COUNTIFS(Table119131[Country],Tabela1[[#This Row],[Country]],Table119131[Men''s Classification],"&gt;0")</f>
        <v>0</v>
      </c>
      <c r="OV6" s="6">
        <f>COUNTIFS(Table119131[Country],Tabela1[[#This Row],[Country]],Table119131[Women''s Classification],"&gt;0")</f>
        <v>0</v>
      </c>
      <c r="OW6" s="6">
        <f>COUNTIFS(Table131[Country],Tabela1[[#This Row],[Country]],Table131[Classification],"&gt;0")</f>
        <v>0</v>
      </c>
      <c r="OX6" s="6">
        <f>COUNTIFS(Table131134[Country],Tabela1[[#This Row],[Country]],Table131134[Classification],"&gt;0")</f>
        <v>0</v>
      </c>
      <c r="OY6" s="6">
        <f>COUNTIFS(Table134[Country],Tabela1[[#This Row],[Country]],Table134[Men''s Classification],"&gt;0")</f>
        <v>0</v>
      </c>
      <c r="OZ6" s="6">
        <f>COUNTIFS(Table134[Country],Tabela1[[#This Row],[Country]],Table134[Women''s Classification],"&gt;0")</f>
        <v>0</v>
      </c>
      <c r="PA6" s="6">
        <f>COUNTIFS(Table135[Country],Tabela1[[#This Row],[Country]],Table135[Mixed Relay Classification],"&gt;0")</f>
        <v>0</v>
      </c>
      <c r="PB6" s="6">
        <f>COUNTIFS(Table136[Country],Tabela1[[#This Row],[Country]],Table136[Individual Classification],"&gt;0")</f>
        <v>0</v>
      </c>
      <c r="PC6" s="6">
        <f>COUNTIFS(Table136[Country],Tabela1[[#This Row],[Country]],Table136[Sprint Classification],"&gt;0")</f>
        <v>0</v>
      </c>
      <c r="PD6" s="6">
        <f>COUNTIFS(Table137[Country],Tabela1[[#This Row],[Country]],Table137[Men''s Team Sprint Large Hill Classification],"&gt;0")</f>
        <v>0</v>
      </c>
      <c r="PE6" s="6">
        <f>COUNTIFS(Table138[Country],Tabela1[[#This Row],[Country]],Table138[500m Classification],"&gt;0")</f>
        <v>0</v>
      </c>
      <c r="PF6" s="6">
        <f>COUNTIFS(Table138141[Country],Tabela1[[#This Row],[Country]],Table138141[500m Classification],"&gt;0")</f>
        <v>0</v>
      </c>
      <c r="PG6" s="6">
        <f>COUNTIFS(Table138[Country],Tabela1[[#This Row],[Country]],Table138[1000m Classification],"&gt;0")</f>
        <v>0</v>
      </c>
      <c r="PH6" s="6">
        <f>COUNTIFS(Table138141[Country],Tabela1[[#This Row],[Country]],Table138141[1000m Classification],"&gt;0")</f>
        <v>0</v>
      </c>
      <c r="PI6" s="6">
        <f>COUNTIFS(Table138[Country],Tabela1[[#This Row],[Country]],Table138[1500m Classification],"&gt;0")</f>
        <v>0</v>
      </c>
      <c r="PJ6" s="6">
        <f>COUNTIFS(Table138141[Country],Tabela1[[#This Row],[Country]],Table138141[1500m Classification],"&gt;0")</f>
        <v>0</v>
      </c>
      <c r="PK6" s="6">
        <f>COUNTIFS(Table141[Country],Tabela1[[#This Row],[Country]],Table141[Men''s 5000m Relay Classification],"&gt;0")</f>
        <v>0</v>
      </c>
      <c r="PL6" s="6">
        <f>COUNTIFS(Table141[Country],Tabela1[[#This Row],[Country]],Table141[Women''s 3000m Relay Classification],"&gt;0")</f>
        <v>0</v>
      </c>
      <c r="PM6" s="6">
        <f>COUNTIFS(Table141[Country],Tabela1[[#This Row],[Country]],Table141[Mixed 2000m Relay Classification],"&gt;0")</f>
        <v>0</v>
      </c>
      <c r="PN6" s="6">
        <f>COUNTIFS(Table142[Country],Tabela1[[#This Row],[Country]],Table142[Classification],"&gt;0")</f>
        <v>1</v>
      </c>
      <c r="PO6" s="6">
        <f>COUNTIFS(Table142145[Country],Tabela1[[#This Row],[Country]],Table142145[Classification],"&gt;0")</f>
        <v>0</v>
      </c>
      <c r="PP6" s="6">
        <f>COUNTIFS(Tabela15[Country],Tabela1[[#This Row],[Country]],Tabela15[Mixed Team Classification],"&gt;0")</f>
        <v>0</v>
      </c>
      <c r="PQ6" s="6">
        <f>COUNTIFS(Table145[Country],Tabela1[[#This Row],[Country]],Table145[Large Hill Classification],"&gt;0")</f>
        <v>0</v>
      </c>
      <c r="PR6" s="6">
        <f>COUNTIFS(Table145[Country],Tabela1[[#This Row],[Country]],Table145[Normal Hill Classification],"&gt;0")</f>
        <v>0</v>
      </c>
      <c r="PS6" s="6">
        <f>COUNTIFS(Table145148[Country],Tabela1[[#This Row],[Country]],Table145148[Large Hill Classification],"&gt;0")</f>
        <v>0</v>
      </c>
      <c r="PT6" s="6">
        <f>COUNTIFS(Table145148[Country],Tabela1[[#This Row],[Country]],Table145148[Normal Hill Classification],"&gt;0")</f>
        <v>0</v>
      </c>
      <c r="PU6" s="6">
        <f>COUNTIFS(Table148[Country],Tabela1[[#This Row],[Country]],Table148[Men''s Super Team Classification],"&gt;0")</f>
        <v>0</v>
      </c>
      <c r="PV6" s="6">
        <f>COUNTIFS(Tabela114[Country],Tabela1[[#This Row],[Country]],Tabela114[Mixed Normal Hill Classification],"&gt;0")</f>
        <v>0</v>
      </c>
      <c r="PW6" s="6">
        <f>COUNTIFS(Tabela50[Country],Tabela1[[#This Row],[Country]],Tabela50[Sprint Classification],"&gt;0")</f>
        <v>0</v>
      </c>
      <c r="PX6" s="6">
        <f>COUNTIFS(Tabela50101[Country],Tabela1[[#This Row],[Country]],Tabela50101[Sprint Classification],"&gt;0")</f>
        <v>1</v>
      </c>
      <c r="PY6" s="6">
        <f>COUNTIFS(Tabela103[Country],Tabela1[[#This Row],[Country]],Tabela103[Mixed Relay Classification],"&gt;0")</f>
        <v>1</v>
      </c>
      <c r="PZ6" s="6">
        <f>COUNTIFS(Table149[Country],Tabela1[[#This Row],[Country]],Table149[Big Air Classification],"&gt;0")</f>
        <v>0</v>
      </c>
      <c r="QA6" s="6">
        <f>COUNTIFS(Table149152[Country],Tabela1[[#This Row],[Country]],Table149152[Big Air Classification],"&gt;0")</f>
        <v>1</v>
      </c>
      <c r="QB6" s="6">
        <f>COUNTIFS(Table149[Country],Tabela1[[#This Row],[Country]],Table149[Halfpipe Classification],"&gt;0")</f>
        <v>0</v>
      </c>
      <c r="QC6" s="6">
        <f>COUNTIFS(Table149152[Country],Tabela1[[#This Row],[Country]],Table149152[Halfpipe Classification],"&gt;0")</f>
        <v>2</v>
      </c>
      <c r="QD6" s="6">
        <f>COUNTIFS(Table149[Country],Tabela1[[#This Row],[Country]],Table149[Parallel Giant Slalom Classification],"&gt;0")</f>
        <v>0</v>
      </c>
      <c r="QE6" s="6">
        <f>COUNTIFS(Table149152[Country],Tabela1[[#This Row],[Country]],Table149152[Parallel Giant Slalom Classification],"&gt;0")</f>
        <v>0</v>
      </c>
      <c r="QF6" s="6">
        <f>COUNTIFS(Table149[Country],Tabela1[[#This Row],[Country]],Table149[Slopestyle Classification],"&gt;0")</f>
        <v>0</v>
      </c>
      <c r="QG6" s="6">
        <f>COUNTIFS(Table149152[Country],Tabela1[[#This Row],[Country]],Table149152[Slopestyle Classification],"&gt;0")</f>
        <v>1</v>
      </c>
      <c r="QH6" s="6">
        <f>COUNTIFS(Table149[Country],Tabela1[[#This Row],[Country]],Table149[Snowboard Cross Classification],"&gt;0")</f>
        <v>2</v>
      </c>
      <c r="QI6" s="6">
        <f>COUNTIFS(Table149152[Country],Tabela1[[#This Row],[Country]],Table149152[Snowboard Cross Classification],"&gt;0")</f>
        <v>2</v>
      </c>
      <c r="QJ6" s="6">
        <f>COUNTIFS(Table153[Country],Tabela1[[#This Row],[Country]],Table153[Mixed Team Snowboard Cross Classification],"&gt;0")</f>
        <v>2</v>
      </c>
      <c r="QK6" s="6">
        <f>COUNTIFS(Table154[Country],Tabela1[[#This Row],[Country]],Table154[500m Classification],"&gt;0")</f>
        <v>0</v>
      </c>
      <c r="QL6" s="6">
        <f>COUNTIFS(Table154157[Country],Tabela1[[#This Row],[Country]],Table154157[500m Classification],"&gt;0")</f>
        <v>0</v>
      </c>
      <c r="QM6" s="6">
        <f>COUNTIFS(Table154[Country],Tabela1[[#This Row],[Country]],Table154[1000m Classification],"&gt;0")</f>
        <v>0</v>
      </c>
      <c r="QN6" s="6">
        <f>COUNTIFS(Table154157[Country],Tabela1[[#This Row],[Country]],Table154157[1000m Classification],"&gt;0")</f>
        <v>0</v>
      </c>
      <c r="QO6" s="6">
        <f>COUNTIFS(Table154[Country],Tabela1[[#This Row],[Country]],Table154[1500m Classification],"&gt;0")</f>
        <v>0</v>
      </c>
      <c r="QP6" s="6">
        <f>COUNTIFS(Table154157[Country],Tabela1[[#This Row],[Country]],Table154157[1500m Classification],"&gt;0")</f>
        <v>0</v>
      </c>
      <c r="QQ6" s="6">
        <f>COUNTIFS(Table154157[Country],Tabela1[[#This Row],[Country]],Table154157[3000m Classification],"&gt;0")</f>
        <v>0</v>
      </c>
      <c r="QR6" s="6">
        <f>COUNTIFS(Table154[Country],Tabela1[[#This Row],[Country]],Table154[5000m Classification],"&gt;0")</f>
        <v>0</v>
      </c>
      <c r="QS6" s="6">
        <f>COUNTIFS(Table154157[Country],Tabela1[[#This Row],[Country]],Table154157[5000m Classification],"&gt;0")</f>
        <v>0</v>
      </c>
      <c r="QT6" s="6">
        <f>COUNTIFS(Table154[Country],Tabela1[[#This Row],[Country]],Table154[10000m Classification],"&gt;0")</f>
        <v>0</v>
      </c>
      <c r="QU6" s="6">
        <f>COUNTIFS(Table154[Country],Tabela1[[#This Row],[Country]],Table154[Mass Start Classification],"&gt;0")</f>
        <v>0</v>
      </c>
      <c r="QV6" s="6">
        <f>COUNTIFS(Table154157[Country],Tabela1[[#This Row],[Country]],Table154157[Mass Start Classification],"&gt;0")</f>
        <v>0</v>
      </c>
      <c r="QW6" s="6">
        <f>COUNTIFS(Table157[Country],Tabela1[[#This Row],[Country]],Table157[Men''s Pursuit Classification],"&gt;0")</f>
        <v>0</v>
      </c>
      <c r="QX6" s="6">
        <f>COUNTIFS(Table157[Country],Tabela1[[#This Row],[Country]],Table157[Women''s Pursuit Classification],"&gt;0")</f>
        <v>0</v>
      </c>
      <c r="QY6" s="3" t="s">
        <v>355</v>
      </c>
    </row>
    <row r="7" spans="1:467" x14ac:dyDescent="0.3">
      <c r="A7" s="6">
        <v>6</v>
      </c>
      <c r="B7" s="6" t="s">
        <v>402</v>
      </c>
      <c r="C7" t="e" vm="6">
        <f>IF(ISBLANK(Tabela1[[#This Row],[Image Link]]), "", _xlfn.IMAGE(Tabela1[[#This Row],[Image Link]],1,1))</f>
        <v>#VALUE!</v>
      </c>
      <c r="D7" s="6">
        <f>SUM(Tabela1[[#This Row],[Archery - Men''s Individual Recurve]:[Speed Skating - Women''s Team Pursuit]])</f>
        <v>213</v>
      </c>
      <c r="E7" s="6">
        <f>COUNTIF(Tabela1[[#This Row],[Archery - Men''s Individual Recurve]:[Speed Skating - Women''s Team Pursuit]],"&gt;0")</f>
        <v>173</v>
      </c>
      <c r="F7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7" s="6">
        <f>SUM(Tabela1[[#This Row],[Archery - Men''s Individual Recurve]:[Wrestling - Women''s Freestyle 76kg]])</f>
        <v>183</v>
      </c>
      <c r="H7" s="6">
        <f>SUM(Tabela1[[#This Row],[Alpine Skiing - Men''s Downhill]:[Speed Skating - Women''s Team Pursuit]])</f>
        <v>30</v>
      </c>
      <c r="I7" s="6">
        <f>Tabela1[[#This Row],[Summer Gold Medals]]+Tabela1[[#This Row],[Winter Gold Medals]]</f>
        <v>17</v>
      </c>
      <c r="J7" s="6">
        <f>Tabela1[[#This Row],[Summer Silver Medals]]+Tabela1[[#This Row],[Winter Silver Medals]]</f>
        <v>23</v>
      </c>
      <c r="K7" s="6">
        <f>Tabela1[[#This Row],[Summer Bronze Medals]]+Tabela1[[#This Row],[Winter Bronze Medals]]</f>
        <v>30</v>
      </c>
      <c r="L7" s="6">
        <f>SUM(Tabela1[[#This Row],[Total Gold Medals]:[Total Bronze Medals]])</f>
        <v>70</v>
      </c>
      <c r="M7" s="6">
        <v>14</v>
      </c>
      <c r="N7" s="6">
        <v>22</v>
      </c>
      <c r="O7" s="6">
        <v>29</v>
      </c>
      <c r="P7" s="6">
        <f>SUM(Tabela1[[#This Row],[Summer Gold Medals]:[Summer Bronze Medals]])</f>
        <v>65</v>
      </c>
      <c r="Q7" s="6">
        <v>3</v>
      </c>
      <c r="R7" s="6">
        <v>1</v>
      </c>
      <c r="S7" s="6">
        <v>1</v>
      </c>
      <c r="T7" s="6">
        <f>Tabela1[[#This Row],[Winter Gold Medals]]+Tabela1[[#This Row],[Winter Silver Medals]]+Tabela1[[#This Row],[Winter Bronze Medals]]</f>
        <v>5</v>
      </c>
      <c r="U7" s="7">
        <f>Tabela1[[#This Row],[Total Medals]]/Tabela1[[#This Row],[Total Quotas]]</f>
        <v>0.32863849765258218</v>
      </c>
      <c r="V7" s="6">
        <f>COUNTIFS(Table3[Country],Tabela1[[#This Row],[Country]],Table3[Recurve Classification],"&gt;0")</f>
        <v>1</v>
      </c>
      <c r="W7" s="6">
        <f>COUNTIFS(Table33[Country],Tabela1[[#This Row],[Country]],Table33[Recurve Classification],"&gt;0")</f>
        <v>2</v>
      </c>
      <c r="X7" s="6">
        <f>COUNTIFS(Table35[Country],Tabela1[[#This Row],[Country]],Table35[Men''s Team Recurve Classification],"&gt;0")</f>
        <v>1</v>
      </c>
      <c r="Y7" s="6">
        <f>COUNTIFS(Table35[Country],Tabela1[[#This Row],[Country]],Table35[Women''s Team Recurve Classification],"&gt;0")</f>
        <v>1</v>
      </c>
      <c r="Z7" s="6">
        <f>COUNTIFS(Tabela88[Country],Tabela1[[#This Row],[Country]],Tabela88[Mixed Team Recurve Classification],"&gt;0")</f>
        <v>1</v>
      </c>
      <c r="AA7" s="6">
        <f>COUNTIFS(Table36[Country],Tabela1[[#This Row],[Country]],Table36[Classification],"&gt;0")</f>
        <v>0</v>
      </c>
      <c r="AB7" s="6">
        <f>COUNTIFS(Table37[Country],Tabela1[[#This Row],[Country]],Table37[Classification],"&gt;0")</f>
        <v>0</v>
      </c>
      <c r="AC7" s="6">
        <f>COUNTIFS(Table4[Country],Tabela1[[#This Row],[Country]],Table4[100m Classification],"&gt;0")</f>
        <v>0</v>
      </c>
      <c r="AD7" s="6">
        <f>COUNTIFS(Table5[Country],Tabela1[[#This Row],[Country]],Table5[100m Classification],"&gt;0")</f>
        <v>3</v>
      </c>
      <c r="AE7" s="6">
        <f>COUNTIFS(Table4[Country],Tabela1[[#This Row],[Country]],Table4[200m Classification],"&gt;0")</f>
        <v>0</v>
      </c>
      <c r="AF7" s="6">
        <f>COUNTIFS(Table5[Country],Tabela1[[#This Row],[Country]],Table5[200m Classification],"&gt;0")</f>
        <v>3</v>
      </c>
      <c r="AG7" s="6">
        <f>COUNTIFS(Table4[Country],Tabela1[[#This Row],[Country]],Table4[400m Classification],"&gt;0")</f>
        <v>1</v>
      </c>
      <c r="AH7" s="6">
        <f>COUNTIFS(Table5[Country],Tabela1[[#This Row],[Country]],Table5[400m Classification],"&gt;0")</f>
        <v>2</v>
      </c>
      <c r="AI7" s="6">
        <f>COUNTIFS(Table4[Country],Tabela1[[#This Row],[Country]],Table4[800m Classification],"&gt;0")</f>
        <v>1</v>
      </c>
      <c r="AJ7" s="6">
        <f>COUNTIFS(Table5[Country],Tabela1[[#This Row],[Country]],Table5[800m Classification],"&gt;0")</f>
        <v>1</v>
      </c>
      <c r="AK7" s="6">
        <f>COUNTIFS(Table4[Country],Tabela1[[#This Row],[Country]],Table4[1500m Classification],"&gt;0")</f>
        <v>3</v>
      </c>
      <c r="AL7" s="6">
        <f>COUNTIFS(Table5[Country],Tabela1[[#This Row],[Country]],Table5[1500m Classification],"&gt;0")</f>
        <v>2</v>
      </c>
      <c r="AM7" s="6">
        <f>COUNTIFS(Table4[Country],Tabela1[[#This Row],[Country]],Table4[5000m Classification],"&gt;0")</f>
        <v>2</v>
      </c>
      <c r="AN7" s="6">
        <f>COUNTIFS(Table5[Country],Tabela1[[#This Row],[Country]],Table5[5000m Classification],"&gt;0")</f>
        <v>0</v>
      </c>
      <c r="AO7" s="6">
        <f>COUNTIFS(Table4[Country],Tabela1[[#This Row],[Country]],Table4[10000m Classification],"&gt;0")</f>
        <v>0</v>
      </c>
      <c r="AP7" s="6">
        <f>COUNTIFS(Table5[Country],Tabela1[[#This Row],[Country]],Table5[10000m Classification],"&gt;0")</f>
        <v>1</v>
      </c>
      <c r="AQ7" s="6">
        <f>COUNTIFS(Table4[Country],Tabela1[[#This Row],[Country]],Table4[110m Hurdles Classification],"&gt;0")</f>
        <v>1</v>
      </c>
      <c r="AR7" s="6">
        <f>COUNTIFS(Table5[Country],Tabela1[[#This Row],[Country]],Table5[100m Hurdles Classification],"&gt;0")</f>
        <v>0</v>
      </c>
      <c r="AS7" s="6">
        <f>COUNTIFS(Table4[Country],Tabela1[[#This Row],[Country]],Table4[400m Hurdles Classification],"&gt;0")</f>
        <v>1</v>
      </c>
      <c r="AT7" s="6">
        <f>COUNTIFS(Table5[Country],Tabela1[[#This Row],[Country]],Table5[400m Hurdles Classification],"&gt;0")</f>
        <v>2</v>
      </c>
      <c r="AU7" s="6">
        <f>COUNTIFS(Table4[Country],Tabela1[[#This Row],[Country]],Table4[3000m Steeplechase Classification],"&gt;0")</f>
        <v>0</v>
      </c>
      <c r="AV7" s="6">
        <f>COUNTIFS(Table5[Country],Tabela1[[#This Row],[Country]],Table5[3000m Steeplechase Classification],"&gt;0")</f>
        <v>0</v>
      </c>
      <c r="AW7" s="6">
        <f>COUNTIFS(Table27[Country],Tabela1[[#This Row],[Country]],Table27[Men''s 4x100m Relay Classification],"&gt;0")</f>
        <v>1</v>
      </c>
      <c r="AX7" s="6">
        <f>COUNTIFS(Table27[Country],Tabela1[[#This Row],[Country]],Table27[Women''s 4x100m Relay Classification],"&gt;0")</f>
        <v>1</v>
      </c>
      <c r="AY7" s="6">
        <f>COUNTIFS(Table27[Country],Tabela1[[#This Row],[Country]],Table27[Men''s 4x400m Relay Classification],"&gt;0")</f>
        <v>1</v>
      </c>
      <c r="AZ7" s="6">
        <f>COUNTIFS(Table27[Country],Tabela1[[#This Row],[Country]],Table27[Women''s 4x400m Relay Classification],"&gt;0")</f>
        <v>1</v>
      </c>
      <c r="BA7" s="6">
        <f>COUNTIFS(Table27[Country],Tabela1[[#This Row],[Country]],Table27[Mixed 4x400m Relay Classification],"&gt;0")</f>
        <v>1</v>
      </c>
      <c r="BB7" s="6">
        <f>COUNTIFS(Table4[Country],Tabela1[[#This Row],[Country]],Table4[Marathon Classification],"&gt;0")</f>
        <v>2</v>
      </c>
      <c r="BC7" s="6">
        <f>COUNTIFS(Table5[Country],Tabela1[[#This Row],[Country]],Table5[Marathon Classification],"&gt;0")</f>
        <v>0</v>
      </c>
      <c r="BD7" s="6">
        <f>COUNTIFS(Table4[Country],Tabela1[[#This Row],[Country]],Table4[20km Race Walk Classification],"&gt;0")</f>
        <v>1</v>
      </c>
      <c r="BE7" s="6">
        <f>COUNTIFS(Table5[Country],Tabela1[[#This Row],[Country]],Table5[20km Race Walk Classification],"&gt;0")</f>
        <v>0</v>
      </c>
      <c r="BF7" s="6">
        <f>COUNTIFS(Tabela96[Country],Tabela1[[#This Row],[Country]],Tabela96[Mixed Marathon Race Walk Relay Classification],"&gt;0")</f>
        <v>0</v>
      </c>
      <c r="BG7" s="6">
        <f>COUNTIFS(Table4[Country],Tabela1[[#This Row],[Country]],Table4[Discus Throw Classification],"&gt;0")</f>
        <v>2</v>
      </c>
      <c r="BH7" s="6">
        <f>COUNTIFS(Table5[Country],Tabela1[[#This Row],[Country]],Table5[Discus Throw Classification],"&gt;0")</f>
        <v>0</v>
      </c>
      <c r="BI7" s="6">
        <f>COUNTIFS(Table4[Country],Tabela1[[#This Row],[Country]],Table4[Hammer Throw Classification],"&gt;0")</f>
        <v>0</v>
      </c>
      <c r="BJ7" s="6">
        <f>COUNTIFS(Table5[Country],Tabela1[[#This Row],[Country]],Table5[Hammer Throw Classification],"&gt;0")</f>
        <v>0</v>
      </c>
      <c r="BK7" s="6">
        <f>COUNTIFS(Table4[Country],Tabela1[[#This Row],[Country]],Table4[High Jump Classification],"&gt;0")</f>
        <v>0</v>
      </c>
      <c r="BL7" s="6">
        <f>COUNTIFS(Table5[Country],Tabela1[[#This Row],[Country]],Table5[High Jump Classification],"&gt;0")</f>
        <v>1</v>
      </c>
      <c r="BM7" s="6">
        <f>COUNTIFS(Table4[Country],Tabela1[[#This Row],[Country]],Table4[Javelin Throw Classification],"&gt;0")</f>
        <v>0</v>
      </c>
      <c r="BN7" s="6">
        <f>COUNTIFS(Table5[Country],Tabela1[[#This Row],[Country]],Table5[Javelin Throw Classification],"&gt;0")</f>
        <v>0</v>
      </c>
      <c r="BO7" s="6">
        <f>COUNTIFS(Table4[Country],Tabela1[[#This Row],[Country]],Table4[Long Jump Classification],"&gt;0")</f>
        <v>0</v>
      </c>
      <c r="BP7" s="6">
        <f>COUNTIFS(Table5[Country],Tabela1[[#This Row],[Country]],Table5[Long Jump Classification],"&gt;0")</f>
        <v>0</v>
      </c>
      <c r="BQ7" s="6">
        <f>COUNTIFS(Table4[Country],Tabela1[[#This Row],[Country]],Table4[Pole Vault Classification],"&gt;0")</f>
        <v>0</v>
      </c>
      <c r="BR7" s="6">
        <f>COUNTIFS(Table5[Country],Tabela1[[#This Row],[Country]],Table5[Pole Vault Classification],"&gt;0")</f>
        <v>0</v>
      </c>
      <c r="BS7" s="6">
        <f>COUNTIFS(Table4[Country],Tabela1[[#This Row],[Country]],Table4[Shot Put Classification],"&gt;0")</f>
        <v>0</v>
      </c>
      <c r="BT7" s="6">
        <f>COUNTIFS(Table5[Country],Tabela1[[#This Row],[Country]],Table5[Shot Put Classification],"&gt;0")</f>
        <v>0</v>
      </c>
      <c r="BU7" s="6">
        <f>COUNTIFS(Table4[Country],Tabela1[[#This Row],[Country]],Table4[Triple Jump Classification],"&gt;0")</f>
        <v>0</v>
      </c>
      <c r="BV7" s="6">
        <f>COUNTIFS(Table5[Country],Tabela1[[#This Row],[Country]],Table5[Triple Jump Classification],"&gt;0")</f>
        <v>0</v>
      </c>
      <c r="BW7" s="6">
        <f>COUNTIFS(Table4[Country],Tabela1[[#This Row],[Country]],Table4[Decathlon Classification],"&gt;0")</f>
        <v>0</v>
      </c>
      <c r="BX7" s="6">
        <f>COUNTIFS(Table5[Country],Tabela1[[#This Row],[Country]],Table5[Heptathlon Classification],"&gt;0")</f>
        <v>1</v>
      </c>
      <c r="BY7" s="6">
        <f>COUNTIFS(Table61[Country],Tabela1[[#This Row],[Country]],Table61[Classification],"&gt;0")</f>
        <v>0</v>
      </c>
      <c r="BZ7" s="6">
        <f>COUNTIFS(Table38[Country],Tabela1[[#This Row],[Country]],Table38[Classification],"&gt;0")</f>
        <v>1</v>
      </c>
      <c r="CA7" s="6">
        <f>COUNTIFS(Table39[Country],Tabela1[[#This Row],[Country]],Table39[Men''s Classification],"&gt;0")</f>
        <v>1</v>
      </c>
      <c r="CB7" s="6">
        <f>COUNTIFS(Table39[Country],Tabela1[[#This Row],[Country]],Table39[Women''s Classification],"&gt;0")</f>
        <v>0</v>
      </c>
      <c r="CC7" s="6">
        <f>COUNTIFS(Table39[Country],Tabela1[[#This Row],[Country]],Table39[Mixed Classification],"&gt;0")</f>
        <v>0</v>
      </c>
      <c r="CD7" s="6">
        <f>COUNTIFS(Table89[Country],Tabela1[[#This Row],[Country]],Table89[Men''s Classification],"&gt;0")</f>
        <v>0</v>
      </c>
      <c r="CE7" s="6">
        <f>COUNTIFS(Table89[Country],Tabela1[[#This Row],[Country]],Table89[Women''s Classification],"&gt;0")</f>
        <v>0</v>
      </c>
      <c r="CF7" s="6">
        <f>COUNTIFS(Table90[Country],Tabela1[[#This Row],[Country]],Table90[Men''s Classification],"&gt;0")</f>
        <v>0</v>
      </c>
      <c r="CG7" s="6">
        <f>COUNTIFS(Table90[Country],Tabela1[[#This Row],[Country]],Table90[Women''s Classification],"&gt;0")</f>
        <v>0</v>
      </c>
      <c r="CH7" s="6">
        <f>COUNTIFS(Table60[Country],Tabela1[[#This Row],[Country]],Table60[Men''s Classification],"&gt;0")</f>
        <v>0</v>
      </c>
      <c r="CI7" s="6">
        <f>COUNTIFS(Table60[Country],Tabela1[[#This Row],[Country]],Table60[Women''s Classification],"&gt;0")</f>
        <v>0</v>
      </c>
      <c r="CJ7" s="6">
        <f>COUNTIFS(Table6[Country],Tabela1[[#This Row],[Country]],Table6[51kg Classification],"&gt;0")</f>
        <v>0</v>
      </c>
      <c r="CK7" s="6">
        <f>COUNTIFS(Table6[Country],Tabela1[[#This Row],[Country]],Table6[57kg Classification],"&gt;0")</f>
        <v>0</v>
      </c>
      <c r="CL7" s="6">
        <f>COUNTIFS(Table6[Country],Tabela1[[#This Row],[Country]],Table6[63.5kg Classification],"&gt;0")</f>
        <v>0</v>
      </c>
      <c r="CM7" s="6">
        <f>COUNTIFS(Table6[Country],Tabela1[[#This Row],[Country]],Table6[71kg Classification],"&gt;0")</f>
        <v>1</v>
      </c>
      <c r="CN7" s="6">
        <f>COUNTIFS(Table6[Country],Tabela1[[#This Row],[Country]],Table6[80kg Classification],"&gt;0")</f>
        <v>0</v>
      </c>
      <c r="CO7" s="6">
        <f>COUNTIFS(Table6[Country],Tabela1[[#This Row],[Country]],Table6[92kg Classification],"&gt;0")</f>
        <v>0</v>
      </c>
      <c r="CP7" s="6">
        <f>COUNTIFS(Table6[Country],Tabela1[[#This Row],[Country]],Table6[Plus 92kg Classification],"&gt;0")</f>
        <v>0</v>
      </c>
      <c r="CQ7" s="6">
        <f>COUNTIFS(Table7[Country],Tabela1[[#This Row],[Country]],Table7[50kg Classification],"&gt;0")</f>
        <v>0</v>
      </c>
      <c r="CR7" s="6">
        <f>COUNTIFS(Table7[Country],Tabela1[[#This Row],[Country]],Table7[54kg Classification],"&gt;0")</f>
        <v>1</v>
      </c>
      <c r="CS7" s="6">
        <f>COUNTIFS(Table7[Country],Tabela1[[#This Row],[Country]],Table7[57kg Classification],"&gt;0")</f>
        <v>0</v>
      </c>
      <c r="CT7" s="6">
        <f>COUNTIFS(Table7[Country],Tabela1[[#This Row],[Country]],Table7[60kg Classification],"&gt;0")</f>
        <v>0</v>
      </c>
      <c r="CU7" s="6">
        <f>COUNTIFS(Table7[Country],Tabela1[[#This Row],[Country]],Table7[66kg Classification],"&gt;0")</f>
        <v>1</v>
      </c>
      <c r="CV7" s="6">
        <f>COUNTIFS(Table7[Country],Tabela1[[#This Row],[Country]],Table7[75kg Classification],"&gt;0")</f>
        <v>1</v>
      </c>
      <c r="CW7" s="6">
        <f>COUNTIFS(Tabela94[Country],Tabela1[[#This Row],[Country]],Tabela94[Classification],"&gt;0")</f>
        <v>0</v>
      </c>
      <c r="CX7" s="6">
        <f>COUNTIFS(Tabela9499[Country],Tabela1[[#This Row],[Country]],Tabela9499[Classification],"&gt;0")</f>
        <v>0</v>
      </c>
      <c r="CY7" s="6">
        <f>COUNTIFS(Tabela107[Country],Tabela1[[#This Row],[Country]],Tabela107[C1 Slalom Classification],"&gt;0")</f>
        <v>1</v>
      </c>
      <c r="CZ7" s="6">
        <f>COUNTIFS(Tabela107122[Country],Tabela1[[#This Row],[Country]],Tabela107122[C1 Slalom Classification],"&gt;0")</f>
        <v>1</v>
      </c>
      <c r="DA7" s="6">
        <f>COUNTIFS(Tabela107[Country],Tabela1[[#This Row],[Country]],Tabela107[K1 Slalom Classification],"&gt;0")</f>
        <v>1</v>
      </c>
      <c r="DB7" s="6">
        <f>COUNTIFS(Tabela107122[Country],Tabela1[[#This Row],[Country]],Tabela107122[K1 Slalom Classification],"&gt;0")</f>
        <v>0</v>
      </c>
      <c r="DC7" s="6">
        <f>COUNTIFS(Tabela107[Country],Tabela1[[#This Row],[Country]],Tabela107[Kayak Cross Slalom Classification],"&gt;0")</f>
        <v>2</v>
      </c>
      <c r="DD7" s="6">
        <f>COUNTIFS(Tabela107122[Country],Tabela1[[#This Row],[Country]],Tabela107122[Kayak Cross Slalom Classification],"&gt;0")</f>
        <v>1</v>
      </c>
      <c r="DE7" s="6">
        <f>COUNTIFS(Table8[Country],Tabela1[[#This Row],[Country]],Table8[C1 200m Classification],"&gt;0")</f>
        <v>0</v>
      </c>
      <c r="DF7" s="6">
        <f>COUNTIFS(Table40[Country],Tabela1[[#This Row],[Country]],Table40[C1 1000m Classification],"&gt;0")</f>
        <v>0</v>
      </c>
      <c r="DG7" s="6">
        <f>COUNTIFS(Table68[Country],Tabela1[[#This Row],[Country]],Table68[Men''s C2 500m Classification],"&gt;0")</f>
        <v>0</v>
      </c>
      <c r="DH7" s="6">
        <f>COUNTIFS(Table68[Country],Tabela1[[#This Row],[Country]],Table68[Women''s C2 500m Classification],"&gt;0")</f>
        <v>0</v>
      </c>
      <c r="DI7" s="6">
        <f>COUNTIFS(Table8[Country],Tabela1[[#This Row],[Country]],Table8[K1 500m Classification],"&gt;0")</f>
        <v>0</v>
      </c>
      <c r="DJ7" s="6">
        <f>COUNTIFS(Table40[Country],Tabela1[[#This Row],[Country]],Table40[K1 1000m Classification],"&gt;0")</f>
        <v>0</v>
      </c>
      <c r="DK7" s="6">
        <f>COUNTIFS(Table68[Country],Tabela1[[#This Row],[Country]],Table68[Men''s K2 500m Classification],"&gt;0")</f>
        <v>0</v>
      </c>
      <c r="DL7" s="6">
        <f>COUNTIFS(Table68[Country],Tabela1[[#This Row],[Country]],Table68[Women''s K2 500m Classification],"&gt;0")</f>
        <v>0</v>
      </c>
      <c r="DM7" s="6">
        <f>COUNTIFS(Table83[Country],Tabela1[[#This Row],[Country]],Table83[Men''s K4 500m Classification],"&gt;0")</f>
        <v>0</v>
      </c>
      <c r="DN7" s="6">
        <f>COUNTIFS(Table83[Country],Tabela1[[#This Row],[Country]],Table83[Women''s K4 500m Classification],"&gt;0")</f>
        <v>0</v>
      </c>
      <c r="DO7" s="6">
        <f>COUNTIFS(Tabela126[Country],Tabela1[[#This Row],[Country]],Tabela126[Classification],"&gt;0")</f>
        <v>1</v>
      </c>
      <c r="DP7" s="6">
        <f>COUNTIFS(Tabela126130[Country],Tabela1[[#This Row],[Country]],Tabela126130[Classification],"&gt;0")</f>
        <v>0</v>
      </c>
      <c r="DQ7" s="6">
        <f>COUNTIFS(Table70[Country],Tabela1[[#This Row],[Country]],Table70[Classification],"&gt;0")</f>
        <v>1</v>
      </c>
      <c r="DR7" s="6">
        <f>COUNTIFS(Table80[Country],Tabela1[[#This Row],[Country]],Table80[Classification],"&gt;0")</f>
        <v>1</v>
      </c>
      <c r="DS7" s="6">
        <f>COUNTIFS(Table66[Country],Tabela1[[#This Row],[Country]],Table66[Classification],"&gt;0")</f>
        <v>2</v>
      </c>
      <c r="DT7" s="6">
        <f>COUNTIFS(Table67[Country],Tabela1[[#This Row],[Country]],Table67[Classification],"&gt;0")</f>
        <v>1</v>
      </c>
      <c r="DU7" s="6">
        <f>COUNTIFS(Table69[Country],Tabela1[[#This Row],[Country]],Table69[Keirin Classification],"&gt;0")</f>
        <v>0</v>
      </c>
      <c r="DV7" s="6">
        <f>COUNTIFS(Table41[Country],Tabela1[[#This Row],[Country]],Table41[Keirin Classification],"&gt;0")</f>
        <v>1</v>
      </c>
      <c r="DW7" s="6">
        <f>COUNTIFS(Table84[Country],Tabela1[[#This Row],[Country]],Table84[Men''s Madison Classification],"&gt;0")</f>
        <v>1</v>
      </c>
      <c r="DX7" s="6">
        <f>COUNTIFS(Table84[Country],Tabela1[[#This Row],[Country]],Table84[Women''s Madison Classification],"&gt;0")</f>
        <v>0</v>
      </c>
      <c r="DY7" s="6">
        <f>COUNTIFS(Table69[Country],Tabela1[[#This Row],[Country]],Table69[Omnium Classification],"&gt;0")</f>
        <v>1</v>
      </c>
      <c r="DZ7" s="6">
        <f>COUNTIFS(Table41[Country],Tabela1[[#This Row],[Country]],Table41[Omnium Classification],"&gt;0")</f>
        <v>0</v>
      </c>
      <c r="EA7" s="6">
        <f>COUNTIFS(Table9[Country],Tabela1[[#This Row],[Country]],Table9[Road Race Classification],"&gt;0")</f>
        <v>2</v>
      </c>
      <c r="EB7" s="6">
        <f>COUNTIFS(Table14[Country],Tabela1[[#This Row],[Country]],Table14[Road Race Classification],"&gt;0")</f>
        <v>3</v>
      </c>
      <c r="EC7" s="6">
        <f>COUNTIFS(Table69[Country],Tabela1[[#This Row],[Country]],Table69[Sprint Classification],"&gt;0")</f>
        <v>0</v>
      </c>
      <c r="ED7" s="6">
        <f>COUNTIFS(Table41[Country],Tabela1[[#This Row],[Country]],Table41[Sprint Classification],"&gt;0")</f>
        <v>1</v>
      </c>
      <c r="EE7" s="6">
        <f>COUNTIFS(Table85[Country],Tabela1[[#This Row],[Country]],Table85[Men''s Sprint Classification],"&gt;0")</f>
        <v>0</v>
      </c>
      <c r="EF7" s="6">
        <f>COUNTIFS(Table85[Country],Tabela1[[#This Row],[Country]],Table85[Women''s Sprint Classification],"&gt;0")</f>
        <v>1</v>
      </c>
      <c r="EG7" s="6">
        <f>COUNTIFS(Table85[Country],Tabela1[[#This Row],[Country]],Table85[Men''s Pursuit Classification],"&gt;0")</f>
        <v>1</v>
      </c>
      <c r="EH7" s="6">
        <f>COUNTIFS(Table85[Country],Tabela1[[#This Row],[Country]],Table85[Women''s Pursuit Classification],"&gt;0")</f>
        <v>0</v>
      </c>
      <c r="EI7" s="6">
        <f>COUNTIFS(Table9[Country],Tabela1[[#This Row],[Country]],Table9[Time-Trial Classification],"&gt;0")</f>
        <v>0</v>
      </c>
      <c r="EJ7" s="6">
        <f>COUNTIFS(Table14[Country],Tabela1[[#This Row],[Country]],Table14[Time-Trial Classification],"&gt;0")</f>
        <v>1</v>
      </c>
      <c r="EK7" s="6">
        <f>COUNTIFS(Table42[Country],Tabela1[[#This Row],[Country]],Table42[Springboard Classification],"&gt;0")</f>
        <v>0</v>
      </c>
      <c r="EL7" s="6">
        <f>COUNTIFS(Table43[Country],Tabela1[[#This Row],[Country]],Table43[Springboard Classification],"&gt;0")</f>
        <v>1</v>
      </c>
      <c r="EM7" s="6">
        <f>COUNTIFS(Table42[Country],Tabela1[[#This Row],[Country]],Table42[Platform Classification],"&gt;0")</f>
        <v>2</v>
      </c>
      <c r="EN7" s="6">
        <f>COUNTIFS(Table43[Country],Tabela1[[#This Row],[Country]],Table43[Platform Classification],"&gt;0")</f>
        <v>2</v>
      </c>
      <c r="EO7" s="6">
        <f>COUNTIFS(Table86[Country],Tabela1[[#This Row],[Country]],Table86[Men''s Synchronized Springboard Classification],"&gt;0")</f>
        <v>0</v>
      </c>
      <c r="EP7" s="6">
        <f>COUNTIFS(Table86[Country],Tabela1[[#This Row],[Country]],Table86[Women''s Synchronized Springboard Classification],"&gt;0")</f>
        <v>1</v>
      </c>
      <c r="EQ7" s="6">
        <f>COUNTIFS(Table86[Country],Tabela1[[#This Row],[Country]],Table86[Men''s Synchronized Platform Classification],"&gt;0")</f>
        <v>1</v>
      </c>
      <c r="ER7" s="6">
        <f>COUNTIFS(Table86[Country],Tabela1[[#This Row],[Country]],Table86[Women''s Synchronized Platform Classification],"&gt;0")</f>
        <v>1</v>
      </c>
      <c r="ES7" s="6">
        <f>COUNTIFS(Table44[Country],Tabela1[[#This Row],[Country]],Table44[Dressage Classification],"&gt;0")</f>
        <v>1</v>
      </c>
      <c r="ET7" s="6">
        <f>COUNTIFS(Table45[Country],Tabela1[[#This Row],[Country]],Table45[Dressage Classification],"&gt;0")</f>
        <v>1</v>
      </c>
      <c r="EU7" s="6">
        <f>COUNTIFS(Table44[Country],Tabela1[[#This Row],[Country]],Table44[Eventing Classification],"&gt;0")</f>
        <v>1</v>
      </c>
      <c r="EV7" s="6">
        <f>COUNTIFS(Table45[Country],Tabela1[[#This Row],[Country]],Table45[Eventing Classification],"&gt;0")</f>
        <v>1</v>
      </c>
      <c r="EW7" s="6">
        <f>COUNTIFS(Table44[Country],Tabela1[[#This Row],[Country]],Table44[Jumping Classification],"&gt;0")</f>
        <v>2</v>
      </c>
      <c r="EX7" s="6">
        <f>COUNTIFS(Table45[Country],Tabela1[[#This Row],[Country]],Table45[Jumping Classification],"&gt;0")</f>
        <v>1</v>
      </c>
      <c r="EY7" s="6">
        <f>COUNTIFS(Table10[Country],Tabela1[[#This Row],[Country]],Table10[Épée Classification],"&gt;0")</f>
        <v>0</v>
      </c>
      <c r="EZ7" s="6">
        <f>COUNTIFS(Table11[Country],Tabela1[[#This Row],[Country]],Table11[Épée Classification],"&gt;0")</f>
        <v>0</v>
      </c>
      <c r="FA7" s="6">
        <f>COUNTIFS(Table46[Country],Tabela1[[#This Row],[Country]],Table46[Men''s Épée Classification],"&gt;0")</f>
        <v>0</v>
      </c>
      <c r="FB7" s="6">
        <f>COUNTIFS(Table46[Country],Tabela1[[#This Row],[Country]],Table46[Women''s Épée Classification],"&gt;0")</f>
        <v>0</v>
      </c>
      <c r="FC7" s="6">
        <f>COUNTIFS(Table10[Country],Tabela1[[#This Row],[Country]],Table10[Foil Classification],"&gt;0")</f>
        <v>0</v>
      </c>
      <c r="FD7" s="6">
        <f>COUNTIFS(Table11[Country],Tabela1[[#This Row],[Country]],Table11[Foil Classification],"&gt;0")</f>
        <v>0</v>
      </c>
      <c r="FE7" s="6">
        <f>COUNTIFS(Table46[Country],Tabela1[[#This Row],[Country]],Table46[Men''s Foil Classification],"&gt;0")</f>
        <v>0</v>
      </c>
      <c r="FF7" s="6">
        <f>COUNTIFS(Table46[Country],Tabela1[[#This Row],[Country]],Table46[Women''s Foil Classification],"&gt;0")</f>
        <v>0</v>
      </c>
      <c r="FG7" s="6">
        <f>COUNTIFS(Table10[Country],Tabela1[[#This Row],[Country]],Table10[Sabre Classification],"&gt;0")</f>
        <v>0</v>
      </c>
      <c r="FH7" s="6">
        <f>COUNTIFS(Table11[Country],Tabela1[[#This Row],[Country]],Table11[Sabre Classification],"&gt;0")</f>
        <v>0</v>
      </c>
      <c r="FI7" s="6">
        <f>COUNTIFS(Table46[Country],Tabela1[[#This Row],[Country]],Table46[Men''s Sabre Classification],"&gt;0")</f>
        <v>0</v>
      </c>
      <c r="FJ7" s="6">
        <f>COUNTIFS(Table46[Country],Tabela1[[#This Row],[Country]],Table46[Women''s Sabre Classification],"&gt;0")</f>
        <v>0</v>
      </c>
      <c r="FK7" s="6">
        <f>COUNTIFS(Table91[Country],Tabela1[[#This Row],[Country]],Table91[Men''s Classification],"&gt;0")</f>
        <v>1</v>
      </c>
      <c r="FL7" s="6">
        <f>COUNTIFS(Table91[Country],Tabela1[[#This Row],[Country]],Table91[Women''s Classification],"&gt;0")</f>
        <v>1</v>
      </c>
      <c r="FM7" s="6">
        <f>COUNTIFS(Table9194[Country],Tabela1[[#This Row],[Country]],Table9194[Men''s Classification],"&gt;0")</f>
        <v>0</v>
      </c>
      <c r="FN7" s="6">
        <f>COUNTIFS(Table9194[Country],Tabela1[[#This Row],[Country]],Table9194[Women''s Classification],"&gt;0")</f>
        <v>0</v>
      </c>
      <c r="FO7" s="6">
        <f>COUNTIFS(Table71[Country],Tabela1[[#This Row],[Country]],Table71[Classification],"&gt;0")</f>
        <v>1</v>
      </c>
      <c r="FP7" s="6">
        <f>COUNTIFS(Table62[Country],Tabela1[[#This Row],[Country]],Table62[Classification],"&gt;0")</f>
        <v>0</v>
      </c>
      <c r="FQ7" s="6">
        <f>COUNTIFS(Table47[Country],Tabela1[[#This Row],[Country]],Table47[All-Around Classification],"&gt;0")</f>
        <v>1</v>
      </c>
      <c r="FR7" s="6">
        <f>COUNTIFS(Table48[Country],Tabela1[[#This Row],[Country]],Table48[All-Around Classification],"&gt;0")</f>
        <v>2</v>
      </c>
      <c r="FS7" s="6">
        <f>COUNTIFS(Table81[Country],Tabela1[[#This Row],[Country]],Table81[Men''s All-Around Classification],"&gt;0")</f>
        <v>1</v>
      </c>
      <c r="FT7" s="6">
        <f>COUNTIFS(Table81[Country],Tabela1[[#This Row],[Country]],Table81[Women''s All-Around Classification],"&gt;0")</f>
        <v>1</v>
      </c>
      <c r="FU7" s="6">
        <f>COUNTIFS(Table48[Country],Tabela1[[#This Row],[Country]],Table48[Balance Beam Classification],"&gt;0")</f>
        <v>2</v>
      </c>
      <c r="FV7" s="6">
        <f>COUNTIFS(Table47[Country],Tabela1[[#This Row],[Country]],Table47[Floor Exercise Classification],"&gt;0")</f>
        <v>1</v>
      </c>
      <c r="FW7" s="6">
        <f>COUNTIFS(Table48[Country],Tabela1[[#This Row],[Country]],Table48[Floor Exercise Classification],"&gt;0")</f>
        <v>3</v>
      </c>
      <c r="FX7" s="6">
        <f>COUNTIFS(Table47[Country],Tabela1[[#This Row],[Country]],Table47[Horizontal Bar Classification],"&gt;0")</f>
        <v>2</v>
      </c>
      <c r="FY7" s="6">
        <f>COUNTIFS(Table47[Country],Tabela1[[#This Row],[Country]],Table47[Parallel Bars Classification],"&gt;0")</f>
        <v>2</v>
      </c>
      <c r="FZ7" s="6">
        <f>COUNTIFS(Table47[Country],Tabela1[[#This Row],[Country]],Table47[Pommel Horse Classification],"&gt;0")</f>
        <v>2</v>
      </c>
      <c r="GA7" s="6">
        <f>COUNTIFS(Table47[Country],Tabela1[[#This Row],[Country]],Table47[Rings Classification],"&gt;0")</f>
        <v>1</v>
      </c>
      <c r="GB7" s="6">
        <f>COUNTIFS(Tabela132[Country],Tabela1[[#This Row],[Country]],Tabela132[Classification],"&gt;0")</f>
        <v>1</v>
      </c>
      <c r="GC7" s="6">
        <f>COUNTIFS(Tabela139[Country],Tabela1[[#This Row],[Country]],Tabela139[Classification],"&gt;0")</f>
        <v>1</v>
      </c>
      <c r="GD7" s="6">
        <f>COUNTIFS(Table48[Country],Tabela1[[#This Row],[Country]],Table48[Uneven Bars Classification],"&gt;0")</f>
        <v>2</v>
      </c>
      <c r="GE7" s="6">
        <f>COUNTIFS(Table47[Country],Tabela1[[#This Row],[Country]],Table47[Vault Classification],"&gt;0")</f>
        <v>0</v>
      </c>
      <c r="GF7" s="6">
        <f>COUNTIFS(Table48[Country],Tabela1[[#This Row],[Country]],Table48[Vault Classification],"&gt;0")</f>
        <v>0</v>
      </c>
      <c r="GG7" s="6">
        <f>COUNTIFS(Table919496[Country],Tabela1[[#This Row],[Country]],Table919496[Men''s Classification],"&gt;0")</f>
        <v>0</v>
      </c>
      <c r="GH7" s="6">
        <f>COUNTIFS(Table919496[Country],Tabela1[[#This Row],[Country]],Table919496[Women''s Classification],"&gt;0")</f>
        <v>0</v>
      </c>
      <c r="GI7" s="6">
        <f>COUNTIFS(Table12[Country],Tabela1[[#This Row],[Country]],Table12[60kg Classification],"&gt;0")</f>
        <v>0</v>
      </c>
      <c r="GJ7" s="6">
        <f>COUNTIFS(Table12[Country],Tabela1[[#This Row],[Country]],Table12[66kg Classification],"&gt;0")</f>
        <v>0</v>
      </c>
      <c r="GK7" s="6">
        <f>COUNTIFS(Table12[Country],Tabela1[[#This Row],[Country]],Table12[73kg Classification],"&gt;0")</f>
        <v>0</v>
      </c>
      <c r="GL7" s="6">
        <f>COUNTIFS(Table12[Country],Tabela1[[#This Row],[Country]],Table12[81kg Classification],"&gt;0")</f>
        <v>0</v>
      </c>
      <c r="GM7" s="6">
        <f>COUNTIFS(Table12[Country],Tabela1[[#This Row],[Country]],Table12[90kg Classification],"&gt;0")</f>
        <v>0</v>
      </c>
      <c r="GN7" s="6">
        <f>COUNTIFS(Table12[Country],Tabela1[[#This Row],[Country]],Table12[100kg Classification],"&gt;0")</f>
        <v>0</v>
      </c>
      <c r="GO7" s="6">
        <f>COUNTIFS(Table12[Country],Tabela1[[#This Row],[Country]],Table12[Plus 100kg Classification],"&gt;0")</f>
        <v>0</v>
      </c>
      <c r="GP7" s="6">
        <f>COUNTIFS(Table13[Country],Tabela1[[#This Row],[Country]],Table13[48kg Classification],"&gt;0")</f>
        <v>0</v>
      </c>
      <c r="GQ7" s="6">
        <f>COUNTIFS(Table13[Country],Tabela1[[#This Row],[Country]],Table13[52kg Classification],"&gt;0")</f>
        <v>0</v>
      </c>
      <c r="GR7" s="6">
        <f>COUNTIFS(Table13[Country],Tabela1[[#This Row],[Country]],Table13[57kg Classification],"&gt;0")</f>
        <v>0</v>
      </c>
      <c r="GS7" s="6">
        <f>COUNTIFS(Table13[Country],Tabela1[[#This Row],[Country]],Table13[63kg Classification],"&gt;0")</f>
        <v>1</v>
      </c>
      <c r="GT7" s="6">
        <f>COUNTIFS(Table13[Country],Tabela1[[#This Row],[Country]],Table13[70kg Classification],"&gt;0")</f>
        <v>1</v>
      </c>
      <c r="GU7" s="6">
        <f>COUNTIFS(Table13[Country],Tabela1[[#This Row],[Country]],Table13[78kg Classification],"&gt;0")</f>
        <v>0</v>
      </c>
      <c r="GV7" s="6">
        <f>COUNTIFS(Table13[Country],Tabela1[[#This Row],[Country]],Table13[Plus 78kg Classification],"&gt;0")</f>
        <v>0</v>
      </c>
      <c r="GW7" s="6">
        <f>COUNTIFS(Table82[Country],Tabela1[[#This Row],[Country]],Table82[Mixed Classification],"&gt;0")</f>
        <v>0</v>
      </c>
      <c r="GX7" s="6">
        <f>COUNTIFS(Table51[Country],Tabela1[[#This Row],[Country]],Table51[Classification],"&gt;0")</f>
        <v>1</v>
      </c>
      <c r="GY7" s="6">
        <f>COUNTIFS(Table52[Country],Tabela1[[#This Row],[Country]],Table52[Classification],"&gt;0")</f>
        <v>1</v>
      </c>
      <c r="GZ7" s="6">
        <f>COUNTIFS(Table32[Country],Tabela1[[#This Row],[Country]],Table32[All-Around Classification],"&gt;0")</f>
        <v>0</v>
      </c>
      <c r="HA7" s="6">
        <f>COUNTIFS(Table49[Country],Tabela1[[#This Row],[Country]],Table49[All-Around Classification],"&gt;0")</f>
        <v>0</v>
      </c>
      <c r="HB7" s="6">
        <f>COUNTIFS(Table26[Country],Tabela1[[#This Row],[Country]],Table26[Single Sculls Classification],"&gt;0")</f>
        <v>0</v>
      </c>
      <c r="HC7" s="6">
        <f>COUNTIFS(Table63[Country],Tabela1[[#This Row],[Country]],Table63[Single Sculls Classification],"&gt;0")</f>
        <v>0</v>
      </c>
      <c r="HD7" s="6">
        <f>COUNTIFS(Table16[Country],Tabela1[[#This Row],[Country]],Table16[Men''s Double Sculls Classification],"&gt;0")</f>
        <v>0</v>
      </c>
      <c r="HE7" s="6">
        <f>COUNTIFS(Table16[Country],Tabela1[[#This Row],[Country]],Table16[Women''s Double Sculls Classification],"&gt;0")</f>
        <v>1</v>
      </c>
      <c r="HF7" s="6">
        <f>COUNTIFS(Table72[Country],Tabela1[[#This Row],[Country]],Table72[Men''s Quadruple Sculls Classification],"&gt;0")</f>
        <v>1</v>
      </c>
      <c r="HG7" s="6">
        <f>COUNTIFS(Table72[Country],Tabela1[[#This Row],[Country]],Table72[Women''s Quadruple Sculls Classification],"&gt;0")</f>
        <v>1</v>
      </c>
      <c r="HH7" s="6">
        <f>COUNTIFS(Table16[Country],Tabela1[[#This Row],[Country]],Table16[Men''s Coxless Pairs Classification],"&gt;0")</f>
        <v>0</v>
      </c>
      <c r="HI7" s="6">
        <f>COUNTIFS(Table16[Country],Tabela1[[#This Row],[Country]],Table16[Women''s Coxless Pairs Classification],"&gt;0")</f>
        <v>0</v>
      </c>
      <c r="HJ7" s="6">
        <f>COUNTIFS(Table72[Country],Tabela1[[#This Row],[Country]],Table72[Men''s Coxless Fours Classification],"&gt;0")</f>
        <v>1</v>
      </c>
      <c r="HK7" s="6">
        <f>COUNTIFS(Table72[Country],Tabela1[[#This Row],[Country]],Table72[Women''s Coxless Fours Classification],"&gt;0")</f>
        <v>1</v>
      </c>
      <c r="HL7" s="6">
        <f>COUNTIFS(Table72[Country],Tabela1[[#This Row],[Country]],Table72[Men''s Eights Classification],"&gt;0")</f>
        <v>1</v>
      </c>
      <c r="HM7" s="6">
        <f>COUNTIFS(Table72[Country],Tabela1[[#This Row],[Country]],Table72[Women''s Eights Classification],"&gt;0")</f>
        <v>1</v>
      </c>
      <c r="HN7" s="6">
        <f>COUNTIFS(Table16[Country],Tabela1[[#This Row],[Country]],Table16[Men''s Lwt. Double Sculls Classification],"&gt;0")</f>
        <v>0</v>
      </c>
      <c r="HO7" s="6">
        <f>COUNTIFS(Table16[Country],Tabela1[[#This Row],[Country]],Table16[Women''s Lwt. Double Sculls Classification],"&gt;0")</f>
        <v>1</v>
      </c>
      <c r="HP7" s="6">
        <f>COUNTIFS(Table91949698[Country],Tabela1[[#This Row],[Country]],Table91949698[Men''s Classification],"&gt;0")</f>
        <v>0</v>
      </c>
      <c r="HQ7" s="6">
        <f>COUNTIFS(Table91949698[Country],Tabela1[[#This Row],[Country]],Table91949698[Women''s Classification],"&gt;0")</f>
        <v>1</v>
      </c>
      <c r="HR7" s="6">
        <f>COUNTIFS(Table25[Country],Tabela1[[#This Row],[Country]],Table25[Mixed 470 Classification],"&gt;0")</f>
        <v>1</v>
      </c>
      <c r="HS7" s="6">
        <f>COUNTIFS(Table25[Country],Tabela1[[#This Row],[Country]],Table25[Men''s 49er Classification],"&gt;0")</f>
        <v>1</v>
      </c>
      <c r="HT7" s="6">
        <f>COUNTIFS(Table25[Country],Tabela1[[#This Row],[Country]],Table25[Women''s 49er FX Classification],"&gt;0")</f>
        <v>1</v>
      </c>
      <c r="HU7" s="6">
        <f>COUNTIFS(Table17[Country],Tabela1[[#This Row],[Country]],Table17[Formula Kite Classification],"&gt;0")</f>
        <v>1</v>
      </c>
      <c r="HV7" s="6">
        <f>COUNTIFS(Table18[Country],Tabela1[[#This Row],[Country]],Table18[Formula Kite Classification],"&gt;0")</f>
        <v>0</v>
      </c>
      <c r="HW7" s="6">
        <f>COUNTIFS(Table17[Country],Tabela1[[#This Row],[Country]],Table17[ILCA 7 Classification],"&gt;0")</f>
        <v>1</v>
      </c>
      <c r="HX7" s="6">
        <f>COUNTIFS(Table18[Country],Tabela1[[#This Row],[Country]],Table18[ILCA 6 Classification],"&gt;0")</f>
        <v>1</v>
      </c>
      <c r="HY7" s="6">
        <f>COUNTIFS(Table17[Country],Tabela1[[#This Row],[Country]],Table17[IQFoil Classification],"&gt;0")</f>
        <v>0</v>
      </c>
      <c r="HZ7" s="6">
        <f>COUNTIFS(Table18[Country],Tabela1[[#This Row],[Country]],Table18[IQFoil Classification],"&gt;0")</f>
        <v>0</v>
      </c>
      <c r="IA7" s="6">
        <f>COUNTIFS(Table25[Country],Tabela1[[#This Row],[Country]],Table25[Mixed Nacra 17 Classification],"&gt;0")</f>
        <v>1</v>
      </c>
      <c r="IB7" s="6">
        <f>COUNTIFS(Table53[Country],Tabela1[[#This Row],[Country]],Table53[10m Air Pistol Classification],"&gt;0")</f>
        <v>0</v>
      </c>
      <c r="IC7" s="6">
        <f>COUNTIFS(Table19[Country],Tabela1[[#This Row],[Country]],Table19[10m Air Pistol Classification],"&gt;0")</f>
        <v>0</v>
      </c>
      <c r="ID7" s="6">
        <f>COUNTIFS(Table54[Country],Tabela1[[#This Row],[Country]],Table54[Mixed 10m Air Pistol Team Classification],"&gt;0")</f>
        <v>0</v>
      </c>
      <c r="IE7" s="6">
        <f>COUNTIFS(Table53[Country],Tabela1[[#This Row],[Country]],Table53[10m Air Rifle Classification],"&gt;0")</f>
        <v>1</v>
      </c>
      <c r="IF7" s="6">
        <f>COUNTIFS(Table19[Country],Tabela1[[#This Row],[Country]],Table19[10m Air Rifle Classification],"&gt;0")</f>
        <v>1</v>
      </c>
      <c r="IG7" s="6">
        <f>COUNTIFS(Table54[Country],Tabela1[[#This Row],[Country]],Table54[Mixed 10m Air Rifle Team Classification],"&gt;0")</f>
        <v>1</v>
      </c>
      <c r="IH7" s="6">
        <f>COUNTIFS(Table53[Country],Tabela1[[#This Row],[Country]],Table53[25m Rapid Fire Pistol Classification],"&gt;0")</f>
        <v>0</v>
      </c>
      <c r="II7" s="6">
        <f>COUNTIFS(Table19[Country],Tabela1[[#This Row],[Country]],Table19[25m Pistol Classification],"&gt;0")</f>
        <v>0</v>
      </c>
      <c r="IJ7" s="6">
        <f>COUNTIFS(Table53[Country],Tabela1[[#This Row],[Country]],Table53[50m Rifle 3 Positions Classification],"&gt;0")</f>
        <v>1</v>
      </c>
      <c r="IK7" s="6">
        <f>COUNTIFS(Table19[Country],Tabela1[[#This Row],[Country]],Table19[50m Rifle 3 Positions Classification],"&gt;0")</f>
        <v>1</v>
      </c>
      <c r="IL7" s="6">
        <f>COUNTIFS(Table53[Country],Tabela1[[#This Row],[Country]],Table53[Skeet Classification],"&gt;0")</f>
        <v>0</v>
      </c>
      <c r="IM7" s="6">
        <f>COUNTIFS(Table19[Country],Tabela1[[#This Row],[Country]],Table19[Skeet Classification],"&gt;0")</f>
        <v>1</v>
      </c>
      <c r="IN7" s="6">
        <f>COUNTIFS(Table54[Country],Tabela1[[#This Row],[Country]],Table54[Mixed Skeet Team Classification],"&gt;0")</f>
        <v>0</v>
      </c>
      <c r="IO7" s="6">
        <f>COUNTIFS(Table53[Country],Tabela1[[#This Row],[Country]],Table53[Trap Classification],"&gt;0")</f>
        <v>1</v>
      </c>
      <c r="IP7" s="6">
        <f>COUNTIFS(Table19[Country],Tabela1[[#This Row],[Country]],Table19[Trap Classification],"&gt;0")</f>
        <v>0</v>
      </c>
      <c r="IQ7" s="6">
        <f>COUNTIFS(Table73[Country],Tabela1[[#This Row],[Country]],Table73[Park Classification],"&gt;0")</f>
        <v>1</v>
      </c>
      <c r="IR7" s="6">
        <f>COUNTIFS(Table74[Country],Tabela1[[#This Row],[Country]],Table74[Park Classification],"&gt;0")</f>
        <v>1</v>
      </c>
      <c r="IS7" s="6">
        <f>COUNTIFS(Table73[Country],Tabela1[[#This Row],[Country]],Table73[Street Classification],"&gt;0")</f>
        <v>0</v>
      </c>
      <c r="IT7" s="6">
        <f>COUNTIFS(Table74[Country],Tabela1[[#This Row],[Country]],Table74[Street Classification],"&gt;0")</f>
        <v>0</v>
      </c>
      <c r="IU7" s="6">
        <f>COUNTIFS(Table75[Country],Tabela1[[#This Row],[Country]],Table75[Boulder and Lead Classification],"&gt;0")</f>
        <v>2</v>
      </c>
      <c r="IV7" s="6">
        <f>COUNTIFS(Table76[Country],Tabela1[[#This Row],[Country]],Table76[Boulder and Lead Classification],"&gt;0")</f>
        <v>2</v>
      </c>
      <c r="IW7" s="6">
        <f>COUNTIFS(Table75[Country],Tabela1[[#This Row],[Country]],Table75[Speed Classification],"&gt;0")</f>
        <v>0</v>
      </c>
      <c r="IX7" s="6">
        <f>COUNTIFS(Table76[Country],Tabela1[[#This Row],[Country]],Table76[Speed Classification],"&gt;0")</f>
        <v>0</v>
      </c>
      <c r="IY7" s="6">
        <f>COUNTIFS(Table64[Country],Tabela1[[#This Row],[Country]],Table64[Shortboard Classification],"&gt;0")</f>
        <v>0</v>
      </c>
      <c r="IZ7" s="6">
        <f>COUNTIFS(Table77[Country],Tabela1[[#This Row],[Country]],Table77[Shortboard Classification],"&gt;0")</f>
        <v>0</v>
      </c>
      <c r="JA7" s="6">
        <f>COUNTIFS(Table20[Country],Tabela1[[#This Row],[Country]],Table20[50m Freestyle Classification],"&gt;0")</f>
        <v>1</v>
      </c>
      <c r="JB7" s="6">
        <f>COUNTIFS(Table21[Country],Tabela1[[#This Row],[Country]],Table21[50m Freestyle Classification],"&gt;0")</f>
        <v>0</v>
      </c>
      <c r="JC7" s="6">
        <f>COUNTIFS(Table20[Country],Tabela1[[#This Row],[Country]],Table20[100m Freestyle Classification],"&gt;0")</f>
        <v>1</v>
      </c>
      <c r="JD7" s="6">
        <f>COUNTIFS(Table21[Country],Tabela1[[#This Row],[Country]],Table21[100m Freestyle Classification],"&gt;0")</f>
        <v>0</v>
      </c>
      <c r="JE7" s="6">
        <f>COUNTIFS(Table20[Country],Tabela1[[#This Row],[Country]],Table20[200m Freestyle Classification],"&gt;0")</f>
        <v>1</v>
      </c>
      <c r="JF7" s="6">
        <f>COUNTIFS(Table21[Country],Tabela1[[#This Row],[Country]],Table21[200m Freestyle Classification],"&gt;0")</f>
        <v>0</v>
      </c>
      <c r="JG7" s="6">
        <f>COUNTIFS(Table20[Country],Tabela1[[#This Row],[Country]],Table20[400m Freestyle Classification],"&gt;0")</f>
        <v>0</v>
      </c>
      <c r="JH7" s="6">
        <f>COUNTIFS(Table21[Country],Tabela1[[#This Row],[Country]],Table21[400m Freestyle Classification],"&gt;0")</f>
        <v>0</v>
      </c>
      <c r="JI7" s="6">
        <f>COUNTIFS(Table20[Country],Tabela1[[#This Row],[Country]],Table20[800m Freestyle Classification],"&gt;0")</f>
        <v>0</v>
      </c>
      <c r="JJ7" s="6">
        <f>COUNTIFS(Table21[Country],Tabela1[[#This Row],[Country]],Table21[800m Freestyle Classification],"&gt;0")</f>
        <v>0</v>
      </c>
      <c r="JK7" s="6">
        <f>COUNTIFS(Table20[Country],Tabela1[[#This Row],[Country]],Table20[1500m Freestyle Classification],"&gt;0")</f>
        <v>1</v>
      </c>
      <c r="JL7" s="6">
        <f>COUNTIFS(Table21[Country],Tabela1[[#This Row],[Country]],Table21[1500m Freestyle Classification],"&gt;0")</f>
        <v>0</v>
      </c>
      <c r="JM7" s="6">
        <f>COUNTIFS(Table20[Country],Tabela1[[#This Row],[Country]],Table20[100m Backstroke Classification],"&gt;0")</f>
        <v>1</v>
      </c>
      <c r="JN7" s="6">
        <f>COUNTIFS(Table21[Country],Tabela1[[#This Row],[Country]],Table21[100m Backstroke Classification],"&gt;0")</f>
        <v>1</v>
      </c>
      <c r="JO7" s="6">
        <f>COUNTIFS(Table20[Country],Tabela1[[#This Row],[Country]],Table20[200m Backstroke Classification],"&gt;0")</f>
        <v>2</v>
      </c>
      <c r="JP7" s="6">
        <f>COUNTIFS(Table21[Country],Tabela1[[#This Row],[Country]],Table21[200m Backstroke Classification],"&gt;0")</f>
        <v>1</v>
      </c>
      <c r="JQ7" s="6">
        <f>COUNTIFS(Table20[Country],Tabela1[[#This Row],[Country]],Table20[100m Breaststroke Classification],"&gt;0")</f>
        <v>2</v>
      </c>
      <c r="JR7" s="6">
        <f>COUNTIFS(Table21[Country],Tabela1[[#This Row],[Country]],Table21[100m Breaststroke Classification],"&gt;0")</f>
        <v>0</v>
      </c>
      <c r="JS7" s="6">
        <f>COUNTIFS(Table20[Country],Tabela1[[#This Row],[Country]],Table20[200m Breaststroke Classification],"&gt;0")</f>
        <v>0</v>
      </c>
      <c r="JT7" s="6">
        <f>COUNTIFS(Table21[Country],Tabela1[[#This Row],[Country]],Table21[200m Breaststroke Classification],"&gt;0")</f>
        <v>0</v>
      </c>
      <c r="JU7" s="6">
        <f>COUNTIFS(Table20[Country],Tabela1[[#This Row],[Country]],Table20[100m Butterfly Classification],"&gt;0")</f>
        <v>0</v>
      </c>
      <c r="JV7" s="6">
        <f>COUNTIFS(Table21[Country],Tabela1[[#This Row],[Country]],Table21[100m Butterfly Classification],"&gt;0")</f>
        <v>1</v>
      </c>
      <c r="JW7" s="6">
        <f>COUNTIFS(Table20[Country],Tabela1[[#This Row],[Country]],Table20[200m Butterfly Classification],"&gt;0")</f>
        <v>0</v>
      </c>
      <c r="JX7" s="6">
        <f>COUNTIFS(Table21[Country],Tabela1[[#This Row],[Country]],Table21[200m Butterfly Classification],"&gt;0")</f>
        <v>2</v>
      </c>
      <c r="JY7" s="6">
        <f>COUNTIFS(Table20[Country],Tabela1[[#This Row],[Country]],Table20[200m Medley Classification],"&gt;0")</f>
        <v>2</v>
      </c>
      <c r="JZ7" s="6">
        <f>COUNTIFS(Table21[Country],Tabela1[[#This Row],[Country]],Table21[200m Medley Classification],"&gt;0")</f>
        <v>1</v>
      </c>
      <c r="KA7" s="6">
        <f>COUNTIFS(Table20[Country],Tabela1[[#This Row],[Country]],Table20[400m Medley Classification],"&gt;0")</f>
        <v>1</v>
      </c>
      <c r="KB7" s="6">
        <f>COUNTIFS(Table21[Country],Tabela1[[#This Row],[Country]],Table21[400m Medley Classification],"&gt;0")</f>
        <v>1</v>
      </c>
      <c r="KC7" s="6">
        <f>COUNTIFS(Table78[Country],Tabela1[[#This Row],[Country]],Table78[Men''s 4x100m Freestyle Relay Classification],"&gt;0")</f>
        <v>1</v>
      </c>
      <c r="KD7" s="6">
        <f>COUNTIFS(Table78[Country],Tabela1[[#This Row],[Country]],Table78[Women''s 4x100m Freestyle Relay Classification],"&gt;0")</f>
        <v>1</v>
      </c>
      <c r="KE7" s="6">
        <f>COUNTIFS(Table78[Country],Tabela1[[#This Row],[Country]],Table78[Men''s 4x200m Freestyle Relay Classification],"&gt;0")</f>
        <v>1</v>
      </c>
      <c r="KF7" s="6">
        <f>COUNTIFS(Table78[Country],Tabela1[[#This Row],[Country]],Table78[Women''s 4x200m Freestyle Relay Classification],"&gt;0")</f>
        <v>1</v>
      </c>
      <c r="KG7" s="6">
        <f>COUNTIFS(Table78[Country],Tabela1[[#This Row],[Country]],Table78[Men''s 4x100m Medley Relay Classification],"&gt;0")</f>
        <v>1</v>
      </c>
      <c r="KH7" s="6">
        <f>COUNTIFS(Table78[Country],Tabela1[[#This Row],[Country]],Table78[Women''s 4x100m Medley Relay Classification],"&gt;0")</f>
        <v>1</v>
      </c>
      <c r="KI7" s="6">
        <f>COUNTIFS(Table78[Country],Tabela1[[#This Row],[Country]],Table78[Mixed 4x100m Medley Relay Classification],"&gt;0")</f>
        <v>1</v>
      </c>
      <c r="KJ7" s="6">
        <f>COUNTIFS(Table20[Country],Tabela1[[#This Row],[Country]],Table20[10km Open Water Classification],"&gt;0")</f>
        <v>0</v>
      </c>
      <c r="KK7" s="6">
        <f>COUNTIFS(Table21[Country],Tabela1[[#This Row],[Country]],Table21[10km Open Water Classification],"&gt;0")</f>
        <v>1</v>
      </c>
      <c r="KL7" s="6">
        <f>COUNTIFS(Table22[Country],Tabela1[[#This Row],[Country]],Table22[Classification],"&gt;0")</f>
        <v>1</v>
      </c>
      <c r="KM7" s="6">
        <f>COUNTIFS(Table30[Country],Tabela1[[#This Row],[Country]],Table30[Classification],"&gt;0")</f>
        <v>0</v>
      </c>
      <c r="KN7" s="6">
        <f>COUNTIFS(Table55[Country],Tabela1[[#This Row],[Country]],Table55[Men''s Classification],"&gt;0")</f>
        <v>0</v>
      </c>
      <c r="KO7" s="6">
        <f>COUNTIFS(Table55[Country],Tabela1[[#This Row],[Country]],Table55[Women''s Classification],"&gt;0")</f>
        <v>0</v>
      </c>
      <c r="KP7" s="6">
        <f>COUNTIFS(Table56[Country],Tabela1[[#This Row],[Country]],Table56[Mixed Classification],"&gt;0")</f>
        <v>0</v>
      </c>
      <c r="KQ7" s="6">
        <f>COUNTIFS(Table29[Country],Tabela1[[#This Row],[Country]],Table29[58kg Classification],"&gt;0")</f>
        <v>0</v>
      </c>
      <c r="KR7" s="6">
        <f>COUNTIFS(Table29[Country],Tabela1[[#This Row],[Country]],Table29[68kg Classification],"&gt;0")</f>
        <v>0</v>
      </c>
      <c r="KS7" s="6">
        <f>COUNTIFS(Table29[Country],Tabela1[[#This Row],[Country]],Table29[80kg Classification],"&gt;0")</f>
        <v>0</v>
      </c>
      <c r="KT7" s="6">
        <f>COUNTIFS(Table29[Country],Tabela1[[#This Row],[Country]],Table29[Plus 80kg Classification],"&gt;0")</f>
        <v>1</v>
      </c>
      <c r="KU7" s="6">
        <f>COUNTIFS(Table34[Country],Tabela1[[#This Row],[Country]],Table34[49kg Classification],"&gt;0")</f>
        <v>0</v>
      </c>
      <c r="KV7" s="6">
        <f>COUNTIFS(Table34[Country],Tabela1[[#This Row],[Country]],Table34[57kg Classification],"&gt;0")</f>
        <v>0</v>
      </c>
      <c r="KW7" s="6">
        <f>COUNTIFS(Table34[Country],Tabela1[[#This Row],[Country]],Table34[67kg Classification],"&gt;0")</f>
        <v>0</v>
      </c>
      <c r="KX7" s="6">
        <f>COUNTIFS(Table34[Country],Tabela1[[#This Row],[Country]],Table34[Plus 67kg Classification],"&gt;0")</f>
        <v>0</v>
      </c>
      <c r="KY7" s="6">
        <f>COUNTIFS(Table57[Country],Tabela1[[#This Row],[Country]],Table57[Classification],"&gt;0")</f>
        <v>1</v>
      </c>
      <c r="KZ7" s="6">
        <f>COUNTIFS(Table58[Country],Tabela1[[#This Row],[Country]],Table58[Classification],"&gt;0")</f>
        <v>0</v>
      </c>
      <c r="LA7" s="6">
        <f>COUNTIFS(Table79[Country],Tabela1[[#This Row],[Country]],Table79[Men''s Classification],"&gt;0")</f>
        <v>2</v>
      </c>
      <c r="LB7" s="6">
        <f>COUNTIFS(Table79[Country],Tabela1[[#This Row],[Country]],Table79[Women''s Classification],"&gt;0")</f>
        <v>1</v>
      </c>
      <c r="LC7" s="6">
        <f>COUNTIFS(Table79[Country],Tabela1[[#This Row],[Country]],Table79[Mixed Classification],"&gt;0")</f>
        <v>1</v>
      </c>
      <c r="LD7" s="6">
        <f>COUNTIFS(Table65[Country],Tabela1[[#This Row],[Country]],Table65[Classification],"&gt;0")</f>
        <v>2</v>
      </c>
      <c r="LE7" s="6">
        <f>COUNTIFS(Table59[Country],Tabela1[[#This Row],[Country]],Table59[Classification],"&gt;0")</f>
        <v>2</v>
      </c>
      <c r="LF7" s="6">
        <f>COUNTIFS(Table87[Country],Tabela1[[#This Row],[Country]],Table87[Mixed Relay Classification],"&gt;0")</f>
        <v>1</v>
      </c>
      <c r="LG7" s="6">
        <f>COUNTIFS(Table91949698100[Country],Tabela1[[#This Row],[Country]],Table91949698100[Men''s Classification],"&gt;0")</f>
        <v>0</v>
      </c>
      <c r="LH7" s="6">
        <f>COUNTIFS(Table91949698100[Country],Tabela1[[#This Row],[Country]],Table91949698100[Women''s Classification],"&gt;0")</f>
        <v>0</v>
      </c>
      <c r="LI7" s="6">
        <f>COUNTIFS(Table91949698100102[Country],Tabela1[[#This Row],[Country]],Table91949698100102[Men''s Classification],"&gt;0")</f>
        <v>0</v>
      </c>
      <c r="LJ7" s="6">
        <f>COUNTIFS(Table91949698100102[Country],Tabela1[[#This Row],[Country]],Table91949698100102[Women''s Classification],"&gt;0")</f>
        <v>0</v>
      </c>
      <c r="LK7" s="6">
        <f>COUNTIFS(Table23[Country],Tabela1[[#This Row],[Country]],Table23[61kg Classification],"&gt;0")</f>
        <v>0</v>
      </c>
      <c r="LL7" s="6">
        <f>COUNTIFS(Table23[Country],Tabela1[[#This Row],[Country]],Table23[73kg Classification],"&gt;0")</f>
        <v>0</v>
      </c>
      <c r="LM7" s="6">
        <f>COUNTIFS(Table23[Country],Tabela1[[#This Row],[Country]],Table23[89kg Classification],"&gt;0")</f>
        <v>0</v>
      </c>
      <c r="LN7" s="6">
        <f>COUNTIFS(Table23[Country],Tabela1[[#This Row],[Country]],Table23[102kg Classification],"&gt;0")</f>
        <v>0</v>
      </c>
      <c r="LO7" s="6">
        <f>COUNTIFS(Table23[Country],Tabela1[[#This Row],[Country]],Table23[Plus 102kg Classification],"&gt;0")</f>
        <v>0</v>
      </c>
      <c r="LP7" s="6">
        <f>COUNTIFS(Table28[Country],Tabela1[[#This Row],[Country]],Table28[49kg Classification],"&gt;0")</f>
        <v>0</v>
      </c>
      <c r="LQ7" s="6">
        <f>COUNTIFS(Table28[Country],Tabela1[[#This Row],[Country]],Table28[59kg Classification],"&gt;0")</f>
        <v>0</v>
      </c>
      <c r="LR7" s="6">
        <f>COUNTIFS(Table28[Country],Tabela1[[#This Row],[Country]],Table28[71kg Classification],"&gt;0")</f>
        <v>0</v>
      </c>
      <c r="LS7" s="6">
        <f>COUNTIFS(Table28[Country],Tabela1[[#This Row],[Country]],Table28[81kg Classification],"&gt;0")</f>
        <v>0</v>
      </c>
      <c r="LT7" s="6">
        <f>COUNTIFS(Table28[Country],Tabela1[[#This Row],[Country]],Table28[Plus 81kg Classification],"&gt;0")</f>
        <v>0</v>
      </c>
      <c r="LU7" s="6">
        <f>COUNTIFS(Table24[Country],Tabela1[[#This Row],[Country]],Table24[Freestyle 57kg Classification],"&gt;0")</f>
        <v>0</v>
      </c>
      <c r="LV7" s="6">
        <f>COUNTIFS(Table24[Country],Tabela1[[#This Row],[Country]],Table24[Freestyle 65kg Classification],"&gt;0")</f>
        <v>0</v>
      </c>
      <c r="LW7" s="6">
        <f>COUNTIFS(Table24[Country],Tabela1[[#This Row],[Country]],Table24[Freestyle 74kg Classification],"&gt;0")</f>
        <v>0</v>
      </c>
      <c r="LX7" s="6">
        <f>COUNTIFS(Table24[Country],Tabela1[[#This Row],[Country]],Table24[Freestyle 86kg Classification],"&gt;0")</f>
        <v>0</v>
      </c>
      <c r="LY7" s="6">
        <f>COUNTIFS(Table24[Country],Tabela1[[#This Row],[Country]],Table24[Freestyle 97kg Classification],"&gt;0")</f>
        <v>0</v>
      </c>
      <c r="LZ7" s="6">
        <f>COUNTIFS(Table24[Country],Tabela1[[#This Row],[Country]],Table24[Freestyle 125kg Classification],"&gt;0")</f>
        <v>0</v>
      </c>
      <c r="MA7" s="6">
        <f>COUNTIFS(Table24[Country],Tabela1[[#This Row],[Country]],Table24[Greco-Roman 60kg Classification],"&gt;0")</f>
        <v>0</v>
      </c>
      <c r="MB7" s="6">
        <f>COUNTIFS(Table24[Country],Tabela1[[#This Row],[Country]],Table24[Greco-Roman 67kg Classification],"&gt;0")</f>
        <v>0</v>
      </c>
      <c r="MC7" s="6">
        <f>COUNTIFS(Table24[Country],Tabela1[[#This Row],[Country]],Table24[Greco-Roman 77kg Classification],"&gt;0")</f>
        <v>0</v>
      </c>
      <c r="MD7" s="6">
        <f>COUNTIFS(Table24[Country],Tabela1[[#This Row],[Country]],Table24[Greco-Roman 87kg Classification],"&gt;0")</f>
        <v>0</v>
      </c>
      <c r="ME7" s="6">
        <f>COUNTIFS(Table24[Country],Tabela1[[#This Row],[Country]],Table24[Greco-Roman 97kg Classification],"&gt;0")</f>
        <v>0</v>
      </c>
      <c r="MF7" s="6">
        <f>COUNTIFS(Table24[Country],Tabela1[[#This Row],[Country]],Table24[Greco-Roman 130kg Classification],"&gt;0")</f>
        <v>0</v>
      </c>
      <c r="MG7" s="6">
        <f>COUNTIFS(Table31[Country],Tabela1[[#This Row],[Country]],Table31[50kg Classification],"&gt;0")</f>
        <v>0</v>
      </c>
      <c r="MH7" s="6">
        <f>COUNTIFS(Table31[Country],Tabela1[[#This Row],[Country]],Table31[53kg Classification],"&gt;0")</f>
        <v>0</v>
      </c>
      <c r="MI7" s="6">
        <f>COUNTIFS(Table31[Country],Tabela1[[#This Row],[Country]],Table31[57kg Classification],"&gt;0")</f>
        <v>0</v>
      </c>
      <c r="MJ7" s="6">
        <f>COUNTIFS(Table31[Country],Tabela1[[#This Row],[Country]],Table31[62kg Classification],"&gt;0")</f>
        <v>0</v>
      </c>
      <c r="MK7" s="6">
        <f>COUNTIFS(Table31[Country],Tabela1[[#This Row],[Country]],Table31[68kg Classification],"&gt;0")</f>
        <v>0</v>
      </c>
      <c r="ML7" s="6">
        <f>COUNTIFS(Table31[Country],Tabela1[[#This Row],[Country]],Table31[76kg Classification],"&gt;0")</f>
        <v>0</v>
      </c>
      <c r="MM7" s="6">
        <f>COUNTIFS(Table102[Country],Tabela1[[#This Row],[Country]],Table102[Downhill Classification],"&gt;0")</f>
        <v>0</v>
      </c>
      <c r="MN7" s="6">
        <f>COUNTIFS(Table102105[Country],Tabela1[[#This Row],[Country]],Table102105[Downhill Classification],"&gt;0")</f>
        <v>0</v>
      </c>
      <c r="MO7" s="6">
        <f>COUNTIFS(Table102[Country],Tabela1[[#This Row],[Country]],Table102[Giant Slalom Classification],"&gt;0")</f>
        <v>0</v>
      </c>
      <c r="MP7" s="6">
        <f>COUNTIFS(Table102105[Country],Tabela1[[#This Row],[Country]],Table102105[Giant Slalom Classification],"&gt;0")</f>
        <v>0</v>
      </c>
      <c r="MQ7" s="6">
        <f>COUNTIFS(Table102[Country],Tabela1[[#This Row],[Country]],Table102[Slalom Classification],"&gt;0")</f>
        <v>1</v>
      </c>
      <c r="MR7" s="6">
        <f>COUNTIFS(Table102105[Country],Tabela1[[#This Row],[Country]],Table102105[Slalom Classification],"&gt;0")</f>
        <v>0</v>
      </c>
      <c r="MS7" s="6">
        <f>COUNTIFS(Table102[Country],Tabela1[[#This Row],[Country]],Table102[Super-G Classification],"&gt;0")</f>
        <v>0</v>
      </c>
      <c r="MT7" s="6">
        <f>COUNTIFS(Table102105[Country],Tabela1[[#This Row],[Country]],Table102105[Super-G Classification],"&gt;0")</f>
        <v>0</v>
      </c>
      <c r="MU7" s="6">
        <f>COUNTIFS(Table105[Country],Tabela1[[#This Row],[Country]],Table105[Men''s Combined Classification],"&gt;0")</f>
        <v>0</v>
      </c>
      <c r="MV7" s="6">
        <f>COUNTIFS(Table105[Country],Tabela1[[#This Row],[Country]],Table105[Women''s Combined Classification],"&gt;0")</f>
        <v>0</v>
      </c>
      <c r="MW7" s="6">
        <f>COUNTIFS(Table106[Country],Tabela1[[#This Row],[Country]],Table106[Individual Classification],"&gt;0")</f>
        <v>0</v>
      </c>
      <c r="MX7" s="6">
        <f>COUNTIFS(Table106109[Country],Tabela1[[#This Row],[Country]],Table106109[Individual Classification],"&gt;0")</f>
        <v>1</v>
      </c>
      <c r="MY7" s="6">
        <f>COUNTIFS(Table106[Country],Tabela1[[#This Row],[Country]],Table106[Mass Start Classification],"&gt;0")</f>
        <v>0</v>
      </c>
      <c r="MZ7" s="6">
        <f>COUNTIFS(Table106109[Country],Tabela1[[#This Row],[Country]],Table106109[Mass Start Classification],"&gt;0")</f>
        <v>0</v>
      </c>
      <c r="NA7" s="6">
        <f>COUNTIFS(Table106[Country],Tabela1[[#This Row],[Country]],Table106[Pursuit Classification],"&gt;0")</f>
        <v>0</v>
      </c>
      <c r="NB7" s="6">
        <f>COUNTIFS(Table106109[Country],Tabela1[[#This Row],[Country]],Table106109[Pursuit Classification],"&gt;0")</f>
        <v>0</v>
      </c>
      <c r="NC7" s="6">
        <f>COUNTIFS(Table106[Country],Tabela1[[#This Row],[Country]],Table106[Sprint Classification],"&gt;0")</f>
        <v>0</v>
      </c>
      <c r="ND7" s="6">
        <f>COUNTIFS(Table106109[Country],Tabela1[[#This Row],[Country]],Table106109[Sprint Classification],"&gt;0")</f>
        <v>1</v>
      </c>
      <c r="NE7" s="6">
        <f>COUNTIFS(Table109[Country],Tabela1[[#This Row],[Country]],Table109[Men''s Relay Classification],"&gt;0")</f>
        <v>0</v>
      </c>
      <c r="NF7" s="6">
        <f>COUNTIFS(Table109[Country],Tabela1[[#This Row],[Country]],Table109[Women''s Relay Classification],"&gt;0")</f>
        <v>0</v>
      </c>
      <c r="NG7" s="6">
        <f>COUNTIFS(Table109[Country],Tabela1[[#This Row],[Country]],Table109[Mixed Relay Classification],"&gt;0")</f>
        <v>0</v>
      </c>
      <c r="NH7" s="6">
        <f>COUNTIFS(Table110[Country],Tabela1[[#This Row],[Country]],Table110[Monobob Classification],"&gt;0")</f>
        <v>1</v>
      </c>
      <c r="NI7" s="6">
        <f>COUNTIFS(Table111[Country],Tabela1[[#This Row],[Country]],Table111[Men''s Classification],"&gt;0")</f>
        <v>1</v>
      </c>
      <c r="NJ7" s="6">
        <f>COUNTIFS(Table111[Country],Tabela1[[#This Row],[Country]],Table111[Women''s Classification],"&gt;0")</f>
        <v>1</v>
      </c>
      <c r="NK7" s="6">
        <f>COUNTIFS(Table112[Country],Tabela1[[#This Row],[Country]],Table112[Men''s Four Classification],"&gt;0")</f>
        <v>1</v>
      </c>
      <c r="NL7" s="6">
        <f>COUNTIFS(Table113[Country],Tabela1[[#This Row],[Country]],Table113[Classical Classification],"&gt;0")</f>
        <v>1</v>
      </c>
      <c r="NM7" s="6">
        <f>COUNTIFS(Table113116[Country],Tabela1[[#This Row],[Country]],Table113116[Classical Classification],"&gt;0")</f>
        <v>0</v>
      </c>
      <c r="NN7" s="6">
        <f>COUNTIFS(Table113[Country],Tabela1[[#This Row],[Country]],Table113[Freestyle Classification],"&gt;0")</f>
        <v>1</v>
      </c>
      <c r="NO7" s="6">
        <f>COUNTIFS(Table113116[Country],Tabela1[[#This Row],[Country]],Table113116[Freestyle Classification],"&gt;0")</f>
        <v>0</v>
      </c>
      <c r="NP7" s="6">
        <f>COUNTIFS(Table117[Country],Tabela1[[#This Row],[Country]],Table117[Men''s Relay Classification],"&gt;0")</f>
        <v>0</v>
      </c>
      <c r="NQ7" s="6">
        <f>COUNTIFS(Table117[Country],Tabela1[[#This Row],[Country]],Table117[Women''s Relay Classification],"&gt;0")</f>
        <v>0</v>
      </c>
      <c r="NR7" s="6">
        <f>COUNTIFS(Table113[Country],Tabela1[[#This Row],[Country]],Table113[Skiathlon Classification],"&gt;0")</f>
        <v>1</v>
      </c>
      <c r="NS7" s="6">
        <f>COUNTIFS(Table113116[Country],Tabela1[[#This Row],[Country]],Table113116[Skiathlon Classification],"&gt;0")</f>
        <v>0</v>
      </c>
      <c r="NT7" s="6">
        <f>COUNTIFS(Table113[Country],Tabela1[[#This Row],[Country]],Table113[Sprint Classification],"&gt;0")</f>
        <v>0</v>
      </c>
      <c r="NU7" s="6">
        <f>COUNTIFS(Table113116[Country],Tabela1[[#This Row],[Country]],Table113116[Sprint Classification],"&gt;0")</f>
        <v>0</v>
      </c>
      <c r="NV7" s="6">
        <f>COUNTIFS(Table116[Country],Tabela1[[#This Row],[Country]],Table116[Men''s Team Sprint Classification],"&gt;0")</f>
        <v>0</v>
      </c>
      <c r="NW7" s="6">
        <f>COUNTIFS(Table116[Country],Tabela1[[#This Row],[Country]],Table116[Women''s Team Sprint Classification],"&gt;0")</f>
        <v>0</v>
      </c>
      <c r="NX7" s="6">
        <f>COUNTIFS(Table119[Country],Tabela1[[#This Row],[Country]],Table119[Men''s Classification],"&gt;0")</f>
        <v>1</v>
      </c>
      <c r="NY7" s="6">
        <f>COUNTIFS(Table119[Country],Tabela1[[#This Row],[Country]],Table119[Women''s Classification],"&gt;0")</f>
        <v>1</v>
      </c>
      <c r="NZ7" s="6">
        <f>COUNTIFS(Table118[Country],Tabela1[[#This Row],[Country]],Table118[Mixed Classification],"&gt;0")</f>
        <v>1</v>
      </c>
      <c r="OA7" s="6">
        <f>COUNTIFS(Table120[Country],Tabela1[[#This Row],[Country]],Table120[Classification],"&gt;0")</f>
        <v>0</v>
      </c>
      <c r="OB7" s="6">
        <f>COUNTIFS(Table120123[Country],Tabela1[[#This Row],[Country]],Table120123[Classification],"&gt;0")</f>
        <v>1</v>
      </c>
      <c r="OC7" s="6">
        <f>COUNTIFS(Table123[Country],Tabela1[[#This Row],[Country]],Table123[Ice Dance Classification],"&gt;0")</f>
        <v>0</v>
      </c>
      <c r="OD7" s="6">
        <f>COUNTIFS(Table123[Country],Tabela1[[#This Row],[Country]],Table123[Pair Skating Classification],"&gt;0")</f>
        <v>1</v>
      </c>
      <c r="OE7" s="6">
        <f>COUNTIFS(Table124[Country],Tabela1[[#This Row],[Country]],Table124[Mixed Classification],"&gt;0")</f>
        <v>1</v>
      </c>
      <c r="OF7" s="6">
        <f>COUNTIFS(Table125[Country],Tabela1[[#This Row],[Country]],Table125[Aerials Classification],"&gt;0")</f>
        <v>0</v>
      </c>
      <c r="OG7" s="6">
        <f>COUNTIFS(Table125128[Country],Tabela1[[#This Row],[Country]],Table125128[Aerials Classification],"&gt;0")</f>
        <v>0</v>
      </c>
      <c r="OH7" s="6">
        <f>COUNTIFS(Table128[Country],Tabela1[[#This Row],[Country]],Table128[Mixed Aerials Classification],"&gt;0")</f>
        <v>0</v>
      </c>
      <c r="OI7" s="6">
        <f>COUNTIFS(Table125[Country],Tabela1[[#This Row],[Country]],Table125[Big Air Classification],"&gt;0")</f>
        <v>1</v>
      </c>
      <c r="OJ7" s="6">
        <f>COUNTIFS(Table125128[Country],Tabela1[[#This Row],[Country]],Table125128[Big Air Classification],"&gt;0")</f>
        <v>0</v>
      </c>
      <c r="OK7" s="6">
        <f>COUNTIFS(Table125[Country],Tabela1[[#This Row],[Country]],Table125[Dual Moguls Classification],"&gt;0")</f>
        <v>0</v>
      </c>
      <c r="OL7" s="6">
        <f>COUNTIFS(Table125128[Country],Tabela1[[#This Row],[Country]],Table125128[Dual Moguls Classification],"&gt;0")</f>
        <v>1</v>
      </c>
      <c r="OM7" s="6">
        <f>COUNTIFS(Table125[Country],Tabela1[[#This Row],[Country]],Table125[Halfpipe Classification],"&gt;0")</f>
        <v>1</v>
      </c>
      <c r="ON7" s="6">
        <f>COUNTIFS(Table125128[Country],Tabela1[[#This Row],[Country]],Table125128[Halfpipe Classification],"&gt;0")</f>
        <v>1</v>
      </c>
      <c r="OO7" s="6">
        <f>COUNTIFS(Table125[Country],Tabela1[[#This Row],[Country]],Table125[Moguls Classification],"&gt;0")</f>
        <v>0</v>
      </c>
      <c r="OP7" s="6">
        <f>COUNTIFS(Table125128[Country],Tabela1[[#This Row],[Country]],Table125128[Moguls Classification],"&gt;0")</f>
        <v>1</v>
      </c>
      <c r="OQ7" s="6">
        <f>COUNTIFS(Table125[Country],Tabela1[[#This Row],[Country]],Table125[Ski Cross Classification],"&gt;0")</f>
        <v>0</v>
      </c>
      <c r="OR7" s="6">
        <f>COUNTIFS(Table125128[Country],Tabela1[[#This Row],[Country]],Table125128[Ski Cross Classification],"&gt;0")</f>
        <v>0</v>
      </c>
      <c r="OS7" s="6">
        <f>COUNTIFS(Table125[Country],Tabela1[[#This Row],[Country]],Table125[Slopestyle Classification],"&gt;0")</f>
        <v>1</v>
      </c>
      <c r="OT7" s="6">
        <f>COUNTIFS(Table125128[Country],Tabela1[[#This Row],[Country]],Table125128[Slopestyle Classification],"&gt;0")</f>
        <v>0</v>
      </c>
      <c r="OU7" s="6">
        <f>COUNTIFS(Table119131[Country],Tabela1[[#This Row],[Country]],Table119131[Men''s Classification],"&gt;0")</f>
        <v>0</v>
      </c>
      <c r="OV7" s="6">
        <f>COUNTIFS(Table119131[Country],Tabela1[[#This Row],[Country]],Table119131[Women''s Classification],"&gt;0")</f>
        <v>0</v>
      </c>
      <c r="OW7" s="6">
        <f>COUNTIFS(Table131[Country],Tabela1[[#This Row],[Country]],Table131[Classification],"&gt;0")</f>
        <v>0</v>
      </c>
      <c r="OX7" s="6">
        <f>COUNTIFS(Table131134[Country],Tabela1[[#This Row],[Country]],Table131134[Classification],"&gt;0")</f>
        <v>0</v>
      </c>
      <c r="OY7" s="6">
        <f>COUNTIFS(Table134[Country],Tabela1[[#This Row],[Country]],Table134[Men''s Classification],"&gt;0")</f>
        <v>0</v>
      </c>
      <c r="OZ7" s="6">
        <f>COUNTIFS(Table134[Country],Tabela1[[#This Row],[Country]],Table134[Women''s Classification],"&gt;0")</f>
        <v>0</v>
      </c>
      <c r="PA7" s="6">
        <f>COUNTIFS(Table135[Country],Tabela1[[#This Row],[Country]],Table135[Mixed Relay Classification],"&gt;0")</f>
        <v>0</v>
      </c>
      <c r="PB7" s="6">
        <f>COUNTIFS(Table136[Country],Tabela1[[#This Row],[Country]],Table136[Individual Classification],"&gt;0")</f>
        <v>0</v>
      </c>
      <c r="PC7" s="6">
        <f>COUNTIFS(Table136[Country],Tabela1[[#This Row],[Country]],Table136[Sprint Classification],"&gt;0")</f>
        <v>0</v>
      </c>
      <c r="PD7" s="6">
        <f>COUNTIFS(Table137[Country],Tabela1[[#This Row],[Country]],Table137[Men''s Team Sprint Large Hill Classification],"&gt;0")</f>
        <v>0</v>
      </c>
      <c r="PE7" s="6">
        <f>COUNTIFS(Table138[Country],Tabela1[[#This Row],[Country]],Table138[500m Classification],"&gt;0")</f>
        <v>0</v>
      </c>
      <c r="PF7" s="6">
        <f>COUNTIFS(Table138141[Country],Tabela1[[#This Row],[Country]],Table138141[500m Classification],"&gt;0")</f>
        <v>0</v>
      </c>
      <c r="PG7" s="6">
        <f>COUNTIFS(Table138[Country],Tabela1[[#This Row],[Country]],Table138[1000m Classification],"&gt;0")</f>
        <v>0</v>
      </c>
      <c r="PH7" s="6">
        <f>COUNTIFS(Table138141[Country],Tabela1[[#This Row],[Country]],Table138141[1000m Classification],"&gt;0")</f>
        <v>0</v>
      </c>
      <c r="PI7" s="6">
        <f>COUNTIFS(Table138[Country],Tabela1[[#This Row],[Country]],Table138[1500m Classification],"&gt;0")</f>
        <v>0</v>
      </c>
      <c r="PJ7" s="6">
        <f>COUNTIFS(Table138141[Country],Tabela1[[#This Row],[Country]],Table138141[1500m Classification],"&gt;0")</f>
        <v>0</v>
      </c>
      <c r="PK7" s="6">
        <f>COUNTIFS(Table141[Country],Tabela1[[#This Row],[Country]],Table141[Men''s 5000m Relay Classification],"&gt;0")</f>
        <v>0</v>
      </c>
      <c r="PL7" s="6">
        <f>COUNTIFS(Table141[Country],Tabela1[[#This Row],[Country]],Table141[Women''s 3000m Relay Classification],"&gt;0")</f>
        <v>0</v>
      </c>
      <c r="PM7" s="6">
        <f>COUNTIFS(Table141[Country],Tabela1[[#This Row],[Country]],Table141[Mixed 2000m Relay Classification],"&gt;0")</f>
        <v>0</v>
      </c>
      <c r="PN7" s="6">
        <f>COUNTIFS(Table142[Country],Tabela1[[#This Row],[Country]],Table142[Classification],"&gt;0")</f>
        <v>0</v>
      </c>
      <c r="PO7" s="6">
        <f>COUNTIFS(Table142145[Country],Tabela1[[#This Row],[Country]],Table142145[Classification],"&gt;0")</f>
        <v>2</v>
      </c>
      <c r="PP7" s="6">
        <f>COUNTIFS(Tabela15[Country],Tabela1[[#This Row],[Country]],Tabela15[Mixed Team Classification],"&gt;0")</f>
        <v>2</v>
      </c>
      <c r="PQ7" s="6">
        <f>COUNTIFS(Table145[Country],Tabela1[[#This Row],[Country]],Table145[Large Hill Classification],"&gt;0")</f>
        <v>0</v>
      </c>
      <c r="PR7" s="6">
        <f>COUNTIFS(Table145[Country],Tabela1[[#This Row],[Country]],Table145[Normal Hill Classification],"&gt;0")</f>
        <v>0</v>
      </c>
      <c r="PS7" s="6">
        <f>COUNTIFS(Table145148[Country],Tabela1[[#This Row],[Country]],Table145148[Large Hill Classification],"&gt;0")</f>
        <v>0</v>
      </c>
      <c r="PT7" s="6">
        <f>COUNTIFS(Table145148[Country],Tabela1[[#This Row],[Country]],Table145148[Normal Hill Classification],"&gt;0")</f>
        <v>0</v>
      </c>
      <c r="PU7" s="6">
        <f>COUNTIFS(Table148[Country],Tabela1[[#This Row],[Country]],Table148[Men''s Super Team Classification],"&gt;0")</f>
        <v>0</v>
      </c>
      <c r="PV7" s="6">
        <f>COUNTIFS(Tabela114[Country],Tabela1[[#This Row],[Country]],Tabela114[Mixed Normal Hill Classification],"&gt;0")</f>
        <v>0</v>
      </c>
      <c r="PW7" s="6">
        <f>COUNTIFS(Tabela50[Country],Tabela1[[#This Row],[Country]],Tabela50[Sprint Classification],"&gt;0")</f>
        <v>0</v>
      </c>
      <c r="PX7" s="6">
        <f>COUNTIFS(Tabela50101[Country],Tabela1[[#This Row],[Country]],Tabela50101[Sprint Classification],"&gt;0")</f>
        <v>0</v>
      </c>
      <c r="PY7" s="6">
        <f>COUNTIFS(Tabela103[Country],Tabela1[[#This Row],[Country]],Tabela103[Mixed Relay Classification],"&gt;0")</f>
        <v>0</v>
      </c>
      <c r="PZ7" s="6">
        <f>COUNTIFS(Table149[Country],Tabela1[[#This Row],[Country]],Table149[Big Air Classification],"&gt;0")</f>
        <v>0</v>
      </c>
      <c r="QA7" s="6">
        <f>COUNTIFS(Table149152[Country],Tabela1[[#This Row],[Country]],Table149152[Big Air Classification],"&gt;0")</f>
        <v>1</v>
      </c>
      <c r="QB7" s="6">
        <f>COUNTIFS(Table149[Country],Tabela1[[#This Row],[Country]],Table149[Halfpipe Classification],"&gt;0")</f>
        <v>0</v>
      </c>
      <c r="QC7" s="6">
        <f>COUNTIFS(Table149152[Country],Tabela1[[#This Row],[Country]],Table149152[Halfpipe Classification],"&gt;0")</f>
        <v>0</v>
      </c>
      <c r="QD7" s="6">
        <f>COUNTIFS(Table149[Country],Tabela1[[#This Row],[Country]],Table149[Parallel Giant Slalom Classification],"&gt;0")</f>
        <v>0</v>
      </c>
      <c r="QE7" s="6">
        <f>COUNTIFS(Table149152[Country],Tabela1[[#This Row],[Country]],Table149152[Parallel Giant Slalom Classification],"&gt;0")</f>
        <v>0</v>
      </c>
      <c r="QF7" s="6">
        <f>COUNTIFS(Table149[Country],Tabela1[[#This Row],[Country]],Table149[Slopestyle Classification],"&gt;0")</f>
        <v>0</v>
      </c>
      <c r="QG7" s="6">
        <f>COUNTIFS(Table149152[Country],Tabela1[[#This Row],[Country]],Table149152[Slopestyle Classification],"&gt;0")</f>
        <v>1</v>
      </c>
      <c r="QH7" s="6">
        <f>COUNTIFS(Table149[Country],Tabela1[[#This Row],[Country]],Table149[Snowboard Cross Classification],"&gt;0")</f>
        <v>0</v>
      </c>
      <c r="QI7" s="6">
        <f>COUNTIFS(Table149152[Country],Tabela1[[#This Row],[Country]],Table149152[Snowboard Cross Classification],"&gt;0")</f>
        <v>1</v>
      </c>
      <c r="QJ7" s="6">
        <f>COUNTIFS(Table153[Country],Tabela1[[#This Row],[Country]],Table153[Mixed Team Snowboard Cross Classification],"&gt;0")</f>
        <v>1</v>
      </c>
      <c r="QK7" s="6">
        <f>COUNTIFS(Table154[Country],Tabela1[[#This Row],[Country]],Table154[500m Classification],"&gt;0")</f>
        <v>0</v>
      </c>
      <c r="QL7" s="6">
        <f>COUNTIFS(Table154157[Country],Tabela1[[#This Row],[Country]],Table154157[500m Classification],"&gt;0")</f>
        <v>0</v>
      </c>
      <c r="QM7" s="6">
        <f>COUNTIFS(Table154[Country],Tabela1[[#This Row],[Country]],Table154[1000m Classification],"&gt;0")</f>
        <v>0</v>
      </c>
      <c r="QN7" s="6">
        <f>COUNTIFS(Table154157[Country],Tabela1[[#This Row],[Country]],Table154157[1000m Classification],"&gt;0")</f>
        <v>0</v>
      </c>
      <c r="QO7" s="6">
        <f>COUNTIFS(Table154[Country],Tabela1[[#This Row],[Country]],Table154[1500m Classification],"&gt;0")</f>
        <v>0</v>
      </c>
      <c r="QP7" s="6">
        <f>COUNTIFS(Table154157[Country],Tabela1[[#This Row],[Country]],Table154157[1500m Classification],"&gt;0")</f>
        <v>0</v>
      </c>
      <c r="QQ7" s="6">
        <f>COUNTIFS(Table154157[Country],Tabela1[[#This Row],[Country]],Table154157[3000m Classification],"&gt;0")</f>
        <v>0</v>
      </c>
      <c r="QR7" s="6">
        <f>COUNTIFS(Table154[Country],Tabela1[[#This Row],[Country]],Table154[5000m Classification],"&gt;0")</f>
        <v>0</v>
      </c>
      <c r="QS7" s="6">
        <f>COUNTIFS(Table154157[Country],Tabela1[[#This Row],[Country]],Table154157[5000m Classification],"&gt;0")</f>
        <v>0</v>
      </c>
      <c r="QT7" s="6">
        <f>COUNTIFS(Table154[Country],Tabela1[[#This Row],[Country]],Table154[10000m Classification],"&gt;0")</f>
        <v>0</v>
      </c>
      <c r="QU7" s="6">
        <f>COUNTIFS(Table154[Country],Tabela1[[#This Row],[Country]],Table154[Mass Start Classification],"&gt;0")</f>
        <v>0</v>
      </c>
      <c r="QV7" s="6">
        <f>COUNTIFS(Table154157[Country],Tabela1[[#This Row],[Country]],Table154157[Mass Start Classification],"&gt;0")</f>
        <v>0</v>
      </c>
      <c r="QW7" s="6">
        <f>COUNTIFS(Table157[Country],Tabela1[[#This Row],[Country]],Table157[Men''s Pursuit Classification],"&gt;0")</f>
        <v>0</v>
      </c>
      <c r="QX7" s="6">
        <f>COUNTIFS(Table157[Country],Tabela1[[#This Row],[Country]],Table157[Women''s Pursuit Classification],"&gt;0")</f>
        <v>0</v>
      </c>
      <c r="QY7" s="3" t="s">
        <v>403</v>
      </c>
    </row>
    <row r="8" spans="1:467" x14ac:dyDescent="0.3">
      <c r="A8" s="6">
        <v>7</v>
      </c>
      <c r="B8" s="6" t="s">
        <v>384</v>
      </c>
      <c r="C8" t="e" vm="7">
        <f>IF(ISBLANK(Tabela1[[#This Row],[Image Link]]), "", _xlfn.IMAGE(Tabela1[[#This Row],[Image Link]],1,1))</f>
        <v>#VALUE!</v>
      </c>
      <c r="D8" s="6">
        <f>SUM(Tabela1[[#This Row],[Archery - Men''s Individual Recurve]:[Speed Skating - Women''s Team Pursuit]])</f>
        <v>189</v>
      </c>
      <c r="E8" s="6">
        <f>COUNTIF(Tabela1[[#This Row],[Archery - Men''s Individual Recurve]:[Speed Skating - Women''s Team Pursuit]],"&gt;0")</f>
        <v>142</v>
      </c>
      <c r="F8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Winter Olympics</v>
      </c>
      <c r="G8" s="6">
        <f>SUM(Tabela1[[#This Row],[Archery - Men''s Individual Recurve]:[Wrestling - Women''s Freestyle 76kg]])</f>
        <v>86</v>
      </c>
      <c r="H8" s="6">
        <f>SUM(Tabela1[[#This Row],[Alpine Skiing - Men''s Downhill]:[Speed Skating - Women''s Team Pursuit]])</f>
        <v>103</v>
      </c>
      <c r="I8" s="6">
        <f>Tabela1[[#This Row],[Summer Gold Medals]]+Tabela1[[#This Row],[Winter Gold Medals]]</f>
        <v>14</v>
      </c>
      <c r="J8" s="6">
        <f>Tabela1[[#This Row],[Summer Silver Medals]]+Tabela1[[#This Row],[Winter Silver Medals]]</f>
        <v>14</v>
      </c>
      <c r="K8" s="6">
        <f>Tabela1[[#This Row],[Summer Bronze Medals]]+Tabela1[[#This Row],[Winter Bronze Medals]]</f>
        <v>20</v>
      </c>
      <c r="L8" s="6">
        <f>SUM(Tabela1[[#This Row],[Total Gold Medals]:[Total Bronze Medals]])</f>
        <v>48</v>
      </c>
      <c r="M8" s="6">
        <v>9</v>
      </c>
      <c r="N8" s="6">
        <v>7</v>
      </c>
      <c r="O8" s="6">
        <v>11</v>
      </c>
      <c r="P8" s="6">
        <f>SUM(Tabela1[[#This Row],[Summer Gold Medals]:[Summer Bronze Medals]])</f>
        <v>27</v>
      </c>
      <c r="Q8" s="6">
        <v>5</v>
      </c>
      <c r="R8" s="6">
        <v>7</v>
      </c>
      <c r="S8" s="6">
        <v>9</v>
      </c>
      <c r="T8" s="6">
        <f>Tabela1[[#This Row],[Winter Gold Medals]]+Tabela1[[#This Row],[Winter Silver Medals]]+Tabela1[[#This Row],[Winter Bronze Medals]]</f>
        <v>21</v>
      </c>
      <c r="U8" s="7">
        <f>Tabela1[[#This Row],[Total Medals]]/Tabela1[[#This Row],[Total Quotas]]</f>
        <v>0.25396825396825395</v>
      </c>
      <c r="V8" s="6">
        <f>COUNTIFS(Table3[Country],Tabela1[[#This Row],[Country]],Table3[Recurve Classification],"&gt;0")</f>
        <v>0</v>
      </c>
      <c r="W8" s="6">
        <f>COUNTIFS(Table33[Country],Tabela1[[#This Row],[Country]],Table33[Recurve Classification],"&gt;0")</f>
        <v>0</v>
      </c>
      <c r="X8" s="6">
        <f>COUNTIFS(Table35[Country],Tabela1[[#This Row],[Country]],Table35[Men''s Team Recurve Classification],"&gt;0")</f>
        <v>0</v>
      </c>
      <c r="Y8" s="6">
        <f>COUNTIFS(Table35[Country],Tabela1[[#This Row],[Country]],Table35[Women''s Team Recurve Classification],"&gt;0")</f>
        <v>0</v>
      </c>
      <c r="Z8" s="6">
        <f>COUNTIFS(Tabela88[Country],Tabela1[[#This Row],[Country]],Tabela88[Mixed Team Recurve Classification],"&gt;0")</f>
        <v>0</v>
      </c>
      <c r="AA8" s="6">
        <f>COUNTIFS(Table36[Country],Tabela1[[#This Row],[Country]],Table36[Classification],"&gt;0")</f>
        <v>0</v>
      </c>
      <c r="AB8" s="6">
        <f>COUNTIFS(Table37[Country],Tabela1[[#This Row],[Country]],Table37[Classification],"&gt;0")</f>
        <v>1</v>
      </c>
      <c r="AC8" s="6">
        <f>COUNTIFS(Table4[Country],Tabela1[[#This Row],[Country]],Table4[100m Classification],"&gt;0")</f>
        <v>0</v>
      </c>
      <c r="AD8" s="6">
        <f>COUNTIFS(Table5[Country],Tabela1[[#This Row],[Country]],Table5[100m Classification],"&gt;0")</f>
        <v>0</v>
      </c>
      <c r="AE8" s="6">
        <f>COUNTIFS(Table4[Country],Tabela1[[#This Row],[Country]],Table4[200m Classification],"&gt;0")</f>
        <v>0</v>
      </c>
      <c r="AF8" s="6">
        <f>COUNTIFS(Table5[Country],Tabela1[[#This Row],[Country]],Table5[200m Classification],"&gt;0")</f>
        <v>0</v>
      </c>
      <c r="AG8" s="6">
        <f>COUNTIFS(Table4[Country],Tabela1[[#This Row],[Country]],Table4[400m Classification],"&gt;0")</f>
        <v>0</v>
      </c>
      <c r="AH8" s="6">
        <f>COUNTIFS(Table5[Country],Tabela1[[#This Row],[Country]],Table5[400m Classification],"&gt;0")</f>
        <v>0</v>
      </c>
      <c r="AI8" s="6">
        <f>COUNTIFS(Table4[Country],Tabela1[[#This Row],[Country]],Table4[800m Classification],"&gt;0")</f>
        <v>0</v>
      </c>
      <c r="AJ8" s="6">
        <f>COUNTIFS(Table5[Country],Tabela1[[#This Row],[Country]],Table5[800m Classification],"&gt;0")</f>
        <v>0</v>
      </c>
      <c r="AK8" s="6">
        <f>COUNTIFS(Table4[Country],Tabela1[[#This Row],[Country]],Table4[1500m Classification],"&gt;0")</f>
        <v>1</v>
      </c>
      <c r="AL8" s="6">
        <f>COUNTIFS(Table5[Country],Tabela1[[#This Row],[Country]],Table5[1500m Classification],"&gt;0")</f>
        <v>0</v>
      </c>
      <c r="AM8" s="6">
        <f>COUNTIFS(Table4[Country],Tabela1[[#This Row],[Country]],Table4[5000m Classification],"&gt;0")</f>
        <v>0</v>
      </c>
      <c r="AN8" s="6">
        <f>COUNTIFS(Table5[Country],Tabela1[[#This Row],[Country]],Table5[5000m Classification],"&gt;0")</f>
        <v>1</v>
      </c>
      <c r="AO8" s="6">
        <f>COUNTIFS(Table4[Country],Tabela1[[#This Row],[Country]],Table4[10000m Classification],"&gt;0")</f>
        <v>0</v>
      </c>
      <c r="AP8" s="6">
        <f>COUNTIFS(Table5[Country],Tabela1[[#This Row],[Country]],Table5[10000m Classification],"&gt;0")</f>
        <v>0</v>
      </c>
      <c r="AQ8" s="6">
        <f>COUNTIFS(Table4[Country],Tabela1[[#This Row],[Country]],Table4[110m Hurdles Classification],"&gt;0")</f>
        <v>0</v>
      </c>
      <c r="AR8" s="6">
        <f>COUNTIFS(Table5[Country],Tabela1[[#This Row],[Country]],Table5[100m Hurdles Classification],"&gt;0")</f>
        <v>1</v>
      </c>
      <c r="AS8" s="6">
        <f>COUNTIFS(Table4[Country],Tabela1[[#This Row],[Country]],Table4[400m Hurdles Classification],"&gt;0")</f>
        <v>0</v>
      </c>
      <c r="AT8" s="6">
        <f>COUNTIFS(Table5[Country],Tabela1[[#This Row],[Country]],Table5[400m Hurdles Classification],"&gt;0")</f>
        <v>1</v>
      </c>
      <c r="AU8" s="6">
        <f>COUNTIFS(Table4[Country],Tabela1[[#This Row],[Country]],Table4[3000m Steeplechase Classification],"&gt;0")</f>
        <v>0</v>
      </c>
      <c r="AV8" s="6">
        <f>COUNTIFS(Table5[Country],Tabela1[[#This Row],[Country]],Table5[3000m Steeplechase Classification],"&gt;0")</f>
        <v>2</v>
      </c>
      <c r="AW8" s="6">
        <f>COUNTIFS(Table27[Country],Tabela1[[#This Row],[Country]],Table27[Men''s 4x100m Relay Classification],"&gt;0")</f>
        <v>0</v>
      </c>
      <c r="AX8" s="6">
        <f>COUNTIFS(Table27[Country],Tabela1[[#This Row],[Country]],Table27[Women''s 4x100m Relay Classification],"&gt;0")</f>
        <v>1</v>
      </c>
      <c r="AY8" s="6">
        <f>COUNTIFS(Table27[Country],Tabela1[[#This Row],[Country]],Table27[Men''s 4x400m Relay Classification],"&gt;0")</f>
        <v>0</v>
      </c>
      <c r="AZ8" s="6">
        <f>COUNTIFS(Table27[Country],Tabela1[[#This Row],[Country]],Table27[Women''s 4x400m Relay Classification],"&gt;0")</f>
        <v>1</v>
      </c>
      <c r="BA8" s="6">
        <f>COUNTIFS(Table27[Country],Tabela1[[#This Row],[Country]],Table27[Mixed 4x400m Relay Classification],"&gt;0")</f>
        <v>0</v>
      </c>
      <c r="BB8" s="6">
        <f>COUNTIFS(Table4[Country],Tabela1[[#This Row],[Country]],Table4[Marathon Classification],"&gt;0")</f>
        <v>2</v>
      </c>
      <c r="BC8" s="6">
        <f>COUNTIFS(Table5[Country],Tabela1[[#This Row],[Country]],Table5[Marathon Classification],"&gt;0")</f>
        <v>1</v>
      </c>
      <c r="BD8" s="6">
        <f>COUNTIFS(Table4[Country],Tabela1[[#This Row],[Country]],Table4[20km Race Walk Classification],"&gt;0")</f>
        <v>1</v>
      </c>
      <c r="BE8" s="6">
        <f>COUNTIFS(Table5[Country],Tabela1[[#This Row],[Country]],Table5[20km Race Walk Classification],"&gt;0")</f>
        <v>0</v>
      </c>
      <c r="BF8" s="6">
        <f>COUNTIFS(Tabela96[Country],Tabela1[[#This Row],[Country]],Tabela96[Mixed Marathon Race Walk Relay Classification],"&gt;0")</f>
        <v>1</v>
      </c>
      <c r="BG8" s="6">
        <f>COUNTIFS(Table4[Country],Tabela1[[#This Row],[Country]],Table4[Discus Throw Classification],"&gt;0")</f>
        <v>0</v>
      </c>
      <c r="BH8" s="6">
        <f>COUNTIFS(Table5[Country],Tabela1[[#This Row],[Country]],Table5[Discus Throw Classification],"&gt;0")</f>
        <v>0</v>
      </c>
      <c r="BI8" s="6">
        <f>COUNTIFS(Table4[Country],Tabela1[[#This Row],[Country]],Table4[Hammer Throw Classification],"&gt;0")</f>
        <v>3</v>
      </c>
      <c r="BJ8" s="6">
        <f>COUNTIFS(Table5[Country],Tabela1[[#This Row],[Country]],Table5[Hammer Throw Classification],"&gt;0")</f>
        <v>1</v>
      </c>
      <c r="BK8" s="6">
        <f>COUNTIFS(Table4[Country],Tabela1[[#This Row],[Country]],Table4[High Jump Classification],"&gt;0")</f>
        <v>0</v>
      </c>
      <c r="BL8" s="6">
        <f>COUNTIFS(Table5[Country],Tabela1[[#This Row],[Country]],Table5[High Jump Classification],"&gt;0")</f>
        <v>0</v>
      </c>
      <c r="BM8" s="6">
        <f>COUNTIFS(Table4[Country],Tabela1[[#This Row],[Country]],Table4[Javelin Throw Classification],"&gt;0")</f>
        <v>0</v>
      </c>
      <c r="BN8" s="6">
        <f>COUNTIFS(Table5[Country],Tabela1[[#This Row],[Country]],Table5[Javelin Throw Classification],"&gt;0")</f>
        <v>0</v>
      </c>
      <c r="BO8" s="6">
        <f>COUNTIFS(Table4[Country],Tabela1[[#This Row],[Country]],Table4[Long Jump Classification],"&gt;0")</f>
        <v>0</v>
      </c>
      <c r="BP8" s="6">
        <f>COUNTIFS(Table5[Country],Tabela1[[#This Row],[Country]],Table5[Long Jump Classification],"&gt;0")</f>
        <v>0</v>
      </c>
      <c r="BQ8" s="6">
        <f>COUNTIFS(Table4[Country],Tabela1[[#This Row],[Country]],Table4[Pole Vault Classification],"&gt;0")</f>
        <v>0</v>
      </c>
      <c r="BR8" s="6">
        <f>COUNTIFS(Table5[Country],Tabela1[[#This Row],[Country]],Table5[Pole Vault Classification],"&gt;0")</f>
        <v>0</v>
      </c>
      <c r="BS8" s="6">
        <f>COUNTIFS(Table4[Country],Tabela1[[#This Row],[Country]],Table4[Shot Put Classification],"&gt;0")</f>
        <v>0</v>
      </c>
      <c r="BT8" s="6">
        <f>COUNTIFS(Table5[Country],Tabela1[[#This Row],[Country]],Table5[Shot Put Classification],"&gt;0")</f>
        <v>0</v>
      </c>
      <c r="BU8" s="6">
        <f>COUNTIFS(Table4[Country],Tabela1[[#This Row],[Country]],Table4[Triple Jump Classification],"&gt;0")</f>
        <v>0</v>
      </c>
      <c r="BV8" s="6">
        <f>COUNTIFS(Table5[Country],Tabela1[[#This Row],[Country]],Table5[Triple Jump Classification],"&gt;0")</f>
        <v>0</v>
      </c>
      <c r="BW8" s="6">
        <f>COUNTIFS(Table4[Country],Tabela1[[#This Row],[Country]],Table4[Decathlon Classification],"&gt;0")</f>
        <v>0</v>
      </c>
      <c r="BX8" s="6">
        <f>COUNTIFS(Table5[Country],Tabela1[[#This Row],[Country]],Table5[Heptathlon Classification],"&gt;0")</f>
        <v>0</v>
      </c>
      <c r="BY8" s="6">
        <f>COUNTIFS(Table61[Country],Tabela1[[#This Row],[Country]],Table61[Classification],"&gt;0")</f>
        <v>0</v>
      </c>
      <c r="BZ8" s="6">
        <f>COUNTIFS(Table38[Country],Tabela1[[#This Row],[Country]],Table38[Classification],"&gt;0")</f>
        <v>0</v>
      </c>
      <c r="CA8" s="6">
        <f>COUNTIFS(Table39[Country],Tabela1[[#This Row],[Country]],Table39[Men''s Classification],"&gt;0")</f>
        <v>0</v>
      </c>
      <c r="CB8" s="6">
        <f>COUNTIFS(Table39[Country],Tabela1[[#This Row],[Country]],Table39[Women''s Classification],"&gt;0")</f>
        <v>0</v>
      </c>
      <c r="CC8" s="6">
        <f>COUNTIFS(Table39[Country],Tabela1[[#This Row],[Country]],Table39[Mixed Classification],"&gt;0")</f>
        <v>0</v>
      </c>
      <c r="CD8" s="6">
        <f>COUNTIFS(Table89[Country],Tabela1[[#This Row],[Country]],Table89[Men''s Classification],"&gt;0")</f>
        <v>1</v>
      </c>
      <c r="CE8" s="6">
        <f>COUNTIFS(Table89[Country],Tabela1[[#This Row],[Country]],Table89[Women''s Classification],"&gt;0")</f>
        <v>1</v>
      </c>
      <c r="CF8" s="6">
        <f>COUNTIFS(Table90[Country],Tabela1[[#This Row],[Country]],Table90[Men''s Classification],"&gt;0")</f>
        <v>0</v>
      </c>
      <c r="CG8" s="6">
        <f>COUNTIFS(Table90[Country],Tabela1[[#This Row],[Country]],Table90[Women''s Classification],"&gt;0")</f>
        <v>1</v>
      </c>
      <c r="CH8" s="6">
        <f>COUNTIFS(Table60[Country],Tabela1[[#This Row],[Country]],Table60[Men''s Classification],"&gt;0")</f>
        <v>0</v>
      </c>
      <c r="CI8" s="6">
        <f>COUNTIFS(Table60[Country],Tabela1[[#This Row],[Country]],Table60[Women''s Classification],"&gt;0")</f>
        <v>1</v>
      </c>
      <c r="CJ8" s="6">
        <f>COUNTIFS(Table6[Country],Tabela1[[#This Row],[Country]],Table6[51kg Classification],"&gt;0")</f>
        <v>0</v>
      </c>
      <c r="CK8" s="6">
        <f>COUNTIFS(Table6[Country],Tabela1[[#This Row],[Country]],Table6[57kg Classification],"&gt;0")</f>
        <v>0</v>
      </c>
      <c r="CL8" s="6">
        <f>COUNTIFS(Table6[Country],Tabela1[[#This Row],[Country]],Table6[63.5kg Classification],"&gt;0")</f>
        <v>0</v>
      </c>
      <c r="CM8" s="6">
        <f>COUNTIFS(Table6[Country],Tabela1[[#This Row],[Country]],Table6[71kg Classification],"&gt;0")</f>
        <v>0</v>
      </c>
      <c r="CN8" s="6">
        <f>COUNTIFS(Table6[Country],Tabela1[[#This Row],[Country]],Table6[80kg Classification],"&gt;0")</f>
        <v>0</v>
      </c>
      <c r="CO8" s="6">
        <f>COUNTIFS(Table6[Country],Tabela1[[#This Row],[Country]],Table6[92kg Classification],"&gt;0")</f>
        <v>0</v>
      </c>
      <c r="CP8" s="6">
        <f>COUNTIFS(Table6[Country],Tabela1[[#This Row],[Country]],Table6[Plus 92kg Classification],"&gt;0")</f>
        <v>0</v>
      </c>
      <c r="CQ8" s="6">
        <f>COUNTIFS(Table7[Country],Tabela1[[#This Row],[Country]],Table7[50kg Classification],"&gt;0")</f>
        <v>0</v>
      </c>
      <c r="CR8" s="6">
        <f>COUNTIFS(Table7[Country],Tabela1[[#This Row],[Country]],Table7[54kg Classification],"&gt;0")</f>
        <v>0</v>
      </c>
      <c r="CS8" s="6">
        <f>COUNTIFS(Table7[Country],Tabela1[[#This Row],[Country]],Table7[57kg Classification],"&gt;0")</f>
        <v>0</v>
      </c>
      <c r="CT8" s="6">
        <f>COUNTIFS(Table7[Country],Tabela1[[#This Row],[Country]],Table7[60kg Classification],"&gt;0")</f>
        <v>0</v>
      </c>
      <c r="CU8" s="6">
        <f>COUNTIFS(Table7[Country],Tabela1[[#This Row],[Country]],Table7[66kg Classification],"&gt;0")</f>
        <v>0</v>
      </c>
      <c r="CV8" s="6">
        <f>COUNTIFS(Table7[Country],Tabela1[[#This Row],[Country]],Table7[75kg Classification],"&gt;0")</f>
        <v>0</v>
      </c>
      <c r="CW8" s="6">
        <f>COUNTIFS(Tabela94[Country],Tabela1[[#This Row],[Country]],Tabela94[Classification],"&gt;0")</f>
        <v>0</v>
      </c>
      <c r="CX8" s="6">
        <f>COUNTIFS(Tabela9499[Country],Tabela1[[#This Row],[Country]],Tabela9499[Classification],"&gt;0")</f>
        <v>0</v>
      </c>
      <c r="CY8" s="6">
        <f>COUNTIFS(Tabela107[Country],Tabela1[[#This Row],[Country]],Tabela107[C1 Slalom Classification],"&gt;0")</f>
        <v>1</v>
      </c>
      <c r="CZ8" s="6">
        <f>COUNTIFS(Tabela107122[Country],Tabela1[[#This Row],[Country]],Tabela107122[C1 Slalom Classification],"&gt;0")</f>
        <v>0</v>
      </c>
      <c r="DA8" s="6">
        <f>COUNTIFS(Tabela107[Country],Tabela1[[#This Row],[Country]],Tabela107[K1 Slalom Classification],"&gt;0")</f>
        <v>1</v>
      </c>
      <c r="DB8" s="6">
        <f>COUNTIFS(Tabela107122[Country],Tabela1[[#This Row],[Country]],Tabela107122[K1 Slalom Classification],"&gt;0")</f>
        <v>0</v>
      </c>
      <c r="DC8" s="6">
        <f>COUNTIFS(Tabela107[Country],Tabela1[[#This Row],[Country]],Tabela107[Kayak Cross Slalom Classification],"&gt;0")</f>
        <v>1</v>
      </c>
      <c r="DD8" s="6">
        <f>COUNTIFS(Tabela107122[Country],Tabela1[[#This Row],[Country]],Tabela107122[Kayak Cross Slalom Classification],"&gt;0")</f>
        <v>0</v>
      </c>
      <c r="DE8" s="6">
        <f>COUNTIFS(Table8[Country],Tabela1[[#This Row],[Country]],Table8[C1 200m Classification],"&gt;0")</f>
        <v>1</v>
      </c>
      <c r="DF8" s="6">
        <f>COUNTIFS(Table40[Country],Tabela1[[#This Row],[Country]],Table40[C1 1000m Classification],"&gt;0")</f>
        <v>0</v>
      </c>
      <c r="DG8" s="6">
        <f>COUNTIFS(Table68[Country],Tabela1[[#This Row],[Country]],Table68[Men''s C2 500m Classification],"&gt;0")</f>
        <v>0</v>
      </c>
      <c r="DH8" s="6">
        <f>COUNTIFS(Table68[Country],Tabela1[[#This Row],[Country]],Table68[Women''s C2 500m Classification],"&gt;0")</f>
        <v>0</v>
      </c>
      <c r="DI8" s="6">
        <f>COUNTIFS(Table8[Country],Tabela1[[#This Row],[Country]],Table8[K1 500m Classification],"&gt;0")</f>
        <v>0</v>
      </c>
      <c r="DJ8" s="6">
        <f>COUNTIFS(Table40[Country],Tabela1[[#This Row],[Country]],Table40[K1 1000m Classification],"&gt;0")</f>
        <v>0</v>
      </c>
      <c r="DK8" s="6">
        <f>COUNTIFS(Table68[Country],Tabela1[[#This Row],[Country]],Table68[Men''s K2 500m Classification],"&gt;0")</f>
        <v>0</v>
      </c>
      <c r="DL8" s="6">
        <f>COUNTIFS(Table68[Country],Tabela1[[#This Row],[Country]],Table68[Women''s K2 500m Classification],"&gt;0")</f>
        <v>0</v>
      </c>
      <c r="DM8" s="6">
        <f>COUNTIFS(Table83[Country],Tabela1[[#This Row],[Country]],Table83[Men''s K4 500m Classification],"&gt;0")</f>
        <v>0</v>
      </c>
      <c r="DN8" s="6">
        <f>COUNTIFS(Table83[Country],Tabela1[[#This Row],[Country]],Table83[Women''s K4 500m Classification],"&gt;0")</f>
        <v>0</v>
      </c>
      <c r="DO8" s="6">
        <f>COUNTIFS(Tabela126[Country],Tabela1[[#This Row],[Country]],Tabela126[Classification],"&gt;0")</f>
        <v>0</v>
      </c>
      <c r="DP8" s="6">
        <f>COUNTIFS(Tabela126130[Country],Tabela1[[#This Row],[Country]],Tabela126130[Classification],"&gt;0")</f>
        <v>0</v>
      </c>
      <c r="DQ8" s="6">
        <f>COUNTIFS(Table70[Country],Tabela1[[#This Row],[Country]],Table70[Classification],"&gt;0")</f>
        <v>0</v>
      </c>
      <c r="DR8" s="6">
        <f>COUNTIFS(Table80[Country],Tabela1[[#This Row],[Country]],Table80[Classification],"&gt;0")</f>
        <v>1</v>
      </c>
      <c r="DS8" s="6">
        <f>COUNTIFS(Table66[Country],Tabela1[[#This Row],[Country]],Table66[Classification],"&gt;0")</f>
        <v>0</v>
      </c>
      <c r="DT8" s="6">
        <f>COUNTIFS(Table67[Country],Tabela1[[#This Row],[Country]],Table67[Classification],"&gt;0")</f>
        <v>0</v>
      </c>
      <c r="DU8" s="6">
        <f>COUNTIFS(Table69[Country],Tabela1[[#This Row],[Country]],Table69[Keirin Classification],"&gt;0")</f>
        <v>0</v>
      </c>
      <c r="DV8" s="6">
        <f>COUNTIFS(Table41[Country],Tabela1[[#This Row],[Country]],Table41[Keirin Classification],"&gt;0")</f>
        <v>0</v>
      </c>
      <c r="DW8" s="6">
        <f>COUNTIFS(Table84[Country],Tabela1[[#This Row],[Country]],Table84[Men''s Madison Classification],"&gt;0")</f>
        <v>0</v>
      </c>
      <c r="DX8" s="6">
        <f>COUNTIFS(Table84[Country],Tabela1[[#This Row],[Country]],Table84[Women''s Madison Classification],"&gt;0")</f>
        <v>1</v>
      </c>
      <c r="DY8" s="6">
        <f>COUNTIFS(Table69[Country],Tabela1[[#This Row],[Country]],Table69[Omnium Classification],"&gt;0")</f>
        <v>0</v>
      </c>
      <c r="DZ8" s="6">
        <f>COUNTIFS(Table41[Country],Tabela1[[#This Row],[Country]],Table41[Omnium Classification],"&gt;0")</f>
        <v>1</v>
      </c>
      <c r="EA8" s="6">
        <f>COUNTIFS(Table9[Country],Tabela1[[#This Row],[Country]],Table9[Road Race Classification],"&gt;0")</f>
        <v>0</v>
      </c>
      <c r="EB8" s="6">
        <f>COUNTIFS(Table14[Country],Tabela1[[#This Row],[Country]],Table14[Road Race Classification],"&gt;0")</f>
        <v>1</v>
      </c>
      <c r="EC8" s="6">
        <f>COUNTIFS(Table69[Country],Tabela1[[#This Row],[Country]],Table69[Sprint Classification],"&gt;0")</f>
        <v>0</v>
      </c>
      <c r="ED8" s="6">
        <f>COUNTIFS(Table41[Country],Tabela1[[#This Row],[Country]],Table41[Sprint Classification],"&gt;0")</f>
        <v>0</v>
      </c>
      <c r="EE8" s="6">
        <f>COUNTIFS(Table85[Country],Tabela1[[#This Row],[Country]],Table85[Men''s Sprint Classification],"&gt;0")</f>
        <v>0</v>
      </c>
      <c r="EF8" s="6">
        <f>COUNTIFS(Table85[Country],Tabela1[[#This Row],[Country]],Table85[Women''s Sprint Classification],"&gt;0")</f>
        <v>1</v>
      </c>
      <c r="EG8" s="6">
        <f>COUNTIFS(Table85[Country],Tabela1[[#This Row],[Country]],Table85[Men''s Pursuit Classification],"&gt;0")</f>
        <v>0</v>
      </c>
      <c r="EH8" s="6">
        <f>COUNTIFS(Table85[Country],Tabela1[[#This Row],[Country]],Table85[Women''s Pursuit Classification],"&gt;0")</f>
        <v>1</v>
      </c>
      <c r="EI8" s="6">
        <f>COUNTIFS(Table9[Country],Tabela1[[#This Row],[Country]],Table9[Time-Trial Classification],"&gt;0")</f>
        <v>0</v>
      </c>
      <c r="EJ8" s="6">
        <f>COUNTIFS(Table14[Country],Tabela1[[#This Row],[Country]],Table14[Time-Trial Classification],"&gt;0")</f>
        <v>0</v>
      </c>
      <c r="EK8" s="6">
        <f>COUNTIFS(Table42[Country],Tabela1[[#This Row],[Country]],Table42[Springboard Classification],"&gt;0")</f>
        <v>0</v>
      </c>
      <c r="EL8" s="6">
        <f>COUNTIFS(Table43[Country],Tabela1[[#This Row],[Country]],Table43[Springboard Classification],"&gt;0")</f>
        <v>1</v>
      </c>
      <c r="EM8" s="6">
        <f>COUNTIFS(Table42[Country],Tabela1[[#This Row],[Country]],Table42[Platform Classification],"&gt;0")</f>
        <v>1</v>
      </c>
      <c r="EN8" s="6">
        <f>COUNTIFS(Table43[Country],Tabela1[[#This Row],[Country]],Table43[Platform Classification],"&gt;0")</f>
        <v>1</v>
      </c>
      <c r="EO8" s="6">
        <f>COUNTIFS(Table86[Country],Tabela1[[#This Row],[Country]],Table86[Men''s Synchronized Springboard Classification],"&gt;0")</f>
        <v>0</v>
      </c>
      <c r="EP8" s="6">
        <f>COUNTIFS(Table86[Country],Tabela1[[#This Row],[Country]],Table86[Women''s Synchronized Springboard Classification],"&gt;0")</f>
        <v>0</v>
      </c>
      <c r="EQ8" s="6">
        <f>COUNTIFS(Table86[Country],Tabela1[[#This Row],[Country]],Table86[Men''s Synchronized Platform Classification],"&gt;0")</f>
        <v>1</v>
      </c>
      <c r="ER8" s="6">
        <f>COUNTIFS(Table86[Country],Tabela1[[#This Row],[Country]],Table86[Women''s Synchronized Platform Classification],"&gt;0")</f>
        <v>1</v>
      </c>
      <c r="ES8" s="6">
        <f>COUNTIFS(Table44[Country],Tabela1[[#This Row],[Country]],Table44[Dressage Classification],"&gt;0")</f>
        <v>0</v>
      </c>
      <c r="ET8" s="6">
        <f>COUNTIFS(Table45[Country],Tabela1[[#This Row],[Country]],Table45[Dressage Classification],"&gt;0")</f>
        <v>0</v>
      </c>
      <c r="EU8" s="6">
        <f>COUNTIFS(Table44[Country],Tabela1[[#This Row],[Country]],Table44[Eventing Classification],"&gt;0")</f>
        <v>0</v>
      </c>
      <c r="EV8" s="6">
        <f>COUNTIFS(Table45[Country],Tabela1[[#This Row],[Country]],Table45[Eventing Classification],"&gt;0")</f>
        <v>0</v>
      </c>
      <c r="EW8" s="6">
        <f>COUNTIFS(Table44[Country],Tabela1[[#This Row],[Country]],Table44[Jumping Classification],"&gt;0")</f>
        <v>1</v>
      </c>
      <c r="EX8" s="6">
        <f>COUNTIFS(Table45[Country],Tabela1[[#This Row],[Country]],Table45[Jumping Classification],"&gt;0")</f>
        <v>0</v>
      </c>
      <c r="EY8" s="6">
        <f>COUNTIFS(Table10[Country],Tabela1[[#This Row],[Country]],Table10[Épée Classification],"&gt;0")</f>
        <v>1</v>
      </c>
      <c r="EZ8" s="6">
        <f>COUNTIFS(Table11[Country],Tabela1[[#This Row],[Country]],Table11[Épée Classification],"&gt;0")</f>
        <v>0</v>
      </c>
      <c r="FA8" s="6">
        <f>COUNTIFS(Table46[Country],Tabela1[[#This Row],[Country]],Table46[Men''s Épée Classification],"&gt;0")</f>
        <v>0</v>
      </c>
      <c r="FB8" s="6">
        <f>COUNTIFS(Table46[Country],Tabela1[[#This Row],[Country]],Table46[Women''s Épée Classification],"&gt;0")</f>
        <v>0</v>
      </c>
      <c r="FC8" s="6">
        <f>COUNTIFS(Table10[Country],Tabela1[[#This Row],[Country]],Table10[Foil Classification],"&gt;0")</f>
        <v>2</v>
      </c>
      <c r="FD8" s="6">
        <f>COUNTIFS(Table11[Country],Tabela1[[#This Row],[Country]],Table11[Foil Classification],"&gt;0")</f>
        <v>0</v>
      </c>
      <c r="FE8" s="6">
        <f>COUNTIFS(Table46[Country],Tabela1[[#This Row],[Country]],Table46[Men''s Foil Classification],"&gt;0")</f>
        <v>1</v>
      </c>
      <c r="FF8" s="6">
        <f>COUNTIFS(Table46[Country],Tabela1[[#This Row],[Country]],Table46[Women''s Foil Classification],"&gt;0")</f>
        <v>0</v>
      </c>
      <c r="FG8" s="6">
        <f>COUNTIFS(Table10[Country],Tabela1[[#This Row],[Country]],Table10[Sabre Classification],"&gt;0")</f>
        <v>2</v>
      </c>
      <c r="FH8" s="6">
        <f>COUNTIFS(Table11[Country],Tabela1[[#This Row],[Country]],Table11[Sabre Classification],"&gt;0")</f>
        <v>0</v>
      </c>
      <c r="FI8" s="6">
        <f>COUNTIFS(Table46[Country],Tabela1[[#This Row],[Country]],Table46[Men''s Sabre Classification],"&gt;0")</f>
        <v>1</v>
      </c>
      <c r="FJ8" s="6">
        <f>COUNTIFS(Table46[Country],Tabela1[[#This Row],[Country]],Table46[Women''s Sabre Classification],"&gt;0")</f>
        <v>0</v>
      </c>
      <c r="FK8" s="6">
        <f>COUNTIFS(Table91[Country],Tabela1[[#This Row],[Country]],Table91[Men''s Classification],"&gt;0")</f>
        <v>0</v>
      </c>
      <c r="FL8" s="6">
        <f>COUNTIFS(Table91[Country],Tabela1[[#This Row],[Country]],Table91[Women''s Classification],"&gt;0")</f>
        <v>0</v>
      </c>
      <c r="FM8" s="6">
        <f>COUNTIFS(Table9194[Country],Tabela1[[#This Row],[Country]],Table9194[Men''s Classification],"&gt;0")</f>
        <v>0</v>
      </c>
      <c r="FN8" s="6">
        <f>COUNTIFS(Table9194[Country],Tabela1[[#This Row],[Country]],Table9194[Women''s Classification],"&gt;0")</f>
        <v>1</v>
      </c>
      <c r="FO8" s="6">
        <f>COUNTIFS(Table71[Country],Tabela1[[#This Row],[Country]],Table71[Classification],"&gt;0")</f>
        <v>0</v>
      </c>
      <c r="FP8" s="6">
        <f>COUNTIFS(Table62[Country],Tabela1[[#This Row],[Country]],Table62[Classification],"&gt;0")</f>
        <v>0</v>
      </c>
      <c r="FQ8" s="6">
        <f>COUNTIFS(Table47[Country],Tabela1[[#This Row],[Country]],Table47[All-Around Classification],"&gt;0")</f>
        <v>0</v>
      </c>
      <c r="FR8" s="6">
        <f>COUNTIFS(Table48[Country],Tabela1[[#This Row],[Country]],Table48[All-Around Classification],"&gt;0")</f>
        <v>0</v>
      </c>
      <c r="FS8" s="6">
        <f>COUNTIFS(Table81[Country],Tabela1[[#This Row],[Country]],Table81[Men''s All-Around Classification],"&gt;0")</f>
        <v>1</v>
      </c>
      <c r="FT8" s="6">
        <f>COUNTIFS(Table81[Country],Tabela1[[#This Row],[Country]],Table81[Women''s All-Around Classification],"&gt;0")</f>
        <v>1</v>
      </c>
      <c r="FU8" s="6">
        <f>COUNTIFS(Table48[Country],Tabela1[[#This Row],[Country]],Table48[Balance Beam Classification],"&gt;0")</f>
        <v>0</v>
      </c>
      <c r="FV8" s="6">
        <f>COUNTIFS(Table47[Country],Tabela1[[#This Row],[Country]],Table47[Floor Exercise Classification],"&gt;0")</f>
        <v>0</v>
      </c>
      <c r="FW8" s="6">
        <f>COUNTIFS(Table48[Country],Tabela1[[#This Row],[Country]],Table48[Floor Exercise Classification],"&gt;0")</f>
        <v>0</v>
      </c>
      <c r="FX8" s="6">
        <f>COUNTIFS(Table47[Country],Tabela1[[#This Row],[Country]],Table47[Horizontal Bar Classification],"&gt;0")</f>
        <v>0</v>
      </c>
      <c r="FY8" s="6">
        <f>COUNTIFS(Table47[Country],Tabela1[[#This Row],[Country]],Table47[Parallel Bars Classification],"&gt;0")</f>
        <v>1</v>
      </c>
      <c r="FZ8" s="6">
        <f>COUNTIFS(Table47[Country],Tabela1[[#This Row],[Country]],Table47[Pommel Horse Classification],"&gt;0")</f>
        <v>1</v>
      </c>
      <c r="GA8" s="6">
        <f>COUNTIFS(Table47[Country],Tabela1[[#This Row],[Country]],Table47[Rings Classification],"&gt;0")</f>
        <v>0</v>
      </c>
      <c r="GB8" s="6">
        <f>COUNTIFS(Tabela132[Country],Tabela1[[#This Row],[Country]],Tabela132[Classification],"&gt;0")</f>
        <v>0</v>
      </c>
      <c r="GC8" s="6">
        <f>COUNTIFS(Tabela139[Country],Tabela1[[#This Row],[Country]],Tabela139[Classification],"&gt;0")</f>
        <v>0</v>
      </c>
      <c r="GD8" s="6">
        <f>COUNTIFS(Table48[Country],Tabela1[[#This Row],[Country]],Table48[Uneven Bars Classification],"&gt;0")</f>
        <v>0</v>
      </c>
      <c r="GE8" s="6">
        <f>COUNTIFS(Table47[Country],Tabela1[[#This Row],[Country]],Table47[Vault Classification],"&gt;0")</f>
        <v>0</v>
      </c>
      <c r="GF8" s="6">
        <f>COUNTIFS(Table48[Country],Tabela1[[#This Row],[Country]],Table48[Vault Classification],"&gt;0")</f>
        <v>1</v>
      </c>
      <c r="GG8" s="6">
        <f>COUNTIFS(Table919496[Country],Tabela1[[#This Row],[Country]],Table919496[Men''s Classification],"&gt;0")</f>
        <v>0</v>
      </c>
      <c r="GH8" s="6">
        <f>COUNTIFS(Table919496[Country],Tabela1[[#This Row],[Country]],Table919496[Women''s Classification],"&gt;0")</f>
        <v>0</v>
      </c>
      <c r="GI8" s="6">
        <f>COUNTIFS(Table12[Country],Tabela1[[#This Row],[Country]],Table12[60kg Classification],"&gt;0")</f>
        <v>0</v>
      </c>
      <c r="GJ8" s="6">
        <f>COUNTIFS(Table12[Country],Tabela1[[#This Row],[Country]],Table12[66kg Classification],"&gt;0")</f>
        <v>0</v>
      </c>
      <c r="GK8" s="6">
        <f>COUNTIFS(Table12[Country],Tabela1[[#This Row],[Country]],Table12[73kg Classification],"&gt;0")</f>
        <v>0</v>
      </c>
      <c r="GL8" s="6">
        <f>COUNTIFS(Table12[Country],Tabela1[[#This Row],[Country]],Table12[81kg Classification],"&gt;0")</f>
        <v>0</v>
      </c>
      <c r="GM8" s="6">
        <f>COUNTIFS(Table12[Country],Tabela1[[#This Row],[Country]],Table12[90kg Classification],"&gt;0")</f>
        <v>0</v>
      </c>
      <c r="GN8" s="6">
        <f>COUNTIFS(Table12[Country],Tabela1[[#This Row],[Country]],Table12[100kg Classification],"&gt;0")</f>
        <v>0</v>
      </c>
      <c r="GO8" s="6">
        <f>COUNTIFS(Table12[Country],Tabela1[[#This Row],[Country]],Table12[Plus 100kg Classification],"&gt;0")</f>
        <v>0</v>
      </c>
      <c r="GP8" s="6">
        <f>COUNTIFS(Table13[Country],Tabela1[[#This Row],[Country]],Table13[48kg Classification],"&gt;0")</f>
        <v>0</v>
      </c>
      <c r="GQ8" s="6">
        <f>COUNTIFS(Table13[Country],Tabela1[[#This Row],[Country]],Table13[52kg Classification],"&gt;0")</f>
        <v>0</v>
      </c>
      <c r="GR8" s="6">
        <f>COUNTIFS(Table13[Country],Tabela1[[#This Row],[Country]],Table13[57kg Classification],"&gt;0")</f>
        <v>0</v>
      </c>
      <c r="GS8" s="6">
        <f>COUNTIFS(Table13[Country],Tabela1[[#This Row],[Country]],Table13[63kg Classification],"&gt;0")</f>
        <v>0</v>
      </c>
      <c r="GT8" s="6">
        <f>COUNTIFS(Table13[Country],Tabela1[[#This Row],[Country]],Table13[70kg Classification],"&gt;0")</f>
        <v>0</v>
      </c>
      <c r="GU8" s="6">
        <f>COUNTIFS(Table13[Country],Tabela1[[#This Row],[Country]],Table13[78kg Classification],"&gt;0")</f>
        <v>0</v>
      </c>
      <c r="GV8" s="6">
        <f>COUNTIFS(Table13[Country],Tabela1[[#This Row],[Country]],Table13[Plus 78kg Classification],"&gt;0")</f>
        <v>0</v>
      </c>
      <c r="GW8" s="6">
        <f>COUNTIFS(Table82[Country],Tabela1[[#This Row],[Country]],Table82[Mixed Classification],"&gt;0")</f>
        <v>0</v>
      </c>
      <c r="GX8" s="6">
        <f>COUNTIFS(Table51[Country],Tabela1[[#This Row],[Country]],Table51[Classification],"&gt;0")</f>
        <v>0</v>
      </c>
      <c r="GY8" s="6">
        <f>COUNTIFS(Table52[Country],Tabela1[[#This Row],[Country]],Table52[Classification],"&gt;0")</f>
        <v>0</v>
      </c>
      <c r="GZ8" s="6">
        <f>COUNTIFS(Table32[Country],Tabela1[[#This Row],[Country]],Table32[All-Around Classification],"&gt;0")</f>
        <v>0</v>
      </c>
      <c r="HA8" s="6">
        <f>COUNTIFS(Table49[Country],Tabela1[[#This Row],[Country]],Table49[All-Around Classification],"&gt;0")</f>
        <v>0</v>
      </c>
      <c r="HB8" s="6">
        <f>COUNTIFS(Table26[Country],Tabela1[[#This Row],[Country]],Table26[Single Sculls Classification],"&gt;0")</f>
        <v>0</v>
      </c>
      <c r="HC8" s="6">
        <f>COUNTIFS(Table63[Country],Tabela1[[#This Row],[Country]],Table63[Single Sculls Classification],"&gt;0")</f>
        <v>0</v>
      </c>
      <c r="HD8" s="6">
        <f>COUNTIFS(Table16[Country],Tabela1[[#This Row],[Country]],Table16[Men''s Double Sculls Classification],"&gt;0")</f>
        <v>0</v>
      </c>
      <c r="HE8" s="6">
        <f>COUNTIFS(Table16[Country],Tabela1[[#This Row],[Country]],Table16[Women''s Double Sculls Classification],"&gt;0")</f>
        <v>0</v>
      </c>
      <c r="HF8" s="6">
        <f>COUNTIFS(Table72[Country],Tabela1[[#This Row],[Country]],Table72[Men''s Quadruple Sculls Classification],"&gt;0")</f>
        <v>0</v>
      </c>
      <c r="HG8" s="6">
        <f>COUNTIFS(Table72[Country],Tabela1[[#This Row],[Country]],Table72[Women''s Quadruple Sculls Classification],"&gt;0")</f>
        <v>0</v>
      </c>
      <c r="HH8" s="6">
        <f>COUNTIFS(Table16[Country],Tabela1[[#This Row],[Country]],Table16[Men''s Coxless Pairs Classification],"&gt;0")</f>
        <v>0</v>
      </c>
      <c r="HI8" s="6">
        <f>COUNTIFS(Table16[Country],Tabela1[[#This Row],[Country]],Table16[Women''s Coxless Pairs Classification],"&gt;0")</f>
        <v>0</v>
      </c>
      <c r="HJ8" s="6">
        <f>COUNTIFS(Table72[Country],Tabela1[[#This Row],[Country]],Table72[Men''s Coxless Fours Classification],"&gt;0")</f>
        <v>0</v>
      </c>
      <c r="HK8" s="6">
        <f>COUNTIFS(Table72[Country],Tabela1[[#This Row],[Country]],Table72[Women''s Coxless Fours Classification],"&gt;0")</f>
        <v>0</v>
      </c>
      <c r="HL8" s="6">
        <f>COUNTIFS(Table72[Country],Tabela1[[#This Row],[Country]],Table72[Men''s Eights Classification],"&gt;0")</f>
        <v>0</v>
      </c>
      <c r="HM8" s="6">
        <f>COUNTIFS(Table72[Country],Tabela1[[#This Row],[Country]],Table72[Women''s Eights Classification],"&gt;0")</f>
        <v>1</v>
      </c>
      <c r="HN8" s="6">
        <f>COUNTIFS(Table16[Country],Tabela1[[#This Row],[Country]],Table16[Men''s Lwt. Double Sculls Classification],"&gt;0")</f>
        <v>0</v>
      </c>
      <c r="HO8" s="6">
        <f>COUNTIFS(Table16[Country],Tabela1[[#This Row],[Country]],Table16[Women''s Lwt. Double Sculls Classification],"&gt;0")</f>
        <v>0</v>
      </c>
      <c r="HP8" s="6">
        <f>COUNTIFS(Table91949698[Country],Tabela1[[#This Row],[Country]],Table91949698[Men''s Classification],"&gt;0")</f>
        <v>0</v>
      </c>
      <c r="HQ8" s="6">
        <f>COUNTIFS(Table91949698[Country],Tabela1[[#This Row],[Country]],Table91949698[Women''s Classification],"&gt;0")</f>
        <v>1</v>
      </c>
      <c r="HR8" s="6">
        <f>COUNTIFS(Table25[Country],Tabela1[[#This Row],[Country]],Table25[Mixed 470 Classification],"&gt;0")</f>
        <v>0</v>
      </c>
      <c r="HS8" s="6">
        <f>COUNTIFS(Table25[Country],Tabela1[[#This Row],[Country]],Table25[Men''s 49er Classification],"&gt;0")</f>
        <v>0</v>
      </c>
      <c r="HT8" s="6">
        <f>COUNTIFS(Table25[Country],Tabela1[[#This Row],[Country]],Table25[Women''s 49er FX Classification],"&gt;0")</f>
        <v>0</v>
      </c>
      <c r="HU8" s="6">
        <f>COUNTIFS(Table17[Country],Tabela1[[#This Row],[Country]],Table17[Formula Kite Classification],"&gt;0")</f>
        <v>0</v>
      </c>
      <c r="HV8" s="6">
        <f>COUNTIFS(Table18[Country],Tabela1[[#This Row],[Country]],Table18[Formula Kite Classification],"&gt;0")</f>
        <v>1</v>
      </c>
      <c r="HW8" s="6">
        <f>COUNTIFS(Table17[Country],Tabela1[[#This Row],[Country]],Table17[ILCA 7 Classification],"&gt;0")</f>
        <v>0</v>
      </c>
      <c r="HX8" s="6">
        <f>COUNTIFS(Table18[Country],Tabela1[[#This Row],[Country]],Table18[ILCA 6 Classification],"&gt;0")</f>
        <v>0</v>
      </c>
      <c r="HY8" s="6">
        <f>COUNTIFS(Table17[Country],Tabela1[[#This Row],[Country]],Table17[IQFoil Classification],"&gt;0")</f>
        <v>0</v>
      </c>
      <c r="HZ8" s="6">
        <f>COUNTIFS(Table18[Country],Tabela1[[#This Row],[Country]],Table18[IQFoil Classification],"&gt;0")</f>
        <v>0</v>
      </c>
      <c r="IA8" s="6">
        <f>COUNTIFS(Table25[Country],Tabela1[[#This Row],[Country]],Table25[Mixed Nacra 17 Classification],"&gt;0")</f>
        <v>0</v>
      </c>
      <c r="IB8" s="6">
        <f>COUNTIFS(Table53[Country],Tabela1[[#This Row],[Country]],Table53[10m Air Pistol Classification],"&gt;0")</f>
        <v>0</v>
      </c>
      <c r="IC8" s="6">
        <f>COUNTIFS(Table19[Country],Tabela1[[#This Row],[Country]],Table19[10m Air Pistol Classification],"&gt;0")</f>
        <v>0</v>
      </c>
      <c r="ID8" s="6">
        <f>COUNTIFS(Table54[Country],Tabela1[[#This Row],[Country]],Table54[Mixed 10m Air Pistol Team Classification],"&gt;0")</f>
        <v>0</v>
      </c>
      <c r="IE8" s="6">
        <f>COUNTIFS(Table53[Country],Tabela1[[#This Row],[Country]],Table53[10m Air Rifle Classification],"&gt;0")</f>
        <v>1</v>
      </c>
      <c r="IF8" s="6">
        <f>COUNTIFS(Table19[Country],Tabela1[[#This Row],[Country]],Table19[10m Air Rifle Classification],"&gt;0")</f>
        <v>0</v>
      </c>
      <c r="IG8" s="6">
        <f>COUNTIFS(Table54[Country],Tabela1[[#This Row],[Country]],Table54[Mixed 10m Air Rifle Team Classification],"&gt;0")</f>
        <v>0</v>
      </c>
      <c r="IH8" s="6">
        <f>COUNTIFS(Table53[Country],Tabela1[[#This Row],[Country]],Table53[25m Rapid Fire Pistol Classification],"&gt;0")</f>
        <v>0</v>
      </c>
      <c r="II8" s="6">
        <f>COUNTIFS(Table19[Country],Tabela1[[#This Row],[Country]],Table19[25m Pistol Classification],"&gt;0")</f>
        <v>0</v>
      </c>
      <c r="IJ8" s="6">
        <f>COUNTIFS(Table53[Country],Tabela1[[#This Row],[Country]],Table53[50m Rifle 3 Positions Classification],"&gt;0")</f>
        <v>1</v>
      </c>
      <c r="IK8" s="6">
        <f>COUNTIFS(Table19[Country],Tabela1[[#This Row],[Country]],Table19[50m Rifle 3 Positions Classification],"&gt;0")</f>
        <v>0</v>
      </c>
      <c r="IL8" s="6">
        <f>COUNTIFS(Table53[Country],Tabela1[[#This Row],[Country]],Table53[Skeet Classification],"&gt;0")</f>
        <v>0</v>
      </c>
      <c r="IM8" s="6">
        <f>COUNTIFS(Table19[Country],Tabela1[[#This Row],[Country]],Table19[Skeet Classification],"&gt;0")</f>
        <v>0</v>
      </c>
      <c r="IN8" s="6">
        <f>COUNTIFS(Table54[Country],Tabela1[[#This Row],[Country]],Table54[Mixed Skeet Team Classification],"&gt;0")</f>
        <v>0</v>
      </c>
      <c r="IO8" s="6">
        <f>COUNTIFS(Table53[Country],Tabela1[[#This Row],[Country]],Table53[Trap Classification],"&gt;0")</f>
        <v>0</v>
      </c>
      <c r="IP8" s="6">
        <f>COUNTIFS(Table19[Country],Tabela1[[#This Row],[Country]],Table19[Trap Classification],"&gt;0")</f>
        <v>0</v>
      </c>
      <c r="IQ8" s="6">
        <f>COUNTIFS(Table73[Country],Tabela1[[#This Row],[Country]],Table73[Park Classification],"&gt;0")</f>
        <v>0</v>
      </c>
      <c r="IR8" s="6">
        <f>COUNTIFS(Table74[Country],Tabela1[[#This Row],[Country]],Table74[Park Classification],"&gt;0")</f>
        <v>0</v>
      </c>
      <c r="IS8" s="6">
        <f>COUNTIFS(Table73[Country],Tabela1[[#This Row],[Country]],Table73[Street Classification],"&gt;0")</f>
        <v>2</v>
      </c>
      <c r="IT8" s="6">
        <f>COUNTIFS(Table74[Country],Tabela1[[#This Row],[Country]],Table74[Street Classification],"&gt;0")</f>
        <v>0</v>
      </c>
      <c r="IU8" s="6">
        <f>COUNTIFS(Table75[Country],Tabela1[[#This Row],[Country]],Table75[Boulder and Lead Classification],"&gt;0")</f>
        <v>0</v>
      </c>
      <c r="IV8" s="6">
        <f>COUNTIFS(Table76[Country],Tabela1[[#This Row],[Country]],Table76[Boulder and Lead Classification],"&gt;0")</f>
        <v>0</v>
      </c>
      <c r="IW8" s="6">
        <f>COUNTIFS(Table75[Country],Tabela1[[#This Row],[Country]],Table75[Speed Classification],"&gt;0")</f>
        <v>0</v>
      </c>
      <c r="IX8" s="6">
        <f>COUNTIFS(Table76[Country],Tabela1[[#This Row],[Country]],Table76[Speed Classification],"&gt;0")</f>
        <v>0</v>
      </c>
      <c r="IY8" s="6">
        <f>COUNTIFS(Table64[Country],Tabela1[[#This Row],[Country]],Table64[Shortboard Classification],"&gt;0")</f>
        <v>0</v>
      </c>
      <c r="IZ8" s="6">
        <f>COUNTIFS(Table77[Country],Tabela1[[#This Row],[Country]],Table77[Shortboard Classification],"&gt;0")</f>
        <v>1</v>
      </c>
      <c r="JA8" s="6">
        <f>COUNTIFS(Table20[Country],Tabela1[[#This Row],[Country]],Table20[50m Freestyle Classification],"&gt;0")</f>
        <v>0</v>
      </c>
      <c r="JB8" s="6">
        <f>COUNTIFS(Table21[Country],Tabela1[[#This Row],[Country]],Table21[50m Freestyle Classification],"&gt;0")</f>
        <v>1</v>
      </c>
      <c r="JC8" s="6">
        <f>COUNTIFS(Table20[Country],Tabela1[[#This Row],[Country]],Table20[100m Freestyle Classification],"&gt;0")</f>
        <v>1</v>
      </c>
      <c r="JD8" s="6">
        <f>COUNTIFS(Table21[Country],Tabela1[[#This Row],[Country]],Table21[100m Freestyle Classification],"&gt;0")</f>
        <v>1</v>
      </c>
      <c r="JE8" s="6">
        <f>COUNTIFS(Table20[Country],Tabela1[[#This Row],[Country]],Table20[200m Freestyle Classification],"&gt;0")</f>
        <v>0</v>
      </c>
      <c r="JF8" s="6">
        <f>COUNTIFS(Table21[Country],Tabela1[[#This Row],[Country]],Table21[200m Freestyle Classification],"&gt;0")</f>
        <v>0</v>
      </c>
      <c r="JG8" s="6">
        <f>COUNTIFS(Table20[Country],Tabela1[[#This Row],[Country]],Table20[400m Freestyle Classification],"&gt;0")</f>
        <v>0</v>
      </c>
      <c r="JH8" s="6">
        <f>COUNTIFS(Table21[Country],Tabela1[[#This Row],[Country]],Table21[400m Freestyle Classification],"&gt;0")</f>
        <v>0</v>
      </c>
      <c r="JI8" s="6">
        <f>COUNTIFS(Table20[Country],Tabela1[[#This Row],[Country]],Table20[800m Freestyle Classification],"&gt;0")</f>
        <v>0</v>
      </c>
      <c r="JJ8" s="6">
        <f>COUNTIFS(Table21[Country],Tabela1[[#This Row],[Country]],Table21[800m Freestyle Classification],"&gt;0")</f>
        <v>0</v>
      </c>
      <c r="JK8" s="6">
        <f>COUNTIFS(Table20[Country],Tabela1[[#This Row],[Country]],Table20[1500m Freestyle Classification],"&gt;0")</f>
        <v>0</v>
      </c>
      <c r="JL8" s="6">
        <f>COUNTIFS(Table21[Country],Tabela1[[#This Row],[Country]],Table21[1500m Freestyle Classification],"&gt;0")</f>
        <v>0</v>
      </c>
      <c r="JM8" s="6">
        <f>COUNTIFS(Table20[Country],Tabela1[[#This Row],[Country]],Table20[100m Backstroke Classification],"&gt;0")</f>
        <v>0</v>
      </c>
      <c r="JN8" s="6">
        <f>COUNTIFS(Table21[Country],Tabela1[[#This Row],[Country]],Table21[100m Backstroke Classification],"&gt;0")</f>
        <v>1</v>
      </c>
      <c r="JO8" s="6">
        <f>COUNTIFS(Table20[Country],Tabela1[[#This Row],[Country]],Table20[200m Backstroke Classification],"&gt;0")</f>
        <v>0</v>
      </c>
      <c r="JP8" s="6">
        <f>COUNTIFS(Table21[Country],Tabela1[[#This Row],[Country]],Table21[200m Backstroke Classification],"&gt;0")</f>
        <v>0</v>
      </c>
      <c r="JQ8" s="6">
        <f>COUNTIFS(Table20[Country],Tabela1[[#This Row],[Country]],Table20[100m Breaststroke Classification],"&gt;0")</f>
        <v>0</v>
      </c>
      <c r="JR8" s="6">
        <f>COUNTIFS(Table21[Country],Tabela1[[#This Row],[Country]],Table21[100m Breaststroke Classification],"&gt;0")</f>
        <v>0</v>
      </c>
      <c r="JS8" s="6">
        <f>COUNTIFS(Table20[Country],Tabela1[[#This Row],[Country]],Table20[200m Breaststroke Classification],"&gt;0")</f>
        <v>0</v>
      </c>
      <c r="JT8" s="6">
        <f>COUNTIFS(Table21[Country],Tabela1[[#This Row],[Country]],Table21[200m Breaststroke Classification],"&gt;0")</f>
        <v>2</v>
      </c>
      <c r="JU8" s="6">
        <f>COUNTIFS(Table20[Country],Tabela1[[#This Row],[Country]],Table20[100m Butterfly Classification],"&gt;0")</f>
        <v>0</v>
      </c>
      <c r="JV8" s="6">
        <f>COUNTIFS(Table21[Country],Tabela1[[#This Row],[Country]],Table21[100m Butterfly Classification],"&gt;0")</f>
        <v>2</v>
      </c>
      <c r="JW8" s="6">
        <f>COUNTIFS(Table20[Country],Tabela1[[#This Row],[Country]],Table20[200m Butterfly Classification],"&gt;0")</f>
        <v>0</v>
      </c>
      <c r="JX8" s="6">
        <f>COUNTIFS(Table21[Country],Tabela1[[#This Row],[Country]],Table21[200m Butterfly Classification],"&gt;0")</f>
        <v>0</v>
      </c>
      <c r="JY8" s="6">
        <f>COUNTIFS(Table20[Country],Tabela1[[#This Row],[Country]],Table20[200m Medley Classification],"&gt;0")</f>
        <v>1</v>
      </c>
      <c r="JZ8" s="6">
        <f>COUNTIFS(Table21[Country],Tabela1[[#This Row],[Country]],Table21[200m Medley Classification],"&gt;0")</f>
        <v>1</v>
      </c>
      <c r="KA8" s="6">
        <f>COUNTIFS(Table20[Country],Tabela1[[#This Row],[Country]],Table20[400m Medley Classification],"&gt;0")</f>
        <v>0</v>
      </c>
      <c r="KB8" s="6">
        <f>COUNTIFS(Table21[Country],Tabela1[[#This Row],[Country]],Table21[400m Medley Classification],"&gt;0")</f>
        <v>0</v>
      </c>
      <c r="KC8" s="6">
        <f>COUNTIFS(Table78[Country],Tabela1[[#This Row],[Country]],Table78[Men''s 4x100m Freestyle Relay Classification],"&gt;0")</f>
        <v>1</v>
      </c>
      <c r="KD8" s="6">
        <f>COUNTIFS(Table78[Country],Tabela1[[#This Row],[Country]],Table78[Women''s 4x100m Freestyle Relay Classification],"&gt;0")</f>
        <v>1</v>
      </c>
      <c r="KE8" s="6">
        <f>COUNTIFS(Table78[Country],Tabela1[[#This Row],[Country]],Table78[Men''s 4x200m Freestyle Relay Classification],"&gt;0")</f>
        <v>1</v>
      </c>
      <c r="KF8" s="6">
        <f>COUNTIFS(Table78[Country],Tabela1[[#This Row],[Country]],Table78[Women''s 4x200m Freestyle Relay Classification],"&gt;0")</f>
        <v>1</v>
      </c>
      <c r="KG8" s="6">
        <f>COUNTIFS(Table78[Country],Tabela1[[#This Row],[Country]],Table78[Men''s 4x100m Medley Relay Classification],"&gt;0")</f>
        <v>1</v>
      </c>
      <c r="KH8" s="6">
        <f>COUNTIFS(Table78[Country],Tabela1[[#This Row],[Country]],Table78[Women''s 4x100m Medley Relay Classification],"&gt;0")</f>
        <v>1</v>
      </c>
      <c r="KI8" s="6">
        <f>COUNTIFS(Table78[Country],Tabela1[[#This Row],[Country]],Table78[Mixed 4x100m Medley Relay Classification],"&gt;0")</f>
        <v>1</v>
      </c>
      <c r="KJ8" s="6">
        <f>COUNTIFS(Table20[Country],Tabela1[[#This Row],[Country]],Table20[10km Open Water Classification],"&gt;0")</f>
        <v>0</v>
      </c>
      <c r="KK8" s="6">
        <f>COUNTIFS(Table21[Country],Tabela1[[#This Row],[Country]],Table21[10km Open Water Classification],"&gt;0")</f>
        <v>1</v>
      </c>
      <c r="KL8" s="6">
        <f>COUNTIFS(Table22[Country],Tabela1[[#This Row],[Country]],Table22[Classification],"&gt;0")</f>
        <v>1</v>
      </c>
      <c r="KM8" s="6">
        <f>COUNTIFS(Table30[Country],Tabela1[[#This Row],[Country]],Table30[Classification],"&gt;0")</f>
        <v>1</v>
      </c>
      <c r="KN8" s="6">
        <f>COUNTIFS(Table55[Country],Tabela1[[#This Row],[Country]],Table55[Men''s Classification],"&gt;0")</f>
        <v>1</v>
      </c>
      <c r="KO8" s="6">
        <f>COUNTIFS(Table55[Country],Tabela1[[#This Row],[Country]],Table55[Women''s Classification],"&gt;0")</f>
        <v>0</v>
      </c>
      <c r="KP8" s="6">
        <f>COUNTIFS(Table56[Country],Tabela1[[#This Row],[Country]],Table56[Mixed Classification],"&gt;0")</f>
        <v>0</v>
      </c>
      <c r="KQ8" s="6">
        <f>COUNTIFS(Table29[Country],Tabela1[[#This Row],[Country]],Table29[58kg Classification],"&gt;0")</f>
        <v>0</v>
      </c>
      <c r="KR8" s="6">
        <f>COUNTIFS(Table29[Country],Tabela1[[#This Row],[Country]],Table29[68kg Classification],"&gt;0")</f>
        <v>0</v>
      </c>
      <c r="KS8" s="6">
        <f>COUNTIFS(Table29[Country],Tabela1[[#This Row],[Country]],Table29[80kg Classification],"&gt;0")</f>
        <v>0</v>
      </c>
      <c r="KT8" s="6">
        <f>COUNTIFS(Table29[Country],Tabela1[[#This Row],[Country]],Table29[Plus 80kg Classification],"&gt;0")</f>
        <v>0</v>
      </c>
      <c r="KU8" s="6">
        <f>COUNTIFS(Table34[Country],Tabela1[[#This Row],[Country]],Table34[49kg Classification],"&gt;0")</f>
        <v>1</v>
      </c>
      <c r="KV8" s="6">
        <f>COUNTIFS(Table34[Country],Tabela1[[#This Row],[Country]],Table34[57kg Classification],"&gt;0")</f>
        <v>0</v>
      </c>
      <c r="KW8" s="6">
        <f>COUNTIFS(Table34[Country],Tabela1[[#This Row],[Country]],Table34[67kg Classification],"&gt;0")</f>
        <v>0</v>
      </c>
      <c r="KX8" s="6">
        <f>COUNTIFS(Table34[Country],Tabela1[[#This Row],[Country]],Table34[Plus 67kg Classification],"&gt;0")</f>
        <v>0</v>
      </c>
      <c r="KY8" s="6">
        <f>COUNTIFS(Table57[Country],Tabela1[[#This Row],[Country]],Table57[Classification],"&gt;0")</f>
        <v>0</v>
      </c>
      <c r="KZ8" s="6">
        <f>COUNTIFS(Table58[Country],Tabela1[[#This Row],[Country]],Table58[Classification],"&gt;0")</f>
        <v>0</v>
      </c>
      <c r="LA8" s="6">
        <f>COUNTIFS(Table79[Country],Tabela1[[#This Row],[Country]],Table79[Men''s Classification],"&gt;0")</f>
        <v>0</v>
      </c>
      <c r="LB8" s="6">
        <f>COUNTIFS(Table79[Country],Tabela1[[#This Row],[Country]],Table79[Women''s Classification],"&gt;0")</f>
        <v>0</v>
      </c>
      <c r="LC8" s="6">
        <f>COUNTIFS(Table79[Country],Tabela1[[#This Row],[Country]],Table79[Mixed Classification],"&gt;0")</f>
        <v>0</v>
      </c>
      <c r="LD8" s="6">
        <f>COUNTIFS(Table65[Country],Tabela1[[#This Row],[Country]],Table65[Classification],"&gt;0")</f>
        <v>0</v>
      </c>
      <c r="LE8" s="6">
        <f>COUNTIFS(Table59[Country],Tabela1[[#This Row],[Country]],Table59[Classification],"&gt;0")</f>
        <v>0</v>
      </c>
      <c r="LF8" s="6">
        <f>COUNTIFS(Table87[Country],Tabela1[[#This Row],[Country]],Table87[Mixed Relay Classification],"&gt;0")</f>
        <v>0</v>
      </c>
      <c r="LG8" s="6">
        <f>COUNTIFS(Table91949698100[Country],Tabela1[[#This Row],[Country]],Table91949698100[Men''s Classification],"&gt;0")</f>
        <v>1</v>
      </c>
      <c r="LH8" s="6">
        <f>COUNTIFS(Table91949698100[Country],Tabela1[[#This Row],[Country]],Table91949698100[Women''s Classification],"&gt;0")</f>
        <v>0</v>
      </c>
      <c r="LI8" s="6">
        <f>COUNTIFS(Table91949698100102[Country],Tabela1[[#This Row],[Country]],Table91949698100102[Men''s Classification],"&gt;0")</f>
        <v>0</v>
      </c>
      <c r="LJ8" s="6">
        <f>COUNTIFS(Table91949698100102[Country],Tabela1[[#This Row],[Country]],Table91949698100102[Women''s Classification],"&gt;0")</f>
        <v>1</v>
      </c>
      <c r="LK8" s="6">
        <f>COUNTIFS(Table23[Country],Tabela1[[#This Row],[Country]],Table23[61kg Classification],"&gt;0")</f>
        <v>0</v>
      </c>
      <c r="LL8" s="6">
        <f>COUNTIFS(Table23[Country],Tabela1[[#This Row],[Country]],Table23[73kg Classification],"&gt;0")</f>
        <v>0</v>
      </c>
      <c r="LM8" s="6">
        <f>COUNTIFS(Table23[Country],Tabela1[[#This Row],[Country]],Table23[89kg Classification],"&gt;0")</f>
        <v>0</v>
      </c>
      <c r="LN8" s="6">
        <f>COUNTIFS(Table23[Country],Tabela1[[#This Row],[Country]],Table23[102kg Classification],"&gt;0")</f>
        <v>0</v>
      </c>
      <c r="LO8" s="6">
        <f>COUNTIFS(Table23[Country],Tabela1[[#This Row],[Country]],Table23[Plus 102kg Classification],"&gt;0")</f>
        <v>0</v>
      </c>
      <c r="LP8" s="6">
        <f>COUNTIFS(Table28[Country],Tabela1[[#This Row],[Country]],Table28[49kg Classification],"&gt;0")</f>
        <v>0</v>
      </c>
      <c r="LQ8" s="6">
        <f>COUNTIFS(Table28[Country],Tabela1[[#This Row],[Country]],Table28[59kg Classification],"&gt;0")</f>
        <v>0</v>
      </c>
      <c r="LR8" s="6">
        <f>COUNTIFS(Table28[Country],Tabela1[[#This Row],[Country]],Table28[71kg Classification],"&gt;0")</f>
        <v>0</v>
      </c>
      <c r="LS8" s="6">
        <f>COUNTIFS(Table28[Country],Tabela1[[#This Row],[Country]],Table28[81kg Classification],"&gt;0")</f>
        <v>0</v>
      </c>
      <c r="LT8" s="6">
        <f>COUNTIFS(Table28[Country],Tabela1[[#This Row],[Country]],Table28[Plus 81kg Classification],"&gt;0")</f>
        <v>0</v>
      </c>
      <c r="LU8" s="6">
        <f>COUNTIFS(Table24[Country],Tabela1[[#This Row],[Country]],Table24[Freestyle 57kg Classification],"&gt;0")</f>
        <v>0</v>
      </c>
      <c r="LV8" s="6">
        <f>COUNTIFS(Table24[Country],Tabela1[[#This Row],[Country]],Table24[Freestyle 65kg Classification],"&gt;0")</f>
        <v>0</v>
      </c>
      <c r="LW8" s="6">
        <f>COUNTIFS(Table24[Country],Tabela1[[#This Row],[Country]],Table24[Freestyle 74kg Classification],"&gt;0")</f>
        <v>0</v>
      </c>
      <c r="LX8" s="6">
        <f>COUNTIFS(Table24[Country],Tabela1[[#This Row],[Country]],Table24[Freestyle 86kg Classification],"&gt;0")</f>
        <v>0</v>
      </c>
      <c r="LY8" s="6">
        <f>COUNTIFS(Table24[Country],Tabela1[[#This Row],[Country]],Table24[Freestyle 97kg Classification],"&gt;0")</f>
        <v>0</v>
      </c>
      <c r="LZ8" s="6">
        <f>COUNTIFS(Table24[Country],Tabela1[[#This Row],[Country]],Table24[Freestyle 125kg Classification],"&gt;0")</f>
        <v>1</v>
      </c>
      <c r="MA8" s="6">
        <f>COUNTIFS(Table24[Country],Tabela1[[#This Row],[Country]],Table24[Greco-Roman 60kg Classification],"&gt;0")</f>
        <v>0</v>
      </c>
      <c r="MB8" s="6">
        <f>COUNTIFS(Table24[Country],Tabela1[[#This Row],[Country]],Table24[Greco-Roman 67kg Classification],"&gt;0")</f>
        <v>0</v>
      </c>
      <c r="MC8" s="6">
        <f>COUNTIFS(Table24[Country],Tabela1[[#This Row],[Country]],Table24[Greco-Roman 77kg Classification],"&gt;0")</f>
        <v>0</v>
      </c>
      <c r="MD8" s="6">
        <f>COUNTIFS(Table24[Country],Tabela1[[#This Row],[Country]],Table24[Greco-Roman 87kg Classification],"&gt;0")</f>
        <v>0</v>
      </c>
      <c r="ME8" s="6">
        <f>COUNTIFS(Table24[Country],Tabela1[[#This Row],[Country]],Table24[Greco-Roman 97kg Classification],"&gt;0")</f>
        <v>0</v>
      </c>
      <c r="MF8" s="6">
        <f>COUNTIFS(Table24[Country],Tabela1[[#This Row],[Country]],Table24[Greco-Roman 130kg Classification],"&gt;0")</f>
        <v>0</v>
      </c>
      <c r="MG8" s="6">
        <f>COUNTIFS(Table31[Country],Tabela1[[#This Row],[Country]],Table31[50kg Classification],"&gt;0")</f>
        <v>0</v>
      </c>
      <c r="MH8" s="6">
        <f>COUNTIFS(Table31[Country],Tabela1[[#This Row],[Country]],Table31[53kg Classification],"&gt;0")</f>
        <v>0</v>
      </c>
      <c r="MI8" s="6">
        <f>COUNTIFS(Table31[Country],Tabela1[[#This Row],[Country]],Table31[57kg Classification],"&gt;0")</f>
        <v>1</v>
      </c>
      <c r="MJ8" s="6">
        <f>COUNTIFS(Table31[Country],Tabela1[[#This Row],[Country]],Table31[62kg Classification],"&gt;0")</f>
        <v>0</v>
      </c>
      <c r="MK8" s="6">
        <f>COUNTIFS(Table31[Country],Tabela1[[#This Row],[Country]],Table31[68kg Classification],"&gt;0")</f>
        <v>0</v>
      </c>
      <c r="ML8" s="6">
        <f>COUNTIFS(Table31[Country],Tabela1[[#This Row],[Country]],Table31[76kg Classification],"&gt;0")</f>
        <v>1</v>
      </c>
      <c r="MM8" s="6">
        <f>COUNTIFS(Table102[Country],Tabela1[[#This Row],[Country]],Table102[Downhill Classification],"&gt;0")</f>
        <v>3</v>
      </c>
      <c r="MN8" s="6">
        <f>COUNTIFS(Table102105[Country],Tabela1[[#This Row],[Country]],Table102105[Downhill Classification],"&gt;0")</f>
        <v>1</v>
      </c>
      <c r="MO8" s="6">
        <f>COUNTIFS(Table102[Country],Tabela1[[#This Row],[Country]],Table102[Giant Slalom Classification],"&gt;0")</f>
        <v>0</v>
      </c>
      <c r="MP8" s="6">
        <f>COUNTIFS(Table102105[Country],Tabela1[[#This Row],[Country]],Table102105[Giant Slalom Classification],"&gt;0")</f>
        <v>2</v>
      </c>
      <c r="MQ8" s="6">
        <f>COUNTIFS(Table102[Country],Tabela1[[#This Row],[Country]],Table102[Slalom Classification],"&gt;0")</f>
        <v>0</v>
      </c>
      <c r="MR8" s="6">
        <f>COUNTIFS(Table102105[Country],Tabela1[[#This Row],[Country]],Table102105[Slalom Classification],"&gt;0")</f>
        <v>2</v>
      </c>
      <c r="MS8" s="6">
        <f>COUNTIFS(Table102[Country],Tabela1[[#This Row],[Country]],Table102[Super-G Classification],"&gt;0")</f>
        <v>3</v>
      </c>
      <c r="MT8" s="6">
        <f>COUNTIFS(Table102105[Country],Tabela1[[#This Row],[Country]],Table102105[Super-G Classification],"&gt;0")</f>
        <v>1</v>
      </c>
      <c r="MU8" s="6">
        <f>COUNTIFS(Table105[Country],Tabela1[[#This Row],[Country]],Table105[Men''s Combined Classification],"&gt;0")</f>
        <v>0</v>
      </c>
      <c r="MV8" s="6">
        <f>COUNTIFS(Table105[Country],Tabela1[[#This Row],[Country]],Table105[Women''s Combined Classification],"&gt;0")</f>
        <v>1</v>
      </c>
      <c r="MW8" s="6">
        <f>COUNTIFS(Table106[Country],Tabela1[[#This Row],[Country]],Table106[Individual Classification],"&gt;0")</f>
        <v>3</v>
      </c>
      <c r="MX8" s="6">
        <f>COUNTIFS(Table106109[Country],Tabela1[[#This Row],[Country]],Table106109[Individual Classification],"&gt;0")</f>
        <v>2</v>
      </c>
      <c r="MY8" s="6">
        <f>COUNTIFS(Table106[Country],Tabela1[[#This Row],[Country]],Table106[Mass Start Classification],"&gt;0")</f>
        <v>0</v>
      </c>
      <c r="MZ8" s="6">
        <f>COUNTIFS(Table106109[Country],Tabela1[[#This Row],[Country]],Table106109[Mass Start Classification],"&gt;0")</f>
        <v>0</v>
      </c>
      <c r="NA8" s="6">
        <f>COUNTIFS(Table106[Country],Tabela1[[#This Row],[Country]],Table106[Pursuit Classification],"&gt;0")</f>
        <v>2</v>
      </c>
      <c r="NB8" s="6">
        <f>COUNTIFS(Table106109[Country],Tabela1[[#This Row],[Country]],Table106109[Pursuit Classification],"&gt;0")</f>
        <v>1</v>
      </c>
      <c r="NC8" s="6">
        <f>COUNTIFS(Table106[Country],Tabela1[[#This Row],[Country]],Table106[Sprint Classification],"&gt;0")</f>
        <v>3</v>
      </c>
      <c r="ND8" s="6">
        <f>COUNTIFS(Table106109[Country],Tabela1[[#This Row],[Country]],Table106109[Sprint Classification],"&gt;0")</f>
        <v>3</v>
      </c>
      <c r="NE8" s="6">
        <f>COUNTIFS(Table109[Country],Tabela1[[#This Row],[Country]],Table109[Men''s Relay Classification],"&gt;0")</f>
        <v>1</v>
      </c>
      <c r="NF8" s="6">
        <f>COUNTIFS(Table109[Country],Tabela1[[#This Row],[Country]],Table109[Women''s Relay Classification],"&gt;0")</f>
        <v>1</v>
      </c>
      <c r="NG8" s="6">
        <f>COUNTIFS(Table109[Country],Tabela1[[#This Row],[Country]],Table109[Mixed Relay Classification],"&gt;0")</f>
        <v>1</v>
      </c>
      <c r="NH8" s="6">
        <f>COUNTIFS(Table110[Country],Tabela1[[#This Row],[Country]],Table110[Monobob Classification],"&gt;0")</f>
        <v>1</v>
      </c>
      <c r="NI8" s="6">
        <f>COUNTIFS(Table111[Country],Tabela1[[#This Row],[Country]],Table111[Men''s Classification],"&gt;0")</f>
        <v>1</v>
      </c>
      <c r="NJ8" s="6">
        <f>COUNTIFS(Table111[Country],Tabela1[[#This Row],[Country]],Table111[Women''s Classification],"&gt;0")</f>
        <v>2</v>
      </c>
      <c r="NK8" s="6">
        <f>COUNTIFS(Table112[Country],Tabela1[[#This Row],[Country]],Table112[Men''s Four Classification],"&gt;0")</f>
        <v>2</v>
      </c>
      <c r="NL8" s="6">
        <f>COUNTIFS(Table113[Country],Tabela1[[#This Row],[Country]],Table113[Classical Classification],"&gt;0")</f>
        <v>1</v>
      </c>
      <c r="NM8" s="6">
        <f>COUNTIFS(Table113116[Country],Tabela1[[#This Row],[Country]],Table113116[Classical Classification],"&gt;0")</f>
        <v>3</v>
      </c>
      <c r="NN8" s="6">
        <f>COUNTIFS(Table113[Country],Tabela1[[#This Row],[Country]],Table113[Freestyle Classification],"&gt;0")</f>
        <v>2</v>
      </c>
      <c r="NO8" s="6">
        <f>COUNTIFS(Table113116[Country],Tabela1[[#This Row],[Country]],Table113116[Freestyle Classification],"&gt;0")</f>
        <v>1</v>
      </c>
      <c r="NP8" s="6">
        <f>COUNTIFS(Table117[Country],Tabela1[[#This Row],[Country]],Table117[Men''s Relay Classification],"&gt;0")</f>
        <v>1</v>
      </c>
      <c r="NQ8" s="6">
        <f>COUNTIFS(Table117[Country],Tabela1[[#This Row],[Country]],Table117[Women''s Relay Classification],"&gt;0")</f>
        <v>1</v>
      </c>
      <c r="NR8" s="6">
        <f>COUNTIFS(Table113[Country],Tabela1[[#This Row],[Country]],Table113[Skiathlon Classification],"&gt;0")</f>
        <v>2</v>
      </c>
      <c r="NS8" s="6">
        <f>COUNTIFS(Table113116[Country],Tabela1[[#This Row],[Country]],Table113116[Skiathlon Classification],"&gt;0")</f>
        <v>2</v>
      </c>
      <c r="NT8" s="6">
        <f>COUNTIFS(Table113[Country],Tabela1[[#This Row],[Country]],Table113[Sprint Classification],"&gt;0")</f>
        <v>3</v>
      </c>
      <c r="NU8" s="6">
        <f>COUNTIFS(Table113116[Country],Tabela1[[#This Row],[Country]],Table113116[Sprint Classification],"&gt;0")</f>
        <v>2</v>
      </c>
      <c r="NV8" s="6">
        <f>COUNTIFS(Table116[Country],Tabela1[[#This Row],[Country]],Table116[Men''s Team Sprint Classification],"&gt;0")</f>
        <v>1</v>
      </c>
      <c r="NW8" s="6">
        <f>COUNTIFS(Table116[Country],Tabela1[[#This Row],[Country]],Table116[Women''s Team Sprint Classification],"&gt;0")</f>
        <v>0</v>
      </c>
      <c r="NX8" s="6">
        <f>COUNTIFS(Table119[Country],Tabela1[[#This Row],[Country]],Table119[Men''s Classification],"&gt;0")</f>
        <v>1</v>
      </c>
      <c r="NY8" s="6">
        <f>COUNTIFS(Table119[Country],Tabela1[[#This Row],[Country]],Table119[Women''s Classification],"&gt;0")</f>
        <v>1</v>
      </c>
      <c r="NZ8" s="6">
        <f>COUNTIFS(Table118[Country],Tabela1[[#This Row],[Country]],Table118[Mixed Classification],"&gt;0")</f>
        <v>1</v>
      </c>
      <c r="OA8" s="6">
        <f>COUNTIFS(Table120[Country],Tabela1[[#This Row],[Country]],Table120[Classification],"&gt;0")</f>
        <v>0</v>
      </c>
      <c r="OB8" s="6">
        <f>COUNTIFS(Table120123[Country],Tabela1[[#This Row],[Country]],Table120123[Classification],"&gt;0")</f>
        <v>0</v>
      </c>
      <c r="OC8" s="6">
        <f>COUNTIFS(Table123[Country],Tabela1[[#This Row],[Country]],Table123[Ice Dance Classification],"&gt;0")</f>
        <v>0</v>
      </c>
      <c r="OD8" s="6">
        <f>COUNTIFS(Table123[Country],Tabela1[[#This Row],[Country]],Table123[Pair Skating Classification],"&gt;0")</f>
        <v>0</v>
      </c>
      <c r="OE8" s="6">
        <f>COUNTIFS(Table124[Country],Tabela1[[#This Row],[Country]],Table124[Mixed Classification],"&gt;0")</f>
        <v>0</v>
      </c>
      <c r="OF8" s="6">
        <f>COUNTIFS(Table125[Country],Tabela1[[#This Row],[Country]],Table125[Aerials Classification],"&gt;0")</f>
        <v>0</v>
      </c>
      <c r="OG8" s="6">
        <f>COUNTIFS(Table125128[Country],Tabela1[[#This Row],[Country]],Table125128[Aerials Classification],"&gt;0")</f>
        <v>0</v>
      </c>
      <c r="OH8" s="6">
        <f>COUNTIFS(Table128[Country],Tabela1[[#This Row],[Country]],Table128[Mixed Aerials Classification],"&gt;0")</f>
        <v>0</v>
      </c>
      <c r="OI8" s="6">
        <f>COUNTIFS(Table125[Country],Tabela1[[#This Row],[Country]],Table125[Big Air Classification],"&gt;0")</f>
        <v>0</v>
      </c>
      <c r="OJ8" s="6">
        <f>COUNTIFS(Table125128[Country],Tabela1[[#This Row],[Country]],Table125128[Big Air Classification],"&gt;0")</f>
        <v>2</v>
      </c>
      <c r="OK8" s="6">
        <f>COUNTIFS(Table125[Country],Tabela1[[#This Row],[Country]],Table125[Dual Moguls Classification],"&gt;0")</f>
        <v>0</v>
      </c>
      <c r="OL8" s="6">
        <f>COUNTIFS(Table125128[Country],Tabela1[[#This Row],[Country]],Table125128[Dual Moguls Classification],"&gt;0")</f>
        <v>2</v>
      </c>
      <c r="OM8" s="6">
        <f>COUNTIFS(Table125[Country],Tabela1[[#This Row],[Country]],Table125[Halfpipe Classification],"&gt;0")</f>
        <v>3</v>
      </c>
      <c r="ON8" s="6">
        <f>COUNTIFS(Table125128[Country],Tabela1[[#This Row],[Country]],Table125128[Halfpipe Classification],"&gt;0")</f>
        <v>2</v>
      </c>
      <c r="OO8" s="6">
        <f>COUNTIFS(Table125[Country],Tabela1[[#This Row],[Country]],Table125[Moguls Classification],"&gt;0")</f>
        <v>0</v>
      </c>
      <c r="OP8" s="6">
        <f>COUNTIFS(Table125128[Country],Tabela1[[#This Row],[Country]],Table125128[Moguls Classification],"&gt;0")</f>
        <v>2</v>
      </c>
      <c r="OQ8" s="6">
        <f>COUNTIFS(Table125[Country],Tabela1[[#This Row],[Country]],Table125[Ski Cross Classification],"&gt;0")</f>
        <v>2</v>
      </c>
      <c r="OR8" s="6">
        <f>COUNTIFS(Table125128[Country],Tabela1[[#This Row],[Country]],Table125128[Ski Cross Classification],"&gt;0")</f>
        <v>1</v>
      </c>
      <c r="OS8" s="6">
        <f>COUNTIFS(Table125[Country],Tabela1[[#This Row],[Country]],Table125[Slopestyle Classification],"&gt;0")</f>
        <v>0</v>
      </c>
      <c r="OT8" s="6">
        <f>COUNTIFS(Table125128[Country],Tabela1[[#This Row],[Country]],Table125128[Slopestyle Classification],"&gt;0")</f>
        <v>2</v>
      </c>
      <c r="OU8" s="6">
        <f>COUNTIFS(Table119131[Country],Tabela1[[#This Row],[Country]],Table119131[Men''s Classification],"&gt;0")</f>
        <v>1</v>
      </c>
      <c r="OV8" s="6">
        <f>COUNTIFS(Table119131[Country],Tabela1[[#This Row],[Country]],Table119131[Women''s Classification],"&gt;0")</f>
        <v>1</v>
      </c>
      <c r="OW8" s="6">
        <f>COUNTIFS(Table131[Country],Tabela1[[#This Row],[Country]],Table131[Classification],"&gt;0")</f>
        <v>0</v>
      </c>
      <c r="OX8" s="6">
        <f>COUNTIFS(Table131134[Country],Tabela1[[#This Row],[Country]],Table131134[Classification],"&gt;0")</f>
        <v>2</v>
      </c>
      <c r="OY8" s="6">
        <f>COUNTIFS(Table134[Country],Tabela1[[#This Row],[Country]],Table134[Men''s Classification],"&gt;0")</f>
        <v>1</v>
      </c>
      <c r="OZ8" s="6">
        <f>COUNTIFS(Table134[Country],Tabela1[[#This Row],[Country]],Table134[Women''s Classification],"&gt;0")</f>
        <v>1</v>
      </c>
      <c r="PA8" s="6">
        <f>COUNTIFS(Table135[Country],Tabela1[[#This Row],[Country]],Table135[Mixed Relay Classification],"&gt;0")</f>
        <v>0</v>
      </c>
      <c r="PB8" s="6">
        <f>COUNTIFS(Table136[Country],Tabela1[[#This Row],[Country]],Table136[Individual Classification],"&gt;0")</f>
        <v>0</v>
      </c>
      <c r="PC8" s="6">
        <f>COUNTIFS(Table136[Country],Tabela1[[#This Row],[Country]],Table136[Sprint Classification],"&gt;0")</f>
        <v>0</v>
      </c>
      <c r="PD8" s="6">
        <f>COUNTIFS(Table137[Country],Tabela1[[#This Row],[Country]],Table137[Men''s Team Sprint Large Hill Classification],"&gt;0")</f>
        <v>0</v>
      </c>
      <c r="PE8" s="6">
        <f>COUNTIFS(Table138[Country],Tabela1[[#This Row],[Country]],Table138[500m Classification],"&gt;0")</f>
        <v>0</v>
      </c>
      <c r="PF8" s="6">
        <f>COUNTIFS(Table138141[Country],Tabela1[[#This Row],[Country]],Table138141[500m Classification],"&gt;0")</f>
        <v>0</v>
      </c>
      <c r="PG8" s="6">
        <f>COUNTIFS(Table138[Country],Tabela1[[#This Row],[Country]],Table138[1000m Classification],"&gt;0")</f>
        <v>0</v>
      </c>
      <c r="PH8" s="6">
        <f>COUNTIFS(Table138141[Country],Tabela1[[#This Row],[Country]],Table138141[1000m Classification],"&gt;0")</f>
        <v>0</v>
      </c>
      <c r="PI8" s="6">
        <f>COUNTIFS(Table138[Country],Tabela1[[#This Row],[Country]],Table138[1500m Classification],"&gt;0")</f>
        <v>0</v>
      </c>
      <c r="PJ8" s="6">
        <f>COUNTIFS(Table138141[Country],Tabela1[[#This Row],[Country]],Table138141[1500m Classification],"&gt;0")</f>
        <v>0</v>
      </c>
      <c r="PK8" s="6">
        <f>COUNTIFS(Table141[Country],Tabela1[[#This Row],[Country]],Table141[Men''s 5000m Relay Classification],"&gt;0")</f>
        <v>0</v>
      </c>
      <c r="PL8" s="6">
        <f>COUNTIFS(Table141[Country],Tabela1[[#This Row],[Country]],Table141[Women''s 3000m Relay Classification],"&gt;0")</f>
        <v>0</v>
      </c>
      <c r="PM8" s="6">
        <f>COUNTIFS(Table141[Country],Tabela1[[#This Row],[Country]],Table141[Mixed 2000m Relay Classification],"&gt;0")</f>
        <v>0</v>
      </c>
      <c r="PN8" s="6">
        <f>COUNTIFS(Table142[Country],Tabela1[[#This Row],[Country]],Table142[Classification],"&gt;0")</f>
        <v>1</v>
      </c>
      <c r="PO8" s="6">
        <f>COUNTIFS(Table142145[Country],Tabela1[[#This Row],[Country]],Table142145[Classification],"&gt;0")</f>
        <v>1</v>
      </c>
      <c r="PP8" s="6">
        <f>COUNTIFS(Tabela15[Country],Tabela1[[#This Row],[Country]],Tabela15[Mixed Team Classification],"&gt;0")</f>
        <v>1</v>
      </c>
      <c r="PQ8" s="6">
        <f>COUNTIFS(Table145[Country],Tabela1[[#This Row],[Country]],Table145[Large Hill Classification],"&gt;0")</f>
        <v>0</v>
      </c>
      <c r="PR8" s="6">
        <f>COUNTIFS(Table145[Country],Tabela1[[#This Row],[Country]],Table145[Normal Hill Classification],"&gt;0")</f>
        <v>0</v>
      </c>
      <c r="PS8" s="6">
        <f>COUNTIFS(Table145148[Country],Tabela1[[#This Row],[Country]],Table145148[Large Hill Classification],"&gt;0")</f>
        <v>2</v>
      </c>
      <c r="PT8" s="6">
        <f>COUNTIFS(Table145148[Country],Tabela1[[#This Row],[Country]],Table145148[Normal Hill Classification],"&gt;0")</f>
        <v>3</v>
      </c>
      <c r="PU8" s="6">
        <f>COUNTIFS(Table148[Country],Tabela1[[#This Row],[Country]],Table148[Men''s Super Team Classification],"&gt;0")</f>
        <v>0</v>
      </c>
      <c r="PV8" s="6">
        <f>COUNTIFS(Tabela114[Country],Tabela1[[#This Row],[Country]],Tabela114[Mixed Normal Hill Classification],"&gt;0")</f>
        <v>0</v>
      </c>
      <c r="PW8" s="6">
        <f>COUNTIFS(Tabela50[Country],Tabela1[[#This Row],[Country]],Tabela50[Sprint Classification],"&gt;0")</f>
        <v>0</v>
      </c>
      <c r="PX8" s="6">
        <f>COUNTIFS(Tabela50101[Country],Tabela1[[#This Row],[Country]],Tabela50101[Sprint Classification],"&gt;0")</f>
        <v>0</v>
      </c>
      <c r="PY8" s="6">
        <f>COUNTIFS(Tabela103[Country],Tabela1[[#This Row],[Country]],Tabela103[Mixed Relay Classification],"&gt;0")</f>
        <v>0</v>
      </c>
      <c r="PZ8" s="6">
        <f>COUNTIFS(Table149[Country],Tabela1[[#This Row],[Country]],Table149[Big Air Classification],"&gt;0")</f>
        <v>0</v>
      </c>
      <c r="QA8" s="6">
        <f>COUNTIFS(Table149152[Country],Tabela1[[#This Row],[Country]],Table149152[Big Air Classification],"&gt;0")</f>
        <v>1</v>
      </c>
      <c r="QB8" s="6">
        <f>COUNTIFS(Table149[Country],Tabela1[[#This Row],[Country]],Table149[Halfpipe Classification],"&gt;0")</f>
        <v>0</v>
      </c>
      <c r="QC8" s="6">
        <f>COUNTIFS(Table149152[Country],Tabela1[[#This Row],[Country]],Table149152[Halfpipe Classification],"&gt;0")</f>
        <v>2</v>
      </c>
      <c r="QD8" s="6">
        <f>COUNTIFS(Table149[Country],Tabela1[[#This Row],[Country]],Table149[Parallel Giant Slalom Classification],"&gt;0")</f>
        <v>0</v>
      </c>
      <c r="QE8" s="6">
        <f>COUNTIFS(Table149152[Country],Tabela1[[#This Row],[Country]],Table149152[Parallel Giant Slalom Classification],"&gt;0")</f>
        <v>0</v>
      </c>
      <c r="QF8" s="6">
        <f>COUNTIFS(Table149[Country],Tabela1[[#This Row],[Country]],Table149[Slopestyle Classification],"&gt;0")</f>
        <v>1</v>
      </c>
      <c r="QG8" s="6">
        <f>COUNTIFS(Table149152[Country],Tabela1[[#This Row],[Country]],Table149152[Slopestyle Classification],"&gt;0")</f>
        <v>1</v>
      </c>
      <c r="QH8" s="6">
        <f>COUNTIFS(Table149[Country],Tabela1[[#This Row],[Country]],Table149[Snowboard Cross Classification],"&gt;0")</f>
        <v>1</v>
      </c>
      <c r="QI8" s="6">
        <f>COUNTIFS(Table149152[Country],Tabela1[[#This Row],[Country]],Table149152[Snowboard Cross Classification],"&gt;0")</f>
        <v>0</v>
      </c>
      <c r="QJ8" s="6">
        <f>COUNTIFS(Table153[Country],Tabela1[[#This Row],[Country]],Table153[Mixed Team Snowboard Cross Classification],"&gt;0")</f>
        <v>0</v>
      </c>
      <c r="QK8" s="6">
        <f>COUNTIFS(Table154[Country],Tabela1[[#This Row],[Country]],Table154[500m Classification],"&gt;0")</f>
        <v>1</v>
      </c>
      <c r="QL8" s="6">
        <f>COUNTIFS(Table154157[Country],Tabela1[[#This Row],[Country]],Table154157[500m Classification],"&gt;0")</f>
        <v>2</v>
      </c>
      <c r="QM8" s="6">
        <f>COUNTIFS(Table154[Country],Tabela1[[#This Row],[Country]],Table154[1000m Classification],"&gt;0")</f>
        <v>1</v>
      </c>
      <c r="QN8" s="6">
        <f>COUNTIFS(Table154157[Country],Tabela1[[#This Row],[Country]],Table154157[1000m Classification],"&gt;0")</f>
        <v>1</v>
      </c>
      <c r="QO8" s="6">
        <f>COUNTIFS(Table154[Country],Tabela1[[#This Row],[Country]],Table154[1500m Classification],"&gt;0")</f>
        <v>1</v>
      </c>
      <c r="QP8" s="6">
        <f>COUNTIFS(Table154157[Country],Tabela1[[#This Row],[Country]],Table154157[1500m Classification],"&gt;0")</f>
        <v>0</v>
      </c>
      <c r="QQ8" s="6">
        <f>COUNTIFS(Table154157[Country],Tabela1[[#This Row],[Country]],Table154157[3000m Classification],"&gt;0")</f>
        <v>1</v>
      </c>
      <c r="QR8" s="6">
        <f>COUNTIFS(Table154[Country],Tabela1[[#This Row],[Country]],Table154[5000m Classification],"&gt;0")</f>
        <v>0</v>
      </c>
      <c r="QS8" s="6">
        <f>COUNTIFS(Table154157[Country],Tabela1[[#This Row],[Country]],Table154157[5000m Classification],"&gt;0")</f>
        <v>1</v>
      </c>
      <c r="QT8" s="6">
        <f>COUNTIFS(Table154[Country],Tabela1[[#This Row],[Country]],Table154[10000m Classification],"&gt;0")</f>
        <v>0</v>
      </c>
      <c r="QU8" s="6">
        <f>COUNTIFS(Table154[Country],Tabela1[[#This Row],[Country]],Table154[Mass Start Classification],"&gt;0")</f>
        <v>1</v>
      </c>
      <c r="QV8" s="6">
        <f>COUNTIFS(Table154157[Country],Tabela1[[#This Row],[Country]],Table154157[Mass Start Classification],"&gt;0")</f>
        <v>0</v>
      </c>
      <c r="QW8" s="6">
        <f>COUNTIFS(Table157[Country],Tabela1[[#This Row],[Country]],Table157[Men''s Pursuit Classification],"&gt;0")</f>
        <v>0</v>
      </c>
      <c r="QX8" s="6">
        <f>COUNTIFS(Table157[Country],Tabela1[[#This Row],[Country]],Table157[Women''s Pursuit Classification],"&gt;0")</f>
        <v>0</v>
      </c>
      <c r="QY8" s="3" t="s">
        <v>385</v>
      </c>
    </row>
    <row r="9" spans="1:467" x14ac:dyDescent="0.3">
      <c r="A9" s="6">
        <v>8</v>
      </c>
      <c r="B9" s="6" t="s">
        <v>328</v>
      </c>
      <c r="C9" t="e" vm="8">
        <f>IF(ISBLANK(Tabela1[[#This Row],[Image Link]]), "", _xlfn.IMAGE(Tabela1[[#This Row],[Image Link]],1,1))</f>
        <v>#VALUE!</v>
      </c>
      <c r="D9" s="6">
        <f>SUM(Tabela1[[#This Row],[Archery - Men''s Individual Recurve]:[Speed Skating - Women''s Team Pursuit]])</f>
        <v>174</v>
      </c>
      <c r="E9" s="6">
        <f>COUNTIF(Tabela1[[#This Row],[Archery - Men''s Individual Recurve]:[Speed Skating - Women''s Team Pursuit]],"&gt;0")</f>
        <v>139</v>
      </c>
      <c r="F9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9" s="6">
        <f>SUM(Tabela1[[#This Row],[Archery - Men''s Individual Recurve]:[Wrestling - Women''s Freestyle 76kg]])</f>
        <v>110</v>
      </c>
      <c r="H9" s="6">
        <f>SUM(Tabela1[[#This Row],[Alpine Skiing - Men''s Downhill]:[Speed Skating - Women''s Team Pursuit]])</f>
        <v>64</v>
      </c>
      <c r="I9" s="6">
        <f>Tabela1[[#This Row],[Summer Gold Medals]]+Tabela1[[#This Row],[Winter Gold Medals]]</f>
        <v>45</v>
      </c>
      <c r="J9" s="6">
        <f>Tabela1[[#This Row],[Summer Silver Medals]]+Tabela1[[#This Row],[Winter Silver Medals]]</f>
        <v>31</v>
      </c>
      <c r="K9" s="6">
        <f>Tabela1[[#This Row],[Summer Bronze Medals]]+Tabela1[[#This Row],[Winter Bronze Medals]]</f>
        <v>30</v>
      </c>
      <c r="L9" s="6">
        <f>SUM(Tabela1[[#This Row],[Total Gold Medals]:[Total Bronze Medals]])</f>
        <v>106</v>
      </c>
      <c r="M9" s="6">
        <v>40</v>
      </c>
      <c r="N9" s="6">
        <v>27</v>
      </c>
      <c r="O9" s="6">
        <v>24</v>
      </c>
      <c r="P9" s="6">
        <f>SUM(Tabela1[[#This Row],[Summer Gold Medals]:[Summer Bronze Medals]])</f>
        <v>91</v>
      </c>
      <c r="Q9" s="6">
        <v>5</v>
      </c>
      <c r="R9" s="6">
        <v>4</v>
      </c>
      <c r="S9" s="6">
        <v>6</v>
      </c>
      <c r="T9" s="6">
        <f>Tabela1[[#This Row],[Winter Gold Medals]]+Tabela1[[#This Row],[Winter Silver Medals]]+Tabela1[[#This Row],[Winter Bronze Medals]]</f>
        <v>15</v>
      </c>
      <c r="U9" s="7">
        <f>Tabela1[[#This Row],[Total Medals]]/Tabela1[[#This Row],[Total Quotas]]</f>
        <v>0.60919540229885061</v>
      </c>
      <c r="V9" s="6">
        <f>COUNTIFS(Table3[Country],Tabela1[[#This Row],[Country]],Table3[Recurve Classification],"&gt;0")</f>
        <v>1</v>
      </c>
      <c r="W9" s="6">
        <f>COUNTIFS(Table33[Country],Tabela1[[#This Row],[Country]],Table33[Recurve Classification],"&gt;0")</f>
        <v>2</v>
      </c>
      <c r="X9" s="6">
        <f>COUNTIFS(Table35[Country],Tabela1[[#This Row],[Country]],Table35[Men''s Team Recurve Classification],"&gt;0")</f>
        <v>1</v>
      </c>
      <c r="Y9" s="6">
        <f>COUNTIFS(Table35[Country],Tabela1[[#This Row],[Country]],Table35[Women''s Team Recurve Classification],"&gt;0")</f>
        <v>1</v>
      </c>
      <c r="Z9" s="6">
        <f>COUNTIFS(Tabela88[Country],Tabela1[[#This Row],[Country]],Tabela88[Mixed Team Recurve Classification],"&gt;0")</f>
        <v>1</v>
      </c>
      <c r="AA9" s="6">
        <f>COUNTIFS(Table36[Country],Tabela1[[#This Row],[Country]],Table36[Classification],"&gt;0")</f>
        <v>0</v>
      </c>
      <c r="AB9" s="6">
        <f>COUNTIFS(Table37[Country],Tabela1[[#This Row],[Country]],Table37[Classification],"&gt;0")</f>
        <v>1</v>
      </c>
      <c r="AC9" s="6">
        <f>COUNTIFS(Table4[Country],Tabela1[[#This Row],[Country]],Table4[100m Classification],"&gt;0")</f>
        <v>0</v>
      </c>
      <c r="AD9" s="6">
        <f>COUNTIFS(Table5[Country],Tabela1[[#This Row],[Country]],Table5[100m Classification],"&gt;0")</f>
        <v>0</v>
      </c>
      <c r="AE9" s="6">
        <f>COUNTIFS(Table4[Country],Tabela1[[#This Row],[Country]],Table4[200m Classification],"&gt;0")</f>
        <v>0</v>
      </c>
      <c r="AF9" s="6">
        <f>COUNTIFS(Table5[Country],Tabela1[[#This Row],[Country]],Table5[200m Classification],"&gt;0")</f>
        <v>1</v>
      </c>
      <c r="AG9" s="6">
        <f>COUNTIFS(Table4[Country],Tabela1[[#This Row],[Country]],Table4[400m Classification],"&gt;0")</f>
        <v>0</v>
      </c>
      <c r="AH9" s="6">
        <f>COUNTIFS(Table5[Country],Tabela1[[#This Row],[Country]],Table5[400m Classification],"&gt;0")</f>
        <v>0</v>
      </c>
      <c r="AI9" s="6">
        <f>COUNTIFS(Table4[Country],Tabela1[[#This Row],[Country]],Table4[800m Classification],"&gt;0")</f>
        <v>0</v>
      </c>
      <c r="AJ9" s="6">
        <f>COUNTIFS(Table5[Country],Tabela1[[#This Row],[Country]],Table5[800m Classification],"&gt;0")</f>
        <v>0</v>
      </c>
      <c r="AK9" s="6">
        <f>COUNTIFS(Table4[Country],Tabela1[[#This Row],[Country]],Table4[1500m Classification],"&gt;0")</f>
        <v>0</v>
      </c>
      <c r="AL9" s="6">
        <f>COUNTIFS(Table5[Country],Tabela1[[#This Row],[Country]],Table5[1500m Classification],"&gt;0")</f>
        <v>0</v>
      </c>
      <c r="AM9" s="6">
        <f>COUNTIFS(Table4[Country],Tabela1[[#This Row],[Country]],Table4[5000m Classification],"&gt;0")</f>
        <v>0</v>
      </c>
      <c r="AN9" s="6">
        <f>COUNTIFS(Table5[Country],Tabela1[[#This Row],[Country]],Table5[5000m Classification],"&gt;0")</f>
        <v>0</v>
      </c>
      <c r="AO9" s="6">
        <f>COUNTIFS(Table4[Country],Tabela1[[#This Row],[Country]],Table4[10000m Classification],"&gt;0")</f>
        <v>0</v>
      </c>
      <c r="AP9" s="6">
        <f>COUNTIFS(Table5[Country],Tabela1[[#This Row],[Country]],Table5[10000m Classification],"&gt;0")</f>
        <v>0</v>
      </c>
      <c r="AQ9" s="6">
        <f>COUNTIFS(Table4[Country],Tabela1[[#This Row],[Country]],Table4[110m Hurdles Classification],"&gt;0")</f>
        <v>0</v>
      </c>
      <c r="AR9" s="6">
        <f>COUNTIFS(Table5[Country],Tabela1[[#This Row],[Country]],Table5[100m Hurdles Classification],"&gt;0")</f>
        <v>0</v>
      </c>
      <c r="AS9" s="6">
        <f>COUNTIFS(Table4[Country],Tabela1[[#This Row],[Country]],Table4[400m Hurdles Classification],"&gt;0")</f>
        <v>1</v>
      </c>
      <c r="AT9" s="6">
        <f>COUNTIFS(Table5[Country],Tabela1[[#This Row],[Country]],Table5[400m Hurdles Classification],"&gt;0")</f>
        <v>0</v>
      </c>
      <c r="AU9" s="6">
        <f>COUNTIFS(Table4[Country],Tabela1[[#This Row],[Country]],Table4[3000m Steeplechase Classification],"&gt;0")</f>
        <v>0</v>
      </c>
      <c r="AV9" s="6">
        <f>COUNTIFS(Table5[Country],Tabela1[[#This Row],[Country]],Table5[3000m Steeplechase Classification],"&gt;0")</f>
        <v>1</v>
      </c>
      <c r="AW9" s="6">
        <f>COUNTIFS(Table27[Country],Tabela1[[#This Row],[Country]],Table27[Men''s 4x100m Relay Classification],"&gt;0")</f>
        <v>0</v>
      </c>
      <c r="AX9" s="6">
        <f>COUNTIFS(Table27[Country],Tabela1[[#This Row],[Country]],Table27[Women''s 4x100m Relay Classification],"&gt;0")</f>
        <v>0</v>
      </c>
      <c r="AY9" s="6">
        <f>COUNTIFS(Table27[Country],Tabela1[[#This Row],[Country]],Table27[Men''s 4x400m Relay Classification],"&gt;0")</f>
        <v>0</v>
      </c>
      <c r="AZ9" s="6">
        <f>COUNTIFS(Table27[Country],Tabela1[[#This Row],[Country]],Table27[Women''s 4x400m Relay Classification],"&gt;0")</f>
        <v>0</v>
      </c>
      <c r="BA9" s="6">
        <f>COUNTIFS(Table27[Country],Tabela1[[#This Row],[Country]],Table27[Mixed 4x400m Relay Classification],"&gt;0")</f>
        <v>0</v>
      </c>
      <c r="BB9" s="6">
        <f>COUNTIFS(Table4[Country],Tabela1[[#This Row],[Country]],Table4[Marathon Classification],"&gt;0")</f>
        <v>1</v>
      </c>
      <c r="BC9" s="6">
        <f>COUNTIFS(Table5[Country],Tabela1[[#This Row],[Country]],Table5[Marathon Classification],"&gt;0")</f>
        <v>2</v>
      </c>
      <c r="BD9" s="6">
        <f>COUNTIFS(Table4[Country],Tabela1[[#This Row],[Country]],Table4[20km Race Walk Classification],"&gt;0")</f>
        <v>0</v>
      </c>
      <c r="BE9" s="6">
        <f>COUNTIFS(Table5[Country],Tabela1[[#This Row],[Country]],Table5[20km Race Walk Classification],"&gt;0")</f>
        <v>2</v>
      </c>
      <c r="BF9" s="6">
        <f>COUNTIFS(Tabela96[Country],Tabela1[[#This Row],[Country]],Tabela96[Mixed Marathon Race Walk Relay Classification],"&gt;0")</f>
        <v>1</v>
      </c>
      <c r="BG9" s="6">
        <f>COUNTIFS(Table4[Country],Tabela1[[#This Row],[Country]],Table4[Discus Throw Classification],"&gt;0")</f>
        <v>0</v>
      </c>
      <c r="BH9" s="6">
        <f>COUNTIFS(Table5[Country],Tabela1[[#This Row],[Country]],Table5[Discus Throw Classification],"&gt;0")</f>
        <v>0</v>
      </c>
      <c r="BI9" s="6">
        <f>COUNTIFS(Table4[Country],Tabela1[[#This Row],[Country]],Table4[Hammer Throw Classification],"&gt;0")</f>
        <v>0</v>
      </c>
      <c r="BJ9" s="6">
        <f>COUNTIFS(Table5[Country],Tabela1[[#This Row],[Country]],Table5[Hammer Throw Classification],"&gt;0")</f>
        <v>2</v>
      </c>
      <c r="BK9" s="6">
        <f>COUNTIFS(Table4[Country],Tabela1[[#This Row],[Country]],Table4[High Jump Classification],"&gt;0")</f>
        <v>0</v>
      </c>
      <c r="BL9" s="6">
        <f>COUNTIFS(Table5[Country],Tabela1[[#This Row],[Country]],Table5[High Jump Classification],"&gt;0")</f>
        <v>0</v>
      </c>
      <c r="BM9" s="6">
        <f>COUNTIFS(Table4[Country],Tabela1[[#This Row],[Country]],Table4[Javelin Throw Classification],"&gt;0")</f>
        <v>0</v>
      </c>
      <c r="BN9" s="6">
        <f>COUNTIFS(Table5[Country],Tabela1[[#This Row],[Country]],Table5[Javelin Throw Classification],"&gt;0")</f>
        <v>1</v>
      </c>
      <c r="BO9" s="6">
        <f>COUNTIFS(Table4[Country],Tabela1[[#This Row],[Country]],Table4[Long Jump Classification],"&gt;0")</f>
        <v>1</v>
      </c>
      <c r="BP9" s="6">
        <f>COUNTIFS(Table5[Country],Tabela1[[#This Row],[Country]],Table5[Long Jump Classification],"&gt;0")</f>
        <v>1</v>
      </c>
      <c r="BQ9" s="6">
        <f>COUNTIFS(Table4[Country],Tabela1[[#This Row],[Country]],Table4[Pole Vault Classification],"&gt;0")</f>
        <v>1</v>
      </c>
      <c r="BR9" s="6">
        <f>COUNTIFS(Table5[Country],Tabela1[[#This Row],[Country]],Table5[Pole Vault Classification],"&gt;0")</f>
        <v>1</v>
      </c>
      <c r="BS9" s="6">
        <f>COUNTIFS(Table4[Country],Tabela1[[#This Row],[Country]],Table4[Shot Put Classification],"&gt;0")</f>
        <v>0</v>
      </c>
      <c r="BT9" s="6">
        <f>COUNTIFS(Table5[Country],Tabela1[[#This Row],[Country]],Table5[Shot Put Classification],"&gt;0")</f>
        <v>1</v>
      </c>
      <c r="BU9" s="6">
        <f>COUNTIFS(Table4[Country],Tabela1[[#This Row],[Country]],Table4[Triple Jump Classification],"&gt;0")</f>
        <v>2</v>
      </c>
      <c r="BV9" s="6">
        <f>COUNTIFS(Table5[Country],Tabela1[[#This Row],[Country]],Table5[Triple Jump Classification],"&gt;0")</f>
        <v>0</v>
      </c>
      <c r="BW9" s="6">
        <f>COUNTIFS(Table4[Country],Tabela1[[#This Row],[Country]],Table4[Decathlon Classification],"&gt;0")</f>
        <v>0</v>
      </c>
      <c r="BX9" s="6">
        <f>COUNTIFS(Table5[Country],Tabela1[[#This Row],[Country]],Table5[Heptathlon Classification],"&gt;0")</f>
        <v>0</v>
      </c>
      <c r="BY9" s="6">
        <f>COUNTIFS(Table61[Country],Tabela1[[#This Row],[Country]],Table61[Classification],"&gt;0")</f>
        <v>0</v>
      </c>
      <c r="BZ9" s="6">
        <f>COUNTIFS(Table38[Country],Tabela1[[#This Row],[Country]],Table38[Classification],"&gt;0")</f>
        <v>0</v>
      </c>
      <c r="CA9" s="6">
        <f>COUNTIFS(Table39[Country],Tabela1[[#This Row],[Country]],Table39[Men''s Classification],"&gt;0")</f>
        <v>0</v>
      </c>
      <c r="CB9" s="6">
        <f>COUNTIFS(Table39[Country],Tabela1[[#This Row],[Country]],Table39[Women''s Classification],"&gt;0")</f>
        <v>2</v>
      </c>
      <c r="CC9" s="6">
        <f>COUNTIFS(Table39[Country],Tabela1[[#This Row],[Country]],Table39[Mixed Classification],"&gt;0")</f>
        <v>1</v>
      </c>
      <c r="CD9" s="6">
        <f>COUNTIFS(Table89[Country],Tabela1[[#This Row],[Country]],Table89[Men''s Classification],"&gt;0")</f>
        <v>0</v>
      </c>
      <c r="CE9" s="6">
        <f>COUNTIFS(Table89[Country],Tabela1[[#This Row],[Country]],Table89[Women''s Classification],"&gt;0")</f>
        <v>1</v>
      </c>
      <c r="CF9" s="6">
        <f>COUNTIFS(Table90[Country],Tabela1[[#This Row],[Country]],Table90[Men''s Classification],"&gt;0")</f>
        <v>1</v>
      </c>
      <c r="CG9" s="6">
        <f>COUNTIFS(Table90[Country],Tabela1[[#This Row],[Country]],Table90[Women''s Classification],"&gt;0")</f>
        <v>0</v>
      </c>
      <c r="CH9" s="6">
        <f>COUNTIFS(Table60[Country],Tabela1[[#This Row],[Country]],Table60[Men''s Classification],"&gt;0")</f>
        <v>0</v>
      </c>
      <c r="CI9" s="6">
        <f>COUNTIFS(Table60[Country],Tabela1[[#This Row],[Country]],Table60[Women''s Classification],"&gt;0")</f>
        <v>1</v>
      </c>
      <c r="CJ9" s="6">
        <f>COUNTIFS(Table6[Country],Tabela1[[#This Row],[Country]],Table6[51kg Classification],"&gt;0")</f>
        <v>0</v>
      </c>
      <c r="CK9" s="6">
        <f>COUNTIFS(Table6[Country],Tabela1[[#This Row],[Country]],Table6[57kg Classification],"&gt;0")</f>
        <v>0</v>
      </c>
      <c r="CL9" s="6">
        <f>COUNTIFS(Table6[Country],Tabela1[[#This Row],[Country]],Table6[63.5kg Classification],"&gt;0")</f>
        <v>0</v>
      </c>
      <c r="CM9" s="6">
        <f>COUNTIFS(Table6[Country],Tabela1[[#This Row],[Country]],Table6[71kg Classification],"&gt;0")</f>
        <v>0</v>
      </c>
      <c r="CN9" s="6">
        <f>COUNTIFS(Table6[Country],Tabela1[[#This Row],[Country]],Table6[80kg Classification],"&gt;0")</f>
        <v>1</v>
      </c>
      <c r="CO9" s="6">
        <f>COUNTIFS(Table6[Country],Tabela1[[#This Row],[Country]],Table6[92kg Classification],"&gt;0")</f>
        <v>1</v>
      </c>
      <c r="CP9" s="6">
        <f>COUNTIFS(Table6[Country],Tabela1[[#This Row],[Country]],Table6[Plus 92kg Classification],"&gt;0")</f>
        <v>0</v>
      </c>
      <c r="CQ9" s="6">
        <f>COUNTIFS(Table7[Country],Tabela1[[#This Row],[Country]],Table7[50kg Classification],"&gt;0")</f>
        <v>1</v>
      </c>
      <c r="CR9" s="6">
        <f>COUNTIFS(Table7[Country],Tabela1[[#This Row],[Country]],Table7[54kg Classification],"&gt;0")</f>
        <v>1</v>
      </c>
      <c r="CS9" s="6">
        <f>COUNTIFS(Table7[Country],Tabela1[[#This Row],[Country]],Table7[57kg Classification],"&gt;0")</f>
        <v>0</v>
      </c>
      <c r="CT9" s="6">
        <f>COUNTIFS(Table7[Country],Tabela1[[#This Row],[Country]],Table7[60kg Classification],"&gt;0")</f>
        <v>0</v>
      </c>
      <c r="CU9" s="6">
        <f>COUNTIFS(Table7[Country],Tabela1[[#This Row],[Country]],Table7[66kg Classification],"&gt;0")</f>
        <v>0</v>
      </c>
      <c r="CV9" s="6">
        <f>COUNTIFS(Table7[Country],Tabela1[[#This Row],[Country]],Table7[75kg Classification],"&gt;0")</f>
        <v>1</v>
      </c>
      <c r="CW9" s="6">
        <f>COUNTIFS(Tabela94[Country],Tabela1[[#This Row],[Country]],Tabela94[Classification],"&gt;0")</f>
        <v>0</v>
      </c>
      <c r="CX9" s="6">
        <f>COUNTIFS(Tabela9499[Country],Tabela1[[#This Row],[Country]],Tabela9499[Classification],"&gt;0")</f>
        <v>1</v>
      </c>
      <c r="CY9" s="6">
        <f>COUNTIFS(Tabela107[Country],Tabela1[[#This Row],[Country]],Tabela107[C1 Slalom Classification],"&gt;0")</f>
        <v>0</v>
      </c>
      <c r="CZ9" s="6">
        <f>COUNTIFS(Tabela107122[Country],Tabela1[[#This Row],[Country]],Tabela107122[C1 Slalom Classification],"&gt;0")</f>
        <v>0</v>
      </c>
      <c r="DA9" s="6">
        <f>COUNTIFS(Tabela107[Country],Tabela1[[#This Row],[Country]],Tabela107[K1 Slalom Classification],"&gt;0")</f>
        <v>0</v>
      </c>
      <c r="DB9" s="6">
        <f>COUNTIFS(Tabela107122[Country],Tabela1[[#This Row],[Country]],Tabela107122[K1 Slalom Classification],"&gt;0")</f>
        <v>0</v>
      </c>
      <c r="DC9" s="6">
        <f>COUNTIFS(Tabela107[Country],Tabela1[[#This Row],[Country]],Tabela107[Kayak Cross Slalom Classification],"&gt;0")</f>
        <v>0</v>
      </c>
      <c r="DD9" s="6">
        <f>COUNTIFS(Tabela107122[Country],Tabela1[[#This Row],[Country]],Tabela107122[Kayak Cross Slalom Classification],"&gt;0")</f>
        <v>0</v>
      </c>
      <c r="DE9" s="6">
        <f>COUNTIFS(Table8[Country],Tabela1[[#This Row],[Country]],Table8[C1 200m Classification],"&gt;0")</f>
        <v>0</v>
      </c>
      <c r="DF9" s="6">
        <f>COUNTIFS(Table40[Country],Tabela1[[#This Row],[Country]],Table40[C1 1000m Classification],"&gt;0")</f>
        <v>0</v>
      </c>
      <c r="DG9" s="6">
        <f>COUNTIFS(Table68[Country],Tabela1[[#This Row],[Country]],Table68[Men''s C2 500m Classification],"&gt;0")</f>
        <v>0</v>
      </c>
      <c r="DH9" s="6">
        <f>COUNTIFS(Table68[Country],Tabela1[[#This Row],[Country]],Table68[Women''s C2 500m Classification],"&gt;0")</f>
        <v>1</v>
      </c>
      <c r="DI9" s="6">
        <f>COUNTIFS(Table8[Country],Tabela1[[#This Row],[Country]],Table8[K1 500m Classification],"&gt;0")</f>
        <v>0</v>
      </c>
      <c r="DJ9" s="6">
        <f>COUNTIFS(Table40[Country],Tabela1[[#This Row],[Country]],Table40[K1 1000m Classification],"&gt;0")</f>
        <v>0</v>
      </c>
      <c r="DK9" s="6">
        <f>COUNTIFS(Table68[Country],Tabela1[[#This Row],[Country]],Table68[Men''s K2 500m Classification],"&gt;0")</f>
        <v>0</v>
      </c>
      <c r="DL9" s="6">
        <f>COUNTIFS(Table68[Country],Tabela1[[#This Row],[Country]],Table68[Women''s K2 500m Classification],"&gt;0")</f>
        <v>0</v>
      </c>
      <c r="DM9" s="6">
        <f>COUNTIFS(Table83[Country],Tabela1[[#This Row],[Country]],Table83[Men''s K4 500m Classification],"&gt;0")</f>
        <v>0</v>
      </c>
      <c r="DN9" s="6">
        <f>COUNTIFS(Table83[Country],Tabela1[[#This Row],[Country]],Table83[Women''s K4 500m Classification],"&gt;0")</f>
        <v>0</v>
      </c>
      <c r="DO9" s="6">
        <f>COUNTIFS(Tabela126[Country],Tabela1[[#This Row],[Country]],Tabela126[Classification],"&gt;0")</f>
        <v>0</v>
      </c>
      <c r="DP9" s="6">
        <f>COUNTIFS(Tabela126130[Country],Tabela1[[#This Row],[Country]],Tabela126130[Classification],"&gt;0")</f>
        <v>1</v>
      </c>
      <c r="DQ9" s="6">
        <f>COUNTIFS(Table70[Country],Tabela1[[#This Row],[Country]],Table70[Classification],"&gt;0")</f>
        <v>0</v>
      </c>
      <c r="DR9" s="6">
        <f>COUNTIFS(Table80[Country],Tabela1[[#This Row],[Country]],Table80[Classification],"&gt;0")</f>
        <v>0</v>
      </c>
      <c r="DS9" s="6">
        <f>COUNTIFS(Table66[Country],Tabela1[[#This Row],[Country]],Table66[Classification],"&gt;0")</f>
        <v>1</v>
      </c>
      <c r="DT9" s="6">
        <f>COUNTIFS(Table67[Country],Tabela1[[#This Row],[Country]],Table67[Classification],"&gt;0")</f>
        <v>0</v>
      </c>
      <c r="DU9" s="6">
        <f>COUNTIFS(Table69[Country],Tabela1[[#This Row],[Country]],Table69[Keirin Classification],"&gt;0")</f>
        <v>1</v>
      </c>
      <c r="DV9" s="6">
        <f>COUNTIFS(Table41[Country],Tabela1[[#This Row],[Country]],Table41[Keirin Classification],"&gt;0")</f>
        <v>1</v>
      </c>
      <c r="DW9" s="6">
        <f>COUNTIFS(Table84[Country],Tabela1[[#This Row],[Country]],Table84[Men''s Madison Classification],"&gt;0")</f>
        <v>0</v>
      </c>
      <c r="DX9" s="6">
        <f>COUNTIFS(Table84[Country],Tabela1[[#This Row],[Country]],Table84[Women''s Madison Classification],"&gt;0")</f>
        <v>0</v>
      </c>
      <c r="DY9" s="6">
        <f>COUNTIFS(Table69[Country],Tabela1[[#This Row],[Country]],Table69[Omnium Classification],"&gt;0")</f>
        <v>0</v>
      </c>
      <c r="DZ9" s="6">
        <f>COUNTIFS(Table41[Country],Tabela1[[#This Row],[Country]],Table41[Omnium Classification],"&gt;0")</f>
        <v>0</v>
      </c>
      <c r="EA9" s="6">
        <f>COUNTIFS(Table9[Country],Tabela1[[#This Row],[Country]],Table9[Road Race Classification],"&gt;0")</f>
        <v>0</v>
      </c>
      <c r="EB9" s="6">
        <f>COUNTIFS(Table14[Country],Tabela1[[#This Row],[Country]],Table14[Road Race Classification],"&gt;0")</f>
        <v>0</v>
      </c>
      <c r="EC9" s="6">
        <f>COUNTIFS(Table69[Country],Tabela1[[#This Row],[Country]],Table69[Sprint Classification],"&gt;0")</f>
        <v>1</v>
      </c>
      <c r="ED9" s="6">
        <f>COUNTIFS(Table41[Country],Tabela1[[#This Row],[Country]],Table41[Sprint Classification],"&gt;0")</f>
        <v>1</v>
      </c>
      <c r="EE9" s="6">
        <f>COUNTIFS(Table85[Country],Tabela1[[#This Row],[Country]],Table85[Men''s Sprint Classification],"&gt;0")</f>
        <v>1</v>
      </c>
      <c r="EF9" s="6">
        <f>COUNTIFS(Table85[Country],Tabela1[[#This Row],[Country]],Table85[Women''s Sprint Classification],"&gt;0")</f>
        <v>1</v>
      </c>
      <c r="EG9" s="6">
        <f>COUNTIFS(Table85[Country],Tabela1[[#This Row],[Country]],Table85[Men''s Pursuit Classification],"&gt;0")</f>
        <v>0</v>
      </c>
      <c r="EH9" s="6">
        <f>COUNTIFS(Table85[Country],Tabela1[[#This Row],[Country]],Table85[Women''s Pursuit Classification],"&gt;0")</f>
        <v>0</v>
      </c>
      <c r="EI9" s="6">
        <f>COUNTIFS(Table9[Country],Tabela1[[#This Row],[Country]],Table9[Time-Trial Classification],"&gt;0")</f>
        <v>0</v>
      </c>
      <c r="EJ9" s="6">
        <f>COUNTIFS(Table14[Country],Tabela1[[#This Row],[Country]],Table14[Time-Trial Classification],"&gt;0")</f>
        <v>0</v>
      </c>
      <c r="EK9" s="6">
        <f>COUNTIFS(Table42[Country],Tabela1[[#This Row],[Country]],Table42[Springboard Classification],"&gt;0")</f>
        <v>1</v>
      </c>
      <c r="EL9" s="6">
        <f>COUNTIFS(Table43[Country],Tabela1[[#This Row],[Country]],Table43[Springboard Classification],"&gt;0")</f>
        <v>2</v>
      </c>
      <c r="EM9" s="6">
        <f>COUNTIFS(Table42[Country],Tabela1[[#This Row],[Country]],Table42[Platform Classification],"&gt;0")</f>
        <v>0</v>
      </c>
      <c r="EN9" s="6">
        <f>COUNTIFS(Table43[Country],Tabela1[[#This Row],[Country]],Table43[Platform Classification],"&gt;0")</f>
        <v>0</v>
      </c>
      <c r="EO9" s="6">
        <f>COUNTIFS(Table86[Country],Tabela1[[#This Row],[Country]],Table86[Men''s Synchronized Springboard Classification],"&gt;0")</f>
        <v>1</v>
      </c>
      <c r="EP9" s="6">
        <f>COUNTIFS(Table86[Country],Tabela1[[#This Row],[Country]],Table86[Women''s Synchronized Springboard Classification],"&gt;0")</f>
        <v>1</v>
      </c>
      <c r="EQ9" s="6">
        <f>COUNTIFS(Table86[Country],Tabela1[[#This Row],[Country]],Table86[Men''s Synchronized Platform Classification],"&gt;0")</f>
        <v>0</v>
      </c>
      <c r="ER9" s="6">
        <f>COUNTIFS(Table86[Country],Tabela1[[#This Row],[Country]],Table86[Women''s Synchronized Platform Classification],"&gt;0")</f>
        <v>0</v>
      </c>
      <c r="ES9" s="6">
        <f>COUNTIFS(Table44[Country],Tabela1[[#This Row],[Country]],Table44[Dressage Classification],"&gt;0")</f>
        <v>0</v>
      </c>
      <c r="ET9" s="6">
        <f>COUNTIFS(Table45[Country],Tabela1[[#This Row],[Country]],Table45[Dressage Classification],"&gt;0")</f>
        <v>0</v>
      </c>
      <c r="EU9" s="6">
        <f>COUNTIFS(Table44[Country],Tabela1[[#This Row],[Country]],Table44[Eventing Classification],"&gt;0")</f>
        <v>2</v>
      </c>
      <c r="EV9" s="6">
        <f>COUNTIFS(Table45[Country],Tabela1[[#This Row],[Country]],Table45[Eventing Classification],"&gt;0")</f>
        <v>0</v>
      </c>
      <c r="EW9" s="6">
        <f>COUNTIFS(Table44[Country],Tabela1[[#This Row],[Country]],Table44[Jumping Classification],"&gt;0")</f>
        <v>0</v>
      </c>
      <c r="EX9" s="6">
        <f>COUNTIFS(Table45[Country],Tabela1[[#This Row],[Country]],Table45[Jumping Classification],"&gt;0")</f>
        <v>0</v>
      </c>
      <c r="EY9" s="6">
        <f>COUNTIFS(Table10[Country],Tabela1[[#This Row],[Country]],Table10[Épée Classification],"&gt;0")</f>
        <v>0</v>
      </c>
      <c r="EZ9" s="6">
        <f>COUNTIFS(Table11[Country],Tabela1[[#This Row],[Country]],Table11[Épée Classification],"&gt;0")</f>
        <v>1</v>
      </c>
      <c r="FA9" s="6">
        <f>COUNTIFS(Table46[Country],Tabela1[[#This Row],[Country]],Table46[Men''s Épée Classification],"&gt;0")</f>
        <v>0</v>
      </c>
      <c r="FB9" s="6">
        <f>COUNTIFS(Table46[Country],Tabela1[[#This Row],[Country]],Table46[Women''s Épée Classification],"&gt;0")</f>
        <v>1</v>
      </c>
      <c r="FC9" s="6">
        <f>COUNTIFS(Table10[Country],Tabela1[[#This Row],[Country]],Table10[Foil Classification],"&gt;0")</f>
        <v>1</v>
      </c>
      <c r="FD9" s="6">
        <f>COUNTIFS(Table11[Country],Tabela1[[#This Row],[Country]],Table11[Foil Classification],"&gt;0")</f>
        <v>0</v>
      </c>
      <c r="FE9" s="6">
        <f>COUNTIFS(Table46[Country],Tabela1[[#This Row],[Country]],Table46[Men''s Foil Classification],"&gt;0")</f>
        <v>1</v>
      </c>
      <c r="FF9" s="6">
        <f>COUNTIFS(Table46[Country],Tabela1[[#This Row],[Country]],Table46[Women''s Foil Classification],"&gt;0")</f>
        <v>0</v>
      </c>
      <c r="FG9" s="6">
        <f>COUNTIFS(Table10[Country],Tabela1[[#This Row],[Country]],Table10[Sabre Classification],"&gt;0")</f>
        <v>0</v>
      </c>
      <c r="FH9" s="6">
        <f>COUNTIFS(Table11[Country],Tabela1[[#This Row],[Country]],Table11[Sabre Classification],"&gt;0")</f>
        <v>0</v>
      </c>
      <c r="FI9" s="6">
        <f>COUNTIFS(Table46[Country],Tabela1[[#This Row],[Country]],Table46[Men''s Sabre Classification],"&gt;0")</f>
        <v>0</v>
      </c>
      <c r="FJ9" s="6">
        <f>COUNTIFS(Table46[Country],Tabela1[[#This Row],[Country]],Table46[Women''s Sabre Classification],"&gt;0")</f>
        <v>0</v>
      </c>
      <c r="FK9" s="6">
        <f>COUNTIFS(Table91[Country],Tabela1[[#This Row],[Country]],Table91[Men''s Classification],"&gt;0")</f>
        <v>0</v>
      </c>
      <c r="FL9" s="6">
        <f>COUNTIFS(Table91[Country],Tabela1[[#This Row],[Country]],Table91[Women''s Classification],"&gt;0")</f>
        <v>1</v>
      </c>
      <c r="FM9" s="6">
        <f>COUNTIFS(Table9194[Country],Tabela1[[#This Row],[Country]],Table9194[Men''s Classification],"&gt;0")</f>
        <v>0</v>
      </c>
      <c r="FN9" s="6">
        <f>COUNTIFS(Table9194[Country],Tabela1[[#This Row],[Country]],Table9194[Women''s Classification],"&gt;0")</f>
        <v>0</v>
      </c>
      <c r="FO9" s="6">
        <f>COUNTIFS(Table71[Country],Tabela1[[#This Row],[Country]],Table71[Classification],"&gt;0")</f>
        <v>2</v>
      </c>
      <c r="FP9" s="6">
        <f>COUNTIFS(Table62[Country],Tabela1[[#This Row],[Country]],Table62[Classification],"&gt;0")</f>
        <v>0</v>
      </c>
      <c r="FQ9" s="6">
        <f>COUNTIFS(Table47[Country],Tabela1[[#This Row],[Country]],Table47[All-Around Classification],"&gt;0")</f>
        <v>0</v>
      </c>
      <c r="FR9" s="6">
        <f>COUNTIFS(Table48[Country],Tabela1[[#This Row],[Country]],Table48[All-Around Classification],"&gt;0")</f>
        <v>0</v>
      </c>
      <c r="FS9" s="6">
        <f>COUNTIFS(Table81[Country],Tabela1[[#This Row],[Country]],Table81[Men''s All-Around Classification],"&gt;0")</f>
        <v>1</v>
      </c>
      <c r="FT9" s="6">
        <f>COUNTIFS(Table81[Country],Tabela1[[#This Row],[Country]],Table81[Women''s All-Around Classification],"&gt;0")</f>
        <v>1</v>
      </c>
      <c r="FU9" s="6">
        <f>COUNTIFS(Table48[Country],Tabela1[[#This Row],[Country]],Table48[Balance Beam Classification],"&gt;0")</f>
        <v>1</v>
      </c>
      <c r="FV9" s="6">
        <f>COUNTIFS(Table47[Country],Tabela1[[#This Row],[Country]],Table47[Floor Exercise Classification],"&gt;0")</f>
        <v>1</v>
      </c>
      <c r="FW9" s="6">
        <f>COUNTIFS(Table48[Country],Tabela1[[#This Row],[Country]],Table48[Floor Exercise Classification],"&gt;0")</f>
        <v>0</v>
      </c>
      <c r="FX9" s="6">
        <f>COUNTIFS(Table47[Country],Tabela1[[#This Row],[Country]],Table47[Horizontal Bar Classification],"&gt;0")</f>
        <v>0</v>
      </c>
      <c r="FY9" s="6">
        <f>COUNTIFS(Table47[Country],Tabela1[[#This Row],[Country]],Table47[Parallel Bars Classification],"&gt;0")</f>
        <v>0</v>
      </c>
      <c r="FZ9" s="6">
        <f>COUNTIFS(Table47[Country],Tabela1[[#This Row],[Country]],Table47[Pommel Horse Classification],"&gt;0")</f>
        <v>0</v>
      </c>
      <c r="GA9" s="6">
        <f>COUNTIFS(Table47[Country],Tabela1[[#This Row],[Country]],Table47[Rings Classification],"&gt;0")</f>
        <v>1</v>
      </c>
      <c r="GB9" s="6">
        <f>COUNTIFS(Tabela132[Country],Tabela1[[#This Row],[Country]],Tabela132[Classification],"&gt;0")</f>
        <v>0</v>
      </c>
      <c r="GC9" s="6">
        <f>COUNTIFS(Tabela139[Country],Tabela1[[#This Row],[Country]],Tabela139[Classification],"&gt;0")</f>
        <v>0</v>
      </c>
      <c r="GD9" s="6">
        <f>COUNTIFS(Table48[Country],Tabela1[[#This Row],[Country]],Table48[Uneven Bars Classification],"&gt;0")</f>
        <v>1</v>
      </c>
      <c r="GE9" s="6">
        <f>COUNTIFS(Table47[Country],Tabela1[[#This Row],[Country]],Table47[Vault Classification],"&gt;0")</f>
        <v>0</v>
      </c>
      <c r="GF9" s="6">
        <f>COUNTIFS(Table48[Country],Tabela1[[#This Row],[Country]],Table48[Vault Classification],"&gt;0")</f>
        <v>0</v>
      </c>
      <c r="GG9" s="6">
        <f>COUNTIFS(Table919496[Country],Tabela1[[#This Row],[Country]],Table919496[Men''s Classification],"&gt;0")</f>
        <v>0</v>
      </c>
      <c r="GH9" s="6">
        <f>COUNTIFS(Table919496[Country],Tabela1[[#This Row],[Country]],Table919496[Women''s Classification],"&gt;0")</f>
        <v>0</v>
      </c>
      <c r="GI9" s="6">
        <f>COUNTIFS(Table12[Country],Tabela1[[#This Row],[Country]],Table12[60kg Classification],"&gt;0")</f>
        <v>0</v>
      </c>
      <c r="GJ9" s="6">
        <f>COUNTIFS(Table12[Country],Tabela1[[#This Row],[Country]],Table12[66kg Classification],"&gt;0")</f>
        <v>0</v>
      </c>
      <c r="GK9" s="6">
        <f>COUNTIFS(Table12[Country],Tabela1[[#This Row],[Country]],Table12[73kg Classification],"&gt;0")</f>
        <v>0</v>
      </c>
      <c r="GL9" s="6">
        <f>COUNTIFS(Table12[Country],Tabela1[[#This Row],[Country]],Table12[81kg Classification],"&gt;0")</f>
        <v>0</v>
      </c>
      <c r="GM9" s="6">
        <f>COUNTIFS(Table12[Country],Tabela1[[#This Row],[Country]],Table12[90kg Classification],"&gt;0")</f>
        <v>0</v>
      </c>
      <c r="GN9" s="6">
        <f>COUNTIFS(Table12[Country],Tabela1[[#This Row],[Country]],Table12[100kg Classification],"&gt;0")</f>
        <v>0</v>
      </c>
      <c r="GO9" s="6">
        <f>COUNTIFS(Table12[Country],Tabela1[[#This Row],[Country]],Table12[Plus 100kg Classification],"&gt;0")</f>
        <v>0</v>
      </c>
      <c r="GP9" s="6">
        <f>COUNTIFS(Table13[Country],Tabela1[[#This Row],[Country]],Table13[48kg Classification],"&gt;0")</f>
        <v>1</v>
      </c>
      <c r="GQ9" s="6">
        <f>COUNTIFS(Table13[Country],Tabela1[[#This Row],[Country]],Table13[52kg Classification],"&gt;0")</f>
        <v>0</v>
      </c>
      <c r="GR9" s="6">
        <f>COUNTIFS(Table13[Country],Tabela1[[#This Row],[Country]],Table13[57kg Classification],"&gt;0")</f>
        <v>0</v>
      </c>
      <c r="GS9" s="6">
        <f>COUNTIFS(Table13[Country],Tabela1[[#This Row],[Country]],Table13[63kg Classification],"&gt;0")</f>
        <v>1</v>
      </c>
      <c r="GT9" s="6">
        <f>COUNTIFS(Table13[Country],Tabela1[[#This Row],[Country]],Table13[70kg Classification],"&gt;0")</f>
        <v>0</v>
      </c>
      <c r="GU9" s="6">
        <f>COUNTIFS(Table13[Country],Tabela1[[#This Row],[Country]],Table13[78kg Classification],"&gt;0")</f>
        <v>0</v>
      </c>
      <c r="GV9" s="6">
        <f>COUNTIFS(Table13[Country],Tabela1[[#This Row],[Country]],Table13[Plus 78kg Classification],"&gt;0")</f>
        <v>0</v>
      </c>
      <c r="GW9" s="6">
        <f>COUNTIFS(Table82[Country],Tabela1[[#This Row],[Country]],Table82[Mixed Classification],"&gt;0")</f>
        <v>0</v>
      </c>
      <c r="GX9" s="6">
        <f>COUNTIFS(Table51[Country],Tabela1[[#This Row],[Country]],Table51[Classification],"&gt;0")</f>
        <v>0</v>
      </c>
      <c r="GY9" s="6">
        <f>COUNTIFS(Table52[Country],Tabela1[[#This Row],[Country]],Table52[Classification],"&gt;0")</f>
        <v>0</v>
      </c>
      <c r="GZ9" s="6">
        <f>COUNTIFS(Table32[Country],Tabela1[[#This Row],[Country]],Table32[All-Around Classification],"&gt;0")</f>
        <v>0</v>
      </c>
      <c r="HA9" s="6">
        <f>COUNTIFS(Table49[Country],Tabela1[[#This Row],[Country]],Table49[All-Around Classification],"&gt;0")</f>
        <v>1</v>
      </c>
      <c r="HB9" s="6">
        <f>COUNTIFS(Table26[Country],Tabela1[[#This Row],[Country]],Table26[Single Sculls Classification],"&gt;0")</f>
        <v>0</v>
      </c>
      <c r="HC9" s="6">
        <f>COUNTIFS(Table63[Country],Tabela1[[#This Row],[Country]],Table63[Single Sculls Classification],"&gt;0")</f>
        <v>0</v>
      </c>
      <c r="HD9" s="6">
        <f>COUNTIFS(Table16[Country],Tabela1[[#This Row],[Country]],Table16[Men''s Double Sculls Classification],"&gt;0")</f>
        <v>1</v>
      </c>
      <c r="HE9" s="6">
        <f>COUNTIFS(Table16[Country],Tabela1[[#This Row],[Country]],Table16[Women''s Double Sculls Classification],"&gt;0")</f>
        <v>1</v>
      </c>
      <c r="HF9" s="6">
        <f>COUNTIFS(Table72[Country],Tabela1[[#This Row],[Country]],Table72[Men''s Quadruple Sculls Classification],"&gt;0")</f>
        <v>0</v>
      </c>
      <c r="HG9" s="6">
        <f>COUNTIFS(Table72[Country],Tabela1[[#This Row],[Country]],Table72[Women''s Quadruple Sculls Classification],"&gt;0")</f>
        <v>1</v>
      </c>
      <c r="HH9" s="6">
        <f>COUNTIFS(Table16[Country],Tabela1[[#This Row],[Country]],Table16[Men''s Coxless Pairs Classification],"&gt;0")</f>
        <v>0</v>
      </c>
      <c r="HI9" s="6">
        <f>COUNTIFS(Table16[Country],Tabela1[[#This Row],[Country]],Table16[Women''s Coxless Pairs Classification],"&gt;0")</f>
        <v>0</v>
      </c>
      <c r="HJ9" s="6">
        <f>COUNTIFS(Table72[Country],Tabela1[[#This Row],[Country]],Table72[Men''s Coxless Fours Classification],"&gt;0")</f>
        <v>0</v>
      </c>
      <c r="HK9" s="6">
        <f>COUNTIFS(Table72[Country],Tabela1[[#This Row],[Country]],Table72[Women''s Coxless Fours Classification],"&gt;0")</f>
        <v>1</v>
      </c>
      <c r="HL9" s="6">
        <f>COUNTIFS(Table72[Country],Tabela1[[#This Row],[Country]],Table72[Men''s Eights Classification],"&gt;0")</f>
        <v>0</v>
      </c>
      <c r="HM9" s="6">
        <f>COUNTIFS(Table72[Country],Tabela1[[#This Row],[Country]],Table72[Women''s Eights Classification],"&gt;0")</f>
        <v>0</v>
      </c>
      <c r="HN9" s="6">
        <f>COUNTIFS(Table16[Country],Tabela1[[#This Row],[Country]],Table16[Men''s Lwt. Double Sculls Classification],"&gt;0")</f>
        <v>0</v>
      </c>
      <c r="HO9" s="6">
        <f>COUNTIFS(Table16[Country],Tabela1[[#This Row],[Country]],Table16[Women''s Lwt. Double Sculls Classification],"&gt;0")</f>
        <v>1</v>
      </c>
      <c r="HP9" s="6">
        <f>COUNTIFS(Table91949698[Country],Tabela1[[#This Row],[Country]],Table91949698[Men''s Classification],"&gt;0")</f>
        <v>0</v>
      </c>
      <c r="HQ9" s="6">
        <f>COUNTIFS(Table91949698[Country],Tabela1[[#This Row],[Country]],Table91949698[Women''s Classification],"&gt;0")</f>
        <v>1</v>
      </c>
      <c r="HR9" s="6">
        <f>COUNTIFS(Table25[Country],Tabela1[[#This Row],[Country]],Table25[Mixed 470 Classification],"&gt;0")</f>
        <v>0</v>
      </c>
      <c r="HS9" s="6">
        <f>COUNTIFS(Table25[Country],Tabela1[[#This Row],[Country]],Table25[Men''s 49er Classification],"&gt;0")</f>
        <v>0</v>
      </c>
      <c r="HT9" s="6">
        <f>COUNTIFS(Table25[Country],Tabela1[[#This Row],[Country]],Table25[Women''s 49er FX Classification],"&gt;0")</f>
        <v>0</v>
      </c>
      <c r="HU9" s="6">
        <f>COUNTIFS(Table17[Country],Tabela1[[#This Row],[Country]],Table17[Formula Kite Classification],"&gt;0")</f>
        <v>0</v>
      </c>
      <c r="HV9" s="6">
        <f>COUNTIFS(Table18[Country],Tabela1[[#This Row],[Country]],Table18[Formula Kite Classification],"&gt;0")</f>
        <v>0</v>
      </c>
      <c r="HW9" s="6">
        <f>COUNTIFS(Table17[Country],Tabela1[[#This Row],[Country]],Table17[ILCA 7 Classification],"&gt;0")</f>
        <v>0</v>
      </c>
      <c r="HX9" s="6">
        <f>COUNTIFS(Table18[Country],Tabela1[[#This Row],[Country]],Table18[ILCA 6 Classification],"&gt;0")</f>
        <v>0</v>
      </c>
      <c r="HY9" s="6">
        <f>COUNTIFS(Table17[Country],Tabela1[[#This Row],[Country]],Table17[IQFoil Classification],"&gt;0")</f>
        <v>0</v>
      </c>
      <c r="HZ9" s="6">
        <f>COUNTIFS(Table18[Country],Tabela1[[#This Row],[Country]],Table18[IQFoil Classification],"&gt;0")</f>
        <v>1</v>
      </c>
      <c r="IA9" s="6">
        <f>COUNTIFS(Table25[Country],Tabela1[[#This Row],[Country]],Table25[Mixed Nacra 17 Classification],"&gt;0")</f>
        <v>0</v>
      </c>
      <c r="IB9" s="6">
        <f>COUNTIFS(Table53[Country],Tabela1[[#This Row],[Country]],Table53[10m Air Pistol Classification],"&gt;0")</f>
        <v>0</v>
      </c>
      <c r="IC9" s="6">
        <f>COUNTIFS(Table19[Country],Tabela1[[#This Row],[Country]],Table19[10m Air Pistol Classification],"&gt;0")</f>
        <v>0</v>
      </c>
      <c r="ID9" s="6">
        <f>COUNTIFS(Table54[Country],Tabela1[[#This Row],[Country]],Table54[Mixed 10m Air Pistol Team Classification],"&gt;0")</f>
        <v>0</v>
      </c>
      <c r="IE9" s="6">
        <f>COUNTIFS(Table53[Country],Tabela1[[#This Row],[Country]],Table53[10m Air Rifle Classification],"&gt;0")</f>
        <v>0</v>
      </c>
      <c r="IF9" s="6">
        <f>COUNTIFS(Table19[Country],Tabela1[[#This Row],[Country]],Table19[10m Air Rifle Classification],"&gt;0")</f>
        <v>0</v>
      </c>
      <c r="IG9" s="6">
        <f>COUNTIFS(Table54[Country],Tabela1[[#This Row],[Country]],Table54[Mixed 10m Air Rifle Team Classification],"&gt;0")</f>
        <v>0</v>
      </c>
      <c r="IH9" s="6">
        <f>COUNTIFS(Table53[Country],Tabela1[[#This Row],[Country]],Table53[25m Rapid Fire Pistol Classification],"&gt;0")</f>
        <v>0</v>
      </c>
      <c r="II9" s="6">
        <f>COUNTIFS(Table19[Country],Tabela1[[#This Row],[Country]],Table19[25m Pistol Classification],"&gt;0")</f>
        <v>0</v>
      </c>
      <c r="IJ9" s="6">
        <f>COUNTIFS(Table53[Country],Tabela1[[#This Row],[Country]],Table53[50m Rifle 3 Positions Classification],"&gt;0")</f>
        <v>0</v>
      </c>
      <c r="IK9" s="6">
        <f>COUNTIFS(Table19[Country],Tabela1[[#This Row],[Country]],Table19[50m Rifle 3 Positions Classification],"&gt;0")</f>
        <v>0</v>
      </c>
      <c r="IL9" s="6">
        <f>COUNTIFS(Table53[Country],Tabela1[[#This Row],[Country]],Table53[Skeet Classification],"&gt;0")</f>
        <v>0</v>
      </c>
      <c r="IM9" s="6">
        <f>COUNTIFS(Table19[Country],Tabela1[[#This Row],[Country]],Table19[Skeet Classification],"&gt;0")</f>
        <v>0</v>
      </c>
      <c r="IN9" s="6">
        <f>COUNTIFS(Table54[Country],Tabela1[[#This Row],[Country]],Table54[Mixed Skeet Team Classification],"&gt;0")</f>
        <v>0</v>
      </c>
      <c r="IO9" s="6">
        <f>COUNTIFS(Table53[Country],Tabela1[[#This Row],[Country]],Table53[Trap Classification],"&gt;0")</f>
        <v>0</v>
      </c>
      <c r="IP9" s="6">
        <f>COUNTIFS(Table19[Country],Tabela1[[#This Row],[Country]],Table19[Trap Classification],"&gt;0")</f>
        <v>1</v>
      </c>
      <c r="IQ9" s="6">
        <f>COUNTIFS(Table73[Country],Tabela1[[#This Row],[Country]],Table73[Park Classification],"&gt;0")</f>
        <v>0</v>
      </c>
      <c r="IR9" s="6">
        <f>COUNTIFS(Table74[Country],Tabela1[[#This Row],[Country]],Table74[Park Classification],"&gt;0")</f>
        <v>0</v>
      </c>
      <c r="IS9" s="6">
        <f>COUNTIFS(Table73[Country],Tabela1[[#This Row],[Country]],Table73[Street Classification],"&gt;0")</f>
        <v>0</v>
      </c>
      <c r="IT9" s="6">
        <f>COUNTIFS(Table74[Country],Tabela1[[#This Row],[Country]],Table74[Street Classification],"&gt;0")</f>
        <v>0</v>
      </c>
      <c r="IU9" s="6">
        <f>COUNTIFS(Table75[Country],Tabela1[[#This Row],[Country]],Table75[Boulder and Lead Classification],"&gt;0")</f>
        <v>0</v>
      </c>
      <c r="IV9" s="6">
        <f>COUNTIFS(Table76[Country],Tabela1[[#This Row],[Country]],Table76[Boulder and Lead Classification],"&gt;0")</f>
        <v>0</v>
      </c>
      <c r="IW9" s="6">
        <f>COUNTIFS(Table75[Country],Tabela1[[#This Row],[Country]],Table75[Speed Classification],"&gt;0")</f>
        <v>0</v>
      </c>
      <c r="IX9" s="6">
        <f>COUNTIFS(Table76[Country],Tabela1[[#This Row],[Country]],Table76[Speed Classification],"&gt;0")</f>
        <v>0</v>
      </c>
      <c r="IY9" s="6">
        <f>COUNTIFS(Table64[Country],Tabela1[[#This Row],[Country]],Table64[Shortboard Classification],"&gt;0")</f>
        <v>0</v>
      </c>
      <c r="IZ9" s="6">
        <f>COUNTIFS(Table77[Country],Tabela1[[#This Row],[Country]],Table77[Shortboard Classification],"&gt;0")</f>
        <v>0</v>
      </c>
      <c r="JA9" s="6">
        <f>COUNTIFS(Table20[Country],Tabela1[[#This Row],[Country]],Table20[50m Freestyle Classification],"&gt;0")</f>
        <v>0</v>
      </c>
      <c r="JB9" s="6">
        <f>COUNTIFS(Table21[Country],Tabela1[[#This Row],[Country]],Table21[50m Freestyle Classification],"&gt;0")</f>
        <v>0</v>
      </c>
      <c r="JC9" s="6">
        <f>COUNTIFS(Table20[Country],Tabela1[[#This Row],[Country]],Table20[100m Freestyle Classification],"&gt;0")</f>
        <v>1</v>
      </c>
      <c r="JD9" s="6">
        <f>COUNTIFS(Table21[Country],Tabela1[[#This Row],[Country]],Table21[100m Freestyle Classification],"&gt;0")</f>
        <v>0</v>
      </c>
      <c r="JE9" s="6">
        <f>COUNTIFS(Table20[Country],Tabela1[[#This Row],[Country]],Table20[200m Freestyle Classification],"&gt;0")</f>
        <v>0</v>
      </c>
      <c r="JF9" s="6">
        <f>COUNTIFS(Table21[Country],Tabela1[[#This Row],[Country]],Table21[200m Freestyle Classification],"&gt;0")</f>
        <v>1</v>
      </c>
      <c r="JG9" s="6">
        <f>COUNTIFS(Table20[Country],Tabela1[[#This Row],[Country]],Table20[400m Freestyle Classification],"&gt;0")</f>
        <v>0</v>
      </c>
      <c r="JH9" s="6">
        <f>COUNTIFS(Table21[Country],Tabela1[[#This Row],[Country]],Table21[400m Freestyle Classification],"&gt;0")</f>
        <v>1</v>
      </c>
      <c r="JI9" s="6">
        <f>COUNTIFS(Table20[Country],Tabela1[[#This Row],[Country]],Table20[800m Freestyle Classification],"&gt;0")</f>
        <v>0</v>
      </c>
      <c r="JJ9" s="6">
        <f>COUNTIFS(Table21[Country],Tabela1[[#This Row],[Country]],Table21[800m Freestyle Classification],"&gt;0")</f>
        <v>1</v>
      </c>
      <c r="JK9" s="6">
        <f>COUNTIFS(Table20[Country],Tabela1[[#This Row],[Country]],Table20[1500m Freestyle Classification],"&gt;0")</f>
        <v>0</v>
      </c>
      <c r="JL9" s="6">
        <f>COUNTIFS(Table21[Country],Tabela1[[#This Row],[Country]],Table21[1500m Freestyle Classification],"&gt;0")</f>
        <v>2</v>
      </c>
      <c r="JM9" s="6">
        <f>COUNTIFS(Table20[Country],Tabela1[[#This Row],[Country]],Table20[100m Backstroke Classification],"&gt;0")</f>
        <v>0</v>
      </c>
      <c r="JN9" s="6">
        <f>COUNTIFS(Table21[Country],Tabela1[[#This Row],[Country]],Table21[100m Backstroke Classification],"&gt;0")</f>
        <v>1</v>
      </c>
      <c r="JO9" s="6">
        <f>COUNTIFS(Table20[Country],Tabela1[[#This Row],[Country]],Table20[200m Backstroke Classification],"&gt;0")</f>
        <v>0</v>
      </c>
      <c r="JP9" s="6">
        <f>COUNTIFS(Table21[Country],Tabela1[[#This Row],[Country]],Table21[200m Backstroke Classification],"&gt;0")</f>
        <v>1</v>
      </c>
      <c r="JQ9" s="6">
        <f>COUNTIFS(Table20[Country],Tabela1[[#This Row],[Country]],Table20[100m Breaststroke Classification],"&gt;0")</f>
        <v>1</v>
      </c>
      <c r="JR9" s="6">
        <f>COUNTIFS(Table21[Country],Tabela1[[#This Row],[Country]],Table21[100m Breaststroke Classification],"&gt;0")</f>
        <v>0</v>
      </c>
      <c r="JS9" s="6">
        <f>COUNTIFS(Table20[Country],Tabela1[[#This Row],[Country]],Table20[200m Breaststroke Classification],"&gt;0")</f>
        <v>0</v>
      </c>
      <c r="JT9" s="6">
        <f>COUNTIFS(Table21[Country],Tabela1[[#This Row],[Country]],Table21[200m Breaststroke Classification],"&gt;0")</f>
        <v>0</v>
      </c>
      <c r="JU9" s="6">
        <f>COUNTIFS(Table20[Country],Tabela1[[#This Row],[Country]],Table20[100m Butterfly Classification],"&gt;0")</f>
        <v>2</v>
      </c>
      <c r="JV9" s="6">
        <f>COUNTIFS(Table21[Country],Tabela1[[#This Row],[Country]],Table21[100m Butterfly Classification],"&gt;0")</f>
        <v>0</v>
      </c>
      <c r="JW9" s="6">
        <f>COUNTIFS(Table20[Country],Tabela1[[#This Row],[Country]],Table20[200m Butterfly Classification],"&gt;0")</f>
        <v>0</v>
      </c>
      <c r="JX9" s="6">
        <f>COUNTIFS(Table21[Country],Tabela1[[#This Row],[Country]],Table21[200m Butterfly Classification],"&gt;0")</f>
        <v>0</v>
      </c>
      <c r="JY9" s="6">
        <f>COUNTIFS(Table20[Country],Tabela1[[#This Row],[Country]],Table20[200m Medley Classification],"&gt;0")</f>
        <v>0</v>
      </c>
      <c r="JZ9" s="6">
        <f>COUNTIFS(Table21[Country],Tabela1[[#This Row],[Country]],Table21[200m Medley Classification],"&gt;0")</f>
        <v>0</v>
      </c>
      <c r="KA9" s="6">
        <f>COUNTIFS(Table20[Country],Tabela1[[#This Row],[Country]],Table20[400m Medley Classification],"&gt;0")</f>
        <v>0</v>
      </c>
      <c r="KB9" s="6">
        <f>COUNTIFS(Table21[Country],Tabela1[[#This Row],[Country]],Table21[400m Medley Classification],"&gt;0")</f>
        <v>0</v>
      </c>
      <c r="KC9" s="6">
        <f>COUNTIFS(Table78[Country],Tabela1[[#This Row],[Country]],Table78[Men''s 4x100m Freestyle Relay Classification],"&gt;0")</f>
        <v>1</v>
      </c>
      <c r="KD9" s="6">
        <f>COUNTIFS(Table78[Country],Tabela1[[#This Row],[Country]],Table78[Women''s 4x100m Freestyle Relay Classification],"&gt;0")</f>
        <v>1</v>
      </c>
      <c r="KE9" s="6">
        <f>COUNTIFS(Table78[Country],Tabela1[[#This Row],[Country]],Table78[Men''s 4x200m Freestyle Relay Classification],"&gt;0")</f>
        <v>0</v>
      </c>
      <c r="KF9" s="6">
        <f>COUNTIFS(Table78[Country],Tabela1[[#This Row],[Country]],Table78[Women''s 4x200m Freestyle Relay Classification],"&gt;0")</f>
        <v>1</v>
      </c>
      <c r="KG9" s="6">
        <f>COUNTIFS(Table78[Country],Tabela1[[#This Row],[Country]],Table78[Men''s 4x100m Medley Relay Classification],"&gt;0")</f>
        <v>1</v>
      </c>
      <c r="KH9" s="6">
        <f>COUNTIFS(Table78[Country],Tabela1[[#This Row],[Country]],Table78[Women''s 4x100m Medley Relay Classification],"&gt;0")</f>
        <v>1</v>
      </c>
      <c r="KI9" s="6">
        <f>COUNTIFS(Table78[Country],Tabela1[[#This Row],[Country]],Table78[Mixed 4x100m Medley Relay Classification],"&gt;0")</f>
        <v>0</v>
      </c>
      <c r="KJ9" s="6">
        <f>COUNTIFS(Table20[Country],Tabela1[[#This Row],[Country]],Table20[10km Open Water Classification],"&gt;0")</f>
        <v>0</v>
      </c>
      <c r="KK9" s="6">
        <f>COUNTIFS(Table21[Country],Tabela1[[#This Row],[Country]],Table21[10km Open Water Classification],"&gt;0")</f>
        <v>0</v>
      </c>
      <c r="KL9" s="6">
        <f>COUNTIFS(Table22[Country],Tabela1[[#This Row],[Country]],Table22[Classification],"&gt;0")</f>
        <v>0</v>
      </c>
      <c r="KM9" s="6">
        <f>COUNTIFS(Table30[Country],Tabela1[[#This Row],[Country]],Table30[Classification],"&gt;0")</f>
        <v>1</v>
      </c>
      <c r="KN9" s="6">
        <f>COUNTIFS(Table55[Country],Tabela1[[#This Row],[Country]],Table55[Men''s Classification],"&gt;0")</f>
        <v>1</v>
      </c>
      <c r="KO9" s="6">
        <f>COUNTIFS(Table55[Country],Tabela1[[#This Row],[Country]],Table55[Women''s Classification],"&gt;0")</f>
        <v>1</v>
      </c>
      <c r="KP9" s="6">
        <f>COUNTIFS(Table56[Country],Tabela1[[#This Row],[Country]],Table56[Mixed Classification],"&gt;0")</f>
        <v>1</v>
      </c>
      <c r="KQ9" s="6">
        <f>COUNTIFS(Table29[Country],Tabela1[[#This Row],[Country]],Table29[58kg Classification],"&gt;0")</f>
        <v>0</v>
      </c>
      <c r="KR9" s="6">
        <f>COUNTIFS(Table29[Country],Tabela1[[#This Row],[Country]],Table29[68kg Classification],"&gt;0")</f>
        <v>0</v>
      </c>
      <c r="KS9" s="6">
        <f>COUNTIFS(Table29[Country],Tabela1[[#This Row],[Country]],Table29[80kg Classification],"&gt;0")</f>
        <v>0</v>
      </c>
      <c r="KT9" s="6">
        <f>COUNTIFS(Table29[Country],Tabela1[[#This Row],[Country]],Table29[Plus 80kg Classification],"&gt;0")</f>
        <v>1</v>
      </c>
      <c r="KU9" s="6">
        <f>COUNTIFS(Table34[Country],Tabela1[[#This Row],[Country]],Table34[49kg Classification],"&gt;0")</f>
        <v>0</v>
      </c>
      <c r="KV9" s="6">
        <f>COUNTIFS(Table34[Country],Tabela1[[#This Row],[Country]],Table34[57kg Classification],"&gt;0")</f>
        <v>0</v>
      </c>
      <c r="KW9" s="6">
        <f>COUNTIFS(Table34[Country],Tabela1[[#This Row],[Country]],Table34[67kg Classification],"&gt;0")</f>
        <v>0</v>
      </c>
      <c r="KX9" s="6">
        <f>COUNTIFS(Table34[Country],Tabela1[[#This Row],[Country]],Table34[Plus 67kg Classification],"&gt;0")</f>
        <v>0</v>
      </c>
      <c r="KY9" s="6">
        <f>COUNTIFS(Table57[Country],Tabela1[[#This Row],[Country]],Table57[Classification],"&gt;0")</f>
        <v>0</v>
      </c>
      <c r="KZ9" s="6">
        <f>COUNTIFS(Table58[Country],Tabela1[[#This Row],[Country]],Table58[Classification],"&gt;0")</f>
        <v>1</v>
      </c>
      <c r="LA9" s="6">
        <f>COUNTIFS(Table79[Country],Tabela1[[#This Row],[Country]],Table79[Men''s Classification],"&gt;0")</f>
        <v>0</v>
      </c>
      <c r="LB9" s="6">
        <f>COUNTIFS(Table79[Country],Tabela1[[#This Row],[Country]],Table79[Women''s Classification],"&gt;0")</f>
        <v>2</v>
      </c>
      <c r="LC9" s="6">
        <f>COUNTIFS(Table79[Country],Tabela1[[#This Row],[Country]],Table79[Mixed Classification],"&gt;0")</f>
        <v>0</v>
      </c>
      <c r="LD9" s="6">
        <f>COUNTIFS(Table65[Country],Tabela1[[#This Row],[Country]],Table65[Classification],"&gt;0")</f>
        <v>0</v>
      </c>
      <c r="LE9" s="6">
        <f>COUNTIFS(Table59[Country],Tabela1[[#This Row],[Country]],Table59[Classification],"&gt;0")</f>
        <v>0</v>
      </c>
      <c r="LF9" s="6">
        <f>COUNTIFS(Table87[Country],Tabela1[[#This Row],[Country]],Table87[Mixed Relay Classification],"&gt;0")</f>
        <v>0</v>
      </c>
      <c r="LG9" s="6">
        <f>COUNTIFS(Table91949698100[Country],Tabela1[[#This Row],[Country]],Table91949698100[Men''s Classification],"&gt;0")</f>
        <v>0</v>
      </c>
      <c r="LH9" s="6">
        <f>COUNTIFS(Table91949698100[Country],Tabela1[[#This Row],[Country]],Table91949698100[Women''s Classification],"&gt;0")</f>
        <v>1</v>
      </c>
      <c r="LI9" s="6">
        <f>COUNTIFS(Table91949698100102[Country],Tabela1[[#This Row],[Country]],Table91949698100102[Men''s Classification],"&gt;0")</f>
        <v>0</v>
      </c>
      <c r="LJ9" s="6">
        <f>COUNTIFS(Table91949698100102[Country],Tabela1[[#This Row],[Country]],Table91949698100102[Women''s Classification],"&gt;0")</f>
        <v>1</v>
      </c>
      <c r="LK9" s="6">
        <f>COUNTIFS(Table23[Country],Tabela1[[#This Row],[Country]],Table23[61kg Classification],"&gt;0")</f>
        <v>0</v>
      </c>
      <c r="LL9" s="6">
        <f>COUNTIFS(Table23[Country],Tabela1[[#This Row],[Country]],Table23[73kg Classification],"&gt;0")</f>
        <v>0</v>
      </c>
      <c r="LM9" s="6">
        <f>COUNTIFS(Table23[Country],Tabela1[[#This Row],[Country]],Table23[89kg Classification],"&gt;0")</f>
        <v>0</v>
      </c>
      <c r="LN9" s="6">
        <f>COUNTIFS(Table23[Country],Tabela1[[#This Row],[Country]],Table23[102kg Classification],"&gt;0")</f>
        <v>0</v>
      </c>
      <c r="LO9" s="6">
        <f>COUNTIFS(Table23[Country],Tabela1[[#This Row],[Country]],Table23[Plus 102kg Classification],"&gt;0")</f>
        <v>0</v>
      </c>
      <c r="LP9" s="6">
        <f>COUNTIFS(Table28[Country],Tabela1[[#This Row],[Country]],Table28[49kg Classification],"&gt;0")</f>
        <v>0</v>
      </c>
      <c r="LQ9" s="6">
        <f>COUNTIFS(Table28[Country],Tabela1[[#This Row],[Country]],Table28[59kg Classification],"&gt;0")</f>
        <v>0</v>
      </c>
      <c r="LR9" s="6">
        <f>COUNTIFS(Table28[Country],Tabela1[[#This Row],[Country]],Table28[71kg Classification],"&gt;0")</f>
        <v>0</v>
      </c>
      <c r="LS9" s="6">
        <f>COUNTIFS(Table28[Country],Tabela1[[#This Row],[Country]],Table28[81kg Classification],"&gt;0")</f>
        <v>0</v>
      </c>
      <c r="LT9" s="6">
        <f>COUNTIFS(Table28[Country],Tabela1[[#This Row],[Country]],Table28[Plus 81kg Classification],"&gt;0")</f>
        <v>1</v>
      </c>
      <c r="LU9" s="6">
        <f>COUNTIFS(Table24[Country],Tabela1[[#This Row],[Country]],Table24[Freestyle 57kg Classification],"&gt;0")</f>
        <v>0</v>
      </c>
      <c r="LV9" s="6">
        <f>COUNTIFS(Table24[Country],Tabela1[[#This Row],[Country]],Table24[Freestyle 65kg Classification],"&gt;0")</f>
        <v>0</v>
      </c>
      <c r="LW9" s="6">
        <f>COUNTIFS(Table24[Country],Tabela1[[#This Row],[Country]],Table24[Freestyle 74kg Classification],"&gt;0")</f>
        <v>0</v>
      </c>
      <c r="LX9" s="6">
        <f>COUNTIFS(Table24[Country],Tabela1[[#This Row],[Country]],Table24[Freestyle 86kg Classification],"&gt;0")</f>
        <v>0</v>
      </c>
      <c r="LY9" s="6">
        <f>COUNTIFS(Table24[Country],Tabela1[[#This Row],[Country]],Table24[Freestyle 97kg Classification],"&gt;0")</f>
        <v>1</v>
      </c>
      <c r="LZ9" s="6">
        <f>COUNTIFS(Table24[Country],Tabela1[[#This Row],[Country]],Table24[Freestyle 125kg Classification],"&gt;0")</f>
        <v>1</v>
      </c>
      <c r="MA9" s="6">
        <f>COUNTIFS(Table24[Country],Tabela1[[#This Row],[Country]],Table24[Greco-Roman 60kg Classification],"&gt;0")</f>
        <v>0</v>
      </c>
      <c r="MB9" s="6">
        <f>COUNTIFS(Table24[Country],Tabela1[[#This Row],[Country]],Table24[Greco-Roman 67kg Classification],"&gt;0")</f>
        <v>0</v>
      </c>
      <c r="MC9" s="6">
        <f>COUNTIFS(Table24[Country],Tabela1[[#This Row],[Country]],Table24[Greco-Roman 77kg Classification],"&gt;0")</f>
        <v>0</v>
      </c>
      <c r="MD9" s="6">
        <f>COUNTIFS(Table24[Country],Tabela1[[#This Row],[Country]],Table24[Greco-Roman 87kg Classification],"&gt;0")</f>
        <v>1</v>
      </c>
      <c r="ME9" s="6">
        <f>COUNTIFS(Table24[Country],Tabela1[[#This Row],[Country]],Table24[Greco-Roman 97kg Classification],"&gt;0")</f>
        <v>0</v>
      </c>
      <c r="MF9" s="6">
        <f>COUNTIFS(Table24[Country],Tabela1[[#This Row],[Country]],Table24[Greco-Roman 130kg Classification],"&gt;0")</f>
        <v>0</v>
      </c>
      <c r="MG9" s="6">
        <f>COUNTIFS(Table31[Country],Tabela1[[#This Row],[Country]],Table31[50kg Classification],"&gt;0")</f>
        <v>0</v>
      </c>
      <c r="MH9" s="6">
        <f>COUNTIFS(Table31[Country],Tabela1[[#This Row],[Country]],Table31[53kg Classification],"&gt;0")</f>
        <v>0</v>
      </c>
      <c r="MI9" s="6">
        <f>COUNTIFS(Table31[Country],Tabela1[[#This Row],[Country]],Table31[57kg Classification],"&gt;0")</f>
        <v>0</v>
      </c>
      <c r="MJ9" s="6">
        <f>COUNTIFS(Table31[Country],Tabela1[[#This Row],[Country]],Table31[62kg Classification],"&gt;0")</f>
        <v>0</v>
      </c>
      <c r="MK9" s="6">
        <f>COUNTIFS(Table31[Country],Tabela1[[#This Row],[Country]],Table31[68kg Classification],"&gt;0")</f>
        <v>1</v>
      </c>
      <c r="ML9" s="6">
        <f>COUNTIFS(Table31[Country],Tabela1[[#This Row],[Country]],Table31[76kg Classification],"&gt;0")</f>
        <v>1</v>
      </c>
      <c r="MM9" s="6">
        <f>COUNTIFS(Table102[Country],Tabela1[[#This Row],[Country]],Table102[Downhill Classification],"&gt;0")</f>
        <v>0</v>
      </c>
      <c r="MN9" s="6">
        <f>COUNTIFS(Table102105[Country],Tabela1[[#This Row],[Country]],Table102105[Downhill Classification],"&gt;0")</f>
        <v>0</v>
      </c>
      <c r="MO9" s="6">
        <f>COUNTIFS(Table102[Country],Tabela1[[#This Row],[Country]],Table102[Giant Slalom Classification],"&gt;0")</f>
        <v>0</v>
      </c>
      <c r="MP9" s="6">
        <f>COUNTIFS(Table102105[Country],Tabela1[[#This Row],[Country]],Table102105[Giant Slalom Classification],"&gt;0")</f>
        <v>0</v>
      </c>
      <c r="MQ9" s="6">
        <f>COUNTIFS(Table102[Country],Tabela1[[#This Row],[Country]],Table102[Slalom Classification],"&gt;0")</f>
        <v>0</v>
      </c>
      <c r="MR9" s="6">
        <f>COUNTIFS(Table102105[Country],Tabela1[[#This Row],[Country]],Table102105[Slalom Classification],"&gt;0")</f>
        <v>0</v>
      </c>
      <c r="MS9" s="6">
        <f>COUNTIFS(Table102[Country],Tabela1[[#This Row],[Country]],Table102[Super-G Classification],"&gt;0")</f>
        <v>0</v>
      </c>
      <c r="MT9" s="6">
        <f>COUNTIFS(Table102105[Country],Tabela1[[#This Row],[Country]],Table102105[Super-G Classification],"&gt;0")</f>
        <v>0</v>
      </c>
      <c r="MU9" s="6">
        <f>COUNTIFS(Table105[Country],Tabela1[[#This Row],[Country]],Table105[Men''s Combined Classification],"&gt;0")</f>
        <v>0</v>
      </c>
      <c r="MV9" s="6">
        <f>COUNTIFS(Table105[Country],Tabela1[[#This Row],[Country]],Table105[Women''s Combined Classification],"&gt;0")</f>
        <v>0</v>
      </c>
      <c r="MW9" s="6">
        <f>COUNTIFS(Table106[Country],Tabela1[[#This Row],[Country]],Table106[Individual Classification],"&gt;0")</f>
        <v>0</v>
      </c>
      <c r="MX9" s="6">
        <f>COUNTIFS(Table106109[Country],Tabela1[[#This Row],[Country]],Table106109[Individual Classification],"&gt;0")</f>
        <v>1</v>
      </c>
      <c r="MY9" s="6">
        <f>COUNTIFS(Table106[Country],Tabela1[[#This Row],[Country]],Table106[Mass Start Classification],"&gt;0")</f>
        <v>0</v>
      </c>
      <c r="MZ9" s="6">
        <f>COUNTIFS(Table106109[Country],Tabela1[[#This Row],[Country]],Table106109[Mass Start Classification],"&gt;0")</f>
        <v>0</v>
      </c>
      <c r="NA9" s="6">
        <f>COUNTIFS(Table106[Country],Tabela1[[#This Row],[Country]],Table106[Pursuit Classification],"&gt;0")</f>
        <v>0</v>
      </c>
      <c r="NB9" s="6">
        <f>COUNTIFS(Table106109[Country],Tabela1[[#This Row],[Country]],Table106109[Pursuit Classification],"&gt;0")</f>
        <v>1</v>
      </c>
      <c r="NC9" s="6">
        <f>COUNTIFS(Table106[Country],Tabela1[[#This Row],[Country]],Table106[Sprint Classification],"&gt;0")</f>
        <v>0</v>
      </c>
      <c r="ND9" s="6">
        <f>COUNTIFS(Table106109[Country],Tabela1[[#This Row],[Country]],Table106109[Sprint Classification],"&gt;0")</f>
        <v>1</v>
      </c>
      <c r="NE9" s="6">
        <f>COUNTIFS(Table109[Country],Tabela1[[#This Row],[Country]],Table109[Men''s Relay Classification],"&gt;0")</f>
        <v>0</v>
      </c>
      <c r="NF9" s="6">
        <f>COUNTIFS(Table109[Country],Tabela1[[#This Row],[Country]],Table109[Women''s Relay Classification],"&gt;0")</f>
        <v>0</v>
      </c>
      <c r="NG9" s="6">
        <f>COUNTIFS(Table109[Country],Tabela1[[#This Row],[Country]],Table109[Mixed Relay Classification],"&gt;0")</f>
        <v>0</v>
      </c>
      <c r="NH9" s="6">
        <f>COUNTIFS(Table110[Country],Tabela1[[#This Row],[Country]],Table110[Monobob Classification],"&gt;0")</f>
        <v>0</v>
      </c>
      <c r="NI9" s="6">
        <f>COUNTIFS(Table111[Country],Tabela1[[#This Row],[Country]],Table111[Men''s Classification],"&gt;0")</f>
        <v>2</v>
      </c>
      <c r="NJ9" s="6">
        <f>COUNTIFS(Table111[Country],Tabela1[[#This Row],[Country]],Table111[Women''s Classification],"&gt;0")</f>
        <v>2</v>
      </c>
      <c r="NK9" s="6">
        <f>COUNTIFS(Table112[Country],Tabela1[[#This Row],[Country]],Table112[Men''s Four Classification],"&gt;0")</f>
        <v>2</v>
      </c>
      <c r="NL9" s="6">
        <f>COUNTIFS(Table113[Country],Tabela1[[#This Row],[Country]],Table113[Classical Classification],"&gt;0")</f>
        <v>0</v>
      </c>
      <c r="NM9" s="6">
        <f>COUNTIFS(Table113116[Country],Tabela1[[#This Row],[Country]],Table113116[Classical Classification],"&gt;0")</f>
        <v>4</v>
      </c>
      <c r="NN9" s="6">
        <f>COUNTIFS(Table113[Country],Tabela1[[#This Row],[Country]],Table113[Freestyle Classification],"&gt;0")</f>
        <v>0</v>
      </c>
      <c r="NO9" s="6">
        <f>COUNTIFS(Table113116[Country],Tabela1[[#This Row],[Country]],Table113116[Freestyle Classification],"&gt;0")</f>
        <v>4</v>
      </c>
      <c r="NP9" s="6">
        <f>COUNTIFS(Table117[Country],Tabela1[[#This Row],[Country]],Table117[Men''s Relay Classification],"&gt;0")</f>
        <v>0</v>
      </c>
      <c r="NQ9" s="6">
        <f>COUNTIFS(Table117[Country],Tabela1[[#This Row],[Country]],Table117[Women''s Relay Classification],"&gt;0")</f>
        <v>1</v>
      </c>
      <c r="NR9" s="6">
        <f>COUNTIFS(Table113[Country],Tabela1[[#This Row],[Country]],Table113[Skiathlon Classification],"&gt;0")</f>
        <v>0</v>
      </c>
      <c r="NS9" s="6">
        <f>COUNTIFS(Table113116[Country],Tabela1[[#This Row],[Country]],Table113116[Skiathlon Classification],"&gt;0")</f>
        <v>4</v>
      </c>
      <c r="NT9" s="6">
        <f>COUNTIFS(Table113[Country],Tabela1[[#This Row],[Country]],Table113[Sprint Classification],"&gt;0")</f>
        <v>0</v>
      </c>
      <c r="NU9" s="6">
        <f>COUNTIFS(Table113116[Country],Tabela1[[#This Row],[Country]],Table113116[Sprint Classification],"&gt;0")</f>
        <v>4</v>
      </c>
      <c r="NV9" s="6">
        <f>COUNTIFS(Table116[Country],Tabela1[[#This Row],[Country]],Table116[Men''s Team Sprint Classification],"&gt;0")</f>
        <v>0</v>
      </c>
      <c r="NW9" s="6">
        <f>COUNTIFS(Table116[Country],Tabela1[[#This Row],[Country]],Table116[Women''s Team Sprint Classification],"&gt;0")</f>
        <v>1</v>
      </c>
      <c r="NX9" s="6">
        <f>COUNTIFS(Table119[Country],Tabela1[[#This Row],[Country]],Table119[Men''s Classification],"&gt;0")</f>
        <v>1</v>
      </c>
      <c r="NY9" s="6">
        <f>COUNTIFS(Table119[Country],Tabela1[[#This Row],[Country]],Table119[Women''s Classification],"&gt;0")</f>
        <v>0</v>
      </c>
      <c r="NZ9" s="6">
        <f>COUNTIFS(Table118[Country],Tabela1[[#This Row],[Country]],Table118[Mixed Classification],"&gt;0")</f>
        <v>0</v>
      </c>
      <c r="OA9" s="6">
        <f>COUNTIFS(Table120[Country],Tabela1[[#This Row],[Country]],Table120[Classification],"&gt;0")</f>
        <v>0</v>
      </c>
      <c r="OB9" s="6">
        <f>COUNTIFS(Table120123[Country],Tabela1[[#This Row],[Country]],Table120123[Classification],"&gt;0")</f>
        <v>0</v>
      </c>
      <c r="OC9" s="6">
        <f>COUNTIFS(Table123[Country],Tabela1[[#This Row],[Country]],Table123[Ice Dance Classification],"&gt;0")</f>
        <v>0</v>
      </c>
      <c r="OD9" s="6">
        <f>COUNTIFS(Table123[Country],Tabela1[[#This Row],[Country]],Table123[Pair Skating Classification],"&gt;0")</f>
        <v>0</v>
      </c>
      <c r="OE9" s="6">
        <f>COUNTIFS(Table124[Country],Tabela1[[#This Row],[Country]],Table124[Mixed Classification],"&gt;0")</f>
        <v>0</v>
      </c>
      <c r="OF9" s="6">
        <f>COUNTIFS(Table125[Country],Tabela1[[#This Row],[Country]],Table125[Aerials Classification],"&gt;0")</f>
        <v>1</v>
      </c>
      <c r="OG9" s="6">
        <f>COUNTIFS(Table125128[Country],Tabela1[[#This Row],[Country]],Table125128[Aerials Classification],"&gt;0")</f>
        <v>3</v>
      </c>
      <c r="OH9" s="6">
        <f>COUNTIFS(Table128[Country],Tabela1[[#This Row],[Country]],Table128[Mixed Aerials Classification],"&gt;0")</f>
        <v>1</v>
      </c>
      <c r="OI9" s="6">
        <f>COUNTIFS(Table125[Country],Tabela1[[#This Row],[Country]],Table125[Big Air Classification],"&gt;0")</f>
        <v>0</v>
      </c>
      <c r="OJ9" s="6">
        <f>COUNTIFS(Table125128[Country],Tabela1[[#This Row],[Country]],Table125128[Big Air Classification],"&gt;0")</f>
        <v>2</v>
      </c>
      <c r="OK9" s="6">
        <f>COUNTIFS(Table125[Country],Tabela1[[#This Row],[Country]],Table125[Dual Moguls Classification],"&gt;0")</f>
        <v>0</v>
      </c>
      <c r="OL9" s="6">
        <f>COUNTIFS(Table125128[Country],Tabela1[[#This Row],[Country]],Table125128[Dual Moguls Classification],"&gt;0")</f>
        <v>0</v>
      </c>
      <c r="OM9" s="6">
        <f>COUNTIFS(Table125[Country],Tabela1[[#This Row],[Country]],Table125[Halfpipe Classification],"&gt;0")</f>
        <v>2</v>
      </c>
      <c r="ON9" s="6">
        <f>COUNTIFS(Table125128[Country],Tabela1[[#This Row],[Country]],Table125128[Halfpipe Classification],"&gt;0")</f>
        <v>2</v>
      </c>
      <c r="OO9" s="6">
        <f>COUNTIFS(Table125[Country],Tabela1[[#This Row],[Country]],Table125[Moguls Classification],"&gt;0")</f>
        <v>0</v>
      </c>
      <c r="OP9" s="6">
        <f>COUNTIFS(Table125128[Country],Tabela1[[#This Row],[Country]],Table125128[Moguls Classification],"&gt;0")</f>
        <v>0</v>
      </c>
      <c r="OQ9" s="6">
        <f>COUNTIFS(Table125[Country],Tabela1[[#This Row],[Country]],Table125[Ski Cross Classification],"&gt;0")</f>
        <v>0</v>
      </c>
      <c r="OR9" s="6">
        <f>COUNTIFS(Table125128[Country],Tabela1[[#This Row],[Country]],Table125128[Ski Cross Classification],"&gt;0")</f>
        <v>0</v>
      </c>
      <c r="OS9" s="6">
        <f>COUNTIFS(Table125[Country],Tabela1[[#This Row],[Country]],Table125[Slopestyle Classification],"&gt;0")</f>
        <v>0</v>
      </c>
      <c r="OT9" s="6">
        <f>COUNTIFS(Table125128[Country],Tabela1[[#This Row],[Country]],Table125128[Slopestyle Classification],"&gt;0")</f>
        <v>2</v>
      </c>
      <c r="OU9" s="6">
        <f>COUNTIFS(Table119131[Country],Tabela1[[#This Row],[Country]],Table119131[Men''s Classification],"&gt;0")</f>
        <v>0</v>
      </c>
      <c r="OV9" s="6">
        <f>COUNTIFS(Table119131[Country],Tabela1[[#This Row],[Country]],Table119131[Women''s Classification],"&gt;0")</f>
        <v>0</v>
      </c>
      <c r="OW9" s="6">
        <f>COUNTIFS(Table131[Country],Tabela1[[#This Row],[Country]],Table131[Classification],"&gt;0")</f>
        <v>0</v>
      </c>
      <c r="OX9" s="6">
        <f>COUNTIFS(Table131134[Country],Tabela1[[#This Row],[Country]],Table131134[Classification],"&gt;0")</f>
        <v>1</v>
      </c>
      <c r="OY9" s="6">
        <f>COUNTIFS(Table134[Country],Tabela1[[#This Row],[Country]],Table134[Men''s Classification],"&gt;0")</f>
        <v>1</v>
      </c>
      <c r="OZ9" s="6">
        <f>COUNTIFS(Table134[Country],Tabela1[[#This Row],[Country]],Table134[Women''s Classification],"&gt;0")</f>
        <v>1</v>
      </c>
      <c r="PA9" s="6">
        <f>COUNTIFS(Table135[Country],Tabela1[[#This Row],[Country]],Table135[Mixed Relay Classification],"&gt;0")</f>
        <v>1</v>
      </c>
      <c r="PB9" s="6">
        <f>COUNTIFS(Table136[Country],Tabela1[[#This Row],[Country]],Table136[Individual Classification],"&gt;0")</f>
        <v>0</v>
      </c>
      <c r="PC9" s="6">
        <f>COUNTIFS(Table136[Country],Tabela1[[#This Row],[Country]],Table136[Sprint Classification],"&gt;0")</f>
        <v>0</v>
      </c>
      <c r="PD9" s="6">
        <f>COUNTIFS(Table137[Country],Tabela1[[#This Row],[Country]],Table137[Men''s Team Sprint Large Hill Classification],"&gt;0")</f>
        <v>0</v>
      </c>
      <c r="PE9" s="6">
        <f>COUNTIFS(Table138[Country],Tabela1[[#This Row],[Country]],Table138[500m Classification],"&gt;0")</f>
        <v>0</v>
      </c>
      <c r="PF9" s="6">
        <f>COUNTIFS(Table138141[Country],Tabela1[[#This Row],[Country]],Table138141[500m Classification],"&gt;0")</f>
        <v>0</v>
      </c>
      <c r="PG9" s="6">
        <f>COUNTIFS(Table138[Country],Tabela1[[#This Row],[Country]],Table138[1000m Classification],"&gt;0")</f>
        <v>0</v>
      </c>
      <c r="PH9" s="6">
        <f>COUNTIFS(Table138141[Country],Tabela1[[#This Row],[Country]],Table138141[1000m Classification],"&gt;0")</f>
        <v>0</v>
      </c>
      <c r="PI9" s="6">
        <f>COUNTIFS(Table138[Country],Tabela1[[#This Row],[Country]],Table138[1500m Classification],"&gt;0")</f>
        <v>0</v>
      </c>
      <c r="PJ9" s="6">
        <f>COUNTIFS(Table138141[Country],Tabela1[[#This Row],[Country]],Table138141[1500m Classification],"&gt;0")</f>
        <v>0</v>
      </c>
      <c r="PK9" s="6">
        <f>COUNTIFS(Table141[Country],Tabela1[[#This Row],[Country]],Table141[Men''s 5000m Relay Classification],"&gt;0")</f>
        <v>1</v>
      </c>
      <c r="PL9" s="6">
        <f>COUNTIFS(Table141[Country],Tabela1[[#This Row],[Country]],Table141[Women''s 3000m Relay Classification],"&gt;0")</f>
        <v>0</v>
      </c>
      <c r="PM9" s="6">
        <f>COUNTIFS(Table141[Country],Tabela1[[#This Row],[Country]],Table141[Mixed 2000m Relay Classification],"&gt;0")</f>
        <v>0</v>
      </c>
      <c r="PN9" s="6">
        <f>COUNTIFS(Table142[Country],Tabela1[[#This Row],[Country]],Table142[Classification],"&gt;0")</f>
        <v>0</v>
      </c>
      <c r="PO9" s="6">
        <f>COUNTIFS(Table142145[Country],Tabela1[[#This Row],[Country]],Table142145[Classification],"&gt;0")</f>
        <v>0</v>
      </c>
      <c r="PP9" s="6">
        <f>COUNTIFS(Tabela15[Country],Tabela1[[#This Row],[Country]],Tabela15[Mixed Team Classification],"&gt;0")</f>
        <v>0</v>
      </c>
      <c r="PQ9" s="6">
        <f>COUNTIFS(Table145[Country],Tabela1[[#This Row],[Country]],Table145[Large Hill Classification],"&gt;0")</f>
        <v>0</v>
      </c>
      <c r="PR9" s="6">
        <f>COUNTIFS(Table145[Country],Tabela1[[#This Row],[Country]],Table145[Normal Hill Classification],"&gt;0")</f>
        <v>0</v>
      </c>
      <c r="PS9" s="6">
        <f>COUNTIFS(Table145148[Country],Tabela1[[#This Row],[Country]],Table145148[Large Hill Classification],"&gt;0")</f>
        <v>1</v>
      </c>
      <c r="PT9" s="6">
        <f>COUNTIFS(Table145148[Country],Tabela1[[#This Row],[Country]],Table145148[Normal Hill Classification],"&gt;0")</f>
        <v>1</v>
      </c>
      <c r="PU9" s="6">
        <f>COUNTIFS(Table148[Country],Tabela1[[#This Row],[Country]],Table148[Men''s Super Team Classification],"&gt;0")</f>
        <v>0</v>
      </c>
      <c r="PV9" s="6">
        <f>COUNTIFS(Tabela114[Country],Tabela1[[#This Row],[Country]],Tabela114[Mixed Normal Hill Classification],"&gt;0")</f>
        <v>1</v>
      </c>
      <c r="PW9" s="6">
        <f>COUNTIFS(Tabela50[Country],Tabela1[[#This Row],[Country]],Tabela50[Sprint Classification],"&gt;0")</f>
        <v>1</v>
      </c>
      <c r="PX9" s="6">
        <f>COUNTIFS(Tabela50101[Country],Tabela1[[#This Row],[Country]],Tabela50101[Sprint Classification],"&gt;0")</f>
        <v>0</v>
      </c>
      <c r="PY9" s="6">
        <f>COUNTIFS(Tabela103[Country],Tabela1[[#This Row],[Country]],Tabela103[Mixed Relay Classification],"&gt;0")</f>
        <v>1</v>
      </c>
      <c r="PZ9" s="6">
        <f>COUNTIFS(Table149[Country],Tabela1[[#This Row],[Country]],Table149[Big Air Classification],"&gt;0")</f>
        <v>1</v>
      </c>
      <c r="QA9" s="6">
        <f>COUNTIFS(Table149152[Country],Tabela1[[#This Row],[Country]],Table149152[Big Air Classification],"&gt;0")</f>
        <v>0</v>
      </c>
      <c r="QB9" s="6">
        <f>COUNTIFS(Table149[Country],Tabela1[[#This Row],[Country]],Table149[Halfpipe Classification],"&gt;0")</f>
        <v>1</v>
      </c>
      <c r="QC9" s="6">
        <f>COUNTIFS(Table149152[Country],Tabela1[[#This Row],[Country]],Table149152[Halfpipe Classification],"&gt;0")</f>
        <v>1</v>
      </c>
      <c r="QD9" s="6">
        <f>COUNTIFS(Table149[Country],Tabela1[[#This Row],[Country]],Table149[Parallel Giant Slalom Classification],"&gt;0")</f>
        <v>0</v>
      </c>
      <c r="QE9" s="6">
        <f>COUNTIFS(Table149152[Country],Tabela1[[#This Row],[Country]],Table149152[Parallel Giant Slalom Classification],"&gt;0")</f>
        <v>0</v>
      </c>
      <c r="QF9" s="6">
        <f>COUNTIFS(Table149[Country],Tabela1[[#This Row],[Country]],Table149[Slopestyle Classification],"&gt;0")</f>
        <v>1</v>
      </c>
      <c r="QG9" s="6">
        <f>COUNTIFS(Table149152[Country],Tabela1[[#This Row],[Country]],Table149152[Slopestyle Classification],"&gt;0")</f>
        <v>0</v>
      </c>
      <c r="QH9" s="6">
        <f>COUNTIFS(Table149[Country],Tabela1[[#This Row],[Country]],Table149[Snowboard Cross Classification],"&gt;0")</f>
        <v>0</v>
      </c>
      <c r="QI9" s="6">
        <f>COUNTIFS(Table149152[Country],Tabela1[[#This Row],[Country]],Table149152[Snowboard Cross Classification],"&gt;0")</f>
        <v>0</v>
      </c>
      <c r="QJ9" s="6">
        <f>COUNTIFS(Table153[Country],Tabela1[[#This Row],[Country]],Table153[Mixed Team Snowboard Cross Classification],"&gt;0")</f>
        <v>0</v>
      </c>
      <c r="QK9" s="6">
        <f>COUNTIFS(Table154[Country],Tabela1[[#This Row],[Country]],Table154[500m Classification],"&gt;0")</f>
        <v>0</v>
      </c>
      <c r="QL9" s="6">
        <f>COUNTIFS(Table154157[Country],Tabela1[[#This Row],[Country]],Table154157[500m Classification],"&gt;0")</f>
        <v>1</v>
      </c>
      <c r="QM9" s="6">
        <f>COUNTIFS(Table154[Country],Tabela1[[#This Row],[Country]],Table154[1000m Classification],"&gt;0")</f>
        <v>0</v>
      </c>
      <c r="QN9" s="6">
        <f>COUNTIFS(Table154157[Country],Tabela1[[#This Row],[Country]],Table154157[1000m Classification],"&gt;0")</f>
        <v>2</v>
      </c>
      <c r="QO9" s="6">
        <f>COUNTIFS(Table154[Country],Tabela1[[#This Row],[Country]],Table154[1500m Classification],"&gt;0")</f>
        <v>0</v>
      </c>
      <c r="QP9" s="6">
        <f>COUNTIFS(Table154157[Country],Tabela1[[#This Row],[Country]],Table154157[1500m Classification],"&gt;0")</f>
        <v>1</v>
      </c>
      <c r="QQ9" s="6">
        <f>COUNTIFS(Table154157[Country],Tabela1[[#This Row],[Country]],Table154157[3000m Classification],"&gt;0")</f>
        <v>0</v>
      </c>
      <c r="QR9" s="6">
        <f>COUNTIFS(Table154[Country],Tabela1[[#This Row],[Country]],Table154[5000m Classification],"&gt;0")</f>
        <v>0</v>
      </c>
      <c r="QS9" s="6">
        <f>COUNTIFS(Table154157[Country],Tabela1[[#This Row],[Country]],Table154157[5000m Classification],"&gt;0")</f>
        <v>0</v>
      </c>
      <c r="QT9" s="6">
        <f>COUNTIFS(Table154[Country],Tabela1[[#This Row],[Country]],Table154[10000m Classification],"&gt;0")</f>
        <v>0</v>
      </c>
      <c r="QU9" s="6">
        <f>COUNTIFS(Table154[Country],Tabela1[[#This Row],[Country]],Table154[Mass Start Classification],"&gt;0")</f>
        <v>2</v>
      </c>
      <c r="QV9" s="6">
        <f>COUNTIFS(Table154157[Country],Tabela1[[#This Row],[Country]],Table154157[Mass Start Classification],"&gt;0")</f>
        <v>1</v>
      </c>
      <c r="QW9" s="6">
        <f>COUNTIFS(Table157[Country],Tabela1[[#This Row],[Country]],Table157[Men''s Pursuit Classification],"&gt;0")</f>
        <v>1</v>
      </c>
      <c r="QX9" s="6">
        <f>COUNTIFS(Table157[Country],Tabela1[[#This Row],[Country]],Table157[Women''s Pursuit Classification],"&gt;0")</f>
        <v>1</v>
      </c>
      <c r="QY9" s="3" t="s">
        <v>329</v>
      </c>
    </row>
    <row r="10" spans="1:467" x14ac:dyDescent="0.3">
      <c r="A10" s="6">
        <v>9</v>
      </c>
      <c r="B10" s="6" t="s">
        <v>336</v>
      </c>
      <c r="C10" t="e" vm="9">
        <f>IF(ISBLANK(Tabela1[[#This Row],[Image Link]]), "", _xlfn.IMAGE(Tabela1[[#This Row],[Image Link]],1,1))</f>
        <v>#VALUE!</v>
      </c>
      <c r="D10" s="6">
        <f>SUM(Tabela1[[#This Row],[Archery - Men''s Individual Recurve]:[Speed Skating - Women''s Team Pursuit]])</f>
        <v>152</v>
      </c>
      <c r="E10" s="6">
        <f>COUNTIF(Tabela1[[#This Row],[Archery - Men''s Individual Recurve]:[Speed Skating - Women''s Team Pursuit]],"&gt;0")</f>
        <v>128</v>
      </c>
      <c r="F10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0" s="6">
        <f>SUM(Tabela1[[#This Row],[Archery - Men''s Individual Recurve]:[Wrestling - Women''s Freestyle 76kg]])</f>
        <v>140</v>
      </c>
      <c r="H10" s="6">
        <f>SUM(Tabela1[[#This Row],[Alpine Skiing - Men''s Downhill]:[Speed Skating - Women''s Team Pursuit]])</f>
        <v>12</v>
      </c>
      <c r="I10" s="6">
        <f>Tabela1[[#This Row],[Summer Gold Medals]]+Tabela1[[#This Row],[Winter Gold Medals]]</f>
        <v>4</v>
      </c>
      <c r="J10" s="6">
        <f>Tabela1[[#This Row],[Summer Silver Medals]]+Tabela1[[#This Row],[Winter Silver Medals]]</f>
        <v>7</v>
      </c>
      <c r="K10" s="6">
        <f>Tabela1[[#This Row],[Summer Bronze Medals]]+Tabela1[[#This Row],[Winter Bronze Medals]]</f>
        <v>10</v>
      </c>
      <c r="L10" s="6">
        <f>SUM(Tabela1[[#This Row],[Total Gold Medals]:[Total Bronze Medals]])</f>
        <v>21</v>
      </c>
      <c r="M10" s="6">
        <v>3</v>
      </c>
      <c r="N10" s="6">
        <v>7</v>
      </c>
      <c r="O10" s="6">
        <v>10</v>
      </c>
      <c r="P10" s="6">
        <f>SUM(Tabela1[[#This Row],[Summer Gold Medals]:[Summer Bronze Medals]])</f>
        <v>20</v>
      </c>
      <c r="Q10" s="6">
        <v>1</v>
      </c>
      <c r="R10" s="6"/>
      <c r="S10" s="6"/>
      <c r="T10" s="6">
        <f>Tabela1[[#This Row],[Winter Gold Medals]]+Tabela1[[#This Row],[Winter Silver Medals]]+Tabela1[[#This Row],[Winter Bronze Medals]]</f>
        <v>1</v>
      </c>
      <c r="U10" s="7">
        <f>Tabela1[[#This Row],[Total Medals]]/Tabela1[[#This Row],[Total Quotas]]</f>
        <v>0.13815789473684212</v>
      </c>
      <c r="V10" s="6">
        <f>COUNTIFS(Table3[Country],Tabela1[[#This Row],[Country]],Table3[Recurve Classification],"&gt;0")</f>
        <v>0</v>
      </c>
      <c r="W10" s="6">
        <f>COUNTIFS(Table33[Country],Tabela1[[#This Row],[Country]],Table33[Recurve Classification],"&gt;0")</f>
        <v>0</v>
      </c>
      <c r="X10" s="6">
        <f>COUNTIFS(Table35[Country],Tabela1[[#This Row],[Country]],Table35[Men''s Team Recurve Classification],"&gt;0")</f>
        <v>0</v>
      </c>
      <c r="Y10" s="6">
        <f>COUNTIFS(Table35[Country],Tabela1[[#This Row],[Country]],Table35[Women''s Team Recurve Classification],"&gt;0")</f>
        <v>0</v>
      </c>
      <c r="Z10" s="6">
        <f>COUNTIFS(Tabela88[Country],Tabela1[[#This Row],[Country]],Tabela88[Mixed Team Recurve Classification],"&gt;0")</f>
        <v>0</v>
      </c>
      <c r="AA10" s="6">
        <f>COUNTIFS(Table36[Country],Tabela1[[#This Row],[Country]],Table36[Classification],"&gt;0")</f>
        <v>0</v>
      </c>
      <c r="AB10" s="6">
        <f>COUNTIFS(Table37[Country],Tabela1[[#This Row],[Country]],Table37[Classification],"&gt;0")</f>
        <v>0</v>
      </c>
      <c r="AC10" s="6">
        <f>COUNTIFS(Table4[Country],Tabela1[[#This Row],[Country]],Table4[100m Classification],"&gt;0")</f>
        <v>3</v>
      </c>
      <c r="AD10" s="6">
        <f>COUNTIFS(Table5[Country],Tabela1[[#This Row],[Country]],Table5[100m Classification],"&gt;0")</f>
        <v>1</v>
      </c>
      <c r="AE10" s="6">
        <f>COUNTIFS(Table4[Country],Tabela1[[#This Row],[Country]],Table4[200m Classification],"&gt;0")</f>
        <v>1</v>
      </c>
      <c r="AF10" s="6">
        <f>COUNTIFS(Table5[Country],Tabela1[[#This Row],[Country]],Table5[200m Classification],"&gt;0")</f>
        <v>1</v>
      </c>
      <c r="AG10" s="6">
        <f>COUNTIFS(Table4[Country],Tabela1[[#This Row],[Country]],Table4[400m Classification],"&gt;0")</f>
        <v>1</v>
      </c>
      <c r="AH10" s="6">
        <f>COUNTIFS(Table5[Country],Tabela1[[#This Row],[Country]],Table5[400m Classification],"&gt;0")</f>
        <v>0</v>
      </c>
      <c r="AI10" s="6">
        <f>COUNTIFS(Table4[Country],Tabela1[[#This Row],[Country]],Table4[800m Classification],"&gt;0")</f>
        <v>0</v>
      </c>
      <c r="AJ10" s="6">
        <f>COUNTIFS(Table5[Country],Tabela1[[#This Row],[Country]],Table5[800m Classification],"&gt;0")</f>
        <v>1</v>
      </c>
      <c r="AK10" s="6">
        <f>COUNTIFS(Table4[Country],Tabela1[[#This Row],[Country]],Table4[1500m Classification],"&gt;0")</f>
        <v>0</v>
      </c>
      <c r="AL10" s="6">
        <f>COUNTIFS(Table5[Country],Tabela1[[#This Row],[Country]],Table5[1500m Classification],"&gt;0")</f>
        <v>0</v>
      </c>
      <c r="AM10" s="6">
        <f>COUNTIFS(Table4[Country],Tabela1[[#This Row],[Country]],Table4[5000m Classification],"&gt;0")</f>
        <v>0</v>
      </c>
      <c r="AN10" s="6">
        <f>COUNTIFS(Table5[Country],Tabela1[[#This Row],[Country]],Table5[5000m Classification],"&gt;0")</f>
        <v>0</v>
      </c>
      <c r="AO10" s="6">
        <f>COUNTIFS(Table4[Country],Tabela1[[#This Row],[Country]],Table4[10000m Classification],"&gt;0")</f>
        <v>0</v>
      </c>
      <c r="AP10" s="6">
        <f>COUNTIFS(Table5[Country],Tabela1[[#This Row],[Country]],Table5[10000m Classification],"&gt;0")</f>
        <v>0</v>
      </c>
      <c r="AQ10" s="6">
        <f>COUNTIFS(Table4[Country],Tabela1[[#This Row],[Country]],Table4[110m Hurdles Classification],"&gt;0")</f>
        <v>1</v>
      </c>
      <c r="AR10" s="6">
        <f>COUNTIFS(Table5[Country],Tabela1[[#This Row],[Country]],Table5[100m Hurdles Classification],"&gt;0")</f>
        <v>0</v>
      </c>
      <c r="AS10" s="6">
        <f>COUNTIFS(Table4[Country],Tabela1[[#This Row],[Country]],Table4[400m Hurdles Classification],"&gt;0")</f>
        <v>1</v>
      </c>
      <c r="AT10" s="6">
        <f>COUNTIFS(Table5[Country],Tabela1[[#This Row],[Country]],Table5[400m Hurdles Classification],"&gt;0")</f>
        <v>0</v>
      </c>
      <c r="AU10" s="6">
        <f>COUNTIFS(Table4[Country],Tabela1[[#This Row],[Country]],Table4[3000m Steeplechase Classification],"&gt;0")</f>
        <v>0</v>
      </c>
      <c r="AV10" s="6">
        <f>COUNTIFS(Table5[Country],Tabela1[[#This Row],[Country]],Table5[3000m Steeplechase Classification],"&gt;0")</f>
        <v>1</v>
      </c>
      <c r="AW10" s="6">
        <f>COUNTIFS(Table27[Country],Tabela1[[#This Row],[Country]],Table27[Men''s 4x100m Relay Classification],"&gt;0")</f>
        <v>1</v>
      </c>
      <c r="AX10" s="6">
        <f>COUNTIFS(Table27[Country],Tabela1[[#This Row],[Country]],Table27[Women''s 4x100m Relay Classification],"&gt;0")</f>
        <v>0</v>
      </c>
      <c r="AY10" s="6">
        <f>COUNTIFS(Table27[Country],Tabela1[[#This Row],[Country]],Table27[Men''s 4x400m Relay Classification],"&gt;0")</f>
        <v>1</v>
      </c>
      <c r="AZ10" s="6">
        <f>COUNTIFS(Table27[Country],Tabela1[[#This Row],[Country]],Table27[Women''s 4x400m Relay Classification],"&gt;0")</f>
        <v>0</v>
      </c>
      <c r="BA10" s="6">
        <f>COUNTIFS(Table27[Country],Tabela1[[#This Row],[Country]],Table27[Mixed 4x400m Relay Classification],"&gt;0")</f>
        <v>0</v>
      </c>
      <c r="BB10" s="6">
        <f>COUNTIFS(Table4[Country],Tabela1[[#This Row],[Country]],Table4[Marathon Classification],"&gt;0")</f>
        <v>0</v>
      </c>
      <c r="BC10" s="6">
        <f>COUNTIFS(Table5[Country],Tabela1[[#This Row],[Country]],Table5[Marathon Classification],"&gt;0")</f>
        <v>0</v>
      </c>
      <c r="BD10" s="6">
        <f>COUNTIFS(Table4[Country],Tabela1[[#This Row],[Country]],Table4[20km Race Walk Classification],"&gt;0")</f>
        <v>2</v>
      </c>
      <c r="BE10" s="6">
        <f>COUNTIFS(Table5[Country],Tabela1[[#This Row],[Country]],Table5[20km Race Walk Classification],"&gt;0")</f>
        <v>2</v>
      </c>
      <c r="BF10" s="6">
        <f>COUNTIFS(Tabela96[Country],Tabela1[[#This Row],[Country]],Tabela96[Mixed Marathon Race Walk Relay Classification],"&gt;0")</f>
        <v>1</v>
      </c>
      <c r="BG10" s="6">
        <f>COUNTIFS(Table4[Country],Tabela1[[#This Row],[Country]],Table4[Discus Throw Classification],"&gt;0")</f>
        <v>0</v>
      </c>
      <c r="BH10" s="6">
        <f>COUNTIFS(Table5[Country],Tabela1[[#This Row],[Country]],Table5[Discus Throw Classification],"&gt;0")</f>
        <v>1</v>
      </c>
      <c r="BI10" s="6">
        <f>COUNTIFS(Table4[Country],Tabela1[[#This Row],[Country]],Table4[Hammer Throw Classification],"&gt;0")</f>
        <v>0</v>
      </c>
      <c r="BJ10" s="6">
        <f>COUNTIFS(Table5[Country],Tabela1[[#This Row],[Country]],Table5[Hammer Throw Classification],"&gt;0")</f>
        <v>0</v>
      </c>
      <c r="BK10" s="6">
        <f>COUNTIFS(Table4[Country],Tabela1[[#This Row],[Country]],Table4[High Jump Classification],"&gt;0")</f>
        <v>1</v>
      </c>
      <c r="BL10" s="6">
        <f>COUNTIFS(Table5[Country],Tabela1[[#This Row],[Country]],Table5[High Jump Classification],"&gt;0")</f>
        <v>1</v>
      </c>
      <c r="BM10" s="6">
        <f>COUNTIFS(Table4[Country],Tabela1[[#This Row],[Country]],Table4[Javelin Throw Classification],"&gt;0")</f>
        <v>0</v>
      </c>
      <c r="BN10" s="6">
        <f>COUNTIFS(Table5[Country],Tabela1[[#This Row],[Country]],Table5[Javelin Throw Classification],"&gt;0")</f>
        <v>0</v>
      </c>
      <c r="BO10" s="6">
        <f>COUNTIFS(Table4[Country],Tabela1[[#This Row],[Country]],Table4[Long Jump Classification],"&gt;0")</f>
        <v>1</v>
      </c>
      <c r="BP10" s="6">
        <f>COUNTIFS(Table5[Country],Tabela1[[#This Row],[Country]],Table5[Long Jump Classification],"&gt;0")</f>
        <v>0</v>
      </c>
      <c r="BQ10" s="6">
        <f>COUNTIFS(Table4[Country],Tabela1[[#This Row],[Country]],Table4[Pole Vault Classification],"&gt;0")</f>
        <v>0</v>
      </c>
      <c r="BR10" s="6">
        <f>COUNTIFS(Table5[Country],Tabela1[[#This Row],[Country]],Table5[Pole Vault Classification],"&gt;0")</f>
        <v>1</v>
      </c>
      <c r="BS10" s="6">
        <f>COUNTIFS(Table4[Country],Tabela1[[#This Row],[Country]],Table4[Shot Put Classification],"&gt;0")</f>
        <v>0</v>
      </c>
      <c r="BT10" s="6">
        <f>COUNTIFS(Table5[Country],Tabela1[[#This Row],[Country]],Table5[Shot Put Classification],"&gt;0")</f>
        <v>1</v>
      </c>
      <c r="BU10" s="6">
        <f>COUNTIFS(Table4[Country],Tabela1[[#This Row],[Country]],Table4[Triple Jump Classification],"&gt;0")</f>
        <v>0</v>
      </c>
      <c r="BV10" s="6">
        <f>COUNTIFS(Table5[Country],Tabela1[[#This Row],[Country]],Table5[Triple Jump Classification],"&gt;0")</f>
        <v>0</v>
      </c>
      <c r="BW10" s="6">
        <f>COUNTIFS(Table4[Country],Tabela1[[#This Row],[Country]],Table4[Decathlon Classification],"&gt;0")</f>
        <v>1</v>
      </c>
      <c r="BX10" s="6">
        <f>COUNTIFS(Table5[Country],Tabela1[[#This Row],[Country]],Table5[Heptathlon Classification],"&gt;0")</f>
        <v>0</v>
      </c>
      <c r="BY10" s="6">
        <f>COUNTIFS(Table61[Country],Tabela1[[#This Row],[Country]],Table61[Classification],"&gt;0")</f>
        <v>0</v>
      </c>
      <c r="BZ10" s="6">
        <f>COUNTIFS(Table38[Country],Tabela1[[#This Row],[Country]],Table38[Classification],"&gt;0")</f>
        <v>0</v>
      </c>
      <c r="CA10" s="6">
        <f>COUNTIFS(Table39[Country],Tabela1[[#This Row],[Country]],Table39[Men''s Classification],"&gt;0")</f>
        <v>0</v>
      </c>
      <c r="CB10" s="6">
        <f>COUNTIFS(Table39[Country],Tabela1[[#This Row],[Country]],Table39[Women''s Classification],"&gt;0")</f>
        <v>0</v>
      </c>
      <c r="CC10" s="6">
        <f>COUNTIFS(Table39[Country],Tabela1[[#This Row],[Country]],Table39[Mixed Classification],"&gt;0")</f>
        <v>0</v>
      </c>
      <c r="CD10" s="6">
        <f>COUNTIFS(Table89[Country],Tabela1[[#This Row],[Country]],Table89[Men''s Classification],"&gt;0")</f>
        <v>1</v>
      </c>
      <c r="CE10" s="6">
        <f>COUNTIFS(Table89[Country],Tabela1[[#This Row],[Country]],Table89[Women''s Classification],"&gt;0")</f>
        <v>0</v>
      </c>
      <c r="CF10" s="6">
        <f>COUNTIFS(Table90[Country],Tabela1[[#This Row],[Country]],Table90[Men''s Classification],"&gt;0")</f>
        <v>0</v>
      </c>
      <c r="CG10" s="6">
        <f>COUNTIFS(Table90[Country],Tabela1[[#This Row],[Country]],Table90[Women''s Classification],"&gt;0")</f>
        <v>0</v>
      </c>
      <c r="CH10" s="6">
        <f>COUNTIFS(Table60[Country],Tabela1[[#This Row],[Country]],Table60[Men''s Classification],"&gt;0")</f>
        <v>2</v>
      </c>
      <c r="CI10" s="6">
        <f>COUNTIFS(Table60[Country],Tabela1[[#This Row],[Country]],Table60[Women''s Classification],"&gt;0")</f>
        <v>1</v>
      </c>
      <c r="CJ10" s="6">
        <f>COUNTIFS(Table6[Country],Tabela1[[#This Row],[Country]],Table6[51kg Classification],"&gt;0")</f>
        <v>1</v>
      </c>
      <c r="CK10" s="6">
        <f>COUNTIFS(Table6[Country],Tabela1[[#This Row],[Country]],Table6[57kg Classification],"&gt;0")</f>
        <v>1</v>
      </c>
      <c r="CL10" s="6">
        <f>COUNTIFS(Table6[Country],Tabela1[[#This Row],[Country]],Table6[63.5kg Classification],"&gt;0")</f>
        <v>0</v>
      </c>
      <c r="CM10" s="6">
        <f>COUNTIFS(Table6[Country],Tabela1[[#This Row],[Country]],Table6[71kg Classification],"&gt;0")</f>
        <v>0</v>
      </c>
      <c r="CN10" s="6">
        <f>COUNTIFS(Table6[Country],Tabela1[[#This Row],[Country]],Table6[80kg Classification],"&gt;0")</f>
        <v>1</v>
      </c>
      <c r="CO10" s="6">
        <f>COUNTIFS(Table6[Country],Tabela1[[#This Row],[Country]],Table6[92kg Classification],"&gt;0")</f>
        <v>1</v>
      </c>
      <c r="CP10" s="6">
        <f>COUNTIFS(Table6[Country],Tabela1[[#This Row],[Country]],Table6[Plus 92kg Classification],"&gt;0")</f>
        <v>1</v>
      </c>
      <c r="CQ10" s="6">
        <f>COUNTIFS(Table7[Country],Tabela1[[#This Row],[Country]],Table7[50kg Classification],"&gt;0")</f>
        <v>1</v>
      </c>
      <c r="CR10" s="6">
        <f>COUNTIFS(Table7[Country],Tabela1[[#This Row],[Country]],Table7[54kg Classification],"&gt;0")</f>
        <v>1</v>
      </c>
      <c r="CS10" s="6">
        <f>COUNTIFS(Table7[Country],Tabela1[[#This Row],[Country]],Table7[57kg Classification],"&gt;0")</f>
        <v>1</v>
      </c>
      <c r="CT10" s="6">
        <f>COUNTIFS(Table7[Country],Tabela1[[#This Row],[Country]],Table7[60kg Classification],"&gt;0")</f>
        <v>1</v>
      </c>
      <c r="CU10" s="6">
        <f>COUNTIFS(Table7[Country],Tabela1[[#This Row],[Country]],Table7[66kg Classification],"&gt;0")</f>
        <v>1</v>
      </c>
      <c r="CV10" s="6">
        <f>COUNTIFS(Table7[Country],Tabela1[[#This Row],[Country]],Table7[75kg Classification],"&gt;0")</f>
        <v>0</v>
      </c>
      <c r="CW10" s="6">
        <f>COUNTIFS(Tabela94[Country],Tabela1[[#This Row],[Country]],Tabela94[Classification],"&gt;0")</f>
        <v>0</v>
      </c>
      <c r="CX10" s="6">
        <f>COUNTIFS(Tabela9499[Country],Tabela1[[#This Row],[Country]],Tabela9499[Classification],"&gt;0")</f>
        <v>0</v>
      </c>
      <c r="CY10" s="6">
        <f>COUNTIFS(Tabela107[Country],Tabela1[[#This Row],[Country]],Tabela107[C1 Slalom Classification],"&gt;0")</f>
        <v>1</v>
      </c>
      <c r="CZ10" s="6">
        <f>COUNTIFS(Tabela107122[Country],Tabela1[[#This Row],[Country]],Tabela107122[C1 Slalom Classification],"&gt;0")</f>
        <v>0</v>
      </c>
      <c r="DA10" s="6">
        <f>COUNTIFS(Tabela107[Country],Tabela1[[#This Row],[Country]],Tabela107[K1 Slalom Classification],"&gt;0")</f>
        <v>1</v>
      </c>
      <c r="DB10" s="6">
        <f>COUNTIFS(Tabela107122[Country],Tabela1[[#This Row],[Country]],Tabela107122[K1 Slalom Classification],"&gt;0")</f>
        <v>0</v>
      </c>
      <c r="DC10" s="6">
        <f>COUNTIFS(Tabela107[Country],Tabela1[[#This Row],[Country]],Tabela107[Kayak Cross Slalom Classification],"&gt;0")</f>
        <v>1</v>
      </c>
      <c r="DD10" s="6">
        <f>COUNTIFS(Tabela107122[Country],Tabela1[[#This Row],[Country]],Tabela107122[Kayak Cross Slalom Classification],"&gt;0")</f>
        <v>0</v>
      </c>
      <c r="DE10" s="6">
        <f>COUNTIFS(Table8[Country],Tabela1[[#This Row],[Country]],Table8[C1 200m Classification],"&gt;0")</f>
        <v>1</v>
      </c>
      <c r="DF10" s="6">
        <f>COUNTIFS(Table40[Country],Tabela1[[#This Row],[Country]],Table40[C1 1000m Classification],"&gt;0")</f>
        <v>2</v>
      </c>
      <c r="DG10" s="6">
        <f>COUNTIFS(Table68[Country],Tabela1[[#This Row],[Country]],Table68[Men''s C2 500m Classification],"&gt;0")</f>
        <v>1</v>
      </c>
      <c r="DH10" s="6">
        <f>COUNTIFS(Table68[Country],Tabela1[[#This Row],[Country]],Table68[Women''s C2 500m Classification],"&gt;0")</f>
        <v>0</v>
      </c>
      <c r="DI10" s="6">
        <f>COUNTIFS(Table8[Country],Tabela1[[#This Row],[Country]],Table8[K1 500m Classification],"&gt;0")</f>
        <v>1</v>
      </c>
      <c r="DJ10" s="6">
        <f>COUNTIFS(Table40[Country],Tabela1[[#This Row],[Country]],Table40[K1 1000m Classification],"&gt;0")</f>
        <v>0</v>
      </c>
      <c r="DK10" s="6">
        <f>COUNTIFS(Table68[Country],Tabela1[[#This Row],[Country]],Table68[Men''s K2 500m Classification],"&gt;0")</f>
        <v>0</v>
      </c>
      <c r="DL10" s="6">
        <f>COUNTIFS(Table68[Country],Tabela1[[#This Row],[Country]],Table68[Women''s K2 500m Classification],"&gt;0")</f>
        <v>0</v>
      </c>
      <c r="DM10" s="6">
        <f>COUNTIFS(Table83[Country],Tabela1[[#This Row],[Country]],Table83[Men''s K4 500m Classification],"&gt;0")</f>
        <v>0</v>
      </c>
      <c r="DN10" s="6">
        <f>COUNTIFS(Table83[Country],Tabela1[[#This Row],[Country]],Table83[Women''s K4 500m Classification],"&gt;0")</f>
        <v>0</v>
      </c>
      <c r="DO10" s="6">
        <f>COUNTIFS(Tabela126[Country],Tabela1[[#This Row],[Country]],Tabela126[Classification],"&gt;0")</f>
        <v>1</v>
      </c>
      <c r="DP10" s="6">
        <f>COUNTIFS(Tabela126130[Country],Tabela1[[#This Row],[Country]],Tabela126130[Classification],"&gt;0")</f>
        <v>0</v>
      </c>
      <c r="DQ10" s="6">
        <f>COUNTIFS(Table70[Country],Tabela1[[#This Row],[Country]],Table70[Classification],"&gt;0")</f>
        <v>0</v>
      </c>
      <c r="DR10" s="6">
        <f>COUNTIFS(Table80[Country],Tabela1[[#This Row],[Country]],Table80[Classification],"&gt;0")</f>
        <v>1</v>
      </c>
      <c r="DS10" s="6">
        <f>COUNTIFS(Table66[Country],Tabela1[[#This Row],[Country]],Table66[Classification],"&gt;0")</f>
        <v>1</v>
      </c>
      <c r="DT10" s="6">
        <f>COUNTIFS(Table67[Country],Tabela1[[#This Row],[Country]],Table67[Classification],"&gt;0")</f>
        <v>0</v>
      </c>
      <c r="DU10" s="6">
        <f>COUNTIFS(Table69[Country],Tabela1[[#This Row],[Country]],Table69[Keirin Classification],"&gt;0")</f>
        <v>0</v>
      </c>
      <c r="DV10" s="6">
        <f>COUNTIFS(Table41[Country],Tabela1[[#This Row],[Country]],Table41[Keirin Classification],"&gt;0")</f>
        <v>0</v>
      </c>
      <c r="DW10" s="6">
        <f>COUNTIFS(Table84[Country],Tabela1[[#This Row],[Country]],Table84[Men''s Madison Classification],"&gt;0")</f>
        <v>0</v>
      </c>
      <c r="DX10" s="6">
        <f>COUNTIFS(Table84[Country],Tabela1[[#This Row],[Country]],Table84[Women''s Madison Classification],"&gt;0")</f>
        <v>0</v>
      </c>
      <c r="DY10" s="6">
        <f>COUNTIFS(Table69[Country],Tabela1[[#This Row],[Country]],Table69[Omnium Classification],"&gt;0")</f>
        <v>0</v>
      </c>
      <c r="DZ10" s="6">
        <f>COUNTIFS(Table41[Country],Tabela1[[#This Row],[Country]],Table41[Omnium Classification],"&gt;0")</f>
        <v>0</v>
      </c>
      <c r="EA10" s="6">
        <f>COUNTIFS(Table9[Country],Tabela1[[#This Row],[Country]],Table9[Road Race Classification],"&gt;0")</f>
        <v>0</v>
      </c>
      <c r="EB10" s="6">
        <f>COUNTIFS(Table14[Country],Tabela1[[#This Row],[Country]],Table14[Road Race Classification],"&gt;0")</f>
        <v>0</v>
      </c>
      <c r="EC10" s="6">
        <f>COUNTIFS(Table69[Country],Tabela1[[#This Row],[Country]],Table69[Sprint Classification],"&gt;0")</f>
        <v>0</v>
      </c>
      <c r="ED10" s="6">
        <f>COUNTIFS(Table41[Country],Tabela1[[#This Row],[Country]],Table41[Sprint Classification],"&gt;0")</f>
        <v>0</v>
      </c>
      <c r="EE10" s="6">
        <f>COUNTIFS(Table85[Country],Tabela1[[#This Row],[Country]],Table85[Men''s Sprint Classification],"&gt;0")</f>
        <v>0</v>
      </c>
      <c r="EF10" s="6">
        <f>COUNTIFS(Table85[Country],Tabela1[[#This Row],[Country]],Table85[Women''s Sprint Classification],"&gt;0")</f>
        <v>0</v>
      </c>
      <c r="EG10" s="6">
        <f>COUNTIFS(Table85[Country],Tabela1[[#This Row],[Country]],Table85[Men''s Pursuit Classification],"&gt;0")</f>
        <v>0</v>
      </c>
      <c r="EH10" s="6">
        <f>COUNTIFS(Table85[Country],Tabela1[[#This Row],[Country]],Table85[Women''s Pursuit Classification],"&gt;0")</f>
        <v>0</v>
      </c>
      <c r="EI10" s="6">
        <f>COUNTIFS(Table9[Country],Tabela1[[#This Row],[Country]],Table9[Time-Trial Classification],"&gt;0")</f>
        <v>0</v>
      </c>
      <c r="EJ10" s="6">
        <f>COUNTIFS(Table14[Country],Tabela1[[#This Row],[Country]],Table14[Time-Trial Classification],"&gt;0")</f>
        <v>0</v>
      </c>
      <c r="EK10" s="6">
        <f>COUNTIFS(Table42[Country],Tabela1[[#This Row],[Country]],Table42[Springboard Classification],"&gt;0")</f>
        <v>0</v>
      </c>
      <c r="EL10" s="6">
        <f>COUNTIFS(Table43[Country],Tabela1[[#This Row],[Country]],Table43[Springboard Classification],"&gt;0")</f>
        <v>0</v>
      </c>
      <c r="EM10" s="6">
        <f>COUNTIFS(Table42[Country],Tabela1[[#This Row],[Country]],Table42[Platform Classification],"&gt;0")</f>
        <v>0</v>
      </c>
      <c r="EN10" s="6">
        <f>COUNTIFS(Table43[Country],Tabela1[[#This Row],[Country]],Table43[Platform Classification],"&gt;0")</f>
        <v>0</v>
      </c>
      <c r="EO10" s="6">
        <f>COUNTIFS(Table86[Country],Tabela1[[#This Row],[Country]],Table86[Men''s Synchronized Springboard Classification],"&gt;0")</f>
        <v>0</v>
      </c>
      <c r="EP10" s="6">
        <f>COUNTIFS(Table86[Country],Tabela1[[#This Row],[Country]],Table86[Women''s Synchronized Springboard Classification],"&gt;0")</f>
        <v>0</v>
      </c>
      <c r="EQ10" s="6">
        <f>COUNTIFS(Table86[Country],Tabela1[[#This Row],[Country]],Table86[Men''s Synchronized Platform Classification],"&gt;0")</f>
        <v>0</v>
      </c>
      <c r="ER10" s="6">
        <f>COUNTIFS(Table86[Country],Tabela1[[#This Row],[Country]],Table86[Women''s Synchronized Platform Classification],"&gt;0")</f>
        <v>0</v>
      </c>
      <c r="ES10" s="6">
        <f>COUNTIFS(Table44[Country],Tabela1[[#This Row],[Country]],Table44[Dressage Classification],"&gt;0")</f>
        <v>1</v>
      </c>
      <c r="ET10" s="6">
        <f>COUNTIFS(Table45[Country],Tabela1[[#This Row],[Country]],Table45[Dressage Classification],"&gt;0")</f>
        <v>0</v>
      </c>
      <c r="EU10" s="6">
        <f>COUNTIFS(Table44[Country],Tabela1[[#This Row],[Country]],Table44[Eventing Classification],"&gt;0")</f>
        <v>3</v>
      </c>
      <c r="EV10" s="6">
        <f>COUNTIFS(Table45[Country],Tabela1[[#This Row],[Country]],Table45[Eventing Classification],"&gt;0")</f>
        <v>1</v>
      </c>
      <c r="EW10" s="6">
        <f>COUNTIFS(Table44[Country],Tabela1[[#This Row],[Country]],Table44[Jumping Classification],"&gt;0")</f>
        <v>1</v>
      </c>
      <c r="EX10" s="6">
        <f>COUNTIFS(Table45[Country],Tabela1[[#This Row],[Country]],Table45[Jumping Classification],"&gt;0")</f>
        <v>1</v>
      </c>
      <c r="EY10" s="6">
        <f>COUNTIFS(Table10[Country],Tabela1[[#This Row],[Country]],Table10[Épée Classification],"&gt;0")</f>
        <v>0</v>
      </c>
      <c r="EZ10" s="6">
        <f>COUNTIFS(Table11[Country],Tabela1[[#This Row],[Country]],Table11[Épée Classification],"&gt;0")</f>
        <v>0</v>
      </c>
      <c r="FA10" s="6">
        <f>COUNTIFS(Table46[Country],Tabela1[[#This Row],[Country]],Table46[Men''s Épée Classification],"&gt;0")</f>
        <v>0</v>
      </c>
      <c r="FB10" s="6">
        <f>COUNTIFS(Table46[Country],Tabela1[[#This Row],[Country]],Table46[Women''s Épée Classification],"&gt;0")</f>
        <v>0</v>
      </c>
      <c r="FC10" s="6">
        <f>COUNTIFS(Table10[Country],Tabela1[[#This Row],[Country]],Table10[Foil Classification],"&gt;0")</f>
        <v>1</v>
      </c>
      <c r="FD10" s="6">
        <f>COUNTIFS(Table11[Country],Tabela1[[#This Row],[Country]],Table11[Foil Classification],"&gt;0")</f>
        <v>1</v>
      </c>
      <c r="FE10" s="6">
        <f>COUNTIFS(Table46[Country],Tabela1[[#This Row],[Country]],Table46[Men''s Foil Classification],"&gt;0")</f>
        <v>0</v>
      </c>
      <c r="FF10" s="6">
        <f>COUNTIFS(Table46[Country],Tabela1[[#This Row],[Country]],Table46[Women''s Foil Classification],"&gt;0")</f>
        <v>0</v>
      </c>
      <c r="FG10" s="6">
        <f>COUNTIFS(Table10[Country],Tabela1[[#This Row],[Country]],Table10[Sabre Classification],"&gt;0")</f>
        <v>0</v>
      </c>
      <c r="FH10" s="6">
        <f>COUNTIFS(Table11[Country],Tabela1[[#This Row],[Country]],Table11[Sabre Classification],"&gt;0")</f>
        <v>0</v>
      </c>
      <c r="FI10" s="6">
        <f>COUNTIFS(Table46[Country],Tabela1[[#This Row],[Country]],Table46[Men''s Sabre Classification],"&gt;0")</f>
        <v>0</v>
      </c>
      <c r="FJ10" s="6">
        <f>COUNTIFS(Table46[Country],Tabela1[[#This Row],[Country]],Table46[Women''s Sabre Classification],"&gt;0")</f>
        <v>0</v>
      </c>
      <c r="FK10" s="6">
        <f>COUNTIFS(Table91[Country],Tabela1[[#This Row],[Country]],Table91[Men''s Classification],"&gt;0")</f>
        <v>0</v>
      </c>
      <c r="FL10" s="6">
        <f>COUNTIFS(Table91[Country],Tabela1[[#This Row],[Country]],Table91[Women''s Classification],"&gt;0")</f>
        <v>0</v>
      </c>
      <c r="FM10" s="6">
        <f>COUNTIFS(Table9194[Country],Tabela1[[#This Row],[Country]],Table9194[Men''s Classification],"&gt;0")</f>
        <v>0</v>
      </c>
      <c r="FN10" s="6">
        <f>COUNTIFS(Table9194[Country],Tabela1[[#This Row],[Country]],Table9194[Women''s Classification],"&gt;0")</f>
        <v>1</v>
      </c>
      <c r="FO10" s="6">
        <f>COUNTIFS(Table71[Country],Tabela1[[#This Row],[Country]],Table71[Classification],"&gt;0")</f>
        <v>0</v>
      </c>
      <c r="FP10" s="6">
        <f>COUNTIFS(Table62[Country],Tabela1[[#This Row],[Country]],Table62[Classification],"&gt;0")</f>
        <v>0</v>
      </c>
      <c r="FQ10" s="6">
        <f>COUNTIFS(Table47[Country],Tabela1[[#This Row],[Country]],Table47[All-Around Classification],"&gt;0")</f>
        <v>1</v>
      </c>
      <c r="FR10" s="6">
        <f>COUNTIFS(Table48[Country],Tabela1[[#This Row],[Country]],Table48[All-Around Classification],"&gt;0")</f>
        <v>1</v>
      </c>
      <c r="FS10" s="6">
        <f>COUNTIFS(Table81[Country],Tabela1[[#This Row],[Country]],Table81[Men''s All-Around Classification],"&gt;0")</f>
        <v>0</v>
      </c>
      <c r="FT10" s="6">
        <f>COUNTIFS(Table81[Country],Tabela1[[#This Row],[Country]],Table81[Women''s All-Around Classification],"&gt;0")</f>
        <v>1</v>
      </c>
      <c r="FU10" s="6">
        <f>COUNTIFS(Table48[Country],Tabela1[[#This Row],[Country]],Table48[Balance Beam Classification],"&gt;0")</f>
        <v>2</v>
      </c>
      <c r="FV10" s="6">
        <f>COUNTIFS(Table47[Country],Tabela1[[#This Row],[Country]],Table47[Floor Exercise Classification],"&gt;0")</f>
        <v>1</v>
      </c>
      <c r="FW10" s="6">
        <f>COUNTIFS(Table48[Country],Tabela1[[#This Row],[Country]],Table48[Floor Exercise Classification],"&gt;0")</f>
        <v>2</v>
      </c>
      <c r="FX10" s="6">
        <f>COUNTIFS(Table47[Country],Tabela1[[#This Row],[Country]],Table47[Horizontal Bar Classification],"&gt;0")</f>
        <v>2</v>
      </c>
      <c r="FY10" s="6">
        <f>COUNTIFS(Table47[Country],Tabela1[[#This Row],[Country]],Table47[Parallel Bars Classification],"&gt;0")</f>
        <v>1</v>
      </c>
      <c r="FZ10" s="6">
        <f>COUNTIFS(Table47[Country],Tabela1[[#This Row],[Country]],Table47[Pommel Horse Classification],"&gt;0")</f>
        <v>1</v>
      </c>
      <c r="GA10" s="6">
        <f>COUNTIFS(Table47[Country],Tabela1[[#This Row],[Country]],Table47[Rings Classification],"&gt;0")</f>
        <v>1</v>
      </c>
      <c r="GB10" s="6">
        <f>COUNTIFS(Tabela132[Country],Tabela1[[#This Row],[Country]],Tabela132[Classification],"&gt;0")</f>
        <v>0</v>
      </c>
      <c r="GC10" s="6">
        <f>COUNTIFS(Tabela139[Country],Tabela1[[#This Row],[Country]],Tabela139[Classification],"&gt;0")</f>
        <v>0</v>
      </c>
      <c r="GD10" s="6">
        <f>COUNTIFS(Table48[Country],Tabela1[[#This Row],[Country]],Table48[Uneven Bars Classification],"&gt;0")</f>
        <v>1</v>
      </c>
      <c r="GE10" s="6">
        <f>COUNTIFS(Table47[Country],Tabela1[[#This Row],[Country]],Table47[Vault Classification],"&gt;0")</f>
        <v>0</v>
      </c>
      <c r="GF10" s="6">
        <f>COUNTIFS(Table48[Country],Tabela1[[#This Row],[Country]],Table48[Vault Classification],"&gt;0")</f>
        <v>1</v>
      </c>
      <c r="GG10" s="6">
        <f>COUNTIFS(Table919496[Country],Tabela1[[#This Row],[Country]],Table919496[Men''s Classification],"&gt;0")</f>
        <v>0</v>
      </c>
      <c r="GH10" s="6">
        <f>COUNTIFS(Table919496[Country],Tabela1[[#This Row],[Country]],Table919496[Women''s Classification],"&gt;0")</f>
        <v>1</v>
      </c>
      <c r="GI10" s="6">
        <f>COUNTIFS(Table12[Country],Tabela1[[#This Row],[Country]],Table12[60kg Classification],"&gt;0")</f>
        <v>1</v>
      </c>
      <c r="GJ10" s="6">
        <f>COUNTIFS(Table12[Country],Tabela1[[#This Row],[Country]],Table12[66kg Classification],"&gt;0")</f>
        <v>1</v>
      </c>
      <c r="GK10" s="6">
        <f>COUNTIFS(Table12[Country],Tabela1[[#This Row],[Country]],Table12[73kg Classification],"&gt;0")</f>
        <v>1</v>
      </c>
      <c r="GL10" s="6">
        <f>COUNTIFS(Table12[Country],Tabela1[[#This Row],[Country]],Table12[81kg Classification],"&gt;0")</f>
        <v>1</v>
      </c>
      <c r="GM10" s="6">
        <f>COUNTIFS(Table12[Country],Tabela1[[#This Row],[Country]],Table12[90kg Classification],"&gt;0")</f>
        <v>1</v>
      </c>
      <c r="GN10" s="6">
        <f>COUNTIFS(Table12[Country],Tabela1[[#This Row],[Country]],Table12[100kg Classification],"&gt;0")</f>
        <v>1</v>
      </c>
      <c r="GO10" s="6">
        <f>COUNTIFS(Table12[Country],Tabela1[[#This Row],[Country]],Table12[Plus 100kg Classification],"&gt;0")</f>
        <v>0</v>
      </c>
      <c r="GP10" s="6">
        <f>COUNTIFS(Table13[Country],Tabela1[[#This Row],[Country]],Table13[48kg Classification],"&gt;0")</f>
        <v>1</v>
      </c>
      <c r="GQ10" s="6">
        <f>COUNTIFS(Table13[Country],Tabela1[[#This Row],[Country]],Table13[52kg Classification],"&gt;0")</f>
        <v>1</v>
      </c>
      <c r="GR10" s="6">
        <f>COUNTIFS(Table13[Country],Tabela1[[#This Row],[Country]],Table13[57kg Classification],"&gt;0")</f>
        <v>0</v>
      </c>
      <c r="GS10" s="6">
        <f>COUNTIFS(Table13[Country],Tabela1[[#This Row],[Country]],Table13[63kg Classification],"&gt;0")</f>
        <v>1</v>
      </c>
      <c r="GT10" s="6">
        <f>COUNTIFS(Table13[Country],Tabela1[[#This Row],[Country]],Table13[70kg Classification],"&gt;0")</f>
        <v>0</v>
      </c>
      <c r="GU10" s="6">
        <f>COUNTIFS(Table13[Country],Tabela1[[#This Row],[Country]],Table13[78kg Classification],"&gt;0")</f>
        <v>1</v>
      </c>
      <c r="GV10" s="6">
        <f>COUNTIFS(Table13[Country],Tabela1[[#This Row],[Country]],Table13[Plus 78kg Classification],"&gt;0")</f>
        <v>1</v>
      </c>
      <c r="GW10" s="6">
        <f>COUNTIFS(Table82[Country],Tabela1[[#This Row],[Country]],Table82[Mixed Classification],"&gt;0")</f>
        <v>1</v>
      </c>
      <c r="GX10" s="6">
        <f>COUNTIFS(Table51[Country],Tabela1[[#This Row],[Country]],Table51[Classification],"&gt;0")</f>
        <v>0</v>
      </c>
      <c r="GY10" s="6">
        <f>COUNTIFS(Table52[Country],Tabela1[[#This Row],[Country]],Table52[Classification],"&gt;0")</f>
        <v>1</v>
      </c>
      <c r="GZ10" s="6">
        <f>COUNTIFS(Table32[Country],Tabela1[[#This Row],[Country]],Table32[All-Around Classification],"&gt;0")</f>
        <v>1</v>
      </c>
      <c r="HA10" s="6">
        <f>COUNTIFS(Table49[Country],Tabela1[[#This Row],[Country]],Table49[All-Around Classification],"&gt;0")</f>
        <v>1</v>
      </c>
      <c r="HB10" s="6">
        <f>COUNTIFS(Table26[Country],Tabela1[[#This Row],[Country]],Table26[Single Sculls Classification],"&gt;0")</f>
        <v>0</v>
      </c>
      <c r="HC10" s="6">
        <f>COUNTIFS(Table63[Country],Tabela1[[#This Row],[Country]],Table63[Single Sculls Classification],"&gt;0")</f>
        <v>0</v>
      </c>
      <c r="HD10" s="6">
        <f>COUNTIFS(Table16[Country],Tabela1[[#This Row],[Country]],Table16[Men''s Double Sculls Classification],"&gt;0")</f>
        <v>0</v>
      </c>
      <c r="HE10" s="6">
        <f>COUNTIFS(Table16[Country],Tabela1[[#This Row],[Country]],Table16[Women''s Double Sculls Classification],"&gt;0")</f>
        <v>0</v>
      </c>
      <c r="HF10" s="6">
        <f>COUNTIFS(Table72[Country],Tabela1[[#This Row],[Country]],Table72[Men''s Quadruple Sculls Classification],"&gt;0")</f>
        <v>0</v>
      </c>
      <c r="HG10" s="6">
        <f>COUNTIFS(Table72[Country],Tabela1[[#This Row],[Country]],Table72[Women''s Quadruple Sculls Classification],"&gt;0")</f>
        <v>0</v>
      </c>
      <c r="HH10" s="6">
        <f>COUNTIFS(Table16[Country],Tabela1[[#This Row],[Country]],Table16[Men''s Coxless Pairs Classification],"&gt;0")</f>
        <v>0</v>
      </c>
      <c r="HI10" s="6">
        <f>COUNTIFS(Table16[Country],Tabela1[[#This Row],[Country]],Table16[Women''s Coxless Pairs Classification],"&gt;0")</f>
        <v>0</v>
      </c>
      <c r="HJ10" s="6">
        <f>COUNTIFS(Table72[Country],Tabela1[[#This Row],[Country]],Table72[Men''s Coxless Fours Classification],"&gt;0")</f>
        <v>0</v>
      </c>
      <c r="HK10" s="6">
        <f>COUNTIFS(Table72[Country],Tabela1[[#This Row],[Country]],Table72[Women''s Coxless Fours Classification],"&gt;0")</f>
        <v>0</v>
      </c>
      <c r="HL10" s="6">
        <f>COUNTIFS(Table72[Country],Tabela1[[#This Row],[Country]],Table72[Men''s Eights Classification],"&gt;0")</f>
        <v>0</v>
      </c>
      <c r="HM10" s="6">
        <f>COUNTIFS(Table72[Country],Tabela1[[#This Row],[Country]],Table72[Women''s Eights Classification],"&gt;0")</f>
        <v>0</v>
      </c>
      <c r="HN10" s="6">
        <f>COUNTIFS(Table16[Country],Tabela1[[#This Row],[Country]],Table16[Men''s Lwt. Double Sculls Classification],"&gt;0")</f>
        <v>0</v>
      </c>
      <c r="HO10" s="6">
        <f>COUNTIFS(Table16[Country],Tabela1[[#This Row],[Country]],Table16[Women''s Lwt. Double Sculls Classification],"&gt;0")</f>
        <v>0</v>
      </c>
      <c r="HP10" s="6">
        <f>COUNTIFS(Table91949698[Country],Tabela1[[#This Row],[Country]],Table91949698[Men''s Classification],"&gt;0")</f>
        <v>0</v>
      </c>
      <c r="HQ10" s="6">
        <f>COUNTIFS(Table91949698[Country],Tabela1[[#This Row],[Country]],Table91949698[Women''s Classification],"&gt;0")</f>
        <v>1</v>
      </c>
      <c r="HR10" s="6">
        <f>COUNTIFS(Table25[Country],Tabela1[[#This Row],[Country]],Table25[Mixed 470 Classification],"&gt;0")</f>
        <v>0</v>
      </c>
      <c r="HS10" s="6">
        <f>COUNTIFS(Table25[Country],Tabela1[[#This Row],[Country]],Table25[Men''s 49er Classification],"&gt;0")</f>
        <v>1</v>
      </c>
      <c r="HT10" s="6">
        <f>COUNTIFS(Table25[Country],Tabela1[[#This Row],[Country]],Table25[Women''s 49er FX Classification],"&gt;0")</f>
        <v>1</v>
      </c>
      <c r="HU10" s="6">
        <f>COUNTIFS(Table17[Country],Tabela1[[#This Row],[Country]],Table17[Formula Kite Classification],"&gt;0")</f>
        <v>0</v>
      </c>
      <c r="HV10" s="6">
        <f>COUNTIFS(Table18[Country],Tabela1[[#This Row],[Country]],Table18[Formula Kite Classification],"&gt;0")</f>
        <v>0</v>
      </c>
      <c r="HW10" s="6">
        <f>COUNTIFS(Table17[Country],Tabela1[[#This Row],[Country]],Table17[ILCA 7 Classification],"&gt;0")</f>
        <v>1</v>
      </c>
      <c r="HX10" s="6">
        <f>COUNTIFS(Table18[Country],Tabela1[[#This Row],[Country]],Table18[ILCA 6 Classification],"&gt;0")</f>
        <v>0</v>
      </c>
      <c r="HY10" s="6">
        <f>COUNTIFS(Table17[Country],Tabela1[[#This Row],[Country]],Table17[IQFoil Classification],"&gt;0")</f>
        <v>1</v>
      </c>
      <c r="HZ10" s="6">
        <f>COUNTIFS(Table18[Country],Tabela1[[#This Row],[Country]],Table18[IQFoil Classification],"&gt;0")</f>
        <v>0</v>
      </c>
      <c r="IA10" s="6">
        <f>COUNTIFS(Table25[Country],Tabela1[[#This Row],[Country]],Table25[Mixed Nacra 17 Classification],"&gt;0")</f>
        <v>1</v>
      </c>
      <c r="IB10" s="6">
        <f>COUNTIFS(Table53[Country],Tabela1[[#This Row],[Country]],Table53[10m Air Pistol Classification],"&gt;0")</f>
        <v>0</v>
      </c>
      <c r="IC10" s="6">
        <f>COUNTIFS(Table19[Country],Tabela1[[#This Row],[Country]],Table19[10m Air Pistol Classification],"&gt;0")</f>
        <v>0</v>
      </c>
      <c r="ID10" s="6">
        <f>COUNTIFS(Table54[Country],Tabela1[[#This Row],[Country]],Table54[Mixed 10m Air Pistol Team Classification],"&gt;0")</f>
        <v>0</v>
      </c>
      <c r="IE10" s="6">
        <f>COUNTIFS(Table53[Country],Tabela1[[#This Row],[Country]],Table53[10m Air Rifle Classification],"&gt;0")</f>
        <v>0</v>
      </c>
      <c r="IF10" s="6">
        <f>COUNTIFS(Table19[Country],Tabela1[[#This Row],[Country]],Table19[10m Air Rifle Classification],"&gt;0")</f>
        <v>0</v>
      </c>
      <c r="IG10" s="6">
        <f>COUNTIFS(Table54[Country],Tabela1[[#This Row],[Country]],Table54[Mixed 10m Air Rifle Team Classification],"&gt;0")</f>
        <v>0</v>
      </c>
      <c r="IH10" s="6">
        <f>COUNTIFS(Table53[Country],Tabela1[[#This Row],[Country]],Table53[25m Rapid Fire Pistol Classification],"&gt;0")</f>
        <v>0</v>
      </c>
      <c r="II10" s="6">
        <f>COUNTIFS(Table19[Country],Tabela1[[#This Row],[Country]],Table19[25m Pistol Classification],"&gt;0")</f>
        <v>0</v>
      </c>
      <c r="IJ10" s="6">
        <f>COUNTIFS(Table53[Country],Tabela1[[#This Row],[Country]],Table53[50m Rifle 3 Positions Classification],"&gt;0")</f>
        <v>0</v>
      </c>
      <c r="IK10" s="6">
        <f>COUNTIFS(Table19[Country],Tabela1[[#This Row],[Country]],Table19[50m Rifle 3 Positions Classification],"&gt;0")</f>
        <v>0</v>
      </c>
      <c r="IL10" s="6">
        <f>COUNTIFS(Table53[Country],Tabela1[[#This Row],[Country]],Table53[Skeet Classification],"&gt;0")</f>
        <v>0</v>
      </c>
      <c r="IM10" s="6">
        <f>COUNTIFS(Table19[Country],Tabela1[[#This Row],[Country]],Table19[Skeet Classification],"&gt;0")</f>
        <v>1</v>
      </c>
      <c r="IN10" s="6">
        <f>COUNTIFS(Table54[Country],Tabela1[[#This Row],[Country]],Table54[Mixed Skeet Team Classification],"&gt;0")</f>
        <v>0</v>
      </c>
      <c r="IO10" s="6">
        <f>COUNTIFS(Table53[Country],Tabela1[[#This Row],[Country]],Table53[Trap Classification],"&gt;0")</f>
        <v>0</v>
      </c>
      <c r="IP10" s="6">
        <f>COUNTIFS(Table19[Country],Tabela1[[#This Row],[Country]],Table19[Trap Classification],"&gt;0")</f>
        <v>0</v>
      </c>
      <c r="IQ10" s="6">
        <f>COUNTIFS(Table73[Country],Tabela1[[#This Row],[Country]],Table73[Park Classification],"&gt;0")</f>
        <v>2</v>
      </c>
      <c r="IR10" s="6">
        <f>COUNTIFS(Table74[Country],Tabela1[[#This Row],[Country]],Table74[Park Classification],"&gt;0")</f>
        <v>2</v>
      </c>
      <c r="IS10" s="6">
        <f>COUNTIFS(Table73[Country],Tabela1[[#This Row],[Country]],Table73[Street Classification],"&gt;0")</f>
        <v>3</v>
      </c>
      <c r="IT10" s="6">
        <f>COUNTIFS(Table74[Country],Tabela1[[#This Row],[Country]],Table74[Street Classification],"&gt;0")</f>
        <v>2</v>
      </c>
      <c r="IU10" s="6">
        <f>COUNTIFS(Table75[Country],Tabela1[[#This Row],[Country]],Table75[Boulder and Lead Classification],"&gt;0")</f>
        <v>0</v>
      </c>
      <c r="IV10" s="6">
        <f>COUNTIFS(Table76[Country],Tabela1[[#This Row],[Country]],Table76[Boulder and Lead Classification],"&gt;0")</f>
        <v>0</v>
      </c>
      <c r="IW10" s="6">
        <f>COUNTIFS(Table75[Country],Tabela1[[#This Row],[Country]],Table75[Speed Classification],"&gt;0")</f>
        <v>0</v>
      </c>
      <c r="IX10" s="6">
        <f>COUNTIFS(Table76[Country],Tabela1[[#This Row],[Country]],Table76[Speed Classification],"&gt;0")</f>
        <v>0</v>
      </c>
      <c r="IY10" s="6">
        <f>COUNTIFS(Table64[Country],Tabela1[[#This Row],[Country]],Table64[Shortboard Classification],"&gt;0")</f>
        <v>2</v>
      </c>
      <c r="IZ10" s="6">
        <f>COUNTIFS(Table77[Country],Tabela1[[#This Row],[Country]],Table77[Shortboard Classification],"&gt;0")</f>
        <v>1</v>
      </c>
      <c r="JA10" s="6">
        <f>COUNTIFS(Table20[Country],Tabela1[[#This Row],[Country]],Table20[50m Freestyle Classification],"&gt;0")</f>
        <v>1</v>
      </c>
      <c r="JB10" s="6">
        <f>COUNTIFS(Table21[Country],Tabela1[[#This Row],[Country]],Table21[50m Freestyle Classification],"&gt;0")</f>
        <v>0</v>
      </c>
      <c r="JC10" s="6">
        <f>COUNTIFS(Table20[Country],Tabela1[[#This Row],[Country]],Table20[100m Freestyle Classification],"&gt;0")</f>
        <v>2</v>
      </c>
      <c r="JD10" s="6">
        <f>COUNTIFS(Table21[Country],Tabela1[[#This Row],[Country]],Table21[100m Freestyle Classification],"&gt;0")</f>
        <v>0</v>
      </c>
      <c r="JE10" s="6">
        <f>COUNTIFS(Table20[Country],Tabela1[[#This Row],[Country]],Table20[200m Freestyle Classification],"&gt;0")</f>
        <v>0</v>
      </c>
      <c r="JF10" s="6">
        <f>COUNTIFS(Table21[Country],Tabela1[[#This Row],[Country]],Table21[200m Freestyle Classification],"&gt;0")</f>
        <v>0</v>
      </c>
      <c r="JG10" s="6">
        <f>COUNTIFS(Table20[Country],Tabela1[[#This Row],[Country]],Table20[400m Freestyle Classification],"&gt;0")</f>
        <v>0</v>
      </c>
      <c r="JH10" s="6">
        <f>COUNTIFS(Table21[Country],Tabela1[[#This Row],[Country]],Table21[400m Freestyle Classification],"&gt;0")</f>
        <v>1</v>
      </c>
      <c r="JI10" s="6">
        <f>COUNTIFS(Table20[Country],Tabela1[[#This Row],[Country]],Table20[800m Freestyle Classification],"&gt;0")</f>
        <v>0</v>
      </c>
      <c r="JJ10" s="6">
        <f>COUNTIFS(Table21[Country],Tabela1[[#This Row],[Country]],Table21[800m Freestyle Classification],"&gt;0")</f>
        <v>0</v>
      </c>
      <c r="JK10" s="6">
        <f>COUNTIFS(Table20[Country],Tabela1[[#This Row],[Country]],Table20[1500m Freestyle Classification],"&gt;0")</f>
        <v>0</v>
      </c>
      <c r="JL10" s="6">
        <f>COUNTIFS(Table21[Country],Tabela1[[#This Row],[Country]],Table21[1500m Freestyle Classification],"&gt;0")</f>
        <v>1</v>
      </c>
      <c r="JM10" s="6">
        <f>COUNTIFS(Table20[Country],Tabela1[[#This Row],[Country]],Table20[100m Backstroke Classification],"&gt;0")</f>
        <v>0</v>
      </c>
      <c r="JN10" s="6">
        <f>COUNTIFS(Table21[Country],Tabela1[[#This Row],[Country]],Table21[100m Backstroke Classification],"&gt;0")</f>
        <v>0</v>
      </c>
      <c r="JO10" s="6">
        <f>COUNTIFS(Table20[Country],Tabela1[[#This Row],[Country]],Table20[200m Backstroke Classification],"&gt;0")</f>
        <v>0</v>
      </c>
      <c r="JP10" s="6">
        <f>COUNTIFS(Table21[Country],Tabela1[[#This Row],[Country]],Table21[200m Backstroke Classification],"&gt;0")</f>
        <v>0</v>
      </c>
      <c r="JQ10" s="6">
        <f>COUNTIFS(Table20[Country],Tabela1[[#This Row],[Country]],Table20[100m Breaststroke Classification],"&gt;0")</f>
        <v>0</v>
      </c>
      <c r="JR10" s="6">
        <f>COUNTIFS(Table21[Country],Tabela1[[#This Row],[Country]],Table21[100m Breaststroke Classification],"&gt;0")</f>
        <v>0</v>
      </c>
      <c r="JS10" s="6">
        <f>COUNTIFS(Table20[Country],Tabela1[[#This Row],[Country]],Table20[200m Breaststroke Classification],"&gt;0")</f>
        <v>0</v>
      </c>
      <c r="JT10" s="6">
        <f>COUNTIFS(Table21[Country],Tabela1[[#This Row],[Country]],Table21[200m Breaststroke Classification],"&gt;0")</f>
        <v>0</v>
      </c>
      <c r="JU10" s="6">
        <f>COUNTIFS(Table20[Country],Tabela1[[#This Row],[Country]],Table20[100m Butterfly Classification],"&gt;0")</f>
        <v>1</v>
      </c>
      <c r="JV10" s="6">
        <f>COUNTIFS(Table21[Country],Tabela1[[#This Row],[Country]],Table21[100m Butterfly Classification],"&gt;0")</f>
        <v>0</v>
      </c>
      <c r="JW10" s="6">
        <f>COUNTIFS(Table20[Country],Tabela1[[#This Row],[Country]],Table20[200m Butterfly Classification],"&gt;0")</f>
        <v>0</v>
      </c>
      <c r="JX10" s="6">
        <f>COUNTIFS(Table21[Country],Tabela1[[#This Row],[Country]],Table21[200m Butterfly Classification],"&gt;0")</f>
        <v>0</v>
      </c>
      <c r="JY10" s="6">
        <f>COUNTIFS(Table20[Country],Tabela1[[#This Row],[Country]],Table20[200m Medley Classification],"&gt;0")</f>
        <v>0</v>
      </c>
      <c r="JZ10" s="6">
        <f>COUNTIFS(Table21[Country],Tabela1[[#This Row],[Country]],Table21[200m Medley Classification],"&gt;0")</f>
        <v>0</v>
      </c>
      <c r="KA10" s="6">
        <f>COUNTIFS(Table20[Country],Tabela1[[#This Row],[Country]],Table20[400m Medley Classification],"&gt;0")</f>
        <v>0</v>
      </c>
      <c r="KB10" s="6">
        <f>COUNTIFS(Table21[Country],Tabela1[[#This Row],[Country]],Table21[400m Medley Classification],"&gt;0")</f>
        <v>0</v>
      </c>
      <c r="KC10" s="6">
        <f>COUNTIFS(Table78[Country],Tabela1[[#This Row],[Country]],Table78[Men''s 4x100m Freestyle Relay Classification],"&gt;0")</f>
        <v>1</v>
      </c>
      <c r="KD10" s="6">
        <f>COUNTIFS(Table78[Country],Tabela1[[#This Row],[Country]],Table78[Women''s 4x100m Freestyle Relay Classification],"&gt;0")</f>
        <v>1</v>
      </c>
      <c r="KE10" s="6">
        <f>COUNTIFS(Table78[Country],Tabela1[[#This Row],[Country]],Table78[Men''s 4x200m Freestyle Relay Classification],"&gt;0")</f>
        <v>1</v>
      </c>
      <c r="KF10" s="6">
        <f>COUNTIFS(Table78[Country],Tabela1[[#This Row],[Country]],Table78[Women''s 4x200m Freestyle Relay Classification],"&gt;0")</f>
        <v>1</v>
      </c>
      <c r="KG10" s="6">
        <f>COUNTIFS(Table78[Country],Tabela1[[#This Row],[Country]],Table78[Men''s 4x100m Medley Relay Classification],"&gt;0")</f>
        <v>0</v>
      </c>
      <c r="KH10" s="6">
        <f>COUNTIFS(Table78[Country],Tabela1[[#This Row],[Country]],Table78[Women''s 4x100m Medley Relay Classification],"&gt;0")</f>
        <v>0</v>
      </c>
      <c r="KI10" s="6">
        <f>COUNTIFS(Table78[Country],Tabela1[[#This Row],[Country]],Table78[Mixed 4x100m Medley Relay Classification],"&gt;0")</f>
        <v>1</v>
      </c>
      <c r="KJ10" s="6">
        <f>COUNTIFS(Table20[Country],Tabela1[[#This Row],[Country]],Table20[10km Open Water Classification],"&gt;0")</f>
        <v>0</v>
      </c>
      <c r="KK10" s="6">
        <f>COUNTIFS(Table21[Country],Tabela1[[#This Row],[Country]],Table21[10km Open Water Classification],"&gt;0")</f>
        <v>2</v>
      </c>
      <c r="KL10" s="6">
        <f>COUNTIFS(Table22[Country],Tabela1[[#This Row],[Country]],Table22[Classification],"&gt;0")</f>
        <v>1</v>
      </c>
      <c r="KM10" s="6">
        <f>COUNTIFS(Table30[Country],Tabela1[[#This Row],[Country]],Table30[Classification],"&gt;0")</f>
        <v>2</v>
      </c>
      <c r="KN10" s="6">
        <f>COUNTIFS(Table55[Country],Tabela1[[#This Row],[Country]],Table55[Men''s Classification],"&gt;0")</f>
        <v>1</v>
      </c>
      <c r="KO10" s="6">
        <f>COUNTIFS(Table55[Country],Tabela1[[#This Row],[Country]],Table55[Women''s Classification],"&gt;0")</f>
        <v>1</v>
      </c>
      <c r="KP10" s="6">
        <f>COUNTIFS(Table56[Country],Tabela1[[#This Row],[Country]],Table56[Mixed Classification],"&gt;0")</f>
        <v>1</v>
      </c>
      <c r="KQ10" s="6">
        <f>COUNTIFS(Table29[Country],Tabela1[[#This Row],[Country]],Table29[58kg Classification],"&gt;0")</f>
        <v>0</v>
      </c>
      <c r="KR10" s="6">
        <f>COUNTIFS(Table29[Country],Tabela1[[#This Row],[Country]],Table29[68kg Classification],"&gt;0")</f>
        <v>0</v>
      </c>
      <c r="KS10" s="6">
        <f>COUNTIFS(Table29[Country],Tabela1[[#This Row],[Country]],Table29[80kg Classification],"&gt;0")</f>
        <v>0</v>
      </c>
      <c r="KT10" s="6">
        <f>COUNTIFS(Table29[Country],Tabela1[[#This Row],[Country]],Table29[Plus 80kg Classification],"&gt;0")</f>
        <v>0</v>
      </c>
      <c r="KU10" s="6">
        <f>COUNTIFS(Table34[Country],Tabela1[[#This Row],[Country]],Table34[49kg Classification],"&gt;0")</f>
        <v>0</v>
      </c>
      <c r="KV10" s="6">
        <f>COUNTIFS(Table34[Country],Tabela1[[#This Row],[Country]],Table34[57kg Classification],"&gt;0")</f>
        <v>1</v>
      </c>
      <c r="KW10" s="6">
        <f>COUNTIFS(Table34[Country],Tabela1[[#This Row],[Country]],Table34[67kg Classification],"&gt;0")</f>
        <v>0</v>
      </c>
      <c r="KX10" s="6">
        <f>COUNTIFS(Table34[Country],Tabela1[[#This Row],[Country]],Table34[Plus 67kg Classification],"&gt;0")</f>
        <v>0</v>
      </c>
      <c r="KY10" s="6">
        <f>COUNTIFS(Table57[Country],Tabela1[[#This Row],[Country]],Table57[Classification],"&gt;0")</f>
        <v>1</v>
      </c>
      <c r="KZ10" s="6">
        <f>COUNTIFS(Table58[Country],Tabela1[[#This Row],[Country]],Table58[Classification],"&gt;0")</f>
        <v>2</v>
      </c>
      <c r="LA10" s="6">
        <f>COUNTIFS(Table79[Country],Tabela1[[#This Row],[Country]],Table79[Men''s Classification],"&gt;0")</f>
        <v>1</v>
      </c>
      <c r="LB10" s="6">
        <f>COUNTIFS(Table79[Country],Tabela1[[#This Row],[Country]],Table79[Women''s Classification],"&gt;0")</f>
        <v>1</v>
      </c>
      <c r="LC10" s="6">
        <f>COUNTIFS(Table79[Country],Tabela1[[#This Row],[Country]],Table79[Mixed Classification],"&gt;0")</f>
        <v>1</v>
      </c>
      <c r="LD10" s="6">
        <f>COUNTIFS(Table65[Country],Tabela1[[#This Row],[Country]],Table65[Classification],"&gt;0")</f>
        <v>1</v>
      </c>
      <c r="LE10" s="6">
        <f>COUNTIFS(Table59[Country],Tabela1[[#This Row],[Country]],Table59[Classification],"&gt;0")</f>
        <v>0</v>
      </c>
      <c r="LF10" s="6">
        <f>COUNTIFS(Table87[Country],Tabela1[[#This Row],[Country]],Table87[Mixed Relay Classification],"&gt;0")</f>
        <v>1</v>
      </c>
      <c r="LG10" s="6">
        <f>COUNTIFS(Table91949698100[Country],Tabela1[[#This Row],[Country]],Table91949698100[Men''s Classification],"&gt;0")</f>
        <v>1</v>
      </c>
      <c r="LH10" s="6">
        <f>COUNTIFS(Table91949698100[Country],Tabela1[[#This Row],[Country]],Table91949698100[Women''s Classification],"&gt;0")</f>
        <v>1</v>
      </c>
      <c r="LI10" s="6">
        <f>COUNTIFS(Table91949698100102[Country],Tabela1[[#This Row],[Country]],Table91949698100102[Men''s Classification],"&gt;0")</f>
        <v>0</v>
      </c>
      <c r="LJ10" s="6">
        <f>COUNTIFS(Table91949698100102[Country],Tabela1[[#This Row],[Country]],Table91949698100102[Women''s Classification],"&gt;0")</f>
        <v>0</v>
      </c>
      <c r="LK10" s="6">
        <f>COUNTIFS(Table23[Country],Tabela1[[#This Row],[Country]],Table23[61kg Classification],"&gt;0")</f>
        <v>0</v>
      </c>
      <c r="LL10" s="6">
        <f>COUNTIFS(Table23[Country],Tabela1[[#This Row],[Country]],Table23[73kg Classification],"&gt;0")</f>
        <v>0</v>
      </c>
      <c r="LM10" s="6">
        <f>COUNTIFS(Table23[Country],Tabela1[[#This Row],[Country]],Table23[89kg Classification],"&gt;0")</f>
        <v>0</v>
      </c>
      <c r="LN10" s="6">
        <f>COUNTIFS(Table23[Country],Tabela1[[#This Row],[Country]],Table23[102kg Classification],"&gt;0")</f>
        <v>0</v>
      </c>
      <c r="LO10" s="6">
        <f>COUNTIFS(Table23[Country],Tabela1[[#This Row],[Country]],Table23[Plus 102kg Classification],"&gt;0")</f>
        <v>0</v>
      </c>
      <c r="LP10" s="6">
        <f>COUNTIFS(Table28[Country],Tabela1[[#This Row],[Country]],Table28[49kg Classification],"&gt;0")</f>
        <v>0</v>
      </c>
      <c r="LQ10" s="6">
        <f>COUNTIFS(Table28[Country],Tabela1[[#This Row],[Country]],Table28[59kg Classification],"&gt;0")</f>
        <v>0</v>
      </c>
      <c r="LR10" s="6">
        <f>COUNTIFS(Table28[Country],Tabela1[[#This Row],[Country]],Table28[71kg Classification],"&gt;0")</f>
        <v>0</v>
      </c>
      <c r="LS10" s="6">
        <f>COUNTIFS(Table28[Country],Tabela1[[#This Row],[Country]],Table28[81kg Classification],"&gt;0")</f>
        <v>0</v>
      </c>
      <c r="LT10" s="6">
        <f>COUNTIFS(Table28[Country],Tabela1[[#This Row],[Country]],Table28[Plus 81kg Classification],"&gt;0")</f>
        <v>0</v>
      </c>
      <c r="LU10" s="6">
        <f>COUNTIFS(Table24[Country],Tabela1[[#This Row],[Country]],Table24[Freestyle 57kg Classification],"&gt;0")</f>
        <v>0</v>
      </c>
      <c r="LV10" s="6">
        <f>COUNTIFS(Table24[Country],Tabela1[[#This Row],[Country]],Table24[Freestyle 65kg Classification],"&gt;0")</f>
        <v>0</v>
      </c>
      <c r="LW10" s="6">
        <f>COUNTIFS(Table24[Country],Tabela1[[#This Row],[Country]],Table24[Freestyle 74kg Classification],"&gt;0")</f>
        <v>0</v>
      </c>
      <c r="LX10" s="6">
        <f>COUNTIFS(Table24[Country],Tabela1[[#This Row],[Country]],Table24[Freestyle 86kg Classification],"&gt;0")</f>
        <v>0</v>
      </c>
      <c r="LY10" s="6">
        <f>COUNTIFS(Table24[Country],Tabela1[[#This Row],[Country]],Table24[Freestyle 97kg Classification],"&gt;0")</f>
        <v>0</v>
      </c>
      <c r="LZ10" s="6">
        <f>COUNTIFS(Table24[Country],Tabela1[[#This Row],[Country]],Table24[Freestyle 125kg Classification],"&gt;0")</f>
        <v>0</v>
      </c>
      <c r="MA10" s="6">
        <f>COUNTIFS(Table24[Country],Tabela1[[#This Row],[Country]],Table24[Greco-Roman 60kg Classification],"&gt;0")</f>
        <v>0</v>
      </c>
      <c r="MB10" s="6">
        <f>COUNTIFS(Table24[Country],Tabela1[[#This Row],[Country]],Table24[Greco-Roman 67kg Classification],"&gt;0")</f>
        <v>0</v>
      </c>
      <c r="MC10" s="6">
        <f>COUNTIFS(Table24[Country],Tabela1[[#This Row],[Country]],Table24[Greco-Roman 77kg Classification],"&gt;0")</f>
        <v>0</v>
      </c>
      <c r="MD10" s="6">
        <f>COUNTIFS(Table24[Country],Tabela1[[#This Row],[Country]],Table24[Greco-Roman 87kg Classification],"&gt;0")</f>
        <v>0</v>
      </c>
      <c r="ME10" s="6">
        <f>COUNTIFS(Table24[Country],Tabela1[[#This Row],[Country]],Table24[Greco-Roman 97kg Classification],"&gt;0")</f>
        <v>0</v>
      </c>
      <c r="MF10" s="6">
        <f>COUNTIFS(Table24[Country],Tabela1[[#This Row],[Country]],Table24[Greco-Roman 130kg Classification],"&gt;0")</f>
        <v>0</v>
      </c>
      <c r="MG10" s="6">
        <f>COUNTIFS(Table31[Country],Tabela1[[#This Row],[Country]],Table31[50kg Classification],"&gt;0")</f>
        <v>0</v>
      </c>
      <c r="MH10" s="6">
        <f>COUNTIFS(Table31[Country],Tabela1[[#This Row],[Country]],Table31[53kg Classification],"&gt;0")</f>
        <v>0</v>
      </c>
      <c r="MI10" s="6">
        <f>COUNTIFS(Table31[Country],Tabela1[[#This Row],[Country]],Table31[57kg Classification],"&gt;0")</f>
        <v>0</v>
      </c>
      <c r="MJ10" s="6">
        <f>COUNTIFS(Table31[Country],Tabela1[[#This Row],[Country]],Table31[62kg Classification],"&gt;0")</f>
        <v>0</v>
      </c>
      <c r="MK10" s="6">
        <f>COUNTIFS(Table31[Country],Tabela1[[#This Row],[Country]],Table31[68kg Classification],"&gt;0")</f>
        <v>0</v>
      </c>
      <c r="ML10" s="6">
        <f>COUNTIFS(Table31[Country],Tabela1[[#This Row],[Country]],Table31[76kg Classification],"&gt;0")</f>
        <v>0</v>
      </c>
      <c r="MM10" s="6">
        <f>COUNTIFS(Table102[Country],Tabela1[[#This Row],[Country]],Table102[Downhill Classification],"&gt;0")</f>
        <v>0</v>
      </c>
      <c r="MN10" s="6">
        <f>COUNTIFS(Table102105[Country],Tabela1[[#This Row],[Country]],Table102105[Downhill Classification],"&gt;0")</f>
        <v>0</v>
      </c>
      <c r="MO10" s="6">
        <f>COUNTIFS(Table102[Country],Tabela1[[#This Row],[Country]],Table102[Giant Slalom Classification],"&gt;0")</f>
        <v>0</v>
      </c>
      <c r="MP10" s="6">
        <f>COUNTIFS(Table102105[Country],Tabela1[[#This Row],[Country]],Table102105[Giant Slalom Classification],"&gt;0")</f>
        <v>0</v>
      </c>
      <c r="MQ10" s="6">
        <f>COUNTIFS(Table102[Country],Tabela1[[#This Row],[Country]],Table102[Slalom Classification],"&gt;0")</f>
        <v>0</v>
      </c>
      <c r="MR10" s="6">
        <f>COUNTIFS(Table102105[Country],Tabela1[[#This Row],[Country]],Table102105[Slalom Classification],"&gt;0")</f>
        <v>0</v>
      </c>
      <c r="MS10" s="6">
        <f>COUNTIFS(Table102[Country],Tabela1[[#This Row],[Country]],Table102[Super-G Classification],"&gt;0")</f>
        <v>0</v>
      </c>
      <c r="MT10" s="6">
        <f>COUNTIFS(Table102105[Country],Tabela1[[#This Row],[Country]],Table102105[Super-G Classification],"&gt;0")</f>
        <v>0</v>
      </c>
      <c r="MU10" s="6">
        <f>COUNTIFS(Table105[Country],Tabela1[[#This Row],[Country]],Table105[Men''s Combined Classification],"&gt;0")</f>
        <v>0</v>
      </c>
      <c r="MV10" s="6">
        <f>COUNTIFS(Table105[Country],Tabela1[[#This Row],[Country]],Table105[Women''s Combined Classification],"&gt;0")</f>
        <v>0</v>
      </c>
      <c r="MW10" s="6">
        <f>COUNTIFS(Table106[Country],Tabela1[[#This Row],[Country]],Table106[Individual Classification],"&gt;0")</f>
        <v>0</v>
      </c>
      <c r="MX10" s="6">
        <f>COUNTIFS(Table106109[Country],Tabela1[[#This Row],[Country]],Table106109[Individual Classification],"&gt;0")</f>
        <v>0</v>
      </c>
      <c r="MY10" s="6">
        <f>COUNTIFS(Table106[Country],Tabela1[[#This Row],[Country]],Table106[Mass Start Classification],"&gt;0")</f>
        <v>0</v>
      </c>
      <c r="MZ10" s="6">
        <f>COUNTIFS(Table106109[Country],Tabela1[[#This Row],[Country]],Table106109[Mass Start Classification],"&gt;0")</f>
        <v>0</v>
      </c>
      <c r="NA10" s="6">
        <f>COUNTIFS(Table106[Country],Tabela1[[#This Row],[Country]],Table106[Pursuit Classification],"&gt;0")</f>
        <v>0</v>
      </c>
      <c r="NB10" s="6">
        <f>COUNTIFS(Table106109[Country],Tabela1[[#This Row],[Country]],Table106109[Pursuit Classification],"&gt;0")</f>
        <v>0</v>
      </c>
      <c r="NC10" s="6">
        <f>COUNTIFS(Table106[Country],Tabela1[[#This Row],[Country]],Table106[Sprint Classification],"&gt;0")</f>
        <v>0</v>
      </c>
      <c r="ND10" s="6">
        <f>COUNTIFS(Table106109[Country],Tabela1[[#This Row],[Country]],Table106109[Sprint Classification],"&gt;0")</f>
        <v>0</v>
      </c>
      <c r="NE10" s="6">
        <f>COUNTIFS(Table109[Country],Tabela1[[#This Row],[Country]],Table109[Men''s Relay Classification],"&gt;0")</f>
        <v>0</v>
      </c>
      <c r="NF10" s="6">
        <f>COUNTIFS(Table109[Country],Tabela1[[#This Row],[Country]],Table109[Women''s Relay Classification],"&gt;0")</f>
        <v>0</v>
      </c>
      <c r="NG10" s="6">
        <f>COUNTIFS(Table109[Country],Tabela1[[#This Row],[Country]],Table109[Mixed Relay Classification],"&gt;0")</f>
        <v>0</v>
      </c>
      <c r="NH10" s="6">
        <f>COUNTIFS(Table110[Country],Tabela1[[#This Row],[Country]],Table110[Monobob Classification],"&gt;0")</f>
        <v>0</v>
      </c>
      <c r="NI10" s="6">
        <f>COUNTIFS(Table111[Country],Tabela1[[#This Row],[Country]],Table111[Men''s Classification],"&gt;0")</f>
        <v>1</v>
      </c>
      <c r="NJ10" s="6">
        <f>COUNTIFS(Table111[Country],Tabela1[[#This Row],[Country]],Table111[Women''s Classification],"&gt;0")</f>
        <v>0</v>
      </c>
      <c r="NK10" s="6">
        <f>COUNTIFS(Table112[Country],Tabela1[[#This Row],[Country]],Table112[Men''s Four Classification],"&gt;0")</f>
        <v>1</v>
      </c>
      <c r="NL10" s="6">
        <f>COUNTIFS(Table113[Country],Tabela1[[#This Row],[Country]],Table113[Classical Classification],"&gt;0")</f>
        <v>0</v>
      </c>
      <c r="NM10" s="6">
        <f>COUNTIFS(Table113116[Country],Tabela1[[#This Row],[Country]],Table113116[Classical Classification],"&gt;0")</f>
        <v>0</v>
      </c>
      <c r="NN10" s="6">
        <f>COUNTIFS(Table113[Country],Tabela1[[#This Row],[Country]],Table113[Freestyle Classification],"&gt;0")</f>
        <v>1</v>
      </c>
      <c r="NO10" s="6">
        <f>COUNTIFS(Table113116[Country],Tabela1[[#This Row],[Country]],Table113116[Freestyle Classification],"&gt;0")</f>
        <v>2</v>
      </c>
      <c r="NP10" s="6">
        <f>COUNTIFS(Table117[Country],Tabela1[[#This Row],[Country]],Table117[Men''s Relay Classification],"&gt;0")</f>
        <v>0</v>
      </c>
      <c r="NQ10" s="6">
        <f>COUNTIFS(Table117[Country],Tabela1[[#This Row],[Country]],Table117[Women''s Relay Classification],"&gt;0")</f>
        <v>0</v>
      </c>
      <c r="NR10" s="6">
        <f>COUNTIFS(Table113[Country],Tabela1[[#This Row],[Country]],Table113[Skiathlon Classification],"&gt;0")</f>
        <v>0</v>
      </c>
      <c r="NS10" s="6">
        <f>COUNTIFS(Table113116[Country],Tabela1[[#This Row],[Country]],Table113116[Skiathlon Classification],"&gt;0")</f>
        <v>0</v>
      </c>
      <c r="NT10" s="6">
        <f>COUNTIFS(Table113[Country],Tabela1[[#This Row],[Country]],Table113[Sprint Classification],"&gt;0")</f>
        <v>1</v>
      </c>
      <c r="NU10" s="6">
        <f>COUNTIFS(Table113116[Country],Tabela1[[#This Row],[Country]],Table113116[Sprint Classification],"&gt;0")</f>
        <v>2</v>
      </c>
      <c r="NV10" s="6">
        <f>COUNTIFS(Table116[Country],Tabela1[[#This Row],[Country]],Table116[Men''s Team Sprint Classification],"&gt;0")</f>
        <v>0</v>
      </c>
      <c r="NW10" s="6">
        <f>COUNTIFS(Table116[Country],Tabela1[[#This Row],[Country]],Table116[Women''s Team Sprint Classification],"&gt;0")</f>
        <v>1</v>
      </c>
      <c r="NX10" s="6">
        <f>COUNTIFS(Table119[Country],Tabela1[[#This Row],[Country]],Table119[Men''s Classification],"&gt;0")</f>
        <v>0</v>
      </c>
      <c r="NY10" s="6">
        <f>COUNTIFS(Table119[Country],Tabela1[[#This Row],[Country]],Table119[Women''s Classification],"&gt;0")</f>
        <v>0</v>
      </c>
      <c r="NZ10" s="6">
        <f>COUNTIFS(Table118[Country],Tabela1[[#This Row],[Country]],Table118[Mixed Classification],"&gt;0")</f>
        <v>0</v>
      </c>
      <c r="OA10" s="6">
        <f>COUNTIFS(Table120[Country],Tabela1[[#This Row],[Country]],Table120[Classification],"&gt;0")</f>
        <v>0</v>
      </c>
      <c r="OB10" s="6">
        <f>COUNTIFS(Table120123[Country],Tabela1[[#This Row],[Country]],Table120123[Classification],"&gt;0")</f>
        <v>0</v>
      </c>
      <c r="OC10" s="6">
        <f>COUNTIFS(Table123[Country],Tabela1[[#This Row],[Country]],Table123[Ice Dance Classification],"&gt;0")</f>
        <v>0</v>
      </c>
      <c r="OD10" s="6">
        <f>COUNTIFS(Table123[Country],Tabela1[[#This Row],[Country]],Table123[Pair Skating Classification],"&gt;0")</f>
        <v>0</v>
      </c>
      <c r="OE10" s="6">
        <f>COUNTIFS(Table124[Country],Tabela1[[#This Row],[Country]],Table124[Mixed Classification],"&gt;0")</f>
        <v>0</v>
      </c>
      <c r="OF10" s="6">
        <f>COUNTIFS(Table125[Country],Tabela1[[#This Row],[Country]],Table125[Aerials Classification],"&gt;0")</f>
        <v>0</v>
      </c>
      <c r="OG10" s="6">
        <f>COUNTIFS(Table125128[Country],Tabela1[[#This Row],[Country]],Table125128[Aerials Classification],"&gt;0")</f>
        <v>0</v>
      </c>
      <c r="OH10" s="6">
        <f>COUNTIFS(Table128[Country],Tabela1[[#This Row],[Country]],Table128[Mixed Aerials Classification],"&gt;0")</f>
        <v>0</v>
      </c>
      <c r="OI10" s="6">
        <f>COUNTIFS(Table125[Country],Tabela1[[#This Row],[Country]],Table125[Big Air Classification],"&gt;0")</f>
        <v>0</v>
      </c>
      <c r="OJ10" s="6">
        <f>COUNTIFS(Table125128[Country],Tabela1[[#This Row],[Country]],Table125128[Big Air Classification],"&gt;0")</f>
        <v>0</v>
      </c>
      <c r="OK10" s="6">
        <f>COUNTIFS(Table125[Country],Tabela1[[#This Row],[Country]],Table125[Dual Moguls Classification],"&gt;0")</f>
        <v>0</v>
      </c>
      <c r="OL10" s="6">
        <f>COUNTIFS(Table125128[Country],Tabela1[[#This Row],[Country]],Table125128[Dual Moguls Classification],"&gt;0")</f>
        <v>0</v>
      </c>
      <c r="OM10" s="6">
        <f>COUNTIFS(Table125[Country],Tabela1[[#This Row],[Country]],Table125[Halfpipe Classification],"&gt;0")</f>
        <v>0</v>
      </c>
      <c r="ON10" s="6">
        <f>COUNTIFS(Table125128[Country],Tabela1[[#This Row],[Country]],Table125128[Halfpipe Classification],"&gt;0")</f>
        <v>0</v>
      </c>
      <c r="OO10" s="6">
        <f>COUNTIFS(Table125[Country],Tabela1[[#This Row],[Country]],Table125[Moguls Classification],"&gt;0")</f>
        <v>0</v>
      </c>
      <c r="OP10" s="6">
        <f>COUNTIFS(Table125128[Country],Tabela1[[#This Row],[Country]],Table125128[Moguls Classification],"&gt;0")</f>
        <v>0</v>
      </c>
      <c r="OQ10" s="6">
        <f>COUNTIFS(Table125[Country],Tabela1[[#This Row],[Country]],Table125[Ski Cross Classification],"&gt;0")</f>
        <v>0</v>
      </c>
      <c r="OR10" s="6">
        <f>COUNTIFS(Table125128[Country],Tabela1[[#This Row],[Country]],Table125128[Ski Cross Classification],"&gt;0")</f>
        <v>0</v>
      </c>
      <c r="OS10" s="6">
        <f>COUNTIFS(Table125[Country],Tabela1[[#This Row],[Country]],Table125[Slopestyle Classification],"&gt;0")</f>
        <v>0</v>
      </c>
      <c r="OT10" s="6">
        <f>COUNTIFS(Table125128[Country],Tabela1[[#This Row],[Country]],Table125128[Slopestyle Classification],"&gt;0")</f>
        <v>0</v>
      </c>
      <c r="OU10" s="6">
        <f>COUNTIFS(Table119131[Country],Tabela1[[#This Row],[Country]],Table119131[Men''s Classification],"&gt;0")</f>
        <v>0</v>
      </c>
      <c r="OV10" s="6">
        <f>COUNTIFS(Table119131[Country],Tabela1[[#This Row],[Country]],Table119131[Women''s Classification],"&gt;0")</f>
        <v>0</v>
      </c>
      <c r="OW10" s="6">
        <f>COUNTIFS(Table131[Country],Tabela1[[#This Row],[Country]],Table131[Classification],"&gt;0")</f>
        <v>0</v>
      </c>
      <c r="OX10" s="6">
        <f>COUNTIFS(Table131134[Country],Tabela1[[#This Row],[Country]],Table131134[Classification],"&gt;0")</f>
        <v>0</v>
      </c>
      <c r="OY10" s="6">
        <f>COUNTIFS(Table134[Country],Tabela1[[#This Row],[Country]],Table134[Men''s Classification],"&gt;0")</f>
        <v>0</v>
      </c>
      <c r="OZ10" s="6">
        <f>COUNTIFS(Table134[Country],Tabela1[[#This Row],[Country]],Table134[Women''s Classification],"&gt;0")</f>
        <v>0</v>
      </c>
      <c r="PA10" s="6">
        <f>COUNTIFS(Table135[Country],Tabela1[[#This Row],[Country]],Table135[Mixed Relay Classification],"&gt;0")</f>
        <v>0</v>
      </c>
      <c r="PB10" s="6">
        <f>COUNTIFS(Table136[Country],Tabela1[[#This Row],[Country]],Table136[Individual Classification],"&gt;0")</f>
        <v>0</v>
      </c>
      <c r="PC10" s="6">
        <f>COUNTIFS(Table136[Country],Tabela1[[#This Row],[Country]],Table136[Sprint Classification],"&gt;0")</f>
        <v>0</v>
      </c>
      <c r="PD10" s="6">
        <f>COUNTIFS(Table137[Country],Tabela1[[#This Row],[Country]],Table137[Men''s Team Sprint Large Hill Classification],"&gt;0")</f>
        <v>0</v>
      </c>
      <c r="PE10" s="6">
        <f>COUNTIFS(Table138[Country],Tabela1[[#This Row],[Country]],Table138[500m Classification],"&gt;0")</f>
        <v>0</v>
      </c>
      <c r="PF10" s="6">
        <f>COUNTIFS(Table138141[Country],Tabela1[[#This Row],[Country]],Table138141[500m Classification],"&gt;0")</f>
        <v>0</v>
      </c>
      <c r="PG10" s="6">
        <f>COUNTIFS(Table138[Country],Tabela1[[#This Row],[Country]],Table138[1000m Classification],"&gt;0")</f>
        <v>0</v>
      </c>
      <c r="PH10" s="6">
        <f>COUNTIFS(Table138141[Country],Tabela1[[#This Row],[Country]],Table138141[1000m Classification],"&gt;0")</f>
        <v>0</v>
      </c>
      <c r="PI10" s="6">
        <f>COUNTIFS(Table138[Country],Tabela1[[#This Row],[Country]],Table138[1500m Classification],"&gt;0")</f>
        <v>0</v>
      </c>
      <c r="PJ10" s="6">
        <f>COUNTIFS(Table138141[Country],Tabela1[[#This Row],[Country]],Table138141[1500m Classification],"&gt;0")</f>
        <v>0</v>
      </c>
      <c r="PK10" s="6">
        <f>COUNTIFS(Table141[Country],Tabela1[[#This Row],[Country]],Table141[Men''s 5000m Relay Classification],"&gt;0")</f>
        <v>0</v>
      </c>
      <c r="PL10" s="6">
        <f>COUNTIFS(Table141[Country],Tabela1[[#This Row],[Country]],Table141[Women''s 3000m Relay Classification],"&gt;0")</f>
        <v>0</v>
      </c>
      <c r="PM10" s="6">
        <f>COUNTIFS(Table141[Country],Tabela1[[#This Row],[Country]],Table141[Mixed 2000m Relay Classification],"&gt;0")</f>
        <v>0</v>
      </c>
      <c r="PN10" s="6">
        <f>COUNTIFS(Table142[Country],Tabela1[[#This Row],[Country]],Table142[Classification],"&gt;0")</f>
        <v>0</v>
      </c>
      <c r="PO10" s="6">
        <f>COUNTIFS(Table142145[Country],Tabela1[[#This Row],[Country]],Table142145[Classification],"&gt;0")</f>
        <v>1</v>
      </c>
      <c r="PP10" s="6">
        <f>COUNTIFS(Tabela15[Country],Tabela1[[#This Row],[Country]],Tabela15[Mixed Team Classification],"&gt;0")</f>
        <v>0</v>
      </c>
      <c r="PQ10" s="6">
        <f>COUNTIFS(Table145[Country],Tabela1[[#This Row],[Country]],Table145[Large Hill Classification],"&gt;0")</f>
        <v>0</v>
      </c>
      <c r="PR10" s="6">
        <f>COUNTIFS(Table145[Country],Tabela1[[#This Row],[Country]],Table145[Normal Hill Classification],"&gt;0")</f>
        <v>0</v>
      </c>
      <c r="PS10" s="6">
        <f>COUNTIFS(Table145148[Country],Tabela1[[#This Row],[Country]],Table145148[Large Hill Classification],"&gt;0")</f>
        <v>0</v>
      </c>
      <c r="PT10" s="6">
        <f>COUNTIFS(Table145148[Country],Tabela1[[#This Row],[Country]],Table145148[Normal Hill Classification],"&gt;0")</f>
        <v>0</v>
      </c>
      <c r="PU10" s="6">
        <f>COUNTIFS(Table148[Country],Tabela1[[#This Row],[Country]],Table148[Men''s Super Team Classification],"&gt;0")</f>
        <v>0</v>
      </c>
      <c r="PV10" s="6">
        <f>COUNTIFS(Tabela114[Country],Tabela1[[#This Row],[Country]],Tabela114[Mixed Normal Hill Classification],"&gt;0")</f>
        <v>0</v>
      </c>
      <c r="PW10" s="6">
        <f>COUNTIFS(Tabela50[Country],Tabela1[[#This Row],[Country]],Tabela50[Sprint Classification],"&gt;0")</f>
        <v>0</v>
      </c>
      <c r="PX10" s="6">
        <f>COUNTIFS(Tabela50101[Country],Tabela1[[#This Row],[Country]],Tabela50101[Sprint Classification],"&gt;0")</f>
        <v>0</v>
      </c>
      <c r="PY10" s="6">
        <f>COUNTIFS(Tabela103[Country],Tabela1[[#This Row],[Country]],Tabela103[Mixed Relay Classification],"&gt;0")</f>
        <v>0</v>
      </c>
      <c r="PZ10" s="6">
        <f>COUNTIFS(Table149[Country],Tabela1[[#This Row],[Country]],Table149[Big Air Classification],"&gt;0")</f>
        <v>0</v>
      </c>
      <c r="QA10" s="6">
        <f>COUNTIFS(Table149152[Country],Tabela1[[#This Row],[Country]],Table149152[Big Air Classification],"&gt;0")</f>
        <v>0</v>
      </c>
      <c r="QB10" s="6">
        <f>COUNTIFS(Table149[Country],Tabela1[[#This Row],[Country]],Table149[Halfpipe Classification],"&gt;0")</f>
        <v>2</v>
      </c>
      <c r="QC10" s="6">
        <f>COUNTIFS(Table149152[Country],Tabela1[[#This Row],[Country]],Table149152[Halfpipe Classification],"&gt;0")</f>
        <v>0</v>
      </c>
      <c r="QD10" s="6">
        <f>COUNTIFS(Table149[Country],Tabela1[[#This Row],[Country]],Table149[Parallel Giant Slalom Classification],"&gt;0")</f>
        <v>0</v>
      </c>
      <c r="QE10" s="6">
        <f>COUNTIFS(Table149152[Country],Tabela1[[#This Row],[Country]],Table149152[Parallel Giant Slalom Classification],"&gt;0")</f>
        <v>0</v>
      </c>
      <c r="QF10" s="6">
        <f>COUNTIFS(Table149[Country],Tabela1[[#This Row],[Country]],Table149[Slopestyle Classification],"&gt;0")</f>
        <v>0</v>
      </c>
      <c r="QG10" s="6">
        <f>COUNTIFS(Table149152[Country],Tabela1[[#This Row],[Country]],Table149152[Slopestyle Classification],"&gt;0")</f>
        <v>0</v>
      </c>
      <c r="QH10" s="6">
        <f>COUNTIFS(Table149[Country],Tabela1[[#This Row],[Country]],Table149[Snowboard Cross Classification],"&gt;0")</f>
        <v>0</v>
      </c>
      <c r="QI10" s="6">
        <f>COUNTIFS(Table149152[Country],Tabela1[[#This Row],[Country]],Table149152[Snowboard Cross Classification],"&gt;0")</f>
        <v>0</v>
      </c>
      <c r="QJ10" s="6">
        <f>COUNTIFS(Table153[Country],Tabela1[[#This Row],[Country]],Table153[Mixed Team Snowboard Cross Classification],"&gt;0")</f>
        <v>0</v>
      </c>
      <c r="QK10" s="6">
        <f>COUNTIFS(Table154[Country],Tabela1[[#This Row],[Country]],Table154[500m Classification],"&gt;0")</f>
        <v>0</v>
      </c>
      <c r="QL10" s="6">
        <f>COUNTIFS(Table154157[Country],Tabela1[[#This Row],[Country]],Table154157[500m Classification],"&gt;0")</f>
        <v>0</v>
      </c>
      <c r="QM10" s="6">
        <f>COUNTIFS(Table154[Country],Tabela1[[#This Row],[Country]],Table154[1000m Classification],"&gt;0")</f>
        <v>0</v>
      </c>
      <c r="QN10" s="6">
        <f>COUNTIFS(Table154157[Country],Tabela1[[#This Row],[Country]],Table154157[1000m Classification],"&gt;0")</f>
        <v>0</v>
      </c>
      <c r="QO10" s="6">
        <f>COUNTIFS(Table154[Country],Tabela1[[#This Row],[Country]],Table154[1500m Classification],"&gt;0")</f>
        <v>0</v>
      </c>
      <c r="QP10" s="6">
        <f>COUNTIFS(Table154157[Country],Tabela1[[#This Row],[Country]],Table154157[1500m Classification],"&gt;0")</f>
        <v>0</v>
      </c>
      <c r="QQ10" s="6">
        <f>COUNTIFS(Table154157[Country],Tabela1[[#This Row],[Country]],Table154157[3000m Classification],"&gt;0")</f>
        <v>0</v>
      </c>
      <c r="QR10" s="6">
        <f>COUNTIFS(Table154[Country],Tabela1[[#This Row],[Country]],Table154[5000m Classification],"&gt;0")</f>
        <v>0</v>
      </c>
      <c r="QS10" s="6">
        <f>COUNTIFS(Table154157[Country],Tabela1[[#This Row],[Country]],Table154157[5000m Classification],"&gt;0")</f>
        <v>0</v>
      </c>
      <c r="QT10" s="6">
        <f>COUNTIFS(Table154[Country],Tabela1[[#This Row],[Country]],Table154[10000m Classification],"&gt;0")</f>
        <v>0</v>
      </c>
      <c r="QU10" s="6">
        <f>COUNTIFS(Table154[Country],Tabela1[[#This Row],[Country]],Table154[Mass Start Classification],"&gt;0")</f>
        <v>0</v>
      </c>
      <c r="QV10" s="6">
        <f>COUNTIFS(Table154157[Country],Tabela1[[#This Row],[Country]],Table154157[Mass Start Classification],"&gt;0")</f>
        <v>0</v>
      </c>
      <c r="QW10" s="6">
        <f>COUNTIFS(Table157[Country],Tabela1[[#This Row],[Country]],Table157[Men''s Pursuit Classification],"&gt;0")</f>
        <v>0</v>
      </c>
      <c r="QX10" s="6">
        <f>COUNTIFS(Table157[Country],Tabela1[[#This Row],[Country]],Table157[Women''s Pursuit Classification],"&gt;0")</f>
        <v>0</v>
      </c>
      <c r="QY10" s="3" t="s">
        <v>337</v>
      </c>
    </row>
    <row r="11" spans="1:467" x14ac:dyDescent="0.3">
      <c r="A11" s="6">
        <v>10</v>
      </c>
      <c r="B11" s="6" t="s">
        <v>330</v>
      </c>
      <c r="C11" t="e" vm="10">
        <f>IF(ISBLANK(Tabela1[[#This Row],[Image Link]]), "", _xlfn.IMAGE(Tabela1[[#This Row],[Image Link]],1,1))</f>
        <v>#VALUE!</v>
      </c>
      <c r="D11" s="6">
        <f>SUM(Tabela1[[#This Row],[Archery - Men''s Individual Recurve]:[Speed Skating - Women''s Team Pursuit]])</f>
        <v>128</v>
      </c>
      <c r="E11" s="6">
        <f>COUNTIF(Tabela1[[#This Row],[Archery - Men''s Individual Recurve]:[Speed Skating - Women''s Team Pursuit]],"&gt;0")</f>
        <v>114</v>
      </c>
      <c r="F11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1" s="6">
        <f>SUM(Tabela1[[#This Row],[Archery - Men''s Individual Recurve]:[Wrestling - Women''s Freestyle 76kg]])</f>
        <v>122</v>
      </c>
      <c r="H11" s="6">
        <f>SUM(Tabela1[[#This Row],[Alpine Skiing - Men''s Downhill]:[Speed Skating - Women''s Team Pursuit]])</f>
        <v>6</v>
      </c>
      <c r="I11" s="6">
        <f>Tabela1[[#This Row],[Summer Gold Medals]]+Tabela1[[#This Row],[Winter Gold Medals]]</f>
        <v>6</v>
      </c>
      <c r="J11" s="6">
        <f>Tabela1[[#This Row],[Summer Silver Medals]]+Tabela1[[#This Row],[Winter Silver Medals]]</f>
        <v>4</v>
      </c>
      <c r="K11" s="6">
        <f>Tabela1[[#This Row],[Summer Bronze Medals]]+Tabela1[[#This Row],[Winter Bronze Medals]]</f>
        <v>11</v>
      </c>
      <c r="L11" s="6">
        <f>SUM(Tabela1[[#This Row],[Total Gold Medals]:[Total Bronze Medals]])</f>
        <v>21</v>
      </c>
      <c r="M11" s="6">
        <v>5</v>
      </c>
      <c r="N11" s="6">
        <v>4</v>
      </c>
      <c r="O11" s="6">
        <v>9</v>
      </c>
      <c r="P11" s="6">
        <f>SUM(Tabela1[[#This Row],[Summer Gold Medals]:[Summer Bronze Medals]])</f>
        <v>18</v>
      </c>
      <c r="Q11" s="6">
        <v>1</v>
      </c>
      <c r="R11" s="6"/>
      <c r="S11" s="6">
        <v>2</v>
      </c>
      <c r="T11" s="6">
        <f>Tabela1[[#This Row],[Winter Gold Medals]]+Tabela1[[#This Row],[Winter Silver Medals]]+Tabela1[[#This Row],[Winter Bronze Medals]]</f>
        <v>3</v>
      </c>
      <c r="U11" s="7">
        <f>Tabela1[[#This Row],[Total Medals]]/Tabela1[[#This Row],[Total Quotas]]</f>
        <v>0.1640625</v>
      </c>
      <c r="V11" s="6">
        <f>COUNTIFS(Table3[Country],Tabela1[[#This Row],[Country]],Table3[Recurve Classification],"&gt;0")</f>
        <v>0</v>
      </c>
      <c r="W11" s="6">
        <f>COUNTIFS(Table33[Country],Tabela1[[#This Row],[Country]],Table33[Recurve Classification],"&gt;0")</f>
        <v>1</v>
      </c>
      <c r="X11" s="6">
        <f>COUNTIFS(Table35[Country],Tabela1[[#This Row],[Country]],Table35[Men''s Team Recurve Classification],"&gt;0")</f>
        <v>0</v>
      </c>
      <c r="Y11" s="6">
        <f>COUNTIFS(Table35[Country],Tabela1[[#This Row],[Country]],Table35[Women''s Team Recurve Classification],"&gt;0")</f>
        <v>0</v>
      </c>
      <c r="Z11" s="6">
        <f>COUNTIFS(Tabela88[Country],Tabela1[[#This Row],[Country]],Tabela88[Mixed Team Recurve Classification],"&gt;0")</f>
        <v>1</v>
      </c>
      <c r="AA11" s="6">
        <f>COUNTIFS(Table36[Country],Tabela1[[#This Row],[Country]],Table36[Classification],"&gt;0")</f>
        <v>0</v>
      </c>
      <c r="AB11" s="6">
        <f>COUNTIFS(Table37[Country],Tabela1[[#This Row],[Country]],Table37[Classification],"&gt;0")</f>
        <v>1</v>
      </c>
      <c r="AC11" s="6">
        <f>COUNTIFS(Table4[Country],Tabela1[[#This Row],[Country]],Table4[100m Classification],"&gt;0")</f>
        <v>0</v>
      </c>
      <c r="AD11" s="6">
        <f>COUNTIFS(Table5[Country],Tabela1[[#This Row],[Country]],Table5[100m Classification],"&gt;0")</f>
        <v>0</v>
      </c>
      <c r="AE11" s="6">
        <f>COUNTIFS(Table4[Country],Tabela1[[#This Row],[Country]],Table4[200m Classification],"&gt;0")</f>
        <v>0</v>
      </c>
      <c r="AF11" s="6">
        <f>COUNTIFS(Table5[Country],Tabela1[[#This Row],[Country]],Table5[200m Classification],"&gt;0")</f>
        <v>0</v>
      </c>
      <c r="AG11" s="6">
        <f>COUNTIFS(Table4[Country],Tabela1[[#This Row],[Country]],Table4[400m Classification],"&gt;0")</f>
        <v>0</v>
      </c>
      <c r="AH11" s="6">
        <f>COUNTIFS(Table5[Country],Tabela1[[#This Row],[Country]],Table5[400m Classification],"&gt;0")</f>
        <v>0</v>
      </c>
      <c r="AI11" s="6">
        <f>COUNTIFS(Table4[Country],Tabela1[[#This Row],[Country]],Table4[800m Classification],"&gt;0")</f>
        <v>1</v>
      </c>
      <c r="AJ11" s="6">
        <f>COUNTIFS(Table5[Country],Tabela1[[#This Row],[Country]],Table5[800m Classification],"&gt;0")</f>
        <v>2</v>
      </c>
      <c r="AK11" s="6">
        <f>COUNTIFS(Table4[Country],Tabela1[[#This Row],[Country]],Table4[1500m Classification],"&gt;0")</f>
        <v>1</v>
      </c>
      <c r="AL11" s="6">
        <f>COUNTIFS(Table5[Country],Tabela1[[#This Row],[Country]],Table5[1500m Classification],"&gt;0")</f>
        <v>0</v>
      </c>
      <c r="AM11" s="6">
        <f>COUNTIFS(Table4[Country],Tabela1[[#This Row],[Country]],Table4[5000m Classification],"&gt;0")</f>
        <v>0</v>
      </c>
      <c r="AN11" s="6">
        <f>COUNTIFS(Table5[Country],Tabela1[[#This Row],[Country]],Table5[5000m Classification],"&gt;0")</f>
        <v>0</v>
      </c>
      <c r="AO11" s="6">
        <f>COUNTIFS(Table4[Country],Tabela1[[#This Row],[Country]],Table4[10000m Classification],"&gt;0")</f>
        <v>0</v>
      </c>
      <c r="AP11" s="6">
        <f>COUNTIFS(Table5[Country],Tabela1[[#This Row],[Country]],Table5[10000m Classification],"&gt;0")</f>
        <v>0</v>
      </c>
      <c r="AQ11" s="6">
        <f>COUNTIFS(Table4[Country],Tabela1[[#This Row],[Country]],Table4[110m Hurdles Classification],"&gt;0")</f>
        <v>2</v>
      </c>
      <c r="AR11" s="6">
        <f>COUNTIFS(Table5[Country],Tabela1[[#This Row],[Country]],Table5[100m Hurdles Classification],"&gt;0")</f>
        <v>0</v>
      </c>
      <c r="AS11" s="6">
        <f>COUNTIFS(Table4[Country],Tabela1[[#This Row],[Country]],Table4[400m Hurdles Classification],"&gt;0")</f>
        <v>0</v>
      </c>
      <c r="AT11" s="6">
        <f>COUNTIFS(Table5[Country],Tabela1[[#This Row],[Country]],Table5[400m Hurdles Classification],"&gt;0")</f>
        <v>0</v>
      </c>
      <c r="AU11" s="6">
        <f>COUNTIFS(Table4[Country],Tabela1[[#This Row],[Country]],Table4[3000m Steeplechase Classification],"&gt;0")</f>
        <v>0</v>
      </c>
      <c r="AV11" s="6">
        <f>COUNTIFS(Table5[Country],Tabela1[[#This Row],[Country]],Table5[3000m Steeplechase Classification],"&gt;0")</f>
        <v>1</v>
      </c>
      <c r="AW11" s="6">
        <f>COUNTIFS(Table27[Country],Tabela1[[#This Row],[Country]],Table27[Men''s 4x100m Relay Classification],"&gt;0")</f>
        <v>0</v>
      </c>
      <c r="AX11" s="6">
        <f>COUNTIFS(Table27[Country],Tabela1[[#This Row],[Country]],Table27[Women''s 4x100m Relay Classification],"&gt;0")</f>
        <v>1</v>
      </c>
      <c r="AY11" s="6">
        <f>COUNTIFS(Table27[Country],Tabela1[[#This Row],[Country]],Table27[Men''s 4x400m Relay Classification],"&gt;0")</f>
        <v>1</v>
      </c>
      <c r="AZ11" s="6">
        <f>COUNTIFS(Table27[Country],Tabela1[[#This Row],[Country]],Table27[Women''s 4x400m Relay Classification],"&gt;0")</f>
        <v>1</v>
      </c>
      <c r="BA11" s="6">
        <f>COUNTIFS(Table27[Country],Tabela1[[#This Row],[Country]],Table27[Mixed 4x400m Relay Classification],"&gt;0")</f>
        <v>0</v>
      </c>
      <c r="BB11" s="6">
        <f>COUNTIFS(Table4[Country],Tabela1[[#This Row],[Country]],Table4[Marathon Classification],"&gt;0")</f>
        <v>1</v>
      </c>
      <c r="BC11" s="6">
        <f>COUNTIFS(Table5[Country],Tabela1[[#This Row],[Country]],Table5[Marathon Classification],"&gt;0")</f>
        <v>1</v>
      </c>
      <c r="BD11" s="6">
        <f>COUNTIFS(Table4[Country],Tabela1[[#This Row],[Country]],Table4[20km Race Walk Classification],"&gt;0")</f>
        <v>1</v>
      </c>
      <c r="BE11" s="6">
        <f>COUNTIFS(Table5[Country],Tabela1[[#This Row],[Country]],Table5[20km Race Walk Classification],"&gt;0")</f>
        <v>0</v>
      </c>
      <c r="BF11" s="6">
        <f>COUNTIFS(Tabela96[Country],Tabela1[[#This Row],[Country]],Tabela96[Mixed Marathon Race Walk Relay Classification],"&gt;0")</f>
        <v>0</v>
      </c>
      <c r="BG11" s="6">
        <f>COUNTIFS(Table4[Country],Tabela1[[#This Row],[Country]],Table4[Discus Throw Classification],"&gt;0")</f>
        <v>0</v>
      </c>
      <c r="BH11" s="6">
        <f>COUNTIFS(Table5[Country],Tabela1[[#This Row],[Country]],Table5[Discus Throw Classification],"&gt;0")</f>
        <v>0</v>
      </c>
      <c r="BI11" s="6">
        <f>COUNTIFS(Table4[Country],Tabela1[[#This Row],[Country]],Table4[Hammer Throw Classification],"&gt;0")</f>
        <v>0</v>
      </c>
      <c r="BJ11" s="6">
        <f>COUNTIFS(Table5[Country],Tabela1[[#This Row],[Country]],Table5[Hammer Throw Classification],"&gt;0")</f>
        <v>0</v>
      </c>
      <c r="BK11" s="6">
        <f>COUNTIFS(Table4[Country],Tabela1[[#This Row],[Country]],Table4[High Jump Classification],"&gt;0")</f>
        <v>0</v>
      </c>
      <c r="BL11" s="6">
        <f>COUNTIFS(Table5[Country],Tabela1[[#This Row],[Country]],Table5[High Jump Classification],"&gt;0")</f>
        <v>0</v>
      </c>
      <c r="BM11" s="6">
        <f>COUNTIFS(Table4[Country],Tabela1[[#This Row],[Country]],Table4[Javelin Throw Classification],"&gt;0")</f>
        <v>0</v>
      </c>
      <c r="BN11" s="6">
        <f>COUNTIFS(Table5[Country],Tabela1[[#This Row],[Country]],Table5[Javelin Throw Classification],"&gt;0")</f>
        <v>1</v>
      </c>
      <c r="BO11" s="6">
        <f>COUNTIFS(Table4[Country],Tabela1[[#This Row],[Country]],Table4[Long Jump Classification],"&gt;0")</f>
        <v>0</v>
      </c>
      <c r="BP11" s="6">
        <f>COUNTIFS(Table5[Country],Tabela1[[#This Row],[Country]],Table5[Long Jump Classification],"&gt;0")</f>
        <v>1</v>
      </c>
      <c r="BQ11" s="6">
        <f>COUNTIFS(Table4[Country],Tabela1[[#This Row],[Country]],Table4[Pole Vault Classification],"&gt;0")</f>
        <v>0</v>
      </c>
      <c r="BR11" s="6">
        <f>COUNTIFS(Table5[Country],Tabela1[[#This Row],[Country]],Table5[Pole Vault Classification],"&gt;0")</f>
        <v>0</v>
      </c>
      <c r="BS11" s="6">
        <f>COUNTIFS(Table4[Country],Tabela1[[#This Row],[Country]],Table4[Shot Put Classification],"&gt;0")</f>
        <v>0</v>
      </c>
      <c r="BT11" s="6">
        <f>COUNTIFS(Table5[Country],Tabela1[[#This Row],[Country]],Table5[Shot Put Classification],"&gt;0")</f>
        <v>0</v>
      </c>
      <c r="BU11" s="6">
        <f>COUNTIFS(Table4[Country],Tabela1[[#This Row],[Country]],Table4[Triple Jump Classification],"&gt;0")</f>
        <v>1</v>
      </c>
      <c r="BV11" s="6">
        <f>COUNTIFS(Table5[Country],Tabela1[[#This Row],[Country]],Table5[Triple Jump Classification],"&gt;0")</f>
        <v>0</v>
      </c>
      <c r="BW11" s="6">
        <f>COUNTIFS(Table4[Country],Tabela1[[#This Row],[Country]],Table4[Decathlon Classification],"&gt;0")</f>
        <v>0</v>
      </c>
      <c r="BX11" s="6">
        <f>COUNTIFS(Table5[Country],Tabela1[[#This Row],[Country]],Table5[Heptathlon Classification],"&gt;0")</f>
        <v>0</v>
      </c>
      <c r="BY11" s="6">
        <f>COUNTIFS(Table61[Country],Tabela1[[#This Row],[Country]],Table61[Classification],"&gt;0")</f>
        <v>1</v>
      </c>
      <c r="BZ11" s="6">
        <f>COUNTIFS(Table38[Country],Tabela1[[#This Row],[Country]],Table38[Classification],"&gt;0")</f>
        <v>0</v>
      </c>
      <c r="CA11" s="6">
        <f>COUNTIFS(Table39[Country],Tabela1[[#This Row],[Country]],Table39[Men''s Classification],"&gt;0")</f>
        <v>0</v>
      </c>
      <c r="CB11" s="6">
        <f>COUNTIFS(Table39[Country],Tabela1[[#This Row],[Country]],Table39[Women''s Classification],"&gt;0")</f>
        <v>0</v>
      </c>
      <c r="CC11" s="6">
        <f>COUNTIFS(Table39[Country],Tabela1[[#This Row],[Country]],Table39[Mixed Classification],"&gt;0")</f>
        <v>0</v>
      </c>
      <c r="CD11" s="6">
        <f>COUNTIFS(Table89[Country],Tabela1[[#This Row],[Country]],Table89[Men''s Classification],"&gt;0")</f>
        <v>1</v>
      </c>
      <c r="CE11" s="6">
        <f>COUNTIFS(Table89[Country],Tabela1[[#This Row],[Country]],Table89[Women''s Classification],"&gt;0")</f>
        <v>1</v>
      </c>
      <c r="CF11" s="6">
        <f>COUNTIFS(Table90[Country],Tabela1[[#This Row],[Country]],Table90[Men''s Classification],"&gt;0")</f>
        <v>0</v>
      </c>
      <c r="CG11" s="6">
        <f>COUNTIFS(Table90[Country],Tabela1[[#This Row],[Country]],Table90[Women''s Classification],"&gt;0")</f>
        <v>1</v>
      </c>
      <c r="CH11" s="6">
        <f>COUNTIFS(Table60[Country],Tabela1[[#This Row],[Country]],Table60[Men''s Classification],"&gt;0")</f>
        <v>1</v>
      </c>
      <c r="CI11" s="6">
        <f>COUNTIFS(Table60[Country],Tabela1[[#This Row],[Country]],Table60[Women''s Classification],"&gt;0")</f>
        <v>1</v>
      </c>
      <c r="CJ11" s="6">
        <f>COUNTIFS(Table6[Country],Tabela1[[#This Row],[Country]],Table6[51kg Classification],"&gt;0")</f>
        <v>0</v>
      </c>
      <c r="CK11" s="6">
        <f>COUNTIFS(Table6[Country],Tabela1[[#This Row],[Country]],Table6[57kg Classification],"&gt;0")</f>
        <v>0</v>
      </c>
      <c r="CL11" s="6">
        <f>COUNTIFS(Table6[Country],Tabela1[[#This Row],[Country]],Table6[63.5kg Classification],"&gt;0")</f>
        <v>0</v>
      </c>
      <c r="CM11" s="6">
        <f>COUNTIFS(Table6[Country],Tabela1[[#This Row],[Country]],Table6[71kg Classification],"&gt;0")</f>
        <v>0</v>
      </c>
      <c r="CN11" s="6">
        <f>COUNTIFS(Table6[Country],Tabela1[[#This Row],[Country]],Table6[80kg Classification],"&gt;0")</f>
        <v>0</v>
      </c>
      <c r="CO11" s="6">
        <f>COUNTIFS(Table6[Country],Tabela1[[#This Row],[Country]],Table6[92kg Classification],"&gt;0")</f>
        <v>1</v>
      </c>
      <c r="CP11" s="6">
        <f>COUNTIFS(Table6[Country],Tabela1[[#This Row],[Country]],Table6[Plus 92kg Classification],"&gt;0")</f>
        <v>0</v>
      </c>
      <c r="CQ11" s="6">
        <f>COUNTIFS(Table7[Country],Tabela1[[#This Row],[Country]],Table7[50kg Classification],"&gt;0")</f>
        <v>0</v>
      </c>
      <c r="CR11" s="6">
        <f>COUNTIFS(Table7[Country],Tabela1[[#This Row],[Country]],Table7[54kg Classification],"&gt;0")</f>
        <v>0</v>
      </c>
      <c r="CS11" s="6">
        <f>COUNTIFS(Table7[Country],Tabela1[[#This Row],[Country]],Table7[57kg Classification],"&gt;0")</f>
        <v>0</v>
      </c>
      <c r="CT11" s="6">
        <f>COUNTIFS(Table7[Country],Tabela1[[#This Row],[Country]],Table7[60kg Classification],"&gt;0")</f>
        <v>0</v>
      </c>
      <c r="CU11" s="6">
        <f>COUNTIFS(Table7[Country],Tabela1[[#This Row],[Country]],Table7[66kg Classification],"&gt;0")</f>
        <v>0</v>
      </c>
      <c r="CV11" s="6">
        <f>COUNTIFS(Table7[Country],Tabela1[[#This Row],[Country]],Table7[75kg Classification],"&gt;0")</f>
        <v>0</v>
      </c>
      <c r="CW11" s="6">
        <f>COUNTIFS(Tabela94[Country],Tabela1[[#This Row],[Country]],Tabela94[Classification],"&gt;0")</f>
        <v>0</v>
      </c>
      <c r="CX11" s="6">
        <f>COUNTIFS(Tabela9499[Country],Tabela1[[#This Row],[Country]],Tabela9499[Classification],"&gt;0")</f>
        <v>0</v>
      </c>
      <c r="CY11" s="6">
        <f>COUNTIFS(Tabela107[Country],Tabela1[[#This Row],[Country]],Tabela107[C1 Slalom Classification],"&gt;0")</f>
        <v>1</v>
      </c>
      <c r="CZ11" s="6">
        <f>COUNTIFS(Tabela107122[Country],Tabela1[[#This Row],[Country]],Tabela107122[C1 Slalom Classification],"&gt;0")</f>
        <v>0</v>
      </c>
      <c r="DA11" s="6">
        <f>COUNTIFS(Tabela107[Country],Tabela1[[#This Row],[Country]],Tabela107[K1 Slalom Classification],"&gt;0")</f>
        <v>0</v>
      </c>
      <c r="DB11" s="6">
        <f>COUNTIFS(Tabela107122[Country],Tabela1[[#This Row],[Country]],Tabela107122[K1 Slalom Classification],"&gt;0")</f>
        <v>0</v>
      </c>
      <c r="DC11" s="6">
        <f>COUNTIFS(Tabela107[Country],Tabela1[[#This Row],[Country]],Tabela107[Kayak Cross Slalom Classification],"&gt;0")</f>
        <v>2</v>
      </c>
      <c r="DD11" s="6">
        <f>COUNTIFS(Tabela107122[Country],Tabela1[[#This Row],[Country]],Tabela107122[Kayak Cross Slalom Classification],"&gt;0")</f>
        <v>0</v>
      </c>
      <c r="DE11" s="6">
        <f>COUNTIFS(Table8[Country],Tabela1[[#This Row],[Country]],Table8[C1 200m Classification],"&gt;0")</f>
        <v>2</v>
      </c>
      <c r="DF11" s="6">
        <f>COUNTIFS(Table40[Country],Tabela1[[#This Row],[Country]],Table40[C1 1000m Classification],"&gt;0")</f>
        <v>1</v>
      </c>
      <c r="DG11" s="6">
        <f>COUNTIFS(Table68[Country],Tabela1[[#This Row],[Country]],Table68[Men''s C2 500m Classification],"&gt;0")</f>
        <v>1</v>
      </c>
      <c r="DH11" s="6">
        <f>COUNTIFS(Table68[Country],Tabela1[[#This Row],[Country]],Table68[Women''s C2 500m Classification],"&gt;0")</f>
        <v>1</v>
      </c>
      <c r="DI11" s="6">
        <f>COUNTIFS(Table8[Country],Tabela1[[#This Row],[Country]],Table8[K1 500m Classification],"&gt;0")</f>
        <v>0</v>
      </c>
      <c r="DJ11" s="6">
        <f>COUNTIFS(Table40[Country],Tabela1[[#This Row],[Country]],Table40[K1 1000m Classification],"&gt;0")</f>
        <v>1</v>
      </c>
      <c r="DK11" s="6">
        <f>COUNTIFS(Table68[Country],Tabela1[[#This Row],[Country]],Table68[Men''s K2 500m Classification],"&gt;0")</f>
        <v>2</v>
      </c>
      <c r="DL11" s="6">
        <f>COUNTIFS(Table68[Country],Tabela1[[#This Row],[Country]],Table68[Women''s K2 500m Classification],"&gt;0")</f>
        <v>1</v>
      </c>
      <c r="DM11" s="6">
        <f>COUNTIFS(Table83[Country],Tabela1[[#This Row],[Country]],Table83[Men''s K4 500m Classification],"&gt;0")</f>
        <v>1</v>
      </c>
      <c r="DN11" s="6">
        <f>COUNTIFS(Table83[Country],Tabela1[[#This Row],[Country]],Table83[Women''s K4 500m Classification],"&gt;0")</f>
        <v>1</v>
      </c>
      <c r="DO11" s="6">
        <f>COUNTIFS(Tabela126[Country],Tabela1[[#This Row],[Country]],Tabela126[Classification],"&gt;0")</f>
        <v>0</v>
      </c>
      <c r="DP11" s="6">
        <f>COUNTIFS(Tabela126130[Country],Tabela1[[#This Row],[Country]],Tabela126130[Classification],"&gt;0")</f>
        <v>0</v>
      </c>
      <c r="DQ11" s="6">
        <f>COUNTIFS(Table70[Country],Tabela1[[#This Row],[Country]],Table70[Classification],"&gt;0")</f>
        <v>0</v>
      </c>
      <c r="DR11" s="6">
        <f>COUNTIFS(Table80[Country],Tabela1[[#This Row],[Country]],Table80[Classification],"&gt;0")</f>
        <v>0</v>
      </c>
      <c r="DS11" s="6">
        <f>COUNTIFS(Table66[Country],Tabela1[[#This Row],[Country]],Table66[Classification],"&gt;0")</f>
        <v>0</v>
      </c>
      <c r="DT11" s="6">
        <f>COUNTIFS(Table67[Country],Tabela1[[#This Row],[Country]],Table67[Classification],"&gt;0")</f>
        <v>0</v>
      </c>
      <c r="DU11" s="6">
        <f>COUNTIFS(Table69[Country],Tabela1[[#This Row],[Country]],Table69[Keirin Classification],"&gt;0")</f>
        <v>0</v>
      </c>
      <c r="DV11" s="6">
        <f>COUNTIFS(Table41[Country],Tabela1[[#This Row],[Country]],Table41[Keirin Classification],"&gt;0")</f>
        <v>0</v>
      </c>
      <c r="DW11" s="6">
        <f>COUNTIFS(Table84[Country],Tabela1[[#This Row],[Country]],Table84[Men''s Madison Classification],"&gt;0")</f>
        <v>1</v>
      </c>
      <c r="DX11" s="6">
        <f>COUNTIFS(Table84[Country],Tabela1[[#This Row],[Country]],Table84[Women''s Madison Classification],"&gt;0")</f>
        <v>0</v>
      </c>
      <c r="DY11" s="6">
        <f>COUNTIFS(Table69[Country],Tabela1[[#This Row],[Country]],Table69[Omnium Classification],"&gt;0")</f>
        <v>1</v>
      </c>
      <c r="DZ11" s="6">
        <f>COUNTIFS(Table41[Country],Tabela1[[#This Row],[Country]],Table41[Omnium Classification],"&gt;0")</f>
        <v>0</v>
      </c>
      <c r="EA11" s="6">
        <f>COUNTIFS(Table9[Country],Tabela1[[#This Row],[Country]],Table9[Road Race Classification],"&gt;0")</f>
        <v>0</v>
      </c>
      <c r="EB11" s="6">
        <f>COUNTIFS(Table14[Country],Tabela1[[#This Row],[Country]],Table14[Road Race Classification],"&gt;0")</f>
        <v>2</v>
      </c>
      <c r="EC11" s="6">
        <f>COUNTIFS(Table69[Country],Tabela1[[#This Row],[Country]],Table69[Sprint Classification],"&gt;0")</f>
        <v>0</v>
      </c>
      <c r="ED11" s="6">
        <f>COUNTIFS(Table41[Country],Tabela1[[#This Row],[Country]],Table41[Sprint Classification],"&gt;0")</f>
        <v>0</v>
      </c>
      <c r="EE11" s="6">
        <f>COUNTIFS(Table85[Country],Tabela1[[#This Row],[Country]],Table85[Men''s Sprint Classification],"&gt;0")</f>
        <v>0</v>
      </c>
      <c r="EF11" s="6">
        <f>COUNTIFS(Table85[Country],Tabela1[[#This Row],[Country]],Table85[Women''s Sprint Classification],"&gt;0")</f>
        <v>0</v>
      </c>
      <c r="EG11" s="6">
        <f>COUNTIFS(Table85[Country],Tabela1[[#This Row],[Country]],Table85[Men''s Pursuit Classification],"&gt;0")</f>
        <v>0</v>
      </c>
      <c r="EH11" s="6">
        <f>COUNTIFS(Table85[Country],Tabela1[[#This Row],[Country]],Table85[Women''s Pursuit Classification],"&gt;0")</f>
        <v>0</v>
      </c>
      <c r="EI11" s="6">
        <f>COUNTIFS(Table9[Country],Tabela1[[#This Row],[Country]],Table9[Time-Trial Classification],"&gt;0")</f>
        <v>0</v>
      </c>
      <c r="EJ11" s="6">
        <f>COUNTIFS(Table14[Country],Tabela1[[#This Row],[Country]],Table14[Time-Trial Classification],"&gt;0")</f>
        <v>1</v>
      </c>
      <c r="EK11" s="6">
        <f>COUNTIFS(Table42[Country],Tabela1[[#This Row],[Country]],Table42[Springboard Classification],"&gt;0")</f>
        <v>0</v>
      </c>
      <c r="EL11" s="6">
        <f>COUNTIFS(Table43[Country],Tabela1[[#This Row],[Country]],Table43[Springboard Classification],"&gt;0")</f>
        <v>0</v>
      </c>
      <c r="EM11" s="6">
        <f>COUNTIFS(Table42[Country],Tabela1[[#This Row],[Country]],Table42[Platform Classification],"&gt;0")</f>
        <v>0</v>
      </c>
      <c r="EN11" s="6">
        <f>COUNTIFS(Table43[Country],Tabela1[[#This Row],[Country]],Table43[Platform Classification],"&gt;0")</f>
        <v>1</v>
      </c>
      <c r="EO11" s="6">
        <f>COUNTIFS(Table86[Country],Tabela1[[#This Row],[Country]],Table86[Men''s Synchronized Springboard Classification],"&gt;0")</f>
        <v>1</v>
      </c>
      <c r="EP11" s="6">
        <f>COUNTIFS(Table86[Country],Tabela1[[#This Row],[Country]],Table86[Women''s Synchronized Springboard Classification],"&gt;0")</f>
        <v>0</v>
      </c>
      <c r="EQ11" s="6">
        <f>COUNTIFS(Table86[Country],Tabela1[[#This Row],[Country]],Table86[Men''s Synchronized Platform Classification],"&gt;0")</f>
        <v>0</v>
      </c>
      <c r="ER11" s="6">
        <f>COUNTIFS(Table86[Country],Tabela1[[#This Row],[Country]],Table86[Women''s Synchronized Platform Classification],"&gt;0")</f>
        <v>0</v>
      </c>
      <c r="ES11" s="6">
        <f>COUNTIFS(Table44[Country],Tabela1[[#This Row],[Country]],Table44[Dressage Classification],"&gt;0")</f>
        <v>1</v>
      </c>
      <c r="ET11" s="6">
        <f>COUNTIFS(Table45[Country],Tabela1[[#This Row],[Country]],Table45[Dressage Classification],"&gt;0")</f>
        <v>1</v>
      </c>
      <c r="EU11" s="6">
        <f>COUNTIFS(Table44[Country],Tabela1[[#This Row],[Country]],Table44[Eventing Classification],"&gt;0")</f>
        <v>0</v>
      </c>
      <c r="EV11" s="6">
        <f>COUNTIFS(Table45[Country],Tabela1[[#This Row],[Country]],Table45[Eventing Classification],"&gt;0")</f>
        <v>0</v>
      </c>
      <c r="EW11" s="6">
        <f>COUNTIFS(Table44[Country],Tabela1[[#This Row],[Country]],Table44[Jumping Classification],"&gt;0")</f>
        <v>2</v>
      </c>
      <c r="EX11" s="6">
        <f>COUNTIFS(Table45[Country],Tabela1[[#This Row],[Country]],Table45[Jumping Classification],"&gt;0")</f>
        <v>1</v>
      </c>
      <c r="EY11" s="6">
        <f>COUNTIFS(Table10[Country],Tabela1[[#This Row],[Country]],Table10[Épée Classification],"&gt;0")</f>
        <v>0</v>
      </c>
      <c r="EZ11" s="6">
        <f>COUNTIFS(Table11[Country],Tabela1[[#This Row],[Country]],Table11[Épée Classification],"&gt;0")</f>
        <v>0</v>
      </c>
      <c r="FA11" s="6">
        <f>COUNTIFS(Table46[Country],Tabela1[[#This Row],[Country]],Table46[Men''s Épée Classification],"&gt;0")</f>
        <v>0</v>
      </c>
      <c r="FB11" s="6">
        <f>COUNTIFS(Table46[Country],Tabela1[[#This Row],[Country]],Table46[Women''s Épée Classification],"&gt;0")</f>
        <v>0</v>
      </c>
      <c r="FC11" s="6">
        <f>COUNTIFS(Table10[Country],Tabela1[[#This Row],[Country]],Table10[Foil Classification],"&gt;0")</f>
        <v>1</v>
      </c>
      <c r="FD11" s="6">
        <f>COUNTIFS(Table11[Country],Tabela1[[#This Row],[Country]],Table11[Foil Classification],"&gt;0")</f>
        <v>0</v>
      </c>
      <c r="FE11" s="6">
        <f>COUNTIFS(Table46[Country],Tabela1[[#This Row],[Country]],Table46[Men''s Foil Classification],"&gt;0")</f>
        <v>0</v>
      </c>
      <c r="FF11" s="6">
        <f>COUNTIFS(Table46[Country],Tabela1[[#This Row],[Country]],Table46[Women''s Foil Classification],"&gt;0")</f>
        <v>0</v>
      </c>
      <c r="FG11" s="6">
        <f>COUNTIFS(Table10[Country],Tabela1[[#This Row],[Country]],Table10[Sabre Classification],"&gt;0")</f>
        <v>0</v>
      </c>
      <c r="FH11" s="6">
        <f>COUNTIFS(Table11[Country],Tabela1[[#This Row],[Country]],Table11[Sabre Classification],"&gt;0")</f>
        <v>1</v>
      </c>
      <c r="FI11" s="6">
        <f>COUNTIFS(Table46[Country],Tabela1[[#This Row],[Country]],Table46[Men''s Sabre Classification],"&gt;0")</f>
        <v>0</v>
      </c>
      <c r="FJ11" s="6">
        <f>COUNTIFS(Table46[Country],Tabela1[[#This Row],[Country]],Table46[Women''s Sabre Classification],"&gt;0")</f>
        <v>0</v>
      </c>
      <c r="FK11" s="6">
        <f>COUNTIFS(Table91[Country],Tabela1[[#This Row],[Country]],Table91[Men''s Classification],"&gt;0")</f>
        <v>1</v>
      </c>
      <c r="FL11" s="6">
        <f>COUNTIFS(Table91[Country],Tabela1[[#This Row],[Country]],Table91[Women''s Classification],"&gt;0")</f>
        <v>1</v>
      </c>
      <c r="FM11" s="6">
        <f>COUNTIFS(Table9194[Country],Tabela1[[#This Row],[Country]],Table9194[Men''s Classification],"&gt;0")</f>
        <v>1</v>
      </c>
      <c r="FN11" s="6">
        <f>COUNTIFS(Table9194[Country],Tabela1[[#This Row],[Country]],Table9194[Women''s Classification],"&gt;0")</f>
        <v>1</v>
      </c>
      <c r="FO11" s="6">
        <f>COUNTIFS(Table71[Country],Tabela1[[#This Row],[Country]],Table71[Classification],"&gt;0")</f>
        <v>0</v>
      </c>
      <c r="FP11" s="6">
        <f>COUNTIFS(Table62[Country],Tabela1[[#This Row],[Country]],Table62[Classification],"&gt;0")</f>
        <v>1</v>
      </c>
      <c r="FQ11" s="6">
        <f>COUNTIFS(Table47[Country],Tabela1[[#This Row],[Country]],Table47[All-Around Classification],"&gt;0")</f>
        <v>1</v>
      </c>
      <c r="FR11" s="6">
        <f>COUNTIFS(Table48[Country],Tabela1[[#This Row],[Country]],Table48[All-Around Classification],"&gt;0")</f>
        <v>1</v>
      </c>
      <c r="FS11" s="6">
        <f>COUNTIFS(Table81[Country],Tabela1[[#This Row],[Country]],Table81[Men''s All-Around Classification],"&gt;0")</f>
        <v>1</v>
      </c>
      <c r="FT11" s="6">
        <f>COUNTIFS(Table81[Country],Tabela1[[#This Row],[Country]],Table81[Women''s All-Around Classification],"&gt;0")</f>
        <v>0</v>
      </c>
      <c r="FU11" s="6">
        <f>COUNTIFS(Table48[Country],Tabela1[[#This Row],[Country]],Table48[Balance Beam Classification],"&gt;0")</f>
        <v>1</v>
      </c>
      <c r="FV11" s="6">
        <f>COUNTIFS(Table47[Country],Tabela1[[#This Row],[Country]],Table47[Floor Exercise Classification],"&gt;0")</f>
        <v>1</v>
      </c>
      <c r="FW11" s="6">
        <f>COUNTIFS(Table48[Country],Tabela1[[#This Row],[Country]],Table48[Floor Exercise Classification],"&gt;0")</f>
        <v>1</v>
      </c>
      <c r="FX11" s="6">
        <f>COUNTIFS(Table47[Country],Tabela1[[#This Row],[Country]],Table47[Horizontal Bar Classification],"&gt;0")</f>
        <v>2</v>
      </c>
      <c r="FY11" s="6">
        <f>COUNTIFS(Table47[Country],Tabela1[[#This Row],[Country]],Table47[Parallel Bars Classification],"&gt;0")</f>
        <v>2</v>
      </c>
      <c r="FZ11" s="6">
        <f>COUNTIFS(Table47[Country],Tabela1[[#This Row],[Country]],Table47[Pommel Horse Classification],"&gt;0")</f>
        <v>2</v>
      </c>
      <c r="GA11" s="6">
        <f>COUNTIFS(Table47[Country],Tabela1[[#This Row],[Country]],Table47[Rings Classification],"&gt;0")</f>
        <v>1</v>
      </c>
      <c r="GB11" s="6">
        <f>COUNTIFS(Tabela132[Country],Tabela1[[#This Row],[Country]],Tabela132[Classification],"&gt;0")</f>
        <v>0</v>
      </c>
      <c r="GC11" s="6">
        <f>COUNTIFS(Tabela139[Country],Tabela1[[#This Row],[Country]],Tabela139[Classification],"&gt;0")</f>
        <v>1</v>
      </c>
      <c r="GD11" s="6">
        <f>COUNTIFS(Table48[Country],Tabela1[[#This Row],[Country]],Table48[Uneven Bars Classification],"&gt;0")</f>
        <v>1</v>
      </c>
      <c r="GE11" s="6">
        <f>COUNTIFS(Table47[Country],Tabela1[[#This Row],[Country]],Table47[Vault Classification],"&gt;0")</f>
        <v>0</v>
      </c>
      <c r="GF11" s="6">
        <f>COUNTIFS(Table48[Country],Tabela1[[#This Row],[Country]],Table48[Vault Classification],"&gt;0")</f>
        <v>0</v>
      </c>
      <c r="GG11" s="6">
        <f>COUNTIFS(Table919496[Country],Tabela1[[#This Row],[Country]],Table919496[Men''s Classification],"&gt;0")</f>
        <v>1</v>
      </c>
      <c r="GH11" s="6">
        <f>COUNTIFS(Table919496[Country],Tabela1[[#This Row],[Country]],Table919496[Women''s Classification],"&gt;0")</f>
        <v>1</v>
      </c>
      <c r="GI11" s="6">
        <f>COUNTIFS(Table12[Country],Tabela1[[#This Row],[Country]],Table12[60kg Classification],"&gt;0")</f>
        <v>1</v>
      </c>
      <c r="GJ11" s="6">
        <f>COUNTIFS(Table12[Country],Tabela1[[#This Row],[Country]],Table12[66kg Classification],"&gt;0")</f>
        <v>1</v>
      </c>
      <c r="GK11" s="6">
        <f>COUNTIFS(Table12[Country],Tabela1[[#This Row],[Country]],Table12[73kg Classification],"&gt;0")</f>
        <v>0</v>
      </c>
      <c r="GL11" s="6">
        <f>COUNTIFS(Table12[Country],Tabela1[[#This Row],[Country]],Table12[81kg Classification],"&gt;0")</f>
        <v>0</v>
      </c>
      <c r="GM11" s="6">
        <f>COUNTIFS(Table12[Country],Tabela1[[#This Row],[Country]],Table12[90kg Classification],"&gt;0")</f>
        <v>1</v>
      </c>
      <c r="GN11" s="6">
        <f>COUNTIFS(Table12[Country],Tabela1[[#This Row],[Country]],Table12[100kg Classification],"&gt;0")</f>
        <v>0</v>
      </c>
      <c r="GO11" s="6">
        <f>COUNTIFS(Table12[Country],Tabela1[[#This Row],[Country]],Table12[Plus 100kg Classification],"&gt;0")</f>
        <v>0</v>
      </c>
      <c r="GP11" s="6">
        <f>COUNTIFS(Table13[Country],Tabela1[[#This Row],[Country]],Table13[48kg Classification],"&gt;0")</f>
        <v>1</v>
      </c>
      <c r="GQ11" s="6">
        <f>COUNTIFS(Table13[Country],Tabela1[[#This Row],[Country]],Table13[52kg Classification],"&gt;0")</f>
        <v>1</v>
      </c>
      <c r="GR11" s="6">
        <f>COUNTIFS(Table13[Country],Tabela1[[#This Row],[Country]],Table13[57kg Classification],"&gt;0")</f>
        <v>0</v>
      </c>
      <c r="GS11" s="6">
        <f>COUNTIFS(Table13[Country],Tabela1[[#This Row],[Country]],Table13[63kg Classification],"&gt;0")</f>
        <v>0</v>
      </c>
      <c r="GT11" s="6">
        <f>COUNTIFS(Table13[Country],Tabela1[[#This Row],[Country]],Table13[70kg Classification],"&gt;0")</f>
        <v>1</v>
      </c>
      <c r="GU11" s="6">
        <f>COUNTIFS(Table13[Country],Tabela1[[#This Row],[Country]],Table13[78kg Classification],"&gt;0")</f>
        <v>0</v>
      </c>
      <c r="GV11" s="6">
        <f>COUNTIFS(Table13[Country],Tabela1[[#This Row],[Country]],Table13[Plus 78kg Classification],"&gt;0")</f>
        <v>0</v>
      </c>
      <c r="GW11" s="6">
        <f>COUNTIFS(Table82[Country],Tabela1[[#This Row],[Country]],Table82[Mixed Classification],"&gt;0")</f>
        <v>1</v>
      </c>
      <c r="GX11" s="6">
        <f>COUNTIFS(Table51[Country],Tabela1[[#This Row],[Country]],Table51[Classification],"&gt;0")</f>
        <v>0</v>
      </c>
      <c r="GY11" s="6">
        <f>COUNTIFS(Table52[Country],Tabela1[[#This Row],[Country]],Table52[Classification],"&gt;0")</f>
        <v>0</v>
      </c>
      <c r="GZ11" s="6">
        <f>COUNTIFS(Table32[Country],Tabela1[[#This Row],[Country]],Table32[All-Around Classification],"&gt;0")</f>
        <v>0</v>
      </c>
      <c r="HA11" s="6">
        <f>COUNTIFS(Table49[Country],Tabela1[[#This Row],[Country]],Table49[All-Around Classification],"&gt;0")</f>
        <v>1</v>
      </c>
      <c r="HB11" s="6">
        <f>COUNTIFS(Table26[Country],Tabela1[[#This Row],[Country]],Table26[Single Sculls Classification],"&gt;0")</f>
        <v>0</v>
      </c>
      <c r="HC11" s="6">
        <f>COUNTIFS(Table63[Country],Tabela1[[#This Row],[Country]],Table63[Single Sculls Classification],"&gt;0")</f>
        <v>0</v>
      </c>
      <c r="HD11" s="6">
        <f>COUNTIFS(Table16[Country],Tabela1[[#This Row],[Country]],Table16[Men''s Double Sculls Classification],"&gt;0")</f>
        <v>1</v>
      </c>
      <c r="HE11" s="6">
        <f>COUNTIFS(Table16[Country],Tabela1[[#This Row],[Country]],Table16[Women''s Double Sculls Classification],"&gt;0")</f>
        <v>0</v>
      </c>
      <c r="HF11" s="6">
        <f>COUNTIFS(Table72[Country],Tabela1[[#This Row],[Country]],Table72[Men''s Quadruple Sculls Classification],"&gt;0")</f>
        <v>0</v>
      </c>
      <c r="HG11" s="6">
        <f>COUNTIFS(Table72[Country],Tabela1[[#This Row],[Country]],Table72[Women''s Quadruple Sculls Classification],"&gt;0")</f>
        <v>0</v>
      </c>
      <c r="HH11" s="6">
        <f>COUNTIFS(Table16[Country],Tabela1[[#This Row],[Country]],Table16[Men''s Coxless Pairs Classification],"&gt;0")</f>
        <v>1</v>
      </c>
      <c r="HI11" s="6">
        <f>COUNTIFS(Table16[Country],Tabela1[[#This Row],[Country]],Table16[Women''s Coxless Pairs Classification],"&gt;0")</f>
        <v>1</v>
      </c>
      <c r="HJ11" s="6">
        <f>COUNTIFS(Table72[Country],Tabela1[[#This Row],[Country]],Table72[Men''s Coxless Fours Classification],"&gt;0")</f>
        <v>0</v>
      </c>
      <c r="HK11" s="6">
        <f>COUNTIFS(Table72[Country],Tabela1[[#This Row],[Country]],Table72[Women''s Coxless Fours Classification],"&gt;0")</f>
        <v>0</v>
      </c>
      <c r="HL11" s="6">
        <f>COUNTIFS(Table72[Country],Tabela1[[#This Row],[Country]],Table72[Men''s Eights Classification],"&gt;0")</f>
        <v>0</v>
      </c>
      <c r="HM11" s="6">
        <f>COUNTIFS(Table72[Country],Tabela1[[#This Row],[Country]],Table72[Women''s Eights Classification],"&gt;0")</f>
        <v>0</v>
      </c>
      <c r="HN11" s="6">
        <f>COUNTIFS(Table16[Country],Tabela1[[#This Row],[Country]],Table16[Men''s Lwt. Double Sculls Classification],"&gt;0")</f>
        <v>0</v>
      </c>
      <c r="HO11" s="6">
        <f>COUNTIFS(Table16[Country],Tabela1[[#This Row],[Country]],Table16[Women''s Lwt. Double Sculls Classification],"&gt;0")</f>
        <v>0</v>
      </c>
      <c r="HP11" s="6">
        <f>COUNTIFS(Table91949698[Country],Tabela1[[#This Row],[Country]],Table91949698[Men''s Classification],"&gt;0")</f>
        <v>0</v>
      </c>
      <c r="HQ11" s="6">
        <f>COUNTIFS(Table91949698[Country],Tabela1[[#This Row],[Country]],Table91949698[Women''s Classification],"&gt;0")</f>
        <v>0</v>
      </c>
      <c r="HR11" s="6">
        <f>COUNTIFS(Table25[Country],Tabela1[[#This Row],[Country]],Table25[Mixed 470 Classification],"&gt;0")</f>
        <v>0</v>
      </c>
      <c r="HS11" s="6">
        <f>COUNTIFS(Table25[Country],Tabela1[[#This Row],[Country]],Table25[Men''s 49er Classification],"&gt;0")</f>
        <v>0</v>
      </c>
      <c r="HT11" s="6">
        <f>COUNTIFS(Table25[Country],Tabela1[[#This Row],[Country]],Table25[Women''s 49er FX Classification],"&gt;0")</f>
        <v>1</v>
      </c>
      <c r="HU11" s="6">
        <f>COUNTIFS(Table17[Country],Tabela1[[#This Row],[Country]],Table17[Formula Kite Classification],"&gt;0")</f>
        <v>0</v>
      </c>
      <c r="HV11" s="6">
        <f>COUNTIFS(Table18[Country],Tabela1[[#This Row],[Country]],Table18[Formula Kite Classification],"&gt;0")</f>
        <v>0</v>
      </c>
      <c r="HW11" s="6">
        <f>COUNTIFS(Table17[Country],Tabela1[[#This Row],[Country]],Table17[ILCA 7 Classification],"&gt;0")</f>
        <v>1</v>
      </c>
      <c r="HX11" s="6">
        <f>COUNTIFS(Table18[Country],Tabela1[[#This Row],[Country]],Table18[ILCA 6 Classification],"&gt;0")</f>
        <v>0</v>
      </c>
      <c r="HY11" s="6">
        <f>COUNTIFS(Table17[Country],Tabela1[[#This Row],[Country]],Table17[IQFoil Classification],"&gt;0")</f>
        <v>1</v>
      </c>
      <c r="HZ11" s="6">
        <f>COUNTIFS(Table18[Country],Tabela1[[#This Row],[Country]],Table18[IQFoil Classification],"&gt;0")</f>
        <v>1</v>
      </c>
      <c r="IA11" s="6">
        <f>COUNTIFS(Table25[Country],Tabela1[[#This Row],[Country]],Table25[Mixed Nacra 17 Classification],"&gt;0")</f>
        <v>1</v>
      </c>
      <c r="IB11" s="6">
        <f>COUNTIFS(Table53[Country],Tabela1[[#This Row],[Country]],Table53[10m Air Pistol Classification],"&gt;0")</f>
        <v>0</v>
      </c>
      <c r="IC11" s="6">
        <f>COUNTIFS(Table19[Country],Tabela1[[#This Row],[Country]],Table19[10m Air Pistol Classification],"&gt;0")</f>
        <v>0</v>
      </c>
      <c r="ID11" s="6">
        <f>COUNTIFS(Table54[Country],Tabela1[[#This Row],[Country]],Table54[Mixed 10m Air Pistol Team Classification],"&gt;0")</f>
        <v>0</v>
      </c>
      <c r="IE11" s="6">
        <f>COUNTIFS(Table53[Country],Tabela1[[#This Row],[Country]],Table53[10m Air Rifle Classification],"&gt;0")</f>
        <v>0</v>
      </c>
      <c r="IF11" s="6">
        <f>COUNTIFS(Table19[Country],Tabela1[[#This Row],[Country]],Table19[10m Air Rifle Classification],"&gt;0")</f>
        <v>0</v>
      </c>
      <c r="IG11" s="6">
        <f>COUNTIFS(Table54[Country],Tabela1[[#This Row],[Country]],Table54[Mixed 10m Air Rifle Team Classification],"&gt;0")</f>
        <v>0</v>
      </c>
      <c r="IH11" s="6">
        <f>COUNTIFS(Table53[Country],Tabela1[[#This Row],[Country]],Table53[25m Rapid Fire Pistol Classification],"&gt;0")</f>
        <v>0</v>
      </c>
      <c r="II11" s="6">
        <f>COUNTIFS(Table19[Country],Tabela1[[#This Row],[Country]],Table19[25m Pistol Classification],"&gt;0")</f>
        <v>0</v>
      </c>
      <c r="IJ11" s="6">
        <f>COUNTIFS(Table53[Country],Tabela1[[#This Row],[Country]],Table53[50m Rifle 3 Positions Classification],"&gt;0")</f>
        <v>0</v>
      </c>
      <c r="IK11" s="6">
        <f>COUNTIFS(Table19[Country],Tabela1[[#This Row],[Country]],Table19[50m Rifle 3 Positions Classification],"&gt;0")</f>
        <v>0</v>
      </c>
      <c r="IL11" s="6">
        <f>COUNTIFS(Table53[Country],Tabela1[[#This Row],[Country]],Table53[Skeet Classification],"&gt;0")</f>
        <v>0</v>
      </c>
      <c r="IM11" s="6">
        <f>COUNTIFS(Table19[Country],Tabela1[[#This Row],[Country]],Table19[Skeet Classification],"&gt;0")</f>
        <v>0</v>
      </c>
      <c r="IN11" s="6">
        <f>COUNTIFS(Table54[Country],Tabela1[[#This Row],[Country]],Table54[Mixed Skeet Team Classification],"&gt;0")</f>
        <v>0</v>
      </c>
      <c r="IO11" s="6">
        <f>COUNTIFS(Table53[Country],Tabela1[[#This Row],[Country]],Table53[Trap Classification],"&gt;0")</f>
        <v>1</v>
      </c>
      <c r="IP11" s="6">
        <f>COUNTIFS(Table19[Country],Tabela1[[#This Row],[Country]],Table19[Trap Classification],"&gt;0")</f>
        <v>1</v>
      </c>
      <c r="IQ11" s="6">
        <f>COUNTIFS(Table73[Country],Tabela1[[#This Row],[Country]],Table73[Park Classification],"&gt;0")</f>
        <v>1</v>
      </c>
      <c r="IR11" s="6">
        <f>COUNTIFS(Table74[Country],Tabela1[[#This Row],[Country]],Table74[Park Classification],"&gt;0")</f>
        <v>0</v>
      </c>
      <c r="IS11" s="6">
        <f>COUNTIFS(Table73[Country],Tabela1[[#This Row],[Country]],Table73[Street Classification],"&gt;0")</f>
        <v>0</v>
      </c>
      <c r="IT11" s="6">
        <f>COUNTIFS(Table74[Country],Tabela1[[#This Row],[Country]],Table74[Street Classification],"&gt;0")</f>
        <v>0</v>
      </c>
      <c r="IU11" s="6">
        <f>COUNTIFS(Table75[Country],Tabela1[[#This Row],[Country]],Table75[Boulder and Lead Classification],"&gt;0")</f>
        <v>0</v>
      </c>
      <c r="IV11" s="6">
        <f>COUNTIFS(Table76[Country],Tabela1[[#This Row],[Country]],Table76[Boulder and Lead Classification],"&gt;0")</f>
        <v>0</v>
      </c>
      <c r="IW11" s="6">
        <f>COUNTIFS(Table75[Country],Tabela1[[#This Row],[Country]],Table75[Speed Classification],"&gt;0")</f>
        <v>0</v>
      </c>
      <c r="IX11" s="6">
        <f>COUNTIFS(Table76[Country],Tabela1[[#This Row],[Country]],Table76[Speed Classification],"&gt;0")</f>
        <v>1</v>
      </c>
      <c r="IY11" s="6">
        <f>COUNTIFS(Table64[Country],Tabela1[[#This Row],[Country]],Table64[Shortboard Classification],"&gt;0")</f>
        <v>0</v>
      </c>
      <c r="IZ11" s="6">
        <f>COUNTIFS(Table77[Country],Tabela1[[#This Row],[Country]],Table77[Shortboard Classification],"&gt;0")</f>
        <v>0</v>
      </c>
      <c r="JA11" s="6">
        <f>COUNTIFS(Table20[Country],Tabela1[[#This Row],[Country]],Table20[50m Freestyle Classification],"&gt;0")</f>
        <v>0</v>
      </c>
      <c r="JB11" s="6">
        <f>COUNTIFS(Table21[Country],Tabela1[[#This Row],[Country]],Table21[50m Freestyle Classification],"&gt;0")</f>
        <v>0</v>
      </c>
      <c r="JC11" s="6">
        <f>COUNTIFS(Table20[Country],Tabela1[[#This Row],[Country]],Table20[100m Freestyle Classification],"&gt;0")</f>
        <v>1</v>
      </c>
      <c r="JD11" s="6">
        <f>COUNTIFS(Table21[Country],Tabela1[[#This Row],[Country]],Table21[100m Freestyle Classification],"&gt;0")</f>
        <v>0</v>
      </c>
      <c r="JE11" s="6">
        <f>COUNTIFS(Table20[Country],Tabela1[[#This Row],[Country]],Table20[200m Freestyle Classification],"&gt;0")</f>
        <v>0</v>
      </c>
      <c r="JF11" s="6">
        <f>COUNTIFS(Table21[Country],Tabela1[[#This Row],[Country]],Table21[200m Freestyle Classification],"&gt;0")</f>
        <v>0</v>
      </c>
      <c r="JG11" s="6">
        <f>COUNTIFS(Table20[Country],Tabela1[[#This Row],[Country]],Table20[400m Freestyle Classification],"&gt;0")</f>
        <v>0</v>
      </c>
      <c r="JH11" s="6">
        <f>COUNTIFS(Table21[Country],Tabela1[[#This Row],[Country]],Table21[400m Freestyle Classification],"&gt;0")</f>
        <v>0</v>
      </c>
      <c r="JI11" s="6">
        <f>COUNTIFS(Table20[Country],Tabela1[[#This Row],[Country]],Table20[800m Freestyle Classification],"&gt;0")</f>
        <v>0</v>
      </c>
      <c r="JJ11" s="6">
        <f>COUNTIFS(Table21[Country],Tabela1[[#This Row],[Country]],Table21[800m Freestyle Classification],"&gt;0")</f>
        <v>0</v>
      </c>
      <c r="JK11" s="6">
        <f>COUNTIFS(Table20[Country],Tabela1[[#This Row],[Country]],Table20[1500m Freestyle Classification],"&gt;0")</f>
        <v>0</v>
      </c>
      <c r="JL11" s="6">
        <f>COUNTIFS(Table21[Country],Tabela1[[#This Row],[Country]],Table21[1500m Freestyle Classification],"&gt;0")</f>
        <v>0</v>
      </c>
      <c r="JM11" s="6">
        <f>COUNTIFS(Table20[Country],Tabela1[[#This Row],[Country]],Table20[100m Backstroke Classification],"&gt;0")</f>
        <v>1</v>
      </c>
      <c r="JN11" s="6">
        <f>COUNTIFS(Table21[Country],Tabela1[[#This Row],[Country]],Table21[100m Backstroke Classification],"&gt;0")</f>
        <v>0</v>
      </c>
      <c r="JO11" s="6">
        <f>COUNTIFS(Table20[Country],Tabela1[[#This Row],[Country]],Table20[200m Backstroke Classification],"&gt;0")</f>
        <v>1</v>
      </c>
      <c r="JP11" s="6">
        <f>COUNTIFS(Table21[Country],Tabela1[[#This Row],[Country]],Table21[200m Backstroke Classification],"&gt;0")</f>
        <v>0</v>
      </c>
      <c r="JQ11" s="6">
        <f>COUNTIFS(Table20[Country],Tabela1[[#This Row],[Country]],Table20[100m Breaststroke Classification],"&gt;0")</f>
        <v>0</v>
      </c>
      <c r="JR11" s="6">
        <f>COUNTIFS(Table21[Country],Tabela1[[#This Row],[Country]],Table21[100m Breaststroke Classification],"&gt;0")</f>
        <v>0</v>
      </c>
      <c r="JS11" s="6">
        <f>COUNTIFS(Table20[Country],Tabela1[[#This Row],[Country]],Table20[200m Breaststroke Classification],"&gt;0")</f>
        <v>0</v>
      </c>
      <c r="JT11" s="6">
        <f>COUNTIFS(Table21[Country],Tabela1[[#This Row],[Country]],Table21[200m Breaststroke Classification],"&gt;0")</f>
        <v>0</v>
      </c>
      <c r="JU11" s="6">
        <f>COUNTIFS(Table20[Country],Tabela1[[#This Row],[Country]],Table20[100m Butterfly Classification],"&gt;0")</f>
        <v>0</v>
      </c>
      <c r="JV11" s="6">
        <f>COUNTIFS(Table21[Country],Tabela1[[#This Row],[Country]],Table21[100m Butterfly Classification],"&gt;0")</f>
        <v>1</v>
      </c>
      <c r="JW11" s="6">
        <f>COUNTIFS(Table20[Country],Tabela1[[#This Row],[Country]],Table20[200m Butterfly Classification],"&gt;0")</f>
        <v>0</v>
      </c>
      <c r="JX11" s="6">
        <f>COUNTIFS(Table21[Country],Tabela1[[#This Row],[Country]],Table21[200m Butterfly Classification],"&gt;0")</f>
        <v>1</v>
      </c>
      <c r="JY11" s="6">
        <f>COUNTIFS(Table20[Country],Tabela1[[#This Row],[Country]],Table20[200m Medley Classification],"&gt;0")</f>
        <v>0</v>
      </c>
      <c r="JZ11" s="6">
        <f>COUNTIFS(Table21[Country],Tabela1[[#This Row],[Country]],Table21[200m Medley Classification],"&gt;0")</f>
        <v>1</v>
      </c>
      <c r="KA11" s="6">
        <f>COUNTIFS(Table20[Country],Tabela1[[#This Row],[Country]],Table20[400m Medley Classification],"&gt;0")</f>
        <v>0</v>
      </c>
      <c r="KB11" s="6">
        <f>COUNTIFS(Table21[Country],Tabela1[[#This Row],[Country]],Table21[400m Medley Classification],"&gt;0")</f>
        <v>1</v>
      </c>
      <c r="KC11" s="6">
        <f>COUNTIFS(Table78[Country],Tabela1[[#This Row],[Country]],Table78[Men''s 4x100m Freestyle Relay Classification],"&gt;0")</f>
        <v>1</v>
      </c>
      <c r="KD11" s="6">
        <f>COUNTIFS(Table78[Country],Tabela1[[#This Row],[Country]],Table78[Women''s 4x100m Freestyle Relay Classification],"&gt;0")</f>
        <v>0</v>
      </c>
      <c r="KE11" s="6">
        <f>COUNTIFS(Table78[Country],Tabela1[[#This Row],[Country]],Table78[Men''s 4x200m Freestyle Relay Classification],"&gt;0")</f>
        <v>1</v>
      </c>
      <c r="KF11" s="6">
        <f>COUNTIFS(Table78[Country],Tabela1[[#This Row],[Country]],Table78[Women''s 4x200m Freestyle Relay Classification],"&gt;0")</f>
        <v>0</v>
      </c>
      <c r="KG11" s="6">
        <f>COUNTIFS(Table78[Country],Tabela1[[#This Row],[Country]],Table78[Men''s 4x100m Medley Relay Classification],"&gt;0")</f>
        <v>1</v>
      </c>
      <c r="KH11" s="6">
        <f>COUNTIFS(Table78[Country],Tabela1[[#This Row],[Country]],Table78[Women''s 4x100m Medley Relay Classification],"&gt;0")</f>
        <v>0</v>
      </c>
      <c r="KI11" s="6">
        <f>COUNTIFS(Table78[Country],Tabela1[[#This Row],[Country]],Table78[Mixed 4x100m Medley Relay Classification],"&gt;0")</f>
        <v>0</v>
      </c>
      <c r="KJ11" s="6">
        <f>COUNTIFS(Table20[Country],Tabela1[[#This Row],[Country]],Table20[10km Open Water Classification],"&gt;0")</f>
        <v>0</v>
      </c>
      <c r="KK11" s="6">
        <f>COUNTIFS(Table21[Country],Tabela1[[#This Row],[Country]],Table21[10km Open Water Classification],"&gt;0")</f>
        <v>0</v>
      </c>
      <c r="KL11" s="6">
        <f>COUNTIFS(Table22[Country],Tabela1[[#This Row],[Country]],Table22[Classification],"&gt;0")</f>
        <v>0</v>
      </c>
      <c r="KM11" s="6">
        <f>COUNTIFS(Table30[Country],Tabela1[[#This Row],[Country]],Table30[Classification],"&gt;0")</f>
        <v>0</v>
      </c>
      <c r="KN11" s="6">
        <f>COUNTIFS(Table55[Country],Tabela1[[#This Row],[Country]],Table55[Men''s Classification],"&gt;0")</f>
        <v>0</v>
      </c>
      <c r="KO11" s="6">
        <f>COUNTIFS(Table55[Country],Tabela1[[#This Row],[Country]],Table55[Women''s Classification],"&gt;0")</f>
        <v>0</v>
      </c>
      <c r="KP11" s="6">
        <f>COUNTIFS(Table56[Country],Tabela1[[#This Row],[Country]],Table56[Mixed Classification],"&gt;0")</f>
        <v>0</v>
      </c>
      <c r="KQ11" s="6">
        <f>COUNTIFS(Table29[Country],Tabela1[[#This Row],[Country]],Table29[58kg Classification],"&gt;0")</f>
        <v>1</v>
      </c>
      <c r="KR11" s="6">
        <f>COUNTIFS(Table29[Country],Tabela1[[#This Row],[Country]],Table29[68kg Classification],"&gt;0")</f>
        <v>1</v>
      </c>
      <c r="KS11" s="6">
        <f>COUNTIFS(Table29[Country],Tabela1[[#This Row],[Country]],Table29[80kg Classification],"&gt;0")</f>
        <v>0</v>
      </c>
      <c r="KT11" s="6">
        <f>COUNTIFS(Table29[Country],Tabela1[[#This Row],[Country]],Table29[Plus 80kg Classification],"&gt;0")</f>
        <v>0</v>
      </c>
      <c r="KU11" s="6">
        <f>COUNTIFS(Table34[Country],Tabela1[[#This Row],[Country]],Table34[49kg Classification],"&gt;0")</f>
        <v>1</v>
      </c>
      <c r="KV11" s="6">
        <f>COUNTIFS(Table34[Country],Tabela1[[#This Row],[Country]],Table34[57kg Classification],"&gt;0")</f>
        <v>0</v>
      </c>
      <c r="KW11" s="6">
        <f>COUNTIFS(Table34[Country],Tabela1[[#This Row],[Country]],Table34[67kg Classification],"&gt;0")</f>
        <v>1</v>
      </c>
      <c r="KX11" s="6">
        <f>COUNTIFS(Table34[Country],Tabela1[[#This Row],[Country]],Table34[Plus 67kg Classification],"&gt;0")</f>
        <v>0</v>
      </c>
      <c r="KY11" s="6">
        <f>COUNTIFS(Table57[Country],Tabela1[[#This Row],[Country]],Table57[Classification],"&gt;0")</f>
        <v>3</v>
      </c>
      <c r="KZ11" s="6">
        <f>COUNTIFS(Table58[Country],Tabela1[[#This Row],[Country]],Table58[Classification],"&gt;0")</f>
        <v>1</v>
      </c>
      <c r="LA11" s="6">
        <f>COUNTIFS(Table79[Country],Tabela1[[#This Row],[Country]],Table79[Men''s Classification],"&gt;0")</f>
        <v>1</v>
      </c>
      <c r="LB11" s="6">
        <f>COUNTIFS(Table79[Country],Tabela1[[#This Row],[Country]],Table79[Women''s Classification],"&gt;0")</f>
        <v>1</v>
      </c>
      <c r="LC11" s="6">
        <f>COUNTIFS(Table79[Country],Tabela1[[#This Row],[Country]],Table79[Mixed Classification],"&gt;0")</f>
        <v>1</v>
      </c>
      <c r="LD11" s="6">
        <f>COUNTIFS(Table65[Country],Tabela1[[#This Row],[Country]],Table65[Classification],"&gt;0")</f>
        <v>2</v>
      </c>
      <c r="LE11" s="6">
        <f>COUNTIFS(Table59[Country],Tabela1[[#This Row],[Country]],Table59[Classification],"&gt;0")</f>
        <v>0</v>
      </c>
      <c r="LF11" s="6">
        <f>COUNTIFS(Table87[Country],Tabela1[[#This Row],[Country]],Table87[Mixed Relay Classification],"&gt;0")</f>
        <v>1</v>
      </c>
      <c r="LG11" s="6">
        <f>COUNTIFS(Table91949698100[Country],Tabela1[[#This Row],[Country]],Table91949698100[Men''s Classification],"&gt;0")</f>
        <v>0</v>
      </c>
      <c r="LH11" s="6">
        <f>COUNTIFS(Table91949698100[Country],Tabela1[[#This Row],[Country]],Table91949698100[Women''s Classification],"&gt;0")</f>
        <v>0</v>
      </c>
      <c r="LI11" s="6">
        <f>COUNTIFS(Table91949698100102[Country],Tabela1[[#This Row],[Country]],Table91949698100102[Men''s Classification],"&gt;0")</f>
        <v>1</v>
      </c>
      <c r="LJ11" s="6">
        <f>COUNTIFS(Table91949698100102[Country],Tabela1[[#This Row],[Country]],Table91949698100102[Women''s Classification],"&gt;0")</f>
        <v>1</v>
      </c>
      <c r="LK11" s="6">
        <f>COUNTIFS(Table23[Country],Tabela1[[#This Row],[Country]],Table23[61kg Classification],"&gt;0")</f>
        <v>0</v>
      </c>
      <c r="LL11" s="6">
        <f>COUNTIFS(Table23[Country],Tabela1[[#This Row],[Country]],Table23[73kg Classification],"&gt;0")</f>
        <v>0</v>
      </c>
      <c r="LM11" s="6">
        <f>COUNTIFS(Table23[Country],Tabela1[[#This Row],[Country]],Table23[89kg Classification],"&gt;0")</f>
        <v>0</v>
      </c>
      <c r="LN11" s="6">
        <f>COUNTIFS(Table23[Country],Tabela1[[#This Row],[Country]],Table23[102kg Classification],"&gt;0")</f>
        <v>0</v>
      </c>
      <c r="LO11" s="6">
        <f>COUNTIFS(Table23[Country],Tabela1[[#This Row],[Country]],Table23[Plus 102kg Classification],"&gt;0")</f>
        <v>0</v>
      </c>
      <c r="LP11" s="6">
        <f>COUNTIFS(Table28[Country],Tabela1[[#This Row],[Country]],Table28[49kg Classification],"&gt;0")</f>
        <v>0</v>
      </c>
      <c r="LQ11" s="6">
        <f>COUNTIFS(Table28[Country],Tabela1[[#This Row],[Country]],Table28[59kg Classification],"&gt;0")</f>
        <v>0</v>
      </c>
      <c r="LR11" s="6">
        <f>COUNTIFS(Table28[Country],Tabela1[[#This Row],[Country]],Table28[71kg Classification],"&gt;0")</f>
        <v>0</v>
      </c>
      <c r="LS11" s="6">
        <f>COUNTIFS(Table28[Country],Tabela1[[#This Row],[Country]],Table28[81kg Classification],"&gt;0")</f>
        <v>0</v>
      </c>
      <c r="LT11" s="6">
        <f>COUNTIFS(Table28[Country],Tabela1[[#This Row],[Country]],Table28[Plus 81kg Classification],"&gt;0")</f>
        <v>0</v>
      </c>
      <c r="LU11" s="6">
        <f>COUNTIFS(Table24[Country],Tabela1[[#This Row],[Country]],Table24[Freestyle 57kg Classification],"&gt;0")</f>
        <v>0</v>
      </c>
      <c r="LV11" s="6">
        <f>COUNTIFS(Table24[Country],Tabela1[[#This Row],[Country]],Table24[Freestyle 65kg Classification],"&gt;0")</f>
        <v>0</v>
      </c>
      <c r="LW11" s="6">
        <f>COUNTIFS(Table24[Country],Tabela1[[#This Row],[Country]],Table24[Freestyle 74kg Classification],"&gt;0")</f>
        <v>0</v>
      </c>
      <c r="LX11" s="6">
        <f>COUNTIFS(Table24[Country],Tabela1[[#This Row],[Country]],Table24[Freestyle 86kg Classification],"&gt;0")</f>
        <v>0</v>
      </c>
      <c r="LY11" s="6">
        <f>COUNTIFS(Table24[Country],Tabela1[[#This Row],[Country]],Table24[Freestyle 97kg Classification],"&gt;0")</f>
        <v>0</v>
      </c>
      <c r="LZ11" s="6">
        <f>COUNTIFS(Table24[Country],Tabela1[[#This Row],[Country]],Table24[Freestyle 125kg Classification],"&gt;0")</f>
        <v>0</v>
      </c>
      <c r="MA11" s="6">
        <f>COUNTIFS(Table24[Country],Tabela1[[#This Row],[Country]],Table24[Greco-Roman 60kg Classification],"&gt;0")</f>
        <v>0</v>
      </c>
      <c r="MB11" s="6">
        <f>COUNTIFS(Table24[Country],Tabela1[[#This Row],[Country]],Table24[Greco-Roman 67kg Classification],"&gt;0")</f>
        <v>0</v>
      </c>
      <c r="MC11" s="6">
        <f>COUNTIFS(Table24[Country],Tabela1[[#This Row],[Country]],Table24[Greco-Roman 77kg Classification],"&gt;0")</f>
        <v>0</v>
      </c>
      <c r="MD11" s="6">
        <f>COUNTIFS(Table24[Country],Tabela1[[#This Row],[Country]],Table24[Greco-Roman 87kg Classification],"&gt;0")</f>
        <v>0</v>
      </c>
      <c r="ME11" s="6">
        <f>COUNTIFS(Table24[Country],Tabela1[[#This Row],[Country]],Table24[Greco-Roman 97kg Classification],"&gt;0")</f>
        <v>0</v>
      </c>
      <c r="MF11" s="6">
        <f>COUNTIFS(Table24[Country],Tabela1[[#This Row],[Country]],Table24[Greco-Roman 130kg Classification],"&gt;0")</f>
        <v>0</v>
      </c>
      <c r="MG11" s="6">
        <f>COUNTIFS(Table31[Country],Tabela1[[#This Row],[Country]],Table31[50kg Classification],"&gt;0")</f>
        <v>0</v>
      </c>
      <c r="MH11" s="6">
        <f>COUNTIFS(Table31[Country],Tabela1[[#This Row],[Country]],Table31[53kg Classification],"&gt;0")</f>
        <v>0</v>
      </c>
      <c r="MI11" s="6">
        <f>COUNTIFS(Table31[Country],Tabela1[[#This Row],[Country]],Table31[57kg Classification],"&gt;0")</f>
        <v>0</v>
      </c>
      <c r="MJ11" s="6">
        <f>COUNTIFS(Table31[Country],Tabela1[[#This Row],[Country]],Table31[62kg Classification],"&gt;0")</f>
        <v>0</v>
      </c>
      <c r="MK11" s="6">
        <f>COUNTIFS(Table31[Country],Tabela1[[#This Row],[Country]],Table31[68kg Classification],"&gt;0")</f>
        <v>0</v>
      </c>
      <c r="ML11" s="6">
        <f>COUNTIFS(Table31[Country],Tabela1[[#This Row],[Country]],Table31[76kg Classification],"&gt;0")</f>
        <v>0</v>
      </c>
      <c r="MM11" s="6">
        <f>COUNTIFS(Table102[Country],Tabela1[[#This Row],[Country]],Table102[Downhill Classification],"&gt;0")</f>
        <v>0</v>
      </c>
      <c r="MN11" s="6">
        <f>COUNTIFS(Table102105[Country],Tabela1[[#This Row],[Country]],Table102105[Downhill Classification],"&gt;0")</f>
        <v>0</v>
      </c>
      <c r="MO11" s="6">
        <f>COUNTIFS(Table102[Country],Tabela1[[#This Row],[Country]],Table102[Giant Slalom Classification],"&gt;0")</f>
        <v>0</v>
      </c>
      <c r="MP11" s="6">
        <f>COUNTIFS(Table102105[Country],Tabela1[[#This Row],[Country]],Table102105[Giant Slalom Classification],"&gt;0")</f>
        <v>0</v>
      </c>
      <c r="MQ11" s="6">
        <f>COUNTIFS(Table102[Country],Tabela1[[#This Row],[Country]],Table102[Slalom Classification],"&gt;0")</f>
        <v>0</v>
      </c>
      <c r="MR11" s="6">
        <f>COUNTIFS(Table102105[Country],Tabela1[[#This Row],[Country]],Table102105[Slalom Classification],"&gt;0")</f>
        <v>0</v>
      </c>
      <c r="MS11" s="6">
        <f>COUNTIFS(Table102[Country],Tabela1[[#This Row],[Country]],Table102[Super-G Classification],"&gt;0")</f>
        <v>0</v>
      </c>
      <c r="MT11" s="6">
        <f>COUNTIFS(Table102105[Country],Tabela1[[#This Row],[Country]],Table102105[Super-G Classification],"&gt;0")</f>
        <v>0</v>
      </c>
      <c r="MU11" s="6">
        <f>COUNTIFS(Table105[Country],Tabela1[[#This Row],[Country]],Table105[Men''s Combined Classification],"&gt;0")</f>
        <v>0</v>
      </c>
      <c r="MV11" s="6">
        <f>COUNTIFS(Table105[Country],Tabela1[[#This Row],[Country]],Table105[Women''s Combined Classification],"&gt;0")</f>
        <v>0</v>
      </c>
      <c r="MW11" s="6">
        <f>COUNTIFS(Table106[Country],Tabela1[[#This Row],[Country]],Table106[Individual Classification],"&gt;0")</f>
        <v>0</v>
      </c>
      <c r="MX11" s="6">
        <f>COUNTIFS(Table106109[Country],Tabela1[[#This Row],[Country]],Table106109[Individual Classification],"&gt;0")</f>
        <v>0</v>
      </c>
      <c r="MY11" s="6">
        <f>COUNTIFS(Table106[Country],Tabela1[[#This Row],[Country]],Table106[Mass Start Classification],"&gt;0")</f>
        <v>0</v>
      </c>
      <c r="MZ11" s="6">
        <f>COUNTIFS(Table106109[Country],Tabela1[[#This Row],[Country]],Table106109[Mass Start Classification],"&gt;0")</f>
        <v>0</v>
      </c>
      <c r="NA11" s="6">
        <f>COUNTIFS(Table106[Country],Tabela1[[#This Row],[Country]],Table106[Pursuit Classification],"&gt;0")</f>
        <v>0</v>
      </c>
      <c r="NB11" s="6">
        <f>COUNTIFS(Table106109[Country],Tabela1[[#This Row],[Country]],Table106109[Pursuit Classification],"&gt;0")</f>
        <v>0</v>
      </c>
      <c r="NC11" s="6">
        <f>COUNTIFS(Table106[Country],Tabela1[[#This Row],[Country]],Table106[Sprint Classification],"&gt;0")</f>
        <v>0</v>
      </c>
      <c r="ND11" s="6">
        <f>COUNTIFS(Table106109[Country],Tabela1[[#This Row],[Country]],Table106109[Sprint Classification],"&gt;0")</f>
        <v>0</v>
      </c>
      <c r="NE11" s="6">
        <f>COUNTIFS(Table109[Country],Tabela1[[#This Row],[Country]],Table109[Men''s Relay Classification],"&gt;0")</f>
        <v>0</v>
      </c>
      <c r="NF11" s="6">
        <f>COUNTIFS(Table109[Country],Tabela1[[#This Row],[Country]],Table109[Women''s Relay Classification],"&gt;0")</f>
        <v>0</v>
      </c>
      <c r="NG11" s="6">
        <f>COUNTIFS(Table109[Country],Tabela1[[#This Row],[Country]],Table109[Mixed Relay Classification],"&gt;0")</f>
        <v>0</v>
      </c>
      <c r="NH11" s="6">
        <f>COUNTIFS(Table110[Country],Tabela1[[#This Row],[Country]],Table110[Monobob Classification],"&gt;0")</f>
        <v>0</v>
      </c>
      <c r="NI11" s="6">
        <f>COUNTIFS(Table111[Country],Tabela1[[#This Row],[Country]],Table111[Men''s Classification],"&gt;0")</f>
        <v>0</v>
      </c>
      <c r="NJ11" s="6">
        <f>COUNTIFS(Table111[Country],Tabela1[[#This Row],[Country]],Table111[Women''s Classification],"&gt;0")</f>
        <v>0</v>
      </c>
      <c r="NK11" s="6">
        <f>COUNTIFS(Table112[Country],Tabela1[[#This Row],[Country]],Table112[Men''s Four Classification],"&gt;0")</f>
        <v>0</v>
      </c>
      <c r="NL11" s="6">
        <f>COUNTIFS(Table113[Country],Tabela1[[#This Row],[Country]],Table113[Classical Classification],"&gt;0")</f>
        <v>0</v>
      </c>
      <c r="NM11" s="6">
        <f>COUNTIFS(Table113116[Country],Tabela1[[#This Row],[Country]],Table113116[Classical Classification],"&gt;0")</f>
        <v>0</v>
      </c>
      <c r="NN11" s="6">
        <f>COUNTIFS(Table113[Country],Tabela1[[#This Row],[Country]],Table113[Freestyle Classification],"&gt;0")</f>
        <v>1</v>
      </c>
      <c r="NO11" s="6">
        <f>COUNTIFS(Table113116[Country],Tabela1[[#This Row],[Country]],Table113116[Freestyle Classification],"&gt;0")</f>
        <v>0</v>
      </c>
      <c r="NP11" s="6">
        <f>COUNTIFS(Table117[Country],Tabela1[[#This Row],[Country]],Table117[Men''s Relay Classification],"&gt;0")</f>
        <v>0</v>
      </c>
      <c r="NQ11" s="6">
        <f>COUNTIFS(Table117[Country],Tabela1[[#This Row],[Country]],Table117[Women''s Relay Classification],"&gt;0")</f>
        <v>0</v>
      </c>
      <c r="NR11" s="6">
        <f>COUNTIFS(Table113[Country],Tabela1[[#This Row],[Country]],Table113[Skiathlon Classification],"&gt;0")</f>
        <v>0</v>
      </c>
      <c r="NS11" s="6">
        <f>COUNTIFS(Table113116[Country],Tabela1[[#This Row],[Country]],Table113116[Skiathlon Classification],"&gt;0")</f>
        <v>0</v>
      </c>
      <c r="NT11" s="6">
        <f>COUNTIFS(Table113[Country],Tabela1[[#This Row],[Country]],Table113[Sprint Classification],"&gt;0")</f>
        <v>2</v>
      </c>
      <c r="NU11" s="6">
        <f>COUNTIFS(Table113116[Country],Tabela1[[#This Row],[Country]],Table113116[Sprint Classification],"&gt;0")</f>
        <v>0</v>
      </c>
      <c r="NV11" s="6">
        <f>COUNTIFS(Table116[Country],Tabela1[[#This Row],[Country]],Table116[Men''s Team Sprint Classification],"&gt;0")</f>
        <v>1</v>
      </c>
      <c r="NW11" s="6">
        <f>COUNTIFS(Table116[Country],Tabela1[[#This Row],[Country]],Table116[Women''s Team Sprint Classification],"&gt;0")</f>
        <v>0</v>
      </c>
      <c r="NX11" s="6">
        <f>COUNTIFS(Table119[Country],Tabela1[[#This Row],[Country]],Table119[Men''s Classification],"&gt;0")</f>
        <v>0</v>
      </c>
      <c r="NY11" s="6">
        <f>COUNTIFS(Table119[Country],Tabela1[[#This Row],[Country]],Table119[Women''s Classification],"&gt;0")</f>
        <v>0</v>
      </c>
      <c r="NZ11" s="6">
        <f>COUNTIFS(Table118[Country],Tabela1[[#This Row],[Country]],Table118[Mixed Classification],"&gt;0")</f>
        <v>0</v>
      </c>
      <c r="OA11" s="6">
        <f>COUNTIFS(Table120[Country],Tabela1[[#This Row],[Country]],Table120[Classification],"&gt;0")</f>
        <v>0</v>
      </c>
      <c r="OB11" s="6">
        <f>COUNTIFS(Table120123[Country],Tabela1[[#This Row],[Country]],Table120123[Classification],"&gt;0")</f>
        <v>0</v>
      </c>
      <c r="OC11" s="6">
        <f>COUNTIFS(Table123[Country],Tabela1[[#This Row],[Country]],Table123[Ice Dance Classification],"&gt;0")</f>
        <v>1</v>
      </c>
      <c r="OD11" s="6">
        <f>COUNTIFS(Table123[Country],Tabela1[[#This Row],[Country]],Table123[Pair Skating Classification],"&gt;0")</f>
        <v>0</v>
      </c>
      <c r="OE11" s="6">
        <f>COUNTIFS(Table124[Country],Tabela1[[#This Row],[Country]],Table124[Mixed Classification],"&gt;0")</f>
        <v>0</v>
      </c>
      <c r="OF11" s="6">
        <f>COUNTIFS(Table125[Country],Tabela1[[#This Row],[Country]],Table125[Aerials Classification],"&gt;0")</f>
        <v>0</v>
      </c>
      <c r="OG11" s="6">
        <f>COUNTIFS(Table125128[Country],Tabela1[[#This Row],[Country]],Table125128[Aerials Classification],"&gt;0")</f>
        <v>0</v>
      </c>
      <c r="OH11" s="6">
        <f>COUNTIFS(Table128[Country],Tabela1[[#This Row],[Country]],Table128[Mixed Aerials Classification],"&gt;0")</f>
        <v>0</v>
      </c>
      <c r="OI11" s="6">
        <f>COUNTIFS(Table125[Country],Tabela1[[#This Row],[Country]],Table125[Big Air Classification],"&gt;0")</f>
        <v>0</v>
      </c>
      <c r="OJ11" s="6">
        <f>COUNTIFS(Table125128[Country],Tabela1[[#This Row],[Country]],Table125128[Big Air Classification],"&gt;0")</f>
        <v>0</v>
      </c>
      <c r="OK11" s="6">
        <f>COUNTIFS(Table125[Country],Tabela1[[#This Row],[Country]],Table125[Dual Moguls Classification],"&gt;0")</f>
        <v>0</v>
      </c>
      <c r="OL11" s="6">
        <f>COUNTIFS(Table125128[Country],Tabela1[[#This Row],[Country]],Table125128[Dual Moguls Classification],"&gt;0")</f>
        <v>0</v>
      </c>
      <c r="OM11" s="6">
        <f>COUNTIFS(Table125[Country],Tabela1[[#This Row],[Country]],Table125[Halfpipe Classification],"&gt;0")</f>
        <v>0</v>
      </c>
      <c r="ON11" s="6">
        <f>COUNTIFS(Table125128[Country],Tabela1[[#This Row],[Country]],Table125128[Halfpipe Classification],"&gt;0")</f>
        <v>0</v>
      </c>
      <c r="OO11" s="6">
        <f>COUNTIFS(Table125[Country],Tabela1[[#This Row],[Country]],Table125[Moguls Classification],"&gt;0")</f>
        <v>0</v>
      </c>
      <c r="OP11" s="6">
        <f>COUNTIFS(Table125128[Country],Tabela1[[#This Row],[Country]],Table125128[Moguls Classification],"&gt;0")</f>
        <v>0</v>
      </c>
      <c r="OQ11" s="6">
        <f>COUNTIFS(Table125[Country],Tabela1[[#This Row],[Country]],Table125[Ski Cross Classification],"&gt;0")</f>
        <v>0</v>
      </c>
      <c r="OR11" s="6">
        <f>COUNTIFS(Table125128[Country],Tabela1[[#This Row],[Country]],Table125128[Ski Cross Classification],"&gt;0")</f>
        <v>0</v>
      </c>
      <c r="OS11" s="6">
        <f>COUNTIFS(Table125[Country],Tabela1[[#This Row],[Country]],Table125[Slopestyle Classification],"&gt;0")</f>
        <v>0</v>
      </c>
      <c r="OT11" s="6">
        <f>COUNTIFS(Table125128[Country],Tabela1[[#This Row],[Country]],Table125128[Slopestyle Classification],"&gt;0")</f>
        <v>0</v>
      </c>
      <c r="OU11" s="6">
        <f>COUNTIFS(Table119131[Country],Tabela1[[#This Row],[Country]],Table119131[Men''s Classification],"&gt;0")</f>
        <v>0</v>
      </c>
      <c r="OV11" s="6">
        <f>COUNTIFS(Table119131[Country],Tabela1[[#This Row],[Country]],Table119131[Women''s Classification],"&gt;0")</f>
        <v>0</v>
      </c>
      <c r="OW11" s="6">
        <f>COUNTIFS(Table131[Country],Tabela1[[#This Row],[Country]],Table131[Classification],"&gt;0")</f>
        <v>0</v>
      </c>
      <c r="OX11" s="6">
        <f>COUNTIFS(Table131134[Country],Tabela1[[#This Row],[Country]],Table131134[Classification],"&gt;0")</f>
        <v>0</v>
      </c>
      <c r="OY11" s="6">
        <f>COUNTIFS(Table134[Country],Tabela1[[#This Row],[Country]],Table134[Men''s Classification],"&gt;0")</f>
        <v>0</v>
      </c>
      <c r="OZ11" s="6">
        <f>COUNTIFS(Table134[Country],Tabela1[[#This Row],[Country]],Table134[Women''s Classification],"&gt;0")</f>
        <v>0</v>
      </c>
      <c r="PA11" s="6">
        <f>COUNTIFS(Table135[Country],Tabela1[[#This Row],[Country]],Table135[Mixed Relay Classification],"&gt;0")</f>
        <v>0</v>
      </c>
      <c r="PB11" s="6">
        <f>COUNTIFS(Table136[Country],Tabela1[[#This Row],[Country]],Table136[Individual Classification],"&gt;0")</f>
        <v>0</v>
      </c>
      <c r="PC11" s="6">
        <f>COUNTIFS(Table136[Country],Tabela1[[#This Row],[Country]],Table136[Sprint Classification],"&gt;0")</f>
        <v>0</v>
      </c>
      <c r="PD11" s="6">
        <f>COUNTIFS(Table137[Country],Tabela1[[#This Row],[Country]],Table137[Men''s Team Sprint Large Hill Classification],"&gt;0")</f>
        <v>0</v>
      </c>
      <c r="PE11" s="6">
        <f>COUNTIFS(Table138[Country],Tabela1[[#This Row],[Country]],Table138[500m Classification],"&gt;0")</f>
        <v>0</v>
      </c>
      <c r="PF11" s="6">
        <f>COUNTIFS(Table138141[Country],Tabela1[[#This Row],[Country]],Table138141[500m Classification],"&gt;0")</f>
        <v>0</v>
      </c>
      <c r="PG11" s="6">
        <f>COUNTIFS(Table138[Country],Tabela1[[#This Row],[Country]],Table138[1000m Classification],"&gt;0")</f>
        <v>0</v>
      </c>
      <c r="PH11" s="6">
        <f>COUNTIFS(Table138141[Country],Tabela1[[#This Row],[Country]],Table138141[1000m Classification],"&gt;0")</f>
        <v>0</v>
      </c>
      <c r="PI11" s="6">
        <f>COUNTIFS(Table138[Country],Tabela1[[#This Row],[Country]],Table138[1500m Classification],"&gt;0")</f>
        <v>0</v>
      </c>
      <c r="PJ11" s="6">
        <f>COUNTIFS(Table138141[Country],Tabela1[[#This Row],[Country]],Table138141[1500m Classification],"&gt;0")</f>
        <v>0</v>
      </c>
      <c r="PK11" s="6">
        <f>COUNTIFS(Table141[Country],Tabela1[[#This Row],[Country]],Table141[Men''s 5000m Relay Classification],"&gt;0")</f>
        <v>0</v>
      </c>
      <c r="PL11" s="6">
        <f>COUNTIFS(Table141[Country],Tabela1[[#This Row],[Country]],Table141[Women''s 3000m Relay Classification],"&gt;0")</f>
        <v>0</v>
      </c>
      <c r="PM11" s="6">
        <f>COUNTIFS(Table141[Country],Tabela1[[#This Row],[Country]],Table141[Mixed 2000m Relay Classification],"&gt;0")</f>
        <v>0</v>
      </c>
      <c r="PN11" s="6">
        <f>COUNTIFS(Table142[Country],Tabela1[[#This Row],[Country]],Table142[Classification],"&gt;0")</f>
        <v>0</v>
      </c>
      <c r="PO11" s="6">
        <f>COUNTIFS(Table142145[Country],Tabela1[[#This Row],[Country]],Table142145[Classification],"&gt;0")</f>
        <v>0</v>
      </c>
      <c r="PP11" s="6">
        <f>COUNTIFS(Tabela15[Country],Tabela1[[#This Row],[Country]],Tabela15[Mixed Team Classification],"&gt;0")</f>
        <v>0</v>
      </c>
      <c r="PQ11" s="6">
        <f>COUNTIFS(Table145[Country],Tabela1[[#This Row],[Country]],Table145[Large Hill Classification],"&gt;0")</f>
        <v>0</v>
      </c>
      <c r="PR11" s="6">
        <f>COUNTIFS(Table145[Country],Tabela1[[#This Row],[Country]],Table145[Normal Hill Classification],"&gt;0")</f>
        <v>0</v>
      </c>
      <c r="PS11" s="6">
        <f>COUNTIFS(Table145148[Country],Tabela1[[#This Row],[Country]],Table145148[Large Hill Classification],"&gt;0")</f>
        <v>0</v>
      </c>
      <c r="PT11" s="6">
        <f>COUNTIFS(Table145148[Country],Tabela1[[#This Row],[Country]],Table145148[Normal Hill Classification],"&gt;0")</f>
        <v>0</v>
      </c>
      <c r="PU11" s="6">
        <f>COUNTIFS(Table148[Country],Tabela1[[#This Row],[Country]],Table148[Men''s Super Team Classification],"&gt;0")</f>
        <v>0</v>
      </c>
      <c r="PV11" s="6">
        <f>COUNTIFS(Tabela114[Country],Tabela1[[#This Row],[Country]],Tabela114[Mixed Normal Hill Classification],"&gt;0")</f>
        <v>0</v>
      </c>
      <c r="PW11" s="6">
        <f>COUNTIFS(Tabela50[Country],Tabela1[[#This Row],[Country]],Tabela50[Sprint Classification],"&gt;0")</f>
        <v>0</v>
      </c>
      <c r="PX11" s="6">
        <f>COUNTIFS(Tabela50101[Country],Tabela1[[#This Row],[Country]],Tabela50101[Sprint Classification],"&gt;0")</f>
        <v>0</v>
      </c>
      <c r="PY11" s="6">
        <f>COUNTIFS(Tabela103[Country],Tabela1[[#This Row],[Country]],Tabela103[Mixed Relay Classification],"&gt;0")</f>
        <v>0</v>
      </c>
      <c r="PZ11" s="6">
        <f>COUNTIFS(Table149[Country],Tabela1[[#This Row],[Country]],Table149[Big Air Classification],"&gt;0")</f>
        <v>0</v>
      </c>
      <c r="QA11" s="6">
        <f>COUNTIFS(Table149152[Country],Tabela1[[#This Row],[Country]],Table149152[Big Air Classification],"&gt;0")</f>
        <v>0</v>
      </c>
      <c r="QB11" s="6">
        <f>COUNTIFS(Table149[Country],Tabela1[[#This Row],[Country]],Table149[Halfpipe Classification],"&gt;0")</f>
        <v>0</v>
      </c>
      <c r="QC11" s="6">
        <f>COUNTIFS(Table149152[Country],Tabela1[[#This Row],[Country]],Table149152[Halfpipe Classification],"&gt;0")</f>
        <v>0</v>
      </c>
      <c r="QD11" s="6">
        <f>COUNTIFS(Table149[Country],Tabela1[[#This Row],[Country]],Table149[Parallel Giant Slalom Classification],"&gt;0")</f>
        <v>0</v>
      </c>
      <c r="QE11" s="6">
        <f>COUNTIFS(Table149152[Country],Tabela1[[#This Row],[Country]],Table149152[Parallel Giant Slalom Classification],"&gt;0")</f>
        <v>0</v>
      </c>
      <c r="QF11" s="6">
        <f>COUNTIFS(Table149[Country],Tabela1[[#This Row],[Country]],Table149[Slopestyle Classification],"&gt;0")</f>
        <v>0</v>
      </c>
      <c r="QG11" s="6">
        <f>COUNTIFS(Table149152[Country],Tabela1[[#This Row],[Country]],Table149152[Slopestyle Classification],"&gt;0")</f>
        <v>0</v>
      </c>
      <c r="QH11" s="6">
        <f>COUNTIFS(Table149[Country],Tabela1[[#This Row],[Country]],Table149[Snowboard Cross Classification],"&gt;0")</f>
        <v>0</v>
      </c>
      <c r="QI11" s="6">
        <f>COUNTIFS(Table149152[Country],Tabela1[[#This Row],[Country]],Table149152[Snowboard Cross Classification],"&gt;0")</f>
        <v>0</v>
      </c>
      <c r="QJ11" s="6">
        <f>COUNTIFS(Table153[Country],Tabela1[[#This Row],[Country]],Table153[Mixed Team Snowboard Cross Classification],"&gt;0")</f>
        <v>0</v>
      </c>
      <c r="QK11" s="6">
        <f>COUNTIFS(Table154[Country],Tabela1[[#This Row],[Country]],Table154[500m Classification],"&gt;0")</f>
        <v>0</v>
      </c>
      <c r="QL11" s="6">
        <f>COUNTIFS(Table154157[Country],Tabela1[[#This Row],[Country]],Table154157[500m Classification],"&gt;0")</f>
        <v>0</v>
      </c>
      <c r="QM11" s="6">
        <f>COUNTIFS(Table154[Country],Tabela1[[#This Row],[Country]],Table154[1000m Classification],"&gt;0")</f>
        <v>1</v>
      </c>
      <c r="QN11" s="6">
        <f>COUNTIFS(Table154157[Country],Tabela1[[#This Row],[Country]],Table154157[1000m Classification],"&gt;0")</f>
        <v>0</v>
      </c>
      <c r="QO11" s="6">
        <f>COUNTIFS(Table154[Country],Tabela1[[#This Row],[Country]],Table154[1500m Classification],"&gt;0")</f>
        <v>0</v>
      </c>
      <c r="QP11" s="6">
        <f>COUNTIFS(Table154157[Country],Tabela1[[#This Row],[Country]],Table154157[1500m Classification],"&gt;0")</f>
        <v>0</v>
      </c>
      <c r="QQ11" s="6">
        <f>COUNTIFS(Table154157[Country],Tabela1[[#This Row],[Country]],Table154157[3000m Classification],"&gt;0")</f>
        <v>0</v>
      </c>
      <c r="QR11" s="6">
        <f>COUNTIFS(Table154[Country],Tabela1[[#This Row],[Country]],Table154[5000m Classification],"&gt;0")</f>
        <v>0</v>
      </c>
      <c r="QS11" s="6">
        <f>COUNTIFS(Table154157[Country],Tabela1[[#This Row],[Country]],Table154157[5000m Classification],"&gt;0")</f>
        <v>0</v>
      </c>
      <c r="QT11" s="6">
        <f>COUNTIFS(Table154[Country],Tabela1[[#This Row],[Country]],Table154[10000m Classification],"&gt;0")</f>
        <v>0</v>
      </c>
      <c r="QU11" s="6">
        <f>COUNTIFS(Table154[Country],Tabela1[[#This Row],[Country]],Table154[Mass Start Classification],"&gt;0")</f>
        <v>0</v>
      </c>
      <c r="QV11" s="6">
        <f>COUNTIFS(Table154157[Country],Tabela1[[#This Row],[Country]],Table154157[Mass Start Classification],"&gt;0")</f>
        <v>0</v>
      </c>
      <c r="QW11" s="6">
        <f>COUNTIFS(Table157[Country],Tabela1[[#This Row],[Country]],Table157[Men''s Pursuit Classification],"&gt;0")</f>
        <v>0</v>
      </c>
      <c r="QX11" s="6">
        <f>COUNTIFS(Table157[Country],Tabela1[[#This Row],[Country]],Table157[Women''s Pursuit Classification],"&gt;0")</f>
        <v>0</v>
      </c>
      <c r="QY11" s="3" t="s">
        <v>331</v>
      </c>
    </row>
    <row r="12" spans="1:467" x14ac:dyDescent="0.3">
      <c r="A12" s="6">
        <v>11</v>
      </c>
      <c r="B12" s="6" t="s">
        <v>364</v>
      </c>
      <c r="C12" t="e" vm="11">
        <f>IF(ISBLANK(Tabela1[[#This Row],[Image Link]]), "", _xlfn.IMAGE(Tabela1[[#This Row],[Image Link]],1,1))</f>
        <v>#VALUE!</v>
      </c>
      <c r="D12" s="6">
        <f>SUM(Tabela1[[#This Row],[Archery - Men''s Individual Recurve]:[Speed Skating - Women''s Team Pursuit]])</f>
        <v>115</v>
      </c>
      <c r="E12" s="6">
        <f>COUNTIF(Tabela1[[#This Row],[Archery - Men''s Individual Recurve]:[Speed Skating - Women''s Team Pursuit]],"&gt;0")</f>
        <v>88</v>
      </c>
      <c r="F12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Winter Olympics</v>
      </c>
      <c r="G12" s="6">
        <f>SUM(Tabela1[[#This Row],[Archery - Men''s Individual Recurve]:[Wrestling - Women''s Freestyle 76kg]])</f>
        <v>49</v>
      </c>
      <c r="H12" s="6">
        <f>SUM(Tabela1[[#This Row],[Alpine Skiing - Men''s Downhill]:[Speed Skating - Women''s Team Pursuit]])</f>
        <v>66</v>
      </c>
      <c r="I12" s="6">
        <f>Tabela1[[#This Row],[Summer Gold Medals]]+Tabela1[[#This Row],[Winter Gold Medals]]</f>
        <v>22</v>
      </c>
      <c r="J12" s="6">
        <f>Tabela1[[#This Row],[Summer Silver Medals]]+Tabela1[[#This Row],[Winter Silver Medals]]</f>
        <v>13</v>
      </c>
      <c r="K12" s="6">
        <f>Tabela1[[#This Row],[Summer Bronze Medals]]+Tabela1[[#This Row],[Winter Bronze Medals]]</f>
        <v>14</v>
      </c>
      <c r="L12" s="6">
        <f>SUM(Tabela1[[#This Row],[Total Gold Medals]:[Total Bronze Medals]])</f>
        <v>49</v>
      </c>
      <c r="M12" s="6">
        <v>4</v>
      </c>
      <c r="N12" s="6">
        <v>1</v>
      </c>
      <c r="O12" s="6">
        <v>3</v>
      </c>
      <c r="P12" s="6">
        <f>SUM(Tabela1[[#This Row],[Summer Gold Medals]:[Summer Bronze Medals]])</f>
        <v>8</v>
      </c>
      <c r="Q12" s="6">
        <v>18</v>
      </c>
      <c r="R12" s="6">
        <v>12</v>
      </c>
      <c r="S12" s="6">
        <v>11</v>
      </c>
      <c r="T12" s="6">
        <f>Tabela1[[#This Row],[Winter Gold Medals]]+Tabela1[[#This Row],[Winter Silver Medals]]+Tabela1[[#This Row],[Winter Bronze Medals]]</f>
        <v>41</v>
      </c>
      <c r="U12" s="7">
        <f>Tabela1[[#This Row],[Total Medals]]/Tabela1[[#This Row],[Total Quotas]]</f>
        <v>0.42608695652173911</v>
      </c>
      <c r="V12" s="6">
        <f>COUNTIFS(Table3[Country],Tabela1[[#This Row],[Country]],Table3[Recurve Classification],"&gt;0")</f>
        <v>0</v>
      </c>
      <c r="W12" s="6">
        <f>COUNTIFS(Table33[Country],Tabela1[[#This Row],[Country]],Table33[Recurve Classification],"&gt;0")</f>
        <v>0</v>
      </c>
      <c r="X12" s="6">
        <f>COUNTIFS(Table35[Country],Tabela1[[#This Row],[Country]],Table35[Men''s Team Recurve Classification],"&gt;0")</f>
        <v>0</v>
      </c>
      <c r="Y12" s="6">
        <f>COUNTIFS(Table35[Country],Tabela1[[#This Row],[Country]],Table35[Women''s Team Recurve Classification],"&gt;0")</f>
        <v>0</v>
      </c>
      <c r="Z12" s="6">
        <f>COUNTIFS(Tabela88[Country],Tabela1[[#This Row],[Country]],Tabela88[Mixed Team Recurve Classification],"&gt;0")</f>
        <v>0</v>
      </c>
      <c r="AA12" s="6">
        <f>COUNTIFS(Table36[Country],Tabela1[[#This Row],[Country]],Table36[Classification],"&gt;0")</f>
        <v>0</v>
      </c>
      <c r="AB12" s="6">
        <f>COUNTIFS(Table37[Country],Tabela1[[#This Row],[Country]],Table37[Classification],"&gt;0")</f>
        <v>0</v>
      </c>
      <c r="AC12" s="6">
        <f>COUNTIFS(Table4[Country],Tabela1[[#This Row],[Country]],Table4[100m Classification],"&gt;0")</f>
        <v>0</v>
      </c>
      <c r="AD12" s="6">
        <f>COUNTIFS(Table5[Country],Tabela1[[#This Row],[Country]],Table5[100m Classification],"&gt;0")</f>
        <v>0</v>
      </c>
      <c r="AE12" s="6">
        <f>COUNTIFS(Table4[Country],Tabela1[[#This Row],[Country]],Table4[200m Classification],"&gt;0")</f>
        <v>0</v>
      </c>
      <c r="AF12" s="6">
        <f>COUNTIFS(Table5[Country],Tabela1[[#This Row],[Country]],Table5[200m Classification],"&gt;0")</f>
        <v>0</v>
      </c>
      <c r="AG12" s="6">
        <f>COUNTIFS(Table4[Country],Tabela1[[#This Row],[Country]],Table4[400m Classification],"&gt;0")</f>
        <v>0</v>
      </c>
      <c r="AH12" s="6">
        <f>COUNTIFS(Table5[Country],Tabela1[[#This Row],[Country]],Table5[400m Classification],"&gt;0")</f>
        <v>1</v>
      </c>
      <c r="AI12" s="6">
        <f>COUNTIFS(Table4[Country],Tabela1[[#This Row],[Country]],Table4[800m Classification],"&gt;0")</f>
        <v>0</v>
      </c>
      <c r="AJ12" s="6">
        <f>COUNTIFS(Table5[Country],Tabela1[[#This Row],[Country]],Table5[800m Classification],"&gt;0")</f>
        <v>0</v>
      </c>
      <c r="AK12" s="6">
        <f>COUNTIFS(Table4[Country],Tabela1[[#This Row],[Country]],Table4[1500m Classification],"&gt;0")</f>
        <v>0</v>
      </c>
      <c r="AL12" s="6">
        <f>COUNTIFS(Table5[Country],Tabela1[[#This Row],[Country]],Table5[1500m Classification],"&gt;0")</f>
        <v>0</v>
      </c>
      <c r="AM12" s="6">
        <f>COUNTIFS(Table4[Country],Tabela1[[#This Row],[Country]],Table4[5000m Classification],"&gt;0")</f>
        <v>0</v>
      </c>
      <c r="AN12" s="6">
        <f>COUNTIFS(Table5[Country],Tabela1[[#This Row],[Country]],Table5[5000m Classification],"&gt;0")</f>
        <v>1</v>
      </c>
      <c r="AO12" s="6">
        <f>COUNTIFS(Table4[Country],Tabela1[[#This Row],[Country]],Table4[10000m Classification],"&gt;0")</f>
        <v>0</v>
      </c>
      <c r="AP12" s="6">
        <f>COUNTIFS(Table5[Country],Tabela1[[#This Row],[Country]],Table5[10000m Classification],"&gt;0")</f>
        <v>0</v>
      </c>
      <c r="AQ12" s="6">
        <f>COUNTIFS(Table4[Country],Tabela1[[#This Row],[Country]],Table4[110m Hurdles Classification],"&gt;0")</f>
        <v>0</v>
      </c>
      <c r="AR12" s="6">
        <f>COUNTIFS(Table5[Country],Tabela1[[#This Row],[Country]],Table5[100m Hurdles Classification],"&gt;0")</f>
        <v>0</v>
      </c>
      <c r="AS12" s="6">
        <f>COUNTIFS(Table4[Country],Tabela1[[#This Row],[Country]],Table4[400m Hurdles Classification],"&gt;0")</f>
        <v>1</v>
      </c>
      <c r="AT12" s="6">
        <f>COUNTIFS(Table5[Country],Tabela1[[#This Row],[Country]],Table5[400m Hurdles Classification],"&gt;0")</f>
        <v>1</v>
      </c>
      <c r="AU12" s="6">
        <f>COUNTIFS(Table4[Country],Tabela1[[#This Row],[Country]],Table4[3000m Steeplechase Classification],"&gt;0")</f>
        <v>0</v>
      </c>
      <c r="AV12" s="6">
        <f>COUNTIFS(Table5[Country],Tabela1[[#This Row],[Country]],Table5[3000m Steeplechase Classification],"&gt;0")</f>
        <v>0</v>
      </c>
      <c r="AW12" s="6">
        <f>COUNTIFS(Table27[Country],Tabela1[[#This Row],[Country]],Table27[Men''s 4x100m Relay Classification],"&gt;0")</f>
        <v>0</v>
      </c>
      <c r="AX12" s="6">
        <f>COUNTIFS(Table27[Country],Tabela1[[#This Row],[Country]],Table27[Women''s 4x100m Relay Classification],"&gt;0")</f>
        <v>0</v>
      </c>
      <c r="AY12" s="6">
        <f>COUNTIFS(Table27[Country],Tabela1[[#This Row],[Country]],Table27[Men''s 4x400m Relay Classification],"&gt;0")</f>
        <v>0</v>
      </c>
      <c r="AZ12" s="6">
        <f>COUNTIFS(Table27[Country],Tabela1[[#This Row],[Country]],Table27[Women''s 4x400m Relay Classification],"&gt;0")</f>
        <v>1</v>
      </c>
      <c r="BA12" s="6">
        <f>COUNTIFS(Table27[Country],Tabela1[[#This Row],[Country]],Table27[Mixed 4x400m Relay Classification],"&gt;0")</f>
        <v>0</v>
      </c>
      <c r="BB12" s="6">
        <f>COUNTIFS(Table4[Country],Tabela1[[#This Row],[Country]],Table4[Marathon Classification],"&gt;0")</f>
        <v>1</v>
      </c>
      <c r="BC12" s="6">
        <f>COUNTIFS(Table5[Country],Tabela1[[#This Row],[Country]],Table5[Marathon Classification],"&gt;0")</f>
        <v>0</v>
      </c>
      <c r="BD12" s="6">
        <f>COUNTIFS(Table4[Country],Tabela1[[#This Row],[Country]],Table4[20km Race Walk Classification],"&gt;0")</f>
        <v>0</v>
      </c>
      <c r="BE12" s="6">
        <f>COUNTIFS(Table5[Country],Tabela1[[#This Row],[Country]],Table5[20km Race Walk Classification],"&gt;0")</f>
        <v>0</v>
      </c>
      <c r="BF12" s="6">
        <f>COUNTIFS(Tabela96[Country],Tabela1[[#This Row],[Country]],Tabela96[Mixed Marathon Race Walk Relay Classification],"&gt;0")</f>
        <v>0</v>
      </c>
      <c r="BG12" s="6">
        <f>COUNTIFS(Table4[Country],Tabela1[[#This Row],[Country]],Table4[Discus Throw Classification],"&gt;0")</f>
        <v>0</v>
      </c>
      <c r="BH12" s="6">
        <f>COUNTIFS(Table5[Country],Tabela1[[#This Row],[Country]],Table5[Discus Throw Classification],"&gt;0")</f>
        <v>0</v>
      </c>
      <c r="BI12" s="6">
        <f>COUNTIFS(Table4[Country],Tabela1[[#This Row],[Country]],Table4[Hammer Throw Classification],"&gt;0")</f>
        <v>1</v>
      </c>
      <c r="BJ12" s="6">
        <f>COUNTIFS(Table5[Country],Tabela1[[#This Row],[Country]],Table5[Hammer Throw Classification],"&gt;0")</f>
        <v>1</v>
      </c>
      <c r="BK12" s="6">
        <f>COUNTIFS(Table4[Country],Tabela1[[#This Row],[Country]],Table4[High Jump Classification],"&gt;0")</f>
        <v>0</v>
      </c>
      <c r="BL12" s="6">
        <f>COUNTIFS(Table5[Country],Tabela1[[#This Row],[Country]],Table5[High Jump Classification],"&gt;0")</f>
        <v>0</v>
      </c>
      <c r="BM12" s="6">
        <f>COUNTIFS(Table4[Country],Tabela1[[#This Row],[Country]],Table4[Javelin Throw Classification],"&gt;0")</f>
        <v>0</v>
      </c>
      <c r="BN12" s="6">
        <f>COUNTIFS(Table5[Country],Tabela1[[#This Row],[Country]],Table5[Javelin Throw Classification],"&gt;0")</f>
        <v>0</v>
      </c>
      <c r="BO12" s="6">
        <f>COUNTIFS(Table4[Country],Tabela1[[#This Row],[Country]],Table4[Long Jump Classification],"&gt;0")</f>
        <v>0</v>
      </c>
      <c r="BP12" s="6">
        <f>COUNTIFS(Table5[Country],Tabela1[[#This Row],[Country]],Table5[Long Jump Classification],"&gt;0")</f>
        <v>0</v>
      </c>
      <c r="BQ12" s="6">
        <f>COUNTIFS(Table4[Country],Tabela1[[#This Row],[Country]],Table4[Pole Vault Classification],"&gt;0")</f>
        <v>1</v>
      </c>
      <c r="BR12" s="6">
        <f>COUNTIFS(Table5[Country],Tabela1[[#This Row],[Country]],Table5[Pole Vault Classification],"&gt;0")</f>
        <v>1</v>
      </c>
      <c r="BS12" s="6">
        <f>COUNTIFS(Table4[Country],Tabela1[[#This Row],[Country]],Table4[Shot Put Classification],"&gt;0")</f>
        <v>1</v>
      </c>
      <c r="BT12" s="6">
        <f>COUNTIFS(Table5[Country],Tabela1[[#This Row],[Country]],Table5[Shot Put Classification],"&gt;0")</f>
        <v>0</v>
      </c>
      <c r="BU12" s="6">
        <f>COUNTIFS(Table4[Country],Tabela1[[#This Row],[Country]],Table4[Triple Jump Classification],"&gt;0")</f>
        <v>0</v>
      </c>
      <c r="BV12" s="6">
        <f>COUNTIFS(Table5[Country],Tabela1[[#This Row],[Country]],Table5[Triple Jump Classification],"&gt;0")</f>
        <v>0</v>
      </c>
      <c r="BW12" s="6">
        <f>COUNTIFS(Table4[Country],Tabela1[[#This Row],[Country]],Table4[Decathlon Classification],"&gt;0")</f>
        <v>0</v>
      </c>
      <c r="BX12" s="6">
        <f>COUNTIFS(Table5[Country],Tabela1[[#This Row],[Country]],Table5[Heptathlon Classification],"&gt;0")</f>
        <v>0</v>
      </c>
      <c r="BY12" s="6">
        <f>COUNTIFS(Table61[Country],Tabela1[[#This Row],[Country]],Table61[Classification],"&gt;0")</f>
        <v>0</v>
      </c>
      <c r="BZ12" s="6">
        <f>COUNTIFS(Table38[Country],Tabela1[[#This Row],[Country]],Table38[Classification],"&gt;0")</f>
        <v>0</v>
      </c>
      <c r="CA12" s="6">
        <f>COUNTIFS(Table39[Country],Tabela1[[#This Row],[Country]],Table39[Men''s Classification],"&gt;0")</f>
        <v>0</v>
      </c>
      <c r="CB12" s="6">
        <f>COUNTIFS(Table39[Country],Tabela1[[#This Row],[Country]],Table39[Women''s Classification],"&gt;0")</f>
        <v>0</v>
      </c>
      <c r="CC12" s="6">
        <f>COUNTIFS(Table39[Country],Tabela1[[#This Row],[Country]],Table39[Mixed Classification],"&gt;0")</f>
        <v>0</v>
      </c>
      <c r="CD12" s="6">
        <f>COUNTIFS(Table89[Country],Tabela1[[#This Row],[Country]],Table89[Men''s Classification],"&gt;0")</f>
        <v>0</v>
      </c>
      <c r="CE12" s="6">
        <f>COUNTIFS(Table89[Country],Tabela1[[#This Row],[Country]],Table89[Women''s Classification],"&gt;0")</f>
        <v>0</v>
      </c>
      <c r="CF12" s="6">
        <f>COUNTIFS(Table90[Country],Tabela1[[#This Row],[Country]],Table90[Men''s Classification],"&gt;0")</f>
        <v>0</v>
      </c>
      <c r="CG12" s="6">
        <f>COUNTIFS(Table90[Country],Tabela1[[#This Row],[Country]],Table90[Women''s Classification],"&gt;0")</f>
        <v>0</v>
      </c>
      <c r="CH12" s="6">
        <f>COUNTIFS(Table60[Country],Tabela1[[#This Row],[Country]],Table60[Men''s Classification],"&gt;0")</f>
        <v>1</v>
      </c>
      <c r="CI12" s="6">
        <f>COUNTIFS(Table60[Country],Tabela1[[#This Row],[Country]],Table60[Women''s Classification],"&gt;0")</f>
        <v>0</v>
      </c>
      <c r="CJ12" s="6">
        <f>COUNTIFS(Table6[Country],Tabela1[[#This Row],[Country]],Table6[51kg Classification],"&gt;0")</f>
        <v>0</v>
      </c>
      <c r="CK12" s="6">
        <f>COUNTIFS(Table6[Country],Tabela1[[#This Row],[Country]],Table6[57kg Classification],"&gt;0")</f>
        <v>0</v>
      </c>
      <c r="CL12" s="6">
        <f>COUNTIFS(Table6[Country],Tabela1[[#This Row],[Country]],Table6[63.5kg Classification],"&gt;0")</f>
        <v>0</v>
      </c>
      <c r="CM12" s="6">
        <f>COUNTIFS(Table6[Country],Tabela1[[#This Row],[Country]],Table6[71kg Classification],"&gt;0")</f>
        <v>0</v>
      </c>
      <c r="CN12" s="6">
        <f>COUNTIFS(Table6[Country],Tabela1[[#This Row],[Country]],Table6[80kg Classification],"&gt;0")</f>
        <v>0</v>
      </c>
      <c r="CO12" s="6">
        <f>COUNTIFS(Table6[Country],Tabela1[[#This Row],[Country]],Table6[92kg Classification],"&gt;0")</f>
        <v>0</v>
      </c>
      <c r="CP12" s="6">
        <f>COUNTIFS(Table6[Country],Tabela1[[#This Row],[Country]],Table6[Plus 92kg Classification],"&gt;0")</f>
        <v>0</v>
      </c>
      <c r="CQ12" s="6">
        <f>COUNTIFS(Table7[Country],Tabela1[[#This Row],[Country]],Table7[50kg Classification],"&gt;0")</f>
        <v>0</v>
      </c>
      <c r="CR12" s="6">
        <f>COUNTIFS(Table7[Country],Tabela1[[#This Row],[Country]],Table7[54kg Classification],"&gt;0")</f>
        <v>0</v>
      </c>
      <c r="CS12" s="6">
        <f>COUNTIFS(Table7[Country],Tabela1[[#This Row],[Country]],Table7[57kg Classification],"&gt;0")</f>
        <v>0</v>
      </c>
      <c r="CT12" s="6">
        <f>COUNTIFS(Table7[Country],Tabela1[[#This Row],[Country]],Table7[60kg Classification],"&gt;0")</f>
        <v>0</v>
      </c>
      <c r="CU12" s="6">
        <f>COUNTIFS(Table7[Country],Tabela1[[#This Row],[Country]],Table7[66kg Classification],"&gt;0")</f>
        <v>0</v>
      </c>
      <c r="CV12" s="6">
        <f>COUNTIFS(Table7[Country],Tabela1[[#This Row],[Country]],Table7[75kg Classification],"&gt;0")</f>
        <v>1</v>
      </c>
      <c r="CW12" s="6">
        <f>COUNTIFS(Tabela94[Country],Tabela1[[#This Row],[Country]],Tabela94[Classification],"&gt;0")</f>
        <v>0</v>
      </c>
      <c r="CX12" s="6">
        <f>COUNTIFS(Tabela9499[Country],Tabela1[[#This Row],[Country]],Tabela9499[Classification],"&gt;0")</f>
        <v>0</v>
      </c>
      <c r="CY12" s="6">
        <f>COUNTIFS(Tabela107[Country],Tabela1[[#This Row],[Country]],Tabela107[C1 Slalom Classification],"&gt;0")</f>
        <v>0</v>
      </c>
      <c r="CZ12" s="6">
        <f>COUNTIFS(Tabela107122[Country],Tabela1[[#This Row],[Country]],Tabela107122[C1 Slalom Classification],"&gt;0")</f>
        <v>0</v>
      </c>
      <c r="DA12" s="6">
        <f>COUNTIFS(Tabela107[Country],Tabela1[[#This Row],[Country]],Tabela107[K1 Slalom Classification],"&gt;0")</f>
        <v>0</v>
      </c>
      <c r="DB12" s="6">
        <f>COUNTIFS(Tabela107122[Country],Tabela1[[#This Row],[Country]],Tabela107122[K1 Slalom Classification],"&gt;0")</f>
        <v>0</v>
      </c>
      <c r="DC12" s="6">
        <f>COUNTIFS(Tabela107[Country],Tabela1[[#This Row],[Country]],Tabela107[Kayak Cross Slalom Classification],"&gt;0")</f>
        <v>0</v>
      </c>
      <c r="DD12" s="6">
        <f>COUNTIFS(Tabela107122[Country],Tabela1[[#This Row],[Country]],Tabela107122[Kayak Cross Slalom Classification],"&gt;0")</f>
        <v>0</v>
      </c>
      <c r="DE12" s="6">
        <f>COUNTIFS(Table8[Country],Tabela1[[#This Row],[Country]],Table8[C1 200m Classification],"&gt;0")</f>
        <v>0</v>
      </c>
      <c r="DF12" s="6">
        <f>COUNTIFS(Table40[Country],Tabela1[[#This Row],[Country]],Table40[C1 1000m Classification],"&gt;0")</f>
        <v>0</v>
      </c>
      <c r="DG12" s="6">
        <f>COUNTIFS(Table68[Country],Tabela1[[#This Row],[Country]],Table68[Men''s C2 500m Classification],"&gt;0")</f>
        <v>0</v>
      </c>
      <c r="DH12" s="6">
        <f>COUNTIFS(Table68[Country],Tabela1[[#This Row],[Country]],Table68[Women''s C2 500m Classification],"&gt;0")</f>
        <v>0</v>
      </c>
      <c r="DI12" s="6">
        <f>COUNTIFS(Table8[Country],Tabela1[[#This Row],[Country]],Table8[K1 500m Classification],"&gt;0")</f>
        <v>1</v>
      </c>
      <c r="DJ12" s="6">
        <f>COUNTIFS(Table40[Country],Tabela1[[#This Row],[Country]],Table40[K1 1000m Classification],"&gt;0")</f>
        <v>0</v>
      </c>
      <c r="DK12" s="6">
        <f>COUNTIFS(Table68[Country],Tabela1[[#This Row],[Country]],Table68[Men''s K2 500m Classification],"&gt;0")</f>
        <v>0</v>
      </c>
      <c r="DL12" s="6">
        <f>COUNTIFS(Table68[Country],Tabela1[[#This Row],[Country]],Table68[Women''s K2 500m Classification],"&gt;0")</f>
        <v>1</v>
      </c>
      <c r="DM12" s="6">
        <f>COUNTIFS(Table83[Country],Tabela1[[#This Row],[Country]],Table83[Men''s K4 500m Classification],"&gt;0")</f>
        <v>0</v>
      </c>
      <c r="DN12" s="6">
        <f>COUNTIFS(Table83[Country],Tabela1[[#This Row],[Country]],Table83[Women''s K4 500m Classification],"&gt;0")</f>
        <v>1</v>
      </c>
      <c r="DO12" s="6">
        <f>COUNTIFS(Tabela126[Country],Tabela1[[#This Row],[Country]],Tabela126[Classification],"&gt;0")</f>
        <v>0</v>
      </c>
      <c r="DP12" s="6">
        <f>COUNTIFS(Tabela126130[Country],Tabela1[[#This Row],[Country]],Tabela126130[Classification],"&gt;0")</f>
        <v>0</v>
      </c>
      <c r="DQ12" s="6">
        <f>COUNTIFS(Table70[Country],Tabela1[[#This Row],[Country]],Table70[Classification],"&gt;0")</f>
        <v>0</v>
      </c>
      <c r="DR12" s="6">
        <f>COUNTIFS(Table80[Country],Tabela1[[#This Row],[Country]],Table80[Classification],"&gt;0")</f>
        <v>0</v>
      </c>
      <c r="DS12" s="6">
        <f>COUNTIFS(Table66[Country],Tabela1[[#This Row],[Country]],Table66[Classification],"&gt;0")</f>
        <v>0</v>
      </c>
      <c r="DT12" s="6">
        <f>COUNTIFS(Table67[Country],Tabela1[[#This Row],[Country]],Table67[Classification],"&gt;0")</f>
        <v>0</v>
      </c>
      <c r="DU12" s="6">
        <f>COUNTIFS(Table69[Country],Tabela1[[#This Row],[Country]],Table69[Keirin Classification],"&gt;0")</f>
        <v>0</v>
      </c>
      <c r="DV12" s="6">
        <f>COUNTIFS(Table41[Country],Tabela1[[#This Row],[Country]],Table41[Keirin Classification],"&gt;0")</f>
        <v>0</v>
      </c>
      <c r="DW12" s="6">
        <f>COUNTIFS(Table84[Country],Tabela1[[#This Row],[Country]],Table84[Men''s Madison Classification],"&gt;0")</f>
        <v>0</v>
      </c>
      <c r="DX12" s="6">
        <f>COUNTIFS(Table84[Country],Tabela1[[#This Row],[Country]],Table84[Women''s Madison Classification],"&gt;0")</f>
        <v>0</v>
      </c>
      <c r="DY12" s="6">
        <f>COUNTIFS(Table69[Country],Tabela1[[#This Row],[Country]],Table69[Omnium Classification],"&gt;0")</f>
        <v>0</v>
      </c>
      <c r="DZ12" s="6">
        <f>COUNTIFS(Table41[Country],Tabela1[[#This Row],[Country]],Table41[Omnium Classification],"&gt;0")</f>
        <v>1</v>
      </c>
      <c r="EA12" s="6">
        <f>COUNTIFS(Table9[Country],Tabela1[[#This Row],[Country]],Table9[Road Race Classification],"&gt;0")</f>
        <v>1</v>
      </c>
      <c r="EB12" s="6">
        <f>COUNTIFS(Table14[Country],Tabela1[[#This Row],[Country]],Table14[Road Race Classification],"&gt;0")</f>
        <v>1</v>
      </c>
      <c r="EC12" s="6">
        <f>COUNTIFS(Table69[Country],Tabela1[[#This Row],[Country]],Table69[Sprint Classification],"&gt;0")</f>
        <v>0</v>
      </c>
      <c r="ED12" s="6">
        <f>COUNTIFS(Table41[Country],Tabela1[[#This Row],[Country]],Table41[Sprint Classification],"&gt;0")</f>
        <v>0</v>
      </c>
      <c r="EE12" s="6">
        <f>COUNTIFS(Table85[Country],Tabela1[[#This Row],[Country]],Table85[Men''s Sprint Classification],"&gt;0")</f>
        <v>0</v>
      </c>
      <c r="EF12" s="6">
        <f>COUNTIFS(Table85[Country],Tabela1[[#This Row],[Country]],Table85[Women''s Sprint Classification],"&gt;0")</f>
        <v>0</v>
      </c>
      <c r="EG12" s="6">
        <f>COUNTIFS(Table85[Country],Tabela1[[#This Row],[Country]],Table85[Men''s Pursuit Classification],"&gt;0")</f>
        <v>0</v>
      </c>
      <c r="EH12" s="6">
        <f>COUNTIFS(Table85[Country],Tabela1[[#This Row],[Country]],Table85[Women''s Pursuit Classification],"&gt;0")</f>
        <v>0</v>
      </c>
      <c r="EI12" s="6">
        <f>COUNTIFS(Table9[Country],Tabela1[[#This Row],[Country]],Table9[Time-Trial Classification],"&gt;0")</f>
        <v>1</v>
      </c>
      <c r="EJ12" s="6">
        <f>COUNTIFS(Table14[Country],Tabela1[[#This Row],[Country]],Table14[Time-Trial Classification],"&gt;0")</f>
        <v>0</v>
      </c>
      <c r="EK12" s="6">
        <f>COUNTIFS(Table42[Country],Tabela1[[#This Row],[Country]],Table42[Springboard Classification],"&gt;0")</f>
        <v>0</v>
      </c>
      <c r="EL12" s="6">
        <f>COUNTIFS(Table43[Country],Tabela1[[#This Row],[Country]],Table43[Springboard Classification],"&gt;0")</f>
        <v>0</v>
      </c>
      <c r="EM12" s="6">
        <f>COUNTIFS(Table42[Country],Tabela1[[#This Row],[Country]],Table42[Platform Classification],"&gt;0")</f>
        <v>0</v>
      </c>
      <c r="EN12" s="6">
        <f>COUNTIFS(Table43[Country],Tabela1[[#This Row],[Country]],Table43[Platform Classification],"&gt;0")</f>
        <v>0</v>
      </c>
      <c r="EO12" s="6">
        <f>COUNTIFS(Table86[Country],Tabela1[[#This Row],[Country]],Table86[Men''s Synchronized Springboard Classification],"&gt;0")</f>
        <v>0</v>
      </c>
      <c r="EP12" s="6">
        <f>COUNTIFS(Table86[Country],Tabela1[[#This Row],[Country]],Table86[Women''s Synchronized Springboard Classification],"&gt;0")</f>
        <v>0</v>
      </c>
      <c r="EQ12" s="6">
        <f>COUNTIFS(Table86[Country],Tabela1[[#This Row],[Country]],Table86[Men''s Synchronized Platform Classification],"&gt;0")</f>
        <v>0</v>
      </c>
      <c r="ER12" s="6">
        <f>COUNTIFS(Table86[Country],Tabela1[[#This Row],[Country]],Table86[Women''s Synchronized Platform Classification],"&gt;0")</f>
        <v>0</v>
      </c>
      <c r="ES12" s="6">
        <f>COUNTIFS(Table44[Country],Tabela1[[#This Row],[Country]],Table44[Dressage Classification],"&gt;0")</f>
        <v>1</v>
      </c>
      <c r="ET12" s="6">
        <f>COUNTIFS(Table45[Country],Tabela1[[#This Row],[Country]],Table45[Dressage Classification],"&gt;0")</f>
        <v>0</v>
      </c>
      <c r="EU12" s="6">
        <f>COUNTIFS(Table44[Country],Tabela1[[#This Row],[Country]],Table44[Eventing Classification],"&gt;0")</f>
        <v>0</v>
      </c>
      <c r="EV12" s="6">
        <f>COUNTIFS(Table45[Country],Tabela1[[#This Row],[Country]],Table45[Eventing Classification],"&gt;0")</f>
        <v>0</v>
      </c>
      <c r="EW12" s="6">
        <f>COUNTIFS(Table44[Country],Tabela1[[#This Row],[Country]],Table44[Jumping Classification],"&gt;0")</f>
        <v>1</v>
      </c>
      <c r="EX12" s="6">
        <f>COUNTIFS(Table45[Country],Tabela1[[#This Row],[Country]],Table45[Jumping Classification],"&gt;0")</f>
        <v>0</v>
      </c>
      <c r="EY12" s="6">
        <f>COUNTIFS(Table10[Country],Tabela1[[#This Row],[Country]],Table10[Épée Classification],"&gt;0")</f>
        <v>0</v>
      </c>
      <c r="EZ12" s="6">
        <f>COUNTIFS(Table11[Country],Tabela1[[#This Row],[Country]],Table11[Épée Classification],"&gt;0")</f>
        <v>0</v>
      </c>
      <c r="FA12" s="6">
        <f>COUNTIFS(Table46[Country],Tabela1[[#This Row],[Country]],Table46[Men''s Épée Classification],"&gt;0")</f>
        <v>0</v>
      </c>
      <c r="FB12" s="6">
        <f>COUNTIFS(Table46[Country],Tabela1[[#This Row],[Country]],Table46[Women''s Épée Classification],"&gt;0")</f>
        <v>0</v>
      </c>
      <c r="FC12" s="6">
        <f>COUNTIFS(Table10[Country],Tabela1[[#This Row],[Country]],Table10[Foil Classification],"&gt;0")</f>
        <v>0</v>
      </c>
      <c r="FD12" s="6">
        <f>COUNTIFS(Table11[Country],Tabela1[[#This Row],[Country]],Table11[Foil Classification],"&gt;0")</f>
        <v>0</v>
      </c>
      <c r="FE12" s="6">
        <f>COUNTIFS(Table46[Country],Tabela1[[#This Row],[Country]],Table46[Men''s Foil Classification],"&gt;0")</f>
        <v>0</v>
      </c>
      <c r="FF12" s="6">
        <f>COUNTIFS(Table46[Country],Tabela1[[#This Row],[Country]],Table46[Women''s Foil Classification],"&gt;0")</f>
        <v>0</v>
      </c>
      <c r="FG12" s="6">
        <f>COUNTIFS(Table10[Country],Tabela1[[#This Row],[Country]],Table10[Sabre Classification],"&gt;0")</f>
        <v>0</v>
      </c>
      <c r="FH12" s="6">
        <f>COUNTIFS(Table11[Country],Tabela1[[#This Row],[Country]],Table11[Sabre Classification],"&gt;0")</f>
        <v>0</v>
      </c>
      <c r="FI12" s="6">
        <f>COUNTIFS(Table46[Country],Tabela1[[#This Row],[Country]],Table46[Men''s Sabre Classification],"&gt;0")</f>
        <v>0</v>
      </c>
      <c r="FJ12" s="6">
        <f>COUNTIFS(Table46[Country],Tabela1[[#This Row],[Country]],Table46[Women''s Sabre Classification],"&gt;0")</f>
        <v>0</v>
      </c>
      <c r="FK12" s="6">
        <f>COUNTIFS(Table91[Country],Tabela1[[#This Row],[Country]],Table91[Men''s Classification],"&gt;0")</f>
        <v>0</v>
      </c>
      <c r="FL12" s="6">
        <f>COUNTIFS(Table91[Country],Tabela1[[#This Row],[Country]],Table91[Women''s Classification],"&gt;0")</f>
        <v>0</v>
      </c>
      <c r="FM12" s="6">
        <f>COUNTIFS(Table9194[Country],Tabela1[[#This Row],[Country]],Table9194[Men''s Classification],"&gt;0")</f>
        <v>0</v>
      </c>
      <c r="FN12" s="6">
        <f>COUNTIFS(Table9194[Country],Tabela1[[#This Row],[Country]],Table9194[Women''s Classification],"&gt;0")</f>
        <v>0</v>
      </c>
      <c r="FO12" s="6">
        <f>COUNTIFS(Table71[Country],Tabela1[[#This Row],[Country]],Table71[Classification],"&gt;0")</f>
        <v>1</v>
      </c>
      <c r="FP12" s="6">
        <f>COUNTIFS(Table62[Country],Tabela1[[#This Row],[Country]],Table62[Classification],"&gt;0")</f>
        <v>1</v>
      </c>
      <c r="FQ12" s="6">
        <f>COUNTIFS(Table47[Country],Tabela1[[#This Row],[Country]],Table47[All-Around Classification],"&gt;0")</f>
        <v>0</v>
      </c>
      <c r="FR12" s="6">
        <f>COUNTIFS(Table48[Country],Tabela1[[#This Row],[Country]],Table48[All-Around Classification],"&gt;0")</f>
        <v>0</v>
      </c>
      <c r="FS12" s="6">
        <f>COUNTIFS(Table81[Country],Tabela1[[#This Row],[Country]],Table81[Men''s All-Around Classification],"&gt;0")</f>
        <v>0</v>
      </c>
      <c r="FT12" s="6">
        <f>COUNTIFS(Table81[Country],Tabela1[[#This Row],[Country]],Table81[Women''s All-Around Classification],"&gt;0")</f>
        <v>0</v>
      </c>
      <c r="FU12" s="6">
        <f>COUNTIFS(Table48[Country],Tabela1[[#This Row],[Country]],Table48[Balance Beam Classification],"&gt;0")</f>
        <v>0</v>
      </c>
      <c r="FV12" s="6">
        <f>COUNTIFS(Table47[Country],Tabela1[[#This Row],[Country]],Table47[Floor Exercise Classification],"&gt;0")</f>
        <v>0</v>
      </c>
      <c r="FW12" s="6">
        <f>COUNTIFS(Table48[Country],Tabela1[[#This Row],[Country]],Table48[Floor Exercise Classification],"&gt;0")</f>
        <v>0</v>
      </c>
      <c r="FX12" s="6">
        <f>COUNTIFS(Table47[Country],Tabela1[[#This Row],[Country]],Table47[Horizontal Bar Classification],"&gt;0")</f>
        <v>0</v>
      </c>
      <c r="FY12" s="6">
        <f>COUNTIFS(Table47[Country],Tabela1[[#This Row],[Country]],Table47[Parallel Bars Classification],"&gt;0")</f>
        <v>0</v>
      </c>
      <c r="FZ12" s="6">
        <f>COUNTIFS(Table47[Country],Tabela1[[#This Row],[Country]],Table47[Pommel Horse Classification],"&gt;0")</f>
        <v>0</v>
      </c>
      <c r="GA12" s="6">
        <f>COUNTIFS(Table47[Country],Tabela1[[#This Row],[Country]],Table47[Rings Classification],"&gt;0")</f>
        <v>0</v>
      </c>
      <c r="GB12" s="6">
        <f>COUNTIFS(Tabela132[Country],Tabela1[[#This Row],[Country]],Tabela132[Classification],"&gt;0")</f>
        <v>0</v>
      </c>
      <c r="GC12" s="6">
        <f>COUNTIFS(Tabela139[Country],Tabela1[[#This Row],[Country]],Tabela139[Classification],"&gt;0")</f>
        <v>0</v>
      </c>
      <c r="GD12" s="6">
        <f>COUNTIFS(Table48[Country],Tabela1[[#This Row],[Country]],Table48[Uneven Bars Classification],"&gt;0")</f>
        <v>0</v>
      </c>
      <c r="GE12" s="6">
        <f>COUNTIFS(Table47[Country],Tabela1[[#This Row],[Country]],Table47[Vault Classification],"&gt;0")</f>
        <v>0</v>
      </c>
      <c r="GF12" s="6">
        <f>COUNTIFS(Table48[Country],Tabela1[[#This Row],[Country]],Table48[Vault Classification],"&gt;0")</f>
        <v>0</v>
      </c>
      <c r="GG12" s="6">
        <f>COUNTIFS(Table919496[Country],Tabela1[[#This Row],[Country]],Table919496[Men''s Classification],"&gt;0")</f>
        <v>1</v>
      </c>
      <c r="GH12" s="6">
        <f>COUNTIFS(Table919496[Country],Tabela1[[#This Row],[Country]],Table919496[Women''s Classification],"&gt;0")</f>
        <v>1</v>
      </c>
      <c r="GI12" s="6">
        <f>COUNTIFS(Table12[Country],Tabela1[[#This Row],[Country]],Table12[60kg Classification],"&gt;0")</f>
        <v>0</v>
      </c>
      <c r="GJ12" s="6">
        <f>COUNTIFS(Table12[Country],Tabela1[[#This Row],[Country]],Table12[66kg Classification],"&gt;0")</f>
        <v>0</v>
      </c>
      <c r="GK12" s="6">
        <f>COUNTIFS(Table12[Country],Tabela1[[#This Row],[Country]],Table12[73kg Classification],"&gt;0")</f>
        <v>0</v>
      </c>
      <c r="GL12" s="6">
        <f>COUNTIFS(Table12[Country],Tabela1[[#This Row],[Country]],Table12[81kg Classification],"&gt;0")</f>
        <v>0</v>
      </c>
      <c r="GM12" s="6">
        <f>COUNTIFS(Table12[Country],Tabela1[[#This Row],[Country]],Table12[90kg Classification],"&gt;0")</f>
        <v>0</v>
      </c>
      <c r="GN12" s="6">
        <f>COUNTIFS(Table12[Country],Tabela1[[#This Row],[Country]],Table12[100kg Classification],"&gt;0")</f>
        <v>0</v>
      </c>
      <c r="GO12" s="6">
        <f>COUNTIFS(Table12[Country],Tabela1[[#This Row],[Country]],Table12[Plus 100kg Classification],"&gt;0")</f>
        <v>0</v>
      </c>
      <c r="GP12" s="6">
        <f>COUNTIFS(Table13[Country],Tabela1[[#This Row],[Country]],Table13[48kg Classification],"&gt;0")</f>
        <v>0</v>
      </c>
      <c r="GQ12" s="6">
        <f>COUNTIFS(Table13[Country],Tabela1[[#This Row],[Country]],Table13[52kg Classification],"&gt;0")</f>
        <v>0</v>
      </c>
      <c r="GR12" s="6">
        <f>COUNTIFS(Table13[Country],Tabela1[[#This Row],[Country]],Table13[57kg Classification],"&gt;0")</f>
        <v>0</v>
      </c>
      <c r="GS12" s="6">
        <f>COUNTIFS(Table13[Country],Tabela1[[#This Row],[Country]],Table13[63kg Classification],"&gt;0")</f>
        <v>0</v>
      </c>
      <c r="GT12" s="6">
        <f>COUNTIFS(Table13[Country],Tabela1[[#This Row],[Country]],Table13[70kg Classification],"&gt;0")</f>
        <v>0</v>
      </c>
      <c r="GU12" s="6">
        <f>COUNTIFS(Table13[Country],Tabela1[[#This Row],[Country]],Table13[78kg Classification],"&gt;0")</f>
        <v>0</v>
      </c>
      <c r="GV12" s="6">
        <f>COUNTIFS(Table13[Country],Tabela1[[#This Row],[Country]],Table13[Plus 78kg Classification],"&gt;0")</f>
        <v>0</v>
      </c>
      <c r="GW12" s="6">
        <f>COUNTIFS(Table82[Country],Tabela1[[#This Row],[Country]],Table82[Mixed Classification],"&gt;0")</f>
        <v>0</v>
      </c>
      <c r="GX12" s="6">
        <f>COUNTIFS(Table51[Country],Tabela1[[#This Row],[Country]],Table51[Classification],"&gt;0")</f>
        <v>0</v>
      </c>
      <c r="GY12" s="6">
        <f>COUNTIFS(Table52[Country],Tabela1[[#This Row],[Country]],Table52[Classification],"&gt;0")</f>
        <v>0</v>
      </c>
      <c r="GZ12" s="6">
        <f>COUNTIFS(Table32[Country],Tabela1[[#This Row],[Country]],Table32[All-Around Classification],"&gt;0")</f>
        <v>0</v>
      </c>
      <c r="HA12" s="6">
        <f>COUNTIFS(Table49[Country],Tabela1[[#This Row],[Country]],Table49[All-Around Classification],"&gt;0")</f>
        <v>0</v>
      </c>
      <c r="HB12" s="6">
        <f>COUNTIFS(Table26[Country],Tabela1[[#This Row],[Country]],Table26[Single Sculls Classification],"&gt;0")</f>
        <v>0</v>
      </c>
      <c r="HC12" s="6">
        <f>COUNTIFS(Table63[Country],Tabela1[[#This Row],[Country]],Table63[Single Sculls Classification],"&gt;0")</f>
        <v>0</v>
      </c>
      <c r="HD12" s="6">
        <f>COUNTIFS(Table16[Country],Tabela1[[#This Row],[Country]],Table16[Men''s Double Sculls Classification],"&gt;0")</f>
        <v>1</v>
      </c>
      <c r="HE12" s="6">
        <f>COUNTIFS(Table16[Country],Tabela1[[#This Row],[Country]],Table16[Women''s Double Sculls Classification],"&gt;0")</f>
        <v>1</v>
      </c>
      <c r="HF12" s="6">
        <f>COUNTIFS(Table72[Country],Tabela1[[#This Row],[Country]],Table72[Men''s Quadruple Sculls Classification],"&gt;0")</f>
        <v>1</v>
      </c>
      <c r="HG12" s="6">
        <f>COUNTIFS(Table72[Country],Tabela1[[#This Row],[Country]],Table72[Women''s Quadruple Sculls Classification],"&gt;0")</f>
        <v>0</v>
      </c>
      <c r="HH12" s="6">
        <f>COUNTIFS(Table16[Country],Tabela1[[#This Row],[Country]],Table16[Men''s Coxless Pairs Classification],"&gt;0")</f>
        <v>0</v>
      </c>
      <c r="HI12" s="6">
        <f>COUNTIFS(Table16[Country],Tabela1[[#This Row],[Country]],Table16[Women''s Coxless Pairs Classification],"&gt;0")</f>
        <v>0</v>
      </c>
      <c r="HJ12" s="6">
        <f>COUNTIFS(Table72[Country],Tabela1[[#This Row],[Country]],Table72[Men''s Coxless Fours Classification],"&gt;0")</f>
        <v>0</v>
      </c>
      <c r="HK12" s="6">
        <f>COUNTIFS(Table72[Country],Tabela1[[#This Row],[Country]],Table72[Women''s Coxless Fours Classification],"&gt;0")</f>
        <v>0</v>
      </c>
      <c r="HL12" s="6">
        <f>COUNTIFS(Table72[Country],Tabela1[[#This Row],[Country]],Table72[Men''s Eights Classification],"&gt;0")</f>
        <v>0</v>
      </c>
      <c r="HM12" s="6">
        <f>COUNTIFS(Table72[Country],Tabela1[[#This Row],[Country]],Table72[Women''s Eights Classification],"&gt;0")</f>
        <v>0</v>
      </c>
      <c r="HN12" s="6">
        <f>COUNTIFS(Table16[Country],Tabela1[[#This Row],[Country]],Table16[Men''s Lwt. Double Sculls Classification],"&gt;0")</f>
        <v>1</v>
      </c>
      <c r="HO12" s="6">
        <f>COUNTIFS(Table16[Country],Tabela1[[#This Row],[Country]],Table16[Women''s Lwt. Double Sculls Classification],"&gt;0")</f>
        <v>0</v>
      </c>
      <c r="HP12" s="6">
        <f>COUNTIFS(Table91949698[Country],Tabela1[[#This Row],[Country]],Table91949698[Men''s Classification],"&gt;0")</f>
        <v>0</v>
      </c>
      <c r="HQ12" s="6">
        <f>COUNTIFS(Table91949698[Country],Tabela1[[#This Row],[Country]],Table91949698[Women''s Classification],"&gt;0")</f>
        <v>0</v>
      </c>
      <c r="HR12" s="6">
        <f>COUNTIFS(Table25[Country],Tabela1[[#This Row],[Country]],Table25[Mixed 470 Classification],"&gt;0")</f>
        <v>0</v>
      </c>
      <c r="HS12" s="6">
        <f>COUNTIFS(Table25[Country],Tabela1[[#This Row],[Country]],Table25[Men''s 49er Classification],"&gt;0")</f>
        <v>0</v>
      </c>
      <c r="HT12" s="6">
        <f>COUNTIFS(Table25[Country],Tabela1[[#This Row],[Country]],Table25[Women''s 49er FX Classification],"&gt;0")</f>
        <v>1</v>
      </c>
      <c r="HU12" s="6">
        <f>COUNTIFS(Table17[Country],Tabela1[[#This Row],[Country]],Table17[Formula Kite Classification],"&gt;0")</f>
        <v>0</v>
      </c>
      <c r="HV12" s="6">
        <f>COUNTIFS(Table18[Country],Tabela1[[#This Row],[Country]],Table18[Formula Kite Classification],"&gt;0")</f>
        <v>0</v>
      </c>
      <c r="HW12" s="6">
        <f>COUNTIFS(Table17[Country],Tabela1[[#This Row],[Country]],Table17[ILCA 7 Classification],"&gt;0")</f>
        <v>1</v>
      </c>
      <c r="HX12" s="6">
        <f>COUNTIFS(Table18[Country],Tabela1[[#This Row],[Country]],Table18[ILCA 6 Classification],"&gt;0")</f>
        <v>0</v>
      </c>
      <c r="HY12" s="6">
        <f>COUNTIFS(Table17[Country],Tabela1[[#This Row],[Country]],Table17[IQFoil Classification],"&gt;0")</f>
        <v>0</v>
      </c>
      <c r="HZ12" s="6">
        <f>COUNTIFS(Table18[Country],Tabela1[[#This Row],[Country]],Table18[IQFoil Classification],"&gt;0")</f>
        <v>0</v>
      </c>
      <c r="IA12" s="6">
        <f>COUNTIFS(Table25[Country],Tabela1[[#This Row],[Country]],Table25[Mixed Nacra 17 Classification],"&gt;0")</f>
        <v>0</v>
      </c>
      <c r="IB12" s="6">
        <f>COUNTIFS(Table53[Country],Tabela1[[#This Row],[Country]],Table53[10m Air Pistol Classification],"&gt;0")</f>
        <v>0</v>
      </c>
      <c r="IC12" s="6">
        <f>COUNTIFS(Table19[Country],Tabela1[[#This Row],[Country]],Table19[10m Air Pistol Classification],"&gt;0")</f>
        <v>0</v>
      </c>
      <c r="ID12" s="6">
        <f>COUNTIFS(Table54[Country],Tabela1[[#This Row],[Country]],Table54[Mixed 10m Air Pistol Team Classification],"&gt;0")</f>
        <v>0</v>
      </c>
      <c r="IE12" s="6">
        <f>COUNTIFS(Table53[Country],Tabela1[[#This Row],[Country]],Table53[10m Air Rifle Classification],"&gt;0")</f>
        <v>2</v>
      </c>
      <c r="IF12" s="6">
        <f>COUNTIFS(Table19[Country],Tabela1[[#This Row],[Country]],Table19[10m Air Rifle Classification],"&gt;0")</f>
        <v>2</v>
      </c>
      <c r="IG12" s="6">
        <f>COUNTIFS(Table54[Country],Tabela1[[#This Row],[Country]],Table54[Mixed 10m Air Rifle Team Classification],"&gt;0")</f>
        <v>2</v>
      </c>
      <c r="IH12" s="6">
        <f>COUNTIFS(Table53[Country],Tabela1[[#This Row],[Country]],Table53[25m Rapid Fire Pistol Classification],"&gt;0")</f>
        <v>0</v>
      </c>
      <c r="II12" s="6">
        <f>COUNTIFS(Table19[Country],Tabela1[[#This Row],[Country]],Table19[25m Pistol Classification],"&gt;0")</f>
        <v>0</v>
      </c>
      <c r="IJ12" s="6">
        <f>COUNTIFS(Table53[Country],Tabela1[[#This Row],[Country]],Table53[50m Rifle 3 Positions Classification],"&gt;0")</f>
        <v>2</v>
      </c>
      <c r="IK12" s="6">
        <f>COUNTIFS(Table19[Country],Tabela1[[#This Row],[Country]],Table19[50m Rifle 3 Positions Classification],"&gt;0")</f>
        <v>2</v>
      </c>
      <c r="IL12" s="6">
        <f>COUNTIFS(Table53[Country],Tabela1[[#This Row],[Country]],Table53[Skeet Classification],"&gt;0")</f>
        <v>0</v>
      </c>
      <c r="IM12" s="6">
        <f>COUNTIFS(Table19[Country],Tabela1[[#This Row],[Country]],Table19[Skeet Classification],"&gt;0")</f>
        <v>0</v>
      </c>
      <c r="IN12" s="6">
        <f>COUNTIFS(Table54[Country],Tabela1[[#This Row],[Country]],Table54[Mixed Skeet Team Classification],"&gt;0")</f>
        <v>0</v>
      </c>
      <c r="IO12" s="6">
        <f>COUNTIFS(Table53[Country],Tabela1[[#This Row],[Country]],Table53[Trap Classification],"&gt;0")</f>
        <v>0</v>
      </c>
      <c r="IP12" s="6">
        <f>COUNTIFS(Table19[Country],Tabela1[[#This Row],[Country]],Table19[Trap Classification],"&gt;0")</f>
        <v>0</v>
      </c>
      <c r="IQ12" s="6">
        <f>COUNTIFS(Table73[Country],Tabela1[[#This Row],[Country]],Table73[Park Classification],"&gt;0")</f>
        <v>0</v>
      </c>
      <c r="IR12" s="6">
        <f>COUNTIFS(Table74[Country],Tabela1[[#This Row],[Country]],Table74[Park Classification],"&gt;0")</f>
        <v>0</v>
      </c>
      <c r="IS12" s="6">
        <f>COUNTIFS(Table73[Country],Tabela1[[#This Row],[Country]],Table73[Street Classification],"&gt;0")</f>
        <v>0</v>
      </c>
      <c r="IT12" s="6">
        <f>COUNTIFS(Table74[Country],Tabela1[[#This Row],[Country]],Table74[Street Classification],"&gt;0")</f>
        <v>0</v>
      </c>
      <c r="IU12" s="6">
        <f>COUNTIFS(Table75[Country],Tabela1[[#This Row],[Country]],Table75[Boulder and Lead Classification],"&gt;0")</f>
        <v>0</v>
      </c>
      <c r="IV12" s="6">
        <f>COUNTIFS(Table76[Country],Tabela1[[#This Row],[Country]],Table76[Boulder and Lead Classification],"&gt;0")</f>
        <v>0</v>
      </c>
      <c r="IW12" s="6">
        <f>COUNTIFS(Table75[Country],Tabela1[[#This Row],[Country]],Table75[Speed Classification],"&gt;0")</f>
        <v>0</v>
      </c>
      <c r="IX12" s="6">
        <f>COUNTIFS(Table76[Country],Tabela1[[#This Row],[Country]],Table76[Speed Classification],"&gt;0")</f>
        <v>0</v>
      </c>
      <c r="IY12" s="6">
        <f>COUNTIFS(Table64[Country],Tabela1[[#This Row],[Country]],Table64[Shortboard Classification],"&gt;0")</f>
        <v>0</v>
      </c>
      <c r="IZ12" s="6">
        <f>COUNTIFS(Table77[Country],Tabela1[[#This Row],[Country]],Table77[Shortboard Classification],"&gt;0")</f>
        <v>0</v>
      </c>
      <c r="JA12" s="6">
        <f>COUNTIFS(Table20[Country],Tabela1[[#This Row],[Country]],Table20[50m Freestyle Classification],"&gt;0")</f>
        <v>0</v>
      </c>
      <c r="JB12" s="6">
        <f>COUNTIFS(Table21[Country],Tabela1[[#This Row],[Country]],Table21[50m Freestyle Classification],"&gt;0")</f>
        <v>0</v>
      </c>
      <c r="JC12" s="6">
        <f>COUNTIFS(Table20[Country],Tabela1[[#This Row],[Country]],Table20[100m Freestyle Classification],"&gt;0")</f>
        <v>0</v>
      </c>
      <c r="JD12" s="6">
        <f>COUNTIFS(Table21[Country],Tabela1[[#This Row],[Country]],Table21[100m Freestyle Classification],"&gt;0")</f>
        <v>0</v>
      </c>
      <c r="JE12" s="6">
        <f>COUNTIFS(Table20[Country],Tabela1[[#This Row],[Country]],Table20[200m Freestyle Classification],"&gt;0")</f>
        <v>0</v>
      </c>
      <c r="JF12" s="6">
        <f>COUNTIFS(Table21[Country],Tabela1[[#This Row],[Country]],Table21[200m Freestyle Classification],"&gt;0")</f>
        <v>0</v>
      </c>
      <c r="JG12" s="6">
        <f>COUNTIFS(Table20[Country],Tabela1[[#This Row],[Country]],Table20[400m Freestyle Classification],"&gt;0")</f>
        <v>0</v>
      </c>
      <c r="JH12" s="6">
        <f>COUNTIFS(Table21[Country],Tabela1[[#This Row],[Country]],Table21[400m Freestyle Classification],"&gt;0")</f>
        <v>0</v>
      </c>
      <c r="JI12" s="6">
        <f>COUNTIFS(Table20[Country],Tabela1[[#This Row],[Country]],Table20[800m Freestyle Classification],"&gt;0")</f>
        <v>1</v>
      </c>
      <c r="JJ12" s="6">
        <f>COUNTIFS(Table21[Country],Tabela1[[#This Row],[Country]],Table21[800m Freestyle Classification],"&gt;0")</f>
        <v>0</v>
      </c>
      <c r="JK12" s="6">
        <f>COUNTIFS(Table20[Country],Tabela1[[#This Row],[Country]],Table20[1500m Freestyle Classification],"&gt;0")</f>
        <v>1</v>
      </c>
      <c r="JL12" s="6">
        <f>COUNTIFS(Table21[Country],Tabela1[[#This Row],[Country]],Table21[1500m Freestyle Classification],"&gt;0")</f>
        <v>0</v>
      </c>
      <c r="JM12" s="6">
        <f>COUNTIFS(Table20[Country],Tabela1[[#This Row],[Country]],Table20[100m Backstroke Classification],"&gt;0")</f>
        <v>0</v>
      </c>
      <c r="JN12" s="6">
        <f>COUNTIFS(Table21[Country],Tabela1[[#This Row],[Country]],Table21[100m Backstroke Classification],"&gt;0")</f>
        <v>0</v>
      </c>
      <c r="JO12" s="6">
        <f>COUNTIFS(Table20[Country],Tabela1[[#This Row],[Country]],Table20[200m Backstroke Classification],"&gt;0")</f>
        <v>0</v>
      </c>
      <c r="JP12" s="6">
        <f>COUNTIFS(Table21[Country],Tabela1[[#This Row],[Country]],Table21[200m Backstroke Classification],"&gt;0")</f>
        <v>0</v>
      </c>
      <c r="JQ12" s="6">
        <f>COUNTIFS(Table20[Country],Tabela1[[#This Row],[Country]],Table20[100m Breaststroke Classification],"&gt;0")</f>
        <v>0</v>
      </c>
      <c r="JR12" s="6">
        <f>COUNTIFS(Table21[Country],Tabela1[[#This Row],[Country]],Table21[100m Breaststroke Classification],"&gt;0")</f>
        <v>0</v>
      </c>
      <c r="JS12" s="6">
        <f>COUNTIFS(Table20[Country],Tabela1[[#This Row],[Country]],Table20[200m Breaststroke Classification],"&gt;0")</f>
        <v>0</v>
      </c>
      <c r="JT12" s="6">
        <f>COUNTIFS(Table21[Country],Tabela1[[#This Row],[Country]],Table21[200m Breaststroke Classification],"&gt;0")</f>
        <v>0</v>
      </c>
      <c r="JU12" s="6">
        <f>COUNTIFS(Table20[Country],Tabela1[[#This Row],[Country]],Table20[100m Butterfly Classification],"&gt;0")</f>
        <v>0</v>
      </c>
      <c r="JV12" s="6">
        <f>COUNTIFS(Table21[Country],Tabela1[[#This Row],[Country]],Table21[100m Butterfly Classification],"&gt;0")</f>
        <v>0</v>
      </c>
      <c r="JW12" s="6">
        <f>COUNTIFS(Table20[Country],Tabela1[[#This Row],[Country]],Table20[200m Butterfly Classification],"&gt;0")</f>
        <v>0</v>
      </c>
      <c r="JX12" s="6">
        <f>COUNTIFS(Table21[Country],Tabela1[[#This Row],[Country]],Table21[200m Butterfly Classification],"&gt;0")</f>
        <v>0</v>
      </c>
      <c r="JY12" s="6">
        <f>COUNTIFS(Table20[Country],Tabela1[[#This Row],[Country]],Table20[200m Medley Classification],"&gt;0")</f>
        <v>0</v>
      </c>
      <c r="JZ12" s="6">
        <f>COUNTIFS(Table21[Country],Tabela1[[#This Row],[Country]],Table21[200m Medley Classification],"&gt;0")</f>
        <v>0</v>
      </c>
      <c r="KA12" s="6">
        <f>COUNTIFS(Table20[Country],Tabela1[[#This Row],[Country]],Table20[400m Medley Classification],"&gt;0")</f>
        <v>0</v>
      </c>
      <c r="KB12" s="6">
        <f>COUNTIFS(Table21[Country],Tabela1[[#This Row],[Country]],Table21[400m Medley Classification],"&gt;0")</f>
        <v>0</v>
      </c>
      <c r="KC12" s="6">
        <f>COUNTIFS(Table78[Country],Tabela1[[#This Row],[Country]],Table78[Men''s 4x100m Freestyle Relay Classification],"&gt;0")</f>
        <v>0</v>
      </c>
      <c r="KD12" s="6">
        <f>COUNTIFS(Table78[Country],Tabela1[[#This Row],[Country]],Table78[Women''s 4x100m Freestyle Relay Classification],"&gt;0")</f>
        <v>0</v>
      </c>
      <c r="KE12" s="6">
        <f>COUNTIFS(Table78[Country],Tabela1[[#This Row],[Country]],Table78[Men''s 4x200m Freestyle Relay Classification],"&gt;0")</f>
        <v>0</v>
      </c>
      <c r="KF12" s="6">
        <f>COUNTIFS(Table78[Country],Tabela1[[#This Row],[Country]],Table78[Women''s 4x200m Freestyle Relay Classification],"&gt;0")</f>
        <v>0</v>
      </c>
      <c r="KG12" s="6">
        <f>COUNTIFS(Table78[Country],Tabela1[[#This Row],[Country]],Table78[Men''s 4x100m Medley Relay Classification],"&gt;0")</f>
        <v>0</v>
      </c>
      <c r="KH12" s="6">
        <f>COUNTIFS(Table78[Country],Tabela1[[#This Row],[Country]],Table78[Women''s 4x100m Medley Relay Classification],"&gt;0")</f>
        <v>0</v>
      </c>
      <c r="KI12" s="6">
        <f>COUNTIFS(Table78[Country],Tabela1[[#This Row],[Country]],Table78[Mixed 4x100m Medley Relay Classification],"&gt;0")</f>
        <v>0</v>
      </c>
      <c r="KJ12" s="6">
        <f>COUNTIFS(Table20[Country],Tabela1[[#This Row],[Country]],Table20[10km Open Water Classification],"&gt;0")</f>
        <v>1</v>
      </c>
      <c r="KK12" s="6">
        <f>COUNTIFS(Table21[Country],Tabela1[[#This Row],[Country]],Table21[10km Open Water Classification],"&gt;0")</f>
        <v>0</v>
      </c>
      <c r="KL12" s="6">
        <f>COUNTIFS(Table22[Country],Tabela1[[#This Row],[Country]],Table22[Classification],"&gt;0")</f>
        <v>0</v>
      </c>
      <c r="KM12" s="6">
        <f>COUNTIFS(Table30[Country],Tabela1[[#This Row],[Country]],Table30[Classification],"&gt;0")</f>
        <v>0</v>
      </c>
      <c r="KN12" s="6">
        <f>COUNTIFS(Table55[Country],Tabela1[[#This Row],[Country]],Table55[Men''s Classification],"&gt;0")</f>
        <v>0</v>
      </c>
      <c r="KO12" s="6">
        <f>COUNTIFS(Table55[Country],Tabela1[[#This Row],[Country]],Table55[Women''s Classification],"&gt;0")</f>
        <v>0</v>
      </c>
      <c r="KP12" s="6">
        <f>COUNTIFS(Table56[Country],Tabela1[[#This Row],[Country]],Table56[Mixed Classification],"&gt;0")</f>
        <v>0</v>
      </c>
      <c r="KQ12" s="6">
        <f>COUNTIFS(Table29[Country],Tabela1[[#This Row],[Country]],Table29[58kg Classification],"&gt;0")</f>
        <v>0</v>
      </c>
      <c r="KR12" s="6">
        <f>COUNTIFS(Table29[Country],Tabela1[[#This Row],[Country]],Table29[68kg Classification],"&gt;0")</f>
        <v>0</v>
      </c>
      <c r="KS12" s="6">
        <f>COUNTIFS(Table29[Country],Tabela1[[#This Row],[Country]],Table29[80kg Classification],"&gt;0")</f>
        <v>0</v>
      </c>
      <c r="KT12" s="6">
        <f>COUNTIFS(Table29[Country],Tabela1[[#This Row],[Country]],Table29[Plus 80kg Classification],"&gt;0")</f>
        <v>0</v>
      </c>
      <c r="KU12" s="6">
        <f>COUNTIFS(Table34[Country],Tabela1[[#This Row],[Country]],Table34[49kg Classification],"&gt;0")</f>
        <v>0</v>
      </c>
      <c r="KV12" s="6">
        <f>COUNTIFS(Table34[Country],Tabela1[[#This Row],[Country]],Table34[57kg Classification],"&gt;0")</f>
        <v>0</v>
      </c>
      <c r="KW12" s="6">
        <f>COUNTIFS(Table34[Country],Tabela1[[#This Row],[Country]],Table34[67kg Classification],"&gt;0")</f>
        <v>0</v>
      </c>
      <c r="KX12" s="6">
        <f>COUNTIFS(Table34[Country],Tabela1[[#This Row],[Country]],Table34[Plus 67kg Classification],"&gt;0")</f>
        <v>0</v>
      </c>
      <c r="KY12" s="6">
        <f>COUNTIFS(Table57[Country],Tabela1[[#This Row],[Country]],Table57[Classification],"&gt;0")</f>
        <v>1</v>
      </c>
      <c r="KZ12" s="6">
        <f>COUNTIFS(Table58[Country],Tabela1[[#This Row],[Country]],Table58[Classification],"&gt;0")</f>
        <v>0</v>
      </c>
      <c r="LA12" s="6">
        <f>COUNTIFS(Table79[Country],Tabela1[[#This Row],[Country]],Table79[Men''s Classification],"&gt;0")</f>
        <v>0</v>
      </c>
      <c r="LB12" s="6">
        <f>COUNTIFS(Table79[Country],Tabela1[[#This Row],[Country]],Table79[Women''s Classification],"&gt;0")</f>
        <v>0</v>
      </c>
      <c r="LC12" s="6">
        <f>COUNTIFS(Table79[Country],Tabela1[[#This Row],[Country]],Table79[Mixed Classification],"&gt;0")</f>
        <v>0</v>
      </c>
      <c r="LD12" s="6">
        <f>COUNTIFS(Table65[Country],Tabela1[[#This Row],[Country]],Table65[Classification],"&gt;0")</f>
        <v>2</v>
      </c>
      <c r="LE12" s="6">
        <f>COUNTIFS(Table59[Country],Tabela1[[#This Row],[Country]],Table59[Classification],"&gt;0")</f>
        <v>0</v>
      </c>
      <c r="LF12" s="6">
        <f>COUNTIFS(Table87[Country],Tabela1[[#This Row],[Country]],Table87[Mixed Relay Classification],"&gt;0")</f>
        <v>1</v>
      </c>
      <c r="LG12" s="6">
        <f>COUNTIFS(Table91949698100[Country],Tabela1[[#This Row],[Country]],Table91949698100[Men''s Classification],"&gt;0")</f>
        <v>0</v>
      </c>
      <c r="LH12" s="6">
        <f>COUNTIFS(Table91949698100[Country],Tabela1[[#This Row],[Country]],Table91949698100[Women''s Classification],"&gt;0")</f>
        <v>0</v>
      </c>
      <c r="LI12" s="6">
        <f>COUNTIFS(Table91949698100102[Country],Tabela1[[#This Row],[Country]],Table91949698100102[Men''s Classification],"&gt;0")</f>
        <v>0</v>
      </c>
      <c r="LJ12" s="6">
        <f>COUNTIFS(Table91949698100102[Country],Tabela1[[#This Row],[Country]],Table91949698100102[Women''s Classification],"&gt;0")</f>
        <v>0</v>
      </c>
      <c r="LK12" s="6">
        <f>COUNTIFS(Table23[Country],Tabela1[[#This Row],[Country]],Table23[61kg Classification],"&gt;0")</f>
        <v>0</v>
      </c>
      <c r="LL12" s="6">
        <f>COUNTIFS(Table23[Country],Tabela1[[#This Row],[Country]],Table23[73kg Classification],"&gt;0")</f>
        <v>0</v>
      </c>
      <c r="LM12" s="6">
        <f>COUNTIFS(Table23[Country],Tabela1[[#This Row],[Country]],Table23[89kg Classification],"&gt;0")</f>
        <v>0</v>
      </c>
      <c r="LN12" s="6">
        <f>COUNTIFS(Table23[Country],Tabela1[[#This Row],[Country]],Table23[102kg Classification],"&gt;0")</f>
        <v>0</v>
      </c>
      <c r="LO12" s="6">
        <f>COUNTIFS(Table23[Country],Tabela1[[#This Row],[Country]],Table23[Plus 102kg Classification],"&gt;0")</f>
        <v>0</v>
      </c>
      <c r="LP12" s="6">
        <f>COUNTIFS(Table28[Country],Tabela1[[#This Row],[Country]],Table28[49kg Classification],"&gt;0")</f>
        <v>0</v>
      </c>
      <c r="LQ12" s="6">
        <f>COUNTIFS(Table28[Country],Tabela1[[#This Row],[Country]],Table28[59kg Classification],"&gt;0")</f>
        <v>0</v>
      </c>
      <c r="LR12" s="6">
        <f>COUNTIFS(Table28[Country],Tabela1[[#This Row],[Country]],Table28[71kg Classification],"&gt;0")</f>
        <v>0</v>
      </c>
      <c r="LS12" s="6">
        <f>COUNTIFS(Table28[Country],Tabela1[[#This Row],[Country]],Table28[81kg Classification],"&gt;0")</f>
        <v>0</v>
      </c>
      <c r="LT12" s="6">
        <f>COUNTIFS(Table28[Country],Tabela1[[#This Row],[Country]],Table28[Plus 81kg Classification],"&gt;0")</f>
        <v>0</v>
      </c>
      <c r="LU12" s="6">
        <f>COUNTIFS(Table24[Country],Tabela1[[#This Row],[Country]],Table24[Freestyle 57kg Classification],"&gt;0")</f>
        <v>0</v>
      </c>
      <c r="LV12" s="6">
        <f>COUNTIFS(Table24[Country],Tabela1[[#This Row],[Country]],Table24[Freestyle 65kg Classification],"&gt;0")</f>
        <v>0</v>
      </c>
      <c r="LW12" s="6">
        <f>COUNTIFS(Table24[Country],Tabela1[[#This Row],[Country]],Table24[Freestyle 74kg Classification],"&gt;0")</f>
        <v>0</v>
      </c>
      <c r="LX12" s="6">
        <f>COUNTIFS(Table24[Country],Tabela1[[#This Row],[Country]],Table24[Freestyle 86kg Classification],"&gt;0")</f>
        <v>0</v>
      </c>
      <c r="LY12" s="6">
        <f>COUNTIFS(Table24[Country],Tabela1[[#This Row],[Country]],Table24[Freestyle 97kg Classification],"&gt;0")</f>
        <v>0</v>
      </c>
      <c r="LZ12" s="6">
        <f>COUNTIFS(Table24[Country],Tabela1[[#This Row],[Country]],Table24[Freestyle 125kg Classification],"&gt;0")</f>
        <v>0</v>
      </c>
      <c r="MA12" s="6">
        <f>COUNTIFS(Table24[Country],Tabela1[[#This Row],[Country]],Table24[Greco-Roman 60kg Classification],"&gt;0")</f>
        <v>0</v>
      </c>
      <c r="MB12" s="6">
        <f>COUNTIFS(Table24[Country],Tabela1[[#This Row],[Country]],Table24[Greco-Roman 67kg Classification],"&gt;0")</f>
        <v>0</v>
      </c>
      <c r="MC12" s="6">
        <f>COUNTIFS(Table24[Country],Tabela1[[#This Row],[Country]],Table24[Greco-Roman 77kg Classification],"&gt;0")</f>
        <v>0</v>
      </c>
      <c r="MD12" s="6">
        <f>COUNTIFS(Table24[Country],Tabela1[[#This Row],[Country]],Table24[Greco-Roman 87kg Classification],"&gt;0")</f>
        <v>0</v>
      </c>
      <c r="ME12" s="6">
        <f>COUNTIFS(Table24[Country],Tabela1[[#This Row],[Country]],Table24[Greco-Roman 97kg Classification],"&gt;0")</f>
        <v>0</v>
      </c>
      <c r="MF12" s="6">
        <f>COUNTIFS(Table24[Country],Tabela1[[#This Row],[Country]],Table24[Greco-Roman 130kg Classification],"&gt;0")</f>
        <v>0</v>
      </c>
      <c r="MG12" s="6">
        <f>COUNTIFS(Table31[Country],Tabela1[[#This Row],[Country]],Table31[50kg Classification],"&gt;0")</f>
        <v>0</v>
      </c>
      <c r="MH12" s="6">
        <f>COUNTIFS(Table31[Country],Tabela1[[#This Row],[Country]],Table31[53kg Classification],"&gt;0")</f>
        <v>0</v>
      </c>
      <c r="MI12" s="6">
        <f>COUNTIFS(Table31[Country],Tabela1[[#This Row],[Country]],Table31[57kg Classification],"&gt;0")</f>
        <v>0</v>
      </c>
      <c r="MJ12" s="6">
        <f>COUNTIFS(Table31[Country],Tabela1[[#This Row],[Country]],Table31[62kg Classification],"&gt;0")</f>
        <v>0</v>
      </c>
      <c r="MK12" s="6">
        <f>COUNTIFS(Table31[Country],Tabela1[[#This Row],[Country]],Table31[68kg Classification],"&gt;0")</f>
        <v>0</v>
      </c>
      <c r="ML12" s="6">
        <f>COUNTIFS(Table31[Country],Tabela1[[#This Row],[Country]],Table31[76kg Classification],"&gt;0")</f>
        <v>0</v>
      </c>
      <c r="MM12" s="6">
        <f>COUNTIFS(Table102[Country],Tabela1[[#This Row],[Country]],Table102[Downhill Classification],"&gt;0")</f>
        <v>1</v>
      </c>
      <c r="MN12" s="6">
        <f>COUNTIFS(Table102105[Country],Tabela1[[#This Row],[Country]],Table102105[Downhill Classification],"&gt;0")</f>
        <v>0</v>
      </c>
      <c r="MO12" s="6">
        <f>COUNTIFS(Table102[Country],Tabela1[[#This Row],[Country]],Table102[Giant Slalom Classification],"&gt;0")</f>
        <v>2</v>
      </c>
      <c r="MP12" s="6">
        <f>COUNTIFS(Table102105[Country],Tabela1[[#This Row],[Country]],Table102105[Giant Slalom Classification],"&gt;0")</f>
        <v>1</v>
      </c>
      <c r="MQ12" s="6">
        <f>COUNTIFS(Table102[Country],Tabela1[[#This Row],[Country]],Table102[Slalom Classification],"&gt;0")</f>
        <v>2</v>
      </c>
      <c r="MR12" s="6">
        <f>COUNTIFS(Table102105[Country],Tabela1[[#This Row],[Country]],Table102105[Slalom Classification],"&gt;0")</f>
        <v>1</v>
      </c>
      <c r="MS12" s="6">
        <f>COUNTIFS(Table102[Country],Tabela1[[#This Row],[Country]],Table102[Super-G Classification],"&gt;0")</f>
        <v>1</v>
      </c>
      <c r="MT12" s="6">
        <f>COUNTIFS(Table102105[Country],Tabela1[[#This Row],[Country]],Table102105[Super-G Classification],"&gt;0")</f>
        <v>0</v>
      </c>
      <c r="MU12" s="6">
        <f>COUNTIFS(Table105[Country],Tabela1[[#This Row],[Country]],Table105[Men''s Combined Classification],"&gt;0")</f>
        <v>2</v>
      </c>
      <c r="MV12" s="6">
        <f>COUNTIFS(Table105[Country],Tabela1[[#This Row],[Country]],Table105[Women''s Combined Classification],"&gt;0")</f>
        <v>0</v>
      </c>
      <c r="MW12" s="6">
        <f>COUNTIFS(Table106[Country],Tabela1[[#This Row],[Country]],Table106[Individual Classification],"&gt;0")</f>
        <v>1</v>
      </c>
      <c r="MX12" s="6">
        <f>COUNTIFS(Table106109[Country],Tabela1[[#This Row],[Country]],Table106109[Individual Classification],"&gt;0")</f>
        <v>2</v>
      </c>
      <c r="MY12" s="6">
        <f>COUNTIFS(Table106[Country],Tabela1[[#This Row],[Country]],Table106[Mass Start Classification],"&gt;0")</f>
        <v>2</v>
      </c>
      <c r="MZ12" s="6">
        <f>COUNTIFS(Table106109[Country],Tabela1[[#This Row],[Country]],Table106109[Mass Start Classification],"&gt;0")</f>
        <v>1</v>
      </c>
      <c r="NA12" s="6">
        <f>COUNTIFS(Table106[Country],Tabela1[[#This Row],[Country]],Table106[Pursuit Classification],"&gt;0")</f>
        <v>2</v>
      </c>
      <c r="NB12" s="6">
        <f>COUNTIFS(Table106109[Country],Tabela1[[#This Row],[Country]],Table106109[Pursuit Classification],"&gt;0")</f>
        <v>2</v>
      </c>
      <c r="NC12" s="6">
        <f>COUNTIFS(Table106[Country],Tabela1[[#This Row],[Country]],Table106[Sprint Classification],"&gt;0")</f>
        <v>2</v>
      </c>
      <c r="ND12" s="6">
        <f>COUNTIFS(Table106109[Country],Tabela1[[#This Row],[Country]],Table106109[Sprint Classification],"&gt;0")</f>
        <v>2</v>
      </c>
      <c r="NE12" s="6">
        <f>COUNTIFS(Table109[Country],Tabela1[[#This Row],[Country]],Table109[Men''s Relay Classification],"&gt;0")</f>
        <v>1</v>
      </c>
      <c r="NF12" s="6">
        <f>COUNTIFS(Table109[Country],Tabela1[[#This Row],[Country]],Table109[Women''s Relay Classification],"&gt;0")</f>
        <v>1</v>
      </c>
      <c r="NG12" s="6">
        <f>COUNTIFS(Table109[Country],Tabela1[[#This Row],[Country]],Table109[Mixed Relay Classification],"&gt;0")</f>
        <v>1</v>
      </c>
      <c r="NH12" s="6">
        <f>COUNTIFS(Table110[Country],Tabela1[[#This Row],[Country]],Table110[Monobob Classification],"&gt;0")</f>
        <v>0</v>
      </c>
      <c r="NI12" s="6">
        <f>COUNTIFS(Table111[Country],Tabela1[[#This Row],[Country]],Table111[Men''s Classification],"&gt;0")</f>
        <v>0</v>
      </c>
      <c r="NJ12" s="6">
        <f>COUNTIFS(Table111[Country],Tabela1[[#This Row],[Country]],Table111[Women''s Classification],"&gt;0")</f>
        <v>0</v>
      </c>
      <c r="NK12" s="6">
        <f>COUNTIFS(Table112[Country],Tabela1[[#This Row],[Country]],Table112[Men''s Four Classification],"&gt;0")</f>
        <v>0</v>
      </c>
      <c r="NL12" s="6">
        <f>COUNTIFS(Table113[Country],Tabela1[[#This Row],[Country]],Table113[Classical Classification],"&gt;0")</f>
        <v>1</v>
      </c>
      <c r="NM12" s="6">
        <f>COUNTIFS(Table113116[Country],Tabela1[[#This Row],[Country]],Table113116[Classical Classification],"&gt;0")</f>
        <v>3</v>
      </c>
      <c r="NN12" s="6">
        <f>COUNTIFS(Table113[Country],Tabela1[[#This Row],[Country]],Table113[Freestyle Classification],"&gt;0")</f>
        <v>1</v>
      </c>
      <c r="NO12" s="6">
        <f>COUNTIFS(Table113116[Country],Tabela1[[#This Row],[Country]],Table113116[Freestyle Classification],"&gt;0")</f>
        <v>3</v>
      </c>
      <c r="NP12" s="6">
        <f>COUNTIFS(Table117[Country],Tabela1[[#This Row],[Country]],Table117[Men''s Relay Classification],"&gt;0")</f>
        <v>1</v>
      </c>
      <c r="NQ12" s="6">
        <f>COUNTIFS(Table117[Country],Tabela1[[#This Row],[Country]],Table117[Women''s Relay Classification],"&gt;0")</f>
        <v>1</v>
      </c>
      <c r="NR12" s="6">
        <f>COUNTIFS(Table113[Country],Tabela1[[#This Row],[Country]],Table113[Skiathlon Classification],"&gt;0")</f>
        <v>0</v>
      </c>
      <c r="NS12" s="6">
        <f>COUNTIFS(Table113116[Country],Tabela1[[#This Row],[Country]],Table113116[Skiathlon Classification],"&gt;0")</f>
        <v>3</v>
      </c>
      <c r="NT12" s="6">
        <f>COUNTIFS(Table113[Country],Tabela1[[#This Row],[Country]],Table113[Sprint Classification],"&gt;0")</f>
        <v>1</v>
      </c>
      <c r="NU12" s="6">
        <f>COUNTIFS(Table113116[Country],Tabela1[[#This Row],[Country]],Table113116[Sprint Classification],"&gt;0")</f>
        <v>0</v>
      </c>
      <c r="NV12" s="6">
        <f>COUNTIFS(Table116[Country],Tabela1[[#This Row],[Country]],Table116[Men''s Team Sprint Classification],"&gt;0")</f>
        <v>1</v>
      </c>
      <c r="NW12" s="6">
        <f>COUNTIFS(Table116[Country],Tabela1[[#This Row],[Country]],Table116[Women''s Team Sprint Classification],"&gt;0")</f>
        <v>1</v>
      </c>
      <c r="NX12" s="6">
        <f>COUNTIFS(Table119[Country],Tabela1[[#This Row],[Country]],Table119[Men''s Classification],"&gt;0")</f>
        <v>1</v>
      </c>
      <c r="NY12" s="6">
        <f>COUNTIFS(Table119[Country],Tabela1[[#This Row],[Country]],Table119[Women''s Classification],"&gt;0")</f>
        <v>0</v>
      </c>
      <c r="NZ12" s="6">
        <f>COUNTIFS(Table118[Country],Tabela1[[#This Row],[Country]],Table118[Mixed Classification],"&gt;0")</f>
        <v>1</v>
      </c>
      <c r="OA12" s="6">
        <f>COUNTIFS(Table120[Country],Tabela1[[#This Row],[Country]],Table120[Classification],"&gt;0")</f>
        <v>0</v>
      </c>
      <c r="OB12" s="6">
        <f>COUNTIFS(Table120123[Country],Tabela1[[#This Row],[Country]],Table120123[Classification],"&gt;0")</f>
        <v>0</v>
      </c>
      <c r="OC12" s="6">
        <f>COUNTIFS(Table123[Country],Tabela1[[#This Row],[Country]],Table123[Ice Dance Classification],"&gt;0")</f>
        <v>0</v>
      </c>
      <c r="OD12" s="6">
        <f>COUNTIFS(Table123[Country],Tabela1[[#This Row],[Country]],Table123[Pair Skating Classification],"&gt;0")</f>
        <v>0</v>
      </c>
      <c r="OE12" s="6">
        <f>COUNTIFS(Table124[Country],Tabela1[[#This Row],[Country]],Table124[Mixed Classification],"&gt;0")</f>
        <v>0</v>
      </c>
      <c r="OF12" s="6">
        <f>COUNTIFS(Table125[Country],Tabela1[[#This Row],[Country]],Table125[Aerials Classification],"&gt;0")</f>
        <v>0</v>
      </c>
      <c r="OG12" s="6">
        <f>COUNTIFS(Table125128[Country],Tabela1[[#This Row],[Country]],Table125128[Aerials Classification],"&gt;0")</f>
        <v>0</v>
      </c>
      <c r="OH12" s="6">
        <f>COUNTIFS(Table128[Country],Tabela1[[#This Row],[Country]],Table128[Mixed Aerials Classification],"&gt;0")</f>
        <v>0</v>
      </c>
      <c r="OI12" s="6">
        <f>COUNTIFS(Table125[Country],Tabela1[[#This Row],[Country]],Table125[Big Air Classification],"&gt;0")</f>
        <v>2</v>
      </c>
      <c r="OJ12" s="6">
        <f>COUNTIFS(Table125128[Country],Tabela1[[#This Row],[Country]],Table125128[Big Air Classification],"&gt;0")</f>
        <v>0</v>
      </c>
      <c r="OK12" s="6">
        <f>COUNTIFS(Table125[Country],Tabela1[[#This Row],[Country]],Table125[Dual Moguls Classification],"&gt;0")</f>
        <v>0</v>
      </c>
      <c r="OL12" s="6">
        <f>COUNTIFS(Table125128[Country],Tabela1[[#This Row],[Country]],Table125128[Dual Moguls Classification],"&gt;0")</f>
        <v>0</v>
      </c>
      <c r="OM12" s="6">
        <f>COUNTIFS(Table125[Country],Tabela1[[#This Row],[Country]],Table125[Halfpipe Classification],"&gt;0")</f>
        <v>0</v>
      </c>
      <c r="ON12" s="6">
        <f>COUNTIFS(Table125128[Country],Tabela1[[#This Row],[Country]],Table125128[Halfpipe Classification],"&gt;0")</f>
        <v>0</v>
      </c>
      <c r="OO12" s="6">
        <f>COUNTIFS(Table125[Country],Tabela1[[#This Row],[Country]],Table125[Moguls Classification],"&gt;0")</f>
        <v>0</v>
      </c>
      <c r="OP12" s="6">
        <f>COUNTIFS(Table125128[Country],Tabela1[[#This Row],[Country]],Table125128[Moguls Classification],"&gt;0")</f>
        <v>0</v>
      </c>
      <c r="OQ12" s="6">
        <f>COUNTIFS(Table125[Country],Tabela1[[#This Row],[Country]],Table125[Ski Cross Classification],"&gt;0")</f>
        <v>0</v>
      </c>
      <c r="OR12" s="6">
        <f>COUNTIFS(Table125128[Country],Tabela1[[#This Row],[Country]],Table125128[Ski Cross Classification],"&gt;0")</f>
        <v>0</v>
      </c>
      <c r="OS12" s="6">
        <f>COUNTIFS(Table125[Country],Tabela1[[#This Row],[Country]],Table125[Slopestyle Classification],"&gt;0")</f>
        <v>2</v>
      </c>
      <c r="OT12" s="6">
        <f>COUNTIFS(Table125128[Country],Tabela1[[#This Row],[Country]],Table125128[Slopestyle Classification],"&gt;0")</f>
        <v>0</v>
      </c>
      <c r="OU12" s="6">
        <f>COUNTIFS(Table119131[Country],Tabela1[[#This Row],[Country]],Table119131[Men''s Classification],"&gt;0")</f>
        <v>0</v>
      </c>
      <c r="OV12" s="6">
        <f>COUNTIFS(Table119131[Country],Tabela1[[#This Row],[Country]],Table119131[Women''s Classification],"&gt;0")</f>
        <v>0</v>
      </c>
      <c r="OW12" s="6">
        <f>COUNTIFS(Table131[Country],Tabela1[[#This Row],[Country]],Table131[Classification],"&gt;0")</f>
        <v>0</v>
      </c>
      <c r="OX12" s="6">
        <f>COUNTIFS(Table131134[Country],Tabela1[[#This Row],[Country]],Table131134[Classification],"&gt;0")</f>
        <v>0</v>
      </c>
      <c r="OY12" s="6">
        <f>COUNTIFS(Table134[Country],Tabela1[[#This Row],[Country]],Table134[Men''s Classification],"&gt;0")</f>
        <v>0</v>
      </c>
      <c r="OZ12" s="6">
        <f>COUNTIFS(Table134[Country],Tabela1[[#This Row],[Country]],Table134[Women''s Classification],"&gt;0")</f>
        <v>0</v>
      </c>
      <c r="PA12" s="6">
        <f>COUNTIFS(Table135[Country],Tabela1[[#This Row],[Country]],Table135[Mixed Relay Classification],"&gt;0")</f>
        <v>0</v>
      </c>
      <c r="PB12" s="6">
        <f>COUNTIFS(Table136[Country],Tabela1[[#This Row],[Country]],Table136[Individual Classification],"&gt;0")</f>
        <v>3</v>
      </c>
      <c r="PC12" s="6">
        <f>COUNTIFS(Table136[Country],Tabela1[[#This Row],[Country]],Table136[Sprint Classification],"&gt;0")</f>
        <v>3</v>
      </c>
      <c r="PD12" s="6">
        <f>COUNTIFS(Table137[Country],Tabela1[[#This Row],[Country]],Table137[Men''s Team Sprint Large Hill Classification],"&gt;0")</f>
        <v>1</v>
      </c>
      <c r="PE12" s="6">
        <f>COUNTIFS(Table138[Country],Tabela1[[#This Row],[Country]],Table138[500m Classification],"&gt;0")</f>
        <v>0</v>
      </c>
      <c r="PF12" s="6">
        <f>COUNTIFS(Table138141[Country],Tabela1[[#This Row],[Country]],Table138141[500m Classification],"&gt;0")</f>
        <v>0</v>
      </c>
      <c r="PG12" s="6">
        <f>COUNTIFS(Table138[Country],Tabela1[[#This Row],[Country]],Table138[1000m Classification],"&gt;0")</f>
        <v>0</v>
      </c>
      <c r="PH12" s="6">
        <f>COUNTIFS(Table138141[Country],Tabela1[[#This Row],[Country]],Table138141[1000m Classification],"&gt;0")</f>
        <v>0</v>
      </c>
      <c r="PI12" s="6">
        <f>COUNTIFS(Table138[Country],Tabela1[[#This Row],[Country]],Table138[1500m Classification],"&gt;0")</f>
        <v>0</v>
      </c>
      <c r="PJ12" s="6">
        <f>COUNTIFS(Table138141[Country],Tabela1[[#This Row],[Country]],Table138141[1500m Classification],"&gt;0")</f>
        <v>0</v>
      </c>
      <c r="PK12" s="6">
        <f>COUNTIFS(Table141[Country],Tabela1[[#This Row],[Country]],Table141[Men''s 5000m Relay Classification],"&gt;0")</f>
        <v>0</v>
      </c>
      <c r="PL12" s="6">
        <f>COUNTIFS(Table141[Country],Tabela1[[#This Row],[Country]],Table141[Women''s 3000m Relay Classification],"&gt;0")</f>
        <v>0</v>
      </c>
      <c r="PM12" s="6">
        <f>COUNTIFS(Table141[Country],Tabela1[[#This Row],[Country]],Table141[Mixed 2000m Relay Classification],"&gt;0")</f>
        <v>0</v>
      </c>
      <c r="PN12" s="6">
        <f>COUNTIFS(Table142[Country],Tabela1[[#This Row],[Country]],Table142[Classification],"&gt;0")</f>
        <v>0</v>
      </c>
      <c r="PO12" s="6">
        <f>COUNTIFS(Table142145[Country],Tabela1[[#This Row],[Country]],Table142145[Classification],"&gt;0")</f>
        <v>0</v>
      </c>
      <c r="PP12" s="6">
        <f>COUNTIFS(Tabela15[Country],Tabela1[[#This Row],[Country]],Tabela15[Mixed Team Classification],"&gt;0")</f>
        <v>0</v>
      </c>
      <c r="PQ12" s="6">
        <f>COUNTIFS(Table145[Country],Tabela1[[#This Row],[Country]],Table145[Large Hill Classification],"&gt;0")</f>
        <v>0</v>
      </c>
      <c r="PR12" s="6">
        <f>COUNTIFS(Table145[Country],Tabela1[[#This Row],[Country]],Table145[Normal Hill Classification],"&gt;0")</f>
        <v>0</v>
      </c>
      <c r="PS12" s="6">
        <f>COUNTIFS(Table145148[Country],Tabela1[[#This Row],[Country]],Table145148[Large Hill Classification],"&gt;0")</f>
        <v>1</v>
      </c>
      <c r="PT12" s="6">
        <f>COUNTIFS(Table145148[Country],Tabela1[[#This Row],[Country]],Table145148[Normal Hill Classification],"&gt;0")</f>
        <v>1</v>
      </c>
      <c r="PU12" s="6">
        <f>COUNTIFS(Table148[Country],Tabela1[[#This Row],[Country]],Table148[Men''s Super Team Classification],"&gt;0")</f>
        <v>0</v>
      </c>
      <c r="PV12" s="6">
        <f>COUNTIFS(Tabela114[Country],Tabela1[[#This Row],[Country]],Tabela114[Mixed Normal Hill Classification],"&gt;0")</f>
        <v>0</v>
      </c>
      <c r="PW12" s="6">
        <f>COUNTIFS(Tabela50[Country],Tabela1[[#This Row],[Country]],Tabela50[Sprint Classification],"&gt;0")</f>
        <v>0</v>
      </c>
      <c r="PX12" s="6">
        <f>COUNTIFS(Tabela50101[Country],Tabela1[[#This Row],[Country]],Tabela50101[Sprint Classification],"&gt;0")</f>
        <v>0</v>
      </c>
      <c r="PY12" s="6">
        <f>COUNTIFS(Tabela103[Country],Tabela1[[#This Row],[Country]],Tabela103[Mixed Relay Classification],"&gt;0")</f>
        <v>0</v>
      </c>
      <c r="PZ12" s="6">
        <f>COUNTIFS(Table149[Country],Tabela1[[#This Row],[Country]],Table149[Big Air Classification],"&gt;0")</f>
        <v>1</v>
      </c>
      <c r="QA12" s="6">
        <f>COUNTIFS(Table149152[Country],Tabela1[[#This Row],[Country]],Table149152[Big Air Classification],"&gt;0")</f>
        <v>0</v>
      </c>
      <c r="QB12" s="6">
        <f>COUNTIFS(Table149[Country],Tabela1[[#This Row],[Country]],Table149[Halfpipe Classification],"&gt;0")</f>
        <v>0</v>
      </c>
      <c r="QC12" s="6">
        <f>COUNTIFS(Table149152[Country],Tabela1[[#This Row],[Country]],Table149152[Halfpipe Classification],"&gt;0")</f>
        <v>0</v>
      </c>
      <c r="QD12" s="6">
        <f>COUNTIFS(Table149[Country],Tabela1[[#This Row],[Country]],Table149[Parallel Giant Slalom Classification],"&gt;0")</f>
        <v>0</v>
      </c>
      <c r="QE12" s="6">
        <f>COUNTIFS(Table149152[Country],Tabela1[[#This Row],[Country]],Table149152[Parallel Giant Slalom Classification],"&gt;0")</f>
        <v>0</v>
      </c>
      <c r="QF12" s="6">
        <f>COUNTIFS(Table149[Country],Tabela1[[#This Row],[Country]],Table149[Slopestyle Classification],"&gt;0")</f>
        <v>1</v>
      </c>
      <c r="QG12" s="6">
        <f>COUNTIFS(Table149152[Country],Tabela1[[#This Row],[Country]],Table149152[Slopestyle Classification],"&gt;0")</f>
        <v>0</v>
      </c>
      <c r="QH12" s="6">
        <f>COUNTIFS(Table149[Country],Tabela1[[#This Row],[Country]],Table149[Snowboard Cross Classification],"&gt;0")</f>
        <v>0</v>
      </c>
      <c r="QI12" s="6">
        <f>COUNTIFS(Table149152[Country],Tabela1[[#This Row],[Country]],Table149152[Snowboard Cross Classification],"&gt;0")</f>
        <v>0</v>
      </c>
      <c r="QJ12" s="6">
        <f>COUNTIFS(Table153[Country],Tabela1[[#This Row],[Country]],Table153[Mixed Team Snowboard Cross Classification],"&gt;0")</f>
        <v>0</v>
      </c>
      <c r="QK12" s="6">
        <f>COUNTIFS(Table154[Country],Tabela1[[#This Row],[Country]],Table154[500m Classification],"&gt;0")</f>
        <v>1</v>
      </c>
      <c r="QL12" s="6">
        <f>COUNTIFS(Table154157[Country],Tabela1[[#This Row],[Country]],Table154157[500m Classification],"&gt;0")</f>
        <v>1</v>
      </c>
      <c r="QM12" s="6">
        <f>COUNTIFS(Table154[Country],Tabela1[[#This Row],[Country]],Table154[1000m Classification],"&gt;0")</f>
        <v>1</v>
      </c>
      <c r="QN12" s="6">
        <f>COUNTIFS(Table154157[Country],Tabela1[[#This Row],[Country]],Table154157[1000m Classification],"&gt;0")</f>
        <v>0</v>
      </c>
      <c r="QO12" s="6">
        <f>COUNTIFS(Table154[Country],Tabela1[[#This Row],[Country]],Table154[1500m Classification],"&gt;0")</f>
        <v>1</v>
      </c>
      <c r="QP12" s="6">
        <f>COUNTIFS(Table154157[Country],Tabela1[[#This Row],[Country]],Table154157[1500m Classification],"&gt;0")</f>
        <v>0</v>
      </c>
      <c r="QQ12" s="6">
        <f>COUNTIFS(Table154157[Country],Tabela1[[#This Row],[Country]],Table154157[3000m Classification],"&gt;0")</f>
        <v>0</v>
      </c>
      <c r="QR12" s="6">
        <f>COUNTIFS(Table154[Country],Tabela1[[#This Row],[Country]],Table154[5000m Classification],"&gt;0")</f>
        <v>1</v>
      </c>
      <c r="QS12" s="6">
        <f>COUNTIFS(Table154157[Country],Tabela1[[#This Row],[Country]],Table154157[5000m Classification],"&gt;0")</f>
        <v>0</v>
      </c>
      <c r="QT12" s="6">
        <f>COUNTIFS(Table154[Country],Tabela1[[#This Row],[Country]],Table154[10000m Classification],"&gt;0")</f>
        <v>0</v>
      </c>
      <c r="QU12" s="6">
        <f>COUNTIFS(Table154[Country],Tabela1[[#This Row],[Country]],Table154[Mass Start Classification],"&gt;0")</f>
        <v>0</v>
      </c>
      <c r="QV12" s="6">
        <f>COUNTIFS(Table154157[Country],Tabela1[[#This Row],[Country]],Table154157[Mass Start Classification],"&gt;0")</f>
        <v>0</v>
      </c>
      <c r="QW12" s="6">
        <f>COUNTIFS(Table157[Country],Tabela1[[#This Row],[Country]],Table157[Men''s Pursuit Classification],"&gt;0")</f>
        <v>1</v>
      </c>
      <c r="QX12" s="6">
        <f>COUNTIFS(Table157[Country],Tabela1[[#This Row],[Country]],Table157[Women''s Pursuit Classification],"&gt;0")</f>
        <v>0</v>
      </c>
      <c r="QY12" s="3" t="s">
        <v>365</v>
      </c>
    </row>
    <row r="13" spans="1:467" x14ac:dyDescent="0.3">
      <c r="A13" s="6">
        <v>12</v>
      </c>
      <c r="B13" s="6" t="s">
        <v>394</v>
      </c>
      <c r="C13" t="e" vm="12">
        <f>IF(ISBLANK(Tabela1[[#This Row],[Image Link]]), "", _xlfn.IMAGE(Tabela1[[#This Row],[Image Link]],1,1))</f>
        <v>#VALUE!</v>
      </c>
      <c r="D13" s="6">
        <f>SUM(Tabela1[[#This Row],[Archery - Men''s Individual Recurve]:[Speed Skating - Women''s Team Pursuit]])</f>
        <v>102</v>
      </c>
      <c r="E13" s="6">
        <f>COUNTIF(Tabela1[[#This Row],[Archery - Men''s Individual Recurve]:[Speed Skating - Women''s Team Pursuit]],"&gt;0")</f>
        <v>91</v>
      </c>
      <c r="F13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3" s="6">
        <f>SUM(Tabela1[[#This Row],[Archery - Men''s Individual Recurve]:[Wrestling - Women''s Freestyle 76kg]])</f>
        <v>64</v>
      </c>
      <c r="H13" s="6">
        <f>SUM(Tabela1[[#This Row],[Alpine Skiing - Men''s Downhill]:[Speed Skating - Women''s Team Pursuit]])</f>
        <v>38</v>
      </c>
      <c r="I13" s="6">
        <f>Tabela1[[#This Row],[Summer Gold Medals]]+Tabela1[[#This Row],[Winter Gold Medals]]</f>
        <v>1</v>
      </c>
      <c r="J13" s="6">
        <f>Tabela1[[#This Row],[Summer Silver Medals]]+Tabela1[[#This Row],[Winter Silver Medals]]</f>
        <v>7</v>
      </c>
      <c r="K13" s="6">
        <f>Tabela1[[#This Row],[Summer Bronze Medals]]+Tabela1[[#This Row],[Winter Bronze Medals]]</f>
        <v>6</v>
      </c>
      <c r="L13" s="6">
        <f>SUM(Tabela1[[#This Row],[Total Gold Medals]:[Total Bronze Medals]])</f>
        <v>14</v>
      </c>
      <c r="M13" s="6">
        <v>1</v>
      </c>
      <c r="N13" s="6">
        <v>4</v>
      </c>
      <c r="O13" s="6">
        <v>5</v>
      </c>
      <c r="P13" s="6">
        <f>SUM(Tabela1[[#This Row],[Summer Gold Medals]:[Summer Bronze Medals]])</f>
        <v>10</v>
      </c>
      <c r="Q13" s="6"/>
      <c r="R13" s="6">
        <v>3</v>
      </c>
      <c r="S13" s="6">
        <v>1</v>
      </c>
      <c r="T13" s="6">
        <f>Tabela1[[#This Row],[Winter Gold Medals]]+Tabela1[[#This Row],[Winter Silver Medals]]+Tabela1[[#This Row],[Winter Bronze Medals]]</f>
        <v>4</v>
      </c>
      <c r="U13" s="7">
        <f>Tabela1[[#This Row],[Total Medals]]/Tabela1[[#This Row],[Total Quotas]]</f>
        <v>0.13725490196078433</v>
      </c>
      <c r="V13" s="6">
        <f>COUNTIFS(Table3[Country],Tabela1[[#This Row],[Country]],Table3[Recurve Classification],"&gt;0")</f>
        <v>0</v>
      </c>
      <c r="W13" s="6">
        <f>COUNTIFS(Table33[Country],Tabela1[[#This Row],[Country]],Table33[Recurve Classification],"&gt;0")</f>
        <v>0</v>
      </c>
      <c r="X13" s="6">
        <f>COUNTIFS(Table35[Country],Tabela1[[#This Row],[Country]],Table35[Men''s Team Recurve Classification],"&gt;0")</f>
        <v>0</v>
      </c>
      <c r="Y13" s="6">
        <f>COUNTIFS(Table35[Country],Tabela1[[#This Row],[Country]],Table35[Women''s Team Recurve Classification],"&gt;0")</f>
        <v>0</v>
      </c>
      <c r="Z13" s="6">
        <f>COUNTIFS(Tabela88[Country],Tabela1[[#This Row],[Country]],Tabela88[Mixed Team Recurve Classification],"&gt;0")</f>
        <v>0</v>
      </c>
      <c r="AA13" s="6">
        <f>COUNTIFS(Table36[Country],Tabela1[[#This Row],[Country]],Table36[Classification],"&gt;0")</f>
        <v>0</v>
      </c>
      <c r="AB13" s="6">
        <f>COUNTIFS(Table37[Country],Tabela1[[#This Row],[Country]],Table37[Classification],"&gt;0")</f>
        <v>0</v>
      </c>
      <c r="AC13" s="6">
        <f>COUNTIFS(Table4[Country],Tabela1[[#This Row],[Country]],Table4[100m Classification],"&gt;0")</f>
        <v>0</v>
      </c>
      <c r="AD13" s="6">
        <f>COUNTIFS(Table5[Country],Tabela1[[#This Row],[Country]],Table5[100m Classification],"&gt;0")</f>
        <v>0</v>
      </c>
      <c r="AE13" s="6">
        <f>COUNTIFS(Table4[Country],Tabela1[[#This Row],[Country]],Table4[200m Classification],"&gt;0")</f>
        <v>0</v>
      </c>
      <c r="AF13" s="6">
        <f>COUNTIFS(Table5[Country],Tabela1[[#This Row],[Country]],Table5[200m Classification],"&gt;0")</f>
        <v>0</v>
      </c>
      <c r="AG13" s="6">
        <f>COUNTIFS(Table4[Country],Tabela1[[#This Row],[Country]],Table4[400m Classification],"&gt;0")</f>
        <v>0</v>
      </c>
      <c r="AH13" s="6">
        <f>COUNTIFS(Table5[Country],Tabela1[[#This Row],[Country]],Table5[400m Classification],"&gt;0")</f>
        <v>0</v>
      </c>
      <c r="AI13" s="6">
        <f>COUNTIFS(Table4[Country],Tabela1[[#This Row],[Country]],Table4[800m Classification],"&gt;0")</f>
        <v>1</v>
      </c>
      <c r="AJ13" s="6">
        <f>COUNTIFS(Table5[Country],Tabela1[[#This Row],[Country]],Table5[800m Classification],"&gt;0")</f>
        <v>0</v>
      </c>
      <c r="AK13" s="6">
        <f>COUNTIFS(Table4[Country],Tabela1[[#This Row],[Country]],Table4[1500m Classification],"&gt;0")</f>
        <v>0</v>
      </c>
      <c r="AL13" s="6">
        <f>COUNTIFS(Table5[Country],Tabela1[[#This Row],[Country]],Table5[1500m Classification],"&gt;0")</f>
        <v>2</v>
      </c>
      <c r="AM13" s="6">
        <f>COUNTIFS(Table4[Country],Tabela1[[#This Row],[Country]],Table4[5000m Classification],"&gt;0")</f>
        <v>0</v>
      </c>
      <c r="AN13" s="6">
        <f>COUNTIFS(Table5[Country],Tabela1[[#This Row],[Country]],Table5[5000m Classification],"&gt;0")</f>
        <v>0</v>
      </c>
      <c r="AO13" s="6">
        <f>COUNTIFS(Table4[Country],Tabela1[[#This Row],[Country]],Table4[10000m Classification],"&gt;0")</f>
        <v>0</v>
      </c>
      <c r="AP13" s="6">
        <f>COUNTIFS(Table5[Country],Tabela1[[#This Row],[Country]],Table5[10000m Classification],"&gt;0")</f>
        <v>0</v>
      </c>
      <c r="AQ13" s="6">
        <f>COUNTIFS(Table4[Country],Tabela1[[#This Row],[Country]],Table4[110m Hurdles Classification],"&gt;0")</f>
        <v>1</v>
      </c>
      <c r="AR13" s="6">
        <f>COUNTIFS(Table5[Country],Tabela1[[#This Row],[Country]],Table5[100m Hurdles Classification],"&gt;0")</f>
        <v>0</v>
      </c>
      <c r="AS13" s="6">
        <f>COUNTIFS(Table4[Country],Tabela1[[#This Row],[Country]],Table4[400m Hurdles Classification],"&gt;0")</f>
        <v>0</v>
      </c>
      <c r="AT13" s="6">
        <f>COUNTIFS(Table5[Country],Tabela1[[#This Row],[Country]],Table5[400m Hurdles Classification],"&gt;0")</f>
        <v>0</v>
      </c>
      <c r="AU13" s="6">
        <f>COUNTIFS(Table4[Country],Tabela1[[#This Row],[Country]],Table4[3000m Steeplechase Classification],"&gt;0")</f>
        <v>0</v>
      </c>
      <c r="AV13" s="6">
        <f>COUNTIFS(Table5[Country],Tabela1[[#This Row],[Country]],Table5[3000m Steeplechase Classification],"&gt;0")</f>
        <v>0</v>
      </c>
      <c r="AW13" s="6">
        <f>COUNTIFS(Table27[Country],Tabela1[[#This Row],[Country]],Table27[Men''s 4x100m Relay Classification],"&gt;0")</f>
        <v>0</v>
      </c>
      <c r="AX13" s="6">
        <f>COUNTIFS(Table27[Country],Tabela1[[#This Row],[Country]],Table27[Women''s 4x100m Relay Classification],"&gt;0")</f>
        <v>0</v>
      </c>
      <c r="AY13" s="6">
        <f>COUNTIFS(Table27[Country],Tabela1[[#This Row],[Country]],Table27[Men''s 4x400m Relay Classification],"&gt;0")</f>
        <v>1</v>
      </c>
      <c r="AZ13" s="6">
        <f>COUNTIFS(Table27[Country],Tabela1[[#This Row],[Country]],Table27[Women''s 4x400m Relay Classification],"&gt;0")</f>
        <v>1</v>
      </c>
      <c r="BA13" s="6">
        <f>COUNTIFS(Table27[Country],Tabela1[[#This Row],[Country]],Table27[Mixed 4x400m Relay Classification],"&gt;0")</f>
        <v>1</v>
      </c>
      <c r="BB13" s="6">
        <f>COUNTIFS(Table4[Country],Tabela1[[#This Row],[Country]],Table4[Marathon Classification],"&gt;0")</f>
        <v>0</v>
      </c>
      <c r="BC13" s="6">
        <f>COUNTIFS(Table5[Country],Tabela1[[#This Row],[Country]],Table5[Marathon Classification],"&gt;0")</f>
        <v>2</v>
      </c>
      <c r="BD13" s="6">
        <f>COUNTIFS(Table4[Country],Tabela1[[#This Row],[Country]],Table4[20km Race Walk Classification],"&gt;0")</f>
        <v>1</v>
      </c>
      <c r="BE13" s="6">
        <f>COUNTIFS(Table5[Country],Tabela1[[#This Row],[Country]],Table5[20km Race Walk Classification],"&gt;0")</f>
        <v>0</v>
      </c>
      <c r="BF13" s="6">
        <f>COUNTIFS(Tabela96[Country],Tabela1[[#This Row],[Country]],Tabela96[Mixed Marathon Race Walk Relay Classification],"&gt;0")</f>
        <v>1</v>
      </c>
      <c r="BG13" s="6">
        <f>COUNTIFS(Table4[Country],Tabela1[[#This Row],[Country]],Table4[Discus Throw Classification],"&gt;0")</f>
        <v>0</v>
      </c>
      <c r="BH13" s="6">
        <f>COUNTIFS(Table5[Country],Tabela1[[#This Row],[Country]],Table5[Discus Throw Classification],"&gt;0")</f>
        <v>1</v>
      </c>
      <c r="BI13" s="6">
        <f>COUNTIFS(Table4[Country],Tabela1[[#This Row],[Country]],Table4[Hammer Throw Classification],"&gt;0")</f>
        <v>2</v>
      </c>
      <c r="BJ13" s="6">
        <f>COUNTIFS(Table5[Country],Tabela1[[#This Row],[Country]],Table5[Hammer Throw Classification],"&gt;0")</f>
        <v>1</v>
      </c>
      <c r="BK13" s="6">
        <f>COUNTIFS(Table4[Country],Tabela1[[#This Row],[Country]],Table4[High Jump Classification],"&gt;0")</f>
        <v>0</v>
      </c>
      <c r="BL13" s="6">
        <f>COUNTIFS(Table5[Country],Tabela1[[#This Row],[Country]],Table5[High Jump Classification],"&gt;0")</f>
        <v>0</v>
      </c>
      <c r="BM13" s="6">
        <f>COUNTIFS(Table4[Country],Tabela1[[#This Row],[Country]],Table4[Javelin Throw Classification],"&gt;0")</f>
        <v>1</v>
      </c>
      <c r="BN13" s="6">
        <f>COUNTIFS(Table5[Country],Tabela1[[#This Row],[Country]],Table5[Javelin Throw Classification],"&gt;0")</f>
        <v>1</v>
      </c>
      <c r="BO13" s="6">
        <f>COUNTIFS(Table4[Country],Tabela1[[#This Row],[Country]],Table4[Long Jump Classification],"&gt;0")</f>
        <v>0</v>
      </c>
      <c r="BP13" s="6">
        <f>COUNTIFS(Table5[Country],Tabela1[[#This Row],[Country]],Table5[Long Jump Classification],"&gt;0")</f>
        <v>0</v>
      </c>
      <c r="BQ13" s="6">
        <f>COUNTIFS(Table4[Country],Tabela1[[#This Row],[Country]],Table4[Pole Vault Classification],"&gt;0")</f>
        <v>2</v>
      </c>
      <c r="BR13" s="6">
        <f>COUNTIFS(Table5[Country],Tabela1[[#This Row],[Country]],Table5[Pole Vault Classification],"&gt;0")</f>
        <v>0</v>
      </c>
      <c r="BS13" s="6">
        <f>COUNTIFS(Table4[Country],Tabela1[[#This Row],[Country]],Table4[Shot Put Classification],"&gt;0")</f>
        <v>1</v>
      </c>
      <c r="BT13" s="6">
        <f>COUNTIFS(Table5[Country],Tabela1[[#This Row],[Country]],Table5[Shot Put Classification],"&gt;0")</f>
        <v>1</v>
      </c>
      <c r="BU13" s="6">
        <f>COUNTIFS(Table4[Country],Tabela1[[#This Row],[Country]],Table4[Triple Jump Classification],"&gt;0")</f>
        <v>0</v>
      </c>
      <c r="BV13" s="6">
        <f>COUNTIFS(Table5[Country],Tabela1[[#This Row],[Country]],Table5[Triple Jump Classification],"&gt;0")</f>
        <v>0</v>
      </c>
      <c r="BW13" s="6">
        <f>COUNTIFS(Table4[Country],Tabela1[[#This Row],[Country]],Table4[Decathlon Classification],"&gt;0")</f>
        <v>0</v>
      </c>
      <c r="BX13" s="6">
        <f>COUNTIFS(Table5[Country],Tabela1[[#This Row],[Country]],Table5[Heptathlon Classification],"&gt;0")</f>
        <v>1</v>
      </c>
      <c r="BY13" s="6">
        <f>COUNTIFS(Table61[Country],Tabela1[[#This Row],[Country]],Table61[Classification],"&gt;0")</f>
        <v>0</v>
      </c>
      <c r="BZ13" s="6">
        <f>COUNTIFS(Table38[Country],Tabela1[[#This Row],[Country]],Table38[Classification],"&gt;0")</f>
        <v>0</v>
      </c>
      <c r="CA13" s="6">
        <f>COUNTIFS(Table39[Country],Tabela1[[#This Row],[Country]],Table39[Men''s Classification],"&gt;0")</f>
        <v>0</v>
      </c>
      <c r="CB13" s="6">
        <f>COUNTIFS(Table39[Country],Tabela1[[#This Row],[Country]],Table39[Women''s Classification],"&gt;0")</f>
        <v>0</v>
      </c>
      <c r="CC13" s="6">
        <f>COUNTIFS(Table39[Country],Tabela1[[#This Row],[Country]],Table39[Mixed Classification],"&gt;0")</f>
        <v>0</v>
      </c>
      <c r="CD13" s="6">
        <f>COUNTIFS(Table89[Country],Tabela1[[#This Row],[Country]],Table89[Men''s Classification],"&gt;0")</f>
        <v>0</v>
      </c>
      <c r="CE13" s="6">
        <f>COUNTIFS(Table89[Country],Tabela1[[#This Row],[Country]],Table89[Women''s Classification],"&gt;0")</f>
        <v>0</v>
      </c>
      <c r="CF13" s="6">
        <f>COUNTIFS(Table90[Country],Tabela1[[#This Row],[Country]],Table90[Men''s Classification],"&gt;0")</f>
        <v>0</v>
      </c>
      <c r="CG13" s="6">
        <f>COUNTIFS(Table90[Country],Tabela1[[#This Row],[Country]],Table90[Women''s Classification],"&gt;0")</f>
        <v>0</v>
      </c>
      <c r="CH13" s="6">
        <f>COUNTIFS(Table60[Country],Tabela1[[#This Row],[Country]],Table60[Men''s Classification],"&gt;0")</f>
        <v>0</v>
      </c>
      <c r="CI13" s="6">
        <f>COUNTIFS(Table60[Country],Tabela1[[#This Row],[Country]],Table60[Women''s Classification],"&gt;0")</f>
        <v>0</v>
      </c>
      <c r="CJ13" s="6">
        <f>COUNTIFS(Table6[Country],Tabela1[[#This Row],[Country]],Table6[51kg Classification],"&gt;0")</f>
        <v>0</v>
      </c>
      <c r="CK13" s="6">
        <f>COUNTIFS(Table6[Country],Tabela1[[#This Row],[Country]],Table6[57kg Classification],"&gt;0")</f>
        <v>0</v>
      </c>
      <c r="CL13" s="6">
        <f>COUNTIFS(Table6[Country],Tabela1[[#This Row],[Country]],Table6[63.5kg Classification],"&gt;0")</f>
        <v>0</v>
      </c>
      <c r="CM13" s="6">
        <f>COUNTIFS(Table6[Country],Tabela1[[#This Row],[Country]],Table6[71kg Classification],"&gt;0")</f>
        <v>0</v>
      </c>
      <c r="CN13" s="6">
        <f>COUNTIFS(Table6[Country],Tabela1[[#This Row],[Country]],Table6[80kg Classification],"&gt;0")</f>
        <v>0</v>
      </c>
      <c r="CO13" s="6">
        <f>COUNTIFS(Table6[Country],Tabela1[[#This Row],[Country]],Table6[92kg Classification],"&gt;0")</f>
        <v>1</v>
      </c>
      <c r="CP13" s="6">
        <f>COUNTIFS(Table6[Country],Tabela1[[#This Row],[Country]],Table6[Plus 92kg Classification],"&gt;0")</f>
        <v>0</v>
      </c>
      <c r="CQ13" s="6">
        <f>COUNTIFS(Table7[Country],Tabela1[[#This Row],[Country]],Table7[50kg Classification],"&gt;0")</f>
        <v>0</v>
      </c>
      <c r="CR13" s="6">
        <f>COUNTIFS(Table7[Country],Tabela1[[#This Row],[Country]],Table7[54kg Classification],"&gt;0")</f>
        <v>0</v>
      </c>
      <c r="CS13" s="6">
        <f>COUNTIFS(Table7[Country],Tabela1[[#This Row],[Country]],Table7[57kg Classification],"&gt;0")</f>
        <v>0</v>
      </c>
      <c r="CT13" s="6">
        <f>COUNTIFS(Table7[Country],Tabela1[[#This Row],[Country]],Table7[60kg Classification],"&gt;0")</f>
        <v>0</v>
      </c>
      <c r="CU13" s="6">
        <f>COUNTIFS(Table7[Country],Tabela1[[#This Row],[Country]],Table7[66kg Classification],"&gt;0")</f>
        <v>0</v>
      </c>
      <c r="CV13" s="6">
        <f>COUNTIFS(Table7[Country],Tabela1[[#This Row],[Country]],Table7[75kg Classification],"&gt;0")</f>
        <v>0</v>
      </c>
      <c r="CW13" s="6">
        <f>COUNTIFS(Tabela94[Country],Tabela1[[#This Row],[Country]],Tabela94[Classification],"&gt;0")</f>
        <v>0</v>
      </c>
      <c r="CX13" s="6">
        <f>COUNTIFS(Tabela9499[Country],Tabela1[[#This Row],[Country]],Tabela9499[Classification],"&gt;0")</f>
        <v>0</v>
      </c>
      <c r="CY13" s="6">
        <f>COUNTIFS(Tabela107[Country],Tabela1[[#This Row],[Country]],Tabela107[C1 Slalom Classification],"&gt;0")</f>
        <v>0</v>
      </c>
      <c r="CZ13" s="6">
        <f>COUNTIFS(Tabela107122[Country],Tabela1[[#This Row],[Country]],Tabela107122[C1 Slalom Classification],"&gt;0")</f>
        <v>0</v>
      </c>
      <c r="DA13" s="6">
        <f>COUNTIFS(Tabela107[Country],Tabela1[[#This Row],[Country]],Tabela107[K1 Slalom Classification],"&gt;0")</f>
        <v>0</v>
      </c>
      <c r="DB13" s="6">
        <f>COUNTIFS(Tabela107122[Country],Tabela1[[#This Row],[Country]],Tabela107122[K1 Slalom Classification],"&gt;0")</f>
        <v>0</v>
      </c>
      <c r="DC13" s="6">
        <f>COUNTIFS(Tabela107[Country],Tabela1[[#This Row],[Country]],Tabela107[Kayak Cross Slalom Classification],"&gt;0")</f>
        <v>0</v>
      </c>
      <c r="DD13" s="6">
        <f>COUNTIFS(Tabela107122[Country],Tabela1[[#This Row],[Country]],Tabela107122[Kayak Cross Slalom Classification],"&gt;0")</f>
        <v>0</v>
      </c>
      <c r="DE13" s="6">
        <f>COUNTIFS(Table8[Country],Tabela1[[#This Row],[Country]],Table8[C1 200m Classification],"&gt;0")</f>
        <v>0</v>
      </c>
      <c r="DF13" s="6">
        <f>COUNTIFS(Table40[Country],Tabela1[[#This Row],[Country]],Table40[C1 1000m Classification],"&gt;0")</f>
        <v>0</v>
      </c>
      <c r="DG13" s="6">
        <f>COUNTIFS(Table68[Country],Tabela1[[#This Row],[Country]],Table68[Men''s C2 500m Classification],"&gt;0")</f>
        <v>0</v>
      </c>
      <c r="DH13" s="6">
        <f>COUNTIFS(Table68[Country],Tabela1[[#This Row],[Country]],Table68[Women''s C2 500m Classification],"&gt;0")</f>
        <v>0</v>
      </c>
      <c r="DI13" s="6">
        <f>COUNTIFS(Table8[Country],Tabela1[[#This Row],[Country]],Table8[K1 500m Classification],"&gt;0")</f>
        <v>0</v>
      </c>
      <c r="DJ13" s="6">
        <f>COUNTIFS(Table40[Country],Tabela1[[#This Row],[Country]],Table40[K1 1000m Classification],"&gt;0")</f>
        <v>0</v>
      </c>
      <c r="DK13" s="6">
        <f>COUNTIFS(Table68[Country],Tabela1[[#This Row],[Country]],Table68[Men''s K2 500m Classification],"&gt;0")</f>
        <v>0</v>
      </c>
      <c r="DL13" s="6">
        <f>COUNTIFS(Table68[Country],Tabela1[[#This Row],[Country]],Table68[Women''s K2 500m Classification],"&gt;0")</f>
        <v>0</v>
      </c>
      <c r="DM13" s="6">
        <f>COUNTIFS(Table83[Country],Tabela1[[#This Row],[Country]],Table83[Men''s K4 500m Classification],"&gt;0")</f>
        <v>0</v>
      </c>
      <c r="DN13" s="6">
        <f>COUNTIFS(Table83[Country],Tabela1[[#This Row],[Country]],Table83[Women''s K4 500m Classification],"&gt;0")</f>
        <v>0</v>
      </c>
      <c r="DO13" s="6">
        <f>COUNTIFS(Tabela126[Country],Tabela1[[#This Row],[Country]],Tabela126[Classification],"&gt;0")</f>
        <v>0</v>
      </c>
      <c r="DP13" s="6">
        <f>COUNTIFS(Tabela126130[Country],Tabela1[[#This Row],[Country]],Tabela126130[Classification],"&gt;0")</f>
        <v>0</v>
      </c>
      <c r="DQ13" s="6">
        <f>COUNTIFS(Table70[Country],Tabela1[[#This Row],[Country]],Table70[Classification],"&gt;0")</f>
        <v>0</v>
      </c>
      <c r="DR13" s="6">
        <f>COUNTIFS(Table80[Country],Tabela1[[#This Row],[Country]],Table80[Classification],"&gt;0")</f>
        <v>0</v>
      </c>
      <c r="DS13" s="6">
        <f>COUNTIFS(Table66[Country],Tabela1[[#This Row],[Country]],Table66[Classification],"&gt;0")</f>
        <v>0</v>
      </c>
      <c r="DT13" s="6">
        <f>COUNTIFS(Table67[Country],Tabela1[[#This Row],[Country]],Table67[Classification],"&gt;0")</f>
        <v>0</v>
      </c>
      <c r="DU13" s="6">
        <f>COUNTIFS(Table69[Country],Tabela1[[#This Row],[Country]],Table69[Keirin Classification],"&gt;0")</f>
        <v>1</v>
      </c>
      <c r="DV13" s="6">
        <f>COUNTIFS(Table41[Country],Tabela1[[#This Row],[Country]],Table41[Keirin Classification],"&gt;0")</f>
        <v>0</v>
      </c>
      <c r="DW13" s="6">
        <f>COUNTIFS(Table84[Country],Tabela1[[#This Row],[Country]],Table84[Men''s Madison Classification],"&gt;0")</f>
        <v>0</v>
      </c>
      <c r="DX13" s="6">
        <f>COUNTIFS(Table84[Country],Tabela1[[#This Row],[Country]],Table84[Women''s Madison Classification],"&gt;0")</f>
        <v>1</v>
      </c>
      <c r="DY13" s="6">
        <f>COUNTIFS(Table69[Country],Tabela1[[#This Row],[Country]],Table69[Omnium Classification],"&gt;0")</f>
        <v>0</v>
      </c>
      <c r="DZ13" s="6">
        <f>COUNTIFS(Table41[Country],Tabela1[[#This Row],[Country]],Table41[Omnium Classification],"&gt;0")</f>
        <v>1</v>
      </c>
      <c r="EA13" s="6">
        <f>COUNTIFS(Table9[Country],Tabela1[[#This Row],[Country]],Table9[Road Race Classification],"&gt;0")</f>
        <v>0</v>
      </c>
      <c r="EB13" s="6">
        <f>COUNTIFS(Table14[Country],Tabela1[[#This Row],[Country]],Table14[Road Race Classification],"&gt;0")</f>
        <v>1</v>
      </c>
      <c r="EC13" s="6">
        <f>COUNTIFS(Table69[Country],Tabela1[[#This Row],[Country]],Table69[Sprint Classification],"&gt;0")</f>
        <v>1</v>
      </c>
      <c r="ED13" s="6">
        <f>COUNTIFS(Table41[Country],Tabela1[[#This Row],[Country]],Table41[Sprint Classification],"&gt;0")</f>
        <v>0</v>
      </c>
      <c r="EE13" s="6">
        <f>COUNTIFS(Table85[Country],Tabela1[[#This Row],[Country]],Table85[Men''s Sprint Classification],"&gt;0")</f>
        <v>0</v>
      </c>
      <c r="EF13" s="6">
        <f>COUNTIFS(Table85[Country],Tabela1[[#This Row],[Country]],Table85[Women''s Sprint Classification],"&gt;0")</f>
        <v>0</v>
      </c>
      <c r="EG13" s="6">
        <f>COUNTIFS(Table85[Country],Tabela1[[#This Row],[Country]],Table85[Men''s Pursuit Classification],"&gt;0")</f>
        <v>0</v>
      </c>
      <c r="EH13" s="6">
        <f>COUNTIFS(Table85[Country],Tabela1[[#This Row],[Country]],Table85[Women''s Pursuit Classification],"&gt;0")</f>
        <v>0</v>
      </c>
      <c r="EI13" s="6">
        <f>COUNTIFS(Table9[Country],Tabela1[[#This Row],[Country]],Table9[Time-Trial Classification],"&gt;0")</f>
        <v>1</v>
      </c>
      <c r="EJ13" s="6">
        <f>COUNTIFS(Table14[Country],Tabela1[[#This Row],[Country]],Table14[Time-Trial Classification],"&gt;0")</f>
        <v>1</v>
      </c>
      <c r="EK13" s="6">
        <f>COUNTIFS(Table42[Country],Tabela1[[#This Row],[Country]],Table42[Springboard Classification],"&gt;0")</f>
        <v>0</v>
      </c>
      <c r="EL13" s="6">
        <f>COUNTIFS(Table43[Country],Tabela1[[#This Row],[Country]],Table43[Springboard Classification],"&gt;0")</f>
        <v>0</v>
      </c>
      <c r="EM13" s="6">
        <f>COUNTIFS(Table42[Country],Tabela1[[#This Row],[Country]],Table42[Platform Classification],"&gt;0")</f>
        <v>0</v>
      </c>
      <c r="EN13" s="6">
        <f>COUNTIFS(Table43[Country],Tabela1[[#This Row],[Country]],Table43[Platform Classification],"&gt;0")</f>
        <v>0</v>
      </c>
      <c r="EO13" s="6">
        <f>COUNTIFS(Table86[Country],Tabela1[[#This Row],[Country]],Table86[Men''s Synchronized Springboard Classification],"&gt;0")</f>
        <v>0</v>
      </c>
      <c r="EP13" s="6">
        <f>COUNTIFS(Table86[Country],Tabela1[[#This Row],[Country]],Table86[Women''s Synchronized Springboard Classification],"&gt;0")</f>
        <v>0</v>
      </c>
      <c r="EQ13" s="6">
        <f>COUNTIFS(Table86[Country],Tabela1[[#This Row],[Country]],Table86[Men''s Synchronized Platform Classification],"&gt;0")</f>
        <v>0</v>
      </c>
      <c r="ER13" s="6">
        <f>COUNTIFS(Table86[Country],Tabela1[[#This Row],[Country]],Table86[Women''s Synchronized Platform Classification],"&gt;0")</f>
        <v>0</v>
      </c>
      <c r="ES13" s="6">
        <f>COUNTIFS(Table44[Country],Tabela1[[#This Row],[Country]],Table44[Dressage Classification],"&gt;0")</f>
        <v>0</v>
      </c>
      <c r="ET13" s="6">
        <f>COUNTIFS(Table45[Country],Tabela1[[#This Row],[Country]],Table45[Dressage Classification],"&gt;0")</f>
        <v>0</v>
      </c>
      <c r="EU13" s="6">
        <f>COUNTIFS(Table44[Country],Tabela1[[#This Row],[Country]],Table44[Eventing Classification],"&gt;0")</f>
        <v>0</v>
      </c>
      <c r="EV13" s="6">
        <f>COUNTIFS(Table45[Country],Tabela1[[#This Row],[Country]],Table45[Eventing Classification],"&gt;0")</f>
        <v>0</v>
      </c>
      <c r="EW13" s="6">
        <f>COUNTIFS(Table44[Country],Tabela1[[#This Row],[Country]],Table44[Jumping Classification],"&gt;0")</f>
        <v>0</v>
      </c>
      <c r="EX13" s="6">
        <f>COUNTIFS(Table45[Country],Tabela1[[#This Row],[Country]],Table45[Jumping Classification],"&gt;0")</f>
        <v>0</v>
      </c>
      <c r="EY13" s="6">
        <f>COUNTIFS(Table10[Country],Tabela1[[#This Row],[Country]],Table10[Épée Classification],"&gt;0")</f>
        <v>0</v>
      </c>
      <c r="EZ13" s="6">
        <f>COUNTIFS(Table11[Country],Tabela1[[#This Row],[Country]],Table11[Épée Classification],"&gt;0")</f>
        <v>0</v>
      </c>
      <c r="FA13" s="6">
        <f>COUNTIFS(Table46[Country],Tabela1[[#This Row],[Country]],Table46[Men''s Épée Classification],"&gt;0")</f>
        <v>0</v>
      </c>
      <c r="FB13" s="6">
        <f>COUNTIFS(Table46[Country],Tabela1[[#This Row],[Country]],Table46[Women''s Épée Classification],"&gt;0")</f>
        <v>0</v>
      </c>
      <c r="FC13" s="6">
        <f>COUNTIFS(Table10[Country],Tabela1[[#This Row],[Country]],Table10[Foil Classification],"&gt;0")</f>
        <v>1</v>
      </c>
      <c r="FD13" s="6">
        <f>COUNTIFS(Table11[Country],Tabela1[[#This Row],[Country]],Table11[Foil Classification],"&gt;0")</f>
        <v>2</v>
      </c>
      <c r="FE13" s="6">
        <f>COUNTIFS(Table46[Country],Tabela1[[#This Row],[Country]],Table46[Men''s Foil Classification],"&gt;0")</f>
        <v>1</v>
      </c>
      <c r="FF13" s="6">
        <f>COUNTIFS(Table46[Country],Tabela1[[#This Row],[Country]],Table46[Women''s Foil Classification],"&gt;0")</f>
        <v>1</v>
      </c>
      <c r="FG13" s="6">
        <f>COUNTIFS(Table10[Country],Tabela1[[#This Row],[Country]],Table10[Sabre Classification],"&gt;0")</f>
        <v>0</v>
      </c>
      <c r="FH13" s="6">
        <f>COUNTIFS(Table11[Country],Tabela1[[#This Row],[Country]],Table11[Sabre Classification],"&gt;0")</f>
        <v>0</v>
      </c>
      <c r="FI13" s="6">
        <f>COUNTIFS(Table46[Country],Tabela1[[#This Row],[Country]],Table46[Men''s Sabre Classification],"&gt;0")</f>
        <v>0</v>
      </c>
      <c r="FJ13" s="6">
        <f>COUNTIFS(Table46[Country],Tabela1[[#This Row],[Country]],Table46[Women''s Sabre Classification],"&gt;0")</f>
        <v>0</v>
      </c>
      <c r="FK13" s="6">
        <f>COUNTIFS(Table91[Country],Tabela1[[#This Row],[Country]],Table91[Men''s Classification],"&gt;0")</f>
        <v>0</v>
      </c>
      <c r="FL13" s="6">
        <f>COUNTIFS(Table91[Country],Tabela1[[#This Row],[Country]],Table91[Women''s Classification],"&gt;0")</f>
        <v>0</v>
      </c>
      <c r="FM13" s="6">
        <f>COUNTIFS(Table9194[Country],Tabela1[[#This Row],[Country]],Table9194[Men''s Classification],"&gt;0")</f>
        <v>0</v>
      </c>
      <c r="FN13" s="6">
        <f>COUNTIFS(Table9194[Country],Tabela1[[#This Row],[Country]],Table9194[Women''s Classification],"&gt;0")</f>
        <v>0</v>
      </c>
      <c r="FO13" s="6">
        <f>COUNTIFS(Table71[Country],Tabela1[[#This Row],[Country]],Table71[Classification],"&gt;0")</f>
        <v>0</v>
      </c>
      <c r="FP13" s="6">
        <f>COUNTIFS(Table62[Country],Tabela1[[#This Row],[Country]],Table62[Classification],"&gt;0")</f>
        <v>0</v>
      </c>
      <c r="FQ13" s="6">
        <f>COUNTIFS(Table47[Country],Tabela1[[#This Row],[Country]],Table47[All-Around Classification],"&gt;0")</f>
        <v>0</v>
      </c>
      <c r="FR13" s="6">
        <f>COUNTIFS(Table48[Country],Tabela1[[#This Row],[Country]],Table48[All-Around Classification],"&gt;0")</f>
        <v>0</v>
      </c>
      <c r="FS13" s="6">
        <f>COUNTIFS(Table81[Country],Tabela1[[#This Row],[Country]],Table81[Men''s All-Around Classification],"&gt;0")</f>
        <v>0</v>
      </c>
      <c r="FT13" s="6">
        <f>COUNTIFS(Table81[Country],Tabela1[[#This Row],[Country]],Table81[Women''s All-Around Classification],"&gt;0")</f>
        <v>0</v>
      </c>
      <c r="FU13" s="6">
        <f>COUNTIFS(Table48[Country],Tabela1[[#This Row],[Country]],Table48[Balance Beam Classification],"&gt;0")</f>
        <v>0</v>
      </c>
      <c r="FV13" s="6">
        <f>COUNTIFS(Table47[Country],Tabela1[[#This Row],[Country]],Table47[Floor Exercise Classification],"&gt;0")</f>
        <v>0</v>
      </c>
      <c r="FW13" s="6">
        <f>COUNTIFS(Table48[Country],Tabela1[[#This Row],[Country]],Table48[Floor Exercise Classification],"&gt;0")</f>
        <v>0</v>
      </c>
      <c r="FX13" s="6">
        <f>COUNTIFS(Table47[Country],Tabela1[[#This Row],[Country]],Table47[Horizontal Bar Classification],"&gt;0")</f>
        <v>0</v>
      </c>
      <c r="FY13" s="6">
        <f>COUNTIFS(Table47[Country],Tabela1[[#This Row],[Country]],Table47[Parallel Bars Classification],"&gt;0")</f>
        <v>0</v>
      </c>
      <c r="FZ13" s="6">
        <f>COUNTIFS(Table47[Country],Tabela1[[#This Row],[Country]],Table47[Pommel Horse Classification],"&gt;0")</f>
        <v>0</v>
      </c>
      <c r="GA13" s="6">
        <f>COUNTIFS(Table47[Country],Tabela1[[#This Row],[Country]],Table47[Rings Classification],"&gt;0")</f>
        <v>0</v>
      </c>
      <c r="GB13" s="6">
        <f>COUNTIFS(Tabela132[Country],Tabela1[[#This Row],[Country]],Tabela132[Classification],"&gt;0")</f>
        <v>0</v>
      </c>
      <c r="GC13" s="6">
        <f>COUNTIFS(Tabela139[Country],Tabela1[[#This Row],[Country]],Tabela139[Classification],"&gt;0")</f>
        <v>0</v>
      </c>
      <c r="GD13" s="6">
        <f>COUNTIFS(Table48[Country],Tabela1[[#This Row],[Country]],Table48[Uneven Bars Classification],"&gt;0")</f>
        <v>0</v>
      </c>
      <c r="GE13" s="6">
        <f>COUNTIFS(Table47[Country],Tabela1[[#This Row],[Country]],Table47[Vault Classification],"&gt;0")</f>
        <v>0</v>
      </c>
      <c r="GF13" s="6">
        <f>COUNTIFS(Table48[Country],Tabela1[[#This Row],[Country]],Table48[Vault Classification],"&gt;0")</f>
        <v>0</v>
      </c>
      <c r="GG13" s="6">
        <f>COUNTIFS(Table919496[Country],Tabela1[[#This Row],[Country]],Table919496[Men''s Classification],"&gt;0")</f>
        <v>0</v>
      </c>
      <c r="GH13" s="6">
        <f>COUNTIFS(Table919496[Country],Tabela1[[#This Row],[Country]],Table919496[Women''s Classification],"&gt;0")</f>
        <v>0</v>
      </c>
      <c r="GI13" s="6">
        <f>COUNTIFS(Table12[Country],Tabela1[[#This Row],[Country]],Table12[60kg Classification],"&gt;0")</f>
        <v>0</v>
      </c>
      <c r="GJ13" s="6">
        <f>COUNTIFS(Table12[Country],Tabela1[[#This Row],[Country]],Table12[66kg Classification],"&gt;0")</f>
        <v>0</v>
      </c>
      <c r="GK13" s="6">
        <f>COUNTIFS(Table12[Country],Tabela1[[#This Row],[Country]],Table12[73kg Classification],"&gt;0")</f>
        <v>0</v>
      </c>
      <c r="GL13" s="6">
        <f>COUNTIFS(Table12[Country],Tabela1[[#This Row],[Country]],Table12[81kg Classification],"&gt;0")</f>
        <v>0</v>
      </c>
      <c r="GM13" s="6">
        <f>COUNTIFS(Table12[Country],Tabela1[[#This Row],[Country]],Table12[90kg Classification],"&gt;0")</f>
        <v>0</v>
      </c>
      <c r="GN13" s="6">
        <f>COUNTIFS(Table12[Country],Tabela1[[#This Row],[Country]],Table12[100kg Classification],"&gt;0")</f>
        <v>0</v>
      </c>
      <c r="GO13" s="6">
        <f>COUNTIFS(Table12[Country],Tabela1[[#This Row],[Country]],Table12[Plus 100kg Classification],"&gt;0")</f>
        <v>0</v>
      </c>
      <c r="GP13" s="6">
        <f>COUNTIFS(Table13[Country],Tabela1[[#This Row],[Country]],Table13[48kg Classification],"&gt;0")</f>
        <v>0</v>
      </c>
      <c r="GQ13" s="6">
        <f>COUNTIFS(Table13[Country],Tabela1[[#This Row],[Country]],Table13[52kg Classification],"&gt;0")</f>
        <v>0</v>
      </c>
      <c r="GR13" s="6">
        <f>COUNTIFS(Table13[Country],Tabela1[[#This Row],[Country]],Table13[57kg Classification],"&gt;0")</f>
        <v>0</v>
      </c>
      <c r="GS13" s="6">
        <f>COUNTIFS(Table13[Country],Tabela1[[#This Row],[Country]],Table13[63kg Classification],"&gt;0")</f>
        <v>1</v>
      </c>
      <c r="GT13" s="6">
        <f>COUNTIFS(Table13[Country],Tabela1[[#This Row],[Country]],Table13[70kg Classification],"&gt;0")</f>
        <v>0</v>
      </c>
      <c r="GU13" s="6">
        <f>COUNTIFS(Table13[Country],Tabela1[[#This Row],[Country]],Table13[78kg Classification],"&gt;0")</f>
        <v>0</v>
      </c>
      <c r="GV13" s="6">
        <f>COUNTIFS(Table13[Country],Tabela1[[#This Row],[Country]],Table13[Plus 78kg Classification],"&gt;0")</f>
        <v>0</v>
      </c>
      <c r="GW13" s="6">
        <f>COUNTIFS(Table82[Country],Tabela1[[#This Row],[Country]],Table82[Mixed Classification],"&gt;0")</f>
        <v>0</v>
      </c>
      <c r="GX13" s="6">
        <f>COUNTIFS(Table51[Country],Tabela1[[#This Row],[Country]],Table51[Classification],"&gt;0")</f>
        <v>0</v>
      </c>
      <c r="GY13" s="6">
        <f>COUNTIFS(Table52[Country],Tabela1[[#This Row],[Country]],Table52[Classification],"&gt;0")</f>
        <v>0</v>
      </c>
      <c r="GZ13" s="6">
        <f>COUNTIFS(Table32[Country],Tabela1[[#This Row],[Country]],Table32[All-Around Classification],"&gt;0")</f>
        <v>0</v>
      </c>
      <c r="HA13" s="6">
        <f>COUNTIFS(Table49[Country],Tabela1[[#This Row],[Country]],Table49[All-Around Classification],"&gt;0")</f>
        <v>0</v>
      </c>
      <c r="HB13" s="6">
        <f>COUNTIFS(Table26[Country],Tabela1[[#This Row],[Country]],Table26[Single Sculls Classification],"&gt;0")</f>
        <v>0</v>
      </c>
      <c r="HC13" s="6">
        <f>COUNTIFS(Table63[Country],Tabela1[[#This Row],[Country]],Table63[Single Sculls Classification],"&gt;0")</f>
        <v>0</v>
      </c>
      <c r="HD13" s="6">
        <f>COUNTIFS(Table16[Country],Tabela1[[#This Row],[Country]],Table16[Men''s Double Sculls Classification],"&gt;0")</f>
        <v>0</v>
      </c>
      <c r="HE13" s="6">
        <f>COUNTIFS(Table16[Country],Tabela1[[#This Row],[Country]],Table16[Women''s Double Sculls Classification],"&gt;0")</f>
        <v>0</v>
      </c>
      <c r="HF13" s="6">
        <f>COUNTIFS(Table72[Country],Tabela1[[#This Row],[Country]],Table72[Men''s Quadruple Sculls Classification],"&gt;0")</f>
        <v>1</v>
      </c>
      <c r="HG13" s="6">
        <f>COUNTIFS(Table72[Country],Tabela1[[#This Row],[Country]],Table72[Women''s Quadruple Sculls Classification],"&gt;0")</f>
        <v>0</v>
      </c>
      <c r="HH13" s="6">
        <f>COUNTIFS(Table16[Country],Tabela1[[#This Row],[Country]],Table16[Men''s Coxless Pairs Classification],"&gt;0")</f>
        <v>0</v>
      </c>
      <c r="HI13" s="6">
        <f>COUNTIFS(Table16[Country],Tabela1[[#This Row],[Country]],Table16[Women''s Coxless Pairs Classification],"&gt;0")</f>
        <v>0</v>
      </c>
      <c r="HJ13" s="6">
        <f>COUNTIFS(Table72[Country],Tabela1[[#This Row],[Country]],Table72[Men''s Coxless Fours Classification],"&gt;0")</f>
        <v>0</v>
      </c>
      <c r="HK13" s="6">
        <f>COUNTIFS(Table72[Country],Tabela1[[#This Row],[Country]],Table72[Women''s Coxless Fours Classification],"&gt;0")</f>
        <v>0</v>
      </c>
      <c r="HL13" s="6">
        <f>COUNTIFS(Table72[Country],Tabela1[[#This Row],[Country]],Table72[Men''s Eights Classification],"&gt;0")</f>
        <v>0</v>
      </c>
      <c r="HM13" s="6">
        <f>COUNTIFS(Table72[Country],Tabela1[[#This Row],[Country]],Table72[Women''s Eights Classification],"&gt;0")</f>
        <v>0</v>
      </c>
      <c r="HN13" s="6">
        <f>COUNTIFS(Table16[Country],Tabela1[[#This Row],[Country]],Table16[Men''s Lwt. Double Sculls Classification],"&gt;0")</f>
        <v>0</v>
      </c>
      <c r="HO13" s="6">
        <f>COUNTIFS(Table16[Country],Tabela1[[#This Row],[Country]],Table16[Women''s Lwt. Double Sculls Classification],"&gt;0")</f>
        <v>1</v>
      </c>
      <c r="HP13" s="6">
        <f>COUNTIFS(Table91949698[Country],Tabela1[[#This Row],[Country]],Table91949698[Men''s Classification],"&gt;0")</f>
        <v>0</v>
      </c>
      <c r="HQ13" s="6">
        <f>COUNTIFS(Table91949698[Country],Tabela1[[#This Row],[Country]],Table91949698[Women''s Classification],"&gt;0")</f>
        <v>0</v>
      </c>
      <c r="HR13" s="6">
        <f>COUNTIFS(Table25[Country],Tabela1[[#This Row],[Country]],Table25[Mixed 470 Classification],"&gt;0")</f>
        <v>0</v>
      </c>
      <c r="HS13" s="6">
        <f>COUNTIFS(Table25[Country],Tabela1[[#This Row],[Country]],Table25[Men''s 49er Classification],"&gt;0")</f>
        <v>1</v>
      </c>
      <c r="HT13" s="6">
        <f>COUNTIFS(Table25[Country],Tabela1[[#This Row],[Country]],Table25[Women''s 49er FX Classification],"&gt;0")</f>
        <v>1</v>
      </c>
      <c r="HU13" s="6">
        <f>COUNTIFS(Table17[Country],Tabela1[[#This Row],[Country]],Table17[Formula Kite Classification],"&gt;0")</f>
        <v>0</v>
      </c>
      <c r="HV13" s="6">
        <f>COUNTIFS(Table18[Country],Tabela1[[#This Row],[Country]],Table18[Formula Kite Classification],"&gt;0")</f>
        <v>0</v>
      </c>
      <c r="HW13" s="6">
        <f>COUNTIFS(Table17[Country],Tabela1[[#This Row],[Country]],Table17[ILCA 7 Classification],"&gt;0")</f>
        <v>0</v>
      </c>
      <c r="HX13" s="6">
        <f>COUNTIFS(Table18[Country],Tabela1[[#This Row],[Country]],Table18[ILCA 6 Classification],"&gt;0")</f>
        <v>1</v>
      </c>
      <c r="HY13" s="6">
        <f>COUNTIFS(Table17[Country],Tabela1[[#This Row],[Country]],Table17[IQFoil Classification],"&gt;0")</f>
        <v>0</v>
      </c>
      <c r="HZ13" s="6">
        <f>COUNTIFS(Table18[Country],Tabela1[[#This Row],[Country]],Table18[IQFoil Classification],"&gt;0")</f>
        <v>1</v>
      </c>
      <c r="IA13" s="6">
        <f>COUNTIFS(Table25[Country],Tabela1[[#This Row],[Country]],Table25[Mixed Nacra 17 Classification],"&gt;0")</f>
        <v>0</v>
      </c>
      <c r="IB13" s="6">
        <f>COUNTIFS(Table53[Country],Tabela1[[#This Row],[Country]],Table53[10m Air Pistol Classification],"&gt;0")</f>
        <v>0</v>
      </c>
      <c r="IC13" s="6">
        <f>COUNTIFS(Table19[Country],Tabela1[[#This Row],[Country]],Table19[10m Air Pistol Classification],"&gt;0")</f>
        <v>1</v>
      </c>
      <c r="ID13" s="6">
        <f>COUNTIFS(Table54[Country],Tabela1[[#This Row],[Country]],Table54[Mixed 10m Air Pistol Team Classification],"&gt;0")</f>
        <v>0</v>
      </c>
      <c r="IE13" s="6">
        <f>COUNTIFS(Table53[Country],Tabela1[[#This Row],[Country]],Table53[10m Air Rifle Classification],"&gt;0")</f>
        <v>1</v>
      </c>
      <c r="IF13" s="6">
        <f>COUNTIFS(Table19[Country],Tabela1[[#This Row],[Country]],Table19[10m Air Rifle Classification],"&gt;0")</f>
        <v>0</v>
      </c>
      <c r="IG13" s="6">
        <f>COUNTIFS(Table54[Country],Tabela1[[#This Row],[Country]],Table54[Mixed 10m Air Rifle Team Classification],"&gt;0")</f>
        <v>1</v>
      </c>
      <c r="IH13" s="6">
        <f>COUNTIFS(Table53[Country],Tabela1[[#This Row],[Country]],Table53[25m Rapid Fire Pistol Classification],"&gt;0")</f>
        <v>0</v>
      </c>
      <c r="II13" s="6">
        <f>COUNTIFS(Table19[Country],Tabela1[[#This Row],[Country]],Table19[25m Pistol Classification],"&gt;0")</f>
        <v>1</v>
      </c>
      <c r="IJ13" s="6">
        <f>COUNTIFS(Table53[Country],Tabela1[[#This Row],[Country]],Table53[50m Rifle 3 Positions Classification],"&gt;0")</f>
        <v>1</v>
      </c>
      <c r="IK13" s="6">
        <f>COUNTIFS(Table19[Country],Tabela1[[#This Row],[Country]],Table19[50m Rifle 3 Positions Classification],"&gt;0")</f>
        <v>1</v>
      </c>
      <c r="IL13" s="6">
        <f>COUNTIFS(Table53[Country],Tabela1[[#This Row],[Country]],Table53[Skeet Classification],"&gt;0")</f>
        <v>0</v>
      </c>
      <c r="IM13" s="6">
        <f>COUNTIFS(Table19[Country],Tabela1[[#This Row],[Country]],Table19[Skeet Classification],"&gt;0")</f>
        <v>0</v>
      </c>
      <c r="IN13" s="6">
        <f>COUNTIFS(Table54[Country],Tabela1[[#This Row],[Country]],Table54[Mixed Skeet Team Classification],"&gt;0")</f>
        <v>0</v>
      </c>
      <c r="IO13" s="6">
        <f>COUNTIFS(Table53[Country],Tabela1[[#This Row],[Country]],Table53[Trap Classification],"&gt;0")</f>
        <v>0</v>
      </c>
      <c r="IP13" s="6">
        <f>COUNTIFS(Table19[Country],Tabela1[[#This Row],[Country]],Table19[Trap Classification],"&gt;0")</f>
        <v>0</v>
      </c>
      <c r="IQ13" s="6">
        <f>COUNTIFS(Table73[Country],Tabela1[[#This Row],[Country]],Table73[Park Classification],"&gt;0")</f>
        <v>0</v>
      </c>
      <c r="IR13" s="6">
        <f>COUNTIFS(Table74[Country],Tabela1[[#This Row],[Country]],Table74[Park Classification],"&gt;0")</f>
        <v>0</v>
      </c>
      <c r="IS13" s="6">
        <f>COUNTIFS(Table73[Country],Tabela1[[#This Row],[Country]],Table73[Street Classification],"&gt;0")</f>
        <v>0</v>
      </c>
      <c r="IT13" s="6">
        <f>COUNTIFS(Table74[Country],Tabela1[[#This Row],[Country]],Table74[Street Classification],"&gt;0")</f>
        <v>0</v>
      </c>
      <c r="IU13" s="6">
        <f>COUNTIFS(Table75[Country],Tabela1[[#This Row],[Country]],Table75[Boulder and Lead Classification],"&gt;0")</f>
        <v>0</v>
      </c>
      <c r="IV13" s="6">
        <f>COUNTIFS(Table76[Country],Tabela1[[#This Row],[Country]],Table76[Boulder and Lead Classification],"&gt;0")</f>
        <v>0</v>
      </c>
      <c r="IW13" s="6">
        <f>COUNTIFS(Table75[Country],Tabela1[[#This Row],[Country]],Table75[Speed Classification],"&gt;0")</f>
        <v>0</v>
      </c>
      <c r="IX13" s="6">
        <f>COUNTIFS(Table76[Country],Tabela1[[#This Row],[Country]],Table76[Speed Classification],"&gt;0")</f>
        <v>1</v>
      </c>
      <c r="IY13" s="6">
        <f>COUNTIFS(Table64[Country],Tabela1[[#This Row],[Country]],Table64[Shortboard Classification],"&gt;0")</f>
        <v>0</v>
      </c>
      <c r="IZ13" s="6">
        <f>COUNTIFS(Table77[Country],Tabela1[[#This Row],[Country]],Table77[Shortboard Classification],"&gt;0")</f>
        <v>0</v>
      </c>
      <c r="JA13" s="6">
        <f>COUNTIFS(Table20[Country],Tabela1[[#This Row],[Country]],Table20[50m Freestyle Classification],"&gt;0")</f>
        <v>0</v>
      </c>
      <c r="JB13" s="6">
        <f>COUNTIFS(Table21[Country],Tabela1[[#This Row],[Country]],Table21[50m Freestyle Classification],"&gt;0")</f>
        <v>1</v>
      </c>
      <c r="JC13" s="6">
        <f>COUNTIFS(Table20[Country],Tabela1[[#This Row],[Country]],Table20[100m Freestyle Classification],"&gt;0")</f>
        <v>0</v>
      </c>
      <c r="JD13" s="6">
        <f>COUNTIFS(Table21[Country],Tabela1[[#This Row],[Country]],Table21[100m Freestyle Classification],"&gt;0")</f>
        <v>1</v>
      </c>
      <c r="JE13" s="6">
        <f>COUNTIFS(Table20[Country],Tabela1[[#This Row],[Country]],Table20[200m Freestyle Classification],"&gt;0")</f>
        <v>0</v>
      </c>
      <c r="JF13" s="6">
        <f>COUNTIFS(Table21[Country],Tabela1[[#This Row],[Country]],Table21[200m Freestyle Classification],"&gt;0")</f>
        <v>0</v>
      </c>
      <c r="JG13" s="6">
        <f>COUNTIFS(Table20[Country],Tabela1[[#This Row],[Country]],Table20[400m Freestyle Classification],"&gt;0")</f>
        <v>0</v>
      </c>
      <c r="JH13" s="6">
        <f>COUNTIFS(Table21[Country],Tabela1[[#This Row],[Country]],Table21[400m Freestyle Classification],"&gt;0")</f>
        <v>0</v>
      </c>
      <c r="JI13" s="6">
        <f>COUNTIFS(Table20[Country],Tabela1[[#This Row],[Country]],Table20[800m Freestyle Classification],"&gt;0")</f>
        <v>0</v>
      </c>
      <c r="JJ13" s="6">
        <f>COUNTIFS(Table21[Country],Tabela1[[#This Row],[Country]],Table21[800m Freestyle Classification],"&gt;0")</f>
        <v>0</v>
      </c>
      <c r="JK13" s="6">
        <f>COUNTIFS(Table20[Country],Tabela1[[#This Row],[Country]],Table20[1500m Freestyle Classification],"&gt;0")</f>
        <v>0</v>
      </c>
      <c r="JL13" s="6">
        <f>COUNTIFS(Table21[Country],Tabela1[[#This Row],[Country]],Table21[1500m Freestyle Classification],"&gt;0")</f>
        <v>0</v>
      </c>
      <c r="JM13" s="6">
        <f>COUNTIFS(Table20[Country],Tabela1[[#This Row],[Country]],Table20[100m Backstroke Classification],"&gt;0")</f>
        <v>0</v>
      </c>
      <c r="JN13" s="6">
        <f>COUNTIFS(Table21[Country],Tabela1[[#This Row],[Country]],Table21[100m Backstroke Classification],"&gt;0")</f>
        <v>1</v>
      </c>
      <c r="JO13" s="6">
        <f>COUNTIFS(Table20[Country],Tabela1[[#This Row],[Country]],Table20[200m Backstroke Classification],"&gt;0")</f>
        <v>0</v>
      </c>
      <c r="JP13" s="6">
        <f>COUNTIFS(Table21[Country],Tabela1[[#This Row],[Country]],Table21[200m Backstroke Classification],"&gt;0")</f>
        <v>2</v>
      </c>
      <c r="JQ13" s="6">
        <f>COUNTIFS(Table20[Country],Tabela1[[#This Row],[Country]],Table20[100m Breaststroke Classification],"&gt;0")</f>
        <v>0</v>
      </c>
      <c r="JR13" s="6">
        <f>COUNTIFS(Table21[Country],Tabela1[[#This Row],[Country]],Table21[100m Breaststroke Classification],"&gt;0")</f>
        <v>1</v>
      </c>
      <c r="JS13" s="6">
        <f>COUNTIFS(Table20[Country],Tabela1[[#This Row],[Country]],Table20[200m Breaststroke Classification],"&gt;0")</f>
        <v>0</v>
      </c>
      <c r="JT13" s="6">
        <f>COUNTIFS(Table21[Country],Tabela1[[#This Row],[Country]],Table21[200m Breaststroke Classification],"&gt;0")</f>
        <v>0</v>
      </c>
      <c r="JU13" s="6">
        <f>COUNTIFS(Table20[Country],Tabela1[[#This Row],[Country]],Table20[100m Butterfly Classification],"&gt;0")</f>
        <v>0</v>
      </c>
      <c r="JV13" s="6">
        <f>COUNTIFS(Table21[Country],Tabela1[[#This Row],[Country]],Table21[100m Butterfly Classification],"&gt;0")</f>
        <v>0</v>
      </c>
      <c r="JW13" s="6">
        <f>COUNTIFS(Table20[Country],Tabela1[[#This Row],[Country]],Table20[200m Butterfly Classification],"&gt;0")</f>
        <v>0</v>
      </c>
      <c r="JX13" s="6">
        <f>COUNTIFS(Table21[Country],Tabela1[[#This Row],[Country]],Table21[200m Butterfly Classification],"&gt;0")</f>
        <v>0</v>
      </c>
      <c r="JY13" s="6">
        <f>COUNTIFS(Table20[Country],Tabela1[[#This Row],[Country]],Table20[200m Medley Classification],"&gt;0")</f>
        <v>0</v>
      </c>
      <c r="JZ13" s="6">
        <f>COUNTIFS(Table21[Country],Tabela1[[#This Row],[Country]],Table21[200m Medley Classification],"&gt;0")</f>
        <v>0</v>
      </c>
      <c r="KA13" s="6">
        <f>COUNTIFS(Table20[Country],Tabela1[[#This Row],[Country]],Table20[400m Medley Classification],"&gt;0")</f>
        <v>0</v>
      </c>
      <c r="KB13" s="6">
        <f>COUNTIFS(Table21[Country],Tabela1[[#This Row],[Country]],Table21[400m Medley Classification],"&gt;0")</f>
        <v>0</v>
      </c>
      <c r="KC13" s="6">
        <f>COUNTIFS(Table78[Country],Tabela1[[#This Row],[Country]],Table78[Men''s 4x100m Freestyle Relay Classification],"&gt;0")</f>
        <v>0</v>
      </c>
      <c r="KD13" s="6">
        <f>COUNTIFS(Table78[Country],Tabela1[[#This Row],[Country]],Table78[Women''s 4x100m Freestyle Relay Classification],"&gt;0")</f>
        <v>1</v>
      </c>
      <c r="KE13" s="6">
        <f>COUNTIFS(Table78[Country],Tabela1[[#This Row],[Country]],Table78[Men''s 4x200m Freestyle Relay Classification],"&gt;0")</f>
        <v>0</v>
      </c>
      <c r="KF13" s="6">
        <f>COUNTIFS(Table78[Country],Tabela1[[#This Row],[Country]],Table78[Women''s 4x200m Freestyle Relay Classification],"&gt;0")</f>
        <v>0</v>
      </c>
      <c r="KG13" s="6">
        <f>COUNTIFS(Table78[Country],Tabela1[[#This Row],[Country]],Table78[Men''s 4x100m Medley Relay Classification],"&gt;0")</f>
        <v>0</v>
      </c>
      <c r="KH13" s="6">
        <f>COUNTIFS(Table78[Country],Tabela1[[#This Row],[Country]],Table78[Women''s 4x100m Medley Relay Classification],"&gt;0")</f>
        <v>1</v>
      </c>
      <c r="KI13" s="6">
        <f>COUNTIFS(Table78[Country],Tabela1[[#This Row],[Country]],Table78[Mixed 4x100m Medley Relay Classification],"&gt;0")</f>
        <v>1</v>
      </c>
      <c r="KJ13" s="6">
        <f>COUNTIFS(Table20[Country],Tabela1[[#This Row],[Country]],Table20[10km Open Water Classification],"&gt;0")</f>
        <v>1</v>
      </c>
      <c r="KK13" s="6">
        <f>COUNTIFS(Table21[Country],Tabela1[[#This Row],[Country]],Table21[10km Open Water Classification],"&gt;0")</f>
        <v>0</v>
      </c>
      <c r="KL13" s="6">
        <f>COUNTIFS(Table22[Country],Tabela1[[#This Row],[Country]],Table22[Classification],"&gt;0")</f>
        <v>0</v>
      </c>
      <c r="KM13" s="6">
        <f>COUNTIFS(Table30[Country],Tabela1[[#This Row],[Country]],Table30[Classification],"&gt;0")</f>
        <v>1</v>
      </c>
      <c r="KN13" s="6">
        <f>COUNTIFS(Table55[Country],Tabela1[[#This Row],[Country]],Table55[Men''s Classification],"&gt;0")</f>
        <v>0</v>
      </c>
      <c r="KO13" s="6">
        <f>COUNTIFS(Table55[Country],Tabela1[[#This Row],[Country]],Table55[Women''s Classification],"&gt;0")</f>
        <v>1</v>
      </c>
      <c r="KP13" s="6">
        <f>COUNTIFS(Table56[Country],Tabela1[[#This Row],[Country]],Table56[Mixed Classification],"&gt;0")</f>
        <v>0</v>
      </c>
      <c r="KQ13" s="6">
        <f>COUNTIFS(Table29[Country],Tabela1[[#This Row],[Country]],Table29[58kg Classification],"&gt;0")</f>
        <v>0</v>
      </c>
      <c r="KR13" s="6">
        <f>COUNTIFS(Table29[Country],Tabela1[[#This Row],[Country]],Table29[68kg Classification],"&gt;0")</f>
        <v>0</v>
      </c>
      <c r="KS13" s="6">
        <f>COUNTIFS(Table29[Country],Tabela1[[#This Row],[Country]],Table29[80kg Classification],"&gt;0")</f>
        <v>0</v>
      </c>
      <c r="KT13" s="6">
        <f>COUNTIFS(Table29[Country],Tabela1[[#This Row],[Country]],Table29[Plus 80kg Classification],"&gt;0")</f>
        <v>0</v>
      </c>
      <c r="KU13" s="6">
        <f>COUNTIFS(Table34[Country],Tabela1[[#This Row],[Country]],Table34[49kg Classification],"&gt;0")</f>
        <v>0</v>
      </c>
      <c r="KV13" s="6">
        <f>COUNTIFS(Table34[Country],Tabela1[[#This Row],[Country]],Table34[57kg Classification],"&gt;0")</f>
        <v>0</v>
      </c>
      <c r="KW13" s="6">
        <f>COUNTIFS(Table34[Country],Tabela1[[#This Row],[Country]],Table34[67kg Classification],"&gt;0")</f>
        <v>0</v>
      </c>
      <c r="KX13" s="6">
        <f>COUNTIFS(Table34[Country],Tabela1[[#This Row],[Country]],Table34[Plus 67kg Classification],"&gt;0")</f>
        <v>0</v>
      </c>
      <c r="KY13" s="6">
        <f>COUNTIFS(Table57[Country],Tabela1[[#This Row],[Country]],Table57[Classification],"&gt;0")</f>
        <v>0</v>
      </c>
      <c r="KZ13" s="6">
        <f>COUNTIFS(Table58[Country],Tabela1[[#This Row],[Country]],Table58[Classification],"&gt;0")</f>
        <v>0</v>
      </c>
      <c r="LA13" s="6">
        <f>COUNTIFS(Table79[Country],Tabela1[[#This Row],[Country]],Table79[Men''s Classification],"&gt;0")</f>
        <v>0</v>
      </c>
      <c r="LB13" s="6">
        <f>COUNTIFS(Table79[Country],Tabela1[[#This Row],[Country]],Table79[Women''s Classification],"&gt;0")</f>
        <v>0</v>
      </c>
      <c r="LC13" s="6">
        <f>COUNTIFS(Table79[Country],Tabela1[[#This Row],[Country]],Table79[Mixed Classification],"&gt;0")</f>
        <v>0</v>
      </c>
      <c r="LD13" s="6">
        <f>COUNTIFS(Table65[Country],Tabela1[[#This Row],[Country]],Table65[Classification],"&gt;0")</f>
        <v>0</v>
      </c>
      <c r="LE13" s="6">
        <f>COUNTIFS(Table59[Country],Tabela1[[#This Row],[Country]],Table59[Classification],"&gt;0")</f>
        <v>0</v>
      </c>
      <c r="LF13" s="6">
        <f>COUNTIFS(Table87[Country],Tabela1[[#This Row],[Country]],Table87[Mixed Relay Classification],"&gt;0")</f>
        <v>0</v>
      </c>
      <c r="LG13" s="6">
        <f>COUNTIFS(Table91949698100[Country],Tabela1[[#This Row],[Country]],Table91949698100[Men''s Classification],"&gt;0")</f>
        <v>1</v>
      </c>
      <c r="LH13" s="6">
        <f>COUNTIFS(Table91949698100[Country],Tabela1[[#This Row],[Country]],Table91949698100[Women''s Classification],"&gt;0")</f>
        <v>1</v>
      </c>
      <c r="LI13" s="6">
        <f>COUNTIFS(Table91949698100102[Country],Tabela1[[#This Row],[Country]],Table91949698100102[Men''s Classification],"&gt;0")</f>
        <v>0</v>
      </c>
      <c r="LJ13" s="6">
        <f>COUNTIFS(Table91949698100102[Country],Tabela1[[#This Row],[Country]],Table91949698100102[Women''s Classification],"&gt;0")</f>
        <v>0</v>
      </c>
      <c r="LK13" s="6">
        <f>COUNTIFS(Table23[Country],Tabela1[[#This Row],[Country]],Table23[61kg Classification],"&gt;0")</f>
        <v>0</v>
      </c>
      <c r="LL13" s="6">
        <f>COUNTIFS(Table23[Country],Tabela1[[#This Row],[Country]],Table23[73kg Classification],"&gt;0")</f>
        <v>0</v>
      </c>
      <c r="LM13" s="6">
        <f>COUNTIFS(Table23[Country],Tabela1[[#This Row],[Country]],Table23[89kg Classification],"&gt;0")</f>
        <v>0</v>
      </c>
      <c r="LN13" s="6">
        <f>COUNTIFS(Table23[Country],Tabela1[[#This Row],[Country]],Table23[102kg Classification],"&gt;0")</f>
        <v>0</v>
      </c>
      <c r="LO13" s="6">
        <f>COUNTIFS(Table23[Country],Tabela1[[#This Row],[Country]],Table23[Plus 102kg Classification],"&gt;0")</f>
        <v>0</v>
      </c>
      <c r="LP13" s="6">
        <f>COUNTIFS(Table28[Country],Tabela1[[#This Row],[Country]],Table28[49kg Classification],"&gt;0")</f>
        <v>0</v>
      </c>
      <c r="LQ13" s="6">
        <f>COUNTIFS(Table28[Country],Tabela1[[#This Row],[Country]],Table28[59kg Classification],"&gt;0")</f>
        <v>0</v>
      </c>
      <c r="LR13" s="6">
        <f>COUNTIFS(Table28[Country],Tabela1[[#This Row],[Country]],Table28[71kg Classification],"&gt;0")</f>
        <v>0</v>
      </c>
      <c r="LS13" s="6">
        <f>COUNTIFS(Table28[Country],Tabela1[[#This Row],[Country]],Table28[81kg Classification],"&gt;0")</f>
        <v>0</v>
      </c>
      <c r="LT13" s="6">
        <f>COUNTIFS(Table28[Country],Tabela1[[#This Row],[Country]],Table28[Plus 81kg Classification],"&gt;0")</f>
        <v>0</v>
      </c>
      <c r="LU13" s="6">
        <f>COUNTIFS(Table24[Country],Tabela1[[#This Row],[Country]],Table24[Freestyle 57kg Classification],"&gt;0")</f>
        <v>0</v>
      </c>
      <c r="LV13" s="6">
        <f>COUNTIFS(Table24[Country],Tabela1[[#This Row],[Country]],Table24[Freestyle 65kg Classification],"&gt;0")</f>
        <v>0</v>
      </c>
      <c r="LW13" s="6">
        <f>COUNTIFS(Table24[Country],Tabela1[[#This Row],[Country]],Table24[Freestyle 74kg Classification],"&gt;0")</f>
        <v>0</v>
      </c>
      <c r="LX13" s="6">
        <f>COUNTIFS(Table24[Country],Tabela1[[#This Row],[Country]],Table24[Freestyle 86kg Classification],"&gt;0")</f>
        <v>0</v>
      </c>
      <c r="LY13" s="6">
        <f>COUNTIFS(Table24[Country],Tabela1[[#This Row],[Country]],Table24[Freestyle 97kg Classification],"&gt;0")</f>
        <v>0</v>
      </c>
      <c r="LZ13" s="6">
        <f>COUNTIFS(Table24[Country],Tabela1[[#This Row],[Country]],Table24[Freestyle 125kg Classification],"&gt;0")</f>
        <v>0</v>
      </c>
      <c r="MA13" s="6">
        <f>COUNTIFS(Table24[Country],Tabela1[[#This Row],[Country]],Table24[Greco-Roman 60kg Classification],"&gt;0")</f>
        <v>0</v>
      </c>
      <c r="MB13" s="6">
        <f>COUNTIFS(Table24[Country],Tabela1[[#This Row],[Country]],Table24[Greco-Roman 67kg Classification],"&gt;0")</f>
        <v>0</v>
      </c>
      <c r="MC13" s="6">
        <f>COUNTIFS(Table24[Country],Tabela1[[#This Row],[Country]],Table24[Greco-Roman 77kg Classification],"&gt;0")</f>
        <v>0</v>
      </c>
      <c r="MD13" s="6">
        <f>COUNTIFS(Table24[Country],Tabela1[[#This Row],[Country]],Table24[Greco-Roman 87kg Classification],"&gt;0")</f>
        <v>0</v>
      </c>
      <c r="ME13" s="6">
        <f>COUNTIFS(Table24[Country],Tabela1[[#This Row],[Country]],Table24[Greco-Roman 97kg Classification],"&gt;0")</f>
        <v>0</v>
      </c>
      <c r="MF13" s="6">
        <f>COUNTIFS(Table24[Country],Tabela1[[#This Row],[Country]],Table24[Greco-Roman 130kg Classification],"&gt;0")</f>
        <v>0</v>
      </c>
      <c r="MG13" s="6">
        <f>COUNTIFS(Table31[Country],Tabela1[[#This Row],[Country]],Table31[50kg Classification],"&gt;0")</f>
        <v>0</v>
      </c>
      <c r="MH13" s="6">
        <f>COUNTIFS(Table31[Country],Tabela1[[#This Row],[Country]],Table31[53kg Classification],"&gt;0")</f>
        <v>0</v>
      </c>
      <c r="MI13" s="6">
        <f>COUNTIFS(Table31[Country],Tabela1[[#This Row],[Country]],Table31[57kg Classification],"&gt;0")</f>
        <v>1</v>
      </c>
      <c r="MJ13" s="6">
        <f>COUNTIFS(Table31[Country],Tabela1[[#This Row],[Country]],Table31[62kg Classification],"&gt;0")</f>
        <v>0</v>
      </c>
      <c r="MK13" s="6">
        <f>COUNTIFS(Table31[Country],Tabela1[[#This Row],[Country]],Table31[68kg Classification],"&gt;0")</f>
        <v>0</v>
      </c>
      <c r="ML13" s="6">
        <f>COUNTIFS(Table31[Country],Tabela1[[#This Row],[Country]],Table31[76kg Classification],"&gt;0")</f>
        <v>0</v>
      </c>
      <c r="MM13" s="6">
        <f>COUNTIFS(Table102[Country],Tabela1[[#This Row],[Country]],Table102[Downhill Classification],"&gt;0")</f>
        <v>0</v>
      </c>
      <c r="MN13" s="6">
        <f>COUNTIFS(Table102105[Country],Tabela1[[#This Row],[Country]],Table102105[Downhill Classification],"&gt;0")</f>
        <v>0</v>
      </c>
      <c r="MO13" s="6">
        <f>COUNTIFS(Table102[Country],Tabela1[[#This Row],[Country]],Table102[Giant Slalom Classification],"&gt;0")</f>
        <v>0</v>
      </c>
      <c r="MP13" s="6">
        <f>COUNTIFS(Table102105[Country],Tabela1[[#This Row],[Country]],Table102105[Giant Slalom Classification],"&gt;0")</f>
        <v>0</v>
      </c>
      <c r="MQ13" s="6">
        <f>COUNTIFS(Table102[Country],Tabela1[[#This Row],[Country]],Table102[Slalom Classification],"&gt;0")</f>
        <v>1</v>
      </c>
      <c r="MR13" s="6">
        <f>COUNTIFS(Table102105[Country],Tabela1[[#This Row],[Country]],Table102105[Slalom Classification],"&gt;0")</f>
        <v>0</v>
      </c>
      <c r="MS13" s="6">
        <f>COUNTIFS(Table102[Country],Tabela1[[#This Row],[Country]],Table102[Super-G Classification],"&gt;0")</f>
        <v>0</v>
      </c>
      <c r="MT13" s="6">
        <f>COUNTIFS(Table102105[Country],Tabela1[[#This Row],[Country]],Table102105[Super-G Classification],"&gt;0")</f>
        <v>0</v>
      </c>
      <c r="MU13" s="6">
        <f>COUNTIFS(Table105[Country],Tabela1[[#This Row],[Country]],Table105[Men''s Combined Classification],"&gt;0")</f>
        <v>0</v>
      </c>
      <c r="MV13" s="6">
        <f>COUNTIFS(Table105[Country],Tabela1[[#This Row],[Country]],Table105[Women''s Combined Classification],"&gt;0")</f>
        <v>0</v>
      </c>
      <c r="MW13" s="6">
        <f>COUNTIFS(Table106[Country],Tabela1[[#This Row],[Country]],Table106[Individual Classification],"&gt;0")</f>
        <v>2</v>
      </c>
      <c r="MX13" s="6">
        <f>COUNTIFS(Table106109[Country],Tabela1[[#This Row],[Country]],Table106109[Individual Classification],"&gt;0")</f>
        <v>1</v>
      </c>
      <c r="MY13" s="6">
        <f>COUNTIFS(Table106[Country],Tabela1[[#This Row],[Country]],Table106[Mass Start Classification],"&gt;0")</f>
        <v>0</v>
      </c>
      <c r="MZ13" s="6">
        <f>COUNTIFS(Table106109[Country],Tabela1[[#This Row],[Country]],Table106109[Mass Start Classification],"&gt;0")</f>
        <v>1</v>
      </c>
      <c r="NA13" s="6">
        <f>COUNTIFS(Table106[Country],Tabela1[[#This Row],[Country]],Table106[Pursuit Classification],"&gt;0")</f>
        <v>1</v>
      </c>
      <c r="NB13" s="6">
        <f>COUNTIFS(Table106109[Country],Tabela1[[#This Row],[Country]],Table106109[Pursuit Classification],"&gt;0")</f>
        <v>1</v>
      </c>
      <c r="NC13" s="6">
        <f>COUNTIFS(Table106[Country],Tabela1[[#This Row],[Country]],Table106[Sprint Classification],"&gt;0")</f>
        <v>2</v>
      </c>
      <c r="ND13" s="6">
        <f>COUNTIFS(Table106109[Country],Tabela1[[#This Row],[Country]],Table106109[Sprint Classification],"&gt;0")</f>
        <v>1</v>
      </c>
      <c r="NE13" s="6">
        <f>COUNTIFS(Table109[Country],Tabela1[[#This Row],[Country]],Table109[Men''s Relay Classification],"&gt;0")</f>
        <v>1</v>
      </c>
      <c r="NF13" s="6">
        <f>COUNTIFS(Table109[Country],Tabela1[[#This Row],[Country]],Table109[Women''s Relay Classification],"&gt;0")</f>
        <v>1</v>
      </c>
      <c r="NG13" s="6">
        <f>COUNTIFS(Table109[Country],Tabela1[[#This Row],[Country]],Table109[Mixed Relay Classification],"&gt;0")</f>
        <v>1</v>
      </c>
      <c r="NH13" s="6">
        <f>COUNTIFS(Table110[Country],Tabela1[[#This Row],[Country]],Table110[Monobob Classification],"&gt;0")</f>
        <v>0</v>
      </c>
      <c r="NI13" s="6">
        <f>COUNTIFS(Table111[Country],Tabela1[[#This Row],[Country]],Table111[Men''s Classification],"&gt;0")</f>
        <v>0</v>
      </c>
      <c r="NJ13" s="6">
        <f>COUNTIFS(Table111[Country],Tabela1[[#This Row],[Country]],Table111[Women''s Classification],"&gt;0")</f>
        <v>0</v>
      </c>
      <c r="NK13" s="6">
        <f>COUNTIFS(Table112[Country],Tabela1[[#This Row],[Country]],Table112[Men''s Four Classification],"&gt;0")</f>
        <v>0</v>
      </c>
      <c r="NL13" s="6">
        <f>COUNTIFS(Table113[Country],Tabela1[[#This Row],[Country]],Table113[Classical Classification],"&gt;0")</f>
        <v>0</v>
      </c>
      <c r="NM13" s="6">
        <f>COUNTIFS(Table113116[Country],Tabela1[[#This Row],[Country]],Table113116[Classical Classification],"&gt;0")</f>
        <v>0</v>
      </c>
      <c r="NN13" s="6">
        <f>COUNTIFS(Table113[Country],Tabela1[[#This Row],[Country]],Table113[Freestyle Classification],"&gt;0")</f>
        <v>0</v>
      </c>
      <c r="NO13" s="6">
        <f>COUNTIFS(Table113116[Country],Tabela1[[#This Row],[Country]],Table113116[Freestyle Classification],"&gt;0")</f>
        <v>1</v>
      </c>
      <c r="NP13" s="6">
        <f>COUNTIFS(Table117[Country],Tabela1[[#This Row],[Country]],Table117[Men''s Relay Classification],"&gt;0")</f>
        <v>0</v>
      </c>
      <c r="NQ13" s="6">
        <f>COUNTIFS(Table117[Country],Tabela1[[#This Row],[Country]],Table117[Women''s Relay Classification],"&gt;0")</f>
        <v>1</v>
      </c>
      <c r="NR13" s="6">
        <f>COUNTIFS(Table113[Country],Tabela1[[#This Row],[Country]],Table113[Skiathlon Classification],"&gt;0")</f>
        <v>0</v>
      </c>
      <c r="NS13" s="6">
        <f>COUNTIFS(Table113116[Country],Tabela1[[#This Row],[Country]],Table113116[Skiathlon Classification],"&gt;0")</f>
        <v>1</v>
      </c>
      <c r="NT13" s="6">
        <f>COUNTIFS(Table113[Country],Tabela1[[#This Row],[Country]],Table113[Sprint Classification],"&gt;0")</f>
        <v>0</v>
      </c>
      <c r="NU13" s="6">
        <f>COUNTIFS(Table113116[Country],Tabela1[[#This Row],[Country]],Table113116[Sprint Classification],"&gt;0")</f>
        <v>1</v>
      </c>
      <c r="NV13" s="6">
        <f>COUNTIFS(Table116[Country],Tabela1[[#This Row],[Country]],Table116[Men''s Team Sprint Classification],"&gt;0")</f>
        <v>0</v>
      </c>
      <c r="NW13" s="6">
        <f>COUNTIFS(Table116[Country],Tabela1[[#This Row],[Country]],Table116[Women''s Team Sprint Classification],"&gt;0")</f>
        <v>1</v>
      </c>
      <c r="NX13" s="6">
        <f>COUNTIFS(Table119[Country],Tabela1[[#This Row],[Country]],Table119[Men''s Classification],"&gt;0")</f>
        <v>0</v>
      </c>
      <c r="NY13" s="6">
        <f>COUNTIFS(Table119[Country],Tabela1[[#This Row],[Country]],Table119[Women''s Classification],"&gt;0")</f>
        <v>0</v>
      </c>
      <c r="NZ13" s="6">
        <f>COUNTIFS(Table118[Country],Tabela1[[#This Row],[Country]],Table118[Mixed Classification],"&gt;0")</f>
        <v>0</v>
      </c>
      <c r="OA13" s="6">
        <f>COUNTIFS(Table120[Country],Tabela1[[#This Row],[Country]],Table120[Classification],"&gt;0")</f>
        <v>0</v>
      </c>
      <c r="OB13" s="6">
        <f>COUNTIFS(Table120123[Country],Tabela1[[#This Row],[Country]],Table120123[Classification],"&gt;0")</f>
        <v>0</v>
      </c>
      <c r="OC13" s="6">
        <f>COUNTIFS(Table123[Country],Tabela1[[#This Row],[Country]],Table123[Ice Dance Classification],"&gt;0")</f>
        <v>0</v>
      </c>
      <c r="OD13" s="6">
        <f>COUNTIFS(Table123[Country],Tabela1[[#This Row],[Country]],Table123[Pair Skating Classification],"&gt;0")</f>
        <v>0</v>
      </c>
      <c r="OE13" s="6">
        <f>COUNTIFS(Table124[Country],Tabela1[[#This Row],[Country]],Table124[Mixed Classification],"&gt;0")</f>
        <v>0</v>
      </c>
      <c r="OF13" s="6">
        <f>COUNTIFS(Table125[Country],Tabela1[[#This Row],[Country]],Table125[Aerials Classification],"&gt;0")</f>
        <v>0</v>
      </c>
      <c r="OG13" s="6">
        <f>COUNTIFS(Table125128[Country],Tabela1[[#This Row],[Country]],Table125128[Aerials Classification],"&gt;0")</f>
        <v>0</v>
      </c>
      <c r="OH13" s="6">
        <f>COUNTIFS(Table128[Country],Tabela1[[#This Row],[Country]],Table128[Mixed Aerials Classification],"&gt;0")</f>
        <v>0</v>
      </c>
      <c r="OI13" s="6">
        <f>COUNTIFS(Table125[Country],Tabela1[[#This Row],[Country]],Table125[Big Air Classification],"&gt;0")</f>
        <v>0</v>
      </c>
      <c r="OJ13" s="6">
        <f>COUNTIFS(Table125128[Country],Tabela1[[#This Row],[Country]],Table125128[Big Air Classification],"&gt;0")</f>
        <v>0</v>
      </c>
      <c r="OK13" s="6">
        <f>COUNTIFS(Table125[Country],Tabela1[[#This Row],[Country]],Table125[Dual Moguls Classification],"&gt;0")</f>
        <v>0</v>
      </c>
      <c r="OL13" s="6">
        <f>COUNTIFS(Table125128[Country],Tabela1[[#This Row],[Country]],Table125128[Dual Moguls Classification],"&gt;0")</f>
        <v>0</v>
      </c>
      <c r="OM13" s="6">
        <f>COUNTIFS(Table125[Country],Tabela1[[#This Row],[Country]],Table125[Halfpipe Classification],"&gt;0")</f>
        <v>0</v>
      </c>
      <c r="ON13" s="6">
        <f>COUNTIFS(Table125128[Country],Tabela1[[#This Row],[Country]],Table125128[Halfpipe Classification],"&gt;0")</f>
        <v>0</v>
      </c>
      <c r="OO13" s="6">
        <f>COUNTIFS(Table125[Country],Tabela1[[#This Row],[Country]],Table125[Moguls Classification],"&gt;0")</f>
        <v>0</v>
      </c>
      <c r="OP13" s="6">
        <f>COUNTIFS(Table125128[Country],Tabela1[[#This Row],[Country]],Table125128[Moguls Classification],"&gt;0")</f>
        <v>0</v>
      </c>
      <c r="OQ13" s="6">
        <f>COUNTIFS(Table125[Country],Tabela1[[#This Row],[Country]],Table125[Ski Cross Classification],"&gt;0")</f>
        <v>0</v>
      </c>
      <c r="OR13" s="6">
        <f>COUNTIFS(Table125128[Country],Tabela1[[#This Row],[Country]],Table125128[Ski Cross Classification],"&gt;0")</f>
        <v>0</v>
      </c>
      <c r="OS13" s="6">
        <f>COUNTIFS(Table125[Country],Tabela1[[#This Row],[Country]],Table125[Slopestyle Classification],"&gt;0")</f>
        <v>0</v>
      </c>
      <c r="OT13" s="6">
        <f>COUNTIFS(Table125128[Country],Tabela1[[#This Row],[Country]],Table125128[Slopestyle Classification],"&gt;0")</f>
        <v>0</v>
      </c>
      <c r="OU13" s="6">
        <f>COUNTIFS(Table119131[Country],Tabela1[[#This Row],[Country]],Table119131[Men''s Classification],"&gt;0")</f>
        <v>0</v>
      </c>
      <c r="OV13" s="6">
        <f>COUNTIFS(Table119131[Country],Tabela1[[#This Row],[Country]],Table119131[Women''s Classification],"&gt;0")</f>
        <v>0</v>
      </c>
      <c r="OW13" s="6">
        <f>COUNTIFS(Table131[Country],Tabela1[[#This Row],[Country]],Table131[Classification],"&gt;0")</f>
        <v>1</v>
      </c>
      <c r="OX13" s="6">
        <f>COUNTIFS(Table131134[Country],Tabela1[[#This Row],[Country]],Table131134[Classification],"&gt;0")</f>
        <v>0</v>
      </c>
      <c r="OY13" s="6">
        <f>COUNTIFS(Table134[Country],Tabela1[[#This Row],[Country]],Table134[Men''s Classification],"&gt;0")</f>
        <v>1</v>
      </c>
      <c r="OZ13" s="6">
        <f>COUNTIFS(Table134[Country],Tabela1[[#This Row],[Country]],Table134[Women''s Classification],"&gt;0")</f>
        <v>0</v>
      </c>
      <c r="PA13" s="6">
        <f>COUNTIFS(Table135[Country],Tabela1[[#This Row],[Country]],Table135[Mixed Relay Classification],"&gt;0")</f>
        <v>1</v>
      </c>
      <c r="PB13" s="6">
        <f>COUNTIFS(Table136[Country],Tabela1[[#This Row],[Country]],Table136[Individual Classification],"&gt;0")</f>
        <v>0</v>
      </c>
      <c r="PC13" s="6">
        <f>COUNTIFS(Table136[Country],Tabela1[[#This Row],[Country]],Table136[Sprint Classification],"&gt;0")</f>
        <v>0</v>
      </c>
      <c r="PD13" s="6">
        <f>COUNTIFS(Table137[Country],Tabela1[[#This Row],[Country]],Table137[Men''s Team Sprint Large Hill Classification],"&gt;0")</f>
        <v>0</v>
      </c>
      <c r="PE13" s="6">
        <f>COUNTIFS(Table138[Country],Tabela1[[#This Row],[Country]],Table138[500m Classification],"&gt;0")</f>
        <v>1</v>
      </c>
      <c r="PF13" s="6">
        <f>COUNTIFS(Table138141[Country],Tabela1[[#This Row],[Country]],Table138141[500m Classification],"&gt;0")</f>
        <v>1</v>
      </c>
      <c r="PG13" s="6">
        <f>COUNTIFS(Table138[Country],Tabela1[[#This Row],[Country]],Table138[1000m Classification],"&gt;0")</f>
        <v>1</v>
      </c>
      <c r="PH13" s="6">
        <f>COUNTIFS(Table138141[Country],Tabela1[[#This Row],[Country]],Table138141[1000m Classification],"&gt;0")</f>
        <v>2</v>
      </c>
      <c r="PI13" s="6">
        <f>COUNTIFS(Table138[Country],Tabela1[[#This Row],[Country]],Table138[1500m Classification],"&gt;0")</f>
        <v>1</v>
      </c>
      <c r="PJ13" s="6">
        <f>COUNTIFS(Table138141[Country],Tabela1[[#This Row],[Country]],Table138141[1500m Classification],"&gt;0")</f>
        <v>2</v>
      </c>
      <c r="PK13" s="6">
        <f>COUNTIFS(Table141[Country],Tabela1[[#This Row],[Country]],Table141[Men''s 5000m Relay Classification],"&gt;0")</f>
        <v>0</v>
      </c>
      <c r="PL13" s="6">
        <f>COUNTIFS(Table141[Country],Tabela1[[#This Row],[Country]],Table141[Women''s 3000m Relay Classification],"&gt;0")</f>
        <v>0</v>
      </c>
      <c r="PM13" s="6">
        <f>COUNTIFS(Table141[Country],Tabela1[[#This Row],[Country]],Table141[Mixed 2000m Relay Classification],"&gt;0")</f>
        <v>1</v>
      </c>
      <c r="PN13" s="6">
        <f>COUNTIFS(Table142[Country],Tabela1[[#This Row],[Country]],Table142[Classification],"&gt;0")</f>
        <v>0</v>
      </c>
      <c r="PO13" s="6">
        <f>COUNTIFS(Table142145[Country],Tabela1[[#This Row],[Country]],Table142145[Classification],"&gt;0")</f>
        <v>0</v>
      </c>
      <c r="PP13" s="6">
        <f>COUNTIFS(Tabela15[Country],Tabela1[[#This Row],[Country]],Tabela15[Mixed Team Classification],"&gt;0")</f>
        <v>0</v>
      </c>
      <c r="PQ13" s="6">
        <f>COUNTIFS(Table145[Country],Tabela1[[#This Row],[Country]],Table145[Large Hill Classification],"&gt;0")</f>
        <v>0</v>
      </c>
      <c r="PR13" s="6">
        <f>COUNTIFS(Table145[Country],Tabela1[[#This Row],[Country]],Table145[Normal Hill Classification],"&gt;0")</f>
        <v>0</v>
      </c>
      <c r="PS13" s="6">
        <f>COUNTIFS(Table145148[Country],Tabela1[[#This Row],[Country]],Table145148[Large Hill Classification],"&gt;0")</f>
        <v>0</v>
      </c>
      <c r="PT13" s="6">
        <f>COUNTIFS(Table145148[Country],Tabela1[[#This Row],[Country]],Table145148[Normal Hill Classification],"&gt;0")</f>
        <v>0</v>
      </c>
      <c r="PU13" s="6">
        <f>COUNTIFS(Table148[Country],Tabela1[[#This Row],[Country]],Table148[Men''s Super Team Classification],"&gt;0")</f>
        <v>0</v>
      </c>
      <c r="PV13" s="6">
        <f>COUNTIFS(Tabela114[Country],Tabela1[[#This Row],[Country]],Tabela114[Mixed Normal Hill Classification],"&gt;0")</f>
        <v>0</v>
      </c>
      <c r="PW13" s="6">
        <f>COUNTIFS(Tabela50[Country],Tabela1[[#This Row],[Country]],Tabela50[Sprint Classification],"&gt;0")</f>
        <v>0</v>
      </c>
      <c r="PX13" s="6">
        <f>COUNTIFS(Tabela50101[Country],Tabela1[[#This Row],[Country]],Tabela50101[Sprint Classification],"&gt;0")</f>
        <v>0</v>
      </c>
      <c r="PY13" s="6">
        <f>COUNTIFS(Tabela103[Country],Tabela1[[#This Row],[Country]],Tabela103[Mixed Relay Classification],"&gt;0")</f>
        <v>0</v>
      </c>
      <c r="PZ13" s="6">
        <f>COUNTIFS(Table149[Country],Tabela1[[#This Row],[Country]],Table149[Big Air Classification],"&gt;0")</f>
        <v>0</v>
      </c>
      <c r="QA13" s="6">
        <f>COUNTIFS(Table149152[Country],Tabela1[[#This Row],[Country]],Table149152[Big Air Classification],"&gt;0")</f>
        <v>0</v>
      </c>
      <c r="QB13" s="6">
        <f>COUNTIFS(Table149[Country],Tabela1[[#This Row],[Country]],Table149[Halfpipe Classification],"&gt;0")</f>
        <v>0</v>
      </c>
      <c r="QC13" s="6">
        <f>COUNTIFS(Table149152[Country],Tabela1[[#This Row],[Country]],Table149152[Halfpipe Classification],"&gt;0")</f>
        <v>0</v>
      </c>
      <c r="QD13" s="6">
        <f>COUNTIFS(Table149[Country],Tabela1[[#This Row],[Country]],Table149[Parallel Giant Slalom Classification],"&gt;0")</f>
        <v>0</v>
      </c>
      <c r="QE13" s="6">
        <f>COUNTIFS(Table149152[Country],Tabela1[[#This Row],[Country]],Table149152[Parallel Giant Slalom Classification],"&gt;0")</f>
        <v>0</v>
      </c>
      <c r="QF13" s="6">
        <f>COUNTIFS(Table149[Country],Tabela1[[#This Row],[Country]],Table149[Slopestyle Classification],"&gt;0")</f>
        <v>0</v>
      </c>
      <c r="QG13" s="6">
        <f>COUNTIFS(Table149152[Country],Tabela1[[#This Row],[Country]],Table149152[Slopestyle Classification],"&gt;0")</f>
        <v>0</v>
      </c>
      <c r="QH13" s="6">
        <f>COUNTIFS(Table149[Country],Tabela1[[#This Row],[Country]],Table149[Snowboard Cross Classification],"&gt;0")</f>
        <v>0</v>
      </c>
      <c r="QI13" s="6">
        <f>COUNTIFS(Table149152[Country],Tabela1[[#This Row],[Country]],Table149152[Snowboard Cross Classification],"&gt;0")</f>
        <v>0</v>
      </c>
      <c r="QJ13" s="6">
        <f>COUNTIFS(Table153[Country],Tabela1[[#This Row],[Country]],Table153[Mixed Team Snowboard Cross Classification],"&gt;0")</f>
        <v>0</v>
      </c>
      <c r="QK13" s="6">
        <f>COUNTIFS(Table154[Country],Tabela1[[#This Row],[Country]],Table154[500m Classification],"&gt;0")</f>
        <v>0</v>
      </c>
      <c r="QL13" s="6">
        <f>COUNTIFS(Table154157[Country],Tabela1[[#This Row],[Country]],Table154157[500m Classification],"&gt;0")</f>
        <v>2</v>
      </c>
      <c r="QM13" s="6">
        <f>COUNTIFS(Table154[Country],Tabela1[[#This Row],[Country]],Table154[1000m Classification],"&gt;0")</f>
        <v>0</v>
      </c>
      <c r="QN13" s="6">
        <f>COUNTIFS(Table154157[Country],Tabela1[[#This Row],[Country]],Table154157[1000m Classification],"&gt;0")</f>
        <v>1</v>
      </c>
      <c r="QO13" s="6">
        <f>COUNTIFS(Table154[Country],Tabela1[[#This Row],[Country]],Table154[1500m Classification],"&gt;0")</f>
        <v>1</v>
      </c>
      <c r="QP13" s="6">
        <f>COUNTIFS(Table154157[Country],Tabela1[[#This Row],[Country]],Table154157[1500m Classification],"&gt;0")</f>
        <v>1</v>
      </c>
      <c r="QQ13" s="6">
        <f>COUNTIFS(Table154157[Country],Tabela1[[#This Row],[Country]],Table154157[3000m Classification],"&gt;0")</f>
        <v>0</v>
      </c>
      <c r="QR13" s="6">
        <f>COUNTIFS(Table154[Country],Tabela1[[#This Row],[Country]],Table154[5000m Classification],"&gt;0")</f>
        <v>0</v>
      </c>
      <c r="QS13" s="6">
        <f>COUNTIFS(Table154157[Country],Tabela1[[#This Row],[Country]],Table154157[5000m Classification],"&gt;0")</f>
        <v>0</v>
      </c>
      <c r="QT13" s="6">
        <f>COUNTIFS(Table154[Country],Tabela1[[#This Row],[Country]],Table154[10000m Classification],"&gt;0")</f>
        <v>1</v>
      </c>
      <c r="QU13" s="6">
        <f>COUNTIFS(Table154[Country],Tabela1[[#This Row],[Country]],Table154[Mass Start Classification],"&gt;0")</f>
        <v>1</v>
      </c>
      <c r="QV13" s="6">
        <f>COUNTIFS(Table154157[Country],Tabela1[[#This Row],[Country]],Table154157[Mass Start Classification],"&gt;0")</f>
        <v>1</v>
      </c>
      <c r="QW13" s="6">
        <f>COUNTIFS(Table157[Country],Tabela1[[#This Row],[Country]],Table157[Men''s Pursuit Classification],"&gt;0")</f>
        <v>0</v>
      </c>
      <c r="QX13" s="6">
        <f>COUNTIFS(Table157[Country],Tabela1[[#This Row],[Country]],Table157[Women''s Pursuit Classification],"&gt;0")</f>
        <v>0</v>
      </c>
      <c r="QY13" s="3" t="s">
        <v>395</v>
      </c>
    </row>
    <row r="14" spans="1:467" x14ac:dyDescent="0.3">
      <c r="A14" s="6">
        <v>13</v>
      </c>
      <c r="B14" s="6" t="s">
        <v>372</v>
      </c>
      <c r="C14" t="e" vm="13">
        <f>IF(ISBLANK(Tabela1[[#This Row],[Image Link]]), "", _xlfn.IMAGE(Tabela1[[#This Row],[Image Link]],1,1))</f>
        <v>#VALUE!</v>
      </c>
      <c r="D14" s="6">
        <f>SUM(Tabela1[[#This Row],[Archery - Men''s Individual Recurve]:[Speed Skating - Women''s Team Pursuit]])</f>
        <v>102</v>
      </c>
      <c r="E14" s="6">
        <f>COUNTIF(Tabela1[[#This Row],[Archery - Men''s Individual Recurve]:[Speed Skating - Women''s Team Pursuit]],"&gt;0")</f>
        <v>78</v>
      </c>
      <c r="F14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Winter Olympics</v>
      </c>
      <c r="G14" s="6">
        <f>SUM(Tabela1[[#This Row],[Archery - Men''s Individual Recurve]:[Wrestling - Women''s Freestyle 76kg]])</f>
        <v>39</v>
      </c>
      <c r="H14" s="6">
        <f>SUM(Tabela1[[#This Row],[Alpine Skiing - Men''s Downhill]:[Speed Skating - Women''s Team Pursuit]])</f>
        <v>63</v>
      </c>
      <c r="I14" s="6">
        <f>Tabela1[[#This Row],[Summer Gold Medals]]+Tabela1[[#This Row],[Winter Gold Medals]]</f>
        <v>0</v>
      </c>
      <c r="J14" s="6">
        <f>Tabela1[[#This Row],[Summer Silver Medals]]+Tabela1[[#This Row],[Winter Silver Medals]]</f>
        <v>1</v>
      </c>
      <c r="K14" s="6">
        <f>Tabela1[[#This Row],[Summer Bronze Medals]]+Tabela1[[#This Row],[Winter Bronze Medals]]</f>
        <v>4</v>
      </c>
      <c r="L14" s="6">
        <f>SUM(Tabela1[[#This Row],[Total Gold Medals]:[Total Bronze Medals]])</f>
        <v>5</v>
      </c>
      <c r="M14" s="6"/>
      <c r="N14" s="6"/>
      <c r="O14" s="6"/>
      <c r="P14" s="6">
        <f>SUM(Tabela1[[#This Row],[Summer Gold Medals]:[Summer Bronze Medals]])</f>
        <v>0</v>
      </c>
      <c r="Q14" s="6"/>
      <c r="R14" s="6">
        <v>1</v>
      </c>
      <c r="S14" s="6">
        <v>4</v>
      </c>
      <c r="T14" s="6">
        <f>Tabela1[[#This Row],[Winter Gold Medals]]+Tabela1[[#This Row],[Winter Silver Medals]]+Tabela1[[#This Row],[Winter Bronze Medals]]</f>
        <v>5</v>
      </c>
      <c r="U14" s="7">
        <f>Tabela1[[#This Row],[Total Medals]]/Tabela1[[#This Row],[Total Quotas]]</f>
        <v>4.9019607843137254E-2</v>
      </c>
      <c r="V14" s="6">
        <f>COUNTIFS(Table3[Country],Tabela1[[#This Row],[Country]],Table3[Recurve Classification],"&gt;0")</f>
        <v>0</v>
      </c>
      <c r="W14" s="6">
        <f>COUNTIFS(Table33[Country],Tabela1[[#This Row],[Country]],Table33[Recurve Classification],"&gt;0")</f>
        <v>0</v>
      </c>
      <c r="X14" s="6">
        <f>COUNTIFS(Table35[Country],Tabela1[[#This Row],[Country]],Table35[Men''s Team Recurve Classification],"&gt;0")</f>
        <v>0</v>
      </c>
      <c r="Y14" s="6">
        <f>COUNTIFS(Table35[Country],Tabela1[[#This Row],[Country]],Table35[Women''s Team Recurve Classification],"&gt;0")</f>
        <v>0</v>
      </c>
      <c r="Z14" s="6">
        <f>COUNTIFS(Tabela88[Country],Tabela1[[#This Row],[Country]],Tabela88[Mixed Team Recurve Classification],"&gt;0")</f>
        <v>0</v>
      </c>
      <c r="AA14" s="6">
        <f>COUNTIFS(Table36[Country],Tabela1[[#This Row],[Country]],Table36[Classification],"&gt;0")</f>
        <v>0</v>
      </c>
      <c r="AB14" s="6">
        <f>COUNTIFS(Table37[Country],Tabela1[[#This Row],[Country]],Table37[Classification],"&gt;0")</f>
        <v>0</v>
      </c>
      <c r="AC14" s="6">
        <f>COUNTIFS(Table4[Country],Tabela1[[#This Row],[Country]],Table4[100m Classification],"&gt;0")</f>
        <v>0</v>
      </c>
      <c r="AD14" s="6">
        <f>COUNTIFS(Table5[Country],Tabela1[[#This Row],[Country]],Table5[100m Classification],"&gt;0")</f>
        <v>1</v>
      </c>
      <c r="AE14" s="6">
        <f>COUNTIFS(Table4[Country],Tabela1[[#This Row],[Country]],Table4[200m Classification],"&gt;0")</f>
        <v>0</v>
      </c>
      <c r="AF14" s="6">
        <f>COUNTIFS(Table5[Country],Tabela1[[#This Row],[Country]],Table5[200m Classification],"&gt;0")</f>
        <v>0</v>
      </c>
      <c r="AG14" s="6">
        <f>COUNTIFS(Table4[Country],Tabela1[[#This Row],[Country]],Table4[400m Classification],"&gt;0")</f>
        <v>0</v>
      </c>
      <c r="AH14" s="6">
        <f>COUNTIFS(Table5[Country],Tabela1[[#This Row],[Country]],Table5[400m Classification],"&gt;0")</f>
        <v>0</v>
      </c>
      <c r="AI14" s="6">
        <f>COUNTIFS(Table4[Country],Tabela1[[#This Row],[Country]],Table4[800m Classification],"&gt;0")</f>
        <v>0</v>
      </c>
      <c r="AJ14" s="6">
        <f>COUNTIFS(Table5[Country],Tabela1[[#This Row],[Country]],Table5[800m Classification],"&gt;0")</f>
        <v>1</v>
      </c>
      <c r="AK14" s="6">
        <f>COUNTIFS(Table4[Country],Tabela1[[#This Row],[Country]],Table4[1500m Classification],"&gt;0")</f>
        <v>0</v>
      </c>
      <c r="AL14" s="6">
        <f>COUNTIFS(Table5[Country],Tabela1[[#This Row],[Country]],Table5[1500m Classification],"&gt;0")</f>
        <v>1</v>
      </c>
      <c r="AM14" s="6">
        <f>COUNTIFS(Table4[Country],Tabela1[[#This Row],[Country]],Table4[5000m Classification],"&gt;0")</f>
        <v>0</v>
      </c>
      <c r="AN14" s="6">
        <f>COUNTIFS(Table5[Country],Tabela1[[#This Row],[Country]],Table5[5000m Classification],"&gt;0")</f>
        <v>0</v>
      </c>
      <c r="AO14" s="6">
        <f>COUNTIFS(Table4[Country],Tabela1[[#This Row],[Country]],Table4[10000m Classification],"&gt;0")</f>
        <v>0</v>
      </c>
      <c r="AP14" s="6">
        <f>COUNTIFS(Table5[Country],Tabela1[[#This Row],[Country]],Table5[10000m Classification],"&gt;0")</f>
        <v>0</v>
      </c>
      <c r="AQ14" s="6">
        <f>COUNTIFS(Table4[Country],Tabela1[[#This Row],[Country]],Table4[110m Hurdles Classification],"&gt;0")</f>
        <v>1</v>
      </c>
      <c r="AR14" s="6">
        <f>COUNTIFS(Table5[Country],Tabela1[[#This Row],[Country]],Table5[100m Hurdles Classification],"&gt;0")</f>
        <v>2</v>
      </c>
      <c r="AS14" s="6">
        <f>COUNTIFS(Table4[Country],Tabela1[[#This Row],[Country]],Table4[400m Hurdles Classification],"&gt;0")</f>
        <v>0</v>
      </c>
      <c r="AT14" s="6">
        <f>COUNTIFS(Table5[Country],Tabela1[[#This Row],[Country]],Table5[400m Hurdles Classification],"&gt;0")</f>
        <v>1</v>
      </c>
      <c r="AU14" s="6">
        <f>COUNTIFS(Table4[Country],Tabela1[[#This Row],[Country]],Table4[3000m Steeplechase Classification],"&gt;0")</f>
        <v>1</v>
      </c>
      <c r="AV14" s="6">
        <f>COUNTIFS(Table5[Country],Tabela1[[#This Row],[Country]],Table5[3000m Steeplechase Classification],"&gt;0")</f>
        <v>0</v>
      </c>
      <c r="AW14" s="6">
        <f>COUNTIFS(Table27[Country],Tabela1[[#This Row],[Country]],Table27[Men''s 4x100m Relay Classification],"&gt;0")</f>
        <v>0</v>
      </c>
      <c r="AX14" s="6">
        <f>COUNTIFS(Table27[Country],Tabela1[[#This Row],[Country]],Table27[Women''s 4x100m Relay Classification],"&gt;0")</f>
        <v>0</v>
      </c>
      <c r="AY14" s="6">
        <f>COUNTIFS(Table27[Country],Tabela1[[#This Row],[Country]],Table27[Men''s 4x400m Relay Classification],"&gt;0")</f>
        <v>0</v>
      </c>
      <c r="AZ14" s="6">
        <f>COUNTIFS(Table27[Country],Tabela1[[#This Row],[Country]],Table27[Women''s 4x400m Relay Classification],"&gt;0")</f>
        <v>0</v>
      </c>
      <c r="BA14" s="6">
        <f>COUNTIFS(Table27[Country],Tabela1[[#This Row],[Country]],Table27[Mixed 4x400m Relay Classification],"&gt;0")</f>
        <v>0</v>
      </c>
      <c r="BB14" s="6">
        <f>COUNTIFS(Table4[Country],Tabela1[[#This Row],[Country]],Table4[Marathon Classification],"&gt;0")</f>
        <v>0</v>
      </c>
      <c r="BC14" s="6">
        <f>COUNTIFS(Table5[Country],Tabela1[[#This Row],[Country]],Table5[Marathon Classification],"&gt;0")</f>
        <v>0</v>
      </c>
      <c r="BD14" s="6">
        <f>COUNTIFS(Table4[Country],Tabela1[[#This Row],[Country]],Table4[20km Race Walk Classification],"&gt;0")</f>
        <v>0</v>
      </c>
      <c r="BE14" s="6">
        <f>COUNTIFS(Table5[Country],Tabela1[[#This Row],[Country]],Table5[20km Race Walk Classification],"&gt;0")</f>
        <v>0</v>
      </c>
      <c r="BF14" s="6">
        <f>COUNTIFS(Tabela96[Country],Tabela1[[#This Row],[Country]],Tabela96[Mixed Marathon Race Walk Relay Classification],"&gt;0")</f>
        <v>0</v>
      </c>
      <c r="BG14" s="6">
        <f>COUNTIFS(Table4[Country],Tabela1[[#This Row],[Country]],Table4[Discus Throw Classification],"&gt;0")</f>
        <v>0</v>
      </c>
      <c r="BH14" s="6">
        <f>COUNTIFS(Table5[Country],Tabela1[[#This Row],[Country]],Table5[Discus Throw Classification],"&gt;0")</f>
        <v>0</v>
      </c>
      <c r="BI14" s="6">
        <f>COUNTIFS(Table4[Country],Tabela1[[#This Row],[Country]],Table4[Hammer Throw Classification],"&gt;0")</f>
        <v>0</v>
      </c>
      <c r="BJ14" s="6">
        <f>COUNTIFS(Table5[Country],Tabela1[[#This Row],[Country]],Table5[Hammer Throw Classification],"&gt;0")</f>
        <v>1</v>
      </c>
      <c r="BK14" s="6">
        <f>COUNTIFS(Table4[Country],Tabela1[[#This Row],[Country]],Table4[High Jump Classification],"&gt;0")</f>
        <v>0</v>
      </c>
      <c r="BL14" s="6">
        <f>COUNTIFS(Table5[Country],Tabela1[[#This Row],[Country]],Table5[High Jump Classification],"&gt;0")</f>
        <v>1</v>
      </c>
      <c r="BM14" s="6">
        <f>COUNTIFS(Table4[Country],Tabela1[[#This Row],[Country]],Table4[Javelin Throw Classification],"&gt;0")</f>
        <v>2</v>
      </c>
      <c r="BN14" s="6">
        <f>COUNTIFS(Table5[Country],Tabela1[[#This Row],[Country]],Table5[Javelin Throw Classification],"&gt;0")</f>
        <v>0</v>
      </c>
      <c r="BO14" s="6">
        <f>COUNTIFS(Table4[Country],Tabela1[[#This Row],[Country]],Table4[Long Jump Classification],"&gt;0")</f>
        <v>0</v>
      </c>
      <c r="BP14" s="6">
        <f>COUNTIFS(Table5[Country],Tabela1[[#This Row],[Country]],Table5[Long Jump Classification],"&gt;0")</f>
        <v>0</v>
      </c>
      <c r="BQ14" s="6">
        <f>COUNTIFS(Table4[Country],Tabela1[[#This Row],[Country]],Table4[Pole Vault Classification],"&gt;0")</f>
        <v>1</v>
      </c>
      <c r="BR14" s="6">
        <f>COUNTIFS(Table5[Country],Tabela1[[#This Row],[Country]],Table5[Pole Vault Classification],"&gt;0")</f>
        <v>0</v>
      </c>
      <c r="BS14" s="6">
        <f>COUNTIFS(Table4[Country],Tabela1[[#This Row],[Country]],Table4[Shot Put Classification],"&gt;0")</f>
        <v>0</v>
      </c>
      <c r="BT14" s="6">
        <f>COUNTIFS(Table5[Country],Tabela1[[#This Row],[Country]],Table5[Shot Put Classification],"&gt;0")</f>
        <v>0</v>
      </c>
      <c r="BU14" s="6">
        <f>COUNTIFS(Table4[Country],Tabela1[[#This Row],[Country]],Table4[Triple Jump Classification],"&gt;0")</f>
        <v>0</v>
      </c>
      <c r="BV14" s="6">
        <f>COUNTIFS(Table5[Country],Tabela1[[#This Row],[Country]],Table5[Triple Jump Classification],"&gt;0")</f>
        <v>0</v>
      </c>
      <c r="BW14" s="6">
        <f>COUNTIFS(Table4[Country],Tabela1[[#This Row],[Country]],Table4[Decathlon Classification],"&gt;0")</f>
        <v>0</v>
      </c>
      <c r="BX14" s="6">
        <f>COUNTIFS(Table5[Country],Tabela1[[#This Row],[Country]],Table5[Heptathlon Classification],"&gt;0")</f>
        <v>1</v>
      </c>
      <c r="BY14" s="6">
        <f>COUNTIFS(Table61[Country],Tabela1[[#This Row],[Country]],Table61[Classification],"&gt;0")</f>
        <v>1</v>
      </c>
      <c r="BZ14" s="6">
        <f>COUNTIFS(Table38[Country],Tabela1[[#This Row],[Country]],Table38[Classification],"&gt;0")</f>
        <v>0</v>
      </c>
      <c r="CA14" s="6">
        <f>COUNTIFS(Table39[Country],Tabela1[[#This Row],[Country]],Table39[Men''s Classification],"&gt;0")</f>
        <v>0</v>
      </c>
      <c r="CB14" s="6">
        <f>COUNTIFS(Table39[Country],Tabela1[[#This Row],[Country]],Table39[Women''s Classification],"&gt;0")</f>
        <v>0</v>
      </c>
      <c r="CC14" s="6">
        <f>COUNTIFS(Table39[Country],Tabela1[[#This Row],[Country]],Table39[Mixed Classification],"&gt;0")</f>
        <v>0</v>
      </c>
      <c r="CD14" s="6">
        <f>COUNTIFS(Table89[Country],Tabela1[[#This Row],[Country]],Table89[Men''s Classification],"&gt;0")</f>
        <v>0</v>
      </c>
      <c r="CE14" s="6">
        <f>COUNTIFS(Table89[Country],Tabela1[[#This Row],[Country]],Table89[Women''s Classification],"&gt;0")</f>
        <v>0</v>
      </c>
      <c r="CF14" s="6">
        <f>COUNTIFS(Table90[Country],Tabela1[[#This Row],[Country]],Table90[Men''s Classification],"&gt;0")</f>
        <v>0</v>
      </c>
      <c r="CG14" s="6">
        <f>COUNTIFS(Table90[Country],Tabela1[[#This Row],[Country]],Table90[Women''s Classification],"&gt;0")</f>
        <v>0</v>
      </c>
      <c r="CH14" s="6">
        <f>COUNTIFS(Table60[Country],Tabela1[[#This Row],[Country]],Table60[Men''s Classification],"&gt;0")</f>
        <v>0</v>
      </c>
      <c r="CI14" s="6">
        <f>COUNTIFS(Table60[Country],Tabela1[[#This Row],[Country]],Table60[Women''s Classification],"&gt;0")</f>
        <v>0</v>
      </c>
      <c r="CJ14" s="6">
        <f>COUNTIFS(Table6[Country],Tabela1[[#This Row],[Country]],Table6[51kg Classification],"&gt;0")</f>
        <v>0</v>
      </c>
      <c r="CK14" s="6">
        <f>COUNTIFS(Table6[Country],Tabela1[[#This Row],[Country]],Table6[57kg Classification],"&gt;0")</f>
        <v>0</v>
      </c>
      <c r="CL14" s="6">
        <f>COUNTIFS(Table6[Country],Tabela1[[#This Row],[Country]],Table6[63.5kg Classification],"&gt;0")</f>
        <v>0</v>
      </c>
      <c r="CM14" s="6">
        <f>COUNTIFS(Table6[Country],Tabela1[[#This Row],[Country]],Table6[71kg Classification],"&gt;0")</f>
        <v>0</v>
      </c>
      <c r="CN14" s="6">
        <f>COUNTIFS(Table6[Country],Tabela1[[#This Row],[Country]],Table6[80kg Classification],"&gt;0")</f>
        <v>0</v>
      </c>
      <c r="CO14" s="6">
        <f>COUNTIFS(Table6[Country],Tabela1[[#This Row],[Country]],Table6[92kg Classification],"&gt;0")</f>
        <v>0</v>
      </c>
      <c r="CP14" s="6">
        <f>COUNTIFS(Table6[Country],Tabela1[[#This Row],[Country]],Table6[Plus 92kg Classification],"&gt;0")</f>
        <v>0</v>
      </c>
      <c r="CQ14" s="6">
        <f>COUNTIFS(Table7[Country],Tabela1[[#This Row],[Country]],Table7[50kg Classification],"&gt;0")</f>
        <v>1</v>
      </c>
      <c r="CR14" s="6">
        <f>COUNTIFS(Table7[Country],Tabela1[[#This Row],[Country]],Table7[54kg Classification],"&gt;0")</f>
        <v>0</v>
      </c>
      <c r="CS14" s="6">
        <f>COUNTIFS(Table7[Country],Tabela1[[#This Row],[Country]],Table7[57kg Classification],"&gt;0")</f>
        <v>0</v>
      </c>
      <c r="CT14" s="6">
        <f>COUNTIFS(Table7[Country],Tabela1[[#This Row],[Country]],Table7[60kg Classification],"&gt;0")</f>
        <v>0</v>
      </c>
      <c r="CU14" s="6">
        <f>COUNTIFS(Table7[Country],Tabela1[[#This Row],[Country]],Table7[66kg Classification],"&gt;0")</f>
        <v>0</v>
      </c>
      <c r="CV14" s="6">
        <f>COUNTIFS(Table7[Country],Tabela1[[#This Row],[Country]],Table7[75kg Classification],"&gt;0")</f>
        <v>0</v>
      </c>
      <c r="CW14" s="6">
        <f>COUNTIFS(Tabela94[Country],Tabela1[[#This Row],[Country]],Tabela94[Classification],"&gt;0")</f>
        <v>0</v>
      </c>
      <c r="CX14" s="6">
        <f>COUNTIFS(Tabela9499[Country],Tabela1[[#This Row],[Country]],Tabela9499[Classification],"&gt;0")</f>
        <v>0</v>
      </c>
      <c r="CY14" s="6">
        <f>COUNTIFS(Tabela107[Country],Tabela1[[#This Row],[Country]],Tabela107[C1 Slalom Classification],"&gt;0")</f>
        <v>0</v>
      </c>
      <c r="CZ14" s="6">
        <f>COUNTIFS(Tabela107122[Country],Tabela1[[#This Row],[Country]],Tabela107122[C1 Slalom Classification],"&gt;0")</f>
        <v>0</v>
      </c>
      <c r="DA14" s="6">
        <f>COUNTIFS(Tabela107[Country],Tabela1[[#This Row],[Country]],Tabela107[K1 Slalom Classification],"&gt;0")</f>
        <v>0</v>
      </c>
      <c r="DB14" s="6">
        <f>COUNTIFS(Tabela107122[Country],Tabela1[[#This Row],[Country]],Tabela107122[K1 Slalom Classification],"&gt;0")</f>
        <v>0</v>
      </c>
      <c r="DC14" s="6">
        <f>COUNTIFS(Tabela107[Country],Tabela1[[#This Row],[Country]],Tabela107[Kayak Cross Slalom Classification],"&gt;0")</f>
        <v>0</v>
      </c>
      <c r="DD14" s="6">
        <f>COUNTIFS(Tabela107122[Country],Tabela1[[#This Row],[Country]],Tabela107122[Kayak Cross Slalom Classification],"&gt;0")</f>
        <v>0</v>
      </c>
      <c r="DE14" s="6">
        <f>COUNTIFS(Table8[Country],Tabela1[[#This Row],[Country]],Table8[C1 200m Classification],"&gt;0")</f>
        <v>0</v>
      </c>
      <c r="DF14" s="6">
        <f>COUNTIFS(Table40[Country],Tabela1[[#This Row],[Country]],Table40[C1 1000m Classification],"&gt;0")</f>
        <v>0</v>
      </c>
      <c r="DG14" s="6">
        <f>COUNTIFS(Table68[Country],Tabela1[[#This Row],[Country]],Table68[Men''s C2 500m Classification],"&gt;0")</f>
        <v>0</v>
      </c>
      <c r="DH14" s="6">
        <f>COUNTIFS(Table68[Country],Tabela1[[#This Row],[Country]],Table68[Women''s C2 500m Classification],"&gt;0")</f>
        <v>0</v>
      </c>
      <c r="DI14" s="6">
        <f>COUNTIFS(Table8[Country],Tabela1[[#This Row],[Country]],Table8[K1 500m Classification],"&gt;0")</f>
        <v>0</v>
      </c>
      <c r="DJ14" s="6">
        <f>COUNTIFS(Table40[Country],Tabela1[[#This Row],[Country]],Table40[K1 1000m Classification],"&gt;0")</f>
        <v>0</v>
      </c>
      <c r="DK14" s="6">
        <f>COUNTIFS(Table68[Country],Tabela1[[#This Row],[Country]],Table68[Men''s K2 500m Classification],"&gt;0")</f>
        <v>0</v>
      </c>
      <c r="DL14" s="6">
        <f>COUNTIFS(Table68[Country],Tabela1[[#This Row],[Country]],Table68[Women''s K2 500m Classification],"&gt;0")</f>
        <v>0</v>
      </c>
      <c r="DM14" s="6">
        <f>COUNTIFS(Table83[Country],Tabela1[[#This Row],[Country]],Table83[Men''s K4 500m Classification],"&gt;0")</f>
        <v>0</v>
      </c>
      <c r="DN14" s="6">
        <f>COUNTIFS(Table83[Country],Tabela1[[#This Row],[Country]],Table83[Women''s K4 500m Classification],"&gt;0")</f>
        <v>0</v>
      </c>
      <c r="DO14" s="6">
        <f>COUNTIFS(Tabela126[Country],Tabela1[[#This Row],[Country]],Tabela126[Classification],"&gt;0")</f>
        <v>0</v>
      </c>
      <c r="DP14" s="6">
        <f>COUNTIFS(Tabela126130[Country],Tabela1[[#This Row],[Country]],Tabela126130[Classification],"&gt;0")</f>
        <v>0</v>
      </c>
      <c r="DQ14" s="6">
        <f>COUNTIFS(Table70[Country],Tabela1[[#This Row],[Country]],Table70[Classification],"&gt;0")</f>
        <v>0</v>
      </c>
      <c r="DR14" s="6">
        <f>COUNTIFS(Table80[Country],Tabela1[[#This Row],[Country]],Table80[Classification],"&gt;0")</f>
        <v>0</v>
      </c>
      <c r="DS14" s="6">
        <f>COUNTIFS(Table66[Country],Tabela1[[#This Row],[Country]],Table66[Classification],"&gt;0")</f>
        <v>1</v>
      </c>
      <c r="DT14" s="6">
        <f>COUNTIFS(Table67[Country],Tabela1[[#This Row],[Country]],Table67[Classification],"&gt;0")</f>
        <v>0</v>
      </c>
      <c r="DU14" s="6">
        <f>COUNTIFS(Table69[Country],Tabela1[[#This Row],[Country]],Table69[Keirin Classification],"&gt;0")</f>
        <v>0</v>
      </c>
      <c r="DV14" s="6">
        <f>COUNTIFS(Table41[Country],Tabela1[[#This Row],[Country]],Table41[Keirin Classification],"&gt;0")</f>
        <v>0</v>
      </c>
      <c r="DW14" s="6">
        <f>COUNTIFS(Table84[Country],Tabela1[[#This Row],[Country]],Table84[Men''s Madison Classification],"&gt;0")</f>
        <v>0</v>
      </c>
      <c r="DX14" s="6">
        <f>COUNTIFS(Table84[Country],Tabela1[[#This Row],[Country]],Table84[Women''s Madison Classification],"&gt;0")</f>
        <v>0</v>
      </c>
      <c r="DY14" s="6">
        <f>COUNTIFS(Table69[Country],Tabela1[[#This Row],[Country]],Table69[Omnium Classification],"&gt;0")</f>
        <v>0</v>
      </c>
      <c r="DZ14" s="6">
        <f>COUNTIFS(Table41[Country],Tabela1[[#This Row],[Country]],Table41[Omnium Classification],"&gt;0")</f>
        <v>0</v>
      </c>
      <c r="EA14" s="6">
        <f>COUNTIFS(Table9[Country],Tabela1[[#This Row],[Country]],Table9[Road Race Classification],"&gt;0")</f>
        <v>0</v>
      </c>
      <c r="EB14" s="6">
        <f>COUNTIFS(Table14[Country],Tabela1[[#This Row],[Country]],Table14[Road Race Classification],"&gt;0")</f>
        <v>1</v>
      </c>
      <c r="EC14" s="6">
        <f>COUNTIFS(Table69[Country],Tabela1[[#This Row],[Country]],Table69[Sprint Classification],"&gt;0")</f>
        <v>0</v>
      </c>
      <c r="ED14" s="6">
        <f>COUNTIFS(Table41[Country],Tabela1[[#This Row],[Country]],Table41[Sprint Classification],"&gt;0")</f>
        <v>0</v>
      </c>
      <c r="EE14" s="6">
        <f>COUNTIFS(Table85[Country],Tabela1[[#This Row],[Country]],Table85[Men''s Sprint Classification],"&gt;0")</f>
        <v>0</v>
      </c>
      <c r="EF14" s="6">
        <f>COUNTIFS(Table85[Country],Tabela1[[#This Row],[Country]],Table85[Women''s Sprint Classification],"&gt;0")</f>
        <v>0</v>
      </c>
      <c r="EG14" s="6">
        <f>COUNTIFS(Table85[Country],Tabela1[[#This Row],[Country]],Table85[Men''s Pursuit Classification],"&gt;0")</f>
        <v>0</v>
      </c>
      <c r="EH14" s="6">
        <f>COUNTIFS(Table85[Country],Tabela1[[#This Row],[Country]],Table85[Women''s Pursuit Classification],"&gt;0")</f>
        <v>0</v>
      </c>
      <c r="EI14" s="6">
        <f>COUNTIFS(Table9[Country],Tabela1[[#This Row],[Country]],Table9[Time-Trial Classification],"&gt;0")</f>
        <v>0</v>
      </c>
      <c r="EJ14" s="6">
        <f>COUNTIFS(Table14[Country],Tabela1[[#This Row],[Country]],Table14[Time-Trial Classification],"&gt;0")</f>
        <v>1</v>
      </c>
      <c r="EK14" s="6">
        <f>COUNTIFS(Table42[Country],Tabela1[[#This Row],[Country]],Table42[Springboard Classification],"&gt;0")</f>
        <v>0</v>
      </c>
      <c r="EL14" s="6">
        <f>COUNTIFS(Table43[Country],Tabela1[[#This Row],[Country]],Table43[Springboard Classification],"&gt;0")</f>
        <v>0</v>
      </c>
      <c r="EM14" s="6">
        <f>COUNTIFS(Table42[Country],Tabela1[[#This Row],[Country]],Table42[Platform Classification],"&gt;0")</f>
        <v>0</v>
      </c>
      <c r="EN14" s="6">
        <f>COUNTIFS(Table43[Country],Tabela1[[#This Row],[Country]],Table43[Platform Classification],"&gt;0")</f>
        <v>0</v>
      </c>
      <c r="EO14" s="6">
        <f>COUNTIFS(Table86[Country],Tabela1[[#This Row],[Country]],Table86[Men''s Synchronized Springboard Classification],"&gt;0")</f>
        <v>0</v>
      </c>
      <c r="EP14" s="6">
        <f>COUNTIFS(Table86[Country],Tabela1[[#This Row],[Country]],Table86[Women''s Synchronized Springboard Classification],"&gt;0")</f>
        <v>0</v>
      </c>
      <c r="EQ14" s="6">
        <f>COUNTIFS(Table86[Country],Tabela1[[#This Row],[Country]],Table86[Men''s Synchronized Platform Classification],"&gt;0")</f>
        <v>0</v>
      </c>
      <c r="ER14" s="6">
        <f>COUNTIFS(Table86[Country],Tabela1[[#This Row],[Country]],Table86[Women''s Synchronized Platform Classification],"&gt;0")</f>
        <v>0</v>
      </c>
      <c r="ES14" s="6">
        <f>COUNTIFS(Table44[Country],Tabela1[[#This Row],[Country]],Table44[Dressage Classification],"&gt;0")</f>
        <v>2</v>
      </c>
      <c r="ET14" s="6">
        <f>COUNTIFS(Table45[Country],Tabela1[[#This Row],[Country]],Table45[Dressage Classification],"&gt;0")</f>
        <v>1</v>
      </c>
      <c r="EU14" s="6">
        <f>COUNTIFS(Table44[Country],Tabela1[[#This Row],[Country]],Table44[Eventing Classification],"&gt;0")</f>
        <v>1</v>
      </c>
      <c r="EV14" s="6">
        <f>COUNTIFS(Table45[Country],Tabela1[[#This Row],[Country]],Table45[Eventing Classification],"&gt;0")</f>
        <v>0</v>
      </c>
      <c r="EW14" s="6">
        <f>COUNTIFS(Table44[Country],Tabela1[[#This Row],[Country]],Table44[Jumping Classification],"&gt;0")</f>
        <v>0</v>
      </c>
      <c r="EX14" s="6">
        <f>COUNTIFS(Table45[Country],Tabela1[[#This Row],[Country]],Table45[Jumping Classification],"&gt;0")</f>
        <v>0</v>
      </c>
      <c r="EY14" s="6">
        <f>COUNTIFS(Table10[Country],Tabela1[[#This Row],[Country]],Table10[Épée Classification],"&gt;0")</f>
        <v>0</v>
      </c>
      <c r="EZ14" s="6">
        <f>COUNTIFS(Table11[Country],Tabela1[[#This Row],[Country]],Table11[Épée Classification],"&gt;0")</f>
        <v>0</v>
      </c>
      <c r="FA14" s="6">
        <f>COUNTIFS(Table46[Country],Tabela1[[#This Row],[Country]],Table46[Men''s Épée Classification],"&gt;0")</f>
        <v>0</v>
      </c>
      <c r="FB14" s="6">
        <f>COUNTIFS(Table46[Country],Tabela1[[#This Row],[Country]],Table46[Women''s Épée Classification],"&gt;0")</f>
        <v>0</v>
      </c>
      <c r="FC14" s="6">
        <f>COUNTIFS(Table10[Country],Tabela1[[#This Row],[Country]],Table10[Foil Classification],"&gt;0")</f>
        <v>0</v>
      </c>
      <c r="FD14" s="6">
        <f>COUNTIFS(Table11[Country],Tabela1[[#This Row],[Country]],Table11[Foil Classification],"&gt;0")</f>
        <v>0</v>
      </c>
      <c r="FE14" s="6">
        <f>COUNTIFS(Table46[Country],Tabela1[[#This Row],[Country]],Table46[Men''s Foil Classification],"&gt;0")</f>
        <v>0</v>
      </c>
      <c r="FF14" s="6">
        <f>COUNTIFS(Table46[Country],Tabela1[[#This Row],[Country]],Table46[Women''s Foil Classification],"&gt;0")</f>
        <v>0</v>
      </c>
      <c r="FG14" s="6">
        <f>COUNTIFS(Table10[Country],Tabela1[[#This Row],[Country]],Table10[Sabre Classification],"&gt;0")</f>
        <v>0</v>
      </c>
      <c r="FH14" s="6">
        <f>COUNTIFS(Table11[Country],Tabela1[[#This Row],[Country]],Table11[Sabre Classification],"&gt;0")</f>
        <v>0</v>
      </c>
      <c r="FI14" s="6">
        <f>COUNTIFS(Table46[Country],Tabela1[[#This Row],[Country]],Table46[Men''s Sabre Classification],"&gt;0")</f>
        <v>0</v>
      </c>
      <c r="FJ14" s="6">
        <f>COUNTIFS(Table46[Country],Tabela1[[#This Row],[Country]],Table46[Women''s Sabre Classification],"&gt;0")</f>
        <v>0</v>
      </c>
      <c r="FK14" s="6">
        <f>COUNTIFS(Table91[Country],Tabela1[[#This Row],[Country]],Table91[Men''s Classification],"&gt;0")</f>
        <v>0</v>
      </c>
      <c r="FL14" s="6">
        <f>COUNTIFS(Table91[Country],Tabela1[[#This Row],[Country]],Table91[Women''s Classification],"&gt;0")</f>
        <v>0</v>
      </c>
      <c r="FM14" s="6">
        <f>COUNTIFS(Table9194[Country],Tabela1[[#This Row],[Country]],Table9194[Men''s Classification],"&gt;0")</f>
        <v>0</v>
      </c>
      <c r="FN14" s="6">
        <f>COUNTIFS(Table9194[Country],Tabela1[[#This Row],[Country]],Table9194[Women''s Classification],"&gt;0")</f>
        <v>0</v>
      </c>
      <c r="FO14" s="6">
        <f>COUNTIFS(Table71[Country],Tabela1[[#This Row],[Country]],Table71[Classification],"&gt;0")</f>
        <v>2</v>
      </c>
      <c r="FP14" s="6">
        <f>COUNTIFS(Table62[Country],Tabela1[[#This Row],[Country]],Table62[Classification],"&gt;0")</f>
        <v>2</v>
      </c>
      <c r="FQ14" s="6">
        <f>COUNTIFS(Table47[Country],Tabela1[[#This Row],[Country]],Table47[All-Around Classification],"&gt;0")</f>
        <v>0</v>
      </c>
      <c r="FR14" s="6">
        <f>COUNTIFS(Table48[Country],Tabela1[[#This Row],[Country]],Table48[All-Around Classification],"&gt;0")</f>
        <v>0</v>
      </c>
      <c r="FS14" s="6">
        <f>COUNTIFS(Table81[Country],Tabela1[[#This Row],[Country]],Table81[Men''s All-Around Classification],"&gt;0")</f>
        <v>0</v>
      </c>
      <c r="FT14" s="6">
        <f>COUNTIFS(Table81[Country],Tabela1[[#This Row],[Country]],Table81[Women''s All-Around Classification],"&gt;0")</f>
        <v>0</v>
      </c>
      <c r="FU14" s="6">
        <f>COUNTIFS(Table48[Country],Tabela1[[#This Row],[Country]],Table48[Balance Beam Classification],"&gt;0")</f>
        <v>0</v>
      </c>
      <c r="FV14" s="6">
        <f>COUNTIFS(Table47[Country],Tabela1[[#This Row],[Country]],Table47[Floor Exercise Classification],"&gt;0")</f>
        <v>0</v>
      </c>
      <c r="FW14" s="6">
        <f>COUNTIFS(Table48[Country],Tabela1[[#This Row],[Country]],Table48[Floor Exercise Classification],"&gt;0")</f>
        <v>0</v>
      </c>
      <c r="FX14" s="6">
        <f>COUNTIFS(Table47[Country],Tabela1[[#This Row],[Country]],Table47[Horizontal Bar Classification],"&gt;0")</f>
        <v>0</v>
      </c>
      <c r="FY14" s="6">
        <f>COUNTIFS(Table47[Country],Tabela1[[#This Row],[Country]],Table47[Parallel Bars Classification],"&gt;0")</f>
        <v>0</v>
      </c>
      <c r="FZ14" s="6">
        <f>COUNTIFS(Table47[Country],Tabela1[[#This Row],[Country]],Table47[Pommel Horse Classification],"&gt;0")</f>
        <v>0</v>
      </c>
      <c r="GA14" s="6">
        <f>COUNTIFS(Table47[Country],Tabela1[[#This Row],[Country]],Table47[Rings Classification],"&gt;0")</f>
        <v>0</v>
      </c>
      <c r="GB14" s="6">
        <f>COUNTIFS(Tabela132[Country],Tabela1[[#This Row],[Country]],Tabela132[Classification],"&gt;0")</f>
        <v>0</v>
      </c>
      <c r="GC14" s="6">
        <f>COUNTIFS(Tabela139[Country],Tabela1[[#This Row],[Country]],Tabela139[Classification],"&gt;0")</f>
        <v>0</v>
      </c>
      <c r="GD14" s="6">
        <f>COUNTIFS(Table48[Country],Tabela1[[#This Row],[Country]],Table48[Uneven Bars Classification],"&gt;0")</f>
        <v>0</v>
      </c>
      <c r="GE14" s="6">
        <f>COUNTIFS(Table47[Country],Tabela1[[#This Row],[Country]],Table47[Vault Classification],"&gt;0")</f>
        <v>0</v>
      </c>
      <c r="GF14" s="6">
        <f>COUNTIFS(Table48[Country],Tabela1[[#This Row],[Country]],Table48[Vault Classification],"&gt;0")</f>
        <v>0</v>
      </c>
      <c r="GG14" s="6">
        <f>COUNTIFS(Table919496[Country],Tabela1[[#This Row],[Country]],Table919496[Men''s Classification],"&gt;0")</f>
        <v>0</v>
      </c>
      <c r="GH14" s="6">
        <f>COUNTIFS(Table919496[Country],Tabela1[[#This Row],[Country]],Table919496[Women''s Classification],"&gt;0")</f>
        <v>0</v>
      </c>
      <c r="GI14" s="6">
        <f>COUNTIFS(Table12[Country],Tabela1[[#This Row],[Country]],Table12[60kg Classification],"&gt;0")</f>
        <v>0</v>
      </c>
      <c r="GJ14" s="6">
        <f>COUNTIFS(Table12[Country],Tabela1[[#This Row],[Country]],Table12[66kg Classification],"&gt;0")</f>
        <v>0</v>
      </c>
      <c r="GK14" s="6">
        <f>COUNTIFS(Table12[Country],Tabela1[[#This Row],[Country]],Table12[73kg Classification],"&gt;0")</f>
        <v>0</v>
      </c>
      <c r="GL14" s="6">
        <f>COUNTIFS(Table12[Country],Tabela1[[#This Row],[Country]],Table12[81kg Classification],"&gt;0")</f>
        <v>0</v>
      </c>
      <c r="GM14" s="6">
        <f>COUNTIFS(Table12[Country],Tabela1[[#This Row],[Country]],Table12[90kg Classification],"&gt;0")</f>
        <v>0</v>
      </c>
      <c r="GN14" s="6">
        <f>COUNTIFS(Table12[Country],Tabela1[[#This Row],[Country]],Table12[100kg Classification],"&gt;0")</f>
        <v>0</v>
      </c>
      <c r="GO14" s="6">
        <f>COUNTIFS(Table12[Country],Tabela1[[#This Row],[Country]],Table12[Plus 100kg Classification],"&gt;0")</f>
        <v>0</v>
      </c>
      <c r="GP14" s="6">
        <f>COUNTIFS(Table13[Country],Tabela1[[#This Row],[Country]],Table13[48kg Classification],"&gt;0")</f>
        <v>0</v>
      </c>
      <c r="GQ14" s="6">
        <f>COUNTIFS(Table13[Country],Tabela1[[#This Row],[Country]],Table13[52kg Classification],"&gt;0")</f>
        <v>0</v>
      </c>
      <c r="GR14" s="6">
        <f>COUNTIFS(Table13[Country],Tabela1[[#This Row],[Country]],Table13[57kg Classification],"&gt;0")</f>
        <v>0</v>
      </c>
      <c r="GS14" s="6">
        <f>COUNTIFS(Table13[Country],Tabela1[[#This Row],[Country]],Table13[63kg Classification],"&gt;0")</f>
        <v>0</v>
      </c>
      <c r="GT14" s="6">
        <f>COUNTIFS(Table13[Country],Tabela1[[#This Row],[Country]],Table13[70kg Classification],"&gt;0")</f>
        <v>0</v>
      </c>
      <c r="GU14" s="6">
        <f>COUNTIFS(Table13[Country],Tabela1[[#This Row],[Country]],Table13[78kg Classification],"&gt;0")</f>
        <v>0</v>
      </c>
      <c r="GV14" s="6">
        <f>COUNTIFS(Table13[Country],Tabela1[[#This Row],[Country]],Table13[Plus 78kg Classification],"&gt;0")</f>
        <v>0</v>
      </c>
      <c r="GW14" s="6">
        <f>COUNTIFS(Table82[Country],Tabela1[[#This Row],[Country]],Table82[Mixed Classification],"&gt;0")</f>
        <v>0</v>
      </c>
      <c r="GX14" s="6">
        <f>COUNTIFS(Table51[Country],Tabela1[[#This Row],[Country]],Table51[Classification],"&gt;0")</f>
        <v>0</v>
      </c>
      <c r="GY14" s="6">
        <f>COUNTIFS(Table52[Country],Tabela1[[#This Row],[Country]],Table52[Classification],"&gt;0")</f>
        <v>0</v>
      </c>
      <c r="GZ14" s="6">
        <f>COUNTIFS(Table32[Country],Tabela1[[#This Row],[Country]],Table32[All-Around Classification],"&gt;0")</f>
        <v>0</v>
      </c>
      <c r="HA14" s="6">
        <f>COUNTIFS(Table49[Country],Tabela1[[#This Row],[Country]],Table49[All-Around Classification],"&gt;0")</f>
        <v>0</v>
      </c>
      <c r="HB14" s="6">
        <f>COUNTIFS(Table26[Country],Tabela1[[#This Row],[Country]],Table26[Single Sculls Classification],"&gt;0")</f>
        <v>0</v>
      </c>
      <c r="HC14" s="6">
        <f>COUNTIFS(Table63[Country],Tabela1[[#This Row],[Country]],Table63[Single Sculls Classification],"&gt;0")</f>
        <v>0</v>
      </c>
      <c r="HD14" s="6">
        <f>COUNTIFS(Table16[Country],Tabela1[[#This Row],[Country]],Table16[Men''s Double Sculls Classification],"&gt;0")</f>
        <v>0</v>
      </c>
      <c r="HE14" s="6">
        <f>COUNTIFS(Table16[Country],Tabela1[[#This Row],[Country]],Table16[Women''s Double Sculls Classification],"&gt;0")</f>
        <v>0</v>
      </c>
      <c r="HF14" s="6">
        <f>COUNTIFS(Table72[Country],Tabela1[[#This Row],[Country]],Table72[Men''s Quadruple Sculls Classification],"&gt;0")</f>
        <v>0</v>
      </c>
      <c r="HG14" s="6">
        <f>COUNTIFS(Table72[Country],Tabela1[[#This Row],[Country]],Table72[Women''s Quadruple Sculls Classification],"&gt;0")</f>
        <v>0</v>
      </c>
      <c r="HH14" s="6">
        <f>COUNTIFS(Table16[Country],Tabela1[[#This Row],[Country]],Table16[Men''s Coxless Pairs Classification],"&gt;0")</f>
        <v>0</v>
      </c>
      <c r="HI14" s="6">
        <f>COUNTIFS(Table16[Country],Tabela1[[#This Row],[Country]],Table16[Women''s Coxless Pairs Classification],"&gt;0")</f>
        <v>0</v>
      </c>
      <c r="HJ14" s="6">
        <f>COUNTIFS(Table72[Country],Tabela1[[#This Row],[Country]],Table72[Men''s Coxless Fours Classification],"&gt;0")</f>
        <v>0</v>
      </c>
      <c r="HK14" s="6">
        <f>COUNTIFS(Table72[Country],Tabela1[[#This Row],[Country]],Table72[Women''s Coxless Fours Classification],"&gt;0")</f>
        <v>0</v>
      </c>
      <c r="HL14" s="6">
        <f>COUNTIFS(Table72[Country],Tabela1[[#This Row],[Country]],Table72[Men''s Eights Classification],"&gt;0")</f>
        <v>0</v>
      </c>
      <c r="HM14" s="6">
        <f>COUNTIFS(Table72[Country],Tabela1[[#This Row],[Country]],Table72[Women''s Eights Classification],"&gt;0")</f>
        <v>0</v>
      </c>
      <c r="HN14" s="6">
        <f>COUNTIFS(Table16[Country],Tabela1[[#This Row],[Country]],Table16[Men''s Lwt. Double Sculls Classification],"&gt;0")</f>
        <v>0</v>
      </c>
      <c r="HO14" s="6">
        <f>COUNTIFS(Table16[Country],Tabela1[[#This Row],[Country]],Table16[Women''s Lwt. Double Sculls Classification],"&gt;0")</f>
        <v>0</v>
      </c>
      <c r="HP14" s="6">
        <f>COUNTIFS(Table91949698[Country],Tabela1[[#This Row],[Country]],Table91949698[Men''s Classification],"&gt;0")</f>
        <v>0</v>
      </c>
      <c r="HQ14" s="6">
        <f>COUNTIFS(Table91949698[Country],Tabela1[[#This Row],[Country]],Table91949698[Women''s Classification],"&gt;0")</f>
        <v>0</v>
      </c>
      <c r="HR14" s="6">
        <f>COUNTIFS(Table25[Country],Tabela1[[#This Row],[Country]],Table25[Mixed 470 Classification],"&gt;0")</f>
        <v>0</v>
      </c>
      <c r="HS14" s="6">
        <f>COUNTIFS(Table25[Country],Tabela1[[#This Row],[Country]],Table25[Men''s 49er Classification],"&gt;0")</f>
        <v>0</v>
      </c>
      <c r="HT14" s="6">
        <f>COUNTIFS(Table25[Country],Tabela1[[#This Row],[Country]],Table25[Women''s 49er FX Classification],"&gt;0")</f>
        <v>1</v>
      </c>
      <c r="HU14" s="6">
        <f>COUNTIFS(Table17[Country],Tabela1[[#This Row],[Country]],Table17[Formula Kite Classification],"&gt;0")</f>
        <v>0</v>
      </c>
      <c r="HV14" s="6">
        <f>COUNTIFS(Table18[Country],Tabela1[[#This Row],[Country]],Table18[Formula Kite Classification],"&gt;0")</f>
        <v>0</v>
      </c>
      <c r="HW14" s="6">
        <f>COUNTIFS(Table17[Country],Tabela1[[#This Row],[Country]],Table17[ILCA 7 Classification],"&gt;0")</f>
        <v>1</v>
      </c>
      <c r="HX14" s="6">
        <f>COUNTIFS(Table18[Country],Tabela1[[#This Row],[Country]],Table18[ILCA 6 Classification],"&gt;0")</f>
        <v>1</v>
      </c>
      <c r="HY14" s="6">
        <f>COUNTIFS(Table17[Country],Tabela1[[#This Row],[Country]],Table17[IQFoil Classification],"&gt;0")</f>
        <v>1</v>
      </c>
      <c r="HZ14" s="6">
        <f>COUNTIFS(Table18[Country],Tabela1[[#This Row],[Country]],Table18[IQFoil Classification],"&gt;0")</f>
        <v>0</v>
      </c>
      <c r="IA14" s="6">
        <f>COUNTIFS(Table25[Country],Tabela1[[#This Row],[Country]],Table25[Mixed Nacra 17 Classification],"&gt;0")</f>
        <v>1</v>
      </c>
      <c r="IB14" s="6">
        <f>COUNTIFS(Table53[Country],Tabela1[[#This Row],[Country]],Table53[10m Air Pistol Classification],"&gt;0")</f>
        <v>0</v>
      </c>
      <c r="IC14" s="6">
        <f>COUNTIFS(Table19[Country],Tabela1[[#This Row],[Country]],Table19[10m Air Pistol Classification],"&gt;0")</f>
        <v>0</v>
      </c>
      <c r="ID14" s="6">
        <f>COUNTIFS(Table54[Country],Tabela1[[#This Row],[Country]],Table54[Mixed 10m Air Pistol Team Classification],"&gt;0")</f>
        <v>0</v>
      </c>
      <c r="IE14" s="6">
        <f>COUNTIFS(Table53[Country],Tabela1[[#This Row],[Country]],Table53[10m Air Rifle Classification],"&gt;0")</f>
        <v>1</v>
      </c>
      <c r="IF14" s="6">
        <f>COUNTIFS(Table19[Country],Tabela1[[#This Row],[Country]],Table19[10m Air Rifle Classification],"&gt;0")</f>
        <v>0</v>
      </c>
      <c r="IG14" s="6">
        <f>COUNTIFS(Table54[Country],Tabela1[[#This Row],[Country]],Table54[Mixed 10m Air Rifle Team Classification],"&gt;0")</f>
        <v>0</v>
      </c>
      <c r="IH14" s="6">
        <f>COUNTIFS(Table53[Country],Tabela1[[#This Row],[Country]],Table53[25m Rapid Fire Pistol Classification],"&gt;0")</f>
        <v>0</v>
      </c>
      <c r="II14" s="6">
        <f>COUNTIFS(Table19[Country],Tabela1[[#This Row],[Country]],Table19[25m Pistol Classification],"&gt;0")</f>
        <v>0</v>
      </c>
      <c r="IJ14" s="6">
        <f>COUNTIFS(Table53[Country],Tabela1[[#This Row],[Country]],Table53[50m Rifle 3 Positions Classification],"&gt;0")</f>
        <v>1</v>
      </c>
      <c r="IK14" s="6">
        <f>COUNTIFS(Table19[Country],Tabela1[[#This Row],[Country]],Table19[50m Rifle 3 Positions Classification],"&gt;0")</f>
        <v>0</v>
      </c>
      <c r="IL14" s="6">
        <f>COUNTIFS(Table53[Country],Tabela1[[#This Row],[Country]],Table53[Skeet Classification],"&gt;0")</f>
        <v>0</v>
      </c>
      <c r="IM14" s="6">
        <f>COUNTIFS(Table19[Country],Tabela1[[#This Row],[Country]],Table19[Skeet Classification],"&gt;0")</f>
        <v>0</v>
      </c>
      <c r="IN14" s="6">
        <f>COUNTIFS(Table54[Country],Tabela1[[#This Row],[Country]],Table54[Mixed Skeet Team Classification],"&gt;0")</f>
        <v>0</v>
      </c>
      <c r="IO14" s="6">
        <f>COUNTIFS(Table53[Country],Tabela1[[#This Row],[Country]],Table53[Trap Classification],"&gt;0")</f>
        <v>0</v>
      </c>
      <c r="IP14" s="6">
        <f>COUNTIFS(Table19[Country],Tabela1[[#This Row],[Country]],Table19[Trap Classification],"&gt;0")</f>
        <v>1</v>
      </c>
      <c r="IQ14" s="6">
        <f>COUNTIFS(Table73[Country],Tabela1[[#This Row],[Country]],Table73[Park Classification],"&gt;0")</f>
        <v>0</v>
      </c>
      <c r="IR14" s="6">
        <f>COUNTIFS(Table74[Country],Tabela1[[#This Row],[Country]],Table74[Park Classification],"&gt;0")</f>
        <v>1</v>
      </c>
      <c r="IS14" s="6">
        <f>COUNTIFS(Table73[Country],Tabela1[[#This Row],[Country]],Table73[Street Classification],"&gt;0")</f>
        <v>0</v>
      </c>
      <c r="IT14" s="6">
        <f>COUNTIFS(Table74[Country],Tabela1[[#This Row],[Country]],Table74[Street Classification],"&gt;0")</f>
        <v>0</v>
      </c>
      <c r="IU14" s="6">
        <f>COUNTIFS(Table75[Country],Tabela1[[#This Row],[Country]],Table75[Boulder and Lead Classification],"&gt;0")</f>
        <v>0</v>
      </c>
      <c r="IV14" s="6">
        <f>COUNTIFS(Table76[Country],Tabela1[[#This Row],[Country]],Table76[Boulder and Lead Classification],"&gt;0")</f>
        <v>0</v>
      </c>
      <c r="IW14" s="6">
        <f>COUNTIFS(Table75[Country],Tabela1[[#This Row],[Country]],Table75[Speed Classification],"&gt;0")</f>
        <v>0</v>
      </c>
      <c r="IX14" s="6">
        <f>COUNTIFS(Table76[Country],Tabela1[[#This Row],[Country]],Table76[Speed Classification],"&gt;0")</f>
        <v>0</v>
      </c>
      <c r="IY14" s="6">
        <f>COUNTIFS(Table64[Country],Tabela1[[#This Row],[Country]],Table64[Shortboard Classification],"&gt;0")</f>
        <v>0</v>
      </c>
      <c r="IZ14" s="6">
        <f>COUNTIFS(Table77[Country],Tabela1[[#This Row],[Country]],Table77[Shortboard Classification],"&gt;0")</f>
        <v>0</v>
      </c>
      <c r="JA14" s="6">
        <f>COUNTIFS(Table20[Country],Tabela1[[#This Row],[Country]],Table20[50m Freestyle Classification],"&gt;0")</f>
        <v>0</v>
      </c>
      <c r="JB14" s="6">
        <f>COUNTIFS(Table21[Country],Tabela1[[#This Row],[Country]],Table21[50m Freestyle Classification],"&gt;0")</f>
        <v>0</v>
      </c>
      <c r="JC14" s="6">
        <f>COUNTIFS(Table20[Country],Tabela1[[#This Row],[Country]],Table20[100m Freestyle Classification],"&gt;0")</f>
        <v>0</v>
      </c>
      <c r="JD14" s="6">
        <f>COUNTIFS(Table21[Country],Tabela1[[#This Row],[Country]],Table21[100m Freestyle Classification],"&gt;0")</f>
        <v>0</v>
      </c>
      <c r="JE14" s="6">
        <f>COUNTIFS(Table20[Country],Tabela1[[#This Row],[Country]],Table20[200m Freestyle Classification],"&gt;0")</f>
        <v>0</v>
      </c>
      <c r="JF14" s="6">
        <f>COUNTIFS(Table21[Country],Tabela1[[#This Row],[Country]],Table21[200m Freestyle Classification],"&gt;0")</f>
        <v>0</v>
      </c>
      <c r="JG14" s="6">
        <f>COUNTIFS(Table20[Country],Tabela1[[#This Row],[Country]],Table20[400m Freestyle Classification],"&gt;0")</f>
        <v>0</v>
      </c>
      <c r="JH14" s="6">
        <f>COUNTIFS(Table21[Country],Tabela1[[#This Row],[Country]],Table21[400m Freestyle Classification],"&gt;0")</f>
        <v>0</v>
      </c>
      <c r="JI14" s="6">
        <f>COUNTIFS(Table20[Country],Tabela1[[#This Row],[Country]],Table20[800m Freestyle Classification],"&gt;0")</f>
        <v>0</v>
      </c>
      <c r="JJ14" s="6">
        <f>COUNTIFS(Table21[Country],Tabela1[[#This Row],[Country]],Table21[800m Freestyle Classification],"&gt;0")</f>
        <v>0</v>
      </c>
      <c r="JK14" s="6">
        <f>COUNTIFS(Table20[Country],Tabela1[[#This Row],[Country]],Table20[1500m Freestyle Classification],"&gt;0")</f>
        <v>0</v>
      </c>
      <c r="JL14" s="6">
        <f>COUNTIFS(Table21[Country],Tabela1[[#This Row],[Country]],Table21[1500m Freestyle Classification],"&gt;0")</f>
        <v>0</v>
      </c>
      <c r="JM14" s="6">
        <f>COUNTIFS(Table20[Country],Tabela1[[#This Row],[Country]],Table20[100m Backstroke Classification],"&gt;0")</f>
        <v>0</v>
      </c>
      <c r="JN14" s="6">
        <f>COUNTIFS(Table21[Country],Tabela1[[#This Row],[Country]],Table21[100m Backstroke Classification],"&gt;0")</f>
        <v>0</v>
      </c>
      <c r="JO14" s="6">
        <f>COUNTIFS(Table20[Country],Tabela1[[#This Row],[Country]],Table20[200m Backstroke Classification],"&gt;0")</f>
        <v>0</v>
      </c>
      <c r="JP14" s="6">
        <f>COUNTIFS(Table21[Country],Tabela1[[#This Row],[Country]],Table21[200m Backstroke Classification],"&gt;0")</f>
        <v>0</v>
      </c>
      <c r="JQ14" s="6">
        <f>COUNTIFS(Table20[Country],Tabela1[[#This Row],[Country]],Table20[100m Breaststroke Classification],"&gt;0")</f>
        <v>0</v>
      </c>
      <c r="JR14" s="6">
        <f>COUNTIFS(Table21[Country],Tabela1[[#This Row],[Country]],Table21[100m Breaststroke Classification],"&gt;0")</f>
        <v>0</v>
      </c>
      <c r="JS14" s="6">
        <f>COUNTIFS(Table20[Country],Tabela1[[#This Row],[Country]],Table20[200m Breaststroke Classification],"&gt;0")</f>
        <v>1</v>
      </c>
      <c r="JT14" s="6">
        <f>COUNTIFS(Table21[Country],Tabela1[[#This Row],[Country]],Table21[200m Breaststroke Classification],"&gt;0")</f>
        <v>0</v>
      </c>
      <c r="JU14" s="6">
        <f>COUNTIFS(Table20[Country],Tabela1[[#This Row],[Country]],Table20[100m Butterfly Classification],"&gt;0")</f>
        <v>0</v>
      </c>
      <c r="JV14" s="6">
        <f>COUNTIFS(Table21[Country],Tabela1[[#This Row],[Country]],Table21[100m Butterfly Classification],"&gt;0")</f>
        <v>0</v>
      </c>
      <c r="JW14" s="6">
        <f>COUNTIFS(Table20[Country],Tabela1[[#This Row],[Country]],Table20[200m Butterfly Classification],"&gt;0")</f>
        <v>0</v>
      </c>
      <c r="JX14" s="6">
        <f>COUNTIFS(Table21[Country],Tabela1[[#This Row],[Country]],Table21[200m Butterfly Classification],"&gt;0")</f>
        <v>0</v>
      </c>
      <c r="JY14" s="6">
        <f>COUNTIFS(Table20[Country],Tabela1[[#This Row],[Country]],Table20[200m Medley Classification],"&gt;0")</f>
        <v>0</v>
      </c>
      <c r="JZ14" s="6">
        <f>COUNTIFS(Table21[Country],Tabela1[[#This Row],[Country]],Table21[200m Medley Classification],"&gt;0")</f>
        <v>0</v>
      </c>
      <c r="KA14" s="6">
        <f>COUNTIFS(Table20[Country],Tabela1[[#This Row],[Country]],Table20[400m Medley Classification],"&gt;0")</f>
        <v>0</v>
      </c>
      <c r="KB14" s="6">
        <f>COUNTIFS(Table21[Country],Tabela1[[#This Row],[Country]],Table21[400m Medley Classification],"&gt;0")</f>
        <v>0</v>
      </c>
      <c r="KC14" s="6">
        <f>COUNTIFS(Table78[Country],Tabela1[[#This Row],[Country]],Table78[Men''s 4x100m Freestyle Relay Classification],"&gt;0")</f>
        <v>0</v>
      </c>
      <c r="KD14" s="6">
        <f>COUNTIFS(Table78[Country],Tabela1[[#This Row],[Country]],Table78[Women''s 4x100m Freestyle Relay Classification],"&gt;0")</f>
        <v>0</v>
      </c>
      <c r="KE14" s="6">
        <f>COUNTIFS(Table78[Country],Tabela1[[#This Row],[Country]],Table78[Men''s 4x200m Freestyle Relay Classification],"&gt;0")</f>
        <v>0</v>
      </c>
      <c r="KF14" s="6">
        <f>COUNTIFS(Table78[Country],Tabela1[[#This Row],[Country]],Table78[Women''s 4x200m Freestyle Relay Classification],"&gt;0")</f>
        <v>0</v>
      </c>
      <c r="KG14" s="6">
        <f>COUNTIFS(Table78[Country],Tabela1[[#This Row],[Country]],Table78[Men''s 4x100m Medley Relay Classification],"&gt;0")</f>
        <v>0</v>
      </c>
      <c r="KH14" s="6">
        <f>COUNTIFS(Table78[Country],Tabela1[[#This Row],[Country]],Table78[Women''s 4x100m Medley Relay Classification],"&gt;0")</f>
        <v>0</v>
      </c>
      <c r="KI14" s="6">
        <f>COUNTIFS(Table78[Country],Tabela1[[#This Row],[Country]],Table78[Mixed 4x100m Medley Relay Classification],"&gt;0")</f>
        <v>0</v>
      </c>
      <c r="KJ14" s="6">
        <f>COUNTIFS(Table20[Country],Tabela1[[#This Row],[Country]],Table20[10km Open Water Classification],"&gt;0")</f>
        <v>0</v>
      </c>
      <c r="KK14" s="6">
        <f>COUNTIFS(Table21[Country],Tabela1[[#This Row],[Country]],Table21[10km Open Water Classification],"&gt;0")</f>
        <v>0</v>
      </c>
      <c r="KL14" s="6">
        <f>COUNTIFS(Table22[Country],Tabela1[[#This Row],[Country]],Table22[Classification],"&gt;0")</f>
        <v>0</v>
      </c>
      <c r="KM14" s="6">
        <f>COUNTIFS(Table30[Country],Tabela1[[#This Row],[Country]],Table30[Classification],"&gt;0")</f>
        <v>0</v>
      </c>
      <c r="KN14" s="6">
        <f>COUNTIFS(Table55[Country],Tabela1[[#This Row],[Country]],Table55[Men''s Classification],"&gt;0")</f>
        <v>0</v>
      </c>
      <c r="KO14" s="6">
        <f>COUNTIFS(Table55[Country],Tabela1[[#This Row],[Country]],Table55[Women''s Classification],"&gt;0")</f>
        <v>0</v>
      </c>
      <c r="KP14" s="6">
        <f>COUNTIFS(Table56[Country],Tabela1[[#This Row],[Country]],Table56[Mixed Classification],"&gt;0")</f>
        <v>0</v>
      </c>
      <c r="KQ14" s="6">
        <f>COUNTIFS(Table29[Country],Tabela1[[#This Row],[Country]],Table29[58kg Classification],"&gt;0")</f>
        <v>0</v>
      </c>
      <c r="KR14" s="6">
        <f>COUNTIFS(Table29[Country],Tabela1[[#This Row],[Country]],Table29[68kg Classification],"&gt;0")</f>
        <v>0</v>
      </c>
      <c r="KS14" s="6">
        <f>COUNTIFS(Table29[Country],Tabela1[[#This Row],[Country]],Table29[80kg Classification],"&gt;0")</f>
        <v>0</v>
      </c>
      <c r="KT14" s="6">
        <f>COUNTIFS(Table29[Country],Tabela1[[#This Row],[Country]],Table29[Plus 80kg Classification],"&gt;0")</f>
        <v>0</v>
      </c>
      <c r="KU14" s="6">
        <f>COUNTIFS(Table34[Country],Tabela1[[#This Row],[Country]],Table34[49kg Classification],"&gt;0")</f>
        <v>0</v>
      </c>
      <c r="KV14" s="6">
        <f>COUNTIFS(Table34[Country],Tabela1[[#This Row],[Country]],Table34[57kg Classification],"&gt;0")</f>
        <v>0</v>
      </c>
      <c r="KW14" s="6">
        <f>COUNTIFS(Table34[Country],Tabela1[[#This Row],[Country]],Table34[67kg Classification],"&gt;0")</f>
        <v>0</v>
      </c>
      <c r="KX14" s="6">
        <f>COUNTIFS(Table34[Country],Tabela1[[#This Row],[Country]],Table34[Plus 67kg Classification],"&gt;0")</f>
        <v>0</v>
      </c>
      <c r="KY14" s="6">
        <f>COUNTIFS(Table57[Country],Tabela1[[#This Row],[Country]],Table57[Classification],"&gt;0")</f>
        <v>0</v>
      </c>
      <c r="KZ14" s="6">
        <f>COUNTIFS(Table58[Country],Tabela1[[#This Row],[Country]],Table58[Classification],"&gt;0")</f>
        <v>0</v>
      </c>
      <c r="LA14" s="6">
        <f>COUNTIFS(Table79[Country],Tabela1[[#This Row],[Country]],Table79[Men''s Classification],"&gt;0")</f>
        <v>0</v>
      </c>
      <c r="LB14" s="6">
        <f>COUNTIFS(Table79[Country],Tabela1[[#This Row],[Country]],Table79[Women''s Classification],"&gt;0")</f>
        <v>0</v>
      </c>
      <c r="LC14" s="6">
        <f>COUNTIFS(Table79[Country],Tabela1[[#This Row],[Country]],Table79[Mixed Classification],"&gt;0")</f>
        <v>0</v>
      </c>
      <c r="LD14" s="6">
        <f>COUNTIFS(Table65[Country],Tabela1[[#This Row],[Country]],Table65[Classification],"&gt;0")</f>
        <v>0</v>
      </c>
      <c r="LE14" s="6">
        <f>COUNTIFS(Table59[Country],Tabela1[[#This Row],[Country]],Table59[Classification],"&gt;0")</f>
        <v>0</v>
      </c>
      <c r="LF14" s="6">
        <f>COUNTIFS(Table87[Country],Tabela1[[#This Row],[Country]],Table87[Mixed Relay Classification],"&gt;0")</f>
        <v>0</v>
      </c>
      <c r="LG14" s="6">
        <f>COUNTIFS(Table91949698100[Country],Tabela1[[#This Row],[Country]],Table91949698100[Men''s Classification],"&gt;0")</f>
        <v>0</v>
      </c>
      <c r="LH14" s="6">
        <f>COUNTIFS(Table91949698100[Country],Tabela1[[#This Row],[Country]],Table91949698100[Women''s Classification],"&gt;0")</f>
        <v>0</v>
      </c>
      <c r="LI14" s="6">
        <f>COUNTIFS(Table91949698100102[Country],Tabela1[[#This Row],[Country]],Table91949698100102[Men''s Classification],"&gt;0")</f>
        <v>0</v>
      </c>
      <c r="LJ14" s="6">
        <f>COUNTIFS(Table91949698100102[Country],Tabela1[[#This Row],[Country]],Table91949698100102[Women''s Classification],"&gt;0")</f>
        <v>0</v>
      </c>
      <c r="LK14" s="6">
        <f>COUNTIFS(Table23[Country],Tabela1[[#This Row],[Country]],Table23[61kg Classification],"&gt;0")</f>
        <v>0</v>
      </c>
      <c r="LL14" s="6">
        <f>COUNTIFS(Table23[Country],Tabela1[[#This Row],[Country]],Table23[73kg Classification],"&gt;0")</f>
        <v>0</v>
      </c>
      <c r="LM14" s="6">
        <f>COUNTIFS(Table23[Country],Tabela1[[#This Row],[Country]],Table23[89kg Classification],"&gt;0")</f>
        <v>0</v>
      </c>
      <c r="LN14" s="6">
        <f>COUNTIFS(Table23[Country],Tabela1[[#This Row],[Country]],Table23[102kg Classification],"&gt;0")</f>
        <v>0</v>
      </c>
      <c r="LO14" s="6">
        <f>COUNTIFS(Table23[Country],Tabela1[[#This Row],[Country]],Table23[Plus 102kg Classification],"&gt;0")</f>
        <v>0</v>
      </c>
      <c r="LP14" s="6">
        <f>COUNTIFS(Table28[Country],Tabela1[[#This Row],[Country]],Table28[49kg Classification],"&gt;0")</f>
        <v>0</v>
      </c>
      <c r="LQ14" s="6">
        <f>COUNTIFS(Table28[Country],Tabela1[[#This Row],[Country]],Table28[59kg Classification],"&gt;0")</f>
        <v>0</v>
      </c>
      <c r="LR14" s="6">
        <f>COUNTIFS(Table28[Country],Tabela1[[#This Row],[Country]],Table28[71kg Classification],"&gt;0")</f>
        <v>0</v>
      </c>
      <c r="LS14" s="6">
        <f>COUNTIFS(Table28[Country],Tabela1[[#This Row],[Country]],Table28[81kg Classification],"&gt;0")</f>
        <v>0</v>
      </c>
      <c r="LT14" s="6">
        <f>COUNTIFS(Table28[Country],Tabela1[[#This Row],[Country]],Table28[Plus 81kg Classification],"&gt;0")</f>
        <v>0</v>
      </c>
      <c r="LU14" s="6">
        <f>COUNTIFS(Table24[Country],Tabela1[[#This Row],[Country]],Table24[Freestyle 57kg Classification],"&gt;0")</f>
        <v>0</v>
      </c>
      <c r="LV14" s="6">
        <f>COUNTIFS(Table24[Country],Tabela1[[#This Row],[Country]],Table24[Freestyle 65kg Classification],"&gt;0")</f>
        <v>0</v>
      </c>
      <c r="LW14" s="6">
        <f>COUNTIFS(Table24[Country],Tabela1[[#This Row],[Country]],Table24[Freestyle 74kg Classification],"&gt;0")</f>
        <v>0</v>
      </c>
      <c r="LX14" s="6">
        <f>COUNTIFS(Table24[Country],Tabela1[[#This Row],[Country]],Table24[Freestyle 86kg Classification],"&gt;0")</f>
        <v>0</v>
      </c>
      <c r="LY14" s="6">
        <f>COUNTIFS(Table24[Country],Tabela1[[#This Row],[Country]],Table24[Freestyle 97kg Classification],"&gt;0")</f>
        <v>0</v>
      </c>
      <c r="LZ14" s="6">
        <f>COUNTIFS(Table24[Country],Tabela1[[#This Row],[Country]],Table24[Freestyle 125kg Classification],"&gt;0")</f>
        <v>0</v>
      </c>
      <c r="MA14" s="6">
        <f>COUNTIFS(Table24[Country],Tabela1[[#This Row],[Country]],Table24[Greco-Roman 60kg Classification],"&gt;0")</f>
        <v>0</v>
      </c>
      <c r="MB14" s="6">
        <f>COUNTIFS(Table24[Country],Tabela1[[#This Row],[Country]],Table24[Greco-Roman 67kg Classification],"&gt;0")</f>
        <v>0</v>
      </c>
      <c r="MC14" s="6">
        <f>COUNTIFS(Table24[Country],Tabela1[[#This Row],[Country]],Table24[Greco-Roman 77kg Classification],"&gt;0")</f>
        <v>1</v>
      </c>
      <c r="MD14" s="6">
        <f>COUNTIFS(Table24[Country],Tabela1[[#This Row],[Country]],Table24[Greco-Roman 87kg Classification],"&gt;0")</f>
        <v>0</v>
      </c>
      <c r="ME14" s="6">
        <f>COUNTIFS(Table24[Country],Tabela1[[#This Row],[Country]],Table24[Greco-Roman 97kg Classification],"&gt;0")</f>
        <v>1</v>
      </c>
      <c r="MF14" s="6">
        <f>COUNTIFS(Table24[Country],Tabela1[[#This Row],[Country]],Table24[Greco-Roman 130kg Classification],"&gt;0")</f>
        <v>0</v>
      </c>
      <c r="MG14" s="6">
        <f>COUNTIFS(Table31[Country],Tabela1[[#This Row],[Country]],Table31[50kg Classification],"&gt;0")</f>
        <v>0</v>
      </c>
      <c r="MH14" s="6">
        <f>COUNTIFS(Table31[Country],Tabela1[[#This Row],[Country]],Table31[53kg Classification],"&gt;0")</f>
        <v>0</v>
      </c>
      <c r="MI14" s="6">
        <f>COUNTIFS(Table31[Country],Tabela1[[#This Row],[Country]],Table31[57kg Classification],"&gt;0")</f>
        <v>0</v>
      </c>
      <c r="MJ14" s="6">
        <f>COUNTIFS(Table31[Country],Tabela1[[#This Row],[Country]],Table31[62kg Classification],"&gt;0")</f>
        <v>0</v>
      </c>
      <c r="MK14" s="6">
        <f>COUNTIFS(Table31[Country],Tabela1[[#This Row],[Country]],Table31[68kg Classification],"&gt;0")</f>
        <v>0</v>
      </c>
      <c r="ML14" s="6">
        <f>COUNTIFS(Table31[Country],Tabela1[[#This Row],[Country]],Table31[76kg Classification],"&gt;0")</f>
        <v>0</v>
      </c>
      <c r="MM14" s="6">
        <f>COUNTIFS(Table102[Country],Tabela1[[#This Row],[Country]],Table102[Downhill Classification],"&gt;0")</f>
        <v>0</v>
      </c>
      <c r="MN14" s="6">
        <f>COUNTIFS(Table102105[Country],Tabela1[[#This Row],[Country]],Table102105[Downhill Classification],"&gt;0")</f>
        <v>1</v>
      </c>
      <c r="MO14" s="6">
        <f>COUNTIFS(Table102[Country],Tabela1[[#This Row],[Country]],Table102[Giant Slalom Classification],"&gt;0")</f>
        <v>2</v>
      </c>
      <c r="MP14" s="6">
        <f>COUNTIFS(Table102105[Country],Tabela1[[#This Row],[Country]],Table102105[Giant Slalom Classification],"&gt;0")</f>
        <v>0</v>
      </c>
      <c r="MQ14" s="6">
        <f>COUNTIFS(Table102[Country],Tabela1[[#This Row],[Country]],Table102[Slalom Classification],"&gt;0")</f>
        <v>2</v>
      </c>
      <c r="MR14" s="6">
        <f>COUNTIFS(Table102105[Country],Tabela1[[#This Row],[Country]],Table102105[Slalom Classification],"&gt;0")</f>
        <v>1</v>
      </c>
      <c r="MS14" s="6">
        <f>COUNTIFS(Table102[Country],Tabela1[[#This Row],[Country]],Table102[Super-G Classification],"&gt;0")</f>
        <v>0</v>
      </c>
      <c r="MT14" s="6">
        <f>COUNTIFS(Table102105[Country],Tabela1[[#This Row],[Country]],Table102105[Super-G Classification],"&gt;0")</f>
        <v>1</v>
      </c>
      <c r="MU14" s="6">
        <f>COUNTIFS(Table105[Country],Tabela1[[#This Row],[Country]],Table105[Men''s Combined Classification],"&gt;0")</f>
        <v>1</v>
      </c>
      <c r="MV14" s="6">
        <f>COUNTIFS(Table105[Country],Tabela1[[#This Row],[Country]],Table105[Women''s Combined Classification],"&gt;0")</f>
        <v>0</v>
      </c>
      <c r="MW14" s="6">
        <f>COUNTIFS(Table106[Country],Tabela1[[#This Row],[Country]],Table106[Individual Classification],"&gt;0")</f>
        <v>3</v>
      </c>
      <c r="MX14" s="6">
        <f>COUNTIFS(Table106109[Country],Tabela1[[#This Row],[Country]],Table106109[Individual Classification],"&gt;0")</f>
        <v>2</v>
      </c>
      <c r="MY14" s="6">
        <f>COUNTIFS(Table106[Country],Tabela1[[#This Row],[Country]],Table106[Mass Start Classification],"&gt;0")</f>
        <v>3</v>
      </c>
      <c r="MZ14" s="6">
        <f>COUNTIFS(Table106109[Country],Tabela1[[#This Row],[Country]],Table106109[Mass Start Classification],"&gt;0")</f>
        <v>1</v>
      </c>
      <c r="NA14" s="6">
        <f>COUNTIFS(Table106[Country],Tabela1[[#This Row],[Country]],Table106[Pursuit Classification],"&gt;0")</f>
        <v>3</v>
      </c>
      <c r="NB14" s="6">
        <f>COUNTIFS(Table106109[Country],Tabela1[[#This Row],[Country]],Table106109[Pursuit Classification],"&gt;0")</f>
        <v>1</v>
      </c>
      <c r="NC14" s="6">
        <f>COUNTIFS(Table106[Country],Tabela1[[#This Row],[Country]],Table106[Sprint Classification],"&gt;0")</f>
        <v>3</v>
      </c>
      <c r="ND14" s="6">
        <f>COUNTIFS(Table106109[Country],Tabela1[[#This Row],[Country]],Table106109[Sprint Classification],"&gt;0")</f>
        <v>2</v>
      </c>
      <c r="NE14" s="6">
        <f>COUNTIFS(Table109[Country],Tabela1[[#This Row],[Country]],Table109[Men''s Relay Classification],"&gt;0")</f>
        <v>1</v>
      </c>
      <c r="NF14" s="6">
        <f>COUNTIFS(Table109[Country],Tabela1[[#This Row],[Country]],Table109[Women''s Relay Classification],"&gt;0")</f>
        <v>1</v>
      </c>
      <c r="NG14" s="6">
        <f>COUNTIFS(Table109[Country],Tabela1[[#This Row],[Country]],Table109[Mixed Relay Classification],"&gt;0")</f>
        <v>1</v>
      </c>
      <c r="NH14" s="6">
        <f>COUNTIFS(Table110[Country],Tabela1[[#This Row],[Country]],Table110[Monobob Classification],"&gt;0")</f>
        <v>0</v>
      </c>
      <c r="NI14" s="6">
        <f>COUNTIFS(Table111[Country],Tabela1[[#This Row],[Country]],Table111[Men''s Classification],"&gt;0")</f>
        <v>0</v>
      </c>
      <c r="NJ14" s="6">
        <f>COUNTIFS(Table111[Country],Tabela1[[#This Row],[Country]],Table111[Women''s Classification],"&gt;0")</f>
        <v>0</v>
      </c>
      <c r="NK14" s="6">
        <f>COUNTIFS(Table112[Country],Tabela1[[#This Row],[Country]],Table112[Men''s Four Classification],"&gt;0")</f>
        <v>0</v>
      </c>
      <c r="NL14" s="6">
        <f>COUNTIFS(Table113[Country],Tabela1[[#This Row],[Country]],Table113[Classical Classification],"&gt;0")</f>
        <v>0</v>
      </c>
      <c r="NM14" s="6">
        <f>COUNTIFS(Table113116[Country],Tabela1[[#This Row],[Country]],Table113116[Classical Classification],"&gt;0")</f>
        <v>1</v>
      </c>
      <c r="NN14" s="6">
        <f>COUNTIFS(Table113[Country],Tabela1[[#This Row],[Country]],Table113[Freestyle Classification],"&gt;0")</f>
        <v>1</v>
      </c>
      <c r="NO14" s="6">
        <f>COUNTIFS(Table113116[Country],Tabela1[[#This Row],[Country]],Table113116[Freestyle Classification],"&gt;0")</f>
        <v>2</v>
      </c>
      <c r="NP14" s="6">
        <f>COUNTIFS(Table117[Country],Tabela1[[#This Row],[Country]],Table117[Men''s Relay Classification],"&gt;0")</f>
        <v>0</v>
      </c>
      <c r="NQ14" s="6">
        <f>COUNTIFS(Table117[Country],Tabela1[[#This Row],[Country]],Table117[Women''s Relay Classification],"&gt;0")</f>
        <v>1</v>
      </c>
      <c r="NR14" s="6">
        <f>COUNTIFS(Table113[Country],Tabela1[[#This Row],[Country]],Table113[Skiathlon Classification],"&gt;0")</f>
        <v>1</v>
      </c>
      <c r="NS14" s="6">
        <f>COUNTIFS(Table113116[Country],Tabela1[[#This Row],[Country]],Table113116[Skiathlon Classification],"&gt;0")</f>
        <v>2</v>
      </c>
      <c r="NT14" s="6">
        <f>COUNTIFS(Table113[Country],Tabela1[[#This Row],[Country]],Table113[Sprint Classification],"&gt;0")</f>
        <v>1</v>
      </c>
      <c r="NU14" s="6">
        <f>COUNTIFS(Table113116[Country],Tabela1[[#This Row],[Country]],Table113116[Sprint Classification],"&gt;0")</f>
        <v>2</v>
      </c>
      <c r="NV14" s="6">
        <f>COUNTIFS(Table116[Country],Tabela1[[#This Row],[Country]],Table116[Men''s Team Sprint Classification],"&gt;0")</f>
        <v>0</v>
      </c>
      <c r="NW14" s="6">
        <f>COUNTIFS(Table116[Country],Tabela1[[#This Row],[Country]],Table116[Women''s Team Sprint Classification],"&gt;0")</f>
        <v>1</v>
      </c>
      <c r="NX14" s="6">
        <f>COUNTIFS(Table119[Country],Tabela1[[#This Row],[Country]],Table119[Men''s Classification],"&gt;0")</f>
        <v>0</v>
      </c>
      <c r="NY14" s="6">
        <f>COUNTIFS(Table119[Country],Tabela1[[#This Row],[Country]],Table119[Women''s Classification],"&gt;0")</f>
        <v>0</v>
      </c>
      <c r="NZ14" s="6">
        <f>COUNTIFS(Table118[Country],Tabela1[[#This Row],[Country]],Table118[Mixed Classification],"&gt;0")</f>
        <v>0</v>
      </c>
      <c r="OA14" s="6">
        <f>COUNTIFS(Table120[Country],Tabela1[[#This Row],[Country]],Table120[Classification],"&gt;0")</f>
        <v>0</v>
      </c>
      <c r="OB14" s="6">
        <f>COUNTIFS(Table120123[Country],Tabela1[[#This Row],[Country]],Table120123[Classification],"&gt;0")</f>
        <v>0</v>
      </c>
      <c r="OC14" s="6">
        <f>COUNTIFS(Table123[Country],Tabela1[[#This Row],[Country]],Table123[Ice Dance Classification],"&gt;0")</f>
        <v>1</v>
      </c>
      <c r="OD14" s="6">
        <f>COUNTIFS(Table123[Country],Tabela1[[#This Row],[Country]],Table123[Pair Skating Classification],"&gt;0")</f>
        <v>0</v>
      </c>
      <c r="OE14" s="6">
        <f>COUNTIFS(Table124[Country],Tabela1[[#This Row],[Country]],Table124[Mixed Classification],"&gt;0")</f>
        <v>0</v>
      </c>
      <c r="OF14" s="6">
        <f>COUNTIFS(Table125[Country],Tabela1[[#This Row],[Country]],Table125[Aerials Classification],"&gt;0")</f>
        <v>0</v>
      </c>
      <c r="OG14" s="6">
        <f>COUNTIFS(Table125128[Country],Tabela1[[#This Row],[Country]],Table125128[Aerials Classification],"&gt;0")</f>
        <v>0</v>
      </c>
      <c r="OH14" s="6">
        <f>COUNTIFS(Table128[Country],Tabela1[[#This Row],[Country]],Table128[Mixed Aerials Classification],"&gt;0")</f>
        <v>0</v>
      </c>
      <c r="OI14" s="6">
        <f>COUNTIFS(Table125[Country],Tabela1[[#This Row],[Country]],Table125[Big Air Classification],"&gt;0")</f>
        <v>1</v>
      </c>
      <c r="OJ14" s="6">
        <f>COUNTIFS(Table125128[Country],Tabela1[[#This Row],[Country]],Table125128[Big Air Classification],"&gt;0")</f>
        <v>1</v>
      </c>
      <c r="OK14" s="6">
        <f>COUNTIFS(Table125[Country],Tabela1[[#This Row],[Country]],Table125[Dual Moguls Classification],"&gt;0")</f>
        <v>2</v>
      </c>
      <c r="OL14" s="6">
        <f>COUNTIFS(Table125128[Country],Tabela1[[#This Row],[Country]],Table125128[Dual Moguls Classification],"&gt;0")</f>
        <v>0</v>
      </c>
      <c r="OM14" s="6">
        <f>COUNTIFS(Table125[Country],Tabela1[[#This Row],[Country]],Table125[Halfpipe Classification],"&gt;0")</f>
        <v>0</v>
      </c>
      <c r="ON14" s="6">
        <f>COUNTIFS(Table125128[Country],Tabela1[[#This Row],[Country]],Table125128[Halfpipe Classification],"&gt;0")</f>
        <v>0</v>
      </c>
      <c r="OO14" s="6">
        <f>COUNTIFS(Table125[Country],Tabela1[[#This Row],[Country]],Table125[Moguls Classification],"&gt;0")</f>
        <v>2</v>
      </c>
      <c r="OP14" s="6">
        <f>COUNTIFS(Table125128[Country],Tabela1[[#This Row],[Country]],Table125128[Moguls Classification],"&gt;0")</f>
        <v>0</v>
      </c>
      <c r="OQ14" s="6">
        <f>COUNTIFS(Table125[Country],Tabela1[[#This Row],[Country]],Table125[Ski Cross Classification],"&gt;0")</f>
        <v>0</v>
      </c>
      <c r="OR14" s="6">
        <f>COUNTIFS(Table125128[Country],Tabela1[[#This Row],[Country]],Table125128[Ski Cross Classification],"&gt;0")</f>
        <v>0</v>
      </c>
      <c r="OS14" s="6">
        <f>COUNTIFS(Table125[Country],Tabela1[[#This Row],[Country]],Table125[Slopestyle Classification],"&gt;0")</f>
        <v>1</v>
      </c>
      <c r="OT14" s="6">
        <f>COUNTIFS(Table125128[Country],Tabela1[[#This Row],[Country]],Table125128[Slopestyle Classification],"&gt;0")</f>
        <v>1</v>
      </c>
      <c r="OU14" s="6">
        <f>COUNTIFS(Table119131[Country],Tabela1[[#This Row],[Country]],Table119131[Men''s Classification],"&gt;0")</f>
        <v>1</v>
      </c>
      <c r="OV14" s="6">
        <f>COUNTIFS(Table119131[Country],Tabela1[[#This Row],[Country]],Table119131[Women''s Classification],"&gt;0")</f>
        <v>1</v>
      </c>
      <c r="OW14" s="6">
        <f>COUNTIFS(Table131[Country],Tabela1[[#This Row],[Country]],Table131[Classification],"&gt;0")</f>
        <v>0</v>
      </c>
      <c r="OX14" s="6">
        <f>COUNTIFS(Table131134[Country],Tabela1[[#This Row],[Country]],Table131134[Classification],"&gt;0")</f>
        <v>0</v>
      </c>
      <c r="OY14" s="6">
        <f>COUNTIFS(Table134[Country],Tabela1[[#This Row],[Country]],Table134[Men''s Classification],"&gt;0")</f>
        <v>0</v>
      </c>
      <c r="OZ14" s="6">
        <f>COUNTIFS(Table134[Country],Tabela1[[#This Row],[Country]],Table134[Women''s Classification],"&gt;0")</f>
        <v>0</v>
      </c>
      <c r="PA14" s="6">
        <f>COUNTIFS(Table135[Country],Tabela1[[#This Row],[Country]],Table135[Mixed Relay Classification],"&gt;0")</f>
        <v>0</v>
      </c>
      <c r="PB14" s="6">
        <f>COUNTIFS(Table136[Country],Tabela1[[#This Row],[Country]],Table136[Individual Classification],"&gt;0")</f>
        <v>1</v>
      </c>
      <c r="PC14" s="6">
        <f>COUNTIFS(Table136[Country],Tabela1[[#This Row],[Country]],Table136[Sprint Classification],"&gt;0")</f>
        <v>1</v>
      </c>
      <c r="PD14" s="6">
        <f>COUNTIFS(Table137[Country],Tabela1[[#This Row],[Country]],Table137[Men''s Team Sprint Large Hill Classification],"&gt;0")</f>
        <v>1</v>
      </c>
      <c r="PE14" s="6">
        <f>COUNTIFS(Table138[Country],Tabela1[[#This Row],[Country]],Table138[500m Classification],"&gt;0")</f>
        <v>0</v>
      </c>
      <c r="PF14" s="6">
        <f>COUNTIFS(Table138141[Country],Tabela1[[#This Row],[Country]],Table138141[500m Classification],"&gt;0")</f>
        <v>0</v>
      </c>
      <c r="PG14" s="6">
        <f>COUNTIFS(Table138[Country],Tabela1[[#This Row],[Country]],Table138[1000m Classification],"&gt;0")</f>
        <v>0</v>
      </c>
      <c r="PH14" s="6">
        <f>COUNTIFS(Table138141[Country],Tabela1[[#This Row],[Country]],Table138141[1000m Classification],"&gt;0")</f>
        <v>0</v>
      </c>
      <c r="PI14" s="6">
        <f>COUNTIFS(Table138[Country],Tabela1[[#This Row],[Country]],Table138[1500m Classification],"&gt;0")</f>
        <v>0</v>
      </c>
      <c r="PJ14" s="6">
        <f>COUNTIFS(Table138141[Country],Tabela1[[#This Row],[Country]],Table138141[1500m Classification],"&gt;0")</f>
        <v>0</v>
      </c>
      <c r="PK14" s="6">
        <f>COUNTIFS(Table141[Country],Tabela1[[#This Row],[Country]],Table141[Men''s 5000m Relay Classification],"&gt;0")</f>
        <v>0</v>
      </c>
      <c r="PL14" s="6">
        <f>COUNTIFS(Table141[Country],Tabela1[[#This Row],[Country]],Table141[Women''s 3000m Relay Classification],"&gt;0")</f>
        <v>0</v>
      </c>
      <c r="PM14" s="6">
        <f>COUNTIFS(Table141[Country],Tabela1[[#This Row],[Country]],Table141[Mixed 2000m Relay Classification],"&gt;0")</f>
        <v>0</v>
      </c>
      <c r="PN14" s="6">
        <f>COUNTIFS(Table142[Country],Tabela1[[#This Row],[Country]],Table142[Classification],"&gt;0")</f>
        <v>0</v>
      </c>
      <c r="PO14" s="6">
        <f>COUNTIFS(Table142145[Country],Tabela1[[#This Row],[Country]],Table142145[Classification],"&gt;0")</f>
        <v>0</v>
      </c>
      <c r="PP14" s="6">
        <f>COUNTIFS(Tabela15[Country],Tabela1[[#This Row],[Country]],Tabela15[Mixed Team Classification],"&gt;0")</f>
        <v>0</v>
      </c>
      <c r="PQ14" s="6">
        <f>COUNTIFS(Table145[Country],Tabela1[[#This Row],[Country]],Table145[Large Hill Classification],"&gt;0")</f>
        <v>1</v>
      </c>
      <c r="PR14" s="6">
        <f>COUNTIFS(Table145[Country],Tabela1[[#This Row],[Country]],Table145[Normal Hill Classification],"&gt;0")</f>
        <v>1</v>
      </c>
      <c r="PS14" s="6">
        <f>COUNTIFS(Table145148[Country],Tabela1[[#This Row],[Country]],Table145148[Large Hill Classification],"&gt;0")</f>
        <v>2</v>
      </c>
      <c r="PT14" s="6">
        <f>COUNTIFS(Table145148[Country],Tabela1[[#This Row],[Country]],Table145148[Normal Hill Classification],"&gt;0")</f>
        <v>2</v>
      </c>
      <c r="PU14" s="6">
        <f>COUNTIFS(Table148[Country],Tabela1[[#This Row],[Country]],Table148[Men''s Super Team Classification],"&gt;0")</f>
        <v>1</v>
      </c>
      <c r="PV14" s="6">
        <f>COUNTIFS(Tabela114[Country],Tabela1[[#This Row],[Country]],Tabela114[Mixed Normal Hill Classification],"&gt;0")</f>
        <v>1</v>
      </c>
      <c r="PW14" s="6">
        <f>COUNTIFS(Tabela50[Country],Tabela1[[#This Row],[Country]],Tabela50[Sprint Classification],"&gt;0")</f>
        <v>0</v>
      </c>
      <c r="PX14" s="6">
        <f>COUNTIFS(Tabela50101[Country],Tabela1[[#This Row],[Country]],Tabela50101[Sprint Classification],"&gt;0")</f>
        <v>0</v>
      </c>
      <c r="PY14" s="6">
        <f>COUNTIFS(Tabela103[Country],Tabela1[[#This Row],[Country]],Tabela103[Mixed Relay Classification],"&gt;0")</f>
        <v>0</v>
      </c>
      <c r="PZ14" s="6">
        <f>COUNTIFS(Table149[Country],Tabela1[[#This Row],[Country]],Table149[Big Air Classification],"&gt;0")</f>
        <v>0</v>
      </c>
      <c r="QA14" s="6">
        <f>COUNTIFS(Table149152[Country],Tabela1[[#This Row],[Country]],Table149152[Big Air Classification],"&gt;0")</f>
        <v>0</v>
      </c>
      <c r="QB14" s="6">
        <f>COUNTIFS(Table149[Country],Tabela1[[#This Row],[Country]],Table149[Halfpipe Classification],"&gt;0")</f>
        <v>0</v>
      </c>
      <c r="QC14" s="6">
        <f>COUNTIFS(Table149152[Country],Tabela1[[#This Row],[Country]],Table149152[Halfpipe Classification],"&gt;0")</f>
        <v>0</v>
      </c>
      <c r="QD14" s="6">
        <f>COUNTIFS(Table149[Country],Tabela1[[#This Row],[Country]],Table149[Parallel Giant Slalom Classification],"&gt;0")</f>
        <v>0</v>
      </c>
      <c r="QE14" s="6">
        <f>COUNTIFS(Table149152[Country],Tabela1[[#This Row],[Country]],Table149152[Parallel Giant Slalom Classification],"&gt;0")</f>
        <v>0</v>
      </c>
      <c r="QF14" s="6">
        <f>COUNTIFS(Table149[Country],Tabela1[[#This Row],[Country]],Table149[Slopestyle Classification],"&gt;0")</f>
        <v>0</v>
      </c>
      <c r="QG14" s="6">
        <f>COUNTIFS(Table149152[Country],Tabela1[[#This Row],[Country]],Table149152[Slopestyle Classification],"&gt;0")</f>
        <v>0</v>
      </c>
      <c r="QH14" s="6">
        <f>COUNTIFS(Table149[Country],Tabela1[[#This Row],[Country]],Table149[Snowboard Cross Classification],"&gt;0")</f>
        <v>0</v>
      </c>
      <c r="QI14" s="6">
        <f>COUNTIFS(Table149152[Country],Tabela1[[#This Row],[Country]],Table149152[Snowboard Cross Classification],"&gt;0")</f>
        <v>0</v>
      </c>
      <c r="QJ14" s="6">
        <f>COUNTIFS(Table153[Country],Tabela1[[#This Row],[Country]],Table153[Mixed Team Snowboard Cross Classification],"&gt;0")</f>
        <v>0</v>
      </c>
      <c r="QK14" s="6">
        <f>COUNTIFS(Table154[Country],Tabela1[[#This Row],[Country]],Table154[500m Classification],"&gt;0")</f>
        <v>0</v>
      </c>
      <c r="QL14" s="6">
        <f>COUNTIFS(Table154157[Country],Tabela1[[#This Row],[Country]],Table154157[500m Classification],"&gt;0")</f>
        <v>0</v>
      </c>
      <c r="QM14" s="6">
        <f>COUNTIFS(Table154[Country],Tabela1[[#This Row],[Country]],Table154[1000m Classification],"&gt;0")</f>
        <v>0</v>
      </c>
      <c r="QN14" s="6">
        <f>COUNTIFS(Table154157[Country],Tabela1[[#This Row],[Country]],Table154157[1000m Classification],"&gt;0")</f>
        <v>0</v>
      </c>
      <c r="QO14" s="6">
        <f>COUNTIFS(Table154[Country],Tabela1[[#This Row],[Country]],Table154[1500m Classification],"&gt;0")</f>
        <v>0</v>
      </c>
      <c r="QP14" s="6">
        <f>COUNTIFS(Table154157[Country],Tabela1[[#This Row],[Country]],Table154157[1500m Classification],"&gt;0")</f>
        <v>0</v>
      </c>
      <c r="QQ14" s="6">
        <f>COUNTIFS(Table154157[Country],Tabela1[[#This Row],[Country]],Table154157[3000m Classification],"&gt;0")</f>
        <v>0</v>
      </c>
      <c r="QR14" s="6">
        <f>COUNTIFS(Table154[Country],Tabela1[[#This Row],[Country]],Table154[5000m Classification],"&gt;0")</f>
        <v>0</v>
      </c>
      <c r="QS14" s="6">
        <f>COUNTIFS(Table154157[Country],Tabela1[[#This Row],[Country]],Table154157[5000m Classification],"&gt;0")</f>
        <v>0</v>
      </c>
      <c r="QT14" s="6">
        <f>COUNTIFS(Table154[Country],Tabela1[[#This Row],[Country]],Table154[10000m Classification],"&gt;0")</f>
        <v>0</v>
      </c>
      <c r="QU14" s="6">
        <f>COUNTIFS(Table154[Country],Tabela1[[#This Row],[Country]],Table154[Mass Start Classification],"&gt;0")</f>
        <v>0</v>
      </c>
      <c r="QV14" s="6">
        <f>COUNTIFS(Table154157[Country],Tabela1[[#This Row],[Country]],Table154157[Mass Start Classification],"&gt;0")</f>
        <v>0</v>
      </c>
      <c r="QW14" s="6">
        <f>COUNTIFS(Table157[Country],Tabela1[[#This Row],[Country]],Table157[Men''s Pursuit Classification],"&gt;0")</f>
        <v>0</v>
      </c>
      <c r="QX14" s="6">
        <f>COUNTIFS(Table157[Country],Tabela1[[#This Row],[Country]],Table157[Women''s Pursuit Classification],"&gt;0")</f>
        <v>0</v>
      </c>
      <c r="QY14" s="4" t="s">
        <v>373</v>
      </c>
    </row>
    <row r="15" spans="1:467" x14ac:dyDescent="0.3">
      <c r="A15" s="6">
        <v>14</v>
      </c>
      <c r="B15" s="6" t="s">
        <v>442</v>
      </c>
      <c r="C15" t="e" vm="14">
        <f>IF(ISBLANK(Tabela1[[#This Row],[Image Link]]), "", _xlfn.IMAGE(Tabela1[[#This Row],[Image Link]],1,1))</f>
        <v>#VALUE!</v>
      </c>
      <c r="D15" s="6">
        <f>SUM(Tabela1[[#This Row],[Archery - Men''s Individual Recurve]:[Speed Skating - Women''s Team Pursuit]])</f>
        <v>101</v>
      </c>
      <c r="E15" s="6">
        <f>COUNTIF(Tabela1[[#This Row],[Archery - Men''s Individual Recurve]:[Speed Skating - Women''s Team Pursuit]],"&gt;0")</f>
        <v>81</v>
      </c>
      <c r="F15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Winter Olympics</v>
      </c>
      <c r="G15" s="6">
        <f>SUM(Tabela1[[#This Row],[Archery - Men''s Individual Recurve]:[Wrestling - Women''s Freestyle 76kg]])</f>
        <v>36</v>
      </c>
      <c r="H15" s="6">
        <f>SUM(Tabela1[[#This Row],[Alpine Skiing - Men''s Downhill]:[Speed Skating - Women''s Team Pursuit]])</f>
        <v>65</v>
      </c>
      <c r="I15" s="6">
        <f>Tabela1[[#This Row],[Summer Gold Medals]]+Tabela1[[#This Row],[Winter Gold Medals]]</f>
        <v>5</v>
      </c>
      <c r="J15" s="6">
        <f>Tabela1[[#This Row],[Summer Silver Medals]]+Tabela1[[#This Row],[Winter Silver Medals]]</f>
        <v>2</v>
      </c>
      <c r="K15" s="6">
        <f>Tabela1[[#This Row],[Summer Bronze Medals]]+Tabela1[[#This Row],[Winter Bronze Medals]]</f>
        <v>3</v>
      </c>
      <c r="L15" s="6">
        <f>SUM(Tabela1[[#This Row],[Total Gold Medals]:[Total Bronze Medals]])</f>
        <v>10</v>
      </c>
      <c r="M15" s="6">
        <v>3</v>
      </c>
      <c r="N15" s="6"/>
      <c r="O15" s="6">
        <v>2</v>
      </c>
      <c r="P15" s="6">
        <f>SUM(Tabela1[[#This Row],[Summer Gold Medals]:[Summer Bronze Medals]])</f>
        <v>5</v>
      </c>
      <c r="Q15" s="6">
        <v>2</v>
      </c>
      <c r="R15" s="6">
        <v>2</v>
      </c>
      <c r="S15" s="6">
        <v>1</v>
      </c>
      <c r="T15" s="6">
        <f>Tabela1[[#This Row],[Winter Gold Medals]]+Tabela1[[#This Row],[Winter Silver Medals]]+Tabela1[[#This Row],[Winter Bronze Medals]]</f>
        <v>5</v>
      </c>
      <c r="U15" s="7">
        <f>Tabela1[[#This Row],[Total Medals]]/Tabela1[[#This Row],[Total Quotas]]</f>
        <v>9.9009900990099015E-2</v>
      </c>
      <c r="V15" s="6">
        <f>COUNTIFS(Table3[Country],Tabela1[[#This Row],[Country]],Table3[Recurve Classification],"&gt;0")</f>
        <v>0</v>
      </c>
      <c r="W15" s="6">
        <f>COUNTIFS(Table33[Country],Tabela1[[#This Row],[Country]],Table33[Recurve Classification],"&gt;0")</f>
        <v>0</v>
      </c>
      <c r="X15" s="6">
        <f>COUNTIFS(Table35[Country],Tabela1[[#This Row],[Country]],Table35[Men''s Team Recurve Classification],"&gt;0")</f>
        <v>0</v>
      </c>
      <c r="Y15" s="6">
        <f>COUNTIFS(Table35[Country],Tabela1[[#This Row],[Country]],Table35[Women''s Team Recurve Classification],"&gt;0")</f>
        <v>0</v>
      </c>
      <c r="Z15" s="6">
        <f>COUNTIFS(Tabela88[Country],Tabela1[[#This Row],[Country]],Tabela88[Mixed Team Recurve Classification],"&gt;0")</f>
        <v>0</v>
      </c>
      <c r="AA15" s="6">
        <f>COUNTIFS(Table36[Country],Tabela1[[#This Row],[Country]],Table36[Classification],"&gt;0")</f>
        <v>0</v>
      </c>
      <c r="AB15" s="6">
        <f>COUNTIFS(Table37[Country],Tabela1[[#This Row],[Country]],Table37[Classification],"&gt;0")</f>
        <v>0</v>
      </c>
      <c r="AC15" s="6">
        <f>COUNTIFS(Table4[Country],Tabela1[[#This Row],[Country]],Table4[100m Classification],"&gt;0")</f>
        <v>0</v>
      </c>
      <c r="AD15" s="6">
        <f>COUNTIFS(Table5[Country],Tabela1[[#This Row],[Country]],Table5[100m Classification],"&gt;0")</f>
        <v>0</v>
      </c>
      <c r="AE15" s="6">
        <f>COUNTIFS(Table4[Country],Tabela1[[#This Row],[Country]],Table4[200m Classification],"&gt;0")</f>
        <v>0</v>
      </c>
      <c r="AF15" s="6">
        <f>COUNTIFS(Table5[Country],Tabela1[[#This Row],[Country]],Table5[200m Classification],"&gt;0")</f>
        <v>0</v>
      </c>
      <c r="AG15" s="6">
        <f>COUNTIFS(Table4[Country],Tabela1[[#This Row],[Country]],Table4[400m Classification],"&gt;0")</f>
        <v>0</v>
      </c>
      <c r="AH15" s="6">
        <f>COUNTIFS(Table5[Country],Tabela1[[#This Row],[Country]],Table5[400m Classification],"&gt;0")</f>
        <v>1</v>
      </c>
      <c r="AI15" s="6">
        <f>COUNTIFS(Table4[Country],Tabela1[[#This Row],[Country]],Table4[800m Classification],"&gt;0")</f>
        <v>0</v>
      </c>
      <c r="AJ15" s="6">
        <f>COUNTIFS(Table5[Country],Tabela1[[#This Row],[Country]],Table5[800m Classification],"&gt;0")</f>
        <v>0</v>
      </c>
      <c r="AK15" s="6">
        <f>COUNTIFS(Table4[Country],Tabela1[[#This Row],[Country]],Table4[1500m Classification],"&gt;0")</f>
        <v>0</v>
      </c>
      <c r="AL15" s="6">
        <f>COUNTIFS(Table5[Country],Tabela1[[#This Row],[Country]],Table5[1500m Classification],"&gt;0")</f>
        <v>0</v>
      </c>
      <c r="AM15" s="6">
        <f>COUNTIFS(Table4[Country],Tabela1[[#This Row],[Country]],Table4[5000m Classification],"&gt;0")</f>
        <v>0</v>
      </c>
      <c r="AN15" s="6">
        <f>COUNTIFS(Table5[Country],Tabela1[[#This Row],[Country]],Table5[5000m Classification],"&gt;0")</f>
        <v>0</v>
      </c>
      <c r="AO15" s="6">
        <f>COUNTIFS(Table4[Country],Tabela1[[#This Row],[Country]],Table4[10000m Classification],"&gt;0")</f>
        <v>0</v>
      </c>
      <c r="AP15" s="6">
        <f>COUNTIFS(Table5[Country],Tabela1[[#This Row],[Country]],Table5[10000m Classification],"&gt;0")</f>
        <v>0</v>
      </c>
      <c r="AQ15" s="6">
        <f>COUNTIFS(Table4[Country],Tabela1[[#This Row],[Country]],Table4[110m Hurdles Classification],"&gt;0")</f>
        <v>0</v>
      </c>
      <c r="AR15" s="6">
        <f>COUNTIFS(Table5[Country],Tabela1[[#This Row],[Country]],Table5[100m Hurdles Classification],"&gt;0")</f>
        <v>0</v>
      </c>
      <c r="AS15" s="6">
        <f>COUNTIFS(Table4[Country],Tabela1[[#This Row],[Country]],Table4[400m Hurdles Classification],"&gt;0")</f>
        <v>1</v>
      </c>
      <c r="AT15" s="6">
        <f>COUNTIFS(Table5[Country],Tabela1[[#This Row],[Country]],Table5[400m Hurdles Classification],"&gt;0")</f>
        <v>0</v>
      </c>
      <c r="AU15" s="6">
        <f>COUNTIFS(Table4[Country],Tabela1[[#This Row],[Country]],Table4[3000m Steeplechase Classification],"&gt;0")</f>
        <v>1</v>
      </c>
      <c r="AV15" s="6">
        <f>COUNTIFS(Table5[Country],Tabela1[[#This Row],[Country]],Table5[3000m Steeplechase Classification],"&gt;0")</f>
        <v>0</v>
      </c>
      <c r="AW15" s="6">
        <f>COUNTIFS(Table27[Country],Tabela1[[#This Row],[Country]],Table27[Men''s 4x100m Relay Classification],"&gt;0")</f>
        <v>0</v>
      </c>
      <c r="AX15" s="6">
        <f>COUNTIFS(Table27[Country],Tabela1[[#This Row],[Country]],Table27[Women''s 4x100m Relay Classification],"&gt;0")</f>
        <v>0</v>
      </c>
      <c r="AY15" s="6">
        <f>COUNTIFS(Table27[Country],Tabela1[[#This Row],[Country]],Table27[Men''s 4x400m Relay Classification],"&gt;0")</f>
        <v>0</v>
      </c>
      <c r="AZ15" s="6">
        <f>COUNTIFS(Table27[Country],Tabela1[[#This Row],[Country]],Table27[Women''s 4x400m Relay Classification],"&gt;0")</f>
        <v>0</v>
      </c>
      <c r="BA15" s="6">
        <f>COUNTIFS(Table27[Country],Tabela1[[#This Row],[Country]],Table27[Mixed 4x400m Relay Classification],"&gt;0")</f>
        <v>0</v>
      </c>
      <c r="BB15" s="6">
        <f>COUNTIFS(Table4[Country],Tabela1[[#This Row],[Country]],Table4[Marathon Classification],"&gt;0")</f>
        <v>0</v>
      </c>
      <c r="BC15" s="6">
        <f>COUNTIFS(Table5[Country],Tabela1[[#This Row],[Country]],Table5[Marathon Classification],"&gt;0")</f>
        <v>1</v>
      </c>
      <c r="BD15" s="6">
        <f>COUNTIFS(Table4[Country],Tabela1[[#This Row],[Country]],Table4[20km Race Walk Classification],"&gt;0")</f>
        <v>0</v>
      </c>
      <c r="BE15" s="6">
        <f>COUNTIFS(Table5[Country],Tabela1[[#This Row],[Country]],Table5[20km Race Walk Classification],"&gt;0")</f>
        <v>0</v>
      </c>
      <c r="BF15" s="6">
        <f>COUNTIFS(Tabela96[Country],Tabela1[[#This Row],[Country]],Tabela96[Mixed Marathon Race Walk Relay Classification],"&gt;0")</f>
        <v>1</v>
      </c>
      <c r="BG15" s="6">
        <f>COUNTIFS(Table4[Country],Tabela1[[#This Row],[Country]],Table4[Discus Throw Classification],"&gt;0")</f>
        <v>0</v>
      </c>
      <c r="BH15" s="6">
        <f>COUNTIFS(Table5[Country],Tabela1[[#This Row],[Country]],Table5[Discus Throw Classification],"&gt;0")</f>
        <v>0</v>
      </c>
      <c r="BI15" s="6">
        <f>COUNTIFS(Table4[Country],Tabela1[[#This Row],[Country]],Table4[Hammer Throw Classification],"&gt;0")</f>
        <v>1</v>
      </c>
      <c r="BJ15" s="6">
        <f>COUNTIFS(Table5[Country],Tabela1[[#This Row],[Country]],Table5[Hammer Throw Classification],"&gt;0")</f>
        <v>0</v>
      </c>
      <c r="BK15" s="6">
        <f>COUNTIFS(Table4[Country],Tabela1[[#This Row],[Country]],Table4[High Jump Classification],"&gt;0")</f>
        <v>0</v>
      </c>
      <c r="BL15" s="6">
        <f>COUNTIFS(Table5[Country],Tabela1[[#This Row],[Country]],Table5[High Jump Classification],"&gt;0")</f>
        <v>0</v>
      </c>
      <c r="BM15" s="6">
        <f>COUNTIFS(Table4[Country],Tabela1[[#This Row],[Country]],Table4[Javelin Throw Classification],"&gt;0")</f>
        <v>0</v>
      </c>
      <c r="BN15" s="6">
        <f>COUNTIFS(Table5[Country],Tabela1[[#This Row],[Country]],Table5[Javelin Throw Classification],"&gt;0")</f>
        <v>0</v>
      </c>
      <c r="BO15" s="6">
        <f>COUNTIFS(Table4[Country],Tabela1[[#This Row],[Country]],Table4[Long Jump Classification],"&gt;0")</f>
        <v>1</v>
      </c>
      <c r="BP15" s="6">
        <f>COUNTIFS(Table5[Country],Tabela1[[#This Row],[Country]],Table5[Long Jump Classification],"&gt;0")</f>
        <v>0</v>
      </c>
      <c r="BQ15" s="6">
        <f>COUNTIFS(Table4[Country],Tabela1[[#This Row],[Country]],Table4[Pole Vault Classification],"&gt;0")</f>
        <v>0</v>
      </c>
      <c r="BR15" s="6">
        <f>COUNTIFS(Table5[Country],Tabela1[[#This Row],[Country]],Table5[Pole Vault Classification],"&gt;0")</f>
        <v>0</v>
      </c>
      <c r="BS15" s="6">
        <f>COUNTIFS(Table4[Country],Tabela1[[#This Row],[Country]],Table4[Shot Put Classification],"&gt;0")</f>
        <v>0</v>
      </c>
      <c r="BT15" s="6">
        <f>COUNTIFS(Table5[Country],Tabela1[[#This Row],[Country]],Table5[Shot Put Classification],"&gt;0")</f>
        <v>0</v>
      </c>
      <c r="BU15" s="6">
        <f>COUNTIFS(Table4[Country],Tabela1[[#This Row],[Country]],Table4[Triple Jump Classification],"&gt;0")</f>
        <v>0</v>
      </c>
      <c r="BV15" s="6">
        <f>COUNTIFS(Table5[Country],Tabela1[[#This Row],[Country]],Table5[Triple Jump Classification],"&gt;0")</f>
        <v>0</v>
      </c>
      <c r="BW15" s="6">
        <f>COUNTIFS(Table4[Country],Tabela1[[#This Row],[Country]],Table4[Decathlon Classification],"&gt;0")</f>
        <v>0</v>
      </c>
      <c r="BX15" s="6">
        <f>COUNTIFS(Table5[Country],Tabela1[[#This Row],[Country]],Table5[Heptathlon Classification],"&gt;0")</f>
        <v>0</v>
      </c>
      <c r="BY15" s="6">
        <f>COUNTIFS(Table61[Country],Tabela1[[#This Row],[Country]],Table61[Classification],"&gt;0")</f>
        <v>0</v>
      </c>
      <c r="BZ15" s="6">
        <f>COUNTIFS(Table38[Country],Tabela1[[#This Row],[Country]],Table38[Classification],"&gt;0")</f>
        <v>0</v>
      </c>
      <c r="CA15" s="6">
        <f>COUNTIFS(Table39[Country],Tabela1[[#This Row],[Country]],Table39[Men''s Classification],"&gt;0")</f>
        <v>0</v>
      </c>
      <c r="CB15" s="6">
        <f>COUNTIFS(Table39[Country],Tabela1[[#This Row],[Country]],Table39[Women''s Classification],"&gt;0")</f>
        <v>0</v>
      </c>
      <c r="CC15" s="6">
        <f>COUNTIFS(Table39[Country],Tabela1[[#This Row],[Country]],Table39[Mixed Classification],"&gt;0")</f>
        <v>0</v>
      </c>
      <c r="CD15" s="6">
        <f>COUNTIFS(Table89[Country],Tabela1[[#This Row],[Country]],Table89[Men''s Classification],"&gt;0")</f>
        <v>0</v>
      </c>
      <c r="CE15" s="6">
        <f>COUNTIFS(Table89[Country],Tabela1[[#This Row],[Country]],Table89[Women''s Classification],"&gt;0")</f>
        <v>0</v>
      </c>
      <c r="CF15" s="6">
        <f>COUNTIFS(Table90[Country],Tabela1[[#This Row],[Country]],Table90[Men''s Classification],"&gt;0")</f>
        <v>0</v>
      </c>
      <c r="CG15" s="6">
        <f>COUNTIFS(Table90[Country],Tabela1[[#This Row],[Country]],Table90[Women''s Classification],"&gt;0")</f>
        <v>0</v>
      </c>
      <c r="CH15" s="6">
        <f>COUNTIFS(Table60[Country],Tabela1[[#This Row],[Country]],Table60[Men''s Classification],"&gt;0")</f>
        <v>0</v>
      </c>
      <c r="CI15" s="6">
        <f>COUNTIFS(Table60[Country],Tabela1[[#This Row],[Country]],Table60[Women''s Classification],"&gt;0")</f>
        <v>1</v>
      </c>
      <c r="CJ15" s="6">
        <f>COUNTIFS(Table6[Country],Tabela1[[#This Row],[Country]],Table6[51kg Classification],"&gt;0")</f>
        <v>0</v>
      </c>
      <c r="CK15" s="6">
        <f>COUNTIFS(Table6[Country],Tabela1[[#This Row],[Country]],Table6[57kg Classification],"&gt;0")</f>
        <v>0</v>
      </c>
      <c r="CL15" s="6">
        <f>COUNTIFS(Table6[Country],Tabela1[[#This Row],[Country]],Table6[63.5kg Classification],"&gt;0")</f>
        <v>0</v>
      </c>
      <c r="CM15" s="6">
        <f>COUNTIFS(Table6[Country],Tabela1[[#This Row],[Country]],Table6[71kg Classification],"&gt;0")</f>
        <v>0</v>
      </c>
      <c r="CN15" s="6">
        <f>COUNTIFS(Table6[Country],Tabela1[[#This Row],[Country]],Table6[80kg Classification],"&gt;0")</f>
        <v>0</v>
      </c>
      <c r="CO15" s="6">
        <f>COUNTIFS(Table6[Country],Tabela1[[#This Row],[Country]],Table6[92kg Classification],"&gt;0")</f>
        <v>0</v>
      </c>
      <c r="CP15" s="6">
        <f>COUNTIFS(Table6[Country],Tabela1[[#This Row],[Country]],Table6[Plus 92kg Classification],"&gt;0")</f>
        <v>0</v>
      </c>
      <c r="CQ15" s="6">
        <f>COUNTIFS(Table7[Country],Tabela1[[#This Row],[Country]],Table7[50kg Classification],"&gt;0")</f>
        <v>0</v>
      </c>
      <c r="CR15" s="6">
        <f>COUNTIFS(Table7[Country],Tabela1[[#This Row],[Country]],Table7[54kg Classification],"&gt;0")</f>
        <v>0</v>
      </c>
      <c r="CS15" s="6">
        <f>COUNTIFS(Table7[Country],Tabela1[[#This Row],[Country]],Table7[57kg Classification],"&gt;0")</f>
        <v>0</v>
      </c>
      <c r="CT15" s="6">
        <f>COUNTIFS(Table7[Country],Tabela1[[#This Row],[Country]],Table7[60kg Classification],"&gt;0")</f>
        <v>0</v>
      </c>
      <c r="CU15" s="6">
        <f>COUNTIFS(Table7[Country],Tabela1[[#This Row],[Country]],Table7[66kg Classification],"&gt;0")</f>
        <v>0</v>
      </c>
      <c r="CV15" s="6">
        <f>COUNTIFS(Table7[Country],Tabela1[[#This Row],[Country]],Table7[75kg Classification],"&gt;0")</f>
        <v>0</v>
      </c>
      <c r="CW15" s="6">
        <f>COUNTIFS(Tabela94[Country],Tabela1[[#This Row],[Country]],Tabela94[Classification],"&gt;0")</f>
        <v>0</v>
      </c>
      <c r="CX15" s="6">
        <f>COUNTIFS(Tabela9499[Country],Tabela1[[#This Row],[Country]],Tabela9499[Classification],"&gt;0")</f>
        <v>0</v>
      </c>
      <c r="CY15" s="6">
        <f>COUNTIFS(Tabela107[Country],Tabela1[[#This Row],[Country]],Tabela107[C1 Slalom Classification],"&gt;0")</f>
        <v>1</v>
      </c>
      <c r="CZ15" s="6">
        <f>COUNTIFS(Tabela107122[Country],Tabela1[[#This Row],[Country]],Tabela107122[C1 Slalom Classification],"&gt;0")</f>
        <v>0</v>
      </c>
      <c r="DA15" s="6">
        <f>COUNTIFS(Tabela107[Country],Tabela1[[#This Row],[Country]],Tabela107[K1 Slalom Classification],"&gt;0")</f>
        <v>1</v>
      </c>
      <c r="DB15" s="6">
        <f>COUNTIFS(Tabela107122[Country],Tabela1[[#This Row],[Country]],Tabela107122[K1 Slalom Classification],"&gt;0")</f>
        <v>0</v>
      </c>
      <c r="DC15" s="6">
        <f>COUNTIFS(Tabela107[Country],Tabela1[[#This Row],[Country]],Tabela107[Kayak Cross Slalom Classification],"&gt;0")</f>
        <v>2</v>
      </c>
      <c r="DD15" s="6">
        <f>COUNTIFS(Tabela107122[Country],Tabela1[[#This Row],[Country]],Tabela107122[Kayak Cross Slalom Classification],"&gt;0")</f>
        <v>0</v>
      </c>
      <c r="DE15" s="6">
        <f>COUNTIFS(Table8[Country],Tabela1[[#This Row],[Country]],Table8[C1 200m Classification],"&gt;0")</f>
        <v>0</v>
      </c>
      <c r="DF15" s="6">
        <f>COUNTIFS(Table40[Country],Tabela1[[#This Row],[Country]],Table40[C1 1000m Classification],"&gt;0")</f>
        <v>1</v>
      </c>
      <c r="DG15" s="6">
        <f>COUNTIFS(Table68[Country],Tabela1[[#This Row],[Country]],Table68[Men''s C2 500m Classification],"&gt;0")</f>
        <v>1</v>
      </c>
      <c r="DH15" s="6">
        <f>COUNTIFS(Table68[Country],Tabela1[[#This Row],[Country]],Table68[Women''s C2 500m Classification],"&gt;0")</f>
        <v>0</v>
      </c>
      <c r="DI15" s="6">
        <f>COUNTIFS(Table8[Country],Tabela1[[#This Row],[Country]],Table8[K1 500m Classification],"&gt;0")</f>
        <v>0</v>
      </c>
      <c r="DJ15" s="6">
        <f>COUNTIFS(Table40[Country],Tabela1[[#This Row],[Country]],Table40[K1 1000m Classification],"&gt;0")</f>
        <v>0</v>
      </c>
      <c r="DK15" s="6">
        <f>COUNTIFS(Table68[Country],Tabela1[[#This Row],[Country]],Table68[Men''s K2 500m Classification],"&gt;0")</f>
        <v>1</v>
      </c>
      <c r="DL15" s="6">
        <f>COUNTIFS(Table68[Country],Tabela1[[#This Row],[Country]],Table68[Women''s K2 500m Classification],"&gt;0")</f>
        <v>0</v>
      </c>
      <c r="DM15" s="6">
        <f>COUNTIFS(Table83[Country],Tabela1[[#This Row],[Country]],Table83[Men''s K4 500m Classification],"&gt;0")</f>
        <v>0</v>
      </c>
      <c r="DN15" s="6">
        <f>COUNTIFS(Table83[Country],Tabela1[[#This Row],[Country]],Table83[Women''s K4 500m Classification],"&gt;0")</f>
        <v>0</v>
      </c>
      <c r="DO15" s="6">
        <f>COUNTIFS(Tabela126[Country],Tabela1[[#This Row],[Country]],Tabela126[Classification],"&gt;0")</f>
        <v>0</v>
      </c>
      <c r="DP15" s="6">
        <f>COUNTIFS(Tabela126130[Country],Tabela1[[#This Row],[Country]],Tabela126130[Classification],"&gt;0")</f>
        <v>0</v>
      </c>
      <c r="DQ15" s="6">
        <f>COUNTIFS(Table70[Country],Tabela1[[#This Row],[Country]],Table70[Classification],"&gt;0")</f>
        <v>0</v>
      </c>
      <c r="DR15" s="6">
        <f>COUNTIFS(Table80[Country],Tabela1[[#This Row],[Country]],Table80[Classification],"&gt;0")</f>
        <v>0</v>
      </c>
      <c r="DS15" s="6">
        <f>COUNTIFS(Table66[Country],Tabela1[[#This Row],[Country]],Table66[Classification],"&gt;0")</f>
        <v>0</v>
      </c>
      <c r="DT15" s="6">
        <f>COUNTIFS(Table67[Country],Tabela1[[#This Row],[Country]],Table67[Classification],"&gt;0")</f>
        <v>0</v>
      </c>
      <c r="DU15" s="6">
        <f>COUNTIFS(Table69[Country],Tabela1[[#This Row],[Country]],Table69[Keirin Classification],"&gt;0")</f>
        <v>0</v>
      </c>
      <c r="DV15" s="6">
        <f>COUNTIFS(Table41[Country],Tabela1[[#This Row],[Country]],Table41[Keirin Classification],"&gt;0")</f>
        <v>0</v>
      </c>
      <c r="DW15" s="6">
        <f>COUNTIFS(Table84[Country],Tabela1[[#This Row],[Country]],Table84[Men''s Madison Classification],"&gt;0")</f>
        <v>1</v>
      </c>
      <c r="DX15" s="6">
        <f>COUNTIFS(Table84[Country],Tabela1[[#This Row],[Country]],Table84[Women''s Madison Classification],"&gt;0")</f>
        <v>0</v>
      </c>
      <c r="DY15" s="6">
        <f>COUNTIFS(Table69[Country],Tabela1[[#This Row],[Country]],Table69[Omnium Classification],"&gt;0")</f>
        <v>1</v>
      </c>
      <c r="DZ15" s="6">
        <f>COUNTIFS(Table41[Country],Tabela1[[#This Row],[Country]],Table41[Omnium Classification],"&gt;0")</f>
        <v>0</v>
      </c>
      <c r="EA15" s="6">
        <f>COUNTIFS(Table9[Country],Tabela1[[#This Row],[Country]],Table9[Road Race Classification],"&gt;0")</f>
        <v>1</v>
      </c>
      <c r="EB15" s="6">
        <f>COUNTIFS(Table14[Country],Tabela1[[#This Row],[Country]],Table14[Road Race Classification],"&gt;0")</f>
        <v>0</v>
      </c>
      <c r="EC15" s="6">
        <f>COUNTIFS(Table69[Country],Tabela1[[#This Row],[Country]],Table69[Sprint Classification],"&gt;0")</f>
        <v>0</v>
      </c>
      <c r="ED15" s="6">
        <f>COUNTIFS(Table41[Country],Tabela1[[#This Row],[Country]],Table41[Sprint Classification],"&gt;0")</f>
        <v>0</v>
      </c>
      <c r="EE15" s="6">
        <f>COUNTIFS(Table85[Country],Tabela1[[#This Row],[Country]],Table85[Men''s Sprint Classification],"&gt;0")</f>
        <v>0</v>
      </c>
      <c r="EF15" s="6">
        <f>COUNTIFS(Table85[Country],Tabela1[[#This Row],[Country]],Table85[Women''s Sprint Classification],"&gt;0")</f>
        <v>0</v>
      </c>
      <c r="EG15" s="6">
        <f>COUNTIFS(Table85[Country],Tabela1[[#This Row],[Country]],Table85[Men''s Pursuit Classification],"&gt;0")</f>
        <v>0</v>
      </c>
      <c r="EH15" s="6">
        <f>COUNTIFS(Table85[Country],Tabela1[[#This Row],[Country]],Table85[Women''s Pursuit Classification],"&gt;0")</f>
        <v>0</v>
      </c>
      <c r="EI15" s="6">
        <f>COUNTIFS(Table9[Country],Tabela1[[#This Row],[Country]],Table9[Time-Trial Classification],"&gt;0")</f>
        <v>1</v>
      </c>
      <c r="EJ15" s="6">
        <f>COUNTIFS(Table14[Country],Tabela1[[#This Row],[Country]],Table14[Time-Trial Classification],"&gt;0")</f>
        <v>0</v>
      </c>
      <c r="EK15" s="6">
        <f>COUNTIFS(Table42[Country],Tabela1[[#This Row],[Country]],Table42[Springboard Classification],"&gt;0")</f>
        <v>0</v>
      </c>
      <c r="EL15" s="6">
        <f>COUNTIFS(Table43[Country],Tabela1[[#This Row],[Country]],Table43[Springboard Classification],"&gt;0")</f>
        <v>0</v>
      </c>
      <c r="EM15" s="6">
        <f>COUNTIFS(Table42[Country],Tabela1[[#This Row],[Country]],Table42[Platform Classification],"&gt;0")</f>
        <v>0</v>
      </c>
      <c r="EN15" s="6">
        <f>COUNTIFS(Table43[Country],Tabela1[[#This Row],[Country]],Table43[Platform Classification],"&gt;0")</f>
        <v>0</v>
      </c>
      <c r="EO15" s="6">
        <f>COUNTIFS(Table86[Country],Tabela1[[#This Row],[Country]],Table86[Men''s Synchronized Springboard Classification],"&gt;0")</f>
        <v>0</v>
      </c>
      <c r="EP15" s="6">
        <f>COUNTIFS(Table86[Country],Tabela1[[#This Row],[Country]],Table86[Women''s Synchronized Springboard Classification],"&gt;0")</f>
        <v>0</v>
      </c>
      <c r="EQ15" s="6">
        <f>COUNTIFS(Table86[Country],Tabela1[[#This Row],[Country]],Table86[Men''s Synchronized Platform Classification],"&gt;0")</f>
        <v>0</v>
      </c>
      <c r="ER15" s="6">
        <f>COUNTIFS(Table86[Country],Tabela1[[#This Row],[Country]],Table86[Women''s Synchronized Platform Classification],"&gt;0")</f>
        <v>0</v>
      </c>
      <c r="ES15" s="6">
        <f>COUNTIFS(Table44[Country],Tabela1[[#This Row],[Country]],Table44[Dressage Classification],"&gt;0")</f>
        <v>0</v>
      </c>
      <c r="ET15" s="6">
        <f>COUNTIFS(Table45[Country],Tabela1[[#This Row],[Country]],Table45[Dressage Classification],"&gt;0")</f>
        <v>0</v>
      </c>
      <c r="EU15" s="6">
        <f>COUNTIFS(Table44[Country],Tabela1[[#This Row],[Country]],Table44[Eventing Classification],"&gt;0")</f>
        <v>1</v>
      </c>
      <c r="EV15" s="6">
        <f>COUNTIFS(Table45[Country],Tabela1[[#This Row],[Country]],Table45[Eventing Classification],"&gt;0")</f>
        <v>0</v>
      </c>
      <c r="EW15" s="6">
        <f>COUNTIFS(Table44[Country],Tabela1[[#This Row],[Country]],Table44[Jumping Classification],"&gt;0")</f>
        <v>0</v>
      </c>
      <c r="EX15" s="6">
        <f>COUNTIFS(Table45[Country],Tabela1[[#This Row],[Country]],Table45[Jumping Classification],"&gt;0")</f>
        <v>0</v>
      </c>
      <c r="EY15" s="6">
        <f>COUNTIFS(Table10[Country],Tabela1[[#This Row],[Country]],Table10[Épée Classification],"&gt;0")</f>
        <v>1</v>
      </c>
      <c r="EZ15" s="6">
        <f>COUNTIFS(Table11[Country],Tabela1[[#This Row],[Country]],Table11[Épée Classification],"&gt;0")</f>
        <v>0</v>
      </c>
      <c r="FA15" s="6">
        <f>COUNTIFS(Table46[Country],Tabela1[[#This Row],[Country]],Table46[Men''s Épée Classification],"&gt;0")</f>
        <v>1</v>
      </c>
      <c r="FB15" s="6">
        <f>COUNTIFS(Table46[Country],Tabela1[[#This Row],[Country]],Table46[Women''s Épée Classification],"&gt;0")</f>
        <v>0</v>
      </c>
      <c r="FC15" s="6">
        <f>COUNTIFS(Table10[Country],Tabela1[[#This Row],[Country]],Table10[Foil Classification],"&gt;0")</f>
        <v>0</v>
      </c>
      <c r="FD15" s="6">
        <f>COUNTIFS(Table11[Country],Tabela1[[#This Row],[Country]],Table11[Foil Classification],"&gt;0")</f>
        <v>0</v>
      </c>
      <c r="FE15" s="6">
        <f>COUNTIFS(Table46[Country],Tabela1[[#This Row],[Country]],Table46[Men''s Foil Classification],"&gt;0")</f>
        <v>0</v>
      </c>
      <c r="FF15" s="6">
        <f>COUNTIFS(Table46[Country],Tabela1[[#This Row],[Country]],Table46[Women''s Foil Classification],"&gt;0")</f>
        <v>0</v>
      </c>
      <c r="FG15" s="6">
        <f>COUNTIFS(Table10[Country],Tabela1[[#This Row],[Country]],Table10[Sabre Classification],"&gt;0")</f>
        <v>0</v>
      </c>
      <c r="FH15" s="6">
        <f>COUNTIFS(Table11[Country],Tabela1[[#This Row],[Country]],Table11[Sabre Classification],"&gt;0")</f>
        <v>0</v>
      </c>
      <c r="FI15" s="6">
        <f>COUNTIFS(Table46[Country],Tabela1[[#This Row],[Country]],Table46[Men''s Sabre Classification],"&gt;0")</f>
        <v>0</v>
      </c>
      <c r="FJ15" s="6">
        <f>COUNTIFS(Table46[Country],Tabela1[[#This Row],[Country]],Table46[Women''s Sabre Classification],"&gt;0")</f>
        <v>0</v>
      </c>
      <c r="FK15" s="6">
        <f>COUNTIFS(Table91[Country],Tabela1[[#This Row],[Country]],Table91[Men''s Classification],"&gt;0")</f>
        <v>0</v>
      </c>
      <c r="FL15" s="6">
        <f>COUNTIFS(Table91[Country],Tabela1[[#This Row],[Country]],Table91[Women''s Classification],"&gt;0")</f>
        <v>0</v>
      </c>
      <c r="FM15" s="6">
        <f>COUNTIFS(Table9194[Country],Tabela1[[#This Row],[Country]],Table9194[Men''s Classification],"&gt;0")</f>
        <v>0</v>
      </c>
      <c r="FN15" s="6">
        <f>COUNTIFS(Table9194[Country],Tabela1[[#This Row],[Country]],Table9194[Women''s Classification],"&gt;0")</f>
        <v>0</v>
      </c>
      <c r="FO15" s="6">
        <f>COUNTIFS(Table71[Country],Tabela1[[#This Row],[Country]],Table71[Classification],"&gt;0")</f>
        <v>0</v>
      </c>
      <c r="FP15" s="6">
        <f>COUNTIFS(Table62[Country],Tabela1[[#This Row],[Country]],Table62[Classification],"&gt;0")</f>
        <v>0</v>
      </c>
      <c r="FQ15" s="6">
        <f>COUNTIFS(Table47[Country],Tabela1[[#This Row],[Country]],Table47[All-Around Classification],"&gt;0")</f>
        <v>0</v>
      </c>
      <c r="FR15" s="6">
        <f>COUNTIFS(Table48[Country],Tabela1[[#This Row],[Country]],Table48[All-Around Classification],"&gt;0")</f>
        <v>0</v>
      </c>
      <c r="FS15" s="6">
        <f>COUNTIFS(Table81[Country],Tabela1[[#This Row],[Country]],Table81[Men''s All-Around Classification],"&gt;0")</f>
        <v>0</v>
      </c>
      <c r="FT15" s="6">
        <f>COUNTIFS(Table81[Country],Tabela1[[#This Row],[Country]],Table81[Women''s All-Around Classification],"&gt;0")</f>
        <v>0</v>
      </c>
      <c r="FU15" s="6">
        <f>COUNTIFS(Table48[Country],Tabela1[[#This Row],[Country]],Table48[Balance Beam Classification],"&gt;0")</f>
        <v>0</v>
      </c>
      <c r="FV15" s="6">
        <f>COUNTIFS(Table47[Country],Tabela1[[#This Row],[Country]],Table47[Floor Exercise Classification],"&gt;0")</f>
        <v>0</v>
      </c>
      <c r="FW15" s="6">
        <f>COUNTIFS(Table48[Country],Tabela1[[#This Row],[Country]],Table48[Floor Exercise Classification],"&gt;0")</f>
        <v>0</v>
      </c>
      <c r="FX15" s="6">
        <f>COUNTIFS(Table47[Country],Tabela1[[#This Row],[Country]],Table47[Horizontal Bar Classification],"&gt;0")</f>
        <v>0</v>
      </c>
      <c r="FY15" s="6">
        <f>COUNTIFS(Table47[Country],Tabela1[[#This Row],[Country]],Table47[Parallel Bars Classification],"&gt;0")</f>
        <v>0</v>
      </c>
      <c r="FZ15" s="6">
        <f>COUNTIFS(Table47[Country],Tabela1[[#This Row],[Country]],Table47[Pommel Horse Classification],"&gt;0")</f>
        <v>0</v>
      </c>
      <c r="GA15" s="6">
        <f>COUNTIFS(Table47[Country],Tabela1[[#This Row],[Country]],Table47[Rings Classification],"&gt;0")</f>
        <v>0</v>
      </c>
      <c r="GB15" s="6">
        <f>COUNTIFS(Tabela132[Country],Tabela1[[#This Row],[Country]],Tabela132[Classification],"&gt;0")</f>
        <v>0</v>
      </c>
      <c r="GC15" s="6">
        <f>COUNTIFS(Tabela139[Country],Tabela1[[#This Row],[Country]],Tabela139[Classification],"&gt;0")</f>
        <v>0</v>
      </c>
      <c r="GD15" s="6">
        <f>COUNTIFS(Table48[Country],Tabela1[[#This Row],[Country]],Table48[Uneven Bars Classification],"&gt;0")</f>
        <v>0</v>
      </c>
      <c r="GE15" s="6">
        <f>COUNTIFS(Table47[Country],Tabela1[[#This Row],[Country]],Table47[Vault Classification],"&gt;0")</f>
        <v>0</v>
      </c>
      <c r="GF15" s="6">
        <f>COUNTIFS(Table48[Country],Tabela1[[#This Row],[Country]],Table48[Vault Classification],"&gt;0")</f>
        <v>0</v>
      </c>
      <c r="GG15" s="6">
        <f>COUNTIFS(Table919496[Country],Tabela1[[#This Row],[Country]],Table919496[Men''s Classification],"&gt;0")</f>
        <v>0</v>
      </c>
      <c r="GH15" s="6">
        <f>COUNTIFS(Table919496[Country],Tabela1[[#This Row],[Country]],Table919496[Women''s Classification],"&gt;0")</f>
        <v>0</v>
      </c>
      <c r="GI15" s="6">
        <f>COUNTIFS(Table12[Country],Tabela1[[#This Row],[Country]],Table12[60kg Classification],"&gt;0")</f>
        <v>0</v>
      </c>
      <c r="GJ15" s="6">
        <f>COUNTIFS(Table12[Country],Tabela1[[#This Row],[Country]],Table12[66kg Classification],"&gt;0")</f>
        <v>0</v>
      </c>
      <c r="GK15" s="6">
        <f>COUNTIFS(Table12[Country],Tabela1[[#This Row],[Country]],Table12[73kg Classification],"&gt;0")</f>
        <v>0</v>
      </c>
      <c r="GL15" s="6">
        <f>COUNTIFS(Table12[Country],Tabela1[[#This Row],[Country]],Table12[81kg Classification],"&gt;0")</f>
        <v>0</v>
      </c>
      <c r="GM15" s="6">
        <f>COUNTIFS(Table12[Country],Tabela1[[#This Row],[Country]],Table12[90kg Classification],"&gt;0")</f>
        <v>1</v>
      </c>
      <c r="GN15" s="6">
        <f>COUNTIFS(Table12[Country],Tabela1[[#This Row],[Country]],Table12[100kg Classification],"&gt;0")</f>
        <v>0</v>
      </c>
      <c r="GO15" s="6">
        <f>COUNTIFS(Table12[Country],Tabela1[[#This Row],[Country]],Table12[Plus 100kg Classification],"&gt;0")</f>
        <v>1</v>
      </c>
      <c r="GP15" s="6">
        <f>COUNTIFS(Table13[Country],Tabela1[[#This Row],[Country]],Table13[48kg Classification],"&gt;0")</f>
        <v>0</v>
      </c>
      <c r="GQ15" s="6">
        <f>COUNTIFS(Table13[Country],Tabela1[[#This Row],[Country]],Table13[52kg Classification],"&gt;0")</f>
        <v>0</v>
      </c>
      <c r="GR15" s="6">
        <f>COUNTIFS(Table13[Country],Tabela1[[#This Row],[Country]],Table13[57kg Classification],"&gt;0")</f>
        <v>0</v>
      </c>
      <c r="GS15" s="6">
        <f>COUNTIFS(Table13[Country],Tabela1[[#This Row],[Country]],Table13[63kg Classification],"&gt;0")</f>
        <v>0</v>
      </c>
      <c r="GT15" s="6">
        <f>COUNTIFS(Table13[Country],Tabela1[[#This Row],[Country]],Table13[70kg Classification],"&gt;0")</f>
        <v>0</v>
      </c>
      <c r="GU15" s="6">
        <f>COUNTIFS(Table13[Country],Tabela1[[#This Row],[Country]],Table13[78kg Classification],"&gt;0")</f>
        <v>0</v>
      </c>
      <c r="GV15" s="6">
        <f>COUNTIFS(Table13[Country],Tabela1[[#This Row],[Country]],Table13[Plus 78kg Classification],"&gt;0")</f>
        <v>0</v>
      </c>
      <c r="GW15" s="6">
        <f>COUNTIFS(Table82[Country],Tabela1[[#This Row],[Country]],Table82[Mixed Classification],"&gt;0")</f>
        <v>0</v>
      </c>
      <c r="GX15" s="6">
        <f>COUNTIFS(Table51[Country],Tabela1[[#This Row],[Country]],Table51[Classification],"&gt;0")</f>
        <v>0</v>
      </c>
      <c r="GY15" s="6">
        <f>COUNTIFS(Table52[Country],Tabela1[[#This Row],[Country]],Table52[Classification],"&gt;0")</f>
        <v>1</v>
      </c>
      <c r="GZ15" s="6">
        <f>COUNTIFS(Table32[Country],Tabela1[[#This Row],[Country]],Table32[All-Around Classification],"&gt;0")</f>
        <v>0</v>
      </c>
      <c r="HA15" s="6">
        <f>COUNTIFS(Table49[Country],Tabela1[[#This Row],[Country]],Table49[All-Around Classification],"&gt;0")</f>
        <v>0</v>
      </c>
      <c r="HB15" s="6">
        <f>COUNTIFS(Table26[Country],Tabela1[[#This Row],[Country]],Table26[Single Sculls Classification],"&gt;0")</f>
        <v>0</v>
      </c>
      <c r="HC15" s="6">
        <f>COUNTIFS(Table63[Country],Tabela1[[#This Row],[Country]],Table63[Single Sculls Classification],"&gt;0")</f>
        <v>0</v>
      </c>
      <c r="HD15" s="6">
        <f>COUNTIFS(Table16[Country],Tabela1[[#This Row],[Country]],Table16[Men''s Double Sculls Classification],"&gt;0")</f>
        <v>0</v>
      </c>
      <c r="HE15" s="6">
        <f>COUNTIFS(Table16[Country],Tabela1[[#This Row],[Country]],Table16[Women''s Double Sculls Classification],"&gt;0")</f>
        <v>0</v>
      </c>
      <c r="HF15" s="6">
        <f>COUNTIFS(Table72[Country],Tabela1[[#This Row],[Country]],Table72[Men''s Quadruple Sculls Classification],"&gt;0")</f>
        <v>0</v>
      </c>
      <c r="HG15" s="6">
        <f>COUNTIFS(Table72[Country],Tabela1[[#This Row],[Country]],Table72[Women''s Quadruple Sculls Classification],"&gt;0")</f>
        <v>0</v>
      </c>
      <c r="HH15" s="6">
        <f>COUNTIFS(Table16[Country],Tabela1[[#This Row],[Country]],Table16[Men''s Coxless Pairs Classification],"&gt;0")</f>
        <v>0</v>
      </c>
      <c r="HI15" s="6">
        <f>COUNTIFS(Table16[Country],Tabela1[[#This Row],[Country]],Table16[Women''s Coxless Pairs Classification],"&gt;0")</f>
        <v>0</v>
      </c>
      <c r="HJ15" s="6">
        <f>COUNTIFS(Table72[Country],Tabela1[[#This Row],[Country]],Table72[Men''s Coxless Fours Classification],"&gt;0")</f>
        <v>0</v>
      </c>
      <c r="HK15" s="6">
        <f>COUNTIFS(Table72[Country],Tabela1[[#This Row],[Country]],Table72[Women''s Coxless Fours Classification],"&gt;0")</f>
        <v>0</v>
      </c>
      <c r="HL15" s="6">
        <f>COUNTIFS(Table72[Country],Tabela1[[#This Row],[Country]],Table72[Men''s Eights Classification],"&gt;0")</f>
        <v>0</v>
      </c>
      <c r="HM15" s="6">
        <f>COUNTIFS(Table72[Country],Tabela1[[#This Row],[Country]],Table72[Women''s Eights Classification],"&gt;0")</f>
        <v>0</v>
      </c>
      <c r="HN15" s="6">
        <f>COUNTIFS(Table16[Country],Tabela1[[#This Row],[Country]],Table16[Men''s Lwt. Double Sculls Classification],"&gt;0")</f>
        <v>0</v>
      </c>
      <c r="HO15" s="6">
        <f>COUNTIFS(Table16[Country],Tabela1[[#This Row],[Country]],Table16[Women''s Lwt. Double Sculls Classification],"&gt;0")</f>
        <v>0</v>
      </c>
      <c r="HP15" s="6">
        <f>COUNTIFS(Table91949698[Country],Tabela1[[#This Row],[Country]],Table91949698[Men''s Classification],"&gt;0")</f>
        <v>0</v>
      </c>
      <c r="HQ15" s="6">
        <f>COUNTIFS(Table91949698[Country],Tabela1[[#This Row],[Country]],Table91949698[Women''s Classification],"&gt;0")</f>
        <v>0</v>
      </c>
      <c r="HR15" s="6">
        <f>COUNTIFS(Table25[Country],Tabela1[[#This Row],[Country]],Table25[Mixed 470 Classification],"&gt;0")</f>
        <v>0</v>
      </c>
      <c r="HS15" s="6">
        <f>COUNTIFS(Table25[Country],Tabela1[[#This Row],[Country]],Table25[Men''s 49er Classification],"&gt;0")</f>
        <v>0</v>
      </c>
      <c r="HT15" s="6">
        <f>COUNTIFS(Table25[Country],Tabela1[[#This Row],[Country]],Table25[Women''s 49er FX Classification],"&gt;0")</f>
        <v>0</v>
      </c>
      <c r="HU15" s="6">
        <f>COUNTIFS(Table17[Country],Tabela1[[#This Row],[Country]],Table17[Formula Kite Classification],"&gt;0")</f>
        <v>0</v>
      </c>
      <c r="HV15" s="6">
        <f>COUNTIFS(Table18[Country],Tabela1[[#This Row],[Country]],Table18[Formula Kite Classification],"&gt;0")</f>
        <v>0</v>
      </c>
      <c r="HW15" s="6">
        <f>COUNTIFS(Table17[Country],Tabela1[[#This Row],[Country]],Table17[ILCA 7 Classification],"&gt;0")</f>
        <v>0</v>
      </c>
      <c r="HX15" s="6">
        <f>COUNTIFS(Table18[Country],Tabela1[[#This Row],[Country]],Table18[ILCA 6 Classification],"&gt;0")</f>
        <v>0</v>
      </c>
      <c r="HY15" s="6">
        <f>COUNTIFS(Table17[Country],Tabela1[[#This Row],[Country]],Table17[IQFoil Classification],"&gt;0")</f>
        <v>0</v>
      </c>
      <c r="HZ15" s="6">
        <f>COUNTIFS(Table18[Country],Tabela1[[#This Row],[Country]],Table18[IQFoil Classification],"&gt;0")</f>
        <v>0</v>
      </c>
      <c r="IA15" s="6">
        <f>COUNTIFS(Table25[Country],Tabela1[[#This Row],[Country]],Table25[Mixed Nacra 17 Classification],"&gt;0")</f>
        <v>0</v>
      </c>
      <c r="IB15" s="6">
        <f>COUNTIFS(Table53[Country],Tabela1[[#This Row],[Country]],Table53[10m Air Pistol Classification],"&gt;0")</f>
        <v>0</v>
      </c>
      <c r="IC15" s="6">
        <f>COUNTIFS(Table19[Country],Tabela1[[#This Row],[Country]],Table19[10m Air Pistol Classification],"&gt;0")</f>
        <v>0</v>
      </c>
      <c r="ID15" s="6">
        <f>COUNTIFS(Table54[Country],Tabela1[[#This Row],[Country]],Table54[Mixed 10m Air Pistol Team Classification],"&gt;0")</f>
        <v>0</v>
      </c>
      <c r="IE15" s="6">
        <f>COUNTIFS(Table53[Country],Tabela1[[#This Row],[Country]],Table53[10m Air Rifle Classification],"&gt;0")</f>
        <v>1</v>
      </c>
      <c r="IF15" s="6">
        <f>COUNTIFS(Table19[Country],Tabela1[[#This Row],[Country]],Table19[10m Air Rifle Classification],"&gt;0")</f>
        <v>0</v>
      </c>
      <c r="IG15" s="6">
        <f>COUNTIFS(Table54[Country],Tabela1[[#This Row],[Country]],Table54[Mixed 10m Air Rifle Team Classification],"&gt;0")</f>
        <v>0</v>
      </c>
      <c r="IH15" s="6">
        <f>COUNTIFS(Table53[Country],Tabela1[[#This Row],[Country]],Table53[25m Rapid Fire Pistol Classification],"&gt;0")</f>
        <v>0</v>
      </c>
      <c r="II15" s="6">
        <f>COUNTIFS(Table19[Country],Tabela1[[#This Row],[Country]],Table19[25m Pistol Classification],"&gt;0")</f>
        <v>0</v>
      </c>
      <c r="IJ15" s="6">
        <f>COUNTIFS(Table53[Country],Tabela1[[#This Row],[Country]],Table53[50m Rifle 3 Positions Classification],"&gt;0")</f>
        <v>0</v>
      </c>
      <c r="IK15" s="6">
        <f>COUNTIFS(Table19[Country],Tabela1[[#This Row],[Country]],Table19[50m Rifle 3 Positions Classification],"&gt;0")</f>
        <v>0</v>
      </c>
      <c r="IL15" s="6">
        <f>COUNTIFS(Table53[Country],Tabela1[[#This Row],[Country]],Table53[Skeet Classification],"&gt;0")</f>
        <v>0</v>
      </c>
      <c r="IM15" s="6">
        <f>COUNTIFS(Table19[Country],Tabela1[[#This Row],[Country]],Table19[Skeet Classification],"&gt;0")</f>
        <v>1</v>
      </c>
      <c r="IN15" s="6">
        <f>COUNTIFS(Table54[Country],Tabela1[[#This Row],[Country]],Table54[Mixed Skeet Team Classification],"&gt;0")</f>
        <v>1</v>
      </c>
      <c r="IO15" s="6">
        <f>COUNTIFS(Table53[Country],Tabela1[[#This Row],[Country]],Table53[Trap Classification],"&gt;0")</f>
        <v>0</v>
      </c>
      <c r="IP15" s="6">
        <f>COUNTIFS(Table19[Country],Tabela1[[#This Row],[Country]],Table19[Trap Classification],"&gt;0")</f>
        <v>0</v>
      </c>
      <c r="IQ15" s="6">
        <f>COUNTIFS(Table73[Country],Tabela1[[#This Row],[Country]],Table73[Park Classification],"&gt;0")</f>
        <v>0</v>
      </c>
      <c r="IR15" s="6">
        <f>COUNTIFS(Table74[Country],Tabela1[[#This Row],[Country]],Table74[Park Classification],"&gt;0")</f>
        <v>0</v>
      </c>
      <c r="IS15" s="6">
        <f>COUNTIFS(Table73[Country],Tabela1[[#This Row],[Country]],Table73[Street Classification],"&gt;0")</f>
        <v>0</v>
      </c>
      <c r="IT15" s="6">
        <f>COUNTIFS(Table74[Country],Tabela1[[#This Row],[Country]],Table74[Street Classification],"&gt;0")</f>
        <v>0</v>
      </c>
      <c r="IU15" s="6">
        <f>COUNTIFS(Table75[Country],Tabela1[[#This Row],[Country]],Table75[Boulder and Lead Classification],"&gt;0")</f>
        <v>0</v>
      </c>
      <c r="IV15" s="6">
        <f>COUNTIFS(Table76[Country],Tabela1[[#This Row],[Country]],Table76[Boulder and Lead Classification],"&gt;0")</f>
        <v>0</v>
      </c>
      <c r="IW15" s="6">
        <f>COUNTIFS(Table75[Country],Tabela1[[#This Row],[Country]],Table75[Speed Classification],"&gt;0")</f>
        <v>0</v>
      </c>
      <c r="IX15" s="6">
        <f>COUNTIFS(Table76[Country],Tabela1[[#This Row],[Country]],Table76[Speed Classification],"&gt;0")</f>
        <v>0</v>
      </c>
      <c r="IY15" s="6">
        <f>COUNTIFS(Table64[Country],Tabela1[[#This Row],[Country]],Table64[Shortboard Classification],"&gt;0")</f>
        <v>0</v>
      </c>
      <c r="IZ15" s="6">
        <f>COUNTIFS(Table77[Country],Tabela1[[#This Row],[Country]],Table77[Shortboard Classification],"&gt;0")</f>
        <v>0</v>
      </c>
      <c r="JA15" s="6">
        <f>COUNTIFS(Table20[Country],Tabela1[[#This Row],[Country]],Table20[50m Freestyle Classification],"&gt;0")</f>
        <v>0</v>
      </c>
      <c r="JB15" s="6">
        <f>COUNTIFS(Table21[Country],Tabela1[[#This Row],[Country]],Table21[50m Freestyle Classification],"&gt;0")</f>
        <v>0</v>
      </c>
      <c r="JC15" s="6">
        <f>COUNTIFS(Table20[Country],Tabela1[[#This Row],[Country]],Table20[100m Freestyle Classification],"&gt;0")</f>
        <v>0</v>
      </c>
      <c r="JD15" s="6">
        <f>COUNTIFS(Table21[Country],Tabela1[[#This Row],[Country]],Table21[100m Freestyle Classification],"&gt;0")</f>
        <v>0</v>
      </c>
      <c r="JE15" s="6">
        <f>COUNTIFS(Table20[Country],Tabela1[[#This Row],[Country]],Table20[200m Freestyle Classification],"&gt;0")</f>
        <v>0</v>
      </c>
      <c r="JF15" s="6">
        <f>COUNTIFS(Table21[Country],Tabela1[[#This Row],[Country]],Table21[200m Freestyle Classification],"&gt;0")</f>
        <v>0</v>
      </c>
      <c r="JG15" s="6">
        <f>COUNTIFS(Table20[Country],Tabela1[[#This Row],[Country]],Table20[400m Freestyle Classification],"&gt;0")</f>
        <v>0</v>
      </c>
      <c r="JH15" s="6">
        <f>COUNTIFS(Table21[Country],Tabela1[[#This Row],[Country]],Table21[400m Freestyle Classification],"&gt;0")</f>
        <v>0</v>
      </c>
      <c r="JI15" s="6">
        <f>COUNTIFS(Table20[Country],Tabela1[[#This Row],[Country]],Table20[800m Freestyle Classification],"&gt;0")</f>
        <v>0</v>
      </c>
      <c r="JJ15" s="6">
        <f>COUNTIFS(Table21[Country],Tabela1[[#This Row],[Country]],Table21[800m Freestyle Classification],"&gt;0")</f>
        <v>0</v>
      </c>
      <c r="JK15" s="6">
        <f>COUNTIFS(Table20[Country],Tabela1[[#This Row],[Country]],Table20[1500m Freestyle Classification],"&gt;0")</f>
        <v>0</v>
      </c>
      <c r="JL15" s="6">
        <f>COUNTIFS(Table21[Country],Tabela1[[#This Row],[Country]],Table21[1500m Freestyle Classification],"&gt;0")</f>
        <v>0</v>
      </c>
      <c r="JM15" s="6">
        <f>COUNTIFS(Table20[Country],Tabela1[[#This Row],[Country]],Table20[100m Backstroke Classification],"&gt;0")</f>
        <v>0</v>
      </c>
      <c r="JN15" s="6">
        <f>COUNTIFS(Table21[Country],Tabela1[[#This Row],[Country]],Table21[100m Backstroke Classification],"&gt;0")</f>
        <v>0</v>
      </c>
      <c r="JO15" s="6">
        <f>COUNTIFS(Table20[Country],Tabela1[[#This Row],[Country]],Table20[200m Backstroke Classification],"&gt;0")</f>
        <v>0</v>
      </c>
      <c r="JP15" s="6">
        <f>COUNTIFS(Table21[Country],Tabela1[[#This Row],[Country]],Table21[200m Backstroke Classification],"&gt;0")</f>
        <v>0</v>
      </c>
      <c r="JQ15" s="6">
        <f>COUNTIFS(Table20[Country],Tabela1[[#This Row],[Country]],Table20[100m Breaststroke Classification],"&gt;0")</f>
        <v>0</v>
      </c>
      <c r="JR15" s="6">
        <f>COUNTIFS(Table21[Country],Tabela1[[#This Row],[Country]],Table21[100m Breaststroke Classification],"&gt;0")</f>
        <v>0</v>
      </c>
      <c r="JS15" s="6">
        <f>COUNTIFS(Table20[Country],Tabela1[[#This Row],[Country]],Table20[200m Breaststroke Classification],"&gt;0")</f>
        <v>0</v>
      </c>
      <c r="JT15" s="6">
        <f>COUNTIFS(Table21[Country],Tabela1[[#This Row],[Country]],Table21[200m Breaststroke Classification],"&gt;0")</f>
        <v>0</v>
      </c>
      <c r="JU15" s="6">
        <f>COUNTIFS(Table20[Country],Tabela1[[#This Row],[Country]],Table20[100m Butterfly Classification],"&gt;0")</f>
        <v>0</v>
      </c>
      <c r="JV15" s="6">
        <f>COUNTIFS(Table21[Country],Tabela1[[#This Row],[Country]],Table21[100m Butterfly Classification],"&gt;0")</f>
        <v>0</v>
      </c>
      <c r="JW15" s="6">
        <f>COUNTIFS(Table20[Country],Tabela1[[#This Row],[Country]],Table20[200m Butterfly Classification],"&gt;0")</f>
        <v>0</v>
      </c>
      <c r="JX15" s="6">
        <f>COUNTIFS(Table21[Country],Tabela1[[#This Row],[Country]],Table21[200m Butterfly Classification],"&gt;0")</f>
        <v>0</v>
      </c>
      <c r="JY15" s="6">
        <f>COUNTIFS(Table20[Country],Tabela1[[#This Row],[Country]],Table20[200m Medley Classification],"&gt;0")</f>
        <v>0</v>
      </c>
      <c r="JZ15" s="6">
        <f>COUNTIFS(Table21[Country],Tabela1[[#This Row],[Country]],Table21[200m Medley Classification],"&gt;0")</f>
        <v>0</v>
      </c>
      <c r="KA15" s="6">
        <f>COUNTIFS(Table20[Country],Tabela1[[#This Row],[Country]],Table20[400m Medley Classification],"&gt;0")</f>
        <v>0</v>
      </c>
      <c r="KB15" s="6">
        <f>COUNTIFS(Table21[Country],Tabela1[[#This Row],[Country]],Table21[400m Medley Classification],"&gt;0")</f>
        <v>0</v>
      </c>
      <c r="KC15" s="6">
        <f>COUNTIFS(Table78[Country],Tabela1[[#This Row],[Country]],Table78[Men''s 4x100m Freestyle Relay Classification],"&gt;0")</f>
        <v>0</v>
      </c>
      <c r="KD15" s="6">
        <f>COUNTIFS(Table78[Country],Tabela1[[#This Row],[Country]],Table78[Women''s 4x100m Freestyle Relay Classification],"&gt;0")</f>
        <v>0</v>
      </c>
      <c r="KE15" s="6">
        <f>COUNTIFS(Table78[Country],Tabela1[[#This Row],[Country]],Table78[Men''s 4x200m Freestyle Relay Classification],"&gt;0")</f>
        <v>0</v>
      </c>
      <c r="KF15" s="6">
        <f>COUNTIFS(Table78[Country],Tabela1[[#This Row],[Country]],Table78[Women''s 4x200m Freestyle Relay Classification],"&gt;0")</f>
        <v>0</v>
      </c>
      <c r="KG15" s="6">
        <f>COUNTIFS(Table78[Country],Tabela1[[#This Row],[Country]],Table78[Men''s 4x100m Medley Relay Classification],"&gt;0")</f>
        <v>0</v>
      </c>
      <c r="KH15" s="6">
        <f>COUNTIFS(Table78[Country],Tabela1[[#This Row],[Country]],Table78[Women''s 4x100m Medley Relay Classification],"&gt;0")</f>
        <v>0</v>
      </c>
      <c r="KI15" s="6">
        <f>COUNTIFS(Table78[Country],Tabela1[[#This Row],[Country]],Table78[Mixed 4x100m Medley Relay Classification],"&gt;0")</f>
        <v>0</v>
      </c>
      <c r="KJ15" s="6">
        <f>COUNTIFS(Table20[Country],Tabela1[[#This Row],[Country]],Table20[10km Open Water Classification],"&gt;0")</f>
        <v>0</v>
      </c>
      <c r="KK15" s="6">
        <f>COUNTIFS(Table21[Country],Tabela1[[#This Row],[Country]],Table21[10km Open Water Classification],"&gt;0")</f>
        <v>0</v>
      </c>
      <c r="KL15" s="6">
        <f>COUNTIFS(Table22[Country],Tabela1[[#This Row],[Country]],Table22[Classification],"&gt;0")</f>
        <v>0</v>
      </c>
      <c r="KM15" s="6">
        <f>COUNTIFS(Table30[Country],Tabela1[[#This Row],[Country]],Table30[Classification],"&gt;0")</f>
        <v>1</v>
      </c>
      <c r="KN15" s="6">
        <f>COUNTIFS(Table55[Country],Tabela1[[#This Row],[Country]],Table55[Men''s Classification],"&gt;0")</f>
        <v>0</v>
      </c>
      <c r="KO15" s="6">
        <f>COUNTIFS(Table55[Country],Tabela1[[#This Row],[Country]],Table55[Women''s Classification],"&gt;0")</f>
        <v>0</v>
      </c>
      <c r="KP15" s="6">
        <f>COUNTIFS(Table56[Country],Tabela1[[#This Row],[Country]],Table56[Mixed Classification],"&gt;0")</f>
        <v>0</v>
      </c>
      <c r="KQ15" s="6">
        <f>COUNTIFS(Table29[Country],Tabela1[[#This Row],[Country]],Table29[58kg Classification],"&gt;0")</f>
        <v>0</v>
      </c>
      <c r="KR15" s="6">
        <f>COUNTIFS(Table29[Country],Tabela1[[#This Row],[Country]],Table29[68kg Classification],"&gt;0")</f>
        <v>0</v>
      </c>
      <c r="KS15" s="6">
        <f>COUNTIFS(Table29[Country],Tabela1[[#This Row],[Country]],Table29[80kg Classification],"&gt;0")</f>
        <v>0</v>
      </c>
      <c r="KT15" s="6">
        <f>COUNTIFS(Table29[Country],Tabela1[[#This Row],[Country]],Table29[Plus 80kg Classification],"&gt;0")</f>
        <v>0</v>
      </c>
      <c r="KU15" s="6">
        <f>COUNTIFS(Table34[Country],Tabela1[[#This Row],[Country]],Table34[49kg Classification],"&gt;0")</f>
        <v>0</v>
      </c>
      <c r="KV15" s="6">
        <f>COUNTIFS(Table34[Country],Tabela1[[#This Row],[Country]],Table34[57kg Classification],"&gt;0")</f>
        <v>1</v>
      </c>
      <c r="KW15" s="6">
        <f>COUNTIFS(Table34[Country],Tabela1[[#This Row],[Country]],Table34[67kg Classification],"&gt;0")</f>
        <v>0</v>
      </c>
      <c r="KX15" s="6">
        <f>COUNTIFS(Table34[Country],Tabela1[[#This Row],[Country]],Table34[Plus 67kg Classification],"&gt;0")</f>
        <v>0</v>
      </c>
      <c r="KY15" s="6">
        <f>COUNTIFS(Table57[Country],Tabela1[[#This Row],[Country]],Table57[Classification],"&gt;0")</f>
        <v>1</v>
      </c>
      <c r="KZ15" s="6">
        <f>COUNTIFS(Table58[Country],Tabela1[[#This Row],[Country]],Table58[Classification],"&gt;0")</f>
        <v>1</v>
      </c>
      <c r="LA15" s="6">
        <f>COUNTIFS(Table79[Country],Tabela1[[#This Row],[Country]],Table79[Men''s Classification],"&gt;0")</f>
        <v>1</v>
      </c>
      <c r="LB15" s="6">
        <f>COUNTIFS(Table79[Country],Tabela1[[#This Row],[Country]],Table79[Women''s Classification],"&gt;0")</f>
        <v>1</v>
      </c>
      <c r="LC15" s="6">
        <f>COUNTIFS(Table79[Country],Tabela1[[#This Row],[Country]],Table79[Mixed Classification],"&gt;0")</f>
        <v>1</v>
      </c>
      <c r="LD15" s="6">
        <f>COUNTIFS(Table65[Country],Tabela1[[#This Row],[Country]],Table65[Classification],"&gt;0")</f>
        <v>0</v>
      </c>
      <c r="LE15" s="6">
        <f>COUNTIFS(Table59[Country],Tabela1[[#This Row],[Country]],Table59[Classification],"&gt;0")</f>
        <v>1</v>
      </c>
      <c r="LF15" s="6">
        <f>COUNTIFS(Table87[Country],Tabela1[[#This Row],[Country]],Table87[Mixed Relay Classification],"&gt;0")</f>
        <v>0</v>
      </c>
      <c r="LG15" s="6">
        <f>COUNTIFS(Table91949698100[Country],Tabela1[[#This Row],[Country]],Table91949698100[Men''s Classification],"&gt;0")</f>
        <v>0</v>
      </c>
      <c r="LH15" s="6">
        <f>COUNTIFS(Table91949698100[Country],Tabela1[[#This Row],[Country]],Table91949698100[Women''s Classification],"&gt;0")</f>
        <v>0</v>
      </c>
      <c r="LI15" s="6">
        <f>COUNTIFS(Table91949698100102[Country],Tabela1[[#This Row],[Country]],Table91949698100102[Men''s Classification],"&gt;0")</f>
        <v>0</v>
      </c>
      <c r="LJ15" s="6">
        <f>COUNTIFS(Table91949698100102[Country],Tabela1[[#This Row],[Country]],Table91949698100102[Women''s Classification],"&gt;0")</f>
        <v>0</v>
      </c>
      <c r="LK15" s="6">
        <f>COUNTIFS(Table23[Country],Tabela1[[#This Row],[Country]],Table23[61kg Classification],"&gt;0")</f>
        <v>0</v>
      </c>
      <c r="LL15" s="6">
        <f>COUNTIFS(Table23[Country],Tabela1[[#This Row],[Country]],Table23[73kg Classification],"&gt;0")</f>
        <v>0</v>
      </c>
      <c r="LM15" s="6">
        <f>COUNTIFS(Table23[Country],Tabela1[[#This Row],[Country]],Table23[89kg Classification],"&gt;0")</f>
        <v>0</v>
      </c>
      <c r="LN15" s="6">
        <f>COUNTIFS(Table23[Country],Tabela1[[#This Row],[Country]],Table23[102kg Classification],"&gt;0")</f>
        <v>0</v>
      </c>
      <c r="LO15" s="6">
        <f>COUNTIFS(Table23[Country],Tabela1[[#This Row],[Country]],Table23[Plus 102kg Classification],"&gt;0")</f>
        <v>0</v>
      </c>
      <c r="LP15" s="6">
        <f>COUNTIFS(Table28[Country],Tabela1[[#This Row],[Country]],Table28[49kg Classification],"&gt;0")</f>
        <v>0</v>
      </c>
      <c r="LQ15" s="6">
        <f>COUNTIFS(Table28[Country],Tabela1[[#This Row],[Country]],Table28[59kg Classification],"&gt;0")</f>
        <v>0</v>
      </c>
      <c r="LR15" s="6">
        <f>COUNTIFS(Table28[Country],Tabela1[[#This Row],[Country]],Table28[71kg Classification],"&gt;0")</f>
        <v>0</v>
      </c>
      <c r="LS15" s="6">
        <f>COUNTIFS(Table28[Country],Tabela1[[#This Row],[Country]],Table28[81kg Classification],"&gt;0")</f>
        <v>0</v>
      </c>
      <c r="LT15" s="6">
        <f>COUNTIFS(Table28[Country],Tabela1[[#This Row],[Country]],Table28[Plus 81kg Classification],"&gt;0")</f>
        <v>0</v>
      </c>
      <c r="LU15" s="6">
        <f>COUNTIFS(Table24[Country],Tabela1[[#This Row],[Country]],Table24[Freestyle 57kg Classification],"&gt;0")</f>
        <v>0</v>
      </c>
      <c r="LV15" s="6">
        <f>COUNTIFS(Table24[Country],Tabela1[[#This Row],[Country]],Table24[Freestyle 65kg Classification],"&gt;0")</f>
        <v>0</v>
      </c>
      <c r="LW15" s="6">
        <f>COUNTIFS(Table24[Country],Tabela1[[#This Row],[Country]],Table24[Freestyle 74kg Classification],"&gt;0")</f>
        <v>0</v>
      </c>
      <c r="LX15" s="6">
        <f>COUNTIFS(Table24[Country],Tabela1[[#This Row],[Country]],Table24[Freestyle 86kg Classification],"&gt;0")</f>
        <v>0</v>
      </c>
      <c r="LY15" s="6">
        <f>COUNTIFS(Table24[Country],Tabela1[[#This Row],[Country]],Table24[Freestyle 97kg Classification],"&gt;0")</f>
        <v>0</v>
      </c>
      <c r="LZ15" s="6">
        <f>COUNTIFS(Table24[Country],Tabela1[[#This Row],[Country]],Table24[Freestyle 125kg Classification],"&gt;0")</f>
        <v>0</v>
      </c>
      <c r="MA15" s="6">
        <f>COUNTIFS(Table24[Country],Tabela1[[#This Row],[Country]],Table24[Greco-Roman 60kg Classification],"&gt;0")</f>
        <v>0</v>
      </c>
      <c r="MB15" s="6">
        <f>COUNTIFS(Table24[Country],Tabela1[[#This Row],[Country]],Table24[Greco-Roman 67kg Classification],"&gt;0")</f>
        <v>0</v>
      </c>
      <c r="MC15" s="6">
        <f>COUNTIFS(Table24[Country],Tabela1[[#This Row],[Country]],Table24[Greco-Roman 77kg Classification],"&gt;0")</f>
        <v>0</v>
      </c>
      <c r="MD15" s="6">
        <f>COUNTIFS(Table24[Country],Tabela1[[#This Row],[Country]],Table24[Greco-Roman 87kg Classification],"&gt;0")</f>
        <v>0</v>
      </c>
      <c r="ME15" s="6">
        <f>COUNTIFS(Table24[Country],Tabela1[[#This Row],[Country]],Table24[Greco-Roman 97kg Classification],"&gt;0")</f>
        <v>0</v>
      </c>
      <c r="MF15" s="6">
        <f>COUNTIFS(Table24[Country],Tabela1[[#This Row],[Country]],Table24[Greco-Roman 130kg Classification],"&gt;0")</f>
        <v>0</v>
      </c>
      <c r="MG15" s="6">
        <f>COUNTIFS(Table31[Country],Tabela1[[#This Row],[Country]],Table31[50kg Classification],"&gt;0")</f>
        <v>0</v>
      </c>
      <c r="MH15" s="6">
        <f>COUNTIFS(Table31[Country],Tabela1[[#This Row],[Country]],Table31[53kg Classification],"&gt;0")</f>
        <v>0</v>
      </c>
      <c r="MI15" s="6">
        <f>COUNTIFS(Table31[Country],Tabela1[[#This Row],[Country]],Table31[57kg Classification],"&gt;0")</f>
        <v>0</v>
      </c>
      <c r="MJ15" s="6">
        <f>COUNTIFS(Table31[Country],Tabela1[[#This Row],[Country]],Table31[62kg Classification],"&gt;0")</f>
        <v>0</v>
      </c>
      <c r="MK15" s="6">
        <f>COUNTIFS(Table31[Country],Tabela1[[#This Row],[Country]],Table31[68kg Classification],"&gt;0")</f>
        <v>0</v>
      </c>
      <c r="ML15" s="6">
        <f>COUNTIFS(Table31[Country],Tabela1[[#This Row],[Country]],Table31[76kg Classification],"&gt;0")</f>
        <v>0</v>
      </c>
      <c r="MM15" s="6">
        <f>COUNTIFS(Table102[Country],Tabela1[[#This Row],[Country]],Table102[Downhill Classification],"&gt;0")</f>
        <v>0</v>
      </c>
      <c r="MN15" s="6">
        <f>COUNTIFS(Table102105[Country],Tabela1[[#This Row],[Country]],Table102105[Downhill Classification],"&gt;0")</f>
        <v>2</v>
      </c>
      <c r="MO15" s="6">
        <f>COUNTIFS(Table102[Country],Tabela1[[#This Row],[Country]],Table102[Giant Slalom Classification],"&gt;0")</f>
        <v>0</v>
      </c>
      <c r="MP15" s="6">
        <f>COUNTIFS(Table102105[Country],Tabela1[[#This Row],[Country]],Table102105[Giant Slalom Classification],"&gt;0")</f>
        <v>2</v>
      </c>
      <c r="MQ15" s="6">
        <f>COUNTIFS(Table102[Country],Tabela1[[#This Row],[Country]],Table102[Slalom Classification],"&gt;0")</f>
        <v>0</v>
      </c>
      <c r="MR15" s="6">
        <f>COUNTIFS(Table102105[Country],Tabela1[[#This Row],[Country]],Table102105[Slalom Classification],"&gt;0")</f>
        <v>1</v>
      </c>
      <c r="MS15" s="6">
        <f>COUNTIFS(Table102[Country],Tabela1[[#This Row],[Country]],Table102[Super-G Classification],"&gt;0")</f>
        <v>0</v>
      </c>
      <c r="MT15" s="6">
        <f>COUNTIFS(Table102105[Country],Tabela1[[#This Row],[Country]],Table102105[Super-G Classification],"&gt;0")</f>
        <v>2</v>
      </c>
      <c r="MU15" s="6">
        <f>COUNTIFS(Table105[Country],Tabela1[[#This Row],[Country]],Table105[Men''s Combined Classification],"&gt;0")</f>
        <v>0</v>
      </c>
      <c r="MV15" s="6">
        <f>COUNTIFS(Table105[Country],Tabela1[[#This Row],[Country]],Table105[Women''s Combined Classification],"&gt;0")</f>
        <v>1</v>
      </c>
      <c r="MW15" s="6">
        <f>COUNTIFS(Table106[Country],Tabela1[[#This Row],[Country]],Table106[Individual Classification],"&gt;0")</f>
        <v>2</v>
      </c>
      <c r="MX15" s="6">
        <f>COUNTIFS(Table106109[Country],Tabela1[[#This Row],[Country]],Table106109[Individual Classification],"&gt;0")</f>
        <v>1</v>
      </c>
      <c r="MY15" s="6">
        <f>COUNTIFS(Table106[Country],Tabela1[[#This Row],[Country]],Table106[Mass Start Classification],"&gt;0")</f>
        <v>1</v>
      </c>
      <c r="MZ15" s="6">
        <f>COUNTIFS(Table106109[Country],Tabela1[[#This Row],[Country]],Table106109[Mass Start Classification],"&gt;0")</f>
        <v>0</v>
      </c>
      <c r="NA15" s="6">
        <f>COUNTIFS(Table106[Country],Tabela1[[#This Row],[Country]],Table106[Pursuit Classification],"&gt;0")</f>
        <v>1</v>
      </c>
      <c r="NB15" s="6">
        <f>COUNTIFS(Table106109[Country],Tabela1[[#This Row],[Country]],Table106109[Pursuit Classification],"&gt;0")</f>
        <v>0</v>
      </c>
      <c r="NC15" s="6">
        <f>COUNTIFS(Table106[Country],Tabela1[[#This Row],[Country]],Table106[Sprint Classification],"&gt;0")</f>
        <v>1</v>
      </c>
      <c r="ND15" s="6">
        <f>COUNTIFS(Table106109[Country],Tabela1[[#This Row],[Country]],Table106109[Sprint Classification],"&gt;0")</f>
        <v>1</v>
      </c>
      <c r="NE15" s="6">
        <f>COUNTIFS(Table109[Country],Tabela1[[#This Row],[Country]],Table109[Men''s Relay Classification],"&gt;0")</f>
        <v>1</v>
      </c>
      <c r="NF15" s="6">
        <f>COUNTIFS(Table109[Country],Tabela1[[#This Row],[Country]],Table109[Women''s Relay Classification],"&gt;0")</f>
        <v>1</v>
      </c>
      <c r="NG15" s="6">
        <f>COUNTIFS(Table109[Country],Tabela1[[#This Row],[Country]],Table109[Mixed Relay Classification],"&gt;0")</f>
        <v>1</v>
      </c>
      <c r="NH15" s="6">
        <f>COUNTIFS(Table110[Country],Tabela1[[#This Row],[Country]],Table110[Monobob Classification],"&gt;0")</f>
        <v>0</v>
      </c>
      <c r="NI15" s="6">
        <f>COUNTIFS(Table111[Country],Tabela1[[#This Row],[Country]],Table111[Men''s Classification],"&gt;0")</f>
        <v>0</v>
      </c>
      <c r="NJ15" s="6">
        <f>COUNTIFS(Table111[Country],Tabela1[[#This Row],[Country]],Table111[Women''s Classification],"&gt;0")</f>
        <v>0</v>
      </c>
      <c r="NK15" s="6">
        <f>COUNTIFS(Table112[Country],Tabela1[[#This Row],[Country]],Table112[Men''s Four Classification],"&gt;0")</f>
        <v>0</v>
      </c>
      <c r="NL15" s="6">
        <f>COUNTIFS(Table113[Country],Tabela1[[#This Row],[Country]],Table113[Classical Classification],"&gt;0")</f>
        <v>2</v>
      </c>
      <c r="NM15" s="6">
        <f>COUNTIFS(Table113116[Country],Tabela1[[#This Row],[Country]],Table113116[Classical Classification],"&gt;0")</f>
        <v>1</v>
      </c>
      <c r="NN15" s="6">
        <f>COUNTIFS(Table113[Country],Tabela1[[#This Row],[Country]],Table113[Freestyle Classification],"&gt;0")</f>
        <v>3</v>
      </c>
      <c r="NO15" s="6">
        <f>COUNTIFS(Table113116[Country],Tabela1[[#This Row],[Country]],Table113116[Freestyle Classification],"&gt;0")</f>
        <v>2</v>
      </c>
      <c r="NP15" s="6">
        <f>COUNTIFS(Table117[Country],Tabela1[[#This Row],[Country]],Table117[Men''s Relay Classification],"&gt;0")</f>
        <v>1</v>
      </c>
      <c r="NQ15" s="6">
        <f>COUNTIFS(Table117[Country],Tabela1[[#This Row],[Country]],Table117[Women''s Relay Classification],"&gt;0")</f>
        <v>1</v>
      </c>
      <c r="NR15" s="6">
        <f>COUNTIFS(Table113[Country],Tabela1[[#This Row],[Country]],Table113[Skiathlon Classification],"&gt;0")</f>
        <v>2</v>
      </c>
      <c r="NS15" s="6">
        <f>COUNTIFS(Table113116[Country],Tabela1[[#This Row],[Country]],Table113116[Skiathlon Classification],"&gt;0")</f>
        <v>2</v>
      </c>
      <c r="NT15" s="6">
        <f>COUNTIFS(Table113[Country],Tabela1[[#This Row],[Country]],Table113[Sprint Classification],"&gt;0")</f>
        <v>2</v>
      </c>
      <c r="NU15" s="6">
        <f>COUNTIFS(Table113116[Country],Tabela1[[#This Row],[Country]],Table113116[Sprint Classification],"&gt;0")</f>
        <v>4</v>
      </c>
      <c r="NV15" s="6">
        <f>COUNTIFS(Table116[Country],Tabela1[[#This Row],[Country]],Table116[Men''s Team Sprint Classification],"&gt;0")</f>
        <v>1</v>
      </c>
      <c r="NW15" s="6">
        <f>COUNTIFS(Table116[Country],Tabela1[[#This Row],[Country]],Table116[Women''s Team Sprint Classification],"&gt;0")</f>
        <v>1</v>
      </c>
      <c r="NX15" s="6">
        <f>COUNTIFS(Table119[Country],Tabela1[[#This Row],[Country]],Table119[Men''s Classification],"&gt;0")</f>
        <v>0</v>
      </c>
      <c r="NY15" s="6">
        <f>COUNTIFS(Table119[Country],Tabela1[[#This Row],[Country]],Table119[Women''s Classification],"&gt;0")</f>
        <v>0</v>
      </c>
      <c r="NZ15" s="6">
        <f>COUNTIFS(Table118[Country],Tabela1[[#This Row],[Country]],Table118[Mixed Classification],"&gt;0")</f>
        <v>0</v>
      </c>
      <c r="OA15" s="6">
        <f>COUNTIFS(Table120[Country],Tabela1[[#This Row],[Country]],Table120[Classification],"&gt;0")</f>
        <v>0</v>
      </c>
      <c r="OB15" s="6">
        <f>COUNTIFS(Table120123[Country],Tabela1[[#This Row],[Country]],Table120123[Classification],"&gt;0")</f>
        <v>0</v>
      </c>
      <c r="OC15" s="6">
        <f>COUNTIFS(Table123[Country],Tabela1[[#This Row],[Country]],Table123[Ice Dance Classification],"&gt;0")</f>
        <v>1</v>
      </c>
      <c r="OD15" s="6">
        <f>COUNTIFS(Table123[Country],Tabela1[[#This Row],[Country]],Table123[Pair Skating Classification],"&gt;0")</f>
        <v>0</v>
      </c>
      <c r="OE15" s="6">
        <f>COUNTIFS(Table124[Country],Tabela1[[#This Row],[Country]],Table124[Mixed Classification],"&gt;0")</f>
        <v>0</v>
      </c>
      <c r="OF15" s="6">
        <f>COUNTIFS(Table125[Country],Tabela1[[#This Row],[Country]],Table125[Aerials Classification],"&gt;0")</f>
        <v>1</v>
      </c>
      <c r="OG15" s="6">
        <f>COUNTIFS(Table125128[Country],Tabela1[[#This Row],[Country]],Table125128[Aerials Classification],"&gt;0")</f>
        <v>0</v>
      </c>
      <c r="OH15" s="6">
        <f>COUNTIFS(Table128[Country],Tabela1[[#This Row],[Country]],Table128[Mixed Aerials Classification],"&gt;0")</f>
        <v>0</v>
      </c>
      <c r="OI15" s="6">
        <f>COUNTIFS(Table125[Country],Tabela1[[#This Row],[Country]],Table125[Big Air Classification],"&gt;0")</f>
        <v>0</v>
      </c>
      <c r="OJ15" s="6">
        <f>COUNTIFS(Table125128[Country],Tabela1[[#This Row],[Country]],Table125128[Big Air Classification],"&gt;0")</f>
        <v>0</v>
      </c>
      <c r="OK15" s="6">
        <f>COUNTIFS(Table125[Country],Tabela1[[#This Row],[Country]],Table125[Dual Moguls Classification],"&gt;0")</f>
        <v>0</v>
      </c>
      <c r="OL15" s="6">
        <f>COUNTIFS(Table125128[Country],Tabela1[[#This Row],[Country]],Table125128[Dual Moguls Classification],"&gt;0")</f>
        <v>0</v>
      </c>
      <c r="OM15" s="6">
        <f>COUNTIFS(Table125[Country],Tabela1[[#This Row],[Country]],Table125[Halfpipe Classification],"&gt;0")</f>
        <v>0</v>
      </c>
      <c r="ON15" s="6">
        <f>COUNTIFS(Table125128[Country],Tabela1[[#This Row],[Country]],Table125128[Halfpipe Classification],"&gt;0")</f>
        <v>0</v>
      </c>
      <c r="OO15" s="6">
        <f>COUNTIFS(Table125[Country],Tabela1[[#This Row],[Country]],Table125[Moguls Classification],"&gt;0")</f>
        <v>0</v>
      </c>
      <c r="OP15" s="6">
        <f>COUNTIFS(Table125128[Country],Tabela1[[#This Row],[Country]],Table125128[Moguls Classification],"&gt;0")</f>
        <v>0</v>
      </c>
      <c r="OQ15" s="6">
        <f>COUNTIFS(Table125[Country],Tabela1[[#This Row],[Country]],Table125[Ski Cross Classification],"&gt;0")</f>
        <v>1</v>
      </c>
      <c r="OR15" s="6">
        <f>COUNTIFS(Table125128[Country],Tabela1[[#This Row],[Country]],Table125128[Ski Cross Classification],"&gt;0")</f>
        <v>1</v>
      </c>
      <c r="OS15" s="6">
        <f>COUNTIFS(Table125[Country],Tabela1[[#This Row],[Country]],Table125[Slopestyle Classification],"&gt;0")</f>
        <v>0</v>
      </c>
      <c r="OT15" s="6">
        <f>COUNTIFS(Table125128[Country],Tabela1[[#This Row],[Country]],Table125128[Slopestyle Classification],"&gt;0")</f>
        <v>0</v>
      </c>
      <c r="OU15" s="6">
        <f>COUNTIFS(Table119131[Country],Tabela1[[#This Row],[Country]],Table119131[Men''s Classification],"&gt;0")</f>
        <v>1</v>
      </c>
      <c r="OV15" s="6">
        <f>COUNTIFS(Table119131[Country],Tabela1[[#This Row],[Country]],Table119131[Women''s Classification],"&gt;0")</f>
        <v>1</v>
      </c>
      <c r="OW15" s="6">
        <f>COUNTIFS(Table131[Country],Tabela1[[#This Row],[Country]],Table131[Classification],"&gt;0")</f>
        <v>1</v>
      </c>
      <c r="OX15" s="6">
        <f>COUNTIFS(Table131134[Country],Tabela1[[#This Row],[Country]],Table131134[Classification],"&gt;0")</f>
        <v>0</v>
      </c>
      <c r="OY15" s="6">
        <f>COUNTIFS(Table134[Country],Tabela1[[#This Row],[Country]],Table134[Men''s Classification],"&gt;0")</f>
        <v>0</v>
      </c>
      <c r="OZ15" s="6">
        <f>COUNTIFS(Table134[Country],Tabela1[[#This Row],[Country]],Table134[Women''s Classification],"&gt;0")</f>
        <v>0</v>
      </c>
      <c r="PA15" s="6">
        <f>COUNTIFS(Table135[Country],Tabela1[[#This Row],[Country]],Table135[Mixed Relay Classification],"&gt;0")</f>
        <v>0</v>
      </c>
      <c r="PB15" s="6">
        <f>COUNTIFS(Table136[Country],Tabela1[[#This Row],[Country]],Table136[Individual Classification],"&gt;0")</f>
        <v>2</v>
      </c>
      <c r="PC15" s="6">
        <f>COUNTIFS(Table136[Country],Tabela1[[#This Row],[Country]],Table136[Sprint Classification],"&gt;0")</f>
        <v>2</v>
      </c>
      <c r="PD15" s="6">
        <f>COUNTIFS(Table137[Country],Tabela1[[#This Row],[Country]],Table137[Men''s Team Sprint Large Hill Classification],"&gt;0")</f>
        <v>1</v>
      </c>
      <c r="PE15" s="6">
        <f>COUNTIFS(Table138[Country],Tabela1[[#This Row],[Country]],Table138[500m Classification],"&gt;0")</f>
        <v>0</v>
      </c>
      <c r="PF15" s="6">
        <f>COUNTIFS(Table138141[Country],Tabela1[[#This Row],[Country]],Table138141[500m Classification],"&gt;0")</f>
        <v>0</v>
      </c>
      <c r="PG15" s="6">
        <f>COUNTIFS(Table138[Country],Tabela1[[#This Row],[Country]],Table138[1000m Classification],"&gt;0")</f>
        <v>0</v>
      </c>
      <c r="PH15" s="6">
        <f>COUNTIFS(Table138141[Country],Tabela1[[#This Row],[Country]],Table138141[1000m Classification],"&gt;0")</f>
        <v>0</v>
      </c>
      <c r="PI15" s="6">
        <f>COUNTIFS(Table138[Country],Tabela1[[#This Row],[Country]],Table138[1500m Classification],"&gt;0")</f>
        <v>0</v>
      </c>
      <c r="PJ15" s="6">
        <f>COUNTIFS(Table138141[Country],Tabela1[[#This Row],[Country]],Table138141[1500m Classification],"&gt;0")</f>
        <v>0</v>
      </c>
      <c r="PK15" s="6">
        <f>COUNTIFS(Table141[Country],Tabela1[[#This Row],[Country]],Table141[Men''s 5000m Relay Classification],"&gt;0")</f>
        <v>0</v>
      </c>
      <c r="PL15" s="6">
        <f>COUNTIFS(Table141[Country],Tabela1[[#This Row],[Country]],Table141[Women''s 3000m Relay Classification],"&gt;0")</f>
        <v>0</v>
      </c>
      <c r="PM15" s="6">
        <f>COUNTIFS(Table141[Country],Tabela1[[#This Row],[Country]],Table141[Mixed 2000m Relay Classification],"&gt;0")</f>
        <v>0</v>
      </c>
      <c r="PN15" s="6">
        <f>COUNTIFS(Table142[Country],Tabela1[[#This Row],[Country]],Table142[Classification],"&gt;0")</f>
        <v>0</v>
      </c>
      <c r="PO15" s="6">
        <f>COUNTIFS(Table142145[Country],Tabela1[[#This Row],[Country]],Table142145[Classification],"&gt;0")</f>
        <v>0</v>
      </c>
      <c r="PP15" s="6">
        <f>COUNTIFS(Tabela15[Country],Tabela1[[#This Row],[Country]],Tabela15[Mixed Team Classification],"&gt;0")</f>
        <v>0</v>
      </c>
      <c r="PQ15" s="6">
        <f>COUNTIFS(Table145[Country],Tabela1[[#This Row],[Country]],Table145[Large Hill Classification],"&gt;0")</f>
        <v>1</v>
      </c>
      <c r="PR15" s="6">
        <f>COUNTIFS(Table145[Country],Tabela1[[#This Row],[Country]],Table145[Normal Hill Classification],"&gt;0")</f>
        <v>1</v>
      </c>
      <c r="PS15" s="6">
        <f>COUNTIFS(Table145148[Country],Tabela1[[#This Row],[Country]],Table145148[Large Hill Classification],"&gt;0")</f>
        <v>2</v>
      </c>
      <c r="PT15" s="6">
        <f>COUNTIFS(Table145148[Country],Tabela1[[#This Row],[Country]],Table145148[Normal Hill Classification],"&gt;0")</f>
        <v>3</v>
      </c>
      <c r="PU15" s="6">
        <f>COUNTIFS(Table148[Country],Tabela1[[#This Row],[Country]],Table148[Men''s Super Team Classification],"&gt;0")</f>
        <v>0</v>
      </c>
      <c r="PV15" s="6">
        <f>COUNTIFS(Tabela114[Country],Tabela1[[#This Row],[Country]],Tabela114[Mixed Normal Hill Classification],"&gt;0")</f>
        <v>0</v>
      </c>
      <c r="PW15" s="6">
        <f>COUNTIFS(Tabela50[Country],Tabela1[[#This Row],[Country]],Tabela50[Sprint Classification],"&gt;0")</f>
        <v>0</v>
      </c>
      <c r="PX15" s="6">
        <f>COUNTIFS(Tabela50101[Country],Tabela1[[#This Row],[Country]],Tabela50101[Sprint Classification],"&gt;0")</f>
        <v>0</v>
      </c>
      <c r="PY15" s="6">
        <f>COUNTIFS(Tabela103[Country],Tabela1[[#This Row],[Country]],Tabela103[Mixed Relay Classification],"&gt;0")</f>
        <v>0</v>
      </c>
      <c r="PZ15" s="6">
        <f>COUNTIFS(Table149[Country],Tabela1[[#This Row],[Country]],Table149[Big Air Classification],"&gt;0")</f>
        <v>1</v>
      </c>
      <c r="QA15" s="6">
        <f>COUNTIFS(Table149152[Country],Tabela1[[#This Row],[Country]],Table149152[Big Air Classification],"&gt;0")</f>
        <v>0</v>
      </c>
      <c r="QB15" s="6">
        <f>COUNTIFS(Table149[Country],Tabela1[[#This Row],[Country]],Table149[Halfpipe Classification],"&gt;0")</f>
        <v>0</v>
      </c>
      <c r="QC15" s="6">
        <f>COUNTIFS(Table149152[Country],Tabela1[[#This Row],[Country]],Table149152[Halfpipe Classification],"&gt;0")</f>
        <v>0</v>
      </c>
      <c r="QD15" s="6">
        <f>COUNTIFS(Table149[Country],Tabela1[[#This Row],[Country]],Table149[Parallel Giant Slalom Classification],"&gt;0")</f>
        <v>0</v>
      </c>
      <c r="QE15" s="6">
        <f>COUNTIFS(Table149152[Country],Tabela1[[#This Row],[Country]],Table149152[Parallel Giant Slalom Classification],"&gt;0")</f>
        <v>1</v>
      </c>
      <c r="QF15" s="6">
        <f>COUNTIFS(Table149[Country],Tabela1[[#This Row],[Country]],Table149[Slopestyle Classification],"&gt;0")</f>
        <v>1</v>
      </c>
      <c r="QG15" s="6">
        <f>COUNTIFS(Table149152[Country],Tabela1[[#This Row],[Country]],Table149152[Slopestyle Classification],"&gt;0")</f>
        <v>0</v>
      </c>
      <c r="QH15" s="6">
        <f>COUNTIFS(Table149[Country],Tabela1[[#This Row],[Country]],Table149[Snowboard Cross Classification],"&gt;0")</f>
        <v>1</v>
      </c>
      <c r="QI15" s="6">
        <f>COUNTIFS(Table149152[Country],Tabela1[[#This Row],[Country]],Table149152[Snowboard Cross Classification],"&gt;0")</f>
        <v>0</v>
      </c>
      <c r="QJ15" s="6">
        <f>COUNTIFS(Table153[Country],Tabela1[[#This Row],[Country]],Table153[Mixed Team Snowboard Cross Classification],"&gt;0")</f>
        <v>1</v>
      </c>
      <c r="QK15" s="6">
        <f>COUNTIFS(Table154[Country],Tabela1[[#This Row],[Country]],Table154[500m Classification],"&gt;0")</f>
        <v>0</v>
      </c>
      <c r="QL15" s="6">
        <f>COUNTIFS(Table154157[Country],Tabela1[[#This Row],[Country]],Table154157[500m Classification],"&gt;0")</f>
        <v>0</v>
      </c>
      <c r="QM15" s="6">
        <f>COUNTIFS(Table154[Country],Tabela1[[#This Row],[Country]],Table154[1000m Classification],"&gt;0")</f>
        <v>0</v>
      </c>
      <c r="QN15" s="6">
        <f>COUNTIFS(Table154157[Country],Tabela1[[#This Row],[Country]],Table154157[1000m Classification],"&gt;0")</f>
        <v>0</v>
      </c>
      <c r="QO15" s="6">
        <f>COUNTIFS(Table154[Country],Tabela1[[#This Row],[Country]],Table154[1500m Classification],"&gt;0")</f>
        <v>0</v>
      </c>
      <c r="QP15" s="6">
        <f>COUNTIFS(Table154157[Country],Tabela1[[#This Row],[Country]],Table154157[1500m Classification],"&gt;0")</f>
        <v>0</v>
      </c>
      <c r="QQ15" s="6">
        <f>COUNTIFS(Table154157[Country],Tabela1[[#This Row],[Country]],Table154157[3000m Classification],"&gt;0")</f>
        <v>0</v>
      </c>
      <c r="QR15" s="6">
        <f>COUNTIFS(Table154[Country],Tabela1[[#This Row],[Country]],Table154[5000m Classification],"&gt;0")</f>
        <v>0</v>
      </c>
      <c r="QS15" s="6">
        <f>COUNTIFS(Table154157[Country],Tabela1[[#This Row],[Country]],Table154157[5000m Classification],"&gt;0")</f>
        <v>1</v>
      </c>
      <c r="QT15" s="6">
        <f>COUNTIFS(Table154[Country],Tabela1[[#This Row],[Country]],Table154[10000m Classification],"&gt;0")</f>
        <v>0</v>
      </c>
      <c r="QU15" s="6">
        <f>COUNTIFS(Table154[Country],Tabela1[[#This Row],[Country]],Table154[Mass Start Classification],"&gt;0")</f>
        <v>0</v>
      </c>
      <c r="QV15" s="6">
        <f>COUNTIFS(Table154157[Country],Tabela1[[#This Row],[Country]],Table154157[Mass Start Classification],"&gt;0")</f>
        <v>0</v>
      </c>
      <c r="QW15" s="6">
        <f>COUNTIFS(Table157[Country],Tabela1[[#This Row],[Country]],Table157[Men''s Pursuit Classification],"&gt;0")</f>
        <v>0</v>
      </c>
      <c r="QX15" s="6">
        <f>COUNTIFS(Table157[Country],Tabela1[[#This Row],[Country]],Table157[Women''s Pursuit Classification],"&gt;0")</f>
        <v>0</v>
      </c>
      <c r="QY15" s="3" t="s">
        <v>443</v>
      </c>
    </row>
    <row r="16" spans="1:467" x14ac:dyDescent="0.3">
      <c r="A16" s="6">
        <v>15</v>
      </c>
      <c r="B16" s="6" t="s">
        <v>334</v>
      </c>
      <c r="C16" t="e" vm="15">
        <f>IF(ISBLANK(Tabela1[[#This Row],[Image Link]]), "", _xlfn.IMAGE(Tabela1[[#This Row],[Image Link]],1,1))</f>
        <v>#VALUE!</v>
      </c>
      <c r="D16" s="6">
        <f>SUM(Tabela1[[#This Row],[Archery - Men''s Individual Recurve]:[Speed Skating - Women''s Team Pursuit]])</f>
        <v>90</v>
      </c>
      <c r="E16" s="6">
        <f>COUNTIF(Tabela1[[#This Row],[Archery - Men''s Individual Recurve]:[Speed Skating - Women''s Team Pursuit]],"&gt;0")</f>
        <v>86</v>
      </c>
      <c r="F16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6" s="6">
        <f>SUM(Tabela1[[#This Row],[Archery - Men''s Individual Recurve]:[Wrestling - Women''s Freestyle 76kg]])</f>
        <v>58</v>
      </c>
      <c r="H16" s="6">
        <f>SUM(Tabela1[[#This Row],[Alpine Skiing - Men''s Downhill]:[Speed Skating - Women''s Team Pursuit]])</f>
        <v>32</v>
      </c>
      <c r="I16" s="6">
        <f>Tabela1[[#This Row],[Summer Gold Medals]]+Tabela1[[#This Row],[Winter Gold Medals]]</f>
        <v>20</v>
      </c>
      <c r="J16" s="6">
        <f>Tabela1[[#This Row],[Summer Silver Medals]]+Tabela1[[#This Row],[Winter Silver Medals]]</f>
        <v>23</v>
      </c>
      <c r="K16" s="6">
        <f>Tabela1[[#This Row],[Summer Bronze Medals]]+Tabela1[[#This Row],[Winter Bronze Medals]]</f>
        <v>16</v>
      </c>
      <c r="L16" s="6">
        <f>SUM(Tabela1[[#This Row],[Total Gold Medals]:[Total Bronze Medals]])</f>
        <v>59</v>
      </c>
      <c r="M16" s="6">
        <v>12</v>
      </c>
      <c r="N16" s="6">
        <v>13</v>
      </c>
      <c r="O16" s="6">
        <v>8</v>
      </c>
      <c r="P16" s="6">
        <f>SUM(Tabela1[[#This Row],[Summer Gold Medals]:[Summer Bronze Medals]])</f>
        <v>33</v>
      </c>
      <c r="Q16" s="6">
        <v>8</v>
      </c>
      <c r="R16" s="6">
        <v>10</v>
      </c>
      <c r="S16" s="6">
        <v>8</v>
      </c>
      <c r="T16" s="6">
        <f>Tabela1[[#This Row],[Winter Gold Medals]]+Tabela1[[#This Row],[Winter Silver Medals]]+Tabela1[[#This Row],[Winter Bronze Medals]]</f>
        <v>26</v>
      </c>
      <c r="U16" s="7">
        <f>Tabela1[[#This Row],[Total Medals]]/Tabela1[[#This Row],[Total Quotas]]</f>
        <v>0.65555555555555556</v>
      </c>
      <c r="V16" s="6">
        <f>COUNTIFS(Table3[Country],Tabela1[[#This Row],[Country]],Table3[Recurve Classification],"&gt;0")</f>
        <v>0</v>
      </c>
      <c r="W16" s="6">
        <f>COUNTIFS(Table33[Country],Tabela1[[#This Row],[Country]],Table33[Recurve Classification],"&gt;0")</f>
        <v>0</v>
      </c>
      <c r="X16" s="6">
        <f>COUNTIFS(Table35[Country],Tabela1[[#This Row],[Country]],Table35[Men''s Team Recurve Classification],"&gt;0")</f>
        <v>0</v>
      </c>
      <c r="Y16" s="6">
        <f>COUNTIFS(Table35[Country],Tabela1[[#This Row],[Country]],Table35[Women''s Team Recurve Classification],"&gt;0")</f>
        <v>0</v>
      </c>
      <c r="Z16" s="6">
        <f>COUNTIFS(Tabela88[Country],Tabela1[[#This Row],[Country]],Tabela88[Mixed Team Recurve Classification],"&gt;0")</f>
        <v>0</v>
      </c>
      <c r="AA16" s="6">
        <f>COUNTIFS(Table36[Country],Tabela1[[#This Row],[Country]],Table36[Classification],"&gt;0")</f>
        <v>0</v>
      </c>
      <c r="AB16" s="6">
        <f>COUNTIFS(Table37[Country],Tabela1[[#This Row],[Country]],Table37[Classification],"&gt;0")</f>
        <v>0</v>
      </c>
      <c r="AC16" s="6">
        <f>COUNTIFS(Table4[Country],Tabela1[[#This Row],[Country]],Table4[100m Classification],"&gt;0")</f>
        <v>0</v>
      </c>
      <c r="AD16" s="6">
        <f>COUNTIFS(Table5[Country],Tabela1[[#This Row],[Country]],Table5[100m Classification],"&gt;0")</f>
        <v>1</v>
      </c>
      <c r="AE16" s="6">
        <f>COUNTIFS(Table4[Country],Tabela1[[#This Row],[Country]],Table4[200m Classification],"&gt;0")</f>
        <v>0</v>
      </c>
      <c r="AF16" s="6">
        <f>COUNTIFS(Table5[Country],Tabela1[[#This Row],[Country]],Table5[200m Classification],"&gt;0")</f>
        <v>0</v>
      </c>
      <c r="AG16" s="6">
        <f>COUNTIFS(Table4[Country],Tabela1[[#This Row],[Country]],Table4[400m Classification],"&gt;0")</f>
        <v>0</v>
      </c>
      <c r="AH16" s="6">
        <f>COUNTIFS(Table5[Country],Tabela1[[#This Row],[Country]],Table5[400m Classification],"&gt;0")</f>
        <v>0</v>
      </c>
      <c r="AI16" s="6">
        <f>COUNTIFS(Table4[Country],Tabela1[[#This Row],[Country]],Table4[800m Classification],"&gt;0")</f>
        <v>0</v>
      </c>
      <c r="AJ16" s="6">
        <f>COUNTIFS(Table5[Country],Tabela1[[#This Row],[Country]],Table5[800m Classification],"&gt;0")</f>
        <v>1</v>
      </c>
      <c r="AK16" s="6">
        <f>COUNTIFS(Table4[Country],Tabela1[[#This Row],[Country]],Table4[1500m Classification],"&gt;0")</f>
        <v>1</v>
      </c>
      <c r="AL16" s="6">
        <f>COUNTIFS(Table5[Country],Tabela1[[#This Row],[Country]],Table5[1500m Classification],"&gt;0")</f>
        <v>0</v>
      </c>
      <c r="AM16" s="6">
        <f>COUNTIFS(Table4[Country],Tabela1[[#This Row],[Country]],Table4[5000m Classification],"&gt;0")</f>
        <v>0</v>
      </c>
      <c r="AN16" s="6">
        <f>COUNTIFS(Table5[Country],Tabela1[[#This Row],[Country]],Table5[5000m Classification],"&gt;0")</f>
        <v>1</v>
      </c>
      <c r="AO16" s="6">
        <f>COUNTIFS(Table4[Country],Tabela1[[#This Row],[Country]],Table4[10000m Classification],"&gt;0")</f>
        <v>0</v>
      </c>
      <c r="AP16" s="6">
        <f>COUNTIFS(Table5[Country],Tabela1[[#This Row],[Country]],Table5[10000m Classification],"&gt;0")</f>
        <v>0</v>
      </c>
      <c r="AQ16" s="6">
        <f>COUNTIFS(Table4[Country],Tabela1[[#This Row],[Country]],Table4[110m Hurdles Classification],"&gt;0")</f>
        <v>0</v>
      </c>
      <c r="AR16" s="6">
        <f>COUNTIFS(Table5[Country],Tabela1[[#This Row],[Country]],Table5[100m Hurdles Classification],"&gt;0")</f>
        <v>0</v>
      </c>
      <c r="AS16" s="6">
        <f>COUNTIFS(Table4[Country],Tabela1[[#This Row],[Country]],Table4[400m Hurdles Classification],"&gt;0")</f>
        <v>0</v>
      </c>
      <c r="AT16" s="6">
        <f>COUNTIFS(Table5[Country],Tabela1[[#This Row],[Country]],Table5[400m Hurdles Classification],"&gt;0")</f>
        <v>0</v>
      </c>
      <c r="AU16" s="6">
        <f>COUNTIFS(Table4[Country],Tabela1[[#This Row],[Country]],Table4[3000m Steeplechase Classification],"&gt;0")</f>
        <v>1</v>
      </c>
      <c r="AV16" s="6">
        <f>COUNTIFS(Table5[Country],Tabela1[[#This Row],[Country]],Table5[3000m Steeplechase Classification],"&gt;0")</f>
        <v>1</v>
      </c>
      <c r="AW16" s="6">
        <f>COUNTIFS(Table27[Country],Tabela1[[#This Row],[Country]],Table27[Men''s 4x100m Relay Classification],"&gt;0")</f>
        <v>0</v>
      </c>
      <c r="AX16" s="6">
        <f>COUNTIFS(Table27[Country],Tabela1[[#This Row],[Country]],Table27[Women''s 4x100m Relay Classification],"&gt;0")</f>
        <v>1</v>
      </c>
      <c r="AY16" s="6">
        <f>COUNTIFS(Table27[Country],Tabela1[[#This Row],[Country]],Table27[Men''s 4x400m Relay Classification],"&gt;0")</f>
        <v>0</v>
      </c>
      <c r="AZ16" s="6">
        <f>COUNTIFS(Table27[Country],Tabela1[[#This Row],[Country]],Table27[Women''s 4x400m Relay Classification],"&gt;0")</f>
        <v>1</v>
      </c>
      <c r="BA16" s="6">
        <f>COUNTIFS(Table27[Country],Tabela1[[#This Row],[Country]],Table27[Mixed 4x400m Relay Classification],"&gt;0")</f>
        <v>1</v>
      </c>
      <c r="BB16" s="6">
        <f>COUNTIFS(Table4[Country],Tabela1[[#This Row],[Country]],Table4[Marathon Classification],"&gt;0")</f>
        <v>1</v>
      </c>
      <c r="BC16" s="6">
        <f>COUNTIFS(Table5[Country],Tabela1[[#This Row],[Country]],Table5[Marathon Classification],"&gt;0")</f>
        <v>0</v>
      </c>
      <c r="BD16" s="6">
        <f>COUNTIFS(Table4[Country],Tabela1[[#This Row],[Country]],Table4[20km Race Walk Classification],"&gt;0")</f>
        <v>0</v>
      </c>
      <c r="BE16" s="6">
        <f>COUNTIFS(Table5[Country],Tabela1[[#This Row],[Country]],Table5[20km Race Walk Classification],"&gt;0")</f>
        <v>0</v>
      </c>
      <c r="BF16" s="6">
        <f>COUNTIFS(Tabela96[Country],Tabela1[[#This Row],[Country]],Tabela96[Mixed Marathon Race Walk Relay Classification],"&gt;0")</f>
        <v>0</v>
      </c>
      <c r="BG16" s="6">
        <f>COUNTIFS(Table4[Country],Tabela1[[#This Row],[Country]],Table4[Discus Throw Classification],"&gt;0")</f>
        <v>0</v>
      </c>
      <c r="BH16" s="6">
        <f>COUNTIFS(Table5[Country],Tabela1[[#This Row],[Country]],Table5[Discus Throw Classification],"&gt;0")</f>
        <v>0</v>
      </c>
      <c r="BI16" s="6">
        <f>COUNTIFS(Table4[Country],Tabela1[[#This Row],[Country]],Table4[Hammer Throw Classification],"&gt;0")</f>
        <v>0</v>
      </c>
      <c r="BJ16" s="6">
        <f>COUNTIFS(Table5[Country],Tabela1[[#This Row],[Country]],Table5[Hammer Throw Classification],"&gt;0")</f>
        <v>0</v>
      </c>
      <c r="BK16" s="6">
        <f>COUNTIFS(Table4[Country],Tabela1[[#This Row],[Country]],Table4[High Jump Classification],"&gt;0")</f>
        <v>0</v>
      </c>
      <c r="BL16" s="6">
        <f>COUNTIFS(Table5[Country],Tabela1[[#This Row],[Country]],Table5[High Jump Classification],"&gt;0")</f>
        <v>0</v>
      </c>
      <c r="BM16" s="6">
        <f>COUNTIFS(Table4[Country],Tabela1[[#This Row],[Country]],Table4[Javelin Throw Classification],"&gt;0")</f>
        <v>1</v>
      </c>
      <c r="BN16" s="6">
        <f>COUNTIFS(Table5[Country],Tabela1[[#This Row],[Country]],Table5[Javelin Throw Classification],"&gt;0")</f>
        <v>1</v>
      </c>
      <c r="BO16" s="6">
        <f>COUNTIFS(Table4[Country],Tabela1[[#This Row],[Country]],Table4[Long Jump Classification],"&gt;0")</f>
        <v>0</v>
      </c>
      <c r="BP16" s="6">
        <f>COUNTIFS(Table5[Country],Tabela1[[#This Row],[Country]],Table5[Long Jump Classification],"&gt;0")</f>
        <v>0</v>
      </c>
      <c r="BQ16" s="6">
        <f>COUNTIFS(Table4[Country],Tabela1[[#This Row],[Country]],Table4[Pole Vault Classification],"&gt;0")</f>
        <v>0</v>
      </c>
      <c r="BR16" s="6">
        <f>COUNTIFS(Table5[Country],Tabela1[[#This Row],[Country]],Table5[Pole Vault Classification],"&gt;0")</f>
        <v>0</v>
      </c>
      <c r="BS16" s="6">
        <f>COUNTIFS(Table4[Country],Tabela1[[#This Row],[Country]],Table4[Shot Put Classification],"&gt;0")</f>
        <v>0</v>
      </c>
      <c r="BT16" s="6">
        <f>COUNTIFS(Table5[Country],Tabela1[[#This Row],[Country]],Table5[Shot Put Classification],"&gt;0")</f>
        <v>1</v>
      </c>
      <c r="BU16" s="6">
        <f>COUNTIFS(Table4[Country],Tabela1[[#This Row],[Country]],Table4[Triple Jump Classification],"&gt;0")</f>
        <v>1</v>
      </c>
      <c r="BV16" s="6">
        <f>COUNTIFS(Table5[Country],Tabela1[[#This Row],[Country]],Table5[Triple Jump Classification],"&gt;0")</f>
        <v>0</v>
      </c>
      <c r="BW16" s="6">
        <f>COUNTIFS(Table4[Country],Tabela1[[#This Row],[Country]],Table4[Decathlon Classification],"&gt;0")</f>
        <v>2</v>
      </c>
      <c r="BX16" s="6">
        <f>COUNTIFS(Table5[Country],Tabela1[[#This Row],[Country]],Table5[Heptathlon Classification],"&gt;0")</f>
        <v>0</v>
      </c>
      <c r="BY16" s="6">
        <f>COUNTIFS(Table61[Country],Tabela1[[#This Row],[Country]],Table61[Classification],"&gt;0")</f>
        <v>0</v>
      </c>
      <c r="BZ16" s="6">
        <f>COUNTIFS(Table38[Country],Tabela1[[#This Row],[Country]],Table38[Classification],"&gt;0")</f>
        <v>0</v>
      </c>
      <c r="CA16" s="6">
        <f>COUNTIFS(Table39[Country],Tabela1[[#This Row],[Country]],Table39[Men''s Classification],"&gt;0")</f>
        <v>1</v>
      </c>
      <c r="CB16" s="6">
        <f>COUNTIFS(Table39[Country],Tabela1[[#This Row],[Country]],Table39[Women''s Classification],"&gt;0")</f>
        <v>0</v>
      </c>
      <c r="CC16" s="6">
        <f>COUNTIFS(Table39[Country],Tabela1[[#This Row],[Country]],Table39[Mixed Classification],"&gt;0")</f>
        <v>0</v>
      </c>
      <c r="CD16" s="6">
        <f>COUNTIFS(Table89[Country],Tabela1[[#This Row],[Country]],Table89[Men''s Classification],"&gt;0")</f>
        <v>1</v>
      </c>
      <c r="CE16" s="6">
        <f>COUNTIFS(Table89[Country],Tabela1[[#This Row],[Country]],Table89[Women''s Classification],"&gt;0")</f>
        <v>1</v>
      </c>
      <c r="CF16" s="6">
        <f>COUNTIFS(Table90[Country],Tabela1[[#This Row],[Country]],Table90[Men''s Classification],"&gt;0")</f>
        <v>0</v>
      </c>
      <c r="CG16" s="6">
        <f>COUNTIFS(Table90[Country],Tabela1[[#This Row],[Country]],Table90[Women''s Classification],"&gt;0")</f>
        <v>0</v>
      </c>
      <c r="CH16" s="6">
        <f>COUNTIFS(Table60[Country],Tabela1[[#This Row],[Country]],Table60[Men''s Classification],"&gt;0")</f>
        <v>0</v>
      </c>
      <c r="CI16" s="6">
        <f>COUNTIFS(Table60[Country],Tabela1[[#This Row],[Country]],Table60[Women''s Classification],"&gt;0")</f>
        <v>0</v>
      </c>
      <c r="CJ16" s="6">
        <f>COUNTIFS(Table6[Country],Tabela1[[#This Row],[Country]],Table6[51kg Classification],"&gt;0")</f>
        <v>0</v>
      </c>
      <c r="CK16" s="6">
        <f>COUNTIFS(Table6[Country],Tabela1[[#This Row],[Country]],Table6[57kg Classification],"&gt;0")</f>
        <v>0</v>
      </c>
      <c r="CL16" s="6">
        <f>COUNTIFS(Table6[Country],Tabela1[[#This Row],[Country]],Table6[63.5kg Classification],"&gt;0")</f>
        <v>0</v>
      </c>
      <c r="CM16" s="6">
        <f>COUNTIFS(Table6[Country],Tabela1[[#This Row],[Country]],Table6[71kg Classification],"&gt;0")</f>
        <v>0</v>
      </c>
      <c r="CN16" s="6">
        <f>COUNTIFS(Table6[Country],Tabela1[[#This Row],[Country]],Table6[80kg Classification],"&gt;0")</f>
        <v>0</v>
      </c>
      <c r="CO16" s="6">
        <f>COUNTIFS(Table6[Country],Tabela1[[#This Row],[Country]],Table6[92kg Classification],"&gt;0")</f>
        <v>0</v>
      </c>
      <c r="CP16" s="6">
        <f>COUNTIFS(Table6[Country],Tabela1[[#This Row],[Country]],Table6[Plus 92kg Classification],"&gt;0")</f>
        <v>0</v>
      </c>
      <c r="CQ16" s="6">
        <f>COUNTIFS(Table7[Country],Tabela1[[#This Row],[Country]],Table7[50kg Classification],"&gt;0")</f>
        <v>1</v>
      </c>
      <c r="CR16" s="6">
        <f>COUNTIFS(Table7[Country],Tabela1[[#This Row],[Country]],Table7[54kg Classification],"&gt;0")</f>
        <v>0</v>
      </c>
      <c r="CS16" s="6">
        <f>COUNTIFS(Table7[Country],Tabela1[[#This Row],[Country]],Table7[57kg Classification],"&gt;0")</f>
        <v>0</v>
      </c>
      <c r="CT16" s="6">
        <f>COUNTIFS(Table7[Country],Tabela1[[#This Row],[Country]],Table7[60kg Classification],"&gt;0")</f>
        <v>0</v>
      </c>
      <c r="CU16" s="6">
        <f>COUNTIFS(Table7[Country],Tabela1[[#This Row],[Country]],Table7[66kg Classification],"&gt;0")</f>
        <v>0</v>
      </c>
      <c r="CV16" s="6">
        <f>COUNTIFS(Table7[Country],Tabela1[[#This Row],[Country]],Table7[75kg Classification],"&gt;0")</f>
        <v>0</v>
      </c>
      <c r="CW16" s="6">
        <f>COUNTIFS(Tabela94[Country],Tabela1[[#This Row],[Country]],Tabela94[Classification],"&gt;0")</f>
        <v>0</v>
      </c>
      <c r="CX16" s="6">
        <f>COUNTIFS(Tabela9499[Country],Tabela1[[#This Row],[Country]],Tabela9499[Classification],"&gt;0")</f>
        <v>0</v>
      </c>
      <c r="CY16" s="6">
        <f>COUNTIFS(Tabela107[Country],Tabela1[[#This Row],[Country]],Tabela107[C1 Slalom Classification],"&gt;0")</f>
        <v>0</v>
      </c>
      <c r="CZ16" s="6">
        <f>COUNTIFS(Tabela107122[Country],Tabela1[[#This Row],[Country]],Tabela107122[C1 Slalom Classification],"&gt;0")</f>
        <v>0</v>
      </c>
      <c r="DA16" s="6">
        <f>COUNTIFS(Tabela107[Country],Tabela1[[#This Row],[Country]],Tabela107[K1 Slalom Classification],"&gt;0")</f>
        <v>0</v>
      </c>
      <c r="DB16" s="6">
        <f>COUNTIFS(Tabela107122[Country],Tabela1[[#This Row],[Country]],Tabela107122[K1 Slalom Classification],"&gt;0")</f>
        <v>1</v>
      </c>
      <c r="DC16" s="6">
        <f>COUNTIFS(Tabela107[Country],Tabela1[[#This Row],[Country]],Tabela107[Kayak Cross Slalom Classification],"&gt;0")</f>
        <v>0</v>
      </c>
      <c r="DD16" s="6">
        <f>COUNTIFS(Tabela107122[Country],Tabela1[[#This Row],[Country]],Tabela107122[Kayak Cross Slalom Classification],"&gt;0")</f>
        <v>1</v>
      </c>
      <c r="DE16" s="6">
        <f>COUNTIFS(Table8[Country],Tabela1[[#This Row],[Country]],Table8[C1 200m Classification],"&gt;0")</f>
        <v>0</v>
      </c>
      <c r="DF16" s="6">
        <f>COUNTIFS(Table40[Country],Tabela1[[#This Row],[Country]],Table40[C1 1000m Classification],"&gt;0")</f>
        <v>0</v>
      </c>
      <c r="DG16" s="6">
        <f>COUNTIFS(Table68[Country],Tabela1[[#This Row],[Country]],Table68[Men''s C2 500m Classification],"&gt;0")</f>
        <v>0</v>
      </c>
      <c r="DH16" s="6">
        <f>COUNTIFS(Table68[Country],Tabela1[[#This Row],[Country]],Table68[Women''s C2 500m Classification],"&gt;0")</f>
        <v>0</v>
      </c>
      <c r="DI16" s="6">
        <f>COUNTIFS(Table8[Country],Tabela1[[#This Row],[Country]],Table8[K1 500m Classification],"&gt;0")</f>
        <v>0</v>
      </c>
      <c r="DJ16" s="6">
        <f>COUNTIFS(Table40[Country],Tabela1[[#This Row],[Country]],Table40[K1 1000m Classification],"&gt;0")</f>
        <v>0</v>
      </c>
      <c r="DK16" s="6">
        <f>COUNTIFS(Table68[Country],Tabela1[[#This Row],[Country]],Table68[Men''s K2 500m Classification],"&gt;0")</f>
        <v>1</v>
      </c>
      <c r="DL16" s="6">
        <f>COUNTIFS(Table68[Country],Tabela1[[#This Row],[Country]],Table68[Women''s K2 500m Classification],"&gt;0")</f>
        <v>0</v>
      </c>
      <c r="DM16" s="6">
        <f>COUNTIFS(Table83[Country],Tabela1[[#This Row],[Country]],Table83[Men''s K4 500m Classification],"&gt;0")</f>
        <v>1</v>
      </c>
      <c r="DN16" s="6">
        <f>COUNTIFS(Table83[Country],Tabela1[[#This Row],[Country]],Table83[Women''s K4 500m Classification],"&gt;0")</f>
        <v>0</v>
      </c>
      <c r="DO16" s="6">
        <f>COUNTIFS(Tabela126[Country],Tabela1[[#This Row],[Country]],Tabela126[Classification],"&gt;0")</f>
        <v>0</v>
      </c>
      <c r="DP16" s="6">
        <f>COUNTIFS(Tabela126130[Country],Tabela1[[#This Row],[Country]],Tabela126130[Classification],"&gt;0")</f>
        <v>0</v>
      </c>
      <c r="DQ16" s="6">
        <f>COUNTIFS(Table70[Country],Tabela1[[#This Row],[Country]],Table70[Classification],"&gt;0")</f>
        <v>0</v>
      </c>
      <c r="DR16" s="6">
        <f>COUNTIFS(Table80[Country],Tabela1[[#This Row],[Country]],Table80[Classification],"&gt;0")</f>
        <v>0</v>
      </c>
      <c r="DS16" s="6">
        <f>COUNTIFS(Table66[Country],Tabela1[[#This Row],[Country]],Table66[Classification],"&gt;0")</f>
        <v>0</v>
      </c>
      <c r="DT16" s="6">
        <f>COUNTIFS(Table67[Country],Tabela1[[#This Row],[Country]],Table67[Classification],"&gt;0")</f>
        <v>0</v>
      </c>
      <c r="DU16" s="6">
        <f>COUNTIFS(Table69[Country],Tabela1[[#This Row],[Country]],Table69[Keirin Classification],"&gt;0")</f>
        <v>0</v>
      </c>
      <c r="DV16" s="6">
        <f>COUNTIFS(Table41[Country],Tabela1[[#This Row],[Country]],Table41[Keirin Classification],"&gt;0")</f>
        <v>0</v>
      </c>
      <c r="DW16" s="6">
        <f>COUNTIFS(Table84[Country],Tabela1[[#This Row],[Country]],Table84[Men''s Madison Classification],"&gt;0")</f>
        <v>0</v>
      </c>
      <c r="DX16" s="6">
        <f>COUNTIFS(Table84[Country],Tabela1[[#This Row],[Country]],Table84[Women''s Madison Classification],"&gt;0")</f>
        <v>0</v>
      </c>
      <c r="DY16" s="6">
        <f>COUNTIFS(Table69[Country],Tabela1[[#This Row],[Country]],Table69[Omnium Classification],"&gt;0")</f>
        <v>0</v>
      </c>
      <c r="DZ16" s="6">
        <f>COUNTIFS(Table41[Country],Tabela1[[#This Row],[Country]],Table41[Omnium Classification],"&gt;0")</f>
        <v>0</v>
      </c>
      <c r="EA16" s="6">
        <f>COUNTIFS(Table9[Country],Tabela1[[#This Row],[Country]],Table9[Road Race Classification],"&gt;0")</f>
        <v>0</v>
      </c>
      <c r="EB16" s="6">
        <f>COUNTIFS(Table14[Country],Tabela1[[#This Row],[Country]],Table14[Road Race Classification],"&gt;0")</f>
        <v>0</v>
      </c>
      <c r="EC16" s="6">
        <f>COUNTIFS(Table69[Country],Tabela1[[#This Row],[Country]],Table69[Sprint Classification],"&gt;0")</f>
        <v>0</v>
      </c>
      <c r="ED16" s="6">
        <f>COUNTIFS(Table41[Country],Tabela1[[#This Row],[Country]],Table41[Sprint Classification],"&gt;0")</f>
        <v>0</v>
      </c>
      <c r="EE16" s="6">
        <f>COUNTIFS(Table85[Country],Tabela1[[#This Row],[Country]],Table85[Men''s Sprint Classification],"&gt;0")</f>
        <v>0</v>
      </c>
      <c r="EF16" s="6">
        <f>COUNTIFS(Table85[Country],Tabela1[[#This Row],[Country]],Table85[Women''s Sprint Classification],"&gt;0")</f>
        <v>0</v>
      </c>
      <c r="EG16" s="6">
        <f>COUNTIFS(Table85[Country],Tabela1[[#This Row],[Country]],Table85[Men''s Pursuit Classification],"&gt;0")</f>
        <v>0</v>
      </c>
      <c r="EH16" s="6">
        <f>COUNTIFS(Table85[Country],Tabela1[[#This Row],[Country]],Table85[Women''s Pursuit Classification],"&gt;0")</f>
        <v>1</v>
      </c>
      <c r="EI16" s="6">
        <f>COUNTIFS(Table9[Country],Tabela1[[#This Row],[Country]],Table9[Time-Trial Classification],"&gt;0")</f>
        <v>0</v>
      </c>
      <c r="EJ16" s="6">
        <f>COUNTIFS(Table14[Country],Tabela1[[#This Row],[Country]],Table14[Time-Trial Classification],"&gt;0")</f>
        <v>0</v>
      </c>
      <c r="EK16" s="6">
        <f>COUNTIFS(Table42[Country],Tabela1[[#This Row],[Country]],Table42[Springboard Classification],"&gt;0")</f>
        <v>0</v>
      </c>
      <c r="EL16" s="6">
        <f>COUNTIFS(Table43[Country],Tabela1[[#This Row],[Country]],Table43[Springboard Classification],"&gt;0")</f>
        <v>0</v>
      </c>
      <c r="EM16" s="6">
        <f>COUNTIFS(Table42[Country],Tabela1[[#This Row],[Country]],Table42[Platform Classification],"&gt;0")</f>
        <v>0</v>
      </c>
      <c r="EN16" s="6">
        <f>COUNTIFS(Table43[Country],Tabela1[[#This Row],[Country]],Table43[Platform Classification],"&gt;0")</f>
        <v>0</v>
      </c>
      <c r="EO16" s="6">
        <f>COUNTIFS(Table86[Country],Tabela1[[#This Row],[Country]],Table86[Men''s Synchronized Springboard Classification],"&gt;0")</f>
        <v>0</v>
      </c>
      <c r="EP16" s="6">
        <f>COUNTIFS(Table86[Country],Tabela1[[#This Row],[Country]],Table86[Women''s Synchronized Springboard Classification],"&gt;0")</f>
        <v>0</v>
      </c>
      <c r="EQ16" s="6">
        <f>COUNTIFS(Table86[Country],Tabela1[[#This Row],[Country]],Table86[Men''s Synchronized Platform Classification],"&gt;0")</f>
        <v>0</v>
      </c>
      <c r="ER16" s="6">
        <f>COUNTIFS(Table86[Country],Tabela1[[#This Row],[Country]],Table86[Women''s Synchronized Platform Classification],"&gt;0")</f>
        <v>0</v>
      </c>
      <c r="ES16" s="6">
        <f>COUNTIFS(Table44[Country],Tabela1[[#This Row],[Country]],Table44[Dressage Classification],"&gt;0")</f>
        <v>0</v>
      </c>
      <c r="ET16" s="6">
        <f>COUNTIFS(Table45[Country],Tabela1[[#This Row],[Country]],Table45[Dressage Classification],"&gt;0")</f>
        <v>0</v>
      </c>
      <c r="EU16" s="6">
        <f>COUNTIFS(Table44[Country],Tabela1[[#This Row],[Country]],Table44[Eventing Classification],"&gt;0")</f>
        <v>0</v>
      </c>
      <c r="EV16" s="6">
        <f>COUNTIFS(Table45[Country],Tabela1[[#This Row],[Country]],Table45[Eventing Classification],"&gt;0")</f>
        <v>0</v>
      </c>
      <c r="EW16" s="6">
        <f>COUNTIFS(Table44[Country],Tabela1[[#This Row],[Country]],Table44[Jumping Classification],"&gt;0")</f>
        <v>0</v>
      </c>
      <c r="EX16" s="6">
        <f>COUNTIFS(Table45[Country],Tabela1[[#This Row],[Country]],Table45[Jumping Classification],"&gt;0")</f>
        <v>0</v>
      </c>
      <c r="EY16" s="6">
        <f>COUNTIFS(Table10[Country],Tabela1[[#This Row],[Country]],Table10[Épée Classification],"&gt;0")</f>
        <v>0</v>
      </c>
      <c r="EZ16" s="6">
        <f>COUNTIFS(Table11[Country],Tabela1[[#This Row],[Country]],Table11[Épée Classification],"&gt;0")</f>
        <v>0</v>
      </c>
      <c r="FA16" s="6">
        <f>COUNTIFS(Table46[Country],Tabela1[[#This Row],[Country]],Table46[Men''s Épée Classification],"&gt;0")</f>
        <v>0</v>
      </c>
      <c r="FB16" s="6">
        <f>COUNTIFS(Table46[Country],Tabela1[[#This Row],[Country]],Table46[Women''s Épée Classification],"&gt;0")</f>
        <v>0</v>
      </c>
      <c r="FC16" s="6">
        <f>COUNTIFS(Table10[Country],Tabela1[[#This Row],[Country]],Table10[Foil Classification],"&gt;0")</f>
        <v>0</v>
      </c>
      <c r="FD16" s="6">
        <f>COUNTIFS(Table11[Country],Tabela1[[#This Row],[Country]],Table11[Foil Classification],"&gt;0")</f>
        <v>0</v>
      </c>
      <c r="FE16" s="6">
        <f>COUNTIFS(Table46[Country],Tabela1[[#This Row],[Country]],Table46[Men''s Foil Classification],"&gt;0")</f>
        <v>0</v>
      </c>
      <c r="FF16" s="6">
        <f>COUNTIFS(Table46[Country],Tabela1[[#This Row],[Country]],Table46[Women''s Foil Classification],"&gt;0")</f>
        <v>0</v>
      </c>
      <c r="FG16" s="6">
        <f>COUNTIFS(Table10[Country],Tabela1[[#This Row],[Country]],Table10[Sabre Classification],"&gt;0")</f>
        <v>0</v>
      </c>
      <c r="FH16" s="6">
        <f>COUNTIFS(Table11[Country],Tabela1[[#This Row],[Country]],Table11[Sabre Classification],"&gt;0")</f>
        <v>0</v>
      </c>
      <c r="FI16" s="6">
        <f>COUNTIFS(Table46[Country],Tabela1[[#This Row],[Country]],Table46[Men''s Sabre Classification],"&gt;0")</f>
        <v>0</v>
      </c>
      <c r="FJ16" s="6">
        <f>COUNTIFS(Table46[Country],Tabela1[[#This Row],[Country]],Table46[Women''s Sabre Classification],"&gt;0")</f>
        <v>0</v>
      </c>
      <c r="FK16" s="6">
        <f>COUNTIFS(Table91[Country],Tabela1[[#This Row],[Country]],Table91[Men''s Classification],"&gt;0")</f>
        <v>0</v>
      </c>
      <c r="FL16" s="6">
        <f>COUNTIFS(Table91[Country],Tabela1[[#This Row],[Country]],Table91[Women''s Classification],"&gt;0")</f>
        <v>1</v>
      </c>
      <c r="FM16" s="6">
        <f>COUNTIFS(Table9194[Country],Tabela1[[#This Row],[Country]],Table9194[Men''s Classification],"&gt;0")</f>
        <v>0</v>
      </c>
      <c r="FN16" s="6">
        <f>COUNTIFS(Table9194[Country],Tabela1[[#This Row],[Country]],Table9194[Women''s Classification],"&gt;0")</f>
        <v>1</v>
      </c>
      <c r="FO16" s="6">
        <f>COUNTIFS(Table71[Country],Tabela1[[#This Row],[Country]],Table71[Classification],"&gt;0")</f>
        <v>0</v>
      </c>
      <c r="FP16" s="6">
        <f>COUNTIFS(Table62[Country],Tabela1[[#This Row],[Country]],Table62[Classification],"&gt;0")</f>
        <v>0</v>
      </c>
      <c r="FQ16" s="6">
        <f>COUNTIFS(Table47[Country],Tabela1[[#This Row],[Country]],Table47[All-Around Classification],"&gt;0")</f>
        <v>0</v>
      </c>
      <c r="FR16" s="6">
        <f>COUNTIFS(Table48[Country],Tabela1[[#This Row],[Country]],Table48[All-Around Classification],"&gt;0")</f>
        <v>0</v>
      </c>
      <c r="FS16" s="6">
        <f>COUNTIFS(Table81[Country],Tabela1[[#This Row],[Country]],Table81[Men''s All-Around Classification],"&gt;0")</f>
        <v>0</v>
      </c>
      <c r="FT16" s="6">
        <f>COUNTIFS(Table81[Country],Tabela1[[#This Row],[Country]],Table81[Women''s All-Around Classification],"&gt;0")</f>
        <v>0</v>
      </c>
      <c r="FU16" s="6">
        <f>COUNTIFS(Table48[Country],Tabela1[[#This Row],[Country]],Table48[Balance Beam Classification],"&gt;0")</f>
        <v>1</v>
      </c>
      <c r="FV16" s="6">
        <f>COUNTIFS(Table47[Country],Tabela1[[#This Row],[Country]],Table47[Floor Exercise Classification],"&gt;0")</f>
        <v>0</v>
      </c>
      <c r="FW16" s="6">
        <f>COUNTIFS(Table48[Country],Tabela1[[#This Row],[Country]],Table48[Floor Exercise Classification],"&gt;0")</f>
        <v>1</v>
      </c>
      <c r="FX16" s="6">
        <f>COUNTIFS(Table47[Country],Tabela1[[#This Row],[Country]],Table47[Horizontal Bar Classification],"&gt;0")</f>
        <v>0</v>
      </c>
      <c r="FY16" s="6">
        <f>COUNTIFS(Table47[Country],Tabela1[[#This Row],[Country]],Table47[Parallel Bars Classification],"&gt;0")</f>
        <v>0</v>
      </c>
      <c r="FZ16" s="6">
        <f>COUNTIFS(Table47[Country],Tabela1[[#This Row],[Country]],Table47[Pommel Horse Classification],"&gt;0")</f>
        <v>0</v>
      </c>
      <c r="GA16" s="6">
        <f>COUNTIFS(Table47[Country],Tabela1[[#This Row],[Country]],Table47[Rings Classification],"&gt;0")</f>
        <v>0</v>
      </c>
      <c r="GB16" s="6">
        <f>COUNTIFS(Tabela132[Country],Tabela1[[#This Row],[Country]],Tabela132[Classification],"&gt;0")</f>
        <v>0</v>
      </c>
      <c r="GC16" s="6">
        <f>COUNTIFS(Tabela139[Country],Tabela1[[#This Row],[Country]],Tabela139[Classification],"&gt;0")</f>
        <v>0</v>
      </c>
      <c r="GD16" s="6">
        <f>COUNTIFS(Table48[Country],Tabela1[[#This Row],[Country]],Table48[Uneven Bars Classification],"&gt;0")</f>
        <v>0</v>
      </c>
      <c r="GE16" s="6">
        <f>COUNTIFS(Table47[Country],Tabela1[[#This Row],[Country]],Table47[Vault Classification],"&gt;0")</f>
        <v>0</v>
      </c>
      <c r="GF16" s="6">
        <f>COUNTIFS(Table48[Country],Tabela1[[#This Row],[Country]],Table48[Vault Classification],"&gt;0")</f>
        <v>0</v>
      </c>
      <c r="GG16" s="6">
        <f>COUNTIFS(Table919496[Country],Tabela1[[#This Row],[Country]],Table919496[Men''s Classification],"&gt;0")</f>
        <v>1</v>
      </c>
      <c r="GH16" s="6">
        <f>COUNTIFS(Table919496[Country],Tabela1[[#This Row],[Country]],Table919496[Women''s Classification],"&gt;0")</f>
        <v>0</v>
      </c>
      <c r="GI16" s="6">
        <f>COUNTIFS(Table12[Country],Tabela1[[#This Row],[Country]],Table12[60kg Classification],"&gt;0")</f>
        <v>0</v>
      </c>
      <c r="GJ16" s="6">
        <f>COUNTIFS(Table12[Country],Tabela1[[#This Row],[Country]],Table12[66kg Classification],"&gt;0")</f>
        <v>0</v>
      </c>
      <c r="GK16" s="6">
        <f>COUNTIFS(Table12[Country],Tabela1[[#This Row],[Country]],Table12[73kg Classification],"&gt;0")</f>
        <v>0</v>
      </c>
      <c r="GL16" s="6">
        <f>COUNTIFS(Table12[Country],Tabela1[[#This Row],[Country]],Table12[81kg Classification],"&gt;0")</f>
        <v>0</v>
      </c>
      <c r="GM16" s="6">
        <f>COUNTIFS(Table12[Country],Tabela1[[#This Row],[Country]],Table12[90kg Classification],"&gt;0")</f>
        <v>0</v>
      </c>
      <c r="GN16" s="6">
        <f>COUNTIFS(Table12[Country],Tabela1[[#This Row],[Country]],Table12[100kg Classification],"&gt;0")</f>
        <v>0</v>
      </c>
      <c r="GO16" s="6">
        <f>COUNTIFS(Table12[Country],Tabela1[[#This Row],[Country]],Table12[Plus 100kg Classification],"&gt;0")</f>
        <v>0</v>
      </c>
      <c r="GP16" s="6">
        <f>COUNTIFS(Table13[Country],Tabela1[[#This Row],[Country]],Table13[48kg Classification],"&gt;0")</f>
        <v>0</v>
      </c>
      <c r="GQ16" s="6">
        <f>COUNTIFS(Table13[Country],Tabela1[[#This Row],[Country]],Table13[52kg Classification],"&gt;0")</f>
        <v>0</v>
      </c>
      <c r="GR16" s="6">
        <f>COUNTIFS(Table13[Country],Tabela1[[#This Row],[Country]],Table13[57kg Classification],"&gt;0")</f>
        <v>0</v>
      </c>
      <c r="GS16" s="6">
        <f>COUNTIFS(Table13[Country],Tabela1[[#This Row],[Country]],Table13[63kg Classification],"&gt;0")</f>
        <v>0</v>
      </c>
      <c r="GT16" s="6">
        <f>COUNTIFS(Table13[Country],Tabela1[[#This Row],[Country]],Table13[70kg Classification],"&gt;0")</f>
        <v>0</v>
      </c>
      <c r="GU16" s="6">
        <f>COUNTIFS(Table13[Country],Tabela1[[#This Row],[Country]],Table13[78kg Classification],"&gt;0")</f>
        <v>0</v>
      </c>
      <c r="GV16" s="6">
        <f>COUNTIFS(Table13[Country],Tabela1[[#This Row],[Country]],Table13[Plus 78kg Classification],"&gt;0")</f>
        <v>0</v>
      </c>
      <c r="GW16" s="6">
        <f>COUNTIFS(Table82[Country],Tabela1[[#This Row],[Country]],Table82[Mixed Classification],"&gt;0")</f>
        <v>0</v>
      </c>
      <c r="GX16" s="6">
        <f>COUNTIFS(Table51[Country],Tabela1[[#This Row],[Country]],Table51[Classification],"&gt;0")</f>
        <v>1</v>
      </c>
      <c r="GY16" s="6">
        <f>COUNTIFS(Table52[Country],Tabela1[[#This Row],[Country]],Table52[Classification],"&gt;0")</f>
        <v>0</v>
      </c>
      <c r="GZ16" s="6">
        <f>COUNTIFS(Table32[Country],Tabela1[[#This Row],[Country]],Table32[All-Around Classification],"&gt;0")</f>
        <v>1</v>
      </c>
      <c r="HA16" s="6">
        <f>COUNTIFS(Table49[Country],Tabela1[[#This Row],[Country]],Table49[All-Around Classification],"&gt;0")</f>
        <v>1</v>
      </c>
      <c r="HB16" s="6">
        <f>COUNTIFS(Table26[Country],Tabela1[[#This Row],[Country]],Table26[Single Sculls Classification],"&gt;0")</f>
        <v>0</v>
      </c>
      <c r="HC16" s="6">
        <f>COUNTIFS(Table63[Country],Tabela1[[#This Row],[Country]],Table63[Single Sculls Classification],"&gt;0")</f>
        <v>0</v>
      </c>
      <c r="HD16" s="6">
        <f>COUNTIFS(Table16[Country],Tabela1[[#This Row],[Country]],Table16[Men''s Double Sculls Classification],"&gt;0")</f>
        <v>0</v>
      </c>
      <c r="HE16" s="6">
        <f>COUNTIFS(Table16[Country],Tabela1[[#This Row],[Country]],Table16[Women''s Double Sculls Classification],"&gt;0")</f>
        <v>0</v>
      </c>
      <c r="HF16" s="6">
        <f>COUNTIFS(Table72[Country],Tabela1[[#This Row],[Country]],Table72[Men''s Quadruple Sculls Classification],"&gt;0")</f>
        <v>0</v>
      </c>
      <c r="HG16" s="6">
        <f>COUNTIFS(Table72[Country],Tabela1[[#This Row],[Country]],Table72[Women''s Quadruple Sculls Classification],"&gt;0")</f>
        <v>0</v>
      </c>
      <c r="HH16" s="6">
        <f>COUNTIFS(Table16[Country],Tabela1[[#This Row],[Country]],Table16[Men''s Coxless Pairs Classification],"&gt;0")</f>
        <v>1</v>
      </c>
      <c r="HI16" s="6">
        <f>COUNTIFS(Table16[Country],Tabela1[[#This Row],[Country]],Table16[Women''s Coxless Pairs Classification],"&gt;0")</f>
        <v>0</v>
      </c>
      <c r="HJ16" s="6">
        <f>COUNTIFS(Table72[Country],Tabela1[[#This Row],[Country]],Table72[Men''s Coxless Fours Classification],"&gt;0")</f>
        <v>0</v>
      </c>
      <c r="HK16" s="6">
        <f>COUNTIFS(Table72[Country],Tabela1[[#This Row],[Country]],Table72[Women''s Coxless Fours Classification],"&gt;0")</f>
        <v>0</v>
      </c>
      <c r="HL16" s="6">
        <f>COUNTIFS(Table72[Country],Tabela1[[#This Row],[Country]],Table72[Men''s Eights Classification],"&gt;0")</f>
        <v>1</v>
      </c>
      <c r="HM16" s="6">
        <f>COUNTIFS(Table72[Country],Tabela1[[#This Row],[Country]],Table72[Women''s Eights Classification],"&gt;0")</f>
        <v>0</v>
      </c>
      <c r="HN16" s="6">
        <f>COUNTIFS(Table16[Country],Tabela1[[#This Row],[Country]],Table16[Men''s Lwt. Double Sculls Classification],"&gt;0")</f>
        <v>0</v>
      </c>
      <c r="HO16" s="6">
        <f>COUNTIFS(Table16[Country],Tabela1[[#This Row],[Country]],Table16[Women''s Lwt. Double Sculls Classification],"&gt;0")</f>
        <v>0</v>
      </c>
      <c r="HP16" s="6">
        <f>COUNTIFS(Table91949698[Country],Tabela1[[#This Row],[Country]],Table91949698[Men''s Classification],"&gt;0")</f>
        <v>0</v>
      </c>
      <c r="HQ16" s="6">
        <f>COUNTIFS(Table91949698[Country],Tabela1[[#This Row],[Country]],Table91949698[Women''s Classification],"&gt;0")</f>
        <v>0</v>
      </c>
      <c r="HR16" s="6">
        <f>COUNTIFS(Table25[Country],Tabela1[[#This Row],[Country]],Table25[Mixed 470 Classification],"&gt;0")</f>
        <v>0</v>
      </c>
      <c r="HS16" s="6">
        <f>COUNTIFS(Table25[Country],Tabela1[[#This Row],[Country]],Table25[Men''s 49er Classification],"&gt;0")</f>
        <v>0</v>
      </c>
      <c r="HT16" s="6">
        <f>COUNTIFS(Table25[Country],Tabela1[[#This Row],[Country]],Table25[Women''s 49er FX Classification],"&gt;0")</f>
        <v>0</v>
      </c>
      <c r="HU16" s="6">
        <f>COUNTIFS(Table17[Country],Tabela1[[#This Row],[Country]],Table17[Formula Kite Classification],"&gt;0")</f>
        <v>0</v>
      </c>
      <c r="HV16" s="6">
        <f>COUNTIFS(Table18[Country],Tabela1[[#This Row],[Country]],Table18[Formula Kite Classification],"&gt;0")</f>
        <v>0</v>
      </c>
      <c r="HW16" s="6">
        <f>COUNTIFS(Table17[Country],Tabela1[[#This Row],[Country]],Table17[ILCA 7 Classification],"&gt;0")</f>
        <v>0</v>
      </c>
      <c r="HX16" s="6">
        <f>COUNTIFS(Table18[Country],Tabela1[[#This Row],[Country]],Table18[ILCA 6 Classification],"&gt;0")</f>
        <v>0</v>
      </c>
      <c r="HY16" s="6">
        <f>COUNTIFS(Table17[Country],Tabela1[[#This Row],[Country]],Table17[IQFoil Classification],"&gt;0")</f>
        <v>0</v>
      </c>
      <c r="HZ16" s="6">
        <f>COUNTIFS(Table18[Country],Tabela1[[#This Row],[Country]],Table18[IQFoil Classification],"&gt;0")</f>
        <v>0</v>
      </c>
      <c r="IA16" s="6">
        <f>COUNTIFS(Table25[Country],Tabela1[[#This Row],[Country]],Table25[Mixed Nacra 17 Classification],"&gt;0")</f>
        <v>1</v>
      </c>
      <c r="IB16" s="6">
        <f>COUNTIFS(Table53[Country],Tabela1[[#This Row],[Country]],Table53[10m Air Pistol Classification],"&gt;0")</f>
        <v>1</v>
      </c>
      <c r="IC16" s="6">
        <f>COUNTIFS(Table19[Country],Tabela1[[#This Row],[Country]],Table19[10m Air Pistol Classification],"&gt;0")</f>
        <v>0</v>
      </c>
      <c r="ID16" s="6">
        <f>COUNTIFS(Table54[Country],Tabela1[[#This Row],[Country]],Table54[Mixed 10m Air Pistol Team Classification],"&gt;0")</f>
        <v>1</v>
      </c>
      <c r="IE16" s="6">
        <f>COUNTIFS(Table53[Country],Tabela1[[#This Row],[Country]],Table53[10m Air Rifle Classification],"&gt;0")</f>
        <v>0</v>
      </c>
      <c r="IF16" s="6">
        <f>COUNTIFS(Table19[Country],Tabela1[[#This Row],[Country]],Table19[10m Air Rifle Classification],"&gt;0")</f>
        <v>0</v>
      </c>
      <c r="IG16" s="6">
        <f>COUNTIFS(Table54[Country],Tabela1[[#This Row],[Country]],Table54[Mixed 10m Air Rifle Team Classification],"&gt;0")</f>
        <v>0</v>
      </c>
      <c r="IH16" s="6">
        <f>COUNTIFS(Table53[Country],Tabela1[[#This Row],[Country]],Table53[25m Rapid Fire Pistol Classification],"&gt;0")</f>
        <v>1</v>
      </c>
      <c r="II16" s="6">
        <f>COUNTIFS(Table19[Country],Tabela1[[#This Row],[Country]],Table19[25m Pistol Classification],"&gt;0")</f>
        <v>0</v>
      </c>
      <c r="IJ16" s="6">
        <f>COUNTIFS(Table53[Country],Tabela1[[#This Row],[Country]],Table53[50m Rifle 3 Positions Classification],"&gt;0")</f>
        <v>0</v>
      </c>
      <c r="IK16" s="6">
        <f>COUNTIFS(Table19[Country],Tabela1[[#This Row],[Country]],Table19[50m Rifle 3 Positions Classification],"&gt;0")</f>
        <v>0</v>
      </c>
      <c r="IL16" s="6">
        <f>COUNTIFS(Table53[Country],Tabela1[[#This Row],[Country]],Table53[Skeet Classification],"&gt;0")</f>
        <v>0</v>
      </c>
      <c r="IM16" s="6">
        <f>COUNTIFS(Table19[Country],Tabela1[[#This Row],[Country]],Table19[Skeet Classification],"&gt;0")</f>
        <v>0</v>
      </c>
      <c r="IN16" s="6">
        <f>COUNTIFS(Table54[Country],Tabela1[[#This Row],[Country]],Table54[Mixed Skeet Team Classification],"&gt;0")</f>
        <v>0</v>
      </c>
      <c r="IO16" s="6">
        <f>COUNTIFS(Table53[Country],Tabela1[[#This Row],[Country]],Table53[Trap Classification],"&gt;0")</f>
        <v>0</v>
      </c>
      <c r="IP16" s="6">
        <f>COUNTIFS(Table19[Country],Tabela1[[#This Row],[Country]],Table19[Trap Classification],"&gt;0")</f>
        <v>1</v>
      </c>
      <c r="IQ16" s="6">
        <f>COUNTIFS(Table73[Country],Tabela1[[#This Row],[Country]],Table73[Park Classification],"&gt;0")</f>
        <v>0</v>
      </c>
      <c r="IR16" s="6">
        <f>COUNTIFS(Table74[Country],Tabela1[[#This Row],[Country]],Table74[Park Classification],"&gt;0")</f>
        <v>0</v>
      </c>
      <c r="IS16" s="6">
        <f>COUNTIFS(Table73[Country],Tabela1[[#This Row],[Country]],Table73[Street Classification],"&gt;0")</f>
        <v>0</v>
      </c>
      <c r="IT16" s="6">
        <f>COUNTIFS(Table74[Country],Tabela1[[#This Row],[Country]],Table74[Street Classification],"&gt;0")</f>
        <v>0</v>
      </c>
      <c r="IU16" s="6">
        <f>COUNTIFS(Table75[Country],Tabela1[[#This Row],[Country]],Table75[Boulder and Lead Classification],"&gt;0")</f>
        <v>0</v>
      </c>
      <c r="IV16" s="6">
        <f>COUNTIFS(Table76[Country],Tabela1[[#This Row],[Country]],Table76[Boulder and Lead Classification],"&gt;0")</f>
        <v>1</v>
      </c>
      <c r="IW16" s="6">
        <f>COUNTIFS(Table75[Country],Tabela1[[#This Row],[Country]],Table75[Speed Classification],"&gt;0")</f>
        <v>0</v>
      </c>
      <c r="IX16" s="6">
        <f>COUNTIFS(Table76[Country],Tabela1[[#This Row],[Country]],Table76[Speed Classification],"&gt;0")</f>
        <v>0</v>
      </c>
      <c r="IY16" s="6">
        <f>COUNTIFS(Table64[Country],Tabela1[[#This Row],[Country]],Table64[Shortboard Classification],"&gt;0")</f>
        <v>1</v>
      </c>
      <c r="IZ16" s="6">
        <f>COUNTIFS(Table77[Country],Tabela1[[#This Row],[Country]],Table77[Shortboard Classification],"&gt;0")</f>
        <v>0</v>
      </c>
      <c r="JA16" s="6">
        <f>COUNTIFS(Table20[Country],Tabela1[[#This Row],[Country]],Table20[50m Freestyle Classification],"&gt;0")</f>
        <v>1</v>
      </c>
      <c r="JB16" s="6">
        <f>COUNTIFS(Table21[Country],Tabela1[[#This Row],[Country]],Table21[50m Freestyle Classification],"&gt;0")</f>
        <v>0</v>
      </c>
      <c r="JC16" s="6">
        <f>COUNTIFS(Table20[Country],Tabela1[[#This Row],[Country]],Table20[100m Freestyle Classification],"&gt;0")</f>
        <v>0</v>
      </c>
      <c r="JD16" s="6">
        <f>COUNTIFS(Table21[Country],Tabela1[[#This Row],[Country]],Table21[100m Freestyle Classification],"&gt;0")</f>
        <v>0</v>
      </c>
      <c r="JE16" s="6">
        <f>COUNTIFS(Table20[Country],Tabela1[[#This Row],[Country]],Table20[200m Freestyle Classification],"&gt;0")</f>
        <v>0</v>
      </c>
      <c r="JF16" s="6">
        <f>COUNTIFS(Table21[Country],Tabela1[[#This Row],[Country]],Table21[200m Freestyle Classification],"&gt;0")</f>
        <v>0</v>
      </c>
      <c r="JG16" s="6">
        <f>COUNTIFS(Table20[Country],Tabela1[[#This Row],[Country]],Table20[400m Freestyle Classification],"&gt;0")</f>
        <v>0</v>
      </c>
      <c r="JH16" s="6">
        <f>COUNTIFS(Table21[Country],Tabela1[[#This Row],[Country]],Table21[400m Freestyle Classification],"&gt;0")</f>
        <v>0</v>
      </c>
      <c r="JI16" s="6">
        <f>COUNTIFS(Table20[Country],Tabela1[[#This Row],[Country]],Table20[800m Freestyle Classification],"&gt;0")</f>
        <v>1</v>
      </c>
      <c r="JJ16" s="6">
        <f>COUNTIFS(Table21[Country],Tabela1[[#This Row],[Country]],Table21[800m Freestyle Classification],"&gt;0")</f>
        <v>0</v>
      </c>
      <c r="JK16" s="6">
        <f>COUNTIFS(Table20[Country],Tabela1[[#This Row],[Country]],Table20[1500m Freestyle Classification],"&gt;0")</f>
        <v>1</v>
      </c>
      <c r="JL16" s="6">
        <f>COUNTIFS(Table21[Country],Tabela1[[#This Row],[Country]],Table21[1500m Freestyle Classification],"&gt;0")</f>
        <v>0</v>
      </c>
      <c r="JM16" s="6">
        <f>COUNTIFS(Table20[Country],Tabela1[[#This Row],[Country]],Table20[100m Backstroke Classification],"&gt;0")</f>
        <v>0</v>
      </c>
      <c r="JN16" s="6">
        <f>COUNTIFS(Table21[Country],Tabela1[[#This Row],[Country]],Table21[100m Backstroke Classification],"&gt;0")</f>
        <v>0</v>
      </c>
      <c r="JO16" s="6">
        <f>COUNTIFS(Table20[Country],Tabela1[[#This Row],[Country]],Table20[200m Backstroke Classification],"&gt;0")</f>
        <v>0</v>
      </c>
      <c r="JP16" s="6">
        <f>COUNTIFS(Table21[Country],Tabela1[[#This Row],[Country]],Table21[200m Backstroke Classification],"&gt;0")</f>
        <v>0</v>
      </c>
      <c r="JQ16" s="6">
        <f>COUNTIFS(Table20[Country],Tabela1[[#This Row],[Country]],Table20[100m Breaststroke Classification],"&gt;0")</f>
        <v>0</v>
      </c>
      <c r="JR16" s="6">
        <f>COUNTIFS(Table21[Country],Tabela1[[#This Row],[Country]],Table21[100m Breaststroke Classification],"&gt;0")</f>
        <v>0</v>
      </c>
      <c r="JS16" s="6">
        <f>COUNTIFS(Table20[Country],Tabela1[[#This Row],[Country]],Table20[200m Breaststroke Classification],"&gt;0")</f>
        <v>0</v>
      </c>
      <c r="JT16" s="6">
        <f>COUNTIFS(Table21[Country],Tabela1[[#This Row],[Country]],Table21[200m Breaststroke Classification],"&gt;0")</f>
        <v>0</v>
      </c>
      <c r="JU16" s="6">
        <f>COUNTIFS(Table20[Country],Tabela1[[#This Row],[Country]],Table20[100m Butterfly Classification],"&gt;0")</f>
        <v>1</v>
      </c>
      <c r="JV16" s="6">
        <f>COUNTIFS(Table21[Country],Tabela1[[#This Row],[Country]],Table21[100m Butterfly Classification],"&gt;0")</f>
        <v>1</v>
      </c>
      <c r="JW16" s="6">
        <f>COUNTIFS(Table20[Country],Tabela1[[#This Row],[Country]],Table20[200m Butterfly Classification],"&gt;0")</f>
        <v>0</v>
      </c>
      <c r="JX16" s="6">
        <f>COUNTIFS(Table21[Country],Tabela1[[#This Row],[Country]],Table21[200m Butterfly Classification],"&gt;0")</f>
        <v>0</v>
      </c>
      <c r="JY16" s="6">
        <f>COUNTIFS(Table20[Country],Tabela1[[#This Row],[Country]],Table20[200m Medley Classification],"&gt;0")</f>
        <v>0</v>
      </c>
      <c r="JZ16" s="6">
        <f>COUNTIFS(Table21[Country],Tabela1[[#This Row],[Country]],Table21[200m Medley Classification],"&gt;0")</f>
        <v>0</v>
      </c>
      <c r="KA16" s="6">
        <f>COUNTIFS(Table20[Country],Tabela1[[#This Row],[Country]],Table20[400m Medley Classification],"&gt;0")</f>
        <v>0</v>
      </c>
      <c r="KB16" s="6">
        <f>COUNTIFS(Table21[Country],Tabela1[[#This Row],[Country]],Table21[400m Medley Classification],"&gt;0")</f>
        <v>0</v>
      </c>
      <c r="KC16" s="6">
        <f>COUNTIFS(Table78[Country],Tabela1[[#This Row],[Country]],Table78[Men''s 4x100m Freestyle Relay Classification],"&gt;0")</f>
        <v>0</v>
      </c>
      <c r="KD16" s="6">
        <f>COUNTIFS(Table78[Country],Tabela1[[#This Row],[Country]],Table78[Women''s 4x100m Freestyle Relay Classification],"&gt;0")</f>
        <v>0</v>
      </c>
      <c r="KE16" s="6">
        <f>COUNTIFS(Table78[Country],Tabela1[[#This Row],[Country]],Table78[Men''s 4x200m Freestyle Relay Classification],"&gt;0")</f>
        <v>0</v>
      </c>
      <c r="KF16" s="6">
        <f>COUNTIFS(Table78[Country],Tabela1[[#This Row],[Country]],Table78[Women''s 4x200m Freestyle Relay Classification],"&gt;0")</f>
        <v>0</v>
      </c>
      <c r="KG16" s="6">
        <f>COUNTIFS(Table78[Country],Tabela1[[#This Row],[Country]],Table78[Men''s 4x100m Medley Relay Classification],"&gt;0")</f>
        <v>0</v>
      </c>
      <c r="KH16" s="6">
        <f>COUNTIFS(Table78[Country],Tabela1[[#This Row],[Country]],Table78[Women''s 4x100m Medley Relay Classification],"&gt;0")</f>
        <v>1</v>
      </c>
      <c r="KI16" s="6">
        <f>COUNTIFS(Table78[Country],Tabela1[[#This Row],[Country]],Table78[Mixed 4x100m Medley Relay Classification],"&gt;0")</f>
        <v>1</v>
      </c>
      <c r="KJ16" s="6">
        <f>COUNTIFS(Table20[Country],Tabela1[[#This Row],[Country]],Table20[10km Open Water Classification],"&gt;0")</f>
        <v>1</v>
      </c>
      <c r="KK16" s="6">
        <f>COUNTIFS(Table21[Country],Tabela1[[#This Row],[Country]],Table21[10km Open Water Classification],"&gt;0")</f>
        <v>0</v>
      </c>
      <c r="KL16" s="6">
        <f>COUNTIFS(Table22[Country],Tabela1[[#This Row],[Country]],Table22[Classification],"&gt;0")</f>
        <v>0</v>
      </c>
      <c r="KM16" s="6">
        <f>COUNTIFS(Table30[Country],Tabela1[[#This Row],[Country]],Table30[Classification],"&gt;0")</f>
        <v>1</v>
      </c>
      <c r="KN16" s="6">
        <f>COUNTIFS(Table55[Country],Tabela1[[#This Row],[Country]],Table55[Men''s Classification],"&gt;0")</f>
        <v>0</v>
      </c>
      <c r="KO16" s="6">
        <f>COUNTIFS(Table55[Country],Tabela1[[#This Row],[Country]],Table55[Women''s Classification],"&gt;0")</f>
        <v>1</v>
      </c>
      <c r="KP16" s="6">
        <f>COUNTIFS(Table56[Country],Tabela1[[#This Row],[Country]],Table56[Mixed Classification],"&gt;0")</f>
        <v>0</v>
      </c>
      <c r="KQ16" s="6">
        <f>COUNTIFS(Table29[Country],Tabela1[[#This Row],[Country]],Table29[58kg Classification],"&gt;0")</f>
        <v>0</v>
      </c>
      <c r="KR16" s="6">
        <f>COUNTIFS(Table29[Country],Tabela1[[#This Row],[Country]],Table29[68kg Classification],"&gt;0")</f>
        <v>0</v>
      </c>
      <c r="KS16" s="6">
        <f>COUNTIFS(Table29[Country],Tabela1[[#This Row],[Country]],Table29[80kg Classification],"&gt;0")</f>
        <v>0</v>
      </c>
      <c r="KT16" s="6">
        <f>COUNTIFS(Table29[Country],Tabela1[[#This Row],[Country]],Table29[Plus 80kg Classification],"&gt;0")</f>
        <v>0</v>
      </c>
      <c r="KU16" s="6">
        <f>COUNTIFS(Table34[Country],Tabela1[[#This Row],[Country]],Table34[49kg Classification],"&gt;0")</f>
        <v>0</v>
      </c>
      <c r="KV16" s="6">
        <f>COUNTIFS(Table34[Country],Tabela1[[#This Row],[Country]],Table34[57kg Classification],"&gt;0")</f>
        <v>0</v>
      </c>
      <c r="KW16" s="6">
        <f>COUNTIFS(Table34[Country],Tabela1[[#This Row],[Country]],Table34[67kg Classification],"&gt;0")</f>
        <v>0</v>
      </c>
      <c r="KX16" s="6">
        <f>COUNTIFS(Table34[Country],Tabela1[[#This Row],[Country]],Table34[Plus 67kg Classification],"&gt;0")</f>
        <v>0</v>
      </c>
      <c r="KY16" s="6">
        <f>COUNTIFS(Table57[Country],Tabela1[[#This Row],[Country]],Table57[Classification],"&gt;0")</f>
        <v>0</v>
      </c>
      <c r="KZ16" s="6">
        <f>COUNTIFS(Table58[Country],Tabela1[[#This Row],[Country]],Table58[Classification],"&gt;0")</f>
        <v>1</v>
      </c>
      <c r="LA16" s="6">
        <f>COUNTIFS(Table79[Country],Tabela1[[#This Row],[Country]],Table79[Men''s Classification],"&gt;0")</f>
        <v>0</v>
      </c>
      <c r="LB16" s="6">
        <f>COUNTIFS(Table79[Country],Tabela1[[#This Row],[Country]],Table79[Women''s Classification],"&gt;0")</f>
        <v>1</v>
      </c>
      <c r="LC16" s="6">
        <f>COUNTIFS(Table79[Country],Tabela1[[#This Row],[Country]],Table79[Mixed Classification],"&gt;0")</f>
        <v>0</v>
      </c>
      <c r="LD16" s="6">
        <f>COUNTIFS(Table65[Country],Tabela1[[#This Row],[Country]],Table65[Classification],"&gt;0")</f>
        <v>1</v>
      </c>
      <c r="LE16" s="6">
        <f>COUNTIFS(Table59[Country],Tabela1[[#This Row],[Country]],Table59[Classification],"&gt;0")</f>
        <v>0</v>
      </c>
      <c r="LF16" s="6">
        <f>COUNTIFS(Table87[Country],Tabela1[[#This Row],[Country]],Table87[Mixed Relay Classification],"&gt;0")</f>
        <v>1</v>
      </c>
      <c r="LG16" s="6">
        <f>COUNTIFS(Table91949698100[Country],Tabela1[[#This Row],[Country]],Table91949698100[Men''s Classification],"&gt;0")</f>
        <v>1</v>
      </c>
      <c r="LH16" s="6">
        <f>COUNTIFS(Table91949698100[Country],Tabela1[[#This Row],[Country]],Table91949698100[Women''s Classification],"&gt;0")</f>
        <v>0</v>
      </c>
      <c r="LI16" s="6">
        <f>COUNTIFS(Table91949698100102[Country],Tabela1[[#This Row],[Country]],Table91949698100102[Men''s Classification],"&gt;0")</f>
        <v>0</v>
      </c>
      <c r="LJ16" s="6">
        <f>COUNTIFS(Table91949698100102[Country],Tabela1[[#This Row],[Country]],Table91949698100102[Women''s Classification],"&gt;0")</f>
        <v>0</v>
      </c>
      <c r="LK16" s="6">
        <f>COUNTIFS(Table23[Country],Tabela1[[#This Row],[Country]],Table23[61kg Classification],"&gt;0")</f>
        <v>0</v>
      </c>
      <c r="LL16" s="6">
        <f>COUNTIFS(Table23[Country],Tabela1[[#This Row],[Country]],Table23[73kg Classification],"&gt;0")</f>
        <v>0</v>
      </c>
      <c r="LM16" s="6">
        <f>COUNTIFS(Table23[Country],Tabela1[[#This Row],[Country]],Table23[89kg Classification],"&gt;0")</f>
        <v>0</v>
      </c>
      <c r="LN16" s="6">
        <f>COUNTIFS(Table23[Country],Tabela1[[#This Row],[Country]],Table23[102kg Classification],"&gt;0")</f>
        <v>0</v>
      </c>
      <c r="LO16" s="6">
        <f>COUNTIFS(Table23[Country],Tabela1[[#This Row],[Country]],Table23[Plus 102kg Classification],"&gt;0")</f>
        <v>0</v>
      </c>
      <c r="LP16" s="6">
        <f>COUNTIFS(Table28[Country],Tabela1[[#This Row],[Country]],Table28[49kg Classification],"&gt;0")</f>
        <v>0</v>
      </c>
      <c r="LQ16" s="6">
        <f>COUNTIFS(Table28[Country],Tabela1[[#This Row],[Country]],Table28[59kg Classification],"&gt;0")</f>
        <v>0</v>
      </c>
      <c r="LR16" s="6">
        <f>COUNTIFS(Table28[Country],Tabela1[[#This Row],[Country]],Table28[71kg Classification],"&gt;0")</f>
        <v>0</v>
      </c>
      <c r="LS16" s="6">
        <f>COUNTIFS(Table28[Country],Tabela1[[#This Row],[Country]],Table28[81kg Classification],"&gt;0")</f>
        <v>0</v>
      </c>
      <c r="LT16" s="6">
        <f>COUNTIFS(Table28[Country],Tabela1[[#This Row],[Country]],Table28[Plus 81kg Classification],"&gt;0")</f>
        <v>0</v>
      </c>
      <c r="LU16" s="6">
        <f>COUNTIFS(Table24[Country],Tabela1[[#This Row],[Country]],Table24[Freestyle 57kg Classification],"&gt;0")</f>
        <v>0</v>
      </c>
      <c r="LV16" s="6">
        <f>COUNTIFS(Table24[Country],Tabela1[[#This Row],[Country]],Table24[Freestyle 65kg Classification],"&gt;0")</f>
        <v>0</v>
      </c>
      <c r="LW16" s="6">
        <f>COUNTIFS(Table24[Country],Tabela1[[#This Row],[Country]],Table24[Freestyle 74kg Classification],"&gt;0")</f>
        <v>0</v>
      </c>
      <c r="LX16" s="6">
        <f>COUNTIFS(Table24[Country],Tabela1[[#This Row],[Country]],Table24[Freestyle 86kg Classification],"&gt;0")</f>
        <v>0</v>
      </c>
      <c r="LY16" s="6">
        <f>COUNTIFS(Table24[Country],Tabela1[[#This Row],[Country]],Table24[Freestyle 97kg Classification],"&gt;0")</f>
        <v>1</v>
      </c>
      <c r="LZ16" s="6">
        <f>COUNTIFS(Table24[Country],Tabela1[[#This Row],[Country]],Table24[Freestyle 125kg Classification],"&gt;0")</f>
        <v>0</v>
      </c>
      <c r="MA16" s="6">
        <f>COUNTIFS(Table24[Country],Tabela1[[#This Row],[Country]],Table24[Greco-Roman 60kg Classification],"&gt;0")</f>
        <v>0</v>
      </c>
      <c r="MB16" s="6">
        <f>COUNTIFS(Table24[Country],Tabela1[[#This Row],[Country]],Table24[Greco-Roman 67kg Classification],"&gt;0")</f>
        <v>0</v>
      </c>
      <c r="MC16" s="6">
        <f>COUNTIFS(Table24[Country],Tabela1[[#This Row],[Country]],Table24[Greco-Roman 77kg Classification],"&gt;0")</f>
        <v>0</v>
      </c>
      <c r="MD16" s="6">
        <f>COUNTIFS(Table24[Country],Tabela1[[#This Row],[Country]],Table24[Greco-Roman 87kg Classification],"&gt;0")</f>
        <v>0</v>
      </c>
      <c r="ME16" s="6">
        <f>COUNTIFS(Table24[Country],Tabela1[[#This Row],[Country]],Table24[Greco-Roman 97kg Classification],"&gt;0")</f>
        <v>0</v>
      </c>
      <c r="MF16" s="6">
        <f>COUNTIFS(Table24[Country],Tabela1[[#This Row],[Country]],Table24[Greco-Roman 130kg Classification],"&gt;0")</f>
        <v>0</v>
      </c>
      <c r="MG16" s="6">
        <f>COUNTIFS(Table31[Country],Tabela1[[#This Row],[Country]],Table31[50kg Classification],"&gt;0")</f>
        <v>0</v>
      </c>
      <c r="MH16" s="6">
        <f>COUNTIFS(Table31[Country],Tabela1[[#This Row],[Country]],Table31[53kg Classification],"&gt;0")</f>
        <v>0</v>
      </c>
      <c r="MI16" s="6">
        <f>COUNTIFS(Table31[Country],Tabela1[[#This Row],[Country]],Table31[57kg Classification],"&gt;0")</f>
        <v>0</v>
      </c>
      <c r="MJ16" s="6">
        <f>COUNTIFS(Table31[Country],Tabela1[[#This Row],[Country]],Table31[62kg Classification],"&gt;0")</f>
        <v>0</v>
      </c>
      <c r="MK16" s="6">
        <f>COUNTIFS(Table31[Country],Tabela1[[#This Row],[Country]],Table31[68kg Classification],"&gt;0")</f>
        <v>0</v>
      </c>
      <c r="ML16" s="6">
        <f>COUNTIFS(Table31[Country],Tabela1[[#This Row],[Country]],Table31[76kg Classification],"&gt;0")</f>
        <v>0</v>
      </c>
      <c r="MM16" s="6">
        <f>COUNTIFS(Table102[Country],Tabela1[[#This Row],[Country]],Table102[Downhill Classification],"&gt;0")</f>
        <v>0</v>
      </c>
      <c r="MN16" s="6">
        <f>COUNTIFS(Table102105[Country],Tabela1[[#This Row],[Country]],Table102105[Downhill Classification],"&gt;0")</f>
        <v>0</v>
      </c>
      <c r="MO16" s="6">
        <f>COUNTIFS(Table102[Country],Tabela1[[#This Row],[Country]],Table102[Giant Slalom Classification],"&gt;0")</f>
        <v>0</v>
      </c>
      <c r="MP16" s="6">
        <f>COUNTIFS(Table102105[Country],Tabela1[[#This Row],[Country]],Table102105[Giant Slalom Classification],"&gt;0")</f>
        <v>0</v>
      </c>
      <c r="MQ16" s="6">
        <f>COUNTIFS(Table102[Country],Tabela1[[#This Row],[Country]],Table102[Slalom Classification],"&gt;0")</f>
        <v>0</v>
      </c>
      <c r="MR16" s="6">
        <f>COUNTIFS(Table102105[Country],Tabela1[[#This Row],[Country]],Table102105[Slalom Classification],"&gt;0")</f>
        <v>0</v>
      </c>
      <c r="MS16" s="6">
        <f>COUNTIFS(Table102[Country],Tabela1[[#This Row],[Country]],Table102[Super-G Classification],"&gt;0")</f>
        <v>0</v>
      </c>
      <c r="MT16" s="6">
        <f>COUNTIFS(Table102105[Country],Tabela1[[#This Row],[Country]],Table102105[Super-G Classification],"&gt;0")</f>
        <v>0</v>
      </c>
      <c r="MU16" s="6">
        <f>COUNTIFS(Table105[Country],Tabela1[[#This Row],[Country]],Table105[Men''s Combined Classification],"&gt;0")</f>
        <v>0</v>
      </c>
      <c r="MV16" s="6">
        <f>COUNTIFS(Table105[Country],Tabela1[[#This Row],[Country]],Table105[Women''s Combined Classification],"&gt;0")</f>
        <v>0</v>
      </c>
      <c r="MW16" s="6">
        <f>COUNTIFS(Table106[Country],Tabela1[[#This Row],[Country]],Table106[Individual Classification],"&gt;0")</f>
        <v>0</v>
      </c>
      <c r="MX16" s="6">
        <f>COUNTIFS(Table106109[Country],Tabela1[[#This Row],[Country]],Table106109[Individual Classification],"&gt;0")</f>
        <v>0</v>
      </c>
      <c r="MY16" s="6">
        <f>COUNTIFS(Table106[Country],Tabela1[[#This Row],[Country]],Table106[Mass Start Classification],"&gt;0")</f>
        <v>0</v>
      </c>
      <c r="MZ16" s="6">
        <f>COUNTIFS(Table106109[Country],Tabela1[[#This Row],[Country]],Table106109[Mass Start Classification],"&gt;0")</f>
        <v>0</v>
      </c>
      <c r="NA16" s="6">
        <f>COUNTIFS(Table106[Country],Tabela1[[#This Row],[Country]],Table106[Pursuit Classification],"&gt;0")</f>
        <v>1</v>
      </c>
      <c r="NB16" s="6">
        <f>COUNTIFS(Table106109[Country],Tabela1[[#This Row],[Country]],Table106109[Pursuit Classification],"&gt;0")</f>
        <v>0</v>
      </c>
      <c r="NC16" s="6">
        <f>COUNTIFS(Table106[Country],Tabela1[[#This Row],[Country]],Table106[Sprint Classification],"&gt;0")</f>
        <v>1</v>
      </c>
      <c r="ND16" s="6">
        <f>COUNTIFS(Table106109[Country],Tabela1[[#This Row],[Country]],Table106109[Sprint Classification],"&gt;0")</f>
        <v>0</v>
      </c>
      <c r="NE16" s="6">
        <f>COUNTIFS(Table109[Country],Tabela1[[#This Row],[Country]],Table109[Men''s Relay Classification],"&gt;0")</f>
        <v>1</v>
      </c>
      <c r="NF16" s="6">
        <f>COUNTIFS(Table109[Country],Tabela1[[#This Row],[Country]],Table109[Women''s Relay Classification],"&gt;0")</f>
        <v>0</v>
      </c>
      <c r="NG16" s="6">
        <f>COUNTIFS(Table109[Country],Tabela1[[#This Row],[Country]],Table109[Mixed Relay Classification],"&gt;0")</f>
        <v>1</v>
      </c>
      <c r="NH16" s="6">
        <f>COUNTIFS(Table110[Country],Tabela1[[#This Row],[Country]],Table110[Monobob Classification],"&gt;0")</f>
        <v>0</v>
      </c>
      <c r="NI16" s="6">
        <f>COUNTIFS(Table111[Country],Tabela1[[#This Row],[Country]],Table111[Men''s Classification],"&gt;0")</f>
        <v>1</v>
      </c>
      <c r="NJ16" s="6">
        <f>COUNTIFS(Table111[Country],Tabela1[[#This Row],[Country]],Table111[Women''s Classification],"&gt;0")</f>
        <v>0</v>
      </c>
      <c r="NK16" s="6">
        <f>COUNTIFS(Table112[Country],Tabela1[[#This Row],[Country]],Table112[Men''s Four Classification],"&gt;0")</f>
        <v>2</v>
      </c>
      <c r="NL16" s="6">
        <f>COUNTIFS(Table113[Country],Tabela1[[#This Row],[Country]],Table113[Classical Classification],"&gt;0")</f>
        <v>0</v>
      </c>
      <c r="NM16" s="6">
        <f>COUNTIFS(Table113116[Country],Tabela1[[#This Row],[Country]],Table113116[Classical Classification],"&gt;0")</f>
        <v>1</v>
      </c>
      <c r="NN16" s="6">
        <f>COUNTIFS(Table113[Country],Tabela1[[#This Row],[Country]],Table113[Freestyle Classification],"&gt;0")</f>
        <v>0</v>
      </c>
      <c r="NO16" s="6">
        <f>COUNTIFS(Table113116[Country],Tabela1[[#This Row],[Country]],Table113116[Freestyle Classification],"&gt;0")</f>
        <v>0</v>
      </c>
      <c r="NP16" s="6">
        <f>COUNTIFS(Table117[Country],Tabela1[[#This Row],[Country]],Table117[Men''s Relay Classification],"&gt;0")</f>
        <v>1</v>
      </c>
      <c r="NQ16" s="6">
        <f>COUNTIFS(Table117[Country],Tabela1[[#This Row],[Country]],Table117[Women''s Relay Classification],"&gt;0")</f>
        <v>1</v>
      </c>
      <c r="NR16" s="6">
        <f>COUNTIFS(Table113[Country],Tabela1[[#This Row],[Country]],Table113[Skiathlon Classification],"&gt;0")</f>
        <v>0</v>
      </c>
      <c r="NS16" s="6">
        <f>COUNTIFS(Table113116[Country],Tabela1[[#This Row],[Country]],Table113116[Skiathlon Classification],"&gt;0")</f>
        <v>1</v>
      </c>
      <c r="NT16" s="6">
        <f>COUNTIFS(Table113[Country],Tabela1[[#This Row],[Country]],Table113[Sprint Classification],"&gt;0")</f>
        <v>1</v>
      </c>
      <c r="NU16" s="6">
        <f>COUNTIFS(Table113116[Country],Tabela1[[#This Row],[Country]],Table113116[Sprint Classification],"&gt;0")</f>
        <v>0</v>
      </c>
      <c r="NV16" s="6">
        <f>COUNTIFS(Table116[Country],Tabela1[[#This Row],[Country]],Table116[Men''s Team Sprint Classification],"&gt;0")</f>
        <v>1</v>
      </c>
      <c r="NW16" s="6">
        <f>COUNTIFS(Table116[Country],Tabela1[[#This Row],[Country]],Table116[Women''s Team Sprint Classification],"&gt;0")</f>
        <v>0</v>
      </c>
      <c r="NX16" s="6">
        <f>COUNTIFS(Table119[Country],Tabela1[[#This Row],[Country]],Table119[Men''s Classification],"&gt;0")</f>
        <v>0</v>
      </c>
      <c r="NY16" s="6">
        <f>COUNTIFS(Table119[Country],Tabela1[[#This Row],[Country]],Table119[Women''s Classification],"&gt;0")</f>
        <v>0</v>
      </c>
      <c r="NZ16" s="6">
        <f>COUNTIFS(Table118[Country],Tabela1[[#This Row],[Country]],Table118[Mixed Classification],"&gt;0")</f>
        <v>0</v>
      </c>
      <c r="OA16" s="6">
        <f>COUNTIFS(Table120[Country],Tabela1[[#This Row],[Country]],Table120[Classification],"&gt;0")</f>
        <v>0</v>
      </c>
      <c r="OB16" s="6">
        <f>COUNTIFS(Table120123[Country],Tabela1[[#This Row],[Country]],Table120123[Classification],"&gt;0")</f>
        <v>0</v>
      </c>
      <c r="OC16" s="6">
        <f>COUNTIFS(Table123[Country],Tabela1[[#This Row],[Country]],Table123[Ice Dance Classification],"&gt;0")</f>
        <v>1</v>
      </c>
      <c r="OD16" s="6">
        <f>COUNTIFS(Table123[Country],Tabela1[[#This Row],[Country]],Table123[Pair Skating Classification],"&gt;0")</f>
        <v>0</v>
      </c>
      <c r="OE16" s="6">
        <f>COUNTIFS(Table124[Country],Tabela1[[#This Row],[Country]],Table124[Mixed Classification],"&gt;0")</f>
        <v>0</v>
      </c>
      <c r="OF16" s="6">
        <f>COUNTIFS(Table125[Country],Tabela1[[#This Row],[Country]],Table125[Aerials Classification],"&gt;0")</f>
        <v>0</v>
      </c>
      <c r="OG16" s="6">
        <f>COUNTIFS(Table125128[Country],Tabela1[[#This Row],[Country]],Table125128[Aerials Classification],"&gt;0")</f>
        <v>0</v>
      </c>
      <c r="OH16" s="6">
        <f>COUNTIFS(Table128[Country],Tabela1[[#This Row],[Country]],Table128[Mixed Aerials Classification],"&gt;0")</f>
        <v>0</v>
      </c>
      <c r="OI16" s="6">
        <f>COUNTIFS(Table125[Country],Tabela1[[#This Row],[Country]],Table125[Big Air Classification],"&gt;0")</f>
        <v>0</v>
      </c>
      <c r="OJ16" s="6">
        <f>COUNTIFS(Table125128[Country],Tabela1[[#This Row],[Country]],Table125128[Big Air Classification],"&gt;0")</f>
        <v>0</v>
      </c>
      <c r="OK16" s="6">
        <f>COUNTIFS(Table125[Country],Tabela1[[#This Row],[Country]],Table125[Dual Moguls Classification],"&gt;0")</f>
        <v>0</v>
      </c>
      <c r="OL16" s="6">
        <f>COUNTIFS(Table125128[Country],Tabela1[[#This Row],[Country]],Table125128[Dual Moguls Classification],"&gt;0")</f>
        <v>0</v>
      </c>
      <c r="OM16" s="6">
        <f>COUNTIFS(Table125[Country],Tabela1[[#This Row],[Country]],Table125[Halfpipe Classification],"&gt;0")</f>
        <v>0</v>
      </c>
      <c r="ON16" s="6">
        <f>COUNTIFS(Table125128[Country],Tabela1[[#This Row],[Country]],Table125128[Halfpipe Classification],"&gt;0")</f>
        <v>0</v>
      </c>
      <c r="OO16" s="6">
        <f>COUNTIFS(Table125[Country],Tabela1[[#This Row],[Country]],Table125[Moguls Classification],"&gt;0")</f>
        <v>0</v>
      </c>
      <c r="OP16" s="6">
        <f>COUNTIFS(Table125128[Country],Tabela1[[#This Row],[Country]],Table125128[Moguls Classification],"&gt;0")</f>
        <v>0</v>
      </c>
      <c r="OQ16" s="6">
        <f>COUNTIFS(Table125[Country],Tabela1[[#This Row],[Country]],Table125[Ski Cross Classification],"&gt;0")</f>
        <v>0</v>
      </c>
      <c r="OR16" s="6">
        <f>COUNTIFS(Table125128[Country],Tabela1[[#This Row],[Country]],Table125128[Ski Cross Classification],"&gt;0")</f>
        <v>0</v>
      </c>
      <c r="OS16" s="6">
        <f>COUNTIFS(Table125[Country],Tabela1[[#This Row],[Country]],Table125[Slopestyle Classification],"&gt;0")</f>
        <v>0</v>
      </c>
      <c r="OT16" s="6">
        <f>COUNTIFS(Table125128[Country],Tabela1[[#This Row],[Country]],Table125128[Slopestyle Classification],"&gt;0")</f>
        <v>0</v>
      </c>
      <c r="OU16" s="6">
        <f>COUNTIFS(Table119131[Country],Tabela1[[#This Row],[Country]],Table119131[Men''s Classification],"&gt;0")</f>
        <v>1</v>
      </c>
      <c r="OV16" s="6">
        <f>COUNTIFS(Table119131[Country],Tabela1[[#This Row],[Country]],Table119131[Women''s Classification],"&gt;0")</f>
        <v>1</v>
      </c>
      <c r="OW16" s="6">
        <f>COUNTIFS(Table131[Country],Tabela1[[#This Row],[Country]],Table131[Classification],"&gt;0")</f>
        <v>1</v>
      </c>
      <c r="OX16" s="6">
        <f>COUNTIFS(Table131134[Country],Tabela1[[#This Row],[Country]],Table131134[Classification],"&gt;0")</f>
        <v>1</v>
      </c>
      <c r="OY16" s="6">
        <f>COUNTIFS(Table134[Country],Tabela1[[#This Row],[Country]],Table134[Men''s Classification],"&gt;0")</f>
        <v>1</v>
      </c>
      <c r="OZ16" s="6">
        <f>COUNTIFS(Table134[Country],Tabela1[[#This Row],[Country]],Table134[Women''s Classification],"&gt;0")</f>
        <v>0</v>
      </c>
      <c r="PA16" s="6">
        <f>COUNTIFS(Table135[Country],Tabela1[[#This Row],[Country]],Table135[Mixed Relay Classification],"&gt;0")</f>
        <v>1</v>
      </c>
      <c r="PB16" s="6">
        <f>COUNTIFS(Table136[Country],Tabela1[[#This Row],[Country]],Table136[Individual Classification],"&gt;0")</f>
        <v>0</v>
      </c>
      <c r="PC16" s="6">
        <f>COUNTIFS(Table136[Country],Tabela1[[#This Row],[Country]],Table136[Sprint Classification],"&gt;0")</f>
        <v>0</v>
      </c>
      <c r="PD16" s="6">
        <f>COUNTIFS(Table137[Country],Tabela1[[#This Row],[Country]],Table137[Men''s Team Sprint Large Hill Classification],"&gt;0")</f>
        <v>0</v>
      </c>
      <c r="PE16" s="6">
        <f>COUNTIFS(Table138[Country],Tabela1[[#This Row],[Country]],Table138[500m Classification],"&gt;0")</f>
        <v>0</v>
      </c>
      <c r="PF16" s="6">
        <f>COUNTIFS(Table138141[Country],Tabela1[[#This Row],[Country]],Table138141[500m Classification],"&gt;0")</f>
        <v>0</v>
      </c>
      <c r="PG16" s="6">
        <f>COUNTIFS(Table138[Country],Tabela1[[#This Row],[Country]],Table138[1000m Classification],"&gt;0")</f>
        <v>0</v>
      </c>
      <c r="PH16" s="6">
        <f>COUNTIFS(Table138141[Country],Tabela1[[#This Row],[Country]],Table138141[1000m Classification],"&gt;0")</f>
        <v>0</v>
      </c>
      <c r="PI16" s="6">
        <f>COUNTIFS(Table138[Country],Tabela1[[#This Row],[Country]],Table138[1500m Classification],"&gt;0")</f>
        <v>0</v>
      </c>
      <c r="PJ16" s="6">
        <f>COUNTIFS(Table138141[Country],Tabela1[[#This Row],[Country]],Table138141[1500m Classification],"&gt;0")</f>
        <v>0</v>
      </c>
      <c r="PK16" s="6">
        <f>COUNTIFS(Table141[Country],Tabela1[[#This Row],[Country]],Table141[Men''s 5000m Relay Classification],"&gt;0")</f>
        <v>0</v>
      </c>
      <c r="PL16" s="6">
        <f>COUNTIFS(Table141[Country],Tabela1[[#This Row],[Country]],Table141[Women''s 3000m Relay Classification],"&gt;0")</f>
        <v>0</v>
      </c>
      <c r="PM16" s="6">
        <f>COUNTIFS(Table141[Country],Tabela1[[#This Row],[Country]],Table141[Mixed 2000m Relay Classification],"&gt;0")</f>
        <v>0</v>
      </c>
      <c r="PN16" s="6">
        <f>COUNTIFS(Table142[Country],Tabela1[[#This Row],[Country]],Table142[Classification],"&gt;0")</f>
        <v>1</v>
      </c>
      <c r="PO16" s="6">
        <f>COUNTIFS(Table142145[Country],Tabela1[[#This Row],[Country]],Table142145[Classification],"&gt;0")</f>
        <v>1</v>
      </c>
      <c r="PP16" s="6">
        <f>COUNTIFS(Tabela15[Country],Tabela1[[#This Row],[Country]],Tabela15[Mixed Team Classification],"&gt;0")</f>
        <v>1</v>
      </c>
      <c r="PQ16" s="6">
        <f>COUNTIFS(Table145[Country],Tabela1[[#This Row],[Country]],Table145[Large Hill Classification],"&gt;0")</f>
        <v>0</v>
      </c>
      <c r="PR16" s="6">
        <f>COUNTIFS(Table145[Country],Tabela1[[#This Row],[Country]],Table145[Normal Hill Classification],"&gt;0")</f>
        <v>0</v>
      </c>
      <c r="PS16" s="6">
        <f>COUNTIFS(Table145148[Country],Tabela1[[#This Row],[Country]],Table145148[Large Hill Classification],"&gt;0")</f>
        <v>1</v>
      </c>
      <c r="PT16" s="6">
        <f>COUNTIFS(Table145148[Country],Tabela1[[#This Row],[Country]],Table145148[Normal Hill Classification],"&gt;0")</f>
        <v>1</v>
      </c>
      <c r="PU16" s="6">
        <f>COUNTIFS(Table148[Country],Tabela1[[#This Row],[Country]],Table148[Men''s Super Team Classification],"&gt;0")</f>
        <v>0</v>
      </c>
      <c r="PV16" s="6">
        <f>COUNTIFS(Tabela114[Country],Tabela1[[#This Row],[Country]],Tabela114[Mixed Normal Hill Classification],"&gt;0")</f>
        <v>1</v>
      </c>
      <c r="PW16" s="6">
        <f>COUNTIFS(Tabela50[Country],Tabela1[[#This Row],[Country]],Tabela50[Sprint Classification],"&gt;0")</f>
        <v>0</v>
      </c>
      <c r="PX16" s="6">
        <f>COUNTIFS(Tabela50101[Country],Tabela1[[#This Row],[Country]],Tabela50101[Sprint Classification],"&gt;0")</f>
        <v>0</v>
      </c>
      <c r="PY16" s="6">
        <f>COUNTIFS(Tabela103[Country],Tabela1[[#This Row],[Country]],Tabela103[Mixed Relay Classification],"&gt;0")</f>
        <v>0</v>
      </c>
      <c r="PZ16" s="6">
        <f>COUNTIFS(Table149[Country],Tabela1[[#This Row],[Country]],Table149[Big Air Classification],"&gt;0")</f>
        <v>0</v>
      </c>
      <c r="QA16" s="6">
        <f>COUNTIFS(Table149152[Country],Tabela1[[#This Row],[Country]],Table149152[Big Air Classification],"&gt;0")</f>
        <v>0</v>
      </c>
      <c r="QB16" s="6">
        <f>COUNTIFS(Table149[Country],Tabela1[[#This Row],[Country]],Table149[Halfpipe Classification],"&gt;0")</f>
        <v>0</v>
      </c>
      <c r="QC16" s="6">
        <f>COUNTIFS(Table149152[Country],Tabela1[[#This Row],[Country]],Table149152[Halfpipe Classification],"&gt;0")</f>
        <v>0</v>
      </c>
      <c r="QD16" s="6">
        <f>COUNTIFS(Table149[Country],Tabela1[[#This Row],[Country]],Table149[Parallel Giant Slalom Classification],"&gt;0")</f>
        <v>0</v>
      </c>
      <c r="QE16" s="6">
        <f>COUNTIFS(Table149152[Country],Tabela1[[#This Row],[Country]],Table149152[Parallel Giant Slalom Classification],"&gt;0")</f>
        <v>0</v>
      </c>
      <c r="QF16" s="6">
        <f>COUNTIFS(Table149[Country],Tabela1[[#This Row],[Country]],Table149[Slopestyle Classification],"&gt;0")</f>
        <v>0</v>
      </c>
      <c r="QG16" s="6">
        <f>COUNTIFS(Table149152[Country],Tabela1[[#This Row],[Country]],Table149152[Slopestyle Classification],"&gt;0")</f>
        <v>0</v>
      </c>
      <c r="QH16" s="6">
        <f>COUNTIFS(Table149[Country],Tabela1[[#This Row],[Country]],Table149[Snowboard Cross Classification],"&gt;0")</f>
        <v>0</v>
      </c>
      <c r="QI16" s="6">
        <f>COUNTIFS(Table149152[Country],Tabela1[[#This Row],[Country]],Table149152[Snowboard Cross Classification],"&gt;0")</f>
        <v>0</v>
      </c>
      <c r="QJ16" s="6">
        <f>COUNTIFS(Table153[Country],Tabela1[[#This Row],[Country]],Table153[Mixed Team Snowboard Cross Classification],"&gt;0")</f>
        <v>0</v>
      </c>
      <c r="QK16" s="6">
        <f>COUNTIFS(Table154[Country],Tabela1[[#This Row],[Country]],Table154[500m Classification],"&gt;0")</f>
        <v>0</v>
      </c>
      <c r="QL16" s="6">
        <f>COUNTIFS(Table154157[Country],Tabela1[[#This Row],[Country]],Table154157[500m Classification],"&gt;0")</f>
        <v>0</v>
      </c>
      <c r="QM16" s="6">
        <f>COUNTIFS(Table154[Country],Tabela1[[#This Row],[Country]],Table154[1000m Classification],"&gt;0")</f>
        <v>0</v>
      </c>
      <c r="QN16" s="6">
        <f>COUNTIFS(Table154157[Country],Tabela1[[#This Row],[Country]],Table154157[1000m Classification],"&gt;0")</f>
        <v>0</v>
      </c>
      <c r="QO16" s="6">
        <f>COUNTIFS(Table154[Country],Tabela1[[#This Row],[Country]],Table154[1500m Classification],"&gt;0")</f>
        <v>0</v>
      </c>
      <c r="QP16" s="6">
        <f>COUNTIFS(Table154157[Country],Tabela1[[#This Row],[Country]],Table154157[1500m Classification],"&gt;0")</f>
        <v>0</v>
      </c>
      <c r="QQ16" s="6">
        <f>COUNTIFS(Table154157[Country],Tabela1[[#This Row],[Country]],Table154157[3000m Classification],"&gt;0")</f>
        <v>0</v>
      </c>
      <c r="QR16" s="6">
        <f>COUNTIFS(Table154[Country],Tabela1[[#This Row],[Country]],Table154[5000m Classification],"&gt;0")</f>
        <v>2</v>
      </c>
      <c r="QS16" s="6">
        <f>COUNTIFS(Table154157[Country],Tabela1[[#This Row],[Country]],Table154157[5000m Classification],"&gt;0")</f>
        <v>0</v>
      </c>
      <c r="QT16" s="6">
        <f>COUNTIFS(Table154[Country],Tabela1[[#This Row],[Country]],Table154[10000m Classification],"&gt;0")</f>
        <v>0</v>
      </c>
      <c r="QU16" s="6">
        <f>COUNTIFS(Table154[Country],Tabela1[[#This Row],[Country]],Table154[Mass Start Classification],"&gt;0")</f>
        <v>2</v>
      </c>
      <c r="QV16" s="6">
        <f>COUNTIFS(Table154157[Country],Tabela1[[#This Row],[Country]],Table154157[Mass Start Classification],"&gt;0")</f>
        <v>0</v>
      </c>
      <c r="QW16" s="6">
        <f>COUNTIFS(Table157[Country],Tabela1[[#This Row],[Country]],Table157[Men''s Pursuit Classification],"&gt;0")</f>
        <v>1</v>
      </c>
      <c r="QX16" s="6">
        <f>COUNTIFS(Table157[Country],Tabela1[[#This Row],[Country]],Table157[Women''s Pursuit Classification],"&gt;0")</f>
        <v>1</v>
      </c>
      <c r="QY16" s="3" t="s">
        <v>335</v>
      </c>
    </row>
    <row r="17" spans="1:467" x14ac:dyDescent="0.3">
      <c r="A17" s="6">
        <v>16</v>
      </c>
      <c r="B17" s="6" t="s">
        <v>412</v>
      </c>
      <c r="C17" t="e" vm="16">
        <f>IF(ISBLANK(Tabela1[[#This Row],[Image Link]]), "", _xlfn.IMAGE(Tabela1[[#This Row],[Image Link]],1,1))</f>
        <v>#VALUE!</v>
      </c>
      <c r="D17" s="6">
        <f>SUM(Tabela1[[#This Row],[Archery - Men''s Individual Recurve]:[Speed Skating - Women''s Team Pursuit]])</f>
        <v>88</v>
      </c>
      <c r="E17" s="6">
        <f>COUNTIF(Tabela1[[#This Row],[Archery - Men''s Individual Recurve]:[Speed Skating - Women''s Team Pursuit]],"&gt;0")</f>
        <v>73</v>
      </c>
      <c r="F17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7" s="6">
        <f>SUM(Tabela1[[#This Row],[Archery - Men''s Individual Recurve]:[Wrestling - Women''s Freestyle 76kg]])</f>
        <v>65</v>
      </c>
      <c r="H17" s="6">
        <f>SUM(Tabela1[[#This Row],[Alpine Skiing - Men''s Downhill]:[Speed Skating - Women''s Team Pursuit]])</f>
        <v>23</v>
      </c>
      <c r="I17" s="6">
        <f>Tabela1[[#This Row],[Summer Gold Medals]]+Tabela1[[#This Row],[Winter Gold Medals]]</f>
        <v>25</v>
      </c>
      <c r="J17" s="6">
        <f>Tabela1[[#This Row],[Summer Silver Medals]]+Tabela1[[#This Row],[Winter Silver Medals]]</f>
        <v>14</v>
      </c>
      <c r="K17" s="6">
        <f>Tabela1[[#This Row],[Summer Bronze Medals]]+Tabela1[[#This Row],[Winter Bronze Medals]]</f>
        <v>15</v>
      </c>
      <c r="L17" s="6">
        <f>SUM(Tabela1[[#This Row],[Total Gold Medals]:[Total Bronze Medals]])</f>
        <v>54</v>
      </c>
      <c r="M17" s="6">
        <v>15</v>
      </c>
      <c r="N17" s="6">
        <v>7</v>
      </c>
      <c r="O17" s="6">
        <v>12</v>
      </c>
      <c r="P17" s="6">
        <f>SUM(Tabela1[[#This Row],[Summer Gold Medals]:[Summer Bronze Medals]])</f>
        <v>34</v>
      </c>
      <c r="Q17" s="6">
        <v>10</v>
      </c>
      <c r="R17" s="6">
        <v>7</v>
      </c>
      <c r="S17" s="6">
        <v>3</v>
      </c>
      <c r="T17" s="6">
        <f>Tabela1[[#This Row],[Winter Gold Medals]]+Tabela1[[#This Row],[Winter Silver Medals]]+Tabela1[[#This Row],[Winter Bronze Medals]]</f>
        <v>20</v>
      </c>
      <c r="U17" s="7">
        <f>Tabela1[[#This Row],[Total Medals]]/Tabela1[[#This Row],[Total Quotas]]</f>
        <v>0.61363636363636365</v>
      </c>
      <c r="V17" s="6">
        <f>COUNTIFS(Table3[Country],Tabela1[[#This Row],[Country]],Table3[Recurve Classification],"&gt;0")</f>
        <v>0</v>
      </c>
      <c r="W17" s="6">
        <f>COUNTIFS(Table33[Country],Tabela1[[#This Row],[Country]],Table33[Recurve Classification],"&gt;0")</f>
        <v>2</v>
      </c>
      <c r="X17" s="6">
        <f>COUNTIFS(Table35[Country],Tabela1[[#This Row],[Country]],Table35[Men''s Team Recurve Classification],"&gt;0")</f>
        <v>0</v>
      </c>
      <c r="Y17" s="6">
        <f>COUNTIFS(Table35[Country],Tabela1[[#This Row],[Country]],Table35[Women''s Team Recurve Classification],"&gt;0")</f>
        <v>1</v>
      </c>
      <c r="Z17" s="6">
        <f>COUNTIFS(Tabela88[Country],Tabela1[[#This Row],[Country]],Tabela88[Mixed Team Recurve Classification],"&gt;0")</f>
        <v>1</v>
      </c>
      <c r="AA17" s="6">
        <f>COUNTIFS(Table36[Country],Tabela1[[#This Row],[Country]],Table36[Classification],"&gt;0")</f>
        <v>0</v>
      </c>
      <c r="AB17" s="6">
        <f>COUNTIFS(Table37[Country],Tabela1[[#This Row],[Country]],Table37[Classification],"&gt;0")</f>
        <v>0</v>
      </c>
      <c r="AC17" s="6">
        <f>COUNTIFS(Table4[Country],Tabela1[[#This Row],[Country]],Table4[100m Classification],"&gt;0")</f>
        <v>0</v>
      </c>
      <c r="AD17" s="6">
        <f>COUNTIFS(Table5[Country],Tabela1[[#This Row],[Country]],Table5[100m Classification],"&gt;0")</f>
        <v>0</v>
      </c>
      <c r="AE17" s="6">
        <f>COUNTIFS(Table4[Country],Tabela1[[#This Row],[Country]],Table4[200m Classification],"&gt;0")</f>
        <v>0</v>
      </c>
      <c r="AF17" s="6">
        <f>COUNTIFS(Table5[Country],Tabela1[[#This Row],[Country]],Table5[200m Classification],"&gt;0")</f>
        <v>0</v>
      </c>
      <c r="AG17" s="6">
        <f>COUNTIFS(Table4[Country],Tabela1[[#This Row],[Country]],Table4[400m Classification],"&gt;0")</f>
        <v>0</v>
      </c>
      <c r="AH17" s="6">
        <f>COUNTIFS(Table5[Country],Tabela1[[#This Row],[Country]],Table5[400m Classification],"&gt;0")</f>
        <v>0</v>
      </c>
      <c r="AI17" s="6">
        <f>COUNTIFS(Table4[Country],Tabela1[[#This Row],[Country]],Table4[800m Classification],"&gt;0")</f>
        <v>0</v>
      </c>
      <c r="AJ17" s="6">
        <f>COUNTIFS(Table5[Country],Tabela1[[#This Row],[Country]],Table5[800m Classification],"&gt;0")</f>
        <v>0</v>
      </c>
      <c r="AK17" s="6">
        <f>COUNTIFS(Table4[Country],Tabela1[[#This Row],[Country]],Table4[1500m Classification],"&gt;0")</f>
        <v>0</v>
      </c>
      <c r="AL17" s="6">
        <f>COUNTIFS(Table5[Country],Tabela1[[#This Row],[Country]],Table5[1500m Classification],"&gt;0")</f>
        <v>0</v>
      </c>
      <c r="AM17" s="6">
        <f>COUNTIFS(Table4[Country],Tabela1[[#This Row],[Country]],Table4[5000m Classification],"&gt;0")</f>
        <v>0</v>
      </c>
      <c r="AN17" s="6">
        <f>COUNTIFS(Table5[Country],Tabela1[[#This Row],[Country]],Table5[5000m Classification],"&gt;0")</f>
        <v>0</v>
      </c>
      <c r="AO17" s="6">
        <f>COUNTIFS(Table4[Country],Tabela1[[#This Row],[Country]],Table4[10000m Classification],"&gt;0")</f>
        <v>0</v>
      </c>
      <c r="AP17" s="6">
        <f>COUNTIFS(Table5[Country],Tabela1[[#This Row],[Country]],Table5[10000m Classification],"&gt;0")</f>
        <v>0</v>
      </c>
      <c r="AQ17" s="6">
        <f>COUNTIFS(Table4[Country],Tabela1[[#This Row],[Country]],Table4[110m Hurdles Classification],"&gt;0")</f>
        <v>0</v>
      </c>
      <c r="AR17" s="6">
        <f>COUNTIFS(Table5[Country],Tabela1[[#This Row],[Country]],Table5[100m Hurdles Classification],"&gt;0")</f>
        <v>0</v>
      </c>
      <c r="AS17" s="6">
        <f>COUNTIFS(Table4[Country],Tabela1[[#This Row],[Country]],Table4[400m Hurdles Classification],"&gt;0")</f>
        <v>0</v>
      </c>
      <c r="AT17" s="6">
        <f>COUNTIFS(Table5[Country],Tabela1[[#This Row],[Country]],Table5[400m Hurdles Classification],"&gt;0")</f>
        <v>0</v>
      </c>
      <c r="AU17" s="6">
        <f>COUNTIFS(Table4[Country],Tabela1[[#This Row],[Country]],Table4[3000m Steeplechase Classification],"&gt;0")</f>
        <v>0</v>
      </c>
      <c r="AV17" s="6">
        <f>COUNTIFS(Table5[Country],Tabela1[[#This Row],[Country]],Table5[3000m Steeplechase Classification],"&gt;0")</f>
        <v>0</v>
      </c>
      <c r="AW17" s="6">
        <f>COUNTIFS(Table27[Country],Tabela1[[#This Row],[Country]],Table27[Men''s 4x100m Relay Classification],"&gt;0")</f>
        <v>0</v>
      </c>
      <c r="AX17" s="6">
        <f>COUNTIFS(Table27[Country],Tabela1[[#This Row],[Country]],Table27[Women''s 4x100m Relay Classification],"&gt;0")</f>
        <v>0</v>
      </c>
      <c r="AY17" s="6">
        <f>COUNTIFS(Table27[Country],Tabela1[[#This Row],[Country]],Table27[Men''s 4x400m Relay Classification],"&gt;0")</f>
        <v>0</v>
      </c>
      <c r="AZ17" s="6">
        <f>COUNTIFS(Table27[Country],Tabela1[[#This Row],[Country]],Table27[Women''s 4x400m Relay Classification],"&gt;0")</f>
        <v>0</v>
      </c>
      <c r="BA17" s="6">
        <f>COUNTIFS(Table27[Country],Tabela1[[#This Row],[Country]],Table27[Mixed 4x400m Relay Classification],"&gt;0")</f>
        <v>0</v>
      </c>
      <c r="BB17" s="6">
        <f>COUNTIFS(Table4[Country],Tabela1[[#This Row],[Country]],Table4[Marathon Classification],"&gt;0")</f>
        <v>0</v>
      </c>
      <c r="BC17" s="6">
        <f>COUNTIFS(Table5[Country],Tabela1[[#This Row],[Country]],Table5[Marathon Classification],"&gt;0")</f>
        <v>0</v>
      </c>
      <c r="BD17" s="6">
        <f>COUNTIFS(Table4[Country],Tabela1[[#This Row],[Country]],Table4[20km Race Walk Classification],"&gt;0")</f>
        <v>0</v>
      </c>
      <c r="BE17" s="6">
        <f>COUNTIFS(Table5[Country],Tabela1[[#This Row],[Country]],Table5[20km Race Walk Classification],"&gt;0")</f>
        <v>0</v>
      </c>
      <c r="BF17" s="6">
        <f>COUNTIFS(Tabela96[Country],Tabela1[[#This Row],[Country]],Tabela96[Mixed Marathon Race Walk Relay Classification],"&gt;0")</f>
        <v>0</v>
      </c>
      <c r="BG17" s="6">
        <f>COUNTIFS(Table4[Country],Tabela1[[#This Row],[Country]],Table4[Discus Throw Classification],"&gt;0")</f>
        <v>0</v>
      </c>
      <c r="BH17" s="6">
        <f>COUNTIFS(Table5[Country],Tabela1[[#This Row],[Country]],Table5[Discus Throw Classification],"&gt;0")</f>
        <v>1</v>
      </c>
      <c r="BI17" s="6">
        <f>COUNTIFS(Table4[Country],Tabela1[[#This Row],[Country]],Table4[Hammer Throw Classification],"&gt;0")</f>
        <v>0</v>
      </c>
      <c r="BJ17" s="6">
        <f>COUNTIFS(Table5[Country],Tabela1[[#This Row],[Country]],Table5[Hammer Throw Classification],"&gt;0")</f>
        <v>0</v>
      </c>
      <c r="BK17" s="6">
        <f>COUNTIFS(Table4[Country],Tabela1[[#This Row],[Country]],Table4[High Jump Classification],"&gt;0")</f>
        <v>0</v>
      </c>
      <c r="BL17" s="6">
        <f>COUNTIFS(Table5[Country],Tabela1[[#This Row],[Country]],Table5[High Jump Classification],"&gt;0")</f>
        <v>0</v>
      </c>
      <c r="BM17" s="6">
        <f>COUNTIFS(Table4[Country],Tabela1[[#This Row],[Country]],Table4[Javelin Throw Classification],"&gt;0")</f>
        <v>0</v>
      </c>
      <c r="BN17" s="6">
        <f>COUNTIFS(Table5[Country],Tabela1[[#This Row],[Country]],Table5[Javelin Throw Classification],"&gt;0")</f>
        <v>0</v>
      </c>
      <c r="BO17" s="6">
        <f>COUNTIFS(Table4[Country],Tabela1[[#This Row],[Country]],Table4[Long Jump Classification],"&gt;0")</f>
        <v>0</v>
      </c>
      <c r="BP17" s="6">
        <f>COUNTIFS(Table5[Country],Tabela1[[#This Row],[Country]],Table5[Long Jump Classification],"&gt;0")</f>
        <v>0</v>
      </c>
      <c r="BQ17" s="6">
        <f>COUNTIFS(Table4[Country],Tabela1[[#This Row],[Country]],Table4[Pole Vault Classification],"&gt;0")</f>
        <v>0</v>
      </c>
      <c r="BR17" s="6">
        <f>COUNTIFS(Table5[Country],Tabela1[[#This Row],[Country]],Table5[Pole Vault Classification],"&gt;0")</f>
        <v>0</v>
      </c>
      <c r="BS17" s="6">
        <f>COUNTIFS(Table4[Country],Tabela1[[#This Row],[Country]],Table4[Shot Put Classification],"&gt;0")</f>
        <v>0</v>
      </c>
      <c r="BT17" s="6">
        <f>COUNTIFS(Table5[Country],Tabela1[[#This Row],[Country]],Table5[Shot Put Classification],"&gt;0")</f>
        <v>1</v>
      </c>
      <c r="BU17" s="6">
        <f>COUNTIFS(Table4[Country],Tabela1[[#This Row],[Country]],Table4[Triple Jump Classification],"&gt;0")</f>
        <v>0</v>
      </c>
      <c r="BV17" s="6">
        <f>COUNTIFS(Table5[Country],Tabela1[[#This Row],[Country]],Table5[Triple Jump Classification],"&gt;0")</f>
        <v>0</v>
      </c>
      <c r="BW17" s="6">
        <f>COUNTIFS(Table4[Country],Tabela1[[#This Row],[Country]],Table4[Decathlon Classification],"&gt;0")</f>
        <v>0</v>
      </c>
      <c r="BX17" s="6">
        <f>COUNTIFS(Table5[Country],Tabela1[[#This Row],[Country]],Table5[Heptathlon Classification],"&gt;0")</f>
        <v>0</v>
      </c>
      <c r="BY17" s="6">
        <f>COUNTIFS(Table61[Country],Tabela1[[#This Row],[Country]],Table61[Classification],"&gt;0")</f>
        <v>0</v>
      </c>
      <c r="BZ17" s="6">
        <f>COUNTIFS(Table38[Country],Tabela1[[#This Row],[Country]],Table38[Classification],"&gt;0")</f>
        <v>0</v>
      </c>
      <c r="CA17" s="6">
        <f>COUNTIFS(Table39[Country],Tabela1[[#This Row],[Country]],Table39[Men''s Classification],"&gt;0")</f>
        <v>0</v>
      </c>
      <c r="CB17" s="6">
        <f>COUNTIFS(Table39[Country],Tabela1[[#This Row],[Country]],Table39[Women''s Classification],"&gt;0")</f>
        <v>0</v>
      </c>
      <c r="CC17" s="6">
        <f>COUNTIFS(Table39[Country],Tabela1[[#This Row],[Country]],Table39[Mixed Classification],"&gt;0")</f>
        <v>0</v>
      </c>
      <c r="CD17" s="6">
        <f>COUNTIFS(Table89[Country],Tabela1[[#This Row],[Country]],Table89[Men''s Classification],"&gt;0")</f>
        <v>0</v>
      </c>
      <c r="CE17" s="6">
        <f>COUNTIFS(Table89[Country],Tabela1[[#This Row],[Country]],Table89[Women''s Classification],"&gt;0")</f>
        <v>0</v>
      </c>
      <c r="CF17" s="6">
        <f>COUNTIFS(Table90[Country],Tabela1[[#This Row],[Country]],Table90[Men''s Classification],"&gt;0")</f>
        <v>1</v>
      </c>
      <c r="CG17" s="6">
        <f>COUNTIFS(Table90[Country],Tabela1[[#This Row],[Country]],Table90[Women''s Classification],"&gt;0")</f>
        <v>0</v>
      </c>
      <c r="CH17" s="6">
        <f>COUNTIFS(Table60[Country],Tabela1[[#This Row],[Country]],Table60[Men''s Classification],"&gt;0")</f>
        <v>0</v>
      </c>
      <c r="CI17" s="6">
        <f>COUNTIFS(Table60[Country],Tabela1[[#This Row],[Country]],Table60[Women''s Classification],"&gt;0")</f>
        <v>0</v>
      </c>
      <c r="CJ17" s="6">
        <f>COUNTIFS(Table6[Country],Tabela1[[#This Row],[Country]],Table6[51kg Classification],"&gt;0")</f>
        <v>0</v>
      </c>
      <c r="CK17" s="6">
        <f>COUNTIFS(Table6[Country],Tabela1[[#This Row],[Country]],Table6[57kg Classification],"&gt;0")</f>
        <v>0</v>
      </c>
      <c r="CL17" s="6">
        <f>COUNTIFS(Table6[Country],Tabela1[[#This Row],[Country]],Table6[63.5kg Classification],"&gt;0")</f>
        <v>0</v>
      </c>
      <c r="CM17" s="6">
        <f>COUNTIFS(Table6[Country],Tabela1[[#This Row],[Country]],Table6[71kg Classification],"&gt;0")</f>
        <v>0</v>
      </c>
      <c r="CN17" s="6">
        <f>COUNTIFS(Table6[Country],Tabela1[[#This Row],[Country]],Table6[80kg Classification],"&gt;0")</f>
        <v>0</v>
      </c>
      <c r="CO17" s="6">
        <f>COUNTIFS(Table6[Country],Tabela1[[#This Row],[Country]],Table6[92kg Classification],"&gt;0")</f>
        <v>0</v>
      </c>
      <c r="CP17" s="6">
        <f>COUNTIFS(Table6[Country],Tabela1[[#This Row],[Country]],Table6[Plus 92kg Classification],"&gt;0")</f>
        <v>0</v>
      </c>
      <c r="CQ17" s="6">
        <f>COUNTIFS(Table7[Country],Tabela1[[#This Row],[Country]],Table7[50kg Classification],"&gt;0")</f>
        <v>0</v>
      </c>
      <c r="CR17" s="6">
        <f>COUNTIFS(Table7[Country],Tabela1[[#This Row],[Country]],Table7[54kg Classification],"&gt;0")</f>
        <v>0</v>
      </c>
      <c r="CS17" s="6">
        <f>COUNTIFS(Table7[Country],Tabela1[[#This Row],[Country]],Table7[57kg Classification],"&gt;0")</f>
        <v>0</v>
      </c>
      <c r="CT17" s="6">
        <f>COUNTIFS(Table7[Country],Tabela1[[#This Row],[Country]],Table7[60kg Classification],"&gt;0")</f>
        <v>1</v>
      </c>
      <c r="CU17" s="6">
        <f>COUNTIFS(Table7[Country],Tabela1[[#This Row],[Country]],Table7[66kg Classification],"&gt;0")</f>
        <v>0</v>
      </c>
      <c r="CV17" s="6">
        <f>COUNTIFS(Table7[Country],Tabela1[[#This Row],[Country]],Table7[75kg Classification],"&gt;0")</f>
        <v>0</v>
      </c>
      <c r="CW17" s="6">
        <f>COUNTIFS(Tabela94[Country],Tabela1[[#This Row],[Country]],Tabela94[Classification],"&gt;0")</f>
        <v>1</v>
      </c>
      <c r="CX17" s="6">
        <f>COUNTIFS(Tabela9499[Country],Tabela1[[#This Row],[Country]],Tabela9499[Classification],"&gt;0")</f>
        <v>0</v>
      </c>
      <c r="CY17" s="6">
        <f>COUNTIFS(Tabela107[Country],Tabela1[[#This Row],[Country]],Tabela107[C1 Slalom Classification],"&gt;0")</f>
        <v>1</v>
      </c>
      <c r="CZ17" s="6">
        <f>COUNTIFS(Tabela107122[Country],Tabela1[[#This Row],[Country]],Tabela107122[C1 Slalom Classification],"&gt;0")</f>
        <v>0</v>
      </c>
      <c r="DA17" s="6">
        <f>COUNTIFS(Tabela107[Country],Tabela1[[#This Row],[Country]],Tabela107[K1 Slalom Classification],"&gt;0")</f>
        <v>0</v>
      </c>
      <c r="DB17" s="6">
        <f>COUNTIFS(Tabela107122[Country],Tabela1[[#This Row],[Country]],Tabela107122[K1 Slalom Classification],"&gt;0")</f>
        <v>0</v>
      </c>
      <c r="DC17" s="6">
        <f>COUNTIFS(Tabela107[Country],Tabela1[[#This Row],[Country]],Tabela107[Kayak Cross Slalom Classification],"&gt;0")</f>
        <v>1</v>
      </c>
      <c r="DD17" s="6">
        <f>COUNTIFS(Tabela107122[Country],Tabela1[[#This Row],[Country]],Tabela107122[Kayak Cross Slalom Classification],"&gt;0")</f>
        <v>0</v>
      </c>
      <c r="DE17" s="6">
        <f>COUNTIFS(Table8[Country],Tabela1[[#This Row],[Country]],Table8[C1 200m Classification],"&gt;0")</f>
        <v>0</v>
      </c>
      <c r="DF17" s="6">
        <f>COUNTIFS(Table40[Country],Tabela1[[#This Row],[Country]],Table40[C1 1000m Classification],"&gt;0")</f>
        <v>0</v>
      </c>
      <c r="DG17" s="6">
        <f>COUNTIFS(Table68[Country],Tabela1[[#This Row],[Country]],Table68[Men''s C2 500m Classification],"&gt;0")</f>
        <v>0</v>
      </c>
      <c r="DH17" s="6">
        <f>COUNTIFS(Table68[Country],Tabela1[[#This Row],[Country]],Table68[Women''s C2 500m Classification],"&gt;0")</f>
        <v>0</v>
      </c>
      <c r="DI17" s="6">
        <f>COUNTIFS(Table8[Country],Tabela1[[#This Row],[Country]],Table8[K1 500m Classification],"&gt;0")</f>
        <v>0</v>
      </c>
      <c r="DJ17" s="6">
        <f>COUNTIFS(Table40[Country],Tabela1[[#This Row],[Country]],Table40[K1 1000m Classification],"&gt;0")</f>
        <v>0</v>
      </c>
      <c r="DK17" s="6">
        <f>COUNTIFS(Table68[Country],Tabela1[[#This Row],[Country]],Table68[Men''s K2 500m Classification],"&gt;0")</f>
        <v>0</v>
      </c>
      <c r="DL17" s="6">
        <f>COUNTIFS(Table68[Country],Tabela1[[#This Row],[Country]],Table68[Women''s K2 500m Classification],"&gt;0")</f>
        <v>0</v>
      </c>
      <c r="DM17" s="6">
        <f>COUNTIFS(Table83[Country],Tabela1[[#This Row],[Country]],Table83[Men''s K4 500m Classification],"&gt;0")</f>
        <v>0</v>
      </c>
      <c r="DN17" s="6">
        <f>COUNTIFS(Table83[Country],Tabela1[[#This Row],[Country]],Table83[Women''s K4 500m Classification],"&gt;0")</f>
        <v>0</v>
      </c>
      <c r="DO17" s="6">
        <f>COUNTIFS(Tabela126[Country],Tabela1[[#This Row],[Country]],Tabela126[Classification],"&gt;0")</f>
        <v>0</v>
      </c>
      <c r="DP17" s="6">
        <f>COUNTIFS(Tabela126130[Country],Tabela1[[#This Row],[Country]],Tabela126130[Classification],"&gt;0")</f>
        <v>0</v>
      </c>
      <c r="DQ17" s="6">
        <f>COUNTIFS(Table70[Country],Tabela1[[#This Row],[Country]],Table70[Classification],"&gt;0")</f>
        <v>1</v>
      </c>
      <c r="DR17" s="6">
        <f>COUNTIFS(Table80[Country],Tabela1[[#This Row],[Country]],Table80[Classification],"&gt;0")</f>
        <v>1</v>
      </c>
      <c r="DS17" s="6">
        <f>COUNTIFS(Table66[Country],Tabela1[[#This Row],[Country]],Table66[Classification],"&gt;0")</f>
        <v>0</v>
      </c>
      <c r="DT17" s="6">
        <f>COUNTIFS(Table67[Country],Tabela1[[#This Row],[Country]],Table67[Classification],"&gt;0")</f>
        <v>1</v>
      </c>
      <c r="DU17" s="6">
        <f>COUNTIFS(Table69[Country],Tabela1[[#This Row],[Country]],Table69[Keirin Classification],"&gt;0")</f>
        <v>1</v>
      </c>
      <c r="DV17" s="6">
        <f>COUNTIFS(Table41[Country],Tabela1[[#This Row],[Country]],Table41[Keirin Classification],"&gt;0")</f>
        <v>1</v>
      </c>
      <c r="DW17" s="6">
        <f>COUNTIFS(Table84[Country],Tabela1[[#This Row],[Country]],Table84[Men''s Madison Classification],"&gt;0")</f>
        <v>0</v>
      </c>
      <c r="DX17" s="6">
        <f>COUNTIFS(Table84[Country],Tabela1[[#This Row],[Country]],Table84[Women''s Madison Classification],"&gt;0")</f>
        <v>1</v>
      </c>
      <c r="DY17" s="6">
        <f>COUNTIFS(Table69[Country],Tabela1[[#This Row],[Country]],Table69[Omnium Classification],"&gt;0")</f>
        <v>0</v>
      </c>
      <c r="DZ17" s="6">
        <f>COUNTIFS(Table41[Country],Tabela1[[#This Row],[Country]],Table41[Omnium Classification],"&gt;0")</f>
        <v>1</v>
      </c>
      <c r="EA17" s="6">
        <f>COUNTIFS(Table9[Country],Tabela1[[#This Row],[Country]],Table9[Road Race Classification],"&gt;0")</f>
        <v>0</v>
      </c>
      <c r="EB17" s="6">
        <f>COUNTIFS(Table14[Country],Tabela1[[#This Row],[Country]],Table14[Road Race Classification],"&gt;0")</f>
        <v>1</v>
      </c>
      <c r="EC17" s="6">
        <f>COUNTIFS(Table69[Country],Tabela1[[#This Row],[Country]],Table69[Sprint Classification],"&gt;0")</f>
        <v>1</v>
      </c>
      <c r="ED17" s="6">
        <f>COUNTIFS(Table41[Country],Tabela1[[#This Row],[Country]],Table41[Sprint Classification],"&gt;0")</f>
        <v>1</v>
      </c>
      <c r="EE17" s="6">
        <f>COUNTIFS(Table85[Country],Tabela1[[#This Row],[Country]],Table85[Men''s Sprint Classification],"&gt;0")</f>
        <v>1</v>
      </c>
      <c r="EF17" s="6">
        <f>COUNTIFS(Table85[Country],Tabela1[[#This Row],[Country]],Table85[Women''s Sprint Classification],"&gt;0")</f>
        <v>1</v>
      </c>
      <c r="EG17" s="6">
        <f>COUNTIFS(Table85[Country],Tabela1[[#This Row],[Country]],Table85[Men''s Pursuit Classification],"&gt;0")</f>
        <v>0</v>
      </c>
      <c r="EH17" s="6">
        <f>COUNTIFS(Table85[Country],Tabela1[[#This Row],[Country]],Table85[Women''s Pursuit Classification],"&gt;0")</f>
        <v>0</v>
      </c>
      <c r="EI17" s="6">
        <f>COUNTIFS(Table9[Country],Tabela1[[#This Row],[Country]],Table9[Time-Trial Classification],"&gt;0")</f>
        <v>0</v>
      </c>
      <c r="EJ17" s="6">
        <f>COUNTIFS(Table14[Country],Tabela1[[#This Row],[Country]],Table14[Time-Trial Classification],"&gt;0")</f>
        <v>0</v>
      </c>
      <c r="EK17" s="6">
        <f>COUNTIFS(Table42[Country],Tabela1[[#This Row],[Country]],Table42[Springboard Classification],"&gt;0")</f>
        <v>0</v>
      </c>
      <c r="EL17" s="6">
        <f>COUNTIFS(Table43[Country],Tabela1[[#This Row],[Country]],Table43[Springboard Classification],"&gt;0")</f>
        <v>0</v>
      </c>
      <c r="EM17" s="6">
        <f>COUNTIFS(Table42[Country],Tabela1[[#This Row],[Country]],Table42[Platform Classification],"&gt;0")</f>
        <v>0</v>
      </c>
      <c r="EN17" s="6">
        <f>COUNTIFS(Table43[Country],Tabela1[[#This Row],[Country]],Table43[Platform Classification],"&gt;0")</f>
        <v>0</v>
      </c>
      <c r="EO17" s="6">
        <f>COUNTIFS(Table86[Country],Tabela1[[#This Row],[Country]],Table86[Men''s Synchronized Springboard Classification],"&gt;0")</f>
        <v>0</v>
      </c>
      <c r="EP17" s="6">
        <f>COUNTIFS(Table86[Country],Tabela1[[#This Row],[Country]],Table86[Women''s Synchronized Springboard Classification],"&gt;0")</f>
        <v>0</v>
      </c>
      <c r="EQ17" s="6">
        <f>COUNTIFS(Table86[Country],Tabela1[[#This Row],[Country]],Table86[Men''s Synchronized Platform Classification],"&gt;0")</f>
        <v>0</v>
      </c>
      <c r="ER17" s="6">
        <f>COUNTIFS(Table86[Country],Tabela1[[#This Row],[Country]],Table86[Women''s Synchronized Platform Classification],"&gt;0")</f>
        <v>0</v>
      </c>
      <c r="ES17" s="6">
        <f>COUNTIFS(Table44[Country],Tabela1[[#This Row],[Country]],Table44[Dressage Classification],"&gt;0")</f>
        <v>3</v>
      </c>
      <c r="ET17" s="6">
        <f>COUNTIFS(Table45[Country],Tabela1[[#This Row],[Country]],Table45[Dressage Classification],"&gt;0")</f>
        <v>1</v>
      </c>
      <c r="EU17" s="6">
        <f>COUNTIFS(Table44[Country],Tabela1[[#This Row],[Country]],Table44[Eventing Classification],"&gt;0")</f>
        <v>0</v>
      </c>
      <c r="EV17" s="6">
        <f>COUNTIFS(Table45[Country],Tabela1[[#This Row],[Country]],Table45[Eventing Classification],"&gt;0")</f>
        <v>0</v>
      </c>
      <c r="EW17" s="6">
        <f>COUNTIFS(Table44[Country],Tabela1[[#This Row],[Country]],Table44[Jumping Classification],"&gt;0")</f>
        <v>2</v>
      </c>
      <c r="EX17" s="6">
        <f>COUNTIFS(Table45[Country],Tabela1[[#This Row],[Country]],Table45[Jumping Classification],"&gt;0")</f>
        <v>1</v>
      </c>
      <c r="EY17" s="6">
        <f>COUNTIFS(Table10[Country],Tabela1[[#This Row],[Country]],Table10[Épée Classification],"&gt;0")</f>
        <v>0</v>
      </c>
      <c r="EZ17" s="6">
        <f>COUNTIFS(Table11[Country],Tabela1[[#This Row],[Country]],Table11[Épée Classification],"&gt;0")</f>
        <v>0</v>
      </c>
      <c r="FA17" s="6">
        <f>COUNTIFS(Table46[Country],Tabela1[[#This Row],[Country]],Table46[Men''s Épée Classification],"&gt;0")</f>
        <v>0</v>
      </c>
      <c r="FB17" s="6">
        <f>COUNTIFS(Table46[Country],Tabela1[[#This Row],[Country]],Table46[Women''s Épée Classification],"&gt;0")</f>
        <v>0</v>
      </c>
      <c r="FC17" s="6">
        <f>COUNTIFS(Table10[Country],Tabela1[[#This Row],[Country]],Table10[Foil Classification],"&gt;0")</f>
        <v>0</v>
      </c>
      <c r="FD17" s="6">
        <f>COUNTIFS(Table11[Country],Tabela1[[#This Row],[Country]],Table11[Foil Classification],"&gt;0")</f>
        <v>0</v>
      </c>
      <c r="FE17" s="6">
        <f>COUNTIFS(Table46[Country],Tabela1[[#This Row],[Country]],Table46[Men''s Foil Classification],"&gt;0")</f>
        <v>0</v>
      </c>
      <c r="FF17" s="6">
        <f>COUNTIFS(Table46[Country],Tabela1[[#This Row],[Country]],Table46[Women''s Foil Classification],"&gt;0")</f>
        <v>0</v>
      </c>
      <c r="FG17" s="6">
        <f>COUNTIFS(Table10[Country],Tabela1[[#This Row],[Country]],Table10[Sabre Classification],"&gt;0")</f>
        <v>0</v>
      </c>
      <c r="FH17" s="6">
        <f>COUNTIFS(Table11[Country],Tabela1[[#This Row],[Country]],Table11[Sabre Classification],"&gt;0")</f>
        <v>0</v>
      </c>
      <c r="FI17" s="6">
        <f>COUNTIFS(Table46[Country],Tabela1[[#This Row],[Country]],Table46[Men''s Sabre Classification],"&gt;0")</f>
        <v>0</v>
      </c>
      <c r="FJ17" s="6">
        <f>COUNTIFS(Table46[Country],Tabela1[[#This Row],[Country]],Table46[Women''s Sabre Classification],"&gt;0")</f>
        <v>0</v>
      </c>
      <c r="FK17" s="6">
        <f>COUNTIFS(Table91[Country],Tabela1[[#This Row],[Country]],Table91[Men''s Classification],"&gt;0")</f>
        <v>1</v>
      </c>
      <c r="FL17" s="6">
        <f>COUNTIFS(Table91[Country],Tabela1[[#This Row],[Country]],Table91[Women''s Classification],"&gt;0")</f>
        <v>1</v>
      </c>
      <c r="FM17" s="6">
        <f>COUNTIFS(Table9194[Country],Tabela1[[#This Row],[Country]],Table9194[Men''s Classification],"&gt;0")</f>
        <v>0</v>
      </c>
      <c r="FN17" s="6">
        <f>COUNTIFS(Table9194[Country],Tabela1[[#This Row],[Country]],Table9194[Women''s Classification],"&gt;0")</f>
        <v>0</v>
      </c>
      <c r="FO17" s="6">
        <f>COUNTIFS(Table71[Country],Tabela1[[#This Row],[Country]],Table71[Classification],"&gt;0")</f>
        <v>0</v>
      </c>
      <c r="FP17" s="6">
        <f>COUNTIFS(Table62[Country],Tabela1[[#This Row],[Country]],Table62[Classification],"&gt;0")</f>
        <v>0</v>
      </c>
      <c r="FQ17" s="6">
        <f>COUNTIFS(Table47[Country],Tabela1[[#This Row],[Country]],Table47[All-Around Classification],"&gt;0")</f>
        <v>0</v>
      </c>
      <c r="FR17" s="6">
        <f>COUNTIFS(Table48[Country],Tabela1[[#This Row],[Country]],Table48[All-Around Classification],"&gt;0")</f>
        <v>2</v>
      </c>
      <c r="FS17" s="6">
        <f>COUNTIFS(Table81[Country],Tabela1[[#This Row],[Country]],Table81[Men''s All-Around Classification],"&gt;0")</f>
        <v>0</v>
      </c>
      <c r="FT17" s="6">
        <f>COUNTIFS(Table81[Country],Tabela1[[#This Row],[Country]],Table81[Women''s All-Around Classification],"&gt;0")</f>
        <v>1</v>
      </c>
      <c r="FU17" s="6">
        <f>COUNTIFS(Table48[Country],Tabela1[[#This Row],[Country]],Table48[Balance Beam Classification],"&gt;0")</f>
        <v>3</v>
      </c>
      <c r="FV17" s="6">
        <f>COUNTIFS(Table47[Country],Tabela1[[#This Row],[Country]],Table47[Floor Exercise Classification],"&gt;0")</f>
        <v>0</v>
      </c>
      <c r="FW17" s="6">
        <f>COUNTIFS(Table48[Country],Tabela1[[#This Row],[Country]],Table48[Floor Exercise Classification],"&gt;0")</f>
        <v>2</v>
      </c>
      <c r="FX17" s="6">
        <f>COUNTIFS(Table47[Country],Tabela1[[#This Row],[Country]],Table47[Horizontal Bar Classification],"&gt;0")</f>
        <v>0</v>
      </c>
      <c r="FY17" s="6">
        <f>COUNTIFS(Table47[Country],Tabela1[[#This Row],[Country]],Table47[Parallel Bars Classification],"&gt;0")</f>
        <v>0</v>
      </c>
      <c r="FZ17" s="6">
        <f>COUNTIFS(Table47[Country],Tabela1[[#This Row],[Country]],Table47[Pommel Horse Classification],"&gt;0")</f>
        <v>0</v>
      </c>
      <c r="GA17" s="6">
        <f>COUNTIFS(Table47[Country],Tabela1[[#This Row],[Country]],Table47[Rings Classification],"&gt;0")</f>
        <v>0</v>
      </c>
      <c r="GB17" s="6">
        <f>COUNTIFS(Tabela132[Country],Tabela1[[#This Row],[Country]],Tabela132[Classification],"&gt;0")</f>
        <v>0</v>
      </c>
      <c r="GC17" s="6">
        <f>COUNTIFS(Tabela139[Country],Tabela1[[#This Row],[Country]],Tabela139[Classification],"&gt;0")</f>
        <v>0</v>
      </c>
      <c r="GD17" s="6">
        <f>COUNTIFS(Table48[Country],Tabela1[[#This Row],[Country]],Table48[Uneven Bars Classification],"&gt;0")</f>
        <v>2</v>
      </c>
      <c r="GE17" s="6">
        <f>COUNTIFS(Table47[Country],Tabela1[[#This Row],[Country]],Table47[Vault Classification],"&gt;0")</f>
        <v>0</v>
      </c>
      <c r="GF17" s="6">
        <f>COUNTIFS(Table48[Country],Tabela1[[#This Row],[Country]],Table48[Vault Classification],"&gt;0")</f>
        <v>0</v>
      </c>
      <c r="GG17" s="6">
        <f>COUNTIFS(Table919496[Country],Tabela1[[#This Row],[Country]],Table919496[Men''s Classification],"&gt;0")</f>
        <v>0</v>
      </c>
      <c r="GH17" s="6">
        <f>COUNTIFS(Table919496[Country],Tabela1[[#This Row],[Country]],Table919496[Women''s Classification],"&gt;0")</f>
        <v>1</v>
      </c>
      <c r="GI17" s="6">
        <f>COUNTIFS(Table12[Country],Tabela1[[#This Row],[Country]],Table12[60kg Classification],"&gt;0")</f>
        <v>0</v>
      </c>
      <c r="GJ17" s="6">
        <f>COUNTIFS(Table12[Country],Tabela1[[#This Row],[Country]],Table12[66kg Classification],"&gt;0")</f>
        <v>0</v>
      </c>
      <c r="GK17" s="6">
        <f>COUNTIFS(Table12[Country],Tabela1[[#This Row],[Country]],Table12[73kg Classification],"&gt;0")</f>
        <v>0</v>
      </c>
      <c r="GL17" s="6">
        <f>COUNTIFS(Table12[Country],Tabela1[[#This Row],[Country]],Table12[81kg Classification],"&gt;0")</f>
        <v>0</v>
      </c>
      <c r="GM17" s="6">
        <f>COUNTIFS(Table12[Country],Tabela1[[#This Row],[Country]],Table12[90kg Classification],"&gt;0")</f>
        <v>0</v>
      </c>
      <c r="GN17" s="6">
        <f>COUNTIFS(Table12[Country],Tabela1[[#This Row],[Country]],Table12[100kg Classification],"&gt;0")</f>
        <v>0</v>
      </c>
      <c r="GO17" s="6">
        <f>COUNTIFS(Table12[Country],Tabela1[[#This Row],[Country]],Table12[Plus 100kg Classification],"&gt;0")</f>
        <v>0</v>
      </c>
      <c r="GP17" s="6">
        <f>COUNTIFS(Table13[Country],Tabela1[[#This Row],[Country]],Table13[48kg Classification],"&gt;0")</f>
        <v>0</v>
      </c>
      <c r="GQ17" s="6">
        <f>COUNTIFS(Table13[Country],Tabela1[[#This Row],[Country]],Table13[52kg Classification],"&gt;0")</f>
        <v>0</v>
      </c>
      <c r="GR17" s="6">
        <f>COUNTIFS(Table13[Country],Tabela1[[#This Row],[Country]],Table13[57kg Classification],"&gt;0")</f>
        <v>0</v>
      </c>
      <c r="GS17" s="6">
        <f>COUNTIFS(Table13[Country],Tabela1[[#This Row],[Country]],Table13[63kg Classification],"&gt;0")</f>
        <v>1</v>
      </c>
      <c r="GT17" s="6">
        <f>COUNTIFS(Table13[Country],Tabela1[[#This Row],[Country]],Table13[70kg Classification],"&gt;0")</f>
        <v>1</v>
      </c>
      <c r="GU17" s="6">
        <f>COUNTIFS(Table13[Country],Tabela1[[#This Row],[Country]],Table13[78kg Classification],"&gt;0")</f>
        <v>0</v>
      </c>
      <c r="GV17" s="6">
        <f>COUNTIFS(Table13[Country],Tabela1[[#This Row],[Country]],Table13[Plus 78kg Classification],"&gt;0")</f>
        <v>0</v>
      </c>
      <c r="GW17" s="6">
        <f>COUNTIFS(Table82[Country],Tabela1[[#This Row],[Country]],Table82[Mixed Classification],"&gt;0")</f>
        <v>1</v>
      </c>
      <c r="GX17" s="6">
        <f>COUNTIFS(Table51[Country],Tabela1[[#This Row],[Country]],Table51[Classification],"&gt;0")</f>
        <v>0</v>
      </c>
      <c r="GY17" s="6">
        <f>COUNTIFS(Table52[Country],Tabela1[[#This Row],[Country]],Table52[Classification],"&gt;0")</f>
        <v>0</v>
      </c>
      <c r="GZ17" s="6">
        <f>COUNTIFS(Table32[Country],Tabela1[[#This Row],[Country]],Table32[All-Around Classification],"&gt;0")</f>
        <v>0</v>
      </c>
      <c r="HA17" s="6">
        <f>COUNTIFS(Table49[Country],Tabela1[[#This Row],[Country]],Table49[All-Around Classification],"&gt;0")</f>
        <v>0</v>
      </c>
      <c r="HB17" s="6">
        <f>COUNTIFS(Table26[Country],Tabela1[[#This Row],[Country]],Table26[Single Sculls Classification],"&gt;0")</f>
        <v>0</v>
      </c>
      <c r="HC17" s="6">
        <f>COUNTIFS(Table63[Country],Tabela1[[#This Row],[Country]],Table63[Single Sculls Classification],"&gt;0")</f>
        <v>0</v>
      </c>
      <c r="HD17" s="6">
        <f>COUNTIFS(Table16[Country],Tabela1[[#This Row],[Country]],Table16[Men''s Double Sculls Classification],"&gt;0")</f>
        <v>1</v>
      </c>
      <c r="HE17" s="6">
        <f>COUNTIFS(Table16[Country],Tabela1[[#This Row],[Country]],Table16[Women''s Double Sculls Classification],"&gt;0")</f>
        <v>0</v>
      </c>
      <c r="HF17" s="6">
        <f>COUNTIFS(Table72[Country],Tabela1[[#This Row],[Country]],Table72[Men''s Quadruple Sculls Classification],"&gt;0")</f>
        <v>0</v>
      </c>
      <c r="HG17" s="6">
        <f>COUNTIFS(Table72[Country],Tabela1[[#This Row],[Country]],Table72[Women''s Quadruple Sculls Classification],"&gt;0")</f>
        <v>0</v>
      </c>
      <c r="HH17" s="6">
        <f>COUNTIFS(Table16[Country],Tabela1[[#This Row],[Country]],Table16[Men''s Coxless Pairs Classification],"&gt;0")</f>
        <v>0</v>
      </c>
      <c r="HI17" s="6">
        <f>COUNTIFS(Table16[Country],Tabela1[[#This Row],[Country]],Table16[Women''s Coxless Pairs Classification],"&gt;0")</f>
        <v>1</v>
      </c>
      <c r="HJ17" s="6">
        <f>COUNTIFS(Table72[Country],Tabela1[[#This Row],[Country]],Table72[Men''s Coxless Fours Classification],"&gt;0")</f>
        <v>0</v>
      </c>
      <c r="HK17" s="6">
        <f>COUNTIFS(Table72[Country],Tabela1[[#This Row],[Country]],Table72[Women''s Coxless Fours Classification],"&gt;0")</f>
        <v>0</v>
      </c>
      <c r="HL17" s="6">
        <f>COUNTIFS(Table72[Country],Tabela1[[#This Row],[Country]],Table72[Men''s Eights Classification],"&gt;0")</f>
        <v>1</v>
      </c>
      <c r="HM17" s="6">
        <f>COUNTIFS(Table72[Country],Tabela1[[#This Row],[Country]],Table72[Women''s Eights Classification],"&gt;0")</f>
        <v>0</v>
      </c>
      <c r="HN17" s="6">
        <f>COUNTIFS(Table16[Country],Tabela1[[#This Row],[Country]],Table16[Men''s Lwt. Double Sculls Classification],"&gt;0")</f>
        <v>0</v>
      </c>
      <c r="HO17" s="6">
        <f>COUNTIFS(Table16[Country],Tabela1[[#This Row],[Country]],Table16[Women''s Lwt. Double Sculls Classification],"&gt;0")</f>
        <v>0</v>
      </c>
      <c r="HP17" s="6">
        <f>COUNTIFS(Table91949698[Country],Tabela1[[#This Row],[Country]],Table91949698[Men''s Classification],"&gt;0")</f>
        <v>0</v>
      </c>
      <c r="HQ17" s="6">
        <f>COUNTIFS(Table91949698[Country],Tabela1[[#This Row],[Country]],Table91949698[Women''s Classification],"&gt;0")</f>
        <v>0</v>
      </c>
      <c r="HR17" s="6">
        <f>COUNTIFS(Table25[Country],Tabela1[[#This Row],[Country]],Table25[Mixed 470 Classification],"&gt;0")</f>
        <v>0</v>
      </c>
      <c r="HS17" s="6">
        <f>COUNTIFS(Table25[Country],Tabela1[[#This Row],[Country]],Table25[Men''s 49er Classification],"&gt;0")</f>
        <v>0</v>
      </c>
      <c r="HT17" s="6">
        <f>COUNTIFS(Table25[Country],Tabela1[[#This Row],[Country]],Table25[Women''s 49er FX Classification],"&gt;0")</f>
        <v>0</v>
      </c>
      <c r="HU17" s="6">
        <f>COUNTIFS(Table17[Country],Tabela1[[#This Row],[Country]],Table17[Formula Kite Classification],"&gt;0")</f>
        <v>0</v>
      </c>
      <c r="HV17" s="6">
        <f>COUNTIFS(Table18[Country],Tabela1[[#This Row],[Country]],Table18[Formula Kite Classification],"&gt;0")</f>
        <v>0</v>
      </c>
      <c r="HW17" s="6">
        <f>COUNTIFS(Table17[Country],Tabela1[[#This Row],[Country]],Table17[ILCA 7 Classification],"&gt;0")</f>
        <v>0</v>
      </c>
      <c r="HX17" s="6">
        <f>COUNTIFS(Table18[Country],Tabela1[[#This Row],[Country]],Table18[ILCA 6 Classification],"&gt;0")</f>
        <v>1</v>
      </c>
      <c r="HY17" s="6">
        <f>COUNTIFS(Table17[Country],Tabela1[[#This Row],[Country]],Table17[IQFoil Classification],"&gt;0")</f>
        <v>0</v>
      </c>
      <c r="HZ17" s="6">
        <f>COUNTIFS(Table18[Country],Tabela1[[#This Row],[Country]],Table18[IQFoil Classification],"&gt;0")</f>
        <v>0</v>
      </c>
      <c r="IA17" s="6">
        <f>COUNTIFS(Table25[Country],Tabela1[[#This Row],[Country]],Table25[Mixed Nacra 17 Classification],"&gt;0")</f>
        <v>1</v>
      </c>
      <c r="IB17" s="6">
        <f>COUNTIFS(Table53[Country],Tabela1[[#This Row],[Country]],Table53[10m Air Pistol Classification],"&gt;0")</f>
        <v>0</v>
      </c>
      <c r="IC17" s="6">
        <f>COUNTIFS(Table19[Country],Tabela1[[#This Row],[Country]],Table19[10m Air Pistol Classification],"&gt;0")</f>
        <v>0</v>
      </c>
      <c r="ID17" s="6">
        <f>COUNTIFS(Table54[Country],Tabela1[[#This Row],[Country]],Table54[Mixed 10m Air Pistol Team Classification],"&gt;0")</f>
        <v>0</v>
      </c>
      <c r="IE17" s="6">
        <f>COUNTIFS(Table53[Country],Tabela1[[#This Row],[Country]],Table53[10m Air Rifle Classification],"&gt;0")</f>
        <v>0</v>
      </c>
      <c r="IF17" s="6">
        <f>COUNTIFS(Table19[Country],Tabela1[[#This Row],[Country]],Table19[10m Air Rifle Classification],"&gt;0")</f>
        <v>0</v>
      </c>
      <c r="IG17" s="6">
        <f>COUNTIFS(Table54[Country],Tabela1[[#This Row],[Country]],Table54[Mixed 10m Air Rifle Team Classification],"&gt;0")</f>
        <v>0</v>
      </c>
      <c r="IH17" s="6">
        <f>COUNTIFS(Table53[Country],Tabela1[[#This Row],[Country]],Table53[25m Rapid Fire Pistol Classification],"&gt;0")</f>
        <v>0</v>
      </c>
      <c r="II17" s="6">
        <f>COUNTIFS(Table19[Country],Tabela1[[#This Row],[Country]],Table19[25m Pistol Classification],"&gt;0")</f>
        <v>0</v>
      </c>
      <c r="IJ17" s="6">
        <f>COUNTIFS(Table53[Country],Tabela1[[#This Row],[Country]],Table53[50m Rifle 3 Positions Classification],"&gt;0")</f>
        <v>0</v>
      </c>
      <c r="IK17" s="6">
        <f>COUNTIFS(Table19[Country],Tabela1[[#This Row],[Country]],Table19[50m Rifle 3 Positions Classification],"&gt;0")</f>
        <v>0</v>
      </c>
      <c r="IL17" s="6">
        <f>COUNTIFS(Table53[Country],Tabela1[[#This Row],[Country]],Table53[Skeet Classification],"&gt;0")</f>
        <v>0</v>
      </c>
      <c r="IM17" s="6">
        <f>COUNTIFS(Table19[Country],Tabela1[[#This Row],[Country]],Table19[Skeet Classification],"&gt;0")</f>
        <v>0</v>
      </c>
      <c r="IN17" s="6">
        <f>COUNTIFS(Table54[Country],Tabela1[[#This Row],[Country]],Table54[Mixed Skeet Team Classification],"&gt;0")</f>
        <v>0</v>
      </c>
      <c r="IO17" s="6">
        <f>COUNTIFS(Table53[Country],Tabela1[[#This Row],[Country]],Table53[Trap Classification],"&gt;0")</f>
        <v>0</v>
      </c>
      <c r="IP17" s="6">
        <f>COUNTIFS(Table19[Country],Tabela1[[#This Row],[Country]],Table19[Trap Classification],"&gt;0")</f>
        <v>0</v>
      </c>
      <c r="IQ17" s="6">
        <f>COUNTIFS(Table73[Country],Tabela1[[#This Row],[Country]],Table73[Park Classification],"&gt;0")</f>
        <v>0</v>
      </c>
      <c r="IR17" s="6">
        <f>COUNTIFS(Table74[Country],Tabela1[[#This Row],[Country]],Table74[Park Classification],"&gt;0")</f>
        <v>0</v>
      </c>
      <c r="IS17" s="6">
        <f>COUNTIFS(Table73[Country],Tabela1[[#This Row],[Country]],Table73[Street Classification],"&gt;0")</f>
        <v>0</v>
      </c>
      <c r="IT17" s="6">
        <f>COUNTIFS(Table74[Country],Tabela1[[#This Row],[Country]],Table74[Street Classification],"&gt;0")</f>
        <v>0</v>
      </c>
      <c r="IU17" s="6">
        <f>COUNTIFS(Table75[Country],Tabela1[[#This Row],[Country]],Table75[Boulder and Lead Classification],"&gt;0")</f>
        <v>0</v>
      </c>
      <c r="IV17" s="6">
        <f>COUNTIFS(Table76[Country],Tabela1[[#This Row],[Country]],Table76[Boulder and Lead Classification],"&gt;0")</f>
        <v>0</v>
      </c>
      <c r="IW17" s="6">
        <f>COUNTIFS(Table75[Country],Tabela1[[#This Row],[Country]],Table75[Speed Classification],"&gt;0")</f>
        <v>0</v>
      </c>
      <c r="IX17" s="6">
        <f>COUNTIFS(Table76[Country],Tabela1[[#This Row],[Country]],Table76[Speed Classification],"&gt;0")</f>
        <v>0</v>
      </c>
      <c r="IY17" s="6">
        <f>COUNTIFS(Table64[Country],Tabela1[[#This Row],[Country]],Table64[Shortboard Classification],"&gt;0")</f>
        <v>0</v>
      </c>
      <c r="IZ17" s="6">
        <f>COUNTIFS(Table77[Country],Tabela1[[#This Row],[Country]],Table77[Shortboard Classification],"&gt;0")</f>
        <v>0</v>
      </c>
      <c r="JA17" s="6">
        <f>COUNTIFS(Table20[Country],Tabela1[[#This Row],[Country]],Table20[50m Freestyle Classification],"&gt;0")</f>
        <v>0</v>
      </c>
      <c r="JB17" s="6">
        <f>COUNTIFS(Table21[Country],Tabela1[[#This Row],[Country]],Table21[50m Freestyle Classification],"&gt;0")</f>
        <v>0</v>
      </c>
      <c r="JC17" s="6">
        <f>COUNTIFS(Table20[Country],Tabela1[[#This Row],[Country]],Table20[100m Freestyle Classification],"&gt;0")</f>
        <v>0</v>
      </c>
      <c r="JD17" s="6">
        <f>COUNTIFS(Table21[Country],Tabela1[[#This Row],[Country]],Table21[100m Freestyle Classification],"&gt;0")</f>
        <v>1</v>
      </c>
      <c r="JE17" s="6">
        <f>COUNTIFS(Table20[Country],Tabela1[[#This Row],[Country]],Table20[200m Freestyle Classification],"&gt;0")</f>
        <v>0</v>
      </c>
      <c r="JF17" s="6">
        <f>COUNTIFS(Table21[Country],Tabela1[[#This Row],[Country]],Table21[200m Freestyle Classification],"&gt;0")</f>
        <v>0</v>
      </c>
      <c r="JG17" s="6">
        <f>COUNTIFS(Table20[Country],Tabela1[[#This Row],[Country]],Table20[400m Freestyle Classification],"&gt;0")</f>
        <v>0</v>
      </c>
      <c r="JH17" s="6">
        <f>COUNTIFS(Table21[Country],Tabela1[[#This Row],[Country]],Table21[400m Freestyle Classification],"&gt;0")</f>
        <v>0</v>
      </c>
      <c r="JI17" s="6">
        <f>COUNTIFS(Table20[Country],Tabela1[[#This Row],[Country]],Table20[800m Freestyle Classification],"&gt;0")</f>
        <v>0</v>
      </c>
      <c r="JJ17" s="6">
        <f>COUNTIFS(Table21[Country],Tabela1[[#This Row],[Country]],Table21[800m Freestyle Classification],"&gt;0")</f>
        <v>0</v>
      </c>
      <c r="JK17" s="6">
        <f>COUNTIFS(Table20[Country],Tabela1[[#This Row],[Country]],Table20[1500m Freestyle Classification],"&gt;0")</f>
        <v>0</v>
      </c>
      <c r="JL17" s="6">
        <f>COUNTIFS(Table21[Country],Tabela1[[#This Row],[Country]],Table21[1500m Freestyle Classification],"&gt;0")</f>
        <v>0</v>
      </c>
      <c r="JM17" s="6">
        <f>COUNTIFS(Table20[Country],Tabela1[[#This Row],[Country]],Table20[100m Backstroke Classification],"&gt;0")</f>
        <v>0</v>
      </c>
      <c r="JN17" s="6">
        <f>COUNTIFS(Table21[Country],Tabela1[[#This Row],[Country]],Table21[100m Backstroke Classification],"&gt;0")</f>
        <v>0</v>
      </c>
      <c r="JO17" s="6">
        <f>COUNTIFS(Table20[Country],Tabela1[[#This Row],[Country]],Table20[200m Backstroke Classification],"&gt;0")</f>
        <v>0</v>
      </c>
      <c r="JP17" s="6">
        <f>COUNTIFS(Table21[Country],Tabela1[[#This Row],[Country]],Table21[200m Backstroke Classification],"&gt;0")</f>
        <v>0</v>
      </c>
      <c r="JQ17" s="6">
        <f>COUNTIFS(Table20[Country],Tabela1[[#This Row],[Country]],Table20[100m Breaststroke Classification],"&gt;0")</f>
        <v>1</v>
      </c>
      <c r="JR17" s="6">
        <f>COUNTIFS(Table21[Country],Tabela1[[#This Row],[Country]],Table21[100m Breaststroke Classification],"&gt;0")</f>
        <v>0</v>
      </c>
      <c r="JS17" s="6">
        <f>COUNTIFS(Table20[Country],Tabela1[[#This Row],[Country]],Table20[200m Breaststroke Classification],"&gt;0")</f>
        <v>1</v>
      </c>
      <c r="JT17" s="6">
        <f>COUNTIFS(Table21[Country],Tabela1[[#This Row],[Country]],Table21[200m Breaststroke Classification],"&gt;0")</f>
        <v>0</v>
      </c>
      <c r="JU17" s="6">
        <f>COUNTIFS(Table20[Country],Tabela1[[#This Row],[Country]],Table20[100m Butterfly Classification],"&gt;0")</f>
        <v>1</v>
      </c>
      <c r="JV17" s="6">
        <f>COUNTIFS(Table21[Country],Tabela1[[#This Row],[Country]],Table21[100m Butterfly Classification],"&gt;0")</f>
        <v>0</v>
      </c>
      <c r="JW17" s="6">
        <f>COUNTIFS(Table20[Country],Tabela1[[#This Row],[Country]],Table20[200m Butterfly Classification],"&gt;0")</f>
        <v>0</v>
      </c>
      <c r="JX17" s="6">
        <f>COUNTIFS(Table21[Country],Tabela1[[#This Row],[Country]],Table21[200m Butterfly Classification],"&gt;0")</f>
        <v>0</v>
      </c>
      <c r="JY17" s="6">
        <f>COUNTIFS(Table20[Country],Tabela1[[#This Row],[Country]],Table20[200m Medley Classification],"&gt;0")</f>
        <v>0</v>
      </c>
      <c r="JZ17" s="6">
        <f>COUNTIFS(Table21[Country],Tabela1[[#This Row],[Country]],Table21[200m Medley Classification],"&gt;0")</f>
        <v>1</v>
      </c>
      <c r="KA17" s="6">
        <f>COUNTIFS(Table20[Country],Tabela1[[#This Row],[Country]],Table20[400m Medley Classification],"&gt;0")</f>
        <v>0</v>
      </c>
      <c r="KB17" s="6">
        <f>COUNTIFS(Table21[Country],Tabela1[[#This Row],[Country]],Table21[400m Medley Classification],"&gt;0")</f>
        <v>0</v>
      </c>
      <c r="KC17" s="6">
        <f>COUNTIFS(Table78[Country],Tabela1[[#This Row],[Country]],Table78[Men''s 4x100m Freestyle Relay Classification],"&gt;0")</f>
        <v>0</v>
      </c>
      <c r="KD17" s="6">
        <f>COUNTIFS(Table78[Country],Tabela1[[#This Row],[Country]],Table78[Women''s 4x100m Freestyle Relay Classification],"&gt;0")</f>
        <v>1</v>
      </c>
      <c r="KE17" s="6">
        <f>COUNTIFS(Table78[Country],Tabela1[[#This Row],[Country]],Table78[Men''s 4x200m Freestyle Relay Classification],"&gt;0")</f>
        <v>0</v>
      </c>
      <c r="KF17" s="6">
        <f>COUNTIFS(Table78[Country],Tabela1[[#This Row],[Country]],Table78[Women''s 4x200m Freestyle Relay Classification],"&gt;0")</f>
        <v>1</v>
      </c>
      <c r="KG17" s="6">
        <f>COUNTIFS(Table78[Country],Tabela1[[#This Row],[Country]],Table78[Men''s 4x100m Medley Relay Classification],"&gt;0")</f>
        <v>1</v>
      </c>
      <c r="KH17" s="6">
        <f>COUNTIFS(Table78[Country],Tabela1[[#This Row],[Country]],Table78[Women''s 4x100m Medley Relay Classification],"&gt;0")</f>
        <v>1</v>
      </c>
      <c r="KI17" s="6">
        <f>COUNTIFS(Table78[Country],Tabela1[[#This Row],[Country]],Table78[Mixed 4x100m Medley Relay Classification],"&gt;0")</f>
        <v>1</v>
      </c>
      <c r="KJ17" s="6">
        <f>COUNTIFS(Table20[Country],Tabela1[[#This Row],[Country]],Table20[10km Open Water Classification],"&gt;0")</f>
        <v>0</v>
      </c>
      <c r="KK17" s="6">
        <f>COUNTIFS(Table21[Country],Tabela1[[#This Row],[Country]],Table21[10km Open Water Classification],"&gt;0")</f>
        <v>0</v>
      </c>
      <c r="KL17" s="6">
        <f>COUNTIFS(Table22[Country],Tabela1[[#This Row],[Country]],Table22[Classification],"&gt;0")</f>
        <v>0</v>
      </c>
      <c r="KM17" s="6">
        <f>COUNTIFS(Table30[Country],Tabela1[[#This Row],[Country]],Table30[Classification],"&gt;0")</f>
        <v>0</v>
      </c>
      <c r="KN17" s="6">
        <f>COUNTIFS(Table55[Country],Tabela1[[#This Row],[Country]],Table55[Men''s Classification],"&gt;0")</f>
        <v>0</v>
      </c>
      <c r="KO17" s="6">
        <f>COUNTIFS(Table55[Country],Tabela1[[#This Row],[Country]],Table55[Women''s Classification],"&gt;0")</f>
        <v>0</v>
      </c>
      <c r="KP17" s="6">
        <f>COUNTIFS(Table56[Country],Tabela1[[#This Row],[Country]],Table56[Mixed Classification],"&gt;0")</f>
        <v>0</v>
      </c>
      <c r="KQ17" s="6">
        <f>COUNTIFS(Table29[Country],Tabela1[[#This Row],[Country]],Table29[58kg Classification],"&gt;0")</f>
        <v>0</v>
      </c>
      <c r="KR17" s="6">
        <f>COUNTIFS(Table29[Country],Tabela1[[#This Row],[Country]],Table29[68kg Classification],"&gt;0")</f>
        <v>0</v>
      </c>
      <c r="KS17" s="6">
        <f>COUNTIFS(Table29[Country],Tabela1[[#This Row],[Country]],Table29[80kg Classification],"&gt;0")</f>
        <v>0</v>
      </c>
      <c r="KT17" s="6">
        <f>COUNTIFS(Table29[Country],Tabela1[[#This Row],[Country]],Table29[Plus 80kg Classification],"&gt;0")</f>
        <v>0</v>
      </c>
      <c r="KU17" s="6">
        <f>COUNTIFS(Table34[Country],Tabela1[[#This Row],[Country]],Table34[49kg Classification],"&gt;0")</f>
        <v>0</v>
      </c>
      <c r="KV17" s="6">
        <f>COUNTIFS(Table34[Country],Tabela1[[#This Row],[Country]],Table34[57kg Classification],"&gt;0")</f>
        <v>0</v>
      </c>
      <c r="KW17" s="6">
        <f>COUNTIFS(Table34[Country],Tabela1[[#This Row],[Country]],Table34[67kg Classification],"&gt;0")</f>
        <v>0</v>
      </c>
      <c r="KX17" s="6">
        <f>COUNTIFS(Table34[Country],Tabela1[[#This Row],[Country]],Table34[Plus 67kg Classification],"&gt;0")</f>
        <v>0</v>
      </c>
      <c r="KY17" s="6">
        <f>COUNTIFS(Table57[Country],Tabela1[[#This Row],[Country]],Table57[Classification],"&gt;0")</f>
        <v>0</v>
      </c>
      <c r="KZ17" s="6">
        <f>COUNTIFS(Table58[Country],Tabela1[[#This Row],[Country]],Table58[Classification],"&gt;0")</f>
        <v>0</v>
      </c>
      <c r="LA17" s="6">
        <f>COUNTIFS(Table79[Country],Tabela1[[#This Row],[Country]],Table79[Men''s Classification],"&gt;0")</f>
        <v>0</v>
      </c>
      <c r="LB17" s="6">
        <f>COUNTIFS(Table79[Country],Tabela1[[#This Row],[Country]],Table79[Women''s Classification],"&gt;0")</f>
        <v>0</v>
      </c>
      <c r="LC17" s="6">
        <f>COUNTIFS(Table79[Country],Tabela1[[#This Row],[Country]],Table79[Mixed Classification],"&gt;0")</f>
        <v>0</v>
      </c>
      <c r="LD17" s="6">
        <f>COUNTIFS(Table65[Country],Tabela1[[#This Row],[Country]],Table65[Classification],"&gt;0")</f>
        <v>0</v>
      </c>
      <c r="LE17" s="6">
        <f>COUNTIFS(Table59[Country],Tabela1[[#This Row],[Country]],Table59[Classification],"&gt;0")</f>
        <v>2</v>
      </c>
      <c r="LF17" s="6">
        <f>COUNTIFS(Table87[Country],Tabela1[[#This Row],[Country]],Table87[Mixed Relay Classification],"&gt;0")</f>
        <v>1</v>
      </c>
      <c r="LG17" s="6">
        <f>COUNTIFS(Table91949698100[Country],Tabela1[[#This Row],[Country]],Table91949698100[Men''s Classification],"&gt;0")</f>
        <v>0</v>
      </c>
      <c r="LH17" s="6">
        <f>COUNTIFS(Table91949698100[Country],Tabela1[[#This Row],[Country]],Table91949698100[Women''s Classification],"&gt;0")</f>
        <v>1</v>
      </c>
      <c r="LI17" s="6">
        <f>COUNTIFS(Table91949698100102[Country],Tabela1[[#This Row],[Country]],Table91949698100102[Men''s Classification],"&gt;0")</f>
        <v>0</v>
      </c>
      <c r="LJ17" s="6">
        <f>COUNTIFS(Table91949698100102[Country],Tabela1[[#This Row],[Country]],Table91949698100102[Women''s Classification],"&gt;0")</f>
        <v>0</v>
      </c>
      <c r="LK17" s="6">
        <f>COUNTIFS(Table23[Country],Tabela1[[#This Row],[Country]],Table23[61kg Classification],"&gt;0")</f>
        <v>0</v>
      </c>
      <c r="LL17" s="6">
        <f>COUNTIFS(Table23[Country],Tabela1[[#This Row],[Country]],Table23[73kg Classification],"&gt;0")</f>
        <v>0</v>
      </c>
      <c r="LM17" s="6">
        <f>COUNTIFS(Table23[Country],Tabela1[[#This Row],[Country]],Table23[89kg Classification],"&gt;0")</f>
        <v>0</v>
      </c>
      <c r="LN17" s="6">
        <f>COUNTIFS(Table23[Country],Tabela1[[#This Row],[Country]],Table23[102kg Classification],"&gt;0")</f>
        <v>0</v>
      </c>
      <c r="LO17" s="6">
        <f>COUNTIFS(Table23[Country],Tabela1[[#This Row],[Country]],Table23[Plus 102kg Classification],"&gt;0")</f>
        <v>0</v>
      </c>
      <c r="LP17" s="6">
        <f>COUNTIFS(Table28[Country],Tabela1[[#This Row],[Country]],Table28[49kg Classification],"&gt;0")</f>
        <v>0</v>
      </c>
      <c r="LQ17" s="6">
        <f>COUNTIFS(Table28[Country],Tabela1[[#This Row],[Country]],Table28[59kg Classification],"&gt;0")</f>
        <v>0</v>
      </c>
      <c r="LR17" s="6">
        <f>COUNTIFS(Table28[Country],Tabela1[[#This Row],[Country]],Table28[71kg Classification],"&gt;0")</f>
        <v>0</v>
      </c>
      <c r="LS17" s="6">
        <f>COUNTIFS(Table28[Country],Tabela1[[#This Row],[Country]],Table28[81kg Classification],"&gt;0")</f>
        <v>0</v>
      </c>
      <c r="LT17" s="6">
        <f>COUNTIFS(Table28[Country],Tabela1[[#This Row],[Country]],Table28[Plus 81kg Classification],"&gt;0")</f>
        <v>0</v>
      </c>
      <c r="LU17" s="6">
        <f>COUNTIFS(Table24[Country],Tabela1[[#This Row],[Country]],Table24[Freestyle 57kg Classification],"&gt;0")</f>
        <v>0</v>
      </c>
      <c r="LV17" s="6">
        <f>COUNTIFS(Table24[Country],Tabela1[[#This Row],[Country]],Table24[Freestyle 65kg Classification],"&gt;0")</f>
        <v>0</v>
      </c>
      <c r="LW17" s="6">
        <f>COUNTIFS(Table24[Country],Tabela1[[#This Row],[Country]],Table24[Freestyle 74kg Classification],"&gt;0")</f>
        <v>0</v>
      </c>
      <c r="LX17" s="6">
        <f>COUNTIFS(Table24[Country],Tabela1[[#This Row],[Country]],Table24[Freestyle 86kg Classification],"&gt;0")</f>
        <v>0</v>
      </c>
      <c r="LY17" s="6">
        <f>COUNTIFS(Table24[Country],Tabela1[[#This Row],[Country]],Table24[Freestyle 97kg Classification],"&gt;0")</f>
        <v>0</v>
      </c>
      <c r="LZ17" s="6">
        <f>COUNTIFS(Table24[Country],Tabela1[[#This Row],[Country]],Table24[Freestyle 125kg Classification],"&gt;0")</f>
        <v>0</v>
      </c>
      <c r="MA17" s="6">
        <f>COUNTIFS(Table24[Country],Tabela1[[#This Row],[Country]],Table24[Greco-Roman 60kg Classification],"&gt;0")</f>
        <v>0</v>
      </c>
      <c r="MB17" s="6">
        <f>COUNTIFS(Table24[Country],Tabela1[[#This Row],[Country]],Table24[Greco-Roman 67kg Classification],"&gt;0")</f>
        <v>0</v>
      </c>
      <c r="MC17" s="6">
        <f>COUNTIFS(Table24[Country],Tabela1[[#This Row],[Country]],Table24[Greco-Roman 77kg Classification],"&gt;0")</f>
        <v>0</v>
      </c>
      <c r="MD17" s="6">
        <f>COUNTIFS(Table24[Country],Tabela1[[#This Row],[Country]],Table24[Greco-Roman 87kg Classification],"&gt;0")</f>
        <v>0</v>
      </c>
      <c r="ME17" s="6">
        <f>COUNTIFS(Table24[Country],Tabela1[[#This Row],[Country]],Table24[Greco-Roman 97kg Classification],"&gt;0")</f>
        <v>0</v>
      </c>
      <c r="MF17" s="6">
        <f>COUNTIFS(Table24[Country],Tabela1[[#This Row],[Country]],Table24[Greco-Roman 130kg Classification],"&gt;0")</f>
        <v>0</v>
      </c>
      <c r="MG17" s="6">
        <f>COUNTIFS(Table31[Country],Tabela1[[#This Row],[Country]],Table31[50kg Classification],"&gt;0")</f>
        <v>0</v>
      </c>
      <c r="MH17" s="6">
        <f>COUNTIFS(Table31[Country],Tabela1[[#This Row],[Country]],Table31[53kg Classification],"&gt;0")</f>
        <v>0</v>
      </c>
      <c r="MI17" s="6">
        <f>COUNTIFS(Table31[Country],Tabela1[[#This Row],[Country]],Table31[57kg Classification],"&gt;0")</f>
        <v>0</v>
      </c>
      <c r="MJ17" s="6">
        <f>COUNTIFS(Table31[Country],Tabela1[[#This Row],[Country]],Table31[62kg Classification],"&gt;0")</f>
        <v>0</v>
      </c>
      <c r="MK17" s="6">
        <f>COUNTIFS(Table31[Country],Tabela1[[#This Row],[Country]],Table31[68kg Classification],"&gt;0")</f>
        <v>0</v>
      </c>
      <c r="ML17" s="6">
        <f>COUNTIFS(Table31[Country],Tabela1[[#This Row],[Country]],Table31[76kg Classification],"&gt;0")</f>
        <v>0</v>
      </c>
      <c r="MM17" s="6">
        <f>COUNTIFS(Table102[Country],Tabela1[[#This Row],[Country]],Table102[Downhill Classification],"&gt;0")</f>
        <v>0</v>
      </c>
      <c r="MN17" s="6">
        <f>COUNTIFS(Table102105[Country],Tabela1[[#This Row],[Country]],Table102105[Downhill Classification],"&gt;0")</f>
        <v>0</v>
      </c>
      <c r="MO17" s="6">
        <f>COUNTIFS(Table102[Country],Tabela1[[#This Row],[Country]],Table102[Giant Slalom Classification],"&gt;0")</f>
        <v>0</v>
      </c>
      <c r="MP17" s="6">
        <f>COUNTIFS(Table102105[Country],Tabela1[[#This Row],[Country]],Table102105[Giant Slalom Classification],"&gt;0")</f>
        <v>0</v>
      </c>
      <c r="MQ17" s="6">
        <f>COUNTIFS(Table102[Country],Tabela1[[#This Row],[Country]],Table102[Slalom Classification],"&gt;0")</f>
        <v>0</v>
      </c>
      <c r="MR17" s="6">
        <f>COUNTIFS(Table102105[Country],Tabela1[[#This Row],[Country]],Table102105[Slalom Classification],"&gt;0")</f>
        <v>0</v>
      </c>
      <c r="MS17" s="6">
        <f>COUNTIFS(Table102[Country],Tabela1[[#This Row],[Country]],Table102[Super-G Classification],"&gt;0")</f>
        <v>0</v>
      </c>
      <c r="MT17" s="6">
        <f>COUNTIFS(Table102105[Country],Tabela1[[#This Row],[Country]],Table102105[Super-G Classification],"&gt;0")</f>
        <v>0</v>
      </c>
      <c r="MU17" s="6">
        <f>COUNTIFS(Table105[Country],Tabela1[[#This Row],[Country]],Table105[Men''s Combined Classification],"&gt;0")</f>
        <v>0</v>
      </c>
      <c r="MV17" s="6">
        <f>COUNTIFS(Table105[Country],Tabela1[[#This Row],[Country]],Table105[Women''s Combined Classification],"&gt;0")</f>
        <v>0</v>
      </c>
      <c r="MW17" s="6">
        <f>COUNTIFS(Table106[Country],Tabela1[[#This Row],[Country]],Table106[Individual Classification],"&gt;0")</f>
        <v>0</v>
      </c>
      <c r="MX17" s="6">
        <f>COUNTIFS(Table106109[Country],Tabela1[[#This Row],[Country]],Table106109[Individual Classification],"&gt;0")</f>
        <v>0</v>
      </c>
      <c r="MY17" s="6">
        <f>COUNTIFS(Table106[Country],Tabela1[[#This Row],[Country]],Table106[Mass Start Classification],"&gt;0")</f>
        <v>0</v>
      </c>
      <c r="MZ17" s="6">
        <f>COUNTIFS(Table106109[Country],Tabela1[[#This Row],[Country]],Table106109[Mass Start Classification],"&gt;0")</f>
        <v>0</v>
      </c>
      <c r="NA17" s="6">
        <f>COUNTIFS(Table106[Country],Tabela1[[#This Row],[Country]],Table106[Pursuit Classification],"&gt;0")</f>
        <v>0</v>
      </c>
      <c r="NB17" s="6">
        <f>COUNTIFS(Table106109[Country],Tabela1[[#This Row],[Country]],Table106109[Pursuit Classification],"&gt;0")</f>
        <v>0</v>
      </c>
      <c r="NC17" s="6">
        <f>COUNTIFS(Table106[Country],Tabela1[[#This Row],[Country]],Table106[Sprint Classification],"&gt;0")</f>
        <v>0</v>
      </c>
      <c r="ND17" s="6">
        <f>COUNTIFS(Table106109[Country],Tabela1[[#This Row],[Country]],Table106109[Sprint Classification],"&gt;0")</f>
        <v>0</v>
      </c>
      <c r="NE17" s="6">
        <f>COUNTIFS(Table109[Country],Tabela1[[#This Row],[Country]],Table109[Men''s Relay Classification],"&gt;0")</f>
        <v>0</v>
      </c>
      <c r="NF17" s="6">
        <f>COUNTIFS(Table109[Country],Tabela1[[#This Row],[Country]],Table109[Women''s Relay Classification],"&gt;0")</f>
        <v>0</v>
      </c>
      <c r="NG17" s="6">
        <f>COUNTIFS(Table109[Country],Tabela1[[#This Row],[Country]],Table109[Mixed Relay Classification],"&gt;0")</f>
        <v>0</v>
      </c>
      <c r="NH17" s="6">
        <f>COUNTIFS(Table110[Country],Tabela1[[#This Row],[Country]],Table110[Monobob Classification],"&gt;0")</f>
        <v>0</v>
      </c>
      <c r="NI17" s="6">
        <f>COUNTIFS(Table111[Country],Tabela1[[#This Row],[Country]],Table111[Men''s Classification],"&gt;0")</f>
        <v>1</v>
      </c>
      <c r="NJ17" s="6">
        <f>COUNTIFS(Table111[Country],Tabela1[[#This Row],[Country]],Table111[Women''s Classification],"&gt;0")</f>
        <v>0</v>
      </c>
      <c r="NK17" s="6">
        <f>COUNTIFS(Table112[Country],Tabela1[[#This Row],[Country]],Table112[Men''s Four Classification],"&gt;0")</f>
        <v>1</v>
      </c>
      <c r="NL17" s="6">
        <f>COUNTIFS(Table113[Country],Tabela1[[#This Row],[Country]],Table113[Classical Classification],"&gt;0")</f>
        <v>0</v>
      </c>
      <c r="NM17" s="6">
        <f>COUNTIFS(Table113116[Country],Tabela1[[#This Row],[Country]],Table113116[Classical Classification],"&gt;0")</f>
        <v>0</v>
      </c>
      <c r="NN17" s="6">
        <f>COUNTIFS(Table113[Country],Tabela1[[#This Row],[Country]],Table113[Freestyle Classification],"&gt;0")</f>
        <v>0</v>
      </c>
      <c r="NO17" s="6">
        <f>COUNTIFS(Table113116[Country],Tabela1[[#This Row],[Country]],Table113116[Freestyle Classification],"&gt;0")</f>
        <v>0</v>
      </c>
      <c r="NP17" s="6">
        <f>COUNTIFS(Table117[Country],Tabela1[[#This Row],[Country]],Table117[Men''s Relay Classification],"&gt;0")</f>
        <v>0</v>
      </c>
      <c r="NQ17" s="6">
        <f>COUNTIFS(Table117[Country],Tabela1[[#This Row],[Country]],Table117[Women''s Relay Classification],"&gt;0")</f>
        <v>0</v>
      </c>
      <c r="NR17" s="6">
        <f>COUNTIFS(Table113[Country],Tabela1[[#This Row],[Country]],Table113[Skiathlon Classification],"&gt;0")</f>
        <v>0</v>
      </c>
      <c r="NS17" s="6">
        <f>COUNTIFS(Table113116[Country],Tabela1[[#This Row],[Country]],Table113116[Skiathlon Classification],"&gt;0")</f>
        <v>0</v>
      </c>
      <c r="NT17" s="6">
        <f>COUNTIFS(Table113[Country],Tabela1[[#This Row],[Country]],Table113[Sprint Classification],"&gt;0")</f>
        <v>0</v>
      </c>
      <c r="NU17" s="6">
        <f>COUNTIFS(Table113116[Country],Tabela1[[#This Row],[Country]],Table113116[Sprint Classification],"&gt;0")</f>
        <v>0</v>
      </c>
      <c r="NV17" s="6">
        <f>COUNTIFS(Table116[Country],Tabela1[[#This Row],[Country]],Table116[Men''s Team Sprint Classification],"&gt;0")</f>
        <v>0</v>
      </c>
      <c r="NW17" s="6">
        <f>COUNTIFS(Table116[Country],Tabela1[[#This Row],[Country]],Table116[Women''s Team Sprint Classification],"&gt;0")</f>
        <v>0</v>
      </c>
      <c r="NX17" s="6">
        <f>COUNTIFS(Table119[Country],Tabela1[[#This Row],[Country]],Table119[Men''s Classification],"&gt;0")</f>
        <v>0</v>
      </c>
      <c r="NY17" s="6">
        <f>COUNTIFS(Table119[Country],Tabela1[[#This Row],[Country]],Table119[Women''s Classification],"&gt;0")</f>
        <v>0</v>
      </c>
      <c r="NZ17" s="6">
        <f>COUNTIFS(Table118[Country],Tabela1[[#This Row],[Country]],Table118[Mixed Classification],"&gt;0")</f>
        <v>0</v>
      </c>
      <c r="OA17" s="6">
        <f>COUNTIFS(Table120[Country],Tabela1[[#This Row],[Country]],Table120[Classification],"&gt;0")</f>
        <v>0</v>
      </c>
      <c r="OB17" s="6">
        <f>COUNTIFS(Table120123[Country],Tabela1[[#This Row],[Country]],Table120123[Classification],"&gt;0")</f>
        <v>0</v>
      </c>
      <c r="OC17" s="6">
        <f>COUNTIFS(Table123[Country],Tabela1[[#This Row],[Country]],Table123[Ice Dance Classification],"&gt;0")</f>
        <v>0</v>
      </c>
      <c r="OD17" s="6">
        <f>COUNTIFS(Table123[Country],Tabela1[[#This Row],[Country]],Table123[Pair Skating Classification],"&gt;0")</f>
        <v>1</v>
      </c>
      <c r="OE17" s="6">
        <f>COUNTIFS(Table124[Country],Tabela1[[#This Row],[Country]],Table124[Mixed Classification],"&gt;0")</f>
        <v>0</v>
      </c>
      <c r="OF17" s="6">
        <f>COUNTIFS(Table125[Country],Tabela1[[#This Row],[Country]],Table125[Aerials Classification],"&gt;0")</f>
        <v>0</v>
      </c>
      <c r="OG17" s="6">
        <f>COUNTIFS(Table125128[Country],Tabela1[[#This Row],[Country]],Table125128[Aerials Classification],"&gt;0")</f>
        <v>0</v>
      </c>
      <c r="OH17" s="6">
        <f>COUNTIFS(Table128[Country],Tabela1[[#This Row],[Country]],Table128[Mixed Aerials Classification],"&gt;0")</f>
        <v>0</v>
      </c>
      <c r="OI17" s="6">
        <f>COUNTIFS(Table125[Country],Tabela1[[#This Row],[Country]],Table125[Big Air Classification],"&gt;0")</f>
        <v>0</v>
      </c>
      <c r="OJ17" s="6">
        <f>COUNTIFS(Table125128[Country],Tabela1[[#This Row],[Country]],Table125128[Big Air Classification],"&gt;0")</f>
        <v>0</v>
      </c>
      <c r="OK17" s="6">
        <f>COUNTIFS(Table125[Country],Tabela1[[#This Row],[Country]],Table125[Dual Moguls Classification],"&gt;0")</f>
        <v>0</v>
      </c>
      <c r="OL17" s="6">
        <f>COUNTIFS(Table125128[Country],Tabela1[[#This Row],[Country]],Table125128[Dual Moguls Classification],"&gt;0")</f>
        <v>0</v>
      </c>
      <c r="OM17" s="6">
        <f>COUNTIFS(Table125[Country],Tabela1[[#This Row],[Country]],Table125[Halfpipe Classification],"&gt;0")</f>
        <v>0</v>
      </c>
      <c r="ON17" s="6">
        <f>COUNTIFS(Table125128[Country],Tabela1[[#This Row],[Country]],Table125128[Halfpipe Classification],"&gt;0")</f>
        <v>0</v>
      </c>
      <c r="OO17" s="6">
        <f>COUNTIFS(Table125[Country],Tabela1[[#This Row],[Country]],Table125[Moguls Classification],"&gt;0")</f>
        <v>0</v>
      </c>
      <c r="OP17" s="6">
        <f>COUNTIFS(Table125128[Country],Tabela1[[#This Row],[Country]],Table125128[Moguls Classification],"&gt;0")</f>
        <v>0</v>
      </c>
      <c r="OQ17" s="6">
        <f>COUNTIFS(Table125[Country],Tabela1[[#This Row],[Country]],Table125[Ski Cross Classification],"&gt;0")</f>
        <v>0</v>
      </c>
      <c r="OR17" s="6">
        <f>COUNTIFS(Table125128[Country],Tabela1[[#This Row],[Country]],Table125128[Ski Cross Classification],"&gt;0")</f>
        <v>0</v>
      </c>
      <c r="OS17" s="6">
        <f>COUNTIFS(Table125[Country],Tabela1[[#This Row],[Country]],Table125[Slopestyle Classification],"&gt;0")</f>
        <v>0</v>
      </c>
      <c r="OT17" s="6">
        <f>COUNTIFS(Table125128[Country],Tabela1[[#This Row],[Country]],Table125128[Slopestyle Classification],"&gt;0")</f>
        <v>0</v>
      </c>
      <c r="OU17" s="6">
        <f>COUNTIFS(Table119131[Country],Tabela1[[#This Row],[Country]],Table119131[Men''s Classification],"&gt;0")</f>
        <v>0</v>
      </c>
      <c r="OV17" s="6">
        <f>COUNTIFS(Table119131[Country],Tabela1[[#This Row],[Country]],Table119131[Women''s Classification],"&gt;0")</f>
        <v>0</v>
      </c>
      <c r="OW17" s="6">
        <f>COUNTIFS(Table131[Country],Tabela1[[#This Row],[Country]],Table131[Classification],"&gt;0")</f>
        <v>0</v>
      </c>
      <c r="OX17" s="6">
        <f>COUNTIFS(Table131134[Country],Tabela1[[#This Row],[Country]],Table131134[Classification],"&gt;0")</f>
        <v>0</v>
      </c>
      <c r="OY17" s="6">
        <f>COUNTIFS(Table134[Country],Tabela1[[#This Row],[Country]],Table134[Men''s Classification],"&gt;0")</f>
        <v>0</v>
      </c>
      <c r="OZ17" s="6">
        <f>COUNTIFS(Table134[Country],Tabela1[[#This Row],[Country]],Table134[Women''s Classification],"&gt;0")</f>
        <v>0</v>
      </c>
      <c r="PA17" s="6">
        <f>COUNTIFS(Table135[Country],Tabela1[[#This Row],[Country]],Table135[Mixed Relay Classification],"&gt;0")</f>
        <v>0</v>
      </c>
      <c r="PB17" s="6">
        <f>COUNTIFS(Table136[Country],Tabela1[[#This Row],[Country]],Table136[Individual Classification],"&gt;0")</f>
        <v>0</v>
      </c>
      <c r="PC17" s="6">
        <f>COUNTIFS(Table136[Country],Tabela1[[#This Row],[Country]],Table136[Sprint Classification],"&gt;0")</f>
        <v>0</v>
      </c>
      <c r="PD17" s="6">
        <f>COUNTIFS(Table137[Country],Tabela1[[#This Row],[Country]],Table137[Men''s Team Sprint Large Hill Classification],"&gt;0")</f>
        <v>0</v>
      </c>
      <c r="PE17" s="6">
        <f>COUNTIFS(Table138[Country],Tabela1[[#This Row],[Country]],Table138[500m Classification],"&gt;0")</f>
        <v>0</v>
      </c>
      <c r="PF17" s="6">
        <f>COUNTIFS(Table138141[Country],Tabela1[[#This Row],[Country]],Table138141[500m Classification],"&gt;0")</f>
        <v>0</v>
      </c>
      <c r="PG17" s="6">
        <f>COUNTIFS(Table138[Country],Tabela1[[#This Row],[Country]],Table138[1000m Classification],"&gt;0")</f>
        <v>0</v>
      </c>
      <c r="PH17" s="6">
        <f>COUNTIFS(Table138141[Country],Tabela1[[#This Row],[Country]],Table138141[1000m Classification],"&gt;0")</f>
        <v>0</v>
      </c>
      <c r="PI17" s="6">
        <f>COUNTIFS(Table138[Country],Tabela1[[#This Row],[Country]],Table138[1500m Classification],"&gt;0")</f>
        <v>2</v>
      </c>
      <c r="PJ17" s="6">
        <f>COUNTIFS(Table138141[Country],Tabela1[[#This Row],[Country]],Table138141[1500m Classification],"&gt;0")</f>
        <v>0</v>
      </c>
      <c r="PK17" s="6">
        <f>COUNTIFS(Table141[Country],Tabela1[[#This Row],[Country]],Table141[Men''s 5000m Relay Classification],"&gt;0")</f>
        <v>1</v>
      </c>
      <c r="PL17" s="6">
        <f>COUNTIFS(Table141[Country],Tabela1[[#This Row],[Country]],Table141[Women''s 3000m Relay Classification],"&gt;0")</f>
        <v>0</v>
      </c>
      <c r="PM17" s="6">
        <f>COUNTIFS(Table141[Country],Tabela1[[#This Row],[Country]],Table141[Mixed 2000m Relay Classification],"&gt;0")</f>
        <v>0</v>
      </c>
      <c r="PN17" s="6">
        <f>COUNTIFS(Table142[Country],Tabela1[[#This Row],[Country]],Table142[Classification],"&gt;0")</f>
        <v>0</v>
      </c>
      <c r="PO17" s="6">
        <f>COUNTIFS(Table142145[Country],Tabela1[[#This Row],[Country]],Table142145[Classification],"&gt;0")</f>
        <v>0</v>
      </c>
      <c r="PP17" s="6">
        <f>COUNTIFS(Tabela15[Country],Tabela1[[#This Row],[Country]],Tabela15[Mixed Team Classification],"&gt;0")</f>
        <v>0</v>
      </c>
      <c r="PQ17" s="6">
        <f>COUNTIFS(Table145[Country],Tabela1[[#This Row],[Country]],Table145[Large Hill Classification],"&gt;0")</f>
        <v>0</v>
      </c>
      <c r="PR17" s="6">
        <f>COUNTIFS(Table145[Country],Tabela1[[#This Row],[Country]],Table145[Normal Hill Classification],"&gt;0")</f>
        <v>0</v>
      </c>
      <c r="PS17" s="6">
        <f>COUNTIFS(Table145148[Country],Tabela1[[#This Row],[Country]],Table145148[Large Hill Classification],"&gt;0")</f>
        <v>0</v>
      </c>
      <c r="PT17" s="6">
        <f>COUNTIFS(Table145148[Country],Tabela1[[#This Row],[Country]],Table145148[Normal Hill Classification],"&gt;0")</f>
        <v>0</v>
      </c>
      <c r="PU17" s="6">
        <f>COUNTIFS(Table148[Country],Tabela1[[#This Row],[Country]],Table148[Men''s Super Team Classification],"&gt;0")</f>
        <v>0</v>
      </c>
      <c r="PV17" s="6">
        <f>COUNTIFS(Tabela114[Country],Tabela1[[#This Row],[Country]],Tabela114[Mixed Normal Hill Classification],"&gt;0")</f>
        <v>0</v>
      </c>
      <c r="PW17" s="6">
        <f>COUNTIFS(Tabela50[Country],Tabela1[[#This Row],[Country]],Tabela50[Sprint Classification],"&gt;0")</f>
        <v>0</v>
      </c>
      <c r="PX17" s="6">
        <f>COUNTIFS(Tabela50101[Country],Tabela1[[#This Row],[Country]],Tabela50101[Sprint Classification],"&gt;0")</f>
        <v>0</v>
      </c>
      <c r="PY17" s="6">
        <f>COUNTIFS(Tabela103[Country],Tabela1[[#This Row],[Country]],Tabela103[Mixed Relay Classification],"&gt;0")</f>
        <v>0</v>
      </c>
      <c r="PZ17" s="6">
        <f>COUNTIFS(Table149[Country],Tabela1[[#This Row],[Country]],Table149[Big Air Classification],"&gt;0")</f>
        <v>0</v>
      </c>
      <c r="QA17" s="6">
        <f>COUNTIFS(Table149152[Country],Tabela1[[#This Row],[Country]],Table149152[Big Air Classification],"&gt;0")</f>
        <v>0</v>
      </c>
      <c r="QB17" s="6">
        <f>COUNTIFS(Table149[Country],Tabela1[[#This Row],[Country]],Table149[Halfpipe Classification],"&gt;0")</f>
        <v>0</v>
      </c>
      <c r="QC17" s="6">
        <f>COUNTIFS(Table149152[Country],Tabela1[[#This Row],[Country]],Table149152[Halfpipe Classification],"&gt;0")</f>
        <v>0</v>
      </c>
      <c r="QD17" s="6">
        <f>COUNTIFS(Table149[Country],Tabela1[[#This Row],[Country]],Table149[Parallel Giant Slalom Classification],"&gt;0")</f>
        <v>0</v>
      </c>
      <c r="QE17" s="6">
        <f>COUNTIFS(Table149152[Country],Tabela1[[#This Row],[Country]],Table149152[Parallel Giant Slalom Classification],"&gt;0")</f>
        <v>0</v>
      </c>
      <c r="QF17" s="6">
        <f>COUNTIFS(Table149[Country],Tabela1[[#This Row],[Country]],Table149[Slopestyle Classification],"&gt;0")</f>
        <v>0</v>
      </c>
      <c r="QG17" s="6">
        <f>COUNTIFS(Table149152[Country],Tabela1[[#This Row],[Country]],Table149152[Slopestyle Classification],"&gt;0")</f>
        <v>0</v>
      </c>
      <c r="QH17" s="6">
        <f>COUNTIFS(Table149[Country],Tabela1[[#This Row],[Country]],Table149[Snowboard Cross Classification],"&gt;0")</f>
        <v>0</v>
      </c>
      <c r="QI17" s="6">
        <f>COUNTIFS(Table149152[Country],Tabela1[[#This Row],[Country]],Table149152[Snowboard Cross Classification],"&gt;0")</f>
        <v>0</v>
      </c>
      <c r="QJ17" s="6">
        <f>COUNTIFS(Table153[Country],Tabela1[[#This Row],[Country]],Table153[Mixed Team Snowboard Cross Classification],"&gt;0")</f>
        <v>0</v>
      </c>
      <c r="QK17" s="6">
        <f>COUNTIFS(Table154[Country],Tabela1[[#This Row],[Country]],Table154[500m Classification],"&gt;0")</f>
        <v>1</v>
      </c>
      <c r="QL17" s="6">
        <f>COUNTIFS(Table154157[Country],Tabela1[[#This Row],[Country]],Table154157[500m Classification],"&gt;0")</f>
        <v>2</v>
      </c>
      <c r="QM17" s="6">
        <f>COUNTIFS(Table154[Country],Tabela1[[#This Row],[Country]],Table154[1000m Classification],"&gt;0")</f>
        <v>1</v>
      </c>
      <c r="QN17" s="6">
        <f>COUNTIFS(Table154157[Country],Tabela1[[#This Row],[Country]],Table154157[1000m Classification],"&gt;0")</f>
        <v>1</v>
      </c>
      <c r="QO17" s="6">
        <f>COUNTIFS(Table154[Country],Tabela1[[#This Row],[Country]],Table154[1500m Classification],"&gt;0")</f>
        <v>0</v>
      </c>
      <c r="QP17" s="6">
        <f>COUNTIFS(Table154157[Country],Tabela1[[#This Row],[Country]],Table154157[1500m Classification],"&gt;0")</f>
        <v>3</v>
      </c>
      <c r="QQ17" s="6">
        <f>COUNTIFS(Table154157[Country],Tabela1[[#This Row],[Country]],Table154157[3000m Classification],"&gt;0")</f>
        <v>1</v>
      </c>
      <c r="QR17" s="6">
        <f>COUNTIFS(Table154[Country],Tabela1[[#This Row],[Country]],Table154[5000m Classification],"&gt;0")</f>
        <v>2</v>
      </c>
      <c r="QS17" s="6">
        <f>COUNTIFS(Table154157[Country],Tabela1[[#This Row],[Country]],Table154157[5000m Classification],"&gt;0")</f>
        <v>1</v>
      </c>
      <c r="QT17" s="6">
        <f>COUNTIFS(Table154[Country],Tabela1[[#This Row],[Country]],Table154[10000m Classification],"&gt;0")</f>
        <v>1</v>
      </c>
      <c r="QU17" s="6">
        <f>COUNTIFS(Table154[Country],Tabela1[[#This Row],[Country]],Table154[Mass Start Classification],"&gt;0")</f>
        <v>1</v>
      </c>
      <c r="QV17" s="6">
        <f>COUNTIFS(Table154157[Country],Tabela1[[#This Row],[Country]],Table154157[Mass Start Classification],"&gt;0")</f>
        <v>1</v>
      </c>
      <c r="QW17" s="6">
        <f>COUNTIFS(Table157[Country],Tabela1[[#This Row],[Country]],Table157[Men''s Pursuit Classification],"&gt;0")</f>
        <v>1</v>
      </c>
      <c r="QX17" s="6">
        <f>COUNTIFS(Table157[Country],Tabela1[[#This Row],[Country]],Table157[Women''s Pursuit Classification],"&gt;0")</f>
        <v>1</v>
      </c>
      <c r="QY17" s="3" t="s">
        <v>413</v>
      </c>
    </row>
    <row r="18" spans="1:467" x14ac:dyDescent="0.3">
      <c r="A18" s="6">
        <v>17</v>
      </c>
      <c r="B18" s="6" t="s">
        <v>444</v>
      </c>
      <c r="C18" t="e" vm="17">
        <f>IF(ISBLANK(Tabela1[[#This Row],[Image Link]]), "", _xlfn.IMAGE(Tabela1[[#This Row],[Image Link]],1,1))</f>
        <v>#VALUE!</v>
      </c>
      <c r="D18" s="6">
        <f>SUM(Tabela1[[#This Row],[Archery - Men''s Individual Recurve]:[Speed Skating - Women''s Team Pursuit]])</f>
        <v>70</v>
      </c>
      <c r="E18" s="6">
        <f>COUNTIF(Tabela1[[#This Row],[Archery - Men''s Individual Recurve]:[Speed Skating - Women''s Team Pursuit]],"&gt;0")</f>
        <v>62</v>
      </c>
      <c r="F18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8" s="6">
        <f>SUM(Tabela1[[#This Row],[Archery - Men''s Individual Recurve]:[Wrestling - Women''s Freestyle 76kg]])</f>
        <v>37</v>
      </c>
      <c r="H18" s="6">
        <f>SUM(Tabela1[[#This Row],[Alpine Skiing - Men''s Downhill]:[Speed Skating - Women''s Team Pursuit]])</f>
        <v>33</v>
      </c>
      <c r="I18" s="6">
        <f>Tabela1[[#This Row],[Summer Gold Medals]]+Tabela1[[#This Row],[Winter Gold Medals]]</f>
        <v>7</v>
      </c>
      <c r="J18" s="6">
        <f>Tabela1[[#This Row],[Summer Silver Medals]]+Tabela1[[#This Row],[Winter Silver Medals]]</f>
        <v>11</v>
      </c>
      <c r="K18" s="6">
        <f>Tabela1[[#This Row],[Summer Bronze Medals]]+Tabela1[[#This Row],[Winter Bronze Medals]]</f>
        <v>13</v>
      </c>
      <c r="L18" s="6">
        <f>SUM(Tabela1[[#This Row],[Total Gold Medals]:[Total Bronze Medals]])</f>
        <v>31</v>
      </c>
      <c r="M18" s="6">
        <v>1</v>
      </c>
      <c r="N18" s="6">
        <v>2</v>
      </c>
      <c r="O18" s="6">
        <v>5</v>
      </c>
      <c r="P18" s="6">
        <f>SUM(Tabela1[[#This Row],[Summer Gold Medals]:[Summer Bronze Medals]])</f>
        <v>8</v>
      </c>
      <c r="Q18" s="6">
        <v>6</v>
      </c>
      <c r="R18" s="6">
        <v>9</v>
      </c>
      <c r="S18" s="6">
        <v>8</v>
      </c>
      <c r="T18" s="6">
        <f>Tabela1[[#This Row],[Winter Gold Medals]]+Tabela1[[#This Row],[Winter Silver Medals]]+Tabela1[[#This Row],[Winter Bronze Medals]]</f>
        <v>23</v>
      </c>
      <c r="U18" s="7">
        <f>Tabela1[[#This Row],[Total Medals]]/Tabela1[[#This Row],[Total Quotas]]</f>
        <v>0.44285714285714284</v>
      </c>
      <c r="V18" s="6">
        <f>COUNTIFS(Table3[Country],Tabela1[[#This Row],[Country]],Table3[Recurve Classification],"&gt;0")</f>
        <v>0</v>
      </c>
      <c r="W18" s="6">
        <f>COUNTIFS(Table33[Country],Tabela1[[#This Row],[Country]],Table33[Recurve Classification],"&gt;0")</f>
        <v>0</v>
      </c>
      <c r="X18" s="6">
        <f>COUNTIFS(Table35[Country],Tabela1[[#This Row],[Country]],Table35[Men''s Team Recurve Classification],"&gt;0")</f>
        <v>0</v>
      </c>
      <c r="Y18" s="6">
        <f>COUNTIFS(Table35[Country],Tabela1[[#This Row],[Country]],Table35[Women''s Team Recurve Classification],"&gt;0")</f>
        <v>0</v>
      </c>
      <c r="Z18" s="6">
        <f>COUNTIFS(Tabela88[Country],Tabela1[[#This Row],[Country]],Tabela88[Mixed Team Recurve Classification],"&gt;0")</f>
        <v>0</v>
      </c>
      <c r="AA18" s="6">
        <f>COUNTIFS(Table36[Country],Tabela1[[#This Row],[Country]],Table36[Classification],"&gt;0")</f>
        <v>0</v>
      </c>
      <c r="AB18" s="6">
        <f>COUNTIFS(Table37[Country],Tabela1[[#This Row],[Country]],Table37[Classification],"&gt;0")</f>
        <v>0</v>
      </c>
      <c r="AC18" s="6">
        <f>COUNTIFS(Table4[Country],Tabela1[[#This Row],[Country]],Table4[100m Classification],"&gt;0")</f>
        <v>0</v>
      </c>
      <c r="AD18" s="6">
        <f>COUNTIFS(Table5[Country],Tabela1[[#This Row],[Country]],Table5[100m Classification],"&gt;0")</f>
        <v>1</v>
      </c>
      <c r="AE18" s="6">
        <f>COUNTIFS(Table4[Country],Tabela1[[#This Row],[Country]],Table4[200m Classification],"&gt;0")</f>
        <v>1</v>
      </c>
      <c r="AF18" s="6">
        <f>COUNTIFS(Table5[Country],Tabela1[[#This Row],[Country]],Table5[200m Classification],"&gt;0")</f>
        <v>0</v>
      </c>
      <c r="AG18" s="6">
        <f>COUNTIFS(Table4[Country],Tabela1[[#This Row],[Country]],Table4[400m Classification],"&gt;0")</f>
        <v>0</v>
      </c>
      <c r="AH18" s="6">
        <f>COUNTIFS(Table5[Country],Tabela1[[#This Row],[Country]],Table5[400m Classification],"&gt;0")</f>
        <v>0</v>
      </c>
      <c r="AI18" s="6">
        <f>COUNTIFS(Table4[Country],Tabela1[[#This Row],[Country]],Table4[800m Classification],"&gt;0")</f>
        <v>0</v>
      </c>
      <c r="AJ18" s="6">
        <f>COUNTIFS(Table5[Country],Tabela1[[#This Row],[Country]],Table5[800m Classification],"&gt;0")</f>
        <v>0</v>
      </c>
      <c r="AK18" s="6">
        <f>COUNTIFS(Table4[Country],Tabela1[[#This Row],[Country]],Table4[1500m Classification],"&gt;0")</f>
        <v>0</v>
      </c>
      <c r="AL18" s="6">
        <f>COUNTIFS(Table5[Country],Tabela1[[#This Row],[Country]],Table5[1500m Classification],"&gt;0")</f>
        <v>0</v>
      </c>
      <c r="AM18" s="6">
        <f>COUNTIFS(Table4[Country],Tabela1[[#This Row],[Country]],Table4[5000m Classification],"&gt;0")</f>
        <v>0</v>
      </c>
      <c r="AN18" s="6">
        <f>COUNTIFS(Table5[Country],Tabela1[[#This Row],[Country]],Table5[5000m Classification],"&gt;0")</f>
        <v>0</v>
      </c>
      <c r="AO18" s="6">
        <f>COUNTIFS(Table4[Country],Tabela1[[#This Row],[Country]],Table4[10000m Classification],"&gt;0")</f>
        <v>0</v>
      </c>
      <c r="AP18" s="6">
        <f>COUNTIFS(Table5[Country],Tabela1[[#This Row],[Country]],Table5[10000m Classification],"&gt;0")</f>
        <v>0</v>
      </c>
      <c r="AQ18" s="6">
        <f>COUNTIFS(Table4[Country],Tabela1[[#This Row],[Country]],Table4[110m Hurdles Classification],"&gt;0")</f>
        <v>0</v>
      </c>
      <c r="AR18" s="6">
        <f>COUNTIFS(Table5[Country],Tabela1[[#This Row],[Country]],Table5[100m Hurdles Classification],"&gt;0")</f>
        <v>0</v>
      </c>
      <c r="AS18" s="6">
        <f>COUNTIFS(Table4[Country],Tabela1[[#This Row],[Country]],Table4[400m Hurdles Classification],"&gt;0")</f>
        <v>0</v>
      </c>
      <c r="AT18" s="6">
        <f>COUNTIFS(Table5[Country],Tabela1[[#This Row],[Country]],Table5[400m Hurdles Classification],"&gt;0")</f>
        <v>0</v>
      </c>
      <c r="AU18" s="6">
        <f>COUNTIFS(Table4[Country],Tabela1[[#This Row],[Country]],Table4[3000m Steeplechase Classification],"&gt;0")</f>
        <v>0</v>
      </c>
      <c r="AV18" s="6">
        <f>COUNTIFS(Table5[Country],Tabela1[[#This Row],[Country]],Table5[3000m Steeplechase Classification],"&gt;0")</f>
        <v>0</v>
      </c>
      <c r="AW18" s="6">
        <f>COUNTIFS(Table27[Country],Tabela1[[#This Row],[Country]],Table27[Men''s 4x100m Relay Classification],"&gt;0")</f>
        <v>0</v>
      </c>
      <c r="AX18" s="6">
        <f>COUNTIFS(Table27[Country],Tabela1[[#This Row],[Country]],Table27[Women''s 4x100m Relay Classification],"&gt;0")</f>
        <v>1</v>
      </c>
      <c r="AY18" s="6">
        <f>COUNTIFS(Table27[Country],Tabela1[[#This Row],[Country]],Table27[Men''s 4x400m Relay Classification],"&gt;0")</f>
        <v>0</v>
      </c>
      <c r="AZ18" s="6">
        <f>COUNTIFS(Table27[Country],Tabela1[[#This Row],[Country]],Table27[Women''s 4x400m Relay Classification],"&gt;0")</f>
        <v>1</v>
      </c>
      <c r="BA18" s="6">
        <f>COUNTIFS(Table27[Country],Tabela1[[#This Row],[Country]],Table27[Mixed 4x400m Relay Classification],"&gt;0")</f>
        <v>0</v>
      </c>
      <c r="BB18" s="6">
        <f>COUNTIFS(Table4[Country],Tabela1[[#This Row],[Country]],Table4[Marathon Classification],"&gt;0")</f>
        <v>0</v>
      </c>
      <c r="BC18" s="6">
        <f>COUNTIFS(Table5[Country],Tabela1[[#This Row],[Country]],Table5[Marathon Classification],"&gt;0")</f>
        <v>0</v>
      </c>
      <c r="BD18" s="6">
        <f>COUNTIFS(Table4[Country],Tabela1[[#This Row],[Country]],Table4[20km Race Walk Classification],"&gt;0")</f>
        <v>0</v>
      </c>
      <c r="BE18" s="6">
        <f>COUNTIFS(Table5[Country],Tabela1[[#This Row],[Country]],Table5[20km Race Walk Classification],"&gt;0")</f>
        <v>0</v>
      </c>
      <c r="BF18" s="6">
        <f>COUNTIFS(Tabela96[Country],Tabela1[[#This Row],[Country]],Tabela96[Mixed Marathon Race Walk Relay Classification],"&gt;0")</f>
        <v>0</v>
      </c>
      <c r="BG18" s="6">
        <f>COUNTIFS(Table4[Country],Tabela1[[#This Row],[Country]],Table4[Discus Throw Classification],"&gt;0")</f>
        <v>0</v>
      </c>
      <c r="BH18" s="6">
        <f>COUNTIFS(Table5[Country],Tabela1[[#This Row],[Country]],Table5[Discus Throw Classification],"&gt;0")</f>
        <v>0</v>
      </c>
      <c r="BI18" s="6">
        <f>COUNTIFS(Table4[Country],Tabela1[[#This Row],[Country]],Table4[Hammer Throw Classification],"&gt;0")</f>
        <v>0</v>
      </c>
      <c r="BJ18" s="6">
        <f>COUNTIFS(Table5[Country],Tabela1[[#This Row],[Country]],Table5[Hammer Throw Classification],"&gt;0")</f>
        <v>0</v>
      </c>
      <c r="BK18" s="6">
        <f>COUNTIFS(Table4[Country],Tabela1[[#This Row],[Country]],Table4[High Jump Classification],"&gt;0")</f>
        <v>0</v>
      </c>
      <c r="BL18" s="6">
        <f>COUNTIFS(Table5[Country],Tabela1[[#This Row],[Country]],Table5[High Jump Classification],"&gt;0")</f>
        <v>0</v>
      </c>
      <c r="BM18" s="6">
        <f>COUNTIFS(Table4[Country],Tabela1[[#This Row],[Country]],Table4[Javelin Throw Classification],"&gt;0")</f>
        <v>0</v>
      </c>
      <c r="BN18" s="6">
        <f>COUNTIFS(Table5[Country],Tabela1[[#This Row],[Country]],Table5[Javelin Throw Classification],"&gt;0")</f>
        <v>0</v>
      </c>
      <c r="BO18" s="6">
        <f>COUNTIFS(Table4[Country],Tabela1[[#This Row],[Country]],Table4[Long Jump Classification],"&gt;0")</f>
        <v>0</v>
      </c>
      <c r="BP18" s="6">
        <f>COUNTIFS(Table5[Country],Tabela1[[#This Row],[Country]],Table5[Long Jump Classification],"&gt;0")</f>
        <v>0</v>
      </c>
      <c r="BQ18" s="6">
        <f>COUNTIFS(Table4[Country],Tabela1[[#This Row],[Country]],Table4[Pole Vault Classification],"&gt;0")</f>
        <v>0</v>
      </c>
      <c r="BR18" s="6">
        <f>COUNTIFS(Table5[Country],Tabela1[[#This Row],[Country]],Table5[Pole Vault Classification],"&gt;0")</f>
        <v>0</v>
      </c>
      <c r="BS18" s="6">
        <f>COUNTIFS(Table4[Country],Tabela1[[#This Row],[Country]],Table4[Shot Put Classification],"&gt;0")</f>
        <v>0</v>
      </c>
      <c r="BT18" s="6">
        <f>COUNTIFS(Table5[Country],Tabela1[[#This Row],[Country]],Table5[Shot Put Classification],"&gt;0")</f>
        <v>0</v>
      </c>
      <c r="BU18" s="6">
        <f>COUNTIFS(Table4[Country],Tabela1[[#This Row],[Country]],Table4[Triple Jump Classification],"&gt;0")</f>
        <v>0</v>
      </c>
      <c r="BV18" s="6">
        <f>COUNTIFS(Table5[Country],Tabela1[[#This Row],[Country]],Table5[Triple Jump Classification],"&gt;0")</f>
        <v>0</v>
      </c>
      <c r="BW18" s="6">
        <f>COUNTIFS(Table4[Country],Tabela1[[#This Row],[Country]],Table4[Decathlon Classification],"&gt;0")</f>
        <v>0</v>
      </c>
      <c r="BX18" s="6">
        <f>COUNTIFS(Table5[Country],Tabela1[[#This Row],[Country]],Table5[Heptathlon Classification],"&gt;0")</f>
        <v>0</v>
      </c>
      <c r="BY18" s="6">
        <f>COUNTIFS(Table61[Country],Tabela1[[#This Row],[Country]],Table61[Classification],"&gt;0")</f>
        <v>0</v>
      </c>
      <c r="BZ18" s="6">
        <f>COUNTIFS(Table38[Country],Tabela1[[#This Row],[Country]],Table38[Classification],"&gt;0")</f>
        <v>0</v>
      </c>
      <c r="CA18" s="6">
        <f>COUNTIFS(Table39[Country],Tabela1[[#This Row],[Country]],Table39[Men''s Classification],"&gt;0")</f>
        <v>0</v>
      </c>
      <c r="CB18" s="6">
        <f>COUNTIFS(Table39[Country],Tabela1[[#This Row],[Country]],Table39[Women''s Classification],"&gt;0")</f>
        <v>0</v>
      </c>
      <c r="CC18" s="6">
        <f>COUNTIFS(Table39[Country],Tabela1[[#This Row],[Country]],Table39[Mixed Classification],"&gt;0")</f>
        <v>0</v>
      </c>
      <c r="CD18" s="6">
        <f>COUNTIFS(Table89[Country],Tabela1[[#This Row],[Country]],Table89[Men''s Classification],"&gt;0")</f>
        <v>0</v>
      </c>
      <c r="CE18" s="6">
        <f>COUNTIFS(Table89[Country],Tabela1[[#This Row],[Country]],Table89[Women''s Classification],"&gt;0")</f>
        <v>0</v>
      </c>
      <c r="CF18" s="6">
        <f>COUNTIFS(Table90[Country],Tabela1[[#This Row],[Country]],Table90[Men''s Classification],"&gt;0")</f>
        <v>0</v>
      </c>
      <c r="CG18" s="6">
        <f>COUNTIFS(Table90[Country],Tabela1[[#This Row],[Country]],Table90[Women''s Classification],"&gt;0")</f>
        <v>0</v>
      </c>
      <c r="CH18" s="6">
        <f>COUNTIFS(Table60[Country],Tabela1[[#This Row],[Country]],Table60[Men''s Classification],"&gt;0")</f>
        <v>0</v>
      </c>
      <c r="CI18" s="6">
        <f>COUNTIFS(Table60[Country],Tabela1[[#This Row],[Country]],Table60[Women''s Classification],"&gt;0")</f>
        <v>0</v>
      </c>
      <c r="CJ18" s="6">
        <f>COUNTIFS(Table6[Country],Tabela1[[#This Row],[Country]],Table6[51kg Classification],"&gt;0")</f>
        <v>0</v>
      </c>
      <c r="CK18" s="6">
        <f>COUNTIFS(Table6[Country],Tabela1[[#This Row],[Country]],Table6[57kg Classification],"&gt;0")</f>
        <v>0</v>
      </c>
      <c r="CL18" s="6">
        <f>COUNTIFS(Table6[Country],Tabela1[[#This Row],[Country]],Table6[63.5kg Classification],"&gt;0")</f>
        <v>0</v>
      </c>
      <c r="CM18" s="6">
        <f>COUNTIFS(Table6[Country],Tabela1[[#This Row],[Country]],Table6[71kg Classification],"&gt;0")</f>
        <v>0</v>
      </c>
      <c r="CN18" s="6">
        <f>COUNTIFS(Table6[Country],Tabela1[[#This Row],[Country]],Table6[80kg Classification],"&gt;0")</f>
        <v>0</v>
      </c>
      <c r="CO18" s="6">
        <f>COUNTIFS(Table6[Country],Tabela1[[#This Row],[Country]],Table6[92kg Classification],"&gt;0")</f>
        <v>0</v>
      </c>
      <c r="CP18" s="6">
        <f>COUNTIFS(Table6[Country],Tabela1[[#This Row],[Country]],Table6[Plus 92kg Classification],"&gt;0")</f>
        <v>0</v>
      </c>
      <c r="CQ18" s="6">
        <f>COUNTIFS(Table7[Country],Tabela1[[#This Row],[Country]],Table7[50kg Classification],"&gt;0")</f>
        <v>0</v>
      </c>
      <c r="CR18" s="6">
        <f>COUNTIFS(Table7[Country],Tabela1[[#This Row],[Country]],Table7[54kg Classification],"&gt;0")</f>
        <v>0</v>
      </c>
      <c r="CS18" s="6">
        <f>COUNTIFS(Table7[Country],Tabela1[[#This Row],[Country]],Table7[57kg Classification],"&gt;0")</f>
        <v>0</v>
      </c>
      <c r="CT18" s="6">
        <f>COUNTIFS(Table7[Country],Tabela1[[#This Row],[Country]],Table7[60kg Classification],"&gt;0")</f>
        <v>0</v>
      </c>
      <c r="CU18" s="6">
        <f>COUNTIFS(Table7[Country],Tabela1[[#This Row],[Country]],Table7[66kg Classification],"&gt;0")</f>
        <v>0</v>
      </c>
      <c r="CV18" s="6">
        <f>COUNTIFS(Table7[Country],Tabela1[[#This Row],[Country]],Table7[75kg Classification],"&gt;0")</f>
        <v>0</v>
      </c>
      <c r="CW18" s="6">
        <f>COUNTIFS(Tabela94[Country],Tabela1[[#This Row],[Country]],Tabela94[Classification],"&gt;0")</f>
        <v>0</v>
      </c>
      <c r="CX18" s="6">
        <f>COUNTIFS(Tabela9499[Country],Tabela1[[#This Row],[Country]],Tabela9499[Classification],"&gt;0")</f>
        <v>0</v>
      </c>
      <c r="CY18" s="6">
        <f>COUNTIFS(Tabela107[Country],Tabela1[[#This Row],[Country]],Tabela107[C1 Slalom Classification],"&gt;0")</f>
        <v>0</v>
      </c>
      <c r="CZ18" s="6">
        <f>COUNTIFS(Tabela107122[Country],Tabela1[[#This Row],[Country]],Tabela107122[C1 Slalom Classification],"&gt;0")</f>
        <v>0</v>
      </c>
      <c r="DA18" s="6">
        <f>COUNTIFS(Tabela107[Country],Tabela1[[#This Row],[Country]],Tabela107[K1 Slalom Classification],"&gt;0")</f>
        <v>0</v>
      </c>
      <c r="DB18" s="6">
        <f>COUNTIFS(Tabela107122[Country],Tabela1[[#This Row],[Country]],Tabela107122[K1 Slalom Classification],"&gt;0")</f>
        <v>0</v>
      </c>
      <c r="DC18" s="6">
        <f>COUNTIFS(Tabela107[Country],Tabela1[[#This Row],[Country]],Tabela107[Kayak Cross Slalom Classification],"&gt;0")</f>
        <v>0</v>
      </c>
      <c r="DD18" s="6">
        <f>COUNTIFS(Tabela107122[Country],Tabela1[[#This Row],[Country]],Tabela107122[Kayak Cross Slalom Classification],"&gt;0")</f>
        <v>0</v>
      </c>
      <c r="DE18" s="6">
        <f>COUNTIFS(Table8[Country],Tabela1[[#This Row],[Country]],Table8[C1 200m Classification],"&gt;0")</f>
        <v>0</v>
      </c>
      <c r="DF18" s="6">
        <f>COUNTIFS(Table40[Country],Tabela1[[#This Row],[Country]],Table40[C1 1000m Classification],"&gt;0")</f>
        <v>0</v>
      </c>
      <c r="DG18" s="6">
        <f>COUNTIFS(Table68[Country],Tabela1[[#This Row],[Country]],Table68[Men''s C2 500m Classification],"&gt;0")</f>
        <v>0</v>
      </c>
      <c r="DH18" s="6">
        <f>COUNTIFS(Table68[Country],Tabela1[[#This Row],[Country]],Table68[Women''s C2 500m Classification],"&gt;0")</f>
        <v>0</v>
      </c>
      <c r="DI18" s="6">
        <f>COUNTIFS(Table8[Country],Tabela1[[#This Row],[Country]],Table8[K1 500m Classification],"&gt;0")</f>
        <v>0</v>
      </c>
      <c r="DJ18" s="6">
        <f>COUNTIFS(Table40[Country],Tabela1[[#This Row],[Country]],Table40[K1 1000m Classification],"&gt;0")</f>
        <v>0</v>
      </c>
      <c r="DK18" s="6">
        <f>COUNTIFS(Table68[Country],Tabela1[[#This Row],[Country]],Table68[Men''s K2 500m Classification],"&gt;0")</f>
        <v>0</v>
      </c>
      <c r="DL18" s="6">
        <f>COUNTIFS(Table68[Country],Tabela1[[#This Row],[Country]],Table68[Women''s K2 500m Classification],"&gt;0")</f>
        <v>0</v>
      </c>
      <c r="DM18" s="6">
        <f>COUNTIFS(Table83[Country],Tabela1[[#This Row],[Country]],Table83[Men''s K4 500m Classification],"&gt;0")</f>
        <v>0</v>
      </c>
      <c r="DN18" s="6">
        <f>COUNTIFS(Table83[Country],Tabela1[[#This Row],[Country]],Table83[Women''s K4 500m Classification],"&gt;0")</f>
        <v>0</v>
      </c>
      <c r="DO18" s="6">
        <f>COUNTIFS(Tabela126[Country],Tabela1[[#This Row],[Country]],Tabela126[Classification],"&gt;0")</f>
        <v>0</v>
      </c>
      <c r="DP18" s="6">
        <f>COUNTIFS(Tabela126130[Country],Tabela1[[#This Row],[Country]],Tabela126130[Classification],"&gt;0")</f>
        <v>0</v>
      </c>
      <c r="DQ18" s="6">
        <f>COUNTIFS(Table70[Country],Tabela1[[#This Row],[Country]],Table70[Classification],"&gt;0")</f>
        <v>0</v>
      </c>
      <c r="DR18" s="6">
        <f>COUNTIFS(Table80[Country],Tabela1[[#This Row],[Country]],Table80[Classification],"&gt;0")</f>
        <v>0</v>
      </c>
      <c r="DS18" s="6">
        <f>COUNTIFS(Table66[Country],Tabela1[[#This Row],[Country]],Table66[Classification],"&gt;0")</f>
        <v>0</v>
      </c>
      <c r="DT18" s="6">
        <f>COUNTIFS(Table67[Country],Tabela1[[#This Row],[Country]],Table67[Classification],"&gt;0")</f>
        <v>0</v>
      </c>
      <c r="DU18" s="6">
        <f>COUNTIFS(Table69[Country],Tabela1[[#This Row],[Country]],Table69[Keirin Classification],"&gt;0")</f>
        <v>0</v>
      </c>
      <c r="DV18" s="6">
        <f>COUNTIFS(Table41[Country],Tabela1[[#This Row],[Country]],Table41[Keirin Classification],"&gt;0")</f>
        <v>0</v>
      </c>
      <c r="DW18" s="6">
        <f>COUNTIFS(Table84[Country],Tabela1[[#This Row],[Country]],Table84[Men''s Madison Classification],"&gt;0")</f>
        <v>0</v>
      </c>
      <c r="DX18" s="6">
        <f>COUNTIFS(Table84[Country],Tabela1[[#This Row],[Country]],Table84[Women''s Madison Classification],"&gt;0")</f>
        <v>1</v>
      </c>
      <c r="DY18" s="6">
        <f>COUNTIFS(Table69[Country],Tabela1[[#This Row],[Country]],Table69[Omnium Classification],"&gt;0")</f>
        <v>0</v>
      </c>
      <c r="DZ18" s="6">
        <f>COUNTIFS(Table41[Country],Tabela1[[#This Row],[Country]],Table41[Omnium Classification],"&gt;0")</f>
        <v>0</v>
      </c>
      <c r="EA18" s="6">
        <f>COUNTIFS(Table9[Country],Tabela1[[#This Row],[Country]],Table9[Road Race Classification],"&gt;0")</f>
        <v>1</v>
      </c>
      <c r="EB18" s="6">
        <f>COUNTIFS(Table14[Country],Tabela1[[#This Row],[Country]],Table14[Road Race Classification],"&gt;0")</f>
        <v>3</v>
      </c>
      <c r="EC18" s="6">
        <f>COUNTIFS(Table69[Country],Tabela1[[#This Row],[Country]],Table69[Sprint Classification],"&gt;0")</f>
        <v>0</v>
      </c>
      <c r="ED18" s="6">
        <f>COUNTIFS(Table41[Country],Tabela1[[#This Row],[Country]],Table41[Sprint Classification],"&gt;0")</f>
        <v>0</v>
      </c>
      <c r="EE18" s="6">
        <f>COUNTIFS(Table85[Country],Tabela1[[#This Row],[Country]],Table85[Men''s Sprint Classification],"&gt;0")</f>
        <v>0</v>
      </c>
      <c r="EF18" s="6">
        <f>COUNTIFS(Table85[Country],Tabela1[[#This Row],[Country]],Table85[Women''s Sprint Classification],"&gt;0")</f>
        <v>0</v>
      </c>
      <c r="EG18" s="6">
        <f>COUNTIFS(Table85[Country],Tabela1[[#This Row],[Country]],Table85[Men''s Pursuit Classification],"&gt;0")</f>
        <v>0</v>
      </c>
      <c r="EH18" s="6">
        <f>COUNTIFS(Table85[Country],Tabela1[[#This Row],[Country]],Table85[Women''s Pursuit Classification],"&gt;0")</f>
        <v>0</v>
      </c>
      <c r="EI18" s="6">
        <f>COUNTIFS(Table9[Country],Tabela1[[#This Row],[Country]],Table9[Time-Trial Classification],"&gt;0")</f>
        <v>1</v>
      </c>
      <c r="EJ18" s="6">
        <f>COUNTIFS(Table14[Country],Tabela1[[#This Row],[Country]],Table14[Time-Trial Classification],"&gt;0")</f>
        <v>0</v>
      </c>
      <c r="EK18" s="6">
        <f>COUNTIFS(Table42[Country],Tabela1[[#This Row],[Country]],Table42[Springboard Classification],"&gt;0")</f>
        <v>0</v>
      </c>
      <c r="EL18" s="6">
        <f>COUNTIFS(Table43[Country],Tabela1[[#This Row],[Country]],Table43[Springboard Classification],"&gt;0")</f>
        <v>0</v>
      </c>
      <c r="EM18" s="6">
        <f>COUNTIFS(Table42[Country],Tabela1[[#This Row],[Country]],Table42[Platform Classification],"&gt;0")</f>
        <v>0</v>
      </c>
      <c r="EN18" s="6">
        <f>COUNTIFS(Table43[Country],Tabela1[[#This Row],[Country]],Table43[Platform Classification],"&gt;0")</f>
        <v>0</v>
      </c>
      <c r="EO18" s="6">
        <f>COUNTIFS(Table86[Country],Tabela1[[#This Row],[Country]],Table86[Men''s Synchronized Springboard Classification],"&gt;0")</f>
        <v>0</v>
      </c>
      <c r="EP18" s="6">
        <f>COUNTIFS(Table86[Country],Tabela1[[#This Row],[Country]],Table86[Women''s Synchronized Springboard Classification],"&gt;0")</f>
        <v>0</v>
      </c>
      <c r="EQ18" s="6">
        <f>COUNTIFS(Table86[Country],Tabela1[[#This Row],[Country]],Table86[Men''s Synchronized Platform Classification],"&gt;0")</f>
        <v>0</v>
      </c>
      <c r="ER18" s="6">
        <f>COUNTIFS(Table86[Country],Tabela1[[#This Row],[Country]],Table86[Women''s Synchronized Platform Classification],"&gt;0")</f>
        <v>0</v>
      </c>
      <c r="ES18" s="6">
        <f>COUNTIFS(Table44[Country],Tabela1[[#This Row],[Country]],Table44[Dressage Classification],"&gt;0")</f>
        <v>0</v>
      </c>
      <c r="ET18" s="6">
        <f>COUNTIFS(Table45[Country],Tabela1[[#This Row],[Country]],Table45[Dressage Classification],"&gt;0")</f>
        <v>0</v>
      </c>
      <c r="EU18" s="6">
        <f>COUNTIFS(Table44[Country],Tabela1[[#This Row],[Country]],Table44[Eventing Classification],"&gt;0")</f>
        <v>1</v>
      </c>
      <c r="EV18" s="6">
        <f>COUNTIFS(Table45[Country],Tabela1[[#This Row],[Country]],Table45[Eventing Classification],"&gt;0")</f>
        <v>1</v>
      </c>
      <c r="EW18" s="6">
        <f>COUNTIFS(Table44[Country],Tabela1[[#This Row],[Country]],Table44[Jumping Classification],"&gt;0")</f>
        <v>0</v>
      </c>
      <c r="EX18" s="6">
        <f>COUNTIFS(Table45[Country],Tabela1[[#This Row],[Country]],Table45[Jumping Classification],"&gt;0")</f>
        <v>0</v>
      </c>
      <c r="EY18" s="6">
        <f>COUNTIFS(Table10[Country],Tabela1[[#This Row],[Country]],Table10[Épée Classification],"&gt;0")</f>
        <v>0</v>
      </c>
      <c r="EZ18" s="6">
        <f>COUNTIFS(Table11[Country],Tabela1[[#This Row],[Country]],Table11[Épée Classification],"&gt;0")</f>
        <v>0</v>
      </c>
      <c r="FA18" s="6">
        <f>COUNTIFS(Table46[Country],Tabela1[[#This Row],[Country]],Table46[Men''s Épée Classification],"&gt;0")</f>
        <v>0</v>
      </c>
      <c r="FB18" s="6">
        <f>COUNTIFS(Table46[Country],Tabela1[[#This Row],[Country]],Table46[Women''s Épée Classification],"&gt;0")</f>
        <v>0</v>
      </c>
      <c r="FC18" s="6">
        <f>COUNTIFS(Table10[Country],Tabela1[[#This Row],[Country]],Table10[Foil Classification],"&gt;0")</f>
        <v>0</v>
      </c>
      <c r="FD18" s="6">
        <f>COUNTIFS(Table11[Country],Tabela1[[#This Row],[Country]],Table11[Foil Classification],"&gt;0")</f>
        <v>0</v>
      </c>
      <c r="FE18" s="6">
        <f>COUNTIFS(Table46[Country],Tabela1[[#This Row],[Country]],Table46[Men''s Foil Classification],"&gt;0")</f>
        <v>0</v>
      </c>
      <c r="FF18" s="6">
        <f>COUNTIFS(Table46[Country],Tabela1[[#This Row],[Country]],Table46[Women''s Foil Classification],"&gt;0")</f>
        <v>0</v>
      </c>
      <c r="FG18" s="6">
        <f>COUNTIFS(Table10[Country],Tabela1[[#This Row],[Country]],Table10[Sabre Classification],"&gt;0")</f>
        <v>0</v>
      </c>
      <c r="FH18" s="6">
        <f>COUNTIFS(Table11[Country],Tabela1[[#This Row],[Country]],Table11[Sabre Classification],"&gt;0")</f>
        <v>0</v>
      </c>
      <c r="FI18" s="6">
        <f>COUNTIFS(Table46[Country],Tabela1[[#This Row],[Country]],Table46[Men''s Sabre Classification],"&gt;0")</f>
        <v>0</v>
      </c>
      <c r="FJ18" s="6">
        <f>COUNTIFS(Table46[Country],Tabela1[[#This Row],[Country]],Table46[Women''s Sabre Classification],"&gt;0")</f>
        <v>0</v>
      </c>
      <c r="FK18" s="6">
        <f>COUNTIFS(Table91[Country],Tabela1[[#This Row],[Country]],Table91[Men''s Classification],"&gt;0")</f>
        <v>0</v>
      </c>
      <c r="FL18" s="6">
        <f>COUNTIFS(Table91[Country],Tabela1[[#This Row],[Country]],Table91[Women''s Classification],"&gt;0")</f>
        <v>0</v>
      </c>
      <c r="FM18" s="6">
        <f>COUNTIFS(Table9194[Country],Tabela1[[#This Row],[Country]],Table9194[Men''s Classification],"&gt;0")</f>
        <v>0</v>
      </c>
      <c r="FN18" s="6">
        <f>COUNTIFS(Table9194[Country],Tabela1[[#This Row],[Country]],Table9194[Women''s Classification],"&gt;0")</f>
        <v>0</v>
      </c>
      <c r="FO18" s="6">
        <f>COUNTIFS(Table71[Country],Tabela1[[#This Row],[Country]],Table71[Classification],"&gt;0")</f>
        <v>0</v>
      </c>
      <c r="FP18" s="6">
        <f>COUNTIFS(Table62[Country],Tabela1[[#This Row],[Country]],Table62[Classification],"&gt;0")</f>
        <v>0</v>
      </c>
      <c r="FQ18" s="6">
        <f>COUNTIFS(Table47[Country],Tabela1[[#This Row],[Country]],Table47[All-Around Classification],"&gt;0")</f>
        <v>1</v>
      </c>
      <c r="FR18" s="6">
        <f>COUNTIFS(Table48[Country],Tabela1[[#This Row],[Country]],Table48[All-Around Classification],"&gt;0")</f>
        <v>0</v>
      </c>
      <c r="FS18" s="6">
        <f>COUNTIFS(Table81[Country],Tabela1[[#This Row],[Country]],Table81[Men''s All-Around Classification],"&gt;0")</f>
        <v>1</v>
      </c>
      <c r="FT18" s="6">
        <f>COUNTIFS(Table81[Country],Tabela1[[#This Row],[Country]],Table81[Women''s All-Around Classification],"&gt;0")</f>
        <v>0</v>
      </c>
      <c r="FU18" s="6">
        <f>COUNTIFS(Table48[Country],Tabela1[[#This Row],[Country]],Table48[Balance Beam Classification],"&gt;0")</f>
        <v>0</v>
      </c>
      <c r="FV18" s="6">
        <f>COUNTIFS(Table47[Country],Tabela1[[#This Row],[Country]],Table47[Floor Exercise Classification],"&gt;0")</f>
        <v>2</v>
      </c>
      <c r="FW18" s="6">
        <f>COUNTIFS(Table48[Country],Tabela1[[#This Row],[Country]],Table48[Floor Exercise Classification],"&gt;0")</f>
        <v>0</v>
      </c>
      <c r="FX18" s="6">
        <f>COUNTIFS(Table47[Country],Tabela1[[#This Row],[Country]],Table47[Horizontal Bar Classification],"&gt;0")</f>
        <v>1</v>
      </c>
      <c r="FY18" s="6">
        <f>COUNTIFS(Table47[Country],Tabela1[[#This Row],[Country]],Table47[Parallel Bars Classification],"&gt;0")</f>
        <v>1</v>
      </c>
      <c r="FZ18" s="6">
        <f>COUNTIFS(Table47[Country],Tabela1[[#This Row],[Country]],Table47[Pommel Horse Classification],"&gt;0")</f>
        <v>2</v>
      </c>
      <c r="GA18" s="6">
        <f>COUNTIFS(Table47[Country],Tabela1[[#This Row],[Country]],Table47[Rings Classification],"&gt;0")</f>
        <v>1</v>
      </c>
      <c r="GB18" s="6">
        <f>COUNTIFS(Tabela132[Country],Tabela1[[#This Row],[Country]],Tabela132[Classification],"&gt;0")</f>
        <v>0</v>
      </c>
      <c r="GC18" s="6">
        <f>COUNTIFS(Tabela139[Country],Tabela1[[#This Row],[Country]],Tabela139[Classification],"&gt;0")</f>
        <v>0</v>
      </c>
      <c r="GD18" s="6">
        <f>COUNTIFS(Table48[Country],Tabela1[[#This Row],[Country]],Table48[Uneven Bars Classification],"&gt;0")</f>
        <v>0</v>
      </c>
      <c r="GE18" s="6">
        <f>COUNTIFS(Table47[Country],Tabela1[[#This Row],[Country]],Table47[Vault Classification],"&gt;0")</f>
        <v>0</v>
      </c>
      <c r="GF18" s="6">
        <f>COUNTIFS(Table48[Country],Tabela1[[#This Row],[Country]],Table48[Vault Classification],"&gt;0")</f>
        <v>0</v>
      </c>
      <c r="GG18" s="6">
        <f>COUNTIFS(Table919496[Country],Tabela1[[#This Row],[Country]],Table919496[Men''s Classification],"&gt;0")</f>
        <v>0</v>
      </c>
      <c r="GH18" s="6">
        <f>COUNTIFS(Table919496[Country],Tabela1[[#This Row],[Country]],Table919496[Women''s Classification],"&gt;0")</f>
        <v>0</v>
      </c>
      <c r="GI18" s="6">
        <f>COUNTIFS(Table12[Country],Tabela1[[#This Row],[Country]],Table12[60kg Classification],"&gt;0")</f>
        <v>0</v>
      </c>
      <c r="GJ18" s="6">
        <f>COUNTIFS(Table12[Country],Tabela1[[#This Row],[Country]],Table12[66kg Classification],"&gt;0")</f>
        <v>0</v>
      </c>
      <c r="GK18" s="6">
        <f>COUNTIFS(Table12[Country],Tabela1[[#This Row],[Country]],Table12[73kg Classification],"&gt;0")</f>
        <v>0</v>
      </c>
      <c r="GL18" s="6">
        <f>COUNTIFS(Table12[Country],Tabela1[[#This Row],[Country]],Table12[81kg Classification],"&gt;0")</f>
        <v>0</v>
      </c>
      <c r="GM18" s="6">
        <f>COUNTIFS(Table12[Country],Tabela1[[#This Row],[Country]],Table12[90kg Classification],"&gt;0")</f>
        <v>0</v>
      </c>
      <c r="GN18" s="6">
        <f>COUNTIFS(Table12[Country],Tabela1[[#This Row],[Country]],Table12[100kg Classification],"&gt;0")</f>
        <v>0</v>
      </c>
      <c r="GO18" s="6">
        <f>COUNTIFS(Table12[Country],Tabela1[[#This Row],[Country]],Table12[Plus 100kg Classification],"&gt;0")</f>
        <v>0</v>
      </c>
      <c r="GP18" s="6">
        <f>COUNTIFS(Table13[Country],Tabela1[[#This Row],[Country]],Table13[48kg Classification],"&gt;0")</f>
        <v>0</v>
      </c>
      <c r="GQ18" s="6">
        <f>COUNTIFS(Table13[Country],Tabela1[[#This Row],[Country]],Table13[52kg Classification],"&gt;0")</f>
        <v>1</v>
      </c>
      <c r="GR18" s="6">
        <f>COUNTIFS(Table13[Country],Tabela1[[#This Row],[Country]],Table13[57kg Classification],"&gt;0")</f>
        <v>0</v>
      </c>
      <c r="GS18" s="6">
        <f>COUNTIFS(Table13[Country],Tabela1[[#This Row],[Country]],Table13[63kg Classification],"&gt;0")</f>
        <v>0</v>
      </c>
      <c r="GT18" s="6">
        <f>COUNTIFS(Table13[Country],Tabela1[[#This Row],[Country]],Table13[70kg Classification],"&gt;0")</f>
        <v>0</v>
      </c>
      <c r="GU18" s="6">
        <f>COUNTIFS(Table13[Country],Tabela1[[#This Row],[Country]],Table13[78kg Classification],"&gt;0")</f>
        <v>0</v>
      </c>
      <c r="GV18" s="6">
        <f>COUNTIFS(Table13[Country],Tabela1[[#This Row],[Country]],Table13[Plus 78kg Classification],"&gt;0")</f>
        <v>0</v>
      </c>
      <c r="GW18" s="6">
        <f>COUNTIFS(Table82[Country],Tabela1[[#This Row],[Country]],Table82[Mixed Classification],"&gt;0")</f>
        <v>0</v>
      </c>
      <c r="GX18" s="6">
        <f>COUNTIFS(Table51[Country],Tabela1[[#This Row],[Country]],Table51[Classification],"&gt;0")</f>
        <v>0</v>
      </c>
      <c r="GY18" s="6">
        <f>COUNTIFS(Table52[Country],Tabela1[[#This Row],[Country]],Table52[Classification],"&gt;0")</f>
        <v>0</v>
      </c>
      <c r="GZ18" s="6">
        <f>COUNTIFS(Table32[Country],Tabela1[[#This Row],[Country]],Table32[All-Around Classification],"&gt;0")</f>
        <v>0</v>
      </c>
      <c r="HA18" s="6">
        <f>COUNTIFS(Table49[Country],Tabela1[[#This Row],[Country]],Table49[All-Around Classification],"&gt;0")</f>
        <v>0</v>
      </c>
      <c r="HB18" s="6">
        <f>COUNTIFS(Table26[Country],Tabela1[[#This Row],[Country]],Table26[Single Sculls Classification],"&gt;0")</f>
        <v>0</v>
      </c>
      <c r="HC18" s="6">
        <f>COUNTIFS(Table63[Country],Tabela1[[#This Row],[Country]],Table63[Single Sculls Classification],"&gt;0")</f>
        <v>0</v>
      </c>
      <c r="HD18" s="6">
        <f>COUNTIFS(Table16[Country],Tabela1[[#This Row],[Country]],Table16[Men''s Double Sculls Classification],"&gt;0")</f>
        <v>0</v>
      </c>
      <c r="HE18" s="6">
        <f>COUNTIFS(Table16[Country],Tabela1[[#This Row],[Country]],Table16[Women''s Double Sculls Classification],"&gt;0")</f>
        <v>0</v>
      </c>
      <c r="HF18" s="6">
        <f>COUNTIFS(Table72[Country],Tabela1[[#This Row],[Country]],Table72[Men''s Quadruple Sculls Classification],"&gt;0")</f>
        <v>0</v>
      </c>
      <c r="HG18" s="6">
        <f>COUNTIFS(Table72[Country],Tabela1[[#This Row],[Country]],Table72[Women''s Quadruple Sculls Classification],"&gt;0")</f>
        <v>0</v>
      </c>
      <c r="HH18" s="6">
        <f>COUNTIFS(Table16[Country],Tabela1[[#This Row],[Country]],Table16[Men''s Coxless Pairs Classification],"&gt;0")</f>
        <v>1</v>
      </c>
      <c r="HI18" s="6">
        <f>COUNTIFS(Table16[Country],Tabela1[[#This Row],[Country]],Table16[Women''s Coxless Pairs Classification],"&gt;0")</f>
        <v>0</v>
      </c>
      <c r="HJ18" s="6">
        <f>COUNTIFS(Table72[Country],Tabela1[[#This Row],[Country]],Table72[Men''s Coxless Fours Classification],"&gt;0")</f>
        <v>0</v>
      </c>
      <c r="HK18" s="6">
        <f>COUNTIFS(Table72[Country],Tabela1[[#This Row],[Country]],Table72[Women''s Coxless Fours Classification],"&gt;0")</f>
        <v>0</v>
      </c>
      <c r="HL18" s="6">
        <f>COUNTIFS(Table72[Country],Tabela1[[#This Row],[Country]],Table72[Men''s Eights Classification],"&gt;0")</f>
        <v>0</v>
      </c>
      <c r="HM18" s="6">
        <f>COUNTIFS(Table72[Country],Tabela1[[#This Row],[Country]],Table72[Women''s Eights Classification],"&gt;0")</f>
        <v>0</v>
      </c>
      <c r="HN18" s="6">
        <f>COUNTIFS(Table16[Country],Tabela1[[#This Row],[Country]],Table16[Men''s Lwt. Double Sculls Classification],"&gt;0")</f>
        <v>0</v>
      </c>
      <c r="HO18" s="6">
        <f>COUNTIFS(Table16[Country],Tabela1[[#This Row],[Country]],Table16[Women''s Lwt. Double Sculls Classification],"&gt;0")</f>
        <v>0</v>
      </c>
      <c r="HP18" s="6">
        <f>COUNTIFS(Table91949698[Country],Tabela1[[#This Row],[Country]],Table91949698[Men''s Classification],"&gt;0")</f>
        <v>0</v>
      </c>
      <c r="HQ18" s="6">
        <f>COUNTIFS(Table91949698[Country],Tabela1[[#This Row],[Country]],Table91949698[Women''s Classification],"&gt;0")</f>
        <v>0</v>
      </c>
      <c r="HR18" s="6">
        <f>COUNTIFS(Table25[Country],Tabela1[[#This Row],[Country]],Table25[Mixed 470 Classification],"&gt;0")</f>
        <v>0</v>
      </c>
      <c r="HS18" s="6">
        <f>COUNTIFS(Table25[Country],Tabela1[[#This Row],[Country]],Table25[Men''s 49er Classification],"&gt;0")</f>
        <v>1</v>
      </c>
      <c r="HT18" s="6">
        <f>COUNTIFS(Table25[Country],Tabela1[[#This Row],[Country]],Table25[Women''s 49er FX Classification],"&gt;0")</f>
        <v>0</v>
      </c>
      <c r="HU18" s="6">
        <f>COUNTIFS(Table17[Country],Tabela1[[#This Row],[Country]],Table17[Formula Kite Classification],"&gt;0")</f>
        <v>0</v>
      </c>
      <c r="HV18" s="6">
        <f>COUNTIFS(Table18[Country],Tabela1[[#This Row],[Country]],Table18[Formula Kite Classification],"&gt;0")</f>
        <v>0</v>
      </c>
      <c r="HW18" s="6">
        <f>COUNTIFS(Table17[Country],Tabela1[[#This Row],[Country]],Table17[ILCA 7 Classification],"&gt;0")</f>
        <v>0</v>
      </c>
      <c r="HX18" s="6">
        <f>COUNTIFS(Table18[Country],Tabela1[[#This Row],[Country]],Table18[ILCA 6 Classification],"&gt;0")</f>
        <v>1</v>
      </c>
      <c r="HY18" s="6">
        <f>COUNTIFS(Table17[Country],Tabela1[[#This Row],[Country]],Table17[IQFoil Classification],"&gt;0")</f>
        <v>1</v>
      </c>
      <c r="HZ18" s="6">
        <f>COUNTIFS(Table18[Country],Tabela1[[#This Row],[Country]],Table18[IQFoil Classification],"&gt;0")</f>
        <v>0</v>
      </c>
      <c r="IA18" s="6">
        <f>COUNTIFS(Table25[Country],Tabela1[[#This Row],[Country]],Table25[Mixed Nacra 17 Classification],"&gt;0")</f>
        <v>0</v>
      </c>
      <c r="IB18" s="6">
        <f>COUNTIFS(Table53[Country],Tabela1[[#This Row],[Country]],Table53[10m Air Pistol Classification],"&gt;0")</f>
        <v>1</v>
      </c>
      <c r="IC18" s="6">
        <f>COUNTIFS(Table19[Country],Tabela1[[#This Row],[Country]],Table19[10m Air Pistol Classification],"&gt;0")</f>
        <v>0</v>
      </c>
      <c r="ID18" s="6">
        <f>COUNTIFS(Table54[Country],Tabela1[[#This Row],[Country]],Table54[Mixed 10m Air Pistol Team Classification],"&gt;0")</f>
        <v>0</v>
      </c>
      <c r="IE18" s="6">
        <f>COUNTIFS(Table53[Country],Tabela1[[#This Row],[Country]],Table53[10m Air Rifle Classification],"&gt;0")</f>
        <v>0</v>
      </c>
      <c r="IF18" s="6">
        <f>COUNTIFS(Table19[Country],Tabela1[[#This Row],[Country]],Table19[10m Air Rifle Classification],"&gt;0")</f>
        <v>0</v>
      </c>
      <c r="IG18" s="6">
        <f>COUNTIFS(Table54[Country],Tabela1[[#This Row],[Country]],Table54[Mixed 10m Air Rifle Team Classification],"&gt;0")</f>
        <v>0</v>
      </c>
      <c r="IH18" s="6">
        <f>COUNTIFS(Table53[Country],Tabela1[[#This Row],[Country]],Table53[25m Rapid Fire Pistol Classification],"&gt;0")</f>
        <v>0</v>
      </c>
      <c r="II18" s="6">
        <f>COUNTIFS(Table19[Country],Tabela1[[#This Row],[Country]],Table19[25m Pistol Classification],"&gt;0")</f>
        <v>0</v>
      </c>
      <c r="IJ18" s="6">
        <f>COUNTIFS(Table53[Country],Tabela1[[#This Row],[Country]],Table53[50m Rifle 3 Positions Classification],"&gt;0")</f>
        <v>0</v>
      </c>
      <c r="IK18" s="6">
        <f>COUNTIFS(Table19[Country],Tabela1[[#This Row],[Country]],Table19[50m Rifle 3 Positions Classification],"&gt;0")</f>
        <v>0</v>
      </c>
      <c r="IL18" s="6">
        <f>COUNTIFS(Table53[Country],Tabela1[[#This Row],[Country]],Table53[Skeet Classification],"&gt;0")</f>
        <v>0</v>
      </c>
      <c r="IM18" s="6">
        <f>COUNTIFS(Table19[Country],Tabela1[[#This Row],[Country]],Table19[Skeet Classification],"&gt;0")</f>
        <v>0</v>
      </c>
      <c r="IN18" s="6">
        <f>COUNTIFS(Table54[Country],Tabela1[[#This Row],[Country]],Table54[Mixed Skeet Team Classification],"&gt;0")</f>
        <v>0</v>
      </c>
      <c r="IO18" s="6">
        <f>COUNTIFS(Table53[Country],Tabela1[[#This Row],[Country]],Table53[Trap Classification],"&gt;0")</f>
        <v>0</v>
      </c>
      <c r="IP18" s="6">
        <f>COUNTIFS(Table19[Country],Tabela1[[#This Row],[Country]],Table19[Trap Classification],"&gt;0")</f>
        <v>0</v>
      </c>
      <c r="IQ18" s="6">
        <f>COUNTIFS(Table73[Country],Tabela1[[#This Row],[Country]],Table73[Park Classification],"&gt;0")</f>
        <v>0</v>
      </c>
      <c r="IR18" s="6">
        <f>COUNTIFS(Table74[Country],Tabela1[[#This Row],[Country]],Table74[Park Classification],"&gt;0")</f>
        <v>0</v>
      </c>
      <c r="IS18" s="6">
        <f>COUNTIFS(Table73[Country],Tabela1[[#This Row],[Country]],Table73[Street Classification],"&gt;0")</f>
        <v>0</v>
      </c>
      <c r="IT18" s="6">
        <f>COUNTIFS(Table74[Country],Tabela1[[#This Row],[Country]],Table74[Street Classification],"&gt;0")</f>
        <v>0</v>
      </c>
      <c r="IU18" s="6">
        <f>COUNTIFS(Table75[Country],Tabela1[[#This Row],[Country]],Table75[Boulder and Lead Classification],"&gt;0")</f>
        <v>0</v>
      </c>
      <c r="IV18" s="6">
        <f>COUNTIFS(Table76[Country],Tabela1[[#This Row],[Country]],Table76[Boulder and Lead Classification],"&gt;0")</f>
        <v>0</v>
      </c>
      <c r="IW18" s="6">
        <f>COUNTIFS(Table75[Country],Tabela1[[#This Row],[Country]],Table75[Speed Classification],"&gt;0")</f>
        <v>0</v>
      </c>
      <c r="IX18" s="6">
        <f>COUNTIFS(Table76[Country],Tabela1[[#This Row],[Country]],Table76[Speed Classification],"&gt;0")</f>
        <v>0</v>
      </c>
      <c r="IY18" s="6">
        <f>COUNTIFS(Table64[Country],Tabela1[[#This Row],[Country]],Table64[Shortboard Classification],"&gt;0")</f>
        <v>0</v>
      </c>
      <c r="IZ18" s="6">
        <f>COUNTIFS(Table77[Country],Tabela1[[#This Row],[Country]],Table77[Shortboard Classification],"&gt;0")</f>
        <v>0</v>
      </c>
      <c r="JA18" s="6">
        <f>COUNTIFS(Table20[Country],Tabela1[[#This Row],[Country]],Table20[50m Freestyle Classification],"&gt;0")</f>
        <v>0</v>
      </c>
      <c r="JB18" s="6">
        <f>COUNTIFS(Table21[Country],Tabela1[[#This Row],[Country]],Table21[50m Freestyle Classification],"&gt;0")</f>
        <v>0</v>
      </c>
      <c r="JC18" s="6">
        <f>COUNTIFS(Table20[Country],Tabela1[[#This Row],[Country]],Table20[100m Freestyle Classification],"&gt;0")</f>
        <v>0</v>
      </c>
      <c r="JD18" s="6">
        <f>COUNTIFS(Table21[Country],Tabela1[[#This Row],[Country]],Table21[100m Freestyle Classification],"&gt;0")</f>
        <v>0</v>
      </c>
      <c r="JE18" s="6">
        <f>COUNTIFS(Table20[Country],Tabela1[[#This Row],[Country]],Table20[200m Freestyle Classification],"&gt;0")</f>
        <v>0</v>
      </c>
      <c r="JF18" s="6">
        <f>COUNTIFS(Table21[Country],Tabela1[[#This Row],[Country]],Table21[200m Freestyle Classification],"&gt;0")</f>
        <v>0</v>
      </c>
      <c r="JG18" s="6">
        <f>COUNTIFS(Table20[Country],Tabela1[[#This Row],[Country]],Table20[400m Freestyle Classification],"&gt;0")</f>
        <v>0</v>
      </c>
      <c r="JH18" s="6">
        <f>COUNTIFS(Table21[Country],Tabela1[[#This Row],[Country]],Table21[400m Freestyle Classification],"&gt;0")</f>
        <v>0</v>
      </c>
      <c r="JI18" s="6">
        <f>COUNTIFS(Table20[Country],Tabela1[[#This Row],[Country]],Table20[800m Freestyle Classification],"&gt;0")</f>
        <v>0</v>
      </c>
      <c r="JJ18" s="6">
        <f>COUNTIFS(Table21[Country],Tabela1[[#This Row],[Country]],Table21[800m Freestyle Classification],"&gt;0")</f>
        <v>0</v>
      </c>
      <c r="JK18" s="6">
        <f>COUNTIFS(Table20[Country],Tabela1[[#This Row],[Country]],Table20[1500m Freestyle Classification],"&gt;0")</f>
        <v>0</v>
      </c>
      <c r="JL18" s="6">
        <f>COUNTIFS(Table21[Country],Tabela1[[#This Row],[Country]],Table21[1500m Freestyle Classification],"&gt;0")</f>
        <v>0</v>
      </c>
      <c r="JM18" s="6">
        <f>COUNTIFS(Table20[Country],Tabela1[[#This Row],[Country]],Table20[100m Backstroke Classification],"&gt;0")</f>
        <v>1</v>
      </c>
      <c r="JN18" s="6">
        <f>COUNTIFS(Table21[Country],Tabela1[[#This Row],[Country]],Table21[100m Backstroke Classification],"&gt;0")</f>
        <v>0</v>
      </c>
      <c r="JO18" s="6">
        <f>COUNTIFS(Table20[Country],Tabela1[[#This Row],[Country]],Table20[200m Backstroke Classification],"&gt;0")</f>
        <v>1</v>
      </c>
      <c r="JP18" s="6">
        <f>COUNTIFS(Table21[Country],Tabela1[[#This Row],[Country]],Table21[200m Backstroke Classification],"&gt;0")</f>
        <v>0</v>
      </c>
      <c r="JQ18" s="6">
        <f>COUNTIFS(Table20[Country],Tabela1[[#This Row],[Country]],Table20[100m Breaststroke Classification],"&gt;0")</f>
        <v>0</v>
      </c>
      <c r="JR18" s="6">
        <f>COUNTIFS(Table21[Country],Tabela1[[#This Row],[Country]],Table21[100m Breaststroke Classification],"&gt;0")</f>
        <v>0</v>
      </c>
      <c r="JS18" s="6">
        <f>COUNTIFS(Table20[Country],Tabela1[[#This Row],[Country]],Table20[200m Breaststroke Classification],"&gt;0")</f>
        <v>0</v>
      </c>
      <c r="JT18" s="6">
        <f>COUNTIFS(Table21[Country],Tabela1[[#This Row],[Country]],Table21[200m Breaststroke Classification],"&gt;0")</f>
        <v>0</v>
      </c>
      <c r="JU18" s="6">
        <f>COUNTIFS(Table20[Country],Tabela1[[#This Row],[Country]],Table20[100m Butterfly Classification],"&gt;0")</f>
        <v>1</v>
      </c>
      <c r="JV18" s="6">
        <f>COUNTIFS(Table21[Country],Tabela1[[#This Row],[Country]],Table21[100m Butterfly Classification],"&gt;0")</f>
        <v>0</v>
      </c>
      <c r="JW18" s="6">
        <f>COUNTIFS(Table20[Country],Tabela1[[#This Row],[Country]],Table20[200m Butterfly Classification],"&gt;0")</f>
        <v>1</v>
      </c>
      <c r="JX18" s="6">
        <f>COUNTIFS(Table21[Country],Tabela1[[#This Row],[Country]],Table21[200m Butterfly Classification],"&gt;0")</f>
        <v>0</v>
      </c>
      <c r="JY18" s="6">
        <f>COUNTIFS(Table20[Country],Tabela1[[#This Row],[Country]],Table20[200m Medley Classification],"&gt;0")</f>
        <v>1</v>
      </c>
      <c r="JZ18" s="6">
        <f>COUNTIFS(Table21[Country],Tabela1[[#This Row],[Country]],Table21[200m Medley Classification],"&gt;0")</f>
        <v>0</v>
      </c>
      <c r="KA18" s="6">
        <f>COUNTIFS(Table20[Country],Tabela1[[#This Row],[Country]],Table20[400m Medley Classification],"&gt;0")</f>
        <v>0</v>
      </c>
      <c r="KB18" s="6">
        <f>COUNTIFS(Table21[Country],Tabela1[[#This Row],[Country]],Table21[400m Medley Classification],"&gt;0")</f>
        <v>0</v>
      </c>
      <c r="KC18" s="6">
        <f>COUNTIFS(Table78[Country],Tabela1[[#This Row],[Country]],Table78[Men''s 4x100m Freestyle Relay Classification],"&gt;0")</f>
        <v>0</v>
      </c>
      <c r="KD18" s="6">
        <f>COUNTIFS(Table78[Country],Tabela1[[#This Row],[Country]],Table78[Women''s 4x100m Freestyle Relay Classification],"&gt;0")</f>
        <v>0</v>
      </c>
      <c r="KE18" s="6">
        <f>COUNTIFS(Table78[Country],Tabela1[[#This Row],[Country]],Table78[Men''s 4x200m Freestyle Relay Classification],"&gt;0")</f>
        <v>1</v>
      </c>
      <c r="KF18" s="6">
        <f>COUNTIFS(Table78[Country],Tabela1[[#This Row],[Country]],Table78[Women''s 4x200m Freestyle Relay Classification],"&gt;0")</f>
        <v>0</v>
      </c>
      <c r="KG18" s="6">
        <f>COUNTIFS(Table78[Country],Tabela1[[#This Row],[Country]],Table78[Men''s 4x100m Medley Relay Classification],"&gt;0")</f>
        <v>1</v>
      </c>
      <c r="KH18" s="6">
        <f>COUNTIFS(Table78[Country],Tabela1[[#This Row],[Country]],Table78[Women''s 4x100m Medley Relay Classification],"&gt;0")</f>
        <v>0</v>
      </c>
      <c r="KI18" s="6">
        <f>COUNTIFS(Table78[Country],Tabela1[[#This Row],[Country]],Table78[Mixed 4x100m Medley Relay Classification],"&gt;0")</f>
        <v>0</v>
      </c>
      <c r="KJ18" s="6">
        <f>COUNTIFS(Table20[Country],Tabela1[[#This Row],[Country]],Table20[10km Open Water Classification],"&gt;0")</f>
        <v>0</v>
      </c>
      <c r="KK18" s="6">
        <f>COUNTIFS(Table21[Country],Tabela1[[#This Row],[Country]],Table21[10km Open Water Classification],"&gt;0")</f>
        <v>0</v>
      </c>
      <c r="KL18" s="6">
        <f>COUNTIFS(Table22[Country],Tabela1[[#This Row],[Country]],Table22[Classification],"&gt;0")</f>
        <v>0</v>
      </c>
      <c r="KM18" s="6">
        <f>COUNTIFS(Table30[Country],Tabela1[[#This Row],[Country]],Table30[Classification],"&gt;0")</f>
        <v>0</v>
      </c>
      <c r="KN18" s="6">
        <f>COUNTIFS(Table55[Country],Tabela1[[#This Row],[Country]],Table55[Men''s Classification],"&gt;0")</f>
        <v>0</v>
      </c>
      <c r="KO18" s="6">
        <f>COUNTIFS(Table55[Country],Tabela1[[#This Row],[Country]],Table55[Women''s Classification],"&gt;0")</f>
        <v>0</v>
      </c>
      <c r="KP18" s="6">
        <f>COUNTIFS(Table56[Country],Tabela1[[#This Row],[Country]],Table56[Mixed Classification],"&gt;0")</f>
        <v>0</v>
      </c>
      <c r="KQ18" s="6">
        <f>COUNTIFS(Table29[Country],Tabela1[[#This Row],[Country]],Table29[58kg Classification],"&gt;0")</f>
        <v>0</v>
      </c>
      <c r="KR18" s="6">
        <f>COUNTIFS(Table29[Country],Tabela1[[#This Row],[Country]],Table29[68kg Classification],"&gt;0")</f>
        <v>0</v>
      </c>
      <c r="KS18" s="6">
        <f>COUNTIFS(Table29[Country],Tabela1[[#This Row],[Country]],Table29[80kg Classification],"&gt;0")</f>
        <v>0</v>
      </c>
      <c r="KT18" s="6">
        <f>COUNTIFS(Table29[Country],Tabela1[[#This Row],[Country]],Table29[Plus 80kg Classification],"&gt;0")</f>
        <v>0</v>
      </c>
      <c r="KU18" s="6">
        <f>COUNTIFS(Table34[Country],Tabela1[[#This Row],[Country]],Table34[49kg Classification],"&gt;0")</f>
        <v>0</v>
      </c>
      <c r="KV18" s="6">
        <f>COUNTIFS(Table34[Country],Tabela1[[#This Row],[Country]],Table34[57kg Classification],"&gt;0")</f>
        <v>0</v>
      </c>
      <c r="KW18" s="6">
        <f>COUNTIFS(Table34[Country],Tabela1[[#This Row],[Country]],Table34[67kg Classification],"&gt;0")</f>
        <v>0</v>
      </c>
      <c r="KX18" s="6">
        <f>COUNTIFS(Table34[Country],Tabela1[[#This Row],[Country]],Table34[Plus 67kg Classification],"&gt;0")</f>
        <v>0</v>
      </c>
      <c r="KY18" s="6">
        <f>COUNTIFS(Table57[Country],Tabela1[[#This Row],[Country]],Table57[Classification],"&gt;0")</f>
        <v>1</v>
      </c>
      <c r="KZ18" s="6">
        <f>COUNTIFS(Table58[Country],Tabela1[[#This Row],[Country]],Table58[Classification],"&gt;0")</f>
        <v>0</v>
      </c>
      <c r="LA18" s="6">
        <f>COUNTIFS(Table79[Country],Tabela1[[#This Row],[Country]],Table79[Men''s Classification],"&gt;0")</f>
        <v>0</v>
      </c>
      <c r="LB18" s="6">
        <f>COUNTIFS(Table79[Country],Tabela1[[#This Row],[Country]],Table79[Women''s Classification],"&gt;0")</f>
        <v>0</v>
      </c>
      <c r="LC18" s="6">
        <f>COUNTIFS(Table79[Country],Tabela1[[#This Row],[Country]],Table79[Mixed Classification],"&gt;0")</f>
        <v>0</v>
      </c>
      <c r="LD18" s="6">
        <f>COUNTIFS(Table65[Country],Tabela1[[#This Row],[Country]],Table65[Classification],"&gt;0")</f>
        <v>0</v>
      </c>
      <c r="LE18" s="6">
        <f>COUNTIFS(Table59[Country],Tabela1[[#This Row],[Country]],Table59[Classification],"&gt;0")</f>
        <v>1</v>
      </c>
      <c r="LF18" s="6">
        <f>COUNTIFS(Table87[Country],Tabela1[[#This Row],[Country]],Table87[Mixed Relay Classification],"&gt;0")</f>
        <v>1</v>
      </c>
      <c r="LG18" s="6">
        <f>COUNTIFS(Table91949698100[Country],Tabela1[[#This Row],[Country]],Table91949698100[Men''s Classification],"&gt;0")</f>
        <v>0</v>
      </c>
      <c r="LH18" s="6">
        <f>COUNTIFS(Table91949698100[Country],Tabela1[[#This Row],[Country]],Table91949698100[Women''s Classification],"&gt;0")</f>
        <v>0</v>
      </c>
      <c r="LI18" s="6">
        <f>COUNTIFS(Table91949698100102[Country],Tabela1[[#This Row],[Country]],Table91949698100102[Men''s Classification],"&gt;0")</f>
        <v>0</v>
      </c>
      <c r="LJ18" s="6">
        <f>COUNTIFS(Table91949698100102[Country],Tabela1[[#This Row],[Country]],Table91949698100102[Women''s Classification],"&gt;0")</f>
        <v>0</v>
      </c>
      <c r="LK18" s="6">
        <f>COUNTIFS(Table23[Country],Tabela1[[#This Row],[Country]],Table23[61kg Classification],"&gt;0")</f>
        <v>0</v>
      </c>
      <c r="LL18" s="6">
        <f>COUNTIFS(Table23[Country],Tabela1[[#This Row],[Country]],Table23[73kg Classification],"&gt;0")</f>
        <v>0</v>
      </c>
      <c r="LM18" s="6">
        <f>COUNTIFS(Table23[Country],Tabela1[[#This Row],[Country]],Table23[89kg Classification],"&gt;0")</f>
        <v>0</v>
      </c>
      <c r="LN18" s="6">
        <f>COUNTIFS(Table23[Country],Tabela1[[#This Row],[Country]],Table23[102kg Classification],"&gt;0")</f>
        <v>0</v>
      </c>
      <c r="LO18" s="6">
        <f>COUNTIFS(Table23[Country],Tabela1[[#This Row],[Country]],Table23[Plus 102kg Classification],"&gt;0")</f>
        <v>0</v>
      </c>
      <c r="LP18" s="6">
        <f>COUNTIFS(Table28[Country],Tabela1[[#This Row],[Country]],Table28[49kg Classification],"&gt;0")</f>
        <v>0</v>
      </c>
      <c r="LQ18" s="6">
        <f>COUNTIFS(Table28[Country],Tabela1[[#This Row],[Country]],Table28[59kg Classification],"&gt;0")</f>
        <v>0</v>
      </c>
      <c r="LR18" s="6">
        <f>COUNTIFS(Table28[Country],Tabela1[[#This Row],[Country]],Table28[71kg Classification],"&gt;0")</f>
        <v>0</v>
      </c>
      <c r="LS18" s="6">
        <f>COUNTIFS(Table28[Country],Tabela1[[#This Row],[Country]],Table28[81kg Classification],"&gt;0")</f>
        <v>0</v>
      </c>
      <c r="LT18" s="6">
        <f>COUNTIFS(Table28[Country],Tabela1[[#This Row],[Country]],Table28[Plus 81kg Classification],"&gt;0")</f>
        <v>0</v>
      </c>
      <c r="LU18" s="6">
        <f>COUNTIFS(Table24[Country],Tabela1[[#This Row],[Country]],Table24[Freestyle 57kg Classification],"&gt;0")</f>
        <v>0</v>
      </c>
      <c r="LV18" s="6">
        <f>COUNTIFS(Table24[Country],Tabela1[[#This Row],[Country]],Table24[Freestyle 65kg Classification],"&gt;0")</f>
        <v>0</v>
      </c>
      <c r="LW18" s="6">
        <f>COUNTIFS(Table24[Country],Tabela1[[#This Row],[Country]],Table24[Freestyle 74kg Classification],"&gt;0")</f>
        <v>0</v>
      </c>
      <c r="LX18" s="6">
        <f>COUNTIFS(Table24[Country],Tabela1[[#This Row],[Country]],Table24[Freestyle 86kg Classification],"&gt;0")</f>
        <v>0</v>
      </c>
      <c r="LY18" s="6">
        <f>COUNTIFS(Table24[Country],Tabela1[[#This Row],[Country]],Table24[Freestyle 97kg Classification],"&gt;0")</f>
        <v>0</v>
      </c>
      <c r="LZ18" s="6">
        <f>COUNTIFS(Table24[Country],Tabela1[[#This Row],[Country]],Table24[Freestyle 125kg Classification],"&gt;0")</f>
        <v>0</v>
      </c>
      <c r="MA18" s="6">
        <f>COUNTIFS(Table24[Country],Tabela1[[#This Row],[Country]],Table24[Greco-Roman 60kg Classification],"&gt;0")</f>
        <v>0</v>
      </c>
      <c r="MB18" s="6">
        <f>COUNTIFS(Table24[Country],Tabela1[[#This Row],[Country]],Table24[Greco-Roman 67kg Classification],"&gt;0")</f>
        <v>0</v>
      </c>
      <c r="MC18" s="6">
        <f>COUNTIFS(Table24[Country],Tabela1[[#This Row],[Country]],Table24[Greco-Roman 77kg Classification],"&gt;0")</f>
        <v>0</v>
      </c>
      <c r="MD18" s="6">
        <f>COUNTIFS(Table24[Country],Tabela1[[#This Row],[Country]],Table24[Greco-Roman 87kg Classification],"&gt;0")</f>
        <v>0</v>
      </c>
      <c r="ME18" s="6">
        <f>COUNTIFS(Table24[Country],Tabela1[[#This Row],[Country]],Table24[Greco-Roman 97kg Classification],"&gt;0")</f>
        <v>0</v>
      </c>
      <c r="MF18" s="6">
        <f>COUNTIFS(Table24[Country],Tabela1[[#This Row],[Country]],Table24[Greco-Roman 130kg Classification],"&gt;0")</f>
        <v>0</v>
      </c>
      <c r="MG18" s="6">
        <f>COUNTIFS(Table31[Country],Tabela1[[#This Row],[Country]],Table31[50kg Classification],"&gt;0")</f>
        <v>0</v>
      </c>
      <c r="MH18" s="6">
        <f>COUNTIFS(Table31[Country],Tabela1[[#This Row],[Country]],Table31[53kg Classification],"&gt;0")</f>
        <v>0</v>
      </c>
      <c r="MI18" s="6">
        <f>COUNTIFS(Table31[Country],Tabela1[[#This Row],[Country]],Table31[57kg Classification],"&gt;0")</f>
        <v>0</v>
      </c>
      <c r="MJ18" s="6">
        <f>COUNTIFS(Table31[Country],Tabela1[[#This Row],[Country]],Table31[62kg Classification],"&gt;0")</f>
        <v>0</v>
      </c>
      <c r="MK18" s="6">
        <f>COUNTIFS(Table31[Country],Tabela1[[#This Row],[Country]],Table31[68kg Classification],"&gt;0")</f>
        <v>0</v>
      </c>
      <c r="ML18" s="6">
        <f>COUNTIFS(Table31[Country],Tabela1[[#This Row],[Country]],Table31[76kg Classification],"&gt;0")</f>
        <v>0</v>
      </c>
      <c r="MM18" s="6">
        <f>COUNTIFS(Table102[Country],Tabela1[[#This Row],[Country]],Table102[Downhill Classification],"&gt;0")</f>
        <v>0</v>
      </c>
      <c r="MN18" s="6">
        <f>COUNTIFS(Table102105[Country],Tabela1[[#This Row],[Country]],Table102105[Downhill Classification],"&gt;0")</f>
        <v>1</v>
      </c>
      <c r="MO18" s="6">
        <f>COUNTIFS(Table102[Country],Tabela1[[#This Row],[Country]],Table102[Giant Slalom Classification],"&gt;0")</f>
        <v>1</v>
      </c>
      <c r="MP18" s="6">
        <f>COUNTIFS(Table102105[Country],Tabela1[[#This Row],[Country]],Table102105[Giant Slalom Classification],"&gt;0")</f>
        <v>0</v>
      </c>
      <c r="MQ18" s="6">
        <f>COUNTIFS(Table102[Country],Tabela1[[#This Row],[Country]],Table102[Slalom Classification],"&gt;0")</f>
        <v>1</v>
      </c>
      <c r="MR18" s="6">
        <f>COUNTIFS(Table102105[Country],Tabela1[[#This Row],[Country]],Table102105[Slalom Classification],"&gt;0")</f>
        <v>1</v>
      </c>
      <c r="MS18" s="6">
        <f>COUNTIFS(Table102[Country],Tabela1[[#This Row],[Country]],Table102[Super-G Classification],"&gt;0")</f>
        <v>0</v>
      </c>
      <c r="MT18" s="6">
        <f>COUNTIFS(Table102105[Country],Tabela1[[#This Row],[Country]],Table102105[Super-G Classification],"&gt;0")</f>
        <v>1</v>
      </c>
      <c r="MU18" s="6">
        <f>COUNTIFS(Table105[Country],Tabela1[[#This Row],[Country]],Table105[Men''s Combined Classification],"&gt;0")</f>
        <v>1</v>
      </c>
      <c r="MV18" s="6">
        <f>COUNTIFS(Table105[Country],Tabela1[[#This Row],[Country]],Table105[Women''s Combined Classification],"&gt;0")</f>
        <v>2</v>
      </c>
      <c r="MW18" s="6">
        <f>COUNTIFS(Table106[Country],Tabela1[[#This Row],[Country]],Table106[Individual Classification],"&gt;0")</f>
        <v>1</v>
      </c>
      <c r="MX18" s="6">
        <f>COUNTIFS(Table106109[Country],Tabela1[[#This Row],[Country]],Table106109[Individual Classification],"&gt;0")</f>
        <v>0</v>
      </c>
      <c r="MY18" s="6">
        <f>COUNTIFS(Table106[Country],Tabela1[[#This Row],[Country]],Table106[Mass Start Classification],"&gt;0")</f>
        <v>0</v>
      </c>
      <c r="MZ18" s="6">
        <f>COUNTIFS(Table106109[Country],Tabela1[[#This Row],[Country]],Table106109[Mass Start Classification],"&gt;0")</f>
        <v>0</v>
      </c>
      <c r="NA18" s="6">
        <f>COUNTIFS(Table106[Country],Tabela1[[#This Row],[Country]],Table106[Pursuit Classification],"&gt;0")</f>
        <v>0</v>
      </c>
      <c r="NB18" s="6">
        <f>COUNTIFS(Table106109[Country],Tabela1[[#This Row],[Country]],Table106109[Pursuit Classification],"&gt;0")</f>
        <v>0</v>
      </c>
      <c r="NC18" s="6">
        <f>COUNTIFS(Table106[Country],Tabela1[[#This Row],[Country]],Table106[Sprint Classification],"&gt;0")</f>
        <v>1</v>
      </c>
      <c r="ND18" s="6">
        <f>COUNTIFS(Table106109[Country],Tabela1[[#This Row],[Country]],Table106109[Sprint Classification],"&gt;0")</f>
        <v>0</v>
      </c>
      <c r="NE18" s="6">
        <f>COUNTIFS(Table109[Country],Tabela1[[#This Row],[Country]],Table109[Men''s Relay Classification],"&gt;0")</f>
        <v>1</v>
      </c>
      <c r="NF18" s="6">
        <f>COUNTIFS(Table109[Country],Tabela1[[#This Row],[Country]],Table109[Women''s Relay Classification],"&gt;0")</f>
        <v>0</v>
      </c>
      <c r="NG18" s="6">
        <f>COUNTIFS(Table109[Country],Tabela1[[#This Row],[Country]],Table109[Mixed Relay Classification],"&gt;0")</f>
        <v>0</v>
      </c>
      <c r="NH18" s="6">
        <f>COUNTIFS(Table110[Country],Tabela1[[#This Row],[Country]],Table110[Monobob Classification],"&gt;0")</f>
        <v>0</v>
      </c>
      <c r="NI18" s="6">
        <f>COUNTIFS(Table111[Country],Tabela1[[#This Row],[Country]],Table111[Men''s Classification],"&gt;0")</f>
        <v>1</v>
      </c>
      <c r="NJ18" s="6">
        <f>COUNTIFS(Table111[Country],Tabela1[[#This Row],[Country]],Table111[Women''s Classification],"&gt;0")</f>
        <v>1</v>
      </c>
      <c r="NK18" s="6">
        <f>COUNTIFS(Table112[Country],Tabela1[[#This Row],[Country]],Table112[Men''s Four Classification],"&gt;0")</f>
        <v>1</v>
      </c>
      <c r="NL18" s="6">
        <f>COUNTIFS(Table113[Country],Tabela1[[#This Row],[Country]],Table113[Classical Classification],"&gt;0")</f>
        <v>0</v>
      </c>
      <c r="NM18" s="6">
        <f>COUNTIFS(Table113116[Country],Tabela1[[#This Row],[Country]],Table113116[Classical Classification],"&gt;0")</f>
        <v>0</v>
      </c>
      <c r="NN18" s="6">
        <f>COUNTIFS(Table113[Country],Tabela1[[#This Row],[Country]],Table113[Freestyle Classification],"&gt;0")</f>
        <v>0</v>
      </c>
      <c r="NO18" s="6">
        <f>COUNTIFS(Table113116[Country],Tabela1[[#This Row],[Country]],Table113116[Freestyle Classification],"&gt;0")</f>
        <v>0</v>
      </c>
      <c r="NP18" s="6">
        <f>COUNTIFS(Table117[Country],Tabela1[[#This Row],[Country]],Table117[Men''s Relay Classification],"&gt;0")</f>
        <v>0</v>
      </c>
      <c r="NQ18" s="6">
        <f>COUNTIFS(Table117[Country],Tabela1[[#This Row],[Country]],Table117[Women''s Relay Classification],"&gt;0")</f>
        <v>0</v>
      </c>
      <c r="NR18" s="6">
        <f>COUNTIFS(Table113[Country],Tabela1[[#This Row],[Country]],Table113[Skiathlon Classification],"&gt;0")</f>
        <v>0</v>
      </c>
      <c r="NS18" s="6">
        <f>COUNTIFS(Table113116[Country],Tabela1[[#This Row],[Country]],Table113116[Skiathlon Classification],"&gt;0")</f>
        <v>0</v>
      </c>
      <c r="NT18" s="6">
        <f>COUNTIFS(Table113[Country],Tabela1[[#This Row],[Country]],Table113[Sprint Classification],"&gt;0")</f>
        <v>0</v>
      </c>
      <c r="NU18" s="6">
        <f>COUNTIFS(Table113116[Country],Tabela1[[#This Row],[Country]],Table113116[Sprint Classification],"&gt;0")</f>
        <v>0</v>
      </c>
      <c r="NV18" s="6">
        <f>COUNTIFS(Table116[Country],Tabela1[[#This Row],[Country]],Table116[Men''s Team Sprint Classification],"&gt;0")</f>
        <v>0</v>
      </c>
      <c r="NW18" s="6">
        <f>COUNTIFS(Table116[Country],Tabela1[[#This Row],[Country]],Table116[Women''s Team Sprint Classification],"&gt;0")</f>
        <v>0</v>
      </c>
      <c r="NX18" s="6">
        <f>COUNTIFS(Table119[Country],Tabela1[[#This Row],[Country]],Table119[Men''s Classification],"&gt;0")</f>
        <v>1</v>
      </c>
      <c r="NY18" s="6">
        <f>COUNTIFS(Table119[Country],Tabela1[[#This Row],[Country]],Table119[Women''s Classification],"&gt;0")</f>
        <v>0</v>
      </c>
      <c r="NZ18" s="6">
        <f>COUNTIFS(Table118[Country],Tabela1[[#This Row],[Country]],Table118[Mixed Classification],"&gt;0")</f>
        <v>0</v>
      </c>
      <c r="OA18" s="6">
        <f>COUNTIFS(Table120[Country],Tabela1[[#This Row],[Country]],Table120[Classification],"&gt;0")</f>
        <v>1</v>
      </c>
      <c r="OB18" s="6">
        <f>COUNTIFS(Table120123[Country],Tabela1[[#This Row],[Country]],Table120123[Classification],"&gt;0")</f>
        <v>0</v>
      </c>
      <c r="OC18" s="6">
        <f>COUNTIFS(Table123[Country],Tabela1[[#This Row],[Country]],Table123[Ice Dance Classification],"&gt;0")</f>
        <v>0</v>
      </c>
      <c r="OD18" s="6">
        <f>COUNTIFS(Table123[Country],Tabela1[[#This Row],[Country]],Table123[Pair Skating Classification],"&gt;0")</f>
        <v>0</v>
      </c>
      <c r="OE18" s="6">
        <f>COUNTIFS(Table124[Country],Tabela1[[#This Row],[Country]],Table124[Mixed Classification],"&gt;0")</f>
        <v>0</v>
      </c>
      <c r="OF18" s="6">
        <f>COUNTIFS(Table125[Country],Tabela1[[#This Row],[Country]],Table125[Aerials Classification],"&gt;0")</f>
        <v>1</v>
      </c>
      <c r="OG18" s="6">
        <f>COUNTIFS(Table125128[Country],Tabela1[[#This Row],[Country]],Table125128[Aerials Classification],"&gt;0")</f>
        <v>1</v>
      </c>
      <c r="OH18" s="6">
        <f>COUNTIFS(Table128[Country],Tabela1[[#This Row],[Country]],Table128[Mixed Aerials Classification],"&gt;0")</f>
        <v>1</v>
      </c>
      <c r="OI18" s="6">
        <f>COUNTIFS(Table125[Country],Tabela1[[#This Row],[Country]],Table125[Big Air Classification],"&gt;0")</f>
        <v>1</v>
      </c>
      <c r="OJ18" s="6">
        <f>COUNTIFS(Table125128[Country],Tabela1[[#This Row],[Country]],Table125128[Big Air Classification],"&gt;0")</f>
        <v>2</v>
      </c>
      <c r="OK18" s="6">
        <f>COUNTIFS(Table125[Country],Tabela1[[#This Row],[Country]],Table125[Dual Moguls Classification],"&gt;0")</f>
        <v>0</v>
      </c>
      <c r="OL18" s="6">
        <f>COUNTIFS(Table125128[Country],Tabela1[[#This Row],[Country]],Table125128[Dual Moguls Classification],"&gt;0")</f>
        <v>0</v>
      </c>
      <c r="OM18" s="6">
        <f>COUNTIFS(Table125[Country],Tabela1[[#This Row],[Country]],Table125[Halfpipe Classification],"&gt;0")</f>
        <v>0</v>
      </c>
      <c r="ON18" s="6">
        <f>COUNTIFS(Table125128[Country],Tabela1[[#This Row],[Country]],Table125128[Halfpipe Classification],"&gt;0")</f>
        <v>0</v>
      </c>
      <c r="OO18" s="6">
        <f>COUNTIFS(Table125[Country],Tabela1[[#This Row],[Country]],Table125[Moguls Classification],"&gt;0")</f>
        <v>0</v>
      </c>
      <c r="OP18" s="6">
        <f>COUNTIFS(Table125128[Country],Tabela1[[#This Row],[Country]],Table125128[Moguls Classification],"&gt;0")</f>
        <v>0</v>
      </c>
      <c r="OQ18" s="6">
        <f>COUNTIFS(Table125[Country],Tabela1[[#This Row],[Country]],Table125[Ski Cross Classification],"&gt;0")</f>
        <v>2</v>
      </c>
      <c r="OR18" s="6">
        <f>COUNTIFS(Table125128[Country],Tabela1[[#This Row],[Country]],Table125128[Ski Cross Classification],"&gt;0")</f>
        <v>1</v>
      </c>
      <c r="OS18" s="6">
        <f>COUNTIFS(Table125[Country],Tabela1[[#This Row],[Country]],Table125[Slopestyle Classification],"&gt;0")</f>
        <v>1</v>
      </c>
      <c r="OT18" s="6">
        <f>COUNTIFS(Table125128[Country],Tabela1[[#This Row],[Country]],Table125128[Slopestyle Classification],"&gt;0")</f>
        <v>2</v>
      </c>
      <c r="OU18" s="6">
        <f>COUNTIFS(Table119131[Country],Tabela1[[#This Row],[Country]],Table119131[Men''s Classification],"&gt;0")</f>
        <v>1</v>
      </c>
      <c r="OV18" s="6">
        <f>COUNTIFS(Table119131[Country],Tabela1[[#This Row],[Country]],Table119131[Women''s Classification],"&gt;0")</f>
        <v>1</v>
      </c>
      <c r="OW18" s="6">
        <f>COUNTIFS(Table131[Country],Tabela1[[#This Row],[Country]],Table131[Classification],"&gt;0")</f>
        <v>0</v>
      </c>
      <c r="OX18" s="6">
        <f>COUNTIFS(Table131134[Country],Tabela1[[#This Row],[Country]],Table131134[Classification],"&gt;0")</f>
        <v>0</v>
      </c>
      <c r="OY18" s="6">
        <f>COUNTIFS(Table134[Country],Tabela1[[#This Row],[Country]],Table134[Men''s Classification],"&gt;0")</f>
        <v>0</v>
      </c>
      <c r="OZ18" s="6">
        <f>COUNTIFS(Table134[Country],Tabela1[[#This Row],[Country]],Table134[Women''s Classification],"&gt;0")</f>
        <v>0</v>
      </c>
      <c r="PA18" s="6">
        <f>COUNTIFS(Table135[Country],Tabela1[[#This Row],[Country]],Table135[Mixed Relay Classification],"&gt;0")</f>
        <v>0</v>
      </c>
      <c r="PB18" s="6">
        <f>COUNTIFS(Table136[Country],Tabela1[[#This Row],[Country]],Table136[Individual Classification],"&gt;0")</f>
        <v>0</v>
      </c>
      <c r="PC18" s="6">
        <f>COUNTIFS(Table136[Country],Tabela1[[#This Row],[Country]],Table136[Sprint Classification],"&gt;0")</f>
        <v>0</v>
      </c>
      <c r="PD18" s="6">
        <f>COUNTIFS(Table137[Country],Tabela1[[#This Row],[Country]],Table137[Men''s Team Sprint Large Hill Classification],"&gt;0")</f>
        <v>0</v>
      </c>
      <c r="PE18" s="6">
        <f>COUNTIFS(Table138[Country],Tabela1[[#This Row],[Country]],Table138[500m Classification],"&gt;0")</f>
        <v>0</v>
      </c>
      <c r="PF18" s="6">
        <f>COUNTIFS(Table138141[Country],Tabela1[[#This Row],[Country]],Table138141[500m Classification],"&gt;0")</f>
        <v>0</v>
      </c>
      <c r="PG18" s="6">
        <f>COUNTIFS(Table138[Country],Tabela1[[#This Row],[Country]],Table138[1000m Classification],"&gt;0")</f>
        <v>0</v>
      </c>
      <c r="PH18" s="6">
        <f>COUNTIFS(Table138141[Country],Tabela1[[#This Row],[Country]],Table138141[1000m Classification],"&gt;0")</f>
        <v>0</v>
      </c>
      <c r="PI18" s="6">
        <f>COUNTIFS(Table138[Country],Tabela1[[#This Row],[Country]],Table138[1500m Classification],"&gt;0")</f>
        <v>0</v>
      </c>
      <c r="PJ18" s="6">
        <f>COUNTIFS(Table138141[Country],Tabela1[[#This Row],[Country]],Table138141[1500m Classification],"&gt;0")</f>
        <v>0</v>
      </c>
      <c r="PK18" s="6">
        <f>COUNTIFS(Table141[Country],Tabela1[[#This Row],[Country]],Table141[Men''s 5000m Relay Classification],"&gt;0")</f>
        <v>0</v>
      </c>
      <c r="PL18" s="6">
        <f>COUNTIFS(Table141[Country],Tabela1[[#This Row],[Country]],Table141[Women''s 3000m Relay Classification],"&gt;0")</f>
        <v>0</v>
      </c>
      <c r="PM18" s="6">
        <f>COUNTIFS(Table141[Country],Tabela1[[#This Row],[Country]],Table141[Mixed 2000m Relay Classification],"&gt;0")</f>
        <v>0</v>
      </c>
      <c r="PN18" s="6">
        <f>COUNTIFS(Table142[Country],Tabela1[[#This Row],[Country]],Table142[Classification],"&gt;0")</f>
        <v>0</v>
      </c>
      <c r="PO18" s="6">
        <f>COUNTIFS(Table142145[Country],Tabela1[[#This Row],[Country]],Table142145[Classification],"&gt;0")</f>
        <v>0</v>
      </c>
      <c r="PP18" s="6">
        <f>COUNTIFS(Tabela15[Country],Tabela1[[#This Row],[Country]],Tabela15[Mixed Team Classification],"&gt;0")</f>
        <v>0</v>
      </c>
      <c r="PQ18" s="6">
        <f>COUNTIFS(Table145[Country],Tabela1[[#This Row],[Country]],Table145[Large Hill Classification],"&gt;0")</f>
        <v>0</v>
      </c>
      <c r="PR18" s="6">
        <f>COUNTIFS(Table145[Country],Tabela1[[#This Row],[Country]],Table145[Normal Hill Classification],"&gt;0")</f>
        <v>0</v>
      </c>
      <c r="PS18" s="6">
        <f>COUNTIFS(Table145148[Country],Tabela1[[#This Row],[Country]],Table145148[Large Hill Classification],"&gt;0")</f>
        <v>0</v>
      </c>
      <c r="PT18" s="6">
        <f>COUNTIFS(Table145148[Country],Tabela1[[#This Row],[Country]],Table145148[Normal Hill Classification],"&gt;0")</f>
        <v>0</v>
      </c>
      <c r="PU18" s="6">
        <f>COUNTIFS(Table148[Country],Tabela1[[#This Row],[Country]],Table148[Men''s Super Team Classification],"&gt;0")</f>
        <v>0</v>
      </c>
      <c r="PV18" s="6">
        <f>COUNTIFS(Tabela114[Country],Tabela1[[#This Row],[Country]],Tabela114[Mixed Normal Hill Classification],"&gt;0")</f>
        <v>0</v>
      </c>
      <c r="PW18" s="6">
        <f>COUNTIFS(Tabela50[Country],Tabela1[[#This Row],[Country]],Tabela50[Sprint Classification],"&gt;0")</f>
        <v>0</v>
      </c>
      <c r="PX18" s="6">
        <f>COUNTIFS(Tabela50101[Country],Tabela1[[#This Row],[Country]],Tabela50101[Sprint Classification],"&gt;0")</f>
        <v>0</v>
      </c>
      <c r="PY18" s="6">
        <f>COUNTIFS(Tabela103[Country],Tabela1[[#This Row],[Country]],Tabela103[Mixed Relay Classification],"&gt;0")</f>
        <v>0</v>
      </c>
      <c r="PZ18" s="6">
        <f>COUNTIFS(Table149[Country],Tabela1[[#This Row],[Country]],Table149[Big Air Classification],"&gt;0")</f>
        <v>0</v>
      </c>
      <c r="QA18" s="6">
        <f>COUNTIFS(Table149152[Country],Tabela1[[#This Row],[Country]],Table149152[Big Air Classification],"&gt;0")</f>
        <v>0</v>
      </c>
      <c r="QB18" s="6">
        <f>COUNTIFS(Table149[Country],Tabela1[[#This Row],[Country]],Table149[Halfpipe Classification],"&gt;0")</f>
        <v>0</v>
      </c>
      <c r="QC18" s="6">
        <f>COUNTIFS(Table149152[Country],Tabela1[[#This Row],[Country]],Table149152[Halfpipe Classification],"&gt;0")</f>
        <v>0</v>
      </c>
      <c r="QD18" s="6">
        <f>COUNTIFS(Table149[Country],Tabela1[[#This Row],[Country]],Table149[Parallel Giant Slalom Classification],"&gt;0")</f>
        <v>0</v>
      </c>
      <c r="QE18" s="6">
        <f>COUNTIFS(Table149152[Country],Tabela1[[#This Row],[Country]],Table149152[Parallel Giant Slalom Classification],"&gt;0")</f>
        <v>1</v>
      </c>
      <c r="QF18" s="6">
        <f>COUNTIFS(Table149[Country],Tabela1[[#This Row],[Country]],Table149[Slopestyle Classification],"&gt;0")</f>
        <v>0</v>
      </c>
      <c r="QG18" s="6">
        <f>COUNTIFS(Table149152[Country],Tabela1[[#This Row],[Country]],Table149152[Slopestyle Classification],"&gt;0")</f>
        <v>0</v>
      </c>
      <c r="QH18" s="6">
        <f>COUNTIFS(Table149[Country],Tabela1[[#This Row],[Country]],Table149[Snowboard Cross Classification],"&gt;0")</f>
        <v>0</v>
      </c>
      <c r="QI18" s="6">
        <f>COUNTIFS(Table149152[Country],Tabela1[[#This Row],[Country]],Table149152[Snowboard Cross Classification],"&gt;0")</f>
        <v>1</v>
      </c>
      <c r="QJ18" s="6">
        <f>COUNTIFS(Table153[Country],Tabela1[[#This Row],[Country]],Table153[Mixed Team Snowboard Cross Classification],"&gt;0")</f>
        <v>0</v>
      </c>
      <c r="QK18" s="6">
        <f>COUNTIFS(Table154[Country],Tabela1[[#This Row],[Country]],Table154[500m Classification],"&gt;0")</f>
        <v>0</v>
      </c>
      <c r="QL18" s="6">
        <f>COUNTIFS(Table154157[Country],Tabela1[[#This Row],[Country]],Table154157[500m Classification],"&gt;0")</f>
        <v>0</v>
      </c>
      <c r="QM18" s="6">
        <f>COUNTIFS(Table154[Country],Tabela1[[#This Row],[Country]],Table154[1000m Classification],"&gt;0")</f>
        <v>0</v>
      </c>
      <c r="QN18" s="6">
        <f>COUNTIFS(Table154157[Country],Tabela1[[#This Row],[Country]],Table154157[1000m Classification],"&gt;0")</f>
        <v>0</v>
      </c>
      <c r="QO18" s="6">
        <f>COUNTIFS(Table154[Country],Tabela1[[#This Row],[Country]],Table154[1500m Classification],"&gt;0")</f>
        <v>0</v>
      </c>
      <c r="QP18" s="6">
        <f>COUNTIFS(Table154157[Country],Tabela1[[#This Row],[Country]],Table154157[1500m Classification],"&gt;0")</f>
        <v>0</v>
      </c>
      <c r="QQ18" s="6">
        <f>COUNTIFS(Table154157[Country],Tabela1[[#This Row],[Country]],Table154157[3000m Classification],"&gt;0")</f>
        <v>0</v>
      </c>
      <c r="QR18" s="6">
        <f>COUNTIFS(Table154[Country],Tabela1[[#This Row],[Country]],Table154[5000m Classification],"&gt;0")</f>
        <v>0</v>
      </c>
      <c r="QS18" s="6">
        <f>COUNTIFS(Table154157[Country],Tabela1[[#This Row],[Country]],Table154157[5000m Classification],"&gt;0")</f>
        <v>0</v>
      </c>
      <c r="QT18" s="6">
        <f>COUNTIFS(Table154[Country],Tabela1[[#This Row],[Country]],Table154[10000m Classification],"&gt;0")</f>
        <v>0</v>
      </c>
      <c r="QU18" s="6">
        <f>COUNTIFS(Table154[Country],Tabela1[[#This Row],[Country]],Table154[Mass Start Classification],"&gt;0")</f>
        <v>0</v>
      </c>
      <c r="QV18" s="6">
        <f>COUNTIFS(Table154157[Country],Tabela1[[#This Row],[Country]],Table154157[Mass Start Classification],"&gt;0")</f>
        <v>1</v>
      </c>
      <c r="QW18" s="6">
        <f>COUNTIFS(Table157[Country],Tabela1[[#This Row],[Country]],Table157[Men''s Pursuit Classification],"&gt;0")</f>
        <v>0</v>
      </c>
      <c r="QX18" s="6">
        <f>COUNTIFS(Table157[Country],Tabela1[[#This Row],[Country]],Table157[Women''s Pursuit Classification],"&gt;0")</f>
        <v>0</v>
      </c>
      <c r="QY18" s="3" t="s">
        <v>445</v>
      </c>
    </row>
    <row r="19" spans="1:467" x14ac:dyDescent="0.3">
      <c r="A19" s="6">
        <v>18</v>
      </c>
      <c r="B19" s="6" t="s">
        <v>450</v>
      </c>
      <c r="C19" t="e" vm="18">
        <f>IF(ISBLANK(Tabela1[[#This Row],[Image Link]]), "", _xlfn.IMAGE(Tabela1[[#This Row],[Image Link]],1,1))</f>
        <v>#VALUE!</v>
      </c>
      <c r="D19" s="6">
        <f>SUM(Tabela1[[#This Row],[Archery - Men''s Individual Recurve]:[Speed Skating - Women''s Team Pursuit]])</f>
        <v>69</v>
      </c>
      <c r="E19" s="6">
        <f>COUNTIF(Tabela1[[#This Row],[Archery - Men''s Individual Recurve]:[Speed Skating - Women''s Team Pursuit]],"&gt;0")</f>
        <v>57</v>
      </c>
      <c r="F19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9" s="6">
        <f>SUM(Tabela1[[#This Row],[Archery - Men''s Individual Recurve]:[Wrestling - Women''s Freestyle 76kg]])</f>
        <v>45</v>
      </c>
      <c r="H19" s="6">
        <f>SUM(Tabela1[[#This Row],[Alpine Skiing - Men''s Downhill]:[Speed Skating - Women''s Team Pursuit]])</f>
        <v>24</v>
      </c>
      <c r="I19" s="6">
        <f>Tabela1[[#This Row],[Summer Gold Medals]]+Tabela1[[#This Row],[Winter Gold Medals]]</f>
        <v>2</v>
      </c>
      <c r="J19" s="6">
        <f>Tabela1[[#This Row],[Summer Silver Medals]]+Tabela1[[#This Row],[Winter Silver Medals]]</f>
        <v>2</v>
      </c>
      <c r="K19" s="6">
        <f>Tabela1[[#This Row],[Summer Bronze Medals]]+Tabela1[[#This Row],[Winter Bronze Medals]]</f>
        <v>3</v>
      </c>
      <c r="L19" s="6">
        <f>SUM(Tabela1[[#This Row],[Total Gold Medals]:[Total Bronze Medals]])</f>
        <v>7</v>
      </c>
      <c r="M19" s="6">
        <v>2</v>
      </c>
      <c r="N19" s="6">
        <v>2</v>
      </c>
      <c r="O19" s="6">
        <v>3</v>
      </c>
      <c r="P19" s="6">
        <f>SUM(Tabela1[[#This Row],[Summer Gold Medals]:[Summer Bronze Medals]])</f>
        <v>7</v>
      </c>
      <c r="Q19" s="6"/>
      <c r="R19" s="6"/>
      <c r="S19" s="6"/>
      <c r="T19" s="6">
        <f>Tabela1[[#This Row],[Winter Gold Medals]]+Tabela1[[#This Row],[Winter Silver Medals]]+Tabela1[[#This Row],[Winter Bronze Medals]]</f>
        <v>0</v>
      </c>
      <c r="U19" s="7">
        <f>Tabela1[[#This Row],[Total Medals]]/Tabela1[[#This Row],[Total Quotas]]</f>
        <v>0.10144927536231885</v>
      </c>
      <c r="V19" s="6">
        <f>COUNTIFS(Table3[Country],Tabela1[[#This Row],[Country]],Table3[Recurve Classification],"&gt;0")</f>
        <v>0</v>
      </c>
      <c r="W19" s="6">
        <f>COUNTIFS(Table33[Country],Tabela1[[#This Row],[Country]],Table33[Recurve Classification],"&gt;0")</f>
        <v>0</v>
      </c>
      <c r="X19" s="6">
        <f>COUNTIFS(Table35[Country],Tabela1[[#This Row],[Country]],Table35[Men''s Team Recurve Classification],"&gt;0")</f>
        <v>0</v>
      </c>
      <c r="Y19" s="6">
        <f>COUNTIFS(Table35[Country],Tabela1[[#This Row],[Country]],Table35[Women''s Team Recurve Classification],"&gt;0")</f>
        <v>0</v>
      </c>
      <c r="Z19" s="6">
        <f>COUNTIFS(Tabela88[Country],Tabela1[[#This Row],[Country]],Tabela88[Mixed Team Recurve Classification],"&gt;0")</f>
        <v>0</v>
      </c>
      <c r="AA19" s="6">
        <f>COUNTIFS(Table36[Country],Tabela1[[#This Row],[Country]],Table36[Classification],"&gt;0")</f>
        <v>0</v>
      </c>
      <c r="AB19" s="6">
        <f>COUNTIFS(Table37[Country],Tabela1[[#This Row],[Country]],Table37[Classification],"&gt;0")</f>
        <v>0</v>
      </c>
      <c r="AC19" s="6">
        <f>COUNTIFS(Table4[Country],Tabela1[[#This Row],[Country]],Table4[100m Classification],"&gt;0")</f>
        <v>0</v>
      </c>
      <c r="AD19" s="6">
        <f>COUNTIFS(Table5[Country],Tabela1[[#This Row],[Country]],Table5[100m Classification],"&gt;0")</f>
        <v>0</v>
      </c>
      <c r="AE19" s="6">
        <f>COUNTIFS(Table4[Country],Tabela1[[#This Row],[Country]],Table4[200m Classification],"&gt;0")</f>
        <v>0</v>
      </c>
      <c r="AF19" s="6">
        <f>COUNTIFS(Table5[Country],Tabela1[[#This Row],[Country]],Table5[200m Classification],"&gt;0")</f>
        <v>0</v>
      </c>
      <c r="AG19" s="6">
        <f>COUNTIFS(Table4[Country],Tabela1[[#This Row],[Country]],Table4[400m Classification],"&gt;0")</f>
        <v>0</v>
      </c>
      <c r="AH19" s="6">
        <f>COUNTIFS(Table5[Country],Tabela1[[#This Row],[Country]],Table5[400m Classification],"&gt;0")</f>
        <v>0</v>
      </c>
      <c r="AI19" s="6">
        <f>COUNTIFS(Table4[Country],Tabela1[[#This Row],[Country]],Table4[800m Classification],"&gt;0")</f>
        <v>0</v>
      </c>
      <c r="AJ19" s="6">
        <f>COUNTIFS(Table5[Country],Tabela1[[#This Row],[Country]],Table5[800m Classification],"&gt;0")</f>
        <v>0</v>
      </c>
      <c r="AK19" s="6">
        <f>COUNTIFS(Table4[Country],Tabela1[[#This Row],[Country]],Table4[1500m Classification],"&gt;0")</f>
        <v>0</v>
      </c>
      <c r="AL19" s="6">
        <f>COUNTIFS(Table5[Country],Tabela1[[#This Row],[Country]],Table5[1500m Classification],"&gt;0")</f>
        <v>0</v>
      </c>
      <c r="AM19" s="6">
        <f>COUNTIFS(Table4[Country],Tabela1[[#This Row],[Country]],Table4[5000m Classification],"&gt;0")</f>
        <v>0</v>
      </c>
      <c r="AN19" s="6">
        <f>COUNTIFS(Table5[Country],Tabela1[[#This Row],[Country]],Table5[5000m Classification],"&gt;0")</f>
        <v>0</v>
      </c>
      <c r="AO19" s="6">
        <f>COUNTIFS(Table4[Country],Tabela1[[#This Row],[Country]],Table4[10000m Classification],"&gt;0")</f>
        <v>0</v>
      </c>
      <c r="AP19" s="6">
        <f>COUNTIFS(Table5[Country],Tabela1[[#This Row],[Country]],Table5[10000m Classification],"&gt;0")</f>
        <v>0</v>
      </c>
      <c r="AQ19" s="6">
        <f>COUNTIFS(Table4[Country],Tabela1[[#This Row],[Country]],Table4[110m Hurdles Classification],"&gt;0")</f>
        <v>0</v>
      </c>
      <c r="AR19" s="6">
        <f>COUNTIFS(Table5[Country],Tabela1[[#This Row],[Country]],Table5[100m Hurdles Classification],"&gt;0")</f>
        <v>0</v>
      </c>
      <c r="AS19" s="6">
        <f>COUNTIFS(Table4[Country],Tabela1[[#This Row],[Country]],Table4[400m Hurdles Classification],"&gt;0")</f>
        <v>0</v>
      </c>
      <c r="AT19" s="6">
        <f>COUNTIFS(Table5[Country],Tabela1[[#This Row],[Country]],Table5[400m Hurdles Classification],"&gt;0")</f>
        <v>0</v>
      </c>
      <c r="AU19" s="6">
        <f>COUNTIFS(Table4[Country],Tabela1[[#This Row],[Country]],Table4[3000m Steeplechase Classification],"&gt;0")</f>
        <v>0</v>
      </c>
      <c r="AV19" s="6">
        <f>COUNTIFS(Table5[Country],Tabela1[[#This Row],[Country]],Table5[3000m Steeplechase Classification],"&gt;0")</f>
        <v>0</v>
      </c>
      <c r="AW19" s="6">
        <f>COUNTIFS(Table27[Country],Tabela1[[#This Row],[Country]],Table27[Men''s 4x100m Relay Classification],"&gt;0")</f>
        <v>0</v>
      </c>
      <c r="AX19" s="6">
        <f>COUNTIFS(Table27[Country],Tabela1[[#This Row],[Country]],Table27[Women''s 4x100m Relay Classification],"&gt;0")</f>
        <v>0</v>
      </c>
      <c r="AY19" s="6">
        <f>COUNTIFS(Table27[Country],Tabela1[[#This Row],[Country]],Table27[Men''s 4x400m Relay Classification],"&gt;0")</f>
        <v>0</v>
      </c>
      <c r="AZ19" s="6">
        <f>COUNTIFS(Table27[Country],Tabela1[[#This Row],[Country]],Table27[Women''s 4x400m Relay Classification],"&gt;0")</f>
        <v>0</v>
      </c>
      <c r="BA19" s="6">
        <f>COUNTIFS(Table27[Country],Tabela1[[#This Row],[Country]],Table27[Mixed 4x400m Relay Classification],"&gt;0")</f>
        <v>0</v>
      </c>
      <c r="BB19" s="6">
        <f>COUNTIFS(Table4[Country],Tabela1[[#This Row],[Country]],Table4[Marathon Classification],"&gt;0")</f>
        <v>0</v>
      </c>
      <c r="BC19" s="6">
        <f>COUNTIFS(Table5[Country],Tabela1[[#This Row],[Country]],Table5[Marathon Classification],"&gt;0")</f>
        <v>1</v>
      </c>
      <c r="BD19" s="6">
        <f>COUNTIFS(Table4[Country],Tabela1[[#This Row],[Country]],Table4[20km Race Walk Classification],"&gt;0")</f>
        <v>0</v>
      </c>
      <c r="BE19" s="6">
        <f>COUNTIFS(Table5[Country],Tabela1[[#This Row],[Country]],Table5[20km Race Walk Classification],"&gt;0")</f>
        <v>0</v>
      </c>
      <c r="BF19" s="6">
        <f>COUNTIFS(Tabela96[Country],Tabela1[[#This Row],[Country]],Tabela96[Mixed Marathon Race Walk Relay Classification],"&gt;0")</f>
        <v>0</v>
      </c>
      <c r="BG19" s="6">
        <f>COUNTIFS(Table4[Country],Tabela1[[#This Row],[Country]],Table4[Discus Throw Classification],"&gt;0")</f>
        <v>1</v>
      </c>
      <c r="BH19" s="6">
        <f>COUNTIFS(Table5[Country],Tabela1[[#This Row],[Country]],Table5[Discus Throw Classification],"&gt;0")</f>
        <v>1</v>
      </c>
      <c r="BI19" s="6">
        <f>COUNTIFS(Table4[Country],Tabela1[[#This Row],[Country]],Table4[Hammer Throw Classification],"&gt;0")</f>
        <v>1</v>
      </c>
      <c r="BJ19" s="6">
        <f>COUNTIFS(Table5[Country],Tabela1[[#This Row],[Country]],Table5[Hammer Throw Classification],"&gt;0")</f>
        <v>0</v>
      </c>
      <c r="BK19" s="6">
        <f>COUNTIFS(Table4[Country],Tabela1[[#This Row],[Country]],Table4[High Jump Classification],"&gt;0")</f>
        <v>0</v>
      </c>
      <c r="BL19" s="6">
        <f>COUNTIFS(Table5[Country],Tabela1[[#This Row],[Country]],Table5[High Jump Classification],"&gt;0")</f>
        <v>0</v>
      </c>
      <c r="BM19" s="6">
        <f>COUNTIFS(Table4[Country],Tabela1[[#This Row],[Country]],Table4[Javelin Throw Classification],"&gt;0")</f>
        <v>0</v>
      </c>
      <c r="BN19" s="6">
        <f>COUNTIFS(Table5[Country],Tabela1[[#This Row],[Country]],Table5[Javelin Throw Classification],"&gt;0")</f>
        <v>1</v>
      </c>
      <c r="BO19" s="6">
        <f>COUNTIFS(Table4[Country],Tabela1[[#This Row],[Country]],Table4[Long Jump Classification],"&gt;0")</f>
        <v>1</v>
      </c>
      <c r="BP19" s="6">
        <f>COUNTIFS(Table5[Country],Tabela1[[#This Row],[Country]],Table5[Long Jump Classification],"&gt;0")</f>
        <v>0</v>
      </c>
      <c r="BQ19" s="6">
        <f>COUNTIFS(Table4[Country],Tabela1[[#This Row],[Country]],Table4[Pole Vault Classification],"&gt;0")</f>
        <v>0</v>
      </c>
      <c r="BR19" s="6">
        <f>COUNTIFS(Table5[Country],Tabela1[[#This Row],[Country]],Table5[Pole Vault Classification],"&gt;0")</f>
        <v>0</v>
      </c>
      <c r="BS19" s="6">
        <f>COUNTIFS(Table4[Country],Tabela1[[#This Row],[Country]],Table4[Shot Put Classification],"&gt;0")</f>
        <v>0</v>
      </c>
      <c r="BT19" s="6">
        <f>COUNTIFS(Table5[Country],Tabela1[[#This Row],[Country]],Table5[Shot Put Classification],"&gt;0")</f>
        <v>0</v>
      </c>
      <c r="BU19" s="6">
        <f>COUNTIFS(Table4[Country],Tabela1[[#This Row],[Country]],Table4[Triple Jump Classification],"&gt;0")</f>
        <v>0</v>
      </c>
      <c r="BV19" s="6">
        <f>COUNTIFS(Table5[Country],Tabela1[[#This Row],[Country]],Table5[Triple Jump Classification],"&gt;0")</f>
        <v>0</v>
      </c>
      <c r="BW19" s="6">
        <f>COUNTIFS(Table4[Country],Tabela1[[#This Row],[Country]],Table4[Decathlon Classification],"&gt;0")</f>
        <v>0</v>
      </c>
      <c r="BX19" s="6">
        <f>COUNTIFS(Table5[Country],Tabela1[[#This Row],[Country]],Table5[Heptathlon Classification],"&gt;0")</f>
        <v>0</v>
      </c>
      <c r="BY19" s="6">
        <f>COUNTIFS(Table61[Country],Tabela1[[#This Row],[Country]],Table61[Classification],"&gt;0")</f>
        <v>0</v>
      </c>
      <c r="BZ19" s="6">
        <f>COUNTIFS(Table38[Country],Tabela1[[#This Row],[Country]],Table38[Classification],"&gt;0")</f>
        <v>0</v>
      </c>
      <c r="CA19" s="6">
        <f>COUNTIFS(Table39[Country],Tabela1[[#This Row],[Country]],Table39[Men''s Classification],"&gt;0")</f>
        <v>0</v>
      </c>
      <c r="CB19" s="6">
        <f>COUNTIFS(Table39[Country],Tabela1[[#This Row],[Country]],Table39[Women''s Classification],"&gt;0")</f>
        <v>0</v>
      </c>
      <c r="CC19" s="6">
        <f>COUNTIFS(Table39[Country],Tabela1[[#This Row],[Country]],Table39[Mixed Classification],"&gt;0")</f>
        <v>0</v>
      </c>
      <c r="CD19" s="6">
        <f>COUNTIFS(Table89[Country],Tabela1[[#This Row],[Country]],Table89[Men''s Classification],"&gt;0")</f>
        <v>0</v>
      </c>
      <c r="CE19" s="6">
        <f>COUNTIFS(Table89[Country],Tabela1[[#This Row],[Country]],Table89[Women''s Classification],"&gt;0")</f>
        <v>0</v>
      </c>
      <c r="CF19" s="6">
        <f>COUNTIFS(Table90[Country],Tabela1[[#This Row],[Country]],Table90[Men''s Classification],"&gt;0")</f>
        <v>0</v>
      </c>
      <c r="CG19" s="6">
        <f>COUNTIFS(Table90[Country],Tabela1[[#This Row],[Country]],Table90[Women''s Classification],"&gt;0")</f>
        <v>0</v>
      </c>
      <c r="CH19" s="6">
        <f>COUNTIFS(Table60[Country],Tabela1[[#This Row],[Country]],Table60[Men''s Classification],"&gt;0")</f>
        <v>0</v>
      </c>
      <c r="CI19" s="6">
        <f>COUNTIFS(Table60[Country],Tabela1[[#This Row],[Country]],Table60[Women''s Classification],"&gt;0")</f>
        <v>0</v>
      </c>
      <c r="CJ19" s="6">
        <f>COUNTIFS(Table6[Country],Tabela1[[#This Row],[Country]],Table6[51kg Classification],"&gt;0")</f>
        <v>0</v>
      </c>
      <c r="CK19" s="6">
        <f>COUNTIFS(Table6[Country],Tabela1[[#This Row],[Country]],Table6[57kg Classification],"&gt;0")</f>
        <v>0</v>
      </c>
      <c r="CL19" s="6">
        <f>COUNTIFS(Table6[Country],Tabela1[[#This Row],[Country]],Table6[63.5kg Classification],"&gt;0")</f>
        <v>0</v>
      </c>
      <c r="CM19" s="6">
        <f>COUNTIFS(Table6[Country],Tabela1[[#This Row],[Country]],Table6[71kg Classification],"&gt;0")</f>
        <v>0</v>
      </c>
      <c r="CN19" s="6">
        <f>COUNTIFS(Table6[Country],Tabela1[[#This Row],[Country]],Table6[80kg Classification],"&gt;0")</f>
        <v>1</v>
      </c>
      <c r="CO19" s="6">
        <f>COUNTIFS(Table6[Country],Tabela1[[#This Row],[Country]],Table6[92kg Classification],"&gt;0")</f>
        <v>0</v>
      </c>
      <c r="CP19" s="6">
        <f>COUNTIFS(Table6[Country],Tabela1[[#This Row],[Country]],Table6[Plus 92kg Classification],"&gt;0")</f>
        <v>0</v>
      </c>
      <c r="CQ19" s="6">
        <f>COUNTIFS(Table7[Country],Tabela1[[#This Row],[Country]],Table7[50kg Classification],"&gt;0")</f>
        <v>0</v>
      </c>
      <c r="CR19" s="6">
        <f>COUNTIFS(Table7[Country],Tabela1[[#This Row],[Country]],Table7[54kg Classification],"&gt;0")</f>
        <v>0</v>
      </c>
      <c r="CS19" s="6">
        <f>COUNTIFS(Table7[Country],Tabela1[[#This Row],[Country]],Table7[57kg Classification],"&gt;0")</f>
        <v>0</v>
      </c>
      <c r="CT19" s="6">
        <f>COUNTIFS(Table7[Country],Tabela1[[#This Row],[Country]],Table7[60kg Classification],"&gt;0")</f>
        <v>0</v>
      </c>
      <c r="CU19" s="6">
        <f>COUNTIFS(Table7[Country],Tabela1[[#This Row],[Country]],Table7[66kg Classification],"&gt;0")</f>
        <v>0</v>
      </c>
      <c r="CV19" s="6">
        <f>COUNTIFS(Table7[Country],Tabela1[[#This Row],[Country]],Table7[75kg Classification],"&gt;0")</f>
        <v>0</v>
      </c>
      <c r="CW19" s="6">
        <f>COUNTIFS(Tabela94[Country],Tabela1[[#This Row],[Country]],Tabela94[Classification],"&gt;0")</f>
        <v>0</v>
      </c>
      <c r="CX19" s="6">
        <f>COUNTIFS(Tabela9499[Country],Tabela1[[#This Row],[Country]],Tabela9499[Classification],"&gt;0")</f>
        <v>0</v>
      </c>
      <c r="CY19" s="6">
        <f>COUNTIFS(Tabela107[Country],Tabela1[[#This Row],[Country]],Tabela107[C1 Slalom Classification],"&gt;0")</f>
        <v>1</v>
      </c>
      <c r="CZ19" s="6">
        <f>COUNTIFS(Tabela107122[Country],Tabela1[[#This Row],[Country]],Tabela107122[C1 Slalom Classification],"&gt;0")</f>
        <v>0</v>
      </c>
      <c r="DA19" s="6">
        <f>COUNTIFS(Tabela107[Country],Tabela1[[#This Row],[Country]],Tabela107[K1 Slalom Classification],"&gt;0")</f>
        <v>0</v>
      </c>
      <c r="DB19" s="6">
        <f>COUNTIFS(Tabela107122[Country],Tabela1[[#This Row],[Country]],Tabela107122[K1 Slalom Classification],"&gt;0")</f>
        <v>0</v>
      </c>
      <c r="DC19" s="6">
        <f>COUNTIFS(Tabela107[Country],Tabela1[[#This Row],[Country]],Tabela107[Kayak Cross Slalom Classification],"&gt;0")</f>
        <v>1</v>
      </c>
      <c r="DD19" s="6">
        <f>COUNTIFS(Tabela107122[Country],Tabela1[[#This Row],[Country]],Tabela107122[Kayak Cross Slalom Classification],"&gt;0")</f>
        <v>0</v>
      </c>
      <c r="DE19" s="6">
        <f>COUNTIFS(Table8[Country],Tabela1[[#This Row],[Country]],Table8[C1 200m Classification],"&gt;0")</f>
        <v>0</v>
      </c>
      <c r="DF19" s="6">
        <f>COUNTIFS(Table40[Country],Tabela1[[#This Row],[Country]],Table40[C1 1000m Classification],"&gt;0")</f>
        <v>0</v>
      </c>
      <c r="DG19" s="6">
        <f>COUNTIFS(Table68[Country],Tabela1[[#This Row],[Country]],Table68[Men''s C2 500m Classification],"&gt;0")</f>
        <v>0</v>
      </c>
      <c r="DH19" s="6">
        <f>COUNTIFS(Table68[Country],Tabela1[[#This Row],[Country]],Table68[Women''s C2 500m Classification],"&gt;0")</f>
        <v>0</v>
      </c>
      <c r="DI19" s="6">
        <f>COUNTIFS(Table8[Country],Tabela1[[#This Row],[Country]],Table8[K1 500m Classification],"&gt;0")</f>
        <v>1</v>
      </c>
      <c r="DJ19" s="6">
        <f>COUNTIFS(Table40[Country],Tabela1[[#This Row],[Country]],Table40[K1 1000m Classification],"&gt;0")</f>
        <v>0</v>
      </c>
      <c r="DK19" s="6">
        <f>COUNTIFS(Table68[Country],Tabela1[[#This Row],[Country]],Table68[Men''s K2 500m Classification],"&gt;0")</f>
        <v>0</v>
      </c>
      <c r="DL19" s="6">
        <f>COUNTIFS(Table68[Country],Tabela1[[#This Row],[Country]],Table68[Women''s K2 500m Classification],"&gt;0")</f>
        <v>0</v>
      </c>
      <c r="DM19" s="6">
        <f>COUNTIFS(Table83[Country],Tabela1[[#This Row],[Country]],Table83[Men''s K4 500m Classification],"&gt;0")</f>
        <v>0</v>
      </c>
      <c r="DN19" s="6">
        <f>COUNTIFS(Table83[Country],Tabela1[[#This Row],[Country]],Table83[Women''s K4 500m Classification],"&gt;0")</f>
        <v>0</v>
      </c>
      <c r="DO19" s="6">
        <f>COUNTIFS(Tabela126[Country],Tabela1[[#This Row],[Country]],Tabela126[Classification],"&gt;0")</f>
        <v>1</v>
      </c>
      <c r="DP19" s="6">
        <f>COUNTIFS(Tabela126130[Country],Tabela1[[#This Row],[Country]],Tabela126130[Classification],"&gt;0")</f>
        <v>0</v>
      </c>
      <c r="DQ19" s="6">
        <f>COUNTIFS(Table70[Country],Tabela1[[#This Row],[Country]],Table70[Classification],"&gt;0")</f>
        <v>0</v>
      </c>
      <c r="DR19" s="6">
        <f>COUNTIFS(Table80[Country],Tabela1[[#This Row],[Country]],Table80[Classification],"&gt;0")</f>
        <v>0</v>
      </c>
      <c r="DS19" s="6">
        <f>COUNTIFS(Table66[Country],Tabela1[[#This Row],[Country]],Table66[Classification],"&gt;0")</f>
        <v>0</v>
      </c>
      <c r="DT19" s="6">
        <f>COUNTIFS(Table67[Country],Tabela1[[#This Row],[Country]],Table67[Classification],"&gt;0")</f>
        <v>0</v>
      </c>
      <c r="DU19" s="6">
        <f>COUNTIFS(Table69[Country],Tabela1[[#This Row],[Country]],Table69[Keirin Classification],"&gt;0")</f>
        <v>0</v>
      </c>
      <c r="DV19" s="6">
        <f>COUNTIFS(Table41[Country],Tabela1[[#This Row],[Country]],Table41[Keirin Classification],"&gt;0")</f>
        <v>0</v>
      </c>
      <c r="DW19" s="6">
        <f>COUNTIFS(Table84[Country],Tabela1[[#This Row],[Country]],Table84[Men''s Madison Classification],"&gt;0")</f>
        <v>0</v>
      </c>
      <c r="DX19" s="6">
        <f>COUNTIFS(Table84[Country],Tabela1[[#This Row],[Country]],Table84[Women''s Madison Classification],"&gt;0")</f>
        <v>0</v>
      </c>
      <c r="DY19" s="6">
        <f>COUNTIFS(Table69[Country],Tabela1[[#This Row],[Country]],Table69[Omnium Classification],"&gt;0")</f>
        <v>0</v>
      </c>
      <c r="DZ19" s="6">
        <f>COUNTIFS(Table41[Country],Tabela1[[#This Row],[Country]],Table41[Omnium Classification],"&gt;0")</f>
        <v>0</v>
      </c>
      <c r="EA19" s="6">
        <f>COUNTIFS(Table9[Country],Tabela1[[#This Row],[Country]],Table9[Road Race Classification],"&gt;0")</f>
        <v>0</v>
      </c>
      <c r="EB19" s="6">
        <f>COUNTIFS(Table14[Country],Tabela1[[#This Row],[Country]],Table14[Road Race Classification],"&gt;0")</f>
        <v>0</v>
      </c>
      <c r="EC19" s="6">
        <f>COUNTIFS(Table69[Country],Tabela1[[#This Row],[Country]],Table69[Sprint Classification],"&gt;0")</f>
        <v>0</v>
      </c>
      <c r="ED19" s="6">
        <f>COUNTIFS(Table41[Country],Tabela1[[#This Row],[Country]],Table41[Sprint Classification],"&gt;0")</f>
        <v>0</v>
      </c>
      <c r="EE19" s="6">
        <f>COUNTIFS(Table85[Country],Tabela1[[#This Row],[Country]],Table85[Men''s Sprint Classification],"&gt;0")</f>
        <v>0</v>
      </c>
      <c r="EF19" s="6">
        <f>COUNTIFS(Table85[Country],Tabela1[[#This Row],[Country]],Table85[Women''s Sprint Classification],"&gt;0")</f>
        <v>0</v>
      </c>
      <c r="EG19" s="6">
        <f>COUNTIFS(Table85[Country],Tabela1[[#This Row],[Country]],Table85[Men''s Pursuit Classification],"&gt;0")</f>
        <v>0</v>
      </c>
      <c r="EH19" s="6">
        <f>COUNTIFS(Table85[Country],Tabela1[[#This Row],[Country]],Table85[Women''s Pursuit Classification],"&gt;0")</f>
        <v>0</v>
      </c>
      <c r="EI19" s="6">
        <f>COUNTIFS(Table9[Country],Tabela1[[#This Row],[Country]],Table9[Time-Trial Classification],"&gt;0")</f>
        <v>0</v>
      </c>
      <c r="EJ19" s="6">
        <f>COUNTIFS(Table14[Country],Tabela1[[#This Row],[Country]],Table14[Time-Trial Classification],"&gt;0")</f>
        <v>0</v>
      </c>
      <c r="EK19" s="6">
        <f>COUNTIFS(Table42[Country],Tabela1[[#This Row],[Country]],Table42[Springboard Classification],"&gt;0")</f>
        <v>0</v>
      </c>
      <c r="EL19" s="6">
        <f>COUNTIFS(Table43[Country],Tabela1[[#This Row],[Country]],Table43[Springboard Classification],"&gt;0")</f>
        <v>0</v>
      </c>
      <c r="EM19" s="6">
        <f>COUNTIFS(Table42[Country],Tabela1[[#This Row],[Country]],Table42[Platform Classification],"&gt;0")</f>
        <v>0</v>
      </c>
      <c r="EN19" s="6">
        <f>COUNTIFS(Table43[Country],Tabela1[[#This Row],[Country]],Table43[Platform Classification],"&gt;0")</f>
        <v>0</v>
      </c>
      <c r="EO19" s="6">
        <f>COUNTIFS(Table86[Country],Tabela1[[#This Row],[Country]],Table86[Men''s Synchronized Springboard Classification],"&gt;0")</f>
        <v>0</v>
      </c>
      <c r="EP19" s="6">
        <f>COUNTIFS(Table86[Country],Tabela1[[#This Row],[Country]],Table86[Women''s Synchronized Springboard Classification],"&gt;0")</f>
        <v>0</v>
      </c>
      <c r="EQ19" s="6">
        <f>COUNTIFS(Table86[Country],Tabela1[[#This Row],[Country]],Table86[Men''s Synchronized Platform Classification],"&gt;0")</f>
        <v>0</v>
      </c>
      <c r="ER19" s="6">
        <f>COUNTIFS(Table86[Country],Tabela1[[#This Row],[Country]],Table86[Women''s Synchronized Platform Classification],"&gt;0")</f>
        <v>0</v>
      </c>
      <c r="ES19" s="6">
        <f>COUNTIFS(Table44[Country],Tabela1[[#This Row],[Country]],Table44[Dressage Classification],"&gt;0")</f>
        <v>0</v>
      </c>
      <c r="ET19" s="6">
        <f>COUNTIFS(Table45[Country],Tabela1[[#This Row],[Country]],Table45[Dressage Classification],"&gt;0")</f>
        <v>0</v>
      </c>
      <c r="EU19" s="6">
        <f>COUNTIFS(Table44[Country],Tabela1[[#This Row],[Country]],Table44[Eventing Classification],"&gt;0")</f>
        <v>0</v>
      </c>
      <c r="EV19" s="6">
        <f>COUNTIFS(Table45[Country],Tabela1[[#This Row],[Country]],Table45[Eventing Classification],"&gt;0")</f>
        <v>0</v>
      </c>
      <c r="EW19" s="6">
        <f>COUNTIFS(Table44[Country],Tabela1[[#This Row],[Country]],Table44[Jumping Classification],"&gt;0")</f>
        <v>0</v>
      </c>
      <c r="EX19" s="6">
        <f>COUNTIFS(Table45[Country],Tabela1[[#This Row],[Country]],Table45[Jumping Classification],"&gt;0")</f>
        <v>0</v>
      </c>
      <c r="EY19" s="6">
        <f>COUNTIFS(Table10[Country],Tabela1[[#This Row],[Country]],Table10[Épée Classification],"&gt;0")</f>
        <v>0</v>
      </c>
      <c r="EZ19" s="6">
        <f>COUNTIFS(Table11[Country],Tabela1[[#This Row],[Country]],Table11[Épée Classification],"&gt;0")</f>
        <v>0</v>
      </c>
      <c r="FA19" s="6">
        <f>COUNTIFS(Table46[Country],Tabela1[[#This Row],[Country]],Table46[Men''s Épée Classification],"&gt;0")</f>
        <v>0</v>
      </c>
      <c r="FB19" s="6">
        <f>COUNTIFS(Table46[Country],Tabela1[[#This Row],[Country]],Table46[Women''s Épée Classification],"&gt;0")</f>
        <v>0</v>
      </c>
      <c r="FC19" s="6">
        <f>COUNTIFS(Table10[Country],Tabela1[[#This Row],[Country]],Table10[Foil Classification],"&gt;0")</f>
        <v>0</v>
      </c>
      <c r="FD19" s="6">
        <f>COUNTIFS(Table11[Country],Tabela1[[#This Row],[Country]],Table11[Foil Classification],"&gt;0")</f>
        <v>0</v>
      </c>
      <c r="FE19" s="6">
        <f>COUNTIFS(Table46[Country],Tabela1[[#This Row],[Country]],Table46[Men''s Foil Classification],"&gt;0")</f>
        <v>0</v>
      </c>
      <c r="FF19" s="6">
        <f>COUNTIFS(Table46[Country],Tabela1[[#This Row],[Country]],Table46[Women''s Foil Classification],"&gt;0")</f>
        <v>0</v>
      </c>
      <c r="FG19" s="6">
        <f>COUNTIFS(Table10[Country],Tabela1[[#This Row],[Country]],Table10[Sabre Classification],"&gt;0")</f>
        <v>0</v>
      </c>
      <c r="FH19" s="6">
        <f>COUNTIFS(Table11[Country],Tabela1[[#This Row],[Country]],Table11[Sabre Classification],"&gt;0")</f>
        <v>0</v>
      </c>
      <c r="FI19" s="6">
        <f>COUNTIFS(Table46[Country],Tabela1[[#This Row],[Country]],Table46[Men''s Sabre Classification],"&gt;0")</f>
        <v>0</v>
      </c>
      <c r="FJ19" s="6">
        <f>COUNTIFS(Table46[Country],Tabela1[[#This Row],[Country]],Table46[Women''s Sabre Classification],"&gt;0")</f>
        <v>0</v>
      </c>
      <c r="FK19" s="6">
        <f>COUNTIFS(Table91[Country],Tabela1[[#This Row],[Country]],Table91[Men''s Classification],"&gt;0")</f>
        <v>0</v>
      </c>
      <c r="FL19" s="6">
        <f>COUNTIFS(Table91[Country],Tabela1[[#This Row],[Country]],Table91[Women''s Classification],"&gt;0")</f>
        <v>0</v>
      </c>
      <c r="FM19" s="6">
        <f>COUNTIFS(Table9194[Country],Tabela1[[#This Row],[Country]],Table9194[Men''s Classification],"&gt;0")</f>
        <v>0</v>
      </c>
      <c r="FN19" s="6">
        <f>COUNTIFS(Table9194[Country],Tabela1[[#This Row],[Country]],Table9194[Women''s Classification],"&gt;0")</f>
        <v>0</v>
      </c>
      <c r="FO19" s="6">
        <f>COUNTIFS(Table71[Country],Tabela1[[#This Row],[Country]],Table71[Classification],"&gt;0")</f>
        <v>0</v>
      </c>
      <c r="FP19" s="6">
        <f>COUNTIFS(Table62[Country],Tabela1[[#This Row],[Country]],Table62[Classification],"&gt;0")</f>
        <v>0</v>
      </c>
      <c r="FQ19" s="6">
        <f>COUNTIFS(Table47[Country],Tabela1[[#This Row],[Country]],Table47[All-Around Classification],"&gt;0")</f>
        <v>0</v>
      </c>
      <c r="FR19" s="6">
        <f>COUNTIFS(Table48[Country],Tabela1[[#This Row],[Country]],Table48[All-Around Classification],"&gt;0")</f>
        <v>0</v>
      </c>
      <c r="FS19" s="6">
        <f>COUNTIFS(Table81[Country],Tabela1[[#This Row],[Country]],Table81[Men''s All-Around Classification],"&gt;0")</f>
        <v>0</v>
      </c>
      <c r="FT19" s="6">
        <f>COUNTIFS(Table81[Country],Tabela1[[#This Row],[Country]],Table81[Women''s All-Around Classification],"&gt;0")</f>
        <v>0</v>
      </c>
      <c r="FU19" s="6">
        <f>COUNTIFS(Table48[Country],Tabela1[[#This Row],[Country]],Table48[Balance Beam Classification],"&gt;0")</f>
        <v>0</v>
      </c>
      <c r="FV19" s="6">
        <f>COUNTIFS(Table47[Country],Tabela1[[#This Row],[Country]],Table47[Floor Exercise Classification],"&gt;0")</f>
        <v>1</v>
      </c>
      <c r="FW19" s="6">
        <f>COUNTIFS(Table48[Country],Tabela1[[#This Row],[Country]],Table48[Floor Exercise Classification],"&gt;0")</f>
        <v>0</v>
      </c>
      <c r="FX19" s="6">
        <f>COUNTIFS(Table47[Country],Tabela1[[#This Row],[Country]],Table47[Horizontal Bar Classification],"&gt;0")</f>
        <v>1</v>
      </c>
      <c r="FY19" s="6">
        <f>COUNTIFS(Table47[Country],Tabela1[[#This Row],[Country]],Table47[Parallel Bars Classification],"&gt;0")</f>
        <v>0</v>
      </c>
      <c r="FZ19" s="6">
        <f>COUNTIFS(Table47[Country],Tabela1[[#This Row],[Country]],Table47[Pommel Horse Classification],"&gt;0")</f>
        <v>0</v>
      </c>
      <c r="GA19" s="6">
        <f>COUNTIFS(Table47[Country],Tabela1[[#This Row],[Country]],Table47[Rings Classification],"&gt;0")</f>
        <v>0</v>
      </c>
      <c r="GB19" s="6">
        <f>COUNTIFS(Tabela132[Country],Tabela1[[#This Row],[Country]],Tabela132[Classification],"&gt;0")</f>
        <v>0</v>
      </c>
      <c r="GC19" s="6">
        <f>COUNTIFS(Tabela139[Country],Tabela1[[#This Row],[Country]],Tabela139[Classification],"&gt;0")</f>
        <v>0</v>
      </c>
      <c r="GD19" s="6">
        <f>COUNTIFS(Table48[Country],Tabela1[[#This Row],[Country]],Table48[Uneven Bars Classification],"&gt;0")</f>
        <v>0</v>
      </c>
      <c r="GE19" s="6">
        <f>COUNTIFS(Table47[Country],Tabela1[[#This Row],[Country]],Table47[Vault Classification],"&gt;0")</f>
        <v>1</v>
      </c>
      <c r="GF19" s="6">
        <f>COUNTIFS(Table48[Country],Tabela1[[#This Row],[Country]],Table48[Vault Classification],"&gt;0")</f>
        <v>0</v>
      </c>
      <c r="GG19" s="6">
        <f>COUNTIFS(Table919496[Country],Tabela1[[#This Row],[Country]],Table919496[Men''s Classification],"&gt;0")</f>
        <v>1</v>
      </c>
      <c r="GH19" s="6">
        <f>COUNTIFS(Table919496[Country],Tabela1[[#This Row],[Country]],Table919496[Women''s Classification],"&gt;0")</f>
        <v>0</v>
      </c>
      <c r="GI19" s="6">
        <f>COUNTIFS(Table12[Country],Tabela1[[#This Row],[Country]],Table12[60kg Classification],"&gt;0")</f>
        <v>0</v>
      </c>
      <c r="GJ19" s="6">
        <f>COUNTIFS(Table12[Country],Tabela1[[#This Row],[Country]],Table12[66kg Classification],"&gt;0")</f>
        <v>0</v>
      </c>
      <c r="GK19" s="6">
        <f>COUNTIFS(Table12[Country],Tabela1[[#This Row],[Country]],Table12[73kg Classification],"&gt;0")</f>
        <v>0</v>
      </c>
      <c r="GL19" s="6">
        <f>COUNTIFS(Table12[Country],Tabela1[[#This Row],[Country]],Table12[81kg Classification],"&gt;0")</f>
        <v>0</v>
      </c>
      <c r="GM19" s="6">
        <f>COUNTIFS(Table12[Country],Tabela1[[#This Row],[Country]],Table12[90kg Classification],"&gt;0")</f>
        <v>0</v>
      </c>
      <c r="GN19" s="6">
        <f>COUNTIFS(Table12[Country],Tabela1[[#This Row],[Country]],Table12[100kg Classification],"&gt;0")</f>
        <v>1</v>
      </c>
      <c r="GO19" s="6">
        <f>COUNTIFS(Table12[Country],Tabela1[[#This Row],[Country]],Table12[Plus 100kg Classification],"&gt;0")</f>
        <v>0</v>
      </c>
      <c r="GP19" s="6">
        <f>COUNTIFS(Table13[Country],Tabela1[[#This Row],[Country]],Table13[48kg Classification],"&gt;0")</f>
        <v>0</v>
      </c>
      <c r="GQ19" s="6">
        <f>COUNTIFS(Table13[Country],Tabela1[[#This Row],[Country]],Table13[52kg Classification],"&gt;0")</f>
        <v>0</v>
      </c>
      <c r="GR19" s="6">
        <f>COUNTIFS(Table13[Country],Tabela1[[#This Row],[Country]],Table13[57kg Classification],"&gt;0")</f>
        <v>0</v>
      </c>
      <c r="GS19" s="6">
        <f>COUNTIFS(Table13[Country],Tabela1[[#This Row],[Country]],Table13[63kg Classification],"&gt;0")</f>
        <v>1</v>
      </c>
      <c r="GT19" s="6">
        <f>COUNTIFS(Table13[Country],Tabela1[[#This Row],[Country]],Table13[70kg Classification],"&gt;0")</f>
        <v>1</v>
      </c>
      <c r="GU19" s="6">
        <f>COUNTIFS(Table13[Country],Tabela1[[#This Row],[Country]],Table13[78kg Classification],"&gt;0")</f>
        <v>0</v>
      </c>
      <c r="GV19" s="6">
        <f>COUNTIFS(Table13[Country],Tabela1[[#This Row],[Country]],Table13[Plus 78kg Classification],"&gt;0")</f>
        <v>0</v>
      </c>
      <c r="GW19" s="6">
        <f>COUNTIFS(Table82[Country],Tabela1[[#This Row],[Country]],Table82[Mixed Classification],"&gt;0")</f>
        <v>0</v>
      </c>
      <c r="GX19" s="6">
        <f>COUNTIFS(Table51[Country],Tabela1[[#This Row],[Country]],Table51[Classification],"&gt;0")</f>
        <v>0</v>
      </c>
      <c r="GY19" s="6">
        <f>COUNTIFS(Table52[Country],Tabela1[[#This Row],[Country]],Table52[Classification],"&gt;0")</f>
        <v>0</v>
      </c>
      <c r="GZ19" s="6">
        <f>COUNTIFS(Table32[Country],Tabela1[[#This Row],[Country]],Table32[All-Around Classification],"&gt;0")</f>
        <v>0</v>
      </c>
      <c r="HA19" s="6">
        <f>COUNTIFS(Table49[Country],Tabela1[[#This Row],[Country]],Table49[All-Around Classification],"&gt;0")</f>
        <v>0</v>
      </c>
      <c r="HB19" s="6">
        <f>COUNTIFS(Table26[Country],Tabela1[[#This Row],[Country]],Table26[Single Sculls Classification],"&gt;0")</f>
        <v>0</v>
      </c>
      <c r="HC19" s="6">
        <f>COUNTIFS(Table63[Country],Tabela1[[#This Row],[Country]],Table63[Single Sculls Classification],"&gt;0")</f>
        <v>0</v>
      </c>
      <c r="HD19" s="6">
        <f>COUNTIFS(Table16[Country],Tabela1[[#This Row],[Country]],Table16[Men''s Double Sculls Classification],"&gt;0")</f>
        <v>1</v>
      </c>
      <c r="HE19" s="6">
        <f>COUNTIFS(Table16[Country],Tabela1[[#This Row],[Country]],Table16[Women''s Double Sculls Classification],"&gt;0")</f>
        <v>0</v>
      </c>
      <c r="HF19" s="6">
        <f>COUNTIFS(Table72[Country],Tabela1[[#This Row],[Country]],Table72[Men''s Quadruple Sculls Classification],"&gt;0")</f>
        <v>0</v>
      </c>
      <c r="HG19" s="6">
        <f>COUNTIFS(Table72[Country],Tabela1[[#This Row],[Country]],Table72[Women''s Quadruple Sculls Classification],"&gt;0")</f>
        <v>0</v>
      </c>
      <c r="HH19" s="6">
        <f>COUNTIFS(Table16[Country],Tabela1[[#This Row],[Country]],Table16[Men''s Coxless Pairs Classification],"&gt;0")</f>
        <v>1</v>
      </c>
      <c r="HI19" s="6">
        <f>COUNTIFS(Table16[Country],Tabela1[[#This Row],[Country]],Table16[Women''s Coxless Pairs Classification],"&gt;0")</f>
        <v>0</v>
      </c>
      <c r="HJ19" s="6">
        <f>COUNTIFS(Table72[Country],Tabela1[[#This Row],[Country]],Table72[Men''s Coxless Fours Classification],"&gt;0")</f>
        <v>0</v>
      </c>
      <c r="HK19" s="6">
        <f>COUNTIFS(Table72[Country],Tabela1[[#This Row],[Country]],Table72[Women''s Coxless Fours Classification],"&gt;0")</f>
        <v>0</v>
      </c>
      <c r="HL19" s="6">
        <f>COUNTIFS(Table72[Country],Tabela1[[#This Row],[Country]],Table72[Men''s Eights Classification],"&gt;0")</f>
        <v>0</v>
      </c>
      <c r="HM19" s="6">
        <f>COUNTIFS(Table72[Country],Tabela1[[#This Row],[Country]],Table72[Women''s Eights Classification],"&gt;0")</f>
        <v>0</v>
      </c>
      <c r="HN19" s="6">
        <f>COUNTIFS(Table16[Country],Tabela1[[#This Row],[Country]],Table16[Men''s Lwt. Double Sculls Classification],"&gt;0")</f>
        <v>0</v>
      </c>
      <c r="HO19" s="6">
        <f>COUNTIFS(Table16[Country],Tabela1[[#This Row],[Country]],Table16[Women''s Lwt. Double Sculls Classification],"&gt;0")</f>
        <v>0</v>
      </c>
      <c r="HP19" s="6">
        <f>COUNTIFS(Table91949698[Country],Tabela1[[#This Row],[Country]],Table91949698[Men''s Classification],"&gt;0")</f>
        <v>0</v>
      </c>
      <c r="HQ19" s="6">
        <f>COUNTIFS(Table91949698[Country],Tabela1[[#This Row],[Country]],Table91949698[Women''s Classification],"&gt;0")</f>
        <v>0</v>
      </c>
      <c r="HR19" s="6">
        <f>COUNTIFS(Table25[Country],Tabela1[[#This Row],[Country]],Table25[Mixed 470 Classification],"&gt;0")</f>
        <v>0</v>
      </c>
      <c r="HS19" s="6">
        <f>COUNTIFS(Table25[Country],Tabela1[[#This Row],[Country]],Table25[Men''s 49er Classification],"&gt;0")</f>
        <v>1</v>
      </c>
      <c r="HT19" s="6">
        <f>COUNTIFS(Table25[Country],Tabela1[[#This Row],[Country]],Table25[Women''s 49er FX Classification],"&gt;0")</f>
        <v>0</v>
      </c>
      <c r="HU19" s="6">
        <f>COUNTIFS(Table17[Country],Tabela1[[#This Row],[Country]],Table17[Formula Kite Classification],"&gt;0")</f>
        <v>1</v>
      </c>
      <c r="HV19" s="6">
        <f>COUNTIFS(Table18[Country],Tabela1[[#This Row],[Country]],Table18[Formula Kite Classification],"&gt;0")</f>
        <v>0</v>
      </c>
      <c r="HW19" s="6">
        <f>COUNTIFS(Table17[Country],Tabela1[[#This Row],[Country]],Table17[ILCA 7 Classification],"&gt;0")</f>
        <v>1</v>
      </c>
      <c r="HX19" s="6">
        <f>COUNTIFS(Table18[Country],Tabela1[[#This Row],[Country]],Table18[ILCA 6 Classification],"&gt;0")</f>
        <v>0</v>
      </c>
      <c r="HY19" s="6">
        <f>COUNTIFS(Table17[Country],Tabela1[[#This Row],[Country]],Table17[IQFoil Classification],"&gt;0")</f>
        <v>0</v>
      </c>
      <c r="HZ19" s="6">
        <f>COUNTIFS(Table18[Country],Tabela1[[#This Row],[Country]],Table18[IQFoil Classification],"&gt;0")</f>
        <v>1</v>
      </c>
      <c r="IA19" s="6">
        <f>COUNTIFS(Table25[Country],Tabela1[[#This Row],[Country]],Table25[Mixed Nacra 17 Classification],"&gt;0")</f>
        <v>0</v>
      </c>
      <c r="IB19" s="6">
        <f>COUNTIFS(Table53[Country],Tabela1[[#This Row],[Country]],Table53[10m Air Pistol Classification],"&gt;0")</f>
        <v>0</v>
      </c>
      <c r="IC19" s="6">
        <f>COUNTIFS(Table19[Country],Tabela1[[#This Row],[Country]],Table19[10m Air Pistol Classification],"&gt;0")</f>
        <v>0</v>
      </c>
      <c r="ID19" s="6">
        <f>COUNTIFS(Table54[Country],Tabela1[[#This Row],[Country]],Table54[Mixed 10m Air Pistol Team Classification],"&gt;0")</f>
        <v>0</v>
      </c>
      <c r="IE19" s="6">
        <f>COUNTIFS(Table53[Country],Tabela1[[#This Row],[Country]],Table53[10m Air Rifle Classification],"&gt;0")</f>
        <v>2</v>
      </c>
      <c r="IF19" s="6">
        <f>COUNTIFS(Table19[Country],Tabela1[[#This Row],[Country]],Table19[10m Air Rifle Classification],"&gt;0")</f>
        <v>0</v>
      </c>
      <c r="IG19" s="6">
        <f>COUNTIFS(Table54[Country],Tabela1[[#This Row],[Country]],Table54[Mixed 10m Air Rifle Team Classification],"&gt;0")</f>
        <v>0</v>
      </c>
      <c r="IH19" s="6">
        <f>COUNTIFS(Table53[Country],Tabela1[[#This Row],[Country]],Table53[25m Rapid Fire Pistol Classification],"&gt;0")</f>
        <v>0</v>
      </c>
      <c r="II19" s="6">
        <f>COUNTIFS(Table19[Country],Tabela1[[#This Row],[Country]],Table19[25m Pistol Classification],"&gt;0")</f>
        <v>0</v>
      </c>
      <c r="IJ19" s="6">
        <f>COUNTIFS(Table53[Country],Tabela1[[#This Row],[Country]],Table53[50m Rifle 3 Positions Classification],"&gt;0")</f>
        <v>2</v>
      </c>
      <c r="IK19" s="6">
        <f>COUNTIFS(Table19[Country],Tabela1[[#This Row],[Country]],Table19[50m Rifle 3 Positions Classification],"&gt;0")</f>
        <v>0</v>
      </c>
      <c r="IL19" s="6">
        <f>COUNTIFS(Table53[Country],Tabela1[[#This Row],[Country]],Table53[Skeet Classification],"&gt;0")</f>
        <v>0</v>
      </c>
      <c r="IM19" s="6">
        <f>COUNTIFS(Table19[Country],Tabela1[[#This Row],[Country]],Table19[Skeet Classification],"&gt;0")</f>
        <v>0</v>
      </c>
      <c r="IN19" s="6">
        <f>COUNTIFS(Table54[Country],Tabela1[[#This Row],[Country]],Table54[Mixed Skeet Team Classification],"&gt;0")</f>
        <v>0</v>
      </c>
      <c r="IO19" s="6">
        <f>COUNTIFS(Table53[Country],Tabela1[[#This Row],[Country]],Table53[Trap Classification],"&gt;0")</f>
        <v>1</v>
      </c>
      <c r="IP19" s="6">
        <f>COUNTIFS(Table19[Country],Tabela1[[#This Row],[Country]],Table19[Trap Classification],"&gt;0")</f>
        <v>0</v>
      </c>
      <c r="IQ19" s="6">
        <f>COUNTIFS(Table73[Country],Tabela1[[#This Row],[Country]],Table73[Park Classification],"&gt;0")</f>
        <v>0</v>
      </c>
      <c r="IR19" s="6">
        <f>COUNTIFS(Table74[Country],Tabela1[[#This Row],[Country]],Table74[Park Classification],"&gt;0")</f>
        <v>0</v>
      </c>
      <c r="IS19" s="6">
        <f>COUNTIFS(Table73[Country],Tabela1[[#This Row],[Country]],Table73[Street Classification],"&gt;0")</f>
        <v>0</v>
      </c>
      <c r="IT19" s="6">
        <f>COUNTIFS(Table74[Country],Tabela1[[#This Row],[Country]],Table74[Street Classification],"&gt;0")</f>
        <v>0</v>
      </c>
      <c r="IU19" s="6">
        <f>COUNTIFS(Table75[Country],Tabela1[[#This Row],[Country]],Table75[Boulder and Lead Classification],"&gt;0")</f>
        <v>0</v>
      </c>
      <c r="IV19" s="6">
        <f>COUNTIFS(Table76[Country],Tabela1[[#This Row],[Country]],Table76[Boulder and Lead Classification],"&gt;0")</f>
        <v>0</v>
      </c>
      <c r="IW19" s="6">
        <f>COUNTIFS(Table75[Country],Tabela1[[#This Row],[Country]],Table75[Speed Classification],"&gt;0")</f>
        <v>0</v>
      </c>
      <c r="IX19" s="6">
        <f>COUNTIFS(Table76[Country],Tabela1[[#This Row],[Country]],Table76[Speed Classification],"&gt;0")</f>
        <v>0</v>
      </c>
      <c r="IY19" s="6">
        <f>COUNTIFS(Table64[Country],Tabela1[[#This Row],[Country]],Table64[Shortboard Classification],"&gt;0")</f>
        <v>0</v>
      </c>
      <c r="IZ19" s="6">
        <f>COUNTIFS(Table77[Country],Tabela1[[#This Row],[Country]],Table77[Shortboard Classification],"&gt;0")</f>
        <v>0</v>
      </c>
      <c r="JA19" s="6">
        <f>COUNTIFS(Table20[Country],Tabela1[[#This Row],[Country]],Table20[50m Freestyle Classification],"&gt;0")</f>
        <v>1</v>
      </c>
      <c r="JB19" s="6">
        <f>COUNTIFS(Table21[Country],Tabela1[[#This Row],[Country]],Table21[50m Freestyle Classification],"&gt;0")</f>
        <v>1</v>
      </c>
      <c r="JC19" s="6">
        <f>COUNTIFS(Table20[Country],Tabela1[[#This Row],[Country]],Table20[100m Freestyle Classification],"&gt;0")</f>
        <v>1</v>
      </c>
      <c r="JD19" s="6">
        <f>COUNTIFS(Table21[Country],Tabela1[[#This Row],[Country]],Table21[100m Freestyle Classification],"&gt;0")</f>
        <v>1</v>
      </c>
      <c r="JE19" s="6">
        <f>COUNTIFS(Table20[Country],Tabela1[[#This Row],[Country]],Table20[200m Freestyle Classification],"&gt;0")</f>
        <v>0</v>
      </c>
      <c r="JF19" s="6">
        <f>COUNTIFS(Table21[Country],Tabela1[[#This Row],[Country]],Table21[200m Freestyle Classification],"&gt;0")</f>
        <v>0</v>
      </c>
      <c r="JG19" s="6">
        <f>COUNTIFS(Table20[Country],Tabela1[[#This Row],[Country]],Table20[400m Freestyle Classification],"&gt;0")</f>
        <v>0</v>
      </c>
      <c r="JH19" s="6">
        <f>COUNTIFS(Table21[Country],Tabela1[[#This Row],[Country]],Table21[400m Freestyle Classification],"&gt;0")</f>
        <v>0</v>
      </c>
      <c r="JI19" s="6">
        <f>COUNTIFS(Table20[Country],Tabela1[[#This Row],[Country]],Table20[800m Freestyle Classification],"&gt;0")</f>
        <v>0</v>
      </c>
      <c r="JJ19" s="6">
        <f>COUNTIFS(Table21[Country],Tabela1[[#This Row],[Country]],Table21[800m Freestyle Classification],"&gt;0")</f>
        <v>0</v>
      </c>
      <c r="JK19" s="6">
        <f>COUNTIFS(Table20[Country],Tabela1[[#This Row],[Country]],Table20[1500m Freestyle Classification],"&gt;0")</f>
        <v>0</v>
      </c>
      <c r="JL19" s="6">
        <f>COUNTIFS(Table21[Country],Tabela1[[#This Row],[Country]],Table21[1500m Freestyle Classification],"&gt;0")</f>
        <v>0</v>
      </c>
      <c r="JM19" s="6">
        <f>COUNTIFS(Table20[Country],Tabela1[[#This Row],[Country]],Table20[100m Backstroke Classification],"&gt;0")</f>
        <v>0</v>
      </c>
      <c r="JN19" s="6">
        <f>COUNTIFS(Table21[Country],Tabela1[[#This Row],[Country]],Table21[100m Backstroke Classification],"&gt;0")</f>
        <v>0</v>
      </c>
      <c r="JO19" s="6">
        <f>COUNTIFS(Table20[Country],Tabela1[[#This Row],[Country]],Table20[200m Backstroke Classification],"&gt;0")</f>
        <v>0</v>
      </c>
      <c r="JP19" s="6">
        <f>COUNTIFS(Table21[Country],Tabela1[[#This Row],[Country]],Table21[200m Backstroke Classification],"&gt;0")</f>
        <v>0</v>
      </c>
      <c r="JQ19" s="6">
        <f>COUNTIFS(Table20[Country],Tabela1[[#This Row],[Country]],Table20[100m Breaststroke Classification],"&gt;0")</f>
        <v>0</v>
      </c>
      <c r="JR19" s="6">
        <f>COUNTIFS(Table21[Country],Tabela1[[#This Row],[Country]],Table21[100m Breaststroke Classification],"&gt;0")</f>
        <v>0</v>
      </c>
      <c r="JS19" s="6">
        <f>COUNTIFS(Table20[Country],Tabela1[[#This Row],[Country]],Table20[200m Breaststroke Classification],"&gt;0")</f>
        <v>0</v>
      </c>
      <c r="JT19" s="6">
        <f>COUNTIFS(Table21[Country],Tabela1[[#This Row],[Country]],Table21[200m Breaststroke Classification],"&gt;0")</f>
        <v>0</v>
      </c>
      <c r="JU19" s="6">
        <f>COUNTIFS(Table20[Country],Tabela1[[#This Row],[Country]],Table20[100m Butterfly Classification],"&gt;0")</f>
        <v>1</v>
      </c>
      <c r="JV19" s="6">
        <f>COUNTIFS(Table21[Country],Tabela1[[#This Row],[Country]],Table21[100m Butterfly Classification],"&gt;0")</f>
        <v>0</v>
      </c>
      <c r="JW19" s="6">
        <f>COUNTIFS(Table20[Country],Tabela1[[#This Row],[Country]],Table20[200m Butterfly Classification],"&gt;0")</f>
        <v>0</v>
      </c>
      <c r="JX19" s="6">
        <f>COUNTIFS(Table21[Country],Tabela1[[#This Row],[Country]],Table21[200m Butterfly Classification],"&gt;0")</f>
        <v>0</v>
      </c>
      <c r="JY19" s="6">
        <f>COUNTIFS(Table20[Country],Tabela1[[#This Row],[Country]],Table20[200m Medley Classification],"&gt;0")</f>
        <v>0</v>
      </c>
      <c r="JZ19" s="6">
        <f>COUNTIFS(Table21[Country],Tabela1[[#This Row],[Country]],Table21[200m Medley Classification],"&gt;0")</f>
        <v>0</v>
      </c>
      <c r="KA19" s="6">
        <f>COUNTIFS(Table20[Country],Tabela1[[#This Row],[Country]],Table20[400m Medley Classification],"&gt;0")</f>
        <v>0</v>
      </c>
      <c r="KB19" s="6">
        <f>COUNTIFS(Table21[Country],Tabela1[[#This Row],[Country]],Table21[400m Medley Classification],"&gt;0")</f>
        <v>0</v>
      </c>
      <c r="KC19" s="6">
        <f>COUNTIFS(Table78[Country],Tabela1[[#This Row],[Country]],Table78[Men''s 4x100m Freestyle Relay Classification],"&gt;0")</f>
        <v>0</v>
      </c>
      <c r="KD19" s="6">
        <f>COUNTIFS(Table78[Country],Tabela1[[#This Row],[Country]],Table78[Women''s 4x100m Freestyle Relay Classification],"&gt;0")</f>
        <v>0</v>
      </c>
      <c r="KE19" s="6">
        <f>COUNTIFS(Table78[Country],Tabela1[[#This Row],[Country]],Table78[Men''s 4x200m Freestyle Relay Classification],"&gt;0")</f>
        <v>0</v>
      </c>
      <c r="KF19" s="6">
        <f>COUNTIFS(Table78[Country],Tabela1[[#This Row],[Country]],Table78[Women''s 4x200m Freestyle Relay Classification],"&gt;0")</f>
        <v>0</v>
      </c>
      <c r="KG19" s="6">
        <f>COUNTIFS(Table78[Country],Tabela1[[#This Row],[Country]],Table78[Men''s 4x100m Medley Relay Classification],"&gt;0")</f>
        <v>0</v>
      </c>
      <c r="KH19" s="6">
        <f>COUNTIFS(Table78[Country],Tabela1[[#This Row],[Country]],Table78[Women''s 4x100m Medley Relay Classification],"&gt;0")</f>
        <v>0</v>
      </c>
      <c r="KI19" s="6">
        <f>COUNTIFS(Table78[Country],Tabela1[[#This Row],[Country]],Table78[Mixed 4x100m Medley Relay Classification],"&gt;0")</f>
        <v>0</v>
      </c>
      <c r="KJ19" s="6">
        <f>COUNTIFS(Table20[Country],Tabela1[[#This Row],[Country]],Table20[10km Open Water Classification],"&gt;0")</f>
        <v>0</v>
      </c>
      <c r="KK19" s="6">
        <f>COUNTIFS(Table21[Country],Tabela1[[#This Row],[Country]],Table21[10km Open Water Classification],"&gt;0")</f>
        <v>0</v>
      </c>
      <c r="KL19" s="6">
        <f>COUNTIFS(Table22[Country],Tabela1[[#This Row],[Country]],Table22[Classification],"&gt;0")</f>
        <v>2</v>
      </c>
      <c r="KM19" s="6">
        <f>COUNTIFS(Table30[Country],Tabela1[[#This Row],[Country]],Table30[Classification],"&gt;0")</f>
        <v>1</v>
      </c>
      <c r="KN19" s="6">
        <f>COUNTIFS(Table55[Country],Tabela1[[#This Row],[Country]],Table55[Men''s Classification],"&gt;0")</f>
        <v>1</v>
      </c>
      <c r="KO19" s="6">
        <f>COUNTIFS(Table55[Country],Tabela1[[#This Row],[Country]],Table55[Women''s Classification],"&gt;0")</f>
        <v>0</v>
      </c>
      <c r="KP19" s="6">
        <f>COUNTIFS(Table56[Country],Tabela1[[#This Row],[Country]],Table56[Mixed Classification],"&gt;0")</f>
        <v>0</v>
      </c>
      <c r="KQ19" s="6">
        <f>COUNTIFS(Table29[Country],Tabela1[[#This Row],[Country]],Table29[58kg Classification],"&gt;0")</f>
        <v>0</v>
      </c>
      <c r="KR19" s="6">
        <f>COUNTIFS(Table29[Country],Tabela1[[#This Row],[Country]],Table29[68kg Classification],"&gt;0")</f>
        <v>1</v>
      </c>
      <c r="KS19" s="6">
        <f>COUNTIFS(Table29[Country],Tabela1[[#This Row],[Country]],Table29[80kg Classification],"&gt;0")</f>
        <v>0</v>
      </c>
      <c r="KT19" s="6">
        <f>COUNTIFS(Table29[Country],Tabela1[[#This Row],[Country]],Table29[Plus 80kg Classification],"&gt;0")</f>
        <v>1</v>
      </c>
      <c r="KU19" s="6">
        <f>COUNTIFS(Table34[Country],Tabela1[[#This Row],[Country]],Table34[49kg Classification],"&gt;0")</f>
        <v>1</v>
      </c>
      <c r="KV19" s="6">
        <f>COUNTIFS(Table34[Country],Tabela1[[#This Row],[Country]],Table34[57kg Classification],"&gt;0")</f>
        <v>0</v>
      </c>
      <c r="KW19" s="6">
        <f>COUNTIFS(Table34[Country],Tabela1[[#This Row],[Country]],Table34[67kg Classification],"&gt;0")</f>
        <v>0</v>
      </c>
      <c r="KX19" s="6">
        <f>COUNTIFS(Table34[Country],Tabela1[[#This Row],[Country]],Table34[Plus 67kg Classification],"&gt;0")</f>
        <v>0</v>
      </c>
      <c r="KY19" s="6">
        <f>COUNTIFS(Table57[Country],Tabela1[[#This Row],[Country]],Table57[Classification],"&gt;0")</f>
        <v>0</v>
      </c>
      <c r="KZ19" s="6">
        <f>COUNTIFS(Table58[Country],Tabela1[[#This Row],[Country]],Table58[Classification],"&gt;0")</f>
        <v>2</v>
      </c>
      <c r="LA19" s="6">
        <f>COUNTIFS(Table79[Country],Tabela1[[#This Row],[Country]],Table79[Men''s Classification],"&gt;0")</f>
        <v>1</v>
      </c>
      <c r="LB19" s="6">
        <f>COUNTIFS(Table79[Country],Tabela1[[#This Row],[Country]],Table79[Women''s Classification],"&gt;0")</f>
        <v>0</v>
      </c>
      <c r="LC19" s="6">
        <f>COUNTIFS(Table79[Country],Tabela1[[#This Row],[Country]],Table79[Mixed Classification],"&gt;0")</f>
        <v>0</v>
      </c>
      <c r="LD19" s="6">
        <f>COUNTIFS(Table65[Country],Tabela1[[#This Row],[Country]],Table65[Classification],"&gt;0")</f>
        <v>0</v>
      </c>
      <c r="LE19" s="6">
        <f>COUNTIFS(Table59[Country],Tabela1[[#This Row],[Country]],Table59[Classification],"&gt;0")</f>
        <v>0</v>
      </c>
      <c r="LF19" s="6">
        <f>COUNTIFS(Table87[Country],Tabela1[[#This Row],[Country]],Table87[Mixed Relay Classification],"&gt;0")</f>
        <v>0</v>
      </c>
      <c r="LG19" s="6">
        <f>COUNTIFS(Table91949698100[Country],Tabela1[[#This Row],[Country]],Table91949698100[Men''s Classification],"&gt;0")</f>
        <v>0</v>
      </c>
      <c r="LH19" s="6">
        <f>COUNTIFS(Table91949698100[Country],Tabela1[[#This Row],[Country]],Table91949698100[Women''s Classification],"&gt;0")</f>
        <v>0</v>
      </c>
      <c r="LI19" s="6">
        <f>COUNTIFS(Table91949698100102[Country],Tabela1[[#This Row],[Country]],Table91949698100102[Men''s Classification],"&gt;0")</f>
        <v>1</v>
      </c>
      <c r="LJ19" s="6">
        <f>COUNTIFS(Table91949698100102[Country],Tabela1[[#This Row],[Country]],Table91949698100102[Women''s Classification],"&gt;0")</f>
        <v>0</v>
      </c>
      <c r="LK19" s="6">
        <f>COUNTIFS(Table23[Country],Tabela1[[#This Row],[Country]],Table23[61kg Classification],"&gt;0")</f>
        <v>0</v>
      </c>
      <c r="LL19" s="6">
        <f>COUNTIFS(Table23[Country],Tabela1[[#This Row],[Country]],Table23[73kg Classification],"&gt;0")</f>
        <v>0</v>
      </c>
      <c r="LM19" s="6">
        <f>COUNTIFS(Table23[Country],Tabela1[[#This Row],[Country]],Table23[89kg Classification],"&gt;0")</f>
        <v>0</v>
      </c>
      <c r="LN19" s="6">
        <f>COUNTIFS(Table23[Country],Tabela1[[#This Row],[Country]],Table23[102kg Classification],"&gt;0")</f>
        <v>0</v>
      </c>
      <c r="LO19" s="6">
        <f>COUNTIFS(Table23[Country],Tabela1[[#This Row],[Country]],Table23[Plus 102kg Classification],"&gt;0")</f>
        <v>0</v>
      </c>
      <c r="LP19" s="6">
        <f>COUNTIFS(Table28[Country],Tabela1[[#This Row],[Country]],Table28[49kg Classification],"&gt;0")</f>
        <v>0</v>
      </c>
      <c r="LQ19" s="6">
        <f>COUNTIFS(Table28[Country],Tabela1[[#This Row],[Country]],Table28[59kg Classification],"&gt;0")</f>
        <v>0</v>
      </c>
      <c r="LR19" s="6">
        <f>COUNTIFS(Table28[Country],Tabela1[[#This Row],[Country]],Table28[71kg Classification],"&gt;0")</f>
        <v>0</v>
      </c>
      <c r="LS19" s="6">
        <f>COUNTIFS(Table28[Country],Tabela1[[#This Row],[Country]],Table28[81kg Classification],"&gt;0")</f>
        <v>0</v>
      </c>
      <c r="LT19" s="6">
        <f>COUNTIFS(Table28[Country],Tabela1[[#This Row],[Country]],Table28[Plus 81kg Classification],"&gt;0")</f>
        <v>0</v>
      </c>
      <c r="LU19" s="6">
        <f>COUNTIFS(Table24[Country],Tabela1[[#This Row],[Country]],Table24[Freestyle 57kg Classification],"&gt;0")</f>
        <v>0</v>
      </c>
      <c r="LV19" s="6">
        <f>COUNTIFS(Table24[Country],Tabela1[[#This Row],[Country]],Table24[Freestyle 65kg Classification],"&gt;0")</f>
        <v>0</v>
      </c>
      <c r="LW19" s="6">
        <f>COUNTIFS(Table24[Country],Tabela1[[#This Row],[Country]],Table24[Freestyle 74kg Classification],"&gt;0")</f>
        <v>0</v>
      </c>
      <c r="LX19" s="6">
        <f>COUNTIFS(Table24[Country],Tabela1[[#This Row],[Country]],Table24[Freestyle 86kg Classification],"&gt;0")</f>
        <v>0</v>
      </c>
      <c r="LY19" s="6">
        <f>COUNTIFS(Table24[Country],Tabela1[[#This Row],[Country]],Table24[Freestyle 97kg Classification],"&gt;0")</f>
        <v>0</v>
      </c>
      <c r="LZ19" s="6">
        <f>COUNTIFS(Table24[Country],Tabela1[[#This Row],[Country]],Table24[Freestyle 125kg Classification],"&gt;0")</f>
        <v>0</v>
      </c>
      <c r="MA19" s="6">
        <f>COUNTIFS(Table24[Country],Tabela1[[#This Row],[Country]],Table24[Greco-Roman 60kg Classification],"&gt;0")</f>
        <v>0</v>
      </c>
      <c r="MB19" s="6">
        <f>COUNTIFS(Table24[Country],Tabela1[[#This Row],[Country]],Table24[Greco-Roman 67kg Classification],"&gt;0")</f>
        <v>0</v>
      </c>
      <c r="MC19" s="6">
        <f>COUNTIFS(Table24[Country],Tabela1[[#This Row],[Country]],Table24[Greco-Roman 77kg Classification],"&gt;0")</f>
        <v>0</v>
      </c>
      <c r="MD19" s="6">
        <f>COUNTIFS(Table24[Country],Tabela1[[#This Row],[Country]],Table24[Greco-Roman 87kg Classification],"&gt;0")</f>
        <v>0</v>
      </c>
      <c r="ME19" s="6">
        <f>COUNTIFS(Table24[Country],Tabela1[[#This Row],[Country]],Table24[Greco-Roman 97kg Classification],"&gt;0")</f>
        <v>0</v>
      </c>
      <c r="MF19" s="6">
        <f>COUNTIFS(Table24[Country],Tabela1[[#This Row],[Country]],Table24[Greco-Roman 130kg Classification],"&gt;0")</f>
        <v>0</v>
      </c>
      <c r="MG19" s="6">
        <f>COUNTIFS(Table31[Country],Tabela1[[#This Row],[Country]],Table31[50kg Classification],"&gt;0")</f>
        <v>0</v>
      </c>
      <c r="MH19" s="6">
        <f>COUNTIFS(Table31[Country],Tabela1[[#This Row],[Country]],Table31[53kg Classification],"&gt;0")</f>
        <v>0</v>
      </c>
      <c r="MI19" s="6">
        <f>COUNTIFS(Table31[Country],Tabela1[[#This Row],[Country]],Table31[57kg Classification],"&gt;0")</f>
        <v>0</v>
      </c>
      <c r="MJ19" s="6">
        <f>COUNTIFS(Table31[Country],Tabela1[[#This Row],[Country]],Table31[62kg Classification],"&gt;0")</f>
        <v>0</v>
      </c>
      <c r="MK19" s="6">
        <f>COUNTIFS(Table31[Country],Tabela1[[#This Row],[Country]],Table31[68kg Classification],"&gt;0")</f>
        <v>0</v>
      </c>
      <c r="ML19" s="6">
        <f>COUNTIFS(Table31[Country],Tabela1[[#This Row],[Country]],Table31[76kg Classification],"&gt;0")</f>
        <v>0</v>
      </c>
      <c r="MM19" s="6">
        <f>COUNTIFS(Table102[Country],Tabela1[[#This Row],[Country]],Table102[Downhill Classification],"&gt;0")</f>
        <v>0</v>
      </c>
      <c r="MN19" s="6">
        <f>COUNTIFS(Table102105[Country],Tabela1[[#This Row],[Country]],Table102105[Downhill Classification],"&gt;0")</f>
        <v>0</v>
      </c>
      <c r="MO19" s="6">
        <f>COUNTIFS(Table102[Country],Tabela1[[#This Row],[Country]],Table102[Giant Slalom Classification],"&gt;0")</f>
        <v>1</v>
      </c>
      <c r="MP19" s="6">
        <f>COUNTIFS(Table102105[Country],Tabela1[[#This Row],[Country]],Table102105[Giant Slalom Classification],"&gt;0")</f>
        <v>2</v>
      </c>
      <c r="MQ19" s="6">
        <f>COUNTIFS(Table102[Country],Tabela1[[#This Row],[Country]],Table102[Slalom Classification],"&gt;0")</f>
        <v>2</v>
      </c>
      <c r="MR19" s="6">
        <f>COUNTIFS(Table102105[Country],Tabela1[[#This Row],[Country]],Table102105[Slalom Classification],"&gt;0")</f>
        <v>3</v>
      </c>
      <c r="MS19" s="6">
        <f>COUNTIFS(Table102[Country],Tabela1[[#This Row],[Country]],Table102[Super-G Classification],"&gt;0")</f>
        <v>0</v>
      </c>
      <c r="MT19" s="6">
        <f>COUNTIFS(Table102105[Country],Tabela1[[#This Row],[Country]],Table102105[Super-G Classification],"&gt;0")</f>
        <v>0</v>
      </c>
      <c r="MU19" s="6">
        <f>COUNTIFS(Table105[Country],Tabela1[[#This Row],[Country]],Table105[Men''s Combined Classification],"&gt;0")</f>
        <v>0</v>
      </c>
      <c r="MV19" s="6">
        <f>COUNTIFS(Table105[Country],Tabela1[[#This Row],[Country]],Table105[Women''s Combined Classification],"&gt;0")</f>
        <v>0</v>
      </c>
      <c r="MW19" s="6">
        <f>COUNTIFS(Table106[Country],Tabela1[[#This Row],[Country]],Table106[Individual Classification],"&gt;0")</f>
        <v>2</v>
      </c>
      <c r="MX19" s="6">
        <f>COUNTIFS(Table106109[Country],Tabela1[[#This Row],[Country]],Table106109[Individual Classification],"&gt;0")</f>
        <v>1</v>
      </c>
      <c r="MY19" s="6">
        <f>COUNTIFS(Table106[Country],Tabela1[[#This Row],[Country]],Table106[Mass Start Classification],"&gt;0")</f>
        <v>0</v>
      </c>
      <c r="MZ19" s="6">
        <f>COUNTIFS(Table106109[Country],Tabela1[[#This Row],[Country]],Table106109[Mass Start Classification],"&gt;0")</f>
        <v>0</v>
      </c>
      <c r="NA19" s="6">
        <f>COUNTIFS(Table106[Country],Tabela1[[#This Row],[Country]],Table106[Pursuit Classification],"&gt;0")</f>
        <v>1</v>
      </c>
      <c r="NB19" s="6">
        <f>COUNTIFS(Table106109[Country],Tabela1[[#This Row],[Country]],Table106109[Pursuit Classification],"&gt;0")</f>
        <v>0</v>
      </c>
      <c r="NC19" s="6">
        <f>COUNTIFS(Table106[Country],Tabela1[[#This Row],[Country]],Table106[Sprint Classification],"&gt;0")</f>
        <v>2</v>
      </c>
      <c r="ND19" s="6">
        <f>COUNTIFS(Table106109[Country],Tabela1[[#This Row],[Country]],Table106109[Sprint Classification],"&gt;0")</f>
        <v>1</v>
      </c>
      <c r="NE19" s="6">
        <f>COUNTIFS(Table109[Country],Tabela1[[#This Row],[Country]],Table109[Men''s Relay Classification],"&gt;0")</f>
        <v>0</v>
      </c>
      <c r="NF19" s="6">
        <f>COUNTIFS(Table109[Country],Tabela1[[#This Row],[Country]],Table109[Women''s Relay Classification],"&gt;0")</f>
        <v>0</v>
      </c>
      <c r="NG19" s="6">
        <f>COUNTIFS(Table109[Country],Tabela1[[#This Row],[Country]],Table109[Mixed Relay Classification],"&gt;0")</f>
        <v>0</v>
      </c>
      <c r="NH19" s="6">
        <f>COUNTIFS(Table110[Country],Tabela1[[#This Row],[Country]],Table110[Monobob Classification],"&gt;0")</f>
        <v>0</v>
      </c>
      <c r="NI19" s="6">
        <f>COUNTIFS(Table111[Country],Tabela1[[#This Row],[Country]],Table111[Men''s Classification],"&gt;0")</f>
        <v>0</v>
      </c>
      <c r="NJ19" s="6">
        <f>COUNTIFS(Table111[Country],Tabela1[[#This Row],[Country]],Table111[Women''s Classification],"&gt;0")</f>
        <v>0</v>
      </c>
      <c r="NK19" s="6">
        <f>COUNTIFS(Table112[Country],Tabela1[[#This Row],[Country]],Table112[Men''s Four Classification],"&gt;0")</f>
        <v>0</v>
      </c>
      <c r="NL19" s="6">
        <f>COUNTIFS(Table113[Country],Tabela1[[#This Row],[Country]],Table113[Classical Classification],"&gt;0")</f>
        <v>1</v>
      </c>
      <c r="NM19" s="6">
        <f>COUNTIFS(Table113116[Country],Tabela1[[#This Row],[Country]],Table113116[Classical Classification],"&gt;0")</f>
        <v>0</v>
      </c>
      <c r="NN19" s="6">
        <f>COUNTIFS(Table113[Country],Tabela1[[#This Row],[Country]],Table113[Freestyle Classification],"&gt;0")</f>
        <v>1</v>
      </c>
      <c r="NO19" s="6">
        <f>COUNTIFS(Table113116[Country],Tabela1[[#This Row],[Country]],Table113116[Freestyle Classification],"&gt;0")</f>
        <v>2</v>
      </c>
      <c r="NP19" s="6">
        <f>COUNTIFS(Table117[Country],Tabela1[[#This Row],[Country]],Table117[Men''s Relay Classification],"&gt;0")</f>
        <v>0</v>
      </c>
      <c r="NQ19" s="6">
        <f>COUNTIFS(Table117[Country],Tabela1[[#This Row],[Country]],Table117[Women''s Relay Classification],"&gt;0")</f>
        <v>0</v>
      </c>
      <c r="NR19" s="6">
        <f>COUNTIFS(Table113[Country],Tabela1[[#This Row],[Country]],Table113[Skiathlon Classification],"&gt;0")</f>
        <v>0</v>
      </c>
      <c r="NS19" s="6">
        <f>COUNTIFS(Table113116[Country],Tabela1[[#This Row],[Country]],Table113116[Skiathlon Classification],"&gt;0")</f>
        <v>0</v>
      </c>
      <c r="NT19" s="6">
        <f>COUNTIFS(Table113[Country],Tabela1[[#This Row],[Country]],Table113[Sprint Classification],"&gt;0")</f>
        <v>1</v>
      </c>
      <c r="NU19" s="6">
        <f>COUNTIFS(Table113116[Country],Tabela1[[#This Row],[Country]],Table113116[Sprint Classification],"&gt;0")</f>
        <v>2</v>
      </c>
      <c r="NV19" s="6">
        <f>COUNTIFS(Table116[Country],Tabela1[[#This Row],[Country]],Table116[Men''s Team Sprint Classification],"&gt;0")</f>
        <v>0</v>
      </c>
      <c r="NW19" s="6">
        <f>COUNTIFS(Table116[Country],Tabela1[[#This Row],[Country]],Table116[Women''s Team Sprint Classification],"&gt;0")</f>
        <v>1</v>
      </c>
      <c r="NX19" s="6">
        <f>COUNTIFS(Table119[Country],Tabela1[[#This Row],[Country]],Table119[Men''s Classification],"&gt;0")</f>
        <v>0</v>
      </c>
      <c r="NY19" s="6">
        <f>COUNTIFS(Table119[Country],Tabela1[[#This Row],[Country]],Table119[Women''s Classification],"&gt;0")</f>
        <v>0</v>
      </c>
      <c r="NZ19" s="6">
        <f>COUNTIFS(Table118[Country],Tabela1[[#This Row],[Country]],Table118[Mixed Classification],"&gt;0")</f>
        <v>0</v>
      </c>
      <c r="OA19" s="6">
        <f>COUNTIFS(Table120[Country],Tabela1[[#This Row],[Country]],Table120[Classification],"&gt;0")</f>
        <v>0</v>
      </c>
      <c r="OB19" s="6">
        <f>COUNTIFS(Table120123[Country],Tabela1[[#This Row],[Country]],Table120123[Classification],"&gt;0")</f>
        <v>0</v>
      </c>
      <c r="OC19" s="6">
        <f>COUNTIFS(Table123[Country],Tabela1[[#This Row],[Country]],Table123[Ice Dance Classification],"&gt;0")</f>
        <v>0</v>
      </c>
      <c r="OD19" s="6">
        <f>COUNTIFS(Table123[Country],Tabela1[[#This Row],[Country]],Table123[Pair Skating Classification],"&gt;0")</f>
        <v>0</v>
      </c>
      <c r="OE19" s="6">
        <f>COUNTIFS(Table124[Country],Tabela1[[#This Row],[Country]],Table124[Mixed Classification],"&gt;0")</f>
        <v>0</v>
      </c>
      <c r="OF19" s="6">
        <f>COUNTIFS(Table125[Country],Tabela1[[#This Row],[Country]],Table125[Aerials Classification],"&gt;0")</f>
        <v>0</v>
      </c>
      <c r="OG19" s="6">
        <f>COUNTIFS(Table125128[Country],Tabela1[[#This Row],[Country]],Table125128[Aerials Classification],"&gt;0")</f>
        <v>0</v>
      </c>
      <c r="OH19" s="6">
        <f>COUNTIFS(Table128[Country],Tabela1[[#This Row],[Country]],Table128[Mixed Aerials Classification],"&gt;0")</f>
        <v>0</v>
      </c>
      <c r="OI19" s="6">
        <f>COUNTIFS(Table125[Country],Tabela1[[#This Row],[Country]],Table125[Big Air Classification],"&gt;0")</f>
        <v>0</v>
      </c>
      <c r="OJ19" s="6">
        <f>COUNTIFS(Table125128[Country],Tabela1[[#This Row],[Country]],Table125128[Big Air Classification],"&gt;0")</f>
        <v>0</v>
      </c>
      <c r="OK19" s="6">
        <f>COUNTIFS(Table125[Country],Tabela1[[#This Row],[Country]],Table125[Dual Moguls Classification],"&gt;0")</f>
        <v>0</v>
      </c>
      <c r="OL19" s="6">
        <f>COUNTIFS(Table125128[Country],Tabela1[[#This Row],[Country]],Table125128[Dual Moguls Classification],"&gt;0")</f>
        <v>0</v>
      </c>
      <c r="OM19" s="6">
        <f>COUNTIFS(Table125[Country],Tabela1[[#This Row],[Country]],Table125[Halfpipe Classification],"&gt;0")</f>
        <v>0</v>
      </c>
      <c r="ON19" s="6">
        <f>COUNTIFS(Table125128[Country],Tabela1[[#This Row],[Country]],Table125128[Halfpipe Classification],"&gt;0")</f>
        <v>0</v>
      </c>
      <c r="OO19" s="6">
        <f>COUNTIFS(Table125[Country],Tabela1[[#This Row],[Country]],Table125[Moguls Classification],"&gt;0")</f>
        <v>0</v>
      </c>
      <c r="OP19" s="6">
        <f>COUNTIFS(Table125128[Country],Tabela1[[#This Row],[Country]],Table125128[Moguls Classification],"&gt;0")</f>
        <v>0</v>
      </c>
      <c r="OQ19" s="6">
        <f>COUNTIFS(Table125[Country],Tabela1[[#This Row],[Country]],Table125[Ski Cross Classification],"&gt;0")</f>
        <v>0</v>
      </c>
      <c r="OR19" s="6">
        <f>COUNTIFS(Table125128[Country],Tabela1[[#This Row],[Country]],Table125128[Ski Cross Classification],"&gt;0")</f>
        <v>0</v>
      </c>
      <c r="OS19" s="6">
        <f>COUNTIFS(Table125[Country],Tabela1[[#This Row],[Country]],Table125[Slopestyle Classification],"&gt;0")</f>
        <v>0</v>
      </c>
      <c r="OT19" s="6">
        <f>COUNTIFS(Table125128[Country],Tabela1[[#This Row],[Country]],Table125128[Slopestyle Classification],"&gt;0")</f>
        <v>0</v>
      </c>
      <c r="OU19" s="6">
        <f>COUNTIFS(Table119131[Country],Tabela1[[#This Row],[Country]],Table119131[Men''s Classification],"&gt;0")</f>
        <v>0</v>
      </c>
      <c r="OV19" s="6">
        <f>COUNTIFS(Table119131[Country],Tabela1[[#This Row],[Country]],Table119131[Women''s Classification],"&gt;0")</f>
        <v>0</v>
      </c>
      <c r="OW19" s="6">
        <f>COUNTIFS(Table131[Country],Tabela1[[#This Row],[Country]],Table131[Classification],"&gt;0")</f>
        <v>0</v>
      </c>
      <c r="OX19" s="6">
        <f>COUNTIFS(Table131134[Country],Tabela1[[#This Row],[Country]],Table131134[Classification],"&gt;0")</f>
        <v>0</v>
      </c>
      <c r="OY19" s="6">
        <f>COUNTIFS(Table134[Country],Tabela1[[#This Row],[Country]],Table134[Men''s Classification],"&gt;0")</f>
        <v>0</v>
      </c>
      <c r="OZ19" s="6">
        <f>COUNTIFS(Table134[Country],Tabela1[[#This Row],[Country]],Table134[Women''s Classification],"&gt;0")</f>
        <v>0</v>
      </c>
      <c r="PA19" s="6">
        <f>COUNTIFS(Table135[Country],Tabela1[[#This Row],[Country]],Table135[Mixed Relay Classification],"&gt;0")</f>
        <v>0</v>
      </c>
      <c r="PB19" s="6">
        <f>COUNTIFS(Table136[Country],Tabela1[[#This Row],[Country]],Table136[Individual Classification],"&gt;0")</f>
        <v>0</v>
      </c>
      <c r="PC19" s="6">
        <f>COUNTIFS(Table136[Country],Tabela1[[#This Row],[Country]],Table136[Sprint Classification],"&gt;0")</f>
        <v>0</v>
      </c>
      <c r="PD19" s="6">
        <f>COUNTIFS(Table137[Country],Tabela1[[#This Row],[Country]],Table137[Men''s Team Sprint Large Hill Classification],"&gt;0")</f>
        <v>0</v>
      </c>
      <c r="PE19" s="6">
        <f>COUNTIFS(Table138[Country],Tabela1[[#This Row],[Country]],Table138[500m Classification],"&gt;0")</f>
        <v>0</v>
      </c>
      <c r="PF19" s="6">
        <f>COUNTIFS(Table138141[Country],Tabela1[[#This Row],[Country]],Table138141[500m Classification],"&gt;0")</f>
        <v>0</v>
      </c>
      <c r="PG19" s="6">
        <f>COUNTIFS(Table138[Country],Tabela1[[#This Row],[Country]],Table138[1000m Classification],"&gt;0")</f>
        <v>0</v>
      </c>
      <c r="PH19" s="6">
        <f>COUNTIFS(Table138141[Country],Tabela1[[#This Row],[Country]],Table138141[1000m Classification],"&gt;0")</f>
        <v>0</v>
      </c>
      <c r="PI19" s="6">
        <f>COUNTIFS(Table138[Country],Tabela1[[#This Row],[Country]],Table138[1500m Classification],"&gt;0")</f>
        <v>0</v>
      </c>
      <c r="PJ19" s="6">
        <f>COUNTIFS(Table138141[Country],Tabela1[[#This Row],[Country]],Table138141[1500m Classification],"&gt;0")</f>
        <v>1</v>
      </c>
      <c r="PK19" s="6">
        <f>COUNTIFS(Table141[Country],Tabela1[[#This Row],[Country]],Table141[Men''s 5000m Relay Classification],"&gt;0")</f>
        <v>0</v>
      </c>
      <c r="PL19" s="6">
        <f>COUNTIFS(Table141[Country],Tabela1[[#This Row],[Country]],Table141[Women''s 3000m Relay Classification],"&gt;0")</f>
        <v>0</v>
      </c>
      <c r="PM19" s="6">
        <f>COUNTIFS(Table141[Country],Tabela1[[#This Row],[Country]],Table141[Mixed 2000m Relay Classification],"&gt;0")</f>
        <v>0</v>
      </c>
      <c r="PN19" s="6">
        <f>COUNTIFS(Table142[Country],Tabela1[[#This Row],[Country]],Table142[Classification],"&gt;0")</f>
        <v>0</v>
      </c>
      <c r="PO19" s="6">
        <f>COUNTIFS(Table142145[Country],Tabela1[[#This Row],[Country]],Table142145[Classification],"&gt;0")</f>
        <v>0</v>
      </c>
      <c r="PP19" s="6">
        <f>COUNTIFS(Tabela15[Country],Tabela1[[#This Row],[Country]],Tabela15[Mixed Team Classification],"&gt;0")</f>
        <v>0</v>
      </c>
      <c r="PQ19" s="6">
        <f>COUNTIFS(Table145[Country],Tabela1[[#This Row],[Country]],Table145[Large Hill Classification],"&gt;0")</f>
        <v>0</v>
      </c>
      <c r="PR19" s="6">
        <f>COUNTIFS(Table145[Country],Tabela1[[#This Row],[Country]],Table145[Normal Hill Classification],"&gt;0")</f>
        <v>0</v>
      </c>
      <c r="PS19" s="6">
        <f>COUNTIFS(Table145148[Country],Tabela1[[#This Row],[Country]],Table145148[Large Hill Classification],"&gt;0")</f>
        <v>0</v>
      </c>
      <c r="PT19" s="6">
        <f>COUNTIFS(Table145148[Country],Tabela1[[#This Row],[Country]],Table145148[Normal Hill Classification],"&gt;0")</f>
        <v>0</v>
      </c>
      <c r="PU19" s="6">
        <f>COUNTIFS(Table148[Country],Tabela1[[#This Row],[Country]],Table148[Men''s Super Team Classification],"&gt;0")</f>
        <v>0</v>
      </c>
      <c r="PV19" s="6">
        <f>COUNTIFS(Tabela114[Country],Tabela1[[#This Row],[Country]],Tabela114[Mixed Normal Hill Classification],"&gt;0")</f>
        <v>0</v>
      </c>
      <c r="PW19" s="6">
        <f>COUNTIFS(Tabela50[Country],Tabela1[[#This Row],[Country]],Tabela50[Sprint Classification],"&gt;0")</f>
        <v>0</v>
      </c>
      <c r="PX19" s="6">
        <f>COUNTIFS(Tabela50101[Country],Tabela1[[#This Row],[Country]],Tabela50101[Sprint Classification],"&gt;0")</f>
        <v>0</v>
      </c>
      <c r="PY19" s="6">
        <f>COUNTIFS(Tabela103[Country],Tabela1[[#This Row],[Country]],Tabela103[Mixed Relay Classification],"&gt;0")</f>
        <v>0</v>
      </c>
      <c r="PZ19" s="6">
        <f>COUNTIFS(Table149[Country],Tabela1[[#This Row],[Country]],Table149[Big Air Classification],"&gt;0")</f>
        <v>0</v>
      </c>
      <c r="QA19" s="6">
        <f>COUNTIFS(Table149152[Country],Tabela1[[#This Row],[Country]],Table149152[Big Air Classification],"&gt;0")</f>
        <v>0</v>
      </c>
      <c r="QB19" s="6">
        <f>COUNTIFS(Table149[Country],Tabela1[[#This Row],[Country]],Table149[Halfpipe Classification],"&gt;0")</f>
        <v>0</v>
      </c>
      <c r="QC19" s="6">
        <f>COUNTIFS(Table149152[Country],Tabela1[[#This Row],[Country]],Table149152[Halfpipe Classification],"&gt;0")</f>
        <v>0</v>
      </c>
      <c r="QD19" s="6">
        <f>COUNTIFS(Table149[Country],Tabela1[[#This Row],[Country]],Table149[Parallel Giant Slalom Classification],"&gt;0")</f>
        <v>0</v>
      </c>
      <c r="QE19" s="6">
        <f>COUNTIFS(Table149152[Country],Tabela1[[#This Row],[Country]],Table149152[Parallel Giant Slalom Classification],"&gt;0")</f>
        <v>0</v>
      </c>
      <c r="QF19" s="6">
        <f>COUNTIFS(Table149[Country],Tabela1[[#This Row],[Country]],Table149[Slopestyle Classification],"&gt;0")</f>
        <v>0</v>
      </c>
      <c r="QG19" s="6">
        <f>COUNTIFS(Table149152[Country],Tabela1[[#This Row],[Country]],Table149152[Slopestyle Classification],"&gt;0")</f>
        <v>0</v>
      </c>
      <c r="QH19" s="6">
        <f>COUNTIFS(Table149[Country],Tabela1[[#This Row],[Country]],Table149[Snowboard Cross Classification],"&gt;0")</f>
        <v>0</v>
      </c>
      <c r="QI19" s="6">
        <f>COUNTIFS(Table149152[Country],Tabela1[[#This Row],[Country]],Table149152[Snowboard Cross Classification],"&gt;0")</f>
        <v>0</v>
      </c>
      <c r="QJ19" s="6">
        <f>COUNTIFS(Table153[Country],Tabela1[[#This Row],[Country]],Table153[Mixed Team Snowboard Cross Classification],"&gt;0")</f>
        <v>0</v>
      </c>
      <c r="QK19" s="6">
        <f>COUNTIFS(Table154[Country],Tabela1[[#This Row],[Country]],Table154[500m Classification],"&gt;0")</f>
        <v>0</v>
      </c>
      <c r="QL19" s="6">
        <f>COUNTIFS(Table154157[Country],Tabela1[[#This Row],[Country]],Table154157[500m Classification],"&gt;0")</f>
        <v>0</v>
      </c>
      <c r="QM19" s="6">
        <f>COUNTIFS(Table154[Country],Tabela1[[#This Row],[Country]],Table154[1000m Classification],"&gt;0")</f>
        <v>0</v>
      </c>
      <c r="QN19" s="6">
        <f>COUNTIFS(Table154157[Country],Tabela1[[#This Row],[Country]],Table154157[1000m Classification],"&gt;0")</f>
        <v>0</v>
      </c>
      <c r="QO19" s="6">
        <f>COUNTIFS(Table154[Country],Tabela1[[#This Row],[Country]],Table154[1500m Classification],"&gt;0")</f>
        <v>0</v>
      </c>
      <c r="QP19" s="6">
        <f>COUNTIFS(Table154157[Country],Tabela1[[#This Row],[Country]],Table154157[1500m Classification],"&gt;0")</f>
        <v>0</v>
      </c>
      <c r="QQ19" s="6">
        <f>COUNTIFS(Table154157[Country],Tabela1[[#This Row],[Country]],Table154157[3000m Classification],"&gt;0")</f>
        <v>0</v>
      </c>
      <c r="QR19" s="6">
        <f>COUNTIFS(Table154[Country],Tabela1[[#This Row],[Country]],Table154[5000m Classification],"&gt;0")</f>
        <v>0</v>
      </c>
      <c r="QS19" s="6">
        <f>COUNTIFS(Table154157[Country],Tabela1[[#This Row],[Country]],Table154157[5000m Classification],"&gt;0")</f>
        <v>0</v>
      </c>
      <c r="QT19" s="6">
        <f>COUNTIFS(Table154[Country],Tabela1[[#This Row],[Country]],Table154[10000m Classification],"&gt;0")</f>
        <v>0</v>
      </c>
      <c r="QU19" s="6">
        <f>COUNTIFS(Table154[Country],Tabela1[[#This Row],[Country]],Table154[Mass Start Classification],"&gt;0")</f>
        <v>0</v>
      </c>
      <c r="QV19" s="6">
        <f>COUNTIFS(Table154157[Country],Tabela1[[#This Row],[Country]],Table154157[Mass Start Classification],"&gt;0")</f>
        <v>0</v>
      </c>
      <c r="QW19" s="6">
        <f>COUNTIFS(Table157[Country],Tabela1[[#This Row],[Country]],Table157[Men''s Pursuit Classification],"&gt;0")</f>
        <v>0</v>
      </c>
      <c r="QX19" s="6">
        <f>COUNTIFS(Table157[Country],Tabela1[[#This Row],[Country]],Table157[Women''s Pursuit Classification],"&gt;0")</f>
        <v>0</v>
      </c>
      <c r="QY19" s="3" t="s">
        <v>451</v>
      </c>
    </row>
    <row r="20" spans="1:467" x14ac:dyDescent="0.3">
      <c r="A20" s="6">
        <v>19</v>
      </c>
      <c r="B20" s="6" t="s">
        <v>338</v>
      </c>
      <c r="C20" t="e" vm="19">
        <f>IF(ISBLANK(Tabela1[[#This Row],[Image Link]]), "", _xlfn.IMAGE(Tabela1[[#This Row],[Image Link]],1,1))</f>
        <v>#VALUE!</v>
      </c>
      <c r="D20" s="6">
        <f>SUM(Tabela1[[#This Row],[Archery - Men''s Individual Recurve]:[Speed Skating - Women''s Team Pursuit]])</f>
        <v>68</v>
      </c>
      <c r="E20" s="6">
        <f>COUNTIF(Tabela1[[#This Row],[Archery - Men''s Individual Recurve]:[Speed Skating - Women''s Team Pursuit]],"&gt;0")</f>
        <v>63</v>
      </c>
      <c r="F20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20" s="6">
        <f>SUM(Tabela1[[#This Row],[Archery - Men''s Individual Recurve]:[Wrestling - Women''s Freestyle 76kg]])</f>
        <v>36</v>
      </c>
      <c r="H20" s="6">
        <f>SUM(Tabela1[[#This Row],[Alpine Skiing - Men''s Downhill]:[Speed Skating - Women''s Team Pursuit]])</f>
        <v>32</v>
      </c>
      <c r="I20" s="6">
        <f>Tabela1[[#This Row],[Summer Gold Medals]]+Tabela1[[#This Row],[Winter Gold Medals]]</f>
        <v>12</v>
      </c>
      <c r="J20" s="6">
        <f>Tabela1[[#This Row],[Summer Silver Medals]]+Tabela1[[#This Row],[Winter Silver Medals]]</f>
        <v>10</v>
      </c>
      <c r="K20" s="6">
        <f>Tabela1[[#This Row],[Summer Bronze Medals]]+Tabela1[[#This Row],[Winter Bronze Medals]]</f>
        <v>7</v>
      </c>
      <c r="L20" s="6">
        <f>SUM(Tabela1[[#This Row],[Total Gold Medals]:[Total Bronze Medals]])</f>
        <v>29</v>
      </c>
      <c r="M20" s="6">
        <v>4</v>
      </c>
      <c r="N20" s="6">
        <v>4</v>
      </c>
      <c r="O20" s="6">
        <v>3</v>
      </c>
      <c r="P20" s="6">
        <f>SUM(Tabela1[[#This Row],[Summer Gold Medals]:[Summer Bronze Medals]])</f>
        <v>11</v>
      </c>
      <c r="Q20" s="6">
        <v>8</v>
      </c>
      <c r="R20" s="6">
        <v>6</v>
      </c>
      <c r="S20" s="6">
        <v>4</v>
      </c>
      <c r="T20" s="6">
        <f>Tabela1[[#This Row],[Winter Gold Medals]]+Tabela1[[#This Row],[Winter Silver Medals]]+Tabela1[[#This Row],[Winter Bronze Medals]]</f>
        <v>18</v>
      </c>
      <c r="U20" s="7">
        <f>Tabela1[[#This Row],[Total Medals]]/Tabela1[[#This Row],[Total Quotas]]</f>
        <v>0.4264705882352941</v>
      </c>
      <c r="V20" s="6">
        <f>COUNTIFS(Table3[Country],Tabela1[[#This Row],[Country]],Table3[Recurve Classification],"&gt;0")</f>
        <v>0</v>
      </c>
      <c r="W20" s="6">
        <f>COUNTIFS(Table33[Country],Tabela1[[#This Row],[Country]],Table33[Recurve Classification],"&gt;0")</f>
        <v>0</v>
      </c>
      <c r="X20" s="6">
        <f>COUNTIFS(Table35[Country],Tabela1[[#This Row],[Country]],Table35[Men''s Team Recurve Classification],"&gt;0")</f>
        <v>0</v>
      </c>
      <c r="Y20" s="6">
        <f>COUNTIFS(Table35[Country],Tabela1[[#This Row],[Country]],Table35[Women''s Team Recurve Classification],"&gt;0")</f>
        <v>0</v>
      </c>
      <c r="Z20" s="6">
        <f>COUNTIFS(Tabela88[Country],Tabela1[[#This Row],[Country]],Tabela88[Mixed Team Recurve Classification],"&gt;0")</f>
        <v>0</v>
      </c>
      <c r="AA20" s="6">
        <f>COUNTIFS(Table36[Country],Tabela1[[#This Row],[Country]],Table36[Classification],"&gt;0")</f>
        <v>0</v>
      </c>
      <c r="AB20" s="6">
        <f>COUNTIFS(Table37[Country],Tabela1[[#This Row],[Country]],Table37[Classification],"&gt;0")</f>
        <v>0</v>
      </c>
      <c r="AC20" s="6">
        <f>COUNTIFS(Table4[Country],Tabela1[[#This Row],[Country]],Table4[100m Classification],"&gt;0")</f>
        <v>0</v>
      </c>
      <c r="AD20" s="6">
        <f>COUNTIFS(Table5[Country],Tabela1[[#This Row],[Country]],Table5[100m Classification],"&gt;0")</f>
        <v>0</v>
      </c>
      <c r="AE20" s="6">
        <f>COUNTIFS(Table4[Country],Tabela1[[#This Row],[Country]],Table4[200m Classification],"&gt;0")</f>
        <v>0</v>
      </c>
      <c r="AF20" s="6">
        <f>COUNTIFS(Table5[Country],Tabela1[[#This Row],[Country]],Table5[200m Classification],"&gt;0")</f>
        <v>1</v>
      </c>
      <c r="AG20" s="6">
        <f>COUNTIFS(Table4[Country],Tabela1[[#This Row],[Country]],Table4[400m Classification],"&gt;0")</f>
        <v>0</v>
      </c>
      <c r="AH20" s="6">
        <f>COUNTIFS(Table5[Country],Tabela1[[#This Row],[Country]],Table5[400m Classification],"&gt;0")</f>
        <v>0</v>
      </c>
      <c r="AI20" s="6">
        <f>COUNTIFS(Table4[Country],Tabela1[[#This Row],[Country]],Table4[800m Classification],"&gt;0")</f>
        <v>0</v>
      </c>
      <c r="AJ20" s="6">
        <f>COUNTIFS(Table5[Country],Tabela1[[#This Row],[Country]],Table5[800m Classification],"&gt;0")</f>
        <v>0</v>
      </c>
      <c r="AK20" s="6">
        <f>COUNTIFS(Table4[Country],Tabela1[[#This Row],[Country]],Table4[1500m Classification],"&gt;0")</f>
        <v>0</v>
      </c>
      <c r="AL20" s="6">
        <f>COUNTIFS(Table5[Country],Tabela1[[#This Row],[Country]],Table5[1500m Classification],"&gt;0")</f>
        <v>0</v>
      </c>
      <c r="AM20" s="6">
        <f>COUNTIFS(Table4[Country],Tabela1[[#This Row],[Country]],Table4[5000m Classification],"&gt;0")</f>
        <v>0</v>
      </c>
      <c r="AN20" s="6">
        <f>COUNTIFS(Table5[Country],Tabela1[[#This Row],[Country]],Table5[5000m Classification],"&gt;0")</f>
        <v>0</v>
      </c>
      <c r="AO20" s="6">
        <f>COUNTIFS(Table4[Country],Tabela1[[#This Row],[Country]],Table4[10000m Classification],"&gt;0")</f>
        <v>0</v>
      </c>
      <c r="AP20" s="6">
        <f>COUNTIFS(Table5[Country],Tabela1[[#This Row],[Country]],Table5[10000m Classification],"&gt;0")</f>
        <v>0</v>
      </c>
      <c r="AQ20" s="6">
        <f>COUNTIFS(Table4[Country],Tabela1[[#This Row],[Country]],Table4[110m Hurdles Classification],"&gt;0")</f>
        <v>0</v>
      </c>
      <c r="AR20" s="6">
        <f>COUNTIFS(Table5[Country],Tabela1[[#This Row],[Country]],Table5[100m Hurdles Classification],"&gt;0")</f>
        <v>0</v>
      </c>
      <c r="AS20" s="6">
        <f>COUNTIFS(Table4[Country],Tabela1[[#This Row],[Country]],Table4[400m Hurdles Classification],"&gt;0")</f>
        <v>1</v>
      </c>
      <c r="AT20" s="6">
        <f>COUNTIFS(Table5[Country],Tabela1[[#This Row],[Country]],Table5[400m Hurdles Classification],"&gt;0")</f>
        <v>0</v>
      </c>
      <c r="AU20" s="6">
        <f>COUNTIFS(Table4[Country],Tabela1[[#This Row],[Country]],Table4[3000m Steeplechase Classification],"&gt;0")</f>
        <v>0</v>
      </c>
      <c r="AV20" s="6">
        <f>COUNTIFS(Table5[Country],Tabela1[[#This Row],[Country]],Table5[3000m Steeplechase Classification],"&gt;0")</f>
        <v>0</v>
      </c>
      <c r="AW20" s="6">
        <f>COUNTIFS(Table27[Country],Tabela1[[#This Row],[Country]],Table27[Men''s 4x100m Relay Classification],"&gt;0")</f>
        <v>0</v>
      </c>
      <c r="AX20" s="6">
        <f>COUNTIFS(Table27[Country],Tabela1[[#This Row],[Country]],Table27[Women''s 4x100m Relay Classification],"&gt;0")</f>
        <v>0</v>
      </c>
      <c r="AY20" s="6">
        <f>COUNTIFS(Table27[Country],Tabela1[[#This Row],[Country]],Table27[Men''s 4x400m Relay Classification],"&gt;0")</f>
        <v>0</v>
      </c>
      <c r="AZ20" s="6">
        <f>COUNTIFS(Table27[Country],Tabela1[[#This Row],[Country]],Table27[Women''s 4x400m Relay Classification],"&gt;0")</f>
        <v>0</v>
      </c>
      <c r="BA20" s="6">
        <f>COUNTIFS(Table27[Country],Tabela1[[#This Row],[Country]],Table27[Mixed 4x400m Relay Classification],"&gt;0")</f>
        <v>0</v>
      </c>
      <c r="BB20" s="6">
        <f>COUNTIFS(Table4[Country],Tabela1[[#This Row],[Country]],Table4[Marathon Classification],"&gt;0")</f>
        <v>0</v>
      </c>
      <c r="BC20" s="6">
        <f>COUNTIFS(Table5[Country],Tabela1[[#This Row],[Country]],Table5[Marathon Classification],"&gt;0")</f>
        <v>0</v>
      </c>
      <c r="BD20" s="6">
        <f>COUNTIFS(Table4[Country],Tabela1[[#This Row],[Country]],Table4[20km Race Walk Classification],"&gt;0")</f>
        <v>0</v>
      </c>
      <c r="BE20" s="6">
        <f>COUNTIFS(Table5[Country],Tabela1[[#This Row],[Country]],Table5[20km Race Walk Classification],"&gt;0")</f>
        <v>0</v>
      </c>
      <c r="BF20" s="6">
        <f>COUNTIFS(Tabela96[Country],Tabela1[[#This Row],[Country]],Tabela96[Mixed Marathon Race Walk Relay Classification],"&gt;0")</f>
        <v>0</v>
      </c>
      <c r="BG20" s="6">
        <f>COUNTIFS(Table4[Country],Tabela1[[#This Row],[Country]],Table4[Discus Throw Classification],"&gt;0")</f>
        <v>1</v>
      </c>
      <c r="BH20" s="6">
        <f>COUNTIFS(Table5[Country],Tabela1[[#This Row],[Country]],Table5[Discus Throw Classification],"&gt;0")</f>
        <v>1</v>
      </c>
      <c r="BI20" s="6">
        <f>COUNTIFS(Table4[Country],Tabela1[[#This Row],[Country]],Table4[Hammer Throw Classification],"&gt;0")</f>
        <v>0</v>
      </c>
      <c r="BJ20" s="6">
        <f>COUNTIFS(Table5[Country],Tabela1[[#This Row],[Country]],Table5[Hammer Throw Classification],"&gt;0")</f>
        <v>0</v>
      </c>
      <c r="BK20" s="6">
        <f>COUNTIFS(Table4[Country],Tabela1[[#This Row],[Country]],Table4[High Jump Classification],"&gt;0")</f>
        <v>0</v>
      </c>
      <c r="BL20" s="6">
        <f>COUNTIFS(Table5[Country],Tabela1[[#This Row],[Country]],Table5[High Jump Classification],"&gt;0")</f>
        <v>0</v>
      </c>
      <c r="BM20" s="6">
        <f>COUNTIFS(Table4[Country],Tabela1[[#This Row],[Country]],Table4[Javelin Throw Classification],"&gt;0")</f>
        <v>0</v>
      </c>
      <c r="BN20" s="6">
        <f>COUNTIFS(Table5[Country],Tabela1[[#This Row],[Country]],Table5[Javelin Throw Classification],"&gt;0")</f>
        <v>0</v>
      </c>
      <c r="BO20" s="6">
        <f>COUNTIFS(Table4[Country],Tabela1[[#This Row],[Country]],Table4[Long Jump Classification],"&gt;0")</f>
        <v>0</v>
      </c>
      <c r="BP20" s="6">
        <f>COUNTIFS(Table5[Country],Tabela1[[#This Row],[Country]],Table5[Long Jump Classification],"&gt;0")</f>
        <v>0</v>
      </c>
      <c r="BQ20" s="6">
        <f>COUNTIFS(Table4[Country],Tabela1[[#This Row],[Country]],Table4[Pole Vault Classification],"&gt;0")</f>
        <v>0</v>
      </c>
      <c r="BR20" s="6">
        <f>COUNTIFS(Table5[Country],Tabela1[[#This Row],[Country]],Table5[Pole Vault Classification],"&gt;0")</f>
        <v>0</v>
      </c>
      <c r="BS20" s="6">
        <f>COUNTIFS(Table4[Country],Tabela1[[#This Row],[Country]],Table4[Shot Put Classification],"&gt;0")</f>
        <v>0</v>
      </c>
      <c r="BT20" s="6">
        <f>COUNTIFS(Table5[Country],Tabela1[[#This Row],[Country]],Table5[Shot Put Classification],"&gt;0")</f>
        <v>0</v>
      </c>
      <c r="BU20" s="6">
        <f>COUNTIFS(Table4[Country],Tabela1[[#This Row],[Country]],Table4[Triple Jump Classification],"&gt;0")</f>
        <v>0</v>
      </c>
      <c r="BV20" s="6">
        <f>COUNTIFS(Table5[Country],Tabela1[[#This Row],[Country]],Table5[Triple Jump Classification],"&gt;0")</f>
        <v>0</v>
      </c>
      <c r="BW20" s="6">
        <f>COUNTIFS(Table4[Country],Tabela1[[#This Row],[Country]],Table4[Decathlon Classification],"&gt;0")</f>
        <v>0</v>
      </c>
      <c r="BX20" s="6">
        <f>COUNTIFS(Table5[Country],Tabela1[[#This Row],[Country]],Table5[Heptathlon Classification],"&gt;0")</f>
        <v>0</v>
      </c>
      <c r="BY20" s="6">
        <f>COUNTIFS(Table61[Country],Tabela1[[#This Row],[Country]],Table61[Classification],"&gt;0")</f>
        <v>0</v>
      </c>
      <c r="BZ20" s="6">
        <f>COUNTIFS(Table38[Country],Tabela1[[#This Row],[Country]],Table38[Classification],"&gt;0")</f>
        <v>0</v>
      </c>
      <c r="CA20" s="6">
        <f>COUNTIFS(Table39[Country],Tabela1[[#This Row],[Country]],Table39[Men''s Classification],"&gt;0")</f>
        <v>0</v>
      </c>
      <c r="CB20" s="6">
        <f>COUNTIFS(Table39[Country],Tabela1[[#This Row],[Country]],Table39[Women''s Classification],"&gt;0")</f>
        <v>0</v>
      </c>
      <c r="CC20" s="6">
        <f>COUNTIFS(Table39[Country],Tabela1[[#This Row],[Country]],Table39[Mixed Classification],"&gt;0")</f>
        <v>0</v>
      </c>
      <c r="CD20" s="6">
        <f>COUNTIFS(Table89[Country],Tabela1[[#This Row],[Country]],Table89[Men''s Classification],"&gt;0")</f>
        <v>0</v>
      </c>
      <c r="CE20" s="6">
        <f>COUNTIFS(Table89[Country],Tabela1[[#This Row],[Country]],Table89[Women''s Classification],"&gt;0")</f>
        <v>0</v>
      </c>
      <c r="CF20" s="6">
        <f>COUNTIFS(Table90[Country],Tabela1[[#This Row],[Country]],Table90[Men''s Classification],"&gt;0")</f>
        <v>0</v>
      </c>
      <c r="CG20" s="6">
        <f>COUNTIFS(Table90[Country],Tabela1[[#This Row],[Country]],Table90[Women''s Classification],"&gt;0")</f>
        <v>0</v>
      </c>
      <c r="CH20" s="6">
        <f>COUNTIFS(Table60[Country],Tabela1[[#This Row],[Country]],Table60[Men''s Classification],"&gt;0")</f>
        <v>1</v>
      </c>
      <c r="CI20" s="6">
        <f>COUNTIFS(Table60[Country],Tabela1[[#This Row],[Country]],Table60[Women''s Classification],"&gt;0")</f>
        <v>0</v>
      </c>
      <c r="CJ20" s="6">
        <f>COUNTIFS(Table6[Country],Tabela1[[#This Row],[Country]],Table6[51kg Classification],"&gt;0")</f>
        <v>0</v>
      </c>
      <c r="CK20" s="6">
        <f>COUNTIFS(Table6[Country],Tabela1[[#This Row],[Country]],Table6[57kg Classification],"&gt;0")</f>
        <v>0</v>
      </c>
      <c r="CL20" s="6">
        <f>COUNTIFS(Table6[Country],Tabela1[[#This Row],[Country]],Table6[63.5kg Classification],"&gt;0")</f>
        <v>0</v>
      </c>
      <c r="CM20" s="6">
        <f>COUNTIFS(Table6[Country],Tabela1[[#This Row],[Country]],Table6[71kg Classification],"&gt;0")</f>
        <v>0</v>
      </c>
      <c r="CN20" s="6">
        <f>COUNTIFS(Table6[Country],Tabela1[[#This Row],[Country]],Table6[80kg Classification],"&gt;0")</f>
        <v>0</v>
      </c>
      <c r="CO20" s="6">
        <f>COUNTIFS(Table6[Country],Tabela1[[#This Row],[Country]],Table6[92kg Classification],"&gt;0")</f>
        <v>0</v>
      </c>
      <c r="CP20" s="6">
        <f>COUNTIFS(Table6[Country],Tabela1[[#This Row],[Country]],Table6[Plus 92kg Classification],"&gt;0")</f>
        <v>0</v>
      </c>
      <c r="CQ20" s="6">
        <f>COUNTIFS(Table7[Country],Tabela1[[#This Row],[Country]],Table7[50kg Classification],"&gt;0")</f>
        <v>0</v>
      </c>
      <c r="CR20" s="6">
        <f>COUNTIFS(Table7[Country],Tabela1[[#This Row],[Country]],Table7[54kg Classification],"&gt;0")</f>
        <v>0</v>
      </c>
      <c r="CS20" s="6">
        <f>COUNTIFS(Table7[Country],Tabela1[[#This Row],[Country]],Table7[57kg Classification],"&gt;0")</f>
        <v>0</v>
      </c>
      <c r="CT20" s="6">
        <f>COUNTIFS(Table7[Country],Tabela1[[#This Row],[Country]],Table7[60kg Classification],"&gt;0")</f>
        <v>1</v>
      </c>
      <c r="CU20" s="6">
        <f>COUNTIFS(Table7[Country],Tabela1[[#This Row],[Country]],Table7[66kg Classification],"&gt;0")</f>
        <v>0</v>
      </c>
      <c r="CV20" s="6">
        <f>COUNTIFS(Table7[Country],Tabela1[[#This Row],[Country]],Table7[75kg Classification],"&gt;0")</f>
        <v>0</v>
      </c>
      <c r="CW20" s="6">
        <f>COUNTIFS(Tabela94[Country],Tabela1[[#This Row],[Country]],Tabela94[Classification],"&gt;0")</f>
        <v>0</v>
      </c>
      <c r="CX20" s="6">
        <f>COUNTIFS(Tabela9499[Country],Tabela1[[#This Row],[Country]],Tabela9499[Classification],"&gt;0")</f>
        <v>0</v>
      </c>
      <c r="CY20" s="6">
        <f>COUNTIFS(Tabela107[Country],Tabela1[[#This Row],[Country]],Tabela107[C1 Slalom Classification],"&gt;0")</f>
        <v>0</v>
      </c>
      <c r="CZ20" s="6">
        <f>COUNTIFS(Tabela107122[Country],Tabela1[[#This Row],[Country]],Tabela107122[C1 Slalom Classification],"&gt;0")</f>
        <v>0</v>
      </c>
      <c r="DA20" s="6">
        <f>COUNTIFS(Tabela107[Country],Tabela1[[#This Row],[Country]],Tabela107[K1 Slalom Classification],"&gt;0")</f>
        <v>1</v>
      </c>
      <c r="DB20" s="6">
        <f>COUNTIFS(Tabela107122[Country],Tabela1[[#This Row],[Country]],Tabela107122[K1 Slalom Classification],"&gt;0")</f>
        <v>0</v>
      </c>
      <c r="DC20" s="6">
        <f>COUNTIFS(Tabela107[Country],Tabela1[[#This Row],[Country]],Tabela107[Kayak Cross Slalom Classification],"&gt;0")</f>
        <v>1</v>
      </c>
      <c r="DD20" s="6">
        <f>COUNTIFS(Tabela107122[Country],Tabela1[[#This Row],[Country]],Tabela107122[Kayak Cross Slalom Classification],"&gt;0")</f>
        <v>0</v>
      </c>
      <c r="DE20" s="6">
        <f>COUNTIFS(Table8[Country],Tabela1[[#This Row],[Country]],Table8[C1 200m Classification],"&gt;0")</f>
        <v>0</v>
      </c>
      <c r="DF20" s="6">
        <f>COUNTIFS(Table40[Country],Tabela1[[#This Row],[Country]],Table40[C1 1000m Classification],"&gt;0")</f>
        <v>0</v>
      </c>
      <c r="DG20" s="6">
        <f>COUNTIFS(Table68[Country],Tabela1[[#This Row],[Country]],Table68[Men''s C2 500m Classification],"&gt;0")</f>
        <v>0</v>
      </c>
      <c r="DH20" s="6">
        <f>COUNTIFS(Table68[Country],Tabela1[[#This Row],[Country]],Table68[Women''s C2 500m Classification],"&gt;0")</f>
        <v>0</v>
      </c>
      <c r="DI20" s="6">
        <f>COUNTIFS(Table8[Country],Tabela1[[#This Row],[Country]],Table8[K1 500m Classification],"&gt;0")</f>
        <v>1</v>
      </c>
      <c r="DJ20" s="6">
        <f>COUNTIFS(Table40[Country],Tabela1[[#This Row],[Country]],Table40[K1 1000m Classification],"&gt;0")</f>
        <v>0</v>
      </c>
      <c r="DK20" s="6">
        <f>COUNTIFS(Table68[Country],Tabela1[[#This Row],[Country]],Table68[Men''s K2 500m Classification],"&gt;0")</f>
        <v>0</v>
      </c>
      <c r="DL20" s="6">
        <f>COUNTIFS(Table68[Country],Tabela1[[#This Row],[Country]],Table68[Women''s K2 500m Classification],"&gt;0")</f>
        <v>1</v>
      </c>
      <c r="DM20" s="6">
        <f>COUNTIFS(Table83[Country],Tabela1[[#This Row],[Country]],Table83[Men''s K4 500m Classification],"&gt;0")</f>
        <v>0</v>
      </c>
      <c r="DN20" s="6">
        <f>COUNTIFS(Table83[Country],Tabela1[[#This Row],[Country]],Table83[Women''s K4 500m Classification],"&gt;0")</f>
        <v>0</v>
      </c>
      <c r="DO20" s="6">
        <f>COUNTIFS(Tabela126[Country],Tabela1[[#This Row],[Country]],Tabela126[Classification],"&gt;0")</f>
        <v>0</v>
      </c>
      <c r="DP20" s="6">
        <f>COUNTIFS(Tabela126130[Country],Tabela1[[#This Row],[Country]],Tabela126130[Classification],"&gt;0")</f>
        <v>0</v>
      </c>
      <c r="DQ20" s="6">
        <f>COUNTIFS(Table70[Country],Tabela1[[#This Row],[Country]],Table70[Classification],"&gt;0")</f>
        <v>0</v>
      </c>
      <c r="DR20" s="6">
        <f>COUNTIFS(Table80[Country],Tabela1[[#This Row],[Country]],Table80[Classification],"&gt;0")</f>
        <v>0</v>
      </c>
      <c r="DS20" s="6">
        <f>COUNTIFS(Table66[Country],Tabela1[[#This Row],[Country]],Table66[Classification],"&gt;0")</f>
        <v>0</v>
      </c>
      <c r="DT20" s="6">
        <f>COUNTIFS(Table67[Country],Tabela1[[#This Row],[Country]],Table67[Classification],"&gt;0")</f>
        <v>0</v>
      </c>
      <c r="DU20" s="6">
        <f>COUNTIFS(Table69[Country],Tabela1[[#This Row],[Country]],Table69[Keirin Classification],"&gt;0")</f>
        <v>0</v>
      </c>
      <c r="DV20" s="6">
        <f>COUNTIFS(Table41[Country],Tabela1[[#This Row],[Country]],Table41[Keirin Classification],"&gt;0")</f>
        <v>0</v>
      </c>
      <c r="DW20" s="6">
        <f>COUNTIFS(Table84[Country],Tabela1[[#This Row],[Country]],Table84[Men''s Madison Classification],"&gt;0")</f>
        <v>0</v>
      </c>
      <c r="DX20" s="6">
        <f>COUNTIFS(Table84[Country],Tabela1[[#This Row],[Country]],Table84[Women''s Madison Classification],"&gt;0")</f>
        <v>0</v>
      </c>
      <c r="DY20" s="6">
        <f>COUNTIFS(Table69[Country],Tabela1[[#This Row],[Country]],Table69[Omnium Classification],"&gt;0")</f>
        <v>0</v>
      </c>
      <c r="DZ20" s="6">
        <f>COUNTIFS(Table41[Country],Tabela1[[#This Row],[Country]],Table41[Omnium Classification],"&gt;0")</f>
        <v>0</v>
      </c>
      <c r="EA20" s="6">
        <f>COUNTIFS(Table9[Country],Tabela1[[#This Row],[Country]],Table9[Road Race Classification],"&gt;0")</f>
        <v>0</v>
      </c>
      <c r="EB20" s="6">
        <f>COUNTIFS(Table14[Country],Tabela1[[#This Row],[Country]],Table14[Road Race Classification],"&gt;0")</f>
        <v>0</v>
      </c>
      <c r="EC20" s="6">
        <f>COUNTIFS(Table69[Country],Tabela1[[#This Row],[Country]],Table69[Sprint Classification],"&gt;0")</f>
        <v>0</v>
      </c>
      <c r="ED20" s="6">
        <f>COUNTIFS(Table41[Country],Tabela1[[#This Row],[Country]],Table41[Sprint Classification],"&gt;0")</f>
        <v>0</v>
      </c>
      <c r="EE20" s="6">
        <f>COUNTIFS(Table85[Country],Tabela1[[#This Row],[Country]],Table85[Men''s Sprint Classification],"&gt;0")</f>
        <v>0</v>
      </c>
      <c r="EF20" s="6">
        <f>COUNTIFS(Table85[Country],Tabela1[[#This Row],[Country]],Table85[Women''s Sprint Classification],"&gt;0")</f>
        <v>0</v>
      </c>
      <c r="EG20" s="6">
        <f>COUNTIFS(Table85[Country],Tabela1[[#This Row],[Country]],Table85[Men''s Pursuit Classification],"&gt;0")</f>
        <v>0</v>
      </c>
      <c r="EH20" s="6">
        <f>COUNTIFS(Table85[Country],Tabela1[[#This Row],[Country]],Table85[Women''s Pursuit Classification],"&gt;0")</f>
        <v>0</v>
      </c>
      <c r="EI20" s="6">
        <f>COUNTIFS(Table9[Country],Tabela1[[#This Row],[Country]],Table9[Time-Trial Classification],"&gt;0")</f>
        <v>0</v>
      </c>
      <c r="EJ20" s="6">
        <f>COUNTIFS(Table14[Country],Tabela1[[#This Row],[Country]],Table14[Time-Trial Classification],"&gt;0")</f>
        <v>0</v>
      </c>
      <c r="EK20" s="6">
        <f>COUNTIFS(Table42[Country],Tabela1[[#This Row],[Country]],Table42[Springboard Classification],"&gt;0")</f>
        <v>0</v>
      </c>
      <c r="EL20" s="6">
        <f>COUNTIFS(Table43[Country],Tabela1[[#This Row],[Country]],Table43[Springboard Classification],"&gt;0")</f>
        <v>0</v>
      </c>
      <c r="EM20" s="6">
        <f>COUNTIFS(Table42[Country],Tabela1[[#This Row],[Country]],Table42[Platform Classification],"&gt;0")</f>
        <v>0</v>
      </c>
      <c r="EN20" s="6">
        <f>COUNTIFS(Table43[Country],Tabela1[[#This Row],[Country]],Table43[Platform Classification],"&gt;0")</f>
        <v>0</v>
      </c>
      <c r="EO20" s="6">
        <f>COUNTIFS(Table86[Country],Tabela1[[#This Row],[Country]],Table86[Men''s Synchronized Springboard Classification],"&gt;0")</f>
        <v>0</v>
      </c>
      <c r="EP20" s="6">
        <f>COUNTIFS(Table86[Country],Tabela1[[#This Row],[Country]],Table86[Women''s Synchronized Springboard Classification],"&gt;0")</f>
        <v>0</v>
      </c>
      <c r="EQ20" s="6">
        <f>COUNTIFS(Table86[Country],Tabela1[[#This Row],[Country]],Table86[Men''s Synchronized Platform Classification],"&gt;0")</f>
        <v>0</v>
      </c>
      <c r="ER20" s="6">
        <f>COUNTIFS(Table86[Country],Tabela1[[#This Row],[Country]],Table86[Women''s Synchronized Platform Classification],"&gt;0")</f>
        <v>0</v>
      </c>
      <c r="ES20" s="6">
        <f>COUNTIFS(Table44[Country],Tabela1[[#This Row],[Country]],Table44[Dressage Classification],"&gt;0")</f>
        <v>2</v>
      </c>
      <c r="ET20" s="6">
        <f>COUNTIFS(Table45[Country],Tabela1[[#This Row],[Country]],Table45[Dressage Classification],"&gt;0")</f>
        <v>1</v>
      </c>
      <c r="EU20" s="6">
        <f>COUNTIFS(Table44[Country],Tabela1[[#This Row],[Country]],Table44[Eventing Classification],"&gt;0")</f>
        <v>1</v>
      </c>
      <c r="EV20" s="6">
        <f>COUNTIFS(Table45[Country],Tabela1[[#This Row],[Country]],Table45[Eventing Classification],"&gt;0")</f>
        <v>1</v>
      </c>
      <c r="EW20" s="6">
        <f>COUNTIFS(Table44[Country],Tabela1[[#This Row],[Country]],Table44[Jumping Classification],"&gt;0")</f>
        <v>0</v>
      </c>
      <c r="EX20" s="6">
        <f>COUNTIFS(Table45[Country],Tabela1[[#This Row],[Country]],Table45[Jumping Classification],"&gt;0")</f>
        <v>0</v>
      </c>
      <c r="EY20" s="6">
        <f>COUNTIFS(Table10[Country],Tabela1[[#This Row],[Country]],Table10[Épée Classification],"&gt;0")</f>
        <v>0</v>
      </c>
      <c r="EZ20" s="6">
        <f>COUNTIFS(Table11[Country],Tabela1[[#This Row],[Country]],Table11[Épée Classification],"&gt;0")</f>
        <v>0</v>
      </c>
      <c r="FA20" s="6">
        <f>COUNTIFS(Table46[Country],Tabela1[[#This Row],[Country]],Table46[Men''s Épée Classification],"&gt;0")</f>
        <v>0</v>
      </c>
      <c r="FB20" s="6">
        <f>COUNTIFS(Table46[Country],Tabela1[[#This Row],[Country]],Table46[Women''s Épée Classification],"&gt;0")</f>
        <v>0</v>
      </c>
      <c r="FC20" s="6">
        <f>COUNTIFS(Table10[Country],Tabela1[[#This Row],[Country]],Table10[Foil Classification],"&gt;0")</f>
        <v>0</v>
      </c>
      <c r="FD20" s="6">
        <f>COUNTIFS(Table11[Country],Tabela1[[#This Row],[Country]],Table11[Foil Classification],"&gt;0")</f>
        <v>0</v>
      </c>
      <c r="FE20" s="6">
        <f>COUNTIFS(Table46[Country],Tabela1[[#This Row],[Country]],Table46[Men''s Foil Classification],"&gt;0")</f>
        <v>0</v>
      </c>
      <c r="FF20" s="6">
        <f>COUNTIFS(Table46[Country],Tabela1[[#This Row],[Country]],Table46[Women''s Foil Classification],"&gt;0")</f>
        <v>0</v>
      </c>
      <c r="FG20" s="6">
        <f>COUNTIFS(Table10[Country],Tabela1[[#This Row],[Country]],Table10[Sabre Classification],"&gt;0")</f>
        <v>0</v>
      </c>
      <c r="FH20" s="6">
        <f>COUNTIFS(Table11[Country],Tabela1[[#This Row],[Country]],Table11[Sabre Classification],"&gt;0")</f>
        <v>0</v>
      </c>
      <c r="FI20" s="6">
        <f>COUNTIFS(Table46[Country],Tabela1[[#This Row],[Country]],Table46[Men''s Sabre Classification],"&gt;0")</f>
        <v>0</v>
      </c>
      <c r="FJ20" s="6">
        <f>COUNTIFS(Table46[Country],Tabela1[[#This Row],[Country]],Table46[Women''s Sabre Classification],"&gt;0")</f>
        <v>0</v>
      </c>
      <c r="FK20" s="6">
        <f>COUNTIFS(Table91[Country],Tabela1[[#This Row],[Country]],Table91[Men''s Classification],"&gt;0")</f>
        <v>0</v>
      </c>
      <c r="FL20" s="6">
        <f>COUNTIFS(Table91[Country],Tabela1[[#This Row],[Country]],Table91[Women''s Classification],"&gt;0")</f>
        <v>0</v>
      </c>
      <c r="FM20" s="6">
        <f>COUNTIFS(Table9194[Country],Tabela1[[#This Row],[Country]],Table9194[Men''s Classification],"&gt;0")</f>
        <v>0</v>
      </c>
      <c r="FN20" s="6">
        <f>COUNTIFS(Table9194[Country],Tabela1[[#This Row],[Country]],Table9194[Women''s Classification],"&gt;0")</f>
        <v>0</v>
      </c>
      <c r="FO20" s="6">
        <f>COUNTIFS(Table71[Country],Tabela1[[#This Row],[Country]],Table71[Classification],"&gt;0")</f>
        <v>1</v>
      </c>
      <c r="FP20" s="6">
        <f>COUNTIFS(Table62[Country],Tabela1[[#This Row],[Country]],Table62[Classification],"&gt;0")</f>
        <v>0</v>
      </c>
      <c r="FQ20" s="6">
        <f>COUNTIFS(Table47[Country],Tabela1[[#This Row],[Country]],Table47[All-Around Classification],"&gt;0")</f>
        <v>0</v>
      </c>
      <c r="FR20" s="6">
        <f>COUNTIFS(Table48[Country],Tabela1[[#This Row],[Country]],Table48[All-Around Classification],"&gt;0")</f>
        <v>0</v>
      </c>
      <c r="FS20" s="6">
        <f>COUNTIFS(Table81[Country],Tabela1[[#This Row],[Country]],Table81[Men''s All-Around Classification],"&gt;0")</f>
        <v>0</v>
      </c>
      <c r="FT20" s="6">
        <f>COUNTIFS(Table81[Country],Tabela1[[#This Row],[Country]],Table81[Women''s All-Around Classification],"&gt;0")</f>
        <v>0</v>
      </c>
      <c r="FU20" s="6">
        <f>COUNTIFS(Table48[Country],Tabela1[[#This Row],[Country]],Table48[Balance Beam Classification],"&gt;0")</f>
        <v>0</v>
      </c>
      <c r="FV20" s="6">
        <f>COUNTIFS(Table47[Country],Tabela1[[#This Row],[Country]],Table47[Floor Exercise Classification],"&gt;0")</f>
        <v>0</v>
      </c>
      <c r="FW20" s="6">
        <f>COUNTIFS(Table48[Country],Tabela1[[#This Row],[Country]],Table48[Floor Exercise Classification],"&gt;0")</f>
        <v>0</v>
      </c>
      <c r="FX20" s="6">
        <f>COUNTIFS(Table47[Country],Tabela1[[#This Row],[Country]],Table47[Horizontal Bar Classification],"&gt;0")</f>
        <v>0</v>
      </c>
      <c r="FY20" s="6">
        <f>COUNTIFS(Table47[Country],Tabela1[[#This Row],[Country]],Table47[Parallel Bars Classification],"&gt;0")</f>
        <v>0</v>
      </c>
      <c r="FZ20" s="6">
        <f>COUNTIFS(Table47[Country],Tabela1[[#This Row],[Country]],Table47[Pommel Horse Classification],"&gt;0")</f>
        <v>0</v>
      </c>
      <c r="GA20" s="6">
        <f>COUNTIFS(Table47[Country],Tabela1[[#This Row],[Country]],Table47[Rings Classification],"&gt;0")</f>
        <v>0</v>
      </c>
      <c r="GB20" s="6">
        <f>COUNTIFS(Tabela132[Country],Tabela1[[#This Row],[Country]],Tabela132[Classification],"&gt;0")</f>
        <v>0</v>
      </c>
      <c r="GC20" s="6">
        <f>COUNTIFS(Tabela139[Country],Tabela1[[#This Row],[Country]],Tabela139[Classification],"&gt;0")</f>
        <v>0</v>
      </c>
      <c r="GD20" s="6">
        <f>COUNTIFS(Table48[Country],Tabela1[[#This Row],[Country]],Table48[Uneven Bars Classification],"&gt;0")</f>
        <v>0</v>
      </c>
      <c r="GE20" s="6">
        <f>COUNTIFS(Table47[Country],Tabela1[[#This Row],[Country]],Table47[Vault Classification],"&gt;0")</f>
        <v>0</v>
      </c>
      <c r="GF20" s="6">
        <f>COUNTIFS(Table48[Country],Tabela1[[#This Row],[Country]],Table48[Vault Classification],"&gt;0")</f>
        <v>0</v>
      </c>
      <c r="GG20" s="6">
        <f>COUNTIFS(Table919496[Country],Tabela1[[#This Row],[Country]],Table919496[Men''s Classification],"&gt;0")</f>
        <v>1</v>
      </c>
      <c r="GH20" s="6">
        <f>COUNTIFS(Table919496[Country],Tabela1[[#This Row],[Country]],Table919496[Women''s Classification],"&gt;0")</f>
        <v>1</v>
      </c>
      <c r="GI20" s="6">
        <f>COUNTIFS(Table12[Country],Tabela1[[#This Row],[Country]],Table12[60kg Classification],"&gt;0")</f>
        <v>0</v>
      </c>
      <c r="GJ20" s="6">
        <f>COUNTIFS(Table12[Country],Tabela1[[#This Row],[Country]],Table12[66kg Classification],"&gt;0")</f>
        <v>0</v>
      </c>
      <c r="GK20" s="6">
        <f>COUNTIFS(Table12[Country],Tabela1[[#This Row],[Country]],Table12[73kg Classification],"&gt;0")</f>
        <v>0</v>
      </c>
      <c r="GL20" s="6">
        <f>COUNTIFS(Table12[Country],Tabela1[[#This Row],[Country]],Table12[81kg Classification],"&gt;0")</f>
        <v>0</v>
      </c>
      <c r="GM20" s="6">
        <f>COUNTIFS(Table12[Country],Tabela1[[#This Row],[Country]],Table12[90kg Classification],"&gt;0")</f>
        <v>1</v>
      </c>
      <c r="GN20" s="6">
        <f>COUNTIFS(Table12[Country],Tabela1[[#This Row],[Country]],Table12[100kg Classification],"&gt;0")</f>
        <v>0</v>
      </c>
      <c r="GO20" s="6">
        <f>COUNTIFS(Table12[Country],Tabela1[[#This Row],[Country]],Table12[Plus 100kg Classification],"&gt;0")</f>
        <v>0</v>
      </c>
      <c r="GP20" s="6">
        <f>COUNTIFS(Table13[Country],Tabela1[[#This Row],[Country]],Table13[48kg Classification],"&gt;0")</f>
        <v>1</v>
      </c>
      <c r="GQ20" s="6">
        <f>COUNTIFS(Table13[Country],Tabela1[[#This Row],[Country]],Table13[52kg Classification],"&gt;0")</f>
        <v>0</v>
      </c>
      <c r="GR20" s="6">
        <f>COUNTIFS(Table13[Country],Tabela1[[#This Row],[Country]],Table13[57kg Classification],"&gt;0")</f>
        <v>0</v>
      </c>
      <c r="GS20" s="6">
        <f>COUNTIFS(Table13[Country],Tabela1[[#This Row],[Country]],Table13[63kg Classification],"&gt;0")</f>
        <v>0</v>
      </c>
      <c r="GT20" s="6">
        <f>COUNTIFS(Table13[Country],Tabela1[[#This Row],[Country]],Table13[70kg Classification],"&gt;0")</f>
        <v>0</v>
      </c>
      <c r="GU20" s="6">
        <f>COUNTIFS(Table13[Country],Tabela1[[#This Row],[Country]],Table13[78kg Classification],"&gt;0")</f>
        <v>0</v>
      </c>
      <c r="GV20" s="6">
        <f>COUNTIFS(Table13[Country],Tabela1[[#This Row],[Country]],Table13[Plus 78kg Classification],"&gt;0")</f>
        <v>0</v>
      </c>
      <c r="GW20" s="6">
        <f>COUNTIFS(Table82[Country],Tabela1[[#This Row],[Country]],Table82[Mixed Classification],"&gt;0")</f>
        <v>0</v>
      </c>
      <c r="GX20" s="6">
        <f>COUNTIFS(Table51[Country],Tabela1[[#This Row],[Country]],Table51[Classification],"&gt;0")</f>
        <v>0</v>
      </c>
      <c r="GY20" s="6">
        <f>COUNTIFS(Table52[Country],Tabela1[[#This Row],[Country]],Table52[Classification],"&gt;0")</f>
        <v>0</v>
      </c>
      <c r="GZ20" s="6">
        <f>COUNTIFS(Table32[Country],Tabela1[[#This Row],[Country]],Table32[All-Around Classification],"&gt;0")</f>
        <v>0</v>
      </c>
      <c r="HA20" s="6">
        <f>COUNTIFS(Table49[Country],Tabela1[[#This Row],[Country]],Table49[All-Around Classification],"&gt;0")</f>
        <v>0</v>
      </c>
      <c r="HB20" s="6">
        <f>COUNTIFS(Table26[Country],Tabela1[[#This Row],[Country]],Table26[Single Sculls Classification],"&gt;0")</f>
        <v>0</v>
      </c>
      <c r="HC20" s="6">
        <f>COUNTIFS(Table63[Country],Tabela1[[#This Row],[Country]],Table63[Single Sculls Classification],"&gt;0")</f>
        <v>0</v>
      </c>
      <c r="HD20" s="6">
        <f>COUNTIFS(Table16[Country],Tabela1[[#This Row],[Country]],Table16[Men''s Double Sculls Classification],"&gt;0")</f>
        <v>0</v>
      </c>
      <c r="HE20" s="6">
        <f>COUNTIFS(Table16[Country],Tabela1[[#This Row],[Country]],Table16[Women''s Double Sculls Classification],"&gt;0")</f>
        <v>0</v>
      </c>
      <c r="HF20" s="6">
        <f>COUNTIFS(Table72[Country],Tabela1[[#This Row],[Country]],Table72[Men''s Quadruple Sculls Classification],"&gt;0")</f>
        <v>0</v>
      </c>
      <c r="HG20" s="6">
        <f>COUNTIFS(Table72[Country],Tabela1[[#This Row],[Country]],Table72[Women''s Quadruple Sculls Classification],"&gt;0")</f>
        <v>0</v>
      </c>
      <c r="HH20" s="6">
        <f>COUNTIFS(Table16[Country],Tabela1[[#This Row],[Country]],Table16[Men''s Coxless Pairs Classification],"&gt;0")</f>
        <v>0</v>
      </c>
      <c r="HI20" s="6">
        <f>COUNTIFS(Table16[Country],Tabela1[[#This Row],[Country]],Table16[Women''s Coxless Pairs Classification],"&gt;0")</f>
        <v>0</v>
      </c>
      <c r="HJ20" s="6">
        <f>COUNTIFS(Table72[Country],Tabela1[[#This Row],[Country]],Table72[Men''s Coxless Fours Classification],"&gt;0")</f>
        <v>0</v>
      </c>
      <c r="HK20" s="6">
        <f>COUNTIFS(Table72[Country],Tabela1[[#This Row],[Country]],Table72[Women''s Coxless Fours Classification],"&gt;0")</f>
        <v>0</v>
      </c>
      <c r="HL20" s="6">
        <f>COUNTIFS(Table72[Country],Tabela1[[#This Row],[Country]],Table72[Men''s Eights Classification],"&gt;0")</f>
        <v>0</v>
      </c>
      <c r="HM20" s="6">
        <f>COUNTIFS(Table72[Country],Tabela1[[#This Row],[Country]],Table72[Women''s Eights Classification],"&gt;0")</f>
        <v>0</v>
      </c>
      <c r="HN20" s="6">
        <f>COUNTIFS(Table16[Country],Tabela1[[#This Row],[Country]],Table16[Men''s Lwt. Double Sculls Classification],"&gt;0")</f>
        <v>0</v>
      </c>
      <c r="HO20" s="6">
        <f>COUNTIFS(Table16[Country],Tabela1[[#This Row],[Country]],Table16[Women''s Lwt. Double Sculls Classification],"&gt;0")</f>
        <v>0</v>
      </c>
      <c r="HP20" s="6">
        <f>COUNTIFS(Table91949698[Country],Tabela1[[#This Row],[Country]],Table91949698[Men''s Classification],"&gt;0")</f>
        <v>0</v>
      </c>
      <c r="HQ20" s="6">
        <f>COUNTIFS(Table91949698[Country],Tabela1[[#This Row],[Country]],Table91949698[Women''s Classification],"&gt;0")</f>
        <v>0</v>
      </c>
      <c r="HR20" s="6">
        <f>COUNTIFS(Table25[Country],Tabela1[[#This Row],[Country]],Table25[Mixed 470 Classification],"&gt;0")</f>
        <v>0</v>
      </c>
      <c r="HS20" s="6">
        <f>COUNTIFS(Table25[Country],Tabela1[[#This Row],[Country]],Table25[Men''s 49er Classification],"&gt;0")</f>
        <v>0</v>
      </c>
      <c r="HT20" s="6">
        <f>COUNTIFS(Table25[Country],Tabela1[[#This Row],[Country]],Table25[Women''s 49er FX Classification],"&gt;0")</f>
        <v>1</v>
      </c>
      <c r="HU20" s="6">
        <f>COUNTIFS(Table17[Country],Tabela1[[#This Row],[Country]],Table17[Formula Kite Classification],"&gt;0")</f>
        <v>0</v>
      </c>
      <c r="HV20" s="6">
        <f>COUNTIFS(Table18[Country],Tabela1[[#This Row],[Country]],Table18[Formula Kite Classification],"&gt;0")</f>
        <v>0</v>
      </c>
      <c r="HW20" s="6">
        <f>COUNTIFS(Table17[Country],Tabela1[[#This Row],[Country]],Table17[ILCA 7 Classification],"&gt;0")</f>
        <v>0</v>
      </c>
      <c r="HX20" s="6">
        <f>COUNTIFS(Table18[Country],Tabela1[[#This Row],[Country]],Table18[ILCA 6 Classification],"&gt;0")</f>
        <v>0</v>
      </c>
      <c r="HY20" s="6">
        <f>COUNTIFS(Table17[Country],Tabela1[[#This Row],[Country]],Table17[IQFoil Classification],"&gt;0")</f>
        <v>0</v>
      </c>
      <c r="HZ20" s="6">
        <f>COUNTIFS(Table18[Country],Tabela1[[#This Row],[Country]],Table18[IQFoil Classification],"&gt;0")</f>
        <v>1</v>
      </c>
      <c r="IA20" s="6">
        <f>COUNTIFS(Table25[Country],Tabela1[[#This Row],[Country]],Table25[Mixed Nacra 17 Classification],"&gt;0")</f>
        <v>1</v>
      </c>
      <c r="IB20" s="6">
        <f>COUNTIFS(Table53[Country],Tabela1[[#This Row],[Country]],Table53[10m Air Pistol Classification],"&gt;0")</f>
        <v>0</v>
      </c>
      <c r="IC20" s="6">
        <f>COUNTIFS(Table19[Country],Tabela1[[#This Row],[Country]],Table19[10m Air Pistol Classification],"&gt;0")</f>
        <v>0</v>
      </c>
      <c r="ID20" s="6">
        <f>COUNTIFS(Table54[Country],Tabela1[[#This Row],[Country]],Table54[Mixed 10m Air Pistol Team Classification],"&gt;0")</f>
        <v>0</v>
      </c>
      <c r="IE20" s="6">
        <f>COUNTIFS(Table53[Country],Tabela1[[#This Row],[Country]],Table53[10m Air Rifle Classification],"&gt;0")</f>
        <v>0</v>
      </c>
      <c r="IF20" s="6">
        <f>COUNTIFS(Table19[Country],Tabela1[[#This Row],[Country]],Table19[10m Air Rifle Classification],"&gt;0")</f>
        <v>0</v>
      </c>
      <c r="IG20" s="6">
        <f>COUNTIFS(Table54[Country],Tabela1[[#This Row],[Country]],Table54[Mixed 10m Air Rifle Team Classification],"&gt;0")</f>
        <v>0</v>
      </c>
      <c r="IH20" s="6">
        <f>COUNTIFS(Table53[Country],Tabela1[[#This Row],[Country]],Table53[25m Rapid Fire Pistol Classification],"&gt;0")</f>
        <v>0</v>
      </c>
      <c r="II20" s="6">
        <f>COUNTIFS(Table19[Country],Tabela1[[#This Row],[Country]],Table19[25m Pistol Classification],"&gt;0")</f>
        <v>0</v>
      </c>
      <c r="IJ20" s="6">
        <f>COUNTIFS(Table53[Country],Tabela1[[#This Row],[Country]],Table53[50m Rifle 3 Positions Classification],"&gt;0")</f>
        <v>0</v>
      </c>
      <c r="IK20" s="6">
        <f>COUNTIFS(Table19[Country],Tabela1[[#This Row],[Country]],Table19[50m Rifle 3 Positions Classification],"&gt;0")</f>
        <v>0</v>
      </c>
      <c r="IL20" s="6">
        <f>COUNTIFS(Table53[Country],Tabela1[[#This Row],[Country]],Table53[Skeet Classification],"&gt;0")</f>
        <v>0</v>
      </c>
      <c r="IM20" s="6">
        <f>COUNTIFS(Table19[Country],Tabela1[[#This Row],[Country]],Table19[Skeet Classification],"&gt;0")</f>
        <v>0</v>
      </c>
      <c r="IN20" s="6">
        <f>COUNTIFS(Table54[Country],Tabela1[[#This Row],[Country]],Table54[Mixed Skeet Team Classification],"&gt;0")</f>
        <v>0</v>
      </c>
      <c r="IO20" s="6">
        <f>COUNTIFS(Table53[Country],Tabela1[[#This Row],[Country]],Table53[Trap Classification],"&gt;0")</f>
        <v>0</v>
      </c>
      <c r="IP20" s="6">
        <f>COUNTIFS(Table19[Country],Tabela1[[#This Row],[Country]],Table19[Trap Classification],"&gt;0")</f>
        <v>0</v>
      </c>
      <c r="IQ20" s="6">
        <f>COUNTIFS(Table73[Country],Tabela1[[#This Row],[Country]],Table73[Park Classification],"&gt;0")</f>
        <v>0</v>
      </c>
      <c r="IR20" s="6">
        <f>COUNTIFS(Table74[Country],Tabela1[[#This Row],[Country]],Table74[Park Classification],"&gt;0")</f>
        <v>0</v>
      </c>
      <c r="IS20" s="6">
        <f>COUNTIFS(Table73[Country],Tabela1[[#This Row],[Country]],Table73[Street Classification],"&gt;0")</f>
        <v>0</v>
      </c>
      <c r="IT20" s="6">
        <f>COUNTIFS(Table74[Country],Tabela1[[#This Row],[Country]],Table74[Street Classification],"&gt;0")</f>
        <v>0</v>
      </c>
      <c r="IU20" s="6">
        <f>COUNTIFS(Table75[Country],Tabela1[[#This Row],[Country]],Table75[Boulder and Lead Classification],"&gt;0")</f>
        <v>0</v>
      </c>
      <c r="IV20" s="6">
        <f>COUNTIFS(Table76[Country],Tabela1[[#This Row],[Country]],Table76[Boulder and Lead Classification],"&gt;0")</f>
        <v>0</v>
      </c>
      <c r="IW20" s="6">
        <f>COUNTIFS(Table75[Country],Tabela1[[#This Row],[Country]],Table75[Speed Classification],"&gt;0")</f>
        <v>0</v>
      </c>
      <c r="IX20" s="6">
        <f>COUNTIFS(Table76[Country],Tabela1[[#This Row],[Country]],Table76[Speed Classification],"&gt;0")</f>
        <v>0</v>
      </c>
      <c r="IY20" s="6">
        <f>COUNTIFS(Table64[Country],Tabela1[[#This Row],[Country]],Table64[Shortboard Classification],"&gt;0")</f>
        <v>0</v>
      </c>
      <c r="IZ20" s="6">
        <f>COUNTIFS(Table77[Country],Tabela1[[#This Row],[Country]],Table77[Shortboard Classification],"&gt;0")</f>
        <v>0</v>
      </c>
      <c r="JA20" s="6">
        <f>COUNTIFS(Table20[Country],Tabela1[[#This Row],[Country]],Table20[50m Freestyle Classification],"&gt;0")</f>
        <v>0</v>
      </c>
      <c r="JB20" s="6">
        <f>COUNTIFS(Table21[Country],Tabela1[[#This Row],[Country]],Table21[50m Freestyle Classification],"&gt;0")</f>
        <v>2</v>
      </c>
      <c r="JC20" s="6">
        <f>COUNTIFS(Table20[Country],Tabela1[[#This Row],[Country]],Table20[100m Freestyle Classification],"&gt;0")</f>
        <v>0</v>
      </c>
      <c r="JD20" s="6">
        <f>COUNTIFS(Table21[Country],Tabela1[[#This Row],[Country]],Table21[100m Freestyle Classification],"&gt;0")</f>
        <v>2</v>
      </c>
      <c r="JE20" s="6">
        <f>COUNTIFS(Table20[Country],Tabela1[[#This Row],[Country]],Table20[200m Freestyle Classification],"&gt;0")</f>
        <v>0</v>
      </c>
      <c r="JF20" s="6">
        <f>COUNTIFS(Table21[Country],Tabela1[[#This Row],[Country]],Table21[200m Freestyle Classification],"&gt;0")</f>
        <v>0</v>
      </c>
      <c r="JG20" s="6">
        <f>COUNTIFS(Table20[Country],Tabela1[[#This Row],[Country]],Table20[400m Freestyle Classification],"&gt;0")</f>
        <v>0</v>
      </c>
      <c r="JH20" s="6">
        <f>COUNTIFS(Table21[Country],Tabela1[[#This Row],[Country]],Table21[400m Freestyle Classification],"&gt;0")</f>
        <v>0</v>
      </c>
      <c r="JI20" s="6">
        <f>COUNTIFS(Table20[Country],Tabela1[[#This Row],[Country]],Table20[800m Freestyle Classification],"&gt;0")</f>
        <v>0</v>
      </c>
      <c r="JJ20" s="6">
        <f>COUNTIFS(Table21[Country],Tabela1[[#This Row],[Country]],Table21[800m Freestyle Classification],"&gt;0")</f>
        <v>0</v>
      </c>
      <c r="JK20" s="6">
        <f>COUNTIFS(Table20[Country],Tabela1[[#This Row],[Country]],Table20[1500m Freestyle Classification],"&gt;0")</f>
        <v>0</v>
      </c>
      <c r="JL20" s="6">
        <f>COUNTIFS(Table21[Country],Tabela1[[#This Row],[Country]],Table21[1500m Freestyle Classification],"&gt;0")</f>
        <v>0</v>
      </c>
      <c r="JM20" s="6">
        <f>COUNTIFS(Table20[Country],Tabela1[[#This Row],[Country]],Table20[100m Backstroke Classification],"&gt;0")</f>
        <v>0</v>
      </c>
      <c r="JN20" s="6">
        <f>COUNTIFS(Table21[Country],Tabela1[[#This Row],[Country]],Table21[100m Backstroke Classification],"&gt;0")</f>
        <v>0</v>
      </c>
      <c r="JO20" s="6">
        <f>COUNTIFS(Table20[Country],Tabela1[[#This Row],[Country]],Table20[200m Backstroke Classification],"&gt;0")</f>
        <v>0</v>
      </c>
      <c r="JP20" s="6">
        <f>COUNTIFS(Table21[Country],Tabela1[[#This Row],[Country]],Table21[200m Backstroke Classification],"&gt;0")</f>
        <v>0</v>
      </c>
      <c r="JQ20" s="6">
        <f>COUNTIFS(Table20[Country],Tabela1[[#This Row],[Country]],Table20[100m Breaststroke Classification],"&gt;0")</f>
        <v>0</v>
      </c>
      <c r="JR20" s="6">
        <f>COUNTIFS(Table21[Country],Tabela1[[#This Row],[Country]],Table21[100m Breaststroke Classification],"&gt;0")</f>
        <v>0</v>
      </c>
      <c r="JS20" s="6">
        <f>COUNTIFS(Table20[Country],Tabela1[[#This Row],[Country]],Table20[200m Breaststroke Classification],"&gt;0")</f>
        <v>0</v>
      </c>
      <c r="JT20" s="6">
        <f>COUNTIFS(Table21[Country],Tabela1[[#This Row],[Country]],Table21[200m Breaststroke Classification],"&gt;0")</f>
        <v>0</v>
      </c>
      <c r="JU20" s="6">
        <f>COUNTIFS(Table20[Country],Tabela1[[#This Row],[Country]],Table20[100m Butterfly Classification],"&gt;0")</f>
        <v>0</v>
      </c>
      <c r="JV20" s="6">
        <f>COUNTIFS(Table21[Country],Tabela1[[#This Row],[Country]],Table21[100m Butterfly Classification],"&gt;0")</f>
        <v>0</v>
      </c>
      <c r="JW20" s="6">
        <f>COUNTIFS(Table20[Country],Tabela1[[#This Row],[Country]],Table20[200m Butterfly Classification],"&gt;0")</f>
        <v>0</v>
      </c>
      <c r="JX20" s="6">
        <f>COUNTIFS(Table21[Country],Tabela1[[#This Row],[Country]],Table21[200m Butterfly Classification],"&gt;0")</f>
        <v>0</v>
      </c>
      <c r="JY20" s="6">
        <f>COUNTIFS(Table20[Country],Tabela1[[#This Row],[Country]],Table20[200m Medley Classification],"&gt;0")</f>
        <v>0</v>
      </c>
      <c r="JZ20" s="6">
        <f>COUNTIFS(Table21[Country],Tabela1[[#This Row],[Country]],Table21[200m Medley Classification],"&gt;0")</f>
        <v>0</v>
      </c>
      <c r="KA20" s="6">
        <f>COUNTIFS(Table20[Country],Tabela1[[#This Row],[Country]],Table20[400m Medley Classification],"&gt;0")</f>
        <v>0</v>
      </c>
      <c r="KB20" s="6">
        <f>COUNTIFS(Table21[Country],Tabela1[[#This Row],[Country]],Table21[400m Medley Classification],"&gt;0")</f>
        <v>0</v>
      </c>
      <c r="KC20" s="6">
        <f>COUNTIFS(Table78[Country],Tabela1[[#This Row],[Country]],Table78[Men''s 4x100m Freestyle Relay Classification],"&gt;0")</f>
        <v>1</v>
      </c>
      <c r="KD20" s="6">
        <f>COUNTIFS(Table78[Country],Tabela1[[#This Row],[Country]],Table78[Women''s 4x100m Freestyle Relay Classification],"&gt;0")</f>
        <v>1</v>
      </c>
      <c r="KE20" s="6">
        <f>COUNTIFS(Table78[Country],Tabela1[[#This Row],[Country]],Table78[Men''s 4x200m Freestyle Relay Classification],"&gt;0")</f>
        <v>0</v>
      </c>
      <c r="KF20" s="6">
        <f>COUNTIFS(Table78[Country],Tabela1[[#This Row],[Country]],Table78[Women''s 4x200m Freestyle Relay Classification],"&gt;0")</f>
        <v>0</v>
      </c>
      <c r="KG20" s="6">
        <f>COUNTIFS(Table78[Country],Tabela1[[#This Row],[Country]],Table78[Men''s 4x100m Medley Relay Classification],"&gt;0")</f>
        <v>0</v>
      </c>
      <c r="KH20" s="6">
        <f>COUNTIFS(Table78[Country],Tabela1[[#This Row],[Country]],Table78[Women''s 4x100m Medley Relay Classification],"&gt;0")</f>
        <v>1</v>
      </c>
      <c r="KI20" s="6">
        <f>COUNTIFS(Table78[Country],Tabela1[[#This Row],[Country]],Table78[Mixed 4x100m Medley Relay Classification],"&gt;0")</f>
        <v>1</v>
      </c>
      <c r="KJ20" s="6">
        <f>COUNTIFS(Table20[Country],Tabela1[[#This Row],[Country]],Table20[10km Open Water Classification],"&gt;0")</f>
        <v>0</v>
      </c>
      <c r="KK20" s="6">
        <f>COUNTIFS(Table21[Country],Tabela1[[#This Row],[Country]],Table21[10km Open Water Classification],"&gt;0")</f>
        <v>0</v>
      </c>
      <c r="KL20" s="6">
        <f>COUNTIFS(Table22[Country],Tabela1[[#This Row],[Country]],Table22[Classification],"&gt;0")</f>
        <v>1</v>
      </c>
      <c r="KM20" s="6">
        <f>COUNTIFS(Table30[Country],Tabela1[[#This Row],[Country]],Table30[Classification],"&gt;0")</f>
        <v>1</v>
      </c>
      <c r="KN20" s="6">
        <f>COUNTIFS(Table55[Country],Tabela1[[#This Row],[Country]],Table55[Men''s Classification],"&gt;0")</f>
        <v>1</v>
      </c>
      <c r="KO20" s="6">
        <f>COUNTIFS(Table55[Country],Tabela1[[#This Row],[Country]],Table55[Women''s Classification],"&gt;0")</f>
        <v>1</v>
      </c>
      <c r="KP20" s="6">
        <f>COUNTIFS(Table56[Country],Tabela1[[#This Row],[Country]],Table56[Mixed Classification],"&gt;0")</f>
        <v>0</v>
      </c>
      <c r="KQ20" s="6">
        <f>COUNTIFS(Table29[Country],Tabela1[[#This Row],[Country]],Table29[58kg Classification],"&gt;0")</f>
        <v>0</v>
      </c>
      <c r="KR20" s="6">
        <f>COUNTIFS(Table29[Country],Tabela1[[#This Row],[Country]],Table29[68kg Classification],"&gt;0")</f>
        <v>0</v>
      </c>
      <c r="KS20" s="6">
        <f>COUNTIFS(Table29[Country],Tabela1[[#This Row],[Country]],Table29[80kg Classification],"&gt;0")</f>
        <v>0</v>
      </c>
      <c r="KT20" s="6">
        <f>COUNTIFS(Table29[Country],Tabela1[[#This Row],[Country]],Table29[Plus 80kg Classification],"&gt;0")</f>
        <v>0</v>
      </c>
      <c r="KU20" s="6">
        <f>COUNTIFS(Table34[Country],Tabela1[[#This Row],[Country]],Table34[49kg Classification],"&gt;0")</f>
        <v>0</v>
      </c>
      <c r="KV20" s="6">
        <f>COUNTIFS(Table34[Country],Tabela1[[#This Row],[Country]],Table34[57kg Classification],"&gt;0")</f>
        <v>0</v>
      </c>
      <c r="KW20" s="6">
        <f>COUNTIFS(Table34[Country],Tabela1[[#This Row],[Country]],Table34[67kg Classification],"&gt;0")</f>
        <v>0</v>
      </c>
      <c r="KX20" s="6">
        <f>COUNTIFS(Table34[Country],Tabela1[[#This Row],[Country]],Table34[Plus 67kg Classification],"&gt;0")</f>
        <v>0</v>
      </c>
      <c r="KY20" s="6">
        <f>COUNTIFS(Table57[Country],Tabela1[[#This Row],[Country]],Table57[Classification],"&gt;0")</f>
        <v>0</v>
      </c>
      <c r="KZ20" s="6">
        <f>COUNTIFS(Table58[Country],Tabela1[[#This Row],[Country]],Table58[Classification],"&gt;0")</f>
        <v>0</v>
      </c>
      <c r="LA20" s="6">
        <f>COUNTIFS(Table79[Country],Tabela1[[#This Row],[Country]],Table79[Men''s Classification],"&gt;0")</f>
        <v>0</v>
      </c>
      <c r="LB20" s="6">
        <f>COUNTIFS(Table79[Country],Tabela1[[#This Row],[Country]],Table79[Women''s Classification],"&gt;0")</f>
        <v>0</v>
      </c>
      <c r="LC20" s="6">
        <f>COUNTIFS(Table79[Country],Tabela1[[#This Row],[Country]],Table79[Mixed Classification],"&gt;0")</f>
        <v>0</v>
      </c>
      <c r="LD20" s="6">
        <f>COUNTIFS(Table65[Country],Tabela1[[#This Row],[Country]],Table65[Classification],"&gt;0")</f>
        <v>0</v>
      </c>
      <c r="LE20" s="6">
        <f>COUNTIFS(Table59[Country],Tabela1[[#This Row],[Country]],Table59[Classification],"&gt;0")</f>
        <v>1</v>
      </c>
      <c r="LF20" s="6">
        <f>COUNTIFS(Table87[Country],Tabela1[[#This Row],[Country]],Table87[Mixed Relay Classification],"&gt;0")</f>
        <v>0</v>
      </c>
      <c r="LG20" s="6">
        <f>COUNTIFS(Table91949698100[Country],Tabela1[[#This Row],[Country]],Table91949698100[Men''s Classification],"&gt;0")</f>
        <v>0</v>
      </c>
      <c r="LH20" s="6">
        <f>COUNTIFS(Table91949698100[Country],Tabela1[[#This Row],[Country]],Table91949698100[Women''s Classification],"&gt;0")</f>
        <v>0</v>
      </c>
      <c r="LI20" s="6">
        <f>COUNTIFS(Table91949698100102[Country],Tabela1[[#This Row],[Country]],Table91949698100102[Men''s Classification],"&gt;0")</f>
        <v>0</v>
      </c>
      <c r="LJ20" s="6">
        <f>COUNTIFS(Table91949698100102[Country],Tabela1[[#This Row],[Country]],Table91949698100102[Women''s Classification],"&gt;0")</f>
        <v>0</v>
      </c>
      <c r="LK20" s="6">
        <f>COUNTIFS(Table23[Country],Tabela1[[#This Row],[Country]],Table23[61kg Classification],"&gt;0")</f>
        <v>0</v>
      </c>
      <c r="LL20" s="6">
        <f>COUNTIFS(Table23[Country],Tabela1[[#This Row],[Country]],Table23[73kg Classification],"&gt;0")</f>
        <v>0</v>
      </c>
      <c r="LM20" s="6">
        <f>COUNTIFS(Table23[Country],Tabela1[[#This Row],[Country]],Table23[89kg Classification],"&gt;0")</f>
        <v>0</v>
      </c>
      <c r="LN20" s="6">
        <f>COUNTIFS(Table23[Country],Tabela1[[#This Row],[Country]],Table23[102kg Classification],"&gt;0")</f>
        <v>0</v>
      </c>
      <c r="LO20" s="6">
        <f>COUNTIFS(Table23[Country],Tabela1[[#This Row],[Country]],Table23[Plus 102kg Classification],"&gt;0")</f>
        <v>0</v>
      </c>
      <c r="LP20" s="6">
        <f>COUNTIFS(Table28[Country],Tabela1[[#This Row],[Country]],Table28[49kg Classification],"&gt;0")</f>
        <v>0</v>
      </c>
      <c r="LQ20" s="6">
        <f>COUNTIFS(Table28[Country],Tabela1[[#This Row],[Country]],Table28[59kg Classification],"&gt;0")</f>
        <v>0</v>
      </c>
      <c r="LR20" s="6">
        <f>COUNTIFS(Table28[Country],Tabela1[[#This Row],[Country]],Table28[71kg Classification],"&gt;0")</f>
        <v>0</v>
      </c>
      <c r="LS20" s="6">
        <f>COUNTIFS(Table28[Country],Tabela1[[#This Row],[Country]],Table28[81kg Classification],"&gt;0")</f>
        <v>0</v>
      </c>
      <c r="LT20" s="6">
        <f>COUNTIFS(Table28[Country],Tabela1[[#This Row],[Country]],Table28[Plus 81kg Classification],"&gt;0")</f>
        <v>0</v>
      </c>
      <c r="LU20" s="6">
        <f>COUNTIFS(Table24[Country],Tabela1[[#This Row],[Country]],Table24[Freestyle 57kg Classification],"&gt;0")</f>
        <v>0</v>
      </c>
      <c r="LV20" s="6">
        <f>COUNTIFS(Table24[Country],Tabela1[[#This Row],[Country]],Table24[Freestyle 65kg Classification],"&gt;0")</f>
        <v>0</v>
      </c>
      <c r="LW20" s="6">
        <f>COUNTIFS(Table24[Country],Tabela1[[#This Row],[Country]],Table24[Freestyle 74kg Classification],"&gt;0")</f>
        <v>0</v>
      </c>
      <c r="LX20" s="6">
        <f>COUNTIFS(Table24[Country],Tabela1[[#This Row],[Country]],Table24[Freestyle 86kg Classification],"&gt;0")</f>
        <v>0</v>
      </c>
      <c r="LY20" s="6">
        <f>COUNTIFS(Table24[Country],Tabela1[[#This Row],[Country]],Table24[Freestyle 97kg Classification],"&gt;0")</f>
        <v>0</v>
      </c>
      <c r="LZ20" s="6">
        <f>COUNTIFS(Table24[Country],Tabela1[[#This Row],[Country]],Table24[Freestyle 125kg Classification],"&gt;0")</f>
        <v>0</v>
      </c>
      <c r="MA20" s="6">
        <f>COUNTIFS(Table24[Country],Tabela1[[#This Row],[Country]],Table24[Greco-Roman 60kg Classification],"&gt;0")</f>
        <v>0</v>
      </c>
      <c r="MB20" s="6">
        <f>COUNTIFS(Table24[Country],Tabela1[[#This Row],[Country]],Table24[Greco-Roman 67kg Classification],"&gt;0")</f>
        <v>0</v>
      </c>
      <c r="MC20" s="6">
        <f>COUNTIFS(Table24[Country],Tabela1[[#This Row],[Country]],Table24[Greco-Roman 77kg Classification],"&gt;0")</f>
        <v>0</v>
      </c>
      <c r="MD20" s="6">
        <f>COUNTIFS(Table24[Country],Tabela1[[#This Row],[Country]],Table24[Greco-Roman 87kg Classification],"&gt;0")</f>
        <v>0</v>
      </c>
      <c r="ME20" s="6">
        <f>COUNTIFS(Table24[Country],Tabela1[[#This Row],[Country]],Table24[Greco-Roman 97kg Classification],"&gt;0")</f>
        <v>0</v>
      </c>
      <c r="MF20" s="6">
        <f>COUNTIFS(Table24[Country],Tabela1[[#This Row],[Country]],Table24[Greco-Roman 130kg Classification],"&gt;0")</f>
        <v>0</v>
      </c>
      <c r="MG20" s="6">
        <f>COUNTIFS(Table31[Country],Tabela1[[#This Row],[Country]],Table31[50kg Classification],"&gt;0")</f>
        <v>0</v>
      </c>
      <c r="MH20" s="6">
        <f>COUNTIFS(Table31[Country],Tabela1[[#This Row],[Country]],Table31[53kg Classification],"&gt;0")</f>
        <v>0</v>
      </c>
      <c r="MI20" s="6">
        <f>COUNTIFS(Table31[Country],Tabela1[[#This Row],[Country]],Table31[57kg Classification],"&gt;0")</f>
        <v>0</v>
      </c>
      <c r="MJ20" s="6">
        <f>COUNTIFS(Table31[Country],Tabela1[[#This Row],[Country]],Table31[62kg Classification],"&gt;0")</f>
        <v>0</v>
      </c>
      <c r="MK20" s="6">
        <f>COUNTIFS(Table31[Country],Tabela1[[#This Row],[Country]],Table31[68kg Classification],"&gt;0")</f>
        <v>0</v>
      </c>
      <c r="ML20" s="6">
        <f>COUNTIFS(Table31[Country],Tabela1[[#This Row],[Country]],Table31[76kg Classification],"&gt;0")</f>
        <v>0</v>
      </c>
      <c r="MM20" s="6">
        <f>COUNTIFS(Table102[Country],Tabela1[[#This Row],[Country]],Table102[Downhill Classification],"&gt;0")</f>
        <v>0</v>
      </c>
      <c r="MN20" s="6">
        <f>COUNTIFS(Table102105[Country],Tabela1[[#This Row],[Country]],Table102105[Downhill Classification],"&gt;0")</f>
        <v>0</v>
      </c>
      <c r="MO20" s="6">
        <f>COUNTIFS(Table102[Country],Tabela1[[#This Row],[Country]],Table102[Giant Slalom Classification],"&gt;0")</f>
        <v>1</v>
      </c>
      <c r="MP20" s="6">
        <f>COUNTIFS(Table102105[Country],Tabela1[[#This Row],[Country]],Table102105[Giant Slalom Classification],"&gt;0")</f>
        <v>1</v>
      </c>
      <c r="MQ20" s="6">
        <f>COUNTIFS(Table102[Country],Tabela1[[#This Row],[Country]],Table102[Slalom Classification],"&gt;0")</f>
        <v>1</v>
      </c>
      <c r="MR20" s="6">
        <f>COUNTIFS(Table102105[Country],Tabela1[[#This Row],[Country]],Table102105[Slalom Classification],"&gt;0")</f>
        <v>1</v>
      </c>
      <c r="MS20" s="6">
        <f>COUNTIFS(Table102[Country],Tabela1[[#This Row],[Country]],Table102[Super-G Classification],"&gt;0")</f>
        <v>0</v>
      </c>
      <c r="MT20" s="6">
        <f>COUNTIFS(Table102105[Country],Tabela1[[#This Row],[Country]],Table102105[Super-G Classification],"&gt;0")</f>
        <v>0</v>
      </c>
      <c r="MU20" s="6">
        <f>COUNTIFS(Table105[Country],Tabela1[[#This Row],[Country]],Table105[Men''s Combined Classification],"&gt;0")</f>
        <v>0</v>
      </c>
      <c r="MV20" s="6">
        <f>COUNTIFS(Table105[Country],Tabela1[[#This Row],[Country]],Table105[Women''s Combined Classification],"&gt;0")</f>
        <v>0</v>
      </c>
      <c r="MW20" s="6">
        <f>COUNTIFS(Table106[Country],Tabela1[[#This Row],[Country]],Table106[Individual Classification],"&gt;0")</f>
        <v>1</v>
      </c>
      <c r="MX20" s="6">
        <f>COUNTIFS(Table106109[Country],Tabela1[[#This Row],[Country]],Table106109[Individual Classification],"&gt;0")</f>
        <v>0</v>
      </c>
      <c r="MY20" s="6">
        <f>COUNTIFS(Table106[Country],Tabela1[[#This Row],[Country]],Table106[Mass Start Classification],"&gt;0")</f>
        <v>1</v>
      </c>
      <c r="MZ20" s="6">
        <f>COUNTIFS(Table106109[Country],Tabela1[[#This Row],[Country]],Table106109[Mass Start Classification],"&gt;0")</f>
        <v>0</v>
      </c>
      <c r="NA20" s="6">
        <f>COUNTIFS(Table106[Country],Tabela1[[#This Row],[Country]],Table106[Pursuit Classification],"&gt;0")</f>
        <v>1</v>
      </c>
      <c r="NB20" s="6">
        <f>COUNTIFS(Table106109[Country],Tabela1[[#This Row],[Country]],Table106109[Pursuit Classification],"&gt;0")</f>
        <v>0</v>
      </c>
      <c r="NC20" s="6">
        <f>COUNTIFS(Table106[Country],Tabela1[[#This Row],[Country]],Table106[Sprint Classification],"&gt;0")</f>
        <v>1</v>
      </c>
      <c r="ND20" s="6">
        <f>COUNTIFS(Table106109[Country],Tabela1[[#This Row],[Country]],Table106109[Sprint Classification],"&gt;0")</f>
        <v>0</v>
      </c>
      <c r="NE20" s="6">
        <f>COUNTIFS(Table109[Country],Tabela1[[#This Row],[Country]],Table109[Men''s Relay Classification],"&gt;0")</f>
        <v>1</v>
      </c>
      <c r="NF20" s="6">
        <f>COUNTIFS(Table109[Country],Tabela1[[#This Row],[Country]],Table109[Women''s Relay Classification],"&gt;0")</f>
        <v>0</v>
      </c>
      <c r="NG20" s="6">
        <f>COUNTIFS(Table109[Country],Tabela1[[#This Row],[Country]],Table109[Mixed Relay Classification],"&gt;0")</f>
        <v>1</v>
      </c>
      <c r="NH20" s="6">
        <f>COUNTIFS(Table110[Country],Tabela1[[#This Row],[Country]],Table110[Monobob Classification],"&gt;0")</f>
        <v>0</v>
      </c>
      <c r="NI20" s="6">
        <f>COUNTIFS(Table111[Country],Tabela1[[#This Row],[Country]],Table111[Men''s Classification],"&gt;0")</f>
        <v>0</v>
      </c>
      <c r="NJ20" s="6">
        <f>COUNTIFS(Table111[Country],Tabela1[[#This Row],[Country]],Table111[Women''s Classification],"&gt;0")</f>
        <v>0</v>
      </c>
      <c r="NK20" s="6">
        <f>COUNTIFS(Table112[Country],Tabela1[[#This Row],[Country]],Table112[Men''s Four Classification],"&gt;0")</f>
        <v>0</v>
      </c>
      <c r="NL20" s="6">
        <f>COUNTIFS(Table113[Country],Tabela1[[#This Row],[Country]],Table113[Classical Classification],"&gt;0")</f>
        <v>0</v>
      </c>
      <c r="NM20" s="6">
        <f>COUNTIFS(Table113116[Country],Tabela1[[#This Row],[Country]],Table113116[Classical Classification],"&gt;0")</f>
        <v>0</v>
      </c>
      <c r="NN20" s="6">
        <f>COUNTIFS(Table113[Country],Tabela1[[#This Row],[Country]],Table113[Freestyle Classification],"&gt;0")</f>
        <v>1</v>
      </c>
      <c r="NO20" s="6">
        <f>COUNTIFS(Table113116[Country],Tabela1[[#This Row],[Country]],Table113116[Freestyle Classification],"&gt;0")</f>
        <v>0</v>
      </c>
      <c r="NP20" s="6">
        <f>COUNTIFS(Table117[Country],Tabela1[[#This Row],[Country]],Table117[Men''s Relay Classification],"&gt;0")</f>
        <v>0</v>
      </c>
      <c r="NQ20" s="6">
        <f>COUNTIFS(Table117[Country],Tabela1[[#This Row],[Country]],Table117[Women''s Relay Classification],"&gt;0")</f>
        <v>1</v>
      </c>
      <c r="NR20" s="6">
        <f>COUNTIFS(Table113[Country],Tabela1[[#This Row],[Country]],Table113[Skiathlon Classification],"&gt;0")</f>
        <v>1</v>
      </c>
      <c r="NS20" s="6">
        <f>COUNTIFS(Table113116[Country],Tabela1[[#This Row],[Country]],Table113116[Skiathlon Classification],"&gt;0")</f>
        <v>1</v>
      </c>
      <c r="NT20" s="6">
        <f>COUNTIFS(Table113[Country],Tabela1[[#This Row],[Country]],Table113[Sprint Classification],"&gt;0")</f>
        <v>0</v>
      </c>
      <c r="NU20" s="6">
        <f>COUNTIFS(Table113116[Country],Tabela1[[#This Row],[Country]],Table113116[Sprint Classification],"&gt;0")</f>
        <v>2</v>
      </c>
      <c r="NV20" s="6">
        <f>COUNTIFS(Table116[Country],Tabela1[[#This Row],[Country]],Table116[Men''s Team Sprint Classification],"&gt;0")</f>
        <v>0</v>
      </c>
      <c r="NW20" s="6">
        <f>COUNTIFS(Table116[Country],Tabela1[[#This Row],[Country]],Table116[Women''s Team Sprint Classification],"&gt;0")</f>
        <v>1</v>
      </c>
      <c r="NX20" s="6">
        <f>COUNTIFS(Table119[Country],Tabela1[[#This Row],[Country]],Table119[Men''s Classification],"&gt;0")</f>
        <v>1</v>
      </c>
      <c r="NY20" s="6">
        <f>COUNTIFS(Table119[Country],Tabela1[[#This Row],[Country]],Table119[Women''s Classification],"&gt;0")</f>
        <v>1</v>
      </c>
      <c r="NZ20" s="6">
        <f>COUNTIFS(Table118[Country],Tabela1[[#This Row],[Country]],Table118[Mixed Classification],"&gt;0")</f>
        <v>1</v>
      </c>
      <c r="OA20" s="6">
        <f>COUNTIFS(Table120[Country],Tabela1[[#This Row],[Country]],Table120[Classification],"&gt;0")</f>
        <v>1</v>
      </c>
      <c r="OB20" s="6">
        <f>COUNTIFS(Table120123[Country],Tabela1[[#This Row],[Country]],Table120123[Classification],"&gt;0")</f>
        <v>0</v>
      </c>
      <c r="OC20" s="6">
        <f>COUNTIFS(Table123[Country],Tabela1[[#This Row],[Country]],Table123[Ice Dance Classification],"&gt;0")</f>
        <v>0</v>
      </c>
      <c r="OD20" s="6">
        <f>COUNTIFS(Table123[Country],Tabela1[[#This Row],[Country]],Table123[Pair Skating Classification],"&gt;0")</f>
        <v>0</v>
      </c>
      <c r="OE20" s="6">
        <f>COUNTIFS(Table124[Country],Tabela1[[#This Row],[Country]],Table124[Mixed Classification],"&gt;0")</f>
        <v>0</v>
      </c>
      <c r="OF20" s="6">
        <f>COUNTIFS(Table125[Country],Tabela1[[#This Row],[Country]],Table125[Aerials Classification],"&gt;0")</f>
        <v>0</v>
      </c>
      <c r="OG20" s="6">
        <f>COUNTIFS(Table125128[Country],Tabela1[[#This Row],[Country]],Table125128[Aerials Classification],"&gt;0")</f>
        <v>0</v>
      </c>
      <c r="OH20" s="6">
        <f>COUNTIFS(Table128[Country],Tabela1[[#This Row],[Country]],Table128[Mixed Aerials Classification],"&gt;0")</f>
        <v>0</v>
      </c>
      <c r="OI20" s="6">
        <f>COUNTIFS(Table125[Country],Tabela1[[#This Row],[Country]],Table125[Big Air Classification],"&gt;0")</f>
        <v>1</v>
      </c>
      <c r="OJ20" s="6">
        <f>COUNTIFS(Table125128[Country],Tabela1[[#This Row],[Country]],Table125128[Big Air Classification],"&gt;0")</f>
        <v>0</v>
      </c>
      <c r="OK20" s="6">
        <f>COUNTIFS(Table125[Country],Tabela1[[#This Row],[Country]],Table125[Dual Moguls Classification],"&gt;0")</f>
        <v>0</v>
      </c>
      <c r="OL20" s="6">
        <f>COUNTIFS(Table125128[Country],Tabela1[[#This Row],[Country]],Table125128[Dual Moguls Classification],"&gt;0")</f>
        <v>1</v>
      </c>
      <c r="OM20" s="6">
        <f>COUNTIFS(Table125[Country],Tabela1[[#This Row],[Country]],Table125[Halfpipe Classification],"&gt;0")</f>
        <v>0</v>
      </c>
      <c r="ON20" s="6">
        <f>COUNTIFS(Table125128[Country],Tabela1[[#This Row],[Country]],Table125128[Halfpipe Classification],"&gt;0")</f>
        <v>0</v>
      </c>
      <c r="OO20" s="6">
        <f>COUNTIFS(Table125[Country],Tabela1[[#This Row],[Country]],Table125[Moguls Classification],"&gt;0")</f>
        <v>0</v>
      </c>
      <c r="OP20" s="6">
        <f>COUNTIFS(Table125128[Country],Tabela1[[#This Row],[Country]],Table125128[Moguls Classification],"&gt;0")</f>
        <v>1</v>
      </c>
      <c r="OQ20" s="6">
        <f>COUNTIFS(Table125[Country],Tabela1[[#This Row],[Country]],Table125[Ski Cross Classification],"&gt;0")</f>
        <v>2</v>
      </c>
      <c r="OR20" s="6">
        <f>COUNTIFS(Table125128[Country],Tabela1[[#This Row],[Country]],Table125128[Ski Cross Classification],"&gt;0")</f>
        <v>1</v>
      </c>
      <c r="OS20" s="6">
        <f>COUNTIFS(Table125[Country],Tabela1[[#This Row],[Country]],Table125[Slopestyle Classification],"&gt;0")</f>
        <v>1</v>
      </c>
      <c r="OT20" s="6">
        <f>COUNTIFS(Table125128[Country],Tabela1[[#This Row],[Country]],Table125128[Slopestyle Classification],"&gt;0")</f>
        <v>0</v>
      </c>
      <c r="OU20" s="6">
        <f>COUNTIFS(Table119131[Country],Tabela1[[#This Row],[Country]],Table119131[Men''s Classification],"&gt;0")</f>
        <v>1</v>
      </c>
      <c r="OV20" s="6">
        <f>COUNTIFS(Table119131[Country],Tabela1[[#This Row],[Country]],Table119131[Women''s Classification],"&gt;0")</f>
        <v>1</v>
      </c>
      <c r="OW20" s="6">
        <f>COUNTIFS(Table131[Country],Tabela1[[#This Row],[Country]],Table131[Classification],"&gt;0")</f>
        <v>1</v>
      </c>
      <c r="OX20" s="6">
        <f>COUNTIFS(Table131134[Country],Tabela1[[#This Row],[Country]],Table131134[Classification],"&gt;0")</f>
        <v>1</v>
      </c>
      <c r="OY20" s="6">
        <f>COUNTIFS(Table134[Country],Tabela1[[#This Row],[Country]],Table134[Men''s Classification],"&gt;0")</f>
        <v>0</v>
      </c>
      <c r="OZ20" s="6">
        <f>COUNTIFS(Table134[Country],Tabela1[[#This Row],[Country]],Table134[Women''s Classification],"&gt;0")</f>
        <v>0</v>
      </c>
      <c r="PA20" s="6">
        <f>COUNTIFS(Table135[Country],Tabela1[[#This Row],[Country]],Table135[Mixed Relay Classification],"&gt;0")</f>
        <v>0</v>
      </c>
      <c r="PB20" s="6">
        <f>COUNTIFS(Table136[Country],Tabela1[[#This Row],[Country]],Table136[Individual Classification],"&gt;0")</f>
        <v>0</v>
      </c>
      <c r="PC20" s="6">
        <f>COUNTIFS(Table136[Country],Tabela1[[#This Row],[Country]],Table136[Sprint Classification],"&gt;0")</f>
        <v>0</v>
      </c>
      <c r="PD20" s="6">
        <f>COUNTIFS(Table137[Country],Tabela1[[#This Row],[Country]],Table137[Men''s Team Sprint Large Hill Classification],"&gt;0")</f>
        <v>0</v>
      </c>
      <c r="PE20" s="6">
        <f>COUNTIFS(Table138[Country],Tabela1[[#This Row],[Country]],Table138[500m Classification],"&gt;0")</f>
        <v>0</v>
      </c>
      <c r="PF20" s="6">
        <f>COUNTIFS(Table138141[Country],Tabela1[[#This Row],[Country]],Table138141[500m Classification],"&gt;0")</f>
        <v>0</v>
      </c>
      <c r="PG20" s="6">
        <f>COUNTIFS(Table138[Country],Tabela1[[#This Row],[Country]],Table138[1000m Classification],"&gt;0")</f>
        <v>0</v>
      </c>
      <c r="PH20" s="6">
        <f>COUNTIFS(Table138141[Country],Tabela1[[#This Row],[Country]],Table138141[1000m Classification],"&gt;0")</f>
        <v>0</v>
      </c>
      <c r="PI20" s="6">
        <f>COUNTIFS(Table138[Country],Tabela1[[#This Row],[Country]],Table138[1500m Classification],"&gt;0")</f>
        <v>0</v>
      </c>
      <c r="PJ20" s="6">
        <f>COUNTIFS(Table138141[Country],Tabela1[[#This Row],[Country]],Table138141[1500m Classification],"&gt;0")</f>
        <v>0</v>
      </c>
      <c r="PK20" s="6">
        <f>COUNTIFS(Table141[Country],Tabela1[[#This Row],[Country]],Table141[Men''s 5000m Relay Classification],"&gt;0")</f>
        <v>0</v>
      </c>
      <c r="PL20" s="6">
        <f>COUNTIFS(Table141[Country],Tabela1[[#This Row],[Country]],Table141[Women''s 3000m Relay Classification],"&gt;0")</f>
        <v>0</v>
      </c>
      <c r="PM20" s="6">
        <f>COUNTIFS(Table141[Country],Tabela1[[#This Row],[Country]],Table141[Mixed 2000m Relay Classification],"&gt;0")</f>
        <v>0</v>
      </c>
      <c r="PN20" s="6">
        <f>COUNTIFS(Table142[Country],Tabela1[[#This Row],[Country]],Table142[Classification],"&gt;0")</f>
        <v>0</v>
      </c>
      <c r="PO20" s="6">
        <f>COUNTIFS(Table142145[Country],Tabela1[[#This Row],[Country]],Table142145[Classification],"&gt;0")</f>
        <v>0</v>
      </c>
      <c r="PP20" s="6">
        <f>COUNTIFS(Tabela15[Country],Tabela1[[#This Row],[Country]],Tabela15[Mixed Team Classification],"&gt;0")</f>
        <v>0</v>
      </c>
      <c r="PQ20" s="6">
        <f>COUNTIFS(Table145[Country],Tabela1[[#This Row],[Country]],Table145[Large Hill Classification],"&gt;0")</f>
        <v>0</v>
      </c>
      <c r="PR20" s="6">
        <f>COUNTIFS(Table145[Country],Tabela1[[#This Row],[Country]],Table145[Normal Hill Classification],"&gt;0")</f>
        <v>0</v>
      </c>
      <c r="PS20" s="6">
        <f>COUNTIFS(Table145148[Country],Tabela1[[#This Row],[Country]],Table145148[Large Hill Classification],"&gt;0")</f>
        <v>0</v>
      </c>
      <c r="PT20" s="6">
        <f>COUNTIFS(Table145148[Country],Tabela1[[#This Row],[Country]],Table145148[Normal Hill Classification],"&gt;0")</f>
        <v>0</v>
      </c>
      <c r="PU20" s="6">
        <f>COUNTIFS(Table148[Country],Tabela1[[#This Row],[Country]],Table148[Men''s Super Team Classification],"&gt;0")</f>
        <v>0</v>
      </c>
      <c r="PV20" s="6">
        <f>COUNTIFS(Tabela114[Country],Tabela1[[#This Row],[Country]],Tabela114[Mixed Normal Hill Classification],"&gt;0")</f>
        <v>0</v>
      </c>
      <c r="PW20" s="6">
        <f>COUNTIFS(Tabela50[Country],Tabela1[[#This Row],[Country]],Tabela50[Sprint Classification],"&gt;0")</f>
        <v>0</v>
      </c>
      <c r="PX20" s="6">
        <f>COUNTIFS(Tabela50101[Country],Tabela1[[#This Row],[Country]],Tabela50101[Sprint Classification],"&gt;0")</f>
        <v>0</v>
      </c>
      <c r="PY20" s="6">
        <f>COUNTIFS(Tabela103[Country],Tabela1[[#This Row],[Country]],Tabela103[Mixed Relay Classification],"&gt;0")</f>
        <v>0</v>
      </c>
      <c r="PZ20" s="6">
        <f>COUNTIFS(Table149[Country],Tabela1[[#This Row],[Country]],Table149[Big Air Classification],"&gt;0")</f>
        <v>0</v>
      </c>
      <c r="QA20" s="6">
        <f>COUNTIFS(Table149152[Country],Tabela1[[#This Row],[Country]],Table149152[Big Air Classification],"&gt;0")</f>
        <v>0</v>
      </c>
      <c r="QB20" s="6">
        <f>COUNTIFS(Table149[Country],Tabela1[[#This Row],[Country]],Table149[Halfpipe Classification],"&gt;0")</f>
        <v>0</v>
      </c>
      <c r="QC20" s="6">
        <f>COUNTIFS(Table149152[Country],Tabela1[[#This Row],[Country]],Table149152[Halfpipe Classification],"&gt;0")</f>
        <v>0</v>
      </c>
      <c r="QD20" s="6">
        <f>COUNTIFS(Table149[Country],Tabela1[[#This Row],[Country]],Table149[Parallel Giant Slalom Classification],"&gt;0")</f>
        <v>0</v>
      </c>
      <c r="QE20" s="6">
        <f>COUNTIFS(Table149152[Country],Tabela1[[#This Row],[Country]],Table149152[Parallel Giant Slalom Classification],"&gt;0")</f>
        <v>0</v>
      </c>
      <c r="QF20" s="6">
        <f>COUNTIFS(Table149[Country],Tabela1[[#This Row],[Country]],Table149[Slopestyle Classification],"&gt;0")</f>
        <v>0</v>
      </c>
      <c r="QG20" s="6">
        <f>COUNTIFS(Table149152[Country],Tabela1[[#This Row],[Country]],Table149152[Slopestyle Classification],"&gt;0")</f>
        <v>0</v>
      </c>
      <c r="QH20" s="6">
        <f>COUNTIFS(Table149[Country],Tabela1[[#This Row],[Country]],Table149[Snowboard Cross Classification],"&gt;0")</f>
        <v>0</v>
      </c>
      <c r="QI20" s="6">
        <f>COUNTIFS(Table149152[Country],Tabela1[[#This Row],[Country]],Table149152[Snowboard Cross Classification],"&gt;0")</f>
        <v>0</v>
      </c>
      <c r="QJ20" s="6">
        <f>COUNTIFS(Table153[Country],Tabela1[[#This Row],[Country]],Table153[Mixed Team Snowboard Cross Classification],"&gt;0")</f>
        <v>0</v>
      </c>
      <c r="QK20" s="6">
        <f>COUNTIFS(Table154[Country],Tabela1[[#This Row],[Country]],Table154[500m Classification],"&gt;0")</f>
        <v>0</v>
      </c>
      <c r="QL20" s="6">
        <f>COUNTIFS(Table154157[Country],Tabela1[[#This Row],[Country]],Table154157[500m Classification],"&gt;0")</f>
        <v>0</v>
      </c>
      <c r="QM20" s="6">
        <f>COUNTIFS(Table154[Country],Tabela1[[#This Row],[Country]],Table154[1000m Classification],"&gt;0")</f>
        <v>0</v>
      </c>
      <c r="QN20" s="6">
        <f>COUNTIFS(Table154157[Country],Tabela1[[#This Row],[Country]],Table154157[1000m Classification],"&gt;0")</f>
        <v>0</v>
      </c>
      <c r="QO20" s="6">
        <f>COUNTIFS(Table154[Country],Tabela1[[#This Row],[Country]],Table154[1500m Classification],"&gt;0")</f>
        <v>0</v>
      </c>
      <c r="QP20" s="6">
        <f>COUNTIFS(Table154157[Country],Tabela1[[#This Row],[Country]],Table154157[1500m Classification],"&gt;0")</f>
        <v>0</v>
      </c>
      <c r="QQ20" s="6">
        <f>COUNTIFS(Table154157[Country],Tabela1[[#This Row],[Country]],Table154157[3000m Classification],"&gt;0")</f>
        <v>0</v>
      </c>
      <c r="QR20" s="6">
        <f>COUNTIFS(Table154[Country],Tabela1[[#This Row],[Country]],Table154[5000m Classification],"&gt;0")</f>
        <v>0</v>
      </c>
      <c r="QS20" s="6">
        <f>COUNTIFS(Table154157[Country],Tabela1[[#This Row],[Country]],Table154157[5000m Classification],"&gt;0")</f>
        <v>0</v>
      </c>
      <c r="QT20" s="6">
        <f>COUNTIFS(Table154[Country],Tabela1[[#This Row],[Country]],Table154[10000m Classification],"&gt;0")</f>
        <v>0</v>
      </c>
      <c r="QU20" s="6">
        <f>COUNTIFS(Table154[Country],Tabela1[[#This Row],[Country]],Table154[Mass Start Classification],"&gt;0")</f>
        <v>0</v>
      </c>
      <c r="QV20" s="6">
        <f>COUNTIFS(Table154157[Country],Tabela1[[#This Row],[Country]],Table154157[Mass Start Classification],"&gt;0")</f>
        <v>0</v>
      </c>
      <c r="QW20" s="6">
        <f>COUNTIFS(Table157[Country],Tabela1[[#This Row],[Country]],Table157[Men''s Pursuit Classification],"&gt;0")</f>
        <v>0</v>
      </c>
      <c r="QX20" s="6">
        <f>COUNTIFS(Table157[Country],Tabela1[[#This Row],[Country]],Table157[Women''s Pursuit Classification],"&gt;0")</f>
        <v>0</v>
      </c>
      <c r="QY20" s="3" t="s">
        <v>339</v>
      </c>
    </row>
    <row r="21" spans="1:467" x14ac:dyDescent="0.3">
      <c r="A21" s="6">
        <v>20</v>
      </c>
      <c r="B21" s="6" t="s">
        <v>726</v>
      </c>
      <c r="C21" t="e" vm="20">
        <f>IF(ISBLANK(Tabela1[[#This Row],[Image Link]]), "", _xlfn.IMAGE(Tabela1[[#This Row],[Image Link]],1,1))</f>
        <v>#VALUE!</v>
      </c>
      <c r="D21" s="6">
        <f>SUM(Tabela1[[#This Row],[Archery - Men''s Individual Recurve]:[Speed Skating - Women''s Team Pursuit]])</f>
        <v>67</v>
      </c>
      <c r="E21" s="6">
        <f>COUNTIF(Tabela1[[#This Row],[Archery - Men''s Individual Recurve]:[Speed Skating - Women''s Team Pursuit]],"&gt;0")</f>
        <v>55</v>
      </c>
      <c r="F21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21" s="6">
        <f>SUM(Tabela1[[#This Row],[Archery - Men''s Individual Recurve]:[Wrestling - Women''s Freestyle 76kg]])</f>
        <v>39</v>
      </c>
      <c r="H21" s="6">
        <f>SUM(Tabela1[[#This Row],[Alpine Skiing - Men''s Downhill]:[Speed Skating - Women''s Team Pursuit]])</f>
        <v>28</v>
      </c>
      <c r="I21" s="6">
        <f>Tabela1[[#This Row],[Summer Gold Medals]]+Tabela1[[#This Row],[Winter Gold Medals]]</f>
        <v>3</v>
      </c>
      <c r="J21" s="6">
        <f>Tabela1[[#This Row],[Summer Silver Medals]]+Tabela1[[#This Row],[Winter Silver Medals]]</f>
        <v>5</v>
      </c>
      <c r="K21" s="6">
        <f>Tabela1[[#This Row],[Summer Bronze Medals]]+Tabela1[[#This Row],[Winter Bronze Medals]]</f>
        <v>4</v>
      </c>
      <c r="L21" s="6">
        <f>SUM(Tabela1[[#This Row],[Total Gold Medals]:[Total Bronze Medals]])</f>
        <v>12</v>
      </c>
      <c r="M21" s="6">
        <v>3</v>
      </c>
      <c r="N21" s="6">
        <v>5</v>
      </c>
      <c r="O21" s="6">
        <v>4</v>
      </c>
      <c r="P21" s="6">
        <f>SUM(Tabela1[[#This Row],[Summer Gold Medals]:[Summer Bronze Medals]])</f>
        <v>12</v>
      </c>
      <c r="Q21" s="6"/>
      <c r="R21" s="6"/>
      <c r="S21" s="6"/>
      <c r="T21" s="6">
        <f>Tabela1[[#This Row],[Winter Gold Medals]]+Tabela1[[#This Row],[Winter Silver Medals]]+Tabela1[[#This Row],[Winter Bronze Medals]]</f>
        <v>0</v>
      </c>
      <c r="U21" s="7">
        <f>Tabela1[[#This Row],[Total Medals]]/Tabela1[[#This Row],[Total Quotas]]</f>
        <v>0.17910447761194029</v>
      </c>
      <c r="V21" s="6">
        <f>COUNTIFS(Table3[Country],Tabela1[[#This Row],[Country]],Table3[Recurve Classification],"&gt;0")</f>
        <v>1</v>
      </c>
      <c r="W21" s="6">
        <f>COUNTIFS(Table33[Country],Tabela1[[#This Row],[Country]],Table33[Recurve Classification],"&gt;0")</f>
        <v>0</v>
      </c>
      <c r="X21" s="6">
        <f>COUNTIFS(Table35[Country],Tabela1[[#This Row],[Country]],Table35[Men''s Team Recurve Classification],"&gt;0")</f>
        <v>0</v>
      </c>
      <c r="Y21" s="6">
        <f>COUNTIFS(Table35[Country],Tabela1[[#This Row],[Country]],Table35[Women''s Team Recurve Classification],"&gt;0")</f>
        <v>0</v>
      </c>
      <c r="Z21" s="6">
        <f>COUNTIFS(Tabela88[Country],Tabela1[[#This Row],[Country]],Tabela88[Mixed Team Recurve Classification],"&gt;0")</f>
        <v>1</v>
      </c>
      <c r="AA21" s="6">
        <f>COUNTIFS(Table36[Country],Tabela1[[#This Row],[Country]],Table36[Classification],"&gt;0")</f>
        <v>0</v>
      </c>
      <c r="AB21" s="6">
        <f>COUNTIFS(Table37[Country],Tabela1[[#This Row],[Country]],Table37[Classification],"&gt;0")</f>
        <v>0</v>
      </c>
      <c r="AC21" s="6">
        <f>COUNTIFS(Table4[Country],Tabela1[[#This Row],[Country]],Table4[100m Classification],"&gt;0")</f>
        <v>0</v>
      </c>
      <c r="AD21" s="6">
        <f>COUNTIFS(Table5[Country],Tabela1[[#This Row],[Country]],Table5[100m Classification],"&gt;0")</f>
        <v>0</v>
      </c>
      <c r="AE21" s="6">
        <f>COUNTIFS(Table4[Country],Tabela1[[#This Row],[Country]],Table4[200m Classification],"&gt;0")</f>
        <v>0</v>
      </c>
      <c r="AF21" s="6">
        <f>COUNTIFS(Table5[Country],Tabela1[[#This Row],[Country]],Table5[200m Classification],"&gt;0")</f>
        <v>0</v>
      </c>
      <c r="AG21" s="6">
        <f>COUNTIFS(Table4[Country],Tabela1[[#This Row],[Country]],Table4[400m Classification],"&gt;0")</f>
        <v>0</v>
      </c>
      <c r="AH21" s="6">
        <f>COUNTIFS(Table5[Country],Tabela1[[#This Row],[Country]],Table5[400m Classification],"&gt;0")</f>
        <v>0</v>
      </c>
      <c r="AI21" s="6">
        <f>COUNTIFS(Table4[Country],Tabela1[[#This Row],[Country]],Table4[800m Classification],"&gt;0")</f>
        <v>0</v>
      </c>
      <c r="AJ21" s="6">
        <f>COUNTIFS(Table5[Country],Tabela1[[#This Row],[Country]],Table5[800m Classification],"&gt;0")</f>
        <v>0</v>
      </c>
      <c r="AK21" s="6">
        <f>COUNTIFS(Table4[Country],Tabela1[[#This Row],[Country]],Table4[1500m Classification],"&gt;0")</f>
        <v>0</v>
      </c>
      <c r="AL21" s="6">
        <f>COUNTIFS(Table5[Country],Tabela1[[#This Row],[Country]],Table5[1500m Classification],"&gt;0")</f>
        <v>0</v>
      </c>
      <c r="AM21" s="6">
        <f>COUNTIFS(Table4[Country],Tabela1[[#This Row],[Country]],Table4[5000m Classification],"&gt;0")</f>
        <v>0</v>
      </c>
      <c r="AN21" s="6">
        <f>COUNTIFS(Table5[Country],Tabela1[[#This Row],[Country]],Table5[5000m Classification],"&gt;0")</f>
        <v>0</v>
      </c>
      <c r="AO21" s="6">
        <f>COUNTIFS(Table4[Country],Tabela1[[#This Row],[Country]],Table4[10000m Classification],"&gt;0")</f>
        <v>0</v>
      </c>
      <c r="AP21" s="6">
        <f>COUNTIFS(Table5[Country],Tabela1[[#This Row],[Country]],Table5[10000m Classification],"&gt;0")</f>
        <v>0</v>
      </c>
      <c r="AQ21" s="6">
        <f>COUNTIFS(Table4[Country],Tabela1[[#This Row],[Country]],Table4[110m Hurdles Classification],"&gt;0")</f>
        <v>0</v>
      </c>
      <c r="AR21" s="6">
        <f>COUNTIFS(Table5[Country],Tabela1[[#This Row],[Country]],Table5[100m Hurdles Classification],"&gt;0")</f>
        <v>0</v>
      </c>
      <c r="AS21" s="6">
        <f>COUNTIFS(Table4[Country],Tabela1[[#This Row],[Country]],Table4[400m Hurdles Classification],"&gt;0")</f>
        <v>0</v>
      </c>
      <c r="AT21" s="6">
        <f>COUNTIFS(Table5[Country],Tabela1[[#This Row],[Country]],Table5[400m Hurdles Classification],"&gt;0")</f>
        <v>1</v>
      </c>
      <c r="AU21" s="6">
        <f>COUNTIFS(Table4[Country],Tabela1[[#This Row],[Country]],Table4[3000m Steeplechase Classification],"&gt;0")</f>
        <v>0</v>
      </c>
      <c r="AV21" s="6">
        <f>COUNTIFS(Table5[Country],Tabela1[[#This Row],[Country]],Table5[3000m Steeplechase Classification],"&gt;0")</f>
        <v>0</v>
      </c>
      <c r="AW21" s="6">
        <f>COUNTIFS(Table27[Country],Tabela1[[#This Row],[Country]],Table27[Men''s 4x100m Relay Classification],"&gt;0")</f>
        <v>0</v>
      </c>
      <c r="AX21" s="6">
        <f>COUNTIFS(Table27[Country],Tabela1[[#This Row],[Country]],Table27[Women''s 4x100m Relay Classification],"&gt;0")</f>
        <v>0</v>
      </c>
      <c r="AY21" s="6">
        <f>COUNTIFS(Table27[Country],Tabela1[[#This Row],[Country]],Table27[Men''s 4x400m Relay Classification],"&gt;0")</f>
        <v>0</v>
      </c>
      <c r="AZ21" s="6">
        <f>COUNTIFS(Table27[Country],Tabela1[[#This Row],[Country]],Table27[Women''s 4x400m Relay Classification],"&gt;0")</f>
        <v>0</v>
      </c>
      <c r="BA21" s="6">
        <f>COUNTIFS(Table27[Country],Tabela1[[#This Row],[Country]],Table27[Mixed 4x400m Relay Classification],"&gt;0")</f>
        <v>0</v>
      </c>
      <c r="BB21" s="6">
        <f>COUNTIFS(Table4[Country],Tabela1[[#This Row],[Country]],Table4[Marathon Classification],"&gt;0")</f>
        <v>0</v>
      </c>
      <c r="BC21" s="6">
        <f>COUNTIFS(Table5[Country],Tabela1[[#This Row],[Country]],Table5[Marathon Classification],"&gt;0")</f>
        <v>0</v>
      </c>
      <c r="BD21" s="6">
        <f>COUNTIFS(Table4[Country],Tabela1[[#This Row],[Country]],Table4[20km Race Walk Classification],"&gt;0")</f>
        <v>0</v>
      </c>
      <c r="BE21" s="6">
        <f>COUNTIFS(Table5[Country],Tabela1[[#This Row],[Country]],Table5[20km Race Walk Classification],"&gt;0")</f>
        <v>0</v>
      </c>
      <c r="BF21" s="6">
        <f>COUNTIFS(Tabela96[Country],Tabela1[[#This Row],[Country]],Tabela96[Mixed Marathon Race Walk Relay Classification],"&gt;0")</f>
        <v>0</v>
      </c>
      <c r="BG21" s="6">
        <f>COUNTIFS(Table4[Country],Tabela1[[#This Row],[Country]],Table4[Discus Throw Classification],"&gt;0")</f>
        <v>0</v>
      </c>
      <c r="BH21" s="6">
        <f>COUNTIFS(Table5[Country],Tabela1[[#This Row],[Country]],Table5[Discus Throw Classification],"&gt;0")</f>
        <v>0</v>
      </c>
      <c r="BI21" s="6">
        <f>COUNTIFS(Table4[Country],Tabela1[[#This Row],[Country]],Table4[Hammer Throw Classification],"&gt;0")</f>
        <v>0</v>
      </c>
      <c r="BJ21" s="6">
        <f>COUNTIFS(Table5[Country],Tabela1[[#This Row],[Country]],Table5[Hammer Throw Classification],"&gt;0")</f>
        <v>0</v>
      </c>
      <c r="BK21" s="6">
        <f>COUNTIFS(Table4[Country],Tabela1[[#This Row],[Country]],Table4[High Jump Classification],"&gt;0")</f>
        <v>1</v>
      </c>
      <c r="BL21" s="6">
        <f>COUNTIFS(Table5[Country],Tabela1[[#This Row],[Country]],Table5[High Jump Classification],"&gt;0")</f>
        <v>1</v>
      </c>
      <c r="BM21" s="6">
        <f>COUNTIFS(Table4[Country],Tabela1[[#This Row],[Country]],Table4[Javelin Throw Classification],"&gt;0")</f>
        <v>0</v>
      </c>
      <c r="BN21" s="6">
        <f>COUNTIFS(Table5[Country],Tabela1[[#This Row],[Country]],Table5[Javelin Throw Classification],"&gt;0")</f>
        <v>0</v>
      </c>
      <c r="BO21" s="6">
        <f>COUNTIFS(Table4[Country],Tabela1[[#This Row],[Country]],Table4[Long Jump Classification],"&gt;0")</f>
        <v>0</v>
      </c>
      <c r="BP21" s="6">
        <f>COUNTIFS(Table5[Country],Tabela1[[#This Row],[Country]],Table5[Long Jump Classification],"&gt;0")</f>
        <v>0</v>
      </c>
      <c r="BQ21" s="6">
        <f>COUNTIFS(Table4[Country],Tabela1[[#This Row],[Country]],Table4[Pole Vault Classification],"&gt;0")</f>
        <v>0</v>
      </c>
      <c r="BR21" s="6">
        <f>COUNTIFS(Table5[Country],Tabela1[[#This Row],[Country]],Table5[Pole Vault Classification],"&gt;0")</f>
        <v>0</v>
      </c>
      <c r="BS21" s="6">
        <f>COUNTIFS(Table4[Country],Tabela1[[#This Row],[Country]],Table4[Shot Put Classification],"&gt;0")</f>
        <v>0</v>
      </c>
      <c r="BT21" s="6">
        <f>COUNTIFS(Table5[Country],Tabela1[[#This Row],[Country]],Table5[Shot Put Classification],"&gt;0")</f>
        <v>0</v>
      </c>
      <c r="BU21" s="6">
        <f>COUNTIFS(Table4[Country],Tabela1[[#This Row],[Country]],Table4[Triple Jump Classification],"&gt;0")</f>
        <v>0</v>
      </c>
      <c r="BV21" s="6">
        <f>COUNTIFS(Table5[Country],Tabela1[[#This Row],[Country]],Table5[Triple Jump Classification],"&gt;0")</f>
        <v>0</v>
      </c>
      <c r="BW21" s="6">
        <f>COUNTIFS(Table4[Country],Tabela1[[#This Row],[Country]],Table4[Decathlon Classification],"&gt;0")</f>
        <v>0</v>
      </c>
      <c r="BX21" s="6">
        <f>COUNTIFS(Table5[Country],Tabela1[[#This Row],[Country]],Table5[Heptathlon Classification],"&gt;0")</f>
        <v>0</v>
      </c>
      <c r="BY21" s="6">
        <f>COUNTIFS(Table61[Country],Tabela1[[#This Row],[Country]],Table61[Classification],"&gt;0")</f>
        <v>0</v>
      </c>
      <c r="BZ21" s="6">
        <f>COUNTIFS(Table38[Country],Tabela1[[#This Row],[Country]],Table38[Classification],"&gt;0")</f>
        <v>0</v>
      </c>
      <c r="CA21" s="6">
        <f>COUNTIFS(Table39[Country],Tabela1[[#This Row],[Country]],Table39[Men''s Classification],"&gt;0")</f>
        <v>0</v>
      </c>
      <c r="CB21" s="6">
        <f>COUNTIFS(Table39[Country],Tabela1[[#This Row],[Country]],Table39[Women''s Classification],"&gt;0")</f>
        <v>0</v>
      </c>
      <c r="CC21" s="6">
        <f>COUNTIFS(Table39[Country],Tabela1[[#This Row],[Country]],Table39[Mixed Classification],"&gt;0")</f>
        <v>0</v>
      </c>
      <c r="CD21" s="6">
        <f>COUNTIFS(Table89[Country],Tabela1[[#This Row],[Country]],Table89[Men''s Classification],"&gt;0")</f>
        <v>0</v>
      </c>
      <c r="CE21" s="6">
        <f>COUNTIFS(Table89[Country],Tabela1[[#This Row],[Country]],Table89[Women''s Classification],"&gt;0")</f>
        <v>0</v>
      </c>
      <c r="CF21" s="6">
        <f>COUNTIFS(Table90[Country],Tabela1[[#This Row],[Country]],Table90[Men''s Classification],"&gt;0")</f>
        <v>0</v>
      </c>
      <c r="CG21" s="6">
        <f>COUNTIFS(Table90[Country],Tabela1[[#This Row],[Country]],Table90[Women''s Classification],"&gt;0")</f>
        <v>0</v>
      </c>
      <c r="CH21" s="6">
        <f>COUNTIFS(Table60[Country],Tabela1[[#This Row],[Country]],Table60[Men''s Classification],"&gt;0")</f>
        <v>0</v>
      </c>
      <c r="CI21" s="6">
        <f>COUNTIFS(Table60[Country],Tabela1[[#This Row],[Country]],Table60[Women''s Classification],"&gt;0")</f>
        <v>0</v>
      </c>
      <c r="CJ21" s="6">
        <f>COUNTIFS(Table6[Country],Tabela1[[#This Row],[Country]],Table6[51kg Classification],"&gt;0")</f>
        <v>0</v>
      </c>
      <c r="CK21" s="6">
        <f>COUNTIFS(Table6[Country],Tabela1[[#This Row],[Country]],Table6[57kg Classification],"&gt;0")</f>
        <v>0</v>
      </c>
      <c r="CL21" s="6">
        <f>COUNTIFS(Table6[Country],Tabela1[[#This Row],[Country]],Table6[63.5kg Classification],"&gt;0")</f>
        <v>0</v>
      </c>
      <c r="CM21" s="6">
        <f>COUNTIFS(Table6[Country],Tabela1[[#This Row],[Country]],Table6[71kg Classification],"&gt;0")</f>
        <v>0</v>
      </c>
      <c r="CN21" s="6">
        <f>COUNTIFS(Table6[Country],Tabela1[[#This Row],[Country]],Table6[80kg Classification],"&gt;0")</f>
        <v>0</v>
      </c>
      <c r="CO21" s="6">
        <f>COUNTIFS(Table6[Country],Tabela1[[#This Row],[Country]],Table6[92kg Classification],"&gt;0")</f>
        <v>0</v>
      </c>
      <c r="CP21" s="6">
        <f>COUNTIFS(Table6[Country],Tabela1[[#This Row],[Country]],Table6[Plus 92kg Classification],"&gt;0")</f>
        <v>0</v>
      </c>
      <c r="CQ21" s="6">
        <f>COUNTIFS(Table7[Country],Tabela1[[#This Row],[Country]],Table7[50kg Classification],"&gt;0")</f>
        <v>0</v>
      </c>
      <c r="CR21" s="6">
        <f>COUNTIFS(Table7[Country],Tabela1[[#This Row],[Country]],Table7[54kg Classification],"&gt;0")</f>
        <v>0</v>
      </c>
      <c r="CS21" s="6">
        <f>COUNTIFS(Table7[Country],Tabela1[[#This Row],[Country]],Table7[57kg Classification],"&gt;0")</f>
        <v>0</v>
      </c>
      <c r="CT21" s="6">
        <f>COUNTIFS(Table7[Country],Tabela1[[#This Row],[Country]],Table7[60kg Classification],"&gt;0")</f>
        <v>0</v>
      </c>
      <c r="CU21" s="6">
        <f>COUNTIFS(Table7[Country],Tabela1[[#This Row],[Country]],Table7[66kg Classification],"&gt;0")</f>
        <v>0</v>
      </c>
      <c r="CV21" s="6">
        <f>COUNTIFS(Table7[Country],Tabela1[[#This Row],[Country]],Table7[75kg Classification],"&gt;0")</f>
        <v>0</v>
      </c>
      <c r="CW21" s="6">
        <f>COUNTIFS(Tabela94[Country],Tabela1[[#This Row],[Country]],Tabela94[Classification],"&gt;0")</f>
        <v>0</v>
      </c>
      <c r="CX21" s="6">
        <f>COUNTIFS(Tabela9499[Country],Tabela1[[#This Row],[Country]],Tabela9499[Classification],"&gt;0")</f>
        <v>0</v>
      </c>
      <c r="CY21" s="6">
        <f>COUNTIFS(Tabela107[Country],Tabela1[[#This Row],[Country]],Tabela107[C1 Slalom Classification],"&gt;0")</f>
        <v>0</v>
      </c>
      <c r="CZ21" s="6">
        <f>COUNTIFS(Tabela107122[Country],Tabela1[[#This Row],[Country]],Tabela107122[C1 Slalom Classification],"&gt;0")</f>
        <v>0</v>
      </c>
      <c r="DA21" s="6">
        <f>COUNTIFS(Tabela107[Country],Tabela1[[#This Row],[Country]],Tabela107[K1 Slalom Classification],"&gt;0")</f>
        <v>0</v>
      </c>
      <c r="DB21" s="6">
        <f>COUNTIFS(Tabela107122[Country],Tabela1[[#This Row],[Country]],Tabela107122[K1 Slalom Classification],"&gt;0")</f>
        <v>0</v>
      </c>
      <c r="DC21" s="6">
        <f>COUNTIFS(Tabela107[Country],Tabela1[[#This Row],[Country]],Tabela107[Kayak Cross Slalom Classification],"&gt;0")</f>
        <v>0</v>
      </c>
      <c r="DD21" s="6">
        <f>COUNTIFS(Tabela107122[Country],Tabela1[[#This Row],[Country]],Tabela107122[Kayak Cross Slalom Classification],"&gt;0")</f>
        <v>0</v>
      </c>
      <c r="DE21" s="6">
        <f>COUNTIFS(Table8[Country],Tabela1[[#This Row],[Country]],Table8[C1 200m Classification],"&gt;0")</f>
        <v>1</v>
      </c>
      <c r="DF21" s="6">
        <f>COUNTIFS(Table40[Country],Tabela1[[#This Row],[Country]],Table40[C1 1000m Classification],"&gt;0")</f>
        <v>0</v>
      </c>
      <c r="DG21" s="6">
        <f>COUNTIFS(Table68[Country],Tabela1[[#This Row],[Country]],Table68[Men''s C2 500m Classification],"&gt;0")</f>
        <v>0</v>
      </c>
      <c r="DH21" s="6">
        <f>COUNTIFS(Table68[Country],Tabela1[[#This Row],[Country]],Table68[Women''s C2 500m Classification],"&gt;0")</f>
        <v>1</v>
      </c>
      <c r="DI21" s="6">
        <f>COUNTIFS(Table8[Country],Tabela1[[#This Row],[Country]],Table8[K1 500m Classification],"&gt;0")</f>
        <v>0</v>
      </c>
      <c r="DJ21" s="6">
        <f>COUNTIFS(Table40[Country],Tabela1[[#This Row],[Country]],Table40[K1 1000m Classification],"&gt;0")</f>
        <v>0</v>
      </c>
      <c r="DK21" s="6">
        <f>COUNTIFS(Table68[Country],Tabela1[[#This Row],[Country]],Table68[Men''s K2 500m Classification],"&gt;0")</f>
        <v>0</v>
      </c>
      <c r="DL21" s="6">
        <f>COUNTIFS(Table68[Country],Tabela1[[#This Row],[Country]],Table68[Women''s K2 500m Classification],"&gt;0")</f>
        <v>0</v>
      </c>
      <c r="DM21" s="6">
        <f>COUNTIFS(Table83[Country],Tabela1[[#This Row],[Country]],Table83[Men''s K4 500m Classification],"&gt;0")</f>
        <v>0</v>
      </c>
      <c r="DN21" s="6">
        <f>COUNTIFS(Table83[Country],Tabela1[[#This Row],[Country]],Table83[Women''s K4 500m Classification],"&gt;0")</f>
        <v>0</v>
      </c>
      <c r="DO21" s="6">
        <f>COUNTIFS(Tabela126[Country],Tabela1[[#This Row],[Country]],Tabela126[Classification],"&gt;0")</f>
        <v>0</v>
      </c>
      <c r="DP21" s="6">
        <f>COUNTIFS(Tabela126130[Country],Tabela1[[#This Row],[Country]],Tabela126130[Classification],"&gt;0")</f>
        <v>0</v>
      </c>
      <c r="DQ21" s="6">
        <f>COUNTIFS(Table70[Country],Tabela1[[#This Row],[Country]],Table70[Classification],"&gt;0")</f>
        <v>0</v>
      </c>
      <c r="DR21" s="6">
        <f>COUNTIFS(Table80[Country],Tabela1[[#This Row],[Country]],Table80[Classification],"&gt;0")</f>
        <v>0</v>
      </c>
      <c r="DS21" s="6">
        <f>COUNTIFS(Table66[Country],Tabela1[[#This Row],[Country]],Table66[Classification],"&gt;0")</f>
        <v>0</v>
      </c>
      <c r="DT21" s="6">
        <f>COUNTIFS(Table67[Country],Tabela1[[#This Row],[Country]],Table67[Classification],"&gt;0")</f>
        <v>0</v>
      </c>
      <c r="DU21" s="6">
        <f>COUNTIFS(Table69[Country],Tabela1[[#This Row],[Country]],Table69[Keirin Classification],"&gt;0")</f>
        <v>0</v>
      </c>
      <c r="DV21" s="6">
        <f>COUNTIFS(Table41[Country],Tabela1[[#This Row],[Country]],Table41[Keirin Classification],"&gt;0")</f>
        <v>0</v>
      </c>
      <c r="DW21" s="6">
        <f>COUNTIFS(Table84[Country],Tabela1[[#This Row],[Country]],Table84[Men''s Madison Classification],"&gt;0")</f>
        <v>0</v>
      </c>
      <c r="DX21" s="6">
        <f>COUNTIFS(Table84[Country],Tabela1[[#This Row],[Country]],Table84[Women''s Madison Classification],"&gt;0")</f>
        <v>0</v>
      </c>
      <c r="DY21" s="6">
        <f>COUNTIFS(Table69[Country],Tabela1[[#This Row],[Country]],Table69[Omnium Classification],"&gt;0")</f>
        <v>0</v>
      </c>
      <c r="DZ21" s="6">
        <f>COUNTIFS(Table41[Country],Tabela1[[#This Row],[Country]],Table41[Omnium Classification],"&gt;0")</f>
        <v>0</v>
      </c>
      <c r="EA21" s="6">
        <f>COUNTIFS(Table9[Country],Tabela1[[#This Row],[Country]],Table9[Road Race Classification],"&gt;0")</f>
        <v>1</v>
      </c>
      <c r="EB21" s="6">
        <f>COUNTIFS(Table14[Country],Tabela1[[#This Row],[Country]],Table14[Road Race Classification],"&gt;0")</f>
        <v>0</v>
      </c>
      <c r="EC21" s="6">
        <f>COUNTIFS(Table69[Country],Tabela1[[#This Row],[Country]],Table69[Sprint Classification],"&gt;0")</f>
        <v>0</v>
      </c>
      <c r="ED21" s="6">
        <f>COUNTIFS(Table41[Country],Tabela1[[#This Row],[Country]],Table41[Sprint Classification],"&gt;0")</f>
        <v>0</v>
      </c>
      <c r="EE21" s="6">
        <f>COUNTIFS(Table85[Country],Tabela1[[#This Row],[Country]],Table85[Men''s Sprint Classification],"&gt;0")</f>
        <v>0</v>
      </c>
      <c r="EF21" s="6">
        <f>COUNTIFS(Table85[Country],Tabela1[[#This Row],[Country]],Table85[Women''s Sprint Classification],"&gt;0")</f>
        <v>0</v>
      </c>
      <c r="EG21" s="6">
        <f>COUNTIFS(Table85[Country],Tabela1[[#This Row],[Country]],Table85[Men''s Pursuit Classification],"&gt;0")</f>
        <v>0</v>
      </c>
      <c r="EH21" s="6">
        <f>COUNTIFS(Table85[Country],Tabela1[[#This Row],[Country]],Table85[Women''s Pursuit Classification],"&gt;0")</f>
        <v>0</v>
      </c>
      <c r="EI21" s="6">
        <f>COUNTIFS(Table9[Country],Tabela1[[#This Row],[Country]],Table9[Time-Trial Classification],"&gt;0")</f>
        <v>0</v>
      </c>
      <c r="EJ21" s="6">
        <f>COUNTIFS(Table14[Country],Tabela1[[#This Row],[Country]],Table14[Time-Trial Classification],"&gt;0")</f>
        <v>0</v>
      </c>
      <c r="EK21" s="6">
        <f>COUNTIFS(Table42[Country],Tabela1[[#This Row],[Country]],Table42[Springboard Classification],"&gt;0")</f>
        <v>0</v>
      </c>
      <c r="EL21" s="6">
        <f>COUNTIFS(Table43[Country],Tabela1[[#This Row],[Country]],Table43[Springboard Classification],"&gt;0")</f>
        <v>0</v>
      </c>
      <c r="EM21" s="6">
        <f>COUNTIFS(Table42[Country],Tabela1[[#This Row],[Country]],Table42[Platform Classification],"&gt;0")</f>
        <v>1</v>
      </c>
      <c r="EN21" s="6">
        <f>COUNTIFS(Table43[Country],Tabela1[[#This Row],[Country]],Table43[Platform Classification],"&gt;0")</f>
        <v>1</v>
      </c>
      <c r="EO21" s="6">
        <f>COUNTIFS(Table86[Country],Tabela1[[#This Row],[Country]],Table86[Men''s Synchronized Springboard Classification],"&gt;0")</f>
        <v>1</v>
      </c>
      <c r="EP21" s="6">
        <f>COUNTIFS(Table86[Country],Tabela1[[#This Row],[Country]],Table86[Women''s Synchronized Springboard Classification],"&gt;0")</f>
        <v>1</v>
      </c>
      <c r="EQ21" s="6">
        <f>COUNTIFS(Table86[Country],Tabela1[[#This Row],[Country]],Table86[Men''s Synchronized Platform Classification],"&gt;0")</f>
        <v>1</v>
      </c>
      <c r="ER21" s="6">
        <f>COUNTIFS(Table86[Country],Tabela1[[#This Row],[Country]],Table86[Women''s Synchronized Platform Classification],"&gt;0")</f>
        <v>1</v>
      </c>
      <c r="ES21" s="6">
        <f>COUNTIFS(Table44[Country],Tabela1[[#This Row],[Country]],Table44[Dressage Classification],"&gt;0")</f>
        <v>0</v>
      </c>
      <c r="ET21" s="6">
        <f>COUNTIFS(Table45[Country],Tabela1[[#This Row],[Country]],Table45[Dressage Classification],"&gt;0")</f>
        <v>0</v>
      </c>
      <c r="EU21" s="6">
        <f>COUNTIFS(Table44[Country],Tabela1[[#This Row],[Country]],Table44[Eventing Classification],"&gt;0")</f>
        <v>0</v>
      </c>
      <c r="EV21" s="6">
        <f>COUNTIFS(Table45[Country],Tabela1[[#This Row],[Country]],Table45[Eventing Classification],"&gt;0")</f>
        <v>0</v>
      </c>
      <c r="EW21" s="6">
        <f>COUNTIFS(Table44[Country],Tabela1[[#This Row],[Country]],Table44[Jumping Classification],"&gt;0")</f>
        <v>0</v>
      </c>
      <c r="EX21" s="6">
        <f>COUNTIFS(Table45[Country],Tabela1[[#This Row],[Country]],Table45[Jumping Classification],"&gt;0")</f>
        <v>0</v>
      </c>
      <c r="EY21" s="6">
        <f>COUNTIFS(Table10[Country],Tabela1[[#This Row],[Country]],Table10[Épée Classification],"&gt;0")</f>
        <v>0</v>
      </c>
      <c r="EZ21" s="6">
        <f>COUNTIFS(Table11[Country],Tabela1[[#This Row],[Country]],Table11[Épée Classification],"&gt;0")</f>
        <v>1</v>
      </c>
      <c r="FA21" s="6">
        <f>COUNTIFS(Table46[Country],Tabela1[[#This Row],[Country]],Table46[Men''s Épée Classification],"&gt;0")</f>
        <v>0</v>
      </c>
      <c r="FB21" s="6">
        <f>COUNTIFS(Table46[Country],Tabela1[[#This Row],[Country]],Table46[Women''s Épée Classification],"&gt;0")</f>
        <v>1</v>
      </c>
      <c r="FC21" s="6">
        <f>COUNTIFS(Table10[Country],Tabela1[[#This Row],[Country]],Table10[Foil Classification],"&gt;0")</f>
        <v>0</v>
      </c>
      <c r="FD21" s="6">
        <f>COUNTIFS(Table11[Country],Tabela1[[#This Row],[Country]],Table11[Foil Classification],"&gt;0")</f>
        <v>0</v>
      </c>
      <c r="FE21" s="6">
        <f>COUNTIFS(Table46[Country],Tabela1[[#This Row],[Country]],Table46[Men''s Foil Classification],"&gt;0")</f>
        <v>0</v>
      </c>
      <c r="FF21" s="6">
        <f>COUNTIFS(Table46[Country],Tabela1[[#This Row],[Country]],Table46[Women''s Foil Classification],"&gt;0")</f>
        <v>0</v>
      </c>
      <c r="FG21" s="6">
        <f>COUNTIFS(Table10[Country],Tabela1[[#This Row],[Country]],Table10[Sabre Classification],"&gt;0")</f>
        <v>0</v>
      </c>
      <c r="FH21" s="6">
        <f>COUNTIFS(Table11[Country],Tabela1[[#This Row],[Country]],Table11[Sabre Classification],"&gt;0")</f>
        <v>2</v>
      </c>
      <c r="FI21" s="6">
        <f>COUNTIFS(Table46[Country],Tabela1[[#This Row],[Country]],Table46[Men''s Sabre Classification],"&gt;0")</f>
        <v>0</v>
      </c>
      <c r="FJ21" s="6">
        <f>COUNTIFS(Table46[Country],Tabela1[[#This Row],[Country]],Table46[Women''s Sabre Classification],"&gt;0")</f>
        <v>1</v>
      </c>
      <c r="FK21" s="6">
        <f>COUNTIFS(Table91[Country],Tabela1[[#This Row],[Country]],Table91[Men''s Classification],"&gt;0")</f>
        <v>0</v>
      </c>
      <c r="FL21" s="6">
        <f>COUNTIFS(Table91[Country],Tabela1[[#This Row],[Country]],Table91[Women''s Classification],"&gt;0")</f>
        <v>0</v>
      </c>
      <c r="FM21" s="6">
        <f>COUNTIFS(Table9194[Country],Tabela1[[#This Row],[Country]],Table9194[Men''s Classification],"&gt;0")</f>
        <v>1</v>
      </c>
      <c r="FN21" s="6">
        <f>COUNTIFS(Table9194[Country],Tabela1[[#This Row],[Country]],Table9194[Women''s Classification],"&gt;0")</f>
        <v>0</v>
      </c>
      <c r="FO21" s="6">
        <f>COUNTIFS(Table71[Country],Tabela1[[#This Row],[Country]],Table71[Classification],"&gt;0")</f>
        <v>0</v>
      </c>
      <c r="FP21" s="6">
        <f>COUNTIFS(Table62[Country],Tabela1[[#This Row],[Country]],Table62[Classification],"&gt;0")</f>
        <v>0</v>
      </c>
      <c r="FQ21" s="6">
        <f>COUNTIFS(Table47[Country],Tabela1[[#This Row],[Country]],Table47[All-Around Classification],"&gt;0")</f>
        <v>1</v>
      </c>
      <c r="FR21" s="6">
        <f>COUNTIFS(Table48[Country],Tabela1[[#This Row],[Country]],Table48[All-Around Classification],"&gt;0")</f>
        <v>0</v>
      </c>
      <c r="FS21" s="6">
        <f>COUNTIFS(Table81[Country],Tabela1[[#This Row],[Country]],Table81[Men''s All-Around Classification],"&gt;0")</f>
        <v>1</v>
      </c>
      <c r="FT21" s="6">
        <f>COUNTIFS(Table81[Country],Tabela1[[#This Row],[Country]],Table81[Women''s All-Around Classification],"&gt;0")</f>
        <v>0</v>
      </c>
      <c r="FU21" s="6">
        <f>COUNTIFS(Table48[Country],Tabela1[[#This Row],[Country]],Table48[Balance Beam Classification],"&gt;0")</f>
        <v>0</v>
      </c>
      <c r="FV21" s="6">
        <f>COUNTIFS(Table47[Country],Tabela1[[#This Row],[Country]],Table47[Floor Exercise Classification],"&gt;0")</f>
        <v>1</v>
      </c>
      <c r="FW21" s="6">
        <f>COUNTIFS(Table48[Country],Tabela1[[#This Row],[Country]],Table48[Floor Exercise Classification],"&gt;0")</f>
        <v>0</v>
      </c>
      <c r="FX21" s="6">
        <f>COUNTIFS(Table47[Country],Tabela1[[#This Row],[Country]],Table47[Horizontal Bar Classification],"&gt;0")</f>
        <v>1</v>
      </c>
      <c r="FY21" s="6">
        <f>COUNTIFS(Table47[Country],Tabela1[[#This Row],[Country]],Table47[Parallel Bars Classification],"&gt;0")</f>
        <v>1</v>
      </c>
      <c r="FZ21" s="6">
        <f>COUNTIFS(Table47[Country],Tabela1[[#This Row],[Country]],Table47[Pommel Horse Classification],"&gt;0")</f>
        <v>1</v>
      </c>
      <c r="GA21" s="6">
        <f>COUNTIFS(Table47[Country],Tabela1[[#This Row],[Country]],Table47[Rings Classification],"&gt;0")</f>
        <v>1</v>
      </c>
      <c r="GB21" s="6">
        <f>COUNTIFS(Tabela132[Country],Tabela1[[#This Row],[Country]],Tabela132[Classification],"&gt;0")</f>
        <v>0</v>
      </c>
      <c r="GC21" s="6">
        <f>COUNTIFS(Tabela139[Country],Tabela1[[#This Row],[Country]],Tabela139[Classification],"&gt;0")</f>
        <v>0</v>
      </c>
      <c r="GD21" s="6">
        <f>COUNTIFS(Table48[Country],Tabela1[[#This Row],[Country]],Table48[Uneven Bars Classification],"&gt;0")</f>
        <v>0</v>
      </c>
      <c r="GE21" s="6">
        <f>COUNTIFS(Table47[Country],Tabela1[[#This Row],[Country]],Table47[Vault Classification],"&gt;0")</f>
        <v>0</v>
      </c>
      <c r="GF21" s="6">
        <f>COUNTIFS(Table48[Country],Tabela1[[#This Row],[Country]],Table48[Vault Classification],"&gt;0")</f>
        <v>0</v>
      </c>
      <c r="GG21" s="6">
        <f>COUNTIFS(Table919496[Country],Tabela1[[#This Row],[Country]],Table919496[Men''s Classification],"&gt;0")</f>
        <v>0</v>
      </c>
      <c r="GH21" s="6">
        <f>COUNTIFS(Table919496[Country],Tabela1[[#This Row],[Country]],Table919496[Women''s Classification],"&gt;0")</f>
        <v>0</v>
      </c>
      <c r="GI21" s="6">
        <f>COUNTIFS(Table12[Country],Tabela1[[#This Row],[Country]],Table12[60kg Classification],"&gt;0")</f>
        <v>0</v>
      </c>
      <c r="GJ21" s="6">
        <f>COUNTIFS(Table12[Country],Tabela1[[#This Row],[Country]],Table12[66kg Classification],"&gt;0")</f>
        <v>0</v>
      </c>
      <c r="GK21" s="6">
        <f>COUNTIFS(Table12[Country],Tabela1[[#This Row],[Country]],Table12[73kg Classification],"&gt;0")</f>
        <v>0</v>
      </c>
      <c r="GL21" s="6">
        <f>COUNTIFS(Table12[Country],Tabela1[[#This Row],[Country]],Table12[81kg Classification],"&gt;0")</f>
        <v>0</v>
      </c>
      <c r="GM21" s="6">
        <f>COUNTIFS(Table12[Country],Tabela1[[#This Row],[Country]],Table12[90kg Classification],"&gt;0")</f>
        <v>0</v>
      </c>
      <c r="GN21" s="6">
        <f>COUNTIFS(Table12[Country],Tabela1[[#This Row],[Country]],Table12[100kg Classification],"&gt;0")</f>
        <v>0</v>
      </c>
      <c r="GO21" s="6">
        <f>COUNTIFS(Table12[Country],Tabela1[[#This Row],[Country]],Table12[Plus 100kg Classification],"&gt;0")</f>
        <v>0</v>
      </c>
      <c r="GP21" s="6">
        <f>COUNTIFS(Table13[Country],Tabela1[[#This Row],[Country]],Table13[48kg Classification],"&gt;0")</f>
        <v>0</v>
      </c>
      <c r="GQ21" s="6">
        <f>COUNTIFS(Table13[Country],Tabela1[[#This Row],[Country]],Table13[52kg Classification],"&gt;0")</f>
        <v>0</v>
      </c>
      <c r="GR21" s="6">
        <f>COUNTIFS(Table13[Country],Tabela1[[#This Row],[Country]],Table13[57kg Classification],"&gt;0")</f>
        <v>0</v>
      </c>
      <c r="GS21" s="6">
        <f>COUNTIFS(Table13[Country],Tabela1[[#This Row],[Country]],Table13[63kg Classification],"&gt;0")</f>
        <v>0</v>
      </c>
      <c r="GT21" s="6">
        <f>COUNTIFS(Table13[Country],Tabela1[[#This Row],[Country]],Table13[70kg Classification],"&gt;0")</f>
        <v>0</v>
      </c>
      <c r="GU21" s="6">
        <f>COUNTIFS(Table13[Country],Tabela1[[#This Row],[Country]],Table13[78kg Classification],"&gt;0")</f>
        <v>0</v>
      </c>
      <c r="GV21" s="6">
        <f>COUNTIFS(Table13[Country],Tabela1[[#This Row],[Country]],Table13[Plus 78kg Classification],"&gt;0")</f>
        <v>0</v>
      </c>
      <c r="GW21" s="6">
        <f>COUNTIFS(Table82[Country],Tabela1[[#This Row],[Country]],Table82[Mixed Classification],"&gt;0")</f>
        <v>0</v>
      </c>
      <c r="GX21" s="6">
        <f>COUNTIFS(Table51[Country],Tabela1[[#This Row],[Country]],Table51[Classification],"&gt;0")</f>
        <v>0</v>
      </c>
      <c r="GY21" s="6">
        <f>COUNTIFS(Table52[Country],Tabela1[[#This Row],[Country]],Table52[Classification],"&gt;0")</f>
        <v>0</v>
      </c>
      <c r="GZ21" s="6">
        <f>COUNTIFS(Table32[Country],Tabela1[[#This Row],[Country]],Table32[All-Around Classification],"&gt;0")</f>
        <v>0</v>
      </c>
      <c r="HA21" s="6">
        <f>COUNTIFS(Table49[Country],Tabela1[[#This Row],[Country]],Table49[All-Around Classification],"&gt;0")</f>
        <v>1</v>
      </c>
      <c r="HB21" s="6">
        <f>COUNTIFS(Table26[Country],Tabela1[[#This Row],[Country]],Table26[Single Sculls Classification],"&gt;0")</f>
        <v>0</v>
      </c>
      <c r="HC21" s="6">
        <f>COUNTIFS(Table63[Country],Tabela1[[#This Row],[Country]],Table63[Single Sculls Classification],"&gt;0")</f>
        <v>0</v>
      </c>
      <c r="HD21" s="6">
        <f>COUNTIFS(Table16[Country],Tabela1[[#This Row],[Country]],Table16[Men''s Double Sculls Classification],"&gt;0")</f>
        <v>0</v>
      </c>
      <c r="HE21" s="6">
        <f>COUNTIFS(Table16[Country],Tabela1[[#This Row],[Country]],Table16[Women''s Double Sculls Classification],"&gt;0")</f>
        <v>0</v>
      </c>
      <c r="HF21" s="6">
        <f>COUNTIFS(Table72[Country],Tabela1[[#This Row],[Country]],Table72[Men''s Quadruple Sculls Classification],"&gt;0")</f>
        <v>0</v>
      </c>
      <c r="HG21" s="6">
        <f>COUNTIFS(Table72[Country],Tabela1[[#This Row],[Country]],Table72[Women''s Quadruple Sculls Classification],"&gt;0")</f>
        <v>1</v>
      </c>
      <c r="HH21" s="6">
        <f>COUNTIFS(Table16[Country],Tabela1[[#This Row],[Country]],Table16[Men''s Coxless Pairs Classification],"&gt;0")</f>
        <v>0</v>
      </c>
      <c r="HI21" s="6">
        <f>COUNTIFS(Table16[Country],Tabela1[[#This Row],[Country]],Table16[Women''s Coxless Pairs Classification],"&gt;0")</f>
        <v>0</v>
      </c>
      <c r="HJ21" s="6">
        <f>COUNTIFS(Table72[Country],Tabela1[[#This Row],[Country]],Table72[Men''s Coxless Fours Classification],"&gt;0")</f>
        <v>0</v>
      </c>
      <c r="HK21" s="6">
        <f>COUNTIFS(Table72[Country],Tabela1[[#This Row],[Country]],Table72[Women''s Coxless Fours Classification],"&gt;0")</f>
        <v>0</v>
      </c>
      <c r="HL21" s="6">
        <f>COUNTIFS(Table72[Country],Tabela1[[#This Row],[Country]],Table72[Men''s Eights Classification],"&gt;0")</f>
        <v>0</v>
      </c>
      <c r="HM21" s="6">
        <f>COUNTIFS(Table72[Country],Tabela1[[#This Row],[Country]],Table72[Women''s Eights Classification],"&gt;0")</f>
        <v>0</v>
      </c>
      <c r="HN21" s="6">
        <f>COUNTIFS(Table16[Country],Tabela1[[#This Row],[Country]],Table16[Men''s Lwt. Double Sculls Classification],"&gt;0")</f>
        <v>1</v>
      </c>
      <c r="HO21" s="6">
        <f>COUNTIFS(Table16[Country],Tabela1[[#This Row],[Country]],Table16[Women''s Lwt. Double Sculls Classification],"&gt;0")</f>
        <v>0</v>
      </c>
      <c r="HP21" s="6">
        <f>COUNTIFS(Table91949698[Country],Tabela1[[#This Row],[Country]],Table91949698[Men''s Classification],"&gt;0")</f>
        <v>0</v>
      </c>
      <c r="HQ21" s="6">
        <f>COUNTIFS(Table91949698[Country],Tabela1[[#This Row],[Country]],Table91949698[Women''s Classification],"&gt;0")</f>
        <v>0</v>
      </c>
      <c r="HR21" s="6">
        <f>COUNTIFS(Table25[Country],Tabela1[[#This Row],[Country]],Table25[Mixed 470 Classification],"&gt;0")</f>
        <v>0</v>
      </c>
      <c r="HS21" s="6">
        <f>COUNTIFS(Table25[Country],Tabela1[[#This Row],[Country]],Table25[Men''s 49er Classification],"&gt;0")</f>
        <v>0</v>
      </c>
      <c r="HT21" s="6">
        <f>COUNTIFS(Table25[Country],Tabela1[[#This Row],[Country]],Table25[Women''s 49er FX Classification],"&gt;0")</f>
        <v>0</v>
      </c>
      <c r="HU21" s="6">
        <f>COUNTIFS(Table17[Country],Tabela1[[#This Row],[Country]],Table17[Formula Kite Classification],"&gt;0")</f>
        <v>0</v>
      </c>
      <c r="HV21" s="6">
        <f>COUNTIFS(Table18[Country],Tabela1[[#This Row],[Country]],Table18[Formula Kite Classification],"&gt;0")</f>
        <v>0</v>
      </c>
      <c r="HW21" s="6">
        <f>COUNTIFS(Table17[Country],Tabela1[[#This Row],[Country]],Table17[ILCA 7 Classification],"&gt;0")</f>
        <v>0</v>
      </c>
      <c r="HX21" s="6">
        <f>COUNTIFS(Table18[Country],Tabela1[[#This Row],[Country]],Table18[ILCA 6 Classification],"&gt;0")</f>
        <v>0</v>
      </c>
      <c r="HY21" s="6">
        <f>COUNTIFS(Table17[Country],Tabela1[[#This Row],[Country]],Table17[IQFoil Classification],"&gt;0")</f>
        <v>0</v>
      </c>
      <c r="HZ21" s="6">
        <f>COUNTIFS(Table18[Country],Tabela1[[#This Row],[Country]],Table18[IQFoil Classification],"&gt;0")</f>
        <v>0</v>
      </c>
      <c r="IA21" s="6">
        <f>COUNTIFS(Table25[Country],Tabela1[[#This Row],[Country]],Table25[Mixed Nacra 17 Classification],"&gt;0")</f>
        <v>0</v>
      </c>
      <c r="IB21" s="6">
        <f>COUNTIFS(Table53[Country],Tabela1[[#This Row],[Country]],Table53[10m Air Pistol Classification],"&gt;0")</f>
        <v>0</v>
      </c>
      <c r="IC21" s="6">
        <f>COUNTIFS(Table19[Country],Tabela1[[#This Row],[Country]],Table19[10m Air Pistol Classification],"&gt;0")</f>
        <v>0</v>
      </c>
      <c r="ID21" s="6">
        <f>COUNTIFS(Table54[Country],Tabela1[[#This Row],[Country]],Table54[Mixed 10m Air Pistol Team Classification],"&gt;0")</f>
        <v>0</v>
      </c>
      <c r="IE21" s="6">
        <f>COUNTIFS(Table53[Country],Tabela1[[#This Row],[Country]],Table53[10m Air Rifle Classification],"&gt;0")</f>
        <v>1</v>
      </c>
      <c r="IF21" s="6">
        <f>COUNTIFS(Table19[Country],Tabela1[[#This Row],[Country]],Table19[10m Air Rifle Classification],"&gt;0")</f>
        <v>0</v>
      </c>
      <c r="IG21" s="6">
        <f>COUNTIFS(Table54[Country],Tabela1[[#This Row],[Country]],Table54[Mixed 10m Air Rifle Team Classification],"&gt;0")</f>
        <v>0</v>
      </c>
      <c r="IH21" s="6">
        <f>COUNTIFS(Table53[Country],Tabela1[[#This Row],[Country]],Table53[25m Rapid Fire Pistol Classification],"&gt;0")</f>
        <v>0</v>
      </c>
      <c r="II21" s="6">
        <f>COUNTIFS(Table19[Country],Tabela1[[#This Row],[Country]],Table19[25m Pistol Classification],"&gt;0")</f>
        <v>0</v>
      </c>
      <c r="IJ21" s="6">
        <f>COUNTIFS(Table53[Country],Tabela1[[#This Row],[Country]],Table53[50m Rifle 3 Positions Classification],"&gt;0")</f>
        <v>1</v>
      </c>
      <c r="IK21" s="6">
        <f>COUNTIFS(Table19[Country],Tabela1[[#This Row],[Country]],Table19[50m Rifle 3 Positions Classification],"&gt;0")</f>
        <v>0</v>
      </c>
      <c r="IL21" s="6">
        <f>COUNTIFS(Table53[Country],Tabela1[[#This Row],[Country]],Table53[Skeet Classification],"&gt;0")</f>
        <v>0</v>
      </c>
      <c r="IM21" s="6">
        <f>COUNTIFS(Table19[Country],Tabela1[[#This Row],[Country]],Table19[Skeet Classification],"&gt;0")</f>
        <v>0</v>
      </c>
      <c r="IN21" s="6">
        <f>COUNTIFS(Table54[Country],Tabela1[[#This Row],[Country]],Table54[Mixed Skeet Team Classification],"&gt;0")</f>
        <v>0</v>
      </c>
      <c r="IO21" s="6">
        <f>COUNTIFS(Table53[Country],Tabela1[[#This Row],[Country]],Table53[Trap Classification],"&gt;0")</f>
        <v>0</v>
      </c>
      <c r="IP21" s="6">
        <f>COUNTIFS(Table19[Country],Tabela1[[#This Row],[Country]],Table19[Trap Classification],"&gt;0")</f>
        <v>0</v>
      </c>
      <c r="IQ21" s="6">
        <f>COUNTIFS(Table73[Country],Tabela1[[#This Row],[Country]],Table73[Park Classification],"&gt;0")</f>
        <v>0</v>
      </c>
      <c r="IR21" s="6">
        <f>COUNTIFS(Table74[Country],Tabela1[[#This Row],[Country]],Table74[Park Classification],"&gt;0")</f>
        <v>0</v>
      </c>
      <c r="IS21" s="6">
        <f>COUNTIFS(Table73[Country],Tabela1[[#This Row],[Country]],Table73[Street Classification],"&gt;0")</f>
        <v>0</v>
      </c>
      <c r="IT21" s="6">
        <f>COUNTIFS(Table74[Country],Tabela1[[#This Row],[Country]],Table74[Street Classification],"&gt;0")</f>
        <v>0</v>
      </c>
      <c r="IU21" s="6">
        <f>COUNTIFS(Table75[Country],Tabela1[[#This Row],[Country]],Table75[Boulder and Lead Classification],"&gt;0")</f>
        <v>0</v>
      </c>
      <c r="IV21" s="6">
        <f>COUNTIFS(Table76[Country],Tabela1[[#This Row],[Country]],Table76[Boulder and Lead Classification],"&gt;0")</f>
        <v>1</v>
      </c>
      <c r="IW21" s="6">
        <f>COUNTIFS(Table75[Country],Tabela1[[#This Row],[Country]],Table75[Speed Classification],"&gt;0")</f>
        <v>0</v>
      </c>
      <c r="IX21" s="6">
        <f>COUNTIFS(Table76[Country],Tabela1[[#This Row],[Country]],Table76[Speed Classification],"&gt;0")</f>
        <v>0</v>
      </c>
      <c r="IY21" s="6">
        <f>COUNTIFS(Table64[Country],Tabela1[[#This Row],[Country]],Table64[Shortboard Classification],"&gt;0")</f>
        <v>0</v>
      </c>
      <c r="IZ21" s="6">
        <f>COUNTIFS(Table77[Country],Tabela1[[#This Row],[Country]],Table77[Shortboard Classification],"&gt;0")</f>
        <v>0</v>
      </c>
      <c r="JA21" s="6">
        <f>COUNTIFS(Table20[Country],Tabela1[[#This Row],[Country]],Table20[50m Freestyle Classification],"&gt;0")</f>
        <v>0</v>
      </c>
      <c r="JB21" s="6">
        <f>COUNTIFS(Table21[Country],Tabela1[[#This Row],[Country]],Table21[50m Freestyle Classification],"&gt;0")</f>
        <v>0</v>
      </c>
      <c r="JC21" s="6">
        <f>COUNTIFS(Table20[Country],Tabela1[[#This Row],[Country]],Table20[100m Freestyle Classification],"&gt;0")</f>
        <v>0</v>
      </c>
      <c r="JD21" s="6">
        <f>COUNTIFS(Table21[Country],Tabela1[[#This Row],[Country]],Table21[100m Freestyle Classification],"&gt;0")</f>
        <v>0</v>
      </c>
      <c r="JE21" s="6">
        <f>COUNTIFS(Table20[Country],Tabela1[[#This Row],[Country]],Table20[200m Freestyle Classification],"&gt;0")</f>
        <v>0</v>
      </c>
      <c r="JF21" s="6">
        <f>COUNTIFS(Table21[Country],Tabela1[[#This Row],[Country]],Table21[200m Freestyle Classification],"&gt;0")</f>
        <v>0</v>
      </c>
      <c r="JG21" s="6">
        <f>COUNTIFS(Table20[Country],Tabela1[[#This Row],[Country]],Table20[400m Freestyle Classification],"&gt;0")</f>
        <v>0</v>
      </c>
      <c r="JH21" s="6">
        <f>COUNTIFS(Table21[Country],Tabela1[[#This Row],[Country]],Table21[400m Freestyle Classification],"&gt;0")</f>
        <v>0</v>
      </c>
      <c r="JI21" s="6">
        <f>COUNTIFS(Table20[Country],Tabela1[[#This Row],[Country]],Table20[800m Freestyle Classification],"&gt;0")</f>
        <v>1</v>
      </c>
      <c r="JJ21" s="6">
        <f>COUNTIFS(Table21[Country],Tabela1[[#This Row],[Country]],Table21[800m Freestyle Classification],"&gt;0")</f>
        <v>0</v>
      </c>
      <c r="JK21" s="6">
        <f>COUNTIFS(Table20[Country],Tabela1[[#This Row],[Country]],Table20[1500m Freestyle Classification],"&gt;0")</f>
        <v>0</v>
      </c>
      <c r="JL21" s="6">
        <f>COUNTIFS(Table21[Country],Tabela1[[#This Row],[Country]],Table21[1500m Freestyle Classification],"&gt;0")</f>
        <v>0</v>
      </c>
      <c r="JM21" s="6">
        <f>COUNTIFS(Table20[Country],Tabela1[[#This Row],[Country]],Table20[100m Backstroke Classification],"&gt;0")</f>
        <v>1</v>
      </c>
      <c r="JN21" s="6">
        <f>COUNTIFS(Table21[Country],Tabela1[[#This Row],[Country]],Table21[100m Backstroke Classification],"&gt;0")</f>
        <v>0</v>
      </c>
      <c r="JO21" s="6">
        <f>COUNTIFS(Table20[Country],Tabela1[[#This Row],[Country]],Table20[200m Backstroke Classification],"&gt;0")</f>
        <v>1</v>
      </c>
      <c r="JP21" s="6">
        <f>COUNTIFS(Table21[Country],Tabela1[[#This Row],[Country]],Table21[200m Backstroke Classification],"&gt;0")</f>
        <v>0</v>
      </c>
      <c r="JQ21" s="6">
        <f>COUNTIFS(Table20[Country],Tabela1[[#This Row],[Country]],Table20[100m Breaststroke Classification],"&gt;0")</f>
        <v>0</v>
      </c>
      <c r="JR21" s="6">
        <f>COUNTIFS(Table21[Country],Tabela1[[#This Row],[Country]],Table21[100m Breaststroke Classification],"&gt;0")</f>
        <v>0</v>
      </c>
      <c r="JS21" s="6">
        <f>COUNTIFS(Table20[Country],Tabela1[[#This Row],[Country]],Table20[200m Breaststroke Classification],"&gt;0")</f>
        <v>0</v>
      </c>
      <c r="JT21" s="6">
        <f>COUNTIFS(Table21[Country],Tabela1[[#This Row],[Country]],Table21[200m Breaststroke Classification],"&gt;0")</f>
        <v>0</v>
      </c>
      <c r="JU21" s="6">
        <f>COUNTIFS(Table20[Country],Tabela1[[#This Row],[Country]],Table20[100m Butterfly Classification],"&gt;0")</f>
        <v>0</v>
      </c>
      <c r="JV21" s="6">
        <f>COUNTIFS(Table21[Country],Tabela1[[#This Row],[Country]],Table21[100m Butterfly Classification],"&gt;0")</f>
        <v>0</v>
      </c>
      <c r="JW21" s="6">
        <f>COUNTIFS(Table20[Country],Tabela1[[#This Row],[Country]],Table20[200m Butterfly Classification],"&gt;0")</f>
        <v>0</v>
      </c>
      <c r="JX21" s="6">
        <f>COUNTIFS(Table21[Country],Tabela1[[#This Row],[Country]],Table21[200m Butterfly Classification],"&gt;0")</f>
        <v>0</v>
      </c>
      <c r="JY21" s="6">
        <f>COUNTIFS(Table20[Country],Tabela1[[#This Row],[Country]],Table20[200m Medley Classification],"&gt;0")</f>
        <v>0</v>
      </c>
      <c r="JZ21" s="6">
        <f>COUNTIFS(Table21[Country],Tabela1[[#This Row],[Country]],Table21[200m Medley Classification],"&gt;0")</f>
        <v>0</v>
      </c>
      <c r="KA21" s="6">
        <f>COUNTIFS(Table20[Country],Tabela1[[#This Row],[Country]],Table20[400m Medley Classification],"&gt;0")</f>
        <v>0</v>
      </c>
      <c r="KB21" s="6">
        <f>COUNTIFS(Table21[Country],Tabela1[[#This Row],[Country]],Table21[400m Medley Classification],"&gt;0")</f>
        <v>0</v>
      </c>
      <c r="KC21" s="6">
        <f>COUNTIFS(Table78[Country],Tabela1[[#This Row],[Country]],Table78[Men''s 4x100m Freestyle Relay Classification],"&gt;0")</f>
        <v>0</v>
      </c>
      <c r="KD21" s="6">
        <f>COUNTIFS(Table78[Country],Tabela1[[#This Row],[Country]],Table78[Women''s 4x100m Freestyle Relay Classification],"&gt;0")</f>
        <v>0</v>
      </c>
      <c r="KE21" s="6">
        <f>COUNTIFS(Table78[Country],Tabela1[[#This Row],[Country]],Table78[Men''s 4x200m Freestyle Relay Classification],"&gt;0")</f>
        <v>0</v>
      </c>
      <c r="KF21" s="6">
        <f>COUNTIFS(Table78[Country],Tabela1[[#This Row],[Country]],Table78[Women''s 4x200m Freestyle Relay Classification],"&gt;0")</f>
        <v>0</v>
      </c>
      <c r="KG21" s="6">
        <f>COUNTIFS(Table78[Country],Tabela1[[#This Row],[Country]],Table78[Men''s 4x100m Medley Relay Classification],"&gt;0")</f>
        <v>0</v>
      </c>
      <c r="KH21" s="6">
        <f>COUNTIFS(Table78[Country],Tabela1[[#This Row],[Country]],Table78[Women''s 4x100m Medley Relay Classification],"&gt;0")</f>
        <v>0</v>
      </c>
      <c r="KI21" s="6">
        <f>COUNTIFS(Table78[Country],Tabela1[[#This Row],[Country]],Table78[Mixed 4x100m Medley Relay Classification],"&gt;0")</f>
        <v>0</v>
      </c>
      <c r="KJ21" s="6">
        <f>COUNTIFS(Table20[Country],Tabela1[[#This Row],[Country]],Table20[10km Open Water Classification],"&gt;0")</f>
        <v>0</v>
      </c>
      <c r="KK21" s="6">
        <f>COUNTIFS(Table21[Country],Tabela1[[#This Row],[Country]],Table21[10km Open Water Classification],"&gt;0")</f>
        <v>0</v>
      </c>
      <c r="KL21" s="6">
        <f>COUNTIFS(Table22[Country],Tabela1[[#This Row],[Country]],Table22[Classification],"&gt;0")</f>
        <v>1</v>
      </c>
      <c r="KM21" s="6">
        <f>COUNTIFS(Table30[Country],Tabela1[[#This Row],[Country]],Table30[Classification],"&gt;0")</f>
        <v>0</v>
      </c>
      <c r="KN21" s="6">
        <f>COUNTIFS(Table55[Country],Tabela1[[#This Row],[Country]],Table55[Men''s Classification],"&gt;0")</f>
        <v>0</v>
      </c>
      <c r="KO21" s="6">
        <f>COUNTIFS(Table55[Country],Tabela1[[#This Row],[Country]],Table55[Women''s Classification],"&gt;0")</f>
        <v>0</v>
      </c>
      <c r="KP21" s="6">
        <f>COUNTIFS(Table56[Country],Tabela1[[#This Row],[Country]],Table56[Mixed Classification],"&gt;0")</f>
        <v>0</v>
      </c>
      <c r="KQ21" s="6">
        <f>COUNTIFS(Table29[Country],Tabela1[[#This Row],[Country]],Table29[58kg Classification],"&gt;0")</f>
        <v>0</v>
      </c>
      <c r="KR21" s="6">
        <f>COUNTIFS(Table29[Country],Tabela1[[#This Row],[Country]],Table29[68kg Classification],"&gt;0")</f>
        <v>0</v>
      </c>
      <c r="KS21" s="6">
        <f>COUNTIFS(Table29[Country],Tabela1[[#This Row],[Country]],Table29[80kg Classification],"&gt;0")</f>
        <v>0</v>
      </c>
      <c r="KT21" s="6">
        <f>COUNTIFS(Table29[Country],Tabela1[[#This Row],[Country]],Table29[Plus 80kg Classification],"&gt;0")</f>
        <v>0</v>
      </c>
      <c r="KU21" s="6">
        <f>COUNTIFS(Table34[Country],Tabela1[[#This Row],[Country]],Table34[49kg Classification],"&gt;0")</f>
        <v>0</v>
      </c>
      <c r="KV21" s="6">
        <f>COUNTIFS(Table34[Country],Tabela1[[#This Row],[Country]],Table34[57kg Classification],"&gt;0")</f>
        <v>0</v>
      </c>
      <c r="KW21" s="6">
        <f>COUNTIFS(Table34[Country],Tabela1[[#This Row],[Country]],Table34[67kg Classification],"&gt;0")</f>
        <v>0</v>
      </c>
      <c r="KX21" s="6">
        <f>COUNTIFS(Table34[Country],Tabela1[[#This Row],[Country]],Table34[Plus 67kg Classification],"&gt;0")</f>
        <v>0</v>
      </c>
      <c r="KY21" s="6">
        <f>COUNTIFS(Table57[Country],Tabela1[[#This Row],[Country]],Table57[Classification],"&gt;0")</f>
        <v>0</v>
      </c>
      <c r="KZ21" s="6">
        <f>COUNTIFS(Table58[Country],Tabela1[[#This Row],[Country]],Table58[Classification],"&gt;0")</f>
        <v>0</v>
      </c>
      <c r="LA21" s="6">
        <f>COUNTIFS(Table79[Country],Tabela1[[#This Row],[Country]],Table79[Men''s Classification],"&gt;0")</f>
        <v>0</v>
      </c>
      <c r="LB21" s="6">
        <f>COUNTIFS(Table79[Country],Tabela1[[#This Row],[Country]],Table79[Women''s Classification],"&gt;0")</f>
        <v>1</v>
      </c>
      <c r="LC21" s="6">
        <f>COUNTIFS(Table79[Country],Tabela1[[#This Row],[Country]],Table79[Mixed Classification],"&gt;0")</f>
        <v>0</v>
      </c>
      <c r="LD21" s="6">
        <f>COUNTIFS(Table65[Country],Tabela1[[#This Row],[Country]],Table65[Classification],"&gt;0")</f>
        <v>0</v>
      </c>
      <c r="LE21" s="6">
        <f>COUNTIFS(Table59[Country],Tabela1[[#This Row],[Country]],Table59[Classification],"&gt;0")</f>
        <v>0</v>
      </c>
      <c r="LF21" s="6">
        <f>COUNTIFS(Table87[Country],Tabela1[[#This Row],[Country]],Table87[Mixed Relay Classification],"&gt;0")</f>
        <v>0</v>
      </c>
      <c r="LG21" s="6">
        <f>COUNTIFS(Table91949698100[Country],Tabela1[[#This Row],[Country]],Table91949698100[Men''s Classification],"&gt;0")</f>
        <v>0</v>
      </c>
      <c r="LH21" s="6">
        <f>COUNTIFS(Table91949698100[Country],Tabela1[[#This Row],[Country]],Table91949698100[Women''s Classification],"&gt;0")</f>
        <v>0</v>
      </c>
      <c r="LI21" s="6">
        <f>COUNTIFS(Table91949698100102[Country],Tabela1[[#This Row],[Country]],Table91949698100102[Men''s Classification],"&gt;0")</f>
        <v>0</v>
      </c>
      <c r="LJ21" s="6">
        <f>COUNTIFS(Table91949698100102[Country],Tabela1[[#This Row],[Country]],Table91949698100102[Women''s Classification],"&gt;0")</f>
        <v>0</v>
      </c>
      <c r="LK21" s="6">
        <f>COUNTIFS(Table23[Country],Tabela1[[#This Row],[Country]],Table23[61kg Classification],"&gt;0")</f>
        <v>0</v>
      </c>
      <c r="LL21" s="6">
        <f>COUNTIFS(Table23[Country],Tabela1[[#This Row],[Country]],Table23[73kg Classification],"&gt;0")</f>
        <v>0</v>
      </c>
      <c r="LM21" s="6">
        <f>COUNTIFS(Table23[Country],Tabela1[[#This Row],[Country]],Table23[89kg Classification],"&gt;0")</f>
        <v>0</v>
      </c>
      <c r="LN21" s="6">
        <f>COUNTIFS(Table23[Country],Tabela1[[#This Row],[Country]],Table23[102kg Classification],"&gt;0")</f>
        <v>0</v>
      </c>
      <c r="LO21" s="6">
        <f>COUNTIFS(Table23[Country],Tabela1[[#This Row],[Country]],Table23[Plus 102kg Classification],"&gt;0")</f>
        <v>0</v>
      </c>
      <c r="LP21" s="6">
        <f>COUNTIFS(Table28[Country],Tabela1[[#This Row],[Country]],Table28[49kg Classification],"&gt;0")</f>
        <v>0</v>
      </c>
      <c r="LQ21" s="6">
        <f>COUNTIFS(Table28[Country],Tabela1[[#This Row],[Country]],Table28[59kg Classification],"&gt;0")</f>
        <v>0</v>
      </c>
      <c r="LR21" s="6">
        <f>COUNTIFS(Table28[Country],Tabela1[[#This Row],[Country]],Table28[71kg Classification],"&gt;0")</f>
        <v>0</v>
      </c>
      <c r="LS21" s="6">
        <f>COUNTIFS(Table28[Country],Tabela1[[#This Row],[Country]],Table28[81kg Classification],"&gt;0")</f>
        <v>0</v>
      </c>
      <c r="LT21" s="6">
        <f>COUNTIFS(Table28[Country],Tabela1[[#This Row],[Country]],Table28[Plus 81kg Classification],"&gt;0")</f>
        <v>0</v>
      </c>
      <c r="LU21" s="6">
        <f>COUNTIFS(Table24[Country],Tabela1[[#This Row],[Country]],Table24[Freestyle 57kg Classification],"&gt;0")</f>
        <v>0</v>
      </c>
      <c r="LV21" s="6">
        <f>COUNTIFS(Table24[Country],Tabela1[[#This Row],[Country]],Table24[Freestyle 65kg Classification],"&gt;0")</f>
        <v>0</v>
      </c>
      <c r="LW21" s="6">
        <f>COUNTIFS(Table24[Country],Tabela1[[#This Row],[Country]],Table24[Freestyle 74kg Classification],"&gt;0")</f>
        <v>0</v>
      </c>
      <c r="LX21" s="6">
        <f>COUNTIFS(Table24[Country],Tabela1[[#This Row],[Country]],Table24[Freestyle 86kg Classification],"&gt;0")</f>
        <v>0</v>
      </c>
      <c r="LY21" s="6">
        <f>COUNTIFS(Table24[Country],Tabela1[[#This Row],[Country]],Table24[Freestyle 97kg Classification],"&gt;0")</f>
        <v>0</v>
      </c>
      <c r="LZ21" s="6">
        <f>COUNTIFS(Table24[Country],Tabela1[[#This Row],[Country]],Table24[Freestyle 125kg Classification],"&gt;0")</f>
        <v>0</v>
      </c>
      <c r="MA21" s="6">
        <f>COUNTIFS(Table24[Country],Tabela1[[#This Row],[Country]],Table24[Greco-Roman 60kg Classification],"&gt;0")</f>
        <v>0</v>
      </c>
      <c r="MB21" s="6">
        <f>COUNTIFS(Table24[Country],Tabela1[[#This Row],[Country]],Table24[Greco-Roman 67kg Classification],"&gt;0")</f>
        <v>0</v>
      </c>
      <c r="MC21" s="6">
        <f>COUNTIFS(Table24[Country],Tabela1[[#This Row],[Country]],Table24[Greco-Roman 77kg Classification],"&gt;0")</f>
        <v>0</v>
      </c>
      <c r="MD21" s="6">
        <f>COUNTIFS(Table24[Country],Tabela1[[#This Row],[Country]],Table24[Greco-Roman 87kg Classification],"&gt;0")</f>
        <v>0</v>
      </c>
      <c r="ME21" s="6">
        <f>COUNTIFS(Table24[Country],Tabela1[[#This Row],[Country]],Table24[Greco-Roman 97kg Classification],"&gt;0")</f>
        <v>0</v>
      </c>
      <c r="MF21" s="6">
        <f>COUNTIFS(Table24[Country],Tabela1[[#This Row],[Country]],Table24[Greco-Roman 130kg Classification],"&gt;0")</f>
        <v>0</v>
      </c>
      <c r="MG21" s="6">
        <f>COUNTIFS(Table31[Country],Tabela1[[#This Row],[Country]],Table31[50kg Classification],"&gt;0")</f>
        <v>0</v>
      </c>
      <c r="MH21" s="6">
        <f>COUNTIFS(Table31[Country],Tabela1[[#This Row],[Country]],Table31[53kg Classification],"&gt;0")</f>
        <v>0</v>
      </c>
      <c r="MI21" s="6">
        <f>COUNTIFS(Table31[Country],Tabela1[[#This Row],[Country]],Table31[57kg Classification],"&gt;0")</f>
        <v>0</v>
      </c>
      <c r="MJ21" s="6">
        <f>COUNTIFS(Table31[Country],Tabela1[[#This Row],[Country]],Table31[62kg Classification],"&gt;0")</f>
        <v>1</v>
      </c>
      <c r="MK21" s="6">
        <f>COUNTIFS(Table31[Country],Tabela1[[#This Row],[Country]],Table31[68kg Classification],"&gt;0")</f>
        <v>0</v>
      </c>
      <c r="ML21" s="6">
        <f>COUNTIFS(Table31[Country],Tabela1[[#This Row],[Country]],Table31[76kg Classification],"&gt;0")</f>
        <v>0</v>
      </c>
      <c r="MM21" s="6">
        <f>COUNTIFS(Table102[Country],Tabela1[[#This Row],[Country]],Table102[Downhill Classification],"&gt;0")</f>
        <v>1</v>
      </c>
      <c r="MN21" s="6">
        <f>COUNTIFS(Table102105[Country],Tabela1[[#This Row],[Country]],Table102105[Downhill Classification],"&gt;0")</f>
        <v>0</v>
      </c>
      <c r="MO21" s="6">
        <f>COUNTIFS(Table102[Country],Tabela1[[#This Row],[Country]],Table102[Giant Slalom Classification],"&gt;0")</f>
        <v>1</v>
      </c>
      <c r="MP21" s="6">
        <f>COUNTIFS(Table102105[Country],Tabela1[[#This Row],[Country]],Table102105[Giant Slalom Classification],"&gt;0")</f>
        <v>0</v>
      </c>
      <c r="MQ21" s="6">
        <f>COUNTIFS(Table102[Country],Tabela1[[#This Row],[Country]],Table102[Slalom Classification],"&gt;0")</f>
        <v>1</v>
      </c>
      <c r="MR21" s="6">
        <f>COUNTIFS(Table102105[Country],Tabela1[[#This Row],[Country]],Table102105[Slalom Classification],"&gt;0")</f>
        <v>0</v>
      </c>
      <c r="MS21" s="6">
        <f>COUNTIFS(Table102[Country],Tabela1[[#This Row],[Country]],Table102[Super-G Classification],"&gt;0")</f>
        <v>1</v>
      </c>
      <c r="MT21" s="6">
        <f>COUNTIFS(Table102105[Country],Tabela1[[#This Row],[Country]],Table102105[Super-G Classification],"&gt;0")</f>
        <v>0</v>
      </c>
      <c r="MU21" s="6">
        <f>COUNTIFS(Table105[Country],Tabela1[[#This Row],[Country]],Table105[Men''s Combined Classification],"&gt;0")</f>
        <v>0</v>
      </c>
      <c r="MV21" s="6">
        <f>COUNTIFS(Table105[Country],Tabela1[[#This Row],[Country]],Table105[Women''s Combined Classification],"&gt;0")</f>
        <v>0</v>
      </c>
      <c r="MW21" s="6">
        <f>COUNTIFS(Table106[Country],Tabela1[[#This Row],[Country]],Table106[Individual Classification],"&gt;0")</f>
        <v>1</v>
      </c>
      <c r="MX21" s="6">
        <f>COUNTIFS(Table106109[Country],Tabela1[[#This Row],[Country]],Table106109[Individual Classification],"&gt;0")</f>
        <v>0</v>
      </c>
      <c r="MY21" s="6">
        <f>COUNTIFS(Table106[Country],Tabela1[[#This Row],[Country]],Table106[Mass Start Classification],"&gt;0")</f>
        <v>0</v>
      </c>
      <c r="MZ21" s="6">
        <f>COUNTIFS(Table106109[Country],Tabela1[[#This Row],[Country]],Table106109[Mass Start Classification],"&gt;0")</f>
        <v>0</v>
      </c>
      <c r="NA21" s="6">
        <f>COUNTIFS(Table106[Country],Tabela1[[#This Row],[Country]],Table106[Pursuit Classification],"&gt;0")</f>
        <v>0</v>
      </c>
      <c r="NB21" s="6">
        <f>COUNTIFS(Table106109[Country],Tabela1[[#This Row],[Country]],Table106109[Pursuit Classification],"&gt;0")</f>
        <v>0</v>
      </c>
      <c r="NC21" s="6">
        <f>COUNTIFS(Table106[Country],Tabela1[[#This Row],[Country]],Table106[Sprint Classification],"&gt;0")</f>
        <v>2</v>
      </c>
      <c r="ND21" s="6">
        <f>COUNTIFS(Table106109[Country],Tabela1[[#This Row],[Country]],Table106109[Sprint Classification],"&gt;0")</f>
        <v>0</v>
      </c>
      <c r="NE21" s="6">
        <f>COUNTIFS(Table109[Country],Tabela1[[#This Row],[Country]],Table109[Men''s Relay Classification],"&gt;0")</f>
        <v>1</v>
      </c>
      <c r="NF21" s="6">
        <f>COUNTIFS(Table109[Country],Tabela1[[#This Row],[Country]],Table109[Women''s Relay Classification],"&gt;0")</f>
        <v>0</v>
      </c>
      <c r="NG21" s="6">
        <f>COUNTIFS(Table109[Country],Tabela1[[#This Row],[Country]],Table109[Mixed Relay Classification],"&gt;0")</f>
        <v>0</v>
      </c>
      <c r="NH21" s="6">
        <f>COUNTIFS(Table110[Country],Tabela1[[#This Row],[Country]],Table110[Monobob Classification],"&gt;0")</f>
        <v>0</v>
      </c>
      <c r="NI21" s="6">
        <f>COUNTIFS(Table111[Country],Tabela1[[#This Row],[Country]],Table111[Men''s Classification],"&gt;0")</f>
        <v>0</v>
      </c>
      <c r="NJ21" s="6">
        <f>COUNTIFS(Table111[Country],Tabela1[[#This Row],[Country]],Table111[Women''s Classification],"&gt;0")</f>
        <v>0</v>
      </c>
      <c r="NK21" s="6">
        <f>COUNTIFS(Table112[Country],Tabela1[[#This Row],[Country]],Table112[Men''s Four Classification],"&gt;0")</f>
        <v>0</v>
      </c>
      <c r="NL21" s="6">
        <f>COUNTIFS(Table113[Country],Tabela1[[#This Row],[Country]],Table113[Classical Classification],"&gt;0")</f>
        <v>0</v>
      </c>
      <c r="NM21" s="6">
        <f>COUNTIFS(Table113116[Country],Tabela1[[#This Row],[Country]],Table113116[Classical Classification],"&gt;0")</f>
        <v>0</v>
      </c>
      <c r="NN21" s="6">
        <f>COUNTIFS(Table113[Country],Tabela1[[#This Row],[Country]],Table113[Freestyle Classification],"&gt;0")</f>
        <v>0</v>
      </c>
      <c r="NO21" s="6">
        <f>COUNTIFS(Table113116[Country],Tabela1[[#This Row],[Country]],Table113116[Freestyle Classification],"&gt;0")</f>
        <v>3</v>
      </c>
      <c r="NP21" s="6">
        <f>COUNTIFS(Table117[Country],Tabela1[[#This Row],[Country]],Table117[Men''s Relay Classification],"&gt;0")</f>
        <v>0</v>
      </c>
      <c r="NQ21" s="6">
        <f>COUNTIFS(Table117[Country],Tabela1[[#This Row],[Country]],Table117[Women''s Relay Classification],"&gt;0")</f>
        <v>1</v>
      </c>
      <c r="NR21" s="6">
        <f>COUNTIFS(Table113[Country],Tabela1[[#This Row],[Country]],Table113[Skiathlon Classification],"&gt;0")</f>
        <v>0</v>
      </c>
      <c r="NS21" s="6">
        <f>COUNTIFS(Table113116[Country],Tabela1[[#This Row],[Country]],Table113116[Skiathlon Classification],"&gt;0")</f>
        <v>3</v>
      </c>
      <c r="NT21" s="6">
        <f>COUNTIFS(Table113[Country],Tabela1[[#This Row],[Country]],Table113[Sprint Classification],"&gt;0")</f>
        <v>0</v>
      </c>
      <c r="NU21" s="6">
        <f>COUNTIFS(Table113116[Country],Tabela1[[#This Row],[Country]],Table113116[Sprint Classification],"&gt;0")</f>
        <v>3</v>
      </c>
      <c r="NV21" s="6">
        <f>COUNTIFS(Table116[Country],Tabela1[[#This Row],[Country]],Table116[Men''s Team Sprint Classification],"&gt;0")</f>
        <v>0</v>
      </c>
      <c r="NW21" s="6">
        <f>COUNTIFS(Table116[Country],Tabela1[[#This Row],[Country]],Table116[Women''s Team Sprint Classification],"&gt;0")</f>
        <v>1</v>
      </c>
      <c r="NX21" s="6">
        <f>COUNTIFS(Table119[Country],Tabela1[[#This Row],[Country]],Table119[Men''s Classification],"&gt;0")</f>
        <v>0</v>
      </c>
      <c r="NY21" s="6">
        <f>COUNTIFS(Table119[Country],Tabela1[[#This Row],[Country]],Table119[Women''s Classification],"&gt;0")</f>
        <v>0</v>
      </c>
      <c r="NZ21" s="6">
        <f>COUNTIFS(Table118[Country],Tabela1[[#This Row],[Country]],Table118[Mixed Classification],"&gt;0")</f>
        <v>0</v>
      </c>
      <c r="OA21" s="6">
        <f>COUNTIFS(Table120[Country],Tabela1[[#This Row],[Country]],Table120[Classification],"&gt;0")</f>
        <v>0</v>
      </c>
      <c r="OB21" s="6">
        <f>COUNTIFS(Table120123[Country],Tabela1[[#This Row],[Country]],Table120123[Classification],"&gt;0")</f>
        <v>0</v>
      </c>
      <c r="OC21" s="6">
        <f>COUNTIFS(Table123[Country],Tabela1[[#This Row],[Country]],Table123[Ice Dance Classification],"&gt;0")</f>
        <v>0</v>
      </c>
      <c r="OD21" s="6">
        <f>COUNTIFS(Table123[Country],Tabela1[[#This Row],[Country]],Table123[Pair Skating Classification],"&gt;0")</f>
        <v>0</v>
      </c>
      <c r="OE21" s="6">
        <f>COUNTIFS(Table124[Country],Tabela1[[#This Row],[Country]],Table124[Mixed Classification],"&gt;0")</f>
        <v>0</v>
      </c>
      <c r="OF21" s="6">
        <f>COUNTIFS(Table125[Country],Tabela1[[#This Row],[Country]],Table125[Aerials Classification],"&gt;0")</f>
        <v>4</v>
      </c>
      <c r="OG21" s="6">
        <f>COUNTIFS(Table125128[Country],Tabela1[[#This Row],[Country]],Table125128[Aerials Classification],"&gt;0")</f>
        <v>2</v>
      </c>
      <c r="OH21" s="6">
        <f>COUNTIFS(Table128[Country],Tabela1[[#This Row],[Country]],Table128[Mixed Aerials Classification],"&gt;0")</f>
        <v>1</v>
      </c>
      <c r="OI21" s="6">
        <f>COUNTIFS(Table125[Country],Tabela1[[#This Row],[Country]],Table125[Big Air Classification],"&gt;0")</f>
        <v>0</v>
      </c>
      <c r="OJ21" s="6">
        <f>COUNTIFS(Table125128[Country],Tabela1[[#This Row],[Country]],Table125128[Big Air Classification],"&gt;0")</f>
        <v>0</v>
      </c>
      <c r="OK21" s="6">
        <f>COUNTIFS(Table125[Country],Tabela1[[#This Row],[Country]],Table125[Dual Moguls Classification],"&gt;0")</f>
        <v>0</v>
      </c>
      <c r="OL21" s="6">
        <f>COUNTIFS(Table125128[Country],Tabela1[[#This Row],[Country]],Table125128[Dual Moguls Classification],"&gt;0")</f>
        <v>0</v>
      </c>
      <c r="OM21" s="6">
        <f>COUNTIFS(Table125[Country],Tabela1[[#This Row],[Country]],Table125[Halfpipe Classification],"&gt;0")</f>
        <v>0</v>
      </c>
      <c r="ON21" s="6">
        <f>COUNTIFS(Table125128[Country],Tabela1[[#This Row],[Country]],Table125128[Halfpipe Classification],"&gt;0")</f>
        <v>0</v>
      </c>
      <c r="OO21" s="6">
        <f>COUNTIFS(Table125[Country],Tabela1[[#This Row],[Country]],Table125[Moguls Classification],"&gt;0")</f>
        <v>0</v>
      </c>
      <c r="OP21" s="6">
        <f>COUNTIFS(Table125128[Country],Tabela1[[#This Row],[Country]],Table125128[Moguls Classification],"&gt;0")</f>
        <v>0</v>
      </c>
      <c r="OQ21" s="6">
        <f>COUNTIFS(Table125[Country],Tabela1[[#This Row],[Country]],Table125[Ski Cross Classification],"&gt;0")</f>
        <v>0</v>
      </c>
      <c r="OR21" s="6">
        <f>COUNTIFS(Table125128[Country],Tabela1[[#This Row],[Country]],Table125128[Ski Cross Classification],"&gt;0")</f>
        <v>0</v>
      </c>
      <c r="OS21" s="6">
        <f>COUNTIFS(Table125[Country],Tabela1[[#This Row],[Country]],Table125[Slopestyle Classification],"&gt;0")</f>
        <v>0</v>
      </c>
      <c r="OT21" s="6">
        <f>COUNTIFS(Table125128[Country],Tabela1[[#This Row],[Country]],Table125128[Slopestyle Classification],"&gt;0")</f>
        <v>0</v>
      </c>
      <c r="OU21" s="6">
        <f>COUNTIFS(Table119131[Country],Tabela1[[#This Row],[Country]],Table119131[Men''s Classification],"&gt;0")</f>
        <v>0</v>
      </c>
      <c r="OV21" s="6">
        <f>COUNTIFS(Table119131[Country],Tabela1[[#This Row],[Country]],Table119131[Women''s Classification],"&gt;0")</f>
        <v>0</v>
      </c>
      <c r="OW21" s="6">
        <f>COUNTIFS(Table131[Country],Tabela1[[#This Row],[Country]],Table131[Classification],"&gt;0")</f>
        <v>0</v>
      </c>
      <c r="OX21" s="6">
        <f>COUNTIFS(Table131134[Country],Tabela1[[#This Row],[Country]],Table131134[Classification],"&gt;0")</f>
        <v>0</v>
      </c>
      <c r="OY21" s="6">
        <f>COUNTIFS(Table134[Country],Tabela1[[#This Row],[Country]],Table134[Men''s Classification],"&gt;0")</f>
        <v>0</v>
      </c>
      <c r="OZ21" s="6">
        <f>COUNTIFS(Table134[Country],Tabela1[[#This Row],[Country]],Table134[Women''s Classification],"&gt;0")</f>
        <v>0</v>
      </c>
      <c r="PA21" s="6">
        <f>COUNTIFS(Table135[Country],Tabela1[[#This Row],[Country]],Table135[Mixed Relay Classification],"&gt;0")</f>
        <v>0</v>
      </c>
      <c r="PB21" s="6">
        <f>COUNTIFS(Table136[Country],Tabela1[[#This Row],[Country]],Table136[Individual Classification],"&gt;0")</f>
        <v>0</v>
      </c>
      <c r="PC21" s="6">
        <f>COUNTIFS(Table136[Country],Tabela1[[#This Row],[Country]],Table136[Sprint Classification],"&gt;0")</f>
        <v>0</v>
      </c>
      <c r="PD21" s="6">
        <f>COUNTIFS(Table137[Country],Tabela1[[#This Row],[Country]],Table137[Men''s Team Sprint Large Hill Classification],"&gt;0")</f>
        <v>0</v>
      </c>
      <c r="PE21" s="6">
        <f>COUNTIFS(Table138[Country],Tabela1[[#This Row],[Country]],Table138[500m Classification],"&gt;0")</f>
        <v>0</v>
      </c>
      <c r="PF21" s="6">
        <f>COUNTIFS(Table138141[Country],Tabela1[[#This Row],[Country]],Table138141[500m Classification],"&gt;0")</f>
        <v>1</v>
      </c>
      <c r="PG21" s="6">
        <f>COUNTIFS(Table138[Country],Tabela1[[#This Row],[Country]],Table138[1000m Classification],"&gt;0")</f>
        <v>0</v>
      </c>
      <c r="PH21" s="6">
        <f>COUNTIFS(Table138141[Country],Tabela1[[#This Row],[Country]],Table138141[1000m Classification],"&gt;0")</f>
        <v>0</v>
      </c>
      <c r="PI21" s="6">
        <f>COUNTIFS(Table138[Country],Tabela1[[#This Row],[Country]],Table138[1500m Classification],"&gt;0")</f>
        <v>0</v>
      </c>
      <c r="PJ21" s="6">
        <f>COUNTIFS(Table138141[Country],Tabela1[[#This Row],[Country]],Table138141[1500m Classification],"&gt;0")</f>
        <v>0</v>
      </c>
      <c r="PK21" s="6">
        <f>COUNTIFS(Table141[Country],Tabela1[[#This Row],[Country]],Table141[Men''s 5000m Relay Classification],"&gt;0")</f>
        <v>0</v>
      </c>
      <c r="PL21" s="6">
        <f>COUNTIFS(Table141[Country],Tabela1[[#This Row],[Country]],Table141[Women''s 3000m Relay Classification],"&gt;0")</f>
        <v>0</v>
      </c>
      <c r="PM21" s="6">
        <f>COUNTIFS(Table141[Country],Tabela1[[#This Row],[Country]],Table141[Mixed 2000m Relay Classification],"&gt;0")</f>
        <v>0</v>
      </c>
      <c r="PN21" s="6">
        <f>COUNTIFS(Table142[Country],Tabela1[[#This Row],[Country]],Table142[Classification],"&gt;0")</f>
        <v>0</v>
      </c>
      <c r="PO21" s="6">
        <f>COUNTIFS(Table142145[Country],Tabela1[[#This Row],[Country]],Table142145[Classification],"&gt;0")</f>
        <v>0</v>
      </c>
      <c r="PP21" s="6">
        <f>COUNTIFS(Tabela15[Country],Tabela1[[#This Row],[Country]],Tabela15[Mixed Team Classification],"&gt;0")</f>
        <v>0</v>
      </c>
      <c r="PQ21" s="6">
        <f>COUNTIFS(Table145[Country],Tabela1[[#This Row],[Country]],Table145[Large Hill Classification],"&gt;0")</f>
        <v>0</v>
      </c>
      <c r="PR21" s="6">
        <f>COUNTIFS(Table145[Country],Tabela1[[#This Row],[Country]],Table145[Normal Hill Classification],"&gt;0")</f>
        <v>0</v>
      </c>
      <c r="PS21" s="6">
        <f>COUNTIFS(Table145148[Country],Tabela1[[#This Row],[Country]],Table145148[Large Hill Classification],"&gt;0")</f>
        <v>0</v>
      </c>
      <c r="PT21" s="6">
        <f>COUNTIFS(Table145148[Country],Tabela1[[#This Row],[Country]],Table145148[Normal Hill Classification],"&gt;0")</f>
        <v>0</v>
      </c>
      <c r="PU21" s="6">
        <f>COUNTIFS(Table148[Country],Tabela1[[#This Row],[Country]],Table148[Men''s Super Team Classification],"&gt;0")</f>
        <v>0</v>
      </c>
      <c r="PV21" s="6">
        <f>COUNTIFS(Tabela114[Country],Tabela1[[#This Row],[Country]],Tabela114[Mixed Normal Hill Classification],"&gt;0")</f>
        <v>0</v>
      </c>
      <c r="PW21" s="6">
        <f>COUNTIFS(Tabela50[Country],Tabela1[[#This Row],[Country]],Tabela50[Sprint Classification],"&gt;0")</f>
        <v>0</v>
      </c>
      <c r="PX21" s="6">
        <f>COUNTIFS(Tabela50101[Country],Tabela1[[#This Row],[Country]],Tabela50101[Sprint Classification],"&gt;0")</f>
        <v>0</v>
      </c>
      <c r="PY21" s="6">
        <f>COUNTIFS(Tabela103[Country],Tabela1[[#This Row],[Country]],Tabela103[Mixed Relay Classification],"&gt;0")</f>
        <v>0</v>
      </c>
      <c r="PZ21" s="6">
        <f>COUNTIFS(Table149[Country],Tabela1[[#This Row],[Country]],Table149[Big Air Classification],"&gt;0")</f>
        <v>0</v>
      </c>
      <c r="QA21" s="6">
        <f>COUNTIFS(Table149152[Country],Tabela1[[#This Row],[Country]],Table149152[Big Air Classification],"&gt;0")</f>
        <v>0</v>
      </c>
      <c r="QB21" s="6">
        <f>COUNTIFS(Table149[Country],Tabela1[[#This Row],[Country]],Table149[Halfpipe Classification],"&gt;0")</f>
        <v>0</v>
      </c>
      <c r="QC21" s="6">
        <f>COUNTIFS(Table149152[Country],Tabela1[[#This Row],[Country]],Table149152[Halfpipe Classification],"&gt;0")</f>
        <v>0</v>
      </c>
      <c r="QD21" s="6">
        <f>COUNTIFS(Table149[Country],Tabela1[[#This Row],[Country]],Table149[Parallel Giant Slalom Classification],"&gt;0")</f>
        <v>0</v>
      </c>
      <c r="QE21" s="6">
        <f>COUNTIFS(Table149152[Country],Tabela1[[#This Row],[Country]],Table149152[Parallel Giant Slalom Classification],"&gt;0")</f>
        <v>1</v>
      </c>
      <c r="QF21" s="6">
        <f>COUNTIFS(Table149[Country],Tabela1[[#This Row],[Country]],Table149[Slopestyle Classification],"&gt;0")</f>
        <v>0</v>
      </c>
      <c r="QG21" s="6">
        <f>COUNTIFS(Table149152[Country],Tabela1[[#This Row],[Country]],Table149152[Slopestyle Classification],"&gt;0")</f>
        <v>0</v>
      </c>
      <c r="QH21" s="6">
        <f>COUNTIFS(Table149[Country],Tabela1[[#This Row],[Country]],Table149[Snowboard Cross Classification],"&gt;0")</f>
        <v>0</v>
      </c>
      <c r="QI21" s="6">
        <f>COUNTIFS(Table149152[Country],Tabela1[[#This Row],[Country]],Table149152[Snowboard Cross Classification],"&gt;0")</f>
        <v>0</v>
      </c>
      <c r="QJ21" s="6">
        <f>COUNTIFS(Table153[Country],Tabela1[[#This Row],[Country]],Table153[Mixed Team Snowboard Cross Classification],"&gt;0")</f>
        <v>0</v>
      </c>
      <c r="QK21" s="6">
        <f>COUNTIFS(Table154[Country],Tabela1[[#This Row],[Country]],Table154[500m Classification],"&gt;0")</f>
        <v>0</v>
      </c>
      <c r="QL21" s="6">
        <f>COUNTIFS(Table154157[Country],Tabela1[[#This Row],[Country]],Table154157[500m Classification],"&gt;0")</f>
        <v>0</v>
      </c>
      <c r="QM21" s="6">
        <f>COUNTIFS(Table154[Country],Tabela1[[#This Row],[Country]],Table154[1000m Classification],"&gt;0")</f>
        <v>0</v>
      </c>
      <c r="QN21" s="6">
        <f>COUNTIFS(Table154157[Country],Tabela1[[#This Row],[Country]],Table154157[1000m Classification],"&gt;0")</f>
        <v>0</v>
      </c>
      <c r="QO21" s="6">
        <f>COUNTIFS(Table154[Country],Tabela1[[#This Row],[Country]],Table154[1500m Classification],"&gt;0")</f>
        <v>0</v>
      </c>
      <c r="QP21" s="6">
        <f>COUNTIFS(Table154157[Country],Tabela1[[#This Row],[Country]],Table154157[1500m Classification],"&gt;0")</f>
        <v>0</v>
      </c>
      <c r="QQ21" s="6">
        <f>COUNTIFS(Table154157[Country],Tabela1[[#This Row],[Country]],Table154157[3000m Classification],"&gt;0")</f>
        <v>0</v>
      </c>
      <c r="QR21" s="6">
        <f>COUNTIFS(Table154[Country],Tabela1[[#This Row],[Country]],Table154[5000m Classification],"&gt;0")</f>
        <v>0</v>
      </c>
      <c r="QS21" s="6">
        <f>COUNTIFS(Table154157[Country],Tabela1[[#This Row],[Country]],Table154157[5000m Classification],"&gt;0")</f>
        <v>0</v>
      </c>
      <c r="QT21" s="6">
        <f>COUNTIFS(Table154[Country],Tabela1[[#This Row],[Country]],Table154[10000m Classification],"&gt;0")</f>
        <v>0</v>
      </c>
      <c r="QU21" s="6">
        <f>COUNTIFS(Table154[Country],Tabela1[[#This Row],[Country]],Table154[Mass Start Classification],"&gt;0")</f>
        <v>0</v>
      </c>
      <c r="QV21" s="6">
        <f>COUNTIFS(Table154157[Country],Tabela1[[#This Row],[Country]],Table154157[Mass Start Classification],"&gt;0")</f>
        <v>0</v>
      </c>
      <c r="QW21" s="6">
        <f>COUNTIFS(Table157[Country],Tabela1[[#This Row],[Country]],Table157[Men''s Pursuit Classification],"&gt;0")</f>
        <v>0</v>
      </c>
      <c r="QX21" s="6">
        <f>COUNTIFS(Table157[Country],Tabela1[[#This Row],[Country]],Table157[Women''s Pursuit Classification],"&gt;0")</f>
        <v>0</v>
      </c>
      <c r="QY21" s="3" t="s">
        <v>727</v>
      </c>
    </row>
    <row r="22" spans="1:467" x14ac:dyDescent="0.3">
      <c r="A22" s="6">
        <v>21</v>
      </c>
      <c r="B22" s="6" t="s">
        <v>596</v>
      </c>
      <c r="C22" t="e" vm="21">
        <f>IF(ISBLANK(Tabela1[[#This Row],[Image Link]]), "", _xlfn.IMAGE(Tabela1[[#This Row],[Image Link]],1,1))</f>
        <v>#VALUE!</v>
      </c>
      <c r="D22" s="6">
        <f>SUM(Tabela1[[#This Row],[Archery - Men''s Individual Recurve]:[Speed Skating - Women''s Team Pursuit]])</f>
        <v>63</v>
      </c>
      <c r="E22" s="6">
        <f>COUNTIF(Tabela1[[#This Row],[Archery - Men''s Individual Recurve]:[Speed Skating - Women''s Team Pursuit]],"&gt;0")</f>
        <v>59</v>
      </c>
      <c r="F22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22" s="6">
        <f>SUM(Tabela1[[#This Row],[Archery - Men''s Individual Recurve]:[Wrestling - Women''s Freestyle 76kg]])</f>
        <v>53</v>
      </c>
      <c r="H22" s="6">
        <f>SUM(Tabela1[[#This Row],[Alpine Skiing - Men''s Downhill]:[Speed Skating - Women''s Team Pursuit]])</f>
        <v>10</v>
      </c>
      <c r="I22" s="6">
        <f>Tabela1[[#This Row],[Summer Gold Medals]]+Tabela1[[#This Row],[Winter Gold Medals]]</f>
        <v>4</v>
      </c>
      <c r="J22" s="6">
        <f>Tabela1[[#This Row],[Summer Silver Medals]]+Tabela1[[#This Row],[Winter Silver Medals]]</f>
        <v>0</v>
      </c>
      <c r="K22" s="6">
        <f>Tabela1[[#This Row],[Summer Bronze Medals]]+Tabela1[[#This Row],[Winter Bronze Medals]]</f>
        <v>3</v>
      </c>
      <c r="L22" s="6">
        <f>SUM(Tabela1[[#This Row],[Total Gold Medals]:[Total Bronze Medals]])</f>
        <v>7</v>
      </c>
      <c r="M22" s="6">
        <v>4</v>
      </c>
      <c r="N22" s="6"/>
      <c r="O22" s="6">
        <v>3</v>
      </c>
      <c r="P22" s="6">
        <f>SUM(Tabela1[[#This Row],[Summer Gold Medals]:[Summer Bronze Medals]])</f>
        <v>7</v>
      </c>
      <c r="Q22" s="6"/>
      <c r="R22" s="6"/>
      <c r="S22" s="6"/>
      <c r="T22" s="6">
        <f>Tabela1[[#This Row],[Winter Gold Medals]]+Tabela1[[#This Row],[Winter Silver Medals]]+Tabela1[[#This Row],[Winter Bronze Medals]]</f>
        <v>0</v>
      </c>
      <c r="U22" s="7">
        <f>Tabela1[[#This Row],[Total Medals]]/Tabela1[[#This Row],[Total Quotas]]</f>
        <v>0.1111111111111111</v>
      </c>
      <c r="V22" s="6">
        <f>COUNTIFS(Table3[Country],Tabela1[[#This Row],[Country]],Table3[Recurve Classification],"&gt;0")</f>
        <v>0</v>
      </c>
      <c r="W22" s="6">
        <f>COUNTIFS(Table33[Country],Tabela1[[#This Row],[Country]],Table33[Recurve Classification],"&gt;0")</f>
        <v>0</v>
      </c>
      <c r="X22" s="6">
        <f>COUNTIFS(Table35[Country],Tabela1[[#This Row],[Country]],Table35[Men''s Team Recurve Classification],"&gt;0")</f>
        <v>0</v>
      </c>
      <c r="Y22" s="6">
        <f>COUNTIFS(Table35[Country],Tabela1[[#This Row],[Country]],Table35[Women''s Team Recurve Classification],"&gt;0")</f>
        <v>0</v>
      </c>
      <c r="Z22" s="6">
        <f>COUNTIFS(Tabela88[Country],Tabela1[[#This Row],[Country]],Tabela88[Mixed Team Recurve Classification],"&gt;0")</f>
        <v>0</v>
      </c>
      <c r="AA22" s="6">
        <f>COUNTIFS(Table36[Country],Tabela1[[#This Row],[Country]],Table36[Classification],"&gt;0")</f>
        <v>0</v>
      </c>
      <c r="AB22" s="6">
        <f>COUNTIFS(Table37[Country],Tabela1[[#This Row],[Country]],Table37[Classification],"&gt;0")</f>
        <v>0</v>
      </c>
      <c r="AC22" s="6">
        <f>COUNTIFS(Table4[Country],Tabela1[[#This Row],[Country]],Table4[100m Classification],"&gt;0")</f>
        <v>0</v>
      </c>
      <c r="AD22" s="6">
        <f>COUNTIFS(Table5[Country],Tabela1[[#This Row],[Country]],Table5[100m Classification],"&gt;0")</f>
        <v>0</v>
      </c>
      <c r="AE22" s="6">
        <f>COUNTIFS(Table4[Country],Tabela1[[#This Row],[Country]],Table4[200m Classification],"&gt;0")</f>
        <v>0</v>
      </c>
      <c r="AF22" s="6">
        <f>COUNTIFS(Table5[Country],Tabela1[[#This Row],[Country]],Table5[200m Classification],"&gt;0")</f>
        <v>0</v>
      </c>
      <c r="AG22" s="6">
        <f>COUNTIFS(Table4[Country],Tabela1[[#This Row],[Country]],Table4[400m Classification],"&gt;0")</f>
        <v>0</v>
      </c>
      <c r="AH22" s="6">
        <f>COUNTIFS(Table5[Country],Tabela1[[#This Row],[Country]],Table5[400m Classification],"&gt;0")</f>
        <v>1</v>
      </c>
      <c r="AI22" s="6">
        <f>COUNTIFS(Table4[Country],Tabela1[[#This Row],[Country]],Table4[800m Classification],"&gt;0")</f>
        <v>1</v>
      </c>
      <c r="AJ22" s="6">
        <f>COUNTIFS(Table5[Country],Tabela1[[#This Row],[Country]],Table5[800m Classification],"&gt;0")</f>
        <v>0</v>
      </c>
      <c r="AK22" s="6">
        <f>COUNTIFS(Table4[Country],Tabela1[[#This Row],[Country]],Table4[1500m Classification],"&gt;0")</f>
        <v>2</v>
      </c>
      <c r="AL22" s="6">
        <f>COUNTIFS(Table5[Country],Tabela1[[#This Row],[Country]],Table5[1500m Classification],"&gt;0")</f>
        <v>0</v>
      </c>
      <c r="AM22" s="6">
        <f>COUNTIFS(Table4[Country],Tabela1[[#This Row],[Country]],Table4[5000m Classification],"&gt;0")</f>
        <v>1</v>
      </c>
      <c r="AN22" s="6">
        <f>COUNTIFS(Table5[Country],Tabela1[[#This Row],[Country]],Table5[5000m Classification],"&gt;0")</f>
        <v>1</v>
      </c>
      <c r="AO22" s="6">
        <f>COUNTIFS(Table4[Country],Tabela1[[#This Row],[Country]],Table4[10000m Classification],"&gt;0")</f>
        <v>0</v>
      </c>
      <c r="AP22" s="6">
        <f>COUNTIFS(Table5[Country],Tabela1[[#This Row],[Country]],Table5[10000m Classification],"&gt;0")</f>
        <v>0</v>
      </c>
      <c r="AQ22" s="6">
        <f>COUNTIFS(Table4[Country],Tabela1[[#This Row],[Country]],Table4[110m Hurdles Classification],"&gt;0")</f>
        <v>0</v>
      </c>
      <c r="AR22" s="6">
        <f>COUNTIFS(Table5[Country],Tabela1[[#This Row],[Country]],Table5[100m Hurdles Classification],"&gt;0")</f>
        <v>0</v>
      </c>
      <c r="AS22" s="6">
        <f>COUNTIFS(Table4[Country],Tabela1[[#This Row],[Country]],Table4[400m Hurdles Classification],"&gt;0")</f>
        <v>0</v>
      </c>
      <c r="AT22" s="6">
        <f>COUNTIFS(Table5[Country],Tabela1[[#This Row],[Country]],Table5[400m Hurdles Classification],"&gt;0")</f>
        <v>0</v>
      </c>
      <c r="AU22" s="6">
        <f>COUNTIFS(Table4[Country],Tabela1[[#This Row],[Country]],Table4[3000m Steeplechase Classification],"&gt;0")</f>
        <v>0</v>
      </c>
      <c r="AV22" s="6">
        <f>COUNTIFS(Table5[Country],Tabela1[[#This Row],[Country]],Table5[3000m Steeplechase Classification],"&gt;0")</f>
        <v>0</v>
      </c>
      <c r="AW22" s="6">
        <f>COUNTIFS(Table27[Country],Tabela1[[#This Row],[Country]],Table27[Men''s 4x100m Relay Classification],"&gt;0")</f>
        <v>0</v>
      </c>
      <c r="AX22" s="6">
        <f>COUNTIFS(Table27[Country],Tabela1[[#This Row],[Country]],Table27[Women''s 4x100m Relay Classification],"&gt;0")</f>
        <v>0</v>
      </c>
      <c r="AY22" s="6">
        <f>COUNTIFS(Table27[Country],Tabela1[[#This Row],[Country]],Table27[Men''s 4x400m Relay Classification],"&gt;0")</f>
        <v>0</v>
      </c>
      <c r="AZ22" s="6">
        <f>COUNTIFS(Table27[Country],Tabela1[[#This Row],[Country]],Table27[Women''s 4x400m Relay Classification],"&gt;0")</f>
        <v>1</v>
      </c>
      <c r="BA22" s="6">
        <f>COUNTIFS(Table27[Country],Tabela1[[#This Row],[Country]],Table27[Mixed 4x400m Relay Classification],"&gt;0")</f>
        <v>1</v>
      </c>
      <c r="BB22" s="6">
        <f>COUNTIFS(Table4[Country],Tabela1[[#This Row],[Country]],Table4[Marathon Classification],"&gt;0")</f>
        <v>0</v>
      </c>
      <c r="BC22" s="6">
        <f>COUNTIFS(Table5[Country],Tabela1[[#This Row],[Country]],Table5[Marathon Classification],"&gt;0")</f>
        <v>0</v>
      </c>
      <c r="BD22" s="6">
        <f>COUNTIFS(Table4[Country],Tabela1[[#This Row],[Country]],Table4[20km Race Walk Classification],"&gt;0")</f>
        <v>0</v>
      </c>
      <c r="BE22" s="6">
        <f>COUNTIFS(Table5[Country],Tabela1[[#This Row],[Country]],Table5[20km Race Walk Classification],"&gt;0")</f>
        <v>0</v>
      </c>
      <c r="BF22" s="6">
        <f>COUNTIFS(Tabela96[Country],Tabela1[[#This Row],[Country]],Tabela96[Mixed Marathon Race Walk Relay Classification],"&gt;0")</f>
        <v>0</v>
      </c>
      <c r="BG22" s="6">
        <f>COUNTIFS(Table4[Country],Tabela1[[#This Row],[Country]],Table4[Discus Throw Classification],"&gt;0")</f>
        <v>0</v>
      </c>
      <c r="BH22" s="6">
        <f>COUNTIFS(Table5[Country],Tabela1[[#This Row],[Country]],Table5[Discus Throw Classification],"&gt;0")</f>
        <v>0</v>
      </c>
      <c r="BI22" s="6">
        <f>COUNTIFS(Table4[Country],Tabela1[[#This Row],[Country]],Table4[Hammer Throw Classification],"&gt;0")</f>
        <v>0</v>
      </c>
      <c r="BJ22" s="6">
        <f>COUNTIFS(Table5[Country],Tabela1[[#This Row],[Country]],Table5[Hammer Throw Classification],"&gt;0")</f>
        <v>1</v>
      </c>
      <c r="BK22" s="6">
        <f>COUNTIFS(Table4[Country],Tabela1[[#This Row],[Country]],Table4[High Jump Classification],"&gt;0")</f>
        <v>0</v>
      </c>
      <c r="BL22" s="6">
        <f>COUNTIFS(Table5[Country],Tabela1[[#This Row],[Country]],Table5[High Jump Classification],"&gt;0")</f>
        <v>0</v>
      </c>
      <c r="BM22" s="6">
        <f>COUNTIFS(Table4[Country],Tabela1[[#This Row],[Country]],Table4[Javelin Throw Classification],"&gt;0")</f>
        <v>0</v>
      </c>
      <c r="BN22" s="6">
        <f>COUNTIFS(Table5[Country],Tabela1[[#This Row],[Country]],Table5[Javelin Throw Classification],"&gt;0")</f>
        <v>0</v>
      </c>
      <c r="BO22" s="6">
        <f>COUNTIFS(Table4[Country],Tabela1[[#This Row],[Country]],Table4[Long Jump Classification],"&gt;0")</f>
        <v>0</v>
      </c>
      <c r="BP22" s="6">
        <f>COUNTIFS(Table5[Country],Tabela1[[#This Row],[Country]],Table5[Long Jump Classification],"&gt;0")</f>
        <v>0</v>
      </c>
      <c r="BQ22" s="6">
        <f>COUNTIFS(Table4[Country],Tabela1[[#This Row],[Country]],Table4[Pole Vault Classification],"&gt;0")</f>
        <v>0</v>
      </c>
      <c r="BR22" s="6">
        <f>COUNTIFS(Table5[Country],Tabela1[[#This Row],[Country]],Table5[Pole Vault Classification],"&gt;0")</f>
        <v>0</v>
      </c>
      <c r="BS22" s="6">
        <f>COUNTIFS(Table4[Country],Tabela1[[#This Row],[Country]],Table4[Shot Put Classification],"&gt;0")</f>
        <v>0</v>
      </c>
      <c r="BT22" s="6">
        <f>COUNTIFS(Table5[Country],Tabela1[[#This Row],[Country]],Table5[Shot Put Classification],"&gt;0")</f>
        <v>0</v>
      </c>
      <c r="BU22" s="6">
        <f>COUNTIFS(Table4[Country],Tabela1[[#This Row],[Country]],Table4[Triple Jump Classification],"&gt;0")</f>
        <v>0</v>
      </c>
      <c r="BV22" s="6">
        <f>COUNTIFS(Table5[Country],Tabela1[[#This Row],[Country]],Table5[Triple Jump Classification],"&gt;0")</f>
        <v>0</v>
      </c>
      <c r="BW22" s="6">
        <f>COUNTIFS(Table4[Country],Tabela1[[#This Row],[Country]],Table4[Decathlon Classification],"&gt;0")</f>
        <v>0</v>
      </c>
      <c r="BX22" s="6">
        <f>COUNTIFS(Table5[Country],Tabela1[[#This Row],[Country]],Table5[Heptathlon Classification],"&gt;0")</f>
        <v>1</v>
      </c>
      <c r="BY22" s="6">
        <f>COUNTIFS(Table61[Country],Tabela1[[#This Row],[Country]],Table61[Classification],"&gt;0")</f>
        <v>0</v>
      </c>
      <c r="BZ22" s="6">
        <f>COUNTIFS(Table38[Country],Tabela1[[#This Row],[Country]],Table38[Classification],"&gt;0")</f>
        <v>1</v>
      </c>
      <c r="CA22" s="6">
        <f>COUNTIFS(Table39[Country],Tabela1[[#This Row],[Country]],Table39[Men''s Classification],"&gt;0")</f>
        <v>0</v>
      </c>
      <c r="CB22" s="6">
        <f>COUNTIFS(Table39[Country],Tabela1[[#This Row],[Country]],Table39[Women''s Classification],"&gt;0")</f>
        <v>0</v>
      </c>
      <c r="CC22" s="6">
        <f>COUNTIFS(Table39[Country],Tabela1[[#This Row],[Country]],Table39[Mixed Classification],"&gt;0")</f>
        <v>0</v>
      </c>
      <c r="CD22" s="6">
        <f>COUNTIFS(Table89[Country],Tabela1[[#This Row],[Country]],Table89[Men''s Classification],"&gt;0")</f>
        <v>0</v>
      </c>
      <c r="CE22" s="6">
        <f>COUNTIFS(Table89[Country],Tabela1[[#This Row],[Country]],Table89[Women''s Classification],"&gt;0")</f>
        <v>0</v>
      </c>
      <c r="CF22" s="6">
        <f>COUNTIFS(Table90[Country],Tabela1[[#This Row],[Country]],Table90[Men''s Classification],"&gt;0")</f>
        <v>0</v>
      </c>
      <c r="CG22" s="6">
        <f>COUNTIFS(Table90[Country],Tabela1[[#This Row],[Country]],Table90[Women''s Classification],"&gt;0")</f>
        <v>0</v>
      </c>
      <c r="CH22" s="6">
        <f>COUNTIFS(Table60[Country],Tabela1[[#This Row],[Country]],Table60[Men''s Classification],"&gt;0")</f>
        <v>0</v>
      </c>
      <c r="CI22" s="6">
        <f>COUNTIFS(Table60[Country],Tabela1[[#This Row],[Country]],Table60[Women''s Classification],"&gt;0")</f>
        <v>0</v>
      </c>
      <c r="CJ22" s="6">
        <f>COUNTIFS(Table6[Country],Tabela1[[#This Row],[Country]],Table6[51kg Classification],"&gt;0")</f>
        <v>0</v>
      </c>
      <c r="CK22" s="6">
        <f>COUNTIFS(Table6[Country],Tabela1[[#This Row],[Country]],Table6[57kg Classification],"&gt;0")</f>
        <v>0</v>
      </c>
      <c r="CL22" s="6">
        <f>COUNTIFS(Table6[Country],Tabela1[[#This Row],[Country]],Table6[63.5kg Classification],"&gt;0")</f>
        <v>0</v>
      </c>
      <c r="CM22" s="6">
        <f>COUNTIFS(Table6[Country],Tabela1[[#This Row],[Country]],Table6[71kg Classification],"&gt;0")</f>
        <v>0</v>
      </c>
      <c r="CN22" s="6">
        <f>COUNTIFS(Table6[Country],Tabela1[[#This Row],[Country]],Table6[80kg Classification],"&gt;0")</f>
        <v>0</v>
      </c>
      <c r="CO22" s="6">
        <f>COUNTIFS(Table6[Country],Tabela1[[#This Row],[Country]],Table6[92kg Classification],"&gt;0")</f>
        <v>1</v>
      </c>
      <c r="CP22" s="6">
        <f>COUNTIFS(Table6[Country],Tabela1[[#This Row],[Country]],Table6[Plus 92kg Classification],"&gt;0")</f>
        <v>0</v>
      </c>
      <c r="CQ22" s="6">
        <f>COUNTIFS(Table7[Country],Tabela1[[#This Row],[Country]],Table7[50kg Classification],"&gt;0")</f>
        <v>1</v>
      </c>
      <c r="CR22" s="6">
        <f>COUNTIFS(Table7[Country],Tabela1[[#This Row],[Country]],Table7[54kg Classification],"&gt;0")</f>
        <v>1</v>
      </c>
      <c r="CS22" s="6">
        <f>COUNTIFS(Table7[Country],Tabela1[[#This Row],[Country]],Table7[57kg Classification],"&gt;0")</f>
        <v>0</v>
      </c>
      <c r="CT22" s="6">
        <f>COUNTIFS(Table7[Country],Tabela1[[#This Row],[Country]],Table7[60kg Classification],"&gt;0")</f>
        <v>1</v>
      </c>
      <c r="CU22" s="6">
        <f>COUNTIFS(Table7[Country],Tabela1[[#This Row],[Country]],Table7[66kg Classification],"&gt;0")</f>
        <v>1</v>
      </c>
      <c r="CV22" s="6">
        <f>COUNTIFS(Table7[Country],Tabela1[[#This Row],[Country]],Table7[75kg Classification],"&gt;0")</f>
        <v>0</v>
      </c>
      <c r="CW22" s="6">
        <f>COUNTIFS(Tabela94[Country],Tabela1[[#This Row],[Country]],Tabela94[Classification],"&gt;0")</f>
        <v>0</v>
      </c>
      <c r="CX22" s="6">
        <f>COUNTIFS(Tabela9499[Country],Tabela1[[#This Row],[Country]],Tabela9499[Classification],"&gt;0")</f>
        <v>0</v>
      </c>
      <c r="CY22" s="6">
        <f>COUNTIFS(Tabela107[Country],Tabela1[[#This Row],[Country]],Tabela107[C1 Slalom Classification],"&gt;0")</f>
        <v>0</v>
      </c>
      <c r="CZ22" s="6">
        <f>COUNTIFS(Tabela107122[Country],Tabela1[[#This Row],[Country]],Tabela107122[C1 Slalom Classification],"&gt;0")</f>
        <v>0</v>
      </c>
      <c r="DA22" s="6">
        <f>COUNTIFS(Tabela107[Country],Tabela1[[#This Row],[Country]],Tabela107[K1 Slalom Classification],"&gt;0")</f>
        <v>1</v>
      </c>
      <c r="DB22" s="6">
        <f>COUNTIFS(Tabela107122[Country],Tabela1[[#This Row],[Country]],Tabela107122[K1 Slalom Classification],"&gt;0")</f>
        <v>0</v>
      </c>
      <c r="DC22" s="6">
        <f>COUNTIFS(Tabela107[Country],Tabela1[[#This Row],[Country]],Tabela107[Kayak Cross Slalom Classification],"&gt;0")</f>
        <v>1</v>
      </c>
      <c r="DD22" s="6">
        <f>COUNTIFS(Tabela107122[Country],Tabela1[[#This Row],[Country]],Tabela107122[Kayak Cross Slalom Classification],"&gt;0")</f>
        <v>0</v>
      </c>
      <c r="DE22" s="6">
        <f>COUNTIFS(Table8[Country],Tabela1[[#This Row],[Country]],Table8[C1 200m Classification],"&gt;0")</f>
        <v>0</v>
      </c>
      <c r="DF22" s="6">
        <f>COUNTIFS(Table40[Country],Tabela1[[#This Row],[Country]],Table40[C1 1000m Classification],"&gt;0")</f>
        <v>0</v>
      </c>
      <c r="DG22" s="6">
        <f>COUNTIFS(Table68[Country],Tabela1[[#This Row],[Country]],Table68[Men''s C2 500m Classification],"&gt;0")</f>
        <v>0</v>
      </c>
      <c r="DH22" s="6">
        <f>COUNTIFS(Table68[Country],Tabela1[[#This Row],[Country]],Table68[Women''s C2 500m Classification],"&gt;0")</f>
        <v>0</v>
      </c>
      <c r="DI22" s="6">
        <f>COUNTIFS(Table8[Country],Tabela1[[#This Row],[Country]],Table8[K1 500m Classification],"&gt;0")</f>
        <v>0</v>
      </c>
      <c r="DJ22" s="6">
        <f>COUNTIFS(Table40[Country],Tabela1[[#This Row],[Country]],Table40[K1 1000m Classification],"&gt;0")</f>
        <v>0</v>
      </c>
      <c r="DK22" s="6">
        <f>COUNTIFS(Table68[Country],Tabela1[[#This Row],[Country]],Table68[Men''s K2 500m Classification],"&gt;0")</f>
        <v>0</v>
      </c>
      <c r="DL22" s="6">
        <f>COUNTIFS(Table68[Country],Tabela1[[#This Row],[Country]],Table68[Women''s K2 500m Classification],"&gt;0")</f>
        <v>0</v>
      </c>
      <c r="DM22" s="6">
        <f>COUNTIFS(Table83[Country],Tabela1[[#This Row],[Country]],Table83[Men''s K4 500m Classification],"&gt;0")</f>
        <v>0</v>
      </c>
      <c r="DN22" s="6">
        <f>COUNTIFS(Table83[Country],Tabela1[[#This Row],[Country]],Table83[Women''s K4 500m Classification],"&gt;0")</f>
        <v>0</v>
      </c>
      <c r="DO22" s="6">
        <f>COUNTIFS(Tabela126[Country],Tabela1[[#This Row],[Country]],Tabela126[Classification],"&gt;0")</f>
        <v>0</v>
      </c>
      <c r="DP22" s="6">
        <f>COUNTIFS(Tabela126130[Country],Tabela1[[#This Row],[Country]],Tabela126130[Classification],"&gt;0")</f>
        <v>0</v>
      </c>
      <c r="DQ22" s="6">
        <f>COUNTIFS(Table70[Country],Tabela1[[#This Row],[Country]],Table70[Classification],"&gt;0")</f>
        <v>0</v>
      </c>
      <c r="DR22" s="6">
        <f>COUNTIFS(Table80[Country],Tabela1[[#This Row],[Country]],Table80[Classification],"&gt;0")</f>
        <v>0</v>
      </c>
      <c r="DS22" s="6">
        <f>COUNTIFS(Table66[Country],Tabela1[[#This Row],[Country]],Table66[Classification],"&gt;0")</f>
        <v>0</v>
      </c>
      <c r="DT22" s="6">
        <f>COUNTIFS(Table67[Country],Tabela1[[#This Row],[Country]],Table67[Classification],"&gt;0")</f>
        <v>0</v>
      </c>
      <c r="DU22" s="6">
        <f>COUNTIFS(Table69[Country],Tabela1[[#This Row],[Country]],Table69[Keirin Classification],"&gt;0")</f>
        <v>0</v>
      </c>
      <c r="DV22" s="6">
        <f>COUNTIFS(Table41[Country],Tabela1[[#This Row],[Country]],Table41[Keirin Classification],"&gt;0")</f>
        <v>0</v>
      </c>
      <c r="DW22" s="6">
        <f>COUNTIFS(Table84[Country],Tabela1[[#This Row],[Country]],Table84[Men''s Madison Classification],"&gt;0")</f>
        <v>0</v>
      </c>
      <c r="DX22" s="6">
        <f>COUNTIFS(Table84[Country],Tabela1[[#This Row],[Country]],Table84[Women''s Madison Classification],"&gt;0")</f>
        <v>0</v>
      </c>
      <c r="DY22" s="6">
        <f>COUNTIFS(Table69[Country],Tabela1[[#This Row],[Country]],Table69[Omnium Classification],"&gt;0")</f>
        <v>0</v>
      </c>
      <c r="DZ22" s="6">
        <f>COUNTIFS(Table41[Country],Tabela1[[#This Row],[Country]],Table41[Omnium Classification],"&gt;0")</f>
        <v>0</v>
      </c>
      <c r="EA22" s="6">
        <f>COUNTIFS(Table9[Country],Tabela1[[#This Row],[Country]],Table9[Road Race Classification],"&gt;0")</f>
        <v>1</v>
      </c>
      <c r="EB22" s="6">
        <f>COUNTIFS(Table14[Country],Tabela1[[#This Row],[Country]],Table14[Road Race Classification],"&gt;0")</f>
        <v>1</v>
      </c>
      <c r="EC22" s="6">
        <f>COUNTIFS(Table69[Country],Tabela1[[#This Row],[Country]],Table69[Sprint Classification],"&gt;0")</f>
        <v>0</v>
      </c>
      <c r="ED22" s="6">
        <f>COUNTIFS(Table41[Country],Tabela1[[#This Row],[Country]],Table41[Sprint Classification],"&gt;0")</f>
        <v>0</v>
      </c>
      <c r="EE22" s="6">
        <f>COUNTIFS(Table85[Country],Tabela1[[#This Row],[Country]],Table85[Men''s Sprint Classification],"&gt;0")</f>
        <v>0</v>
      </c>
      <c r="EF22" s="6">
        <f>COUNTIFS(Table85[Country],Tabela1[[#This Row],[Country]],Table85[Women''s Sprint Classification],"&gt;0")</f>
        <v>0</v>
      </c>
      <c r="EG22" s="6">
        <f>COUNTIFS(Table85[Country],Tabela1[[#This Row],[Country]],Table85[Men''s Pursuit Classification],"&gt;0")</f>
        <v>0</v>
      </c>
      <c r="EH22" s="6">
        <f>COUNTIFS(Table85[Country],Tabela1[[#This Row],[Country]],Table85[Women''s Pursuit Classification],"&gt;0")</f>
        <v>1</v>
      </c>
      <c r="EI22" s="6">
        <f>COUNTIFS(Table9[Country],Tabela1[[#This Row],[Country]],Table9[Time-Trial Classification],"&gt;0")</f>
        <v>1</v>
      </c>
      <c r="EJ22" s="6">
        <f>COUNTIFS(Table14[Country],Tabela1[[#This Row],[Country]],Table14[Time-Trial Classification],"&gt;0")</f>
        <v>0</v>
      </c>
      <c r="EK22" s="6">
        <f>COUNTIFS(Table42[Country],Tabela1[[#This Row],[Country]],Table42[Springboard Classification],"&gt;0")</f>
        <v>1</v>
      </c>
      <c r="EL22" s="6">
        <f>COUNTIFS(Table43[Country],Tabela1[[#This Row],[Country]],Table43[Springboard Classification],"&gt;0")</f>
        <v>0</v>
      </c>
      <c r="EM22" s="6">
        <f>COUNTIFS(Table42[Country],Tabela1[[#This Row],[Country]],Table42[Platform Classification],"&gt;0")</f>
        <v>0</v>
      </c>
      <c r="EN22" s="6">
        <f>COUNTIFS(Table43[Country],Tabela1[[#This Row],[Country]],Table43[Platform Classification],"&gt;0")</f>
        <v>1</v>
      </c>
      <c r="EO22" s="6">
        <f>COUNTIFS(Table86[Country],Tabela1[[#This Row],[Country]],Table86[Men''s Synchronized Springboard Classification],"&gt;0")</f>
        <v>0</v>
      </c>
      <c r="EP22" s="6">
        <f>COUNTIFS(Table86[Country],Tabela1[[#This Row],[Country]],Table86[Women''s Synchronized Springboard Classification],"&gt;0")</f>
        <v>0</v>
      </c>
      <c r="EQ22" s="6">
        <f>COUNTIFS(Table86[Country],Tabela1[[#This Row],[Country]],Table86[Men''s Synchronized Platform Classification],"&gt;0")</f>
        <v>0</v>
      </c>
      <c r="ER22" s="6">
        <f>COUNTIFS(Table86[Country],Tabela1[[#This Row],[Country]],Table86[Women''s Synchronized Platform Classification],"&gt;0")</f>
        <v>0</v>
      </c>
      <c r="ES22" s="6">
        <f>COUNTIFS(Table44[Country],Tabela1[[#This Row],[Country]],Table44[Dressage Classification],"&gt;0")</f>
        <v>0</v>
      </c>
      <c r="ET22" s="6">
        <f>COUNTIFS(Table45[Country],Tabela1[[#This Row],[Country]],Table45[Dressage Classification],"&gt;0")</f>
        <v>0</v>
      </c>
      <c r="EU22" s="6">
        <f>COUNTIFS(Table44[Country],Tabela1[[#This Row],[Country]],Table44[Eventing Classification],"&gt;0")</f>
        <v>3</v>
      </c>
      <c r="EV22" s="6">
        <f>COUNTIFS(Table45[Country],Tabela1[[#This Row],[Country]],Table45[Eventing Classification],"&gt;0")</f>
        <v>1</v>
      </c>
      <c r="EW22" s="6">
        <f>COUNTIFS(Table44[Country],Tabela1[[#This Row],[Country]],Table44[Jumping Classification],"&gt;0")</f>
        <v>2</v>
      </c>
      <c r="EX22" s="6">
        <f>COUNTIFS(Table45[Country],Tabela1[[#This Row],[Country]],Table45[Jumping Classification],"&gt;0")</f>
        <v>1</v>
      </c>
      <c r="EY22" s="6">
        <f>COUNTIFS(Table10[Country],Tabela1[[#This Row],[Country]],Table10[Épée Classification],"&gt;0")</f>
        <v>0</v>
      </c>
      <c r="EZ22" s="6">
        <f>COUNTIFS(Table11[Country],Tabela1[[#This Row],[Country]],Table11[Épée Classification],"&gt;0")</f>
        <v>0</v>
      </c>
      <c r="FA22" s="6">
        <f>COUNTIFS(Table46[Country],Tabela1[[#This Row],[Country]],Table46[Men''s Épée Classification],"&gt;0")</f>
        <v>0</v>
      </c>
      <c r="FB22" s="6">
        <f>COUNTIFS(Table46[Country],Tabela1[[#This Row],[Country]],Table46[Women''s Épée Classification],"&gt;0")</f>
        <v>0</v>
      </c>
      <c r="FC22" s="6">
        <f>COUNTIFS(Table10[Country],Tabela1[[#This Row],[Country]],Table10[Foil Classification],"&gt;0")</f>
        <v>0</v>
      </c>
      <c r="FD22" s="6">
        <f>COUNTIFS(Table11[Country],Tabela1[[#This Row],[Country]],Table11[Foil Classification],"&gt;0")</f>
        <v>0</v>
      </c>
      <c r="FE22" s="6">
        <f>COUNTIFS(Table46[Country],Tabela1[[#This Row],[Country]],Table46[Men''s Foil Classification],"&gt;0")</f>
        <v>0</v>
      </c>
      <c r="FF22" s="6">
        <f>COUNTIFS(Table46[Country],Tabela1[[#This Row],[Country]],Table46[Women''s Foil Classification],"&gt;0")</f>
        <v>0</v>
      </c>
      <c r="FG22" s="6">
        <f>COUNTIFS(Table10[Country],Tabela1[[#This Row],[Country]],Table10[Sabre Classification],"&gt;0")</f>
        <v>0</v>
      </c>
      <c r="FH22" s="6">
        <f>COUNTIFS(Table11[Country],Tabela1[[#This Row],[Country]],Table11[Sabre Classification],"&gt;0")</f>
        <v>0</v>
      </c>
      <c r="FI22" s="6">
        <f>COUNTIFS(Table46[Country],Tabela1[[#This Row],[Country]],Table46[Men''s Sabre Classification],"&gt;0")</f>
        <v>0</v>
      </c>
      <c r="FJ22" s="6">
        <f>COUNTIFS(Table46[Country],Tabela1[[#This Row],[Country]],Table46[Women''s Sabre Classification],"&gt;0")</f>
        <v>0</v>
      </c>
      <c r="FK22" s="6">
        <f>COUNTIFS(Table91[Country],Tabela1[[#This Row],[Country]],Table91[Men''s Classification],"&gt;0")</f>
        <v>1</v>
      </c>
      <c r="FL22" s="6">
        <f>COUNTIFS(Table91[Country],Tabela1[[#This Row],[Country]],Table91[Women''s Classification],"&gt;0")</f>
        <v>0</v>
      </c>
      <c r="FM22" s="6">
        <f>COUNTIFS(Table9194[Country],Tabela1[[#This Row],[Country]],Table9194[Men''s Classification],"&gt;0")</f>
        <v>0</v>
      </c>
      <c r="FN22" s="6">
        <f>COUNTIFS(Table9194[Country],Tabela1[[#This Row],[Country]],Table9194[Women''s Classification],"&gt;0")</f>
        <v>0</v>
      </c>
      <c r="FO22" s="6">
        <f>COUNTIFS(Table71[Country],Tabela1[[#This Row],[Country]],Table71[Classification],"&gt;0")</f>
        <v>1</v>
      </c>
      <c r="FP22" s="6">
        <f>COUNTIFS(Table62[Country],Tabela1[[#This Row],[Country]],Table62[Classification],"&gt;0")</f>
        <v>1</v>
      </c>
      <c r="FQ22" s="6">
        <f>COUNTIFS(Table47[Country],Tabela1[[#This Row],[Country]],Table47[All-Around Classification],"&gt;0")</f>
        <v>0</v>
      </c>
      <c r="FR22" s="6">
        <f>COUNTIFS(Table48[Country],Tabela1[[#This Row],[Country]],Table48[All-Around Classification],"&gt;0")</f>
        <v>0</v>
      </c>
      <c r="FS22" s="6">
        <f>COUNTIFS(Table81[Country],Tabela1[[#This Row],[Country]],Table81[Men''s All-Around Classification],"&gt;0")</f>
        <v>0</v>
      </c>
      <c r="FT22" s="6">
        <f>COUNTIFS(Table81[Country],Tabela1[[#This Row],[Country]],Table81[Women''s All-Around Classification],"&gt;0")</f>
        <v>0</v>
      </c>
      <c r="FU22" s="6">
        <f>COUNTIFS(Table48[Country],Tabela1[[#This Row],[Country]],Table48[Balance Beam Classification],"&gt;0")</f>
        <v>0</v>
      </c>
      <c r="FV22" s="6">
        <f>COUNTIFS(Table47[Country],Tabela1[[#This Row],[Country]],Table47[Floor Exercise Classification],"&gt;0")</f>
        <v>0</v>
      </c>
      <c r="FW22" s="6">
        <f>COUNTIFS(Table48[Country],Tabela1[[#This Row],[Country]],Table48[Floor Exercise Classification],"&gt;0")</f>
        <v>0</v>
      </c>
      <c r="FX22" s="6">
        <f>COUNTIFS(Table47[Country],Tabela1[[#This Row],[Country]],Table47[Horizontal Bar Classification],"&gt;0")</f>
        <v>0</v>
      </c>
      <c r="FY22" s="6">
        <f>COUNTIFS(Table47[Country],Tabela1[[#This Row],[Country]],Table47[Parallel Bars Classification],"&gt;0")</f>
        <v>0</v>
      </c>
      <c r="FZ22" s="6">
        <f>COUNTIFS(Table47[Country],Tabela1[[#This Row],[Country]],Table47[Pommel Horse Classification],"&gt;0")</f>
        <v>0</v>
      </c>
      <c r="GA22" s="6">
        <f>COUNTIFS(Table47[Country],Tabela1[[#This Row],[Country]],Table47[Rings Classification],"&gt;0")</f>
        <v>0</v>
      </c>
      <c r="GB22" s="6">
        <f>COUNTIFS(Tabela132[Country],Tabela1[[#This Row],[Country]],Tabela132[Classification],"&gt;0")</f>
        <v>0</v>
      </c>
      <c r="GC22" s="6">
        <f>COUNTIFS(Tabela139[Country],Tabela1[[#This Row],[Country]],Tabela139[Classification],"&gt;0")</f>
        <v>0</v>
      </c>
      <c r="GD22" s="6">
        <f>COUNTIFS(Table48[Country],Tabela1[[#This Row],[Country]],Table48[Uneven Bars Classification],"&gt;0")</f>
        <v>0</v>
      </c>
      <c r="GE22" s="6">
        <f>COUNTIFS(Table47[Country],Tabela1[[#This Row],[Country]],Table47[Vault Classification],"&gt;0")</f>
        <v>0</v>
      </c>
      <c r="GF22" s="6">
        <f>COUNTIFS(Table48[Country],Tabela1[[#This Row],[Country]],Table48[Vault Classification],"&gt;0")</f>
        <v>0</v>
      </c>
      <c r="GG22" s="6">
        <f>COUNTIFS(Table919496[Country],Tabela1[[#This Row],[Country]],Table919496[Men''s Classification],"&gt;0")</f>
        <v>0</v>
      </c>
      <c r="GH22" s="6">
        <f>COUNTIFS(Table919496[Country],Tabela1[[#This Row],[Country]],Table919496[Women''s Classification],"&gt;0")</f>
        <v>0</v>
      </c>
      <c r="GI22" s="6">
        <f>COUNTIFS(Table12[Country],Tabela1[[#This Row],[Country]],Table12[60kg Classification],"&gt;0")</f>
        <v>0</v>
      </c>
      <c r="GJ22" s="6">
        <f>COUNTIFS(Table12[Country],Tabela1[[#This Row],[Country]],Table12[66kg Classification],"&gt;0")</f>
        <v>0</v>
      </c>
      <c r="GK22" s="6">
        <f>COUNTIFS(Table12[Country],Tabela1[[#This Row],[Country]],Table12[73kg Classification],"&gt;0")</f>
        <v>0</v>
      </c>
      <c r="GL22" s="6">
        <f>COUNTIFS(Table12[Country],Tabela1[[#This Row],[Country]],Table12[81kg Classification],"&gt;0")</f>
        <v>0</v>
      </c>
      <c r="GM22" s="6">
        <f>COUNTIFS(Table12[Country],Tabela1[[#This Row],[Country]],Table12[90kg Classification],"&gt;0")</f>
        <v>0</v>
      </c>
      <c r="GN22" s="6">
        <f>COUNTIFS(Table12[Country],Tabela1[[#This Row],[Country]],Table12[100kg Classification],"&gt;0")</f>
        <v>0</v>
      </c>
      <c r="GO22" s="6">
        <f>COUNTIFS(Table12[Country],Tabela1[[#This Row],[Country]],Table12[Plus 100kg Classification],"&gt;0")</f>
        <v>0</v>
      </c>
      <c r="GP22" s="6">
        <f>COUNTIFS(Table13[Country],Tabela1[[#This Row],[Country]],Table13[48kg Classification],"&gt;0")</f>
        <v>0</v>
      </c>
      <c r="GQ22" s="6">
        <f>COUNTIFS(Table13[Country],Tabela1[[#This Row],[Country]],Table13[52kg Classification],"&gt;0")</f>
        <v>0</v>
      </c>
      <c r="GR22" s="6">
        <f>COUNTIFS(Table13[Country],Tabela1[[#This Row],[Country]],Table13[57kg Classification],"&gt;0")</f>
        <v>0</v>
      </c>
      <c r="GS22" s="6">
        <f>COUNTIFS(Table13[Country],Tabela1[[#This Row],[Country]],Table13[63kg Classification],"&gt;0")</f>
        <v>0</v>
      </c>
      <c r="GT22" s="6">
        <f>COUNTIFS(Table13[Country],Tabela1[[#This Row],[Country]],Table13[70kg Classification],"&gt;0")</f>
        <v>0</v>
      </c>
      <c r="GU22" s="6">
        <f>COUNTIFS(Table13[Country],Tabela1[[#This Row],[Country]],Table13[78kg Classification],"&gt;0")</f>
        <v>0</v>
      </c>
      <c r="GV22" s="6">
        <f>COUNTIFS(Table13[Country],Tabela1[[#This Row],[Country]],Table13[Plus 78kg Classification],"&gt;0")</f>
        <v>0</v>
      </c>
      <c r="GW22" s="6">
        <f>COUNTIFS(Table82[Country],Tabela1[[#This Row],[Country]],Table82[Mixed Classification],"&gt;0")</f>
        <v>0</v>
      </c>
      <c r="GX22" s="6">
        <f>COUNTIFS(Table51[Country],Tabela1[[#This Row],[Country]],Table51[Classification],"&gt;0")</f>
        <v>0</v>
      </c>
      <c r="GY22" s="6">
        <f>COUNTIFS(Table52[Country],Tabela1[[#This Row],[Country]],Table52[Classification],"&gt;0")</f>
        <v>0</v>
      </c>
      <c r="GZ22" s="6">
        <f>COUNTIFS(Table32[Country],Tabela1[[#This Row],[Country]],Table32[All-Around Classification],"&gt;0")</f>
        <v>0</v>
      </c>
      <c r="HA22" s="6">
        <f>COUNTIFS(Table49[Country],Tabela1[[#This Row],[Country]],Table49[All-Around Classification],"&gt;0")</f>
        <v>0</v>
      </c>
      <c r="HB22" s="6">
        <f>COUNTIFS(Table26[Country],Tabela1[[#This Row],[Country]],Table26[Single Sculls Classification],"&gt;0")</f>
        <v>0</v>
      </c>
      <c r="HC22" s="6">
        <f>COUNTIFS(Table63[Country],Tabela1[[#This Row],[Country]],Table63[Single Sculls Classification],"&gt;0")</f>
        <v>0</v>
      </c>
      <c r="HD22" s="6">
        <f>COUNTIFS(Table16[Country],Tabela1[[#This Row],[Country]],Table16[Men''s Double Sculls Classification],"&gt;0")</f>
        <v>1</v>
      </c>
      <c r="HE22" s="6">
        <f>COUNTIFS(Table16[Country],Tabela1[[#This Row],[Country]],Table16[Women''s Double Sculls Classification],"&gt;0")</f>
        <v>1</v>
      </c>
      <c r="HF22" s="6">
        <f>COUNTIFS(Table72[Country],Tabela1[[#This Row],[Country]],Table72[Men''s Quadruple Sculls Classification],"&gt;0")</f>
        <v>0</v>
      </c>
      <c r="HG22" s="6">
        <f>COUNTIFS(Table72[Country],Tabela1[[#This Row],[Country]],Table72[Women''s Quadruple Sculls Classification],"&gt;0")</f>
        <v>0</v>
      </c>
      <c r="HH22" s="6">
        <f>COUNTIFS(Table16[Country],Tabela1[[#This Row],[Country]],Table16[Men''s Coxless Pairs Classification],"&gt;0")</f>
        <v>0</v>
      </c>
      <c r="HI22" s="6">
        <f>COUNTIFS(Table16[Country],Tabela1[[#This Row],[Country]],Table16[Women''s Coxless Pairs Classification],"&gt;0")</f>
        <v>1</v>
      </c>
      <c r="HJ22" s="6">
        <f>COUNTIFS(Table72[Country],Tabela1[[#This Row],[Country]],Table72[Men''s Coxless Fours Classification],"&gt;0")</f>
        <v>0</v>
      </c>
      <c r="HK22" s="6">
        <f>COUNTIFS(Table72[Country],Tabela1[[#This Row],[Country]],Table72[Women''s Coxless Fours Classification],"&gt;0")</f>
        <v>1</v>
      </c>
      <c r="HL22" s="6">
        <f>COUNTIFS(Table72[Country],Tabela1[[#This Row],[Country]],Table72[Men''s Eights Classification],"&gt;0")</f>
        <v>0</v>
      </c>
      <c r="HM22" s="6">
        <f>COUNTIFS(Table72[Country],Tabela1[[#This Row],[Country]],Table72[Women''s Eights Classification],"&gt;0")</f>
        <v>0</v>
      </c>
      <c r="HN22" s="6">
        <f>COUNTIFS(Table16[Country],Tabela1[[#This Row],[Country]],Table16[Men''s Lwt. Double Sculls Classification],"&gt;0")</f>
        <v>1</v>
      </c>
      <c r="HO22" s="6">
        <f>COUNTIFS(Table16[Country],Tabela1[[#This Row],[Country]],Table16[Women''s Lwt. Double Sculls Classification],"&gt;0")</f>
        <v>1</v>
      </c>
      <c r="HP22" s="6">
        <f>COUNTIFS(Table91949698[Country],Tabela1[[#This Row],[Country]],Table91949698[Men''s Classification],"&gt;0")</f>
        <v>1</v>
      </c>
      <c r="HQ22" s="6">
        <f>COUNTIFS(Table91949698[Country],Tabela1[[#This Row],[Country]],Table91949698[Women''s Classification],"&gt;0")</f>
        <v>1</v>
      </c>
      <c r="HR22" s="6">
        <f>COUNTIFS(Table25[Country],Tabela1[[#This Row],[Country]],Table25[Mixed 470 Classification],"&gt;0")</f>
        <v>0</v>
      </c>
      <c r="HS22" s="6">
        <f>COUNTIFS(Table25[Country],Tabela1[[#This Row],[Country]],Table25[Men''s 49er Classification],"&gt;0")</f>
        <v>1</v>
      </c>
      <c r="HT22" s="6">
        <f>COUNTIFS(Table25[Country],Tabela1[[#This Row],[Country]],Table25[Women''s 49er FX Classification],"&gt;0")</f>
        <v>0</v>
      </c>
      <c r="HU22" s="6">
        <f>COUNTIFS(Table17[Country],Tabela1[[#This Row],[Country]],Table17[Formula Kite Classification],"&gt;0")</f>
        <v>0</v>
      </c>
      <c r="HV22" s="6">
        <f>COUNTIFS(Table18[Country],Tabela1[[#This Row],[Country]],Table18[Formula Kite Classification],"&gt;0")</f>
        <v>0</v>
      </c>
      <c r="HW22" s="6">
        <f>COUNTIFS(Table17[Country],Tabela1[[#This Row],[Country]],Table17[ILCA 7 Classification],"&gt;0")</f>
        <v>0</v>
      </c>
      <c r="HX22" s="6">
        <f>COUNTIFS(Table18[Country],Tabela1[[#This Row],[Country]],Table18[ILCA 6 Classification],"&gt;0")</f>
        <v>1</v>
      </c>
      <c r="HY22" s="6">
        <f>COUNTIFS(Table17[Country],Tabela1[[#This Row],[Country]],Table17[IQFoil Classification],"&gt;0")</f>
        <v>0</v>
      </c>
      <c r="HZ22" s="6">
        <f>COUNTIFS(Table18[Country],Tabela1[[#This Row],[Country]],Table18[IQFoil Classification],"&gt;0")</f>
        <v>0</v>
      </c>
      <c r="IA22" s="6">
        <f>COUNTIFS(Table25[Country],Tabela1[[#This Row],[Country]],Table25[Mixed Nacra 17 Classification],"&gt;0")</f>
        <v>0</v>
      </c>
      <c r="IB22" s="6">
        <f>COUNTIFS(Table53[Country],Tabela1[[#This Row],[Country]],Table53[10m Air Pistol Classification],"&gt;0")</f>
        <v>0</v>
      </c>
      <c r="IC22" s="6">
        <f>COUNTIFS(Table19[Country],Tabela1[[#This Row],[Country]],Table19[10m Air Pistol Classification],"&gt;0")</f>
        <v>0</v>
      </c>
      <c r="ID22" s="6">
        <f>COUNTIFS(Table54[Country],Tabela1[[#This Row],[Country]],Table54[Mixed 10m Air Pistol Team Classification],"&gt;0")</f>
        <v>0</v>
      </c>
      <c r="IE22" s="6">
        <f>COUNTIFS(Table53[Country],Tabela1[[#This Row],[Country]],Table53[10m Air Rifle Classification],"&gt;0")</f>
        <v>0</v>
      </c>
      <c r="IF22" s="6">
        <f>COUNTIFS(Table19[Country],Tabela1[[#This Row],[Country]],Table19[10m Air Rifle Classification],"&gt;0")</f>
        <v>0</v>
      </c>
      <c r="IG22" s="6">
        <f>COUNTIFS(Table54[Country],Tabela1[[#This Row],[Country]],Table54[Mixed 10m Air Rifle Team Classification],"&gt;0")</f>
        <v>0</v>
      </c>
      <c r="IH22" s="6">
        <f>COUNTIFS(Table53[Country],Tabela1[[#This Row],[Country]],Table53[25m Rapid Fire Pistol Classification],"&gt;0")</f>
        <v>0</v>
      </c>
      <c r="II22" s="6">
        <f>COUNTIFS(Table19[Country],Tabela1[[#This Row],[Country]],Table19[25m Pistol Classification],"&gt;0")</f>
        <v>0</v>
      </c>
      <c r="IJ22" s="6">
        <f>COUNTIFS(Table53[Country],Tabela1[[#This Row],[Country]],Table53[50m Rifle 3 Positions Classification],"&gt;0")</f>
        <v>0</v>
      </c>
      <c r="IK22" s="6">
        <f>COUNTIFS(Table19[Country],Tabela1[[#This Row],[Country]],Table19[50m Rifle 3 Positions Classification],"&gt;0")</f>
        <v>0</v>
      </c>
      <c r="IL22" s="6">
        <f>COUNTIFS(Table53[Country],Tabela1[[#This Row],[Country]],Table53[Skeet Classification],"&gt;0")</f>
        <v>0</v>
      </c>
      <c r="IM22" s="6">
        <f>COUNTIFS(Table19[Country],Tabela1[[#This Row],[Country]],Table19[Skeet Classification],"&gt;0")</f>
        <v>0</v>
      </c>
      <c r="IN22" s="6">
        <f>COUNTIFS(Table54[Country],Tabela1[[#This Row],[Country]],Table54[Mixed Skeet Team Classification],"&gt;0")</f>
        <v>0</v>
      </c>
      <c r="IO22" s="6">
        <f>COUNTIFS(Table53[Country],Tabela1[[#This Row],[Country]],Table53[Trap Classification],"&gt;0")</f>
        <v>0</v>
      </c>
      <c r="IP22" s="6">
        <f>COUNTIFS(Table19[Country],Tabela1[[#This Row],[Country]],Table19[Trap Classification],"&gt;0")</f>
        <v>0</v>
      </c>
      <c r="IQ22" s="6">
        <f>COUNTIFS(Table73[Country],Tabela1[[#This Row],[Country]],Table73[Park Classification],"&gt;0")</f>
        <v>0</v>
      </c>
      <c r="IR22" s="6">
        <f>COUNTIFS(Table74[Country],Tabela1[[#This Row],[Country]],Table74[Park Classification],"&gt;0")</f>
        <v>0</v>
      </c>
      <c r="IS22" s="6">
        <f>COUNTIFS(Table73[Country],Tabela1[[#This Row],[Country]],Table73[Street Classification],"&gt;0")</f>
        <v>0</v>
      </c>
      <c r="IT22" s="6">
        <f>COUNTIFS(Table74[Country],Tabela1[[#This Row],[Country]],Table74[Street Classification],"&gt;0")</f>
        <v>0</v>
      </c>
      <c r="IU22" s="6">
        <f>COUNTIFS(Table75[Country],Tabela1[[#This Row],[Country]],Table75[Boulder and Lead Classification],"&gt;0")</f>
        <v>0</v>
      </c>
      <c r="IV22" s="6">
        <f>COUNTIFS(Table76[Country],Tabela1[[#This Row],[Country]],Table76[Boulder and Lead Classification],"&gt;0")</f>
        <v>0</v>
      </c>
      <c r="IW22" s="6">
        <f>COUNTIFS(Table75[Country],Tabela1[[#This Row],[Country]],Table75[Speed Classification],"&gt;0")</f>
        <v>0</v>
      </c>
      <c r="IX22" s="6">
        <f>COUNTIFS(Table76[Country],Tabela1[[#This Row],[Country]],Table76[Speed Classification],"&gt;0")</f>
        <v>0</v>
      </c>
      <c r="IY22" s="6">
        <f>COUNTIFS(Table64[Country],Tabela1[[#This Row],[Country]],Table64[Shortboard Classification],"&gt;0")</f>
        <v>0</v>
      </c>
      <c r="IZ22" s="6">
        <f>COUNTIFS(Table77[Country],Tabela1[[#This Row],[Country]],Table77[Shortboard Classification],"&gt;0")</f>
        <v>0</v>
      </c>
      <c r="JA22" s="6">
        <f>COUNTIFS(Table20[Country],Tabela1[[#This Row],[Country]],Table20[50m Freestyle Classification],"&gt;0")</f>
        <v>0</v>
      </c>
      <c r="JB22" s="6">
        <f>COUNTIFS(Table21[Country],Tabela1[[#This Row],[Country]],Table21[50m Freestyle Classification],"&gt;0")</f>
        <v>0</v>
      </c>
      <c r="JC22" s="6">
        <f>COUNTIFS(Table20[Country],Tabela1[[#This Row],[Country]],Table20[100m Freestyle Classification],"&gt;0")</f>
        <v>0</v>
      </c>
      <c r="JD22" s="6">
        <f>COUNTIFS(Table21[Country],Tabela1[[#This Row],[Country]],Table21[100m Freestyle Classification],"&gt;0")</f>
        <v>0</v>
      </c>
      <c r="JE22" s="6">
        <f>COUNTIFS(Table20[Country],Tabela1[[#This Row],[Country]],Table20[200m Freestyle Classification],"&gt;0")</f>
        <v>0</v>
      </c>
      <c r="JF22" s="6">
        <f>COUNTIFS(Table21[Country],Tabela1[[#This Row],[Country]],Table21[200m Freestyle Classification],"&gt;0")</f>
        <v>0</v>
      </c>
      <c r="JG22" s="6">
        <f>COUNTIFS(Table20[Country],Tabela1[[#This Row],[Country]],Table20[400m Freestyle Classification],"&gt;0")</f>
        <v>0</v>
      </c>
      <c r="JH22" s="6">
        <f>COUNTIFS(Table21[Country],Tabela1[[#This Row],[Country]],Table21[400m Freestyle Classification],"&gt;0")</f>
        <v>0</v>
      </c>
      <c r="JI22" s="6">
        <f>COUNTIFS(Table20[Country],Tabela1[[#This Row],[Country]],Table20[800m Freestyle Classification],"&gt;0")</f>
        <v>1</v>
      </c>
      <c r="JJ22" s="6">
        <f>COUNTIFS(Table21[Country],Tabela1[[#This Row],[Country]],Table21[800m Freestyle Classification],"&gt;0")</f>
        <v>0</v>
      </c>
      <c r="JK22" s="6">
        <f>COUNTIFS(Table20[Country],Tabela1[[#This Row],[Country]],Table20[1500m Freestyle Classification],"&gt;0")</f>
        <v>1</v>
      </c>
      <c r="JL22" s="6">
        <f>COUNTIFS(Table21[Country],Tabela1[[#This Row],[Country]],Table21[1500m Freestyle Classification],"&gt;0")</f>
        <v>0</v>
      </c>
      <c r="JM22" s="6">
        <f>COUNTIFS(Table20[Country],Tabela1[[#This Row],[Country]],Table20[100m Backstroke Classification],"&gt;0")</f>
        <v>0</v>
      </c>
      <c r="JN22" s="6">
        <f>COUNTIFS(Table21[Country],Tabela1[[#This Row],[Country]],Table21[100m Backstroke Classification],"&gt;0")</f>
        <v>0</v>
      </c>
      <c r="JO22" s="6">
        <f>COUNTIFS(Table20[Country],Tabela1[[#This Row],[Country]],Table20[200m Backstroke Classification],"&gt;0")</f>
        <v>0</v>
      </c>
      <c r="JP22" s="6">
        <f>COUNTIFS(Table21[Country],Tabela1[[#This Row],[Country]],Table21[200m Backstroke Classification],"&gt;0")</f>
        <v>0</v>
      </c>
      <c r="JQ22" s="6">
        <f>COUNTIFS(Table20[Country],Tabela1[[#This Row],[Country]],Table20[100m Breaststroke Classification],"&gt;0")</f>
        <v>0</v>
      </c>
      <c r="JR22" s="6">
        <f>COUNTIFS(Table21[Country],Tabela1[[#This Row],[Country]],Table21[100m Breaststroke Classification],"&gt;0")</f>
        <v>0</v>
      </c>
      <c r="JS22" s="6">
        <f>COUNTIFS(Table20[Country],Tabela1[[#This Row],[Country]],Table20[200m Breaststroke Classification],"&gt;0")</f>
        <v>0</v>
      </c>
      <c r="JT22" s="6">
        <f>COUNTIFS(Table21[Country],Tabela1[[#This Row],[Country]],Table21[200m Breaststroke Classification],"&gt;0")</f>
        <v>0</v>
      </c>
      <c r="JU22" s="6">
        <f>COUNTIFS(Table20[Country],Tabela1[[#This Row],[Country]],Table20[100m Butterfly Classification],"&gt;0")</f>
        <v>0</v>
      </c>
      <c r="JV22" s="6">
        <f>COUNTIFS(Table21[Country],Tabela1[[#This Row],[Country]],Table21[100m Butterfly Classification],"&gt;0")</f>
        <v>1</v>
      </c>
      <c r="JW22" s="6">
        <f>COUNTIFS(Table20[Country],Tabela1[[#This Row],[Country]],Table20[200m Butterfly Classification],"&gt;0")</f>
        <v>0</v>
      </c>
      <c r="JX22" s="6">
        <f>COUNTIFS(Table21[Country],Tabela1[[#This Row],[Country]],Table21[200m Butterfly Classification],"&gt;0")</f>
        <v>0</v>
      </c>
      <c r="JY22" s="6">
        <f>COUNTIFS(Table20[Country],Tabela1[[#This Row],[Country]],Table20[200m Medley Classification],"&gt;0")</f>
        <v>0</v>
      </c>
      <c r="JZ22" s="6">
        <f>COUNTIFS(Table21[Country],Tabela1[[#This Row],[Country]],Table21[200m Medley Classification],"&gt;0")</f>
        <v>1</v>
      </c>
      <c r="KA22" s="6">
        <f>COUNTIFS(Table20[Country],Tabela1[[#This Row],[Country]],Table20[400m Medley Classification],"&gt;0")</f>
        <v>0</v>
      </c>
      <c r="KB22" s="6">
        <f>COUNTIFS(Table21[Country],Tabela1[[#This Row],[Country]],Table21[400m Medley Classification],"&gt;0")</f>
        <v>1</v>
      </c>
      <c r="KC22" s="6">
        <f>COUNTIFS(Table78[Country],Tabela1[[#This Row],[Country]],Table78[Men''s 4x100m Freestyle Relay Classification],"&gt;0")</f>
        <v>0</v>
      </c>
      <c r="KD22" s="6">
        <f>COUNTIFS(Table78[Country],Tabela1[[#This Row],[Country]],Table78[Women''s 4x100m Freestyle Relay Classification],"&gt;0")</f>
        <v>0</v>
      </c>
      <c r="KE22" s="6">
        <f>COUNTIFS(Table78[Country],Tabela1[[#This Row],[Country]],Table78[Men''s 4x200m Freestyle Relay Classification],"&gt;0")</f>
        <v>0</v>
      </c>
      <c r="KF22" s="6">
        <f>COUNTIFS(Table78[Country],Tabela1[[#This Row],[Country]],Table78[Women''s 4x200m Freestyle Relay Classification],"&gt;0")</f>
        <v>0</v>
      </c>
      <c r="KG22" s="6">
        <f>COUNTIFS(Table78[Country],Tabela1[[#This Row],[Country]],Table78[Men''s 4x100m Medley Relay Classification],"&gt;0")</f>
        <v>1</v>
      </c>
      <c r="KH22" s="6">
        <f>COUNTIFS(Table78[Country],Tabela1[[#This Row],[Country]],Table78[Women''s 4x100m Medley Relay Classification],"&gt;0")</f>
        <v>1</v>
      </c>
      <c r="KI22" s="6">
        <f>COUNTIFS(Table78[Country],Tabela1[[#This Row],[Country]],Table78[Mixed 4x100m Medley Relay Classification],"&gt;0")</f>
        <v>0</v>
      </c>
      <c r="KJ22" s="6">
        <f>COUNTIFS(Table20[Country],Tabela1[[#This Row],[Country]],Table20[10km Open Water Classification],"&gt;0")</f>
        <v>1</v>
      </c>
      <c r="KK22" s="6">
        <f>COUNTIFS(Table21[Country],Tabela1[[#This Row],[Country]],Table21[10km Open Water Classification],"&gt;0")</f>
        <v>0</v>
      </c>
      <c r="KL22" s="6">
        <f>COUNTIFS(Table22[Country],Tabela1[[#This Row],[Country]],Table22[Classification],"&gt;0")</f>
        <v>0</v>
      </c>
      <c r="KM22" s="6">
        <f>COUNTIFS(Table30[Country],Tabela1[[#This Row],[Country]],Table30[Classification],"&gt;0")</f>
        <v>0</v>
      </c>
      <c r="KN22" s="6">
        <f>COUNTIFS(Table55[Country],Tabela1[[#This Row],[Country]],Table55[Men''s Classification],"&gt;0")</f>
        <v>0</v>
      </c>
      <c r="KO22" s="6">
        <f>COUNTIFS(Table55[Country],Tabela1[[#This Row],[Country]],Table55[Women''s Classification],"&gt;0")</f>
        <v>0</v>
      </c>
      <c r="KP22" s="6">
        <f>COUNTIFS(Table56[Country],Tabela1[[#This Row],[Country]],Table56[Mixed Classification],"&gt;0")</f>
        <v>0</v>
      </c>
      <c r="KQ22" s="6">
        <f>COUNTIFS(Table29[Country],Tabela1[[#This Row],[Country]],Table29[58kg Classification],"&gt;0")</f>
        <v>1</v>
      </c>
      <c r="KR22" s="6">
        <f>COUNTIFS(Table29[Country],Tabela1[[#This Row],[Country]],Table29[68kg Classification],"&gt;0")</f>
        <v>0</v>
      </c>
      <c r="KS22" s="6">
        <f>COUNTIFS(Table29[Country],Tabela1[[#This Row],[Country]],Table29[80kg Classification],"&gt;0")</f>
        <v>0</v>
      </c>
      <c r="KT22" s="6">
        <f>COUNTIFS(Table29[Country],Tabela1[[#This Row],[Country]],Table29[Plus 80kg Classification],"&gt;0")</f>
        <v>0</v>
      </c>
      <c r="KU22" s="6">
        <f>COUNTIFS(Table34[Country],Tabela1[[#This Row],[Country]],Table34[49kg Classification],"&gt;0")</f>
        <v>0</v>
      </c>
      <c r="KV22" s="6">
        <f>COUNTIFS(Table34[Country],Tabela1[[#This Row],[Country]],Table34[57kg Classification],"&gt;0")</f>
        <v>0</v>
      </c>
      <c r="KW22" s="6">
        <f>COUNTIFS(Table34[Country],Tabela1[[#This Row],[Country]],Table34[67kg Classification],"&gt;0")</f>
        <v>0</v>
      </c>
      <c r="KX22" s="6">
        <f>COUNTIFS(Table34[Country],Tabela1[[#This Row],[Country]],Table34[Plus 67kg Classification],"&gt;0")</f>
        <v>0</v>
      </c>
      <c r="KY22" s="6">
        <f>COUNTIFS(Table57[Country],Tabela1[[#This Row],[Country]],Table57[Classification],"&gt;0")</f>
        <v>0</v>
      </c>
      <c r="KZ22" s="6">
        <f>COUNTIFS(Table58[Country],Tabela1[[#This Row],[Country]],Table58[Classification],"&gt;0")</f>
        <v>0</v>
      </c>
      <c r="LA22" s="6">
        <f>COUNTIFS(Table79[Country],Tabela1[[#This Row],[Country]],Table79[Men''s Classification],"&gt;0")</f>
        <v>0</v>
      </c>
      <c r="LB22" s="6">
        <f>COUNTIFS(Table79[Country],Tabela1[[#This Row],[Country]],Table79[Women''s Classification],"&gt;0")</f>
        <v>0</v>
      </c>
      <c r="LC22" s="6">
        <f>COUNTIFS(Table79[Country],Tabela1[[#This Row],[Country]],Table79[Mixed Classification],"&gt;0")</f>
        <v>0</v>
      </c>
      <c r="LD22" s="6">
        <f>COUNTIFS(Table65[Country],Tabela1[[#This Row],[Country]],Table65[Classification],"&gt;0")</f>
        <v>0</v>
      </c>
      <c r="LE22" s="6">
        <f>COUNTIFS(Table59[Country],Tabela1[[#This Row],[Country]],Table59[Classification],"&gt;0")</f>
        <v>0</v>
      </c>
      <c r="LF22" s="6">
        <f>COUNTIFS(Table87[Country],Tabela1[[#This Row],[Country]],Table87[Mixed Relay Classification],"&gt;0")</f>
        <v>0</v>
      </c>
      <c r="LG22" s="6">
        <f>COUNTIFS(Table91949698100[Country],Tabela1[[#This Row],[Country]],Table91949698100[Men''s Classification],"&gt;0")</f>
        <v>0</v>
      </c>
      <c r="LH22" s="6">
        <f>COUNTIFS(Table91949698100[Country],Tabela1[[#This Row],[Country]],Table91949698100[Women''s Classification],"&gt;0")</f>
        <v>0</v>
      </c>
      <c r="LI22" s="6">
        <f>COUNTIFS(Table91949698100102[Country],Tabela1[[#This Row],[Country]],Table91949698100102[Men''s Classification],"&gt;0")</f>
        <v>0</v>
      </c>
      <c r="LJ22" s="6">
        <f>COUNTIFS(Table91949698100102[Country],Tabela1[[#This Row],[Country]],Table91949698100102[Women''s Classification],"&gt;0")</f>
        <v>0</v>
      </c>
      <c r="LK22" s="6">
        <f>COUNTIFS(Table23[Country],Tabela1[[#This Row],[Country]],Table23[61kg Classification],"&gt;0")</f>
        <v>0</v>
      </c>
      <c r="LL22" s="6">
        <f>COUNTIFS(Table23[Country],Tabela1[[#This Row],[Country]],Table23[73kg Classification],"&gt;0")</f>
        <v>0</v>
      </c>
      <c r="LM22" s="6">
        <f>COUNTIFS(Table23[Country],Tabela1[[#This Row],[Country]],Table23[89kg Classification],"&gt;0")</f>
        <v>0</v>
      </c>
      <c r="LN22" s="6">
        <f>COUNTIFS(Table23[Country],Tabela1[[#This Row],[Country]],Table23[102kg Classification],"&gt;0")</f>
        <v>0</v>
      </c>
      <c r="LO22" s="6">
        <f>COUNTIFS(Table23[Country],Tabela1[[#This Row],[Country]],Table23[Plus 102kg Classification],"&gt;0")</f>
        <v>0</v>
      </c>
      <c r="LP22" s="6">
        <f>COUNTIFS(Table28[Country],Tabela1[[#This Row],[Country]],Table28[49kg Classification],"&gt;0")</f>
        <v>0</v>
      </c>
      <c r="LQ22" s="6">
        <f>COUNTIFS(Table28[Country],Tabela1[[#This Row],[Country]],Table28[59kg Classification],"&gt;0")</f>
        <v>0</v>
      </c>
      <c r="LR22" s="6">
        <f>COUNTIFS(Table28[Country],Tabela1[[#This Row],[Country]],Table28[71kg Classification],"&gt;0")</f>
        <v>0</v>
      </c>
      <c r="LS22" s="6">
        <f>COUNTIFS(Table28[Country],Tabela1[[#This Row],[Country]],Table28[81kg Classification],"&gt;0")</f>
        <v>0</v>
      </c>
      <c r="LT22" s="6">
        <f>COUNTIFS(Table28[Country],Tabela1[[#This Row],[Country]],Table28[Plus 81kg Classification],"&gt;0")</f>
        <v>0</v>
      </c>
      <c r="LU22" s="6">
        <f>COUNTIFS(Table24[Country],Tabela1[[#This Row],[Country]],Table24[Freestyle 57kg Classification],"&gt;0")</f>
        <v>0</v>
      </c>
      <c r="LV22" s="6">
        <f>COUNTIFS(Table24[Country],Tabela1[[#This Row],[Country]],Table24[Freestyle 65kg Classification],"&gt;0")</f>
        <v>0</v>
      </c>
      <c r="LW22" s="6">
        <f>COUNTIFS(Table24[Country],Tabela1[[#This Row],[Country]],Table24[Freestyle 74kg Classification],"&gt;0")</f>
        <v>0</v>
      </c>
      <c r="LX22" s="6">
        <f>COUNTIFS(Table24[Country],Tabela1[[#This Row],[Country]],Table24[Freestyle 86kg Classification],"&gt;0")</f>
        <v>0</v>
      </c>
      <c r="LY22" s="6">
        <f>COUNTIFS(Table24[Country],Tabela1[[#This Row],[Country]],Table24[Freestyle 97kg Classification],"&gt;0")</f>
        <v>0</v>
      </c>
      <c r="LZ22" s="6">
        <f>COUNTIFS(Table24[Country],Tabela1[[#This Row],[Country]],Table24[Freestyle 125kg Classification],"&gt;0")</f>
        <v>0</v>
      </c>
      <c r="MA22" s="6">
        <f>COUNTIFS(Table24[Country],Tabela1[[#This Row],[Country]],Table24[Greco-Roman 60kg Classification],"&gt;0")</f>
        <v>0</v>
      </c>
      <c r="MB22" s="6">
        <f>COUNTIFS(Table24[Country],Tabela1[[#This Row],[Country]],Table24[Greco-Roman 67kg Classification],"&gt;0")</f>
        <v>0</v>
      </c>
      <c r="MC22" s="6">
        <f>COUNTIFS(Table24[Country],Tabela1[[#This Row],[Country]],Table24[Greco-Roman 77kg Classification],"&gt;0")</f>
        <v>0</v>
      </c>
      <c r="MD22" s="6">
        <f>COUNTIFS(Table24[Country],Tabela1[[#This Row],[Country]],Table24[Greco-Roman 87kg Classification],"&gt;0")</f>
        <v>0</v>
      </c>
      <c r="ME22" s="6">
        <f>COUNTIFS(Table24[Country],Tabela1[[#This Row],[Country]],Table24[Greco-Roman 97kg Classification],"&gt;0")</f>
        <v>0</v>
      </c>
      <c r="MF22" s="6">
        <f>COUNTIFS(Table24[Country],Tabela1[[#This Row],[Country]],Table24[Greco-Roman 130kg Classification],"&gt;0")</f>
        <v>0</v>
      </c>
      <c r="MG22" s="6">
        <f>COUNTIFS(Table31[Country],Tabela1[[#This Row],[Country]],Table31[50kg Classification],"&gt;0")</f>
        <v>0</v>
      </c>
      <c r="MH22" s="6">
        <f>COUNTIFS(Table31[Country],Tabela1[[#This Row],[Country]],Table31[53kg Classification],"&gt;0")</f>
        <v>0</v>
      </c>
      <c r="MI22" s="6">
        <f>COUNTIFS(Table31[Country],Tabela1[[#This Row],[Country]],Table31[57kg Classification],"&gt;0")</f>
        <v>0</v>
      </c>
      <c r="MJ22" s="6">
        <f>COUNTIFS(Table31[Country],Tabela1[[#This Row],[Country]],Table31[62kg Classification],"&gt;0")</f>
        <v>0</v>
      </c>
      <c r="MK22" s="6">
        <f>COUNTIFS(Table31[Country],Tabela1[[#This Row],[Country]],Table31[68kg Classification],"&gt;0")</f>
        <v>0</v>
      </c>
      <c r="ML22" s="6">
        <f>COUNTIFS(Table31[Country],Tabela1[[#This Row],[Country]],Table31[76kg Classification],"&gt;0")</f>
        <v>0</v>
      </c>
      <c r="MM22" s="6">
        <f>COUNTIFS(Table102[Country],Tabela1[[#This Row],[Country]],Table102[Downhill Classification],"&gt;0")</f>
        <v>1</v>
      </c>
      <c r="MN22" s="6">
        <f>COUNTIFS(Table102105[Country],Tabela1[[#This Row],[Country]],Table102105[Downhill Classification],"&gt;0")</f>
        <v>0</v>
      </c>
      <c r="MO22" s="6">
        <f>COUNTIFS(Table102[Country],Tabela1[[#This Row],[Country]],Table102[Giant Slalom Classification],"&gt;0")</f>
        <v>1</v>
      </c>
      <c r="MP22" s="6">
        <f>COUNTIFS(Table102105[Country],Tabela1[[#This Row],[Country]],Table102105[Giant Slalom Classification],"&gt;0")</f>
        <v>1</v>
      </c>
      <c r="MQ22" s="6">
        <f>COUNTIFS(Table102[Country],Tabela1[[#This Row],[Country]],Table102[Slalom Classification],"&gt;0")</f>
        <v>1</v>
      </c>
      <c r="MR22" s="6">
        <f>COUNTIFS(Table102105[Country],Tabela1[[#This Row],[Country]],Table102105[Slalom Classification],"&gt;0")</f>
        <v>1</v>
      </c>
      <c r="MS22" s="6">
        <f>COUNTIFS(Table102[Country],Tabela1[[#This Row],[Country]],Table102[Super-G Classification],"&gt;0")</f>
        <v>1</v>
      </c>
      <c r="MT22" s="6">
        <f>COUNTIFS(Table102105[Country],Tabela1[[#This Row],[Country]],Table102105[Super-G Classification],"&gt;0")</f>
        <v>0</v>
      </c>
      <c r="MU22" s="6">
        <f>COUNTIFS(Table105[Country],Tabela1[[#This Row],[Country]],Table105[Men''s Combined Classification],"&gt;0")</f>
        <v>0</v>
      </c>
      <c r="MV22" s="6">
        <f>COUNTIFS(Table105[Country],Tabela1[[#This Row],[Country]],Table105[Women''s Combined Classification],"&gt;0")</f>
        <v>0</v>
      </c>
      <c r="MW22" s="6">
        <f>COUNTIFS(Table106[Country],Tabela1[[#This Row],[Country]],Table106[Individual Classification],"&gt;0")</f>
        <v>0</v>
      </c>
      <c r="MX22" s="6">
        <f>COUNTIFS(Table106109[Country],Tabela1[[#This Row],[Country]],Table106109[Individual Classification],"&gt;0")</f>
        <v>0</v>
      </c>
      <c r="MY22" s="6">
        <f>COUNTIFS(Table106[Country],Tabela1[[#This Row],[Country]],Table106[Mass Start Classification],"&gt;0")</f>
        <v>0</v>
      </c>
      <c r="MZ22" s="6">
        <f>COUNTIFS(Table106109[Country],Tabela1[[#This Row],[Country]],Table106109[Mass Start Classification],"&gt;0")</f>
        <v>0</v>
      </c>
      <c r="NA22" s="6">
        <f>COUNTIFS(Table106[Country],Tabela1[[#This Row],[Country]],Table106[Pursuit Classification],"&gt;0")</f>
        <v>0</v>
      </c>
      <c r="NB22" s="6">
        <f>COUNTIFS(Table106109[Country],Tabela1[[#This Row],[Country]],Table106109[Pursuit Classification],"&gt;0")</f>
        <v>0</v>
      </c>
      <c r="NC22" s="6">
        <f>COUNTIFS(Table106[Country],Tabela1[[#This Row],[Country]],Table106[Sprint Classification],"&gt;0")</f>
        <v>0</v>
      </c>
      <c r="ND22" s="6">
        <f>COUNTIFS(Table106109[Country],Tabela1[[#This Row],[Country]],Table106109[Sprint Classification],"&gt;0")</f>
        <v>0</v>
      </c>
      <c r="NE22" s="6">
        <f>COUNTIFS(Table109[Country],Tabela1[[#This Row],[Country]],Table109[Men''s Relay Classification],"&gt;0")</f>
        <v>0</v>
      </c>
      <c r="NF22" s="6">
        <f>COUNTIFS(Table109[Country],Tabela1[[#This Row],[Country]],Table109[Women''s Relay Classification],"&gt;0")</f>
        <v>0</v>
      </c>
      <c r="NG22" s="6">
        <f>COUNTIFS(Table109[Country],Tabela1[[#This Row],[Country]],Table109[Mixed Relay Classification],"&gt;0")</f>
        <v>0</v>
      </c>
      <c r="NH22" s="6">
        <f>COUNTIFS(Table110[Country],Tabela1[[#This Row],[Country]],Table110[Monobob Classification],"&gt;0")</f>
        <v>0</v>
      </c>
      <c r="NI22" s="6">
        <f>COUNTIFS(Table111[Country],Tabela1[[#This Row],[Country]],Table111[Men''s Classification],"&gt;0")</f>
        <v>0</v>
      </c>
      <c r="NJ22" s="6">
        <f>COUNTIFS(Table111[Country],Tabela1[[#This Row],[Country]],Table111[Women''s Classification],"&gt;0")</f>
        <v>0</v>
      </c>
      <c r="NK22" s="6">
        <f>COUNTIFS(Table112[Country],Tabela1[[#This Row],[Country]],Table112[Men''s Four Classification],"&gt;0")</f>
        <v>0</v>
      </c>
      <c r="NL22" s="6">
        <f>COUNTIFS(Table113[Country],Tabela1[[#This Row],[Country]],Table113[Classical Classification],"&gt;0")</f>
        <v>1</v>
      </c>
      <c r="NM22" s="6">
        <f>COUNTIFS(Table113116[Country],Tabela1[[#This Row],[Country]],Table113116[Classical Classification],"&gt;0")</f>
        <v>0</v>
      </c>
      <c r="NN22" s="6">
        <f>COUNTIFS(Table113[Country],Tabela1[[#This Row],[Country]],Table113[Freestyle Classification],"&gt;0")</f>
        <v>1</v>
      </c>
      <c r="NO22" s="6">
        <f>COUNTIFS(Table113116[Country],Tabela1[[#This Row],[Country]],Table113116[Freestyle Classification],"&gt;0")</f>
        <v>0</v>
      </c>
      <c r="NP22" s="6">
        <f>COUNTIFS(Table117[Country],Tabela1[[#This Row],[Country]],Table117[Men''s Relay Classification],"&gt;0")</f>
        <v>0</v>
      </c>
      <c r="NQ22" s="6">
        <f>COUNTIFS(Table117[Country],Tabela1[[#This Row],[Country]],Table117[Women''s Relay Classification],"&gt;0")</f>
        <v>0</v>
      </c>
      <c r="NR22" s="6">
        <f>COUNTIFS(Table113[Country],Tabela1[[#This Row],[Country]],Table113[Skiathlon Classification],"&gt;0")</f>
        <v>1</v>
      </c>
      <c r="NS22" s="6">
        <f>COUNTIFS(Table113116[Country],Tabela1[[#This Row],[Country]],Table113116[Skiathlon Classification],"&gt;0")</f>
        <v>0</v>
      </c>
      <c r="NT22" s="6">
        <f>COUNTIFS(Table113[Country],Tabela1[[#This Row],[Country]],Table113[Sprint Classification],"&gt;0")</f>
        <v>0</v>
      </c>
      <c r="NU22" s="6">
        <f>COUNTIFS(Table113116[Country],Tabela1[[#This Row],[Country]],Table113116[Sprint Classification],"&gt;0")</f>
        <v>0</v>
      </c>
      <c r="NV22" s="6">
        <f>COUNTIFS(Table116[Country],Tabela1[[#This Row],[Country]],Table116[Men''s Team Sprint Classification],"&gt;0")</f>
        <v>0</v>
      </c>
      <c r="NW22" s="6">
        <f>COUNTIFS(Table116[Country],Tabela1[[#This Row],[Country]],Table116[Women''s Team Sprint Classification],"&gt;0")</f>
        <v>0</v>
      </c>
      <c r="NX22" s="6">
        <f>COUNTIFS(Table119[Country],Tabela1[[#This Row],[Country]],Table119[Men''s Classification],"&gt;0")</f>
        <v>0</v>
      </c>
      <c r="NY22" s="6">
        <f>COUNTIFS(Table119[Country],Tabela1[[#This Row],[Country]],Table119[Women''s Classification],"&gt;0")</f>
        <v>0</v>
      </c>
      <c r="NZ22" s="6">
        <f>COUNTIFS(Table118[Country],Tabela1[[#This Row],[Country]],Table118[Mixed Classification],"&gt;0")</f>
        <v>0</v>
      </c>
      <c r="OA22" s="6">
        <f>COUNTIFS(Table120[Country],Tabela1[[#This Row],[Country]],Table120[Classification],"&gt;0")</f>
        <v>0</v>
      </c>
      <c r="OB22" s="6">
        <f>COUNTIFS(Table120123[Country],Tabela1[[#This Row],[Country]],Table120123[Classification],"&gt;0")</f>
        <v>0</v>
      </c>
      <c r="OC22" s="6">
        <f>COUNTIFS(Table123[Country],Tabela1[[#This Row],[Country]],Table123[Ice Dance Classification],"&gt;0")</f>
        <v>0</v>
      </c>
      <c r="OD22" s="6">
        <f>COUNTIFS(Table123[Country],Tabela1[[#This Row],[Country]],Table123[Pair Skating Classification],"&gt;0")</f>
        <v>0</v>
      </c>
      <c r="OE22" s="6">
        <f>COUNTIFS(Table124[Country],Tabela1[[#This Row],[Country]],Table124[Mixed Classification],"&gt;0")</f>
        <v>0</v>
      </c>
      <c r="OF22" s="6">
        <f>COUNTIFS(Table125[Country],Tabela1[[#This Row],[Country]],Table125[Aerials Classification],"&gt;0")</f>
        <v>0</v>
      </c>
      <c r="OG22" s="6">
        <f>COUNTIFS(Table125128[Country],Tabela1[[#This Row],[Country]],Table125128[Aerials Classification],"&gt;0")</f>
        <v>0</v>
      </c>
      <c r="OH22" s="6">
        <f>COUNTIFS(Table128[Country],Tabela1[[#This Row],[Country]],Table128[Mixed Aerials Classification],"&gt;0")</f>
        <v>0</v>
      </c>
      <c r="OI22" s="6">
        <f>COUNTIFS(Table125[Country],Tabela1[[#This Row],[Country]],Table125[Big Air Classification],"&gt;0")</f>
        <v>0</v>
      </c>
      <c r="OJ22" s="6">
        <f>COUNTIFS(Table125128[Country],Tabela1[[#This Row],[Country]],Table125128[Big Air Classification],"&gt;0")</f>
        <v>0</v>
      </c>
      <c r="OK22" s="6">
        <f>COUNTIFS(Table125[Country],Tabela1[[#This Row],[Country]],Table125[Dual Moguls Classification],"&gt;0")</f>
        <v>0</v>
      </c>
      <c r="OL22" s="6">
        <f>COUNTIFS(Table125128[Country],Tabela1[[#This Row],[Country]],Table125128[Dual Moguls Classification],"&gt;0")</f>
        <v>0</v>
      </c>
      <c r="OM22" s="6">
        <f>COUNTIFS(Table125[Country],Tabela1[[#This Row],[Country]],Table125[Halfpipe Classification],"&gt;0")</f>
        <v>1</v>
      </c>
      <c r="ON22" s="6">
        <f>COUNTIFS(Table125128[Country],Tabela1[[#This Row],[Country]],Table125128[Halfpipe Classification],"&gt;0")</f>
        <v>0</v>
      </c>
      <c r="OO22" s="6">
        <f>COUNTIFS(Table125[Country],Tabela1[[#This Row],[Country]],Table125[Moguls Classification],"&gt;0")</f>
        <v>0</v>
      </c>
      <c r="OP22" s="6">
        <f>COUNTIFS(Table125128[Country],Tabela1[[#This Row],[Country]],Table125128[Moguls Classification],"&gt;0")</f>
        <v>0</v>
      </c>
      <c r="OQ22" s="6">
        <f>COUNTIFS(Table125[Country],Tabela1[[#This Row],[Country]],Table125[Ski Cross Classification],"&gt;0")</f>
        <v>0</v>
      </c>
      <c r="OR22" s="6">
        <f>COUNTIFS(Table125128[Country],Tabela1[[#This Row],[Country]],Table125128[Ski Cross Classification],"&gt;0")</f>
        <v>0</v>
      </c>
      <c r="OS22" s="6">
        <f>COUNTIFS(Table125[Country],Tabela1[[#This Row],[Country]],Table125[Slopestyle Classification],"&gt;0")</f>
        <v>0</v>
      </c>
      <c r="OT22" s="6">
        <f>COUNTIFS(Table125128[Country],Tabela1[[#This Row],[Country]],Table125128[Slopestyle Classification],"&gt;0")</f>
        <v>0</v>
      </c>
      <c r="OU22" s="6">
        <f>COUNTIFS(Table119131[Country],Tabela1[[#This Row],[Country]],Table119131[Men''s Classification],"&gt;0")</f>
        <v>0</v>
      </c>
      <c r="OV22" s="6">
        <f>COUNTIFS(Table119131[Country],Tabela1[[#This Row],[Country]],Table119131[Women''s Classification],"&gt;0")</f>
        <v>0</v>
      </c>
      <c r="OW22" s="6">
        <f>COUNTIFS(Table131[Country],Tabela1[[#This Row],[Country]],Table131[Classification],"&gt;0")</f>
        <v>0</v>
      </c>
      <c r="OX22" s="6">
        <f>COUNTIFS(Table131134[Country],Tabela1[[#This Row],[Country]],Table131134[Classification],"&gt;0")</f>
        <v>0</v>
      </c>
      <c r="OY22" s="6">
        <f>COUNTIFS(Table134[Country],Tabela1[[#This Row],[Country]],Table134[Men''s Classification],"&gt;0")</f>
        <v>0</v>
      </c>
      <c r="OZ22" s="6">
        <f>COUNTIFS(Table134[Country],Tabela1[[#This Row],[Country]],Table134[Women''s Classification],"&gt;0")</f>
        <v>0</v>
      </c>
      <c r="PA22" s="6">
        <f>COUNTIFS(Table135[Country],Tabela1[[#This Row],[Country]],Table135[Mixed Relay Classification],"&gt;0")</f>
        <v>0</v>
      </c>
      <c r="PB22" s="6">
        <f>COUNTIFS(Table136[Country],Tabela1[[#This Row],[Country]],Table136[Individual Classification],"&gt;0")</f>
        <v>0</v>
      </c>
      <c r="PC22" s="6">
        <f>COUNTIFS(Table136[Country],Tabela1[[#This Row],[Country]],Table136[Sprint Classification],"&gt;0")</f>
        <v>0</v>
      </c>
      <c r="PD22" s="6">
        <f>COUNTIFS(Table137[Country],Tabela1[[#This Row],[Country]],Table137[Men''s Team Sprint Large Hill Classification],"&gt;0")</f>
        <v>0</v>
      </c>
      <c r="PE22" s="6">
        <f>COUNTIFS(Table138[Country],Tabela1[[#This Row],[Country]],Table138[500m Classification],"&gt;0")</f>
        <v>0</v>
      </c>
      <c r="PF22" s="6">
        <f>COUNTIFS(Table138141[Country],Tabela1[[#This Row],[Country]],Table138141[500m Classification],"&gt;0")</f>
        <v>0</v>
      </c>
      <c r="PG22" s="6">
        <f>COUNTIFS(Table138[Country],Tabela1[[#This Row],[Country]],Table138[1000m Classification],"&gt;0")</f>
        <v>0</v>
      </c>
      <c r="PH22" s="6">
        <f>COUNTIFS(Table138141[Country],Tabela1[[#This Row],[Country]],Table138141[1000m Classification],"&gt;0")</f>
        <v>0</v>
      </c>
      <c r="PI22" s="6">
        <f>COUNTIFS(Table138[Country],Tabela1[[#This Row],[Country]],Table138[1500m Classification],"&gt;0")</f>
        <v>0</v>
      </c>
      <c r="PJ22" s="6">
        <f>COUNTIFS(Table138141[Country],Tabela1[[#This Row],[Country]],Table138141[1500m Classification],"&gt;0")</f>
        <v>0</v>
      </c>
      <c r="PK22" s="6">
        <f>COUNTIFS(Table141[Country],Tabela1[[#This Row],[Country]],Table141[Men''s 5000m Relay Classification],"&gt;0")</f>
        <v>0</v>
      </c>
      <c r="PL22" s="6">
        <f>COUNTIFS(Table141[Country],Tabela1[[#This Row],[Country]],Table141[Women''s 3000m Relay Classification],"&gt;0")</f>
        <v>0</v>
      </c>
      <c r="PM22" s="6">
        <f>COUNTIFS(Table141[Country],Tabela1[[#This Row],[Country]],Table141[Mixed 2000m Relay Classification],"&gt;0")</f>
        <v>0</v>
      </c>
      <c r="PN22" s="6">
        <f>COUNTIFS(Table142[Country],Tabela1[[#This Row],[Country]],Table142[Classification],"&gt;0")</f>
        <v>0</v>
      </c>
      <c r="PO22" s="6">
        <f>COUNTIFS(Table142145[Country],Tabela1[[#This Row],[Country]],Table142145[Classification],"&gt;0")</f>
        <v>0</v>
      </c>
      <c r="PP22" s="6">
        <f>COUNTIFS(Tabela15[Country],Tabela1[[#This Row],[Country]],Tabela15[Mixed Team Classification],"&gt;0")</f>
        <v>0</v>
      </c>
      <c r="PQ22" s="6">
        <f>COUNTIFS(Table145[Country],Tabela1[[#This Row],[Country]],Table145[Large Hill Classification],"&gt;0")</f>
        <v>0</v>
      </c>
      <c r="PR22" s="6">
        <f>COUNTIFS(Table145[Country],Tabela1[[#This Row],[Country]],Table145[Normal Hill Classification],"&gt;0")</f>
        <v>0</v>
      </c>
      <c r="PS22" s="6">
        <f>COUNTIFS(Table145148[Country],Tabela1[[#This Row],[Country]],Table145148[Large Hill Classification],"&gt;0")</f>
        <v>0</v>
      </c>
      <c r="PT22" s="6">
        <f>COUNTIFS(Table145148[Country],Tabela1[[#This Row],[Country]],Table145148[Normal Hill Classification],"&gt;0")</f>
        <v>0</v>
      </c>
      <c r="PU22" s="6">
        <f>COUNTIFS(Table148[Country],Tabela1[[#This Row],[Country]],Table148[Men''s Super Team Classification],"&gt;0")</f>
        <v>0</v>
      </c>
      <c r="PV22" s="6">
        <f>COUNTIFS(Tabela114[Country],Tabela1[[#This Row],[Country]],Tabela114[Mixed Normal Hill Classification],"&gt;0")</f>
        <v>0</v>
      </c>
      <c r="PW22" s="6">
        <f>COUNTIFS(Tabela50[Country],Tabela1[[#This Row],[Country]],Tabela50[Sprint Classification],"&gt;0")</f>
        <v>0</v>
      </c>
      <c r="PX22" s="6">
        <f>COUNTIFS(Tabela50101[Country],Tabela1[[#This Row],[Country]],Tabela50101[Sprint Classification],"&gt;0")</f>
        <v>0</v>
      </c>
      <c r="PY22" s="6">
        <f>COUNTIFS(Tabela103[Country],Tabela1[[#This Row],[Country]],Tabela103[Mixed Relay Classification],"&gt;0")</f>
        <v>0</v>
      </c>
      <c r="PZ22" s="6">
        <f>COUNTIFS(Table149[Country],Tabela1[[#This Row],[Country]],Table149[Big Air Classification],"&gt;0")</f>
        <v>0</v>
      </c>
      <c r="QA22" s="6">
        <f>COUNTIFS(Table149152[Country],Tabela1[[#This Row],[Country]],Table149152[Big Air Classification],"&gt;0")</f>
        <v>0</v>
      </c>
      <c r="QB22" s="6">
        <f>COUNTIFS(Table149[Country],Tabela1[[#This Row],[Country]],Table149[Halfpipe Classification],"&gt;0")</f>
        <v>0</v>
      </c>
      <c r="QC22" s="6">
        <f>COUNTIFS(Table149152[Country],Tabela1[[#This Row],[Country]],Table149152[Halfpipe Classification],"&gt;0")</f>
        <v>0</v>
      </c>
      <c r="QD22" s="6">
        <f>COUNTIFS(Table149[Country],Tabela1[[#This Row],[Country]],Table149[Parallel Giant Slalom Classification],"&gt;0")</f>
        <v>0</v>
      </c>
      <c r="QE22" s="6">
        <f>COUNTIFS(Table149152[Country],Tabela1[[#This Row],[Country]],Table149152[Parallel Giant Slalom Classification],"&gt;0")</f>
        <v>0</v>
      </c>
      <c r="QF22" s="6">
        <f>COUNTIFS(Table149[Country],Tabela1[[#This Row],[Country]],Table149[Slopestyle Classification],"&gt;0")</f>
        <v>0</v>
      </c>
      <c r="QG22" s="6">
        <f>COUNTIFS(Table149152[Country],Tabela1[[#This Row],[Country]],Table149152[Slopestyle Classification],"&gt;0")</f>
        <v>0</v>
      </c>
      <c r="QH22" s="6">
        <f>COUNTIFS(Table149[Country],Tabela1[[#This Row],[Country]],Table149[Snowboard Cross Classification],"&gt;0")</f>
        <v>0</v>
      </c>
      <c r="QI22" s="6">
        <f>COUNTIFS(Table149152[Country],Tabela1[[#This Row],[Country]],Table149152[Snowboard Cross Classification],"&gt;0")</f>
        <v>0</v>
      </c>
      <c r="QJ22" s="6">
        <f>COUNTIFS(Table153[Country],Tabela1[[#This Row],[Country]],Table153[Mixed Team Snowboard Cross Classification],"&gt;0")</f>
        <v>0</v>
      </c>
      <c r="QK22" s="6">
        <f>COUNTIFS(Table154[Country],Tabela1[[#This Row],[Country]],Table154[500m Classification],"&gt;0")</f>
        <v>0</v>
      </c>
      <c r="QL22" s="6">
        <f>COUNTIFS(Table154157[Country],Tabela1[[#This Row],[Country]],Table154157[500m Classification],"&gt;0")</f>
        <v>0</v>
      </c>
      <c r="QM22" s="6">
        <f>COUNTIFS(Table154[Country],Tabela1[[#This Row],[Country]],Table154[1000m Classification],"&gt;0")</f>
        <v>0</v>
      </c>
      <c r="QN22" s="6">
        <f>COUNTIFS(Table154157[Country],Tabela1[[#This Row],[Country]],Table154157[1000m Classification],"&gt;0")</f>
        <v>0</v>
      </c>
      <c r="QO22" s="6">
        <f>COUNTIFS(Table154[Country],Tabela1[[#This Row],[Country]],Table154[1500m Classification],"&gt;0")</f>
        <v>0</v>
      </c>
      <c r="QP22" s="6">
        <f>COUNTIFS(Table154157[Country],Tabela1[[#This Row],[Country]],Table154157[1500m Classification],"&gt;0")</f>
        <v>0</v>
      </c>
      <c r="QQ22" s="6">
        <f>COUNTIFS(Table154157[Country],Tabela1[[#This Row],[Country]],Table154157[3000m Classification],"&gt;0")</f>
        <v>0</v>
      </c>
      <c r="QR22" s="6">
        <f>COUNTIFS(Table154[Country],Tabela1[[#This Row],[Country]],Table154[5000m Classification],"&gt;0")</f>
        <v>0</v>
      </c>
      <c r="QS22" s="6">
        <f>COUNTIFS(Table154157[Country],Tabela1[[#This Row],[Country]],Table154157[5000m Classification],"&gt;0")</f>
        <v>0</v>
      </c>
      <c r="QT22" s="6">
        <f>COUNTIFS(Table154[Country],Tabela1[[#This Row],[Country]],Table154[10000m Classification],"&gt;0")</f>
        <v>0</v>
      </c>
      <c r="QU22" s="6">
        <f>COUNTIFS(Table154[Country],Tabela1[[#This Row],[Country]],Table154[Mass Start Classification],"&gt;0")</f>
        <v>0</v>
      </c>
      <c r="QV22" s="6">
        <f>COUNTIFS(Table154157[Country],Tabela1[[#This Row],[Country]],Table154157[Mass Start Classification],"&gt;0")</f>
        <v>0</v>
      </c>
      <c r="QW22" s="6">
        <f>COUNTIFS(Table157[Country],Tabela1[[#This Row],[Country]],Table157[Men''s Pursuit Classification],"&gt;0")</f>
        <v>0</v>
      </c>
      <c r="QX22" s="6">
        <f>COUNTIFS(Table157[Country],Tabela1[[#This Row],[Country]],Table157[Women''s Pursuit Classification],"&gt;0")</f>
        <v>0</v>
      </c>
      <c r="QY22" s="4" t="s">
        <v>597</v>
      </c>
    </row>
    <row r="23" spans="1:467" x14ac:dyDescent="0.3">
      <c r="A23" s="6">
        <v>22</v>
      </c>
      <c r="B23" s="6" t="s">
        <v>358</v>
      </c>
      <c r="C23" t="e" vm="22">
        <f>IF(ISBLANK(Tabela1[[#This Row],[Image Link]]), "", _xlfn.IMAGE(Tabela1[[#This Row],[Image Link]],1,1))</f>
        <v>#VALUE!</v>
      </c>
      <c r="D23" s="6">
        <f>SUM(Tabela1[[#This Row],[Archery - Men''s Individual Recurve]:[Speed Skating - Women''s Team Pursuit]])</f>
        <v>61</v>
      </c>
      <c r="E23" s="6">
        <f>COUNTIF(Tabela1[[#This Row],[Archery - Men''s Individual Recurve]:[Speed Skating - Women''s Team Pursuit]],"&gt;0")</f>
        <v>52</v>
      </c>
      <c r="F23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23" s="6">
        <f>SUM(Tabela1[[#This Row],[Archery - Men''s Individual Recurve]:[Wrestling - Women''s Freestyle 76kg]])</f>
        <v>31</v>
      </c>
      <c r="H23" s="6">
        <f>SUM(Tabela1[[#This Row],[Alpine Skiing - Men''s Downhill]:[Speed Skating - Women''s Team Pursuit]])</f>
        <v>30</v>
      </c>
      <c r="I23" s="6">
        <f>Tabela1[[#This Row],[Summer Gold Medals]]+Tabela1[[#This Row],[Winter Gold Medals]]</f>
        <v>7</v>
      </c>
      <c r="J23" s="6">
        <f>Tabela1[[#This Row],[Summer Silver Medals]]+Tabela1[[#This Row],[Winter Silver Medals]]</f>
        <v>8</v>
      </c>
      <c r="K23" s="6">
        <f>Tabela1[[#This Row],[Summer Bronze Medals]]+Tabela1[[#This Row],[Winter Bronze Medals]]</f>
        <v>8</v>
      </c>
      <c r="L23" s="6">
        <f>SUM(Tabela1[[#This Row],[Total Gold Medals]:[Total Bronze Medals]])</f>
        <v>23</v>
      </c>
      <c r="M23" s="6">
        <v>2</v>
      </c>
      <c r="N23" s="6"/>
      <c r="O23" s="6">
        <v>3</v>
      </c>
      <c r="P23" s="6">
        <f>SUM(Tabela1[[#This Row],[Summer Gold Medals]:[Summer Bronze Medals]])</f>
        <v>5</v>
      </c>
      <c r="Q23" s="6">
        <v>5</v>
      </c>
      <c r="R23" s="6">
        <v>8</v>
      </c>
      <c r="S23" s="6">
        <v>5</v>
      </c>
      <c r="T23" s="6">
        <f>Tabela1[[#This Row],[Winter Gold Medals]]+Tabela1[[#This Row],[Winter Silver Medals]]+Tabela1[[#This Row],[Winter Bronze Medals]]</f>
        <v>18</v>
      </c>
      <c r="U23" s="7">
        <f>Tabela1[[#This Row],[Total Medals]]/Tabela1[[#This Row],[Total Quotas]]</f>
        <v>0.37704918032786883</v>
      </c>
      <c r="V23" s="6">
        <f>COUNTIFS(Table3[Country],Tabela1[[#This Row],[Country]],Table3[Recurve Classification],"&gt;0")</f>
        <v>0</v>
      </c>
      <c r="W23" s="6">
        <f>COUNTIFS(Table33[Country],Tabela1[[#This Row],[Country]],Table33[Recurve Classification],"&gt;0")</f>
        <v>0</v>
      </c>
      <c r="X23" s="6">
        <f>COUNTIFS(Table35[Country],Tabela1[[#This Row],[Country]],Table35[Men''s Team Recurve Classification],"&gt;0")</f>
        <v>0</v>
      </c>
      <c r="Y23" s="6">
        <f>COUNTIFS(Table35[Country],Tabela1[[#This Row],[Country]],Table35[Women''s Team Recurve Classification],"&gt;0")</f>
        <v>0</v>
      </c>
      <c r="Z23" s="6">
        <f>COUNTIFS(Tabela88[Country],Tabela1[[#This Row],[Country]],Tabela88[Mixed Team Recurve Classification],"&gt;0")</f>
        <v>0</v>
      </c>
      <c r="AA23" s="6">
        <f>COUNTIFS(Table36[Country],Tabela1[[#This Row],[Country]],Table36[Classification],"&gt;0")</f>
        <v>0</v>
      </c>
      <c r="AB23" s="6">
        <f>COUNTIFS(Table37[Country],Tabela1[[#This Row],[Country]],Table37[Classification],"&gt;0")</f>
        <v>0</v>
      </c>
      <c r="AC23" s="6">
        <f>COUNTIFS(Table4[Country],Tabela1[[#This Row],[Country]],Table4[100m Classification],"&gt;0")</f>
        <v>0</v>
      </c>
      <c r="AD23" s="6">
        <f>COUNTIFS(Table5[Country],Tabela1[[#This Row],[Country]],Table5[100m Classification],"&gt;0")</f>
        <v>0</v>
      </c>
      <c r="AE23" s="6">
        <f>COUNTIFS(Table4[Country],Tabela1[[#This Row],[Country]],Table4[200m Classification],"&gt;0")</f>
        <v>0</v>
      </c>
      <c r="AF23" s="6">
        <f>COUNTIFS(Table5[Country],Tabela1[[#This Row],[Country]],Table5[200m Classification],"&gt;0")</f>
        <v>0</v>
      </c>
      <c r="AG23" s="6">
        <f>COUNTIFS(Table4[Country],Tabela1[[#This Row],[Country]],Table4[400m Classification],"&gt;0")</f>
        <v>0</v>
      </c>
      <c r="AH23" s="6">
        <f>COUNTIFS(Table5[Country],Tabela1[[#This Row],[Country]],Table5[400m Classification],"&gt;0")</f>
        <v>1</v>
      </c>
      <c r="AI23" s="6">
        <f>COUNTIFS(Table4[Country],Tabela1[[#This Row],[Country]],Table4[800m Classification],"&gt;0")</f>
        <v>0</v>
      </c>
      <c r="AJ23" s="6">
        <f>COUNTIFS(Table5[Country],Tabela1[[#This Row],[Country]],Table5[800m Classification],"&gt;0")</f>
        <v>0</v>
      </c>
      <c r="AK23" s="6">
        <f>COUNTIFS(Table4[Country],Tabela1[[#This Row],[Country]],Table4[1500m Classification],"&gt;0")</f>
        <v>1</v>
      </c>
      <c r="AL23" s="6">
        <f>COUNTIFS(Table5[Country],Tabela1[[#This Row],[Country]],Table5[1500m Classification],"&gt;0")</f>
        <v>0</v>
      </c>
      <c r="AM23" s="6">
        <f>COUNTIFS(Table4[Country],Tabela1[[#This Row],[Country]],Table4[5000m Classification],"&gt;0")</f>
        <v>0</v>
      </c>
      <c r="AN23" s="6">
        <f>COUNTIFS(Table5[Country],Tabela1[[#This Row],[Country]],Table5[5000m Classification],"&gt;0")</f>
        <v>0</v>
      </c>
      <c r="AO23" s="6">
        <f>COUNTIFS(Table4[Country],Tabela1[[#This Row],[Country]],Table4[10000m Classification],"&gt;0")</f>
        <v>0</v>
      </c>
      <c r="AP23" s="6">
        <f>COUNTIFS(Table5[Country],Tabela1[[#This Row],[Country]],Table5[10000m Classification],"&gt;0")</f>
        <v>0</v>
      </c>
      <c r="AQ23" s="6">
        <f>COUNTIFS(Table4[Country],Tabela1[[#This Row],[Country]],Table4[110m Hurdles Classification],"&gt;0")</f>
        <v>1</v>
      </c>
      <c r="AR23" s="6">
        <f>COUNTIFS(Table5[Country],Tabela1[[#This Row],[Country]],Table5[100m Hurdles Classification],"&gt;0")</f>
        <v>0</v>
      </c>
      <c r="AS23" s="6">
        <f>COUNTIFS(Table4[Country],Tabela1[[#This Row],[Country]],Table4[400m Hurdles Classification],"&gt;0")</f>
        <v>0</v>
      </c>
      <c r="AT23" s="6">
        <f>COUNTIFS(Table5[Country],Tabela1[[#This Row],[Country]],Table5[400m Hurdles Classification],"&gt;0")</f>
        <v>0</v>
      </c>
      <c r="AU23" s="6">
        <f>COUNTIFS(Table4[Country],Tabela1[[#This Row],[Country]],Table4[3000m Steeplechase Classification],"&gt;0")</f>
        <v>0</v>
      </c>
      <c r="AV23" s="6">
        <f>COUNTIFS(Table5[Country],Tabela1[[#This Row],[Country]],Table5[3000m Steeplechase Classification],"&gt;0")</f>
        <v>0</v>
      </c>
      <c r="AW23" s="6">
        <f>COUNTIFS(Table27[Country],Tabela1[[#This Row],[Country]],Table27[Men''s 4x100m Relay Classification],"&gt;0")</f>
        <v>0</v>
      </c>
      <c r="AX23" s="6">
        <f>COUNTIFS(Table27[Country],Tabela1[[#This Row],[Country]],Table27[Women''s 4x100m Relay Classification],"&gt;0")</f>
        <v>0</v>
      </c>
      <c r="AY23" s="6">
        <f>COUNTIFS(Table27[Country],Tabela1[[#This Row],[Country]],Table27[Men''s 4x400m Relay Classification],"&gt;0")</f>
        <v>0</v>
      </c>
      <c r="AZ23" s="6">
        <f>COUNTIFS(Table27[Country],Tabela1[[#This Row],[Country]],Table27[Women''s 4x400m Relay Classification],"&gt;0")</f>
        <v>0</v>
      </c>
      <c r="BA23" s="6">
        <f>COUNTIFS(Table27[Country],Tabela1[[#This Row],[Country]],Table27[Mixed 4x400m Relay Classification],"&gt;0")</f>
        <v>0</v>
      </c>
      <c r="BB23" s="6">
        <f>COUNTIFS(Table4[Country],Tabela1[[#This Row],[Country]],Table4[Marathon Classification],"&gt;0")</f>
        <v>0</v>
      </c>
      <c r="BC23" s="6">
        <f>COUNTIFS(Table5[Country],Tabela1[[#This Row],[Country]],Table5[Marathon Classification],"&gt;0")</f>
        <v>0</v>
      </c>
      <c r="BD23" s="6">
        <f>COUNTIFS(Table4[Country],Tabela1[[#This Row],[Country]],Table4[20km Race Walk Classification],"&gt;0")</f>
        <v>0</v>
      </c>
      <c r="BE23" s="6">
        <f>COUNTIFS(Table5[Country],Tabela1[[#This Row],[Country]],Table5[20km Race Walk Classification],"&gt;0")</f>
        <v>0</v>
      </c>
      <c r="BF23" s="6">
        <f>COUNTIFS(Tabela96[Country],Tabela1[[#This Row],[Country]],Tabela96[Mixed Marathon Race Walk Relay Classification],"&gt;0")</f>
        <v>0</v>
      </c>
      <c r="BG23" s="6">
        <f>COUNTIFS(Table4[Country],Tabela1[[#This Row],[Country]],Table4[Discus Throw Classification],"&gt;0")</f>
        <v>1</v>
      </c>
      <c r="BH23" s="6">
        <f>COUNTIFS(Table5[Country],Tabela1[[#This Row],[Country]],Table5[Discus Throw Classification],"&gt;0")</f>
        <v>0</v>
      </c>
      <c r="BI23" s="6">
        <f>COUNTIFS(Table4[Country],Tabela1[[#This Row],[Country]],Table4[Hammer Throw Classification],"&gt;0")</f>
        <v>0</v>
      </c>
      <c r="BJ23" s="6">
        <f>COUNTIFS(Table5[Country],Tabela1[[#This Row],[Country]],Table5[Hammer Throw Classification],"&gt;0")</f>
        <v>0</v>
      </c>
      <c r="BK23" s="6">
        <f>COUNTIFS(Table4[Country],Tabela1[[#This Row],[Country]],Table4[High Jump Classification],"&gt;0")</f>
        <v>0</v>
      </c>
      <c r="BL23" s="6">
        <f>COUNTIFS(Table5[Country],Tabela1[[#This Row],[Country]],Table5[High Jump Classification],"&gt;0")</f>
        <v>0</v>
      </c>
      <c r="BM23" s="6">
        <f>COUNTIFS(Table4[Country],Tabela1[[#This Row],[Country]],Table4[Javelin Throw Classification],"&gt;0")</f>
        <v>0</v>
      </c>
      <c r="BN23" s="6">
        <f>COUNTIFS(Table5[Country],Tabela1[[#This Row],[Country]],Table5[Javelin Throw Classification],"&gt;0")</f>
        <v>0</v>
      </c>
      <c r="BO23" s="6">
        <f>COUNTIFS(Table4[Country],Tabela1[[#This Row],[Country]],Table4[Long Jump Classification],"&gt;0")</f>
        <v>0</v>
      </c>
      <c r="BP23" s="6">
        <f>COUNTIFS(Table5[Country],Tabela1[[#This Row],[Country]],Table5[Long Jump Classification],"&gt;0")</f>
        <v>0</v>
      </c>
      <c r="BQ23" s="6">
        <f>COUNTIFS(Table4[Country],Tabela1[[#This Row],[Country]],Table4[Pole Vault Classification],"&gt;0")</f>
        <v>0</v>
      </c>
      <c r="BR23" s="6">
        <f>COUNTIFS(Table5[Country],Tabela1[[#This Row],[Country]],Table5[Pole Vault Classification],"&gt;0")</f>
        <v>0</v>
      </c>
      <c r="BS23" s="6">
        <f>COUNTIFS(Table4[Country],Tabela1[[#This Row],[Country]],Table4[Shot Put Classification],"&gt;0")</f>
        <v>0</v>
      </c>
      <c r="BT23" s="6">
        <f>COUNTIFS(Table5[Country],Tabela1[[#This Row],[Country]],Table5[Shot Put Classification],"&gt;0")</f>
        <v>0</v>
      </c>
      <c r="BU23" s="6">
        <f>COUNTIFS(Table4[Country],Tabela1[[#This Row],[Country]],Table4[Triple Jump Classification],"&gt;0")</f>
        <v>0</v>
      </c>
      <c r="BV23" s="6">
        <f>COUNTIFS(Table5[Country],Tabela1[[#This Row],[Country]],Table5[Triple Jump Classification],"&gt;0")</f>
        <v>0</v>
      </c>
      <c r="BW23" s="6">
        <f>COUNTIFS(Table4[Country],Tabela1[[#This Row],[Country]],Table4[Decathlon Classification],"&gt;0")</f>
        <v>0</v>
      </c>
      <c r="BX23" s="6">
        <f>COUNTIFS(Table5[Country],Tabela1[[#This Row],[Country]],Table5[Heptathlon Classification],"&gt;0")</f>
        <v>0</v>
      </c>
      <c r="BY23" s="6">
        <f>COUNTIFS(Table61[Country],Tabela1[[#This Row],[Country]],Table61[Classification],"&gt;0")</f>
        <v>1</v>
      </c>
      <c r="BZ23" s="6">
        <f>COUNTIFS(Table38[Country],Tabela1[[#This Row],[Country]],Table38[Classification],"&gt;0")</f>
        <v>0</v>
      </c>
      <c r="CA23" s="6">
        <f>COUNTIFS(Table39[Country],Tabela1[[#This Row],[Country]],Table39[Men''s Classification],"&gt;0")</f>
        <v>0</v>
      </c>
      <c r="CB23" s="6">
        <f>COUNTIFS(Table39[Country],Tabela1[[#This Row],[Country]],Table39[Women''s Classification],"&gt;0")</f>
        <v>0</v>
      </c>
      <c r="CC23" s="6">
        <f>COUNTIFS(Table39[Country],Tabela1[[#This Row],[Country]],Table39[Mixed Classification],"&gt;0")</f>
        <v>0</v>
      </c>
      <c r="CD23" s="6">
        <f>COUNTIFS(Table89[Country],Tabela1[[#This Row],[Country]],Table89[Men''s Classification],"&gt;0")</f>
        <v>0</v>
      </c>
      <c r="CE23" s="6">
        <f>COUNTIFS(Table89[Country],Tabela1[[#This Row],[Country]],Table89[Women''s Classification],"&gt;0")</f>
        <v>0</v>
      </c>
      <c r="CF23" s="6">
        <f>COUNTIFS(Table90[Country],Tabela1[[#This Row],[Country]],Table90[Men''s Classification],"&gt;0")</f>
        <v>0</v>
      </c>
      <c r="CG23" s="6">
        <f>COUNTIFS(Table90[Country],Tabela1[[#This Row],[Country]],Table90[Women''s Classification],"&gt;0")</f>
        <v>0</v>
      </c>
      <c r="CH23" s="6">
        <f>COUNTIFS(Table60[Country],Tabela1[[#This Row],[Country]],Table60[Men''s Classification],"&gt;0")</f>
        <v>0</v>
      </c>
      <c r="CI23" s="6">
        <f>COUNTIFS(Table60[Country],Tabela1[[#This Row],[Country]],Table60[Women''s Classification],"&gt;0")</f>
        <v>0</v>
      </c>
      <c r="CJ23" s="6">
        <f>COUNTIFS(Table6[Country],Tabela1[[#This Row],[Country]],Table6[51kg Classification],"&gt;0")</f>
        <v>0</v>
      </c>
      <c r="CK23" s="6">
        <f>COUNTIFS(Table6[Country],Tabela1[[#This Row],[Country]],Table6[57kg Classification],"&gt;0")</f>
        <v>0</v>
      </c>
      <c r="CL23" s="6">
        <f>COUNTIFS(Table6[Country],Tabela1[[#This Row],[Country]],Table6[63.5kg Classification],"&gt;0")</f>
        <v>0</v>
      </c>
      <c r="CM23" s="6">
        <f>COUNTIFS(Table6[Country],Tabela1[[#This Row],[Country]],Table6[71kg Classification],"&gt;0")</f>
        <v>0</v>
      </c>
      <c r="CN23" s="6">
        <f>COUNTIFS(Table6[Country],Tabela1[[#This Row],[Country]],Table6[80kg Classification],"&gt;0")</f>
        <v>0</v>
      </c>
      <c r="CO23" s="6">
        <f>COUNTIFS(Table6[Country],Tabela1[[#This Row],[Country]],Table6[92kg Classification],"&gt;0")</f>
        <v>0</v>
      </c>
      <c r="CP23" s="6">
        <f>COUNTIFS(Table6[Country],Tabela1[[#This Row],[Country]],Table6[Plus 92kg Classification],"&gt;0")</f>
        <v>0</v>
      </c>
      <c r="CQ23" s="6">
        <f>COUNTIFS(Table7[Country],Tabela1[[#This Row],[Country]],Table7[50kg Classification],"&gt;0")</f>
        <v>0</v>
      </c>
      <c r="CR23" s="6">
        <f>COUNTIFS(Table7[Country],Tabela1[[#This Row],[Country]],Table7[54kg Classification],"&gt;0")</f>
        <v>0</v>
      </c>
      <c r="CS23" s="6">
        <f>COUNTIFS(Table7[Country],Tabela1[[#This Row],[Country]],Table7[57kg Classification],"&gt;0")</f>
        <v>0</v>
      </c>
      <c r="CT23" s="6">
        <f>COUNTIFS(Table7[Country],Tabela1[[#This Row],[Country]],Table7[60kg Classification],"&gt;0")</f>
        <v>0</v>
      </c>
      <c r="CU23" s="6">
        <f>COUNTIFS(Table7[Country],Tabela1[[#This Row],[Country]],Table7[66kg Classification],"&gt;0")</f>
        <v>0</v>
      </c>
      <c r="CV23" s="6">
        <f>COUNTIFS(Table7[Country],Tabela1[[#This Row],[Country]],Table7[75kg Classification],"&gt;0")</f>
        <v>0</v>
      </c>
      <c r="CW23" s="6">
        <f>COUNTIFS(Tabela94[Country],Tabela1[[#This Row],[Country]],Tabela94[Classification],"&gt;0")</f>
        <v>0</v>
      </c>
      <c r="CX23" s="6">
        <f>COUNTIFS(Tabela9499[Country],Tabela1[[#This Row],[Country]],Tabela9499[Classification],"&gt;0")</f>
        <v>0</v>
      </c>
      <c r="CY23" s="6">
        <f>COUNTIFS(Tabela107[Country],Tabela1[[#This Row],[Country]],Tabela107[C1 Slalom Classification],"&gt;0")</f>
        <v>0</v>
      </c>
      <c r="CZ23" s="6">
        <f>COUNTIFS(Tabela107122[Country],Tabela1[[#This Row],[Country]],Tabela107122[C1 Slalom Classification],"&gt;0")</f>
        <v>0</v>
      </c>
      <c r="DA23" s="6">
        <f>COUNTIFS(Tabela107[Country],Tabela1[[#This Row],[Country]],Tabela107[K1 Slalom Classification],"&gt;0")</f>
        <v>1</v>
      </c>
      <c r="DB23" s="6">
        <f>COUNTIFS(Tabela107122[Country],Tabela1[[#This Row],[Country]],Tabela107122[K1 Slalom Classification],"&gt;0")</f>
        <v>0</v>
      </c>
      <c r="DC23" s="6">
        <f>COUNTIFS(Tabela107[Country],Tabela1[[#This Row],[Country]],Tabela107[Kayak Cross Slalom Classification],"&gt;0")</f>
        <v>1</v>
      </c>
      <c r="DD23" s="6">
        <f>COUNTIFS(Tabela107122[Country],Tabela1[[#This Row],[Country]],Tabela107122[Kayak Cross Slalom Classification],"&gt;0")</f>
        <v>0</v>
      </c>
      <c r="DE23" s="6">
        <f>COUNTIFS(Table8[Country],Tabela1[[#This Row],[Country]],Table8[C1 200m Classification],"&gt;0")</f>
        <v>0</v>
      </c>
      <c r="DF23" s="6">
        <f>COUNTIFS(Table40[Country],Tabela1[[#This Row],[Country]],Table40[C1 1000m Classification],"&gt;0")</f>
        <v>0</v>
      </c>
      <c r="DG23" s="6">
        <f>COUNTIFS(Table68[Country],Tabela1[[#This Row],[Country]],Table68[Men''s C2 500m Classification],"&gt;0")</f>
        <v>0</v>
      </c>
      <c r="DH23" s="6">
        <f>COUNTIFS(Table68[Country],Tabela1[[#This Row],[Country]],Table68[Women''s C2 500m Classification],"&gt;0")</f>
        <v>0</v>
      </c>
      <c r="DI23" s="6">
        <f>COUNTIFS(Table8[Country],Tabela1[[#This Row],[Country]],Table8[K1 500m Classification],"&gt;0")</f>
        <v>0</v>
      </c>
      <c r="DJ23" s="6">
        <f>COUNTIFS(Table40[Country],Tabela1[[#This Row],[Country]],Table40[K1 1000m Classification],"&gt;0")</f>
        <v>0</v>
      </c>
      <c r="DK23" s="6">
        <f>COUNTIFS(Table68[Country],Tabela1[[#This Row],[Country]],Table68[Men''s K2 500m Classification],"&gt;0")</f>
        <v>0</v>
      </c>
      <c r="DL23" s="6">
        <f>COUNTIFS(Table68[Country],Tabela1[[#This Row],[Country]],Table68[Women''s K2 500m Classification],"&gt;0")</f>
        <v>0</v>
      </c>
      <c r="DM23" s="6">
        <f>COUNTIFS(Table83[Country],Tabela1[[#This Row],[Country]],Table83[Men''s K4 500m Classification],"&gt;0")</f>
        <v>0</v>
      </c>
      <c r="DN23" s="6">
        <f>COUNTIFS(Table83[Country],Tabela1[[#This Row],[Country]],Table83[Women''s K4 500m Classification],"&gt;0")</f>
        <v>0</v>
      </c>
      <c r="DO23" s="6">
        <f>COUNTIFS(Tabela126[Country],Tabela1[[#This Row],[Country]],Tabela126[Classification],"&gt;0")</f>
        <v>0</v>
      </c>
      <c r="DP23" s="6">
        <f>COUNTIFS(Tabela126130[Country],Tabela1[[#This Row],[Country]],Tabela126130[Classification],"&gt;0")</f>
        <v>0</v>
      </c>
      <c r="DQ23" s="6">
        <f>COUNTIFS(Table70[Country],Tabela1[[#This Row],[Country]],Table70[Classification],"&gt;0")</f>
        <v>0</v>
      </c>
      <c r="DR23" s="6">
        <f>COUNTIFS(Table80[Country],Tabela1[[#This Row],[Country]],Table80[Classification],"&gt;0")</f>
        <v>0</v>
      </c>
      <c r="DS23" s="6">
        <f>COUNTIFS(Table66[Country],Tabela1[[#This Row],[Country]],Table66[Classification],"&gt;0")</f>
        <v>0</v>
      </c>
      <c r="DT23" s="6">
        <f>COUNTIFS(Table67[Country],Tabela1[[#This Row],[Country]],Table67[Classification],"&gt;0")</f>
        <v>0</v>
      </c>
      <c r="DU23" s="6">
        <f>COUNTIFS(Table69[Country],Tabela1[[#This Row],[Country]],Table69[Keirin Classification],"&gt;0")</f>
        <v>0</v>
      </c>
      <c r="DV23" s="6">
        <f>COUNTIFS(Table41[Country],Tabela1[[#This Row],[Country]],Table41[Keirin Classification],"&gt;0")</f>
        <v>0</v>
      </c>
      <c r="DW23" s="6">
        <f>COUNTIFS(Table84[Country],Tabela1[[#This Row],[Country]],Table84[Men''s Madison Classification],"&gt;0")</f>
        <v>0</v>
      </c>
      <c r="DX23" s="6">
        <f>COUNTIFS(Table84[Country],Tabela1[[#This Row],[Country]],Table84[Women''s Madison Classification],"&gt;0")</f>
        <v>0</v>
      </c>
      <c r="DY23" s="6">
        <f>COUNTIFS(Table69[Country],Tabela1[[#This Row],[Country]],Table69[Omnium Classification],"&gt;0")</f>
        <v>0</v>
      </c>
      <c r="DZ23" s="6">
        <f>COUNTIFS(Table41[Country],Tabela1[[#This Row],[Country]],Table41[Omnium Classification],"&gt;0")</f>
        <v>0</v>
      </c>
      <c r="EA23" s="6">
        <f>COUNTIFS(Table9[Country],Tabela1[[#This Row],[Country]],Table9[Road Race Classification],"&gt;0")</f>
        <v>2</v>
      </c>
      <c r="EB23" s="6">
        <f>COUNTIFS(Table14[Country],Tabela1[[#This Row],[Country]],Table14[Road Race Classification],"&gt;0")</f>
        <v>1</v>
      </c>
      <c r="EC23" s="6">
        <f>COUNTIFS(Table69[Country],Tabela1[[#This Row],[Country]],Table69[Sprint Classification],"&gt;0")</f>
        <v>0</v>
      </c>
      <c r="ED23" s="6">
        <f>COUNTIFS(Table41[Country],Tabela1[[#This Row],[Country]],Table41[Sprint Classification],"&gt;0")</f>
        <v>0</v>
      </c>
      <c r="EE23" s="6">
        <f>COUNTIFS(Table85[Country],Tabela1[[#This Row],[Country]],Table85[Men''s Sprint Classification],"&gt;0")</f>
        <v>0</v>
      </c>
      <c r="EF23" s="6">
        <f>COUNTIFS(Table85[Country],Tabela1[[#This Row],[Country]],Table85[Women''s Sprint Classification],"&gt;0")</f>
        <v>0</v>
      </c>
      <c r="EG23" s="6">
        <f>COUNTIFS(Table85[Country],Tabela1[[#This Row],[Country]],Table85[Men''s Pursuit Classification],"&gt;0")</f>
        <v>0</v>
      </c>
      <c r="EH23" s="6">
        <f>COUNTIFS(Table85[Country],Tabela1[[#This Row],[Country]],Table85[Women''s Pursuit Classification],"&gt;0")</f>
        <v>0</v>
      </c>
      <c r="EI23" s="6">
        <f>COUNTIFS(Table9[Country],Tabela1[[#This Row],[Country]],Table9[Time-Trial Classification],"&gt;0")</f>
        <v>1</v>
      </c>
      <c r="EJ23" s="6">
        <f>COUNTIFS(Table14[Country],Tabela1[[#This Row],[Country]],Table14[Time-Trial Classification],"&gt;0")</f>
        <v>1</v>
      </c>
      <c r="EK23" s="6">
        <f>COUNTIFS(Table42[Country],Tabela1[[#This Row],[Country]],Table42[Springboard Classification],"&gt;0")</f>
        <v>0</v>
      </c>
      <c r="EL23" s="6">
        <f>COUNTIFS(Table43[Country],Tabela1[[#This Row],[Country]],Table43[Springboard Classification],"&gt;0")</f>
        <v>0</v>
      </c>
      <c r="EM23" s="6">
        <f>COUNTIFS(Table42[Country],Tabela1[[#This Row],[Country]],Table42[Platform Classification],"&gt;0")</f>
        <v>0</v>
      </c>
      <c r="EN23" s="6">
        <f>COUNTIFS(Table43[Country],Tabela1[[#This Row],[Country]],Table43[Platform Classification],"&gt;0")</f>
        <v>0</v>
      </c>
      <c r="EO23" s="6">
        <f>COUNTIFS(Table86[Country],Tabela1[[#This Row],[Country]],Table86[Men''s Synchronized Springboard Classification],"&gt;0")</f>
        <v>0</v>
      </c>
      <c r="EP23" s="6">
        <f>COUNTIFS(Table86[Country],Tabela1[[#This Row],[Country]],Table86[Women''s Synchronized Springboard Classification],"&gt;0")</f>
        <v>0</v>
      </c>
      <c r="EQ23" s="6">
        <f>COUNTIFS(Table86[Country],Tabela1[[#This Row],[Country]],Table86[Men''s Synchronized Platform Classification],"&gt;0")</f>
        <v>0</v>
      </c>
      <c r="ER23" s="6">
        <f>COUNTIFS(Table86[Country],Tabela1[[#This Row],[Country]],Table86[Women''s Synchronized Platform Classification],"&gt;0")</f>
        <v>0</v>
      </c>
      <c r="ES23" s="6">
        <f>COUNTIFS(Table44[Country],Tabela1[[#This Row],[Country]],Table44[Dressage Classification],"&gt;0")</f>
        <v>2</v>
      </c>
      <c r="ET23" s="6">
        <f>COUNTIFS(Table45[Country],Tabela1[[#This Row],[Country]],Table45[Dressage Classification],"&gt;0")</f>
        <v>1</v>
      </c>
      <c r="EU23" s="6">
        <f>COUNTIFS(Table44[Country],Tabela1[[#This Row],[Country]],Table44[Eventing Classification],"&gt;0")</f>
        <v>1</v>
      </c>
      <c r="EV23" s="6">
        <f>COUNTIFS(Table45[Country],Tabela1[[#This Row],[Country]],Table45[Eventing Classification],"&gt;0")</f>
        <v>0</v>
      </c>
      <c r="EW23" s="6">
        <f>COUNTIFS(Table44[Country],Tabela1[[#This Row],[Country]],Table44[Jumping Classification],"&gt;0")</f>
        <v>1</v>
      </c>
      <c r="EX23" s="6">
        <f>COUNTIFS(Table45[Country],Tabela1[[#This Row],[Country]],Table45[Jumping Classification],"&gt;0")</f>
        <v>1</v>
      </c>
      <c r="EY23" s="6">
        <f>COUNTIFS(Table10[Country],Tabela1[[#This Row],[Country]],Table10[Épée Classification],"&gt;0")</f>
        <v>0</v>
      </c>
      <c r="EZ23" s="6">
        <f>COUNTIFS(Table11[Country],Tabela1[[#This Row],[Country]],Table11[Épée Classification],"&gt;0")</f>
        <v>0</v>
      </c>
      <c r="FA23" s="6">
        <f>COUNTIFS(Table46[Country],Tabela1[[#This Row],[Country]],Table46[Men''s Épée Classification],"&gt;0")</f>
        <v>0</v>
      </c>
      <c r="FB23" s="6">
        <f>COUNTIFS(Table46[Country],Tabela1[[#This Row],[Country]],Table46[Women''s Épée Classification],"&gt;0")</f>
        <v>0</v>
      </c>
      <c r="FC23" s="6">
        <f>COUNTIFS(Table10[Country],Tabela1[[#This Row],[Country]],Table10[Foil Classification],"&gt;0")</f>
        <v>0</v>
      </c>
      <c r="FD23" s="6">
        <f>COUNTIFS(Table11[Country],Tabela1[[#This Row],[Country]],Table11[Foil Classification],"&gt;0")</f>
        <v>0</v>
      </c>
      <c r="FE23" s="6">
        <f>COUNTIFS(Table46[Country],Tabela1[[#This Row],[Country]],Table46[Men''s Foil Classification],"&gt;0")</f>
        <v>0</v>
      </c>
      <c r="FF23" s="6">
        <f>COUNTIFS(Table46[Country],Tabela1[[#This Row],[Country]],Table46[Women''s Foil Classification],"&gt;0")</f>
        <v>0</v>
      </c>
      <c r="FG23" s="6">
        <f>COUNTIFS(Table10[Country],Tabela1[[#This Row],[Country]],Table10[Sabre Classification],"&gt;0")</f>
        <v>0</v>
      </c>
      <c r="FH23" s="6">
        <f>COUNTIFS(Table11[Country],Tabela1[[#This Row],[Country]],Table11[Sabre Classification],"&gt;0")</f>
        <v>0</v>
      </c>
      <c r="FI23" s="6">
        <f>COUNTIFS(Table46[Country],Tabela1[[#This Row],[Country]],Table46[Men''s Sabre Classification],"&gt;0")</f>
        <v>0</v>
      </c>
      <c r="FJ23" s="6">
        <f>COUNTIFS(Table46[Country],Tabela1[[#This Row],[Country]],Table46[Women''s Sabre Classification],"&gt;0")</f>
        <v>0</v>
      </c>
      <c r="FK23" s="6">
        <f>COUNTIFS(Table91[Country],Tabela1[[#This Row],[Country]],Table91[Men''s Classification],"&gt;0")</f>
        <v>0</v>
      </c>
      <c r="FL23" s="6">
        <f>COUNTIFS(Table91[Country],Tabela1[[#This Row],[Country]],Table91[Women''s Classification],"&gt;0")</f>
        <v>0</v>
      </c>
      <c r="FM23" s="6">
        <f>COUNTIFS(Table9194[Country],Tabela1[[#This Row],[Country]],Table9194[Men''s Classification],"&gt;0")</f>
        <v>0</v>
      </c>
      <c r="FN23" s="6">
        <f>COUNTIFS(Table9194[Country],Tabela1[[#This Row],[Country]],Table9194[Women''s Classification],"&gt;0")</f>
        <v>0</v>
      </c>
      <c r="FO23" s="6">
        <f>COUNTIFS(Table71[Country],Tabela1[[#This Row],[Country]],Table71[Classification],"&gt;0")</f>
        <v>0</v>
      </c>
      <c r="FP23" s="6">
        <f>COUNTIFS(Table62[Country],Tabela1[[#This Row],[Country]],Table62[Classification],"&gt;0")</f>
        <v>0</v>
      </c>
      <c r="FQ23" s="6">
        <f>COUNTIFS(Table47[Country],Tabela1[[#This Row],[Country]],Table47[All-Around Classification],"&gt;0")</f>
        <v>0</v>
      </c>
      <c r="FR23" s="6">
        <f>COUNTIFS(Table48[Country],Tabela1[[#This Row],[Country]],Table48[All-Around Classification],"&gt;0")</f>
        <v>1</v>
      </c>
      <c r="FS23" s="6">
        <f>COUNTIFS(Table81[Country],Tabela1[[#This Row],[Country]],Table81[Men''s All-Around Classification],"&gt;0")</f>
        <v>0</v>
      </c>
      <c r="FT23" s="6">
        <f>COUNTIFS(Table81[Country],Tabela1[[#This Row],[Country]],Table81[Women''s All-Around Classification],"&gt;0")</f>
        <v>0</v>
      </c>
      <c r="FU23" s="6">
        <f>COUNTIFS(Table48[Country],Tabela1[[#This Row],[Country]],Table48[Balance Beam Classification],"&gt;0")</f>
        <v>1</v>
      </c>
      <c r="FV23" s="6">
        <f>COUNTIFS(Table47[Country],Tabela1[[#This Row],[Country]],Table47[Floor Exercise Classification],"&gt;0")</f>
        <v>0</v>
      </c>
      <c r="FW23" s="6">
        <f>COUNTIFS(Table48[Country],Tabela1[[#This Row],[Country]],Table48[Floor Exercise Classification],"&gt;0")</f>
        <v>1</v>
      </c>
      <c r="FX23" s="6">
        <f>COUNTIFS(Table47[Country],Tabela1[[#This Row],[Country]],Table47[Horizontal Bar Classification],"&gt;0")</f>
        <v>0</v>
      </c>
      <c r="FY23" s="6">
        <f>COUNTIFS(Table47[Country],Tabela1[[#This Row],[Country]],Table47[Parallel Bars Classification],"&gt;0")</f>
        <v>0</v>
      </c>
      <c r="FZ23" s="6">
        <f>COUNTIFS(Table47[Country],Tabela1[[#This Row],[Country]],Table47[Pommel Horse Classification],"&gt;0")</f>
        <v>0</v>
      </c>
      <c r="GA23" s="6">
        <f>COUNTIFS(Table47[Country],Tabela1[[#This Row],[Country]],Table47[Rings Classification],"&gt;0")</f>
        <v>0</v>
      </c>
      <c r="GB23" s="6">
        <f>COUNTIFS(Tabela132[Country],Tabela1[[#This Row],[Country]],Tabela132[Classification],"&gt;0")</f>
        <v>0</v>
      </c>
      <c r="GC23" s="6">
        <f>COUNTIFS(Tabela139[Country],Tabela1[[#This Row],[Country]],Tabela139[Classification],"&gt;0")</f>
        <v>0</v>
      </c>
      <c r="GD23" s="6">
        <f>COUNTIFS(Table48[Country],Tabela1[[#This Row],[Country]],Table48[Uneven Bars Classification],"&gt;0")</f>
        <v>1</v>
      </c>
      <c r="GE23" s="6">
        <f>COUNTIFS(Table47[Country],Tabela1[[#This Row],[Country]],Table47[Vault Classification],"&gt;0")</f>
        <v>0</v>
      </c>
      <c r="GF23" s="6">
        <f>COUNTIFS(Table48[Country],Tabela1[[#This Row],[Country]],Table48[Vault Classification],"&gt;0")</f>
        <v>0</v>
      </c>
      <c r="GG23" s="6">
        <f>COUNTIFS(Table919496[Country],Tabela1[[#This Row],[Country]],Table919496[Men''s Classification],"&gt;0")</f>
        <v>0</v>
      </c>
      <c r="GH23" s="6">
        <f>COUNTIFS(Table919496[Country],Tabela1[[#This Row],[Country]],Table919496[Women''s Classification],"&gt;0")</f>
        <v>0</v>
      </c>
      <c r="GI23" s="6">
        <f>COUNTIFS(Table12[Country],Tabela1[[#This Row],[Country]],Table12[60kg Classification],"&gt;0")</f>
        <v>0</v>
      </c>
      <c r="GJ23" s="6">
        <f>COUNTIFS(Table12[Country],Tabela1[[#This Row],[Country]],Table12[66kg Classification],"&gt;0")</f>
        <v>0</v>
      </c>
      <c r="GK23" s="6">
        <f>COUNTIFS(Table12[Country],Tabela1[[#This Row],[Country]],Table12[73kg Classification],"&gt;0")</f>
        <v>1</v>
      </c>
      <c r="GL23" s="6">
        <f>COUNTIFS(Table12[Country],Tabela1[[#This Row],[Country]],Table12[81kg Classification],"&gt;0")</f>
        <v>0</v>
      </c>
      <c r="GM23" s="6">
        <f>COUNTIFS(Table12[Country],Tabela1[[#This Row],[Country]],Table12[90kg Classification],"&gt;0")</f>
        <v>0</v>
      </c>
      <c r="GN23" s="6">
        <f>COUNTIFS(Table12[Country],Tabela1[[#This Row],[Country]],Table12[100kg Classification],"&gt;0")</f>
        <v>0</v>
      </c>
      <c r="GO23" s="6">
        <f>COUNTIFS(Table12[Country],Tabela1[[#This Row],[Country]],Table12[Plus 100kg Classification],"&gt;0")</f>
        <v>0</v>
      </c>
      <c r="GP23" s="6">
        <f>COUNTIFS(Table13[Country],Tabela1[[#This Row],[Country]],Table13[48kg Classification],"&gt;0")</f>
        <v>0</v>
      </c>
      <c r="GQ23" s="6">
        <f>COUNTIFS(Table13[Country],Tabela1[[#This Row],[Country]],Table13[52kg Classification],"&gt;0")</f>
        <v>0</v>
      </c>
      <c r="GR23" s="6">
        <f>COUNTIFS(Table13[Country],Tabela1[[#This Row],[Country]],Table13[57kg Classification],"&gt;0")</f>
        <v>0</v>
      </c>
      <c r="GS23" s="6">
        <f>COUNTIFS(Table13[Country],Tabela1[[#This Row],[Country]],Table13[63kg Classification],"&gt;0")</f>
        <v>0</v>
      </c>
      <c r="GT23" s="6">
        <f>COUNTIFS(Table13[Country],Tabela1[[#This Row],[Country]],Table13[70kg Classification],"&gt;0")</f>
        <v>0</v>
      </c>
      <c r="GU23" s="6">
        <f>COUNTIFS(Table13[Country],Tabela1[[#This Row],[Country]],Table13[78kg Classification],"&gt;0")</f>
        <v>0</v>
      </c>
      <c r="GV23" s="6">
        <f>COUNTIFS(Table13[Country],Tabela1[[#This Row],[Country]],Table13[Plus 78kg Classification],"&gt;0")</f>
        <v>0</v>
      </c>
      <c r="GW23" s="6">
        <f>COUNTIFS(Table82[Country],Tabela1[[#This Row],[Country]],Table82[Mixed Classification],"&gt;0")</f>
        <v>1</v>
      </c>
      <c r="GX23" s="6">
        <f>COUNTIFS(Table51[Country],Tabela1[[#This Row],[Country]],Table51[Classification],"&gt;0")</f>
        <v>0</v>
      </c>
      <c r="GY23" s="6">
        <f>COUNTIFS(Table52[Country],Tabela1[[#This Row],[Country]],Table52[Classification],"&gt;0")</f>
        <v>0</v>
      </c>
      <c r="GZ23" s="6">
        <f>COUNTIFS(Table32[Country],Tabela1[[#This Row],[Country]],Table32[All-Around Classification],"&gt;0")</f>
        <v>0</v>
      </c>
      <c r="HA23" s="6">
        <f>COUNTIFS(Table49[Country],Tabela1[[#This Row],[Country]],Table49[All-Around Classification],"&gt;0")</f>
        <v>0</v>
      </c>
      <c r="HB23" s="6">
        <f>COUNTIFS(Table26[Country],Tabela1[[#This Row],[Country]],Table26[Single Sculls Classification],"&gt;0")</f>
        <v>0</v>
      </c>
      <c r="HC23" s="6">
        <f>COUNTIFS(Table63[Country],Tabela1[[#This Row],[Country]],Table63[Single Sculls Classification],"&gt;0")</f>
        <v>1</v>
      </c>
      <c r="HD23" s="6">
        <f>COUNTIFS(Table16[Country],Tabela1[[#This Row],[Country]],Table16[Men''s Double Sculls Classification],"&gt;0")</f>
        <v>0</v>
      </c>
      <c r="HE23" s="6">
        <f>COUNTIFS(Table16[Country],Tabela1[[#This Row],[Country]],Table16[Women''s Double Sculls Classification],"&gt;0")</f>
        <v>0</v>
      </c>
      <c r="HF23" s="6">
        <f>COUNTIFS(Table72[Country],Tabela1[[#This Row],[Country]],Table72[Men''s Quadruple Sculls Classification],"&gt;0")</f>
        <v>0</v>
      </c>
      <c r="HG23" s="6">
        <f>COUNTIFS(Table72[Country],Tabela1[[#This Row],[Country]],Table72[Women''s Quadruple Sculls Classification],"&gt;0")</f>
        <v>0</v>
      </c>
      <c r="HH23" s="6">
        <f>COUNTIFS(Table16[Country],Tabela1[[#This Row],[Country]],Table16[Men''s Coxless Pairs Classification],"&gt;0")</f>
        <v>0</v>
      </c>
      <c r="HI23" s="6">
        <f>COUNTIFS(Table16[Country],Tabela1[[#This Row],[Country]],Table16[Women''s Coxless Pairs Classification],"&gt;0")</f>
        <v>0</v>
      </c>
      <c r="HJ23" s="6">
        <f>COUNTIFS(Table72[Country],Tabela1[[#This Row],[Country]],Table72[Men''s Coxless Fours Classification],"&gt;0")</f>
        <v>0</v>
      </c>
      <c r="HK23" s="6">
        <f>COUNTIFS(Table72[Country],Tabela1[[#This Row],[Country]],Table72[Women''s Coxless Fours Classification],"&gt;0")</f>
        <v>0</v>
      </c>
      <c r="HL23" s="6">
        <f>COUNTIFS(Table72[Country],Tabela1[[#This Row],[Country]],Table72[Men''s Eights Classification],"&gt;0")</f>
        <v>0</v>
      </c>
      <c r="HM23" s="6">
        <f>COUNTIFS(Table72[Country],Tabela1[[#This Row],[Country]],Table72[Women''s Eights Classification],"&gt;0")</f>
        <v>0</v>
      </c>
      <c r="HN23" s="6">
        <f>COUNTIFS(Table16[Country],Tabela1[[#This Row],[Country]],Table16[Men''s Lwt. Double Sculls Classification],"&gt;0")</f>
        <v>0</v>
      </c>
      <c r="HO23" s="6">
        <f>COUNTIFS(Table16[Country],Tabela1[[#This Row],[Country]],Table16[Women''s Lwt. Double Sculls Classification],"&gt;0")</f>
        <v>0</v>
      </c>
      <c r="HP23" s="6">
        <f>COUNTIFS(Table91949698[Country],Tabela1[[#This Row],[Country]],Table91949698[Men''s Classification],"&gt;0")</f>
        <v>0</v>
      </c>
      <c r="HQ23" s="6">
        <f>COUNTIFS(Table91949698[Country],Tabela1[[#This Row],[Country]],Table91949698[Women''s Classification],"&gt;0")</f>
        <v>0</v>
      </c>
      <c r="HR23" s="6">
        <f>COUNTIFS(Table25[Country],Tabela1[[#This Row],[Country]],Table25[Mixed 470 Classification],"&gt;0")</f>
        <v>0</v>
      </c>
      <c r="HS23" s="6">
        <f>COUNTIFS(Table25[Country],Tabela1[[#This Row],[Country]],Table25[Men''s 49er Classification],"&gt;0")</f>
        <v>0</v>
      </c>
      <c r="HT23" s="6">
        <f>COUNTIFS(Table25[Country],Tabela1[[#This Row],[Country]],Table25[Women''s 49er FX Classification],"&gt;0")</f>
        <v>0</v>
      </c>
      <c r="HU23" s="6">
        <f>COUNTIFS(Table17[Country],Tabela1[[#This Row],[Country]],Table17[Formula Kite Classification],"&gt;0")</f>
        <v>0</v>
      </c>
      <c r="HV23" s="6">
        <f>COUNTIFS(Table18[Country],Tabela1[[#This Row],[Country]],Table18[Formula Kite Classification],"&gt;0")</f>
        <v>0</v>
      </c>
      <c r="HW23" s="6">
        <f>COUNTIFS(Table17[Country],Tabela1[[#This Row],[Country]],Table17[ILCA 7 Classification],"&gt;0")</f>
        <v>0</v>
      </c>
      <c r="HX23" s="6">
        <f>COUNTIFS(Table18[Country],Tabela1[[#This Row],[Country]],Table18[ILCA 6 Classification],"&gt;0")</f>
        <v>0</v>
      </c>
      <c r="HY23" s="6">
        <f>COUNTIFS(Table17[Country],Tabela1[[#This Row],[Country]],Table17[IQFoil Classification],"&gt;0")</f>
        <v>0</v>
      </c>
      <c r="HZ23" s="6">
        <f>COUNTIFS(Table18[Country],Tabela1[[#This Row],[Country]],Table18[IQFoil Classification],"&gt;0")</f>
        <v>0</v>
      </c>
      <c r="IA23" s="6">
        <f>COUNTIFS(Table25[Country],Tabela1[[#This Row],[Country]],Table25[Mixed Nacra 17 Classification],"&gt;0")</f>
        <v>0</v>
      </c>
      <c r="IB23" s="6">
        <f>COUNTIFS(Table53[Country],Tabela1[[#This Row],[Country]],Table53[10m Air Pistol Classification],"&gt;0")</f>
        <v>0</v>
      </c>
      <c r="IC23" s="6">
        <f>COUNTIFS(Table19[Country],Tabela1[[#This Row],[Country]],Table19[10m Air Pistol Classification],"&gt;0")</f>
        <v>0</v>
      </c>
      <c r="ID23" s="6">
        <f>COUNTIFS(Table54[Country],Tabela1[[#This Row],[Country]],Table54[Mixed 10m Air Pistol Team Classification],"&gt;0")</f>
        <v>0</v>
      </c>
      <c r="IE23" s="6">
        <f>COUNTIFS(Table53[Country],Tabela1[[#This Row],[Country]],Table53[10m Air Rifle Classification],"&gt;0")</f>
        <v>0</v>
      </c>
      <c r="IF23" s="6">
        <f>COUNTIFS(Table19[Country],Tabela1[[#This Row],[Country]],Table19[10m Air Rifle Classification],"&gt;0")</f>
        <v>0</v>
      </c>
      <c r="IG23" s="6">
        <f>COUNTIFS(Table54[Country],Tabela1[[#This Row],[Country]],Table54[Mixed 10m Air Rifle Team Classification],"&gt;0")</f>
        <v>0</v>
      </c>
      <c r="IH23" s="6">
        <f>COUNTIFS(Table53[Country],Tabela1[[#This Row],[Country]],Table53[25m Rapid Fire Pistol Classification],"&gt;0")</f>
        <v>0</v>
      </c>
      <c r="II23" s="6">
        <f>COUNTIFS(Table19[Country],Tabela1[[#This Row],[Country]],Table19[25m Pistol Classification],"&gt;0")</f>
        <v>0</v>
      </c>
      <c r="IJ23" s="6">
        <f>COUNTIFS(Table53[Country],Tabela1[[#This Row],[Country]],Table53[50m Rifle 3 Positions Classification],"&gt;0")</f>
        <v>0</v>
      </c>
      <c r="IK23" s="6">
        <f>COUNTIFS(Table19[Country],Tabela1[[#This Row],[Country]],Table19[50m Rifle 3 Positions Classification],"&gt;0")</f>
        <v>0</v>
      </c>
      <c r="IL23" s="6">
        <f>COUNTIFS(Table53[Country],Tabela1[[#This Row],[Country]],Table53[Skeet Classification],"&gt;0")</f>
        <v>0</v>
      </c>
      <c r="IM23" s="6">
        <f>COUNTIFS(Table19[Country],Tabela1[[#This Row],[Country]],Table19[Skeet Classification],"&gt;0")</f>
        <v>0</v>
      </c>
      <c r="IN23" s="6">
        <f>COUNTIFS(Table54[Country],Tabela1[[#This Row],[Country]],Table54[Mixed Skeet Team Classification],"&gt;0")</f>
        <v>0</v>
      </c>
      <c r="IO23" s="6">
        <f>COUNTIFS(Table53[Country],Tabela1[[#This Row],[Country]],Table53[Trap Classification],"&gt;0")</f>
        <v>0</v>
      </c>
      <c r="IP23" s="6">
        <f>COUNTIFS(Table19[Country],Tabela1[[#This Row],[Country]],Table19[Trap Classification],"&gt;0")</f>
        <v>0</v>
      </c>
      <c r="IQ23" s="6">
        <f>COUNTIFS(Table73[Country],Tabela1[[#This Row],[Country]],Table73[Park Classification],"&gt;0")</f>
        <v>0</v>
      </c>
      <c r="IR23" s="6">
        <f>COUNTIFS(Table74[Country],Tabela1[[#This Row],[Country]],Table74[Park Classification],"&gt;0")</f>
        <v>0</v>
      </c>
      <c r="IS23" s="6">
        <f>COUNTIFS(Table73[Country],Tabela1[[#This Row],[Country]],Table73[Street Classification],"&gt;0")</f>
        <v>0</v>
      </c>
      <c r="IT23" s="6">
        <f>COUNTIFS(Table74[Country],Tabela1[[#This Row],[Country]],Table74[Street Classification],"&gt;0")</f>
        <v>0</v>
      </c>
      <c r="IU23" s="6">
        <f>COUNTIFS(Table75[Country],Tabela1[[#This Row],[Country]],Table75[Boulder and Lead Classification],"&gt;0")</f>
        <v>0</v>
      </c>
      <c r="IV23" s="6">
        <f>COUNTIFS(Table76[Country],Tabela1[[#This Row],[Country]],Table76[Boulder and Lead Classification],"&gt;0")</f>
        <v>0</v>
      </c>
      <c r="IW23" s="6">
        <f>COUNTIFS(Table75[Country],Tabela1[[#This Row],[Country]],Table75[Speed Classification],"&gt;0")</f>
        <v>0</v>
      </c>
      <c r="IX23" s="6">
        <f>COUNTIFS(Table76[Country],Tabela1[[#This Row],[Country]],Table76[Speed Classification],"&gt;0")</f>
        <v>0</v>
      </c>
      <c r="IY23" s="6">
        <f>COUNTIFS(Table64[Country],Tabela1[[#This Row],[Country]],Table64[Shortboard Classification],"&gt;0")</f>
        <v>0</v>
      </c>
      <c r="IZ23" s="6">
        <f>COUNTIFS(Table77[Country],Tabela1[[#This Row],[Country]],Table77[Shortboard Classification],"&gt;0")</f>
        <v>0</v>
      </c>
      <c r="JA23" s="6">
        <f>COUNTIFS(Table20[Country],Tabela1[[#This Row],[Country]],Table20[50m Freestyle Classification],"&gt;0")</f>
        <v>0</v>
      </c>
      <c r="JB23" s="6">
        <f>COUNTIFS(Table21[Country],Tabela1[[#This Row],[Country]],Table21[50m Freestyle Classification],"&gt;0")</f>
        <v>0</v>
      </c>
      <c r="JC23" s="6">
        <f>COUNTIFS(Table20[Country],Tabela1[[#This Row],[Country]],Table20[100m Freestyle Classification],"&gt;0")</f>
        <v>0</v>
      </c>
      <c r="JD23" s="6">
        <f>COUNTIFS(Table21[Country],Tabela1[[#This Row],[Country]],Table21[100m Freestyle Classification],"&gt;0")</f>
        <v>0</v>
      </c>
      <c r="JE23" s="6">
        <f>COUNTIFS(Table20[Country],Tabela1[[#This Row],[Country]],Table20[200m Freestyle Classification],"&gt;0")</f>
        <v>0</v>
      </c>
      <c r="JF23" s="6">
        <f>COUNTIFS(Table21[Country],Tabela1[[#This Row],[Country]],Table21[200m Freestyle Classification],"&gt;0")</f>
        <v>0</v>
      </c>
      <c r="JG23" s="6">
        <f>COUNTIFS(Table20[Country],Tabela1[[#This Row],[Country]],Table20[400m Freestyle Classification],"&gt;0")</f>
        <v>0</v>
      </c>
      <c r="JH23" s="6">
        <f>COUNTIFS(Table21[Country],Tabela1[[#This Row],[Country]],Table21[400m Freestyle Classification],"&gt;0")</f>
        <v>0</v>
      </c>
      <c r="JI23" s="6">
        <f>COUNTIFS(Table20[Country],Tabela1[[#This Row],[Country]],Table20[800m Freestyle Classification],"&gt;0")</f>
        <v>0</v>
      </c>
      <c r="JJ23" s="6">
        <f>COUNTIFS(Table21[Country],Tabela1[[#This Row],[Country]],Table21[800m Freestyle Classification],"&gt;0")</f>
        <v>0</v>
      </c>
      <c r="JK23" s="6">
        <f>COUNTIFS(Table20[Country],Tabela1[[#This Row],[Country]],Table20[1500m Freestyle Classification],"&gt;0")</f>
        <v>0</v>
      </c>
      <c r="JL23" s="6">
        <f>COUNTIFS(Table21[Country],Tabela1[[#This Row],[Country]],Table21[1500m Freestyle Classification],"&gt;0")</f>
        <v>0</v>
      </c>
      <c r="JM23" s="6">
        <f>COUNTIFS(Table20[Country],Tabela1[[#This Row],[Country]],Table20[100m Backstroke Classification],"&gt;0")</f>
        <v>0</v>
      </c>
      <c r="JN23" s="6">
        <f>COUNTIFS(Table21[Country],Tabela1[[#This Row],[Country]],Table21[100m Backstroke Classification],"&gt;0")</f>
        <v>0</v>
      </c>
      <c r="JO23" s="6">
        <f>COUNTIFS(Table20[Country],Tabela1[[#This Row],[Country]],Table20[200m Backstroke Classification],"&gt;0")</f>
        <v>0</v>
      </c>
      <c r="JP23" s="6">
        <f>COUNTIFS(Table21[Country],Tabela1[[#This Row],[Country]],Table21[200m Backstroke Classification],"&gt;0")</f>
        <v>0</v>
      </c>
      <c r="JQ23" s="6">
        <f>COUNTIFS(Table20[Country],Tabela1[[#This Row],[Country]],Table20[100m Breaststroke Classification],"&gt;0")</f>
        <v>0</v>
      </c>
      <c r="JR23" s="6">
        <f>COUNTIFS(Table21[Country],Tabela1[[#This Row],[Country]],Table21[100m Breaststroke Classification],"&gt;0")</f>
        <v>0</v>
      </c>
      <c r="JS23" s="6">
        <f>COUNTIFS(Table20[Country],Tabela1[[#This Row],[Country]],Table20[200m Breaststroke Classification],"&gt;0")</f>
        <v>0</v>
      </c>
      <c r="JT23" s="6">
        <f>COUNTIFS(Table21[Country],Tabela1[[#This Row],[Country]],Table21[200m Breaststroke Classification],"&gt;0")</f>
        <v>0</v>
      </c>
      <c r="JU23" s="6">
        <f>COUNTIFS(Table20[Country],Tabela1[[#This Row],[Country]],Table20[100m Butterfly Classification],"&gt;0")</f>
        <v>0</v>
      </c>
      <c r="JV23" s="6">
        <f>COUNTIFS(Table21[Country],Tabela1[[#This Row],[Country]],Table21[100m Butterfly Classification],"&gt;0")</f>
        <v>0</v>
      </c>
      <c r="JW23" s="6">
        <f>COUNTIFS(Table20[Country],Tabela1[[#This Row],[Country]],Table20[200m Butterfly Classification],"&gt;0")</f>
        <v>1</v>
      </c>
      <c r="JX23" s="6">
        <f>COUNTIFS(Table21[Country],Tabela1[[#This Row],[Country]],Table21[200m Butterfly Classification],"&gt;0")</f>
        <v>0</v>
      </c>
      <c r="JY23" s="6">
        <f>COUNTIFS(Table20[Country],Tabela1[[#This Row],[Country]],Table20[200m Medley Classification],"&gt;0")</f>
        <v>0</v>
      </c>
      <c r="JZ23" s="6">
        <f>COUNTIFS(Table21[Country],Tabela1[[#This Row],[Country]],Table21[200m Medley Classification],"&gt;0")</f>
        <v>1</v>
      </c>
      <c r="KA23" s="6">
        <f>COUNTIFS(Table20[Country],Tabela1[[#This Row],[Country]],Table20[400m Medley Classification],"&gt;0")</f>
        <v>0</v>
      </c>
      <c r="KB23" s="6">
        <f>COUNTIFS(Table21[Country],Tabela1[[#This Row],[Country]],Table21[400m Medley Classification],"&gt;0")</f>
        <v>0</v>
      </c>
      <c r="KC23" s="6">
        <f>COUNTIFS(Table78[Country],Tabela1[[#This Row],[Country]],Table78[Men''s 4x100m Freestyle Relay Classification],"&gt;0")</f>
        <v>0</v>
      </c>
      <c r="KD23" s="6">
        <f>COUNTIFS(Table78[Country],Tabela1[[#This Row],[Country]],Table78[Women''s 4x100m Freestyle Relay Classification],"&gt;0")</f>
        <v>0</v>
      </c>
      <c r="KE23" s="6">
        <f>COUNTIFS(Table78[Country],Tabela1[[#This Row],[Country]],Table78[Men''s 4x200m Freestyle Relay Classification],"&gt;0")</f>
        <v>0</v>
      </c>
      <c r="KF23" s="6">
        <f>COUNTIFS(Table78[Country],Tabela1[[#This Row],[Country]],Table78[Women''s 4x200m Freestyle Relay Classification],"&gt;0")</f>
        <v>0</v>
      </c>
      <c r="KG23" s="6">
        <f>COUNTIFS(Table78[Country],Tabela1[[#This Row],[Country]],Table78[Men''s 4x100m Medley Relay Classification],"&gt;0")</f>
        <v>1</v>
      </c>
      <c r="KH23" s="6">
        <f>COUNTIFS(Table78[Country],Tabela1[[#This Row],[Country]],Table78[Women''s 4x100m Medley Relay Classification],"&gt;0")</f>
        <v>0</v>
      </c>
      <c r="KI23" s="6">
        <f>COUNTIFS(Table78[Country],Tabela1[[#This Row],[Country]],Table78[Mixed 4x100m Medley Relay Classification],"&gt;0")</f>
        <v>0</v>
      </c>
      <c r="KJ23" s="6">
        <f>COUNTIFS(Table20[Country],Tabela1[[#This Row],[Country]],Table20[10km Open Water Classification],"&gt;0")</f>
        <v>0</v>
      </c>
      <c r="KK23" s="6">
        <f>COUNTIFS(Table21[Country],Tabela1[[#This Row],[Country]],Table21[10km Open Water Classification],"&gt;0")</f>
        <v>0</v>
      </c>
      <c r="KL23" s="6">
        <f>COUNTIFS(Table22[Country],Tabela1[[#This Row],[Country]],Table22[Classification],"&gt;0")</f>
        <v>0</v>
      </c>
      <c r="KM23" s="6">
        <f>COUNTIFS(Table30[Country],Tabela1[[#This Row],[Country]],Table30[Classification],"&gt;0")</f>
        <v>0</v>
      </c>
      <c r="KN23" s="6">
        <f>COUNTIFS(Table55[Country],Tabela1[[#This Row],[Country]],Table55[Men''s Classification],"&gt;0")</f>
        <v>0</v>
      </c>
      <c r="KO23" s="6">
        <f>COUNTIFS(Table55[Country],Tabela1[[#This Row],[Country]],Table55[Women''s Classification],"&gt;0")</f>
        <v>0</v>
      </c>
      <c r="KP23" s="6">
        <f>COUNTIFS(Table56[Country],Tabela1[[#This Row],[Country]],Table56[Mixed Classification],"&gt;0")</f>
        <v>0</v>
      </c>
      <c r="KQ23" s="6">
        <f>COUNTIFS(Table29[Country],Tabela1[[#This Row],[Country]],Table29[58kg Classification],"&gt;0")</f>
        <v>0</v>
      </c>
      <c r="KR23" s="6">
        <f>COUNTIFS(Table29[Country],Tabela1[[#This Row],[Country]],Table29[68kg Classification],"&gt;0")</f>
        <v>0</v>
      </c>
      <c r="KS23" s="6">
        <f>COUNTIFS(Table29[Country],Tabela1[[#This Row],[Country]],Table29[80kg Classification],"&gt;0")</f>
        <v>0</v>
      </c>
      <c r="KT23" s="6">
        <f>COUNTIFS(Table29[Country],Tabela1[[#This Row],[Country]],Table29[Plus 80kg Classification],"&gt;0")</f>
        <v>0</v>
      </c>
      <c r="KU23" s="6">
        <f>COUNTIFS(Table34[Country],Tabela1[[#This Row],[Country]],Table34[49kg Classification],"&gt;0")</f>
        <v>0</v>
      </c>
      <c r="KV23" s="6">
        <f>COUNTIFS(Table34[Country],Tabela1[[#This Row],[Country]],Table34[57kg Classification],"&gt;0")</f>
        <v>0</v>
      </c>
      <c r="KW23" s="6">
        <f>COUNTIFS(Table34[Country],Tabela1[[#This Row],[Country]],Table34[67kg Classification],"&gt;0")</f>
        <v>0</v>
      </c>
      <c r="KX23" s="6">
        <f>COUNTIFS(Table34[Country],Tabela1[[#This Row],[Country]],Table34[Plus 67kg Classification],"&gt;0")</f>
        <v>1</v>
      </c>
      <c r="KY23" s="6">
        <f>COUNTIFS(Table57[Country],Tabela1[[#This Row],[Country]],Table57[Classification],"&gt;0")</f>
        <v>0</v>
      </c>
      <c r="KZ23" s="6">
        <f>COUNTIFS(Table58[Country],Tabela1[[#This Row],[Country]],Table58[Classification],"&gt;0")</f>
        <v>0</v>
      </c>
      <c r="LA23" s="6">
        <f>COUNTIFS(Table79[Country],Tabela1[[#This Row],[Country]],Table79[Men''s Classification],"&gt;0")</f>
        <v>0</v>
      </c>
      <c r="LB23" s="6">
        <f>COUNTIFS(Table79[Country],Tabela1[[#This Row],[Country]],Table79[Women''s Classification],"&gt;0")</f>
        <v>0</v>
      </c>
      <c r="LC23" s="6">
        <f>COUNTIFS(Table79[Country],Tabela1[[#This Row],[Country]],Table79[Mixed Classification],"&gt;0")</f>
        <v>0</v>
      </c>
      <c r="LD23" s="6">
        <f>COUNTIFS(Table65[Country],Tabela1[[#This Row],[Country]],Table65[Classification],"&gt;0")</f>
        <v>0</v>
      </c>
      <c r="LE23" s="6">
        <f>COUNTIFS(Table59[Country],Tabela1[[#This Row],[Country]],Table59[Classification],"&gt;0")</f>
        <v>1</v>
      </c>
      <c r="LF23" s="6">
        <f>COUNTIFS(Table87[Country],Tabela1[[#This Row],[Country]],Table87[Mixed Relay Classification],"&gt;0")</f>
        <v>1</v>
      </c>
      <c r="LG23" s="6">
        <f>COUNTIFS(Table91949698100[Country],Tabela1[[#This Row],[Country]],Table91949698100[Men''s Classification],"&gt;0")</f>
        <v>0</v>
      </c>
      <c r="LH23" s="6">
        <f>COUNTIFS(Table91949698100[Country],Tabela1[[#This Row],[Country]],Table91949698100[Women''s Classification],"&gt;0")</f>
        <v>0</v>
      </c>
      <c r="LI23" s="6">
        <f>COUNTIFS(Table91949698100102[Country],Tabela1[[#This Row],[Country]],Table91949698100102[Men''s Classification],"&gt;0")</f>
        <v>0</v>
      </c>
      <c r="LJ23" s="6">
        <f>COUNTIFS(Table91949698100102[Country],Tabela1[[#This Row],[Country]],Table91949698100102[Women''s Classification],"&gt;0")</f>
        <v>0</v>
      </c>
      <c r="LK23" s="6">
        <f>COUNTIFS(Table23[Country],Tabela1[[#This Row],[Country]],Table23[61kg Classification],"&gt;0")</f>
        <v>0</v>
      </c>
      <c r="LL23" s="6">
        <f>COUNTIFS(Table23[Country],Tabela1[[#This Row],[Country]],Table23[73kg Classification],"&gt;0")</f>
        <v>0</v>
      </c>
      <c r="LM23" s="6">
        <f>COUNTIFS(Table23[Country],Tabela1[[#This Row],[Country]],Table23[89kg Classification],"&gt;0")</f>
        <v>0</v>
      </c>
      <c r="LN23" s="6">
        <f>COUNTIFS(Table23[Country],Tabela1[[#This Row],[Country]],Table23[102kg Classification],"&gt;0")</f>
        <v>0</v>
      </c>
      <c r="LO23" s="6">
        <f>COUNTIFS(Table23[Country],Tabela1[[#This Row],[Country]],Table23[Plus 102kg Classification],"&gt;0")</f>
        <v>0</v>
      </c>
      <c r="LP23" s="6">
        <f>COUNTIFS(Table28[Country],Tabela1[[#This Row],[Country]],Table28[49kg Classification],"&gt;0")</f>
        <v>0</v>
      </c>
      <c r="LQ23" s="6">
        <f>COUNTIFS(Table28[Country],Tabela1[[#This Row],[Country]],Table28[59kg Classification],"&gt;0")</f>
        <v>0</v>
      </c>
      <c r="LR23" s="6">
        <f>COUNTIFS(Table28[Country],Tabela1[[#This Row],[Country]],Table28[71kg Classification],"&gt;0")</f>
        <v>0</v>
      </c>
      <c r="LS23" s="6">
        <f>COUNTIFS(Table28[Country],Tabela1[[#This Row],[Country]],Table28[81kg Classification],"&gt;0")</f>
        <v>0</v>
      </c>
      <c r="LT23" s="6">
        <f>COUNTIFS(Table28[Country],Tabela1[[#This Row],[Country]],Table28[Plus 81kg Classification],"&gt;0")</f>
        <v>0</v>
      </c>
      <c r="LU23" s="6">
        <f>COUNTIFS(Table24[Country],Tabela1[[#This Row],[Country]],Table24[Freestyle 57kg Classification],"&gt;0")</f>
        <v>0</v>
      </c>
      <c r="LV23" s="6">
        <f>COUNTIFS(Table24[Country],Tabela1[[#This Row],[Country]],Table24[Freestyle 65kg Classification],"&gt;0")</f>
        <v>0</v>
      </c>
      <c r="LW23" s="6">
        <f>COUNTIFS(Table24[Country],Tabela1[[#This Row],[Country]],Table24[Freestyle 74kg Classification],"&gt;0")</f>
        <v>0</v>
      </c>
      <c r="LX23" s="6">
        <f>COUNTIFS(Table24[Country],Tabela1[[#This Row],[Country]],Table24[Freestyle 86kg Classification],"&gt;0")</f>
        <v>0</v>
      </c>
      <c r="LY23" s="6">
        <f>COUNTIFS(Table24[Country],Tabela1[[#This Row],[Country]],Table24[Freestyle 97kg Classification],"&gt;0")</f>
        <v>0</v>
      </c>
      <c r="LZ23" s="6">
        <f>COUNTIFS(Table24[Country],Tabela1[[#This Row],[Country]],Table24[Freestyle 125kg Classification],"&gt;0")</f>
        <v>0</v>
      </c>
      <c r="MA23" s="6">
        <f>COUNTIFS(Table24[Country],Tabela1[[#This Row],[Country]],Table24[Greco-Roman 60kg Classification],"&gt;0")</f>
        <v>0</v>
      </c>
      <c r="MB23" s="6">
        <f>COUNTIFS(Table24[Country],Tabela1[[#This Row],[Country]],Table24[Greco-Roman 67kg Classification],"&gt;0")</f>
        <v>0</v>
      </c>
      <c r="MC23" s="6">
        <f>COUNTIFS(Table24[Country],Tabela1[[#This Row],[Country]],Table24[Greco-Roman 77kg Classification],"&gt;0")</f>
        <v>0</v>
      </c>
      <c r="MD23" s="6">
        <f>COUNTIFS(Table24[Country],Tabela1[[#This Row],[Country]],Table24[Greco-Roman 87kg Classification],"&gt;0")</f>
        <v>0</v>
      </c>
      <c r="ME23" s="6">
        <f>COUNTIFS(Table24[Country],Tabela1[[#This Row],[Country]],Table24[Greco-Roman 97kg Classification],"&gt;0")</f>
        <v>0</v>
      </c>
      <c r="MF23" s="6">
        <f>COUNTIFS(Table24[Country],Tabela1[[#This Row],[Country]],Table24[Greco-Roman 130kg Classification],"&gt;0")</f>
        <v>0</v>
      </c>
      <c r="MG23" s="6">
        <f>COUNTIFS(Table31[Country],Tabela1[[#This Row],[Country]],Table31[50kg Classification],"&gt;0")</f>
        <v>0</v>
      </c>
      <c r="MH23" s="6">
        <f>COUNTIFS(Table31[Country],Tabela1[[#This Row],[Country]],Table31[53kg Classification],"&gt;0")</f>
        <v>0</v>
      </c>
      <c r="MI23" s="6">
        <f>COUNTIFS(Table31[Country],Tabela1[[#This Row],[Country]],Table31[57kg Classification],"&gt;0")</f>
        <v>0</v>
      </c>
      <c r="MJ23" s="6">
        <f>COUNTIFS(Table31[Country],Tabela1[[#This Row],[Country]],Table31[62kg Classification],"&gt;0")</f>
        <v>0</v>
      </c>
      <c r="MK23" s="6">
        <f>COUNTIFS(Table31[Country],Tabela1[[#This Row],[Country]],Table31[68kg Classification],"&gt;0")</f>
        <v>0</v>
      </c>
      <c r="ML23" s="6">
        <f>COUNTIFS(Table31[Country],Tabela1[[#This Row],[Country]],Table31[76kg Classification],"&gt;0")</f>
        <v>0</v>
      </c>
      <c r="MM23" s="6">
        <f>COUNTIFS(Table102[Country],Tabela1[[#This Row],[Country]],Table102[Downhill Classification],"&gt;0")</f>
        <v>3</v>
      </c>
      <c r="MN23" s="6">
        <f>COUNTIFS(Table102105[Country],Tabela1[[#This Row],[Country]],Table102105[Downhill Classification],"&gt;0")</f>
        <v>0</v>
      </c>
      <c r="MO23" s="6">
        <f>COUNTIFS(Table102[Country],Tabela1[[#This Row],[Country]],Table102[Giant Slalom Classification],"&gt;0")</f>
        <v>1</v>
      </c>
      <c r="MP23" s="6">
        <f>COUNTIFS(Table102105[Country],Tabela1[[#This Row],[Country]],Table102105[Giant Slalom Classification],"&gt;0")</f>
        <v>0</v>
      </c>
      <c r="MQ23" s="6">
        <f>COUNTIFS(Table102[Country],Tabela1[[#This Row],[Country]],Table102[Slalom Classification],"&gt;0")</f>
        <v>1</v>
      </c>
      <c r="MR23" s="6">
        <f>COUNTIFS(Table102105[Country],Tabela1[[#This Row],[Country]],Table102105[Slalom Classification],"&gt;0")</f>
        <v>1</v>
      </c>
      <c r="MS23" s="6">
        <f>COUNTIFS(Table102[Country],Tabela1[[#This Row],[Country]],Table102[Super-G Classification],"&gt;0")</f>
        <v>3</v>
      </c>
      <c r="MT23" s="6">
        <f>COUNTIFS(Table102105[Country],Tabela1[[#This Row],[Country]],Table102105[Super-G Classification],"&gt;0")</f>
        <v>0</v>
      </c>
      <c r="MU23" s="6">
        <f>COUNTIFS(Table105[Country],Tabela1[[#This Row],[Country]],Table105[Men''s Combined Classification],"&gt;0")</f>
        <v>3</v>
      </c>
      <c r="MV23" s="6">
        <f>COUNTIFS(Table105[Country],Tabela1[[#This Row],[Country]],Table105[Women''s Combined Classification],"&gt;0")</f>
        <v>1</v>
      </c>
      <c r="MW23" s="6">
        <f>COUNTIFS(Table106[Country],Tabela1[[#This Row],[Country]],Table106[Individual Classification],"&gt;0")</f>
        <v>0</v>
      </c>
      <c r="MX23" s="6">
        <f>COUNTIFS(Table106109[Country],Tabela1[[#This Row],[Country]],Table106109[Individual Classification],"&gt;0")</f>
        <v>0</v>
      </c>
      <c r="MY23" s="6">
        <f>COUNTIFS(Table106[Country],Tabela1[[#This Row],[Country]],Table106[Mass Start Classification],"&gt;0")</f>
        <v>0</v>
      </c>
      <c r="MZ23" s="6">
        <f>COUNTIFS(Table106109[Country],Tabela1[[#This Row],[Country]],Table106109[Mass Start Classification],"&gt;0")</f>
        <v>0</v>
      </c>
      <c r="NA23" s="6">
        <f>COUNTIFS(Table106[Country],Tabela1[[#This Row],[Country]],Table106[Pursuit Classification],"&gt;0")</f>
        <v>0</v>
      </c>
      <c r="NB23" s="6">
        <f>COUNTIFS(Table106109[Country],Tabela1[[#This Row],[Country]],Table106109[Pursuit Classification],"&gt;0")</f>
        <v>0</v>
      </c>
      <c r="NC23" s="6">
        <f>COUNTIFS(Table106[Country],Tabela1[[#This Row],[Country]],Table106[Sprint Classification],"&gt;0")</f>
        <v>0</v>
      </c>
      <c r="ND23" s="6">
        <f>COUNTIFS(Table106109[Country],Tabela1[[#This Row],[Country]],Table106109[Sprint Classification],"&gt;0")</f>
        <v>0</v>
      </c>
      <c r="NE23" s="6">
        <f>COUNTIFS(Table109[Country],Tabela1[[#This Row],[Country]],Table109[Men''s Relay Classification],"&gt;0")</f>
        <v>0</v>
      </c>
      <c r="NF23" s="6">
        <f>COUNTIFS(Table109[Country],Tabela1[[#This Row],[Country]],Table109[Women''s Relay Classification],"&gt;0")</f>
        <v>0</v>
      </c>
      <c r="NG23" s="6">
        <f>COUNTIFS(Table109[Country],Tabela1[[#This Row],[Country]],Table109[Mixed Relay Classification],"&gt;0")</f>
        <v>0</v>
      </c>
      <c r="NH23" s="6">
        <f>COUNTIFS(Table110[Country],Tabela1[[#This Row],[Country]],Table110[Monobob Classification],"&gt;0")</f>
        <v>0</v>
      </c>
      <c r="NI23" s="6">
        <f>COUNTIFS(Table111[Country],Tabela1[[#This Row],[Country]],Table111[Men''s Classification],"&gt;0")</f>
        <v>0</v>
      </c>
      <c r="NJ23" s="6">
        <f>COUNTIFS(Table111[Country],Tabela1[[#This Row],[Country]],Table111[Women''s Classification],"&gt;0")</f>
        <v>1</v>
      </c>
      <c r="NK23" s="6">
        <f>COUNTIFS(Table112[Country],Tabela1[[#This Row],[Country]],Table112[Men''s Four Classification],"&gt;0")</f>
        <v>0</v>
      </c>
      <c r="NL23" s="6">
        <f>COUNTIFS(Table113[Country],Tabela1[[#This Row],[Country]],Table113[Classical Classification],"&gt;0")</f>
        <v>0</v>
      </c>
      <c r="NM23" s="6">
        <f>COUNTIFS(Table113116[Country],Tabela1[[#This Row],[Country]],Table113116[Classical Classification],"&gt;0")</f>
        <v>0</v>
      </c>
      <c r="NN23" s="6">
        <f>COUNTIFS(Table113[Country],Tabela1[[#This Row],[Country]],Table113[Freestyle Classification],"&gt;0")</f>
        <v>0</v>
      </c>
      <c r="NO23" s="6">
        <f>COUNTIFS(Table113116[Country],Tabela1[[#This Row],[Country]],Table113116[Freestyle Classification],"&gt;0")</f>
        <v>0</v>
      </c>
      <c r="NP23" s="6">
        <f>COUNTIFS(Table117[Country],Tabela1[[#This Row],[Country]],Table117[Men''s Relay Classification],"&gt;0")</f>
        <v>0</v>
      </c>
      <c r="NQ23" s="6">
        <f>COUNTIFS(Table117[Country],Tabela1[[#This Row],[Country]],Table117[Women''s Relay Classification],"&gt;0")</f>
        <v>0</v>
      </c>
      <c r="NR23" s="6">
        <f>COUNTIFS(Table113[Country],Tabela1[[#This Row],[Country]],Table113[Skiathlon Classification],"&gt;0")</f>
        <v>0</v>
      </c>
      <c r="NS23" s="6">
        <f>COUNTIFS(Table113116[Country],Tabela1[[#This Row],[Country]],Table113116[Skiathlon Classification],"&gt;0")</f>
        <v>0</v>
      </c>
      <c r="NT23" s="6">
        <f>COUNTIFS(Table113[Country],Tabela1[[#This Row],[Country]],Table113[Sprint Classification],"&gt;0")</f>
        <v>0</v>
      </c>
      <c r="NU23" s="6">
        <f>COUNTIFS(Table113116[Country],Tabela1[[#This Row],[Country]],Table113116[Sprint Classification],"&gt;0")</f>
        <v>0</v>
      </c>
      <c r="NV23" s="6">
        <f>COUNTIFS(Table116[Country],Tabela1[[#This Row],[Country]],Table116[Men''s Team Sprint Classification],"&gt;0")</f>
        <v>0</v>
      </c>
      <c r="NW23" s="6">
        <f>COUNTIFS(Table116[Country],Tabela1[[#This Row],[Country]],Table116[Women''s Team Sprint Classification],"&gt;0")</f>
        <v>0</v>
      </c>
      <c r="NX23" s="6">
        <f>COUNTIFS(Table119[Country],Tabela1[[#This Row],[Country]],Table119[Men''s Classification],"&gt;0")</f>
        <v>0</v>
      </c>
      <c r="NY23" s="6">
        <f>COUNTIFS(Table119[Country],Tabela1[[#This Row],[Country]],Table119[Women''s Classification],"&gt;0")</f>
        <v>0</v>
      </c>
      <c r="NZ23" s="6">
        <f>COUNTIFS(Table118[Country],Tabela1[[#This Row],[Country]],Table118[Mixed Classification],"&gt;0")</f>
        <v>0</v>
      </c>
      <c r="OA23" s="6">
        <f>COUNTIFS(Table120[Country],Tabela1[[#This Row],[Country]],Table120[Classification],"&gt;0")</f>
        <v>0</v>
      </c>
      <c r="OB23" s="6">
        <f>COUNTIFS(Table120123[Country],Tabela1[[#This Row],[Country]],Table120123[Classification],"&gt;0")</f>
        <v>0</v>
      </c>
      <c r="OC23" s="6">
        <f>COUNTIFS(Table123[Country],Tabela1[[#This Row],[Country]],Table123[Ice Dance Classification],"&gt;0")</f>
        <v>0</v>
      </c>
      <c r="OD23" s="6">
        <f>COUNTIFS(Table123[Country],Tabela1[[#This Row],[Country]],Table123[Pair Skating Classification],"&gt;0")</f>
        <v>0</v>
      </c>
      <c r="OE23" s="6">
        <f>COUNTIFS(Table124[Country],Tabela1[[#This Row],[Country]],Table124[Mixed Classification],"&gt;0")</f>
        <v>0</v>
      </c>
      <c r="OF23" s="6">
        <f>COUNTIFS(Table125[Country],Tabela1[[#This Row],[Country]],Table125[Aerials Classification],"&gt;0")</f>
        <v>0</v>
      </c>
      <c r="OG23" s="6">
        <f>COUNTIFS(Table125128[Country],Tabela1[[#This Row],[Country]],Table125128[Aerials Classification],"&gt;0")</f>
        <v>0</v>
      </c>
      <c r="OH23" s="6">
        <f>COUNTIFS(Table128[Country],Tabela1[[#This Row],[Country]],Table128[Mixed Aerials Classification],"&gt;0")</f>
        <v>0</v>
      </c>
      <c r="OI23" s="6">
        <f>COUNTIFS(Table125[Country],Tabela1[[#This Row],[Country]],Table125[Big Air Classification],"&gt;0")</f>
        <v>0</v>
      </c>
      <c r="OJ23" s="6">
        <f>COUNTIFS(Table125128[Country],Tabela1[[#This Row],[Country]],Table125128[Big Air Classification],"&gt;0")</f>
        <v>0</v>
      </c>
      <c r="OK23" s="6">
        <f>COUNTIFS(Table125[Country],Tabela1[[#This Row],[Country]],Table125[Dual Moguls Classification],"&gt;0")</f>
        <v>0</v>
      </c>
      <c r="OL23" s="6">
        <f>COUNTIFS(Table125128[Country],Tabela1[[#This Row],[Country]],Table125128[Dual Moguls Classification],"&gt;0")</f>
        <v>0</v>
      </c>
      <c r="OM23" s="6">
        <f>COUNTIFS(Table125[Country],Tabela1[[#This Row],[Country]],Table125[Halfpipe Classification],"&gt;0")</f>
        <v>0</v>
      </c>
      <c r="ON23" s="6">
        <f>COUNTIFS(Table125128[Country],Tabela1[[#This Row],[Country]],Table125128[Halfpipe Classification],"&gt;0")</f>
        <v>0</v>
      </c>
      <c r="OO23" s="6">
        <f>COUNTIFS(Table125[Country],Tabela1[[#This Row],[Country]],Table125[Moguls Classification],"&gt;0")</f>
        <v>0</v>
      </c>
      <c r="OP23" s="6">
        <f>COUNTIFS(Table125128[Country],Tabela1[[#This Row],[Country]],Table125128[Moguls Classification],"&gt;0")</f>
        <v>0</v>
      </c>
      <c r="OQ23" s="6">
        <f>COUNTIFS(Table125[Country],Tabela1[[#This Row],[Country]],Table125[Ski Cross Classification],"&gt;0")</f>
        <v>0</v>
      </c>
      <c r="OR23" s="6">
        <f>COUNTIFS(Table125128[Country],Tabela1[[#This Row],[Country]],Table125128[Ski Cross Classification],"&gt;0")</f>
        <v>2</v>
      </c>
      <c r="OS23" s="6">
        <f>COUNTIFS(Table125[Country],Tabela1[[#This Row],[Country]],Table125[Slopestyle Classification],"&gt;0")</f>
        <v>0</v>
      </c>
      <c r="OT23" s="6">
        <f>COUNTIFS(Table125128[Country],Tabela1[[#This Row],[Country]],Table125128[Slopestyle Classification],"&gt;0")</f>
        <v>0</v>
      </c>
      <c r="OU23" s="6">
        <f>COUNTIFS(Table119131[Country],Tabela1[[#This Row],[Country]],Table119131[Men''s Classification],"&gt;0")</f>
        <v>0</v>
      </c>
      <c r="OV23" s="6">
        <f>COUNTIFS(Table119131[Country],Tabela1[[#This Row],[Country]],Table119131[Women''s Classification],"&gt;0")</f>
        <v>0</v>
      </c>
      <c r="OW23" s="6">
        <f>COUNTIFS(Table131[Country],Tabela1[[#This Row],[Country]],Table131[Classification],"&gt;0")</f>
        <v>0</v>
      </c>
      <c r="OX23" s="6">
        <f>COUNTIFS(Table131134[Country],Tabela1[[#This Row],[Country]],Table131134[Classification],"&gt;0")</f>
        <v>0</v>
      </c>
      <c r="OY23" s="6">
        <f>COUNTIFS(Table134[Country],Tabela1[[#This Row],[Country]],Table134[Men''s Classification],"&gt;0")</f>
        <v>0</v>
      </c>
      <c r="OZ23" s="6">
        <f>COUNTIFS(Table134[Country],Tabela1[[#This Row],[Country]],Table134[Women''s Classification],"&gt;0")</f>
        <v>0</v>
      </c>
      <c r="PA23" s="6">
        <f>COUNTIFS(Table135[Country],Tabela1[[#This Row],[Country]],Table135[Mixed Relay Classification],"&gt;0")</f>
        <v>0</v>
      </c>
      <c r="PB23" s="6">
        <f>COUNTIFS(Table136[Country],Tabela1[[#This Row],[Country]],Table136[Individual Classification],"&gt;0")</f>
        <v>0</v>
      </c>
      <c r="PC23" s="6">
        <f>COUNTIFS(Table136[Country],Tabela1[[#This Row],[Country]],Table136[Sprint Classification],"&gt;0")</f>
        <v>0</v>
      </c>
      <c r="PD23" s="6">
        <f>COUNTIFS(Table137[Country],Tabela1[[#This Row],[Country]],Table137[Men''s Team Sprint Large Hill Classification],"&gt;0")</f>
        <v>0</v>
      </c>
      <c r="PE23" s="6">
        <f>COUNTIFS(Table138[Country],Tabela1[[#This Row],[Country]],Table138[500m Classification],"&gt;0")</f>
        <v>0</v>
      </c>
      <c r="PF23" s="6">
        <f>COUNTIFS(Table138141[Country],Tabela1[[#This Row],[Country]],Table138141[500m Classification],"&gt;0")</f>
        <v>0</v>
      </c>
      <c r="PG23" s="6">
        <f>COUNTIFS(Table138[Country],Tabela1[[#This Row],[Country]],Table138[1000m Classification],"&gt;0")</f>
        <v>0</v>
      </c>
      <c r="PH23" s="6">
        <f>COUNTIFS(Table138141[Country],Tabela1[[#This Row],[Country]],Table138141[1000m Classification],"&gt;0")</f>
        <v>0</v>
      </c>
      <c r="PI23" s="6">
        <f>COUNTIFS(Table138[Country],Tabela1[[#This Row],[Country]],Table138[1500m Classification],"&gt;0")</f>
        <v>0</v>
      </c>
      <c r="PJ23" s="6">
        <f>COUNTIFS(Table138141[Country],Tabela1[[#This Row],[Country]],Table138141[1500m Classification],"&gt;0")</f>
        <v>0</v>
      </c>
      <c r="PK23" s="6">
        <f>COUNTIFS(Table141[Country],Tabela1[[#This Row],[Country]],Table141[Men''s 5000m Relay Classification],"&gt;0")</f>
        <v>0</v>
      </c>
      <c r="PL23" s="6">
        <f>COUNTIFS(Table141[Country],Tabela1[[#This Row],[Country]],Table141[Women''s 3000m Relay Classification],"&gt;0")</f>
        <v>0</v>
      </c>
      <c r="PM23" s="6">
        <f>COUNTIFS(Table141[Country],Tabela1[[#This Row],[Country]],Table141[Mixed 2000m Relay Classification],"&gt;0")</f>
        <v>0</v>
      </c>
      <c r="PN23" s="6">
        <f>COUNTIFS(Table142[Country],Tabela1[[#This Row],[Country]],Table142[Classification],"&gt;0")</f>
        <v>0</v>
      </c>
      <c r="PO23" s="6">
        <f>COUNTIFS(Table142145[Country],Tabela1[[#This Row],[Country]],Table142145[Classification],"&gt;0")</f>
        <v>0</v>
      </c>
      <c r="PP23" s="6">
        <f>COUNTIFS(Tabela15[Country],Tabela1[[#This Row],[Country]],Tabela15[Mixed Team Classification],"&gt;0")</f>
        <v>0</v>
      </c>
      <c r="PQ23" s="6">
        <f>COUNTIFS(Table145[Country],Tabela1[[#This Row],[Country]],Table145[Large Hill Classification],"&gt;0")</f>
        <v>1</v>
      </c>
      <c r="PR23" s="6">
        <f>COUNTIFS(Table145[Country],Tabela1[[#This Row],[Country]],Table145[Normal Hill Classification],"&gt;0")</f>
        <v>1</v>
      </c>
      <c r="PS23" s="6">
        <f>COUNTIFS(Table145148[Country],Tabela1[[#This Row],[Country]],Table145148[Large Hill Classification],"&gt;0")</f>
        <v>1</v>
      </c>
      <c r="PT23" s="6">
        <f>COUNTIFS(Table145148[Country],Tabela1[[#This Row],[Country]],Table145148[Normal Hill Classification],"&gt;0")</f>
        <v>1</v>
      </c>
      <c r="PU23" s="6">
        <f>COUNTIFS(Table148[Country],Tabela1[[#This Row],[Country]],Table148[Men''s Super Team Classification],"&gt;0")</f>
        <v>0</v>
      </c>
      <c r="PV23" s="6">
        <f>COUNTIFS(Tabela114[Country],Tabela1[[#This Row],[Country]],Tabela114[Mixed Normal Hill Classification],"&gt;0")</f>
        <v>1</v>
      </c>
      <c r="PW23" s="6">
        <f>COUNTIFS(Tabela50[Country],Tabela1[[#This Row],[Country]],Tabela50[Sprint Classification],"&gt;0")</f>
        <v>1</v>
      </c>
      <c r="PX23" s="6">
        <f>COUNTIFS(Tabela50101[Country],Tabela1[[#This Row],[Country]],Tabela50101[Sprint Classification],"&gt;0")</f>
        <v>0</v>
      </c>
      <c r="PY23" s="6">
        <f>COUNTIFS(Tabela103[Country],Tabela1[[#This Row],[Country]],Tabela103[Mixed Relay Classification],"&gt;0")</f>
        <v>1</v>
      </c>
      <c r="PZ23" s="6">
        <f>COUNTIFS(Table149[Country],Tabela1[[#This Row],[Country]],Table149[Big Air Classification],"&gt;0")</f>
        <v>1</v>
      </c>
      <c r="QA23" s="6">
        <f>COUNTIFS(Table149152[Country],Tabela1[[#This Row],[Country]],Table149152[Big Air Classification],"&gt;0")</f>
        <v>1</v>
      </c>
      <c r="QB23" s="6">
        <f>COUNTIFS(Table149[Country],Tabela1[[#This Row],[Country]],Table149[Halfpipe Classification],"&gt;0")</f>
        <v>0</v>
      </c>
      <c r="QC23" s="6">
        <f>COUNTIFS(Table149152[Country],Tabela1[[#This Row],[Country]],Table149152[Halfpipe Classification],"&gt;0")</f>
        <v>0</v>
      </c>
      <c r="QD23" s="6">
        <f>COUNTIFS(Table149[Country],Tabela1[[#This Row],[Country]],Table149[Parallel Giant Slalom Classification],"&gt;0")</f>
        <v>1</v>
      </c>
      <c r="QE23" s="6">
        <f>COUNTIFS(Table149152[Country],Tabela1[[#This Row],[Country]],Table149152[Parallel Giant Slalom Classification],"&gt;0")</f>
        <v>1</v>
      </c>
      <c r="QF23" s="6">
        <f>COUNTIFS(Table149[Country],Tabela1[[#This Row],[Country]],Table149[Slopestyle Classification],"&gt;0")</f>
        <v>1</v>
      </c>
      <c r="QG23" s="6">
        <f>COUNTIFS(Table149152[Country],Tabela1[[#This Row],[Country]],Table149152[Slopestyle Classification],"&gt;0")</f>
        <v>1</v>
      </c>
      <c r="QH23" s="6">
        <f>COUNTIFS(Table149[Country],Tabela1[[#This Row],[Country]],Table149[Snowboard Cross Classification],"&gt;0")</f>
        <v>0</v>
      </c>
      <c r="QI23" s="6">
        <f>COUNTIFS(Table149152[Country],Tabela1[[#This Row],[Country]],Table149152[Snowboard Cross Classification],"&gt;0")</f>
        <v>0</v>
      </c>
      <c r="QJ23" s="6">
        <f>COUNTIFS(Table153[Country],Tabela1[[#This Row],[Country]],Table153[Mixed Team Snowboard Cross Classification],"&gt;0")</f>
        <v>0</v>
      </c>
      <c r="QK23" s="6">
        <f>COUNTIFS(Table154[Country],Tabela1[[#This Row],[Country]],Table154[500m Classification],"&gt;0")</f>
        <v>0</v>
      </c>
      <c r="QL23" s="6">
        <f>COUNTIFS(Table154157[Country],Tabela1[[#This Row],[Country]],Table154157[500m Classification],"&gt;0")</f>
        <v>0</v>
      </c>
      <c r="QM23" s="6">
        <f>COUNTIFS(Table154[Country],Tabela1[[#This Row],[Country]],Table154[1000m Classification],"&gt;0")</f>
        <v>0</v>
      </c>
      <c r="QN23" s="6">
        <f>COUNTIFS(Table154157[Country],Tabela1[[#This Row],[Country]],Table154157[1000m Classification],"&gt;0")</f>
        <v>0</v>
      </c>
      <c r="QO23" s="6">
        <f>COUNTIFS(Table154[Country],Tabela1[[#This Row],[Country]],Table154[1500m Classification],"&gt;0")</f>
        <v>0</v>
      </c>
      <c r="QP23" s="6">
        <f>COUNTIFS(Table154157[Country],Tabela1[[#This Row],[Country]],Table154157[1500m Classification],"&gt;0")</f>
        <v>0</v>
      </c>
      <c r="QQ23" s="6">
        <f>COUNTIFS(Table154157[Country],Tabela1[[#This Row],[Country]],Table154157[3000m Classification],"&gt;0")</f>
        <v>0</v>
      </c>
      <c r="QR23" s="6">
        <f>COUNTIFS(Table154[Country],Tabela1[[#This Row],[Country]],Table154[5000m Classification],"&gt;0")</f>
        <v>0</v>
      </c>
      <c r="QS23" s="6">
        <f>COUNTIFS(Table154157[Country],Tabela1[[#This Row],[Country]],Table154157[5000m Classification],"&gt;0")</f>
        <v>0</v>
      </c>
      <c r="QT23" s="6">
        <f>COUNTIFS(Table154[Country],Tabela1[[#This Row],[Country]],Table154[10000m Classification],"&gt;0")</f>
        <v>0</v>
      </c>
      <c r="QU23" s="6">
        <f>COUNTIFS(Table154[Country],Tabela1[[#This Row],[Country]],Table154[Mass Start Classification],"&gt;0")</f>
        <v>0</v>
      </c>
      <c r="QV23" s="6">
        <f>COUNTIFS(Table154157[Country],Tabela1[[#This Row],[Country]],Table154157[Mass Start Classification],"&gt;0")</f>
        <v>1</v>
      </c>
      <c r="QW23" s="6">
        <f>COUNTIFS(Table157[Country],Tabela1[[#This Row],[Country]],Table157[Men''s Pursuit Classification],"&gt;0")</f>
        <v>0</v>
      </c>
      <c r="QX23" s="6">
        <f>COUNTIFS(Table157[Country],Tabela1[[#This Row],[Country]],Table157[Women''s Pursuit Classification],"&gt;0")</f>
        <v>0</v>
      </c>
      <c r="QY23" s="3" t="s">
        <v>359</v>
      </c>
    </row>
    <row r="24" spans="1:467" x14ac:dyDescent="0.3">
      <c r="A24" s="6">
        <v>23</v>
      </c>
      <c r="B24" s="6" t="s">
        <v>614</v>
      </c>
      <c r="C24" t="e" vm="23">
        <f>IF(ISBLANK(Tabela1[[#This Row],[Image Link]]), "", _xlfn.IMAGE(Tabela1[[#This Row],[Image Link]],1,1))</f>
        <v>#VALUE!</v>
      </c>
      <c r="D24" s="6">
        <f>SUM(Tabela1[[#This Row],[Archery - Men''s Individual Recurve]:[Speed Skating - Women''s Team Pursuit]])</f>
        <v>52</v>
      </c>
      <c r="E24" s="6">
        <f>COUNTIF(Tabela1[[#This Row],[Archery - Men''s Individual Recurve]:[Speed Skating - Women''s Team Pursuit]],"&gt;0")</f>
        <v>41</v>
      </c>
      <c r="F24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Winter Olympics</v>
      </c>
      <c r="G24" s="6">
        <f>SUM(Tabela1[[#This Row],[Archery - Men''s Individual Recurve]:[Wrestling - Women''s Freestyle 76kg]])</f>
        <v>10</v>
      </c>
      <c r="H24" s="6">
        <f>SUM(Tabela1[[#This Row],[Alpine Skiing - Men''s Downhill]:[Speed Skating - Women''s Team Pursuit]])</f>
        <v>42</v>
      </c>
      <c r="I24" s="6">
        <f>Tabela1[[#This Row],[Summer Gold Medals]]+Tabela1[[#This Row],[Winter Gold Medals]]</f>
        <v>0</v>
      </c>
      <c r="J24" s="6">
        <f>Tabela1[[#This Row],[Summer Silver Medals]]+Tabela1[[#This Row],[Winter Silver Medals]]</f>
        <v>1</v>
      </c>
      <c r="K24" s="6">
        <f>Tabela1[[#This Row],[Summer Bronze Medals]]+Tabela1[[#This Row],[Winter Bronze Medals]]</f>
        <v>1</v>
      </c>
      <c r="L24" s="6">
        <f>SUM(Tabela1[[#This Row],[Total Gold Medals]:[Total Bronze Medals]])</f>
        <v>2</v>
      </c>
      <c r="M24" s="6"/>
      <c r="N24" s="6"/>
      <c r="O24" s="6"/>
      <c r="P24" s="6">
        <f>SUM(Tabela1[[#This Row],[Summer Gold Medals]:[Summer Bronze Medals]])</f>
        <v>0</v>
      </c>
      <c r="Q24" s="6"/>
      <c r="R24" s="6">
        <v>1</v>
      </c>
      <c r="S24" s="6">
        <v>1</v>
      </c>
      <c r="T24" s="6">
        <f>Tabela1[[#This Row],[Winter Gold Medals]]+Tabela1[[#This Row],[Winter Silver Medals]]+Tabela1[[#This Row],[Winter Bronze Medals]]</f>
        <v>2</v>
      </c>
      <c r="U24" s="7">
        <f>Tabela1[[#This Row],[Total Medals]]/Tabela1[[#This Row],[Total Quotas]]</f>
        <v>3.8461538461538464E-2</v>
      </c>
      <c r="V24" s="6">
        <f>COUNTIFS(Table3[Country],Tabela1[[#This Row],[Country]],Table3[Recurve Classification],"&gt;0")</f>
        <v>0</v>
      </c>
      <c r="W24" s="6">
        <f>COUNTIFS(Table33[Country],Tabela1[[#This Row],[Country]],Table33[Recurve Classification],"&gt;0")</f>
        <v>0</v>
      </c>
      <c r="X24" s="6">
        <f>COUNTIFS(Table35[Country],Tabela1[[#This Row],[Country]],Table35[Men''s Team Recurve Classification],"&gt;0")</f>
        <v>0</v>
      </c>
      <c r="Y24" s="6">
        <f>COUNTIFS(Table35[Country],Tabela1[[#This Row],[Country]],Table35[Women''s Team Recurve Classification],"&gt;0")</f>
        <v>0</v>
      </c>
      <c r="Z24" s="6">
        <f>COUNTIFS(Tabela88[Country],Tabela1[[#This Row],[Country]],Tabela88[Mixed Team Recurve Classification],"&gt;0")</f>
        <v>0</v>
      </c>
      <c r="AA24" s="6">
        <f>COUNTIFS(Table36[Country],Tabela1[[#This Row],[Country]],Table36[Classification],"&gt;0")</f>
        <v>0</v>
      </c>
      <c r="AB24" s="6">
        <f>COUNTIFS(Table37[Country],Tabela1[[#This Row],[Country]],Table37[Classification],"&gt;0")</f>
        <v>0</v>
      </c>
      <c r="AC24" s="6">
        <f>COUNTIFS(Table4[Country],Tabela1[[#This Row],[Country]],Table4[100m Classification],"&gt;0")</f>
        <v>0</v>
      </c>
      <c r="AD24" s="6">
        <f>COUNTIFS(Table5[Country],Tabela1[[#This Row],[Country]],Table5[100m Classification],"&gt;0")</f>
        <v>0</v>
      </c>
      <c r="AE24" s="6">
        <f>COUNTIFS(Table4[Country],Tabela1[[#This Row],[Country]],Table4[200m Classification],"&gt;0")</f>
        <v>0</v>
      </c>
      <c r="AF24" s="6">
        <f>COUNTIFS(Table5[Country],Tabela1[[#This Row],[Country]],Table5[200m Classification],"&gt;0")</f>
        <v>0</v>
      </c>
      <c r="AG24" s="6">
        <f>COUNTIFS(Table4[Country],Tabela1[[#This Row],[Country]],Table4[400m Classification],"&gt;0")</f>
        <v>0</v>
      </c>
      <c r="AH24" s="6">
        <f>COUNTIFS(Table5[Country],Tabela1[[#This Row],[Country]],Table5[400m Classification],"&gt;0")</f>
        <v>0</v>
      </c>
      <c r="AI24" s="6">
        <f>COUNTIFS(Table4[Country],Tabela1[[#This Row],[Country]],Table4[800m Classification],"&gt;0")</f>
        <v>0</v>
      </c>
      <c r="AJ24" s="6">
        <f>COUNTIFS(Table5[Country],Tabela1[[#This Row],[Country]],Table5[800m Classification],"&gt;0")</f>
        <v>0</v>
      </c>
      <c r="AK24" s="6">
        <f>COUNTIFS(Table4[Country],Tabela1[[#This Row],[Country]],Table4[1500m Classification],"&gt;0")</f>
        <v>0</v>
      </c>
      <c r="AL24" s="6">
        <f>COUNTIFS(Table5[Country],Tabela1[[#This Row],[Country]],Table5[1500m Classification],"&gt;0")</f>
        <v>0</v>
      </c>
      <c r="AM24" s="6">
        <f>COUNTIFS(Table4[Country],Tabela1[[#This Row],[Country]],Table4[5000m Classification],"&gt;0")</f>
        <v>0</v>
      </c>
      <c r="AN24" s="6">
        <f>COUNTIFS(Table5[Country],Tabela1[[#This Row],[Country]],Table5[5000m Classification],"&gt;0")</f>
        <v>0</v>
      </c>
      <c r="AO24" s="6">
        <f>COUNTIFS(Table4[Country],Tabela1[[#This Row],[Country]],Table4[10000m Classification],"&gt;0")</f>
        <v>0</v>
      </c>
      <c r="AP24" s="6">
        <f>COUNTIFS(Table5[Country],Tabela1[[#This Row],[Country]],Table5[10000m Classification],"&gt;0")</f>
        <v>0</v>
      </c>
      <c r="AQ24" s="6">
        <f>COUNTIFS(Table4[Country],Tabela1[[#This Row],[Country]],Table4[110m Hurdles Classification],"&gt;0")</f>
        <v>0</v>
      </c>
      <c r="AR24" s="6">
        <f>COUNTIFS(Table5[Country],Tabela1[[#This Row],[Country]],Table5[100m Hurdles Classification],"&gt;0")</f>
        <v>0</v>
      </c>
      <c r="AS24" s="6">
        <f>COUNTIFS(Table4[Country],Tabela1[[#This Row],[Country]],Table4[400m Hurdles Classification],"&gt;0")</f>
        <v>0</v>
      </c>
      <c r="AT24" s="6">
        <f>COUNTIFS(Table5[Country],Tabela1[[#This Row],[Country]],Table5[400m Hurdles Classification],"&gt;0")</f>
        <v>0</v>
      </c>
      <c r="AU24" s="6">
        <f>COUNTIFS(Table4[Country],Tabela1[[#This Row],[Country]],Table4[3000m Steeplechase Classification],"&gt;0")</f>
        <v>0</v>
      </c>
      <c r="AV24" s="6">
        <f>COUNTIFS(Table5[Country],Tabela1[[#This Row],[Country]],Table5[3000m Steeplechase Classification],"&gt;0")</f>
        <v>0</v>
      </c>
      <c r="AW24" s="6">
        <f>COUNTIFS(Table27[Country],Tabela1[[#This Row],[Country]],Table27[Men''s 4x100m Relay Classification],"&gt;0")</f>
        <v>0</v>
      </c>
      <c r="AX24" s="6">
        <f>COUNTIFS(Table27[Country],Tabela1[[#This Row],[Country]],Table27[Women''s 4x100m Relay Classification],"&gt;0")</f>
        <v>0</v>
      </c>
      <c r="AY24" s="6">
        <f>COUNTIFS(Table27[Country],Tabela1[[#This Row],[Country]],Table27[Men''s 4x400m Relay Classification],"&gt;0")</f>
        <v>0</v>
      </c>
      <c r="AZ24" s="6">
        <f>COUNTIFS(Table27[Country],Tabela1[[#This Row],[Country]],Table27[Women''s 4x400m Relay Classification],"&gt;0")</f>
        <v>0</v>
      </c>
      <c r="BA24" s="6">
        <f>COUNTIFS(Table27[Country],Tabela1[[#This Row],[Country]],Table27[Mixed 4x400m Relay Classification],"&gt;0")</f>
        <v>0</v>
      </c>
      <c r="BB24" s="6">
        <f>COUNTIFS(Table4[Country],Tabela1[[#This Row],[Country]],Table4[Marathon Classification],"&gt;0")</f>
        <v>0</v>
      </c>
      <c r="BC24" s="6">
        <f>COUNTIFS(Table5[Country],Tabela1[[#This Row],[Country]],Table5[Marathon Classification],"&gt;0")</f>
        <v>0</v>
      </c>
      <c r="BD24" s="6">
        <f>COUNTIFS(Table4[Country],Tabela1[[#This Row],[Country]],Table4[20km Race Walk Classification],"&gt;0")</f>
        <v>0</v>
      </c>
      <c r="BE24" s="6">
        <f>COUNTIFS(Table5[Country],Tabela1[[#This Row],[Country]],Table5[20km Race Walk Classification],"&gt;0")</f>
        <v>0</v>
      </c>
      <c r="BF24" s="6">
        <f>COUNTIFS(Tabela96[Country],Tabela1[[#This Row],[Country]],Tabela96[Mixed Marathon Race Walk Relay Classification],"&gt;0")</f>
        <v>0</v>
      </c>
      <c r="BG24" s="6">
        <f>COUNTIFS(Table4[Country],Tabela1[[#This Row],[Country]],Table4[Discus Throw Classification],"&gt;0")</f>
        <v>0</v>
      </c>
      <c r="BH24" s="6">
        <f>COUNTIFS(Table5[Country],Tabela1[[#This Row],[Country]],Table5[Discus Throw Classification],"&gt;0")</f>
        <v>0</v>
      </c>
      <c r="BI24" s="6">
        <f>COUNTIFS(Table4[Country],Tabela1[[#This Row],[Country]],Table4[Hammer Throw Classification],"&gt;0")</f>
        <v>0</v>
      </c>
      <c r="BJ24" s="6">
        <f>COUNTIFS(Table5[Country],Tabela1[[#This Row],[Country]],Table5[Hammer Throw Classification],"&gt;0")</f>
        <v>0</v>
      </c>
      <c r="BK24" s="6">
        <f>COUNTIFS(Table4[Country],Tabela1[[#This Row],[Country]],Table4[High Jump Classification],"&gt;0")</f>
        <v>0</v>
      </c>
      <c r="BL24" s="6">
        <f>COUNTIFS(Table5[Country],Tabela1[[#This Row],[Country]],Table5[High Jump Classification],"&gt;0")</f>
        <v>0</v>
      </c>
      <c r="BM24" s="6">
        <f>COUNTIFS(Table4[Country],Tabela1[[#This Row],[Country]],Table4[Javelin Throw Classification],"&gt;0")</f>
        <v>0</v>
      </c>
      <c r="BN24" s="6">
        <f>COUNTIFS(Table5[Country],Tabela1[[#This Row],[Country]],Table5[Javelin Throw Classification],"&gt;0")</f>
        <v>1</v>
      </c>
      <c r="BO24" s="6">
        <f>COUNTIFS(Table4[Country],Tabela1[[#This Row],[Country]],Table4[Long Jump Classification],"&gt;0")</f>
        <v>0</v>
      </c>
      <c r="BP24" s="6">
        <f>COUNTIFS(Table5[Country],Tabela1[[#This Row],[Country]],Table5[Long Jump Classification],"&gt;0")</f>
        <v>0</v>
      </c>
      <c r="BQ24" s="6">
        <f>COUNTIFS(Table4[Country],Tabela1[[#This Row],[Country]],Table4[Pole Vault Classification],"&gt;0")</f>
        <v>1</v>
      </c>
      <c r="BR24" s="6">
        <f>COUNTIFS(Table5[Country],Tabela1[[#This Row],[Country]],Table5[Pole Vault Classification],"&gt;0")</f>
        <v>0</v>
      </c>
      <c r="BS24" s="6">
        <f>COUNTIFS(Table4[Country],Tabela1[[#This Row],[Country]],Table4[Shot Put Classification],"&gt;0")</f>
        <v>0</v>
      </c>
      <c r="BT24" s="6">
        <f>COUNTIFS(Table5[Country],Tabela1[[#This Row],[Country]],Table5[Shot Put Classification],"&gt;0")</f>
        <v>0</v>
      </c>
      <c r="BU24" s="6">
        <f>COUNTIFS(Table4[Country],Tabela1[[#This Row],[Country]],Table4[Triple Jump Classification],"&gt;0")</f>
        <v>0</v>
      </c>
      <c r="BV24" s="6">
        <f>COUNTIFS(Table5[Country],Tabela1[[#This Row],[Country]],Table5[Triple Jump Classification],"&gt;0")</f>
        <v>0</v>
      </c>
      <c r="BW24" s="6">
        <f>COUNTIFS(Table4[Country],Tabela1[[#This Row],[Country]],Table4[Decathlon Classification],"&gt;0")</f>
        <v>0</v>
      </c>
      <c r="BX24" s="6">
        <f>COUNTIFS(Table5[Country],Tabela1[[#This Row],[Country]],Table5[Heptathlon Classification],"&gt;0")</f>
        <v>0</v>
      </c>
      <c r="BY24" s="6">
        <f>COUNTIFS(Table61[Country],Tabela1[[#This Row],[Country]],Table61[Classification],"&gt;0")</f>
        <v>0</v>
      </c>
      <c r="BZ24" s="6">
        <f>COUNTIFS(Table38[Country],Tabela1[[#This Row],[Country]],Table38[Classification],"&gt;0")</f>
        <v>0</v>
      </c>
      <c r="CA24" s="6">
        <f>COUNTIFS(Table39[Country],Tabela1[[#This Row],[Country]],Table39[Men''s Classification],"&gt;0")</f>
        <v>0</v>
      </c>
      <c r="CB24" s="6">
        <f>COUNTIFS(Table39[Country],Tabela1[[#This Row],[Country]],Table39[Women''s Classification],"&gt;0")</f>
        <v>0</v>
      </c>
      <c r="CC24" s="6">
        <f>COUNTIFS(Table39[Country],Tabela1[[#This Row],[Country]],Table39[Mixed Classification],"&gt;0")</f>
        <v>0</v>
      </c>
      <c r="CD24" s="6">
        <f>COUNTIFS(Table89[Country],Tabela1[[#This Row],[Country]],Table89[Men''s Classification],"&gt;0")</f>
        <v>0</v>
      </c>
      <c r="CE24" s="6">
        <f>COUNTIFS(Table89[Country],Tabela1[[#This Row],[Country]],Table89[Women''s Classification],"&gt;0")</f>
        <v>0</v>
      </c>
      <c r="CF24" s="6">
        <f>COUNTIFS(Table90[Country],Tabela1[[#This Row],[Country]],Table90[Men''s Classification],"&gt;0")</f>
        <v>1</v>
      </c>
      <c r="CG24" s="6">
        <f>COUNTIFS(Table90[Country],Tabela1[[#This Row],[Country]],Table90[Women''s Classification],"&gt;0")</f>
        <v>0</v>
      </c>
      <c r="CH24" s="6">
        <f>COUNTIFS(Table60[Country],Tabela1[[#This Row],[Country]],Table60[Men''s Classification],"&gt;0")</f>
        <v>0</v>
      </c>
      <c r="CI24" s="6">
        <f>COUNTIFS(Table60[Country],Tabela1[[#This Row],[Country]],Table60[Women''s Classification],"&gt;0")</f>
        <v>1</v>
      </c>
      <c r="CJ24" s="6">
        <f>COUNTIFS(Table6[Country],Tabela1[[#This Row],[Country]],Table6[51kg Classification],"&gt;0")</f>
        <v>0</v>
      </c>
      <c r="CK24" s="6">
        <f>COUNTIFS(Table6[Country],Tabela1[[#This Row],[Country]],Table6[57kg Classification],"&gt;0")</f>
        <v>0</v>
      </c>
      <c r="CL24" s="6">
        <f>COUNTIFS(Table6[Country],Tabela1[[#This Row],[Country]],Table6[63.5kg Classification],"&gt;0")</f>
        <v>0</v>
      </c>
      <c r="CM24" s="6">
        <f>COUNTIFS(Table6[Country],Tabela1[[#This Row],[Country]],Table6[71kg Classification],"&gt;0")</f>
        <v>0</v>
      </c>
      <c r="CN24" s="6">
        <f>COUNTIFS(Table6[Country],Tabela1[[#This Row],[Country]],Table6[80kg Classification],"&gt;0")</f>
        <v>0</v>
      </c>
      <c r="CO24" s="6">
        <f>COUNTIFS(Table6[Country],Tabela1[[#This Row],[Country]],Table6[92kg Classification],"&gt;0")</f>
        <v>0</v>
      </c>
      <c r="CP24" s="6">
        <f>COUNTIFS(Table6[Country],Tabela1[[#This Row],[Country]],Table6[Plus 92kg Classification],"&gt;0")</f>
        <v>0</v>
      </c>
      <c r="CQ24" s="6">
        <f>COUNTIFS(Table7[Country],Tabela1[[#This Row],[Country]],Table7[50kg Classification],"&gt;0")</f>
        <v>0</v>
      </c>
      <c r="CR24" s="6">
        <f>COUNTIFS(Table7[Country],Tabela1[[#This Row],[Country]],Table7[54kg Classification],"&gt;0")</f>
        <v>0</v>
      </c>
      <c r="CS24" s="6">
        <f>COUNTIFS(Table7[Country],Tabela1[[#This Row],[Country]],Table7[57kg Classification],"&gt;0")</f>
        <v>0</v>
      </c>
      <c r="CT24" s="6">
        <f>COUNTIFS(Table7[Country],Tabela1[[#This Row],[Country]],Table7[60kg Classification],"&gt;0")</f>
        <v>0</v>
      </c>
      <c r="CU24" s="6">
        <f>COUNTIFS(Table7[Country],Tabela1[[#This Row],[Country]],Table7[66kg Classification],"&gt;0")</f>
        <v>0</v>
      </c>
      <c r="CV24" s="6">
        <f>COUNTIFS(Table7[Country],Tabela1[[#This Row],[Country]],Table7[75kg Classification],"&gt;0")</f>
        <v>0</v>
      </c>
      <c r="CW24" s="6">
        <f>COUNTIFS(Tabela94[Country],Tabela1[[#This Row],[Country]],Tabela94[Classification],"&gt;0")</f>
        <v>0</v>
      </c>
      <c r="CX24" s="6">
        <f>COUNTIFS(Tabela9499[Country],Tabela1[[#This Row],[Country]],Tabela9499[Classification],"&gt;0")</f>
        <v>0</v>
      </c>
      <c r="CY24" s="6">
        <f>COUNTIFS(Tabela107[Country],Tabela1[[#This Row],[Country]],Tabela107[C1 Slalom Classification],"&gt;0")</f>
        <v>0</v>
      </c>
      <c r="CZ24" s="6">
        <f>COUNTIFS(Tabela107122[Country],Tabela1[[#This Row],[Country]],Tabela107122[C1 Slalom Classification],"&gt;0")</f>
        <v>0</v>
      </c>
      <c r="DA24" s="6">
        <f>COUNTIFS(Tabela107[Country],Tabela1[[#This Row],[Country]],Tabela107[K1 Slalom Classification],"&gt;0")</f>
        <v>0</v>
      </c>
      <c r="DB24" s="6">
        <f>COUNTIFS(Tabela107122[Country],Tabela1[[#This Row],[Country]],Tabela107122[K1 Slalom Classification],"&gt;0")</f>
        <v>0</v>
      </c>
      <c r="DC24" s="6">
        <f>COUNTIFS(Tabela107[Country],Tabela1[[#This Row],[Country]],Tabela107[Kayak Cross Slalom Classification],"&gt;0")</f>
        <v>0</v>
      </c>
      <c r="DD24" s="6">
        <f>COUNTIFS(Tabela107122[Country],Tabela1[[#This Row],[Country]],Tabela107122[Kayak Cross Slalom Classification],"&gt;0")</f>
        <v>0</v>
      </c>
      <c r="DE24" s="6">
        <f>COUNTIFS(Table8[Country],Tabela1[[#This Row],[Country]],Table8[C1 200m Classification],"&gt;0")</f>
        <v>0</v>
      </c>
      <c r="DF24" s="6">
        <f>COUNTIFS(Table40[Country],Tabela1[[#This Row],[Country]],Table40[C1 1000m Classification],"&gt;0")</f>
        <v>0</v>
      </c>
      <c r="DG24" s="6">
        <f>COUNTIFS(Table68[Country],Tabela1[[#This Row],[Country]],Table68[Men''s C2 500m Classification],"&gt;0")</f>
        <v>0</v>
      </c>
      <c r="DH24" s="6">
        <f>COUNTIFS(Table68[Country],Tabela1[[#This Row],[Country]],Table68[Women''s C2 500m Classification],"&gt;0")</f>
        <v>0</v>
      </c>
      <c r="DI24" s="6">
        <f>COUNTIFS(Table8[Country],Tabela1[[#This Row],[Country]],Table8[K1 500m Classification],"&gt;0")</f>
        <v>0</v>
      </c>
      <c r="DJ24" s="6">
        <f>COUNTIFS(Table40[Country],Tabela1[[#This Row],[Country]],Table40[K1 1000m Classification],"&gt;0")</f>
        <v>0</v>
      </c>
      <c r="DK24" s="6">
        <f>COUNTIFS(Table68[Country],Tabela1[[#This Row],[Country]],Table68[Men''s K2 500m Classification],"&gt;0")</f>
        <v>0</v>
      </c>
      <c r="DL24" s="6">
        <f>COUNTIFS(Table68[Country],Tabela1[[#This Row],[Country]],Table68[Women''s K2 500m Classification],"&gt;0")</f>
        <v>0</v>
      </c>
      <c r="DM24" s="6">
        <f>COUNTIFS(Table83[Country],Tabela1[[#This Row],[Country]],Table83[Men''s K4 500m Classification],"&gt;0")</f>
        <v>0</v>
      </c>
      <c r="DN24" s="6">
        <f>COUNTIFS(Table83[Country],Tabela1[[#This Row],[Country]],Table83[Women''s K4 500m Classification],"&gt;0")</f>
        <v>0</v>
      </c>
      <c r="DO24" s="6">
        <f>COUNTIFS(Tabela126[Country],Tabela1[[#This Row],[Country]],Tabela126[Classification],"&gt;0")</f>
        <v>0</v>
      </c>
      <c r="DP24" s="6">
        <f>COUNTIFS(Tabela126130[Country],Tabela1[[#This Row],[Country]],Tabela126130[Classification],"&gt;0")</f>
        <v>0</v>
      </c>
      <c r="DQ24" s="6">
        <f>COUNTIFS(Table70[Country],Tabela1[[#This Row],[Country]],Table70[Classification],"&gt;0")</f>
        <v>0</v>
      </c>
      <c r="DR24" s="6">
        <f>COUNTIFS(Table80[Country],Tabela1[[#This Row],[Country]],Table80[Classification],"&gt;0")</f>
        <v>0</v>
      </c>
      <c r="DS24" s="6">
        <f>COUNTIFS(Table66[Country],Tabela1[[#This Row],[Country]],Table66[Classification],"&gt;0")</f>
        <v>0</v>
      </c>
      <c r="DT24" s="6">
        <f>COUNTIFS(Table67[Country],Tabela1[[#This Row],[Country]],Table67[Classification],"&gt;0")</f>
        <v>0</v>
      </c>
      <c r="DU24" s="6">
        <f>COUNTIFS(Table69[Country],Tabela1[[#This Row],[Country]],Table69[Keirin Classification],"&gt;0")</f>
        <v>0</v>
      </c>
      <c r="DV24" s="6">
        <f>COUNTIFS(Table41[Country],Tabela1[[#This Row],[Country]],Table41[Keirin Classification],"&gt;0")</f>
        <v>0</v>
      </c>
      <c r="DW24" s="6">
        <f>COUNTIFS(Table84[Country],Tabela1[[#This Row],[Country]],Table84[Men''s Madison Classification],"&gt;0")</f>
        <v>0</v>
      </c>
      <c r="DX24" s="6">
        <f>COUNTIFS(Table84[Country],Tabela1[[#This Row],[Country]],Table84[Women''s Madison Classification],"&gt;0")</f>
        <v>0</v>
      </c>
      <c r="DY24" s="6">
        <f>COUNTIFS(Table69[Country],Tabela1[[#This Row],[Country]],Table69[Omnium Classification],"&gt;0")</f>
        <v>0</v>
      </c>
      <c r="DZ24" s="6">
        <f>COUNTIFS(Table41[Country],Tabela1[[#This Row],[Country]],Table41[Omnium Classification],"&gt;0")</f>
        <v>0</v>
      </c>
      <c r="EA24" s="6">
        <f>COUNTIFS(Table9[Country],Tabela1[[#This Row],[Country]],Table9[Road Race Classification],"&gt;0")</f>
        <v>1</v>
      </c>
      <c r="EB24" s="6">
        <f>COUNTIFS(Table14[Country],Tabela1[[#This Row],[Country]],Table14[Road Race Classification],"&gt;0")</f>
        <v>1</v>
      </c>
      <c r="EC24" s="6">
        <f>COUNTIFS(Table69[Country],Tabela1[[#This Row],[Country]],Table69[Sprint Classification],"&gt;0")</f>
        <v>0</v>
      </c>
      <c r="ED24" s="6">
        <f>COUNTIFS(Table41[Country],Tabela1[[#This Row],[Country]],Table41[Sprint Classification],"&gt;0")</f>
        <v>0</v>
      </c>
      <c r="EE24" s="6">
        <f>COUNTIFS(Table85[Country],Tabela1[[#This Row],[Country]],Table85[Men''s Sprint Classification],"&gt;0")</f>
        <v>0</v>
      </c>
      <c r="EF24" s="6">
        <f>COUNTIFS(Table85[Country],Tabela1[[#This Row],[Country]],Table85[Women''s Sprint Classification],"&gt;0")</f>
        <v>0</v>
      </c>
      <c r="EG24" s="6">
        <f>COUNTIFS(Table85[Country],Tabela1[[#This Row],[Country]],Table85[Men''s Pursuit Classification],"&gt;0")</f>
        <v>0</v>
      </c>
      <c r="EH24" s="6">
        <f>COUNTIFS(Table85[Country],Tabela1[[#This Row],[Country]],Table85[Women''s Pursuit Classification],"&gt;0")</f>
        <v>0</v>
      </c>
      <c r="EI24" s="6">
        <f>COUNTIFS(Table9[Country],Tabela1[[#This Row],[Country]],Table9[Time-Trial Classification],"&gt;0")</f>
        <v>0</v>
      </c>
      <c r="EJ24" s="6">
        <f>COUNTIFS(Table14[Country],Tabela1[[#This Row],[Country]],Table14[Time-Trial Classification],"&gt;0")</f>
        <v>0</v>
      </c>
      <c r="EK24" s="6">
        <f>COUNTIFS(Table42[Country],Tabela1[[#This Row],[Country]],Table42[Springboard Classification],"&gt;0")</f>
        <v>0</v>
      </c>
      <c r="EL24" s="6">
        <f>COUNTIFS(Table43[Country],Tabela1[[#This Row],[Country]],Table43[Springboard Classification],"&gt;0")</f>
        <v>0</v>
      </c>
      <c r="EM24" s="6">
        <f>COUNTIFS(Table42[Country],Tabela1[[#This Row],[Country]],Table42[Platform Classification],"&gt;0")</f>
        <v>0</v>
      </c>
      <c r="EN24" s="6">
        <f>COUNTIFS(Table43[Country],Tabela1[[#This Row],[Country]],Table43[Platform Classification],"&gt;0")</f>
        <v>1</v>
      </c>
      <c r="EO24" s="6">
        <f>COUNTIFS(Table86[Country],Tabela1[[#This Row],[Country]],Table86[Men''s Synchronized Springboard Classification],"&gt;0")</f>
        <v>0</v>
      </c>
      <c r="EP24" s="6">
        <f>COUNTIFS(Table86[Country],Tabela1[[#This Row],[Country]],Table86[Women''s Synchronized Springboard Classification],"&gt;0")</f>
        <v>0</v>
      </c>
      <c r="EQ24" s="6">
        <f>COUNTIFS(Table86[Country],Tabela1[[#This Row],[Country]],Table86[Men''s Synchronized Platform Classification],"&gt;0")</f>
        <v>0</v>
      </c>
      <c r="ER24" s="6">
        <f>COUNTIFS(Table86[Country],Tabela1[[#This Row],[Country]],Table86[Women''s Synchronized Platform Classification],"&gt;0")</f>
        <v>0</v>
      </c>
      <c r="ES24" s="6">
        <f>COUNTIFS(Table44[Country],Tabela1[[#This Row],[Country]],Table44[Dressage Classification],"&gt;0")</f>
        <v>0</v>
      </c>
      <c r="ET24" s="6">
        <f>COUNTIFS(Table45[Country],Tabela1[[#This Row],[Country]],Table45[Dressage Classification],"&gt;0")</f>
        <v>0</v>
      </c>
      <c r="EU24" s="6">
        <f>COUNTIFS(Table44[Country],Tabela1[[#This Row],[Country]],Table44[Eventing Classification],"&gt;0")</f>
        <v>0</v>
      </c>
      <c r="EV24" s="6">
        <f>COUNTIFS(Table45[Country],Tabela1[[#This Row],[Country]],Table45[Eventing Classification],"&gt;0")</f>
        <v>0</v>
      </c>
      <c r="EW24" s="6">
        <f>COUNTIFS(Table44[Country],Tabela1[[#This Row],[Country]],Table44[Jumping Classification],"&gt;0")</f>
        <v>0</v>
      </c>
      <c r="EX24" s="6">
        <f>COUNTIFS(Table45[Country],Tabela1[[#This Row],[Country]],Table45[Jumping Classification],"&gt;0")</f>
        <v>0</v>
      </c>
      <c r="EY24" s="6">
        <f>COUNTIFS(Table10[Country],Tabela1[[#This Row],[Country]],Table10[Épée Classification],"&gt;0")</f>
        <v>0</v>
      </c>
      <c r="EZ24" s="6">
        <f>COUNTIFS(Table11[Country],Tabela1[[#This Row],[Country]],Table11[Épée Classification],"&gt;0")</f>
        <v>0</v>
      </c>
      <c r="FA24" s="6">
        <f>COUNTIFS(Table46[Country],Tabela1[[#This Row],[Country]],Table46[Men''s Épée Classification],"&gt;0")</f>
        <v>0</v>
      </c>
      <c r="FB24" s="6">
        <f>COUNTIFS(Table46[Country],Tabela1[[#This Row],[Country]],Table46[Women''s Épée Classification],"&gt;0")</f>
        <v>0</v>
      </c>
      <c r="FC24" s="6">
        <f>COUNTIFS(Table10[Country],Tabela1[[#This Row],[Country]],Table10[Foil Classification],"&gt;0")</f>
        <v>0</v>
      </c>
      <c r="FD24" s="6">
        <f>COUNTIFS(Table11[Country],Tabela1[[#This Row],[Country]],Table11[Foil Classification],"&gt;0")</f>
        <v>0</v>
      </c>
      <c r="FE24" s="6">
        <f>COUNTIFS(Table46[Country],Tabela1[[#This Row],[Country]],Table46[Men''s Foil Classification],"&gt;0")</f>
        <v>0</v>
      </c>
      <c r="FF24" s="6">
        <f>COUNTIFS(Table46[Country],Tabela1[[#This Row],[Country]],Table46[Women''s Foil Classification],"&gt;0")</f>
        <v>0</v>
      </c>
      <c r="FG24" s="6">
        <f>COUNTIFS(Table10[Country],Tabela1[[#This Row],[Country]],Table10[Sabre Classification],"&gt;0")</f>
        <v>0</v>
      </c>
      <c r="FH24" s="6">
        <f>COUNTIFS(Table11[Country],Tabela1[[#This Row],[Country]],Table11[Sabre Classification],"&gt;0")</f>
        <v>0</v>
      </c>
      <c r="FI24" s="6">
        <f>COUNTIFS(Table46[Country],Tabela1[[#This Row],[Country]],Table46[Men''s Sabre Classification],"&gt;0")</f>
        <v>0</v>
      </c>
      <c r="FJ24" s="6">
        <f>COUNTIFS(Table46[Country],Tabela1[[#This Row],[Country]],Table46[Women''s Sabre Classification],"&gt;0")</f>
        <v>0</v>
      </c>
      <c r="FK24" s="6">
        <f>COUNTIFS(Table91[Country],Tabela1[[#This Row],[Country]],Table91[Men''s Classification],"&gt;0")</f>
        <v>0</v>
      </c>
      <c r="FL24" s="6">
        <f>COUNTIFS(Table91[Country],Tabela1[[#This Row],[Country]],Table91[Women''s Classification],"&gt;0")</f>
        <v>0</v>
      </c>
      <c r="FM24" s="6">
        <f>COUNTIFS(Table9194[Country],Tabela1[[#This Row],[Country]],Table9194[Men''s Classification],"&gt;0")</f>
        <v>0</v>
      </c>
      <c r="FN24" s="6">
        <f>COUNTIFS(Table9194[Country],Tabela1[[#This Row],[Country]],Table9194[Women''s Classification],"&gt;0")</f>
        <v>0</v>
      </c>
      <c r="FO24" s="6">
        <f>COUNTIFS(Table71[Country],Tabela1[[#This Row],[Country]],Table71[Classification],"&gt;0")</f>
        <v>0</v>
      </c>
      <c r="FP24" s="6">
        <f>COUNTIFS(Table62[Country],Tabela1[[#This Row],[Country]],Table62[Classification],"&gt;0")</f>
        <v>0</v>
      </c>
      <c r="FQ24" s="6">
        <f>COUNTIFS(Table47[Country],Tabela1[[#This Row],[Country]],Table47[All-Around Classification],"&gt;0")</f>
        <v>0</v>
      </c>
      <c r="FR24" s="6">
        <f>COUNTIFS(Table48[Country],Tabela1[[#This Row],[Country]],Table48[All-Around Classification],"&gt;0")</f>
        <v>0</v>
      </c>
      <c r="FS24" s="6">
        <f>COUNTIFS(Table81[Country],Tabela1[[#This Row],[Country]],Table81[Men''s All-Around Classification],"&gt;0")</f>
        <v>0</v>
      </c>
      <c r="FT24" s="6">
        <f>COUNTIFS(Table81[Country],Tabela1[[#This Row],[Country]],Table81[Women''s All-Around Classification],"&gt;0")</f>
        <v>0</v>
      </c>
      <c r="FU24" s="6">
        <f>COUNTIFS(Table48[Country],Tabela1[[#This Row],[Country]],Table48[Balance Beam Classification],"&gt;0")</f>
        <v>0</v>
      </c>
      <c r="FV24" s="6">
        <f>COUNTIFS(Table47[Country],Tabela1[[#This Row],[Country]],Table47[Floor Exercise Classification],"&gt;0")</f>
        <v>0</v>
      </c>
      <c r="FW24" s="6">
        <f>COUNTIFS(Table48[Country],Tabela1[[#This Row],[Country]],Table48[Floor Exercise Classification],"&gt;0")</f>
        <v>0</v>
      </c>
      <c r="FX24" s="6">
        <f>COUNTIFS(Table47[Country],Tabela1[[#This Row],[Country]],Table47[Horizontal Bar Classification],"&gt;0")</f>
        <v>0</v>
      </c>
      <c r="FY24" s="6">
        <f>COUNTIFS(Table47[Country],Tabela1[[#This Row],[Country]],Table47[Parallel Bars Classification],"&gt;0")</f>
        <v>0</v>
      </c>
      <c r="FZ24" s="6">
        <f>COUNTIFS(Table47[Country],Tabela1[[#This Row],[Country]],Table47[Pommel Horse Classification],"&gt;0")</f>
        <v>0</v>
      </c>
      <c r="GA24" s="6">
        <f>COUNTIFS(Table47[Country],Tabela1[[#This Row],[Country]],Table47[Rings Classification],"&gt;0")</f>
        <v>0</v>
      </c>
      <c r="GB24" s="6">
        <f>COUNTIFS(Tabela132[Country],Tabela1[[#This Row],[Country]],Tabela132[Classification],"&gt;0")</f>
        <v>0</v>
      </c>
      <c r="GC24" s="6">
        <f>COUNTIFS(Tabela139[Country],Tabela1[[#This Row],[Country]],Tabela139[Classification],"&gt;0")</f>
        <v>0</v>
      </c>
      <c r="GD24" s="6">
        <f>COUNTIFS(Table48[Country],Tabela1[[#This Row],[Country]],Table48[Uneven Bars Classification],"&gt;0")</f>
        <v>0</v>
      </c>
      <c r="GE24" s="6">
        <f>COUNTIFS(Table47[Country],Tabela1[[#This Row],[Country]],Table47[Vault Classification],"&gt;0")</f>
        <v>0</v>
      </c>
      <c r="GF24" s="6">
        <f>COUNTIFS(Table48[Country],Tabela1[[#This Row],[Country]],Table48[Vault Classification],"&gt;0")</f>
        <v>0</v>
      </c>
      <c r="GG24" s="6">
        <f>COUNTIFS(Table919496[Country],Tabela1[[#This Row],[Country]],Table919496[Men''s Classification],"&gt;0")</f>
        <v>0</v>
      </c>
      <c r="GH24" s="6">
        <f>COUNTIFS(Table919496[Country],Tabela1[[#This Row],[Country]],Table919496[Women''s Classification],"&gt;0")</f>
        <v>0</v>
      </c>
      <c r="GI24" s="6">
        <f>COUNTIFS(Table12[Country],Tabela1[[#This Row],[Country]],Table12[60kg Classification],"&gt;0")</f>
        <v>0</v>
      </c>
      <c r="GJ24" s="6">
        <f>COUNTIFS(Table12[Country],Tabela1[[#This Row],[Country]],Table12[66kg Classification],"&gt;0")</f>
        <v>0</v>
      </c>
      <c r="GK24" s="6">
        <f>COUNTIFS(Table12[Country],Tabela1[[#This Row],[Country]],Table12[73kg Classification],"&gt;0")</f>
        <v>0</v>
      </c>
      <c r="GL24" s="6">
        <f>COUNTIFS(Table12[Country],Tabela1[[#This Row],[Country]],Table12[81kg Classification],"&gt;0")</f>
        <v>0</v>
      </c>
      <c r="GM24" s="6">
        <f>COUNTIFS(Table12[Country],Tabela1[[#This Row],[Country]],Table12[90kg Classification],"&gt;0")</f>
        <v>0</v>
      </c>
      <c r="GN24" s="6">
        <f>COUNTIFS(Table12[Country],Tabela1[[#This Row],[Country]],Table12[100kg Classification],"&gt;0")</f>
        <v>0</v>
      </c>
      <c r="GO24" s="6">
        <f>COUNTIFS(Table12[Country],Tabela1[[#This Row],[Country]],Table12[Plus 100kg Classification],"&gt;0")</f>
        <v>0</v>
      </c>
      <c r="GP24" s="6">
        <f>COUNTIFS(Table13[Country],Tabela1[[#This Row],[Country]],Table13[48kg Classification],"&gt;0")</f>
        <v>0</v>
      </c>
      <c r="GQ24" s="6">
        <f>COUNTIFS(Table13[Country],Tabela1[[#This Row],[Country]],Table13[52kg Classification],"&gt;0")</f>
        <v>0</v>
      </c>
      <c r="GR24" s="6">
        <f>COUNTIFS(Table13[Country],Tabela1[[#This Row],[Country]],Table13[57kg Classification],"&gt;0")</f>
        <v>0</v>
      </c>
      <c r="GS24" s="6">
        <f>COUNTIFS(Table13[Country],Tabela1[[#This Row],[Country]],Table13[63kg Classification],"&gt;0")</f>
        <v>0</v>
      </c>
      <c r="GT24" s="6">
        <f>COUNTIFS(Table13[Country],Tabela1[[#This Row],[Country]],Table13[70kg Classification],"&gt;0")</f>
        <v>0</v>
      </c>
      <c r="GU24" s="6">
        <f>COUNTIFS(Table13[Country],Tabela1[[#This Row],[Country]],Table13[78kg Classification],"&gt;0")</f>
        <v>0</v>
      </c>
      <c r="GV24" s="6">
        <f>COUNTIFS(Table13[Country],Tabela1[[#This Row],[Country]],Table13[Plus 78kg Classification],"&gt;0")</f>
        <v>0</v>
      </c>
      <c r="GW24" s="6">
        <f>COUNTIFS(Table82[Country],Tabela1[[#This Row],[Country]],Table82[Mixed Classification],"&gt;0")</f>
        <v>0</v>
      </c>
      <c r="GX24" s="6">
        <f>COUNTIFS(Table51[Country],Tabela1[[#This Row],[Country]],Table51[Classification],"&gt;0")</f>
        <v>0</v>
      </c>
      <c r="GY24" s="6">
        <f>COUNTIFS(Table52[Country],Tabela1[[#This Row],[Country]],Table52[Classification],"&gt;0")</f>
        <v>0</v>
      </c>
      <c r="GZ24" s="6">
        <f>COUNTIFS(Table32[Country],Tabela1[[#This Row],[Country]],Table32[All-Around Classification],"&gt;0")</f>
        <v>0</v>
      </c>
      <c r="HA24" s="6">
        <f>COUNTIFS(Table49[Country],Tabela1[[#This Row],[Country]],Table49[All-Around Classification],"&gt;0")</f>
        <v>0</v>
      </c>
      <c r="HB24" s="6">
        <f>COUNTIFS(Table26[Country],Tabela1[[#This Row],[Country]],Table26[Single Sculls Classification],"&gt;0")</f>
        <v>0</v>
      </c>
      <c r="HC24" s="6">
        <f>COUNTIFS(Table63[Country],Tabela1[[#This Row],[Country]],Table63[Single Sculls Classification],"&gt;0")</f>
        <v>0</v>
      </c>
      <c r="HD24" s="6">
        <f>COUNTIFS(Table16[Country],Tabela1[[#This Row],[Country]],Table16[Men''s Double Sculls Classification],"&gt;0")</f>
        <v>0</v>
      </c>
      <c r="HE24" s="6">
        <f>COUNTIFS(Table16[Country],Tabela1[[#This Row],[Country]],Table16[Women''s Double Sculls Classification],"&gt;0")</f>
        <v>0</v>
      </c>
      <c r="HF24" s="6">
        <f>COUNTIFS(Table72[Country],Tabela1[[#This Row],[Country]],Table72[Men''s Quadruple Sculls Classification],"&gt;0")</f>
        <v>0</v>
      </c>
      <c r="HG24" s="6">
        <f>COUNTIFS(Table72[Country],Tabela1[[#This Row],[Country]],Table72[Women''s Quadruple Sculls Classification],"&gt;0")</f>
        <v>0</v>
      </c>
      <c r="HH24" s="6">
        <f>COUNTIFS(Table16[Country],Tabela1[[#This Row],[Country]],Table16[Men''s Coxless Pairs Classification],"&gt;0")</f>
        <v>0</v>
      </c>
      <c r="HI24" s="6">
        <f>COUNTIFS(Table16[Country],Tabela1[[#This Row],[Country]],Table16[Women''s Coxless Pairs Classification],"&gt;0")</f>
        <v>0</v>
      </c>
      <c r="HJ24" s="6">
        <f>COUNTIFS(Table72[Country],Tabela1[[#This Row],[Country]],Table72[Men''s Coxless Fours Classification],"&gt;0")</f>
        <v>0</v>
      </c>
      <c r="HK24" s="6">
        <f>COUNTIFS(Table72[Country],Tabela1[[#This Row],[Country]],Table72[Women''s Coxless Fours Classification],"&gt;0")</f>
        <v>0</v>
      </c>
      <c r="HL24" s="6">
        <f>COUNTIFS(Table72[Country],Tabela1[[#This Row],[Country]],Table72[Men''s Eights Classification],"&gt;0")</f>
        <v>0</v>
      </c>
      <c r="HM24" s="6">
        <f>COUNTIFS(Table72[Country],Tabela1[[#This Row],[Country]],Table72[Women''s Eights Classification],"&gt;0")</f>
        <v>0</v>
      </c>
      <c r="HN24" s="6">
        <f>COUNTIFS(Table16[Country],Tabela1[[#This Row],[Country]],Table16[Men''s Lwt. Double Sculls Classification],"&gt;0")</f>
        <v>0</v>
      </c>
      <c r="HO24" s="6">
        <f>COUNTIFS(Table16[Country],Tabela1[[#This Row],[Country]],Table16[Women''s Lwt. Double Sculls Classification],"&gt;0")</f>
        <v>0</v>
      </c>
      <c r="HP24" s="6">
        <f>COUNTIFS(Table91949698[Country],Tabela1[[#This Row],[Country]],Table91949698[Men''s Classification],"&gt;0")</f>
        <v>0</v>
      </c>
      <c r="HQ24" s="6">
        <f>COUNTIFS(Table91949698[Country],Tabela1[[#This Row],[Country]],Table91949698[Women''s Classification],"&gt;0")</f>
        <v>0</v>
      </c>
      <c r="HR24" s="6">
        <f>COUNTIFS(Table25[Country],Tabela1[[#This Row],[Country]],Table25[Mixed 470 Classification],"&gt;0")</f>
        <v>0</v>
      </c>
      <c r="HS24" s="6">
        <f>COUNTIFS(Table25[Country],Tabela1[[#This Row],[Country]],Table25[Men''s 49er Classification],"&gt;0")</f>
        <v>0</v>
      </c>
      <c r="HT24" s="6">
        <f>COUNTIFS(Table25[Country],Tabela1[[#This Row],[Country]],Table25[Women''s 49er FX Classification],"&gt;0")</f>
        <v>0</v>
      </c>
      <c r="HU24" s="6">
        <f>COUNTIFS(Table17[Country],Tabela1[[#This Row],[Country]],Table17[Formula Kite Classification],"&gt;0")</f>
        <v>0</v>
      </c>
      <c r="HV24" s="6">
        <f>COUNTIFS(Table18[Country],Tabela1[[#This Row],[Country]],Table18[Formula Kite Classification],"&gt;0")</f>
        <v>0</v>
      </c>
      <c r="HW24" s="6">
        <f>COUNTIFS(Table17[Country],Tabela1[[#This Row],[Country]],Table17[ILCA 7 Classification],"&gt;0")</f>
        <v>0</v>
      </c>
      <c r="HX24" s="6">
        <f>COUNTIFS(Table18[Country],Tabela1[[#This Row],[Country]],Table18[ILCA 6 Classification],"&gt;0")</f>
        <v>0</v>
      </c>
      <c r="HY24" s="6">
        <f>COUNTIFS(Table17[Country],Tabela1[[#This Row],[Country]],Table17[IQFoil Classification],"&gt;0")</f>
        <v>0</v>
      </c>
      <c r="HZ24" s="6">
        <f>COUNTIFS(Table18[Country],Tabela1[[#This Row],[Country]],Table18[IQFoil Classification],"&gt;0")</f>
        <v>0</v>
      </c>
      <c r="IA24" s="6">
        <f>COUNTIFS(Table25[Country],Tabela1[[#This Row],[Country]],Table25[Mixed Nacra 17 Classification],"&gt;0")</f>
        <v>0</v>
      </c>
      <c r="IB24" s="6">
        <f>COUNTIFS(Table53[Country],Tabela1[[#This Row],[Country]],Table53[10m Air Pistol Classification],"&gt;0")</f>
        <v>0</v>
      </c>
      <c r="IC24" s="6">
        <f>COUNTIFS(Table19[Country],Tabela1[[#This Row],[Country]],Table19[10m Air Pistol Classification],"&gt;0")</f>
        <v>0</v>
      </c>
      <c r="ID24" s="6">
        <f>COUNTIFS(Table54[Country],Tabela1[[#This Row],[Country]],Table54[Mixed 10m Air Pistol Team Classification],"&gt;0")</f>
        <v>0</v>
      </c>
      <c r="IE24" s="6">
        <f>COUNTIFS(Table53[Country],Tabela1[[#This Row],[Country]],Table53[10m Air Rifle Classification],"&gt;0")</f>
        <v>0</v>
      </c>
      <c r="IF24" s="6">
        <f>COUNTIFS(Table19[Country],Tabela1[[#This Row],[Country]],Table19[10m Air Rifle Classification],"&gt;0")</f>
        <v>0</v>
      </c>
      <c r="IG24" s="6">
        <f>COUNTIFS(Table54[Country],Tabela1[[#This Row],[Country]],Table54[Mixed 10m Air Rifle Team Classification],"&gt;0")</f>
        <v>0</v>
      </c>
      <c r="IH24" s="6">
        <f>COUNTIFS(Table53[Country],Tabela1[[#This Row],[Country]],Table53[25m Rapid Fire Pistol Classification],"&gt;0")</f>
        <v>0</v>
      </c>
      <c r="II24" s="6">
        <f>COUNTIFS(Table19[Country],Tabela1[[#This Row],[Country]],Table19[25m Pistol Classification],"&gt;0")</f>
        <v>0</v>
      </c>
      <c r="IJ24" s="6">
        <f>COUNTIFS(Table53[Country],Tabela1[[#This Row],[Country]],Table53[50m Rifle 3 Positions Classification],"&gt;0")</f>
        <v>0</v>
      </c>
      <c r="IK24" s="6">
        <f>COUNTIFS(Table19[Country],Tabela1[[#This Row],[Country]],Table19[50m Rifle 3 Positions Classification],"&gt;0")</f>
        <v>0</v>
      </c>
      <c r="IL24" s="6">
        <f>COUNTIFS(Table53[Country],Tabela1[[#This Row],[Country]],Table53[Skeet Classification],"&gt;0")</f>
        <v>0</v>
      </c>
      <c r="IM24" s="6">
        <f>COUNTIFS(Table19[Country],Tabela1[[#This Row],[Country]],Table19[Skeet Classification],"&gt;0")</f>
        <v>0</v>
      </c>
      <c r="IN24" s="6">
        <f>COUNTIFS(Table54[Country],Tabela1[[#This Row],[Country]],Table54[Mixed Skeet Team Classification],"&gt;0")</f>
        <v>0</v>
      </c>
      <c r="IO24" s="6">
        <f>COUNTIFS(Table53[Country],Tabela1[[#This Row],[Country]],Table53[Trap Classification],"&gt;0")</f>
        <v>0</v>
      </c>
      <c r="IP24" s="6">
        <f>COUNTIFS(Table19[Country],Tabela1[[#This Row],[Country]],Table19[Trap Classification],"&gt;0")</f>
        <v>0</v>
      </c>
      <c r="IQ24" s="6">
        <f>COUNTIFS(Table73[Country],Tabela1[[#This Row],[Country]],Table73[Park Classification],"&gt;0")</f>
        <v>0</v>
      </c>
      <c r="IR24" s="6">
        <f>COUNTIFS(Table74[Country],Tabela1[[#This Row],[Country]],Table74[Park Classification],"&gt;0")</f>
        <v>0</v>
      </c>
      <c r="IS24" s="6">
        <f>COUNTIFS(Table73[Country],Tabela1[[#This Row],[Country]],Table73[Street Classification],"&gt;0")</f>
        <v>0</v>
      </c>
      <c r="IT24" s="6">
        <f>COUNTIFS(Table74[Country],Tabela1[[#This Row],[Country]],Table74[Street Classification],"&gt;0")</f>
        <v>0</v>
      </c>
      <c r="IU24" s="6">
        <f>COUNTIFS(Table75[Country],Tabela1[[#This Row],[Country]],Table75[Boulder and Lead Classification],"&gt;0")</f>
        <v>0</v>
      </c>
      <c r="IV24" s="6">
        <f>COUNTIFS(Table76[Country],Tabela1[[#This Row],[Country]],Table76[Boulder and Lead Classification],"&gt;0")</f>
        <v>0</v>
      </c>
      <c r="IW24" s="6">
        <f>COUNTIFS(Table75[Country],Tabela1[[#This Row],[Country]],Table75[Speed Classification],"&gt;0")</f>
        <v>0</v>
      </c>
      <c r="IX24" s="6">
        <f>COUNTIFS(Table76[Country],Tabela1[[#This Row],[Country]],Table76[Speed Classification],"&gt;0")</f>
        <v>0</v>
      </c>
      <c r="IY24" s="6">
        <f>COUNTIFS(Table64[Country],Tabela1[[#This Row],[Country]],Table64[Shortboard Classification],"&gt;0")</f>
        <v>0</v>
      </c>
      <c r="IZ24" s="6">
        <f>COUNTIFS(Table77[Country],Tabela1[[#This Row],[Country]],Table77[Shortboard Classification],"&gt;0")</f>
        <v>0</v>
      </c>
      <c r="JA24" s="6">
        <f>COUNTIFS(Table20[Country],Tabela1[[#This Row],[Country]],Table20[50m Freestyle Classification],"&gt;0")</f>
        <v>0</v>
      </c>
      <c r="JB24" s="6">
        <f>COUNTIFS(Table21[Country],Tabela1[[#This Row],[Country]],Table21[50m Freestyle Classification],"&gt;0")</f>
        <v>0</v>
      </c>
      <c r="JC24" s="6">
        <f>COUNTIFS(Table20[Country],Tabela1[[#This Row],[Country]],Table20[100m Freestyle Classification],"&gt;0")</f>
        <v>0</v>
      </c>
      <c r="JD24" s="6">
        <f>COUNTIFS(Table21[Country],Tabela1[[#This Row],[Country]],Table21[100m Freestyle Classification],"&gt;0")</f>
        <v>0</v>
      </c>
      <c r="JE24" s="6">
        <f>COUNTIFS(Table20[Country],Tabela1[[#This Row],[Country]],Table20[200m Freestyle Classification],"&gt;0")</f>
        <v>0</v>
      </c>
      <c r="JF24" s="6">
        <f>COUNTIFS(Table21[Country],Tabela1[[#This Row],[Country]],Table21[200m Freestyle Classification],"&gt;0")</f>
        <v>0</v>
      </c>
      <c r="JG24" s="6">
        <f>COUNTIFS(Table20[Country],Tabela1[[#This Row],[Country]],Table20[400m Freestyle Classification],"&gt;0")</f>
        <v>0</v>
      </c>
      <c r="JH24" s="6">
        <f>COUNTIFS(Table21[Country],Tabela1[[#This Row],[Country]],Table21[400m Freestyle Classification],"&gt;0")</f>
        <v>0</v>
      </c>
      <c r="JI24" s="6">
        <f>COUNTIFS(Table20[Country],Tabela1[[#This Row],[Country]],Table20[800m Freestyle Classification],"&gt;0")</f>
        <v>0</v>
      </c>
      <c r="JJ24" s="6">
        <f>COUNTIFS(Table21[Country],Tabela1[[#This Row],[Country]],Table21[800m Freestyle Classification],"&gt;0")</f>
        <v>0</v>
      </c>
      <c r="JK24" s="6">
        <f>COUNTIFS(Table20[Country],Tabela1[[#This Row],[Country]],Table20[1500m Freestyle Classification],"&gt;0")</f>
        <v>0</v>
      </c>
      <c r="JL24" s="6">
        <f>COUNTIFS(Table21[Country],Tabela1[[#This Row],[Country]],Table21[1500m Freestyle Classification],"&gt;0")</f>
        <v>0</v>
      </c>
      <c r="JM24" s="6">
        <f>COUNTIFS(Table20[Country],Tabela1[[#This Row],[Country]],Table20[100m Backstroke Classification],"&gt;0")</f>
        <v>0</v>
      </c>
      <c r="JN24" s="6">
        <f>COUNTIFS(Table21[Country],Tabela1[[#This Row],[Country]],Table21[100m Backstroke Classification],"&gt;0")</f>
        <v>0</v>
      </c>
      <c r="JO24" s="6">
        <f>COUNTIFS(Table20[Country],Tabela1[[#This Row],[Country]],Table20[200m Backstroke Classification],"&gt;0")</f>
        <v>0</v>
      </c>
      <c r="JP24" s="6">
        <f>COUNTIFS(Table21[Country],Tabela1[[#This Row],[Country]],Table21[200m Backstroke Classification],"&gt;0")</f>
        <v>0</v>
      </c>
      <c r="JQ24" s="6">
        <f>COUNTIFS(Table20[Country],Tabela1[[#This Row],[Country]],Table20[100m Breaststroke Classification],"&gt;0")</f>
        <v>0</v>
      </c>
      <c r="JR24" s="6">
        <f>COUNTIFS(Table21[Country],Tabela1[[#This Row],[Country]],Table21[100m Breaststroke Classification],"&gt;0")</f>
        <v>0</v>
      </c>
      <c r="JS24" s="6">
        <f>COUNTIFS(Table20[Country],Tabela1[[#This Row],[Country]],Table20[200m Breaststroke Classification],"&gt;0")</f>
        <v>1</v>
      </c>
      <c r="JT24" s="6">
        <f>COUNTIFS(Table21[Country],Tabela1[[#This Row],[Country]],Table21[200m Breaststroke Classification],"&gt;0")</f>
        <v>0</v>
      </c>
      <c r="JU24" s="6">
        <f>COUNTIFS(Table20[Country],Tabela1[[#This Row],[Country]],Table20[100m Butterfly Classification],"&gt;0")</f>
        <v>0</v>
      </c>
      <c r="JV24" s="6">
        <f>COUNTIFS(Table21[Country],Tabela1[[#This Row],[Country]],Table21[100m Butterfly Classification],"&gt;0")</f>
        <v>0</v>
      </c>
      <c r="JW24" s="6">
        <f>COUNTIFS(Table20[Country],Tabela1[[#This Row],[Country]],Table20[200m Butterfly Classification],"&gt;0")</f>
        <v>0</v>
      </c>
      <c r="JX24" s="6">
        <f>COUNTIFS(Table21[Country],Tabela1[[#This Row],[Country]],Table21[200m Butterfly Classification],"&gt;0")</f>
        <v>0</v>
      </c>
      <c r="JY24" s="6">
        <f>COUNTIFS(Table20[Country],Tabela1[[#This Row],[Country]],Table20[200m Medley Classification],"&gt;0")</f>
        <v>0</v>
      </c>
      <c r="JZ24" s="6">
        <f>COUNTIFS(Table21[Country],Tabela1[[#This Row],[Country]],Table21[200m Medley Classification],"&gt;0")</f>
        <v>0</v>
      </c>
      <c r="KA24" s="6">
        <f>COUNTIFS(Table20[Country],Tabela1[[#This Row],[Country]],Table20[400m Medley Classification],"&gt;0")</f>
        <v>0</v>
      </c>
      <c r="KB24" s="6">
        <f>COUNTIFS(Table21[Country],Tabela1[[#This Row],[Country]],Table21[400m Medley Classification],"&gt;0")</f>
        <v>0</v>
      </c>
      <c r="KC24" s="6">
        <f>COUNTIFS(Table78[Country],Tabela1[[#This Row],[Country]],Table78[Men''s 4x100m Freestyle Relay Classification],"&gt;0")</f>
        <v>0</v>
      </c>
      <c r="KD24" s="6">
        <f>COUNTIFS(Table78[Country],Tabela1[[#This Row],[Country]],Table78[Women''s 4x100m Freestyle Relay Classification],"&gt;0")</f>
        <v>0</v>
      </c>
      <c r="KE24" s="6">
        <f>COUNTIFS(Table78[Country],Tabela1[[#This Row],[Country]],Table78[Men''s 4x200m Freestyle Relay Classification],"&gt;0")</f>
        <v>0</v>
      </c>
      <c r="KF24" s="6">
        <f>COUNTIFS(Table78[Country],Tabela1[[#This Row],[Country]],Table78[Women''s 4x200m Freestyle Relay Classification],"&gt;0")</f>
        <v>0</v>
      </c>
      <c r="KG24" s="6">
        <f>COUNTIFS(Table78[Country],Tabela1[[#This Row],[Country]],Table78[Men''s 4x100m Medley Relay Classification],"&gt;0")</f>
        <v>0</v>
      </c>
      <c r="KH24" s="6">
        <f>COUNTIFS(Table78[Country],Tabela1[[#This Row],[Country]],Table78[Women''s 4x100m Medley Relay Classification],"&gt;0")</f>
        <v>0</v>
      </c>
      <c r="KI24" s="6">
        <f>COUNTIFS(Table78[Country],Tabela1[[#This Row],[Country]],Table78[Mixed 4x100m Medley Relay Classification],"&gt;0")</f>
        <v>0</v>
      </c>
      <c r="KJ24" s="6">
        <f>COUNTIFS(Table20[Country],Tabela1[[#This Row],[Country]],Table20[10km Open Water Classification],"&gt;0")</f>
        <v>0</v>
      </c>
      <c r="KK24" s="6">
        <f>COUNTIFS(Table21[Country],Tabela1[[#This Row],[Country]],Table21[10km Open Water Classification],"&gt;0")</f>
        <v>0</v>
      </c>
      <c r="KL24" s="6">
        <f>COUNTIFS(Table22[Country],Tabela1[[#This Row],[Country]],Table22[Classification],"&gt;0")</f>
        <v>0</v>
      </c>
      <c r="KM24" s="6">
        <f>COUNTIFS(Table30[Country],Tabela1[[#This Row],[Country]],Table30[Classification],"&gt;0")</f>
        <v>0</v>
      </c>
      <c r="KN24" s="6">
        <f>COUNTIFS(Table55[Country],Tabela1[[#This Row],[Country]],Table55[Men''s Classification],"&gt;0")</f>
        <v>0</v>
      </c>
      <c r="KO24" s="6">
        <f>COUNTIFS(Table55[Country],Tabela1[[#This Row],[Country]],Table55[Women''s Classification],"&gt;0")</f>
        <v>0</v>
      </c>
      <c r="KP24" s="6">
        <f>COUNTIFS(Table56[Country],Tabela1[[#This Row],[Country]],Table56[Mixed Classification],"&gt;0")</f>
        <v>0</v>
      </c>
      <c r="KQ24" s="6">
        <f>COUNTIFS(Table29[Country],Tabela1[[#This Row],[Country]],Table29[58kg Classification],"&gt;0")</f>
        <v>0</v>
      </c>
      <c r="KR24" s="6">
        <f>COUNTIFS(Table29[Country],Tabela1[[#This Row],[Country]],Table29[68kg Classification],"&gt;0")</f>
        <v>0</v>
      </c>
      <c r="KS24" s="6">
        <f>COUNTIFS(Table29[Country],Tabela1[[#This Row],[Country]],Table29[80kg Classification],"&gt;0")</f>
        <v>0</v>
      </c>
      <c r="KT24" s="6">
        <f>COUNTIFS(Table29[Country],Tabela1[[#This Row],[Country]],Table29[Plus 80kg Classification],"&gt;0")</f>
        <v>0</v>
      </c>
      <c r="KU24" s="6">
        <f>COUNTIFS(Table34[Country],Tabela1[[#This Row],[Country]],Table34[49kg Classification],"&gt;0")</f>
        <v>0</v>
      </c>
      <c r="KV24" s="6">
        <f>COUNTIFS(Table34[Country],Tabela1[[#This Row],[Country]],Table34[57kg Classification],"&gt;0")</f>
        <v>0</v>
      </c>
      <c r="KW24" s="6">
        <f>COUNTIFS(Table34[Country],Tabela1[[#This Row],[Country]],Table34[67kg Classification],"&gt;0")</f>
        <v>0</v>
      </c>
      <c r="KX24" s="6">
        <f>COUNTIFS(Table34[Country],Tabela1[[#This Row],[Country]],Table34[Plus 67kg Classification],"&gt;0")</f>
        <v>0</v>
      </c>
      <c r="KY24" s="6">
        <f>COUNTIFS(Table57[Country],Tabela1[[#This Row],[Country]],Table57[Classification],"&gt;0")</f>
        <v>0</v>
      </c>
      <c r="KZ24" s="6">
        <f>COUNTIFS(Table58[Country],Tabela1[[#This Row],[Country]],Table58[Classification],"&gt;0")</f>
        <v>1</v>
      </c>
      <c r="LA24" s="6">
        <f>COUNTIFS(Table79[Country],Tabela1[[#This Row],[Country]],Table79[Men''s Classification],"&gt;0")</f>
        <v>0</v>
      </c>
      <c r="LB24" s="6">
        <f>COUNTIFS(Table79[Country],Tabela1[[#This Row],[Country]],Table79[Women''s Classification],"&gt;0")</f>
        <v>0</v>
      </c>
      <c r="LC24" s="6">
        <f>COUNTIFS(Table79[Country],Tabela1[[#This Row],[Country]],Table79[Mixed Classification],"&gt;0")</f>
        <v>0</v>
      </c>
      <c r="LD24" s="6">
        <f>COUNTIFS(Table65[Country],Tabela1[[#This Row],[Country]],Table65[Classification],"&gt;0")</f>
        <v>0</v>
      </c>
      <c r="LE24" s="6">
        <f>COUNTIFS(Table59[Country],Tabela1[[#This Row],[Country]],Table59[Classification],"&gt;0")</f>
        <v>0</v>
      </c>
      <c r="LF24" s="6">
        <f>COUNTIFS(Table87[Country],Tabela1[[#This Row],[Country]],Table87[Mixed Relay Classification],"&gt;0")</f>
        <v>0</v>
      </c>
      <c r="LG24" s="6">
        <f>COUNTIFS(Table91949698100[Country],Tabela1[[#This Row],[Country]],Table91949698100[Men''s Classification],"&gt;0")</f>
        <v>0</v>
      </c>
      <c r="LH24" s="6">
        <f>COUNTIFS(Table91949698100[Country],Tabela1[[#This Row],[Country]],Table91949698100[Women''s Classification],"&gt;0")</f>
        <v>0</v>
      </c>
      <c r="LI24" s="6">
        <f>COUNTIFS(Table91949698100102[Country],Tabela1[[#This Row],[Country]],Table91949698100102[Men''s Classification],"&gt;0")</f>
        <v>0</v>
      </c>
      <c r="LJ24" s="6">
        <f>COUNTIFS(Table91949698100102[Country],Tabela1[[#This Row],[Country]],Table91949698100102[Women''s Classification],"&gt;0")</f>
        <v>0</v>
      </c>
      <c r="LK24" s="6">
        <f>COUNTIFS(Table23[Country],Tabela1[[#This Row],[Country]],Table23[61kg Classification],"&gt;0")</f>
        <v>0</v>
      </c>
      <c r="LL24" s="6">
        <f>COUNTIFS(Table23[Country],Tabela1[[#This Row],[Country]],Table23[73kg Classification],"&gt;0")</f>
        <v>1</v>
      </c>
      <c r="LM24" s="6">
        <f>COUNTIFS(Table23[Country],Tabela1[[#This Row],[Country]],Table23[89kg Classification],"&gt;0")</f>
        <v>0</v>
      </c>
      <c r="LN24" s="6">
        <f>COUNTIFS(Table23[Country],Tabela1[[#This Row],[Country]],Table23[102kg Classification],"&gt;0")</f>
        <v>0</v>
      </c>
      <c r="LO24" s="6">
        <f>COUNTIFS(Table23[Country],Tabela1[[#This Row],[Country]],Table23[Plus 102kg Classification],"&gt;0")</f>
        <v>0</v>
      </c>
      <c r="LP24" s="6">
        <f>COUNTIFS(Table28[Country],Tabela1[[#This Row],[Country]],Table28[49kg Classification],"&gt;0")</f>
        <v>0</v>
      </c>
      <c r="LQ24" s="6">
        <f>COUNTIFS(Table28[Country],Tabela1[[#This Row],[Country]],Table28[59kg Classification],"&gt;0")</f>
        <v>0</v>
      </c>
      <c r="LR24" s="6">
        <f>COUNTIFS(Table28[Country],Tabela1[[#This Row],[Country]],Table28[71kg Classification],"&gt;0")</f>
        <v>0</v>
      </c>
      <c r="LS24" s="6">
        <f>COUNTIFS(Table28[Country],Tabela1[[#This Row],[Country]],Table28[81kg Classification],"&gt;0")</f>
        <v>0</v>
      </c>
      <c r="LT24" s="6">
        <f>COUNTIFS(Table28[Country],Tabela1[[#This Row],[Country]],Table28[Plus 81kg Classification],"&gt;0")</f>
        <v>0</v>
      </c>
      <c r="LU24" s="6">
        <f>COUNTIFS(Table24[Country],Tabela1[[#This Row],[Country]],Table24[Freestyle 57kg Classification],"&gt;0")</f>
        <v>0</v>
      </c>
      <c r="LV24" s="6">
        <f>COUNTIFS(Table24[Country],Tabela1[[#This Row],[Country]],Table24[Freestyle 65kg Classification],"&gt;0")</f>
        <v>0</v>
      </c>
      <c r="LW24" s="6">
        <f>COUNTIFS(Table24[Country],Tabela1[[#This Row],[Country]],Table24[Freestyle 74kg Classification],"&gt;0")</f>
        <v>0</v>
      </c>
      <c r="LX24" s="6">
        <f>COUNTIFS(Table24[Country],Tabela1[[#This Row],[Country]],Table24[Freestyle 86kg Classification],"&gt;0")</f>
        <v>0</v>
      </c>
      <c r="LY24" s="6">
        <f>COUNTIFS(Table24[Country],Tabela1[[#This Row],[Country]],Table24[Freestyle 97kg Classification],"&gt;0")</f>
        <v>0</v>
      </c>
      <c r="LZ24" s="6">
        <f>COUNTIFS(Table24[Country],Tabela1[[#This Row],[Country]],Table24[Freestyle 125kg Classification],"&gt;0")</f>
        <v>0</v>
      </c>
      <c r="MA24" s="6">
        <f>COUNTIFS(Table24[Country],Tabela1[[#This Row],[Country]],Table24[Greco-Roman 60kg Classification],"&gt;0")</f>
        <v>0</v>
      </c>
      <c r="MB24" s="6">
        <f>COUNTIFS(Table24[Country],Tabela1[[#This Row],[Country]],Table24[Greco-Roman 67kg Classification],"&gt;0")</f>
        <v>0</v>
      </c>
      <c r="MC24" s="6">
        <f>COUNTIFS(Table24[Country],Tabela1[[#This Row],[Country]],Table24[Greco-Roman 77kg Classification],"&gt;0")</f>
        <v>0</v>
      </c>
      <c r="MD24" s="6">
        <f>COUNTIFS(Table24[Country],Tabela1[[#This Row],[Country]],Table24[Greco-Roman 87kg Classification],"&gt;0")</f>
        <v>0</v>
      </c>
      <c r="ME24" s="6">
        <f>COUNTIFS(Table24[Country],Tabela1[[#This Row],[Country]],Table24[Greco-Roman 97kg Classification],"&gt;0")</f>
        <v>0</v>
      </c>
      <c r="MF24" s="6">
        <f>COUNTIFS(Table24[Country],Tabela1[[#This Row],[Country]],Table24[Greco-Roman 130kg Classification],"&gt;0")</f>
        <v>0</v>
      </c>
      <c r="MG24" s="6">
        <f>COUNTIFS(Table31[Country],Tabela1[[#This Row],[Country]],Table31[50kg Classification],"&gt;0")</f>
        <v>0</v>
      </c>
      <c r="MH24" s="6">
        <f>COUNTIFS(Table31[Country],Tabela1[[#This Row],[Country]],Table31[53kg Classification],"&gt;0")</f>
        <v>0</v>
      </c>
      <c r="MI24" s="6">
        <f>COUNTIFS(Table31[Country],Tabela1[[#This Row],[Country]],Table31[57kg Classification],"&gt;0")</f>
        <v>0</v>
      </c>
      <c r="MJ24" s="6">
        <f>COUNTIFS(Table31[Country],Tabela1[[#This Row],[Country]],Table31[62kg Classification],"&gt;0")</f>
        <v>0</v>
      </c>
      <c r="MK24" s="6">
        <f>COUNTIFS(Table31[Country],Tabela1[[#This Row],[Country]],Table31[68kg Classification],"&gt;0")</f>
        <v>0</v>
      </c>
      <c r="ML24" s="6">
        <f>COUNTIFS(Table31[Country],Tabela1[[#This Row],[Country]],Table31[76kg Classification],"&gt;0")</f>
        <v>0</v>
      </c>
      <c r="MM24" s="6">
        <f>COUNTIFS(Table102[Country],Tabela1[[#This Row],[Country]],Table102[Downhill Classification],"&gt;0")</f>
        <v>1</v>
      </c>
      <c r="MN24" s="6">
        <f>COUNTIFS(Table102105[Country],Tabela1[[#This Row],[Country]],Table102105[Downhill Classification],"&gt;0")</f>
        <v>0</v>
      </c>
      <c r="MO24" s="6">
        <f>COUNTIFS(Table102[Country],Tabela1[[#This Row],[Country]],Table102[Giant Slalom Classification],"&gt;0")</f>
        <v>1</v>
      </c>
      <c r="MP24" s="6">
        <f>COUNTIFS(Table102105[Country],Tabela1[[#This Row],[Country]],Table102105[Giant Slalom Classification],"&gt;0")</f>
        <v>0</v>
      </c>
      <c r="MQ24" s="6">
        <f>COUNTIFS(Table102[Country],Tabela1[[#This Row],[Country]],Table102[Slalom Classification],"&gt;0")</f>
        <v>0</v>
      </c>
      <c r="MR24" s="6">
        <f>COUNTIFS(Table102105[Country],Tabela1[[#This Row],[Country]],Table102105[Slalom Classification],"&gt;0")</f>
        <v>1</v>
      </c>
      <c r="MS24" s="6">
        <f>COUNTIFS(Table102[Country],Tabela1[[#This Row],[Country]],Table102[Super-G Classification],"&gt;0")</f>
        <v>1</v>
      </c>
      <c r="MT24" s="6">
        <f>COUNTIFS(Table102105[Country],Tabela1[[#This Row],[Country]],Table102105[Super-G Classification],"&gt;0")</f>
        <v>0</v>
      </c>
      <c r="MU24" s="6">
        <f>COUNTIFS(Table105[Country],Tabela1[[#This Row],[Country]],Table105[Men''s Combined Classification],"&gt;0")</f>
        <v>0</v>
      </c>
      <c r="MV24" s="6">
        <f>COUNTIFS(Table105[Country],Tabela1[[#This Row],[Country]],Table105[Women''s Combined Classification],"&gt;0")</f>
        <v>0</v>
      </c>
      <c r="MW24" s="6">
        <f>COUNTIFS(Table106[Country],Tabela1[[#This Row],[Country]],Table106[Individual Classification],"&gt;0")</f>
        <v>2</v>
      </c>
      <c r="MX24" s="6">
        <f>COUNTIFS(Table106109[Country],Tabela1[[#This Row],[Country]],Table106109[Individual Classification],"&gt;0")</f>
        <v>3</v>
      </c>
      <c r="MY24" s="6">
        <f>COUNTIFS(Table106[Country],Tabela1[[#This Row],[Country]],Table106[Mass Start Classification],"&gt;0")</f>
        <v>0</v>
      </c>
      <c r="MZ24" s="6">
        <f>COUNTIFS(Table106109[Country],Tabela1[[#This Row],[Country]],Table106109[Mass Start Classification],"&gt;0")</f>
        <v>1</v>
      </c>
      <c r="NA24" s="6">
        <f>COUNTIFS(Table106[Country],Tabela1[[#This Row],[Country]],Table106[Pursuit Classification],"&gt;0")</f>
        <v>1</v>
      </c>
      <c r="NB24" s="6">
        <f>COUNTIFS(Table106109[Country],Tabela1[[#This Row],[Country]],Table106109[Pursuit Classification],"&gt;0")</f>
        <v>2</v>
      </c>
      <c r="NC24" s="6">
        <f>COUNTIFS(Table106[Country],Tabela1[[#This Row],[Country]],Table106[Sprint Classification],"&gt;0")</f>
        <v>2</v>
      </c>
      <c r="ND24" s="6">
        <f>COUNTIFS(Table106109[Country],Tabela1[[#This Row],[Country]],Table106109[Sprint Classification],"&gt;0")</f>
        <v>3</v>
      </c>
      <c r="NE24" s="6">
        <f>COUNTIFS(Table109[Country],Tabela1[[#This Row],[Country]],Table109[Men''s Relay Classification],"&gt;0")</f>
        <v>1</v>
      </c>
      <c r="NF24" s="6">
        <f>COUNTIFS(Table109[Country],Tabela1[[#This Row],[Country]],Table109[Women''s Relay Classification],"&gt;0")</f>
        <v>1</v>
      </c>
      <c r="NG24" s="6">
        <f>COUNTIFS(Table109[Country],Tabela1[[#This Row],[Country]],Table109[Mixed Relay Classification],"&gt;0")</f>
        <v>1</v>
      </c>
      <c r="NH24" s="6">
        <f>COUNTIFS(Table110[Country],Tabela1[[#This Row],[Country]],Table110[Monobob Classification],"&gt;0")</f>
        <v>0</v>
      </c>
      <c r="NI24" s="6">
        <f>COUNTIFS(Table111[Country],Tabela1[[#This Row],[Country]],Table111[Men''s Classification],"&gt;0")</f>
        <v>0</v>
      </c>
      <c r="NJ24" s="6">
        <f>COUNTIFS(Table111[Country],Tabela1[[#This Row],[Country]],Table111[Women''s Classification],"&gt;0")</f>
        <v>0</v>
      </c>
      <c r="NK24" s="6">
        <f>COUNTIFS(Table112[Country],Tabela1[[#This Row],[Country]],Table112[Men''s Four Classification],"&gt;0")</f>
        <v>1</v>
      </c>
      <c r="NL24" s="6">
        <f>COUNTIFS(Table113[Country],Tabela1[[#This Row],[Country]],Table113[Classical Classification],"&gt;0")</f>
        <v>0</v>
      </c>
      <c r="NM24" s="6">
        <f>COUNTIFS(Table113116[Country],Tabela1[[#This Row],[Country]],Table113116[Classical Classification],"&gt;0")</f>
        <v>1</v>
      </c>
      <c r="NN24" s="6">
        <f>COUNTIFS(Table113[Country],Tabela1[[#This Row],[Country]],Table113[Freestyle Classification],"&gt;0")</f>
        <v>0</v>
      </c>
      <c r="NO24" s="6">
        <f>COUNTIFS(Table113116[Country],Tabela1[[#This Row],[Country]],Table113116[Freestyle Classification],"&gt;0")</f>
        <v>2</v>
      </c>
      <c r="NP24" s="6">
        <f>COUNTIFS(Table117[Country],Tabela1[[#This Row],[Country]],Table117[Men''s Relay Classification],"&gt;0")</f>
        <v>0</v>
      </c>
      <c r="NQ24" s="6">
        <f>COUNTIFS(Table117[Country],Tabela1[[#This Row],[Country]],Table117[Women''s Relay Classification],"&gt;0")</f>
        <v>1</v>
      </c>
      <c r="NR24" s="6">
        <f>COUNTIFS(Table113[Country],Tabela1[[#This Row],[Country]],Table113[Skiathlon Classification],"&gt;0")</f>
        <v>0</v>
      </c>
      <c r="NS24" s="6">
        <f>COUNTIFS(Table113116[Country],Tabela1[[#This Row],[Country]],Table113116[Skiathlon Classification],"&gt;0")</f>
        <v>1</v>
      </c>
      <c r="NT24" s="6">
        <f>COUNTIFS(Table113[Country],Tabela1[[#This Row],[Country]],Table113[Sprint Classification],"&gt;0")</f>
        <v>0</v>
      </c>
      <c r="NU24" s="6">
        <f>COUNTIFS(Table113116[Country],Tabela1[[#This Row],[Country]],Table113116[Sprint Classification],"&gt;0")</f>
        <v>1</v>
      </c>
      <c r="NV24" s="6">
        <f>COUNTIFS(Table116[Country],Tabela1[[#This Row],[Country]],Table116[Men''s Team Sprint Classification],"&gt;0")</f>
        <v>0</v>
      </c>
      <c r="NW24" s="6">
        <f>COUNTIFS(Table116[Country],Tabela1[[#This Row],[Country]],Table116[Women''s Team Sprint Classification],"&gt;0")</f>
        <v>1</v>
      </c>
      <c r="NX24" s="6">
        <f>COUNTIFS(Table119[Country],Tabela1[[#This Row],[Country]],Table119[Men''s Classification],"&gt;0")</f>
        <v>0</v>
      </c>
      <c r="NY24" s="6">
        <f>COUNTIFS(Table119[Country],Tabela1[[#This Row],[Country]],Table119[Women''s Classification],"&gt;0")</f>
        <v>0</v>
      </c>
      <c r="NZ24" s="6">
        <f>COUNTIFS(Table118[Country],Tabela1[[#This Row],[Country]],Table118[Mixed Classification],"&gt;0")</f>
        <v>0</v>
      </c>
      <c r="OA24" s="6">
        <f>COUNTIFS(Table120[Country],Tabela1[[#This Row],[Country]],Table120[Classification],"&gt;0")</f>
        <v>0</v>
      </c>
      <c r="OB24" s="6">
        <f>COUNTIFS(Table120123[Country],Tabela1[[#This Row],[Country]],Table120123[Classification],"&gt;0")</f>
        <v>0</v>
      </c>
      <c r="OC24" s="6">
        <f>COUNTIFS(Table123[Country],Tabela1[[#This Row],[Country]],Table123[Ice Dance Classification],"&gt;0")</f>
        <v>0</v>
      </c>
      <c r="OD24" s="6">
        <f>COUNTIFS(Table123[Country],Tabela1[[#This Row],[Country]],Table123[Pair Skating Classification],"&gt;0")</f>
        <v>0</v>
      </c>
      <c r="OE24" s="6">
        <f>COUNTIFS(Table124[Country],Tabela1[[#This Row],[Country]],Table124[Mixed Classification],"&gt;0")</f>
        <v>0</v>
      </c>
      <c r="OF24" s="6">
        <f>COUNTIFS(Table125[Country],Tabela1[[#This Row],[Country]],Table125[Aerials Classification],"&gt;0")</f>
        <v>0</v>
      </c>
      <c r="OG24" s="6">
        <f>COUNTIFS(Table125128[Country],Tabela1[[#This Row],[Country]],Table125128[Aerials Classification],"&gt;0")</f>
        <v>0</v>
      </c>
      <c r="OH24" s="6">
        <f>COUNTIFS(Table128[Country],Tabela1[[#This Row],[Country]],Table128[Mixed Aerials Classification],"&gt;0")</f>
        <v>0</v>
      </c>
      <c r="OI24" s="6">
        <f>COUNTIFS(Table125[Country],Tabela1[[#This Row],[Country]],Table125[Big Air Classification],"&gt;0")</f>
        <v>0</v>
      </c>
      <c r="OJ24" s="6">
        <f>COUNTIFS(Table125128[Country],Tabela1[[#This Row],[Country]],Table125128[Big Air Classification],"&gt;0")</f>
        <v>0</v>
      </c>
      <c r="OK24" s="6">
        <f>COUNTIFS(Table125[Country],Tabela1[[#This Row],[Country]],Table125[Dual Moguls Classification],"&gt;0")</f>
        <v>0</v>
      </c>
      <c r="OL24" s="6">
        <f>COUNTIFS(Table125128[Country],Tabela1[[#This Row],[Country]],Table125128[Dual Moguls Classification],"&gt;0")</f>
        <v>0</v>
      </c>
      <c r="OM24" s="6">
        <f>COUNTIFS(Table125[Country],Tabela1[[#This Row],[Country]],Table125[Halfpipe Classification],"&gt;0")</f>
        <v>0</v>
      </c>
      <c r="ON24" s="6">
        <f>COUNTIFS(Table125128[Country],Tabela1[[#This Row],[Country]],Table125128[Halfpipe Classification],"&gt;0")</f>
        <v>0</v>
      </c>
      <c r="OO24" s="6">
        <f>COUNTIFS(Table125[Country],Tabela1[[#This Row],[Country]],Table125[Moguls Classification],"&gt;0")</f>
        <v>0</v>
      </c>
      <c r="OP24" s="6">
        <f>COUNTIFS(Table125128[Country],Tabela1[[#This Row],[Country]],Table125128[Moguls Classification],"&gt;0")</f>
        <v>0</v>
      </c>
      <c r="OQ24" s="6">
        <f>COUNTIFS(Table125[Country],Tabela1[[#This Row],[Country]],Table125[Ski Cross Classification],"&gt;0")</f>
        <v>0</v>
      </c>
      <c r="OR24" s="6">
        <f>COUNTIFS(Table125128[Country],Tabela1[[#This Row],[Country]],Table125128[Ski Cross Classification],"&gt;0")</f>
        <v>0</v>
      </c>
      <c r="OS24" s="6">
        <f>COUNTIFS(Table125[Country],Tabela1[[#This Row],[Country]],Table125[Slopestyle Classification],"&gt;0")</f>
        <v>0</v>
      </c>
      <c r="OT24" s="6">
        <f>COUNTIFS(Table125128[Country],Tabela1[[#This Row],[Country]],Table125128[Slopestyle Classification],"&gt;0")</f>
        <v>0</v>
      </c>
      <c r="OU24" s="6">
        <f>COUNTIFS(Table119131[Country],Tabela1[[#This Row],[Country]],Table119131[Men''s Classification],"&gt;0")</f>
        <v>1</v>
      </c>
      <c r="OV24" s="6">
        <f>COUNTIFS(Table119131[Country],Tabela1[[#This Row],[Country]],Table119131[Women''s Classification],"&gt;0")</f>
        <v>0</v>
      </c>
      <c r="OW24" s="6">
        <f>COUNTIFS(Table131[Country],Tabela1[[#This Row],[Country]],Table131[Classification],"&gt;0")</f>
        <v>2</v>
      </c>
      <c r="OX24" s="6">
        <f>COUNTIFS(Table131134[Country],Tabela1[[#This Row],[Country]],Table131134[Classification],"&gt;0")</f>
        <v>2</v>
      </c>
      <c r="OY24" s="6">
        <f>COUNTIFS(Table134[Country],Tabela1[[#This Row],[Country]],Table134[Men''s Classification],"&gt;0")</f>
        <v>2</v>
      </c>
      <c r="OZ24" s="6">
        <f>COUNTIFS(Table134[Country],Tabela1[[#This Row],[Country]],Table134[Women''s Classification],"&gt;0")</f>
        <v>1</v>
      </c>
      <c r="PA24" s="6">
        <f>COUNTIFS(Table135[Country],Tabela1[[#This Row],[Country]],Table135[Mixed Relay Classification],"&gt;0")</f>
        <v>1</v>
      </c>
      <c r="PB24" s="6">
        <f>COUNTIFS(Table136[Country],Tabela1[[#This Row],[Country]],Table136[Individual Classification],"&gt;0")</f>
        <v>0</v>
      </c>
      <c r="PC24" s="6">
        <f>COUNTIFS(Table136[Country],Tabela1[[#This Row],[Country]],Table136[Sprint Classification],"&gt;0")</f>
        <v>0</v>
      </c>
      <c r="PD24" s="6">
        <f>COUNTIFS(Table137[Country],Tabela1[[#This Row],[Country]],Table137[Men''s Team Sprint Large Hill Classification],"&gt;0")</f>
        <v>0</v>
      </c>
      <c r="PE24" s="6">
        <f>COUNTIFS(Table138[Country],Tabela1[[#This Row],[Country]],Table138[500m Classification],"&gt;0")</f>
        <v>1</v>
      </c>
      <c r="PF24" s="6">
        <f>COUNTIFS(Table138141[Country],Tabela1[[#This Row],[Country]],Table138141[500m Classification],"&gt;0")</f>
        <v>0</v>
      </c>
      <c r="PG24" s="6">
        <f>COUNTIFS(Table138[Country],Tabela1[[#This Row],[Country]],Table138[1000m Classification],"&gt;0")</f>
        <v>1</v>
      </c>
      <c r="PH24" s="6">
        <f>COUNTIFS(Table138141[Country],Tabela1[[#This Row],[Country]],Table138141[1000m Classification],"&gt;0")</f>
        <v>0</v>
      </c>
      <c r="PI24" s="6">
        <f>COUNTIFS(Table138[Country],Tabela1[[#This Row],[Country]],Table138[1500m Classification],"&gt;0")</f>
        <v>0</v>
      </c>
      <c r="PJ24" s="6">
        <f>COUNTIFS(Table138141[Country],Tabela1[[#This Row],[Country]],Table138141[1500m Classification],"&gt;0")</f>
        <v>0</v>
      </c>
      <c r="PK24" s="6">
        <f>COUNTIFS(Table141[Country],Tabela1[[#This Row],[Country]],Table141[Men''s 5000m Relay Classification],"&gt;0")</f>
        <v>0</v>
      </c>
      <c r="PL24" s="6">
        <f>COUNTIFS(Table141[Country],Tabela1[[#This Row],[Country]],Table141[Women''s 3000m Relay Classification],"&gt;0")</f>
        <v>0</v>
      </c>
      <c r="PM24" s="6">
        <f>COUNTIFS(Table141[Country],Tabela1[[#This Row],[Country]],Table141[Mixed 2000m Relay Classification],"&gt;0")</f>
        <v>0</v>
      </c>
      <c r="PN24" s="6">
        <f>COUNTIFS(Table142[Country],Tabela1[[#This Row],[Country]],Table142[Classification],"&gt;0")</f>
        <v>1</v>
      </c>
      <c r="PO24" s="6">
        <f>COUNTIFS(Table142145[Country],Tabela1[[#This Row],[Country]],Table142145[Classification],"&gt;0")</f>
        <v>0</v>
      </c>
      <c r="PP24" s="6">
        <f>COUNTIFS(Tabela15[Country],Tabela1[[#This Row],[Country]],Tabela15[Mixed Team Classification],"&gt;0")</f>
        <v>1</v>
      </c>
      <c r="PQ24" s="6">
        <f>COUNTIFS(Table145[Country],Tabela1[[#This Row],[Country]],Table145[Large Hill Classification],"&gt;0")</f>
        <v>0</v>
      </c>
      <c r="PR24" s="6">
        <f>COUNTIFS(Table145[Country],Tabela1[[#This Row],[Country]],Table145[Normal Hill Classification],"&gt;0")</f>
        <v>0</v>
      </c>
      <c r="PS24" s="6">
        <f>COUNTIFS(Table145148[Country],Tabela1[[#This Row],[Country]],Table145148[Large Hill Classification],"&gt;0")</f>
        <v>0</v>
      </c>
      <c r="PT24" s="6">
        <f>COUNTIFS(Table145148[Country],Tabela1[[#This Row],[Country]],Table145148[Normal Hill Classification],"&gt;0")</f>
        <v>0</v>
      </c>
      <c r="PU24" s="6">
        <f>COUNTIFS(Table148[Country],Tabela1[[#This Row],[Country]],Table148[Men''s Super Team Classification],"&gt;0")</f>
        <v>0</v>
      </c>
      <c r="PV24" s="6">
        <f>COUNTIFS(Tabela114[Country],Tabela1[[#This Row],[Country]],Tabela114[Mixed Normal Hill Classification],"&gt;0")</f>
        <v>0</v>
      </c>
      <c r="PW24" s="6">
        <f>COUNTIFS(Tabela50[Country],Tabela1[[#This Row],[Country]],Tabela50[Sprint Classification],"&gt;0")</f>
        <v>0</v>
      </c>
      <c r="PX24" s="6">
        <f>COUNTIFS(Tabela50101[Country],Tabela1[[#This Row],[Country]],Tabela50101[Sprint Classification],"&gt;0")</f>
        <v>0</v>
      </c>
      <c r="PY24" s="6">
        <f>COUNTIFS(Tabela103[Country],Tabela1[[#This Row],[Country]],Tabela103[Mixed Relay Classification],"&gt;0")</f>
        <v>0</v>
      </c>
      <c r="PZ24" s="6">
        <f>COUNTIFS(Table149[Country],Tabela1[[#This Row],[Country]],Table149[Big Air Classification],"&gt;0")</f>
        <v>0</v>
      </c>
      <c r="QA24" s="6">
        <f>COUNTIFS(Table149152[Country],Tabela1[[#This Row],[Country]],Table149152[Big Air Classification],"&gt;0")</f>
        <v>0</v>
      </c>
      <c r="QB24" s="6">
        <f>COUNTIFS(Table149[Country],Tabela1[[#This Row],[Country]],Table149[Halfpipe Classification],"&gt;0")</f>
        <v>0</v>
      </c>
      <c r="QC24" s="6">
        <f>COUNTIFS(Table149152[Country],Tabela1[[#This Row],[Country]],Table149152[Halfpipe Classification],"&gt;0")</f>
        <v>0</v>
      </c>
      <c r="QD24" s="6">
        <f>COUNTIFS(Table149[Country],Tabela1[[#This Row],[Country]],Table149[Parallel Giant Slalom Classification],"&gt;0")</f>
        <v>0</v>
      </c>
      <c r="QE24" s="6">
        <f>COUNTIFS(Table149152[Country],Tabela1[[#This Row],[Country]],Table149152[Parallel Giant Slalom Classification],"&gt;0")</f>
        <v>0</v>
      </c>
      <c r="QF24" s="6">
        <f>COUNTIFS(Table149[Country],Tabela1[[#This Row],[Country]],Table149[Slopestyle Classification],"&gt;0")</f>
        <v>0</v>
      </c>
      <c r="QG24" s="6">
        <f>COUNTIFS(Table149152[Country],Tabela1[[#This Row],[Country]],Table149152[Slopestyle Classification],"&gt;0")</f>
        <v>0</v>
      </c>
      <c r="QH24" s="6">
        <f>COUNTIFS(Table149[Country],Tabela1[[#This Row],[Country]],Table149[Snowboard Cross Classification],"&gt;0")</f>
        <v>0</v>
      </c>
      <c r="QI24" s="6">
        <f>COUNTIFS(Table149152[Country],Tabela1[[#This Row],[Country]],Table149152[Snowboard Cross Classification],"&gt;0")</f>
        <v>0</v>
      </c>
      <c r="QJ24" s="6">
        <f>COUNTIFS(Table153[Country],Tabela1[[#This Row],[Country]],Table153[Mixed Team Snowboard Cross Classification],"&gt;0")</f>
        <v>0</v>
      </c>
      <c r="QK24" s="6">
        <f>COUNTIFS(Table154[Country],Tabela1[[#This Row],[Country]],Table154[500m Classification],"&gt;0")</f>
        <v>0</v>
      </c>
      <c r="QL24" s="6">
        <f>COUNTIFS(Table154157[Country],Tabela1[[#This Row],[Country]],Table154157[500m Classification],"&gt;0")</f>
        <v>0</v>
      </c>
      <c r="QM24" s="6">
        <f>COUNTIFS(Table154[Country],Tabela1[[#This Row],[Country]],Table154[1000m Classification],"&gt;0")</f>
        <v>0</v>
      </c>
      <c r="QN24" s="6">
        <f>COUNTIFS(Table154157[Country],Tabela1[[#This Row],[Country]],Table154157[1000m Classification],"&gt;0")</f>
        <v>0</v>
      </c>
      <c r="QO24" s="6">
        <f>COUNTIFS(Table154[Country],Tabela1[[#This Row],[Country]],Table154[1500m Classification],"&gt;0")</f>
        <v>0</v>
      </c>
      <c r="QP24" s="6">
        <f>COUNTIFS(Table154157[Country],Tabela1[[#This Row],[Country]],Table154157[1500m Classification],"&gt;0")</f>
        <v>0</v>
      </c>
      <c r="QQ24" s="6">
        <f>COUNTIFS(Table154157[Country],Tabela1[[#This Row],[Country]],Table154157[3000m Classification],"&gt;0")</f>
        <v>0</v>
      </c>
      <c r="QR24" s="6">
        <f>COUNTIFS(Table154[Country],Tabela1[[#This Row],[Country]],Table154[5000m Classification],"&gt;0")</f>
        <v>0</v>
      </c>
      <c r="QS24" s="6">
        <f>COUNTIFS(Table154157[Country],Tabela1[[#This Row],[Country]],Table154157[5000m Classification],"&gt;0")</f>
        <v>0</v>
      </c>
      <c r="QT24" s="6">
        <f>COUNTIFS(Table154[Country],Tabela1[[#This Row],[Country]],Table154[10000m Classification],"&gt;0")</f>
        <v>0</v>
      </c>
      <c r="QU24" s="6">
        <f>COUNTIFS(Table154[Country],Tabela1[[#This Row],[Country]],Table154[Mass Start Classification],"&gt;0")</f>
        <v>0</v>
      </c>
      <c r="QV24" s="6">
        <f>COUNTIFS(Table154157[Country],Tabela1[[#This Row],[Country]],Table154157[Mass Start Classification],"&gt;0")</f>
        <v>0</v>
      </c>
      <c r="QW24" s="6">
        <f>COUNTIFS(Table157[Country],Tabela1[[#This Row],[Country]],Table157[Men''s Pursuit Classification],"&gt;0")</f>
        <v>0</v>
      </c>
      <c r="QX24" s="6">
        <f>COUNTIFS(Table157[Country],Tabela1[[#This Row],[Country]],Table157[Women''s Pursuit Classification],"&gt;0")</f>
        <v>0</v>
      </c>
      <c r="QY24" s="3" t="s">
        <v>615</v>
      </c>
    </row>
    <row r="25" spans="1:467" x14ac:dyDescent="0.3">
      <c r="A25" s="6">
        <v>24</v>
      </c>
      <c r="B25" s="6" t="s">
        <v>326</v>
      </c>
      <c r="C25" t="e" vm="24">
        <f>IF(ISBLANK(Tabela1[[#This Row],[Image Link]]), "", _xlfn.IMAGE(Tabela1[[#This Row],[Image Link]],1,1))</f>
        <v>#VALUE!</v>
      </c>
      <c r="D25" s="6">
        <f>SUM(Tabela1[[#This Row],[Archery - Men''s Individual Recurve]:[Speed Skating - Women''s Team Pursuit]])</f>
        <v>51</v>
      </c>
      <c r="E25" s="6">
        <f>COUNTIF(Tabela1[[#This Row],[Archery - Men''s Individual Recurve]:[Speed Skating - Women''s Team Pursuit]],"&gt;0")</f>
        <v>47</v>
      </c>
      <c r="F25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25" s="6">
        <f>SUM(Tabela1[[#This Row],[Archery - Men''s Individual Recurve]:[Wrestling - Women''s Freestyle 76kg]])</f>
        <v>51</v>
      </c>
      <c r="H25" s="6">
        <f>SUM(Tabela1[[#This Row],[Alpine Skiing - Men''s Downhill]:[Speed Skating - Women''s Team Pursuit]])</f>
        <v>0</v>
      </c>
      <c r="I25" s="6">
        <f>Tabela1[[#This Row],[Summer Gold Medals]]+Tabela1[[#This Row],[Winter Gold Medals]]</f>
        <v>1</v>
      </c>
      <c r="J25" s="6">
        <f>Tabela1[[#This Row],[Summer Silver Medals]]+Tabela1[[#This Row],[Winter Silver Medals]]</f>
        <v>1</v>
      </c>
      <c r="K25" s="6">
        <f>Tabela1[[#This Row],[Summer Bronze Medals]]+Tabela1[[#This Row],[Winter Bronze Medals]]</f>
        <v>1</v>
      </c>
      <c r="L25" s="6">
        <f>SUM(Tabela1[[#This Row],[Total Gold Medals]:[Total Bronze Medals]])</f>
        <v>3</v>
      </c>
      <c r="M25" s="6">
        <v>1</v>
      </c>
      <c r="N25" s="6">
        <v>1</v>
      </c>
      <c r="O25" s="6">
        <v>1</v>
      </c>
      <c r="P25" s="6">
        <f>SUM(Tabela1[[#This Row],[Summer Gold Medals]:[Summer Bronze Medals]])</f>
        <v>3</v>
      </c>
      <c r="Q25" s="6"/>
      <c r="R25" s="6"/>
      <c r="S25" s="6"/>
      <c r="T25" s="6">
        <f>Tabela1[[#This Row],[Winter Gold Medals]]+Tabela1[[#This Row],[Winter Silver Medals]]+Tabela1[[#This Row],[Winter Bronze Medals]]</f>
        <v>0</v>
      </c>
      <c r="U25" s="7">
        <f>Tabela1[[#This Row],[Total Medals]]/Tabela1[[#This Row],[Total Quotas]]</f>
        <v>5.8823529411764705E-2</v>
      </c>
      <c r="V25" s="6">
        <f>COUNTIFS(Table3[Country],Tabela1[[#This Row],[Country]],Table3[Recurve Classification],"&gt;0")</f>
        <v>0</v>
      </c>
      <c r="W25" s="6">
        <f>COUNTIFS(Table33[Country],Tabela1[[#This Row],[Country]],Table33[Recurve Classification],"&gt;0")</f>
        <v>0</v>
      </c>
      <c r="X25" s="6">
        <f>COUNTIFS(Table35[Country],Tabela1[[#This Row],[Country]],Table35[Men''s Team Recurve Classification],"&gt;0")</f>
        <v>0</v>
      </c>
      <c r="Y25" s="6">
        <f>COUNTIFS(Table35[Country],Tabela1[[#This Row],[Country]],Table35[Women''s Team Recurve Classification],"&gt;0")</f>
        <v>0</v>
      </c>
      <c r="Z25" s="6">
        <f>COUNTIFS(Tabela88[Country],Tabela1[[#This Row],[Country]],Tabela88[Mixed Team Recurve Classification],"&gt;0")</f>
        <v>0</v>
      </c>
      <c r="AA25" s="6">
        <f>COUNTIFS(Table36[Country],Tabela1[[#This Row],[Country]],Table36[Classification],"&gt;0")</f>
        <v>1</v>
      </c>
      <c r="AB25" s="6">
        <f>COUNTIFS(Table37[Country],Tabela1[[#This Row],[Country]],Table37[Classification],"&gt;0")</f>
        <v>1</v>
      </c>
      <c r="AC25" s="6">
        <f>COUNTIFS(Table4[Country],Tabela1[[#This Row],[Country]],Table4[100m Classification],"&gt;0")</f>
        <v>0</v>
      </c>
      <c r="AD25" s="6">
        <f>COUNTIFS(Table5[Country],Tabela1[[#This Row],[Country]],Table5[100m Classification],"&gt;0")</f>
        <v>0</v>
      </c>
      <c r="AE25" s="6">
        <f>COUNTIFS(Table4[Country],Tabela1[[#This Row],[Country]],Table4[200m Classification],"&gt;0")</f>
        <v>0</v>
      </c>
      <c r="AF25" s="6">
        <f>COUNTIFS(Table5[Country],Tabela1[[#This Row],[Country]],Table5[200m Classification],"&gt;0")</f>
        <v>0</v>
      </c>
      <c r="AG25" s="6">
        <f>COUNTIFS(Table4[Country],Tabela1[[#This Row],[Country]],Table4[400m Classification],"&gt;0")</f>
        <v>0</v>
      </c>
      <c r="AH25" s="6">
        <f>COUNTIFS(Table5[Country],Tabela1[[#This Row],[Country]],Table5[400m Classification],"&gt;0")</f>
        <v>0</v>
      </c>
      <c r="AI25" s="6">
        <f>COUNTIFS(Table4[Country],Tabela1[[#This Row],[Country]],Table4[800m Classification],"&gt;0")</f>
        <v>0</v>
      </c>
      <c r="AJ25" s="6">
        <f>COUNTIFS(Table5[Country],Tabela1[[#This Row],[Country]],Table5[800m Classification],"&gt;0")</f>
        <v>0</v>
      </c>
      <c r="AK25" s="6">
        <f>COUNTIFS(Table4[Country],Tabela1[[#This Row],[Country]],Table4[1500m Classification],"&gt;0")</f>
        <v>0</v>
      </c>
      <c r="AL25" s="6">
        <f>COUNTIFS(Table5[Country],Tabela1[[#This Row],[Country]],Table5[1500m Classification],"&gt;0")</f>
        <v>0</v>
      </c>
      <c r="AM25" s="6">
        <f>COUNTIFS(Table4[Country],Tabela1[[#This Row],[Country]],Table4[5000m Classification],"&gt;0")</f>
        <v>0</v>
      </c>
      <c r="AN25" s="6">
        <f>COUNTIFS(Table5[Country],Tabela1[[#This Row],[Country]],Table5[5000m Classification],"&gt;0")</f>
        <v>0</v>
      </c>
      <c r="AO25" s="6">
        <f>COUNTIFS(Table4[Country],Tabela1[[#This Row],[Country]],Table4[10000m Classification],"&gt;0")</f>
        <v>0</v>
      </c>
      <c r="AP25" s="6">
        <f>COUNTIFS(Table5[Country],Tabela1[[#This Row],[Country]],Table5[10000m Classification],"&gt;0")</f>
        <v>0</v>
      </c>
      <c r="AQ25" s="6">
        <f>COUNTIFS(Table4[Country],Tabela1[[#This Row],[Country]],Table4[110m Hurdles Classification],"&gt;0")</f>
        <v>0</v>
      </c>
      <c r="AR25" s="6">
        <f>COUNTIFS(Table5[Country],Tabela1[[#This Row],[Country]],Table5[100m Hurdles Classification],"&gt;0")</f>
        <v>0</v>
      </c>
      <c r="AS25" s="6">
        <f>COUNTIFS(Table4[Country],Tabela1[[#This Row],[Country]],Table4[400m Hurdles Classification],"&gt;0")</f>
        <v>0</v>
      </c>
      <c r="AT25" s="6">
        <f>COUNTIFS(Table5[Country],Tabela1[[#This Row],[Country]],Table5[400m Hurdles Classification],"&gt;0")</f>
        <v>0</v>
      </c>
      <c r="AU25" s="6">
        <f>COUNTIFS(Table4[Country],Tabela1[[#This Row],[Country]],Table4[3000m Steeplechase Classification],"&gt;0")</f>
        <v>0</v>
      </c>
      <c r="AV25" s="6">
        <f>COUNTIFS(Table5[Country],Tabela1[[#This Row],[Country]],Table5[3000m Steeplechase Classification],"&gt;0")</f>
        <v>0</v>
      </c>
      <c r="AW25" s="6">
        <f>COUNTIFS(Table27[Country],Tabela1[[#This Row],[Country]],Table27[Men''s 4x100m Relay Classification],"&gt;0")</f>
        <v>0</v>
      </c>
      <c r="AX25" s="6">
        <f>COUNTIFS(Table27[Country],Tabela1[[#This Row],[Country]],Table27[Women''s 4x100m Relay Classification],"&gt;0")</f>
        <v>0</v>
      </c>
      <c r="AY25" s="6">
        <f>COUNTIFS(Table27[Country],Tabela1[[#This Row],[Country]],Table27[Men''s 4x400m Relay Classification],"&gt;0")</f>
        <v>0</v>
      </c>
      <c r="AZ25" s="6">
        <f>COUNTIFS(Table27[Country],Tabela1[[#This Row],[Country]],Table27[Women''s 4x400m Relay Classification],"&gt;0")</f>
        <v>0</v>
      </c>
      <c r="BA25" s="6">
        <f>COUNTIFS(Table27[Country],Tabela1[[#This Row],[Country]],Table27[Mixed 4x400m Relay Classification],"&gt;0")</f>
        <v>0</v>
      </c>
      <c r="BB25" s="6">
        <f>COUNTIFS(Table4[Country],Tabela1[[#This Row],[Country]],Table4[Marathon Classification],"&gt;0")</f>
        <v>0</v>
      </c>
      <c r="BC25" s="6">
        <f>COUNTIFS(Table5[Country],Tabela1[[#This Row],[Country]],Table5[Marathon Classification],"&gt;0")</f>
        <v>0</v>
      </c>
      <c r="BD25" s="6">
        <f>COUNTIFS(Table4[Country],Tabela1[[#This Row],[Country]],Table4[20km Race Walk Classification],"&gt;0")</f>
        <v>0</v>
      </c>
      <c r="BE25" s="6">
        <f>COUNTIFS(Table5[Country],Tabela1[[#This Row],[Country]],Table5[20km Race Walk Classification],"&gt;0")</f>
        <v>0</v>
      </c>
      <c r="BF25" s="6">
        <f>COUNTIFS(Tabela96[Country],Tabela1[[#This Row],[Country]],Tabela96[Mixed Marathon Race Walk Relay Classification],"&gt;0")</f>
        <v>0</v>
      </c>
      <c r="BG25" s="6">
        <f>COUNTIFS(Table4[Country],Tabela1[[#This Row],[Country]],Table4[Discus Throw Classification],"&gt;0")</f>
        <v>0</v>
      </c>
      <c r="BH25" s="6">
        <f>COUNTIFS(Table5[Country],Tabela1[[#This Row],[Country]],Table5[Discus Throw Classification],"&gt;0")</f>
        <v>0</v>
      </c>
      <c r="BI25" s="6">
        <f>COUNTIFS(Table4[Country],Tabela1[[#This Row],[Country]],Table4[Hammer Throw Classification],"&gt;0")</f>
        <v>0</v>
      </c>
      <c r="BJ25" s="6">
        <f>COUNTIFS(Table5[Country],Tabela1[[#This Row],[Country]],Table5[Hammer Throw Classification],"&gt;0")</f>
        <v>0</v>
      </c>
      <c r="BK25" s="6">
        <f>COUNTIFS(Table4[Country],Tabela1[[#This Row],[Country]],Table4[High Jump Classification],"&gt;0")</f>
        <v>0</v>
      </c>
      <c r="BL25" s="6">
        <f>COUNTIFS(Table5[Country],Tabela1[[#This Row],[Country]],Table5[High Jump Classification],"&gt;0")</f>
        <v>0</v>
      </c>
      <c r="BM25" s="6">
        <f>COUNTIFS(Table4[Country],Tabela1[[#This Row],[Country]],Table4[Javelin Throw Classification],"&gt;0")</f>
        <v>2</v>
      </c>
      <c r="BN25" s="6">
        <f>COUNTIFS(Table5[Country],Tabela1[[#This Row],[Country]],Table5[Javelin Throw Classification],"&gt;0")</f>
        <v>0</v>
      </c>
      <c r="BO25" s="6">
        <f>COUNTIFS(Table4[Country],Tabela1[[#This Row],[Country]],Table4[Long Jump Classification],"&gt;0")</f>
        <v>0</v>
      </c>
      <c r="BP25" s="6">
        <f>COUNTIFS(Table5[Country],Tabela1[[#This Row],[Country]],Table5[Long Jump Classification],"&gt;0")</f>
        <v>1</v>
      </c>
      <c r="BQ25" s="6">
        <f>COUNTIFS(Table4[Country],Tabela1[[#This Row],[Country]],Table4[Pole Vault Classification],"&gt;0")</f>
        <v>0</v>
      </c>
      <c r="BR25" s="6">
        <f>COUNTIFS(Table5[Country],Tabela1[[#This Row],[Country]],Table5[Pole Vault Classification],"&gt;0")</f>
        <v>0</v>
      </c>
      <c r="BS25" s="6">
        <f>COUNTIFS(Table4[Country],Tabela1[[#This Row],[Country]],Table4[Shot Put Classification],"&gt;0")</f>
        <v>1</v>
      </c>
      <c r="BT25" s="6">
        <f>COUNTIFS(Table5[Country],Tabela1[[#This Row],[Country]],Table5[Shot Put Classification],"&gt;0")</f>
        <v>0</v>
      </c>
      <c r="BU25" s="6">
        <f>COUNTIFS(Table4[Country],Tabela1[[#This Row],[Country]],Table4[Triple Jump Classification],"&gt;0")</f>
        <v>0</v>
      </c>
      <c r="BV25" s="6">
        <f>COUNTIFS(Table5[Country],Tabela1[[#This Row],[Country]],Table5[Triple Jump Classification],"&gt;0")</f>
        <v>0</v>
      </c>
      <c r="BW25" s="6">
        <f>COUNTIFS(Table4[Country],Tabela1[[#This Row],[Country]],Table4[Decathlon Classification],"&gt;0")</f>
        <v>0</v>
      </c>
      <c r="BX25" s="6">
        <f>COUNTIFS(Table5[Country],Tabela1[[#This Row],[Country]],Table5[Heptathlon Classification],"&gt;0")</f>
        <v>0</v>
      </c>
      <c r="BY25" s="6">
        <f>COUNTIFS(Table61[Country],Tabela1[[#This Row],[Country]],Table61[Classification],"&gt;0")</f>
        <v>0</v>
      </c>
      <c r="BZ25" s="6">
        <f>COUNTIFS(Table38[Country],Tabela1[[#This Row],[Country]],Table38[Classification],"&gt;0")</f>
        <v>0</v>
      </c>
      <c r="CA25" s="6">
        <f>COUNTIFS(Table39[Country],Tabela1[[#This Row],[Country]],Table39[Men''s Classification],"&gt;0")</f>
        <v>0</v>
      </c>
      <c r="CB25" s="6">
        <f>COUNTIFS(Table39[Country],Tabela1[[#This Row],[Country]],Table39[Women''s Classification],"&gt;0")</f>
        <v>0</v>
      </c>
      <c r="CC25" s="6">
        <f>COUNTIFS(Table39[Country],Tabela1[[#This Row],[Country]],Table39[Mixed Classification],"&gt;0")</f>
        <v>0</v>
      </c>
      <c r="CD25" s="6">
        <f>COUNTIFS(Table89[Country],Tabela1[[#This Row],[Country]],Table89[Men''s Classification],"&gt;0")</f>
        <v>0</v>
      </c>
      <c r="CE25" s="6">
        <f>COUNTIFS(Table89[Country],Tabela1[[#This Row],[Country]],Table89[Women''s Classification],"&gt;0")</f>
        <v>0</v>
      </c>
      <c r="CF25" s="6">
        <f>COUNTIFS(Table90[Country],Tabela1[[#This Row],[Country]],Table90[Men''s Classification],"&gt;0")</f>
        <v>0</v>
      </c>
      <c r="CG25" s="6">
        <f>COUNTIFS(Table90[Country],Tabela1[[#This Row],[Country]],Table90[Women''s Classification],"&gt;0")</f>
        <v>0</v>
      </c>
      <c r="CH25" s="6">
        <f>COUNTIFS(Table60[Country],Tabela1[[#This Row],[Country]],Table60[Men''s Classification],"&gt;0")</f>
        <v>0</v>
      </c>
      <c r="CI25" s="6">
        <f>COUNTIFS(Table60[Country],Tabela1[[#This Row],[Country]],Table60[Women''s Classification],"&gt;0")</f>
        <v>1</v>
      </c>
      <c r="CJ25" s="6">
        <f>COUNTIFS(Table6[Country],Tabela1[[#This Row],[Country]],Table6[51kg Classification],"&gt;0")</f>
        <v>0</v>
      </c>
      <c r="CK25" s="6">
        <f>COUNTIFS(Table6[Country],Tabela1[[#This Row],[Country]],Table6[57kg Classification],"&gt;0")</f>
        <v>0</v>
      </c>
      <c r="CL25" s="6">
        <f>COUNTIFS(Table6[Country],Tabela1[[#This Row],[Country]],Table6[63.5kg Classification],"&gt;0")</f>
        <v>0</v>
      </c>
      <c r="CM25" s="6">
        <f>COUNTIFS(Table6[Country],Tabela1[[#This Row],[Country]],Table6[71kg Classification],"&gt;0")</f>
        <v>1</v>
      </c>
      <c r="CN25" s="6">
        <f>COUNTIFS(Table6[Country],Tabela1[[#This Row],[Country]],Table6[80kg Classification],"&gt;0")</f>
        <v>0</v>
      </c>
      <c r="CO25" s="6">
        <f>COUNTIFS(Table6[Country],Tabela1[[#This Row],[Country]],Table6[92kg Classification],"&gt;0")</f>
        <v>0</v>
      </c>
      <c r="CP25" s="6">
        <f>COUNTIFS(Table6[Country],Tabela1[[#This Row],[Country]],Table6[Plus 92kg Classification],"&gt;0")</f>
        <v>0</v>
      </c>
      <c r="CQ25" s="6">
        <f>COUNTIFS(Table7[Country],Tabela1[[#This Row],[Country]],Table7[50kg Classification],"&gt;0")</f>
        <v>0</v>
      </c>
      <c r="CR25" s="6">
        <f>COUNTIFS(Table7[Country],Tabela1[[#This Row],[Country]],Table7[54kg Classification],"&gt;0")</f>
        <v>0</v>
      </c>
      <c r="CS25" s="6">
        <f>COUNTIFS(Table7[Country],Tabela1[[#This Row],[Country]],Table7[57kg Classification],"&gt;0")</f>
        <v>0</v>
      </c>
      <c r="CT25" s="6">
        <f>COUNTIFS(Table7[Country],Tabela1[[#This Row],[Country]],Table7[60kg Classification],"&gt;0")</f>
        <v>0</v>
      </c>
      <c r="CU25" s="6">
        <f>COUNTIFS(Table7[Country],Tabela1[[#This Row],[Country]],Table7[66kg Classification],"&gt;0")</f>
        <v>0</v>
      </c>
      <c r="CV25" s="6">
        <f>COUNTIFS(Table7[Country],Tabela1[[#This Row],[Country]],Table7[75kg Classification],"&gt;0")</f>
        <v>0</v>
      </c>
      <c r="CW25" s="6">
        <f>COUNTIFS(Tabela94[Country],Tabela1[[#This Row],[Country]],Tabela94[Classification],"&gt;0")</f>
        <v>0</v>
      </c>
      <c r="CX25" s="6">
        <f>COUNTIFS(Tabela9499[Country],Tabela1[[#This Row],[Country]],Tabela9499[Classification],"&gt;0")</f>
        <v>0</v>
      </c>
      <c r="CY25" s="6">
        <f>COUNTIFS(Tabela107[Country],Tabela1[[#This Row],[Country]],Tabela107[C1 Slalom Classification],"&gt;0")</f>
        <v>0</v>
      </c>
      <c r="CZ25" s="6">
        <f>COUNTIFS(Tabela107122[Country],Tabela1[[#This Row],[Country]],Tabela107122[C1 Slalom Classification],"&gt;0")</f>
        <v>0</v>
      </c>
      <c r="DA25" s="6">
        <f>COUNTIFS(Tabela107[Country],Tabela1[[#This Row],[Country]],Tabela107[K1 Slalom Classification],"&gt;0")</f>
        <v>0</v>
      </c>
      <c r="DB25" s="6">
        <f>COUNTIFS(Tabela107122[Country],Tabela1[[#This Row],[Country]],Tabela107122[K1 Slalom Classification],"&gt;0")</f>
        <v>0</v>
      </c>
      <c r="DC25" s="6">
        <f>COUNTIFS(Tabela107[Country],Tabela1[[#This Row],[Country]],Tabela107[Kayak Cross Slalom Classification],"&gt;0")</f>
        <v>0</v>
      </c>
      <c r="DD25" s="6">
        <f>COUNTIFS(Tabela107122[Country],Tabela1[[#This Row],[Country]],Tabela107122[Kayak Cross Slalom Classification],"&gt;0")</f>
        <v>0</v>
      </c>
      <c r="DE25" s="6">
        <f>COUNTIFS(Table8[Country],Tabela1[[#This Row],[Country]],Table8[C1 200m Classification],"&gt;0")</f>
        <v>0</v>
      </c>
      <c r="DF25" s="6">
        <f>COUNTIFS(Table40[Country],Tabela1[[#This Row],[Country]],Table40[C1 1000m Classification],"&gt;0")</f>
        <v>0</v>
      </c>
      <c r="DG25" s="6">
        <f>COUNTIFS(Table68[Country],Tabela1[[#This Row],[Country]],Table68[Men''s C2 500m Classification],"&gt;0")</f>
        <v>0</v>
      </c>
      <c r="DH25" s="6">
        <f>COUNTIFS(Table68[Country],Tabela1[[#This Row],[Country]],Table68[Women''s C2 500m Classification],"&gt;0")</f>
        <v>0</v>
      </c>
      <c r="DI25" s="6">
        <f>COUNTIFS(Table8[Country],Tabela1[[#This Row],[Country]],Table8[K1 500m Classification],"&gt;0")</f>
        <v>0</v>
      </c>
      <c r="DJ25" s="6">
        <f>COUNTIFS(Table40[Country],Tabela1[[#This Row],[Country]],Table40[K1 1000m Classification],"&gt;0")</f>
        <v>0</v>
      </c>
      <c r="DK25" s="6">
        <f>COUNTIFS(Table68[Country],Tabela1[[#This Row],[Country]],Table68[Men''s K2 500m Classification],"&gt;0")</f>
        <v>0</v>
      </c>
      <c r="DL25" s="6">
        <f>COUNTIFS(Table68[Country],Tabela1[[#This Row],[Country]],Table68[Women''s K2 500m Classification],"&gt;0")</f>
        <v>0</v>
      </c>
      <c r="DM25" s="6">
        <f>COUNTIFS(Table83[Country],Tabela1[[#This Row],[Country]],Table83[Men''s K4 500m Classification],"&gt;0")</f>
        <v>0</v>
      </c>
      <c r="DN25" s="6">
        <f>COUNTIFS(Table83[Country],Tabela1[[#This Row],[Country]],Table83[Women''s K4 500m Classification],"&gt;0")</f>
        <v>0</v>
      </c>
      <c r="DO25" s="6">
        <f>COUNTIFS(Tabela126[Country],Tabela1[[#This Row],[Country]],Tabela126[Classification],"&gt;0")</f>
        <v>0</v>
      </c>
      <c r="DP25" s="6">
        <f>COUNTIFS(Tabela126130[Country],Tabela1[[#This Row],[Country]],Tabela126130[Classification],"&gt;0")</f>
        <v>0</v>
      </c>
      <c r="DQ25" s="6">
        <f>COUNTIFS(Table70[Country],Tabela1[[#This Row],[Country]],Table70[Classification],"&gt;0")</f>
        <v>0</v>
      </c>
      <c r="DR25" s="6">
        <f>COUNTIFS(Table80[Country],Tabela1[[#This Row],[Country]],Table80[Classification],"&gt;0")</f>
        <v>0</v>
      </c>
      <c r="DS25" s="6">
        <f>COUNTIFS(Table66[Country],Tabela1[[#This Row],[Country]],Table66[Classification],"&gt;0")</f>
        <v>0</v>
      </c>
      <c r="DT25" s="6">
        <f>COUNTIFS(Table67[Country],Tabela1[[#This Row],[Country]],Table67[Classification],"&gt;0")</f>
        <v>0</v>
      </c>
      <c r="DU25" s="6">
        <f>COUNTIFS(Table69[Country],Tabela1[[#This Row],[Country]],Table69[Keirin Classification],"&gt;0")</f>
        <v>0</v>
      </c>
      <c r="DV25" s="6">
        <f>COUNTIFS(Table41[Country],Tabela1[[#This Row],[Country]],Table41[Keirin Classification],"&gt;0")</f>
        <v>0</v>
      </c>
      <c r="DW25" s="6">
        <f>COUNTIFS(Table84[Country],Tabela1[[#This Row],[Country]],Table84[Men''s Madison Classification],"&gt;0")</f>
        <v>0</v>
      </c>
      <c r="DX25" s="6">
        <f>COUNTIFS(Table84[Country],Tabela1[[#This Row],[Country]],Table84[Women''s Madison Classification],"&gt;0")</f>
        <v>0</v>
      </c>
      <c r="DY25" s="6">
        <f>COUNTIFS(Table69[Country],Tabela1[[#This Row],[Country]],Table69[Omnium Classification],"&gt;0")</f>
        <v>0</v>
      </c>
      <c r="DZ25" s="6">
        <f>COUNTIFS(Table41[Country],Tabela1[[#This Row],[Country]],Table41[Omnium Classification],"&gt;0")</f>
        <v>0</v>
      </c>
      <c r="EA25" s="6">
        <f>COUNTIFS(Table9[Country],Tabela1[[#This Row],[Country]],Table9[Road Race Classification],"&gt;0")</f>
        <v>0</v>
      </c>
      <c r="EB25" s="6">
        <f>COUNTIFS(Table14[Country],Tabela1[[#This Row],[Country]],Table14[Road Race Classification],"&gt;0")</f>
        <v>0</v>
      </c>
      <c r="EC25" s="6">
        <f>COUNTIFS(Table69[Country],Tabela1[[#This Row],[Country]],Table69[Sprint Classification],"&gt;0")</f>
        <v>0</v>
      </c>
      <c r="ED25" s="6">
        <f>COUNTIFS(Table41[Country],Tabela1[[#This Row],[Country]],Table41[Sprint Classification],"&gt;0")</f>
        <v>0</v>
      </c>
      <c r="EE25" s="6">
        <f>COUNTIFS(Table85[Country],Tabela1[[#This Row],[Country]],Table85[Men''s Sprint Classification],"&gt;0")</f>
        <v>0</v>
      </c>
      <c r="EF25" s="6">
        <f>COUNTIFS(Table85[Country],Tabela1[[#This Row],[Country]],Table85[Women''s Sprint Classification],"&gt;0")</f>
        <v>0</v>
      </c>
      <c r="EG25" s="6">
        <f>COUNTIFS(Table85[Country],Tabela1[[#This Row],[Country]],Table85[Men''s Pursuit Classification],"&gt;0")</f>
        <v>0</v>
      </c>
      <c r="EH25" s="6">
        <f>COUNTIFS(Table85[Country],Tabela1[[#This Row],[Country]],Table85[Women''s Pursuit Classification],"&gt;0")</f>
        <v>0</v>
      </c>
      <c r="EI25" s="6">
        <f>COUNTIFS(Table9[Country],Tabela1[[#This Row],[Country]],Table9[Time-Trial Classification],"&gt;0")</f>
        <v>0</v>
      </c>
      <c r="EJ25" s="6">
        <f>COUNTIFS(Table14[Country],Tabela1[[#This Row],[Country]],Table14[Time-Trial Classification],"&gt;0")</f>
        <v>0</v>
      </c>
      <c r="EK25" s="6">
        <f>COUNTIFS(Table42[Country],Tabela1[[#This Row],[Country]],Table42[Springboard Classification],"&gt;0")</f>
        <v>0</v>
      </c>
      <c r="EL25" s="6">
        <f>COUNTIFS(Table43[Country],Tabela1[[#This Row],[Country]],Table43[Springboard Classification],"&gt;0")</f>
        <v>1</v>
      </c>
      <c r="EM25" s="6">
        <f>COUNTIFS(Table42[Country],Tabela1[[#This Row],[Country]],Table42[Platform Classification],"&gt;0")</f>
        <v>0</v>
      </c>
      <c r="EN25" s="6">
        <f>COUNTIFS(Table43[Country],Tabela1[[#This Row],[Country]],Table43[Platform Classification],"&gt;0")</f>
        <v>1</v>
      </c>
      <c r="EO25" s="6">
        <f>COUNTIFS(Table86[Country],Tabela1[[#This Row],[Country]],Table86[Men''s Synchronized Springboard Classification],"&gt;0")</f>
        <v>0</v>
      </c>
      <c r="EP25" s="6">
        <f>COUNTIFS(Table86[Country],Tabela1[[#This Row],[Country]],Table86[Women''s Synchronized Springboard Classification],"&gt;0")</f>
        <v>0</v>
      </c>
      <c r="EQ25" s="6">
        <f>COUNTIFS(Table86[Country],Tabela1[[#This Row],[Country]],Table86[Men''s Synchronized Platform Classification],"&gt;0")</f>
        <v>0</v>
      </c>
      <c r="ER25" s="6">
        <f>COUNTIFS(Table86[Country],Tabela1[[#This Row],[Country]],Table86[Women''s Synchronized Platform Classification],"&gt;0")</f>
        <v>0</v>
      </c>
      <c r="ES25" s="6">
        <f>COUNTIFS(Table44[Country],Tabela1[[#This Row],[Country]],Table44[Dressage Classification],"&gt;0")</f>
        <v>0</v>
      </c>
      <c r="ET25" s="6">
        <f>COUNTIFS(Table45[Country],Tabela1[[#This Row],[Country]],Table45[Dressage Classification],"&gt;0")</f>
        <v>0</v>
      </c>
      <c r="EU25" s="6">
        <f>COUNTIFS(Table44[Country],Tabela1[[#This Row],[Country]],Table44[Eventing Classification],"&gt;0")</f>
        <v>0</v>
      </c>
      <c r="EV25" s="6">
        <f>COUNTIFS(Table45[Country],Tabela1[[#This Row],[Country]],Table45[Eventing Classification],"&gt;0")</f>
        <v>0</v>
      </c>
      <c r="EW25" s="6">
        <f>COUNTIFS(Table44[Country],Tabela1[[#This Row],[Country]],Table44[Jumping Classification],"&gt;0")</f>
        <v>0</v>
      </c>
      <c r="EX25" s="6">
        <f>COUNTIFS(Table45[Country],Tabela1[[#This Row],[Country]],Table45[Jumping Classification],"&gt;0")</f>
        <v>0</v>
      </c>
      <c r="EY25" s="6">
        <f>COUNTIFS(Table10[Country],Tabela1[[#This Row],[Country]],Table10[Épée Classification],"&gt;0")</f>
        <v>2</v>
      </c>
      <c r="EZ25" s="6">
        <f>COUNTIFS(Table11[Country],Tabela1[[#This Row],[Country]],Table11[Épée Classification],"&gt;0")</f>
        <v>1</v>
      </c>
      <c r="FA25" s="6">
        <f>COUNTIFS(Table46[Country],Tabela1[[#This Row],[Country]],Table46[Men''s Épée Classification],"&gt;0")</f>
        <v>1</v>
      </c>
      <c r="FB25" s="6">
        <f>COUNTIFS(Table46[Country],Tabela1[[#This Row],[Country]],Table46[Women''s Épée Classification],"&gt;0")</f>
        <v>1</v>
      </c>
      <c r="FC25" s="6">
        <f>COUNTIFS(Table10[Country],Tabela1[[#This Row],[Country]],Table10[Foil Classification],"&gt;0")</f>
        <v>1</v>
      </c>
      <c r="FD25" s="6">
        <f>COUNTIFS(Table11[Country],Tabela1[[#This Row],[Country]],Table11[Foil Classification],"&gt;0")</f>
        <v>1</v>
      </c>
      <c r="FE25" s="6">
        <f>COUNTIFS(Table46[Country],Tabela1[[#This Row],[Country]],Table46[Men''s Foil Classification],"&gt;0")</f>
        <v>1</v>
      </c>
      <c r="FF25" s="6">
        <f>COUNTIFS(Table46[Country],Tabela1[[#This Row],[Country]],Table46[Women''s Foil Classification],"&gt;0")</f>
        <v>1</v>
      </c>
      <c r="FG25" s="6">
        <f>COUNTIFS(Table10[Country],Tabela1[[#This Row],[Country]],Table10[Sabre Classification],"&gt;0")</f>
        <v>1</v>
      </c>
      <c r="FH25" s="6">
        <f>COUNTIFS(Table11[Country],Tabela1[[#This Row],[Country]],Table11[Sabre Classification],"&gt;0")</f>
        <v>0</v>
      </c>
      <c r="FI25" s="6">
        <f>COUNTIFS(Table46[Country],Tabela1[[#This Row],[Country]],Table46[Men''s Sabre Classification],"&gt;0")</f>
        <v>1</v>
      </c>
      <c r="FJ25" s="6">
        <f>COUNTIFS(Table46[Country],Tabela1[[#This Row],[Country]],Table46[Women''s Sabre Classification],"&gt;0")</f>
        <v>0</v>
      </c>
      <c r="FK25" s="6">
        <f>COUNTIFS(Table91[Country],Tabela1[[#This Row],[Country]],Table91[Men''s Classification],"&gt;0")</f>
        <v>0</v>
      </c>
      <c r="FL25" s="6">
        <f>COUNTIFS(Table91[Country],Tabela1[[#This Row],[Country]],Table91[Women''s Classification],"&gt;0")</f>
        <v>0</v>
      </c>
      <c r="FM25" s="6">
        <f>COUNTIFS(Table9194[Country],Tabela1[[#This Row],[Country]],Table9194[Men''s Classification],"&gt;0")</f>
        <v>1</v>
      </c>
      <c r="FN25" s="6">
        <f>COUNTIFS(Table9194[Country],Tabela1[[#This Row],[Country]],Table9194[Women''s Classification],"&gt;0")</f>
        <v>0</v>
      </c>
      <c r="FO25" s="6">
        <f>COUNTIFS(Table71[Country],Tabela1[[#This Row],[Country]],Table71[Classification],"&gt;0")</f>
        <v>0</v>
      </c>
      <c r="FP25" s="6">
        <f>COUNTIFS(Table62[Country],Tabela1[[#This Row],[Country]],Table62[Classification],"&gt;0")</f>
        <v>0</v>
      </c>
      <c r="FQ25" s="6">
        <f>COUNTIFS(Table47[Country],Tabela1[[#This Row],[Country]],Table47[All-Around Classification],"&gt;0")</f>
        <v>0</v>
      </c>
      <c r="FR25" s="6">
        <f>COUNTIFS(Table48[Country],Tabela1[[#This Row],[Country]],Table48[All-Around Classification],"&gt;0")</f>
        <v>0</v>
      </c>
      <c r="FS25" s="6">
        <f>COUNTIFS(Table81[Country],Tabela1[[#This Row],[Country]],Table81[Men''s All-Around Classification],"&gt;0")</f>
        <v>0</v>
      </c>
      <c r="FT25" s="6">
        <f>COUNTIFS(Table81[Country],Tabela1[[#This Row],[Country]],Table81[Women''s All-Around Classification],"&gt;0")</f>
        <v>0</v>
      </c>
      <c r="FU25" s="6">
        <f>COUNTIFS(Table48[Country],Tabela1[[#This Row],[Country]],Table48[Balance Beam Classification],"&gt;0")</f>
        <v>0</v>
      </c>
      <c r="FV25" s="6">
        <f>COUNTIFS(Table47[Country],Tabela1[[#This Row],[Country]],Table47[Floor Exercise Classification],"&gt;0")</f>
        <v>0</v>
      </c>
      <c r="FW25" s="6">
        <f>COUNTIFS(Table48[Country],Tabela1[[#This Row],[Country]],Table48[Floor Exercise Classification],"&gt;0")</f>
        <v>0</v>
      </c>
      <c r="FX25" s="6">
        <f>COUNTIFS(Table47[Country],Tabela1[[#This Row],[Country]],Table47[Horizontal Bar Classification],"&gt;0")</f>
        <v>0</v>
      </c>
      <c r="FY25" s="6">
        <f>COUNTIFS(Table47[Country],Tabela1[[#This Row],[Country]],Table47[Parallel Bars Classification],"&gt;0")</f>
        <v>0</v>
      </c>
      <c r="FZ25" s="6">
        <f>COUNTIFS(Table47[Country],Tabela1[[#This Row],[Country]],Table47[Pommel Horse Classification],"&gt;0")</f>
        <v>0</v>
      </c>
      <c r="GA25" s="6">
        <f>COUNTIFS(Table47[Country],Tabela1[[#This Row],[Country]],Table47[Rings Classification],"&gt;0")</f>
        <v>0</v>
      </c>
      <c r="GB25" s="6">
        <f>COUNTIFS(Tabela132[Country],Tabela1[[#This Row],[Country]],Tabela132[Classification],"&gt;0")</f>
        <v>0</v>
      </c>
      <c r="GC25" s="6">
        <f>COUNTIFS(Tabela139[Country],Tabela1[[#This Row],[Country]],Tabela139[Classification],"&gt;0")</f>
        <v>0</v>
      </c>
      <c r="GD25" s="6">
        <f>COUNTIFS(Table48[Country],Tabela1[[#This Row],[Country]],Table48[Uneven Bars Classification],"&gt;0")</f>
        <v>0</v>
      </c>
      <c r="GE25" s="6">
        <f>COUNTIFS(Table47[Country],Tabela1[[#This Row],[Country]],Table47[Vault Classification],"&gt;0")</f>
        <v>0</v>
      </c>
      <c r="GF25" s="6">
        <f>COUNTIFS(Table48[Country],Tabela1[[#This Row],[Country]],Table48[Vault Classification],"&gt;0")</f>
        <v>0</v>
      </c>
      <c r="GG25" s="6">
        <f>COUNTIFS(Table919496[Country],Tabela1[[#This Row],[Country]],Table919496[Men''s Classification],"&gt;0")</f>
        <v>1</v>
      </c>
      <c r="GH25" s="6">
        <f>COUNTIFS(Table919496[Country],Tabela1[[#This Row],[Country]],Table919496[Women''s Classification],"&gt;0")</f>
        <v>0</v>
      </c>
      <c r="GI25" s="6">
        <f>COUNTIFS(Table12[Country],Tabela1[[#This Row],[Country]],Table12[60kg Classification],"&gt;0")</f>
        <v>1</v>
      </c>
      <c r="GJ25" s="6">
        <f>COUNTIFS(Table12[Country],Tabela1[[#This Row],[Country]],Table12[66kg Classification],"&gt;0")</f>
        <v>0</v>
      </c>
      <c r="GK25" s="6">
        <f>COUNTIFS(Table12[Country],Tabela1[[#This Row],[Country]],Table12[73kg Classification],"&gt;0")</f>
        <v>0</v>
      </c>
      <c r="GL25" s="6">
        <f>COUNTIFS(Table12[Country],Tabela1[[#This Row],[Country]],Table12[81kg Classification],"&gt;0")</f>
        <v>1</v>
      </c>
      <c r="GM25" s="6">
        <f>COUNTIFS(Table12[Country],Tabela1[[#This Row],[Country]],Table12[90kg Classification],"&gt;0")</f>
        <v>0</v>
      </c>
      <c r="GN25" s="6">
        <f>COUNTIFS(Table12[Country],Tabela1[[#This Row],[Country]],Table12[100kg Classification],"&gt;0")</f>
        <v>0</v>
      </c>
      <c r="GO25" s="6">
        <f>COUNTIFS(Table12[Country],Tabela1[[#This Row],[Country]],Table12[Plus 100kg Classification],"&gt;0")</f>
        <v>0</v>
      </c>
      <c r="GP25" s="6">
        <f>COUNTIFS(Table13[Country],Tabela1[[#This Row],[Country]],Table13[48kg Classification],"&gt;0")</f>
        <v>0</v>
      </c>
      <c r="GQ25" s="6">
        <f>COUNTIFS(Table13[Country],Tabela1[[#This Row],[Country]],Table13[52kg Classification],"&gt;0")</f>
        <v>0</v>
      </c>
      <c r="GR25" s="6">
        <f>COUNTIFS(Table13[Country],Tabela1[[#This Row],[Country]],Table13[57kg Classification],"&gt;0")</f>
        <v>0</v>
      </c>
      <c r="GS25" s="6">
        <f>COUNTIFS(Table13[Country],Tabela1[[#This Row],[Country]],Table13[63kg Classification],"&gt;0")</f>
        <v>0</v>
      </c>
      <c r="GT25" s="6">
        <f>COUNTIFS(Table13[Country],Tabela1[[#This Row],[Country]],Table13[70kg Classification],"&gt;0")</f>
        <v>0</v>
      </c>
      <c r="GU25" s="6">
        <f>COUNTIFS(Table13[Country],Tabela1[[#This Row],[Country]],Table13[78kg Classification],"&gt;0")</f>
        <v>0</v>
      </c>
      <c r="GV25" s="6">
        <f>COUNTIFS(Table13[Country],Tabela1[[#This Row],[Country]],Table13[Plus 78kg Classification],"&gt;0")</f>
        <v>0</v>
      </c>
      <c r="GW25" s="6">
        <f>COUNTIFS(Table82[Country],Tabela1[[#This Row],[Country]],Table82[Mixed Classification],"&gt;0")</f>
        <v>0</v>
      </c>
      <c r="GX25" s="6">
        <f>COUNTIFS(Table51[Country],Tabela1[[#This Row],[Country]],Table51[Classification],"&gt;0")</f>
        <v>2</v>
      </c>
      <c r="GY25" s="6">
        <f>COUNTIFS(Table52[Country],Tabela1[[#This Row],[Country]],Table52[Classification],"&gt;0")</f>
        <v>2</v>
      </c>
      <c r="GZ25" s="6">
        <f>COUNTIFS(Table32[Country],Tabela1[[#This Row],[Country]],Table32[All-Around Classification],"&gt;0")</f>
        <v>0</v>
      </c>
      <c r="HA25" s="6">
        <f>COUNTIFS(Table49[Country],Tabela1[[#This Row],[Country]],Table49[All-Around Classification],"&gt;0")</f>
        <v>1</v>
      </c>
      <c r="HB25" s="6">
        <f>COUNTIFS(Table26[Country],Tabela1[[#This Row],[Country]],Table26[Single Sculls Classification],"&gt;0")</f>
        <v>0</v>
      </c>
      <c r="HC25" s="6">
        <f>COUNTIFS(Table63[Country],Tabela1[[#This Row],[Country]],Table63[Single Sculls Classification],"&gt;0")</f>
        <v>0</v>
      </c>
      <c r="HD25" s="6">
        <f>COUNTIFS(Table16[Country],Tabela1[[#This Row],[Country]],Table16[Men''s Double Sculls Classification],"&gt;0")</f>
        <v>0</v>
      </c>
      <c r="HE25" s="6">
        <f>COUNTIFS(Table16[Country],Tabela1[[#This Row],[Country]],Table16[Women''s Double Sculls Classification],"&gt;0")</f>
        <v>0</v>
      </c>
      <c r="HF25" s="6">
        <f>COUNTIFS(Table72[Country],Tabela1[[#This Row],[Country]],Table72[Men''s Quadruple Sculls Classification],"&gt;0")</f>
        <v>0</v>
      </c>
      <c r="HG25" s="6">
        <f>COUNTIFS(Table72[Country],Tabela1[[#This Row],[Country]],Table72[Women''s Quadruple Sculls Classification],"&gt;0")</f>
        <v>0</v>
      </c>
      <c r="HH25" s="6">
        <f>COUNTIFS(Table16[Country],Tabela1[[#This Row],[Country]],Table16[Men''s Coxless Pairs Classification],"&gt;0")</f>
        <v>0</v>
      </c>
      <c r="HI25" s="6">
        <f>COUNTIFS(Table16[Country],Tabela1[[#This Row],[Country]],Table16[Women''s Coxless Pairs Classification],"&gt;0")</f>
        <v>0</v>
      </c>
      <c r="HJ25" s="6">
        <f>COUNTIFS(Table72[Country],Tabela1[[#This Row],[Country]],Table72[Men''s Coxless Fours Classification],"&gt;0")</f>
        <v>0</v>
      </c>
      <c r="HK25" s="6">
        <f>COUNTIFS(Table72[Country],Tabela1[[#This Row],[Country]],Table72[Women''s Coxless Fours Classification],"&gt;0")</f>
        <v>0</v>
      </c>
      <c r="HL25" s="6">
        <f>COUNTIFS(Table72[Country],Tabela1[[#This Row],[Country]],Table72[Men''s Eights Classification],"&gt;0")</f>
        <v>0</v>
      </c>
      <c r="HM25" s="6">
        <f>COUNTIFS(Table72[Country],Tabela1[[#This Row],[Country]],Table72[Women''s Eights Classification],"&gt;0")</f>
        <v>0</v>
      </c>
      <c r="HN25" s="6">
        <f>COUNTIFS(Table16[Country],Tabela1[[#This Row],[Country]],Table16[Men''s Lwt. Double Sculls Classification],"&gt;0")</f>
        <v>1</v>
      </c>
      <c r="HO25" s="6">
        <f>COUNTIFS(Table16[Country],Tabela1[[#This Row],[Country]],Table16[Women''s Lwt. Double Sculls Classification],"&gt;0")</f>
        <v>0</v>
      </c>
      <c r="HP25" s="6">
        <f>COUNTIFS(Table91949698[Country],Tabela1[[#This Row],[Country]],Table91949698[Men''s Classification],"&gt;0")</f>
        <v>0</v>
      </c>
      <c r="HQ25" s="6">
        <f>COUNTIFS(Table91949698[Country],Tabela1[[#This Row],[Country]],Table91949698[Women''s Classification],"&gt;0")</f>
        <v>0</v>
      </c>
      <c r="HR25" s="6">
        <f>COUNTIFS(Table25[Country],Tabela1[[#This Row],[Country]],Table25[Mixed 470 Classification],"&gt;0")</f>
        <v>0</v>
      </c>
      <c r="HS25" s="6">
        <f>COUNTIFS(Table25[Country],Tabela1[[#This Row],[Country]],Table25[Men''s 49er Classification],"&gt;0")</f>
        <v>0</v>
      </c>
      <c r="HT25" s="6">
        <f>COUNTIFS(Table25[Country],Tabela1[[#This Row],[Country]],Table25[Women''s 49er FX Classification],"&gt;0")</f>
        <v>0</v>
      </c>
      <c r="HU25" s="6">
        <f>COUNTIFS(Table17[Country],Tabela1[[#This Row],[Country]],Table17[Formula Kite Classification],"&gt;0")</f>
        <v>0</v>
      </c>
      <c r="HV25" s="6">
        <f>COUNTIFS(Table18[Country],Tabela1[[#This Row],[Country]],Table18[Formula Kite Classification],"&gt;0")</f>
        <v>0</v>
      </c>
      <c r="HW25" s="6">
        <f>COUNTIFS(Table17[Country],Tabela1[[#This Row],[Country]],Table17[ILCA 7 Classification],"&gt;0")</f>
        <v>0</v>
      </c>
      <c r="HX25" s="6">
        <f>COUNTIFS(Table18[Country],Tabela1[[#This Row],[Country]],Table18[ILCA 6 Classification],"&gt;0")</f>
        <v>0</v>
      </c>
      <c r="HY25" s="6">
        <f>COUNTIFS(Table17[Country],Tabela1[[#This Row],[Country]],Table17[IQFoil Classification],"&gt;0")</f>
        <v>0</v>
      </c>
      <c r="HZ25" s="6">
        <f>COUNTIFS(Table18[Country],Tabela1[[#This Row],[Country]],Table18[IQFoil Classification],"&gt;0")</f>
        <v>0</v>
      </c>
      <c r="IA25" s="6">
        <f>COUNTIFS(Table25[Country],Tabela1[[#This Row],[Country]],Table25[Mixed Nacra 17 Classification],"&gt;0")</f>
        <v>0</v>
      </c>
      <c r="IB25" s="6">
        <f>COUNTIFS(Table53[Country],Tabela1[[#This Row],[Country]],Table53[10m Air Pistol Classification],"&gt;0")</f>
        <v>0</v>
      </c>
      <c r="IC25" s="6">
        <f>COUNTIFS(Table19[Country],Tabela1[[#This Row],[Country]],Table19[10m Air Pistol Classification],"&gt;0")</f>
        <v>0</v>
      </c>
      <c r="ID25" s="6">
        <f>COUNTIFS(Table54[Country],Tabela1[[#This Row],[Country]],Table54[Mixed 10m Air Pistol Team Classification],"&gt;0")</f>
        <v>0</v>
      </c>
      <c r="IE25" s="6">
        <f>COUNTIFS(Table53[Country],Tabela1[[#This Row],[Country]],Table53[10m Air Rifle Classification],"&gt;0")</f>
        <v>0</v>
      </c>
      <c r="IF25" s="6">
        <f>COUNTIFS(Table19[Country],Tabela1[[#This Row],[Country]],Table19[10m Air Rifle Classification],"&gt;0")</f>
        <v>0</v>
      </c>
      <c r="IG25" s="6">
        <f>COUNTIFS(Table54[Country],Tabela1[[#This Row],[Country]],Table54[Mixed 10m Air Rifle Team Classification],"&gt;0")</f>
        <v>0</v>
      </c>
      <c r="IH25" s="6">
        <f>COUNTIFS(Table53[Country],Tabela1[[#This Row],[Country]],Table53[25m Rapid Fire Pistol Classification],"&gt;0")</f>
        <v>0</v>
      </c>
      <c r="II25" s="6">
        <f>COUNTIFS(Table19[Country],Tabela1[[#This Row],[Country]],Table19[25m Pistol Classification],"&gt;0")</f>
        <v>1</v>
      </c>
      <c r="IJ25" s="6">
        <f>COUNTIFS(Table53[Country],Tabela1[[#This Row],[Country]],Table53[50m Rifle 3 Positions Classification],"&gt;0")</f>
        <v>0</v>
      </c>
      <c r="IK25" s="6">
        <f>COUNTIFS(Table19[Country],Tabela1[[#This Row],[Country]],Table19[50m Rifle 3 Positions Classification],"&gt;0")</f>
        <v>0</v>
      </c>
      <c r="IL25" s="6">
        <f>COUNTIFS(Table53[Country],Tabela1[[#This Row],[Country]],Table53[Skeet Classification],"&gt;0")</f>
        <v>0</v>
      </c>
      <c r="IM25" s="6">
        <f>COUNTIFS(Table19[Country],Tabela1[[#This Row],[Country]],Table19[Skeet Classification],"&gt;0")</f>
        <v>0</v>
      </c>
      <c r="IN25" s="6">
        <f>COUNTIFS(Table54[Country],Tabela1[[#This Row],[Country]],Table54[Mixed Skeet Team Classification],"&gt;0")</f>
        <v>0</v>
      </c>
      <c r="IO25" s="6">
        <f>COUNTIFS(Table53[Country],Tabela1[[#This Row],[Country]],Table53[Trap Classification],"&gt;0")</f>
        <v>0</v>
      </c>
      <c r="IP25" s="6">
        <f>COUNTIFS(Table19[Country],Tabela1[[#This Row],[Country]],Table19[Trap Classification],"&gt;0")</f>
        <v>1</v>
      </c>
      <c r="IQ25" s="6">
        <f>COUNTIFS(Table73[Country],Tabela1[[#This Row],[Country]],Table73[Park Classification],"&gt;0")</f>
        <v>0</v>
      </c>
      <c r="IR25" s="6">
        <f>COUNTIFS(Table74[Country],Tabela1[[#This Row],[Country]],Table74[Park Classification],"&gt;0")</f>
        <v>0</v>
      </c>
      <c r="IS25" s="6">
        <f>COUNTIFS(Table73[Country],Tabela1[[#This Row],[Country]],Table73[Street Classification],"&gt;0")</f>
        <v>0</v>
      </c>
      <c r="IT25" s="6">
        <f>COUNTIFS(Table74[Country],Tabela1[[#This Row],[Country]],Table74[Street Classification],"&gt;0")</f>
        <v>0</v>
      </c>
      <c r="IU25" s="6">
        <f>COUNTIFS(Table75[Country],Tabela1[[#This Row],[Country]],Table75[Boulder and Lead Classification],"&gt;0")</f>
        <v>0</v>
      </c>
      <c r="IV25" s="6">
        <f>COUNTIFS(Table76[Country],Tabela1[[#This Row],[Country]],Table76[Boulder and Lead Classification],"&gt;0")</f>
        <v>0</v>
      </c>
      <c r="IW25" s="6">
        <f>COUNTIFS(Table75[Country],Tabela1[[#This Row],[Country]],Table75[Speed Classification],"&gt;0")</f>
        <v>0</v>
      </c>
      <c r="IX25" s="6">
        <f>COUNTIFS(Table76[Country],Tabela1[[#This Row],[Country]],Table76[Speed Classification],"&gt;0")</f>
        <v>0</v>
      </c>
      <c r="IY25" s="6">
        <f>COUNTIFS(Table64[Country],Tabela1[[#This Row],[Country]],Table64[Shortboard Classification],"&gt;0")</f>
        <v>0</v>
      </c>
      <c r="IZ25" s="6">
        <f>COUNTIFS(Table77[Country],Tabela1[[#This Row],[Country]],Table77[Shortboard Classification],"&gt;0")</f>
        <v>0</v>
      </c>
      <c r="JA25" s="6">
        <f>COUNTIFS(Table20[Country],Tabela1[[#This Row],[Country]],Table20[50m Freestyle Classification],"&gt;0")</f>
        <v>0</v>
      </c>
      <c r="JB25" s="6">
        <f>COUNTIFS(Table21[Country],Tabela1[[#This Row],[Country]],Table21[50m Freestyle Classification],"&gt;0")</f>
        <v>0</v>
      </c>
      <c r="JC25" s="6">
        <f>COUNTIFS(Table20[Country],Tabela1[[#This Row],[Country]],Table20[100m Freestyle Classification],"&gt;0")</f>
        <v>0</v>
      </c>
      <c r="JD25" s="6">
        <f>COUNTIFS(Table21[Country],Tabela1[[#This Row],[Country]],Table21[100m Freestyle Classification],"&gt;0")</f>
        <v>0</v>
      </c>
      <c r="JE25" s="6">
        <f>COUNTIFS(Table20[Country],Tabela1[[#This Row],[Country]],Table20[200m Freestyle Classification],"&gt;0")</f>
        <v>0</v>
      </c>
      <c r="JF25" s="6">
        <f>COUNTIFS(Table21[Country],Tabela1[[#This Row],[Country]],Table21[200m Freestyle Classification],"&gt;0")</f>
        <v>0</v>
      </c>
      <c r="JG25" s="6">
        <f>COUNTIFS(Table20[Country],Tabela1[[#This Row],[Country]],Table20[400m Freestyle Classification],"&gt;0")</f>
        <v>0</v>
      </c>
      <c r="JH25" s="6">
        <f>COUNTIFS(Table21[Country],Tabela1[[#This Row],[Country]],Table21[400m Freestyle Classification],"&gt;0")</f>
        <v>0</v>
      </c>
      <c r="JI25" s="6">
        <f>COUNTIFS(Table20[Country],Tabela1[[#This Row],[Country]],Table20[800m Freestyle Classification],"&gt;0")</f>
        <v>0</v>
      </c>
      <c r="JJ25" s="6">
        <f>COUNTIFS(Table21[Country],Tabela1[[#This Row],[Country]],Table21[800m Freestyle Classification],"&gt;0")</f>
        <v>0</v>
      </c>
      <c r="JK25" s="6">
        <f>COUNTIFS(Table20[Country],Tabela1[[#This Row],[Country]],Table20[1500m Freestyle Classification],"&gt;0")</f>
        <v>0</v>
      </c>
      <c r="JL25" s="6">
        <f>COUNTIFS(Table21[Country],Tabela1[[#This Row],[Country]],Table21[1500m Freestyle Classification],"&gt;0")</f>
        <v>0</v>
      </c>
      <c r="JM25" s="6">
        <f>COUNTIFS(Table20[Country],Tabela1[[#This Row],[Country]],Table20[100m Backstroke Classification],"&gt;0")</f>
        <v>0</v>
      </c>
      <c r="JN25" s="6">
        <f>COUNTIFS(Table21[Country],Tabela1[[#This Row],[Country]],Table21[100m Backstroke Classification],"&gt;0")</f>
        <v>0</v>
      </c>
      <c r="JO25" s="6">
        <f>COUNTIFS(Table20[Country],Tabela1[[#This Row],[Country]],Table20[200m Backstroke Classification],"&gt;0")</f>
        <v>0</v>
      </c>
      <c r="JP25" s="6">
        <f>COUNTIFS(Table21[Country],Tabela1[[#This Row],[Country]],Table21[200m Backstroke Classification],"&gt;0")</f>
        <v>0</v>
      </c>
      <c r="JQ25" s="6">
        <f>COUNTIFS(Table20[Country],Tabela1[[#This Row],[Country]],Table20[100m Breaststroke Classification],"&gt;0")</f>
        <v>0</v>
      </c>
      <c r="JR25" s="6">
        <f>COUNTIFS(Table21[Country],Tabela1[[#This Row],[Country]],Table21[100m Breaststroke Classification],"&gt;0")</f>
        <v>0</v>
      </c>
      <c r="JS25" s="6">
        <f>COUNTIFS(Table20[Country],Tabela1[[#This Row],[Country]],Table20[200m Breaststroke Classification],"&gt;0")</f>
        <v>0</v>
      </c>
      <c r="JT25" s="6">
        <f>COUNTIFS(Table21[Country],Tabela1[[#This Row],[Country]],Table21[200m Breaststroke Classification],"&gt;0")</f>
        <v>0</v>
      </c>
      <c r="JU25" s="6">
        <f>COUNTIFS(Table20[Country],Tabela1[[#This Row],[Country]],Table20[100m Butterfly Classification],"&gt;0")</f>
        <v>0</v>
      </c>
      <c r="JV25" s="6">
        <f>COUNTIFS(Table21[Country],Tabela1[[#This Row],[Country]],Table21[100m Butterfly Classification],"&gt;0")</f>
        <v>0</v>
      </c>
      <c r="JW25" s="6">
        <f>COUNTIFS(Table20[Country],Tabela1[[#This Row],[Country]],Table20[200m Butterfly Classification],"&gt;0")</f>
        <v>0</v>
      </c>
      <c r="JX25" s="6">
        <f>COUNTIFS(Table21[Country],Tabela1[[#This Row],[Country]],Table21[200m Butterfly Classification],"&gt;0")</f>
        <v>0</v>
      </c>
      <c r="JY25" s="6">
        <f>COUNTIFS(Table20[Country],Tabela1[[#This Row],[Country]],Table20[200m Medley Classification],"&gt;0")</f>
        <v>0</v>
      </c>
      <c r="JZ25" s="6">
        <f>COUNTIFS(Table21[Country],Tabela1[[#This Row],[Country]],Table21[200m Medley Classification],"&gt;0")</f>
        <v>0</v>
      </c>
      <c r="KA25" s="6">
        <f>COUNTIFS(Table20[Country],Tabela1[[#This Row],[Country]],Table20[400m Medley Classification],"&gt;0")</f>
        <v>0</v>
      </c>
      <c r="KB25" s="6">
        <f>COUNTIFS(Table21[Country],Tabela1[[#This Row],[Country]],Table21[400m Medley Classification],"&gt;0")</f>
        <v>0</v>
      </c>
      <c r="KC25" s="6">
        <f>COUNTIFS(Table78[Country],Tabela1[[#This Row],[Country]],Table78[Men''s 4x100m Freestyle Relay Classification],"&gt;0")</f>
        <v>0</v>
      </c>
      <c r="KD25" s="6">
        <f>COUNTIFS(Table78[Country],Tabela1[[#This Row],[Country]],Table78[Women''s 4x100m Freestyle Relay Classification],"&gt;0")</f>
        <v>0</v>
      </c>
      <c r="KE25" s="6">
        <f>COUNTIFS(Table78[Country],Tabela1[[#This Row],[Country]],Table78[Men''s 4x200m Freestyle Relay Classification],"&gt;0")</f>
        <v>0</v>
      </c>
      <c r="KF25" s="6">
        <f>COUNTIFS(Table78[Country],Tabela1[[#This Row],[Country]],Table78[Women''s 4x200m Freestyle Relay Classification],"&gt;0")</f>
        <v>0</v>
      </c>
      <c r="KG25" s="6">
        <f>COUNTIFS(Table78[Country],Tabela1[[#This Row],[Country]],Table78[Men''s 4x100m Medley Relay Classification],"&gt;0")</f>
        <v>0</v>
      </c>
      <c r="KH25" s="6">
        <f>COUNTIFS(Table78[Country],Tabela1[[#This Row],[Country]],Table78[Women''s 4x100m Medley Relay Classification],"&gt;0")</f>
        <v>0</v>
      </c>
      <c r="KI25" s="6">
        <f>COUNTIFS(Table78[Country],Tabela1[[#This Row],[Country]],Table78[Mixed 4x100m Medley Relay Classification],"&gt;0")</f>
        <v>0</v>
      </c>
      <c r="KJ25" s="6">
        <f>COUNTIFS(Table20[Country],Tabela1[[#This Row],[Country]],Table20[10km Open Water Classification],"&gt;0")</f>
        <v>0</v>
      </c>
      <c r="KK25" s="6">
        <f>COUNTIFS(Table21[Country],Tabela1[[#This Row],[Country]],Table21[10km Open Water Classification],"&gt;0")</f>
        <v>0</v>
      </c>
      <c r="KL25" s="6">
        <f>COUNTIFS(Table22[Country],Tabela1[[#This Row],[Country]],Table22[Classification],"&gt;0")</f>
        <v>1</v>
      </c>
      <c r="KM25" s="6">
        <f>COUNTIFS(Table30[Country],Tabela1[[#This Row],[Country]],Table30[Classification],"&gt;0")</f>
        <v>1</v>
      </c>
      <c r="KN25" s="6">
        <f>COUNTIFS(Table55[Country],Tabela1[[#This Row],[Country]],Table55[Men''s Classification],"&gt;0")</f>
        <v>1</v>
      </c>
      <c r="KO25" s="6">
        <f>COUNTIFS(Table55[Country],Tabela1[[#This Row],[Country]],Table55[Women''s Classification],"&gt;0")</f>
        <v>1</v>
      </c>
      <c r="KP25" s="6">
        <f>COUNTIFS(Table56[Country],Tabela1[[#This Row],[Country]],Table56[Mixed Classification],"&gt;0")</f>
        <v>0</v>
      </c>
      <c r="KQ25" s="6">
        <f>COUNTIFS(Table29[Country],Tabela1[[#This Row],[Country]],Table29[58kg Classification],"&gt;0")</f>
        <v>0</v>
      </c>
      <c r="KR25" s="6">
        <f>COUNTIFS(Table29[Country],Tabela1[[#This Row],[Country]],Table29[68kg Classification],"&gt;0")</f>
        <v>1</v>
      </c>
      <c r="KS25" s="6">
        <f>COUNTIFS(Table29[Country],Tabela1[[#This Row],[Country]],Table29[80kg Classification],"&gt;0")</f>
        <v>1</v>
      </c>
      <c r="KT25" s="6">
        <f>COUNTIFS(Table29[Country],Tabela1[[#This Row],[Country]],Table29[Plus 80kg Classification],"&gt;0")</f>
        <v>0</v>
      </c>
      <c r="KU25" s="6">
        <f>COUNTIFS(Table34[Country],Tabela1[[#This Row],[Country]],Table34[49kg Classification],"&gt;0")</f>
        <v>0</v>
      </c>
      <c r="KV25" s="6">
        <f>COUNTIFS(Table34[Country],Tabela1[[#This Row],[Country]],Table34[57kg Classification],"&gt;0")</f>
        <v>0</v>
      </c>
      <c r="KW25" s="6">
        <f>COUNTIFS(Table34[Country],Tabela1[[#This Row],[Country]],Table34[67kg Classification],"&gt;0")</f>
        <v>0</v>
      </c>
      <c r="KX25" s="6">
        <f>COUNTIFS(Table34[Country],Tabela1[[#This Row],[Country]],Table34[Plus 67kg Classification],"&gt;0")</f>
        <v>0</v>
      </c>
      <c r="KY25" s="6">
        <f>COUNTIFS(Table57[Country],Tabela1[[#This Row],[Country]],Table57[Classification],"&gt;0")</f>
        <v>0</v>
      </c>
      <c r="KZ25" s="6">
        <f>COUNTIFS(Table58[Country],Tabela1[[#This Row],[Country]],Table58[Classification],"&gt;0")</f>
        <v>1</v>
      </c>
      <c r="LA25" s="6">
        <f>COUNTIFS(Table79[Country],Tabela1[[#This Row],[Country]],Table79[Men''s Classification],"&gt;0")</f>
        <v>0</v>
      </c>
      <c r="LB25" s="6">
        <f>COUNTIFS(Table79[Country],Tabela1[[#This Row],[Country]],Table79[Women''s Classification],"&gt;0")</f>
        <v>0</v>
      </c>
      <c r="LC25" s="6">
        <f>COUNTIFS(Table79[Country],Tabela1[[#This Row],[Country]],Table79[Mixed Classification],"&gt;0")</f>
        <v>0</v>
      </c>
      <c r="LD25" s="6">
        <f>COUNTIFS(Table65[Country],Tabela1[[#This Row],[Country]],Table65[Classification],"&gt;0")</f>
        <v>0</v>
      </c>
      <c r="LE25" s="6">
        <f>COUNTIFS(Table59[Country],Tabela1[[#This Row],[Country]],Table59[Classification],"&gt;0")</f>
        <v>0</v>
      </c>
      <c r="LF25" s="6">
        <f>COUNTIFS(Table87[Country],Tabela1[[#This Row],[Country]],Table87[Mixed Relay Classification],"&gt;0")</f>
        <v>0</v>
      </c>
      <c r="LG25" s="6">
        <f>COUNTIFS(Table91949698100[Country],Tabela1[[#This Row],[Country]],Table91949698100[Men''s Classification],"&gt;0")</f>
        <v>1</v>
      </c>
      <c r="LH25" s="6">
        <f>COUNTIFS(Table91949698100[Country],Tabela1[[#This Row],[Country]],Table91949698100[Women''s Classification],"&gt;0")</f>
        <v>0</v>
      </c>
      <c r="LI25" s="6">
        <f>COUNTIFS(Table91949698100102[Country],Tabela1[[#This Row],[Country]],Table91949698100102[Men''s Classification],"&gt;0")</f>
        <v>0</v>
      </c>
      <c r="LJ25" s="6">
        <f>COUNTIFS(Table91949698100102[Country],Tabela1[[#This Row],[Country]],Table91949698100102[Women''s Classification],"&gt;0")</f>
        <v>0</v>
      </c>
      <c r="LK25" s="6">
        <f>COUNTIFS(Table23[Country],Tabela1[[#This Row],[Country]],Table23[61kg Classification],"&gt;0")</f>
        <v>0</v>
      </c>
      <c r="LL25" s="6">
        <f>COUNTIFS(Table23[Country],Tabela1[[#This Row],[Country]],Table23[73kg Classification],"&gt;0")</f>
        <v>0</v>
      </c>
      <c r="LM25" s="6">
        <f>COUNTIFS(Table23[Country],Tabela1[[#This Row],[Country]],Table23[89kg Classification],"&gt;0")</f>
        <v>1</v>
      </c>
      <c r="LN25" s="6">
        <f>COUNTIFS(Table23[Country],Tabela1[[#This Row],[Country]],Table23[102kg Classification],"&gt;0")</f>
        <v>0</v>
      </c>
      <c r="LO25" s="6">
        <f>COUNTIFS(Table23[Country],Tabela1[[#This Row],[Country]],Table23[Plus 102kg Classification],"&gt;0")</f>
        <v>0</v>
      </c>
      <c r="LP25" s="6">
        <f>COUNTIFS(Table28[Country],Tabela1[[#This Row],[Country]],Table28[49kg Classification],"&gt;0")</f>
        <v>0</v>
      </c>
      <c r="LQ25" s="6">
        <f>COUNTIFS(Table28[Country],Tabela1[[#This Row],[Country]],Table28[59kg Classification],"&gt;0")</f>
        <v>0</v>
      </c>
      <c r="LR25" s="6">
        <f>COUNTIFS(Table28[Country],Tabela1[[#This Row],[Country]],Table28[71kg Classification],"&gt;0")</f>
        <v>1</v>
      </c>
      <c r="LS25" s="6">
        <f>COUNTIFS(Table28[Country],Tabela1[[#This Row],[Country]],Table28[81kg Classification],"&gt;0")</f>
        <v>1</v>
      </c>
      <c r="LT25" s="6">
        <f>COUNTIFS(Table28[Country],Tabela1[[#This Row],[Country]],Table28[Plus 81kg Classification],"&gt;0")</f>
        <v>0</v>
      </c>
      <c r="LU25" s="6">
        <f>COUNTIFS(Table24[Country],Tabela1[[#This Row],[Country]],Table24[Freestyle 57kg Classification],"&gt;0")</f>
        <v>1</v>
      </c>
      <c r="LV25" s="6">
        <f>COUNTIFS(Table24[Country],Tabela1[[#This Row],[Country]],Table24[Freestyle 65kg Classification],"&gt;0")</f>
        <v>0</v>
      </c>
      <c r="LW25" s="6">
        <f>COUNTIFS(Table24[Country],Tabela1[[#This Row],[Country]],Table24[Freestyle 74kg Classification],"&gt;0")</f>
        <v>1</v>
      </c>
      <c r="LX25" s="6">
        <f>COUNTIFS(Table24[Country],Tabela1[[#This Row],[Country]],Table24[Freestyle 86kg Classification],"&gt;0")</f>
        <v>0</v>
      </c>
      <c r="LY25" s="6">
        <f>COUNTIFS(Table24[Country],Tabela1[[#This Row],[Country]],Table24[Freestyle 97kg Classification],"&gt;0")</f>
        <v>1</v>
      </c>
      <c r="LZ25" s="6">
        <f>COUNTIFS(Table24[Country],Tabela1[[#This Row],[Country]],Table24[Freestyle 125kg Classification],"&gt;0")</f>
        <v>0</v>
      </c>
      <c r="MA25" s="6">
        <f>COUNTIFS(Table24[Country],Tabela1[[#This Row],[Country]],Table24[Greco-Roman 60kg Classification],"&gt;0")</f>
        <v>1</v>
      </c>
      <c r="MB25" s="6">
        <f>COUNTIFS(Table24[Country],Tabela1[[#This Row],[Country]],Table24[Greco-Roman 67kg Classification],"&gt;0")</f>
        <v>0</v>
      </c>
      <c r="MC25" s="6">
        <f>COUNTIFS(Table24[Country],Tabela1[[#This Row],[Country]],Table24[Greco-Roman 77kg Classification],"&gt;0")</f>
        <v>1</v>
      </c>
      <c r="MD25" s="6">
        <f>COUNTIFS(Table24[Country],Tabela1[[#This Row],[Country]],Table24[Greco-Roman 87kg Classification],"&gt;0")</f>
        <v>0</v>
      </c>
      <c r="ME25" s="6">
        <f>COUNTIFS(Table24[Country],Tabela1[[#This Row],[Country]],Table24[Greco-Roman 97kg Classification],"&gt;0")</f>
        <v>1</v>
      </c>
      <c r="MF25" s="6">
        <f>COUNTIFS(Table24[Country],Tabela1[[#This Row],[Country]],Table24[Greco-Roman 130kg Classification],"&gt;0")</f>
        <v>1</v>
      </c>
      <c r="MG25" s="6">
        <f>COUNTIFS(Table31[Country],Tabela1[[#This Row],[Country]],Table31[50kg Classification],"&gt;0")</f>
        <v>0</v>
      </c>
      <c r="MH25" s="6">
        <f>COUNTIFS(Table31[Country],Tabela1[[#This Row],[Country]],Table31[53kg Classification],"&gt;0")</f>
        <v>0</v>
      </c>
      <c r="MI25" s="6">
        <f>COUNTIFS(Table31[Country],Tabela1[[#This Row],[Country]],Table31[57kg Classification],"&gt;0")</f>
        <v>0</v>
      </c>
      <c r="MJ25" s="6">
        <f>COUNTIFS(Table31[Country],Tabela1[[#This Row],[Country]],Table31[62kg Classification],"&gt;0")</f>
        <v>0</v>
      </c>
      <c r="MK25" s="6">
        <f>COUNTIFS(Table31[Country],Tabela1[[#This Row],[Country]],Table31[68kg Classification],"&gt;0")</f>
        <v>0</v>
      </c>
      <c r="ML25" s="6">
        <f>COUNTIFS(Table31[Country],Tabela1[[#This Row],[Country]],Table31[76kg Classification],"&gt;0")</f>
        <v>0</v>
      </c>
      <c r="MM25" s="6">
        <f>COUNTIFS(Table102[Country],Tabela1[[#This Row],[Country]],Table102[Downhill Classification],"&gt;0")</f>
        <v>0</v>
      </c>
      <c r="MN25" s="6">
        <f>COUNTIFS(Table102105[Country],Tabela1[[#This Row],[Country]],Table102105[Downhill Classification],"&gt;0")</f>
        <v>0</v>
      </c>
      <c r="MO25" s="6">
        <f>COUNTIFS(Table102[Country],Tabela1[[#This Row],[Country]],Table102[Giant Slalom Classification],"&gt;0")</f>
        <v>0</v>
      </c>
      <c r="MP25" s="6">
        <f>COUNTIFS(Table102105[Country],Tabela1[[#This Row],[Country]],Table102105[Giant Slalom Classification],"&gt;0")</f>
        <v>0</v>
      </c>
      <c r="MQ25" s="6">
        <f>COUNTIFS(Table102[Country],Tabela1[[#This Row],[Country]],Table102[Slalom Classification],"&gt;0")</f>
        <v>0</v>
      </c>
      <c r="MR25" s="6">
        <f>COUNTIFS(Table102105[Country],Tabela1[[#This Row],[Country]],Table102105[Slalom Classification],"&gt;0")</f>
        <v>0</v>
      </c>
      <c r="MS25" s="6">
        <f>COUNTIFS(Table102[Country],Tabela1[[#This Row],[Country]],Table102[Super-G Classification],"&gt;0")</f>
        <v>0</v>
      </c>
      <c r="MT25" s="6">
        <f>COUNTIFS(Table102105[Country],Tabela1[[#This Row],[Country]],Table102105[Super-G Classification],"&gt;0")</f>
        <v>0</v>
      </c>
      <c r="MU25" s="6">
        <f>COUNTIFS(Table105[Country],Tabela1[[#This Row],[Country]],Table105[Men''s Combined Classification],"&gt;0")</f>
        <v>0</v>
      </c>
      <c r="MV25" s="6">
        <f>COUNTIFS(Table105[Country],Tabela1[[#This Row],[Country]],Table105[Women''s Combined Classification],"&gt;0")</f>
        <v>0</v>
      </c>
      <c r="MW25" s="6">
        <f>COUNTIFS(Table106[Country],Tabela1[[#This Row],[Country]],Table106[Individual Classification],"&gt;0")</f>
        <v>0</v>
      </c>
      <c r="MX25" s="6">
        <f>COUNTIFS(Table106109[Country],Tabela1[[#This Row],[Country]],Table106109[Individual Classification],"&gt;0")</f>
        <v>0</v>
      </c>
      <c r="MY25" s="6">
        <f>COUNTIFS(Table106[Country],Tabela1[[#This Row],[Country]],Table106[Mass Start Classification],"&gt;0")</f>
        <v>0</v>
      </c>
      <c r="MZ25" s="6">
        <f>COUNTIFS(Table106109[Country],Tabela1[[#This Row],[Country]],Table106109[Mass Start Classification],"&gt;0")</f>
        <v>0</v>
      </c>
      <c r="NA25" s="6">
        <f>COUNTIFS(Table106[Country],Tabela1[[#This Row],[Country]],Table106[Pursuit Classification],"&gt;0")</f>
        <v>0</v>
      </c>
      <c r="NB25" s="6">
        <f>COUNTIFS(Table106109[Country],Tabela1[[#This Row],[Country]],Table106109[Pursuit Classification],"&gt;0")</f>
        <v>0</v>
      </c>
      <c r="NC25" s="6">
        <f>COUNTIFS(Table106[Country],Tabela1[[#This Row],[Country]],Table106[Sprint Classification],"&gt;0")</f>
        <v>0</v>
      </c>
      <c r="ND25" s="6">
        <f>COUNTIFS(Table106109[Country],Tabela1[[#This Row],[Country]],Table106109[Sprint Classification],"&gt;0")</f>
        <v>0</v>
      </c>
      <c r="NE25" s="6">
        <f>COUNTIFS(Table109[Country],Tabela1[[#This Row],[Country]],Table109[Men''s Relay Classification],"&gt;0")</f>
        <v>0</v>
      </c>
      <c r="NF25" s="6">
        <f>COUNTIFS(Table109[Country],Tabela1[[#This Row],[Country]],Table109[Women''s Relay Classification],"&gt;0")</f>
        <v>0</v>
      </c>
      <c r="NG25" s="6">
        <f>COUNTIFS(Table109[Country],Tabela1[[#This Row],[Country]],Table109[Mixed Relay Classification],"&gt;0")</f>
        <v>0</v>
      </c>
      <c r="NH25" s="6">
        <f>COUNTIFS(Table110[Country],Tabela1[[#This Row],[Country]],Table110[Monobob Classification],"&gt;0")</f>
        <v>0</v>
      </c>
      <c r="NI25" s="6">
        <f>COUNTIFS(Table111[Country],Tabela1[[#This Row],[Country]],Table111[Men''s Classification],"&gt;0")</f>
        <v>0</v>
      </c>
      <c r="NJ25" s="6">
        <f>COUNTIFS(Table111[Country],Tabela1[[#This Row],[Country]],Table111[Women''s Classification],"&gt;0")</f>
        <v>0</v>
      </c>
      <c r="NK25" s="6">
        <f>COUNTIFS(Table112[Country],Tabela1[[#This Row],[Country]],Table112[Men''s Four Classification],"&gt;0")</f>
        <v>0</v>
      </c>
      <c r="NL25" s="6">
        <f>COUNTIFS(Table113[Country],Tabela1[[#This Row],[Country]],Table113[Classical Classification],"&gt;0")</f>
        <v>0</v>
      </c>
      <c r="NM25" s="6">
        <f>COUNTIFS(Table113116[Country],Tabela1[[#This Row],[Country]],Table113116[Classical Classification],"&gt;0")</f>
        <v>0</v>
      </c>
      <c r="NN25" s="6">
        <f>COUNTIFS(Table113[Country],Tabela1[[#This Row],[Country]],Table113[Freestyle Classification],"&gt;0")</f>
        <v>0</v>
      </c>
      <c r="NO25" s="6">
        <f>COUNTIFS(Table113116[Country],Tabela1[[#This Row],[Country]],Table113116[Freestyle Classification],"&gt;0")</f>
        <v>0</v>
      </c>
      <c r="NP25" s="6">
        <f>COUNTIFS(Table117[Country],Tabela1[[#This Row],[Country]],Table117[Men''s Relay Classification],"&gt;0")</f>
        <v>0</v>
      </c>
      <c r="NQ25" s="6">
        <f>COUNTIFS(Table117[Country],Tabela1[[#This Row],[Country]],Table117[Women''s Relay Classification],"&gt;0")</f>
        <v>0</v>
      </c>
      <c r="NR25" s="6">
        <f>COUNTIFS(Table113[Country],Tabela1[[#This Row],[Country]],Table113[Skiathlon Classification],"&gt;0")</f>
        <v>0</v>
      </c>
      <c r="NS25" s="6">
        <f>COUNTIFS(Table113116[Country],Tabela1[[#This Row],[Country]],Table113116[Skiathlon Classification],"&gt;0")</f>
        <v>0</v>
      </c>
      <c r="NT25" s="6">
        <f>COUNTIFS(Table113[Country],Tabela1[[#This Row],[Country]],Table113[Sprint Classification],"&gt;0")</f>
        <v>0</v>
      </c>
      <c r="NU25" s="6">
        <f>COUNTIFS(Table113116[Country],Tabela1[[#This Row],[Country]],Table113116[Sprint Classification],"&gt;0")</f>
        <v>0</v>
      </c>
      <c r="NV25" s="6">
        <f>COUNTIFS(Table116[Country],Tabela1[[#This Row],[Country]],Table116[Men''s Team Sprint Classification],"&gt;0")</f>
        <v>0</v>
      </c>
      <c r="NW25" s="6">
        <f>COUNTIFS(Table116[Country],Tabela1[[#This Row],[Country]],Table116[Women''s Team Sprint Classification],"&gt;0")</f>
        <v>0</v>
      </c>
      <c r="NX25" s="6">
        <f>COUNTIFS(Table119[Country],Tabela1[[#This Row],[Country]],Table119[Men''s Classification],"&gt;0")</f>
        <v>0</v>
      </c>
      <c r="NY25" s="6">
        <f>COUNTIFS(Table119[Country],Tabela1[[#This Row],[Country]],Table119[Women''s Classification],"&gt;0")</f>
        <v>0</v>
      </c>
      <c r="NZ25" s="6">
        <f>COUNTIFS(Table118[Country],Tabela1[[#This Row],[Country]],Table118[Mixed Classification],"&gt;0")</f>
        <v>0</v>
      </c>
      <c r="OA25" s="6">
        <f>COUNTIFS(Table120[Country],Tabela1[[#This Row],[Country]],Table120[Classification],"&gt;0")</f>
        <v>0</v>
      </c>
      <c r="OB25" s="6">
        <f>COUNTIFS(Table120123[Country],Tabela1[[#This Row],[Country]],Table120123[Classification],"&gt;0")</f>
        <v>0</v>
      </c>
      <c r="OC25" s="6">
        <f>COUNTIFS(Table123[Country],Tabela1[[#This Row],[Country]],Table123[Ice Dance Classification],"&gt;0")</f>
        <v>0</v>
      </c>
      <c r="OD25" s="6">
        <f>COUNTIFS(Table123[Country],Tabela1[[#This Row],[Country]],Table123[Pair Skating Classification],"&gt;0")</f>
        <v>0</v>
      </c>
      <c r="OE25" s="6">
        <f>COUNTIFS(Table124[Country],Tabela1[[#This Row],[Country]],Table124[Mixed Classification],"&gt;0")</f>
        <v>0</v>
      </c>
      <c r="OF25" s="6">
        <f>COUNTIFS(Table125[Country],Tabela1[[#This Row],[Country]],Table125[Aerials Classification],"&gt;0")</f>
        <v>0</v>
      </c>
      <c r="OG25" s="6">
        <f>COUNTIFS(Table125128[Country],Tabela1[[#This Row],[Country]],Table125128[Aerials Classification],"&gt;0")</f>
        <v>0</v>
      </c>
      <c r="OH25" s="6">
        <f>COUNTIFS(Table128[Country],Tabela1[[#This Row],[Country]],Table128[Mixed Aerials Classification],"&gt;0")</f>
        <v>0</v>
      </c>
      <c r="OI25" s="6">
        <f>COUNTIFS(Table125[Country],Tabela1[[#This Row],[Country]],Table125[Big Air Classification],"&gt;0")</f>
        <v>0</v>
      </c>
      <c r="OJ25" s="6">
        <f>COUNTIFS(Table125128[Country],Tabela1[[#This Row],[Country]],Table125128[Big Air Classification],"&gt;0")</f>
        <v>0</v>
      </c>
      <c r="OK25" s="6">
        <f>COUNTIFS(Table125[Country],Tabela1[[#This Row],[Country]],Table125[Dual Moguls Classification],"&gt;0")</f>
        <v>0</v>
      </c>
      <c r="OL25" s="6">
        <f>COUNTIFS(Table125128[Country],Tabela1[[#This Row],[Country]],Table125128[Dual Moguls Classification],"&gt;0")</f>
        <v>0</v>
      </c>
      <c r="OM25" s="6">
        <f>COUNTIFS(Table125[Country],Tabela1[[#This Row],[Country]],Table125[Halfpipe Classification],"&gt;0")</f>
        <v>0</v>
      </c>
      <c r="ON25" s="6">
        <f>COUNTIFS(Table125128[Country],Tabela1[[#This Row],[Country]],Table125128[Halfpipe Classification],"&gt;0")</f>
        <v>0</v>
      </c>
      <c r="OO25" s="6">
        <f>COUNTIFS(Table125[Country],Tabela1[[#This Row],[Country]],Table125[Moguls Classification],"&gt;0")</f>
        <v>0</v>
      </c>
      <c r="OP25" s="6">
        <f>COUNTIFS(Table125128[Country],Tabela1[[#This Row],[Country]],Table125128[Moguls Classification],"&gt;0")</f>
        <v>0</v>
      </c>
      <c r="OQ25" s="6">
        <f>COUNTIFS(Table125[Country],Tabela1[[#This Row],[Country]],Table125[Ski Cross Classification],"&gt;0")</f>
        <v>0</v>
      </c>
      <c r="OR25" s="6">
        <f>COUNTIFS(Table125128[Country],Tabela1[[#This Row],[Country]],Table125128[Ski Cross Classification],"&gt;0")</f>
        <v>0</v>
      </c>
      <c r="OS25" s="6">
        <f>COUNTIFS(Table125[Country],Tabela1[[#This Row],[Country]],Table125[Slopestyle Classification],"&gt;0")</f>
        <v>0</v>
      </c>
      <c r="OT25" s="6">
        <f>COUNTIFS(Table125128[Country],Tabela1[[#This Row],[Country]],Table125128[Slopestyle Classification],"&gt;0")</f>
        <v>0</v>
      </c>
      <c r="OU25" s="6">
        <f>COUNTIFS(Table119131[Country],Tabela1[[#This Row],[Country]],Table119131[Men''s Classification],"&gt;0")</f>
        <v>0</v>
      </c>
      <c r="OV25" s="6">
        <f>COUNTIFS(Table119131[Country],Tabela1[[#This Row],[Country]],Table119131[Women''s Classification],"&gt;0")</f>
        <v>0</v>
      </c>
      <c r="OW25" s="6">
        <f>COUNTIFS(Table131[Country],Tabela1[[#This Row],[Country]],Table131[Classification],"&gt;0")</f>
        <v>0</v>
      </c>
      <c r="OX25" s="6">
        <f>COUNTIFS(Table131134[Country],Tabela1[[#This Row],[Country]],Table131134[Classification],"&gt;0")</f>
        <v>0</v>
      </c>
      <c r="OY25" s="6">
        <f>COUNTIFS(Table134[Country],Tabela1[[#This Row],[Country]],Table134[Men''s Classification],"&gt;0")</f>
        <v>0</v>
      </c>
      <c r="OZ25" s="6">
        <f>COUNTIFS(Table134[Country],Tabela1[[#This Row],[Country]],Table134[Women''s Classification],"&gt;0")</f>
        <v>0</v>
      </c>
      <c r="PA25" s="6">
        <f>COUNTIFS(Table135[Country],Tabela1[[#This Row],[Country]],Table135[Mixed Relay Classification],"&gt;0")</f>
        <v>0</v>
      </c>
      <c r="PB25" s="6">
        <f>COUNTIFS(Table136[Country],Tabela1[[#This Row],[Country]],Table136[Individual Classification],"&gt;0")</f>
        <v>0</v>
      </c>
      <c r="PC25" s="6">
        <f>COUNTIFS(Table136[Country],Tabela1[[#This Row],[Country]],Table136[Sprint Classification],"&gt;0")</f>
        <v>0</v>
      </c>
      <c r="PD25" s="6">
        <f>COUNTIFS(Table137[Country],Tabela1[[#This Row],[Country]],Table137[Men''s Team Sprint Large Hill Classification],"&gt;0")</f>
        <v>0</v>
      </c>
      <c r="PE25" s="6">
        <f>COUNTIFS(Table138[Country],Tabela1[[#This Row],[Country]],Table138[500m Classification],"&gt;0")</f>
        <v>0</v>
      </c>
      <c r="PF25" s="6">
        <f>COUNTIFS(Table138141[Country],Tabela1[[#This Row],[Country]],Table138141[500m Classification],"&gt;0")</f>
        <v>0</v>
      </c>
      <c r="PG25" s="6">
        <f>COUNTIFS(Table138[Country],Tabela1[[#This Row],[Country]],Table138[1000m Classification],"&gt;0")</f>
        <v>0</v>
      </c>
      <c r="PH25" s="6">
        <f>COUNTIFS(Table138141[Country],Tabela1[[#This Row],[Country]],Table138141[1000m Classification],"&gt;0")</f>
        <v>0</v>
      </c>
      <c r="PI25" s="6">
        <f>COUNTIFS(Table138[Country],Tabela1[[#This Row],[Country]],Table138[1500m Classification],"&gt;0")</f>
        <v>0</v>
      </c>
      <c r="PJ25" s="6">
        <f>COUNTIFS(Table138141[Country],Tabela1[[#This Row],[Country]],Table138141[1500m Classification],"&gt;0")</f>
        <v>0</v>
      </c>
      <c r="PK25" s="6">
        <f>COUNTIFS(Table141[Country],Tabela1[[#This Row],[Country]],Table141[Men''s 5000m Relay Classification],"&gt;0")</f>
        <v>0</v>
      </c>
      <c r="PL25" s="6">
        <f>COUNTIFS(Table141[Country],Tabela1[[#This Row],[Country]],Table141[Women''s 3000m Relay Classification],"&gt;0")</f>
        <v>0</v>
      </c>
      <c r="PM25" s="6">
        <f>COUNTIFS(Table141[Country],Tabela1[[#This Row],[Country]],Table141[Mixed 2000m Relay Classification],"&gt;0")</f>
        <v>0</v>
      </c>
      <c r="PN25" s="6">
        <f>COUNTIFS(Table142[Country],Tabela1[[#This Row],[Country]],Table142[Classification],"&gt;0")</f>
        <v>0</v>
      </c>
      <c r="PO25" s="6">
        <f>COUNTIFS(Table142145[Country],Tabela1[[#This Row],[Country]],Table142145[Classification],"&gt;0")</f>
        <v>0</v>
      </c>
      <c r="PP25" s="6">
        <f>COUNTIFS(Tabela15[Country],Tabela1[[#This Row],[Country]],Tabela15[Mixed Team Classification],"&gt;0")</f>
        <v>0</v>
      </c>
      <c r="PQ25" s="6">
        <f>COUNTIFS(Table145[Country],Tabela1[[#This Row],[Country]],Table145[Large Hill Classification],"&gt;0")</f>
        <v>0</v>
      </c>
      <c r="PR25" s="6">
        <f>COUNTIFS(Table145[Country],Tabela1[[#This Row],[Country]],Table145[Normal Hill Classification],"&gt;0")</f>
        <v>0</v>
      </c>
      <c r="PS25" s="6">
        <f>COUNTIFS(Table145148[Country],Tabela1[[#This Row],[Country]],Table145148[Large Hill Classification],"&gt;0")</f>
        <v>0</v>
      </c>
      <c r="PT25" s="6">
        <f>COUNTIFS(Table145148[Country],Tabela1[[#This Row],[Country]],Table145148[Normal Hill Classification],"&gt;0")</f>
        <v>0</v>
      </c>
      <c r="PU25" s="6">
        <f>COUNTIFS(Table148[Country],Tabela1[[#This Row],[Country]],Table148[Men''s Super Team Classification],"&gt;0")</f>
        <v>0</v>
      </c>
      <c r="PV25" s="6">
        <f>COUNTIFS(Tabela114[Country],Tabela1[[#This Row],[Country]],Tabela114[Mixed Normal Hill Classification],"&gt;0")</f>
        <v>0</v>
      </c>
      <c r="PW25" s="6">
        <f>COUNTIFS(Tabela50[Country],Tabela1[[#This Row],[Country]],Tabela50[Sprint Classification],"&gt;0")</f>
        <v>0</v>
      </c>
      <c r="PX25" s="6">
        <f>COUNTIFS(Tabela50101[Country],Tabela1[[#This Row],[Country]],Tabela50101[Sprint Classification],"&gt;0")</f>
        <v>0</v>
      </c>
      <c r="PY25" s="6">
        <f>COUNTIFS(Tabela103[Country],Tabela1[[#This Row],[Country]],Tabela103[Mixed Relay Classification],"&gt;0")</f>
        <v>0</v>
      </c>
      <c r="PZ25" s="6">
        <f>COUNTIFS(Table149[Country],Tabela1[[#This Row],[Country]],Table149[Big Air Classification],"&gt;0")</f>
        <v>0</v>
      </c>
      <c r="QA25" s="6">
        <f>COUNTIFS(Table149152[Country],Tabela1[[#This Row],[Country]],Table149152[Big Air Classification],"&gt;0")</f>
        <v>0</v>
      </c>
      <c r="QB25" s="6">
        <f>COUNTIFS(Table149[Country],Tabela1[[#This Row],[Country]],Table149[Halfpipe Classification],"&gt;0")</f>
        <v>0</v>
      </c>
      <c r="QC25" s="6">
        <f>COUNTIFS(Table149152[Country],Tabela1[[#This Row],[Country]],Table149152[Halfpipe Classification],"&gt;0")</f>
        <v>0</v>
      </c>
      <c r="QD25" s="6">
        <f>COUNTIFS(Table149[Country],Tabela1[[#This Row],[Country]],Table149[Parallel Giant Slalom Classification],"&gt;0")</f>
        <v>0</v>
      </c>
      <c r="QE25" s="6">
        <f>COUNTIFS(Table149152[Country],Tabela1[[#This Row],[Country]],Table149152[Parallel Giant Slalom Classification],"&gt;0")</f>
        <v>0</v>
      </c>
      <c r="QF25" s="6">
        <f>COUNTIFS(Table149[Country],Tabela1[[#This Row],[Country]],Table149[Slopestyle Classification],"&gt;0")</f>
        <v>0</v>
      </c>
      <c r="QG25" s="6">
        <f>COUNTIFS(Table149152[Country],Tabela1[[#This Row],[Country]],Table149152[Slopestyle Classification],"&gt;0")</f>
        <v>0</v>
      </c>
      <c r="QH25" s="6">
        <f>COUNTIFS(Table149[Country],Tabela1[[#This Row],[Country]],Table149[Snowboard Cross Classification],"&gt;0")</f>
        <v>0</v>
      </c>
      <c r="QI25" s="6">
        <f>COUNTIFS(Table149152[Country],Tabela1[[#This Row],[Country]],Table149152[Snowboard Cross Classification],"&gt;0")</f>
        <v>0</v>
      </c>
      <c r="QJ25" s="6">
        <f>COUNTIFS(Table153[Country],Tabela1[[#This Row],[Country]],Table153[Mixed Team Snowboard Cross Classification],"&gt;0")</f>
        <v>0</v>
      </c>
      <c r="QK25" s="6">
        <f>COUNTIFS(Table154[Country],Tabela1[[#This Row],[Country]],Table154[500m Classification],"&gt;0")</f>
        <v>0</v>
      </c>
      <c r="QL25" s="6">
        <f>COUNTIFS(Table154157[Country],Tabela1[[#This Row],[Country]],Table154157[500m Classification],"&gt;0")</f>
        <v>0</v>
      </c>
      <c r="QM25" s="6">
        <f>COUNTIFS(Table154[Country],Tabela1[[#This Row],[Country]],Table154[1000m Classification],"&gt;0")</f>
        <v>0</v>
      </c>
      <c r="QN25" s="6">
        <f>COUNTIFS(Table154157[Country],Tabela1[[#This Row],[Country]],Table154157[1000m Classification],"&gt;0")</f>
        <v>0</v>
      </c>
      <c r="QO25" s="6">
        <f>COUNTIFS(Table154[Country],Tabela1[[#This Row],[Country]],Table154[1500m Classification],"&gt;0")</f>
        <v>0</v>
      </c>
      <c r="QP25" s="6">
        <f>COUNTIFS(Table154157[Country],Tabela1[[#This Row],[Country]],Table154157[1500m Classification],"&gt;0")</f>
        <v>0</v>
      </c>
      <c r="QQ25" s="6">
        <f>COUNTIFS(Table154157[Country],Tabela1[[#This Row],[Country]],Table154157[3000m Classification],"&gt;0")</f>
        <v>0</v>
      </c>
      <c r="QR25" s="6">
        <f>COUNTIFS(Table154[Country],Tabela1[[#This Row],[Country]],Table154[5000m Classification],"&gt;0")</f>
        <v>0</v>
      </c>
      <c r="QS25" s="6">
        <f>COUNTIFS(Table154157[Country],Tabela1[[#This Row],[Country]],Table154157[5000m Classification],"&gt;0")</f>
        <v>0</v>
      </c>
      <c r="QT25" s="6">
        <f>COUNTIFS(Table154[Country],Tabela1[[#This Row],[Country]],Table154[10000m Classification],"&gt;0")</f>
        <v>0</v>
      </c>
      <c r="QU25" s="6">
        <f>COUNTIFS(Table154[Country],Tabela1[[#This Row],[Country]],Table154[Mass Start Classification],"&gt;0")</f>
        <v>0</v>
      </c>
      <c r="QV25" s="6">
        <f>COUNTIFS(Table154157[Country],Tabela1[[#This Row],[Country]],Table154157[Mass Start Classification],"&gt;0")</f>
        <v>0</v>
      </c>
      <c r="QW25" s="6">
        <f>COUNTIFS(Table157[Country],Tabela1[[#This Row],[Country]],Table157[Men''s Pursuit Classification],"&gt;0")</f>
        <v>0</v>
      </c>
      <c r="QX25" s="6">
        <f>COUNTIFS(Table157[Country],Tabela1[[#This Row],[Country]],Table157[Women''s Pursuit Classification],"&gt;0")</f>
        <v>0</v>
      </c>
      <c r="QY25" s="3" t="s">
        <v>327</v>
      </c>
    </row>
    <row r="26" spans="1:467" x14ac:dyDescent="0.3">
      <c r="A26" s="6">
        <v>25</v>
      </c>
      <c r="B26" s="6" t="s">
        <v>340</v>
      </c>
      <c r="C26" t="e" vm="25">
        <f>IF(ISBLANK(Tabela1[[#This Row],[Image Link]]), "", _xlfn.IMAGE(Tabela1[[#This Row],[Image Link]],1,1))</f>
        <v>#VALUE!</v>
      </c>
      <c r="D26" s="6">
        <f>SUM(Tabela1[[#This Row],[Archery - Men''s Individual Recurve]:[Speed Skating - Women''s Team Pursuit]])</f>
        <v>48</v>
      </c>
      <c r="E26" s="6">
        <f>COUNTIF(Tabela1[[#This Row],[Archery - Men''s Individual Recurve]:[Speed Skating - Women''s Team Pursuit]],"&gt;0")</f>
        <v>43</v>
      </c>
      <c r="F26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26" s="6">
        <f>SUM(Tabela1[[#This Row],[Archery - Men''s Individual Recurve]:[Wrestling - Women''s Freestyle 76kg]])</f>
        <v>44</v>
      </c>
      <c r="H26" s="6">
        <f>SUM(Tabela1[[#This Row],[Alpine Skiing - Men''s Downhill]:[Speed Skating - Women''s Team Pursuit]])</f>
        <v>4</v>
      </c>
      <c r="I26" s="6">
        <f>Tabela1[[#This Row],[Summer Gold Medals]]+Tabela1[[#This Row],[Winter Gold Medals]]</f>
        <v>1</v>
      </c>
      <c r="J26" s="6">
        <f>Tabela1[[#This Row],[Summer Silver Medals]]+Tabela1[[#This Row],[Winter Silver Medals]]</f>
        <v>1</v>
      </c>
      <c r="K26" s="6">
        <f>Tabela1[[#This Row],[Summer Bronze Medals]]+Tabela1[[#This Row],[Winter Bronze Medals]]</f>
        <v>1</v>
      </c>
      <c r="L26" s="6">
        <f>SUM(Tabela1[[#This Row],[Total Gold Medals]:[Total Bronze Medals]])</f>
        <v>3</v>
      </c>
      <c r="M26" s="6">
        <v>1</v>
      </c>
      <c r="N26" s="6">
        <v>1</v>
      </c>
      <c r="O26" s="6">
        <v>1</v>
      </c>
      <c r="P26" s="6">
        <f>SUM(Tabela1[[#This Row],[Summer Gold Medals]:[Summer Bronze Medals]])</f>
        <v>3</v>
      </c>
      <c r="Q26" s="6"/>
      <c r="R26" s="6"/>
      <c r="S26" s="6"/>
      <c r="T26" s="6">
        <f>Tabela1[[#This Row],[Winter Gold Medals]]+Tabela1[[#This Row],[Winter Silver Medals]]+Tabela1[[#This Row],[Winter Bronze Medals]]</f>
        <v>0</v>
      </c>
      <c r="U26" s="7">
        <f>Tabela1[[#This Row],[Total Medals]]/Tabela1[[#This Row],[Total Quotas]]</f>
        <v>6.25E-2</v>
      </c>
      <c r="V26" s="6">
        <f>COUNTIFS(Table3[Country],Tabela1[[#This Row],[Country]],Table3[Recurve Classification],"&gt;0")</f>
        <v>1</v>
      </c>
      <c r="W26" s="6">
        <f>COUNTIFS(Table33[Country],Tabela1[[#This Row],[Country]],Table33[Recurve Classification],"&gt;0")</f>
        <v>0</v>
      </c>
      <c r="X26" s="6">
        <f>COUNTIFS(Table35[Country],Tabela1[[#This Row],[Country]],Table35[Men''s Team Recurve Classification],"&gt;0")</f>
        <v>0</v>
      </c>
      <c r="Y26" s="6">
        <f>COUNTIFS(Table35[Country],Tabela1[[#This Row],[Country]],Table35[Women''s Team Recurve Classification],"&gt;0")</f>
        <v>0</v>
      </c>
      <c r="Z26" s="6">
        <f>COUNTIFS(Tabela88[Country],Tabela1[[#This Row],[Country]],Tabela88[Mixed Team Recurve Classification],"&gt;0")</f>
        <v>0</v>
      </c>
      <c r="AA26" s="6">
        <f>COUNTIFS(Table36[Country],Tabela1[[#This Row],[Country]],Table36[Classification],"&gt;0")</f>
        <v>0</v>
      </c>
      <c r="AB26" s="6">
        <f>COUNTIFS(Table37[Country],Tabela1[[#This Row],[Country]],Table37[Classification],"&gt;0")</f>
        <v>0</v>
      </c>
      <c r="AC26" s="6">
        <f>COUNTIFS(Table4[Country],Tabela1[[#This Row],[Country]],Table4[100m Classification],"&gt;0")</f>
        <v>0</v>
      </c>
      <c r="AD26" s="6">
        <f>COUNTIFS(Table5[Country],Tabela1[[#This Row],[Country]],Table5[100m Classification],"&gt;0")</f>
        <v>0</v>
      </c>
      <c r="AE26" s="6">
        <f>COUNTIFS(Table4[Country],Tabela1[[#This Row],[Country]],Table4[200m Classification],"&gt;0")</f>
        <v>0</v>
      </c>
      <c r="AF26" s="6">
        <f>COUNTIFS(Table5[Country],Tabela1[[#This Row],[Country]],Table5[200m Classification],"&gt;0")</f>
        <v>0</v>
      </c>
      <c r="AG26" s="6">
        <f>COUNTIFS(Table4[Country],Tabela1[[#This Row],[Country]],Table4[400m Classification],"&gt;0")</f>
        <v>1</v>
      </c>
      <c r="AH26" s="6">
        <f>COUNTIFS(Table5[Country],Tabela1[[#This Row],[Country]],Table5[400m Classification],"&gt;0")</f>
        <v>0</v>
      </c>
      <c r="AI26" s="6">
        <f>COUNTIFS(Table4[Country],Tabela1[[#This Row],[Country]],Table4[800m Classification],"&gt;0")</f>
        <v>0</v>
      </c>
      <c r="AJ26" s="6">
        <f>COUNTIFS(Table5[Country],Tabela1[[#This Row],[Country]],Table5[800m Classification],"&gt;0")</f>
        <v>0</v>
      </c>
      <c r="AK26" s="6">
        <f>COUNTIFS(Table4[Country],Tabela1[[#This Row],[Country]],Table4[1500m Classification],"&gt;0")</f>
        <v>0</v>
      </c>
      <c r="AL26" s="6">
        <f>COUNTIFS(Table5[Country],Tabela1[[#This Row],[Country]],Table5[1500m Classification],"&gt;0")</f>
        <v>0</v>
      </c>
      <c r="AM26" s="6">
        <f>COUNTIFS(Table4[Country],Tabela1[[#This Row],[Country]],Table4[5000m Classification],"&gt;0")</f>
        <v>0</v>
      </c>
      <c r="AN26" s="6">
        <f>COUNTIFS(Table5[Country],Tabela1[[#This Row],[Country]],Table5[5000m Classification],"&gt;0")</f>
        <v>0</v>
      </c>
      <c r="AO26" s="6">
        <f>COUNTIFS(Table4[Country],Tabela1[[#This Row],[Country]],Table4[10000m Classification],"&gt;0")</f>
        <v>0</v>
      </c>
      <c r="AP26" s="6">
        <f>COUNTIFS(Table5[Country],Tabela1[[#This Row],[Country]],Table5[10000m Classification],"&gt;0")</f>
        <v>0</v>
      </c>
      <c r="AQ26" s="6">
        <f>COUNTIFS(Table4[Country],Tabela1[[#This Row],[Country]],Table4[110m Hurdles Classification],"&gt;0")</f>
        <v>0</v>
      </c>
      <c r="AR26" s="6">
        <f>COUNTIFS(Table5[Country],Tabela1[[#This Row],[Country]],Table5[100m Hurdles Classification],"&gt;0")</f>
        <v>0</v>
      </c>
      <c r="AS26" s="6">
        <f>COUNTIFS(Table4[Country],Tabela1[[#This Row],[Country]],Table4[400m Hurdles Classification],"&gt;0")</f>
        <v>0</v>
      </c>
      <c r="AT26" s="6">
        <f>COUNTIFS(Table5[Country],Tabela1[[#This Row],[Country]],Table5[400m Hurdles Classification],"&gt;0")</f>
        <v>0</v>
      </c>
      <c r="AU26" s="6">
        <f>COUNTIFS(Table4[Country],Tabela1[[#This Row],[Country]],Table4[3000m Steeplechase Classification],"&gt;0")</f>
        <v>0</v>
      </c>
      <c r="AV26" s="6">
        <f>COUNTIFS(Table5[Country],Tabela1[[#This Row],[Country]],Table5[3000m Steeplechase Classification],"&gt;0")</f>
        <v>1</v>
      </c>
      <c r="AW26" s="6">
        <f>COUNTIFS(Table27[Country],Tabela1[[#This Row],[Country]],Table27[Men''s 4x100m Relay Classification],"&gt;0")</f>
        <v>0</v>
      </c>
      <c r="AX26" s="6">
        <f>COUNTIFS(Table27[Country],Tabela1[[#This Row],[Country]],Table27[Women''s 4x100m Relay Classification],"&gt;0")</f>
        <v>0</v>
      </c>
      <c r="AY26" s="6">
        <f>COUNTIFS(Table27[Country],Tabela1[[#This Row],[Country]],Table27[Men''s 4x400m Relay Classification],"&gt;0")</f>
        <v>0</v>
      </c>
      <c r="AZ26" s="6">
        <f>COUNTIFS(Table27[Country],Tabela1[[#This Row],[Country]],Table27[Women''s 4x400m Relay Classification],"&gt;0")</f>
        <v>0</v>
      </c>
      <c r="BA26" s="6">
        <f>COUNTIFS(Table27[Country],Tabela1[[#This Row],[Country]],Table27[Mixed 4x400m Relay Classification],"&gt;0")</f>
        <v>0</v>
      </c>
      <c r="BB26" s="6">
        <f>COUNTIFS(Table4[Country],Tabela1[[#This Row],[Country]],Table4[Marathon Classification],"&gt;0")</f>
        <v>0</v>
      </c>
      <c r="BC26" s="6">
        <f>COUNTIFS(Table5[Country],Tabela1[[#This Row],[Country]],Table5[Marathon Classification],"&gt;0")</f>
        <v>2</v>
      </c>
      <c r="BD26" s="6">
        <f>COUNTIFS(Table4[Country],Tabela1[[#This Row],[Country]],Table4[20km Race Walk Classification],"&gt;0")</f>
        <v>0</v>
      </c>
      <c r="BE26" s="6">
        <f>COUNTIFS(Table5[Country],Tabela1[[#This Row],[Country]],Table5[20km Race Walk Classification],"&gt;0")</f>
        <v>0</v>
      </c>
      <c r="BF26" s="6">
        <f>COUNTIFS(Tabela96[Country],Tabela1[[#This Row],[Country]],Tabela96[Mixed Marathon Race Walk Relay Classification],"&gt;0")</f>
        <v>0</v>
      </c>
      <c r="BG26" s="6">
        <f>COUNTIFS(Table4[Country],Tabela1[[#This Row],[Country]],Table4[Discus Throw Classification],"&gt;0")</f>
        <v>0</v>
      </c>
      <c r="BH26" s="6">
        <f>COUNTIFS(Table5[Country],Tabela1[[#This Row],[Country]],Table5[Discus Throw Classification],"&gt;0")</f>
        <v>0</v>
      </c>
      <c r="BI26" s="6">
        <f>COUNTIFS(Table4[Country],Tabela1[[#This Row],[Country]],Table4[Hammer Throw Classification],"&gt;0")</f>
        <v>1</v>
      </c>
      <c r="BJ26" s="6">
        <f>COUNTIFS(Table5[Country],Tabela1[[#This Row],[Country]],Table5[Hammer Throw Classification],"&gt;0")</f>
        <v>0</v>
      </c>
      <c r="BK26" s="6">
        <f>COUNTIFS(Table4[Country],Tabela1[[#This Row],[Country]],Table4[High Jump Classification],"&gt;0")</f>
        <v>0</v>
      </c>
      <c r="BL26" s="6">
        <f>COUNTIFS(Table5[Country],Tabela1[[#This Row],[Country]],Table5[High Jump Classification],"&gt;0")</f>
        <v>0</v>
      </c>
      <c r="BM26" s="6">
        <f>COUNTIFS(Table4[Country],Tabela1[[#This Row],[Country]],Table4[Javelin Throw Classification],"&gt;0")</f>
        <v>0</v>
      </c>
      <c r="BN26" s="6">
        <f>COUNTIFS(Table5[Country],Tabela1[[#This Row],[Country]],Table5[Javelin Throw Classification],"&gt;0")</f>
        <v>0</v>
      </c>
      <c r="BO26" s="6">
        <f>COUNTIFS(Table4[Country],Tabela1[[#This Row],[Country]],Table4[Long Jump Classification],"&gt;0")</f>
        <v>0</v>
      </c>
      <c r="BP26" s="6">
        <f>COUNTIFS(Table5[Country],Tabela1[[#This Row],[Country]],Table5[Long Jump Classification],"&gt;0")</f>
        <v>0</v>
      </c>
      <c r="BQ26" s="6">
        <f>COUNTIFS(Table4[Country],Tabela1[[#This Row],[Country]],Table4[Pole Vault Classification],"&gt;0")</f>
        <v>0</v>
      </c>
      <c r="BR26" s="6">
        <f>COUNTIFS(Table5[Country],Tabela1[[#This Row],[Country]],Table5[Pole Vault Classification],"&gt;0")</f>
        <v>0</v>
      </c>
      <c r="BS26" s="6">
        <f>COUNTIFS(Table4[Country],Tabela1[[#This Row],[Country]],Table4[Shot Put Classification],"&gt;0")</f>
        <v>0</v>
      </c>
      <c r="BT26" s="6">
        <f>COUNTIFS(Table5[Country],Tabela1[[#This Row],[Country]],Table5[Shot Put Classification],"&gt;0")</f>
        <v>0</v>
      </c>
      <c r="BU26" s="6">
        <f>COUNTIFS(Table4[Country],Tabela1[[#This Row],[Country]],Table4[Triple Jump Classification],"&gt;0")</f>
        <v>0</v>
      </c>
      <c r="BV26" s="6">
        <f>COUNTIFS(Table5[Country],Tabela1[[#This Row],[Country]],Table5[Triple Jump Classification],"&gt;0")</f>
        <v>0</v>
      </c>
      <c r="BW26" s="6">
        <f>COUNTIFS(Table4[Country],Tabela1[[#This Row],[Country]],Table4[Decathlon Classification],"&gt;0")</f>
        <v>0</v>
      </c>
      <c r="BX26" s="6">
        <f>COUNTIFS(Table5[Country],Tabela1[[#This Row],[Country]],Table5[Heptathlon Classification],"&gt;0")</f>
        <v>0</v>
      </c>
      <c r="BY26" s="6">
        <f>COUNTIFS(Table61[Country],Tabela1[[#This Row],[Country]],Table61[Classification],"&gt;0")</f>
        <v>0</v>
      </c>
      <c r="BZ26" s="6">
        <f>COUNTIFS(Table38[Country],Tabela1[[#This Row],[Country]],Table38[Classification],"&gt;0")</f>
        <v>0</v>
      </c>
      <c r="CA26" s="6">
        <f>COUNTIFS(Table39[Country],Tabela1[[#This Row],[Country]],Table39[Men''s Classification],"&gt;0")</f>
        <v>0</v>
      </c>
      <c r="CB26" s="6">
        <f>COUNTIFS(Table39[Country],Tabela1[[#This Row],[Country]],Table39[Women''s Classification],"&gt;0")</f>
        <v>0</v>
      </c>
      <c r="CC26" s="6">
        <f>COUNTIFS(Table39[Country],Tabela1[[#This Row],[Country]],Table39[Mixed Classification],"&gt;0")</f>
        <v>0</v>
      </c>
      <c r="CD26" s="6">
        <f>COUNTIFS(Table89[Country],Tabela1[[#This Row],[Country]],Table89[Men''s Classification],"&gt;0")</f>
        <v>0</v>
      </c>
      <c r="CE26" s="6">
        <f>COUNTIFS(Table89[Country],Tabela1[[#This Row],[Country]],Table89[Women''s Classification],"&gt;0")</f>
        <v>0</v>
      </c>
      <c r="CF26" s="6">
        <f>COUNTIFS(Table90[Country],Tabela1[[#This Row],[Country]],Table90[Men''s Classification],"&gt;0")</f>
        <v>0</v>
      </c>
      <c r="CG26" s="6">
        <f>COUNTIFS(Table90[Country],Tabela1[[#This Row],[Country]],Table90[Women''s Classification],"&gt;0")</f>
        <v>0</v>
      </c>
      <c r="CH26" s="6">
        <f>COUNTIFS(Table60[Country],Tabela1[[#This Row],[Country]],Table60[Men''s Classification],"&gt;0")</f>
        <v>0</v>
      </c>
      <c r="CI26" s="6">
        <f>COUNTIFS(Table60[Country],Tabela1[[#This Row],[Country]],Table60[Women''s Classification],"&gt;0")</f>
        <v>0</v>
      </c>
      <c r="CJ26" s="6">
        <f>COUNTIFS(Table6[Country],Tabela1[[#This Row],[Country]],Table6[51kg Classification],"&gt;0")</f>
        <v>0</v>
      </c>
      <c r="CK26" s="6">
        <f>COUNTIFS(Table6[Country],Tabela1[[#This Row],[Country]],Table6[57kg Classification],"&gt;0")</f>
        <v>0</v>
      </c>
      <c r="CL26" s="6">
        <f>COUNTIFS(Table6[Country],Tabela1[[#This Row],[Country]],Table6[63.5kg Classification],"&gt;0")</f>
        <v>0</v>
      </c>
      <c r="CM26" s="6">
        <f>COUNTIFS(Table6[Country],Tabela1[[#This Row],[Country]],Table6[71kg Classification],"&gt;0")</f>
        <v>0</v>
      </c>
      <c r="CN26" s="6">
        <f>COUNTIFS(Table6[Country],Tabela1[[#This Row],[Country]],Table6[80kg Classification],"&gt;0")</f>
        <v>0</v>
      </c>
      <c r="CO26" s="6">
        <f>COUNTIFS(Table6[Country],Tabela1[[#This Row],[Country]],Table6[92kg Classification],"&gt;0")</f>
        <v>0</v>
      </c>
      <c r="CP26" s="6">
        <f>COUNTIFS(Table6[Country],Tabela1[[#This Row],[Country]],Table6[Plus 92kg Classification],"&gt;0")</f>
        <v>0</v>
      </c>
      <c r="CQ26" s="6">
        <f>COUNTIFS(Table7[Country],Tabela1[[#This Row],[Country]],Table7[50kg Classification],"&gt;0")</f>
        <v>0</v>
      </c>
      <c r="CR26" s="6">
        <f>COUNTIFS(Table7[Country],Tabela1[[#This Row],[Country]],Table7[54kg Classification],"&gt;0")</f>
        <v>0</v>
      </c>
      <c r="CS26" s="6">
        <f>COUNTIFS(Table7[Country],Tabela1[[#This Row],[Country]],Table7[57kg Classification],"&gt;0")</f>
        <v>0</v>
      </c>
      <c r="CT26" s="6">
        <f>COUNTIFS(Table7[Country],Tabela1[[#This Row],[Country]],Table7[60kg Classification],"&gt;0")</f>
        <v>0</v>
      </c>
      <c r="CU26" s="6">
        <f>COUNTIFS(Table7[Country],Tabela1[[#This Row],[Country]],Table7[66kg Classification],"&gt;0")</f>
        <v>0</v>
      </c>
      <c r="CV26" s="6">
        <f>COUNTIFS(Table7[Country],Tabela1[[#This Row],[Country]],Table7[75kg Classification],"&gt;0")</f>
        <v>0</v>
      </c>
      <c r="CW26" s="6">
        <f>COUNTIFS(Tabela94[Country],Tabela1[[#This Row],[Country]],Tabela94[Classification],"&gt;0")</f>
        <v>0</v>
      </c>
      <c r="CX26" s="6">
        <f>COUNTIFS(Tabela9499[Country],Tabela1[[#This Row],[Country]],Tabela9499[Classification],"&gt;0")</f>
        <v>0</v>
      </c>
      <c r="CY26" s="6">
        <f>COUNTIFS(Tabela107[Country],Tabela1[[#This Row],[Country]],Tabela107[C1 Slalom Classification],"&gt;0")</f>
        <v>0</v>
      </c>
      <c r="CZ26" s="6">
        <f>COUNTIFS(Tabela107122[Country],Tabela1[[#This Row],[Country]],Tabela107122[C1 Slalom Classification],"&gt;0")</f>
        <v>0</v>
      </c>
      <c r="DA26" s="6">
        <f>COUNTIFS(Tabela107[Country],Tabela1[[#This Row],[Country]],Tabela107[K1 Slalom Classification],"&gt;0")</f>
        <v>0</v>
      </c>
      <c r="DB26" s="6">
        <f>COUNTIFS(Tabela107122[Country],Tabela1[[#This Row],[Country]],Tabela107122[K1 Slalom Classification],"&gt;0")</f>
        <v>0</v>
      </c>
      <c r="DC26" s="6">
        <f>COUNTIFS(Tabela107[Country],Tabela1[[#This Row],[Country]],Tabela107[Kayak Cross Slalom Classification],"&gt;0")</f>
        <v>0</v>
      </c>
      <c r="DD26" s="6">
        <f>COUNTIFS(Tabela107122[Country],Tabela1[[#This Row],[Country]],Tabela107122[Kayak Cross Slalom Classification],"&gt;0")</f>
        <v>0</v>
      </c>
      <c r="DE26" s="6">
        <f>COUNTIFS(Table8[Country],Tabela1[[#This Row],[Country]],Table8[C1 200m Classification],"&gt;0")</f>
        <v>0</v>
      </c>
      <c r="DF26" s="6">
        <f>COUNTIFS(Table40[Country],Tabela1[[#This Row],[Country]],Table40[C1 1000m Classification],"&gt;0")</f>
        <v>0</v>
      </c>
      <c r="DG26" s="6">
        <f>COUNTIFS(Table68[Country],Tabela1[[#This Row],[Country]],Table68[Men''s C2 500m Classification],"&gt;0")</f>
        <v>0</v>
      </c>
      <c r="DH26" s="6">
        <f>COUNTIFS(Table68[Country],Tabela1[[#This Row],[Country]],Table68[Women''s C2 500m Classification],"&gt;0")</f>
        <v>0</v>
      </c>
      <c r="DI26" s="6">
        <f>COUNTIFS(Table8[Country],Tabela1[[#This Row],[Country]],Table8[K1 500m Classification],"&gt;0")</f>
        <v>1</v>
      </c>
      <c r="DJ26" s="6">
        <f>COUNTIFS(Table40[Country],Tabela1[[#This Row],[Country]],Table40[K1 1000m Classification],"&gt;0")</f>
        <v>1</v>
      </c>
      <c r="DK26" s="6">
        <f>COUNTIFS(Table68[Country],Tabela1[[#This Row],[Country]],Table68[Men''s K2 500m Classification],"&gt;0")</f>
        <v>0</v>
      </c>
      <c r="DL26" s="6">
        <f>COUNTIFS(Table68[Country],Tabela1[[#This Row],[Country]],Table68[Women''s K2 500m Classification],"&gt;0")</f>
        <v>0</v>
      </c>
      <c r="DM26" s="6">
        <f>COUNTIFS(Table83[Country],Tabela1[[#This Row],[Country]],Table83[Men''s K4 500m Classification],"&gt;0")</f>
        <v>0</v>
      </c>
      <c r="DN26" s="6">
        <f>COUNTIFS(Table83[Country],Tabela1[[#This Row],[Country]],Table83[Women''s K4 500m Classification],"&gt;0")</f>
        <v>0</v>
      </c>
      <c r="DO26" s="6">
        <f>COUNTIFS(Tabela126[Country],Tabela1[[#This Row],[Country]],Tabela126[Classification],"&gt;0")</f>
        <v>0</v>
      </c>
      <c r="DP26" s="6">
        <f>COUNTIFS(Tabela126130[Country],Tabela1[[#This Row],[Country]],Tabela126130[Classification],"&gt;0")</f>
        <v>0</v>
      </c>
      <c r="DQ26" s="6">
        <f>COUNTIFS(Table70[Country],Tabela1[[#This Row],[Country]],Table70[Classification],"&gt;0")</f>
        <v>1</v>
      </c>
      <c r="DR26" s="6">
        <f>COUNTIFS(Table80[Country],Tabela1[[#This Row],[Country]],Table80[Classification],"&gt;0")</f>
        <v>0</v>
      </c>
      <c r="DS26" s="6">
        <f>COUNTIFS(Table66[Country],Tabela1[[#This Row],[Country]],Table66[Classification],"&gt;0")</f>
        <v>0</v>
      </c>
      <c r="DT26" s="6">
        <f>COUNTIFS(Table67[Country],Tabela1[[#This Row],[Country]],Table67[Classification],"&gt;0")</f>
        <v>0</v>
      </c>
      <c r="DU26" s="6">
        <f>COUNTIFS(Table69[Country],Tabela1[[#This Row],[Country]],Table69[Keirin Classification],"&gt;0")</f>
        <v>0</v>
      </c>
      <c r="DV26" s="6">
        <f>COUNTIFS(Table41[Country],Tabela1[[#This Row],[Country]],Table41[Keirin Classification],"&gt;0")</f>
        <v>0</v>
      </c>
      <c r="DW26" s="6">
        <f>COUNTIFS(Table84[Country],Tabela1[[#This Row],[Country]],Table84[Men''s Madison Classification],"&gt;0")</f>
        <v>0</v>
      </c>
      <c r="DX26" s="6">
        <f>COUNTIFS(Table84[Country],Tabela1[[#This Row],[Country]],Table84[Women''s Madison Classification],"&gt;0")</f>
        <v>0</v>
      </c>
      <c r="DY26" s="6">
        <f>COUNTIFS(Table69[Country],Tabela1[[#This Row],[Country]],Table69[Omnium Classification],"&gt;0")</f>
        <v>0</v>
      </c>
      <c r="DZ26" s="6">
        <f>COUNTIFS(Table41[Country],Tabela1[[#This Row],[Country]],Table41[Omnium Classification],"&gt;0")</f>
        <v>0</v>
      </c>
      <c r="EA26" s="6">
        <f>COUNTIFS(Table9[Country],Tabela1[[#This Row],[Country]],Table9[Road Race Classification],"&gt;0")</f>
        <v>1</v>
      </c>
      <c r="EB26" s="6">
        <f>COUNTIFS(Table14[Country],Tabela1[[#This Row],[Country]],Table14[Road Race Classification],"&gt;0")</f>
        <v>0</v>
      </c>
      <c r="EC26" s="6">
        <f>COUNTIFS(Table69[Country],Tabela1[[#This Row],[Country]],Table69[Sprint Classification],"&gt;0")</f>
        <v>0</v>
      </c>
      <c r="ED26" s="6">
        <f>COUNTIFS(Table41[Country],Tabela1[[#This Row],[Country]],Table41[Sprint Classification],"&gt;0")</f>
        <v>0</v>
      </c>
      <c r="EE26" s="6">
        <f>COUNTIFS(Table85[Country],Tabela1[[#This Row],[Country]],Table85[Men''s Sprint Classification],"&gt;0")</f>
        <v>0</v>
      </c>
      <c r="EF26" s="6">
        <f>COUNTIFS(Table85[Country],Tabela1[[#This Row],[Country]],Table85[Women''s Sprint Classification],"&gt;0")</f>
        <v>0</v>
      </c>
      <c r="EG26" s="6">
        <f>COUNTIFS(Table85[Country],Tabela1[[#This Row],[Country]],Table85[Men''s Pursuit Classification],"&gt;0")</f>
        <v>0</v>
      </c>
      <c r="EH26" s="6">
        <f>COUNTIFS(Table85[Country],Tabela1[[#This Row],[Country]],Table85[Women''s Pursuit Classification],"&gt;0")</f>
        <v>0</v>
      </c>
      <c r="EI26" s="6">
        <f>COUNTIFS(Table9[Country],Tabela1[[#This Row],[Country]],Table9[Time-Trial Classification],"&gt;0")</f>
        <v>0</v>
      </c>
      <c r="EJ26" s="6">
        <f>COUNTIFS(Table14[Country],Tabela1[[#This Row],[Country]],Table14[Time-Trial Classification],"&gt;0")</f>
        <v>0</v>
      </c>
      <c r="EK26" s="6">
        <f>COUNTIFS(Table42[Country],Tabela1[[#This Row],[Country]],Table42[Springboard Classification],"&gt;0")</f>
        <v>0</v>
      </c>
      <c r="EL26" s="6">
        <f>COUNTIFS(Table43[Country],Tabela1[[#This Row],[Country]],Table43[Springboard Classification],"&gt;0")</f>
        <v>0</v>
      </c>
      <c r="EM26" s="6">
        <f>COUNTIFS(Table42[Country],Tabela1[[#This Row],[Country]],Table42[Platform Classification],"&gt;0")</f>
        <v>0</v>
      </c>
      <c r="EN26" s="6">
        <f>COUNTIFS(Table43[Country],Tabela1[[#This Row],[Country]],Table43[Platform Classification],"&gt;0")</f>
        <v>0</v>
      </c>
      <c r="EO26" s="6">
        <f>COUNTIFS(Table86[Country],Tabela1[[#This Row],[Country]],Table86[Men''s Synchronized Springboard Classification],"&gt;0")</f>
        <v>0</v>
      </c>
      <c r="EP26" s="6">
        <f>COUNTIFS(Table86[Country],Tabela1[[#This Row],[Country]],Table86[Women''s Synchronized Springboard Classification],"&gt;0")</f>
        <v>0</v>
      </c>
      <c r="EQ26" s="6">
        <f>COUNTIFS(Table86[Country],Tabela1[[#This Row],[Country]],Table86[Men''s Synchronized Platform Classification],"&gt;0")</f>
        <v>0</v>
      </c>
      <c r="ER26" s="6">
        <f>COUNTIFS(Table86[Country],Tabela1[[#This Row],[Country]],Table86[Women''s Synchronized Platform Classification],"&gt;0")</f>
        <v>0</v>
      </c>
      <c r="ES26" s="6">
        <f>COUNTIFS(Table44[Country],Tabela1[[#This Row],[Country]],Table44[Dressage Classification],"&gt;0")</f>
        <v>0</v>
      </c>
      <c r="ET26" s="6">
        <f>COUNTIFS(Table45[Country],Tabela1[[#This Row],[Country]],Table45[Dressage Classification],"&gt;0")</f>
        <v>0</v>
      </c>
      <c r="EU26" s="6">
        <f>COUNTIFS(Table44[Country],Tabela1[[#This Row],[Country]],Table44[Eventing Classification],"&gt;0")</f>
        <v>0</v>
      </c>
      <c r="EV26" s="6">
        <f>COUNTIFS(Table45[Country],Tabela1[[#This Row],[Country]],Table45[Eventing Classification],"&gt;0")</f>
        <v>0</v>
      </c>
      <c r="EW26" s="6">
        <f>COUNTIFS(Table44[Country],Tabela1[[#This Row],[Country]],Table44[Jumping Classification],"&gt;0")</f>
        <v>1</v>
      </c>
      <c r="EX26" s="6">
        <f>COUNTIFS(Table45[Country],Tabela1[[#This Row],[Country]],Table45[Jumping Classification],"&gt;0")</f>
        <v>0</v>
      </c>
      <c r="EY26" s="6">
        <f>COUNTIFS(Table10[Country],Tabela1[[#This Row],[Country]],Table10[Épée Classification],"&gt;0")</f>
        <v>0</v>
      </c>
      <c r="EZ26" s="6">
        <f>COUNTIFS(Table11[Country],Tabela1[[#This Row],[Country]],Table11[Épée Classification],"&gt;0")</f>
        <v>0</v>
      </c>
      <c r="FA26" s="6">
        <f>COUNTIFS(Table46[Country],Tabela1[[#This Row],[Country]],Table46[Men''s Épée Classification],"&gt;0")</f>
        <v>0</v>
      </c>
      <c r="FB26" s="6">
        <f>COUNTIFS(Table46[Country],Tabela1[[#This Row],[Country]],Table46[Women''s Épée Classification],"&gt;0")</f>
        <v>0</v>
      </c>
      <c r="FC26" s="6">
        <f>COUNTIFS(Table10[Country],Tabela1[[#This Row],[Country]],Table10[Foil Classification],"&gt;0")</f>
        <v>0</v>
      </c>
      <c r="FD26" s="6">
        <f>COUNTIFS(Table11[Country],Tabela1[[#This Row],[Country]],Table11[Foil Classification],"&gt;0")</f>
        <v>0</v>
      </c>
      <c r="FE26" s="6">
        <f>COUNTIFS(Table46[Country],Tabela1[[#This Row],[Country]],Table46[Men''s Foil Classification],"&gt;0")</f>
        <v>0</v>
      </c>
      <c r="FF26" s="6">
        <f>COUNTIFS(Table46[Country],Tabela1[[#This Row],[Country]],Table46[Women''s Foil Classification],"&gt;0")</f>
        <v>0</v>
      </c>
      <c r="FG26" s="6">
        <f>COUNTIFS(Table10[Country],Tabela1[[#This Row],[Country]],Table10[Sabre Classification],"&gt;0")</f>
        <v>0</v>
      </c>
      <c r="FH26" s="6">
        <f>COUNTIFS(Table11[Country],Tabela1[[#This Row],[Country]],Table11[Sabre Classification],"&gt;0")</f>
        <v>0</v>
      </c>
      <c r="FI26" s="6">
        <f>COUNTIFS(Table46[Country],Tabela1[[#This Row],[Country]],Table46[Men''s Sabre Classification],"&gt;0")</f>
        <v>0</v>
      </c>
      <c r="FJ26" s="6">
        <f>COUNTIFS(Table46[Country],Tabela1[[#This Row],[Country]],Table46[Women''s Sabre Classification],"&gt;0")</f>
        <v>0</v>
      </c>
      <c r="FK26" s="6">
        <f>COUNTIFS(Table91[Country],Tabela1[[#This Row],[Country]],Table91[Men''s Classification],"&gt;0")</f>
        <v>1</v>
      </c>
      <c r="FL26" s="6">
        <f>COUNTIFS(Table91[Country],Tabela1[[#This Row],[Country]],Table91[Women''s Classification],"&gt;0")</f>
        <v>1</v>
      </c>
      <c r="FM26" s="6">
        <f>COUNTIFS(Table9194[Country],Tabela1[[#This Row],[Country]],Table9194[Men''s Classification],"&gt;0")</f>
        <v>1</v>
      </c>
      <c r="FN26" s="6">
        <f>COUNTIFS(Table9194[Country],Tabela1[[#This Row],[Country]],Table9194[Women''s Classification],"&gt;0")</f>
        <v>0</v>
      </c>
      <c r="FO26" s="6">
        <f>COUNTIFS(Table71[Country],Tabela1[[#This Row],[Country]],Table71[Classification],"&gt;0")</f>
        <v>1</v>
      </c>
      <c r="FP26" s="6">
        <f>COUNTIFS(Table62[Country],Tabela1[[#This Row],[Country]],Table62[Classification],"&gt;0")</f>
        <v>0</v>
      </c>
      <c r="FQ26" s="6">
        <f>COUNTIFS(Table47[Country],Tabela1[[#This Row],[Country]],Table47[All-Around Classification],"&gt;0")</f>
        <v>0</v>
      </c>
      <c r="FR26" s="6">
        <f>COUNTIFS(Table48[Country],Tabela1[[#This Row],[Country]],Table48[All-Around Classification],"&gt;0")</f>
        <v>0</v>
      </c>
      <c r="FS26" s="6">
        <f>COUNTIFS(Table81[Country],Tabela1[[#This Row],[Country]],Table81[Men''s All-Around Classification],"&gt;0")</f>
        <v>0</v>
      </c>
      <c r="FT26" s="6">
        <f>COUNTIFS(Table81[Country],Tabela1[[#This Row],[Country]],Table81[Women''s All-Around Classification],"&gt;0")</f>
        <v>0</v>
      </c>
      <c r="FU26" s="6">
        <f>COUNTIFS(Table48[Country],Tabela1[[#This Row],[Country]],Table48[Balance Beam Classification],"&gt;0")</f>
        <v>0</v>
      </c>
      <c r="FV26" s="6">
        <f>COUNTIFS(Table47[Country],Tabela1[[#This Row],[Country]],Table47[Floor Exercise Classification],"&gt;0")</f>
        <v>0</v>
      </c>
      <c r="FW26" s="6">
        <f>COUNTIFS(Table48[Country],Tabela1[[#This Row],[Country]],Table48[Floor Exercise Classification],"&gt;0")</f>
        <v>0</v>
      </c>
      <c r="FX26" s="6">
        <f>COUNTIFS(Table47[Country],Tabela1[[#This Row],[Country]],Table47[Horizontal Bar Classification],"&gt;0")</f>
        <v>0</v>
      </c>
      <c r="FY26" s="6">
        <f>COUNTIFS(Table47[Country],Tabela1[[#This Row],[Country]],Table47[Parallel Bars Classification],"&gt;0")</f>
        <v>0</v>
      </c>
      <c r="FZ26" s="6">
        <f>COUNTIFS(Table47[Country],Tabela1[[#This Row],[Country]],Table47[Pommel Horse Classification],"&gt;0")</f>
        <v>0</v>
      </c>
      <c r="GA26" s="6">
        <f>COUNTIFS(Table47[Country],Tabela1[[#This Row],[Country]],Table47[Rings Classification],"&gt;0")</f>
        <v>0</v>
      </c>
      <c r="GB26" s="6">
        <f>COUNTIFS(Tabela132[Country],Tabela1[[#This Row],[Country]],Tabela132[Classification],"&gt;0")</f>
        <v>0</v>
      </c>
      <c r="GC26" s="6">
        <f>COUNTIFS(Tabela139[Country],Tabela1[[#This Row],[Country]],Tabela139[Classification],"&gt;0")</f>
        <v>0</v>
      </c>
      <c r="GD26" s="6">
        <f>COUNTIFS(Table48[Country],Tabela1[[#This Row],[Country]],Table48[Uneven Bars Classification],"&gt;0")</f>
        <v>0</v>
      </c>
      <c r="GE26" s="6">
        <f>COUNTIFS(Table47[Country],Tabela1[[#This Row],[Country]],Table47[Vault Classification],"&gt;0")</f>
        <v>0</v>
      </c>
      <c r="GF26" s="6">
        <f>COUNTIFS(Table48[Country],Tabela1[[#This Row],[Country]],Table48[Vault Classification],"&gt;0")</f>
        <v>0</v>
      </c>
      <c r="GG26" s="6">
        <f>COUNTIFS(Table919496[Country],Tabela1[[#This Row],[Country]],Table919496[Men''s Classification],"&gt;0")</f>
        <v>1</v>
      </c>
      <c r="GH26" s="6">
        <f>COUNTIFS(Table919496[Country],Tabela1[[#This Row],[Country]],Table919496[Women''s Classification],"&gt;0")</f>
        <v>0</v>
      </c>
      <c r="GI26" s="6">
        <f>COUNTIFS(Table12[Country],Tabela1[[#This Row],[Country]],Table12[60kg Classification],"&gt;0")</f>
        <v>0</v>
      </c>
      <c r="GJ26" s="6">
        <f>COUNTIFS(Table12[Country],Tabela1[[#This Row],[Country]],Table12[66kg Classification],"&gt;0")</f>
        <v>0</v>
      </c>
      <c r="GK26" s="6">
        <f>COUNTIFS(Table12[Country],Tabela1[[#This Row],[Country]],Table12[73kg Classification],"&gt;0")</f>
        <v>0</v>
      </c>
      <c r="GL26" s="6">
        <f>COUNTIFS(Table12[Country],Tabela1[[#This Row],[Country]],Table12[81kg Classification],"&gt;0")</f>
        <v>0</v>
      </c>
      <c r="GM26" s="6">
        <f>COUNTIFS(Table12[Country],Tabela1[[#This Row],[Country]],Table12[90kg Classification],"&gt;0")</f>
        <v>0</v>
      </c>
      <c r="GN26" s="6">
        <f>COUNTIFS(Table12[Country],Tabela1[[#This Row],[Country]],Table12[100kg Classification],"&gt;0")</f>
        <v>0</v>
      </c>
      <c r="GO26" s="6">
        <f>COUNTIFS(Table12[Country],Tabela1[[#This Row],[Country]],Table12[Plus 100kg Classification],"&gt;0")</f>
        <v>0</v>
      </c>
      <c r="GP26" s="6">
        <f>COUNTIFS(Table13[Country],Tabela1[[#This Row],[Country]],Table13[48kg Classification],"&gt;0")</f>
        <v>0</v>
      </c>
      <c r="GQ26" s="6">
        <f>COUNTIFS(Table13[Country],Tabela1[[#This Row],[Country]],Table13[52kg Classification],"&gt;0")</f>
        <v>1</v>
      </c>
      <c r="GR26" s="6">
        <f>COUNTIFS(Table13[Country],Tabela1[[#This Row],[Country]],Table13[57kg Classification],"&gt;0")</f>
        <v>0</v>
      </c>
      <c r="GS26" s="6">
        <f>COUNTIFS(Table13[Country],Tabela1[[#This Row],[Country]],Table13[63kg Classification],"&gt;0")</f>
        <v>0</v>
      </c>
      <c r="GT26" s="6">
        <f>COUNTIFS(Table13[Country],Tabela1[[#This Row],[Country]],Table13[70kg Classification],"&gt;0")</f>
        <v>0</v>
      </c>
      <c r="GU26" s="6">
        <f>COUNTIFS(Table13[Country],Tabela1[[#This Row],[Country]],Table13[78kg Classification],"&gt;0")</f>
        <v>0</v>
      </c>
      <c r="GV26" s="6">
        <f>COUNTIFS(Table13[Country],Tabela1[[#This Row],[Country]],Table13[Plus 78kg Classification],"&gt;0")</f>
        <v>0</v>
      </c>
      <c r="GW26" s="6">
        <f>COUNTIFS(Table82[Country],Tabela1[[#This Row],[Country]],Table82[Mixed Classification],"&gt;0")</f>
        <v>0</v>
      </c>
      <c r="GX26" s="6">
        <f>COUNTIFS(Table51[Country],Tabela1[[#This Row],[Country]],Table51[Classification],"&gt;0")</f>
        <v>0</v>
      </c>
      <c r="GY26" s="6">
        <f>COUNTIFS(Table52[Country],Tabela1[[#This Row],[Country]],Table52[Classification],"&gt;0")</f>
        <v>0</v>
      </c>
      <c r="GZ26" s="6">
        <f>COUNTIFS(Table32[Country],Tabela1[[#This Row],[Country]],Table32[All-Around Classification],"&gt;0")</f>
        <v>0</v>
      </c>
      <c r="HA26" s="6">
        <f>COUNTIFS(Table49[Country],Tabela1[[#This Row],[Country]],Table49[All-Around Classification],"&gt;0")</f>
        <v>0</v>
      </c>
      <c r="HB26" s="6">
        <f>COUNTIFS(Table26[Country],Tabela1[[#This Row],[Country]],Table26[Single Sculls Classification],"&gt;0")</f>
        <v>0</v>
      </c>
      <c r="HC26" s="6">
        <f>COUNTIFS(Table63[Country],Tabela1[[#This Row],[Country]],Table63[Single Sculls Classification],"&gt;0")</f>
        <v>0</v>
      </c>
      <c r="HD26" s="6">
        <f>COUNTIFS(Table16[Country],Tabela1[[#This Row],[Country]],Table16[Men''s Double Sculls Classification],"&gt;0")</f>
        <v>0</v>
      </c>
      <c r="HE26" s="6">
        <f>COUNTIFS(Table16[Country],Tabela1[[#This Row],[Country]],Table16[Women''s Double Sculls Classification],"&gt;0")</f>
        <v>0</v>
      </c>
      <c r="HF26" s="6">
        <f>COUNTIFS(Table72[Country],Tabela1[[#This Row],[Country]],Table72[Men''s Quadruple Sculls Classification],"&gt;0")</f>
        <v>0</v>
      </c>
      <c r="HG26" s="6">
        <f>COUNTIFS(Table72[Country],Tabela1[[#This Row],[Country]],Table72[Women''s Quadruple Sculls Classification],"&gt;0")</f>
        <v>0</v>
      </c>
      <c r="HH26" s="6">
        <f>COUNTIFS(Table16[Country],Tabela1[[#This Row],[Country]],Table16[Men''s Coxless Pairs Classification],"&gt;0")</f>
        <v>0</v>
      </c>
      <c r="HI26" s="6">
        <f>COUNTIFS(Table16[Country],Tabela1[[#This Row],[Country]],Table16[Women''s Coxless Pairs Classification],"&gt;0")</f>
        <v>0</v>
      </c>
      <c r="HJ26" s="6">
        <f>COUNTIFS(Table72[Country],Tabela1[[#This Row],[Country]],Table72[Men''s Coxless Fours Classification],"&gt;0")</f>
        <v>0</v>
      </c>
      <c r="HK26" s="6">
        <f>COUNTIFS(Table72[Country],Tabela1[[#This Row],[Country]],Table72[Women''s Coxless Fours Classification],"&gt;0")</f>
        <v>0</v>
      </c>
      <c r="HL26" s="6">
        <f>COUNTIFS(Table72[Country],Tabela1[[#This Row],[Country]],Table72[Men''s Eights Classification],"&gt;0")</f>
        <v>0</v>
      </c>
      <c r="HM26" s="6">
        <f>COUNTIFS(Table72[Country],Tabela1[[#This Row],[Country]],Table72[Women''s Eights Classification],"&gt;0")</f>
        <v>0</v>
      </c>
      <c r="HN26" s="6">
        <f>COUNTIFS(Table16[Country],Tabela1[[#This Row],[Country]],Table16[Men''s Lwt. Double Sculls Classification],"&gt;0")</f>
        <v>1</v>
      </c>
      <c r="HO26" s="6">
        <f>COUNTIFS(Table16[Country],Tabela1[[#This Row],[Country]],Table16[Women''s Lwt. Double Sculls Classification],"&gt;0")</f>
        <v>1</v>
      </c>
      <c r="HP26" s="6">
        <f>COUNTIFS(Table91949698[Country],Tabela1[[#This Row],[Country]],Table91949698[Men''s Classification],"&gt;0")</f>
        <v>1</v>
      </c>
      <c r="HQ26" s="6">
        <f>COUNTIFS(Table91949698[Country],Tabela1[[#This Row],[Country]],Table91949698[Women''s Classification],"&gt;0")</f>
        <v>0</v>
      </c>
      <c r="HR26" s="6">
        <f>COUNTIFS(Table25[Country],Tabela1[[#This Row],[Country]],Table25[Mixed 470 Classification],"&gt;0")</f>
        <v>0</v>
      </c>
      <c r="HS26" s="6">
        <f>COUNTIFS(Table25[Country],Tabela1[[#This Row],[Country]],Table25[Men''s 49er Classification],"&gt;0")</f>
        <v>0</v>
      </c>
      <c r="HT26" s="6">
        <f>COUNTIFS(Table25[Country],Tabela1[[#This Row],[Country]],Table25[Women''s 49er FX Classification],"&gt;0")</f>
        <v>0</v>
      </c>
      <c r="HU26" s="6">
        <f>COUNTIFS(Table17[Country],Tabela1[[#This Row],[Country]],Table17[Formula Kite Classification],"&gt;0")</f>
        <v>0</v>
      </c>
      <c r="HV26" s="6">
        <f>COUNTIFS(Table18[Country],Tabela1[[#This Row],[Country]],Table18[Formula Kite Classification],"&gt;0")</f>
        <v>0</v>
      </c>
      <c r="HW26" s="6">
        <f>COUNTIFS(Table17[Country],Tabela1[[#This Row],[Country]],Table17[ILCA 7 Classification],"&gt;0")</f>
        <v>1</v>
      </c>
      <c r="HX26" s="6">
        <f>COUNTIFS(Table18[Country],Tabela1[[#This Row],[Country]],Table18[ILCA 6 Classification],"&gt;0")</f>
        <v>0</v>
      </c>
      <c r="HY26" s="6">
        <f>COUNTIFS(Table17[Country],Tabela1[[#This Row],[Country]],Table17[IQFoil Classification],"&gt;0")</f>
        <v>0</v>
      </c>
      <c r="HZ26" s="6">
        <f>COUNTIFS(Table18[Country],Tabela1[[#This Row],[Country]],Table18[IQFoil Classification],"&gt;0")</f>
        <v>1</v>
      </c>
      <c r="IA26" s="6">
        <f>COUNTIFS(Table25[Country],Tabela1[[#This Row],[Country]],Table25[Mixed Nacra 17 Classification],"&gt;0")</f>
        <v>1</v>
      </c>
      <c r="IB26" s="6">
        <f>COUNTIFS(Table53[Country],Tabela1[[#This Row],[Country]],Table53[10m Air Pistol Classification],"&gt;0")</f>
        <v>0</v>
      </c>
      <c r="IC26" s="6">
        <f>COUNTIFS(Table19[Country],Tabela1[[#This Row],[Country]],Table19[10m Air Pistol Classification],"&gt;0")</f>
        <v>0</v>
      </c>
      <c r="ID26" s="6">
        <f>COUNTIFS(Table54[Country],Tabela1[[#This Row],[Country]],Table54[Mixed 10m Air Pistol Team Classification],"&gt;0")</f>
        <v>0</v>
      </c>
      <c r="IE26" s="6">
        <f>COUNTIFS(Table53[Country],Tabela1[[#This Row],[Country]],Table53[10m Air Rifle Classification],"&gt;0")</f>
        <v>0</v>
      </c>
      <c r="IF26" s="6">
        <f>COUNTIFS(Table19[Country],Tabela1[[#This Row],[Country]],Table19[10m Air Rifle Classification],"&gt;0")</f>
        <v>1</v>
      </c>
      <c r="IG26" s="6">
        <f>COUNTIFS(Table54[Country],Tabela1[[#This Row],[Country]],Table54[Mixed 10m Air Rifle Team Classification],"&gt;0")</f>
        <v>1</v>
      </c>
      <c r="IH26" s="6">
        <f>COUNTIFS(Table53[Country],Tabela1[[#This Row],[Country]],Table53[25m Rapid Fire Pistol Classification],"&gt;0")</f>
        <v>0</v>
      </c>
      <c r="II26" s="6">
        <f>COUNTIFS(Table19[Country],Tabela1[[#This Row],[Country]],Table19[25m Pistol Classification],"&gt;0")</f>
        <v>0</v>
      </c>
      <c r="IJ26" s="6">
        <f>COUNTIFS(Table53[Country],Tabela1[[#This Row],[Country]],Table53[50m Rifle 3 Positions Classification],"&gt;0")</f>
        <v>0</v>
      </c>
      <c r="IK26" s="6">
        <f>COUNTIFS(Table19[Country],Tabela1[[#This Row],[Country]],Table19[50m Rifle 3 Positions Classification],"&gt;0")</f>
        <v>0</v>
      </c>
      <c r="IL26" s="6">
        <f>COUNTIFS(Table53[Country],Tabela1[[#This Row],[Country]],Table53[Skeet Classification],"&gt;0")</f>
        <v>1</v>
      </c>
      <c r="IM26" s="6">
        <f>COUNTIFS(Table19[Country],Tabela1[[#This Row],[Country]],Table19[Skeet Classification],"&gt;0")</f>
        <v>0</v>
      </c>
      <c r="IN26" s="6">
        <f>COUNTIFS(Table54[Country],Tabela1[[#This Row],[Country]],Table54[Mixed Skeet Team Classification],"&gt;0")</f>
        <v>0</v>
      </c>
      <c r="IO26" s="6">
        <f>COUNTIFS(Table53[Country],Tabela1[[#This Row],[Country]],Table53[Trap Classification],"&gt;0")</f>
        <v>0</v>
      </c>
      <c r="IP26" s="6">
        <f>COUNTIFS(Table19[Country],Tabela1[[#This Row],[Country]],Table19[Trap Classification],"&gt;0")</f>
        <v>0</v>
      </c>
      <c r="IQ26" s="6">
        <f>COUNTIFS(Table73[Country],Tabela1[[#This Row],[Country]],Table73[Park Classification],"&gt;0")</f>
        <v>0</v>
      </c>
      <c r="IR26" s="6">
        <f>COUNTIFS(Table74[Country],Tabela1[[#This Row],[Country]],Table74[Park Classification],"&gt;0")</f>
        <v>0</v>
      </c>
      <c r="IS26" s="6">
        <f>COUNTIFS(Table73[Country],Tabela1[[#This Row],[Country]],Table73[Street Classification],"&gt;0")</f>
        <v>2</v>
      </c>
      <c r="IT26" s="6">
        <f>COUNTIFS(Table74[Country],Tabela1[[#This Row],[Country]],Table74[Street Classification],"&gt;0")</f>
        <v>0</v>
      </c>
      <c r="IU26" s="6">
        <f>COUNTIFS(Table75[Country],Tabela1[[#This Row],[Country]],Table75[Boulder and Lead Classification],"&gt;0")</f>
        <v>0</v>
      </c>
      <c r="IV26" s="6">
        <f>COUNTIFS(Table76[Country],Tabela1[[#This Row],[Country]],Table76[Boulder and Lead Classification],"&gt;0")</f>
        <v>0</v>
      </c>
      <c r="IW26" s="6">
        <f>COUNTIFS(Table75[Country],Tabela1[[#This Row],[Country]],Table75[Speed Classification],"&gt;0")</f>
        <v>0</v>
      </c>
      <c r="IX26" s="6">
        <f>COUNTIFS(Table76[Country],Tabela1[[#This Row],[Country]],Table76[Speed Classification],"&gt;0")</f>
        <v>0</v>
      </c>
      <c r="IY26" s="6">
        <f>COUNTIFS(Table64[Country],Tabela1[[#This Row],[Country]],Table64[Shortboard Classification],"&gt;0")</f>
        <v>0</v>
      </c>
      <c r="IZ26" s="6">
        <f>COUNTIFS(Table77[Country],Tabela1[[#This Row],[Country]],Table77[Shortboard Classification],"&gt;0")</f>
        <v>0</v>
      </c>
      <c r="JA26" s="6">
        <f>COUNTIFS(Table20[Country],Tabela1[[#This Row],[Country]],Table20[50m Freestyle Classification],"&gt;0")</f>
        <v>0</v>
      </c>
      <c r="JB26" s="6">
        <f>COUNTIFS(Table21[Country],Tabela1[[#This Row],[Country]],Table21[50m Freestyle Classification],"&gt;0")</f>
        <v>0</v>
      </c>
      <c r="JC26" s="6">
        <f>COUNTIFS(Table20[Country],Tabela1[[#This Row],[Country]],Table20[100m Freestyle Classification],"&gt;0")</f>
        <v>0</v>
      </c>
      <c r="JD26" s="6">
        <f>COUNTIFS(Table21[Country],Tabela1[[#This Row],[Country]],Table21[100m Freestyle Classification],"&gt;0")</f>
        <v>0</v>
      </c>
      <c r="JE26" s="6">
        <f>COUNTIFS(Table20[Country],Tabela1[[#This Row],[Country]],Table20[200m Freestyle Classification],"&gt;0")</f>
        <v>0</v>
      </c>
      <c r="JF26" s="6">
        <f>COUNTIFS(Table21[Country],Tabela1[[#This Row],[Country]],Table21[200m Freestyle Classification],"&gt;0")</f>
        <v>0</v>
      </c>
      <c r="JG26" s="6">
        <f>COUNTIFS(Table20[Country],Tabela1[[#This Row],[Country]],Table20[400m Freestyle Classification],"&gt;0")</f>
        <v>0</v>
      </c>
      <c r="JH26" s="6">
        <f>COUNTIFS(Table21[Country],Tabela1[[#This Row],[Country]],Table21[400m Freestyle Classification],"&gt;0")</f>
        <v>1</v>
      </c>
      <c r="JI26" s="6">
        <f>COUNTIFS(Table20[Country],Tabela1[[#This Row],[Country]],Table20[800m Freestyle Classification],"&gt;0")</f>
        <v>0</v>
      </c>
      <c r="JJ26" s="6">
        <f>COUNTIFS(Table21[Country],Tabela1[[#This Row],[Country]],Table21[800m Freestyle Classification],"&gt;0")</f>
        <v>1</v>
      </c>
      <c r="JK26" s="6">
        <f>COUNTIFS(Table20[Country],Tabela1[[#This Row],[Country]],Table20[1500m Freestyle Classification],"&gt;0")</f>
        <v>0</v>
      </c>
      <c r="JL26" s="6">
        <f>COUNTIFS(Table21[Country],Tabela1[[#This Row],[Country]],Table21[1500m Freestyle Classification],"&gt;0")</f>
        <v>0</v>
      </c>
      <c r="JM26" s="6">
        <f>COUNTIFS(Table20[Country],Tabela1[[#This Row],[Country]],Table20[100m Backstroke Classification],"&gt;0")</f>
        <v>1</v>
      </c>
      <c r="JN26" s="6">
        <f>COUNTIFS(Table21[Country],Tabela1[[#This Row],[Country]],Table21[100m Backstroke Classification],"&gt;0")</f>
        <v>0</v>
      </c>
      <c r="JO26" s="6">
        <f>COUNTIFS(Table20[Country],Tabela1[[#This Row],[Country]],Table20[200m Backstroke Classification],"&gt;0")</f>
        <v>0</v>
      </c>
      <c r="JP26" s="6">
        <f>COUNTIFS(Table21[Country],Tabela1[[#This Row],[Country]],Table21[200m Backstroke Classification],"&gt;0")</f>
        <v>0</v>
      </c>
      <c r="JQ26" s="6">
        <f>COUNTIFS(Table20[Country],Tabela1[[#This Row],[Country]],Table20[100m Breaststroke Classification],"&gt;0")</f>
        <v>0</v>
      </c>
      <c r="JR26" s="6">
        <f>COUNTIFS(Table21[Country],Tabela1[[#This Row],[Country]],Table21[100m Breaststroke Classification],"&gt;0")</f>
        <v>1</v>
      </c>
      <c r="JS26" s="6">
        <f>COUNTIFS(Table20[Country],Tabela1[[#This Row],[Country]],Table20[200m Breaststroke Classification],"&gt;0")</f>
        <v>0</v>
      </c>
      <c r="JT26" s="6">
        <f>COUNTIFS(Table21[Country],Tabela1[[#This Row],[Country]],Table21[200m Breaststroke Classification],"&gt;0")</f>
        <v>1</v>
      </c>
      <c r="JU26" s="6">
        <f>COUNTIFS(Table20[Country],Tabela1[[#This Row],[Country]],Table20[100m Butterfly Classification],"&gt;0")</f>
        <v>0</v>
      </c>
      <c r="JV26" s="6">
        <f>COUNTIFS(Table21[Country],Tabela1[[#This Row],[Country]],Table21[100m Butterfly Classification],"&gt;0")</f>
        <v>0</v>
      </c>
      <c r="JW26" s="6">
        <f>COUNTIFS(Table20[Country],Tabela1[[#This Row],[Country]],Table20[200m Butterfly Classification],"&gt;0")</f>
        <v>0</v>
      </c>
      <c r="JX26" s="6">
        <f>COUNTIFS(Table21[Country],Tabela1[[#This Row],[Country]],Table21[200m Butterfly Classification],"&gt;0")</f>
        <v>0</v>
      </c>
      <c r="JY26" s="6">
        <f>COUNTIFS(Table20[Country],Tabela1[[#This Row],[Country]],Table20[200m Medley Classification],"&gt;0")</f>
        <v>0</v>
      </c>
      <c r="JZ26" s="6">
        <f>COUNTIFS(Table21[Country],Tabela1[[#This Row],[Country]],Table21[200m Medley Classification],"&gt;0")</f>
        <v>0</v>
      </c>
      <c r="KA26" s="6">
        <f>COUNTIFS(Table20[Country],Tabela1[[#This Row],[Country]],Table20[400m Medley Classification],"&gt;0")</f>
        <v>0</v>
      </c>
      <c r="KB26" s="6">
        <f>COUNTIFS(Table21[Country],Tabela1[[#This Row],[Country]],Table21[400m Medley Classification],"&gt;0")</f>
        <v>0</v>
      </c>
      <c r="KC26" s="6">
        <f>COUNTIFS(Table78[Country],Tabela1[[#This Row],[Country]],Table78[Men''s 4x100m Freestyle Relay Classification],"&gt;0")</f>
        <v>0</v>
      </c>
      <c r="KD26" s="6">
        <f>COUNTIFS(Table78[Country],Tabela1[[#This Row],[Country]],Table78[Women''s 4x100m Freestyle Relay Classification],"&gt;0")</f>
        <v>0</v>
      </c>
      <c r="KE26" s="6">
        <f>COUNTIFS(Table78[Country],Tabela1[[#This Row],[Country]],Table78[Men''s 4x200m Freestyle Relay Classification],"&gt;0")</f>
        <v>0</v>
      </c>
      <c r="KF26" s="6">
        <f>COUNTIFS(Table78[Country],Tabela1[[#This Row],[Country]],Table78[Women''s 4x200m Freestyle Relay Classification],"&gt;0")</f>
        <v>0</v>
      </c>
      <c r="KG26" s="6">
        <f>COUNTIFS(Table78[Country],Tabela1[[#This Row],[Country]],Table78[Men''s 4x100m Medley Relay Classification],"&gt;0")</f>
        <v>0</v>
      </c>
      <c r="KH26" s="6">
        <f>COUNTIFS(Table78[Country],Tabela1[[#This Row],[Country]],Table78[Women''s 4x100m Medley Relay Classification],"&gt;0")</f>
        <v>0</v>
      </c>
      <c r="KI26" s="6">
        <f>COUNTIFS(Table78[Country],Tabela1[[#This Row],[Country]],Table78[Mixed 4x100m Medley Relay Classification],"&gt;0")</f>
        <v>0</v>
      </c>
      <c r="KJ26" s="6">
        <f>COUNTIFS(Table20[Country],Tabela1[[#This Row],[Country]],Table20[10km Open Water Classification],"&gt;0")</f>
        <v>0</v>
      </c>
      <c r="KK26" s="6">
        <f>COUNTIFS(Table21[Country],Tabela1[[#This Row],[Country]],Table21[10km Open Water Classification],"&gt;0")</f>
        <v>0</v>
      </c>
      <c r="KL26" s="6">
        <f>COUNTIFS(Table22[Country],Tabela1[[#This Row],[Country]],Table22[Classification],"&gt;0")</f>
        <v>0</v>
      </c>
      <c r="KM26" s="6">
        <f>COUNTIFS(Table30[Country],Tabela1[[#This Row],[Country]],Table30[Classification],"&gt;0")</f>
        <v>0</v>
      </c>
      <c r="KN26" s="6">
        <f>COUNTIFS(Table55[Country],Tabela1[[#This Row],[Country]],Table55[Men''s Classification],"&gt;0")</f>
        <v>0</v>
      </c>
      <c r="KO26" s="6">
        <f>COUNTIFS(Table55[Country],Tabela1[[#This Row],[Country]],Table55[Women''s Classification],"&gt;0")</f>
        <v>0</v>
      </c>
      <c r="KP26" s="6">
        <f>COUNTIFS(Table56[Country],Tabela1[[#This Row],[Country]],Table56[Mixed Classification],"&gt;0")</f>
        <v>0</v>
      </c>
      <c r="KQ26" s="6">
        <f>COUNTIFS(Table29[Country],Tabela1[[#This Row],[Country]],Table29[58kg Classification],"&gt;0")</f>
        <v>1</v>
      </c>
      <c r="KR26" s="6">
        <f>COUNTIFS(Table29[Country],Tabela1[[#This Row],[Country]],Table29[68kg Classification],"&gt;0")</f>
        <v>0</v>
      </c>
      <c r="KS26" s="6">
        <f>COUNTIFS(Table29[Country],Tabela1[[#This Row],[Country]],Table29[80kg Classification],"&gt;0")</f>
        <v>0</v>
      </c>
      <c r="KT26" s="6">
        <f>COUNTIFS(Table29[Country],Tabela1[[#This Row],[Country]],Table29[Plus 80kg Classification],"&gt;0")</f>
        <v>0</v>
      </c>
      <c r="KU26" s="6">
        <f>COUNTIFS(Table34[Country],Tabela1[[#This Row],[Country]],Table34[49kg Classification],"&gt;0")</f>
        <v>0</v>
      </c>
      <c r="KV26" s="6">
        <f>COUNTIFS(Table34[Country],Tabela1[[#This Row],[Country]],Table34[57kg Classification],"&gt;0")</f>
        <v>0</v>
      </c>
      <c r="KW26" s="6">
        <f>COUNTIFS(Table34[Country],Tabela1[[#This Row],[Country]],Table34[67kg Classification],"&gt;0")</f>
        <v>0</v>
      </c>
      <c r="KX26" s="6">
        <f>COUNTIFS(Table34[Country],Tabela1[[#This Row],[Country]],Table34[Plus 67kg Classification],"&gt;0")</f>
        <v>0</v>
      </c>
      <c r="KY26" s="6">
        <f>COUNTIFS(Table57[Country],Tabela1[[#This Row],[Country]],Table57[Classification],"&gt;0")</f>
        <v>2</v>
      </c>
      <c r="KZ26" s="6">
        <f>COUNTIFS(Table58[Country],Tabela1[[#This Row],[Country]],Table58[Classification],"&gt;0")</f>
        <v>2</v>
      </c>
      <c r="LA26" s="6">
        <f>COUNTIFS(Table79[Country],Tabela1[[#This Row],[Country]],Table79[Men''s Classification],"&gt;0")</f>
        <v>2</v>
      </c>
      <c r="LB26" s="6">
        <f>COUNTIFS(Table79[Country],Tabela1[[#This Row],[Country]],Table79[Women''s Classification],"&gt;0")</f>
        <v>1</v>
      </c>
      <c r="LC26" s="6">
        <f>COUNTIFS(Table79[Country],Tabela1[[#This Row],[Country]],Table79[Mixed Classification],"&gt;0")</f>
        <v>1</v>
      </c>
      <c r="LD26" s="6">
        <f>COUNTIFS(Table65[Country],Tabela1[[#This Row],[Country]],Table65[Classification],"&gt;0")</f>
        <v>0</v>
      </c>
      <c r="LE26" s="6">
        <f>COUNTIFS(Table59[Country],Tabela1[[#This Row],[Country]],Table59[Classification],"&gt;0")</f>
        <v>1</v>
      </c>
      <c r="LF26" s="6">
        <f>COUNTIFS(Table87[Country],Tabela1[[#This Row],[Country]],Table87[Mixed Relay Classification],"&gt;0")</f>
        <v>0</v>
      </c>
      <c r="LG26" s="6">
        <f>COUNTIFS(Table91949698100[Country],Tabela1[[#This Row],[Country]],Table91949698100[Men''s Classification],"&gt;0")</f>
        <v>1</v>
      </c>
      <c r="LH26" s="6">
        <f>COUNTIFS(Table91949698100[Country],Tabela1[[#This Row],[Country]],Table91949698100[Women''s Classification],"&gt;0")</f>
        <v>0</v>
      </c>
      <c r="LI26" s="6">
        <f>COUNTIFS(Table91949698100102[Country],Tabela1[[#This Row],[Country]],Table91949698100102[Men''s Classification],"&gt;0")</f>
        <v>0</v>
      </c>
      <c r="LJ26" s="6">
        <f>COUNTIFS(Table91949698100102[Country],Tabela1[[#This Row],[Country]],Table91949698100102[Women''s Classification],"&gt;0")</f>
        <v>0</v>
      </c>
      <c r="LK26" s="6">
        <f>COUNTIFS(Table23[Country],Tabela1[[#This Row],[Country]],Table23[61kg Classification],"&gt;0")</f>
        <v>0</v>
      </c>
      <c r="LL26" s="6">
        <f>COUNTIFS(Table23[Country],Tabela1[[#This Row],[Country]],Table23[73kg Classification],"&gt;0")</f>
        <v>0</v>
      </c>
      <c r="LM26" s="6">
        <f>COUNTIFS(Table23[Country],Tabela1[[#This Row],[Country]],Table23[89kg Classification],"&gt;0")</f>
        <v>0</v>
      </c>
      <c r="LN26" s="6">
        <f>COUNTIFS(Table23[Country],Tabela1[[#This Row],[Country]],Table23[102kg Classification],"&gt;0")</f>
        <v>0</v>
      </c>
      <c r="LO26" s="6">
        <f>COUNTIFS(Table23[Country],Tabela1[[#This Row],[Country]],Table23[Plus 102kg Classification],"&gt;0")</f>
        <v>0</v>
      </c>
      <c r="LP26" s="6">
        <f>COUNTIFS(Table28[Country],Tabela1[[#This Row],[Country]],Table28[49kg Classification],"&gt;0")</f>
        <v>0</v>
      </c>
      <c r="LQ26" s="6">
        <f>COUNTIFS(Table28[Country],Tabela1[[#This Row],[Country]],Table28[59kg Classification],"&gt;0")</f>
        <v>0</v>
      </c>
      <c r="LR26" s="6">
        <f>COUNTIFS(Table28[Country],Tabela1[[#This Row],[Country]],Table28[71kg Classification],"&gt;0")</f>
        <v>0</v>
      </c>
      <c r="LS26" s="6">
        <f>COUNTIFS(Table28[Country],Tabela1[[#This Row],[Country]],Table28[81kg Classification],"&gt;0")</f>
        <v>0</v>
      </c>
      <c r="LT26" s="6">
        <f>COUNTIFS(Table28[Country],Tabela1[[#This Row],[Country]],Table28[Plus 81kg Classification],"&gt;0")</f>
        <v>0</v>
      </c>
      <c r="LU26" s="6">
        <f>COUNTIFS(Table24[Country],Tabela1[[#This Row],[Country]],Table24[Freestyle 57kg Classification],"&gt;0")</f>
        <v>0</v>
      </c>
      <c r="LV26" s="6">
        <f>COUNTIFS(Table24[Country],Tabela1[[#This Row],[Country]],Table24[Freestyle 65kg Classification],"&gt;0")</f>
        <v>0</v>
      </c>
      <c r="LW26" s="6">
        <f>COUNTIFS(Table24[Country],Tabela1[[#This Row],[Country]],Table24[Freestyle 74kg Classification],"&gt;0")</f>
        <v>0</v>
      </c>
      <c r="LX26" s="6">
        <f>COUNTIFS(Table24[Country],Tabela1[[#This Row],[Country]],Table24[Freestyle 86kg Classification],"&gt;0")</f>
        <v>0</v>
      </c>
      <c r="LY26" s="6">
        <f>COUNTIFS(Table24[Country],Tabela1[[#This Row],[Country]],Table24[Freestyle 97kg Classification],"&gt;0")</f>
        <v>0</v>
      </c>
      <c r="LZ26" s="6">
        <f>COUNTIFS(Table24[Country],Tabela1[[#This Row],[Country]],Table24[Freestyle 125kg Classification],"&gt;0")</f>
        <v>0</v>
      </c>
      <c r="MA26" s="6">
        <f>COUNTIFS(Table24[Country],Tabela1[[#This Row],[Country]],Table24[Greco-Roman 60kg Classification],"&gt;0")</f>
        <v>0</v>
      </c>
      <c r="MB26" s="6">
        <f>COUNTIFS(Table24[Country],Tabela1[[#This Row],[Country]],Table24[Greco-Roman 67kg Classification],"&gt;0")</f>
        <v>0</v>
      </c>
      <c r="MC26" s="6">
        <f>COUNTIFS(Table24[Country],Tabela1[[#This Row],[Country]],Table24[Greco-Roman 77kg Classification],"&gt;0")</f>
        <v>0</v>
      </c>
      <c r="MD26" s="6">
        <f>COUNTIFS(Table24[Country],Tabela1[[#This Row],[Country]],Table24[Greco-Roman 87kg Classification],"&gt;0")</f>
        <v>0</v>
      </c>
      <c r="ME26" s="6">
        <f>COUNTIFS(Table24[Country],Tabela1[[#This Row],[Country]],Table24[Greco-Roman 97kg Classification],"&gt;0")</f>
        <v>0</v>
      </c>
      <c r="MF26" s="6">
        <f>COUNTIFS(Table24[Country],Tabela1[[#This Row],[Country]],Table24[Greco-Roman 130kg Classification],"&gt;0")</f>
        <v>0</v>
      </c>
      <c r="MG26" s="6">
        <f>COUNTIFS(Table31[Country],Tabela1[[#This Row],[Country]],Table31[50kg Classification],"&gt;0")</f>
        <v>0</v>
      </c>
      <c r="MH26" s="6">
        <f>COUNTIFS(Table31[Country],Tabela1[[#This Row],[Country]],Table31[53kg Classification],"&gt;0")</f>
        <v>0</v>
      </c>
      <c r="MI26" s="6">
        <f>COUNTIFS(Table31[Country],Tabela1[[#This Row],[Country]],Table31[57kg Classification],"&gt;0")</f>
        <v>0</v>
      </c>
      <c r="MJ26" s="6">
        <f>COUNTIFS(Table31[Country],Tabela1[[#This Row],[Country]],Table31[62kg Classification],"&gt;0")</f>
        <v>0</v>
      </c>
      <c r="MK26" s="6">
        <f>COUNTIFS(Table31[Country],Tabela1[[#This Row],[Country]],Table31[68kg Classification],"&gt;0")</f>
        <v>0</v>
      </c>
      <c r="ML26" s="6">
        <f>COUNTIFS(Table31[Country],Tabela1[[#This Row],[Country]],Table31[76kg Classification],"&gt;0")</f>
        <v>0</v>
      </c>
      <c r="MM26" s="6">
        <f>COUNTIFS(Table102[Country],Tabela1[[#This Row],[Country]],Table102[Downhill Classification],"&gt;0")</f>
        <v>0</v>
      </c>
      <c r="MN26" s="6">
        <f>COUNTIFS(Table102105[Country],Tabela1[[#This Row],[Country]],Table102105[Downhill Classification],"&gt;0")</f>
        <v>1</v>
      </c>
      <c r="MO26" s="6">
        <f>COUNTIFS(Table102[Country],Tabela1[[#This Row],[Country]],Table102[Giant Slalom Classification],"&gt;0")</f>
        <v>0</v>
      </c>
      <c r="MP26" s="6">
        <f>COUNTIFS(Table102105[Country],Tabela1[[#This Row],[Country]],Table102105[Giant Slalom Classification],"&gt;0")</f>
        <v>1</v>
      </c>
      <c r="MQ26" s="6">
        <f>COUNTIFS(Table102[Country],Tabela1[[#This Row],[Country]],Table102[Slalom Classification],"&gt;0")</f>
        <v>0</v>
      </c>
      <c r="MR26" s="6">
        <f>COUNTIFS(Table102105[Country],Tabela1[[#This Row],[Country]],Table102105[Slalom Classification],"&gt;0")</f>
        <v>0</v>
      </c>
      <c r="MS26" s="6">
        <f>COUNTIFS(Table102[Country],Tabela1[[#This Row],[Country]],Table102[Super-G Classification],"&gt;0")</f>
        <v>0</v>
      </c>
      <c r="MT26" s="6">
        <f>COUNTIFS(Table102105[Country],Tabela1[[#This Row],[Country]],Table102105[Super-G Classification],"&gt;0")</f>
        <v>1</v>
      </c>
      <c r="MU26" s="6">
        <f>COUNTIFS(Table105[Country],Tabela1[[#This Row],[Country]],Table105[Men''s Combined Classification],"&gt;0")</f>
        <v>0</v>
      </c>
      <c r="MV26" s="6">
        <f>COUNTIFS(Table105[Country],Tabela1[[#This Row],[Country]],Table105[Women''s Combined Classification],"&gt;0")</f>
        <v>1</v>
      </c>
      <c r="MW26" s="6">
        <f>COUNTIFS(Table106[Country],Tabela1[[#This Row],[Country]],Table106[Individual Classification],"&gt;0")</f>
        <v>0</v>
      </c>
      <c r="MX26" s="6">
        <f>COUNTIFS(Table106109[Country],Tabela1[[#This Row],[Country]],Table106109[Individual Classification],"&gt;0")</f>
        <v>0</v>
      </c>
      <c r="MY26" s="6">
        <f>COUNTIFS(Table106[Country],Tabela1[[#This Row],[Country]],Table106[Mass Start Classification],"&gt;0")</f>
        <v>0</v>
      </c>
      <c r="MZ26" s="6">
        <f>COUNTIFS(Table106109[Country],Tabela1[[#This Row],[Country]],Table106109[Mass Start Classification],"&gt;0")</f>
        <v>0</v>
      </c>
      <c r="NA26" s="6">
        <f>COUNTIFS(Table106[Country],Tabela1[[#This Row],[Country]],Table106[Pursuit Classification],"&gt;0")</f>
        <v>0</v>
      </c>
      <c r="NB26" s="6">
        <f>COUNTIFS(Table106109[Country],Tabela1[[#This Row],[Country]],Table106109[Pursuit Classification],"&gt;0")</f>
        <v>0</v>
      </c>
      <c r="NC26" s="6">
        <f>COUNTIFS(Table106[Country],Tabela1[[#This Row],[Country]],Table106[Sprint Classification],"&gt;0")</f>
        <v>0</v>
      </c>
      <c r="ND26" s="6">
        <f>COUNTIFS(Table106109[Country],Tabela1[[#This Row],[Country]],Table106109[Sprint Classification],"&gt;0")</f>
        <v>0</v>
      </c>
      <c r="NE26" s="6">
        <f>COUNTIFS(Table109[Country],Tabela1[[#This Row],[Country]],Table109[Men''s Relay Classification],"&gt;0")</f>
        <v>0</v>
      </c>
      <c r="NF26" s="6">
        <f>COUNTIFS(Table109[Country],Tabela1[[#This Row],[Country]],Table109[Women''s Relay Classification],"&gt;0")</f>
        <v>0</v>
      </c>
      <c r="NG26" s="6">
        <f>COUNTIFS(Table109[Country],Tabela1[[#This Row],[Country]],Table109[Mixed Relay Classification],"&gt;0")</f>
        <v>0</v>
      </c>
      <c r="NH26" s="6">
        <f>COUNTIFS(Table110[Country],Tabela1[[#This Row],[Country]],Table110[Monobob Classification],"&gt;0")</f>
        <v>0</v>
      </c>
      <c r="NI26" s="6">
        <f>COUNTIFS(Table111[Country],Tabela1[[#This Row],[Country]],Table111[Men''s Classification],"&gt;0")</f>
        <v>0</v>
      </c>
      <c r="NJ26" s="6">
        <f>COUNTIFS(Table111[Country],Tabela1[[#This Row],[Country]],Table111[Women''s Classification],"&gt;0")</f>
        <v>0</v>
      </c>
      <c r="NK26" s="6">
        <f>COUNTIFS(Table112[Country],Tabela1[[#This Row],[Country]],Table112[Men''s Four Classification],"&gt;0")</f>
        <v>0</v>
      </c>
      <c r="NL26" s="6">
        <f>COUNTIFS(Table113[Country],Tabela1[[#This Row],[Country]],Table113[Classical Classification],"&gt;0")</f>
        <v>0</v>
      </c>
      <c r="NM26" s="6">
        <f>COUNTIFS(Table113116[Country],Tabela1[[#This Row],[Country]],Table113116[Classical Classification],"&gt;0")</f>
        <v>0</v>
      </c>
      <c r="NN26" s="6">
        <f>COUNTIFS(Table113[Country],Tabela1[[#This Row],[Country]],Table113[Freestyle Classification],"&gt;0")</f>
        <v>0</v>
      </c>
      <c r="NO26" s="6">
        <f>COUNTIFS(Table113116[Country],Tabela1[[#This Row],[Country]],Table113116[Freestyle Classification],"&gt;0")</f>
        <v>0</v>
      </c>
      <c r="NP26" s="6">
        <f>COUNTIFS(Table117[Country],Tabela1[[#This Row],[Country]],Table117[Men''s Relay Classification],"&gt;0")</f>
        <v>0</v>
      </c>
      <c r="NQ26" s="6">
        <f>COUNTIFS(Table117[Country],Tabela1[[#This Row],[Country]],Table117[Women''s Relay Classification],"&gt;0")</f>
        <v>0</v>
      </c>
      <c r="NR26" s="6">
        <f>COUNTIFS(Table113[Country],Tabela1[[#This Row],[Country]],Table113[Skiathlon Classification],"&gt;0")</f>
        <v>0</v>
      </c>
      <c r="NS26" s="6">
        <f>COUNTIFS(Table113116[Country],Tabela1[[#This Row],[Country]],Table113116[Skiathlon Classification],"&gt;0")</f>
        <v>0</v>
      </c>
      <c r="NT26" s="6">
        <f>COUNTIFS(Table113[Country],Tabela1[[#This Row],[Country]],Table113[Sprint Classification],"&gt;0")</f>
        <v>0</v>
      </c>
      <c r="NU26" s="6">
        <f>COUNTIFS(Table113116[Country],Tabela1[[#This Row],[Country]],Table113116[Sprint Classification],"&gt;0")</f>
        <v>0</v>
      </c>
      <c r="NV26" s="6">
        <f>COUNTIFS(Table116[Country],Tabela1[[#This Row],[Country]],Table116[Men''s Team Sprint Classification],"&gt;0")</f>
        <v>0</v>
      </c>
      <c r="NW26" s="6">
        <f>COUNTIFS(Table116[Country],Tabela1[[#This Row],[Country]],Table116[Women''s Team Sprint Classification],"&gt;0")</f>
        <v>0</v>
      </c>
      <c r="NX26" s="6">
        <f>COUNTIFS(Table119[Country],Tabela1[[#This Row],[Country]],Table119[Men''s Classification],"&gt;0")</f>
        <v>0</v>
      </c>
      <c r="NY26" s="6">
        <f>COUNTIFS(Table119[Country],Tabela1[[#This Row],[Country]],Table119[Women''s Classification],"&gt;0")</f>
        <v>0</v>
      </c>
      <c r="NZ26" s="6">
        <f>COUNTIFS(Table118[Country],Tabela1[[#This Row],[Country]],Table118[Mixed Classification],"&gt;0")</f>
        <v>0</v>
      </c>
      <c r="OA26" s="6">
        <f>COUNTIFS(Table120[Country],Tabela1[[#This Row],[Country]],Table120[Classification],"&gt;0")</f>
        <v>0</v>
      </c>
      <c r="OB26" s="6">
        <f>COUNTIFS(Table120123[Country],Tabela1[[#This Row],[Country]],Table120123[Classification],"&gt;0")</f>
        <v>0</v>
      </c>
      <c r="OC26" s="6">
        <f>COUNTIFS(Table123[Country],Tabela1[[#This Row],[Country]],Table123[Ice Dance Classification],"&gt;0")</f>
        <v>0</v>
      </c>
      <c r="OD26" s="6">
        <f>COUNTIFS(Table123[Country],Tabela1[[#This Row],[Country]],Table123[Pair Skating Classification],"&gt;0")</f>
        <v>0</v>
      </c>
      <c r="OE26" s="6">
        <f>COUNTIFS(Table124[Country],Tabela1[[#This Row],[Country]],Table124[Mixed Classification],"&gt;0")</f>
        <v>0</v>
      </c>
      <c r="OF26" s="6">
        <f>COUNTIFS(Table125[Country],Tabela1[[#This Row],[Country]],Table125[Aerials Classification],"&gt;0")</f>
        <v>0</v>
      </c>
      <c r="OG26" s="6">
        <f>COUNTIFS(Table125128[Country],Tabela1[[#This Row],[Country]],Table125128[Aerials Classification],"&gt;0")</f>
        <v>0</v>
      </c>
      <c r="OH26" s="6">
        <f>COUNTIFS(Table128[Country],Tabela1[[#This Row],[Country]],Table128[Mixed Aerials Classification],"&gt;0")</f>
        <v>0</v>
      </c>
      <c r="OI26" s="6">
        <f>COUNTIFS(Table125[Country],Tabela1[[#This Row],[Country]],Table125[Big Air Classification],"&gt;0")</f>
        <v>0</v>
      </c>
      <c r="OJ26" s="6">
        <f>COUNTIFS(Table125128[Country],Tabela1[[#This Row],[Country]],Table125128[Big Air Classification],"&gt;0")</f>
        <v>0</v>
      </c>
      <c r="OK26" s="6">
        <f>COUNTIFS(Table125[Country],Tabela1[[#This Row],[Country]],Table125[Dual Moguls Classification],"&gt;0")</f>
        <v>0</v>
      </c>
      <c r="OL26" s="6">
        <f>COUNTIFS(Table125128[Country],Tabela1[[#This Row],[Country]],Table125128[Dual Moguls Classification],"&gt;0")</f>
        <v>0</v>
      </c>
      <c r="OM26" s="6">
        <f>COUNTIFS(Table125[Country],Tabela1[[#This Row],[Country]],Table125[Halfpipe Classification],"&gt;0")</f>
        <v>0</v>
      </c>
      <c r="ON26" s="6">
        <f>COUNTIFS(Table125128[Country],Tabela1[[#This Row],[Country]],Table125128[Halfpipe Classification],"&gt;0")</f>
        <v>0</v>
      </c>
      <c r="OO26" s="6">
        <f>COUNTIFS(Table125[Country],Tabela1[[#This Row],[Country]],Table125[Moguls Classification],"&gt;0")</f>
        <v>0</v>
      </c>
      <c r="OP26" s="6">
        <f>COUNTIFS(Table125128[Country],Tabela1[[#This Row],[Country]],Table125128[Moguls Classification],"&gt;0")</f>
        <v>0</v>
      </c>
      <c r="OQ26" s="6">
        <f>COUNTIFS(Table125[Country],Tabela1[[#This Row],[Country]],Table125[Ski Cross Classification],"&gt;0")</f>
        <v>0</v>
      </c>
      <c r="OR26" s="6">
        <f>COUNTIFS(Table125128[Country],Tabela1[[#This Row],[Country]],Table125128[Ski Cross Classification],"&gt;0")</f>
        <v>0</v>
      </c>
      <c r="OS26" s="6">
        <f>COUNTIFS(Table125[Country],Tabela1[[#This Row],[Country]],Table125[Slopestyle Classification],"&gt;0")</f>
        <v>0</v>
      </c>
      <c r="OT26" s="6">
        <f>COUNTIFS(Table125128[Country],Tabela1[[#This Row],[Country]],Table125128[Slopestyle Classification],"&gt;0")</f>
        <v>0</v>
      </c>
      <c r="OU26" s="6">
        <f>COUNTIFS(Table119131[Country],Tabela1[[#This Row],[Country]],Table119131[Men''s Classification],"&gt;0")</f>
        <v>0</v>
      </c>
      <c r="OV26" s="6">
        <f>COUNTIFS(Table119131[Country],Tabela1[[#This Row],[Country]],Table119131[Women''s Classification],"&gt;0")</f>
        <v>0</v>
      </c>
      <c r="OW26" s="6">
        <f>COUNTIFS(Table131[Country],Tabela1[[#This Row],[Country]],Table131[Classification],"&gt;0")</f>
        <v>0</v>
      </c>
      <c r="OX26" s="6">
        <f>COUNTIFS(Table131134[Country],Tabela1[[#This Row],[Country]],Table131134[Classification],"&gt;0")</f>
        <v>0</v>
      </c>
      <c r="OY26" s="6">
        <f>COUNTIFS(Table134[Country],Tabela1[[#This Row],[Country]],Table134[Men''s Classification],"&gt;0")</f>
        <v>0</v>
      </c>
      <c r="OZ26" s="6">
        <f>COUNTIFS(Table134[Country],Tabela1[[#This Row],[Country]],Table134[Women''s Classification],"&gt;0")</f>
        <v>0</v>
      </c>
      <c r="PA26" s="6">
        <f>COUNTIFS(Table135[Country],Tabela1[[#This Row],[Country]],Table135[Mixed Relay Classification],"&gt;0")</f>
        <v>0</v>
      </c>
      <c r="PB26" s="6">
        <f>COUNTIFS(Table136[Country],Tabela1[[#This Row],[Country]],Table136[Individual Classification],"&gt;0")</f>
        <v>0</v>
      </c>
      <c r="PC26" s="6">
        <f>COUNTIFS(Table136[Country],Tabela1[[#This Row],[Country]],Table136[Sprint Classification],"&gt;0")</f>
        <v>0</v>
      </c>
      <c r="PD26" s="6">
        <f>COUNTIFS(Table137[Country],Tabela1[[#This Row],[Country]],Table137[Men''s Team Sprint Large Hill Classification],"&gt;0")</f>
        <v>0</v>
      </c>
      <c r="PE26" s="6">
        <f>COUNTIFS(Table138[Country],Tabela1[[#This Row],[Country]],Table138[500m Classification],"&gt;0")</f>
        <v>0</v>
      </c>
      <c r="PF26" s="6">
        <f>COUNTIFS(Table138141[Country],Tabela1[[#This Row],[Country]],Table138141[500m Classification],"&gt;0")</f>
        <v>0</v>
      </c>
      <c r="PG26" s="6">
        <f>COUNTIFS(Table138[Country],Tabela1[[#This Row],[Country]],Table138[1000m Classification],"&gt;0")</f>
        <v>0</v>
      </c>
      <c r="PH26" s="6">
        <f>COUNTIFS(Table138141[Country],Tabela1[[#This Row],[Country]],Table138141[1000m Classification],"&gt;0")</f>
        <v>0</v>
      </c>
      <c r="PI26" s="6">
        <f>COUNTIFS(Table138[Country],Tabela1[[#This Row],[Country]],Table138[1500m Classification],"&gt;0")</f>
        <v>0</v>
      </c>
      <c r="PJ26" s="6">
        <f>COUNTIFS(Table138141[Country],Tabela1[[#This Row],[Country]],Table138141[1500m Classification],"&gt;0")</f>
        <v>0</v>
      </c>
      <c r="PK26" s="6">
        <f>COUNTIFS(Table141[Country],Tabela1[[#This Row],[Country]],Table141[Men''s 5000m Relay Classification],"&gt;0")</f>
        <v>0</v>
      </c>
      <c r="PL26" s="6">
        <f>COUNTIFS(Table141[Country],Tabela1[[#This Row],[Country]],Table141[Women''s 3000m Relay Classification],"&gt;0")</f>
        <v>0</v>
      </c>
      <c r="PM26" s="6">
        <f>COUNTIFS(Table141[Country],Tabela1[[#This Row],[Country]],Table141[Mixed 2000m Relay Classification],"&gt;0")</f>
        <v>0</v>
      </c>
      <c r="PN26" s="6">
        <f>COUNTIFS(Table142[Country],Tabela1[[#This Row],[Country]],Table142[Classification],"&gt;0")</f>
        <v>0</v>
      </c>
      <c r="PO26" s="6">
        <f>COUNTIFS(Table142145[Country],Tabela1[[#This Row],[Country]],Table142145[Classification],"&gt;0")</f>
        <v>0</v>
      </c>
      <c r="PP26" s="6">
        <f>COUNTIFS(Tabela15[Country],Tabela1[[#This Row],[Country]],Tabela15[Mixed Team Classification],"&gt;0")</f>
        <v>0</v>
      </c>
      <c r="PQ26" s="6">
        <f>COUNTIFS(Table145[Country],Tabela1[[#This Row],[Country]],Table145[Large Hill Classification],"&gt;0")</f>
        <v>0</v>
      </c>
      <c r="PR26" s="6">
        <f>COUNTIFS(Table145[Country],Tabela1[[#This Row],[Country]],Table145[Normal Hill Classification],"&gt;0")</f>
        <v>0</v>
      </c>
      <c r="PS26" s="6">
        <f>COUNTIFS(Table145148[Country],Tabela1[[#This Row],[Country]],Table145148[Large Hill Classification],"&gt;0")</f>
        <v>0</v>
      </c>
      <c r="PT26" s="6">
        <f>COUNTIFS(Table145148[Country],Tabela1[[#This Row],[Country]],Table145148[Normal Hill Classification],"&gt;0")</f>
        <v>0</v>
      </c>
      <c r="PU26" s="6">
        <f>COUNTIFS(Table148[Country],Tabela1[[#This Row],[Country]],Table148[Men''s Super Team Classification],"&gt;0")</f>
        <v>0</v>
      </c>
      <c r="PV26" s="6">
        <f>COUNTIFS(Tabela114[Country],Tabela1[[#This Row],[Country]],Tabela114[Mixed Normal Hill Classification],"&gt;0")</f>
        <v>0</v>
      </c>
      <c r="PW26" s="6">
        <f>COUNTIFS(Tabela50[Country],Tabela1[[#This Row],[Country]],Tabela50[Sprint Classification],"&gt;0")</f>
        <v>0</v>
      </c>
      <c r="PX26" s="6">
        <f>COUNTIFS(Tabela50101[Country],Tabela1[[#This Row],[Country]],Tabela50101[Sprint Classification],"&gt;0")</f>
        <v>0</v>
      </c>
      <c r="PY26" s="6">
        <f>COUNTIFS(Tabela103[Country],Tabela1[[#This Row],[Country]],Tabela103[Mixed Relay Classification],"&gt;0")</f>
        <v>0</v>
      </c>
      <c r="PZ26" s="6">
        <f>COUNTIFS(Table149[Country],Tabela1[[#This Row],[Country]],Table149[Big Air Classification],"&gt;0")</f>
        <v>0</v>
      </c>
      <c r="QA26" s="6">
        <f>COUNTIFS(Table149152[Country],Tabela1[[#This Row],[Country]],Table149152[Big Air Classification],"&gt;0")</f>
        <v>0</v>
      </c>
      <c r="QB26" s="6">
        <f>COUNTIFS(Table149[Country],Tabela1[[#This Row],[Country]],Table149[Halfpipe Classification],"&gt;0")</f>
        <v>0</v>
      </c>
      <c r="QC26" s="6">
        <f>COUNTIFS(Table149152[Country],Tabela1[[#This Row],[Country]],Table149152[Halfpipe Classification],"&gt;0")</f>
        <v>0</v>
      </c>
      <c r="QD26" s="6">
        <f>COUNTIFS(Table149[Country],Tabela1[[#This Row],[Country]],Table149[Parallel Giant Slalom Classification],"&gt;0")</f>
        <v>0</v>
      </c>
      <c r="QE26" s="6">
        <f>COUNTIFS(Table149152[Country],Tabela1[[#This Row],[Country]],Table149152[Parallel Giant Slalom Classification],"&gt;0")</f>
        <v>0</v>
      </c>
      <c r="QF26" s="6">
        <f>COUNTIFS(Table149[Country],Tabela1[[#This Row],[Country]],Table149[Slopestyle Classification],"&gt;0")</f>
        <v>0</v>
      </c>
      <c r="QG26" s="6">
        <f>COUNTIFS(Table149152[Country],Tabela1[[#This Row],[Country]],Table149152[Slopestyle Classification],"&gt;0")</f>
        <v>0</v>
      </c>
      <c r="QH26" s="6">
        <f>COUNTIFS(Table149[Country],Tabela1[[#This Row],[Country]],Table149[Snowboard Cross Classification],"&gt;0")</f>
        <v>0</v>
      </c>
      <c r="QI26" s="6">
        <f>COUNTIFS(Table149152[Country],Tabela1[[#This Row],[Country]],Table149152[Snowboard Cross Classification],"&gt;0")</f>
        <v>0</v>
      </c>
      <c r="QJ26" s="6">
        <f>COUNTIFS(Table153[Country],Tabela1[[#This Row],[Country]],Table153[Mixed Team Snowboard Cross Classification],"&gt;0")</f>
        <v>0</v>
      </c>
      <c r="QK26" s="6">
        <f>COUNTIFS(Table154[Country],Tabela1[[#This Row],[Country]],Table154[500m Classification],"&gt;0")</f>
        <v>0</v>
      </c>
      <c r="QL26" s="6">
        <f>COUNTIFS(Table154157[Country],Tabela1[[#This Row],[Country]],Table154157[500m Classification],"&gt;0")</f>
        <v>0</v>
      </c>
      <c r="QM26" s="6">
        <f>COUNTIFS(Table154[Country],Tabela1[[#This Row],[Country]],Table154[1000m Classification],"&gt;0")</f>
        <v>0</v>
      </c>
      <c r="QN26" s="6">
        <f>COUNTIFS(Table154157[Country],Tabela1[[#This Row],[Country]],Table154157[1000m Classification],"&gt;0")</f>
        <v>0</v>
      </c>
      <c r="QO26" s="6">
        <f>COUNTIFS(Table154[Country],Tabela1[[#This Row],[Country]],Table154[1500m Classification],"&gt;0")</f>
        <v>0</v>
      </c>
      <c r="QP26" s="6">
        <f>COUNTIFS(Table154157[Country],Tabela1[[#This Row],[Country]],Table154157[1500m Classification],"&gt;0")</f>
        <v>0</v>
      </c>
      <c r="QQ26" s="6">
        <f>COUNTIFS(Table154157[Country],Tabela1[[#This Row],[Country]],Table154157[3000m Classification],"&gt;0")</f>
        <v>0</v>
      </c>
      <c r="QR26" s="6">
        <f>COUNTIFS(Table154[Country],Tabela1[[#This Row],[Country]],Table154[5000m Classification],"&gt;0")</f>
        <v>0</v>
      </c>
      <c r="QS26" s="6">
        <f>COUNTIFS(Table154157[Country],Tabela1[[#This Row],[Country]],Table154157[5000m Classification],"&gt;0")</f>
        <v>0</v>
      </c>
      <c r="QT26" s="6">
        <f>COUNTIFS(Table154[Country],Tabela1[[#This Row],[Country]],Table154[10000m Classification],"&gt;0")</f>
        <v>0</v>
      </c>
      <c r="QU26" s="6">
        <f>COUNTIFS(Table154[Country],Tabela1[[#This Row],[Country]],Table154[Mass Start Classification],"&gt;0")</f>
        <v>0</v>
      </c>
      <c r="QV26" s="6">
        <f>COUNTIFS(Table154157[Country],Tabela1[[#This Row],[Country]],Table154157[Mass Start Classification],"&gt;0")</f>
        <v>0</v>
      </c>
      <c r="QW26" s="6">
        <f>COUNTIFS(Table157[Country],Tabela1[[#This Row],[Country]],Table157[Men''s Pursuit Classification],"&gt;0")</f>
        <v>0</v>
      </c>
      <c r="QX26" s="6">
        <f>COUNTIFS(Table157[Country],Tabela1[[#This Row],[Country]],Table157[Women''s Pursuit Classification],"&gt;0")</f>
        <v>0</v>
      </c>
      <c r="QY26" s="3" t="s">
        <v>341</v>
      </c>
    </row>
    <row r="27" spans="1:467" x14ac:dyDescent="0.3">
      <c r="A27" s="6">
        <v>26</v>
      </c>
      <c r="B27" s="6" t="s">
        <v>604</v>
      </c>
      <c r="C27" t="e" vm="26">
        <f>IF(ISBLANK(Tabela1[[#This Row],[Image Link]]), "", _xlfn.IMAGE(Tabela1[[#This Row],[Image Link]],1,1))</f>
        <v>#VALUE!</v>
      </c>
      <c r="D27" s="6">
        <f>SUM(Tabela1[[#This Row],[Archery - Men''s Individual Recurve]:[Speed Skating - Women''s Team Pursuit]])</f>
        <v>48</v>
      </c>
      <c r="E27" s="6">
        <f>COUNTIF(Tabela1[[#This Row],[Archery - Men''s Individual Recurve]:[Speed Skating - Women''s Team Pursuit]],"&gt;0")</f>
        <v>37</v>
      </c>
      <c r="F27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27" s="6">
        <f>SUM(Tabela1[[#This Row],[Archery - Men''s Individual Recurve]:[Wrestling - Women''s Freestyle 76kg]])</f>
        <v>25</v>
      </c>
      <c r="H27" s="6">
        <f>SUM(Tabela1[[#This Row],[Alpine Skiing - Men''s Downhill]:[Speed Skating - Women''s Team Pursuit]])</f>
        <v>23</v>
      </c>
      <c r="I27" s="6">
        <f>Tabela1[[#This Row],[Summer Gold Medals]]+Tabela1[[#This Row],[Winter Gold Medals]]</f>
        <v>2</v>
      </c>
      <c r="J27" s="6">
        <f>Tabela1[[#This Row],[Summer Silver Medals]]+Tabela1[[#This Row],[Winter Silver Medals]]</f>
        <v>3</v>
      </c>
      <c r="K27" s="6">
        <f>Tabela1[[#This Row],[Summer Bronze Medals]]+Tabela1[[#This Row],[Winter Bronze Medals]]</f>
        <v>3</v>
      </c>
      <c r="L27" s="6">
        <f>SUM(Tabela1[[#This Row],[Total Gold Medals]:[Total Bronze Medals]])</f>
        <v>8</v>
      </c>
      <c r="M27" s="6">
        <v>1</v>
      </c>
      <c r="N27" s="6">
        <v>3</v>
      </c>
      <c r="O27" s="6">
        <v>3</v>
      </c>
      <c r="P27" s="6">
        <f>SUM(Tabela1[[#This Row],[Summer Gold Medals]:[Summer Bronze Medals]])</f>
        <v>7</v>
      </c>
      <c r="Q27" s="6">
        <v>1</v>
      </c>
      <c r="R27" s="6"/>
      <c r="S27" s="6"/>
      <c r="T27" s="6">
        <f>Tabela1[[#This Row],[Winter Gold Medals]]+Tabela1[[#This Row],[Winter Silver Medals]]+Tabela1[[#This Row],[Winter Bronze Medals]]</f>
        <v>1</v>
      </c>
      <c r="U27" s="7">
        <f>Tabela1[[#This Row],[Total Medals]]/Tabela1[[#This Row],[Total Quotas]]</f>
        <v>0.16666666666666666</v>
      </c>
      <c r="V27" s="6">
        <f>COUNTIFS(Table3[Country],Tabela1[[#This Row],[Country]],Table3[Recurve Classification],"&gt;0")</f>
        <v>3</v>
      </c>
      <c r="W27" s="6">
        <f>COUNTIFS(Table33[Country],Tabela1[[#This Row],[Country]],Table33[Recurve Classification],"&gt;0")</f>
        <v>0</v>
      </c>
      <c r="X27" s="6">
        <f>COUNTIFS(Table35[Country],Tabela1[[#This Row],[Country]],Table35[Men''s Team Recurve Classification],"&gt;0")</f>
        <v>1</v>
      </c>
      <c r="Y27" s="6">
        <f>COUNTIFS(Table35[Country],Tabela1[[#This Row],[Country]],Table35[Women''s Team Recurve Classification],"&gt;0")</f>
        <v>0</v>
      </c>
      <c r="Z27" s="6">
        <f>COUNTIFS(Tabela88[Country],Tabela1[[#This Row],[Country]],Tabela88[Mixed Team Recurve Classification],"&gt;0")</f>
        <v>0</v>
      </c>
      <c r="AA27" s="6">
        <f>COUNTIFS(Table36[Country],Tabela1[[#This Row],[Country]],Table36[Classification],"&gt;0")</f>
        <v>0</v>
      </c>
      <c r="AB27" s="6">
        <f>COUNTIFS(Table37[Country],Tabela1[[#This Row],[Country]],Table37[Classification],"&gt;0")</f>
        <v>0</v>
      </c>
      <c r="AC27" s="6">
        <f>COUNTIFS(Table4[Country],Tabela1[[#This Row],[Country]],Table4[100m Classification],"&gt;0")</f>
        <v>0</v>
      </c>
      <c r="AD27" s="6">
        <f>COUNTIFS(Table5[Country],Tabela1[[#This Row],[Country]],Table5[100m Classification],"&gt;0")</f>
        <v>0</v>
      </c>
      <c r="AE27" s="6">
        <f>COUNTIFS(Table4[Country],Tabela1[[#This Row],[Country]],Table4[200m Classification],"&gt;0")</f>
        <v>0</v>
      </c>
      <c r="AF27" s="6">
        <f>COUNTIFS(Table5[Country],Tabela1[[#This Row],[Country]],Table5[200m Classification],"&gt;0")</f>
        <v>0</v>
      </c>
      <c r="AG27" s="6">
        <f>COUNTIFS(Table4[Country],Tabela1[[#This Row],[Country]],Table4[400m Classification],"&gt;0")</f>
        <v>0</v>
      </c>
      <c r="AH27" s="6">
        <f>COUNTIFS(Table5[Country],Tabela1[[#This Row],[Country]],Table5[400m Classification],"&gt;0")</f>
        <v>0</v>
      </c>
      <c r="AI27" s="6">
        <f>COUNTIFS(Table4[Country],Tabela1[[#This Row],[Country]],Table4[800m Classification],"&gt;0")</f>
        <v>0</v>
      </c>
      <c r="AJ27" s="6">
        <f>COUNTIFS(Table5[Country],Tabela1[[#This Row],[Country]],Table5[800m Classification],"&gt;0")</f>
        <v>0</v>
      </c>
      <c r="AK27" s="6">
        <f>COUNTIFS(Table4[Country],Tabela1[[#This Row],[Country]],Table4[1500m Classification],"&gt;0")</f>
        <v>0</v>
      </c>
      <c r="AL27" s="6">
        <f>COUNTIFS(Table5[Country],Tabela1[[#This Row],[Country]],Table5[1500m Classification],"&gt;0")</f>
        <v>0</v>
      </c>
      <c r="AM27" s="6">
        <f>COUNTIFS(Table4[Country],Tabela1[[#This Row],[Country]],Table4[5000m Classification],"&gt;0")</f>
        <v>0</v>
      </c>
      <c r="AN27" s="6">
        <f>COUNTIFS(Table5[Country],Tabela1[[#This Row],[Country]],Table5[5000m Classification],"&gt;0")</f>
        <v>0</v>
      </c>
      <c r="AO27" s="6">
        <f>COUNTIFS(Table4[Country],Tabela1[[#This Row],[Country]],Table4[10000m Classification],"&gt;0")</f>
        <v>0</v>
      </c>
      <c r="AP27" s="6">
        <f>COUNTIFS(Table5[Country],Tabela1[[#This Row],[Country]],Table5[10000m Classification],"&gt;0")</f>
        <v>0</v>
      </c>
      <c r="AQ27" s="6">
        <f>COUNTIFS(Table4[Country],Tabela1[[#This Row],[Country]],Table4[110m Hurdles Classification],"&gt;0")</f>
        <v>0</v>
      </c>
      <c r="AR27" s="6">
        <f>COUNTIFS(Table5[Country],Tabela1[[#This Row],[Country]],Table5[100m Hurdles Classification],"&gt;0")</f>
        <v>0</v>
      </c>
      <c r="AS27" s="6">
        <f>COUNTIFS(Table4[Country],Tabela1[[#This Row],[Country]],Table4[400m Hurdles Classification],"&gt;0")</f>
        <v>0</v>
      </c>
      <c r="AT27" s="6">
        <f>COUNTIFS(Table5[Country],Tabela1[[#This Row],[Country]],Table5[400m Hurdles Classification],"&gt;0")</f>
        <v>0</v>
      </c>
      <c r="AU27" s="6">
        <f>COUNTIFS(Table4[Country],Tabela1[[#This Row],[Country]],Table4[3000m Steeplechase Classification],"&gt;0")</f>
        <v>0</v>
      </c>
      <c r="AV27" s="6">
        <f>COUNTIFS(Table5[Country],Tabela1[[#This Row],[Country]],Table5[3000m Steeplechase Classification],"&gt;0")</f>
        <v>0</v>
      </c>
      <c r="AW27" s="6">
        <f>COUNTIFS(Table27[Country],Tabela1[[#This Row],[Country]],Table27[Men''s 4x100m Relay Classification],"&gt;0")</f>
        <v>0</v>
      </c>
      <c r="AX27" s="6">
        <f>COUNTIFS(Table27[Country],Tabela1[[#This Row],[Country]],Table27[Women''s 4x100m Relay Classification],"&gt;0")</f>
        <v>0</v>
      </c>
      <c r="AY27" s="6">
        <f>COUNTIFS(Table27[Country],Tabela1[[#This Row],[Country]],Table27[Men''s 4x400m Relay Classification],"&gt;0")</f>
        <v>0</v>
      </c>
      <c r="AZ27" s="6">
        <f>COUNTIFS(Table27[Country],Tabela1[[#This Row],[Country]],Table27[Women''s 4x400m Relay Classification],"&gt;0")</f>
        <v>0</v>
      </c>
      <c r="BA27" s="6">
        <f>COUNTIFS(Table27[Country],Tabela1[[#This Row],[Country]],Table27[Mixed 4x400m Relay Classification],"&gt;0")</f>
        <v>0</v>
      </c>
      <c r="BB27" s="6">
        <f>COUNTIFS(Table4[Country],Tabela1[[#This Row],[Country]],Table4[Marathon Classification],"&gt;0")</f>
        <v>0</v>
      </c>
      <c r="BC27" s="6">
        <f>COUNTIFS(Table5[Country],Tabela1[[#This Row],[Country]],Table5[Marathon Classification],"&gt;0")</f>
        <v>1</v>
      </c>
      <c r="BD27" s="6">
        <f>COUNTIFS(Table4[Country],Tabela1[[#This Row],[Country]],Table4[20km Race Walk Classification],"&gt;0")</f>
        <v>0</v>
      </c>
      <c r="BE27" s="6">
        <f>COUNTIFS(Table5[Country],Tabela1[[#This Row],[Country]],Table5[20km Race Walk Classification],"&gt;0")</f>
        <v>0</v>
      </c>
      <c r="BF27" s="6">
        <f>COUNTIFS(Tabela96[Country],Tabela1[[#This Row],[Country]],Tabela96[Mixed Marathon Race Walk Relay Classification],"&gt;0")</f>
        <v>0</v>
      </c>
      <c r="BG27" s="6">
        <f>COUNTIFS(Table4[Country],Tabela1[[#This Row],[Country]],Table4[Discus Throw Classification],"&gt;0")</f>
        <v>0</v>
      </c>
      <c r="BH27" s="6">
        <f>COUNTIFS(Table5[Country],Tabela1[[#This Row],[Country]],Table5[Discus Throw Classification],"&gt;0")</f>
        <v>0</v>
      </c>
      <c r="BI27" s="6">
        <f>COUNTIFS(Table4[Country],Tabela1[[#This Row],[Country]],Table4[Hammer Throw Classification],"&gt;0")</f>
        <v>0</v>
      </c>
      <c r="BJ27" s="6">
        <f>COUNTIFS(Table5[Country],Tabela1[[#This Row],[Country]],Table5[Hammer Throw Classification],"&gt;0")</f>
        <v>0</v>
      </c>
      <c r="BK27" s="6">
        <f>COUNTIFS(Table4[Country],Tabela1[[#This Row],[Country]],Table4[High Jump Classification],"&gt;0")</f>
        <v>0</v>
      </c>
      <c r="BL27" s="6">
        <f>COUNTIFS(Table5[Country],Tabela1[[#This Row],[Country]],Table5[High Jump Classification],"&gt;0")</f>
        <v>1</v>
      </c>
      <c r="BM27" s="6">
        <f>COUNTIFS(Table4[Country],Tabela1[[#This Row],[Country]],Table4[Javelin Throw Classification],"&gt;0")</f>
        <v>0</v>
      </c>
      <c r="BN27" s="6">
        <f>COUNTIFS(Table5[Country],Tabela1[[#This Row],[Country]],Table5[Javelin Throw Classification],"&gt;0")</f>
        <v>0</v>
      </c>
      <c r="BO27" s="6">
        <f>COUNTIFS(Table4[Country],Tabela1[[#This Row],[Country]],Table4[Long Jump Classification],"&gt;0")</f>
        <v>0</v>
      </c>
      <c r="BP27" s="6">
        <f>COUNTIFS(Table5[Country],Tabela1[[#This Row],[Country]],Table5[Long Jump Classification],"&gt;0")</f>
        <v>0</v>
      </c>
      <c r="BQ27" s="6">
        <f>COUNTIFS(Table4[Country],Tabela1[[#This Row],[Country]],Table4[Pole Vault Classification],"&gt;0")</f>
        <v>0</v>
      </c>
      <c r="BR27" s="6">
        <f>COUNTIFS(Table5[Country],Tabela1[[#This Row],[Country]],Table5[Pole Vault Classification],"&gt;0")</f>
        <v>0</v>
      </c>
      <c r="BS27" s="6">
        <f>COUNTIFS(Table4[Country],Tabela1[[#This Row],[Country]],Table4[Shot Put Classification],"&gt;0")</f>
        <v>0</v>
      </c>
      <c r="BT27" s="6">
        <f>COUNTIFS(Table5[Country],Tabela1[[#This Row],[Country]],Table5[Shot Put Classification],"&gt;0")</f>
        <v>0</v>
      </c>
      <c r="BU27" s="6">
        <f>COUNTIFS(Table4[Country],Tabela1[[#This Row],[Country]],Table4[Triple Jump Classification],"&gt;0")</f>
        <v>0</v>
      </c>
      <c r="BV27" s="6">
        <f>COUNTIFS(Table5[Country],Tabela1[[#This Row],[Country]],Table5[Triple Jump Classification],"&gt;0")</f>
        <v>0</v>
      </c>
      <c r="BW27" s="6">
        <f>COUNTIFS(Table4[Country],Tabela1[[#This Row],[Country]],Table4[Decathlon Classification],"&gt;0")</f>
        <v>0</v>
      </c>
      <c r="BX27" s="6">
        <f>COUNTIFS(Table5[Country],Tabela1[[#This Row],[Country]],Table5[Heptathlon Classification],"&gt;0")</f>
        <v>0</v>
      </c>
      <c r="BY27" s="6">
        <f>COUNTIFS(Table61[Country],Tabela1[[#This Row],[Country]],Table61[Classification],"&gt;0")</f>
        <v>0</v>
      </c>
      <c r="BZ27" s="6">
        <f>COUNTIFS(Table38[Country],Tabela1[[#This Row],[Country]],Table38[Classification],"&gt;0")</f>
        <v>0</v>
      </c>
      <c r="CA27" s="6">
        <f>COUNTIFS(Table39[Country],Tabela1[[#This Row],[Country]],Table39[Men''s Classification],"&gt;0")</f>
        <v>0</v>
      </c>
      <c r="CB27" s="6">
        <f>COUNTIFS(Table39[Country],Tabela1[[#This Row],[Country]],Table39[Women''s Classification],"&gt;0")</f>
        <v>0</v>
      </c>
      <c r="CC27" s="6">
        <f>COUNTIFS(Table39[Country],Tabela1[[#This Row],[Country]],Table39[Mixed Classification],"&gt;0")</f>
        <v>0</v>
      </c>
      <c r="CD27" s="6">
        <f>COUNTIFS(Table89[Country],Tabela1[[#This Row],[Country]],Table89[Men''s Classification],"&gt;0")</f>
        <v>0</v>
      </c>
      <c r="CE27" s="6">
        <f>COUNTIFS(Table89[Country],Tabela1[[#This Row],[Country]],Table89[Women''s Classification],"&gt;0")</f>
        <v>0</v>
      </c>
      <c r="CF27" s="6">
        <f>COUNTIFS(Table90[Country],Tabela1[[#This Row],[Country]],Table90[Men''s Classification],"&gt;0")</f>
        <v>0</v>
      </c>
      <c r="CG27" s="6">
        <f>COUNTIFS(Table90[Country],Tabela1[[#This Row],[Country]],Table90[Women''s Classification],"&gt;0")</f>
        <v>0</v>
      </c>
      <c r="CH27" s="6">
        <f>COUNTIFS(Table60[Country],Tabela1[[#This Row],[Country]],Table60[Men''s Classification],"&gt;0")</f>
        <v>0</v>
      </c>
      <c r="CI27" s="6">
        <f>COUNTIFS(Table60[Country],Tabela1[[#This Row],[Country]],Table60[Women''s Classification],"&gt;0")</f>
        <v>0</v>
      </c>
      <c r="CJ27" s="6">
        <f>COUNTIFS(Table6[Country],Tabela1[[#This Row],[Country]],Table6[51kg Classification],"&gt;0")</f>
        <v>0</v>
      </c>
      <c r="CK27" s="6">
        <f>COUNTIFS(Table6[Country],Tabela1[[#This Row],[Country]],Table6[57kg Classification],"&gt;0")</f>
        <v>1</v>
      </c>
      <c r="CL27" s="6">
        <f>COUNTIFS(Table6[Country],Tabela1[[#This Row],[Country]],Table6[63.5kg Classification],"&gt;0")</f>
        <v>0</v>
      </c>
      <c r="CM27" s="6">
        <f>COUNTIFS(Table6[Country],Tabela1[[#This Row],[Country]],Table6[71kg Classification],"&gt;0")</f>
        <v>0</v>
      </c>
      <c r="CN27" s="6">
        <f>COUNTIFS(Table6[Country],Tabela1[[#This Row],[Country]],Table6[80kg Classification],"&gt;0")</f>
        <v>1</v>
      </c>
      <c r="CO27" s="6">
        <f>COUNTIFS(Table6[Country],Tabela1[[#This Row],[Country]],Table6[92kg Classification],"&gt;0")</f>
        <v>1</v>
      </c>
      <c r="CP27" s="6">
        <f>COUNTIFS(Table6[Country],Tabela1[[#This Row],[Country]],Table6[Plus 92kg Classification],"&gt;0")</f>
        <v>0</v>
      </c>
      <c r="CQ27" s="6">
        <f>COUNTIFS(Table7[Country],Tabela1[[#This Row],[Country]],Table7[50kg Classification],"&gt;0")</f>
        <v>0</v>
      </c>
      <c r="CR27" s="6">
        <f>COUNTIFS(Table7[Country],Tabela1[[#This Row],[Country]],Table7[54kg Classification],"&gt;0")</f>
        <v>0</v>
      </c>
      <c r="CS27" s="6">
        <f>COUNTIFS(Table7[Country],Tabela1[[#This Row],[Country]],Table7[57kg Classification],"&gt;0")</f>
        <v>0</v>
      </c>
      <c r="CT27" s="6">
        <f>COUNTIFS(Table7[Country],Tabela1[[#This Row],[Country]],Table7[60kg Classification],"&gt;0")</f>
        <v>0</v>
      </c>
      <c r="CU27" s="6">
        <f>COUNTIFS(Table7[Country],Tabela1[[#This Row],[Country]],Table7[66kg Classification],"&gt;0")</f>
        <v>0</v>
      </c>
      <c r="CV27" s="6">
        <f>COUNTIFS(Table7[Country],Tabela1[[#This Row],[Country]],Table7[75kg Classification],"&gt;0")</f>
        <v>0</v>
      </c>
      <c r="CW27" s="6">
        <f>COUNTIFS(Tabela94[Country],Tabela1[[#This Row],[Country]],Tabela94[Classification],"&gt;0")</f>
        <v>0</v>
      </c>
      <c r="CX27" s="6">
        <f>COUNTIFS(Tabela9499[Country],Tabela1[[#This Row],[Country]],Tabela9499[Classification],"&gt;0")</f>
        <v>0</v>
      </c>
      <c r="CY27" s="6">
        <f>COUNTIFS(Tabela107[Country],Tabela1[[#This Row],[Country]],Tabela107[C1 Slalom Classification],"&gt;0")</f>
        <v>0</v>
      </c>
      <c r="CZ27" s="6">
        <f>COUNTIFS(Tabela107122[Country],Tabela1[[#This Row],[Country]],Tabela107122[C1 Slalom Classification],"&gt;0")</f>
        <v>0</v>
      </c>
      <c r="DA27" s="6">
        <f>COUNTIFS(Tabela107[Country],Tabela1[[#This Row],[Country]],Tabela107[K1 Slalom Classification],"&gt;0")</f>
        <v>0</v>
      </c>
      <c r="DB27" s="6">
        <f>COUNTIFS(Tabela107122[Country],Tabela1[[#This Row],[Country]],Tabela107122[K1 Slalom Classification],"&gt;0")</f>
        <v>0</v>
      </c>
      <c r="DC27" s="6">
        <f>COUNTIFS(Tabela107[Country],Tabela1[[#This Row],[Country]],Tabela107[Kayak Cross Slalom Classification],"&gt;0")</f>
        <v>0</v>
      </c>
      <c r="DD27" s="6">
        <f>COUNTIFS(Tabela107122[Country],Tabela1[[#This Row],[Country]],Tabela107122[Kayak Cross Slalom Classification],"&gt;0")</f>
        <v>0</v>
      </c>
      <c r="DE27" s="6">
        <f>COUNTIFS(Table8[Country],Tabela1[[#This Row],[Country]],Table8[C1 200m Classification],"&gt;0")</f>
        <v>0</v>
      </c>
      <c r="DF27" s="6">
        <f>COUNTIFS(Table40[Country],Tabela1[[#This Row],[Country]],Table40[C1 1000m Classification],"&gt;0")</f>
        <v>1</v>
      </c>
      <c r="DG27" s="6">
        <f>COUNTIFS(Table68[Country],Tabela1[[#This Row],[Country]],Table68[Men''s C2 500m Classification],"&gt;0")</f>
        <v>1</v>
      </c>
      <c r="DH27" s="6">
        <f>COUNTIFS(Table68[Country],Tabela1[[#This Row],[Country]],Table68[Women''s C2 500m Classification],"&gt;0")</f>
        <v>0</v>
      </c>
      <c r="DI27" s="6">
        <f>COUNTIFS(Table8[Country],Tabela1[[#This Row],[Country]],Table8[K1 500m Classification],"&gt;0")</f>
        <v>0</v>
      </c>
      <c r="DJ27" s="6">
        <f>COUNTIFS(Table40[Country],Tabela1[[#This Row],[Country]],Table40[K1 1000m Classification],"&gt;0")</f>
        <v>0</v>
      </c>
      <c r="DK27" s="6">
        <f>COUNTIFS(Table68[Country],Tabela1[[#This Row],[Country]],Table68[Men''s K2 500m Classification],"&gt;0")</f>
        <v>1</v>
      </c>
      <c r="DL27" s="6">
        <f>COUNTIFS(Table68[Country],Tabela1[[#This Row],[Country]],Table68[Women''s K2 500m Classification],"&gt;0")</f>
        <v>0</v>
      </c>
      <c r="DM27" s="6">
        <f>COUNTIFS(Table83[Country],Tabela1[[#This Row],[Country]],Table83[Men''s K4 500m Classification],"&gt;0")</f>
        <v>0</v>
      </c>
      <c r="DN27" s="6">
        <f>COUNTIFS(Table83[Country],Tabela1[[#This Row],[Country]],Table83[Women''s K4 500m Classification],"&gt;0")</f>
        <v>0</v>
      </c>
      <c r="DO27" s="6">
        <f>COUNTIFS(Tabela126[Country],Tabela1[[#This Row],[Country]],Tabela126[Classification],"&gt;0")</f>
        <v>0</v>
      </c>
      <c r="DP27" s="6">
        <f>COUNTIFS(Tabela126130[Country],Tabela1[[#This Row],[Country]],Tabela126130[Classification],"&gt;0")</f>
        <v>0</v>
      </c>
      <c r="DQ27" s="6">
        <f>COUNTIFS(Table70[Country],Tabela1[[#This Row],[Country]],Table70[Classification],"&gt;0")</f>
        <v>0</v>
      </c>
      <c r="DR27" s="6">
        <f>COUNTIFS(Table80[Country],Tabela1[[#This Row],[Country]],Table80[Classification],"&gt;0")</f>
        <v>0</v>
      </c>
      <c r="DS27" s="6">
        <f>COUNTIFS(Table66[Country],Tabela1[[#This Row],[Country]],Table66[Classification],"&gt;0")</f>
        <v>0</v>
      </c>
      <c r="DT27" s="6">
        <f>COUNTIFS(Table67[Country],Tabela1[[#This Row],[Country]],Table67[Classification],"&gt;0")</f>
        <v>0</v>
      </c>
      <c r="DU27" s="6">
        <f>COUNTIFS(Table69[Country],Tabela1[[#This Row],[Country]],Table69[Keirin Classification],"&gt;0")</f>
        <v>0</v>
      </c>
      <c r="DV27" s="6">
        <f>COUNTIFS(Table41[Country],Tabela1[[#This Row],[Country]],Table41[Keirin Classification],"&gt;0")</f>
        <v>0</v>
      </c>
      <c r="DW27" s="6">
        <f>COUNTIFS(Table84[Country],Tabela1[[#This Row],[Country]],Table84[Men''s Madison Classification],"&gt;0")</f>
        <v>0</v>
      </c>
      <c r="DX27" s="6">
        <f>COUNTIFS(Table84[Country],Tabela1[[#This Row],[Country]],Table84[Women''s Madison Classification],"&gt;0")</f>
        <v>0</v>
      </c>
      <c r="DY27" s="6">
        <f>COUNTIFS(Table69[Country],Tabela1[[#This Row],[Country]],Table69[Omnium Classification],"&gt;0")</f>
        <v>0</v>
      </c>
      <c r="DZ27" s="6">
        <f>COUNTIFS(Table41[Country],Tabela1[[#This Row],[Country]],Table41[Omnium Classification],"&gt;0")</f>
        <v>0</v>
      </c>
      <c r="EA27" s="6">
        <f>COUNTIFS(Table9[Country],Tabela1[[#This Row],[Country]],Table9[Road Race Classification],"&gt;0")</f>
        <v>1</v>
      </c>
      <c r="EB27" s="6">
        <f>COUNTIFS(Table14[Country],Tabela1[[#This Row],[Country]],Table14[Road Race Classification],"&gt;0")</f>
        <v>0</v>
      </c>
      <c r="EC27" s="6">
        <f>COUNTIFS(Table69[Country],Tabela1[[#This Row],[Country]],Table69[Sprint Classification],"&gt;0")</f>
        <v>0</v>
      </c>
      <c r="ED27" s="6">
        <f>COUNTIFS(Table41[Country],Tabela1[[#This Row],[Country]],Table41[Sprint Classification],"&gt;0")</f>
        <v>0</v>
      </c>
      <c r="EE27" s="6">
        <f>COUNTIFS(Table85[Country],Tabela1[[#This Row],[Country]],Table85[Men''s Sprint Classification],"&gt;0")</f>
        <v>0</v>
      </c>
      <c r="EF27" s="6">
        <f>COUNTIFS(Table85[Country],Tabela1[[#This Row],[Country]],Table85[Women''s Sprint Classification],"&gt;0")</f>
        <v>0</v>
      </c>
      <c r="EG27" s="6">
        <f>COUNTIFS(Table85[Country],Tabela1[[#This Row],[Country]],Table85[Men''s Pursuit Classification],"&gt;0")</f>
        <v>0</v>
      </c>
      <c r="EH27" s="6">
        <f>COUNTIFS(Table85[Country],Tabela1[[#This Row],[Country]],Table85[Women''s Pursuit Classification],"&gt;0")</f>
        <v>0</v>
      </c>
      <c r="EI27" s="6">
        <f>COUNTIFS(Table9[Country],Tabela1[[#This Row],[Country]],Table9[Time-Trial Classification],"&gt;0")</f>
        <v>0</v>
      </c>
      <c r="EJ27" s="6">
        <f>COUNTIFS(Table14[Country],Tabela1[[#This Row],[Country]],Table14[Time-Trial Classification],"&gt;0")</f>
        <v>0</v>
      </c>
      <c r="EK27" s="6">
        <f>COUNTIFS(Table42[Country],Tabela1[[#This Row],[Country]],Table42[Springboard Classification],"&gt;0")</f>
        <v>0</v>
      </c>
      <c r="EL27" s="6">
        <f>COUNTIFS(Table43[Country],Tabela1[[#This Row],[Country]],Table43[Springboard Classification],"&gt;0")</f>
        <v>0</v>
      </c>
      <c r="EM27" s="6">
        <f>COUNTIFS(Table42[Country],Tabela1[[#This Row],[Country]],Table42[Platform Classification],"&gt;0")</f>
        <v>0</v>
      </c>
      <c r="EN27" s="6">
        <f>COUNTIFS(Table43[Country],Tabela1[[#This Row],[Country]],Table43[Platform Classification],"&gt;0")</f>
        <v>0</v>
      </c>
      <c r="EO27" s="6">
        <f>COUNTIFS(Table86[Country],Tabela1[[#This Row],[Country]],Table86[Men''s Synchronized Springboard Classification],"&gt;0")</f>
        <v>0</v>
      </c>
      <c r="EP27" s="6">
        <f>COUNTIFS(Table86[Country],Tabela1[[#This Row],[Country]],Table86[Women''s Synchronized Springboard Classification],"&gt;0")</f>
        <v>0</v>
      </c>
      <c r="EQ27" s="6">
        <f>COUNTIFS(Table86[Country],Tabela1[[#This Row],[Country]],Table86[Men''s Synchronized Platform Classification],"&gt;0")</f>
        <v>0</v>
      </c>
      <c r="ER27" s="6">
        <f>COUNTIFS(Table86[Country],Tabela1[[#This Row],[Country]],Table86[Women''s Synchronized Platform Classification],"&gt;0")</f>
        <v>0</v>
      </c>
      <c r="ES27" s="6">
        <f>COUNTIFS(Table44[Country],Tabela1[[#This Row],[Country]],Table44[Dressage Classification],"&gt;0")</f>
        <v>0</v>
      </c>
      <c r="ET27" s="6">
        <f>COUNTIFS(Table45[Country],Tabela1[[#This Row],[Country]],Table45[Dressage Classification],"&gt;0")</f>
        <v>0</v>
      </c>
      <c r="EU27" s="6">
        <f>COUNTIFS(Table44[Country],Tabela1[[#This Row],[Country]],Table44[Eventing Classification],"&gt;0")</f>
        <v>0</v>
      </c>
      <c r="EV27" s="6">
        <f>COUNTIFS(Table45[Country],Tabela1[[#This Row],[Country]],Table45[Eventing Classification],"&gt;0")</f>
        <v>0</v>
      </c>
      <c r="EW27" s="6">
        <f>COUNTIFS(Table44[Country],Tabela1[[#This Row],[Country]],Table44[Jumping Classification],"&gt;0")</f>
        <v>0</v>
      </c>
      <c r="EX27" s="6">
        <f>COUNTIFS(Table45[Country],Tabela1[[#This Row],[Country]],Table45[Jumping Classification],"&gt;0")</f>
        <v>0</v>
      </c>
      <c r="EY27" s="6">
        <f>COUNTIFS(Table10[Country],Tabela1[[#This Row],[Country]],Table10[Épée Classification],"&gt;0")</f>
        <v>1</v>
      </c>
      <c r="EZ27" s="6">
        <f>COUNTIFS(Table11[Country],Tabela1[[#This Row],[Country]],Table11[Épée Classification],"&gt;0")</f>
        <v>0</v>
      </c>
      <c r="FA27" s="6">
        <f>COUNTIFS(Table46[Country],Tabela1[[#This Row],[Country]],Table46[Men''s Épée Classification],"&gt;0")</f>
        <v>1</v>
      </c>
      <c r="FB27" s="6">
        <f>COUNTIFS(Table46[Country],Tabela1[[#This Row],[Country]],Table46[Women''s Épée Classification],"&gt;0")</f>
        <v>0</v>
      </c>
      <c r="FC27" s="6">
        <f>COUNTIFS(Table10[Country],Tabela1[[#This Row],[Country]],Table10[Foil Classification],"&gt;0")</f>
        <v>0</v>
      </c>
      <c r="FD27" s="6">
        <f>COUNTIFS(Table11[Country],Tabela1[[#This Row],[Country]],Table11[Foil Classification],"&gt;0")</f>
        <v>0</v>
      </c>
      <c r="FE27" s="6">
        <f>COUNTIFS(Table46[Country],Tabela1[[#This Row],[Country]],Table46[Men''s Foil Classification],"&gt;0")</f>
        <v>0</v>
      </c>
      <c r="FF27" s="6">
        <f>COUNTIFS(Table46[Country],Tabela1[[#This Row],[Country]],Table46[Women''s Foil Classification],"&gt;0")</f>
        <v>0</v>
      </c>
      <c r="FG27" s="6">
        <f>COUNTIFS(Table10[Country],Tabela1[[#This Row],[Country]],Table10[Sabre Classification],"&gt;0")</f>
        <v>0</v>
      </c>
      <c r="FH27" s="6">
        <f>COUNTIFS(Table11[Country],Tabela1[[#This Row],[Country]],Table11[Sabre Classification],"&gt;0")</f>
        <v>0</v>
      </c>
      <c r="FI27" s="6">
        <f>COUNTIFS(Table46[Country],Tabela1[[#This Row],[Country]],Table46[Men''s Sabre Classification],"&gt;0")</f>
        <v>0</v>
      </c>
      <c r="FJ27" s="6">
        <f>COUNTIFS(Table46[Country],Tabela1[[#This Row],[Country]],Table46[Women''s Sabre Classification],"&gt;0")</f>
        <v>0</v>
      </c>
      <c r="FK27" s="6">
        <f>COUNTIFS(Table91[Country],Tabela1[[#This Row],[Country]],Table91[Men''s Classification],"&gt;0")</f>
        <v>0</v>
      </c>
      <c r="FL27" s="6">
        <f>COUNTIFS(Table91[Country],Tabela1[[#This Row],[Country]],Table91[Women''s Classification],"&gt;0")</f>
        <v>0</v>
      </c>
      <c r="FM27" s="6">
        <f>COUNTIFS(Table9194[Country],Tabela1[[#This Row],[Country]],Table9194[Men''s Classification],"&gt;0")</f>
        <v>0</v>
      </c>
      <c r="FN27" s="6">
        <f>COUNTIFS(Table9194[Country],Tabela1[[#This Row],[Country]],Table9194[Women''s Classification],"&gt;0")</f>
        <v>0</v>
      </c>
      <c r="FO27" s="6">
        <f>COUNTIFS(Table71[Country],Tabela1[[#This Row],[Country]],Table71[Classification],"&gt;0")</f>
        <v>0</v>
      </c>
      <c r="FP27" s="6">
        <f>COUNTIFS(Table62[Country],Tabela1[[#This Row],[Country]],Table62[Classification],"&gt;0")</f>
        <v>0</v>
      </c>
      <c r="FQ27" s="6">
        <f>COUNTIFS(Table47[Country],Tabela1[[#This Row],[Country]],Table47[All-Around Classification],"&gt;0")</f>
        <v>0</v>
      </c>
      <c r="FR27" s="6">
        <f>COUNTIFS(Table48[Country],Tabela1[[#This Row],[Country]],Table48[All-Around Classification],"&gt;0")</f>
        <v>0</v>
      </c>
      <c r="FS27" s="6">
        <f>COUNTIFS(Table81[Country],Tabela1[[#This Row],[Country]],Table81[Men''s All-Around Classification],"&gt;0")</f>
        <v>0</v>
      </c>
      <c r="FT27" s="6">
        <f>COUNTIFS(Table81[Country],Tabela1[[#This Row],[Country]],Table81[Women''s All-Around Classification],"&gt;0")</f>
        <v>0</v>
      </c>
      <c r="FU27" s="6">
        <f>COUNTIFS(Table48[Country],Tabela1[[#This Row],[Country]],Table48[Balance Beam Classification],"&gt;0")</f>
        <v>0</v>
      </c>
      <c r="FV27" s="6">
        <f>COUNTIFS(Table47[Country],Tabela1[[#This Row],[Country]],Table47[Floor Exercise Classification],"&gt;0")</f>
        <v>0</v>
      </c>
      <c r="FW27" s="6">
        <f>COUNTIFS(Table48[Country],Tabela1[[#This Row],[Country]],Table48[Floor Exercise Classification],"&gt;0")</f>
        <v>0</v>
      </c>
      <c r="FX27" s="6">
        <f>COUNTIFS(Table47[Country],Tabela1[[#This Row],[Country]],Table47[Horizontal Bar Classification],"&gt;0")</f>
        <v>0</v>
      </c>
      <c r="FY27" s="6">
        <f>COUNTIFS(Table47[Country],Tabela1[[#This Row],[Country]],Table47[Parallel Bars Classification],"&gt;0")</f>
        <v>0</v>
      </c>
      <c r="FZ27" s="6">
        <f>COUNTIFS(Table47[Country],Tabela1[[#This Row],[Country]],Table47[Pommel Horse Classification],"&gt;0")</f>
        <v>0</v>
      </c>
      <c r="GA27" s="6">
        <f>COUNTIFS(Table47[Country],Tabela1[[#This Row],[Country]],Table47[Rings Classification],"&gt;0")</f>
        <v>0</v>
      </c>
      <c r="GB27" s="6">
        <f>COUNTIFS(Tabela132[Country],Tabela1[[#This Row],[Country]],Tabela132[Classification],"&gt;0")</f>
        <v>0</v>
      </c>
      <c r="GC27" s="6">
        <f>COUNTIFS(Tabela139[Country],Tabela1[[#This Row],[Country]],Tabela139[Classification],"&gt;0")</f>
        <v>0</v>
      </c>
      <c r="GD27" s="6">
        <f>COUNTIFS(Table48[Country],Tabela1[[#This Row],[Country]],Table48[Uneven Bars Classification],"&gt;0")</f>
        <v>0</v>
      </c>
      <c r="GE27" s="6">
        <f>COUNTIFS(Table47[Country],Tabela1[[#This Row],[Country]],Table47[Vault Classification],"&gt;0")</f>
        <v>0</v>
      </c>
      <c r="GF27" s="6">
        <f>COUNTIFS(Table48[Country],Tabela1[[#This Row],[Country]],Table48[Vault Classification],"&gt;0")</f>
        <v>0</v>
      </c>
      <c r="GG27" s="6">
        <f>COUNTIFS(Table919496[Country],Tabela1[[#This Row],[Country]],Table919496[Men''s Classification],"&gt;0")</f>
        <v>0</v>
      </c>
      <c r="GH27" s="6">
        <f>COUNTIFS(Table919496[Country],Tabela1[[#This Row],[Country]],Table919496[Women''s Classification],"&gt;0")</f>
        <v>0</v>
      </c>
      <c r="GI27" s="6">
        <f>COUNTIFS(Table12[Country],Tabela1[[#This Row],[Country]],Table12[60kg Classification],"&gt;0")</f>
        <v>0</v>
      </c>
      <c r="GJ27" s="6">
        <f>COUNTIFS(Table12[Country],Tabela1[[#This Row],[Country]],Table12[66kg Classification],"&gt;0")</f>
        <v>0</v>
      </c>
      <c r="GK27" s="6">
        <f>COUNTIFS(Table12[Country],Tabela1[[#This Row],[Country]],Table12[73kg Classification],"&gt;0")</f>
        <v>0</v>
      </c>
      <c r="GL27" s="6">
        <f>COUNTIFS(Table12[Country],Tabela1[[#This Row],[Country]],Table12[81kg Classification],"&gt;0")</f>
        <v>0</v>
      </c>
      <c r="GM27" s="6">
        <f>COUNTIFS(Table12[Country],Tabela1[[#This Row],[Country]],Table12[90kg Classification],"&gt;0")</f>
        <v>0</v>
      </c>
      <c r="GN27" s="6">
        <f>COUNTIFS(Table12[Country],Tabela1[[#This Row],[Country]],Table12[100kg Classification],"&gt;0")</f>
        <v>0</v>
      </c>
      <c r="GO27" s="6">
        <f>COUNTIFS(Table12[Country],Tabela1[[#This Row],[Country]],Table12[Plus 100kg Classification],"&gt;0")</f>
        <v>0</v>
      </c>
      <c r="GP27" s="6">
        <f>COUNTIFS(Table13[Country],Tabela1[[#This Row],[Country]],Table13[48kg Classification],"&gt;0")</f>
        <v>0</v>
      </c>
      <c r="GQ27" s="6">
        <f>COUNTIFS(Table13[Country],Tabela1[[#This Row],[Country]],Table13[52kg Classification],"&gt;0")</f>
        <v>0</v>
      </c>
      <c r="GR27" s="6">
        <f>COUNTIFS(Table13[Country],Tabela1[[#This Row],[Country]],Table13[57kg Classification],"&gt;0")</f>
        <v>0</v>
      </c>
      <c r="GS27" s="6">
        <f>COUNTIFS(Table13[Country],Tabela1[[#This Row],[Country]],Table13[63kg Classification],"&gt;0")</f>
        <v>0</v>
      </c>
      <c r="GT27" s="6">
        <f>COUNTIFS(Table13[Country],Tabela1[[#This Row],[Country]],Table13[70kg Classification],"&gt;0")</f>
        <v>0</v>
      </c>
      <c r="GU27" s="6">
        <f>COUNTIFS(Table13[Country],Tabela1[[#This Row],[Country]],Table13[78kg Classification],"&gt;0")</f>
        <v>0</v>
      </c>
      <c r="GV27" s="6">
        <f>COUNTIFS(Table13[Country],Tabela1[[#This Row],[Country]],Table13[Plus 78kg Classification],"&gt;0")</f>
        <v>0</v>
      </c>
      <c r="GW27" s="6">
        <f>COUNTIFS(Table82[Country],Tabela1[[#This Row],[Country]],Table82[Mixed Classification],"&gt;0")</f>
        <v>0</v>
      </c>
      <c r="GX27" s="6">
        <f>COUNTIFS(Table51[Country],Tabela1[[#This Row],[Country]],Table51[Classification],"&gt;0")</f>
        <v>0</v>
      </c>
      <c r="GY27" s="6">
        <f>COUNTIFS(Table52[Country],Tabela1[[#This Row],[Country]],Table52[Classification],"&gt;0")</f>
        <v>1</v>
      </c>
      <c r="GZ27" s="6">
        <f>COUNTIFS(Table32[Country],Tabela1[[#This Row],[Country]],Table32[All-Around Classification],"&gt;0")</f>
        <v>0</v>
      </c>
      <c r="HA27" s="6">
        <f>COUNTIFS(Table49[Country],Tabela1[[#This Row],[Country]],Table49[All-Around Classification],"&gt;0")</f>
        <v>0</v>
      </c>
      <c r="HB27" s="6">
        <f>COUNTIFS(Table26[Country],Tabela1[[#This Row],[Country]],Table26[Single Sculls Classification],"&gt;0")</f>
        <v>0</v>
      </c>
      <c r="HC27" s="6">
        <f>COUNTIFS(Table63[Country],Tabela1[[#This Row],[Country]],Table63[Single Sculls Classification],"&gt;0")</f>
        <v>0</v>
      </c>
      <c r="HD27" s="6">
        <f>COUNTIFS(Table16[Country],Tabela1[[#This Row],[Country]],Table16[Men''s Double Sculls Classification],"&gt;0")</f>
        <v>0</v>
      </c>
      <c r="HE27" s="6">
        <f>COUNTIFS(Table16[Country],Tabela1[[#This Row],[Country]],Table16[Women''s Double Sculls Classification],"&gt;0")</f>
        <v>0</v>
      </c>
      <c r="HF27" s="6">
        <f>COUNTIFS(Table72[Country],Tabela1[[#This Row],[Country]],Table72[Men''s Quadruple Sculls Classification],"&gt;0")</f>
        <v>0</v>
      </c>
      <c r="HG27" s="6">
        <f>COUNTIFS(Table72[Country],Tabela1[[#This Row],[Country]],Table72[Women''s Quadruple Sculls Classification],"&gt;0")</f>
        <v>0</v>
      </c>
      <c r="HH27" s="6">
        <f>COUNTIFS(Table16[Country],Tabela1[[#This Row],[Country]],Table16[Men''s Coxless Pairs Classification],"&gt;0")</f>
        <v>0</v>
      </c>
      <c r="HI27" s="6">
        <f>COUNTIFS(Table16[Country],Tabela1[[#This Row],[Country]],Table16[Women''s Coxless Pairs Classification],"&gt;0")</f>
        <v>0</v>
      </c>
      <c r="HJ27" s="6">
        <f>COUNTIFS(Table72[Country],Tabela1[[#This Row],[Country]],Table72[Men''s Coxless Fours Classification],"&gt;0")</f>
        <v>0</v>
      </c>
      <c r="HK27" s="6">
        <f>COUNTIFS(Table72[Country],Tabela1[[#This Row],[Country]],Table72[Women''s Coxless Fours Classification],"&gt;0")</f>
        <v>0</v>
      </c>
      <c r="HL27" s="6">
        <f>COUNTIFS(Table72[Country],Tabela1[[#This Row],[Country]],Table72[Men''s Eights Classification],"&gt;0")</f>
        <v>0</v>
      </c>
      <c r="HM27" s="6">
        <f>COUNTIFS(Table72[Country],Tabela1[[#This Row],[Country]],Table72[Women''s Eights Classification],"&gt;0")</f>
        <v>0</v>
      </c>
      <c r="HN27" s="6">
        <f>COUNTIFS(Table16[Country],Tabela1[[#This Row],[Country]],Table16[Men''s Lwt. Double Sculls Classification],"&gt;0")</f>
        <v>0</v>
      </c>
      <c r="HO27" s="6">
        <f>COUNTIFS(Table16[Country],Tabela1[[#This Row],[Country]],Table16[Women''s Lwt. Double Sculls Classification],"&gt;0")</f>
        <v>0</v>
      </c>
      <c r="HP27" s="6">
        <f>COUNTIFS(Table91949698[Country],Tabela1[[#This Row],[Country]],Table91949698[Men''s Classification],"&gt;0")</f>
        <v>0</v>
      </c>
      <c r="HQ27" s="6">
        <f>COUNTIFS(Table91949698[Country],Tabela1[[#This Row],[Country]],Table91949698[Women''s Classification],"&gt;0")</f>
        <v>0</v>
      </c>
      <c r="HR27" s="6">
        <f>COUNTIFS(Table25[Country],Tabela1[[#This Row],[Country]],Table25[Mixed 470 Classification],"&gt;0")</f>
        <v>0</v>
      </c>
      <c r="HS27" s="6">
        <f>COUNTIFS(Table25[Country],Tabela1[[#This Row],[Country]],Table25[Men''s 49er Classification],"&gt;0")</f>
        <v>0</v>
      </c>
      <c r="HT27" s="6">
        <f>COUNTIFS(Table25[Country],Tabela1[[#This Row],[Country]],Table25[Women''s 49er FX Classification],"&gt;0")</f>
        <v>0</v>
      </c>
      <c r="HU27" s="6">
        <f>COUNTIFS(Table17[Country],Tabela1[[#This Row],[Country]],Table17[Formula Kite Classification],"&gt;0")</f>
        <v>0</v>
      </c>
      <c r="HV27" s="6">
        <f>COUNTIFS(Table18[Country],Tabela1[[#This Row],[Country]],Table18[Formula Kite Classification],"&gt;0")</f>
        <v>0</v>
      </c>
      <c r="HW27" s="6">
        <f>COUNTIFS(Table17[Country],Tabela1[[#This Row],[Country]],Table17[ILCA 7 Classification],"&gt;0")</f>
        <v>0</v>
      </c>
      <c r="HX27" s="6">
        <f>COUNTIFS(Table18[Country],Tabela1[[#This Row],[Country]],Table18[ILCA 6 Classification],"&gt;0")</f>
        <v>0</v>
      </c>
      <c r="HY27" s="6">
        <f>COUNTIFS(Table17[Country],Tabela1[[#This Row],[Country]],Table17[IQFoil Classification],"&gt;0")</f>
        <v>0</v>
      </c>
      <c r="HZ27" s="6">
        <f>COUNTIFS(Table18[Country],Tabela1[[#This Row],[Country]],Table18[IQFoil Classification],"&gt;0")</f>
        <v>0</v>
      </c>
      <c r="IA27" s="6">
        <f>COUNTIFS(Table25[Country],Tabela1[[#This Row],[Country]],Table25[Mixed Nacra 17 Classification],"&gt;0")</f>
        <v>0</v>
      </c>
      <c r="IB27" s="6">
        <f>COUNTIFS(Table53[Country],Tabela1[[#This Row],[Country]],Table53[10m Air Pistol Classification],"&gt;0")</f>
        <v>0</v>
      </c>
      <c r="IC27" s="6">
        <f>COUNTIFS(Table19[Country],Tabela1[[#This Row],[Country]],Table19[10m Air Pistol Classification],"&gt;0")</f>
        <v>1</v>
      </c>
      <c r="ID27" s="6">
        <f>COUNTIFS(Table54[Country],Tabela1[[#This Row],[Country]],Table54[Mixed 10m Air Pistol Team Classification],"&gt;0")</f>
        <v>1</v>
      </c>
      <c r="IE27" s="6">
        <f>COUNTIFS(Table53[Country],Tabela1[[#This Row],[Country]],Table53[10m Air Rifle Classification],"&gt;0")</f>
        <v>0</v>
      </c>
      <c r="IF27" s="6">
        <f>COUNTIFS(Table19[Country],Tabela1[[#This Row],[Country]],Table19[10m Air Rifle Classification],"&gt;0")</f>
        <v>0</v>
      </c>
      <c r="IG27" s="6">
        <f>COUNTIFS(Table54[Country],Tabela1[[#This Row],[Country]],Table54[Mixed 10m Air Rifle Team Classification],"&gt;0")</f>
        <v>0</v>
      </c>
      <c r="IH27" s="6">
        <f>COUNTIFS(Table53[Country],Tabela1[[#This Row],[Country]],Table53[25m Rapid Fire Pistol Classification],"&gt;0")</f>
        <v>0</v>
      </c>
      <c r="II27" s="6">
        <f>COUNTIFS(Table19[Country],Tabela1[[#This Row],[Country]],Table19[25m Pistol Classification],"&gt;0")</f>
        <v>0</v>
      </c>
      <c r="IJ27" s="6">
        <f>COUNTIFS(Table53[Country],Tabela1[[#This Row],[Country]],Table53[50m Rifle 3 Positions Classification],"&gt;0")</f>
        <v>0</v>
      </c>
      <c r="IK27" s="6">
        <f>COUNTIFS(Table19[Country],Tabela1[[#This Row],[Country]],Table19[50m Rifle 3 Positions Classification],"&gt;0")</f>
        <v>0</v>
      </c>
      <c r="IL27" s="6">
        <f>COUNTIFS(Table53[Country],Tabela1[[#This Row],[Country]],Table53[Skeet Classification],"&gt;0")</f>
        <v>0</v>
      </c>
      <c r="IM27" s="6">
        <f>COUNTIFS(Table19[Country],Tabela1[[#This Row],[Country]],Table19[Skeet Classification],"&gt;0")</f>
        <v>0</v>
      </c>
      <c r="IN27" s="6">
        <f>COUNTIFS(Table54[Country],Tabela1[[#This Row],[Country]],Table54[Mixed Skeet Team Classification],"&gt;0")</f>
        <v>0</v>
      </c>
      <c r="IO27" s="6">
        <f>COUNTIFS(Table53[Country],Tabela1[[#This Row],[Country]],Table53[Trap Classification],"&gt;0")</f>
        <v>0</v>
      </c>
      <c r="IP27" s="6">
        <f>COUNTIFS(Table19[Country],Tabela1[[#This Row],[Country]],Table19[Trap Classification],"&gt;0")</f>
        <v>1</v>
      </c>
      <c r="IQ27" s="6">
        <f>COUNTIFS(Table73[Country],Tabela1[[#This Row],[Country]],Table73[Park Classification],"&gt;0")</f>
        <v>0</v>
      </c>
      <c r="IR27" s="6">
        <f>COUNTIFS(Table74[Country],Tabela1[[#This Row],[Country]],Table74[Park Classification],"&gt;0")</f>
        <v>0</v>
      </c>
      <c r="IS27" s="6">
        <f>COUNTIFS(Table73[Country],Tabela1[[#This Row],[Country]],Table73[Street Classification],"&gt;0")</f>
        <v>0</v>
      </c>
      <c r="IT27" s="6">
        <f>COUNTIFS(Table74[Country],Tabela1[[#This Row],[Country]],Table74[Street Classification],"&gt;0")</f>
        <v>0</v>
      </c>
      <c r="IU27" s="6">
        <f>COUNTIFS(Table75[Country],Tabela1[[#This Row],[Country]],Table75[Boulder and Lead Classification],"&gt;0")</f>
        <v>0</v>
      </c>
      <c r="IV27" s="6">
        <f>COUNTIFS(Table76[Country],Tabela1[[#This Row],[Country]],Table76[Boulder and Lead Classification],"&gt;0")</f>
        <v>0</v>
      </c>
      <c r="IW27" s="6">
        <f>COUNTIFS(Table75[Country],Tabela1[[#This Row],[Country]],Table75[Speed Classification],"&gt;0")</f>
        <v>0</v>
      </c>
      <c r="IX27" s="6">
        <f>COUNTIFS(Table76[Country],Tabela1[[#This Row],[Country]],Table76[Speed Classification],"&gt;0")</f>
        <v>0</v>
      </c>
      <c r="IY27" s="6">
        <f>COUNTIFS(Table64[Country],Tabela1[[#This Row],[Country]],Table64[Shortboard Classification],"&gt;0")</f>
        <v>0</v>
      </c>
      <c r="IZ27" s="6">
        <f>COUNTIFS(Table77[Country],Tabela1[[#This Row],[Country]],Table77[Shortboard Classification],"&gt;0")</f>
        <v>0</v>
      </c>
      <c r="JA27" s="6">
        <f>COUNTIFS(Table20[Country],Tabela1[[#This Row],[Country]],Table20[50m Freestyle Classification],"&gt;0")</f>
        <v>0</v>
      </c>
      <c r="JB27" s="6">
        <f>COUNTIFS(Table21[Country],Tabela1[[#This Row],[Country]],Table21[50m Freestyle Classification],"&gt;0")</f>
        <v>0</v>
      </c>
      <c r="JC27" s="6">
        <f>COUNTIFS(Table20[Country],Tabela1[[#This Row],[Country]],Table20[100m Freestyle Classification],"&gt;0")</f>
        <v>0</v>
      </c>
      <c r="JD27" s="6">
        <f>COUNTIFS(Table21[Country],Tabela1[[#This Row],[Country]],Table21[100m Freestyle Classification],"&gt;0")</f>
        <v>0</v>
      </c>
      <c r="JE27" s="6">
        <f>COUNTIFS(Table20[Country],Tabela1[[#This Row],[Country]],Table20[200m Freestyle Classification],"&gt;0")</f>
        <v>0</v>
      </c>
      <c r="JF27" s="6">
        <f>COUNTIFS(Table21[Country],Tabela1[[#This Row],[Country]],Table21[200m Freestyle Classification],"&gt;0")</f>
        <v>0</v>
      </c>
      <c r="JG27" s="6">
        <f>COUNTIFS(Table20[Country],Tabela1[[#This Row],[Country]],Table20[400m Freestyle Classification],"&gt;0")</f>
        <v>0</v>
      </c>
      <c r="JH27" s="6">
        <f>COUNTIFS(Table21[Country],Tabela1[[#This Row],[Country]],Table21[400m Freestyle Classification],"&gt;0")</f>
        <v>0</v>
      </c>
      <c r="JI27" s="6">
        <f>COUNTIFS(Table20[Country],Tabela1[[#This Row],[Country]],Table20[800m Freestyle Classification],"&gt;0")</f>
        <v>0</v>
      </c>
      <c r="JJ27" s="6">
        <f>COUNTIFS(Table21[Country],Tabela1[[#This Row],[Country]],Table21[800m Freestyle Classification],"&gt;0")</f>
        <v>0</v>
      </c>
      <c r="JK27" s="6">
        <f>COUNTIFS(Table20[Country],Tabela1[[#This Row],[Country]],Table20[1500m Freestyle Classification],"&gt;0")</f>
        <v>0</v>
      </c>
      <c r="JL27" s="6">
        <f>COUNTIFS(Table21[Country],Tabela1[[#This Row],[Country]],Table21[1500m Freestyle Classification],"&gt;0")</f>
        <v>0</v>
      </c>
      <c r="JM27" s="6">
        <f>COUNTIFS(Table20[Country],Tabela1[[#This Row],[Country]],Table20[100m Backstroke Classification],"&gt;0")</f>
        <v>0</v>
      </c>
      <c r="JN27" s="6">
        <f>COUNTIFS(Table21[Country],Tabela1[[#This Row],[Country]],Table21[100m Backstroke Classification],"&gt;0")</f>
        <v>0</v>
      </c>
      <c r="JO27" s="6">
        <f>COUNTIFS(Table20[Country],Tabela1[[#This Row],[Country]],Table20[200m Backstroke Classification],"&gt;0")</f>
        <v>0</v>
      </c>
      <c r="JP27" s="6">
        <f>COUNTIFS(Table21[Country],Tabela1[[#This Row],[Country]],Table21[200m Backstroke Classification],"&gt;0")</f>
        <v>0</v>
      </c>
      <c r="JQ27" s="6">
        <f>COUNTIFS(Table20[Country],Tabela1[[#This Row],[Country]],Table20[100m Breaststroke Classification],"&gt;0")</f>
        <v>0</v>
      </c>
      <c r="JR27" s="6">
        <f>COUNTIFS(Table21[Country],Tabela1[[#This Row],[Country]],Table21[100m Breaststroke Classification],"&gt;0")</f>
        <v>0</v>
      </c>
      <c r="JS27" s="6">
        <f>COUNTIFS(Table20[Country],Tabela1[[#This Row],[Country]],Table20[200m Breaststroke Classification],"&gt;0")</f>
        <v>0</v>
      </c>
      <c r="JT27" s="6">
        <f>COUNTIFS(Table21[Country],Tabela1[[#This Row],[Country]],Table21[200m Breaststroke Classification],"&gt;0")</f>
        <v>0</v>
      </c>
      <c r="JU27" s="6">
        <f>COUNTIFS(Table20[Country],Tabela1[[#This Row],[Country]],Table20[100m Butterfly Classification],"&gt;0")</f>
        <v>0</v>
      </c>
      <c r="JV27" s="6">
        <f>COUNTIFS(Table21[Country],Tabela1[[#This Row],[Country]],Table21[100m Butterfly Classification],"&gt;0")</f>
        <v>0</v>
      </c>
      <c r="JW27" s="6">
        <f>COUNTIFS(Table20[Country],Tabela1[[#This Row],[Country]],Table20[200m Butterfly Classification],"&gt;0")</f>
        <v>0</v>
      </c>
      <c r="JX27" s="6">
        <f>COUNTIFS(Table21[Country],Tabela1[[#This Row],[Country]],Table21[200m Butterfly Classification],"&gt;0")</f>
        <v>0</v>
      </c>
      <c r="JY27" s="6">
        <f>COUNTIFS(Table20[Country],Tabela1[[#This Row],[Country]],Table20[200m Medley Classification],"&gt;0")</f>
        <v>0</v>
      </c>
      <c r="JZ27" s="6">
        <f>COUNTIFS(Table21[Country],Tabela1[[#This Row],[Country]],Table21[200m Medley Classification],"&gt;0")</f>
        <v>0</v>
      </c>
      <c r="KA27" s="6">
        <f>COUNTIFS(Table20[Country],Tabela1[[#This Row],[Country]],Table20[400m Medley Classification],"&gt;0")</f>
        <v>0</v>
      </c>
      <c r="KB27" s="6">
        <f>COUNTIFS(Table21[Country],Tabela1[[#This Row],[Country]],Table21[400m Medley Classification],"&gt;0")</f>
        <v>0</v>
      </c>
      <c r="KC27" s="6">
        <f>COUNTIFS(Table78[Country],Tabela1[[#This Row],[Country]],Table78[Men''s 4x100m Freestyle Relay Classification],"&gt;0")</f>
        <v>0</v>
      </c>
      <c r="KD27" s="6">
        <f>COUNTIFS(Table78[Country],Tabela1[[#This Row],[Country]],Table78[Women''s 4x100m Freestyle Relay Classification],"&gt;0")</f>
        <v>0</v>
      </c>
      <c r="KE27" s="6">
        <f>COUNTIFS(Table78[Country],Tabela1[[#This Row],[Country]],Table78[Men''s 4x200m Freestyle Relay Classification],"&gt;0")</f>
        <v>0</v>
      </c>
      <c r="KF27" s="6">
        <f>COUNTIFS(Table78[Country],Tabela1[[#This Row],[Country]],Table78[Women''s 4x200m Freestyle Relay Classification],"&gt;0")</f>
        <v>0</v>
      </c>
      <c r="KG27" s="6">
        <f>COUNTIFS(Table78[Country],Tabela1[[#This Row],[Country]],Table78[Men''s 4x100m Medley Relay Classification],"&gt;0")</f>
        <v>0</v>
      </c>
      <c r="KH27" s="6">
        <f>COUNTIFS(Table78[Country],Tabela1[[#This Row],[Country]],Table78[Women''s 4x100m Medley Relay Classification],"&gt;0")</f>
        <v>0</v>
      </c>
      <c r="KI27" s="6">
        <f>COUNTIFS(Table78[Country],Tabela1[[#This Row],[Country]],Table78[Mixed 4x100m Medley Relay Classification],"&gt;0")</f>
        <v>0</v>
      </c>
      <c r="KJ27" s="6">
        <f>COUNTIFS(Table20[Country],Tabela1[[#This Row],[Country]],Table20[10km Open Water Classification],"&gt;0")</f>
        <v>0</v>
      </c>
      <c r="KK27" s="6">
        <f>COUNTIFS(Table21[Country],Tabela1[[#This Row],[Country]],Table21[10km Open Water Classification],"&gt;0")</f>
        <v>0</v>
      </c>
      <c r="KL27" s="6">
        <f>COUNTIFS(Table22[Country],Tabela1[[#This Row],[Country]],Table22[Classification],"&gt;0")</f>
        <v>1</v>
      </c>
      <c r="KM27" s="6">
        <f>COUNTIFS(Table30[Country],Tabela1[[#This Row],[Country]],Table30[Classification],"&gt;0")</f>
        <v>0</v>
      </c>
      <c r="KN27" s="6">
        <f>COUNTIFS(Table55[Country],Tabela1[[#This Row],[Country]],Table55[Men''s Classification],"&gt;0")</f>
        <v>0</v>
      </c>
      <c r="KO27" s="6">
        <f>COUNTIFS(Table55[Country],Tabela1[[#This Row],[Country]],Table55[Women''s Classification],"&gt;0")</f>
        <v>0</v>
      </c>
      <c r="KP27" s="6">
        <f>COUNTIFS(Table56[Country],Tabela1[[#This Row],[Country]],Table56[Mixed Classification],"&gt;0")</f>
        <v>0</v>
      </c>
      <c r="KQ27" s="6">
        <f>COUNTIFS(Table29[Country],Tabela1[[#This Row],[Country]],Table29[58kg Classification],"&gt;0")</f>
        <v>1</v>
      </c>
      <c r="KR27" s="6">
        <f>COUNTIFS(Table29[Country],Tabela1[[#This Row],[Country]],Table29[68kg Classification],"&gt;0")</f>
        <v>0</v>
      </c>
      <c r="KS27" s="6">
        <f>COUNTIFS(Table29[Country],Tabela1[[#This Row],[Country]],Table29[80kg Classification],"&gt;0")</f>
        <v>1</v>
      </c>
      <c r="KT27" s="6">
        <f>COUNTIFS(Table29[Country],Tabela1[[#This Row],[Country]],Table29[Plus 80kg Classification],"&gt;0")</f>
        <v>0</v>
      </c>
      <c r="KU27" s="6">
        <f>COUNTIFS(Table34[Country],Tabela1[[#This Row],[Country]],Table34[49kg Classification],"&gt;0")</f>
        <v>0</v>
      </c>
      <c r="KV27" s="6">
        <f>COUNTIFS(Table34[Country],Tabela1[[#This Row],[Country]],Table34[57kg Classification],"&gt;0")</f>
        <v>0</v>
      </c>
      <c r="KW27" s="6">
        <f>COUNTIFS(Table34[Country],Tabela1[[#This Row],[Country]],Table34[67kg Classification],"&gt;0")</f>
        <v>0</v>
      </c>
      <c r="KX27" s="6">
        <f>COUNTIFS(Table34[Country],Tabela1[[#This Row],[Country]],Table34[Plus 67kg Classification],"&gt;0")</f>
        <v>0</v>
      </c>
      <c r="KY27" s="6">
        <f>COUNTIFS(Table57[Country],Tabela1[[#This Row],[Country]],Table57[Classification],"&gt;0")</f>
        <v>0</v>
      </c>
      <c r="KZ27" s="6">
        <f>COUNTIFS(Table58[Country],Tabela1[[#This Row],[Country]],Table58[Classification],"&gt;0")</f>
        <v>0</v>
      </c>
      <c r="LA27" s="6">
        <f>COUNTIFS(Table79[Country],Tabela1[[#This Row],[Country]],Table79[Men''s Classification],"&gt;0")</f>
        <v>1</v>
      </c>
      <c r="LB27" s="6">
        <f>COUNTIFS(Table79[Country],Tabela1[[#This Row],[Country]],Table79[Women''s Classification],"&gt;0")</f>
        <v>0</v>
      </c>
      <c r="LC27" s="6">
        <f>COUNTIFS(Table79[Country],Tabela1[[#This Row],[Country]],Table79[Mixed Classification],"&gt;0")</f>
        <v>0</v>
      </c>
      <c r="LD27" s="6">
        <f>COUNTIFS(Table65[Country],Tabela1[[#This Row],[Country]],Table65[Classification],"&gt;0")</f>
        <v>0</v>
      </c>
      <c r="LE27" s="6">
        <f>COUNTIFS(Table59[Country],Tabela1[[#This Row],[Country]],Table59[Classification],"&gt;0")</f>
        <v>0</v>
      </c>
      <c r="LF27" s="6">
        <f>COUNTIFS(Table87[Country],Tabela1[[#This Row],[Country]],Table87[Mixed Relay Classification],"&gt;0")</f>
        <v>0</v>
      </c>
      <c r="LG27" s="6">
        <f>COUNTIFS(Table91949698100[Country],Tabela1[[#This Row],[Country]],Table91949698100[Men''s Classification],"&gt;0")</f>
        <v>0</v>
      </c>
      <c r="LH27" s="6">
        <f>COUNTIFS(Table91949698100[Country],Tabela1[[#This Row],[Country]],Table91949698100[Women''s Classification],"&gt;0")</f>
        <v>0</v>
      </c>
      <c r="LI27" s="6">
        <f>COUNTIFS(Table91949698100102[Country],Tabela1[[#This Row],[Country]],Table91949698100102[Men''s Classification],"&gt;0")</f>
        <v>0</v>
      </c>
      <c r="LJ27" s="6">
        <f>COUNTIFS(Table91949698100102[Country],Tabela1[[#This Row],[Country]],Table91949698100102[Women''s Classification],"&gt;0")</f>
        <v>0</v>
      </c>
      <c r="LK27" s="6">
        <f>COUNTIFS(Table23[Country],Tabela1[[#This Row],[Country]],Table23[61kg Classification],"&gt;0")</f>
        <v>0</v>
      </c>
      <c r="LL27" s="6">
        <f>COUNTIFS(Table23[Country],Tabela1[[#This Row],[Country]],Table23[73kg Classification],"&gt;0")</f>
        <v>0</v>
      </c>
      <c r="LM27" s="6">
        <f>COUNTIFS(Table23[Country],Tabela1[[#This Row],[Country]],Table23[89kg Classification],"&gt;0")</f>
        <v>0</v>
      </c>
      <c r="LN27" s="6">
        <f>COUNTIFS(Table23[Country],Tabela1[[#This Row],[Country]],Table23[102kg Classification],"&gt;0")</f>
        <v>0</v>
      </c>
      <c r="LO27" s="6">
        <f>COUNTIFS(Table23[Country],Tabela1[[#This Row],[Country]],Table23[Plus 102kg Classification],"&gt;0")</f>
        <v>0</v>
      </c>
      <c r="LP27" s="6">
        <f>COUNTIFS(Table28[Country],Tabela1[[#This Row],[Country]],Table28[49kg Classification],"&gt;0")</f>
        <v>0</v>
      </c>
      <c r="LQ27" s="6">
        <f>COUNTIFS(Table28[Country],Tabela1[[#This Row],[Country]],Table28[59kg Classification],"&gt;0")</f>
        <v>0</v>
      </c>
      <c r="LR27" s="6">
        <f>COUNTIFS(Table28[Country],Tabela1[[#This Row],[Country]],Table28[71kg Classification],"&gt;0")</f>
        <v>0</v>
      </c>
      <c r="LS27" s="6">
        <f>COUNTIFS(Table28[Country],Tabela1[[#This Row],[Country]],Table28[81kg Classification],"&gt;0")</f>
        <v>0</v>
      </c>
      <c r="LT27" s="6">
        <f>COUNTIFS(Table28[Country],Tabela1[[#This Row],[Country]],Table28[Plus 81kg Classification],"&gt;0")</f>
        <v>0</v>
      </c>
      <c r="LU27" s="6">
        <f>COUNTIFS(Table24[Country],Tabela1[[#This Row],[Country]],Table24[Freestyle 57kg Classification],"&gt;0")</f>
        <v>0</v>
      </c>
      <c r="LV27" s="6">
        <f>COUNTIFS(Table24[Country],Tabela1[[#This Row],[Country]],Table24[Freestyle 65kg Classification],"&gt;0")</f>
        <v>0</v>
      </c>
      <c r="LW27" s="6">
        <f>COUNTIFS(Table24[Country],Tabela1[[#This Row],[Country]],Table24[Freestyle 74kg Classification],"&gt;0")</f>
        <v>0</v>
      </c>
      <c r="LX27" s="6">
        <f>COUNTIFS(Table24[Country],Tabela1[[#This Row],[Country]],Table24[Freestyle 86kg Classification],"&gt;0")</f>
        <v>0</v>
      </c>
      <c r="LY27" s="6">
        <f>COUNTIFS(Table24[Country],Tabela1[[#This Row],[Country]],Table24[Freestyle 97kg Classification],"&gt;0")</f>
        <v>0</v>
      </c>
      <c r="LZ27" s="6">
        <f>COUNTIFS(Table24[Country],Tabela1[[#This Row],[Country]],Table24[Freestyle 125kg Classification],"&gt;0")</f>
        <v>0</v>
      </c>
      <c r="MA27" s="6">
        <f>COUNTIFS(Table24[Country],Tabela1[[#This Row],[Country]],Table24[Greco-Roman 60kg Classification],"&gt;0")</f>
        <v>0</v>
      </c>
      <c r="MB27" s="6">
        <f>COUNTIFS(Table24[Country],Tabela1[[#This Row],[Country]],Table24[Greco-Roman 67kg Classification],"&gt;0")</f>
        <v>0</v>
      </c>
      <c r="MC27" s="6">
        <f>COUNTIFS(Table24[Country],Tabela1[[#This Row],[Country]],Table24[Greco-Roman 77kg Classification],"&gt;0")</f>
        <v>1</v>
      </c>
      <c r="MD27" s="6">
        <f>COUNTIFS(Table24[Country],Tabela1[[#This Row],[Country]],Table24[Greco-Roman 87kg Classification],"&gt;0")</f>
        <v>1</v>
      </c>
      <c r="ME27" s="6">
        <f>COUNTIFS(Table24[Country],Tabela1[[#This Row],[Country]],Table24[Greco-Roman 97kg Classification],"&gt;0")</f>
        <v>0</v>
      </c>
      <c r="MF27" s="6">
        <f>COUNTIFS(Table24[Country],Tabela1[[#This Row],[Country]],Table24[Greco-Roman 130kg Classification],"&gt;0")</f>
        <v>0</v>
      </c>
      <c r="MG27" s="6">
        <f>COUNTIFS(Table31[Country],Tabela1[[#This Row],[Country]],Table31[50kg Classification],"&gt;0")</f>
        <v>0</v>
      </c>
      <c r="MH27" s="6">
        <f>COUNTIFS(Table31[Country],Tabela1[[#This Row],[Country]],Table31[53kg Classification],"&gt;0")</f>
        <v>0</v>
      </c>
      <c r="MI27" s="6">
        <f>COUNTIFS(Table31[Country],Tabela1[[#This Row],[Country]],Table31[57kg Classification],"&gt;0")</f>
        <v>0</v>
      </c>
      <c r="MJ27" s="6">
        <f>COUNTIFS(Table31[Country],Tabela1[[#This Row],[Country]],Table31[62kg Classification],"&gt;0")</f>
        <v>0</v>
      </c>
      <c r="MK27" s="6">
        <f>COUNTIFS(Table31[Country],Tabela1[[#This Row],[Country]],Table31[68kg Classification],"&gt;0")</f>
        <v>0</v>
      </c>
      <c r="ML27" s="6">
        <f>COUNTIFS(Table31[Country],Tabela1[[#This Row],[Country]],Table31[76kg Classification],"&gt;0")</f>
        <v>0</v>
      </c>
      <c r="MM27" s="6">
        <f>COUNTIFS(Table102[Country],Tabela1[[#This Row],[Country]],Table102[Downhill Classification],"&gt;0")</f>
        <v>0</v>
      </c>
      <c r="MN27" s="6">
        <f>COUNTIFS(Table102105[Country],Tabela1[[#This Row],[Country]],Table102105[Downhill Classification],"&gt;0")</f>
        <v>0</v>
      </c>
      <c r="MO27" s="6">
        <f>COUNTIFS(Table102[Country],Tabela1[[#This Row],[Country]],Table102[Giant Slalom Classification],"&gt;0")</f>
        <v>0</v>
      </c>
      <c r="MP27" s="6">
        <f>COUNTIFS(Table102105[Country],Tabela1[[#This Row],[Country]],Table102105[Giant Slalom Classification],"&gt;0")</f>
        <v>0</v>
      </c>
      <c r="MQ27" s="6">
        <f>COUNTIFS(Table102[Country],Tabela1[[#This Row],[Country]],Table102[Slalom Classification],"&gt;0")</f>
        <v>0</v>
      </c>
      <c r="MR27" s="6">
        <f>COUNTIFS(Table102105[Country],Tabela1[[#This Row],[Country]],Table102105[Slalom Classification],"&gt;0")</f>
        <v>0</v>
      </c>
      <c r="MS27" s="6">
        <f>COUNTIFS(Table102[Country],Tabela1[[#This Row],[Country]],Table102[Super-G Classification],"&gt;0")</f>
        <v>0</v>
      </c>
      <c r="MT27" s="6">
        <f>COUNTIFS(Table102105[Country],Tabela1[[#This Row],[Country]],Table102105[Super-G Classification],"&gt;0")</f>
        <v>0</v>
      </c>
      <c r="MU27" s="6">
        <f>COUNTIFS(Table105[Country],Tabela1[[#This Row],[Country]],Table105[Men''s Combined Classification],"&gt;0")</f>
        <v>0</v>
      </c>
      <c r="MV27" s="6">
        <f>COUNTIFS(Table105[Country],Tabela1[[#This Row],[Country]],Table105[Women''s Combined Classification],"&gt;0")</f>
        <v>0</v>
      </c>
      <c r="MW27" s="6">
        <f>COUNTIFS(Table106[Country],Tabela1[[#This Row],[Country]],Table106[Individual Classification],"&gt;0")</f>
        <v>0</v>
      </c>
      <c r="MX27" s="6">
        <f>COUNTIFS(Table106109[Country],Tabela1[[#This Row],[Country]],Table106109[Individual Classification],"&gt;0")</f>
        <v>2</v>
      </c>
      <c r="MY27" s="6">
        <f>COUNTIFS(Table106[Country],Tabela1[[#This Row],[Country]],Table106[Mass Start Classification],"&gt;0")</f>
        <v>0</v>
      </c>
      <c r="MZ27" s="6">
        <f>COUNTIFS(Table106109[Country],Tabela1[[#This Row],[Country]],Table106109[Mass Start Classification],"&gt;0")</f>
        <v>0</v>
      </c>
      <c r="NA27" s="6">
        <f>COUNTIFS(Table106[Country],Tabela1[[#This Row],[Country]],Table106[Pursuit Classification],"&gt;0")</f>
        <v>0</v>
      </c>
      <c r="NB27" s="6">
        <f>COUNTIFS(Table106109[Country],Tabela1[[#This Row],[Country]],Table106109[Pursuit Classification],"&gt;0")</f>
        <v>0</v>
      </c>
      <c r="NC27" s="6">
        <f>COUNTIFS(Table106[Country],Tabela1[[#This Row],[Country]],Table106[Sprint Classification],"&gt;0")</f>
        <v>0</v>
      </c>
      <c r="ND27" s="6">
        <f>COUNTIFS(Table106109[Country],Tabela1[[#This Row],[Country]],Table106109[Sprint Classification],"&gt;0")</f>
        <v>2</v>
      </c>
      <c r="NE27" s="6">
        <f>COUNTIFS(Table109[Country],Tabela1[[#This Row],[Country]],Table109[Men''s Relay Classification],"&gt;0")</f>
        <v>0</v>
      </c>
      <c r="NF27" s="6">
        <f>COUNTIFS(Table109[Country],Tabela1[[#This Row],[Country]],Table109[Women''s Relay Classification],"&gt;0")</f>
        <v>0</v>
      </c>
      <c r="NG27" s="6">
        <f>COUNTIFS(Table109[Country],Tabela1[[#This Row],[Country]],Table109[Mixed Relay Classification],"&gt;0")</f>
        <v>1</v>
      </c>
      <c r="NH27" s="6">
        <f>COUNTIFS(Table110[Country],Tabela1[[#This Row],[Country]],Table110[Monobob Classification],"&gt;0")</f>
        <v>0</v>
      </c>
      <c r="NI27" s="6">
        <f>COUNTIFS(Table111[Country],Tabela1[[#This Row],[Country]],Table111[Men''s Classification],"&gt;0")</f>
        <v>0</v>
      </c>
      <c r="NJ27" s="6">
        <f>COUNTIFS(Table111[Country],Tabela1[[#This Row],[Country]],Table111[Women''s Classification],"&gt;0")</f>
        <v>0</v>
      </c>
      <c r="NK27" s="6">
        <f>COUNTIFS(Table112[Country],Tabela1[[#This Row],[Country]],Table112[Men''s Four Classification],"&gt;0")</f>
        <v>0</v>
      </c>
      <c r="NL27" s="6">
        <f>COUNTIFS(Table113[Country],Tabela1[[#This Row],[Country]],Table113[Classical Classification],"&gt;0")</f>
        <v>0</v>
      </c>
      <c r="NM27" s="6">
        <f>COUNTIFS(Table113116[Country],Tabela1[[#This Row],[Country]],Table113116[Classical Classification],"&gt;0")</f>
        <v>0</v>
      </c>
      <c r="NN27" s="6">
        <f>COUNTIFS(Table113[Country],Tabela1[[#This Row],[Country]],Table113[Freestyle Classification],"&gt;0")</f>
        <v>0</v>
      </c>
      <c r="NO27" s="6">
        <f>COUNTIFS(Table113116[Country],Tabela1[[#This Row],[Country]],Table113116[Freestyle Classification],"&gt;0")</f>
        <v>0</v>
      </c>
      <c r="NP27" s="6">
        <f>COUNTIFS(Table117[Country],Tabela1[[#This Row],[Country]],Table117[Men''s Relay Classification],"&gt;0")</f>
        <v>0</v>
      </c>
      <c r="NQ27" s="6">
        <f>COUNTIFS(Table117[Country],Tabela1[[#This Row],[Country]],Table117[Women''s Relay Classification],"&gt;0")</f>
        <v>0</v>
      </c>
      <c r="NR27" s="6">
        <f>COUNTIFS(Table113[Country],Tabela1[[#This Row],[Country]],Table113[Skiathlon Classification],"&gt;0")</f>
        <v>0</v>
      </c>
      <c r="NS27" s="6">
        <f>COUNTIFS(Table113116[Country],Tabela1[[#This Row],[Country]],Table113116[Skiathlon Classification],"&gt;0")</f>
        <v>0</v>
      </c>
      <c r="NT27" s="6">
        <f>COUNTIFS(Table113[Country],Tabela1[[#This Row],[Country]],Table113[Sprint Classification],"&gt;0")</f>
        <v>0</v>
      </c>
      <c r="NU27" s="6">
        <f>COUNTIFS(Table113116[Country],Tabela1[[#This Row],[Country]],Table113116[Sprint Classification],"&gt;0")</f>
        <v>0</v>
      </c>
      <c r="NV27" s="6">
        <f>COUNTIFS(Table116[Country],Tabela1[[#This Row],[Country]],Table116[Men''s Team Sprint Classification],"&gt;0")</f>
        <v>0</v>
      </c>
      <c r="NW27" s="6">
        <f>COUNTIFS(Table116[Country],Tabela1[[#This Row],[Country]],Table116[Women''s Team Sprint Classification],"&gt;0")</f>
        <v>0</v>
      </c>
      <c r="NX27" s="6">
        <f>COUNTIFS(Table119[Country],Tabela1[[#This Row],[Country]],Table119[Men''s Classification],"&gt;0")</f>
        <v>0</v>
      </c>
      <c r="NY27" s="6">
        <f>COUNTIFS(Table119[Country],Tabela1[[#This Row],[Country]],Table119[Women''s Classification],"&gt;0")</f>
        <v>0</v>
      </c>
      <c r="NZ27" s="6">
        <f>COUNTIFS(Table118[Country],Tabela1[[#This Row],[Country]],Table118[Mixed Classification],"&gt;0")</f>
        <v>0</v>
      </c>
      <c r="OA27" s="6">
        <f>COUNTIFS(Table120[Country],Tabela1[[#This Row],[Country]],Table120[Classification],"&gt;0")</f>
        <v>0</v>
      </c>
      <c r="OB27" s="6">
        <f>COUNTIFS(Table120123[Country],Tabela1[[#This Row],[Country]],Table120123[Classification],"&gt;0")</f>
        <v>0</v>
      </c>
      <c r="OC27" s="6">
        <f>COUNTIFS(Table123[Country],Tabela1[[#This Row],[Country]],Table123[Ice Dance Classification],"&gt;0")</f>
        <v>0</v>
      </c>
      <c r="OD27" s="6">
        <f>COUNTIFS(Table123[Country],Tabela1[[#This Row],[Country]],Table123[Pair Skating Classification],"&gt;0")</f>
        <v>0</v>
      </c>
      <c r="OE27" s="6">
        <f>COUNTIFS(Table124[Country],Tabela1[[#This Row],[Country]],Table124[Mixed Classification],"&gt;0")</f>
        <v>0</v>
      </c>
      <c r="OF27" s="6">
        <f>COUNTIFS(Table125[Country],Tabela1[[#This Row],[Country]],Table125[Aerials Classification],"&gt;0")</f>
        <v>4</v>
      </c>
      <c r="OG27" s="6">
        <f>COUNTIFS(Table125128[Country],Tabela1[[#This Row],[Country]],Table125128[Aerials Classification],"&gt;0")</f>
        <v>1</v>
      </c>
      <c r="OH27" s="6">
        <f>COUNTIFS(Table128[Country],Tabela1[[#This Row],[Country]],Table128[Mixed Aerials Classification],"&gt;0")</f>
        <v>1</v>
      </c>
      <c r="OI27" s="6">
        <f>COUNTIFS(Table125[Country],Tabela1[[#This Row],[Country]],Table125[Big Air Classification],"&gt;0")</f>
        <v>0</v>
      </c>
      <c r="OJ27" s="6">
        <f>COUNTIFS(Table125128[Country],Tabela1[[#This Row],[Country]],Table125128[Big Air Classification],"&gt;0")</f>
        <v>0</v>
      </c>
      <c r="OK27" s="6">
        <f>COUNTIFS(Table125[Country],Tabela1[[#This Row],[Country]],Table125[Dual Moguls Classification],"&gt;0")</f>
        <v>1</v>
      </c>
      <c r="OL27" s="6">
        <f>COUNTIFS(Table125128[Country],Tabela1[[#This Row],[Country]],Table125128[Dual Moguls Classification],"&gt;0")</f>
        <v>2</v>
      </c>
      <c r="OM27" s="6">
        <f>COUNTIFS(Table125[Country],Tabela1[[#This Row],[Country]],Table125[Halfpipe Classification],"&gt;0")</f>
        <v>0</v>
      </c>
      <c r="ON27" s="6">
        <f>COUNTIFS(Table125128[Country],Tabela1[[#This Row],[Country]],Table125128[Halfpipe Classification],"&gt;0")</f>
        <v>0</v>
      </c>
      <c r="OO27" s="6">
        <f>COUNTIFS(Table125[Country],Tabela1[[#This Row],[Country]],Table125[Moguls Classification],"&gt;0")</f>
        <v>1</v>
      </c>
      <c r="OP27" s="6">
        <f>COUNTIFS(Table125128[Country],Tabela1[[#This Row],[Country]],Table125128[Moguls Classification],"&gt;0")</f>
        <v>2</v>
      </c>
      <c r="OQ27" s="6">
        <f>COUNTIFS(Table125[Country],Tabela1[[#This Row],[Country]],Table125[Ski Cross Classification],"&gt;0")</f>
        <v>0</v>
      </c>
      <c r="OR27" s="6">
        <f>COUNTIFS(Table125128[Country],Tabela1[[#This Row],[Country]],Table125128[Ski Cross Classification],"&gt;0")</f>
        <v>0</v>
      </c>
      <c r="OS27" s="6">
        <f>COUNTIFS(Table125[Country],Tabela1[[#This Row],[Country]],Table125[Slopestyle Classification],"&gt;0")</f>
        <v>0</v>
      </c>
      <c r="OT27" s="6">
        <f>COUNTIFS(Table125128[Country],Tabela1[[#This Row],[Country]],Table125128[Slopestyle Classification],"&gt;0")</f>
        <v>0</v>
      </c>
      <c r="OU27" s="6">
        <f>COUNTIFS(Table119131[Country],Tabela1[[#This Row],[Country]],Table119131[Men''s Classification],"&gt;0")</f>
        <v>0</v>
      </c>
      <c r="OV27" s="6">
        <f>COUNTIFS(Table119131[Country],Tabela1[[#This Row],[Country]],Table119131[Women''s Classification],"&gt;0")</f>
        <v>0</v>
      </c>
      <c r="OW27" s="6">
        <f>COUNTIFS(Table131[Country],Tabela1[[#This Row],[Country]],Table131[Classification],"&gt;0")</f>
        <v>0</v>
      </c>
      <c r="OX27" s="6">
        <f>COUNTIFS(Table131134[Country],Tabela1[[#This Row],[Country]],Table131134[Classification],"&gt;0")</f>
        <v>0</v>
      </c>
      <c r="OY27" s="6">
        <f>COUNTIFS(Table134[Country],Tabela1[[#This Row],[Country]],Table134[Men''s Classification],"&gt;0")</f>
        <v>0</v>
      </c>
      <c r="OZ27" s="6">
        <f>COUNTIFS(Table134[Country],Tabela1[[#This Row],[Country]],Table134[Women''s Classification],"&gt;0")</f>
        <v>0</v>
      </c>
      <c r="PA27" s="6">
        <f>COUNTIFS(Table135[Country],Tabela1[[#This Row],[Country]],Table135[Mixed Relay Classification],"&gt;0")</f>
        <v>0</v>
      </c>
      <c r="PB27" s="6">
        <f>COUNTIFS(Table136[Country],Tabela1[[#This Row],[Country]],Table136[Individual Classification],"&gt;0")</f>
        <v>0</v>
      </c>
      <c r="PC27" s="6">
        <f>COUNTIFS(Table136[Country],Tabela1[[#This Row],[Country]],Table136[Sprint Classification],"&gt;0")</f>
        <v>0</v>
      </c>
      <c r="PD27" s="6">
        <f>COUNTIFS(Table137[Country],Tabela1[[#This Row],[Country]],Table137[Men''s Team Sprint Large Hill Classification],"&gt;0")</f>
        <v>0</v>
      </c>
      <c r="PE27" s="6">
        <f>COUNTIFS(Table138[Country],Tabela1[[#This Row],[Country]],Table138[500m Classification],"&gt;0")</f>
        <v>0</v>
      </c>
      <c r="PF27" s="6">
        <f>COUNTIFS(Table138141[Country],Tabela1[[#This Row],[Country]],Table138141[500m Classification],"&gt;0")</f>
        <v>2</v>
      </c>
      <c r="PG27" s="6">
        <f>COUNTIFS(Table138[Country],Tabela1[[#This Row],[Country]],Table138[1000m Classification],"&gt;0")</f>
        <v>0</v>
      </c>
      <c r="PH27" s="6">
        <f>COUNTIFS(Table138141[Country],Tabela1[[#This Row],[Country]],Table138141[1000m Classification],"&gt;0")</f>
        <v>1</v>
      </c>
      <c r="PI27" s="6">
        <f>COUNTIFS(Table138[Country],Tabela1[[#This Row],[Country]],Table138[1500m Classification],"&gt;0")</f>
        <v>0</v>
      </c>
      <c r="PJ27" s="6">
        <f>COUNTIFS(Table138141[Country],Tabela1[[#This Row],[Country]],Table138141[1500m Classification],"&gt;0")</f>
        <v>2</v>
      </c>
      <c r="PK27" s="6">
        <f>COUNTIFS(Table141[Country],Tabela1[[#This Row],[Country]],Table141[Men''s 5000m Relay Classification],"&gt;0")</f>
        <v>0</v>
      </c>
      <c r="PL27" s="6">
        <f>COUNTIFS(Table141[Country],Tabela1[[#This Row],[Country]],Table141[Women''s 3000m Relay Classification],"&gt;0")</f>
        <v>0</v>
      </c>
      <c r="PM27" s="6">
        <f>COUNTIFS(Table141[Country],Tabela1[[#This Row],[Country]],Table141[Mixed 2000m Relay Classification],"&gt;0")</f>
        <v>1</v>
      </c>
      <c r="PN27" s="6">
        <f>COUNTIFS(Table142[Country],Tabela1[[#This Row],[Country]],Table142[Classification],"&gt;0")</f>
        <v>0</v>
      </c>
      <c r="PO27" s="6">
        <f>COUNTIFS(Table142145[Country],Tabela1[[#This Row],[Country]],Table142145[Classification],"&gt;0")</f>
        <v>0</v>
      </c>
      <c r="PP27" s="6">
        <f>COUNTIFS(Tabela15[Country],Tabela1[[#This Row],[Country]],Tabela15[Mixed Team Classification],"&gt;0")</f>
        <v>0</v>
      </c>
      <c r="PQ27" s="6">
        <f>COUNTIFS(Table145[Country],Tabela1[[#This Row],[Country]],Table145[Large Hill Classification],"&gt;0")</f>
        <v>0</v>
      </c>
      <c r="PR27" s="6">
        <f>COUNTIFS(Table145[Country],Tabela1[[#This Row],[Country]],Table145[Normal Hill Classification],"&gt;0")</f>
        <v>0</v>
      </c>
      <c r="PS27" s="6">
        <f>COUNTIFS(Table145148[Country],Tabela1[[#This Row],[Country]],Table145148[Large Hill Classification],"&gt;0")</f>
        <v>0</v>
      </c>
      <c r="PT27" s="6">
        <f>COUNTIFS(Table145148[Country],Tabela1[[#This Row],[Country]],Table145148[Normal Hill Classification],"&gt;0")</f>
        <v>0</v>
      </c>
      <c r="PU27" s="6">
        <f>COUNTIFS(Table148[Country],Tabela1[[#This Row],[Country]],Table148[Men''s Super Team Classification],"&gt;0")</f>
        <v>0</v>
      </c>
      <c r="PV27" s="6">
        <f>COUNTIFS(Tabela114[Country],Tabela1[[#This Row],[Country]],Tabela114[Mixed Normal Hill Classification],"&gt;0")</f>
        <v>0</v>
      </c>
      <c r="PW27" s="6">
        <f>COUNTIFS(Tabela50[Country],Tabela1[[#This Row],[Country]],Tabela50[Sprint Classification],"&gt;0")</f>
        <v>0</v>
      </c>
      <c r="PX27" s="6">
        <f>COUNTIFS(Tabela50101[Country],Tabela1[[#This Row],[Country]],Tabela50101[Sprint Classification],"&gt;0")</f>
        <v>0</v>
      </c>
      <c r="PY27" s="6">
        <f>COUNTIFS(Tabela103[Country],Tabela1[[#This Row],[Country]],Tabela103[Mixed Relay Classification],"&gt;0")</f>
        <v>0</v>
      </c>
      <c r="PZ27" s="6">
        <f>COUNTIFS(Table149[Country],Tabela1[[#This Row],[Country]],Table149[Big Air Classification],"&gt;0")</f>
        <v>0</v>
      </c>
      <c r="QA27" s="6">
        <f>COUNTIFS(Table149152[Country],Tabela1[[#This Row],[Country]],Table149152[Big Air Classification],"&gt;0")</f>
        <v>0</v>
      </c>
      <c r="QB27" s="6">
        <f>COUNTIFS(Table149[Country],Tabela1[[#This Row],[Country]],Table149[Halfpipe Classification],"&gt;0")</f>
        <v>0</v>
      </c>
      <c r="QC27" s="6">
        <f>COUNTIFS(Table149152[Country],Tabela1[[#This Row],[Country]],Table149152[Halfpipe Classification],"&gt;0")</f>
        <v>0</v>
      </c>
      <c r="QD27" s="6">
        <f>COUNTIFS(Table149[Country],Tabela1[[#This Row],[Country]],Table149[Parallel Giant Slalom Classification],"&gt;0")</f>
        <v>0</v>
      </c>
      <c r="QE27" s="6">
        <f>COUNTIFS(Table149152[Country],Tabela1[[#This Row],[Country]],Table149152[Parallel Giant Slalom Classification],"&gt;0")</f>
        <v>0</v>
      </c>
      <c r="QF27" s="6">
        <f>COUNTIFS(Table149[Country],Tabela1[[#This Row],[Country]],Table149[Slopestyle Classification],"&gt;0")</f>
        <v>0</v>
      </c>
      <c r="QG27" s="6">
        <f>COUNTIFS(Table149152[Country],Tabela1[[#This Row],[Country]],Table149152[Slopestyle Classification],"&gt;0")</f>
        <v>0</v>
      </c>
      <c r="QH27" s="6">
        <f>COUNTIFS(Table149[Country],Tabela1[[#This Row],[Country]],Table149[Snowboard Cross Classification],"&gt;0")</f>
        <v>0</v>
      </c>
      <c r="QI27" s="6">
        <f>COUNTIFS(Table149152[Country],Tabela1[[#This Row],[Country]],Table149152[Snowboard Cross Classification],"&gt;0")</f>
        <v>0</v>
      </c>
      <c r="QJ27" s="6">
        <f>COUNTIFS(Table153[Country],Tabela1[[#This Row],[Country]],Table153[Mixed Team Snowboard Cross Classification],"&gt;0")</f>
        <v>0</v>
      </c>
      <c r="QK27" s="6">
        <f>COUNTIFS(Table154[Country],Tabela1[[#This Row],[Country]],Table154[500m Classification],"&gt;0")</f>
        <v>0</v>
      </c>
      <c r="QL27" s="6">
        <f>COUNTIFS(Table154157[Country],Tabela1[[#This Row],[Country]],Table154157[500m Classification],"&gt;0")</f>
        <v>0</v>
      </c>
      <c r="QM27" s="6">
        <f>COUNTIFS(Table154[Country],Tabela1[[#This Row],[Country]],Table154[1000m Classification],"&gt;0")</f>
        <v>0</v>
      </c>
      <c r="QN27" s="6">
        <f>COUNTIFS(Table154157[Country],Tabela1[[#This Row],[Country]],Table154157[1000m Classification],"&gt;0")</f>
        <v>0</v>
      </c>
      <c r="QO27" s="6">
        <f>COUNTIFS(Table154[Country],Tabela1[[#This Row],[Country]],Table154[1500m Classification],"&gt;0")</f>
        <v>0</v>
      </c>
      <c r="QP27" s="6">
        <f>COUNTIFS(Table154157[Country],Tabela1[[#This Row],[Country]],Table154157[1500m Classification],"&gt;0")</f>
        <v>0</v>
      </c>
      <c r="QQ27" s="6">
        <f>COUNTIFS(Table154157[Country],Tabela1[[#This Row],[Country]],Table154157[3000m Classification],"&gt;0")</f>
        <v>0</v>
      </c>
      <c r="QR27" s="6">
        <f>COUNTIFS(Table154[Country],Tabela1[[#This Row],[Country]],Table154[5000m Classification],"&gt;0")</f>
        <v>0</v>
      </c>
      <c r="QS27" s="6">
        <f>COUNTIFS(Table154157[Country],Tabela1[[#This Row],[Country]],Table154157[5000m Classification],"&gt;0")</f>
        <v>0</v>
      </c>
      <c r="QT27" s="6">
        <f>COUNTIFS(Table154[Country],Tabela1[[#This Row],[Country]],Table154[10000m Classification],"&gt;0")</f>
        <v>0</v>
      </c>
      <c r="QU27" s="6">
        <f>COUNTIFS(Table154[Country],Tabela1[[#This Row],[Country]],Table154[Mass Start Classification],"&gt;0")</f>
        <v>0</v>
      </c>
      <c r="QV27" s="6">
        <f>COUNTIFS(Table154157[Country],Tabela1[[#This Row],[Country]],Table154157[Mass Start Classification],"&gt;0")</f>
        <v>0</v>
      </c>
      <c r="QW27" s="6">
        <f>COUNTIFS(Table157[Country],Tabela1[[#This Row],[Country]],Table157[Men''s Pursuit Classification],"&gt;0")</f>
        <v>0</v>
      </c>
      <c r="QX27" s="6">
        <f>COUNTIFS(Table157[Country],Tabela1[[#This Row],[Country]],Table157[Women''s Pursuit Classification],"&gt;0")</f>
        <v>0</v>
      </c>
      <c r="QY27" s="3" t="s">
        <v>605</v>
      </c>
    </row>
    <row r="28" spans="1:467" x14ac:dyDescent="0.3">
      <c r="A28" s="6">
        <v>27</v>
      </c>
      <c r="B28" s="6" t="s">
        <v>474</v>
      </c>
      <c r="C28" t="e" vm="27">
        <f>IF(ISBLANK(Tabela1[[#This Row],[Image Link]]), "", _xlfn.IMAGE(Tabela1[[#This Row],[Image Link]],1,1))</f>
        <v>#VALUE!</v>
      </c>
      <c r="D28" s="6">
        <f>SUM(Tabela1[[#This Row],[Archery - Men''s Individual Recurve]:[Speed Skating - Women''s Team Pursuit]])</f>
        <v>45</v>
      </c>
      <c r="E28" s="6">
        <f>COUNTIF(Tabela1[[#This Row],[Archery - Men''s Individual Recurve]:[Speed Skating - Women''s Team Pursuit]],"&gt;0")</f>
        <v>44</v>
      </c>
      <c r="F28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28" s="6">
        <f>SUM(Tabela1[[#This Row],[Archery - Men''s Individual Recurve]:[Wrestling - Women''s Freestyle 76kg]])</f>
        <v>33</v>
      </c>
      <c r="H28" s="6">
        <f>SUM(Tabela1[[#This Row],[Alpine Skiing - Men''s Downhill]:[Speed Skating - Women''s Team Pursuit]])</f>
        <v>12</v>
      </c>
      <c r="I28" s="6">
        <f>Tabela1[[#This Row],[Summer Gold Medals]]+Tabela1[[#This Row],[Winter Gold Medals]]</f>
        <v>10</v>
      </c>
      <c r="J28" s="6">
        <f>Tabela1[[#This Row],[Summer Silver Medals]]+Tabela1[[#This Row],[Winter Silver Medals]]</f>
        <v>9</v>
      </c>
      <c r="K28" s="6">
        <f>Tabela1[[#This Row],[Summer Bronze Medals]]+Tabela1[[#This Row],[Winter Bronze Medals]]</f>
        <v>4</v>
      </c>
      <c r="L28" s="6">
        <f>SUM(Tabela1[[#This Row],[Total Gold Medals]:[Total Bronze Medals]])</f>
        <v>23</v>
      </c>
      <c r="M28" s="6">
        <v>10</v>
      </c>
      <c r="N28" s="6">
        <v>7</v>
      </c>
      <c r="O28" s="6">
        <v>3</v>
      </c>
      <c r="P28" s="6">
        <f>SUM(Tabela1[[#This Row],[Summer Gold Medals]:[Summer Bronze Medals]])</f>
        <v>20</v>
      </c>
      <c r="Q28" s="6"/>
      <c r="R28" s="6">
        <v>2</v>
      </c>
      <c r="S28" s="6">
        <v>1</v>
      </c>
      <c r="T28" s="6">
        <f>Tabela1[[#This Row],[Winter Gold Medals]]+Tabela1[[#This Row],[Winter Silver Medals]]+Tabela1[[#This Row],[Winter Bronze Medals]]</f>
        <v>3</v>
      </c>
      <c r="U28" s="7">
        <f>Tabela1[[#This Row],[Total Medals]]/Tabela1[[#This Row],[Total Quotas]]</f>
        <v>0.51111111111111107</v>
      </c>
      <c r="V28" s="6">
        <f>COUNTIFS(Table3[Country],Tabela1[[#This Row],[Country]],Table3[Recurve Classification],"&gt;0")</f>
        <v>0</v>
      </c>
      <c r="W28" s="6">
        <f>COUNTIFS(Table33[Country],Tabela1[[#This Row],[Country]],Table33[Recurve Classification],"&gt;0")</f>
        <v>0</v>
      </c>
      <c r="X28" s="6">
        <f>COUNTIFS(Table35[Country],Tabela1[[#This Row],[Country]],Table35[Men''s Team Recurve Classification],"&gt;0")</f>
        <v>0</v>
      </c>
      <c r="Y28" s="6">
        <f>COUNTIFS(Table35[Country],Tabela1[[#This Row],[Country]],Table35[Women''s Team Recurve Classification],"&gt;0")</f>
        <v>0</v>
      </c>
      <c r="Z28" s="6">
        <f>COUNTIFS(Tabela88[Country],Tabela1[[#This Row],[Country]],Tabela88[Mixed Team Recurve Classification],"&gt;0")</f>
        <v>0</v>
      </c>
      <c r="AA28" s="6">
        <f>COUNTIFS(Table36[Country],Tabela1[[#This Row],[Country]],Table36[Classification],"&gt;0")</f>
        <v>1</v>
      </c>
      <c r="AB28" s="6">
        <f>COUNTIFS(Table37[Country],Tabela1[[#This Row],[Country]],Table37[Classification],"&gt;0")</f>
        <v>0</v>
      </c>
      <c r="AC28" s="6">
        <f>COUNTIFS(Table4[Country],Tabela1[[#This Row],[Country]],Table4[100m Classification],"&gt;0")</f>
        <v>0</v>
      </c>
      <c r="AD28" s="6">
        <f>COUNTIFS(Table5[Country],Tabela1[[#This Row],[Country]],Table5[100m Classification],"&gt;0")</f>
        <v>1</v>
      </c>
      <c r="AE28" s="6">
        <f>COUNTIFS(Table4[Country],Tabela1[[#This Row],[Country]],Table4[200m Classification],"&gt;0")</f>
        <v>0</v>
      </c>
      <c r="AF28" s="6">
        <f>COUNTIFS(Table5[Country],Tabela1[[#This Row],[Country]],Table5[200m Classification],"&gt;0")</f>
        <v>0</v>
      </c>
      <c r="AG28" s="6">
        <f>COUNTIFS(Table4[Country],Tabela1[[#This Row],[Country]],Table4[400m Classification],"&gt;0")</f>
        <v>0</v>
      </c>
      <c r="AH28" s="6">
        <f>COUNTIFS(Table5[Country],Tabela1[[#This Row],[Country]],Table5[400m Classification],"&gt;0")</f>
        <v>0</v>
      </c>
      <c r="AI28" s="6">
        <f>COUNTIFS(Table4[Country],Tabela1[[#This Row],[Country]],Table4[800m Classification],"&gt;0")</f>
        <v>0</v>
      </c>
      <c r="AJ28" s="6">
        <f>COUNTIFS(Table5[Country],Tabela1[[#This Row],[Country]],Table5[800m Classification],"&gt;0")</f>
        <v>0</v>
      </c>
      <c r="AK28" s="6">
        <f>COUNTIFS(Table4[Country],Tabela1[[#This Row],[Country]],Table4[1500m Classification],"&gt;0")</f>
        <v>0</v>
      </c>
      <c r="AL28" s="6">
        <f>COUNTIFS(Table5[Country],Tabela1[[#This Row],[Country]],Table5[1500m Classification],"&gt;0")</f>
        <v>0</v>
      </c>
      <c r="AM28" s="6">
        <f>COUNTIFS(Table4[Country],Tabela1[[#This Row],[Country]],Table4[5000m Classification],"&gt;0")</f>
        <v>0</v>
      </c>
      <c r="AN28" s="6">
        <f>COUNTIFS(Table5[Country],Tabela1[[#This Row],[Country]],Table5[5000m Classification],"&gt;0")</f>
        <v>0</v>
      </c>
      <c r="AO28" s="6">
        <f>COUNTIFS(Table4[Country],Tabela1[[#This Row],[Country]],Table4[10000m Classification],"&gt;0")</f>
        <v>0</v>
      </c>
      <c r="AP28" s="6">
        <f>COUNTIFS(Table5[Country],Tabela1[[#This Row],[Country]],Table5[10000m Classification],"&gt;0")</f>
        <v>0</v>
      </c>
      <c r="AQ28" s="6">
        <f>COUNTIFS(Table4[Country],Tabela1[[#This Row],[Country]],Table4[110m Hurdles Classification],"&gt;0")</f>
        <v>0</v>
      </c>
      <c r="AR28" s="6">
        <f>COUNTIFS(Table5[Country],Tabela1[[#This Row],[Country]],Table5[100m Hurdles Classification],"&gt;0")</f>
        <v>0</v>
      </c>
      <c r="AS28" s="6">
        <f>COUNTIFS(Table4[Country],Tabela1[[#This Row],[Country]],Table4[400m Hurdles Classification],"&gt;0")</f>
        <v>0</v>
      </c>
      <c r="AT28" s="6">
        <f>COUNTIFS(Table5[Country],Tabela1[[#This Row],[Country]],Table5[400m Hurdles Classification],"&gt;0")</f>
        <v>0</v>
      </c>
      <c r="AU28" s="6">
        <f>COUNTIFS(Table4[Country],Tabela1[[#This Row],[Country]],Table4[3000m Steeplechase Classification],"&gt;0")</f>
        <v>0</v>
      </c>
      <c r="AV28" s="6">
        <f>COUNTIFS(Table5[Country],Tabela1[[#This Row],[Country]],Table5[3000m Steeplechase Classification],"&gt;0")</f>
        <v>0</v>
      </c>
      <c r="AW28" s="6">
        <f>COUNTIFS(Table27[Country],Tabela1[[#This Row],[Country]],Table27[Men''s 4x100m Relay Classification],"&gt;0")</f>
        <v>0</v>
      </c>
      <c r="AX28" s="6">
        <f>COUNTIFS(Table27[Country],Tabela1[[#This Row],[Country]],Table27[Women''s 4x100m Relay Classification],"&gt;0")</f>
        <v>0</v>
      </c>
      <c r="AY28" s="6">
        <f>COUNTIFS(Table27[Country],Tabela1[[#This Row],[Country]],Table27[Men''s 4x400m Relay Classification],"&gt;0")</f>
        <v>0</v>
      </c>
      <c r="AZ28" s="6">
        <f>COUNTIFS(Table27[Country],Tabela1[[#This Row],[Country]],Table27[Women''s 4x400m Relay Classification],"&gt;0")</f>
        <v>0</v>
      </c>
      <c r="BA28" s="6">
        <f>COUNTIFS(Table27[Country],Tabela1[[#This Row],[Country]],Table27[Mixed 4x400m Relay Classification],"&gt;0")</f>
        <v>0</v>
      </c>
      <c r="BB28" s="6">
        <f>COUNTIFS(Table4[Country],Tabela1[[#This Row],[Country]],Table4[Marathon Classification],"&gt;0")</f>
        <v>0</v>
      </c>
      <c r="BC28" s="6">
        <f>COUNTIFS(Table5[Country],Tabela1[[#This Row],[Country]],Table5[Marathon Classification],"&gt;0")</f>
        <v>0</v>
      </c>
      <c r="BD28" s="6">
        <f>COUNTIFS(Table4[Country],Tabela1[[#This Row],[Country]],Table4[20km Race Walk Classification],"&gt;0")</f>
        <v>0</v>
      </c>
      <c r="BE28" s="6">
        <f>COUNTIFS(Table5[Country],Tabela1[[#This Row],[Country]],Table5[20km Race Walk Classification],"&gt;0")</f>
        <v>0</v>
      </c>
      <c r="BF28" s="6">
        <f>COUNTIFS(Tabela96[Country],Tabela1[[#This Row],[Country]],Tabela96[Mixed Marathon Race Walk Relay Classification],"&gt;0")</f>
        <v>0</v>
      </c>
      <c r="BG28" s="6">
        <f>COUNTIFS(Table4[Country],Tabela1[[#This Row],[Country]],Table4[Discus Throw Classification],"&gt;0")</f>
        <v>0</v>
      </c>
      <c r="BH28" s="6">
        <f>COUNTIFS(Table5[Country],Tabela1[[#This Row],[Country]],Table5[Discus Throw Classification],"&gt;0")</f>
        <v>0</v>
      </c>
      <c r="BI28" s="6">
        <f>COUNTIFS(Table4[Country],Tabela1[[#This Row],[Country]],Table4[Hammer Throw Classification],"&gt;0")</f>
        <v>0</v>
      </c>
      <c r="BJ28" s="6">
        <f>COUNTIFS(Table5[Country],Tabela1[[#This Row],[Country]],Table5[Hammer Throw Classification],"&gt;0")</f>
        <v>1</v>
      </c>
      <c r="BK28" s="6">
        <f>COUNTIFS(Table4[Country],Tabela1[[#This Row],[Country]],Table4[High Jump Classification],"&gt;0")</f>
        <v>0</v>
      </c>
      <c r="BL28" s="6">
        <f>COUNTIFS(Table5[Country],Tabela1[[#This Row],[Country]],Table5[High Jump Classification],"&gt;0")</f>
        <v>0</v>
      </c>
      <c r="BM28" s="6">
        <f>COUNTIFS(Table4[Country],Tabela1[[#This Row],[Country]],Table4[Javelin Throw Classification],"&gt;0")</f>
        <v>0</v>
      </c>
      <c r="BN28" s="6">
        <f>COUNTIFS(Table5[Country],Tabela1[[#This Row],[Country]],Table5[Javelin Throw Classification],"&gt;0")</f>
        <v>0</v>
      </c>
      <c r="BO28" s="6">
        <f>COUNTIFS(Table4[Country],Tabela1[[#This Row],[Country]],Table4[Long Jump Classification],"&gt;0")</f>
        <v>0</v>
      </c>
      <c r="BP28" s="6">
        <f>COUNTIFS(Table5[Country],Tabela1[[#This Row],[Country]],Table5[Long Jump Classification],"&gt;0")</f>
        <v>0</v>
      </c>
      <c r="BQ28" s="6">
        <f>COUNTIFS(Table4[Country],Tabela1[[#This Row],[Country]],Table4[Pole Vault Classification],"&gt;0")</f>
        <v>0</v>
      </c>
      <c r="BR28" s="6">
        <f>COUNTIFS(Table5[Country],Tabela1[[#This Row],[Country]],Table5[Pole Vault Classification],"&gt;0")</f>
        <v>0</v>
      </c>
      <c r="BS28" s="6">
        <f>COUNTIFS(Table4[Country],Tabela1[[#This Row],[Country]],Table4[Shot Put Classification],"&gt;0")</f>
        <v>1</v>
      </c>
      <c r="BT28" s="6">
        <f>COUNTIFS(Table5[Country],Tabela1[[#This Row],[Country]],Table5[Shot Put Classification],"&gt;0")</f>
        <v>0</v>
      </c>
      <c r="BU28" s="6">
        <f>COUNTIFS(Table4[Country],Tabela1[[#This Row],[Country]],Table4[Triple Jump Classification],"&gt;0")</f>
        <v>0</v>
      </c>
      <c r="BV28" s="6">
        <f>COUNTIFS(Table5[Country],Tabela1[[#This Row],[Country]],Table5[Triple Jump Classification],"&gt;0")</f>
        <v>0</v>
      </c>
      <c r="BW28" s="6">
        <f>COUNTIFS(Table4[Country],Tabela1[[#This Row],[Country]],Table4[Decathlon Classification],"&gt;0")</f>
        <v>0</v>
      </c>
      <c r="BX28" s="6">
        <f>COUNTIFS(Table5[Country],Tabela1[[#This Row],[Country]],Table5[Heptathlon Classification],"&gt;0")</f>
        <v>0</v>
      </c>
      <c r="BY28" s="6">
        <f>COUNTIFS(Table61[Country],Tabela1[[#This Row],[Country]],Table61[Classification],"&gt;0")</f>
        <v>0</v>
      </c>
      <c r="BZ28" s="6">
        <f>COUNTIFS(Table38[Country],Tabela1[[#This Row],[Country]],Table38[Classification],"&gt;0")</f>
        <v>0</v>
      </c>
      <c r="CA28" s="6">
        <f>COUNTIFS(Table39[Country],Tabela1[[#This Row],[Country]],Table39[Men''s Classification],"&gt;0")</f>
        <v>0</v>
      </c>
      <c r="CB28" s="6">
        <f>COUNTIFS(Table39[Country],Tabela1[[#This Row],[Country]],Table39[Women''s Classification],"&gt;0")</f>
        <v>0</v>
      </c>
      <c r="CC28" s="6">
        <f>COUNTIFS(Table39[Country],Tabela1[[#This Row],[Country]],Table39[Mixed Classification],"&gt;0")</f>
        <v>0</v>
      </c>
      <c r="CD28" s="6">
        <f>COUNTIFS(Table89[Country],Tabela1[[#This Row],[Country]],Table89[Men''s Classification],"&gt;0")</f>
        <v>0</v>
      </c>
      <c r="CE28" s="6">
        <f>COUNTIFS(Table89[Country],Tabela1[[#This Row],[Country]],Table89[Women''s Classification],"&gt;0")</f>
        <v>0</v>
      </c>
      <c r="CF28" s="6">
        <f>COUNTIFS(Table90[Country],Tabela1[[#This Row],[Country]],Table90[Men''s Classification],"&gt;0")</f>
        <v>0</v>
      </c>
      <c r="CG28" s="6">
        <f>COUNTIFS(Table90[Country],Tabela1[[#This Row],[Country]],Table90[Women''s Classification],"&gt;0")</f>
        <v>0</v>
      </c>
      <c r="CH28" s="6">
        <f>COUNTIFS(Table60[Country],Tabela1[[#This Row],[Country]],Table60[Men''s Classification],"&gt;0")</f>
        <v>0</v>
      </c>
      <c r="CI28" s="6">
        <f>COUNTIFS(Table60[Country],Tabela1[[#This Row],[Country]],Table60[Women''s Classification],"&gt;0")</f>
        <v>0</v>
      </c>
      <c r="CJ28" s="6">
        <f>COUNTIFS(Table6[Country],Tabela1[[#This Row],[Country]],Table6[51kg Classification],"&gt;0")</f>
        <v>0</v>
      </c>
      <c r="CK28" s="6">
        <f>COUNTIFS(Table6[Country],Tabela1[[#This Row],[Country]],Table6[57kg Classification],"&gt;0")</f>
        <v>0</v>
      </c>
      <c r="CL28" s="6">
        <f>COUNTIFS(Table6[Country],Tabela1[[#This Row],[Country]],Table6[63.5kg Classification],"&gt;0")</f>
        <v>0</v>
      </c>
      <c r="CM28" s="6">
        <f>COUNTIFS(Table6[Country],Tabela1[[#This Row],[Country]],Table6[71kg Classification],"&gt;0")</f>
        <v>0</v>
      </c>
      <c r="CN28" s="6">
        <f>COUNTIFS(Table6[Country],Tabela1[[#This Row],[Country]],Table6[80kg Classification],"&gt;0")</f>
        <v>0</v>
      </c>
      <c r="CO28" s="6">
        <f>COUNTIFS(Table6[Country],Tabela1[[#This Row],[Country]],Table6[92kg Classification],"&gt;0")</f>
        <v>0</v>
      </c>
      <c r="CP28" s="6">
        <f>COUNTIFS(Table6[Country],Tabela1[[#This Row],[Country]],Table6[Plus 92kg Classification],"&gt;0")</f>
        <v>0</v>
      </c>
      <c r="CQ28" s="6">
        <f>COUNTIFS(Table7[Country],Tabela1[[#This Row],[Country]],Table7[50kg Classification],"&gt;0")</f>
        <v>0</v>
      </c>
      <c r="CR28" s="6">
        <f>COUNTIFS(Table7[Country],Tabela1[[#This Row],[Country]],Table7[54kg Classification],"&gt;0")</f>
        <v>0</v>
      </c>
      <c r="CS28" s="6">
        <f>COUNTIFS(Table7[Country],Tabela1[[#This Row],[Country]],Table7[57kg Classification],"&gt;0")</f>
        <v>0</v>
      </c>
      <c r="CT28" s="6">
        <f>COUNTIFS(Table7[Country],Tabela1[[#This Row],[Country]],Table7[60kg Classification],"&gt;0")</f>
        <v>0</v>
      </c>
      <c r="CU28" s="6">
        <f>COUNTIFS(Table7[Country],Tabela1[[#This Row],[Country]],Table7[66kg Classification],"&gt;0")</f>
        <v>0</v>
      </c>
      <c r="CV28" s="6">
        <f>COUNTIFS(Table7[Country],Tabela1[[#This Row],[Country]],Table7[75kg Classification],"&gt;0")</f>
        <v>0</v>
      </c>
      <c r="CW28" s="6">
        <f>COUNTIFS(Tabela94[Country],Tabela1[[#This Row],[Country]],Tabela94[Classification],"&gt;0")</f>
        <v>0</v>
      </c>
      <c r="CX28" s="6">
        <f>COUNTIFS(Tabela9499[Country],Tabela1[[#This Row],[Country]],Tabela9499[Classification],"&gt;0")</f>
        <v>0</v>
      </c>
      <c r="CY28" s="6">
        <f>COUNTIFS(Tabela107[Country],Tabela1[[#This Row],[Country]],Tabela107[C1 Slalom Classification],"&gt;0")</f>
        <v>0</v>
      </c>
      <c r="CZ28" s="6">
        <f>COUNTIFS(Tabela107122[Country],Tabela1[[#This Row],[Country]],Tabela107122[C1 Slalom Classification],"&gt;0")</f>
        <v>0</v>
      </c>
      <c r="DA28" s="6">
        <f>COUNTIFS(Tabela107[Country],Tabela1[[#This Row],[Country]],Tabela107[K1 Slalom Classification],"&gt;0")</f>
        <v>0</v>
      </c>
      <c r="DB28" s="6">
        <f>COUNTIFS(Tabela107122[Country],Tabela1[[#This Row],[Country]],Tabela107122[K1 Slalom Classification],"&gt;0")</f>
        <v>0</v>
      </c>
      <c r="DC28" s="6">
        <f>COUNTIFS(Tabela107[Country],Tabela1[[#This Row],[Country]],Tabela107[Kayak Cross Slalom Classification],"&gt;0")</f>
        <v>0</v>
      </c>
      <c r="DD28" s="6">
        <f>COUNTIFS(Tabela107122[Country],Tabela1[[#This Row],[Country]],Tabela107122[Kayak Cross Slalom Classification],"&gt;0")</f>
        <v>0</v>
      </c>
      <c r="DE28" s="6">
        <f>COUNTIFS(Table8[Country],Tabela1[[#This Row],[Country]],Table8[C1 200m Classification],"&gt;0")</f>
        <v>0</v>
      </c>
      <c r="DF28" s="6">
        <f>COUNTIFS(Table40[Country],Tabela1[[#This Row],[Country]],Table40[C1 1000m Classification],"&gt;0")</f>
        <v>0</v>
      </c>
      <c r="DG28" s="6">
        <f>COUNTIFS(Table68[Country],Tabela1[[#This Row],[Country]],Table68[Men''s C2 500m Classification],"&gt;0")</f>
        <v>1</v>
      </c>
      <c r="DH28" s="6">
        <f>COUNTIFS(Table68[Country],Tabela1[[#This Row],[Country]],Table68[Women''s C2 500m Classification],"&gt;0")</f>
        <v>0</v>
      </c>
      <c r="DI28" s="6">
        <f>COUNTIFS(Table8[Country],Tabela1[[#This Row],[Country]],Table8[K1 500m Classification],"&gt;0")</f>
        <v>0</v>
      </c>
      <c r="DJ28" s="6">
        <f>COUNTIFS(Table40[Country],Tabela1[[#This Row],[Country]],Table40[K1 1000m Classification],"&gt;0")</f>
        <v>0</v>
      </c>
      <c r="DK28" s="6">
        <f>COUNTIFS(Table68[Country],Tabela1[[#This Row],[Country]],Table68[Men''s K2 500m Classification],"&gt;0")</f>
        <v>0</v>
      </c>
      <c r="DL28" s="6">
        <f>COUNTIFS(Table68[Country],Tabela1[[#This Row],[Country]],Table68[Women''s K2 500m Classification],"&gt;0")</f>
        <v>0</v>
      </c>
      <c r="DM28" s="6">
        <f>COUNTIFS(Table83[Country],Tabela1[[#This Row],[Country]],Table83[Men''s K4 500m Classification],"&gt;0")</f>
        <v>1</v>
      </c>
      <c r="DN28" s="6">
        <f>COUNTIFS(Table83[Country],Tabela1[[#This Row],[Country]],Table83[Women''s K4 500m Classification],"&gt;0")</f>
        <v>0</v>
      </c>
      <c r="DO28" s="6">
        <f>COUNTIFS(Tabela126[Country],Tabela1[[#This Row],[Country]],Tabela126[Classification],"&gt;0")</f>
        <v>0</v>
      </c>
      <c r="DP28" s="6">
        <f>COUNTIFS(Tabela126130[Country],Tabela1[[#This Row],[Country]],Tabela126130[Classification],"&gt;0")</f>
        <v>0</v>
      </c>
      <c r="DQ28" s="6">
        <f>COUNTIFS(Table70[Country],Tabela1[[#This Row],[Country]],Table70[Classification],"&gt;0")</f>
        <v>0</v>
      </c>
      <c r="DR28" s="6">
        <f>COUNTIFS(Table80[Country],Tabela1[[#This Row],[Country]],Table80[Classification],"&gt;0")</f>
        <v>0</v>
      </c>
      <c r="DS28" s="6">
        <f>COUNTIFS(Table66[Country],Tabela1[[#This Row],[Country]],Table66[Classification],"&gt;0")</f>
        <v>0</v>
      </c>
      <c r="DT28" s="6">
        <f>COUNTIFS(Table67[Country],Tabela1[[#This Row],[Country]],Table67[Classification],"&gt;0")</f>
        <v>0</v>
      </c>
      <c r="DU28" s="6">
        <f>COUNTIFS(Table69[Country],Tabela1[[#This Row],[Country]],Table69[Keirin Classification],"&gt;0")</f>
        <v>0</v>
      </c>
      <c r="DV28" s="6">
        <f>COUNTIFS(Table41[Country],Tabela1[[#This Row],[Country]],Table41[Keirin Classification],"&gt;0")</f>
        <v>1</v>
      </c>
      <c r="DW28" s="6">
        <f>COUNTIFS(Table84[Country],Tabela1[[#This Row],[Country]],Table84[Men''s Madison Classification],"&gt;0")</f>
        <v>0</v>
      </c>
      <c r="DX28" s="6">
        <f>COUNTIFS(Table84[Country],Tabela1[[#This Row],[Country]],Table84[Women''s Madison Classification],"&gt;0")</f>
        <v>0</v>
      </c>
      <c r="DY28" s="6">
        <f>COUNTIFS(Table69[Country],Tabela1[[#This Row],[Country]],Table69[Omnium Classification],"&gt;0")</f>
        <v>0</v>
      </c>
      <c r="DZ28" s="6">
        <f>COUNTIFS(Table41[Country],Tabela1[[#This Row],[Country]],Table41[Omnium Classification],"&gt;0")</f>
        <v>0</v>
      </c>
      <c r="EA28" s="6">
        <f>COUNTIFS(Table9[Country],Tabela1[[#This Row],[Country]],Table9[Road Race Classification],"&gt;0")</f>
        <v>1</v>
      </c>
      <c r="EB28" s="6">
        <f>COUNTIFS(Table14[Country],Tabela1[[#This Row],[Country]],Table14[Road Race Classification],"&gt;0")</f>
        <v>1</v>
      </c>
      <c r="EC28" s="6">
        <f>COUNTIFS(Table69[Country],Tabela1[[#This Row],[Country]],Table69[Sprint Classification],"&gt;0")</f>
        <v>0</v>
      </c>
      <c r="ED28" s="6">
        <f>COUNTIFS(Table41[Country],Tabela1[[#This Row],[Country]],Table41[Sprint Classification],"&gt;0")</f>
        <v>1</v>
      </c>
      <c r="EE28" s="6">
        <f>COUNTIFS(Table85[Country],Tabela1[[#This Row],[Country]],Table85[Men''s Sprint Classification],"&gt;0")</f>
        <v>0</v>
      </c>
      <c r="EF28" s="6">
        <f>COUNTIFS(Table85[Country],Tabela1[[#This Row],[Country]],Table85[Women''s Sprint Classification],"&gt;0")</f>
        <v>1</v>
      </c>
      <c r="EG28" s="6">
        <f>COUNTIFS(Table85[Country],Tabela1[[#This Row],[Country]],Table85[Men''s Pursuit Classification],"&gt;0")</f>
        <v>1</v>
      </c>
      <c r="EH28" s="6">
        <f>COUNTIFS(Table85[Country],Tabela1[[#This Row],[Country]],Table85[Women''s Pursuit Classification],"&gt;0")</f>
        <v>0</v>
      </c>
      <c r="EI28" s="6">
        <f>COUNTIFS(Table9[Country],Tabela1[[#This Row],[Country]],Table9[Time-Trial Classification],"&gt;0")</f>
        <v>1</v>
      </c>
      <c r="EJ28" s="6">
        <f>COUNTIFS(Table14[Country],Tabela1[[#This Row],[Country]],Table14[Time-Trial Classification],"&gt;0")</f>
        <v>0</v>
      </c>
      <c r="EK28" s="6">
        <f>COUNTIFS(Table42[Country],Tabela1[[#This Row],[Country]],Table42[Springboard Classification],"&gt;0")</f>
        <v>0</v>
      </c>
      <c r="EL28" s="6">
        <f>COUNTIFS(Table43[Country],Tabela1[[#This Row],[Country]],Table43[Springboard Classification],"&gt;0")</f>
        <v>0</v>
      </c>
      <c r="EM28" s="6">
        <f>COUNTIFS(Table42[Country],Tabela1[[#This Row],[Country]],Table42[Platform Classification],"&gt;0")</f>
        <v>0</v>
      </c>
      <c r="EN28" s="6">
        <f>COUNTIFS(Table43[Country],Tabela1[[#This Row],[Country]],Table43[Platform Classification],"&gt;0")</f>
        <v>0</v>
      </c>
      <c r="EO28" s="6">
        <f>COUNTIFS(Table86[Country],Tabela1[[#This Row],[Country]],Table86[Men''s Synchronized Springboard Classification],"&gt;0")</f>
        <v>0</v>
      </c>
      <c r="EP28" s="6">
        <f>COUNTIFS(Table86[Country],Tabela1[[#This Row],[Country]],Table86[Women''s Synchronized Springboard Classification],"&gt;0")</f>
        <v>0</v>
      </c>
      <c r="EQ28" s="6">
        <f>COUNTIFS(Table86[Country],Tabela1[[#This Row],[Country]],Table86[Men''s Synchronized Platform Classification],"&gt;0")</f>
        <v>0</v>
      </c>
      <c r="ER28" s="6">
        <f>COUNTIFS(Table86[Country],Tabela1[[#This Row],[Country]],Table86[Women''s Synchronized Platform Classification],"&gt;0")</f>
        <v>0</v>
      </c>
      <c r="ES28" s="6">
        <f>COUNTIFS(Table44[Country],Tabela1[[#This Row],[Country]],Table44[Dressage Classification],"&gt;0")</f>
        <v>1</v>
      </c>
      <c r="ET28" s="6">
        <f>COUNTIFS(Table45[Country],Tabela1[[#This Row],[Country]],Table45[Dressage Classification],"&gt;0")</f>
        <v>0</v>
      </c>
      <c r="EU28" s="6">
        <f>COUNTIFS(Table44[Country],Tabela1[[#This Row],[Country]],Table44[Eventing Classification],"&gt;0")</f>
        <v>2</v>
      </c>
      <c r="EV28" s="6">
        <f>COUNTIFS(Table45[Country],Tabela1[[#This Row],[Country]],Table45[Eventing Classification],"&gt;0")</f>
        <v>1</v>
      </c>
      <c r="EW28" s="6">
        <f>COUNTIFS(Table44[Country],Tabela1[[#This Row],[Country]],Table44[Jumping Classification],"&gt;0")</f>
        <v>0</v>
      </c>
      <c r="EX28" s="6">
        <f>COUNTIFS(Table45[Country],Tabela1[[#This Row],[Country]],Table45[Jumping Classification],"&gt;0")</f>
        <v>0</v>
      </c>
      <c r="EY28" s="6">
        <f>COUNTIFS(Table10[Country],Tabela1[[#This Row],[Country]],Table10[Épée Classification],"&gt;0")</f>
        <v>0</v>
      </c>
      <c r="EZ28" s="6">
        <f>COUNTIFS(Table11[Country],Tabela1[[#This Row],[Country]],Table11[Épée Classification],"&gt;0")</f>
        <v>0</v>
      </c>
      <c r="FA28" s="6">
        <f>COUNTIFS(Table46[Country],Tabela1[[#This Row],[Country]],Table46[Men''s Épée Classification],"&gt;0")</f>
        <v>0</v>
      </c>
      <c r="FB28" s="6">
        <f>COUNTIFS(Table46[Country],Tabela1[[#This Row],[Country]],Table46[Women''s Épée Classification],"&gt;0")</f>
        <v>0</v>
      </c>
      <c r="FC28" s="6">
        <f>COUNTIFS(Table10[Country],Tabela1[[#This Row],[Country]],Table10[Foil Classification],"&gt;0")</f>
        <v>0</v>
      </c>
      <c r="FD28" s="6">
        <f>COUNTIFS(Table11[Country],Tabela1[[#This Row],[Country]],Table11[Foil Classification],"&gt;0")</f>
        <v>0</v>
      </c>
      <c r="FE28" s="6">
        <f>COUNTIFS(Table46[Country],Tabela1[[#This Row],[Country]],Table46[Men''s Foil Classification],"&gt;0")</f>
        <v>0</v>
      </c>
      <c r="FF28" s="6">
        <f>COUNTIFS(Table46[Country],Tabela1[[#This Row],[Country]],Table46[Women''s Foil Classification],"&gt;0")</f>
        <v>0</v>
      </c>
      <c r="FG28" s="6">
        <f>COUNTIFS(Table10[Country],Tabela1[[#This Row],[Country]],Table10[Sabre Classification],"&gt;0")</f>
        <v>0</v>
      </c>
      <c r="FH28" s="6">
        <f>COUNTIFS(Table11[Country],Tabela1[[#This Row],[Country]],Table11[Sabre Classification],"&gt;0")</f>
        <v>0</v>
      </c>
      <c r="FI28" s="6">
        <f>COUNTIFS(Table46[Country],Tabela1[[#This Row],[Country]],Table46[Men''s Sabre Classification],"&gt;0")</f>
        <v>0</v>
      </c>
      <c r="FJ28" s="6">
        <f>COUNTIFS(Table46[Country],Tabela1[[#This Row],[Country]],Table46[Women''s Sabre Classification],"&gt;0")</f>
        <v>0</v>
      </c>
      <c r="FK28" s="6">
        <f>COUNTIFS(Table91[Country],Tabela1[[#This Row],[Country]],Table91[Men''s Classification],"&gt;0")</f>
        <v>1</v>
      </c>
      <c r="FL28" s="6">
        <f>COUNTIFS(Table91[Country],Tabela1[[#This Row],[Country]],Table91[Women''s Classification],"&gt;0")</f>
        <v>0</v>
      </c>
      <c r="FM28" s="6">
        <f>COUNTIFS(Table9194[Country],Tabela1[[#This Row],[Country]],Table9194[Men''s Classification],"&gt;0")</f>
        <v>1</v>
      </c>
      <c r="FN28" s="6">
        <f>COUNTIFS(Table9194[Country],Tabela1[[#This Row],[Country]],Table9194[Women''s Classification],"&gt;0")</f>
        <v>1</v>
      </c>
      <c r="FO28" s="6">
        <f>COUNTIFS(Table71[Country],Tabela1[[#This Row],[Country]],Table71[Classification],"&gt;0")</f>
        <v>0</v>
      </c>
      <c r="FP28" s="6">
        <f>COUNTIFS(Table62[Country],Tabela1[[#This Row],[Country]],Table62[Classification],"&gt;0")</f>
        <v>0</v>
      </c>
      <c r="FQ28" s="6">
        <f>COUNTIFS(Table47[Country],Tabela1[[#This Row],[Country]],Table47[All-Around Classification],"&gt;0")</f>
        <v>0</v>
      </c>
      <c r="FR28" s="6">
        <f>COUNTIFS(Table48[Country],Tabela1[[#This Row],[Country]],Table48[All-Around Classification],"&gt;0")</f>
        <v>1</v>
      </c>
      <c r="FS28" s="6">
        <f>COUNTIFS(Table81[Country],Tabela1[[#This Row],[Country]],Table81[Men''s All-Around Classification],"&gt;0")</f>
        <v>0</v>
      </c>
      <c r="FT28" s="6">
        <f>COUNTIFS(Table81[Country],Tabela1[[#This Row],[Country]],Table81[Women''s All-Around Classification],"&gt;0")</f>
        <v>0</v>
      </c>
      <c r="FU28" s="6">
        <f>COUNTIFS(Table48[Country],Tabela1[[#This Row],[Country]],Table48[Balance Beam Classification],"&gt;0")</f>
        <v>1</v>
      </c>
      <c r="FV28" s="6">
        <f>COUNTIFS(Table47[Country],Tabela1[[#This Row],[Country]],Table47[Floor Exercise Classification],"&gt;0")</f>
        <v>0</v>
      </c>
      <c r="FW28" s="6">
        <f>COUNTIFS(Table48[Country],Tabela1[[#This Row],[Country]],Table48[Floor Exercise Classification],"&gt;0")</f>
        <v>1</v>
      </c>
      <c r="FX28" s="6">
        <f>COUNTIFS(Table47[Country],Tabela1[[#This Row],[Country]],Table47[Horizontal Bar Classification],"&gt;0")</f>
        <v>0</v>
      </c>
      <c r="FY28" s="6">
        <f>COUNTIFS(Table47[Country],Tabela1[[#This Row],[Country]],Table47[Parallel Bars Classification],"&gt;0")</f>
        <v>0</v>
      </c>
      <c r="FZ28" s="6">
        <f>COUNTIFS(Table47[Country],Tabela1[[#This Row],[Country]],Table47[Pommel Horse Classification],"&gt;0")</f>
        <v>0</v>
      </c>
      <c r="GA28" s="6">
        <f>COUNTIFS(Table47[Country],Tabela1[[#This Row],[Country]],Table47[Rings Classification],"&gt;0")</f>
        <v>0</v>
      </c>
      <c r="GB28" s="6">
        <f>COUNTIFS(Tabela132[Country],Tabela1[[#This Row],[Country]],Tabela132[Classification],"&gt;0")</f>
        <v>0</v>
      </c>
      <c r="GC28" s="6">
        <f>COUNTIFS(Tabela139[Country],Tabela1[[#This Row],[Country]],Tabela139[Classification],"&gt;0")</f>
        <v>1</v>
      </c>
      <c r="GD28" s="6">
        <f>COUNTIFS(Table48[Country],Tabela1[[#This Row],[Country]],Table48[Uneven Bars Classification],"&gt;0")</f>
        <v>1</v>
      </c>
      <c r="GE28" s="6">
        <f>COUNTIFS(Table47[Country],Tabela1[[#This Row],[Country]],Table47[Vault Classification],"&gt;0")</f>
        <v>0</v>
      </c>
      <c r="GF28" s="6">
        <f>COUNTIFS(Table48[Country],Tabela1[[#This Row],[Country]],Table48[Vault Classification],"&gt;0")</f>
        <v>0</v>
      </c>
      <c r="GG28" s="6">
        <f>COUNTIFS(Table919496[Country],Tabela1[[#This Row],[Country]],Table919496[Men''s Classification],"&gt;0")</f>
        <v>0</v>
      </c>
      <c r="GH28" s="6">
        <f>COUNTIFS(Table919496[Country],Tabela1[[#This Row],[Country]],Table919496[Women''s Classification],"&gt;0")</f>
        <v>0</v>
      </c>
      <c r="GI28" s="6">
        <f>COUNTIFS(Table12[Country],Tabela1[[#This Row],[Country]],Table12[60kg Classification],"&gt;0")</f>
        <v>0</v>
      </c>
      <c r="GJ28" s="6">
        <f>COUNTIFS(Table12[Country],Tabela1[[#This Row],[Country]],Table12[66kg Classification],"&gt;0")</f>
        <v>0</v>
      </c>
      <c r="GK28" s="6">
        <f>COUNTIFS(Table12[Country],Tabela1[[#This Row],[Country]],Table12[73kg Classification],"&gt;0")</f>
        <v>0</v>
      </c>
      <c r="GL28" s="6">
        <f>COUNTIFS(Table12[Country],Tabela1[[#This Row],[Country]],Table12[81kg Classification],"&gt;0")</f>
        <v>0</v>
      </c>
      <c r="GM28" s="6">
        <f>COUNTIFS(Table12[Country],Tabela1[[#This Row],[Country]],Table12[90kg Classification],"&gt;0")</f>
        <v>0</v>
      </c>
      <c r="GN28" s="6">
        <f>COUNTIFS(Table12[Country],Tabela1[[#This Row],[Country]],Table12[100kg Classification],"&gt;0")</f>
        <v>0</v>
      </c>
      <c r="GO28" s="6">
        <f>COUNTIFS(Table12[Country],Tabela1[[#This Row],[Country]],Table12[Plus 100kg Classification],"&gt;0")</f>
        <v>0</v>
      </c>
      <c r="GP28" s="6">
        <f>COUNTIFS(Table13[Country],Tabela1[[#This Row],[Country]],Table13[48kg Classification],"&gt;0")</f>
        <v>0</v>
      </c>
      <c r="GQ28" s="6">
        <f>COUNTIFS(Table13[Country],Tabela1[[#This Row],[Country]],Table13[52kg Classification],"&gt;0")</f>
        <v>0</v>
      </c>
      <c r="GR28" s="6">
        <f>COUNTIFS(Table13[Country],Tabela1[[#This Row],[Country]],Table13[57kg Classification],"&gt;0")</f>
        <v>0</v>
      </c>
      <c r="GS28" s="6">
        <f>COUNTIFS(Table13[Country],Tabela1[[#This Row],[Country]],Table13[63kg Classification],"&gt;0")</f>
        <v>0</v>
      </c>
      <c r="GT28" s="6">
        <f>COUNTIFS(Table13[Country],Tabela1[[#This Row],[Country]],Table13[70kg Classification],"&gt;0")</f>
        <v>0</v>
      </c>
      <c r="GU28" s="6">
        <f>COUNTIFS(Table13[Country],Tabela1[[#This Row],[Country]],Table13[78kg Classification],"&gt;0")</f>
        <v>0</v>
      </c>
      <c r="GV28" s="6">
        <f>COUNTIFS(Table13[Country],Tabela1[[#This Row],[Country]],Table13[Plus 78kg Classification],"&gt;0")</f>
        <v>0</v>
      </c>
      <c r="GW28" s="6">
        <f>COUNTIFS(Table82[Country],Tabela1[[#This Row],[Country]],Table82[Mixed Classification],"&gt;0")</f>
        <v>0</v>
      </c>
      <c r="GX28" s="6">
        <f>COUNTIFS(Table51[Country],Tabela1[[#This Row],[Country]],Table51[Classification],"&gt;0")</f>
        <v>0</v>
      </c>
      <c r="GY28" s="6">
        <f>COUNTIFS(Table52[Country],Tabela1[[#This Row],[Country]],Table52[Classification],"&gt;0")</f>
        <v>0</v>
      </c>
      <c r="GZ28" s="6">
        <f>COUNTIFS(Table32[Country],Tabela1[[#This Row],[Country]],Table32[All-Around Classification],"&gt;0")</f>
        <v>0</v>
      </c>
      <c r="HA28" s="6">
        <f>COUNTIFS(Table49[Country],Tabela1[[#This Row],[Country]],Table49[All-Around Classification],"&gt;0")</f>
        <v>0</v>
      </c>
      <c r="HB28" s="6">
        <f>COUNTIFS(Table26[Country],Tabela1[[#This Row],[Country]],Table26[Single Sculls Classification],"&gt;0")</f>
        <v>0</v>
      </c>
      <c r="HC28" s="6">
        <f>COUNTIFS(Table63[Country],Tabela1[[#This Row],[Country]],Table63[Single Sculls Classification],"&gt;0")</f>
        <v>0</v>
      </c>
      <c r="HD28" s="6">
        <f>COUNTIFS(Table16[Country],Tabela1[[#This Row],[Country]],Table16[Men''s Double Sculls Classification],"&gt;0")</f>
        <v>0</v>
      </c>
      <c r="HE28" s="6">
        <f>COUNTIFS(Table16[Country],Tabela1[[#This Row],[Country]],Table16[Women''s Double Sculls Classification],"&gt;0")</f>
        <v>1</v>
      </c>
      <c r="HF28" s="6">
        <f>COUNTIFS(Table72[Country],Tabela1[[#This Row],[Country]],Table72[Men''s Quadruple Sculls Classification],"&gt;0")</f>
        <v>0</v>
      </c>
      <c r="HG28" s="6">
        <f>COUNTIFS(Table72[Country],Tabela1[[#This Row],[Country]],Table72[Women''s Quadruple Sculls Classification],"&gt;0")</f>
        <v>0</v>
      </c>
      <c r="HH28" s="6">
        <f>COUNTIFS(Table16[Country],Tabela1[[#This Row],[Country]],Table16[Men''s Coxless Pairs Classification],"&gt;0")</f>
        <v>0</v>
      </c>
      <c r="HI28" s="6">
        <f>COUNTIFS(Table16[Country],Tabela1[[#This Row],[Country]],Table16[Women''s Coxless Pairs Classification],"&gt;0")</f>
        <v>0</v>
      </c>
      <c r="HJ28" s="6">
        <f>COUNTIFS(Table72[Country],Tabela1[[#This Row],[Country]],Table72[Men''s Coxless Fours Classification],"&gt;0")</f>
        <v>1</v>
      </c>
      <c r="HK28" s="6">
        <f>COUNTIFS(Table72[Country],Tabela1[[#This Row],[Country]],Table72[Women''s Coxless Fours Classification],"&gt;0")</f>
        <v>1</v>
      </c>
      <c r="HL28" s="6">
        <f>COUNTIFS(Table72[Country],Tabela1[[#This Row],[Country]],Table72[Men''s Eights Classification],"&gt;0")</f>
        <v>0</v>
      </c>
      <c r="HM28" s="6">
        <f>COUNTIFS(Table72[Country],Tabela1[[#This Row],[Country]],Table72[Women''s Eights Classification],"&gt;0")</f>
        <v>0</v>
      </c>
      <c r="HN28" s="6">
        <f>COUNTIFS(Table16[Country],Tabela1[[#This Row],[Country]],Table16[Men''s Lwt. Double Sculls Classification],"&gt;0")</f>
        <v>0</v>
      </c>
      <c r="HO28" s="6">
        <f>COUNTIFS(Table16[Country],Tabela1[[#This Row],[Country]],Table16[Women''s Lwt. Double Sculls Classification],"&gt;0")</f>
        <v>1</v>
      </c>
      <c r="HP28" s="6">
        <f>COUNTIFS(Table91949698[Country],Tabela1[[#This Row],[Country]],Table91949698[Men''s Classification],"&gt;0")</f>
        <v>0</v>
      </c>
      <c r="HQ28" s="6">
        <f>COUNTIFS(Table91949698[Country],Tabela1[[#This Row],[Country]],Table91949698[Women''s Classification],"&gt;0")</f>
        <v>1</v>
      </c>
      <c r="HR28" s="6">
        <f>COUNTIFS(Table25[Country],Tabela1[[#This Row],[Country]],Table25[Mixed 470 Classification],"&gt;0")</f>
        <v>0</v>
      </c>
      <c r="HS28" s="6">
        <f>COUNTIFS(Table25[Country],Tabela1[[#This Row],[Country]],Table25[Men''s 49er Classification],"&gt;0")</f>
        <v>0</v>
      </c>
      <c r="HT28" s="6">
        <f>COUNTIFS(Table25[Country],Tabela1[[#This Row],[Country]],Table25[Women''s 49er FX Classification],"&gt;0")</f>
        <v>0</v>
      </c>
      <c r="HU28" s="6">
        <f>COUNTIFS(Table17[Country],Tabela1[[#This Row],[Country]],Table17[Formula Kite Classification],"&gt;0")</f>
        <v>0</v>
      </c>
      <c r="HV28" s="6">
        <f>COUNTIFS(Table18[Country],Tabela1[[#This Row],[Country]],Table18[Formula Kite Classification],"&gt;0")</f>
        <v>0</v>
      </c>
      <c r="HW28" s="6">
        <f>COUNTIFS(Table17[Country],Tabela1[[#This Row],[Country]],Table17[ILCA 7 Classification],"&gt;0")</f>
        <v>0</v>
      </c>
      <c r="HX28" s="6">
        <f>COUNTIFS(Table18[Country],Tabela1[[#This Row],[Country]],Table18[ILCA 6 Classification],"&gt;0")</f>
        <v>0</v>
      </c>
      <c r="HY28" s="6">
        <f>COUNTIFS(Table17[Country],Tabela1[[#This Row],[Country]],Table17[IQFoil Classification],"&gt;0")</f>
        <v>0</v>
      </c>
      <c r="HZ28" s="6">
        <f>COUNTIFS(Table18[Country],Tabela1[[#This Row],[Country]],Table18[IQFoil Classification],"&gt;0")</f>
        <v>0</v>
      </c>
      <c r="IA28" s="6">
        <f>COUNTIFS(Table25[Country],Tabela1[[#This Row],[Country]],Table25[Mixed Nacra 17 Classification],"&gt;0")</f>
        <v>0</v>
      </c>
      <c r="IB28" s="6">
        <f>COUNTIFS(Table53[Country],Tabela1[[#This Row],[Country]],Table53[10m Air Pistol Classification],"&gt;0")</f>
        <v>0</v>
      </c>
      <c r="IC28" s="6">
        <f>COUNTIFS(Table19[Country],Tabela1[[#This Row],[Country]],Table19[10m Air Pistol Classification],"&gt;0")</f>
        <v>0</v>
      </c>
      <c r="ID28" s="6">
        <f>COUNTIFS(Table54[Country],Tabela1[[#This Row],[Country]],Table54[Mixed 10m Air Pistol Team Classification],"&gt;0")</f>
        <v>0</v>
      </c>
      <c r="IE28" s="6">
        <f>COUNTIFS(Table53[Country],Tabela1[[#This Row],[Country]],Table53[10m Air Rifle Classification],"&gt;0")</f>
        <v>0</v>
      </c>
      <c r="IF28" s="6">
        <f>COUNTIFS(Table19[Country],Tabela1[[#This Row],[Country]],Table19[10m Air Rifle Classification],"&gt;0")</f>
        <v>0</v>
      </c>
      <c r="IG28" s="6">
        <f>COUNTIFS(Table54[Country],Tabela1[[#This Row],[Country]],Table54[Mixed 10m Air Rifle Team Classification],"&gt;0")</f>
        <v>0</v>
      </c>
      <c r="IH28" s="6">
        <f>COUNTIFS(Table53[Country],Tabela1[[#This Row],[Country]],Table53[25m Rapid Fire Pistol Classification],"&gt;0")</f>
        <v>0</v>
      </c>
      <c r="II28" s="6">
        <f>COUNTIFS(Table19[Country],Tabela1[[#This Row],[Country]],Table19[25m Pistol Classification],"&gt;0")</f>
        <v>0</v>
      </c>
      <c r="IJ28" s="6">
        <f>COUNTIFS(Table53[Country],Tabela1[[#This Row],[Country]],Table53[50m Rifle 3 Positions Classification],"&gt;0")</f>
        <v>0</v>
      </c>
      <c r="IK28" s="6">
        <f>COUNTIFS(Table19[Country],Tabela1[[#This Row],[Country]],Table19[50m Rifle 3 Positions Classification],"&gt;0")</f>
        <v>0</v>
      </c>
      <c r="IL28" s="6">
        <f>COUNTIFS(Table53[Country],Tabela1[[#This Row],[Country]],Table53[Skeet Classification],"&gt;0")</f>
        <v>0</v>
      </c>
      <c r="IM28" s="6">
        <f>COUNTIFS(Table19[Country],Tabela1[[#This Row],[Country]],Table19[Skeet Classification],"&gt;0")</f>
        <v>1</v>
      </c>
      <c r="IN28" s="6">
        <f>COUNTIFS(Table54[Country],Tabela1[[#This Row],[Country]],Table54[Mixed Skeet Team Classification],"&gt;0")</f>
        <v>0</v>
      </c>
      <c r="IO28" s="6">
        <f>COUNTIFS(Table53[Country],Tabela1[[#This Row],[Country]],Table53[Trap Classification],"&gt;0")</f>
        <v>0</v>
      </c>
      <c r="IP28" s="6">
        <f>COUNTIFS(Table19[Country],Tabela1[[#This Row],[Country]],Table19[Trap Classification],"&gt;0")</f>
        <v>0</v>
      </c>
      <c r="IQ28" s="6">
        <f>COUNTIFS(Table73[Country],Tabela1[[#This Row],[Country]],Table73[Park Classification],"&gt;0")</f>
        <v>0</v>
      </c>
      <c r="IR28" s="6">
        <f>COUNTIFS(Table74[Country],Tabela1[[#This Row],[Country]],Table74[Park Classification],"&gt;0")</f>
        <v>0</v>
      </c>
      <c r="IS28" s="6">
        <f>COUNTIFS(Table73[Country],Tabela1[[#This Row],[Country]],Table73[Street Classification],"&gt;0")</f>
        <v>0</v>
      </c>
      <c r="IT28" s="6">
        <f>COUNTIFS(Table74[Country],Tabela1[[#This Row],[Country]],Table74[Street Classification],"&gt;0")</f>
        <v>0</v>
      </c>
      <c r="IU28" s="6">
        <f>COUNTIFS(Table75[Country],Tabela1[[#This Row],[Country]],Table75[Boulder and Lead Classification],"&gt;0")</f>
        <v>0</v>
      </c>
      <c r="IV28" s="6">
        <f>COUNTIFS(Table76[Country],Tabela1[[#This Row],[Country]],Table76[Boulder and Lead Classification],"&gt;0")</f>
        <v>0</v>
      </c>
      <c r="IW28" s="6">
        <f>COUNTIFS(Table75[Country],Tabela1[[#This Row],[Country]],Table75[Speed Classification],"&gt;0")</f>
        <v>0</v>
      </c>
      <c r="IX28" s="6">
        <f>COUNTIFS(Table76[Country],Tabela1[[#This Row],[Country]],Table76[Speed Classification],"&gt;0")</f>
        <v>0</v>
      </c>
      <c r="IY28" s="6">
        <f>COUNTIFS(Table64[Country],Tabela1[[#This Row],[Country]],Table64[Shortboard Classification],"&gt;0")</f>
        <v>0</v>
      </c>
      <c r="IZ28" s="6">
        <f>COUNTIFS(Table77[Country],Tabela1[[#This Row],[Country]],Table77[Shortboard Classification],"&gt;0")</f>
        <v>0</v>
      </c>
      <c r="JA28" s="6">
        <f>COUNTIFS(Table20[Country],Tabela1[[#This Row],[Country]],Table20[50m Freestyle Classification],"&gt;0")</f>
        <v>1</v>
      </c>
      <c r="JB28" s="6">
        <f>COUNTIFS(Table21[Country],Tabela1[[#This Row],[Country]],Table21[50m Freestyle Classification],"&gt;0")</f>
        <v>0</v>
      </c>
      <c r="JC28" s="6">
        <f>COUNTIFS(Table20[Country],Tabela1[[#This Row],[Country]],Table20[100m Freestyle Classification],"&gt;0")</f>
        <v>0</v>
      </c>
      <c r="JD28" s="6">
        <f>COUNTIFS(Table21[Country],Tabela1[[#This Row],[Country]],Table21[100m Freestyle Classification],"&gt;0")</f>
        <v>0</v>
      </c>
      <c r="JE28" s="6">
        <f>COUNTIFS(Table20[Country],Tabela1[[#This Row],[Country]],Table20[200m Freestyle Classification],"&gt;0")</f>
        <v>0</v>
      </c>
      <c r="JF28" s="6">
        <f>COUNTIFS(Table21[Country],Tabela1[[#This Row],[Country]],Table21[200m Freestyle Classification],"&gt;0")</f>
        <v>0</v>
      </c>
      <c r="JG28" s="6">
        <f>COUNTIFS(Table20[Country],Tabela1[[#This Row],[Country]],Table20[400m Freestyle Classification],"&gt;0")</f>
        <v>0</v>
      </c>
      <c r="JH28" s="6">
        <f>COUNTIFS(Table21[Country],Tabela1[[#This Row],[Country]],Table21[400m Freestyle Classification],"&gt;0")</f>
        <v>0</v>
      </c>
      <c r="JI28" s="6">
        <f>COUNTIFS(Table20[Country],Tabela1[[#This Row],[Country]],Table20[800m Freestyle Classification],"&gt;0")</f>
        <v>0</v>
      </c>
      <c r="JJ28" s="6">
        <f>COUNTIFS(Table21[Country],Tabela1[[#This Row],[Country]],Table21[800m Freestyle Classification],"&gt;0")</f>
        <v>0</v>
      </c>
      <c r="JK28" s="6">
        <f>COUNTIFS(Table20[Country],Tabela1[[#This Row],[Country]],Table20[1500m Freestyle Classification],"&gt;0")</f>
        <v>0</v>
      </c>
      <c r="JL28" s="6">
        <f>COUNTIFS(Table21[Country],Tabela1[[#This Row],[Country]],Table21[1500m Freestyle Classification],"&gt;0")</f>
        <v>0</v>
      </c>
      <c r="JM28" s="6">
        <f>COUNTIFS(Table20[Country],Tabela1[[#This Row],[Country]],Table20[100m Backstroke Classification],"&gt;0")</f>
        <v>0</v>
      </c>
      <c r="JN28" s="6">
        <f>COUNTIFS(Table21[Country],Tabela1[[#This Row],[Country]],Table21[100m Backstroke Classification],"&gt;0")</f>
        <v>0</v>
      </c>
      <c r="JO28" s="6">
        <f>COUNTIFS(Table20[Country],Tabela1[[#This Row],[Country]],Table20[200m Backstroke Classification],"&gt;0")</f>
        <v>0</v>
      </c>
      <c r="JP28" s="6">
        <f>COUNTIFS(Table21[Country],Tabela1[[#This Row],[Country]],Table21[200m Backstroke Classification],"&gt;0")</f>
        <v>0</v>
      </c>
      <c r="JQ28" s="6">
        <f>COUNTIFS(Table20[Country],Tabela1[[#This Row],[Country]],Table20[100m Breaststroke Classification],"&gt;0")</f>
        <v>0</v>
      </c>
      <c r="JR28" s="6">
        <f>COUNTIFS(Table21[Country],Tabela1[[#This Row],[Country]],Table21[100m Breaststroke Classification],"&gt;0")</f>
        <v>0</v>
      </c>
      <c r="JS28" s="6">
        <f>COUNTIFS(Table20[Country],Tabela1[[#This Row],[Country]],Table20[200m Breaststroke Classification],"&gt;0")</f>
        <v>0</v>
      </c>
      <c r="JT28" s="6">
        <f>COUNTIFS(Table21[Country],Tabela1[[#This Row],[Country]],Table21[200m Breaststroke Classification],"&gt;0")</f>
        <v>0</v>
      </c>
      <c r="JU28" s="6">
        <f>COUNTIFS(Table20[Country],Tabela1[[#This Row],[Country]],Table20[100m Butterfly Classification],"&gt;0")</f>
        <v>0</v>
      </c>
      <c r="JV28" s="6">
        <f>COUNTIFS(Table21[Country],Tabela1[[#This Row],[Country]],Table21[100m Butterfly Classification],"&gt;0")</f>
        <v>0</v>
      </c>
      <c r="JW28" s="6">
        <f>COUNTIFS(Table20[Country],Tabela1[[#This Row],[Country]],Table20[200m Butterfly Classification],"&gt;0")</f>
        <v>0</v>
      </c>
      <c r="JX28" s="6">
        <f>COUNTIFS(Table21[Country],Tabela1[[#This Row],[Country]],Table21[200m Butterfly Classification],"&gt;0")</f>
        <v>0</v>
      </c>
      <c r="JY28" s="6">
        <f>COUNTIFS(Table20[Country],Tabela1[[#This Row],[Country]],Table20[200m Medley Classification],"&gt;0")</f>
        <v>0</v>
      </c>
      <c r="JZ28" s="6">
        <f>COUNTIFS(Table21[Country],Tabela1[[#This Row],[Country]],Table21[200m Medley Classification],"&gt;0")</f>
        <v>0</v>
      </c>
      <c r="KA28" s="6">
        <f>COUNTIFS(Table20[Country],Tabela1[[#This Row],[Country]],Table20[400m Medley Classification],"&gt;0")</f>
        <v>0</v>
      </c>
      <c r="KB28" s="6">
        <f>COUNTIFS(Table21[Country],Tabela1[[#This Row],[Country]],Table21[400m Medley Classification],"&gt;0")</f>
        <v>0</v>
      </c>
      <c r="KC28" s="6">
        <f>COUNTIFS(Table78[Country],Tabela1[[#This Row],[Country]],Table78[Men''s 4x100m Freestyle Relay Classification],"&gt;0")</f>
        <v>0</v>
      </c>
      <c r="KD28" s="6">
        <f>COUNTIFS(Table78[Country],Tabela1[[#This Row],[Country]],Table78[Women''s 4x100m Freestyle Relay Classification],"&gt;0")</f>
        <v>0</v>
      </c>
      <c r="KE28" s="6">
        <f>COUNTIFS(Table78[Country],Tabela1[[#This Row],[Country]],Table78[Men''s 4x200m Freestyle Relay Classification],"&gt;0")</f>
        <v>0</v>
      </c>
      <c r="KF28" s="6">
        <f>COUNTIFS(Table78[Country],Tabela1[[#This Row],[Country]],Table78[Women''s 4x200m Freestyle Relay Classification],"&gt;0")</f>
        <v>0</v>
      </c>
      <c r="KG28" s="6">
        <f>COUNTIFS(Table78[Country],Tabela1[[#This Row],[Country]],Table78[Men''s 4x100m Medley Relay Classification],"&gt;0")</f>
        <v>0</v>
      </c>
      <c r="KH28" s="6">
        <f>COUNTIFS(Table78[Country],Tabela1[[#This Row],[Country]],Table78[Women''s 4x100m Medley Relay Classification],"&gt;0")</f>
        <v>0</v>
      </c>
      <c r="KI28" s="6">
        <f>COUNTIFS(Table78[Country],Tabela1[[#This Row],[Country]],Table78[Mixed 4x100m Medley Relay Classification],"&gt;0")</f>
        <v>0</v>
      </c>
      <c r="KJ28" s="6">
        <f>COUNTIFS(Table20[Country],Tabela1[[#This Row],[Country]],Table20[10km Open Water Classification],"&gt;0")</f>
        <v>0</v>
      </c>
      <c r="KK28" s="6">
        <f>COUNTIFS(Table21[Country],Tabela1[[#This Row],[Country]],Table21[10km Open Water Classification],"&gt;0")</f>
        <v>0</v>
      </c>
      <c r="KL28" s="6">
        <f>COUNTIFS(Table22[Country],Tabela1[[#This Row],[Country]],Table22[Classification],"&gt;0")</f>
        <v>0</v>
      </c>
      <c r="KM28" s="6">
        <f>COUNTIFS(Table30[Country],Tabela1[[#This Row],[Country]],Table30[Classification],"&gt;0")</f>
        <v>0</v>
      </c>
      <c r="KN28" s="6">
        <f>COUNTIFS(Table55[Country],Tabela1[[#This Row],[Country]],Table55[Men''s Classification],"&gt;0")</f>
        <v>0</v>
      </c>
      <c r="KO28" s="6">
        <f>COUNTIFS(Table55[Country],Tabela1[[#This Row],[Country]],Table55[Women''s Classification],"&gt;0")</f>
        <v>0</v>
      </c>
      <c r="KP28" s="6">
        <f>COUNTIFS(Table56[Country],Tabela1[[#This Row],[Country]],Table56[Mixed Classification],"&gt;0")</f>
        <v>0</v>
      </c>
      <c r="KQ28" s="6">
        <f>COUNTIFS(Table29[Country],Tabela1[[#This Row],[Country]],Table29[58kg Classification],"&gt;0")</f>
        <v>0</v>
      </c>
      <c r="KR28" s="6">
        <f>COUNTIFS(Table29[Country],Tabela1[[#This Row],[Country]],Table29[68kg Classification],"&gt;0")</f>
        <v>0</v>
      </c>
      <c r="KS28" s="6">
        <f>COUNTIFS(Table29[Country],Tabela1[[#This Row],[Country]],Table29[80kg Classification],"&gt;0")</f>
        <v>0</v>
      </c>
      <c r="KT28" s="6">
        <f>COUNTIFS(Table29[Country],Tabela1[[#This Row],[Country]],Table29[Plus 80kg Classification],"&gt;0")</f>
        <v>0</v>
      </c>
      <c r="KU28" s="6">
        <f>COUNTIFS(Table34[Country],Tabela1[[#This Row],[Country]],Table34[49kg Classification],"&gt;0")</f>
        <v>0</v>
      </c>
      <c r="KV28" s="6">
        <f>COUNTIFS(Table34[Country],Tabela1[[#This Row],[Country]],Table34[57kg Classification],"&gt;0")</f>
        <v>0</v>
      </c>
      <c r="KW28" s="6">
        <f>COUNTIFS(Table34[Country],Tabela1[[#This Row],[Country]],Table34[67kg Classification],"&gt;0")</f>
        <v>0</v>
      </c>
      <c r="KX28" s="6">
        <f>COUNTIFS(Table34[Country],Tabela1[[#This Row],[Country]],Table34[Plus 67kg Classification],"&gt;0")</f>
        <v>0</v>
      </c>
      <c r="KY28" s="6">
        <f>COUNTIFS(Table57[Country],Tabela1[[#This Row],[Country]],Table57[Classification],"&gt;0")</f>
        <v>0</v>
      </c>
      <c r="KZ28" s="6">
        <f>COUNTIFS(Table58[Country],Tabela1[[#This Row],[Country]],Table58[Classification],"&gt;0")</f>
        <v>0</v>
      </c>
      <c r="LA28" s="6">
        <f>COUNTIFS(Table79[Country],Tabela1[[#This Row],[Country]],Table79[Men''s Classification],"&gt;0")</f>
        <v>0</v>
      </c>
      <c r="LB28" s="6">
        <f>COUNTIFS(Table79[Country],Tabela1[[#This Row],[Country]],Table79[Women''s Classification],"&gt;0")</f>
        <v>0</v>
      </c>
      <c r="LC28" s="6">
        <f>COUNTIFS(Table79[Country],Tabela1[[#This Row],[Country]],Table79[Mixed Classification],"&gt;0")</f>
        <v>0</v>
      </c>
      <c r="LD28" s="6">
        <f>COUNTIFS(Table65[Country],Tabela1[[#This Row],[Country]],Table65[Classification],"&gt;0")</f>
        <v>0</v>
      </c>
      <c r="LE28" s="6">
        <f>COUNTIFS(Table59[Country],Tabela1[[#This Row],[Country]],Table59[Classification],"&gt;0")</f>
        <v>0</v>
      </c>
      <c r="LF28" s="6">
        <f>COUNTIFS(Table87[Country],Tabela1[[#This Row],[Country]],Table87[Mixed Relay Classification],"&gt;0")</f>
        <v>0</v>
      </c>
      <c r="LG28" s="6">
        <f>COUNTIFS(Table91949698100[Country],Tabela1[[#This Row],[Country]],Table91949698100[Men''s Classification],"&gt;0")</f>
        <v>0</v>
      </c>
      <c r="LH28" s="6">
        <f>COUNTIFS(Table91949698100[Country],Tabela1[[#This Row],[Country]],Table91949698100[Women''s Classification],"&gt;0")</f>
        <v>0</v>
      </c>
      <c r="LI28" s="6">
        <f>COUNTIFS(Table91949698100102[Country],Tabela1[[#This Row],[Country]],Table91949698100102[Men''s Classification],"&gt;0")</f>
        <v>0</v>
      </c>
      <c r="LJ28" s="6">
        <f>COUNTIFS(Table91949698100102[Country],Tabela1[[#This Row],[Country]],Table91949698100102[Women''s Classification],"&gt;0")</f>
        <v>0</v>
      </c>
      <c r="LK28" s="6">
        <f>COUNTIFS(Table23[Country],Tabela1[[#This Row],[Country]],Table23[61kg Classification],"&gt;0")</f>
        <v>0</v>
      </c>
      <c r="LL28" s="6">
        <f>COUNTIFS(Table23[Country],Tabela1[[#This Row],[Country]],Table23[73kg Classification],"&gt;0")</f>
        <v>0</v>
      </c>
      <c r="LM28" s="6">
        <f>COUNTIFS(Table23[Country],Tabela1[[#This Row],[Country]],Table23[89kg Classification],"&gt;0")</f>
        <v>0</v>
      </c>
      <c r="LN28" s="6">
        <f>COUNTIFS(Table23[Country],Tabela1[[#This Row],[Country]],Table23[102kg Classification],"&gt;0")</f>
        <v>0</v>
      </c>
      <c r="LO28" s="6">
        <f>COUNTIFS(Table23[Country],Tabela1[[#This Row],[Country]],Table23[Plus 102kg Classification],"&gt;0")</f>
        <v>0</v>
      </c>
      <c r="LP28" s="6">
        <f>COUNTIFS(Table28[Country],Tabela1[[#This Row],[Country]],Table28[49kg Classification],"&gt;0")</f>
        <v>0</v>
      </c>
      <c r="LQ28" s="6">
        <f>COUNTIFS(Table28[Country],Tabela1[[#This Row],[Country]],Table28[59kg Classification],"&gt;0")</f>
        <v>0</v>
      </c>
      <c r="LR28" s="6">
        <f>COUNTIFS(Table28[Country],Tabela1[[#This Row],[Country]],Table28[71kg Classification],"&gt;0")</f>
        <v>0</v>
      </c>
      <c r="LS28" s="6">
        <f>COUNTIFS(Table28[Country],Tabela1[[#This Row],[Country]],Table28[81kg Classification],"&gt;0")</f>
        <v>0</v>
      </c>
      <c r="LT28" s="6">
        <f>COUNTIFS(Table28[Country],Tabela1[[#This Row],[Country]],Table28[Plus 81kg Classification],"&gt;0")</f>
        <v>0</v>
      </c>
      <c r="LU28" s="6">
        <f>COUNTIFS(Table24[Country],Tabela1[[#This Row],[Country]],Table24[Freestyle 57kg Classification],"&gt;0")</f>
        <v>0</v>
      </c>
      <c r="LV28" s="6">
        <f>COUNTIFS(Table24[Country],Tabela1[[#This Row],[Country]],Table24[Freestyle 65kg Classification],"&gt;0")</f>
        <v>0</v>
      </c>
      <c r="LW28" s="6">
        <f>COUNTIFS(Table24[Country],Tabela1[[#This Row],[Country]],Table24[Freestyle 74kg Classification],"&gt;0")</f>
        <v>0</v>
      </c>
      <c r="LX28" s="6">
        <f>COUNTIFS(Table24[Country],Tabela1[[#This Row],[Country]],Table24[Freestyle 86kg Classification],"&gt;0")</f>
        <v>0</v>
      </c>
      <c r="LY28" s="6">
        <f>COUNTIFS(Table24[Country],Tabela1[[#This Row],[Country]],Table24[Freestyle 97kg Classification],"&gt;0")</f>
        <v>0</v>
      </c>
      <c r="LZ28" s="6">
        <f>COUNTIFS(Table24[Country],Tabela1[[#This Row],[Country]],Table24[Freestyle 125kg Classification],"&gt;0")</f>
        <v>0</v>
      </c>
      <c r="MA28" s="6">
        <f>COUNTIFS(Table24[Country],Tabela1[[#This Row],[Country]],Table24[Greco-Roman 60kg Classification],"&gt;0")</f>
        <v>0</v>
      </c>
      <c r="MB28" s="6">
        <f>COUNTIFS(Table24[Country],Tabela1[[#This Row],[Country]],Table24[Greco-Roman 67kg Classification],"&gt;0")</f>
        <v>0</v>
      </c>
      <c r="MC28" s="6">
        <f>COUNTIFS(Table24[Country],Tabela1[[#This Row],[Country]],Table24[Greco-Roman 77kg Classification],"&gt;0")</f>
        <v>0</v>
      </c>
      <c r="MD28" s="6">
        <f>COUNTIFS(Table24[Country],Tabela1[[#This Row],[Country]],Table24[Greco-Roman 87kg Classification],"&gt;0")</f>
        <v>0</v>
      </c>
      <c r="ME28" s="6">
        <f>COUNTIFS(Table24[Country],Tabela1[[#This Row],[Country]],Table24[Greco-Roman 97kg Classification],"&gt;0")</f>
        <v>0</v>
      </c>
      <c r="MF28" s="6">
        <f>COUNTIFS(Table24[Country],Tabela1[[#This Row],[Country]],Table24[Greco-Roman 130kg Classification],"&gt;0")</f>
        <v>0</v>
      </c>
      <c r="MG28" s="6">
        <f>COUNTIFS(Table31[Country],Tabela1[[#This Row],[Country]],Table31[50kg Classification],"&gt;0")</f>
        <v>0</v>
      </c>
      <c r="MH28" s="6">
        <f>COUNTIFS(Table31[Country],Tabela1[[#This Row],[Country]],Table31[53kg Classification],"&gt;0")</f>
        <v>0</v>
      </c>
      <c r="MI28" s="6">
        <f>COUNTIFS(Table31[Country],Tabela1[[#This Row],[Country]],Table31[57kg Classification],"&gt;0")</f>
        <v>0</v>
      </c>
      <c r="MJ28" s="6">
        <f>COUNTIFS(Table31[Country],Tabela1[[#This Row],[Country]],Table31[62kg Classification],"&gt;0")</f>
        <v>0</v>
      </c>
      <c r="MK28" s="6">
        <f>COUNTIFS(Table31[Country],Tabela1[[#This Row],[Country]],Table31[68kg Classification],"&gt;0")</f>
        <v>1</v>
      </c>
      <c r="ML28" s="6">
        <f>COUNTIFS(Table31[Country],Tabela1[[#This Row],[Country]],Table31[76kg Classification],"&gt;0")</f>
        <v>0</v>
      </c>
      <c r="MM28" s="6">
        <f>COUNTIFS(Table102[Country],Tabela1[[#This Row],[Country]],Table102[Downhill Classification],"&gt;0")</f>
        <v>0</v>
      </c>
      <c r="MN28" s="6">
        <f>COUNTIFS(Table102105[Country],Tabela1[[#This Row],[Country]],Table102105[Downhill Classification],"&gt;0")</f>
        <v>0</v>
      </c>
      <c r="MO28" s="6">
        <f>COUNTIFS(Table102[Country],Tabela1[[#This Row],[Country]],Table102[Giant Slalom Classification],"&gt;0")</f>
        <v>0</v>
      </c>
      <c r="MP28" s="6">
        <f>COUNTIFS(Table102105[Country],Tabela1[[#This Row],[Country]],Table102105[Giant Slalom Classification],"&gt;0")</f>
        <v>1</v>
      </c>
      <c r="MQ28" s="6">
        <f>COUNTIFS(Table102[Country],Tabela1[[#This Row],[Country]],Table102[Slalom Classification],"&gt;0")</f>
        <v>0</v>
      </c>
      <c r="MR28" s="6">
        <f>COUNTIFS(Table102105[Country],Tabela1[[#This Row],[Country]],Table102105[Slalom Classification],"&gt;0")</f>
        <v>0</v>
      </c>
      <c r="MS28" s="6">
        <f>COUNTIFS(Table102[Country],Tabela1[[#This Row],[Country]],Table102[Super-G Classification],"&gt;0")</f>
        <v>0</v>
      </c>
      <c r="MT28" s="6">
        <f>COUNTIFS(Table102105[Country],Tabela1[[#This Row],[Country]],Table102105[Super-G Classification],"&gt;0")</f>
        <v>1</v>
      </c>
      <c r="MU28" s="6">
        <f>COUNTIFS(Table105[Country],Tabela1[[#This Row],[Country]],Table105[Men''s Combined Classification],"&gt;0")</f>
        <v>0</v>
      </c>
      <c r="MV28" s="6">
        <f>COUNTIFS(Table105[Country],Tabela1[[#This Row],[Country]],Table105[Women''s Combined Classification],"&gt;0")</f>
        <v>0</v>
      </c>
      <c r="MW28" s="6">
        <f>COUNTIFS(Table106[Country],Tabela1[[#This Row],[Country]],Table106[Individual Classification],"&gt;0")</f>
        <v>0</v>
      </c>
      <c r="MX28" s="6">
        <f>COUNTIFS(Table106109[Country],Tabela1[[#This Row],[Country]],Table106109[Individual Classification],"&gt;0")</f>
        <v>0</v>
      </c>
      <c r="MY28" s="6">
        <f>COUNTIFS(Table106[Country],Tabela1[[#This Row],[Country]],Table106[Mass Start Classification],"&gt;0")</f>
        <v>0</v>
      </c>
      <c r="MZ28" s="6">
        <f>COUNTIFS(Table106109[Country],Tabela1[[#This Row],[Country]],Table106109[Mass Start Classification],"&gt;0")</f>
        <v>0</v>
      </c>
      <c r="NA28" s="6">
        <f>COUNTIFS(Table106[Country],Tabela1[[#This Row],[Country]],Table106[Pursuit Classification],"&gt;0")</f>
        <v>0</v>
      </c>
      <c r="NB28" s="6">
        <f>COUNTIFS(Table106109[Country],Tabela1[[#This Row],[Country]],Table106109[Pursuit Classification],"&gt;0")</f>
        <v>0</v>
      </c>
      <c r="NC28" s="6">
        <f>COUNTIFS(Table106[Country],Tabela1[[#This Row],[Country]],Table106[Sprint Classification],"&gt;0")</f>
        <v>0</v>
      </c>
      <c r="ND28" s="6">
        <f>COUNTIFS(Table106109[Country],Tabela1[[#This Row],[Country]],Table106109[Sprint Classification],"&gt;0")</f>
        <v>0</v>
      </c>
      <c r="NE28" s="6">
        <f>COUNTIFS(Table109[Country],Tabela1[[#This Row],[Country]],Table109[Men''s Relay Classification],"&gt;0")</f>
        <v>0</v>
      </c>
      <c r="NF28" s="6">
        <f>COUNTIFS(Table109[Country],Tabela1[[#This Row],[Country]],Table109[Women''s Relay Classification],"&gt;0")</f>
        <v>0</v>
      </c>
      <c r="NG28" s="6">
        <f>COUNTIFS(Table109[Country],Tabela1[[#This Row],[Country]],Table109[Mixed Relay Classification],"&gt;0")</f>
        <v>0</v>
      </c>
      <c r="NH28" s="6">
        <f>COUNTIFS(Table110[Country],Tabela1[[#This Row],[Country]],Table110[Monobob Classification],"&gt;0")</f>
        <v>0</v>
      </c>
      <c r="NI28" s="6">
        <f>COUNTIFS(Table111[Country],Tabela1[[#This Row],[Country]],Table111[Men''s Classification],"&gt;0")</f>
        <v>0</v>
      </c>
      <c r="NJ28" s="6">
        <f>COUNTIFS(Table111[Country],Tabela1[[#This Row],[Country]],Table111[Women''s Classification],"&gt;0")</f>
        <v>0</v>
      </c>
      <c r="NK28" s="6">
        <f>COUNTIFS(Table112[Country],Tabela1[[#This Row],[Country]],Table112[Men''s Four Classification],"&gt;0")</f>
        <v>0</v>
      </c>
      <c r="NL28" s="6">
        <f>COUNTIFS(Table113[Country],Tabela1[[#This Row],[Country]],Table113[Classical Classification],"&gt;0")</f>
        <v>0</v>
      </c>
      <c r="NM28" s="6">
        <f>COUNTIFS(Table113116[Country],Tabela1[[#This Row],[Country]],Table113116[Classical Classification],"&gt;0")</f>
        <v>0</v>
      </c>
      <c r="NN28" s="6">
        <f>COUNTIFS(Table113[Country],Tabela1[[#This Row],[Country]],Table113[Freestyle Classification],"&gt;0")</f>
        <v>0</v>
      </c>
      <c r="NO28" s="6">
        <f>COUNTIFS(Table113116[Country],Tabela1[[#This Row],[Country]],Table113116[Freestyle Classification],"&gt;0")</f>
        <v>0</v>
      </c>
      <c r="NP28" s="6">
        <f>COUNTIFS(Table117[Country],Tabela1[[#This Row],[Country]],Table117[Men''s Relay Classification],"&gt;0")</f>
        <v>0</v>
      </c>
      <c r="NQ28" s="6">
        <f>COUNTIFS(Table117[Country],Tabela1[[#This Row],[Country]],Table117[Women''s Relay Classification],"&gt;0")</f>
        <v>0</v>
      </c>
      <c r="NR28" s="6">
        <f>COUNTIFS(Table113[Country],Tabela1[[#This Row],[Country]],Table113[Skiathlon Classification],"&gt;0")</f>
        <v>0</v>
      </c>
      <c r="NS28" s="6">
        <f>COUNTIFS(Table113116[Country],Tabela1[[#This Row],[Country]],Table113116[Skiathlon Classification],"&gt;0")</f>
        <v>0</v>
      </c>
      <c r="NT28" s="6">
        <f>COUNTIFS(Table113[Country],Tabela1[[#This Row],[Country]],Table113[Sprint Classification],"&gt;0")</f>
        <v>0</v>
      </c>
      <c r="NU28" s="6">
        <f>COUNTIFS(Table113116[Country],Tabela1[[#This Row],[Country]],Table113116[Sprint Classification],"&gt;0")</f>
        <v>0</v>
      </c>
      <c r="NV28" s="6">
        <f>COUNTIFS(Table116[Country],Tabela1[[#This Row],[Country]],Table116[Men''s Team Sprint Classification],"&gt;0")</f>
        <v>0</v>
      </c>
      <c r="NW28" s="6">
        <f>COUNTIFS(Table116[Country],Tabela1[[#This Row],[Country]],Table116[Women''s Team Sprint Classification],"&gt;0")</f>
        <v>0</v>
      </c>
      <c r="NX28" s="6">
        <f>COUNTIFS(Table119[Country],Tabela1[[#This Row],[Country]],Table119[Men''s Classification],"&gt;0")</f>
        <v>0</v>
      </c>
      <c r="NY28" s="6">
        <f>COUNTIFS(Table119[Country],Tabela1[[#This Row],[Country]],Table119[Women''s Classification],"&gt;0")</f>
        <v>0</v>
      </c>
      <c r="NZ28" s="6">
        <f>COUNTIFS(Table118[Country],Tabela1[[#This Row],[Country]],Table118[Mixed Classification],"&gt;0")</f>
        <v>0</v>
      </c>
      <c r="OA28" s="6">
        <f>COUNTIFS(Table120[Country],Tabela1[[#This Row],[Country]],Table120[Classification],"&gt;0")</f>
        <v>0</v>
      </c>
      <c r="OB28" s="6">
        <f>COUNTIFS(Table120123[Country],Tabela1[[#This Row],[Country]],Table120123[Classification],"&gt;0")</f>
        <v>0</v>
      </c>
      <c r="OC28" s="6">
        <f>COUNTIFS(Table123[Country],Tabela1[[#This Row],[Country]],Table123[Ice Dance Classification],"&gt;0")</f>
        <v>0</v>
      </c>
      <c r="OD28" s="6">
        <f>COUNTIFS(Table123[Country],Tabela1[[#This Row],[Country]],Table123[Pair Skating Classification],"&gt;0")</f>
        <v>0</v>
      </c>
      <c r="OE28" s="6">
        <f>COUNTIFS(Table124[Country],Tabela1[[#This Row],[Country]],Table124[Mixed Classification],"&gt;0")</f>
        <v>0</v>
      </c>
      <c r="OF28" s="6">
        <f>COUNTIFS(Table125[Country],Tabela1[[#This Row],[Country]],Table125[Aerials Classification],"&gt;0")</f>
        <v>0</v>
      </c>
      <c r="OG28" s="6">
        <f>COUNTIFS(Table125128[Country],Tabela1[[#This Row],[Country]],Table125128[Aerials Classification],"&gt;0")</f>
        <v>0</v>
      </c>
      <c r="OH28" s="6">
        <f>COUNTIFS(Table128[Country],Tabela1[[#This Row],[Country]],Table128[Mixed Aerials Classification],"&gt;0")</f>
        <v>0</v>
      </c>
      <c r="OI28" s="6">
        <f>COUNTIFS(Table125[Country],Tabela1[[#This Row],[Country]],Table125[Big Air Classification],"&gt;0")</f>
        <v>1</v>
      </c>
      <c r="OJ28" s="6">
        <f>COUNTIFS(Table125128[Country],Tabela1[[#This Row],[Country]],Table125128[Big Air Classification],"&gt;0")</f>
        <v>1</v>
      </c>
      <c r="OK28" s="6">
        <f>COUNTIFS(Table125[Country],Tabela1[[#This Row],[Country]],Table125[Dual Moguls Classification],"&gt;0")</f>
        <v>0</v>
      </c>
      <c r="OL28" s="6">
        <f>COUNTIFS(Table125128[Country],Tabela1[[#This Row],[Country]],Table125128[Dual Moguls Classification],"&gt;0")</f>
        <v>0</v>
      </c>
      <c r="OM28" s="6">
        <f>COUNTIFS(Table125[Country],Tabela1[[#This Row],[Country]],Table125[Halfpipe Classification],"&gt;0")</f>
        <v>1</v>
      </c>
      <c r="ON28" s="6">
        <f>COUNTIFS(Table125128[Country],Tabela1[[#This Row],[Country]],Table125128[Halfpipe Classification],"&gt;0")</f>
        <v>1</v>
      </c>
      <c r="OO28" s="6">
        <f>COUNTIFS(Table125[Country],Tabela1[[#This Row],[Country]],Table125[Moguls Classification],"&gt;0")</f>
        <v>0</v>
      </c>
      <c r="OP28" s="6">
        <f>COUNTIFS(Table125128[Country],Tabela1[[#This Row],[Country]],Table125128[Moguls Classification],"&gt;0")</f>
        <v>0</v>
      </c>
      <c r="OQ28" s="6">
        <f>COUNTIFS(Table125[Country],Tabela1[[#This Row],[Country]],Table125[Ski Cross Classification],"&gt;0")</f>
        <v>0</v>
      </c>
      <c r="OR28" s="6">
        <f>COUNTIFS(Table125128[Country],Tabela1[[#This Row],[Country]],Table125128[Ski Cross Classification],"&gt;0")</f>
        <v>0</v>
      </c>
      <c r="OS28" s="6">
        <f>COUNTIFS(Table125[Country],Tabela1[[#This Row],[Country]],Table125[Slopestyle Classification],"&gt;0")</f>
        <v>1</v>
      </c>
      <c r="OT28" s="6">
        <f>COUNTIFS(Table125128[Country],Tabela1[[#This Row],[Country]],Table125128[Slopestyle Classification],"&gt;0")</f>
        <v>1</v>
      </c>
      <c r="OU28" s="6">
        <f>COUNTIFS(Table119131[Country],Tabela1[[#This Row],[Country]],Table119131[Men''s Classification],"&gt;0")</f>
        <v>0</v>
      </c>
      <c r="OV28" s="6">
        <f>COUNTIFS(Table119131[Country],Tabela1[[#This Row],[Country]],Table119131[Women''s Classification],"&gt;0")</f>
        <v>0</v>
      </c>
      <c r="OW28" s="6">
        <f>COUNTIFS(Table131[Country],Tabela1[[#This Row],[Country]],Table131[Classification],"&gt;0")</f>
        <v>0</v>
      </c>
      <c r="OX28" s="6">
        <f>COUNTIFS(Table131134[Country],Tabela1[[#This Row],[Country]],Table131134[Classification],"&gt;0")</f>
        <v>0</v>
      </c>
      <c r="OY28" s="6">
        <f>COUNTIFS(Table134[Country],Tabela1[[#This Row],[Country]],Table134[Men''s Classification],"&gt;0")</f>
        <v>0</v>
      </c>
      <c r="OZ28" s="6">
        <f>COUNTIFS(Table134[Country],Tabela1[[#This Row],[Country]],Table134[Women''s Classification],"&gt;0")</f>
        <v>0</v>
      </c>
      <c r="PA28" s="6">
        <f>COUNTIFS(Table135[Country],Tabela1[[#This Row],[Country]],Table135[Mixed Relay Classification],"&gt;0")</f>
        <v>0</v>
      </c>
      <c r="PB28" s="6">
        <f>COUNTIFS(Table136[Country],Tabela1[[#This Row],[Country]],Table136[Individual Classification],"&gt;0")</f>
        <v>0</v>
      </c>
      <c r="PC28" s="6">
        <f>COUNTIFS(Table136[Country],Tabela1[[#This Row],[Country]],Table136[Sprint Classification],"&gt;0")</f>
        <v>0</v>
      </c>
      <c r="PD28" s="6">
        <f>COUNTIFS(Table137[Country],Tabela1[[#This Row],[Country]],Table137[Men''s Team Sprint Large Hill Classification],"&gt;0")</f>
        <v>0</v>
      </c>
      <c r="PE28" s="6">
        <f>COUNTIFS(Table138[Country],Tabela1[[#This Row],[Country]],Table138[500m Classification],"&gt;0")</f>
        <v>0</v>
      </c>
      <c r="PF28" s="6">
        <f>COUNTIFS(Table138141[Country],Tabela1[[#This Row],[Country]],Table138141[500m Classification],"&gt;0")</f>
        <v>0</v>
      </c>
      <c r="PG28" s="6">
        <f>COUNTIFS(Table138[Country],Tabela1[[#This Row],[Country]],Table138[1000m Classification],"&gt;0")</f>
        <v>0</v>
      </c>
      <c r="PH28" s="6">
        <f>COUNTIFS(Table138141[Country],Tabela1[[#This Row],[Country]],Table138141[1000m Classification],"&gt;0")</f>
        <v>0</v>
      </c>
      <c r="PI28" s="6">
        <f>COUNTIFS(Table138[Country],Tabela1[[#This Row],[Country]],Table138[1500m Classification],"&gt;0")</f>
        <v>0</v>
      </c>
      <c r="PJ28" s="6">
        <f>COUNTIFS(Table138141[Country],Tabela1[[#This Row],[Country]],Table138141[1500m Classification],"&gt;0")</f>
        <v>0</v>
      </c>
      <c r="PK28" s="6">
        <f>COUNTIFS(Table141[Country],Tabela1[[#This Row],[Country]],Table141[Men''s 5000m Relay Classification],"&gt;0")</f>
        <v>0</v>
      </c>
      <c r="PL28" s="6">
        <f>COUNTIFS(Table141[Country],Tabela1[[#This Row],[Country]],Table141[Women''s 3000m Relay Classification],"&gt;0")</f>
        <v>0</v>
      </c>
      <c r="PM28" s="6">
        <f>COUNTIFS(Table141[Country],Tabela1[[#This Row],[Country]],Table141[Mixed 2000m Relay Classification],"&gt;0")</f>
        <v>0</v>
      </c>
      <c r="PN28" s="6">
        <f>COUNTIFS(Table142[Country],Tabela1[[#This Row],[Country]],Table142[Classification],"&gt;0")</f>
        <v>0</v>
      </c>
      <c r="PO28" s="6">
        <f>COUNTIFS(Table142145[Country],Tabela1[[#This Row],[Country]],Table142145[Classification],"&gt;0")</f>
        <v>0</v>
      </c>
      <c r="PP28" s="6">
        <f>COUNTIFS(Tabela15[Country],Tabela1[[#This Row],[Country]],Tabela15[Mixed Team Classification],"&gt;0")</f>
        <v>0</v>
      </c>
      <c r="PQ28" s="6">
        <f>COUNTIFS(Table145[Country],Tabela1[[#This Row],[Country]],Table145[Large Hill Classification],"&gt;0")</f>
        <v>0</v>
      </c>
      <c r="PR28" s="6">
        <f>COUNTIFS(Table145[Country],Tabela1[[#This Row],[Country]],Table145[Normal Hill Classification],"&gt;0")</f>
        <v>0</v>
      </c>
      <c r="PS28" s="6">
        <f>COUNTIFS(Table145148[Country],Tabela1[[#This Row],[Country]],Table145148[Large Hill Classification],"&gt;0")</f>
        <v>0</v>
      </c>
      <c r="PT28" s="6">
        <f>COUNTIFS(Table145148[Country],Tabela1[[#This Row],[Country]],Table145148[Normal Hill Classification],"&gt;0")</f>
        <v>0</v>
      </c>
      <c r="PU28" s="6">
        <f>COUNTIFS(Table148[Country],Tabela1[[#This Row],[Country]],Table148[Men''s Super Team Classification],"&gt;0")</f>
        <v>0</v>
      </c>
      <c r="PV28" s="6">
        <f>COUNTIFS(Tabela114[Country],Tabela1[[#This Row],[Country]],Tabela114[Mixed Normal Hill Classification],"&gt;0")</f>
        <v>0</v>
      </c>
      <c r="PW28" s="6">
        <f>COUNTIFS(Tabela50[Country],Tabela1[[#This Row],[Country]],Tabela50[Sprint Classification],"&gt;0")</f>
        <v>0</v>
      </c>
      <c r="PX28" s="6">
        <f>COUNTIFS(Tabela50101[Country],Tabela1[[#This Row],[Country]],Tabela50101[Sprint Classification],"&gt;0")</f>
        <v>0</v>
      </c>
      <c r="PY28" s="6">
        <f>COUNTIFS(Tabela103[Country],Tabela1[[#This Row],[Country]],Tabela103[Mixed Relay Classification],"&gt;0")</f>
        <v>0</v>
      </c>
      <c r="PZ28" s="6">
        <f>COUNTIFS(Table149[Country],Tabela1[[#This Row],[Country]],Table149[Big Air Classification],"&gt;0")</f>
        <v>1</v>
      </c>
      <c r="QA28" s="6">
        <f>COUNTIFS(Table149152[Country],Tabela1[[#This Row],[Country]],Table149152[Big Air Classification],"&gt;0")</f>
        <v>1</v>
      </c>
      <c r="QB28" s="6">
        <f>COUNTIFS(Table149[Country],Tabela1[[#This Row],[Country]],Table149[Halfpipe Classification],"&gt;0")</f>
        <v>0</v>
      </c>
      <c r="QC28" s="6">
        <f>COUNTIFS(Table149152[Country],Tabela1[[#This Row],[Country]],Table149152[Halfpipe Classification],"&gt;0")</f>
        <v>0</v>
      </c>
      <c r="QD28" s="6">
        <f>COUNTIFS(Table149[Country],Tabela1[[#This Row],[Country]],Table149[Parallel Giant Slalom Classification],"&gt;0")</f>
        <v>0</v>
      </c>
      <c r="QE28" s="6">
        <f>COUNTIFS(Table149152[Country],Tabela1[[#This Row],[Country]],Table149152[Parallel Giant Slalom Classification],"&gt;0")</f>
        <v>0</v>
      </c>
      <c r="QF28" s="6">
        <f>COUNTIFS(Table149[Country],Tabela1[[#This Row],[Country]],Table149[Slopestyle Classification],"&gt;0")</f>
        <v>1</v>
      </c>
      <c r="QG28" s="6">
        <f>COUNTIFS(Table149152[Country],Tabela1[[#This Row],[Country]],Table149152[Slopestyle Classification],"&gt;0")</f>
        <v>1</v>
      </c>
      <c r="QH28" s="6">
        <f>COUNTIFS(Table149[Country],Tabela1[[#This Row],[Country]],Table149[Snowboard Cross Classification],"&gt;0")</f>
        <v>0</v>
      </c>
      <c r="QI28" s="6">
        <f>COUNTIFS(Table149152[Country],Tabela1[[#This Row],[Country]],Table149152[Snowboard Cross Classification],"&gt;0")</f>
        <v>0</v>
      </c>
      <c r="QJ28" s="6">
        <f>COUNTIFS(Table153[Country],Tabela1[[#This Row],[Country]],Table153[Mixed Team Snowboard Cross Classification],"&gt;0")</f>
        <v>0</v>
      </c>
      <c r="QK28" s="6">
        <f>COUNTIFS(Table154[Country],Tabela1[[#This Row],[Country]],Table154[500m Classification],"&gt;0")</f>
        <v>0</v>
      </c>
      <c r="QL28" s="6">
        <f>COUNTIFS(Table154157[Country],Tabela1[[#This Row],[Country]],Table154157[500m Classification],"&gt;0")</f>
        <v>0</v>
      </c>
      <c r="QM28" s="6">
        <f>COUNTIFS(Table154[Country],Tabela1[[#This Row],[Country]],Table154[1000m Classification],"&gt;0")</f>
        <v>0</v>
      </c>
      <c r="QN28" s="6">
        <f>COUNTIFS(Table154157[Country],Tabela1[[#This Row],[Country]],Table154157[1000m Classification],"&gt;0")</f>
        <v>0</v>
      </c>
      <c r="QO28" s="6">
        <f>COUNTIFS(Table154[Country],Tabela1[[#This Row],[Country]],Table154[1500m Classification],"&gt;0")</f>
        <v>0</v>
      </c>
      <c r="QP28" s="6">
        <f>COUNTIFS(Table154157[Country],Tabela1[[#This Row],[Country]],Table154157[1500m Classification],"&gt;0")</f>
        <v>0</v>
      </c>
      <c r="QQ28" s="6">
        <f>COUNTIFS(Table154157[Country],Tabela1[[#This Row],[Country]],Table154157[3000m Classification],"&gt;0")</f>
        <v>0</v>
      </c>
      <c r="QR28" s="6">
        <f>COUNTIFS(Table154[Country],Tabela1[[#This Row],[Country]],Table154[5000m Classification],"&gt;0")</f>
        <v>0</v>
      </c>
      <c r="QS28" s="6">
        <f>COUNTIFS(Table154157[Country],Tabela1[[#This Row],[Country]],Table154157[5000m Classification],"&gt;0")</f>
        <v>0</v>
      </c>
      <c r="QT28" s="6">
        <f>COUNTIFS(Table154[Country],Tabela1[[#This Row],[Country]],Table154[10000m Classification],"&gt;0")</f>
        <v>0</v>
      </c>
      <c r="QU28" s="6">
        <f>COUNTIFS(Table154[Country],Tabela1[[#This Row],[Country]],Table154[Mass Start Classification],"&gt;0")</f>
        <v>0</v>
      </c>
      <c r="QV28" s="6">
        <f>COUNTIFS(Table154157[Country],Tabela1[[#This Row],[Country]],Table154157[Mass Start Classification],"&gt;0")</f>
        <v>0</v>
      </c>
      <c r="QW28" s="6">
        <f>COUNTIFS(Table157[Country],Tabela1[[#This Row],[Country]],Table157[Men''s Pursuit Classification],"&gt;0")</f>
        <v>0</v>
      </c>
      <c r="QX28" s="6">
        <f>COUNTIFS(Table157[Country],Tabela1[[#This Row],[Country]],Table157[Women''s Pursuit Classification],"&gt;0")</f>
        <v>0</v>
      </c>
      <c r="QY28" s="3" t="s">
        <v>475</v>
      </c>
    </row>
    <row r="29" spans="1:467" x14ac:dyDescent="0.3">
      <c r="A29" s="6">
        <v>28</v>
      </c>
      <c r="B29" s="6" t="s">
        <v>348</v>
      </c>
      <c r="C29" t="e" vm="28">
        <f>IF(ISBLANK(Tabela1[[#This Row],[Image Link]]), "", _xlfn.IMAGE(Tabela1[[#This Row],[Image Link]],1,1))</f>
        <v>#VALUE!</v>
      </c>
      <c r="D29" s="6">
        <f>SUM(Tabela1[[#This Row],[Archery - Men''s Individual Recurve]:[Speed Skating - Women''s Team Pursuit]])</f>
        <v>45</v>
      </c>
      <c r="E29" s="6">
        <f>COUNTIF(Tabela1[[#This Row],[Archery - Men''s Individual Recurve]:[Speed Skating - Women''s Team Pursuit]],"&gt;0")</f>
        <v>43</v>
      </c>
      <c r="F29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29" s="6">
        <f>SUM(Tabela1[[#This Row],[Archery - Men''s Individual Recurve]:[Wrestling - Women''s Freestyle 76kg]])</f>
        <v>38</v>
      </c>
      <c r="H29" s="6">
        <f>SUM(Tabela1[[#This Row],[Alpine Skiing - Men''s Downhill]:[Speed Skating - Women''s Team Pursuit]])</f>
        <v>7</v>
      </c>
      <c r="I29" s="6">
        <f>Tabela1[[#This Row],[Summer Gold Medals]]+Tabela1[[#This Row],[Winter Gold Medals]]</f>
        <v>3</v>
      </c>
      <c r="J29" s="6">
        <f>Tabela1[[#This Row],[Summer Silver Medals]]+Tabela1[[#This Row],[Winter Silver Medals]]</f>
        <v>4</v>
      </c>
      <c r="K29" s="6">
        <f>Tabela1[[#This Row],[Summer Bronze Medals]]+Tabela1[[#This Row],[Winter Bronze Medals]]</f>
        <v>2</v>
      </c>
      <c r="L29" s="6">
        <f>SUM(Tabela1[[#This Row],[Total Gold Medals]:[Total Bronze Medals]])</f>
        <v>9</v>
      </c>
      <c r="M29" s="6">
        <v>3</v>
      </c>
      <c r="N29" s="6">
        <v>4</v>
      </c>
      <c r="O29" s="6">
        <v>2</v>
      </c>
      <c r="P29" s="6">
        <f>SUM(Tabela1[[#This Row],[Summer Gold Medals]:[Summer Bronze Medals]])</f>
        <v>9</v>
      </c>
      <c r="Q29" s="6"/>
      <c r="R29" s="6"/>
      <c r="S29" s="6"/>
      <c r="T29" s="6">
        <f>Tabela1[[#This Row],[Winter Gold Medals]]+Tabela1[[#This Row],[Winter Silver Medals]]+Tabela1[[#This Row],[Winter Bronze Medals]]</f>
        <v>0</v>
      </c>
      <c r="U29" s="7">
        <f>Tabela1[[#This Row],[Total Medals]]/Tabela1[[#This Row],[Total Quotas]]</f>
        <v>0.2</v>
      </c>
      <c r="V29" s="6">
        <f>COUNTIFS(Table3[Country],Tabela1[[#This Row],[Country]],Table3[Recurve Classification],"&gt;0")</f>
        <v>0</v>
      </c>
      <c r="W29" s="6">
        <f>COUNTIFS(Table33[Country],Tabela1[[#This Row],[Country]],Table33[Recurve Classification],"&gt;0")</f>
        <v>0</v>
      </c>
      <c r="X29" s="6">
        <f>COUNTIFS(Table35[Country],Tabela1[[#This Row],[Country]],Table35[Men''s Team Recurve Classification],"&gt;0")</f>
        <v>0</v>
      </c>
      <c r="Y29" s="6">
        <f>COUNTIFS(Table35[Country],Tabela1[[#This Row],[Country]],Table35[Women''s Team Recurve Classification],"&gt;0")</f>
        <v>0</v>
      </c>
      <c r="Z29" s="6">
        <f>COUNTIFS(Tabela88[Country],Tabela1[[#This Row],[Country]],Tabela88[Mixed Team Recurve Classification],"&gt;0")</f>
        <v>0</v>
      </c>
      <c r="AA29" s="6">
        <f>COUNTIFS(Table36[Country],Tabela1[[#This Row],[Country]],Table36[Classification],"&gt;0")</f>
        <v>0</v>
      </c>
      <c r="AB29" s="6">
        <f>COUNTIFS(Table37[Country],Tabela1[[#This Row],[Country]],Table37[Classification],"&gt;0")</f>
        <v>0</v>
      </c>
      <c r="AC29" s="6">
        <f>COUNTIFS(Table4[Country],Tabela1[[#This Row],[Country]],Table4[100m Classification],"&gt;0")</f>
        <v>0</v>
      </c>
      <c r="AD29" s="6">
        <f>COUNTIFS(Table5[Country],Tabela1[[#This Row],[Country]],Table5[100m Classification],"&gt;0")</f>
        <v>0</v>
      </c>
      <c r="AE29" s="6">
        <f>COUNTIFS(Table4[Country],Tabela1[[#This Row],[Country]],Table4[200m Classification],"&gt;0")</f>
        <v>0</v>
      </c>
      <c r="AF29" s="6">
        <f>COUNTIFS(Table5[Country],Tabela1[[#This Row],[Country]],Table5[200m Classification],"&gt;0")</f>
        <v>0</v>
      </c>
      <c r="AG29" s="6">
        <f>COUNTIFS(Table4[Country],Tabela1[[#This Row],[Country]],Table4[400m Classification],"&gt;0")</f>
        <v>0</v>
      </c>
      <c r="AH29" s="6">
        <f>COUNTIFS(Table5[Country],Tabela1[[#This Row],[Country]],Table5[400m Classification],"&gt;0")</f>
        <v>1</v>
      </c>
      <c r="AI29" s="6">
        <f>COUNTIFS(Table4[Country],Tabela1[[#This Row],[Country]],Table4[800m Classification],"&gt;0")</f>
        <v>0</v>
      </c>
      <c r="AJ29" s="6">
        <f>COUNTIFS(Table5[Country],Tabela1[[#This Row],[Country]],Table5[800m Classification],"&gt;0")</f>
        <v>0</v>
      </c>
      <c r="AK29" s="6">
        <f>COUNTIFS(Table4[Country],Tabela1[[#This Row],[Country]],Table4[1500m Classification],"&gt;0")</f>
        <v>0</v>
      </c>
      <c r="AL29" s="6">
        <f>COUNTIFS(Table5[Country],Tabela1[[#This Row],[Country]],Table5[1500m Classification],"&gt;0")</f>
        <v>0</v>
      </c>
      <c r="AM29" s="6">
        <f>COUNTIFS(Table4[Country],Tabela1[[#This Row],[Country]],Table4[5000m Classification],"&gt;0")</f>
        <v>0</v>
      </c>
      <c r="AN29" s="6">
        <f>COUNTIFS(Table5[Country],Tabela1[[#This Row],[Country]],Table5[5000m Classification],"&gt;0")</f>
        <v>0</v>
      </c>
      <c r="AO29" s="6">
        <f>COUNTIFS(Table4[Country],Tabela1[[#This Row],[Country]],Table4[10000m Classification],"&gt;0")</f>
        <v>0</v>
      </c>
      <c r="AP29" s="6">
        <f>COUNTIFS(Table5[Country],Tabela1[[#This Row],[Country]],Table5[10000m Classification],"&gt;0")</f>
        <v>0</v>
      </c>
      <c r="AQ29" s="6">
        <f>COUNTIFS(Table4[Country],Tabela1[[#This Row],[Country]],Table4[110m Hurdles Classification],"&gt;0")</f>
        <v>0</v>
      </c>
      <c r="AR29" s="6">
        <f>COUNTIFS(Table5[Country],Tabela1[[#This Row],[Country]],Table5[100m Hurdles Classification],"&gt;0")</f>
        <v>0</v>
      </c>
      <c r="AS29" s="6">
        <f>COUNTIFS(Table4[Country],Tabela1[[#This Row],[Country]],Table4[400m Hurdles Classification],"&gt;0")</f>
        <v>0</v>
      </c>
      <c r="AT29" s="6">
        <f>COUNTIFS(Table5[Country],Tabela1[[#This Row],[Country]],Table5[400m Hurdles Classification],"&gt;0")</f>
        <v>0</v>
      </c>
      <c r="AU29" s="6">
        <f>COUNTIFS(Table4[Country],Tabela1[[#This Row],[Country]],Table4[3000m Steeplechase Classification],"&gt;0")</f>
        <v>0</v>
      </c>
      <c r="AV29" s="6">
        <f>COUNTIFS(Table5[Country],Tabela1[[#This Row],[Country]],Table5[3000m Steeplechase Classification],"&gt;0")</f>
        <v>0</v>
      </c>
      <c r="AW29" s="6">
        <f>COUNTIFS(Table27[Country],Tabela1[[#This Row],[Country]],Table27[Men''s 4x100m Relay Classification],"&gt;0")</f>
        <v>0</v>
      </c>
      <c r="AX29" s="6">
        <f>COUNTIFS(Table27[Country],Tabela1[[#This Row],[Country]],Table27[Women''s 4x100m Relay Classification],"&gt;0")</f>
        <v>0</v>
      </c>
      <c r="AY29" s="6">
        <f>COUNTIFS(Table27[Country],Tabela1[[#This Row],[Country]],Table27[Men''s 4x400m Relay Classification],"&gt;0")</f>
        <v>0</v>
      </c>
      <c r="AZ29" s="6">
        <f>COUNTIFS(Table27[Country],Tabela1[[#This Row],[Country]],Table27[Women''s 4x400m Relay Classification],"&gt;0")</f>
        <v>0</v>
      </c>
      <c r="BA29" s="6">
        <f>COUNTIFS(Table27[Country],Tabela1[[#This Row],[Country]],Table27[Mixed 4x400m Relay Classification],"&gt;0")</f>
        <v>0</v>
      </c>
      <c r="BB29" s="6">
        <f>COUNTIFS(Table4[Country],Tabela1[[#This Row],[Country]],Table4[Marathon Classification],"&gt;0")</f>
        <v>0</v>
      </c>
      <c r="BC29" s="6">
        <f>COUNTIFS(Table5[Country],Tabela1[[#This Row],[Country]],Table5[Marathon Classification],"&gt;0")</f>
        <v>0</v>
      </c>
      <c r="BD29" s="6">
        <f>COUNTIFS(Table4[Country],Tabela1[[#This Row],[Country]],Table4[20km Race Walk Classification],"&gt;0")</f>
        <v>0</v>
      </c>
      <c r="BE29" s="6">
        <f>COUNTIFS(Table5[Country],Tabela1[[#This Row],[Country]],Table5[20km Race Walk Classification],"&gt;0")</f>
        <v>0</v>
      </c>
      <c r="BF29" s="6">
        <f>COUNTIFS(Tabela96[Country],Tabela1[[#This Row],[Country]],Tabela96[Mixed Marathon Race Walk Relay Classification],"&gt;0")</f>
        <v>0</v>
      </c>
      <c r="BG29" s="6">
        <f>COUNTIFS(Table4[Country],Tabela1[[#This Row],[Country]],Table4[Discus Throw Classification],"&gt;0")</f>
        <v>1</v>
      </c>
      <c r="BH29" s="6">
        <f>COUNTIFS(Table5[Country],Tabela1[[#This Row],[Country]],Table5[Discus Throw Classification],"&gt;0")</f>
        <v>0</v>
      </c>
      <c r="BI29" s="6">
        <f>COUNTIFS(Table4[Country],Tabela1[[#This Row],[Country]],Table4[Hammer Throw Classification],"&gt;0")</f>
        <v>0</v>
      </c>
      <c r="BJ29" s="6">
        <f>COUNTIFS(Table5[Country],Tabela1[[#This Row],[Country]],Table5[Hammer Throw Classification],"&gt;0")</f>
        <v>0</v>
      </c>
      <c r="BK29" s="6">
        <f>COUNTIFS(Table4[Country],Tabela1[[#This Row],[Country]],Table4[High Jump Classification],"&gt;0")</f>
        <v>0</v>
      </c>
      <c r="BL29" s="6">
        <f>COUNTIFS(Table5[Country],Tabela1[[#This Row],[Country]],Table5[High Jump Classification],"&gt;0")</f>
        <v>1</v>
      </c>
      <c r="BM29" s="6">
        <f>COUNTIFS(Table4[Country],Tabela1[[#This Row],[Country]],Table4[Javelin Throw Classification],"&gt;0")</f>
        <v>0</v>
      </c>
      <c r="BN29" s="6">
        <f>COUNTIFS(Table5[Country],Tabela1[[#This Row],[Country]],Table5[Javelin Throw Classification],"&gt;0")</f>
        <v>0</v>
      </c>
      <c r="BO29" s="6">
        <f>COUNTIFS(Table4[Country],Tabela1[[#This Row],[Country]],Table4[Long Jump Classification],"&gt;0")</f>
        <v>0</v>
      </c>
      <c r="BP29" s="6">
        <f>COUNTIFS(Table5[Country],Tabela1[[#This Row],[Country]],Table5[Long Jump Classification],"&gt;0")</f>
        <v>1</v>
      </c>
      <c r="BQ29" s="6">
        <f>COUNTIFS(Table4[Country],Tabela1[[#This Row],[Country]],Table4[Pole Vault Classification],"&gt;0")</f>
        <v>0</v>
      </c>
      <c r="BR29" s="6">
        <f>COUNTIFS(Table5[Country],Tabela1[[#This Row],[Country]],Table5[Pole Vault Classification],"&gt;0")</f>
        <v>0</v>
      </c>
      <c r="BS29" s="6">
        <f>COUNTIFS(Table4[Country],Tabela1[[#This Row],[Country]],Table4[Shot Put Classification],"&gt;0")</f>
        <v>1</v>
      </c>
      <c r="BT29" s="6">
        <f>COUNTIFS(Table5[Country],Tabela1[[#This Row],[Country]],Table5[Shot Put Classification],"&gt;0")</f>
        <v>0</v>
      </c>
      <c r="BU29" s="6">
        <f>COUNTIFS(Table4[Country],Tabela1[[#This Row],[Country]],Table4[Triple Jump Classification],"&gt;0")</f>
        <v>0</v>
      </c>
      <c r="BV29" s="6">
        <f>COUNTIFS(Table5[Country],Tabela1[[#This Row],[Country]],Table5[Triple Jump Classification],"&gt;0")</f>
        <v>1</v>
      </c>
      <c r="BW29" s="6">
        <f>COUNTIFS(Table4[Country],Tabela1[[#This Row],[Country]],Table4[Decathlon Classification],"&gt;0")</f>
        <v>0</v>
      </c>
      <c r="BX29" s="6">
        <f>COUNTIFS(Table5[Country],Tabela1[[#This Row],[Country]],Table5[Heptathlon Classification],"&gt;0")</f>
        <v>0</v>
      </c>
      <c r="BY29" s="6">
        <f>COUNTIFS(Table61[Country],Tabela1[[#This Row],[Country]],Table61[Classification],"&gt;0")</f>
        <v>0</v>
      </c>
      <c r="BZ29" s="6">
        <f>COUNTIFS(Table38[Country],Tabela1[[#This Row],[Country]],Table38[Classification],"&gt;0")</f>
        <v>0</v>
      </c>
      <c r="CA29" s="6">
        <f>COUNTIFS(Table39[Country],Tabela1[[#This Row],[Country]],Table39[Men''s Classification],"&gt;0")</f>
        <v>0</v>
      </c>
      <c r="CB29" s="6">
        <f>COUNTIFS(Table39[Country],Tabela1[[#This Row],[Country]],Table39[Women''s Classification],"&gt;0")</f>
        <v>0</v>
      </c>
      <c r="CC29" s="6">
        <f>COUNTIFS(Table39[Country],Tabela1[[#This Row],[Country]],Table39[Mixed Classification],"&gt;0")</f>
        <v>0</v>
      </c>
      <c r="CD29" s="6">
        <f>COUNTIFS(Table89[Country],Tabela1[[#This Row],[Country]],Table89[Men''s Classification],"&gt;0")</f>
        <v>0</v>
      </c>
      <c r="CE29" s="6">
        <f>COUNTIFS(Table89[Country],Tabela1[[#This Row],[Country]],Table89[Women''s Classification],"&gt;0")</f>
        <v>0</v>
      </c>
      <c r="CF29" s="6">
        <f>COUNTIFS(Table90[Country],Tabela1[[#This Row],[Country]],Table90[Men''s Classification],"&gt;0")</f>
        <v>0</v>
      </c>
      <c r="CG29" s="6">
        <f>COUNTIFS(Table90[Country],Tabela1[[#This Row],[Country]],Table90[Women''s Classification],"&gt;0")</f>
        <v>0</v>
      </c>
      <c r="CH29" s="6">
        <f>COUNTIFS(Table60[Country],Tabela1[[#This Row],[Country]],Table60[Men''s Classification],"&gt;0")</f>
        <v>0</v>
      </c>
      <c r="CI29" s="6">
        <f>COUNTIFS(Table60[Country],Tabela1[[#This Row],[Country]],Table60[Women''s Classification],"&gt;0")</f>
        <v>0</v>
      </c>
      <c r="CJ29" s="6">
        <f>COUNTIFS(Table6[Country],Tabela1[[#This Row],[Country]],Table6[51kg Classification],"&gt;0")</f>
        <v>0</v>
      </c>
      <c r="CK29" s="6">
        <f>COUNTIFS(Table6[Country],Tabela1[[#This Row],[Country]],Table6[57kg Classification],"&gt;0")</f>
        <v>0</v>
      </c>
      <c r="CL29" s="6">
        <f>COUNTIFS(Table6[Country],Tabela1[[#This Row],[Country]],Table6[63.5kg Classification],"&gt;0")</f>
        <v>0</v>
      </c>
      <c r="CM29" s="6">
        <f>COUNTIFS(Table6[Country],Tabela1[[#This Row],[Country]],Table6[71kg Classification],"&gt;0")</f>
        <v>0</v>
      </c>
      <c r="CN29" s="6">
        <f>COUNTIFS(Table6[Country],Tabela1[[#This Row],[Country]],Table6[80kg Classification],"&gt;0")</f>
        <v>0</v>
      </c>
      <c r="CO29" s="6">
        <f>COUNTIFS(Table6[Country],Tabela1[[#This Row],[Country]],Table6[92kg Classification],"&gt;0")</f>
        <v>0</v>
      </c>
      <c r="CP29" s="6">
        <f>COUNTIFS(Table6[Country],Tabela1[[#This Row],[Country]],Table6[Plus 92kg Classification],"&gt;0")</f>
        <v>0</v>
      </c>
      <c r="CQ29" s="6">
        <f>COUNTIFS(Table7[Country],Tabela1[[#This Row],[Country]],Table7[50kg Classification],"&gt;0")</f>
        <v>0</v>
      </c>
      <c r="CR29" s="6">
        <f>COUNTIFS(Table7[Country],Tabela1[[#This Row],[Country]],Table7[54kg Classification],"&gt;0")</f>
        <v>0</v>
      </c>
      <c r="CS29" s="6">
        <f>COUNTIFS(Table7[Country],Tabela1[[#This Row],[Country]],Table7[57kg Classification],"&gt;0")</f>
        <v>0</v>
      </c>
      <c r="CT29" s="6">
        <f>COUNTIFS(Table7[Country],Tabela1[[#This Row],[Country]],Table7[60kg Classification],"&gt;0")</f>
        <v>0</v>
      </c>
      <c r="CU29" s="6">
        <f>COUNTIFS(Table7[Country],Tabela1[[#This Row],[Country]],Table7[66kg Classification],"&gt;0")</f>
        <v>0</v>
      </c>
      <c r="CV29" s="6">
        <f>COUNTIFS(Table7[Country],Tabela1[[#This Row],[Country]],Table7[75kg Classification],"&gt;0")</f>
        <v>0</v>
      </c>
      <c r="CW29" s="6">
        <f>COUNTIFS(Tabela94[Country],Tabela1[[#This Row],[Country]],Tabela94[Classification],"&gt;0")</f>
        <v>0</v>
      </c>
      <c r="CX29" s="6">
        <f>COUNTIFS(Tabela9499[Country],Tabela1[[#This Row],[Country]],Tabela9499[Classification],"&gt;0")</f>
        <v>0</v>
      </c>
      <c r="CY29" s="6">
        <f>COUNTIFS(Tabela107[Country],Tabela1[[#This Row],[Country]],Tabela107[C1 Slalom Classification],"&gt;0")</f>
        <v>0</v>
      </c>
      <c r="CZ29" s="6">
        <f>COUNTIFS(Tabela107122[Country],Tabela1[[#This Row],[Country]],Tabela107122[C1 Slalom Classification],"&gt;0")</f>
        <v>0</v>
      </c>
      <c r="DA29" s="6">
        <f>COUNTIFS(Tabela107[Country],Tabela1[[#This Row],[Country]],Tabela107[K1 Slalom Classification],"&gt;0")</f>
        <v>0</v>
      </c>
      <c r="DB29" s="6">
        <f>COUNTIFS(Tabela107122[Country],Tabela1[[#This Row],[Country]],Tabela107122[K1 Slalom Classification],"&gt;0")</f>
        <v>0</v>
      </c>
      <c r="DC29" s="6">
        <f>COUNTIFS(Tabela107[Country],Tabela1[[#This Row],[Country]],Tabela107[Kayak Cross Slalom Classification],"&gt;0")</f>
        <v>0</v>
      </c>
      <c r="DD29" s="6">
        <f>COUNTIFS(Tabela107122[Country],Tabela1[[#This Row],[Country]],Tabela107122[Kayak Cross Slalom Classification],"&gt;0")</f>
        <v>0</v>
      </c>
      <c r="DE29" s="6">
        <f>COUNTIFS(Table8[Country],Tabela1[[#This Row],[Country]],Table8[C1 200m Classification],"&gt;0")</f>
        <v>0</v>
      </c>
      <c r="DF29" s="6">
        <f>COUNTIFS(Table40[Country],Tabela1[[#This Row],[Country]],Table40[C1 1000m Classification],"&gt;0")</f>
        <v>0</v>
      </c>
      <c r="DG29" s="6">
        <f>COUNTIFS(Table68[Country],Tabela1[[#This Row],[Country]],Table68[Men''s C2 500m Classification],"&gt;0")</f>
        <v>0</v>
      </c>
      <c r="DH29" s="6">
        <f>COUNTIFS(Table68[Country],Tabela1[[#This Row],[Country]],Table68[Women''s C2 500m Classification],"&gt;0")</f>
        <v>0</v>
      </c>
      <c r="DI29" s="6">
        <f>COUNTIFS(Table8[Country],Tabela1[[#This Row],[Country]],Table8[K1 500m Classification],"&gt;0")</f>
        <v>0</v>
      </c>
      <c r="DJ29" s="6">
        <f>COUNTIFS(Table40[Country],Tabela1[[#This Row],[Country]],Table40[K1 1000m Classification],"&gt;0")</f>
        <v>0</v>
      </c>
      <c r="DK29" s="6">
        <f>COUNTIFS(Table68[Country],Tabela1[[#This Row],[Country]],Table68[Men''s K2 500m Classification],"&gt;0")</f>
        <v>0</v>
      </c>
      <c r="DL29" s="6">
        <f>COUNTIFS(Table68[Country],Tabela1[[#This Row],[Country]],Table68[Women''s K2 500m Classification],"&gt;0")</f>
        <v>0</v>
      </c>
      <c r="DM29" s="6">
        <f>COUNTIFS(Table83[Country],Tabela1[[#This Row],[Country]],Table83[Men''s K4 500m Classification],"&gt;0")</f>
        <v>0</v>
      </c>
      <c r="DN29" s="6">
        <f>COUNTIFS(Table83[Country],Tabela1[[#This Row],[Country]],Table83[Women''s K4 500m Classification],"&gt;0")</f>
        <v>0</v>
      </c>
      <c r="DO29" s="6">
        <f>COUNTIFS(Tabela126[Country],Tabela1[[#This Row],[Country]],Tabela126[Classification],"&gt;0")</f>
        <v>0</v>
      </c>
      <c r="DP29" s="6">
        <f>COUNTIFS(Tabela126130[Country],Tabela1[[#This Row],[Country]],Tabela126130[Classification],"&gt;0")</f>
        <v>0</v>
      </c>
      <c r="DQ29" s="6">
        <f>COUNTIFS(Table70[Country],Tabela1[[#This Row],[Country]],Table70[Classification],"&gt;0")</f>
        <v>0</v>
      </c>
      <c r="DR29" s="6">
        <f>COUNTIFS(Table80[Country],Tabela1[[#This Row],[Country]],Table80[Classification],"&gt;0")</f>
        <v>0</v>
      </c>
      <c r="DS29" s="6">
        <f>COUNTIFS(Table66[Country],Tabela1[[#This Row],[Country]],Table66[Classification],"&gt;0")</f>
        <v>0</v>
      </c>
      <c r="DT29" s="6">
        <f>COUNTIFS(Table67[Country],Tabela1[[#This Row],[Country]],Table67[Classification],"&gt;0")</f>
        <v>0</v>
      </c>
      <c r="DU29" s="6">
        <f>COUNTIFS(Table69[Country],Tabela1[[#This Row],[Country]],Table69[Keirin Classification],"&gt;0")</f>
        <v>0</v>
      </c>
      <c r="DV29" s="6">
        <f>COUNTIFS(Table41[Country],Tabela1[[#This Row],[Country]],Table41[Keirin Classification],"&gt;0")</f>
        <v>0</v>
      </c>
      <c r="DW29" s="6">
        <f>COUNTIFS(Table84[Country],Tabela1[[#This Row],[Country]],Table84[Men''s Madison Classification],"&gt;0")</f>
        <v>0</v>
      </c>
      <c r="DX29" s="6">
        <f>COUNTIFS(Table84[Country],Tabela1[[#This Row],[Country]],Table84[Women''s Madison Classification],"&gt;0")</f>
        <v>0</v>
      </c>
      <c r="DY29" s="6">
        <f>COUNTIFS(Table69[Country],Tabela1[[#This Row],[Country]],Table69[Omnium Classification],"&gt;0")</f>
        <v>0</v>
      </c>
      <c r="DZ29" s="6">
        <f>COUNTIFS(Table41[Country],Tabela1[[#This Row],[Country]],Table41[Omnium Classification],"&gt;0")</f>
        <v>0</v>
      </c>
      <c r="EA29" s="6">
        <f>COUNTIFS(Table9[Country],Tabela1[[#This Row],[Country]],Table9[Road Race Classification],"&gt;0")</f>
        <v>0</v>
      </c>
      <c r="EB29" s="6">
        <f>COUNTIFS(Table14[Country],Tabela1[[#This Row],[Country]],Table14[Road Race Classification],"&gt;0")</f>
        <v>0</v>
      </c>
      <c r="EC29" s="6">
        <f>COUNTIFS(Table69[Country],Tabela1[[#This Row],[Country]],Table69[Sprint Classification],"&gt;0")</f>
        <v>0</v>
      </c>
      <c r="ED29" s="6">
        <f>COUNTIFS(Table41[Country],Tabela1[[#This Row],[Country]],Table41[Sprint Classification],"&gt;0")</f>
        <v>0</v>
      </c>
      <c r="EE29" s="6">
        <f>COUNTIFS(Table85[Country],Tabela1[[#This Row],[Country]],Table85[Men''s Sprint Classification],"&gt;0")</f>
        <v>0</v>
      </c>
      <c r="EF29" s="6">
        <f>COUNTIFS(Table85[Country],Tabela1[[#This Row],[Country]],Table85[Women''s Sprint Classification],"&gt;0")</f>
        <v>0</v>
      </c>
      <c r="EG29" s="6">
        <f>COUNTIFS(Table85[Country],Tabela1[[#This Row],[Country]],Table85[Men''s Pursuit Classification],"&gt;0")</f>
        <v>0</v>
      </c>
      <c r="EH29" s="6">
        <f>COUNTIFS(Table85[Country],Tabela1[[#This Row],[Country]],Table85[Women''s Pursuit Classification],"&gt;0")</f>
        <v>0</v>
      </c>
      <c r="EI29" s="6">
        <f>COUNTIFS(Table9[Country],Tabela1[[#This Row],[Country]],Table9[Time-Trial Classification],"&gt;0")</f>
        <v>0</v>
      </c>
      <c r="EJ29" s="6">
        <f>COUNTIFS(Table14[Country],Tabela1[[#This Row],[Country]],Table14[Time-Trial Classification],"&gt;0")</f>
        <v>0</v>
      </c>
      <c r="EK29" s="6">
        <f>COUNTIFS(Table42[Country],Tabela1[[#This Row],[Country]],Table42[Springboard Classification],"&gt;0")</f>
        <v>0</v>
      </c>
      <c r="EL29" s="6">
        <f>COUNTIFS(Table43[Country],Tabela1[[#This Row],[Country]],Table43[Springboard Classification],"&gt;0")</f>
        <v>0</v>
      </c>
      <c r="EM29" s="6">
        <f>COUNTIFS(Table42[Country],Tabela1[[#This Row],[Country]],Table42[Platform Classification],"&gt;0")</f>
        <v>0</v>
      </c>
      <c r="EN29" s="6">
        <f>COUNTIFS(Table43[Country],Tabela1[[#This Row],[Country]],Table43[Platform Classification],"&gt;0")</f>
        <v>0</v>
      </c>
      <c r="EO29" s="6">
        <f>COUNTIFS(Table86[Country],Tabela1[[#This Row],[Country]],Table86[Men''s Synchronized Springboard Classification],"&gt;0")</f>
        <v>0</v>
      </c>
      <c r="EP29" s="6">
        <f>COUNTIFS(Table86[Country],Tabela1[[#This Row],[Country]],Table86[Women''s Synchronized Springboard Classification],"&gt;0")</f>
        <v>0</v>
      </c>
      <c r="EQ29" s="6">
        <f>COUNTIFS(Table86[Country],Tabela1[[#This Row],[Country]],Table86[Men''s Synchronized Platform Classification],"&gt;0")</f>
        <v>0</v>
      </c>
      <c r="ER29" s="6">
        <f>COUNTIFS(Table86[Country],Tabela1[[#This Row],[Country]],Table86[Women''s Synchronized Platform Classification],"&gt;0")</f>
        <v>0</v>
      </c>
      <c r="ES29" s="6">
        <f>COUNTIFS(Table44[Country],Tabela1[[#This Row],[Country]],Table44[Dressage Classification],"&gt;0")</f>
        <v>0</v>
      </c>
      <c r="ET29" s="6">
        <f>COUNTIFS(Table45[Country],Tabela1[[#This Row],[Country]],Table45[Dressage Classification],"&gt;0")</f>
        <v>0</v>
      </c>
      <c r="EU29" s="6">
        <f>COUNTIFS(Table44[Country],Tabela1[[#This Row],[Country]],Table44[Eventing Classification],"&gt;0")</f>
        <v>0</v>
      </c>
      <c r="EV29" s="6">
        <f>COUNTIFS(Table45[Country],Tabela1[[#This Row],[Country]],Table45[Eventing Classification],"&gt;0")</f>
        <v>0</v>
      </c>
      <c r="EW29" s="6">
        <f>COUNTIFS(Table44[Country],Tabela1[[#This Row],[Country]],Table44[Jumping Classification],"&gt;0")</f>
        <v>0</v>
      </c>
      <c r="EX29" s="6">
        <f>COUNTIFS(Table45[Country],Tabela1[[#This Row],[Country]],Table45[Jumping Classification],"&gt;0")</f>
        <v>0</v>
      </c>
      <c r="EY29" s="6">
        <f>COUNTIFS(Table10[Country],Tabela1[[#This Row],[Country]],Table10[Épée Classification],"&gt;0")</f>
        <v>0</v>
      </c>
      <c r="EZ29" s="6">
        <f>COUNTIFS(Table11[Country],Tabela1[[#This Row],[Country]],Table11[Épée Classification],"&gt;0")</f>
        <v>0</v>
      </c>
      <c r="FA29" s="6">
        <f>COUNTIFS(Table46[Country],Tabela1[[#This Row],[Country]],Table46[Men''s Épée Classification],"&gt;0")</f>
        <v>0</v>
      </c>
      <c r="FB29" s="6">
        <f>COUNTIFS(Table46[Country],Tabela1[[#This Row],[Country]],Table46[Women''s Épée Classification],"&gt;0")</f>
        <v>0</v>
      </c>
      <c r="FC29" s="6">
        <f>COUNTIFS(Table10[Country],Tabela1[[#This Row],[Country]],Table10[Foil Classification],"&gt;0")</f>
        <v>0</v>
      </c>
      <c r="FD29" s="6">
        <f>COUNTIFS(Table11[Country],Tabela1[[#This Row],[Country]],Table11[Foil Classification],"&gt;0")</f>
        <v>1</v>
      </c>
      <c r="FE29" s="6">
        <f>COUNTIFS(Table46[Country],Tabela1[[#This Row],[Country]],Table46[Men''s Foil Classification],"&gt;0")</f>
        <v>0</v>
      </c>
      <c r="FF29" s="6">
        <f>COUNTIFS(Table46[Country],Tabela1[[#This Row],[Country]],Table46[Women''s Foil Classification],"&gt;0")</f>
        <v>0</v>
      </c>
      <c r="FG29" s="6">
        <f>COUNTIFS(Table10[Country],Tabela1[[#This Row],[Country]],Table10[Sabre Classification],"&gt;0")</f>
        <v>0</v>
      </c>
      <c r="FH29" s="6">
        <f>COUNTIFS(Table11[Country],Tabela1[[#This Row],[Country]],Table11[Sabre Classification],"&gt;0")</f>
        <v>0</v>
      </c>
      <c r="FI29" s="6">
        <f>COUNTIFS(Table46[Country],Tabela1[[#This Row],[Country]],Table46[Men''s Sabre Classification],"&gt;0")</f>
        <v>0</v>
      </c>
      <c r="FJ29" s="6">
        <f>COUNTIFS(Table46[Country],Tabela1[[#This Row],[Country]],Table46[Women''s Sabre Classification],"&gt;0")</f>
        <v>0</v>
      </c>
      <c r="FK29" s="6">
        <f>COUNTIFS(Table91[Country],Tabela1[[#This Row],[Country]],Table91[Men''s Classification],"&gt;0")</f>
        <v>0</v>
      </c>
      <c r="FL29" s="6">
        <f>COUNTIFS(Table91[Country],Tabela1[[#This Row],[Country]],Table91[Women''s Classification],"&gt;0")</f>
        <v>0</v>
      </c>
      <c r="FM29" s="6">
        <f>COUNTIFS(Table9194[Country],Tabela1[[#This Row],[Country]],Table9194[Men''s Classification],"&gt;0")</f>
        <v>0</v>
      </c>
      <c r="FN29" s="6">
        <f>COUNTIFS(Table9194[Country],Tabela1[[#This Row],[Country]],Table9194[Women''s Classification],"&gt;0")</f>
        <v>0</v>
      </c>
      <c r="FO29" s="6">
        <f>COUNTIFS(Table71[Country],Tabela1[[#This Row],[Country]],Table71[Classification],"&gt;0")</f>
        <v>0</v>
      </c>
      <c r="FP29" s="6">
        <f>COUNTIFS(Table62[Country],Tabela1[[#This Row],[Country]],Table62[Classification],"&gt;0")</f>
        <v>0</v>
      </c>
      <c r="FQ29" s="6">
        <f>COUNTIFS(Table47[Country],Tabela1[[#This Row],[Country]],Table47[All-Around Classification],"&gt;0")</f>
        <v>0</v>
      </c>
      <c r="FR29" s="6">
        <f>COUNTIFS(Table48[Country],Tabela1[[#This Row],[Country]],Table48[All-Around Classification],"&gt;0")</f>
        <v>1</v>
      </c>
      <c r="FS29" s="6">
        <f>COUNTIFS(Table81[Country],Tabela1[[#This Row],[Country]],Table81[Men''s All-Around Classification],"&gt;0")</f>
        <v>0</v>
      </c>
      <c r="FT29" s="6">
        <f>COUNTIFS(Table81[Country],Tabela1[[#This Row],[Country]],Table81[Women''s All-Around Classification],"&gt;0")</f>
        <v>1</v>
      </c>
      <c r="FU29" s="6">
        <f>COUNTIFS(Table48[Country],Tabela1[[#This Row],[Country]],Table48[Balance Beam Classification],"&gt;0")</f>
        <v>1</v>
      </c>
      <c r="FV29" s="6">
        <f>COUNTIFS(Table47[Country],Tabela1[[#This Row],[Country]],Table47[Floor Exercise Classification],"&gt;0")</f>
        <v>0</v>
      </c>
      <c r="FW29" s="6">
        <f>COUNTIFS(Table48[Country],Tabela1[[#This Row],[Country]],Table48[Floor Exercise Classification],"&gt;0")</f>
        <v>1</v>
      </c>
      <c r="FX29" s="6">
        <f>COUNTIFS(Table47[Country],Tabela1[[#This Row],[Country]],Table47[Horizontal Bar Classification],"&gt;0")</f>
        <v>0</v>
      </c>
      <c r="FY29" s="6">
        <f>COUNTIFS(Table47[Country],Tabela1[[#This Row],[Country]],Table47[Parallel Bars Classification],"&gt;0")</f>
        <v>1</v>
      </c>
      <c r="FZ29" s="6">
        <f>COUNTIFS(Table47[Country],Tabela1[[#This Row],[Country]],Table47[Pommel Horse Classification],"&gt;0")</f>
        <v>0</v>
      </c>
      <c r="GA29" s="6">
        <f>COUNTIFS(Table47[Country],Tabela1[[#This Row],[Country]],Table47[Rings Classification],"&gt;0")</f>
        <v>0</v>
      </c>
      <c r="GB29" s="6">
        <f>COUNTIFS(Tabela132[Country],Tabela1[[#This Row],[Country]],Tabela132[Classification],"&gt;0")</f>
        <v>0</v>
      </c>
      <c r="GC29" s="6">
        <f>COUNTIFS(Tabela139[Country],Tabela1[[#This Row],[Country]],Tabela139[Classification],"&gt;0")</f>
        <v>0</v>
      </c>
      <c r="GD29" s="6">
        <f>COUNTIFS(Table48[Country],Tabela1[[#This Row],[Country]],Table48[Uneven Bars Classification],"&gt;0")</f>
        <v>1</v>
      </c>
      <c r="GE29" s="6">
        <f>COUNTIFS(Table47[Country],Tabela1[[#This Row],[Country]],Table47[Vault Classification],"&gt;0")</f>
        <v>0</v>
      </c>
      <c r="GF29" s="6">
        <f>COUNTIFS(Table48[Country],Tabela1[[#This Row],[Country]],Table48[Vault Classification],"&gt;0")</f>
        <v>0</v>
      </c>
      <c r="GG29" s="6">
        <f>COUNTIFS(Table919496[Country],Tabela1[[#This Row],[Country]],Table919496[Men''s Classification],"&gt;0")</f>
        <v>0</v>
      </c>
      <c r="GH29" s="6">
        <f>COUNTIFS(Table919496[Country],Tabela1[[#This Row],[Country]],Table919496[Women''s Classification],"&gt;0")</f>
        <v>0</v>
      </c>
      <c r="GI29" s="6">
        <f>COUNTIFS(Table12[Country],Tabela1[[#This Row],[Country]],Table12[60kg Classification],"&gt;0")</f>
        <v>0</v>
      </c>
      <c r="GJ29" s="6">
        <f>COUNTIFS(Table12[Country],Tabela1[[#This Row],[Country]],Table12[66kg Classification],"&gt;0")</f>
        <v>0</v>
      </c>
      <c r="GK29" s="6">
        <f>COUNTIFS(Table12[Country],Tabela1[[#This Row],[Country]],Table12[73kg Classification],"&gt;0")</f>
        <v>0</v>
      </c>
      <c r="GL29" s="6">
        <f>COUNTIFS(Table12[Country],Tabela1[[#This Row],[Country]],Table12[81kg Classification],"&gt;0")</f>
        <v>0</v>
      </c>
      <c r="GM29" s="6">
        <f>COUNTIFS(Table12[Country],Tabela1[[#This Row],[Country]],Table12[90kg Classification],"&gt;0")</f>
        <v>1</v>
      </c>
      <c r="GN29" s="6">
        <f>COUNTIFS(Table12[Country],Tabela1[[#This Row],[Country]],Table12[100kg Classification],"&gt;0")</f>
        <v>0</v>
      </c>
      <c r="GO29" s="6">
        <f>COUNTIFS(Table12[Country],Tabela1[[#This Row],[Country]],Table12[Plus 100kg Classification],"&gt;0")</f>
        <v>0</v>
      </c>
      <c r="GP29" s="6">
        <f>COUNTIFS(Table13[Country],Tabela1[[#This Row],[Country]],Table13[48kg Classification],"&gt;0")</f>
        <v>0</v>
      </c>
      <c r="GQ29" s="6">
        <f>COUNTIFS(Table13[Country],Tabela1[[#This Row],[Country]],Table13[52kg Classification],"&gt;0")</f>
        <v>0</v>
      </c>
      <c r="GR29" s="6">
        <f>COUNTIFS(Table13[Country],Tabela1[[#This Row],[Country]],Table13[57kg Classification],"&gt;0")</f>
        <v>0</v>
      </c>
      <c r="GS29" s="6">
        <f>COUNTIFS(Table13[Country],Tabela1[[#This Row],[Country]],Table13[63kg Classification],"&gt;0")</f>
        <v>0</v>
      </c>
      <c r="GT29" s="6">
        <f>COUNTIFS(Table13[Country],Tabela1[[#This Row],[Country]],Table13[70kg Classification],"&gt;0")</f>
        <v>0</v>
      </c>
      <c r="GU29" s="6">
        <f>COUNTIFS(Table13[Country],Tabela1[[#This Row],[Country]],Table13[78kg Classification],"&gt;0")</f>
        <v>0</v>
      </c>
      <c r="GV29" s="6">
        <f>COUNTIFS(Table13[Country],Tabela1[[#This Row],[Country]],Table13[Plus 78kg Classification],"&gt;0")</f>
        <v>0</v>
      </c>
      <c r="GW29" s="6">
        <f>COUNTIFS(Table82[Country],Tabela1[[#This Row],[Country]],Table82[Mixed Classification],"&gt;0")</f>
        <v>0</v>
      </c>
      <c r="GX29" s="6">
        <f>COUNTIFS(Table51[Country],Tabela1[[#This Row],[Country]],Table51[Classification],"&gt;0")</f>
        <v>0</v>
      </c>
      <c r="GY29" s="6">
        <f>COUNTIFS(Table52[Country],Tabela1[[#This Row],[Country]],Table52[Classification],"&gt;0")</f>
        <v>0</v>
      </c>
      <c r="GZ29" s="6">
        <f>COUNTIFS(Table32[Country],Tabela1[[#This Row],[Country]],Table32[All-Around Classification],"&gt;0")</f>
        <v>1</v>
      </c>
      <c r="HA29" s="6">
        <f>COUNTIFS(Table49[Country],Tabela1[[#This Row],[Country]],Table49[All-Around Classification],"&gt;0")</f>
        <v>0</v>
      </c>
      <c r="HB29" s="6">
        <f>COUNTIFS(Table26[Country],Tabela1[[#This Row],[Country]],Table26[Single Sculls Classification],"&gt;0")</f>
        <v>1</v>
      </c>
      <c r="HC29" s="6">
        <f>COUNTIFS(Table63[Country],Tabela1[[#This Row],[Country]],Table63[Single Sculls Classification],"&gt;0")</f>
        <v>0</v>
      </c>
      <c r="HD29" s="6">
        <f>COUNTIFS(Table16[Country],Tabela1[[#This Row],[Country]],Table16[Men''s Double Sculls Classification],"&gt;0")</f>
        <v>0</v>
      </c>
      <c r="HE29" s="6">
        <f>COUNTIFS(Table16[Country],Tabela1[[#This Row],[Country]],Table16[Women''s Double Sculls Classification],"&gt;0")</f>
        <v>1</v>
      </c>
      <c r="HF29" s="6">
        <f>COUNTIFS(Table72[Country],Tabela1[[#This Row],[Country]],Table72[Men''s Quadruple Sculls Classification],"&gt;0")</f>
        <v>1</v>
      </c>
      <c r="HG29" s="6">
        <f>COUNTIFS(Table72[Country],Tabela1[[#This Row],[Country]],Table72[Women''s Quadruple Sculls Classification],"&gt;0")</f>
        <v>1</v>
      </c>
      <c r="HH29" s="6">
        <f>COUNTIFS(Table16[Country],Tabela1[[#This Row],[Country]],Table16[Men''s Coxless Pairs Classification],"&gt;0")</f>
        <v>0</v>
      </c>
      <c r="HI29" s="6">
        <f>COUNTIFS(Table16[Country],Tabela1[[#This Row],[Country]],Table16[Women''s Coxless Pairs Classification],"&gt;0")</f>
        <v>0</v>
      </c>
      <c r="HJ29" s="6">
        <f>COUNTIFS(Table72[Country],Tabela1[[#This Row],[Country]],Table72[Men''s Coxless Fours Classification],"&gt;0")</f>
        <v>1</v>
      </c>
      <c r="HK29" s="6">
        <f>COUNTIFS(Table72[Country],Tabela1[[#This Row],[Country]],Table72[Women''s Coxless Fours Classification],"&gt;0")</f>
        <v>1</v>
      </c>
      <c r="HL29" s="6">
        <f>COUNTIFS(Table72[Country],Tabela1[[#This Row],[Country]],Table72[Men''s Eights Classification],"&gt;0")</f>
        <v>1</v>
      </c>
      <c r="HM29" s="6">
        <f>COUNTIFS(Table72[Country],Tabela1[[#This Row],[Country]],Table72[Women''s Eights Classification],"&gt;0")</f>
        <v>1</v>
      </c>
      <c r="HN29" s="6">
        <f>COUNTIFS(Table16[Country],Tabela1[[#This Row],[Country]],Table16[Men''s Lwt. Double Sculls Classification],"&gt;0")</f>
        <v>0</v>
      </c>
      <c r="HO29" s="6">
        <f>COUNTIFS(Table16[Country],Tabela1[[#This Row],[Country]],Table16[Women''s Lwt. Double Sculls Classification],"&gt;0")</f>
        <v>0</v>
      </c>
      <c r="HP29" s="6">
        <f>COUNTIFS(Table91949698[Country],Tabela1[[#This Row],[Country]],Table91949698[Men''s Classification],"&gt;0")</f>
        <v>0</v>
      </c>
      <c r="HQ29" s="6">
        <f>COUNTIFS(Table91949698[Country],Tabela1[[#This Row],[Country]],Table91949698[Women''s Classification],"&gt;0")</f>
        <v>0</v>
      </c>
      <c r="HR29" s="6">
        <f>COUNTIFS(Table25[Country],Tabela1[[#This Row],[Country]],Table25[Mixed 470 Classification],"&gt;0")</f>
        <v>0</v>
      </c>
      <c r="HS29" s="6">
        <f>COUNTIFS(Table25[Country],Tabela1[[#This Row],[Country]],Table25[Men''s 49er Classification],"&gt;0")</f>
        <v>0</v>
      </c>
      <c r="HT29" s="6">
        <f>COUNTIFS(Table25[Country],Tabela1[[#This Row],[Country]],Table25[Women''s 49er FX Classification],"&gt;0")</f>
        <v>0</v>
      </c>
      <c r="HU29" s="6">
        <f>COUNTIFS(Table17[Country],Tabela1[[#This Row],[Country]],Table17[Formula Kite Classification],"&gt;0")</f>
        <v>0</v>
      </c>
      <c r="HV29" s="6">
        <f>COUNTIFS(Table18[Country],Tabela1[[#This Row],[Country]],Table18[Formula Kite Classification],"&gt;0")</f>
        <v>0</v>
      </c>
      <c r="HW29" s="6">
        <f>COUNTIFS(Table17[Country],Tabela1[[#This Row],[Country]],Table17[ILCA 7 Classification],"&gt;0")</f>
        <v>0</v>
      </c>
      <c r="HX29" s="6">
        <f>COUNTIFS(Table18[Country],Tabela1[[#This Row],[Country]],Table18[ILCA 6 Classification],"&gt;0")</f>
        <v>0</v>
      </c>
      <c r="HY29" s="6">
        <f>COUNTIFS(Table17[Country],Tabela1[[#This Row],[Country]],Table17[IQFoil Classification],"&gt;0")</f>
        <v>0</v>
      </c>
      <c r="HZ29" s="6">
        <f>COUNTIFS(Table18[Country],Tabela1[[#This Row],[Country]],Table18[IQFoil Classification],"&gt;0")</f>
        <v>0</v>
      </c>
      <c r="IA29" s="6">
        <f>COUNTIFS(Table25[Country],Tabela1[[#This Row],[Country]],Table25[Mixed Nacra 17 Classification],"&gt;0")</f>
        <v>0</v>
      </c>
      <c r="IB29" s="6">
        <f>COUNTIFS(Table53[Country],Tabela1[[#This Row],[Country]],Table53[10m Air Pistol Classification],"&gt;0")</f>
        <v>0</v>
      </c>
      <c r="IC29" s="6">
        <f>COUNTIFS(Table19[Country],Tabela1[[#This Row],[Country]],Table19[10m Air Pistol Classification],"&gt;0")</f>
        <v>0</v>
      </c>
      <c r="ID29" s="6">
        <f>COUNTIFS(Table54[Country],Tabela1[[#This Row],[Country]],Table54[Mixed 10m Air Pistol Team Classification],"&gt;0")</f>
        <v>0</v>
      </c>
      <c r="IE29" s="6">
        <f>COUNTIFS(Table53[Country],Tabela1[[#This Row],[Country]],Table53[10m Air Rifle Classification],"&gt;0")</f>
        <v>0</v>
      </c>
      <c r="IF29" s="6">
        <f>COUNTIFS(Table19[Country],Tabela1[[#This Row],[Country]],Table19[10m Air Rifle Classification],"&gt;0")</f>
        <v>0</v>
      </c>
      <c r="IG29" s="6">
        <f>COUNTIFS(Table54[Country],Tabela1[[#This Row],[Country]],Table54[Mixed 10m Air Rifle Team Classification],"&gt;0")</f>
        <v>0</v>
      </c>
      <c r="IH29" s="6">
        <f>COUNTIFS(Table53[Country],Tabela1[[#This Row],[Country]],Table53[25m Rapid Fire Pistol Classification],"&gt;0")</f>
        <v>0</v>
      </c>
      <c r="II29" s="6">
        <f>COUNTIFS(Table19[Country],Tabela1[[#This Row],[Country]],Table19[25m Pistol Classification],"&gt;0")</f>
        <v>0</v>
      </c>
      <c r="IJ29" s="6">
        <f>COUNTIFS(Table53[Country],Tabela1[[#This Row],[Country]],Table53[50m Rifle 3 Positions Classification],"&gt;0")</f>
        <v>0</v>
      </c>
      <c r="IK29" s="6">
        <f>COUNTIFS(Table19[Country],Tabela1[[#This Row],[Country]],Table19[50m Rifle 3 Positions Classification],"&gt;0")</f>
        <v>0</v>
      </c>
      <c r="IL29" s="6">
        <f>COUNTIFS(Table53[Country],Tabela1[[#This Row],[Country]],Table53[Skeet Classification],"&gt;0")</f>
        <v>0</v>
      </c>
      <c r="IM29" s="6">
        <f>COUNTIFS(Table19[Country],Tabela1[[#This Row],[Country]],Table19[Skeet Classification],"&gt;0")</f>
        <v>0</v>
      </c>
      <c r="IN29" s="6">
        <f>COUNTIFS(Table54[Country],Tabela1[[#This Row],[Country]],Table54[Mixed Skeet Team Classification],"&gt;0")</f>
        <v>0</v>
      </c>
      <c r="IO29" s="6">
        <f>COUNTIFS(Table53[Country],Tabela1[[#This Row],[Country]],Table53[Trap Classification],"&gt;0")</f>
        <v>0</v>
      </c>
      <c r="IP29" s="6">
        <f>COUNTIFS(Table19[Country],Tabela1[[#This Row],[Country]],Table19[Trap Classification],"&gt;0")</f>
        <v>0</v>
      </c>
      <c r="IQ29" s="6">
        <f>COUNTIFS(Table73[Country],Tabela1[[#This Row],[Country]],Table73[Park Classification],"&gt;0")</f>
        <v>0</v>
      </c>
      <c r="IR29" s="6">
        <f>COUNTIFS(Table74[Country],Tabela1[[#This Row],[Country]],Table74[Park Classification],"&gt;0")</f>
        <v>0</v>
      </c>
      <c r="IS29" s="6">
        <f>COUNTIFS(Table73[Country],Tabela1[[#This Row],[Country]],Table73[Street Classification],"&gt;0")</f>
        <v>0</v>
      </c>
      <c r="IT29" s="6">
        <f>COUNTIFS(Table74[Country],Tabela1[[#This Row],[Country]],Table74[Street Classification],"&gt;0")</f>
        <v>0</v>
      </c>
      <c r="IU29" s="6">
        <f>COUNTIFS(Table75[Country],Tabela1[[#This Row],[Country]],Table75[Boulder and Lead Classification],"&gt;0")</f>
        <v>0</v>
      </c>
      <c r="IV29" s="6">
        <f>COUNTIFS(Table76[Country],Tabela1[[#This Row],[Country]],Table76[Boulder and Lead Classification],"&gt;0")</f>
        <v>0</v>
      </c>
      <c r="IW29" s="6">
        <f>COUNTIFS(Table75[Country],Tabela1[[#This Row],[Country]],Table75[Speed Classification],"&gt;0")</f>
        <v>0</v>
      </c>
      <c r="IX29" s="6">
        <f>COUNTIFS(Table76[Country],Tabela1[[#This Row],[Country]],Table76[Speed Classification],"&gt;0")</f>
        <v>0</v>
      </c>
      <c r="IY29" s="6">
        <f>COUNTIFS(Table64[Country],Tabela1[[#This Row],[Country]],Table64[Shortboard Classification],"&gt;0")</f>
        <v>0</v>
      </c>
      <c r="IZ29" s="6">
        <f>COUNTIFS(Table77[Country],Tabela1[[#This Row],[Country]],Table77[Shortboard Classification],"&gt;0")</f>
        <v>0</v>
      </c>
      <c r="JA29" s="6">
        <f>COUNTIFS(Table20[Country],Tabela1[[#This Row],[Country]],Table20[50m Freestyle Classification],"&gt;0")</f>
        <v>0</v>
      </c>
      <c r="JB29" s="6">
        <f>COUNTIFS(Table21[Country],Tabela1[[#This Row],[Country]],Table21[50m Freestyle Classification],"&gt;0")</f>
        <v>0</v>
      </c>
      <c r="JC29" s="6">
        <f>COUNTIFS(Table20[Country],Tabela1[[#This Row],[Country]],Table20[100m Freestyle Classification],"&gt;0")</f>
        <v>1</v>
      </c>
      <c r="JD29" s="6">
        <f>COUNTIFS(Table21[Country],Tabela1[[#This Row],[Country]],Table21[100m Freestyle Classification],"&gt;0")</f>
        <v>0</v>
      </c>
      <c r="JE29" s="6">
        <f>COUNTIFS(Table20[Country],Tabela1[[#This Row],[Country]],Table20[200m Freestyle Classification],"&gt;0")</f>
        <v>1</v>
      </c>
      <c r="JF29" s="6">
        <f>COUNTIFS(Table21[Country],Tabela1[[#This Row],[Country]],Table21[200m Freestyle Classification],"&gt;0")</f>
        <v>1</v>
      </c>
      <c r="JG29" s="6">
        <f>COUNTIFS(Table20[Country],Tabela1[[#This Row],[Country]],Table20[400m Freestyle Classification],"&gt;0")</f>
        <v>0</v>
      </c>
      <c r="JH29" s="6">
        <f>COUNTIFS(Table21[Country],Tabela1[[#This Row],[Country]],Table21[400m Freestyle Classification],"&gt;0")</f>
        <v>0</v>
      </c>
      <c r="JI29" s="6">
        <f>COUNTIFS(Table20[Country],Tabela1[[#This Row],[Country]],Table20[800m Freestyle Classification],"&gt;0")</f>
        <v>1</v>
      </c>
      <c r="JJ29" s="6">
        <f>COUNTIFS(Table21[Country],Tabela1[[#This Row],[Country]],Table21[800m Freestyle Classification],"&gt;0")</f>
        <v>0</v>
      </c>
      <c r="JK29" s="6">
        <f>COUNTIFS(Table20[Country],Tabela1[[#This Row],[Country]],Table20[1500m Freestyle Classification],"&gt;0")</f>
        <v>0</v>
      </c>
      <c r="JL29" s="6">
        <f>COUNTIFS(Table21[Country],Tabela1[[#This Row],[Country]],Table21[1500m Freestyle Classification],"&gt;0")</f>
        <v>0</v>
      </c>
      <c r="JM29" s="6">
        <f>COUNTIFS(Table20[Country],Tabela1[[#This Row],[Country]],Table20[100m Backstroke Classification],"&gt;0")</f>
        <v>0</v>
      </c>
      <c r="JN29" s="6">
        <f>COUNTIFS(Table21[Country],Tabela1[[#This Row],[Country]],Table21[100m Backstroke Classification],"&gt;0")</f>
        <v>0</v>
      </c>
      <c r="JO29" s="6">
        <f>COUNTIFS(Table20[Country],Tabela1[[#This Row],[Country]],Table20[200m Backstroke Classification],"&gt;0")</f>
        <v>0</v>
      </c>
      <c r="JP29" s="6">
        <f>COUNTIFS(Table21[Country],Tabela1[[#This Row],[Country]],Table21[200m Backstroke Classification],"&gt;0")</f>
        <v>0</v>
      </c>
      <c r="JQ29" s="6">
        <f>COUNTIFS(Table20[Country],Tabela1[[#This Row],[Country]],Table20[100m Breaststroke Classification],"&gt;0")</f>
        <v>0</v>
      </c>
      <c r="JR29" s="6">
        <f>COUNTIFS(Table21[Country],Tabela1[[#This Row],[Country]],Table21[100m Breaststroke Classification],"&gt;0")</f>
        <v>0</v>
      </c>
      <c r="JS29" s="6">
        <f>COUNTIFS(Table20[Country],Tabela1[[#This Row],[Country]],Table20[200m Breaststroke Classification],"&gt;0")</f>
        <v>0</v>
      </c>
      <c r="JT29" s="6">
        <f>COUNTIFS(Table21[Country],Tabela1[[#This Row],[Country]],Table21[200m Breaststroke Classification],"&gt;0")</f>
        <v>0</v>
      </c>
      <c r="JU29" s="6">
        <f>COUNTIFS(Table20[Country],Tabela1[[#This Row],[Country]],Table20[100m Butterfly Classification],"&gt;0")</f>
        <v>0</v>
      </c>
      <c r="JV29" s="6">
        <f>COUNTIFS(Table21[Country],Tabela1[[#This Row],[Country]],Table21[100m Butterfly Classification],"&gt;0")</f>
        <v>0</v>
      </c>
      <c r="JW29" s="6">
        <f>COUNTIFS(Table20[Country],Tabela1[[#This Row],[Country]],Table20[200m Butterfly Classification],"&gt;0")</f>
        <v>0</v>
      </c>
      <c r="JX29" s="6">
        <f>COUNTIFS(Table21[Country],Tabela1[[#This Row],[Country]],Table21[200m Butterfly Classification],"&gt;0")</f>
        <v>0</v>
      </c>
      <c r="JY29" s="6">
        <f>COUNTIFS(Table20[Country],Tabela1[[#This Row],[Country]],Table20[200m Medley Classification],"&gt;0")</f>
        <v>0</v>
      </c>
      <c r="JZ29" s="6">
        <f>COUNTIFS(Table21[Country],Tabela1[[#This Row],[Country]],Table21[200m Medley Classification],"&gt;0")</f>
        <v>0</v>
      </c>
      <c r="KA29" s="6">
        <f>COUNTIFS(Table20[Country],Tabela1[[#This Row],[Country]],Table20[400m Medley Classification],"&gt;0")</f>
        <v>0</v>
      </c>
      <c r="KB29" s="6">
        <f>COUNTIFS(Table21[Country],Tabela1[[#This Row],[Country]],Table21[400m Medley Classification],"&gt;0")</f>
        <v>0</v>
      </c>
      <c r="KC29" s="6">
        <f>COUNTIFS(Table78[Country],Tabela1[[#This Row],[Country]],Table78[Men''s 4x100m Freestyle Relay Classification],"&gt;0")</f>
        <v>0</v>
      </c>
      <c r="KD29" s="6">
        <f>COUNTIFS(Table78[Country],Tabela1[[#This Row],[Country]],Table78[Women''s 4x100m Freestyle Relay Classification],"&gt;0")</f>
        <v>0</v>
      </c>
      <c r="KE29" s="6">
        <f>COUNTIFS(Table78[Country],Tabela1[[#This Row],[Country]],Table78[Men''s 4x200m Freestyle Relay Classification],"&gt;0")</f>
        <v>0</v>
      </c>
      <c r="KF29" s="6">
        <f>COUNTIFS(Table78[Country],Tabela1[[#This Row],[Country]],Table78[Women''s 4x200m Freestyle Relay Classification],"&gt;0")</f>
        <v>0</v>
      </c>
      <c r="KG29" s="6">
        <f>COUNTIFS(Table78[Country],Tabela1[[#This Row],[Country]],Table78[Men''s 4x100m Medley Relay Classification],"&gt;0")</f>
        <v>0</v>
      </c>
      <c r="KH29" s="6">
        <f>COUNTIFS(Table78[Country],Tabela1[[#This Row],[Country]],Table78[Women''s 4x100m Medley Relay Classification],"&gt;0")</f>
        <v>0</v>
      </c>
      <c r="KI29" s="6">
        <f>COUNTIFS(Table78[Country],Tabela1[[#This Row],[Country]],Table78[Mixed 4x100m Medley Relay Classification],"&gt;0")</f>
        <v>0</v>
      </c>
      <c r="KJ29" s="6">
        <f>COUNTIFS(Table20[Country],Tabela1[[#This Row],[Country]],Table20[10km Open Water Classification],"&gt;0")</f>
        <v>0</v>
      </c>
      <c r="KK29" s="6">
        <f>COUNTIFS(Table21[Country],Tabela1[[#This Row],[Country]],Table21[10km Open Water Classification],"&gt;0")</f>
        <v>0</v>
      </c>
      <c r="KL29" s="6">
        <f>COUNTIFS(Table22[Country],Tabela1[[#This Row],[Country]],Table22[Classification],"&gt;0")</f>
        <v>0</v>
      </c>
      <c r="KM29" s="6">
        <f>COUNTIFS(Table30[Country],Tabela1[[#This Row],[Country]],Table30[Classification],"&gt;0")</f>
        <v>1</v>
      </c>
      <c r="KN29" s="6">
        <f>COUNTIFS(Table55[Country],Tabela1[[#This Row],[Country]],Table55[Men''s Classification],"&gt;0")</f>
        <v>0</v>
      </c>
      <c r="KO29" s="6">
        <f>COUNTIFS(Table55[Country],Tabela1[[#This Row],[Country]],Table55[Women''s Classification],"&gt;0")</f>
        <v>1</v>
      </c>
      <c r="KP29" s="6">
        <f>COUNTIFS(Table56[Country],Tabela1[[#This Row],[Country]],Table56[Mixed Classification],"&gt;0")</f>
        <v>1</v>
      </c>
      <c r="KQ29" s="6">
        <f>COUNTIFS(Table29[Country],Tabela1[[#This Row],[Country]],Table29[58kg Classification],"&gt;0")</f>
        <v>0</v>
      </c>
      <c r="KR29" s="6">
        <f>COUNTIFS(Table29[Country],Tabela1[[#This Row],[Country]],Table29[68kg Classification],"&gt;0")</f>
        <v>0</v>
      </c>
      <c r="KS29" s="6">
        <f>COUNTIFS(Table29[Country],Tabela1[[#This Row],[Country]],Table29[80kg Classification],"&gt;0")</f>
        <v>0</v>
      </c>
      <c r="KT29" s="6">
        <f>COUNTIFS(Table29[Country],Tabela1[[#This Row],[Country]],Table29[Plus 80kg Classification],"&gt;0")</f>
        <v>0</v>
      </c>
      <c r="KU29" s="6">
        <f>COUNTIFS(Table34[Country],Tabela1[[#This Row],[Country]],Table34[49kg Classification],"&gt;0")</f>
        <v>0</v>
      </c>
      <c r="KV29" s="6">
        <f>COUNTIFS(Table34[Country],Tabela1[[#This Row],[Country]],Table34[57kg Classification],"&gt;0")</f>
        <v>0</v>
      </c>
      <c r="KW29" s="6">
        <f>COUNTIFS(Table34[Country],Tabela1[[#This Row],[Country]],Table34[67kg Classification],"&gt;0")</f>
        <v>0</v>
      </c>
      <c r="KX29" s="6">
        <f>COUNTIFS(Table34[Country],Tabela1[[#This Row],[Country]],Table34[Plus 67kg Classification],"&gt;0")</f>
        <v>0</v>
      </c>
      <c r="KY29" s="6">
        <f>COUNTIFS(Table57[Country],Tabela1[[#This Row],[Country]],Table57[Classification],"&gt;0")</f>
        <v>0</v>
      </c>
      <c r="KZ29" s="6">
        <f>COUNTIFS(Table58[Country],Tabela1[[#This Row],[Country]],Table58[Classification],"&gt;0")</f>
        <v>2</v>
      </c>
      <c r="LA29" s="6">
        <f>COUNTIFS(Table79[Country],Tabela1[[#This Row],[Country]],Table79[Men''s Classification],"&gt;0")</f>
        <v>0</v>
      </c>
      <c r="LB29" s="6">
        <f>COUNTIFS(Table79[Country],Tabela1[[#This Row],[Country]],Table79[Women''s Classification],"&gt;0")</f>
        <v>2</v>
      </c>
      <c r="LC29" s="6">
        <f>COUNTIFS(Table79[Country],Tabela1[[#This Row],[Country]],Table79[Mixed Classification],"&gt;0")</f>
        <v>0</v>
      </c>
      <c r="LD29" s="6">
        <f>COUNTIFS(Table65[Country],Tabela1[[#This Row],[Country]],Table65[Classification],"&gt;0")</f>
        <v>1</v>
      </c>
      <c r="LE29" s="6">
        <f>COUNTIFS(Table59[Country],Tabela1[[#This Row],[Country]],Table59[Classification],"&gt;0")</f>
        <v>0</v>
      </c>
      <c r="LF29" s="6">
        <f>COUNTIFS(Table87[Country],Tabela1[[#This Row],[Country]],Table87[Mixed Relay Classification],"&gt;0")</f>
        <v>0</v>
      </c>
      <c r="LG29" s="6">
        <f>COUNTIFS(Table91949698100[Country],Tabela1[[#This Row],[Country]],Table91949698100[Men''s Classification],"&gt;0")</f>
        <v>0</v>
      </c>
      <c r="LH29" s="6">
        <f>COUNTIFS(Table91949698100[Country],Tabela1[[#This Row],[Country]],Table91949698100[Women''s Classification],"&gt;0")</f>
        <v>0</v>
      </c>
      <c r="LI29" s="6">
        <f>COUNTIFS(Table91949698100102[Country],Tabela1[[#This Row],[Country]],Table91949698100102[Men''s Classification],"&gt;0")</f>
        <v>1</v>
      </c>
      <c r="LJ29" s="6">
        <f>COUNTIFS(Table91949698100102[Country],Tabela1[[#This Row],[Country]],Table91949698100102[Women''s Classification],"&gt;0")</f>
        <v>0</v>
      </c>
      <c r="LK29" s="6">
        <f>COUNTIFS(Table23[Country],Tabela1[[#This Row],[Country]],Table23[61kg Classification],"&gt;0")</f>
        <v>0</v>
      </c>
      <c r="LL29" s="6">
        <f>COUNTIFS(Table23[Country],Tabela1[[#This Row],[Country]],Table23[73kg Classification],"&gt;0")</f>
        <v>0</v>
      </c>
      <c r="LM29" s="6">
        <f>COUNTIFS(Table23[Country],Tabela1[[#This Row],[Country]],Table23[89kg Classification],"&gt;0")</f>
        <v>0</v>
      </c>
      <c r="LN29" s="6">
        <f>COUNTIFS(Table23[Country],Tabela1[[#This Row],[Country]],Table23[102kg Classification],"&gt;0")</f>
        <v>0</v>
      </c>
      <c r="LO29" s="6">
        <f>COUNTIFS(Table23[Country],Tabela1[[#This Row],[Country]],Table23[Plus 102kg Classification],"&gt;0")</f>
        <v>0</v>
      </c>
      <c r="LP29" s="6">
        <f>COUNTIFS(Table28[Country],Tabela1[[#This Row],[Country]],Table28[49kg Classification],"&gt;0")</f>
        <v>0</v>
      </c>
      <c r="LQ29" s="6">
        <f>COUNTIFS(Table28[Country],Tabela1[[#This Row],[Country]],Table28[59kg Classification],"&gt;0")</f>
        <v>0</v>
      </c>
      <c r="LR29" s="6">
        <f>COUNTIFS(Table28[Country],Tabela1[[#This Row],[Country]],Table28[71kg Classification],"&gt;0")</f>
        <v>1</v>
      </c>
      <c r="LS29" s="6">
        <f>COUNTIFS(Table28[Country],Tabela1[[#This Row],[Country]],Table28[81kg Classification],"&gt;0")</f>
        <v>0</v>
      </c>
      <c r="LT29" s="6">
        <f>COUNTIFS(Table28[Country],Tabela1[[#This Row],[Country]],Table28[Plus 81kg Classification],"&gt;0")</f>
        <v>0</v>
      </c>
      <c r="LU29" s="6">
        <f>COUNTIFS(Table24[Country],Tabela1[[#This Row],[Country]],Table24[Freestyle 57kg Classification],"&gt;0")</f>
        <v>0</v>
      </c>
      <c r="LV29" s="6">
        <f>COUNTIFS(Table24[Country],Tabela1[[#This Row],[Country]],Table24[Freestyle 65kg Classification],"&gt;0")</f>
        <v>0</v>
      </c>
      <c r="LW29" s="6">
        <f>COUNTIFS(Table24[Country],Tabela1[[#This Row],[Country]],Table24[Freestyle 74kg Classification],"&gt;0")</f>
        <v>0</v>
      </c>
      <c r="LX29" s="6">
        <f>COUNTIFS(Table24[Country],Tabela1[[#This Row],[Country]],Table24[Freestyle 86kg Classification],"&gt;0")</f>
        <v>0</v>
      </c>
      <c r="LY29" s="6">
        <f>COUNTIFS(Table24[Country],Tabela1[[#This Row],[Country]],Table24[Freestyle 97kg Classification],"&gt;0")</f>
        <v>0</v>
      </c>
      <c r="LZ29" s="6">
        <f>COUNTIFS(Table24[Country],Tabela1[[#This Row],[Country]],Table24[Freestyle 125kg Classification],"&gt;0")</f>
        <v>0</v>
      </c>
      <c r="MA29" s="6">
        <f>COUNTIFS(Table24[Country],Tabela1[[#This Row],[Country]],Table24[Greco-Roman 60kg Classification],"&gt;0")</f>
        <v>0</v>
      </c>
      <c r="MB29" s="6">
        <f>COUNTIFS(Table24[Country],Tabela1[[#This Row],[Country]],Table24[Greco-Roman 67kg Classification],"&gt;0")</f>
        <v>0</v>
      </c>
      <c r="MC29" s="6">
        <f>COUNTIFS(Table24[Country],Tabela1[[#This Row],[Country]],Table24[Greco-Roman 77kg Classification],"&gt;0")</f>
        <v>0</v>
      </c>
      <c r="MD29" s="6">
        <f>COUNTIFS(Table24[Country],Tabela1[[#This Row],[Country]],Table24[Greco-Roman 87kg Classification],"&gt;0")</f>
        <v>0</v>
      </c>
      <c r="ME29" s="6">
        <f>COUNTIFS(Table24[Country],Tabela1[[#This Row],[Country]],Table24[Greco-Roman 97kg Classification],"&gt;0")</f>
        <v>0</v>
      </c>
      <c r="MF29" s="6">
        <f>COUNTIFS(Table24[Country],Tabela1[[#This Row],[Country]],Table24[Greco-Roman 130kg Classification],"&gt;0")</f>
        <v>1</v>
      </c>
      <c r="MG29" s="6">
        <f>COUNTIFS(Table31[Country],Tabela1[[#This Row],[Country]],Table31[50kg Classification],"&gt;0")</f>
        <v>0</v>
      </c>
      <c r="MH29" s="6">
        <f>COUNTIFS(Table31[Country],Tabela1[[#This Row],[Country]],Table31[53kg Classification],"&gt;0")</f>
        <v>0</v>
      </c>
      <c r="MI29" s="6">
        <f>COUNTIFS(Table31[Country],Tabela1[[#This Row],[Country]],Table31[57kg Classification],"&gt;0")</f>
        <v>0</v>
      </c>
      <c r="MJ29" s="6">
        <f>COUNTIFS(Table31[Country],Tabela1[[#This Row],[Country]],Table31[62kg Classification],"&gt;0")</f>
        <v>0</v>
      </c>
      <c r="MK29" s="6">
        <f>COUNTIFS(Table31[Country],Tabela1[[#This Row],[Country]],Table31[68kg Classification],"&gt;0")</f>
        <v>0</v>
      </c>
      <c r="ML29" s="6">
        <f>COUNTIFS(Table31[Country],Tabela1[[#This Row],[Country]],Table31[76kg Classification],"&gt;0")</f>
        <v>0</v>
      </c>
      <c r="MM29" s="6">
        <f>COUNTIFS(Table102[Country],Tabela1[[#This Row],[Country]],Table102[Downhill Classification],"&gt;0")</f>
        <v>0</v>
      </c>
      <c r="MN29" s="6">
        <f>COUNTIFS(Table102105[Country],Tabela1[[#This Row],[Country]],Table102105[Downhill Classification],"&gt;0")</f>
        <v>0</v>
      </c>
      <c r="MO29" s="6">
        <f>COUNTIFS(Table102[Country],Tabela1[[#This Row],[Country]],Table102[Giant Slalom Classification],"&gt;0")</f>
        <v>1</v>
      </c>
      <c r="MP29" s="6">
        <f>COUNTIFS(Table102105[Country],Tabela1[[#This Row],[Country]],Table102105[Giant Slalom Classification],"&gt;0")</f>
        <v>1</v>
      </c>
      <c r="MQ29" s="6">
        <f>COUNTIFS(Table102[Country],Tabela1[[#This Row],[Country]],Table102[Slalom Classification],"&gt;0")</f>
        <v>1</v>
      </c>
      <c r="MR29" s="6">
        <f>COUNTIFS(Table102105[Country],Tabela1[[#This Row],[Country]],Table102105[Slalom Classification],"&gt;0")</f>
        <v>1</v>
      </c>
      <c r="MS29" s="6">
        <f>COUNTIFS(Table102[Country],Tabela1[[#This Row],[Country]],Table102[Super-G Classification],"&gt;0")</f>
        <v>0</v>
      </c>
      <c r="MT29" s="6">
        <f>COUNTIFS(Table102105[Country],Tabela1[[#This Row],[Country]],Table102105[Super-G Classification],"&gt;0")</f>
        <v>0</v>
      </c>
      <c r="MU29" s="6">
        <f>COUNTIFS(Table105[Country],Tabela1[[#This Row],[Country]],Table105[Men''s Combined Classification],"&gt;0")</f>
        <v>0</v>
      </c>
      <c r="MV29" s="6">
        <f>COUNTIFS(Table105[Country],Tabela1[[#This Row],[Country]],Table105[Women''s Combined Classification],"&gt;0")</f>
        <v>0</v>
      </c>
      <c r="MW29" s="6">
        <f>COUNTIFS(Table106[Country],Tabela1[[#This Row],[Country]],Table106[Individual Classification],"&gt;0")</f>
        <v>0</v>
      </c>
      <c r="MX29" s="6">
        <f>COUNTIFS(Table106109[Country],Tabela1[[#This Row],[Country]],Table106109[Individual Classification],"&gt;0")</f>
        <v>1</v>
      </c>
      <c r="MY29" s="6">
        <f>COUNTIFS(Table106[Country],Tabela1[[#This Row],[Country]],Table106[Mass Start Classification],"&gt;0")</f>
        <v>0</v>
      </c>
      <c r="MZ29" s="6">
        <f>COUNTIFS(Table106109[Country],Tabela1[[#This Row],[Country]],Table106109[Mass Start Classification],"&gt;0")</f>
        <v>0</v>
      </c>
      <c r="NA29" s="6">
        <f>COUNTIFS(Table106[Country],Tabela1[[#This Row],[Country]],Table106[Pursuit Classification],"&gt;0")</f>
        <v>0</v>
      </c>
      <c r="NB29" s="6">
        <f>COUNTIFS(Table106109[Country],Tabela1[[#This Row],[Country]],Table106109[Pursuit Classification],"&gt;0")</f>
        <v>1</v>
      </c>
      <c r="NC29" s="6">
        <f>COUNTIFS(Table106[Country],Tabela1[[#This Row],[Country]],Table106[Sprint Classification],"&gt;0")</f>
        <v>0</v>
      </c>
      <c r="ND29" s="6">
        <f>COUNTIFS(Table106109[Country],Tabela1[[#This Row],[Country]],Table106109[Sprint Classification],"&gt;0")</f>
        <v>1</v>
      </c>
      <c r="NE29" s="6">
        <f>COUNTIFS(Table109[Country],Tabela1[[#This Row],[Country]],Table109[Men''s Relay Classification],"&gt;0")</f>
        <v>0</v>
      </c>
      <c r="NF29" s="6">
        <f>COUNTIFS(Table109[Country],Tabela1[[#This Row],[Country]],Table109[Women''s Relay Classification],"&gt;0")</f>
        <v>0</v>
      </c>
      <c r="NG29" s="6">
        <f>COUNTIFS(Table109[Country],Tabela1[[#This Row],[Country]],Table109[Mixed Relay Classification],"&gt;0")</f>
        <v>0</v>
      </c>
      <c r="NH29" s="6">
        <f>COUNTIFS(Table110[Country],Tabela1[[#This Row],[Country]],Table110[Monobob Classification],"&gt;0")</f>
        <v>0</v>
      </c>
      <c r="NI29" s="6">
        <f>COUNTIFS(Table111[Country],Tabela1[[#This Row],[Country]],Table111[Men''s Classification],"&gt;0")</f>
        <v>0</v>
      </c>
      <c r="NJ29" s="6">
        <f>COUNTIFS(Table111[Country],Tabela1[[#This Row],[Country]],Table111[Women''s Classification],"&gt;0")</f>
        <v>0</v>
      </c>
      <c r="NK29" s="6">
        <f>COUNTIFS(Table112[Country],Tabela1[[#This Row],[Country]],Table112[Men''s Four Classification],"&gt;0")</f>
        <v>0</v>
      </c>
      <c r="NL29" s="6">
        <f>COUNTIFS(Table113[Country],Tabela1[[#This Row],[Country]],Table113[Classical Classification],"&gt;0")</f>
        <v>0</v>
      </c>
      <c r="NM29" s="6">
        <f>COUNTIFS(Table113116[Country],Tabela1[[#This Row],[Country]],Table113116[Classical Classification],"&gt;0")</f>
        <v>0</v>
      </c>
      <c r="NN29" s="6">
        <f>COUNTIFS(Table113[Country],Tabela1[[#This Row],[Country]],Table113[Freestyle Classification],"&gt;0")</f>
        <v>0</v>
      </c>
      <c r="NO29" s="6">
        <f>COUNTIFS(Table113116[Country],Tabela1[[#This Row],[Country]],Table113116[Freestyle Classification],"&gt;0")</f>
        <v>0</v>
      </c>
      <c r="NP29" s="6">
        <f>COUNTIFS(Table117[Country],Tabela1[[#This Row],[Country]],Table117[Men''s Relay Classification],"&gt;0")</f>
        <v>0</v>
      </c>
      <c r="NQ29" s="6">
        <f>COUNTIFS(Table117[Country],Tabela1[[#This Row],[Country]],Table117[Women''s Relay Classification],"&gt;0")</f>
        <v>0</v>
      </c>
      <c r="NR29" s="6">
        <f>COUNTIFS(Table113[Country],Tabela1[[#This Row],[Country]],Table113[Skiathlon Classification],"&gt;0")</f>
        <v>0</v>
      </c>
      <c r="NS29" s="6">
        <f>COUNTIFS(Table113116[Country],Tabela1[[#This Row],[Country]],Table113116[Skiathlon Classification],"&gt;0")</f>
        <v>0</v>
      </c>
      <c r="NT29" s="6">
        <f>COUNTIFS(Table113[Country],Tabela1[[#This Row],[Country]],Table113[Sprint Classification],"&gt;0")</f>
        <v>0</v>
      </c>
      <c r="NU29" s="6">
        <f>COUNTIFS(Table113116[Country],Tabela1[[#This Row],[Country]],Table113116[Sprint Classification],"&gt;0")</f>
        <v>0</v>
      </c>
      <c r="NV29" s="6">
        <f>COUNTIFS(Table116[Country],Tabela1[[#This Row],[Country]],Table116[Men''s Team Sprint Classification],"&gt;0")</f>
        <v>0</v>
      </c>
      <c r="NW29" s="6">
        <f>COUNTIFS(Table116[Country],Tabela1[[#This Row],[Country]],Table116[Women''s Team Sprint Classification],"&gt;0")</f>
        <v>0</v>
      </c>
      <c r="NX29" s="6">
        <f>COUNTIFS(Table119[Country],Tabela1[[#This Row],[Country]],Table119[Men''s Classification],"&gt;0")</f>
        <v>0</v>
      </c>
      <c r="NY29" s="6">
        <f>COUNTIFS(Table119[Country],Tabela1[[#This Row],[Country]],Table119[Women''s Classification],"&gt;0")</f>
        <v>0</v>
      </c>
      <c r="NZ29" s="6">
        <f>COUNTIFS(Table118[Country],Tabela1[[#This Row],[Country]],Table118[Mixed Classification],"&gt;0")</f>
        <v>0</v>
      </c>
      <c r="OA29" s="6">
        <f>COUNTIFS(Table120[Country],Tabela1[[#This Row],[Country]],Table120[Classification],"&gt;0")</f>
        <v>0</v>
      </c>
      <c r="OB29" s="6">
        <f>COUNTIFS(Table120123[Country],Tabela1[[#This Row],[Country]],Table120123[Classification],"&gt;0")</f>
        <v>0</v>
      </c>
      <c r="OC29" s="6">
        <f>COUNTIFS(Table123[Country],Tabela1[[#This Row],[Country]],Table123[Ice Dance Classification],"&gt;0")</f>
        <v>0</v>
      </c>
      <c r="OD29" s="6">
        <f>COUNTIFS(Table123[Country],Tabela1[[#This Row],[Country]],Table123[Pair Skating Classification],"&gt;0")</f>
        <v>0</v>
      </c>
      <c r="OE29" s="6">
        <f>COUNTIFS(Table124[Country],Tabela1[[#This Row],[Country]],Table124[Mixed Classification],"&gt;0")</f>
        <v>0</v>
      </c>
      <c r="OF29" s="6">
        <f>COUNTIFS(Table125[Country],Tabela1[[#This Row],[Country]],Table125[Aerials Classification],"&gt;0")</f>
        <v>0</v>
      </c>
      <c r="OG29" s="6">
        <f>COUNTIFS(Table125128[Country],Tabela1[[#This Row],[Country]],Table125128[Aerials Classification],"&gt;0")</f>
        <v>0</v>
      </c>
      <c r="OH29" s="6">
        <f>COUNTIFS(Table128[Country],Tabela1[[#This Row],[Country]],Table128[Mixed Aerials Classification],"&gt;0")</f>
        <v>0</v>
      </c>
      <c r="OI29" s="6">
        <f>COUNTIFS(Table125[Country],Tabela1[[#This Row],[Country]],Table125[Big Air Classification],"&gt;0")</f>
        <v>0</v>
      </c>
      <c r="OJ29" s="6">
        <f>COUNTIFS(Table125128[Country],Tabela1[[#This Row],[Country]],Table125128[Big Air Classification],"&gt;0")</f>
        <v>0</v>
      </c>
      <c r="OK29" s="6">
        <f>COUNTIFS(Table125[Country],Tabela1[[#This Row],[Country]],Table125[Dual Moguls Classification],"&gt;0")</f>
        <v>0</v>
      </c>
      <c r="OL29" s="6">
        <f>COUNTIFS(Table125128[Country],Tabela1[[#This Row],[Country]],Table125128[Dual Moguls Classification],"&gt;0")</f>
        <v>0</v>
      </c>
      <c r="OM29" s="6">
        <f>COUNTIFS(Table125[Country],Tabela1[[#This Row],[Country]],Table125[Halfpipe Classification],"&gt;0")</f>
        <v>0</v>
      </c>
      <c r="ON29" s="6">
        <f>COUNTIFS(Table125128[Country],Tabela1[[#This Row],[Country]],Table125128[Halfpipe Classification],"&gt;0")</f>
        <v>0</v>
      </c>
      <c r="OO29" s="6">
        <f>COUNTIFS(Table125[Country],Tabela1[[#This Row],[Country]],Table125[Moguls Classification],"&gt;0")</f>
        <v>0</v>
      </c>
      <c r="OP29" s="6">
        <f>COUNTIFS(Table125128[Country],Tabela1[[#This Row],[Country]],Table125128[Moguls Classification],"&gt;0")</f>
        <v>0</v>
      </c>
      <c r="OQ29" s="6">
        <f>COUNTIFS(Table125[Country],Tabela1[[#This Row],[Country]],Table125[Ski Cross Classification],"&gt;0")</f>
        <v>0</v>
      </c>
      <c r="OR29" s="6">
        <f>COUNTIFS(Table125128[Country],Tabela1[[#This Row],[Country]],Table125128[Ski Cross Classification],"&gt;0")</f>
        <v>0</v>
      </c>
      <c r="OS29" s="6">
        <f>COUNTIFS(Table125[Country],Tabela1[[#This Row],[Country]],Table125[Slopestyle Classification],"&gt;0")</f>
        <v>0</v>
      </c>
      <c r="OT29" s="6">
        <f>COUNTIFS(Table125128[Country],Tabela1[[#This Row],[Country]],Table125128[Slopestyle Classification],"&gt;0")</f>
        <v>0</v>
      </c>
      <c r="OU29" s="6">
        <f>COUNTIFS(Table119131[Country],Tabela1[[#This Row],[Country]],Table119131[Men''s Classification],"&gt;0")</f>
        <v>0</v>
      </c>
      <c r="OV29" s="6">
        <f>COUNTIFS(Table119131[Country],Tabela1[[#This Row],[Country]],Table119131[Women''s Classification],"&gt;0")</f>
        <v>0</v>
      </c>
      <c r="OW29" s="6">
        <f>COUNTIFS(Table131[Country],Tabela1[[#This Row],[Country]],Table131[Classification],"&gt;0")</f>
        <v>0</v>
      </c>
      <c r="OX29" s="6">
        <f>COUNTIFS(Table131134[Country],Tabela1[[#This Row],[Country]],Table131134[Classification],"&gt;0")</f>
        <v>0</v>
      </c>
      <c r="OY29" s="6">
        <f>COUNTIFS(Table134[Country],Tabela1[[#This Row],[Country]],Table134[Men''s Classification],"&gt;0")</f>
        <v>0</v>
      </c>
      <c r="OZ29" s="6">
        <f>COUNTIFS(Table134[Country],Tabela1[[#This Row],[Country]],Table134[Women''s Classification],"&gt;0")</f>
        <v>0</v>
      </c>
      <c r="PA29" s="6">
        <f>COUNTIFS(Table135[Country],Tabela1[[#This Row],[Country]],Table135[Mixed Relay Classification],"&gt;0")</f>
        <v>0</v>
      </c>
      <c r="PB29" s="6">
        <f>COUNTIFS(Table136[Country],Tabela1[[#This Row],[Country]],Table136[Individual Classification],"&gt;0")</f>
        <v>0</v>
      </c>
      <c r="PC29" s="6">
        <f>COUNTIFS(Table136[Country],Tabela1[[#This Row],[Country]],Table136[Sprint Classification],"&gt;0")</f>
        <v>0</v>
      </c>
      <c r="PD29" s="6">
        <f>COUNTIFS(Table137[Country],Tabela1[[#This Row],[Country]],Table137[Men''s Team Sprint Large Hill Classification],"&gt;0")</f>
        <v>0</v>
      </c>
      <c r="PE29" s="6">
        <f>COUNTIFS(Table138[Country],Tabela1[[#This Row],[Country]],Table138[500m Classification],"&gt;0")</f>
        <v>0</v>
      </c>
      <c r="PF29" s="6">
        <f>COUNTIFS(Table138141[Country],Tabela1[[#This Row],[Country]],Table138141[500m Classification],"&gt;0")</f>
        <v>0</v>
      </c>
      <c r="PG29" s="6">
        <f>COUNTIFS(Table138[Country],Tabela1[[#This Row],[Country]],Table138[1000m Classification],"&gt;0")</f>
        <v>0</v>
      </c>
      <c r="PH29" s="6">
        <f>COUNTIFS(Table138141[Country],Tabela1[[#This Row],[Country]],Table138141[1000m Classification],"&gt;0")</f>
        <v>0</v>
      </c>
      <c r="PI29" s="6">
        <f>COUNTIFS(Table138[Country],Tabela1[[#This Row],[Country]],Table138[1500m Classification],"&gt;0")</f>
        <v>0</v>
      </c>
      <c r="PJ29" s="6">
        <f>COUNTIFS(Table138141[Country],Tabela1[[#This Row],[Country]],Table138141[1500m Classification],"&gt;0")</f>
        <v>0</v>
      </c>
      <c r="PK29" s="6">
        <f>COUNTIFS(Table141[Country],Tabela1[[#This Row],[Country]],Table141[Men''s 5000m Relay Classification],"&gt;0")</f>
        <v>0</v>
      </c>
      <c r="PL29" s="6">
        <f>COUNTIFS(Table141[Country],Tabela1[[#This Row],[Country]],Table141[Women''s 3000m Relay Classification],"&gt;0")</f>
        <v>0</v>
      </c>
      <c r="PM29" s="6">
        <f>COUNTIFS(Table141[Country],Tabela1[[#This Row],[Country]],Table141[Mixed 2000m Relay Classification],"&gt;0")</f>
        <v>0</v>
      </c>
      <c r="PN29" s="6">
        <f>COUNTIFS(Table142[Country],Tabela1[[#This Row],[Country]],Table142[Classification],"&gt;0")</f>
        <v>0</v>
      </c>
      <c r="PO29" s="6">
        <f>COUNTIFS(Table142145[Country],Tabela1[[#This Row],[Country]],Table142145[Classification],"&gt;0")</f>
        <v>0</v>
      </c>
      <c r="PP29" s="6">
        <f>COUNTIFS(Tabela15[Country],Tabela1[[#This Row],[Country]],Tabela15[Mixed Team Classification],"&gt;0")</f>
        <v>0</v>
      </c>
      <c r="PQ29" s="6">
        <f>COUNTIFS(Table145[Country],Tabela1[[#This Row],[Country]],Table145[Large Hill Classification],"&gt;0")</f>
        <v>0</v>
      </c>
      <c r="PR29" s="6">
        <f>COUNTIFS(Table145[Country],Tabela1[[#This Row],[Country]],Table145[Normal Hill Classification],"&gt;0")</f>
        <v>0</v>
      </c>
      <c r="PS29" s="6">
        <f>COUNTIFS(Table145148[Country],Tabela1[[#This Row],[Country]],Table145148[Large Hill Classification],"&gt;0")</f>
        <v>0</v>
      </c>
      <c r="PT29" s="6">
        <f>COUNTIFS(Table145148[Country],Tabela1[[#This Row],[Country]],Table145148[Normal Hill Classification],"&gt;0")</f>
        <v>0</v>
      </c>
      <c r="PU29" s="6">
        <f>COUNTIFS(Table148[Country],Tabela1[[#This Row],[Country]],Table148[Men''s Super Team Classification],"&gt;0")</f>
        <v>0</v>
      </c>
      <c r="PV29" s="6">
        <f>COUNTIFS(Tabela114[Country],Tabela1[[#This Row],[Country]],Tabela114[Mixed Normal Hill Classification],"&gt;0")</f>
        <v>0</v>
      </c>
      <c r="PW29" s="6">
        <f>COUNTIFS(Tabela50[Country],Tabela1[[#This Row],[Country]],Tabela50[Sprint Classification],"&gt;0")</f>
        <v>0</v>
      </c>
      <c r="PX29" s="6">
        <f>COUNTIFS(Tabela50101[Country],Tabela1[[#This Row],[Country]],Tabela50101[Sprint Classification],"&gt;0")</f>
        <v>0</v>
      </c>
      <c r="PY29" s="6">
        <f>COUNTIFS(Tabela103[Country],Tabela1[[#This Row],[Country]],Tabela103[Mixed Relay Classification],"&gt;0")</f>
        <v>0</v>
      </c>
      <c r="PZ29" s="6">
        <f>COUNTIFS(Table149[Country],Tabela1[[#This Row],[Country]],Table149[Big Air Classification],"&gt;0")</f>
        <v>0</v>
      </c>
      <c r="QA29" s="6">
        <f>COUNTIFS(Table149152[Country],Tabela1[[#This Row],[Country]],Table149152[Big Air Classification],"&gt;0")</f>
        <v>0</v>
      </c>
      <c r="QB29" s="6">
        <f>COUNTIFS(Table149[Country],Tabela1[[#This Row],[Country]],Table149[Halfpipe Classification],"&gt;0")</f>
        <v>0</v>
      </c>
      <c r="QC29" s="6">
        <f>COUNTIFS(Table149152[Country],Tabela1[[#This Row],[Country]],Table149152[Halfpipe Classification],"&gt;0")</f>
        <v>0</v>
      </c>
      <c r="QD29" s="6">
        <f>COUNTIFS(Table149[Country],Tabela1[[#This Row],[Country]],Table149[Parallel Giant Slalom Classification],"&gt;0")</f>
        <v>0</v>
      </c>
      <c r="QE29" s="6">
        <f>COUNTIFS(Table149152[Country],Tabela1[[#This Row],[Country]],Table149152[Parallel Giant Slalom Classification],"&gt;0")</f>
        <v>0</v>
      </c>
      <c r="QF29" s="6">
        <f>COUNTIFS(Table149[Country],Tabela1[[#This Row],[Country]],Table149[Slopestyle Classification],"&gt;0")</f>
        <v>0</v>
      </c>
      <c r="QG29" s="6">
        <f>COUNTIFS(Table149152[Country],Tabela1[[#This Row],[Country]],Table149152[Slopestyle Classification],"&gt;0")</f>
        <v>0</v>
      </c>
      <c r="QH29" s="6">
        <f>COUNTIFS(Table149[Country],Tabela1[[#This Row],[Country]],Table149[Snowboard Cross Classification],"&gt;0")</f>
        <v>0</v>
      </c>
      <c r="QI29" s="6">
        <f>COUNTIFS(Table149152[Country],Tabela1[[#This Row],[Country]],Table149152[Snowboard Cross Classification],"&gt;0")</f>
        <v>0</v>
      </c>
      <c r="QJ29" s="6">
        <f>COUNTIFS(Table153[Country],Tabela1[[#This Row],[Country]],Table153[Mixed Team Snowboard Cross Classification],"&gt;0")</f>
        <v>0</v>
      </c>
      <c r="QK29" s="6">
        <f>COUNTIFS(Table154[Country],Tabela1[[#This Row],[Country]],Table154[500m Classification],"&gt;0")</f>
        <v>0</v>
      </c>
      <c r="QL29" s="6">
        <f>COUNTIFS(Table154157[Country],Tabela1[[#This Row],[Country]],Table154157[500m Classification],"&gt;0")</f>
        <v>0</v>
      </c>
      <c r="QM29" s="6">
        <f>COUNTIFS(Table154[Country],Tabela1[[#This Row],[Country]],Table154[1000m Classification],"&gt;0")</f>
        <v>0</v>
      </c>
      <c r="QN29" s="6">
        <f>COUNTIFS(Table154157[Country],Tabela1[[#This Row],[Country]],Table154157[1000m Classification],"&gt;0")</f>
        <v>0</v>
      </c>
      <c r="QO29" s="6">
        <f>COUNTIFS(Table154[Country],Tabela1[[#This Row],[Country]],Table154[1500m Classification],"&gt;0")</f>
        <v>0</v>
      </c>
      <c r="QP29" s="6">
        <f>COUNTIFS(Table154157[Country],Tabela1[[#This Row],[Country]],Table154157[1500m Classification],"&gt;0")</f>
        <v>0</v>
      </c>
      <c r="QQ29" s="6">
        <f>COUNTIFS(Table154157[Country],Tabela1[[#This Row],[Country]],Table154157[3000m Classification],"&gt;0")</f>
        <v>0</v>
      </c>
      <c r="QR29" s="6">
        <f>COUNTIFS(Table154[Country],Tabela1[[#This Row],[Country]],Table154[5000m Classification],"&gt;0")</f>
        <v>0</v>
      </c>
      <c r="QS29" s="6">
        <f>COUNTIFS(Table154157[Country],Tabela1[[#This Row],[Country]],Table154157[5000m Classification],"&gt;0")</f>
        <v>0</v>
      </c>
      <c r="QT29" s="6">
        <f>COUNTIFS(Table154[Country],Tabela1[[#This Row],[Country]],Table154[10000m Classification],"&gt;0")</f>
        <v>0</v>
      </c>
      <c r="QU29" s="6">
        <f>COUNTIFS(Table154[Country],Tabela1[[#This Row],[Country]],Table154[Mass Start Classification],"&gt;0")</f>
        <v>0</v>
      </c>
      <c r="QV29" s="6">
        <f>COUNTIFS(Table154157[Country],Tabela1[[#This Row],[Country]],Table154157[Mass Start Classification],"&gt;0")</f>
        <v>0</v>
      </c>
      <c r="QW29" s="6">
        <f>COUNTIFS(Table157[Country],Tabela1[[#This Row],[Country]],Table157[Men''s Pursuit Classification],"&gt;0")</f>
        <v>0</v>
      </c>
      <c r="QX29" s="6">
        <f>COUNTIFS(Table157[Country],Tabela1[[#This Row],[Country]],Table157[Women''s Pursuit Classification],"&gt;0")</f>
        <v>0</v>
      </c>
      <c r="QY29" s="3" t="s">
        <v>349</v>
      </c>
    </row>
    <row r="30" spans="1:467" x14ac:dyDescent="0.3">
      <c r="A30" s="6">
        <v>29</v>
      </c>
      <c r="B30" s="6" t="s">
        <v>408</v>
      </c>
      <c r="C30" t="e" vm="29">
        <f>IF(ISBLANK(Tabela1[[#This Row],[Image Link]]), "", _xlfn.IMAGE(Tabela1[[#This Row],[Image Link]],1,1))</f>
        <v>#VALUE!</v>
      </c>
      <c r="D30" s="6">
        <f>SUM(Tabela1[[#This Row],[Archery - Men''s Individual Recurve]:[Speed Skating - Women''s Team Pursuit]])</f>
        <v>42</v>
      </c>
      <c r="E30" s="6">
        <f>COUNTIF(Tabela1[[#This Row],[Archery - Men''s Individual Recurve]:[Speed Skating - Women''s Team Pursuit]],"&gt;0")</f>
        <v>40</v>
      </c>
      <c r="F30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Winter Olympics</v>
      </c>
      <c r="G30" s="6">
        <f>SUM(Tabela1[[#This Row],[Archery - Men''s Individual Recurve]:[Wrestling - Women''s Freestyle 76kg]])</f>
        <v>19</v>
      </c>
      <c r="H30" s="6">
        <f>SUM(Tabela1[[#This Row],[Alpine Skiing - Men''s Downhill]:[Speed Skating - Women''s Team Pursuit]])</f>
        <v>23</v>
      </c>
      <c r="I30" s="6">
        <f>Tabela1[[#This Row],[Summer Gold Medals]]+Tabela1[[#This Row],[Winter Gold Medals]]</f>
        <v>0</v>
      </c>
      <c r="J30" s="6">
        <f>Tabela1[[#This Row],[Summer Silver Medals]]+Tabela1[[#This Row],[Winter Silver Medals]]</f>
        <v>0</v>
      </c>
      <c r="K30" s="6">
        <f>Tabela1[[#This Row],[Summer Bronze Medals]]+Tabela1[[#This Row],[Winter Bronze Medals]]</f>
        <v>1</v>
      </c>
      <c r="L30" s="6">
        <f>SUM(Tabela1[[#This Row],[Total Gold Medals]:[Total Bronze Medals]])</f>
        <v>1</v>
      </c>
      <c r="M30" s="6"/>
      <c r="N30" s="6"/>
      <c r="O30" s="6">
        <v>1</v>
      </c>
      <c r="P30" s="6">
        <f>SUM(Tabela1[[#This Row],[Summer Gold Medals]:[Summer Bronze Medals]])</f>
        <v>1</v>
      </c>
      <c r="Q30" s="6"/>
      <c r="R30" s="6"/>
      <c r="S30" s="6"/>
      <c r="T30" s="6">
        <f>Tabela1[[#This Row],[Winter Gold Medals]]+Tabela1[[#This Row],[Winter Silver Medals]]+Tabela1[[#This Row],[Winter Bronze Medals]]</f>
        <v>0</v>
      </c>
      <c r="U30" s="7">
        <f>Tabela1[[#This Row],[Total Medals]]/Tabela1[[#This Row],[Total Quotas]]</f>
        <v>2.3809523809523808E-2</v>
      </c>
      <c r="V30" s="6">
        <f>COUNTIFS(Table3[Country],Tabela1[[#This Row],[Country]],Table3[Recurve Classification],"&gt;0")</f>
        <v>0</v>
      </c>
      <c r="W30" s="6">
        <f>COUNTIFS(Table33[Country],Tabela1[[#This Row],[Country]],Table33[Recurve Classification],"&gt;0")</f>
        <v>0</v>
      </c>
      <c r="X30" s="6">
        <f>COUNTIFS(Table35[Country],Tabela1[[#This Row],[Country]],Table35[Men''s Team Recurve Classification],"&gt;0")</f>
        <v>0</v>
      </c>
      <c r="Y30" s="6">
        <f>COUNTIFS(Table35[Country],Tabela1[[#This Row],[Country]],Table35[Women''s Team Recurve Classification],"&gt;0")</f>
        <v>0</v>
      </c>
      <c r="Z30" s="6">
        <f>COUNTIFS(Tabela88[Country],Tabela1[[#This Row],[Country]],Tabela88[Mixed Team Recurve Classification],"&gt;0")</f>
        <v>0</v>
      </c>
      <c r="AA30" s="6">
        <f>COUNTIFS(Table36[Country],Tabela1[[#This Row],[Country]],Table36[Classification],"&gt;0")</f>
        <v>0</v>
      </c>
      <c r="AB30" s="6">
        <f>COUNTIFS(Table37[Country],Tabela1[[#This Row],[Country]],Table37[Classification],"&gt;0")</f>
        <v>0</v>
      </c>
      <c r="AC30" s="6">
        <f>COUNTIFS(Table4[Country],Tabela1[[#This Row],[Country]],Table4[100m Classification],"&gt;0")</f>
        <v>0</v>
      </c>
      <c r="AD30" s="6">
        <f>COUNTIFS(Table5[Country],Tabela1[[#This Row],[Country]],Table5[100m Classification],"&gt;0")</f>
        <v>0</v>
      </c>
      <c r="AE30" s="6">
        <f>COUNTIFS(Table4[Country],Tabela1[[#This Row],[Country]],Table4[200m Classification],"&gt;0")</f>
        <v>0</v>
      </c>
      <c r="AF30" s="6">
        <f>COUNTIFS(Table5[Country],Tabela1[[#This Row],[Country]],Table5[200m Classification],"&gt;0")</f>
        <v>0</v>
      </c>
      <c r="AG30" s="6">
        <f>COUNTIFS(Table4[Country],Tabela1[[#This Row],[Country]],Table4[400m Classification],"&gt;0")</f>
        <v>0</v>
      </c>
      <c r="AH30" s="6">
        <f>COUNTIFS(Table5[Country],Tabela1[[#This Row],[Country]],Table5[400m Classification],"&gt;0")</f>
        <v>0</v>
      </c>
      <c r="AI30" s="6">
        <f>COUNTIFS(Table4[Country],Tabela1[[#This Row],[Country]],Table4[800m Classification],"&gt;0")</f>
        <v>0</v>
      </c>
      <c r="AJ30" s="6">
        <f>COUNTIFS(Table5[Country],Tabela1[[#This Row],[Country]],Table5[800m Classification],"&gt;0")</f>
        <v>1</v>
      </c>
      <c r="AK30" s="6">
        <f>COUNTIFS(Table4[Country],Tabela1[[#This Row],[Country]],Table4[1500m Classification],"&gt;0")</f>
        <v>0</v>
      </c>
      <c r="AL30" s="6">
        <f>COUNTIFS(Table5[Country],Tabela1[[#This Row],[Country]],Table5[1500m Classification],"&gt;0")</f>
        <v>0</v>
      </c>
      <c r="AM30" s="6">
        <f>COUNTIFS(Table4[Country],Tabela1[[#This Row],[Country]],Table4[5000m Classification],"&gt;0")</f>
        <v>0</v>
      </c>
      <c r="AN30" s="6">
        <f>COUNTIFS(Table5[Country],Tabela1[[#This Row],[Country]],Table5[5000m Classification],"&gt;0")</f>
        <v>0</v>
      </c>
      <c r="AO30" s="6">
        <f>COUNTIFS(Table4[Country],Tabela1[[#This Row],[Country]],Table4[10000m Classification],"&gt;0")</f>
        <v>0</v>
      </c>
      <c r="AP30" s="6">
        <f>COUNTIFS(Table5[Country],Tabela1[[#This Row],[Country]],Table5[10000m Classification],"&gt;0")</f>
        <v>0</v>
      </c>
      <c r="AQ30" s="6">
        <f>COUNTIFS(Table4[Country],Tabela1[[#This Row],[Country]],Table4[110m Hurdles Classification],"&gt;0")</f>
        <v>0</v>
      </c>
      <c r="AR30" s="6">
        <f>COUNTIFS(Table5[Country],Tabela1[[#This Row],[Country]],Table5[100m Hurdles Classification],"&gt;0")</f>
        <v>0</v>
      </c>
      <c r="AS30" s="6">
        <f>COUNTIFS(Table4[Country],Tabela1[[#This Row],[Country]],Table4[400m Hurdles Classification],"&gt;0")</f>
        <v>0</v>
      </c>
      <c r="AT30" s="6">
        <f>COUNTIFS(Table5[Country],Tabela1[[#This Row],[Country]],Table5[400m Hurdles Classification],"&gt;0")</f>
        <v>0</v>
      </c>
      <c r="AU30" s="6">
        <f>COUNTIFS(Table4[Country],Tabela1[[#This Row],[Country]],Table4[3000m Steeplechase Classification],"&gt;0")</f>
        <v>0</v>
      </c>
      <c r="AV30" s="6">
        <f>COUNTIFS(Table5[Country],Tabela1[[#This Row],[Country]],Table5[3000m Steeplechase Classification],"&gt;0")</f>
        <v>0</v>
      </c>
      <c r="AW30" s="6">
        <f>COUNTIFS(Table27[Country],Tabela1[[#This Row],[Country]],Table27[Men''s 4x100m Relay Classification],"&gt;0")</f>
        <v>0</v>
      </c>
      <c r="AX30" s="6">
        <f>COUNTIFS(Table27[Country],Tabela1[[#This Row],[Country]],Table27[Women''s 4x100m Relay Classification],"&gt;0")</f>
        <v>0</v>
      </c>
      <c r="AY30" s="6">
        <f>COUNTIFS(Table27[Country],Tabela1[[#This Row],[Country]],Table27[Men''s 4x400m Relay Classification],"&gt;0")</f>
        <v>0</v>
      </c>
      <c r="AZ30" s="6">
        <f>COUNTIFS(Table27[Country],Tabela1[[#This Row],[Country]],Table27[Women''s 4x400m Relay Classification],"&gt;0")</f>
        <v>0</v>
      </c>
      <c r="BA30" s="6">
        <f>COUNTIFS(Table27[Country],Tabela1[[#This Row],[Country]],Table27[Mixed 4x400m Relay Classification],"&gt;0")</f>
        <v>0</v>
      </c>
      <c r="BB30" s="6">
        <f>COUNTIFS(Table4[Country],Tabela1[[#This Row],[Country]],Table4[Marathon Classification],"&gt;0")</f>
        <v>0</v>
      </c>
      <c r="BC30" s="6">
        <f>COUNTIFS(Table5[Country],Tabela1[[#This Row],[Country]],Table5[Marathon Classification],"&gt;0")</f>
        <v>0</v>
      </c>
      <c r="BD30" s="6">
        <f>COUNTIFS(Table4[Country],Tabela1[[#This Row],[Country]],Table4[20km Race Walk Classification],"&gt;0")</f>
        <v>1</v>
      </c>
      <c r="BE30" s="6">
        <f>COUNTIFS(Table5[Country],Tabela1[[#This Row],[Country]],Table5[20km Race Walk Classification],"&gt;0")</f>
        <v>1</v>
      </c>
      <c r="BF30" s="6">
        <f>COUNTIFS(Tabela96[Country],Tabela1[[#This Row],[Country]],Tabela96[Mixed Marathon Race Walk Relay Classification],"&gt;0")</f>
        <v>1</v>
      </c>
      <c r="BG30" s="6">
        <f>COUNTIFS(Table4[Country],Tabela1[[#This Row],[Country]],Table4[Discus Throw Classification],"&gt;0")</f>
        <v>0</v>
      </c>
      <c r="BH30" s="6">
        <f>COUNTIFS(Table5[Country],Tabela1[[#This Row],[Country]],Table5[Discus Throw Classification],"&gt;0")</f>
        <v>0</v>
      </c>
      <c r="BI30" s="6">
        <f>COUNTIFS(Table4[Country],Tabela1[[#This Row],[Country]],Table4[Hammer Throw Classification],"&gt;0")</f>
        <v>0</v>
      </c>
      <c r="BJ30" s="6">
        <f>COUNTIFS(Table5[Country],Tabela1[[#This Row],[Country]],Table5[Hammer Throw Classification],"&gt;0")</f>
        <v>0</v>
      </c>
      <c r="BK30" s="6">
        <f>COUNTIFS(Table4[Country],Tabela1[[#This Row],[Country]],Table4[High Jump Classification],"&gt;0")</f>
        <v>0</v>
      </c>
      <c r="BL30" s="6">
        <f>COUNTIFS(Table5[Country],Tabela1[[#This Row],[Country]],Table5[High Jump Classification],"&gt;0")</f>
        <v>0</v>
      </c>
      <c r="BM30" s="6">
        <f>COUNTIFS(Table4[Country],Tabela1[[#This Row],[Country]],Table4[Javelin Throw Classification],"&gt;0")</f>
        <v>0</v>
      </c>
      <c r="BN30" s="6">
        <f>COUNTIFS(Table5[Country],Tabela1[[#This Row],[Country]],Table5[Javelin Throw Classification],"&gt;0")</f>
        <v>0</v>
      </c>
      <c r="BO30" s="6">
        <f>COUNTIFS(Table4[Country],Tabela1[[#This Row],[Country]],Table4[Long Jump Classification],"&gt;0")</f>
        <v>0</v>
      </c>
      <c r="BP30" s="6">
        <f>COUNTIFS(Table5[Country],Tabela1[[#This Row],[Country]],Table5[Long Jump Classification],"&gt;0")</f>
        <v>0</v>
      </c>
      <c r="BQ30" s="6">
        <f>COUNTIFS(Table4[Country],Tabela1[[#This Row],[Country]],Table4[Pole Vault Classification],"&gt;0")</f>
        <v>0</v>
      </c>
      <c r="BR30" s="6">
        <f>COUNTIFS(Table5[Country],Tabela1[[#This Row],[Country]],Table5[Pole Vault Classification],"&gt;0")</f>
        <v>0</v>
      </c>
      <c r="BS30" s="6">
        <f>COUNTIFS(Table4[Country],Tabela1[[#This Row],[Country]],Table4[Shot Put Classification],"&gt;0")</f>
        <v>0</v>
      </c>
      <c r="BT30" s="6">
        <f>COUNTIFS(Table5[Country],Tabela1[[#This Row],[Country]],Table5[Shot Put Classification],"&gt;0")</f>
        <v>0</v>
      </c>
      <c r="BU30" s="6">
        <f>COUNTIFS(Table4[Country],Tabela1[[#This Row],[Country]],Table4[Triple Jump Classification],"&gt;0")</f>
        <v>0</v>
      </c>
      <c r="BV30" s="6">
        <f>COUNTIFS(Table5[Country],Tabela1[[#This Row],[Country]],Table5[Triple Jump Classification],"&gt;0")</f>
        <v>0</v>
      </c>
      <c r="BW30" s="6">
        <f>COUNTIFS(Table4[Country],Tabela1[[#This Row],[Country]],Table4[Decathlon Classification],"&gt;0")</f>
        <v>0</v>
      </c>
      <c r="BX30" s="6">
        <f>COUNTIFS(Table5[Country],Tabela1[[#This Row],[Country]],Table5[Heptathlon Classification],"&gt;0")</f>
        <v>0</v>
      </c>
      <c r="BY30" s="6">
        <f>COUNTIFS(Table61[Country],Tabela1[[#This Row],[Country]],Table61[Classification],"&gt;0")</f>
        <v>0</v>
      </c>
      <c r="BZ30" s="6">
        <f>COUNTIFS(Table38[Country],Tabela1[[#This Row],[Country]],Table38[Classification],"&gt;0")</f>
        <v>0</v>
      </c>
      <c r="CA30" s="6">
        <f>COUNTIFS(Table39[Country],Tabela1[[#This Row],[Country]],Table39[Men''s Classification],"&gt;0")</f>
        <v>0</v>
      </c>
      <c r="CB30" s="6">
        <f>COUNTIFS(Table39[Country],Tabela1[[#This Row],[Country]],Table39[Women''s Classification],"&gt;0")</f>
        <v>0</v>
      </c>
      <c r="CC30" s="6">
        <f>COUNTIFS(Table39[Country],Tabela1[[#This Row],[Country]],Table39[Mixed Classification],"&gt;0")</f>
        <v>0</v>
      </c>
      <c r="CD30" s="6">
        <f>COUNTIFS(Table89[Country],Tabela1[[#This Row],[Country]],Table89[Men''s Classification],"&gt;0")</f>
        <v>0</v>
      </c>
      <c r="CE30" s="6">
        <f>COUNTIFS(Table89[Country],Tabela1[[#This Row],[Country]],Table89[Women''s Classification],"&gt;0")</f>
        <v>0</v>
      </c>
      <c r="CF30" s="6">
        <f>COUNTIFS(Table90[Country],Tabela1[[#This Row],[Country]],Table90[Men''s Classification],"&gt;0")</f>
        <v>0</v>
      </c>
      <c r="CG30" s="6">
        <f>COUNTIFS(Table90[Country],Tabela1[[#This Row],[Country]],Table90[Women''s Classification],"&gt;0")</f>
        <v>0</v>
      </c>
      <c r="CH30" s="6">
        <f>COUNTIFS(Table60[Country],Tabela1[[#This Row],[Country]],Table60[Men''s Classification],"&gt;0")</f>
        <v>0</v>
      </c>
      <c r="CI30" s="6">
        <f>COUNTIFS(Table60[Country],Tabela1[[#This Row],[Country]],Table60[Women''s Classification],"&gt;0")</f>
        <v>0</v>
      </c>
      <c r="CJ30" s="6">
        <f>COUNTIFS(Table6[Country],Tabela1[[#This Row],[Country]],Table6[51kg Classification],"&gt;0")</f>
        <v>0</v>
      </c>
      <c r="CK30" s="6">
        <f>COUNTIFS(Table6[Country],Tabela1[[#This Row],[Country]],Table6[57kg Classification],"&gt;0")</f>
        <v>0</v>
      </c>
      <c r="CL30" s="6">
        <f>COUNTIFS(Table6[Country],Tabela1[[#This Row],[Country]],Table6[63.5kg Classification],"&gt;0")</f>
        <v>0</v>
      </c>
      <c r="CM30" s="6">
        <f>COUNTIFS(Table6[Country],Tabela1[[#This Row],[Country]],Table6[71kg Classification],"&gt;0")</f>
        <v>0</v>
      </c>
      <c r="CN30" s="6">
        <f>COUNTIFS(Table6[Country],Tabela1[[#This Row],[Country]],Table6[80kg Classification],"&gt;0")</f>
        <v>0</v>
      </c>
      <c r="CO30" s="6">
        <f>COUNTIFS(Table6[Country],Tabela1[[#This Row],[Country]],Table6[92kg Classification],"&gt;0")</f>
        <v>0</v>
      </c>
      <c r="CP30" s="6">
        <f>COUNTIFS(Table6[Country],Tabela1[[#This Row],[Country]],Table6[Plus 92kg Classification],"&gt;0")</f>
        <v>0</v>
      </c>
      <c r="CQ30" s="6">
        <f>COUNTIFS(Table7[Country],Tabela1[[#This Row],[Country]],Table7[50kg Classification],"&gt;0")</f>
        <v>0</v>
      </c>
      <c r="CR30" s="6">
        <f>COUNTIFS(Table7[Country],Tabela1[[#This Row],[Country]],Table7[54kg Classification],"&gt;0")</f>
        <v>0</v>
      </c>
      <c r="CS30" s="6">
        <f>COUNTIFS(Table7[Country],Tabela1[[#This Row],[Country]],Table7[57kg Classification],"&gt;0")</f>
        <v>0</v>
      </c>
      <c r="CT30" s="6">
        <f>COUNTIFS(Table7[Country],Tabela1[[#This Row],[Country]],Table7[60kg Classification],"&gt;0")</f>
        <v>0</v>
      </c>
      <c r="CU30" s="6">
        <f>COUNTIFS(Table7[Country],Tabela1[[#This Row],[Country]],Table7[66kg Classification],"&gt;0")</f>
        <v>1</v>
      </c>
      <c r="CV30" s="6">
        <f>COUNTIFS(Table7[Country],Tabela1[[#This Row],[Country]],Table7[75kg Classification],"&gt;0")</f>
        <v>0</v>
      </c>
      <c r="CW30" s="6">
        <f>COUNTIFS(Tabela94[Country],Tabela1[[#This Row],[Country]],Tabela94[Classification],"&gt;0")</f>
        <v>0</v>
      </c>
      <c r="CX30" s="6">
        <f>COUNTIFS(Tabela9499[Country],Tabela1[[#This Row],[Country]],Tabela9499[Classification],"&gt;0")</f>
        <v>0</v>
      </c>
      <c r="CY30" s="6">
        <f>COUNTIFS(Tabela107[Country],Tabela1[[#This Row],[Country]],Tabela107[C1 Slalom Classification],"&gt;0")</f>
        <v>0</v>
      </c>
      <c r="CZ30" s="6">
        <f>COUNTIFS(Tabela107122[Country],Tabela1[[#This Row],[Country]],Tabela107122[C1 Slalom Classification],"&gt;0")</f>
        <v>1</v>
      </c>
      <c r="DA30" s="6">
        <f>COUNTIFS(Tabela107[Country],Tabela1[[#This Row],[Country]],Tabela107[K1 Slalom Classification],"&gt;0")</f>
        <v>1</v>
      </c>
      <c r="DB30" s="6">
        <f>COUNTIFS(Tabela107122[Country],Tabela1[[#This Row],[Country]],Tabela107122[K1 Slalom Classification],"&gt;0")</f>
        <v>1</v>
      </c>
      <c r="DC30" s="6">
        <f>COUNTIFS(Tabela107[Country],Tabela1[[#This Row],[Country]],Tabela107[Kayak Cross Slalom Classification],"&gt;0")</f>
        <v>1</v>
      </c>
      <c r="DD30" s="6">
        <f>COUNTIFS(Tabela107122[Country],Tabela1[[#This Row],[Country]],Tabela107122[Kayak Cross Slalom Classification],"&gt;0")</f>
        <v>2</v>
      </c>
      <c r="DE30" s="6">
        <f>COUNTIFS(Table8[Country],Tabela1[[#This Row],[Country]],Table8[C1 200m Classification],"&gt;0")</f>
        <v>0</v>
      </c>
      <c r="DF30" s="6">
        <f>COUNTIFS(Table40[Country],Tabela1[[#This Row],[Country]],Table40[C1 1000m Classification],"&gt;0")</f>
        <v>0</v>
      </c>
      <c r="DG30" s="6">
        <f>COUNTIFS(Table68[Country],Tabela1[[#This Row],[Country]],Table68[Men''s C2 500m Classification],"&gt;0")</f>
        <v>0</v>
      </c>
      <c r="DH30" s="6">
        <f>COUNTIFS(Table68[Country],Tabela1[[#This Row],[Country]],Table68[Women''s C2 500m Classification],"&gt;0")</f>
        <v>0</v>
      </c>
      <c r="DI30" s="6">
        <f>COUNTIFS(Table8[Country],Tabela1[[#This Row],[Country]],Table8[K1 500m Classification],"&gt;0")</f>
        <v>0</v>
      </c>
      <c r="DJ30" s="6">
        <f>COUNTIFS(Table40[Country],Tabela1[[#This Row],[Country]],Table40[K1 1000m Classification],"&gt;0")</f>
        <v>0</v>
      </c>
      <c r="DK30" s="6">
        <f>COUNTIFS(Table68[Country],Tabela1[[#This Row],[Country]],Table68[Men''s K2 500m Classification],"&gt;0")</f>
        <v>0</v>
      </c>
      <c r="DL30" s="6">
        <f>COUNTIFS(Table68[Country],Tabela1[[#This Row],[Country]],Table68[Women''s K2 500m Classification],"&gt;0")</f>
        <v>0</v>
      </c>
      <c r="DM30" s="6">
        <f>COUNTIFS(Table83[Country],Tabela1[[#This Row],[Country]],Table83[Men''s K4 500m Classification],"&gt;0")</f>
        <v>0</v>
      </c>
      <c r="DN30" s="6">
        <f>COUNTIFS(Table83[Country],Tabela1[[#This Row],[Country]],Table83[Women''s K4 500m Classification],"&gt;0")</f>
        <v>0</v>
      </c>
      <c r="DO30" s="6">
        <f>COUNTIFS(Tabela126[Country],Tabela1[[#This Row],[Country]],Tabela126[Classification],"&gt;0")</f>
        <v>0</v>
      </c>
      <c r="DP30" s="6">
        <f>COUNTIFS(Tabela126130[Country],Tabela1[[#This Row],[Country]],Tabela126130[Classification],"&gt;0")</f>
        <v>0</v>
      </c>
      <c r="DQ30" s="6">
        <f>COUNTIFS(Table70[Country],Tabela1[[#This Row],[Country]],Table70[Classification],"&gt;0")</f>
        <v>0</v>
      </c>
      <c r="DR30" s="6">
        <f>COUNTIFS(Table80[Country],Tabela1[[#This Row],[Country]],Table80[Classification],"&gt;0")</f>
        <v>0</v>
      </c>
      <c r="DS30" s="6">
        <f>COUNTIFS(Table66[Country],Tabela1[[#This Row],[Country]],Table66[Classification],"&gt;0")</f>
        <v>0</v>
      </c>
      <c r="DT30" s="6">
        <f>COUNTIFS(Table67[Country],Tabela1[[#This Row],[Country]],Table67[Classification],"&gt;0")</f>
        <v>0</v>
      </c>
      <c r="DU30" s="6">
        <f>COUNTIFS(Table69[Country],Tabela1[[#This Row],[Country]],Table69[Keirin Classification],"&gt;0")</f>
        <v>0</v>
      </c>
      <c r="DV30" s="6">
        <f>COUNTIFS(Table41[Country],Tabela1[[#This Row],[Country]],Table41[Keirin Classification],"&gt;0")</f>
        <v>0</v>
      </c>
      <c r="DW30" s="6">
        <f>COUNTIFS(Table84[Country],Tabela1[[#This Row],[Country]],Table84[Men''s Madison Classification],"&gt;0")</f>
        <v>0</v>
      </c>
      <c r="DX30" s="6">
        <f>COUNTIFS(Table84[Country],Tabela1[[#This Row],[Country]],Table84[Women''s Madison Classification],"&gt;0")</f>
        <v>0</v>
      </c>
      <c r="DY30" s="6">
        <f>COUNTIFS(Table69[Country],Tabela1[[#This Row],[Country]],Table69[Omnium Classification],"&gt;0")</f>
        <v>0</v>
      </c>
      <c r="DZ30" s="6">
        <f>COUNTIFS(Table41[Country],Tabela1[[#This Row],[Country]],Table41[Omnium Classification],"&gt;0")</f>
        <v>0</v>
      </c>
      <c r="EA30" s="6">
        <f>COUNTIFS(Table9[Country],Tabela1[[#This Row],[Country]],Table9[Road Race Classification],"&gt;0")</f>
        <v>0</v>
      </c>
      <c r="EB30" s="6">
        <f>COUNTIFS(Table14[Country],Tabela1[[#This Row],[Country]],Table14[Road Race Classification],"&gt;0")</f>
        <v>1</v>
      </c>
      <c r="EC30" s="6">
        <f>COUNTIFS(Table69[Country],Tabela1[[#This Row],[Country]],Table69[Sprint Classification],"&gt;0")</f>
        <v>0</v>
      </c>
      <c r="ED30" s="6">
        <f>COUNTIFS(Table41[Country],Tabela1[[#This Row],[Country]],Table41[Sprint Classification],"&gt;0")</f>
        <v>0</v>
      </c>
      <c r="EE30" s="6">
        <f>COUNTIFS(Table85[Country],Tabela1[[#This Row],[Country]],Table85[Men''s Sprint Classification],"&gt;0")</f>
        <v>0</v>
      </c>
      <c r="EF30" s="6">
        <f>COUNTIFS(Table85[Country],Tabela1[[#This Row],[Country]],Table85[Women''s Sprint Classification],"&gt;0")</f>
        <v>0</v>
      </c>
      <c r="EG30" s="6">
        <f>COUNTIFS(Table85[Country],Tabela1[[#This Row],[Country]],Table85[Men''s Pursuit Classification],"&gt;0")</f>
        <v>0</v>
      </c>
      <c r="EH30" s="6">
        <f>COUNTIFS(Table85[Country],Tabela1[[#This Row],[Country]],Table85[Women''s Pursuit Classification],"&gt;0")</f>
        <v>0</v>
      </c>
      <c r="EI30" s="6">
        <f>COUNTIFS(Table9[Country],Tabela1[[#This Row],[Country]],Table9[Time-Trial Classification],"&gt;0")</f>
        <v>0</v>
      </c>
      <c r="EJ30" s="6">
        <f>COUNTIFS(Table14[Country],Tabela1[[#This Row],[Country]],Table14[Time-Trial Classification],"&gt;0")</f>
        <v>1</v>
      </c>
      <c r="EK30" s="6">
        <f>COUNTIFS(Table42[Country],Tabela1[[#This Row],[Country]],Table42[Springboard Classification],"&gt;0")</f>
        <v>0</v>
      </c>
      <c r="EL30" s="6">
        <f>COUNTIFS(Table43[Country],Tabela1[[#This Row],[Country]],Table43[Springboard Classification],"&gt;0")</f>
        <v>0</v>
      </c>
      <c r="EM30" s="6">
        <f>COUNTIFS(Table42[Country],Tabela1[[#This Row],[Country]],Table42[Platform Classification],"&gt;0")</f>
        <v>0</v>
      </c>
      <c r="EN30" s="6">
        <f>COUNTIFS(Table43[Country],Tabela1[[#This Row],[Country]],Table43[Platform Classification],"&gt;0")</f>
        <v>0</v>
      </c>
      <c r="EO30" s="6">
        <f>COUNTIFS(Table86[Country],Tabela1[[#This Row],[Country]],Table86[Men''s Synchronized Springboard Classification],"&gt;0")</f>
        <v>0</v>
      </c>
      <c r="EP30" s="6">
        <f>COUNTIFS(Table86[Country],Tabela1[[#This Row],[Country]],Table86[Women''s Synchronized Springboard Classification],"&gt;0")</f>
        <v>0</v>
      </c>
      <c r="EQ30" s="6">
        <f>COUNTIFS(Table86[Country],Tabela1[[#This Row],[Country]],Table86[Men''s Synchronized Platform Classification],"&gt;0")</f>
        <v>0</v>
      </c>
      <c r="ER30" s="6">
        <f>COUNTIFS(Table86[Country],Tabela1[[#This Row],[Country]],Table86[Women''s Synchronized Platform Classification],"&gt;0")</f>
        <v>0</v>
      </c>
      <c r="ES30" s="6">
        <f>COUNTIFS(Table44[Country],Tabela1[[#This Row],[Country]],Table44[Dressage Classification],"&gt;0")</f>
        <v>0</v>
      </c>
      <c r="ET30" s="6">
        <f>COUNTIFS(Table45[Country],Tabela1[[#This Row],[Country]],Table45[Dressage Classification],"&gt;0")</f>
        <v>0</v>
      </c>
      <c r="EU30" s="6">
        <f>COUNTIFS(Table44[Country],Tabela1[[#This Row],[Country]],Table44[Eventing Classification],"&gt;0")</f>
        <v>0</v>
      </c>
      <c r="EV30" s="6">
        <f>COUNTIFS(Table45[Country],Tabela1[[#This Row],[Country]],Table45[Eventing Classification],"&gt;0")</f>
        <v>0</v>
      </c>
      <c r="EW30" s="6">
        <f>COUNTIFS(Table44[Country],Tabela1[[#This Row],[Country]],Table44[Jumping Classification],"&gt;0")</f>
        <v>0</v>
      </c>
      <c r="EX30" s="6">
        <f>COUNTIFS(Table45[Country],Tabela1[[#This Row],[Country]],Table45[Jumping Classification],"&gt;0")</f>
        <v>0</v>
      </c>
      <c r="EY30" s="6">
        <f>COUNTIFS(Table10[Country],Tabela1[[#This Row],[Country]],Table10[Épée Classification],"&gt;0")</f>
        <v>0</v>
      </c>
      <c r="EZ30" s="6">
        <f>COUNTIFS(Table11[Country],Tabela1[[#This Row],[Country]],Table11[Épée Classification],"&gt;0")</f>
        <v>0</v>
      </c>
      <c r="FA30" s="6">
        <f>COUNTIFS(Table46[Country],Tabela1[[#This Row],[Country]],Table46[Men''s Épée Classification],"&gt;0")</f>
        <v>0</v>
      </c>
      <c r="FB30" s="6">
        <f>COUNTIFS(Table46[Country],Tabela1[[#This Row],[Country]],Table46[Women''s Épée Classification],"&gt;0")</f>
        <v>0</v>
      </c>
      <c r="FC30" s="6">
        <f>COUNTIFS(Table10[Country],Tabela1[[#This Row],[Country]],Table10[Foil Classification],"&gt;0")</f>
        <v>0</v>
      </c>
      <c r="FD30" s="6">
        <f>COUNTIFS(Table11[Country],Tabela1[[#This Row],[Country]],Table11[Foil Classification],"&gt;0")</f>
        <v>0</v>
      </c>
      <c r="FE30" s="6">
        <f>COUNTIFS(Table46[Country],Tabela1[[#This Row],[Country]],Table46[Men''s Foil Classification],"&gt;0")</f>
        <v>0</v>
      </c>
      <c r="FF30" s="6">
        <f>COUNTIFS(Table46[Country],Tabela1[[#This Row],[Country]],Table46[Women''s Foil Classification],"&gt;0")</f>
        <v>0</v>
      </c>
      <c r="FG30" s="6">
        <f>COUNTIFS(Table10[Country],Tabela1[[#This Row],[Country]],Table10[Sabre Classification],"&gt;0")</f>
        <v>0</v>
      </c>
      <c r="FH30" s="6">
        <f>COUNTIFS(Table11[Country],Tabela1[[#This Row],[Country]],Table11[Sabre Classification],"&gt;0")</f>
        <v>0</v>
      </c>
      <c r="FI30" s="6">
        <f>COUNTIFS(Table46[Country],Tabela1[[#This Row],[Country]],Table46[Men''s Sabre Classification],"&gt;0")</f>
        <v>0</v>
      </c>
      <c r="FJ30" s="6">
        <f>COUNTIFS(Table46[Country],Tabela1[[#This Row],[Country]],Table46[Women''s Sabre Classification],"&gt;0")</f>
        <v>0</v>
      </c>
      <c r="FK30" s="6">
        <f>COUNTIFS(Table91[Country],Tabela1[[#This Row],[Country]],Table91[Men''s Classification],"&gt;0")</f>
        <v>0</v>
      </c>
      <c r="FL30" s="6">
        <f>COUNTIFS(Table91[Country],Tabela1[[#This Row],[Country]],Table91[Women''s Classification],"&gt;0")</f>
        <v>0</v>
      </c>
      <c r="FM30" s="6">
        <f>COUNTIFS(Table9194[Country],Tabela1[[#This Row],[Country]],Table9194[Men''s Classification],"&gt;0")</f>
        <v>0</v>
      </c>
      <c r="FN30" s="6">
        <f>COUNTIFS(Table9194[Country],Tabela1[[#This Row],[Country]],Table9194[Women''s Classification],"&gt;0")</f>
        <v>0</v>
      </c>
      <c r="FO30" s="6">
        <f>COUNTIFS(Table71[Country],Tabela1[[#This Row],[Country]],Table71[Classification],"&gt;0")</f>
        <v>0</v>
      </c>
      <c r="FP30" s="6">
        <f>COUNTIFS(Table62[Country],Tabela1[[#This Row],[Country]],Table62[Classification],"&gt;0")</f>
        <v>0</v>
      </c>
      <c r="FQ30" s="6">
        <f>COUNTIFS(Table47[Country],Tabela1[[#This Row],[Country]],Table47[All-Around Classification],"&gt;0")</f>
        <v>0</v>
      </c>
      <c r="FR30" s="6">
        <f>COUNTIFS(Table48[Country],Tabela1[[#This Row],[Country]],Table48[All-Around Classification],"&gt;0")</f>
        <v>0</v>
      </c>
      <c r="FS30" s="6">
        <f>COUNTIFS(Table81[Country],Tabela1[[#This Row],[Country]],Table81[Men''s All-Around Classification],"&gt;0")</f>
        <v>0</v>
      </c>
      <c r="FT30" s="6">
        <f>COUNTIFS(Table81[Country],Tabela1[[#This Row],[Country]],Table81[Women''s All-Around Classification],"&gt;0")</f>
        <v>0</v>
      </c>
      <c r="FU30" s="6">
        <f>COUNTIFS(Table48[Country],Tabela1[[#This Row],[Country]],Table48[Balance Beam Classification],"&gt;0")</f>
        <v>0</v>
      </c>
      <c r="FV30" s="6">
        <f>COUNTIFS(Table47[Country],Tabela1[[#This Row],[Country]],Table47[Floor Exercise Classification],"&gt;0")</f>
        <v>0</v>
      </c>
      <c r="FW30" s="6">
        <f>COUNTIFS(Table48[Country],Tabela1[[#This Row],[Country]],Table48[Floor Exercise Classification],"&gt;0")</f>
        <v>0</v>
      </c>
      <c r="FX30" s="6">
        <f>COUNTIFS(Table47[Country],Tabela1[[#This Row],[Country]],Table47[Horizontal Bar Classification],"&gt;0")</f>
        <v>0</v>
      </c>
      <c r="FY30" s="6">
        <f>COUNTIFS(Table47[Country],Tabela1[[#This Row],[Country]],Table47[Parallel Bars Classification],"&gt;0")</f>
        <v>0</v>
      </c>
      <c r="FZ30" s="6">
        <f>COUNTIFS(Table47[Country],Tabela1[[#This Row],[Country]],Table47[Pommel Horse Classification],"&gt;0")</f>
        <v>0</v>
      </c>
      <c r="GA30" s="6">
        <f>COUNTIFS(Table47[Country],Tabela1[[#This Row],[Country]],Table47[Rings Classification],"&gt;0")</f>
        <v>0</v>
      </c>
      <c r="GB30" s="6">
        <f>COUNTIFS(Tabela132[Country],Tabela1[[#This Row],[Country]],Tabela132[Classification],"&gt;0")</f>
        <v>0</v>
      </c>
      <c r="GC30" s="6">
        <f>COUNTIFS(Tabela139[Country],Tabela1[[#This Row],[Country]],Tabela139[Classification],"&gt;0")</f>
        <v>0</v>
      </c>
      <c r="GD30" s="6">
        <f>COUNTIFS(Table48[Country],Tabela1[[#This Row],[Country]],Table48[Uneven Bars Classification],"&gt;0")</f>
        <v>0</v>
      </c>
      <c r="GE30" s="6">
        <f>COUNTIFS(Table47[Country],Tabela1[[#This Row],[Country]],Table47[Vault Classification],"&gt;0")</f>
        <v>0</v>
      </c>
      <c r="GF30" s="6">
        <f>COUNTIFS(Table48[Country],Tabela1[[#This Row],[Country]],Table48[Vault Classification],"&gt;0")</f>
        <v>0</v>
      </c>
      <c r="GG30" s="6">
        <f>COUNTIFS(Table919496[Country],Tabela1[[#This Row],[Country]],Table919496[Men''s Classification],"&gt;0")</f>
        <v>0</v>
      </c>
      <c r="GH30" s="6">
        <f>COUNTIFS(Table919496[Country],Tabela1[[#This Row],[Country]],Table919496[Women''s Classification],"&gt;0")</f>
        <v>0</v>
      </c>
      <c r="GI30" s="6">
        <f>COUNTIFS(Table12[Country],Tabela1[[#This Row],[Country]],Table12[60kg Classification],"&gt;0")</f>
        <v>0</v>
      </c>
      <c r="GJ30" s="6">
        <f>COUNTIFS(Table12[Country],Tabela1[[#This Row],[Country]],Table12[66kg Classification],"&gt;0")</f>
        <v>0</v>
      </c>
      <c r="GK30" s="6">
        <f>COUNTIFS(Table12[Country],Tabela1[[#This Row],[Country]],Table12[73kg Classification],"&gt;0")</f>
        <v>0</v>
      </c>
      <c r="GL30" s="6">
        <f>COUNTIFS(Table12[Country],Tabela1[[#This Row],[Country]],Table12[81kg Classification],"&gt;0")</f>
        <v>0</v>
      </c>
      <c r="GM30" s="6">
        <f>COUNTIFS(Table12[Country],Tabela1[[#This Row],[Country]],Table12[90kg Classification],"&gt;0")</f>
        <v>0</v>
      </c>
      <c r="GN30" s="6">
        <f>COUNTIFS(Table12[Country],Tabela1[[#This Row],[Country]],Table12[100kg Classification],"&gt;0")</f>
        <v>0</v>
      </c>
      <c r="GO30" s="6">
        <f>COUNTIFS(Table12[Country],Tabela1[[#This Row],[Country]],Table12[Plus 100kg Classification],"&gt;0")</f>
        <v>1</v>
      </c>
      <c r="GP30" s="6">
        <f>COUNTIFS(Table13[Country],Tabela1[[#This Row],[Country]],Table13[48kg Classification],"&gt;0")</f>
        <v>0</v>
      </c>
      <c r="GQ30" s="6">
        <f>COUNTIFS(Table13[Country],Tabela1[[#This Row],[Country]],Table13[52kg Classification],"&gt;0")</f>
        <v>0</v>
      </c>
      <c r="GR30" s="6">
        <f>COUNTIFS(Table13[Country],Tabela1[[#This Row],[Country]],Table13[57kg Classification],"&gt;0")</f>
        <v>0</v>
      </c>
      <c r="GS30" s="6">
        <f>COUNTIFS(Table13[Country],Tabela1[[#This Row],[Country]],Table13[63kg Classification],"&gt;0")</f>
        <v>0</v>
      </c>
      <c r="GT30" s="6">
        <f>COUNTIFS(Table13[Country],Tabela1[[#This Row],[Country]],Table13[70kg Classification],"&gt;0")</f>
        <v>0</v>
      </c>
      <c r="GU30" s="6">
        <f>COUNTIFS(Table13[Country],Tabela1[[#This Row],[Country]],Table13[78kg Classification],"&gt;0")</f>
        <v>0</v>
      </c>
      <c r="GV30" s="6">
        <f>COUNTIFS(Table13[Country],Tabela1[[#This Row],[Country]],Table13[Plus 78kg Classification],"&gt;0")</f>
        <v>0</v>
      </c>
      <c r="GW30" s="6">
        <f>COUNTIFS(Table82[Country],Tabela1[[#This Row],[Country]],Table82[Mixed Classification],"&gt;0")</f>
        <v>0</v>
      </c>
      <c r="GX30" s="6">
        <f>COUNTIFS(Table51[Country],Tabela1[[#This Row],[Country]],Table51[Classification],"&gt;0")</f>
        <v>0</v>
      </c>
      <c r="GY30" s="6">
        <f>COUNTIFS(Table52[Country],Tabela1[[#This Row],[Country]],Table52[Classification],"&gt;0")</f>
        <v>0</v>
      </c>
      <c r="GZ30" s="6">
        <f>COUNTIFS(Table32[Country],Tabela1[[#This Row],[Country]],Table32[All-Around Classification],"&gt;0")</f>
        <v>0</v>
      </c>
      <c r="HA30" s="6">
        <f>COUNTIFS(Table49[Country],Tabela1[[#This Row],[Country]],Table49[All-Around Classification],"&gt;0")</f>
        <v>0</v>
      </c>
      <c r="HB30" s="6">
        <f>COUNTIFS(Table26[Country],Tabela1[[#This Row],[Country]],Table26[Single Sculls Classification],"&gt;0")</f>
        <v>0</v>
      </c>
      <c r="HC30" s="6">
        <f>COUNTIFS(Table63[Country],Tabela1[[#This Row],[Country]],Table63[Single Sculls Classification],"&gt;0")</f>
        <v>0</v>
      </c>
      <c r="HD30" s="6">
        <f>COUNTIFS(Table16[Country],Tabela1[[#This Row],[Country]],Table16[Men''s Double Sculls Classification],"&gt;0")</f>
        <v>0</v>
      </c>
      <c r="HE30" s="6">
        <f>COUNTIFS(Table16[Country],Tabela1[[#This Row],[Country]],Table16[Women''s Double Sculls Classification],"&gt;0")</f>
        <v>0</v>
      </c>
      <c r="HF30" s="6">
        <f>COUNTIFS(Table72[Country],Tabela1[[#This Row],[Country]],Table72[Men''s Quadruple Sculls Classification],"&gt;0")</f>
        <v>0</v>
      </c>
      <c r="HG30" s="6">
        <f>COUNTIFS(Table72[Country],Tabela1[[#This Row],[Country]],Table72[Women''s Quadruple Sculls Classification],"&gt;0")</f>
        <v>0</v>
      </c>
      <c r="HH30" s="6">
        <f>COUNTIFS(Table16[Country],Tabela1[[#This Row],[Country]],Table16[Men''s Coxless Pairs Classification],"&gt;0")</f>
        <v>0</v>
      </c>
      <c r="HI30" s="6">
        <f>COUNTIFS(Table16[Country],Tabela1[[#This Row],[Country]],Table16[Women''s Coxless Pairs Classification],"&gt;0")</f>
        <v>0</v>
      </c>
      <c r="HJ30" s="6">
        <f>COUNTIFS(Table72[Country],Tabela1[[#This Row],[Country]],Table72[Men''s Coxless Fours Classification],"&gt;0")</f>
        <v>0</v>
      </c>
      <c r="HK30" s="6">
        <f>COUNTIFS(Table72[Country],Tabela1[[#This Row],[Country]],Table72[Women''s Coxless Fours Classification],"&gt;0")</f>
        <v>0</v>
      </c>
      <c r="HL30" s="6">
        <f>COUNTIFS(Table72[Country],Tabela1[[#This Row],[Country]],Table72[Men''s Eights Classification],"&gt;0")</f>
        <v>0</v>
      </c>
      <c r="HM30" s="6">
        <f>COUNTIFS(Table72[Country],Tabela1[[#This Row],[Country]],Table72[Women''s Eights Classification],"&gt;0")</f>
        <v>0</v>
      </c>
      <c r="HN30" s="6">
        <f>COUNTIFS(Table16[Country],Tabela1[[#This Row],[Country]],Table16[Men''s Lwt. Double Sculls Classification],"&gt;0")</f>
        <v>0</v>
      </c>
      <c r="HO30" s="6">
        <f>COUNTIFS(Table16[Country],Tabela1[[#This Row],[Country]],Table16[Women''s Lwt. Double Sculls Classification],"&gt;0")</f>
        <v>0</v>
      </c>
      <c r="HP30" s="6">
        <f>COUNTIFS(Table91949698[Country],Tabela1[[#This Row],[Country]],Table91949698[Men''s Classification],"&gt;0")</f>
        <v>0</v>
      </c>
      <c r="HQ30" s="6">
        <f>COUNTIFS(Table91949698[Country],Tabela1[[#This Row],[Country]],Table91949698[Women''s Classification],"&gt;0")</f>
        <v>0</v>
      </c>
      <c r="HR30" s="6">
        <f>COUNTIFS(Table25[Country],Tabela1[[#This Row],[Country]],Table25[Mixed 470 Classification],"&gt;0")</f>
        <v>0</v>
      </c>
      <c r="HS30" s="6">
        <f>COUNTIFS(Table25[Country],Tabela1[[#This Row],[Country]],Table25[Men''s 49er Classification],"&gt;0")</f>
        <v>0</v>
      </c>
      <c r="HT30" s="6">
        <f>COUNTIFS(Table25[Country],Tabela1[[#This Row],[Country]],Table25[Women''s 49er FX Classification],"&gt;0")</f>
        <v>0</v>
      </c>
      <c r="HU30" s="6">
        <f>COUNTIFS(Table17[Country],Tabela1[[#This Row],[Country]],Table17[Formula Kite Classification],"&gt;0")</f>
        <v>0</v>
      </c>
      <c r="HV30" s="6">
        <f>COUNTIFS(Table18[Country],Tabela1[[#This Row],[Country]],Table18[Formula Kite Classification],"&gt;0")</f>
        <v>0</v>
      </c>
      <c r="HW30" s="6">
        <f>COUNTIFS(Table17[Country],Tabela1[[#This Row],[Country]],Table17[ILCA 7 Classification],"&gt;0")</f>
        <v>0</v>
      </c>
      <c r="HX30" s="6">
        <f>COUNTIFS(Table18[Country],Tabela1[[#This Row],[Country]],Table18[ILCA 6 Classification],"&gt;0")</f>
        <v>0</v>
      </c>
      <c r="HY30" s="6">
        <f>COUNTIFS(Table17[Country],Tabela1[[#This Row],[Country]],Table17[IQFoil Classification],"&gt;0")</f>
        <v>1</v>
      </c>
      <c r="HZ30" s="6">
        <f>COUNTIFS(Table18[Country],Tabela1[[#This Row],[Country]],Table18[IQFoil Classification],"&gt;0")</f>
        <v>0</v>
      </c>
      <c r="IA30" s="6">
        <f>COUNTIFS(Table25[Country],Tabela1[[#This Row],[Country]],Table25[Mixed Nacra 17 Classification],"&gt;0")</f>
        <v>0</v>
      </c>
      <c r="IB30" s="6">
        <f>COUNTIFS(Table53[Country],Tabela1[[#This Row],[Country]],Table53[10m Air Pistol Classification],"&gt;0")</f>
        <v>0</v>
      </c>
      <c r="IC30" s="6">
        <f>COUNTIFS(Table19[Country],Tabela1[[#This Row],[Country]],Table19[10m Air Pistol Classification],"&gt;0")</f>
        <v>0</v>
      </c>
      <c r="ID30" s="6">
        <f>COUNTIFS(Table54[Country],Tabela1[[#This Row],[Country]],Table54[Mixed 10m Air Pistol Team Classification],"&gt;0")</f>
        <v>0</v>
      </c>
      <c r="IE30" s="6">
        <f>COUNTIFS(Table53[Country],Tabela1[[#This Row],[Country]],Table53[10m Air Rifle Classification],"&gt;0")</f>
        <v>0</v>
      </c>
      <c r="IF30" s="6">
        <f>COUNTIFS(Table19[Country],Tabela1[[#This Row],[Country]],Table19[10m Air Rifle Classification],"&gt;0")</f>
        <v>0</v>
      </c>
      <c r="IG30" s="6">
        <f>COUNTIFS(Table54[Country],Tabela1[[#This Row],[Country]],Table54[Mixed 10m Air Rifle Team Classification],"&gt;0")</f>
        <v>0</v>
      </c>
      <c r="IH30" s="6">
        <f>COUNTIFS(Table53[Country],Tabela1[[#This Row],[Country]],Table53[25m Rapid Fire Pistol Classification],"&gt;0")</f>
        <v>0</v>
      </c>
      <c r="II30" s="6">
        <f>COUNTIFS(Table19[Country],Tabela1[[#This Row],[Country]],Table19[25m Pistol Classification],"&gt;0")</f>
        <v>0</v>
      </c>
      <c r="IJ30" s="6">
        <f>COUNTIFS(Table53[Country],Tabela1[[#This Row],[Country]],Table53[50m Rifle 3 Positions Classification],"&gt;0")</f>
        <v>0</v>
      </c>
      <c r="IK30" s="6">
        <f>COUNTIFS(Table19[Country],Tabela1[[#This Row],[Country]],Table19[50m Rifle 3 Positions Classification],"&gt;0")</f>
        <v>0</v>
      </c>
      <c r="IL30" s="6">
        <f>COUNTIFS(Table53[Country],Tabela1[[#This Row],[Country]],Table53[Skeet Classification],"&gt;0")</f>
        <v>0</v>
      </c>
      <c r="IM30" s="6">
        <f>COUNTIFS(Table19[Country],Tabela1[[#This Row],[Country]],Table19[Skeet Classification],"&gt;0")</f>
        <v>1</v>
      </c>
      <c r="IN30" s="6">
        <f>COUNTIFS(Table54[Country],Tabela1[[#This Row],[Country]],Table54[Mixed Skeet Team Classification],"&gt;0")</f>
        <v>0</v>
      </c>
      <c r="IO30" s="6">
        <f>COUNTIFS(Table53[Country],Tabela1[[#This Row],[Country]],Table53[Trap Classification],"&gt;0")</f>
        <v>0</v>
      </c>
      <c r="IP30" s="6">
        <f>COUNTIFS(Table19[Country],Tabela1[[#This Row],[Country]],Table19[Trap Classification],"&gt;0")</f>
        <v>0</v>
      </c>
      <c r="IQ30" s="6">
        <f>COUNTIFS(Table73[Country],Tabela1[[#This Row],[Country]],Table73[Park Classification],"&gt;0")</f>
        <v>0</v>
      </c>
      <c r="IR30" s="6">
        <f>COUNTIFS(Table74[Country],Tabela1[[#This Row],[Country]],Table74[Park Classification],"&gt;0")</f>
        <v>0</v>
      </c>
      <c r="IS30" s="6">
        <f>COUNTIFS(Table73[Country],Tabela1[[#This Row],[Country]],Table73[Street Classification],"&gt;0")</f>
        <v>1</v>
      </c>
      <c r="IT30" s="6">
        <f>COUNTIFS(Table74[Country],Tabela1[[#This Row],[Country]],Table74[Street Classification],"&gt;0")</f>
        <v>0</v>
      </c>
      <c r="IU30" s="6">
        <f>COUNTIFS(Table75[Country],Tabela1[[#This Row],[Country]],Table75[Boulder and Lead Classification],"&gt;0")</f>
        <v>0</v>
      </c>
      <c r="IV30" s="6">
        <f>COUNTIFS(Table76[Country],Tabela1[[#This Row],[Country]],Table76[Boulder and Lead Classification],"&gt;0")</f>
        <v>0</v>
      </c>
      <c r="IW30" s="6">
        <f>COUNTIFS(Table75[Country],Tabela1[[#This Row],[Country]],Table75[Speed Classification],"&gt;0")</f>
        <v>0</v>
      </c>
      <c r="IX30" s="6">
        <f>COUNTIFS(Table76[Country],Tabela1[[#This Row],[Country]],Table76[Speed Classification],"&gt;0")</f>
        <v>0</v>
      </c>
      <c r="IY30" s="6">
        <f>COUNTIFS(Table64[Country],Tabela1[[#This Row],[Country]],Table64[Shortboard Classification],"&gt;0")</f>
        <v>0</v>
      </c>
      <c r="IZ30" s="6">
        <f>COUNTIFS(Table77[Country],Tabela1[[#This Row],[Country]],Table77[Shortboard Classification],"&gt;0")</f>
        <v>0</v>
      </c>
      <c r="JA30" s="6">
        <f>COUNTIFS(Table20[Country],Tabela1[[#This Row],[Country]],Table20[50m Freestyle Classification],"&gt;0")</f>
        <v>0</v>
      </c>
      <c r="JB30" s="6">
        <f>COUNTIFS(Table21[Country],Tabela1[[#This Row],[Country]],Table21[50m Freestyle Classification],"&gt;0")</f>
        <v>0</v>
      </c>
      <c r="JC30" s="6">
        <f>COUNTIFS(Table20[Country],Tabela1[[#This Row],[Country]],Table20[100m Freestyle Classification],"&gt;0")</f>
        <v>0</v>
      </c>
      <c r="JD30" s="6">
        <f>COUNTIFS(Table21[Country],Tabela1[[#This Row],[Country]],Table21[100m Freestyle Classification],"&gt;0")</f>
        <v>0</v>
      </c>
      <c r="JE30" s="6">
        <f>COUNTIFS(Table20[Country],Tabela1[[#This Row],[Country]],Table20[200m Freestyle Classification],"&gt;0")</f>
        <v>0</v>
      </c>
      <c r="JF30" s="6">
        <f>COUNTIFS(Table21[Country],Tabela1[[#This Row],[Country]],Table21[200m Freestyle Classification],"&gt;0")</f>
        <v>0</v>
      </c>
      <c r="JG30" s="6">
        <f>COUNTIFS(Table20[Country],Tabela1[[#This Row],[Country]],Table20[400m Freestyle Classification],"&gt;0")</f>
        <v>0</v>
      </c>
      <c r="JH30" s="6">
        <f>COUNTIFS(Table21[Country],Tabela1[[#This Row],[Country]],Table21[400m Freestyle Classification],"&gt;0")</f>
        <v>0</v>
      </c>
      <c r="JI30" s="6">
        <f>COUNTIFS(Table20[Country],Tabela1[[#This Row],[Country]],Table20[800m Freestyle Classification],"&gt;0")</f>
        <v>0</v>
      </c>
      <c r="JJ30" s="6">
        <f>COUNTIFS(Table21[Country],Tabela1[[#This Row],[Country]],Table21[800m Freestyle Classification],"&gt;0")</f>
        <v>0</v>
      </c>
      <c r="JK30" s="6">
        <f>COUNTIFS(Table20[Country],Tabela1[[#This Row],[Country]],Table20[1500m Freestyle Classification],"&gt;0")</f>
        <v>0</v>
      </c>
      <c r="JL30" s="6">
        <f>COUNTIFS(Table21[Country],Tabela1[[#This Row],[Country]],Table21[1500m Freestyle Classification],"&gt;0")</f>
        <v>0</v>
      </c>
      <c r="JM30" s="6">
        <f>COUNTIFS(Table20[Country],Tabela1[[#This Row],[Country]],Table20[100m Backstroke Classification],"&gt;0")</f>
        <v>0</v>
      </c>
      <c r="JN30" s="6">
        <f>COUNTIFS(Table21[Country],Tabela1[[#This Row],[Country]],Table21[100m Backstroke Classification],"&gt;0")</f>
        <v>0</v>
      </c>
      <c r="JO30" s="6">
        <f>COUNTIFS(Table20[Country],Tabela1[[#This Row],[Country]],Table20[200m Backstroke Classification],"&gt;0")</f>
        <v>0</v>
      </c>
      <c r="JP30" s="6">
        <f>COUNTIFS(Table21[Country],Tabela1[[#This Row],[Country]],Table21[200m Backstroke Classification],"&gt;0")</f>
        <v>0</v>
      </c>
      <c r="JQ30" s="6">
        <f>COUNTIFS(Table20[Country],Tabela1[[#This Row],[Country]],Table20[100m Breaststroke Classification],"&gt;0")</f>
        <v>0</v>
      </c>
      <c r="JR30" s="6">
        <f>COUNTIFS(Table21[Country],Tabela1[[#This Row],[Country]],Table21[100m Breaststroke Classification],"&gt;0")</f>
        <v>0</v>
      </c>
      <c r="JS30" s="6">
        <f>COUNTIFS(Table20[Country],Tabela1[[#This Row],[Country]],Table20[200m Breaststroke Classification],"&gt;0")</f>
        <v>0</v>
      </c>
      <c r="JT30" s="6">
        <f>COUNTIFS(Table21[Country],Tabela1[[#This Row],[Country]],Table21[200m Breaststroke Classification],"&gt;0")</f>
        <v>0</v>
      </c>
      <c r="JU30" s="6">
        <f>COUNTIFS(Table20[Country],Tabela1[[#This Row],[Country]],Table20[100m Butterfly Classification],"&gt;0")</f>
        <v>0</v>
      </c>
      <c r="JV30" s="6">
        <f>COUNTIFS(Table21[Country],Tabela1[[#This Row],[Country]],Table21[100m Butterfly Classification],"&gt;0")</f>
        <v>0</v>
      </c>
      <c r="JW30" s="6">
        <f>COUNTIFS(Table20[Country],Tabela1[[#This Row],[Country]],Table20[200m Butterfly Classification],"&gt;0")</f>
        <v>0</v>
      </c>
      <c r="JX30" s="6">
        <f>COUNTIFS(Table21[Country],Tabela1[[#This Row],[Country]],Table21[200m Butterfly Classification],"&gt;0")</f>
        <v>0</v>
      </c>
      <c r="JY30" s="6">
        <f>COUNTIFS(Table20[Country],Tabela1[[#This Row],[Country]],Table20[200m Medley Classification],"&gt;0")</f>
        <v>0</v>
      </c>
      <c r="JZ30" s="6">
        <f>COUNTIFS(Table21[Country],Tabela1[[#This Row],[Country]],Table21[200m Medley Classification],"&gt;0")</f>
        <v>0</v>
      </c>
      <c r="KA30" s="6">
        <f>COUNTIFS(Table20[Country],Tabela1[[#This Row],[Country]],Table20[400m Medley Classification],"&gt;0")</f>
        <v>0</v>
      </c>
      <c r="KB30" s="6">
        <f>COUNTIFS(Table21[Country],Tabela1[[#This Row],[Country]],Table21[400m Medley Classification],"&gt;0")</f>
        <v>0</v>
      </c>
      <c r="KC30" s="6">
        <f>COUNTIFS(Table78[Country],Tabela1[[#This Row],[Country]],Table78[Men''s 4x100m Freestyle Relay Classification],"&gt;0")</f>
        <v>0</v>
      </c>
      <c r="KD30" s="6">
        <f>COUNTIFS(Table78[Country],Tabela1[[#This Row],[Country]],Table78[Women''s 4x100m Freestyle Relay Classification],"&gt;0")</f>
        <v>0</v>
      </c>
      <c r="KE30" s="6">
        <f>COUNTIFS(Table78[Country],Tabela1[[#This Row],[Country]],Table78[Men''s 4x200m Freestyle Relay Classification],"&gt;0")</f>
        <v>0</v>
      </c>
      <c r="KF30" s="6">
        <f>COUNTIFS(Table78[Country],Tabela1[[#This Row],[Country]],Table78[Women''s 4x200m Freestyle Relay Classification],"&gt;0")</f>
        <v>0</v>
      </c>
      <c r="KG30" s="6">
        <f>COUNTIFS(Table78[Country],Tabela1[[#This Row],[Country]],Table78[Men''s 4x100m Medley Relay Classification],"&gt;0")</f>
        <v>0</v>
      </c>
      <c r="KH30" s="6">
        <f>COUNTIFS(Table78[Country],Tabela1[[#This Row],[Country]],Table78[Women''s 4x100m Medley Relay Classification],"&gt;0")</f>
        <v>0</v>
      </c>
      <c r="KI30" s="6">
        <f>COUNTIFS(Table78[Country],Tabela1[[#This Row],[Country]],Table78[Mixed 4x100m Medley Relay Classification],"&gt;0")</f>
        <v>0</v>
      </c>
      <c r="KJ30" s="6">
        <f>COUNTIFS(Table20[Country],Tabela1[[#This Row],[Country]],Table20[10km Open Water Classification],"&gt;0")</f>
        <v>0</v>
      </c>
      <c r="KK30" s="6">
        <f>COUNTIFS(Table21[Country],Tabela1[[#This Row],[Country]],Table21[10km Open Water Classification],"&gt;0")</f>
        <v>0</v>
      </c>
      <c r="KL30" s="6">
        <f>COUNTIFS(Table22[Country],Tabela1[[#This Row],[Country]],Table22[Classification],"&gt;0")</f>
        <v>1</v>
      </c>
      <c r="KM30" s="6">
        <f>COUNTIFS(Table30[Country],Tabela1[[#This Row],[Country]],Table30[Classification],"&gt;0")</f>
        <v>0</v>
      </c>
      <c r="KN30" s="6">
        <f>COUNTIFS(Table55[Country],Tabela1[[#This Row],[Country]],Table55[Men''s Classification],"&gt;0")</f>
        <v>0</v>
      </c>
      <c r="KO30" s="6">
        <f>COUNTIFS(Table55[Country],Tabela1[[#This Row],[Country]],Table55[Women''s Classification],"&gt;0")</f>
        <v>0</v>
      </c>
      <c r="KP30" s="6">
        <f>COUNTIFS(Table56[Country],Tabela1[[#This Row],[Country]],Table56[Mixed Classification],"&gt;0")</f>
        <v>0</v>
      </c>
      <c r="KQ30" s="6">
        <f>COUNTIFS(Table29[Country],Tabela1[[#This Row],[Country]],Table29[58kg Classification],"&gt;0")</f>
        <v>0</v>
      </c>
      <c r="KR30" s="6">
        <f>COUNTIFS(Table29[Country],Tabela1[[#This Row],[Country]],Table29[68kg Classification],"&gt;0")</f>
        <v>0</v>
      </c>
      <c r="KS30" s="6">
        <f>COUNTIFS(Table29[Country],Tabela1[[#This Row],[Country]],Table29[80kg Classification],"&gt;0")</f>
        <v>0</v>
      </c>
      <c r="KT30" s="6">
        <f>COUNTIFS(Table29[Country],Tabela1[[#This Row],[Country]],Table29[Plus 80kg Classification],"&gt;0")</f>
        <v>0</v>
      </c>
      <c r="KU30" s="6">
        <f>COUNTIFS(Table34[Country],Tabela1[[#This Row],[Country]],Table34[49kg Classification],"&gt;0")</f>
        <v>0</v>
      </c>
      <c r="KV30" s="6">
        <f>COUNTIFS(Table34[Country],Tabela1[[#This Row],[Country]],Table34[57kg Classification],"&gt;0")</f>
        <v>0</v>
      </c>
      <c r="KW30" s="6">
        <f>COUNTIFS(Table34[Country],Tabela1[[#This Row],[Country]],Table34[67kg Classification],"&gt;0")</f>
        <v>0</v>
      </c>
      <c r="KX30" s="6">
        <f>COUNTIFS(Table34[Country],Tabela1[[#This Row],[Country]],Table34[Plus 67kg Classification],"&gt;0")</f>
        <v>0</v>
      </c>
      <c r="KY30" s="6">
        <f>COUNTIFS(Table57[Country],Tabela1[[#This Row],[Country]],Table57[Classification],"&gt;0")</f>
        <v>0</v>
      </c>
      <c r="KZ30" s="6">
        <f>COUNTIFS(Table58[Country],Tabela1[[#This Row],[Country]],Table58[Classification],"&gt;0")</f>
        <v>1</v>
      </c>
      <c r="LA30" s="6">
        <f>COUNTIFS(Table79[Country],Tabela1[[#This Row],[Country]],Table79[Men''s Classification],"&gt;0")</f>
        <v>0</v>
      </c>
      <c r="LB30" s="6">
        <f>COUNTIFS(Table79[Country],Tabela1[[#This Row],[Country]],Table79[Women''s Classification],"&gt;0")</f>
        <v>0</v>
      </c>
      <c r="LC30" s="6">
        <f>COUNTIFS(Table79[Country],Tabela1[[#This Row],[Country]],Table79[Mixed Classification],"&gt;0")</f>
        <v>0</v>
      </c>
      <c r="LD30" s="6">
        <f>COUNTIFS(Table65[Country],Tabela1[[#This Row],[Country]],Table65[Classification],"&gt;0")</f>
        <v>0</v>
      </c>
      <c r="LE30" s="6">
        <f>COUNTIFS(Table59[Country],Tabela1[[#This Row],[Country]],Table59[Classification],"&gt;0")</f>
        <v>0</v>
      </c>
      <c r="LF30" s="6">
        <f>COUNTIFS(Table87[Country],Tabela1[[#This Row],[Country]],Table87[Mixed Relay Classification],"&gt;0")</f>
        <v>0</v>
      </c>
      <c r="LG30" s="6">
        <f>COUNTIFS(Table91949698100[Country],Tabela1[[#This Row],[Country]],Table91949698100[Men''s Classification],"&gt;0")</f>
        <v>0</v>
      </c>
      <c r="LH30" s="6">
        <f>COUNTIFS(Table91949698100[Country],Tabela1[[#This Row],[Country]],Table91949698100[Women''s Classification],"&gt;0")</f>
        <v>0</v>
      </c>
      <c r="LI30" s="6">
        <f>COUNTIFS(Table91949698100102[Country],Tabela1[[#This Row],[Country]],Table91949698100102[Men''s Classification],"&gt;0")</f>
        <v>0</v>
      </c>
      <c r="LJ30" s="6">
        <f>COUNTIFS(Table91949698100102[Country],Tabela1[[#This Row],[Country]],Table91949698100102[Women''s Classification],"&gt;0")</f>
        <v>0</v>
      </c>
      <c r="LK30" s="6">
        <f>COUNTIFS(Table23[Country],Tabela1[[#This Row],[Country]],Table23[61kg Classification],"&gt;0")</f>
        <v>0</v>
      </c>
      <c r="LL30" s="6">
        <f>COUNTIFS(Table23[Country],Tabela1[[#This Row],[Country]],Table23[73kg Classification],"&gt;0")</f>
        <v>0</v>
      </c>
      <c r="LM30" s="6">
        <f>COUNTIFS(Table23[Country],Tabela1[[#This Row],[Country]],Table23[89kg Classification],"&gt;0")</f>
        <v>0</v>
      </c>
      <c r="LN30" s="6">
        <f>COUNTIFS(Table23[Country],Tabela1[[#This Row],[Country]],Table23[102kg Classification],"&gt;0")</f>
        <v>0</v>
      </c>
      <c r="LO30" s="6">
        <f>COUNTIFS(Table23[Country],Tabela1[[#This Row],[Country]],Table23[Plus 102kg Classification],"&gt;0")</f>
        <v>0</v>
      </c>
      <c r="LP30" s="6">
        <f>COUNTIFS(Table28[Country],Tabela1[[#This Row],[Country]],Table28[49kg Classification],"&gt;0")</f>
        <v>0</v>
      </c>
      <c r="LQ30" s="6">
        <f>COUNTIFS(Table28[Country],Tabela1[[#This Row],[Country]],Table28[59kg Classification],"&gt;0")</f>
        <v>0</v>
      </c>
      <c r="LR30" s="6">
        <f>COUNTIFS(Table28[Country],Tabela1[[#This Row],[Country]],Table28[71kg Classification],"&gt;0")</f>
        <v>0</v>
      </c>
      <c r="LS30" s="6">
        <f>COUNTIFS(Table28[Country],Tabela1[[#This Row],[Country]],Table28[81kg Classification],"&gt;0")</f>
        <v>0</v>
      </c>
      <c r="LT30" s="6">
        <f>COUNTIFS(Table28[Country],Tabela1[[#This Row],[Country]],Table28[Plus 81kg Classification],"&gt;0")</f>
        <v>0</v>
      </c>
      <c r="LU30" s="6">
        <f>COUNTIFS(Table24[Country],Tabela1[[#This Row],[Country]],Table24[Freestyle 57kg Classification],"&gt;0")</f>
        <v>0</v>
      </c>
      <c r="LV30" s="6">
        <f>COUNTIFS(Table24[Country],Tabela1[[#This Row],[Country]],Table24[Freestyle 65kg Classification],"&gt;0")</f>
        <v>0</v>
      </c>
      <c r="LW30" s="6">
        <f>COUNTIFS(Table24[Country],Tabela1[[#This Row],[Country]],Table24[Freestyle 74kg Classification],"&gt;0")</f>
        <v>0</v>
      </c>
      <c r="LX30" s="6">
        <f>COUNTIFS(Table24[Country],Tabela1[[#This Row],[Country]],Table24[Freestyle 86kg Classification],"&gt;0")</f>
        <v>0</v>
      </c>
      <c r="LY30" s="6">
        <f>COUNTIFS(Table24[Country],Tabela1[[#This Row],[Country]],Table24[Freestyle 97kg Classification],"&gt;0")</f>
        <v>0</v>
      </c>
      <c r="LZ30" s="6">
        <f>COUNTIFS(Table24[Country],Tabela1[[#This Row],[Country]],Table24[Freestyle 125kg Classification],"&gt;0")</f>
        <v>0</v>
      </c>
      <c r="MA30" s="6">
        <f>COUNTIFS(Table24[Country],Tabela1[[#This Row],[Country]],Table24[Greco-Roman 60kg Classification],"&gt;0")</f>
        <v>0</v>
      </c>
      <c r="MB30" s="6">
        <f>COUNTIFS(Table24[Country],Tabela1[[#This Row],[Country]],Table24[Greco-Roman 67kg Classification],"&gt;0")</f>
        <v>0</v>
      </c>
      <c r="MC30" s="6">
        <f>COUNTIFS(Table24[Country],Tabela1[[#This Row],[Country]],Table24[Greco-Roman 77kg Classification],"&gt;0")</f>
        <v>0</v>
      </c>
      <c r="MD30" s="6">
        <f>COUNTIFS(Table24[Country],Tabela1[[#This Row],[Country]],Table24[Greco-Roman 87kg Classification],"&gt;0")</f>
        <v>0</v>
      </c>
      <c r="ME30" s="6">
        <f>COUNTIFS(Table24[Country],Tabela1[[#This Row],[Country]],Table24[Greco-Roman 97kg Classification],"&gt;0")</f>
        <v>0</v>
      </c>
      <c r="MF30" s="6">
        <f>COUNTIFS(Table24[Country],Tabela1[[#This Row],[Country]],Table24[Greco-Roman 130kg Classification],"&gt;0")</f>
        <v>0</v>
      </c>
      <c r="MG30" s="6">
        <f>COUNTIFS(Table31[Country],Tabela1[[#This Row],[Country]],Table31[50kg Classification],"&gt;0")</f>
        <v>0</v>
      </c>
      <c r="MH30" s="6">
        <f>COUNTIFS(Table31[Country],Tabela1[[#This Row],[Country]],Table31[53kg Classification],"&gt;0")</f>
        <v>0</v>
      </c>
      <c r="MI30" s="6">
        <f>COUNTIFS(Table31[Country],Tabela1[[#This Row],[Country]],Table31[57kg Classification],"&gt;0")</f>
        <v>0</v>
      </c>
      <c r="MJ30" s="6">
        <f>COUNTIFS(Table31[Country],Tabela1[[#This Row],[Country]],Table31[62kg Classification],"&gt;0")</f>
        <v>0</v>
      </c>
      <c r="MK30" s="6">
        <f>COUNTIFS(Table31[Country],Tabela1[[#This Row],[Country]],Table31[68kg Classification],"&gt;0")</f>
        <v>0</v>
      </c>
      <c r="ML30" s="6">
        <f>COUNTIFS(Table31[Country],Tabela1[[#This Row],[Country]],Table31[76kg Classification],"&gt;0")</f>
        <v>0</v>
      </c>
      <c r="MM30" s="6">
        <f>COUNTIFS(Table102[Country],Tabela1[[#This Row],[Country]],Table102[Downhill Classification],"&gt;0")</f>
        <v>0</v>
      </c>
      <c r="MN30" s="6">
        <f>COUNTIFS(Table102105[Country],Tabela1[[#This Row],[Country]],Table102105[Downhill Classification],"&gt;0")</f>
        <v>0</v>
      </c>
      <c r="MO30" s="6">
        <f>COUNTIFS(Table102[Country],Tabela1[[#This Row],[Country]],Table102[Giant Slalom Classification],"&gt;0")</f>
        <v>0</v>
      </c>
      <c r="MP30" s="6">
        <f>COUNTIFS(Table102105[Country],Tabela1[[#This Row],[Country]],Table102105[Giant Slalom Classification],"&gt;0")</f>
        <v>0</v>
      </c>
      <c r="MQ30" s="6">
        <f>COUNTIFS(Table102[Country],Tabela1[[#This Row],[Country]],Table102[Slalom Classification],"&gt;0")</f>
        <v>0</v>
      </c>
      <c r="MR30" s="6">
        <f>COUNTIFS(Table102105[Country],Tabela1[[#This Row],[Country]],Table102105[Slalom Classification],"&gt;0")</f>
        <v>2</v>
      </c>
      <c r="MS30" s="6">
        <f>COUNTIFS(Table102[Country],Tabela1[[#This Row],[Country]],Table102[Super-G Classification],"&gt;0")</f>
        <v>0</v>
      </c>
      <c r="MT30" s="6">
        <f>COUNTIFS(Table102105[Country],Tabela1[[#This Row],[Country]],Table102105[Super-G Classification],"&gt;0")</f>
        <v>0</v>
      </c>
      <c r="MU30" s="6">
        <f>COUNTIFS(Table105[Country],Tabela1[[#This Row],[Country]],Table105[Men''s Combined Classification],"&gt;0")</f>
        <v>0</v>
      </c>
      <c r="MV30" s="6">
        <f>COUNTIFS(Table105[Country],Tabela1[[#This Row],[Country]],Table105[Women''s Combined Classification],"&gt;0")</f>
        <v>1</v>
      </c>
      <c r="MW30" s="6">
        <f>COUNTIFS(Table106[Country],Tabela1[[#This Row],[Country]],Table106[Individual Classification],"&gt;0")</f>
        <v>1</v>
      </c>
      <c r="MX30" s="6">
        <f>COUNTIFS(Table106109[Country],Tabela1[[#This Row],[Country]],Table106109[Individual Classification],"&gt;0")</f>
        <v>1</v>
      </c>
      <c r="MY30" s="6">
        <f>COUNTIFS(Table106[Country],Tabela1[[#This Row],[Country]],Table106[Mass Start Classification],"&gt;0")</f>
        <v>0</v>
      </c>
      <c r="MZ30" s="6">
        <f>COUNTIFS(Table106109[Country],Tabela1[[#This Row],[Country]],Table106109[Mass Start Classification],"&gt;0")</f>
        <v>0</v>
      </c>
      <c r="NA30" s="6">
        <f>COUNTIFS(Table106[Country],Tabela1[[#This Row],[Country]],Table106[Pursuit Classification],"&gt;0")</f>
        <v>0</v>
      </c>
      <c r="NB30" s="6">
        <f>COUNTIFS(Table106109[Country],Tabela1[[#This Row],[Country]],Table106109[Pursuit Classification],"&gt;0")</f>
        <v>1</v>
      </c>
      <c r="NC30" s="6">
        <f>COUNTIFS(Table106[Country],Tabela1[[#This Row],[Country]],Table106[Sprint Classification],"&gt;0")</f>
        <v>1</v>
      </c>
      <c r="ND30" s="6">
        <f>COUNTIFS(Table106109[Country],Tabela1[[#This Row],[Country]],Table106109[Sprint Classification],"&gt;0")</f>
        <v>1</v>
      </c>
      <c r="NE30" s="6">
        <f>COUNTIFS(Table109[Country],Tabela1[[#This Row],[Country]],Table109[Men''s Relay Classification],"&gt;0")</f>
        <v>0</v>
      </c>
      <c r="NF30" s="6">
        <f>COUNTIFS(Table109[Country],Tabela1[[#This Row],[Country]],Table109[Women''s Relay Classification],"&gt;0")</f>
        <v>1</v>
      </c>
      <c r="NG30" s="6">
        <f>COUNTIFS(Table109[Country],Tabela1[[#This Row],[Country]],Table109[Mixed Relay Classification],"&gt;0")</f>
        <v>1</v>
      </c>
      <c r="NH30" s="6">
        <f>COUNTIFS(Table110[Country],Tabela1[[#This Row],[Country]],Table110[Monobob Classification],"&gt;0")</f>
        <v>0</v>
      </c>
      <c r="NI30" s="6">
        <f>COUNTIFS(Table111[Country],Tabela1[[#This Row],[Country]],Table111[Men''s Classification],"&gt;0")</f>
        <v>0</v>
      </c>
      <c r="NJ30" s="6">
        <f>COUNTIFS(Table111[Country],Tabela1[[#This Row],[Country]],Table111[Women''s Classification],"&gt;0")</f>
        <v>1</v>
      </c>
      <c r="NK30" s="6">
        <f>COUNTIFS(Table112[Country],Tabela1[[#This Row],[Country]],Table112[Men''s Four Classification],"&gt;0")</f>
        <v>0</v>
      </c>
      <c r="NL30" s="6">
        <f>COUNTIFS(Table113[Country],Tabela1[[#This Row],[Country]],Table113[Classical Classification],"&gt;0")</f>
        <v>1</v>
      </c>
      <c r="NM30" s="6">
        <f>COUNTIFS(Table113116[Country],Tabela1[[#This Row],[Country]],Table113116[Classical Classification],"&gt;0")</f>
        <v>0</v>
      </c>
      <c r="NN30" s="6">
        <f>COUNTIFS(Table113[Country],Tabela1[[#This Row],[Country]],Table113[Freestyle Classification],"&gt;0")</f>
        <v>1</v>
      </c>
      <c r="NO30" s="6">
        <f>COUNTIFS(Table113116[Country],Tabela1[[#This Row],[Country]],Table113116[Freestyle Classification],"&gt;0")</f>
        <v>0</v>
      </c>
      <c r="NP30" s="6">
        <f>COUNTIFS(Table117[Country],Tabela1[[#This Row],[Country]],Table117[Men''s Relay Classification],"&gt;0")</f>
        <v>0</v>
      </c>
      <c r="NQ30" s="6">
        <f>COUNTIFS(Table117[Country],Tabela1[[#This Row],[Country]],Table117[Women''s Relay Classification],"&gt;0")</f>
        <v>0</v>
      </c>
      <c r="NR30" s="6">
        <f>COUNTIFS(Table113[Country],Tabela1[[#This Row],[Country]],Table113[Skiathlon Classification],"&gt;0")</f>
        <v>1</v>
      </c>
      <c r="NS30" s="6">
        <f>COUNTIFS(Table113116[Country],Tabela1[[#This Row],[Country]],Table113116[Skiathlon Classification],"&gt;0")</f>
        <v>0</v>
      </c>
      <c r="NT30" s="6">
        <f>COUNTIFS(Table113[Country],Tabela1[[#This Row],[Country]],Table113[Sprint Classification],"&gt;0")</f>
        <v>1</v>
      </c>
      <c r="NU30" s="6">
        <f>COUNTIFS(Table113116[Country],Tabela1[[#This Row],[Country]],Table113116[Sprint Classification],"&gt;0")</f>
        <v>0</v>
      </c>
      <c r="NV30" s="6">
        <f>COUNTIFS(Table116[Country],Tabela1[[#This Row],[Country]],Table116[Men''s Team Sprint Classification],"&gt;0")</f>
        <v>1</v>
      </c>
      <c r="NW30" s="6">
        <f>COUNTIFS(Table116[Country],Tabela1[[#This Row],[Country]],Table116[Women''s Team Sprint Classification],"&gt;0")</f>
        <v>0</v>
      </c>
      <c r="NX30" s="6">
        <f>COUNTIFS(Table119[Country],Tabela1[[#This Row],[Country]],Table119[Men''s Classification],"&gt;0")</f>
        <v>0</v>
      </c>
      <c r="NY30" s="6">
        <f>COUNTIFS(Table119[Country],Tabela1[[#This Row],[Country]],Table119[Women''s Classification],"&gt;0")</f>
        <v>0</v>
      </c>
      <c r="NZ30" s="6">
        <f>COUNTIFS(Table118[Country],Tabela1[[#This Row],[Country]],Table118[Mixed Classification],"&gt;0")</f>
        <v>0</v>
      </c>
      <c r="OA30" s="6">
        <f>COUNTIFS(Table120[Country],Tabela1[[#This Row],[Country]],Table120[Classification],"&gt;0")</f>
        <v>0</v>
      </c>
      <c r="OB30" s="6">
        <f>COUNTIFS(Table120123[Country],Tabela1[[#This Row],[Country]],Table120123[Classification],"&gt;0")</f>
        <v>0</v>
      </c>
      <c r="OC30" s="6">
        <f>COUNTIFS(Table123[Country],Tabela1[[#This Row],[Country]],Table123[Ice Dance Classification],"&gt;0")</f>
        <v>0</v>
      </c>
      <c r="OD30" s="6">
        <f>COUNTIFS(Table123[Country],Tabela1[[#This Row],[Country]],Table123[Pair Skating Classification],"&gt;0")</f>
        <v>0</v>
      </c>
      <c r="OE30" s="6">
        <f>COUNTIFS(Table124[Country],Tabela1[[#This Row],[Country]],Table124[Mixed Classification],"&gt;0")</f>
        <v>0</v>
      </c>
      <c r="OF30" s="6">
        <f>COUNTIFS(Table125[Country],Tabela1[[#This Row],[Country]],Table125[Aerials Classification],"&gt;0")</f>
        <v>0</v>
      </c>
      <c r="OG30" s="6">
        <f>COUNTIFS(Table125128[Country],Tabela1[[#This Row],[Country]],Table125128[Aerials Classification],"&gt;0")</f>
        <v>0</v>
      </c>
      <c r="OH30" s="6">
        <f>COUNTIFS(Table128[Country],Tabela1[[#This Row],[Country]],Table128[Mixed Aerials Classification],"&gt;0")</f>
        <v>0</v>
      </c>
      <c r="OI30" s="6">
        <f>COUNTIFS(Table125[Country],Tabela1[[#This Row],[Country]],Table125[Big Air Classification],"&gt;0")</f>
        <v>0</v>
      </c>
      <c r="OJ30" s="6">
        <f>COUNTIFS(Table125128[Country],Tabela1[[#This Row],[Country]],Table125128[Big Air Classification],"&gt;0")</f>
        <v>0</v>
      </c>
      <c r="OK30" s="6">
        <f>COUNTIFS(Table125[Country],Tabela1[[#This Row],[Country]],Table125[Dual Moguls Classification],"&gt;0")</f>
        <v>0</v>
      </c>
      <c r="OL30" s="6">
        <f>COUNTIFS(Table125128[Country],Tabela1[[#This Row],[Country]],Table125128[Dual Moguls Classification],"&gt;0")</f>
        <v>0</v>
      </c>
      <c r="OM30" s="6">
        <f>COUNTIFS(Table125[Country],Tabela1[[#This Row],[Country]],Table125[Halfpipe Classification],"&gt;0")</f>
        <v>0</v>
      </c>
      <c r="ON30" s="6">
        <f>COUNTIFS(Table125128[Country],Tabela1[[#This Row],[Country]],Table125128[Halfpipe Classification],"&gt;0")</f>
        <v>0</v>
      </c>
      <c r="OO30" s="6">
        <f>COUNTIFS(Table125[Country],Tabela1[[#This Row],[Country]],Table125[Moguls Classification],"&gt;0")</f>
        <v>0</v>
      </c>
      <c r="OP30" s="6">
        <f>COUNTIFS(Table125128[Country],Tabela1[[#This Row],[Country]],Table125128[Moguls Classification],"&gt;0")</f>
        <v>0</v>
      </c>
      <c r="OQ30" s="6">
        <f>COUNTIFS(Table125[Country],Tabela1[[#This Row],[Country]],Table125[Ski Cross Classification],"&gt;0")</f>
        <v>0</v>
      </c>
      <c r="OR30" s="6">
        <f>COUNTIFS(Table125128[Country],Tabela1[[#This Row],[Country]],Table125128[Ski Cross Classification],"&gt;0")</f>
        <v>0</v>
      </c>
      <c r="OS30" s="6">
        <f>COUNTIFS(Table125[Country],Tabela1[[#This Row],[Country]],Table125[Slopestyle Classification],"&gt;0")</f>
        <v>0</v>
      </c>
      <c r="OT30" s="6">
        <f>COUNTIFS(Table125128[Country],Tabela1[[#This Row],[Country]],Table125128[Slopestyle Classification],"&gt;0")</f>
        <v>0</v>
      </c>
      <c r="OU30" s="6">
        <f>COUNTIFS(Table119131[Country],Tabela1[[#This Row],[Country]],Table119131[Men''s Classification],"&gt;0")</f>
        <v>1</v>
      </c>
      <c r="OV30" s="6">
        <f>COUNTIFS(Table119131[Country],Tabela1[[#This Row],[Country]],Table119131[Women''s Classification],"&gt;0")</f>
        <v>0</v>
      </c>
      <c r="OW30" s="6">
        <f>COUNTIFS(Table131[Country],Tabela1[[#This Row],[Country]],Table131[Classification],"&gt;0")</f>
        <v>1</v>
      </c>
      <c r="OX30" s="6">
        <f>COUNTIFS(Table131134[Country],Tabela1[[#This Row],[Country]],Table131134[Classification],"&gt;0")</f>
        <v>0</v>
      </c>
      <c r="OY30" s="6">
        <f>COUNTIFS(Table134[Country],Tabela1[[#This Row],[Country]],Table134[Men''s Classification],"&gt;0")</f>
        <v>1</v>
      </c>
      <c r="OZ30" s="6">
        <f>COUNTIFS(Table134[Country],Tabela1[[#This Row],[Country]],Table134[Women''s Classification],"&gt;0")</f>
        <v>1</v>
      </c>
      <c r="PA30" s="6">
        <f>COUNTIFS(Table135[Country],Tabela1[[#This Row],[Country]],Table135[Mixed Relay Classification],"&gt;0")</f>
        <v>0</v>
      </c>
      <c r="PB30" s="6">
        <f>COUNTIFS(Table136[Country],Tabela1[[#This Row],[Country]],Table136[Individual Classification],"&gt;0")</f>
        <v>0</v>
      </c>
      <c r="PC30" s="6">
        <f>COUNTIFS(Table136[Country],Tabela1[[#This Row],[Country]],Table136[Sprint Classification],"&gt;0")</f>
        <v>0</v>
      </c>
      <c r="PD30" s="6">
        <f>COUNTIFS(Table137[Country],Tabela1[[#This Row],[Country]],Table137[Men''s Team Sprint Large Hill Classification],"&gt;0")</f>
        <v>0</v>
      </c>
      <c r="PE30" s="6">
        <f>COUNTIFS(Table138[Country],Tabela1[[#This Row],[Country]],Table138[500m Classification],"&gt;0")</f>
        <v>0</v>
      </c>
      <c r="PF30" s="6">
        <f>COUNTIFS(Table138141[Country],Tabela1[[#This Row],[Country]],Table138141[500m Classification],"&gt;0")</f>
        <v>0</v>
      </c>
      <c r="PG30" s="6">
        <f>COUNTIFS(Table138[Country],Tabela1[[#This Row],[Country]],Table138[1000m Classification],"&gt;0")</f>
        <v>0</v>
      </c>
      <c r="PH30" s="6">
        <f>COUNTIFS(Table138141[Country],Tabela1[[#This Row],[Country]],Table138141[1000m Classification],"&gt;0")</f>
        <v>0</v>
      </c>
      <c r="PI30" s="6">
        <f>COUNTIFS(Table138[Country],Tabela1[[#This Row],[Country]],Table138[1500m Classification],"&gt;0")</f>
        <v>0</v>
      </c>
      <c r="PJ30" s="6">
        <f>COUNTIFS(Table138141[Country],Tabela1[[#This Row],[Country]],Table138141[1500m Classification],"&gt;0")</f>
        <v>0</v>
      </c>
      <c r="PK30" s="6">
        <f>COUNTIFS(Table141[Country],Tabela1[[#This Row],[Country]],Table141[Men''s 5000m Relay Classification],"&gt;0")</f>
        <v>0</v>
      </c>
      <c r="PL30" s="6">
        <f>COUNTIFS(Table141[Country],Tabela1[[#This Row],[Country]],Table141[Women''s 3000m Relay Classification],"&gt;0")</f>
        <v>0</v>
      </c>
      <c r="PM30" s="6">
        <f>COUNTIFS(Table141[Country],Tabela1[[#This Row],[Country]],Table141[Mixed 2000m Relay Classification],"&gt;0")</f>
        <v>0</v>
      </c>
      <c r="PN30" s="6">
        <f>COUNTIFS(Table142[Country],Tabela1[[#This Row],[Country]],Table142[Classification],"&gt;0")</f>
        <v>0</v>
      </c>
      <c r="PO30" s="6">
        <f>COUNTIFS(Table142145[Country],Tabela1[[#This Row],[Country]],Table142145[Classification],"&gt;0")</f>
        <v>0</v>
      </c>
      <c r="PP30" s="6">
        <f>COUNTIFS(Tabela15[Country],Tabela1[[#This Row],[Country]],Tabela15[Mixed Team Classification],"&gt;0")</f>
        <v>0</v>
      </c>
      <c r="PQ30" s="6">
        <f>COUNTIFS(Table145[Country],Tabela1[[#This Row],[Country]],Table145[Large Hill Classification],"&gt;0")</f>
        <v>0</v>
      </c>
      <c r="PR30" s="6">
        <f>COUNTIFS(Table145[Country],Tabela1[[#This Row],[Country]],Table145[Normal Hill Classification],"&gt;0")</f>
        <v>0</v>
      </c>
      <c r="PS30" s="6">
        <f>COUNTIFS(Table145148[Country],Tabela1[[#This Row],[Country]],Table145148[Large Hill Classification],"&gt;0")</f>
        <v>0</v>
      </c>
      <c r="PT30" s="6">
        <f>COUNTIFS(Table145148[Country],Tabela1[[#This Row],[Country]],Table145148[Normal Hill Classification],"&gt;0")</f>
        <v>0</v>
      </c>
      <c r="PU30" s="6">
        <f>COUNTIFS(Table148[Country],Tabela1[[#This Row],[Country]],Table148[Men''s Super Team Classification],"&gt;0")</f>
        <v>0</v>
      </c>
      <c r="PV30" s="6">
        <f>COUNTIFS(Tabela114[Country],Tabela1[[#This Row],[Country]],Tabela114[Mixed Normal Hill Classification],"&gt;0")</f>
        <v>0</v>
      </c>
      <c r="PW30" s="6">
        <f>COUNTIFS(Tabela50[Country],Tabela1[[#This Row],[Country]],Tabela50[Sprint Classification],"&gt;0")</f>
        <v>1</v>
      </c>
      <c r="PX30" s="6">
        <f>COUNTIFS(Tabela50101[Country],Tabela1[[#This Row],[Country]],Tabela50101[Sprint Classification],"&gt;0")</f>
        <v>1</v>
      </c>
      <c r="PY30" s="6">
        <f>COUNTIFS(Tabela103[Country],Tabela1[[#This Row],[Country]],Tabela103[Mixed Relay Classification],"&gt;0")</f>
        <v>1</v>
      </c>
      <c r="PZ30" s="6">
        <f>COUNTIFS(Table149[Country],Tabela1[[#This Row],[Country]],Table149[Big Air Classification],"&gt;0")</f>
        <v>0</v>
      </c>
      <c r="QA30" s="6">
        <f>COUNTIFS(Table149152[Country],Tabela1[[#This Row],[Country]],Table149152[Big Air Classification],"&gt;0")</f>
        <v>0</v>
      </c>
      <c r="QB30" s="6">
        <f>COUNTIFS(Table149[Country],Tabela1[[#This Row],[Country]],Table149[Halfpipe Classification],"&gt;0")</f>
        <v>0</v>
      </c>
      <c r="QC30" s="6">
        <f>COUNTIFS(Table149152[Country],Tabela1[[#This Row],[Country]],Table149152[Halfpipe Classification],"&gt;0")</f>
        <v>0</v>
      </c>
      <c r="QD30" s="6">
        <f>COUNTIFS(Table149[Country],Tabela1[[#This Row],[Country]],Table149[Parallel Giant Slalom Classification],"&gt;0")</f>
        <v>0</v>
      </c>
      <c r="QE30" s="6">
        <f>COUNTIFS(Table149152[Country],Tabela1[[#This Row],[Country]],Table149152[Parallel Giant Slalom Classification],"&gt;0")</f>
        <v>0</v>
      </c>
      <c r="QF30" s="6">
        <f>COUNTIFS(Table149[Country],Tabela1[[#This Row],[Country]],Table149[Slopestyle Classification],"&gt;0")</f>
        <v>0</v>
      </c>
      <c r="QG30" s="6">
        <f>COUNTIFS(Table149152[Country],Tabela1[[#This Row],[Country]],Table149152[Slopestyle Classification],"&gt;0")</f>
        <v>0</v>
      </c>
      <c r="QH30" s="6">
        <f>COUNTIFS(Table149[Country],Tabela1[[#This Row],[Country]],Table149[Snowboard Cross Classification],"&gt;0")</f>
        <v>0</v>
      </c>
      <c r="QI30" s="6">
        <f>COUNTIFS(Table149152[Country],Tabela1[[#This Row],[Country]],Table149152[Snowboard Cross Classification],"&gt;0")</f>
        <v>0</v>
      </c>
      <c r="QJ30" s="6">
        <f>COUNTIFS(Table153[Country],Tabela1[[#This Row],[Country]],Table153[Mixed Team Snowboard Cross Classification],"&gt;0")</f>
        <v>0</v>
      </c>
      <c r="QK30" s="6">
        <f>COUNTIFS(Table154[Country],Tabela1[[#This Row],[Country]],Table154[500m Classification],"&gt;0")</f>
        <v>0</v>
      </c>
      <c r="QL30" s="6">
        <f>COUNTIFS(Table154157[Country],Tabela1[[#This Row],[Country]],Table154157[500m Classification],"&gt;0")</f>
        <v>0</v>
      </c>
      <c r="QM30" s="6">
        <f>COUNTIFS(Table154[Country],Tabela1[[#This Row],[Country]],Table154[1000m Classification],"&gt;0")</f>
        <v>0</v>
      </c>
      <c r="QN30" s="6">
        <f>COUNTIFS(Table154157[Country],Tabela1[[#This Row],[Country]],Table154157[1000m Classification],"&gt;0")</f>
        <v>0</v>
      </c>
      <c r="QO30" s="6">
        <f>COUNTIFS(Table154[Country],Tabela1[[#This Row],[Country]],Table154[1500m Classification],"&gt;0")</f>
        <v>0</v>
      </c>
      <c r="QP30" s="6">
        <f>COUNTIFS(Table154157[Country],Tabela1[[#This Row],[Country]],Table154157[1500m Classification],"&gt;0")</f>
        <v>0</v>
      </c>
      <c r="QQ30" s="6">
        <f>COUNTIFS(Table154157[Country],Tabela1[[#This Row],[Country]],Table154157[3000m Classification],"&gt;0")</f>
        <v>0</v>
      </c>
      <c r="QR30" s="6">
        <f>COUNTIFS(Table154[Country],Tabela1[[#This Row],[Country]],Table154[5000m Classification],"&gt;0")</f>
        <v>0</v>
      </c>
      <c r="QS30" s="6">
        <f>COUNTIFS(Table154157[Country],Tabela1[[#This Row],[Country]],Table154157[5000m Classification],"&gt;0")</f>
        <v>0</v>
      </c>
      <c r="QT30" s="6">
        <f>COUNTIFS(Table154[Country],Tabela1[[#This Row],[Country]],Table154[10000m Classification],"&gt;0")</f>
        <v>0</v>
      </c>
      <c r="QU30" s="6">
        <f>COUNTIFS(Table154[Country],Tabela1[[#This Row],[Country]],Table154[Mass Start Classification],"&gt;0")</f>
        <v>0</v>
      </c>
      <c r="QV30" s="6">
        <f>COUNTIFS(Table154157[Country],Tabela1[[#This Row],[Country]],Table154157[Mass Start Classification],"&gt;0")</f>
        <v>0</v>
      </c>
      <c r="QW30" s="6">
        <f>COUNTIFS(Table157[Country],Tabela1[[#This Row],[Country]],Table157[Men''s Pursuit Classification],"&gt;0")</f>
        <v>0</v>
      </c>
      <c r="QX30" s="6">
        <f>COUNTIFS(Table157[Country],Tabela1[[#This Row],[Country]],Table157[Women''s Pursuit Classification],"&gt;0")</f>
        <v>0</v>
      </c>
      <c r="QY30" s="4" t="s">
        <v>409</v>
      </c>
    </row>
    <row r="31" spans="1:467" x14ac:dyDescent="0.3">
      <c r="A31" s="6">
        <v>30</v>
      </c>
      <c r="B31" s="6" t="s">
        <v>366</v>
      </c>
      <c r="C31" t="e" vm="30">
        <f>IF(ISBLANK(Tabela1[[#This Row],[Image Link]]), "", _xlfn.IMAGE(Tabela1[[#This Row],[Image Link]],1,1))</f>
        <v>#VALUE!</v>
      </c>
      <c r="D31" s="6">
        <f>SUM(Tabela1[[#This Row],[Archery - Men''s Individual Recurve]:[Speed Skating - Women''s Team Pursuit]])</f>
        <v>42</v>
      </c>
      <c r="E31" s="6">
        <f>COUNTIF(Tabela1[[#This Row],[Archery - Men''s Individual Recurve]:[Speed Skating - Women''s Team Pursuit]],"&gt;0")</f>
        <v>40</v>
      </c>
      <c r="F31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31" s="6">
        <f>SUM(Tabela1[[#This Row],[Archery - Men''s Individual Recurve]:[Wrestling - Women''s Freestyle 76kg]])</f>
        <v>33</v>
      </c>
      <c r="H31" s="6">
        <f>SUM(Tabela1[[#This Row],[Alpine Skiing - Men''s Downhill]:[Speed Skating - Women''s Team Pursuit]])</f>
        <v>9</v>
      </c>
      <c r="I31" s="6">
        <f>Tabela1[[#This Row],[Summer Gold Medals]]+Tabela1[[#This Row],[Winter Gold Medals]]</f>
        <v>1</v>
      </c>
      <c r="J31" s="6">
        <f>Tabela1[[#This Row],[Summer Silver Medals]]+Tabela1[[#This Row],[Winter Silver Medals]]</f>
        <v>1</v>
      </c>
      <c r="K31" s="6">
        <f>Tabela1[[#This Row],[Summer Bronze Medals]]+Tabela1[[#This Row],[Winter Bronze Medals]]</f>
        <v>0</v>
      </c>
      <c r="L31" s="6">
        <f>SUM(Tabela1[[#This Row],[Total Gold Medals]:[Total Bronze Medals]])</f>
        <v>2</v>
      </c>
      <c r="M31" s="6">
        <v>1</v>
      </c>
      <c r="N31" s="6">
        <v>1</v>
      </c>
      <c r="O31" s="6"/>
      <c r="P31" s="6">
        <f>SUM(Tabela1[[#This Row],[Summer Gold Medals]:[Summer Bronze Medals]])</f>
        <v>2</v>
      </c>
      <c r="Q31" s="6"/>
      <c r="R31" s="6"/>
      <c r="S31" s="6"/>
      <c r="T31" s="6">
        <f>Tabela1[[#This Row],[Winter Gold Medals]]+Tabela1[[#This Row],[Winter Silver Medals]]+Tabela1[[#This Row],[Winter Bronze Medals]]</f>
        <v>0</v>
      </c>
      <c r="U31" s="7">
        <f>Tabela1[[#This Row],[Total Medals]]/Tabela1[[#This Row],[Total Quotas]]</f>
        <v>4.7619047619047616E-2</v>
      </c>
      <c r="V31" s="6">
        <f>COUNTIFS(Table3[Country],Tabela1[[#This Row],[Country]],Table3[Recurve Classification],"&gt;0")</f>
        <v>0</v>
      </c>
      <c r="W31" s="6">
        <f>COUNTIFS(Table33[Country],Tabela1[[#This Row],[Country]],Table33[Recurve Classification],"&gt;0")</f>
        <v>0</v>
      </c>
      <c r="X31" s="6">
        <f>COUNTIFS(Table35[Country],Tabela1[[#This Row],[Country]],Table35[Men''s Team Recurve Classification],"&gt;0")</f>
        <v>0</v>
      </c>
      <c r="Y31" s="6">
        <f>COUNTIFS(Table35[Country],Tabela1[[#This Row],[Country]],Table35[Women''s Team Recurve Classification],"&gt;0")</f>
        <v>0</v>
      </c>
      <c r="Z31" s="6">
        <f>COUNTIFS(Tabela88[Country],Tabela1[[#This Row],[Country]],Tabela88[Mixed Team Recurve Classification],"&gt;0")</f>
        <v>0</v>
      </c>
      <c r="AA31" s="6">
        <f>COUNTIFS(Table36[Country],Tabela1[[#This Row],[Country]],Table36[Classification],"&gt;0")</f>
        <v>0</v>
      </c>
      <c r="AB31" s="6">
        <f>COUNTIFS(Table37[Country],Tabela1[[#This Row],[Country]],Table37[Classification],"&gt;0")</f>
        <v>0</v>
      </c>
      <c r="AC31" s="6">
        <f>COUNTIFS(Table4[Country],Tabela1[[#This Row],[Country]],Table4[100m Classification],"&gt;0")</f>
        <v>0</v>
      </c>
      <c r="AD31" s="6">
        <f>COUNTIFS(Table5[Country],Tabela1[[#This Row],[Country]],Table5[100m Classification],"&gt;0")</f>
        <v>0</v>
      </c>
      <c r="AE31" s="6">
        <f>COUNTIFS(Table4[Country],Tabela1[[#This Row],[Country]],Table4[200m Classification],"&gt;0")</f>
        <v>0</v>
      </c>
      <c r="AF31" s="6">
        <f>COUNTIFS(Table5[Country],Tabela1[[#This Row],[Country]],Table5[200m Classification],"&gt;0")</f>
        <v>0</v>
      </c>
      <c r="AG31" s="6">
        <f>COUNTIFS(Table4[Country],Tabela1[[#This Row],[Country]],Table4[400m Classification],"&gt;0")</f>
        <v>0</v>
      </c>
      <c r="AH31" s="6">
        <f>COUNTIFS(Table5[Country],Tabela1[[#This Row],[Country]],Table5[400m Classification],"&gt;0")</f>
        <v>1</v>
      </c>
      <c r="AI31" s="6">
        <f>COUNTIFS(Table4[Country],Tabela1[[#This Row],[Country]],Table4[800m Classification],"&gt;0")</f>
        <v>0</v>
      </c>
      <c r="AJ31" s="6">
        <f>COUNTIFS(Table5[Country],Tabela1[[#This Row],[Country]],Table5[800m Classification],"&gt;0")</f>
        <v>0</v>
      </c>
      <c r="AK31" s="6">
        <f>COUNTIFS(Table4[Country],Tabela1[[#This Row],[Country]],Table4[1500m Classification],"&gt;0")</f>
        <v>0</v>
      </c>
      <c r="AL31" s="6">
        <f>COUNTIFS(Table5[Country],Tabela1[[#This Row],[Country]],Table5[1500m Classification],"&gt;0")</f>
        <v>0</v>
      </c>
      <c r="AM31" s="6">
        <f>COUNTIFS(Table4[Country],Tabela1[[#This Row],[Country]],Table4[5000m Classification],"&gt;0")</f>
        <v>0</v>
      </c>
      <c r="AN31" s="6">
        <f>COUNTIFS(Table5[Country],Tabela1[[#This Row],[Country]],Table5[5000m Classification],"&gt;0")</f>
        <v>0</v>
      </c>
      <c r="AO31" s="6">
        <f>COUNTIFS(Table4[Country],Tabela1[[#This Row],[Country]],Table4[10000m Classification],"&gt;0")</f>
        <v>0</v>
      </c>
      <c r="AP31" s="6">
        <f>COUNTIFS(Table5[Country],Tabela1[[#This Row],[Country]],Table5[10000m Classification],"&gt;0")</f>
        <v>0</v>
      </c>
      <c r="AQ31" s="6">
        <f>COUNTIFS(Table4[Country],Tabela1[[#This Row],[Country]],Table4[110m Hurdles Classification],"&gt;0")</f>
        <v>1</v>
      </c>
      <c r="AR31" s="6">
        <f>COUNTIFS(Table5[Country],Tabela1[[#This Row],[Country]],Table5[100m Hurdles Classification],"&gt;0")</f>
        <v>0</v>
      </c>
      <c r="AS31" s="6">
        <f>COUNTIFS(Table4[Country],Tabela1[[#This Row],[Country]],Table4[400m Hurdles Classification],"&gt;0")</f>
        <v>0</v>
      </c>
      <c r="AT31" s="6">
        <f>COUNTIFS(Table5[Country],Tabela1[[#This Row],[Country]],Table5[400m Hurdles Classification],"&gt;0")</f>
        <v>0</v>
      </c>
      <c r="AU31" s="6">
        <f>COUNTIFS(Table4[Country],Tabela1[[#This Row],[Country]],Table4[3000m Steeplechase Classification],"&gt;0")</f>
        <v>0</v>
      </c>
      <c r="AV31" s="6">
        <f>COUNTIFS(Table5[Country],Tabela1[[#This Row],[Country]],Table5[3000m Steeplechase Classification],"&gt;0")</f>
        <v>0</v>
      </c>
      <c r="AW31" s="6">
        <f>COUNTIFS(Table27[Country],Tabela1[[#This Row],[Country]],Table27[Men''s 4x100m Relay Classification],"&gt;0")</f>
        <v>0</v>
      </c>
      <c r="AX31" s="6">
        <f>COUNTIFS(Table27[Country],Tabela1[[#This Row],[Country]],Table27[Women''s 4x100m Relay Classification],"&gt;0")</f>
        <v>0</v>
      </c>
      <c r="AY31" s="6">
        <f>COUNTIFS(Table27[Country],Tabela1[[#This Row],[Country]],Table27[Men''s 4x400m Relay Classification],"&gt;0")</f>
        <v>0</v>
      </c>
      <c r="AZ31" s="6">
        <f>COUNTIFS(Table27[Country],Tabela1[[#This Row],[Country]],Table27[Women''s 4x400m Relay Classification],"&gt;0")</f>
        <v>0</v>
      </c>
      <c r="BA31" s="6">
        <f>COUNTIFS(Table27[Country],Tabela1[[#This Row],[Country]],Table27[Mixed 4x400m Relay Classification],"&gt;0")</f>
        <v>0</v>
      </c>
      <c r="BB31" s="6">
        <f>COUNTIFS(Table4[Country],Tabela1[[#This Row],[Country]],Table4[Marathon Classification],"&gt;0")</f>
        <v>1</v>
      </c>
      <c r="BC31" s="6">
        <f>COUNTIFS(Table5[Country],Tabela1[[#This Row],[Country]],Table5[Marathon Classification],"&gt;0")</f>
        <v>0</v>
      </c>
      <c r="BD31" s="6">
        <f>COUNTIFS(Table4[Country],Tabela1[[#This Row],[Country]],Table4[20km Race Walk Classification],"&gt;0")</f>
        <v>0</v>
      </c>
      <c r="BE31" s="6">
        <f>COUNTIFS(Table5[Country],Tabela1[[#This Row],[Country]],Table5[20km Race Walk Classification],"&gt;0")</f>
        <v>0</v>
      </c>
      <c r="BF31" s="6">
        <f>COUNTIFS(Tabela96[Country],Tabela1[[#This Row],[Country]],Tabela96[Mixed Marathon Race Walk Relay Classification],"&gt;0")</f>
        <v>0</v>
      </c>
      <c r="BG31" s="6">
        <f>COUNTIFS(Table4[Country],Tabela1[[#This Row],[Country]],Table4[Discus Throw Classification],"&gt;0")</f>
        <v>1</v>
      </c>
      <c r="BH31" s="6">
        <f>COUNTIFS(Table5[Country],Tabela1[[#This Row],[Country]],Table5[Discus Throw Classification],"&gt;0")</f>
        <v>0</v>
      </c>
      <c r="BI31" s="6">
        <f>COUNTIFS(Table4[Country],Tabela1[[#This Row],[Country]],Table4[Hammer Throw Classification],"&gt;0")</f>
        <v>0</v>
      </c>
      <c r="BJ31" s="6">
        <f>COUNTIFS(Table5[Country],Tabela1[[#This Row],[Country]],Table5[Hammer Throw Classification],"&gt;0")</f>
        <v>0</v>
      </c>
      <c r="BK31" s="6">
        <f>COUNTIFS(Table4[Country],Tabela1[[#This Row],[Country]],Table4[High Jump Classification],"&gt;0")</f>
        <v>0</v>
      </c>
      <c r="BL31" s="6">
        <f>COUNTIFS(Table5[Country],Tabela1[[#This Row],[Country]],Table5[High Jump Classification],"&gt;0")</f>
        <v>0</v>
      </c>
      <c r="BM31" s="6">
        <f>COUNTIFS(Table4[Country],Tabela1[[#This Row],[Country]],Table4[Javelin Throw Classification],"&gt;0")</f>
        <v>0</v>
      </c>
      <c r="BN31" s="6">
        <f>COUNTIFS(Table5[Country],Tabela1[[#This Row],[Country]],Table5[Javelin Throw Classification],"&gt;0")</f>
        <v>0</v>
      </c>
      <c r="BO31" s="6">
        <f>COUNTIFS(Table4[Country],Tabela1[[#This Row],[Country]],Table4[Long Jump Classification],"&gt;0")</f>
        <v>0</v>
      </c>
      <c r="BP31" s="6">
        <f>COUNTIFS(Table5[Country],Tabela1[[#This Row],[Country]],Table5[Long Jump Classification],"&gt;0")</f>
        <v>0</v>
      </c>
      <c r="BQ31" s="6">
        <f>COUNTIFS(Table4[Country],Tabela1[[#This Row],[Country]],Table4[Pole Vault Classification],"&gt;0")</f>
        <v>0</v>
      </c>
      <c r="BR31" s="6">
        <f>COUNTIFS(Table5[Country],Tabela1[[#This Row],[Country]],Table5[Pole Vault Classification],"&gt;0")</f>
        <v>0</v>
      </c>
      <c r="BS31" s="6">
        <f>COUNTIFS(Table4[Country],Tabela1[[#This Row],[Country]],Table4[Shot Put Classification],"&gt;0")</f>
        <v>0</v>
      </c>
      <c r="BT31" s="6">
        <f>COUNTIFS(Table5[Country],Tabela1[[#This Row],[Country]],Table5[Shot Put Classification],"&gt;0")</f>
        <v>0</v>
      </c>
      <c r="BU31" s="6">
        <f>COUNTIFS(Table4[Country],Tabela1[[#This Row],[Country]],Table4[Triple Jump Classification],"&gt;0")</f>
        <v>0</v>
      </c>
      <c r="BV31" s="6">
        <f>COUNTIFS(Table5[Country],Tabela1[[#This Row],[Country]],Table5[Triple Jump Classification],"&gt;0")</f>
        <v>0</v>
      </c>
      <c r="BW31" s="6">
        <f>COUNTIFS(Table4[Country],Tabela1[[#This Row],[Country]],Table4[Decathlon Classification],"&gt;0")</f>
        <v>0</v>
      </c>
      <c r="BX31" s="6">
        <f>COUNTIFS(Table5[Country],Tabela1[[#This Row],[Country]],Table5[Heptathlon Classification],"&gt;0")</f>
        <v>0</v>
      </c>
      <c r="BY31" s="6">
        <f>COUNTIFS(Table61[Country],Tabela1[[#This Row],[Country]],Table61[Classification],"&gt;0")</f>
        <v>0</v>
      </c>
      <c r="BZ31" s="6">
        <f>COUNTIFS(Table38[Country],Tabela1[[#This Row],[Country]],Table38[Classification],"&gt;0")</f>
        <v>0</v>
      </c>
      <c r="CA31" s="6">
        <f>COUNTIFS(Table39[Country],Tabela1[[#This Row],[Country]],Table39[Men''s Classification],"&gt;0")</f>
        <v>0</v>
      </c>
      <c r="CB31" s="6">
        <f>COUNTIFS(Table39[Country],Tabela1[[#This Row],[Country]],Table39[Women''s Classification],"&gt;0")</f>
        <v>0</v>
      </c>
      <c r="CC31" s="6">
        <f>COUNTIFS(Table39[Country],Tabela1[[#This Row],[Country]],Table39[Mixed Classification],"&gt;0")</f>
        <v>0</v>
      </c>
      <c r="CD31" s="6">
        <f>COUNTIFS(Table89[Country],Tabela1[[#This Row],[Country]],Table89[Men''s Classification],"&gt;0")</f>
        <v>0</v>
      </c>
      <c r="CE31" s="6">
        <f>COUNTIFS(Table89[Country],Tabela1[[#This Row],[Country]],Table89[Women''s Classification],"&gt;0")</f>
        <v>0</v>
      </c>
      <c r="CF31" s="6">
        <f>COUNTIFS(Table90[Country],Tabela1[[#This Row],[Country]],Table90[Men''s Classification],"&gt;0")</f>
        <v>0</v>
      </c>
      <c r="CG31" s="6">
        <f>COUNTIFS(Table90[Country],Tabela1[[#This Row],[Country]],Table90[Women''s Classification],"&gt;0")</f>
        <v>0</v>
      </c>
      <c r="CH31" s="6">
        <f>COUNTIFS(Table60[Country],Tabela1[[#This Row],[Country]],Table60[Men''s Classification],"&gt;0")</f>
        <v>1</v>
      </c>
      <c r="CI31" s="6">
        <f>COUNTIFS(Table60[Country],Tabela1[[#This Row],[Country]],Table60[Women''s Classification],"&gt;0")</f>
        <v>0</v>
      </c>
      <c r="CJ31" s="6">
        <f>COUNTIFS(Table6[Country],Tabela1[[#This Row],[Country]],Table6[51kg Classification],"&gt;0")</f>
        <v>0</v>
      </c>
      <c r="CK31" s="6">
        <f>COUNTIFS(Table6[Country],Tabela1[[#This Row],[Country]],Table6[57kg Classification],"&gt;0")</f>
        <v>0</v>
      </c>
      <c r="CL31" s="6">
        <f>COUNTIFS(Table6[Country],Tabela1[[#This Row],[Country]],Table6[63.5kg Classification],"&gt;0")</f>
        <v>0</v>
      </c>
      <c r="CM31" s="6">
        <f>COUNTIFS(Table6[Country],Tabela1[[#This Row],[Country]],Table6[71kg Classification],"&gt;0")</f>
        <v>0</v>
      </c>
      <c r="CN31" s="6">
        <f>COUNTIFS(Table6[Country],Tabela1[[#This Row],[Country]],Table6[80kg Classification],"&gt;0")</f>
        <v>0</v>
      </c>
      <c r="CO31" s="6">
        <f>COUNTIFS(Table6[Country],Tabela1[[#This Row],[Country]],Table6[92kg Classification],"&gt;0")</f>
        <v>0</v>
      </c>
      <c r="CP31" s="6">
        <f>COUNTIFS(Table6[Country],Tabela1[[#This Row],[Country]],Table6[Plus 92kg Classification],"&gt;0")</f>
        <v>0</v>
      </c>
      <c r="CQ31" s="6">
        <f>COUNTIFS(Table7[Country],Tabela1[[#This Row],[Country]],Table7[50kg Classification],"&gt;0")</f>
        <v>0</v>
      </c>
      <c r="CR31" s="6">
        <f>COUNTIFS(Table7[Country],Tabela1[[#This Row],[Country]],Table7[54kg Classification],"&gt;0")</f>
        <v>0</v>
      </c>
      <c r="CS31" s="6">
        <f>COUNTIFS(Table7[Country],Tabela1[[#This Row],[Country]],Table7[57kg Classification],"&gt;0")</f>
        <v>0</v>
      </c>
      <c r="CT31" s="6">
        <f>COUNTIFS(Table7[Country],Tabela1[[#This Row],[Country]],Table7[60kg Classification],"&gt;0")</f>
        <v>0</v>
      </c>
      <c r="CU31" s="6">
        <f>COUNTIFS(Table7[Country],Tabela1[[#This Row],[Country]],Table7[66kg Classification],"&gt;0")</f>
        <v>0</v>
      </c>
      <c r="CV31" s="6">
        <f>COUNTIFS(Table7[Country],Tabela1[[#This Row],[Country]],Table7[75kg Classification],"&gt;0")</f>
        <v>0</v>
      </c>
      <c r="CW31" s="6">
        <f>COUNTIFS(Tabela94[Country],Tabela1[[#This Row],[Country]],Tabela94[Classification],"&gt;0")</f>
        <v>0</v>
      </c>
      <c r="CX31" s="6">
        <f>COUNTIFS(Tabela9499[Country],Tabela1[[#This Row],[Country]],Tabela9499[Classification],"&gt;0")</f>
        <v>0</v>
      </c>
      <c r="CY31" s="6">
        <f>COUNTIFS(Tabela107[Country],Tabela1[[#This Row],[Country]],Tabela107[C1 Slalom Classification],"&gt;0")</f>
        <v>0</v>
      </c>
      <c r="CZ31" s="6">
        <f>COUNTIFS(Tabela107122[Country],Tabela1[[#This Row],[Country]],Tabela107122[C1 Slalom Classification],"&gt;0")</f>
        <v>0</v>
      </c>
      <c r="DA31" s="6">
        <f>COUNTIFS(Tabela107[Country],Tabela1[[#This Row],[Country]],Tabela107[K1 Slalom Classification],"&gt;0")</f>
        <v>0</v>
      </c>
      <c r="DB31" s="6">
        <f>COUNTIFS(Tabela107122[Country],Tabela1[[#This Row],[Country]],Tabela107122[K1 Slalom Classification],"&gt;0")</f>
        <v>0</v>
      </c>
      <c r="DC31" s="6">
        <f>COUNTIFS(Tabela107[Country],Tabela1[[#This Row],[Country]],Tabela107[Kayak Cross Slalom Classification],"&gt;0")</f>
        <v>0</v>
      </c>
      <c r="DD31" s="6">
        <f>COUNTIFS(Tabela107122[Country],Tabela1[[#This Row],[Country]],Tabela107122[Kayak Cross Slalom Classification],"&gt;0")</f>
        <v>0</v>
      </c>
      <c r="DE31" s="6">
        <f>COUNTIFS(Table8[Country],Tabela1[[#This Row],[Country]],Table8[C1 200m Classification],"&gt;0")</f>
        <v>1</v>
      </c>
      <c r="DF31" s="6">
        <f>COUNTIFS(Table40[Country],Tabela1[[#This Row],[Country]],Table40[C1 1000m Classification],"&gt;0")</f>
        <v>0</v>
      </c>
      <c r="DG31" s="6">
        <f>COUNTIFS(Table68[Country],Tabela1[[#This Row],[Country]],Table68[Men''s C2 500m Classification],"&gt;0")</f>
        <v>0</v>
      </c>
      <c r="DH31" s="6">
        <f>COUNTIFS(Table68[Country],Tabela1[[#This Row],[Country]],Table68[Women''s C2 500m Classification],"&gt;0")</f>
        <v>1</v>
      </c>
      <c r="DI31" s="6">
        <f>COUNTIFS(Table8[Country],Tabela1[[#This Row],[Country]],Table8[K1 500m Classification],"&gt;0")</f>
        <v>0</v>
      </c>
      <c r="DJ31" s="6">
        <f>COUNTIFS(Table40[Country],Tabela1[[#This Row],[Country]],Table40[K1 1000m Classification],"&gt;0")</f>
        <v>0</v>
      </c>
      <c r="DK31" s="6">
        <f>COUNTIFS(Table68[Country],Tabela1[[#This Row],[Country]],Table68[Men''s K2 500m Classification],"&gt;0")</f>
        <v>0</v>
      </c>
      <c r="DL31" s="6">
        <f>COUNTIFS(Table68[Country],Tabela1[[#This Row],[Country]],Table68[Women''s K2 500m Classification],"&gt;0")</f>
        <v>0</v>
      </c>
      <c r="DM31" s="6">
        <f>COUNTIFS(Table83[Country],Tabela1[[#This Row],[Country]],Table83[Men''s K4 500m Classification],"&gt;0")</f>
        <v>0</v>
      </c>
      <c r="DN31" s="6">
        <f>COUNTIFS(Table83[Country],Tabela1[[#This Row],[Country]],Table83[Women''s K4 500m Classification],"&gt;0")</f>
        <v>0</v>
      </c>
      <c r="DO31" s="6">
        <f>COUNTIFS(Tabela126[Country],Tabela1[[#This Row],[Country]],Tabela126[Classification],"&gt;0")</f>
        <v>0</v>
      </c>
      <c r="DP31" s="6">
        <f>COUNTIFS(Tabela126130[Country],Tabela1[[#This Row],[Country]],Tabela126130[Classification],"&gt;0")</f>
        <v>1</v>
      </c>
      <c r="DQ31" s="6">
        <f>COUNTIFS(Table70[Country],Tabela1[[#This Row],[Country]],Table70[Classification],"&gt;0")</f>
        <v>1</v>
      </c>
      <c r="DR31" s="6">
        <f>COUNTIFS(Table80[Country],Tabela1[[#This Row],[Country]],Table80[Classification],"&gt;0")</f>
        <v>0</v>
      </c>
      <c r="DS31" s="6">
        <f>COUNTIFS(Table66[Country],Tabela1[[#This Row],[Country]],Table66[Classification],"&gt;0")</f>
        <v>1</v>
      </c>
      <c r="DT31" s="6">
        <f>COUNTIFS(Table67[Country],Tabela1[[#This Row],[Country]],Table67[Classification],"&gt;0")</f>
        <v>0</v>
      </c>
      <c r="DU31" s="6">
        <f>COUNTIFS(Table69[Country],Tabela1[[#This Row],[Country]],Table69[Keirin Classification],"&gt;0")</f>
        <v>0</v>
      </c>
      <c r="DV31" s="6">
        <f>COUNTIFS(Table41[Country],Tabela1[[#This Row],[Country]],Table41[Keirin Classification],"&gt;0")</f>
        <v>0</v>
      </c>
      <c r="DW31" s="6">
        <f>COUNTIFS(Table84[Country],Tabela1[[#This Row],[Country]],Table84[Men''s Madison Classification],"&gt;0")</f>
        <v>0</v>
      </c>
      <c r="DX31" s="6">
        <f>COUNTIFS(Table84[Country],Tabela1[[#This Row],[Country]],Table84[Women''s Madison Classification],"&gt;0")</f>
        <v>0</v>
      </c>
      <c r="DY31" s="6">
        <f>COUNTIFS(Table69[Country],Tabela1[[#This Row],[Country]],Table69[Omnium Classification],"&gt;0")</f>
        <v>0</v>
      </c>
      <c r="DZ31" s="6">
        <f>COUNTIFS(Table41[Country],Tabela1[[#This Row],[Country]],Table41[Omnium Classification],"&gt;0")</f>
        <v>0</v>
      </c>
      <c r="EA31" s="6">
        <f>COUNTIFS(Table9[Country],Tabela1[[#This Row],[Country]],Table9[Road Race Classification],"&gt;0")</f>
        <v>0</v>
      </c>
      <c r="EB31" s="6">
        <f>COUNTIFS(Table14[Country],Tabela1[[#This Row],[Country]],Table14[Road Race Classification],"&gt;0")</f>
        <v>1</v>
      </c>
      <c r="EC31" s="6">
        <f>COUNTIFS(Table69[Country],Tabela1[[#This Row],[Country]],Table69[Sprint Classification],"&gt;0")</f>
        <v>0</v>
      </c>
      <c r="ED31" s="6">
        <f>COUNTIFS(Table41[Country],Tabela1[[#This Row],[Country]],Table41[Sprint Classification],"&gt;0")</f>
        <v>0</v>
      </c>
      <c r="EE31" s="6">
        <f>COUNTIFS(Table85[Country],Tabela1[[#This Row],[Country]],Table85[Men''s Sprint Classification],"&gt;0")</f>
        <v>0</v>
      </c>
      <c r="EF31" s="6">
        <f>COUNTIFS(Table85[Country],Tabela1[[#This Row],[Country]],Table85[Women''s Sprint Classification],"&gt;0")</f>
        <v>0</v>
      </c>
      <c r="EG31" s="6">
        <f>COUNTIFS(Table85[Country],Tabela1[[#This Row],[Country]],Table85[Men''s Pursuit Classification],"&gt;0")</f>
        <v>0</v>
      </c>
      <c r="EH31" s="6">
        <f>COUNTIFS(Table85[Country],Tabela1[[#This Row],[Country]],Table85[Women''s Pursuit Classification],"&gt;0")</f>
        <v>0</v>
      </c>
      <c r="EI31" s="6">
        <f>COUNTIFS(Table9[Country],Tabela1[[#This Row],[Country]],Table9[Time-Trial Classification],"&gt;0")</f>
        <v>0</v>
      </c>
      <c r="EJ31" s="6">
        <f>COUNTIFS(Table14[Country],Tabela1[[#This Row],[Country]],Table14[Time-Trial Classification],"&gt;0")</f>
        <v>0</v>
      </c>
      <c r="EK31" s="6">
        <f>COUNTIFS(Table42[Country],Tabela1[[#This Row],[Country]],Table42[Springboard Classification],"&gt;0")</f>
        <v>0</v>
      </c>
      <c r="EL31" s="6">
        <f>COUNTIFS(Table43[Country],Tabela1[[#This Row],[Country]],Table43[Springboard Classification],"&gt;0")</f>
        <v>0</v>
      </c>
      <c r="EM31" s="6">
        <f>COUNTIFS(Table42[Country],Tabela1[[#This Row],[Country]],Table42[Platform Classification],"&gt;0")</f>
        <v>0</v>
      </c>
      <c r="EN31" s="6">
        <f>COUNTIFS(Table43[Country],Tabela1[[#This Row],[Country]],Table43[Platform Classification],"&gt;0")</f>
        <v>0</v>
      </c>
      <c r="EO31" s="6">
        <f>COUNTIFS(Table86[Country],Tabela1[[#This Row],[Country]],Table86[Men''s Synchronized Springboard Classification],"&gt;0")</f>
        <v>0</v>
      </c>
      <c r="EP31" s="6">
        <f>COUNTIFS(Table86[Country],Tabela1[[#This Row],[Country]],Table86[Women''s Synchronized Springboard Classification],"&gt;0")</f>
        <v>0</v>
      </c>
      <c r="EQ31" s="6">
        <f>COUNTIFS(Table86[Country],Tabela1[[#This Row],[Country]],Table86[Men''s Synchronized Platform Classification],"&gt;0")</f>
        <v>0</v>
      </c>
      <c r="ER31" s="6">
        <f>COUNTIFS(Table86[Country],Tabela1[[#This Row],[Country]],Table86[Women''s Synchronized Platform Classification],"&gt;0")</f>
        <v>0</v>
      </c>
      <c r="ES31" s="6">
        <f>COUNTIFS(Table44[Country],Tabela1[[#This Row],[Country]],Table44[Dressage Classification],"&gt;0")</f>
        <v>0</v>
      </c>
      <c r="ET31" s="6">
        <f>COUNTIFS(Table45[Country],Tabela1[[#This Row],[Country]],Table45[Dressage Classification],"&gt;0")</f>
        <v>0</v>
      </c>
      <c r="EU31" s="6">
        <f>COUNTIFS(Table44[Country],Tabela1[[#This Row],[Country]],Table44[Eventing Classification],"&gt;0")</f>
        <v>0</v>
      </c>
      <c r="EV31" s="6">
        <f>COUNTIFS(Table45[Country],Tabela1[[#This Row],[Country]],Table45[Eventing Classification],"&gt;0")</f>
        <v>0</v>
      </c>
      <c r="EW31" s="6">
        <f>COUNTIFS(Table44[Country],Tabela1[[#This Row],[Country]],Table44[Jumping Classification],"&gt;0")</f>
        <v>1</v>
      </c>
      <c r="EX31" s="6">
        <f>COUNTIFS(Table45[Country],Tabela1[[#This Row],[Country]],Table45[Jumping Classification],"&gt;0")</f>
        <v>0</v>
      </c>
      <c r="EY31" s="6">
        <f>COUNTIFS(Table10[Country],Tabela1[[#This Row],[Country]],Table10[Épée Classification],"&gt;0")</f>
        <v>0</v>
      </c>
      <c r="EZ31" s="6">
        <f>COUNTIFS(Table11[Country],Tabela1[[#This Row],[Country]],Table11[Épée Classification],"&gt;0")</f>
        <v>0</v>
      </c>
      <c r="FA31" s="6">
        <f>COUNTIFS(Table46[Country],Tabela1[[#This Row],[Country]],Table46[Men''s Épée Classification],"&gt;0")</f>
        <v>0</v>
      </c>
      <c r="FB31" s="6">
        <f>COUNTIFS(Table46[Country],Tabela1[[#This Row],[Country]],Table46[Women''s Épée Classification],"&gt;0")</f>
        <v>0</v>
      </c>
      <c r="FC31" s="6">
        <f>COUNTIFS(Table10[Country],Tabela1[[#This Row],[Country]],Table10[Foil Classification],"&gt;0")</f>
        <v>0</v>
      </c>
      <c r="FD31" s="6">
        <f>COUNTIFS(Table11[Country],Tabela1[[#This Row],[Country]],Table11[Foil Classification],"&gt;0")</f>
        <v>1</v>
      </c>
      <c r="FE31" s="6">
        <f>COUNTIFS(Table46[Country],Tabela1[[#This Row],[Country]],Table46[Men''s Foil Classification],"&gt;0")</f>
        <v>0</v>
      </c>
      <c r="FF31" s="6">
        <f>COUNTIFS(Table46[Country],Tabela1[[#This Row],[Country]],Table46[Women''s Foil Classification],"&gt;0")</f>
        <v>0</v>
      </c>
      <c r="FG31" s="6">
        <f>COUNTIFS(Table10[Country],Tabela1[[#This Row],[Country]],Table10[Sabre Classification],"&gt;0")</f>
        <v>0</v>
      </c>
      <c r="FH31" s="6">
        <f>COUNTIFS(Table11[Country],Tabela1[[#This Row],[Country]],Table11[Sabre Classification],"&gt;0")</f>
        <v>0</v>
      </c>
      <c r="FI31" s="6">
        <f>COUNTIFS(Table46[Country],Tabela1[[#This Row],[Country]],Table46[Men''s Sabre Classification],"&gt;0")</f>
        <v>0</v>
      </c>
      <c r="FJ31" s="6">
        <f>COUNTIFS(Table46[Country],Tabela1[[#This Row],[Country]],Table46[Women''s Sabre Classification],"&gt;0")</f>
        <v>0</v>
      </c>
      <c r="FK31" s="6">
        <f>COUNTIFS(Table91[Country],Tabela1[[#This Row],[Country]],Table91[Men''s Classification],"&gt;0")</f>
        <v>0</v>
      </c>
      <c r="FL31" s="6">
        <f>COUNTIFS(Table91[Country],Tabela1[[#This Row],[Country]],Table91[Women''s Classification],"&gt;0")</f>
        <v>0</v>
      </c>
      <c r="FM31" s="6">
        <f>COUNTIFS(Table9194[Country],Tabela1[[#This Row],[Country]],Table9194[Men''s Classification],"&gt;0")</f>
        <v>0</v>
      </c>
      <c r="FN31" s="6">
        <f>COUNTIFS(Table9194[Country],Tabela1[[#This Row],[Country]],Table9194[Women''s Classification],"&gt;0")</f>
        <v>0</v>
      </c>
      <c r="FO31" s="6">
        <f>COUNTIFS(Table71[Country],Tabela1[[#This Row],[Country]],Table71[Classification],"&gt;0")</f>
        <v>2</v>
      </c>
      <c r="FP31" s="6">
        <f>COUNTIFS(Table62[Country],Tabela1[[#This Row],[Country]],Table62[Classification],"&gt;0")</f>
        <v>0</v>
      </c>
      <c r="FQ31" s="6">
        <f>COUNTIFS(Table47[Country],Tabela1[[#This Row],[Country]],Table47[All-Around Classification],"&gt;0")</f>
        <v>0</v>
      </c>
      <c r="FR31" s="6">
        <f>COUNTIFS(Table48[Country],Tabela1[[#This Row],[Country]],Table48[All-Around Classification],"&gt;0")</f>
        <v>0</v>
      </c>
      <c r="FS31" s="6">
        <f>COUNTIFS(Table81[Country],Tabela1[[#This Row],[Country]],Table81[Men''s All-Around Classification],"&gt;0")</f>
        <v>0</v>
      </c>
      <c r="FT31" s="6">
        <f>COUNTIFS(Table81[Country],Tabela1[[#This Row],[Country]],Table81[Women''s All-Around Classification],"&gt;0")</f>
        <v>0</v>
      </c>
      <c r="FU31" s="6">
        <f>COUNTIFS(Table48[Country],Tabela1[[#This Row],[Country]],Table48[Balance Beam Classification],"&gt;0")</f>
        <v>0</v>
      </c>
      <c r="FV31" s="6">
        <f>COUNTIFS(Table47[Country],Tabela1[[#This Row],[Country]],Table47[Floor Exercise Classification],"&gt;0")</f>
        <v>0</v>
      </c>
      <c r="FW31" s="6">
        <f>COUNTIFS(Table48[Country],Tabela1[[#This Row],[Country]],Table48[Floor Exercise Classification],"&gt;0")</f>
        <v>0</v>
      </c>
      <c r="FX31" s="6">
        <f>COUNTIFS(Table47[Country],Tabela1[[#This Row],[Country]],Table47[Horizontal Bar Classification],"&gt;0")</f>
        <v>0</v>
      </c>
      <c r="FY31" s="6">
        <f>COUNTIFS(Table47[Country],Tabela1[[#This Row],[Country]],Table47[Parallel Bars Classification],"&gt;0")</f>
        <v>0</v>
      </c>
      <c r="FZ31" s="6">
        <f>COUNTIFS(Table47[Country],Tabela1[[#This Row],[Country]],Table47[Pommel Horse Classification],"&gt;0")</f>
        <v>0</v>
      </c>
      <c r="GA31" s="6">
        <f>COUNTIFS(Table47[Country],Tabela1[[#This Row],[Country]],Table47[Rings Classification],"&gt;0")</f>
        <v>0</v>
      </c>
      <c r="GB31" s="6">
        <f>COUNTIFS(Tabela132[Country],Tabela1[[#This Row],[Country]],Tabela132[Classification],"&gt;0")</f>
        <v>0</v>
      </c>
      <c r="GC31" s="6">
        <f>COUNTIFS(Tabela139[Country],Tabela1[[#This Row],[Country]],Tabela139[Classification],"&gt;0")</f>
        <v>0</v>
      </c>
      <c r="GD31" s="6">
        <f>COUNTIFS(Table48[Country],Tabela1[[#This Row],[Country]],Table48[Uneven Bars Classification],"&gt;0")</f>
        <v>0</v>
      </c>
      <c r="GE31" s="6">
        <f>COUNTIFS(Table47[Country],Tabela1[[#This Row],[Country]],Table47[Vault Classification],"&gt;0")</f>
        <v>0</v>
      </c>
      <c r="GF31" s="6">
        <f>COUNTIFS(Table48[Country],Tabela1[[#This Row],[Country]],Table48[Vault Classification],"&gt;0")</f>
        <v>0</v>
      </c>
      <c r="GG31" s="6">
        <f>COUNTIFS(Table919496[Country],Tabela1[[#This Row],[Country]],Table919496[Men''s Classification],"&gt;0")</f>
        <v>0</v>
      </c>
      <c r="GH31" s="6">
        <f>COUNTIFS(Table919496[Country],Tabela1[[#This Row],[Country]],Table919496[Women''s Classification],"&gt;0")</f>
        <v>0</v>
      </c>
      <c r="GI31" s="6">
        <f>COUNTIFS(Table12[Country],Tabela1[[#This Row],[Country]],Table12[60kg Classification],"&gt;0")</f>
        <v>0</v>
      </c>
      <c r="GJ31" s="6">
        <f>COUNTIFS(Table12[Country],Tabela1[[#This Row],[Country]],Table12[66kg Classification],"&gt;0")</f>
        <v>0</v>
      </c>
      <c r="GK31" s="6">
        <f>COUNTIFS(Table12[Country],Tabela1[[#This Row],[Country]],Table12[73kg Classification],"&gt;0")</f>
        <v>0</v>
      </c>
      <c r="GL31" s="6">
        <f>COUNTIFS(Table12[Country],Tabela1[[#This Row],[Country]],Table12[81kg Classification],"&gt;0")</f>
        <v>0</v>
      </c>
      <c r="GM31" s="6">
        <f>COUNTIFS(Table12[Country],Tabela1[[#This Row],[Country]],Table12[90kg Classification],"&gt;0")</f>
        <v>0</v>
      </c>
      <c r="GN31" s="6">
        <f>COUNTIFS(Table12[Country],Tabela1[[#This Row],[Country]],Table12[100kg Classification],"&gt;0")</f>
        <v>1</v>
      </c>
      <c r="GO31" s="6">
        <f>COUNTIFS(Table12[Country],Tabela1[[#This Row],[Country]],Table12[Plus 100kg Classification],"&gt;0")</f>
        <v>0</v>
      </c>
      <c r="GP31" s="6">
        <f>COUNTIFS(Table13[Country],Tabela1[[#This Row],[Country]],Table13[48kg Classification],"&gt;0")</f>
        <v>1</v>
      </c>
      <c r="GQ31" s="6">
        <f>COUNTIFS(Table13[Country],Tabela1[[#This Row],[Country]],Table13[52kg Classification],"&gt;0")</f>
        <v>0</v>
      </c>
      <c r="GR31" s="6">
        <f>COUNTIFS(Table13[Country],Tabela1[[#This Row],[Country]],Table13[57kg Classification],"&gt;0")</f>
        <v>0</v>
      </c>
      <c r="GS31" s="6">
        <f>COUNTIFS(Table13[Country],Tabela1[[#This Row],[Country]],Table13[63kg Classification],"&gt;0")</f>
        <v>0</v>
      </c>
      <c r="GT31" s="6">
        <f>COUNTIFS(Table13[Country],Tabela1[[#This Row],[Country]],Table13[70kg Classification],"&gt;0")</f>
        <v>0</v>
      </c>
      <c r="GU31" s="6">
        <f>COUNTIFS(Table13[Country],Tabela1[[#This Row],[Country]],Table13[78kg Classification],"&gt;0")</f>
        <v>0</v>
      </c>
      <c r="GV31" s="6">
        <f>COUNTIFS(Table13[Country],Tabela1[[#This Row],[Country]],Table13[Plus 78kg Classification],"&gt;0")</f>
        <v>0</v>
      </c>
      <c r="GW31" s="6">
        <f>COUNTIFS(Table82[Country],Tabela1[[#This Row],[Country]],Table82[Mixed Classification],"&gt;0")</f>
        <v>0</v>
      </c>
      <c r="GX31" s="6">
        <f>COUNTIFS(Table51[Country],Tabela1[[#This Row],[Country]],Table51[Classification],"&gt;0")</f>
        <v>1</v>
      </c>
      <c r="GY31" s="6">
        <f>COUNTIFS(Table52[Country],Tabela1[[#This Row],[Country]],Table52[Classification],"&gt;0")</f>
        <v>0</v>
      </c>
      <c r="GZ31" s="6">
        <f>COUNTIFS(Table32[Country],Tabela1[[#This Row],[Country]],Table32[All-Around Classification],"&gt;0")</f>
        <v>0</v>
      </c>
      <c r="HA31" s="6">
        <f>COUNTIFS(Table49[Country],Tabela1[[#This Row],[Country]],Table49[All-Around Classification],"&gt;0")</f>
        <v>0</v>
      </c>
      <c r="HB31" s="6">
        <f>COUNTIFS(Table26[Country],Tabela1[[#This Row],[Country]],Table26[Single Sculls Classification],"&gt;0")</f>
        <v>0</v>
      </c>
      <c r="HC31" s="6">
        <f>COUNTIFS(Table63[Country],Tabela1[[#This Row],[Country]],Table63[Single Sculls Classification],"&gt;0")</f>
        <v>0</v>
      </c>
      <c r="HD31" s="6">
        <f>COUNTIFS(Table16[Country],Tabela1[[#This Row],[Country]],Table16[Men''s Double Sculls Classification],"&gt;0")</f>
        <v>0</v>
      </c>
      <c r="HE31" s="6">
        <f>COUNTIFS(Table16[Country],Tabela1[[#This Row],[Country]],Table16[Women''s Double Sculls Classification],"&gt;0")</f>
        <v>0</v>
      </c>
      <c r="HF31" s="6">
        <f>COUNTIFS(Table72[Country],Tabela1[[#This Row],[Country]],Table72[Men''s Quadruple Sculls Classification],"&gt;0")</f>
        <v>0</v>
      </c>
      <c r="HG31" s="6">
        <f>COUNTIFS(Table72[Country],Tabela1[[#This Row],[Country]],Table72[Women''s Quadruple Sculls Classification],"&gt;0")</f>
        <v>0</v>
      </c>
      <c r="HH31" s="6">
        <f>COUNTIFS(Table16[Country],Tabela1[[#This Row],[Country]],Table16[Men''s Coxless Pairs Classification],"&gt;0")</f>
        <v>0</v>
      </c>
      <c r="HI31" s="6">
        <f>COUNTIFS(Table16[Country],Tabela1[[#This Row],[Country]],Table16[Women''s Coxless Pairs Classification],"&gt;0")</f>
        <v>1</v>
      </c>
      <c r="HJ31" s="6">
        <f>COUNTIFS(Table72[Country],Tabela1[[#This Row],[Country]],Table72[Men''s Coxless Fours Classification],"&gt;0")</f>
        <v>0</v>
      </c>
      <c r="HK31" s="6">
        <f>COUNTIFS(Table72[Country],Tabela1[[#This Row],[Country]],Table72[Women''s Coxless Fours Classification],"&gt;0")</f>
        <v>0</v>
      </c>
      <c r="HL31" s="6">
        <f>COUNTIFS(Table72[Country],Tabela1[[#This Row],[Country]],Table72[Men''s Eights Classification],"&gt;0")</f>
        <v>0</v>
      </c>
      <c r="HM31" s="6">
        <f>COUNTIFS(Table72[Country],Tabela1[[#This Row],[Country]],Table72[Women''s Eights Classification],"&gt;0")</f>
        <v>0</v>
      </c>
      <c r="HN31" s="6">
        <f>COUNTIFS(Table16[Country],Tabela1[[#This Row],[Country]],Table16[Men''s Lwt. Double Sculls Classification],"&gt;0")</f>
        <v>1</v>
      </c>
      <c r="HO31" s="6">
        <f>COUNTIFS(Table16[Country],Tabela1[[#This Row],[Country]],Table16[Women''s Lwt. Double Sculls Classification],"&gt;0")</f>
        <v>0</v>
      </c>
      <c r="HP31" s="6">
        <f>COUNTIFS(Table91949698[Country],Tabela1[[#This Row],[Country]],Table91949698[Men''s Classification],"&gt;0")</f>
        <v>0</v>
      </c>
      <c r="HQ31" s="6">
        <f>COUNTIFS(Table91949698[Country],Tabela1[[#This Row],[Country]],Table91949698[Women''s Classification],"&gt;0")</f>
        <v>0</v>
      </c>
      <c r="HR31" s="6">
        <f>COUNTIFS(Table25[Country],Tabela1[[#This Row],[Country]],Table25[Mixed 470 Classification],"&gt;0")</f>
        <v>0</v>
      </c>
      <c r="HS31" s="6">
        <f>COUNTIFS(Table25[Country],Tabela1[[#This Row],[Country]],Table25[Men''s 49er Classification],"&gt;0")</f>
        <v>0</v>
      </c>
      <c r="HT31" s="6">
        <f>COUNTIFS(Table25[Country],Tabela1[[#This Row],[Country]],Table25[Women''s 49er FX Classification],"&gt;0")</f>
        <v>0</v>
      </c>
      <c r="HU31" s="6">
        <f>COUNTIFS(Table17[Country],Tabela1[[#This Row],[Country]],Table17[Formula Kite Classification],"&gt;0")</f>
        <v>0</v>
      </c>
      <c r="HV31" s="6">
        <f>COUNTIFS(Table18[Country],Tabela1[[#This Row],[Country]],Table18[Formula Kite Classification],"&gt;0")</f>
        <v>0</v>
      </c>
      <c r="HW31" s="6">
        <f>COUNTIFS(Table17[Country],Tabela1[[#This Row],[Country]],Table17[ILCA 7 Classification],"&gt;0")</f>
        <v>0</v>
      </c>
      <c r="HX31" s="6">
        <f>COUNTIFS(Table18[Country],Tabela1[[#This Row],[Country]],Table18[ILCA 6 Classification],"&gt;0")</f>
        <v>1</v>
      </c>
      <c r="HY31" s="6">
        <f>COUNTIFS(Table17[Country],Tabela1[[#This Row],[Country]],Table17[IQFoil Classification],"&gt;0")</f>
        <v>0</v>
      </c>
      <c r="HZ31" s="6">
        <f>COUNTIFS(Table18[Country],Tabela1[[#This Row],[Country]],Table18[IQFoil Classification],"&gt;0")</f>
        <v>0</v>
      </c>
      <c r="IA31" s="6">
        <f>COUNTIFS(Table25[Country],Tabela1[[#This Row],[Country]],Table25[Mixed Nacra 17 Classification],"&gt;0")</f>
        <v>0</v>
      </c>
      <c r="IB31" s="6">
        <f>COUNTIFS(Table53[Country],Tabela1[[#This Row],[Country]],Table53[10m Air Pistol Classification],"&gt;0")</f>
        <v>0</v>
      </c>
      <c r="IC31" s="6">
        <f>COUNTIFS(Table19[Country],Tabela1[[#This Row],[Country]],Table19[10m Air Pistol Classification],"&gt;0")</f>
        <v>0</v>
      </c>
      <c r="ID31" s="6">
        <f>COUNTIFS(Table54[Country],Tabela1[[#This Row],[Country]],Table54[Mixed 10m Air Pistol Team Classification],"&gt;0")</f>
        <v>0</v>
      </c>
      <c r="IE31" s="6">
        <f>COUNTIFS(Table53[Country],Tabela1[[#This Row],[Country]],Table53[10m Air Rifle Classification],"&gt;0")</f>
        <v>0</v>
      </c>
      <c r="IF31" s="6">
        <f>COUNTIFS(Table19[Country],Tabela1[[#This Row],[Country]],Table19[10m Air Rifle Classification],"&gt;0")</f>
        <v>0</v>
      </c>
      <c r="IG31" s="6">
        <f>COUNTIFS(Table54[Country],Tabela1[[#This Row],[Country]],Table54[Mixed 10m Air Rifle Team Classification],"&gt;0")</f>
        <v>0</v>
      </c>
      <c r="IH31" s="6">
        <f>COUNTIFS(Table53[Country],Tabela1[[#This Row],[Country]],Table53[25m Rapid Fire Pistol Classification],"&gt;0")</f>
        <v>0</v>
      </c>
      <c r="II31" s="6">
        <f>COUNTIFS(Table19[Country],Tabela1[[#This Row],[Country]],Table19[25m Pistol Classification],"&gt;0")</f>
        <v>0</v>
      </c>
      <c r="IJ31" s="6">
        <f>COUNTIFS(Table53[Country],Tabela1[[#This Row],[Country]],Table53[50m Rifle 3 Positions Classification],"&gt;0")</f>
        <v>0</v>
      </c>
      <c r="IK31" s="6">
        <f>COUNTIFS(Table19[Country],Tabela1[[#This Row],[Country]],Table19[50m Rifle 3 Positions Classification],"&gt;0")</f>
        <v>0</v>
      </c>
      <c r="IL31" s="6">
        <f>COUNTIFS(Table53[Country],Tabela1[[#This Row],[Country]],Table53[Skeet Classification],"&gt;0")</f>
        <v>0</v>
      </c>
      <c r="IM31" s="6">
        <f>COUNTIFS(Table19[Country],Tabela1[[#This Row],[Country]],Table19[Skeet Classification],"&gt;0")</f>
        <v>1</v>
      </c>
      <c r="IN31" s="6">
        <f>COUNTIFS(Table54[Country],Tabela1[[#This Row],[Country]],Table54[Mixed Skeet Team Classification],"&gt;0")</f>
        <v>0</v>
      </c>
      <c r="IO31" s="6">
        <f>COUNTIFS(Table53[Country],Tabela1[[#This Row],[Country]],Table53[Trap Classification],"&gt;0")</f>
        <v>0</v>
      </c>
      <c r="IP31" s="6">
        <f>COUNTIFS(Table19[Country],Tabela1[[#This Row],[Country]],Table19[Trap Classification],"&gt;0")</f>
        <v>0</v>
      </c>
      <c r="IQ31" s="6">
        <f>COUNTIFS(Table73[Country],Tabela1[[#This Row],[Country]],Table73[Park Classification],"&gt;0")</f>
        <v>0</v>
      </c>
      <c r="IR31" s="6">
        <f>COUNTIFS(Table74[Country],Tabela1[[#This Row],[Country]],Table74[Park Classification],"&gt;0")</f>
        <v>0</v>
      </c>
      <c r="IS31" s="6">
        <f>COUNTIFS(Table73[Country],Tabela1[[#This Row],[Country]],Table73[Street Classification],"&gt;0")</f>
        <v>0</v>
      </c>
      <c r="IT31" s="6">
        <f>COUNTIFS(Table74[Country],Tabela1[[#This Row],[Country]],Table74[Street Classification],"&gt;0")</f>
        <v>0</v>
      </c>
      <c r="IU31" s="6">
        <f>COUNTIFS(Table75[Country],Tabela1[[#This Row],[Country]],Table75[Boulder and Lead Classification],"&gt;0")</f>
        <v>0</v>
      </c>
      <c r="IV31" s="6">
        <f>COUNTIFS(Table76[Country],Tabela1[[#This Row],[Country]],Table76[Boulder and Lead Classification],"&gt;0")</f>
        <v>0</v>
      </c>
      <c r="IW31" s="6">
        <f>COUNTIFS(Table75[Country],Tabela1[[#This Row],[Country]],Table75[Speed Classification],"&gt;0")</f>
        <v>0</v>
      </c>
      <c r="IX31" s="6">
        <f>COUNTIFS(Table76[Country],Tabela1[[#This Row],[Country]],Table76[Speed Classification],"&gt;0")</f>
        <v>0</v>
      </c>
      <c r="IY31" s="6">
        <f>COUNTIFS(Table64[Country],Tabela1[[#This Row],[Country]],Table64[Shortboard Classification],"&gt;0")</f>
        <v>0</v>
      </c>
      <c r="IZ31" s="6">
        <f>COUNTIFS(Table77[Country],Tabela1[[#This Row],[Country]],Table77[Shortboard Classification],"&gt;0")</f>
        <v>0</v>
      </c>
      <c r="JA31" s="6">
        <f>COUNTIFS(Table20[Country],Tabela1[[#This Row],[Country]],Table20[50m Freestyle Classification],"&gt;0")</f>
        <v>0</v>
      </c>
      <c r="JB31" s="6">
        <f>COUNTIFS(Table21[Country],Tabela1[[#This Row],[Country]],Table21[50m Freestyle Classification],"&gt;0")</f>
        <v>0</v>
      </c>
      <c r="JC31" s="6">
        <f>COUNTIFS(Table20[Country],Tabela1[[#This Row],[Country]],Table20[100m Freestyle Classification],"&gt;0")</f>
        <v>0</v>
      </c>
      <c r="JD31" s="6">
        <f>COUNTIFS(Table21[Country],Tabela1[[#This Row],[Country]],Table21[100m Freestyle Classification],"&gt;0")</f>
        <v>0</v>
      </c>
      <c r="JE31" s="6">
        <f>COUNTIFS(Table20[Country],Tabela1[[#This Row],[Country]],Table20[200m Freestyle Classification],"&gt;0")</f>
        <v>0</v>
      </c>
      <c r="JF31" s="6">
        <f>COUNTIFS(Table21[Country],Tabela1[[#This Row],[Country]],Table21[200m Freestyle Classification],"&gt;0")</f>
        <v>0</v>
      </c>
      <c r="JG31" s="6">
        <f>COUNTIFS(Table20[Country],Tabela1[[#This Row],[Country]],Table20[400m Freestyle Classification],"&gt;0")</f>
        <v>1</v>
      </c>
      <c r="JH31" s="6">
        <f>COUNTIFS(Table21[Country],Tabela1[[#This Row],[Country]],Table21[400m Freestyle Classification],"&gt;0")</f>
        <v>0</v>
      </c>
      <c r="JI31" s="6">
        <f>COUNTIFS(Table20[Country],Tabela1[[#This Row],[Country]],Table20[800m Freestyle Classification],"&gt;0")</f>
        <v>0</v>
      </c>
      <c r="JJ31" s="6">
        <f>COUNTIFS(Table21[Country],Tabela1[[#This Row],[Country]],Table21[800m Freestyle Classification],"&gt;0")</f>
        <v>1</v>
      </c>
      <c r="JK31" s="6">
        <f>COUNTIFS(Table20[Country],Tabela1[[#This Row],[Country]],Table20[1500m Freestyle Classification],"&gt;0")</f>
        <v>0</v>
      </c>
      <c r="JL31" s="6">
        <f>COUNTIFS(Table21[Country],Tabela1[[#This Row],[Country]],Table21[1500m Freestyle Classification],"&gt;0")</f>
        <v>1</v>
      </c>
      <c r="JM31" s="6">
        <f>COUNTIFS(Table20[Country],Tabela1[[#This Row],[Country]],Table20[100m Backstroke Classification],"&gt;0")</f>
        <v>0</v>
      </c>
      <c r="JN31" s="6">
        <f>COUNTIFS(Table21[Country],Tabela1[[#This Row],[Country]],Table21[100m Backstroke Classification],"&gt;0")</f>
        <v>0</v>
      </c>
      <c r="JO31" s="6">
        <f>COUNTIFS(Table20[Country],Tabela1[[#This Row],[Country]],Table20[200m Backstroke Classification],"&gt;0")</f>
        <v>0</v>
      </c>
      <c r="JP31" s="6">
        <f>COUNTIFS(Table21[Country],Tabela1[[#This Row],[Country]],Table21[200m Backstroke Classification],"&gt;0")</f>
        <v>0</v>
      </c>
      <c r="JQ31" s="6">
        <f>COUNTIFS(Table20[Country],Tabela1[[#This Row],[Country]],Table20[100m Breaststroke Classification],"&gt;0")</f>
        <v>0</v>
      </c>
      <c r="JR31" s="6">
        <f>COUNTIFS(Table21[Country],Tabela1[[#This Row],[Country]],Table21[100m Breaststroke Classification],"&gt;0")</f>
        <v>0</v>
      </c>
      <c r="JS31" s="6">
        <f>COUNTIFS(Table20[Country],Tabela1[[#This Row],[Country]],Table20[200m Breaststroke Classification],"&gt;0")</f>
        <v>0</v>
      </c>
      <c r="JT31" s="6">
        <f>COUNTIFS(Table21[Country],Tabela1[[#This Row],[Country]],Table21[200m Breaststroke Classification],"&gt;0")</f>
        <v>0</v>
      </c>
      <c r="JU31" s="6">
        <f>COUNTIFS(Table20[Country],Tabela1[[#This Row],[Country]],Table20[100m Butterfly Classification],"&gt;0")</f>
        <v>0</v>
      </c>
      <c r="JV31" s="6">
        <f>COUNTIFS(Table21[Country],Tabela1[[#This Row],[Country]],Table21[100m Butterfly Classification],"&gt;0")</f>
        <v>0</v>
      </c>
      <c r="JW31" s="6">
        <f>COUNTIFS(Table20[Country],Tabela1[[#This Row],[Country]],Table20[200m Butterfly Classification],"&gt;0")</f>
        <v>0</v>
      </c>
      <c r="JX31" s="6">
        <f>COUNTIFS(Table21[Country],Tabela1[[#This Row],[Country]],Table21[200m Butterfly Classification],"&gt;0")</f>
        <v>0</v>
      </c>
      <c r="JY31" s="6">
        <f>COUNTIFS(Table20[Country],Tabela1[[#This Row],[Country]],Table20[200m Medley Classification],"&gt;0")</f>
        <v>0</v>
      </c>
      <c r="JZ31" s="6">
        <f>COUNTIFS(Table21[Country],Tabela1[[#This Row],[Country]],Table21[200m Medley Classification],"&gt;0")</f>
        <v>0</v>
      </c>
      <c r="KA31" s="6">
        <f>COUNTIFS(Table20[Country],Tabela1[[#This Row],[Country]],Table20[400m Medley Classification],"&gt;0")</f>
        <v>0</v>
      </c>
      <c r="KB31" s="6">
        <f>COUNTIFS(Table21[Country],Tabela1[[#This Row],[Country]],Table21[400m Medley Classification],"&gt;0")</f>
        <v>0</v>
      </c>
      <c r="KC31" s="6">
        <f>COUNTIFS(Table78[Country],Tabela1[[#This Row],[Country]],Table78[Men''s 4x100m Freestyle Relay Classification],"&gt;0")</f>
        <v>0</v>
      </c>
      <c r="KD31" s="6">
        <f>COUNTIFS(Table78[Country],Tabela1[[#This Row],[Country]],Table78[Women''s 4x100m Freestyle Relay Classification],"&gt;0")</f>
        <v>0</v>
      </c>
      <c r="KE31" s="6">
        <f>COUNTIFS(Table78[Country],Tabela1[[#This Row],[Country]],Table78[Men''s 4x200m Freestyle Relay Classification],"&gt;0")</f>
        <v>0</v>
      </c>
      <c r="KF31" s="6">
        <f>COUNTIFS(Table78[Country],Tabela1[[#This Row],[Country]],Table78[Women''s 4x200m Freestyle Relay Classification],"&gt;0")</f>
        <v>0</v>
      </c>
      <c r="KG31" s="6">
        <f>COUNTIFS(Table78[Country],Tabela1[[#This Row],[Country]],Table78[Men''s 4x100m Medley Relay Classification],"&gt;0")</f>
        <v>0</v>
      </c>
      <c r="KH31" s="6">
        <f>COUNTIFS(Table78[Country],Tabela1[[#This Row],[Country]],Table78[Women''s 4x100m Medley Relay Classification],"&gt;0")</f>
        <v>0</v>
      </c>
      <c r="KI31" s="6">
        <f>COUNTIFS(Table78[Country],Tabela1[[#This Row],[Country]],Table78[Mixed 4x100m Medley Relay Classification],"&gt;0")</f>
        <v>0</v>
      </c>
      <c r="KJ31" s="6">
        <f>COUNTIFS(Table20[Country],Tabela1[[#This Row],[Country]],Table20[10km Open Water Classification],"&gt;0")</f>
        <v>0</v>
      </c>
      <c r="KK31" s="6">
        <f>COUNTIFS(Table21[Country],Tabela1[[#This Row],[Country]],Table21[10km Open Water Classification],"&gt;0")</f>
        <v>0</v>
      </c>
      <c r="KL31" s="6">
        <f>COUNTIFS(Table22[Country],Tabela1[[#This Row],[Country]],Table22[Classification],"&gt;0")</f>
        <v>1</v>
      </c>
      <c r="KM31" s="6">
        <f>COUNTIFS(Table30[Country],Tabela1[[#This Row],[Country]],Table30[Classification],"&gt;0")</f>
        <v>1</v>
      </c>
      <c r="KN31" s="6">
        <f>COUNTIFS(Table55[Country],Tabela1[[#This Row],[Country]],Table55[Men''s Classification],"&gt;0")</f>
        <v>0</v>
      </c>
      <c r="KO31" s="6">
        <f>COUNTIFS(Table55[Country],Tabela1[[#This Row],[Country]],Table55[Women''s Classification],"&gt;0")</f>
        <v>0</v>
      </c>
      <c r="KP31" s="6">
        <f>COUNTIFS(Table56[Country],Tabela1[[#This Row],[Country]],Table56[Mixed Classification],"&gt;0")</f>
        <v>0</v>
      </c>
      <c r="KQ31" s="6">
        <f>COUNTIFS(Table29[Country],Tabela1[[#This Row],[Country]],Table29[58kg Classification],"&gt;0")</f>
        <v>0</v>
      </c>
      <c r="KR31" s="6">
        <f>COUNTIFS(Table29[Country],Tabela1[[#This Row],[Country]],Table29[68kg Classification],"&gt;0")</f>
        <v>0</v>
      </c>
      <c r="KS31" s="6">
        <f>COUNTIFS(Table29[Country],Tabela1[[#This Row],[Country]],Table29[80kg Classification],"&gt;0")</f>
        <v>1</v>
      </c>
      <c r="KT31" s="6">
        <f>COUNTIFS(Table29[Country],Tabela1[[#This Row],[Country]],Table29[Plus 80kg Classification],"&gt;0")</f>
        <v>0</v>
      </c>
      <c r="KU31" s="6">
        <f>COUNTIFS(Table34[Country],Tabela1[[#This Row],[Country]],Table34[49kg Classification],"&gt;0")</f>
        <v>0</v>
      </c>
      <c r="KV31" s="6">
        <f>COUNTIFS(Table34[Country],Tabela1[[#This Row],[Country]],Table34[57kg Classification],"&gt;0")</f>
        <v>0</v>
      </c>
      <c r="KW31" s="6">
        <f>COUNTIFS(Table34[Country],Tabela1[[#This Row],[Country]],Table34[67kg Classification],"&gt;0")</f>
        <v>0</v>
      </c>
      <c r="KX31" s="6">
        <f>COUNTIFS(Table34[Country],Tabela1[[#This Row],[Country]],Table34[Plus 67kg Classification],"&gt;0")</f>
        <v>0</v>
      </c>
      <c r="KY31" s="6">
        <f>COUNTIFS(Table57[Country],Tabela1[[#This Row],[Country]],Table57[Classification],"&gt;0")</f>
        <v>1</v>
      </c>
      <c r="KZ31" s="6">
        <f>COUNTIFS(Table58[Country],Tabela1[[#This Row],[Country]],Table58[Classification],"&gt;0")</f>
        <v>0</v>
      </c>
      <c r="LA31" s="6">
        <f>COUNTIFS(Table79[Country],Tabela1[[#This Row],[Country]],Table79[Men''s Classification],"&gt;0")</f>
        <v>1</v>
      </c>
      <c r="LB31" s="6">
        <f>COUNTIFS(Table79[Country],Tabela1[[#This Row],[Country]],Table79[Women''s Classification],"&gt;0")</f>
        <v>0</v>
      </c>
      <c r="LC31" s="6">
        <f>COUNTIFS(Table79[Country],Tabela1[[#This Row],[Country]],Table79[Mixed Classification],"&gt;0")</f>
        <v>0</v>
      </c>
      <c r="LD31" s="6">
        <f>COUNTIFS(Table65[Country],Tabela1[[#This Row],[Country]],Table65[Classification],"&gt;0")</f>
        <v>2</v>
      </c>
      <c r="LE31" s="6">
        <f>COUNTIFS(Table59[Country],Tabela1[[#This Row],[Country]],Table59[Classification],"&gt;0")</f>
        <v>0</v>
      </c>
      <c r="LF31" s="6">
        <f>COUNTIFS(Table87[Country],Tabela1[[#This Row],[Country]],Table87[Mixed Relay Classification],"&gt;0")</f>
        <v>0</v>
      </c>
      <c r="LG31" s="6">
        <f>COUNTIFS(Table91949698100[Country],Tabela1[[#This Row],[Country]],Table91949698100[Men''s Classification],"&gt;0")</f>
        <v>0</v>
      </c>
      <c r="LH31" s="6">
        <f>COUNTIFS(Table91949698100[Country],Tabela1[[#This Row],[Country]],Table91949698100[Women''s Classification],"&gt;0")</f>
        <v>0</v>
      </c>
      <c r="LI31" s="6">
        <f>COUNTIFS(Table91949698100102[Country],Tabela1[[#This Row],[Country]],Table91949698100102[Men''s Classification],"&gt;0")</f>
        <v>0</v>
      </c>
      <c r="LJ31" s="6">
        <f>COUNTIFS(Table91949698100102[Country],Tabela1[[#This Row],[Country]],Table91949698100102[Women''s Classification],"&gt;0")</f>
        <v>0</v>
      </c>
      <c r="LK31" s="6">
        <f>COUNTIFS(Table23[Country],Tabela1[[#This Row],[Country]],Table23[61kg Classification],"&gt;0")</f>
        <v>0</v>
      </c>
      <c r="LL31" s="6">
        <f>COUNTIFS(Table23[Country],Tabela1[[#This Row],[Country]],Table23[73kg Classification],"&gt;0")</f>
        <v>0</v>
      </c>
      <c r="LM31" s="6">
        <f>COUNTIFS(Table23[Country],Tabela1[[#This Row],[Country]],Table23[89kg Classification],"&gt;0")</f>
        <v>0</v>
      </c>
      <c r="LN31" s="6">
        <f>COUNTIFS(Table23[Country],Tabela1[[#This Row],[Country]],Table23[102kg Classification],"&gt;0")</f>
        <v>0</v>
      </c>
      <c r="LO31" s="6">
        <f>COUNTIFS(Table23[Country],Tabela1[[#This Row],[Country]],Table23[Plus 102kg Classification],"&gt;0")</f>
        <v>0</v>
      </c>
      <c r="LP31" s="6">
        <f>COUNTIFS(Table28[Country],Tabela1[[#This Row],[Country]],Table28[49kg Classification],"&gt;0")</f>
        <v>0</v>
      </c>
      <c r="LQ31" s="6">
        <f>COUNTIFS(Table28[Country],Tabela1[[#This Row],[Country]],Table28[59kg Classification],"&gt;0")</f>
        <v>0</v>
      </c>
      <c r="LR31" s="6">
        <f>COUNTIFS(Table28[Country],Tabela1[[#This Row],[Country]],Table28[71kg Classification],"&gt;0")</f>
        <v>0</v>
      </c>
      <c r="LS31" s="6">
        <f>COUNTIFS(Table28[Country],Tabela1[[#This Row],[Country]],Table28[81kg Classification],"&gt;0")</f>
        <v>0</v>
      </c>
      <c r="LT31" s="6">
        <f>COUNTIFS(Table28[Country],Tabela1[[#This Row],[Country]],Table28[Plus 81kg Classification],"&gt;0")</f>
        <v>0</v>
      </c>
      <c r="LU31" s="6">
        <f>COUNTIFS(Table24[Country],Tabela1[[#This Row],[Country]],Table24[Freestyle 57kg Classification],"&gt;0")</f>
        <v>0</v>
      </c>
      <c r="LV31" s="6">
        <f>COUNTIFS(Table24[Country],Tabela1[[#This Row],[Country]],Table24[Freestyle 65kg Classification],"&gt;0")</f>
        <v>0</v>
      </c>
      <c r="LW31" s="6">
        <f>COUNTIFS(Table24[Country],Tabela1[[#This Row],[Country]],Table24[Freestyle 74kg Classification],"&gt;0")</f>
        <v>0</v>
      </c>
      <c r="LX31" s="6">
        <f>COUNTIFS(Table24[Country],Tabela1[[#This Row],[Country]],Table24[Freestyle 86kg Classification],"&gt;0")</f>
        <v>0</v>
      </c>
      <c r="LY31" s="6">
        <f>COUNTIFS(Table24[Country],Tabela1[[#This Row],[Country]],Table24[Freestyle 97kg Classification],"&gt;0")</f>
        <v>0</v>
      </c>
      <c r="LZ31" s="6">
        <f>COUNTIFS(Table24[Country],Tabela1[[#This Row],[Country]],Table24[Freestyle 125kg Classification],"&gt;0")</f>
        <v>0</v>
      </c>
      <c r="MA31" s="6">
        <f>COUNTIFS(Table24[Country],Tabela1[[#This Row],[Country]],Table24[Greco-Roman 60kg Classification],"&gt;0")</f>
        <v>0</v>
      </c>
      <c r="MB31" s="6">
        <f>COUNTIFS(Table24[Country],Tabela1[[#This Row],[Country]],Table24[Greco-Roman 67kg Classification],"&gt;0")</f>
        <v>1</v>
      </c>
      <c r="MC31" s="6">
        <f>COUNTIFS(Table24[Country],Tabela1[[#This Row],[Country]],Table24[Greco-Roman 77kg Classification],"&gt;0")</f>
        <v>0</v>
      </c>
      <c r="MD31" s="6">
        <f>COUNTIFS(Table24[Country],Tabela1[[#This Row],[Country]],Table24[Greco-Roman 87kg Classification],"&gt;0")</f>
        <v>0</v>
      </c>
      <c r="ME31" s="6">
        <f>COUNTIFS(Table24[Country],Tabela1[[#This Row],[Country]],Table24[Greco-Roman 97kg Classification],"&gt;0")</f>
        <v>0</v>
      </c>
      <c r="MF31" s="6">
        <f>COUNTIFS(Table24[Country],Tabela1[[#This Row],[Country]],Table24[Greco-Roman 130kg Classification],"&gt;0")</f>
        <v>0</v>
      </c>
      <c r="MG31" s="6">
        <f>COUNTIFS(Table31[Country],Tabela1[[#This Row],[Country]],Table31[50kg Classification],"&gt;0")</f>
        <v>0</v>
      </c>
      <c r="MH31" s="6">
        <f>COUNTIFS(Table31[Country],Tabela1[[#This Row],[Country]],Table31[53kg Classification],"&gt;0")</f>
        <v>0</v>
      </c>
      <c r="MI31" s="6">
        <f>COUNTIFS(Table31[Country],Tabela1[[#This Row],[Country]],Table31[57kg Classification],"&gt;0")</f>
        <v>0</v>
      </c>
      <c r="MJ31" s="6">
        <f>COUNTIFS(Table31[Country],Tabela1[[#This Row],[Country]],Table31[62kg Classification],"&gt;0")</f>
        <v>0</v>
      </c>
      <c r="MK31" s="6">
        <f>COUNTIFS(Table31[Country],Tabela1[[#This Row],[Country]],Table31[68kg Classification],"&gt;0")</f>
        <v>0</v>
      </c>
      <c r="ML31" s="6">
        <f>COUNTIFS(Table31[Country],Tabela1[[#This Row],[Country]],Table31[76kg Classification],"&gt;0")</f>
        <v>0</v>
      </c>
      <c r="MM31" s="6">
        <f>COUNTIFS(Table102[Country],Tabela1[[#This Row],[Country]],Table102[Downhill Classification],"&gt;0")</f>
        <v>0</v>
      </c>
      <c r="MN31" s="6">
        <f>COUNTIFS(Table102105[Country],Tabela1[[#This Row],[Country]],Table102105[Downhill Classification],"&gt;0")</f>
        <v>1</v>
      </c>
      <c r="MO31" s="6">
        <f>COUNTIFS(Table102[Country],Tabela1[[#This Row],[Country]],Table102[Giant Slalom Classification],"&gt;0")</f>
        <v>1</v>
      </c>
      <c r="MP31" s="6">
        <f>COUNTIFS(Table102105[Country],Tabela1[[#This Row],[Country]],Table102105[Giant Slalom Classification],"&gt;0")</f>
        <v>0</v>
      </c>
      <c r="MQ31" s="6">
        <f>COUNTIFS(Table102[Country],Tabela1[[#This Row],[Country]],Table102[Slalom Classification],"&gt;0")</f>
        <v>1</v>
      </c>
      <c r="MR31" s="6">
        <f>COUNTIFS(Table102105[Country],Tabela1[[#This Row],[Country]],Table102105[Slalom Classification],"&gt;0")</f>
        <v>0</v>
      </c>
      <c r="MS31" s="6">
        <f>COUNTIFS(Table102[Country],Tabela1[[#This Row],[Country]],Table102[Super-G Classification],"&gt;0")</f>
        <v>0</v>
      </c>
      <c r="MT31" s="6">
        <f>COUNTIFS(Table102105[Country],Tabela1[[#This Row],[Country]],Table102105[Super-G Classification],"&gt;0")</f>
        <v>1</v>
      </c>
      <c r="MU31" s="6">
        <f>COUNTIFS(Table105[Country],Tabela1[[#This Row],[Country]],Table105[Men''s Combined Classification],"&gt;0")</f>
        <v>0</v>
      </c>
      <c r="MV31" s="6">
        <f>COUNTIFS(Table105[Country],Tabela1[[#This Row],[Country]],Table105[Women''s Combined Classification],"&gt;0")</f>
        <v>0</v>
      </c>
      <c r="MW31" s="6">
        <f>COUNTIFS(Table106[Country],Tabela1[[#This Row],[Country]],Table106[Individual Classification],"&gt;0")</f>
        <v>0</v>
      </c>
      <c r="MX31" s="6">
        <f>COUNTIFS(Table106109[Country],Tabela1[[#This Row],[Country]],Table106109[Individual Classification],"&gt;0")</f>
        <v>0</v>
      </c>
      <c r="MY31" s="6">
        <f>COUNTIFS(Table106[Country],Tabela1[[#This Row],[Country]],Table106[Mass Start Classification],"&gt;0")</f>
        <v>0</v>
      </c>
      <c r="MZ31" s="6">
        <f>COUNTIFS(Table106109[Country],Tabela1[[#This Row],[Country]],Table106109[Mass Start Classification],"&gt;0")</f>
        <v>0</v>
      </c>
      <c r="NA31" s="6">
        <f>COUNTIFS(Table106[Country],Tabela1[[#This Row],[Country]],Table106[Pursuit Classification],"&gt;0")</f>
        <v>0</v>
      </c>
      <c r="NB31" s="6">
        <f>COUNTIFS(Table106109[Country],Tabela1[[#This Row],[Country]],Table106109[Pursuit Classification],"&gt;0")</f>
        <v>0</v>
      </c>
      <c r="NC31" s="6">
        <f>COUNTIFS(Table106[Country],Tabela1[[#This Row],[Country]],Table106[Sprint Classification],"&gt;0")</f>
        <v>0</v>
      </c>
      <c r="ND31" s="6">
        <f>COUNTIFS(Table106109[Country],Tabela1[[#This Row],[Country]],Table106109[Sprint Classification],"&gt;0")</f>
        <v>0</v>
      </c>
      <c r="NE31" s="6">
        <f>COUNTIFS(Table109[Country],Tabela1[[#This Row],[Country]],Table109[Men''s Relay Classification],"&gt;0")</f>
        <v>0</v>
      </c>
      <c r="NF31" s="6">
        <f>COUNTIFS(Table109[Country],Tabela1[[#This Row],[Country]],Table109[Women''s Relay Classification],"&gt;0")</f>
        <v>0</v>
      </c>
      <c r="NG31" s="6">
        <f>COUNTIFS(Table109[Country],Tabela1[[#This Row],[Country]],Table109[Mixed Relay Classification],"&gt;0")</f>
        <v>0</v>
      </c>
      <c r="NH31" s="6">
        <f>COUNTIFS(Table110[Country],Tabela1[[#This Row],[Country]],Table110[Monobob Classification],"&gt;0")</f>
        <v>0</v>
      </c>
      <c r="NI31" s="6">
        <f>COUNTIFS(Table111[Country],Tabela1[[#This Row],[Country]],Table111[Men''s Classification],"&gt;0")</f>
        <v>0</v>
      </c>
      <c r="NJ31" s="6">
        <f>COUNTIFS(Table111[Country],Tabela1[[#This Row],[Country]],Table111[Women''s Classification],"&gt;0")</f>
        <v>0</v>
      </c>
      <c r="NK31" s="6">
        <f>COUNTIFS(Table112[Country],Tabela1[[#This Row],[Country]],Table112[Men''s Four Classification],"&gt;0")</f>
        <v>0</v>
      </c>
      <c r="NL31" s="6">
        <f>COUNTIFS(Table113[Country],Tabela1[[#This Row],[Country]],Table113[Classical Classification],"&gt;0")</f>
        <v>1</v>
      </c>
      <c r="NM31" s="6">
        <f>COUNTIFS(Table113116[Country],Tabela1[[#This Row],[Country]],Table113116[Classical Classification],"&gt;0")</f>
        <v>0</v>
      </c>
      <c r="NN31" s="6">
        <f>COUNTIFS(Table113[Country],Tabela1[[#This Row],[Country]],Table113[Freestyle Classification],"&gt;0")</f>
        <v>1</v>
      </c>
      <c r="NO31" s="6">
        <f>COUNTIFS(Table113116[Country],Tabela1[[#This Row],[Country]],Table113116[Freestyle Classification],"&gt;0")</f>
        <v>0</v>
      </c>
      <c r="NP31" s="6">
        <f>COUNTIFS(Table117[Country],Tabela1[[#This Row],[Country]],Table117[Men''s Relay Classification],"&gt;0")</f>
        <v>0</v>
      </c>
      <c r="NQ31" s="6">
        <f>COUNTIFS(Table117[Country],Tabela1[[#This Row],[Country]],Table117[Women''s Relay Classification],"&gt;0")</f>
        <v>0</v>
      </c>
      <c r="NR31" s="6">
        <f>COUNTIFS(Table113[Country],Tabela1[[#This Row],[Country]],Table113[Skiathlon Classification],"&gt;0")</f>
        <v>1</v>
      </c>
      <c r="NS31" s="6">
        <f>COUNTIFS(Table113116[Country],Tabela1[[#This Row],[Country]],Table113116[Skiathlon Classification],"&gt;0")</f>
        <v>0</v>
      </c>
      <c r="NT31" s="6">
        <f>COUNTIFS(Table113[Country],Tabela1[[#This Row],[Country]],Table113[Sprint Classification],"&gt;0")</f>
        <v>1</v>
      </c>
      <c r="NU31" s="6">
        <f>COUNTIFS(Table113116[Country],Tabela1[[#This Row],[Country]],Table113116[Sprint Classification],"&gt;0")</f>
        <v>0</v>
      </c>
      <c r="NV31" s="6">
        <f>COUNTIFS(Table116[Country],Tabela1[[#This Row],[Country]],Table116[Men''s Team Sprint Classification],"&gt;0")</f>
        <v>0</v>
      </c>
      <c r="NW31" s="6">
        <f>COUNTIFS(Table116[Country],Tabela1[[#This Row],[Country]],Table116[Women''s Team Sprint Classification],"&gt;0")</f>
        <v>0</v>
      </c>
      <c r="NX31" s="6">
        <f>COUNTIFS(Table119[Country],Tabela1[[#This Row],[Country]],Table119[Men''s Classification],"&gt;0")</f>
        <v>0</v>
      </c>
      <c r="NY31" s="6">
        <f>COUNTIFS(Table119[Country],Tabela1[[#This Row],[Country]],Table119[Women''s Classification],"&gt;0")</f>
        <v>0</v>
      </c>
      <c r="NZ31" s="6">
        <f>COUNTIFS(Table118[Country],Tabela1[[#This Row],[Country]],Table118[Mixed Classification],"&gt;0")</f>
        <v>0</v>
      </c>
      <c r="OA31" s="6">
        <f>COUNTIFS(Table120[Country],Tabela1[[#This Row],[Country]],Table120[Classification],"&gt;0")</f>
        <v>0</v>
      </c>
      <c r="OB31" s="6">
        <f>COUNTIFS(Table120123[Country],Tabela1[[#This Row],[Country]],Table120123[Classification],"&gt;0")</f>
        <v>0</v>
      </c>
      <c r="OC31" s="6">
        <f>COUNTIFS(Table123[Country],Tabela1[[#This Row],[Country]],Table123[Ice Dance Classification],"&gt;0")</f>
        <v>0</v>
      </c>
      <c r="OD31" s="6">
        <f>COUNTIFS(Table123[Country],Tabela1[[#This Row],[Country]],Table123[Pair Skating Classification],"&gt;0")</f>
        <v>0</v>
      </c>
      <c r="OE31" s="6">
        <f>COUNTIFS(Table124[Country],Tabela1[[#This Row],[Country]],Table124[Mixed Classification],"&gt;0")</f>
        <v>0</v>
      </c>
      <c r="OF31" s="6">
        <f>COUNTIFS(Table125[Country],Tabela1[[#This Row],[Country]],Table125[Aerials Classification],"&gt;0")</f>
        <v>0</v>
      </c>
      <c r="OG31" s="6">
        <f>COUNTIFS(Table125128[Country],Tabela1[[#This Row],[Country]],Table125128[Aerials Classification],"&gt;0")</f>
        <v>0</v>
      </c>
      <c r="OH31" s="6">
        <f>COUNTIFS(Table128[Country],Tabela1[[#This Row],[Country]],Table128[Mixed Aerials Classification],"&gt;0")</f>
        <v>0</v>
      </c>
      <c r="OI31" s="6">
        <f>COUNTIFS(Table125[Country],Tabela1[[#This Row],[Country]],Table125[Big Air Classification],"&gt;0")</f>
        <v>0</v>
      </c>
      <c r="OJ31" s="6">
        <f>COUNTIFS(Table125128[Country],Tabela1[[#This Row],[Country]],Table125128[Big Air Classification],"&gt;0")</f>
        <v>0</v>
      </c>
      <c r="OK31" s="6">
        <f>COUNTIFS(Table125[Country],Tabela1[[#This Row],[Country]],Table125[Dual Moguls Classification],"&gt;0")</f>
        <v>0</v>
      </c>
      <c r="OL31" s="6">
        <f>COUNTIFS(Table125128[Country],Tabela1[[#This Row],[Country]],Table125128[Dual Moguls Classification],"&gt;0")</f>
        <v>0</v>
      </c>
      <c r="OM31" s="6">
        <f>COUNTIFS(Table125[Country],Tabela1[[#This Row],[Country]],Table125[Halfpipe Classification],"&gt;0")</f>
        <v>0</v>
      </c>
      <c r="ON31" s="6">
        <f>COUNTIFS(Table125128[Country],Tabela1[[#This Row],[Country]],Table125128[Halfpipe Classification],"&gt;0")</f>
        <v>0</v>
      </c>
      <c r="OO31" s="6">
        <f>COUNTIFS(Table125[Country],Tabela1[[#This Row],[Country]],Table125[Moguls Classification],"&gt;0")</f>
        <v>0</v>
      </c>
      <c r="OP31" s="6">
        <f>COUNTIFS(Table125128[Country],Tabela1[[#This Row],[Country]],Table125128[Moguls Classification],"&gt;0")</f>
        <v>0</v>
      </c>
      <c r="OQ31" s="6">
        <f>COUNTIFS(Table125[Country],Tabela1[[#This Row],[Country]],Table125[Ski Cross Classification],"&gt;0")</f>
        <v>0</v>
      </c>
      <c r="OR31" s="6">
        <f>COUNTIFS(Table125128[Country],Tabela1[[#This Row],[Country]],Table125128[Ski Cross Classification],"&gt;0")</f>
        <v>1</v>
      </c>
      <c r="OS31" s="6">
        <f>COUNTIFS(Table125[Country],Tabela1[[#This Row],[Country]],Table125[Slopestyle Classification],"&gt;0")</f>
        <v>0</v>
      </c>
      <c r="OT31" s="6">
        <f>COUNTIFS(Table125128[Country],Tabela1[[#This Row],[Country]],Table125128[Slopestyle Classification],"&gt;0")</f>
        <v>0</v>
      </c>
      <c r="OU31" s="6">
        <f>COUNTIFS(Table119131[Country],Tabela1[[#This Row],[Country]],Table119131[Men''s Classification],"&gt;0")</f>
        <v>0</v>
      </c>
      <c r="OV31" s="6">
        <f>COUNTIFS(Table119131[Country],Tabela1[[#This Row],[Country]],Table119131[Women''s Classification],"&gt;0")</f>
        <v>0</v>
      </c>
      <c r="OW31" s="6">
        <f>COUNTIFS(Table131[Country],Tabela1[[#This Row],[Country]],Table131[Classification],"&gt;0")</f>
        <v>0</v>
      </c>
      <c r="OX31" s="6">
        <f>COUNTIFS(Table131134[Country],Tabela1[[#This Row],[Country]],Table131134[Classification],"&gt;0")</f>
        <v>0</v>
      </c>
      <c r="OY31" s="6">
        <f>COUNTIFS(Table134[Country],Tabela1[[#This Row],[Country]],Table134[Men''s Classification],"&gt;0")</f>
        <v>0</v>
      </c>
      <c r="OZ31" s="6">
        <f>COUNTIFS(Table134[Country],Tabela1[[#This Row],[Country]],Table134[Women''s Classification],"&gt;0")</f>
        <v>0</v>
      </c>
      <c r="PA31" s="6">
        <f>COUNTIFS(Table135[Country],Tabela1[[#This Row],[Country]],Table135[Mixed Relay Classification],"&gt;0")</f>
        <v>0</v>
      </c>
      <c r="PB31" s="6">
        <f>COUNTIFS(Table136[Country],Tabela1[[#This Row],[Country]],Table136[Individual Classification],"&gt;0")</f>
        <v>0</v>
      </c>
      <c r="PC31" s="6">
        <f>COUNTIFS(Table136[Country],Tabela1[[#This Row],[Country]],Table136[Sprint Classification],"&gt;0")</f>
        <v>0</v>
      </c>
      <c r="PD31" s="6">
        <f>COUNTIFS(Table137[Country],Tabela1[[#This Row],[Country]],Table137[Men''s Team Sprint Large Hill Classification],"&gt;0")</f>
        <v>0</v>
      </c>
      <c r="PE31" s="6">
        <f>COUNTIFS(Table138[Country],Tabela1[[#This Row],[Country]],Table138[500m Classification],"&gt;0")</f>
        <v>0</v>
      </c>
      <c r="PF31" s="6">
        <f>COUNTIFS(Table138141[Country],Tabela1[[#This Row],[Country]],Table138141[500m Classification],"&gt;0")</f>
        <v>0</v>
      </c>
      <c r="PG31" s="6">
        <f>COUNTIFS(Table138[Country],Tabela1[[#This Row],[Country]],Table138[1000m Classification],"&gt;0")</f>
        <v>0</v>
      </c>
      <c r="PH31" s="6">
        <f>COUNTIFS(Table138141[Country],Tabela1[[#This Row],[Country]],Table138141[1000m Classification],"&gt;0")</f>
        <v>0</v>
      </c>
      <c r="PI31" s="6">
        <f>COUNTIFS(Table138[Country],Tabela1[[#This Row],[Country]],Table138[1500m Classification],"&gt;0")</f>
        <v>0</v>
      </c>
      <c r="PJ31" s="6">
        <f>COUNTIFS(Table138141[Country],Tabela1[[#This Row],[Country]],Table138141[1500m Classification],"&gt;0")</f>
        <v>0</v>
      </c>
      <c r="PK31" s="6">
        <f>COUNTIFS(Table141[Country],Tabela1[[#This Row],[Country]],Table141[Men''s 5000m Relay Classification],"&gt;0")</f>
        <v>0</v>
      </c>
      <c r="PL31" s="6">
        <f>COUNTIFS(Table141[Country],Tabela1[[#This Row],[Country]],Table141[Women''s 3000m Relay Classification],"&gt;0")</f>
        <v>0</v>
      </c>
      <c r="PM31" s="6">
        <f>COUNTIFS(Table141[Country],Tabela1[[#This Row],[Country]],Table141[Mixed 2000m Relay Classification],"&gt;0")</f>
        <v>0</v>
      </c>
      <c r="PN31" s="6">
        <f>COUNTIFS(Table142[Country],Tabela1[[#This Row],[Country]],Table142[Classification],"&gt;0")</f>
        <v>0</v>
      </c>
      <c r="PO31" s="6">
        <f>COUNTIFS(Table142145[Country],Tabela1[[#This Row],[Country]],Table142145[Classification],"&gt;0")</f>
        <v>0</v>
      </c>
      <c r="PP31" s="6">
        <f>COUNTIFS(Tabela15[Country],Tabela1[[#This Row],[Country]],Tabela15[Mixed Team Classification],"&gt;0")</f>
        <v>0</v>
      </c>
      <c r="PQ31" s="6">
        <f>COUNTIFS(Table145[Country],Tabela1[[#This Row],[Country]],Table145[Large Hill Classification],"&gt;0")</f>
        <v>0</v>
      </c>
      <c r="PR31" s="6">
        <f>COUNTIFS(Table145[Country],Tabela1[[#This Row],[Country]],Table145[Normal Hill Classification],"&gt;0")</f>
        <v>0</v>
      </c>
      <c r="PS31" s="6">
        <f>COUNTIFS(Table145148[Country],Tabela1[[#This Row],[Country]],Table145148[Large Hill Classification],"&gt;0")</f>
        <v>0</v>
      </c>
      <c r="PT31" s="6">
        <f>COUNTIFS(Table145148[Country],Tabela1[[#This Row],[Country]],Table145148[Normal Hill Classification],"&gt;0")</f>
        <v>0</v>
      </c>
      <c r="PU31" s="6">
        <f>COUNTIFS(Table148[Country],Tabela1[[#This Row],[Country]],Table148[Men''s Super Team Classification],"&gt;0")</f>
        <v>0</v>
      </c>
      <c r="PV31" s="6">
        <f>COUNTIFS(Tabela114[Country],Tabela1[[#This Row],[Country]],Tabela114[Mixed Normal Hill Classification],"&gt;0")</f>
        <v>0</v>
      </c>
      <c r="PW31" s="6">
        <f>COUNTIFS(Tabela50[Country],Tabela1[[#This Row],[Country]],Tabela50[Sprint Classification],"&gt;0")</f>
        <v>0</v>
      </c>
      <c r="PX31" s="6">
        <f>COUNTIFS(Tabela50101[Country],Tabela1[[#This Row],[Country]],Tabela50101[Sprint Classification],"&gt;0")</f>
        <v>0</v>
      </c>
      <c r="PY31" s="6">
        <f>COUNTIFS(Tabela103[Country],Tabela1[[#This Row],[Country]],Tabela103[Mixed Relay Classification],"&gt;0")</f>
        <v>0</v>
      </c>
      <c r="PZ31" s="6">
        <f>COUNTIFS(Table149[Country],Tabela1[[#This Row],[Country]],Table149[Big Air Classification],"&gt;0")</f>
        <v>0</v>
      </c>
      <c r="QA31" s="6">
        <f>COUNTIFS(Table149152[Country],Tabela1[[#This Row],[Country]],Table149152[Big Air Classification],"&gt;0")</f>
        <v>0</v>
      </c>
      <c r="QB31" s="6">
        <f>COUNTIFS(Table149[Country],Tabela1[[#This Row],[Country]],Table149[Halfpipe Classification],"&gt;0")</f>
        <v>0</v>
      </c>
      <c r="QC31" s="6">
        <f>COUNTIFS(Table149152[Country],Tabela1[[#This Row],[Country]],Table149152[Halfpipe Classification],"&gt;0")</f>
        <v>0</v>
      </c>
      <c r="QD31" s="6">
        <f>COUNTIFS(Table149[Country],Tabela1[[#This Row],[Country]],Table149[Parallel Giant Slalom Classification],"&gt;0")</f>
        <v>0</v>
      </c>
      <c r="QE31" s="6">
        <f>COUNTIFS(Table149152[Country],Tabela1[[#This Row],[Country]],Table149152[Parallel Giant Slalom Classification],"&gt;0")</f>
        <v>0</v>
      </c>
      <c r="QF31" s="6">
        <f>COUNTIFS(Table149[Country],Tabela1[[#This Row],[Country]],Table149[Slopestyle Classification],"&gt;0")</f>
        <v>0</v>
      </c>
      <c r="QG31" s="6">
        <f>COUNTIFS(Table149152[Country],Tabela1[[#This Row],[Country]],Table149152[Slopestyle Classification],"&gt;0")</f>
        <v>0</v>
      </c>
      <c r="QH31" s="6">
        <f>COUNTIFS(Table149[Country],Tabela1[[#This Row],[Country]],Table149[Snowboard Cross Classification],"&gt;0")</f>
        <v>0</v>
      </c>
      <c r="QI31" s="6">
        <f>COUNTIFS(Table149152[Country],Tabela1[[#This Row],[Country]],Table149152[Snowboard Cross Classification],"&gt;0")</f>
        <v>0</v>
      </c>
      <c r="QJ31" s="6">
        <f>COUNTIFS(Table153[Country],Tabela1[[#This Row],[Country]],Table153[Mixed Team Snowboard Cross Classification],"&gt;0")</f>
        <v>0</v>
      </c>
      <c r="QK31" s="6">
        <f>COUNTIFS(Table154[Country],Tabela1[[#This Row],[Country]],Table154[500m Classification],"&gt;0")</f>
        <v>0</v>
      </c>
      <c r="QL31" s="6">
        <f>COUNTIFS(Table154157[Country],Tabela1[[#This Row],[Country]],Table154157[500m Classification],"&gt;0")</f>
        <v>0</v>
      </c>
      <c r="QM31" s="6">
        <f>COUNTIFS(Table154[Country],Tabela1[[#This Row],[Country]],Table154[1000m Classification],"&gt;0")</f>
        <v>0</v>
      </c>
      <c r="QN31" s="6">
        <f>COUNTIFS(Table154157[Country],Tabela1[[#This Row],[Country]],Table154157[1000m Classification],"&gt;0")</f>
        <v>0</v>
      </c>
      <c r="QO31" s="6">
        <f>COUNTIFS(Table154[Country],Tabela1[[#This Row],[Country]],Table154[1500m Classification],"&gt;0")</f>
        <v>0</v>
      </c>
      <c r="QP31" s="6">
        <f>COUNTIFS(Table154157[Country],Tabela1[[#This Row],[Country]],Table154157[1500m Classification],"&gt;0")</f>
        <v>0</v>
      </c>
      <c r="QQ31" s="6">
        <f>COUNTIFS(Table154157[Country],Tabela1[[#This Row],[Country]],Table154157[3000m Classification],"&gt;0")</f>
        <v>0</v>
      </c>
      <c r="QR31" s="6">
        <f>COUNTIFS(Table154[Country],Tabela1[[#This Row],[Country]],Table154[5000m Classification],"&gt;0")</f>
        <v>0</v>
      </c>
      <c r="QS31" s="6">
        <f>COUNTIFS(Table154157[Country],Tabela1[[#This Row],[Country]],Table154157[5000m Classification],"&gt;0")</f>
        <v>0</v>
      </c>
      <c r="QT31" s="6">
        <f>COUNTIFS(Table154[Country],Tabela1[[#This Row],[Country]],Table154[10000m Classification],"&gt;0")</f>
        <v>0</v>
      </c>
      <c r="QU31" s="6">
        <f>COUNTIFS(Table154[Country],Tabela1[[#This Row],[Country]],Table154[Mass Start Classification],"&gt;0")</f>
        <v>0</v>
      </c>
      <c r="QV31" s="6">
        <f>COUNTIFS(Table154157[Country],Tabela1[[#This Row],[Country]],Table154157[Mass Start Classification],"&gt;0")</f>
        <v>0</v>
      </c>
      <c r="QW31" s="6">
        <f>COUNTIFS(Table157[Country],Tabela1[[#This Row],[Country]],Table157[Men''s Pursuit Classification],"&gt;0")</f>
        <v>0</v>
      </c>
      <c r="QX31" s="6">
        <f>COUNTIFS(Table157[Country],Tabela1[[#This Row],[Country]],Table157[Women''s Pursuit Classification],"&gt;0")</f>
        <v>0</v>
      </c>
      <c r="QY31" s="3" t="s">
        <v>367</v>
      </c>
    </row>
    <row r="32" spans="1:467" x14ac:dyDescent="0.3">
      <c r="A32" s="6">
        <v>31</v>
      </c>
      <c r="B32" s="6" t="s">
        <v>350</v>
      </c>
      <c r="C32" t="e" vm="31">
        <f>IF(ISBLANK(Tabela1[[#This Row],[Image Link]]), "", _xlfn.IMAGE(Tabela1[[#This Row],[Image Link]],1,1))</f>
        <v>#VALUE!</v>
      </c>
      <c r="D32" s="6">
        <f>SUM(Tabela1[[#This Row],[Archery - Men''s Individual Recurve]:[Speed Skating - Women''s Team Pursuit]])</f>
        <v>42</v>
      </c>
      <c r="E32" s="6">
        <f>COUNTIF(Tabela1[[#This Row],[Archery - Men''s Individual Recurve]:[Speed Skating - Women''s Team Pursuit]],"&gt;0")</f>
        <v>39</v>
      </c>
      <c r="F32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32" s="6">
        <f>SUM(Tabela1[[#This Row],[Archery - Men''s Individual Recurve]:[Wrestling - Women''s Freestyle 76kg]])</f>
        <v>38</v>
      </c>
      <c r="H32" s="6">
        <f>SUM(Tabela1[[#This Row],[Alpine Skiing - Men''s Downhill]:[Speed Skating - Women''s Team Pursuit]])</f>
        <v>4</v>
      </c>
      <c r="I32" s="6">
        <f>Tabela1[[#This Row],[Summer Gold Medals]]+Tabela1[[#This Row],[Winter Gold Medals]]</f>
        <v>0</v>
      </c>
      <c r="J32" s="6">
        <f>Tabela1[[#This Row],[Summer Silver Medals]]+Tabela1[[#This Row],[Winter Silver Medals]]</f>
        <v>3</v>
      </c>
      <c r="K32" s="6">
        <f>Tabela1[[#This Row],[Summer Bronze Medals]]+Tabela1[[#This Row],[Winter Bronze Medals]]</f>
        <v>2</v>
      </c>
      <c r="L32" s="6">
        <f>SUM(Tabela1[[#This Row],[Total Gold Medals]:[Total Bronze Medals]])</f>
        <v>5</v>
      </c>
      <c r="M32" s="6"/>
      <c r="N32" s="6">
        <v>3</v>
      </c>
      <c r="O32" s="6">
        <v>2</v>
      </c>
      <c r="P32" s="6">
        <f>SUM(Tabela1[[#This Row],[Summer Gold Medals]:[Summer Bronze Medals]])</f>
        <v>5</v>
      </c>
      <c r="Q32" s="6"/>
      <c r="R32" s="6"/>
      <c r="S32" s="6"/>
      <c r="T32" s="6">
        <f>Tabela1[[#This Row],[Winter Gold Medals]]+Tabela1[[#This Row],[Winter Silver Medals]]+Tabela1[[#This Row],[Winter Bronze Medals]]</f>
        <v>0</v>
      </c>
      <c r="U32" s="7">
        <f>Tabela1[[#This Row],[Total Medals]]/Tabela1[[#This Row],[Total Quotas]]</f>
        <v>0.11904761904761904</v>
      </c>
      <c r="V32" s="6">
        <f>COUNTIFS(Table3[Country],Tabela1[[#This Row],[Country]],Table3[Recurve Classification],"&gt;0")</f>
        <v>1</v>
      </c>
      <c r="W32" s="6">
        <f>COUNTIFS(Table33[Country],Tabela1[[#This Row],[Country]],Table33[Recurve Classification],"&gt;0")</f>
        <v>1</v>
      </c>
      <c r="X32" s="6">
        <f>COUNTIFS(Table35[Country],Tabela1[[#This Row],[Country]],Table35[Men''s Team Recurve Classification],"&gt;0")</f>
        <v>1</v>
      </c>
      <c r="Y32" s="6">
        <f>COUNTIFS(Table35[Country],Tabela1[[#This Row],[Country]],Table35[Women''s Team Recurve Classification],"&gt;0")</f>
        <v>1</v>
      </c>
      <c r="Z32" s="6">
        <f>COUNTIFS(Tabela88[Country],Tabela1[[#This Row],[Country]],Tabela88[Mixed Team Recurve Classification],"&gt;0")</f>
        <v>1</v>
      </c>
      <c r="AA32" s="6">
        <f>COUNTIFS(Table36[Country],Tabela1[[#This Row],[Country]],Table36[Classification],"&gt;0")</f>
        <v>1</v>
      </c>
      <c r="AB32" s="6">
        <f>COUNTIFS(Table37[Country],Tabela1[[#This Row],[Country]],Table37[Classification],"&gt;0")</f>
        <v>1</v>
      </c>
      <c r="AC32" s="6">
        <f>COUNTIFS(Table4[Country],Tabela1[[#This Row],[Country]],Table4[100m Classification],"&gt;0")</f>
        <v>0</v>
      </c>
      <c r="AD32" s="6">
        <f>COUNTIFS(Table5[Country],Tabela1[[#This Row],[Country]],Table5[100m Classification],"&gt;0")</f>
        <v>0</v>
      </c>
      <c r="AE32" s="6">
        <f>COUNTIFS(Table4[Country],Tabela1[[#This Row],[Country]],Table4[200m Classification],"&gt;0")</f>
        <v>0</v>
      </c>
      <c r="AF32" s="6">
        <f>COUNTIFS(Table5[Country],Tabela1[[#This Row],[Country]],Table5[200m Classification],"&gt;0")</f>
        <v>0</v>
      </c>
      <c r="AG32" s="6">
        <f>COUNTIFS(Table4[Country],Tabela1[[#This Row],[Country]],Table4[400m Classification],"&gt;0")</f>
        <v>0</v>
      </c>
      <c r="AH32" s="6">
        <f>COUNTIFS(Table5[Country],Tabela1[[#This Row],[Country]],Table5[400m Classification],"&gt;0")</f>
        <v>0</v>
      </c>
      <c r="AI32" s="6">
        <f>COUNTIFS(Table4[Country],Tabela1[[#This Row],[Country]],Table4[800m Classification],"&gt;0")</f>
        <v>1</v>
      </c>
      <c r="AJ32" s="6">
        <f>COUNTIFS(Table5[Country],Tabela1[[#This Row],[Country]],Table5[800m Classification],"&gt;0")</f>
        <v>0</v>
      </c>
      <c r="AK32" s="6">
        <f>COUNTIFS(Table4[Country],Tabela1[[#This Row],[Country]],Table4[1500m Classification],"&gt;0")</f>
        <v>0</v>
      </c>
      <c r="AL32" s="6">
        <f>COUNTIFS(Table5[Country],Tabela1[[#This Row],[Country]],Table5[1500m Classification],"&gt;0")</f>
        <v>0</v>
      </c>
      <c r="AM32" s="6">
        <f>COUNTIFS(Table4[Country],Tabela1[[#This Row],[Country]],Table4[5000m Classification],"&gt;0")</f>
        <v>0</v>
      </c>
      <c r="AN32" s="6">
        <f>COUNTIFS(Table5[Country],Tabela1[[#This Row],[Country]],Table5[5000m Classification],"&gt;0")</f>
        <v>1</v>
      </c>
      <c r="AO32" s="6">
        <f>COUNTIFS(Table4[Country],Tabela1[[#This Row],[Country]],Table4[10000m Classification],"&gt;0")</f>
        <v>0</v>
      </c>
      <c r="AP32" s="6">
        <f>COUNTIFS(Table5[Country],Tabela1[[#This Row],[Country]],Table5[10000m Classification],"&gt;0")</f>
        <v>0</v>
      </c>
      <c r="AQ32" s="6">
        <f>COUNTIFS(Table4[Country],Tabela1[[#This Row],[Country]],Table4[110m Hurdles Classification],"&gt;0")</f>
        <v>0</v>
      </c>
      <c r="AR32" s="6">
        <f>COUNTIFS(Table5[Country],Tabela1[[#This Row],[Country]],Table5[100m Hurdles Classification],"&gt;0")</f>
        <v>0</v>
      </c>
      <c r="AS32" s="6">
        <f>COUNTIFS(Table4[Country],Tabela1[[#This Row],[Country]],Table4[400m Hurdles Classification],"&gt;0")</f>
        <v>0</v>
      </c>
      <c r="AT32" s="6">
        <f>COUNTIFS(Table5[Country],Tabela1[[#This Row],[Country]],Table5[400m Hurdles Classification],"&gt;0")</f>
        <v>0</v>
      </c>
      <c r="AU32" s="6">
        <f>COUNTIFS(Table4[Country],Tabela1[[#This Row],[Country]],Table4[3000m Steeplechase Classification],"&gt;0")</f>
        <v>0</v>
      </c>
      <c r="AV32" s="6">
        <f>COUNTIFS(Table5[Country],Tabela1[[#This Row],[Country]],Table5[3000m Steeplechase Classification],"&gt;0")</f>
        <v>0</v>
      </c>
      <c r="AW32" s="6">
        <f>COUNTIFS(Table27[Country],Tabela1[[#This Row],[Country]],Table27[Men''s 4x100m Relay Classification],"&gt;0")</f>
        <v>0</v>
      </c>
      <c r="AX32" s="6">
        <f>COUNTIFS(Table27[Country],Tabela1[[#This Row],[Country]],Table27[Women''s 4x100m Relay Classification],"&gt;0")</f>
        <v>0</v>
      </c>
      <c r="AY32" s="6">
        <f>COUNTIFS(Table27[Country],Tabela1[[#This Row],[Country]],Table27[Men''s 4x400m Relay Classification],"&gt;0")</f>
        <v>0</v>
      </c>
      <c r="AZ32" s="6">
        <f>COUNTIFS(Table27[Country],Tabela1[[#This Row],[Country]],Table27[Women''s 4x400m Relay Classification],"&gt;0")</f>
        <v>0</v>
      </c>
      <c r="BA32" s="6">
        <f>COUNTIFS(Table27[Country],Tabela1[[#This Row],[Country]],Table27[Mixed 4x400m Relay Classification],"&gt;0")</f>
        <v>0</v>
      </c>
      <c r="BB32" s="6">
        <f>COUNTIFS(Table4[Country],Tabela1[[#This Row],[Country]],Table4[Marathon Classification],"&gt;0")</f>
        <v>0</v>
      </c>
      <c r="BC32" s="6">
        <f>COUNTIFS(Table5[Country],Tabela1[[#This Row],[Country]],Table5[Marathon Classification],"&gt;0")</f>
        <v>1</v>
      </c>
      <c r="BD32" s="6">
        <f>COUNTIFS(Table4[Country],Tabela1[[#This Row],[Country]],Table4[20km Race Walk Classification],"&gt;0")</f>
        <v>2</v>
      </c>
      <c r="BE32" s="6">
        <f>COUNTIFS(Table5[Country],Tabela1[[#This Row],[Country]],Table5[20km Race Walk Classification],"&gt;0")</f>
        <v>0</v>
      </c>
      <c r="BF32" s="6">
        <f>COUNTIFS(Tabela96[Country],Tabela1[[#This Row],[Country]],Tabela96[Mixed Marathon Race Walk Relay Classification],"&gt;0")</f>
        <v>1</v>
      </c>
      <c r="BG32" s="6">
        <f>COUNTIFS(Table4[Country],Tabela1[[#This Row],[Country]],Table4[Discus Throw Classification],"&gt;0")</f>
        <v>0</v>
      </c>
      <c r="BH32" s="6">
        <f>COUNTIFS(Table5[Country],Tabela1[[#This Row],[Country]],Table5[Discus Throw Classification],"&gt;0")</f>
        <v>0</v>
      </c>
      <c r="BI32" s="6">
        <f>COUNTIFS(Table4[Country],Tabela1[[#This Row],[Country]],Table4[Hammer Throw Classification],"&gt;0")</f>
        <v>0</v>
      </c>
      <c r="BJ32" s="6">
        <f>COUNTIFS(Table5[Country],Tabela1[[#This Row],[Country]],Table5[Hammer Throw Classification],"&gt;0")</f>
        <v>0</v>
      </c>
      <c r="BK32" s="6">
        <f>COUNTIFS(Table4[Country],Tabela1[[#This Row],[Country]],Table4[High Jump Classification],"&gt;0")</f>
        <v>1</v>
      </c>
      <c r="BL32" s="6">
        <f>COUNTIFS(Table5[Country],Tabela1[[#This Row],[Country]],Table5[High Jump Classification],"&gt;0")</f>
        <v>0</v>
      </c>
      <c r="BM32" s="6">
        <f>COUNTIFS(Table4[Country],Tabela1[[#This Row],[Country]],Table4[Javelin Throw Classification],"&gt;0")</f>
        <v>0</v>
      </c>
      <c r="BN32" s="6">
        <f>COUNTIFS(Table5[Country],Tabela1[[#This Row],[Country]],Table5[Javelin Throw Classification],"&gt;0")</f>
        <v>0</v>
      </c>
      <c r="BO32" s="6">
        <f>COUNTIFS(Table4[Country],Tabela1[[#This Row],[Country]],Table4[Long Jump Classification],"&gt;0")</f>
        <v>0</v>
      </c>
      <c r="BP32" s="6">
        <f>COUNTIFS(Table5[Country],Tabela1[[#This Row],[Country]],Table5[Long Jump Classification],"&gt;0")</f>
        <v>0</v>
      </c>
      <c r="BQ32" s="6">
        <f>COUNTIFS(Table4[Country],Tabela1[[#This Row],[Country]],Table4[Pole Vault Classification],"&gt;0")</f>
        <v>0</v>
      </c>
      <c r="BR32" s="6">
        <f>COUNTIFS(Table5[Country],Tabela1[[#This Row],[Country]],Table5[Pole Vault Classification],"&gt;0")</f>
        <v>0</v>
      </c>
      <c r="BS32" s="6">
        <f>COUNTIFS(Table4[Country],Tabela1[[#This Row],[Country]],Table4[Shot Put Classification],"&gt;0")</f>
        <v>0</v>
      </c>
      <c r="BT32" s="6">
        <f>COUNTIFS(Table5[Country],Tabela1[[#This Row],[Country]],Table5[Shot Put Classification],"&gt;0")</f>
        <v>0</v>
      </c>
      <c r="BU32" s="6">
        <f>COUNTIFS(Table4[Country],Tabela1[[#This Row],[Country]],Table4[Triple Jump Classification],"&gt;0")</f>
        <v>0</v>
      </c>
      <c r="BV32" s="6">
        <f>COUNTIFS(Table5[Country],Tabela1[[#This Row],[Country]],Table5[Triple Jump Classification],"&gt;0")</f>
        <v>0</v>
      </c>
      <c r="BW32" s="6">
        <f>COUNTIFS(Table4[Country],Tabela1[[#This Row],[Country]],Table4[Decathlon Classification],"&gt;0")</f>
        <v>0</v>
      </c>
      <c r="BX32" s="6">
        <f>COUNTIFS(Table5[Country],Tabela1[[#This Row],[Country]],Table5[Heptathlon Classification],"&gt;0")</f>
        <v>0</v>
      </c>
      <c r="BY32" s="6">
        <f>COUNTIFS(Table61[Country],Tabela1[[#This Row],[Country]],Table61[Classification],"&gt;0")</f>
        <v>0</v>
      </c>
      <c r="BZ32" s="6">
        <f>COUNTIFS(Table38[Country],Tabela1[[#This Row],[Country]],Table38[Classification],"&gt;0")</f>
        <v>0</v>
      </c>
      <c r="CA32" s="6">
        <f>COUNTIFS(Table39[Country],Tabela1[[#This Row],[Country]],Table39[Men''s Classification],"&gt;0")</f>
        <v>0</v>
      </c>
      <c r="CB32" s="6">
        <f>COUNTIFS(Table39[Country],Tabela1[[#This Row],[Country]],Table39[Women''s Classification],"&gt;0")</f>
        <v>0</v>
      </c>
      <c r="CC32" s="6">
        <f>COUNTIFS(Table39[Country],Tabela1[[#This Row],[Country]],Table39[Mixed Classification],"&gt;0")</f>
        <v>0</v>
      </c>
      <c r="CD32" s="6">
        <f>COUNTIFS(Table89[Country],Tabela1[[#This Row],[Country]],Table89[Men''s Classification],"&gt;0")</f>
        <v>0</v>
      </c>
      <c r="CE32" s="6">
        <f>COUNTIFS(Table89[Country],Tabela1[[#This Row],[Country]],Table89[Women''s Classification],"&gt;0")</f>
        <v>0</v>
      </c>
      <c r="CF32" s="6">
        <f>COUNTIFS(Table90[Country],Tabela1[[#This Row],[Country]],Table90[Men''s Classification],"&gt;0")</f>
        <v>0</v>
      </c>
      <c r="CG32" s="6">
        <f>COUNTIFS(Table90[Country],Tabela1[[#This Row],[Country]],Table90[Women''s Classification],"&gt;0")</f>
        <v>0</v>
      </c>
      <c r="CH32" s="6">
        <f>COUNTIFS(Table60[Country],Tabela1[[#This Row],[Country]],Table60[Men''s Classification],"&gt;0")</f>
        <v>0</v>
      </c>
      <c r="CI32" s="6">
        <f>COUNTIFS(Table60[Country],Tabela1[[#This Row],[Country]],Table60[Women''s Classification],"&gt;0")</f>
        <v>0</v>
      </c>
      <c r="CJ32" s="6">
        <f>COUNTIFS(Table6[Country],Tabela1[[#This Row],[Country]],Table6[51kg Classification],"&gt;0")</f>
        <v>0</v>
      </c>
      <c r="CK32" s="6">
        <f>COUNTIFS(Table6[Country],Tabela1[[#This Row],[Country]],Table6[57kg Classification],"&gt;0")</f>
        <v>0</v>
      </c>
      <c r="CL32" s="6">
        <f>COUNTIFS(Table6[Country],Tabela1[[#This Row],[Country]],Table6[63.5kg Classification],"&gt;0")</f>
        <v>0</v>
      </c>
      <c r="CM32" s="6">
        <f>COUNTIFS(Table6[Country],Tabela1[[#This Row],[Country]],Table6[71kg Classification],"&gt;0")</f>
        <v>0</v>
      </c>
      <c r="CN32" s="6">
        <f>COUNTIFS(Table6[Country],Tabela1[[#This Row],[Country]],Table6[80kg Classification],"&gt;0")</f>
        <v>0</v>
      </c>
      <c r="CO32" s="6">
        <f>COUNTIFS(Table6[Country],Tabela1[[#This Row],[Country]],Table6[92kg Classification],"&gt;0")</f>
        <v>0</v>
      </c>
      <c r="CP32" s="6">
        <f>COUNTIFS(Table6[Country],Tabela1[[#This Row],[Country]],Table6[Plus 92kg Classification],"&gt;0")</f>
        <v>0</v>
      </c>
      <c r="CQ32" s="6">
        <f>COUNTIFS(Table7[Country],Tabela1[[#This Row],[Country]],Table7[50kg Classification],"&gt;0")</f>
        <v>0</v>
      </c>
      <c r="CR32" s="6">
        <f>COUNTIFS(Table7[Country],Tabela1[[#This Row],[Country]],Table7[54kg Classification],"&gt;0")</f>
        <v>0</v>
      </c>
      <c r="CS32" s="6">
        <f>COUNTIFS(Table7[Country],Tabela1[[#This Row],[Country]],Table7[57kg Classification],"&gt;0")</f>
        <v>0</v>
      </c>
      <c r="CT32" s="6">
        <f>COUNTIFS(Table7[Country],Tabela1[[#This Row],[Country]],Table7[60kg Classification],"&gt;0")</f>
        <v>0</v>
      </c>
      <c r="CU32" s="6">
        <f>COUNTIFS(Table7[Country],Tabela1[[#This Row],[Country]],Table7[66kg Classification],"&gt;0")</f>
        <v>0</v>
      </c>
      <c r="CV32" s="6">
        <f>COUNTIFS(Table7[Country],Tabela1[[#This Row],[Country]],Table7[75kg Classification],"&gt;0")</f>
        <v>0</v>
      </c>
      <c r="CW32" s="6">
        <f>COUNTIFS(Tabela94[Country],Tabela1[[#This Row],[Country]],Tabela94[Classification],"&gt;0")</f>
        <v>0</v>
      </c>
      <c r="CX32" s="6">
        <f>COUNTIFS(Tabela9499[Country],Tabela1[[#This Row],[Country]],Tabela9499[Classification],"&gt;0")</f>
        <v>0</v>
      </c>
      <c r="CY32" s="6">
        <f>COUNTIFS(Tabela107[Country],Tabela1[[#This Row],[Country]],Tabela107[C1 Slalom Classification],"&gt;0")</f>
        <v>0</v>
      </c>
      <c r="CZ32" s="6">
        <f>COUNTIFS(Tabela107122[Country],Tabela1[[#This Row],[Country]],Tabela107122[C1 Slalom Classification],"&gt;0")</f>
        <v>0</v>
      </c>
      <c r="DA32" s="6">
        <f>COUNTIFS(Tabela107[Country],Tabela1[[#This Row],[Country]],Tabela107[K1 Slalom Classification],"&gt;0")</f>
        <v>0</v>
      </c>
      <c r="DB32" s="6">
        <f>COUNTIFS(Tabela107122[Country],Tabela1[[#This Row],[Country]],Tabela107122[K1 Slalom Classification],"&gt;0")</f>
        <v>1</v>
      </c>
      <c r="DC32" s="6">
        <f>COUNTIFS(Tabela107[Country],Tabela1[[#This Row],[Country]],Tabela107[Kayak Cross Slalom Classification],"&gt;0")</f>
        <v>0</v>
      </c>
      <c r="DD32" s="6">
        <f>COUNTIFS(Tabela107122[Country],Tabela1[[#This Row],[Country]],Tabela107122[Kayak Cross Slalom Classification],"&gt;0")</f>
        <v>1</v>
      </c>
      <c r="DE32" s="6">
        <f>COUNTIFS(Table8[Country],Tabela1[[#This Row],[Country]],Table8[C1 200m Classification],"&gt;0")</f>
        <v>0</v>
      </c>
      <c r="DF32" s="6">
        <f>COUNTIFS(Table40[Country],Tabela1[[#This Row],[Country]],Table40[C1 1000m Classification],"&gt;0")</f>
        <v>0</v>
      </c>
      <c r="DG32" s="6">
        <f>COUNTIFS(Table68[Country],Tabela1[[#This Row],[Country]],Table68[Men''s C2 500m Classification],"&gt;0")</f>
        <v>0</v>
      </c>
      <c r="DH32" s="6">
        <f>COUNTIFS(Table68[Country],Tabela1[[#This Row],[Country]],Table68[Women''s C2 500m Classification],"&gt;0")</f>
        <v>0</v>
      </c>
      <c r="DI32" s="6">
        <f>COUNTIFS(Table8[Country],Tabela1[[#This Row],[Country]],Table8[K1 500m Classification],"&gt;0")</f>
        <v>0</v>
      </c>
      <c r="DJ32" s="6">
        <f>COUNTIFS(Table40[Country],Tabela1[[#This Row],[Country]],Table40[K1 1000m Classification],"&gt;0")</f>
        <v>0</v>
      </c>
      <c r="DK32" s="6">
        <f>COUNTIFS(Table68[Country],Tabela1[[#This Row],[Country]],Table68[Men''s K2 500m Classification],"&gt;0")</f>
        <v>0</v>
      </c>
      <c r="DL32" s="6">
        <f>COUNTIFS(Table68[Country],Tabela1[[#This Row],[Country]],Table68[Women''s K2 500m Classification],"&gt;0")</f>
        <v>0</v>
      </c>
      <c r="DM32" s="6">
        <f>COUNTIFS(Table83[Country],Tabela1[[#This Row],[Country]],Table83[Men''s K4 500m Classification],"&gt;0")</f>
        <v>0</v>
      </c>
      <c r="DN32" s="6">
        <f>COUNTIFS(Table83[Country],Tabela1[[#This Row],[Country]],Table83[Women''s K4 500m Classification],"&gt;0")</f>
        <v>0</v>
      </c>
      <c r="DO32" s="6">
        <f>COUNTIFS(Tabela126[Country],Tabela1[[#This Row],[Country]],Tabela126[Classification],"&gt;0")</f>
        <v>0</v>
      </c>
      <c r="DP32" s="6">
        <f>COUNTIFS(Tabela126130[Country],Tabela1[[#This Row],[Country]],Tabela126130[Classification],"&gt;0")</f>
        <v>0</v>
      </c>
      <c r="DQ32" s="6">
        <f>COUNTIFS(Table70[Country],Tabela1[[#This Row],[Country]],Table70[Classification],"&gt;0")</f>
        <v>0</v>
      </c>
      <c r="DR32" s="6">
        <f>COUNTIFS(Table80[Country],Tabela1[[#This Row],[Country]],Table80[Classification],"&gt;0")</f>
        <v>0</v>
      </c>
      <c r="DS32" s="6">
        <f>COUNTIFS(Table66[Country],Tabela1[[#This Row],[Country]],Table66[Classification],"&gt;0")</f>
        <v>0</v>
      </c>
      <c r="DT32" s="6">
        <f>COUNTIFS(Table67[Country],Tabela1[[#This Row],[Country]],Table67[Classification],"&gt;0")</f>
        <v>0</v>
      </c>
      <c r="DU32" s="6">
        <f>COUNTIFS(Table69[Country],Tabela1[[#This Row],[Country]],Table69[Keirin Classification],"&gt;0")</f>
        <v>0</v>
      </c>
      <c r="DV32" s="6">
        <f>COUNTIFS(Table41[Country],Tabela1[[#This Row],[Country]],Table41[Keirin Classification],"&gt;0")</f>
        <v>0</v>
      </c>
      <c r="DW32" s="6">
        <f>COUNTIFS(Table84[Country],Tabela1[[#This Row],[Country]],Table84[Men''s Madison Classification],"&gt;0")</f>
        <v>0</v>
      </c>
      <c r="DX32" s="6">
        <f>COUNTIFS(Table84[Country],Tabela1[[#This Row],[Country]],Table84[Women''s Madison Classification],"&gt;0")</f>
        <v>0</v>
      </c>
      <c r="DY32" s="6">
        <f>COUNTIFS(Table69[Country],Tabela1[[#This Row],[Country]],Table69[Omnium Classification],"&gt;0")</f>
        <v>0</v>
      </c>
      <c r="DZ32" s="6">
        <f>COUNTIFS(Table41[Country],Tabela1[[#This Row],[Country]],Table41[Omnium Classification],"&gt;0")</f>
        <v>0</v>
      </c>
      <c r="EA32" s="6">
        <f>COUNTIFS(Table9[Country],Tabela1[[#This Row],[Country]],Table9[Road Race Classification],"&gt;0")</f>
        <v>0</v>
      </c>
      <c r="EB32" s="6">
        <f>COUNTIFS(Table14[Country],Tabela1[[#This Row],[Country]],Table14[Road Race Classification],"&gt;0")</f>
        <v>0</v>
      </c>
      <c r="EC32" s="6">
        <f>COUNTIFS(Table69[Country],Tabela1[[#This Row],[Country]],Table69[Sprint Classification],"&gt;0")</f>
        <v>0</v>
      </c>
      <c r="ED32" s="6">
        <f>COUNTIFS(Table41[Country],Tabela1[[#This Row],[Country]],Table41[Sprint Classification],"&gt;0")</f>
        <v>0</v>
      </c>
      <c r="EE32" s="6">
        <f>COUNTIFS(Table85[Country],Tabela1[[#This Row],[Country]],Table85[Men''s Sprint Classification],"&gt;0")</f>
        <v>0</v>
      </c>
      <c r="EF32" s="6">
        <f>COUNTIFS(Table85[Country],Tabela1[[#This Row],[Country]],Table85[Women''s Sprint Classification],"&gt;0")</f>
        <v>0</v>
      </c>
      <c r="EG32" s="6">
        <f>COUNTIFS(Table85[Country],Tabela1[[#This Row],[Country]],Table85[Men''s Pursuit Classification],"&gt;0")</f>
        <v>0</v>
      </c>
      <c r="EH32" s="6">
        <f>COUNTIFS(Table85[Country],Tabela1[[#This Row],[Country]],Table85[Women''s Pursuit Classification],"&gt;0")</f>
        <v>0</v>
      </c>
      <c r="EI32" s="6">
        <f>COUNTIFS(Table9[Country],Tabela1[[#This Row],[Country]],Table9[Time-Trial Classification],"&gt;0")</f>
        <v>0</v>
      </c>
      <c r="EJ32" s="6">
        <f>COUNTIFS(Table14[Country],Tabela1[[#This Row],[Country]],Table14[Time-Trial Classification],"&gt;0")</f>
        <v>0</v>
      </c>
      <c r="EK32" s="6">
        <f>COUNTIFS(Table42[Country],Tabela1[[#This Row],[Country]],Table42[Springboard Classification],"&gt;0")</f>
        <v>0</v>
      </c>
      <c r="EL32" s="6">
        <f>COUNTIFS(Table43[Country],Tabela1[[#This Row],[Country]],Table43[Springboard Classification],"&gt;0")</f>
        <v>0</v>
      </c>
      <c r="EM32" s="6">
        <f>COUNTIFS(Table42[Country],Tabela1[[#This Row],[Country]],Table42[Platform Classification],"&gt;0")</f>
        <v>1</v>
      </c>
      <c r="EN32" s="6">
        <f>COUNTIFS(Table43[Country],Tabela1[[#This Row],[Country]],Table43[Platform Classification],"&gt;0")</f>
        <v>0</v>
      </c>
      <c r="EO32" s="6">
        <f>COUNTIFS(Table86[Country],Tabela1[[#This Row],[Country]],Table86[Men''s Synchronized Springboard Classification],"&gt;0")</f>
        <v>0</v>
      </c>
      <c r="EP32" s="6">
        <f>COUNTIFS(Table86[Country],Tabela1[[#This Row],[Country]],Table86[Women''s Synchronized Springboard Classification],"&gt;0")</f>
        <v>0</v>
      </c>
      <c r="EQ32" s="6">
        <f>COUNTIFS(Table86[Country],Tabela1[[#This Row],[Country]],Table86[Men''s Synchronized Platform Classification],"&gt;0")</f>
        <v>1</v>
      </c>
      <c r="ER32" s="6">
        <f>COUNTIFS(Table86[Country],Tabela1[[#This Row],[Country]],Table86[Women''s Synchronized Platform Classification],"&gt;0")</f>
        <v>0</v>
      </c>
      <c r="ES32" s="6">
        <f>COUNTIFS(Table44[Country],Tabela1[[#This Row],[Country]],Table44[Dressage Classification],"&gt;0")</f>
        <v>0</v>
      </c>
      <c r="ET32" s="6">
        <f>COUNTIFS(Table45[Country],Tabela1[[#This Row],[Country]],Table45[Dressage Classification],"&gt;0")</f>
        <v>0</v>
      </c>
      <c r="EU32" s="6">
        <f>COUNTIFS(Table44[Country],Tabela1[[#This Row],[Country]],Table44[Eventing Classification],"&gt;0")</f>
        <v>0</v>
      </c>
      <c r="EV32" s="6">
        <f>COUNTIFS(Table45[Country],Tabela1[[#This Row],[Country]],Table45[Eventing Classification],"&gt;0")</f>
        <v>0</v>
      </c>
      <c r="EW32" s="6">
        <f>COUNTIFS(Table44[Country],Tabela1[[#This Row],[Country]],Table44[Jumping Classification],"&gt;0")</f>
        <v>1</v>
      </c>
      <c r="EX32" s="6">
        <f>COUNTIFS(Table45[Country],Tabela1[[#This Row],[Country]],Table45[Jumping Classification],"&gt;0")</f>
        <v>1</v>
      </c>
      <c r="EY32" s="6">
        <f>COUNTIFS(Table10[Country],Tabela1[[#This Row],[Country]],Table10[Épée Classification],"&gt;0")</f>
        <v>0</v>
      </c>
      <c r="EZ32" s="6">
        <f>COUNTIFS(Table11[Country],Tabela1[[#This Row],[Country]],Table11[Épée Classification],"&gt;0")</f>
        <v>0</v>
      </c>
      <c r="FA32" s="6">
        <f>COUNTIFS(Table46[Country],Tabela1[[#This Row],[Country]],Table46[Men''s Épée Classification],"&gt;0")</f>
        <v>0</v>
      </c>
      <c r="FB32" s="6">
        <f>COUNTIFS(Table46[Country],Tabela1[[#This Row],[Country]],Table46[Women''s Épée Classification],"&gt;0")</f>
        <v>0</v>
      </c>
      <c r="FC32" s="6">
        <f>COUNTIFS(Table10[Country],Tabela1[[#This Row],[Country]],Table10[Foil Classification],"&gt;0")</f>
        <v>0</v>
      </c>
      <c r="FD32" s="6">
        <f>COUNTIFS(Table11[Country],Tabela1[[#This Row],[Country]],Table11[Foil Classification],"&gt;0")</f>
        <v>0</v>
      </c>
      <c r="FE32" s="6">
        <f>COUNTIFS(Table46[Country],Tabela1[[#This Row],[Country]],Table46[Men''s Foil Classification],"&gt;0")</f>
        <v>0</v>
      </c>
      <c r="FF32" s="6">
        <f>COUNTIFS(Table46[Country],Tabela1[[#This Row],[Country]],Table46[Women''s Foil Classification],"&gt;0")</f>
        <v>0</v>
      </c>
      <c r="FG32" s="6">
        <f>COUNTIFS(Table10[Country],Tabela1[[#This Row],[Country]],Table10[Sabre Classification],"&gt;0")</f>
        <v>1</v>
      </c>
      <c r="FH32" s="6">
        <f>COUNTIFS(Table11[Country],Tabela1[[#This Row],[Country]],Table11[Sabre Classification],"&gt;0")</f>
        <v>0</v>
      </c>
      <c r="FI32" s="6">
        <f>COUNTIFS(Table46[Country],Tabela1[[#This Row],[Country]],Table46[Men''s Sabre Classification],"&gt;0")</f>
        <v>0</v>
      </c>
      <c r="FJ32" s="6">
        <f>COUNTIFS(Table46[Country],Tabela1[[#This Row],[Country]],Table46[Women''s Sabre Classification],"&gt;0")</f>
        <v>0</v>
      </c>
      <c r="FK32" s="6">
        <f>COUNTIFS(Table91[Country],Tabela1[[#This Row],[Country]],Table91[Men''s Classification],"&gt;0")</f>
        <v>0</v>
      </c>
      <c r="FL32" s="6">
        <f>COUNTIFS(Table91[Country],Tabela1[[#This Row],[Country]],Table91[Women''s Classification],"&gt;0")</f>
        <v>0</v>
      </c>
      <c r="FM32" s="6">
        <f>COUNTIFS(Table9194[Country],Tabela1[[#This Row],[Country]],Table9194[Men''s Classification],"&gt;0")</f>
        <v>0</v>
      </c>
      <c r="FN32" s="6">
        <f>COUNTIFS(Table9194[Country],Tabela1[[#This Row],[Country]],Table9194[Women''s Classification],"&gt;0")</f>
        <v>0</v>
      </c>
      <c r="FO32" s="6">
        <f>COUNTIFS(Table71[Country],Tabela1[[#This Row],[Country]],Table71[Classification],"&gt;0")</f>
        <v>0</v>
      </c>
      <c r="FP32" s="6">
        <f>COUNTIFS(Table62[Country],Tabela1[[#This Row],[Country]],Table62[Classification],"&gt;0")</f>
        <v>0</v>
      </c>
      <c r="FQ32" s="6">
        <f>COUNTIFS(Table47[Country],Tabela1[[#This Row],[Country]],Table47[All-Around Classification],"&gt;0")</f>
        <v>0</v>
      </c>
      <c r="FR32" s="6">
        <f>COUNTIFS(Table48[Country],Tabela1[[#This Row],[Country]],Table48[All-Around Classification],"&gt;0")</f>
        <v>2</v>
      </c>
      <c r="FS32" s="6">
        <f>COUNTIFS(Table81[Country],Tabela1[[#This Row],[Country]],Table81[Men''s All-Around Classification],"&gt;0")</f>
        <v>0</v>
      </c>
      <c r="FT32" s="6">
        <f>COUNTIFS(Table81[Country],Tabela1[[#This Row],[Country]],Table81[Women''s All-Around Classification],"&gt;0")</f>
        <v>0</v>
      </c>
      <c r="FU32" s="6">
        <f>COUNTIFS(Table48[Country],Tabela1[[#This Row],[Country]],Table48[Balance Beam Classification],"&gt;0")</f>
        <v>1</v>
      </c>
      <c r="FV32" s="6">
        <f>COUNTIFS(Table47[Country],Tabela1[[#This Row],[Country]],Table47[Floor Exercise Classification],"&gt;0")</f>
        <v>0</v>
      </c>
      <c r="FW32" s="6">
        <f>COUNTIFS(Table48[Country],Tabela1[[#This Row],[Country]],Table48[Floor Exercise Classification],"&gt;0")</f>
        <v>1</v>
      </c>
      <c r="FX32" s="6">
        <f>COUNTIFS(Table47[Country],Tabela1[[#This Row],[Country]],Table47[Horizontal Bar Classification],"&gt;0")</f>
        <v>0</v>
      </c>
      <c r="FY32" s="6">
        <f>COUNTIFS(Table47[Country],Tabela1[[#This Row],[Country]],Table47[Parallel Bars Classification],"&gt;0")</f>
        <v>0</v>
      </c>
      <c r="FZ32" s="6">
        <f>COUNTIFS(Table47[Country],Tabela1[[#This Row],[Country]],Table47[Pommel Horse Classification],"&gt;0")</f>
        <v>0</v>
      </c>
      <c r="GA32" s="6">
        <f>COUNTIFS(Table47[Country],Tabela1[[#This Row],[Country]],Table47[Rings Classification],"&gt;0")</f>
        <v>0</v>
      </c>
      <c r="GB32" s="6">
        <f>COUNTIFS(Tabela132[Country],Tabela1[[#This Row],[Country]],Tabela132[Classification],"&gt;0")</f>
        <v>0</v>
      </c>
      <c r="GC32" s="6">
        <f>COUNTIFS(Tabela139[Country],Tabela1[[#This Row],[Country]],Tabela139[Classification],"&gt;0")</f>
        <v>0</v>
      </c>
      <c r="GD32" s="6">
        <f>COUNTIFS(Table48[Country],Tabela1[[#This Row],[Country]],Table48[Uneven Bars Classification],"&gt;0")</f>
        <v>2</v>
      </c>
      <c r="GE32" s="6">
        <f>COUNTIFS(Table47[Country],Tabela1[[#This Row],[Country]],Table47[Vault Classification],"&gt;0")</f>
        <v>0</v>
      </c>
      <c r="GF32" s="6">
        <f>COUNTIFS(Table48[Country],Tabela1[[#This Row],[Country]],Table48[Vault Classification],"&gt;0")</f>
        <v>1</v>
      </c>
      <c r="GG32" s="6">
        <f>COUNTIFS(Table919496[Country],Tabela1[[#This Row],[Country]],Table919496[Men''s Classification],"&gt;0")</f>
        <v>0</v>
      </c>
      <c r="GH32" s="6">
        <f>COUNTIFS(Table919496[Country],Tabela1[[#This Row],[Country]],Table919496[Women''s Classification],"&gt;0")</f>
        <v>0</v>
      </c>
      <c r="GI32" s="6">
        <f>COUNTIFS(Table12[Country],Tabela1[[#This Row],[Country]],Table12[60kg Classification],"&gt;0")</f>
        <v>0</v>
      </c>
      <c r="GJ32" s="6">
        <f>COUNTIFS(Table12[Country],Tabela1[[#This Row],[Country]],Table12[66kg Classification],"&gt;0")</f>
        <v>0</v>
      </c>
      <c r="GK32" s="6">
        <f>COUNTIFS(Table12[Country],Tabela1[[#This Row],[Country]],Table12[73kg Classification],"&gt;0")</f>
        <v>0</v>
      </c>
      <c r="GL32" s="6">
        <f>COUNTIFS(Table12[Country],Tabela1[[#This Row],[Country]],Table12[81kg Classification],"&gt;0")</f>
        <v>0</v>
      </c>
      <c r="GM32" s="6">
        <f>COUNTIFS(Table12[Country],Tabela1[[#This Row],[Country]],Table12[90kg Classification],"&gt;0")</f>
        <v>0</v>
      </c>
      <c r="GN32" s="6">
        <f>COUNTIFS(Table12[Country],Tabela1[[#This Row],[Country]],Table12[100kg Classification],"&gt;0")</f>
        <v>0</v>
      </c>
      <c r="GO32" s="6">
        <f>COUNTIFS(Table12[Country],Tabela1[[#This Row],[Country]],Table12[Plus 100kg Classification],"&gt;0")</f>
        <v>0</v>
      </c>
      <c r="GP32" s="6">
        <f>COUNTIFS(Table13[Country],Tabela1[[#This Row],[Country]],Table13[48kg Classification],"&gt;0")</f>
        <v>0</v>
      </c>
      <c r="GQ32" s="6">
        <f>COUNTIFS(Table13[Country],Tabela1[[#This Row],[Country]],Table13[52kg Classification],"&gt;0")</f>
        <v>0</v>
      </c>
      <c r="GR32" s="6">
        <f>COUNTIFS(Table13[Country],Tabela1[[#This Row],[Country]],Table13[57kg Classification],"&gt;0")</f>
        <v>0</v>
      </c>
      <c r="GS32" s="6">
        <f>COUNTIFS(Table13[Country],Tabela1[[#This Row],[Country]],Table13[63kg Classification],"&gt;0")</f>
        <v>1</v>
      </c>
      <c r="GT32" s="6">
        <f>COUNTIFS(Table13[Country],Tabela1[[#This Row],[Country]],Table13[70kg Classification],"&gt;0")</f>
        <v>0</v>
      </c>
      <c r="GU32" s="6">
        <f>COUNTIFS(Table13[Country],Tabela1[[#This Row],[Country]],Table13[78kg Classification],"&gt;0")</f>
        <v>0</v>
      </c>
      <c r="GV32" s="6">
        <f>COUNTIFS(Table13[Country],Tabela1[[#This Row],[Country]],Table13[Plus 78kg Classification],"&gt;0")</f>
        <v>0</v>
      </c>
      <c r="GW32" s="6">
        <f>COUNTIFS(Table82[Country],Tabela1[[#This Row],[Country]],Table82[Mixed Classification],"&gt;0")</f>
        <v>0</v>
      </c>
      <c r="GX32" s="6">
        <f>COUNTIFS(Table51[Country],Tabela1[[#This Row],[Country]],Table51[Classification],"&gt;0")</f>
        <v>0</v>
      </c>
      <c r="GY32" s="6">
        <f>COUNTIFS(Table52[Country],Tabela1[[#This Row],[Country]],Table52[Classification],"&gt;0")</f>
        <v>1</v>
      </c>
      <c r="GZ32" s="6">
        <f>COUNTIFS(Table32[Country],Tabela1[[#This Row],[Country]],Table32[All-Around Classification],"&gt;0")</f>
        <v>0</v>
      </c>
      <c r="HA32" s="6">
        <f>COUNTIFS(Table49[Country],Tabela1[[#This Row],[Country]],Table49[All-Around Classification],"&gt;0")</f>
        <v>1</v>
      </c>
      <c r="HB32" s="6">
        <f>COUNTIFS(Table26[Country],Tabela1[[#This Row],[Country]],Table26[Single Sculls Classification],"&gt;0")</f>
        <v>0</v>
      </c>
      <c r="HC32" s="6">
        <f>COUNTIFS(Table63[Country],Tabela1[[#This Row],[Country]],Table63[Single Sculls Classification],"&gt;0")</f>
        <v>0</v>
      </c>
      <c r="HD32" s="6">
        <f>COUNTIFS(Table16[Country],Tabela1[[#This Row],[Country]],Table16[Men''s Double Sculls Classification],"&gt;0")</f>
        <v>0</v>
      </c>
      <c r="HE32" s="6">
        <f>COUNTIFS(Table16[Country],Tabela1[[#This Row],[Country]],Table16[Women''s Double Sculls Classification],"&gt;0")</f>
        <v>0</v>
      </c>
      <c r="HF32" s="6">
        <f>COUNTIFS(Table72[Country],Tabela1[[#This Row],[Country]],Table72[Men''s Quadruple Sculls Classification],"&gt;0")</f>
        <v>0</v>
      </c>
      <c r="HG32" s="6">
        <f>COUNTIFS(Table72[Country],Tabela1[[#This Row],[Country]],Table72[Women''s Quadruple Sculls Classification],"&gt;0")</f>
        <v>0</v>
      </c>
      <c r="HH32" s="6">
        <f>COUNTIFS(Table16[Country],Tabela1[[#This Row],[Country]],Table16[Men''s Coxless Pairs Classification],"&gt;0")</f>
        <v>0</v>
      </c>
      <c r="HI32" s="6">
        <f>COUNTIFS(Table16[Country],Tabela1[[#This Row],[Country]],Table16[Women''s Coxless Pairs Classification],"&gt;0")</f>
        <v>0</v>
      </c>
      <c r="HJ32" s="6">
        <f>COUNTIFS(Table72[Country],Tabela1[[#This Row],[Country]],Table72[Men''s Coxless Fours Classification],"&gt;0")</f>
        <v>0</v>
      </c>
      <c r="HK32" s="6">
        <f>COUNTIFS(Table72[Country],Tabela1[[#This Row],[Country]],Table72[Women''s Coxless Fours Classification],"&gt;0")</f>
        <v>0</v>
      </c>
      <c r="HL32" s="6">
        <f>COUNTIFS(Table72[Country],Tabela1[[#This Row],[Country]],Table72[Men''s Eights Classification],"&gt;0")</f>
        <v>0</v>
      </c>
      <c r="HM32" s="6">
        <f>COUNTIFS(Table72[Country],Tabela1[[#This Row],[Country]],Table72[Women''s Eights Classification],"&gt;0")</f>
        <v>0</v>
      </c>
      <c r="HN32" s="6">
        <f>COUNTIFS(Table16[Country],Tabela1[[#This Row],[Country]],Table16[Men''s Lwt. Double Sculls Classification],"&gt;0")</f>
        <v>0</v>
      </c>
      <c r="HO32" s="6">
        <f>COUNTIFS(Table16[Country],Tabela1[[#This Row],[Country]],Table16[Women''s Lwt. Double Sculls Classification],"&gt;0")</f>
        <v>0</v>
      </c>
      <c r="HP32" s="6">
        <f>COUNTIFS(Table91949698[Country],Tabela1[[#This Row],[Country]],Table91949698[Men''s Classification],"&gt;0")</f>
        <v>0</v>
      </c>
      <c r="HQ32" s="6">
        <f>COUNTIFS(Table91949698[Country],Tabela1[[#This Row],[Country]],Table91949698[Women''s Classification],"&gt;0")</f>
        <v>0</v>
      </c>
      <c r="HR32" s="6">
        <f>COUNTIFS(Table25[Country],Tabela1[[#This Row],[Country]],Table25[Mixed 470 Classification],"&gt;0")</f>
        <v>0</v>
      </c>
      <c r="HS32" s="6">
        <f>COUNTIFS(Table25[Country],Tabela1[[#This Row],[Country]],Table25[Men''s 49er Classification],"&gt;0")</f>
        <v>0</v>
      </c>
      <c r="HT32" s="6">
        <f>COUNTIFS(Table25[Country],Tabela1[[#This Row],[Country]],Table25[Women''s 49er FX Classification],"&gt;0")</f>
        <v>0</v>
      </c>
      <c r="HU32" s="6">
        <f>COUNTIFS(Table17[Country],Tabela1[[#This Row],[Country]],Table17[Formula Kite Classification],"&gt;0")</f>
        <v>0</v>
      </c>
      <c r="HV32" s="6">
        <f>COUNTIFS(Table18[Country],Tabela1[[#This Row],[Country]],Table18[Formula Kite Classification],"&gt;0")</f>
        <v>0</v>
      </c>
      <c r="HW32" s="6">
        <f>COUNTIFS(Table17[Country],Tabela1[[#This Row],[Country]],Table17[ILCA 7 Classification],"&gt;0")</f>
        <v>0</v>
      </c>
      <c r="HX32" s="6">
        <f>COUNTIFS(Table18[Country],Tabela1[[#This Row],[Country]],Table18[ILCA 6 Classification],"&gt;0")</f>
        <v>0</v>
      </c>
      <c r="HY32" s="6">
        <f>COUNTIFS(Table17[Country],Tabela1[[#This Row],[Country]],Table17[IQFoil Classification],"&gt;0")</f>
        <v>0</v>
      </c>
      <c r="HZ32" s="6">
        <f>COUNTIFS(Table18[Country],Tabela1[[#This Row],[Country]],Table18[IQFoil Classification],"&gt;0")</f>
        <v>0</v>
      </c>
      <c r="IA32" s="6">
        <f>COUNTIFS(Table25[Country],Tabela1[[#This Row],[Country]],Table25[Mixed Nacra 17 Classification],"&gt;0")</f>
        <v>0</v>
      </c>
      <c r="IB32" s="6">
        <f>COUNTIFS(Table53[Country],Tabela1[[#This Row],[Country]],Table53[10m Air Pistol Classification],"&gt;0")</f>
        <v>0</v>
      </c>
      <c r="IC32" s="6">
        <f>COUNTIFS(Table19[Country],Tabela1[[#This Row],[Country]],Table19[10m Air Pistol Classification],"&gt;0")</f>
        <v>0</v>
      </c>
      <c r="ID32" s="6">
        <f>COUNTIFS(Table54[Country],Tabela1[[#This Row],[Country]],Table54[Mixed 10m Air Pistol Team Classification],"&gt;0")</f>
        <v>0</v>
      </c>
      <c r="IE32" s="6">
        <f>COUNTIFS(Table53[Country],Tabela1[[#This Row],[Country]],Table53[10m Air Rifle Classification],"&gt;0")</f>
        <v>1</v>
      </c>
      <c r="IF32" s="6">
        <f>COUNTIFS(Table19[Country],Tabela1[[#This Row],[Country]],Table19[10m Air Rifle Classification],"&gt;0")</f>
        <v>1</v>
      </c>
      <c r="IG32" s="6">
        <f>COUNTIFS(Table54[Country],Tabela1[[#This Row],[Country]],Table54[Mixed 10m Air Rifle Team Classification],"&gt;0")</f>
        <v>1</v>
      </c>
      <c r="IH32" s="6">
        <f>COUNTIFS(Table53[Country],Tabela1[[#This Row],[Country]],Table53[25m Rapid Fire Pistol Classification],"&gt;0")</f>
        <v>0</v>
      </c>
      <c r="II32" s="6">
        <f>COUNTIFS(Table19[Country],Tabela1[[#This Row],[Country]],Table19[25m Pistol Classification],"&gt;0")</f>
        <v>0</v>
      </c>
      <c r="IJ32" s="6">
        <f>COUNTIFS(Table53[Country],Tabela1[[#This Row],[Country]],Table53[50m Rifle 3 Positions Classification],"&gt;0")</f>
        <v>0</v>
      </c>
      <c r="IK32" s="6">
        <f>COUNTIFS(Table19[Country],Tabela1[[#This Row],[Country]],Table19[50m Rifle 3 Positions Classification],"&gt;0")</f>
        <v>0</v>
      </c>
      <c r="IL32" s="6">
        <f>COUNTIFS(Table53[Country],Tabela1[[#This Row],[Country]],Table53[Skeet Classification],"&gt;0")</f>
        <v>0</v>
      </c>
      <c r="IM32" s="6">
        <f>COUNTIFS(Table19[Country],Tabela1[[#This Row],[Country]],Table19[Skeet Classification],"&gt;0")</f>
        <v>0</v>
      </c>
      <c r="IN32" s="6">
        <f>COUNTIFS(Table54[Country],Tabela1[[#This Row],[Country]],Table54[Mixed Skeet Team Classification],"&gt;0")</f>
        <v>0</v>
      </c>
      <c r="IO32" s="6">
        <f>COUNTIFS(Table53[Country],Tabela1[[#This Row],[Country]],Table53[Trap Classification],"&gt;0")</f>
        <v>0</v>
      </c>
      <c r="IP32" s="6">
        <f>COUNTIFS(Table19[Country],Tabela1[[#This Row],[Country]],Table19[Trap Classification],"&gt;0")</f>
        <v>0</v>
      </c>
      <c r="IQ32" s="6">
        <f>COUNTIFS(Table73[Country],Tabela1[[#This Row],[Country]],Table73[Park Classification],"&gt;0")</f>
        <v>0</v>
      </c>
      <c r="IR32" s="6">
        <f>COUNTIFS(Table74[Country],Tabela1[[#This Row],[Country]],Table74[Park Classification],"&gt;0")</f>
        <v>0</v>
      </c>
      <c r="IS32" s="6">
        <f>COUNTIFS(Table73[Country],Tabela1[[#This Row],[Country]],Table73[Street Classification],"&gt;0")</f>
        <v>0</v>
      </c>
      <c r="IT32" s="6">
        <f>COUNTIFS(Table74[Country],Tabela1[[#This Row],[Country]],Table74[Street Classification],"&gt;0")</f>
        <v>0</v>
      </c>
      <c r="IU32" s="6">
        <f>COUNTIFS(Table75[Country],Tabela1[[#This Row],[Country]],Table75[Boulder and Lead Classification],"&gt;0")</f>
        <v>0</v>
      </c>
      <c r="IV32" s="6">
        <f>COUNTIFS(Table76[Country],Tabela1[[#This Row],[Country]],Table76[Boulder and Lead Classification],"&gt;0")</f>
        <v>0</v>
      </c>
      <c r="IW32" s="6">
        <f>COUNTIFS(Table75[Country],Tabela1[[#This Row],[Country]],Table75[Speed Classification],"&gt;0")</f>
        <v>0</v>
      </c>
      <c r="IX32" s="6">
        <f>COUNTIFS(Table76[Country],Tabela1[[#This Row],[Country]],Table76[Speed Classification],"&gt;0")</f>
        <v>0</v>
      </c>
      <c r="IY32" s="6">
        <f>COUNTIFS(Table64[Country],Tabela1[[#This Row],[Country]],Table64[Shortboard Classification],"&gt;0")</f>
        <v>0</v>
      </c>
      <c r="IZ32" s="6">
        <f>COUNTIFS(Table77[Country],Tabela1[[#This Row],[Country]],Table77[Shortboard Classification],"&gt;0")</f>
        <v>0</v>
      </c>
      <c r="JA32" s="6">
        <f>COUNTIFS(Table20[Country],Tabela1[[#This Row],[Country]],Table20[50m Freestyle Classification],"&gt;0")</f>
        <v>0</v>
      </c>
      <c r="JB32" s="6">
        <f>COUNTIFS(Table21[Country],Tabela1[[#This Row],[Country]],Table21[50m Freestyle Classification],"&gt;0")</f>
        <v>0</v>
      </c>
      <c r="JC32" s="6">
        <f>COUNTIFS(Table20[Country],Tabela1[[#This Row],[Country]],Table20[100m Freestyle Classification],"&gt;0")</f>
        <v>0</v>
      </c>
      <c r="JD32" s="6">
        <f>COUNTIFS(Table21[Country],Tabela1[[#This Row],[Country]],Table21[100m Freestyle Classification],"&gt;0")</f>
        <v>0</v>
      </c>
      <c r="JE32" s="6">
        <f>COUNTIFS(Table20[Country],Tabela1[[#This Row],[Country]],Table20[200m Freestyle Classification],"&gt;0")</f>
        <v>0</v>
      </c>
      <c r="JF32" s="6">
        <f>COUNTIFS(Table21[Country],Tabela1[[#This Row],[Country]],Table21[200m Freestyle Classification],"&gt;0")</f>
        <v>0</v>
      </c>
      <c r="JG32" s="6">
        <f>COUNTIFS(Table20[Country],Tabela1[[#This Row],[Country]],Table20[400m Freestyle Classification],"&gt;0")</f>
        <v>0</v>
      </c>
      <c r="JH32" s="6">
        <f>COUNTIFS(Table21[Country],Tabela1[[#This Row],[Country]],Table21[400m Freestyle Classification],"&gt;0")</f>
        <v>0</v>
      </c>
      <c r="JI32" s="6">
        <f>COUNTIFS(Table20[Country],Tabela1[[#This Row],[Country]],Table20[800m Freestyle Classification],"&gt;0")</f>
        <v>0</v>
      </c>
      <c r="JJ32" s="6">
        <f>COUNTIFS(Table21[Country],Tabela1[[#This Row],[Country]],Table21[800m Freestyle Classification],"&gt;0")</f>
        <v>0</v>
      </c>
      <c r="JK32" s="6">
        <f>COUNTIFS(Table20[Country],Tabela1[[#This Row],[Country]],Table20[1500m Freestyle Classification],"&gt;0")</f>
        <v>0</v>
      </c>
      <c r="JL32" s="6">
        <f>COUNTIFS(Table21[Country],Tabela1[[#This Row],[Country]],Table21[1500m Freestyle Classification],"&gt;0")</f>
        <v>0</v>
      </c>
      <c r="JM32" s="6">
        <f>COUNTIFS(Table20[Country],Tabela1[[#This Row],[Country]],Table20[100m Backstroke Classification],"&gt;0")</f>
        <v>0</v>
      </c>
      <c r="JN32" s="6">
        <f>COUNTIFS(Table21[Country],Tabela1[[#This Row],[Country]],Table21[100m Backstroke Classification],"&gt;0")</f>
        <v>0</v>
      </c>
      <c r="JO32" s="6">
        <f>COUNTIFS(Table20[Country],Tabela1[[#This Row],[Country]],Table20[200m Backstroke Classification],"&gt;0")</f>
        <v>0</v>
      </c>
      <c r="JP32" s="6">
        <f>COUNTIFS(Table21[Country],Tabela1[[#This Row],[Country]],Table21[200m Backstroke Classification],"&gt;0")</f>
        <v>0</v>
      </c>
      <c r="JQ32" s="6">
        <f>COUNTIFS(Table20[Country],Tabela1[[#This Row],[Country]],Table20[100m Breaststroke Classification],"&gt;0")</f>
        <v>0</v>
      </c>
      <c r="JR32" s="6">
        <f>COUNTIFS(Table21[Country],Tabela1[[#This Row],[Country]],Table21[100m Breaststroke Classification],"&gt;0")</f>
        <v>0</v>
      </c>
      <c r="JS32" s="6">
        <f>COUNTIFS(Table20[Country],Tabela1[[#This Row],[Country]],Table20[200m Breaststroke Classification],"&gt;0")</f>
        <v>0</v>
      </c>
      <c r="JT32" s="6">
        <f>COUNTIFS(Table21[Country],Tabela1[[#This Row],[Country]],Table21[200m Breaststroke Classification],"&gt;0")</f>
        <v>0</v>
      </c>
      <c r="JU32" s="6">
        <f>COUNTIFS(Table20[Country],Tabela1[[#This Row],[Country]],Table20[100m Butterfly Classification],"&gt;0")</f>
        <v>0</v>
      </c>
      <c r="JV32" s="6">
        <f>COUNTIFS(Table21[Country],Tabela1[[#This Row],[Country]],Table21[100m Butterfly Classification],"&gt;0")</f>
        <v>0</v>
      </c>
      <c r="JW32" s="6">
        <f>COUNTIFS(Table20[Country],Tabela1[[#This Row],[Country]],Table20[200m Butterfly Classification],"&gt;0")</f>
        <v>0</v>
      </c>
      <c r="JX32" s="6">
        <f>COUNTIFS(Table21[Country],Tabela1[[#This Row],[Country]],Table21[200m Butterfly Classification],"&gt;0")</f>
        <v>0</v>
      </c>
      <c r="JY32" s="6">
        <f>COUNTIFS(Table20[Country],Tabela1[[#This Row],[Country]],Table20[200m Medley Classification],"&gt;0")</f>
        <v>0</v>
      </c>
      <c r="JZ32" s="6">
        <f>COUNTIFS(Table21[Country],Tabela1[[#This Row],[Country]],Table21[200m Medley Classification],"&gt;0")</f>
        <v>0</v>
      </c>
      <c r="KA32" s="6">
        <f>COUNTIFS(Table20[Country],Tabela1[[#This Row],[Country]],Table20[400m Medley Classification],"&gt;0")</f>
        <v>0</v>
      </c>
      <c r="KB32" s="6">
        <f>COUNTIFS(Table21[Country],Tabela1[[#This Row],[Country]],Table21[400m Medley Classification],"&gt;0")</f>
        <v>0</v>
      </c>
      <c r="KC32" s="6">
        <f>COUNTIFS(Table78[Country],Tabela1[[#This Row],[Country]],Table78[Men''s 4x100m Freestyle Relay Classification],"&gt;0")</f>
        <v>0</v>
      </c>
      <c r="KD32" s="6">
        <f>COUNTIFS(Table78[Country],Tabela1[[#This Row],[Country]],Table78[Women''s 4x100m Freestyle Relay Classification],"&gt;0")</f>
        <v>0</v>
      </c>
      <c r="KE32" s="6">
        <f>COUNTIFS(Table78[Country],Tabela1[[#This Row],[Country]],Table78[Men''s 4x200m Freestyle Relay Classification],"&gt;0")</f>
        <v>0</v>
      </c>
      <c r="KF32" s="6">
        <f>COUNTIFS(Table78[Country],Tabela1[[#This Row],[Country]],Table78[Women''s 4x200m Freestyle Relay Classification],"&gt;0")</f>
        <v>0</v>
      </c>
      <c r="KG32" s="6">
        <f>COUNTIFS(Table78[Country],Tabela1[[#This Row],[Country]],Table78[Men''s 4x100m Medley Relay Classification],"&gt;0")</f>
        <v>0</v>
      </c>
      <c r="KH32" s="6">
        <f>COUNTIFS(Table78[Country],Tabela1[[#This Row],[Country]],Table78[Women''s 4x100m Medley Relay Classification],"&gt;0")</f>
        <v>0</v>
      </c>
      <c r="KI32" s="6">
        <f>COUNTIFS(Table78[Country],Tabela1[[#This Row],[Country]],Table78[Mixed 4x100m Medley Relay Classification],"&gt;0")</f>
        <v>0</v>
      </c>
      <c r="KJ32" s="6">
        <f>COUNTIFS(Table20[Country],Tabela1[[#This Row],[Country]],Table20[10km Open Water Classification],"&gt;0")</f>
        <v>0</v>
      </c>
      <c r="KK32" s="6">
        <f>COUNTIFS(Table21[Country],Tabela1[[#This Row],[Country]],Table21[10km Open Water Classification],"&gt;0")</f>
        <v>0</v>
      </c>
      <c r="KL32" s="6">
        <f>COUNTIFS(Table22[Country],Tabela1[[#This Row],[Country]],Table22[Classification],"&gt;0")</f>
        <v>1</v>
      </c>
      <c r="KM32" s="6">
        <f>COUNTIFS(Table30[Country],Tabela1[[#This Row],[Country]],Table30[Classification],"&gt;0")</f>
        <v>0</v>
      </c>
      <c r="KN32" s="6">
        <f>COUNTIFS(Table55[Country],Tabela1[[#This Row],[Country]],Table55[Men''s Classification],"&gt;0")</f>
        <v>0</v>
      </c>
      <c r="KO32" s="6">
        <f>COUNTIFS(Table55[Country],Tabela1[[#This Row],[Country]],Table55[Women''s Classification],"&gt;0")</f>
        <v>0</v>
      </c>
      <c r="KP32" s="6">
        <f>COUNTIFS(Table56[Country],Tabela1[[#This Row],[Country]],Table56[Mixed Classification],"&gt;0")</f>
        <v>0</v>
      </c>
      <c r="KQ32" s="6">
        <f>COUNTIFS(Table29[Country],Tabela1[[#This Row],[Country]],Table29[58kg Classification],"&gt;0")</f>
        <v>0</v>
      </c>
      <c r="KR32" s="6">
        <f>COUNTIFS(Table29[Country],Tabela1[[#This Row],[Country]],Table29[68kg Classification],"&gt;0")</f>
        <v>0</v>
      </c>
      <c r="KS32" s="6">
        <f>COUNTIFS(Table29[Country],Tabela1[[#This Row],[Country]],Table29[80kg Classification],"&gt;0")</f>
        <v>0</v>
      </c>
      <c r="KT32" s="6">
        <f>COUNTIFS(Table29[Country],Tabela1[[#This Row],[Country]],Table29[Plus 80kg Classification],"&gt;0")</f>
        <v>1</v>
      </c>
      <c r="KU32" s="6">
        <f>COUNTIFS(Table34[Country],Tabela1[[#This Row],[Country]],Table34[49kg Classification],"&gt;0")</f>
        <v>0</v>
      </c>
      <c r="KV32" s="6">
        <f>COUNTIFS(Table34[Country],Tabela1[[#This Row],[Country]],Table34[57kg Classification],"&gt;0")</f>
        <v>0</v>
      </c>
      <c r="KW32" s="6">
        <f>COUNTIFS(Table34[Country],Tabela1[[#This Row],[Country]],Table34[67kg Classification],"&gt;0")</f>
        <v>0</v>
      </c>
      <c r="KX32" s="6">
        <f>COUNTIFS(Table34[Country],Tabela1[[#This Row],[Country]],Table34[Plus 67kg Classification],"&gt;0")</f>
        <v>0</v>
      </c>
      <c r="KY32" s="6">
        <f>COUNTIFS(Table57[Country],Tabela1[[#This Row],[Country]],Table57[Classification],"&gt;0")</f>
        <v>0</v>
      </c>
      <c r="KZ32" s="6">
        <f>COUNTIFS(Table58[Country],Tabela1[[#This Row],[Country]],Table58[Classification],"&gt;0")</f>
        <v>0</v>
      </c>
      <c r="LA32" s="6">
        <f>COUNTIFS(Table79[Country],Tabela1[[#This Row],[Country]],Table79[Men''s Classification],"&gt;0")</f>
        <v>0</v>
      </c>
      <c r="LB32" s="6">
        <f>COUNTIFS(Table79[Country],Tabela1[[#This Row],[Country]],Table79[Women''s Classification],"&gt;0")</f>
        <v>0</v>
      </c>
      <c r="LC32" s="6">
        <f>COUNTIFS(Table79[Country],Tabela1[[#This Row],[Country]],Table79[Mixed Classification],"&gt;0")</f>
        <v>0</v>
      </c>
      <c r="LD32" s="6">
        <f>COUNTIFS(Table65[Country],Tabela1[[#This Row],[Country]],Table65[Classification],"&gt;0")</f>
        <v>1</v>
      </c>
      <c r="LE32" s="6">
        <f>COUNTIFS(Table59[Country],Tabela1[[#This Row],[Country]],Table59[Classification],"&gt;0")</f>
        <v>0</v>
      </c>
      <c r="LF32" s="6">
        <f>COUNTIFS(Table87[Country],Tabela1[[#This Row],[Country]],Table87[Mixed Relay Classification],"&gt;0")</f>
        <v>1</v>
      </c>
      <c r="LG32" s="6">
        <f>COUNTIFS(Table91949698100[Country],Tabela1[[#This Row],[Country]],Table91949698100[Men''s Classification],"&gt;0")</f>
        <v>0</v>
      </c>
      <c r="LH32" s="6">
        <f>COUNTIFS(Table91949698100[Country],Tabela1[[#This Row],[Country]],Table91949698100[Women''s Classification],"&gt;0")</f>
        <v>0</v>
      </c>
      <c r="LI32" s="6">
        <f>COUNTIFS(Table91949698100102[Country],Tabela1[[#This Row],[Country]],Table91949698100102[Men''s Classification],"&gt;0")</f>
        <v>0</v>
      </c>
      <c r="LJ32" s="6">
        <f>COUNTIFS(Table91949698100102[Country],Tabela1[[#This Row],[Country]],Table91949698100102[Women''s Classification],"&gt;0")</f>
        <v>0</v>
      </c>
      <c r="LK32" s="6">
        <f>COUNTIFS(Table23[Country],Tabela1[[#This Row],[Country]],Table23[61kg Classification],"&gt;0")</f>
        <v>0</v>
      </c>
      <c r="LL32" s="6">
        <f>COUNTIFS(Table23[Country],Tabela1[[#This Row],[Country]],Table23[73kg Classification],"&gt;0")</f>
        <v>0</v>
      </c>
      <c r="LM32" s="6">
        <f>COUNTIFS(Table23[Country],Tabela1[[#This Row],[Country]],Table23[89kg Classification],"&gt;0")</f>
        <v>0</v>
      </c>
      <c r="LN32" s="6">
        <f>COUNTIFS(Table23[Country],Tabela1[[#This Row],[Country]],Table23[102kg Classification],"&gt;0")</f>
        <v>0</v>
      </c>
      <c r="LO32" s="6">
        <f>COUNTIFS(Table23[Country],Tabela1[[#This Row],[Country]],Table23[Plus 102kg Classification],"&gt;0")</f>
        <v>0</v>
      </c>
      <c r="LP32" s="6">
        <f>COUNTIFS(Table28[Country],Tabela1[[#This Row],[Country]],Table28[49kg Classification],"&gt;0")</f>
        <v>0</v>
      </c>
      <c r="LQ32" s="6">
        <f>COUNTIFS(Table28[Country],Tabela1[[#This Row],[Country]],Table28[59kg Classification],"&gt;0")</f>
        <v>0</v>
      </c>
      <c r="LR32" s="6">
        <f>COUNTIFS(Table28[Country],Tabela1[[#This Row],[Country]],Table28[71kg Classification],"&gt;0")</f>
        <v>0</v>
      </c>
      <c r="LS32" s="6">
        <f>COUNTIFS(Table28[Country],Tabela1[[#This Row],[Country]],Table28[81kg Classification],"&gt;0")</f>
        <v>0</v>
      </c>
      <c r="LT32" s="6">
        <f>COUNTIFS(Table28[Country],Tabela1[[#This Row],[Country]],Table28[Plus 81kg Classification],"&gt;0")</f>
        <v>0</v>
      </c>
      <c r="LU32" s="6">
        <f>COUNTIFS(Table24[Country],Tabela1[[#This Row],[Country]],Table24[Freestyle 57kg Classification],"&gt;0")</f>
        <v>0</v>
      </c>
      <c r="LV32" s="6">
        <f>COUNTIFS(Table24[Country],Tabela1[[#This Row],[Country]],Table24[Freestyle 65kg Classification],"&gt;0")</f>
        <v>0</v>
      </c>
      <c r="LW32" s="6">
        <f>COUNTIFS(Table24[Country],Tabela1[[#This Row],[Country]],Table24[Freestyle 74kg Classification],"&gt;0")</f>
        <v>0</v>
      </c>
      <c r="LX32" s="6">
        <f>COUNTIFS(Table24[Country],Tabela1[[#This Row],[Country]],Table24[Freestyle 86kg Classification],"&gt;0")</f>
        <v>0</v>
      </c>
      <c r="LY32" s="6">
        <f>COUNTIFS(Table24[Country],Tabela1[[#This Row],[Country]],Table24[Freestyle 97kg Classification],"&gt;0")</f>
        <v>0</v>
      </c>
      <c r="LZ32" s="6">
        <f>COUNTIFS(Table24[Country],Tabela1[[#This Row],[Country]],Table24[Freestyle 125kg Classification],"&gt;0")</f>
        <v>0</v>
      </c>
      <c r="MA32" s="6">
        <f>COUNTIFS(Table24[Country],Tabela1[[#This Row],[Country]],Table24[Greco-Roman 60kg Classification],"&gt;0")</f>
        <v>0</v>
      </c>
      <c r="MB32" s="6">
        <f>COUNTIFS(Table24[Country],Tabela1[[#This Row],[Country]],Table24[Greco-Roman 67kg Classification],"&gt;0")</f>
        <v>0</v>
      </c>
      <c r="MC32" s="6">
        <f>COUNTIFS(Table24[Country],Tabela1[[#This Row],[Country]],Table24[Greco-Roman 77kg Classification],"&gt;0")</f>
        <v>0</v>
      </c>
      <c r="MD32" s="6">
        <f>COUNTIFS(Table24[Country],Tabela1[[#This Row],[Country]],Table24[Greco-Roman 87kg Classification],"&gt;0")</f>
        <v>0</v>
      </c>
      <c r="ME32" s="6">
        <f>COUNTIFS(Table24[Country],Tabela1[[#This Row],[Country]],Table24[Greco-Roman 97kg Classification],"&gt;0")</f>
        <v>0</v>
      </c>
      <c r="MF32" s="6">
        <f>COUNTIFS(Table24[Country],Tabela1[[#This Row],[Country]],Table24[Greco-Roman 130kg Classification],"&gt;0")</f>
        <v>0</v>
      </c>
      <c r="MG32" s="6">
        <f>COUNTIFS(Table31[Country],Tabela1[[#This Row],[Country]],Table31[50kg Classification],"&gt;0")</f>
        <v>0</v>
      </c>
      <c r="MH32" s="6">
        <f>COUNTIFS(Table31[Country],Tabela1[[#This Row],[Country]],Table31[53kg Classification],"&gt;0")</f>
        <v>0</v>
      </c>
      <c r="MI32" s="6">
        <f>COUNTIFS(Table31[Country],Tabela1[[#This Row],[Country]],Table31[57kg Classification],"&gt;0")</f>
        <v>0</v>
      </c>
      <c r="MJ32" s="6">
        <f>COUNTIFS(Table31[Country],Tabela1[[#This Row],[Country]],Table31[62kg Classification],"&gt;0")</f>
        <v>0</v>
      </c>
      <c r="MK32" s="6">
        <f>COUNTIFS(Table31[Country],Tabela1[[#This Row],[Country]],Table31[68kg Classification],"&gt;0")</f>
        <v>0</v>
      </c>
      <c r="ML32" s="6">
        <f>COUNTIFS(Table31[Country],Tabela1[[#This Row],[Country]],Table31[76kg Classification],"&gt;0")</f>
        <v>0</v>
      </c>
      <c r="MM32" s="6">
        <f>COUNTIFS(Table102[Country],Tabela1[[#This Row],[Country]],Table102[Downhill Classification],"&gt;0")</f>
        <v>0</v>
      </c>
      <c r="MN32" s="6">
        <f>COUNTIFS(Table102105[Country],Tabela1[[#This Row],[Country]],Table102105[Downhill Classification],"&gt;0")</f>
        <v>0</v>
      </c>
      <c r="MO32" s="6">
        <f>COUNTIFS(Table102[Country],Tabela1[[#This Row],[Country]],Table102[Giant Slalom Classification],"&gt;0")</f>
        <v>1</v>
      </c>
      <c r="MP32" s="6">
        <f>COUNTIFS(Table102105[Country],Tabela1[[#This Row],[Country]],Table102105[Giant Slalom Classification],"&gt;0")</f>
        <v>1</v>
      </c>
      <c r="MQ32" s="6">
        <f>COUNTIFS(Table102[Country],Tabela1[[#This Row],[Country]],Table102[Slalom Classification],"&gt;0")</f>
        <v>1</v>
      </c>
      <c r="MR32" s="6">
        <f>COUNTIFS(Table102105[Country],Tabela1[[#This Row],[Country]],Table102105[Slalom Classification],"&gt;0")</f>
        <v>0</v>
      </c>
      <c r="MS32" s="6">
        <f>COUNTIFS(Table102[Country],Tabela1[[#This Row],[Country]],Table102[Super-G Classification],"&gt;0")</f>
        <v>0</v>
      </c>
      <c r="MT32" s="6">
        <f>COUNTIFS(Table102105[Country],Tabela1[[#This Row],[Country]],Table102105[Super-G Classification],"&gt;0")</f>
        <v>1</v>
      </c>
      <c r="MU32" s="6">
        <f>COUNTIFS(Table105[Country],Tabela1[[#This Row],[Country]],Table105[Men''s Combined Classification],"&gt;0")</f>
        <v>0</v>
      </c>
      <c r="MV32" s="6">
        <f>COUNTIFS(Table105[Country],Tabela1[[#This Row],[Country]],Table105[Women''s Combined Classification],"&gt;0")</f>
        <v>0</v>
      </c>
      <c r="MW32" s="6">
        <f>COUNTIFS(Table106[Country],Tabela1[[#This Row],[Country]],Table106[Individual Classification],"&gt;0")</f>
        <v>0</v>
      </c>
      <c r="MX32" s="6">
        <f>COUNTIFS(Table106109[Country],Tabela1[[#This Row],[Country]],Table106109[Individual Classification],"&gt;0")</f>
        <v>0</v>
      </c>
      <c r="MY32" s="6">
        <f>COUNTIFS(Table106[Country],Tabela1[[#This Row],[Country]],Table106[Mass Start Classification],"&gt;0")</f>
        <v>0</v>
      </c>
      <c r="MZ32" s="6">
        <f>COUNTIFS(Table106109[Country],Tabela1[[#This Row],[Country]],Table106109[Mass Start Classification],"&gt;0")</f>
        <v>0</v>
      </c>
      <c r="NA32" s="6">
        <f>COUNTIFS(Table106[Country],Tabela1[[#This Row],[Country]],Table106[Pursuit Classification],"&gt;0")</f>
        <v>0</v>
      </c>
      <c r="NB32" s="6">
        <f>COUNTIFS(Table106109[Country],Tabela1[[#This Row],[Country]],Table106109[Pursuit Classification],"&gt;0")</f>
        <v>0</v>
      </c>
      <c r="NC32" s="6">
        <f>COUNTIFS(Table106[Country],Tabela1[[#This Row],[Country]],Table106[Sprint Classification],"&gt;0")</f>
        <v>0</v>
      </c>
      <c r="ND32" s="6">
        <f>COUNTIFS(Table106109[Country],Tabela1[[#This Row],[Country]],Table106109[Sprint Classification],"&gt;0")</f>
        <v>0</v>
      </c>
      <c r="NE32" s="6">
        <f>COUNTIFS(Table109[Country],Tabela1[[#This Row],[Country]],Table109[Men''s Relay Classification],"&gt;0")</f>
        <v>0</v>
      </c>
      <c r="NF32" s="6">
        <f>COUNTIFS(Table109[Country],Tabela1[[#This Row],[Country]],Table109[Women''s Relay Classification],"&gt;0")</f>
        <v>0</v>
      </c>
      <c r="NG32" s="6">
        <f>COUNTIFS(Table109[Country],Tabela1[[#This Row],[Country]],Table109[Mixed Relay Classification],"&gt;0")</f>
        <v>0</v>
      </c>
      <c r="NH32" s="6">
        <f>COUNTIFS(Table110[Country],Tabela1[[#This Row],[Country]],Table110[Monobob Classification],"&gt;0")</f>
        <v>0</v>
      </c>
      <c r="NI32" s="6">
        <f>COUNTIFS(Table111[Country],Tabela1[[#This Row],[Country]],Table111[Men''s Classification],"&gt;0")</f>
        <v>0</v>
      </c>
      <c r="NJ32" s="6">
        <f>COUNTIFS(Table111[Country],Tabela1[[#This Row],[Country]],Table111[Women''s Classification],"&gt;0")</f>
        <v>0</v>
      </c>
      <c r="NK32" s="6">
        <f>COUNTIFS(Table112[Country],Tabela1[[#This Row],[Country]],Table112[Men''s Four Classification],"&gt;0")</f>
        <v>0</v>
      </c>
      <c r="NL32" s="6">
        <f>COUNTIFS(Table113[Country],Tabela1[[#This Row],[Country]],Table113[Classical Classification],"&gt;0")</f>
        <v>0</v>
      </c>
      <c r="NM32" s="6">
        <f>COUNTIFS(Table113116[Country],Tabela1[[#This Row],[Country]],Table113116[Classical Classification],"&gt;0")</f>
        <v>0</v>
      </c>
      <c r="NN32" s="6">
        <f>COUNTIFS(Table113[Country],Tabela1[[#This Row],[Country]],Table113[Freestyle Classification],"&gt;0")</f>
        <v>0</v>
      </c>
      <c r="NO32" s="6">
        <f>COUNTIFS(Table113116[Country],Tabela1[[#This Row],[Country]],Table113116[Freestyle Classification],"&gt;0")</f>
        <v>0</v>
      </c>
      <c r="NP32" s="6">
        <f>COUNTIFS(Table117[Country],Tabela1[[#This Row],[Country]],Table117[Men''s Relay Classification],"&gt;0")</f>
        <v>0</v>
      </c>
      <c r="NQ32" s="6">
        <f>COUNTIFS(Table117[Country],Tabela1[[#This Row],[Country]],Table117[Women''s Relay Classification],"&gt;0")</f>
        <v>0</v>
      </c>
      <c r="NR32" s="6">
        <f>COUNTIFS(Table113[Country],Tabela1[[#This Row],[Country]],Table113[Skiathlon Classification],"&gt;0")</f>
        <v>0</v>
      </c>
      <c r="NS32" s="6">
        <f>COUNTIFS(Table113116[Country],Tabela1[[#This Row],[Country]],Table113116[Skiathlon Classification],"&gt;0")</f>
        <v>0</v>
      </c>
      <c r="NT32" s="6">
        <f>COUNTIFS(Table113[Country],Tabela1[[#This Row],[Country]],Table113[Sprint Classification],"&gt;0")</f>
        <v>0</v>
      </c>
      <c r="NU32" s="6">
        <f>COUNTIFS(Table113116[Country],Tabela1[[#This Row],[Country]],Table113116[Sprint Classification],"&gt;0")</f>
        <v>0</v>
      </c>
      <c r="NV32" s="6">
        <f>COUNTIFS(Table116[Country],Tabela1[[#This Row],[Country]],Table116[Men''s Team Sprint Classification],"&gt;0")</f>
        <v>0</v>
      </c>
      <c r="NW32" s="6">
        <f>COUNTIFS(Table116[Country],Tabela1[[#This Row],[Country]],Table116[Women''s Team Sprint Classification],"&gt;0")</f>
        <v>0</v>
      </c>
      <c r="NX32" s="6">
        <f>COUNTIFS(Table119[Country],Tabela1[[#This Row],[Country]],Table119[Men''s Classification],"&gt;0")</f>
        <v>0</v>
      </c>
      <c r="NY32" s="6">
        <f>COUNTIFS(Table119[Country],Tabela1[[#This Row],[Country]],Table119[Women''s Classification],"&gt;0")</f>
        <v>0</v>
      </c>
      <c r="NZ32" s="6">
        <f>COUNTIFS(Table118[Country],Tabela1[[#This Row],[Country]],Table118[Mixed Classification],"&gt;0")</f>
        <v>0</v>
      </c>
      <c r="OA32" s="6">
        <f>COUNTIFS(Table120[Country],Tabela1[[#This Row],[Country]],Table120[Classification],"&gt;0")</f>
        <v>0</v>
      </c>
      <c r="OB32" s="6">
        <f>COUNTIFS(Table120123[Country],Tabela1[[#This Row],[Country]],Table120123[Classification],"&gt;0")</f>
        <v>0</v>
      </c>
      <c r="OC32" s="6">
        <f>COUNTIFS(Table123[Country],Tabela1[[#This Row],[Country]],Table123[Ice Dance Classification],"&gt;0")</f>
        <v>0</v>
      </c>
      <c r="OD32" s="6">
        <f>COUNTIFS(Table123[Country],Tabela1[[#This Row],[Country]],Table123[Pair Skating Classification],"&gt;0")</f>
        <v>0</v>
      </c>
      <c r="OE32" s="6">
        <f>COUNTIFS(Table124[Country],Tabela1[[#This Row],[Country]],Table124[Mixed Classification],"&gt;0")</f>
        <v>0</v>
      </c>
      <c r="OF32" s="6">
        <f>COUNTIFS(Table125[Country],Tabela1[[#This Row],[Country]],Table125[Aerials Classification],"&gt;0")</f>
        <v>0</v>
      </c>
      <c r="OG32" s="6">
        <f>COUNTIFS(Table125128[Country],Tabela1[[#This Row],[Country]],Table125128[Aerials Classification],"&gt;0")</f>
        <v>0</v>
      </c>
      <c r="OH32" s="6">
        <f>COUNTIFS(Table128[Country],Tabela1[[#This Row],[Country]],Table128[Mixed Aerials Classification],"&gt;0")</f>
        <v>0</v>
      </c>
      <c r="OI32" s="6">
        <f>COUNTIFS(Table125[Country],Tabela1[[#This Row],[Country]],Table125[Big Air Classification],"&gt;0")</f>
        <v>0</v>
      </c>
      <c r="OJ32" s="6">
        <f>COUNTIFS(Table125128[Country],Tabela1[[#This Row],[Country]],Table125128[Big Air Classification],"&gt;0")</f>
        <v>0</v>
      </c>
      <c r="OK32" s="6">
        <f>COUNTIFS(Table125[Country],Tabela1[[#This Row],[Country]],Table125[Dual Moguls Classification],"&gt;0")</f>
        <v>0</v>
      </c>
      <c r="OL32" s="6">
        <f>COUNTIFS(Table125128[Country],Tabela1[[#This Row],[Country]],Table125128[Dual Moguls Classification],"&gt;0")</f>
        <v>0</v>
      </c>
      <c r="OM32" s="6">
        <f>COUNTIFS(Table125[Country],Tabela1[[#This Row],[Country]],Table125[Halfpipe Classification],"&gt;0")</f>
        <v>0</v>
      </c>
      <c r="ON32" s="6">
        <f>COUNTIFS(Table125128[Country],Tabela1[[#This Row],[Country]],Table125128[Halfpipe Classification],"&gt;0")</f>
        <v>0</v>
      </c>
      <c r="OO32" s="6">
        <f>COUNTIFS(Table125[Country],Tabela1[[#This Row],[Country]],Table125[Moguls Classification],"&gt;0")</f>
        <v>0</v>
      </c>
      <c r="OP32" s="6">
        <f>COUNTIFS(Table125128[Country],Tabela1[[#This Row],[Country]],Table125128[Moguls Classification],"&gt;0")</f>
        <v>0</v>
      </c>
      <c r="OQ32" s="6">
        <f>COUNTIFS(Table125[Country],Tabela1[[#This Row],[Country]],Table125[Ski Cross Classification],"&gt;0")</f>
        <v>0</v>
      </c>
      <c r="OR32" s="6">
        <f>COUNTIFS(Table125128[Country],Tabela1[[#This Row],[Country]],Table125128[Ski Cross Classification],"&gt;0")</f>
        <v>0</v>
      </c>
      <c r="OS32" s="6">
        <f>COUNTIFS(Table125[Country],Tabela1[[#This Row],[Country]],Table125[Slopestyle Classification],"&gt;0")</f>
        <v>0</v>
      </c>
      <c r="OT32" s="6">
        <f>COUNTIFS(Table125128[Country],Tabela1[[#This Row],[Country]],Table125128[Slopestyle Classification],"&gt;0")</f>
        <v>0</v>
      </c>
      <c r="OU32" s="6">
        <f>COUNTIFS(Table119131[Country],Tabela1[[#This Row],[Country]],Table119131[Men''s Classification],"&gt;0")</f>
        <v>0</v>
      </c>
      <c r="OV32" s="6">
        <f>COUNTIFS(Table119131[Country],Tabela1[[#This Row],[Country]],Table119131[Women''s Classification],"&gt;0")</f>
        <v>0</v>
      </c>
      <c r="OW32" s="6">
        <f>COUNTIFS(Table131[Country],Tabela1[[#This Row],[Country]],Table131[Classification],"&gt;0")</f>
        <v>0</v>
      </c>
      <c r="OX32" s="6">
        <f>COUNTIFS(Table131134[Country],Tabela1[[#This Row],[Country]],Table131134[Classification],"&gt;0")</f>
        <v>0</v>
      </c>
      <c r="OY32" s="6">
        <f>COUNTIFS(Table134[Country],Tabela1[[#This Row],[Country]],Table134[Men''s Classification],"&gt;0")</f>
        <v>0</v>
      </c>
      <c r="OZ32" s="6">
        <f>COUNTIFS(Table134[Country],Tabela1[[#This Row],[Country]],Table134[Women''s Classification],"&gt;0")</f>
        <v>0</v>
      </c>
      <c r="PA32" s="6">
        <f>COUNTIFS(Table135[Country],Tabela1[[#This Row],[Country]],Table135[Mixed Relay Classification],"&gt;0")</f>
        <v>0</v>
      </c>
      <c r="PB32" s="6">
        <f>COUNTIFS(Table136[Country],Tabela1[[#This Row],[Country]],Table136[Individual Classification],"&gt;0")</f>
        <v>0</v>
      </c>
      <c r="PC32" s="6">
        <f>COUNTIFS(Table136[Country],Tabela1[[#This Row],[Country]],Table136[Sprint Classification],"&gt;0")</f>
        <v>0</v>
      </c>
      <c r="PD32" s="6">
        <f>COUNTIFS(Table137[Country],Tabela1[[#This Row],[Country]],Table137[Men''s Team Sprint Large Hill Classification],"&gt;0")</f>
        <v>0</v>
      </c>
      <c r="PE32" s="6">
        <f>COUNTIFS(Table138[Country],Tabela1[[#This Row],[Country]],Table138[500m Classification],"&gt;0")</f>
        <v>0</v>
      </c>
      <c r="PF32" s="6">
        <f>COUNTIFS(Table138141[Country],Tabela1[[#This Row],[Country]],Table138141[500m Classification],"&gt;0")</f>
        <v>0</v>
      </c>
      <c r="PG32" s="6">
        <f>COUNTIFS(Table138[Country],Tabela1[[#This Row],[Country]],Table138[1000m Classification],"&gt;0")</f>
        <v>0</v>
      </c>
      <c r="PH32" s="6">
        <f>COUNTIFS(Table138141[Country],Tabela1[[#This Row],[Country]],Table138141[1000m Classification],"&gt;0")</f>
        <v>0</v>
      </c>
      <c r="PI32" s="6">
        <f>COUNTIFS(Table138[Country],Tabela1[[#This Row],[Country]],Table138[1500m Classification],"&gt;0")</f>
        <v>0</v>
      </c>
      <c r="PJ32" s="6">
        <f>COUNTIFS(Table138141[Country],Tabela1[[#This Row],[Country]],Table138141[1500m Classification],"&gt;0")</f>
        <v>0</v>
      </c>
      <c r="PK32" s="6">
        <f>COUNTIFS(Table141[Country],Tabela1[[#This Row],[Country]],Table141[Men''s 5000m Relay Classification],"&gt;0")</f>
        <v>0</v>
      </c>
      <c r="PL32" s="6">
        <f>COUNTIFS(Table141[Country],Tabela1[[#This Row],[Country]],Table141[Women''s 3000m Relay Classification],"&gt;0")</f>
        <v>0</v>
      </c>
      <c r="PM32" s="6">
        <f>COUNTIFS(Table141[Country],Tabela1[[#This Row],[Country]],Table141[Mixed 2000m Relay Classification],"&gt;0")</f>
        <v>0</v>
      </c>
      <c r="PN32" s="6">
        <f>COUNTIFS(Table142[Country],Tabela1[[#This Row],[Country]],Table142[Classification],"&gt;0")</f>
        <v>0</v>
      </c>
      <c r="PO32" s="6">
        <f>COUNTIFS(Table142145[Country],Tabela1[[#This Row],[Country]],Table142145[Classification],"&gt;0")</f>
        <v>0</v>
      </c>
      <c r="PP32" s="6">
        <f>COUNTIFS(Tabela15[Country],Tabela1[[#This Row],[Country]],Tabela15[Mixed Team Classification],"&gt;0")</f>
        <v>0</v>
      </c>
      <c r="PQ32" s="6">
        <f>COUNTIFS(Table145[Country],Tabela1[[#This Row],[Country]],Table145[Large Hill Classification],"&gt;0")</f>
        <v>0</v>
      </c>
      <c r="PR32" s="6">
        <f>COUNTIFS(Table145[Country],Tabela1[[#This Row],[Country]],Table145[Normal Hill Classification],"&gt;0")</f>
        <v>0</v>
      </c>
      <c r="PS32" s="6">
        <f>COUNTIFS(Table145148[Country],Tabela1[[#This Row],[Country]],Table145148[Large Hill Classification],"&gt;0")</f>
        <v>0</v>
      </c>
      <c r="PT32" s="6">
        <f>COUNTIFS(Table145148[Country],Tabela1[[#This Row],[Country]],Table145148[Normal Hill Classification],"&gt;0")</f>
        <v>0</v>
      </c>
      <c r="PU32" s="6">
        <f>COUNTIFS(Table148[Country],Tabela1[[#This Row],[Country]],Table148[Men''s Super Team Classification],"&gt;0")</f>
        <v>0</v>
      </c>
      <c r="PV32" s="6">
        <f>COUNTIFS(Tabela114[Country],Tabela1[[#This Row],[Country]],Tabela114[Mixed Normal Hill Classification],"&gt;0")</f>
        <v>0</v>
      </c>
      <c r="PW32" s="6">
        <f>COUNTIFS(Tabela50[Country],Tabela1[[#This Row],[Country]],Tabela50[Sprint Classification],"&gt;0")</f>
        <v>0</v>
      </c>
      <c r="PX32" s="6">
        <f>COUNTIFS(Tabela50101[Country],Tabela1[[#This Row],[Country]],Tabela50101[Sprint Classification],"&gt;0")</f>
        <v>0</v>
      </c>
      <c r="PY32" s="6">
        <f>COUNTIFS(Tabela103[Country],Tabela1[[#This Row],[Country]],Tabela103[Mixed Relay Classification],"&gt;0")</f>
        <v>0</v>
      </c>
      <c r="PZ32" s="6">
        <f>COUNTIFS(Table149[Country],Tabela1[[#This Row],[Country]],Table149[Big Air Classification],"&gt;0")</f>
        <v>0</v>
      </c>
      <c r="QA32" s="6">
        <f>COUNTIFS(Table149152[Country],Tabela1[[#This Row],[Country]],Table149152[Big Air Classification],"&gt;0")</f>
        <v>0</v>
      </c>
      <c r="QB32" s="6">
        <f>COUNTIFS(Table149[Country],Tabela1[[#This Row],[Country]],Table149[Halfpipe Classification],"&gt;0")</f>
        <v>0</v>
      </c>
      <c r="QC32" s="6">
        <f>COUNTIFS(Table149152[Country],Tabela1[[#This Row],[Country]],Table149152[Halfpipe Classification],"&gt;0")</f>
        <v>0</v>
      </c>
      <c r="QD32" s="6">
        <f>COUNTIFS(Table149[Country],Tabela1[[#This Row],[Country]],Table149[Parallel Giant Slalom Classification],"&gt;0")</f>
        <v>0</v>
      </c>
      <c r="QE32" s="6">
        <f>COUNTIFS(Table149152[Country],Tabela1[[#This Row],[Country]],Table149152[Parallel Giant Slalom Classification],"&gt;0")</f>
        <v>0</v>
      </c>
      <c r="QF32" s="6">
        <f>COUNTIFS(Table149[Country],Tabela1[[#This Row],[Country]],Table149[Slopestyle Classification],"&gt;0")</f>
        <v>0</v>
      </c>
      <c r="QG32" s="6">
        <f>COUNTIFS(Table149152[Country],Tabela1[[#This Row],[Country]],Table149152[Slopestyle Classification],"&gt;0")</f>
        <v>0</v>
      </c>
      <c r="QH32" s="6">
        <f>COUNTIFS(Table149[Country],Tabela1[[#This Row],[Country]],Table149[Snowboard Cross Classification],"&gt;0")</f>
        <v>0</v>
      </c>
      <c r="QI32" s="6">
        <f>COUNTIFS(Table149152[Country],Tabela1[[#This Row],[Country]],Table149152[Snowboard Cross Classification],"&gt;0")</f>
        <v>0</v>
      </c>
      <c r="QJ32" s="6">
        <f>COUNTIFS(Table153[Country],Tabela1[[#This Row],[Country]],Table153[Mixed Team Snowboard Cross Classification],"&gt;0")</f>
        <v>0</v>
      </c>
      <c r="QK32" s="6">
        <f>COUNTIFS(Table154[Country],Tabela1[[#This Row],[Country]],Table154[500m Classification],"&gt;0")</f>
        <v>0</v>
      </c>
      <c r="QL32" s="6">
        <f>COUNTIFS(Table154157[Country],Tabela1[[#This Row],[Country]],Table154157[500m Classification],"&gt;0")</f>
        <v>0</v>
      </c>
      <c r="QM32" s="6">
        <f>COUNTIFS(Table154[Country],Tabela1[[#This Row],[Country]],Table154[1000m Classification],"&gt;0")</f>
        <v>0</v>
      </c>
      <c r="QN32" s="6">
        <f>COUNTIFS(Table154157[Country],Tabela1[[#This Row],[Country]],Table154157[1000m Classification],"&gt;0")</f>
        <v>0</v>
      </c>
      <c r="QO32" s="6">
        <f>COUNTIFS(Table154[Country],Tabela1[[#This Row],[Country]],Table154[1500m Classification],"&gt;0")</f>
        <v>0</v>
      </c>
      <c r="QP32" s="6">
        <f>COUNTIFS(Table154157[Country],Tabela1[[#This Row],[Country]],Table154157[1500m Classification],"&gt;0")</f>
        <v>0</v>
      </c>
      <c r="QQ32" s="6">
        <f>COUNTIFS(Table154157[Country],Tabela1[[#This Row],[Country]],Table154157[3000m Classification],"&gt;0")</f>
        <v>0</v>
      </c>
      <c r="QR32" s="6">
        <f>COUNTIFS(Table154[Country],Tabela1[[#This Row],[Country]],Table154[5000m Classification],"&gt;0")</f>
        <v>0</v>
      </c>
      <c r="QS32" s="6">
        <f>COUNTIFS(Table154157[Country],Tabela1[[#This Row],[Country]],Table154157[5000m Classification],"&gt;0")</f>
        <v>0</v>
      </c>
      <c r="QT32" s="6">
        <f>COUNTIFS(Table154[Country],Tabela1[[#This Row],[Country]],Table154[10000m Classification],"&gt;0")</f>
        <v>0</v>
      </c>
      <c r="QU32" s="6">
        <f>COUNTIFS(Table154[Country],Tabela1[[#This Row],[Country]],Table154[Mass Start Classification],"&gt;0")</f>
        <v>0</v>
      </c>
      <c r="QV32" s="6">
        <f>COUNTIFS(Table154157[Country],Tabela1[[#This Row],[Country]],Table154157[Mass Start Classification],"&gt;0")</f>
        <v>0</v>
      </c>
      <c r="QW32" s="6">
        <f>COUNTIFS(Table157[Country],Tabela1[[#This Row],[Country]],Table157[Men''s Pursuit Classification],"&gt;0")</f>
        <v>0</v>
      </c>
      <c r="QX32" s="6">
        <f>COUNTIFS(Table157[Country],Tabela1[[#This Row],[Country]],Table157[Women''s Pursuit Classification],"&gt;0")</f>
        <v>0</v>
      </c>
      <c r="QY32" s="3" t="s">
        <v>351</v>
      </c>
    </row>
    <row r="33" spans="1:467" x14ac:dyDescent="0.3">
      <c r="A33" s="6">
        <v>32</v>
      </c>
      <c r="B33" s="6" t="s">
        <v>598</v>
      </c>
      <c r="C33" t="e" vm="32">
        <f>IF(ISBLANK(Tabela1[[#This Row],[Image Link]]), "", _xlfn.IMAGE(Tabela1[[#This Row],[Image Link]],1,1))</f>
        <v>#VALUE!</v>
      </c>
      <c r="D33" s="6">
        <f>SUM(Tabela1[[#This Row],[Archery - Men''s Individual Recurve]:[Speed Skating - Women''s Team Pursuit]])</f>
        <v>42</v>
      </c>
      <c r="E33" s="6">
        <f>COUNTIF(Tabela1[[#This Row],[Archery - Men''s Individual Recurve]:[Speed Skating - Women''s Team Pursuit]],"&gt;0")</f>
        <v>41</v>
      </c>
      <c r="F33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33" s="6">
        <f>SUM(Tabela1[[#This Row],[Archery - Men''s Individual Recurve]:[Wrestling - Women''s Freestyle 76kg]])</f>
        <v>39</v>
      </c>
      <c r="H33" s="6">
        <f>SUM(Tabela1[[#This Row],[Alpine Skiing - Men''s Downhill]:[Speed Skating - Women''s Team Pursuit]])</f>
        <v>3</v>
      </c>
      <c r="I33" s="6">
        <f>Tabela1[[#This Row],[Summer Gold Medals]]+Tabela1[[#This Row],[Winter Gold Medals]]</f>
        <v>1</v>
      </c>
      <c r="J33" s="6">
        <f>Tabela1[[#This Row],[Summer Silver Medals]]+Tabela1[[#This Row],[Winter Silver Medals]]</f>
        <v>5</v>
      </c>
      <c r="K33" s="6">
        <f>Tabela1[[#This Row],[Summer Bronze Medals]]+Tabela1[[#This Row],[Winter Bronze Medals]]</f>
        <v>1</v>
      </c>
      <c r="L33" s="6">
        <f>SUM(Tabela1[[#This Row],[Total Gold Medals]:[Total Bronze Medals]])</f>
        <v>7</v>
      </c>
      <c r="M33" s="6">
        <v>1</v>
      </c>
      <c r="N33" s="6">
        <v>5</v>
      </c>
      <c r="O33" s="6">
        <v>1</v>
      </c>
      <c r="P33" s="6">
        <f>SUM(Tabela1[[#This Row],[Summer Gold Medals]:[Summer Bronze Medals]])</f>
        <v>7</v>
      </c>
      <c r="Q33" s="6"/>
      <c r="R33" s="6"/>
      <c r="S33" s="6"/>
      <c r="T33" s="6">
        <f>Tabela1[[#This Row],[Winter Gold Medals]]+Tabela1[[#This Row],[Winter Silver Medals]]+Tabela1[[#This Row],[Winter Bronze Medals]]</f>
        <v>0</v>
      </c>
      <c r="U33" s="7">
        <f>Tabela1[[#This Row],[Total Medals]]/Tabela1[[#This Row],[Total Quotas]]</f>
        <v>0.16666666666666666</v>
      </c>
      <c r="V33" s="6">
        <f>COUNTIFS(Table3[Country],Tabela1[[#This Row],[Country]],Table3[Recurve Classification],"&gt;0")</f>
        <v>0</v>
      </c>
      <c r="W33" s="6">
        <f>COUNTIFS(Table33[Country],Tabela1[[#This Row],[Country]],Table33[Recurve Classification],"&gt;0")</f>
        <v>1</v>
      </c>
      <c r="X33" s="6">
        <f>COUNTIFS(Table35[Country],Tabela1[[#This Row],[Country]],Table35[Men''s Team Recurve Classification],"&gt;0")</f>
        <v>0</v>
      </c>
      <c r="Y33" s="6">
        <f>COUNTIFS(Table35[Country],Tabela1[[#This Row],[Country]],Table35[Women''s Team Recurve Classification],"&gt;0")</f>
        <v>0</v>
      </c>
      <c r="Z33" s="6">
        <f>COUNTIFS(Tabela88[Country],Tabela1[[#This Row],[Country]],Tabela88[Mixed Team Recurve Classification],"&gt;0")</f>
        <v>1</v>
      </c>
      <c r="AA33" s="6">
        <f>COUNTIFS(Table36[Country],Tabela1[[#This Row],[Country]],Table36[Classification],"&gt;0")</f>
        <v>0</v>
      </c>
      <c r="AB33" s="6">
        <f>COUNTIFS(Table37[Country],Tabela1[[#This Row],[Country]],Table37[Classification],"&gt;0")</f>
        <v>0</v>
      </c>
      <c r="AC33" s="6">
        <f>COUNTIFS(Table4[Country],Tabela1[[#This Row],[Country]],Table4[100m Classification],"&gt;0")</f>
        <v>0</v>
      </c>
      <c r="AD33" s="6">
        <f>COUNTIFS(Table5[Country],Tabela1[[#This Row],[Country]],Table5[100m Classification],"&gt;0")</f>
        <v>0</v>
      </c>
      <c r="AE33" s="6">
        <f>COUNTIFS(Table4[Country],Tabela1[[#This Row],[Country]],Table4[200m Classification],"&gt;0")</f>
        <v>1</v>
      </c>
      <c r="AF33" s="6">
        <f>COUNTIFS(Table5[Country],Tabela1[[#This Row],[Country]],Table5[200m Classification],"&gt;0")</f>
        <v>0</v>
      </c>
      <c r="AG33" s="6">
        <f>COUNTIFS(Table4[Country],Tabela1[[#This Row],[Country]],Table4[400m Classification],"&gt;0")</f>
        <v>0</v>
      </c>
      <c r="AH33" s="6">
        <f>COUNTIFS(Table5[Country],Tabela1[[#This Row],[Country]],Table5[400m Classification],"&gt;0")</f>
        <v>0</v>
      </c>
      <c r="AI33" s="6">
        <f>COUNTIFS(Table4[Country],Tabela1[[#This Row],[Country]],Table4[800m Classification],"&gt;0")</f>
        <v>0</v>
      </c>
      <c r="AJ33" s="6">
        <f>COUNTIFS(Table5[Country],Tabela1[[#This Row],[Country]],Table5[800m Classification],"&gt;0")</f>
        <v>0</v>
      </c>
      <c r="AK33" s="6">
        <f>COUNTIFS(Table4[Country],Tabela1[[#This Row],[Country]],Table4[1500m Classification],"&gt;0")</f>
        <v>0</v>
      </c>
      <c r="AL33" s="6">
        <f>COUNTIFS(Table5[Country],Tabela1[[#This Row],[Country]],Table5[1500m Classification],"&gt;0")</f>
        <v>0</v>
      </c>
      <c r="AM33" s="6">
        <f>COUNTIFS(Table4[Country],Tabela1[[#This Row],[Country]],Table4[5000m Classification],"&gt;0")</f>
        <v>0</v>
      </c>
      <c r="AN33" s="6">
        <f>COUNTIFS(Table5[Country],Tabela1[[#This Row],[Country]],Table5[5000m Classification],"&gt;0")</f>
        <v>0</v>
      </c>
      <c r="AO33" s="6">
        <f>COUNTIFS(Table4[Country],Tabela1[[#This Row],[Country]],Table4[10000m Classification],"&gt;0")</f>
        <v>0</v>
      </c>
      <c r="AP33" s="6">
        <f>COUNTIFS(Table5[Country],Tabela1[[#This Row],[Country]],Table5[10000m Classification],"&gt;0")</f>
        <v>0</v>
      </c>
      <c r="AQ33" s="6">
        <f>COUNTIFS(Table4[Country],Tabela1[[#This Row],[Country]],Table4[110m Hurdles Classification],"&gt;0")</f>
        <v>0</v>
      </c>
      <c r="AR33" s="6">
        <f>COUNTIFS(Table5[Country],Tabela1[[#This Row],[Country]],Table5[100m Hurdles Classification],"&gt;0")</f>
        <v>0</v>
      </c>
      <c r="AS33" s="6">
        <f>COUNTIFS(Table4[Country],Tabela1[[#This Row],[Country]],Table4[400m Hurdles Classification],"&gt;0")</f>
        <v>0</v>
      </c>
      <c r="AT33" s="6">
        <f>COUNTIFS(Table5[Country],Tabela1[[#This Row],[Country]],Table5[400m Hurdles Classification],"&gt;0")</f>
        <v>0</v>
      </c>
      <c r="AU33" s="6">
        <f>COUNTIFS(Table4[Country],Tabela1[[#This Row],[Country]],Table4[3000m Steeplechase Classification],"&gt;0")</f>
        <v>0</v>
      </c>
      <c r="AV33" s="6">
        <f>COUNTIFS(Table5[Country],Tabela1[[#This Row],[Country]],Table5[3000m Steeplechase Classification],"&gt;0")</f>
        <v>0</v>
      </c>
      <c r="AW33" s="6">
        <f>COUNTIFS(Table27[Country],Tabela1[[#This Row],[Country]],Table27[Men''s 4x100m Relay Classification],"&gt;0")</f>
        <v>0</v>
      </c>
      <c r="AX33" s="6">
        <f>COUNTIFS(Table27[Country],Tabela1[[#This Row],[Country]],Table27[Women''s 4x100m Relay Classification],"&gt;0")</f>
        <v>0</v>
      </c>
      <c r="AY33" s="6">
        <f>COUNTIFS(Table27[Country],Tabela1[[#This Row],[Country]],Table27[Men''s 4x400m Relay Classification],"&gt;0")</f>
        <v>0</v>
      </c>
      <c r="AZ33" s="6">
        <f>COUNTIFS(Table27[Country],Tabela1[[#This Row],[Country]],Table27[Women''s 4x400m Relay Classification],"&gt;0")</f>
        <v>0</v>
      </c>
      <c r="BA33" s="6">
        <f>COUNTIFS(Table27[Country],Tabela1[[#This Row],[Country]],Table27[Mixed 4x400m Relay Classification],"&gt;0")</f>
        <v>0</v>
      </c>
      <c r="BB33" s="6">
        <f>COUNTIFS(Table4[Country],Tabela1[[#This Row],[Country]],Table4[Marathon Classification],"&gt;0")</f>
        <v>1</v>
      </c>
      <c r="BC33" s="6">
        <f>COUNTIFS(Table5[Country],Tabela1[[#This Row],[Country]],Table5[Marathon Classification],"&gt;0")</f>
        <v>0</v>
      </c>
      <c r="BD33" s="6">
        <f>COUNTIFS(Table4[Country],Tabela1[[#This Row],[Country]],Table4[20km Race Walk Classification],"&gt;0")</f>
        <v>0</v>
      </c>
      <c r="BE33" s="6">
        <f>COUNTIFS(Table5[Country],Tabela1[[#This Row],[Country]],Table5[20km Race Walk Classification],"&gt;0")</f>
        <v>0</v>
      </c>
      <c r="BF33" s="6">
        <f>COUNTIFS(Tabela96[Country],Tabela1[[#This Row],[Country]],Tabela96[Mixed Marathon Race Walk Relay Classification],"&gt;0")</f>
        <v>0</v>
      </c>
      <c r="BG33" s="6">
        <f>COUNTIFS(Table4[Country],Tabela1[[#This Row],[Country]],Table4[Discus Throw Classification],"&gt;0")</f>
        <v>0</v>
      </c>
      <c r="BH33" s="6">
        <f>COUNTIFS(Table5[Country],Tabela1[[#This Row],[Country]],Table5[Discus Throw Classification],"&gt;0")</f>
        <v>0</v>
      </c>
      <c r="BI33" s="6">
        <f>COUNTIFS(Table4[Country],Tabela1[[#This Row],[Country]],Table4[Hammer Throw Classification],"&gt;0")</f>
        <v>0</v>
      </c>
      <c r="BJ33" s="6">
        <f>COUNTIFS(Table5[Country],Tabela1[[#This Row],[Country]],Table5[Hammer Throw Classification],"&gt;0")</f>
        <v>0</v>
      </c>
      <c r="BK33" s="6">
        <f>COUNTIFS(Table4[Country],Tabela1[[#This Row],[Country]],Table4[High Jump Classification],"&gt;0")</f>
        <v>0</v>
      </c>
      <c r="BL33" s="6">
        <f>COUNTIFS(Table5[Country],Tabela1[[#This Row],[Country]],Table5[High Jump Classification],"&gt;0")</f>
        <v>0</v>
      </c>
      <c r="BM33" s="6">
        <f>COUNTIFS(Table4[Country],Tabela1[[#This Row],[Country]],Table4[Javelin Throw Classification],"&gt;0")</f>
        <v>0</v>
      </c>
      <c r="BN33" s="6">
        <f>COUNTIFS(Table5[Country],Tabela1[[#This Row],[Country]],Table5[Javelin Throw Classification],"&gt;0")</f>
        <v>0</v>
      </c>
      <c r="BO33" s="6">
        <f>COUNTIFS(Table4[Country],Tabela1[[#This Row],[Country]],Table4[Long Jump Classification],"&gt;0")</f>
        <v>0</v>
      </c>
      <c r="BP33" s="6">
        <f>COUNTIFS(Table5[Country],Tabela1[[#This Row],[Country]],Table5[Long Jump Classification],"&gt;0")</f>
        <v>0</v>
      </c>
      <c r="BQ33" s="6">
        <f>COUNTIFS(Table4[Country],Tabela1[[#This Row],[Country]],Table4[Pole Vault Classification],"&gt;0")</f>
        <v>0</v>
      </c>
      <c r="BR33" s="6">
        <f>COUNTIFS(Table5[Country],Tabela1[[#This Row],[Country]],Table5[Pole Vault Classification],"&gt;0")</f>
        <v>0</v>
      </c>
      <c r="BS33" s="6">
        <f>COUNTIFS(Table4[Country],Tabela1[[#This Row],[Country]],Table4[Shot Put Classification],"&gt;0")</f>
        <v>0</v>
      </c>
      <c r="BT33" s="6">
        <f>COUNTIFS(Table5[Country],Tabela1[[#This Row],[Country]],Table5[Shot Put Classification],"&gt;0")</f>
        <v>0</v>
      </c>
      <c r="BU33" s="6">
        <f>COUNTIFS(Table4[Country],Tabela1[[#This Row],[Country]],Table4[Triple Jump Classification],"&gt;0")</f>
        <v>0</v>
      </c>
      <c r="BV33" s="6">
        <f>COUNTIFS(Table5[Country],Tabela1[[#This Row],[Country]],Table5[Triple Jump Classification],"&gt;0")</f>
        <v>0</v>
      </c>
      <c r="BW33" s="6">
        <f>COUNTIFS(Table4[Country],Tabela1[[#This Row],[Country]],Table4[Decathlon Classification],"&gt;0")</f>
        <v>0</v>
      </c>
      <c r="BX33" s="6">
        <f>COUNTIFS(Table5[Country],Tabela1[[#This Row],[Country]],Table5[Heptathlon Classification],"&gt;0")</f>
        <v>0</v>
      </c>
      <c r="BY33" s="6">
        <f>COUNTIFS(Table61[Country],Tabela1[[#This Row],[Country]],Table61[Classification],"&gt;0")</f>
        <v>0</v>
      </c>
      <c r="BZ33" s="6">
        <f>COUNTIFS(Table38[Country],Tabela1[[#This Row],[Country]],Table38[Classification],"&gt;0")</f>
        <v>0</v>
      </c>
      <c r="CA33" s="6">
        <f>COUNTIFS(Table39[Country],Tabela1[[#This Row],[Country]],Table39[Men''s Classification],"&gt;0")</f>
        <v>0</v>
      </c>
      <c r="CB33" s="6">
        <f>COUNTIFS(Table39[Country],Tabela1[[#This Row],[Country]],Table39[Women''s Classification],"&gt;0")</f>
        <v>0</v>
      </c>
      <c r="CC33" s="6">
        <f>COUNTIFS(Table39[Country],Tabela1[[#This Row],[Country]],Table39[Mixed Classification],"&gt;0")</f>
        <v>0</v>
      </c>
      <c r="CD33" s="6">
        <f>COUNTIFS(Table89[Country],Tabela1[[#This Row],[Country]],Table89[Men''s Classification],"&gt;0")</f>
        <v>0</v>
      </c>
      <c r="CE33" s="6">
        <f>COUNTIFS(Table89[Country],Tabela1[[#This Row],[Country]],Table89[Women''s Classification],"&gt;0")</f>
        <v>0</v>
      </c>
      <c r="CF33" s="6">
        <f>COUNTIFS(Table90[Country],Tabela1[[#This Row],[Country]],Table90[Men''s Classification],"&gt;0")</f>
        <v>0</v>
      </c>
      <c r="CG33" s="6">
        <f>COUNTIFS(Table90[Country],Tabela1[[#This Row],[Country]],Table90[Women''s Classification],"&gt;0")</f>
        <v>0</v>
      </c>
      <c r="CH33" s="6">
        <f>COUNTIFS(Table60[Country],Tabela1[[#This Row],[Country]],Table60[Men''s Classification],"&gt;0")</f>
        <v>0</v>
      </c>
      <c r="CI33" s="6">
        <f>COUNTIFS(Table60[Country],Tabela1[[#This Row],[Country]],Table60[Women''s Classification],"&gt;0")</f>
        <v>0</v>
      </c>
      <c r="CJ33" s="6">
        <f>COUNTIFS(Table6[Country],Tabela1[[#This Row],[Country]],Table6[51kg Classification],"&gt;0")</f>
        <v>0</v>
      </c>
      <c r="CK33" s="6">
        <f>COUNTIFS(Table6[Country],Tabela1[[#This Row],[Country]],Table6[57kg Classification],"&gt;0")</f>
        <v>0</v>
      </c>
      <c r="CL33" s="6">
        <f>COUNTIFS(Table6[Country],Tabela1[[#This Row],[Country]],Table6[63.5kg Classification],"&gt;0")</f>
        <v>0</v>
      </c>
      <c r="CM33" s="6">
        <f>COUNTIFS(Table6[Country],Tabela1[[#This Row],[Country]],Table6[71kg Classification],"&gt;0")</f>
        <v>0</v>
      </c>
      <c r="CN33" s="6">
        <f>COUNTIFS(Table6[Country],Tabela1[[#This Row],[Country]],Table6[80kg Classification],"&gt;0")</f>
        <v>0</v>
      </c>
      <c r="CO33" s="6">
        <f>COUNTIFS(Table6[Country],Tabela1[[#This Row],[Country]],Table6[92kg Classification],"&gt;0")</f>
        <v>0</v>
      </c>
      <c r="CP33" s="6">
        <f>COUNTIFS(Table6[Country],Tabela1[[#This Row],[Country]],Table6[Plus 92kg Classification],"&gt;0")</f>
        <v>0</v>
      </c>
      <c r="CQ33" s="6">
        <f>COUNTIFS(Table7[Country],Tabela1[[#This Row],[Country]],Table7[50kg Classification],"&gt;0")</f>
        <v>0</v>
      </c>
      <c r="CR33" s="6">
        <f>COUNTIFS(Table7[Country],Tabela1[[#This Row],[Country]],Table7[54kg Classification],"&gt;0")</f>
        <v>0</v>
      </c>
      <c r="CS33" s="6">
        <f>COUNTIFS(Table7[Country],Tabela1[[#This Row],[Country]],Table7[57kg Classification],"&gt;0")</f>
        <v>0</v>
      </c>
      <c r="CT33" s="6">
        <f>COUNTIFS(Table7[Country],Tabela1[[#This Row],[Country]],Table7[60kg Classification],"&gt;0")</f>
        <v>0</v>
      </c>
      <c r="CU33" s="6">
        <f>COUNTIFS(Table7[Country],Tabela1[[#This Row],[Country]],Table7[66kg Classification],"&gt;0")</f>
        <v>0</v>
      </c>
      <c r="CV33" s="6">
        <f>COUNTIFS(Table7[Country],Tabela1[[#This Row],[Country]],Table7[75kg Classification],"&gt;0")</f>
        <v>0</v>
      </c>
      <c r="CW33" s="6">
        <f>COUNTIFS(Tabela94[Country],Tabela1[[#This Row],[Country]],Tabela94[Classification],"&gt;0")</f>
        <v>0</v>
      </c>
      <c r="CX33" s="6">
        <f>COUNTIFS(Tabela9499[Country],Tabela1[[#This Row],[Country]],Tabela9499[Classification],"&gt;0")</f>
        <v>0</v>
      </c>
      <c r="CY33" s="6">
        <f>COUNTIFS(Tabela107[Country],Tabela1[[#This Row],[Country]],Tabela107[C1 Slalom Classification],"&gt;0")</f>
        <v>0</v>
      </c>
      <c r="CZ33" s="6">
        <f>COUNTIFS(Tabela107122[Country],Tabela1[[#This Row],[Country]],Tabela107122[C1 Slalom Classification],"&gt;0")</f>
        <v>0</v>
      </c>
      <c r="DA33" s="6">
        <f>COUNTIFS(Tabela107[Country],Tabela1[[#This Row],[Country]],Tabela107[K1 Slalom Classification],"&gt;0")</f>
        <v>0</v>
      </c>
      <c r="DB33" s="6">
        <f>COUNTIFS(Tabela107122[Country],Tabela1[[#This Row],[Country]],Tabela107122[K1 Slalom Classification],"&gt;0")</f>
        <v>0</v>
      </c>
      <c r="DC33" s="6">
        <f>COUNTIFS(Tabela107[Country],Tabela1[[#This Row],[Country]],Tabela107[Kayak Cross Slalom Classification],"&gt;0")</f>
        <v>0</v>
      </c>
      <c r="DD33" s="6">
        <f>COUNTIFS(Tabela107122[Country],Tabela1[[#This Row],[Country]],Tabela107122[Kayak Cross Slalom Classification],"&gt;0")</f>
        <v>0</v>
      </c>
      <c r="DE33" s="6">
        <f>COUNTIFS(Table8[Country],Tabela1[[#This Row],[Country]],Table8[C1 200m Classification],"&gt;0")</f>
        <v>0</v>
      </c>
      <c r="DF33" s="6">
        <f>COUNTIFS(Table40[Country],Tabela1[[#This Row],[Country]],Table40[C1 1000m Classification],"&gt;0")</f>
        <v>0</v>
      </c>
      <c r="DG33" s="6">
        <f>COUNTIFS(Table68[Country],Tabela1[[#This Row],[Country]],Table68[Men''s C2 500m Classification],"&gt;0")</f>
        <v>0</v>
      </c>
      <c r="DH33" s="6">
        <f>COUNTIFS(Table68[Country],Tabela1[[#This Row],[Country]],Table68[Women''s C2 500m Classification],"&gt;0")</f>
        <v>0</v>
      </c>
      <c r="DI33" s="6">
        <f>COUNTIFS(Table8[Country],Tabela1[[#This Row],[Country]],Table8[K1 500m Classification],"&gt;0")</f>
        <v>0</v>
      </c>
      <c r="DJ33" s="6">
        <f>COUNTIFS(Table40[Country],Tabela1[[#This Row],[Country]],Table40[K1 1000m Classification],"&gt;0")</f>
        <v>0</v>
      </c>
      <c r="DK33" s="6">
        <f>COUNTIFS(Table68[Country],Tabela1[[#This Row],[Country]],Table68[Men''s K2 500m Classification],"&gt;0")</f>
        <v>0</v>
      </c>
      <c r="DL33" s="6">
        <f>COUNTIFS(Table68[Country],Tabela1[[#This Row],[Country]],Table68[Women''s K2 500m Classification],"&gt;0")</f>
        <v>0</v>
      </c>
      <c r="DM33" s="6">
        <f>COUNTIFS(Table83[Country],Tabela1[[#This Row],[Country]],Table83[Men''s K4 500m Classification],"&gt;0")</f>
        <v>0</v>
      </c>
      <c r="DN33" s="6">
        <f>COUNTIFS(Table83[Country],Tabela1[[#This Row],[Country]],Table83[Women''s K4 500m Classification],"&gt;0")</f>
        <v>0</v>
      </c>
      <c r="DO33" s="6">
        <f>COUNTIFS(Tabela126[Country],Tabela1[[#This Row],[Country]],Tabela126[Classification],"&gt;0")</f>
        <v>0</v>
      </c>
      <c r="DP33" s="6">
        <f>COUNTIFS(Tabela126130[Country],Tabela1[[#This Row],[Country]],Tabela126130[Classification],"&gt;0")</f>
        <v>0</v>
      </c>
      <c r="DQ33" s="6">
        <f>COUNTIFS(Table70[Country],Tabela1[[#This Row],[Country]],Table70[Classification],"&gt;0")</f>
        <v>0</v>
      </c>
      <c r="DR33" s="6">
        <f>COUNTIFS(Table80[Country],Tabela1[[#This Row],[Country]],Table80[Classification],"&gt;0")</f>
        <v>0</v>
      </c>
      <c r="DS33" s="6">
        <f>COUNTIFS(Table66[Country],Tabela1[[#This Row],[Country]],Table66[Classification],"&gt;0")</f>
        <v>0</v>
      </c>
      <c r="DT33" s="6">
        <f>COUNTIFS(Table67[Country],Tabela1[[#This Row],[Country]],Table67[Classification],"&gt;0")</f>
        <v>0</v>
      </c>
      <c r="DU33" s="6">
        <f>COUNTIFS(Table69[Country],Tabela1[[#This Row],[Country]],Table69[Keirin Classification],"&gt;0")</f>
        <v>0</v>
      </c>
      <c r="DV33" s="6">
        <f>COUNTIFS(Table41[Country],Tabela1[[#This Row],[Country]],Table41[Keirin Classification],"&gt;0")</f>
        <v>0</v>
      </c>
      <c r="DW33" s="6">
        <f>COUNTIFS(Table84[Country],Tabela1[[#This Row],[Country]],Table84[Men''s Madison Classification],"&gt;0")</f>
        <v>0</v>
      </c>
      <c r="DX33" s="6">
        <f>COUNTIFS(Table84[Country],Tabela1[[#This Row],[Country]],Table84[Women''s Madison Classification],"&gt;0")</f>
        <v>0</v>
      </c>
      <c r="DY33" s="6">
        <f>COUNTIFS(Table69[Country],Tabela1[[#This Row],[Country]],Table69[Omnium Classification],"&gt;0")</f>
        <v>0</v>
      </c>
      <c r="DZ33" s="6">
        <f>COUNTIFS(Table41[Country],Tabela1[[#This Row],[Country]],Table41[Omnium Classification],"&gt;0")</f>
        <v>0</v>
      </c>
      <c r="EA33" s="6">
        <f>COUNTIFS(Table9[Country],Tabela1[[#This Row],[Country]],Table9[Road Race Classification],"&gt;0")</f>
        <v>0</v>
      </c>
      <c r="EB33" s="6">
        <f>COUNTIFS(Table14[Country],Tabela1[[#This Row],[Country]],Table14[Road Race Classification],"&gt;0")</f>
        <v>0</v>
      </c>
      <c r="EC33" s="6">
        <f>COUNTIFS(Table69[Country],Tabela1[[#This Row],[Country]],Table69[Sprint Classification],"&gt;0")</f>
        <v>0</v>
      </c>
      <c r="ED33" s="6">
        <f>COUNTIFS(Table41[Country],Tabela1[[#This Row],[Country]],Table41[Sprint Classification],"&gt;0")</f>
        <v>0</v>
      </c>
      <c r="EE33" s="6">
        <f>COUNTIFS(Table85[Country],Tabela1[[#This Row],[Country]],Table85[Men''s Sprint Classification],"&gt;0")</f>
        <v>0</v>
      </c>
      <c r="EF33" s="6">
        <f>COUNTIFS(Table85[Country],Tabela1[[#This Row],[Country]],Table85[Women''s Sprint Classification],"&gt;0")</f>
        <v>0</v>
      </c>
      <c r="EG33" s="6">
        <f>COUNTIFS(Table85[Country],Tabela1[[#This Row],[Country]],Table85[Men''s Pursuit Classification],"&gt;0")</f>
        <v>0</v>
      </c>
      <c r="EH33" s="6">
        <f>COUNTIFS(Table85[Country],Tabela1[[#This Row],[Country]],Table85[Women''s Pursuit Classification],"&gt;0")</f>
        <v>0</v>
      </c>
      <c r="EI33" s="6">
        <f>COUNTIFS(Table9[Country],Tabela1[[#This Row],[Country]],Table9[Time-Trial Classification],"&gt;0")</f>
        <v>0</v>
      </c>
      <c r="EJ33" s="6">
        <f>COUNTIFS(Table14[Country],Tabela1[[#This Row],[Country]],Table14[Time-Trial Classification],"&gt;0")</f>
        <v>0</v>
      </c>
      <c r="EK33" s="6">
        <f>COUNTIFS(Table42[Country],Tabela1[[#This Row],[Country]],Table42[Springboard Classification],"&gt;0")</f>
        <v>0</v>
      </c>
      <c r="EL33" s="6">
        <f>COUNTIFS(Table43[Country],Tabela1[[#This Row],[Country]],Table43[Springboard Classification],"&gt;0")</f>
        <v>0</v>
      </c>
      <c r="EM33" s="6">
        <f>COUNTIFS(Table42[Country],Tabela1[[#This Row],[Country]],Table42[Platform Classification],"&gt;0")</f>
        <v>0</v>
      </c>
      <c r="EN33" s="6">
        <f>COUNTIFS(Table43[Country],Tabela1[[#This Row],[Country]],Table43[Platform Classification],"&gt;0")</f>
        <v>0</v>
      </c>
      <c r="EO33" s="6">
        <f>COUNTIFS(Table86[Country],Tabela1[[#This Row],[Country]],Table86[Men''s Synchronized Springboard Classification],"&gt;0")</f>
        <v>0</v>
      </c>
      <c r="EP33" s="6">
        <f>COUNTIFS(Table86[Country],Tabela1[[#This Row],[Country]],Table86[Women''s Synchronized Springboard Classification],"&gt;0")</f>
        <v>0</v>
      </c>
      <c r="EQ33" s="6">
        <f>COUNTIFS(Table86[Country],Tabela1[[#This Row],[Country]],Table86[Men''s Synchronized Platform Classification],"&gt;0")</f>
        <v>0</v>
      </c>
      <c r="ER33" s="6">
        <f>COUNTIFS(Table86[Country],Tabela1[[#This Row],[Country]],Table86[Women''s Synchronized Platform Classification],"&gt;0")</f>
        <v>0</v>
      </c>
      <c r="ES33" s="6">
        <f>COUNTIFS(Table44[Country],Tabela1[[#This Row],[Country]],Table44[Dressage Classification],"&gt;0")</f>
        <v>0</v>
      </c>
      <c r="ET33" s="6">
        <f>COUNTIFS(Table45[Country],Tabela1[[#This Row],[Country]],Table45[Dressage Classification],"&gt;0")</f>
        <v>0</v>
      </c>
      <c r="EU33" s="6">
        <f>COUNTIFS(Table44[Country],Tabela1[[#This Row],[Country]],Table44[Eventing Classification],"&gt;0")</f>
        <v>0</v>
      </c>
      <c r="EV33" s="6">
        <f>COUNTIFS(Table45[Country],Tabela1[[#This Row],[Country]],Table45[Eventing Classification],"&gt;0")</f>
        <v>0</v>
      </c>
      <c r="EW33" s="6">
        <f>COUNTIFS(Table44[Country],Tabela1[[#This Row],[Country]],Table44[Jumping Classification],"&gt;0")</f>
        <v>1</v>
      </c>
      <c r="EX33" s="6">
        <f>COUNTIFS(Table45[Country],Tabela1[[#This Row],[Country]],Table45[Jumping Classification],"&gt;0")</f>
        <v>1</v>
      </c>
      <c r="EY33" s="6">
        <f>COUNTIFS(Table10[Country],Tabela1[[#This Row],[Country]],Table10[Épée Classification],"&gt;0")</f>
        <v>1</v>
      </c>
      <c r="EZ33" s="6">
        <f>COUNTIFS(Table11[Country],Tabela1[[#This Row],[Country]],Table11[Épée Classification],"&gt;0")</f>
        <v>0</v>
      </c>
      <c r="FA33" s="6">
        <f>COUNTIFS(Table46[Country],Tabela1[[#This Row],[Country]],Table46[Men''s Épée Classification],"&gt;0")</f>
        <v>0</v>
      </c>
      <c r="FB33" s="6">
        <f>COUNTIFS(Table46[Country],Tabela1[[#This Row],[Country]],Table46[Women''s Épée Classification],"&gt;0")</f>
        <v>0</v>
      </c>
      <c r="FC33" s="6">
        <f>COUNTIFS(Table10[Country],Tabela1[[#This Row],[Country]],Table10[Foil Classification],"&gt;0")</f>
        <v>0</v>
      </c>
      <c r="FD33" s="6">
        <f>COUNTIFS(Table11[Country],Tabela1[[#This Row],[Country]],Table11[Foil Classification],"&gt;0")</f>
        <v>0</v>
      </c>
      <c r="FE33" s="6">
        <f>COUNTIFS(Table46[Country],Tabela1[[#This Row],[Country]],Table46[Men''s Foil Classification],"&gt;0")</f>
        <v>0</v>
      </c>
      <c r="FF33" s="6">
        <f>COUNTIFS(Table46[Country],Tabela1[[#This Row],[Country]],Table46[Women''s Foil Classification],"&gt;0")</f>
        <v>0</v>
      </c>
      <c r="FG33" s="6">
        <f>COUNTIFS(Table10[Country],Tabela1[[#This Row],[Country]],Table10[Sabre Classification],"&gt;0")</f>
        <v>0</v>
      </c>
      <c r="FH33" s="6">
        <f>COUNTIFS(Table11[Country],Tabela1[[#This Row],[Country]],Table11[Sabre Classification],"&gt;0")</f>
        <v>0</v>
      </c>
      <c r="FI33" s="6">
        <f>COUNTIFS(Table46[Country],Tabela1[[#This Row],[Country]],Table46[Men''s Sabre Classification],"&gt;0")</f>
        <v>0</v>
      </c>
      <c r="FJ33" s="6">
        <f>COUNTIFS(Table46[Country],Tabela1[[#This Row],[Country]],Table46[Women''s Sabre Classification],"&gt;0")</f>
        <v>0</v>
      </c>
      <c r="FK33" s="6">
        <f>COUNTIFS(Table91[Country],Tabela1[[#This Row],[Country]],Table91[Men''s Classification],"&gt;0")</f>
        <v>0</v>
      </c>
      <c r="FL33" s="6">
        <f>COUNTIFS(Table91[Country],Tabela1[[#This Row],[Country]],Table91[Women''s Classification],"&gt;0")</f>
        <v>0</v>
      </c>
      <c r="FM33" s="6">
        <f>COUNTIFS(Table9194[Country],Tabela1[[#This Row],[Country]],Table9194[Men''s Classification],"&gt;0")</f>
        <v>1</v>
      </c>
      <c r="FN33" s="6">
        <f>COUNTIFS(Table9194[Country],Tabela1[[#This Row],[Country]],Table9194[Women''s Classification],"&gt;0")</f>
        <v>0</v>
      </c>
      <c r="FO33" s="6">
        <f>COUNTIFS(Table71[Country],Tabela1[[#This Row],[Country]],Table71[Classification],"&gt;0")</f>
        <v>0</v>
      </c>
      <c r="FP33" s="6">
        <f>COUNTIFS(Table62[Country],Tabela1[[#This Row],[Country]],Table62[Classification],"&gt;0")</f>
        <v>0</v>
      </c>
      <c r="FQ33" s="6">
        <f>COUNTIFS(Table47[Country],Tabela1[[#This Row],[Country]],Table47[All-Around Classification],"&gt;0")</f>
        <v>0</v>
      </c>
      <c r="FR33" s="6">
        <f>COUNTIFS(Table48[Country],Tabela1[[#This Row],[Country]],Table48[All-Around Classification],"&gt;0")</f>
        <v>0</v>
      </c>
      <c r="FS33" s="6">
        <f>COUNTIFS(Table81[Country],Tabela1[[#This Row],[Country]],Table81[Men''s All-Around Classification],"&gt;0")</f>
        <v>0</v>
      </c>
      <c r="FT33" s="6">
        <f>COUNTIFS(Table81[Country],Tabela1[[#This Row],[Country]],Table81[Women''s All-Around Classification],"&gt;0")</f>
        <v>0</v>
      </c>
      <c r="FU33" s="6">
        <f>COUNTIFS(Table48[Country],Tabela1[[#This Row],[Country]],Table48[Balance Beam Classification],"&gt;0")</f>
        <v>0</v>
      </c>
      <c r="FV33" s="6">
        <f>COUNTIFS(Table47[Country],Tabela1[[#This Row],[Country]],Table47[Floor Exercise Classification],"&gt;0")</f>
        <v>1</v>
      </c>
      <c r="FW33" s="6">
        <f>COUNTIFS(Table48[Country],Tabela1[[#This Row],[Country]],Table48[Floor Exercise Classification],"&gt;0")</f>
        <v>0</v>
      </c>
      <c r="FX33" s="6">
        <f>COUNTIFS(Table47[Country],Tabela1[[#This Row],[Country]],Table47[Horizontal Bar Classification],"&gt;0")</f>
        <v>0</v>
      </c>
      <c r="FY33" s="6">
        <f>COUNTIFS(Table47[Country],Tabela1[[#This Row],[Country]],Table47[Parallel Bars Classification],"&gt;0")</f>
        <v>0</v>
      </c>
      <c r="FZ33" s="6">
        <f>COUNTIFS(Table47[Country],Tabela1[[#This Row],[Country]],Table47[Pommel Horse Classification],"&gt;0")</f>
        <v>1</v>
      </c>
      <c r="GA33" s="6">
        <f>COUNTIFS(Table47[Country],Tabela1[[#This Row],[Country]],Table47[Rings Classification],"&gt;0")</f>
        <v>0</v>
      </c>
      <c r="GB33" s="6">
        <f>COUNTIFS(Tabela132[Country],Tabela1[[#This Row],[Country]],Tabela132[Classification],"&gt;0")</f>
        <v>0</v>
      </c>
      <c r="GC33" s="6">
        <f>COUNTIFS(Tabela139[Country],Tabela1[[#This Row],[Country]],Tabela139[Classification],"&gt;0")</f>
        <v>0</v>
      </c>
      <c r="GD33" s="6">
        <f>COUNTIFS(Table48[Country],Tabela1[[#This Row],[Country]],Table48[Uneven Bars Classification],"&gt;0")</f>
        <v>0</v>
      </c>
      <c r="GE33" s="6">
        <f>COUNTIFS(Table47[Country],Tabela1[[#This Row],[Country]],Table47[Vault Classification],"&gt;0")</f>
        <v>0</v>
      </c>
      <c r="GF33" s="6">
        <f>COUNTIFS(Table48[Country],Tabela1[[#This Row],[Country]],Table48[Vault Classification],"&gt;0")</f>
        <v>0</v>
      </c>
      <c r="GG33" s="6">
        <f>COUNTIFS(Table919496[Country],Tabela1[[#This Row],[Country]],Table919496[Men''s Classification],"&gt;0")</f>
        <v>0</v>
      </c>
      <c r="GH33" s="6">
        <f>COUNTIFS(Table919496[Country],Tabela1[[#This Row],[Country]],Table919496[Women''s Classification],"&gt;0")</f>
        <v>0</v>
      </c>
      <c r="GI33" s="6">
        <f>COUNTIFS(Table12[Country],Tabela1[[#This Row],[Country]],Table12[60kg Classification],"&gt;0")</f>
        <v>0</v>
      </c>
      <c r="GJ33" s="6">
        <f>COUNTIFS(Table12[Country],Tabela1[[#This Row],[Country]],Table12[66kg Classification],"&gt;0")</f>
        <v>0</v>
      </c>
      <c r="GK33" s="6">
        <f>COUNTIFS(Table12[Country],Tabela1[[#This Row],[Country]],Table12[73kg Classification],"&gt;0")</f>
        <v>0</v>
      </c>
      <c r="GL33" s="6">
        <f>COUNTIFS(Table12[Country],Tabela1[[#This Row],[Country]],Table12[81kg Classification],"&gt;0")</f>
        <v>0</v>
      </c>
      <c r="GM33" s="6">
        <f>COUNTIFS(Table12[Country],Tabela1[[#This Row],[Country]],Table12[90kg Classification],"&gt;0")</f>
        <v>0</v>
      </c>
      <c r="GN33" s="6">
        <f>COUNTIFS(Table12[Country],Tabela1[[#This Row],[Country]],Table12[100kg Classification],"&gt;0")</f>
        <v>1</v>
      </c>
      <c r="GO33" s="6">
        <f>COUNTIFS(Table12[Country],Tabela1[[#This Row],[Country]],Table12[Plus 100kg Classification],"&gt;0")</f>
        <v>0</v>
      </c>
      <c r="GP33" s="6">
        <f>COUNTIFS(Table13[Country],Tabela1[[#This Row],[Country]],Table13[48kg Classification],"&gt;0")</f>
        <v>1</v>
      </c>
      <c r="GQ33" s="6">
        <f>COUNTIFS(Table13[Country],Tabela1[[#This Row],[Country]],Table13[52kg Classification],"&gt;0")</f>
        <v>1</v>
      </c>
      <c r="GR33" s="6">
        <f>COUNTIFS(Table13[Country],Tabela1[[#This Row],[Country]],Table13[57kg Classification],"&gt;0")</f>
        <v>1</v>
      </c>
      <c r="GS33" s="6">
        <f>COUNTIFS(Table13[Country],Tabela1[[#This Row],[Country]],Table13[63kg Classification],"&gt;0")</f>
        <v>0</v>
      </c>
      <c r="GT33" s="6">
        <f>COUNTIFS(Table13[Country],Tabela1[[#This Row],[Country]],Table13[70kg Classification],"&gt;0")</f>
        <v>0</v>
      </c>
      <c r="GU33" s="6">
        <f>COUNTIFS(Table13[Country],Tabela1[[#This Row],[Country]],Table13[78kg Classification],"&gt;0")</f>
        <v>0</v>
      </c>
      <c r="GV33" s="6">
        <f>COUNTIFS(Table13[Country],Tabela1[[#This Row],[Country]],Table13[Plus 78kg Classification],"&gt;0")</f>
        <v>0</v>
      </c>
      <c r="GW33" s="6">
        <f>COUNTIFS(Table82[Country],Tabela1[[#This Row],[Country]],Table82[Mixed Classification],"&gt;0")</f>
        <v>1</v>
      </c>
      <c r="GX33" s="6">
        <f>COUNTIFS(Table51[Country],Tabela1[[#This Row],[Country]],Table51[Classification],"&gt;0")</f>
        <v>0</v>
      </c>
      <c r="GY33" s="6">
        <f>COUNTIFS(Table52[Country],Tabela1[[#This Row],[Country]],Table52[Classification],"&gt;0")</f>
        <v>0</v>
      </c>
      <c r="GZ33" s="6">
        <f>COUNTIFS(Table32[Country],Tabela1[[#This Row],[Country]],Table32[All-Around Classification],"&gt;0")</f>
        <v>1</v>
      </c>
      <c r="HA33" s="6">
        <f>COUNTIFS(Table49[Country],Tabela1[[#This Row],[Country]],Table49[All-Around Classification],"&gt;0")</f>
        <v>1</v>
      </c>
      <c r="HB33" s="6">
        <f>COUNTIFS(Table26[Country],Tabela1[[#This Row],[Country]],Table26[Single Sculls Classification],"&gt;0")</f>
        <v>0</v>
      </c>
      <c r="HC33" s="6">
        <f>COUNTIFS(Table63[Country],Tabela1[[#This Row],[Country]],Table63[Single Sculls Classification],"&gt;0")</f>
        <v>0</v>
      </c>
      <c r="HD33" s="6">
        <f>COUNTIFS(Table16[Country],Tabela1[[#This Row],[Country]],Table16[Men''s Double Sculls Classification],"&gt;0")</f>
        <v>0</v>
      </c>
      <c r="HE33" s="6">
        <f>COUNTIFS(Table16[Country],Tabela1[[#This Row],[Country]],Table16[Women''s Double Sculls Classification],"&gt;0")</f>
        <v>0</v>
      </c>
      <c r="HF33" s="6">
        <f>COUNTIFS(Table72[Country],Tabela1[[#This Row],[Country]],Table72[Men''s Quadruple Sculls Classification],"&gt;0")</f>
        <v>0</v>
      </c>
      <c r="HG33" s="6">
        <f>COUNTIFS(Table72[Country],Tabela1[[#This Row],[Country]],Table72[Women''s Quadruple Sculls Classification],"&gt;0")</f>
        <v>0</v>
      </c>
      <c r="HH33" s="6">
        <f>COUNTIFS(Table16[Country],Tabela1[[#This Row],[Country]],Table16[Men''s Coxless Pairs Classification],"&gt;0")</f>
        <v>0</v>
      </c>
      <c r="HI33" s="6">
        <f>COUNTIFS(Table16[Country],Tabela1[[#This Row],[Country]],Table16[Women''s Coxless Pairs Classification],"&gt;0")</f>
        <v>0</v>
      </c>
      <c r="HJ33" s="6">
        <f>COUNTIFS(Table72[Country],Tabela1[[#This Row],[Country]],Table72[Men''s Coxless Fours Classification],"&gt;0")</f>
        <v>0</v>
      </c>
      <c r="HK33" s="6">
        <f>COUNTIFS(Table72[Country],Tabela1[[#This Row],[Country]],Table72[Women''s Coxless Fours Classification],"&gt;0")</f>
        <v>0</v>
      </c>
      <c r="HL33" s="6">
        <f>COUNTIFS(Table72[Country],Tabela1[[#This Row],[Country]],Table72[Men''s Eights Classification],"&gt;0")</f>
        <v>0</v>
      </c>
      <c r="HM33" s="6">
        <f>COUNTIFS(Table72[Country],Tabela1[[#This Row],[Country]],Table72[Women''s Eights Classification],"&gt;0")</f>
        <v>0</v>
      </c>
      <c r="HN33" s="6">
        <f>COUNTIFS(Table16[Country],Tabela1[[#This Row],[Country]],Table16[Men''s Lwt. Double Sculls Classification],"&gt;0")</f>
        <v>0</v>
      </c>
      <c r="HO33" s="6">
        <f>COUNTIFS(Table16[Country],Tabela1[[#This Row],[Country]],Table16[Women''s Lwt. Double Sculls Classification],"&gt;0")</f>
        <v>0</v>
      </c>
      <c r="HP33" s="6">
        <f>COUNTIFS(Table91949698[Country],Tabela1[[#This Row],[Country]],Table91949698[Men''s Classification],"&gt;0")</f>
        <v>0</v>
      </c>
      <c r="HQ33" s="6">
        <f>COUNTIFS(Table91949698[Country],Tabela1[[#This Row],[Country]],Table91949698[Women''s Classification],"&gt;0")</f>
        <v>0</v>
      </c>
      <c r="HR33" s="6">
        <f>COUNTIFS(Table25[Country],Tabela1[[#This Row],[Country]],Table25[Mixed 470 Classification],"&gt;0")</f>
        <v>0</v>
      </c>
      <c r="HS33" s="6">
        <f>COUNTIFS(Table25[Country],Tabela1[[#This Row],[Country]],Table25[Men''s 49er Classification],"&gt;0")</f>
        <v>0</v>
      </c>
      <c r="HT33" s="6">
        <f>COUNTIFS(Table25[Country],Tabela1[[#This Row],[Country]],Table25[Women''s 49er FX Classification],"&gt;0")</f>
        <v>0</v>
      </c>
      <c r="HU33" s="6">
        <f>COUNTIFS(Table17[Country],Tabela1[[#This Row],[Country]],Table17[Formula Kite Classification],"&gt;0")</f>
        <v>0</v>
      </c>
      <c r="HV33" s="6">
        <f>COUNTIFS(Table18[Country],Tabela1[[#This Row],[Country]],Table18[Formula Kite Classification],"&gt;0")</f>
        <v>1</v>
      </c>
      <c r="HW33" s="6">
        <f>COUNTIFS(Table17[Country],Tabela1[[#This Row],[Country]],Table17[ILCA 7 Classification],"&gt;0")</f>
        <v>0</v>
      </c>
      <c r="HX33" s="6">
        <f>COUNTIFS(Table18[Country],Tabela1[[#This Row],[Country]],Table18[ILCA 6 Classification],"&gt;0")</f>
        <v>1</v>
      </c>
      <c r="HY33" s="6">
        <f>COUNTIFS(Table17[Country],Tabela1[[#This Row],[Country]],Table17[IQFoil Classification],"&gt;0")</f>
        <v>1</v>
      </c>
      <c r="HZ33" s="6">
        <f>COUNTIFS(Table18[Country],Tabela1[[#This Row],[Country]],Table18[IQFoil Classification],"&gt;0")</f>
        <v>0</v>
      </c>
      <c r="IA33" s="6">
        <f>COUNTIFS(Table25[Country],Tabela1[[#This Row],[Country]],Table25[Mixed Nacra 17 Classification],"&gt;0")</f>
        <v>0</v>
      </c>
      <c r="IB33" s="6">
        <f>COUNTIFS(Table53[Country],Tabela1[[#This Row],[Country]],Table53[10m Air Pistol Classification],"&gt;0")</f>
        <v>0</v>
      </c>
      <c r="IC33" s="6">
        <f>COUNTIFS(Table19[Country],Tabela1[[#This Row],[Country]],Table19[10m Air Pistol Classification],"&gt;0")</f>
        <v>0</v>
      </c>
      <c r="ID33" s="6">
        <f>COUNTIFS(Table54[Country],Tabela1[[#This Row],[Country]],Table54[Mixed 10m Air Pistol Team Classification],"&gt;0")</f>
        <v>0</v>
      </c>
      <c r="IE33" s="6">
        <f>COUNTIFS(Table53[Country],Tabela1[[#This Row],[Country]],Table53[10m Air Rifle Classification],"&gt;0")</f>
        <v>0</v>
      </c>
      <c r="IF33" s="6">
        <f>COUNTIFS(Table19[Country],Tabela1[[#This Row],[Country]],Table19[10m Air Rifle Classification],"&gt;0")</f>
        <v>0</v>
      </c>
      <c r="IG33" s="6">
        <f>COUNTIFS(Table54[Country],Tabela1[[#This Row],[Country]],Table54[Mixed 10m Air Rifle Team Classification],"&gt;0")</f>
        <v>0</v>
      </c>
      <c r="IH33" s="6">
        <f>COUNTIFS(Table53[Country],Tabela1[[#This Row],[Country]],Table53[25m Rapid Fire Pistol Classification],"&gt;0")</f>
        <v>0</v>
      </c>
      <c r="II33" s="6">
        <f>COUNTIFS(Table19[Country],Tabela1[[#This Row],[Country]],Table19[25m Pistol Classification],"&gt;0")</f>
        <v>0</v>
      </c>
      <c r="IJ33" s="6">
        <f>COUNTIFS(Table53[Country],Tabela1[[#This Row],[Country]],Table53[50m Rifle 3 Positions Classification],"&gt;0")</f>
        <v>0</v>
      </c>
      <c r="IK33" s="6">
        <f>COUNTIFS(Table19[Country],Tabela1[[#This Row],[Country]],Table19[50m Rifle 3 Positions Classification],"&gt;0")</f>
        <v>0</v>
      </c>
      <c r="IL33" s="6">
        <f>COUNTIFS(Table53[Country],Tabela1[[#This Row],[Country]],Table53[Skeet Classification],"&gt;0")</f>
        <v>0</v>
      </c>
      <c r="IM33" s="6">
        <f>COUNTIFS(Table19[Country],Tabela1[[#This Row],[Country]],Table19[Skeet Classification],"&gt;0")</f>
        <v>0</v>
      </c>
      <c r="IN33" s="6">
        <f>COUNTIFS(Table54[Country],Tabela1[[#This Row],[Country]],Table54[Mixed Skeet Team Classification],"&gt;0")</f>
        <v>0</v>
      </c>
      <c r="IO33" s="6">
        <f>COUNTIFS(Table53[Country],Tabela1[[#This Row],[Country]],Table53[Trap Classification],"&gt;0")</f>
        <v>0</v>
      </c>
      <c r="IP33" s="6">
        <f>COUNTIFS(Table19[Country],Tabela1[[#This Row],[Country]],Table19[Trap Classification],"&gt;0")</f>
        <v>0</v>
      </c>
      <c r="IQ33" s="6">
        <f>COUNTIFS(Table73[Country],Tabela1[[#This Row],[Country]],Table73[Park Classification],"&gt;0")</f>
        <v>0</v>
      </c>
      <c r="IR33" s="6">
        <f>COUNTIFS(Table74[Country],Tabela1[[#This Row],[Country]],Table74[Park Classification],"&gt;0")</f>
        <v>0</v>
      </c>
      <c r="IS33" s="6">
        <f>COUNTIFS(Table73[Country],Tabela1[[#This Row],[Country]],Table73[Street Classification],"&gt;0")</f>
        <v>0</v>
      </c>
      <c r="IT33" s="6">
        <f>COUNTIFS(Table74[Country],Tabela1[[#This Row],[Country]],Table74[Street Classification],"&gt;0")</f>
        <v>0</v>
      </c>
      <c r="IU33" s="6">
        <f>COUNTIFS(Table75[Country],Tabela1[[#This Row],[Country]],Table75[Boulder and Lead Classification],"&gt;0")</f>
        <v>0</v>
      </c>
      <c r="IV33" s="6">
        <f>COUNTIFS(Table76[Country],Tabela1[[#This Row],[Country]],Table76[Boulder and Lead Classification],"&gt;0")</f>
        <v>0</v>
      </c>
      <c r="IW33" s="6">
        <f>COUNTIFS(Table75[Country],Tabela1[[#This Row],[Country]],Table75[Speed Classification],"&gt;0")</f>
        <v>0</v>
      </c>
      <c r="IX33" s="6">
        <f>COUNTIFS(Table76[Country],Tabela1[[#This Row],[Country]],Table76[Speed Classification],"&gt;0")</f>
        <v>0</v>
      </c>
      <c r="IY33" s="6">
        <f>COUNTIFS(Table64[Country],Tabela1[[#This Row],[Country]],Table64[Shortboard Classification],"&gt;0")</f>
        <v>0</v>
      </c>
      <c r="IZ33" s="6">
        <f>COUNTIFS(Table77[Country],Tabela1[[#This Row],[Country]],Table77[Shortboard Classification],"&gt;0")</f>
        <v>1</v>
      </c>
      <c r="JA33" s="6">
        <f>COUNTIFS(Table20[Country],Tabela1[[#This Row],[Country]],Table20[50m Freestyle Classification],"&gt;0")</f>
        <v>0</v>
      </c>
      <c r="JB33" s="6">
        <f>COUNTIFS(Table21[Country],Tabela1[[#This Row],[Country]],Table21[50m Freestyle Classification],"&gt;0")</f>
        <v>0</v>
      </c>
      <c r="JC33" s="6">
        <f>COUNTIFS(Table20[Country],Tabela1[[#This Row],[Country]],Table20[100m Freestyle Classification],"&gt;0")</f>
        <v>1</v>
      </c>
      <c r="JD33" s="6">
        <f>COUNTIFS(Table21[Country],Tabela1[[#This Row],[Country]],Table21[100m Freestyle Classification],"&gt;0")</f>
        <v>0</v>
      </c>
      <c r="JE33" s="6">
        <f>COUNTIFS(Table20[Country],Tabela1[[#This Row],[Country]],Table20[200m Freestyle Classification],"&gt;0")</f>
        <v>0</v>
      </c>
      <c r="JF33" s="6">
        <f>COUNTIFS(Table21[Country],Tabela1[[#This Row],[Country]],Table21[200m Freestyle Classification],"&gt;0")</f>
        <v>1</v>
      </c>
      <c r="JG33" s="6">
        <f>COUNTIFS(Table20[Country],Tabela1[[#This Row],[Country]],Table20[400m Freestyle Classification],"&gt;0")</f>
        <v>0</v>
      </c>
      <c r="JH33" s="6">
        <f>COUNTIFS(Table21[Country],Tabela1[[#This Row],[Country]],Table21[400m Freestyle Classification],"&gt;0")</f>
        <v>0</v>
      </c>
      <c r="JI33" s="6">
        <f>COUNTIFS(Table20[Country],Tabela1[[#This Row],[Country]],Table20[800m Freestyle Classification],"&gt;0")</f>
        <v>0</v>
      </c>
      <c r="JJ33" s="6">
        <f>COUNTIFS(Table21[Country],Tabela1[[#This Row],[Country]],Table21[800m Freestyle Classification],"&gt;0")</f>
        <v>0</v>
      </c>
      <c r="JK33" s="6">
        <f>COUNTIFS(Table20[Country],Tabela1[[#This Row],[Country]],Table20[1500m Freestyle Classification],"&gt;0")</f>
        <v>0</v>
      </c>
      <c r="JL33" s="6">
        <f>COUNTIFS(Table21[Country],Tabela1[[#This Row],[Country]],Table21[1500m Freestyle Classification],"&gt;0")</f>
        <v>0</v>
      </c>
      <c r="JM33" s="6">
        <f>COUNTIFS(Table20[Country],Tabela1[[#This Row],[Country]],Table20[100m Backstroke Classification],"&gt;0")</f>
        <v>1</v>
      </c>
      <c r="JN33" s="6">
        <f>COUNTIFS(Table21[Country],Tabela1[[#This Row],[Country]],Table21[100m Backstroke Classification],"&gt;0")</f>
        <v>0</v>
      </c>
      <c r="JO33" s="6">
        <f>COUNTIFS(Table20[Country],Tabela1[[#This Row],[Country]],Table20[200m Backstroke Classification],"&gt;0")</f>
        <v>1</v>
      </c>
      <c r="JP33" s="6">
        <f>COUNTIFS(Table21[Country],Tabela1[[#This Row],[Country]],Table21[200m Backstroke Classification],"&gt;0")</f>
        <v>1</v>
      </c>
      <c r="JQ33" s="6">
        <f>COUNTIFS(Table20[Country],Tabela1[[#This Row],[Country]],Table20[100m Breaststroke Classification],"&gt;0")</f>
        <v>1</v>
      </c>
      <c r="JR33" s="6">
        <f>COUNTIFS(Table21[Country],Tabela1[[#This Row],[Country]],Table21[100m Breaststroke Classification],"&gt;0")</f>
        <v>1</v>
      </c>
      <c r="JS33" s="6">
        <f>COUNTIFS(Table20[Country],Tabela1[[#This Row],[Country]],Table20[200m Breaststroke Classification],"&gt;0")</f>
        <v>0</v>
      </c>
      <c r="JT33" s="6">
        <f>COUNTIFS(Table21[Country],Tabela1[[#This Row],[Country]],Table21[200m Breaststroke Classification],"&gt;0")</f>
        <v>0</v>
      </c>
      <c r="JU33" s="6">
        <f>COUNTIFS(Table20[Country],Tabela1[[#This Row],[Country]],Table20[100m Butterfly Classification],"&gt;0")</f>
        <v>1</v>
      </c>
      <c r="JV33" s="6">
        <f>COUNTIFS(Table21[Country],Tabela1[[#This Row],[Country]],Table21[100m Butterfly Classification],"&gt;0")</f>
        <v>0</v>
      </c>
      <c r="JW33" s="6">
        <f>COUNTIFS(Table20[Country],Tabela1[[#This Row],[Country]],Table20[200m Butterfly Classification],"&gt;0")</f>
        <v>0</v>
      </c>
      <c r="JX33" s="6">
        <f>COUNTIFS(Table21[Country],Tabela1[[#This Row],[Country]],Table21[200m Butterfly Classification],"&gt;0")</f>
        <v>0</v>
      </c>
      <c r="JY33" s="6">
        <f>COUNTIFS(Table20[Country],Tabela1[[#This Row],[Country]],Table20[200m Medley Classification],"&gt;0")</f>
        <v>1</v>
      </c>
      <c r="JZ33" s="6">
        <f>COUNTIFS(Table21[Country],Tabela1[[#This Row],[Country]],Table21[200m Medley Classification],"&gt;0")</f>
        <v>2</v>
      </c>
      <c r="KA33" s="6">
        <f>COUNTIFS(Table20[Country],Tabela1[[#This Row],[Country]],Table20[400m Medley Classification],"&gt;0")</f>
        <v>0</v>
      </c>
      <c r="KB33" s="6">
        <f>COUNTIFS(Table21[Country],Tabela1[[#This Row],[Country]],Table21[400m Medley Classification],"&gt;0")</f>
        <v>1</v>
      </c>
      <c r="KC33" s="6">
        <f>COUNTIFS(Table78[Country],Tabela1[[#This Row],[Country]],Table78[Men''s 4x100m Freestyle Relay Classification],"&gt;0")</f>
        <v>1</v>
      </c>
      <c r="KD33" s="6">
        <f>COUNTIFS(Table78[Country],Tabela1[[#This Row],[Country]],Table78[Women''s 4x100m Freestyle Relay Classification],"&gt;0")</f>
        <v>0</v>
      </c>
      <c r="KE33" s="6">
        <f>COUNTIFS(Table78[Country],Tabela1[[#This Row],[Country]],Table78[Men''s 4x200m Freestyle Relay Classification],"&gt;0")</f>
        <v>1</v>
      </c>
      <c r="KF33" s="6">
        <f>COUNTIFS(Table78[Country],Tabela1[[#This Row],[Country]],Table78[Women''s 4x200m Freestyle Relay Classification],"&gt;0")</f>
        <v>1</v>
      </c>
      <c r="KG33" s="6">
        <f>COUNTIFS(Table78[Country],Tabela1[[#This Row],[Country]],Table78[Men''s 4x100m Medley Relay Classification],"&gt;0")</f>
        <v>0</v>
      </c>
      <c r="KH33" s="6">
        <f>COUNTIFS(Table78[Country],Tabela1[[#This Row],[Country]],Table78[Women''s 4x100m Medley Relay Classification],"&gt;0")</f>
        <v>0</v>
      </c>
      <c r="KI33" s="6">
        <f>COUNTIFS(Table78[Country],Tabela1[[#This Row],[Country]],Table78[Mixed 4x100m Medley Relay Classification],"&gt;0")</f>
        <v>1</v>
      </c>
      <c r="KJ33" s="6">
        <f>COUNTIFS(Table20[Country],Tabela1[[#This Row],[Country]],Table20[10km Open Water Classification],"&gt;0")</f>
        <v>1</v>
      </c>
      <c r="KK33" s="6">
        <f>COUNTIFS(Table21[Country],Tabela1[[#This Row],[Country]],Table21[10km Open Water Classification],"&gt;0")</f>
        <v>0</v>
      </c>
      <c r="KL33" s="6">
        <f>COUNTIFS(Table22[Country],Tabela1[[#This Row],[Country]],Table22[Classification],"&gt;0")</f>
        <v>0</v>
      </c>
      <c r="KM33" s="6">
        <f>COUNTIFS(Table30[Country],Tabela1[[#This Row],[Country]],Table30[Classification],"&gt;0")</f>
        <v>0</v>
      </c>
      <c r="KN33" s="6">
        <f>COUNTIFS(Table55[Country],Tabela1[[#This Row],[Country]],Table55[Men''s Classification],"&gt;0")</f>
        <v>0</v>
      </c>
      <c r="KO33" s="6">
        <f>COUNTIFS(Table55[Country],Tabela1[[#This Row],[Country]],Table55[Women''s Classification],"&gt;0")</f>
        <v>0</v>
      </c>
      <c r="KP33" s="6">
        <f>COUNTIFS(Table56[Country],Tabela1[[#This Row],[Country]],Table56[Mixed Classification],"&gt;0")</f>
        <v>0</v>
      </c>
      <c r="KQ33" s="6">
        <f>COUNTIFS(Table29[Country],Tabela1[[#This Row],[Country]],Table29[58kg Classification],"&gt;0")</f>
        <v>0</v>
      </c>
      <c r="KR33" s="6">
        <f>COUNTIFS(Table29[Country],Tabela1[[#This Row],[Country]],Table29[68kg Classification],"&gt;0")</f>
        <v>0</v>
      </c>
      <c r="KS33" s="6">
        <f>COUNTIFS(Table29[Country],Tabela1[[#This Row],[Country]],Table29[80kg Classification],"&gt;0")</f>
        <v>0</v>
      </c>
      <c r="KT33" s="6">
        <f>COUNTIFS(Table29[Country],Tabela1[[#This Row],[Country]],Table29[Plus 80kg Classification],"&gt;0")</f>
        <v>0</v>
      </c>
      <c r="KU33" s="6">
        <f>COUNTIFS(Table34[Country],Tabela1[[#This Row],[Country]],Table34[49kg Classification],"&gt;0")</f>
        <v>0</v>
      </c>
      <c r="KV33" s="6">
        <f>COUNTIFS(Table34[Country],Tabela1[[#This Row],[Country]],Table34[57kg Classification],"&gt;0")</f>
        <v>0</v>
      </c>
      <c r="KW33" s="6">
        <f>COUNTIFS(Table34[Country],Tabela1[[#This Row],[Country]],Table34[67kg Classification],"&gt;0")</f>
        <v>0</v>
      </c>
      <c r="KX33" s="6">
        <f>COUNTIFS(Table34[Country],Tabela1[[#This Row],[Country]],Table34[Plus 67kg Classification],"&gt;0")</f>
        <v>0</v>
      </c>
      <c r="KY33" s="6">
        <f>COUNTIFS(Table57[Country],Tabela1[[#This Row],[Country]],Table57[Classification],"&gt;0")</f>
        <v>0</v>
      </c>
      <c r="KZ33" s="6">
        <f>COUNTIFS(Table58[Country],Tabela1[[#This Row],[Country]],Table58[Classification],"&gt;0")</f>
        <v>0</v>
      </c>
      <c r="LA33" s="6">
        <f>COUNTIFS(Table79[Country],Tabela1[[#This Row],[Country]],Table79[Men''s Classification],"&gt;0")</f>
        <v>0</v>
      </c>
      <c r="LB33" s="6">
        <f>COUNTIFS(Table79[Country],Tabela1[[#This Row],[Country]],Table79[Women''s Classification],"&gt;0")</f>
        <v>0</v>
      </c>
      <c r="LC33" s="6">
        <f>COUNTIFS(Table79[Country],Tabela1[[#This Row],[Country]],Table79[Mixed Classification],"&gt;0")</f>
        <v>0</v>
      </c>
      <c r="LD33" s="6">
        <f>COUNTIFS(Table65[Country],Tabela1[[#This Row],[Country]],Table65[Classification],"&gt;0")</f>
        <v>1</v>
      </c>
      <c r="LE33" s="6">
        <f>COUNTIFS(Table59[Country],Tabela1[[#This Row],[Country]],Table59[Classification],"&gt;0")</f>
        <v>0</v>
      </c>
      <c r="LF33" s="6">
        <f>COUNTIFS(Table87[Country],Tabela1[[#This Row],[Country]],Table87[Mixed Relay Classification],"&gt;0")</f>
        <v>0</v>
      </c>
      <c r="LG33" s="6">
        <f>COUNTIFS(Table91949698100[Country],Tabela1[[#This Row],[Country]],Table91949698100[Men''s Classification],"&gt;0")</f>
        <v>0</v>
      </c>
      <c r="LH33" s="6">
        <f>COUNTIFS(Table91949698100[Country],Tabela1[[#This Row],[Country]],Table91949698100[Women''s Classification],"&gt;0")</f>
        <v>0</v>
      </c>
      <c r="LI33" s="6">
        <f>COUNTIFS(Table91949698100102[Country],Tabela1[[#This Row],[Country]],Table91949698100102[Men''s Classification],"&gt;0")</f>
        <v>0</v>
      </c>
      <c r="LJ33" s="6">
        <f>COUNTIFS(Table91949698100102[Country],Tabela1[[#This Row],[Country]],Table91949698100102[Women''s Classification],"&gt;0")</f>
        <v>0</v>
      </c>
      <c r="LK33" s="6">
        <f>COUNTIFS(Table23[Country],Tabela1[[#This Row],[Country]],Table23[61kg Classification],"&gt;0")</f>
        <v>0</v>
      </c>
      <c r="LL33" s="6">
        <f>COUNTIFS(Table23[Country],Tabela1[[#This Row],[Country]],Table23[73kg Classification],"&gt;0")</f>
        <v>0</v>
      </c>
      <c r="LM33" s="6">
        <f>COUNTIFS(Table23[Country],Tabela1[[#This Row],[Country]],Table23[89kg Classification],"&gt;0")</f>
        <v>0</v>
      </c>
      <c r="LN33" s="6">
        <f>COUNTIFS(Table23[Country],Tabela1[[#This Row],[Country]],Table23[102kg Classification],"&gt;0")</f>
        <v>0</v>
      </c>
      <c r="LO33" s="6">
        <f>COUNTIFS(Table23[Country],Tabela1[[#This Row],[Country]],Table23[Plus 102kg Classification],"&gt;0")</f>
        <v>0</v>
      </c>
      <c r="LP33" s="6">
        <f>COUNTIFS(Table28[Country],Tabela1[[#This Row],[Country]],Table28[49kg Classification],"&gt;0")</f>
        <v>0</v>
      </c>
      <c r="LQ33" s="6">
        <f>COUNTIFS(Table28[Country],Tabela1[[#This Row],[Country]],Table28[59kg Classification],"&gt;0")</f>
        <v>0</v>
      </c>
      <c r="LR33" s="6">
        <f>COUNTIFS(Table28[Country],Tabela1[[#This Row],[Country]],Table28[71kg Classification],"&gt;0")</f>
        <v>0</v>
      </c>
      <c r="LS33" s="6">
        <f>COUNTIFS(Table28[Country],Tabela1[[#This Row],[Country]],Table28[81kg Classification],"&gt;0")</f>
        <v>0</v>
      </c>
      <c r="LT33" s="6">
        <f>COUNTIFS(Table28[Country],Tabela1[[#This Row],[Country]],Table28[Plus 81kg Classification],"&gt;0")</f>
        <v>0</v>
      </c>
      <c r="LU33" s="6">
        <f>COUNTIFS(Table24[Country],Tabela1[[#This Row],[Country]],Table24[Freestyle 57kg Classification],"&gt;0")</f>
        <v>0</v>
      </c>
      <c r="LV33" s="6">
        <f>COUNTIFS(Table24[Country],Tabela1[[#This Row],[Country]],Table24[Freestyle 65kg Classification],"&gt;0")</f>
        <v>0</v>
      </c>
      <c r="LW33" s="6">
        <f>COUNTIFS(Table24[Country],Tabela1[[#This Row],[Country]],Table24[Freestyle 74kg Classification],"&gt;0")</f>
        <v>0</v>
      </c>
      <c r="LX33" s="6">
        <f>COUNTIFS(Table24[Country],Tabela1[[#This Row],[Country]],Table24[Freestyle 86kg Classification],"&gt;0")</f>
        <v>0</v>
      </c>
      <c r="LY33" s="6">
        <f>COUNTIFS(Table24[Country],Tabela1[[#This Row],[Country]],Table24[Freestyle 97kg Classification],"&gt;0")</f>
        <v>0</v>
      </c>
      <c r="LZ33" s="6">
        <f>COUNTIFS(Table24[Country],Tabela1[[#This Row],[Country]],Table24[Freestyle 125kg Classification],"&gt;0")</f>
        <v>0</v>
      </c>
      <c r="MA33" s="6">
        <f>COUNTIFS(Table24[Country],Tabela1[[#This Row],[Country]],Table24[Greco-Roman 60kg Classification],"&gt;0")</f>
        <v>0</v>
      </c>
      <c r="MB33" s="6">
        <f>COUNTIFS(Table24[Country],Tabela1[[#This Row],[Country]],Table24[Greco-Roman 67kg Classification],"&gt;0")</f>
        <v>0</v>
      </c>
      <c r="MC33" s="6">
        <f>COUNTIFS(Table24[Country],Tabela1[[#This Row],[Country]],Table24[Greco-Roman 77kg Classification],"&gt;0")</f>
        <v>0</v>
      </c>
      <c r="MD33" s="6">
        <f>COUNTIFS(Table24[Country],Tabela1[[#This Row],[Country]],Table24[Greco-Roman 87kg Classification],"&gt;0")</f>
        <v>0</v>
      </c>
      <c r="ME33" s="6">
        <f>COUNTIFS(Table24[Country],Tabela1[[#This Row],[Country]],Table24[Greco-Roman 97kg Classification],"&gt;0")</f>
        <v>0</v>
      </c>
      <c r="MF33" s="6">
        <f>COUNTIFS(Table24[Country],Tabela1[[#This Row],[Country]],Table24[Greco-Roman 130kg Classification],"&gt;0")</f>
        <v>0</v>
      </c>
      <c r="MG33" s="6">
        <f>COUNTIFS(Table31[Country],Tabela1[[#This Row],[Country]],Table31[50kg Classification],"&gt;0")</f>
        <v>0</v>
      </c>
      <c r="MH33" s="6">
        <f>COUNTIFS(Table31[Country],Tabela1[[#This Row],[Country]],Table31[53kg Classification],"&gt;0")</f>
        <v>0</v>
      </c>
      <c r="MI33" s="6">
        <f>COUNTIFS(Table31[Country],Tabela1[[#This Row],[Country]],Table31[57kg Classification],"&gt;0")</f>
        <v>0</v>
      </c>
      <c r="MJ33" s="6">
        <f>COUNTIFS(Table31[Country],Tabela1[[#This Row],[Country]],Table31[62kg Classification],"&gt;0")</f>
        <v>0</v>
      </c>
      <c r="MK33" s="6">
        <f>COUNTIFS(Table31[Country],Tabela1[[#This Row],[Country]],Table31[68kg Classification],"&gt;0")</f>
        <v>0</v>
      </c>
      <c r="ML33" s="6">
        <f>COUNTIFS(Table31[Country],Tabela1[[#This Row],[Country]],Table31[76kg Classification],"&gt;0")</f>
        <v>0</v>
      </c>
      <c r="MM33" s="6">
        <f>COUNTIFS(Table102[Country],Tabela1[[#This Row],[Country]],Table102[Downhill Classification],"&gt;0")</f>
        <v>0</v>
      </c>
      <c r="MN33" s="6">
        <f>COUNTIFS(Table102105[Country],Tabela1[[#This Row],[Country]],Table102105[Downhill Classification],"&gt;0")</f>
        <v>0</v>
      </c>
      <c r="MO33" s="6">
        <f>COUNTIFS(Table102[Country],Tabela1[[#This Row],[Country]],Table102[Giant Slalom Classification],"&gt;0")</f>
        <v>0</v>
      </c>
      <c r="MP33" s="6">
        <f>COUNTIFS(Table102105[Country],Tabela1[[#This Row],[Country]],Table102105[Giant Slalom Classification],"&gt;0")</f>
        <v>0</v>
      </c>
      <c r="MQ33" s="6">
        <f>COUNTIFS(Table102[Country],Tabela1[[#This Row],[Country]],Table102[Slalom Classification],"&gt;0")</f>
        <v>0</v>
      </c>
      <c r="MR33" s="6">
        <f>COUNTIFS(Table102105[Country],Tabela1[[#This Row],[Country]],Table102105[Slalom Classification],"&gt;0")</f>
        <v>0</v>
      </c>
      <c r="MS33" s="6">
        <f>COUNTIFS(Table102[Country],Tabela1[[#This Row],[Country]],Table102[Super-G Classification],"&gt;0")</f>
        <v>0</v>
      </c>
      <c r="MT33" s="6">
        <f>COUNTIFS(Table102105[Country],Tabela1[[#This Row],[Country]],Table102105[Super-G Classification],"&gt;0")</f>
        <v>0</v>
      </c>
      <c r="MU33" s="6">
        <f>COUNTIFS(Table105[Country],Tabela1[[#This Row],[Country]],Table105[Men''s Combined Classification],"&gt;0")</f>
        <v>0</v>
      </c>
      <c r="MV33" s="6">
        <f>COUNTIFS(Table105[Country],Tabela1[[#This Row],[Country]],Table105[Women''s Combined Classification],"&gt;0")</f>
        <v>0</v>
      </c>
      <c r="MW33" s="6">
        <f>COUNTIFS(Table106[Country],Tabela1[[#This Row],[Country]],Table106[Individual Classification],"&gt;0")</f>
        <v>0</v>
      </c>
      <c r="MX33" s="6">
        <f>COUNTIFS(Table106109[Country],Tabela1[[#This Row],[Country]],Table106109[Individual Classification],"&gt;0")</f>
        <v>0</v>
      </c>
      <c r="MY33" s="6">
        <f>COUNTIFS(Table106[Country],Tabela1[[#This Row],[Country]],Table106[Mass Start Classification],"&gt;0")</f>
        <v>0</v>
      </c>
      <c r="MZ33" s="6">
        <f>COUNTIFS(Table106109[Country],Tabela1[[#This Row],[Country]],Table106109[Mass Start Classification],"&gt;0")</f>
        <v>0</v>
      </c>
      <c r="NA33" s="6">
        <f>COUNTIFS(Table106[Country],Tabela1[[#This Row],[Country]],Table106[Pursuit Classification],"&gt;0")</f>
        <v>0</v>
      </c>
      <c r="NB33" s="6">
        <f>COUNTIFS(Table106109[Country],Tabela1[[#This Row],[Country]],Table106109[Pursuit Classification],"&gt;0")</f>
        <v>0</v>
      </c>
      <c r="NC33" s="6">
        <f>COUNTIFS(Table106[Country],Tabela1[[#This Row],[Country]],Table106[Sprint Classification],"&gt;0")</f>
        <v>0</v>
      </c>
      <c r="ND33" s="6">
        <f>COUNTIFS(Table106109[Country],Tabela1[[#This Row],[Country]],Table106109[Sprint Classification],"&gt;0")</f>
        <v>0</v>
      </c>
      <c r="NE33" s="6">
        <f>COUNTIFS(Table109[Country],Tabela1[[#This Row],[Country]],Table109[Men''s Relay Classification],"&gt;0")</f>
        <v>0</v>
      </c>
      <c r="NF33" s="6">
        <f>COUNTIFS(Table109[Country],Tabela1[[#This Row],[Country]],Table109[Women''s Relay Classification],"&gt;0")</f>
        <v>0</v>
      </c>
      <c r="NG33" s="6">
        <f>COUNTIFS(Table109[Country],Tabela1[[#This Row],[Country]],Table109[Mixed Relay Classification],"&gt;0")</f>
        <v>0</v>
      </c>
      <c r="NH33" s="6">
        <f>COUNTIFS(Table110[Country],Tabela1[[#This Row],[Country]],Table110[Monobob Classification],"&gt;0")</f>
        <v>0</v>
      </c>
      <c r="NI33" s="6">
        <f>COUNTIFS(Table111[Country],Tabela1[[#This Row],[Country]],Table111[Men''s Classification],"&gt;0")</f>
        <v>1</v>
      </c>
      <c r="NJ33" s="6">
        <f>COUNTIFS(Table111[Country],Tabela1[[#This Row],[Country]],Table111[Women''s Classification],"&gt;0")</f>
        <v>0</v>
      </c>
      <c r="NK33" s="6">
        <f>COUNTIFS(Table112[Country],Tabela1[[#This Row],[Country]],Table112[Men''s Four Classification],"&gt;0")</f>
        <v>1</v>
      </c>
      <c r="NL33" s="6">
        <f>COUNTIFS(Table113[Country],Tabela1[[#This Row],[Country]],Table113[Classical Classification],"&gt;0")</f>
        <v>0</v>
      </c>
      <c r="NM33" s="6">
        <f>COUNTIFS(Table113116[Country],Tabela1[[#This Row],[Country]],Table113116[Classical Classification],"&gt;0")</f>
        <v>0</v>
      </c>
      <c r="NN33" s="6">
        <f>COUNTIFS(Table113[Country],Tabela1[[#This Row],[Country]],Table113[Freestyle Classification],"&gt;0")</f>
        <v>0</v>
      </c>
      <c r="NO33" s="6">
        <f>COUNTIFS(Table113116[Country],Tabela1[[#This Row],[Country]],Table113116[Freestyle Classification],"&gt;0")</f>
        <v>0</v>
      </c>
      <c r="NP33" s="6">
        <f>COUNTIFS(Table117[Country],Tabela1[[#This Row],[Country]],Table117[Men''s Relay Classification],"&gt;0")</f>
        <v>0</v>
      </c>
      <c r="NQ33" s="6">
        <f>COUNTIFS(Table117[Country],Tabela1[[#This Row],[Country]],Table117[Women''s Relay Classification],"&gt;0")</f>
        <v>0</v>
      </c>
      <c r="NR33" s="6">
        <f>COUNTIFS(Table113[Country],Tabela1[[#This Row],[Country]],Table113[Skiathlon Classification],"&gt;0")</f>
        <v>0</v>
      </c>
      <c r="NS33" s="6">
        <f>COUNTIFS(Table113116[Country],Tabela1[[#This Row],[Country]],Table113116[Skiathlon Classification],"&gt;0")</f>
        <v>0</v>
      </c>
      <c r="NT33" s="6">
        <f>COUNTIFS(Table113[Country],Tabela1[[#This Row],[Country]],Table113[Sprint Classification],"&gt;0")</f>
        <v>0</v>
      </c>
      <c r="NU33" s="6">
        <f>COUNTIFS(Table113116[Country],Tabela1[[#This Row],[Country]],Table113116[Sprint Classification],"&gt;0")</f>
        <v>0</v>
      </c>
      <c r="NV33" s="6">
        <f>COUNTIFS(Table116[Country],Tabela1[[#This Row],[Country]],Table116[Men''s Team Sprint Classification],"&gt;0")</f>
        <v>0</v>
      </c>
      <c r="NW33" s="6">
        <f>COUNTIFS(Table116[Country],Tabela1[[#This Row],[Country]],Table116[Women''s Team Sprint Classification],"&gt;0")</f>
        <v>0</v>
      </c>
      <c r="NX33" s="6">
        <f>COUNTIFS(Table119[Country],Tabela1[[#This Row],[Country]],Table119[Men''s Classification],"&gt;0")</f>
        <v>0</v>
      </c>
      <c r="NY33" s="6">
        <f>COUNTIFS(Table119[Country],Tabela1[[#This Row],[Country]],Table119[Women''s Classification],"&gt;0")</f>
        <v>0</v>
      </c>
      <c r="NZ33" s="6">
        <f>COUNTIFS(Table118[Country],Tabela1[[#This Row],[Country]],Table118[Mixed Classification],"&gt;0")</f>
        <v>0</v>
      </c>
      <c r="OA33" s="6">
        <f>COUNTIFS(Table120[Country],Tabela1[[#This Row],[Country]],Table120[Classification],"&gt;0")</f>
        <v>0</v>
      </c>
      <c r="OB33" s="6">
        <f>COUNTIFS(Table120123[Country],Tabela1[[#This Row],[Country]],Table120123[Classification],"&gt;0")</f>
        <v>0</v>
      </c>
      <c r="OC33" s="6">
        <f>COUNTIFS(Table123[Country],Tabela1[[#This Row],[Country]],Table123[Ice Dance Classification],"&gt;0")</f>
        <v>0</v>
      </c>
      <c r="OD33" s="6">
        <f>COUNTIFS(Table123[Country],Tabela1[[#This Row],[Country]],Table123[Pair Skating Classification],"&gt;0")</f>
        <v>0</v>
      </c>
      <c r="OE33" s="6">
        <f>COUNTIFS(Table124[Country],Tabela1[[#This Row],[Country]],Table124[Mixed Classification],"&gt;0")</f>
        <v>0</v>
      </c>
      <c r="OF33" s="6">
        <f>COUNTIFS(Table125[Country],Tabela1[[#This Row],[Country]],Table125[Aerials Classification],"&gt;0")</f>
        <v>0</v>
      </c>
      <c r="OG33" s="6">
        <f>COUNTIFS(Table125128[Country],Tabela1[[#This Row],[Country]],Table125128[Aerials Classification],"&gt;0")</f>
        <v>0</v>
      </c>
      <c r="OH33" s="6">
        <f>COUNTIFS(Table128[Country],Tabela1[[#This Row],[Country]],Table128[Mixed Aerials Classification],"&gt;0")</f>
        <v>0</v>
      </c>
      <c r="OI33" s="6">
        <f>COUNTIFS(Table125[Country],Tabela1[[#This Row],[Country]],Table125[Big Air Classification],"&gt;0")</f>
        <v>0</v>
      </c>
      <c r="OJ33" s="6">
        <f>COUNTIFS(Table125128[Country],Tabela1[[#This Row],[Country]],Table125128[Big Air Classification],"&gt;0")</f>
        <v>0</v>
      </c>
      <c r="OK33" s="6">
        <f>COUNTIFS(Table125[Country],Tabela1[[#This Row],[Country]],Table125[Dual Moguls Classification],"&gt;0")</f>
        <v>0</v>
      </c>
      <c r="OL33" s="6">
        <f>COUNTIFS(Table125128[Country],Tabela1[[#This Row],[Country]],Table125128[Dual Moguls Classification],"&gt;0")</f>
        <v>0</v>
      </c>
      <c r="OM33" s="6">
        <f>COUNTIFS(Table125[Country],Tabela1[[#This Row],[Country]],Table125[Halfpipe Classification],"&gt;0")</f>
        <v>0</v>
      </c>
      <c r="ON33" s="6">
        <f>COUNTIFS(Table125128[Country],Tabela1[[#This Row],[Country]],Table125128[Halfpipe Classification],"&gt;0")</f>
        <v>0</v>
      </c>
      <c r="OO33" s="6">
        <f>COUNTIFS(Table125[Country],Tabela1[[#This Row],[Country]],Table125[Moguls Classification],"&gt;0")</f>
        <v>0</v>
      </c>
      <c r="OP33" s="6">
        <f>COUNTIFS(Table125128[Country],Tabela1[[#This Row],[Country]],Table125128[Moguls Classification],"&gt;0")</f>
        <v>0</v>
      </c>
      <c r="OQ33" s="6">
        <f>COUNTIFS(Table125[Country],Tabela1[[#This Row],[Country]],Table125[Ski Cross Classification],"&gt;0")</f>
        <v>0</v>
      </c>
      <c r="OR33" s="6">
        <f>COUNTIFS(Table125128[Country],Tabela1[[#This Row],[Country]],Table125128[Ski Cross Classification],"&gt;0")</f>
        <v>0</v>
      </c>
      <c r="OS33" s="6">
        <f>COUNTIFS(Table125[Country],Tabela1[[#This Row],[Country]],Table125[Slopestyle Classification],"&gt;0")</f>
        <v>0</v>
      </c>
      <c r="OT33" s="6">
        <f>COUNTIFS(Table125128[Country],Tabela1[[#This Row],[Country]],Table125128[Slopestyle Classification],"&gt;0")</f>
        <v>0</v>
      </c>
      <c r="OU33" s="6">
        <f>COUNTIFS(Table119131[Country],Tabela1[[#This Row],[Country]],Table119131[Men''s Classification],"&gt;0")</f>
        <v>0</v>
      </c>
      <c r="OV33" s="6">
        <f>COUNTIFS(Table119131[Country],Tabela1[[#This Row],[Country]],Table119131[Women''s Classification],"&gt;0")</f>
        <v>0</v>
      </c>
      <c r="OW33" s="6">
        <f>COUNTIFS(Table131[Country],Tabela1[[#This Row],[Country]],Table131[Classification],"&gt;0")</f>
        <v>0</v>
      </c>
      <c r="OX33" s="6">
        <f>COUNTIFS(Table131134[Country],Tabela1[[#This Row],[Country]],Table131134[Classification],"&gt;0")</f>
        <v>0</v>
      </c>
      <c r="OY33" s="6">
        <f>COUNTIFS(Table134[Country],Tabela1[[#This Row],[Country]],Table134[Men''s Classification],"&gt;0")</f>
        <v>0</v>
      </c>
      <c r="OZ33" s="6">
        <f>COUNTIFS(Table134[Country],Tabela1[[#This Row],[Country]],Table134[Women''s Classification],"&gt;0")</f>
        <v>0</v>
      </c>
      <c r="PA33" s="6">
        <f>COUNTIFS(Table135[Country],Tabela1[[#This Row],[Country]],Table135[Mixed Relay Classification],"&gt;0")</f>
        <v>0</v>
      </c>
      <c r="PB33" s="6">
        <f>COUNTIFS(Table136[Country],Tabela1[[#This Row],[Country]],Table136[Individual Classification],"&gt;0")</f>
        <v>0</v>
      </c>
      <c r="PC33" s="6">
        <f>COUNTIFS(Table136[Country],Tabela1[[#This Row],[Country]],Table136[Sprint Classification],"&gt;0")</f>
        <v>0</v>
      </c>
      <c r="PD33" s="6">
        <f>COUNTIFS(Table137[Country],Tabela1[[#This Row],[Country]],Table137[Men''s Team Sprint Large Hill Classification],"&gt;0")</f>
        <v>0</v>
      </c>
      <c r="PE33" s="6">
        <f>COUNTIFS(Table138[Country],Tabela1[[#This Row],[Country]],Table138[500m Classification],"&gt;0")</f>
        <v>0</v>
      </c>
      <c r="PF33" s="6">
        <f>COUNTIFS(Table138141[Country],Tabela1[[#This Row],[Country]],Table138141[500m Classification],"&gt;0")</f>
        <v>0</v>
      </c>
      <c r="PG33" s="6">
        <f>COUNTIFS(Table138[Country],Tabela1[[#This Row],[Country]],Table138[1000m Classification],"&gt;0")</f>
        <v>0</v>
      </c>
      <c r="PH33" s="6">
        <f>COUNTIFS(Table138141[Country],Tabela1[[#This Row],[Country]],Table138141[1000m Classification],"&gt;0")</f>
        <v>0</v>
      </c>
      <c r="PI33" s="6">
        <f>COUNTIFS(Table138[Country],Tabela1[[#This Row],[Country]],Table138[1500m Classification],"&gt;0")</f>
        <v>0</v>
      </c>
      <c r="PJ33" s="6">
        <f>COUNTIFS(Table138141[Country],Tabela1[[#This Row],[Country]],Table138141[1500m Classification],"&gt;0")</f>
        <v>0</v>
      </c>
      <c r="PK33" s="6">
        <f>COUNTIFS(Table141[Country],Tabela1[[#This Row],[Country]],Table141[Men''s 5000m Relay Classification],"&gt;0")</f>
        <v>0</v>
      </c>
      <c r="PL33" s="6">
        <f>COUNTIFS(Table141[Country],Tabela1[[#This Row],[Country]],Table141[Women''s 3000m Relay Classification],"&gt;0")</f>
        <v>0</v>
      </c>
      <c r="PM33" s="6">
        <f>COUNTIFS(Table141[Country],Tabela1[[#This Row],[Country]],Table141[Mixed 2000m Relay Classification],"&gt;0")</f>
        <v>0</v>
      </c>
      <c r="PN33" s="6">
        <f>COUNTIFS(Table142[Country],Tabela1[[#This Row],[Country]],Table142[Classification],"&gt;0")</f>
        <v>1</v>
      </c>
      <c r="PO33" s="6">
        <f>COUNTIFS(Table142145[Country],Tabela1[[#This Row],[Country]],Table142145[Classification],"&gt;0")</f>
        <v>0</v>
      </c>
      <c r="PP33" s="6">
        <f>COUNTIFS(Tabela15[Country],Tabela1[[#This Row],[Country]],Tabela15[Mixed Team Classification],"&gt;0")</f>
        <v>0</v>
      </c>
      <c r="PQ33" s="6">
        <f>COUNTIFS(Table145[Country],Tabela1[[#This Row],[Country]],Table145[Large Hill Classification],"&gt;0")</f>
        <v>0</v>
      </c>
      <c r="PR33" s="6">
        <f>COUNTIFS(Table145[Country],Tabela1[[#This Row],[Country]],Table145[Normal Hill Classification],"&gt;0")</f>
        <v>0</v>
      </c>
      <c r="PS33" s="6">
        <f>COUNTIFS(Table145148[Country],Tabela1[[#This Row],[Country]],Table145148[Large Hill Classification],"&gt;0")</f>
        <v>0</v>
      </c>
      <c r="PT33" s="6">
        <f>COUNTIFS(Table145148[Country],Tabela1[[#This Row],[Country]],Table145148[Normal Hill Classification],"&gt;0")</f>
        <v>0</v>
      </c>
      <c r="PU33" s="6">
        <f>COUNTIFS(Table148[Country],Tabela1[[#This Row],[Country]],Table148[Men''s Super Team Classification],"&gt;0")</f>
        <v>0</v>
      </c>
      <c r="PV33" s="6">
        <f>COUNTIFS(Tabela114[Country],Tabela1[[#This Row],[Country]],Tabela114[Mixed Normal Hill Classification],"&gt;0")</f>
        <v>0</v>
      </c>
      <c r="PW33" s="6">
        <f>COUNTIFS(Tabela50[Country],Tabela1[[#This Row],[Country]],Tabela50[Sprint Classification],"&gt;0")</f>
        <v>0</v>
      </c>
      <c r="PX33" s="6">
        <f>COUNTIFS(Tabela50101[Country],Tabela1[[#This Row],[Country]],Tabela50101[Sprint Classification],"&gt;0")</f>
        <v>0</v>
      </c>
      <c r="PY33" s="6">
        <f>COUNTIFS(Tabela103[Country],Tabela1[[#This Row],[Country]],Tabela103[Mixed Relay Classification],"&gt;0")</f>
        <v>0</v>
      </c>
      <c r="PZ33" s="6">
        <f>COUNTIFS(Table149[Country],Tabela1[[#This Row],[Country]],Table149[Big Air Classification],"&gt;0")</f>
        <v>0</v>
      </c>
      <c r="QA33" s="6">
        <f>COUNTIFS(Table149152[Country],Tabela1[[#This Row],[Country]],Table149152[Big Air Classification],"&gt;0")</f>
        <v>0</v>
      </c>
      <c r="QB33" s="6">
        <f>COUNTIFS(Table149[Country],Tabela1[[#This Row],[Country]],Table149[Halfpipe Classification],"&gt;0")</f>
        <v>0</v>
      </c>
      <c r="QC33" s="6">
        <f>COUNTIFS(Table149152[Country],Tabela1[[#This Row],[Country]],Table149152[Halfpipe Classification],"&gt;0")</f>
        <v>0</v>
      </c>
      <c r="QD33" s="6">
        <f>COUNTIFS(Table149[Country],Tabela1[[#This Row],[Country]],Table149[Parallel Giant Slalom Classification],"&gt;0")</f>
        <v>0</v>
      </c>
      <c r="QE33" s="6">
        <f>COUNTIFS(Table149152[Country],Tabela1[[#This Row],[Country]],Table149152[Parallel Giant Slalom Classification],"&gt;0")</f>
        <v>0</v>
      </c>
      <c r="QF33" s="6">
        <f>COUNTIFS(Table149[Country],Tabela1[[#This Row],[Country]],Table149[Slopestyle Classification],"&gt;0")</f>
        <v>0</v>
      </c>
      <c r="QG33" s="6">
        <f>COUNTIFS(Table149152[Country],Tabela1[[#This Row],[Country]],Table149152[Slopestyle Classification],"&gt;0")</f>
        <v>0</v>
      </c>
      <c r="QH33" s="6">
        <f>COUNTIFS(Table149[Country],Tabela1[[#This Row],[Country]],Table149[Snowboard Cross Classification],"&gt;0")</f>
        <v>0</v>
      </c>
      <c r="QI33" s="6">
        <f>COUNTIFS(Table149152[Country],Tabela1[[#This Row],[Country]],Table149152[Snowboard Cross Classification],"&gt;0")</f>
        <v>0</v>
      </c>
      <c r="QJ33" s="6">
        <f>COUNTIFS(Table153[Country],Tabela1[[#This Row],[Country]],Table153[Mixed Team Snowboard Cross Classification],"&gt;0")</f>
        <v>0</v>
      </c>
      <c r="QK33" s="6">
        <f>COUNTIFS(Table154[Country],Tabela1[[#This Row],[Country]],Table154[500m Classification],"&gt;0")</f>
        <v>0</v>
      </c>
      <c r="QL33" s="6">
        <f>COUNTIFS(Table154157[Country],Tabela1[[#This Row],[Country]],Table154157[500m Classification],"&gt;0")</f>
        <v>0</v>
      </c>
      <c r="QM33" s="6">
        <f>COUNTIFS(Table154[Country],Tabela1[[#This Row],[Country]],Table154[1000m Classification],"&gt;0")</f>
        <v>0</v>
      </c>
      <c r="QN33" s="6">
        <f>COUNTIFS(Table154157[Country],Tabela1[[#This Row],[Country]],Table154157[1000m Classification],"&gt;0")</f>
        <v>0</v>
      </c>
      <c r="QO33" s="6">
        <f>COUNTIFS(Table154[Country],Tabela1[[#This Row],[Country]],Table154[1500m Classification],"&gt;0")</f>
        <v>0</v>
      </c>
      <c r="QP33" s="6">
        <f>COUNTIFS(Table154157[Country],Tabela1[[#This Row],[Country]],Table154157[1500m Classification],"&gt;0")</f>
        <v>0</v>
      </c>
      <c r="QQ33" s="6">
        <f>COUNTIFS(Table154157[Country],Tabela1[[#This Row],[Country]],Table154157[3000m Classification],"&gt;0")</f>
        <v>0</v>
      </c>
      <c r="QR33" s="6">
        <f>COUNTIFS(Table154[Country],Tabela1[[#This Row],[Country]],Table154[5000m Classification],"&gt;0")</f>
        <v>0</v>
      </c>
      <c r="QS33" s="6">
        <f>COUNTIFS(Table154157[Country],Tabela1[[#This Row],[Country]],Table154157[5000m Classification],"&gt;0")</f>
        <v>0</v>
      </c>
      <c r="QT33" s="6">
        <f>COUNTIFS(Table154[Country],Tabela1[[#This Row],[Country]],Table154[10000m Classification],"&gt;0")</f>
        <v>0</v>
      </c>
      <c r="QU33" s="6">
        <f>COUNTIFS(Table154[Country],Tabela1[[#This Row],[Country]],Table154[Mass Start Classification],"&gt;0")</f>
        <v>0</v>
      </c>
      <c r="QV33" s="6">
        <f>COUNTIFS(Table154157[Country],Tabela1[[#This Row],[Country]],Table154157[Mass Start Classification],"&gt;0")</f>
        <v>0</v>
      </c>
      <c r="QW33" s="6">
        <f>COUNTIFS(Table157[Country],Tabela1[[#This Row],[Country]],Table157[Men''s Pursuit Classification],"&gt;0")</f>
        <v>0</v>
      </c>
      <c r="QX33" s="6">
        <f>COUNTIFS(Table157[Country],Tabela1[[#This Row],[Country]],Table157[Women''s Pursuit Classification],"&gt;0")</f>
        <v>0</v>
      </c>
      <c r="QY33" s="4" t="s">
        <v>599</v>
      </c>
    </row>
    <row r="34" spans="1:467" x14ac:dyDescent="0.3">
      <c r="A34" s="6">
        <v>33</v>
      </c>
      <c r="B34" s="6" t="s">
        <v>362</v>
      </c>
      <c r="C34" t="e" vm="33">
        <f>IF(ISBLANK(Tabela1[[#This Row],[Image Link]]), "", _xlfn.IMAGE(Tabela1[[#This Row],[Image Link]],1,1))</f>
        <v>#VALUE!</v>
      </c>
      <c r="D34" s="6">
        <f>SUM(Tabela1[[#This Row],[Archery - Men''s Individual Recurve]:[Speed Skating - Women''s Team Pursuit]])</f>
        <v>40</v>
      </c>
      <c r="E34" s="6">
        <f>COUNTIF(Tabela1[[#This Row],[Archery - Men''s Individual Recurve]:[Speed Skating - Women''s Team Pursuit]],"&gt;0")</f>
        <v>38</v>
      </c>
      <c r="F34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34" s="6">
        <f>SUM(Tabela1[[#This Row],[Archery - Men''s Individual Recurve]:[Wrestling - Women''s Freestyle 76kg]])</f>
        <v>36</v>
      </c>
      <c r="H34" s="6">
        <f>SUM(Tabela1[[#This Row],[Alpine Skiing - Men''s Downhill]:[Speed Skating - Women''s Team Pursuit]])</f>
        <v>4</v>
      </c>
      <c r="I34" s="6">
        <f>Tabela1[[#This Row],[Summer Gold Medals]]+Tabela1[[#This Row],[Winter Gold Medals]]</f>
        <v>0</v>
      </c>
      <c r="J34" s="6">
        <f>Tabela1[[#This Row],[Summer Silver Medals]]+Tabela1[[#This Row],[Winter Silver Medals]]</f>
        <v>3</v>
      </c>
      <c r="K34" s="6">
        <f>Tabela1[[#This Row],[Summer Bronze Medals]]+Tabela1[[#This Row],[Winter Bronze Medals]]</f>
        <v>1</v>
      </c>
      <c r="L34" s="6">
        <f>SUM(Tabela1[[#This Row],[Total Gold Medals]:[Total Bronze Medals]])</f>
        <v>4</v>
      </c>
      <c r="M34" s="6"/>
      <c r="N34" s="6">
        <v>3</v>
      </c>
      <c r="O34" s="6">
        <v>1</v>
      </c>
      <c r="P34" s="6">
        <f>SUM(Tabela1[[#This Row],[Summer Gold Medals]:[Summer Bronze Medals]])</f>
        <v>4</v>
      </c>
      <c r="Q34" s="6"/>
      <c r="R34" s="6"/>
      <c r="S34" s="6"/>
      <c r="T34" s="6">
        <f>Tabela1[[#This Row],[Winter Gold Medals]]+Tabela1[[#This Row],[Winter Silver Medals]]+Tabela1[[#This Row],[Winter Bronze Medals]]</f>
        <v>0</v>
      </c>
      <c r="U34" s="7">
        <f>Tabela1[[#This Row],[Total Medals]]/Tabela1[[#This Row],[Total Quotas]]</f>
        <v>0.1</v>
      </c>
      <c r="V34" s="6">
        <f>COUNTIFS(Table3[Country],Tabela1[[#This Row],[Country]],Table3[Recurve Classification],"&gt;0")</f>
        <v>2</v>
      </c>
      <c r="W34" s="6">
        <f>COUNTIFS(Table33[Country],Tabela1[[#This Row],[Country]],Table33[Recurve Classification],"&gt;0")</f>
        <v>0</v>
      </c>
      <c r="X34" s="6">
        <f>COUNTIFS(Table35[Country],Tabela1[[#This Row],[Country]],Table35[Men''s Team Recurve Classification],"&gt;0")</f>
        <v>1</v>
      </c>
      <c r="Y34" s="6">
        <f>COUNTIFS(Table35[Country],Tabela1[[#This Row],[Country]],Table35[Women''s Team Recurve Classification],"&gt;0")</f>
        <v>0</v>
      </c>
      <c r="Z34" s="6">
        <f>COUNTIFS(Tabela88[Country],Tabela1[[#This Row],[Country]],Tabela88[Mixed Team Recurve Classification],"&gt;0")</f>
        <v>0</v>
      </c>
      <c r="AA34" s="6">
        <f>COUNTIFS(Table36[Country],Tabela1[[#This Row],[Country]],Table36[Classification],"&gt;0")</f>
        <v>0</v>
      </c>
      <c r="AB34" s="6">
        <f>COUNTIFS(Table37[Country],Tabela1[[#This Row],[Country]],Table37[Classification],"&gt;0")</f>
        <v>0</v>
      </c>
      <c r="AC34" s="6">
        <f>COUNTIFS(Table4[Country],Tabela1[[#This Row],[Country]],Table4[100m Classification],"&gt;0")</f>
        <v>1</v>
      </c>
      <c r="AD34" s="6">
        <f>COUNTIFS(Table5[Country],Tabela1[[#This Row],[Country]],Table5[100m Classification],"&gt;0")</f>
        <v>0</v>
      </c>
      <c r="AE34" s="6">
        <f>COUNTIFS(Table4[Country],Tabela1[[#This Row],[Country]],Table4[200m Classification],"&gt;0")</f>
        <v>0</v>
      </c>
      <c r="AF34" s="6">
        <f>COUNTIFS(Table5[Country],Tabela1[[#This Row],[Country]],Table5[200m Classification],"&gt;0")</f>
        <v>0</v>
      </c>
      <c r="AG34" s="6">
        <f>COUNTIFS(Table4[Country],Tabela1[[#This Row],[Country]],Table4[400m Classification],"&gt;0")</f>
        <v>0</v>
      </c>
      <c r="AH34" s="6">
        <f>COUNTIFS(Table5[Country],Tabela1[[#This Row],[Country]],Table5[400m Classification],"&gt;0")</f>
        <v>0</v>
      </c>
      <c r="AI34" s="6">
        <f>COUNTIFS(Table4[Country],Tabela1[[#This Row],[Country]],Table4[800m Classification],"&gt;0")</f>
        <v>0</v>
      </c>
      <c r="AJ34" s="6">
        <f>COUNTIFS(Table5[Country],Tabela1[[#This Row],[Country]],Table5[800m Classification],"&gt;0")</f>
        <v>0</v>
      </c>
      <c r="AK34" s="6">
        <f>COUNTIFS(Table4[Country],Tabela1[[#This Row],[Country]],Table4[1500m Classification],"&gt;0")</f>
        <v>0</v>
      </c>
      <c r="AL34" s="6">
        <f>COUNTIFS(Table5[Country],Tabela1[[#This Row],[Country]],Table5[1500m Classification],"&gt;0")</f>
        <v>0</v>
      </c>
      <c r="AM34" s="6">
        <f>COUNTIFS(Table4[Country],Tabela1[[#This Row],[Country]],Table4[5000m Classification],"&gt;0")</f>
        <v>0</v>
      </c>
      <c r="AN34" s="6">
        <f>COUNTIFS(Table5[Country],Tabela1[[#This Row],[Country]],Table5[5000m Classification],"&gt;0")</f>
        <v>0</v>
      </c>
      <c r="AO34" s="6">
        <f>COUNTIFS(Table4[Country],Tabela1[[#This Row],[Country]],Table4[10000m Classification],"&gt;0")</f>
        <v>0</v>
      </c>
      <c r="AP34" s="6">
        <f>COUNTIFS(Table5[Country],Tabela1[[#This Row],[Country]],Table5[10000m Classification],"&gt;0")</f>
        <v>0</v>
      </c>
      <c r="AQ34" s="6">
        <f>COUNTIFS(Table4[Country],Tabela1[[#This Row],[Country]],Table4[110m Hurdles Classification],"&gt;0")</f>
        <v>0</v>
      </c>
      <c r="AR34" s="6">
        <f>COUNTIFS(Table5[Country],Tabela1[[#This Row],[Country]],Table5[100m Hurdles Classification],"&gt;0")</f>
        <v>0</v>
      </c>
      <c r="AS34" s="6">
        <f>COUNTIFS(Table4[Country],Tabela1[[#This Row],[Country]],Table4[400m Hurdles Classification],"&gt;0")</f>
        <v>0</v>
      </c>
      <c r="AT34" s="6">
        <f>COUNTIFS(Table5[Country],Tabela1[[#This Row],[Country]],Table5[400m Hurdles Classification],"&gt;0")</f>
        <v>0</v>
      </c>
      <c r="AU34" s="6">
        <f>COUNTIFS(Table4[Country],Tabela1[[#This Row],[Country]],Table4[3000m Steeplechase Classification],"&gt;0")</f>
        <v>0</v>
      </c>
      <c r="AV34" s="6">
        <f>COUNTIFS(Table5[Country],Tabela1[[#This Row],[Country]],Table5[3000m Steeplechase Classification],"&gt;0")</f>
        <v>0</v>
      </c>
      <c r="AW34" s="6">
        <f>COUNTIFS(Table27[Country],Tabela1[[#This Row],[Country]],Table27[Men''s 4x100m Relay Classification],"&gt;0")</f>
        <v>0</v>
      </c>
      <c r="AX34" s="6">
        <f>COUNTIFS(Table27[Country],Tabela1[[#This Row],[Country]],Table27[Women''s 4x100m Relay Classification],"&gt;0")</f>
        <v>0</v>
      </c>
      <c r="AY34" s="6">
        <f>COUNTIFS(Table27[Country],Tabela1[[#This Row],[Country]],Table27[Men''s 4x400m Relay Classification],"&gt;0")</f>
        <v>0</v>
      </c>
      <c r="AZ34" s="6">
        <f>COUNTIFS(Table27[Country],Tabela1[[#This Row],[Country]],Table27[Women''s 4x400m Relay Classification],"&gt;0")</f>
        <v>0</v>
      </c>
      <c r="BA34" s="6">
        <f>COUNTIFS(Table27[Country],Tabela1[[#This Row],[Country]],Table27[Mixed 4x400m Relay Classification],"&gt;0")</f>
        <v>0</v>
      </c>
      <c r="BB34" s="6">
        <f>COUNTIFS(Table4[Country],Tabela1[[#This Row],[Country]],Table4[Marathon Classification],"&gt;0")</f>
        <v>0</v>
      </c>
      <c r="BC34" s="6">
        <f>COUNTIFS(Table5[Country],Tabela1[[#This Row],[Country]],Table5[Marathon Classification],"&gt;0")</f>
        <v>1</v>
      </c>
      <c r="BD34" s="6">
        <f>COUNTIFS(Table4[Country],Tabela1[[#This Row],[Country]],Table4[20km Race Walk Classification],"&gt;0")</f>
        <v>0</v>
      </c>
      <c r="BE34" s="6">
        <f>COUNTIFS(Table5[Country],Tabela1[[#This Row],[Country]],Table5[20km Race Walk Classification],"&gt;0")</f>
        <v>0</v>
      </c>
      <c r="BF34" s="6">
        <f>COUNTIFS(Tabela96[Country],Tabela1[[#This Row],[Country]],Tabela96[Mixed Marathon Race Walk Relay Classification],"&gt;0")</f>
        <v>2</v>
      </c>
      <c r="BG34" s="6">
        <f>COUNTIFS(Table4[Country],Tabela1[[#This Row],[Country]],Table4[Discus Throw Classification],"&gt;0")</f>
        <v>0</v>
      </c>
      <c r="BH34" s="6">
        <f>COUNTIFS(Table5[Country],Tabela1[[#This Row],[Country]],Table5[Discus Throw Classification],"&gt;0")</f>
        <v>0</v>
      </c>
      <c r="BI34" s="6">
        <f>COUNTIFS(Table4[Country],Tabela1[[#This Row],[Country]],Table4[Hammer Throw Classification],"&gt;0")</f>
        <v>0</v>
      </c>
      <c r="BJ34" s="6">
        <f>COUNTIFS(Table5[Country],Tabela1[[#This Row],[Country]],Table5[Hammer Throw Classification],"&gt;0")</f>
        <v>0</v>
      </c>
      <c r="BK34" s="6">
        <f>COUNTIFS(Table4[Country],Tabela1[[#This Row],[Country]],Table4[High Jump Classification],"&gt;0")</f>
        <v>0</v>
      </c>
      <c r="BL34" s="6">
        <f>COUNTIFS(Table5[Country],Tabela1[[#This Row],[Country]],Table5[High Jump Classification],"&gt;0")</f>
        <v>0</v>
      </c>
      <c r="BM34" s="6">
        <f>COUNTIFS(Table4[Country],Tabela1[[#This Row],[Country]],Table4[Javelin Throw Classification],"&gt;0")</f>
        <v>0</v>
      </c>
      <c r="BN34" s="6">
        <f>COUNTIFS(Table5[Country],Tabela1[[#This Row],[Country]],Table5[Javelin Throw Classification],"&gt;0")</f>
        <v>1</v>
      </c>
      <c r="BO34" s="6">
        <f>COUNTIFS(Table4[Country],Tabela1[[#This Row],[Country]],Table4[Long Jump Classification],"&gt;0")</f>
        <v>1</v>
      </c>
      <c r="BP34" s="6">
        <f>COUNTIFS(Table5[Country],Tabela1[[#This Row],[Country]],Table5[Long Jump Classification],"&gt;0")</f>
        <v>1</v>
      </c>
      <c r="BQ34" s="6">
        <f>COUNTIFS(Table4[Country],Tabela1[[#This Row],[Country]],Table4[Pole Vault Classification],"&gt;0")</f>
        <v>0</v>
      </c>
      <c r="BR34" s="6">
        <f>COUNTIFS(Table5[Country],Tabela1[[#This Row],[Country]],Table5[Pole Vault Classification],"&gt;0")</f>
        <v>0</v>
      </c>
      <c r="BS34" s="6">
        <f>COUNTIFS(Table4[Country],Tabela1[[#This Row],[Country]],Table4[Shot Put Classification],"&gt;0")</f>
        <v>0</v>
      </c>
      <c r="BT34" s="6">
        <f>COUNTIFS(Table5[Country],Tabela1[[#This Row],[Country]],Table5[Shot Put Classification],"&gt;0")</f>
        <v>0</v>
      </c>
      <c r="BU34" s="6">
        <f>COUNTIFS(Table4[Country],Tabela1[[#This Row],[Country]],Table4[Triple Jump Classification],"&gt;0")</f>
        <v>1</v>
      </c>
      <c r="BV34" s="6">
        <f>COUNTIFS(Table5[Country],Tabela1[[#This Row],[Country]],Table5[Triple Jump Classification],"&gt;0")</f>
        <v>0</v>
      </c>
      <c r="BW34" s="6">
        <f>COUNTIFS(Table4[Country],Tabela1[[#This Row],[Country]],Table4[Decathlon Classification],"&gt;0")</f>
        <v>0</v>
      </c>
      <c r="BX34" s="6">
        <f>COUNTIFS(Table5[Country],Tabela1[[#This Row],[Country]],Table5[Heptathlon Classification],"&gt;0")</f>
        <v>1</v>
      </c>
      <c r="BY34" s="6">
        <f>COUNTIFS(Table61[Country],Tabela1[[#This Row],[Country]],Table61[Classification],"&gt;0")</f>
        <v>0</v>
      </c>
      <c r="BZ34" s="6">
        <f>COUNTIFS(Table38[Country],Tabela1[[#This Row],[Country]],Table38[Classification],"&gt;0")</f>
        <v>0</v>
      </c>
      <c r="CA34" s="6">
        <f>COUNTIFS(Table39[Country],Tabela1[[#This Row],[Country]],Table39[Men''s Classification],"&gt;0")</f>
        <v>0</v>
      </c>
      <c r="CB34" s="6">
        <f>COUNTIFS(Table39[Country],Tabela1[[#This Row],[Country]],Table39[Women''s Classification],"&gt;0")</f>
        <v>0</v>
      </c>
      <c r="CC34" s="6">
        <f>COUNTIFS(Table39[Country],Tabela1[[#This Row],[Country]],Table39[Mixed Classification],"&gt;0")</f>
        <v>0</v>
      </c>
      <c r="CD34" s="6">
        <f>COUNTIFS(Table89[Country],Tabela1[[#This Row],[Country]],Table89[Men''s Classification],"&gt;0")</f>
        <v>0</v>
      </c>
      <c r="CE34" s="6">
        <f>COUNTIFS(Table89[Country],Tabela1[[#This Row],[Country]],Table89[Women''s Classification],"&gt;0")</f>
        <v>0</v>
      </c>
      <c r="CF34" s="6">
        <f>COUNTIFS(Table90[Country],Tabela1[[#This Row],[Country]],Table90[Men''s Classification],"&gt;0")</f>
        <v>0</v>
      </c>
      <c r="CG34" s="6">
        <f>COUNTIFS(Table90[Country],Tabela1[[#This Row],[Country]],Table90[Women''s Classification],"&gt;0")</f>
        <v>0</v>
      </c>
      <c r="CH34" s="6">
        <f>COUNTIFS(Table60[Country],Tabela1[[#This Row],[Country]],Table60[Men''s Classification],"&gt;0")</f>
        <v>0</v>
      </c>
      <c r="CI34" s="6">
        <f>COUNTIFS(Table60[Country],Tabela1[[#This Row],[Country]],Table60[Women''s Classification],"&gt;0")</f>
        <v>0</v>
      </c>
      <c r="CJ34" s="6">
        <f>COUNTIFS(Table6[Country],Tabela1[[#This Row],[Country]],Table6[51kg Classification],"&gt;0")</f>
        <v>0</v>
      </c>
      <c r="CK34" s="6">
        <f>COUNTIFS(Table6[Country],Tabela1[[#This Row],[Country]],Table6[57kg Classification],"&gt;0")</f>
        <v>1</v>
      </c>
      <c r="CL34" s="6">
        <f>COUNTIFS(Table6[Country],Tabela1[[#This Row],[Country]],Table6[63.5kg Classification],"&gt;0")</f>
        <v>0</v>
      </c>
      <c r="CM34" s="6">
        <f>COUNTIFS(Table6[Country],Tabela1[[#This Row],[Country]],Table6[71kg Classification],"&gt;0")</f>
        <v>0</v>
      </c>
      <c r="CN34" s="6">
        <f>COUNTIFS(Table6[Country],Tabela1[[#This Row],[Country]],Table6[80kg Classification],"&gt;0")</f>
        <v>0</v>
      </c>
      <c r="CO34" s="6">
        <f>COUNTIFS(Table6[Country],Tabela1[[#This Row],[Country]],Table6[92kg Classification],"&gt;0")</f>
        <v>0</v>
      </c>
      <c r="CP34" s="6">
        <f>COUNTIFS(Table6[Country],Tabela1[[#This Row],[Country]],Table6[Plus 92kg Classification],"&gt;0")</f>
        <v>0</v>
      </c>
      <c r="CQ34" s="6">
        <f>COUNTIFS(Table7[Country],Tabela1[[#This Row],[Country]],Table7[50kg Classification],"&gt;0")</f>
        <v>1</v>
      </c>
      <c r="CR34" s="6">
        <f>COUNTIFS(Table7[Country],Tabela1[[#This Row],[Country]],Table7[54kg Classification],"&gt;0")</f>
        <v>1</v>
      </c>
      <c r="CS34" s="6">
        <f>COUNTIFS(Table7[Country],Tabela1[[#This Row],[Country]],Table7[57kg Classification],"&gt;0")</f>
        <v>1</v>
      </c>
      <c r="CT34" s="6">
        <f>COUNTIFS(Table7[Country],Tabela1[[#This Row],[Country]],Table7[60kg Classification],"&gt;0")</f>
        <v>0</v>
      </c>
      <c r="CU34" s="6">
        <f>COUNTIFS(Table7[Country],Tabela1[[#This Row],[Country]],Table7[66kg Classification],"&gt;0")</f>
        <v>0</v>
      </c>
      <c r="CV34" s="6">
        <f>COUNTIFS(Table7[Country],Tabela1[[#This Row],[Country]],Table7[75kg Classification],"&gt;0")</f>
        <v>0</v>
      </c>
      <c r="CW34" s="6">
        <f>COUNTIFS(Tabela94[Country],Tabela1[[#This Row],[Country]],Tabela94[Classification],"&gt;0")</f>
        <v>0</v>
      </c>
      <c r="CX34" s="6">
        <f>COUNTIFS(Tabela9499[Country],Tabela1[[#This Row],[Country]],Tabela9499[Classification],"&gt;0")</f>
        <v>0</v>
      </c>
      <c r="CY34" s="6">
        <f>COUNTIFS(Tabela107[Country],Tabela1[[#This Row],[Country]],Tabela107[C1 Slalom Classification],"&gt;0")</f>
        <v>0</v>
      </c>
      <c r="CZ34" s="6">
        <f>COUNTIFS(Tabela107122[Country],Tabela1[[#This Row],[Country]],Tabela107122[C1 Slalom Classification],"&gt;0")</f>
        <v>0</v>
      </c>
      <c r="DA34" s="6">
        <f>COUNTIFS(Tabela107[Country],Tabela1[[#This Row],[Country]],Tabela107[K1 Slalom Classification],"&gt;0")</f>
        <v>0</v>
      </c>
      <c r="DB34" s="6">
        <f>COUNTIFS(Tabela107122[Country],Tabela1[[#This Row],[Country]],Tabela107122[K1 Slalom Classification],"&gt;0")</f>
        <v>0</v>
      </c>
      <c r="DC34" s="6">
        <f>COUNTIFS(Tabela107[Country],Tabela1[[#This Row],[Country]],Tabela107[Kayak Cross Slalom Classification],"&gt;0")</f>
        <v>0</v>
      </c>
      <c r="DD34" s="6">
        <f>COUNTIFS(Tabela107122[Country],Tabela1[[#This Row],[Country]],Tabela107122[Kayak Cross Slalom Classification],"&gt;0")</f>
        <v>0</v>
      </c>
      <c r="DE34" s="6">
        <f>COUNTIFS(Table8[Country],Tabela1[[#This Row],[Country]],Table8[C1 200m Classification],"&gt;0")</f>
        <v>0</v>
      </c>
      <c r="DF34" s="6">
        <f>COUNTIFS(Table40[Country],Tabela1[[#This Row],[Country]],Table40[C1 1000m Classification],"&gt;0")</f>
        <v>0</v>
      </c>
      <c r="DG34" s="6">
        <f>COUNTIFS(Table68[Country],Tabela1[[#This Row],[Country]],Table68[Men''s C2 500m Classification],"&gt;0")</f>
        <v>0</v>
      </c>
      <c r="DH34" s="6">
        <f>COUNTIFS(Table68[Country],Tabela1[[#This Row],[Country]],Table68[Women''s C2 500m Classification],"&gt;0")</f>
        <v>0</v>
      </c>
      <c r="DI34" s="6">
        <f>COUNTIFS(Table8[Country],Tabela1[[#This Row],[Country]],Table8[K1 500m Classification],"&gt;0")</f>
        <v>0</v>
      </c>
      <c r="DJ34" s="6">
        <f>COUNTIFS(Table40[Country],Tabela1[[#This Row],[Country]],Table40[K1 1000m Classification],"&gt;0")</f>
        <v>0</v>
      </c>
      <c r="DK34" s="6">
        <f>COUNTIFS(Table68[Country],Tabela1[[#This Row],[Country]],Table68[Men''s K2 500m Classification],"&gt;0")</f>
        <v>0</v>
      </c>
      <c r="DL34" s="6">
        <f>COUNTIFS(Table68[Country],Tabela1[[#This Row],[Country]],Table68[Women''s K2 500m Classification],"&gt;0")</f>
        <v>0</v>
      </c>
      <c r="DM34" s="6">
        <f>COUNTIFS(Table83[Country],Tabela1[[#This Row],[Country]],Table83[Men''s K4 500m Classification],"&gt;0")</f>
        <v>0</v>
      </c>
      <c r="DN34" s="6">
        <f>COUNTIFS(Table83[Country],Tabela1[[#This Row],[Country]],Table83[Women''s K4 500m Classification],"&gt;0")</f>
        <v>0</v>
      </c>
      <c r="DO34" s="6">
        <f>COUNTIFS(Tabela126[Country],Tabela1[[#This Row],[Country]],Tabela126[Classification],"&gt;0")</f>
        <v>0</v>
      </c>
      <c r="DP34" s="6">
        <f>COUNTIFS(Tabela126130[Country],Tabela1[[#This Row],[Country]],Tabela126130[Classification],"&gt;0")</f>
        <v>1</v>
      </c>
      <c r="DQ34" s="6">
        <f>COUNTIFS(Table70[Country],Tabela1[[#This Row],[Country]],Table70[Classification],"&gt;0")</f>
        <v>0</v>
      </c>
      <c r="DR34" s="6">
        <f>COUNTIFS(Table80[Country],Tabela1[[#This Row],[Country]],Table80[Classification],"&gt;0")</f>
        <v>0</v>
      </c>
      <c r="DS34" s="6">
        <f>COUNTIFS(Table66[Country],Tabela1[[#This Row],[Country]],Table66[Classification],"&gt;0")</f>
        <v>1</v>
      </c>
      <c r="DT34" s="6">
        <f>COUNTIFS(Table67[Country],Tabela1[[#This Row],[Country]],Table67[Classification],"&gt;0")</f>
        <v>0</v>
      </c>
      <c r="DU34" s="6">
        <f>COUNTIFS(Table69[Country],Tabela1[[#This Row],[Country]],Table69[Keirin Classification],"&gt;0")</f>
        <v>1</v>
      </c>
      <c r="DV34" s="6">
        <f>COUNTIFS(Table41[Country],Tabela1[[#This Row],[Country]],Table41[Keirin Classification],"&gt;0")</f>
        <v>0</v>
      </c>
      <c r="DW34" s="6">
        <f>COUNTIFS(Table84[Country],Tabela1[[#This Row],[Country]],Table84[Men''s Madison Classification],"&gt;0")</f>
        <v>0</v>
      </c>
      <c r="DX34" s="6">
        <f>COUNTIFS(Table84[Country],Tabela1[[#This Row],[Country]],Table84[Women''s Madison Classification],"&gt;0")</f>
        <v>0</v>
      </c>
      <c r="DY34" s="6">
        <f>COUNTIFS(Table69[Country],Tabela1[[#This Row],[Country]],Table69[Omnium Classification],"&gt;0")</f>
        <v>0</v>
      </c>
      <c r="DZ34" s="6">
        <f>COUNTIFS(Table41[Country],Tabela1[[#This Row],[Country]],Table41[Omnium Classification],"&gt;0")</f>
        <v>0</v>
      </c>
      <c r="EA34" s="6">
        <f>COUNTIFS(Table9[Country],Tabela1[[#This Row],[Country]],Table9[Road Race Classification],"&gt;0")</f>
        <v>1</v>
      </c>
      <c r="EB34" s="6">
        <f>COUNTIFS(Table14[Country],Tabela1[[#This Row],[Country]],Table14[Road Race Classification],"&gt;0")</f>
        <v>0</v>
      </c>
      <c r="EC34" s="6">
        <f>COUNTIFS(Table69[Country],Tabela1[[#This Row],[Country]],Table69[Sprint Classification],"&gt;0")</f>
        <v>1</v>
      </c>
      <c r="ED34" s="6">
        <f>COUNTIFS(Table41[Country],Tabela1[[#This Row],[Country]],Table41[Sprint Classification],"&gt;0")</f>
        <v>0</v>
      </c>
      <c r="EE34" s="6">
        <f>COUNTIFS(Table85[Country],Tabela1[[#This Row],[Country]],Table85[Men''s Sprint Classification],"&gt;0")</f>
        <v>0</v>
      </c>
      <c r="EF34" s="6">
        <f>COUNTIFS(Table85[Country],Tabela1[[#This Row],[Country]],Table85[Women''s Sprint Classification],"&gt;0")</f>
        <v>0</v>
      </c>
      <c r="EG34" s="6">
        <f>COUNTIFS(Table85[Country],Tabela1[[#This Row],[Country]],Table85[Men''s Pursuit Classification],"&gt;0")</f>
        <v>0</v>
      </c>
      <c r="EH34" s="6">
        <f>COUNTIFS(Table85[Country],Tabela1[[#This Row],[Country]],Table85[Women''s Pursuit Classification],"&gt;0")</f>
        <v>0</v>
      </c>
      <c r="EI34" s="6">
        <f>COUNTIFS(Table9[Country],Tabela1[[#This Row],[Country]],Table9[Time-Trial Classification],"&gt;0")</f>
        <v>0</v>
      </c>
      <c r="EJ34" s="6">
        <f>COUNTIFS(Table14[Country],Tabela1[[#This Row],[Country]],Table14[Time-Trial Classification],"&gt;0")</f>
        <v>0</v>
      </c>
      <c r="EK34" s="6">
        <f>COUNTIFS(Table42[Country],Tabela1[[#This Row],[Country]],Table42[Springboard Classification],"&gt;0")</f>
        <v>0</v>
      </c>
      <c r="EL34" s="6">
        <f>COUNTIFS(Table43[Country],Tabela1[[#This Row],[Country]],Table43[Springboard Classification],"&gt;0")</f>
        <v>0</v>
      </c>
      <c r="EM34" s="6">
        <f>COUNTIFS(Table42[Country],Tabela1[[#This Row],[Country]],Table42[Platform Classification],"&gt;0")</f>
        <v>0</v>
      </c>
      <c r="EN34" s="6">
        <f>COUNTIFS(Table43[Country],Tabela1[[#This Row],[Country]],Table43[Platform Classification],"&gt;0")</f>
        <v>0</v>
      </c>
      <c r="EO34" s="6">
        <f>COUNTIFS(Table86[Country],Tabela1[[#This Row],[Country]],Table86[Men''s Synchronized Springboard Classification],"&gt;0")</f>
        <v>0</v>
      </c>
      <c r="EP34" s="6">
        <f>COUNTIFS(Table86[Country],Tabela1[[#This Row],[Country]],Table86[Women''s Synchronized Springboard Classification],"&gt;0")</f>
        <v>0</v>
      </c>
      <c r="EQ34" s="6">
        <f>COUNTIFS(Table86[Country],Tabela1[[#This Row],[Country]],Table86[Men''s Synchronized Platform Classification],"&gt;0")</f>
        <v>0</v>
      </c>
      <c r="ER34" s="6">
        <f>COUNTIFS(Table86[Country],Tabela1[[#This Row],[Country]],Table86[Women''s Synchronized Platform Classification],"&gt;0")</f>
        <v>0</v>
      </c>
      <c r="ES34" s="6">
        <f>COUNTIFS(Table44[Country],Tabela1[[#This Row],[Country]],Table44[Dressage Classification],"&gt;0")</f>
        <v>0</v>
      </c>
      <c r="ET34" s="6">
        <f>COUNTIFS(Table45[Country],Tabela1[[#This Row],[Country]],Table45[Dressage Classification],"&gt;0")</f>
        <v>0</v>
      </c>
      <c r="EU34" s="6">
        <f>COUNTIFS(Table44[Country],Tabela1[[#This Row],[Country]],Table44[Eventing Classification],"&gt;0")</f>
        <v>0</v>
      </c>
      <c r="EV34" s="6">
        <f>COUNTIFS(Table45[Country],Tabela1[[#This Row],[Country]],Table45[Eventing Classification],"&gt;0")</f>
        <v>0</v>
      </c>
      <c r="EW34" s="6">
        <f>COUNTIFS(Table44[Country],Tabela1[[#This Row],[Country]],Table44[Jumping Classification],"&gt;0")</f>
        <v>1</v>
      </c>
      <c r="EX34" s="6">
        <f>COUNTIFS(Table45[Country],Tabela1[[#This Row],[Country]],Table45[Jumping Classification],"&gt;0")</f>
        <v>0</v>
      </c>
      <c r="EY34" s="6">
        <f>COUNTIFS(Table10[Country],Tabela1[[#This Row],[Country]],Table10[Épée Classification],"&gt;0")</f>
        <v>1</v>
      </c>
      <c r="EZ34" s="6">
        <f>COUNTIFS(Table11[Country],Tabela1[[#This Row],[Country]],Table11[Épée Classification],"&gt;0")</f>
        <v>0</v>
      </c>
      <c r="FA34" s="6">
        <f>COUNTIFS(Table46[Country],Tabela1[[#This Row],[Country]],Table46[Men''s Épée Classification],"&gt;0")</f>
        <v>0</v>
      </c>
      <c r="FB34" s="6">
        <f>COUNTIFS(Table46[Country],Tabela1[[#This Row],[Country]],Table46[Women''s Épée Classification],"&gt;0")</f>
        <v>0</v>
      </c>
      <c r="FC34" s="6">
        <f>COUNTIFS(Table10[Country],Tabela1[[#This Row],[Country]],Table10[Foil Classification],"&gt;0")</f>
        <v>0</v>
      </c>
      <c r="FD34" s="6">
        <f>COUNTIFS(Table11[Country],Tabela1[[#This Row],[Country]],Table11[Foil Classification],"&gt;0")</f>
        <v>0</v>
      </c>
      <c r="FE34" s="6">
        <f>COUNTIFS(Table46[Country],Tabela1[[#This Row],[Country]],Table46[Men''s Foil Classification],"&gt;0")</f>
        <v>0</v>
      </c>
      <c r="FF34" s="6">
        <f>COUNTIFS(Table46[Country],Tabela1[[#This Row],[Country]],Table46[Women''s Foil Classification],"&gt;0")</f>
        <v>0</v>
      </c>
      <c r="FG34" s="6">
        <f>COUNTIFS(Table10[Country],Tabela1[[#This Row],[Country]],Table10[Sabre Classification],"&gt;0")</f>
        <v>0</v>
      </c>
      <c r="FH34" s="6">
        <f>COUNTIFS(Table11[Country],Tabela1[[#This Row],[Country]],Table11[Sabre Classification],"&gt;0")</f>
        <v>0</v>
      </c>
      <c r="FI34" s="6">
        <f>COUNTIFS(Table46[Country],Tabela1[[#This Row],[Country]],Table46[Men''s Sabre Classification],"&gt;0")</f>
        <v>0</v>
      </c>
      <c r="FJ34" s="6">
        <f>COUNTIFS(Table46[Country],Tabela1[[#This Row],[Country]],Table46[Women''s Sabre Classification],"&gt;0")</f>
        <v>0</v>
      </c>
      <c r="FK34" s="6">
        <f>COUNTIFS(Table91[Country],Tabela1[[#This Row],[Country]],Table91[Men''s Classification],"&gt;0")</f>
        <v>0</v>
      </c>
      <c r="FL34" s="6">
        <f>COUNTIFS(Table91[Country],Tabela1[[#This Row],[Country]],Table91[Women''s Classification],"&gt;0")</f>
        <v>0</v>
      </c>
      <c r="FM34" s="6">
        <f>COUNTIFS(Table9194[Country],Tabela1[[#This Row],[Country]],Table9194[Men''s Classification],"&gt;0")</f>
        <v>0</v>
      </c>
      <c r="FN34" s="6">
        <f>COUNTIFS(Table9194[Country],Tabela1[[#This Row],[Country]],Table9194[Women''s Classification],"&gt;0")</f>
        <v>1</v>
      </c>
      <c r="FO34" s="6">
        <f>COUNTIFS(Table71[Country],Tabela1[[#This Row],[Country]],Table71[Classification],"&gt;0")</f>
        <v>0</v>
      </c>
      <c r="FP34" s="6">
        <f>COUNTIFS(Table62[Country],Tabela1[[#This Row],[Country]],Table62[Classification],"&gt;0")</f>
        <v>0</v>
      </c>
      <c r="FQ34" s="6">
        <f>COUNTIFS(Table47[Country],Tabela1[[#This Row],[Country]],Table47[All-Around Classification],"&gt;0")</f>
        <v>0</v>
      </c>
      <c r="FR34" s="6">
        <f>COUNTIFS(Table48[Country],Tabela1[[#This Row],[Country]],Table48[All-Around Classification],"&gt;0")</f>
        <v>1</v>
      </c>
      <c r="FS34" s="6">
        <f>COUNTIFS(Table81[Country],Tabela1[[#This Row],[Country]],Table81[Men''s All-Around Classification],"&gt;0")</f>
        <v>0</v>
      </c>
      <c r="FT34" s="6">
        <f>COUNTIFS(Table81[Country],Tabela1[[#This Row],[Country]],Table81[Women''s All-Around Classification],"&gt;0")</f>
        <v>0</v>
      </c>
      <c r="FU34" s="6">
        <f>COUNTIFS(Table48[Country],Tabela1[[#This Row],[Country]],Table48[Balance Beam Classification],"&gt;0")</f>
        <v>1</v>
      </c>
      <c r="FV34" s="6">
        <f>COUNTIFS(Table47[Country],Tabela1[[#This Row],[Country]],Table47[Floor Exercise Classification],"&gt;0")</f>
        <v>0</v>
      </c>
      <c r="FW34" s="6">
        <f>COUNTIFS(Table48[Country],Tabela1[[#This Row],[Country]],Table48[Floor Exercise Classification],"&gt;0")</f>
        <v>1</v>
      </c>
      <c r="FX34" s="6">
        <f>COUNTIFS(Table47[Country],Tabela1[[#This Row],[Country]],Table47[Horizontal Bar Classification],"&gt;0")</f>
        <v>0</v>
      </c>
      <c r="FY34" s="6">
        <f>COUNTIFS(Table47[Country],Tabela1[[#This Row],[Country]],Table47[Parallel Bars Classification],"&gt;0")</f>
        <v>0</v>
      </c>
      <c r="FZ34" s="6">
        <f>COUNTIFS(Table47[Country],Tabela1[[#This Row],[Country]],Table47[Pommel Horse Classification],"&gt;0")</f>
        <v>0</v>
      </c>
      <c r="GA34" s="6">
        <f>COUNTIFS(Table47[Country],Tabela1[[#This Row],[Country]],Table47[Rings Classification],"&gt;0")</f>
        <v>0</v>
      </c>
      <c r="GB34" s="6">
        <f>COUNTIFS(Tabela132[Country],Tabela1[[#This Row],[Country]],Tabela132[Classification],"&gt;0")</f>
        <v>0</v>
      </c>
      <c r="GC34" s="6">
        <f>COUNTIFS(Tabela139[Country],Tabela1[[#This Row],[Country]],Tabela139[Classification],"&gt;0")</f>
        <v>0</v>
      </c>
      <c r="GD34" s="6">
        <f>COUNTIFS(Table48[Country],Tabela1[[#This Row],[Country]],Table48[Uneven Bars Classification],"&gt;0")</f>
        <v>1</v>
      </c>
      <c r="GE34" s="6">
        <f>COUNTIFS(Table47[Country],Tabela1[[#This Row],[Country]],Table47[Vault Classification],"&gt;0")</f>
        <v>0</v>
      </c>
      <c r="GF34" s="6">
        <f>COUNTIFS(Table48[Country],Tabela1[[#This Row],[Country]],Table48[Vault Classification],"&gt;0")</f>
        <v>0</v>
      </c>
      <c r="GG34" s="6">
        <f>COUNTIFS(Table919496[Country],Tabela1[[#This Row],[Country]],Table919496[Men''s Classification],"&gt;0")</f>
        <v>0</v>
      </c>
      <c r="GH34" s="6">
        <f>COUNTIFS(Table919496[Country],Tabela1[[#This Row],[Country]],Table919496[Women''s Classification],"&gt;0")</f>
        <v>0</v>
      </c>
      <c r="GI34" s="6">
        <f>COUNTIFS(Table12[Country],Tabela1[[#This Row],[Country]],Table12[60kg Classification],"&gt;0")</f>
        <v>0</v>
      </c>
      <c r="GJ34" s="6">
        <f>COUNTIFS(Table12[Country],Tabela1[[#This Row],[Country]],Table12[66kg Classification],"&gt;0")</f>
        <v>0</v>
      </c>
      <c r="GK34" s="6">
        <f>COUNTIFS(Table12[Country],Tabela1[[#This Row],[Country]],Table12[73kg Classification],"&gt;0")</f>
        <v>0</v>
      </c>
      <c r="GL34" s="6">
        <f>COUNTIFS(Table12[Country],Tabela1[[#This Row],[Country]],Table12[81kg Classification],"&gt;0")</f>
        <v>0</v>
      </c>
      <c r="GM34" s="6">
        <f>COUNTIFS(Table12[Country],Tabela1[[#This Row],[Country]],Table12[90kg Classification],"&gt;0")</f>
        <v>0</v>
      </c>
      <c r="GN34" s="6">
        <f>COUNTIFS(Table12[Country],Tabela1[[#This Row],[Country]],Table12[100kg Classification],"&gt;0")</f>
        <v>0</v>
      </c>
      <c r="GO34" s="6">
        <f>COUNTIFS(Table12[Country],Tabela1[[#This Row],[Country]],Table12[Plus 100kg Classification],"&gt;0")</f>
        <v>0</v>
      </c>
      <c r="GP34" s="6">
        <f>COUNTIFS(Table13[Country],Tabela1[[#This Row],[Country]],Table13[48kg Classification],"&gt;0")</f>
        <v>1</v>
      </c>
      <c r="GQ34" s="6">
        <f>COUNTIFS(Table13[Country],Tabela1[[#This Row],[Country]],Table13[52kg Classification],"&gt;0")</f>
        <v>0</v>
      </c>
      <c r="GR34" s="6">
        <f>COUNTIFS(Table13[Country],Tabela1[[#This Row],[Country]],Table13[57kg Classification],"&gt;0")</f>
        <v>0</v>
      </c>
      <c r="GS34" s="6">
        <f>COUNTIFS(Table13[Country],Tabela1[[#This Row],[Country]],Table13[63kg Classification],"&gt;0")</f>
        <v>0</v>
      </c>
      <c r="GT34" s="6">
        <f>COUNTIFS(Table13[Country],Tabela1[[#This Row],[Country]],Table13[70kg Classification],"&gt;0")</f>
        <v>0</v>
      </c>
      <c r="GU34" s="6">
        <f>COUNTIFS(Table13[Country],Tabela1[[#This Row],[Country]],Table13[78kg Classification],"&gt;0")</f>
        <v>0</v>
      </c>
      <c r="GV34" s="6">
        <f>COUNTIFS(Table13[Country],Tabela1[[#This Row],[Country]],Table13[Plus 78kg Classification],"&gt;0")</f>
        <v>0</v>
      </c>
      <c r="GW34" s="6">
        <f>COUNTIFS(Table82[Country],Tabela1[[#This Row],[Country]],Table82[Mixed Classification],"&gt;0")</f>
        <v>0</v>
      </c>
      <c r="GX34" s="6">
        <f>COUNTIFS(Table51[Country],Tabela1[[#This Row],[Country]],Table51[Classification],"&gt;0")</f>
        <v>0</v>
      </c>
      <c r="GY34" s="6">
        <f>COUNTIFS(Table52[Country],Tabela1[[#This Row],[Country]],Table52[Classification],"&gt;0")</f>
        <v>0</v>
      </c>
      <c r="GZ34" s="6">
        <f>COUNTIFS(Table32[Country],Tabela1[[#This Row],[Country]],Table32[All-Around Classification],"&gt;0")</f>
        <v>0</v>
      </c>
      <c r="HA34" s="6">
        <f>COUNTIFS(Table49[Country],Tabela1[[#This Row],[Country]],Table49[All-Around Classification],"&gt;0")</f>
        <v>0</v>
      </c>
      <c r="HB34" s="6">
        <f>COUNTIFS(Table26[Country],Tabela1[[#This Row],[Country]],Table26[Single Sculls Classification],"&gt;0")</f>
        <v>0</v>
      </c>
      <c r="HC34" s="6">
        <f>COUNTIFS(Table63[Country],Tabela1[[#This Row],[Country]],Table63[Single Sculls Classification],"&gt;0")</f>
        <v>0</v>
      </c>
      <c r="HD34" s="6">
        <f>COUNTIFS(Table16[Country],Tabela1[[#This Row],[Country]],Table16[Men''s Double Sculls Classification],"&gt;0")</f>
        <v>0</v>
      </c>
      <c r="HE34" s="6">
        <f>COUNTIFS(Table16[Country],Tabela1[[#This Row],[Country]],Table16[Women''s Double Sculls Classification],"&gt;0")</f>
        <v>0</v>
      </c>
      <c r="HF34" s="6">
        <f>COUNTIFS(Table72[Country],Tabela1[[#This Row],[Country]],Table72[Men''s Quadruple Sculls Classification],"&gt;0")</f>
        <v>0</v>
      </c>
      <c r="HG34" s="6">
        <f>COUNTIFS(Table72[Country],Tabela1[[#This Row],[Country]],Table72[Women''s Quadruple Sculls Classification],"&gt;0")</f>
        <v>0</v>
      </c>
      <c r="HH34" s="6">
        <f>COUNTIFS(Table16[Country],Tabela1[[#This Row],[Country]],Table16[Men''s Coxless Pairs Classification],"&gt;0")</f>
        <v>0</v>
      </c>
      <c r="HI34" s="6">
        <f>COUNTIFS(Table16[Country],Tabela1[[#This Row],[Country]],Table16[Women''s Coxless Pairs Classification],"&gt;0")</f>
        <v>0</v>
      </c>
      <c r="HJ34" s="6">
        <f>COUNTIFS(Table72[Country],Tabela1[[#This Row],[Country]],Table72[Men''s Coxless Fours Classification],"&gt;0")</f>
        <v>0</v>
      </c>
      <c r="HK34" s="6">
        <f>COUNTIFS(Table72[Country],Tabela1[[#This Row],[Country]],Table72[Women''s Coxless Fours Classification],"&gt;0")</f>
        <v>0</v>
      </c>
      <c r="HL34" s="6">
        <f>COUNTIFS(Table72[Country],Tabela1[[#This Row],[Country]],Table72[Men''s Eights Classification],"&gt;0")</f>
        <v>0</v>
      </c>
      <c r="HM34" s="6">
        <f>COUNTIFS(Table72[Country],Tabela1[[#This Row],[Country]],Table72[Women''s Eights Classification],"&gt;0")</f>
        <v>0</v>
      </c>
      <c r="HN34" s="6">
        <f>COUNTIFS(Table16[Country],Tabela1[[#This Row],[Country]],Table16[Men''s Lwt. Double Sculls Classification],"&gt;0")</f>
        <v>0</v>
      </c>
      <c r="HO34" s="6">
        <f>COUNTIFS(Table16[Country],Tabela1[[#This Row],[Country]],Table16[Women''s Lwt. Double Sculls Classification],"&gt;0")</f>
        <v>0</v>
      </c>
      <c r="HP34" s="6">
        <f>COUNTIFS(Table91949698[Country],Tabela1[[#This Row],[Country]],Table91949698[Men''s Classification],"&gt;0")</f>
        <v>0</v>
      </c>
      <c r="HQ34" s="6">
        <f>COUNTIFS(Table91949698[Country],Tabela1[[#This Row],[Country]],Table91949698[Women''s Classification],"&gt;0")</f>
        <v>0</v>
      </c>
      <c r="HR34" s="6">
        <f>COUNTIFS(Table25[Country],Tabela1[[#This Row],[Country]],Table25[Mixed 470 Classification],"&gt;0")</f>
        <v>0</v>
      </c>
      <c r="HS34" s="6">
        <f>COUNTIFS(Table25[Country],Tabela1[[#This Row],[Country]],Table25[Men''s 49er Classification],"&gt;0")</f>
        <v>0</v>
      </c>
      <c r="HT34" s="6">
        <f>COUNTIFS(Table25[Country],Tabela1[[#This Row],[Country]],Table25[Women''s 49er FX Classification],"&gt;0")</f>
        <v>0</v>
      </c>
      <c r="HU34" s="6">
        <f>COUNTIFS(Table17[Country],Tabela1[[#This Row],[Country]],Table17[Formula Kite Classification],"&gt;0")</f>
        <v>1</v>
      </c>
      <c r="HV34" s="6">
        <f>COUNTIFS(Table18[Country],Tabela1[[#This Row],[Country]],Table18[Formula Kite Classification],"&gt;0")</f>
        <v>0</v>
      </c>
      <c r="HW34" s="6">
        <f>COUNTIFS(Table17[Country],Tabela1[[#This Row],[Country]],Table17[ILCA 7 Classification],"&gt;0")</f>
        <v>0</v>
      </c>
      <c r="HX34" s="6">
        <f>COUNTIFS(Table18[Country],Tabela1[[#This Row],[Country]],Table18[ILCA 6 Classification],"&gt;0")</f>
        <v>0</v>
      </c>
      <c r="HY34" s="6">
        <f>COUNTIFS(Table17[Country],Tabela1[[#This Row],[Country]],Table17[IQFoil Classification],"&gt;0")</f>
        <v>0</v>
      </c>
      <c r="HZ34" s="6">
        <f>COUNTIFS(Table18[Country],Tabela1[[#This Row],[Country]],Table18[IQFoil Classification],"&gt;0")</f>
        <v>0</v>
      </c>
      <c r="IA34" s="6">
        <f>COUNTIFS(Table25[Country],Tabela1[[#This Row],[Country]],Table25[Mixed Nacra 17 Classification],"&gt;0")</f>
        <v>0</v>
      </c>
      <c r="IB34" s="6">
        <f>COUNTIFS(Table53[Country],Tabela1[[#This Row],[Country]],Table53[10m Air Pistol Classification],"&gt;0")</f>
        <v>0</v>
      </c>
      <c r="IC34" s="6">
        <f>COUNTIFS(Table19[Country],Tabela1[[#This Row],[Country]],Table19[10m Air Pistol Classification],"&gt;0")</f>
        <v>0</v>
      </c>
      <c r="ID34" s="6">
        <f>COUNTIFS(Table54[Country],Tabela1[[#This Row],[Country]],Table54[Mixed 10m Air Pistol Team Classification],"&gt;0")</f>
        <v>0</v>
      </c>
      <c r="IE34" s="6">
        <f>COUNTIFS(Table53[Country],Tabela1[[#This Row],[Country]],Table53[10m Air Rifle Classification],"&gt;0")</f>
        <v>0</v>
      </c>
      <c r="IF34" s="6">
        <f>COUNTIFS(Table19[Country],Tabela1[[#This Row],[Country]],Table19[10m Air Rifle Classification],"&gt;0")</f>
        <v>0</v>
      </c>
      <c r="IG34" s="6">
        <f>COUNTIFS(Table54[Country],Tabela1[[#This Row],[Country]],Table54[Mixed 10m Air Rifle Team Classification],"&gt;0")</f>
        <v>0</v>
      </c>
      <c r="IH34" s="6">
        <f>COUNTIFS(Table53[Country],Tabela1[[#This Row],[Country]],Table53[25m Rapid Fire Pistol Classification],"&gt;0")</f>
        <v>0</v>
      </c>
      <c r="II34" s="6">
        <f>COUNTIFS(Table19[Country],Tabela1[[#This Row],[Country]],Table19[25m Pistol Classification],"&gt;0")</f>
        <v>0</v>
      </c>
      <c r="IJ34" s="6">
        <f>COUNTIFS(Table53[Country],Tabela1[[#This Row],[Country]],Table53[50m Rifle 3 Positions Classification],"&gt;0")</f>
        <v>0</v>
      </c>
      <c r="IK34" s="6">
        <f>COUNTIFS(Table19[Country],Tabela1[[#This Row],[Country]],Table19[50m Rifle 3 Positions Classification],"&gt;0")</f>
        <v>0</v>
      </c>
      <c r="IL34" s="6">
        <f>COUNTIFS(Table53[Country],Tabela1[[#This Row],[Country]],Table53[Skeet Classification],"&gt;0")</f>
        <v>0</v>
      </c>
      <c r="IM34" s="6">
        <f>COUNTIFS(Table19[Country],Tabela1[[#This Row],[Country]],Table19[Skeet Classification],"&gt;0")</f>
        <v>0</v>
      </c>
      <c r="IN34" s="6">
        <f>COUNTIFS(Table54[Country],Tabela1[[#This Row],[Country]],Table54[Mixed Skeet Team Classification],"&gt;0")</f>
        <v>0</v>
      </c>
      <c r="IO34" s="6">
        <f>COUNTIFS(Table53[Country],Tabela1[[#This Row],[Country]],Table53[Trap Classification],"&gt;0")</f>
        <v>0</v>
      </c>
      <c r="IP34" s="6">
        <f>COUNTIFS(Table19[Country],Tabela1[[#This Row],[Country]],Table19[Trap Classification],"&gt;0")</f>
        <v>0</v>
      </c>
      <c r="IQ34" s="6">
        <f>COUNTIFS(Table73[Country],Tabela1[[#This Row],[Country]],Table73[Park Classification],"&gt;0")</f>
        <v>0</v>
      </c>
      <c r="IR34" s="6">
        <f>COUNTIFS(Table74[Country],Tabela1[[#This Row],[Country]],Table74[Park Classification],"&gt;0")</f>
        <v>0</v>
      </c>
      <c r="IS34" s="6">
        <f>COUNTIFS(Table73[Country],Tabela1[[#This Row],[Country]],Table73[Street Classification],"&gt;0")</f>
        <v>1</v>
      </c>
      <c r="IT34" s="6">
        <f>COUNTIFS(Table74[Country],Tabela1[[#This Row],[Country]],Table74[Street Classification],"&gt;0")</f>
        <v>0</v>
      </c>
      <c r="IU34" s="6">
        <f>COUNTIFS(Table75[Country],Tabela1[[#This Row],[Country]],Table75[Boulder and Lead Classification],"&gt;0")</f>
        <v>0</v>
      </c>
      <c r="IV34" s="6">
        <f>COUNTIFS(Table76[Country],Tabela1[[#This Row],[Country]],Table76[Boulder and Lead Classification],"&gt;0")</f>
        <v>0</v>
      </c>
      <c r="IW34" s="6">
        <f>COUNTIFS(Table75[Country],Tabela1[[#This Row],[Country]],Table75[Speed Classification],"&gt;0")</f>
        <v>0</v>
      </c>
      <c r="IX34" s="6">
        <f>COUNTIFS(Table76[Country],Tabela1[[#This Row],[Country]],Table76[Speed Classification],"&gt;0")</f>
        <v>0</v>
      </c>
      <c r="IY34" s="6">
        <f>COUNTIFS(Table64[Country],Tabela1[[#This Row],[Country]],Table64[Shortboard Classification],"&gt;0")</f>
        <v>0</v>
      </c>
      <c r="IZ34" s="6">
        <f>COUNTIFS(Table77[Country],Tabela1[[#This Row],[Country]],Table77[Shortboard Classification],"&gt;0")</f>
        <v>0</v>
      </c>
      <c r="JA34" s="6">
        <f>COUNTIFS(Table20[Country],Tabela1[[#This Row],[Country]],Table20[50m Freestyle Classification],"&gt;0")</f>
        <v>0</v>
      </c>
      <c r="JB34" s="6">
        <f>COUNTIFS(Table21[Country],Tabela1[[#This Row],[Country]],Table21[50m Freestyle Classification],"&gt;0")</f>
        <v>0</v>
      </c>
      <c r="JC34" s="6">
        <f>COUNTIFS(Table20[Country],Tabela1[[#This Row],[Country]],Table20[100m Freestyle Classification],"&gt;0")</f>
        <v>0</v>
      </c>
      <c r="JD34" s="6">
        <f>COUNTIFS(Table21[Country],Tabela1[[#This Row],[Country]],Table21[100m Freestyle Classification],"&gt;0")</f>
        <v>0</v>
      </c>
      <c r="JE34" s="6">
        <f>COUNTIFS(Table20[Country],Tabela1[[#This Row],[Country]],Table20[200m Freestyle Classification],"&gt;0")</f>
        <v>0</v>
      </c>
      <c r="JF34" s="6">
        <f>COUNTIFS(Table21[Country],Tabela1[[#This Row],[Country]],Table21[200m Freestyle Classification],"&gt;0")</f>
        <v>0</v>
      </c>
      <c r="JG34" s="6">
        <f>COUNTIFS(Table20[Country],Tabela1[[#This Row],[Country]],Table20[400m Freestyle Classification],"&gt;0")</f>
        <v>0</v>
      </c>
      <c r="JH34" s="6">
        <f>COUNTIFS(Table21[Country],Tabela1[[#This Row],[Country]],Table21[400m Freestyle Classification],"&gt;0")</f>
        <v>0</v>
      </c>
      <c r="JI34" s="6">
        <f>COUNTIFS(Table20[Country],Tabela1[[#This Row],[Country]],Table20[800m Freestyle Classification],"&gt;0")</f>
        <v>0</v>
      </c>
      <c r="JJ34" s="6">
        <f>COUNTIFS(Table21[Country],Tabela1[[#This Row],[Country]],Table21[800m Freestyle Classification],"&gt;0")</f>
        <v>0</v>
      </c>
      <c r="JK34" s="6">
        <f>COUNTIFS(Table20[Country],Tabela1[[#This Row],[Country]],Table20[1500m Freestyle Classification],"&gt;0")</f>
        <v>0</v>
      </c>
      <c r="JL34" s="6">
        <f>COUNTIFS(Table21[Country],Tabela1[[#This Row],[Country]],Table21[1500m Freestyle Classification],"&gt;0")</f>
        <v>0</v>
      </c>
      <c r="JM34" s="6">
        <f>COUNTIFS(Table20[Country],Tabela1[[#This Row],[Country]],Table20[100m Backstroke Classification],"&gt;0")</f>
        <v>0</v>
      </c>
      <c r="JN34" s="6">
        <f>COUNTIFS(Table21[Country],Tabela1[[#This Row],[Country]],Table21[100m Backstroke Classification],"&gt;0")</f>
        <v>0</v>
      </c>
      <c r="JO34" s="6">
        <f>COUNTIFS(Table20[Country],Tabela1[[#This Row],[Country]],Table20[200m Backstroke Classification],"&gt;0")</f>
        <v>0</v>
      </c>
      <c r="JP34" s="6">
        <f>COUNTIFS(Table21[Country],Tabela1[[#This Row],[Country]],Table21[200m Backstroke Classification],"&gt;0")</f>
        <v>0</v>
      </c>
      <c r="JQ34" s="6">
        <f>COUNTIFS(Table20[Country],Tabela1[[#This Row],[Country]],Table20[100m Breaststroke Classification],"&gt;0")</f>
        <v>0</v>
      </c>
      <c r="JR34" s="6">
        <f>COUNTIFS(Table21[Country],Tabela1[[#This Row],[Country]],Table21[100m Breaststroke Classification],"&gt;0")</f>
        <v>1</v>
      </c>
      <c r="JS34" s="6">
        <f>COUNTIFS(Table20[Country],Tabela1[[#This Row],[Country]],Table20[200m Breaststroke Classification],"&gt;0")</f>
        <v>0</v>
      </c>
      <c r="JT34" s="6">
        <f>COUNTIFS(Table21[Country],Tabela1[[#This Row],[Country]],Table21[200m Breaststroke Classification],"&gt;0")</f>
        <v>0</v>
      </c>
      <c r="JU34" s="6">
        <f>COUNTIFS(Table20[Country],Tabela1[[#This Row],[Country]],Table20[100m Butterfly Classification],"&gt;0")</f>
        <v>0</v>
      </c>
      <c r="JV34" s="6">
        <f>COUNTIFS(Table21[Country],Tabela1[[#This Row],[Country]],Table21[100m Butterfly Classification],"&gt;0")</f>
        <v>0</v>
      </c>
      <c r="JW34" s="6">
        <f>COUNTIFS(Table20[Country],Tabela1[[#This Row],[Country]],Table20[200m Butterfly Classification],"&gt;0")</f>
        <v>0</v>
      </c>
      <c r="JX34" s="6">
        <f>COUNTIFS(Table21[Country],Tabela1[[#This Row],[Country]],Table21[200m Butterfly Classification],"&gt;0")</f>
        <v>0</v>
      </c>
      <c r="JY34" s="6">
        <f>COUNTIFS(Table20[Country],Tabela1[[#This Row],[Country]],Table20[200m Medley Classification],"&gt;0")</f>
        <v>0</v>
      </c>
      <c r="JZ34" s="6">
        <f>COUNTIFS(Table21[Country],Tabela1[[#This Row],[Country]],Table21[200m Medley Classification],"&gt;0")</f>
        <v>0</v>
      </c>
      <c r="KA34" s="6">
        <f>COUNTIFS(Table20[Country],Tabela1[[#This Row],[Country]],Table20[400m Medley Classification],"&gt;0")</f>
        <v>0</v>
      </c>
      <c r="KB34" s="6">
        <f>COUNTIFS(Table21[Country],Tabela1[[#This Row],[Country]],Table21[400m Medley Classification],"&gt;0")</f>
        <v>0</v>
      </c>
      <c r="KC34" s="6">
        <f>COUNTIFS(Table78[Country],Tabela1[[#This Row],[Country]],Table78[Men''s 4x100m Freestyle Relay Classification],"&gt;0")</f>
        <v>0</v>
      </c>
      <c r="KD34" s="6">
        <f>COUNTIFS(Table78[Country],Tabela1[[#This Row],[Country]],Table78[Women''s 4x100m Freestyle Relay Classification],"&gt;0")</f>
        <v>0</v>
      </c>
      <c r="KE34" s="6">
        <f>COUNTIFS(Table78[Country],Tabela1[[#This Row],[Country]],Table78[Men''s 4x200m Freestyle Relay Classification],"&gt;0")</f>
        <v>0</v>
      </c>
      <c r="KF34" s="6">
        <f>COUNTIFS(Table78[Country],Tabela1[[#This Row],[Country]],Table78[Women''s 4x200m Freestyle Relay Classification],"&gt;0")</f>
        <v>0</v>
      </c>
      <c r="KG34" s="6">
        <f>COUNTIFS(Table78[Country],Tabela1[[#This Row],[Country]],Table78[Men''s 4x100m Medley Relay Classification],"&gt;0")</f>
        <v>0</v>
      </c>
      <c r="KH34" s="6">
        <f>COUNTIFS(Table78[Country],Tabela1[[#This Row],[Country]],Table78[Women''s 4x100m Medley Relay Classification],"&gt;0")</f>
        <v>0</v>
      </c>
      <c r="KI34" s="6">
        <f>COUNTIFS(Table78[Country],Tabela1[[#This Row],[Country]],Table78[Mixed 4x100m Medley Relay Classification],"&gt;0")</f>
        <v>0</v>
      </c>
      <c r="KJ34" s="6">
        <f>COUNTIFS(Table20[Country],Tabela1[[#This Row],[Country]],Table20[10km Open Water Classification],"&gt;0")</f>
        <v>0</v>
      </c>
      <c r="KK34" s="6">
        <f>COUNTIFS(Table21[Country],Tabela1[[#This Row],[Country]],Table21[10km Open Water Classification],"&gt;0")</f>
        <v>0</v>
      </c>
      <c r="KL34" s="6">
        <f>COUNTIFS(Table22[Country],Tabela1[[#This Row],[Country]],Table22[Classification],"&gt;0")</f>
        <v>0</v>
      </c>
      <c r="KM34" s="6">
        <f>COUNTIFS(Table30[Country],Tabela1[[#This Row],[Country]],Table30[Classification],"&gt;0")</f>
        <v>0</v>
      </c>
      <c r="KN34" s="6">
        <f>COUNTIFS(Table55[Country],Tabela1[[#This Row],[Country]],Table55[Men''s Classification],"&gt;0")</f>
        <v>0</v>
      </c>
      <c r="KO34" s="6">
        <f>COUNTIFS(Table55[Country],Tabela1[[#This Row],[Country]],Table55[Women''s Classification],"&gt;0")</f>
        <v>0</v>
      </c>
      <c r="KP34" s="6">
        <f>COUNTIFS(Table56[Country],Tabela1[[#This Row],[Country]],Table56[Mixed Classification],"&gt;0")</f>
        <v>0</v>
      </c>
      <c r="KQ34" s="6">
        <f>COUNTIFS(Table29[Country],Tabela1[[#This Row],[Country]],Table29[58kg Classification],"&gt;0")</f>
        <v>0</v>
      </c>
      <c r="KR34" s="6">
        <f>COUNTIFS(Table29[Country],Tabela1[[#This Row],[Country]],Table29[68kg Classification],"&gt;0")</f>
        <v>0</v>
      </c>
      <c r="KS34" s="6">
        <f>COUNTIFS(Table29[Country],Tabela1[[#This Row],[Country]],Table29[80kg Classification],"&gt;0")</f>
        <v>0</v>
      </c>
      <c r="KT34" s="6">
        <f>COUNTIFS(Table29[Country],Tabela1[[#This Row],[Country]],Table29[Plus 80kg Classification],"&gt;0")</f>
        <v>0</v>
      </c>
      <c r="KU34" s="6">
        <f>COUNTIFS(Table34[Country],Tabela1[[#This Row],[Country]],Table34[49kg Classification],"&gt;0")</f>
        <v>0</v>
      </c>
      <c r="KV34" s="6">
        <f>COUNTIFS(Table34[Country],Tabela1[[#This Row],[Country]],Table34[57kg Classification],"&gt;0")</f>
        <v>0</v>
      </c>
      <c r="KW34" s="6">
        <f>COUNTIFS(Table34[Country],Tabela1[[#This Row],[Country]],Table34[67kg Classification],"&gt;0")</f>
        <v>0</v>
      </c>
      <c r="KX34" s="6">
        <f>COUNTIFS(Table34[Country],Tabela1[[#This Row],[Country]],Table34[Plus 67kg Classification],"&gt;0")</f>
        <v>0</v>
      </c>
      <c r="KY34" s="6">
        <f>COUNTIFS(Table57[Country],Tabela1[[#This Row],[Country]],Table57[Classification],"&gt;0")</f>
        <v>0</v>
      </c>
      <c r="KZ34" s="6">
        <f>COUNTIFS(Table58[Country],Tabela1[[#This Row],[Country]],Table58[Classification],"&gt;0")</f>
        <v>0</v>
      </c>
      <c r="LA34" s="6">
        <f>COUNTIFS(Table79[Country],Tabela1[[#This Row],[Country]],Table79[Men''s Classification],"&gt;0")</f>
        <v>0</v>
      </c>
      <c r="LB34" s="6">
        <f>COUNTIFS(Table79[Country],Tabela1[[#This Row],[Country]],Table79[Women''s Classification],"&gt;0")</f>
        <v>0</v>
      </c>
      <c r="LC34" s="6">
        <f>COUNTIFS(Table79[Country],Tabela1[[#This Row],[Country]],Table79[Mixed Classification],"&gt;0")</f>
        <v>0</v>
      </c>
      <c r="LD34" s="6">
        <f>COUNTIFS(Table65[Country],Tabela1[[#This Row],[Country]],Table65[Classification],"&gt;0")</f>
        <v>0</v>
      </c>
      <c r="LE34" s="6">
        <f>COUNTIFS(Table59[Country],Tabela1[[#This Row],[Country]],Table59[Classification],"&gt;0")</f>
        <v>0</v>
      </c>
      <c r="LF34" s="6">
        <f>COUNTIFS(Table87[Country],Tabela1[[#This Row],[Country]],Table87[Mixed Relay Classification],"&gt;0")</f>
        <v>0</v>
      </c>
      <c r="LG34" s="6">
        <f>COUNTIFS(Table91949698100[Country],Tabela1[[#This Row],[Country]],Table91949698100[Men''s Classification],"&gt;0")</f>
        <v>0</v>
      </c>
      <c r="LH34" s="6">
        <f>COUNTIFS(Table91949698100[Country],Tabela1[[#This Row],[Country]],Table91949698100[Women''s Classification],"&gt;0")</f>
        <v>0</v>
      </c>
      <c r="LI34" s="6">
        <f>COUNTIFS(Table91949698100102[Country],Tabela1[[#This Row],[Country]],Table91949698100102[Men''s Classification],"&gt;0")</f>
        <v>0</v>
      </c>
      <c r="LJ34" s="6">
        <f>COUNTIFS(Table91949698100102[Country],Tabela1[[#This Row],[Country]],Table91949698100102[Women''s Classification],"&gt;0")</f>
        <v>0</v>
      </c>
      <c r="LK34" s="6">
        <f>COUNTIFS(Table23[Country],Tabela1[[#This Row],[Country]],Table23[61kg Classification],"&gt;0")</f>
        <v>0</v>
      </c>
      <c r="LL34" s="6">
        <f>COUNTIFS(Table23[Country],Tabela1[[#This Row],[Country]],Table23[73kg Classification],"&gt;0")</f>
        <v>1</v>
      </c>
      <c r="LM34" s="6">
        <f>COUNTIFS(Table23[Country],Tabela1[[#This Row],[Country]],Table23[89kg Classification],"&gt;0")</f>
        <v>0</v>
      </c>
      <c r="LN34" s="6">
        <f>COUNTIFS(Table23[Country],Tabela1[[#This Row],[Country]],Table23[102kg Classification],"&gt;0")</f>
        <v>0</v>
      </c>
      <c r="LO34" s="6">
        <f>COUNTIFS(Table23[Country],Tabela1[[#This Row],[Country]],Table23[Plus 102kg Classification],"&gt;0")</f>
        <v>0</v>
      </c>
      <c r="LP34" s="6">
        <f>COUNTIFS(Table28[Country],Tabela1[[#This Row],[Country]],Table28[49kg Classification],"&gt;0")</f>
        <v>0</v>
      </c>
      <c r="LQ34" s="6">
        <f>COUNTIFS(Table28[Country],Tabela1[[#This Row],[Country]],Table28[59kg Classification],"&gt;0")</f>
        <v>1</v>
      </c>
      <c r="LR34" s="6">
        <f>COUNTIFS(Table28[Country],Tabela1[[#This Row],[Country]],Table28[71kg Classification],"&gt;0")</f>
        <v>0</v>
      </c>
      <c r="LS34" s="6">
        <f>COUNTIFS(Table28[Country],Tabela1[[#This Row],[Country]],Table28[81kg Classification],"&gt;0")</f>
        <v>0</v>
      </c>
      <c r="LT34" s="6">
        <f>COUNTIFS(Table28[Country],Tabela1[[#This Row],[Country]],Table28[Plus 81kg Classification],"&gt;0")</f>
        <v>0</v>
      </c>
      <c r="LU34" s="6">
        <f>COUNTIFS(Table24[Country],Tabela1[[#This Row],[Country]],Table24[Freestyle 57kg Classification],"&gt;0")</f>
        <v>0</v>
      </c>
      <c r="LV34" s="6">
        <f>COUNTIFS(Table24[Country],Tabela1[[#This Row],[Country]],Table24[Freestyle 65kg Classification],"&gt;0")</f>
        <v>0</v>
      </c>
      <c r="LW34" s="6">
        <f>COUNTIFS(Table24[Country],Tabela1[[#This Row],[Country]],Table24[Freestyle 74kg Classification],"&gt;0")</f>
        <v>0</v>
      </c>
      <c r="LX34" s="6">
        <f>COUNTIFS(Table24[Country],Tabela1[[#This Row],[Country]],Table24[Freestyle 86kg Classification],"&gt;0")</f>
        <v>0</v>
      </c>
      <c r="LY34" s="6">
        <f>COUNTIFS(Table24[Country],Tabela1[[#This Row],[Country]],Table24[Freestyle 97kg Classification],"&gt;0")</f>
        <v>0</v>
      </c>
      <c r="LZ34" s="6">
        <f>COUNTIFS(Table24[Country],Tabela1[[#This Row],[Country]],Table24[Freestyle 125kg Classification],"&gt;0")</f>
        <v>0</v>
      </c>
      <c r="MA34" s="6">
        <f>COUNTIFS(Table24[Country],Tabela1[[#This Row],[Country]],Table24[Greco-Roman 60kg Classification],"&gt;0")</f>
        <v>0</v>
      </c>
      <c r="MB34" s="6">
        <f>COUNTIFS(Table24[Country],Tabela1[[#This Row],[Country]],Table24[Greco-Roman 67kg Classification],"&gt;0")</f>
        <v>0</v>
      </c>
      <c r="MC34" s="6">
        <f>COUNTIFS(Table24[Country],Tabela1[[#This Row],[Country]],Table24[Greco-Roman 77kg Classification],"&gt;0")</f>
        <v>0</v>
      </c>
      <c r="MD34" s="6">
        <f>COUNTIFS(Table24[Country],Tabela1[[#This Row],[Country]],Table24[Greco-Roman 87kg Classification],"&gt;0")</f>
        <v>0</v>
      </c>
      <c r="ME34" s="6">
        <f>COUNTIFS(Table24[Country],Tabela1[[#This Row],[Country]],Table24[Greco-Roman 97kg Classification],"&gt;0")</f>
        <v>0</v>
      </c>
      <c r="MF34" s="6">
        <f>COUNTIFS(Table24[Country],Tabela1[[#This Row],[Country]],Table24[Greco-Roman 130kg Classification],"&gt;0")</f>
        <v>0</v>
      </c>
      <c r="MG34" s="6">
        <f>COUNTIFS(Table31[Country],Tabela1[[#This Row],[Country]],Table31[50kg Classification],"&gt;0")</f>
        <v>1</v>
      </c>
      <c r="MH34" s="6">
        <f>COUNTIFS(Table31[Country],Tabela1[[#This Row],[Country]],Table31[53kg Classification],"&gt;0")</f>
        <v>0</v>
      </c>
      <c r="MI34" s="6">
        <f>COUNTIFS(Table31[Country],Tabela1[[#This Row],[Country]],Table31[57kg Classification],"&gt;0")</f>
        <v>0</v>
      </c>
      <c r="MJ34" s="6">
        <f>COUNTIFS(Table31[Country],Tabela1[[#This Row],[Country]],Table31[62kg Classification],"&gt;0")</f>
        <v>0</v>
      </c>
      <c r="MK34" s="6">
        <f>COUNTIFS(Table31[Country],Tabela1[[#This Row],[Country]],Table31[68kg Classification],"&gt;0")</f>
        <v>0</v>
      </c>
      <c r="ML34" s="6">
        <f>COUNTIFS(Table31[Country],Tabela1[[#This Row],[Country]],Table31[76kg Classification],"&gt;0")</f>
        <v>1</v>
      </c>
      <c r="MM34" s="6">
        <f>COUNTIFS(Table102[Country],Tabela1[[#This Row],[Country]],Table102[Downhill Classification],"&gt;0")</f>
        <v>0</v>
      </c>
      <c r="MN34" s="6">
        <f>COUNTIFS(Table102105[Country],Tabela1[[#This Row],[Country]],Table102105[Downhill Classification],"&gt;0")</f>
        <v>0</v>
      </c>
      <c r="MO34" s="6">
        <f>COUNTIFS(Table102[Country],Tabela1[[#This Row],[Country]],Table102[Giant Slalom Classification],"&gt;0")</f>
        <v>0</v>
      </c>
      <c r="MP34" s="6">
        <f>COUNTIFS(Table102105[Country],Tabela1[[#This Row],[Country]],Table102105[Giant Slalom Classification],"&gt;0")</f>
        <v>0</v>
      </c>
      <c r="MQ34" s="6">
        <f>COUNTIFS(Table102[Country],Tabela1[[#This Row],[Country]],Table102[Slalom Classification],"&gt;0")</f>
        <v>0</v>
      </c>
      <c r="MR34" s="6">
        <f>COUNTIFS(Table102105[Country],Tabela1[[#This Row],[Country]],Table102105[Slalom Classification],"&gt;0")</f>
        <v>0</v>
      </c>
      <c r="MS34" s="6">
        <f>COUNTIFS(Table102[Country],Tabela1[[#This Row],[Country]],Table102[Super-G Classification],"&gt;0")</f>
        <v>0</v>
      </c>
      <c r="MT34" s="6">
        <f>COUNTIFS(Table102105[Country],Tabela1[[#This Row],[Country]],Table102105[Super-G Classification],"&gt;0")</f>
        <v>0</v>
      </c>
      <c r="MU34" s="6">
        <f>COUNTIFS(Table105[Country],Tabela1[[#This Row],[Country]],Table105[Men''s Combined Classification],"&gt;0")</f>
        <v>0</v>
      </c>
      <c r="MV34" s="6">
        <f>COUNTIFS(Table105[Country],Tabela1[[#This Row],[Country]],Table105[Women''s Combined Classification],"&gt;0")</f>
        <v>0</v>
      </c>
      <c r="MW34" s="6">
        <f>COUNTIFS(Table106[Country],Tabela1[[#This Row],[Country]],Table106[Individual Classification],"&gt;0")</f>
        <v>0</v>
      </c>
      <c r="MX34" s="6">
        <f>COUNTIFS(Table106109[Country],Tabela1[[#This Row],[Country]],Table106109[Individual Classification],"&gt;0")</f>
        <v>0</v>
      </c>
      <c r="MY34" s="6">
        <f>COUNTIFS(Table106[Country],Tabela1[[#This Row],[Country]],Table106[Mass Start Classification],"&gt;0")</f>
        <v>0</v>
      </c>
      <c r="MZ34" s="6">
        <f>COUNTIFS(Table106109[Country],Tabela1[[#This Row],[Country]],Table106109[Mass Start Classification],"&gt;0")</f>
        <v>0</v>
      </c>
      <c r="NA34" s="6">
        <f>COUNTIFS(Table106[Country],Tabela1[[#This Row],[Country]],Table106[Pursuit Classification],"&gt;0")</f>
        <v>0</v>
      </c>
      <c r="NB34" s="6">
        <f>COUNTIFS(Table106109[Country],Tabela1[[#This Row],[Country]],Table106109[Pursuit Classification],"&gt;0")</f>
        <v>0</v>
      </c>
      <c r="NC34" s="6">
        <f>COUNTIFS(Table106[Country],Tabela1[[#This Row],[Country]],Table106[Sprint Classification],"&gt;0")</f>
        <v>0</v>
      </c>
      <c r="ND34" s="6">
        <f>COUNTIFS(Table106109[Country],Tabela1[[#This Row],[Country]],Table106109[Sprint Classification],"&gt;0")</f>
        <v>0</v>
      </c>
      <c r="NE34" s="6">
        <f>COUNTIFS(Table109[Country],Tabela1[[#This Row],[Country]],Table109[Men''s Relay Classification],"&gt;0")</f>
        <v>0</v>
      </c>
      <c r="NF34" s="6">
        <f>COUNTIFS(Table109[Country],Tabela1[[#This Row],[Country]],Table109[Women''s Relay Classification],"&gt;0")</f>
        <v>0</v>
      </c>
      <c r="NG34" s="6">
        <f>COUNTIFS(Table109[Country],Tabela1[[#This Row],[Country]],Table109[Mixed Relay Classification],"&gt;0")</f>
        <v>0</v>
      </c>
      <c r="NH34" s="6">
        <f>COUNTIFS(Table110[Country],Tabela1[[#This Row],[Country]],Table110[Monobob Classification],"&gt;0")</f>
        <v>0</v>
      </c>
      <c r="NI34" s="6">
        <f>COUNTIFS(Table111[Country],Tabela1[[#This Row],[Country]],Table111[Men''s Classification],"&gt;0")</f>
        <v>0</v>
      </c>
      <c r="NJ34" s="6">
        <f>COUNTIFS(Table111[Country],Tabela1[[#This Row],[Country]],Table111[Women''s Classification],"&gt;0")</f>
        <v>0</v>
      </c>
      <c r="NK34" s="6">
        <f>COUNTIFS(Table112[Country],Tabela1[[#This Row],[Country]],Table112[Men''s Four Classification],"&gt;0")</f>
        <v>0</v>
      </c>
      <c r="NL34" s="6">
        <f>COUNTIFS(Table113[Country],Tabela1[[#This Row],[Country]],Table113[Classical Classification],"&gt;0")</f>
        <v>1</v>
      </c>
      <c r="NM34" s="6">
        <f>COUNTIFS(Table113116[Country],Tabela1[[#This Row],[Country]],Table113116[Classical Classification],"&gt;0")</f>
        <v>0</v>
      </c>
      <c r="NN34" s="6">
        <f>COUNTIFS(Table113[Country],Tabela1[[#This Row],[Country]],Table113[Freestyle Classification],"&gt;0")</f>
        <v>1</v>
      </c>
      <c r="NO34" s="6">
        <f>COUNTIFS(Table113116[Country],Tabela1[[#This Row],[Country]],Table113116[Freestyle Classification],"&gt;0")</f>
        <v>0</v>
      </c>
      <c r="NP34" s="6">
        <f>COUNTIFS(Table117[Country],Tabela1[[#This Row],[Country]],Table117[Men''s Relay Classification],"&gt;0")</f>
        <v>0</v>
      </c>
      <c r="NQ34" s="6">
        <f>COUNTIFS(Table117[Country],Tabela1[[#This Row],[Country]],Table117[Women''s Relay Classification],"&gt;0")</f>
        <v>0</v>
      </c>
      <c r="NR34" s="6">
        <f>COUNTIFS(Table113[Country],Tabela1[[#This Row],[Country]],Table113[Skiathlon Classification],"&gt;0")</f>
        <v>1</v>
      </c>
      <c r="NS34" s="6">
        <f>COUNTIFS(Table113116[Country],Tabela1[[#This Row],[Country]],Table113116[Skiathlon Classification],"&gt;0")</f>
        <v>0</v>
      </c>
      <c r="NT34" s="6">
        <f>COUNTIFS(Table113[Country],Tabela1[[#This Row],[Country]],Table113[Sprint Classification],"&gt;0")</f>
        <v>1</v>
      </c>
      <c r="NU34" s="6">
        <f>COUNTIFS(Table113116[Country],Tabela1[[#This Row],[Country]],Table113116[Sprint Classification],"&gt;0")</f>
        <v>0</v>
      </c>
      <c r="NV34" s="6">
        <f>COUNTIFS(Table116[Country],Tabela1[[#This Row],[Country]],Table116[Men''s Team Sprint Classification],"&gt;0")</f>
        <v>0</v>
      </c>
      <c r="NW34" s="6">
        <f>COUNTIFS(Table116[Country],Tabela1[[#This Row],[Country]],Table116[Women''s Team Sprint Classification],"&gt;0")</f>
        <v>0</v>
      </c>
      <c r="NX34" s="6">
        <f>COUNTIFS(Table119[Country],Tabela1[[#This Row],[Country]],Table119[Men''s Classification],"&gt;0")</f>
        <v>0</v>
      </c>
      <c r="NY34" s="6">
        <f>COUNTIFS(Table119[Country],Tabela1[[#This Row],[Country]],Table119[Women''s Classification],"&gt;0")</f>
        <v>0</v>
      </c>
      <c r="NZ34" s="6">
        <f>COUNTIFS(Table118[Country],Tabela1[[#This Row],[Country]],Table118[Mixed Classification],"&gt;0")</f>
        <v>0</v>
      </c>
      <c r="OA34" s="6">
        <f>COUNTIFS(Table120[Country],Tabela1[[#This Row],[Country]],Table120[Classification],"&gt;0")</f>
        <v>0</v>
      </c>
      <c r="OB34" s="6">
        <f>COUNTIFS(Table120123[Country],Tabela1[[#This Row],[Country]],Table120123[Classification],"&gt;0")</f>
        <v>0</v>
      </c>
      <c r="OC34" s="6">
        <f>COUNTIFS(Table123[Country],Tabela1[[#This Row],[Country]],Table123[Ice Dance Classification],"&gt;0")</f>
        <v>0</v>
      </c>
      <c r="OD34" s="6">
        <f>COUNTIFS(Table123[Country],Tabela1[[#This Row],[Country]],Table123[Pair Skating Classification],"&gt;0")</f>
        <v>0</v>
      </c>
      <c r="OE34" s="6">
        <f>COUNTIFS(Table124[Country],Tabela1[[#This Row],[Country]],Table124[Mixed Classification],"&gt;0")</f>
        <v>0</v>
      </c>
      <c r="OF34" s="6">
        <f>COUNTIFS(Table125[Country],Tabela1[[#This Row],[Country]],Table125[Aerials Classification],"&gt;0")</f>
        <v>0</v>
      </c>
      <c r="OG34" s="6">
        <f>COUNTIFS(Table125128[Country],Tabela1[[#This Row],[Country]],Table125128[Aerials Classification],"&gt;0")</f>
        <v>0</v>
      </c>
      <c r="OH34" s="6">
        <f>COUNTIFS(Table128[Country],Tabela1[[#This Row],[Country]],Table128[Mixed Aerials Classification],"&gt;0")</f>
        <v>0</v>
      </c>
      <c r="OI34" s="6">
        <f>COUNTIFS(Table125[Country],Tabela1[[#This Row],[Country]],Table125[Big Air Classification],"&gt;0")</f>
        <v>0</v>
      </c>
      <c r="OJ34" s="6">
        <f>COUNTIFS(Table125128[Country],Tabela1[[#This Row],[Country]],Table125128[Big Air Classification],"&gt;0")</f>
        <v>0</v>
      </c>
      <c r="OK34" s="6">
        <f>COUNTIFS(Table125[Country],Tabela1[[#This Row],[Country]],Table125[Dual Moguls Classification],"&gt;0")</f>
        <v>0</v>
      </c>
      <c r="OL34" s="6">
        <f>COUNTIFS(Table125128[Country],Tabela1[[#This Row],[Country]],Table125128[Dual Moguls Classification],"&gt;0")</f>
        <v>0</v>
      </c>
      <c r="OM34" s="6">
        <f>COUNTIFS(Table125[Country],Tabela1[[#This Row],[Country]],Table125[Halfpipe Classification],"&gt;0")</f>
        <v>0</v>
      </c>
      <c r="ON34" s="6">
        <f>COUNTIFS(Table125128[Country],Tabela1[[#This Row],[Country]],Table125128[Halfpipe Classification],"&gt;0")</f>
        <v>0</v>
      </c>
      <c r="OO34" s="6">
        <f>COUNTIFS(Table125[Country],Tabela1[[#This Row],[Country]],Table125[Moguls Classification],"&gt;0")</f>
        <v>0</v>
      </c>
      <c r="OP34" s="6">
        <f>COUNTIFS(Table125128[Country],Tabela1[[#This Row],[Country]],Table125128[Moguls Classification],"&gt;0")</f>
        <v>0</v>
      </c>
      <c r="OQ34" s="6">
        <f>COUNTIFS(Table125[Country],Tabela1[[#This Row],[Country]],Table125[Ski Cross Classification],"&gt;0")</f>
        <v>0</v>
      </c>
      <c r="OR34" s="6">
        <f>COUNTIFS(Table125128[Country],Tabela1[[#This Row],[Country]],Table125128[Ski Cross Classification],"&gt;0")</f>
        <v>0</v>
      </c>
      <c r="OS34" s="6">
        <f>COUNTIFS(Table125[Country],Tabela1[[#This Row],[Country]],Table125[Slopestyle Classification],"&gt;0")</f>
        <v>0</v>
      </c>
      <c r="OT34" s="6">
        <f>COUNTIFS(Table125128[Country],Tabela1[[#This Row],[Country]],Table125128[Slopestyle Classification],"&gt;0")</f>
        <v>0</v>
      </c>
      <c r="OU34" s="6">
        <f>COUNTIFS(Table119131[Country],Tabela1[[#This Row],[Country]],Table119131[Men''s Classification],"&gt;0")</f>
        <v>0</v>
      </c>
      <c r="OV34" s="6">
        <f>COUNTIFS(Table119131[Country],Tabela1[[#This Row],[Country]],Table119131[Women''s Classification],"&gt;0")</f>
        <v>0</v>
      </c>
      <c r="OW34" s="6">
        <f>COUNTIFS(Table131[Country],Tabela1[[#This Row],[Country]],Table131[Classification],"&gt;0")</f>
        <v>0</v>
      </c>
      <c r="OX34" s="6">
        <f>COUNTIFS(Table131134[Country],Tabela1[[#This Row],[Country]],Table131134[Classification],"&gt;0")</f>
        <v>0</v>
      </c>
      <c r="OY34" s="6">
        <f>COUNTIFS(Table134[Country],Tabela1[[#This Row],[Country]],Table134[Men''s Classification],"&gt;0")</f>
        <v>0</v>
      </c>
      <c r="OZ34" s="6">
        <f>COUNTIFS(Table134[Country],Tabela1[[#This Row],[Country]],Table134[Women''s Classification],"&gt;0")</f>
        <v>0</v>
      </c>
      <c r="PA34" s="6">
        <f>COUNTIFS(Table135[Country],Tabela1[[#This Row],[Country]],Table135[Mixed Relay Classification],"&gt;0")</f>
        <v>0</v>
      </c>
      <c r="PB34" s="6">
        <f>COUNTIFS(Table136[Country],Tabela1[[#This Row],[Country]],Table136[Individual Classification],"&gt;0")</f>
        <v>0</v>
      </c>
      <c r="PC34" s="6">
        <f>COUNTIFS(Table136[Country],Tabela1[[#This Row],[Country]],Table136[Sprint Classification],"&gt;0")</f>
        <v>0</v>
      </c>
      <c r="PD34" s="6">
        <f>COUNTIFS(Table137[Country],Tabela1[[#This Row],[Country]],Table137[Men''s Team Sprint Large Hill Classification],"&gt;0")</f>
        <v>0</v>
      </c>
      <c r="PE34" s="6">
        <f>COUNTIFS(Table138[Country],Tabela1[[#This Row],[Country]],Table138[500m Classification],"&gt;0")</f>
        <v>0</v>
      </c>
      <c r="PF34" s="6">
        <f>COUNTIFS(Table138141[Country],Tabela1[[#This Row],[Country]],Table138141[500m Classification],"&gt;0")</f>
        <v>0</v>
      </c>
      <c r="PG34" s="6">
        <f>COUNTIFS(Table138[Country],Tabela1[[#This Row],[Country]],Table138[1000m Classification],"&gt;0")</f>
        <v>0</v>
      </c>
      <c r="PH34" s="6">
        <f>COUNTIFS(Table138141[Country],Tabela1[[#This Row],[Country]],Table138141[1000m Classification],"&gt;0")</f>
        <v>0</v>
      </c>
      <c r="PI34" s="6">
        <f>COUNTIFS(Table138[Country],Tabela1[[#This Row],[Country]],Table138[1500m Classification],"&gt;0")</f>
        <v>0</v>
      </c>
      <c r="PJ34" s="6">
        <f>COUNTIFS(Table138141[Country],Tabela1[[#This Row],[Country]],Table138141[1500m Classification],"&gt;0")</f>
        <v>0</v>
      </c>
      <c r="PK34" s="6">
        <f>COUNTIFS(Table141[Country],Tabela1[[#This Row],[Country]],Table141[Men''s 5000m Relay Classification],"&gt;0")</f>
        <v>0</v>
      </c>
      <c r="PL34" s="6">
        <f>COUNTIFS(Table141[Country],Tabela1[[#This Row],[Country]],Table141[Women''s 3000m Relay Classification],"&gt;0")</f>
        <v>0</v>
      </c>
      <c r="PM34" s="6">
        <f>COUNTIFS(Table141[Country],Tabela1[[#This Row],[Country]],Table141[Mixed 2000m Relay Classification],"&gt;0")</f>
        <v>0</v>
      </c>
      <c r="PN34" s="6">
        <f>COUNTIFS(Table142[Country],Tabela1[[#This Row],[Country]],Table142[Classification],"&gt;0")</f>
        <v>0</v>
      </c>
      <c r="PO34" s="6">
        <f>COUNTIFS(Table142145[Country],Tabela1[[#This Row],[Country]],Table142145[Classification],"&gt;0")</f>
        <v>0</v>
      </c>
      <c r="PP34" s="6">
        <f>COUNTIFS(Tabela15[Country],Tabela1[[#This Row],[Country]],Tabela15[Mixed Team Classification],"&gt;0")</f>
        <v>0</v>
      </c>
      <c r="PQ34" s="6">
        <f>COUNTIFS(Table145[Country],Tabela1[[#This Row],[Country]],Table145[Large Hill Classification],"&gt;0")</f>
        <v>0</v>
      </c>
      <c r="PR34" s="6">
        <f>COUNTIFS(Table145[Country],Tabela1[[#This Row],[Country]],Table145[Normal Hill Classification],"&gt;0")</f>
        <v>0</v>
      </c>
      <c r="PS34" s="6">
        <f>COUNTIFS(Table145148[Country],Tabela1[[#This Row],[Country]],Table145148[Large Hill Classification],"&gt;0")</f>
        <v>0</v>
      </c>
      <c r="PT34" s="6">
        <f>COUNTIFS(Table145148[Country],Tabela1[[#This Row],[Country]],Table145148[Normal Hill Classification],"&gt;0")</f>
        <v>0</v>
      </c>
      <c r="PU34" s="6">
        <f>COUNTIFS(Table148[Country],Tabela1[[#This Row],[Country]],Table148[Men''s Super Team Classification],"&gt;0")</f>
        <v>0</v>
      </c>
      <c r="PV34" s="6">
        <f>COUNTIFS(Tabela114[Country],Tabela1[[#This Row],[Country]],Tabela114[Mixed Normal Hill Classification],"&gt;0")</f>
        <v>0</v>
      </c>
      <c r="PW34" s="6">
        <f>COUNTIFS(Tabela50[Country],Tabela1[[#This Row],[Country]],Tabela50[Sprint Classification],"&gt;0")</f>
        <v>0</v>
      </c>
      <c r="PX34" s="6">
        <f>COUNTIFS(Tabela50101[Country],Tabela1[[#This Row],[Country]],Tabela50101[Sprint Classification],"&gt;0")</f>
        <v>0</v>
      </c>
      <c r="PY34" s="6">
        <f>COUNTIFS(Tabela103[Country],Tabela1[[#This Row],[Country]],Tabela103[Mixed Relay Classification],"&gt;0")</f>
        <v>0</v>
      </c>
      <c r="PZ34" s="6">
        <f>COUNTIFS(Table149[Country],Tabela1[[#This Row],[Country]],Table149[Big Air Classification],"&gt;0")</f>
        <v>0</v>
      </c>
      <c r="QA34" s="6">
        <f>COUNTIFS(Table149152[Country],Tabela1[[#This Row],[Country]],Table149152[Big Air Classification],"&gt;0")</f>
        <v>0</v>
      </c>
      <c r="QB34" s="6">
        <f>COUNTIFS(Table149[Country],Tabela1[[#This Row],[Country]],Table149[Halfpipe Classification],"&gt;0")</f>
        <v>0</v>
      </c>
      <c r="QC34" s="6">
        <f>COUNTIFS(Table149152[Country],Tabela1[[#This Row],[Country]],Table149152[Halfpipe Classification],"&gt;0")</f>
        <v>0</v>
      </c>
      <c r="QD34" s="6">
        <f>COUNTIFS(Table149[Country],Tabela1[[#This Row],[Country]],Table149[Parallel Giant Slalom Classification],"&gt;0")</f>
        <v>0</v>
      </c>
      <c r="QE34" s="6">
        <f>COUNTIFS(Table149152[Country],Tabela1[[#This Row],[Country]],Table149152[Parallel Giant Slalom Classification],"&gt;0")</f>
        <v>0</v>
      </c>
      <c r="QF34" s="6">
        <f>COUNTIFS(Table149[Country],Tabela1[[#This Row],[Country]],Table149[Slopestyle Classification],"&gt;0")</f>
        <v>0</v>
      </c>
      <c r="QG34" s="6">
        <f>COUNTIFS(Table149152[Country],Tabela1[[#This Row],[Country]],Table149152[Slopestyle Classification],"&gt;0")</f>
        <v>0</v>
      </c>
      <c r="QH34" s="6">
        <f>COUNTIFS(Table149[Country],Tabela1[[#This Row],[Country]],Table149[Snowboard Cross Classification],"&gt;0")</f>
        <v>0</v>
      </c>
      <c r="QI34" s="6">
        <f>COUNTIFS(Table149152[Country],Tabela1[[#This Row],[Country]],Table149152[Snowboard Cross Classification],"&gt;0")</f>
        <v>0</v>
      </c>
      <c r="QJ34" s="6">
        <f>COUNTIFS(Table153[Country],Tabela1[[#This Row],[Country]],Table153[Mixed Team Snowboard Cross Classification],"&gt;0")</f>
        <v>0</v>
      </c>
      <c r="QK34" s="6">
        <f>COUNTIFS(Table154[Country],Tabela1[[#This Row],[Country]],Table154[500m Classification],"&gt;0")</f>
        <v>0</v>
      </c>
      <c r="QL34" s="6">
        <f>COUNTIFS(Table154157[Country],Tabela1[[#This Row],[Country]],Table154157[500m Classification],"&gt;0")</f>
        <v>0</v>
      </c>
      <c r="QM34" s="6">
        <f>COUNTIFS(Table154[Country],Tabela1[[#This Row],[Country]],Table154[1000m Classification],"&gt;0")</f>
        <v>0</v>
      </c>
      <c r="QN34" s="6">
        <f>COUNTIFS(Table154157[Country],Tabela1[[#This Row],[Country]],Table154157[1000m Classification],"&gt;0")</f>
        <v>0</v>
      </c>
      <c r="QO34" s="6">
        <f>COUNTIFS(Table154[Country],Tabela1[[#This Row],[Country]],Table154[1500m Classification],"&gt;0")</f>
        <v>0</v>
      </c>
      <c r="QP34" s="6">
        <f>COUNTIFS(Table154157[Country],Tabela1[[#This Row],[Country]],Table154157[1500m Classification],"&gt;0")</f>
        <v>0</v>
      </c>
      <c r="QQ34" s="6">
        <f>COUNTIFS(Table154157[Country],Tabela1[[#This Row],[Country]],Table154157[3000m Classification],"&gt;0")</f>
        <v>0</v>
      </c>
      <c r="QR34" s="6">
        <f>COUNTIFS(Table154[Country],Tabela1[[#This Row],[Country]],Table154[5000m Classification],"&gt;0")</f>
        <v>0</v>
      </c>
      <c r="QS34" s="6">
        <f>COUNTIFS(Table154157[Country],Tabela1[[#This Row],[Country]],Table154157[5000m Classification],"&gt;0")</f>
        <v>0</v>
      </c>
      <c r="QT34" s="6">
        <f>COUNTIFS(Table154[Country],Tabela1[[#This Row],[Country]],Table154[10000m Classification],"&gt;0")</f>
        <v>0</v>
      </c>
      <c r="QU34" s="6">
        <f>COUNTIFS(Table154[Country],Tabela1[[#This Row],[Country]],Table154[Mass Start Classification],"&gt;0")</f>
        <v>0</v>
      </c>
      <c r="QV34" s="6">
        <f>COUNTIFS(Table154157[Country],Tabela1[[#This Row],[Country]],Table154157[Mass Start Classification],"&gt;0")</f>
        <v>0</v>
      </c>
      <c r="QW34" s="6">
        <f>COUNTIFS(Table157[Country],Tabela1[[#This Row],[Country]],Table157[Men''s Pursuit Classification],"&gt;0")</f>
        <v>0</v>
      </c>
      <c r="QX34" s="6">
        <f>COUNTIFS(Table157[Country],Tabela1[[#This Row],[Country]],Table157[Women''s Pursuit Classification],"&gt;0")</f>
        <v>0</v>
      </c>
      <c r="QY34" s="3" t="s">
        <v>363</v>
      </c>
    </row>
    <row r="35" spans="1:467" x14ac:dyDescent="0.3">
      <c r="A35" s="6">
        <v>34</v>
      </c>
      <c r="B35" s="6" t="s">
        <v>370</v>
      </c>
      <c r="C35" t="e" vm="34">
        <f>IF(ISBLANK(Tabela1[[#This Row],[Image Link]]), "", _xlfn.IMAGE(Tabela1[[#This Row],[Image Link]],1,1))</f>
        <v>#VALUE!</v>
      </c>
      <c r="D35" s="6">
        <f>SUM(Tabela1[[#This Row],[Archery - Men''s Individual Recurve]:[Speed Skating - Women''s Team Pursuit]])</f>
        <v>39</v>
      </c>
      <c r="E35" s="6">
        <f>COUNTIF(Tabela1[[#This Row],[Archery - Men''s Individual Recurve]:[Speed Skating - Women''s Team Pursuit]],"&gt;0")</f>
        <v>28</v>
      </c>
      <c r="F35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Winter Olympics</v>
      </c>
      <c r="G35" s="6">
        <f>SUM(Tabela1[[#This Row],[Archery - Men''s Individual Recurve]:[Wrestling - Women''s Freestyle 76kg]])</f>
        <v>10</v>
      </c>
      <c r="H35" s="6">
        <f>SUM(Tabela1[[#This Row],[Alpine Skiing - Men''s Downhill]:[Speed Skating - Women''s Team Pursuit]])</f>
        <v>29</v>
      </c>
      <c r="I35" s="6">
        <f>Tabela1[[#This Row],[Summer Gold Medals]]+Tabela1[[#This Row],[Winter Gold Medals]]</f>
        <v>3</v>
      </c>
      <c r="J35" s="6">
        <f>Tabela1[[#This Row],[Summer Silver Medals]]+Tabela1[[#This Row],[Winter Silver Medals]]</f>
        <v>1</v>
      </c>
      <c r="K35" s="6">
        <f>Tabela1[[#This Row],[Summer Bronze Medals]]+Tabela1[[#This Row],[Winter Bronze Medals]]</f>
        <v>5</v>
      </c>
      <c r="L35" s="6">
        <f>SUM(Tabela1[[#This Row],[Total Gold Medals]:[Total Bronze Medals]])</f>
        <v>9</v>
      </c>
      <c r="M35" s="6">
        <v>3</v>
      </c>
      <c r="N35" s="6">
        <v>1</v>
      </c>
      <c r="O35" s="6">
        <v>3</v>
      </c>
      <c r="P35" s="6">
        <f>SUM(Tabela1[[#This Row],[Summer Gold Medals]:[Summer Bronze Medals]])</f>
        <v>7</v>
      </c>
      <c r="Q35" s="6"/>
      <c r="R35" s="6"/>
      <c r="S35" s="6">
        <v>2</v>
      </c>
      <c r="T35" s="6">
        <f>Tabela1[[#This Row],[Winter Gold Medals]]+Tabela1[[#This Row],[Winter Silver Medals]]+Tabela1[[#This Row],[Winter Bronze Medals]]</f>
        <v>2</v>
      </c>
      <c r="U35" s="7">
        <f>Tabela1[[#This Row],[Total Medals]]/Tabela1[[#This Row],[Total Quotas]]</f>
        <v>0.23076923076923078</v>
      </c>
      <c r="V35" s="6">
        <f>COUNTIFS(Table3[Country],Tabela1[[#This Row],[Country]],Table3[Recurve Classification],"&gt;0")</f>
        <v>0</v>
      </c>
      <c r="W35" s="6">
        <f>COUNTIFS(Table33[Country],Tabela1[[#This Row],[Country]],Table33[Recurve Classification],"&gt;0")</f>
        <v>0</v>
      </c>
      <c r="X35" s="6">
        <f>COUNTIFS(Table35[Country],Tabela1[[#This Row],[Country]],Table35[Men''s Team Recurve Classification],"&gt;0")</f>
        <v>0</v>
      </c>
      <c r="Y35" s="6">
        <f>COUNTIFS(Table35[Country],Tabela1[[#This Row],[Country]],Table35[Women''s Team Recurve Classification],"&gt;0")</f>
        <v>0</v>
      </c>
      <c r="Z35" s="6">
        <f>COUNTIFS(Tabela88[Country],Tabela1[[#This Row],[Country]],Tabela88[Mixed Team Recurve Classification],"&gt;0")</f>
        <v>0</v>
      </c>
      <c r="AA35" s="6">
        <f>COUNTIFS(Table36[Country],Tabela1[[#This Row],[Country]],Table36[Classification],"&gt;0")</f>
        <v>0</v>
      </c>
      <c r="AB35" s="6">
        <f>COUNTIFS(Table37[Country],Tabela1[[#This Row],[Country]],Table37[Classification],"&gt;0")</f>
        <v>0</v>
      </c>
      <c r="AC35" s="6">
        <f>COUNTIFS(Table4[Country],Tabela1[[#This Row],[Country]],Table4[100m Classification],"&gt;0")</f>
        <v>0</v>
      </c>
      <c r="AD35" s="6">
        <f>COUNTIFS(Table5[Country],Tabela1[[#This Row],[Country]],Table5[100m Classification],"&gt;0")</f>
        <v>0</v>
      </c>
      <c r="AE35" s="6">
        <f>COUNTIFS(Table4[Country],Tabela1[[#This Row],[Country]],Table4[200m Classification],"&gt;0")</f>
        <v>0</v>
      </c>
      <c r="AF35" s="6">
        <f>COUNTIFS(Table5[Country],Tabela1[[#This Row],[Country]],Table5[200m Classification],"&gt;0")</f>
        <v>0</v>
      </c>
      <c r="AG35" s="6">
        <f>COUNTIFS(Table4[Country],Tabela1[[#This Row],[Country]],Table4[400m Classification],"&gt;0")</f>
        <v>0</v>
      </c>
      <c r="AH35" s="6">
        <f>COUNTIFS(Table5[Country],Tabela1[[#This Row],[Country]],Table5[400m Classification],"&gt;0")</f>
        <v>0</v>
      </c>
      <c r="AI35" s="6">
        <f>COUNTIFS(Table4[Country],Tabela1[[#This Row],[Country]],Table4[800m Classification],"&gt;0")</f>
        <v>0</v>
      </c>
      <c r="AJ35" s="6">
        <f>COUNTIFS(Table5[Country],Tabela1[[#This Row],[Country]],Table5[800m Classification],"&gt;0")</f>
        <v>0</v>
      </c>
      <c r="AK35" s="6">
        <f>COUNTIFS(Table4[Country],Tabela1[[#This Row],[Country]],Table4[1500m Classification],"&gt;0")</f>
        <v>0</v>
      </c>
      <c r="AL35" s="6">
        <f>COUNTIFS(Table5[Country],Tabela1[[#This Row],[Country]],Table5[1500m Classification],"&gt;0")</f>
        <v>0</v>
      </c>
      <c r="AM35" s="6">
        <f>COUNTIFS(Table4[Country],Tabela1[[#This Row],[Country]],Table4[5000m Classification],"&gt;0")</f>
        <v>0</v>
      </c>
      <c r="AN35" s="6">
        <f>COUNTIFS(Table5[Country],Tabela1[[#This Row],[Country]],Table5[5000m Classification],"&gt;0")</f>
        <v>0</v>
      </c>
      <c r="AO35" s="6">
        <f>COUNTIFS(Table4[Country],Tabela1[[#This Row],[Country]],Table4[10000m Classification],"&gt;0")</f>
        <v>0</v>
      </c>
      <c r="AP35" s="6">
        <f>COUNTIFS(Table5[Country],Tabela1[[#This Row],[Country]],Table5[10000m Classification],"&gt;0")</f>
        <v>0</v>
      </c>
      <c r="AQ35" s="6">
        <f>COUNTIFS(Table4[Country],Tabela1[[#This Row],[Country]],Table4[110m Hurdles Classification],"&gt;0")</f>
        <v>0</v>
      </c>
      <c r="AR35" s="6">
        <f>COUNTIFS(Table5[Country],Tabela1[[#This Row],[Country]],Table5[100m Hurdles Classification],"&gt;0")</f>
        <v>0</v>
      </c>
      <c r="AS35" s="6">
        <f>COUNTIFS(Table4[Country],Tabela1[[#This Row],[Country]],Table4[400m Hurdles Classification],"&gt;0")</f>
        <v>0</v>
      </c>
      <c r="AT35" s="6">
        <f>COUNTIFS(Table5[Country],Tabela1[[#This Row],[Country]],Table5[400m Hurdles Classification],"&gt;0")</f>
        <v>0</v>
      </c>
      <c r="AU35" s="6">
        <f>COUNTIFS(Table4[Country],Tabela1[[#This Row],[Country]],Table4[3000m Steeplechase Classification],"&gt;0")</f>
        <v>0</v>
      </c>
      <c r="AV35" s="6">
        <f>COUNTIFS(Table5[Country],Tabela1[[#This Row],[Country]],Table5[3000m Steeplechase Classification],"&gt;0")</f>
        <v>0</v>
      </c>
      <c r="AW35" s="6">
        <f>COUNTIFS(Table27[Country],Tabela1[[#This Row],[Country]],Table27[Men''s 4x100m Relay Classification],"&gt;0")</f>
        <v>0</v>
      </c>
      <c r="AX35" s="6">
        <f>COUNTIFS(Table27[Country],Tabela1[[#This Row],[Country]],Table27[Women''s 4x100m Relay Classification],"&gt;0")</f>
        <v>0</v>
      </c>
      <c r="AY35" s="6">
        <f>COUNTIFS(Table27[Country],Tabela1[[#This Row],[Country]],Table27[Men''s 4x400m Relay Classification],"&gt;0")</f>
        <v>0</v>
      </c>
      <c r="AZ35" s="6">
        <f>COUNTIFS(Table27[Country],Tabela1[[#This Row],[Country]],Table27[Women''s 4x400m Relay Classification],"&gt;0")</f>
        <v>0</v>
      </c>
      <c r="BA35" s="6">
        <f>COUNTIFS(Table27[Country],Tabela1[[#This Row],[Country]],Table27[Mixed 4x400m Relay Classification],"&gt;0")</f>
        <v>0</v>
      </c>
      <c r="BB35" s="6">
        <f>COUNTIFS(Table4[Country],Tabela1[[#This Row],[Country]],Table4[Marathon Classification],"&gt;0")</f>
        <v>0</v>
      </c>
      <c r="BC35" s="6">
        <f>COUNTIFS(Table5[Country],Tabela1[[#This Row],[Country]],Table5[Marathon Classification],"&gt;0")</f>
        <v>0</v>
      </c>
      <c r="BD35" s="6">
        <f>COUNTIFS(Table4[Country],Tabela1[[#This Row],[Country]],Table4[20km Race Walk Classification],"&gt;0")</f>
        <v>0</v>
      </c>
      <c r="BE35" s="6">
        <f>COUNTIFS(Table5[Country],Tabela1[[#This Row],[Country]],Table5[20km Race Walk Classification],"&gt;0")</f>
        <v>0</v>
      </c>
      <c r="BF35" s="6">
        <f>COUNTIFS(Tabela96[Country],Tabela1[[#This Row],[Country]],Tabela96[Mixed Marathon Race Walk Relay Classification],"&gt;0")</f>
        <v>0</v>
      </c>
      <c r="BG35" s="6">
        <f>COUNTIFS(Table4[Country],Tabela1[[#This Row],[Country]],Table4[Discus Throw Classification],"&gt;0")</f>
        <v>0</v>
      </c>
      <c r="BH35" s="6">
        <f>COUNTIFS(Table5[Country],Tabela1[[#This Row],[Country]],Table5[Discus Throw Classification],"&gt;0")</f>
        <v>0</v>
      </c>
      <c r="BI35" s="6">
        <f>COUNTIFS(Table4[Country],Tabela1[[#This Row],[Country]],Table4[Hammer Throw Classification],"&gt;0")</f>
        <v>0</v>
      </c>
      <c r="BJ35" s="6">
        <f>COUNTIFS(Table5[Country],Tabela1[[#This Row],[Country]],Table5[Hammer Throw Classification],"&gt;0")</f>
        <v>0</v>
      </c>
      <c r="BK35" s="6">
        <f>COUNTIFS(Table4[Country],Tabela1[[#This Row],[Country]],Table4[High Jump Classification],"&gt;0")</f>
        <v>1</v>
      </c>
      <c r="BL35" s="6">
        <f>COUNTIFS(Table5[Country],Tabela1[[#This Row],[Country]],Table5[High Jump Classification],"&gt;0")</f>
        <v>0</v>
      </c>
      <c r="BM35" s="6">
        <f>COUNTIFS(Table4[Country],Tabela1[[#This Row],[Country]],Table4[Javelin Throw Classification],"&gt;0")</f>
        <v>0</v>
      </c>
      <c r="BN35" s="6">
        <f>COUNTIFS(Table5[Country],Tabela1[[#This Row],[Country]],Table5[Javelin Throw Classification],"&gt;0")</f>
        <v>0</v>
      </c>
      <c r="BO35" s="6">
        <f>COUNTIFS(Table4[Country],Tabela1[[#This Row],[Country]],Table4[Long Jump Classification],"&gt;0")</f>
        <v>0</v>
      </c>
      <c r="BP35" s="6">
        <f>COUNTIFS(Table5[Country],Tabela1[[#This Row],[Country]],Table5[Long Jump Classification],"&gt;0")</f>
        <v>0</v>
      </c>
      <c r="BQ35" s="6">
        <f>COUNTIFS(Table4[Country],Tabela1[[#This Row],[Country]],Table4[Pole Vault Classification],"&gt;0")</f>
        <v>0</v>
      </c>
      <c r="BR35" s="6">
        <f>COUNTIFS(Table5[Country],Tabela1[[#This Row],[Country]],Table5[Pole Vault Classification],"&gt;0")</f>
        <v>0</v>
      </c>
      <c r="BS35" s="6">
        <f>COUNTIFS(Table4[Country],Tabela1[[#This Row],[Country]],Table4[Shot Put Classification],"&gt;0")</f>
        <v>0</v>
      </c>
      <c r="BT35" s="6">
        <f>COUNTIFS(Table5[Country],Tabela1[[#This Row],[Country]],Table5[Shot Put Classification],"&gt;0")</f>
        <v>0</v>
      </c>
      <c r="BU35" s="6">
        <f>COUNTIFS(Table4[Country],Tabela1[[#This Row],[Country]],Table4[Triple Jump Classification],"&gt;0")</f>
        <v>0</v>
      </c>
      <c r="BV35" s="6">
        <f>COUNTIFS(Table5[Country],Tabela1[[#This Row],[Country]],Table5[Triple Jump Classification],"&gt;0")</f>
        <v>0</v>
      </c>
      <c r="BW35" s="6">
        <f>COUNTIFS(Table4[Country],Tabela1[[#This Row],[Country]],Table4[Decathlon Classification],"&gt;0")</f>
        <v>0</v>
      </c>
      <c r="BX35" s="6">
        <f>COUNTIFS(Table5[Country],Tabela1[[#This Row],[Country]],Table5[Heptathlon Classification],"&gt;0")</f>
        <v>0</v>
      </c>
      <c r="BY35" s="6">
        <f>COUNTIFS(Table61[Country],Tabela1[[#This Row],[Country]],Table61[Classification],"&gt;0")</f>
        <v>0</v>
      </c>
      <c r="BZ35" s="6">
        <f>COUNTIFS(Table38[Country],Tabela1[[#This Row],[Country]],Table38[Classification],"&gt;0")</f>
        <v>0</v>
      </c>
      <c r="CA35" s="6">
        <f>COUNTIFS(Table39[Country],Tabela1[[#This Row],[Country]],Table39[Men''s Classification],"&gt;0")</f>
        <v>0</v>
      </c>
      <c r="CB35" s="6">
        <f>COUNTIFS(Table39[Country],Tabela1[[#This Row],[Country]],Table39[Women''s Classification],"&gt;0")</f>
        <v>0</v>
      </c>
      <c r="CC35" s="6">
        <f>COUNTIFS(Table39[Country],Tabela1[[#This Row],[Country]],Table39[Mixed Classification],"&gt;0")</f>
        <v>0</v>
      </c>
      <c r="CD35" s="6">
        <f>COUNTIFS(Table89[Country],Tabela1[[#This Row],[Country]],Table89[Men''s Classification],"&gt;0")</f>
        <v>0</v>
      </c>
      <c r="CE35" s="6">
        <f>COUNTIFS(Table89[Country],Tabela1[[#This Row],[Country]],Table89[Women''s Classification],"&gt;0")</f>
        <v>0</v>
      </c>
      <c r="CF35" s="6">
        <f>COUNTIFS(Table90[Country],Tabela1[[#This Row],[Country]],Table90[Men''s Classification],"&gt;0")</f>
        <v>0</v>
      </c>
      <c r="CG35" s="6">
        <f>COUNTIFS(Table90[Country],Tabela1[[#This Row],[Country]],Table90[Women''s Classification],"&gt;0")</f>
        <v>0</v>
      </c>
      <c r="CH35" s="6">
        <f>COUNTIFS(Table60[Country],Tabela1[[#This Row],[Country]],Table60[Men''s Classification],"&gt;0")</f>
        <v>0</v>
      </c>
      <c r="CI35" s="6">
        <f>COUNTIFS(Table60[Country],Tabela1[[#This Row],[Country]],Table60[Women''s Classification],"&gt;0")</f>
        <v>0</v>
      </c>
      <c r="CJ35" s="6">
        <f>COUNTIFS(Table6[Country],Tabela1[[#This Row],[Country]],Table6[51kg Classification],"&gt;0")</f>
        <v>0</v>
      </c>
      <c r="CK35" s="6">
        <f>COUNTIFS(Table6[Country],Tabela1[[#This Row],[Country]],Table6[57kg Classification],"&gt;0")</f>
        <v>0</v>
      </c>
      <c r="CL35" s="6">
        <f>COUNTIFS(Table6[Country],Tabela1[[#This Row],[Country]],Table6[63.5kg Classification],"&gt;0")</f>
        <v>0</v>
      </c>
      <c r="CM35" s="6">
        <f>COUNTIFS(Table6[Country],Tabela1[[#This Row],[Country]],Table6[71kg Classification],"&gt;0")</f>
        <v>0</v>
      </c>
      <c r="CN35" s="6">
        <f>COUNTIFS(Table6[Country],Tabela1[[#This Row],[Country]],Table6[80kg Classification],"&gt;0")</f>
        <v>0</v>
      </c>
      <c r="CO35" s="6">
        <f>COUNTIFS(Table6[Country],Tabela1[[#This Row],[Country]],Table6[92kg Classification],"&gt;0")</f>
        <v>0</v>
      </c>
      <c r="CP35" s="6">
        <f>COUNTIFS(Table6[Country],Tabela1[[#This Row],[Country]],Table6[Plus 92kg Classification],"&gt;0")</f>
        <v>0</v>
      </c>
      <c r="CQ35" s="6">
        <f>COUNTIFS(Table7[Country],Tabela1[[#This Row],[Country]],Table7[50kg Classification],"&gt;0")</f>
        <v>0</v>
      </c>
      <c r="CR35" s="6">
        <f>COUNTIFS(Table7[Country],Tabela1[[#This Row],[Country]],Table7[54kg Classification],"&gt;0")</f>
        <v>0</v>
      </c>
      <c r="CS35" s="6">
        <f>COUNTIFS(Table7[Country],Tabela1[[#This Row],[Country]],Table7[57kg Classification],"&gt;0")</f>
        <v>0</v>
      </c>
      <c r="CT35" s="6">
        <f>COUNTIFS(Table7[Country],Tabela1[[#This Row],[Country]],Table7[60kg Classification],"&gt;0")</f>
        <v>0</v>
      </c>
      <c r="CU35" s="6">
        <f>COUNTIFS(Table7[Country],Tabela1[[#This Row],[Country]],Table7[66kg Classification],"&gt;0")</f>
        <v>0</v>
      </c>
      <c r="CV35" s="6">
        <f>COUNTIFS(Table7[Country],Tabela1[[#This Row],[Country]],Table7[75kg Classification],"&gt;0")</f>
        <v>0</v>
      </c>
      <c r="CW35" s="6">
        <f>COUNTIFS(Tabela94[Country],Tabela1[[#This Row],[Country]],Tabela94[Classification],"&gt;0")</f>
        <v>0</v>
      </c>
      <c r="CX35" s="6">
        <f>COUNTIFS(Tabela9499[Country],Tabela1[[#This Row],[Country]],Tabela9499[Classification],"&gt;0")</f>
        <v>0</v>
      </c>
      <c r="CY35" s="6">
        <f>COUNTIFS(Tabela107[Country],Tabela1[[#This Row],[Country]],Tabela107[C1 Slalom Classification],"&gt;0")</f>
        <v>0</v>
      </c>
      <c r="CZ35" s="6">
        <f>COUNTIFS(Tabela107122[Country],Tabela1[[#This Row],[Country]],Tabela107122[C1 Slalom Classification],"&gt;0")</f>
        <v>0</v>
      </c>
      <c r="DA35" s="6">
        <f>COUNTIFS(Tabela107[Country],Tabela1[[#This Row],[Country]],Tabela107[K1 Slalom Classification],"&gt;0")</f>
        <v>0</v>
      </c>
      <c r="DB35" s="6">
        <f>COUNTIFS(Tabela107122[Country],Tabela1[[#This Row],[Country]],Tabela107122[K1 Slalom Classification],"&gt;0")</f>
        <v>0</v>
      </c>
      <c r="DC35" s="6">
        <f>COUNTIFS(Tabela107[Country],Tabela1[[#This Row],[Country]],Tabela107[Kayak Cross Slalom Classification],"&gt;0")</f>
        <v>0</v>
      </c>
      <c r="DD35" s="6">
        <f>COUNTIFS(Tabela107122[Country],Tabela1[[#This Row],[Country]],Tabela107122[Kayak Cross Slalom Classification],"&gt;0")</f>
        <v>0</v>
      </c>
      <c r="DE35" s="6">
        <f>COUNTIFS(Table8[Country],Tabela1[[#This Row],[Country]],Table8[C1 200m Classification],"&gt;0")</f>
        <v>0</v>
      </c>
      <c r="DF35" s="6">
        <f>COUNTIFS(Table40[Country],Tabela1[[#This Row],[Country]],Table40[C1 1000m Classification],"&gt;0")</f>
        <v>0</v>
      </c>
      <c r="DG35" s="6">
        <f>COUNTIFS(Table68[Country],Tabela1[[#This Row],[Country]],Table68[Men''s C2 500m Classification],"&gt;0")</f>
        <v>0</v>
      </c>
      <c r="DH35" s="6">
        <f>COUNTIFS(Table68[Country],Tabela1[[#This Row],[Country]],Table68[Women''s C2 500m Classification],"&gt;0")</f>
        <v>0</v>
      </c>
      <c r="DI35" s="6">
        <f>COUNTIFS(Table8[Country],Tabela1[[#This Row],[Country]],Table8[K1 500m Classification],"&gt;0")</f>
        <v>0</v>
      </c>
      <c r="DJ35" s="6">
        <f>COUNTIFS(Table40[Country],Tabela1[[#This Row],[Country]],Table40[K1 1000m Classification],"&gt;0")</f>
        <v>0</v>
      </c>
      <c r="DK35" s="6">
        <f>COUNTIFS(Table68[Country],Tabela1[[#This Row],[Country]],Table68[Men''s K2 500m Classification],"&gt;0")</f>
        <v>0</v>
      </c>
      <c r="DL35" s="6">
        <f>COUNTIFS(Table68[Country],Tabela1[[#This Row],[Country]],Table68[Women''s K2 500m Classification],"&gt;0")</f>
        <v>0</v>
      </c>
      <c r="DM35" s="6">
        <f>COUNTIFS(Table83[Country],Tabela1[[#This Row],[Country]],Table83[Men''s K4 500m Classification],"&gt;0")</f>
        <v>0</v>
      </c>
      <c r="DN35" s="6">
        <f>COUNTIFS(Table83[Country],Tabela1[[#This Row],[Country]],Table83[Women''s K4 500m Classification],"&gt;0")</f>
        <v>0</v>
      </c>
      <c r="DO35" s="6">
        <f>COUNTIFS(Tabela126[Country],Tabela1[[#This Row],[Country]],Tabela126[Classification],"&gt;0")</f>
        <v>0</v>
      </c>
      <c r="DP35" s="6">
        <f>COUNTIFS(Tabela126130[Country],Tabela1[[#This Row],[Country]],Tabela126130[Classification],"&gt;0")</f>
        <v>0</v>
      </c>
      <c r="DQ35" s="6">
        <f>COUNTIFS(Table70[Country],Tabela1[[#This Row],[Country]],Table70[Classification],"&gt;0")</f>
        <v>0</v>
      </c>
      <c r="DR35" s="6">
        <f>COUNTIFS(Table80[Country],Tabela1[[#This Row],[Country]],Table80[Classification],"&gt;0")</f>
        <v>0</v>
      </c>
      <c r="DS35" s="6">
        <f>COUNTIFS(Table66[Country],Tabela1[[#This Row],[Country]],Table66[Classification],"&gt;0")</f>
        <v>0</v>
      </c>
      <c r="DT35" s="6">
        <f>COUNTIFS(Table67[Country],Tabela1[[#This Row],[Country]],Table67[Classification],"&gt;0")</f>
        <v>0</v>
      </c>
      <c r="DU35" s="6">
        <f>COUNTIFS(Table69[Country],Tabela1[[#This Row],[Country]],Table69[Keirin Classification],"&gt;0")</f>
        <v>0</v>
      </c>
      <c r="DV35" s="6">
        <f>COUNTIFS(Table41[Country],Tabela1[[#This Row],[Country]],Table41[Keirin Classification],"&gt;0")</f>
        <v>0</v>
      </c>
      <c r="DW35" s="6">
        <f>COUNTIFS(Table84[Country],Tabela1[[#This Row],[Country]],Table84[Men''s Madison Classification],"&gt;0")</f>
        <v>0</v>
      </c>
      <c r="DX35" s="6">
        <f>COUNTIFS(Table84[Country],Tabela1[[#This Row],[Country]],Table84[Women''s Madison Classification],"&gt;0")</f>
        <v>0</v>
      </c>
      <c r="DY35" s="6">
        <f>COUNTIFS(Table69[Country],Tabela1[[#This Row],[Country]],Table69[Omnium Classification],"&gt;0")</f>
        <v>0</v>
      </c>
      <c r="DZ35" s="6">
        <f>COUNTIFS(Table41[Country],Tabela1[[#This Row],[Country]],Table41[Omnium Classification],"&gt;0")</f>
        <v>0</v>
      </c>
      <c r="EA35" s="6">
        <f>COUNTIFS(Table9[Country],Tabela1[[#This Row],[Country]],Table9[Road Race Classification],"&gt;0")</f>
        <v>0</v>
      </c>
      <c r="EB35" s="6">
        <f>COUNTIFS(Table14[Country],Tabela1[[#This Row],[Country]],Table14[Road Race Classification],"&gt;0")</f>
        <v>0</v>
      </c>
      <c r="EC35" s="6">
        <f>COUNTIFS(Table69[Country],Tabela1[[#This Row],[Country]],Table69[Sprint Classification],"&gt;0")</f>
        <v>0</v>
      </c>
      <c r="ED35" s="6">
        <f>COUNTIFS(Table41[Country],Tabela1[[#This Row],[Country]],Table41[Sprint Classification],"&gt;0")</f>
        <v>0</v>
      </c>
      <c r="EE35" s="6">
        <f>COUNTIFS(Table85[Country],Tabela1[[#This Row],[Country]],Table85[Men''s Sprint Classification],"&gt;0")</f>
        <v>0</v>
      </c>
      <c r="EF35" s="6">
        <f>COUNTIFS(Table85[Country],Tabela1[[#This Row],[Country]],Table85[Women''s Sprint Classification],"&gt;0")</f>
        <v>0</v>
      </c>
      <c r="EG35" s="6">
        <f>COUNTIFS(Table85[Country],Tabela1[[#This Row],[Country]],Table85[Men''s Pursuit Classification],"&gt;0")</f>
        <v>0</v>
      </c>
      <c r="EH35" s="6">
        <f>COUNTIFS(Table85[Country],Tabela1[[#This Row],[Country]],Table85[Women''s Pursuit Classification],"&gt;0")</f>
        <v>0</v>
      </c>
      <c r="EI35" s="6">
        <f>COUNTIFS(Table9[Country],Tabela1[[#This Row],[Country]],Table9[Time-Trial Classification],"&gt;0")</f>
        <v>0</v>
      </c>
      <c r="EJ35" s="6">
        <f>COUNTIFS(Table14[Country],Tabela1[[#This Row],[Country]],Table14[Time-Trial Classification],"&gt;0")</f>
        <v>0</v>
      </c>
      <c r="EK35" s="6">
        <f>COUNTIFS(Table42[Country],Tabela1[[#This Row],[Country]],Table42[Springboard Classification],"&gt;0")</f>
        <v>0</v>
      </c>
      <c r="EL35" s="6">
        <f>COUNTIFS(Table43[Country],Tabela1[[#This Row],[Country]],Table43[Springboard Classification],"&gt;0")</f>
        <v>0</v>
      </c>
      <c r="EM35" s="6">
        <f>COUNTIFS(Table42[Country],Tabela1[[#This Row],[Country]],Table42[Platform Classification],"&gt;0")</f>
        <v>0</v>
      </c>
      <c r="EN35" s="6">
        <f>COUNTIFS(Table43[Country],Tabela1[[#This Row],[Country]],Table43[Platform Classification],"&gt;0")</f>
        <v>0</v>
      </c>
      <c r="EO35" s="6">
        <f>COUNTIFS(Table86[Country],Tabela1[[#This Row],[Country]],Table86[Men''s Synchronized Springboard Classification],"&gt;0")</f>
        <v>0</v>
      </c>
      <c r="EP35" s="6">
        <f>COUNTIFS(Table86[Country],Tabela1[[#This Row],[Country]],Table86[Women''s Synchronized Springboard Classification],"&gt;0")</f>
        <v>0</v>
      </c>
      <c r="EQ35" s="6">
        <f>COUNTIFS(Table86[Country],Tabela1[[#This Row],[Country]],Table86[Men''s Synchronized Platform Classification],"&gt;0")</f>
        <v>0</v>
      </c>
      <c r="ER35" s="6">
        <f>COUNTIFS(Table86[Country],Tabela1[[#This Row],[Country]],Table86[Women''s Synchronized Platform Classification],"&gt;0")</f>
        <v>0</v>
      </c>
      <c r="ES35" s="6">
        <f>COUNTIFS(Table44[Country],Tabela1[[#This Row],[Country]],Table44[Dressage Classification],"&gt;0")</f>
        <v>0</v>
      </c>
      <c r="ET35" s="6">
        <f>COUNTIFS(Table45[Country],Tabela1[[#This Row],[Country]],Table45[Dressage Classification],"&gt;0")</f>
        <v>0</v>
      </c>
      <c r="EU35" s="6">
        <f>COUNTIFS(Table44[Country],Tabela1[[#This Row],[Country]],Table44[Eventing Classification],"&gt;0")</f>
        <v>0</v>
      </c>
      <c r="EV35" s="6">
        <f>COUNTIFS(Table45[Country],Tabela1[[#This Row],[Country]],Table45[Eventing Classification],"&gt;0")</f>
        <v>0</v>
      </c>
      <c r="EW35" s="6">
        <f>COUNTIFS(Table44[Country],Tabela1[[#This Row],[Country]],Table44[Jumping Classification],"&gt;0")</f>
        <v>0</v>
      </c>
      <c r="EX35" s="6">
        <f>COUNTIFS(Table45[Country],Tabela1[[#This Row],[Country]],Table45[Jumping Classification],"&gt;0")</f>
        <v>0</v>
      </c>
      <c r="EY35" s="6">
        <f>COUNTIFS(Table10[Country],Tabela1[[#This Row],[Country]],Table10[Épée Classification],"&gt;0")</f>
        <v>0</v>
      </c>
      <c r="EZ35" s="6">
        <f>COUNTIFS(Table11[Country],Tabela1[[#This Row],[Country]],Table11[Épée Classification],"&gt;0")</f>
        <v>0</v>
      </c>
      <c r="FA35" s="6">
        <f>COUNTIFS(Table46[Country],Tabela1[[#This Row],[Country]],Table46[Men''s Épée Classification],"&gt;0")</f>
        <v>0</v>
      </c>
      <c r="FB35" s="6">
        <f>COUNTIFS(Table46[Country],Tabela1[[#This Row],[Country]],Table46[Women''s Épée Classification],"&gt;0")</f>
        <v>0</v>
      </c>
      <c r="FC35" s="6">
        <f>COUNTIFS(Table10[Country],Tabela1[[#This Row],[Country]],Table10[Foil Classification],"&gt;0")</f>
        <v>0</v>
      </c>
      <c r="FD35" s="6">
        <f>COUNTIFS(Table11[Country],Tabela1[[#This Row],[Country]],Table11[Foil Classification],"&gt;0")</f>
        <v>0</v>
      </c>
      <c r="FE35" s="6">
        <f>COUNTIFS(Table46[Country],Tabela1[[#This Row],[Country]],Table46[Men''s Foil Classification],"&gt;0")</f>
        <v>0</v>
      </c>
      <c r="FF35" s="6">
        <f>COUNTIFS(Table46[Country],Tabela1[[#This Row],[Country]],Table46[Women''s Foil Classification],"&gt;0")</f>
        <v>0</v>
      </c>
      <c r="FG35" s="6">
        <f>COUNTIFS(Table10[Country],Tabela1[[#This Row],[Country]],Table10[Sabre Classification],"&gt;0")</f>
        <v>0</v>
      </c>
      <c r="FH35" s="6">
        <f>COUNTIFS(Table11[Country],Tabela1[[#This Row],[Country]],Table11[Sabre Classification],"&gt;0")</f>
        <v>0</v>
      </c>
      <c r="FI35" s="6">
        <f>COUNTIFS(Table46[Country],Tabela1[[#This Row],[Country]],Table46[Men''s Sabre Classification],"&gt;0")</f>
        <v>0</v>
      </c>
      <c r="FJ35" s="6">
        <f>COUNTIFS(Table46[Country],Tabela1[[#This Row],[Country]],Table46[Women''s Sabre Classification],"&gt;0")</f>
        <v>0</v>
      </c>
      <c r="FK35" s="6">
        <f>COUNTIFS(Table91[Country],Tabela1[[#This Row],[Country]],Table91[Men''s Classification],"&gt;0")</f>
        <v>0</v>
      </c>
      <c r="FL35" s="6">
        <f>COUNTIFS(Table91[Country],Tabela1[[#This Row],[Country]],Table91[Women''s Classification],"&gt;0")</f>
        <v>0</v>
      </c>
      <c r="FM35" s="6">
        <f>COUNTIFS(Table9194[Country],Tabela1[[#This Row],[Country]],Table9194[Men''s Classification],"&gt;0")</f>
        <v>0</v>
      </c>
      <c r="FN35" s="6">
        <f>COUNTIFS(Table9194[Country],Tabela1[[#This Row],[Country]],Table9194[Women''s Classification],"&gt;0")</f>
        <v>0</v>
      </c>
      <c r="FO35" s="6">
        <f>COUNTIFS(Table71[Country],Tabela1[[#This Row],[Country]],Table71[Classification],"&gt;0")</f>
        <v>0</v>
      </c>
      <c r="FP35" s="6">
        <f>COUNTIFS(Table62[Country],Tabela1[[#This Row],[Country]],Table62[Classification],"&gt;0")</f>
        <v>0</v>
      </c>
      <c r="FQ35" s="6">
        <f>COUNTIFS(Table47[Country],Tabela1[[#This Row],[Country]],Table47[All-Around Classification],"&gt;0")</f>
        <v>0</v>
      </c>
      <c r="FR35" s="6">
        <f>COUNTIFS(Table48[Country],Tabela1[[#This Row],[Country]],Table48[All-Around Classification],"&gt;0")</f>
        <v>0</v>
      </c>
      <c r="FS35" s="6">
        <f>COUNTIFS(Table81[Country],Tabela1[[#This Row],[Country]],Table81[Men''s All-Around Classification],"&gt;0")</f>
        <v>0</v>
      </c>
      <c r="FT35" s="6">
        <f>COUNTIFS(Table81[Country],Tabela1[[#This Row],[Country]],Table81[Women''s All-Around Classification],"&gt;0")</f>
        <v>0</v>
      </c>
      <c r="FU35" s="6">
        <f>COUNTIFS(Table48[Country],Tabela1[[#This Row],[Country]],Table48[Balance Beam Classification],"&gt;0")</f>
        <v>0</v>
      </c>
      <c r="FV35" s="6">
        <f>COUNTIFS(Table47[Country],Tabela1[[#This Row],[Country]],Table47[Floor Exercise Classification],"&gt;0")</f>
        <v>0</v>
      </c>
      <c r="FW35" s="6">
        <f>COUNTIFS(Table48[Country],Tabela1[[#This Row],[Country]],Table48[Floor Exercise Classification],"&gt;0")</f>
        <v>0</v>
      </c>
      <c r="FX35" s="6">
        <f>COUNTIFS(Table47[Country],Tabela1[[#This Row],[Country]],Table47[Horizontal Bar Classification],"&gt;0")</f>
        <v>0</v>
      </c>
      <c r="FY35" s="6">
        <f>COUNTIFS(Table47[Country],Tabela1[[#This Row],[Country]],Table47[Parallel Bars Classification],"&gt;0")</f>
        <v>0</v>
      </c>
      <c r="FZ35" s="6">
        <f>COUNTIFS(Table47[Country],Tabela1[[#This Row],[Country]],Table47[Pommel Horse Classification],"&gt;0")</f>
        <v>0</v>
      </c>
      <c r="GA35" s="6">
        <f>COUNTIFS(Table47[Country],Tabela1[[#This Row],[Country]],Table47[Rings Classification],"&gt;0")</f>
        <v>0</v>
      </c>
      <c r="GB35" s="6">
        <f>COUNTIFS(Tabela132[Country],Tabela1[[#This Row],[Country]],Tabela132[Classification],"&gt;0")</f>
        <v>0</v>
      </c>
      <c r="GC35" s="6">
        <f>COUNTIFS(Tabela139[Country],Tabela1[[#This Row],[Country]],Tabela139[Classification],"&gt;0")</f>
        <v>0</v>
      </c>
      <c r="GD35" s="6">
        <f>COUNTIFS(Table48[Country],Tabela1[[#This Row],[Country]],Table48[Uneven Bars Classification],"&gt;0")</f>
        <v>0</v>
      </c>
      <c r="GE35" s="6">
        <f>COUNTIFS(Table47[Country],Tabela1[[#This Row],[Country]],Table47[Vault Classification],"&gt;0")</f>
        <v>0</v>
      </c>
      <c r="GF35" s="6">
        <f>COUNTIFS(Table48[Country],Tabela1[[#This Row],[Country]],Table48[Vault Classification],"&gt;0")</f>
        <v>0</v>
      </c>
      <c r="GG35" s="6">
        <f>COUNTIFS(Table919496[Country],Tabela1[[#This Row],[Country]],Table919496[Men''s Classification],"&gt;0")</f>
        <v>0</v>
      </c>
      <c r="GH35" s="6">
        <f>COUNTIFS(Table919496[Country],Tabela1[[#This Row],[Country]],Table919496[Women''s Classification],"&gt;0")</f>
        <v>0</v>
      </c>
      <c r="GI35" s="6">
        <f>COUNTIFS(Table12[Country],Tabela1[[#This Row],[Country]],Table12[60kg Classification],"&gt;0")</f>
        <v>0</v>
      </c>
      <c r="GJ35" s="6">
        <f>COUNTIFS(Table12[Country],Tabela1[[#This Row],[Country]],Table12[66kg Classification],"&gt;0")</f>
        <v>0</v>
      </c>
      <c r="GK35" s="6">
        <f>COUNTIFS(Table12[Country],Tabela1[[#This Row],[Country]],Table12[73kg Classification],"&gt;0")</f>
        <v>0</v>
      </c>
      <c r="GL35" s="6">
        <f>COUNTIFS(Table12[Country],Tabela1[[#This Row],[Country]],Table12[81kg Classification],"&gt;0")</f>
        <v>0</v>
      </c>
      <c r="GM35" s="6">
        <f>COUNTIFS(Table12[Country],Tabela1[[#This Row],[Country]],Table12[90kg Classification],"&gt;0")</f>
        <v>0</v>
      </c>
      <c r="GN35" s="6">
        <f>COUNTIFS(Table12[Country],Tabela1[[#This Row],[Country]],Table12[100kg Classification],"&gt;0")</f>
        <v>0</v>
      </c>
      <c r="GO35" s="6">
        <f>COUNTIFS(Table12[Country],Tabela1[[#This Row],[Country]],Table12[Plus 100kg Classification],"&gt;0")</f>
        <v>0</v>
      </c>
      <c r="GP35" s="6">
        <f>COUNTIFS(Table13[Country],Tabela1[[#This Row],[Country]],Table13[48kg Classification],"&gt;0")</f>
        <v>0</v>
      </c>
      <c r="GQ35" s="6">
        <f>COUNTIFS(Table13[Country],Tabela1[[#This Row],[Country]],Table13[52kg Classification],"&gt;0")</f>
        <v>0</v>
      </c>
      <c r="GR35" s="6">
        <f>COUNTIFS(Table13[Country],Tabela1[[#This Row],[Country]],Table13[57kg Classification],"&gt;0")</f>
        <v>0</v>
      </c>
      <c r="GS35" s="6">
        <f>COUNTIFS(Table13[Country],Tabela1[[#This Row],[Country]],Table13[63kg Classification],"&gt;0")</f>
        <v>0</v>
      </c>
      <c r="GT35" s="6">
        <f>COUNTIFS(Table13[Country],Tabela1[[#This Row],[Country]],Table13[70kg Classification],"&gt;0")</f>
        <v>0</v>
      </c>
      <c r="GU35" s="6">
        <f>COUNTIFS(Table13[Country],Tabela1[[#This Row],[Country]],Table13[78kg Classification],"&gt;0")</f>
        <v>0</v>
      </c>
      <c r="GV35" s="6">
        <f>COUNTIFS(Table13[Country],Tabela1[[#This Row],[Country]],Table13[Plus 78kg Classification],"&gt;0")</f>
        <v>0</v>
      </c>
      <c r="GW35" s="6">
        <f>COUNTIFS(Table82[Country],Tabela1[[#This Row],[Country]],Table82[Mixed Classification],"&gt;0")</f>
        <v>0</v>
      </c>
      <c r="GX35" s="6">
        <f>COUNTIFS(Table51[Country],Tabela1[[#This Row],[Country]],Table51[Classification],"&gt;0")</f>
        <v>0</v>
      </c>
      <c r="GY35" s="6">
        <f>COUNTIFS(Table52[Country],Tabela1[[#This Row],[Country]],Table52[Classification],"&gt;0")</f>
        <v>0</v>
      </c>
      <c r="GZ35" s="6">
        <f>COUNTIFS(Table32[Country],Tabela1[[#This Row],[Country]],Table32[All-Around Classification],"&gt;0")</f>
        <v>1</v>
      </c>
      <c r="HA35" s="6">
        <f>COUNTIFS(Table49[Country],Tabela1[[#This Row],[Country]],Table49[All-Around Classification],"&gt;0")</f>
        <v>1</v>
      </c>
      <c r="HB35" s="6">
        <f>COUNTIFS(Table26[Country],Tabela1[[#This Row],[Country]],Table26[Single Sculls Classification],"&gt;0")</f>
        <v>0</v>
      </c>
      <c r="HC35" s="6">
        <f>COUNTIFS(Table63[Country],Tabela1[[#This Row],[Country]],Table63[Single Sculls Classification],"&gt;0")</f>
        <v>1</v>
      </c>
      <c r="HD35" s="6">
        <f>COUNTIFS(Table16[Country],Tabela1[[#This Row],[Country]],Table16[Men''s Double Sculls Classification],"&gt;0")</f>
        <v>0</v>
      </c>
      <c r="HE35" s="6">
        <f>COUNTIFS(Table16[Country],Tabela1[[#This Row],[Country]],Table16[Women''s Double Sculls Classification],"&gt;0")</f>
        <v>0</v>
      </c>
      <c r="HF35" s="6">
        <f>COUNTIFS(Table72[Country],Tabela1[[#This Row],[Country]],Table72[Men''s Quadruple Sculls Classification],"&gt;0")</f>
        <v>0</v>
      </c>
      <c r="HG35" s="6">
        <f>COUNTIFS(Table72[Country],Tabela1[[#This Row],[Country]],Table72[Women''s Quadruple Sculls Classification],"&gt;0")</f>
        <v>0</v>
      </c>
      <c r="HH35" s="6">
        <f>COUNTIFS(Table16[Country],Tabela1[[#This Row],[Country]],Table16[Men''s Coxless Pairs Classification],"&gt;0")</f>
        <v>0</v>
      </c>
      <c r="HI35" s="6">
        <f>COUNTIFS(Table16[Country],Tabela1[[#This Row],[Country]],Table16[Women''s Coxless Pairs Classification],"&gt;0")</f>
        <v>0</v>
      </c>
      <c r="HJ35" s="6">
        <f>COUNTIFS(Table72[Country],Tabela1[[#This Row],[Country]],Table72[Men''s Coxless Fours Classification],"&gt;0")</f>
        <v>0</v>
      </c>
      <c r="HK35" s="6">
        <f>COUNTIFS(Table72[Country],Tabela1[[#This Row],[Country]],Table72[Women''s Coxless Fours Classification],"&gt;0")</f>
        <v>0</v>
      </c>
      <c r="HL35" s="6">
        <f>COUNTIFS(Table72[Country],Tabela1[[#This Row],[Country]],Table72[Men''s Eights Classification],"&gt;0")</f>
        <v>0</v>
      </c>
      <c r="HM35" s="6">
        <f>COUNTIFS(Table72[Country],Tabela1[[#This Row],[Country]],Table72[Women''s Eights Classification],"&gt;0")</f>
        <v>0</v>
      </c>
      <c r="HN35" s="6">
        <f>COUNTIFS(Table16[Country],Tabela1[[#This Row],[Country]],Table16[Men''s Lwt. Double Sculls Classification],"&gt;0")</f>
        <v>0</v>
      </c>
      <c r="HO35" s="6">
        <f>COUNTIFS(Table16[Country],Tabela1[[#This Row],[Country]],Table16[Women''s Lwt. Double Sculls Classification],"&gt;0")</f>
        <v>0</v>
      </c>
      <c r="HP35" s="6">
        <f>COUNTIFS(Table91949698[Country],Tabela1[[#This Row],[Country]],Table91949698[Men''s Classification],"&gt;0")</f>
        <v>0</v>
      </c>
      <c r="HQ35" s="6">
        <f>COUNTIFS(Table91949698[Country],Tabela1[[#This Row],[Country]],Table91949698[Women''s Classification],"&gt;0")</f>
        <v>0</v>
      </c>
      <c r="HR35" s="6">
        <f>COUNTIFS(Table25[Country],Tabela1[[#This Row],[Country]],Table25[Mixed 470 Classification],"&gt;0")</f>
        <v>0</v>
      </c>
      <c r="HS35" s="6">
        <f>COUNTIFS(Table25[Country],Tabela1[[#This Row],[Country]],Table25[Men''s 49er Classification],"&gt;0")</f>
        <v>0</v>
      </c>
      <c r="HT35" s="6">
        <f>COUNTIFS(Table25[Country],Tabela1[[#This Row],[Country]],Table25[Women''s 49er FX Classification],"&gt;0")</f>
        <v>0</v>
      </c>
      <c r="HU35" s="6">
        <f>COUNTIFS(Table17[Country],Tabela1[[#This Row],[Country]],Table17[Formula Kite Classification],"&gt;0")</f>
        <v>0</v>
      </c>
      <c r="HV35" s="6">
        <f>COUNTIFS(Table18[Country],Tabela1[[#This Row],[Country]],Table18[Formula Kite Classification],"&gt;0")</f>
        <v>0</v>
      </c>
      <c r="HW35" s="6">
        <f>COUNTIFS(Table17[Country],Tabela1[[#This Row],[Country]],Table17[ILCA 7 Classification],"&gt;0")</f>
        <v>0</v>
      </c>
      <c r="HX35" s="6">
        <f>COUNTIFS(Table18[Country],Tabela1[[#This Row],[Country]],Table18[ILCA 6 Classification],"&gt;0")</f>
        <v>0</v>
      </c>
      <c r="HY35" s="6">
        <f>COUNTIFS(Table17[Country],Tabela1[[#This Row],[Country]],Table17[IQFoil Classification],"&gt;0")</f>
        <v>0</v>
      </c>
      <c r="HZ35" s="6">
        <f>COUNTIFS(Table18[Country],Tabela1[[#This Row],[Country]],Table18[IQFoil Classification],"&gt;0")</f>
        <v>0</v>
      </c>
      <c r="IA35" s="6">
        <f>COUNTIFS(Table25[Country],Tabela1[[#This Row],[Country]],Table25[Mixed Nacra 17 Classification],"&gt;0")</f>
        <v>0</v>
      </c>
      <c r="IB35" s="6">
        <f>COUNTIFS(Table53[Country],Tabela1[[#This Row],[Country]],Table53[10m Air Pistol Classification],"&gt;0")</f>
        <v>0</v>
      </c>
      <c r="IC35" s="6">
        <f>COUNTIFS(Table19[Country],Tabela1[[#This Row],[Country]],Table19[10m Air Pistol Classification],"&gt;0")</f>
        <v>1</v>
      </c>
      <c r="ID35" s="6">
        <f>COUNTIFS(Table54[Country],Tabela1[[#This Row],[Country]],Table54[Mixed 10m Air Pistol Team Classification],"&gt;0")</f>
        <v>1</v>
      </c>
      <c r="IE35" s="6">
        <f>COUNTIFS(Table53[Country],Tabela1[[#This Row],[Country]],Table53[10m Air Rifle Classification],"&gt;0")</f>
        <v>0</v>
      </c>
      <c r="IF35" s="6">
        <f>COUNTIFS(Table19[Country],Tabela1[[#This Row],[Country]],Table19[10m Air Rifle Classification],"&gt;0")</f>
        <v>0</v>
      </c>
      <c r="IG35" s="6">
        <f>COUNTIFS(Table54[Country],Tabela1[[#This Row],[Country]],Table54[Mixed 10m Air Rifle Team Classification],"&gt;0")</f>
        <v>0</v>
      </c>
      <c r="IH35" s="6">
        <f>COUNTIFS(Table53[Country],Tabela1[[#This Row],[Country]],Table53[25m Rapid Fire Pistol Classification],"&gt;0")</f>
        <v>0</v>
      </c>
      <c r="II35" s="6">
        <f>COUNTIFS(Table19[Country],Tabela1[[#This Row],[Country]],Table19[25m Pistol Classification],"&gt;0")</f>
        <v>1</v>
      </c>
      <c r="IJ35" s="6">
        <f>COUNTIFS(Table53[Country],Tabela1[[#This Row],[Country]],Table53[50m Rifle 3 Positions Classification],"&gt;0")</f>
        <v>0</v>
      </c>
      <c r="IK35" s="6">
        <f>COUNTIFS(Table19[Country],Tabela1[[#This Row],[Country]],Table19[50m Rifle 3 Positions Classification],"&gt;0")</f>
        <v>0</v>
      </c>
      <c r="IL35" s="6">
        <f>COUNTIFS(Table53[Country],Tabela1[[#This Row],[Country]],Table53[Skeet Classification],"&gt;0")</f>
        <v>0</v>
      </c>
      <c r="IM35" s="6">
        <f>COUNTIFS(Table19[Country],Tabela1[[#This Row],[Country]],Table19[Skeet Classification],"&gt;0")</f>
        <v>0</v>
      </c>
      <c r="IN35" s="6">
        <f>COUNTIFS(Table54[Country],Tabela1[[#This Row],[Country]],Table54[Mixed Skeet Team Classification],"&gt;0")</f>
        <v>0</v>
      </c>
      <c r="IO35" s="6">
        <f>COUNTIFS(Table53[Country],Tabela1[[#This Row],[Country]],Table53[Trap Classification],"&gt;0")</f>
        <v>0</v>
      </c>
      <c r="IP35" s="6">
        <f>COUNTIFS(Table19[Country],Tabela1[[#This Row],[Country]],Table19[Trap Classification],"&gt;0")</f>
        <v>0</v>
      </c>
      <c r="IQ35" s="6">
        <f>COUNTIFS(Table73[Country],Tabela1[[#This Row],[Country]],Table73[Park Classification],"&gt;0")</f>
        <v>0</v>
      </c>
      <c r="IR35" s="6">
        <f>COUNTIFS(Table74[Country],Tabela1[[#This Row],[Country]],Table74[Park Classification],"&gt;0")</f>
        <v>0</v>
      </c>
      <c r="IS35" s="6">
        <f>COUNTIFS(Table73[Country],Tabela1[[#This Row],[Country]],Table73[Street Classification],"&gt;0")</f>
        <v>0</v>
      </c>
      <c r="IT35" s="6">
        <f>COUNTIFS(Table74[Country],Tabela1[[#This Row],[Country]],Table74[Street Classification],"&gt;0")</f>
        <v>0</v>
      </c>
      <c r="IU35" s="6">
        <f>COUNTIFS(Table75[Country],Tabela1[[#This Row],[Country]],Table75[Boulder and Lead Classification],"&gt;0")</f>
        <v>0</v>
      </c>
      <c r="IV35" s="6">
        <f>COUNTIFS(Table76[Country],Tabela1[[#This Row],[Country]],Table76[Boulder and Lead Classification],"&gt;0")</f>
        <v>0</v>
      </c>
      <c r="IW35" s="6">
        <f>COUNTIFS(Table75[Country],Tabela1[[#This Row],[Country]],Table75[Speed Classification],"&gt;0")</f>
        <v>0</v>
      </c>
      <c r="IX35" s="6">
        <f>COUNTIFS(Table76[Country],Tabela1[[#This Row],[Country]],Table76[Speed Classification],"&gt;0")</f>
        <v>0</v>
      </c>
      <c r="IY35" s="6">
        <f>COUNTIFS(Table64[Country],Tabela1[[#This Row],[Country]],Table64[Shortboard Classification],"&gt;0")</f>
        <v>0</v>
      </c>
      <c r="IZ35" s="6">
        <f>COUNTIFS(Table77[Country],Tabela1[[#This Row],[Country]],Table77[Shortboard Classification],"&gt;0")</f>
        <v>0</v>
      </c>
      <c r="JA35" s="6">
        <f>COUNTIFS(Table20[Country],Tabela1[[#This Row],[Country]],Table20[50m Freestyle Classification],"&gt;0")</f>
        <v>0</v>
      </c>
      <c r="JB35" s="6">
        <f>COUNTIFS(Table21[Country],Tabela1[[#This Row],[Country]],Table21[50m Freestyle Classification],"&gt;0")</f>
        <v>0</v>
      </c>
      <c r="JC35" s="6">
        <f>COUNTIFS(Table20[Country],Tabela1[[#This Row],[Country]],Table20[100m Freestyle Classification],"&gt;0")</f>
        <v>0</v>
      </c>
      <c r="JD35" s="6">
        <f>COUNTIFS(Table21[Country],Tabela1[[#This Row],[Country]],Table21[100m Freestyle Classification],"&gt;0")</f>
        <v>0</v>
      </c>
      <c r="JE35" s="6">
        <f>COUNTIFS(Table20[Country],Tabela1[[#This Row],[Country]],Table20[200m Freestyle Classification],"&gt;0")</f>
        <v>0</v>
      </c>
      <c r="JF35" s="6">
        <f>COUNTIFS(Table21[Country],Tabela1[[#This Row],[Country]],Table21[200m Freestyle Classification],"&gt;0")</f>
        <v>0</v>
      </c>
      <c r="JG35" s="6">
        <f>COUNTIFS(Table20[Country],Tabela1[[#This Row],[Country]],Table20[400m Freestyle Classification],"&gt;0")</f>
        <v>0</v>
      </c>
      <c r="JH35" s="6">
        <f>COUNTIFS(Table21[Country],Tabela1[[#This Row],[Country]],Table21[400m Freestyle Classification],"&gt;0")</f>
        <v>0</v>
      </c>
      <c r="JI35" s="6">
        <f>COUNTIFS(Table20[Country],Tabela1[[#This Row],[Country]],Table20[800m Freestyle Classification],"&gt;0")</f>
        <v>0</v>
      </c>
      <c r="JJ35" s="6">
        <f>COUNTIFS(Table21[Country],Tabela1[[#This Row],[Country]],Table21[800m Freestyle Classification],"&gt;0")</f>
        <v>0</v>
      </c>
      <c r="JK35" s="6">
        <f>COUNTIFS(Table20[Country],Tabela1[[#This Row],[Country]],Table20[1500m Freestyle Classification],"&gt;0")</f>
        <v>0</v>
      </c>
      <c r="JL35" s="6">
        <f>COUNTIFS(Table21[Country],Tabela1[[#This Row],[Country]],Table21[1500m Freestyle Classification],"&gt;0")</f>
        <v>0</v>
      </c>
      <c r="JM35" s="6">
        <f>COUNTIFS(Table20[Country],Tabela1[[#This Row],[Country]],Table20[100m Backstroke Classification],"&gt;0")</f>
        <v>0</v>
      </c>
      <c r="JN35" s="6">
        <f>COUNTIFS(Table21[Country],Tabela1[[#This Row],[Country]],Table21[100m Backstroke Classification],"&gt;0")</f>
        <v>0</v>
      </c>
      <c r="JO35" s="6">
        <f>COUNTIFS(Table20[Country],Tabela1[[#This Row],[Country]],Table20[200m Backstroke Classification],"&gt;0")</f>
        <v>0</v>
      </c>
      <c r="JP35" s="6">
        <f>COUNTIFS(Table21[Country],Tabela1[[#This Row],[Country]],Table21[200m Backstroke Classification],"&gt;0")</f>
        <v>0</v>
      </c>
      <c r="JQ35" s="6">
        <f>COUNTIFS(Table20[Country],Tabela1[[#This Row],[Country]],Table20[100m Breaststroke Classification],"&gt;0")</f>
        <v>0</v>
      </c>
      <c r="JR35" s="6">
        <f>COUNTIFS(Table21[Country],Tabela1[[#This Row],[Country]],Table21[100m Breaststroke Classification],"&gt;0")</f>
        <v>0</v>
      </c>
      <c r="JS35" s="6">
        <f>COUNTIFS(Table20[Country],Tabela1[[#This Row],[Country]],Table20[200m Breaststroke Classification],"&gt;0")</f>
        <v>0</v>
      </c>
      <c r="JT35" s="6">
        <f>COUNTIFS(Table21[Country],Tabela1[[#This Row],[Country]],Table21[200m Breaststroke Classification],"&gt;0")</f>
        <v>0</v>
      </c>
      <c r="JU35" s="6">
        <f>COUNTIFS(Table20[Country],Tabela1[[#This Row],[Country]],Table20[100m Butterfly Classification],"&gt;0")</f>
        <v>0</v>
      </c>
      <c r="JV35" s="6">
        <f>COUNTIFS(Table21[Country],Tabela1[[#This Row],[Country]],Table21[100m Butterfly Classification],"&gt;0")</f>
        <v>0</v>
      </c>
      <c r="JW35" s="6">
        <f>COUNTIFS(Table20[Country],Tabela1[[#This Row],[Country]],Table20[200m Butterfly Classification],"&gt;0")</f>
        <v>0</v>
      </c>
      <c r="JX35" s="6">
        <f>COUNTIFS(Table21[Country],Tabela1[[#This Row],[Country]],Table21[200m Butterfly Classification],"&gt;0")</f>
        <v>0</v>
      </c>
      <c r="JY35" s="6">
        <f>COUNTIFS(Table20[Country],Tabela1[[#This Row],[Country]],Table20[200m Medley Classification],"&gt;0")</f>
        <v>0</v>
      </c>
      <c r="JZ35" s="6">
        <f>COUNTIFS(Table21[Country],Tabela1[[#This Row],[Country]],Table21[200m Medley Classification],"&gt;0")</f>
        <v>0</v>
      </c>
      <c r="KA35" s="6">
        <f>COUNTIFS(Table20[Country],Tabela1[[#This Row],[Country]],Table20[400m Medley Classification],"&gt;0")</f>
        <v>0</v>
      </c>
      <c r="KB35" s="6">
        <f>COUNTIFS(Table21[Country],Tabela1[[#This Row],[Country]],Table21[400m Medley Classification],"&gt;0")</f>
        <v>0</v>
      </c>
      <c r="KC35" s="6">
        <f>COUNTIFS(Table78[Country],Tabela1[[#This Row],[Country]],Table78[Men''s 4x100m Freestyle Relay Classification],"&gt;0")</f>
        <v>0</v>
      </c>
      <c r="KD35" s="6">
        <f>COUNTIFS(Table78[Country],Tabela1[[#This Row],[Country]],Table78[Women''s 4x100m Freestyle Relay Classification],"&gt;0")</f>
        <v>0</v>
      </c>
      <c r="KE35" s="6">
        <f>COUNTIFS(Table78[Country],Tabela1[[#This Row],[Country]],Table78[Men''s 4x200m Freestyle Relay Classification],"&gt;0")</f>
        <v>0</v>
      </c>
      <c r="KF35" s="6">
        <f>COUNTIFS(Table78[Country],Tabela1[[#This Row],[Country]],Table78[Women''s 4x200m Freestyle Relay Classification],"&gt;0")</f>
        <v>0</v>
      </c>
      <c r="KG35" s="6">
        <f>COUNTIFS(Table78[Country],Tabela1[[#This Row],[Country]],Table78[Men''s 4x100m Medley Relay Classification],"&gt;0")</f>
        <v>0</v>
      </c>
      <c r="KH35" s="6">
        <f>COUNTIFS(Table78[Country],Tabela1[[#This Row],[Country]],Table78[Women''s 4x100m Medley Relay Classification],"&gt;0")</f>
        <v>0</v>
      </c>
      <c r="KI35" s="6">
        <f>COUNTIFS(Table78[Country],Tabela1[[#This Row],[Country]],Table78[Mixed 4x100m Medley Relay Classification],"&gt;0")</f>
        <v>0</v>
      </c>
      <c r="KJ35" s="6">
        <f>COUNTIFS(Table20[Country],Tabela1[[#This Row],[Country]],Table20[10km Open Water Classification],"&gt;0")</f>
        <v>0</v>
      </c>
      <c r="KK35" s="6">
        <f>COUNTIFS(Table21[Country],Tabela1[[#This Row],[Country]],Table21[10km Open Water Classification],"&gt;0")</f>
        <v>0</v>
      </c>
      <c r="KL35" s="6">
        <f>COUNTIFS(Table22[Country],Tabela1[[#This Row],[Country]],Table22[Classification],"&gt;0")</f>
        <v>0</v>
      </c>
      <c r="KM35" s="6">
        <f>COUNTIFS(Table30[Country],Tabela1[[#This Row],[Country]],Table30[Classification],"&gt;0")</f>
        <v>0</v>
      </c>
      <c r="KN35" s="6">
        <f>COUNTIFS(Table55[Country],Tabela1[[#This Row],[Country]],Table55[Men''s Classification],"&gt;0")</f>
        <v>0</v>
      </c>
      <c r="KO35" s="6">
        <f>COUNTIFS(Table55[Country],Tabela1[[#This Row],[Country]],Table55[Women''s Classification],"&gt;0")</f>
        <v>0</v>
      </c>
      <c r="KP35" s="6">
        <f>COUNTIFS(Table56[Country],Tabela1[[#This Row],[Country]],Table56[Mixed Classification],"&gt;0")</f>
        <v>0</v>
      </c>
      <c r="KQ35" s="6">
        <f>COUNTIFS(Table29[Country],Tabela1[[#This Row],[Country]],Table29[58kg Classification],"&gt;0")</f>
        <v>0</v>
      </c>
      <c r="KR35" s="6">
        <f>COUNTIFS(Table29[Country],Tabela1[[#This Row],[Country]],Table29[68kg Classification],"&gt;0")</f>
        <v>0</v>
      </c>
      <c r="KS35" s="6">
        <f>COUNTIFS(Table29[Country],Tabela1[[#This Row],[Country]],Table29[80kg Classification],"&gt;0")</f>
        <v>0</v>
      </c>
      <c r="KT35" s="6">
        <f>COUNTIFS(Table29[Country],Tabela1[[#This Row],[Country]],Table29[Plus 80kg Classification],"&gt;0")</f>
        <v>0</v>
      </c>
      <c r="KU35" s="6">
        <f>COUNTIFS(Table34[Country],Tabela1[[#This Row],[Country]],Table34[49kg Classification],"&gt;0")</f>
        <v>0</v>
      </c>
      <c r="KV35" s="6">
        <f>COUNTIFS(Table34[Country],Tabela1[[#This Row],[Country]],Table34[57kg Classification],"&gt;0")</f>
        <v>0</v>
      </c>
      <c r="KW35" s="6">
        <f>COUNTIFS(Table34[Country],Tabela1[[#This Row],[Country]],Table34[67kg Classification],"&gt;0")</f>
        <v>0</v>
      </c>
      <c r="KX35" s="6">
        <f>COUNTIFS(Table34[Country],Tabela1[[#This Row],[Country]],Table34[Plus 67kg Classification],"&gt;0")</f>
        <v>0</v>
      </c>
      <c r="KY35" s="6">
        <f>COUNTIFS(Table57[Country],Tabela1[[#This Row],[Country]],Table57[Classification],"&gt;0")</f>
        <v>0</v>
      </c>
      <c r="KZ35" s="6">
        <f>COUNTIFS(Table58[Country],Tabela1[[#This Row],[Country]],Table58[Classification],"&gt;0")</f>
        <v>0</v>
      </c>
      <c r="LA35" s="6">
        <f>COUNTIFS(Table79[Country],Tabela1[[#This Row],[Country]],Table79[Men''s Classification],"&gt;0")</f>
        <v>0</v>
      </c>
      <c r="LB35" s="6">
        <f>COUNTIFS(Table79[Country],Tabela1[[#This Row],[Country]],Table79[Women''s Classification],"&gt;0")</f>
        <v>0</v>
      </c>
      <c r="LC35" s="6">
        <f>COUNTIFS(Table79[Country],Tabela1[[#This Row],[Country]],Table79[Mixed Classification],"&gt;0")</f>
        <v>0</v>
      </c>
      <c r="LD35" s="6">
        <f>COUNTIFS(Table65[Country],Tabela1[[#This Row],[Country]],Table65[Classification],"&gt;0")</f>
        <v>0</v>
      </c>
      <c r="LE35" s="6">
        <f>COUNTIFS(Table59[Country],Tabela1[[#This Row],[Country]],Table59[Classification],"&gt;0")</f>
        <v>0</v>
      </c>
      <c r="LF35" s="6">
        <f>COUNTIFS(Table87[Country],Tabela1[[#This Row],[Country]],Table87[Mixed Relay Classification],"&gt;0")</f>
        <v>0</v>
      </c>
      <c r="LG35" s="6">
        <f>COUNTIFS(Table91949698100[Country],Tabela1[[#This Row],[Country]],Table91949698100[Men''s Classification],"&gt;0")</f>
        <v>0</v>
      </c>
      <c r="LH35" s="6">
        <f>COUNTIFS(Table91949698100[Country],Tabela1[[#This Row],[Country]],Table91949698100[Women''s Classification],"&gt;0")</f>
        <v>0</v>
      </c>
      <c r="LI35" s="6">
        <f>COUNTIFS(Table91949698100102[Country],Tabela1[[#This Row],[Country]],Table91949698100102[Men''s Classification],"&gt;0")</f>
        <v>0</v>
      </c>
      <c r="LJ35" s="6">
        <f>COUNTIFS(Table91949698100102[Country],Tabela1[[#This Row],[Country]],Table91949698100102[Women''s Classification],"&gt;0")</f>
        <v>0</v>
      </c>
      <c r="LK35" s="6">
        <f>COUNTIFS(Table23[Country],Tabela1[[#This Row],[Country]],Table23[61kg Classification],"&gt;0")</f>
        <v>0</v>
      </c>
      <c r="LL35" s="6">
        <f>COUNTIFS(Table23[Country],Tabela1[[#This Row],[Country]],Table23[73kg Classification],"&gt;0")</f>
        <v>0</v>
      </c>
      <c r="LM35" s="6">
        <f>COUNTIFS(Table23[Country],Tabela1[[#This Row],[Country]],Table23[89kg Classification],"&gt;0")</f>
        <v>0</v>
      </c>
      <c r="LN35" s="6">
        <f>COUNTIFS(Table23[Country],Tabela1[[#This Row],[Country]],Table23[102kg Classification],"&gt;0")</f>
        <v>0</v>
      </c>
      <c r="LO35" s="6">
        <f>COUNTIFS(Table23[Country],Tabela1[[#This Row],[Country]],Table23[Plus 102kg Classification],"&gt;0")</f>
        <v>0</v>
      </c>
      <c r="LP35" s="6">
        <f>COUNTIFS(Table28[Country],Tabela1[[#This Row],[Country]],Table28[49kg Classification],"&gt;0")</f>
        <v>0</v>
      </c>
      <c r="LQ35" s="6">
        <f>COUNTIFS(Table28[Country],Tabela1[[#This Row],[Country]],Table28[59kg Classification],"&gt;0")</f>
        <v>0</v>
      </c>
      <c r="LR35" s="6">
        <f>COUNTIFS(Table28[Country],Tabela1[[#This Row],[Country]],Table28[71kg Classification],"&gt;0")</f>
        <v>0</v>
      </c>
      <c r="LS35" s="6">
        <f>COUNTIFS(Table28[Country],Tabela1[[#This Row],[Country]],Table28[81kg Classification],"&gt;0")</f>
        <v>0</v>
      </c>
      <c r="LT35" s="6">
        <f>COUNTIFS(Table28[Country],Tabela1[[#This Row],[Country]],Table28[Plus 81kg Classification],"&gt;0")</f>
        <v>0</v>
      </c>
      <c r="LU35" s="6">
        <f>COUNTIFS(Table24[Country],Tabela1[[#This Row],[Country]],Table24[Freestyle 57kg Classification],"&gt;0")</f>
        <v>0</v>
      </c>
      <c r="LV35" s="6">
        <f>COUNTIFS(Table24[Country],Tabela1[[#This Row],[Country]],Table24[Freestyle 65kg Classification],"&gt;0")</f>
        <v>0</v>
      </c>
      <c r="LW35" s="6">
        <f>COUNTIFS(Table24[Country],Tabela1[[#This Row],[Country]],Table24[Freestyle 74kg Classification],"&gt;0")</f>
        <v>0</v>
      </c>
      <c r="LX35" s="6">
        <f>COUNTIFS(Table24[Country],Tabela1[[#This Row],[Country]],Table24[Freestyle 86kg Classification],"&gt;0")</f>
        <v>0</v>
      </c>
      <c r="LY35" s="6">
        <f>COUNTIFS(Table24[Country],Tabela1[[#This Row],[Country]],Table24[Freestyle 97kg Classification],"&gt;0")</f>
        <v>0</v>
      </c>
      <c r="LZ35" s="6">
        <f>COUNTIFS(Table24[Country],Tabela1[[#This Row],[Country]],Table24[Freestyle 125kg Classification],"&gt;0")</f>
        <v>0</v>
      </c>
      <c r="MA35" s="6">
        <f>COUNTIFS(Table24[Country],Tabela1[[#This Row],[Country]],Table24[Greco-Roman 60kg Classification],"&gt;0")</f>
        <v>0</v>
      </c>
      <c r="MB35" s="6">
        <f>COUNTIFS(Table24[Country],Tabela1[[#This Row],[Country]],Table24[Greco-Roman 67kg Classification],"&gt;0")</f>
        <v>0</v>
      </c>
      <c r="MC35" s="6">
        <f>COUNTIFS(Table24[Country],Tabela1[[#This Row],[Country]],Table24[Greco-Roman 77kg Classification],"&gt;0")</f>
        <v>1</v>
      </c>
      <c r="MD35" s="6">
        <f>COUNTIFS(Table24[Country],Tabela1[[#This Row],[Country]],Table24[Greco-Roman 87kg Classification],"&gt;0")</f>
        <v>0</v>
      </c>
      <c r="ME35" s="6">
        <f>COUNTIFS(Table24[Country],Tabela1[[#This Row],[Country]],Table24[Greco-Roman 97kg Classification],"&gt;0")</f>
        <v>0</v>
      </c>
      <c r="MF35" s="6">
        <f>COUNTIFS(Table24[Country],Tabela1[[#This Row],[Country]],Table24[Greco-Roman 130kg Classification],"&gt;0")</f>
        <v>1</v>
      </c>
      <c r="MG35" s="6">
        <f>COUNTIFS(Table31[Country],Tabela1[[#This Row],[Country]],Table31[50kg Classification],"&gt;0")</f>
        <v>0</v>
      </c>
      <c r="MH35" s="6">
        <f>COUNTIFS(Table31[Country],Tabela1[[#This Row],[Country]],Table31[53kg Classification],"&gt;0")</f>
        <v>0</v>
      </c>
      <c r="MI35" s="6">
        <f>COUNTIFS(Table31[Country],Tabela1[[#This Row],[Country]],Table31[57kg Classification],"&gt;0")</f>
        <v>0</v>
      </c>
      <c r="MJ35" s="6">
        <f>COUNTIFS(Table31[Country],Tabela1[[#This Row],[Country]],Table31[62kg Classification],"&gt;0")</f>
        <v>1</v>
      </c>
      <c r="MK35" s="6">
        <f>COUNTIFS(Table31[Country],Tabela1[[#This Row],[Country]],Table31[68kg Classification],"&gt;0")</f>
        <v>0</v>
      </c>
      <c r="ML35" s="6">
        <f>COUNTIFS(Table31[Country],Tabela1[[#This Row],[Country]],Table31[76kg Classification],"&gt;0")</f>
        <v>0</v>
      </c>
      <c r="MM35" s="6">
        <f>COUNTIFS(Table102[Country],Tabela1[[#This Row],[Country]],Table102[Downhill Classification],"&gt;0")</f>
        <v>0</v>
      </c>
      <c r="MN35" s="6">
        <f>COUNTIFS(Table102105[Country],Tabela1[[#This Row],[Country]],Table102105[Downhill Classification],"&gt;0")</f>
        <v>0</v>
      </c>
      <c r="MO35" s="6">
        <f>COUNTIFS(Table102[Country],Tabela1[[#This Row],[Country]],Table102[Giant Slalom Classification],"&gt;0")</f>
        <v>0</v>
      </c>
      <c r="MP35" s="6">
        <f>COUNTIFS(Table102105[Country],Tabela1[[#This Row],[Country]],Table102105[Giant Slalom Classification],"&gt;0")</f>
        <v>0</v>
      </c>
      <c r="MQ35" s="6">
        <f>COUNTIFS(Table102[Country],Tabela1[[#This Row],[Country]],Table102[Slalom Classification],"&gt;0")</f>
        <v>0</v>
      </c>
      <c r="MR35" s="6">
        <f>COUNTIFS(Table102105[Country],Tabela1[[#This Row],[Country]],Table102105[Slalom Classification],"&gt;0")</f>
        <v>0</v>
      </c>
      <c r="MS35" s="6">
        <f>COUNTIFS(Table102[Country],Tabela1[[#This Row],[Country]],Table102[Super-G Classification],"&gt;0")</f>
        <v>0</v>
      </c>
      <c r="MT35" s="6">
        <f>COUNTIFS(Table102105[Country],Tabela1[[#This Row],[Country]],Table102105[Super-G Classification],"&gt;0")</f>
        <v>0</v>
      </c>
      <c r="MU35" s="6">
        <f>COUNTIFS(Table105[Country],Tabela1[[#This Row],[Country]],Table105[Men''s Combined Classification],"&gt;0")</f>
        <v>0</v>
      </c>
      <c r="MV35" s="6">
        <f>COUNTIFS(Table105[Country],Tabela1[[#This Row],[Country]],Table105[Women''s Combined Classification],"&gt;0")</f>
        <v>0</v>
      </c>
      <c r="MW35" s="6">
        <f>COUNTIFS(Table106[Country],Tabela1[[#This Row],[Country]],Table106[Individual Classification],"&gt;0")</f>
        <v>2</v>
      </c>
      <c r="MX35" s="6">
        <f>COUNTIFS(Table106109[Country],Tabela1[[#This Row],[Country]],Table106109[Individual Classification],"&gt;0")</f>
        <v>3</v>
      </c>
      <c r="MY35" s="6">
        <f>COUNTIFS(Table106[Country],Tabela1[[#This Row],[Country]],Table106[Mass Start Classification],"&gt;0")</f>
        <v>0</v>
      </c>
      <c r="MZ35" s="6">
        <f>COUNTIFS(Table106109[Country],Tabela1[[#This Row],[Country]],Table106109[Mass Start Classification],"&gt;0")</f>
        <v>2</v>
      </c>
      <c r="NA35" s="6">
        <f>COUNTIFS(Table106[Country],Tabela1[[#This Row],[Country]],Table106[Pursuit Classification],"&gt;0")</f>
        <v>1</v>
      </c>
      <c r="NB35" s="6">
        <f>COUNTIFS(Table106109[Country],Tabela1[[#This Row],[Country]],Table106109[Pursuit Classification],"&gt;0")</f>
        <v>2</v>
      </c>
      <c r="NC35" s="6">
        <f>COUNTIFS(Table106[Country],Tabela1[[#This Row],[Country]],Table106[Sprint Classification],"&gt;0")</f>
        <v>2</v>
      </c>
      <c r="ND35" s="6">
        <f>COUNTIFS(Table106109[Country],Tabela1[[#This Row],[Country]],Table106109[Sprint Classification],"&gt;0")</f>
        <v>3</v>
      </c>
      <c r="NE35" s="6">
        <f>COUNTIFS(Table109[Country],Tabela1[[#This Row],[Country]],Table109[Men''s Relay Classification],"&gt;0")</f>
        <v>1</v>
      </c>
      <c r="NF35" s="6">
        <f>COUNTIFS(Table109[Country],Tabela1[[#This Row],[Country]],Table109[Women''s Relay Classification],"&gt;0")</f>
        <v>1</v>
      </c>
      <c r="NG35" s="6">
        <f>COUNTIFS(Table109[Country],Tabela1[[#This Row],[Country]],Table109[Mixed Relay Classification],"&gt;0")</f>
        <v>1</v>
      </c>
      <c r="NH35" s="6">
        <f>COUNTIFS(Table110[Country],Tabela1[[#This Row],[Country]],Table110[Monobob Classification],"&gt;0")</f>
        <v>0</v>
      </c>
      <c r="NI35" s="6">
        <f>COUNTIFS(Table111[Country],Tabela1[[#This Row],[Country]],Table111[Men''s Classification],"&gt;0")</f>
        <v>0</v>
      </c>
      <c r="NJ35" s="6">
        <f>COUNTIFS(Table111[Country],Tabela1[[#This Row],[Country]],Table111[Women''s Classification],"&gt;0")</f>
        <v>0</v>
      </c>
      <c r="NK35" s="6">
        <f>COUNTIFS(Table112[Country],Tabela1[[#This Row],[Country]],Table112[Men''s Four Classification],"&gt;0")</f>
        <v>0</v>
      </c>
      <c r="NL35" s="6">
        <f>COUNTIFS(Table113[Country],Tabela1[[#This Row],[Country]],Table113[Classical Classification],"&gt;0")</f>
        <v>1</v>
      </c>
      <c r="NM35" s="6">
        <f>COUNTIFS(Table113116[Country],Tabela1[[#This Row],[Country]],Table113116[Classical Classification],"&gt;0")</f>
        <v>0</v>
      </c>
      <c r="NN35" s="6">
        <f>COUNTIFS(Table113[Country],Tabela1[[#This Row],[Country]],Table113[Freestyle Classification],"&gt;0")</f>
        <v>2</v>
      </c>
      <c r="NO35" s="6">
        <f>COUNTIFS(Table113116[Country],Tabela1[[#This Row],[Country]],Table113116[Freestyle Classification],"&gt;0")</f>
        <v>0</v>
      </c>
      <c r="NP35" s="6">
        <f>COUNTIFS(Table117[Country],Tabela1[[#This Row],[Country]],Table117[Men''s Relay Classification],"&gt;0")</f>
        <v>0</v>
      </c>
      <c r="NQ35" s="6">
        <f>COUNTIFS(Table117[Country],Tabela1[[#This Row],[Country]],Table117[Women''s Relay Classification],"&gt;0")</f>
        <v>0</v>
      </c>
      <c r="NR35" s="6">
        <f>COUNTIFS(Table113[Country],Tabela1[[#This Row],[Country]],Table113[Skiathlon Classification],"&gt;0")</f>
        <v>2</v>
      </c>
      <c r="NS35" s="6">
        <f>COUNTIFS(Table113116[Country],Tabela1[[#This Row],[Country]],Table113116[Skiathlon Classification],"&gt;0")</f>
        <v>0</v>
      </c>
      <c r="NT35" s="6">
        <f>COUNTIFS(Table113[Country],Tabela1[[#This Row],[Country]],Table113[Sprint Classification],"&gt;0")</f>
        <v>2</v>
      </c>
      <c r="NU35" s="6">
        <f>COUNTIFS(Table113116[Country],Tabela1[[#This Row],[Country]],Table113116[Sprint Classification],"&gt;0")</f>
        <v>0</v>
      </c>
      <c r="NV35" s="6">
        <f>COUNTIFS(Table116[Country],Tabela1[[#This Row],[Country]],Table116[Men''s Team Sprint Classification],"&gt;0")</f>
        <v>1</v>
      </c>
      <c r="NW35" s="6">
        <f>COUNTIFS(Table116[Country],Tabela1[[#This Row],[Country]],Table116[Women''s Team Sprint Classification],"&gt;0")</f>
        <v>0</v>
      </c>
      <c r="NX35" s="6">
        <f>COUNTIFS(Table119[Country],Tabela1[[#This Row],[Country]],Table119[Men''s Classification],"&gt;0")</f>
        <v>0</v>
      </c>
      <c r="NY35" s="6">
        <f>COUNTIFS(Table119[Country],Tabela1[[#This Row],[Country]],Table119[Women''s Classification],"&gt;0")</f>
        <v>0</v>
      </c>
      <c r="NZ35" s="6">
        <f>COUNTIFS(Table118[Country],Tabela1[[#This Row],[Country]],Table118[Mixed Classification],"&gt;0")</f>
        <v>0</v>
      </c>
      <c r="OA35" s="6">
        <f>COUNTIFS(Table120[Country],Tabela1[[#This Row],[Country]],Table120[Classification],"&gt;0")</f>
        <v>0</v>
      </c>
      <c r="OB35" s="6">
        <f>COUNTIFS(Table120123[Country],Tabela1[[#This Row],[Country]],Table120123[Classification],"&gt;0")</f>
        <v>1</v>
      </c>
      <c r="OC35" s="6">
        <f>COUNTIFS(Table123[Country],Tabela1[[#This Row],[Country]],Table123[Ice Dance Classification],"&gt;0")</f>
        <v>0</v>
      </c>
      <c r="OD35" s="6">
        <f>COUNTIFS(Table123[Country],Tabela1[[#This Row],[Country]],Table123[Pair Skating Classification],"&gt;0")</f>
        <v>0</v>
      </c>
      <c r="OE35" s="6">
        <f>COUNTIFS(Table124[Country],Tabela1[[#This Row],[Country]],Table124[Mixed Classification],"&gt;0")</f>
        <v>0</v>
      </c>
      <c r="OF35" s="6">
        <f>COUNTIFS(Table125[Country],Tabela1[[#This Row],[Country]],Table125[Aerials Classification],"&gt;0")</f>
        <v>0</v>
      </c>
      <c r="OG35" s="6">
        <f>COUNTIFS(Table125128[Country],Tabela1[[#This Row],[Country]],Table125128[Aerials Classification],"&gt;0")</f>
        <v>0</v>
      </c>
      <c r="OH35" s="6">
        <f>COUNTIFS(Table128[Country],Tabela1[[#This Row],[Country]],Table128[Mixed Aerials Classification],"&gt;0")</f>
        <v>0</v>
      </c>
      <c r="OI35" s="6">
        <f>COUNTIFS(Table125[Country],Tabela1[[#This Row],[Country]],Table125[Big Air Classification],"&gt;0")</f>
        <v>0</v>
      </c>
      <c r="OJ35" s="6">
        <f>COUNTIFS(Table125128[Country],Tabela1[[#This Row],[Country]],Table125128[Big Air Classification],"&gt;0")</f>
        <v>0</v>
      </c>
      <c r="OK35" s="6">
        <f>COUNTIFS(Table125[Country],Tabela1[[#This Row],[Country]],Table125[Dual Moguls Classification],"&gt;0")</f>
        <v>0</v>
      </c>
      <c r="OL35" s="6">
        <f>COUNTIFS(Table125128[Country],Tabela1[[#This Row],[Country]],Table125128[Dual Moguls Classification],"&gt;0")</f>
        <v>0</v>
      </c>
      <c r="OM35" s="6">
        <f>COUNTIFS(Table125[Country],Tabela1[[#This Row],[Country]],Table125[Halfpipe Classification],"&gt;0")</f>
        <v>0</v>
      </c>
      <c r="ON35" s="6">
        <f>COUNTIFS(Table125128[Country],Tabela1[[#This Row],[Country]],Table125128[Halfpipe Classification],"&gt;0")</f>
        <v>0</v>
      </c>
      <c r="OO35" s="6">
        <f>COUNTIFS(Table125[Country],Tabela1[[#This Row],[Country]],Table125[Moguls Classification],"&gt;0")</f>
        <v>0</v>
      </c>
      <c r="OP35" s="6">
        <f>COUNTIFS(Table125128[Country],Tabela1[[#This Row],[Country]],Table125128[Moguls Classification],"&gt;0")</f>
        <v>0</v>
      </c>
      <c r="OQ35" s="6">
        <f>COUNTIFS(Table125[Country],Tabela1[[#This Row],[Country]],Table125[Ski Cross Classification],"&gt;0")</f>
        <v>0</v>
      </c>
      <c r="OR35" s="6">
        <f>COUNTIFS(Table125128[Country],Tabela1[[#This Row],[Country]],Table125128[Ski Cross Classification],"&gt;0")</f>
        <v>0</v>
      </c>
      <c r="OS35" s="6">
        <f>COUNTIFS(Table125[Country],Tabela1[[#This Row],[Country]],Table125[Slopestyle Classification],"&gt;0")</f>
        <v>0</v>
      </c>
      <c r="OT35" s="6">
        <f>COUNTIFS(Table125128[Country],Tabela1[[#This Row],[Country]],Table125128[Slopestyle Classification],"&gt;0")</f>
        <v>0</v>
      </c>
      <c r="OU35" s="6">
        <f>COUNTIFS(Table119131[Country],Tabela1[[#This Row],[Country]],Table119131[Men''s Classification],"&gt;0")</f>
        <v>0</v>
      </c>
      <c r="OV35" s="6">
        <f>COUNTIFS(Table119131[Country],Tabela1[[#This Row],[Country]],Table119131[Women''s Classification],"&gt;0")</f>
        <v>0</v>
      </c>
      <c r="OW35" s="6">
        <f>COUNTIFS(Table131[Country],Tabela1[[#This Row],[Country]],Table131[Classification],"&gt;0")</f>
        <v>0</v>
      </c>
      <c r="OX35" s="6">
        <f>COUNTIFS(Table131134[Country],Tabela1[[#This Row],[Country]],Table131134[Classification],"&gt;0")</f>
        <v>0</v>
      </c>
      <c r="OY35" s="6">
        <f>COUNTIFS(Table134[Country],Tabela1[[#This Row],[Country]],Table134[Men''s Classification],"&gt;0")</f>
        <v>0</v>
      </c>
      <c r="OZ35" s="6">
        <f>COUNTIFS(Table134[Country],Tabela1[[#This Row],[Country]],Table134[Women''s Classification],"&gt;0")</f>
        <v>0</v>
      </c>
      <c r="PA35" s="6">
        <f>COUNTIFS(Table135[Country],Tabela1[[#This Row],[Country]],Table135[Mixed Relay Classification],"&gt;0")</f>
        <v>0</v>
      </c>
      <c r="PB35" s="6">
        <f>COUNTIFS(Table136[Country],Tabela1[[#This Row],[Country]],Table136[Individual Classification],"&gt;0")</f>
        <v>0</v>
      </c>
      <c r="PC35" s="6">
        <f>COUNTIFS(Table136[Country],Tabela1[[#This Row],[Country]],Table136[Sprint Classification],"&gt;0")</f>
        <v>0</v>
      </c>
      <c r="PD35" s="6">
        <f>COUNTIFS(Table137[Country],Tabela1[[#This Row],[Country]],Table137[Men''s Team Sprint Large Hill Classification],"&gt;0")</f>
        <v>0</v>
      </c>
      <c r="PE35" s="6">
        <f>COUNTIFS(Table138[Country],Tabela1[[#This Row],[Country]],Table138[500m Classification],"&gt;0")</f>
        <v>0</v>
      </c>
      <c r="PF35" s="6">
        <f>COUNTIFS(Table138141[Country],Tabela1[[#This Row],[Country]],Table138141[500m Classification],"&gt;0")</f>
        <v>0</v>
      </c>
      <c r="PG35" s="6">
        <f>COUNTIFS(Table138[Country],Tabela1[[#This Row],[Country]],Table138[1000m Classification],"&gt;0")</f>
        <v>0</v>
      </c>
      <c r="PH35" s="6">
        <f>COUNTIFS(Table138141[Country],Tabela1[[#This Row],[Country]],Table138141[1000m Classification],"&gt;0")</f>
        <v>0</v>
      </c>
      <c r="PI35" s="6">
        <f>COUNTIFS(Table138[Country],Tabela1[[#This Row],[Country]],Table138[1500m Classification],"&gt;0")</f>
        <v>0</v>
      </c>
      <c r="PJ35" s="6">
        <f>COUNTIFS(Table138141[Country],Tabela1[[#This Row],[Country]],Table138141[1500m Classification],"&gt;0")</f>
        <v>0</v>
      </c>
      <c r="PK35" s="6">
        <f>COUNTIFS(Table141[Country],Tabela1[[#This Row],[Country]],Table141[Men''s 5000m Relay Classification],"&gt;0")</f>
        <v>0</v>
      </c>
      <c r="PL35" s="6">
        <f>COUNTIFS(Table141[Country],Tabela1[[#This Row],[Country]],Table141[Women''s 3000m Relay Classification],"&gt;0")</f>
        <v>0</v>
      </c>
      <c r="PM35" s="6">
        <f>COUNTIFS(Table141[Country],Tabela1[[#This Row],[Country]],Table141[Mixed 2000m Relay Classification],"&gt;0")</f>
        <v>0</v>
      </c>
      <c r="PN35" s="6">
        <f>COUNTIFS(Table142[Country],Tabela1[[#This Row],[Country]],Table142[Classification],"&gt;0")</f>
        <v>0</v>
      </c>
      <c r="PO35" s="6">
        <f>COUNTIFS(Table142145[Country],Tabela1[[#This Row],[Country]],Table142145[Classification],"&gt;0")</f>
        <v>0</v>
      </c>
      <c r="PP35" s="6">
        <f>COUNTIFS(Tabela15[Country],Tabela1[[#This Row],[Country]],Tabela15[Mixed Team Classification],"&gt;0")</f>
        <v>0</v>
      </c>
      <c r="PQ35" s="6">
        <f>COUNTIFS(Table145[Country],Tabela1[[#This Row],[Country]],Table145[Large Hill Classification],"&gt;0")</f>
        <v>1</v>
      </c>
      <c r="PR35" s="6">
        <f>COUNTIFS(Table145[Country],Tabela1[[#This Row],[Country]],Table145[Normal Hill Classification],"&gt;0")</f>
        <v>1</v>
      </c>
      <c r="PS35" s="6">
        <f>COUNTIFS(Table145148[Country],Tabela1[[#This Row],[Country]],Table145148[Large Hill Classification],"&gt;0")</f>
        <v>0</v>
      </c>
      <c r="PT35" s="6">
        <f>COUNTIFS(Table145148[Country],Tabela1[[#This Row],[Country]],Table145148[Normal Hill Classification],"&gt;0")</f>
        <v>0</v>
      </c>
      <c r="PU35" s="6">
        <f>COUNTIFS(Table148[Country],Tabela1[[#This Row],[Country]],Table148[Men''s Super Team Classification],"&gt;0")</f>
        <v>0</v>
      </c>
      <c r="PV35" s="6">
        <f>COUNTIFS(Tabela114[Country],Tabela1[[#This Row],[Country]],Tabela114[Mixed Normal Hill Classification],"&gt;0")</f>
        <v>0</v>
      </c>
      <c r="PW35" s="6">
        <f>COUNTIFS(Tabela50[Country],Tabela1[[#This Row],[Country]],Tabela50[Sprint Classification],"&gt;0")</f>
        <v>0</v>
      </c>
      <c r="PX35" s="6">
        <f>COUNTIFS(Tabela50101[Country],Tabela1[[#This Row],[Country]],Tabela50101[Sprint Classification],"&gt;0")</f>
        <v>0</v>
      </c>
      <c r="PY35" s="6">
        <f>COUNTIFS(Tabela103[Country],Tabela1[[#This Row],[Country]],Tabela103[Mixed Relay Classification],"&gt;0")</f>
        <v>0</v>
      </c>
      <c r="PZ35" s="6">
        <f>COUNTIFS(Table149[Country],Tabela1[[#This Row],[Country]],Table149[Big Air Classification],"&gt;0")</f>
        <v>0</v>
      </c>
      <c r="QA35" s="6">
        <f>COUNTIFS(Table149152[Country],Tabela1[[#This Row],[Country]],Table149152[Big Air Classification],"&gt;0")</f>
        <v>0</v>
      </c>
      <c r="QB35" s="6">
        <f>COUNTIFS(Table149[Country],Tabela1[[#This Row],[Country]],Table149[Halfpipe Classification],"&gt;0")</f>
        <v>0</v>
      </c>
      <c r="QC35" s="6">
        <f>COUNTIFS(Table149152[Country],Tabela1[[#This Row],[Country]],Table149152[Halfpipe Classification],"&gt;0")</f>
        <v>0</v>
      </c>
      <c r="QD35" s="6">
        <f>COUNTIFS(Table149[Country],Tabela1[[#This Row],[Country]],Table149[Parallel Giant Slalom Classification],"&gt;0")</f>
        <v>0</v>
      </c>
      <c r="QE35" s="6">
        <f>COUNTIFS(Table149152[Country],Tabela1[[#This Row],[Country]],Table149152[Parallel Giant Slalom Classification],"&gt;0")</f>
        <v>0</v>
      </c>
      <c r="QF35" s="6">
        <f>COUNTIFS(Table149[Country],Tabela1[[#This Row],[Country]],Table149[Slopestyle Classification],"&gt;0")</f>
        <v>0</v>
      </c>
      <c r="QG35" s="6">
        <f>COUNTIFS(Table149152[Country],Tabela1[[#This Row],[Country]],Table149152[Slopestyle Classification],"&gt;0")</f>
        <v>0</v>
      </c>
      <c r="QH35" s="6">
        <f>COUNTIFS(Table149[Country],Tabela1[[#This Row],[Country]],Table149[Snowboard Cross Classification],"&gt;0")</f>
        <v>0</v>
      </c>
      <c r="QI35" s="6">
        <f>COUNTIFS(Table149152[Country],Tabela1[[#This Row],[Country]],Table149152[Snowboard Cross Classification],"&gt;0")</f>
        <v>0</v>
      </c>
      <c r="QJ35" s="6">
        <f>COUNTIFS(Table153[Country],Tabela1[[#This Row],[Country]],Table153[Mixed Team Snowboard Cross Classification],"&gt;0")</f>
        <v>0</v>
      </c>
      <c r="QK35" s="6">
        <f>COUNTIFS(Table154[Country],Tabela1[[#This Row],[Country]],Table154[500m Classification],"&gt;0")</f>
        <v>0</v>
      </c>
      <c r="QL35" s="6">
        <f>COUNTIFS(Table154157[Country],Tabela1[[#This Row],[Country]],Table154157[500m Classification],"&gt;0")</f>
        <v>0</v>
      </c>
      <c r="QM35" s="6">
        <f>COUNTIFS(Table154[Country],Tabela1[[#This Row],[Country]],Table154[1000m Classification],"&gt;0")</f>
        <v>0</v>
      </c>
      <c r="QN35" s="6">
        <f>COUNTIFS(Table154157[Country],Tabela1[[#This Row],[Country]],Table154157[1000m Classification],"&gt;0")</f>
        <v>0</v>
      </c>
      <c r="QO35" s="6">
        <f>COUNTIFS(Table154[Country],Tabela1[[#This Row],[Country]],Table154[1500m Classification],"&gt;0")</f>
        <v>0</v>
      </c>
      <c r="QP35" s="6">
        <f>COUNTIFS(Table154157[Country],Tabela1[[#This Row],[Country]],Table154157[1500m Classification],"&gt;0")</f>
        <v>0</v>
      </c>
      <c r="QQ35" s="6">
        <f>COUNTIFS(Table154157[Country],Tabela1[[#This Row],[Country]],Table154157[3000m Classification],"&gt;0")</f>
        <v>0</v>
      </c>
      <c r="QR35" s="6">
        <f>COUNTIFS(Table154[Country],Tabela1[[#This Row],[Country]],Table154[5000m Classification],"&gt;0")</f>
        <v>0</v>
      </c>
      <c r="QS35" s="6">
        <f>COUNTIFS(Table154157[Country],Tabela1[[#This Row],[Country]],Table154157[5000m Classification],"&gt;0")</f>
        <v>0</v>
      </c>
      <c r="QT35" s="6">
        <f>COUNTIFS(Table154[Country],Tabela1[[#This Row],[Country]],Table154[10000m Classification],"&gt;0")</f>
        <v>0</v>
      </c>
      <c r="QU35" s="6">
        <f>COUNTIFS(Table154[Country],Tabela1[[#This Row],[Country]],Table154[Mass Start Classification],"&gt;0")</f>
        <v>0</v>
      </c>
      <c r="QV35" s="6">
        <f>COUNTIFS(Table154157[Country],Tabela1[[#This Row],[Country]],Table154157[Mass Start Classification],"&gt;0")</f>
        <v>0</v>
      </c>
      <c r="QW35" s="6">
        <f>COUNTIFS(Table157[Country],Tabela1[[#This Row],[Country]],Table157[Men''s Pursuit Classification],"&gt;0")</f>
        <v>0</v>
      </c>
      <c r="QX35" s="6">
        <f>COUNTIFS(Table157[Country],Tabela1[[#This Row],[Country]],Table157[Women''s Pursuit Classification],"&gt;0")</f>
        <v>0</v>
      </c>
      <c r="QY35" s="3" t="s">
        <v>371</v>
      </c>
    </row>
    <row r="36" spans="1:467" x14ac:dyDescent="0.3">
      <c r="A36" s="6">
        <v>35</v>
      </c>
      <c r="B36" s="6" t="s">
        <v>346</v>
      </c>
      <c r="C36" t="e" vm="35">
        <f>IF(ISBLANK(Tabela1[[#This Row],[Image Link]]), "", _xlfn.IMAGE(Tabela1[[#This Row],[Image Link]],1,1))</f>
        <v>#VALUE!</v>
      </c>
      <c r="D36" s="6">
        <f>SUM(Tabela1[[#This Row],[Archery - Men''s Individual Recurve]:[Speed Skating - Women''s Team Pursuit]])</f>
        <v>35</v>
      </c>
      <c r="E36" s="6">
        <f>COUNTIF(Tabela1[[#This Row],[Archery - Men''s Individual Recurve]:[Speed Skating - Women''s Team Pursuit]],"&gt;0")</f>
        <v>32</v>
      </c>
      <c r="F36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36" s="6">
        <f>SUM(Tabela1[[#This Row],[Archery - Men''s Individual Recurve]:[Wrestling - Women''s Freestyle 76kg]])</f>
        <v>33</v>
      </c>
      <c r="H36" s="6">
        <f>SUM(Tabela1[[#This Row],[Alpine Skiing - Men''s Downhill]:[Speed Skating - Women''s Team Pursuit]])</f>
        <v>2</v>
      </c>
      <c r="I36" s="6">
        <f>Tabela1[[#This Row],[Summer Gold Medals]]+Tabela1[[#This Row],[Winter Gold Medals]]</f>
        <v>1</v>
      </c>
      <c r="J36" s="6">
        <f>Tabela1[[#This Row],[Summer Silver Medals]]+Tabela1[[#This Row],[Winter Silver Medals]]</f>
        <v>2</v>
      </c>
      <c r="K36" s="6">
        <f>Tabela1[[#This Row],[Summer Bronze Medals]]+Tabela1[[#This Row],[Winter Bronze Medals]]</f>
        <v>1</v>
      </c>
      <c r="L36" s="6">
        <f>SUM(Tabela1[[#This Row],[Total Gold Medals]:[Total Bronze Medals]])</f>
        <v>4</v>
      </c>
      <c r="M36" s="6">
        <v>1</v>
      </c>
      <c r="N36" s="6">
        <v>2</v>
      </c>
      <c r="O36" s="6">
        <v>1</v>
      </c>
      <c r="P36" s="6">
        <f>SUM(Tabela1[[#This Row],[Summer Gold Medals]:[Summer Bronze Medals]])</f>
        <v>4</v>
      </c>
      <c r="Q36" s="6"/>
      <c r="R36" s="6"/>
      <c r="S36" s="6"/>
      <c r="T36" s="6">
        <f>Tabela1[[#This Row],[Winter Gold Medals]]+Tabela1[[#This Row],[Winter Silver Medals]]+Tabela1[[#This Row],[Winter Bronze Medals]]</f>
        <v>0</v>
      </c>
      <c r="U36" s="7">
        <f>Tabela1[[#This Row],[Total Medals]]/Tabela1[[#This Row],[Total Quotas]]</f>
        <v>0.11428571428571428</v>
      </c>
      <c r="V36" s="6">
        <f>COUNTIFS(Table3[Country],Tabela1[[#This Row],[Country]],Table3[Recurve Classification],"&gt;0")</f>
        <v>0</v>
      </c>
      <c r="W36" s="6">
        <f>COUNTIFS(Table33[Country],Tabela1[[#This Row],[Country]],Table33[Recurve Classification],"&gt;0")</f>
        <v>0</v>
      </c>
      <c r="X36" s="6">
        <f>COUNTIFS(Table35[Country],Tabela1[[#This Row],[Country]],Table35[Men''s Team Recurve Classification],"&gt;0")</f>
        <v>0</v>
      </c>
      <c r="Y36" s="6">
        <f>COUNTIFS(Table35[Country],Tabela1[[#This Row],[Country]],Table35[Women''s Team Recurve Classification],"&gt;0")</f>
        <v>0</v>
      </c>
      <c r="Z36" s="6">
        <f>COUNTIFS(Tabela88[Country],Tabela1[[#This Row],[Country]],Tabela88[Mixed Team Recurve Classification],"&gt;0")</f>
        <v>0</v>
      </c>
      <c r="AA36" s="6">
        <f>COUNTIFS(Table36[Country],Tabela1[[#This Row],[Country]],Table36[Classification],"&gt;0")</f>
        <v>0</v>
      </c>
      <c r="AB36" s="6">
        <f>COUNTIFS(Table37[Country],Tabela1[[#This Row],[Country]],Table37[Classification],"&gt;0")</f>
        <v>0</v>
      </c>
      <c r="AC36" s="6">
        <f>COUNTIFS(Table4[Country],Tabela1[[#This Row],[Country]],Table4[100m Classification],"&gt;0")</f>
        <v>0</v>
      </c>
      <c r="AD36" s="6">
        <f>COUNTIFS(Table5[Country],Tabela1[[#This Row],[Country]],Table5[100m Classification],"&gt;0")</f>
        <v>1</v>
      </c>
      <c r="AE36" s="6">
        <f>COUNTIFS(Table4[Country],Tabela1[[#This Row],[Country]],Table4[200m Classification],"&gt;0")</f>
        <v>0</v>
      </c>
      <c r="AF36" s="6">
        <f>COUNTIFS(Table5[Country],Tabela1[[#This Row],[Country]],Table5[200m Classification],"&gt;0")</f>
        <v>1</v>
      </c>
      <c r="AG36" s="6">
        <f>COUNTIFS(Table4[Country],Tabela1[[#This Row],[Country]],Table4[400m Classification],"&gt;0")</f>
        <v>0</v>
      </c>
      <c r="AH36" s="6">
        <f>COUNTIFS(Table5[Country],Tabela1[[#This Row],[Country]],Table5[400m Classification],"&gt;0")</f>
        <v>0</v>
      </c>
      <c r="AI36" s="6">
        <f>COUNTIFS(Table4[Country],Tabela1[[#This Row],[Country]],Table4[800m Classification],"&gt;0")</f>
        <v>0</v>
      </c>
      <c r="AJ36" s="6">
        <f>COUNTIFS(Table5[Country],Tabela1[[#This Row],[Country]],Table5[800m Classification],"&gt;0")</f>
        <v>0</v>
      </c>
      <c r="AK36" s="6">
        <f>COUNTIFS(Table4[Country],Tabela1[[#This Row],[Country]],Table4[1500m Classification],"&gt;0")</f>
        <v>0</v>
      </c>
      <c r="AL36" s="6">
        <f>COUNTIFS(Table5[Country],Tabela1[[#This Row],[Country]],Table5[1500m Classification],"&gt;0")</f>
        <v>0</v>
      </c>
      <c r="AM36" s="6">
        <f>COUNTIFS(Table4[Country],Tabela1[[#This Row],[Country]],Table4[5000m Classification],"&gt;0")</f>
        <v>0</v>
      </c>
      <c r="AN36" s="6">
        <f>COUNTIFS(Table5[Country],Tabela1[[#This Row],[Country]],Table5[5000m Classification],"&gt;0")</f>
        <v>0</v>
      </c>
      <c r="AO36" s="6">
        <f>COUNTIFS(Table4[Country],Tabela1[[#This Row],[Country]],Table4[10000m Classification],"&gt;0")</f>
        <v>0</v>
      </c>
      <c r="AP36" s="6">
        <f>COUNTIFS(Table5[Country],Tabela1[[#This Row],[Country]],Table5[10000m Classification],"&gt;0")</f>
        <v>0</v>
      </c>
      <c r="AQ36" s="6">
        <f>COUNTIFS(Table4[Country],Tabela1[[#This Row],[Country]],Table4[110m Hurdles Classification],"&gt;0")</f>
        <v>0</v>
      </c>
      <c r="AR36" s="6">
        <f>COUNTIFS(Table5[Country],Tabela1[[#This Row],[Country]],Table5[100m Hurdles Classification],"&gt;0")</f>
        <v>0</v>
      </c>
      <c r="AS36" s="6">
        <f>COUNTIFS(Table4[Country],Tabela1[[#This Row],[Country]],Table4[400m Hurdles Classification],"&gt;0")</f>
        <v>0</v>
      </c>
      <c r="AT36" s="6">
        <f>COUNTIFS(Table5[Country],Tabela1[[#This Row],[Country]],Table5[400m Hurdles Classification],"&gt;0")</f>
        <v>0</v>
      </c>
      <c r="AU36" s="6">
        <f>COUNTIFS(Table4[Country],Tabela1[[#This Row],[Country]],Table4[3000m Steeplechase Classification],"&gt;0")</f>
        <v>0</v>
      </c>
      <c r="AV36" s="6">
        <f>COUNTIFS(Table5[Country],Tabela1[[#This Row],[Country]],Table5[3000m Steeplechase Classification],"&gt;0")</f>
        <v>0</v>
      </c>
      <c r="AW36" s="6">
        <f>COUNTIFS(Table27[Country],Tabela1[[#This Row],[Country]],Table27[Men''s 4x100m Relay Classification],"&gt;0")</f>
        <v>0</v>
      </c>
      <c r="AX36" s="6">
        <f>COUNTIFS(Table27[Country],Tabela1[[#This Row],[Country]],Table27[Women''s 4x100m Relay Classification],"&gt;0")</f>
        <v>0</v>
      </c>
      <c r="AY36" s="6">
        <f>COUNTIFS(Table27[Country],Tabela1[[#This Row],[Country]],Table27[Men''s 4x400m Relay Classification],"&gt;0")</f>
        <v>0</v>
      </c>
      <c r="AZ36" s="6">
        <f>COUNTIFS(Table27[Country],Tabela1[[#This Row],[Country]],Table27[Women''s 4x400m Relay Classification],"&gt;0")</f>
        <v>0</v>
      </c>
      <c r="BA36" s="6">
        <f>COUNTIFS(Table27[Country],Tabela1[[#This Row],[Country]],Table27[Mixed 4x400m Relay Classification],"&gt;0")</f>
        <v>0</v>
      </c>
      <c r="BB36" s="6">
        <f>COUNTIFS(Table4[Country],Tabela1[[#This Row],[Country]],Table4[Marathon Classification],"&gt;0")</f>
        <v>1</v>
      </c>
      <c r="BC36" s="6">
        <f>COUNTIFS(Table5[Country],Tabela1[[#This Row],[Country]],Table5[Marathon Classification],"&gt;0")</f>
        <v>1</v>
      </c>
      <c r="BD36" s="6">
        <f>COUNTIFS(Table4[Country],Tabela1[[#This Row],[Country]],Table4[20km Race Walk Classification],"&gt;0")</f>
        <v>0</v>
      </c>
      <c r="BE36" s="6">
        <f>COUNTIFS(Table5[Country],Tabela1[[#This Row],[Country]],Table5[20km Race Walk Classification],"&gt;0")</f>
        <v>0</v>
      </c>
      <c r="BF36" s="6">
        <f>COUNTIFS(Tabela96[Country],Tabela1[[#This Row],[Country]],Tabela96[Mixed Marathon Race Walk Relay Classification],"&gt;0")</f>
        <v>0</v>
      </c>
      <c r="BG36" s="6">
        <f>COUNTIFS(Table4[Country],Tabela1[[#This Row],[Country]],Table4[Discus Throw Classification],"&gt;0")</f>
        <v>0</v>
      </c>
      <c r="BH36" s="6">
        <f>COUNTIFS(Table5[Country],Tabela1[[#This Row],[Country]],Table5[Discus Throw Classification],"&gt;0")</f>
        <v>2</v>
      </c>
      <c r="BI36" s="6">
        <f>COUNTIFS(Table4[Country],Tabela1[[#This Row],[Country]],Table4[Hammer Throw Classification],"&gt;0")</f>
        <v>0</v>
      </c>
      <c r="BJ36" s="6">
        <f>COUNTIFS(Table5[Country],Tabela1[[#This Row],[Country]],Table5[Hammer Throw Classification],"&gt;0")</f>
        <v>0</v>
      </c>
      <c r="BK36" s="6">
        <f>COUNTIFS(Table4[Country],Tabela1[[#This Row],[Country]],Table4[High Jump Classification],"&gt;0")</f>
        <v>0</v>
      </c>
      <c r="BL36" s="6">
        <f>COUNTIFS(Table5[Country],Tabela1[[#This Row],[Country]],Table5[High Jump Classification],"&gt;0")</f>
        <v>0</v>
      </c>
      <c r="BM36" s="6">
        <f>COUNTIFS(Table4[Country],Tabela1[[#This Row],[Country]],Table4[Javelin Throw Classification],"&gt;0")</f>
        <v>0</v>
      </c>
      <c r="BN36" s="6">
        <f>COUNTIFS(Table5[Country],Tabela1[[#This Row],[Country]],Table5[Javelin Throw Classification],"&gt;0")</f>
        <v>0</v>
      </c>
      <c r="BO36" s="6">
        <f>COUNTIFS(Table4[Country],Tabela1[[#This Row],[Country]],Table4[Long Jump Classification],"&gt;0")</f>
        <v>0</v>
      </c>
      <c r="BP36" s="6">
        <f>COUNTIFS(Table5[Country],Tabela1[[#This Row],[Country]],Table5[Long Jump Classification],"&gt;0")</f>
        <v>0</v>
      </c>
      <c r="BQ36" s="6">
        <f>COUNTIFS(Table4[Country],Tabela1[[#This Row],[Country]],Table4[Pole Vault Classification],"&gt;0")</f>
        <v>1</v>
      </c>
      <c r="BR36" s="6">
        <f>COUNTIFS(Table5[Country],Tabela1[[#This Row],[Country]],Table5[Pole Vault Classification],"&gt;0")</f>
        <v>0</v>
      </c>
      <c r="BS36" s="6">
        <f>COUNTIFS(Table4[Country],Tabela1[[#This Row],[Country]],Table4[Shot Put Classification],"&gt;0")</f>
        <v>1</v>
      </c>
      <c r="BT36" s="6">
        <f>COUNTIFS(Table5[Country],Tabela1[[#This Row],[Country]],Table5[Shot Put Classification],"&gt;0")</f>
        <v>1</v>
      </c>
      <c r="BU36" s="6">
        <f>COUNTIFS(Table4[Country],Tabela1[[#This Row],[Country]],Table4[Triple Jump Classification],"&gt;0")</f>
        <v>0</v>
      </c>
      <c r="BV36" s="6">
        <f>COUNTIFS(Table5[Country],Tabela1[[#This Row],[Country]],Table5[Triple Jump Classification],"&gt;0")</f>
        <v>0</v>
      </c>
      <c r="BW36" s="6">
        <f>COUNTIFS(Table4[Country],Tabela1[[#This Row],[Country]],Table4[Decathlon Classification],"&gt;0")</f>
        <v>0</v>
      </c>
      <c r="BX36" s="6">
        <f>COUNTIFS(Table5[Country],Tabela1[[#This Row],[Country]],Table5[Heptathlon Classification],"&gt;0")</f>
        <v>0</v>
      </c>
      <c r="BY36" s="6">
        <f>COUNTIFS(Table61[Country],Tabela1[[#This Row],[Country]],Table61[Classification],"&gt;0")</f>
        <v>0</v>
      </c>
      <c r="BZ36" s="6">
        <f>COUNTIFS(Table38[Country],Tabela1[[#This Row],[Country]],Table38[Classification],"&gt;0")</f>
        <v>0</v>
      </c>
      <c r="CA36" s="6">
        <f>COUNTIFS(Table39[Country],Tabela1[[#This Row],[Country]],Table39[Men''s Classification],"&gt;0")</f>
        <v>0</v>
      </c>
      <c r="CB36" s="6">
        <f>COUNTIFS(Table39[Country],Tabela1[[#This Row],[Country]],Table39[Women''s Classification],"&gt;0")</f>
        <v>0</v>
      </c>
      <c r="CC36" s="6">
        <f>COUNTIFS(Table39[Country],Tabela1[[#This Row],[Country]],Table39[Mixed Classification],"&gt;0")</f>
        <v>0</v>
      </c>
      <c r="CD36" s="6">
        <f>COUNTIFS(Table89[Country],Tabela1[[#This Row],[Country]],Table89[Men''s Classification],"&gt;0")</f>
        <v>0</v>
      </c>
      <c r="CE36" s="6">
        <f>COUNTIFS(Table89[Country],Tabela1[[#This Row],[Country]],Table89[Women''s Classification],"&gt;0")</f>
        <v>0</v>
      </c>
      <c r="CF36" s="6">
        <f>COUNTIFS(Table90[Country],Tabela1[[#This Row],[Country]],Table90[Men''s Classification],"&gt;0")</f>
        <v>0</v>
      </c>
      <c r="CG36" s="6">
        <f>COUNTIFS(Table90[Country],Tabela1[[#This Row],[Country]],Table90[Women''s Classification],"&gt;0")</f>
        <v>0</v>
      </c>
      <c r="CH36" s="6">
        <f>COUNTIFS(Table60[Country],Tabela1[[#This Row],[Country]],Table60[Men''s Classification],"&gt;0")</f>
        <v>0</v>
      </c>
      <c r="CI36" s="6">
        <f>COUNTIFS(Table60[Country],Tabela1[[#This Row],[Country]],Table60[Women''s Classification],"&gt;0")</f>
        <v>0</v>
      </c>
      <c r="CJ36" s="6">
        <f>COUNTIFS(Table6[Country],Tabela1[[#This Row],[Country]],Table6[51kg Classification],"&gt;0")</f>
        <v>0</v>
      </c>
      <c r="CK36" s="6">
        <f>COUNTIFS(Table6[Country],Tabela1[[#This Row],[Country]],Table6[57kg Classification],"&gt;0")</f>
        <v>0</v>
      </c>
      <c r="CL36" s="6">
        <f>COUNTIFS(Table6[Country],Tabela1[[#This Row],[Country]],Table6[63.5kg Classification],"&gt;0")</f>
        <v>0</v>
      </c>
      <c r="CM36" s="6">
        <f>COUNTIFS(Table6[Country],Tabela1[[#This Row],[Country]],Table6[71kg Classification],"&gt;0")</f>
        <v>0</v>
      </c>
      <c r="CN36" s="6">
        <f>COUNTIFS(Table6[Country],Tabela1[[#This Row],[Country]],Table6[80kg Classification],"&gt;0")</f>
        <v>0</v>
      </c>
      <c r="CO36" s="6">
        <f>COUNTIFS(Table6[Country],Tabela1[[#This Row],[Country]],Table6[92kg Classification],"&gt;0")</f>
        <v>0</v>
      </c>
      <c r="CP36" s="6">
        <f>COUNTIFS(Table6[Country],Tabela1[[#This Row],[Country]],Table6[Plus 92kg Classification],"&gt;0")</f>
        <v>0</v>
      </c>
      <c r="CQ36" s="6">
        <f>COUNTIFS(Table7[Country],Tabela1[[#This Row],[Country]],Table7[50kg Classification],"&gt;0")</f>
        <v>0</v>
      </c>
      <c r="CR36" s="6">
        <f>COUNTIFS(Table7[Country],Tabela1[[#This Row],[Country]],Table7[54kg Classification],"&gt;0")</f>
        <v>0</v>
      </c>
      <c r="CS36" s="6">
        <f>COUNTIFS(Table7[Country],Tabela1[[#This Row],[Country]],Table7[57kg Classification],"&gt;0")</f>
        <v>0</v>
      </c>
      <c r="CT36" s="6">
        <f>COUNTIFS(Table7[Country],Tabela1[[#This Row],[Country]],Table7[60kg Classification],"&gt;0")</f>
        <v>0</v>
      </c>
      <c r="CU36" s="6">
        <f>COUNTIFS(Table7[Country],Tabela1[[#This Row],[Country]],Table7[66kg Classification],"&gt;0")</f>
        <v>0</v>
      </c>
      <c r="CV36" s="6">
        <f>COUNTIFS(Table7[Country],Tabela1[[#This Row],[Country]],Table7[75kg Classification],"&gt;0")</f>
        <v>0</v>
      </c>
      <c r="CW36" s="6">
        <f>COUNTIFS(Tabela94[Country],Tabela1[[#This Row],[Country]],Tabela94[Classification],"&gt;0")</f>
        <v>0</v>
      </c>
      <c r="CX36" s="6">
        <f>COUNTIFS(Tabela9499[Country],Tabela1[[#This Row],[Country]],Tabela9499[Classification],"&gt;0")</f>
        <v>1</v>
      </c>
      <c r="CY36" s="6">
        <f>COUNTIFS(Tabela107[Country],Tabela1[[#This Row],[Country]],Tabela107[C1 Slalom Classification],"&gt;0")</f>
        <v>0</v>
      </c>
      <c r="CZ36" s="6">
        <f>COUNTIFS(Tabela107122[Country],Tabela1[[#This Row],[Country]],Tabela107122[C1 Slalom Classification],"&gt;0")</f>
        <v>0</v>
      </c>
      <c r="DA36" s="6">
        <f>COUNTIFS(Tabela107[Country],Tabela1[[#This Row],[Country]],Tabela107[K1 Slalom Classification],"&gt;0")</f>
        <v>0</v>
      </c>
      <c r="DB36" s="6">
        <f>COUNTIFS(Tabela107122[Country],Tabela1[[#This Row],[Country]],Tabela107122[K1 Slalom Classification],"&gt;0")</f>
        <v>0</v>
      </c>
      <c r="DC36" s="6">
        <f>COUNTIFS(Tabela107[Country],Tabela1[[#This Row],[Country]],Tabela107[Kayak Cross Slalom Classification],"&gt;0")</f>
        <v>0</v>
      </c>
      <c r="DD36" s="6">
        <f>COUNTIFS(Tabela107122[Country],Tabela1[[#This Row],[Country]],Tabela107122[Kayak Cross Slalom Classification],"&gt;0")</f>
        <v>0</v>
      </c>
      <c r="DE36" s="6">
        <f>COUNTIFS(Table8[Country],Tabela1[[#This Row],[Country]],Table8[C1 200m Classification],"&gt;0")</f>
        <v>0</v>
      </c>
      <c r="DF36" s="6">
        <f>COUNTIFS(Table40[Country],Tabela1[[#This Row],[Country]],Table40[C1 1000m Classification],"&gt;0")</f>
        <v>0</v>
      </c>
      <c r="DG36" s="6">
        <f>COUNTIFS(Table68[Country],Tabela1[[#This Row],[Country]],Table68[Men''s C2 500m Classification],"&gt;0")</f>
        <v>0</v>
      </c>
      <c r="DH36" s="6">
        <f>COUNTIFS(Table68[Country],Tabela1[[#This Row],[Country]],Table68[Women''s C2 500m Classification],"&gt;0")</f>
        <v>0</v>
      </c>
      <c r="DI36" s="6">
        <f>COUNTIFS(Table8[Country],Tabela1[[#This Row],[Country]],Table8[K1 500m Classification],"&gt;0")</f>
        <v>0</v>
      </c>
      <c r="DJ36" s="6">
        <f>COUNTIFS(Table40[Country],Tabela1[[#This Row],[Country]],Table40[K1 1000m Classification],"&gt;0")</f>
        <v>0</v>
      </c>
      <c r="DK36" s="6">
        <f>COUNTIFS(Table68[Country],Tabela1[[#This Row],[Country]],Table68[Men''s K2 500m Classification],"&gt;0")</f>
        <v>1</v>
      </c>
      <c r="DL36" s="6">
        <f>COUNTIFS(Table68[Country],Tabela1[[#This Row],[Country]],Table68[Women''s K2 500m Classification],"&gt;0")</f>
        <v>0</v>
      </c>
      <c r="DM36" s="6">
        <f>COUNTIFS(Table83[Country],Tabela1[[#This Row],[Country]],Table83[Men''s K4 500m Classification],"&gt;0")</f>
        <v>0</v>
      </c>
      <c r="DN36" s="6">
        <f>COUNTIFS(Table83[Country],Tabela1[[#This Row],[Country]],Table83[Women''s K4 500m Classification],"&gt;0")</f>
        <v>0</v>
      </c>
      <c r="DO36" s="6">
        <f>COUNTIFS(Tabela126[Country],Tabela1[[#This Row],[Country]],Tabela126[Classification],"&gt;0")</f>
        <v>0</v>
      </c>
      <c r="DP36" s="6">
        <f>COUNTIFS(Tabela126130[Country],Tabela1[[#This Row],[Country]],Tabela126130[Classification],"&gt;0")</f>
        <v>0</v>
      </c>
      <c r="DQ36" s="6">
        <f>COUNTIFS(Table70[Country],Tabela1[[#This Row],[Country]],Table70[Classification],"&gt;0")</f>
        <v>0</v>
      </c>
      <c r="DR36" s="6">
        <f>COUNTIFS(Table80[Country],Tabela1[[#This Row],[Country]],Table80[Classification],"&gt;0")</f>
        <v>0</v>
      </c>
      <c r="DS36" s="6">
        <f>COUNTIFS(Table66[Country],Tabela1[[#This Row],[Country]],Table66[Classification],"&gt;0")</f>
        <v>0</v>
      </c>
      <c r="DT36" s="6">
        <f>COUNTIFS(Table67[Country],Tabela1[[#This Row],[Country]],Table67[Classification],"&gt;0")</f>
        <v>1</v>
      </c>
      <c r="DU36" s="6">
        <f>COUNTIFS(Table69[Country],Tabela1[[#This Row],[Country]],Table69[Keirin Classification],"&gt;0")</f>
        <v>0</v>
      </c>
      <c r="DV36" s="6">
        <f>COUNTIFS(Table41[Country],Tabela1[[#This Row],[Country]],Table41[Keirin Classification],"&gt;0")</f>
        <v>0</v>
      </c>
      <c r="DW36" s="6">
        <f>COUNTIFS(Table84[Country],Tabela1[[#This Row],[Country]],Table84[Men''s Madison Classification],"&gt;0")</f>
        <v>1</v>
      </c>
      <c r="DX36" s="6">
        <f>COUNTIFS(Table84[Country],Tabela1[[#This Row],[Country]],Table84[Women''s Madison Classification],"&gt;0")</f>
        <v>0</v>
      </c>
      <c r="DY36" s="6">
        <f>COUNTIFS(Table69[Country],Tabela1[[#This Row],[Country]],Table69[Omnium Classification],"&gt;0")</f>
        <v>0</v>
      </c>
      <c r="DZ36" s="6">
        <f>COUNTIFS(Table41[Country],Tabela1[[#This Row],[Country]],Table41[Omnium Classification],"&gt;0")</f>
        <v>0</v>
      </c>
      <c r="EA36" s="6">
        <f>COUNTIFS(Table9[Country],Tabela1[[#This Row],[Country]],Table9[Road Race Classification],"&gt;0")</f>
        <v>1</v>
      </c>
      <c r="EB36" s="6">
        <f>COUNTIFS(Table14[Country],Tabela1[[#This Row],[Country]],Table14[Road Race Classification],"&gt;0")</f>
        <v>0</v>
      </c>
      <c r="EC36" s="6">
        <f>COUNTIFS(Table69[Country],Tabela1[[#This Row],[Country]],Table69[Sprint Classification],"&gt;0")</f>
        <v>0</v>
      </c>
      <c r="ED36" s="6">
        <f>COUNTIFS(Table41[Country],Tabela1[[#This Row],[Country]],Table41[Sprint Classification],"&gt;0")</f>
        <v>0</v>
      </c>
      <c r="EE36" s="6">
        <f>COUNTIFS(Table85[Country],Tabela1[[#This Row],[Country]],Table85[Men''s Sprint Classification],"&gt;0")</f>
        <v>0</v>
      </c>
      <c r="EF36" s="6">
        <f>COUNTIFS(Table85[Country],Tabela1[[#This Row],[Country]],Table85[Women''s Sprint Classification],"&gt;0")</f>
        <v>0</v>
      </c>
      <c r="EG36" s="6">
        <f>COUNTIFS(Table85[Country],Tabela1[[#This Row],[Country]],Table85[Men''s Pursuit Classification],"&gt;0")</f>
        <v>0</v>
      </c>
      <c r="EH36" s="6">
        <f>COUNTIFS(Table85[Country],Tabela1[[#This Row],[Country]],Table85[Women''s Pursuit Classification],"&gt;0")</f>
        <v>0</v>
      </c>
      <c r="EI36" s="6">
        <f>COUNTIFS(Table9[Country],Tabela1[[#This Row],[Country]],Table9[Time-Trial Classification],"&gt;0")</f>
        <v>1</v>
      </c>
      <c r="EJ36" s="6">
        <f>COUNTIFS(Table14[Country],Tabela1[[#This Row],[Country]],Table14[Time-Trial Classification],"&gt;0")</f>
        <v>0</v>
      </c>
      <c r="EK36" s="6">
        <f>COUNTIFS(Table42[Country],Tabela1[[#This Row],[Country]],Table42[Springboard Classification],"&gt;0")</f>
        <v>0</v>
      </c>
      <c r="EL36" s="6">
        <f>COUNTIFS(Table43[Country],Tabela1[[#This Row],[Country]],Table43[Springboard Classification],"&gt;0")</f>
        <v>0</v>
      </c>
      <c r="EM36" s="6">
        <f>COUNTIFS(Table42[Country],Tabela1[[#This Row],[Country]],Table42[Platform Classification],"&gt;0")</f>
        <v>0</v>
      </c>
      <c r="EN36" s="6">
        <f>COUNTIFS(Table43[Country],Tabela1[[#This Row],[Country]],Table43[Platform Classification],"&gt;0")</f>
        <v>0</v>
      </c>
      <c r="EO36" s="6">
        <f>COUNTIFS(Table86[Country],Tabela1[[#This Row],[Country]],Table86[Men''s Synchronized Springboard Classification],"&gt;0")</f>
        <v>0</v>
      </c>
      <c r="EP36" s="6">
        <f>COUNTIFS(Table86[Country],Tabela1[[#This Row],[Country]],Table86[Women''s Synchronized Springboard Classification],"&gt;0")</f>
        <v>0</v>
      </c>
      <c r="EQ36" s="6">
        <f>COUNTIFS(Table86[Country],Tabela1[[#This Row],[Country]],Table86[Men''s Synchronized Platform Classification],"&gt;0")</f>
        <v>0</v>
      </c>
      <c r="ER36" s="6">
        <f>COUNTIFS(Table86[Country],Tabela1[[#This Row],[Country]],Table86[Women''s Synchronized Platform Classification],"&gt;0")</f>
        <v>0</v>
      </c>
      <c r="ES36" s="6">
        <f>COUNTIFS(Table44[Country],Tabela1[[#This Row],[Country]],Table44[Dressage Classification],"&gt;0")</f>
        <v>0</v>
      </c>
      <c r="ET36" s="6">
        <f>COUNTIFS(Table45[Country],Tabela1[[#This Row],[Country]],Table45[Dressage Classification],"&gt;0")</f>
        <v>0</v>
      </c>
      <c r="EU36" s="6">
        <f>COUNTIFS(Table44[Country],Tabela1[[#This Row],[Country]],Table44[Eventing Classification],"&gt;0")</f>
        <v>1</v>
      </c>
      <c r="EV36" s="6">
        <f>COUNTIFS(Table45[Country],Tabela1[[#This Row],[Country]],Table45[Eventing Classification],"&gt;0")</f>
        <v>0</v>
      </c>
      <c r="EW36" s="6">
        <f>COUNTIFS(Table44[Country],Tabela1[[#This Row],[Country]],Table44[Jumping Classification],"&gt;0")</f>
        <v>0</v>
      </c>
      <c r="EX36" s="6">
        <f>COUNTIFS(Table45[Country],Tabela1[[#This Row],[Country]],Table45[Jumping Classification],"&gt;0")</f>
        <v>0</v>
      </c>
      <c r="EY36" s="6">
        <f>COUNTIFS(Table10[Country],Tabela1[[#This Row],[Country]],Table10[Épée Classification],"&gt;0")</f>
        <v>0</v>
      </c>
      <c r="EZ36" s="6">
        <f>COUNTIFS(Table11[Country],Tabela1[[#This Row],[Country]],Table11[Épée Classification],"&gt;0")</f>
        <v>0</v>
      </c>
      <c r="FA36" s="6">
        <f>COUNTIFS(Table46[Country],Tabela1[[#This Row],[Country]],Table46[Men''s Épée Classification],"&gt;0")</f>
        <v>0</v>
      </c>
      <c r="FB36" s="6">
        <f>COUNTIFS(Table46[Country],Tabela1[[#This Row],[Country]],Table46[Women''s Épée Classification],"&gt;0")</f>
        <v>0</v>
      </c>
      <c r="FC36" s="6">
        <f>COUNTIFS(Table10[Country],Tabela1[[#This Row],[Country]],Table10[Foil Classification],"&gt;0")</f>
        <v>0</v>
      </c>
      <c r="FD36" s="6">
        <f>COUNTIFS(Table11[Country],Tabela1[[#This Row],[Country]],Table11[Foil Classification],"&gt;0")</f>
        <v>0</v>
      </c>
      <c r="FE36" s="6">
        <f>COUNTIFS(Table46[Country],Tabela1[[#This Row],[Country]],Table46[Men''s Foil Classification],"&gt;0")</f>
        <v>0</v>
      </c>
      <c r="FF36" s="6">
        <f>COUNTIFS(Table46[Country],Tabela1[[#This Row],[Country]],Table46[Women''s Foil Classification],"&gt;0")</f>
        <v>0</v>
      </c>
      <c r="FG36" s="6">
        <f>COUNTIFS(Table10[Country],Tabela1[[#This Row],[Country]],Table10[Sabre Classification],"&gt;0")</f>
        <v>0</v>
      </c>
      <c r="FH36" s="6">
        <f>COUNTIFS(Table11[Country],Tabela1[[#This Row],[Country]],Table11[Sabre Classification],"&gt;0")</f>
        <v>0</v>
      </c>
      <c r="FI36" s="6">
        <f>COUNTIFS(Table46[Country],Tabela1[[#This Row],[Country]],Table46[Men''s Sabre Classification],"&gt;0")</f>
        <v>0</v>
      </c>
      <c r="FJ36" s="6">
        <f>COUNTIFS(Table46[Country],Tabela1[[#This Row],[Country]],Table46[Women''s Sabre Classification],"&gt;0")</f>
        <v>0</v>
      </c>
      <c r="FK36" s="6">
        <f>COUNTIFS(Table91[Country],Tabela1[[#This Row],[Country]],Table91[Men''s Classification],"&gt;0")</f>
        <v>0</v>
      </c>
      <c r="FL36" s="6">
        <f>COUNTIFS(Table91[Country],Tabela1[[#This Row],[Country]],Table91[Women''s Classification],"&gt;0")</f>
        <v>0</v>
      </c>
      <c r="FM36" s="6">
        <f>COUNTIFS(Table9194[Country],Tabela1[[#This Row],[Country]],Table9194[Men''s Classification],"&gt;0")</f>
        <v>0</v>
      </c>
      <c r="FN36" s="6">
        <f>COUNTIFS(Table9194[Country],Tabela1[[#This Row],[Country]],Table9194[Women''s Classification],"&gt;0")</f>
        <v>0</v>
      </c>
      <c r="FO36" s="6">
        <f>COUNTIFS(Table71[Country],Tabela1[[#This Row],[Country]],Table71[Classification],"&gt;0")</f>
        <v>0</v>
      </c>
      <c r="FP36" s="6">
        <f>COUNTIFS(Table62[Country],Tabela1[[#This Row],[Country]],Table62[Classification],"&gt;0")</f>
        <v>0</v>
      </c>
      <c r="FQ36" s="6">
        <f>COUNTIFS(Table47[Country],Tabela1[[#This Row],[Country]],Table47[All-Around Classification],"&gt;0")</f>
        <v>0</v>
      </c>
      <c r="FR36" s="6">
        <f>COUNTIFS(Table48[Country],Tabela1[[#This Row],[Country]],Table48[All-Around Classification],"&gt;0")</f>
        <v>1</v>
      </c>
      <c r="FS36" s="6">
        <f>COUNTIFS(Table81[Country],Tabela1[[#This Row],[Country]],Table81[Men''s All-Around Classification],"&gt;0")</f>
        <v>0</v>
      </c>
      <c r="FT36" s="6">
        <f>COUNTIFS(Table81[Country],Tabela1[[#This Row],[Country]],Table81[Women''s All-Around Classification],"&gt;0")</f>
        <v>0</v>
      </c>
      <c r="FU36" s="6">
        <f>COUNTIFS(Table48[Country],Tabela1[[#This Row],[Country]],Table48[Balance Beam Classification],"&gt;0")</f>
        <v>1</v>
      </c>
      <c r="FV36" s="6">
        <f>COUNTIFS(Table47[Country],Tabela1[[#This Row],[Country]],Table47[Floor Exercise Classification],"&gt;0")</f>
        <v>0</v>
      </c>
      <c r="FW36" s="6">
        <f>COUNTIFS(Table48[Country],Tabela1[[#This Row],[Country]],Table48[Floor Exercise Classification],"&gt;0")</f>
        <v>1</v>
      </c>
      <c r="FX36" s="6">
        <f>COUNTIFS(Table47[Country],Tabela1[[#This Row],[Country]],Table47[Horizontal Bar Classification],"&gt;0")</f>
        <v>0</v>
      </c>
      <c r="FY36" s="6">
        <f>COUNTIFS(Table47[Country],Tabela1[[#This Row],[Country]],Table47[Parallel Bars Classification],"&gt;0")</f>
        <v>0</v>
      </c>
      <c r="FZ36" s="6">
        <f>COUNTIFS(Table47[Country],Tabela1[[#This Row],[Country]],Table47[Pommel Horse Classification],"&gt;0")</f>
        <v>0</v>
      </c>
      <c r="GA36" s="6">
        <f>COUNTIFS(Table47[Country],Tabela1[[#This Row],[Country]],Table47[Rings Classification],"&gt;0")</f>
        <v>0</v>
      </c>
      <c r="GB36" s="6">
        <f>COUNTIFS(Tabela132[Country],Tabela1[[#This Row],[Country]],Tabela132[Classification],"&gt;0")</f>
        <v>0</v>
      </c>
      <c r="GC36" s="6">
        <f>COUNTIFS(Tabela139[Country],Tabela1[[#This Row],[Country]],Tabela139[Classification],"&gt;0")</f>
        <v>0</v>
      </c>
      <c r="GD36" s="6">
        <f>COUNTIFS(Table48[Country],Tabela1[[#This Row],[Country]],Table48[Uneven Bars Classification],"&gt;0")</f>
        <v>1</v>
      </c>
      <c r="GE36" s="6">
        <f>COUNTIFS(Table47[Country],Tabela1[[#This Row],[Country]],Table47[Vault Classification],"&gt;0")</f>
        <v>0</v>
      </c>
      <c r="GF36" s="6">
        <f>COUNTIFS(Table48[Country],Tabela1[[#This Row],[Country]],Table48[Vault Classification],"&gt;0")</f>
        <v>0</v>
      </c>
      <c r="GG36" s="6">
        <f>COUNTIFS(Table919496[Country],Tabela1[[#This Row],[Country]],Table919496[Men''s Classification],"&gt;0")</f>
        <v>0</v>
      </c>
      <c r="GH36" s="6">
        <f>COUNTIFS(Table919496[Country],Tabela1[[#This Row],[Country]],Table919496[Women''s Classification],"&gt;0")</f>
        <v>0</v>
      </c>
      <c r="GI36" s="6">
        <f>COUNTIFS(Table12[Country],Tabela1[[#This Row],[Country]],Table12[60kg Classification],"&gt;0")</f>
        <v>0</v>
      </c>
      <c r="GJ36" s="6">
        <f>COUNTIFS(Table12[Country],Tabela1[[#This Row],[Country]],Table12[66kg Classification],"&gt;0")</f>
        <v>0</v>
      </c>
      <c r="GK36" s="6">
        <f>COUNTIFS(Table12[Country],Tabela1[[#This Row],[Country]],Table12[73kg Classification],"&gt;0")</f>
        <v>0</v>
      </c>
      <c r="GL36" s="6">
        <f>COUNTIFS(Table12[Country],Tabela1[[#This Row],[Country]],Table12[81kg Classification],"&gt;0")</f>
        <v>0</v>
      </c>
      <c r="GM36" s="6">
        <f>COUNTIFS(Table12[Country],Tabela1[[#This Row],[Country]],Table12[90kg Classification],"&gt;0")</f>
        <v>0</v>
      </c>
      <c r="GN36" s="6">
        <f>COUNTIFS(Table12[Country],Tabela1[[#This Row],[Country]],Table12[100kg Classification],"&gt;0")</f>
        <v>0</v>
      </c>
      <c r="GO36" s="6">
        <f>COUNTIFS(Table12[Country],Tabela1[[#This Row],[Country]],Table12[Plus 100kg Classification],"&gt;0")</f>
        <v>0</v>
      </c>
      <c r="GP36" s="6">
        <f>COUNTIFS(Table13[Country],Tabela1[[#This Row],[Country]],Table13[48kg Classification],"&gt;0")</f>
        <v>0</v>
      </c>
      <c r="GQ36" s="6">
        <f>COUNTIFS(Table13[Country],Tabela1[[#This Row],[Country]],Table13[52kg Classification],"&gt;0")</f>
        <v>0</v>
      </c>
      <c r="GR36" s="6">
        <f>COUNTIFS(Table13[Country],Tabela1[[#This Row],[Country]],Table13[57kg Classification],"&gt;0")</f>
        <v>0</v>
      </c>
      <c r="GS36" s="6">
        <f>COUNTIFS(Table13[Country],Tabela1[[#This Row],[Country]],Table13[63kg Classification],"&gt;0")</f>
        <v>0</v>
      </c>
      <c r="GT36" s="6">
        <f>COUNTIFS(Table13[Country],Tabela1[[#This Row],[Country]],Table13[70kg Classification],"&gt;0")</f>
        <v>0</v>
      </c>
      <c r="GU36" s="6">
        <f>COUNTIFS(Table13[Country],Tabela1[[#This Row],[Country]],Table13[78kg Classification],"&gt;0")</f>
        <v>0</v>
      </c>
      <c r="GV36" s="6">
        <f>COUNTIFS(Table13[Country],Tabela1[[#This Row],[Country]],Table13[Plus 78kg Classification],"&gt;0")</f>
        <v>1</v>
      </c>
      <c r="GW36" s="6">
        <f>COUNTIFS(Table82[Country],Tabela1[[#This Row],[Country]],Table82[Mixed Classification],"&gt;0")</f>
        <v>0</v>
      </c>
      <c r="GX36" s="6">
        <f>COUNTIFS(Table51[Country],Tabela1[[#This Row],[Country]],Table51[Classification],"&gt;0")</f>
        <v>0</v>
      </c>
      <c r="GY36" s="6">
        <f>COUNTIFS(Table52[Country],Tabela1[[#This Row],[Country]],Table52[Classification],"&gt;0")</f>
        <v>0</v>
      </c>
      <c r="GZ36" s="6">
        <f>COUNTIFS(Table32[Country],Tabela1[[#This Row],[Country]],Table32[All-Around Classification],"&gt;0")</f>
        <v>0</v>
      </c>
      <c r="HA36" s="6">
        <f>COUNTIFS(Table49[Country],Tabela1[[#This Row],[Country]],Table49[All-Around Classification],"&gt;0")</f>
        <v>0</v>
      </c>
      <c r="HB36" s="6">
        <f>COUNTIFS(Table26[Country],Tabela1[[#This Row],[Country]],Table26[Single Sculls Classification],"&gt;0")</f>
        <v>0</v>
      </c>
      <c r="HC36" s="6">
        <f>COUNTIFS(Table63[Country],Tabela1[[#This Row],[Country]],Table63[Single Sculls Classification],"&gt;0")</f>
        <v>0</v>
      </c>
      <c r="HD36" s="6">
        <f>COUNTIFS(Table16[Country],Tabela1[[#This Row],[Country]],Table16[Men''s Double Sculls Classification],"&gt;0")</f>
        <v>0</v>
      </c>
      <c r="HE36" s="6">
        <f>COUNTIFS(Table16[Country],Tabela1[[#This Row],[Country]],Table16[Women''s Double Sculls Classification],"&gt;0")</f>
        <v>0</v>
      </c>
      <c r="HF36" s="6">
        <f>COUNTIFS(Table72[Country],Tabela1[[#This Row],[Country]],Table72[Men''s Quadruple Sculls Classification],"&gt;0")</f>
        <v>0</v>
      </c>
      <c r="HG36" s="6">
        <f>COUNTIFS(Table72[Country],Tabela1[[#This Row],[Country]],Table72[Women''s Quadruple Sculls Classification],"&gt;0")</f>
        <v>0</v>
      </c>
      <c r="HH36" s="6">
        <f>COUNTIFS(Table16[Country],Tabela1[[#This Row],[Country]],Table16[Men''s Coxless Pairs Classification],"&gt;0")</f>
        <v>0</v>
      </c>
      <c r="HI36" s="6">
        <f>COUNTIFS(Table16[Country],Tabela1[[#This Row],[Country]],Table16[Women''s Coxless Pairs Classification],"&gt;0")</f>
        <v>0</v>
      </c>
      <c r="HJ36" s="6">
        <f>COUNTIFS(Table72[Country],Tabela1[[#This Row],[Country]],Table72[Men''s Coxless Fours Classification],"&gt;0")</f>
        <v>0</v>
      </c>
      <c r="HK36" s="6">
        <f>COUNTIFS(Table72[Country],Tabela1[[#This Row],[Country]],Table72[Women''s Coxless Fours Classification],"&gt;0")</f>
        <v>0</v>
      </c>
      <c r="HL36" s="6">
        <f>COUNTIFS(Table72[Country],Tabela1[[#This Row],[Country]],Table72[Men''s Eights Classification],"&gt;0")</f>
        <v>0</v>
      </c>
      <c r="HM36" s="6">
        <f>COUNTIFS(Table72[Country],Tabela1[[#This Row],[Country]],Table72[Women''s Eights Classification],"&gt;0")</f>
        <v>0</v>
      </c>
      <c r="HN36" s="6">
        <f>COUNTIFS(Table16[Country],Tabela1[[#This Row],[Country]],Table16[Men''s Lwt. Double Sculls Classification],"&gt;0")</f>
        <v>0</v>
      </c>
      <c r="HO36" s="6">
        <f>COUNTIFS(Table16[Country],Tabela1[[#This Row],[Country]],Table16[Women''s Lwt. Double Sculls Classification],"&gt;0")</f>
        <v>0</v>
      </c>
      <c r="HP36" s="6">
        <f>COUNTIFS(Table91949698[Country],Tabela1[[#This Row],[Country]],Table91949698[Men''s Classification],"&gt;0")</f>
        <v>0</v>
      </c>
      <c r="HQ36" s="6">
        <f>COUNTIFS(Table91949698[Country],Tabela1[[#This Row],[Country]],Table91949698[Women''s Classification],"&gt;0")</f>
        <v>0</v>
      </c>
      <c r="HR36" s="6">
        <f>COUNTIFS(Table25[Country],Tabela1[[#This Row],[Country]],Table25[Mixed 470 Classification],"&gt;0")</f>
        <v>1</v>
      </c>
      <c r="HS36" s="6">
        <f>COUNTIFS(Table25[Country],Tabela1[[#This Row],[Country]],Table25[Men''s 49er Classification],"&gt;0")</f>
        <v>0</v>
      </c>
      <c r="HT36" s="6">
        <f>COUNTIFS(Table25[Country],Tabela1[[#This Row],[Country]],Table25[Women''s 49er FX Classification],"&gt;0")</f>
        <v>0</v>
      </c>
      <c r="HU36" s="6">
        <f>COUNTIFS(Table17[Country],Tabela1[[#This Row],[Country]],Table17[Formula Kite Classification],"&gt;0")</f>
        <v>0</v>
      </c>
      <c r="HV36" s="6">
        <f>COUNTIFS(Table18[Country],Tabela1[[#This Row],[Country]],Table18[Formula Kite Classification],"&gt;0")</f>
        <v>1</v>
      </c>
      <c r="HW36" s="6">
        <f>COUNTIFS(Table17[Country],Tabela1[[#This Row],[Country]],Table17[ILCA 7 Classification],"&gt;0")</f>
        <v>0</v>
      </c>
      <c r="HX36" s="6">
        <f>COUNTIFS(Table18[Country],Tabela1[[#This Row],[Country]],Table18[ILCA 6 Classification],"&gt;0")</f>
        <v>0</v>
      </c>
      <c r="HY36" s="6">
        <f>COUNTIFS(Table17[Country],Tabela1[[#This Row],[Country]],Table17[IQFoil Classification],"&gt;0")</f>
        <v>0</v>
      </c>
      <c r="HZ36" s="6">
        <f>COUNTIFS(Table18[Country],Tabela1[[#This Row],[Country]],Table18[IQFoil Classification],"&gt;0")</f>
        <v>0</v>
      </c>
      <c r="IA36" s="6">
        <f>COUNTIFS(Table25[Country],Tabela1[[#This Row],[Country]],Table25[Mixed Nacra 17 Classification],"&gt;0")</f>
        <v>0</v>
      </c>
      <c r="IB36" s="6">
        <f>COUNTIFS(Table53[Country],Tabela1[[#This Row],[Country]],Table53[10m Air Pistol Classification],"&gt;0")</f>
        <v>0</v>
      </c>
      <c r="IC36" s="6">
        <f>COUNTIFS(Table19[Country],Tabela1[[#This Row],[Country]],Table19[10m Air Pistol Classification],"&gt;0")</f>
        <v>0</v>
      </c>
      <c r="ID36" s="6">
        <f>COUNTIFS(Table54[Country],Tabela1[[#This Row],[Country]],Table54[Mixed 10m Air Pistol Team Classification],"&gt;0")</f>
        <v>0</v>
      </c>
      <c r="IE36" s="6">
        <f>COUNTIFS(Table53[Country],Tabela1[[#This Row],[Country]],Table53[10m Air Rifle Classification],"&gt;0")</f>
        <v>0</v>
      </c>
      <c r="IF36" s="6">
        <f>COUNTIFS(Table19[Country],Tabela1[[#This Row],[Country]],Table19[10m Air Rifle Classification],"&gt;0")</f>
        <v>0</v>
      </c>
      <c r="IG36" s="6">
        <f>COUNTIFS(Table54[Country],Tabela1[[#This Row],[Country]],Table54[Mixed 10m Air Rifle Team Classification],"&gt;0")</f>
        <v>0</v>
      </c>
      <c r="IH36" s="6">
        <f>COUNTIFS(Table53[Country],Tabela1[[#This Row],[Country]],Table53[25m Rapid Fire Pistol Classification],"&gt;0")</f>
        <v>0</v>
      </c>
      <c r="II36" s="6">
        <f>COUNTIFS(Table19[Country],Tabela1[[#This Row],[Country]],Table19[25m Pistol Classification],"&gt;0")</f>
        <v>0</v>
      </c>
      <c r="IJ36" s="6">
        <f>COUNTIFS(Table53[Country],Tabela1[[#This Row],[Country]],Table53[50m Rifle 3 Positions Classification],"&gt;0")</f>
        <v>0</v>
      </c>
      <c r="IK36" s="6">
        <f>COUNTIFS(Table19[Country],Tabela1[[#This Row],[Country]],Table19[50m Rifle 3 Positions Classification],"&gt;0")</f>
        <v>0</v>
      </c>
      <c r="IL36" s="6">
        <f>COUNTIFS(Table53[Country],Tabela1[[#This Row],[Country]],Table53[Skeet Classification],"&gt;0")</f>
        <v>0</v>
      </c>
      <c r="IM36" s="6">
        <f>COUNTIFS(Table19[Country],Tabela1[[#This Row],[Country]],Table19[Skeet Classification],"&gt;0")</f>
        <v>0</v>
      </c>
      <c r="IN36" s="6">
        <f>COUNTIFS(Table54[Country],Tabela1[[#This Row],[Country]],Table54[Mixed Skeet Team Classification],"&gt;0")</f>
        <v>0</v>
      </c>
      <c r="IO36" s="6">
        <f>COUNTIFS(Table53[Country],Tabela1[[#This Row],[Country]],Table53[Trap Classification],"&gt;0")</f>
        <v>0</v>
      </c>
      <c r="IP36" s="6">
        <f>COUNTIFS(Table19[Country],Tabela1[[#This Row],[Country]],Table19[Trap Classification],"&gt;0")</f>
        <v>1</v>
      </c>
      <c r="IQ36" s="6">
        <f>COUNTIFS(Table73[Country],Tabela1[[#This Row],[Country]],Table73[Park Classification],"&gt;0")</f>
        <v>1</v>
      </c>
      <c r="IR36" s="6">
        <f>COUNTIFS(Table74[Country],Tabela1[[#This Row],[Country]],Table74[Park Classification],"&gt;0")</f>
        <v>0</v>
      </c>
      <c r="IS36" s="6">
        <f>COUNTIFS(Table73[Country],Tabela1[[#This Row],[Country]],Table73[Street Classification],"&gt;0")</f>
        <v>0</v>
      </c>
      <c r="IT36" s="6">
        <f>COUNTIFS(Table74[Country],Tabela1[[#This Row],[Country]],Table74[Street Classification],"&gt;0")</f>
        <v>0</v>
      </c>
      <c r="IU36" s="6">
        <f>COUNTIFS(Table75[Country],Tabela1[[#This Row],[Country]],Table75[Boulder and Lead Classification],"&gt;0")</f>
        <v>0</v>
      </c>
      <c r="IV36" s="6">
        <f>COUNTIFS(Table76[Country],Tabela1[[#This Row],[Country]],Table76[Boulder and Lead Classification],"&gt;0")</f>
        <v>0</v>
      </c>
      <c r="IW36" s="6">
        <f>COUNTIFS(Table75[Country],Tabela1[[#This Row],[Country]],Table75[Speed Classification],"&gt;0")</f>
        <v>0</v>
      </c>
      <c r="IX36" s="6">
        <f>COUNTIFS(Table76[Country],Tabela1[[#This Row],[Country]],Table76[Speed Classification],"&gt;0")</f>
        <v>0</v>
      </c>
      <c r="IY36" s="6">
        <f>COUNTIFS(Table64[Country],Tabela1[[#This Row],[Country]],Table64[Shortboard Classification],"&gt;0")</f>
        <v>0</v>
      </c>
      <c r="IZ36" s="6">
        <f>COUNTIFS(Table77[Country],Tabela1[[#This Row],[Country]],Table77[Shortboard Classification],"&gt;0")</f>
        <v>0</v>
      </c>
      <c r="JA36" s="6">
        <f>COUNTIFS(Table20[Country],Tabela1[[#This Row],[Country]],Table20[50m Freestyle Classification],"&gt;0")</f>
        <v>0</v>
      </c>
      <c r="JB36" s="6">
        <f>COUNTIFS(Table21[Country],Tabela1[[#This Row],[Country]],Table21[50m Freestyle Classification],"&gt;0")</f>
        <v>0</v>
      </c>
      <c r="JC36" s="6">
        <f>COUNTIFS(Table20[Country],Tabela1[[#This Row],[Country]],Table20[100m Freestyle Classification],"&gt;0")</f>
        <v>0</v>
      </c>
      <c r="JD36" s="6">
        <f>COUNTIFS(Table21[Country],Tabela1[[#This Row],[Country]],Table21[100m Freestyle Classification],"&gt;0")</f>
        <v>0</v>
      </c>
      <c r="JE36" s="6">
        <f>COUNTIFS(Table20[Country],Tabela1[[#This Row],[Country]],Table20[200m Freestyle Classification],"&gt;0")</f>
        <v>0</v>
      </c>
      <c r="JF36" s="6">
        <f>COUNTIFS(Table21[Country],Tabela1[[#This Row],[Country]],Table21[200m Freestyle Classification],"&gt;0")</f>
        <v>0</v>
      </c>
      <c r="JG36" s="6">
        <f>COUNTIFS(Table20[Country],Tabela1[[#This Row],[Country]],Table20[400m Freestyle Classification],"&gt;0")</f>
        <v>0</v>
      </c>
      <c r="JH36" s="6">
        <f>COUNTIFS(Table21[Country],Tabela1[[#This Row],[Country]],Table21[400m Freestyle Classification],"&gt;0")</f>
        <v>0</v>
      </c>
      <c r="JI36" s="6">
        <f>COUNTIFS(Table20[Country],Tabela1[[#This Row],[Country]],Table20[800m Freestyle Classification],"&gt;0")</f>
        <v>0</v>
      </c>
      <c r="JJ36" s="6">
        <f>COUNTIFS(Table21[Country],Tabela1[[#This Row],[Country]],Table21[800m Freestyle Classification],"&gt;0")</f>
        <v>0</v>
      </c>
      <c r="JK36" s="6">
        <f>COUNTIFS(Table20[Country],Tabela1[[#This Row],[Country]],Table20[1500m Freestyle Classification],"&gt;0")</f>
        <v>0</v>
      </c>
      <c r="JL36" s="6">
        <f>COUNTIFS(Table21[Country],Tabela1[[#This Row],[Country]],Table21[1500m Freestyle Classification],"&gt;0")</f>
        <v>0</v>
      </c>
      <c r="JM36" s="6">
        <f>COUNTIFS(Table20[Country],Tabela1[[#This Row],[Country]],Table20[100m Backstroke Classification],"&gt;0")</f>
        <v>0</v>
      </c>
      <c r="JN36" s="6">
        <f>COUNTIFS(Table21[Country],Tabela1[[#This Row],[Country]],Table21[100m Backstroke Classification],"&gt;0")</f>
        <v>0</v>
      </c>
      <c r="JO36" s="6">
        <f>COUNTIFS(Table20[Country],Tabela1[[#This Row],[Country]],Table20[200m Backstroke Classification],"&gt;0")</f>
        <v>0</v>
      </c>
      <c r="JP36" s="6">
        <f>COUNTIFS(Table21[Country],Tabela1[[#This Row],[Country]],Table21[200m Backstroke Classification],"&gt;0")</f>
        <v>0</v>
      </c>
      <c r="JQ36" s="6">
        <f>COUNTIFS(Table20[Country],Tabela1[[#This Row],[Country]],Table20[100m Breaststroke Classification],"&gt;0")</f>
        <v>0</v>
      </c>
      <c r="JR36" s="6">
        <f>COUNTIFS(Table21[Country],Tabela1[[#This Row],[Country]],Table21[100m Breaststroke Classification],"&gt;0")</f>
        <v>0</v>
      </c>
      <c r="JS36" s="6">
        <f>COUNTIFS(Table20[Country],Tabela1[[#This Row],[Country]],Table20[200m Breaststroke Classification],"&gt;0")</f>
        <v>0</v>
      </c>
      <c r="JT36" s="6">
        <f>COUNTIFS(Table21[Country],Tabela1[[#This Row],[Country]],Table21[200m Breaststroke Classification],"&gt;0")</f>
        <v>0</v>
      </c>
      <c r="JU36" s="6">
        <f>COUNTIFS(Table20[Country],Tabela1[[#This Row],[Country]],Table20[100m Butterfly Classification],"&gt;0")</f>
        <v>0</v>
      </c>
      <c r="JV36" s="6">
        <f>COUNTIFS(Table21[Country],Tabela1[[#This Row],[Country]],Table21[100m Butterfly Classification],"&gt;0")</f>
        <v>0</v>
      </c>
      <c r="JW36" s="6">
        <f>COUNTIFS(Table20[Country],Tabela1[[#This Row],[Country]],Table20[200m Butterfly Classification],"&gt;0")</f>
        <v>0</v>
      </c>
      <c r="JX36" s="6">
        <f>COUNTIFS(Table21[Country],Tabela1[[#This Row],[Country]],Table21[200m Butterfly Classification],"&gt;0")</f>
        <v>0</v>
      </c>
      <c r="JY36" s="6">
        <f>COUNTIFS(Table20[Country],Tabela1[[#This Row],[Country]],Table20[200m Medley Classification],"&gt;0")</f>
        <v>0</v>
      </c>
      <c r="JZ36" s="6">
        <f>COUNTIFS(Table21[Country],Tabela1[[#This Row],[Country]],Table21[200m Medley Classification],"&gt;0")</f>
        <v>0</v>
      </c>
      <c r="KA36" s="6">
        <f>COUNTIFS(Table20[Country],Tabela1[[#This Row],[Country]],Table20[400m Medley Classification],"&gt;0")</f>
        <v>0</v>
      </c>
      <c r="KB36" s="6">
        <f>COUNTIFS(Table21[Country],Tabela1[[#This Row],[Country]],Table21[400m Medley Classification],"&gt;0")</f>
        <v>0</v>
      </c>
      <c r="KC36" s="6">
        <f>COUNTIFS(Table78[Country],Tabela1[[#This Row],[Country]],Table78[Men''s 4x100m Freestyle Relay Classification],"&gt;0")</f>
        <v>0</v>
      </c>
      <c r="KD36" s="6">
        <f>COUNTIFS(Table78[Country],Tabela1[[#This Row],[Country]],Table78[Women''s 4x100m Freestyle Relay Classification],"&gt;0")</f>
        <v>0</v>
      </c>
      <c r="KE36" s="6">
        <f>COUNTIFS(Table78[Country],Tabela1[[#This Row],[Country]],Table78[Men''s 4x200m Freestyle Relay Classification],"&gt;0")</f>
        <v>0</v>
      </c>
      <c r="KF36" s="6">
        <f>COUNTIFS(Table78[Country],Tabela1[[#This Row],[Country]],Table78[Women''s 4x200m Freestyle Relay Classification],"&gt;0")</f>
        <v>0</v>
      </c>
      <c r="KG36" s="6">
        <f>COUNTIFS(Table78[Country],Tabela1[[#This Row],[Country]],Table78[Men''s 4x100m Medley Relay Classification],"&gt;0")</f>
        <v>0</v>
      </c>
      <c r="KH36" s="6">
        <f>COUNTIFS(Table78[Country],Tabela1[[#This Row],[Country]],Table78[Women''s 4x100m Medley Relay Classification],"&gt;0")</f>
        <v>0</v>
      </c>
      <c r="KI36" s="6">
        <f>COUNTIFS(Table78[Country],Tabela1[[#This Row],[Country]],Table78[Mixed 4x100m Medley Relay Classification],"&gt;0")</f>
        <v>0</v>
      </c>
      <c r="KJ36" s="6">
        <f>COUNTIFS(Table20[Country],Tabela1[[#This Row],[Country]],Table20[10km Open Water Classification],"&gt;0")</f>
        <v>0</v>
      </c>
      <c r="KK36" s="6">
        <f>COUNTIFS(Table21[Country],Tabela1[[#This Row],[Country]],Table21[10km Open Water Classification],"&gt;0")</f>
        <v>1</v>
      </c>
      <c r="KL36" s="6">
        <f>COUNTIFS(Table22[Country],Tabela1[[#This Row],[Country]],Table22[Classification],"&gt;0")</f>
        <v>1</v>
      </c>
      <c r="KM36" s="6">
        <f>COUNTIFS(Table30[Country],Tabela1[[#This Row],[Country]],Table30[Classification],"&gt;0")</f>
        <v>2</v>
      </c>
      <c r="KN36" s="6">
        <f>COUNTIFS(Table55[Country],Tabela1[[#This Row],[Country]],Table55[Men''s Classification],"&gt;0")</f>
        <v>1</v>
      </c>
      <c r="KO36" s="6">
        <f>COUNTIFS(Table55[Country],Tabela1[[#This Row],[Country]],Table55[Women''s Classification],"&gt;0")</f>
        <v>0</v>
      </c>
      <c r="KP36" s="6">
        <f>COUNTIFS(Table56[Country],Tabela1[[#This Row],[Country]],Table56[Mixed Classification],"&gt;0")</f>
        <v>0</v>
      </c>
      <c r="KQ36" s="6">
        <f>COUNTIFS(Table29[Country],Tabela1[[#This Row],[Country]],Table29[58kg Classification],"&gt;0")</f>
        <v>0</v>
      </c>
      <c r="KR36" s="6">
        <f>COUNTIFS(Table29[Country],Tabela1[[#This Row],[Country]],Table29[68kg Classification],"&gt;0")</f>
        <v>0</v>
      </c>
      <c r="KS36" s="6">
        <f>COUNTIFS(Table29[Country],Tabela1[[#This Row],[Country]],Table29[80kg Classification],"&gt;0")</f>
        <v>0</v>
      </c>
      <c r="KT36" s="6">
        <f>COUNTIFS(Table29[Country],Tabela1[[#This Row],[Country]],Table29[Plus 80kg Classification],"&gt;0")</f>
        <v>0</v>
      </c>
      <c r="KU36" s="6">
        <f>COUNTIFS(Table34[Country],Tabela1[[#This Row],[Country]],Table34[49kg Classification],"&gt;0")</f>
        <v>0</v>
      </c>
      <c r="KV36" s="6">
        <f>COUNTIFS(Table34[Country],Tabela1[[#This Row],[Country]],Table34[57kg Classification],"&gt;0")</f>
        <v>0</v>
      </c>
      <c r="KW36" s="6">
        <f>COUNTIFS(Table34[Country],Tabela1[[#This Row],[Country]],Table34[67kg Classification],"&gt;0")</f>
        <v>0</v>
      </c>
      <c r="KX36" s="6">
        <f>COUNTIFS(Table34[Country],Tabela1[[#This Row],[Country]],Table34[Plus 67kg Classification],"&gt;0")</f>
        <v>0</v>
      </c>
      <c r="KY36" s="6">
        <f>COUNTIFS(Table57[Country],Tabela1[[#This Row],[Country]],Table57[Classification],"&gt;0")</f>
        <v>2</v>
      </c>
      <c r="KZ36" s="6">
        <f>COUNTIFS(Table58[Country],Tabela1[[#This Row],[Country]],Table58[Classification],"&gt;0")</f>
        <v>0</v>
      </c>
      <c r="LA36" s="6">
        <f>COUNTIFS(Table79[Country],Tabela1[[#This Row],[Country]],Table79[Men''s Classification],"&gt;0")</f>
        <v>1</v>
      </c>
      <c r="LB36" s="6">
        <f>COUNTIFS(Table79[Country],Tabela1[[#This Row],[Country]],Table79[Women''s Classification],"&gt;0")</f>
        <v>0</v>
      </c>
      <c r="LC36" s="6">
        <f>COUNTIFS(Table79[Country],Tabela1[[#This Row],[Country]],Table79[Mixed Classification],"&gt;0")</f>
        <v>0</v>
      </c>
      <c r="LD36" s="6">
        <f>COUNTIFS(Table65[Country],Tabela1[[#This Row],[Country]],Table65[Classification],"&gt;0")</f>
        <v>0</v>
      </c>
      <c r="LE36" s="6">
        <f>COUNTIFS(Table59[Country],Tabela1[[#This Row],[Country]],Table59[Classification],"&gt;0")</f>
        <v>0</v>
      </c>
      <c r="LF36" s="6">
        <f>COUNTIFS(Table87[Country],Tabela1[[#This Row],[Country]],Table87[Mixed Relay Classification],"&gt;0")</f>
        <v>0</v>
      </c>
      <c r="LG36" s="6">
        <f>COUNTIFS(Table91949698100[Country],Tabela1[[#This Row],[Country]],Table91949698100[Men''s Classification],"&gt;0")</f>
        <v>0</v>
      </c>
      <c r="LH36" s="6">
        <f>COUNTIFS(Table91949698100[Country],Tabela1[[#This Row],[Country]],Table91949698100[Women''s Classification],"&gt;0")</f>
        <v>0</v>
      </c>
      <c r="LI36" s="6">
        <f>COUNTIFS(Table91949698100102[Country],Tabela1[[#This Row],[Country]],Table91949698100102[Men''s Classification],"&gt;0")</f>
        <v>0</v>
      </c>
      <c r="LJ36" s="6">
        <f>COUNTIFS(Table91949698100102[Country],Tabela1[[#This Row],[Country]],Table91949698100102[Women''s Classification],"&gt;0")</f>
        <v>0</v>
      </c>
      <c r="LK36" s="6">
        <f>COUNTIFS(Table23[Country],Tabela1[[#This Row],[Country]],Table23[61kg Classification],"&gt;0")</f>
        <v>0</v>
      </c>
      <c r="LL36" s="6">
        <f>COUNTIFS(Table23[Country],Tabela1[[#This Row],[Country]],Table23[73kg Classification],"&gt;0")</f>
        <v>0</v>
      </c>
      <c r="LM36" s="6">
        <f>COUNTIFS(Table23[Country],Tabela1[[#This Row],[Country]],Table23[89kg Classification],"&gt;0")</f>
        <v>0</v>
      </c>
      <c r="LN36" s="6">
        <f>COUNTIFS(Table23[Country],Tabela1[[#This Row],[Country]],Table23[102kg Classification],"&gt;0")</f>
        <v>0</v>
      </c>
      <c r="LO36" s="6">
        <f>COUNTIFS(Table23[Country],Tabela1[[#This Row],[Country]],Table23[Plus 102kg Classification],"&gt;0")</f>
        <v>0</v>
      </c>
      <c r="LP36" s="6">
        <f>COUNTIFS(Table28[Country],Tabela1[[#This Row],[Country]],Table28[49kg Classification],"&gt;0")</f>
        <v>0</v>
      </c>
      <c r="LQ36" s="6">
        <f>COUNTIFS(Table28[Country],Tabela1[[#This Row],[Country]],Table28[59kg Classification],"&gt;0")</f>
        <v>0</v>
      </c>
      <c r="LR36" s="6">
        <f>COUNTIFS(Table28[Country],Tabela1[[#This Row],[Country]],Table28[71kg Classification],"&gt;0")</f>
        <v>0</v>
      </c>
      <c r="LS36" s="6">
        <f>COUNTIFS(Table28[Country],Tabela1[[#This Row],[Country]],Table28[81kg Classification],"&gt;0")</f>
        <v>0</v>
      </c>
      <c r="LT36" s="6">
        <f>COUNTIFS(Table28[Country],Tabela1[[#This Row],[Country]],Table28[Plus 81kg Classification],"&gt;0")</f>
        <v>0</v>
      </c>
      <c r="LU36" s="6">
        <f>COUNTIFS(Table24[Country],Tabela1[[#This Row],[Country]],Table24[Freestyle 57kg Classification],"&gt;0")</f>
        <v>0</v>
      </c>
      <c r="LV36" s="6">
        <f>COUNTIFS(Table24[Country],Tabela1[[#This Row],[Country]],Table24[Freestyle 65kg Classification],"&gt;0")</f>
        <v>0</v>
      </c>
      <c r="LW36" s="6">
        <f>COUNTIFS(Table24[Country],Tabela1[[#This Row],[Country]],Table24[Freestyle 74kg Classification],"&gt;0")</f>
        <v>0</v>
      </c>
      <c r="LX36" s="6">
        <f>COUNTIFS(Table24[Country],Tabela1[[#This Row],[Country]],Table24[Freestyle 86kg Classification],"&gt;0")</f>
        <v>0</v>
      </c>
      <c r="LY36" s="6">
        <f>COUNTIFS(Table24[Country],Tabela1[[#This Row],[Country]],Table24[Freestyle 97kg Classification],"&gt;0")</f>
        <v>0</v>
      </c>
      <c r="LZ36" s="6">
        <f>COUNTIFS(Table24[Country],Tabela1[[#This Row],[Country]],Table24[Freestyle 125kg Classification],"&gt;0")</f>
        <v>0</v>
      </c>
      <c r="MA36" s="6">
        <f>COUNTIFS(Table24[Country],Tabela1[[#This Row],[Country]],Table24[Greco-Roman 60kg Classification],"&gt;0")</f>
        <v>0</v>
      </c>
      <c r="MB36" s="6">
        <f>COUNTIFS(Table24[Country],Tabela1[[#This Row],[Country]],Table24[Greco-Roman 67kg Classification],"&gt;0")</f>
        <v>0</v>
      </c>
      <c r="MC36" s="6">
        <f>COUNTIFS(Table24[Country],Tabela1[[#This Row],[Country]],Table24[Greco-Roman 77kg Classification],"&gt;0")</f>
        <v>0</v>
      </c>
      <c r="MD36" s="6">
        <f>COUNTIFS(Table24[Country],Tabela1[[#This Row],[Country]],Table24[Greco-Roman 87kg Classification],"&gt;0")</f>
        <v>0</v>
      </c>
      <c r="ME36" s="6">
        <f>COUNTIFS(Table24[Country],Tabela1[[#This Row],[Country]],Table24[Greco-Roman 97kg Classification],"&gt;0")</f>
        <v>0</v>
      </c>
      <c r="MF36" s="6">
        <f>COUNTIFS(Table24[Country],Tabela1[[#This Row],[Country]],Table24[Greco-Roman 130kg Classification],"&gt;0")</f>
        <v>0</v>
      </c>
      <c r="MG36" s="6">
        <f>COUNTIFS(Table31[Country],Tabela1[[#This Row],[Country]],Table31[50kg Classification],"&gt;0")</f>
        <v>0</v>
      </c>
      <c r="MH36" s="6">
        <f>COUNTIFS(Table31[Country],Tabela1[[#This Row],[Country]],Table31[53kg Classification],"&gt;0")</f>
        <v>0</v>
      </c>
      <c r="MI36" s="6">
        <f>COUNTIFS(Table31[Country],Tabela1[[#This Row],[Country]],Table31[57kg Classification],"&gt;0")</f>
        <v>0</v>
      </c>
      <c r="MJ36" s="6">
        <f>COUNTIFS(Table31[Country],Tabela1[[#This Row],[Country]],Table31[62kg Classification],"&gt;0")</f>
        <v>0</v>
      </c>
      <c r="MK36" s="6">
        <f>COUNTIFS(Table31[Country],Tabela1[[#This Row],[Country]],Table31[68kg Classification],"&gt;0")</f>
        <v>0</v>
      </c>
      <c r="ML36" s="6">
        <f>COUNTIFS(Table31[Country],Tabela1[[#This Row],[Country]],Table31[76kg Classification],"&gt;0")</f>
        <v>0</v>
      </c>
      <c r="MM36" s="6">
        <f>COUNTIFS(Table102[Country],Tabela1[[#This Row],[Country]],Table102[Downhill Classification],"&gt;0")</f>
        <v>0</v>
      </c>
      <c r="MN36" s="6">
        <f>COUNTIFS(Table102105[Country],Tabela1[[#This Row],[Country]],Table102105[Downhill Classification],"&gt;0")</f>
        <v>0</v>
      </c>
      <c r="MO36" s="6">
        <f>COUNTIFS(Table102[Country],Tabela1[[#This Row],[Country]],Table102[Giant Slalom Classification],"&gt;0")</f>
        <v>0</v>
      </c>
      <c r="MP36" s="6">
        <f>COUNTIFS(Table102105[Country],Tabela1[[#This Row],[Country]],Table102105[Giant Slalom Classification],"&gt;0")</f>
        <v>0</v>
      </c>
      <c r="MQ36" s="6">
        <f>COUNTIFS(Table102[Country],Tabela1[[#This Row],[Country]],Table102[Slalom Classification],"&gt;0")</f>
        <v>0</v>
      </c>
      <c r="MR36" s="6">
        <f>COUNTIFS(Table102105[Country],Tabela1[[#This Row],[Country]],Table102105[Slalom Classification],"&gt;0")</f>
        <v>0</v>
      </c>
      <c r="MS36" s="6">
        <f>COUNTIFS(Table102[Country],Tabela1[[#This Row],[Country]],Table102[Super-G Classification],"&gt;0")</f>
        <v>0</v>
      </c>
      <c r="MT36" s="6">
        <f>COUNTIFS(Table102105[Country],Tabela1[[#This Row],[Country]],Table102105[Super-G Classification],"&gt;0")</f>
        <v>0</v>
      </c>
      <c r="MU36" s="6">
        <f>COUNTIFS(Table105[Country],Tabela1[[#This Row],[Country]],Table105[Men''s Combined Classification],"&gt;0")</f>
        <v>0</v>
      </c>
      <c r="MV36" s="6">
        <f>COUNTIFS(Table105[Country],Tabela1[[#This Row],[Country]],Table105[Women''s Combined Classification],"&gt;0")</f>
        <v>0</v>
      </c>
      <c r="MW36" s="6">
        <f>COUNTIFS(Table106[Country],Tabela1[[#This Row],[Country]],Table106[Individual Classification],"&gt;0")</f>
        <v>0</v>
      </c>
      <c r="MX36" s="6">
        <f>COUNTIFS(Table106109[Country],Tabela1[[#This Row],[Country]],Table106109[Individual Classification],"&gt;0")</f>
        <v>0</v>
      </c>
      <c r="MY36" s="6">
        <f>COUNTIFS(Table106[Country],Tabela1[[#This Row],[Country]],Table106[Mass Start Classification],"&gt;0")</f>
        <v>0</v>
      </c>
      <c r="MZ36" s="6">
        <f>COUNTIFS(Table106109[Country],Tabela1[[#This Row],[Country]],Table106109[Mass Start Classification],"&gt;0")</f>
        <v>0</v>
      </c>
      <c r="NA36" s="6">
        <f>COUNTIFS(Table106[Country],Tabela1[[#This Row],[Country]],Table106[Pursuit Classification],"&gt;0")</f>
        <v>0</v>
      </c>
      <c r="NB36" s="6">
        <f>COUNTIFS(Table106109[Country],Tabela1[[#This Row],[Country]],Table106109[Pursuit Classification],"&gt;0")</f>
        <v>0</v>
      </c>
      <c r="NC36" s="6">
        <f>COUNTIFS(Table106[Country],Tabela1[[#This Row],[Country]],Table106[Sprint Classification],"&gt;0")</f>
        <v>0</v>
      </c>
      <c r="ND36" s="6">
        <f>COUNTIFS(Table106109[Country],Tabela1[[#This Row],[Country]],Table106109[Sprint Classification],"&gt;0")</f>
        <v>0</v>
      </c>
      <c r="NE36" s="6">
        <f>COUNTIFS(Table109[Country],Tabela1[[#This Row],[Country]],Table109[Men''s Relay Classification],"&gt;0")</f>
        <v>0</v>
      </c>
      <c r="NF36" s="6">
        <f>COUNTIFS(Table109[Country],Tabela1[[#This Row],[Country]],Table109[Women''s Relay Classification],"&gt;0")</f>
        <v>0</v>
      </c>
      <c r="NG36" s="6">
        <f>COUNTIFS(Table109[Country],Tabela1[[#This Row],[Country]],Table109[Mixed Relay Classification],"&gt;0")</f>
        <v>0</v>
      </c>
      <c r="NH36" s="6">
        <f>COUNTIFS(Table110[Country],Tabela1[[#This Row],[Country]],Table110[Monobob Classification],"&gt;0")</f>
        <v>0</v>
      </c>
      <c r="NI36" s="6">
        <f>COUNTIFS(Table111[Country],Tabela1[[#This Row],[Country]],Table111[Men''s Classification],"&gt;0")</f>
        <v>0</v>
      </c>
      <c r="NJ36" s="6">
        <f>COUNTIFS(Table111[Country],Tabela1[[#This Row],[Country]],Table111[Women''s Classification],"&gt;0")</f>
        <v>0</v>
      </c>
      <c r="NK36" s="6">
        <f>COUNTIFS(Table112[Country],Tabela1[[#This Row],[Country]],Table112[Men''s Four Classification],"&gt;0")</f>
        <v>0</v>
      </c>
      <c r="NL36" s="6">
        <f>COUNTIFS(Table113[Country],Tabela1[[#This Row],[Country]],Table113[Classical Classification],"&gt;0")</f>
        <v>0</v>
      </c>
      <c r="NM36" s="6">
        <f>COUNTIFS(Table113116[Country],Tabela1[[#This Row],[Country]],Table113116[Classical Classification],"&gt;0")</f>
        <v>0</v>
      </c>
      <c r="NN36" s="6">
        <f>COUNTIFS(Table113[Country],Tabela1[[#This Row],[Country]],Table113[Freestyle Classification],"&gt;0")</f>
        <v>1</v>
      </c>
      <c r="NO36" s="6">
        <f>COUNTIFS(Table113116[Country],Tabela1[[#This Row],[Country]],Table113116[Freestyle Classification],"&gt;0")</f>
        <v>0</v>
      </c>
      <c r="NP36" s="6">
        <f>COUNTIFS(Table117[Country],Tabela1[[#This Row],[Country]],Table117[Men''s Relay Classification],"&gt;0")</f>
        <v>0</v>
      </c>
      <c r="NQ36" s="6">
        <f>COUNTIFS(Table117[Country],Tabela1[[#This Row],[Country]],Table117[Women''s Relay Classification],"&gt;0")</f>
        <v>0</v>
      </c>
      <c r="NR36" s="6">
        <f>COUNTIFS(Table113[Country],Tabela1[[#This Row],[Country]],Table113[Skiathlon Classification],"&gt;0")</f>
        <v>0</v>
      </c>
      <c r="NS36" s="6">
        <f>COUNTIFS(Table113116[Country],Tabela1[[#This Row],[Country]],Table113116[Skiathlon Classification],"&gt;0")</f>
        <v>0</v>
      </c>
      <c r="NT36" s="6">
        <f>COUNTIFS(Table113[Country],Tabela1[[#This Row],[Country]],Table113[Sprint Classification],"&gt;0")</f>
        <v>1</v>
      </c>
      <c r="NU36" s="6">
        <f>COUNTIFS(Table113116[Country],Tabela1[[#This Row],[Country]],Table113116[Sprint Classification],"&gt;0")</f>
        <v>0</v>
      </c>
      <c r="NV36" s="6">
        <f>COUNTIFS(Table116[Country],Tabela1[[#This Row],[Country]],Table116[Men''s Team Sprint Classification],"&gt;0")</f>
        <v>0</v>
      </c>
      <c r="NW36" s="6">
        <f>COUNTIFS(Table116[Country],Tabela1[[#This Row],[Country]],Table116[Women''s Team Sprint Classification],"&gt;0")</f>
        <v>0</v>
      </c>
      <c r="NX36" s="6">
        <f>COUNTIFS(Table119[Country],Tabela1[[#This Row],[Country]],Table119[Men''s Classification],"&gt;0")</f>
        <v>0</v>
      </c>
      <c r="NY36" s="6">
        <f>COUNTIFS(Table119[Country],Tabela1[[#This Row],[Country]],Table119[Women''s Classification],"&gt;0")</f>
        <v>0</v>
      </c>
      <c r="NZ36" s="6">
        <f>COUNTIFS(Table118[Country],Tabela1[[#This Row],[Country]],Table118[Mixed Classification],"&gt;0")</f>
        <v>0</v>
      </c>
      <c r="OA36" s="6">
        <f>COUNTIFS(Table120[Country],Tabela1[[#This Row],[Country]],Table120[Classification],"&gt;0")</f>
        <v>0</v>
      </c>
      <c r="OB36" s="6">
        <f>COUNTIFS(Table120123[Country],Tabela1[[#This Row],[Country]],Table120123[Classification],"&gt;0")</f>
        <v>0</v>
      </c>
      <c r="OC36" s="6">
        <f>COUNTIFS(Table123[Country],Tabela1[[#This Row],[Country]],Table123[Ice Dance Classification],"&gt;0")</f>
        <v>0</v>
      </c>
      <c r="OD36" s="6">
        <f>COUNTIFS(Table123[Country],Tabela1[[#This Row],[Country]],Table123[Pair Skating Classification],"&gt;0")</f>
        <v>0</v>
      </c>
      <c r="OE36" s="6">
        <f>COUNTIFS(Table124[Country],Tabela1[[#This Row],[Country]],Table124[Mixed Classification],"&gt;0")</f>
        <v>0</v>
      </c>
      <c r="OF36" s="6">
        <f>COUNTIFS(Table125[Country],Tabela1[[#This Row],[Country]],Table125[Aerials Classification],"&gt;0")</f>
        <v>0</v>
      </c>
      <c r="OG36" s="6">
        <f>COUNTIFS(Table125128[Country],Tabela1[[#This Row],[Country]],Table125128[Aerials Classification],"&gt;0")</f>
        <v>0</v>
      </c>
      <c r="OH36" s="6">
        <f>COUNTIFS(Table128[Country],Tabela1[[#This Row],[Country]],Table128[Mixed Aerials Classification],"&gt;0")</f>
        <v>0</v>
      </c>
      <c r="OI36" s="6">
        <f>COUNTIFS(Table125[Country],Tabela1[[#This Row],[Country]],Table125[Big Air Classification],"&gt;0")</f>
        <v>0</v>
      </c>
      <c r="OJ36" s="6">
        <f>COUNTIFS(Table125128[Country],Tabela1[[#This Row],[Country]],Table125128[Big Air Classification],"&gt;0")</f>
        <v>0</v>
      </c>
      <c r="OK36" s="6">
        <f>COUNTIFS(Table125[Country],Tabela1[[#This Row],[Country]],Table125[Dual Moguls Classification],"&gt;0")</f>
        <v>0</v>
      </c>
      <c r="OL36" s="6">
        <f>COUNTIFS(Table125128[Country],Tabela1[[#This Row],[Country]],Table125128[Dual Moguls Classification],"&gt;0")</f>
        <v>0</v>
      </c>
      <c r="OM36" s="6">
        <f>COUNTIFS(Table125[Country],Tabela1[[#This Row],[Country]],Table125[Halfpipe Classification],"&gt;0")</f>
        <v>0</v>
      </c>
      <c r="ON36" s="6">
        <f>COUNTIFS(Table125128[Country],Tabela1[[#This Row],[Country]],Table125128[Halfpipe Classification],"&gt;0")</f>
        <v>0</v>
      </c>
      <c r="OO36" s="6">
        <f>COUNTIFS(Table125[Country],Tabela1[[#This Row],[Country]],Table125[Moguls Classification],"&gt;0")</f>
        <v>0</v>
      </c>
      <c r="OP36" s="6">
        <f>COUNTIFS(Table125128[Country],Tabela1[[#This Row],[Country]],Table125128[Moguls Classification],"&gt;0")</f>
        <v>0</v>
      </c>
      <c r="OQ36" s="6">
        <f>COUNTIFS(Table125[Country],Tabela1[[#This Row],[Country]],Table125[Ski Cross Classification],"&gt;0")</f>
        <v>0</v>
      </c>
      <c r="OR36" s="6">
        <f>COUNTIFS(Table125128[Country],Tabela1[[#This Row],[Country]],Table125128[Ski Cross Classification],"&gt;0")</f>
        <v>0</v>
      </c>
      <c r="OS36" s="6">
        <f>COUNTIFS(Table125[Country],Tabela1[[#This Row],[Country]],Table125[Slopestyle Classification],"&gt;0")</f>
        <v>0</v>
      </c>
      <c r="OT36" s="6">
        <f>COUNTIFS(Table125128[Country],Tabela1[[#This Row],[Country]],Table125128[Slopestyle Classification],"&gt;0")</f>
        <v>0</v>
      </c>
      <c r="OU36" s="6">
        <f>COUNTIFS(Table119131[Country],Tabela1[[#This Row],[Country]],Table119131[Men''s Classification],"&gt;0")</f>
        <v>0</v>
      </c>
      <c r="OV36" s="6">
        <f>COUNTIFS(Table119131[Country],Tabela1[[#This Row],[Country]],Table119131[Women''s Classification],"&gt;0")</f>
        <v>0</v>
      </c>
      <c r="OW36" s="6">
        <f>COUNTIFS(Table131[Country],Tabela1[[#This Row],[Country]],Table131[Classification],"&gt;0")</f>
        <v>0</v>
      </c>
      <c r="OX36" s="6">
        <f>COUNTIFS(Table131134[Country],Tabela1[[#This Row],[Country]],Table131134[Classification],"&gt;0")</f>
        <v>0</v>
      </c>
      <c r="OY36" s="6">
        <f>COUNTIFS(Table134[Country],Tabela1[[#This Row],[Country]],Table134[Men''s Classification],"&gt;0")</f>
        <v>0</v>
      </c>
      <c r="OZ36" s="6">
        <f>COUNTIFS(Table134[Country],Tabela1[[#This Row],[Country]],Table134[Women''s Classification],"&gt;0")</f>
        <v>0</v>
      </c>
      <c r="PA36" s="6">
        <f>COUNTIFS(Table135[Country],Tabela1[[#This Row],[Country]],Table135[Mixed Relay Classification],"&gt;0")</f>
        <v>0</v>
      </c>
      <c r="PB36" s="6">
        <f>COUNTIFS(Table136[Country],Tabela1[[#This Row],[Country]],Table136[Individual Classification],"&gt;0")</f>
        <v>0</v>
      </c>
      <c r="PC36" s="6">
        <f>COUNTIFS(Table136[Country],Tabela1[[#This Row],[Country]],Table136[Sprint Classification],"&gt;0")</f>
        <v>0</v>
      </c>
      <c r="PD36" s="6">
        <f>COUNTIFS(Table137[Country],Tabela1[[#This Row],[Country]],Table137[Men''s Team Sprint Large Hill Classification],"&gt;0")</f>
        <v>0</v>
      </c>
      <c r="PE36" s="6">
        <f>COUNTIFS(Table138[Country],Tabela1[[#This Row],[Country]],Table138[500m Classification],"&gt;0")</f>
        <v>0</v>
      </c>
      <c r="PF36" s="6">
        <f>COUNTIFS(Table138141[Country],Tabela1[[#This Row],[Country]],Table138141[500m Classification],"&gt;0")</f>
        <v>0</v>
      </c>
      <c r="PG36" s="6">
        <f>COUNTIFS(Table138[Country],Tabela1[[#This Row],[Country]],Table138[1000m Classification],"&gt;0")</f>
        <v>0</v>
      </c>
      <c r="PH36" s="6">
        <f>COUNTIFS(Table138141[Country],Tabela1[[#This Row],[Country]],Table138141[1000m Classification],"&gt;0")</f>
        <v>0</v>
      </c>
      <c r="PI36" s="6">
        <f>COUNTIFS(Table138[Country],Tabela1[[#This Row],[Country]],Table138[1500m Classification],"&gt;0")</f>
        <v>0</v>
      </c>
      <c r="PJ36" s="6">
        <f>COUNTIFS(Table138141[Country],Tabela1[[#This Row],[Country]],Table138141[1500m Classification],"&gt;0")</f>
        <v>0</v>
      </c>
      <c r="PK36" s="6">
        <f>COUNTIFS(Table141[Country],Tabela1[[#This Row],[Country]],Table141[Men''s 5000m Relay Classification],"&gt;0")</f>
        <v>0</v>
      </c>
      <c r="PL36" s="6">
        <f>COUNTIFS(Table141[Country],Tabela1[[#This Row],[Country]],Table141[Women''s 3000m Relay Classification],"&gt;0")</f>
        <v>0</v>
      </c>
      <c r="PM36" s="6">
        <f>COUNTIFS(Table141[Country],Tabela1[[#This Row],[Country]],Table141[Mixed 2000m Relay Classification],"&gt;0")</f>
        <v>0</v>
      </c>
      <c r="PN36" s="6">
        <f>COUNTIFS(Table142[Country],Tabela1[[#This Row],[Country]],Table142[Classification],"&gt;0")</f>
        <v>0</v>
      </c>
      <c r="PO36" s="6">
        <f>COUNTIFS(Table142145[Country],Tabela1[[#This Row],[Country]],Table142145[Classification],"&gt;0")</f>
        <v>0</v>
      </c>
      <c r="PP36" s="6">
        <f>COUNTIFS(Tabela15[Country],Tabela1[[#This Row],[Country]],Tabela15[Mixed Team Classification],"&gt;0")</f>
        <v>0</v>
      </c>
      <c r="PQ36" s="6">
        <f>COUNTIFS(Table145[Country],Tabela1[[#This Row],[Country]],Table145[Large Hill Classification],"&gt;0")</f>
        <v>0</v>
      </c>
      <c r="PR36" s="6">
        <f>COUNTIFS(Table145[Country],Tabela1[[#This Row],[Country]],Table145[Normal Hill Classification],"&gt;0")</f>
        <v>0</v>
      </c>
      <c r="PS36" s="6">
        <f>COUNTIFS(Table145148[Country],Tabela1[[#This Row],[Country]],Table145148[Large Hill Classification],"&gt;0")</f>
        <v>0</v>
      </c>
      <c r="PT36" s="6">
        <f>COUNTIFS(Table145148[Country],Tabela1[[#This Row],[Country]],Table145148[Normal Hill Classification],"&gt;0")</f>
        <v>0</v>
      </c>
      <c r="PU36" s="6">
        <f>COUNTIFS(Table148[Country],Tabela1[[#This Row],[Country]],Table148[Men''s Super Team Classification],"&gt;0")</f>
        <v>0</v>
      </c>
      <c r="PV36" s="6">
        <f>COUNTIFS(Tabela114[Country],Tabela1[[#This Row],[Country]],Tabela114[Mixed Normal Hill Classification],"&gt;0")</f>
        <v>0</v>
      </c>
      <c r="PW36" s="6">
        <f>COUNTIFS(Tabela50[Country],Tabela1[[#This Row],[Country]],Tabela50[Sprint Classification],"&gt;0")</f>
        <v>0</v>
      </c>
      <c r="PX36" s="6">
        <f>COUNTIFS(Tabela50101[Country],Tabela1[[#This Row],[Country]],Tabela50101[Sprint Classification],"&gt;0")</f>
        <v>0</v>
      </c>
      <c r="PY36" s="6">
        <f>COUNTIFS(Tabela103[Country],Tabela1[[#This Row],[Country]],Tabela103[Mixed Relay Classification],"&gt;0")</f>
        <v>0</v>
      </c>
      <c r="PZ36" s="6">
        <f>COUNTIFS(Table149[Country],Tabela1[[#This Row],[Country]],Table149[Big Air Classification],"&gt;0")</f>
        <v>0</v>
      </c>
      <c r="QA36" s="6">
        <f>COUNTIFS(Table149152[Country],Tabela1[[#This Row],[Country]],Table149152[Big Air Classification],"&gt;0")</f>
        <v>0</v>
      </c>
      <c r="QB36" s="6">
        <f>COUNTIFS(Table149[Country],Tabela1[[#This Row],[Country]],Table149[Halfpipe Classification],"&gt;0")</f>
        <v>0</v>
      </c>
      <c r="QC36" s="6">
        <f>COUNTIFS(Table149152[Country],Tabela1[[#This Row],[Country]],Table149152[Halfpipe Classification],"&gt;0")</f>
        <v>0</v>
      </c>
      <c r="QD36" s="6">
        <f>COUNTIFS(Table149[Country],Tabela1[[#This Row],[Country]],Table149[Parallel Giant Slalom Classification],"&gt;0")</f>
        <v>0</v>
      </c>
      <c r="QE36" s="6">
        <f>COUNTIFS(Table149152[Country],Tabela1[[#This Row],[Country]],Table149152[Parallel Giant Slalom Classification],"&gt;0")</f>
        <v>0</v>
      </c>
      <c r="QF36" s="6">
        <f>COUNTIFS(Table149[Country],Tabela1[[#This Row],[Country]],Table149[Slopestyle Classification],"&gt;0")</f>
        <v>0</v>
      </c>
      <c r="QG36" s="6">
        <f>COUNTIFS(Table149152[Country],Tabela1[[#This Row],[Country]],Table149152[Slopestyle Classification],"&gt;0")</f>
        <v>0</v>
      </c>
      <c r="QH36" s="6">
        <f>COUNTIFS(Table149[Country],Tabela1[[#This Row],[Country]],Table149[Snowboard Cross Classification],"&gt;0")</f>
        <v>0</v>
      </c>
      <c r="QI36" s="6">
        <f>COUNTIFS(Table149152[Country],Tabela1[[#This Row],[Country]],Table149152[Snowboard Cross Classification],"&gt;0")</f>
        <v>0</v>
      </c>
      <c r="QJ36" s="6">
        <f>COUNTIFS(Table153[Country],Tabela1[[#This Row],[Country]],Table153[Mixed Team Snowboard Cross Classification],"&gt;0")</f>
        <v>0</v>
      </c>
      <c r="QK36" s="6">
        <f>COUNTIFS(Table154[Country],Tabela1[[#This Row],[Country]],Table154[500m Classification],"&gt;0")</f>
        <v>0</v>
      </c>
      <c r="QL36" s="6">
        <f>COUNTIFS(Table154157[Country],Tabela1[[#This Row],[Country]],Table154157[500m Classification],"&gt;0")</f>
        <v>0</v>
      </c>
      <c r="QM36" s="6">
        <f>COUNTIFS(Table154[Country],Tabela1[[#This Row],[Country]],Table154[1000m Classification],"&gt;0")</f>
        <v>0</v>
      </c>
      <c r="QN36" s="6">
        <f>COUNTIFS(Table154157[Country],Tabela1[[#This Row],[Country]],Table154157[1000m Classification],"&gt;0")</f>
        <v>0</v>
      </c>
      <c r="QO36" s="6">
        <f>COUNTIFS(Table154[Country],Tabela1[[#This Row],[Country]],Table154[1500m Classification],"&gt;0")</f>
        <v>0</v>
      </c>
      <c r="QP36" s="6">
        <f>COUNTIFS(Table154157[Country],Tabela1[[#This Row],[Country]],Table154157[1500m Classification],"&gt;0")</f>
        <v>0</v>
      </c>
      <c r="QQ36" s="6">
        <f>COUNTIFS(Table154157[Country],Tabela1[[#This Row],[Country]],Table154157[3000m Classification],"&gt;0")</f>
        <v>0</v>
      </c>
      <c r="QR36" s="6">
        <f>COUNTIFS(Table154[Country],Tabela1[[#This Row],[Country]],Table154[5000m Classification],"&gt;0")</f>
        <v>0</v>
      </c>
      <c r="QS36" s="6">
        <f>COUNTIFS(Table154157[Country],Tabela1[[#This Row],[Country]],Table154157[5000m Classification],"&gt;0")</f>
        <v>0</v>
      </c>
      <c r="QT36" s="6">
        <f>COUNTIFS(Table154[Country],Tabela1[[#This Row],[Country]],Table154[10000m Classification],"&gt;0")</f>
        <v>0</v>
      </c>
      <c r="QU36" s="6">
        <f>COUNTIFS(Table154[Country],Tabela1[[#This Row],[Country]],Table154[Mass Start Classification],"&gt;0")</f>
        <v>0</v>
      </c>
      <c r="QV36" s="6">
        <f>COUNTIFS(Table154157[Country],Tabela1[[#This Row],[Country]],Table154157[Mass Start Classification],"&gt;0")</f>
        <v>0</v>
      </c>
      <c r="QW36" s="6">
        <f>COUNTIFS(Table157[Country],Tabela1[[#This Row],[Country]],Table157[Men''s Pursuit Classification],"&gt;0")</f>
        <v>0</v>
      </c>
      <c r="QX36" s="6">
        <f>COUNTIFS(Table157[Country],Tabela1[[#This Row],[Country]],Table157[Women''s Pursuit Classification],"&gt;0")</f>
        <v>0</v>
      </c>
      <c r="QY36" s="3" t="s">
        <v>347</v>
      </c>
    </row>
    <row r="37" spans="1:467" x14ac:dyDescent="0.3">
      <c r="A37" s="6">
        <v>36</v>
      </c>
      <c r="B37" s="6" t="s">
        <v>406</v>
      </c>
      <c r="C37" t="e" vm="36">
        <f>IF(ISBLANK(Tabela1[[#This Row],[Image Link]]), "", _xlfn.IMAGE(Tabela1[[#This Row],[Image Link]],1,1))</f>
        <v>#VALUE!</v>
      </c>
      <c r="D37" s="6">
        <f>SUM(Tabela1[[#This Row],[Archery - Men''s Individual Recurve]:[Speed Skating - Women''s Team Pursuit]])</f>
        <v>33</v>
      </c>
      <c r="E37" s="6">
        <f>COUNTIF(Tabela1[[#This Row],[Archery - Men''s Individual Recurve]:[Speed Skating - Women''s Team Pursuit]],"&gt;0")</f>
        <v>33</v>
      </c>
      <c r="F37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37" s="6">
        <f>SUM(Tabela1[[#This Row],[Archery - Men''s Individual Recurve]:[Wrestling - Women''s Freestyle 76kg]])</f>
        <v>24</v>
      </c>
      <c r="H37" s="6">
        <f>SUM(Tabela1[[#This Row],[Alpine Skiing - Men''s Downhill]:[Speed Skating - Women''s Team Pursuit]])</f>
        <v>9</v>
      </c>
      <c r="I37" s="6">
        <f>Tabela1[[#This Row],[Summer Gold Medals]]+Tabela1[[#This Row],[Winter Gold Medals]]</f>
        <v>6</v>
      </c>
      <c r="J37" s="6">
        <f>Tabela1[[#This Row],[Summer Silver Medals]]+Tabela1[[#This Row],[Winter Silver Medals]]</f>
        <v>7</v>
      </c>
      <c r="K37" s="6">
        <f>Tabela1[[#This Row],[Summer Bronze Medals]]+Tabela1[[#This Row],[Winter Bronze Medals]]</f>
        <v>6</v>
      </c>
      <c r="L37" s="6">
        <f>SUM(Tabela1[[#This Row],[Total Gold Medals]:[Total Bronze Medals]])</f>
        <v>19</v>
      </c>
      <c r="M37" s="6">
        <v>6</v>
      </c>
      <c r="N37" s="6">
        <v>7</v>
      </c>
      <c r="O37" s="6">
        <v>6</v>
      </c>
      <c r="P37" s="6">
        <f>SUM(Tabela1[[#This Row],[Summer Gold Medals]:[Summer Bronze Medals]])</f>
        <v>19</v>
      </c>
      <c r="Q37" s="6"/>
      <c r="R37" s="6"/>
      <c r="S37" s="6"/>
      <c r="T37" s="6">
        <f>Tabela1[[#This Row],[Winter Gold Medals]]+Tabela1[[#This Row],[Winter Silver Medals]]+Tabela1[[#This Row],[Winter Bronze Medals]]</f>
        <v>0</v>
      </c>
      <c r="U37" s="7">
        <f>Tabela1[[#This Row],[Total Medals]]/Tabela1[[#This Row],[Total Quotas]]</f>
        <v>0.5757575757575758</v>
      </c>
      <c r="V37" s="6">
        <f>COUNTIFS(Table3[Country],Tabela1[[#This Row],[Country]],Table3[Recurve Classification],"&gt;0")</f>
        <v>0</v>
      </c>
      <c r="W37" s="6">
        <f>COUNTIFS(Table33[Country],Tabela1[[#This Row],[Country]],Table33[Recurve Classification],"&gt;0")</f>
        <v>0</v>
      </c>
      <c r="X37" s="6">
        <f>COUNTIFS(Table35[Country],Tabela1[[#This Row],[Country]],Table35[Men''s Team Recurve Classification],"&gt;0")</f>
        <v>0</v>
      </c>
      <c r="Y37" s="6">
        <f>COUNTIFS(Table35[Country],Tabela1[[#This Row],[Country]],Table35[Women''s Team Recurve Classification],"&gt;0")</f>
        <v>0</v>
      </c>
      <c r="Z37" s="6">
        <f>COUNTIFS(Tabela88[Country],Tabela1[[#This Row],[Country]],Tabela88[Mixed Team Recurve Classification],"&gt;0")</f>
        <v>0</v>
      </c>
      <c r="AA37" s="6">
        <f>COUNTIFS(Table36[Country],Tabela1[[#This Row],[Country]],Table36[Classification],"&gt;0")</f>
        <v>0</v>
      </c>
      <c r="AB37" s="6">
        <f>COUNTIFS(Table37[Country],Tabela1[[#This Row],[Country]],Table37[Classification],"&gt;0")</f>
        <v>0</v>
      </c>
      <c r="AC37" s="6">
        <f>COUNTIFS(Table4[Country],Tabela1[[#This Row],[Country]],Table4[100m Classification],"&gt;0")</f>
        <v>0</v>
      </c>
      <c r="AD37" s="6">
        <f>COUNTIFS(Table5[Country],Tabela1[[#This Row],[Country]],Table5[100m Classification],"&gt;0")</f>
        <v>0</v>
      </c>
      <c r="AE37" s="6">
        <f>COUNTIFS(Table4[Country],Tabela1[[#This Row],[Country]],Table4[200m Classification],"&gt;0")</f>
        <v>0</v>
      </c>
      <c r="AF37" s="6">
        <f>COUNTIFS(Table5[Country],Tabela1[[#This Row],[Country]],Table5[200m Classification],"&gt;0")</f>
        <v>0</v>
      </c>
      <c r="AG37" s="6">
        <f>COUNTIFS(Table4[Country],Tabela1[[#This Row],[Country]],Table4[400m Classification],"&gt;0")</f>
        <v>0</v>
      </c>
      <c r="AH37" s="6">
        <f>COUNTIFS(Table5[Country],Tabela1[[#This Row],[Country]],Table5[400m Classification],"&gt;0")</f>
        <v>0</v>
      </c>
      <c r="AI37" s="6">
        <f>COUNTIFS(Table4[Country],Tabela1[[#This Row],[Country]],Table4[800m Classification],"&gt;0")</f>
        <v>0</v>
      </c>
      <c r="AJ37" s="6">
        <f>COUNTIFS(Table5[Country],Tabela1[[#This Row],[Country]],Table5[800m Classification],"&gt;0")</f>
        <v>0</v>
      </c>
      <c r="AK37" s="6">
        <f>COUNTIFS(Table4[Country],Tabela1[[#This Row],[Country]],Table4[1500m Classification],"&gt;0")</f>
        <v>0</v>
      </c>
      <c r="AL37" s="6">
        <f>COUNTIFS(Table5[Country],Tabela1[[#This Row],[Country]],Table5[1500m Classification],"&gt;0")</f>
        <v>0</v>
      </c>
      <c r="AM37" s="6">
        <f>COUNTIFS(Table4[Country],Tabela1[[#This Row],[Country]],Table4[5000m Classification],"&gt;0")</f>
        <v>0</v>
      </c>
      <c r="AN37" s="6">
        <f>COUNTIFS(Table5[Country],Tabela1[[#This Row],[Country]],Table5[5000m Classification],"&gt;0")</f>
        <v>0</v>
      </c>
      <c r="AO37" s="6">
        <f>COUNTIFS(Table4[Country],Tabela1[[#This Row],[Country]],Table4[10000m Classification],"&gt;0")</f>
        <v>0</v>
      </c>
      <c r="AP37" s="6">
        <f>COUNTIFS(Table5[Country],Tabela1[[#This Row],[Country]],Table5[10000m Classification],"&gt;0")</f>
        <v>0</v>
      </c>
      <c r="AQ37" s="6">
        <f>COUNTIFS(Table4[Country],Tabela1[[#This Row],[Country]],Table4[110m Hurdles Classification],"&gt;0")</f>
        <v>0</v>
      </c>
      <c r="AR37" s="6">
        <f>COUNTIFS(Table5[Country],Tabela1[[#This Row],[Country]],Table5[100m Hurdles Classification],"&gt;0")</f>
        <v>0</v>
      </c>
      <c r="AS37" s="6">
        <f>COUNTIFS(Table4[Country],Tabela1[[#This Row],[Country]],Table4[400m Hurdles Classification],"&gt;0")</f>
        <v>0</v>
      </c>
      <c r="AT37" s="6">
        <f>COUNTIFS(Table5[Country],Tabela1[[#This Row],[Country]],Table5[400m Hurdles Classification],"&gt;0")</f>
        <v>0</v>
      </c>
      <c r="AU37" s="6">
        <f>COUNTIFS(Table4[Country],Tabela1[[#This Row],[Country]],Table4[3000m Steeplechase Classification],"&gt;0")</f>
        <v>0</v>
      </c>
      <c r="AV37" s="6">
        <f>COUNTIFS(Table5[Country],Tabela1[[#This Row],[Country]],Table5[3000m Steeplechase Classification],"&gt;0")</f>
        <v>0</v>
      </c>
      <c r="AW37" s="6">
        <f>COUNTIFS(Table27[Country],Tabela1[[#This Row],[Country]],Table27[Men''s 4x100m Relay Classification],"&gt;0")</f>
        <v>0</v>
      </c>
      <c r="AX37" s="6">
        <f>COUNTIFS(Table27[Country],Tabela1[[#This Row],[Country]],Table27[Women''s 4x100m Relay Classification],"&gt;0")</f>
        <v>0</v>
      </c>
      <c r="AY37" s="6">
        <f>COUNTIFS(Table27[Country],Tabela1[[#This Row],[Country]],Table27[Men''s 4x400m Relay Classification],"&gt;0")</f>
        <v>0</v>
      </c>
      <c r="AZ37" s="6">
        <f>COUNTIFS(Table27[Country],Tabela1[[#This Row],[Country]],Table27[Women''s 4x400m Relay Classification],"&gt;0")</f>
        <v>0</v>
      </c>
      <c r="BA37" s="6">
        <f>COUNTIFS(Table27[Country],Tabela1[[#This Row],[Country]],Table27[Mixed 4x400m Relay Classification],"&gt;0")</f>
        <v>0</v>
      </c>
      <c r="BB37" s="6">
        <f>COUNTIFS(Table4[Country],Tabela1[[#This Row],[Country]],Table4[Marathon Classification],"&gt;0")</f>
        <v>0</v>
      </c>
      <c r="BC37" s="6">
        <f>COUNTIFS(Table5[Country],Tabela1[[#This Row],[Country]],Table5[Marathon Classification],"&gt;0")</f>
        <v>0</v>
      </c>
      <c r="BD37" s="6">
        <f>COUNTIFS(Table4[Country],Tabela1[[#This Row],[Country]],Table4[20km Race Walk Classification],"&gt;0")</f>
        <v>1</v>
      </c>
      <c r="BE37" s="6">
        <f>COUNTIFS(Table5[Country],Tabela1[[#This Row],[Country]],Table5[20km Race Walk Classification],"&gt;0")</f>
        <v>1</v>
      </c>
      <c r="BF37" s="6">
        <f>COUNTIFS(Tabela96[Country],Tabela1[[#This Row],[Country]],Tabela96[Mixed Marathon Race Walk Relay Classification],"&gt;0")</f>
        <v>1</v>
      </c>
      <c r="BG37" s="6">
        <f>COUNTIFS(Table4[Country],Tabela1[[#This Row],[Country]],Table4[Discus Throw Classification],"&gt;0")</f>
        <v>0</v>
      </c>
      <c r="BH37" s="6">
        <f>COUNTIFS(Table5[Country],Tabela1[[#This Row],[Country]],Table5[Discus Throw Classification],"&gt;0")</f>
        <v>0</v>
      </c>
      <c r="BI37" s="6">
        <f>COUNTIFS(Table4[Country],Tabela1[[#This Row],[Country]],Table4[Hammer Throw Classification],"&gt;0")</f>
        <v>0</v>
      </c>
      <c r="BJ37" s="6">
        <f>COUNTIFS(Table5[Country],Tabela1[[#This Row],[Country]],Table5[Hammer Throw Classification],"&gt;0")</f>
        <v>0</v>
      </c>
      <c r="BK37" s="6">
        <f>COUNTIFS(Table4[Country],Tabela1[[#This Row],[Country]],Table4[High Jump Classification],"&gt;0")</f>
        <v>0</v>
      </c>
      <c r="BL37" s="6">
        <f>COUNTIFS(Table5[Country],Tabela1[[#This Row],[Country]],Table5[High Jump Classification],"&gt;0")</f>
        <v>0</v>
      </c>
      <c r="BM37" s="6">
        <f>COUNTIFS(Table4[Country],Tabela1[[#This Row],[Country]],Table4[Javelin Throw Classification],"&gt;0")</f>
        <v>0</v>
      </c>
      <c r="BN37" s="6">
        <f>COUNTIFS(Table5[Country],Tabela1[[#This Row],[Country]],Table5[Javelin Throw Classification],"&gt;0")</f>
        <v>0</v>
      </c>
      <c r="BO37" s="6">
        <f>COUNTIFS(Table4[Country],Tabela1[[#This Row],[Country]],Table4[Long Jump Classification],"&gt;0")</f>
        <v>0</v>
      </c>
      <c r="BP37" s="6">
        <f>COUNTIFS(Table5[Country],Tabela1[[#This Row],[Country]],Table5[Long Jump Classification],"&gt;0")</f>
        <v>0</v>
      </c>
      <c r="BQ37" s="6">
        <f>COUNTIFS(Table4[Country],Tabela1[[#This Row],[Country]],Table4[Pole Vault Classification],"&gt;0")</f>
        <v>0</v>
      </c>
      <c r="BR37" s="6">
        <f>COUNTIFS(Table5[Country],Tabela1[[#This Row],[Country]],Table5[Pole Vault Classification],"&gt;0")</f>
        <v>0</v>
      </c>
      <c r="BS37" s="6">
        <f>COUNTIFS(Table4[Country],Tabela1[[#This Row],[Country]],Table4[Shot Put Classification],"&gt;0")</f>
        <v>0</v>
      </c>
      <c r="BT37" s="6">
        <f>COUNTIFS(Table5[Country],Tabela1[[#This Row],[Country]],Table5[Shot Put Classification],"&gt;0")</f>
        <v>0</v>
      </c>
      <c r="BU37" s="6">
        <f>COUNTIFS(Table4[Country],Tabela1[[#This Row],[Country]],Table4[Triple Jump Classification],"&gt;0")</f>
        <v>0</v>
      </c>
      <c r="BV37" s="6">
        <f>COUNTIFS(Table5[Country],Tabela1[[#This Row],[Country]],Table5[Triple Jump Classification],"&gt;0")</f>
        <v>0</v>
      </c>
      <c r="BW37" s="6">
        <f>COUNTIFS(Table4[Country],Tabela1[[#This Row],[Country]],Table4[Decathlon Classification],"&gt;0")</f>
        <v>0</v>
      </c>
      <c r="BX37" s="6">
        <f>COUNTIFS(Table5[Country],Tabela1[[#This Row],[Country]],Table5[Heptathlon Classification],"&gt;0")</f>
        <v>0</v>
      </c>
      <c r="BY37" s="6">
        <f>COUNTIFS(Table61[Country],Tabela1[[#This Row],[Country]],Table61[Classification],"&gt;0")</f>
        <v>0</v>
      </c>
      <c r="BZ37" s="6">
        <f>COUNTIFS(Table38[Country],Tabela1[[#This Row],[Country]],Table38[Classification],"&gt;0")</f>
        <v>0</v>
      </c>
      <c r="CA37" s="6">
        <f>COUNTIFS(Table39[Country],Tabela1[[#This Row],[Country]],Table39[Men''s Classification],"&gt;0")</f>
        <v>0</v>
      </c>
      <c r="CB37" s="6">
        <f>COUNTIFS(Table39[Country],Tabela1[[#This Row],[Country]],Table39[Women''s Classification],"&gt;0")</f>
        <v>0</v>
      </c>
      <c r="CC37" s="6">
        <f>COUNTIFS(Table39[Country],Tabela1[[#This Row],[Country]],Table39[Mixed Classification],"&gt;0")</f>
        <v>0</v>
      </c>
      <c r="CD37" s="6">
        <f>COUNTIFS(Table89[Country],Tabela1[[#This Row],[Country]],Table89[Men''s Classification],"&gt;0")</f>
        <v>0</v>
      </c>
      <c r="CE37" s="6">
        <f>COUNTIFS(Table89[Country],Tabela1[[#This Row],[Country]],Table89[Women''s Classification],"&gt;0")</f>
        <v>0</v>
      </c>
      <c r="CF37" s="6">
        <f>COUNTIFS(Table90[Country],Tabela1[[#This Row],[Country]],Table90[Men''s Classification],"&gt;0")</f>
        <v>0</v>
      </c>
      <c r="CG37" s="6">
        <f>COUNTIFS(Table90[Country],Tabela1[[#This Row],[Country]],Table90[Women''s Classification],"&gt;0")</f>
        <v>0</v>
      </c>
      <c r="CH37" s="6">
        <f>COUNTIFS(Table60[Country],Tabela1[[#This Row],[Country]],Table60[Men''s Classification],"&gt;0")</f>
        <v>0</v>
      </c>
      <c r="CI37" s="6">
        <f>COUNTIFS(Table60[Country],Tabela1[[#This Row],[Country]],Table60[Women''s Classification],"&gt;0")</f>
        <v>0</v>
      </c>
      <c r="CJ37" s="6">
        <f>COUNTIFS(Table6[Country],Tabela1[[#This Row],[Country]],Table6[51kg Classification],"&gt;0")</f>
        <v>0</v>
      </c>
      <c r="CK37" s="6">
        <f>COUNTIFS(Table6[Country],Tabela1[[#This Row],[Country]],Table6[57kg Classification],"&gt;0")</f>
        <v>0</v>
      </c>
      <c r="CL37" s="6">
        <f>COUNTIFS(Table6[Country],Tabela1[[#This Row],[Country]],Table6[63.5kg Classification],"&gt;0")</f>
        <v>1</v>
      </c>
      <c r="CM37" s="6">
        <f>COUNTIFS(Table6[Country],Tabela1[[#This Row],[Country]],Table6[71kg Classification],"&gt;0")</f>
        <v>0</v>
      </c>
      <c r="CN37" s="6">
        <f>COUNTIFS(Table6[Country],Tabela1[[#This Row],[Country]],Table6[80kg Classification],"&gt;0")</f>
        <v>0</v>
      </c>
      <c r="CO37" s="6">
        <f>COUNTIFS(Table6[Country],Tabela1[[#This Row],[Country]],Table6[92kg Classification],"&gt;0")</f>
        <v>0</v>
      </c>
      <c r="CP37" s="6">
        <f>COUNTIFS(Table6[Country],Tabela1[[#This Row],[Country]],Table6[Plus 92kg Classification],"&gt;0")</f>
        <v>0</v>
      </c>
      <c r="CQ37" s="6">
        <f>COUNTIFS(Table7[Country],Tabela1[[#This Row],[Country]],Table7[50kg Classification],"&gt;0")</f>
        <v>0</v>
      </c>
      <c r="CR37" s="6">
        <f>COUNTIFS(Table7[Country],Tabela1[[#This Row],[Country]],Table7[54kg Classification],"&gt;0")</f>
        <v>0</v>
      </c>
      <c r="CS37" s="6">
        <f>COUNTIFS(Table7[Country],Tabela1[[#This Row],[Country]],Table7[57kg Classification],"&gt;0")</f>
        <v>0</v>
      </c>
      <c r="CT37" s="6">
        <f>COUNTIFS(Table7[Country],Tabela1[[#This Row],[Country]],Table7[60kg Classification],"&gt;0")</f>
        <v>0</v>
      </c>
      <c r="CU37" s="6">
        <f>COUNTIFS(Table7[Country],Tabela1[[#This Row],[Country]],Table7[66kg Classification],"&gt;0")</f>
        <v>0</v>
      </c>
      <c r="CV37" s="6">
        <f>COUNTIFS(Table7[Country],Tabela1[[#This Row],[Country]],Table7[75kg Classification],"&gt;0")</f>
        <v>0</v>
      </c>
      <c r="CW37" s="6">
        <f>COUNTIFS(Tabela94[Country],Tabela1[[#This Row],[Country]],Tabela94[Classification],"&gt;0")</f>
        <v>0</v>
      </c>
      <c r="CX37" s="6">
        <f>COUNTIFS(Tabela9499[Country],Tabela1[[#This Row],[Country]],Tabela9499[Classification],"&gt;0")</f>
        <v>0</v>
      </c>
      <c r="CY37" s="6">
        <f>COUNTIFS(Tabela107[Country],Tabela1[[#This Row],[Country]],Tabela107[C1 Slalom Classification],"&gt;0")</f>
        <v>0</v>
      </c>
      <c r="CZ37" s="6">
        <f>COUNTIFS(Tabela107122[Country],Tabela1[[#This Row],[Country]],Tabela107122[C1 Slalom Classification],"&gt;0")</f>
        <v>0</v>
      </c>
      <c r="DA37" s="6">
        <f>COUNTIFS(Tabela107[Country],Tabela1[[#This Row],[Country]],Tabela107[K1 Slalom Classification],"&gt;0")</f>
        <v>0</v>
      </c>
      <c r="DB37" s="6">
        <f>COUNTIFS(Tabela107122[Country],Tabela1[[#This Row],[Country]],Tabela107122[K1 Slalom Classification],"&gt;0")</f>
        <v>0</v>
      </c>
      <c r="DC37" s="6">
        <f>COUNTIFS(Tabela107[Country],Tabela1[[#This Row],[Country]],Tabela107[Kayak Cross Slalom Classification],"&gt;0")</f>
        <v>0</v>
      </c>
      <c r="DD37" s="6">
        <f>COUNTIFS(Tabela107122[Country],Tabela1[[#This Row],[Country]],Tabela107122[Kayak Cross Slalom Classification],"&gt;0")</f>
        <v>0</v>
      </c>
      <c r="DE37" s="6">
        <f>COUNTIFS(Table8[Country],Tabela1[[#This Row],[Country]],Table8[C1 200m Classification],"&gt;0")</f>
        <v>0</v>
      </c>
      <c r="DF37" s="6">
        <f>COUNTIFS(Table40[Country],Tabela1[[#This Row],[Country]],Table40[C1 1000m Classification],"&gt;0")</f>
        <v>0</v>
      </c>
      <c r="DG37" s="6">
        <f>COUNTIFS(Table68[Country],Tabela1[[#This Row],[Country]],Table68[Men''s C2 500m Classification],"&gt;0")</f>
        <v>0</v>
      </c>
      <c r="DH37" s="6">
        <f>COUNTIFS(Table68[Country],Tabela1[[#This Row],[Country]],Table68[Women''s C2 500m Classification],"&gt;0")</f>
        <v>0</v>
      </c>
      <c r="DI37" s="6">
        <f>COUNTIFS(Table8[Country],Tabela1[[#This Row],[Country]],Table8[K1 500m Classification],"&gt;0")</f>
        <v>0</v>
      </c>
      <c r="DJ37" s="6">
        <f>COUNTIFS(Table40[Country],Tabela1[[#This Row],[Country]],Table40[K1 1000m Classification],"&gt;0")</f>
        <v>0</v>
      </c>
      <c r="DK37" s="6">
        <f>COUNTIFS(Table68[Country],Tabela1[[#This Row],[Country]],Table68[Men''s K2 500m Classification],"&gt;0")</f>
        <v>0</v>
      </c>
      <c r="DL37" s="6">
        <f>COUNTIFS(Table68[Country],Tabela1[[#This Row],[Country]],Table68[Women''s K2 500m Classification],"&gt;0")</f>
        <v>0</v>
      </c>
      <c r="DM37" s="6">
        <f>COUNTIFS(Table83[Country],Tabela1[[#This Row],[Country]],Table83[Men''s K4 500m Classification],"&gt;0")</f>
        <v>0</v>
      </c>
      <c r="DN37" s="6">
        <f>COUNTIFS(Table83[Country],Tabela1[[#This Row],[Country]],Table83[Women''s K4 500m Classification],"&gt;0")</f>
        <v>0</v>
      </c>
      <c r="DO37" s="6">
        <f>COUNTIFS(Tabela126[Country],Tabela1[[#This Row],[Country]],Tabela126[Classification],"&gt;0")</f>
        <v>0</v>
      </c>
      <c r="DP37" s="6">
        <f>COUNTIFS(Tabela126130[Country],Tabela1[[#This Row],[Country]],Tabela126130[Classification],"&gt;0")</f>
        <v>0</v>
      </c>
      <c r="DQ37" s="6">
        <f>COUNTIFS(Table70[Country],Tabela1[[#This Row],[Country]],Table70[Classification],"&gt;0")</f>
        <v>0</v>
      </c>
      <c r="DR37" s="6">
        <f>COUNTIFS(Table80[Country],Tabela1[[#This Row],[Country]],Table80[Classification],"&gt;0")</f>
        <v>0</v>
      </c>
      <c r="DS37" s="6">
        <f>COUNTIFS(Table66[Country],Tabela1[[#This Row],[Country]],Table66[Classification],"&gt;0")</f>
        <v>0</v>
      </c>
      <c r="DT37" s="6">
        <f>COUNTIFS(Table67[Country],Tabela1[[#This Row],[Country]],Table67[Classification],"&gt;0")</f>
        <v>0</v>
      </c>
      <c r="DU37" s="6">
        <f>COUNTIFS(Table69[Country],Tabela1[[#This Row],[Country]],Table69[Keirin Classification],"&gt;0")</f>
        <v>0</v>
      </c>
      <c r="DV37" s="6">
        <f>COUNTIFS(Table41[Country],Tabela1[[#This Row],[Country]],Table41[Keirin Classification],"&gt;0")</f>
        <v>0</v>
      </c>
      <c r="DW37" s="6">
        <f>COUNTIFS(Table84[Country],Tabela1[[#This Row],[Country]],Table84[Men''s Madison Classification],"&gt;0")</f>
        <v>0</v>
      </c>
      <c r="DX37" s="6">
        <f>COUNTIFS(Table84[Country],Tabela1[[#This Row],[Country]],Table84[Women''s Madison Classification],"&gt;0")</f>
        <v>0</v>
      </c>
      <c r="DY37" s="6">
        <f>COUNTIFS(Table69[Country],Tabela1[[#This Row],[Country]],Table69[Omnium Classification],"&gt;0")</f>
        <v>0</v>
      </c>
      <c r="DZ37" s="6">
        <f>COUNTIFS(Table41[Country],Tabela1[[#This Row],[Country]],Table41[Omnium Classification],"&gt;0")</f>
        <v>0</v>
      </c>
      <c r="EA37" s="6">
        <f>COUNTIFS(Table9[Country],Tabela1[[#This Row],[Country]],Table9[Road Race Classification],"&gt;0")</f>
        <v>0</v>
      </c>
      <c r="EB37" s="6">
        <f>COUNTIFS(Table14[Country],Tabela1[[#This Row],[Country]],Table14[Road Race Classification],"&gt;0")</f>
        <v>0</v>
      </c>
      <c r="EC37" s="6">
        <f>COUNTIFS(Table69[Country],Tabela1[[#This Row],[Country]],Table69[Sprint Classification],"&gt;0")</f>
        <v>0</v>
      </c>
      <c r="ED37" s="6">
        <f>COUNTIFS(Table41[Country],Tabela1[[#This Row],[Country]],Table41[Sprint Classification],"&gt;0")</f>
        <v>0</v>
      </c>
      <c r="EE37" s="6">
        <f>COUNTIFS(Table85[Country],Tabela1[[#This Row],[Country]],Table85[Men''s Sprint Classification],"&gt;0")</f>
        <v>0</v>
      </c>
      <c r="EF37" s="6">
        <f>COUNTIFS(Table85[Country],Tabela1[[#This Row],[Country]],Table85[Women''s Sprint Classification],"&gt;0")</f>
        <v>0</v>
      </c>
      <c r="EG37" s="6">
        <f>COUNTIFS(Table85[Country],Tabela1[[#This Row],[Country]],Table85[Men''s Pursuit Classification],"&gt;0")</f>
        <v>0</v>
      </c>
      <c r="EH37" s="6">
        <f>COUNTIFS(Table85[Country],Tabela1[[#This Row],[Country]],Table85[Women''s Pursuit Classification],"&gt;0")</f>
        <v>0</v>
      </c>
      <c r="EI37" s="6">
        <f>COUNTIFS(Table9[Country],Tabela1[[#This Row],[Country]],Table9[Time-Trial Classification],"&gt;0")</f>
        <v>0</v>
      </c>
      <c r="EJ37" s="6">
        <f>COUNTIFS(Table14[Country],Tabela1[[#This Row],[Country]],Table14[Time-Trial Classification],"&gt;0")</f>
        <v>0</v>
      </c>
      <c r="EK37" s="6">
        <f>COUNTIFS(Table42[Country],Tabela1[[#This Row],[Country]],Table42[Springboard Classification],"&gt;0")</f>
        <v>0</v>
      </c>
      <c r="EL37" s="6">
        <f>COUNTIFS(Table43[Country],Tabela1[[#This Row],[Country]],Table43[Springboard Classification],"&gt;0")</f>
        <v>0</v>
      </c>
      <c r="EM37" s="6">
        <f>COUNTIFS(Table42[Country],Tabela1[[#This Row],[Country]],Table42[Platform Classification],"&gt;0")</f>
        <v>0</v>
      </c>
      <c r="EN37" s="6">
        <f>COUNTIFS(Table43[Country],Tabela1[[#This Row],[Country]],Table43[Platform Classification],"&gt;0")</f>
        <v>0</v>
      </c>
      <c r="EO37" s="6">
        <f>COUNTIFS(Table86[Country],Tabela1[[#This Row],[Country]],Table86[Men''s Synchronized Springboard Classification],"&gt;0")</f>
        <v>0</v>
      </c>
      <c r="EP37" s="6">
        <f>COUNTIFS(Table86[Country],Tabela1[[#This Row],[Country]],Table86[Women''s Synchronized Springboard Classification],"&gt;0")</f>
        <v>0</v>
      </c>
      <c r="EQ37" s="6">
        <f>COUNTIFS(Table86[Country],Tabela1[[#This Row],[Country]],Table86[Men''s Synchronized Platform Classification],"&gt;0")</f>
        <v>0</v>
      </c>
      <c r="ER37" s="6">
        <f>COUNTIFS(Table86[Country],Tabela1[[#This Row],[Country]],Table86[Women''s Synchronized Platform Classification],"&gt;0")</f>
        <v>0</v>
      </c>
      <c r="ES37" s="6">
        <f>COUNTIFS(Table44[Country],Tabela1[[#This Row],[Country]],Table44[Dressage Classification],"&gt;0")</f>
        <v>0</v>
      </c>
      <c r="ET37" s="6">
        <f>COUNTIFS(Table45[Country],Tabela1[[#This Row],[Country]],Table45[Dressage Classification],"&gt;0")</f>
        <v>0</v>
      </c>
      <c r="EU37" s="6">
        <f>COUNTIFS(Table44[Country],Tabela1[[#This Row],[Country]],Table44[Eventing Classification],"&gt;0")</f>
        <v>1</v>
      </c>
      <c r="EV37" s="6">
        <f>COUNTIFS(Table45[Country],Tabela1[[#This Row],[Country]],Table45[Eventing Classification],"&gt;0")</f>
        <v>0</v>
      </c>
      <c r="EW37" s="6">
        <f>COUNTIFS(Table44[Country],Tabela1[[#This Row],[Country]],Table44[Jumping Classification],"&gt;0")</f>
        <v>0</v>
      </c>
      <c r="EX37" s="6">
        <f>COUNTIFS(Table45[Country],Tabela1[[#This Row],[Country]],Table45[Jumping Classification],"&gt;0")</f>
        <v>0</v>
      </c>
      <c r="EY37" s="6">
        <f>COUNTIFS(Table10[Country],Tabela1[[#This Row],[Country]],Table10[Épée Classification],"&gt;0")</f>
        <v>1</v>
      </c>
      <c r="EZ37" s="6">
        <f>COUNTIFS(Table11[Country],Tabela1[[#This Row],[Country]],Table11[Épée Classification],"&gt;0")</f>
        <v>0</v>
      </c>
      <c r="FA37" s="6">
        <f>COUNTIFS(Table46[Country],Tabela1[[#This Row],[Country]],Table46[Men''s Épée Classification],"&gt;0")</f>
        <v>1</v>
      </c>
      <c r="FB37" s="6">
        <f>COUNTIFS(Table46[Country],Tabela1[[#This Row],[Country]],Table46[Women''s Épée Classification],"&gt;0")</f>
        <v>0</v>
      </c>
      <c r="FC37" s="6">
        <f>COUNTIFS(Table10[Country],Tabela1[[#This Row],[Country]],Table10[Foil Classification],"&gt;0")</f>
        <v>0</v>
      </c>
      <c r="FD37" s="6">
        <f>COUNTIFS(Table11[Country],Tabela1[[#This Row],[Country]],Table11[Foil Classification],"&gt;0")</f>
        <v>0</v>
      </c>
      <c r="FE37" s="6">
        <f>COUNTIFS(Table46[Country],Tabela1[[#This Row],[Country]],Table46[Men''s Foil Classification],"&gt;0")</f>
        <v>0</v>
      </c>
      <c r="FF37" s="6">
        <f>COUNTIFS(Table46[Country],Tabela1[[#This Row],[Country]],Table46[Women''s Foil Classification],"&gt;0")</f>
        <v>0</v>
      </c>
      <c r="FG37" s="6">
        <f>COUNTIFS(Table10[Country],Tabela1[[#This Row],[Country]],Table10[Sabre Classification],"&gt;0")</f>
        <v>0</v>
      </c>
      <c r="FH37" s="6">
        <f>COUNTIFS(Table11[Country],Tabela1[[#This Row],[Country]],Table11[Sabre Classification],"&gt;0")</f>
        <v>0</v>
      </c>
      <c r="FI37" s="6">
        <f>COUNTIFS(Table46[Country],Tabela1[[#This Row],[Country]],Table46[Men''s Sabre Classification],"&gt;0")</f>
        <v>0</v>
      </c>
      <c r="FJ37" s="6">
        <f>COUNTIFS(Table46[Country],Tabela1[[#This Row],[Country]],Table46[Women''s Sabre Classification],"&gt;0")</f>
        <v>0</v>
      </c>
      <c r="FK37" s="6">
        <f>COUNTIFS(Table91[Country],Tabela1[[#This Row],[Country]],Table91[Men''s Classification],"&gt;0")</f>
        <v>0</v>
      </c>
      <c r="FL37" s="6">
        <f>COUNTIFS(Table91[Country],Tabela1[[#This Row],[Country]],Table91[Women''s Classification],"&gt;0")</f>
        <v>0</v>
      </c>
      <c r="FM37" s="6">
        <f>COUNTIFS(Table9194[Country],Tabela1[[#This Row],[Country]],Table9194[Men''s Classification],"&gt;0")</f>
        <v>0</v>
      </c>
      <c r="FN37" s="6">
        <f>COUNTIFS(Table9194[Country],Tabela1[[#This Row],[Country]],Table9194[Women''s Classification],"&gt;0")</f>
        <v>0</v>
      </c>
      <c r="FO37" s="6">
        <f>COUNTIFS(Table71[Country],Tabela1[[#This Row],[Country]],Table71[Classification],"&gt;0")</f>
        <v>0</v>
      </c>
      <c r="FP37" s="6">
        <f>COUNTIFS(Table62[Country],Tabela1[[#This Row],[Country]],Table62[Classification],"&gt;0")</f>
        <v>0</v>
      </c>
      <c r="FQ37" s="6">
        <f>COUNTIFS(Table47[Country],Tabela1[[#This Row],[Country]],Table47[All-Around Classification],"&gt;0")</f>
        <v>0</v>
      </c>
      <c r="FR37" s="6">
        <f>COUNTIFS(Table48[Country],Tabela1[[#This Row],[Country]],Table48[All-Around Classification],"&gt;0")</f>
        <v>0</v>
      </c>
      <c r="FS37" s="6">
        <f>COUNTIFS(Table81[Country],Tabela1[[#This Row],[Country]],Table81[Men''s All-Around Classification],"&gt;0")</f>
        <v>0</v>
      </c>
      <c r="FT37" s="6">
        <f>COUNTIFS(Table81[Country],Tabela1[[#This Row],[Country]],Table81[Women''s All-Around Classification],"&gt;0")</f>
        <v>0</v>
      </c>
      <c r="FU37" s="6">
        <f>COUNTIFS(Table48[Country],Tabela1[[#This Row],[Country]],Table48[Balance Beam Classification],"&gt;0")</f>
        <v>0</v>
      </c>
      <c r="FV37" s="6">
        <f>COUNTIFS(Table47[Country],Tabela1[[#This Row],[Country]],Table47[Floor Exercise Classification],"&gt;0")</f>
        <v>0</v>
      </c>
      <c r="FW37" s="6">
        <f>COUNTIFS(Table48[Country],Tabela1[[#This Row],[Country]],Table48[Floor Exercise Classification],"&gt;0")</f>
        <v>0</v>
      </c>
      <c r="FX37" s="6">
        <f>COUNTIFS(Table47[Country],Tabela1[[#This Row],[Country]],Table47[Horizontal Bar Classification],"&gt;0")</f>
        <v>0</v>
      </c>
      <c r="FY37" s="6">
        <f>COUNTIFS(Table47[Country],Tabela1[[#This Row],[Country]],Table47[Parallel Bars Classification],"&gt;0")</f>
        <v>0</v>
      </c>
      <c r="FZ37" s="6">
        <f>COUNTIFS(Table47[Country],Tabela1[[#This Row],[Country]],Table47[Pommel Horse Classification],"&gt;0")</f>
        <v>0</v>
      </c>
      <c r="GA37" s="6">
        <f>COUNTIFS(Table47[Country],Tabela1[[#This Row],[Country]],Table47[Rings Classification],"&gt;0")</f>
        <v>0</v>
      </c>
      <c r="GB37" s="6">
        <f>COUNTIFS(Tabela132[Country],Tabela1[[#This Row],[Country]],Tabela132[Classification],"&gt;0")</f>
        <v>0</v>
      </c>
      <c r="GC37" s="6">
        <f>COUNTIFS(Tabela139[Country],Tabela1[[#This Row],[Country]],Tabela139[Classification],"&gt;0")</f>
        <v>0</v>
      </c>
      <c r="GD37" s="6">
        <f>COUNTIFS(Table48[Country],Tabela1[[#This Row],[Country]],Table48[Uneven Bars Classification],"&gt;0")</f>
        <v>0</v>
      </c>
      <c r="GE37" s="6">
        <f>COUNTIFS(Table47[Country],Tabela1[[#This Row],[Country]],Table47[Vault Classification],"&gt;0")</f>
        <v>0</v>
      </c>
      <c r="GF37" s="6">
        <f>COUNTIFS(Table48[Country],Tabela1[[#This Row],[Country]],Table48[Vault Classification],"&gt;0")</f>
        <v>0</v>
      </c>
      <c r="GG37" s="6">
        <f>COUNTIFS(Table919496[Country],Tabela1[[#This Row],[Country]],Table919496[Men''s Classification],"&gt;0")</f>
        <v>1</v>
      </c>
      <c r="GH37" s="6">
        <f>COUNTIFS(Table919496[Country],Tabela1[[#This Row],[Country]],Table919496[Women''s Classification],"&gt;0")</f>
        <v>1</v>
      </c>
      <c r="GI37" s="6">
        <f>COUNTIFS(Table12[Country],Tabela1[[#This Row],[Country]],Table12[60kg Classification],"&gt;0")</f>
        <v>0</v>
      </c>
      <c r="GJ37" s="6">
        <f>COUNTIFS(Table12[Country],Tabela1[[#This Row],[Country]],Table12[66kg Classification],"&gt;0")</f>
        <v>0</v>
      </c>
      <c r="GK37" s="6">
        <f>COUNTIFS(Table12[Country],Tabela1[[#This Row],[Country]],Table12[73kg Classification],"&gt;0")</f>
        <v>0</v>
      </c>
      <c r="GL37" s="6">
        <f>COUNTIFS(Table12[Country],Tabela1[[#This Row],[Country]],Table12[81kg Classification],"&gt;0")</f>
        <v>0</v>
      </c>
      <c r="GM37" s="6">
        <f>COUNTIFS(Table12[Country],Tabela1[[#This Row],[Country]],Table12[90kg Classification],"&gt;0")</f>
        <v>0</v>
      </c>
      <c r="GN37" s="6">
        <f>COUNTIFS(Table12[Country],Tabela1[[#This Row],[Country]],Table12[100kg Classification],"&gt;0")</f>
        <v>0</v>
      </c>
      <c r="GO37" s="6">
        <f>COUNTIFS(Table12[Country],Tabela1[[#This Row],[Country]],Table12[Plus 100kg Classification],"&gt;0")</f>
        <v>0</v>
      </c>
      <c r="GP37" s="6">
        <f>COUNTIFS(Table13[Country],Tabela1[[#This Row],[Country]],Table13[48kg Classification],"&gt;0")</f>
        <v>0</v>
      </c>
      <c r="GQ37" s="6">
        <f>COUNTIFS(Table13[Country],Tabela1[[#This Row],[Country]],Table13[52kg Classification],"&gt;0")</f>
        <v>0</v>
      </c>
      <c r="GR37" s="6">
        <f>COUNTIFS(Table13[Country],Tabela1[[#This Row],[Country]],Table13[57kg Classification],"&gt;0")</f>
        <v>0</v>
      </c>
      <c r="GS37" s="6">
        <f>COUNTIFS(Table13[Country],Tabela1[[#This Row],[Country]],Table13[63kg Classification],"&gt;0")</f>
        <v>0</v>
      </c>
      <c r="GT37" s="6">
        <f>COUNTIFS(Table13[Country],Tabela1[[#This Row],[Country]],Table13[70kg Classification],"&gt;0")</f>
        <v>0</v>
      </c>
      <c r="GU37" s="6">
        <f>COUNTIFS(Table13[Country],Tabela1[[#This Row],[Country]],Table13[78kg Classification],"&gt;0")</f>
        <v>0</v>
      </c>
      <c r="GV37" s="6">
        <f>COUNTIFS(Table13[Country],Tabela1[[#This Row],[Country]],Table13[Plus 78kg Classification],"&gt;0")</f>
        <v>0</v>
      </c>
      <c r="GW37" s="6">
        <f>COUNTIFS(Table82[Country],Tabela1[[#This Row],[Country]],Table82[Mixed Classification],"&gt;0")</f>
        <v>0</v>
      </c>
      <c r="GX37" s="6">
        <f>COUNTIFS(Table51[Country],Tabela1[[#This Row],[Country]],Table51[Classification],"&gt;0")</f>
        <v>0</v>
      </c>
      <c r="GY37" s="6">
        <f>COUNTIFS(Table52[Country],Tabela1[[#This Row],[Country]],Table52[Classification],"&gt;0")</f>
        <v>1</v>
      </c>
      <c r="GZ37" s="6">
        <f>COUNTIFS(Table32[Country],Tabela1[[#This Row],[Country]],Table32[All-Around Classification],"&gt;0")</f>
        <v>0</v>
      </c>
      <c r="HA37" s="6">
        <f>COUNTIFS(Table49[Country],Tabela1[[#This Row],[Country]],Table49[All-Around Classification],"&gt;0")</f>
        <v>0</v>
      </c>
      <c r="HB37" s="6">
        <f>COUNTIFS(Table26[Country],Tabela1[[#This Row],[Country]],Table26[Single Sculls Classification],"&gt;0")</f>
        <v>0</v>
      </c>
      <c r="HC37" s="6">
        <f>COUNTIFS(Table63[Country],Tabela1[[#This Row],[Country]],Table63[Single Sculls Classification],"&gt;0")</f>
        <v>0</v>
      </c>
      <c r="HD37" s="6">
        <f>COUNTIFS(Table16[Country],Tabela1[[#This Row],[Country]],Table16[Men''s Double Sculls Classification],"&gt;0")</f>
        <v>0</v>
      </c>
      <c r="HE37" s="6">
        <f>COUNTIFS(Table16[Country],Tabela1[[#This Row],[Country]],Table16[Women''s Double Sculls Classification],"&gt;0")</f>
        <v>0</v>
      </c>
      <c r="HF37" s="6">
        <f>COUNTIFS(Table72[Country],Tabela1[[#This Row],[Country]],Table72[Men''s Quadruple Sculls Classification],"&gt;0")</f>
        <v>0</v>
      </c>
      <c r="HG37" s="6">
        <f>COUNTIFS(Table72[Country],Tabela1[[#This Row],[Country]],Table72[Women''s Quadruple Sculls Classification],"&gt;0")</f>
        <v>0</v>
      </c>
      <c r="HH37" s="6">
        <f>COUNTIFS(Table16[Country],Tabela1[[#This Row],[Country]],Table16[Men''s Coxless Pairs Classification],"&gt;0")</f>
        <v>0</v>
      </c>
      <c r="HI37" s="6">
        <f>COUNTIFS(Table16[Country],Tabela1[[#This Row],[Country]],Table16[Women''s Coxless Pairs Classification],"&gt;0")</f>
        <v>0</v>
      </c>
      <c r="HJ37" s="6">
        <f>COUNTIFS(Table72[Country],Tabela1[[#This Row],[Country]],Table72[Men''s Coxless Fours Classification],"&gt;0")</f>
        <v>0</v>
      </c>
      <c r="HK37" s="6">
        <f>COUNTIFS(Table72[Country],Tabela1[[#This Row],[Country]],Table72[Women''s Coxless Fours Classification],"&gt;0")</f>
        <v>0</v>
      </c>
      <c r="HL37" s="6">
        <f>COUNTIFS(Table72[Country],Tabela1[[#This Row],[Country]],Table72[Men''s Eights Classification],"&gt;0")</f>
        <v>0</v>
      </c>
      <c r="HM37" s="6">
        <f>COUNTIFS(Table72[Country],Tabela1[[#This Row],[Country]],Table72[Women''s Eights Classification],"&gt;0")</f>
        <v>0</v>
      </c>
      <c r="HN37" s="6">
        <f>COUNTIFS(Table16[Country],Tabela1[[#This Row],[Country]],Table16[Men''s Lwt. Double Sculls Classification],"&gt;0")</f>
        <v>0</v>
      </c>
      <c r="HO37" s="6">
        <f>COUNTIFS(Table16[Country],Tabela1[[#This Row],[Country]],Table16[Women''s Lwt. Double Sculls Classification],"&gt;0")</f>
        <v>0</v>
      </c>
      <c r="HP37" s="6">
        <f>COUNTIFS(Table91949698[Country],Tabela1[[#This Row],[Country]],Table91949698[Men''s Classification],"&gt;0")</f>
        <v>0</v>
      </c>
      <c r="HQ37" s="6">
        <f>COUNTIFS(Table91949698[Country],Tabela1[[#This Row],[Country]],Table91949698[Women''s Classification],"&gt;0")</f>
        <v>0</v>
      </c>
      <c r="HR37" s="6">
        <f>COUNTIFS(Table25[Country],Tabela1[[#This Row],[Country]],Table25[Mixed 470 Classification],"&gt;0")</f>
        <v>0</v>
      </c>
      <c r="HS37" s="6">
        <f>COUNTIFS(Table25[Country],Tabela1[[#This Row],[Country]],Table25[Men''s 49er Classification],"&gt;0")</f>
        <v>0</v>
      </c>
      <c r="HT37" s="6">
        <f>COUNTIFS(Table25[Country],Tabela1[[#This Row],[Country]],Table25[Women''s 49er FX Classification],"&gt;0")</f>
        <v>0</v>
      </c>
      <c r="HU37" s="6">
        <f>COUNTIFS(Table17[Country],Tabela1[[#This Row],[Country]],Table17[Formula Kite Classification],"&gt;0")</f>
        <v>0</v>
      </c>
      <c r="HV37" s="6">
        <f>COUNTIFS(Table18[Country],Tabela1[[#This Row],[Country]],Table18[Formula Kite Classification],"&gt;0")</f>
        <v>0</v>
      </c>
      <c r="HW37" s="6">
        <f>COUNTIFS(Table17[Country],Tabela1[[#This Row],[Country]],Table17[ILCA 7 Classification],"&gt;0")</f>
        <v>1</v>
      </c>
      <c r="HX37" s="6">
        <f>COUNTIFS(Table18[Country],Tabela1[[#This Row],[Country]],Table18[ILCA 6 Classification],"&gt;0")</f>
        <v>0</v>
      </c>
      <c r="HY37" s="6">
        <f>COUNTIFS(Table17[Country],Tabela1[[#This Row],[Country]],Table17[IQFoil Classification],"&gt;0")</f>
        <v>0</v>
      </c>
      <c r="HZ37" s="6">
        <f>COUNTIFS(Table18[Country],Tabela1[[#This Row],[Country]],Table18[IQFoil Classification],"&gt;0")</f>
        <v>0</v>
      </c>
      <c r="IA37" s="6">
        <f>COUNTIFS(Table25[Country],Tabela1[[#This Row],[Country]],Table25[Mixed Nacra 17 Classification],"&gt;0")</f>
        <v>0</v>
      </c>
      <c r="IB37" s="6">
        <f>COUNTIFS(Table53[Country],Tabela1[[#This Row],[Country]],Table53[10m Air Pistol Classification],"&gt;0")</f>
        <v>0</v>
      </c>
      <c r="IC37" s="6">
        <f>COUNTIFS(Table19[Country],Tabela1[[#This Row],[Country]],Table19[10m Air Pistol Classification],"&gt;0")</f>
        <v>1</v>
      </c>
      <c r="ID37" s="6">
        <f>COUNTIFS(Table54[Country],Tabela1[[#This Row],[Country]],Table54[Mixed 10m Air Pistol Team Classification],"&gt;0")</f>
        <v>0</v>
      </c>
      <c r="IE37" s="6">
        <f>COUNTIFS(Table53[Country],Tabela1[[#This Row],[Country]],Table53[10m Air Rifle Classification],"&gt;0")</f>
        <v>0</v>
      </c>
      <c r="IF37" s="6">
        <f>COUNTIFS(Table19[Country],Tabela1[[#This Row],[Country]],Table19[10m Air Rifle Classification],"&gt;0")</f>
        <v>0</v>
      </c>
      <c r="IG37" s="6">
        <f>COUNTIFS(Table54[Country],Tabela1[[#This Row],[Country]],Table54[Mixed 10m Air Rifle Team Classification],"&gt;0")</f>
        <v>0</v>
      </c>
      <c r="IH37" s="6">
        <f>COUNTIFS(Table53[Country],Tabela1[[#This Row],[Country]],Table53[25m Rapid Fire Pistol Classification],"&gt;0")</f>
        <v>0</v>
      </c>
      <c r="II37" s="6">
        <f>COUNTIFS(Table19[Country],Tabela1[[#This Row],[Country]],Table19[25m Pistol Classification],"&gt;0")</f>
        <v>1</v>
      </c>
      <c r="IJ37" s="6">
        <f>COUNTIFS(Table53[Country],Tabela1[[#This Row],[Country]],Table53[50m Rifle 3 Positions Classification],"&gt;0")</f>
        <v>0</v>
      </c>
      <c r="IK37" s="6">
        <f>COUNTIFS(Table19[Country],Tabela1[[#This Row],[Country]],Table19[50m Rifle 3 Positions Classification],"&gt;0")</f>
        <v>0</v>
      </c>
      <c r="IL37" s="6">
        <f>COUNTIFS(Table53[Country],Tabela1[[#This Row],[Country]],Table53[Skeet Classification],"&gt;0")</f>
        <v>0</v>
      </c>
      <c r="IM37" s="6">
        <f>COUNTIFS(Table19[Country],Tabela1[[#This Row],[Country]],Table19[Skeet Classification],"&gt;0")</f>
        <v>0</v>
      </c>
      <c r="IN37" s="6">
        <f>COUNTIFS(Table54[Country],Tabela1[[#This Row],[Country]],Table54[Mixed Skeet Team Classification],"&gt;0")</f>
        <v>0</v>
      </c>
      <c r="IO37" s="6">
        <f>COUNTIFS(Table53[Country],Tabela1[[#This Row],[Country]],Table53[Trap Classification],"&gt;0")</f>
        <v>0</v>
      </c>
      <c r="IP37" s="6">
        <f>COUNTIFS(Table19[Country],Tabela1[[#This Row],[Country]],Table19[Trap Classification],"&gt;0")</f>
        <v>0</v>
      </c>
      <c r="IQ37" s="6">
        <f>COUNTIFS(Table73[Country],Tabela1[[#This Row],[Country]],Table73[Park Classification],"&gt;0")</f>
        <v>0</v>
      </c>
      <c r="IR37" s="6">
        <f>COUNTIFS(Table74[Country],Tabela1[[#This Row],[Country]],Table74[Park Classification],"&gt;0")</f>
        <v>0</v>
      </c>
      <c r="IS37" s="6">
        <f>COUNTIFS(Table73[Country],Tabela1[[#This Row],[Country]],Table73[Street Classification],"&gt;0")</f>
        <v>0</v>
      </c>
      <c r="IT37" s="6">
        <f>COUNTIFS(Table74[Country],Tabela1[[#This Row],[Country]],Table74[Street Classification],"&gt;0")</f>
        <v>0</v>
      </c>
      <c r="IU37" s="6">
        <f>COUNTIFS(Table75[Country],Tabela1[[#This Row],[Country]],Table75[Boulder and Lead Classification],"&gt;0")</f>
        <v>0</v>
      </c>
      <c r="IV37" s="6">
        <f>COUNTIFS(Table76[Country],Tabela1[[#This Row],[Country]],Table76[Boulder and Lead Classification],"&gt;0")</f>
        <v>0</v>
      </c>
      <c r="IW37" s="6">
        <f>COUNTIFS(Table75[Country],Tabela1[[#This Row],[Country]],Table75[Speed Classification],"&gt;0")</f>
        <v>0</v>
      </c>
      <c r="IX37" s="6">
        <f>COUNTIFS(Table76[Country],Tabela1[[#This Row],[Country]],Table76[Speed Classification],"&gt;0")</f>
        <v>0</v>
      </c>
      <c r="IY37" s="6">
        <f>COUNTIFS(Table64[Country],Tabela1[[#This Row],[Country]],Table64[Shortboard Classification],"&gt;0")</f>
        <v>0</v>
      </c>
      <c r="IZ37" s="6">
        <f>COUNTIFS(Table77[Country],Tabela1[[#This Row],[Country]],Table77[Shortboard Classification],"&gt;0")</f>
        <v>0</v>
      </c>
      <c r="JA37" s="6">
        <f>COUNTIFS(Table20[Country],Tabela1[[#This Row],[Country]],Table20[50m Freestyle Classification],"&gt;0")</f>
        <v>0</v>
      </c>
      <c r="JB37" s="6">
        <f>COUNTIFS(Table21[Country],Tabela1[[#This Row],[Country]],Table21[50m Freestyle Classification],"&gt;0")</f>
        <v>0</v>
      </c>
      <c r="JC37" s="6">
        <f>COUNTIFS(Table20[Country],Tabela1[[#This Row],[Country]],Table20[100m Freestyle Classification],"&gt;0")</f>
        <v>0</v>
      </c>
      <c r="JD37" s="6">
        <f>COUNTIFS(Table21[Country],Tabela1[[#This Row],[Country]],Table21[100m Freestyle Classification],"&gt;0")</f>
        <v>0</v>
      </c>
      <c r="JE37" s="6">
        <f>COUNTIFS(Table20[Country],Tabela1[[#This Row],[Country]],Table20[200m Freestyle Classification],"&gt;0")</f>
        <v>0</v>
      </c>
      <c r="JF37" s="6">
        <f>COUNTIFS(Table21[Country],Tabela1[[#This Row],[Country]],Table21[200m Freestyle Classification],"&gt;0")</f>
        <v>0</v>
      </c>
      <c r="JG37" s="6">
        <f>COUNTIFS(Table20[Country],Tabela1[[#This Row],[Country]],Table20[400m Freestyle Classification],"&gt;0")</f>
        <v>0</v>
      </c>
      <c r="JH37" s="6">
        <f>COUNTIFS(Table21[Country],Tabela1[[#This Row],[Country]],Table21[400m Freestyle Classification],"&gt;0")</f>
        <v>0</v>
      </c>
      <c r="JI37" s="6">
        <f>COUNTIFS(Table20[Country],Tabela1[[#This Row],[Country]],Table20[800m Freestyle Classification],"&gt;0")</f>
        <v>0</v>
      </c>
      <c r="JJ37" s="6">
        <f>COUNTIFS(Table21[Country],Tabela1[[#This Row],[Country]],Table21[800m Freestyle Classification],"&gt;0")</f>
        <v>0</v>
      </c>
      <c r="JK37" s="6">
        <f>COUNTIFS(Table20[Country],Tabela1[[#This Row],[Country]],Table20[1500m Freestyle Classification],"&gt;0")</f>
        <v>0</v>
      </c>
      <c r="JL37" s="6">
        <f>COUNTIFS(Table21[Country],Tabela1[[#This Row],[Country]],Table21[1500m Freestyle Classification],"&gt;0")</f>
        <v>0</v>
      </c>
      <c r="JM37" s="6">
        <f>COUNTIFS(Table20[Country],Tabela1[[#This Row],[Country]],Table20[100m Backstroke Classification],"&gt;0")</f>
        <v>1</v>
      </c>
      <c r="JN37" s="6">
        <f>COUNTIFS(Table21[Country],Tabela1[[#This Row],[Country]],Table21[100m Backstroke Classification],"&gt;0")</f>
        <v>0</v>
      </c>
      <c r="JO37" s="6">
        <f>COUNTIFS(Table20[Country],Tabela1[[#This Row],[Country]],Table20[200m Backstroke Classification],"&gt;0")</f>
        <v>0</v>
      </c>
      <c r="JP37" s="6">
        <f>COUNTIFS(Table21[Country],Tabela1[[#This Row],[Country]],Table21[200m Backstroke Classification],"&gt;0")</f>
        <v>0</v>
      </c>
      <c r="JQ37" s="6">
        <f>COUNTIFS(Table20[Country],Tabela1[[#This Row],[Country]],Table20[100m Breaststroke Classification],"&gt;0")</f>
        <v>0</v>
      </c>
      <c r="JR37" s="6">
        <f>COUNTIFS(Table21[Country],Tabela1[[#This Row],[Country]],Table21[100m Breaststroke Classification],"&gt;0")</f>
        <v>0</v>
      </c>
      <c r="JS37" s="6">
        <f>COUNTIFS(Table20[Country],Tabela1[[#This Row],[Country]],Table20[200m Breaststroke Classification],"&gt;0")</f>
        <v>0</v>
      </c>
      <c r="JT37" s="6">
        <f>COUNTIFS(Table21[Country],Tabela1[[#This Row],[Country]],Table21[200m Breaststroke Classification],"&gt;0")</f>
        <v>0</v>
      </c>
      <c r="JU37" s="6">
        <f>COUNTIFS(Table20[Country],Tabela1[[#This Row],[Country]],Table20[100m Butterfly Classification],"&gt;0")</f>
        <v>0</v>
      </c>
      <c r="JV37" s="6">
        <f>COUNTIFS(Table21[Country],Tabela1[[#This Row],[Country]],Table21[100m Butterfly Classification],"&gt;0")</f>
        <v>0</v>
      </c>
      <c r="JW37" s="6">
        <f>COUNTIFS(Table20[Country],Tabela1[[#This Row],[Country]],Table20[200m Butterfly Classification],"&gt;0")</f>
        <v>0</v>
      </c>
      <c r="JX37" s="6">
        <f>COUNTIFS(Table21[Country],Tabela1[[#This Row],[Country]],Table21[200m Butterfly Classification],"&gt;0")</f>
        <v>0</v>
      </c>
      <c r="JY37" s="6">
        <f>COUNTIFS(Table20[Country],Tabela1[[#This Row],[Country]],Table20[200m Medley Classification],"&gt;0")</f>
        <v>0</v>
      </c>
      <c r="JZ37" s="6">
        <f>COUNTIFS(Table21[Country],Tabela1[[#This Row],[Country]],Table21[200m Medley Classification],"&gt;0")</f>
        <v>0</v>
      </c>
      <c r="KA37" s="6">
        <f>COUNTIFS(Table20[Country],Tabela1[[#This Row],[Country]],Table20[400m Medley Classification],"&gt;0")</f>
        <v>0</v>
      </c>
      <c r="KB37" s="6">
        <f>COUNTIFS(Table21[Country],Tabela1[[#This Row],[Country]],Table21[400m Medley Classification],"&gt;0")</f>
        <v>0</v>
      </c>
      <c r="KC37" s="6">
        <f>COUNTIFS(Table78[Country],Tabela1[[#This Row],[Country]],Table78[Men''s 4x100m Freestyle Relay Classification],"&gt;0")</f>
        <v>1</v>
      </c>
      <c r="KD37" s="6">
        <f>COUNTIFS(Table78[Country],Tabela1[[#This Row],[Country]],Table78[Women''s 4x100m Freestyle Relay Classification],"&gt;0")</f>
        <v>0</v>
      </c>
      <c r="KE37" s="6">
        <f>COUNTIFS(Table78[Country],Tabela1[[#This Row],[Country]],Table78[Men''s 4x200m Freestyle Relay Classification],"&gt;0")</f>
        <v>0</v>
      </c>
      <c r="KF37" s="6">
        <f>COUNTIFS(Table78[Country],Tabela1[[#This Row],[Country]],Table78[Women''s 4x200m Freestyle Relay Classification],"&gt;0")</f>
        <v>0</v>
      </c>
      <c r="KG37" s="6">
        <f>COUNTIFS(Table78[Country],Tabela1[[#This Row],[Country]],Table78[Men''s 4x100m Medley Relay Classification],"&gt;0")</f>
        <v>0</v>
      </c>
      <c r="KH37" s="6">
        <f>COUNTIFS(Table78[Country],Tabela1[[#This Row],[Country]],Table78[Women''s 4x100m Medley Relay Classification],"&gt;0")</f>
        <v>0</v>
      </c>
      <c r="KI37" s="6">
        <f>COUNTIFS(Table78[Country],Tabela1[[#This Row],[Country]],Table78[Mixed 4x100m Medley Relay Classification],"&gt;0")</f>
        <v>0</v>
      </c>
      <c r="KJ37" s="6">
        <f>COUNTIFS(Table20[Country],Tabela1[[#This Row],[Country]],Table20[10km Open Water Classification],"&gt;0")</f>
        <v>1</v>
      </c>
      <c r="KK37" s="6">
        <f>COUNTIFS(Table21[Country],Tabela1[[#This Row],[Country]],Table21[10km Open Water Classification],"&gt;0")</f>
        <v>0</v>
      </c>
      <c r="KL37" s="6">
        <f>COUNTIFS(Table22[Country],Tabela1[[#This Row],[Country]],Table22[Classification],"&gt;0")</f>
        <v>0</v>
      </c>
      <c r="KM37" s="6">
        <f>COUNTIFS(Table30[Country],Tabela1[[#This Row],[Country]],Table30[Classification],"&gt;0")</f>
        <v>0</v>
      </c>
      <c r="KN37" s="6">
        <f>COUNTIFS(Table55[Country],Tabela1[[#This Row],[Country]],Table55[Men''s Classification],"&gt;0")</f>
        <v>0</v>
      </c>
      <c r="KO37" s="6">
        <f>COUNTIFS(Table55[Country],Tabela1[[#This Row],[Country]],Table55[Women''s Classification],"&gt;0")</f>
        <v>0</v>
      </c>
      <c r="KP37" s="6">
        <f>COUNTIFS(Table56[Country],Tabela1[[#This Row],[Country]],Table56[Mixed Classification],"&gt;0")</f>
        <v>0</v>
      </c>
      <c r="KQ37" s="6">
        <f>COUNTIFS(Table29[Country],Tabela1[[#This Row],[Country]],Table29[58kg Classification],"&gt;0")</f>
        <v>1</v>
      </c>
      <c r="KR37" s="6">
        <f>COUNTIFS(Table29[Country],Tabela1[[#This Row],[Country]],Table29[68kg Classification],"&gt;0")</f>
        <v>0</v>
      </c>
      <c r="KS37" s="6">
        <f>COUNTIFS(Table29[Country],Tabela1[[#This Row],[Country]],Table29[80kg Classification],"&gt;0")</f>
        <v>0</v>
      </c>
      <c r="KT37" s="6">
        <f>COUNTIFS(Table29[Country],Tabela1[[#This Row],[Country]],Table29[Plus 80kg Classification],"&gt;0")</f>
        <v>0</v>
      </c>
      <c r="KU37" s="6">
        <f>COUNTIFS(Table34[Country],Tabela1[[#This Row],[Country]],Table34[49kg Classification],"&gt;0")</f>
        <v>0</v>
      </c>
      <c r="KV37" s="6">
        <f>COUNTIFS(Table34[Country],Tabela1[[#This Row],[Country]],Table34[57kg Classification],"&gt;0")</f>
        <v>0</v>
      </c>
      <c r="KW37" s="6">
        <f>COUNTIFS(Table34[Country],Tabela1[[#This Row],[Country]],Table34[67kg Classification],"&gt;0")</f>
        <v>1</v>
      </c>
      <c r="KX37" s="6">
        <f>COUNTIFS(Table34[Country],Tabela1[[#This Row],[Country]],Table34[Plus 67kg Classification],"&gt;0")</f>
        <v>0</v>
      </c>
      <c r="KY37" s="6">
        <f>COUNTIFS(Table57[Country],Tabela1[[#This Row],[Country]],Table57[Classification],"&gt;0")</f>
        <v>1</v>
      </c>
      <c r="KZ37" s="6">
        <f>COUNTIFS(Table58[Country],Tabela1[[#This Row],[Country]],Table58[Classification],"&gt;0")</f>
        <v>0</v>
      </c>
      <c r="LA37" s="6">
        <f>COUNTIFS(Table79[Country],Tabela1[[#This Row],[Country]],Table79[Men''s Classification],"&gt;0")</f>
        <v>1</v>
      </c>
      <c r="LB37" s="6">
        <f>COUNTIFS(Table79[Country],Tabela1[[#This Row],[Country]],Table79[Women''s Classification],"&gt;0")</f>
        <v>0</v>
      </c>
      <c r="LC37" s="6">
        <f>COUNTIFS(Table79[Country],Tabela1[[#This Row],[Country]],Table79[Mixed Classification],"&gt;0")</f>
        <v>0</v>
      </c>
      <c r="LD37" s="6">
        <f>COUNTIFS(Table65[Country],Tabela1[[#This Row],[Country]],Table65[Classification],"&gt;0")</f>
        <v>1</v>
      </c>
      <c r="LE37" s="6">
        <f>COUNTIFS(Table59[Country],Tabela1[[#This Row],[Country]],Table59[Classification],"&gt;0")</f>
        <v>0</v>
      </c>
      <c r="LF37" s="6">
        <f>COUNTIFS(Table87[Country],Tabela1[[#This Row],[Country]],Table87[Mixed Relay Classification],"&gt;0")</f>
        <v>0</v>
      </c>
      <c r="LG37" s="6">
        <f>COUNTIFS(Table91949698100[Country],Tabela1[[#This Row],[Country]],Table91949698100[Men''s Classification],"&gt;0")</f>
        <v>0</v>
      </c>
      <c r="LH37" s="6">
        <f>COUNTIFS(Table91949698100[Country],Tabela1[[#This Row],[Country]],Table91949698100[Women''s Classification],"&gt;0")</f>
        <v>0</v>
      </c>
      <c r="LI37" s="6">
        <f>COUNTIFS(Table91949698100102[Country],Tabela1[[#This Row],[Country]],Table91949698100102[Men''s Classification],"&gt;0")</f>
        <v>1</v>
      </c>
      <c r="LJ37" s="6">
        <f>COUNTIFS(Table91949698100102[Country],Tabela1[[#This Row],[Country]],Table91949698100102[Women''s Classification],"&gt;0")</f>
        <v>1</v>
      </c>
      <c r="LK37" s="6">
        <f>COUNTIFS(Table23[Country],Tabela1[[#This Row],[Country]],Table23[61kg Classification],"&gt;0")</f>
        <v>0</v>
      </c>
      <c r="LL37" s="6">
        <f>COUNTIFS(Table23[Country],Tabela1[[#This Row],[Country]],Table23[73kg Classification],"&gt;0")</f>
        <v>0</v>
      </c>
      <c r="LM37" s="6">
        <f>COUNTIFS(Table23[Country],Tabela1[[#This Row],[Country]],Table23[89kg Classification],"&gt;0")</f>
        <v>0</v>
      </c>
      <c r="LN37" s="6">
        <f>COUNTIFS(Table23[Country],Tabela1[[#This Row],[Country]],Table23[102kg Classification],"&gt;0")</f>
        <v>0</v>
      </c>
      <c r="LO37" s="6">
        <f>COUNTIFS(Table23[Country],Tabela1[[#This Row],[Country]],Table23[Plus 102kg Classification],"&gt;0")</f>
        <v>0</v>
      </c>
      <c r="LP37" s="6">
        <f>COUNTIFS(Table28[Country],Tabela1[[#This Row],[Country]],Table28[49kg Classification],"&gt;0")</f>
        <v>0</v>
      </c>
      <c r="LQ37" s="6">
        <f>COUNTIFS(Table28[Country],Tabela1[[#This Row],[Country]],Table28[59kg Classification],"&gt;0")</f>
        <v>0</v>
      </c>
      <c r="LR37" s="6">
        <f>COUNTIFS(Table28[Country],Tabela1[[#This Row],[Country]],Table28[71kg Classification],"&gt;0")</f>
        <v>0</v>
      </c>
      <c r="LS37" s="6">
        <f>COUNTIFS(Table28[Country],Tabela1[[#This Row],[Country]],Table28[81kg Classification],"&gt;0")</f>
        <v>0</v>
      </c>
      <c r="LT37" s="6">
        <f>COUNTIFS(Table28[Country],Tabela1[[#This Row],[Country]],Table28[Plus 81kg Classification],"&gt;0")</f>
        <v>0</v>
      </c>
      <c r="LU37" s="6">
        <f>COUNTIFS(Table24[Country],Tabela1[[#This Row],[Country]],Table24[Freestyle 57kg Classification],"&gt;0")</f>
        <v>0</v>
      </c>
      <c r="LV37" s="6">
        <f>COUNTIFS(Table24[Country],Tabela1[[#This Row],[Country]],Table24[Freestyle 65kg Classification],"&gt;0")</f>
        <v>1</v>
      </c>
      <c r="LW37" s="6">
        <f>COUNTIFS(Table24[Country],Tabela1[[#This Row],[Country]],Table24[Freestyle 74kg Classification],"&gt;0")</f>
        <v>0</v>
      </c>
      <c r="LX37" s="6">
        <f>COUNTIFS(Table24[Country],Tabela1[[#This Row],[Country]],Table24[Freestyle 86kg Classification],"&gt;0")</f>
        <v>0</v>
      </c>
      <c r="LY37" s="6">
        <f>COUNTIFS(Table24[Country],Tabela1[[#This Row],[Country]],Table24[Freestyle 97kg Classification],"&gt;0")</f>
        <v>0</v>
      </c>
      <c r="LZ37" s="6">
        <f>COUNTIFS(Table24[Country],Tabela1[[#This Row],[Country]],Table24[Freestyle 125kg Classification],"&gt;0")</f>
        <v>0</v>
      </c>
      <c r="MA37" s="6">
        <f>COUNTIFS(Table24[Country],Tabela1[[#This Row],[Country]],Table24[Greco-Roman 60kg Classification],"&gt;0")</f>
        <v>0</v>
      </c>
      <c r="MB37" s="6">
        <f>COUNTIFS(Table24[Country],Tabela1[[#This Row],[Country]],Table24[Greco-Roman 67kg Classification],"&gt;0")</f>
        <v>0</v>
      </c>
      <c r="MC37" s="6">
        <f>COUNTIFS(Table24[Country],Tabela1[[#This Row],[Country]],Table24[Greco-Roman 77kg Classification],"&gt;0")</f>
        <v>0</v>
      </c>
      <c r="MD37" s="6">
        <f>COUNTIFS(Table24[Country],Tabela1[[#This Row],[Country]],Table24[Greco-Roman 87kg Classification],"&gt;0")</f>
        <v>0</v>
      </c>
      <c r="ME37" s="6">
        <f>COUNTIFS(Table24[Country],Tabela1[[#This Row],[Country]],Table24[Greco-Roman 97kg Classification],"&gt;0")</f>
        <v>0</v>
      </c>
      <c r="MF37" s="6">
        <f>COUNTIFS(Table24[Country],Tabela1[[#This Row],[Country]],Table24[Greco-Roman 130kg Classification],"&gt;0")</f>
        <v>0</v>
      </c>
      <c r="MG37" s="6">
        <f>COUNTIFS(Table31[Country],Tabela1[[#This Row],[Country]],Table31[50kg Classification],"&gt;0")</f>
        <v>0</v>
      </c>
      <c r="MH37" s="6">
        <f>COUNTIFS(Table31[Country],Tabela1[[#This Row],[Country]],Table31[53kg Classification],"&gt;0")</f>
        <v>0</v>
      </c>
      <c r="MI37" s="6">
        <f>COUNTIFS(Table31[Country],Tabela1[[#This Row],[Country]],Table31[57kg Classification],"&gt;0")</f>
        <v>0</v>
      </c>
      <c r="MJ37" s="6">
        <f>COUNTIFS(Table31[Country],Tabela1[[#This Row],[Country]],Table31[62kg Classification],"&gt;0")</f>
        <v>0</v>
      </c>
      <c r="MK37" s="6">
        <f>COUNTIFS(Table31[Country],Tabela1[[#This Row],[Country]],Table31[68kg Classification],"&gt;0")</f>
        <v>0</v>
      </c>
      <c r="ML37" s="6">
        <f>COUNTIFS(Table31[Country],Tabela1[[#This Row],[Country]],Table31[76kg Classification],"&gt;0")</f>
        <v>0</v>
      </c>
      <c r="MM37" s="6">
        <f>COUNTIFS(Table102[Country],Tabela1[[#This Row],[Country]],Table102[Downhill Classification],"&gt;0")</f>
        <v>0</v>
      </c>
      <c r="MN37" s="6">
        <f>COUNTIFS(Table102105[Country],Tabela1[[#This Row],[Country]],Table102105[Downhill Classification],"&gt;0")</f>
        <v>0</v>
      </c>
      <c r="MO37" s="6">
        <f>COUNTIFS(Table102[Country],Tabela1[[#This Row],[Country]],Table102[Giant Slalom Classification],"&gt;0")</f>
        <v>0</v>
      </c>
      <c r="MP37" s="6">
        <f>COUNTIFS(Table102105[Country],Tabela1[[#This Row],[Country]],Table102105[Giant Slalom Classification],"&gt;0")</f>
        <v>0</v>
      </c>
      <c r="MQ37" s="6">
        <f>COUNTIFS(Table102[Country],Tabela1[[#This Row],[Country]],Table102[Slalom Classification],"&gt;0")</f>
        <v>0</v>
      </c>
      <c r="MR37" s="6">
        <f>COUNTIFS(Table102105[Country],Tabela1[[#This Row],[Country]],Table102105[Slalom Classification],"&gt;0")</f>
        <v>0</v>
      </c>
      <c r="MS37" s="6">
        <f>COUNTIFS(Table102[Country],Tabela1[[#This Row],[Country]],Table102[Super-G Classification],"&gt;0")</f>
        <v>0</v>
      </c>
      <c r="MT37" s="6">
        <f>COUNTIFS(Table102105[Country],Tabela1[[#This Row],[Country]],Table102105[Super-G Classification],"&gt;0")</f>
        <v>0</v>
      </c>
      <c r="MU37" s="6">
        <f>COUNTIFS(Table105[Country],Tabela1[[#This Row],[Country]],Table105[Men''s Combined Classification],"&gt;0")</f>
        <v>0</v>
      </c>
      <c r="MV37" s="6">
        <f>COUNTIFS(Table105[Country],Tabela1[[#This Row],[Country]],Table105[Women''s Combined Classification],"&gt;0")</f>
        <v>0</v>
      </c>
      <c r="MW37" s="6">
        <f>COUNTIFS(Table106[Country],Tabela1[[#This Row],[Country]],Table106[Individual Classification],"&gt;0")</f>
        <v>0</v>
      </c>
      <c r="MX37" s="6">
        <f>COUNTIFS(Table106109[Country],Tabela1[[#This Row],[Country]],Table106109[Individual Classification],"&gt;0")</f>
        <v>0</v>
      </c>
      <c r="MY37" s="6">
        <f>COUNTIFS(Table106[Country],Tabela1[[#This Row],[Country]],Table106[Mass Start Classification],"&gt;0")</f>
        <v>0</v>
      </c>
      <c r="MZ37" s="6">
        <f>COUNTIFS(Table106109[Country],Tabela1[[#This Row],[Country]],Table106109[Mass Start Classification],"&gt;0")</f>
        <v>0</v>
      </c>
      <c r="NA37" s="6">
        <f>COUNTIFS(Table106[Country],Tabela1[[#This Row],[Country]],Table106[Pursuit Classification],"&gt;0")</f>
        <v>0</v>
      </c>
      <c r="NB37" s="6">
        <f>COUNTIFS(Table106109[Country],Tabela1[[#This Row],[Country]],Table106109[Pursuit Classification],"&gt;0")</f>
        <v>0</v>
      </c>
      <c r="NC37" s="6">
        <f>COUNTIFS(Table106[Country],Tabela1[[#This Row],[Country]],Table106[Sprint Classification],"&gt;0")</f>
        <v>0</v>
      </c>
      <c r="ND37" s="6">
        <f>COUNTIFS(Table106109[Country],Tabela1[[#This Row],[Country]],Table106109[Sprint Classification],"&gt;0")</f>
        <v>0</v>
      </c>
      <c r="NE37" s="6">
        <f>COUNTIFS(Table109[Country],Tabela1[[#This Row],[Country]],Table109[Men''s Relay Classification],"&gt;0")</f>
        <v>0</v>
      </c>
      <c r="NF37" s="6">
        <f>COUNTIFS(Table109[Country],Tabela1[[#This Row],[Country]],Table109[Women''s Relay Classification],"&gt;0")</f>
        <v>0</v>
      </c>
      <c r="NG37" s="6">
        <f>COUNTIFS(Table109[Country],Tabela1[[#This Row],[Country]],Table109[Mixed Relay Classification],"&gt;0")</f>
        <v>0</v>
      </c>
      <c r="NH37" s="6">
        <f>COUNTIFS(Table110[Country],Tabela1[[#This Row],[Country]],Table110[Monobob Classification],"&gt;0")</f>
        <v>0</v>
      </c>
      <c r="NI37" s="6">
        <f>COUNTIFS(Table111[Country],Tabela1[[#This Row],[Country]],Table111[Men''s Classification],"&gt;0")</f>
        <v>0</v>
      </c>
      <c r="NJ37" s="6">
        <f>COUNTIFS(Table111[Country],Tabela1[[#This Row],[Country]],Table111[Women''s Classification],"&gt;0")</f>
        <v>0</v>
      </c>
      <c r="NK37" s="6">
        <f>COUNTIFS(Table112[Country],Tabela1[[#This Row],[Country]],Table112[Men''s Four Classification],"&gt;0")</f>
        <v>0</v>
      </c>
      <c r="NL37" s="6">
        <f>COUNTIFS(Table113[Country],Tabela1[[#This Row],[Country]],Table113[Classical Classification],"&gt;0")</f>
        <v>1</v>
      </c>
      <c r="NM37" s="6">
        <f>COUNTIFS(Table113116[Country],Tabela1[[#This Row],[Country]],Table113116[Classical Classification],"&gt;0")</f>
        <v>0</v>
      </c>
      <c r="NN37" s="6">
        <f>COUNTIFS(Table113[Country],Tabela1[[#This Row],[Country]],Table113[Freestyle Classification],"&gt;0")</f>
        <v>1</v>
      </c>
      <c r="NO37" s="6">
        <f>COUNTIFS(Table113116[Country],Tabela1[[#This Row],[Country]],Table113116[Freestyle Classification],"&gt;0")</f>
        <v>0</v>
      </c>
      <c r="NP37" s="6">
        <f>COUNTIFS(Table117[Country],Tabela1[[#This Row],[Country]],Table117[Men''s Relay Classification],"&gt;0")</f>
        <v>0</v>
      </c>
      <c r="NQ37" s="6">
        <f>COUNTIFS(Table117[Country],Tabela1[[#This Row],[Country]],Table117[Women''s Relay Classification],"&gt;0")</f>
        <v>0</v>
      </c>
      <c r="NR37" s="6">
        <f>COUNTIFS(Table113[Country],Tabela1[[#This Row],[Country]],Table113[Skiathlon Classification],"&gt;0")</f>
        <v>1</v>
      </c>
      <c r="NS37" s="6">
        <f>COUNTIFS(Table113116[Country],Tabela1[[#This Row],[Country]],Table113116[Skiathlon Classification],"&gt;0")</f>
        <v>0</v>
      </c>
      <c r="NT37" s="6">
        <f>COUNTIFS(Table113[Country],Tabela1[[#This Row],[Country]],Table113[Sprint Classification],"&gt;0")</f>
        <v>0</v>
      </c>
      <c r="NU37" s="6">
        <f>COUNTIFS(Table113116[Country],Tabela1[[#This Row],[Country]],Table113116[Sprint Classification],"&gt;0")</f>
        <v>0</v>
      </c>
      <c r="NV37" s="6">
        <f>COUNTIFS(Table116[Country],Tabela1[[#This Row],[Country]],Table116[Men''s Team Sprint Classification],"&gt;0")</f>
        <v>1</v>
      </c>
      <c r="NW37" s="6">
        <f>COUNTIFS(Table116[Country],Tabela1[[#This Row],[Country]],Table116[Women''s Team Sprint Classification],"&gt;0")</f>
        <v>0</v>
      </c>
      <c r="NX37" s="6">
        <f>COUNTIFS(Table119[Country],Tabela1[[#This Row],[Country]],Table119[Men''s Classification],"&gt;0")</f>
        <v>0</v>
      </c>
      <c r="NY37" s="6">
        <f>COUNTIFS(Table119[Country],Tabela1[[#This Row],[Country]],Table119[Women''s Classification],"&gt;0")</f>
        <v>0</v>
      </c>
      <c r="NZ37" s="6">
        <f>COUNTIFS(Table118[Country],Tabela1[[#This Row],[Country]],Table118[Mixed Classification],"&gt;0")</f>
        <v>0</v>
      </c>
      <c r="OA37" s="6">
        <f>COUNTIFS(Table120[Country],Tabela1[[#This Row],[Country]],Table120[Classification],"&gt;0")</f>
        <v>0</v>
      </c>
      <c r="OB37" s="6">
        <f>COUNTIFS(Table120123[Country],Tabela1[[#This Row],[Country]],Table120123[Classification],"&gt;0")</f>
        <v>0</v>
      </c>
      <c r="OC37" s="6">
        <f>COUNTIFS(Table123[Country],Tabela1[[#This Row],[Country]],Table123[Ice Dance Classification],"&gt;0")</f>
        <v>0</v>
      </c>
      <c r="OD37" s="6">
        <f>COUNTIFS(Table123[Country],Tabela1[[#This Row],[Country]],Table123[Pair Skating Classification],"&gt;0")</f>
        <v>0</v>
      </c>
      <c r="OE37" s="6">
        <f>COUNTIFS(Table124[Country],Tabela1[[#This Row],[Country]],Table124[Mixed Classification],"&gt;0")</f>
        <v>0</v>
      </c>
      <c r="OF37" s="6">
        <f>COUNTIFS(Table125[Country],Tabela1[[#This Row],[Country]],Table125[Aerials Classification],"&gt;0")</f>
        <v>0</v>
      </c>
      <c r="OG37" s="6">
        <f>COUNTIFS(Table125128[Country],Tabela1[[#This Row],[Country]],Table125128[Aerials Classification],"&gt;0")</f>
        <v>0</v>
      </c>
      <c r="OH37" s="6">
        <f>COUNTIFS(Table128[Country],Tabela1[[#This Row],[Country]],Table128[Mixed Aerials Classification],"&gt;0")</f>
        <v>0</v>
      </c>
      <c r="OI37" s="6">
        <f>COUNTIFS(Table125[Country],Tabela1[[#This Row],[Country]],Table125[Big Air Classification],"&gt;0")</f>
        <v>0</v>
      </c>
      <c r="OJ37" s="6">
        <f>COUNTIFS(Table125128[Country],Tabela1[[#This Row],[Country]],Table125128[Big Air Classification],"&gt;0")</f>
        <v>0</v>
      </c>
      <c r="OK37" s="6">
        <f>COUNTIFS(Table125[Country],Tabela1[[#This Row],[Country]],Table125[Dual Moguls Classification],"&gt;0")</f>
        <v>0</v>
      </c>
      <c r="OL37" s="6">
        <f>COUNTIFS(Table125128[Country],Tabela1[[#This Row],[Country]],Table125128[Dual Moguls Classification],"&gt;0")</f>
        <v>0</v>
      </c>
      <c r="OM37" s="6">
        <f>COUNTIFS(Table125[Country],Tabela1[[#This Row],[Country]],Table125[Halfpipe Classification],"&gt;0")</f>
        <v>0</v>
      </c>
      <c r="ON37" s="6">
        <f>COUNTIFS(Table125128[Country],Tabela1[[#This Row],[Country]],Table125128[Halfpipe Classification],"&gt;0")</f>
        <v>0</v>
      </c>
      <c r="OO37" s="6">
        <f>COUNTIFS(Table125[Country],Tabela1[[#This Row],[Country]],Table125[Moguls Classification],"&gt;0")</f>
        <v>0</v>
      </c>
      <c r="OP37" s="6">
        <f>COUNTIFS(Table125128[Country],Tabela1[[#This Row],[Country]],Table125128[Moguls Classification],"&gt;0")</f>
        <v>0</v>
      </c>
      <c r="OQ37" s="6">
        <f>COUNTIFS(Table125[Country],Tabela1[[#This Row],[Country]],Table125[Ski Cross Classification],"&gt;0")</f>
        <v>0</v>
      </c>
      <c r="OR37" s="6">
        <f>COUNTIFS(Table125128[Country],Tabela1[[#This Row],[Country]],Table125128[Ski Cross Classification],"&gt;0")</f>
        <v>0</v>
      </c>
      <c r="OS37" s="6">
        <f>COUNTIFS(Table125[Country],Tabela1[[#This Row],[Country]],Table125[Slopestyle Classification],"&gt;0")</f>
        <v>0</v>
      </c>
      <c r="OT37" s="6">
        <f>COUNTIFS(Table125128[Country],Tabela1[[#This Row],[Country]],Table125128[Slopestyle Classification],"&gt;0")</f>
        <v>0</v>
      </c>
      <c r="OU37" s="6">
        <f>COUNTIFS(Table119131[Country],Tabela1[[#This Row],[Country]],Table119131[Men''s Classification],"&gt;0")</f>
        <v>0</v>
      </c>
      <c r="OV37" s="6">
        <f>COUNTIFS(Table119131[Country],Tabela1[[#This Row],[Country]],Table119131[Women''s Classification],"&gt;0")</f>
        <v>0</v>
      </c>
      <c r="OW37" s="6">
        <f>COUNTIFS(Table131[Country],Tabela1[[#This Row],[Country]],Table131[Classification],"&gt;0")</f>
        <v>0</v>
      </c>
      <c r="OX37" s="6">
        <f>COUNTIFS(Table131134[Country],Tabela1[[#This Row],[Country]],Table131134[Classification],"&gt;0")</f>
        <v>0</v>
      </c>
      <c r="OY37" s="6">
        <f>COUNTIFS(Table134[Country],Tabela1[[#This Row],[Country]],Table134[Men''s Classification],"&gt;0")</f>
        <v>0</v>
      </c>
      <c r="OZ37" s="6">
        <f>COUNTIFS(Table134[Country],Tabela1[[#This Row],[Country]],Table134[Women''s Classification],"&gt;0")</f>
        <v>0</v>
      </c>
      <c r="PA37" s="6">
        <f>COUNTIFS(Table135[Country],Tabela1[[#This Row],[Country]],Table135[Mixed Relay Classification],"&gt;0")</f>
        <v>0</v>
      </c>
      <c r="PB37" s="6">
        <f>COUNTIFS(Table136[Country],Tabela1[[#This Row],[Country]],Table136[Individual Classification],"&gt;0")</f>
        <v>0</v>
      </c>
      <c r="PC37" s="6">
        <f>COUNTIFS(Table136[Country],Tabela1[[#This Row],[Country]],Table136[Sprint Classification],"&gt;0")</f>
        <v>0</v>
      </c>
      <c r="PD37" s="6">
        <f>COUNTIFS(Table137[Country],Tabela1[[#This Row],[Country]],Table137[Men''s Team Sprint Large Hill Classification],"&gt;0")</f>
        <v>0</v>
      </c>
      <c r="PE37" s="6">
        <f>COUNTIFS(Table138[Country],Tabela1[[#This Row],[Country]],Table138[500m Classification],"&gt;0")</f>
        <v>1</v>
      </c>
      <c r="PF37" s="6">
        <f>COUNTIFS(Table138141[Country],Tabela1[[#This Row],[Country]],Table138141[500m Classification],"&gt;0")</f>
        <v>0</v>
      </c>
      <c r="PG37" s="6">
        <f>COUNTIFS(Table138[Country],Tabela1[[#This Row],[Country]],Table138[1000m Classification],"&gt;0")</f>
        <v>1</v>
      </c>
      <c r="PH37" s="6">
        <f>COUNTIFS(Table138141[Country],Tabela1[[#This Row],[Country]],Table138141[1000m Classification],"&gt;0")</f>
        <v>0</v>
      </c>
      <c r="PI37" s="6">
        <f>COUNTIFS(Table138[Country],Tabela1[[#This Row],[Country]],Table138[1500m Classification],"&gt;0")</f>
        <v>1</v>
      </c>
      <c r="PJ37" s="6">
        <f>COUNTIFS(Table138141[Country],Tabela1[[#This Row],[Country]],Table138141[1500m Classification],"&gt;0")</f>
        <v>0</v>
      </c>
      <c r="PK37" s="6">
        <f>COUNTIFS(Table141[Country],Tabela1[[#This Row],[Country]],Table141[Men''s 5000m Relay Classification],"&gt;0")</f>
        <v>1</v>
      </c>
      <c r="PL37" s="6">
        <f>COUNTIFS(Table141[Country],Tabela1[[#This Row],[Country]],Table141[Women''s 3000m Relay Classification],"&gt;0")</f>
        <v>0</v>
      </c>
      <c r="PM37" s="6">
        <f>COUNTIFS(Table141[Country],Tabela1[[#This Row],[Country]],Table141[Mixed 2000m Relay Classification],"&gt;0")</f>
        <v>1</v>
      </c>
      <c r="PN37" s="6">
        <f>COUNTIFS(Table142[Country],Tabela1[[#This Row],[Country]],Table142[Classification],"&gt;0")</f>
        <v>0</v>
      </c>
      <c r="PO37" s="6">
        <f>COUNTIFS(Table142145[Country],Tabela1[[#This Row],[Country]],Table142145[Classification],"&gt;0")</f>
        <v>0</v>
      </c>
      <c r="PP37" s="6">
        <f>COUNTIFS(Tabela15[Country],Tabela1[[#This Row],[Country]],Tabela15[Mixed Team Classification],"&gt;0")</f>
        <v>0</v>
      </c>
      <c r="PQ37" s="6">
        <f>COUNTIFS(Table145[Country],Tabela1[[#This Row],[Country]],Table145[Large Hill Classification],"&gt;0")</f>
        <v>0</v>
      </c>
      <c r="PR37" s="6">
        <f>COUNTIFS(Table145[Country],Tabela1[[#This Row],[Country]],Table145[Normal Hill Classification],"&gt;0")</f>
        <v>0</v>
      </c>
      <c r="PS37" s="6">
        <f>COUNTIFS(Table145148[Country],Tabela1[[#This Row],[Country]],Table145148[Large Hill Classification],"&gt;0")</f>
        <v>0</v>
      </c>
      <c r="PT37" s="6">
        <f>COUNTIFS(Table145148[Country],Tabela1[[#This Row],[Country]],Table145148[Normal Hill Classification],"&gt;0")</f>
        <v>0</v>
      </c>
      <c r="PU37" s="6">
        <f>COUNTIFS(Table148[Country],Tabela1[[#This Row],[Country]],Table148[Men''s Super Team Classification],"&gt;0")</f>
        <v>0</v>
      </c>
      <c r="PV37" s="6">
        <f>COUNTIFS(Tabela114[Country],Tabela1[[#This Row],[Country]],Tabela114[Mixed Normal Hill Classification],"&gt;0")</f>
        <v>0</v>
      </c>
      <c r="PW37" s="6">
        <f>COUNTIFS(Tabela50[Country],Tabela1[[#This Row],[Country]],Tabela50[Sprint Classification],"&gt;0")</f>
        <v>0</v>
      </c>
      <c r="PX37" s="6">
        <f>COUNTIFS(Tabela50101[Country],Tabela1[[#This Row],[Country]],Tabela50101[Sprint Classification],"&gt;0")</f>
        <v>0</v>
      </c>
      <c r="PY37" s="6">
        <f>COUNTIFS(Tabela103[Country],Tabela1[[#This Row],[Country]],Tabela103[Mixed Relay Classification],"&gt;0")</f>
        <v>0</v>
      </c>
      <c r="PZ37" s="6">
        <f>COUNTIFS(Table149[Country],Tabela1[[#This Row],[Country]],Table149[Big Air Classification],"&gt;0")</f>
        <v>0</v>
      </c>
      <c r="QA37" s="6">
        <f>COUNTIFS(Table149152[Country],Tabela1[[#This Row],[Country]],Table149152[Big Air Classification],"&gt;0")</f>
        <v>0</v>
      </c>
      <c r="QB37" s="6">
        <f>COUNTIFS(Table149[Country],Tabela1[[#This Row],[Country]],Table149[Halfpipe Classification],"&gt;0")</f>
        <v>0</v>
      </c>
      <c r="QC37" s="6">
        <f>COUNTIFS(Table149152[Country],Tabela1[[#This Row],[Country]],Table149152[Halfpipe Classification],"&gt;0")</f>
        <v>0</v>
      </c>
      <c r="QD37" s="6">
        <f>COUNTIFS(Table149[Country],Tabela1[[#This Row],[Country]],Table149[Parallel Giant Slalom Classification],"&gt;0")</f>
        <v>0</v>
      </c>
      <c r="QE37" s="6">
        <f>COUNTIFS(Table149152[Country],Tabela1[[#This Row],[Country]],Table149152[Parallel Giant Slalom Classification],"&gt;0")</f>
        <v>0</v>
      </c>
      <c r="QF37" s="6">
        <f>COUNTIFS(Table149[Country],Tabela1[[#This Row],[Country]],Table149[Slopestyle Classification],"&gt;0")</f>
        <v>0</v>
      </c>
      <c r="QG37" s="6">
        <f>COUNTIFS(Table149152[Country],Tabela1[[#This Row],[Country]],Table149152[Slopestyle Classification],"&gt;0")</f>
        <v>0</v>
      </c>
      <c r="QH37" s="6">
        <f>COUNTIFS(Table149[Country],Tabela1[[#This Row],[Country]],Table149[Snowboard Cross Classification],"&gt;0")</f>
        <v>0</v>
      </c>
      <c r="QI37" s="6">
        <f>COUNTIFS(Table149152[Country],Tabela1[[#This Row],[Country]],Table149152[Snowboard Cross Classification],"&gt;0")</f>
        <v>0</v>
      </c>
      <c r="QJ37" s="6">
        <f>COUNTIFS(Table153[Country],Tabela1[[#This Row],[Country]],Table153[Mixed Team Snowboard Cross Classification],"&gt;0")</f>
        <v>0</v>
      </c>
      <c r="QK37" s="6">
        <f>COUNTIFS(Table154[Country],Tabela1[[#This Row],[Country]],Table154[500m Classification],"&gt;0")</f>
        <v>0</v>
      </c>
      <c r="QL37" s="6">
        <f>COUNTIFS(Table154157[Country],Tabela1[[#This Row],[Country]],Table154157[500m Classification],"&gt;0")</f>
        <v>0</v>
      </c>
      <c r="QM37" s="6">
        <f>COUNTIFS(Table154[Country],Tabela1[[#This Row],[Country]],Table154[1000m Classification],"&gt;0")</f>
        <v>0</v>
      </c>
      <c r="QN37" s="6">
        <f>COUNTIFS(Table154157[Country],Tabela1[[#This Row],[Country]],Table154157[1000m Classification],"&gt;0")</f>
        <v>0</v>
      </c>
      <c r="QO37" s="6">
        <f>COUNTIFS(Table154[Country],Tabela1[[#This Row],[Country]],Table154[1500m Classification],"&gt;0")</f>
        <v>0</v>
      </c>
      <c r="QP37" s="6">
        <f>COUNTIFS(Table154157[Country],Tabela1[[#This Row],[Country]],Table154157[1500m Classification],"&gt;0")</f>
        <v>0</v>
      </c>
      <c r="QQ37" s="6">
        <f>COUNTIFS(Table154157[Country],Tabela1[[#This Row],[Country]],Table154157[3000m Classification],"&gt;0")</f>
        <v>0</v>
      </c>
      <c r="QR37" s="6">
        <f>COUNTIFS(Table154[Country],Tabela1[[#This Row],[Country]],Table154[5000m Classification],"&gt;0")</f>
        <v>0</v>
      </c>
      <c r="QS37" s="6">
        <f>COUNTIFS(Table154157[Country],Tabela1[[#This Row],[Country]],Table154157[5000m Classification],"&gt;0")</f>
        <v>0</v>
      </c>
      <c r="QT37" s="6">
        <f>COUNTIFS(Table154[Country],Tabela1[[#This Row],[Country]],Table154[10000m Classification],"&gt;0")</f>
        <v>0</v>
      </c>
      <c r="QU37" s="6">
        <f>COUNTIFS(Table154[Country],Tabela1[[#This Row],[Country]],Table154[Mass Start Classification],"&gt;0")</f>
        <v>0</v>
      </c>
      <c r="QV37" s="6">
        <f>COUNTIFS(Table154157[Country],Tabela1[[#This Row],[Country]],Table154157[Mass Start Classification],"&gt;0")</f>
        <v>0</v>
      </c>
      <c r="QW37" s="6">
        <f>COUNTIFS(Table157[Country],Tabela1[[#This Row],[Country]],Table157[Men''s Pursuit Classification],"&gt;0")</f>
        <v>0</v>
      </c>
      <c r="QX37" s="6">
        <f>COUNTIFS(Table157[Country],Tabela1[[#This Row],[Country]],Table157[Women''s Pursuit Classification],"&gt;0")</f>
        <v>0</v>
      </c>
      <c r="QY37" s="3" t="s">
        <v>407</v>
      </c>
    </row>
    <row r="38" spans="1:467" x14ac:dyDescent="0.3">
      <c r="A38" s="6">
        <v>37</v>
      </c>
      <c r="B38" s="6" t="s">
        <v>694</v>
      </c>
      <c r="C38" t="e" vm="37">
        <f>IF(ISBLANK(Tabela1[[#This Row],[Image Link]]), "", _xlfn.IMAGE(Tabela1[[#This Row],[Image Link]],1,1))</f>
        <v>#VALUE!</v>
      </c>
      <c r="D38" s="6">
        <f>SUM(Tabela1[[#This Row],[Archery - Men''s Individual Recurve]:[Speed Skating - Women''s Team Pursuit]])</f>
        <v>33</v>
      </c>
      <c r="E38" s="6">
        <f>COUNTIF(Tabela1[[#This Row],[Archery - Men''s Individual Recurve]:[Speed Skating - Women''s Team Pursuit]],"&gt;0")</f>
        <v>30</v>
      </c>
      <c r="F38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Winter Olympics</v>
      </c>
      <c r="G38" s="6">
        <f>SUM(Tabela1[[#This Row],[Archery - Men''s Individual Recurve]:[Wrestling - Women''s Freestyle 76kg]])</f>
        <v>11</v>
      </c>
      <c r="H38" s="6">
        <f>SUM(Tabela1[[#This Row],[Alpine Skiing - Men''s Downhill]:[Speed Skating - Women''s Team Pursuit]])</f>
        <v>22</v>
      </c>
      <c r="I38" s="6">
        <f>Tabela1[[#This Row],[Summer Gold Medals]]+Tabela1[[#This Row],[Winter Gold Medals]]</f>
        <v>4</v>
      </c>
      <c r="J38" s="6">
        <f>Tabela1[[#This Row],[Summer Silver Medals]]+Tabela1[[#This Row],[Winter Silver Medals]]</f>
        <v>2</v>
      </c>
      <c r="K38" s="6">
        <f>Tabela1[[#This Row],[Summer Bronze Medals]]+Tabela1[[#This Row],[Winter Bronze Medals]]</f>
        <v>1</v>
      </c>
      <c r="L38" s="6">
        <f>SUM(Tabela1[[#This Row],[Total Gold Medals]:[Total Bronze Medals]])</f>
        <v>7</v>
      </c>
      <c r="M38" s="6">
        <v>2</v>
      </c>
      <c r="N38" s="6">
        <v>1</v>
      </c>
      <c r="O38" s="6"/>
      <c r="P38" s="6">
        <f>SUM(Tabela1[[#This Row],[Summer Gold Medals]:[Summer Bronze Medals]])</f>
        <v>3</v>
      </c>
      <c r="Q38" s="6">
        <v>2</v>
      </c>
      <c r="R38" s="6">
        <v>1</v>
      </c>
      <c r="S38" s="6">
        <v>1</v>
      </c>
      <c r="T38" s="6">
        <f>Tabela1[[#This Row],[Winter Gold Medals]]+Tabela1[[#This Row],[Winter Silver Medals]]+Tabela1[[#This Row],[Winter Bronze Medals]]</f>
        <v>4</v>
      </c>
      <c r="U38" s="7">
        <f>Tabela1[[#This Row],[Total Medals]]/Tabela1[[#This Row],[Total Quotas]]</f>
        <v>0.21212121212121213</v>
      </c>
      <c r="V38" s="6">
        <f>COUNTIFS(Table3[Country],Tabela1[[#This Row],[Country]],Table3[Recurve Classification],"&gt;0")</f>
        <v>0</v>
      </c>
      <c r="W38" s="6">
        <f>COUNTIFS(Table33[Country],Tabela1[[#This Row],[Country]],Table33[Recurve Classification],"&gt;0")</f>
        <v>0</v>
      </c>
      <c r="X38" s="6">
        <f>COUNTIFS(Table35[Country],Tabela1[[#This Row],[Country]],Table35[Men''s Team Recurve Classification],"&gt;0")</f>
        <v>0</v>
      </c>
      <c r="Y38" s="6">
        <f>COUNTIFS(Table35[Country],Tabela1[[#This Row],[Country]],Table35[Women''s Team Recurve Classification],"&gt;0")</f>
        <v>0</v>
      </c>
      <c r="Z38" s="6">
        <f>COUNTIFS(Tabela88[Country],Tabela1[[#This Row],[Country]],Tabela88[Mixed Team Recurve Classification],"&gt;0")</f>
        <v>0</v>
      </c>
      <c r="AA38" s="6">
        <f>COUNTIFS(Table36[Country],Tabela1[[#This Row],[Country]],Table36[Classification],"&gt;0")</f>
        <v>0</v>
      </c>
      <c r="AB38" s="6">
        <f>COUNTIFS(Table37[Country],Tabela1[[#This Row],[Country]],Table37[Classification],"&gt;0")</f>
        <v>0</v>
      </c>
      <c r="AC38" s="6">
        <f>COUNTIFS(Table4[Country],Tabela1[[#This Row],[Country]],Table4[100m Classification],"&gt;0")</f>
        <v>0</v>
      </c>
      <c r="AD38" s="6">
        <f>COUNTIFS(Table5[Country],Tabela1[[#This Row],[Country]],Table5[100m Classification],"&gt;0")</f>
        <v>0</v>
      </c>
      <c r="AE38" s="6">
        <f>COUNTIFS(Table4[Country],Tabela1[[#This Row],[Country]],Table4[200m Classification],"&gt;0")</f>
        <v>0</v>
      </c>
      <c r="AF38" s="6">
        <f>COUNTIFS(Table5[Country],Tabela1[[#This Row],[Country]],Table5[200m Classification],"&gt;0")</f>
        <v>0</v>
      </c>
      <c r="AG38" s="6">
        <f>COUNTIFS(Table4[Country],Tabela1[[#This Row],[Country]],Table4[400m Classification],"&gt;0")</f>
        <v>0</v>
      </c>
      <c r="AH38" s="6">
        <f>COUNTIFS(Table5[Country],Tabela1[[#This Row],[Country]],Table5[400m Classification],"&gt;0")</f>
        <v>0</v>
      </c>
      <c r="AI38" s="6">
        <f>COUNTIFS(Table4[Country],Tabela1[[#This Row],[Country]],Table4[800m Classification],"&gt;0")</f>
        <v>0</v>
      </c>
      <c r="AJ38" s="6">
        <f>COUNTIFS(Table5[Country],Tabela1[[#This Row],[Country]],Table5[800m Classification],"&gt;0")</f>
        <v>0</v>
      </c>
      <c r="AK38" s="6">
        <f>COUNTIFS(Table4[Country],Tabela1[[#This Row],[Country]],Table4[1500m Classification],"&gt;0")</f>
        <v>0</v>
      </c>
      <c r="AL38" s="6">
        <f>COUNTIFS(Table5[Country],Tabela1[[#This Row],[Country]],Table5[1500m Classification],"&gt;0")</f>
        <v>0</v>
      </c>
      <c r="AM38" s="6">
        <f>COUNTIFS(Table4[Country],Tabela1[[#This Row],[Country]],Table4[5000m Classification],"&gt;0")</f>
        <v>0</v>
      </c>
      <c r="AN38" s="6">
        <f>COUNTIFS(Table5[Country],Tabela1[[#This Row],[Country]],Table5[5000m Classification],"&gt;0")</f>
        <v>1</v>
      </c>
      <c r="AO38" s="6">
        <f>COUNTIFS(Table4[Country],Tabela1[[#This Row],[Country]],Table4[10000m Classification],"&gt;0")</f>
        <v>0</v>
      </c>
      <c r="AP38" s="6">
        <f>COUNTIFS(Table5[Country],Tabela1[[#This Row],[Country]],Table5[10000m Classification],"&gt;0")</f>
        <v>1</v>
      </c>
      <c r="AQ38" s="6">
        <f>COUNTIFS(Table4[Country],Tabela1[[#This Row],[Country]],Table4[110m Hurdles Classification],"&gt;0")</f>
        <v>0</v>
      </c>
      <c r="AR38" s="6">
        <f>COUNTIFS(Table5[Country],Tabela1[[#This Row],[Country]],Table5[100m Hurdles Classification],"&gt;0")</f>
        <v>0</v>
      </c>
      <c r="AS38" s="6">
        <f>COUNTIFS(Table4[Country],Tabela1[[#This Row],[Country]],Table4[400m Hurdles Classification],"&gt;0")</f>
        <v>1</v>
      </c>
      <c r="AT38" s="6">
        <f>COUNTIFS(Table5[Country],Tabela1[[#This Row],[Country]],Table5[400m Hurdles Classification],"&gt;0")</f>
        <v>0</v>
      </c>
      <c r="AU38" s="6">
        <f>COUNTIFS(Table4[Country],Tabela1[[#This Row],[Country]],Table4[3000m Steeplechase Classification],"&gt;0")</f>
        <v>0</v>
      </c>
      <c r="AV38" s="6">
        <f>COUNTIFS(Table5[Country],Tabela1[[#This Row],[Country]],Table5[3000m Steeplechase Classification],"&gt;0")</f>
        <v>0</v>
      </c>
      <c r="AW38" s="6">
        <f>COUNTIFS(Table27[Country],Tabela1[[#This Row],[Country]],Table27[Men''s 4x100m Relay Classification],"&gt;0")</f>
        <v>0</v>
      </c>
      <c r="AX38" s="6">
        <f>COUNTIFS(Table27[Country],Tabela1[[#This Row],[Country]],Table27[Women''s 4x100m Relay Classification],"&gt;0")</f>
        <v>0</v>
      </c>
      <c r="AY38" s="6">
        <f>COUNTIFS(Table27[Country],Tabela1[[#This Row],[Country]],Table27[Men''s 4x400m Relay Classification],"&gt;0")</f>
        <v>0</v>
      </c>
      <c r="AZ38" s="6">
        <f>COUNTIFS(Table27[Country],Tabela1[[#This Row],[Country]],Table27[Women''s 4x400m Relay Classification],"&gt;0")</f>
        <v>0</v>
      </c>
      <c r="BA38" s="6">
        <f>COUNTIFS(Table27[Country],Tabela1[[#This Row],[Country]],Table27[Mixed 4x400m Relay Classification],"&gt;0")</f>
        <v>0</v>
      </c>
      <c r="BB38" s="6">
        <f>COUNTIFS(Table4[Country],Tabela1[[#This Row],[Country]],Table4[Marathon Classification],"&gt;0")</f>
        <v>0</v>
      </c>
      <c r="BC38" s="6">
        <f>COUNTIFS(Table5[Country],Tabela1[[#This Row],[Country]],Table5[Marathon Classification],"&gt;0")</f>
        <v>0</v>
      </c>
      <c r="BD38" s="6">
        <f>COUNTIFS(Table4[Country],Tabela1[[#This Row],[Country]],Table4[20km Race Walk Classification],"&gt;0")</f>
        <v>0</v>
      </c>
      <c r="BE38" s="6">
        <f>COUNTIFS(Table5[Country],Tabela1[[#This Row],[Country]],Table5[20km Race Walk Classification],"&gt;0")</f>
        <v>0</v>
      </c>
      <c r="BF38" s="6">
        <f>COUNTIFS(Tabela96[Country],Tabela1[[#This Row],[Country]],Tabela96[Mixed Marathon Race Walk Relay Classification],"&gt;0")</f>
        <v>0</v>
      </c>
      <c r="BG38" s="6">
        <f>COUNTIFS(Table4[Country],Tabela1[[#This Row],[Country]],Table4[Discus Throw Classification],"&gt;0")</f>
        <v>0</v>
      </c>
      <c r="BH38" s="6">
        <f>COUNTIFS(Table5[Country],Tabela1[[#This Row],[Country]],Table5[Discus Throw Classification],"&gt;0")</f>
        <v>0</v>
      </c>
      <c r="BI38" s="6">
        <f>COUNTIFS(Table4[Country],Tabela1[[#This Row],[Country]],Table4[Hammer Throw Classification],"&gt;0")</f>
        <v>0</v>
      </c>
      <c r="BJ38" s="6">
        <f>COUNTIFS(Table5[Country],Tabela1[[#This Row],[Country]],Table5[Hammer Throw Classification],"&gt;0")</f>
        <v>0</v>
      </c>
      <c r="BK38" s="6">
        <f>COUNTIFS(Table4[Country],Tabela1[[#This Row],[Country]],Table4[High Jump Classification],"&gt;0")</f>
        <v>0</v>
      </c>
      <c r="BL38" s="6">
        <f>COUNTIFS(Table5[Country],Tabela1[[#This Row],[Country]],Table5[High Jump Classification],"&gt;0")</f>
        <v>0</v>
      </c>
      <c r="BM38" s="6">
        <f>COUNTIFS(Table4[Country],Tabela1[[#This Row],[Country]],Table4[Javelin Throw Classification],"&gt;0")</f>
        <v>0</v>
      </c>
      <c r="BN38" s="6">
        <f>COUNTIFS(Table5[Country],Tabela1[[#This Row],[Country]],Table5[Javelin Throw Classification],"&gt;0")</f>
        <v>0</v>
      </c>
      <c r="BO38" s="6">
        <f>COUNTIFS(Table4[Country],Tabela1[[#This Row],[Country]],Table4[Long Jump Classification],"&gt;0")</f>
        <v>0</v>
      </c>
      <c r="BP38" s="6">
        <f>COUNTIFS(Table5[Country],Tabela1[[#This Row],[Country]],Table5[Long Jump Classification],"&gt;0")</f>
        <v>0</v>
      </c>
      <c r="BQ38" s="6">
        <f>COUNTIFS(Table4[Country],Tabela1[[#This Row],[Country]],Table4[Pole Vault Classification],"&gt;0")</f>
        <v>0</v>
      </c>
      <c r="BR38" s="6">
        <f>COUNTIFS(Table5[Country],Tabela1[[#This Row],[Country]],Table5[Pole Vault Classification],"&gt;0")</f>
        <v>0</v>
      </c>
      <c r="BS38" s="6">
        <f>COUNTIFS(Table4[Country],Tabela1[[#This Row],[Country]],Table4[Shot Put Classification],"&gt;0")</f>
        <v>0</v>
      </c>
      <c r="BT38" s="6">
        <f>COUNTIFS(Table5[Country],Tabela1[[#This Row],[Country]],Table5[Shot Put Classification],"&gt;0")</f>
        <v>0</v>
      </c>
      <c r="BU38" s="6">
        <f>COUNTIFS(Table4[Country],Tabela1[[#This Row],[Country]],Table4[Triple Jump Classification],"&gt;0")</f>
        <v>0</v>
      </c>
      <c r="BV38" s="6">
        <f>COUNTIFS(Table5[Country],Tabela1[[#This Row],[Country]],Table5[Triple Jump Classification],"&gt;0")</f>
        <v>0</v>
      </c>
      <c r="BW38" s="6">
        <f>COUNTIFS(Table4[Country],Tabela1[[#This Row],[Country]],Table4[Decathlon Classification],"&gt;0")</f>
        <v>0</v>
      </c>
      <c r="BX38" s="6">
        <f>COUNTIFS(Table5[Country],Tabela1[[#This Row],[Country]],Table5[Heptathlon Classification],"&gt;0")</f>
        <v>0</v>
      </c>
      <c r="BY38" s="6">
        <f>COUNTIFS(Table61[Country],Tabela1[[#This Row],[Country]],Table61[Classification],"&gt;0")</f>
        <v>0</v>
      </c>
      <c r="BZ38" s="6">
        <f>COUNTIFS(Table38[Country],Tabela1[[#This Row],[Country]],Table38[Classification],"&gt;0")</f>
        <v>0</v>
      </c>
      <c r="CA38" s="6">
        <f>COUNTIFS(Table39[Country],Tabela1[[#This Row],[Country]],Table39[Men''s Classification],"&gt;0")</f>
        <v>0</v>
      </c>
      <c r="CB38" s="6">
        <f>COUNTIFS(Table39[Country],Tabela1[[#This Row],[Country]],Table39[Women''s Classification],"&gt;0")</f>
        <v>0</v>
      </c>
      <c r="CC38" s="6">
        <f>COUNTIFS(Table39[Country],Tabela1[[#This Row],[Country]],Table39[Mixed Classification],"&gt;0")</f>
        <v>0</v>
      </c>
      <c r="CD38" s="6">
        <f>COUNTIFS(Table89[Country],Tabela1[[#This Row],[Country]],Table89[Men''s Classification],"&gt;0")</f>
        <v>0</v>
      </c>
      <c r="CE38" s="6">
        <f>COUNTIFS(Table89[Country],Tabela1[[#This Row],[Country]],Table89[Women''s Classification],"&gt;0")</f>
        <v>0</v>
      </c>
      <c r="CF38" s="6">
        <f>COUNTIFS(Table90[Country],Tabela1[[#This Row],[Country]],Table90[Men''s Classification],"&gt;0")</f>
        <v>0</v>
      </c>
      <c r="CG38" s="6">
        <f>COUNTIFS(Table90[Country],Tabela1[[#This Row],[Country]],Table90[Women''s Classification],"&gt;0")</f>
        <v>0</v>
      </c>
      <c r="CH38" s="6">
        <f>COUNTIFS(Table60[Country],Tabela1[[#This Row],[Country]],Table60[Men''s Classification],"&gt;0")</f>
        <v>0</v>
      </c>
      <c r="CI38" s="6">
        <f>COUNTIFS(Table60[Country],Tabela1[[#This Row],[Country]],Table60[Women''s Classification],"&gt;0")</f>
        <v>0</v>
      </c>
      <c r="CJ38" s="6">
        <f>COUNTIFS(Table6[Country],Tabela1[[#This Row],[Country]],Table6[51kg Classification],"&gt;0")</f>
        <v>0</v>
      </c>
      <c r="CK38" s="6">
        <f>COUNTIFS(Table6[Country],Tabela1[[#This Row],[Country]],Table6[57kg Classification],"&gt;0")</f>
        <v>0</v>
      </c>
      <c r="CL38" s="6">
        <f>COUNTIFS(Table6[Country],Tabela1[[#This Row],[Country]],Table6[63.5kg Classification],"&gt;0")</f>
        <v>0</v>
      </c>
      <c r="CM38" s="6">
        <f>COUNTIFS(Table6[Country],Tabela1[[#This Row],[Country]],Table6[71kg Classification],"&gt;0")</f>
        <v>0</v>
      </c>
      <c r="CN38" s="6">
        <f>COUNTIFS(Table6[Country],Tabela1[[#This Row],[Country]],Table6[80kg Classification],"&gt;0")</f>
        <v>0</v>
      </c>
      <c r="CO38" s="6">
        <f>COUNTIFS(Table6[Country],Tabela1[[#This Row],[Country]],Table6[92kg Classification],"&gt;0")</f>
        <v>0</v>
      </c>
      <c r="CP38" s="6">
        <f>COUNTIFS(Table6[Country],Tabela1[[#This Row],[Country]],Table6[Plus 92kg Classification],"&gt;0")</f>
        <v>0</v>
      </c>
      <c r="CQ38" s="6">
        <f>COUNTIFS(Table7[Country],Tabela1[[#This Row],[Country]],Table7[50kg Classification],"&gt;0")</f>
        <v>0</v>
      </c>
      <c r="CR38" s="6">
        <f>COUNTIFS(Table7[Country],Tabela1[[#This Row],[Country]],Table7[54kg Classification],"&gt;0")</f>
        <v>0</v>
      </c>
      <c r="CS38" s="6">
        <f>COUNTIFS(Table7[Country],Tabela1[[#This Row],[Country]],Table7[57kg Classification],"&gt;0")</f>
        <v>0</v>
      </c>
      <c r="CT38" s="6">
        <f>COUNTIFS(Table7[Country],Tabela1[[#This Row],[Country]],Table7[60kg Classification],"&gt;0")</f>
        <v>0</v>
      </c>
      <c r="CU38" s="6">
        <f>COUNTIFS(Table7[Country],Tabela1[[#This Row],[Country]],Table7[66kg Classification],"&gt;0")</f>
        <v>0</v>
      </c>
      <c r="CV38" s="6">
        <f>COUNTIFS(Table7[Country],Tabela1[[#This Row],[Country]],Table7[75kg Classification],"&gt;0")</f>
        <v>0</v>
      </c>
      <c r="CW38" s="6">
        <f>COUNTIFS(Tabela94[Country],Tabela1[[#This Row],[Country]],Tabela94[Classification],"&gt;0")</f>
        <v>0</v>
      </c>
      <c r="CX38" s="6">
        <f>COUNTIFS(Tabela9499[Country],Tabela1[[#This Row],[Country]],Tabela9499[Classification],"&gt;0")</f>
        <v>0</v>
      </c>
      <c r="CY38" s="6">
        <f>COUNTIFS(Tabela107[Country],Tabela1[[#This Row],[Country]],Tabela107[C1 Slalom Classification],"&gt;0")</f>
        <v>0</v>
      </c>
      <c r="CZ38" s="6">
        <f>COUNTIFS(Tabela107122[Country],Tabela1[[#This Row],[Country]],Tabela107122[C1 Slalom Classification],"&gt;0")</f>
        <v>0</v>
      </c>
      <c r="DA38" s="6">
        <f>COUNTIFS(Tabela107[Country],Tabela1[[#This Row],[Country]],Tabela107[K1 Slalom Classification],"&gt;0")</f>
        <v>0</v>
      </c>
      <c r="DB38" s="6">
        <f>COUNTIFS(Tabela107122[Country],Tabela1[[#This Row],[Country]],Tabela107122[K1 Slalom Classification],"&gt;0")</f>
        <v>0</v>
      </c>
      <c r="DC38" s="6">
        <f>COUNTIFS(Tabela107[Country],Tabela1[[#This Row],[Country]],Tabela107[Kayak Cross Slalom Classification],"&gt;0")</f>
        <v>0</v>
      </c>
      <c r="DD38" s="6">
        <f>COUNTIFS(Tabela107122[Country],Tabela1[[#This Row],[Country]],Tabela107122[Kayak Cross Slalom Classification],"&gt;0")</f>
        <v>0</v>
      </c>
      <c r="DE38" s="6">
        <f>COUNTIFS(Table8[Country],Tabela1[[#This Row],[Country]],Table8[C1 200m Classification],"&gt;0")</f>
        <v>0</v>
      </c>
      <c r="DF38" s="6">
        <f>COUNTIFS(Table40[Country],Tabela1[[#This Row],[Country]],Table40[C1 1000m Classification],"&gt;0")</f>
        <v>0</v>
      </c>
      <c r="DG38" s="6">
        <f>COUNTIFS(Table68[Country],Tabela1[[#This Row],[Country]],Table68[Men''s C2 500m Classification],"&gt;0")</f>
        <v>0</v>
      </c>
      <c r="DH38" s="6">
        <f>COUNTIFS(Table68[Country],Tabela1[[#This Row],[Country]],Table68[Women''s C2 500m Classification],"&gt;0")</f>
        <v>0</v>
      </c>
      <c r="DI38" s="6">
        <f>COUNTIFS(Table8[Country],Tabela1[[#This Row],[Country]],Table8[K1 500m Classification],"&gt;0")</f>
        <v>0</v>
      </c>
      <c r="DJ38" s="6">
        <f>COUNTIFS(Table40[Country],Tabela1[[#This Row],[Country]],Table40[K1 1000m Classification],"&gt;0")</f>
        <v>0</v>
      </c>
      <c r="DK38" s="6">
        <f>COUNTIFS(Table68[Country],Tabela1[[#This Row],[Country]],Table68[Men''s K2 500m Classification],"&gt;0")</f>
        <v>0</v>
      </c>
      <c r="DL38" s="6">
        <f>COUNTIFS(Table68[Country],Tabela1[[#This Row],[Country]],Table68[Women''s K2 500m Classification],"&gt;0")</f>
        <v>0</v>
      </c>
      <c r="DM38" s="6">
        <f>COUNTIFS(Table83[Country],Tabela1[[#This Row],[Country]],Table83[Men''s K4 500m Classification],"&gt;0")</f>
        <v>0</v>
      </c>
      <c r="DN38" s="6">
        <f>COUNTIFS(Table83[Country],Tabela1[[#This Row],[Country]],Table83[Women''s K4 500m Classification],"&gt;0")</f>
        <v>0</v>
      </c>
      <c r="DO38" s="6">
        <f>COUNTIFS(Tabela126[Country],Tabela1[[#This Row],[Country]],Tabela126[Classification],"&gt;0")</f>
        <v>0</v>
      </c>
      <c r="DP38" s="6">
        <f>COUNTIFS(Tabela126130[Country],Tabela1[[#This Row],[Country]],Tabela126130[Classification],"&gt;0")</f>
        <v>0</v>
      </c>
      <c r="DQ38" s="6">
        <f>COUNTIFS(Table70[Country],Tabela1[[#This Row],[Country]],Table70[Classification],"&gt;0")</f>
        <v>0</v>
      </c>
      <c r="DR38" s="6">
        <f>COUNTIFS(Table80[Country],Tabela1[[#This Row],[Country]],Table80[Classification],"&gt;0")</f>
        <v>0</v>
      </c>
      <c r="DS38" s="6">
        <f>COUNTIFS(Table66[Country],Tabela1[[#This Row],[Country]],Table66[Classification],"&gt;0")</f>
        <v>0</v>
      </c>
      <c r="DT38" s="6">
        <f>COUNTIFS(Table67[Country],Tabela1[[#This Row],[Country]],Table67[Classification],"&gt;0")</f>
        <v>0</v>
      </c>
      <c r="DU38" s="6">
        <f>COUNTIFS(Table69[Country],Tabela1[[#This Row],[Country]],Table69[Keirin Classification],"&gt;0")</f>
        <v>0</v>
      </c>
      <c r="DV38" s="6">
        <f>COUNTIFS(Table41[Country],Tabela1[[#This Row],[Country]],Table41[Keirin Classification],"&gt;0")</f>
        <v>0</v>
      </c>
      <c r="DW38" s="6">
        <f>COUNTIFS(Table84[Country],Tabela1[[#This Row],[Country]],Table84[Men''s Madison Classification],"&gt;0")</f>
        <v>0</v>
      </c>
      <c r="DX38" s="6">
        <f>COUNTIFS(Table84[Country],Tabela1[[#This Row],[Country]],Table84[Women''s Madison Classification],"&gt;0")</f>
        <v>0</v>
      </c>
      <c r="DY38" s="6">
        <f>COUNTIFS(Table69[Country],Tabela1[[#This Row],[Country]],Table69[Omnium Classification],"&gt;0")</f>
        <v>0</v>
      </c>
      <c r="DZ38" s="6">
        <f>COUNTIFS(Table41[Country],Tabela1[[#This Row],[Country]],Table41[Omnium Classification],"&gt;0")</f>
        <v>0</v>
      </c>
      <c r="EA38" s="6">
        <f>COUNTIFS(Table9[Country],Tabela1[[#This Row],[Country]],Table9[Road Race Classification],"&gt;0")</f>
        <v>0</v>
      </c>
      <c r="EB38" s="6">
        <f>COUNTIFS(Table14[Country],Tabela1[[#This Row],[Country]],Table14[Road Race Classification],"&gt;0")</f>
        <v>0</v>
      </c>
      <c r="EC38" s="6">
        <f>COUNTIFS(Table69[Country],Tabela1[[#This Row],[Country]],Table69[Sprint Classification],"&gt;0")</f>
        <v>0</v>
      </c>
      <c r="ED38" s="6">
        <f>COUNTIFS(Table41[Country],Tabela1[[#This Row],[Country]],Table41[Sprint Classification],"&gt;0")</f>
        <v>0</v>
      </c>
      <c r="EE38" s="6">
        <f>COUNTIFS(Table85[Country],Tabela1[[#This Row],[Country]],Table85[Men''s Sprint Classification],"&gt;0")</f>
        <v>0</v>
      </c>
      <c r="EF38" s="6">
        <f>COUNTIFS(Table85[Country],Tabela1[[#This Row],[Country]],Table85[Women''s Sprint Classification],"&gt;0")</f>
        <v>0</v>
      </c>
      <c r="EG38" s="6">
        <f>COUNTIFS(Table85[Country],Tabela1[[#This Row],[Country]],Table85[Men''s Pursuit Classification],"&gt;0")</f>
        <v>0</v>
      </c>
      <c r="EH38" s="6">
        <f>COUNTIFS(Table85[Country],Tabela1[[#This Row],[Country]],Table85[Women''s Pursuit Classification],"&gt;0")</f>
        <v>0</v>
      </c>
      <c r="EI38" s="6">
        <f>COUNTIFS(Table9[Country],Tabela1[[#This Row],[Country]],Table9[Time-Trial Classification],"&gt;0")</f>
        <v>0</v>
      </c>
      <c r="EJ38" s="6">
        <f>COUNTIFS(Table14[Country],Tabela1[[#This Row],[Country]],Table14[Time-Trial Classification],"&gt;0")</f>
        <v>0</v>
      </c>
      <c r="EK38" s="6">
        <f>COUNTIFS(Table42[Country],Tabela1[[#This Row],[Country]],Table42[Springboard Classification],"&gt;0")</f>
        <v>0</v>
      </c>
      <c r="EL38" s="6">
        <f>COUNTIFS(Table43[Country],Tabela1[[#This Row],[Country]],Table43[Springboard Classification],"&gt;0")</f>
        <v>0</v>
      </c>
      <c r="EM38" s="6">
        <f>COUNTIFS(Table42[Country],Tabela1[[#This Row],[Country]],Table42[Platform Classification],"&gt;0")</f>
        <v>0</v>
      </c>
      <c r="EN38" s="6">
        <f>COUNTIFS(Table43[Country],Tabela1[[#This Row],[Country]],Table43[Platform Classification],"&gt;0")</f>
        <v>0</v>
      </c>
      <c r="EO38" s="6">
        <f>COUNTIFS(Table86[Country],Tabela1[[#This Row],[Country]],Table86[Men''s Synchronized Springboard Classification],"&gt;0")</f>
        <v>0</v>
      </c>
      <c r="EP38" s="6">
        <f>COUNTIFS(Table86[Country],Tabela1[[#This Row],[Country]],Table86[Women''s Synchronized Springboard Classification],"&gt;0")</f>
        <v>0</v>
      </c>
      <c r="EQ38" s="6">
        <f>COUNTIFS(Table86[Country],Tabela1[[#This Row],[Country]],Table86[Men''s Synchronized Platform Classification],"&gt;0")</f>
        <v>0</v>
      </c>
      <c r="ER38" s="6">
        <f>COUNTIFS(Table86[Country],Tabela1[[#This Row],[Country]],Table86[Women''s Synchronized Platform Classification],"&gt;0")</f>
        <v>0</v>
      </c>
      <c r="ES38" s="6">
        <f>COUNTIFS(Table44[Country],Tabela1[[#This Row],[Country]],Table44[Dressage Classification],"&gt;0")</f>
        <v>0</v>
      </c>
      <c r="ET38" s="6">
        <f>COUNTIFS(Table45[Country],Tabela1[[#This Row],[Country]],Table45[Dressage Classification],"&gt;0")</f>
        <v>0</v>
      </c>
      <c r="EU38" s="6">
        <f>COUNTIFS(Table44[Country],Tabela1[[#This Row],[Country]],Table44[Eventing Classification],"&gt;0")</f>
        <v>0</v>
      </c>
      <c r="EV38" s="6">
        <f>COUNTIFS(Table45[Country],Tabela1[[#This Row],[Country]],Table45[Eventing Classification],"&gt;0")</f>
        <v>0</v>
      </c>
      <c r="EW38" s="6">
        <f>COUNTIFS(Table44[Country],Tabela1[[#This Row],[Country]],Table44[Jumping Classification],"&gt;0")</f>
        <v>0</v>
      </c>
      <c r="EX38" s="6">
        <f>COUNTIFS(Table45[Country],Tabela1[[#This Row],[Country]],Table45[Jumping Classification],"&gt;0")</f>
        <v>0</v>
      </c>
      <c r="EY38" s="6">
        <f>COUNTIFS(Table10[Country],Tabela1[[#This Row],[Country]],Table10[Épée Classification],"&gt;0")</f>
        <v>0</v>
      </c>
      <c r="EZ38" s="6">
        <f>COUNTIFS(Table11[Country],Tabela1[[#This Row],[Country]],Table11[Épée Classification],"&gt;0")</f>
        <v>0</v>
      </c>
      <c r="FA38" s="6">
        <f>COUNTIFS(Table46[Country],Tabela1[[#This Row],[Country]],Table46[Men''s Épée Classification],"&gt;0")</f>
        <v>0</v>
      </c>
      <c r="FB38" s="6">
        <f>COUNTIFS(Table46[Country],Tabela1[[#This Row],[Country]],Table46[Women''s Épée Classification],"&gt;0")</f>
        <v>0</v>
      </c>
      <c r="FC38" s="6">
        <f>COUNTIFS(Table10[Country],Tabela1[[#This Row],[Country]],Table10[Foil Classification],"&gt;0")</f>
        <v>0</v>
      </c>
      <c r="FD38" s="6">
        <f>COUNTIFS(Table11[Country],Tabela1[[#This Row],[Country]],Table11[Foil Classification],"&gt;0")</f>
        <v>0</v>
      </c>
      <c r="FE38" s="6">
        <f>COUNTIFS(Table46[Country],Tabela1[[#This Row],[Country]],Table46[Men''s Foil Classification],"&gt;0")</f>
        <v>0</v>
      </c>
      <c r="FF38" s="6">
        <f>COUNTIFS(Table46[Country],Tabela1[[#This Row],[Country]],Table46[Women''s Foil Classification],"&gt;0")</f>
        <v>0</v>
      </c>
      <c r="FG38" s="6">
        <f>COUNTIFS(Table10[Country],Tabela1[[#This Row],[Country]],Table10[Sabre Classification],"&gt;0")</f>
        <v>0</v>
      </c>
      <c r="FH38" s="6">
        <f>COUNTIFS(Table11[Country],Tabela1[[#This Row],[Country]],Table11[Sabre Classification],"&gt;0")</f>
        <v>0</v>
      </c>
      <c r="FI38" s="6">
        <f>COUNTIFS(Table46[Country],Tabela1[[#This Row],[Country]],Table46[Men''s Sabre Classification],"&gt;0")</f>
        <v>0</v>
      </c>
      <c r="FJ38" s="6">
        <f>COUNTIFS(Table46[Country],Tabela1[[#This Row],[Country]],Table46[Women''s Sabre Classification],"&gt;0")</f>
        <v>0</v>
      </c>
      <c r="FK38" s="6">
        <f>COUNTIFS(Table91[Country],Tabela1[[#This Row],[Country]],Table91[Men''s Classification],"&gt;0")</f>
        <v>0</v>
      </c>
      <c r="FL38" s="6">
        <f>COUNTIFS(Table91[Country],Tabela1[[#This Row],[Country]],Table91[Women''s Classification],"&gt;0")</f>
        <v>0</v>
      </c>
      <c r="FM38" s="6">
        <f>COUNTIFS(Table9194[Country],Tabela1[[#This Row],[Country]],Table9194[Men''s Classification],"&gt;0")</f>
        <v>0</v>
      </c>
      <c r="FN38" s="6">
        <f>COUNTIFS(Table9194[Country],Tabela1[[#This Row],[Country]],Table9194[Women''s Classification],"&gt;0")</f>
        <v>0</v>
      </c>
      <c r="FO38" s="6">
        <f>COUNTIFS(Table71[Country],Tabela1[[#This Row],[Country]],Table71[Classification],"&gt;0")</f>
        <v>0</v>
      </c>
      <c r="FP38" s="6">
        <f>COUNTIFS(Table62[Country],Tabela1[[#This Row],[Country]],Table62[Classification],"&gt;0")</f>
        <v>1</v>
      </c>
      <c r="FQ38" s="6">
        <f>COUNTIFS(Table47[Country],Tabela1[[#This Row],[Country]],Table47[All-Around Classification],"&gt;0")</f>
        <v>0</v>
      </c>
      <c r="FR38" s="6">
        <f>COUNTIFS(Table48[Country],Tabela1[[#This Row],[Country]],Table48[All-Around Classification],"&gt;0")</f>
        <v>0</v>
      </c>
      <c r="FS38" s="6">
        <f>COUNTIFS(Table81[Country],Tabela1[[#This Row],[Country]],Table81[Men''s All-Around Classification],"&gt;0")</f>
        <v>0</v>
      </c>
      <c r="FT38" s="6">
        <f>COUNTIFS(Table81[Country],Tabela1[[#This Row],[Country]],Table81[Women''s All-Around Classification],"&gt;0")</f>
        <v>0</v>
      </c>
      <c r="FU38" s="6">
        <f>COUNTIFS(Table48[Country],Tabela1[[#This Row],[Country]],Table48[Balance Beam Classification],"&gt;0")</f>
        <v>0</v>
      </c>
      <c r="FV38" s="6">
        <f>COUNTIFS(Table47[Country],Tabela1[[#This Row],[Country]],Table47[Floor Exercise Classification],"&gt;0")</f>
        <v>0</v>
      </c>
      <c r="FW38" s="6">
        <f>COUNTIFS(Table48[Country],Tabela1[[#This Row],[Country]],Table48[Floor Exercise Classification],"&gt;0")</f>
        <v>0</v>
      </c>
      <c r="FX38" s="6">
        <f>COUNTIFS(Table47[Country],Tabela1[[#This Row],[Country]],Table47[Horizontal Bar Classification],"&gt;0")</f>
        <v>0</v>
      </c>
      <c r="FY38" s="6">
        <f>COUNTIFS(Table47[Country],Tabela1[[#This Row],[Country]],Table47[Parallel Bars Classification],"&gt;0")</f>
        <v>0</v>
      </c>
      <c r="FZ38" s="6">
        <f>COUNTIFS(Table47[Country],Tabela1[[#This Row],[Country]],Table47[Pommel Horse Classification],"&gt;0")</f>
        <v>0</v>
      </c>
      <c r="GA38" s="6">
        <f>COUNTIFS(Table47[Country],Tabela1[[#This Row],[Country]],Table47[Rings Classification],"&gt;0")</f>
        <v>0</v>
      </c>
      <c r="GB38" s="6">
        <f>COUNTIFS(Tabela132[Country],Tabela1[[#This Row],[Country]],Tabela132[Classification],"&gt;0")</f>
        <v>0</v>
      </c>
      <c r="GC38" s="6">
        <f>COUNTIFS(Tabela139[Country],Tabela1[[#This Row],[Country]],Tabela139[Classification],"&gt;0")</f>
        <v>0</v>
      </c>
      <c r="GD38" s="6">
        <f>COUNTIFS(Table48[Country],Tabela1[[#This Row],[Country]],Table48[Uneven Bars Classification],"&gt;0")</f>
        <v>0</v>
      </c>
      <c r="GE38" s="6">
        <f>COUNTIFS(Table47[Country],Tabela1[[#This Row],[Country]],Table47[Vault Classification],"&gt;0")</f>
        <v>0</v>
      </c>
      <c r="GF38" s="6">
        <f>COUNTIFS(Table48[Country],Tabela1[[#This Row],[Country]],Table48[Vault Classification],"&gt;0")</f>
        <v>0</v>
      </c>
      <c r="GG38" s="6">
        <f>COUNTIFS(Table919496[Country],Tabela1[[#This Row],[Country]],Table919496[Men''s Classification],"&gt;0")</f>
        <v>1</v>
      </c>
      <c r="GH38" s="6">
        <f>COUNTIFS(Table919496[Country],Tabela1[[#This Row],[Country]],Table919496[Women''s Classification],"&gt;0")</f>
        <v>1</v>
      </c>
      <c r="GI38" s="6">
        <f>COUNTIFS(Table12[Country],Tabela1[[#This Row],[Country]],Table12[60kg Classification],"&gt;0")</f>
        <v>0</v>
      </c>
      <c r="GJ38" s="6">
        <f>COUNTIFS(Table12[Country],Tabela1[[#This Row],[Country]],Table12[66kg Classification],"&gt;0")</f>
        <v>0</v>
      </c>
      <c r="GK38" s="6">
        <f>COUNTIFS(Table12[Country],Tabela1[[#This Row],[Country]],Table12[73kg Classification],"&gt;0")</f>
        <v>0</v>
      </c>
      <c r="GL38" s="6">
        <f>COUNTIFS(Table12[Country],Tabela1[[#This Row],[Country]],Table12[81kg Classification],"&gt;0")</f>
        <v>0</v>
      </c>
      <c r="GM38" s="6">
        <f>COUNTIFS(Table12[Country],Tabela1[[#This Row],[Country]],Table12[90kg Classification],"&gt;0")</f>
        <v>0</v>
      </c>
      <c r="GN38" s="6">
        <f>COUNTIFS(Table12[Country],Tabela1[[#This Row],[Country]],Table12[100kg Classification],"&gt;0")</f>
        <v>0</v>
      </c>
      <c r="GO38" s="6">
        <f>COUNTIFS(Table12[Country],Tabela1[[#This Row],[Country]],Table12[Plus 100kg Classification],"&gt;0")</f>
        <v>1</v>
      </c>
      <c r="GP38" s="6">
        <f>COUNTIFS(Table13[Country],Tabela1[[#This Row],[Country]],Table13[48kg Classification],"&gt;0")</f>
        <v>0</v>
      </c>
      <c r="GQ38" s="6">
        <f>COUNTIFS(Table13[Country],Tabela1[[#This Row],[Country]],Table13[52kg Classification],"&gt;0")</f>
        <v>0</v>
      </c>
      <c r="GR38" s="6">
        <f>COUNTIFS(Table13[Country],Tabela1[[#This Row],[Country]],Table13[57kg Classification],"&gt;0")</f>
        <v>0</v>
      </c>
      <c r="GS38" s="6">
        <f>COUNTIFS(Table13[Country],Tabela1[[#This Row],[Country]],Table13[63kg Classification],"&gt;0")</f>
        <v>1</v>
      </c>
      <c r="GT38" s="6">
        <f>COUNTIFS(Table13[Country],Tabela1[[#This Row],[Country]],Table13[70kg Classification],"&gt;0")</f>
        <v>0</v>
      </c>
      <c r="GU38" s="6">
        <f>COUNTIFS(Table13[Country],Tabela1[[#This Row],[Country]],Table13[78kg Classification],"&gt;0")</f>
        <v>0</v>
      </c>
      <c r="GV38" s="6">
        <f>COUNTIFS(Table13[Country],Tabela1[[#This Row],[Country]],Table13[Plus 78kg Classification],"&gt;0")</f>
        <v>0</v>
      </c>
      <c r="GW38" s="6">
        <f>COUNTIFS(Table82[Country],Tabela1[[#This Row],[Country]],Table82[Mixed Classification],"&gt;0")</f>
        <v>0</v>
      </c>
      <c r="GX38" s="6">
        <f>COUNTIFS(Table51[Country],Tabela1[[#This Row],[Country]],Table51[Classification],"&gt;0")</f>
        <v>0</v>
      </c>
      <c r="GY38" s="6">
        <f>COUNTIFS(Table52[Country],Tabela1[[#This Row],[Country]],Table52[Classification],"&gt;0")</f>
        <v>0</v>
      </c>
      <c r="GZ38" s="6">
        <f>COUNTIFS(Table32[Country],Tabela1[[#This Row],[Country]],Table32[All-Around Classification],"&gt;0")</f>
        <v>0</v>
      </c>
      <c r="HA38" s="6">
        <f>COUNTIFS(Table49[Country],Tabela1[[#This Row],[Country]],Table49[All-Around Classification],"&gt;0")</f>
        <v>0</v>
      </c>
      <c r="HB38" s="6">
        <f>COUNTIFS(Table26[Country],Tabela1[[#This Row],[Country]],Table26[Single Sculls Classification],"&gt;0")</f>
        <v>0</v>
      </c>
      <c r="HC38" s="6">
        <f>COUNTIFS(Table63[Country],Tabela1[[#This Row],[Country]],Table63[Single Sculls Classification],"&gt;0")</f>
        <v>0</v>
      </c>
      <c r="HD38" s="6">
        <f>COUNTIFS(Table16[Country],Tabela1[[#This Row],[Country]],Table16[Men''s Double Sculls Classification],"&gt;0")</f>
        <v>0</v>
      </c>
      <c r="HE38" s="6">
        <f>COUNTIFS(Table16[Country],Tabela1[[#This Row],[Country]],Table16[Women''s Double Sculls Classification],"&gt;0")</f>
        <v>0</v>
      </c>
      <c r="HF38" s="6">
        <f>COUNTIFS(Table72[Country],Tabela1[[#This Row],[Country]],Table72[Men''s Quadruple Sculls Classification],"&gt;0")</f>
        <v>0</v>
      </c>
      <c r="HG38" s="6">
        <f>COUNTIFS(Table72[Country],Tabela1[[#This Row],[Country]],Table72[Women''s Quadruple Sculls Classification],"&gt;0")</f>
        <v>0</v>
      </c>
      <c r="HH38" s="6">
        <f>COUNTIFS(Table16[Country],Tabela1[[#This Row],[Country]],Table16[Men''s Coxless Pairs Classification],"&gt;0")</f>
        <v>0</v>
      </c>
      <c r="HI38" s="6">
        <f>COUNTIFS(Table16[Country],Tabela1[[#This Row],[Country]],Table16[Women''s Coxless Pairs Classification],"&gt;0")</f>
        <v>0</v>
      </c>
      <c r="HJ38" s="6">
        <f>COUNTIFS(Table72[Country],Tabela1[[#This Row],[Country]],Table72[Men''s Coxless Fours Classification],"&gt;0")</f>
        <v>0</v>
      </c>
      <c r="HK38" s="6">
        <f>COUNTIFS(Table72[Country],Tabela1[[#This Row],[Country]],Table72[Women''s Coxless Fours Classification],"&gt;0")</f>
        <v>0</v>
      </c>
      <c r="HL38" s="6">
        <f>COUNTIFS(Table72[Country],Tabela1[[#This Row],[Country]],Table72[Men''s Eights Classification],"&gt;0")</f>
        <v>0</v>
      </c>
      <c r="HM38" s="6">
        <f>COUNTIFS(Table72[Country],Tabela1[[#This Row],[Country]],Table72[Women''s Eights Classification],"&gt;0")</f>
        <v>0</v>
      </c>
      <c r="HN38" s="6">
        <f>COUNTIFS(Table16[Country],Tabela1[[#This Row],[Country]],Table16[Men''s Lwt. Double Sculls Classification],"&gt;0")</f>
        <v>0</v>
      </c>
      <c r="HO38" s="6">
        <f>COUNTIFS(Table16[Country],Tabela1[[#This Row],[Country]],Table16[Women''s Lwt. Double Sculls Classification],"&gt;0")</f>
        <v>0</v>
      </c>
      <c r="HP38" s="6">
        <f>COUNTIFS(Table91949698[Country],Tabela1[[#This Row],[Country]],Table91949698[Men''s Classification],"&gt;0")</f>
        <v>0</v>
      </c>
      <c r="HQ38" s="6">
        <f>COUNTIFS(Table91949698[Country],Tabela1[[#This Row],[Country]],Table91949698[Women''s Classification],"&gt;0")</f>
        <v>0</v>
      </c>
      <c r="HR38" s="6">
        <f>COUNTIFS(Table25[Country],Tabela1[[#This Row],[Country]],Table25[Mixed 470 Classification],"&gt;0")</f>
        <v>1</v>
      </c>
      <c r="HS38" s="6">
        <f>COUNTIFS(Table25[Country],Tabela1[[#This Row],[Country]],Table25[Men''s 49er Classification],"&gt;0")</f>
        <v>0</v>
      </c>
      <c r="HT38" s="6">
        <f>COUNTIFS(Table25[Country],Tabela1[[#This Row],[Country]],Table25[Women''s 49er FX Classification],"&gt;0")</f>
        <v>0</v>
      </c>
      <c r="HU38" s="6">
        <f>COUNTIFS(Table17[Country],Tabela1[[#This Row],[Country]],Table17[Formula Kite Classification],"&gt;0")</f>
        <v>0</v>
      </c>
      <c r="HV38" s="6">
        <f>COUNTIFS(Table18[Country],Tabela1[[#This Row],[Country]],Table18[Formula Kite Classification],"&gt;0")</f>
        <v>0</v>
      </c>
      <c r="HW38" s="6">
        <f>COUNTIFS(Table17[Country],Tabela1[[#This Row],[Country]],Table17[ILCA 7 Classification],"&gt;0")</f>
        <v>0</v>
      </c>
      <c r="HX38" s="6">
        <f>COUNTIFS(Table18[Country],Tabela1[[#This Row],[Country]],Table18[ILCA 6 Classification],"&gt;0")</f>
        <v>0</v>
      </c>
      <c r="HY38" s="6">
        <f>COUNTIFS(Table17[Country],Tabela1[[#This Row],[Country]],Table17[IQFoil Classification],"&gt;0")</f>
        <v>0</v>
      </c>
      <c r="HZ38" s="6">
        <f>COUNTIFS(Table18[Country],Tabela1[[#This Row],[Country]],Table18[IQFoil Classification],"&gt;0")</f>
        <v>0</v>
      </c>
      <c r="IA38" s="6">
        <f>COUNTIFS(Table25[Country],Tabela1[[#This Row],[Country]],Table25[Mixed Nacra 17 Classification],"&gt;0")</f>
        <v>0</v>
      </c>
      <c r="IB38" s="6">
        <f>COUNTIFS(Table53[Country],Tabela1[[#This Row],[Country]],Table53[10m Air Pistol Classification],"&gt;0")</f>
        <v>0</v>
      </c>
      <c r="IC38" s="6">
        <f>COUNTIFS(Table19[Country],Tabela1[[#This Row],[Country]],Table19[10m Air Pistol Classification],"&gt;0")</f>
        <v>0</v>
      </c>
      <c r="ID38" s="6">
        <f>COUNTIFS(Table54[Country],Tabela1[[#This Row],[Country]],Table54[Mixed 10m Air Pistol Team Classification],"&gt;0")</f>
        <v>0</v>
      </c>
      <c r="IE38" s="6">
        <f>COUNTIFS(Table53[Country],Tabela1[[#This Row],[Country]],Table53[10m Air Rifle Classification],"&gt;0")</f>
        <v>0</v>
      </c>
      <c r="IF38" s="6">
        <f>COUNTIFS(Table19[Country],Tabela1[[#This Row],[Country]],Table19[10m Air Rifle Classification],"&gt;0")</f>
        <v>0</v>
      </c>
      <c r="IG38" s="6">
        <f>COUNTIFS(Table54[Country],Tabela1[[#This Row],[Country]],Table54[Mixed 10m Air Rifle Team Classification],"&gt;0")</f>
        <v>0</v>
      </c>
      <c r="IH38" s="6">
        <f>COUNTIFS(Table53[Country],Tabela1[[#This Row],[Country]],Table53[25m Rapid Fire Pistol Classification],"&gt;0")</f>
        <v>0</v>
      </c>
      <c r="II38" s="6">
        <f>COUNTIFS(Table19[Country],Tabela1[[#This Row],[Country]],Table19[25m Pistol Classification],"&gt;0")</f>
        <v>0</v>
      </c>
      <c r="IJ38" s="6">
        <f>COUNTIFS(Table53[Country],Tabela1[[#This Row],[Country]],Table53[50m Rifle 3 Positions Classification],"&gt;0")</f>
        <v>0</v>
      </c>
      <c r="IK38" s="6">
        <f>COUNTIFS(Table19[Country],Tabela1[[#This Row],[Country]],Table19[50m Rifle 3 Positions Classification],"&gt;0")</f>
        <v>0</v>
      </c>
      <c r="IL38" s="6">
        <f>COUNTIFS(Table53[Country],Tabela1[[#This Row],[Country]],Table53[Skeet Classification],"&gt;0")</f>
        <v>0</v>
      </c>
      <c r="IM38" s="6">
        <f>COUNTIFS(Table19[Country],Tabela1[[#This Row],[Country]],Table19[Skeet Classification],"&gt;0")</f>
        <v>0</v>
      </c>
      <c r="IN38" s="6">
        <f>COUNTIFS(Table54[Country],Tabela1[[#This Row],[Country]],Table54[Mixed Skeet Team Classification],"&gt;0")</f>
        <v>0</v>
      </c>
      <c r="IO38" s="6">
        <f>COUNTIFS(Table53[Country],Tabela1[[#This Row],[Country]],Table53[Trap Classification],"&gt;0")</f>
        <v>0</v>
      </c>
      <c r="IP38" s="6">
        <f>COUNTIFS(Table19[Country],Tabela1[[#This Row],[Country]],Table19[Trap Classification],"&gt;0")</f>
        <v>0</v>
      </c>
      <c r="IQ38" s="6">
        <f>COUNTIFS(Table73[Country],Tabela1[[#This Row],[Country]],Table73[Park Classification],"&gt;0")</f>
        <v>0</v>
      </c>
      <c r="IR38" s="6">
        <f>COUNTIFS(Table74[Country],Tabela1[[#This Row],[Country]],Table74[Park Classification],"&gt;0")</f>
        <v>0</v>
      </c>
      <c r="IS38" s="6">
        <f>COUNTIFS(Table73[Country],Tabela1[[#This Row],[Country]],Table73[Street Classification],"&gt;0")</f>
        <v>0</v>
      </c>
      <c r="IT38" s="6">
        <f>COUNTIFS(Table74[Country],Tabela1[[#This Row],[Country]],Table74[Street Classification],"&gt;0")</f>
        <v>0</v>
      </c>
      <c r="IU38" s="6">
        <f>COUNTIFS(Table75[Country],Tabela1[[#This Row],[Country]],Table75[Boulder and Lead Classification],"&gt;0")</f>
        <v>0</v>
      </c>
      <c r="IV38" s="6">
        <f>COUNTIFS(Table76[Country],Tabela1[[#This Row],[Country]],Table76[Boulder and Lead Classification],"&gt;0")</f>
        <v>0</v>
      </c>
      <c r="IW38" s="6">
        <f>COUNTIFS(Table75[Country],Tabela1[[#This Row],[Country]],Table75[Speed Classification],"&gt;0")</f>
        <v>0</v>
      </c>
      <c r="IX38" s="6">
        <f>COUNTIFS(Table76[Country],Tabela1[[#This Row],[Country]],Table76[Speed Classification],"&gt;0")</f>
        <v>0</v>
      </c>
      <c r="IY38" s="6">
        <f>COUNTIFS(Table64[Country],Tabela1[[#This Row],[Country]],Table64[Shortboard Classification],"&gt;0")</f>
        <v>0</v>
      </c>
      <c r="IZ38" s="6">
        <f>COUNTIFS(Table77[Country],Tabela1[[#This Row],[Country]],Table77[Shortboard Classification],"&gt;0")</f>
        <v>0</v>
      </c>
      <c r="JA38" s="6">
        <f>COUNTIFS(Table20[Country],Tabela1[[#This Row],[Country]],Table20[50m Freestyle Classification],"&gt;0")</f>
        <v>0</v>
      </c>
      <c r="JB38" s="6">
        <f>COUNTIFS(Table21[Country],Tabela1[[#This Row],[Country]],Table21[50m Freestyle Classification],"&gt;0")</f>
        <v>0</v>
      </c>
      <c r="JC38" s="6">
        <f>COUNTIFS(Table20[Country],Tabela1[[#This Row],[Country]],Table20[100m Freestyle Classification],"&gt;0")</f>
        <v>0</v>
      </c>
      <c r="JD38" s="6">
        <f>COUNTIFS(Table21[Country],Tabela1[[#This Row],[Country]],Table21[100m Freestyle Classification],"&gt;0")</f>
        <v>0</v>
      </c>
      <c r="JE38" s="6">
        <f>COUNTIFS(Table20[Country],Tabela1[[#This Row],[Country]],Table20[200m Freestyle Classification],"&gt;0")</f>
        <v>0</v>
      </c>
      <c r="JF38" s="6">
        <f>COUNTIFS(Table21[Country],Tabela1[[#This Row],[Country]],Table21[200m Freestyle Classification],"&gt;0")</f>
        <v>0</v>
      </c>
      <c r="JG38" s="6">
        <f>COUNTIFS(Table20[Country],Tabela1[[#This Row],[Country]],Table20[400m Freestyle Classification],"&gt;0")</f>
        <v>0</v>
      </c>
      <c r="JH38" s="6">
        <f>COUNTIFS(Table21[Country],Tabela1[[#This Row],[Country]],Table21[400m Freestyle Classification],"&gt;0")</f>
        <v>0</v>
      </c>
      <c r="JI38" s="6">
        <f>COUNTIFS(Table20[Country],Tabela1[[#This Row],[Country]],Table20[800m Freestyle Classification],"&gt;0")</f>
        <v>0</v>
      </c>
      <c r="JJ38" s="6">
        <f>COUNTIFS(Table21[Country],Tabela1[[#This Row],[Country]],Table21[800m Freestyle Classification],"&gt;0")</f>
        <v>0</v>
      </c>
      <c r="JK38" s="6">
        <f>COUNTIFS(Table20[Country],Tabela1[[#This Row],[Country]],Table20[1500m Freestyle Classification],"&gt;0")</f>
        <v>0</v>
      </c>
      <c r="JL38" s="6">
        <f>COUNTIFS(Table21[Country],Tabela1[[#This Row],[Country]],Table21[1500m Freestyle Classification],"&gt;0")</f>
        <v>0</v>
      </c>
      <c r="JM38" s="6">
        <f>COUNTIFS(Table20[Country],Tabela1[[#This Row],[Country]],Table20[100m Backstroke Classification],"&gt;0")</f>
        <v>0</v>
      </c>
      <c r="JN38" s="6">
        <f>COUNTIFS(Table21[Country],Tabela1[[#This Row],[Country]],Table21[100m Backstroke Classification],"&gt;0")</f>
        <v>0</v>
      </c>
      <c r="JO38" s="6">
        <f>COUNTIFS(Table20[Country],Tabela1[[#This Row],[Country]],Table20[200m Backstroke Classification],"&gt;0")</f>
        <v>0</v>
      </c>
      <c r="JP38" s="6">
        <f>COUNTIFS(Table21[Country],Tabela1[[#This Row],[Country]],Table21[200m Backstroke Classification],"&gt;0")</f>
        <v>0</v>
      </c>
      <c r="JQ38" s="6">
        <f>COUNTIFS(Table20[Country],Tabela1[[#This Row],[Country]],Table20[100m Breaststroke Classification],"&gt;0")</f>
        <v>0</v>
      </c>
      <c r="JR38" s="6">
        <f>COUNTIFS(Table21[Country],Tabela1[[#This Row],[Country]],Table21[100m Breaststroke Classification],"&gt;0")</f>
        <v>0</v>
      </c>
      <c r="JS38" s="6">
        <f>COUNTIFS(Table20[Country],Tabela1[[#This Row],[Country]],Table20[200m Breaststroke Classification],"&gt;0")</f>
        <v>0</v>
      </c>
      <c r="JT38" s="6">
        <f>COUNTIFS(Table21[Country],Tabela1[[#This Row],[Country]],Table21[200m Breaststroke Classification],"&gt;0")</f>
        <v>0</v>
      </c>
      <c r="JU38" s="6">
        <f>COUNTIFS(Table20[Country],Tabela1[[#This Row],[Country]],Table20[100m Butterfly Classification],"&gt;0")</f>
        <v>0</v>
      </c>
      <c r="JV38" s="6">
        <f>COUNTIFS(Table21[Country],Tabela1[[#This Row],[Country]],Table21[100m Butterfly Classification],"&gt;0")</f>
        <v>0</v>
      </c>
      <c r="JW38" s="6">
        <f>COUNTIFS(Table20[Country],Tabela1[[#This Row],[Country]],Table20[200m Butterfly Classification],"&gt;0")</f>
        <v>0</v>
      </c>
      <c r="JX38" s="6">
        <f>COUNTIFS(Table21[Country],Tabela1[[#This Row],[Country]],Table21[200m Butterfly Classification],"&gt;0")</f>
        <v>0</v>
      </c>
      <c r="JY38" s="6">
        <f>COUNTIFS(Table20[Country],Tabela1[[#This Row],[Country]],Table20[200m Medley Classification],"&gt;0")</f>
        <v>0</v>
      </c>
      <c r="JZ38" s="6">
        <f>COUNTIFS(Table21[Country],Tabela1[[#This Row],[Country]],Table21[200m Medley Classification],"&gt;0")</f>
        <v>0</v>
      </c>
      <c r="KA38" s="6">
        <f>COUNTIFS(Table20[Country],Tabela1[[#This Row],[Country]],Table20[400m Medley Classification],"&gt;0")</f>
        <v>0</v>
      </c>
      <c r="KB38" s="6">
        <f>COUNTIFS(Table21[Country],Tabela1[[#This Row],[Country]],Table21[400m Medley Classification],"&gt;0")</f>
        <v>0</v>
      </c>
      <c r="KC38" s="6">
        <f>COUNTIFS(Table78[Country],Tabela1[[#This Row],[Country]],Table78[Men''s 4x100m Freestyle Relay Classification],"&gt;0")</f>
        <v>0</v>
      </c>
      <c r="KD38" s="6">
        <f>COUNTIFS(Table78[Country],Tabela1[[#This Row],[Country]],Table78[Women''s 4x100m Freestyle Relay Classification],"&gt;0")</f>
        <v>0</v>
      </c>
      <c r="KE38" s="6">
        <f>COUNTIFS(Table78[Country],Tabela1[[#This Row],[Country]],Table78[Men''s 4x200m Freestyle Relay Classification],"&gt;0")</f>
        <v>0</v>
      </c>
      <c r="KF38" s="6">
        <f>COUNTIFS(Table78[Country],Tabela1[[#This Row],[Country]],Table78[Women''s 4x200m Freestyle Relay Classification],"&gt;0")</f>
        <v>0</v>
      </c>
      <c r="KG38" s="6">
        <f>COUNTIFS(Table78[Country],Tabela1[[#This Row],[Country]],Table78[Men''s 4x100m Medley Relay Classification],"&gt;0")</f>
        <v>0</v>
      </c>
      <c r="KH38" s="6">
        <f>COUNTIFS(Table78[Country],Tabela1[[#This Row],[Country]],Table78[Women''s 4x100m Medley Relay Classification],"&gt;0")</f>
        <v>0</v>
      </c>
      <c r="KI38" s="6">
        <f>COUNTIFS(Table78[Country],Tabela1[[#This Row],[Country]],Table78[Mixed 4x100m Medley Relay Classification],"&gt;0")</f>
        <v>0</v>
      </c>
      <c r="KJ38" s="6">
        <f>COUNTIFS(Table20[Country],Tabela1[[#This Row],[Country]],Table20[10km Open Water Classification],"&gt;0")</f>
        <v>0</v>
      </c>
      <c r="KK38" s="6">
        <f>COUNTIFS(Table21[Country],Tabela1[[#This Row],[Country]],Table21[10km Open Water Classification],"&gt;0")</f>
        <v>0</v>
      </c>
      <c r="KL38" s="6">
        <f>COUNTIFS(Table22[Country],Tabela1[[#This Row],[Country]],Table22[Classification],"&gt;0")</f>
        <v>0</v>
      </c>
      <c r="KM38" s="6">
        <f>COUNTIFS(Table30[Country],Tabela1[[#This Row],[Country]],Table30[Classification],"&gt;0")</f>
        <v>0</v>
      </c>
      <c r="KN38" s="6">
        <f>COUNTIFS(Table55[Country],Tabela1[[#This Row],[Country]],Table55[Men''s Classification],"&gt;0")</f>
        <v>1</v>
      </c>
      <c r="KO38" s="6">
        <f>COUNTIFS(Table55[Country],Tabela1[[#This Row],[Country]],Table55[Women''s Classification],"&gt;0")</f>
        <v>0</v>
      </c>
      <c r="KP38" s="6">
        <f>COUNTIFS(Table56[Country],Tabela1[[#This Row],[Country]],Table56[Mixed Classification],"&gt;0")</f>
        <v>0</v>
      </c>
      <c r="KQ38" s="6">
        <f>COUNTIFS(Table29[Country],Tabela1[[#This Row],[Country]],Table29[58kg Classification],"&gt;0")</f>
        <v>0</v>
      </c>
      <c r="KR38" s="6">
        <f>COUNTIFS(Table29[Country],Tabela1[[#This Row],[Country]],Table29[68kg Classification],"&gt;0")</f>
        <v>0</v>
      </c>
      <c r="KS38" s="6">
        <f>COUNTIFS(Table29[Country],Tabela1[[#This Row],[Country]],Table29[80kg Classification],"&gt;0")</f>
        <v>0</v>
      </c>
      <c r="KT38" s="6">
        <f>COUNTIFS(Table29[Country],Tabela1[[#This Row],[Country]],Table29[Plus 80kg Classification],"&gt;0")</f>
        <v>0</v>
      </c>
      <c r="KU38" s="6">
        <f>COUNTIFS(Table34[Country],Tabela1[[#This Row],[Country]],Table34[49kg Classification],"&gt;0")</f>
        <v>0</v>
      </c>
      <c r="KV38" s="6">
        <f>COUNTIFS(Table34[Country],Tabela1[[#This Row],[Country]],Table34[57kg Classification],"&gt;0")</f>
        <v>0</v>
      </c>
      <c r="KW38" s="6">
        <f>COUNTIFS(Table34[Country],Tabela1[[#This Row],[Country]],Table34[67kg Classification],"&gt;0")</f>
        <v>0</v>
      </c>
      <c r="KX38" s="6">
        <f>COUNTIFS(Table34[Country],Tabela1[[#This Row],[Country]],Table34[Plus 67kg Classification],"&gt;0")</f>
        <v>0</v>
      </c>
      <c r="KY38" s="6">
        <f>COUNTIFS(Table57[Country],Tabela1[[#This Row],[Country]],Table57[Classification],"&gt;0")</f>
        <v>0</v>
      </c>
      <c r="KZ38" s="6">
        <f>COUNTIFS(Table58[Country],Tabela1[[#This Row],[Country]],Table58[Classification],"&gt;0")</f>
        <v>0</v>
      </c>
      <c r="LA38" s="6">
        <f>COUNTIFS(Table79[Country],Tabela1[[#This Row],[Country]],Table79[Men''s Classification],"&gt;0")</f>
        <v>0</v>
      </c>
      <c r="LB38" s="6">
        <f>COUNTIFS(Table79[Country],Tabela1[[#This Row],[Country]],Table79[Women''s Classification],"&gt;0")</f>
        <v>0</v>
      </c>
      <c r="LC38" s="6">
        <f>COUNTIFS(Table79[Country],Tabela1[[#This Row],[Country]],Table79[Mixed Classification],"&gt;0")</f>
        <v>0</v>
      </c>
      <c r="LD38" s="6">
        <f>COUNTIFS(Table65[Country],Tabela1[[#This Row],[Country]],Table65[Classification],"&gt;0")</f>
        <v>0</v>
      </c>
      <c r="LE38" s="6">
        <f>COUNTIFS(Table59[Country],Tabela1[[#This Row],[Country]],Table59[Classification],"&gt;0")</f>
        <v>0</v>
      </c>
      <c r="LF38" s="6">
        <f>COUNTIFS(Table87[Country],Tabela1[[#This Row],[Country]],Table87[Mixed Relay Classification],"&gt;0")</f>
        <v>0</v>
      </c>
      <c r="LG38" s="6">
        <f>COUNTIFS(Table91949698100[Country],Tabela1[[#This Row],[Country]],Table91949698100[Men''s Classification],"&gt;0")</f>
        <v>1</v>
      </c>
      <c r="LH38" s="6">
        <f>COUNTIFS(Table91949698100[Country],Tabela1[[#This Row],[Country]],Table91949698100[Women''s Classification],"&gt;0")</f>
        <v>0</v>
      </c>
      <c r="LI38" s="6">
        <f>COUNTIFS(Table91949698100102[Country],Tabela1[[#This Row],[Country]],Table91949698100102[Men''s Classification],"&gt;0")</f>
        <v>0</v>
      </c>
      <c r="LJ38" s="6">
        <f>COUNTIFS(Table91949698100102[Country],Tabela1[[#This Row],[Country]],Table91949698100102[Women''s Classification],"&gt;0")</f>
        <v>0</v>
      </c>
      <c r="LK38" s="6">
        <f>COUNTIFS(Table23[Country],Tabela1[[#This Row],[Country]],Table23[61kg Classification],"&gt;0")</f>
        <v>0</v>
      </c>
      <c r="LL38" s="6">
        <f>COUNTIFS(Table23[Country],Tabela1[[#This Row],[Country]],Table23[73kg Classification],"&gt;0")</f>
        <v>0</v>
      </c>
      <c r="LM38" s="6">
        <f>COUNTIFS(Table23[Country],Tabela1[[#This Row],[Country]],Table23[89kg Classification],"&gt;0")</f>
        <v>0</v>
      </c>
      <c r="LN38" s="6">
        <f>COUNTIFS(Table23[Country],Tabela1[[#This Row],[Country]],Table23[102kg Classification],"&gt;0")</f>
        <v>0</v>
      </c>
      <c r="LO38" s="6">
        <f>COUNTIFS(Table23[Country],Tabela1[[#This Row],[Country]],Table23[Plus 102kg Classification],"&gt;0")</f>
        <v>0</v>
      </c>
      <c r="LP38" s="6">
        <f>COUNTIFS(Table28[Country],Tabela1[[#This Row],[Country]],Table28[49kg Classification],"&gt;0")</f>
        <v>0</v>
      </c>
      <c r="LQ38" s="6">
        <f>COUNTIFS(Table28[Country],Tabela1[[#This Row],[Country]],Table28[59kg Classification],"&gt;0")</f>
        <v>0</v>
      </c>
      <c r="LR38" s="6">
        <f>COUNTIFS(Table28[Country],Tabela1[[#This Row],[Country]],Table28[71kg Classification],"&gt;0")</f>
        <v>0</v>
      </c>
      <c r="LS38" s="6">
        <f>COUNTIFS(Table28[Country],Tabela1[[#This Row],[Country]],Table28[81kg Classification],"&gt;0")</f>
        <v>0</v>
      </c>
      <c r="LT38" s="6">
        <f>COUNTIFS(Table28[Country],Tabela1[[#This Row],[Country]],Table28[Plus 81kg Classification],"&gt;0")</f>
        <v>0</v>
      </c>
      <c r="LU38" s="6">
        <f>COUNTIFS(Table24[Country],Tabela1[[#This Row],[Country]],Table24[Freestyle 57kg Classification],"&gt;0")</f>
        <v>0</v>
      </c>
      <c r="LV38" s="6">
        <f>COUNTIFS(Table24[Country],Tabela1[[#This Row],[Country]],Table24[Freestyle 65kg Classification],"&gt;0")</f>
        <v>0</v>
      </c>
      <c r="LW38" s="6">
        <f>COUNTIFS(Table24[Country],Tabela1[[#This Row],[Country]],Table24[Freestyle 74kg Classification],"&gt;0")</f>
        <v>0</v>
      </c>
      <c r="LX38" s="6">
        <f>COUNTIFS(Table24[Country],Tabela1[[#This Row],[Country]],Table24[Freestyle 86kg Classification],"&gt;0")</f>
        <v>0</v>
      </c>
      <c r="LY38" s="6">
        <f>COUNTIFS(Table24[Country],Tabela1[[#This Row],[Country]],Table24[Freestyle 97kg Classification],"&gt;0")</f>
        <v>0</v>
      </c>
      <c r="LZ38" s="6">
        <f>COUNTIFS(Table24[Country],Tabela1[[#This Row],[Country]],Table24[Freestyle 125kg Classification],"&gt;0")</f>
        <v>0</v>
      </c>
      <c r="MA38" s="6">
        <f>COUNTIFS(Table24[Country],Tabela1[[#This Row],[Country]],Table24[Greco-Roman 60kg Classification],"&gt;0")</f>
        <v>0</v>
      </c>
      <c r="MB38" s="6">
        <f>COUNTIFS(Table24[Country],Tabela1[[#This Row],[Country]],Table24[Greco-Roman 67kg Classification],"&gt;0")</f>
        <v>0</v>
      </c>
      <c r="MC38" s="6">
        <f>COUNTIFS(Table24[Country],Tabela1[[#This Row],[Country]],Table24[Greco-Roman 77kg Classification],"&gt;0")</f>
        <v>0</v>
      </c>
      <c r="MD38" s="6">
        <f>COUNTIFS(Table24[Country],Tabela1[[#This Row],[Country]],Table24[Greco-Roman 87kg Classification],"&gt;0")</f>
        <v>0</v>
      </c>
      <c r="ME38" s="6">
        <f>COUNTIFS(Table24[Country],Tabela1[[#This Row],[Country]],Table24[Greco-Roman 97kg Classification],"&gt;0")</f>
        <v>0</v>
      </c>
      <c r="MF38" s="6">
        <f>COUNTIFS(Table24[Country],Tabela1[[#This Row],[Country]],Table24[Greco-Roman 130kg Classification],"&gt;0")</f>
        <v>0</v>
      </c>
      <c r="MG38" s="6">
        <f>COUNTIFS(Table31[Country],Tabela1[[#This Row],[Country]],Table31[50kg Classification],"&gt;0")</f>
        <v>0</v>
      </c>
      <c r="MH38" s="6">
        <f>COUNTIFS(Table31[Country],Tabela1[[#This Row],[Country]],Table31[53kg Classification],"&gt;0")</f>
        <v>0</v>
      </c>
      <c r="MI38" s="6">
        <f>COUNTIFS(Table31[Country],Tabela1[[#This Row],[Country]],Table31[57kg Classification],"&gt;0")</f>
        <v>0</v>
      </c>
      <c r="MJ38" s="6">
        <f>COUNTIFS(Table31[Country],Tabela1[[#This Row],[Country]],Table31[62kg Classification],"&gt;0")</f>
        <v>0</v>
      </c>
      <c r="MK38" s="6">
        <f>COUNTIFS(Table31[Country],Tabela1[[#This Row],[Country]],Table31[68kg Classification],"&gt;0")</f>
        <v>0</v>
      </c>
      <c r="ML38" s="6">
        <f>COUNTIFS(Table31[Country],Tabela1[[#This Row],[Country]],Table31[76kg Classification],"&gt;0")</f>
        <v>0</v>
      </c>
      <c r="MM38" s="6">
        <f>COUNTIFS(Table102[Country],Tabela1[[#This Row],[Country]],Table102[Downhill Classification],"&gt;0")</f>
        <v>1</v>
      </c>
      <c r="MN38" s="6">
        <f>COUNTIFS(Table102105[Country],Tabela1[[#This Row],[Country]],Table102105[Downhill Classification],"&gt;0")</f>
        <v>0</v>
      </c>
      <c r="MO38" s="6">
        <f>COUNTIFS(Table102[Country],Tabela1[[#This Row],[Country]],Table102[Giant Slalom Classification],"&gt;0")</f>
        <v>0</v>
      </c>
      <c r="MP38" s="6">
        <f>COUNTIFS(Table102105[Country],Tabela1[[#This Row],[Country]],Table102105[Giant Slalom Classification],"&gt;0")</f>
        <v>1</v>
      </c>
      <c r="MQ38" s="6">
        <f>COUNTIFS(Table102[Country],Tabela1[[#This Row],[Country]],Table102[Slalom Classification],"&gt;0")</f>
        <v>0</v>
      </c>
      <c r="MR38" s="6">
        <f>COUNTIFS(Table102105[Country],Tabela1[[#This Row],[Country]],Table102105[Slalom Classification],"&gt;0")</f>
        <v>1</v>
      </c>
      <c r="MS38" s="6">
        <f>COUNTIFS(Table102[Country],Tabela1[[#This Row],[Country]],Table102[Super-G Classification],"&gt;0")</f>
        <v>1</v>
      </c>
      <c r="MT38" s="6">
        <f>COUNTIFS(Table102105[Country],Tabela1[[#This Row],[Country]],Table102105[Super-G Classification],"&gt;0")</f>
        <v>0</v>
      </c>
      <c r="MU38" s="6">
        <f>COUNTIFS(Table105[Country],Tabela1[[#This Row],[Country]],Table105[Men''s Combined Classification],"&gt;0")</f>
        <v>0</v>
      </c>
      <c r="MV38" s="6">
        <f>COUNTIFS(Table105[Country],Tabela1[[#This Row],[Country]],Table105[Women''s Combined Classification],"&gt;0")</f>
        <v>0</v>
      </c>
      <c r="MW38" s="6">
        <f>COUNTIFS(Table106[Country],Tabela1[[#This Row],[Country]],Table106[Individual Classification],"&gt;0")</f>
        <v>1</v>
      </c>
      <c r="MX38" s="6">
        <f>COUNTIFS(Table106109[Country],Tabela1[[#This Row],[Country]],Table106109[Individual Classification],"&gt;0")</f>
        <v>0</v>
      </c>
      <c r="MY38" s="6">
        <f>COUNTIFS(Table106[Country],Tabela1[[#This Row],[Country]],Table106[Mass Start Classification],"&gt;0")</f>
        <v>1</v>
      </c>
      <c r="MZ38" s="6">
        <f>COUNTIFS(Table106109[Country],Tabela1[[#This Row],[Country]],Table106109[Mass Start Classification],"&gt;0")</f>
        <v>0</v>
      </c>
      <c r="NA38" s="6">
        <f>COUNTIFS(Table106[Country],Tabela1[[#This Row],[Country]],Table106[Pursuit Classification],"&gt;0")</f>
        <v>1</v>
      </c>
      <c r="NB38" s="6">
        <f>COUNTIFS(Table106109[Country],Tabela1[[#This Row],[Country]],Table106109[Pursuit Classification],"&gt;0")</f>
        <v>0</v>
      </c>
      <c r="NC38" s="6">
        <f>COUNTIFS(Table106[Country],Tabela1[[#This Row],[Country]],Table106[Sprint Classification],"&gt;0")</f>
        <v>1</v>
      </c>
      <c r="ND38" s="6">
        <f>COUNTIFS(Table106109[Country],Tabela1[[#This Row],[Country]],Table106109[Sprint Classification],"&gt;0")</f>
        <v>0</v>
      </c>
      <c r="NE38" s="6">
        <f>COUNTIFS(Table109[Country],Tabela1[[#This Row],[Country]],Table109[Men''s Relay Classification],"&gt;0")</f>
        <v>1</v>
      </c>
      <c r="NF38" s="6">
        <f>COUNTIFS(Table109[Country],Tabela1[[#This Row],[Country]],Table109[Women''s Relay Classification],"&gt;0")</f>
        <v>0</v>
      </c>
      <c r="NG38" s="6">
        <f>COUNTIFS(Table109[Country],Tabela1[[#This Row],[Country]],Table109[Mixed Relay Classification],"&gt;0")</f>
        <v>0</v>
      </c>
      <c r="NH38" s="6">
        <f>COUNTIFS(Table110[Country],Tabela1[[#This Row],[Country]],Table110[Monobob Classification],"&gt;0")</f>
        <v>0</v>
      </c>
      <c r="NI38" s="6">
        <f>COUNTIFS(Table111[Country],Tabela1[[#This Row],[Country]],Table111[Men''s Classification],"&gt;0")</f>
        <v>0</v>
      </c>
      <c r="NJ38" s="6">
        <f>COUNTIFS(Table111[Country],Tabela1[[#This Row],[Country]],Table111[Women''s Classification],"&gt;0")</f>
        <v>0</v>
      </c>
      <c r="NK38" s="6">
        <f>COUNTIFS(Table112[Country],Tabela1[[#This Row],[Country]],Table112[Men''s Four Classification],"&gt;0")</f>
        <v>0</v>
      </c>
      <c r="NL38" s="6">
        <f>COUNTIFS(Table113[Country],Tabela1[[#This Row],[Country]],Table113[Classical Classification],"&gt;0")</f>
        <v>1</v>
      </c>
      <c r="NM38" s="6">
        <f>COUNTIFS(Table113116[Country],Tabela1[[#This Row],[Country]],Table113116[Classical Classification],"&gt;0")</f>
        <v>0</v>
      </c>
      <c r="NN38" s="6">
        <f>COUNTIFS(Table113[Country],Tabela1[[#This Row],[Country]],Table113[Freestyle Classification],"&gt;0")</f>
        <v>1</v>
      </c>
      <c r="NO38" s="6">
        <f>COUNTIFS(Table113116[Country],Tabela1[[#This Row],[Country]],Table113116[Freestyle Classification],"&gt;0")</f>
        <v>0</v>
      </c>
      <c r="NP38" s="6">
        <f>COUNTIFS(Table117[Country],Tabela1[[#This Row],[Country]],Table117[Men''s Relay Classification],"&gt;0")</f>
        <v>0</v>
      </c>
      <c r="NQ38" s="6">
        <f>COUNTIFS(Table117[Country],Tabela1[[#This Row],[Country]],Table117[Women''s Relay Classification],"&gt;0")</f>
        <v>0</v>
      </c>
      <c r="NR38" s="6">
        <f>COUNTIFS(Table113[Country],Tabela1[[#This Row],[Country]],Table113[Skiathlon Classification],"&gt;0")</f>
        <v>0</v>
      </c>
      <c r="NS38" s="6">
        <f>COUNTIFS(Table113116[Country],Tabela1[[#This Row],[Country]],Table113116[Skiathlon Classification],"&gt;0")</f>
        <v>0</v>
      </c>
      <c r="NT38" s="6">
        <f>COUNTIFS(Table113[Country],Tabela1[[#This Row],[Country]],Table113[Sprint Classification],"&gt;0")</f>
        <v>1</v>
      </c>
      <c r="NU38" s="6">
        <f>COUNTIFS(Table113116[Country],Tabela1[[#This Row],[Country]],Table113116[Sprint Classification],"&gt;0")</f>
        <v>0</v>
      </c>
      <c r="NV38" s="6">
        <f>COUNTIFS(Table116[Country],Tabela1[[#This Row],[Country]],Table116[Men''s Team Sprint Classification],"&gt;0")</f>
        <v>0</v>
      </c>
      <c r="NW38" s="6">
        <f>COUNTIFS(Table116[Country],Tabela1[[#This Row],[Country]],Table116[Women''s Team Sprint Classification],"&gt;0")</f>
        <v>0</v>
      </c>
      <c r="NX38" s="6">
        <f>COUNTIFS(Table119[Country],Tabela1[[#This Row],[Country]],Table119[Men''s Classification],"&gt;0")</f>
        <v>0</v>
      </c>
      <c r="NY38" s="6">
        <f>COUNTIFS(Table119[Country],Tabela1[[#This Row],[Country]],Table119[Women''s Classification],"&gt;0")</f>
        <v>0</v>
      </c>
      <c r="NZ38" s="6">
        <f>COUNTIFS(Table118[Country],Tabela1[[#This Row],[Country]],Table118[Mixed Classification],"&gt;0")</f>
        <v>0</v>
      </c>
      <c r="OA38" s="6">
        <f>COUNTIFS(Table120[Country],Tabela1[[#This Row],[Country]],Table120[Classification],"&gt;0")</f>
        <v>0</v>
      </c>
      <c r="OB38" s="6">
        <f>COUNTIFS(Table120123[Country],Tabela1[[#This Row],[Country]],Table120123[Classification],"&gt;0")</f>
        <v>0</v>
      </c>
      <c r="OC38" s="6">
        <f>COUNTIFS(Table123[Country],Tabela1[[#This Row],[Country]],Table123[Ice Dance Classification],"&gt;0")</f>
        <v>0</v>
      </c>
      <c r="OD38" s="6">
        <f>COUNTIFS(Table123[Country],Tabela1[[#This Row],[Country]],Table123[Pair Skating Classification],"&gt;0")</f>
        <v>0</v>
      </c>
      <c r="OE38" s="6">
        <f>COUNTIFS(Table124[Country],Tabela1[[#This Row],[Country]],Table124[Mixed Classification],"&gt;0")</f>
        <v>0</v>
      </c>
      <c r="OF38" s="6">
        <f>COUNTIFS(Table125[Country],Tabela1[[#This Row],[Country]],Table125[Aerials Classification],"&gt;0")</f>
        <v>0</v>
      </c>
      <c r="OG38" s="6">
        <f>COUNTIFS(Table125128[Country],Tabela1[[#This Row],[Country]],Table125128[Aerials Classification],"&gt;0")</f>
        <v>0</v>
      </c>
      <c r="OH38" s="6">
        <f>COUNTIFS(Table128[Country],Tabela1[[#This Row],[Country]],Table128[Mixed Aerials Classification],"&gt;0")</f>
        <v>0</v>
      </c>
      <c r="OI38" s="6">
        <f>COUNTIFS(Table125[Country],Tabela1[[#This Row],[Country]],Table125[Big Air Classification],"&gt;0")</f>
        <v>0</v>
      </c>
      <c r="OJ38" s="6">
        <f>COUNTIFS(Table125128[Country],Tabela1[[#This Row],[Country]],Table125128[Big Air Classification],"&gt;0")</f>
        <v>0</v>
      </c>
      <c r="OK38" s="6">
        <f>COUNTIFS(Table125[Country],Tabela1[[#This Row],[Country]],Table125[Dual Moguls Classification],"&gt;0")</f>
        <v>0</v>
      </c>
      <c r="OL38" s="6">
        <f>COUNTIFS(Table125128[Country],Tabela1[[#This Row],[Country]],Table125128[Dual Moguls Classification],"&gt;0")</f>
        <v>0</v>
      </c>
      <c r="OM38" s="6">
        <f>COUNTIFS(Table125[Country],Tabela1[[#This Row],[Country]],Table125[Halfpipe Classification],"&gt;0")</f>
        <v>0</v>
      </c>
      <c r="ON38" s="6">
        <f>COUNTIFS(Table125128[Country],Tabela1[[#This Row],[Country]],Table125128[Halfpipe Classification],"&gt;0")</f>
        <v>0</v>
      </c>
      <c r="OO38" s="6">
        <f>COUNTIFS(Table125[Country],Tabela1[[#This Row],[Country]],Table125[Moguls Classification],"&gt;0")</f>
        <v>0</v>
      </c>
      <c r="OP38" s="6">
        <f>COUNTIFS(Table125128[Country],Tabela1[[#This Row],[Country]],Table125128[Moguls Classification],"&gt;0")</f>
        <v>0</v>
      </c>
      <c r="OQ38" s="6">
        <f>COUNTIFS(Table125[Country],Tabela1[[#This Row],[Country]],Table125[Ski Cross Classification],"&gt;0")</f>
        <v>0</v>
      </c>
      <c r="OR38" s="6">
        <f>COUNTIFS(Table125128[Country],Tabela1[[#This Row],[Country]],Table125128[Ski Cross Classification],"&gt;0")</f>
        <v>0</v>
      </c>
      <c r="OS38" s="6">
        <f>COUNTIFS(Table125[Country],Tabela1[[#This Row],[Country]],Table125[Slopestyle Classification],"&gt;0")</f>
        <v>0</v>
      </c>
      <c r="OT38" s="6">
        <f>COUNTIFS(Table125128[Country],Tabela1[[#This Row],[Country]],Table125128[Slopestyle Classification],"&gt;0")</f>
        <v>0</v>
      </c>
      <c r="OU38" s="6">
        <f>COUNTIFS(Table119131[Country],Tabela1[[#This Row],[Country]],Table119131[Men''s Classification],"&gt;0")</f>
        <v>0</v>
      </c>
      <c r="OV38" s="6">
        <f>COUNTIFS(Table119131[Country],Tabela1[[#This Row],[Country]],Table119131[Women''s Classification],"&gt;0")</f>
        <v>0</v>
      </c>
      <c r="OW38" s="6">
        <f>COUNTIFS(Table131[Country],Tabela1[[#This Row],[Country]],Table131[Classification],"&gt;0")</f>
        <v>0</v>
      </c>
      <c r="OX38" s="6">
        <f>COUNTIFS(Table131134[Country],Tabela1[[#This Row],[Country]],Table131134[Classification],"&gt;0")</f>
        <v>0</v>
      </c>
      <c r="OY38" s="6">
        <f>COUNTIFS(Table134[Country],Tabela1[[#This Row],[Country]],Table134[Men''s Classification],"&gt;0")</f>
        <v>0</v>
      </c>
      <c r="OZ38" s="6">
        <f>COUNTIFS(Table134[Country],Tabela1[[#This Row],[Country]],Table134[Women''s Classification],"&gt;0")</f>
        <v>0</v>
      </c>
      <c r="PA38" s="6">
        <f>COUNTIFS(Table135[Country],Tabela1[[#This Row],[Country]],Table135[Mixed Relay Classification],"&gt;0")</f>
        <v>0</v>
      </c>
      <c r="PB38" s="6">
        <f>COUNTIFS(Table136[Country],Tabela1[[#This Row],[Country]],Table136[Individual Classification],"&gt;0")</f>
        <v>2</v>
      </c>
      <c r="PC38" s="6">
        <f>COUNTIFS(Table136[Country],Tabela1[[#This Row],[Country]],Table136[Sprint Classification],"&gt;0")</f>
        <v>2</v>
      </c>
      <c r="PD38" s="6">
        <f>COUNTIFS(Table137[Country],Tabela1[[#This Row],[Country]],Table137[Men''s Team Sprint Large Hill Classification],"&gt;0")</f>
        <v>1</v>
      </c>
      <c r="PE38" s="6">
        <f>COUNTIFS(Table138[Country],Tabela1[[#This Row],[Country]],Table138[500m Classification],"&gt;0")</f>
        <v>0</v>
      </c>
      <c r="PF38" s="6">
        <f>COUNTIFS(Table138141[Country],Tabela1[[#This Row],[Country]],Table138141[500m Classification],"&gt;0")</f>
        <v>0</v>
      </c>
      <c r="PG38" s="6">
        <f>COUNTIFS(Table138[Country],Tabela1[[#This Row],[Country]],Table138[1000m Classification],"&gt;0")</f>
        <v>0</v>
      </c>
      <c r="PH38" s="6">
        <f>COUNTIFS(Table138141[Country],Tabela1[[#This Row],[Country]],Table138141[1000m Classification],"&gt;0")</f>
        <v>0</v>
      </c>
      <c r="PI38" s="6">
        <f>COUNTIFS(Table138[Country],Tabela1[[#This Row],[Country]],Table138[1500m Classification],"&gt;0")</f>
        <v>0</v>
      </c>
      <c r="PJ38" s="6">
        <f>COUNTIFS(Table138141[Country],Tabela1[[#This Row],[Country]],Table138141[1500m Classification],"&gt;0")</f>
        <v>0</v>
      </c>
      <c r="PK38" s="6">
        <f>COUNTIFS(Table141[Country],Tabela1[[#This Row],[Country]],Table141[Men''s 5000m Relay Classification],"&gt;0")</f>
        <v>0</v>
      </c>
      <c r="PL38" s="6">
        <f>COUNTIFS(Table141[Country],Tabela1[[#This Row],[Country]],Table141[Women''s 3000m Relay Classification],"&gt;0")</f>
        <v>0</v>
      </c>
      <c r="PM38" s="6">
        <f>COUNTIFS(Table141[Country],Tabela1[[#This Row],[Country]],Table141[Mixed 2000m Relay Classification],"&gt;0")</f>
        <v>0</v>
      </c>
      <c r="PN38" s="6">
        <f>COUNTIFS(Table142[Country],Tabela1[[#This Row],[Country]],Table142[Classification],"&gt;0")</f>
        <v>0</v>
      </c>
      <c r="PO38" s="6">
        <f>COUNTIFS(Table142145[Country],Tabela1[[#This Row],[Country]],Table142145[Classification],"&gt;0")</f>
        <v>0</v>
      </c>
      <c r="PP38" s="6">
        <f>COUNTIFS(Tabela15[Country],Tabela1[[#This Row],[Country]],Tabela15[Mixed Team Classification],"&gt;0")</f>
        <v>0</v>
      </c>
      <c r="PQ38" s="6">
        <f>COUNTIFS(Table145[Country],Tabela1[[#This Row],[Country]],Table145[Large Hill Classification],"&gt;0")</f>
        <v>0</v>
      </c>
      <c r="PR38" s="6">
        <f>COUNTIFS(Table145[Country],Tabela1[[#This Row],[Country]],Table145[Normal Hill Classification],"&gt;0")</f>
        <v>0</v>
      </c>
      <c r="PS38" s="6">
        <f>COUNTIFS(Table145148[Country],Tabela1[[#This Row],[Country]],Table145148[Large Hill Classification],"&gt;0")</f>
        <v>1</v>
      </c>
      <c r="PT38" s="6">
        <f>COUNTIFS(Table145148[Country],Tabela1[[#This Row],[Country]],Table145148[Normal Hill Classification],"&gt;0")</f>
        <v>1</v>
      </c>
      <c r="PU38" s="6">
        <f>COUNTIFS(Table148[Country],Tabela1[[#This Row],[Country]],Table148[Men''s Super Team Classification],"&gt;0")</f>
        <v>0</v>
      </c>
      <c r="PV38" s="6">
        <f>COUNTIFS(Tabela114[Country],Tabela1[[#This Row],[Country]],Tabela114[Mixed Normal Hill Classification],"&gt;0")</f>
        <v>1</v>
      </c>
      <c r="PW38" s="6">
        <f>COUNTIFS(Tabela50[Country],Tabela1[[#This Row],[Country]],Tabela50[Sprint Classification],"&gt;0")</f>
        <v>0</v>
      </c>
      <c r="PX38" s="6">
        <f>COUNTIFS(Tabela50101[Country],Tabela1[[#This Row],[Country]],Tabela50101[Sprint Classification],"&gt;0")</f>
        <v>0</v>
      </c>
      <c r="PY38" s="6">
        <f>COUNTIFS(Tabela103[Country],Tabela1[[#This Row],[Country]],Tabela103[Mixed Relay Classification],"&gt;0")</f>
        <v>0</v>
      </c>
      <c r="PZ38" s="6">
        <f>COUNTIFS(Table149[Country],Tabela1[[#This Row],[Country]],Table149[Big Air Classification],"&gt;0")</f>
        <v>0</v>
      </c>
      <c r="QA38" s="6">
        <f>COUNTIFS(Table149152[Country],Tabela1[[#This Row],[Country]],Table149152[Big Air Classification],"&gt;0")</f>
        <v>0</v>
      </c>
      <c r="QB38" s="6">
        <f>COUNTIFS(Table149[Country],Tabela1[[#This Row],[Country]],Table149[Halfpipe Classification],"&gt;0")</f>
        <v>0</v>
      </c>
      <c r="QC38" s="6">
        <f>COUNTIFS(Table149152[Country],Tabela1[[#This Row],[Country]],Table149152[Halfpipe Classification],"&gt;0")</f>
        <v>0</v>
      </c>
      <c r="QD38" s="6">
        <f>COUNTIFS(Table149[Country],Tabela1[[#This Row],[Country]],Table149[Parallel Giant Slalom Classification],"&gt;0")</f>
        <v>2</v>
      </c>
      <c r="QE38" s="6">
        <f>COUNTIFS(Table149152[Country],Tabela1[[#This Row],[Country]],Table149152[Parallel Giant Slalom Classification],"&gt;0")</f>
        <v>0</v>
      </c>
      <c r="QF38" s="6">
        <f>COUNTIFS(Table149[Country],Tabela1[[#This Row],[Country]],Table149[Slopestyle Classification],"&gt;0")</f>
        <v>0</v>
      </c>
      <c r="QG38" s="6">
        <f>COUNTIFS(Table149152[Country],Tabela1[[#This Row],[Country]],Table149152[Slopestyle Classification],"&gt;0")</f>
        <v>0</v>
      </c>
      <c r="QH38" s="6">
        <f>COUNTIFS(Table149[Country],Tabela1[[#This Row],[Country]],Table149[Snowboard Cross Classification],"&gt;0")</f>
        <v>0</v>
      </c>
      <c r="QI38" s="6">
        <f>COUNTIFS(Table149152[Country],Tabela1[[#This Row],[Country]],Table149152[Snowboard Cross Classification],"&gt;0")</f>
        <v>0</v>
      </c>
      <c r="QJ38" s="6">
        <f>COUNTIFS(Table153[Country],Tabela1[[#This Row],[Country]],Table153[Mixed Team Snowboard Cross Classification],"&gt;0")</f>
        <v>0</v>
      </c>
      <c r="QK38" s="6">
        <f>COUNTIFS(Table154[Country],Tabela1[[#This Row],[Country]],Table154[500m Classification],"&gt;0")</f>
        <v>0</v>
      </c>
      <c r="QL38" s="6">
        <f>COUNTIFS(Table154157[Country],Tabela1[[#This Row],[Country]],Table154157[500m Classification],"&gt;0")</f>
        <v>0</v>
      </c>
      <c r="QM38" s="6">
        <f>COUNTIFS(Table154[Country],Tabela1[[#This Row],[Country]],Table154[1000m Classification],"&gt;0")</f>
        <v>0</v>
      </c>
      <c r="QN38" s="6">
        <f>COUNTIFS(Table154157[Country],Tabela1[[#This Row],[Country]],Table154157[1000m Classification],"&gt;0")</f>
        <v>0</v>
      </c>
      <c r="QO38" s="6">
        <f>COUNTIFS(Table154[Country],Tabela1[[#This Row],[Country]],Table154[1500m Classification],"&gt;0")</f>
        <v>0</v>
      </c>
      <c r="QP38" s="6">
        <f>COUNTIFS(Table154157[Country],Tabela1[[#This Row],[Country]],Table154157[1500m Classification],"&gt;0")</f>
        <v>0</v>
      </c>
      <c r="QQ38" s="6">
        <f>COUNTIFS(Table154157[Country],Tabela1[[#This Row],[Country]],Table154157[3000m Classification],"&gt;0")</f>
        <v>0</v>
      </c>
      <c r="QR38" s="6">
        <f>COUNTIFS(Table154[Country],Tabela1[[#This Row],[Country]],Table154[5000m Classification],"&gt;0")</f>
        <v>0</v>
      </c>
      <c r="QS38" s="6">
        <f>COUNTIFS(Table154157[Country],Tabela1[[#This Row],[Country]],Table154157[5000m Classification],"&gt;0")</f>
        <v>0</v>
      </c>
      <c r="QT38" s="6">
        <f>COUNTIFS(Table154[Country],Tabela1[[#This Row],[Country]],Table154[10000m Classification],"&gt;0")</f>
        <v>0</v>
      </c>
      <c r="QU38" s="6">
        <f>COUNTIFS(Table154[Country],Tabela1[[#This Row],[Country]],Table154[Mass Start Classification],"&gt;0")</f>
        <v>0</v>
      </c>
      <c r="QV38" s="6">
        <f>COUNTIFS(Table154157[Country],Tabela1[[#This Row],[Country]],Table154157[Mass Start Classification],"&gt;0")</f>
        <v>0</v>
      </c>
      <c r="QW38" s="6">
        <f>COUNTIFS(Table157[Country],Tabela1[[#This Row],[Country]],Table157[Men''s Pursuit Classification],"&gt;0")</f>
        <v>0</v>
      </c>
      <c r="QX38" s="6">
        <f>COUNTIFS(Table157[Country],Tabela1[[#This Row],[Country]],Table157[Women''s Pursuit Classification],"&gt;0")</f>
        <v>0</v>
      </c>
      <c r="QY38" s="4" t="s">
        <v>695</v>
      </c>
    </row>
    <row r="39" spans="1:467" x14ac:dyDescent="0.3">
      <c r="A39" s="6">
        <v>38</v>
      </c>
      <c r="B39" s="6" t="s">
        <v>718</v>
      </c>
      <c r="C39" t="e" vm="38">
        <f>IF(ISBLANK(Tabela1[[#This Row],[Image Link]]), "", _xlfn.IMAGE(Tabela1[[#This Row],[Image Link]],1,1))</f>
        <v>#VALUE!</v>
      </c>
      <c r="D39" s="6">
        <f>SUM(Tabela1[[#This Row],[Archery - Men''s Individual Recurve]:[Speed Skating - Women''s Team Pursuit]])</f>
        <v>31</v>
      </c>
      <c r="E39" s="6">
        <f>COUNTIF(Tabela1[[#This Row],[Archery - Men''s Individual Recurve]:[Speed Skating - Women''s Team Pursuit]],"&gt;0")</f>
        <v>25</v>
      </c>
      <c r="F39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39" s="6">
        <f>SUM(Tabela1[[#This Row],[Archery - Men''s Individual Recurve]:[Wrestling - Women''s Freestyle 76kg]])</f>
        <v>29</v>
      </c>
      <c r="H39" s="6">
        <f>SUM(Tabela1[[#This Row],[Alpine Skiing - Men''s Downhill]:[Speed Skating - Women''s Team Pursuit]])</f>
        <v>2</v>
      </c>
      <c r="I39" s="6">
        <f>Tabela1[[#This Row],[Summer Gold Medals]]+Tabela1[[#This Row],[Winter Gold Medals]]</f>
        <v>0</v>
      </c>
      <c r="J39" s="6">
        <f>Tabela1[[#This Row],[Summer Silver Medals]]+Tabela1[[#This Row],[Winter Silver Medals]]</f>
        <v>3</v>
      </c>
      <c r="K39" s="6">
        <f>Tabela1[[#This Row],[Summer Bronze Medals]]+Tabela1[[#This Row],[Winter Bronze Medals]]</f>
        <v>5</v>
      </c>
      <c r="L39" s="6">
        <f>SUM(Tabela1[[#This Row],[Total Gold Medals]:[Total Bronze Medals]])</f>
        <v>8</v>
      </c>
      <c r="M39" s="6"/>
      <c r="N39" s="6">
        <v>3</v>
      </c>
      <c r="O39" s="6">
        <v>5</v>
      </c>
      <c r="P39" s="6">
        <f>SUM(Tabela1[[#This Row],[Summer Gold Medals]:[Summer Bronze Medals]])</f>
        <v>8</v>
      </c>
      <c r="Q39" s="6"/>
      <c r="R39" s="6"/>
      <c r="S39" s="6"/>
      <c r="T39" s="6">
        <f>Tabela1[[#This Row],[Winter Gold Medals]]+Tabela1[[#This Row],[Winter Silver Medals]]+Tabela1[[#This Row],[Winter Bronze Medals]]</f>
        <v>0</v>
      </c>
      <c r="U39" s="7">
        <f>Tabela1[[#This Row],[Total Medals]]/Tabela1[[#This Row],[Total Quotas]]</f>
        <v>0.25806451612903225</v>
      </c>
      <c r="V39" s="6">
        <f>COUNTIFS(Table3[Country],Tabela1[[#This Row],[Country]],Table3[Recurve Classification],"&gt;0")</f>
        <v>0</v>
      </c>
      <c r="W39" s="6">
        <f>COUNTIFS(Table33[Country],Tabela1[[#This Row],[Country]],Table33[Recurve Classification],"&gt;0")</f>
        <v>0</v>
      </c>
      <c r="X39" s="6">
        <f>COUNTIFS(Table35[Country],Tabela1[[#This Row],[Country]],Table35[Men''s Team Recurve Classification],"&gt;0")</f>
        <v>0</v>
      </c>
      <c r="Y39" s="6">
        <f>COUNTIFS(Table35[Country],Tabela1[[#This Row],[Country]],Table35[Women''s Team Recurve Classification],"&gt;0")</f>
        <v>0</v>
      </c>
      <c r="Z39" s="6">
        <f>COUNTIFS(Tabela88[Country],Tabela1[[#This Row],[Country]],Tabela88[Mixed Team Recurve Classification],"&gt;0")</f>
        <v>0</v>
      </c>
      <c r="AA39" s="6">
        <f>COUNTIFS(Table36[Country],Tabela1[[#This Row],[Country]],Table36[Classification],"&gt;0")</f>
        <v>0</v>
      </c>
      <c r="AB39" s="6">
        <f>COUNTIFS(Table37[Country],Tabela1[[#This Row],[Country]],Table37[Classification],"&gt;0")</f>
        <v>0</v>
      </c>
      <c r="AC39" s="6">
        <f>COUNTIFS(Table4[Country],Tabela1[[#This Row],[Country]],Table4[100m Classification],"&gt;0")</f>
        <v>0</v>
      </c>
      <c r="AD39" s="6">
        <f>COUNTIFS(Table5[Country],Tabela1[[#This Row],[Country]],Table5[100m Classification],"&gt;0")</f>
        <v>0</v>
      </c>
      <c r="AE39" s="6">
        <f>COUNTIFS(Table4[Country],Tabela1[[#This Row],[Country]],Table4[200m Classification],"&gt;0")</f>
        <v>0</v>
      </c>
      <c r="AF39" s="6">
        <f>COUNTIFS(Table5[Country],Tabela1[[#This Row],[Country]],Table5[200m Classification],"&gt;0")</f>
        <v>0</v>
      </c>
      <c r="AG39" s="6">
        <f>COUNTIFS(Table4[Country],Tabela1[[#This Row],[Country]],Table4[400m Classification],"&gt;0")</f>
        <v>0</v>
      </c>
      <c r="AH39" s="6">
        <f>COUNTIFS(Table5[Country],Tabela1[[#This Row],[Country]],Table5[400m Classification],"&gt;0")</f>
        <v>0</v>
      </c>
      <c r="AI39" s="6">
        <f>COUNTIFS(Table4[Country],Tabela1[[#This Row],[Country]],Table4[800m Classification],"&gt;0")</f>
        <v>0</v>
      </c>
      <c r="AJ39" s="6">
        <f>COUNTIFS(Table5[Country],Tabela1[[#This Row],[Country]],Table5[800m Classification],"&gt;0")</f>
        <v>0</v>
      </c>
      <c r="AK39" s="6">
        <f>COUNTIFS(Table4[Country],Tabela1[[#This Row],[Country]],Table4[1500m Classification],"&gt;0")</f>
        <v>0</v>
      </c>
      <c r="AL39" s="6">
        <f>COUNTIFS(Table5[Country],Tabela1[[#This Row],[Country]],Table5[1500m Classification],"&gt;0")</f>
        <v>0</v>
      </c>
      <c r="AM39" s="6">
        <f>COUNTIFS(Table4[Country],Tabela1[[#This Row],[Country]],Table4[5000m Classification],"&gt;0")</f>
        <v>0</v>
      </c>
      <c r="AN39" s="6">
        <f>COUNTIFS(Table5[Country],Tabela1[[#This Row],[Country]],Table5[5000m Classification],"&gt;0")</f>
        <v>0</v>
      </c>
      <c r="AO39" s="6">
        <f>COUNTIFS(Table4[Country],Tabela1[[#This Row],[Country]],Table4[10000m Classification],"&gt;0")</f>
        <v>0</v>
      </c>
      <c r="AP39" s="6">
        <f>COUNTIFS(Table5[Country],Tabela1[[#This Row],[Country]],Table5[10000m Classification],"&gt;0")</f>
        <v>0</v>
      </c>
      <c r="AQ39" s="6">
        <f>COUNTIFS(Table4[Country],Tabela1[[#This Row],[Country]],Table4[110m Hurdles Classification],"&gt;0")</f>
        <v>0</v>
      </c>
      <c r="AR39" s="6">
        <f>COUNTIFS(Table5[Country],Tabela1[[#This Row],[Country]],Table5[100m Hurdles Classification],"&gt;0")</f>
        <v>0</v>
      </c>
      <c r="AS39" s="6">
        <f>COUNTIFS(Table4[Country],Tabela1[[#This Row],[Country]],Table4[400m Hurdles Classification],"&gt;0")</f>
        <v>2</v>
      </c>
      <c r="AT39" s="6">
        <f>COUNTIFS(Table5[Country],Tabela1[[#This Row],[Country]],Table5[400m Hurdles Classification],"&gt;0")</f>
        <v>0</v>
      </c>
      <c r="AU39" s="6">
        <f>COUNTIFS(Table4[Country],Tabela1[[#This Row],[Country]],Table4[3000m Steeplechase Classification],"&gt;0")</f>
        <v>0</v>
      </c>
      <c r="AV39" s="6">
        <f>COUNTIFS(Table5[Country],Tabela1[[#This Row],[Country]],Table5[3000m Steeplechase Classification],"&gt;0")</f>
        <v>0</v>
      </c>
      <c r="AW39" s="6">
        <f>COUNTIFS(Table27[Country],Tabela1[[#This Row],[Country]],Table27[Men''s 4x100m Relay Classification],"&gt;0")</f>
        <v>0</v>
      </c>
      <c r="AX39" s="6">
        <f>COUNTIFS(Table27[Country],Tabela1[[#This Row],[Country]],Table27[Women''s 4x100m Relay Classification],"&gt;0")</f>
        <v>0</v>
      </c>
      <c r="AY39" s="6">
        <f>COUNTIFS(Table27[Country],Tabela1[[#This Row],[Country]],Table27[Men''s 4x400m Relay Classification],"&gt;0")</f>
        <v>0</v>
      </c>
      <c r="AZ39" s="6">
        <f>COUNTIFS(Table27[Country],Tabela1[[#This Row],[Country]],Table27[Women''s 4x400m Relay Classification],"&gt;0")</f>
        <v>0</v>
      </c>
      <c r="BA39" s="6">
        <f>COUNTIFS(Table27[Country],Tabela1[[#This Row],[Country]],Table27[Mixed 4x400m Relay Classification],"&gt;0")</f>
        <v>0</v>
      </c>
      <c r="BB39" s="6">
        <f>COUNTIFS(Table4[Country],Tabela1[[#This Row],[Country]],Table4[Marathon Classification],"&gt;0")</f>
        <v>0</v>
      </c>
      <c r="BC39" s="6">
        <f>COUNTIFS(Table5[Country],Tabela1[[#This Row],[Country]],Table5[Marathon Classification],"&gt;0")</f>
        <v>0</v>
      </c>
      <c r="BD39" s="6">
        <f>COUNTIFS(Table4[Country],Tabela1[[#This Row],[Country]],Table4[20km Race Walk Classification],"&gt;0")</f>
        <v>0</v>
      </c>
      <c r="BE39" s="6">
        <f>COUNTIFS(Table5[Country],Tabela1[[#This Row],[Country]],Table5[20km Race Walk Classification],"&gt;0")</f>
        <v>1</v>
      </c>
      <c r="BF39" s="6">
        <f>COUNTIFS(Tabela96[Country],Tabela1[[#This Row],[Country]],Tabela96[Mixed Marathon Race Walk Relay Classification],"&gt;0")</f>
        <v>1</v>
      </c>
      <c r="BG39" s="6">
        <f>COUNTIFS(Table4[Country],Tabela1[[#This Row],[Country]],Table4[Discus Throw Classification],"&gt;0")</f>
        <v>0</v>
      </c>
      <c r="BH39" s="6">
        <f>COUNTIFS(Table5[Country],Tabela1[[#This Row],[Country]],Table5[Discus Throw Classification],"&gt;0")</f>
        <v>0</v>
      </c>
      <c r="BI39" s="6">
        <f>COUNTIFS(Table4[Country],Tabela1[[#This Row],[Country]],Table4[Hammer Throw Classification],"&gt;0")</f>
        <v>1</v>
      </c>
      <c r="BJ39" s="6">
        <f>COUNTIFS(Table5[Country],Tabela1[[#This Row],[Country]],Table5[Hammer Throw Classification],"&gt;0")</f>
        <v>0</v>
      </c>
      <c r="BK39" s="6">
        <f>COUNTIFS(Table4[Country],Tabela1[[#This Row],[Country]],Table4[High Jump Classification],"&gt;0")</f>
        <v>0</v>
      </c>
      <c r="BL39" s="6">
        <f>COUNTIFS(Table5[Country],Tabela1[[#This Row],[Country]],Table5[High Jump Classification],"&gt;0")</f>
        <v>0</v>
      </c>
      <c r="BM39" s="6">
        <f>COUNTIFS(Table4[Country],Tabela1[[#This Row],[Country]],Table4[Javelin Throw Classification],"&gt;0")</f>
        <v>0</v>
      </c>
      <c r="BN39" s="6">
        <f>COUNTIFS(Table5[Country],Tabela1[[#This Row],[Country]],Table5[Javelin Throw Classification],"&gt;0")</f>
        <v>0</v>
      </c>
      <c r="BO39" s="6">
        <f>COUNTIFS(Table4[Country],Tabela1[[#This Row],[Country]],Table4[Long Jump Classification],"&gt;0")</f>
        <v>0</v>
      </c>
      <c r="BP39" s="6">
        <f>COUNTIFS(Table5[Country],Tabela1[[#This Row],[Country]],Table5[Long Jump Classification],"&gt;0")</f>
        <v>0</v>
      </c>
      <c r="BQ39" s="6">
        <f>COUNTIFS(Table4[Country],Tabela1[[#This Row],[Country]],Table4[Pole Vault Classification],"&gt;0")</f>
        <v>0</v>
      </c>
      <c r="BR39" s="6">
        <f>COUNTIFS(Table5[Country],Tabela1[[#This Row],[Country]],Table5[Pole Vault Classification],"&gt;0")</f>
        <v>0</v>
      </c>
      <c r="BS39" s="6">
        <f>COUNTIFS(Table4[Country],Tabela1[[#This Row],[Country]],Table4[Shot Put Classification],"&gt;0")</f>
        <v>0</v>
      </c>
      <c r="BT39" s="6">
        <f>COUNTIFS(Table5[Country],Tabela1[[#This Row],[Country]],Table5[Shot Put Classification],"&gt;0")</f>
        <v>0</v>
      </c>
      <c r="BU39" s="6">
        <f>COUNTIFS(Table4[Country],Tabela1[[#This Row],[Country]],Table4[Triple Jump Classification],"&gt;0")</f>
        <v>0</v>
      </c>
      <c r="BV39" s="6">
        <f>COUNTIFS(Table5[Country],Tabela1[[#This Row],[Country]],Table5[Triple Jump Classification],"&gt;0")</f>
        <v>0</v>
      </c>
      <c r="BW39" s="6">
        <f>COUNTIFS(Table4[Country],Tabela1[[#This Row],[Country]],Table4[Decathlon Classification],"&gt;0")</f>
        <v>0</v>
      </c>
      <c r="BX39" s="6">
        <f>COUNTIFS(Table5[Country],Tabela1[[#This Row],[Country]],Table5[Heptathlon Classification],"&gt;0")</f>
        <v>0</v>
      </c>
      <c r="BY39" s="6">
        <f>COUNTIFS(Table61[Country],Tabela1[[#This Row],[Country]],Table61[Classification],"&gt;0")</f>
        <v>0</v>
      </c>
      <c r="BZ39" s="6">
        <f>COUNTIFS(Table38[Country],Tabela1[[#This Row],[Country]],Table38[Classification],"&gt;0")</f>
        <v>1</v>
      </c>
      <c r="CA39" s="6">
        <f>COUNTIFS(Table39[Country],Tabela1[[#This Row],[Country]],Table39[Men''s Classification],"&gt;0")</f>
        <v>0</v>
      </c>
      <c r="CB39" s="6">
        <f>COUNTIFS(Table39[Country],Tabela1[[#This Row],[Country]],Table39[Women''s Classification],"&gt;0")</f>
        <v>0</v>
      </c>
      <c r="CC39" s="6">
        <f>COUNTIFS(Table39[Country],Tabela1[[#This Row],[Country]],Table39[Mixed Classification],"&gt;0")</f>
        <v>0</v>
      </c>
      <c r="CD39" s="6">
        <f>COUNTIFS(Table89[Country],Tabela1[[#This Row],[Country]],Table89[Men''s Classification],"&gt;0")</f>
        <v>0</v>
      </c>
      <c r="CE39" s="6">
        <f>COUNTIFS(Table89[Country],Tabela1[[#This Row],[Country]],Table89[Women''s Classification],"&gt;0")</f>
        <v>0</v>
      </c>
      <c r="CF39" s="6">
        <f>COUNTIFS(Table90[Country],Tabela1[[#This Row],[Country]],Table90[Men''s Classification],"&gt;0")</f>
        <v>0</v>
      </c>
      <c r="CG39" s="6">
        <f>COUNTIFS(Table90[Country],Tabela1[[#This Row],[Country]],Table90[Women''s Classification],"&gt;0")</f>
        <v>0</v>
      </c>
      <c r="CH39" s="6">
        <f>COUNTIFS(Table60[Country],Tabela1[[#This Row],[Country]],Table60[Men''s Classification],"&gt;0")</f>
        <v>0</v>
      </c>
      <c r="CI39" s="6">
        <f>COUNTIFS(Table60[Country],Tabela1[[#This Row],[Country]],Table60[Women''s Classification],"&gt;0")</f>
        <v>0</v>
      </c>
      <c r="CJ39" s="6">
        <f>COUNTIFS(Table6[Country],Tabela1[[#This Row],[Country]],Table6[51kg Classification],"&gt;0")</f>
        <v>0</v>
      </c>
      <c r="CK39" s="6">
        <f>COUNTIFS(Table6[Country],Tabela1[[#This Row],[Country]],Table6[57kg Classification],"&gt;0")</f>
        <v>0</v>
      </c>
      <c r="CL39" s="6">
        <f>COUNTIFS(Table6[Country],Tabela1[[#This Row],[Country]],Table6[63.5kg Classification],"&gt;0")</f>
        <v>0</v>
      </c>
      <c r="CM39" s="6">
        <f>COUNTIFS(Table6[Country],Tabela1[[#This Row],[Country]],Table6[71kg Classification],"&gt;0")</f>
        <v>0</v>
      </c>
      <c r="CN39" s="6">
        <f>COUNTIFS(Table6[Country],Tabela1[[#This Row],[Country]],Table6[80kg Classification],"&gt;0")</f>
        <v>0</v>
      </c>
      <c r="CO39" s="6">
        <f>COUNTIFS(Table6[Country],Tabela1[[#This Row],[Country]],Table6[92kg Classification],"&gt;0")</f>
        <v>0</v>
      </c>
      <c r="CP39" s="6">
        <f>COUNTIFS(Table6[Country],Tabela1[[#This Row],[Country]],Table6[Plus 92kg Classification],"&gt;0")</f>
        <v>0</v>
      </c>
      <c r="CQ39" s="6">
        <f>COUNTIFS(Table7[Country],Tabela1[[#This Row],[Country]],Table7[50kg Classification],"&gt;0")</f>
        <v>0</v>
      </c>
      <c r="CR39" s="6">
        <f>COUNTIFS(Table7[Country],Tabela1[[#This Row],[Country]],Table7[54kg Classification],"&gt;0")</f>
        <v>0</v>
      </c>
      <c r="CS39" s="6">
        <f>COUNTIFS(Table7[Country],Tabela1[[#This Row],[Country]],Table7[57kg Classification],"&gt;0")</f>
        <v>0</v>
      </c>
      <c r="CT39" s="6">
        <f>COUNTIFS(Table7[Country],Tabela1[[#This Row],[Country]],Table7[60kg Classification],"&gt;0")</f>
        <v>0</v>
      </c>
      <c r="CU39" s="6">
        <f>COUNTIFS(Table7[Country],Tabela1[[#This Row],[Country]],Table7[66kg Classification],"&gt;0")</f>
        <v>1</v>
      </c>
      <c r="CV39" s="6">
        <f>COUNTIFS(Table7[Country],Tabela1[[#This Row],[Country]],Table7[75kg Classification],"&gt;0")</f>
        <v>0</v>
      </c>
      <c r="CW39" s="6">
        <f>COUNTIFS(Tabela94[Country],Tabela1[[#This Row],[Country]],Tabela94[Classification],"&gt;0")</f>
        <v>0</v>
      </c>
      <c r="CX39" s="6">
        <f>COUNTIFS(Tabela9499[Country],Tabela1[[#This Row],[Country]],Tabela9499[Classification],"&gt;0")</f>
        <v>0</v>
      </c>
      <c r="CY39" s="6">
        <f>COUNTIFS(Tabela107[Country],Tabela1[[#This Row],[Country]],Tabela107[C1 Slalom Classification],"&gt;0")</f>
        <v>0</v>
      </c>
      <c r="CZ39" s="6">
        <f>COUNTIFS(Tabela107122[Country],Tabela1[[#This Row],[Country]],Tabela107122[C1 Slalom Classification],"&gt;0")</f>
        <v>0</v>
      </c>
      <c r="DA39" s="6">
        <f>COUNTIFS(Tabela107[Country],Tabela1[[#This Row],[Country]],Tabela107[K1 Slalom Classification],"&gt;0")</f>
        <v>0</v>
      </c>
      <c r="DB39" s="6">
        <f>COUNTIFS(Tabela107122[Country],Tabela1[[#This Row],[Country]],Tabela107122[K1 Slalom Classification],"&gt;0")</f>
        <v>0</v>
      </c>
      <c r="DC39" s="6">
        <f>COUNTIFS(Tabela107[Country],Tabela1[[#This Row],[Country]],Tabela107[Kayak Cross Slalom Classification],"&gt;0")</f>
        <v>0</v>
      </c>
      <c r="DD39" s="6">
        <f>COUNTIFS(Tabela107122[Country],Tabela1[[#This Row],[Country]],Tabela107122[Kayak Cross Slalom Classification],"&gt;0")</f>
        <v>0</v>
      </c>
      <c r="DE39" s="6">
        <f>COUNTIFS(Table8[Country],Tabela1[[#This Row],[Country]],Table8[C1 200m Classification],"&gt;0")</f>
        <v>0</v>
      </c>
      <c r="DF39" s="6">
        <f>COUNTIFS(Table40[Country],Tabela1[[#This Row],[Country]],Table40[C1 1000m Classification],"&gt;0")</f>
        <v>0</v>
      </c>
      <c r="DG39" s="6">
        <f>COUNTIFS(Table68[Country],Tabela1[[#This Row],[Country]],Table68[Men''s C2 500m Classification],"&gt;0")</f>
        <v>0</v>
      </c>
      <c r="DH39" s="6">
        <f>COUNTIFS(Table68[Country],Tabela1[[#This Row],[Country]],Table68[Women''s C2 500m Classification],"&gt;0")</f>
        <v>0</v>
      </c>
      <c r="DI39" s="6">
        <f>COUNTIFS(Table8[Country],Tabela1[[#This Row],[Country]],Table8[K1 500m Classification],"&gt;0")</f>
        <v>0</v>
      </c>
      <c r="DJ39" s="6">
        <f>COUNTIFS(Table40[Country],Tabela1[[#This Row],[Country]],Table40[K1 1000m Classification],"&gt;0")</f>
        <v>0</v>
      </c>
      <c r="DK39" s="6">
        <f>COUNTIFS(Table68[Country],Tabela1[[#This Row],[Country]],Table68[Men''s K2 500m Classification],"&gt;0")</f>
        <v>0</v>
      </c>
      <c r="DL39" s="6">
        <f>COUNTIFS(Table68[Country],Tabela1[[#This Row],[Country]],Table68[Women''s K2 500m Classification],"&gt;0")</f>
        <v>0</v>
      </c>
      <c r="DM39" s="6">
        <f>COUNTIFS(Table83[Country],Tabela1[[#This Row],[Country]],Table83[Men''s K4 500m Classification],"&gt;0")</f>
        <v>0</v>
      </c>
      <c r="DN39" s="6">
        <f>COUNTIFS(Table83[Country],Tabela1[[#This Row],[Country]],Table83[Women''s K4 500m Classification],"&gt;0")</f>
        <v>0</v>
      </c>
      <c r="DO39" s="6">
        <f>COUNTIFS(Tabela126[Country],Tabela1[[#This Row],[Country]],Tabela126[Classification],"&gt;0")</f>
        <v>0</v>
      </c>
      <c r="DP39" s="6">
        <f>COUNTIFS(Tabela126130[Country],Tabela1[[#This Row],[Country]],Tabela126130[Classification],"&gt;0")</f>
        <v>0</v>
      </c>
      <c r="DQ39" s="6">
        <f>COUNTIFS(Table70[Country],Tabela1[[#This Row],[Country]],Table70[Classification],"&gt;0")</f>
        <v>0</v>
      </c>
      <c r="DR39" s="6">
        <f>COUNTIFS(Table80[Country],Tabela1[[#This Row],[Country]],Table80[Classification],"&gt;0")</f>
        <v>0</v>
      </c>
      <c r="DS39" s="6">
        <f>COUNTIFS(Table66[Country],Tabela1[[#This Row],[Country]],Table66[Classification],"&gt;0")</f>
        <v>0</v>
      </c>
      <c r="DT39" s="6">
        <f>COUNTIFS(Table67[Country],Tabela1[[#This Row],[Country]],Table67[Classification],"&gt;0")</f>
        <v>0</v>
      </c>
      <c r="DU39" s="6">
        <f>COUNTIFS(Table69[Country],Tabela1[[#This Row],[Country]],Table69[Keirin Classification],"&gt;0")</f>
        <v>0</v>
      </c>
      <c r="DV39" s="6">
        <f>COUNTIFS(Table41[Country],Tabela1[[#This Row],[Country]],Table41[Keirin Classification],"&gt;0")</f>
        <v>0</v>
      </c>
      <c r="DW39" s="6">
        <f>COUNTIFS(Table84[Country],Tabela1[[#This Row],[Country]],Table84[Men''s Madison Classification],"&gt;0")</f>
        <v>0</v>
      </c>
      <c r="DX39" s="6">
        <f>COUNTIFS(Table84[Country],Tabela1[[#This Row],[Country]],Table84[Women''s Madison Classification],"&gt;0")</f>
        <v>0</v>
      </c>
      <c r="DY39" s="6">
        <f>COUNTIFS(Table69[Country],Tabela1[[#This Row],[Country]],Table69[Omnium Classification],"&gt;0")</f>
        <v>0</v>
      </c>
      <c r="DZ39" s="6">
        <f>COUNTIFS(Table41[Country],Tabela1[[#This Row],[Country]],Table41[Omnium Classification],"&gt;0")</f>
        <v>0</v>
      </c>
      <c r="EA39" s="6">
        <f>COUNTIFS(Table9[Country],Tabela1[[#This Row],[Country]],Table9[Road Race Classification],"&gt;0")</f>
        <v>1</v>
      </c>
      <c r="EB39" s="6">
        <f>COUNTIFS(Table14[Country],Tabela1[[#This Row],[Country]],Table14[Road Race Classification],"&gt;0")</f>
        <v>0</v>
      </c>
      <c r="EC39" s="6">
        <f>COUNTIFS(Table69[Country],Tabela1[[#This Row],[Country]],Table69[Sprint Classification],"&gt;0")</f>
        <v>0</v>
      </c>
      <c r="ED39" s="6">
        <f>COUNTIFS(Table41[Country],Tabela1[[#This Row],[Country]],Table41[Sprint Classification],"&gt;0")</f>
        <v>0</v>
      </c>
      <c r="EE39" s="6">
        <f>COUNTIFS(Table85[Country],Tabela1[[#This Row],[Country]],Table85[Men''s Sprint Classification],"&gt;0")</f>
        <v>0</v>
      </c>
      <c r="EF39" s="6">
        <f>COUNTIFS(Table85[Country],Tabela1[[#This Row],[Country]],Table85[Women''s Sprint Classification],"&gt;0")</f>
        <v>0</v>
      </c>
      <c r="EG39" s="6">
        <f>COUNTIFS(Table85[Country],Tabela1[[#This Row],[Country]],Table85[Men''s Pursuit Classification],"&gt;0")</f>
        <v>0</v>
      </c>
      <c r="EH39" s="6">
        <f>COUNTIFS(Table85[Country],Tabela1[[#This Row],[Country]],Table85[Women''s Pursuit Classification],"&gt;0")</f>
        <v>0</v>
      </c>
      <c r="EI39" s="6">
        <f>COUNTIFS(Table9[Country],Tabela1[[#This Row],[Country]],Table9[Time-Trial Classification],"&gt;0")</f>
        <v>0</v>
      </c>
      <c r="EJ39" s="6">
        <f>COUNTIFS(Table14[Country],Tabela1[[#This Row],[Country]],Table14[Time-Trial Classification],"&gt;0")</f>
        <v>0</v>
      </c>
      <c r="EK39" s="6">
        <f>COUNTIFS(Table42[Country],Tabela1[[#This Row],[Country]],Table42[Springboard Classification],"&gt;0")</f>
        <v>0</v>
      </c>
      <c r="EL39" s="6">
        <f>COUNTIFS(Table43[Country],Tabela1[[#This Row],[Country]],Table43[Springboard Classification],"&gt;0")</f>
        <v>0</v>
      </c>
      <c r="EM39" s="6">
        <f>COUNTIFS(Table42[Country],Tabela1[[#This Row],[Country]],Table42[Platform Classification],"&gt;0")</f>
        <v>0</v>
      </c>
      <c r="EN39" s="6">
        <f>COUNTIFS(Table43[Country],Tabela1[[#This Row],[Country]],Table43[Platform Classification],"&gt;0")</f>
        <v>0</v>
      </c>
      <c r="EO39" s="6">
        <f>COUNTIFS(Table86[Country],Tabela1[[#This Row],[Country]],Table86[Men''s Synchronized Springboard Classification],"&gt;0")</f>
        <v>0</v>
      </c>
      <c r="EP39" s="6">
        <f>COUNTIFS(Table86[Country],Tabela1[[#This Row],[Country]],Table86[Women''s Synchronized Springboard Classification],"&gt;0")</f>
        <v>0</v>
      </c>
      <c r="EQ39" s="6">
        <f>COUNTIFS(Table86[Country],Tabela1[[#This Row],[Country]],Table86[Men''s Synchronized Platform Classification],"&gt;0")</f>
        <v>0</v>
      </c>
      <c r="ER39" s="6">
        <f>COUNTIFS(Table86[Country],Tabela1[[#This Row],[Country]],Table86[Women''s Synchronized Platform Classification],"&gt;0")</f>
        <v>0</v>
      </c>
      <c r="ES39" s="6">
        <f>COUNTIFS(Table44[Country],Tabela1[[#This Row],[Country]],Table44[Dressage Classification],"&gt;0")</f>
        <v>0</v>
      </c>
      <c r="ET39" s="6">
        <f>COUNTIFS(Table45[Country],Tabela1[[#This Row],[Country]],Table45[Dressage Classification],"&gt;0")</f>
        <v>0</v>
      </c>
      <c r="EU39" s="6">
        <f>COUNTIFS(Table44[Country],Tabela1[[#This Row],[Country]],Table44[Eventing Classification],"&gt;0")</f>
        <v>0</v>
      </c>
      <c r="EV39" s="6">
        <f>COUNTIFS(Table45[Country],Tabela1[[#This Row],[Country]],Table45[Eventing Classification],"&gt;0")</f>
        <v>0</v>
      </c>
      <c r="EW39" s="6">
        <f>COUNTIFS(Table44[Country],Tabela1[[#This Row],[Country]],Table44[Jumping Classification],"&gt;0")</f>
        <v>0</v>
      </c>
      <c r="EX39" s="6">
        <f>COUNTIFS(Table45[Country],Tabela1[[#This Row],[Country]],Table45[Jumping Classification],"&gt;0")</f>
        <v>0</v>
      </c>
      <c r="EY39" s="6">
        <f>COUNTIFS(Table10[Country],Tabela1[[#This Row],[Country]],Table10[Épée Classification],"&gt;0")</f>
        <v>0</v>
      </c>
      <c r="EZ39" s="6">
        <f>COUNTIFS(Table11[Country],Tabela1[[#This Row],[Country]],Table11[Épée Classification],"&gt;0")</f>
        <v>0</v>
      </c>
      <c r="FA39" s="6">
        <f>COUNTIFS(Table46[Country],Tabela1[[#This Row],[Country]],Table46[Men''s Épée Classification],"&gt;0")</f>
        <v>0</v>
      </c>
      <c r="FB39" s="6">
        <f>COUNTIFS(Table46[Country],Tabela1[[#This Row],[Country]],Table46[Women''s Épée Classification],"&gt;0")</f>
        <v>0</v>
      </c>
      <c r="FC39" s="6">
        <f>COUNTIFS(Table10[Country],Tabela1[[#This Row],[Country]],Table10[Foil Classification],"&gt;0")</f>
        <v>0</v>
      </c>
      <c r="FD39" s="6">
        <f>COUNTIFS(Table11[Country],Tabela1[[#This Row],[Country]],Table11[Foil Classification],"&gt;0")</f>
        <v>0</v>
      </c>
      <c r="FE39" s="6">
        <f>COUNTIFS(Table46[Country],Tabela1[[#This Row],[Country]],Table46[Men''s Foil Classification],"&gt;0")</f>
        <v>0</v>
      </c>
      <c r="FF39" s="6">
        <f>COUNTIFS(Table46[Country],Tabela1[[#This Row],[Country]],Table46[Women''s Foil Classification],"&gt;0")</f>
        <v>0</v>
      </c>
      <c r="FG39" s="6">
        <f>COUNTIFS(Table10[Country],Tabela1[[#This Row],[Country]],Table10[Sabre Classification],"&gt;0")</f>
        <v>0</v>
      </c>
      <c r="FH39" s="6">
        <f>COUNTIFS(Table11[Country],Tabela1[[#This Row],[Country]],Table11[Sabre Classification],"&gt;0")</f>
        <v>0</v>
      </c>
      <c r="FI39" s="6">
        <f>COUNTIFS(Table46[Country],Tabela1[[#This Row],[Country]],Table46[Men''s Sabre Classification],"&gt;0")</f>
        <v>0</v>
      </c>
      <c r="FJ39" s="6">
        <f>COUNTIFS(Table46[Country],Tabela1[[#This Row],[Country]],Table46[Women''s Sabre Classification],"&gt;0")</f>
        <v>0</v>
      </c>
      <c r="FK39" s="6">
        <f>COUNTIFS(Table91[Country],Tabela1[[#This Row],[Country]],Table91[Men''s Classification],"&gt;0")</f>
        <v>0</v>
      </c>
      <c r="FL39" s="6">
        <f>COUNTIFS(Table91[Country],Tabela1[[#This Row],[Country]],Table91[Women''s Classification],"&gt;0")</f>
        <v>0</v>
      </c>
      <c r="FM39" s="6">
        <f>COUNTIFS(Table9194[Country],Tabela1[[#This Row],[Country]],Table9194[Men''s Classification],"&gt;0")</f>
        <v>0</v>
      </c>
      <c r="FN39" s="6">
        <f>COUNTIFS(Table9194[Country],Tabela1[[#This Row],[Country]],Table9194[Women''s Classification],"&gt;0")</f>
        <v>0</v>
      </c>
      <c r="FO39" s="6">
        <f>COUNTIFS(Table71[Country],Tabela1[[#This Row],[Country]],Table71[Classification],"&gt;0")</f>
        <v>0</v>
      </c>
      <c r="FP39" s="6">
        <f>COUNTIFS(Table62[Country],Tabela1[[#This Row],[Country]],Table62[Classification],"&gt;0")</f>
        <v>0</v>
      </c>
      <c r="FQ39" s="6">
        <f>COUNTIFS(Table47[Country],Tabela1[[#This Row],[Country]],Table47[All-Around Classification],"&gt;0")</f>
        <v>1</v>
      </c>
      <c r="FR39" s="6">
        <f>COUNTIFS(Table48[Country],Tabela1[[#This Row],[Country]],Table48[All-Around Classification],"&gt;0")</f>
        <v>0</v>
      </c>
      <c r="FS39" s="6">
        <f>COUNTIFS(Table81[Country],Tabela1[[#This Row],[Country]],Table81[Men''s All-Around Classification],"&gt;0")</f>
        <v>1</v>
      </c>
      <c r="FT39" s="6">
        <f>COUNTIFS(Table81[Country],Tabela1[[#This Row],[Country]],Table81[Women''s All-Around Classification],"&gt;0")</f>
        <v>0</v>
      </c>
      <c r="FU39" s="6">
        <f>COUNTIFS(Table48[Country],Tabela1[[#This Row],[Country]],Table48[Balance Beam Classification],"&gt;0")</f>
        <v>0</v>
      </c>
      <c r="FV39" s="6">
        <f>COUNTIFS(Table47[Country],Tabela1[[#This Row],[Country]],Table47[Floor Exercise Classification],"&gt;0")</f>
        <v>1</v>
      </c>
      <c r="FW39" s="6">
        <f>COUNTIFS(Table48[Country],Tabela1[[#This Row],[Country]],Table48[Floor Exercise Classification],"&gt;0")</f>
        <v>0</v>
      </c>
      <c r="FX39" s="6">
        <f>COUNTIFS(Table47[Country],Tabela1[[#This Row],[Country]],Table47[Horizontal Bar Classification],"&gt;0")</f>
        <v>2</v>
      </c>
      <c r="FY39" s="6">
        <f>COUNTIFS(Table47[Country],Tabela1[[#This Row],[Country]],Table47[Parallel Bars Classification],"&gt;0")</f>
        <v>3</v>
      </c>
      <c r="FZ39" s="6">
        <f>COUNTIFS(Table47[Country],Tabela1[[#This Row],[Country]],Table47[Pommel Horse Classification],"&gt;0")</f>
        <v>2</v>
      </c>
      <c r="GA39" s="6">
        <f>COUNTIFS(Table47[Country],Tabela1[[#This Row],[Country]],Table47[Rings Classification],"&gt;0")</f>
        <v>2</v>
      </c>
      <c r="GB39" s="6">
        <f>COUNTIFS(Tabela132[Country],Tabela1[[#This Row],[Country]],Tabela132[Classification],"&gt;0")</f>
        <v>0</v>
      </c>
      <c r="GC39" s="6">
        <f>COUNTIFS(Tabela139[Country],Tabela1[[#This Row],[Country]],Tabela139[Classification],"&gt;0")</f>
        <v>0</v>
      </c>
      <c r="GD39" s="6">
        <f>COUNTIFS(Table48[Country],Tabela1[[#This Row],[Country]],Table48[Uneven Bars Classification],"&gt;0")</f>
        <v>0</v>
      </c>
      <c r="GE39" s="6">
        <f>COUNTIFS(Table47[Country],Tabela1[[#This Row],[Country]],Table47[Vault Classification],"&gt;0")</f>
        <v>0</v>
      </c>
      <c r="GF39" s="6">
        <f>COUNTIFS(Table48[Country],Tabela1[[#This Row],[Country]],Table48[Vault Classification],"&gt;0")</f>
        <v>0</v>
      </c>
      <c r="GG39" s="6">
        <f>COUNTIFS(Table919496[Country],Tabela1[[#This Row],[Country]],Table919496[Men''s Classification],"&gt;0")</f>
        <v>0</v>
      </c>
      <c r="GH39" s="6">
        <f>COUNTIFS(Table919496[Country],Tabela1[[#This Row],[Country]],Table919496[Women''s Classification],"&gt;0")</f>
        <v>0</v>
      </c>
      <c r="GI39" s="6">
        <f>COUNTIFS(Table12[Country],Tabela1[[#This Row],[Country]],Table12[60kg Classification],"&gt;0")</f>
        <v>0</v>
      </c>
      <c r="GJ39" s="6">
        <f>COUNTIFS(Table12[Country],Tabela1[[#This Row],[Country]],Table12[66kg Classification],"&gt;0")</f>
        <v>0</v>
      </c>
      <c r="GK39" s="6">
        <f>COUNTIFS(Table12[Country],Tabela1[[#This Row],[Country]],Table12[73kg Classification],"&gt;0")</f>
        <v>0</v>
      </c>
      <c r="GL39" s="6">
        <f>COUNTIFS(Table12[Country],Tabela1[[#This Row],[Country]],Table12[81kg Classification],"&gt;0")</f>
        <v>0</v>
      </c>
      <c r="GM39" s="6">
        <f>COUNTIFS(Table12[Country],Tabela1[[#This Row],[Country]],Table12[90kg Classification],"&gt;0")</f>
        <v>1</v>
      </c>
      <c r="GN39" s="6">
        <f>COUNTIFS(Table12[Country],Tabela1[[#This Row],[Country]],Table12[100kg Classification],"&gt;0")</f>
        <v>0</v>
      </c>
      <c r="GO39" s="6">
        <f>COUNTIFS(Table12[Country],Tabela1[[#This Row],[Country]],Table12[Plus 100kg Classification],"&gt;0")</f>
        <v>0</v>
      </c>
      <c r="GP39" s="6">
        <f>COUNTIFS(Table13[Country],Tabela1[[#This Row],[Country]],Table13[48kg Classification],"&gt;0")</f>
        <v>0</v>
      </c>
      <c r="GQ39" s="6">
        <f>COUNTIFS(Table13[Country],Tabela1[[#This Row],[Country]],Table13[52kg Classification],"&gt;0")</f>
        <v>0</v>
      </c>
      <c r="GR39" s="6">
        <f>COUNTIFS(Table13[Country],Tabela1[[#This Row],[Country]],Table13[57kg Classification],"&gt;0")</f>
        <v>0</v>
      </c>
      <c r="GS39" s="6">
        <f>COUNTIFS(Table13[Country],Tabela1[[#This Row],[Country]],Table13[63kg Classification],"&gt;0")</f>
        <v>0</v>
      </c>
      <c r="GT39" s="6">
        <f>COUNTIFS(Table13[Country],Tabela1[[#This Row],[Country]],Table13[70kg Classification],"&gt;0")</f>
        <v>0</v>
      </c>
      <c r="GU39" s="6">
        <f>COUNTIFS(Table13[Country],Tabela1[[#This Row],[Country]],Table13[78kg Classification],"&gt;0")</f>
        <v>0</v>
      </c>
      <c r="GV39" s="6">
        <f>COUNTIFS(Table13[Country],Tabela1[[#This Row],[Country]],Table13[Plus 78kg Classification],"&gt;0")</f>
        <v>0</v>
      </c>
      <c r="GW39" s="6">
        <f>COUNTIFS(Table82[Country],Tabela1[[#This Row],[Country]],Table82[Mixed Classification],"&gt;0")</f>
        <v>1</v>
      </c>
      <c r="GX39" s="6">
        <f>COUNTIFS(Table51[Country],Tabela1[[#This Row],[Country]],Table51[Classification],"&gt;0")</f>
        <v>0</v>
      </c>
      <c r="GY39" s="6">
        <f>COUNTIFS(Table52[Country],Tabela1[[#This Row],[Country]],Table52[Classification],"&gt;0")</f>
        <v>0</v>
      </c>
      <c r="GZ39" s="6">
        <f>COUNTIFS(Table32[Country],Tabela1[[#This Row],[Country]],Table32[All-Around Classification],"&gt;0")</f>
        <v>0</v>
      </c>
      <c r="HA39" s="6">
        <f>COUNTIFS(Table49[Country],Tabela1[[#This Row],[Country]],Table49[All-Around Classification],"&gt;0")</f>
        <v>0</v>
      </c>
      <c r="HB39" s="6">
        <f>COUNTIFS(Table26[Country],Tabela1[[#This Row],[Country]],Table26[Single Sculls Classification],"&gt;0")</f>
        <v>0</v>
      </c>
      <c r="HC39" s="6">
        <f>COUNTIFS(Table63[Country],Tabela1[[#This Row],[Country]],Table63[Single Sculls Classification],"&gt;0")</f>
        <v>0</v>
      </c>
      <c r="HD39" s="6">
        <f>COUNTIFS(Table16[Country],Tabela1[[#This Row],[Country]],Table16[Men''s Double Sculls Classification],"&gt;0")</f>
        <v>0</v>
      </c>
      <c r="HE39" s="6">
        <f>COUNTIFS(Table16[Country],Tabela1[[#This Row],[Country]],Table16[Women''s Double Sculls Classification],"&gt;0")</f>
        <v>0</v>
      </c>
      <c r="HF39" s="6">
        <f>COUNTIFS(Table72[Country],Tabela1[[#This Row],[Country]],Table72[Men''s Quadruple Sculls Classification],"&gt;0")</f>
        <v>0</v>
      </c>
      <c r="HG39" s="6">
        <f>COUNTIFS(Table72[Country],Tabela1[[#This Row],[Country]],Table72[Women''s Quadruple Sculls Classification],"&gt;0")</f>
        <v>0</v>
      </c>
      <c r="HH39" s="6">
        <f>COUNTIFS(Table16[Country],Tabela1[[#This Row],[Country]],Table16[Men''s Coxless Pairs Classification],"&gt;0")</f>
        <v>0</v>
      </c>
      <c r="HI39" s="6">
        <f>COUNTIFS(Table16[Country],Tabela1[[#This Row],[Country]],Table16[Women''s Coxless Pairs Classification],"&gt;0")</f>
        <v>0</v>
      </c>
      <c r="HJ39" s="6">
        <f>COUNTIFS(Table72[Country],Tabela1[[#This Row],[Country]],Table72[Men''s Coxless Fours Classification],"&gt;0")</f>
        <v>0</v>
      </c>
      <c r="HK39" s="6">
        <f>COUNTIFS(Table72[Country],Tabela1[[#This Row],[Country]],Table72[Women''s Coxless Fours Classification],"&gt;0")</f>
        <v>0</v>
      </c>
      <c r="HL39" s="6">
        <f>COUNTIFS(Table72[Country],Tabela1[[#This Row],[Country]],Table72[Men''s Eights Classification],"&gt;0")</f>
        <v>0</v>
      </c>
      <c r="HM39" s="6">
        <f>COUNTIFS(Table72[Country],Tabela1[[#This Row],[Country]],Table72[Women''s Eights Classification],"&gt;0")</f>
        <v>0</v>
      </c>
      <c r="HN39" s="6">
        <f>COUNTIFS(Table16[Country],Tabela1[[#This Row],[Country]],Table16[Men''s Lwt. Double Sculls Classification],"&gt;0")</f>
        <v>0</v>
      </c>
      <c r="HO39" s="6">
        <f>COUNTIFS(Table16[Country],Tabela1[[#This Row],[Country]],Table16[Women''s Lwt. Double Sculls Classification],"&gt;0")</f>
        <v>0</v>
      </c>
      <c r="HP39" s="6">
        <f>COUNTIFS(Table91949698[Country],Tabela1[[#This Row],[Country]],Table91949698[Men''s Classification],"&gt;0")</f>
        <v>0</v>
      </c>
      <c r="HQ39" s="6">
        <f>COUNTIFS(Table91949698[Country],Tabela1[[#This Row],[Country]],Table91949698[Women''s Classification],"&gt;0")</f>
        <v>0</v>
      </c>
      <c r="HR39" s="6">
        <f>COUNTIFS(Table25[Country],Tabela1[[#This Row],[Country]],Table25[Mixed 470 Classification],"&gt;0")</f>
        <v>1</v>
      </c>
      <c r="HS39" s="6">
        <f>COUNTIFS(Table25[Country],Tabela1[[#This Row],[Country]],Table25[Men''s 49er Classification],"&gt;0")</f>
        <v>0</v>
      </c>
      <c r="HT39" s="6">
        <f>COUNTIFS(Table25[Country],Tabela1[[#This Row],[Country]],Table25[Women''s 49er FX Classification],"&gt;0")</f>
        <v>0</v>
      </c>
      <c r="HU39" s="6">
        <f>COUNTIFS(Table17[Country],Tabela1[[#This Row],[Country]],Table17[Formula Kite Classification],"&gt;0")</f>
        <v>0</v>
      </c>
      <c r="HV39" s="6">
        <f>COUNTIFS(Table18[Country],Tabela1[[#This Row],[Country]],Table18[Formula Kite Classification],"&gt;0")</f>
        <v>0</v>
      </c>
      <c r="HW39" s="6">
        <f>COUNTIFS(Table17[Country],Tabela1[[#This Row],[Country]],Table17[ILCA 7 Classification],"&gt;0")</f>
        <v>0</v>
      </c>
      <c r="HX39" s="6">
        <f>COUNTIFS(Table18[Country],Tabela1[[#This Row],[Country]],Table18[ILCA 6 Classification],"&gt;0")</f>
        <v>0</v>
      </c>
      <c r="HY39" s="6">
        <f>COUNTIFS(Table17[Country],Tabela1[[#This Row],[Country]],Table17[IQFoil Classification],"&gt;0")</f>
        <v>0</v>
      </c>
      <c r="HZ39" s="6">
        <f>COUNTIFS(Table18[Country],Tabela1[[#This Row],[Country]],Table18[IQFoil Classification],"&gt;0")</f>
        <v>0</v>
      </c>
      <c r="IA39" s="6">
        <f>COUNTIFS(Table25[Country],Tabela1[[#This Row],[Country]],Table25[Mixed Nacra 17 Classification],"&gt;0")</f>
        <v>1</v>
      </c>
      <c r="IB39" s="6">
        <f>COUNTIFS(Table53[Country],Tabela1[[#This Row],[Country]],Table53[10m Air Pistol Classification],"&gt;0")</f>
        <v>0</v>
      </c>
      <c r="IC39" s="6">
        <f>COUNTIFS(Table19[Country],Tabela1[[#This Row],[Country]],Table19[10m Air Pistol Classification],"&gt;0")</f>
        <v>0</v>
      </c>
      <c r="ID39" s="6">
        <f>COUNTIFS(Table54[Country],Tabela1[[#This Row],[Country]],Table54[Mixed 10m Air Pistol Team Classification],"&gt;0")</f>
        <v>0</v>
      </c>
      <c r="IE39" s="6">
        <f>COUNTIFS(Table53[Country],Tabela1[[#This Row],[Country]],Table53[10m Air Rifle Classification],"&gt;0")</f>
        <v>0</v>
      </c>
      <c r="IF39" s="6">
        <f>COUNTIFS(Table19[Country],Tabela1[[#This Row],[Country]],Table19[10m Air Rifle Classification],"&gt;0")</f>
        <v>0</v>
      </c>
      <c r="IG39" s="6">
        <f>COUNTIFS(Table54[Country],Tabela1[[#This Row],[Country]],Table54[Mixed 10m Air Rifle Team Classification],"&gt;0")</f>
        <v>0</v>
      </c>
      <c r="IH39" s="6">
        <f>COUNTIFS(Table53[Country],Tabela1[[#This Row],[Country]],Table53[25m Rapid Fire Pistol Classification],"&gt;0")</f>
        <v>0</v>
      </c>
      <c r="II39" s="6">
        <f>COUNTIFS(Table19[Country],Tabela1[[#This Row],[Country]],Table19[25m Pistol Classification],"&gt;0")</f>
        <v>0</v>
      </c>
      <c r="IJ39" s="6">
        <f>COUNTIFS(Table53[Country],Tabela1[[#This Row],[Country]],Table53[50m Rifle 3 Positions Classification],"&gt;0")</f>
        <v>0</v>
      </c>
      <c r="IK39" s="6">
        <f>COUNTIFS(Table19[Country],Tabela1[[#This Row],[Country]],Table19[50m Rifle 3 Positions Classification],"&gt;0")</f>
        <v>0</v>
      </c>
      <c r="IL39" s="6">
        <f>COUNTIFS(Table53[Country],Tabela1[[#This Row],[Country]],Table53[Skeet Classification],"&gt;0")</f>
        <v>0</v>
      </c>
      <c r="IM39" s="6">
        <f>COUNTIFS(Table19[Country],Tabela1[[#This Row],[Country]],Table19[Skeet Classification],"&gt;0")</f>
        <v>0</v>
      </c>
      <c r="IN39" s="6">
        <f>COUNTIFS(Table54[Country],Tabela1[[#This Row],[Country]],Table54[Mixed Skeet Team Classification],"&gt;0")</f>
        <v>0</v>
      </c>
      <c r="IO39" s="6">
        <f>COUNTIFS(Table53[Country],Tabela1[[#This Row],[Country]],Table53[Trap Classification],"&gt;0")</f>
        <v>0</v>
      </c>
      <c r="IP39" s="6">
        <f>COUNTIFS(Table19[Country],Tabela1[[#This Row],[Country]],Table19[Trap Classification],"&gt;0")</f>
        <v>0</v>
      </c>
      <c r="IQ39" s="6">
        <f>COUNTIFS(Table73[Country],Tabela1[[#This Row],[Country]],Table73[Park Classification],"&gt;0")</f>
        <v>0</v>
      </c>
      <c r="IR39" s="6">
        <f>COUNTIFS(Table74[Country],Tabela1[[#This Row],[Country]],Table74[Park Classification],"&gt;0")</f>
        <v>0</v>
      </c>
      <c r="IS39" s="6">
        <f>COUNTIFS(Table73[Country],Tabela1[[#This Row],[Country]],Table73[Street Classification],"&gt;0")</f>
        <v>0</v>
      </c>
      <c r="IT39" s="6">
        <f>COUNTIFS(Table74[Country],Tabela1[[#This Row],[Country]],Table74[Street Classification],"&gt;0")</f>
        <v>0</v>
      </c>
      <c r="IU39" s="6">
        <f>COUNTIFS(Table75[Country],Tabela1[[#This Row],[Country]],Table75[Boulder and Lead Classification],"&gt;0")</f>
        <v>0</v>
      </c>
      <c r="IV39" s="6">
        <f>COUNTIFS(Table76[Country],Tabela1[[#This Row],[Country]],Table76[Boulder and Lead Classification],"&gt;0")</f>
        <v>0</v>
      </c>
      <c r="IW39" s="6">
        <f>COUNTIFS(Table75[Country],Tabela1[[#This Row],[Country]],Table75[Speed Classification],"&gt;0")</f>
        <v>0</v>
      </c>
      <c r="IX39" s="6">
        <f>COUNTIFS(Table76[Country],Tabela1[[#This Row],[Country]],Table76[Speed Classification],"&gt;0")</f>
        <v>0</v>
      </c>
      <c r="IY39" s="6">
        <f>COUNTIFS(Table64[Country],Tabela1[[#This Row],[Country]],Table64[Shortboard Classification],"&gt;0")</f>
        <v>0</v>
      </c>
      <c r="IZ39" s="6">
        <f>COUNTIFS(Table77[Country],Tabela1[[#This Row],[Country]],Table77[Shortboard Classification],"&gt;0")</f>
        <v>0</v>
      </c>
      <c r="JA39" s="6">
        <f>COUNTIFS(Table20[Country],Tabela1[[#This Row],[Country]],Table20[50m Freestyle Classification],"&gt;0")</f>
        <v>0</v>
      </c>
      <c r="JB39" s="6">
        <f>COUNTIFS(Table21[Country],Tabela1[[#This Row],[Country]],Table21[50m Freestyle Classification],"&gt;0")</f>
        <v>0</v>
      </c>
      <c r="JC39" s="6">
        <f>COUNTIFS(Table20[Country],Tabela1[[#This Row],[Country]],Table20[100m Freestyle Classification],"&gt;0")</f>
        <v>0</v>
      </c>
      <c r="JD39" s="6">
        <f>COUNTIFS(Table21[Country],Tabela1[[#This Row],[Country]],Table21[100m Freestyle Classification],"&gt;0")</f>
        <v>0</v>
      </c>
      <c r="JE39" s="6">
        <f>COUNTIFS(Table20[Country],Tabela1[[#This Row],[Country]],Table20[200m Freestyle Classification],"&gt;0")</f>
        <v>0</v>
      </c>
      <c r="JF39" s="6">
        <f>COUNTIFS(Table21[Country],Tabela1[[#This Row],[Country]],Table21[200m Freestyle Classification],"&gt;0")</f>
        <v>0</v>
      </c>
      <c r="JG39" s="6">
        <f>COUNTIFS(Table20[Country],Tabela1[[#This Row],[Country]],Table20[400m Freestyle Classification],"&gt;0")</f>
        <v>0</v>
      </c>
      <c r="JH39" s="6">
        <f>COUNTIFS(Table21[Country],Tabela1[[#This Row],[Country]],Table21[400m Freestyle Classification],"&gt;0")</f>
        <v>0</v>
      </c>
      <c r="JI39" s="6">
        <f>COUNTIFS(Table20[Country],Tabela1[[#This Row],[Country]],Table20[800m Freestyle Classification],"&gt;0")</f>
        <v>0</v>
      </c>
      <c r="JJ39" s="6">
        <f>COUNTIFS(Table21[Country],Tabela1[[#This Row],[Country]],Table21[800m Freestyle Classification],"&gt;0")</f>
        <v>0</v>
      </c>
      <c r="JK39" s="6">
        <f>COUNTIFS(Table20[Country],Tabela1[[#This Row],[Country]],Table20[1500m Freestyle Classification],"&gt;0")</f>
        <v>0</v>
      </c>
      <c r="JL39" s="6">
        <f>COUNTIFS(Table21[Country],Tabela1[[#This Row],[Country]],Table21[1500m Freestyle Classification],"&gt;0")</f>
        <v>0</v>
      </c>
      <c r="JM39" s="6">
        <f>COUNTIFS(Table20[Country],Tabela1[[#This Row],[Country]],Table20[100m Backstroke Classification],"&gt;0")</f>
        <v>0</v>
      </c>
      <c r="JN39" s="6">
        <f>COUNTIFS(Table21[Country],Tabela1[[#This Row],[Country]],Table21[100m Backstroke Classification],"&gt;0")</f>
        <v>0</v>
      </c>
      <c r="JO39" s="6">
        <f>COUNTIFS(Table20[Country],Tabela1[[#This Row],[Country]],Table20[200m Backstroke Classification],"&gt;0")</f>
        <v>0</v>
      </c>
      <c r="JP39" s="6">
        <f>COUNTIFS(Table21[Country],Tabela1[[#This Row],[Country]],Table21[200m Backstroke Classification],"&gt;0")</f>
        <v>0</v>
      </c>
      <c r="JQ39" s="6">
        <f>COUNTIFS(Table20[Country],Tabela1[[#This Row],[Country]],Table20[100m Breaststroke Classification],"&gt;0")</f>
        <v>1</v>
      </c>
      <c r="JR39" s="6">
        <f>COUNTIFS(Table21[Country],Tabela1[[#This Row],[Country]],Table21[100m Breaststroke Classification],"&gt;0")</f>
        <v>0</v>
      </c>
      <c r="JS39" s="6">
        <f>COUNTIFS(Table20[Country],Tabela1[[#This Row],[Country]],Table20[200m Breaststroke Classification],"&gt;0")</f>
        <v>0</v>
      </c>
      <c r="JT39" s="6">
        <f>COUNTIFS(Table21[Country],Tabela1[[#This Row],[Country]],Table21[200m Breaststroke Classification],"&gt;0")</f>
        <v>0</v>
      </c>
      <c r="JU39" s="6">
        <f>COUNTIFS(Table20[Country],Tabela1[[#This Row],[Country]],Table20[100m Butterfly Classification],"&gt;0")</f>
        <v>0</v>
      </c>
      <c r="JV39" s="6">
        <f>COUNTIFS(Table21[Country],Tabela1[[#This Row],[Country]],Table21[100m Butterfly Classification],"&gt;0")</f>
        <v>0</v>
      </c>
      <c r="JW39" s="6">
        <f>COUNTIFS(Table20[Country],Tabela1[[#This Row],[Country]],Table20[200m Butterfly Classification],"&gt;0")</f>
        <v>0</v>
      </c>
      <c r="JX39" s="6">
        <f>COUNTIFS(Table21[Country],Tabela1[[#This Row],[Country]],Table21[200m Butterfly Classification],"&gt;0")</f>
        <v>0</v>
      </c>
      <c r="JY39" s="6">
        <f>COUNTIFS(Table20[Country],Tabela1[[#This Row],[Country]],Table20[200m Medley Classification],"&gt;0")</f>
        <v>0</v>
      </c>
      <c r="JZ39" s="6">
        <f>COUNTIFS(Table21[Country],Tabela1[[#This Row],[Country]],Table21[200m Medley Classification],"&gt;0")</f>
        <v>0</v>
      </c>
      <c r="KA39" s="6">
        <f>COUNTIFS(Table20[Country],Tabela1[[#This Row],[Country]],Table20[400m Medley Classification],"&gt;0")</f>
        <v>0</v>
      </c>
      <c r="KB39" s="6">
        <f>COUNTIFS(Table21[Country],Tabela1[[#This Row],[Country]],Table21[400m Medley Classification],"&gt;0")</f>
        <v>0</v>
      </c>
      <c r="KC39" s="6">
        <f>COUNTIFS(Table78[Country],Tabela1[[#This Row],[Country]],Table78[Men''s 4x100m Freestyle Relay Classification],"&gt;0")</f>
        <v>0</v>
      </c>
      <c r="KD39" s="6">
        <f>COUNTIFS(Table78[Country],Tabela1[[#This Row],[Country]],Table78[Women''s 4x100m Freestyle Relay Classification],"&gt;0")</f>
        <v>0</v>
      </c>
      <c r="KE39" s="6">
        <f>COUNTIFS(Table78[Country],Tabela1[[#This Row],[Country]],Table78[Men''s 4x200m Freestyle Relay Classification],"&gt;0")</f>
        <v>0</v>
      </c>
      <c r="KF39" s="6">
        <f>COUNTIFS(Table78[Country],Tabela1[[#This Row],[Country]],Table78[Women''s 4x200m Freestyle Relay Classification],"&gt;0")</f>
        <v>0</v>
      </c>
      <c r="KG39" s="6">
        <f>COUNTIFS(Table78[Country],Tabela1[[#This Row],[Country]],Table78[Men''s 4x100m Medley Relay Classification],"&gt;0")</f>
        <v>0</v>
      </c>
      <c r="KH39" s="6">
        <f>COUNTIFS(Table78[Country],Tabela1[[#This Row],[Country]],Table78[Women''s 4x100m Medley Relay Classification],"&gt;0")</f>
        <v>0</v>
      </c>
      <c r="KI39" s="6">
        <f>COUNTIFS(Table78[Country],Tabela1[[#This Row],[Country]],Table78[Mixed 4x100m Medley Relay Classification],"&gt;0")</f>
        <v>0</v>
      </c>
      <c r="KJ39" s="6">
        <f>COUNTIFS(Table20[Country],Tabela1[[#This Row],[Country]],Table20[10km Open Water Classification],"&gt;0")</f>
        <v>0</v>
      </c>
      <c r="KK39" s="6">
        <f>COUNTIFS(Table21[Country],Tabela1[[#This Row],[Country]],Table21[10km Open Water Classification],"&gt;0")</f>
        <v>0</v>
      </c>
      <c r="KL39" s="6">
        <f>COUNTIFS(Table22[Country],Tabela1[[#This Row],[Country]],Table22[Classification],"&gt;0")</f>
        <v>0</v>
      </c>
      <c r="KM39" s="6">
        <f>COUNTIFS(Table30[Country],Tabela1[[#This Row],[Country]],Table30[Classification],"&gt;0")</f>
        <v>0</v>
      </c>
      <c r="KN39" s="6">
        <f>COUNTIFS(Table55[Country],Tabela1[[#This Row],[Country]],Table55[Men''s Classification],"&gt;0")</f>
        <v>0</v>
      </c>
      <c r="KO39" s="6">
        <f>COUNTIFS(Table55[Country],Tabela1[[#This Row],[Country]],Table55[Women''s Classification],"&gt;0")</f>
        <v>0</v>
      </c>
      <c r="KP39" s="6">
        <f>COUNTIFS(Table56[Country],Tabela1[[#This Row],[Country]],Table56[Mixed Classification],"&gt;0")</f>
        <v>0</v>
      </c>
      <c r="KQ39" s="6">
        <f>COUNTIFS(Table29[Country],Tabela1[[#This Row],[Country]],Table29[58kg Classification],"&gt;0")</f>
        <v>0</v>
      </c>
      <c r="KR39" s="6">
        <f>COUNTIFS(Table29[Country],Tabela1[[#This Row],[Country]],Table29[68kg Classification],"&gt;0")</f>
        <v>0</v>
      </c>
      <c r="KS39" s="6">
        <f>COUNTIFS(Table29[Country],Tabela1[[#This Row],[Country]],Table29[80kg Classification],"&gt;0")</f>
        <v>0</v>
      </c>
      <c r="KT39" s="6">
        <f>COUNTIFS(Table29[Country],Tabela1[[#This Row],[Country]],Table29[Plus 80kg Classification],"&gt;0")</f>
        <v>1</v>
      </c>
      <c r="KU39" s="6">
        <f>COUNTIFS(Table34[Country],Tabela1[[#This Row],[Country]],Table34[49kg Classification],"&gt;0")</f>
        <v>0</v>
      </c>
      <c r="KV39" s="6">
        <f>COUNTIFS(Table34[Country],Tabela1[[#This Row],[Country]],Table34[57kg Classification],"&gt;0")</f>
        <v>0</v>
      </c>
      <c r="KW39" s="6">
        <f>COUNTIFS(Table34[Country],Tabela1[[#This Row],[Country]],Table34[67kg Classification],"&gt;0")</f>
        <v>0</v>
      </c>
      <c r="KX39" s="6">
        <f>COUNTIFS(Table34[Country],Tabela1[[#This Row],[Country]],Table34[Plus 67kg Classification],"&gt;0")</f>
        <v>0</v>
      </c>
      <c r="KY39" s="6">
        <f>COUNTIFS(Table57[Country],Tabela1[[#This Row],[Country]],Table57[Classification],"&gt;0")</f>
        <v>0</v>
      </c>
      <c r="KZ39" s="6">
        <f>COUNTIFS(Table58[Country],Tabela1[[#This Row],[Country]],Table58[Classification],"&gt;0")</f>
        <v>0</v>
      </c>
      <c r="LA39" s="6">
        <f>COUNTIFS(Table79[Country],Tabela1[[#This Row],[Country]],Table79[Men''s Classification],"&gt;0")</f>
        <v>0</v>
      </c>
      <c r="LB39" s="6">
        <f>COUNTIFS(Table79[Country],Tabela1[[#This Row],[Country]],Table79[Women''s Classification],"&gt;0")</f>
        <v>0</v>
      </c>
      <c r="LC39" s="6">
        <f>COUNTIFS(Table79[Country],Tabela1[[#This Row],[Country]],Table79[Mixed Classification],"&gt;0")</f>
        <v>0</v>
      </c>
      <c r="LD39" s="6">
        <f>COUNTIFS(Table65[Country],Tabela1[[#This Row],[Country]],Table65[Classification],"&gt;0")</f>
        <v>0</v>
      </c>
      <c r="LE39" s="6">
        <f>COUNTIFS(Table59[Country],Tabela1[[#This Row],[Country]],Table59[Classification],"&gt;0")</f>
        <v>0</v>
      </c>
      <c r="LF39" s="6">
        <f>COUNTIFS(Table87[Country],Tabela1[[#This Row],[Country]],Table87[Mixed Relay Classification],"&gt;0")</f>
        <v>0</v>
      </c>
      <c r="LG39" s="6">
        <f>COUNTIFS(Table91949698100[Country],Tabela1[[#This Row],[Country]],Table91949698100[Men''s Classification],"&gt;0")</f>
        <v>0</v>
      </c>
      <c r="LH39" s="6">
        <f>COUNTIFS(Table91949698100[Country],Tabela1[[#This Row],[Country]],Table91949698100[Women''s Classification],"&gt;0")</f>
        <v>1</v>
      </c>
      <c r="LI39" s="6">
        <f>COUNTIFS(Table91949698100102[Country],Tabela1[[#This Row],[Country]],Table91949698100102[Men''s Classification],"&gt;0")</f>
        <v>0</v>
      </c>
      <c r="LJ39" s="6">
        <f>COUNTIFS(Table91949698100102[Country],Tabela1[[#This Row],[Country]],Table91949698100102[Women''s Classification],"&gt;0")</f>
        <v>0</v>
      </c>
      <c r="LK39" s="6">
        <f>COUNTIFS(Table23[Country],Tabela1[[#This Row],[Country]],Table23[61kg Classification],"&gt;0")</f>
        <v>0</v>
      </c>
      <c r="LL39" s="6">
        <f>COUNTIFS(Table23[Country],Tabela1[[#This Row],[Country]],Table23[73kg Classification],"&gt;0")</f>
        <v>0</v>
      </c>
      <c r="LM39" s="6">
        <f>COUNTIFS(Table23[Country],Tabela1[[#This Row],[Country]],Table23[89kg Classification],"&gt;0")</f>
        <v>0</v>
      </c>
      <c r="LN39" s="6">
        <f>COUNTIFS(Table23[Country],Tabela1[[#This Row],[Country]],Table23[102kg Classification],"&gt;0")</f>
        <v>0</v>
      </c>
      <c r="LO39" s="6">
        <f>COUNTIFS(Table23[Country],Tabela1[[#This Row],[Country]],Table23[Plus 102kg Classification],"&gt;0")</f>
        <v>0</v>
      </c>
      <c r="LP39" s="6">
        <f>COUNTIFS(Table28[Country],Tabela1[[#This Row],[Country]],Table28[49kg Classification],"&gt;0")</f>
        <v>0</v>
      </c>
      <c r="LQ39" s="6">
        <f>COUNTIFS(Table28[Country],Tabela1[[#This Row],[Country]],Table28[59kg Classification],"&gt;0")</f>
        <v>0</v>
      </c>
      <c r="LR39" s="6">
        <f>COUNTIFS(Table28[Country],Tabela1[[#This Row],[Country]],Table28[71kg Classification],"&gt;0")</f>
        <v>0</v>
      </c>
      <c r="LS39" s="6">
        <f>COUNTIFS(Table28[Country],Tabela1[[#This Row],[Country]],Table28[81kg Classification],"&gt;0")</f>
        <v>0</v>
      </c>
      <c r="LT39" s="6">
        <f>COUNTIFS(Table28[Country],Tabela1[[#This Row],[Country]],Table28[Plus 81kg Classification],"&gt;0")</f>
        <v>0</v>
      </c>
      <c r="LU39" s="6">
        <f>COUNTIFS(Table24[Country],Tabela1[[#This Row],[Country]],Table24[Freestyle 57kg Classification],"&gt;0")</f>
        <v>0</v>
      </c>
      <c r="LV39" s="6">
        <f>COUNTIFS(Table24[Country],Tabela1[[#This Row],[Country]],Table24[Freestyle 65kg Classification],"&gt;0")</f>
        <v>0</v>
      </c>
      <c r="LW39" s="6">
        <f>COUNTIFS(Table24[Country],Tabela1[[#This Row],[Country]],Table24[Freestyle 74kg Classification],"&gt;0")</f>
        <v>0</v>
      </c>
      <c r="LX39" s="6">
        <f>COUNTIFS(Table24[Country],Tabela1[[#This Row],[Country]],Table24[Freestyle 86kg Classification],"&gt;0")</f>
        <v>0</v>
      </c>
      <c r="LY39" s="6">
        <f>COUNTIFS(Table24[Country],Tabela1[[#This Row],[Country]],Table24[Freestyle 97kg Classification],"&gt;0")</f>
        <v>0</v>
      </c>
      <c r="LZ39" s="6">
        <f>COUNTIFS(Table24[Country],Tabela1[[#This Row],[Country]],Table24[Freestyle 125kg Classification],"&gt;0")</f>
        <v>1</v>
      </c>
      <c r="MA39" s="6">
        <f>COUNTIFS(Table24[Country],Tabela1[[#This Row],[Country]],Table24[Greco-Roman 60kg Classification],"&gt;0")</f>
        <v>0</v>
      </c>
      <c r="MB39" s="6">
        <f>COUNTIFS(Table24[Country],Tabela1[[#This Row],[Country]],Table24[Greco-Roman 67kg Classification],"&gt;0")</f>
        <v>0</v>
      </c>
      <c r="MC39" s="6">
        <f>COUNTIFS(Table24[Country],Tabela1[[#This Row],[Country]],Table24[Greco-Roman 77kg Classification],"&gt;0")</f>
        <v>0</v>
      </c>
      <c r="MD39" s="6">
        <f>COUNTIFS(Table24[Country],Tabela1[[#This Row],[Country]],Table24[Greco-Roman 87kg Classification],"&gt;0")</f>
        <v>0</v>
      </c>
      <c r="ME39" s="6">
        <f>COUNTIFS(Table24[Country],Tabela1[[#This Row],[Country]],Table24[Greco-Roman 97kg Classification],"&gt;0")</f>
        <v>0</v>
      </c>
      <c r="MF39" s="6">
        <f>COUNTIFS(Table24[Country],Tabela1[[#This Row],[Country]],Table24[Greco-Roman 130kg Classification],"&gt;0")</f>
        <v>0</v>
      </c>
      <c r="MG39" s="6">
        <f>COUNTIFS(Table31[Country],Tabela1[[#This Row],[Country]],Table31[50kg Classification],"&gt;0")</f>
        <v>0</v>
      </c>
      <c r="MH39" s="6">
        <f>COUNTIFS(Table31[Country],Tabela1[[#This Row],[Country]],Table31[53kg Classification],"&gt;0")</f>
        <v>0</v>
      </c>
      <c r="MI39" s="6">
        <f>COUNTIFS(Table31[Country],Tabela1[[#This Row],[Country]],Table31[57kg Classification],"&gt;0")</f>
        <v>0</v>
      </c>
      <c r="MJ39" s="6">
        <f>COUNTIFS(Table31[Country],Tabela1[[#This Row],[Country]],Table31[62kg Classification],"&gt;0")</f>
        <v>0</v>
      </c>
      <c r="MK39" s="6">
        <f>COUNTIFS(Table31[Country],Tabela1[[#This Row],[Country]],Table31[68kg Classification],"&gt;0")</f>
        <v>1</v>
      </c>
      <c r="ML39" s="6">
        <f>COUNTIFS(Table31[Country],Tabela1[[#This Row],[Country]],Table31[76kg Classification],"&gt;0")</f>
        <v>0</v>
      </c>
      <c r="MM39" s="6">
        <f>COUNTIFS(Table102[Country],Tabela1[[#This Row],[Country]],Table102[Downhill Classification],"&gt;0")</f>
        <v>0</v>
      </c>
      <c r="MN39" s="6">
        <f>COUNTIFS(Table102105[Country],Tabela1[[#This Row],[Country]],Table102105[Downhill Classification],"&gt;0")</f>
        <v>0</v>
      </c>
      <c r="MO39" s="6">
        <f>COUNTIFS(Table102[Country],Tabela1[[#This Row],[Country]],Table102[Giant Slalom Classification],"&gt;0")</f>
        <v>1</v>
      </c>
      <c r="MP39" s="6">
        <f>COUNTIFS(Table102105[Country],Tabela1[[#This Row],[Country]],Table102105[Giant Slalom Classification],"&gt;0")</f>
        <v>0</v>
      </c>
      <c r="MQ39" s="6">
        <f>COUNTIFS(Table102[Country],Tabela1[[#This Row],[Country]],Table102[Slalom Classification],"&gt;0")</f>
        <v>1</v>
      </c>
      <c r="MR39" s="6">
        <f>COUNTIFS(Table102105[Country],Tabela1[[#This Row],[Country]],Table102105[Slalom Classification],"&gt;0")</f>
        <v>0</v>
      </c>
      <c r="MS39" s="6">
        <f>COUNTIFS(Table102[Country],Tabela1[[#This Row],[Country]],Table102[Super-G Classification],"&gt;0")</f>
        <v>0</v>
      </c>
      <c r="MT39" s="6">
        <f>COUNTIFS(Table102105[Country],Tabela1[[#This Row],[Country]],Table102105[Super-G Classification],"&gt;0")</f>
        <v>0</v>
      </c>
      <c r="MU39" s="6">
        <f>COUNTIFS(Table105[Country],Tabela1[[#This Row],[Country]],Table105[Men''s Combined Classification],"&gt;0")</f>
        <v>0</v>
      </c>
      <c r="MV39" s="6">
        <f>COUNTIFS(Table105[Country],Tabela1[[#This Row],[Country]],Table105[Women''s Combined Classification],"&gt;0")</f>
        <v>0</v>
      </c>
      <c r="MW39" s="6">
        <f>COUNTIFS(Table106[Country],Tabela1[[#This Row],[Country]],Table106[Individual Classification],"&gt;0")</f>
        <v>0</v>
      </c>
      <c r="MX39" s="6">
        <f>COUNTIFS(Table106109[Country],Tabela1[[#This Row],[Country]],Table106109[Individual Classification],"&gt;0")</f>
        <v>0</v>
      </c>
      <c r="MY39" s="6">
        <f>COUNTIFS(Table106[Country],Tabela1[[#This Row],[Country]],Table106[Mass Start Classification],"&gt;0")</f>
        <v>0</v>
      </c>
      <c r="MZ39" s="6">
        <f>COUNTIFS(Table106109[Country],Tabela1[[#This Row],[Country]],Table106109[Mass Start Classification],"&gt;0")</f>
        <v>0</v>
      </c>
      <c r="NA39" s="6">
        <f>COUNTIFS(Table106[Country],Tabela1[[#This Row],[Country]],Table106[Pursuit Classification],"&gt;0")</f>
        <v>0</v>
      </c>
      <c r="NB39" s="6">
        <f>COUNTIFS(Table106109[Country],Tabela1[[#This Row],[Country]],Table106109[Pursuit Classification],"&gt;0")</f>
        <v>0</v>
      </c>
      <c r="NC39" s="6">
        <f>COUNTIFS(Table106[Country],Tabela1[[#This Row],[Country]],Table106[Sprint Classification],"&gt;0")</f>
        <v>0</v>
      </c>
      <c r="ND39" s="6">
        <f>COUNTIFS(Table106109[Country],Tabela1[[#This Row],[Country]],Table106109[Sprint Classification],"&gt;0")</f>
        <v>0</v>
      </c>
      <c r="NE39" s="6">
        <f>COUNTIFS(Table109[Country],Tabela1[[#This Row],[Country]],Table109[Men''s Relay Classification],"&gt;0")</f>
        <v>0</v>
      </c>
      <c r="NF39" s="6">
        <f>COUNTIFS(Table109[Country],Tabela1[[#This Row],[Country]],Table109[Women''s Relay Classification],"&gt;0")</f>
        <v>0</v>
      </c>
      <c r="NG39" s="6">
        <f>COUNTIFS(Table109[Country],Tabela1[[#This Row],[Country]],Table109[Mixed Relay Classification],"&gt;0")</f>
        <v>0</v>
      </c>
      <c r="NH39" s="6">
        <f>COUNTIFS(Table110[Country],Tabela1[[#This Row],[Country]],Table110[Monobob Classification],"&gt;0")</f>
        <v>0</v>
      </c>
      <c r="NI39" s="6">
        <f>COUNTIFS(Table111[Country],Tabela1[[#This Row],[Country]],Table111[Men''s Classification],"&gt;0")</f>
        <v>0</v>
      </c>
      <c r="NJ39" s="6">
        <f>COUNTIFS(Table111[Country],Tabela1[[#This Row],[Country]],Table111[Women''s Classification],"&gt;0")</f>
        <v>0</v>
      </c>
      <c r="NK39" s="6">
        <f>COUNTIFS(Table112[Country],Tabela1[[#This Row],[Country]],Table112[Men''s Four Classification],"&gt;0")</f>
        <v>0</v>
      </c>
      <c r="NL39" s="6">
        <f>COUNTIFS(Table113[Country],Tabela1[[#This Row],[Country]],Table113[Classical Classification],"&gt;0")</f>
        <v>0</v>
      </c>
      <c r="NM39" s="6">
        <f>COUNTIFS(Table113116[Country],Tabela1[[#This Row],[Country]],Table113116[Classical Classification],"&gt;0")</f>
        <v>0</v>
      </c>
      <c r="NN39" s="6">
        <f>COUNTIFS(Table113[Country],Tabela1[[#This Row],[Country]],Table113[Freestyle Classification],"&gt;0")</f>
        <v>0</v>
      </c>
      <c r="NO39" s="6">
        <f>COUNTIFS(Table113116[Country],Tabela1[[#This Row],[Country]],Table113116[Freestyle Classification],"&gt;0")</f>
        <v>0</v>
      </c>
      <c r="NP39" s="6">
        <f>COUNTIFS(Table117[Country],Tabela1[[#This Row],[Country]],Table117[Men''s Relay Classification],"&gt;0")</f>
        <v>0</v>
      </c>
      <c r="NQ39" s="6">
        <f>COUNTIFS(Table117[Country],Tabela1[[#This Row],[Country]],Table117[Women''s Relay Classification],"&gt;0")</f>
        <v>0</v>
      </c>
      <c r="NR39" s="6">
        <f>COUNTIFS(Table113[Country],Tabela1[[#This Row],[Country]],Table113[Skiathlon Classification],"&gt;0")</f>
        <v>0</v>
      </c>
      <c r="NS39" s="6">
        <f>COUNTIFS(Table113116[Country],Tabela1[[#This Row],[Country]],Table113116[Skiathlon Classification],"&gt;0")</f>
        <v>0</v>
      </c>
      <c r="NT39" s="6">
        <f>COUNTIFS(Table113[Country],Tabela1[[#This Row],[Country]],Table113[Sprint Classification],"&gt;0")</f>
        <v>0</v>
      </c>
      <c r="NU39" s="6">
        <f>COUNTIFS(Table113116[Country],Tabela1[[#This Row],[Country]],Table113116[Sprint Classification],"&gt;0")</f>
        <v>0</v>
      </c>
      <c r="NV39" s="6">
        <f>COUNTIFS(Table116[Country],Tabela1[[#This Row],[Country]],Table116[Men''s Team Sprint Classification],"&gt;0")</f>
        <v>0</v>
      </c>
      <c r="NW39" s="6">
        <f>COUNTIFS(Table116[Country],Tabela1[[#This Row],[Country]],Table116[Women''s Team Sprint Classification],"&gt;0")</f>
        <v>0</v>
      </c>
      <c r="NX39" s="6">
        <f>COUNTIFS(Table119[Country],Tabela1[[#This Row],[Country]],Table119[Men''s Classification],"&gt;0")</f>
        <v>0</v>
      </c>
      <c r="NY39" s="6">
        <f>COUNTIFS(Table119[Country],Tabela1[[#This Row],[Country]],Table119[Women''s Classification],"&gt;0")</f>
        <v>0</v>
      </c>
      <c r="NZ39" s="6">
        <f>COUNTIFS(Table118[Country],Tabela1[[#This Row],[Country]],Table118[Mixed Classification],"&gt;0")</f>
        <v>0</v>
      </c>
      <c r="OA39" s="6">
        <f>COUNTIFS(Table120[Country],Tabela1[[#This Row],[Country]],Table120[Classification],"&gt;0")</f>
        <v>0</v>
      </c>
      <c r="OB39" s="6">
        <f>COUNTIFS(Table120123[Country],Tabela1[[#This Row],[Country]],Table120123[Classification],"&gt;0")</f>
        <v>0</v>
      </c>
      <c r="OC39" s="6">
        <f>COUNTIFS(Table123[Country],Tabela1[[#This Row],[Country]],Table123[Ice Dance Classification],"&gt;0")</f>
        <v>0</v>
      </c>
      <c r="OD39" s="6">
        <f>COUNTIFS(Table123[Country],Tabela1[[#This Row],[Country]],Table123[Pair Skating Classification],"&gt;0")</f>
        <v>0</v>
      </c>
      <c r="OE39" s="6">
        <f>COUNTIFS(Table124[Country],Tabela1[[#This Row],[Country]],Table124[Mixed Classification],"&gt;0")</f>
        <v>0</v>
      </c>
      <c r="OF39" s="6">
        <f>COUNTIFS(Table125[Country],Tabela1[[#This Row],[Country]],Table125[Aerials Classification],"&gt;0")</f>
        <v>0</v>
      </c>
      <c r="OG39" s="6">
        <f>COUNTIFS(Table125128[Country],Tabela1[[#This Row],[Country]],Table125128[Aerials Classification],"&gt;0")</f>
        <v>0</v>
      </c>
      <c r="OH39" s="6">
        <f>COUNTIFS(Table128[Country],Tabela1[[#This Row],[Country]],Table128[Mixed Aerials Classification],"&gt;0")</f>
        <v>0</v>
      </c>
      <c r="OI39" s="6">
        <f>COUNTIFS(Table125[Country],Tabela1[[#This Row],[Country]],Table125[Big Air Classification],"&gt;0")</f>
        <v>0</v>
      </c>
      <c r="OJ39" s="6">
        <f>COUNTIFS(Table125128[Country],Tabela1[[#This Row],[Country]],Table125128[Big Air Classification],"&gt;0")</f>
        <v>0</v>
      </c>
      <c r="OK39" s="6">
        <f>COUNTIFS(Table125[Country],Tabela1[[#This Row],[Country]],Table125[Dual Moguls Classification],"&gt;0")</f>
        <v>0</v>
      </c>
      <c r="OL39" s="6">
        <f>COUNTIFS(Table125128[Country],Tabela1[[#This Row],[Country]],Table125128[Dual Moguls Classification],"&gt;0")</f>
        <v>0</v>
      </c>
      <c r="OM39" s="6">
        <f>COUNTIFS(Table125[Country],Tabela1[[#This Row],[Country]],Table125[Halfpipe Classification],"&gt;0")</f>
        <v>0</v>
      </c>
      <c r="ON39" s="6">
        <f>COUNTIFS(Table125128[Country],Tabela1[[#This Row],[Country]],Table125128[Halfpipe Classification],"&gt;0")</f>
        <v>0</v>
      </c>
      <c r="OO39" s="6">
        <f>COUNTIFS(Table125[Country],Tabela1[[#This Row],[Country]],Table125[Moguls Classification],"&gt;0")</f>
        <v>0</v>
      </c>
      <c r="OP39" s="6">
        <f>COUNTIFS(Table125128[Country],Tabela1[[#This Row],[Country]],Table125128[Moguls Classification],"&gt;0")</f>
        <v>0</v>
      </c>
      <c r="OQ39" s="6">
        <f>COUNTIFS(Table125[Country],Tabela1[[#This Row],[Country]],Table125[Ski Cross Classification],"&gt;0")</f>
        <v>0</v>
      </c>
      <c r="OR39" s="6">
        <f>COUNTIFS(Table125128[Country],Tabela1[[#This Row],[Country]],Table125128[Ski Cross Classification],"&gt;0")</f>
        <v>0</v>
      </c>
      <c r="OS39" s="6">
        <f>COUNTIFS(Table125[Country],Tabela1[[#This Row],[Country]],Table125[Slopestyle Classification],"&gt;0")</f>
        <v>0</v>
      </c>
      <c r="OT39" s="6">
        <f>COUNTIFS(Table125128[Country],Tabela1[[#This Row],[Country]],Table125128[Slopestyle Classification],"&gt;0")</f>
        <v>0</v>
      </c>
      <c r="OU39" s="6">
        <f>COUNTIFS(Table119131[Country],Tabela1[[#This Row],[Country]],Table119131[Men''s Classification],"&gt;0")</f>
        <v>0</v>
      </c>
      <c r="OV39" s="6">
        <f>COUNTIFS(Table119131[Country],Tabela1[[#This Row],[Country]],Table119131[Women''s Classification],"&gt;0")</f>
        <v>0</v>
      </c>
      <c r="OW39" s="6">
        <f>COUNTIFS(Table131[Country],Tabela1[[#This Row],[Country]],Table131[Classification],"&gt;0")</f>
        <v>0</v>
      </c>
      <c r="OX39" s="6">
        <f>COUNTIFS(Table131134[Country],Tabela1[[#This Row],[Country]],Table131134[Classification],"&gt;0")</f>
        <v>0</v>
      </c>
      <c r="OY39" s="6">
        <f>COUNTIFS(Table134[Country],Tabela1[[#This Row],[Country]],Table134[Men''s Classification],"&gt;0")</f>
        <v>0</v>
      </c>
      <c r="OZ39" s="6">
        <f>COUNTIFS(Table134[Country],Tabela1[[#This Row],[Country]],Table134[Women''s Classification],"&gt;0")</f>
        <v>0</v>
      </c>
      <c r="PA39" s="6">
        <f>COUNTIFS(Table135[Country],Tabela1[[#This Row],[Country]],Table135[Mixed Relay Classification],"&gt;0")</f>
        <v>0</v>
      </c>
      <c r="PB39" s="6">
        <f>COUNTIFS(Table136[Country],Tabela1[[#This Row],[Country]],Table136[Individual Classification],"&gt;0")</f>
        <v>0</v>
      </c>
      <c r="PC39" s="6">
        <f>COUNTIFS(Table136[Country],Tabela1[[#This Row],[Country]],Table136[Sprint Classification],"&gt;0")</f>
        <v>0</v>
      </c>
      <c r="PD39" s="6">
        <f>COUNTIFS(Table137[Country],Tabela1[[#This Row],[Country]],Table137[Men''s Team Sprint Large Hill Classification],"&gt;0")</f>
        <v>0</v>
      </c>
      <c r="PE39" s="6">
        <f>COUNTIFS(Table138[Country],Tabela1[[#This Row],[Country]],Table138[500m Classification],"&gt;0")</f>
        <v>0</v>
      </c>
      <c r="PF39" s="6">
        <f>COUNTIFS(Table138141[Country],Tabela1[[#This Row],[Country]],Table138141[500m Classification],"&gt;0")</f>
        <v>0</v>
      </c>
      <c r="PG39" s="6">
        <f>COUNTIFS(Table138[Country],Tabela1[[#This Row],[Country]],Table138[1000m Classification],"&gt;0")</f>
        <v>0</v>
      </c>
      <c r="PH39" s="6">
        <f>COUNTIFS(Table138141[Country],Tabela1[[#This Row],[Country]],Table138141[1000m Classification],"&gt;0")</f>
        <v>0</v>
      </c>
      <c r="PI39" s="6">
        <f>COUNTIFS(Table138[Country],Tabela1[[#This Row],[Country]],Table138[1500m Classification],"&gt;0")</f>
        <v>0</v>
      </c>
      <c r="PJ39" s="6">
        <f>COUNTIFS(Table138141[Country],Tabela1[[#This Row],[Country]],Table138141[1500m Classification],"&gt;0")</f>
        <v>0</v>
      </c>
      <c r="PK39" s="6">
        <f>COUNTIFS(Table141[Country],Tabela1[[#This Row],[Country]],Table141[Men''s 5000m Relay Classification],"&gt;0")</f>
        <v>0</v>
      </c>
      <c r="PL39" s="6">
        <f>COUNTIFS(Table141[Country],Tabela1[[#This Row],[Country]],Table141[Women''s 3000m Relay Classification],"&gt;0")</f>
        <v>0</v>
      </c>
      <c r="PM39" s="6">
        <f>COUNTIFS(Table141[Country],Tabela1[[#This Row],[Country]],Table141[Mixed 2000m Relay Classification],"&gt;0")</f>
        <v>0</v>
      </c>
      <c r="PN39" s="6">
        <f>COUNTIFS(Table142[Country],Tabela1[[#This Row],[Country]],Table142[Classification],"&gt;0")</f>
        <v>0</v>
      </c>
      <c r="PO39" s="6">
        <f>COUNTIFS(Table142145[Country],Tabela1[[#This Row],[Country]],Table142145[Classification],"&gt;0")</f>
        <v>0</v>
      </c>
      <c r="PP39" s="6">
        <f>COUNTIFS(Tabela15[Country],Tabela1[[#This Row],[Country]],Tabela15[Mixed Team Classification],"&gt;0")</f>
        <v>0</v>
      </c>
      <c r="PQ39" s="6">
        <f>COUNTIFS(Table145[Country],Tabela1[[#This Row],[Country]],Table145[Large Hill Classification],"&gt;0")</f>
        <v>0</v>
      </c>
      <c r="PR39" s="6">
        <f>COUNTIFS(Table145[Country],Tabela1[[#This Row],[Country]],Table145[Normal Hill Classification],"&gt;0")</f>
        <v>0</v>
      </c>
      <c r="PS39" s="6">
        <f>COUNTIFS(Table145148[Country],Tabela1[[#This Row],[Country]],Table145148[Large Hill Classification],"&gt;0")</f>
        <v>0</v>
      </c>
      <c r="PT39" s="6">
        <f>COUNTIFS(Table145148[Country],Tabela1[[#This Row],[Country]],Table145148[Normal Hill Classification],"&gt;0")</f>
        <v>0</v>
      </c>
      <c r="PU39" s="6">
        <f>COUNTIFS(Table148[Country],Tabela1[[#This Row],[Country]],Table148[Men''s Super Team Classification],"&gt;0")</f>
        <v>0</v>
      </c>
      <c r="PV39" s="6">
        <f>COUNTIFS(Tabela114[Country],Tabela1[[#This Row],[Country]],Tabela114[Mixed Normal Hill Classification],"&gt;0")</f>
        <v>0</v>
      </c>
      <c r="PW39" s="6">
        <f>COUNTIFS(Tabela50[Country],Tabela1[[#This Row],[Country]],Tabela50[Sprint Classification],"&gt;0")</f>
        <v>0</v>
      </c>
      <c r="PX39" s="6">
        <f>COUNTIFS(Tabela50101[Country],Tabela1[[#This Row],[Country]],Tabela50101[Sprint Classification],"&gt;0")</f>
        <v>0</v>
      </c>
      <c r="PY39" s="6">
        <f>COUNTIFS(Tabela103[Country],Tabela1[[#This Row],[Country]],Tabela103[Mixed Relay Classification],"&gt;0")</f>
        <v>0</v>
      </c>
      <c r="PZ39" s="6">
        <f>COUNTIFS(Table149[Country],Tabela1[[#This Row],[Country]],Table149[Big Air Classification],"&gt;0")</f>
        <v>0</v>
      </c>
      <c r="QA39" s="6">
        <f>COUNTIFS(Table149152[Country],Tabela1[[#This Row],[Country]],Table149152[Big Air Classification],"&gt;0")</f>
        <v>0</v>
      </c>
      <c r="QB39" s="6">
        <f>COUNTIFS(Table149[Country],Tabela1[[#This Row],[Country]],Table149[Halfpipe Classification],"&gt;0")</f>
        <v>0</v>
      </c>
      <c r="QC39" s="6">
        <f>COUNTIFS(Table149152[Country],Tabela1[[#This Row],[Country]],Table149152[Halfpipe Classification],"&gt;0")</f>
        <v>0</v>
      </c>
      <c r="QD39" s="6">
        <f>COUNTIFS(Table149[Country],Tabela1[[#This Row],[Country]],Table149[Parallel Giant Slalom Classification],"&gt;0")</f>
        <v>0</v>
      </c>
      <c r="QE39" s="6">
        <f>COUNTIFS(Table149152[Country],Tabela1[[#This Row],[Country]],Table149152[Parallel Giant Slalom Classification],"&gt;0")</f>
        <v>0</v>
      </c>
      <c r="QF39" s="6">
        <f>COUNTIFS(Table149[Country],Tabela1[[#This Row],[Country]],Table149[Slopestyle Classification],"&gt;0")</f>
        <v>0</v>
      </c>
      <c r="QG39" s="6">
        <f>COUNTIFS(Table149152[Country],Tabela1[[#This Row],[Country]],Table149152[Slopestyle Classification],"&gt;0")</f>
        <v>0</v>
      </c>
      <c r="QH39" s="6">
        <f>COUNTIFS(Table149[Country],Tabela1[[#This Row],[Country]],Table149[Snowboard Cross Classification],"&gt;0")</f>
        <v>0</v>
      </c>
      <c r="QI39" s="6">
        <f>COUNTIFS(Table149152[Country],Tabela1[[#This Row],[Country]],Table149152[Snowboard Cross Classification],"&gt;0")</f>
        <v>0</v>
      </c>
      <c r="QJ39" s="6">
        <f>COUNTIFS(Table153[Country],Tabela1[[#This Row],[Country]],Table153[Mixed Team Snowboard Cross Classification],"&gt;0")</f>
        <v>0</v>
      </c>
      <c r="QK39" s="6">
        <f>COUNTIFS(Table154[Country],Tabela1[[#This Row],[Country]],Table154[500m Classification],"&gt;0")</f>
        <v>0</v>
      </c>
      <c r="QL39" s="6">
        <f>COUNTIFS(Table154157[Country],Tabela1[[#This Row],[Country]],Table154157[500m Classification],"&gt;0")</f>
        <v>0</v>
      </c>
      <c r="QM39" s="6">
        <f>COUNTIFS(Table154[Country],Tabela1[[#This Row],[Country]],Table154[1000m Classification],"&gt;0")</f>
        <v>0</v>
      </c>
      <c r="QN39" s="6">
        <f>COUNTIFS(Table154157[Country],Tabela1[[#This Row],[Country]],Table154157[1000m Classification],"&gt;0")</f>
        <v>0</v>
      </c>
      <c r="QO39" s="6">
        <f>COUNTIFS(Table154[Country],Tabela1[[#This Row],[Country]],Table154[1500m Classification],"&gt;0")</f>
        <v>0</v>
      </c>
      <c r="QP39" s="6">
        <f>COUNTIFS(Table154157[Country],Tabela1[[#This Row],[Country]],Table154157[1500m Classification],"&gt;0")</f>
        <v>0</v>
      </c>
      <c r="QQ39" s="6">
        <f>COUNTIFS(Table154157[Country],Tabela1[[#This Row],[Country]],Table154157[3000m Classification],"&gt;0")</f>
        <v>0</v>
      </c>
      <c r="QR39" s="6">
        <f>COUNTIFS(Table154[Country],Tabela1[[#This Row],[Country]],Table154[5000m Classification],"&gt;0")</f>
        <v>0</v>
      </c>
      <c r="QS39" s="6">
        <f>COUNTIFS(Table154157[Country],Tabela1[[#This Row],[Country]],Table154157[5000m Classification],"&gt;0")</f>
        <v>0</v>
      </c>
      <c r="QT39" s="6">
        <f>COUNTIFS(Table154[Country],Tabela1[[#This Row],[Country]],Table154[10000m Classification],"&gt;0")</f>
        <v>0</v>
      </c>
      <c r="QU39" s="6">
        <f>COUNTIFS(Table154[Country],Tabela1[[#This Row],[Country]],Table154[Mass Start Classification],"&gt;0")</f>
        <v>0</v>
      </c>
      <c r="QV39" s="6">
        <f>COUNTIFS(Table154157[Country],Tabela1[[#This Row],[Country]],Table154157[Mass Start Classification],"&gt;0")</f>
        <v>0</v>
      </c>
      <c r="QW39" s="6">
        <f>COUNTIFS(Table157[Country],Tabela1[[#This Row],[Country]],Table157[Men''s Pursuit Classification],"&gt;0")</f>
        <v>0</v>
      </c>
      <c r="QX39" s="6">
        <f>COUNTIFS(Table157[Country],Tabela1[[#This Row],[Country]],Table157[Women''s Pursuit Classification],"&gt;0")</f>
        <v>0</v>
      </c>
      <c r="QY39" s="4" t="s">
        <v>719</v>
      </c>
    </row>
    <row r="40" spans="1:467" x14ac:dyDescent="0.3">
      <c r="A40" s="6">
        <v>39</v>
      </c>
      <c r="B40" s="6" t="s">
        <v>520</v>
      </c>
      <c r="C40" t="e" vm="39">
        <f>IF(ISBLANK(Tabela1[[#This Row],[Image Link]]), "", _xlfn.IMAGE(Tabela1[[#This Row],[Image Link]],1,1))</f>
        <v>#VALUE!</v>
      </c>
      <c r="D40" s="6">
        <f>SUM(Tabela1[[#This Row],[Archery - Men''s Individual Recurve]:[Speed Skating - Women''s Team Pursuit]])</f>
        <v>29</v>
      </c>
      <c r="E40" s="6">
        <f>COUNTIF(Tabela1[[#This Row],[Archery - Men''s Individual Recurve]:[Speed Skating - Women''s Team Pursuit]],"&gt;0")</f>
        <v>29</v>
      </c>
      <c r="F40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40" s="6">
        <f>SUM(Tabela1[[#This Row],[Archery - Men''s Individual Recurve]:[Wrestling - Women''s Freestyle 76kg]])</f>
        <v>18</v>
      </c>
      <c r="H40" s="6">
        <f>SUM(Tabela1[[#This Row],[Alpine Skiing - Men''s Downhill]:[Speed Skating - Women''s Team Pursuit]])</f>
        <v>11</v>
      </c>
      <c r="I40" s="6">
        <f>Tabela1[[#This Row],[Summer Gold Medals]]+Tabela1[[#This Row],[Winter Gold Medals]]</f>
        <v>3</v>
      </c>
      <c r="J40" s="6">
        <f>Tabela1[[#This Row],[Summer Silver Medals]]+Tabela1[[#This Row],[Winter Silver Medals]]</f>
        <v>1</v>
      </c>
      <c r="K40" s="6">
        <f>Tabela1[[#This Row],[Summer Bronze Medals]]+Tabela1[[#This Row],[Winter Bronze Medals]]</f>
        <v>7</v>
      </c>
      <c r="L40" s="6">
        <f>SUM(Tabela1[[#This Row],[Total Gold Medals]:[Total Bronze Medals]])</f>
        <v>11</v>
      </c>
      <c r="M40" s="6">
        <v>3</v>
      </c>
      <c r="N40" s="6">
        <v>1</v>
      </c>
      <c r="O40" s="6">
        <v>6</v>
      </c>
      <c r="P40" s="6">
        <f>SUM(Tabela1[[#This Row],[Summer Gold Medals]:[Summer Bronze Medals]])</f>
        <v>10</v>
      </c>
      <c r="Q40" s="6"/>
      <c r="R40" s="6"/>
      <c r="S40" s="6">
        <v>1</v>
      </c>
      <c r="T40" s="6">
        <f>Tabela1[[#This Row],[Winter Gold Medals]]+Tabela1[[#This Row],[Winter Silver Medals]]+Tabela1[[#This Row],[Winter Bronze Medals]]</f>
        <v>1</v>
      </c>
      <c r="U40" s="7">
        <f>Tabela1[[#This Row],[Total Medals]]/Tabela1[[#This Row],[Total Quotas]]</f>
        <v>0.37931034482758619</v>
      </c>
      <c r="V40" s="6">
        <f>COUNTIFS(Table3[Country],Tabela1[[#This Row],[Country]],Table3[Recurve Classification],"&gt;0")</f>
        <v>0</v>
      </c>
      <c r="W40" s="6">
        <f>COUNTIFS(Table33[Country],Tabela1[[#This Row],[Country]],Table33[Recurve Classification],"&gt;0")</f>
        <v>0</v>
      </c>
      <c r="X40" s="6">
        <f>COUNTIFS(Table35[Country],Tabela1[[#This Row],[Country]],Table35[Men''s Team Recurve Classification],"&gt;0")</f>
        <v>0</v>
      </c>
      <c r="Y40" s="6">
        <f>COUNTIFS(Table35[Country],Tabela1[[#This Row],[Country]],Table35[Women''s Team Recurve Classification],"&gt;0")</f>
        <v>0</v>
      </c>
      <c r="Z40" s="6">
        <f>COUNTIFS(Tabela88[Country],Tabela1[[#This Row],[Country]],Tabela88[Mixed Team Recurve Classification],"&gt;0")</f>
        <v>0</v>
      </c>
      <c r="AA40" s="6">
        <f>COUNTIFS(Table36[Country],Tabela1[[#This Row],[Country]],Table36[Classification],"&gt;0")</f>
        <v>0</v>
      </c>
      <c r="AB40" s="6">
        <f>COUNTIFS(Table37[Country],Tabela1[[#This Row],[Country]],Table37[Classification],"&gt;0")</f>
        <v>0</v>
      </c>
      <c r="AC40" s="6">
        <f>COUNTIFS(Table4[Country],Tabela1[[#This Row],[Country]],Table4[100m Classification],"&gt;0")</f>
        <v>0</v>
      </c>
      <c r="AD40" s="6">
        <f>COUNTIFS(Table5[Country],Tabela1[[#This Row],[Country]],Table5[100m Classification],"&gt;0")</f>
        <v>1</v>
      </c>
      <c r="AE40" s="6">
        <f>COUNTIFS(Table4[Country],Tabela1[[#This Row],[Country]],Table4[200m Classification],"&gt;0")</f>
        <v>0</v>
      </c>
      <c r="AF40" s="6">
        <f>COUNTIFS(Table5[Country],Tabela1[[#This Row],[Country]],Table5[200m Classification],"&gt;0")</f>
        <v>0</v>
      </c>
      <c r="AG40" s="6">
        <f>COUNTIFS(Table4[Country],Tabela1[[#This Row],[Country]],Table4[400m Classification],"&gt;0")</f>
        <v>0</v>
      </c>
      <c r="AH40" s="6">
        <f>COUNTIFS(Table5[Country],Tabela1[[#This Row],[Country]],Table5[400m Classification],"&gt;0")</f>
        <v>0</v>
      </c>
      <c r="AI40" s="6">
        <f>COUNTIFS(Table4[Country],Tabela1[[#This Row],[Country]],Table4[800m Classification],"&gt;0")</f>
        <v>1</v>
      </c>
      <c r="AJ40" s="6">
        <f>COUNTIFS(Table5[Country],Tabela1[[#This Row],[Country]],Table5[800m Classification],"&gt;0")</f>
        <v>0</v>
      </c>
      <c r="AK40" s="6">
        <f>COUNTIFS(Table4[Country],Tabela1[[#This Row],[Country]],Table4[1500m Classification],"&gt;0")</f>
        <v>0</v>
      </c>
      <c r="AL40" s="6">
        <f>COUNTIFS(Table5[Country],Tabela1[[#This Row],[Country]],Table5[1500m Classification],"&gt;0")</f>
        <v>1</v>
      </c>
      <c r="AM40" s="6">
        <f>COUNTIFS(Table4[Country],Tabela1[[#This Row],[Country]],Table4[5000m Classification],"&gt;0")</f>
        <v>1</v>
      </c>
      <c r="AN40" s="6">
        <f>COUNTIFS(Table5[Country],Tabela1[[#This Row],[Country]],Table5[5000m Classification],"&gt;0")</f>
        <v>0</v>
      </c>
      <c r="AO40" s="6">
        <f>COUNTIFS(Table4[Country],Tabela1[[#This Row],[Country]],Table4[10000m Classification],"&gt;0")</f>
        <v>1</v>
      </c>
      <c r="AP40" s="6">
        <f>COUNTIFS(Table5[Country],Tabela1[[#This Row],[Country]],Table5[10000m Classification],"&gt;0")</f>
        <v>0</v>
      </c>
      <c r="AQ40" s="6">
        <f>COUNTIFS(Table4[Country],Tabela1[[#This Row],[Country]],Table4[110m Hurdles Classification],"&gt;0")</f>
        <v>0</v>
      </c>
      <c r="AR40" s="6">
        <f>COUNTIFS(Table5[Country],Tabela1[[#This Row],[Country]],Table5[100m Hurdles Classification],"&gt;0")</f>
        <v>0</v>
      </c>
      <c r="AS40" s="6">
        <f>COUNTIFS(Table4[Country],Tabela1[[#This Row],[Country]],Table4[400m Hurdles Classification],"&gt;0")</f>
        <v>0</v>
      </c>
      <c r="AT40" s="6">
        <f>COUNTIFS(Table5[Country],Tabela1[[#This Row],[Country]],Table5[400m Hurdles Classification],"&gt;0")</f>
        <v>0</v>
      </c>
      <c r="AU40" s="6">
        <f>COUNTIFS(Table4[Country],Tabela1[[#This Row],[Country]],Table4[3000m Steeplechase Classification],"&gt;0")</f>
        <v>0</v>
      </c>
      <c r="AV40" s="6">
        <f>COUNTIFS(Table5[Country],Tabela1[[#This Row],[Country]],Table5[3000m Steeplechase Classification],"&gt;0")</f>
        <v>0</v>
      </c>
      <c r="AW40" s="6">
        <f>COUNTIFS(Table27[Country],Tabela1[[#This Row],[Country]],Table27[Men''s 4x100m Relay Classification],"&gt;0")</f>
        <v>0</v>
      </c>
      <c r="AX40" s="6">
        <f>COUNTIFS(Table27[Country],Tabela1[[#This Row],[Country]],Table27[Women''s 4x100m Relay Classification],"&gt;0")</f>
        <v>1</v>
      </c>
      <c r="AY40" s="6">
        <f>COUNTIFS(Table27[Country],Tabela1[[#This Row],[Country]],Table27[Men''s 4x400m Relay Classification],"&gt;0")</f>
        <v>1</v>
      </c>
      <c r="AZ40" s="6">
        <f>COUNTIFS(Table27[Country],Tabela1[[#This Row],[Country]],Table27[Women''s 4x400m Relay Classification],"&gt;0")</f>
        <v>1</v>
      </c>
      <c r="BA40" s="6">
        <f>COUNTIFS(Table27[Country],Tabela1[[#This Row],[Country]],Table27[Mixed 4x400m Relay Classification],"&gt;0")</f>
        <v>0</v>
      </c>
      <c r="BB40" s="6">
        <f>COUNTIFS(Table4[Country],Tabela1[[#This Row],[Country]],Table4[Marathon Classification],"&gt;0")</f>
        <v>0</v>
      </c>
      <c r="BC40" s="6">
        <f>COUNTIFS(Table5[Country],Tabela1[[#This Row],[Country]],Table5[Marathon Classification],"&gt;0")</f>
        <v>0</v>
      </c>
      <c r="BD40" s="6">
        <f>COUNTIFS(Table4[Country],Tabela1[[#This Row],[Country]],Table4[20km Race Walk Classification],"&gt;0")</f>
        <v>0</v>
      </c>
      <c r="BE40" s="6">
        <f>COUNTIFS(Table5[Country],Tabela1[[#This Row],[Country]],Table5[20km Race Walk Classification],"&gt;0")</f>
        <v>0</v>
      </c>
      <c r="BF40" s="6">
        <f>COUNTIFS(Tabela96[Country],Tabela1[[#This Row],[Country]],Tabela96[Mixed Marathon Race Walk Relay Classification],"&gt;0")</f>
        <v>0</v>
      </c>
      <c r="BG40" s="6">
        <f>COUNTIFS(Table4[Country],Tabela1[[#This Row],[Country]],Table4[Discus Throw Classification],"&gt;0")</f>
        <v>0</v>
      </c>
      <c r="BH40" s="6">
        <f>COUNTIFS(Table5[Country],Tabela1[[#This Row],[Country]],Table5[Discus Throw Classification],"&gt;0")</f>
        <v>0</v>
      </c>
      <c r="BI40" s="6">
        <f>COUNTIFS(Table4[Country],Tabela1[[#This Row],[Country]],Table4[Hammer Throw Classification],"&gt;0")</f>
        <v>0</v>
      </c>
      <c r="BJ40" s="6">
        <f>COUNTIFS(Table5[Country],Tabela1[[#This Row],[Country]],Table5[Hammer Throw Classification],"&gt;0")</f>
        <v>0</v>
      </c>
      <c r="BK40" s="6">
        <f>COUNTIFS(Table4[Country],Tabela1[[#This Row],[Country]],Table4[High Jump Classification],"&gt;0")</f>
        <v>1</v>
      </c>
      <c r="BL40" s="6">
        <f>COUNTIFS(Table5[Country],Tabela1[[#This Row],[Country]],Table5[High Jump Classification],"&gt;0")</f>
        <v>0</v>
      </c>
      <c r="BM40" s="6">
        <f>COUNTIFS(Table4[Country],Tabela1[[#This Row],[Country]],Table4[Javelin Throw Classification],"&gt;0")</f>
        <v>0</v>
      </c>
      <c r="BN40" s="6">
        <f>COUNTIFS(Table5[Country],Tabela1[[#This Row],[Country]],Table5[Javelin Throw Classification],"&gt;0")</f>
        <v>0</v>
      </c>
      <c r="BO40" s="6">
        <f>COUNTIFS(Table4[Country],Tabela1[[#This Row],[Country]],Table4[Long Jump Classification],"&gt;0")</f>
        <v>0</v>
      </c>
      <c r="BP40" s="6">
        <f>COUNTIFS(Table5[Country],Tabela1[[#This Row],[Country]],Table5[Long Jump Classification],"&gt;0")</f>
        <v>0</v>
      </c>
      <c r="BQ40" s="6">
        <f>COUNTIFS(Table4[Country],Tabela1[[#This Row],[Country]],Table4[Pole Vault Classification],"&gt;0")</f>
        <v>0</v>
      </c>
      <c r="BR40" s="6">
        <f>COUNTIFS(Table5[Country],Tabela1[[#This Row],[Country]],Table5[Pole Vault Classification],"&gt;0")</f>
        <v>0</v>
      </c>
      <c r="BS40" s="6">
        <f>COUNTIFS(Table4[Country],Tabela1[[#This Row],[Country]],Table4[Shot Put Classification],"&gt;0")</f>
        <v>0</v>
      </c>
      <c r="BT40" s="6">
        <f>COUNTIFS(Table5[Country],Tabela1[[#This Row],[Country]],Table5[Shot Put Classification],"&gt;0")</f>
        <v>0</v>
      </c>
      <c r="BU40" s="6">
        <f>COUNTIFS(Table4[Country],Tabela1[[#This Row],[Country]],Table4[Triple Jump Classification],"&gt;0")</f>
        <v>0</v>
      </c>
      <c r="BV40" s="6">
        <f>COUNTIFS(Table5[Country],Tabela1[[#This Row],[Country]],Table5[Triple Jump Classification],"&gt;0")</f>
        <v>0</v>
      </c>
      <c r="BW40" s="6">
        <f>COUNTIFS(Table4[Country],Tabela1[[#This Row],[Country]],Table4[Decathlon Classification],"&gt;0")</f>
        <v>0</v>
      </c>
      <c r="BX40" s="6">
        <f>COUNTIFS(Table5[Country],Tabela1[[#This Row],[Country]],Table5[Heptathlon Classification],"&gt;0")</f>
        <v>0</v>
      </c>
      <c r="BY40" s="6">
        <f>COUNTIFS(Table61[Country],Tabela1[[#This Row],[Country]],Table61[Classification],"&gt;0")</f>
        <v>0</v>
      </c>
      <c r="BZ40" s="6">
        <f>COUNTIFS(Table38[Country],Tabela1[[#This Row],[Country]],Table38[Classification],"&gt;0")</f>
        <v>0</v>
      </c>
      <c r="CA40" s="6">
        <f>COUNTIFS(Table39[Country],Tabela1[[#This Row],[Country]],Table39[Men''s Classification],"&gt;0")</f>
        <v>0</v>
      </c>
      <c r="CB40" s="6">
        <f>COUNTIFS(Table39[Country],Tabela1[[#This Row],[Country]],Table39[Women''s Classification],"&gt;0")</f>
        <v>0</v>
      </c>
      <c r="CC40" s="6">
        <f>COUNTIFS(Table39[Country],Tabela1[[#This Row],[Country]],Table39[Mixed Classification],"&gt;0")</f>
        <v>0</v>
      </c>
      <c r="CD40" s="6">
        <f>COUNTIFS(Table89[Country],Tabela1[[#This Row],[Country]],Table89[Men''s Classification],"&gt;0")</f>
        <v>0</v>
      </c>
      <c r="CE40" s="6">
        <f>COUNTIFS(Table89[Country],Tabela1[[#This Row],[Country]],Table89[Women''s Classification],"&gt;0")</f>
        <v>1</v>
      </c>
      <c r="CF40" s="6">
        <f>COUNTIFS(Table90[Country],Tabela1[[#This Row],[Country]],Table90[Men''s Classification],"&gt;0")</f>
        <v>0</v>
      </c>
      <c r="CG40" s="6">
        <f>COUNTIFS(Table90[Country],Tabela1[[#This Row],[Country]],Table90[Women''s Classification],"&gt;0")</f>
        <v>0</v>
      </c>
      <c r="CH40" s="6">
        <f>COUNTIFS(Table60[Country],Tabela1[[#This Row],[Country]],Table60[Men''s Classification],"&gt;0")</f>
        <v>0</v>
      </c>
      <c r="CI40" s="6">
        <f>COUNTIFS(Table60[Country],Tabela1[[#This Row],[Country]],Table60[Women''s Classification],"&gt;0")</f>
        <v>0</v>
      </c>
      <c r="CJ40" s="6">
        <f>COUNTIFS(Table6[Country],Tabela1[[#This Row],[Country]],Table6[51kg Classification],"&gt;0")</f>
        <v>0</v>
      </c>
      <c r="CK40" s="6">
        <f>COUNTIFS(Table6[Country],Tabela1[[#This Row],[Country]],Table6[57kg Classification],"&gt;0")</f>
        <v>1</v>
      </c>
      <c r="CL40" s="6">
        <f>COUNTIFS(Table6[Country],Tabela1[[#This Row],[Country]],Table6[63.5kg Classification],"&gt;0")</f>
        <v>0</v>
      </c>
      <c r="CM40" s="6">
        <f>COUNTIFS(Table6[Country],Tabela1[[#This Row],[Country]],Table6[71kg Classification],"&gt;0")</f>
        <v>0</v>
      </c>
      <c r="CN40" s="6">
        <f>COUNTIFS(Table6[Country],Tabela1[[#This Row],[Country]],Table6[80kg Classification],"&gt;0")</f>
        <v>0</v>
      </c>
      <c r="CO40" s="6">
        <f>COUNTIFS(Table6[Country],Tabela1[[#This Row],[Country]],Table6[92kg Classification],"&gt;0")</f>
        <v>0</v>
      </c>
      <c r="CP40" s="6">
        <f>COUNTIFS(Table6[Country],Tabela1[[#This Row],[Country]],Table6[Plus 92kg Classification],"&gt;0")</f>
        <v>0</v>
      </c>
      <c r="CQ40" s="6">
        <f>COUNTIFS(Table7[Country],Tabela1[[#This Row],[Country]],Table7[50kg Classification],"&gt;0")</f>
        <v>0</v>
      </c>
      <c r="CR40" s="6">
        <f>COUNTIFS(Table7[Country],Tabela1[[#This Row],[Country]],Table7[54kg Classification],"&gt;0")</f>
        <v>0</v>
      </c>
      <c r="CS40" s="6">
        <f>COUNTIFS(Table7[Country],Tabela1[[#This Row],[Country]],Table7[57kg Classification],"&gt;0")</f>
        <v>0</v>
      </c>
      <c r="CT40" s="6">
        <f>COUNTIFS(Table7[Country],Tabela1[[#This Row],[Country]],Table7[60kg Classification],"&gt;0")</f>
        <v>0</v>
      </c>
      <c r="CU40" s="6">
        <f>COUNTIFS(Table7[Country],Tabela1[[#This Row],[Country]],Table7[66kg Classification],"&gt;0")</f>
        <v>0</v>
      </c>
      <c r="CV40" s="6">
        <f>COUNTIFS(Table7[Country],Tabela1[[#This Row],[Country]],Table7[75kg Classification],"&gt;0")</f>
        <v>0</v>
      </c>
      <c r="CW40" s="6">
        <f>COUNTIFS(Tabela94[Country],Tabela1[[#This Row],[Country]],Tabela94[Classification],"&gt;0")</f>
        <v>0</v>
      </c>
      <c r="CX40" s="6">
        <f>COUNTIFS(Tabela9499[Country],Tabela1[[#This Row],[Country]],Tabela9499[Classification],"&gt;0")</f>
        <v>0</v>
      </c>
      <c r="CY40" s="6">
        <f>COUNTIFS(Tabela107[Country],Tabela1[[#This Row],[Country]],Tabela107[C1 Slalom Classification],"&gt;0")</f>
        <v>0</v>
      </c>
      <c r="CZ40" s="6">
        <f>COUNTIFS(Tabela107122[Country],Tabela1[[#This Row],[Country]],Tabela107122[C1 Slalom Classification],"&gt;0")</f>
        <v>0</v>
      </c>
      <c r="DA40" s="6">
        <f>COUNTIFS(Tabela107[Country],Tabela1[[#This Row],[Country]],Tabela107[K1 Slalom Classification],"&gt;0")</f>
        <v>0</v>
      </c>
      <c r="DB40" s="6">
        <f>COUNTIFS(Tabela107122[Country],Tabela1[[#This Row],[Country]],Tabela107122[K1 Slalom Classification],"&gt;0")</f>
        <v>0</v>
      </c>
      <c r="DC40" s="6">
        <f>COUNTIFS(Tabela107[Country],Tabela1[[#This Row],[Country]],Tabela107[Kayak Cross Slalom Classification],"&gt;0")</f>
        <v>0</v>
      </c>
      <c r="DD40" s="6">
        <f>COUNTIFS(Tabela107122[Country],Tabela1[[#This Row],[Country]],Tabela107122[Kayak Cross Slalom Classification],"&gt;0")</f>
        <v>0</v>
      </c>
      <c r="DE40" s="6">
        <f>COUNTIFS(Table8[Country],Tabela1[[#This Row],[Country]],Table8[C1 200m Classification],"&gt;0")</f>
        <v>0</v>
      </c>
      <c r="DF40" s="6">
        <f>COUNTIFS(Table40[Country],Tabela1[[#This Row],[Country]],Table40[C1 1000m Classification],"&gt;0")</f>
        <v>0</v>
      </c>
      <c r="DG40" s="6">
        <f>COUNTIFS(Table68[Country],Tabela1[[#This Row],[Country]],Table68[Men''s C2 500m Classification],"&gt;0")</f>
        <v>0</v>
      </c>
      <c r="DH40" s="6">
        <f>COUNTIFS(Table68[Country],Tabela1[[#This Row],[Country]],Table68[Women''s C2 500m Classification],"&gt;0")</f>
        <v>0</v>
      </c>
      <c r="DI40" s="6">
        <f>COUNTIFS(Table8[Country],Tabela1[[#This Row],[Country]],Table8[K1 500m Classification],"&gt;0")</f>
        <v>0</v>
      </c>
      <c r="DJ40" s="6">
        <f>COUNTIFS(Table40[Country],Tabela1[[#This Row],[Country]],Table40[K1 1000m Classification],"&gt;0")</f>
        <v>0</v>
      </c>
      <c r="DK40" s="6">
        <f>COUNTIFS(Table68[Country],Tabela1[[#This Row],[Country]],Table68[Men''s K2 500m Classification],"&gt;0")</f>
        <v>0</v>
      </c>
      <c r="DL40" s="6">
        <f>COUNTIFS(Table68[Country],Tabela1[[#This Row],[Country]],Table68[Women''s K2 500m Classification],"&gt;0")</f>
        <v>0</v>
      </c>
      <c r="DM40" s="6">
        <f>COUNTIFS(Table83[Country],Tabela1[[#This Row],[Country]],Table83[Men''s K4 500m Classification],"&gt;0")</f>
        <v>0</v>
      </c>
      <c r="DN40" s="6">
        <f>COUNTIFS(Table83[Country],Tabela1[[#This Row],[Country]],Table83[Women''s K4 500m Classification],"&gt;0")</f>
        <v>0</v>
      </c>
      <c r="DO40" s="6">
        <f>COUNTIFS(Tabela126[Country],Tabela1[[#This Row],[Country]],Tabela126[Classification],"&gt;0")</f>
        <v>0</v>
      </c>
      <c r="DP40" s="6">
        <f>COUNTIFS(Tabela126130[Country],Tabela1[[#This Row],[Country]],Tabela126130[Classification],"&gt;0")</f>
        <v>0</v>
      </c>
      <c r="DQ40" s="6">
        <f>COUNTIFS(Table70[Country],Tabela1[[#This Row],[Country]],Table70[Classification],"&gt;0")</f>
        <v>0</v>
      </c>
      <c r="DR40" s="6">
        <f>COUNTIFS(Table80[Country],Tabela1[[#This Row],[Country]],Table80[Classification],"&gt;0")</f>
        <v>0</v>
      </c>
      <c r="DS40" s="6">
        <f>COUNTIFS(Table66[Country],Tabela1[[#This Row],[Country]],Table66[Classification],"&gt;0")</f>
        <v>0</v>
      </c>
      <c r="DT40" s="6">
        <f>COUNTIFS(Table67[Country],Tabela1[[#This Row],[Country]],Table67[Classification],"&gt;0")</f>
        <v>1</v>
      </c>
      <c r="DU40" s="6">
        <f>COUNTIFS(Table69[Country],Tabela1[[#This Row],[Country]],Table69[Keirin Classification],"&gt;0")</f>
        <v>0</v>
      </c>
      <c r="DV40" s="6">
        <f>COUNTIFS(Table41[Country],Tabela1[[#This Row],[Country]],Table41[Keirin Classification],"&gt;0")</f>
        <v>0</v>
      </c>
      <c r="DW40" s="6">
        <f>COUNTIFS(Table84[Country],Tabela1[[#This Row],[Country]],Table84[Men''s Madison Classification],"&gt;0")</f>
        <v>0</v>
      </c>
      <c r="DX40" s="6">
        <f>COUNTIFS(Table84[Country],Tabela1[[#This Row],[Country]],Table84[Women''s Madison Classification],"&gt;0")</f>
        <v>0</v>
      </c>
      <c r="DY40" s="6">
        <f>COUNTIFS(Table69[Country],Tabela1[[#This Row],[Country]],Table69[Omnium Classification],"&gt;0")</f>
        <v>0</v>
      </c>
      <c r="DZ40" s="6">
        <f>COUNTIFS(Table41[Country],Tabela1[[#This Row],[Country]],Table41[Omnium Classification],"&gt;0")</f>
        <v>0</v>
      </c>
      <c r="EA40" s="6">
        <f>COUNTIFS(Table9[Country],Tabela1[[#This Row],[Country]],Table9[Road Race Classification],"&gt;0")</f>
        <v>0</v>
      </c>
      <c r="EB40" s="6">
        <f>COUNTIFS(Table14[Country],Tabela1[[#This Row],[Country]],Table14[Road Race Classification],"&gt;0")</f>
        <v>0</v>
      </c>
      <c r="EC40" s="6">
        <f>COUNTIFS(Table69[Country],Tabela1[[#This Row],[Country]],Table69[Sprint Classification],"&gt;0")</f>
        <v>0</v>
      </c>
      <c r="ED40" s="6">
        <f>COUNTIFS(Table41[Country],Tabela1[[#This Row],[Country]],Table41[Sprint Classification],"&gt;0")</f>
        <v>0</v>
      </c>
      <c r="EE40" s="6">
        <f>COUNTIFS(Table85[Country],Tabela1[[#This Row],[Country]],Table85[Men''s Sprint Classification],"&gt;0")</f>
        <v>0</v>
      </c>
      <c r="EF40" s="6">
        <f>COUNTIFS(Table85[Country],Tabela1[[#This Row],[Country]],Table85[Women''s Sprint Classification],"&gt;0")</f>
        <v>0</v>
      </c>
      <c r="EG40" s="6">
        <f>COUNTIFS(Table85[Country],Tabela1[[#This Row],[Country]],Table85[Men''s Pursuit Classification],"&gt;0")</f>
        <v>0</v>
      </c>
      <c r="EH40" s="6">
        <f>COUNTIFS(Table85[Country],Tabela1[[#This Row],[Country]],Table85[Women''s Pursuit Classification],"&gt;0")</f>
        <v>0</v>
      </c>
      <c r="EI40" s="6">
        <f>COUNTIFS(Table9[Country],Tabela1[[#This Row],[Country]],Table9[Time-Trial Classification],"&gt;0")</f>
        <v>0</v>
      </c>
      <c r="EJ40" s="6">
        <f>COUNTIFS(Table14[Country],Tabela1[[#This Row],[Country]],Table14[Time-Trial Classification],"&gt;0")</f>
        <v>0</v>
      </c>
      <c r="EK40" s="6">
        <f>COUNTIFS(Table42[Country],Tabela1[[#This Row],[Country]],Table42[Springboard Classification],"&gt;0")</f>
        <v>0</v>
      </c>
      <c r="EL40" s="6">
        <f>COUNTIFS(Table43[Country],Tabela1[[#This Row],[Country]],Table43[Springboard Classification],"&gt;0")</f>
        <v>0</v>
      </c>
      <c r="EM40" s="6">
        <f>COUNTIFS(Table42[Country],Tabela1[[#This Row],[Country]],Table42[Platform Classification],"&gt;0")</f>
        <v>0</v>
      </c>
      <c r="EN40" s="6">
        <f>COUNTIFS(Table43[Country],Tabela1[[#This Row],[Country]],Table43[Platform Classification],"&gt;0")</f>
        <v>0</v>
      </c>
      <c r="EO40" s="6">
        <f>COUNTIFS(Table86[Country],Tabela1[[#This Row],[Country]],Table86[Men''s Synchronized Springboard Classification],"&gt;0")</f>
        <v>0</v>
      </c>
      <c r="EP40" s="6">
        <f>COUNTIFS(Table86[Country],Tabela1[[#This Row],[Country]],Table86[Women''s Synchronized Springboard Classification],"&gt;0")</f>
        <v>0</v>
      </c>
      <c r="EQ40" s="6">
        <f>COUNTIFS(Table86[Country],Tabela1[[#This Row],[Country]],Table86[Men''s Synchronized Platform Classification],"&gt;0")</f>
        <v>0</v>
      </c>
      <c r="ER40" s="6">
        <f>COUNTIFS(Table86[Country],Tabela1[[#This Row],[Country]],Table86[Women''s Synchronized Platform Classification],"&gt;0")</f>
        <v>0</v>
      </c>
      <c r="ES40" s="6">
        <f>COUNTIFS(Table44[Country],Tabela1[[#This Row],[Country]],Table44[Dressage Classification],"&gt;0")</f>
        <v>0</v>
      </c>
      <c r="ET40" s="6">
        <f>COUNTIFS(Table45[Country],Tabela1[[#This Row],[Country]],Table45[Dressage Classification],"&gt;0")</f>
        <v>0</v>
      </c>
      <c r="EU40" s="6">
        <f>COUNTIFS(Table44[Country],Tabela1[[#This Row],[Country]],Table44[Eventing Classification],"&gt;0")</f>
        <v>0</v>
      </c>
      <c r="EV40" s="6">
        <f>COUNTIFS(Table45[Country],Tabela1[[#This Row],[Country]],Table45[Eventing Classification],"&gt;0")</f>
        <v>0</v>
      </c>
      <c r="EW40" s="6">
        <f>COUNTIFS(Table44[Country],Tabela1[[#This Row],[Country]],Table44[Jumping Classification],"&gt;0")</f>
        <v>1</v>
      </c>
      <c r="EX40" s="6">
        <f>COUNTIFS(Table45[Country],Tabela1[[#This Row],[Country]],Table45[Jumping Classification],"&gt;0")</f>
        <v>1</v>
      </c>
      <c r="EY40" s="6">
        <f>COUNTIFS(Table10[Country],Tabela1[[#This Row],[Country]],Table10[Épée Classification],"&gt;0")</f>
        <v>0</v>
      </c>
      <c r="EZ40" s="6">
        <f>COUNTIFS(Table11[Country],Tabela1[[#This Row],[Country]],Table11[Épée Classification],"&gt;0")</f>
        <v>0</v>
      </c>
      <c r="FA40" s="6">
        <f>COUNTIFS(Table46[Country],Tabela1[[#This Row],[Country]],Table46[Men''s Épée Classification],"&gt;0")</f>
        <v>0</v>
      </c>
      <c r="FB40" s="6">
        <f>COUNTIFS(Table46[Country],Tabela1[[#This Row],[Country]],Table46[Women''s Épée Classification],"&gt;0")</f>
        <v>0</v>
      </c>
      <c r="FC40" s="6">
        <f>COUNTIFS(Table10[Country],Tabela1[[#This Row],[Country]],Table10[Foil Classification],"&gt;0")</f>
        <v>0</v>
      </c>
      <c r="FD40" s="6">
        <f>COUNTIFS(Table11[Country],Tabela1[[#This Row],[Country]],Table11[Foil Classification],"&gt;0")</f>
        <v>0</v>
      </c>
      <c r="FE40" s="6">
        <f>COUNTIFS(Table46[Country],Tabela1[[#This Row],[Country]],Table46[Men''s Foil Classification],"&gt;0")</f>
        <v>0</v>
      </c>
      <c r="FF40" s="6">
        <f>COUNTIFS(Table46[Country],Tabela1[[#This Row],[Country]],Table46[Women''s Foil Classification],"&gt;0")</f>
        <v>0</v>
      </c>
      <c r="FG40" s="6">
        <f>COUNTIFS(Table10[Country],Tabela1[[#This Row],[Country]],Table10[Sabre Classification],"&gt;0")</f>
        <v>0</v>
      </c>
      <c r="FH40" s="6">
        <f>COUNTIFS(Table11[Country],Tabela1[[#This Row],[Country]],Table11[Sabre Classification],"&gt;0")</f>
        <v>0</v>
      </c>
      <c r="FI40" s="6">
        <f>COUNTIFS(Table46[Country],Tabela1[[#This Row],[Country]],Table46[Men''s Sabre Classification],"&gt;0")</f>
        <v>0</v>
      </c>
      <c r="FJ40" s="6">
        <f>COUNTIFS(Table46[Country],Tabela1[[#This Row],[Country]],Table46[Women''s Sabre Classification],"&gt;0")</f>
        <v>0</v>
      </c>
      <c r="FK40" s="6">
        <f>COUNTIFS(Table91[Country],Tabela1[[#This Row],[Country]],Table91[Men''s Classification],"&gt;0")</f>
        <v>1</v>
      </c>
      <c r="FL40" s="6">
        <f>COUNTIFS(Table91[Country],Tabela1[[#This Row],[Country]],Table91[Women''s Classification],"&gt;0")</f>
        <v>1</v>
      </c>
      <c r="FM40" s="6">
        <f>COUNTIFS(Table9194[Country],Tabela1[[#This Row],[Country]],Table9194[Men''s Classification],"&gt;0")</f>
        <v>0</v>
      </c>
      <c r="FN40" s="6">
        <f>COUNTIFS(Table9194[Country],Tabela1[[#This Row],[Country]],Table9194[Women''s Classification],"&gt;0")</f>
        <v>0</v>
      </c>
      <c r="FO40" s="6">
        <f>COUNTIFS(Table71[Country],Tabela1[[#This Row],[Country]],Table71[Classification],"&gt;0")</f>
        <v>0</v>
      </c>
      <c r="FP40" s="6">
        <f>COUNTIFS(Table62[Country],Tabela1[[#This Row],[Country]],Table62[Classification],"&gt;0")</f>
        <v>0</v>
      </c>
      <c r="FQ40" s="6">
        <f>COUNTIFS(Table47[Country],Tabela1[[#This Row],[Country]],Table47[All-Around Classification],"&gt;0")</f>
        <v>0</v>
      </c>
      <c r="FR40" s="6">
        <f>COUNTIFS(Table48[Country],Tabela1[[#This Row],[Country]],Table48[All-Around Classification],"&gt;0")</f>
        <v>0</v>
      </c>
      <c r="FS40" s="6">
        <f>COUNTIFS(Table81[Country],Tabela1[[#This Row],[Country]],Table81[Men''s All-Around Classification],"&gt;0")</f>
        <v>0</v>
      </c>
      <c r="FT40" s="6">
        <f>COUNTIFS(Table81[Country],Tabela1[[#This Row],[Country]],Table81[Women''s All-Around Classification],"&gt;0")</f>
        <v>0</v>
      </c>
      <c r="FU40" s="6">
        <f>COUNTIFS(Table48[Country],Tabela1[[#This Row],[Country]],Table48[Balance Beam Classification],"&gt;0")</f>
        <v>0</v>
      </c>
      <c r="FV40" s="6">
        <f>COUNTIFS(Table47[Country],Tabela1[[#This Row],[Country]],Table47[Floor Exercise Classification],"&gt;0")</f>
        <v>0</v>
      </c>
      <c r="FW40" s="6">
        <f>COUNTIFS(Table48[Country],Tabela1[[#This Row],[Country]],Table48[Floor Exercise Classification],"&gt;0")</f>
        <v>0</v>
      </c>
      <c r="FX40" s="6">
        <f>COUNTIFS(Table47[Country],Tabela1[[#This Row],[Country]],Table47[Horizontal Bar Classification],"&gt;0")</f>
        <v>0</v>
      </c>
      <c r="FY40" s="6">
        <f>COUNTIFS(Table47[Country],Tabela1[[#This Row],[Country]],Table47[Parallel Bars Classification],"&gt;0")</f>
        <v>0</v>
      </c>
      <c r="FZ40" s="6">
        <f>COUNTIFS(Table47[Country],Tabela1[[#This Row],[Country]],Table47[Pommel Horse Classification],"&gt;0")</f>
        <v>0</v>
      </c>
      <c r="GA40" s="6">
        <f>COUNTIFS(Table47[Country],Tabela1[[#This Row],[Country]],Table47[Rings Classification],"&gt;0")</f>
        <v>0</v>
      </c>
      <c r="GB40" s="6">
        <f>COUNTIFS(Tabela132[Country],Tabela1[[#This Row],[Country]],Tabela132[Classification],"&gt;0")</f>
        <v>0</v>
      </c>
      <c r="GC40" s="6">
        <f>COUNTIFS(Tabela139[Country],Tabela1[[#This Row],[Country]],Tabela139[Classification],"&gt;0")</f>
        <v>0</v>
      </c>
      <c r="GD40" s="6">
        <f>COUNTIFS(Table48[Country],Tabela1[[#This Row],[Country]],Table48[Uneven Bars Classification],"&gt;0")</f>
        <v>0</v>
      </c>
      <c r="GE40" s="6">
        <f>COUNTIFS(Table47[Country],Tabela1[[#This Row],[Country]],Table47[Vault Classification],"&gt;0")</f>
        <v>0</v>
      </c>
      <c r="GF40" s="6">
        <f>COUNTIFS(Table48[Country],Tabela1[[#This Row],[Country]],Table48[Vault Classification],"&gt;0")</f>
        <v>0</v>
      </c>
      <c r="GG40" s="6">
        <f>COUNTIFS(Table919496[Country],Tabela1[[#This Row],[Country]],Table919496[Men''s Classification],"&gt;0")</f>
        <v>0</v>
      </c>
      <c r="GH40" s="6">
        <f>COUNTIFS(Table919496[Country],Tabela1[[#This Row],[Country]],Table919496[Women''s Classification],"&gt;0")</f>
        <v>0</v>
      </c>
      <c r="GI40" s="6">
        <f>COUNTIFS(Table12[Country],Tabela1[[#This Row],[Country]],Table12[60kg Classification],"&gt;0")</f>
        <v>0</v>
      </c>
      <c r="GJ40" s="6">
        <f>COUNTIFS(Table12[Country],Tabela1[[#This Row],[Country]],Table12[66kg Classification],"&gt;0")</f>
        <v>0</v>
      </c>
      <c r="GK40" s="6">
        <f>COUNTIFS(Table12[Country],Tabela1[[#This Row],[Country]],Table12[73kg Classification],"&gt;0")</f>
        <v>0</v>
      </c>
      <c r="GL40" s="6">
        <f>COUNTIFS(Table12[Country],Tabela1[[#This Row],[Country]],Table12[81kg Classification],"&gt;0")</f>
        <v>0</v>
      </c>
      <c r="GM40" s="6">
        <f>COUNTIFS(Table12[Country],Tabela1[[#This Row],[Country]],Table12[90kg Classification],"&gt;0")</f>
        <v>0</v>
      </c>
      <c r="GN40" s="6">
        <f>COUNTIFS(Table12[Country],Tabela1[[#This Row],[Country]],Table12[100kg Classification],"&gt;0")</f>
        <v>0</v>
      </c>
      <c r="GO40" s="6">
        <f>COUNTIFS(Table12[Country],Tabela1[[#This Row],[Country]],Table12[Plus 100kg Classification],"&gt;0")</f>
        <v>0</v>
      </c>
      <c r="GP40" s="6">
        <f>COUNTIFS(Table13[Country],Tabela1[[#This Row],[Country]],Table13[48kg Classification],"&gt;0")</f>
        <v>0</v>
      </c>
      <c r="GQ40" s="6">
        <f>COUNTIFS(Table13[Country],Tabela1[[#This Row],[Country]],Table13[52kg Classification],"&gt;0")</f>
        <v>0</v>
      </c>
      <c r="GR40" s="6">
        <f>COUNTIFS(Table13[Country],Tabela1[[#This Row],[Country]],Table13[57kg Classification],"&gt;0")</f>
        <v>0</v>
      </c>
      <c r="GS40" s="6">
        <f>COUNTIFS(Table13[Country],Tabela1[[#This Row],[Country]],Table13[63kg Classification],"&gt;0")</f>
        <v>0</v>
      </c>
      <c r="GT40" s="6">
        <f>COUNTIFS(Table13[Country],Tabela1[[#This Row],[Country]],Table13[70kg Classification],"&gt;0")</f>
        <v>0</v>
      </c>
      <c r="GU40" s="6">
        <f>COUNTIFS(Table13[Country],Tabela1[[#This Row],[Country]],Table13[78kg Classification],"&gt;0")</f>
        <v>0</v>
      </c>
      <c r="GV40" s="6">
        <f>COUNTIFS(Table13[Country],Tabela1[[#This Row],[Country]],Table13[Plus 78kg Classification],"&gt;0")</f>
        <v>0</v>
      </c>
      <c r="GW40" s="6">
        <f>COUNTIFS(Table82[Country],Tabela1[[#This Row],[Country]],Table82[Mixed Classification],"&gt;0")</f>
        <v>0</v>
      </c>
      <c r="GX40" s="6">
        <f>COUNTIFS(Table51[Country],Tabela1[[#This Row],[Country]],Table51[Classification],"&gt;0")</f>
        <v>0</v>
      </c>
      <c r="GY40" s="6">
        <f>COUNTIFS(Table52[Country],Tabela1[[#This Row],[Country]],Table52[Classification],"&gt;0")</f>
        <v>0</v>
      </c>
      <c r="GZ40" s="6">
        <f>COUNTIFS(Table32[Country],Tabela1[[#This Row],[Country]],Table32[All-Around Classification],"&gt;0")</f>
        <v>0</v>
      </c>
      <c r="HA40" s="6">
        <f>COUNTIFS(Table49[Country],Tabela1[[#This Row],[Country]],Table49[All-Around Classification],"&gt;0")</f>
        <v>0</v>
      </c>
      <c r="HB40" s="6">
        <f>COUNTIFS(Table26[Country],Tabela1[[#This Row],[Country]],Table26[Single Sculls Classification],"&gt;0")</f>
        <v>0</v>
      </c>
      <c r="HC40" s="6">
        <f>COUNTIFS(Table63[Country],Tabela1[[#This Row],[Country]],Table63[Single Sculls Classification],"&gt;0")</f>
        <v>0</v>
      </c>
      <c r="HD40" s="6">
        <f>COUNTIFS(Table16[Country],Tabela1[[#This Row],[Country]],Table16[Men''s Double Sculls Classification],"&gt;0")</f>
        <v>0</v>
      </c>
      <c r="HE40" s="6">
        <f>COUNTIFS(Table16[Country],Tabela1[[#This Row],[Country]],Table16[Women''s Double Sculls Classification],"&gt;0")</f>
        <v>0</v>
      </c>
      <c r="HF40" s="6">
        <f>COUNTIFS(Table72[Country],Tabela1[[#This Row],[Country]],Table72[Men''s Quadruple Sculls Classification],"&gt;0")</f>
        <v>0</v>
      </c>
      <c r="HG40" s="6">
        <f>COUNTIFS(Table72[Country],Tabela1[[#This Row],[Country]],Table72[Women''s Quadruple Sculls Classification],"&gt;0")</f>
        <v>0</v>
      </c>
      <c r="HH40" s="6">
        <f>COUNTIFS(Table16[Country],Tabela1[[#This Row],[Country]],Table16[Men''s Coxless Pairs Classification],"&gt;0")</f>
        <v>0</v>
      </c>
      <c r="HI40" s="6">
        <f>COUNTIFS(Table16[Country],Tabela1[[#This Row],[Country]],Table16[Women''s Coxless Pairs Classification],"&gt;0")</f>
        <v>0</v>
      </c>
      <c r="HJ40" s="6">
        <f>COUNTIFS(Table72[Country],Tabela1[[#This Row],[Country]],Table72[Men''s Coxless Fours Classification],"&gt;0")</f>
        <v>0</v>
      </c>
      <c r="HK40" s="6">
        <f>COUNTIFS(Table72[Country],Tabela1[[#This Row],[Country]],Table72[Women''s Coxless Fours Classification],"&gt;0")</f>
        <v>0</v>
      </c>
      <c r="HL40" s="6">
        <f>COUNTIFS(Table72[Country],Tabela1[[#This Row],[Country]],Table72[Men''s Eights Classification],"&gt;0")</f>
        <v>0</v>
      </c>
      <c r="HM40" s="6">
        <f>COUNTIFS(Table72[Country],Tabela1[[#This Row],[Country]],Table72[Women''s Eights Classification],"&gt;0")</f>
        <v>0</v>
      </c>
      <c r="HN40" s="6">
        <f>COUNTIFS(Table16[Country],Tabela1[[#This Row],[Country]],Table16[Men''s Lwt. Double Sculls Classification],"&gt;0")</f>
        <v>0</v>
      </c>
      <c r="HO40" s="6">
        <f>COUNTIFS(Table16[Country],Tabela1[[#This Row],[Country]],Table16[Women''s Lwt. Double Sculls Classification],"&gt;0")</f>
        <v>0</v>
      </c>
      <c r="HP40" s="6">
        <f>COUNTIFS(Table91949698[Country],Tabela1[[#This Row],[Country]],Table91949698[Men''s Classification],"&gt;0")</f>
        <v>0</v>
      </c>
      <c r="HQ40" s="6">
        <f>COUNTIFS(Table91949698[Country],Tabela1[[#This Row],[Country]],Table91949698[Women''s Classification],"&gt;0")</f>
        <v>0</v>
      </c>
      <c r="HR40" s="6">
        <f>COUNTIFS(Table25[Country],Tabela1[[#This Row],[Country]],Table25[Mixed 470 Classification],"&gt;0")</f>
        <v>0</v>
      </c>
      <c r="HS40" s="6">
        <f>COUNTIFS(Table25[Country],Tabela1[[#This Row],[Country]],Table25[Men''s 49er Classification],"&gt;0")</f>
        <v>0</v>
      </c>
      <c r="HT40" s="6">
        <f>COUNTIFS(Table25[Country],Tabela1[[#This Row],[Country]],Table25[Women''s 49er FX Classification],"&gt;0")</f>
        <v>0</v>
      </c>
      <c r="HU40" s="6">
        <f>COUNTIFS(Table17[Country],Tabela1[[#This Row],[Country]],Table17[Formula Kite Classification],"&gt;0")</f>
        <v>0</v>
      </c>
      <c r="HV40" s="6">
        <f>COUNTIFS(Table18[Country],Tabela1[[#This Row],[Country]],Table18[Formula Kite Classification],"&gt;0")</f>
        <v>0</v>
      </c>
      <c r="HW40" s="6">
        <f>COUNTIFS(Table17[Country],Tabela1[[#This Row],[Country]],Table17[ILCA 7 Classification],"&gt;0")</f>
        <v>0</v>
      </c>
      <c r="HX40" s="6">
        <f>COUNTIFS(Table18[Country],Tabela1[[#This Row],[Country]],Table18[ILCA 6 Classification],"&gt;0")</f>
        <v>0</v>
      </c>
      <c r="HY40" s="6">
        <f>COUNTIFS(Table17[Country],Tabela1[[#This Row],[Country]],Table17[IQFoil Classification],"&gt;0")</f>
        <v>0</v>
      </c>
      <c r="HZ40" s="6">
        <f>COUNTIFS(Table18[Country],Tabela1[[#This Row],[Country]],Table18[IQFoil Classification],"&gt;0")</f>
        <v>0</v>
      </c>
      <c r="IA40" s="6">
        <f>COUNTIFS(Table25[Country],Tabela1[[#This Row],[Country]],Table25[Mixed Nacra 17 Classification],"&gt;0")</f>
        <v>0</v>
      </c>
      <c r="IB40" s="6">
        <f>COUNTIFS(Table53[Country],Tabela1[[#This Row],[Country]],Table53[10m Air Pistol Classification],"&gt;0")</f>
        <v>0</v>
      </c>
      <c r="IC40" s="6">
        <f>COUNTIFS(Table19[Country],Tabela1[[#This Row],[Country]],Table19[10m Air Pistol Classification],"&gt;0")</f>
        <v>0</v>
      </c>
      <c r="ID40" s="6">
        <f>COUNTIFS(Table54[Country],Tabela1[[#This Row],[Country]],Table54[Mixed 10m Air Pistol Team Classification],"&gt;0")</f>
        <v>0</v>
      </c>
      <c r="IE40" s="6">
        <f>COUNTIFS(Table53[Country],Tabela1[[#This Row],[Country]],Table53[10m Air Rifle Classification],"&gt;0")</f>
        <v>0</v>
      </c>
      <c r="IF40" s="6">
        <f>COUNTIFS(Table19[Country],Tabela1[[#This Row],[Country]],Table19[10m Air Rifle Classification],"&gt;0")</f>
        <v>0</v>
      </c>
      <c r="IG40" s="6">
        <f>COUNTIFS(Table54[Country],Tabela1[[#This Row],[Country]],Table54[Mixed 10m Air Rifle Team Classification],"&gt;0")</f>
        <v>0</v>
      </c>
      <c r="IH40" s="6">
        <f>COUNTIFS(Table53[Country],Tabela1[[#This Row],[Country]],Table53[25m Rapid Fire Pistol Classification],"&gt;0")</f>
        <v>0</v>
      </c>
      <c r="II40" s="6">
        <f>COUNTIFS(Table19[Country],Tabela1[[#This Row],[Country]],Table19[25m Pistol Classification],"&gt;0")</f>
        <v>0</v>
      </c>
      <c r="IJ40" s="6">
        <f>COUNTIFS(Table53[Country],Tabela1[[#This Row],[Country]],Table53[50m Rifle 3 Positions Classification],"&gt;0")</f>
        <v>0</v>
      </c>
      <c r="IK40" s="6">
        <f>COUNTIFS(Table19[Country],Tabela1[[#This Row],[Country]],Table19[50m Rifle 3 Positions Classification],"&gt;0")</f>
        <v>0</v>
      </c>
      <c r="IL40" s="6">
        <f>COUNTIFS(Table53[Country],Tabela1[[#This Row],[Country]],Table53[Skeet Classification],"&gt;0")</f>
        <v>0</v>
      </c>
      <c r="IM40" s="6">
        <f>COUNTIFS(Table19[Country],Tabela1[[#This Row],[Country]],Table19[Skeet Classification],"&gt;0")</f>
        <v>0</v>
      </c>
      <c r="IN40" s="6">
        <f>COUNTIFS(Table54[Country],Tabela1[[#This Row],[Country]],Table54[Mixed Skeet Team Classification],"&gt;0")</f>
        <v>0</v>
      </c>
      <c r="IO40" s="6">
        <f>COUNTIFS(Table53[Country],Tabela1[[#This Row],[Country]],Table53[Trap Classification],"&gt;0")</f>
        <v>0</v>
      </c>
      <c r="IP40" s="6">
        <f>COUNTIFS(Table19[Country],Tabela1[[#This Row],[Country]],Table19[Trap Classification],"&gt;0")</f>
        <v>0</v>
      </c>
      <c r="IQ40" s="6">
        <f>COUNTIFS(Table73[Country],Tabela1[[#This Row],[Country]],Table73[Park Classification],"&gt;0")</f>
        <v>0</v>
      </c>
      <c r="IR40" s="6">
        <f>COUNTIFS(Table74[Country],Tabela1[[#This Row],[Country]],Table74[Park Classification],"&gt;0")</f>
        <v>0</v>
      </c>
      <c r="IS40" s="6">
        <f>COUNTIFS(Table73[Country],Tabela1[[#This Row],[Country]],Table73[Street Classification],"&gt;0")</f>
        <v>0</v>
      </c>
      <c r="IT40" s="6">
        <f>COUNTIFS(Table74[Country],Tabela1[[#This Row],[Country]],Table74[Street Classification],"&gt;0")</f>
        <v>0</v>
      </c>
      <c r="IU40" s="6">
        <f>COUNTIFS(Table75[Country],Tabela1[[#This Row],[Country]],Table75[Boulder and Lead Classification],"&gt;0")</f>
        <v>0</v>
      </c>
      <c r="IV40" s="6">
        <f>COUNTIFS(Table76[Country],Tabela1[[#This Row],[Country]],Table76[Boulder and Lead Classification],"&gt;0")</f>
        <v>0</v>
      </c>
      <c r="IW40" s="6">
        <f>COUNTIFS(Table75[Country],Tabela1[[#This Row],[Country]],Table75[Speed Classification],"&gt;0")</f>
        <v>0</v>
      </c>
      <c r="IX40" s="6">
        <f>COUNTIFS(Table76[Country],Tabela1[[#This Row],[Country]],Table76[Speed Classification],"&gt;0")</f>
        <v>0</v>
      </c>
      <c r="IY40" s="6">
        <f>COUNTIFS(Table64[Country],Tabela1[[#This Row],[Country]],Table64[Shortboard Classification],"&gt;0")</f>
        <v>0</v>
      </c>
      <c r="IZ40" s="6">
        <f>COUNTIFS(Table77[Country],Tabela1[[#This Row],[Country]],Table77[Shortboard Classification],"&gt;0")</f>
        <v>0</v>
      </c>
      <c r="JA40" s="6">
        <f>COUNTIFS(Table20[Country],Tabela1[[#This Row],[Country]],Table20[50m Freestyle Classification],"&gt;0")</f>
        <v>0</v>
      </c>
      <c r="JB40" s="6">
        <f>COUNTIFS(Table21[Country],Tabela1[[#This Row],[Country]],Table21[50m Freestyle Classification],"&gt;0")</f>
        <v>0</v>
      </c>
      <c r="JC40" s="6">
        <f>COUNTIFS(Table20[Country],Tabela1[[#This Row],[Country]],Table20[100m Freestyle Classification],"&gt;0")</f>
        <v>0</v>
      </c>
      <c r="JD40" s="6">
        <f>COUNTIFS(Table21[Country],Tabela1[[#This Row],[Country]],Table21[100m Freestyle Classification],"&gt;0")</f>
        <v>0</v>
      </c>
      <c r="JE40" s="6">
        <f>COUNTIFS(Table20[Country],Tabela1[[#This Row],[Country]],Table20[200m Freestyle Classification],"&gt;0")</f>
        <v>0</v>
      </c>
      <c r="JF40" s="6">
        <f>COUNTIFS(Table21[Country],Tabela1[[#This Row],[Country]],Table21[200m Freestyle Classification],"&gt;0")</f>
        <v>0</v>
      </c>
      <c r="JG40" s="6">
        <f>COUNTIFS(Table20[Country],Tabela1[[#This Row],[Country]],Table20[400m Freestyle Classification],"&gt;0")</f>
        <v>0</v>
      </c>
      <c r="JH40" s="6">
        <f>COUNTIFS(Table21[Country],Tabela1[[#This Row],[Country]],Table21[400m Freestyle Classification],"&gt;0")</f>
        <v>0</v>
      </c>
      <c r="JI40" s="6">
        <f>COUNTIFS(Table20[Country],Tabela1[[#This Row],[Country]],Table20[800m Freestyle Classification],"&gt;0")</f>
        <v>0</v>
      </c>
      <c r="JJ40" s="6">
        <f>COUNTIFS(Table21[Country],Tabela1[[#This Row],[Country]],Table21[800m Freestyle Classification],"&gt;0")</f>
        <v>0</v>
      </c>
      <c r="JK40" s="6">
        <f>COUNTIFS(Table20[Country],Tabela1[[#This Row],[Country]],Table20[1500m Freestyle Classification],"&gt;0")</f>
        <v>0</v>
      </c>
      <c r="JL40" s="6">
        <f>COUNTIFS(Table21[Country],Tabela1[[#This Row],[Country]],Table21[1500m Freestyle Classification],"&gt;0")</f>
        <v>0</v>
      </c>
      <c r="JM40" s="6">
        <f>COUNTIFS(Table20[Country],Tabela1[[#This Row],[Country]],Table20[100m Backstroke Classification],"&gt;0")</f>
        <v>0</v>
      </c>
      <c r="JN40" s="6">
        <f>COUNTIFS(Table21[Country],Tabela1[[#This Row],[Country]],Table21[100m Backstroke Classification],"&gt;0")</f>
        <v>0</v>
      </c>
      <c r="JO40" s="6">
        <f>COUNTIFS(Table20[Country],Tabela1[[#This Row],[Country]],Table20[200m Backstroke Classification],"&gt;0")</f>
        <v>0</v>
      </c>
      <c r="JP40" s="6">
        <f>COUNTIFS(Table21[Country],Tabela1[[#This Row],[Country]],Table21[200m Backstroke Classification],"&gt;0")</f>
        <v>0</v>
      </c>
      <c r="JQ40" s="6">
        <f>COUNTIFS(Table20[Country],Tabela1[[#This Row],[Country]],Table20[100m Breaststroke Classification],"&gt;0")</f>
        <v>0</v>
      </c>
      <c r="JR40" s="6">
        <f>COUNTIFS(Table21[Country],Tabela1[[#This Row],[Country]],Table21[100m Breaststroke Classification],"&gt;0")</f>
        <v>0</v>
      </c>
      <c r="JS40" s="6">
        <f>COUNTIFS(Table20[Country],Tabela1[[#This Row],[Country]],Table20[200m Breaststroke Classification],"&gt;0")</f>
        <v>0</v>
      </c>
      <c r="JT40" s="6">
        <f>COUNTIFS(Table21[Country],Tabela1[[#This Row],[Country]],Table21[200m Breaststroke Classification],"&gt;0")</f>
        <v>0</v>
      </c>
      <c r="JU40" s="6">
        <f>COUNTIFS(Table20[Country],Tabela1[[#This Row],[Country]],Table20[100m Butterfly Classification],"&gt;0")</f>
        <v>0</v>
      </c>
      <c r="JV40" s="6">
        <f>COUNTIFS(Table21[Country],Tabela1[[#This Row],[Country]],Table21[100m Butterfly Classification],"&gt;0")</f>
        <v>0</v>
      </c>
      <c r="JW40" s="6">
        <f>COUNTIFS(Table20[Country],Tabela1[[#This Row],[Country]],Table20[200m Butterfly Classification],"&gt;0")</f>
        <v>0</v>
      </c>
      <c r="JX40" s="6">
        <f>COUNTIFS(Table21[Country],Tabela1[[#This Row],[Country]],Table21[200m Butterfly Classification],"&gt;0")</f>
        <v>0</v>
      </c>
      <c r="JY40" s="6">
        <f>COUNTIFS(Table20[Country],Tabela1[[#This Row],[Country]],Table20[200m Medley Classification],"&gt;0")</f>
        <v>0</v>
      </c>
      <c r="JZ40" s="6">
        <f>COUNTIFS(Table21[Country],Tabela1[[#This Row],[Country]],Table21[200m Medley Classification],"&gt;0")</f>
        <v>0</v>
      </c>
      <c r="KA40" s="6">
        <f>COUNTIFS(Table20[Country],Tabela1[[#This Row],[Country]],Table20[400m Medley Classification],"&gt;0")</f>
        <v>0</v>
      </c>
      <c r="KB40" s="6">
        <f>COUNTIFS(Table21[Country],Tabela1[[#This Row],[Country]],Table21[400m Medley Classification],"&gt;0")</f>
        <v>0</v>
      </c>
      <c r="KC40" s="6">
        <f>COUNTIFS(Table78[Country],Tabela1[[#This Row],[Country]],Table78[Men''s 4x100m Freestyle Relay Classification],"&gt;0")</f>
        <v>0</v>
      </c>
      <c r="KD40" s="6">
        <f>COUNTIFS(Table78[Country],Tabela1[[#This Row],[Country]],Table78[Women''s 4x100m Freestyle Relay Classification],"&gt;0")</f>
        <v>0</v>
      </c>
      <c r="KE40" s="6">
        <f>COUNTIFS(Table78[Country],Tabela1[[#This Row],[Country]],Table78[Men''s 4x200m Freestyle Relay Classification],"&gt;0")</f>
        <v>0</v>
      </c>
      <c r="KF40" s="6">
        <f>COUNTIFS(Table78[Country],Tabela1[[#This Row],[Country]],Table78[Women''s 4x200m Freestyle Relay Classification],"&gt;0")</f>
        <v>0</v>
      </c>
      <c r="KG40" s="6">
        <f>COUNTIFS(Table78[Country],Tabela1[[#This Row],[Country]],Table78[Men''s 4x100m Medley Relay Classification],"&gt;0")</f>
        <v>0</v>
      </c>
      <c r="KH40" s="6">
        <f>COUNTIFS(Table78[Country],Tabela1[[#This Row],[Country]],Table78[Women''s 4x100m Medley Relay Classification],"&gt;0")</f>
        <v>0</v>
      </c>
      <c r="KI40" s="6">
        <f>COUNTIFS(Table78[Country],Tabela1[[#This Row],[Country]],Table78[Mixed 4x100m Medley Relay Classification],"&gt;0")</f>
        <v>0</v>
      </c>
      <c r="KJ40" s="6">
        <f>COUNTIFS(Table20[Country],Tabela1[[#This Row],[Country]],Table20[10km Open Water Classification],"&gt;0")</f>
        <v>0</v>
      </c>
      <c r="KK40" s="6">
        <f>COUNTIFS(Table21[Country],Tabela1[[#This Row],[Country]],Table21[10km Open Water Classification],"&gt;0")</f>
        <v>0</v>
      </c>
      <c r="KL40" s="6">
        <f>COUNTIFS(Table22[Country],Tabela1[[#This Row],[Country]],Table22[Classification],"&gt;0")</f>
        <v>1</v>
      </c>
      <c r="KM40" s="6">
        <f>COUNTIFS(Table30[Country],Tabela1[[#This Row],[Country]],Table30[Classification],"&gt;0")</f>
        <v>0</v>
      </c>
      <c r="KN40" s="6">
        <f>COUNTIFS(Table55[Country],Tabela1[[#This Row],[Country]],Table55[Men''s Classification],"&gt;0")</f>
        <v>0</v>
      </c>
      <c r="KO40" s="6">
        <f>COUNTIFS(Table55[Country],Tabela1[[#This Row],[Country]],Table55[Women''s Classification],"&gt;0")</f>
        <v>0</v>
      </c>
      <c r="KP40" s="6">
        <f>COUNTIFS(Table56[Country],Tabela1[[#This Row],[Country]],Table56[Mixed Classification],"&gt;0")</f>
        <v>0</v>
      </c>
      <c r="KQ40" s="6">
        <f>COUNTIFS(Table29[Country],Tabela1[[#This Row],[Country]],Table29[58kg Classification],"&gt;0")</f>
        <v>0</v>
      </c>
      <c r="KR40" s="6">
        <f>COUNTIFS(Table29[Country],Tabela1[[#This Row],[Country]],Table29[68kg Classification],"&gt;0")</f>
        <v>0</v>
      </c>
      <c r="KS40" s="6">
        <f>COUNTIFS(Table29[Country],Tabela1[[#This Row],[Country]],Table29[80kg Classification],"&gt;0")</f>
        <v>0</v>
      </c>
      <c r="KT40" s="6">
        <f>COUNTIFS(Table29[Country],Tabela1[[#This Row],[Country]],Table29[Plus 80kg Classification],"&gt;0")</f>
        <v>0</v>
      </c>
      <c r="KU40" s="6">
        <f>COUNTIFS(Table34[Country],Tabela1[[#This Row],[Country]],Table34[49kg Classification],"&gt;0")</f>
        <v>0</v>
      </c>
      <c r="KV40" s="6">
        <f>COUNTIFS(Table34[Country],Tabela1[[#This Row],[Country]],Table34[57kg Classification],"&gt;0")</f>
        <v>0</v>
      </c>
      <c r="KW40" s="6">
        <f>COUNTIFS(Table34[Country],Tabela1[[#This Row],[Country]],Table34[67kg Classification],"&gt;0")</f>
        <v>1</v>
      </c>
      <c r="KX40" s="6">
        <f>COUNTIFS(Table34[Country],Tabela1[[#This Row],[Country]],Table34[Plus 67kg Classification],"&gt;0")</f>
        <v>0</v>
      </c>
      <c r="KY40" s="6">
        <f>COUNTIFS(Table57[Country],Tabela1[[#This Row],[Country]],Table57[Classification],"&gt;0")</f>
        <v>0</v>
      </c>
      <c r="KZ40" s="6">
        <f>COUNTIFS(Table58[Country],Tabela1[[#This Row],[Country]],Table58[Classification],"&gt;0")</f>
        <v>0</v>
      </c>
      <c r="LA40" s="6">
        <f>COUNTIFS(Table79[Country],Tabela1[[#This Row],[Country]],Table79[Men''s Classification],"&gt;0")</f>
        <v>0</v>
      </c>
      <c r="LB40" s="6">
        <f>COUNTIFS(Table79[Country],Tabela1[[#This Row],[Country]],Table79[Women''s Classification],"&gt;0")</f>
        <v>0</v>
      </c>
      <c r="LC40" s="6">
        <f>COUNTIFS(Table79[Country],Tabela1[[#This Row],[Country]],Table79[Mixed Classification],"&gt;0")</f>
        <v>0</v>
      </c>
      <c r="LD40" s="6">
        <f>COUNTIFS(Table65[Country],Tabela1[[#This Row],[Country]],Table65[Classification],"&gt;0")</f>
        <v>0</v>
      </c>
      <c r="LE40" s="6">
        <f>COUNTIFS(Table59[Country],Tabela1[[#This Row],[Country]],Table59[Classification],"&gt;0")</f>
        <v>0</v>
      </c>
      <c r="LF40" s="6">
        <f>COUNTIFS(Table87[Country],Tabela1[[#This Row],[Country]],Table87[Mixed Relay Classification],"&gt;0")</f>
        <v>0</v>
      </c>
      <c r="LG40" s="6">
        <f>COUNTIFS(Table91949698100[Country],Tabela1[[#This Row],[Country]],Table91949698100[Men''s Classification],"&gt;0")</f>
        <v>0</v>
      </c>
      <c r="LH40" s="6">
        <f>COUNTIFS(Table91949698100[Country],Tabela1[[#This Row],[Country]],Table91949698100[Women''s Classification],"&gt;0")</f>
        <v>0</v>
      </c>
      <c r="LI40" s="6">
        <f>COUNTIFS(Table91949698100102[Country],Tabela1[[#This Row],[Country]],Table91949698100102[Men''s Classification],"&gt;0")</f>
        <v>0</v>
      </c>
      <c r="LJ40" s="6">
        <f>COUNTIFS(Table91949698100102[Country],Tabela1[[#This Row],[Country]],Table91949698100102[Women''s Classification],"&gt;0")</f>
        <v>0</v>
      </c>
      <c r="LK40" s="6">
        <f>COUNTIFS(Table23[Country],Tabela1[[#This Row],[Country]],Table23[61kg Classification],"&gt;0")</f>
        <v>0</v>
      </c>
      <c r="LL40" s="6">
        <f>COUNTIFS(Table23[Country],Tabela1[[#This Row],[Country]],Table23[73kg Classification],"&gt;0")</f>
        <v>0</v>
      </c>
      <c r="LM40" s="6">
        <f>COUNTIFS(Table23[Country],Tabela1[[#This Row],[Country]],Table23[89kg Classification],"&gt;0")</f>
        <v>0</v>
      </c>
      <c r="LN40" s="6">
        <f>COUNTIFS(Table23[Country],Tabela1[[#This Row],[Country]],Table23[102kg Classification],"&gt;0")</f>
        <v>0</v>
      </c>
      <c r="LO40" s="6">
        <f>COUNTIFS(Table23[Country],Tabela1[[#This Row],[Country]],Table23[Plus 102kg Classification],"&gt;0")</f>
        <v>0</v>
      </c>
      <c r="LP40" s="6">
        <f>COUNTIFS(Table28[Country],Tabela1[[#This Row],[Country]],Table28[49kg Classification],"&gt;0")</f>
        <v>0</v>
      </c>
      <c r="LQ40" s="6">
        <f>COUNTIFS(Table28[Country],Tabela1[[#This Row],[Country]],Table28[59kg Classification],"&gt;0")</f>
        <v>0</v>
      </c>
      <c r="LR40" s="6">
        <f>COUNTIFS(Table28[Country],Tabela1[[#This Row],[Country]],Table28[71kg Classification],"&gt;0")</f>
        <v>0</v>
      </c>
      <c r="LS40" s="6">
        <f>COUNTIFS(Table28[Country],Tabela1[[#This Row],[Country]],Table28[81kg Classification],"&gt;0")</f>
        <v>0</v>
      </c>
      <c r="LT40" s="6">
        <f>COUNTIFS(Table28[Country],Tabela1[[#This Row],[Country]],Table28[Plus 81kg Classification],"&gt;0")</f>
        <v>0</v>
      </c>
      <c r="LU40" s="6">
        <f>COUNTIFS(Table24[Country],Tabela1[[#This Row],[Country]],Table24[Freestyle 57kg Classification],"&gt;0")</f>
        <v>0</v>
      </c>
      <c r="LV40" s="6">
        <f>COUNTIFS(Table24[Country],Tabela1[[#This Row],[Country]],Table24[Freestyle 65kg Classification],"&gt;0")</f>
        <v>0</v>
      </c>
      <c r="LW40" s="6">
        <f>COUNTIFS(Table24[Country],Tabela1[[#This Row],[Country]],Table24[Freestyle 74kg Classification],"&gt;0")</f>
        <v>0</v>
      </c>
      <c r="LX40" s="6">
        <f>COUNTIFS(Table24[Country],Tabela1[[#This Row],[Country]],Table24[Freestyle 86kg Classification],"&gt;0")</f>
        <v>0</v>
      </c>
      <c r="LY40" s="6">
        <f>COUNTIFS(Table24[Country],Tabela1[[#This Row],[Country]],Table24[Freestyle 97kg Classification],"&gt;0")</f>
        <v>0</v>
      </c>
      <c r="LZ40" s="6">
        <f>COUNTIFS(Table24[Country],Tabela1[[#This Row],[Country]],Table24[Freestyle 125kg Classification],"&gt;0")</f>
        <v>0</v>
      </c>
      <c r="MA40" s="6">
        <f>COUNTIFS(Table24[Country],Tabela1[[#This Row],[Country]],Table24[Greco-Roman 60kg Classification],"&gt;0")</f>
        <v>0</v>
      </c>
      <c r="MB40" s="6">
        <f>COUNTIFS(Table24[Country],Tabela1[[#This Row],[Country]],Table24[Greco-Roman 67kg Classification],"&gt;0")</f>
        <v>0</v>
      </c>
      <c r="MC40" s="6">
        <f>COUNTIFS(Table24[Country],Tabela1[[#This Row],[Country]],Table24[Greco-Roman 77kg Classification],"&gt;0")</f>
        <v>0</v>
      </c>
      <c r="MD40" s="6">
        <f>COUNTIFS(Table24[Country],Tabela1[[#This Row],[Country]],Table24[Greco-Roman 87kg Classification],"&gt;0")</f>
        <v>0</v>
      </c>
      <c r="ME40" s="6">
        <f>COUNTIFS(Table24[Country],Tabela1[[#This Row],[Country]],Table24[Greco-Roman 97kg Classification],"&gt;0")</f>
        <v>0</v>
      </c>
      <c r="MF40" s="6">
        <f>COUNTIFS(Table24[Country],Tabela1[[#This Row],[Country]],Table24[Greco-Roman 130kg Classification],"&gt;0")</f>
        <v>0</v>
      </c>
      <c r="MG40" s="6">
        <f>COUNTIFS(Table31[Country],Tabela1[[#This Row],[Country]],Table31[50kg Classification],"&gt;0")</f>
        <v>0</v>
      </c>
      <c r="MH40" s="6">
        <f>COUNTIFS(Table31[Country],Tabela1[[#This Row],[Country]],Table31[53kg Classification],"&gt;0")</f>
        <v>0</v>
      </c>
      <c r="MI40" s="6">
        <f>COUNTIFS(Table31[Country],Tabela1[[#This Row],[Country]],Table31[57kg Classification],"&gt;0")</f>
        <v>0</v>
      </c>
      <c r="MJ40" s="6">
        <f>COUNTIFS(Table31[Country],Tabela1[[#This Row],[Country]],Table31[62kg Classification],"&gt;0")</f>
        <v>0</v>
      </c>
      <c r="MK40" s="6">
        <f>COUNTIFS(Table31[Country],Tabela1[[#This Row],[Country]],Table31[68kg Classification],"&gt;0")</f>
        <v>0</v>
      </c>
      <c r="ML40" s="6">
        <f>COUNTIFS(Table31[Country],Tabela1[[#This Row],[Country]],Table31[76kg Classification],"&gt;0")</f>
        <v>0</v>
      </c>
      <c r="MM40" s="6">
        <f>COUNTIFS(Table102[Country],Tabela1[[#This Row],[Country]],Table102[Downhill Classification],"&gt;0")</f>
        <v>0</v>
      </c>
      <c r="MN40" s="6">
        <f>COUNTIFS(Table102105[Country],Tabela1[[#This Row],[Country]],Table102105[Downhill Classification],"&gt;0")</f>
        <v>0</v>
      </c>
      <c r="MO40" s="6">
        <f>COUNTIFS(Table102[Country],Tabela1[[#This Row],[Country]],Table102[Giant Slalom Classification],"&gt;0")</f>
        <v>0</v>
      </c>
      <c r="MP40" s="6">
        <f>COUNTIFS(Table102105[Country],Tabela1[[#This Row],[Country]],Table102105[Giant Slalom Classification],"&gt;0")</f>
        <v>0</v>
      </c>
      <c r="MQ40" s="6">
        <f>COUNTIFS(Table102[Country],Tabela1[[#This Row],[Country]],Table102[Slalom Classification],"&gt;0")</f>
        <v>0</v>
      </c>
      <c r="MR40" s="6">
        <f>COUNTIFS(Table102105[Country],Tabela1[[#This Row],[Country]],Table102105[Slalom Classification],"&gt;0")</f>
        <v>0</v>
      </c>
      <c r="MS40" s="6">
        <f>COUNTIFS(Table102[Country],Tabela1[[#This Row],[Country]],Table102[Super-G Classification],"&gt;0")</f>
        <v>0</v>
      </c>
      <c r="MT40" s="6">
        <f>COUNTIFS(Table102105[Country],Tabela1[[#This Row],[Country]],Table102105[Super-G Classification],"&gt;0")</f>
        <v>0</v>
      </c>
      <c r="MU40" s="6">
        <f>COUNTIFS(Table105[Country],Tabela1[[#This Row],[Country]],Table105[Men''s Combined Classification],"&gt;0")</f>
        <v>0</v>
      </c>
      <c r="MV40" s="6">
        <f>COUNTIFS(Table105[Country],Tabela1[[#This Row],[Country]],Table105[Women''s Combined Classification],"&gt;0")</f>
        <v>0</v>
      </c>
      <c r="MW40" s="6">
        <f>COUNTIFS(Table106[Country],Tabela1[[#This Row],[Country]],Table106[Individual Classification],"&gt;0")</f>
        <v>1</v>
      </c>
      <c r="MX40" s="6">
        <f>COUNTIFS(Table106109[Country],Tabela1[[#This Row],[Country]],Table106109[Individual Classification],"&gt;0")</f>
        <v>1</v>
      </c>
      <c r="MY40" s="6">
        <f>COUNTIFS(Table106[Country],Tabela1[[#This Row],[Country]],Table106[Mass Start Classification],"&gt;0")</f>
        <v>0</v>
      </c>
      <c r="MZ40" s="6">
        <f>COUNTIFS(Table106109[Country],Tabela1[[#This Row],[Country]],Table106109[Mass Start Classification],"&gt;0")</f>
        <v>0</v>
      </c>
      <c r="NA40" s="6">
        <f>COUNTIFS(Table106[Country],Tabela1[[#This Row],[Country]],Table106[Pursuit Classification],"&gt;0")</f>
        <v>1</v>
      </c>
      <c r="NB40" s="6">
        <f>COUNTIFS(Table106109[Country],Tabela1[[#This Row],[Country]],Table106109[Pursuit Classification],"&gt;0")</f>
        <v>1</v>
      </c>
      <c r="NC40" s="6">
        <f>COUNTIFS(Table106[Country],Tabela1[[#This Row],[Country]],Table106[Sprint Classification],"&gt;0")</f>
        <v>1</v>
      </c>
      <c r="ND40" s="6">
        <f>COUNTIFS(Table106109[Country],Tabela1[[#This Row],[Country]],Table106109[Sprint Classification],"&gt;0")</f>
        <v>1</v>
      </c>
      <c r="NE40" s="6">
        <f>COUNTIFS(Table109[Country],Tabela1[[#This Row],[Country]],Table109[Men''s Relay Classification],"&gt;0")</f>
        <v>1</v>
      </c>
      <c r="NF40" s="6">
        <f>COUNTIFS(Table109[Country],Tabela1[[#This Row],[Country]],Table109[Women''s Relay Classification],"&gt;0")</f>
        <v>1</v>
      </c>
      <c r="NG40" s="6">
        <f>COUNTIFS(Table109[Country],Tabela1[[#This Row],[Country]],Table109[Mixed Relay Classification],"&gt;0")</f>
        <v>1</v>
      </c>
      <c r="NH40" s="6">
        <f>COUNTIFS(Table110[Country],Tabela1[[#This Row],[Country]],Table110[Monobob Classification],"&gt;0")</f>
        <v>0</v>
      </c>
      <c r="NI40" s="6">
        <f>COUNTIFS(Table111[Country],Tabela1[[#This Row],[Country]],Table111[Men''s Classification],"&gt;0")</f>
        <v>0</v>
      </c>
      <c r="NJ40" s="6">
        <f>COUNTIFS(Table111[Country],Tabela1[[#This Row],[Country]],Table111[Women''s Classification],"&gt;0")</f>
        <v>0</v>
      </c>
      <c r="NK40" s="6">
        <f>COUNTIFS(Table112[Country],Tabela1[[#This Row],[Country]],Table112[Men''s Four Classification],"&gt;0")</f>
        <v>0</v>
      </c>
      <c r="NL40" s="6">
        <f>COUNTIFS(Table113[Country],Tabela1[[#This Row],[Country]],Table113[Classical Classification],"&gt;0")</f>
        <v>0</v>
      </c>
      <c r="NM40" s="6">
        <f>COUNTIFS(Table113116[Country],Tabela1[[#This Row],[Country]],Table113116[Classical Classification],"&gt;0")</f>
        <v>0</v>
      </c>
      <c r="NN40" s="6">
        <f>COUNTIFS(Table113[Country],Tabela1[[#This Row],[Country]],Table113[Freestyle Classification],"&gt;0")</f>
        <v>0</v>
      </c>
      <c r="NO40" s="6">
        <f>COUNTIFS(Table113116[Country],Tabela1[[#This Row],[Country]],Table113116[Freestyle Classification],"&gt;0")</f>
        <v>0</v>
      </c>
      <c r="NP40" s="6">
        <f>COUNTIFS(Table117[Country],Tabela1[[#This Row],[Country]],Table117[Men''s Relay Classification],"&gt;0")</f>
        <v>0</v>
      </c>
      <c r="NQ40" s="6">
        <f>COUNTIFS(Table117[Country],Tabela1[[#This Row],[Country]],Table117[Women''s Relay Classification],"&gt;0")</f>
        <v>0</v>
      </c>
      <c r="NR40" s="6">
        <f>COUNTIFS(Table113[Country],Tabela1[[#This Row],[Country]],Table113[Skiathlon Classification],"&gt;0")</f>
        <v>0</v>
      </c>
      <c r="NS40" s="6">
        <f>COUNTIFS(Table113116[Country],Tabela1[[#This Row],[Country]],Table113116[Skiathlon Classification],"&gt;0")</f>
        <v>0</v>
      </c>
      <c r="NT40" s="6">
        <f>COUNTIFS(Table113[Country],Tabela1[[#This Row],[Country]],Table113[Sprint Classification],"&gt;0")</f>
        <v>0</v>
      </c>
      <c r="NU40" s="6">
        <f>COUNTIFS(Table113116[Country],Tabela1[[#This Row],[Country]],Table113116[Sprint Classification],"&gt;0")</f>
        <v>0</v>
      </c>
      <c r="NV40" s="6">
        <f>COUNTIFS(Table116[Country],Tabela1[[#This Row],[Country]],Table116[Men''s Team Sprint Classification],"&gt;0")</f>
        <v>0</v>
      </c>
      <c r="NW40" s="6">
        <f>COUNTIFS(Table116[Country],Tabela1[[#This Row],[Country]],Table116[Women''s Team Sprint Classification],"&gt;0")</f>
        <v>0</v>
      </c>
      <c r="NX40" s="6">
        <f>COUNTIFS(Table119[Country],Tabela1[[#This Row],[Country]],Table119[Men''s Classification],"&gt;0")</f>
        <v>0</v>
      </c>
      <c r="NY40" s="6">
        <f>COUNTIFS(Table119[Country],Tabela1[[#This Row],[Country]],Table119[Women''s Classification],"&gt;0")</f>
        <v>0</v>
      </c>
      <c r="NZ40" s="6">
        <f>COUNTIFS(Table118[Country],Tabela1[[#This Row],[Country]],Table118[Mixed Classification],"&gt;0")</f>
        <v>0</v>
      </c>
      <c r="OA40" s="6">
        <f>COUNTIFS(Table120[Country],Tabela1[[#This Row],[Country]],Table120[Classification],"&gt;0")</f>
        <v>0</v>
      </c>
      <c r="OB40" s="6">
        <f>COUNTIFS(Table120123[Country],Tabela1[[#This Row],[Country]],Table120123[Classification],"&gt;0")</f>
        <v>0</v>
      </c>
      <c r="OC40" s="6">
        <f>COUNTIFS(Table123[Country],Tabela1[[#This Row],[Country]],Table123[Ice Dance Classification],"&gt;0")</f>
        <v>0</v>
      </c>
      <c r="OD40" s="6">
        <f>COUNTIFS(Table123[Country],Tabela1[[#This Row],[Country]],Table123[Pair Skating Classification],"&gt;0")</f>
        <v>0</v>
      </c>
      <c r="OE40" s="6">
        <f>COUNTIFS(Table124[Country],Tabela1[[#This Row],[Country]],Table124[Mixed Classification],"&gt;0")</f>
        <v>0</v>
      </c>
      <c r="OF40" s="6">
        <f>COUNTIFS(Table125[Country],Tabela1[[#This Row],[Country]],Table125[Aerials Classification],"&gt;0")</f>
        <v>0</v>
      </c>
      <c r="OG40" s="6">
        <f>COUNTIFS(Table125128[Country],Tabela1[[#This Row],[Country]],Table125128[Aerials Classification],"&gt;0")</f>
        <v>0</v>
      </c>
      <c r="OH40" s="6">
        <f>COUNTIFS(Table128[Country],Tabela1[[#This Row],[Country]],Table128[Mixed Aerials Classification],"&gt;0")</f>
        <v>0</v>
      </c>
      <c r="OI40" s="6">
        <f>COUNTIFS(Table125[Country],Tabela1[[#This Row],[Country]],Table125[Big Air Classification],"&gt;0")</f>
        <v>0</v>
      </c>
      <c r="OJ40" s="6">
        <f>COUNTIFS(Table125128[Country],Tabela1[[#This Row],[Country]],Table125128[Big Air Classification],"&gt;0")</f>
        <v>0</v>
      </c>
      <c r="OK40" s="6">
        <f>COUNTIFS(Table125[Country],Tabela1[[#This Row],[Country]],Table125[Dual Moguls Classification],"&gt;0")</f>
        <v>0</v>
      </c>
      <c r="OL40" s="6">
        <f>COUNTIFS(Table125128[Country],Tabela1[[#This Row],[Country]],Table125128[Dual Moguls Classification],"&gt;0")</f>
        <v>0</v>
      </c>
      <c r="OM40" s="6">
        <f>COUNTIFS(Table125[Country],Tabela1[[#This Row],[Country]],Table125[Halfpipe Classification],"&gt;0")</f>
        <v>0</v>
      </c>
      <c r="ON40" s="6">
        <f>COUNTIFS(Table125128[Country],Tabela1[[#This Row],[Country]],Table125128[Halfpipe Classification],"&gt;0")</f>
        <v>0</v>
      </c>
      <c r="OO40" s="6">
        <f>COUNTIFS(Table125[Country],Tabela1[[#This Row],[Country]],Table125[Moguls Classification],"&gt;0")</f>
        <v>0</v>
      </c>
      <c r="OP40" s="6">
        <f>COUNTIFS(Table125128[Country],Tabela1[[#This Row],[Country]],Table125128[Moguls Classification],"&gt;0")</f>
        <v>0</v>
      </c>
      <c r="OQ40" s="6">
        <f>COUNTIFS(Table125[Country],Tabela1[[#This Row],[Country]],Table125[Ski Cross Classification],"&gt;0")</f>
        <v>0</v>
      </c>
      <c r="OR40" s="6">
        <f>COUNTIFS(Table125128[Country],Tabela1[[#This Row],[Country]],Table125128[Ski Cross Classification],"&gt;0")</f>
        <v>0</v>
      </c>
      <c r="OS40" s="6">
        <f>COUNTIFS(Table125[Country],Tabela1[[#This Row],[Country]],Table125[Slopestyle Classification],"&gt;0")</f>
        <v>0</v>
      </c>
      <c r="OT40" s="6">
        <f>COUNTIFS(Table125128[Country],Tabela1[[#This Row],[Country]],Table125128[Slopestyle Classification],"&gt;0")</f>
        <v>0</v>
      </c>
      <c r="OU40" s="6">
        <f>COUNTIFS(Table119131[Country],Tabela1[[#This Row],[Country]],Table119131[Men''s Classification],"&gt;0")</f>
        <v>0</v>
      </c>
      <c r="OV40" s="6">
        <f>COUNTIFS(Table119131[Country],Tabela1[[#This Row],[Country]],Table119131[Women''s Classification],"&gt;0")</f>
        <v>0</v>
      </c>
      <c r="OW40" s="6">
        <f>COUNTIFS(Table131[Country],Tabela1[[#This Row],[Country]],Table131[Classification],"&gt;0")</f>
        <v>0</v>
      </c>
      <c r="OX40" s="6">
        <f>COUNTIFS(Table131134[Country],Tabela1[[#This Row],[Country]],Table131134[Classification],"&gt;0")</f>
        <v>0</v>
      </c>
      <c r="OY40" s="6">
        <f>COUNTIFS(Table134[Country],Tabela1[[#This Row],[Country]],Table134[Men''s Classification],"&gt;0")</f>
        <v>0</v>
      </c>
      <c r="OZ40" s="6">
        <f>COUNTIFS(Table134[Country],Tabela1[[#This Row],[Country]],Table134[Women''s Classification],"&gt;0")</f>
        <v>0</v>
      </c>
      <c r="PA40" s="6">
        <f>COUNTIFS(Table135[Country],Tabela1[[#This Row],[Country]],Table135[Mixed Relay Classification],"&gt;0")</f>
        <v>0</v>
      </c>
      <c r="PB40" s="6">
        <f>COUNTIFS(Table136[Country],Tabela1[[#This Row],[Country]],Table136[Individual Classification],"&gt;0")</f>
        <v>0</v>
      </c>
      <c r="PC40" s="6">
        <f>COUNTIFS(Table136[Country],Tabela1[[#This Row],[Country]],Table136[Sprint Classification],"&gt;0")</f>
        <v>0</v>
      </c>
      <c r="PD40" s="6">
        <f>COUNTIFS(Table137[Country],Tabela1[[#This Row],[Country]],Table137[Men''s Team Sprint Large Hill Classification],"&gt;0")</f>
        <v>0</v>
      </c>
      <c r="PE40" s="6">
        <f>COUNTIFS(Table138[Country],Tabela1[[#This Row],[Country]],Table138[500m Classification],"&gt;0")</f>
        <v>0</v>
      </c>
      <c r="PF40" s="6">
        <f>COUNTIFS(Table138141[Country],Tabela1[[#This Row],[Country]],Table138141[500m Classification],"&gt;0")</f>
        <v>0</v>
      </c>
      <c r="PG40" s="6">
        <f>COUNTIFS(Table138[Country],Tabela1[[#This Row],[Country]],Table138[1000m Classification],"&gt;0")</f>
        <v>0</v>
      </c>
      <c r="PH40" s="6">
        <f>COUNTIFS(Table138141[Country],Tabela1[[#This Row],[Country]],Table138141[1000m Classification],"&gt;0")</f>
        <v>0</v>
      </c>
      <c r="PI40" s="6">
        <f>COUNTIFS(Table138[Country],Tabela1[[#This Row],[Country]],Table138[1500m Classification],"&gt;0")</f>
        <v>0</v>
      </c>
      <c r="PJ40" s="6">
        <f>COUNTIFS(Table138141[Country],Tabela1[[#This Row],[Country]],Table138141[1500m Classification],"&gt;0")</f>
        <v>1</v>
      </c>
      <c r="PK40" s="6">
        <f>COUNTIFS(Table141[Country],Tabela1[[#This Row],[Country]],Table141[Men''s 5000m Relay Classification],"&gt;0")</f>
        <v>0</v>
      </c>
      <c r="PL40" s="6">
        <f>COUNTIFS(Table141[Country],Tabela1[[#This Row],[Country]],Table141[Women''s 3000m Relay Classification],"&gt;0")</f>
        <v>0</v>
      </c>
      <c r="PM40" s="6">
        <f>COUNTIFS(Table141[Country],Tabela1[[#This Row],[Country]],Table141[Mixed 2000m Relay Classification],"&gt;0")</f>
        <v>1</v>
      </c>
      <c r="PN40" s="6">
        <f>COUNTIFS(Table142[Country],Tabela1[[#This Row],[Country]],Table142[Classification],"&gt;0")</f>
        <v>0</v>
      </c>
      <c r="PO40" s="6">
        <f>COUNTIFS(Table142145[Country],Tabela1[[#This Row],[Country]],Table142145[Classification],"&gt;0")</f>
        <v>0</v>
      </c>
      <c r="PP40" s="6">
        <f>COUNTIFS(Tabela15[Country],Tabela1[[#This Row],[Country]],Tabela15[Mixed Team Classification],"&gt;0")</f>
        <v>0</v>
      </c>
      <c r="PQ40" s="6">
        <f>COUNTIFS(Table145[Country],Tabela1[[#This Row],[Country]],Table145[Large Hill Classification],"&gt;0")</f>
        <v>0</v>
      </c>
      <c r="PR40" s="6">
        <f>COUNTIFS(Table145[Country],Tabela1[[#This Row],[Country]],Table145[Normal Hill Classification],"&gt;0")</f>
        <v>0</v>
      </c>
      <c r="PS40" s="6">
        <f>COUNTIFS(Table145148[Country],Tabela1[[#This Row],[Country]],Table145148[Large Hill Classification],"&gt;0")</f>
        <v>0</v>
      </c>
      <c r="PT40" s="6">
        <f>COUNTIFS(Table145148[Country],Tabela1[[#This Row],[Country]],Table145148[Normal Hill Classification],"&gt;0")</f>
        <v>0</v>
      </c>
      <c r="PU40" s="6">
        <f>COUNTIFS(Table148[Country],Tabela1[[#This Row],[Country]],Table148[Men''s Super Team Classification],"&gt;0")</f>
        <v>0</v>
      </c>
      <c r="PV40" s="6">
        <f>COUNTIFS(Tabela114[Country],Tabela1[[#This Row],[Country]],Tabela114[Mixed Normal Hill Classification],"&gt;0")</f>
        <v>0</v>
      </c>
      <c r="PW40" s="6">
        <f>COUNTIFS(Tabela50[Country],Tabela1[[#This Row],[Country]],Tabela50[Sprint Classification],"&gt;0")</f>
        <v>0</v>
      </c>
      <c r="PX40" s="6">
        <f>COUNTIFS(Tabela50101[Country],Tabela1[[#This Row],[Country]],Tabela50101[Sprint Classification],"&gt;0")</f>
        <v>0</v>
      </c>
      <c r="PY40" s="6">
        <f>COUNTIFS(Tabela103[Country],Tabela1[[#This Row],[Country]],Tabela103[Mixed Relay Classification],"&gt;0")</f>
        <v>0</v>
      </c>
      <c r="PZ40" s="6">
        <f>COUNTIFS(Table149[Country],Tabela1[[#This Row],[Country]],Table149[Big Air Classification],"&gt;0")</f>
        <v>0</v>
      </c>
      <c r="QA40" s="6">
        <f>COUNTIFS(Table149152[Country],Tabela1[[#This Row],[Country]],Table149152[Big Air Classification],"&gt;0")</f>
        <v>0</v>
      </c>
      <c r="QB40" s="6">
        <f>COUNTIFS(Table149[Country],Tabela1[[#This Row],[Country]],Table149[Halfpipe Classification],"&gt;0")</f>
        <v>0</v>
      </c>
      <c r="QC40" s="6">
        <f>COUNTIFS(Table149152[Country],Tabela1[[#This Row],[Country]],Table149152[Halfpipe Classification],"&gt;0")</f>
        <v>0</v>
      </c>
      <c r="QD40" s="6">
        <f>COUNTIFS(Table149[Country],Tabela1[[#This Row],[Country]],Table149[Parallel Giant Slalom Classification],"&gt;0")</f>
        <v>0</v>
      </c>
      <c r="QE40" s="6">
        <f>COUNTIFS(Table149152[Country],Tabela1[[#This Row],[Country]],Table149152[Parallel Giant Slalom Classification],"&gt;0")</f>
        <v>0</v>
      </c>
      <c r="QF40" s="6">
        <f>COUNTIFS(Table149[Country],Tabela1[[#This Row],[Country]],Table149[Slopestyle Classification],"&gt;0")</f>
        <v>0</v>
      </c>
      <c r="QG40" s="6">
        <f>COUNTIFS(Table149152[Country],Tabela1[[#This Row],[Country]],Table149152[Slopestyle Classification],"&gt;0")</f>
        <v>0</v>
      </c>
      <c r="QH40" s="6">
        <f>COUNTIFS(Table149[Country],Tabela1[[#This Row],[Country]],Table149[Snowboard Cross Classification],"&gt;0")</f>
        <v>0</v>
      </c>
      <c r="QI40" s="6">
        <f>COUNTIFS(Table149152[Country],Tabela1[[#This Row],[Country]],Table149152[Snowboard Cross Classification],"&gt;0")</f>
        <v>0</v>
      </c>
      <c r="QJ40" s="6">
        <f>COUNTIFS(Table153[Country],Tabela1[[#This Row],[Country]],Table153[Mixed Team Snowboard Cross Classification],"&gt;0")</f>
        <v>0</v>
      </c>
      <c r="QK40" s="6">
        <f>COUNTIFS(Table154[Country],Tabela1[[#This Row],[Country]],Table154[500m Classification],"&gt;0")</f>
        <v>0</v>
      </c>
      <c r="QL40" s="6">
        <f>COUNTIFS(Table154157[Country],Tabela1[[#This Row],[Country]],Table154157[500m Classification],"&gt;0")</f>
        <v>0</v>
      </c>
      <c r="QM40" s="6">
        <f>COUNTIFS(Table154[Country],Tabela1[[#This Row],[Country]],Table154[1000m Classification],"&gt;0")</f>
        <v>0</v>
      </c>
      <c r="QN40" s="6">
        <f>COUNTIFS(Table154157[Country],Tabela1[[#This Row],[Country]],Table154157[1000m Classification],"&gt;0")</f>
        <v>0</v>
      </c>
      <c r="QO40" s="6">
        <f>COUNTIFS(Table154[Country],Tabela1[[#This Row],[Country]],Table154[1500m Classification],"&gt;0")</f>
        <v>0</v>
      </c>
      <c r="QP40" s="6">
        <f>COUNTIFS(Table154157[Country],Tabela1[[#This Row],[Country]],Table154157[1500m Classification],"&gt;0")</f>
        <v>0</v>
      </c>
      <c r="QQ40" s="6">
        <f>COUNTIFS(Table154157[Country],Tabela1[[#This Row],[Country]],Table154157[3000m Classification],"&gt;0")</f>
        <v>0</v>
      </c>
      <c r="QR40" s="6">
        <f>COUNTIFS(Table154[Country],Tabela1[[#This Row],[Country]],Table154[5000m Classification],"&gt;0")</f>
        <v>0</v>
      </c>
      <c r="QS40" s="6">
        <f>COUNTIFS(Table154157[Country],Tabela1[[#This Row],[Country]],Table154157[5000m Classification],"&gt;0")</f>
        <v>0</v>
      </c>
      <c r="QT40" s="6">
        <f>COUNTIFS(Table154[Country],Tabela1[[#This Row],[Country]],Table154[10000m Classification],"&gt;0")</f>
        <v>0</v>
      </c>
      <c r="QU40" s="6">
        <f>COUNTIFS(Table154[Country],Tabela1[[#This Row],[Country]],Table154[Mass Start Classification],"&gt;0")</f>
        <v>0</v>
      </c>
      <c r="QV40" s="6">
        <f>COUNTIFS(Table154157[Country],Tabela1[[#This Row],[Country]],Table154157[Mass Start Classification],"&gt;0")</f>
        <v>0</v>
      </c>
      <c r="QW40" s="6">
        <f>COUNTIFS(Table157[Country],Tabela1[[#This Row],[Country]],Table157[Men''s Pursuit Classification],"&gt;0")</f>
        <v>0</v>
      </c>
      <c r="QX40" s="6">
        <f>COUNTIFS(Table157[Country],Tabela1[[#This Row],[Country]],Table157[Women''s Pursuit Classification],"&gt;0")</f>
        <v>0</v>
      </c>
      <c r="QY40" s="3" t="s">
        <v>521</v>
      </c>
    </row>
    <row r="41" spans="1:467" x14ac:dyDescent="0.3">
      <c r="A41" s="6">
        <v>40</v>
      </c>
      <c r="B41" s="6" t="s">
        <v>368</v>
      </c>
      <c r="C41" t="e" vm="40">
        <f>IF(ISBLANK(Tabela1[[#This Row],[Image Link]]), "", _xlfn.IMAGE(Tabela1[[#This Row],[Image Link]],1,1))</f>
        <v>#VALUE!</v>
      </c>
      <c r="D41" s="6">
        <f>SUM(Tabela1[[#This Row],[Archery - Men''s Individual Recurve]:[Speed Skating - Women''s Team Pursuit]])</f>
        <v>28</v>
      </c>
      <c r="E41" s="6">
        <f>COUNTIF(Tabela1[[#This Row],[Archery - Men''s Individual Recurve]:[Speed Skating - Women''s Team Pursuit]],"&gt;0")</f>
        <v>23</v>
      </c>
      <c r="F41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41" s="6">
        <f>SUM(Tabela1[[#This Row],[Archery - Men''s Individual Recurve]:[Wrestling - Women''s Freestyle 76kg]])</f>
        <v>28</v>
      </c>
      <c r="H41" s="6">
        <f>SUM(Tabela1[[#This Row],[Alpine Skiing - Men''s Downhill]:[Speed Skating - Women''s Team Pursuit]])</f>
        <v>0</v>
      </c>
      <c r="I41" s="6">
        <f>Tabela1[[#This Row],[Summer Gold Medals]]+Tabela1[[#This Row],[Winter Gold Medals]]</f>
        <v>2</v>
      </c>
      <c r="J41" s="6">
        <f>Tabela1[[#This Row],[Summer Silver Medals]]+Tabela1[[#This Row],[Winter Silver Medals]]</f>
        <v>0</v>
      </c>
      <c r="K41" s="6">
        <f>Tabela1[[#This Row],[Summer Bronze Medals]]+Tabela1[[#This Row],[Winter Bronze Medals]]</f>
        <v>5</v>
      </c>
      <c r="L41" s="6">
        <f>SUM(Tabela1[[#This Row],[Total Gold Medals]:[Total Bronze Medals]])</f>
        <v>7</v>
      </c>
      <c r="M41" s="6">
        <v>2</v>
      </c>
      <c r="N41" s="6"/>
      <c r="O41" s="6">
        <v>5</v>
      </c>
      <c r="P41" s="6">
        <f>SUM(Tabela1[[#This Row],[Summer Gold Medals]:[Summer Bronze Medals]])</f>
        <v>7</v>
      </c>
      <c r="Q41" s="6"/>
      <c r="R41" s="6"/>
      <c r="S41" s="6"/>
      <c r="T41" s="6">
        <f>Tabela1[[#This Row],[Winter Gold Medals]]+Tabela1[[#This Row],[Winter Silver Medals]]+Tabela1[[#This Row],[Winter Bronze Medals]]</f>
        <v>0</v>
      </c>
      <c r="U41" s="7">
        <f>Tabela1[[#This Row],[Total Medals]]/Tabela1[[#This Row],[Total Quotas]]</f>
        <v>0.25</v>
      </c>
      <c r="V41" s="6">
        <f>COUNTIFS(Table3[Country],Tabela1[[#This Row],[Country]],Table3[Recurve Classification],"&gt;0")</f>
        <v>1</v>
      </c>
      <c r="W41" s="6">
        <f>COUNTIFS(Table33[Country],Tabela1[[#This Row],[Country]],Table33[Recurve Classification],"&gt;0")</f>
        <v>2</v>
      </c>
      <c r="X41" s="6">
        <f>COUNTIFS(Table35[Country],Tabela1[[#This Row],[Country]],Table35[Men''s Team Recurve Classification],"&gt;0")</f>
        <v>1</v>
      </c>
      <c r="Y41" s="6">
        <f>COUNTIFS(Table35[Country],Tabela1[[#This Row],[Country]],Table35[Women''s Team Recurve Classification],"&gt;0")</f>
        <v>1</v>
      </c>
      <c r="Z41" s="6">
        <f>COUNTIFS(Tabela88[Country],Tabela1[[#This Row],[Country]],Tabela88[Mixed Team Recurve Classification],"&gt;0")</f>
        <v>0</v>
      </c>
      <c r="AA41" s="6">
        <f>COUNTIFS(Table36[Country],Tabela1[[#This Row],[Country]],Table36[Classification],"&gt;0")</f>
        <v>0</v>
      </c>
      <c r="AB41" s="6">
        <f>COUNTIFS(Table37[Country],Tabela1[[#This Row],[Country]],Table37[Classification],"&gt;0")</f>
        <v>0</v>
      </c>
      <c r="AC41" s="6">
        <f>COUNTIFS(Table4[Country],Tabela1[[#This Row],[Country]],Table4[100m Classification],"&gt;0")</f>
        <v>0</v>
      </c>
      <c r="AD41" s="6">
        <f>COUNTIFS(Table5[Country],Tabela1[[#This Row],[Country]],Table5[100m Classification],"&gt;0")</f>
        <v>0</v>
      </c>
      <c r="AE41" s="6">
        <f>COUNTIFS(Table4[Country],Tabela1[[#This Row],[Country]],Table4[200m Classification],"&gt;0")</f>
        <v>0</v>
      </c>
      <c r="AF41" s="6">
        <f>COUNTIFS(Table5[Country],Tabela1[[#This Row],[Country]],Table5[200m Classification],"&gt;0")</f>
        <v>0</v>
      </c>
      <c r="AG41" s="6">
        <f>COUNTIFS(Table4[Country],Tabela1[[#This Row],[Country]],Table4[400m Classification],"&gt;0")</f>
        <v>0</v>
      </c>
      <c r="AH41" s="6">
        <f>COUNTIFS(Table5[Country],Tabela1[[#This Row],[Country]],Table5[400m Classification],"&gt;0")</f>
        <v>0</v>
      </c>
      <c r="AI41" s="6">
        <f>COUNTIFS(Table4[Country],Tabela1[[#This Row],[Country]],Table4[800m Classification],"&gt;0")</f>
        <v>0</v>
      </c>
      <c r="AJ41" s="6">
        <f>COUNTIFS(Table5[Country],Tabela1[[#This Row],[Country]],Table5[800m Classification],"&gt;0")</f>
        <v>0</v>
      </c>
      <c r="AK41" s="6">
        <f>COUNTIFS(Table4[Country],Tabela1[[#This Row],[Country]],Table4[1500m Classification],"&gt;0")</f>
        <v>0</v>
      </c>
      <c r="AL41" s="6">
        <f>COUNTIFS(Table5[Country],Tabela1[[#This Row],[Country]],Table5[1500m Classification],"&gt;0")</f>
        <v>0</v>
      </c>
      <c r="AM41" s="6">
        <f>COUNTIFS(Table4[Country],Tabela1[[#This Row],[Country]],Table4[5000m Classification],"&gt;0")</f>
        <v>0</v>
      </c>
      <c r="AN41" s="6">
        <f>COUNTIFS(Table5[Country],Tabela1[[#This Row],[Country]],Table5[5000m Classification],"&gt;0")</f>
        <v>0</v>
      </c>
      <c r="AO41" s="6">
        <f>COUNTIFS(Table4[Country],Tabela1[[#This Row],[Country]],Table4[10000m Classification],"&gt;0")</f>
        <v>0</v>
      </c>
      <c r="AP41" s="6">
        <f>COUNTIFS(Table5[Country],Tabela1[[#This Row],[Country]],Table5[10000m Classification],"&gt;0")</f>
        <v>0</v>
      </c>
      <c r="AQ41" s="6">
        <f>COUNTIFS(Table4[Country],Tabela1[[#This Row],[Country]],Table4[110m Hurdles Classification],"&gt;0")</f>
        <v>0</v>
      </c>
      <c r="AR41" s="6">
        <f>COUNTIFS(Table5[Country],Tabela1[[#This Row],[Country]],Table5[100m Hurdles Classification],"&gt;0")</f>
        <v>0</v>
      </c>
      <c r="AS41" s="6">
        <f>COUNTIFS(Table4[Country],Tabela1[[#This Row],[Country]],Table4[400m Hurdles Classification],"&gt;0")</f>
        <v>0</v>
      </c>
      <c r="AT41" s="6">
        <f>COUNTIFS(Table5[Country],Tabela1[[#This Row],[Country]],Table5[400m Hurdles Classification],"&gt;0")</f>
        <v>0</v>
      </c>
      <c r="AU41" s="6">
        <f>COUNTIFS(Table4[Country],Tabela1[[#This Row],[Country]],Table4[3000m Steeplechase Classification],"&gt;0")</f>
        <v>0</v>
      </c>
      <c r="AV41" s="6">
        <f>COUNTIFS(Table5[Country],Tabela1[[#This Row],[Country]],Table5[3000m Steeplechase Classification],"&gt;0")</f>
        <v>0</v>
      </c>
      <c r="AW41" s="6">
        <f>COUNTIFS(Table27[Country],Tabela1[[#This Row],[Country]],Table27[Men''s 4x100m Relay Classification],"&gt;0")</f>
        <v>0</v>
      </c>
      <c r="AX41" s="6">
        <f>COUNTIFS(Table27[Country],Tabela1[[#This Row],[Country]],Table27[Women''s 4x100m Relay Classification],"&gt;0")</f>
        <v>0</v>
      </c>
      <c r="AY41" s="6">
        <f>COUNTIFS(Table27[Country],Tabela1[[#This Row],[Country]],Table27[Men''s 4x400m Relay Classification],"&gt;0")</f>
        <v>0</v>
      </c>
      <c r="AZ41" s="6">
        <f>COUNTIFS(Table27[Country],Tabela1[[#This Row],[Country]],Table27[Women''s 4x400m Relay Classification],"&gt;0")</f>
        <v>0</v>
      </c>
      <c r="BA41" s="6">
        <f>COUNTIFS(Table27[Country],Tabela1[[#This Row],[Country]],Table27[Mixed 4x400m Relay Classification],"&gt;0")</f>
        <v>0</v>
      </c>
      <c r="BB41" s="6">
        <f>COUNTIFS(Table4[Country],Tabela1[[#This Row],[Country]],Table4[Marathon Classification],"&gt;0")</f>
        <v>0</v>
      </c>
      <c r="BC41" s="6">
        <f>COUNTIFS(Table5[Country],Tabela1[[#This Row],[Country]],Table5[Marathon Classification],"&gt;0")</f>
        <v>0</v>
      </c>
      <c r="BD41" s="6">
        <f>COUNTIFS(Table4[Country],Tabela1[[#This Row],[Country]],Table4[20km Race Walk Classification],"&gt;0")</f>
        <v>0</v>
      </c>
      <c r="BE41" s="6">
        <f>COUNTIFS(Table5[Country],Tabela1[[#This Row],[Country]],Table5[20km Race Walk Classification],"&gt;0")</f>
        <v>0</v>
      </c>
      <c r="BF41" s="6">
        <f>COUNTIFS(Tabela96[Country],Tabela1[[#This Row],[Country]],Tabela96[Mixed Marathon Race Walk Relay Classification],"&gt;0")</f>
        <v>0</v>
      </c>
      <c r="BG41" s="6">
        <f>COUNTIFS(Table4[Country],Tabela1[[#This Row],[Country]],Table4[Discus Throw Classification],"&gt;0")</f>
        <v>0</v>
      </c>
      <c r="BH41" s="6">
        <f>COUNTIFS(Table5[Country],Tabela1[[#This Row],[Country]],Table5[Discus Throw Classification],"&gt;0")</f>
        <v>0</v>
      </c>
      <c r="BI41" s="6">
        <f>COUNTIFS(Table4[Country],Tabela1[[#This Row],[Country]],Table4[Hammer Throw Classification],"&gt;0")</f>
        <v>0</v>
      </c>
      <c r="BJ41" s="6">
        <f>COUNTIFS(Table5[Country],Tabela1[[#This Row],[Country]],Table5[Hammer Throw Classification],"&gt;0")</f>
        <v>0</v>
      </c>
      <c r="BK41" s="6">
        <f>COUNTIFS(Table4[Country],Tabela1[[#This Row],[Country]],Table4[High Jump Classification],"&gt;0")</f>
        <v>0</v>
      </c>
      <c r="BL41" s="6">
        <f>COUNTIFS(Table5[Country],Tabela1[[#This Row],[Country]],Table5[High Jump Classification],"&gt;0")</f>
        <v>0</v>
      </c>
      <c r="BM41" s="6">
        <f>COUNTIFS(Table4[Country],Tabela1[[#This Row],[Country]],Table4[Javelin Throw Classification],"&gt;0")</f>
        <v>0</v>
      </c>
      <c r="BN41" s="6">
        <f>COUNTIFS(Table5[Country],Tabela1[[#This Row],[Country]],Table5[Javelin Throw Classification],"&gt;0")</f>
        <v>0</v>
      </c>
      <c r="BO41" s="6">
        <f>COUNTIFS(Table4[Country],Tabela1[[#This Row],[Country]],Table4[Long Jump Classification],"&gt;0")</f>
        <v>0</v>
      </c>
      <c r="BP41" s="6">
        <f>COUNTIFS(Table5[Country],Tabela1[[#This Row],[Country]],Table5[Long Jump Classification],"&gt;0")</f>
        <v>0</v>
      </c>
      <c r="BQ41" s="6">
        <f>COUNTIFS(Table4[Country],Tabela1[[#This Row],[Country]],Table4[Pole Vault Classification],"&gt;0")</f>
        <v>0</v>
      </c>
      <c r="BR41" s="6">
        <f>COUNTIFS(Table5[Country],Tabela1[[#This Row],[Country]],Table5[Pole Vault Classification],"&gt;0")</f>
        <v>0</v>
      </c>
      <c r="BS41" s="6">
        <f>COUNTIFS(Table4[Country],Tabela1[[#This Row],[Country]],Table4[Shot Put Classification],"&gt;0")</f>
        <v>0</v>
      </c>
      <c r="BT41" s="6">
        <f>COUNTIFS(Table5[Country],Tabela1[[#This Row],[Country]],Table5[Shot Put Classification],"&gt;0")</f>
        <v>0</v>
      </c>
      <c r="BU41" s="6">
        <f>COUNTIFS(Table4[Country],Tabela1[[#This Row],[Country]],Table4[Triple Jump Classification],"&gt;0")</f>
        <v>0</v>
      </c>
      <c r="BV41" s="6">
        <f>COUNTIFS(Table5[Country],Tabela1[[#This Row],[Country]],Table5[Triple Jump Classification],"&gt;0")</f>
        <v>0</v>
      </c>
      <c r="BW41" s="6">
        <f>COUNTIFS(Table4[Country],Tabela1[[#This Row],[Country]],Table4[Decathlon Classification],"&gt;0")</f>
        <v>0</v>
      </c>
      <c r="BX41" s="6">
        <f>COUNTIFS(Table5[Country],Tabela1[[#This Row],[Country]],Table5[Heptathlon Classification],"&gt;0")</f>
        <v>0</v>
      </c>
      <c r="BY41" s="6">
        <f>COUNTIFS(Table61[Country],Tabela1[[#This Row],[Country]],Table61[Classification],"&gt;0")</f>
        <v>1</v>
      </c>
      <c r="BZ41" s="6">
        <f>COUNTIFS(Table38[Country],Tabela1[[#This Row],[Country]],Table38[Classification],"&gt;0")</f>
        <v>0</v>
      </c>
      <c r="CA41" s="6">
        <f>COUNTIFS(Table39[Country],Tabela1[[#This Row],[Country]],Table39[Men''s Classification],"&gt;0")</f>
        <v>0</v>
      </c>
      <c r="CB41" s="6">
        <f>COUNTIFS(Table39[Country],Tabela1[[#This Row],[Country]],Table39[Women''s Classification],"&gt;0")</f>
        <v>0</v>
      </c>
      <c r="CC41" s="6">
        <f>COUNTIFS(Table39[Country],Tabela1[[#This Row],[Country]],Table39[Mixed Classification],"&gt;0")</f>
        <v>0</v>
      </c>
      <c r="CD41" s="6">
        <f>COUNTIFS(Table89[Country],Tabela1[[#This Row],[Country]],Table89[Men''s Classification],"&gt;0")</f>
        <v>0</v>
      </c>
      <c r="CE41" s="6">
        <f>COUNTIFS(Table89[Country],Tabela1[[#This Row],[Country]],Table89[Women''s Classification],"&gt;0")</f>
        <v>0</v>
      </c>
      <c r="CF41" s="6">
        <f>COUNTIFS(Table90[Country],Tabela1[[#This Row],[Country]],Table90[Men''s Classification],"&gt;0")</f>
        <v>0</v>
      </c>
      <c r="CG41" s="6">
        <f>COUNTIFS(Table90[Country],Tabela1[[#This Row],[Country]],Table90[Women''s Classification],"&gt;0")</f>
        <v>0</v>
      </c>
      <c r="CH41" s="6">
        <f>COUNTIFS(Table60[Country],Tabela1[[#This Row],[Country]],Table60[Men''s Classification],"&gt;0")</f>
        <v>0</v>
      </c>
      <c r="CI41" s="6">
        <f>COUNTIFS(Table60[Country],Tabela1[[#This Row],[Country]],Table60[Women''s Classification],"&gt;0")</f>
        <v>0</v>
      </c>
      <c r="CJ41" s="6">
        <f>COUNTIFS(Table6[Country],Tabela1[[#This Row],[Country]],Table6[51kg Classification],"&gt;0")</f>
        <v>0</v>
      </c>
      <c r="CK41" s="6">
        <f>COUNTIFS(Table6[Country],Tabela1[[#This Row],[Country]],Table6[57kg Classification],"&gt;0")</f>
        <v>0</v>
      </c>
      <c r="CL41" s="6">
        <f>COUNTIFS(Table6[Country],Tabela1[[#This Row],[Country]],Table6[63.5kg Classification],"&gt;0")</f>
        <v>1</v>
      </c>
      <c r="CM41" s="6">
        <f>COUNTIFS(Table6[Country],Tabela1[[#This Row],[Country]],Table6[71kg Classification],"&gt;0")</f>
        <v>0</v>
      </c>
      <c r="CN41" s="6">
        <f>COUNTIFS(Table6[Country],Tabela1[[#This Row],[Country]],Table6[80kg Classification],"&gt;0")</f>
        <v>0</v>
      </c>
      <c r="CO41" s="6">
        <f>COUNTIFS(Table6[Country],Tabela1[[#This Row],[Country]],Table6[92kg Classification],"&gt;0")</f>
        <v>0</v>
      </c>
      <c r="CP41" s="6">
        <f>COUNTIFS(Table6[Country],Tabela1[[#This Row],[Country]],Table6[Plus 92kg Classification],"&gt;0")</f>
        <v>0</v>
      </c>
      <c r="CQ41" s="6">
        <f>COUNTIFS(Table7[Country],Tabela1[[#This Row],[Country]],Table7[50kg Classification],"&gt;0")</f>
        <v>0</v>
      </c>
      <c r="CR41" s="6">
        <f>COUNTIFS(Table7[Country],Tabela1[[#This Row],[Country]],Table7[54kg Classification],"&gt;0")</f>
        <v>1</v>
      </c>
      <c r="CS41" s="6">
        <f>COUNTIFS(Table7[Country],Tabela1[[#This Row],[Country]],Table7[57kg Classification],"&gt;0")</f>
        <v>1</v>
      </c>
      <c r="CT41" s="6">
        <f>COUNTIFS(Table7[Country],Tabela1[[#This Row],[Country]],Table7[60kg Classification],"&gt;0")</f>
        <v>0</v>
      </c>
      <c r="CU41" s="6">
        <f>COUNTIFS(Table7[Country],Tabela1[[#This Row],[Country]],Table7[66kg Classification],"&gt;0")</f>
        <v>1</v>
      </c>
      <c r="CV41" s="6">
        <f>COUNTIFS(Table7[Country],Tabela1[[#This Row],[Country]],Table7[75kg Classification],"&gt;0")</f>
        <v>0</v>
      </c>
      <c r="CW41" s="6">
        <f>COUNTIFS(Tabela94[Country],Tabela1[[#This Row],[Country]],Tabela94[Classification],"&gt;0")</f>
        <v>0</v>
      </c>
      <c r="CX41" s="6">
        <f>COUNTIFS(Tabela9499[Country],Tabela1[[#This Row],[Country]],Tabela9499[Classification],"&gt;0")</f>
        <v>0</v>
      </c>
      <c r="CY41" s="6">
        <f>COUNTIFS(Tabela107[Country],Tabela1[[#This Row],[Country]],Tabela107[C1 Slalom Classification],"&gt;0")</f>
        <v>0</v>
      </c>
      <c r="CZ41" s="6">
        <f>COUNTIFS(Tabela107122[Country],Tabela1[[#This Row],[Country]],Tabela107122[C1 Slalom Classification],"&gt;0")</f>
        <v>0</v>
      </c>
      <c r="DA41" s="6">
        <f>COUNTIFS(Tabela107[Country],Tabela1[[#This Row],[Country]],Tabela107[K1 Slalom Classification],"&gt;0")</f>
        <v>0</v>
      </c>
      <c r="DB41" s="6">
        <f>COUNTIFS(Tabela107122[Country],Tabela1[[#This Row],[Country]],Tabela107122[K1 Slalom Classification],"&gt;0")</f>
        <v>0</v>
      </c>
      <c r="DC41" s="6">
        <f>COUNTIFS(Tabela107[Country],Tabela1[[#This Row],[Country]],Tabela107[Kayak Cross Slalom Classification],"&gt;0")</f>
        <v>0</v>
      </c>
      <c r="DD41" s="6">
        <f>COUNTIFS(Tabela107122[Country],Tabela1[[#This Row],[Country]],Tabela107122[Kayak Cross Slalom Classification],"&gt;0")</f>
        <v>0</v>
      </c>
      <c r="DE41" s="6">
        <f>COUNTIFS(Table8[Country],Tabela1[[#This Row],[Country]],Table8[C1 200m Classification],"&gt;0")</f>
        <v>0</v>
      </c>
      <c r="DF41" s="6">
        <f>COUNTIFS(Table40[Country],Tabela1[[#This Row],[Country]],Table40[C1 1000m Classification],"&gt;0")</f>
        <v>0</v>
      </c>
      <c r="DG41" s="6">
        <f>COUNTIFS(Table68[Country],Tabela1[[#This Row],[Country]],Table68[Men''s C2 500m Classification],"&gt;0")</f>
        <v>0</v>
      </c>
      <c r="DH41" s="6">
        <f>COUNTIFS(Table68[Country],Tabela1[[#This Row],[Country]],Table68[Women''s C2 500m Classification],"&gt;0")</f>
        <v>0</v>
      </c>
      <c r="DI41" s="6">
        <f>COUNTIFS(Table8[Country],Tabela1[[#This Row],[Country]],Table8[K1 500m Classification],"&gt;0")</f>
        <v>0</v>
      </c>
      <c r="DJ41" s="6">
        <f>COUNTIFS(Table40[Country],Tabela1[[#This Row],[Country]],Table40[K1 1000m Classification],"&gt;0")</f>
        <v>0</v>
      </c>
      <c r="DK41" s="6">
        <f>COUNTIFS(Table68[Country],Tabela1[[#This Row],[Country]],Table68[Men''s K2 500m Classification],"&gt;0")</f>
        <v>0</v>
      </c>
      <c r="DL41" s="6">
        <f>COUNTIFS(Table68[Country],Tabela1[[#This Row],[Country]],Table68[Women''s K2 500m Classification],"&gt;0")</f>
        <v>0</v>
      </c>
      <c r="DM41" s="6">
        <f>COUNTIFS(Table83[Country],Tabela1[[#This Row],[Country]],Table83[Men''s K4 500m Classification],"&gt;0")</f>
        <v>0</v>
      </c>
      <c r="DN41" s="6">
        <f>COUNTIFS(Table83[Country],Tabela1[[#This Row],[Country]],Table83[Women''s K4 500m Classification],"&gt;0")</f>
        <v>0</v>
      </c>
      <c r="DO41" s="6">
        <f>COUNTIFS(Tabela126[Country],Tabela1[[#This Row],[Country]],Tabela126[Classification],"&gt;0")</f>
        <v>0</v>
      </c>
      <c r="DP41" s="6">
        <f>COUNTIFS(Tabela126130[Country],Tabela1[[#This Row],[Country]],Tabela126130[Classification],"&gt;0")</f>
        <v>0</v>
      </c>
      <c r="DQ41" s="6">
        <f>COUNTIFS(Table70[Country],Tabela1[[#This Row],[Country]],Table70[Classification],"&gt;0")</f>
        <v>0</v>
      </c>
      <c r="DR41" s="6">
        <f>COUNTIFS(Table80[Country],Tabela1[[#This Row],[Country]],Table80[Classification],"&gt;0")</f>
        <v>0</v>
      </c>
      <c r="DS41" s="6">
        <f>COUNTIFS(Table66[Country],Tabela1[[#This Row],[Country]],Table66[Classification],"&gt;0")</f>
        <v>0</v>
      </c>
      <c r="DT41" s="6">
        <f>COUNTIFS(Table67[Country],Tabela1[[#This Row],[Country]],Table67[Classification],"&gt;0")</f>
        <v>0</v>
      </c>
      <c r="DU41" s="6">
        <f>COUNTIFS(Table69[Country],Tabela1[[#This Row],[Country]],Table69[Keirin Classification],"&gt;0")</f>
        <v>0</v>
      </c>
      <c r="DV41" s="6">
        <f>COUNTIFS(Table41[Country],Tabela1[[#This Row],[Country]],Table41[Keirin Classification],"&gt;0")</f>
        <v>0</v>
      </c>
      <c r="DW41" s="6">
        <f>COUNTIFS(Table84[Country],Tabela1[[#This Row],[Country]],Table84[Men''s Madison Classification],"&gt;0")</f>
        <v>0</v>
      </c>
      <c r="DX41" s="6">
        <f>COUNTIFS(Table84[Country],Tabela1[[#This Row],[Country]],Table84[Women''s Madison Classification],"&gt;0")</f>
        <v>0</v>
      </c>
      <c r="DY41" s="6">
        <f>COUNTIFS(Table69[Country],Tabela1[[#This Row],[Country]],Table69[Omnium Classification],"&gt;0")</f>
        <v>0</v>
      </c>
      <c r="DZ41" s="6">
        <f>COUNTIFS(Table41[Country],Tabela1[[#This Row],[Country]],Table41[Omnium Classification],"&gt;0")</f>
        <v>0</v>
      </c>
      <c r="EA41" s="6">
        <f>COUNTIFS(Table9[Country],Tabela1[[#This Row],[Country]],Table9[Road Race Classification],"&gt;0")</f>
        <v>0</v>
      </c>
      <c r="EB41" s="6">
        <f>COUNTIFS(Table14[Country],Tabela1[[#This Row],[Country]],Table14[Road Race Classification],"&gt;0")</f>
        <v>0</v>
      </c>
      <c r="EC41" s="6">
        <f>COUNTIFS(Table69[Country],Tabela1[[#This Row],[Country]],Table69[Sprint Classification],"&gt;0")</f>
        <v>0</v>
      </c>
      <c r="ED41" s="6">
        <f>COUNTIFS(Table41[Country],Tabela1[[#This Row],[Country]],Table41[Sprint Classification],"&gt;0")</f>
        <v>0</v>
      </c>
      <c r="EE41" s="6">
        <f>COUNTIFS(Table85[Country],Tabela1[[#This Row],[Country]],Table85[Men''s Sprint Classification],"&gt;0")</f>
        <v>0</v>
      </c>
      <c r="EF41" s="6">
        <f>COUNTIFS(Table85[Country],Tabela1[[#This Row],[Country]],Table85[Women''s Sprint Classification],"&gt;0")</f>
        <v>0</v>
      </c>
      <c r="EG41" s="6">
        <f>COUNTIFS(Table85[Country],Tabela1[[#This Row],[Country]],Table85[Men''s Pursuit Classification],"&gt;0")</f>
        <v>0</v>
      </c>
      <c r="EH41" s="6">
        <f>COUNTIFS(Table85[Country],Tabela1[[#This Row],[Country]],Table85[Women''s Pursuit Classification],"&gt;0")</f>
        <v>0</v>
      </c>
      <c r="EI41" s="6">
        <f>COUNTIFS(Table9[Country],Tabela1[[#This Row],[Country]],Table9[Time-Trial Classification],"&gt;0")</f>
        <v>0</v>
      </c>
      <c r="EJ41" s="6">
        <f>COUNTIFS(Table14[Country],Tabela1[[#This Row],[Country]],Table14[Time-Trial Classification],"&gt;0")</f>
        <v>0</v>
      </c>
      <c r="EK41" s="6">
        <f>COUNTIFS(Table42[Country],Tabela1[[#This Row],[Country]],Table42[Springboard Classification],"&gt;0")</f>
        <v>0</v>
      </c>
      <c r="EL41" s="6">
        <f>COUNTIFS(Table43[Country],Tabela1[[#This Row],[Country]],Table43[Springboard Classification],"&gt;0")</f>
        <v>0</v>
      </c>
      <c r="EM41" s="6">
        <f>COUNTIFS(Table42[Country],Tabela1[[#This Row],[Country]],Table42[Platform Classification],"&gt;0")</f>
        <v>0</v>
      </c>
      <c r="EN41" s="6">
        <f>COUNTIFS(Table43[Country],Tabela1[[#This Row],[Country]],Table43[Platform Classification],"&gt;0")</f>
        <v>0</v>
      </c>
      <c r="EO41" s="6">
        <f>COUNTIFS(Table86[Country],Tabela1[[#This Row],[Country]],Table86[Men''s Synchronized Springboard Classification],"&gt;0")</f>
        <v>0</v>
      </c>
      <c r="EP41" s="6">
        <f>COUNTIFS(Table86[Country],Tabela1[[#This Row],[Country]],Table86[Women''s Synchronized Springboard Classification],"&gt;0")</f>
        <v>0</v>
      </c>
      <c r="EQ41" s="6">
        <f>COUNTIFS(Table86[Country],Tabela1[[#This Row],[Country]],Table86[Men''s Synchronized Platform Classification],"&gt;0")</f>
        <v>0</v>
      </c>
      <c r="ER41" s="6">
        <f>COUNTIFS(Table86[Country],Tabela1[[#This Row],[Country]],Table86[Women''s Synchronized Platform Classification],"&gt;0")</f>
        <v>0</v>
      </c>
      <c r="ES41" s="6">
        <f>COUNTIFS(Table44[Country],Tabela1[[#This Row],[Country]],Table44[Dressage Classification],"&gt;0")</f>
        <v>0</v>
      </c>
      <c r="ET41" s="6">
        <f>COUNTIFS(Table45[Country],Tabela1[[#This Row],[Country]],Table45[Dressage Classification],"&gt;0")</f>
        <v>0</v>
      </c>
      <c r="EU41" s="6">
        <f>COUNTIFS(Table44[Country],Tabela1[[#This Row],[Country]],Table44[Eventing Classification],"&gt;0")</f>
        <v>0</v>
      </c>
      <c r="EV41" s="6">
        <f>COUNTIFS(Table45[Country],Tabela1[[#This Row],[Country]],Table45[Eventing Classification],"&gt;0")</f>
        <v>0</v>
      </c>
      <c r="EW41" s="6">
        <f>COUNTIFS(Table44[Country],Tabela1[[#This Row],[Country]],Table44[Jumping Classification],"&gt;0")</f>
        <v>0</v>
      </c>
      <c r="EX41" s="6">
        <f>COUNTIFS(Table45[Country],Tabela1[[#This Row],[Country]],Table45[Jumping Classification],"&gt;0")</f>
        <v>0</v>
      </c>
      <c r="EY41" s="6">
        <f>COUNTIFS(Table10[Country],Tabela1[[#This Row],[Country]],Table10[Épée Classification],"&gt;0")</f>
        <v>0</v>
      </c>
      <c r="EZ41" s="6">
        <f>COUNTIFS(Table11[Country],Tabela1[[#This Row],[Country]],Table11[Épée Classification],"&gt;0")</f>
        <v>0</v>
      </c>
      <c r="FA41" s="6">
        <f>COUNTIFS(Table46[Country],Tabela1[[#This Row],[Country]],Table46[Men''s Épée Classification],"&gt;0")</f>
        <v>0</v>
      </c>
      <c r="FB41" s="6">
        <f>COUNTIFS(Table46[Country],Tabela1[[#This Row],[Country]],Table46[Women''s Épée Classification],"&gt;0")</f>
        <v>0</v>
      </c>
      <c r="FC41" s="6">
        <f>COUNTIFS(Table10[Country],Tabela1[[#This Row],[Country]],Table10[Foil Classification],"&gt;0")</f>
        <v>0</v>
      </c>
      <c r="FD41" s="6">
        <f>COUNTIFS(Table11[Country],Tabela1[[#This Row],[Country]],Table11[Foil Classification],"&gt;0")</f>
        <v>0</v>
      </c>
      <c r="FE41" s="6">
        <f>COUNTIFS(Table46[Country],Tabela1[[#This Row],[Country]],Table46[Men''s Foil Classification],"&gt;0")</f>
        <v>0</v>
      </c>
      <c r="FF41" s="6">
        <f>COUNTIFS(Table46[Country],Tabela1[[#This Row],[Country]],Table46[Women''s Foil Classification],"&gt;0")</f>
        <v>0</v>
      </c>
      <c r="FG41" s="6">
        <f>COUNTIFS(Table10[Country],Tabela1[[#This Row],[Country]],Table10[Sabre Classification],"&gt;0")</f>
        <v>0</v>
      </c>
      <c r="FH41" s="6">
        <f>COUNTIFS(Table11[Country],Tabela1[[#This Row],[Country]],Table11[Sabre Classification],"&gt;0")</f>
        <v>0</v>
      </c>
      <c r="FI41" s="6">
        <f>COUNTIFS(Table46[Country],Tabela1[[#This Row],[Country]],Table46[Men''s Sabre Classification],"&gt;0")</f>
        <v>0</v>
      </c>
      <c r="FJ41" s="6">
        <f>COUNTIFS(Table46[Country],Tabela1[[#This Row],[Country]],Table46[Women''s Sabre Classification],"&gt;0")</f>
        <v>0</v>
      </c>
      <c r="FK41" s="6">
        <f>COUNTIFS(Table91[Country],Tabela1[[#This Row],[Country]],Table91[Men''s Classification],"&gt;0")</f>
        <v>0</v>
      </c>
      <c r="FL41" s="6">
        <f>COUNTIFS(Table91[Country],Tabela1[[#This Row],[Country]],Table91[Women''s Classification],"&gt;0")</f>
        <v>0</v>
      </c>
      <c r="FM41" s="6">
        <f>COUNTIFS(Table9194[Country],Tabela1[[#This Row],[Country]],Table9194[Men''s Classification],"&gt;0")</f>
        <v>0</v>
      </c>
      <c r="FN41" s="6">
        <f>COUNTIFS(Table9194[Country],Tabela1[[#This Row],[Country]],Table9194[Women''s Classification],"&gt;0")</f>
        <v>0</v>
      </c>
      <c r="FO41" s="6">
        <f>COUNTIFS(Table71[Country],Tabela1[[#This Row],[Country]],Table71[Classification],"&gt;0")</f>
        <v>2</v>
      </c>
      <c r="FP41" s="6">
        <f>COUNTIFS(Table62[Country],Tabela1[[#This Row],[Country]],Table62[Classification],"&gt;0")</f>
        <v>2</v>
      </c>
      <c r="FQ41" s="6">
        <f>COUNTIFS(Table47[Country],Tabela1[[#This Row],[Country]],Table47[All-Around Classification],"&gt;0")</f>
        <v>0</v>
      </c>
      <c r="FR41" s="6">
        <f>COUNTIFS(Table48[Country],Tabela1[[#This Row],[Country]],Table48[All-Around Classification],"&gt;0")</f>
        <v>0</v>
      </c>
      <c r="FS41" s="6">
        <f>COUNTIFS(Table81[Country],Tabela1[[#This Row],[Country]],Table81[Men''s All-Around Classification],"&gt;0")</f>
        <v>0</v>
      </c>
      <c r="FT41" s="6">
        <f>COUNTIFS(Table81[Country],Tabela1[[#This Row],[Country]],Table81[Women''s All-Around Classification],"&gt;0")</f>
        <v>0</v>
      </c>
      <c r="FU41" s="6">
        <f>COUNTIFS(Table48[Country],Tabela1[[#This Row],[Country]],Table48[Balance Beam Classification],"&gt;0")</f>
        <v>0</v>
      </c>
      <c r="FV41" s="6">
        <f>COUNTIFS(Table47[Country],Tabela1[[#This Row],[Country]],Table47[Floor Exercise Classification],"&gt;0")</f>
        <v>0</v>
      </c>
      <c r="FW41" s="6">
        <f>COUNTIFS(Table48[Country],Tabela1[[#This Row],[Country]],Table48[Floor Exercise Classification],"&gt;0")</f>
        <v>0</v>
      </c>
      <c r="FX41" s="6">
        <f>COUNTIFS(Table47[Country],Tabela1[[#This Row],[Country]],Table47[Horizontal Bar Classification],"&gt;0")</f>
        <v>0</v>
      </c>
      <c r="FY41" s="6">
        <f>COUNTIFS(Table47[Country],Tabela1[[#This Row],[Country]],Table47[Parallel Bars Classification],"&gt;0")</f>
        <v>0</v>
      </c>
      <c r="FZ41" s="6">
        <f>COUNTIFS(Table47[Country],Tabela1[[#This Row],[Country]],Table47[Pommel Horse Classification],"&gt;0")</f>
        <v>0</v>
      </c>
      <c r="GA41" s="6">
        <f>COUNTIFS(Table47[Country],Tabela1[[#This Row],[Country]],Table47[Rings Classification],"&gt;0")</f>
        <v>0</v>
      </c>
      <c r="GB41" s="6">
        <f>COUNTIFS(Tabela132[Country],Tabela1[[#This Row],[Country]],Tabela132[Classification],"&gt;0")</f>
        <v>0</v>
      </c>
      <c r="GC41" s="6">
        <f>COUNTIFS(Tabela139[Country],Tabela1[[#This Row],[Country]],Tabela139[Classification],"&gt;0")</f>
        <v>0</v>
      </c>
      <c r="GD41" s="6">
        <f>COUNTIFS(Table48[Country],Tabela1[[#This Row],[Country]],Table48[Uneven Bars Classification],"&gt;0")</f>
        <v>0</v>
      </c>
      <c r="GE41" s="6">
        <f>COUNTIFS(Table47[Country],Tabela1[[#This Row],[Country]],Table47[Vault Classification],"&gt;0")</f>
        <v>0</v>
      </c>
      <c r="GF41" s="6">
        <f>COUNTIFS(Table48[Country],Tabela1[[#This Row],[Country]],Table48[Vault Classification],"&gt;0")</f>
        <v>0</v>
      </c>
      <c r="GG41" s="6">
        <f>COUNTIFS(Table919496[Country],Tabela1[[#This Row],[Country]],Table919496[Men''s Classification],"&gt;0")</f>
        <v>0</v>
      </c>
      <c r="GH41" s="6">
        <f>COUNTIFS(Table919496[Country],Tabela1[[#This Row],[Country]],Table919496[Women''s Classification],"&gt;0")</f>
        <v>0</v>
      </c>
      <c r="GI41" s="6">
        <f>COUNTIFS(Table12[Country],Tabela1[[#This Row],[Country]],Table12[60kg Classification],"&gt;0")</f>
        <v>0</v>
      </c>
      <c r="GJ41" s="6">
        <f>COUNTIFS(Table12[Country],Tabela1[[#This Row],[Country]],Table12[66kg Classification],"&gt;0")</f>
        <v>0</v>
      </c>
      <c r="GK41" s="6">
        <f>COUNTIFS(Table12[Country],Tabela1[[#This Row],[Country]],Table12[73kg Classification],"&gt;0")</f>
        <v>0</v>
      </c>
      <c r="GL41" s="6">
        <f>COUNTIFS(Table12[Country],Tabela1[[#This Row],[Country]],Table12[81kg Classification],"&gt;0")</f>
        <v>0</v>
      </c>
      <c r="GM41" s="6">
        <f>COUNTIFS(Table12[Country],Tabela1[[#This Row],[Country]],Table12[90kg Classification],"&gt;0")</f>
        <v>0</v>
      </c>
      <c r="GN41" s="6">
        <f>COUNTIFS(Table12[Country],Tabela1[[#This Row],[Country]],Table12[100kg Classification],"&gt;0")</f>
        <v>0</v>
      </c>
      <c r="GO41" s="6">
        <f>COUNTIFS(Table12[Country],Tabela1[[#This Row],[Country]],Table12[Plus 100kg Classification],"&gt;0")</f>
        <v>0</v>
      </c>
      <c r="GP41" s="6">
        <f>COUNTIFS(Table13[Country],Tabela1[[#This Row],[Country]],Table13[48kg Classification],"&gt;0")</f>
        <v>0</v>
      </c>
      <c r="GQ41" s="6">
        <f>COUNTIFS(Table13[Country],Tabela1[[#This Row],[Country]],Table13[52kg Classification],"&gt;0")</f>
        <v>0</v>
      </c>
      <c r="GR41" s="6">
        <f>COUNTIFS(Table13[Country],Tabela1[[#This Row],[Country]],Table13[57kg Classification],"&gt;0")</f>
        <v>1</v>
      </c>
      <c r="GS41" s="6">
        <f>COUNTIFS(Table13[Country],Tabela1[[#This Row],[Country]],Table13[63kg Classification],"&gt;0")</f>
        <v>0</v>
      </c>
      <c r="GT41" s="6">
        <f>COUNTIFS(Table13[Country],Tabela1[[#This Row],[Country]],Table13[70kg Classification],"&gt;0")</f>
        <v>0</v>
      </c>
      <c r="GU41" s="6">
        <f>COUNTIFS(Table13[Country],Tabela1[[#This Row],[Country]],Table13[78kg Classification],"&gt;0")</f>
        <v>0</v>
      </c>
      <c r="GV41" s="6">
        <f>COUNTIFS(Table13[Country],Tabela1[[#This Row],[Country]],Table13[Plus 78kg Classification],"&gt;0")</f>
        <v>0</v>
      </c>
      <c r="GW41" s="6">
        <f>COUNTIFS(Table82[Country],Tabela1[[#This Row],[Country]],Table82[Mixed Classification],"&gt;0")</f>
        <v>0</v>
      </c>
      <c r="GX41" s="6">
        <f>COUNTIFS(Table51[Country],Tabela1[[#This Row],[Country]],Table51[Classification],"&gt;0")</f>
        <v>0</v>
      </c>
      <c r="GY41" s="6">
        <f>COUNTIFS(Table52[Country],Tabela1[[#This Row],[Country]],Table52[Classification],"&gt;0")</f>
        <v>0</v>
      </c>
      <c r="GZ41" s="6">
        <f>COUNTIFS(Table32[Country],Tabela1[[#This Row],[Country]],Table32[All-Around Classification],"&gt;0")</f>
        <v>0</v>
      </c>
      <c r="HA41" s="6">
        <f>COUNTIFS(Table49[Country],Tabela1[[#This Row],[Country]],Table49[All-Around Classification],"&gt;0")</f>
        <v>0</v>
      </c>
      <c r="HB41" s="6">
        <f>COUNTIFS(Table26[Country],Tabela1[[#This Row],[Country]],Table26[Single Sculls Classification],"&gt;0")</f>
        <v>0</v>
      </c>
      <c r="HC41" s="6">
        <f>COUNTIFS(Table63[Country],Tabela1[[#This Row],[Country]],Table63[Single Sculls Classification],"&gt;0")</f>
        <v>0</v>
      </c>
      <c r="HD41" s="6">
        <f>COUNTIFS(Table16[Country],Tabela1[[#This Row],[Country]],Table16[Men''s Double Sculls Classification],"&gt;0")</f>
        <v>0</v>
      </c>
      <c r="HE41" s="6">
        <f>COUNTIFS(Table16[Country],Tabela1[[#This Row],[Country]],Table16[Women''s Double Sculls Classification],"&gt;0")</f>
        <v>0</v>
      </c>
      <c r="HF41" s="6">
        <f>COUNTIFS(Table72[Country],Tabela1[[#This Row],[Country]],Table72[Men''s Quadruple Sculls Classification],"&gt;0")</f>
        <v>0</v>
      </c>
      <c r="HG41" s="6">
        <f>COUNTIFS(Table72[Country],Tabela1[[#This Row],[Country]],Table72[Women''s Quadruple Sculls Classification],"&gt;0")</f>
        <v>0</v>
      </c>
      <c r="HH41" s="6">
        <f>COUNTIFS(Table16[Country],Tabela1[[#This Row],[Country]],Table16[Men''s Coxless Pairs Classification],"&gt;0")</f>
        <v>0</v>
      </c>
      <c r="HI41" s="6">
        <f>COUNTIFS(Table16[Country],Tabela1[[#This Row],[Country]],Table16[Women''s Coxless Pairs Classification],"&gt;0")</f>
        <v>0</v>
      </c>
      <c r="HJ41" s="6">
        <f>COUNTIFS(Table72[Country],Tabela1[[#This Row],[Country]],Table72[Men''s Coxless Fours Classification],"&gt;0")</f>
        <v>0</v>
      </c>
      <c r="HK41" s="6">
        <f>COUNTIFS(Table72[Country],Tabela1[[#This Row],[Country]],Table72[Women''s Coxless Fours Classification],"&gt;0")</f>
        <v>0</v>
      </c>
      <c r="HL41" s="6">
        <f>COUNTIFS(Table72[Country],Tabela1[[#This Row],[Country]],Table72[Men''s Eights Classification],"&gt;0")</f>
        <v>0</v>
      </c>
      <c r="HM41" s="6">
        <f>COUNTIFS(Table72[Country],Tabela1[[#This Row],[Country]],Table72[Women''s Eights Classification],"&gt;0")</f>
        <v>0</v>
      </c>
      <c r="HN41" s="6">
        <f>COUNTIFS(Table16[Country],Tabela1[[#This Row],[Country]],Table16[Men''s Lwt. Double Sculls Classification],"&gt;0")</f>
        <v>0</v>
      </c>
      <c r="HO41" s="6">
        <f>COUNTIFS(Table16[Country],Tabela1[[#This Row],[Country]],Table16[Women''s Lwt. Double Sculls Classification],"&gt;0")</f>
        <v>0</v>
      </c>
      <c r="HP41" s="6">
        <f>COUNTIFS(Table91949698[Country],Tabela1[[#This Row],[Country]],Table91949698[Men''s Classification],"&gt;0")</f>
        <v>0</v>
      </c>
      <c r="HQ41" s="6">
        <f>COUNTIFS(Table91949698[Country],Tabela1[[#This Row],[Country]],Table91949698[Women''s Classification],"&gt;0")</f>
        <v>0</v>
      </c>
      <c r="HR41" s="6">
        <f>COUNTIFS(Table25[Country],Tabela1[[#This Row],[Country]],Table25[Mixed 470 Classification],"&gt;0")</f>
        <v>0</v>
      </c>
      <c r="HS41" s="6">
        <f>COUNTIFS(Table25[Country],Tabela1[[#This Row],[Country]],Table25[Men''s 49er Classification],"&gt;0")</f>
        <v>0</v>
      </c>
      <c r="HT41" s="6">
        <f>COUNTIFS(Table25[Country],Tabela1[[#This Row],[Country]],Table25[Women''s 49er FX Classification],"&gt;0")</f>
        <v>0</v>
      </c>
      <c r="HU41" s="6">
        <f>COUNTIFS(Table17[Country],Tabela1[[#This Row],[Country]],Table17[Formula Kite Classification],"&gt;0")</f>
        <v>0</v>
      </c>
      <c r="HV41" s="6">
        <f>COUNTIFS(Table18[Country],Tabela1[[#This Row],[Country]],Table18[Formula Kite Classification],"&gt;0")</f>
        <v>0</v>
      </c>
      <c r="HW41" s="6">
        <f>COUNTIFS(Table17[Country],Tabela1[[#This Row],[Country]],Table17[ILCA 7 Classification],"&gt;0")</f>
        <v>0</v>
      </c>
      <c r="HX41" s="6">
        <f>COUNTIFS(Table18[Country],Tabela1[[#This Row],[Country]],Table18[ILCA 6 Classification],"&gt;0")</f>
        <v>0</v>
      </c>
      <c r="HY41" s="6">
        <f>COUNTIFS(Table17[Country],Tabela1[[#This Row],[Country]],Table17[IQFoil Classification],"&gt;0")</f>
        <v>0</v>
      </c>
      <c r="HZ41" s="6">
        <f>COUNTIFS(Table18[Country],Tabela1[[#This Row],[Country]],Table18[IQFoil Classification],"&gt;0")</f>
        <v>0</v>
      </c>
      <c r="IA41" s="6">
        <f>COUNTIFS(Table25[Country],Tabela1[[#This Row],[Country]],Table25[Mixed Nacra 17 Classification],"&gt;0")</f>
        <v>0</v>
      </c>
      <c r="IB41" s="6">
        <f>COUNTIFS(Table53[Country],Tabela1[[#This Row],[Country]],Table53[10m Air Pistol Classification],"&gt;0")</f>
        <v>0</v>
      </c>
      <c r="IC41" s="6">
        <f>COUNTIFS(Table19[Country],Tabela1[[#This Row],[Country]],Table19[10m Air Pistol Classification],"&gt;0")</f>
        <v>1</v>
      </c>
      <c r="ID41" s="6">
        <f>COUNTIFS(Table54[Country],Tabela1[[#This Row],[Country]],Table54[Mixed 10m Air Pistol Team Classification],"&gt;0")</f>
        <v>0</v>
      </c>
      <c r="IE41" s="6">
        <f>COUNTIFS(Table53[Country],Tabela1[[#This Row],[Country]],Table53[10m Air Rifle Classification],"&gt;0")</f>
        <v>0</v>
      </c>
      <c r="IF41" s="6">
        <f>COUNTIFS(Table19[Country],Tabela1[[#This Row],[Country]],Table19[10m Air Rifle Classification],"&gt;0")</f>
        <v>0</v>
      </c>
      <c r="IG41" s="6">
        <f>COUNTIFS(Table54[Country],Tabela1[[#This Row],[Country]],Table54[Mixed 10m Air Rifle Team Classification],"&gt;0")</f>
        <v>0</v>
      </c>
      <c r="IH41" s="6">
        <f>COUNTIFS(Table53[Country],Tabela1[[#This Row],[Country]],Table53[25m Rapid Fire Pistol Classification],"&gt;0")</f>
        <v>0</v>
      </c>
      <c r="II41" s="6">
        <f>COUNTIFS(Table19[Country],Tabela1[[#This Row],[Country]],Table19[25m Pistol Classification],"&gt;0")</f>
        <v>1</v>
      </c>
      <c r="IJ41" s="6">
        <f>COUNTIFS(Table53[Country],Tabela1[[#This Row],[Country]],Table53[50m Rifle 3 Positions Classification],"&gt;0")</f>
        <v>0</v>
      </c>
      <c r="IK41" s="6">
        <f>COUNTIFS(Table19[Country],Tabela1[[#This Row],[Country]],Table19[50m Rifle 3 Positions Classification],"&gt;0")</f>
        <v>0</v>
      </c>
      <c r="IL41" s="6">
        <f>COUNTIFS(Table53[Country],Tabela1[[#This Row],[Country]],Table53[Skeet Classification],"&gt;0")</f>
        <v>0</v>
      </c>
      <c r="IM41" s="6">
        <f>COUNTIFS(Table19[Country],Tabela1[[#This Row],[Country]],Table19[Skeet Classification],"&gt;0")</f>
        <v>0</v>
      </c>
      <c r="IN41" s="6">
        <f>COUNTIFS(Table54[Country],Tabela1[[#This Row],[Country]],Table54[Mixed Skeet Team Classification],"&gt;0")</f>
        <v>0</v>
      </c>
      <c r="IO41" s="6">
        <f>COUNTIFS(Table53[Country],Tabela1[[#This Row],[Country]],Table53[Trap Classification],"&gt;0")</f>
        <v>1</v>
      </c>
      <c r="IP41" s="6">
        <f>COUNTIFS(Table19[Country],Tabela1[[#This Row],[Country]],Table19[Trap Classification],"&gt;0")</f>
        <v>1</v>
      </c>
      <c r="IQ41" s="6">
        <f>COUNTIFS(Table73[Country],Tabela1[[#This Row],[Country]],Table73[Park Classification],"&gt;0")</f>
        <v>0</v>
      </c>
      <c r="IR41" s="6">
        <f>COUNTIFS(Table74[Country],Tabela1[[#This Row],[Country]],Table74[Park Classification],"&gt;0")</f>
        <v>0</v>
      </c>
      <c r="IS41" s="6">
        <f>COUNTIFS(Table73[Country],Tabela1[[#This Row],[Country]],Table73[Street Classification],"&gt;0")</f>
        <v>0</v>
      </c>
      <c r="IT41" s="6">
        <f>COUNTIFS(Table74[Country],Tabela1[[#This Row],[Country]],Table74[Street Classification],"&gt;0")</f>
        <v>0</v>
      </c>
      <c r="IU41" s="6">
        <f>COUNTIFS(Table75[Country],Tabela1[[#This Row],[Country]],Table75[Boulder and Lead Classification],"&gt;0")</f>
        <v>0</v>
      </c>
      <c r="IV41" s="6">
        <f>COUNTIFS(Table76[Country],Tabela1[[#This Row],[Country]],Table76[Boulder and Lead Classification],"&gt;0")</f>
        <v>0</v>
      </c>
      <c r="IW41" s="6">
        <f>COUNTIFS(Table75[Country],Tabela1[[#This Row],[Country]],Table75[Speed Classification],"&gt;0")</f>
        <v>0</v>
      </c>
      <c r="IX41" s="6">
        <f>COUNTIFS(Table76[Country],Tabela1[[#This Row],[Country]],Table76[Speed Classification],"&gt;0")</f>
        <v>0</v>
      </c>
      <c r="IY41" s="6">
        <f>COUNTIFS(Table64[Country],Tabela1[[#This Row],[Country]],Table64[Shortboard Classification],"&gt;0")</f>
        <v>0</v>
      </c>
      <c r="IZ41" s="6">
        <f>COUNTIFS(Table77[Country],Tabela1[[#This Row],[Country]],Table77[Shortboard Classification],"&gt;0")</f>
        <v>0</v>
      </c>
      <c r="JA41" s="6">
        <f>COUNTIFS(Table20[Country],Tabela1[[#This Row],[Country]],Table20[50m Freestyle Classification],"&gt;0")</f>
        <v>0</v>
      </c>
      <c r="JB41" s="6">
        <f>COUNTIFS(Table21[Country],Tabela1[[#This Row],[Country]],Table21[50m Freestyle Classification],"&gt;0")</f>
        <v>0</v>
      </c>
      <c r="JC41" s="6">
        <f>COUNTIFS(Table20[Country],Tabela1[[#This Row],[Country]],Table20[100m Freestyle Classification],"&gt;0")</f>
        <v>0</v>
      </c>
      <c r="JD41" s="6">
        <f>COUNTIFS(Table21[Country],Tabela1[[#This Row],[Country]],Table21[100m Freestyle Classification],"&gt;0")</f>
        <v>0</v>
      </c>
      <c r="JE41" s="6">
        <f>COUNTIFS(Table20[Country],Tabela1[[#This Row],[Country]],Table20[200m Freestyle Classification],"&gt;0")</f>
        <v>0</v>
      </c>
      <c r="JF41" s="6">
        <f>COUNTIFS(Table21[Country],Tabela1[[#This Row],[Country]],Table21[200m Freestyle Classification],"&gt;0")</f>
        <v>0</v>
      </c>
      <c r="JG41" s="6">
        <f>COUNTIFS(Table20[Country],Tabela1[[#This Row],[Country]],Table20[400m Freestyle Classification],"&gt;0")</f>
        <v>0</v>
      </c>
      <c r="JH41" s="6">
        <f>COUNTIFS(Table21[Country],Tabela1[[#This Row],[Country]],Table21[400m Freestyle Classification],"&gt;0")</f>
        <v>0</v>
      </c>
      <c r="JI41" s="6">
        <f>COUNTIFS(Table20[Country],Tabela1[[#This Row],[Country]],Table20[800m Freestyle Classification],"&gt;0")</f>
        <v>0</v>
      </c>
      <c r="JJ41" s="6">
        <f>COUNTIFS(Table21[Country],Tabela1[[#This Row],[Country]],Table21[800m Freestyle Classification],"&gt;0")</f>
        <v>0</v>
      </c>
      <c r="JK41" s="6">
        <f>COUNTIFS(Table20[Country],Tabela1[[#This Row],[Country]],Table20[1500m Freestyle Classification],"&gt;0")</f>
        <v>0</v>
      </c>
      <c r="JL41" s="6">
        <f>COUNTIFS(Table21[Country],Tabela1[[#This Row],[Country]],Table21[1500m Freestyle Classification],"&gt;0")</f>
        <v>0</v>
      </c>
      <c r="JM41" s="6">
        <f>COUNTIFS(Table20[Country],Tabela1[[#This Row],[Country]],Table20[100m Backstroke Classification],"&gt;0")</f>
        <v>0</v>
      </c>
      <c r="JN41" s="6">
        <f>COUNTIFS(Table21[Country],Tabela1[[#This Row],[Country]],Table21[100m Backstroke Classification],"&gt;0")</f>
        <v>0</v>
      </c>
      <c r="JO41" s="6">
        <f>COUNTIFS(Table20[Country],Tabela1[[#This Row],[Country]],Table20[200m Backstroke Classification],"&gt;0")</f>
        <v>0</v>
      </c>
      <c r="JP41" s="6">
        <f>COUNTIFS(Table21[Country],Tabela1[[#This Row],[Country]],Table21[200m Backstroke Classification],"&gt;0")</f>
        <v>0</v>
      </c>
      <c r="JQ41" s="6">
        <f>COUNTIFS(Table20[Country],Tabela1[[#This Row],[Country]],Table20[100m Breaststroke Classification],"&gt;0")</f>
        <v>0</v>
      </c>
      <c r="JR41" s="6">
        <f>COUNTIFS(Table21[Country],Tabela1[[#This Row],[Country]],Table21[100m Breaststroke Classification],"&gt;0")</f>
        <v>0</v>
      </c>
      <c r="JS41" s="6">
        <f>COUNTIFS(Table20[Country],Tabela1[[#This Row],[Country]],Table20[200m Breaststroke Classification],"&gt;0")</f>
        <v>0</v>
      </c>
      <c r="JT41" s="6">
        <f>COUNTIFS(Table21[Country],Tabela1[[#This Row],[Country]],Table21[200m Breaststroke Classification],"&gt;0")</f>
        <v>0</v>
      </c>
      <c r="JU41" s="6">
        <f>COUNTIFS(Table20[Country],Tabela1[[#This Row],[Country]],Table20[100m Butterfly Classification],"&gt;0")</f>
        <v>0</v>
      </c>
      <c r="JV41" s="6">
        <f>COUNTIFS(Table21[Country],Tabela1[[#This Row],[Country]],Table21[100m Butterfly Classification],"&gt;0")</f>
        <v>0</v>
      </c>
      <c r="JW41" s="6">
        <f>COUNTIFS(Table20[Country],Tabela1[[#This Row],[Country]],Table20[200m Butterfly Classification],"&gt;0")</f>
        <v>0</v>
      </c>
      <c r="JX41" s="6">
        <f>COUNTIFS(Table21[Country],Tabela1[[#This Row],[Country]],Table21[200m Butterfly Classification],"&gt;0")</f>
        <v>0</v>
      </c>
      <c r="JY41" s="6">
        <f>COUNTIFS(Table20[Country],Tabela1[[#This Row],[Country]],Table20[200m Medley Classification],"&gt;0")</f>
        <v>0</v>
      </c>
      <c r="JZ41" s="6">
        <f>COUNTIFS(Table21[Country],Tabela1[[#This Row],[Country]],Table21[200m Medley Classification],"&gt;0")</f>
        <v>0</v>
      </c>
      <c r="KA41" s="6">
        <f>COUNTIFS(Table20[Country],Tabela1[[#This Row],[Country]],Table20[400m Medley Classification],"&gt;0")</f>
        <v>0</v>
      </c>
      <c r="KB41" s="6">
        <f>COUNTIFS(Table21[Country],Tabela1[[#This Row],[Country]],Table21[400m Medley Classification],"&gt;0")</f>
        <v>0</v>
      </c>
      <c r="KC41" s="6">
        <f>COUNTIFS(Table78[Country],Tabela1[[#This Row],[Country]],Table78[Men''s 4x100m Freestyle Relay Classification],"&gt;0")</f>
        <v>0</v>
      </c>
      <c r="KD41" s="6">
        <f>COUNTIFS(Table78[Country],Tabela1[[#This Row],[Country]],Table78[Women''s 4x100m Freestyle Relay Classification],"&gt;0")</f>
        <v>0</v>
      </c>
      <c r="KE41" s="6">
        <f>COUNTIFS(Table78[Country],Tabela1[[#This Row],[Country]],Table78[Men''s 4x200m Freestyle Relay Classification],"&gt;0")</f>
        <v>0</v>
      </c>
      <c r="KF41" s="6">
        <f>COUNTIFS(Table78[Country],Tabela1[[#This Row],[Country]],Table78[Women''s 4x200m Freestyle Relay Classification],"&gt;0")</f>
        <v>0</v>
      </c>
      <c r="KG41" s="6">
        <f>COUNTIFS(Table78[Country],Tabela1[[#This Row],[Country]],Table78[Men''s 4x100m Medley Relay Classification],"&gt;0")</f>
        <v>0</v>
      </c>
      <c r="KH41" s="6">
        <f>COUNTIFS(Table78[Country],Tabela1[[#This Row],[Country]],Table78[Women''s 4x100m Medley Relay Classification],"&gt;0")</f>
        <v>0</v>
      </c>
      <c r="KI41" s="6">
        <f>COUNTIFS(Table78[Country],Tabela1[[#This Row],[Country]],Table78[Mixed 4x100m Medley Relay Classification],"&gt;0")</f>
        <v>0</v>
      </c>
      <c r="KJ41" s="6">
        <f>COUNTIFS(Table20[Country],Tabela1[[#This Row],[Country]],Table20[10km Open Water Classification],"&gt;0")</f>
        <v>0</v>
      </c>
      <c r="KK41" s="6">
        <f>COUNTIFS(Table21[Country],Tabela1[[#This Row],[Country]],Table21[10km Open Water Classification],"&gt;0")</f>
        <v>0</v>
      </c>
      <c r="KL41" s="6">
        <f>COUNTIFS(Table22[Country],Tabela1[[#This Row],[Country]],Table22[Classification],"&gt;0")</f>
        <v>1</v>
      </c>
      <c r="KM41" s="6">
        <f>COUNTIFS(Table30[Country],Tabela1[[#This Row],[Country]],Table30[Classification],"&gt;0")</f>
        <v>2</v>
      </c>
      <c r="KN41" s="6">
        <f>COUNTIFS(Table55[Country],Tabela1[[#This Row],[Country]],Table55[Men''s Classification],"&gt;0")</f>
        <v>1</v>
      </c>
      <c r="KO41" s="6">
        <f>COUNTIFS(Table55[Country],Tabela1[[#This Row],[Country]],Table55[Women''s Classification],"&gt;0")</f>
        <v>1</v>
      </c>
      <c r="KP41" s="6">
        <f>COUNTIFS(Table56[Country],Tabela1[[#This Row],[Country]],Table56[Mixed Classification],"&gt;0")</f>
        <v>1</v>
      </c>
      <c r="KQ41" s="6">
        <f>COUNTIFS(Table29[Country],Tabela1[[#This Row],[Country]],Table29[58kg Classification],"&gt;0")</f>
        <v>0</v>
      </c>
      <c r="KR41" s="6">
        <f>COUNTIFS(Table29[Country],Tabela1[[#This Row],[Country]],Table29[68kg Classification],"&gt;0")</f>
        <v>0</v>
      </c>
      <c r="KS41" s="6">
        <f>COUNTIFS(Table29[Country],Tabela1[[#This Row],[Country]],Table29[80kg Classification],"&gt;0")</f>
        <v>0</v>
      </c>
      <c r="KT41" s="6">
        <f>COUNTIFS(Table29[Country],Tabela1[[#This Row],[Country]],Table29[Plus 80kg Classification],"&gt;0")</f>
        <v>0</v>
      </c>
      <c r="KU41" s="6">
        <f>COUNTIFS(Table34[Country],Tabela1[[#This Row],[Country]],Table34[49kg Classification],"&gt;0")</f>
        <v>0</v>
      </c>
      <c r="KV41" s="6">
        <f>COUNTIFS(Table34[Country],Tabela1[[#This Row],[Country]],Table34[57kg Classification],"&gt;0")</f>
        <v>0</v>
      </c>
      <c r="KW41" s="6">
        <f>COUNTIFS(Table34[Country],Tabela1[[#This Row],[Country]],Table34[67kg Classification],"&gt;0")</f>
        <v>0</v>
      </c>
      <c r="KX41" s="6">
        <f>COUNTIFS(Table34[Country],Tabela1[[#This Row],[Country]],Table34[Plus 67kg Classification],"&gt;0")</f>
        <v>0</v>
      </c>
      <c r="KY41" s="6">
        <f>COUNTIFS(Table57[Country],Tabela1[[#This Row],[Country]],Table57[Classification],"&gt;0")</f>
        <v>0</v>
      </c>
      <c r="KZ41" s="6">
        <f>COUNTIFS(Table58[Country],Tabela1[[#This Row],[Country]],Table58[Classification],"&gt;0")</f>
        <v>0</v>
      </c>
      <c r="LA41" s="6">
        <f>COUNTIFS(Table79[Country],Tabela1[[#This Row],[Country]],Table79[Men''s Classification],"&gt;0")</f>
        <v>0</v>
      </c>
      <c r="LB41" s="6">
        <f>COUNTIFS(Table79[Country],Tabela1[[#This Row],[Country]],Table79[Women''s Classification],"&gt;0")</f>
        <v>2</v>
      </c>
      <c r="LC41" s="6">
        <f>COUNTIFS(Table79[Country],Tabela1[[#This Row],[Country]],Table79[Mixed Classification],"&gt;0")</f>
        <v>0</v>
      </c>
      <c r="LD41" s="6">
        <f>COUNTIFS(Table65[Country],Tabela1[[#This Row],[Country]],Table65[Classification],"&gt;0")</f>
        <v>0</v>
      </c>
      <c r="LE41" s="6">
        <f>COUNTIFS(Table59[Country],Tabela1[[#This Row],[Country]],Table59[Classification],"&gt;0")</f>
        <v>0</v>
      </c>
      <c r="LF41" s="6">
        <f>COUNTIFS(Table87[Country],Tabela1[[#This Row],[Country]],Table87[Mixed Relay Classification],"&gt;0")</f>
        <v>0</v>
      </c>
      <c r="LG41" s="6">
        <f>COUNTIFS(Table91949698100[Country],Tabela1[[#This Row],[Country]],Table91949698100[Men''s Classification],"&gt;0")</f>
        <v>0</v>
      </c>
      <c r="LH41" s="6">
        <f>COUNTIFS(Table91949698100[Country],Tabela1[[#This Row],[Country]],Table91949698100[Women''s Classification],"&gt;0")</f>
        <v>0</v>
      </c>
      <c r="LI41" s="6">
        <f>COUNTIFS(Table91949698100102[Country],Tabela1[[#This Row],[Country]],Table91949698100102[Men''s Classification],"&gt;0")</f>
        <v>0</v>
      </c>
      <c r="LJ41" s="6">
        <f>COUNTIFS(Table91949698100102[Country],Tabela1[[#This Row],[Country]],Table91949698100102[Women''s Classification],"&gt;0")</f>
        <v>0</v>
      </c>
      <c r="LK41" s="6">
        <f>COUNTIFS(Table23[Country],Tabela1[[#This Row],[Country]],Table23[61kg Classification],"&gt;0")</f>
        <v>0</v>
      </c>
      <c r="LL41" s="6">
        <f>COUNTIFS(Table23[Country],Tabela1[[#This Row],[Country]],Table23[73kg Classification],"&gt;0")</f>
        <v>0</v>
      </c>
      <c r="LM41" s="6">
        <f>COUNTIFS(Table23[Country],Tabela1[[#This Row],[Country]],Table23[89kg Classification],"&gt;0")</f>
        <v>0</v>
      </c>
      <c r="LN41" s="6">
        <f>COUNTIFS(Table23[Country],Tabela1[[#This Row],[Country]],Table23[102kg Classification],"&gt;0")</f>
        <v>0</v>
      </c>
      <c r="LO41" s="6">
        <f>COUNTIFS(Table23[Country],Tabela1[[#This Row],[Country]],Table23[Plus 102kg Classification],"&gt;0")</f>
        <v>0</v>
      </c>
      <c r="LP41" s="6">
        <f>COUNTIFS(Table28[Country],Tabela1[[#This Row],[Country]],Table28[49kg Classification],"&gt;0")</f>
        <v>0</v>
      </c>
      <c r="LQ41" s="6">
        <f>COUNTIFS(Table28[Country],Tabela1[[#This Row],[Country]],Table28[59kg Classification],"&gt;0")</f>
        <v>1</v>
      </c>
      <c r="LR41" s="6">
        <f>COUNTIFS(Table28[Country],Tabela1[[#This Row],[Country]],Table28[71kg Classification],"&gt;0")</f>
        <v>0</v>
      </c>
      <c r="LS41" s="6">
        <f>COUNTIFS(Table28[Country],Tabela1[[#This Row],[Country]],Table28[81kg Classification],"&gt;0")</f>
        <v>0</v>
      </c>
      <c r="LT41" s="6">
        <f>COUNTIFS(Table28[Country],Tabela1[[#This Row],[Country]],Table28[Plus 81kg Classification],"&gt;0")</f>
        <v>0</v>
      </c>
      <c r="LU41" s="6">
        <f>COUNTIFS(Table24[Country],Tabela1[[#This Row],[Country]],Table24[Freestyle 57kg Classification],"&gt;0")</f>
        <v>0</v>
      </c>
      <c r="LV41" s="6">
        <f>COUNTIFS(Table24[Country],Tabela1[[#This Row],[Country]],Table24[Freestyle 65kg Classification],"&gt;0")</f>
        <v>0</v>
      </c>
      <c r="LW41" s="6">
        <f>COUNTIFS(Table24[Country],Tabela1[[#This Row],[Country]],Table24[Freestyle 74kg Classification],"&gt;0")</f>
        <v>0</v>
      </c>
      <c r="LX41" s="6">
        <f>COUNTIFS(Table24[Country],Tabela1[[#This Row],[Country]],Table24[Freestyle 86kg Classification],"&gt;0")</f>
        <v>0</v>
      </c>
      <c r="LY41" s="6">
        <f>COUNTIFS(Table24[Country],Tabela1[[#This Row],[Country]],Table24[Freestyle 97kg Classification],"&gt;0")</f>
        <v>0</v>
      </c>
      <c r="LZ41" s="6">
        <f>COUNTIFS(Table24[Country],Tabela1[[#This Row],[Country]],Table24[Freestyle 125kg Classification],"&gt;0")</f>
        <v>0</v>
      </c>
      <c r="MA41" s="6">
        <f>COUNTIFS(Table24[Country],Tabela1[[#This Row],[Country]],Table24[Greco-Roman 60kg Classification],"&gt;0")</f>
        <v>0</v>
      </c>
      <c r="MB41" s="6">
        <f>COUNTIFS(Table24[Country],Tabela1[[#This Row],[Country]],Table24[Greco-Roman 67kg Classification],"&gt;0")</f>
        <v>0</v>
      </c>
      <c r="MC41" s="6">
        <f>COUNTIFS(Table24[Country],Tabela1[[#This Row],[Country]],Table24[Greco-Roman 77kg Classification],"&gt;0")</f>
        <v>0</v>
      </c>
      <c r="MD41" s="6">
        <f>COUNTIFS(Table24[Country],Tabela1[[#This Row],[Country]],Table24[Greco-Roman 87kg Classification],"&gt;0")</f>
        <v>0</v>
      </c>
      <c r="ME41" s="6">
        <f>COUNTIFS(Table24[Country],Tabela1[[#This Row],[Country]],Table24[Greco-Roman 97kg Classification],"&gt;0")</f>
        <v>0</v>
      </c>
      <c r="MF41" s="6">
        <f>COUNTIFS(Table24[Country],Tabela1[[#This Row],[Country]],Table24[Greco-Roman 130kg Classification],"&gt;0")</f>
        <v>0</v>
      </c>
      <c r="MG41" s="6">
        <f>COUNTIFS(Table31[Country],Tabela1[[#This Row],[Country]],Table31[50kg Classification],"&gt;0")</f>
        <v>0</v>
      </c>
      <c r="MH41" s="6">
        <f>COUNTIFS(Table31[Country],Tabela1[[#This Row],[Country]],Table31[53kg Classification],"&gt;0")</f>
        <v>0</v>
      </c>
      <c r="MI41" s="6">
        <f>COUNTIFS(Table31[Country],Tabela1[[#This Row],[Country]],Table31[57kg Classification],"&gt;0")</f>
        <v>0</v>
      </c>
      <c r="MJ41" s="6">
        <f>COUNTIFS(Table31[Country],Tabela1[[#This Row],[Country]],Table31[62kg Classification],"&gt;0")</f>
        <v>0</v>
      </c>
      <c r="MK41" s="6">
        <f>COUNTIFS(Table31[Country],Tabela1[[#This Row],[Country]],Table31[68kg Classification],"&gt;0")</f>
        <v>0</v>
      </c>
      <c r="ML41" s="6">
        <f>COUNTIFS(Table31[Country],Tabela1[[#This Row],[Country]],Table31[76kg Classification],"&gt;0")</f>
        <v>0</v>
      </c>
      <c r="MM41" s="6">
        <f>COUNTIFS(Table102[Country],Tabela1[[#This Row],[Country]],Table102[Downhill Classification],"&gt;0")</f>
        <v>0</v>
      </c>
      <c r="MN41" s="6">
        <f>COUNTIFS(Table102105[Country],Tabela1[[#This Row],[Country]],Table102105[Downhill Classification],"&gt;0")</f>
        <v>0</v>
      </c>
      <c r="MO41" s="6">
        <f>COUNTIFS(Table102[Country],Tabela1[[#This Row],[Country]],Table102[Giant Slalom Classification],"&gt;0")</f>
        <v>0</v>
      </c>
      <c r="MP41" s="6">
        <f>COUNTIFS(Table102105[Country],Tabela1[[#This Row],[Country]],Table102105[Giant Slalom Classification],"&gt;0")</f>
        <v>0</v>
      </c>
      <c r="MQ41" s="6">
        <f>COUNTIFS(Table102[Country],Tabela1[[#This Row],[Country]],Table102[Slalom Classification],"&gt;0")</f>
        <v>0</v>
      </c>
      <c r="MR41" s="6">
        <f>COUNTIFS(Table102105[Country],Tabela1[[#This Row],[Country]],Table102105[Slalom Classification],"&gt;0")</f>
        <v>0</v>
      </c>
      <c r="MS41" s="6">
        <f>COUNTIFS(Table102[Country],Tabela1[[#This Row],[Country]],Table102[Super-G Classification],"&gt;0")</f>
        <v>0</v>
      </c>
      <c r="MT41" s="6">
        <f>COUNTIFS(Table102105[Country],Tabela1[[#This Row],[Country]],Table102105[Super-G Classification],"&gt;0")</f>
        <v>0</v>
      </c>
      <c r="MU41" s="6">
        <f>COUNTIFS(Table105[Country],Tabela1[[#This Row],[Country]],Table105[Men''s Combined Classification],"&gt;0")</f>
        <v>0</v>
      </c>
      <c r="MV41" s="6">
        <f>COUNTIFS(Table105[Country],Tabela1[[#This Row],[Country]],Table105[Women''s Combined Classification],"&gt;0")</f>
        <v>0</v>
      </c>
      <c r="MW41" s="6">
        <f>COUNTIFS(Table106[Country],Tabela1[[#This Row],[Country]],Table106[Individual Classification],"&gt;0")</f>
        <v>0</v>
      </c>
      <c r="MX41" s="6">
        <f>COUNTIFS(Table106109[Country],Tabela1[[#This Row],[Country]],Table106109[Individual Classification],"&gt;0")</f>
        <v>0</v>
      </c>
      <c r="MY41" s="6">
        <f>COUNTIFS(Table106[Country],Tabela1[[#This Row],[Country]],Table106[Mass Start Classification],"&gt;0")</f>
        <v>0</v>
      </c>
      <c r="MZ41" s="6">
        <f>COUNTIFS(Table106109[Country],Tabela1[[#This Row],[Country]],Table106109[Mass Start Classification],"&gt;0")</f>
        <v>0</v>
      </c>
      <c r="NA41" s="6">
        <f>COUNTIFS(Table106[Country],Tabela1[[#This Row],[Country]],Table106[Pursuit Classification],"&gt;0")</f>
        <v>0</v>
      </c>
      <c r="NB41" s="6">
        <f>COUNTIFS(Table106109[Country],Tabela1[[#This Row],[Country]],Table106109[Pursuit Classification],"&gt;0")</f>
        <v>0</v>
      </c>
      <c r="NC41" s="6">
        <f>COUNTIFS(Table106[Country],Tabela1[[#This Row],[Country]],Table106[Sprint Classification],"&gt;0")</f>
        <v>0</v>
      </c>
      <c r="ND41" s="6">
        <f>COUNTIFS(Table106109[Country],Tabela1[[#This Row],[Country]],Table106109[Sprint Classification],"&gt;0")</f>
        <v>0</v>
      </c>
      <c r="NE41" s="6">
        <f>COUNTIFS(Table109[Country],Tabela1[[#This Row],[Country]],Table109[Men''s Relay Classification],"&gt;0")</f>
        <v>0</v>
      </c>
      <c r="NF41" s="6">
        <f>COUNTIFS(Table109[Country],Tabela1[[#This Row],[Country]],Table109[Women''s Relay Classification],"&gt;0")</f>
        <v>0</v>
      </c>
      <c r="NG41" s="6">
        <f>COUNTIFS(Table109[Country],Tabela1[[#This Row],[Country]],Table109[Mixed Relay Classification],"&gt;0")</f>
        <v>0</v>
      </c>
      <c r="NH41" s="6">
        <f>COUNTIFS(Table110[Country],Tabela1[[#This Row],[Country]],Table110[Monobob Classification],"&gt;0")</f>
        <v>0</v>
      </c>
      <c r="NI41" s="6">
        <f>COUNTIFS(Table111[Country],Tabela1[[#This Row],[Country]],Table111[Men''s Classification],"&gt;0")</f>
        <v>0</v>
      </c>
      <c r="NJ41" s="6">
        <f>COUNTIFS(Table111[Country],Tabela1[[#This Row],[Country]],Table111[Women''s Classification],"&gt;0")</f>
        <v>0</v>
      </c>
      <c r="NK41" s="6">
        <f>COUNTIFS(Table112[Country],Tabela1[[#This Row],[Country]],Table112[Men''s Four Classification],"&gt;0")</f>
        <v>0</v>
      </c>
      <c r="NL41" s="6">
        <f>COUNTIFS(Table113[Country],Tabela1[[#This Row],[Country]],Table113[Classical Classification],"&gt;0")</f>
        <v>0</v>
      </c>
      <c r="NM41" s="6">
        <f>COUNTIFS(Table113116[Country],Tabela1[[#This Row],[Country]],Table113116[Classical Classification],"&gt;0")</f>
        <v>0</v>
      </c>
      <c r="NN41" s="6">
        <f>COUNTIFS(Table113[Country],Tabela1[[#This Row],[Country]],Table113[Freestyle Classification],"&gt;0")</f>
        <v>0</v>
      </c>
      <c r="NO41" s="6">
        <f>COUNTIFS(Table113116[Country],Tabela1[[#This Row],[Country]],Table113116[Freestyle Classification],"&gt;0")</f>
        <v>0</v>
      </c>
      <c r="NP41" s="6">
        <f>COUNTIFS(Table117[Country],Tabela1[[#This Row],[Country]],Table117[Men''s Relay Classification],"&gt;0")</f>
        <v>0</v>
      </c>
      <c r="NQ41" s="6">
        <f>COUNTIFS(Table117[Country],Tabela1[[#This Row],[Country]],Table117[Women''s Relay Classification],"&gt;0")</f>
        <v>0</v>
      </c>
      <c r="NR41" s="6">
        <f>COUNTIFS(Table113[Country],Tabela1[[#This Row],[Country]],Table113[Skiathlon Classification],"&gt;0")</f>
        <v>0</v>
      </c>
      <c r="NS41" s="6">
        <f>COUNTIFS(Table113116[Country],Tabela1[[#This Row],[Country]],Table113116[Skiathlon Classification],"&gt;0")</f>
        <v>0</v>
      </c>
      <c r="NT41" s="6">
        <f>COUNTIFS(Table113[Country],Tabela1[[#This Row],[Country]],Table113[Sprint Classification],"&gt;0")</f>
        <v>0</v>
      </c>
      <c r="NU41" s="6">
        <f>COUNTIFS(Table113116[Country],Tabela1[[#This Row],[Country]],Table113116[Sprint Classification],"&gt;0")</f>
        <v>0</v>
      </c>
      <c r="NV41" s="6">
        <f>COUNTIFS(Table116[Country],Tabela1[[#This Row],[Country]],Table116[Men''s Team Sprint Classification],"&gt;0")</f>
        <v>0</v>
      </c>
      <c r="NW41" s="6">
        <f>COUNTIFS(Table116[Country],Tabela1[[#This Row],[Country]],Table116[Women''s Team Sprint Classification],"&gt;0")</f>
        <v>0</v>
      </c>
      <c r="NX41" s="6">
        <f>COUNTIFS(Table119[Country],Tabela1[[#This Row],[Country]],Table119[Men''s Classification],"&gt;0")</f>
        <v>0</v>
      </c>
      <c r="NY41" s="6">
        <f>COUNTIFS(Table119[Country],Tabela1[[#This Row],[Country]],Table119[Women''s Classification],"&gt;0")</f>
        <v>0</v>
      </c>
      <c r="NZ41" s="6">
        <f>COUNTIFS(Table118[Country],Tabela1[[#This Row],[Country]],Table118[Mixed Classification],"&gt;0")</f>
        <v>0</v>
      </c>
      <c r="OA41" s="6">
        <f>COUNTIFS(Table120[Country],Tabela1[[#This Row],[Country]],Table120[Classification],"&gt;0")</f>
        <v>0</v>
      </c>
      <c r="OB41" s="6">
        <f>COUNTIFS(Table120123[Country],Tabela1[[#This Row],[Country]],Table120123[Classification],"&gt;0")</f>
        <v>0</v>
      </c>
      <c r="OC41" s="6">
        <f>COUNTIFS(Table123[Country],Tabela1[[#This Row],[Country]],Table123[Ice Dance Classification],"&gt;0")</f>
        <v>0</v>
      </c>
      <c r="OD41" s="6">
        <f>COUNTIFS(Table123[Country],Tabela1[[#This Row],[Country]],Table123[Pair Skating Classification],"&gt;0")</f>
        <v>0</v>
      </c>
      <c r="OE41" s="6">
        <f>COUNTIFS(Table124[Country],Tabela1[[#This Row],[Country]],Table124[Mixed Classification],"&gt;0")</f>
        <v>0</v>
      </c>
      <c r="OF41" s="6">
        <f>COUNTIFS(Table125[Country],Tabela1[[#This Row],[Country]],Table125[Aerials Classification],"&gt;0")</f>
        <v>0</v>
      </c>
      <c r="OG41" s="6">
        <f>COUNTIFS(Table125128[Country],Tabela1[[#This Row],[Country]],Table125128[Aerials Classification],"&gt;0")</f>
        <v>0</v>
      </c>
      <c r="OH41" s="6">
        <f>COUNTIFS(Table128[Country],Tabela1[[#This Row],[Country]],Table128[Mixed Aerials Classification],"&gt;0")</f>
        <v>0</v>
      </c>
      <c r="OI41" s="6">
        <f>COUNTIFS(Table125[Country],Tabela1[[#This Row],[Country]],Table125[Big Air Classification],"&gt;0")</f>
        <v>0</v>
      </c>
      <c r="OJ41" s="6">
        <f>COUNTIFS(Table125128[Country],Tabela1[[#This Row],[Country]],Table125128[Big Air Classification],"&gt;0")</f>
        <v>0</v>
      </c>
      <c r="OK41" s="6">
        <f>COUNTIFS(Table125[Country],Tabela1[[#This Row],[Country]],Table125[Dual Moguls Classification],"&gt;0")</f>
        <v>0</v>
      </c>
      <c r="OL41" s="6">
        <f>COUNTIFS(Table125128[Country],Tabela1[[#This Row],[Country]],Table125128[Dual Moguls Classification],"&gt;0")</f>
        <v>0</v>
      </c>
      <c r="OM41" s="6">
        <f>COUNTIFS(Table125[Country],Tabela1[[#This Row],[Country]],Table125[Halfpipe Classification],"&gt;0")</f>
        <v>0</v>
      </c>
      <c r="ON41" s="6">
        <f>COUNTIFS(Table125128[Country],Tabela1[[#This Row],[Country]],Table125128[Halfpipe Classification],"&gt;0")</f>
        <v>0</v>
      </c>
      <c r="OO41" s="6">
        <f>COUNTIFS(Table125[Country],Tabela1[[#This Row],[Country]],Table125[Moguls Classification],"&gt;0")</f>
        <v>0</v>
      </c>
      <c r="OP41" s="6">
        <f>COUNTIFS(Table125128[Country],Tabela1[[#This Row],[Country]],Table125128[Moguls Classification],"&gt;0")</f>
        <v>0</v>
      </c>
      <c r="OQ41" s="6">
        <f>COUNTIFS(Table125[Country],Tabela1[[#This Row],[Country]],Table125[Ski Cross Classification],"&gt;0")</f>
        <v>0</v>
      </c>
      <c r="OR41" s="6">
        <f>COUNTIFS(Table125128[Country],Tabela1[[#This Row],[Country]],Table125128[Ski Cross Classification],"&gt;0")</f>
        <v>0</v>
      </c>
      <c r="OS41" s="6">
        <f>COUNTIFS(Table125[Country],Tabela1[[#This Row],[Country]],Table125[Slopestyle Classification],"&gt;0")</f>
        <v>0</v>
      </c>
      <c r="OT41" s="6">
        <f>COUNTIFS(Table125128[Country],Tabela1[[#This Row],[Country]],Table125128[Slopestyle Classification],"&gt;0")</f>
        <v>0</v>
      </c>
      <c r="OU41" s="6">
        <f>COUNTIFS(Table119131[Country],Tabela1[[#This Row],[Country]],Table119131[Men''s Classification],"&gt;0")</f>
        <v>0</v>
      </c>
      <c r="OV41" s="6">
        <f>COUNTIFS(Table119131[Country],Tabela1[[#This Row],[Country]],Table119131[Women''s Classification],"&gt;0")</f>
        <v>0</v>
      </c>
      <c r="OW41" s="6">
        <f>COUNTIFS(Table131[Country],Tabela1[[#This Row],[Country]],Table131[Classification],"&gt;0")</f>
        <v>0</v>
      </c>
      <c r="OX41" s="6">
        <f>COUNTIFS(Table131134[Country],Tabela1[[#This Row],[Country]],Table131134[Classification],"&gt;0")</f>
        <v>0</v>
      </c>
      <c r="OY41" s="6">
        <f>COUNTIFS(Table134[Country],Tabela1[[#This Row],[Country]],Table134[Men''s Classification],"&gt;0")</f>
        <v>0</v>
      </c>
      <c r="OZ41" s="6">
        <f>COUNTIFS(Table134[Country],Tabela1[[#This Row],[Country]],Table134[Women''s Classification],"&gt;0")</f>
        <v>0</v>
      </c>
      <c r="PA41" s="6">
        <f>COUNTIFS(Table135[Country],Tabela1[[#This Row],[Country]],Table135[Mixed Relay Classification],"&gt;0")</f>
        <v>0</v>
      </c>
      <c r="PB41" s="6">
        <f>COUNTIFS(Table136[Country],Tabela1[[#This Row],[Country]],Table136[Individual Classification],"&gt;0")</f>
        <v>0</v>
      </c>
      <c r="PC41" s="6">
        <f>COUNTIFS(Table136[Country],Tabela1[[#This Row],[Country]],Table136[Sprint Classification],"&gt;0")</f>
        <v>0</v>
      </c>
      <c r="PD41" s="6">
        <f>COUNTIFS(Table137[Country],Tabela1[[#This Row],[Country]],Table137[Men''s Team Sprint Large Hill Classification],"&gt;0")</f>
        <v>0</v>
      </c>
      <c r="PE41" s="6">
        <f>COUNTIFS(Table138[Country],Tabela1[[#This Row],[Country]],Table138[500m Classification],"&gt;0")</f>
        <v>0</v>
      </c>
      <c r="PF41" s="6">
        <f>COUNTIFS(Table138141[Country],Tabela1[[#This Row],[Country]],Table138141[500m Classification],"&gt;0")</f>
        <v>0</v>
      </c>
      <c r="PG41" s="6">
        <f>COUNTIFS(Table138[Country],Tabela1[[#This Row],[Country]],Table138[1000m Classification],"&gt;0")</f>
        <v>0</v>
      </c>
      <c r="PH41" s="6">
        <f>COUNTIFS(Table138141[Country],Tabela1[[#This Row],[Country]],Table138141[1000m Classification],"&gt;0")</f>
        <v>0</v>
      </c>
      <c r="PI41" s="6">
        <f>COUNTIFS(Table138[Country],Tabela1[[#This Row],[Country]],Table138[1500m Classification],"&gt;0")</f>
        <v>0</v>
      </c>
      <c r="PJ41" s="6">
        <f>COUNTIFS(Table138141[Country],Tabela1[[#This Row],[Country]],Table138141[1500m Classification],"&gt;0")</f>
        <v>0</v>
      </c>
      <c r="PK41" s="6">
        <f>COUNTIFS(Table141[Country],Tabela1[[#This Row],[Country]],Table141[Men''s 5000m Relay Classification],"&gt;0")</f>
        <v>0</v>
      </c>
      <c r="PL41" s="6">
        <f>COUNTIFS(Table141[Country],Tabela1[[#This Row],[Country]],Table141[Women''s 3000m Relay Classification],"&gt;0")</f>
        <v>0</v>
      </c>
      <c r="PM41" s="6">
        <f>COUNTIFS(Table141[Country],Tabela1[[#This Row],[Country]],Table141[Mixed 2000m Relay Classification],"&gt;0")</f>
        <v>0</v>
      </c>
      <c r="PN41" s="6">
        <f>COUNTIFS(Table142[Country],Tabela1[[#This Row],[Country]],Table142[Classification],"&gt;0")</f>
        <v>0</v>
      </c>
      <c r="PO41" s="6">
        <f>COUNTIFS(Table142145[Country],Tabela1[[#This Row],[Country]],Table142145[Classification],"&gt;0")</f>
        <v>0</v>
      </c>
      <c r="PP41" s="6">
        <f>COUNTIFS(Tabela15[Country],Tabela1[[#This Row],[Country]],Tabela15[Mixed Team Classification],"&gt;0")</f>
        <v>0</v>
      </c>
      <c r="PQ41" s="6">
        <f>COUNTIFS(Table145[Country],Tabela1[[#This Row],[Country]],Table145[Large Hill Classification],"&gt;0")</f>
        <v>0</v>
      </c>
      <c r="PR41" s="6">
        <f>COUNTIFS(Table145[Country],Tabela1[[#This Row],[Country]],Table145[Normal Hill Classification],"&gt;0")</f>
        <v>0</v>
      </c>
      <c r="PS41" s="6">
        <f>COUNTIFS(Table145148[Country],Tabela1[[#This Row],[Country]],Table145148[Large Hill Classification],"&gt;0")</f>
        <v>0</v>
      </c>
      <c r="PT41" s="6">
        <f>COUNTIFS(Table145148[Country],Tabela1[[#This Row],[Country]],Table145148[Normal Hill Classification],"&gt;0")</f>
        <v>0</v>
      </c>
      <c r="PU41" s="6">
        <f>COUNTIFS(Table148[Country],Tabela1[[#This Row],[Country]],Table148[Men''s Super Team Classification],"&gt;0")</f>
        <v>0</v>
      </c>
      <c r="PV41" s="6">
        <f>COUNTIFS(Tabela114[Country],Tabela1[[#This Row],[Country]],Tabela114[Mixed Normal Hill Classification],"&gt;0")</f>
        <v>0</v>
      </c>
      <c r="PW41" s="6">
        <f>COUNTIFS(Tabela50[Country],Tabela1[[#This Row],[Country]],Tabela50[Sprint Classification],"&gt;0")</f>
        <v>0</v>
      </c>
      <c r="PX41" s="6">
        <f>COUNTIFS(Tabela50101[Country],Tabela1[[#This Row],[Country]],Tabela50101[Sprint Classification],"&gt;0")</f>
        <v>0</v>
      </c>
      <c r="PY41" s="6">
        <f>COUNTIFS(Tabela103[Country],Tabela1[[#This Row],[Country]],Tabela103[Mixed Relay Classification],"&gt;0")</f>
        <v>0</v>
      </c>
      <c r="PZ41" s="6">
        <f>COUNTIFS(Table149[Country],Tabela1[[#This Row],[Country]],Table149[Big Air Classification],"&gt;0")</f>
        <v>0</v>
      </c>
      <c r="QA41" s="6">
        <f>COUNTIFS(Table149152[Country],Tabela1[[#This Row],[Country]],Table149152[Big Air Classification],"&gt;0")</f>
        <v>0</v>
      </c>
      <c r="QB41" s="6">
        <f>COUNTIFS(Table149[Country],Tabela1[[#This Row],[Country]],Table149[Halfpipe Classification],"&gt;0")</f>
        <v>0</v>
      </c>
      <c r="QC41" s="6">
        <f>COUNTIFS(Table149152[Country],Tabela1[[#This Row],[Country]],Table149152[Halfpipe Classification],"&gt;0")</f>
        <v>0</v>
      </c>
      <c r="QD41" s="6">
        <f>COUNTIFS(Table149[Country],Tabela1[[#This Row],[Country]],Table149[Parallel Giant Slalom Classification],"&gt;0")</f>
        <v>0</v>
      </c>
      <c r="QE41" s="6">
        <f>COUNTIFS(Table149152[Country],Tabela1[[#This Row],[Country]],Table149152[Parallel Giant Slalom Classification],"&gt;0")</f>
        <v>0</v>
      </c>
      <c r="QF41" s="6">
        <f>COUNTIFS(Table149[Country],Tabela1[[#This Row],[Country]],Table149[Slopestyle Classification],"&gt;0")</f>
        <v>0</v>
      </c>
      <c r="QG41" s="6">
        <f>COUNTIFS(Table149152[Country],Tabela1[[#This Row],[Country]],Table149152[Slopestyle Classification],"&gt;0")</f>
        <v>0</v>
      </c>
      <c r="QH41" s="6">
        <f>COUNTIFS(Table149[Country],Tabela1[[#This Row],[Country]],Table149[Snowboard Cross Classification],"&gt;0")</f>
        <v>0</v>
      </c>
      <c r="QI41" s="6">
        <f>COUNTIFS(Table149152[Country],Tabela1[[#This Row],[Country]],Table149152[Snowboard Cross Classification],"&gt;0")</f>
        <v>0</v>
      </c>
      <c r="QJ41" s="6">
        <f>COUNTIFS(Table153[Country],Tabela1[[#This Row],[Country]],Table153[Mixed Team Snowboard Cross Classification],"&gt;0")</f>
        <v>0</v>
      </c>
      <c r="QK41" s="6">
        <f>COUNTIFS(Table154[Country],Tabela1[[#This Row],[Country]],Table154[500m Classification],"&gt;0")</f>
        <v>0</v>
      </c>
      <c r="QL41" s="6">
        <f>COUNTIFS(Table154157[Country],Tabela1[[#This Row],[Country]],Table154157[500m Classification],"&gt;0")</f>
        <v>0</v>
      </c>
      <c r="QM41" s="6">
        <f>COUNTIFS(Table154[Country],Tabela1[[#This Row],[Country]],Table154[1000m Classification],"&gt;0")</f>
        <v>0</v>
      </c>
      <c r="QN41" s="6">
        <f>COUNTIFS(Table154157[Country],Tabela1[[#This Row],[Country]],Table154157[1000m Classification],"&gt;0")</f>
        <v>0</v>
      </c>
      <c r="QO41" s="6">
        <f>COUNTIFS(Table154[Country],Tabela1[[#This Row],[Country]],Table154[1500m Classification],"&gt;0")</f>
        <v>0</v>
      </c>
      <c r="QP41" s="6">
        <f>COUNTIFS(Table154157[Country],Tabela1[[#This Row],[Country]],Table154157[1500m Classification],"&gt;0")</f>
        <v>0</v>
      </c>
      <c r="QQ41" s="6">
        <f>COUNTIFS(Table154157[Country],Tabela1[[#This Row],[Country]],Table154157[3000m Classification],"&gt;0")</f>
        <v>0</v>
      </c>
      <c r="QR41" s="6">
        <f>COUNTIFS(Table154[Country],Tabela1[[#This Row],[Country]],Table154[5000m Classification],"&gt;0")</f>
        <v>0</v>
      </c>
      <c r="QS41" s="6">
        <f>COUNTIFS(Table154157[Country],Tabela1[[#This Row],[Country]],Table154157[5000m Classification],"&gt;0")</f>
        <v>0</v>
      </c>
      <c r="QT41" s="6">
        <f>COUNTIFS(Table154[Country],Tabela1[[#This Row],[Country]],Table154[10000m Classification],"&gt;0")</f>
        <v>0</v>
      </c>
      <c r="QU41" s="6">
        <f>COUNTIFS(Table154[Country],Tabela1[[#This Row],[Country]],Table154[Mass Start Classification],"&gt;0")</f>
        <v>0</v>
      </c>
      <c r="QV41" s="6">
        <f>COUNTIFS(Table154157[Country],Tabela1[[#This Row],[Country]],Table154157[Mass Start Classification],"&gt;0")</f>
        <v>0</v>
      </c>
      <c r="QW41" s="6">
        <f>COUNTIFS(Table157[Country],Tabela1[[#This Row],[Country]],Table157[Men''s Pursuit Classification],"&gt;0")</f>
        <v>0</v>
      </c>
      <c r="QX41" s="6">
        <f>COUNTIFS(Table157[Country],Tabela1[[#This Row],[Country]],Table157[Women''s Pursuit Classification],"&gt;0")</f>
        <v>0</v>
      </c>
      <c r="QY41" s="4" t="s">
        <v>369</v>
      </c>
    </row>
    <row r="42" spans="1:467" x14ac:dyDescent="0.3">
      <c r="A42" s="6">
        <v>41</v>
      </c>
      <c r="B42" s="6" t="s">
        <v>352</v>
      </c>
      <c r="C42" t="e" vm="41">
        <f>IF(ISBLANK(Tabela1[[#This Row],[Image Link]]), "", _xlfn.IMAGE(Tabela1[[#This Row],[Image Link]],1,1))</f>
        <v>#VALUE!</v>
      </c>
      <c r="D42" s="6">
        <f>SUM(Tabela1[[#This Row],[Archery - Men''s Individual Recurve]:[Speed Skating - Women''s Team Pursuit]])</f>
        <v>25</v>
      </c>
      <c r="E42" s="6">
        <f>COUNTIF(Tabela1[[#This Row],[Archery - Men''s Individual Recurve]:[Speed Skating - Women''s Team Pursuit]],"&gt;0")</f>
        <v>23</v>
      </c>
      <c r="F42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42" s="6">
        <f>SUM(Tabela1[[#This Row],[Archery - Men''s Individual Recurve]:[Wrestling - Women''s Freestyle 76kg]])</f>
        <v>23</v>
      </c>
      <c r="H42" s="6">
        <f>SUM(Tabela1[[#This Row],[Alpine Skiing - Men''s Downhill]:[Speed Skating - Women''s Team Pursuit]])</f>
        <v>2</v>
      </c>
      <c r="I42" s="6">
        <f>Tabela1[[#This Row],[Summer Gold Medals]]+Tabela1[[#This Row],[Winter Gold Medals]]</f>
        <v>0</v>
      </c>
      <c r="J42" s="6">
        <f>Tabela1[[#This Row],[Summer Silver Medals]]+Tabela1[[#This Row],[Winter Silver Medals]]</f>
        <v>0</v>
      </c>
      <c r="K42" s="6">
        <f>Tabela1[[#This Row],[Summer Bronze Medals]]+Tabela1[[#This Row],[Winter Bronze Medals]]</f>
        <v>0</v>
      </c>
      <c r="L42" s="6">
        <f>SUM(Tabela1[[#This Row],[Total Gold Medals]:[Total Bronze Medals]])</f>
        <v>0</v>
      </c>
      <c r="M42" s="6"/>
      <c r="N42" s="6"/>
      <c r="O42" s="6"/>
      <c r="P42" s="6">
        <f>SUM(Tabela1[[#This Row],[Summer Gold Medals]:[Summer Bronze Medals]])</f>
        <v>0</v>
      </c>
      <c r="Q42" s="6"/>
      <c r="R42" s="6"/>
      <c r="S42" s="6"/>
      <c r="T42" s="6">
        <f>Tabela1[[#This Row],[Winter Gold Medals]]+Tabela1[[#This Row],[Winter Silver Medals]]+Tabela1[[#This Row],[Winter Bronze Medals]]</f>
        <v>0</v>
      </c>
      <c r="U42" s="7">
        <f>Tabela1[[#This Row],[Total Medals]]/Tabela1[[#This Row],[Total Quotas]]</f>
        <v>0</v>
      </c>
      <c r="V42" s="6">
        <f>COUNTIFS(Table3[Country],Tabela1[[#This Row],[Country]],Table3[Recurve Classification],"&gt;0")</f>
        <v>0</v>
      </c>
      <c r="W42" s="6">
        <f>COUNTIFS(Table33[Country],Tabela1[[#This Row],[Country]],Table33[Recurve Classification],"&gt;0")</f>
        <v>0</v>
      </c>
      <c r="X42" s="6">
        <f>COUNTIFS(Table35[Country],Tabela1[[#This Row],[Country]],Table35[Men''s Team Recurve Classification],"&gt;0")</f>
        <v>0</v>
      </c>
      <c r="Y42" s="6">
        <f>COUNTIFS(Table35[Country],Tabela1[[#This Row],[Country]],Table35[Women''s Team Recurve Classification],"&gt;0")</f>
        <v>0</v>
      </c>
      <c r="Z42" s="6">
        <f>COUNTIFS(Tabela88[Country],Tabela1[[#This Row],[Country]],Tabela88[Mixed Team Recurve Classification],"&gt;0")</f>
        <v>0</v>
      </c>
      <c r="AA42" s="6">
        <f>COUNTIFS(Table36[Country],Tabela1[[#This Row],[Country]],Table36[Classification],"&gt;0")</f>
        <v>0</v>
      </c>
      <c r="AB42" s="6">
        <f>COUNTIFS(Table37[Country],Tabela1[[#This Row],[Country]],Table37[Classification],"&gt;0")</f>
        <v>0</v>
      </c>
      <c r="AC42" s="6">
        <f>COUNTIFS(Table4[Country],Tabela1[[#This Row],[Country]],Table4[100m Classification],"&gt;0")</f>
        <v>0</v>
      </c>
      <c r="AD42" s="6">
        <f>COUNTIFS(Table5[Country],Tabela1[[#This Row],[Country]],Table5[100m Classification],"&gt;0")</f>
        <v>0</v>
      </c>
      <c r="AE42" s="6">
        <f>COUNTIFS(Table4[Country],Tabela1[[#This Row],[Country]],Table4[200m Classification],"&gt;0")</f>
        <v>0</v>
      </c>
      <c r="AF42" s="6">
        <f>COUNTIFS(Table5[Country],Tabela1[[#This Row],[Country]],Table5[200m Classification],"&gt;0")</f>
        <v>0</v>
      </c>
      <c r="AG42" s="6">
        <f>COUNTIFS(Table4[Country],Tabela1[[#This Row],[Country]],Table4[400m Classification],"&gt;0")</f>
        <v>0</v>
      </c>
      <c r="AH42" s="6">
        <f>COUNTIFS(Table5[Country],Tabela1[[#This Row],[Country]],Table5[400m Classification],"&gt;0")</f>
        <v>0</v>
      </c>
      <c r="AI42" s="6">
        <f>COUNTIFS(Table4[Country],Tabela1[[#This Row],[Country]],Table4[800m Classification],"&gt;0")</f>
        <v>1</v>
      </c>
      <c r="AJ42" s="6">
        <f>COUNTIFS(Table5[Country],Tabela1[[#This Row],[Country]],Table5[800m Classification],"&gt;0")</f>
        <v>0</v>
      </c>
      <c r="AK42" s="6">
        <f>COUNTIFS(Table4[Country],Tabela1[[#This Row],[Country]],Table4[1500m Classification],"&gt;0")</f>
        <v>0</v>
      </c>
      <c r="AL42" s="6">
        <f>COUNTIFS(Table5[Country],Tabela1[[#This Row],[Country]],Table5[1500m Classification],"&gt;0")</f>
        <v>1</v>
      </c>
      <c r="AM42" s="6">
        <f>COUNTIFS(Table4[Country],Tabela1[[#This Row],[Country]],Table4[5000m Classification],"&gt;0")</f>
        <v>0</v>
      </c>
      <c r="AN42" s="6">
        <f>COUNTIFS(Table5[Country],Tabela1[[#This Row],[Country]],Table5[5000m Classification],"&gt;0")</f>
        <v>1</v>
      </c>
      <c r="AO42" s="6">
        <f>COUNTIFS(Table4[Country],Tabela1[[#This Row],[Country]],Table4[10000m Classification],"&gt;0")</f>
        <v>0</v>
      </c>
      <c r="AP42" s="6">
        <f>COUNTIFS(Table5[Country],Tabela1[[#This Row],[Country]],Table5[10000m Classification],"&gt;0")</f>
        <v>0</v>
      </c>
      <c r="AQ42" s="6">
        <f>COUNTIFS(Table4[Country],Tabela1[[#This Row],[Country]],Table4[110m Hurdles Classification],"&gt;0")</f>
        <v>0</v>
      </c>
      <c r="AR42" s="6">
        <f>COUNTIFS(Table5[Country],Tabela1[[#This Row],[Country]],Table5[100m Hurdles Classification],"&gt;0")</f>
        <v>1</v>
      </c>
      <c r="AS42" s="6">
        <f>COUNTIFS(Table4[Country],Tabela1[[#This Row],[Country]],Table4[400m Hurdles Classification],"&gt;0")</f>
        <v>0</v>
      </c>
      <c r="AT42" s="6">
        <f>COUNTIFS(Table5[Country],Tabela1[[#This Row],[Country]],Table5[400m Hurdles Classification],"&gt;0")</f>
        <v>0</v>
      </c>
      <c r="AU42" s="6">
        <f>COUNTIFS(Table4[Country],Tabela1[[#This Row],[Country]],Table4[3000m Steeplechase Classification],"&gt;0")</f>
        <v>0</v>
      </c>
      <c r="AV42" s="6">
        <f>COUNTIFS(Table5[Country],Tabela1[[#This Row],[Country]],Table5[3000m Steeplechase Classification],"&gt;0")</f>
        <v>0</v>
      </c>
      <c r="AW42" s="6">
        <f>COUNTIFS(Table27[Country],Tabela1[[#This Row],[Country]],Table27[Men''s 4x100m Relay Classification],"&gt;0")</f>
        <v>0</v>
      </c>
      <c r="AX42" s="6">
        <f>COUNTIFS(Table27[Country],Tabela1[[#This Row],[Country]],Table27[Women''s 4x100m Relay Classification],"&gt;0")</f>
        <v>0</v>
      </c>
      <c r="AY42" s="6">
        <f>COUNTIFS(Table27[Country],Tabela1[[#This Row],[Country]],Table27[Men''s 4x400m Relay Classification],"&gt;0")</f>
        <v>0</v>
      </c>
      <c r="AZ42" s="6">
        <f>COUNTIFS(Table27[Country],Tabela1[[#This Row],[Country]],Table27[Women''s 4x400m Relay Classification],"&gt;0")</f>
        <v>0</v>
      </c>
      <c r="BA42" s="6">
        <f>COUNTIFS(Table27[Country],Tabela1[[#This Row],[Country]],Table27[Mixed 4x400m Relay Classification],"&gt;0")</f>
        <v>0</v>
      </c>
      <c r="BB42" s="6">
        <f>COUNTIFS(Table4[Country],Tabela1[[#This Row],[Country]],Table4[Marathon Classification],"&gt;0")</f>
        <v>0</v>
      </c>
      <c r="BC42" s="6">
        <f>COUNTIFS(Table5[Country],Tabela1[[#This Row],[Country]],Table5[Marathon Classification],"&gt;0")</f>
        <v>0</v>
      </c>
      <c r="BD42" s="6">
        <f>COUNTIFS(Table4[Country],Tabela1[[#This Row],[Country]],Table4[20km Race Walk Classification],"&gt;0")</f>
        <v>0</v>
      </c>
      <c r="BE42" s="6">
        <f>COUNTIFS(Table5[Country],Tabela1[[#This Row],[Country]],Table5[20km Race Walk Classification],"&gt;0")</f>
        <v>0</v>
      </c>
      <c r="BF42" s="6">
        <f>COUNTIFS(Tabela96[Country],Tabela1[[#This Row],[Country]],Tabela96[Mixed Marathon Race Walk Relay Classification],"&gt;0")</f>
        <v>0</v>
      </c>
      <c r="BG42" s="6">
        <f>COUNTIFS(Table4[Country],Tabela1[[#This Row],[Country]],Table4[Discus Throw Classification],"&gt;0")</f>
        <v>0</v>
      </c>
      <c r="BH42" s="6">
        <f>COUNTIFS(Table5[Country],Tabela1[[#This Row],[Country]],Table5[Discus Throw Classification],"&gt;0")</f>
        <v>0</v>
      </c>
      <c r="BI42" s="6">
        <f>COUNTIFS(Table4[Country],Tabela1[[#This Row],[Country]],Table4[Hammer Throw Classification],"&gt;0")</f>
        <v>0</v>
      </c>
      <c r="BJ42" s="6">
        <f>COUNTIFS(Table5[Country],Tabela1[[#This Row],[Country]],Table5[Hammer Throw Classification],"&gt;0")</f>
        <v>0</v>
      </c>
      <c r="BK42" s="6">
        <f>COUNTIFS(Table4[Country],Tabela1[[#This Row],[Country]],Table4[High Jump Classification],"&gt;0")</f>
        <v>0</v>
      </c>
      <c r="BL42" s="6">
        <f>COUNTIFS(Table5[Country],Tabela1[[#This Row],[Country]],Table5[High Jump Classification],"&gt;0")</f>
        <v>0</v>
      </c>
      <c r="BM42" s="6">
        <f>COUNTIFS(Table4[Country],Tabela1[[#This Row],[Country]],Table4[Javelin Throw Classification],"&gt;0")</f>
        <v>0</v>
      </c>
      <c r="BN42" s="6">
        <f>COUNTIFS(Table5[Country],Tabela1[[#This Row],[Country]],Table5[Javelin Throw Classification],"&gt;0")</f>
        <v>0</v>
      </c>
      <c r="BO42" s="6">
        <f>COUNTIFS(Table4[Country],Tabela1[[#This Row],[Country]],Table4[Long Jump Classification],"&gt;0")</f>
        <v>0</v>
      </c>
      <c r="BP42" s="6">
        <f>COUNTIFS(Table5[Country],Tabela1[[#This Row],[Country]],Table5[Long Jump Classification],"&gt;0")</f>
        <v>0</v>
      </c>
      <c r="BQ42" s="6">
        <f>COUNTIFS(Table4[Country],Tabela1[[#This Row],[Country]],Table4[Pole Vault Classification],"&gt;0")</f>
        <v>0</v>
      </c>
      <c r="BR42" s="6">
        <f>COUNTIFS(Table5[Country],Tabela1[[#This Row],[Country]],Table5[Pole Vault Classification],"&gt;0")</f>
        <v>1</v>
      </c>
      <c r="BS42" s="6">
        <f>COUNTIFS(Table4[Country],Tabela1[[#This Row],[Country]],Table4[Shot Put Classification],"&gt;0")</f>
        <v>0</v>
      </c>
      <c r="BT42" s="6">
        <f>COUNTIFS(Table5[Country],Tabela1[[#This Row],[Country]],Table5[Shot Put Classification],"&gt;0")</f>
        <v>0</v>
      </c>
      <c r="BU42" s="6">
        <f>COUNTIFS(Table4[Country],Tabela1[[#This Row],[Country]],Table4[Triple Jump Classification],"&gt;0")</f>
        <v>1</v>
      </c>
      <c r="BV42" s="6">
        <f>COUNTIFS(Table5[Country],Tabela1[[#This Row],[Country]],Table5[Triple Jump Classification],"&gt;0")</f>
        <v>0</v>
      </c>
      <c r="BW42" s="6">
        <f>COUNTIFS(Table4[Country],Tabela1[[#This Row],[Country]],Table4[Decathlon Classification],"&gt;0")</f>
        <v>0</v>
      </c>
      <c r="BX42" s="6">
        <f>COUNTIFS(Table5[Country],Tabela1[[#This Row],[Country]],Table5[Heptathlon Classification],"&gt;0")</f>
        <v>0</v>
      </c>
      <c r="BY42" s="6">
        <f>COUNTIFS(Table61[Country],Tabela1[[#This Row],[Country]],Table61[Classification],"&gt;0")</f>
        <v>0</v>
      </c>
      <c r="BZ42" s="6">
        <f>COUNTIFS(Table38[Country],Tabela1[[#This Row],[Country]],Table38[Classification],"&gt;0")</f>
        <v>0</v>
      </c>
      <c r="CA42" s="6">
        <f>COUNTIFS(Table39[Country],Tabela1[[#This Row],[Country]],Table39[Men''s Classification],"&gt;0")</f>
        <v>0</v>
      </c>
      <c r="CB42" s="6">
        <f>COUNTIFS(Table39[Country],Tabela1[[#This Row],[Country]],Table39[Women''s Classification],"&gt;0")</f>
        <v>0</v>
      </c>
      <c r="CC42" s="6">
        <f>COUNTIFS(Table39[Country],Tabela1[[#This Row],[Country]],Table39[Mixed Classification],"&gt;0")</f>
        <v>0</v>
      </c>
      <c r="CD42" s="6">
        <f>COUNTIFS(Table89[Country],Tabela1[[#This Row],[Country]],Table89[Men''s Classification],"&gt;0")</f>
        <v>0</v>
      </c>
      <c r="CE42" s="6">
        <f>COUNTIFS(Table89[Country],Tabela1[[#This Row],[Country]],Table89[Women''s Classification],"&gt;0")</f>
        <v>0</v>
      </c>
      <c r="CF42" s="6">
        <f>COUNTIFS(Table90[Country],Tabela1[[#This Row],[Country]],Table90[Men''s Classification],"&gt;0")</f>
        <v>0</v>
      </c>
      <c r="CG42" s="6">
        <f>COUNTIFS(Table90[Country],Tabela1[[#This Row],[Country]],Table90[Women''s Classification],"&gt;0")</f>
        <v>0</v>
      </c>
      <c r="CH42" s="6">
        <f>COUNTIFS(Table60[Country],Tabela1[[#This Row],[Country]],Table60[Men''s Classification],"&gt;0")</f>
        <v>0</v>
      </c>
      <c r="CI42" s="6">
        <f>COUNTIFS(Table60[Country],Tabela1[[#This Row],[Country]],Table60[Women''s Classification],"&gt;0")</f>
        <v>0</v>
      </c>
      <c r="CJ42" s="6">
        <f>COUNTIFS(Table6[Country],Tabela1[[#This Row],[Country]],Table6[51kg Classification],"&gt;0")</f>
        <v>0</v>
      </c>
      <c r="CK42" s="6">
        <f>COUNTIFS(Table6[Country],Tabela1[[#This Row],[Country]],Table6[57kg Classification],"&gt;0")</f>
        <v>0</v>
      </c>
      <c r="CL42" s="6">
        <f>COUNTIFS(Table6[Country],Tabela1[[#This Row],[Country]],Table6[63.5kg Classification],"&gt;0")</f>
        <v>0</v>
      </c>
      <c r="CM42" s="6">
        <f>COUNTIFS(Table6[Country],Tabela1[[#This Row],[Country]],Table6[71kg Classification],"&gt;0")</f>
        <v>0</v>
      </c>
      <c r="CN42" s="6">
        <f>COUNTIFS(Table6[Country],Tabela1[[#This Row],[Country]],Table6[80kg Classification],"&gt;0")</f>
        <v>0</v>
      </c>
      <c r="CO42" s="6">
        <f>COUNTIFS(Table6[Country],Tabela1[[#This Row],[Country]],Table6[92kg Classification],"&gt;0")</f>
        <v>0</v>
      </c>
      <c r="CP42" s="6">
        <f>COUNTIFS(Table6[Country],Tabela1[[#This Row],[Country]],Table6[Plus 92kg Classification],"&gt;0")</f>
        <v>0</v>
      </c>
      <c r="CQ42" s="6">
        <f>COUNTIFS(Table7[Country],Tabela1[[#This Row],[Country]],Table7[50kg Classification],"&gt;0")</f>
        <v>0</v>
      </c>
      <c r="CR42" s="6">
        <f>COUNTIFS(Table7[Country],Tabela1[[#This Row],[Country]],Table7[54kg Classification],"&gt;0")</f>
        <v>0</v>
      </c>
      <c r="CS42" s="6">
        <f>COUNTIFS(Table7[Country],Tabela1[[#This Row],[Country]],Table7[57kg Classification],"&gt;0")</f>
        <v>1</v>
      </c>
      <c r="CT42" s="6">
        <f>COUNTIFS(Table7[Country],Tabela1[[#This Row],[Country]],Table7[60kg Classification],"&gt;0")</f>
        <v>0</v>
      </c>
      <c r="CU42" s="6">
        <f>COUNTIFS(Table7[Country],Tabela1[[#This Row],[Country]],Table7[66kg Classification],"&gt;0")</f>
        <v>0</v>
      </c>
      <c r="CV42" s="6">
        <f>COUNTIFS(Table7[Country],Tabela1[[#This Row],[Country]],Table7[75kg Classification],"&gt;0")</f>
        <v>0</v>
      </c>
      <c r="CW42" s="6">
        <f>COUNTIFS(Tabela94[Country],Tabela1[[#This Row],[Country]],Tabela94[Classification],"&gt;0")</f>
        <v>0</v>
      </c>
      <c r="CX42" s="6">
        <f>COUNTIFS(Tabela9499[Country],Tabela1[[#This Row],[Country]],Tabela9499[Classification],"&gt;0")</f>
        <v>0</v>
      </c>
      <c r="CY42" s="6">
        <f>COUNTIFS(Tabela107[Country],Tabela1[[#This Row],[Country]],Tabela107[C1 Slalom Classification],"&gt;0")</f>
        <v>0</v>
      </c>
      <c r="CZ42" s="6">
        <f>COUNTIFS(Tabela107122[Country],Tabela1[[#This Row],[Country]],Tabela107122[C1 Slalom Classification],"&gt;0")</f>
        <v>0</v>
      </c>
      <c r="DA42" s="6">
        <f>COUNTIFS(Tabela107[Country],Tabela1[[#This Row],[Country]],Tabela107[K1 Slalom Classification],"&gt;0")</f>
        <v>0</v>
      </c>
      <c r="DB42" s="6">
        <f>COUNTIFS(Tabela107122[Country],Tabela1[[#This Row],[Country]],Tabela107122[K1 Slalom Classification],"&gt;0")</f>
        <v>0</v>
      </c>
      <c r="DC42" s="6">
        <f>COUNTIFS(Tabela107[Country],Tabela1[[#This Row],[Country]],Tabela107[Kayak Cross Slalom Classification],"&gt;0")</f>
        <v>0</v>
      </c>
      <c r="DD42" s="6">
        <f>COUNTIFS(Tabela107122[Country],Tabela1[[#This Row],[Country]],Tabela107122[Kayak Cross Slalom Classification],"&gt;0")</f>
        <v>0</v>
      </c>
      <c r="DE42" s="6">
        <f>COUNTIFS(Table8[Country],Tabela1[[#This Row],[Country]],Table8[C1 200m Classification],"&gt;0")</f>
        <v>0</v>
      </c>
      <c r="DF42" s="6">
        <f>COUNTIFS(Table40[Country],Tabela1[[#This Row],[Country]],Table40[C1 1000m Classification],"&gt;0")</f>
        <v>0</v>
      </c>
      <c r="DG42" s="6">
        <f>COUNTIFS(Table68[Country],Tabela1[[#This Row],[Country]],Table68[Men''s C2 500m Classification],"&gt;0")</f>
        <v>0</v>
      </c>
      <c r="DH42" s="6">
        <f>COUNTIFS(Table68[Country],Tabela1[[#This Row],[Country]],Table68[Women''s C2 500m Classification],"&gt;0")</f>
        <v>0</v>
      </c>
      <c r="DI42" s="6">
        <f>COUNTIFS(Table8[Country],Tabela1[[#This Row],[Country]],Table8[K1 500m Classification],"&gt;0")</f>
        <v>0</v>
      </c>
      <c r="DJ42" s="6">
        <f>COUNTIFS(Table40[Country],Tabela1[[#This Row],[Country]],Table40[K1 1000m Classification],"&gt;0")</f>
        <v>0</v>
      </c>
      <c r="DK42" s="6">
        <f>COUNTIFS(Table68[Country],Tabela1[[#This Row],[Country]],Table68[Men''s K2 500m Classification],"&gt;0")</f>
        <v>0</v>
      </c>
      <c r="DL42" s="6">
        <f>COUNTIFS(Table68[Country],Tabela1[[#This Row],[Country]],Table68[Women''s K2 500m Classification],"&gt;0")</f>
        <v>0</v>
      </c>
      <c r="DM42" s="6">
        <f>COUNTIFS(Table83[Country],Tabela1[[#This Row],[Country]],Table83[Men''s K4 500m Classification],"&gt;0")</f>
        <v>0</v>
      </c>
      <c r="DN42" s="6">
        <f>COUNTIFS(Table83[Country],Tabela1[[#This Row],[Country]],Table83[Women''s K4 500m Classification],"&gt;0")</f>
        <v>0</v>
      </c>
      <c r="DO42" s="6">
        <f>COUNTIFS(Tabela126[Country],Tabela1[[#This Row],[Country]],Tabela126[Classification],"&gt;0")</f>
        <v>0</v>
      </c>
      <c r="DP42" s="6">
        <f>COUNTIFS(Tabela126130[Country],Tabela1[[#This Row],[Country]],Tabela126130[Classification],"&gt;0")</f>
        <v>0</v>
      </c>
      <c r="DQ42" s="6">
        <f>COUNTIFS(Table70[Country],Tabela1[[#This Row],[Country]],Table70[Classification],"&gt;0")</f>
        <v>0</v>
      </c>
      <c r="DR42" s="6">
        <f>COUNTIFS(Table80[Country],Tabela1[[#This Row],[Country]],Table80[Classification],"&gt;0")</f>
        <v>0</v>
      </c>
      <c r="DS42" s="6">
        <f>COUNTIFS(Table66[Country],Tabela1[[#This Row],[Country]],Table66[Classification],"&gt;0")</f>
        <v>0</v>
      </c>
      <c r="DT42" s="6">
        <f>COUNTIFS(Table67[Country],Tabela1[[#This Row],[Country]],Table67[Classification],"&gt;0")</f>
        <v>0</v>
      </c>
      <c r="DU42" s="6">
        <f>COUNTIFS(Table69[Country],Tabela1[[#This Row],[Country]],Table69[Keirin Classification],"&gt;0")</f>
        <v>0</v>
      </c>
      <c r="DV42" s="6">
        <f>COUNTIFS(Table41[Country],Tabela1[[#This Row],[Country]],Table41[Keirin Classification],"&gt;0")</f>
        <v>0</v>
      </c>
      <c r="DW42" s="6">
        <f>COUNTIFS(Table84[Country],Tabela1[[#This Row],[Country]],Table84[Men''s Madison Classification],"&gt;0")</f>
        <v>0</v>
      </c>
      <c r="DX42" s="6">
        <f>COUNTIFS(Table84[Country],Tabela1[[#This Row],[Country]],Table84[Women''s Madison Classification],"&gt;0")</f>
        <v>0</v>
      </c>
      <c r="DY42" s="6">
        <f>COUNTIFS(Table69[Country],Tabela1[[#This Row],[Country]],Table69[Omnium Classification],"&gt;0")</f>
        <v>0</v>
      </c>
      <c r="DZ42" s="6">
        <f>COUNTIFS(Table41[Country],Tabela1[[#This Row],[Country]],Table41[Omnium Classification],"&gt;0")</f>
        <v>0</v>
      </c>
      <c r="EA42" s="6">
        <f>COUNTIFS(Table9[Country],Tabela1[[#This Row],[Country]],Table9[Road Race Classification],"&gt;0")</f>
        <v>0</v>
      </c>
      <c r="EB42" s="6">
        <f>COUNTIFS(Table14[Country],Tabela1[[#This Row],[Country]],Table14[Road Race Classification],"&gt;0")</f>
        <v>0</v>
      </c>
      <c r="EC42" s="6">
        <f>COUNTIFS(Table69[Country],Tabela1[[#This Row],[Country]],Table69[Sprint Classification],"&gt;0")</f>
        <v>0</v>
      </c>
      <c r="ED42" s="6">
        <f>COUNTIFS(Table41[Country],Tabela1[[#This Row],[Country]],Table41[Sprint Classification],"&gt;0")</f>
        <v>0</v>
      </c>
      <c r="EE42" s="6">
        <f>COUNTIFS(Table85[Country],Tabela1[[#This Row],[Country]],Table85[Men''s Sprint Classification],"&gt;0")</f>
        <v>0</v>
      </c>
      <c r="EF42" s="6">
        <f>COUNTIFS(Table85[Country],Tabela1[[#This Row],[Country]],Table85[Women''s Sprint Classification],"&gt;0")</f>
        <v>0</v>
      </c>
      <c r="EG42" s="6">
        <f>COUNTIFS(Table85[Country],Tabela1[[#This Row],[Country]],Table85[Men''s Pursuit Classification],"&gt;0")</f>
        <v>0</v>
      </c>
      <c r="EH42" s="6">
        <f>COUNTIFS(Table85[Country],Tabela1[[#This Row],[Country]],Table85[Women''s Pursuit Classification],"&gt;0")</f>
        <v>0</v>
      </c>
      <c r="EI42" s="6">
        <f>COUNTIFS(Table9[Country],Tabela1[[#This Row],[Country]],Table9[Time-Trial Classification],"&gt;0")</f>
        <v>0</v>
      </c>
      <c r="EJ42" s="6">
        <f>COUNTIFS(Table14[Country],Tabela1[[#This Row],[Country]],Table14[Time-Trial Classification],"&gt;0")</f>
        <v>0</v>
      </c>
      <c r="EK42" s="6">
        <f>COUNTIFS(Table42[Country],Tabela1[[#This Row],[Country]],Table42[Springboard Classification],"&gt;0")</f>
        <v>0</v>
      </c>
      <c r="EL42" s="6">
        <f>COUNTIFS(Table43[Country],Tabela1[[#This Row],[Country]],Table43[Springboard Classification],"&gt;0")</f>
        <v>0</v>
      </c>
      <c r="EM42" s="6">
        <f>COUNTIFS(Table42[Country],Tabela1[[#This Row],[Country]],Table42[Platform Classification],"&gt;0")</f>
        <v>0</v>
      </c>
      <c r="EN42" s="6">
        <f>COUNTIFS(Table43[Country],Tabela1[[#This Row],[Country]],Table43[Platform Classification],"&gt;0")</f>
        <v>0</v>
      </c>
      <c r="EO42" s="6">
        <f>COUNTIFS(Table86[Country],Tabela1[[#This Row],[Country]],Table86[Men''s Synchronized Springboard Classification],"&gt;0")</f>
        <v>0</v>
      </c>
      <c r="EP42" s="6">
        <f>COUNTIFS(Table86[Country],Tabela1[[#This Row],[Country]],Table86[Women''s Synchronized Springboard Classification],"&gt;0")</f>
        <v>0</v>
      </c>
      <c r="EQ42" s="6">
        <f>COUNTIFS(Table86[Country],Tabela1[[#This Row],[Country]],Table86[Men''s Synchronized Platform Classification],"&gt;0")</f>
        <v>0</v>
      </c>
      <c r="ER42" s="6">
        <f>COUNTIFS(Table86[Country],Tabela1[[#This Row],[Country]],Table86[Women''s Synchronized Platform Classification],"&gt;0")</f>
        <v>0</v>
      </c>
      <c r="ES42" s="6">
        <f>COUNTIFS(Table44[Country],Tabela1[[#This Row],[Country]],Table44[Dressage Classification],"&gt;0")</f>
        <v>1</v>
      </c>
      <c r="ET42" s="6">
        <f>COUNTIFS(Table45[Country],Tabela1[[#This Row],[Country]],Table45[Dressage Classification],"&gt;0")</f>
        <v>0</v>
      </c>
      <c r="EU42" s="6">
        <f>COUNTIFS(Table44[Country],Tabela1[[#This Row],[Country]],Table44[Eventing Classification],"&gt;0")</f>
        <v>0</v>
      </c>
      <c r="EV42" s="6">
        <f>COUNTIFS(Table45[Country],Tabela1[[#This Row],[Country]],Table45[Eventing Classification],"&gt;0")</f>
        <v>0</v>
      </c>
      <c r="EW42" s="6">
        <f>COUNTIFS(Table44[Country],Tabela1[[#This Row],[Country]],Table44[Jumping Classification],"&gt;0")</f>
        <v>1</v>
      </c>
      <c r="EX42" s="6">
        <f>COUNTIFS(Table45[Country],Tabela1[[#This Row],[Country]],Table45[Jumping Classification],"&gt;0")</f>
        <v>0</v>
      </c>
      <c r="EY42" s="6">
        <f>COUNTIFS(Table10[Country],Tabela1[[#This Row],[Country]],Table10[Épée Classification],"&gt;0")</f>
        <v>3</v>
      </c>
      <c r="EZ42" s="6">
        <f>COUNTIFS(Table11[Country],Tabela1[[#This Row],[Country]],Table11[Épée Classification],"&gt;0")</f>
        <v>0</v>
      </c>
      <c r="FA42" s="6">
        <f>COUNTIFS(Table46[Country],Tabela1[[#This Row],[Country]],Table46[Men''s Épée Classification],"&gt;0")</f>
        <v>1</v>
      </c>
      <c r="FB42" s="6">
        <f>COUNTIFS(Table46[Country],Tabela1[[#This Row],[Country]],Table46[Women''s Épée Classification],"&gt;0")</f>
        <v>0</v>
      </c>
      <c r="FC42" s="6">
        <f>COUNTIFS(Table10[Country],Tabela1[[#This Row],[Country]],Table10[Foil Classification],"&gt;0")</f>
        <v>0</v>
      </c>
      <c r="FD42" s="6">
        <f>COUNTIFS(Table11[Country],Tabela1[[#This Row],[Country]],Table11[Foil Classification],"&gt;0")</f>
        <v>0</v>
      </c>
      <c r="FE42" s="6">
        <f>COUNTIFS(Table46[Country],Tabela1[[#This Row],[Country]],Table46[Men''s Foil Classification],"&gt;0")</f>
        <v>0</v>
      </c>
      <c r="FF42" s="6">
        <f>COUNTIFS(Table46[Country],Tabela1[[#This Row],[Country]],Table46[Women''s Foil Classification],"&gt;0")</f>
        <v>0</v>
      </c>
      <c r="FG42" s="6">
        <f>COUNTIFS(Table10[Country],Tabela1[[#This Row],[Country]],Table10[Sabre Classification],"&gt;0")</f>
        <v>0</v>
      </c>
      <c r="FH42" s="6">
        <f>COUNTIFS(Table11[Country],Tabela1[[#This Row],[Country]],Table11[Sabre Classification],"&gt;0")</f>
        <v>1</v>
      </c>
      <c r="FI42" s="6">
        <f>COUNTIFS(Table46[Country],Tabela1[[#This Row],[Country]],Table46[Men''s Sabre Classification],"&gt;0")</f>
        <v>0</v>
      </c>
      <c r="FJ42" s="6">
        <f>COUNTIFS(Table46[Country],Tabela1[[#This Row],[Country]],Table46[Women''s Sabre Classification],"&gt;0")</f>
        <v>0</v>
      </c>
      <c r="FK42" s="6">
        <f>COUNTIFS(Table91[Country],Tabela1[[#This Row],[Country]],Table91[Men''s Classification],"&gt;0")</f>
        <v>0</v>
      </c>
      <c r="FL42" s="6">
        <f>COUNTIFS(Table91[Country],Tabela1[[#This Row],[Country]],Table91[Women''s Classification],"&gt;0")</f>
        <v>0</v>
      </c>
      <c r="FM42" s="6">
        <f>COUNTIFS(Table9194[Country],Tabela1[[#This Row],[Country]],Table9194[Men''s Classification],"&gt;0")</f>
        <v>0</v>
      </c>
      <c r="FN42" s="6">
        <f>COUNTIFS(Table9194[Country],Tabela1[[#This Row],[Country]],Table9194[Women''s Classification],"&gt;0")</f>
        <v>0</v>
      </c>
      <c r="FO42" s="6">
        <f>COUNTIFS(Table71[Country],Tabela1[[#This Row],[Country]],Table71[Classification],"&gt;0")</f>
        <v>0</v>
      </c>
      <c r="FP42" s="6">
        <f>COUNTIFS(Table62[Country],Tabela1[[#This Row],[Country]],Table62[Classification],"&gt;0")</f>
        <v>0</v>
      </c>
      <c r="FQ42" s="6">
        <f>COUNTIFS(Table47[Country],Tabela1[[#This Row],[Country]],Table47[All-Around Classification],"&gt;0")</f>
        <v>0</v>
      </c>
      <c r="FR42" s="6">
        <f>COUNTIFS(Table48[Country],Tabela1[[#This Row],[Country]],Table48[All-Around Classification],"&gt;0")</f>
        <v>0</v>
      </c>
      <c r="FS42" s="6">
        <f>COUNTIFS(Table81[Country],Tabela1[[#This Row],[Country]],Table81[Men''s All-Around Classification],"&gt;0")</f>
        <v>0</v>
      </c>
      <c r="FT42" s="6">
        <f>COUNTIFS(Table81[Country],Tabela1[[#This Row],[Country]],Table81[Women''s All-Around Classification],"&gt;0")</f>
        <v>0</v>
      </c>
      <c r="FU42" s="6">
        <f>COUNTIFS(Table48[Country],Tabela1[[#This Row],[Country]],Table48[Balance Beam Classification],"&gt;0")</f>
        <v>0</v>
      </c>
      <c r="FV42" s="6">
        <f>COUNTIFS(Table47[Country],Tabela1[[#This Row],[Country]],Table47[Floor Exercise Classification],"&gt;0")</f>
        <v>0</v>
      </c>
      <c r="FW42" s="6">
        <f>COUNTIFS(Table48[Country],Tabela1[[#This Row],[Country]],Table48[Floor Exercise Classification],"&gt;0")</f>
        <v>0</v>
      </c>
      <c r="FX42" s="6">
        <f>COUNTIFS(Table47[Country],Tabela1[[#This Row],[Country]],Table47[Horizontal Bar Classification],"&gt;0")</f>
        <v>0</v>
      </c>
      <c r="FY42" s="6">
        <f>COUNTIFS(Table47[Country],Tabela1[[#This Row],[Country]],Table47[Parallel Bars Classification],"&gt;0")</f>
        <v>0</v>
      </c>
      <c r="FZ42" s="6">
        <f>COUNTIFS(Table47[Country],Tabela1[[#This Row],[Country]],Table47[Pommel Horse Classification],"&gt;0")</f>
        <v>0</v>
      </c>
      <c r="GA42" s="6">
        <f>COUNTIFS(Table47[Country],Tabela1[[#This Row],[Country]],Table47[Rings Classification],"&gt;0")</f>
        <v>0</v>
      </c>
      <c r="GB42" s="6">
        <f>COUNTIFS(Tabela132[Country],Tabela1[[#This Row],[Country]],Tabela132[Classification],"&gt;0")</f>
        <v>0</v>
      </c>
      <c r="GC42" s="6">
        <f>COUNTIFS(Tabela139[Country],Tabela1[[#This Row],[Country]],Tabela139[Classification],"&gt;0")</f>
        <v>0</v>
      </c>
      <c r="GD42" s="6">
        <f>COUNTIFS(Table48[Country],Tabela1[[#This Row],[Country]],Table48[Uneven Bars Classification],"&gt;0")</f>
        <v>0</v>
      </c>
      <c r="GE42" s="6">
        <f>COUNTIFS(Table47[Country],Tabela1[[#This Row],[Country]],Table47[Vault Classification],"&gt;0")</f>
        <v>0</v>
      </c>
      <c r="GF42" s="6">
        <f>COUNTIFS(Table48[Country],Tabela1[[#This Row],[Country]],Table48[Vault Classification],"&gt;0")</f>
        <v>0</v>
      </c>
      <c r="GG42" s="6">
        <f>COUNTIFS(Table919496[Country],Tabela1[[#This Row],[Country]],Table919496[Men''s Classification],"&gt;0")</f>
        <v>0</v>
      </c>
      <c r="GH42" s="6">
        <f>COUNTIFS(Table919496[Country],Tabela1[[#This Row],[Country]],Table919496[Women''s Classification],"&gt;0")</f>
        <v>0</v>
      </c>
      <c r="GI42" s="6">
        <f>COUNTIFS(Table12[Country],Tabela1[[#This Row],[Country]],Table12[60kg Classification],"&gt;0")</f>
        <v>0</v>
      </c>
      <c r="GJ42" s="6">
        <f>COUNTIFS(Table12[Country],Tabela1[[#This Row],[Country]],Table12[66kg Classification],"&gt;0")</f>
        <v>0</v>
      </c>
      <c r="GK42" s="6">
        <f>COUNTIFS(Table12[Country],Tabela1[[#This Row],[Country]],Table12[73kg Classification],"&gt;0")</f>
        <v>0</v>
      </c>
      <c r="GL42" s="6">
        <f>COUNTIFS(Table12[Country],Tabela1[[#This Row],[Country]],Table12[81kg Classification],"&gt;0")</f>
        <v>0</v>
      </c>
      <c r="GM42" s="6">
        <f>COUNTIFS(Table12[Country],Tabela1[[#This Row],[Country]],Table12[90kg Classification],"&gt;0")</f>
        <v>0</v>
      </c>
      <c r="GN42" s="6">
        <f>COUNTIFS(Table12[Country],Tabela1[[#This Row],[Country]],Table12[100kg Classification],"&gt;0")</f>
        <v>0</v>
      </c>
      <c r="GO42" s="6">
        <f>COUNTIFS(Table12[Country],Tabela1[[#This Row],[Country]],Table12[Plus 100kg Classification],"&gt;0")</f>
        <v>0</v>
      </c>
      <c r="GP42" s="6">
        <f>COUNTIFS(Table13[Country],Tabela1[[#This Row],[Country]],Table13[48kg Classification],"&gt;0")</f>
        <v>0</v>
      </c>
      <c r="GQ42" s="6">
        <f>COUNTIFS(Table13[Country],Tabela1[[#This Row],[Country]],Table13[52kg Classification],"&gt;0")</f>
        <v>0</v>
      </c>
      <c r="GR42" s="6">
        <f>COUNTIFS(Table13[Country],Tabela1[[#This Row],[Country]],Table13[57kg Classification],"&gt;0")</f>
        <v>0</v>
      </c>
      <c r="GS42" s="6">
        <f>COUNTIFS(Table13[Country],Tabela1[[#This Row],[Country]],Table13[63kg Classification],"&gt;0")</f>
        <v>1</v>
      </c>
      <c r="GT42" s="6">
        <f>COUNTIFS(Table13[Country],Tabela1[[#This Row],[Country]],Table13[70kg Classification],"&gt;0")</f>
        <v>0</v>
      </c>
      <c r="GU42" s="6">
        <f>COUNTIFS(Table13[Country],Tabela1[[#This Row],[Country]],Table13[78kg Classification],"&gt;0")</f>
        <v>0</v>
      </c>
      <c r="GV42" s="6">
        <f>COUNTIFS(Table13[Country],Tabela1[[#This Row],[Country]],Table13[Plus 78kg Classification],"&gt;0")</f>
        <v>0</v>
      </c>
      <c r="GW42" s="6">
        <f>COUNTIFS(Table82[Country],Tabela1[[#This Row],[Country]],Table82[Mixed Classification],"&gt;0")</f>
        <v>0</v>
      </c>
      <c r="GX42" s="6">
        <f>COUNTIFS(Table51[Country],Tabela1[[#This Row],[Country]],Table51[Classification],"&gt;0")</f>
        <v>0</v>
      </c>
      <c r="GY42" s="6">
        <f>COUNTIFS(Table52[Country],Tabela1[[#This Row],[Country]],Table52[Classification],"&gt;0")</f>
        <v>0</v>
      </c>
      <c r="GZ42" s="6">
        <f>COUNTIFS(Table32[Country],Tabela1[[#This Row],[Country]],Table32[All-Around Classification],"&gt;0")</f>
        <v>0</v>
      </c>
      <c r="HA42" s="6">
        <f>COUNTIFS(Table49[Country],Tabela1[[#This Row],[Country]],Table49[All-Around Classification],"&gt;0")</f>
        <v>0</v>
      </c>
      <c r="HB42" s="6">
        <f>COUNTIFS(Table26[Country],Tabela1[[#This Row],[Country]],Table26[Single Sculls Classification],"&gt;0")</f>
        <v>0</v>
      </c>
      <c r="HC42" s="6">
        <f>COUNTIFS(Table63[Country],Tabela1[[#This Row],[Country]],Table63[Single Sculls Classification],"&gt;0")</f>
        <v>0</v>
      </c>
      <c r="HD42" s="6">
        <f>COUNTIFS(Table16[Country],Tabela1[[#This Row],[Country]],Table16[Men''s Double Sculls Classification],"&gt;0")</f>
        <v>0</v>
      </c>
      <c r="HE42" s="6">
        <f>COUNTIFS(Table16[Country],Tabela1[[#This Row],[Country]],Table16[Women''s Double Sculls Classification],"&gt;0")</f>
        <v>0</v>
      </c>
      <c r="HF42" s="6">
        <f>COUNTIFS(Table72[Country],Tabela1[[#This Row],[Country]],Table72[Men''s Quadruple Sculls Classification],"&gt;0")</f>
        <v>0</v>
      </c>
      <c r="HG42" s="6">
        <f>COUNTIFS(Table72[Country],Tabela1[[#This Row],[Country]],Table72[Women''s Quadruple Sculls Classification],"&gt;0")</f>
        <v>0</v>
      </c>
      <c r="HH42" s="6">
        <f>COUNTIFS(Table16[Country],Tabela1[[#This Row],[Country]],Table16[Men''s Coxless Pairs Classification],"&gt;0")</f>
        <v>0</v>
      </c>
      <c r="HI42" s="6">
        <f>COUNTIFS(Table16[Country],Tabela1[[#This Row],[Country]],Table16[Women''s Coxless Pairs Classification],"&gt;0")</f>
        <v>0</v>
      </c>
      <c r="HJ42" s="6">
        <f>COUNTIFS(Table72[Country],Tabela1[[#This Row],[Country]],Table72[Men''s Coxless Fours Classification],"&gt;0")</f>
        <v>0</v>
      </c>
      <c r="HK42" s="6">
        <f>COUNTIFS(Table72[Country],Tabela1[[#This Row],[Country]],Table72[Women''s Coxless Fours Classification],"&gt;0")</f>
        <v>0</v>
      </c>
      <c r="HL42" s="6">
        <f>COUNTIFS(Table72[Country],Tabela1[[#This Row],[Country]],Table72[Men''s Eights Classification],"&gt;0")</f>
        <v>0</v>
      </c>
      <c r="HM42" s="6">
        <f>COUNTIFS(Table72[Country],Tabela1[[#This Row],[Country]],Table72[Women''s Eights Classification],"&gt;0")</f>
        <v>0</v>
      </c>
      <c r="HN42" s="6">
        <f>COUNTIFS(Table16[Country],Tabela1[[#This Row],[Country]],Table16[Men''s Lwt. Double Sculls Classification],"&gt;0")</f>
        <v>0</v>
      </c>
      <c r="HO42" s="6">
        <f>COUNTIFS(Table16[Country],Tabela1[[#This Row],[Country]],Table16[Women''s Lwt. Double Sculls Classification],"&gt;0")</f>
        <v>0</v>
      </c>
      <c r="HP42" s="6">
        <f>COUNTIFS(Table91949698[Country],Tabela1[[#This Row],[Country]],Table91949698[Men''s Classification],"&gt;0")</f>
        <v>0</v>
      </c>
      <c r="HQ42" s="6">
        <f>COUNTIFS(Table91949698[Country],Tabela1[[#This Row],[Country]],Table91949698[Women''s Classification],"&gt;0")</f>
        <v>0</v>
      </c>
      <c r="HR42" s="6">
        <f>COUNTIFS(Table25[Country],Tabela1[[#This Row],[Country]],Table25[Mixed 470 Classification],"&gt;0")</f>
        <v>0</v>
      </c>
      <c r="HS42" s="6">
        <f>COUNTIFS(Table25[Country],Tabela1[[#This Row],[Country]],Table25[Men''s 49er Classification],"&gt;0")</f>
        <v>0</v>
      </c>
      <c r="HT42" s="6">
        <f>COUNTIFS(Table25[Country],Tabela1[[#This Row],[Country]],Table25[Women''s 49er FX Classification],"&gt;0")</f>
        <v>0</v>
      </c>
      <c r="HU42" s="6">
        <f>COUNTIFS(Table17[Country],Tabela1[[#This Row],[Country]],Table17[Formula Kite Classification],"&gt;0")</f>
        <v>0</v>
      </c>
      <c r="HV42" s="6">
        <f>COUNTIFS(Table18[Country],Tabela1[[#This Row],[Country]],Table18[Formula Kite Classification],"&gt;0")</f>
        <v>0</v>
      </c>
      <c r="HW42" s="6">
        <f>COUNTIFS(Table17[Country],Tabela1[[#This Row],[Country]],Table17[ILCA 7 Classification],"&gt;0")</f>
        <v>0</v>
      </c>
      <c r="HX42" s="6">
        <f>COUNTIFS(Table18[Country],Tabela1[[#This Row],[Country]],Table18[ILCA 6 Classification],"&gt;0")</f>
        <v>0</v>
      </c>
      <c r="HY42" s="6">
        <f>COUNTIFS(Table17[Country],Tabela1[[#This Row],[Country]],Table17[IQFoil Classification],"&gt;0")</f>
        <v>0</v>
      </c>
      <c r="HZ42" s="6">
        <f>COUNTIFS(Table18[Country],Tabela1[[#This Row],[Country]],Table18[IQFoil Classification],"&gt;0")</f>
        <v>0</v>
      </c>
      <c r="IA42" s="6">
        <f>COUNTIFS(Table25[Country],Tabela1[[#This Row],[Country]],Table25[Mixed Nacra 17 Classification],"&gt;0")</f>
        <v>0</v>
      </c>
      <c r="IB42" s="6">
        <f>COUNTIFS(Table53[Country],Tabela1[[#This Row],[Country]],Table53[10m Air Pistol Classification],"&gt;0")</f>
        <v>0</v>
      </c>
      <c r="IC42" s="6">
        <f>COUNTIFS(Table19[Country],Tabela1[[#This Row],[Country]],Table19[10m Air Pistol Classification],"&gt;0")</f>
        <v>0</v>
      </c>
      <c r="ID42" s="6">
        <f>COUNTIFS(Table54[Country],Tabela1[[#This Row],[Country]],Table54[Mixed 10m Air Pistol Team Classification],"&gt;0")</f>
        <v>0</v>
      </c>
      <c r="IE42" s="6">
        <f>COUNTIFS(Table53[Country],Tabela1[[#This Row],[Country]],Table53[10m Air Rifle Classification],"&gt;0")</f>
        <v>0</v>
      </c>
      <c r="IF42" s="6">
        <f>COUNTIFS(Table19[Country],Tabela1[[#This Row],[Country]],Table19[10m Air Rifle Classification],"&gt;0")</f>
        <v>0</v>
      </c>
      <c r="IG42" s="6">
        <f>COUNTIFS(Table54[Country],Tabela1[[#This Row],[Country]],Table54[Mixed 10m Air Rifle Team Classification],"&gt;0")</f>
        <v>0</v>
      </c>
      <c r="IH42" s="6">
        <f>COUNTIFS(Table53[Country],Tabela1[[#This Row],[Country]],Table53[25m Rapid Fire Pistol Classification],"&gt;0")</f>
        <v>0</v>
      </c>
      <c r="II42" s="6">
        <f>COUNTIFS(Table19[Country],Tabela1[[#This Row],[Country]],Table19[25m Pistol Classification],"&gt;0")</f>
        <v>0</v>
      </c>
      <c r="IJ42" s="6">
        <f>COUNTIFS(Table53[Country],Tabela1[[#This Row],[Country]],Table53[50m Rifle 3 Positions Classification],"&gt;0")</f>
        <v>0</v>
      </c>
      <c r="IK42" s="6">
        <f>COUNTIFS(Table19[Country],Tabela1[[#This Row],[Country]],Table19[50m Rifle 3 Positions Classification],"&gt;0")</f>
        <v>0</v>
      </c>
      <c r="IL42" s="6">
        <f>COUNTIFS(Table53[Country],Tabela1[[#This Row],[Country]],Table53[Skeet Classification],"&gt;0")</f>
        <v>0</v>
      </c>
      <c r="IM42" s="6">
        <f>COUNTIFS(Table19[Country],Tabela1[[#This Row],[Country]],Table19[Skeet Classification],"&gt;0")</f>
        <v>0</v>
      </c>
      <c r="IN42" s="6">
        <f>COUNTIFS(Table54[Country],Tabela1[[#This Row],[Country]],Table54[Mixed Skeet Team Classification],"&gt;0")</f>
        <v>0</v>
      </c>
      <c r="IO42" s="6">
        <f>COUNTIFS(Table53[Country],Tabela1[[#This Row],[Country]],Table53[Trap Classification],"&gt;0")</f>
        <v>0</v>
      </c>
      <c r="IP42" s="6">
        <f>COUNTIFS(Table19[Country],Tabela1[[#This Row],[Country]],Table19[Trap Classification],"&gt;0")</f>
        <v>0</v>
      </c>
      <c r="IQ42" s="6">
        <f>COUNTIFS(Table73[Country],Tabela1[[#This Row],[Country]],Table73[Park Classification],"&gt;0")</f>
        <v>0</v>
      </c>
      <c r="IR42" s="6">
        <f>COUNTIFS(Table74[Country],Tabela1[[#This Row],[Country]],Table74[Park Classification],"&gt;0")</f>
        <v>0</v>
      </c>
      <c r="IS42" s="6">
        <f>COUNTIFS(Table73[Country],Tabela1[[#This Row],[Country]],Table73[Street Classification],"&gt;0")</f>
        <v>0</v>
      </c>
      <c r="IT42" s="6">
        <f>COUNTIFS(Table74[Country],Tabela1[[#This Row],[Country]],Table74[Street Classification],"&gt;0")</f>
        <v>0</v>
      </c>
      <c r="IU42" s="6">
        <f>COUNTIFS(Table75[Country],Tabela1[[#This Row],[Country]],Table75[Boulder and Lead Classification],"&gt;0")</f>
        <v>0</v>
      </c>
      <c r="IV42" s="6">
        <f>COUNTIFS(Table76[Country],Tabela1[[#This Row],[Country]],Table76[Boulder and Lead Classification],"&gt;0")</f>
        <v>0</v>
      </c>
      <c r="IW42" s="6">
        <f>COUNTIFS(Table75[Country],Tabela1[[#This Row],[Country]],Table75[Speed Classification],"&gt;0")</f>
        <v>0</v>
      </c>
      <c r="IX42" s="6">
        <f>COUNTIFS(Table76[Country],Tabela1[[#This Row],[Country]],Table76[Speed Classification],"&gt;0")</f>
        <v>0</v>
      </c>
      <c r="IY42" s="6">
        <f>COUNTIFS(Table64[Country],Tabela1[[#This Row],[Country]],Table64[Shortboard Classification],"&gt;0")</f>
        <v>0</v>
      </c>
      <c r="IZ42" s="6">
        <f>COUNTIFS(Table77[Country],Tabela1[[#This Row],[Country]],Table77[Shortboard Classification],"&gt;0")</f>
        <v>0</v>
      </c>
      <c r="JA42" s="6">
        <f>COUNTIFS(Table20[Country],Tabela1[[#This Row],[Country]],Table20[50m Freestyle Classification],"&gt;0")</f>
        <v>1</v>
      </c>
      <c r="JB42" s="6">
        <f>COUNTIFS(Table21[Country],Tabela1[[#This Row],[Country]],Table21[50m Freestyle Classification],"&gt;0")</f>
        <v>0</v>
      </c>
      <c r="JC42" s="6">
        <f>COUNTIFS(Table20[Country],Tabela1[[#This Row],[Country]],Table20[100m Freestyle Classification],"&gt;0")</f>
        <v>1</v>
      </c>
      <c r="JD42" s="6">
        <f>COUNTIFS(Table21[Country],Tabela1[[#This Row],[Country]],Table21[100m Freestyle Classification],"&gt;0")</f>
        <v>0</v>
      </c>
      <c r="JE42" s="6">
        <f>COUNTIFS(Table20[Country],Tabela1[[#This Row],[Country]],Table20[200m Freestyle Classification],"&gt;0")</f>
        <v>0</v>
      </c>
      <c r="JF42" s="6">
        <f>COUNTIFS(Table21[Country],Tabela1[[#This Row],[Country]],Table21[200m Freestyle Classification],"&gt;0")</f>
        <v>1</v>
      </c>
      <c r="JG42" s="6">
        <f>COUNTIFS(Table20[Country],Tabela1[[#This Row],[Country]],Table20[400m Freestyle Classification],"&gt;0")</f>
        <v>1</v>
      </c>
      <c r="JH42" s="6">
        <f>COUNTIFS(Table21[Country],Tabela1[[#This Row],[Country]],Table21[400m Freestyle Classification],"&gt;0")</f>
        <v>0</v>
      </c>
      <c r="JI42" s="6">
        <f>COUNTIFS(Table20[Country],Tabela1[[#This Row],[Country]],Table20[800m Freestyle Classification],"&gt;0")</f>
        <v>1</v>
      </c>
      <c r="JJ42" s="6">
        <f>COUNTIFS(Table21[Country],Tabela1[[#This Row],[Country]],Table21[800m Freestyle Classification],"&gt;0")</f>
        <v>0</v>
      </c>
      <c r="JK42" s="6">
        <f>COUNTIFS(Table20[Country],Tabela1[[#This Row],[Country]],Table20[1500m Freestyle Classification],"&gt;0")</f>
        <v>0</v>
      </c>
      <c r="JL42" s="6">
        <f>COUNTIFS(Table21[Country],Tabela1[[#This Row],[Country]],Table21[1500m Freestyle Classification],"&gt;0")</f>
        <v>0</v>
      </c>
      <c r="JM42" s="6">
        <f>COUNTIFS(Table20[Country],Tabela1[[#This Row],[Country]],Table20[100m Backstroke Classification],"&gt;0")</f>
        <v>0</v>
      </c>
      <c r="JN42" s="6">
        <f>COUNTIFS(Table21[Country],Tabela1[[#This Row],[Country]],Table21[100m Backstroke Classification],"&gt;0")</f>
        <v>0</v>
      </c>
      <c r="JO42" s="6">
        <f>COUNTIFS(Table20[Country],Tabela1[[#This Row],[Country]],Table20[200m Backstroke Classification],"&gt;0")</f>
        <v>0</v>
      </c>
      <c r="JP42" s="6">
        <f>COUNTIFS(Table21[Country],Tabela1[[#This Row],[Country]],Table21[200m Backstroke Classification],"&gt;0")</f>
        <v>0</v>
      </c>
      <c r="JQ42" s="6">
        <f>COUNTIFS(Table20[Country],Tabela1[[#This Row],[Country]],Table20[100m Breaststroke Classification],"&gt;0")</f>
        <v>0</v>
      </c>
      <c r="JR42" s="6">
        <f>COUNTIFS(Table21[Country],Tabela1[[#This Row],[Country]],Table21[100m Breaststroke Classification],"&gt;0")</f>
        <v>0</v>
      </c>
      <c r="JS42" s="6">
        <f>COUNTIFS(Table20[Country],Tabela1[[#This Row],[Country]],Table20[200m Breaststroke Classification],"&gt;0")</f>
        <v>0</v>
      </c>
      <c r="JT42" s="6">
        <f>COUNTIFS(Table21[Country],Tabela1[[#This Row],[Country]],Table21[200m Breaststroke Classification],"&gt;0")</f>
        <v>0</v>
      </c>
      <c r="JU42" s="6">
        <f>COUNTIFS(Table20[Country],Tabela1[[#This Row],[Country]],Table20[100m Butterfly Classification],"&gt;0")</f>
        <v>0</v>
      </c>
      <c r="JV42" s="6">
        <f>COUNTIFS(Table21[Country],Tabela1[[#This Row],[Country]],Table21[100m Butterfly Classification],"&gt;0")</f>
        <v>0</v>
      </c>
      <c r="JW42" s="6">
        <f>COUNTIFS(Table20[Country],Tabela1[[#This Row],[Country]],Table20[200m Butterfly Classification],"&gt;0")</f>
        <v>0</v>
      </c>
      <c r="JX42" s="6">
        <f>COUNTIFS(Table21[Country],Tabela1[[#This Row],[Country]],Table21[200m Butterfly Classification],"&gt;0")</f>
        <v>0</v>
      </c>
      <c r="JY42" s="6">
        <f>COUNTIFS(Table20[Country],Tabela1[[#This Row],[Country]],Table20[200m Medley Classification],"&gt;0")</f>
        <v>0</v>
      </c>
      <c r="JZ42" s="6">
        <f>COUNTIFS(Table21[Country],Tabela1[[#This Row],[Country]],Table21[200m Medley Classification],"&gt;0")</f>
        <v>0</v>
      </c>
      <c r="KA42" s="6">
        <f>COUNTIFS(Table20[Country],Tabela1[[#This Row],[Country]],Table20[400m Medley Classification],"&gt;0")</f>
        <v>0</v>
      </c>
      <c r="KB42" s="6">
        <f>COUNTIFS(Table21[Country],Tabela1[[#This Row],[Country]],Table21[400m Medley Classification],"&gt;0")</f>
        <v>0</v>
      </c>
      <c r="KC42" s="6">
        <f>COUNTIFS(Table78[Country],Tabela1[[#This Row],[Country]],Table78[Men''s 4x100m Freestyle Relay Classification],"&gt;0")</f>
        <v>0</v>
      </c>
      <c r="KD42" s="6">
        <f>COUNTIFS(Table78[Country],Tabela1[[#This Row],[Country]],Table78[Women''s 4x100m Freestyle Relay Classification],"&gt;0")</f>
        <v>0</v>
      </c>
      <c r="KE42" s="6">
        <f>COUNTIFS(Table78[Country],Tabela1[[#This Row],[Country]],Table78[Men''s 4x200m Freestyle Relay Classification],"&gt;0")</f>
        <v>0</v>
      </c>
      <c r="KF42" s="6">
        <f>COUNTIFS(Table78[Country],Tabela1[[#This Row],[Country]],Table78[Women''s 4x200m Freestyle Relay Classification],"&gt;0")</f>
        <v>0</v>
      </c>
      <c r="KG42" s="6">
        <f>COUNTIFS(Table78[Country],Tabela1[[#This Row],[Country]],Table78[Men''s 4x100m Medley Relay Classification],"&gt;0")</f>
        <v>0</v>
      </c>
      <c r="KH42" s="6">
        <f>COUNTIFS(Table78[Country],Tabela1[[#This Row],[Country]],Table78[Women''s 4x100m Medley Relay Classification],"&gt;0")</f>
        <v>0</v>
      </c>
      <c r="KI42" s="6">
        <f>COUNTIFS(Table78[Country],Tabela1[[#This Row],[Country]],Table78[Mixed 4x100m Medley Relay Classification],"&gt;0")</f>
        <v>0</v>
      </c>
      <c r="KJ42" s="6">
        <f>COUNTIFS(Table20[Country],Tabela1[[#This Row],[Country]],Table20[10km Open Water Classification],"&gt;0")</f>
        <v>0</v>
      </c>
      <c r="KK42" s="6">
        <f>COUNTIFS(Table21[Country],Tabela1[[#This Row],[Country]],Table21[10km Open Water Classification],"&gt;0")</f>
        <v>0</v>
      </c>
      <c r="KL42" s="6">
        <f>COUNTIFS(Table22[Country],Tabela1[[#This Row],[Country]],Table22[Classification],"&gt;0")</f>
        <v>0</v>
      </c>
      <c r="KM42" s="6">
        <f>COUNTIFS(Table30[Country],Tabela1[[#This Row],[Country]],Table30[Classification],"&gt;0")</f>
        <v>0</v>
      </c>
      <c r="KN42" s="6">
        <f>COUNTIFS(Table55[Country],Tabela1[[#This Row],[Country]],Table55[Men''s Classification],"&gt;0")</f>
        <v>0</v>
      </c>
      <c r="KO42" s="6">
        <f>COUNTIFS(Table55[Country],Tabela1[[#This Row],[Country]],Table55[Women''s Classification],"&gt;0")</f>
        <v>0</v>
      </c>
      <c r="KP42" s="6">
        <f>COUNTIFS(Table56[Country],Tabela1[[#This Row],[Country]],Table56[Mixed Classification],"&gt;0")</f>
        <v>0</v>
      </c>
      <c r="KQ42" s="6">
        <f>COUNTIFS(Table29[Country],Tabela1[[#This Row],[Country]],Table29[58kg Classification],"&gt;0")</f>
        <v>1</v>
      </c>
      <c r="KR42" s="6">
        <f>COUNTIFS(Table29[Country],Tabela1[[#This Row],[Country]],Table29[68kg Classification],"&gt;0")</f>
        <v>0</v>
      </c>
      <c r="KS42" s="6">
        <f>COUNTIFS(Table29[Country],Tabela1[[#This Row],[Country]],Table29[80kg Classification],"&gt;0")</f>
        <v>0</v>
      </c>
      <c r="KT42" s="6">
        <f>COUNTIFS(Table29[Country],Tabela1[[#This Row],[Country]],Table29[Plus 80kg Classification],"&gt;0")</f>
        <v>0</v>
      </c>
      <c r="KU42" s="6">
        <f>COUNTIFS(Table34[Country],Tabela1[[#This Row],[Country]],Table34[49kg Classification],"&gt;0")</f>
        <v>0</v>
      </c>
      <c r="KV42" s="6">
        <f>COUNTIFS(Table34[Country],Tabela1[[#This Row],[Country]],Table34[57kg Classification],"&gt;0")</f>
        <v>0</v>
      </c>
      <c r="KW42" s="6">
        <f>COUNTIFS(Table34[Country],Tabela1[[#This Row],[Country]],Table34[67kg Classification],"&gt;0")</f>
        <v>0</v>
      </c>
      <c r="KX42" s="6">
        <f>COUNTIFS(Table34[Country],Tabela1[[#This Row],[Country]],Table34[Plus 67kg Classification],"&gt;0")</f>
        <v>0</v>
      </c>
      <c r="KY42" s="6">
        <f>COUNTIFS(Table57[Country],Tabela1[[#This Row],[Country]],Table57[Classification],"&gt;0")</f>
        <v>0</v>
      </c>
      <c r="KZ42" s="6">
        <f>COUNTIFS(Table58[Country],Tabela1[[#This Row],[Country]],Table58[Classification],"&gt;0")</f>
        <v>0</v>
      </c>
      <c r="LA42" s="6">
        <f>COUNTIFS(Table79[Country],Tabela1[[#This Row],[Country]],Table79[Men''s Classification],"&gt;0")</f>
        <v>0</v>
      </c>
      <c r="LB42" s="6">
        <f>COUNTIFS(Table79[Country],Tabela1[[#This Row],[Country]],Table79[Women''s Classification],"&gt;0")</f>
        <v>0</v>
      </c>
      <c r="LC42" s="6">
        <f>COUNTIFS(Table79[Country],Tabela1[[#This Row],[Country]],Table79[Mixed Classification],"&gt;0")</f>
        <v>0</v>
      </c>
      <c r="LD42" s="6">
        <f>COUNTIFS(Table65[Country],Tabela1[[#This Row],[Country]],Table65[Classification],"&gt;0")</f>
        <v>0</v>
      </c>
      <c r="LE42" s="6">
        <f>COUNTIFS(Table59[Country],Tabela1[[#This Row],[Country]],Table59[Classification],"&gt;0")</f>
        <v>0</v>
      </c>
      <c r="LF42" s="6">
        <f>COUNTIFS(Table87[Country],Tabela1[[#This Row],[Country]],Table87[Mixed Relay Classification],"&gt;0")</f>
        <v>0</v>
      </c>
      <c r="LG42" s="6">
        <f>COUNTIFS(Table91949698100[Country],Tabela1[[#This Row],[Country]],Table91949698100[Men''s Classification],"&gt;0")</f>
        <v>0</v>
      </c>
      <c r="LH42" s="6">
        <f>COUNTIFS(Table91949698100[Country],Tabela1[[#This Row],[Country]],Table91949698100[Women''s Classification],"&gt;0")</f>
        <v>0</v>
      </c>
      <c r="LI42" s="6">
        <f>COUNTIFS(Table91949698100102[Country],Tabela1[[#This Row],[Country]],Table91949698100102[Men''s Classification],"&gt;0")</f>
        <v>0</v>
      </c>
      <c r="LJ42" s="6">
        <f>COUNTIFS(Table91949698100102[Country],Tabela1[[#This Row],[Country]],Table91949698100102[Women''s Classification],"&gt;0")</f>
        <v>0</v>
      </c>
      <c r="LK42" s="6">
        <f>COUNTIFS(Table23[Country],Tabela1[[#This Row],[Country]],Table23[61kg Classification],"&gt;0")</f>
        <v>0</v>
      </c>
      <c r="LL42" s="6">
        <f>COUNTIFS(Table23[Country],Tabela1[[#This Row],[Country]],Table23[73kg Classification],"&gt;0")</f>
        <v>0</v>
      </c>
      <c r="LM42" s="6">
        <f>COUNTIFS(Table23[Country],Tabela1[[#This Row],[Country]],Table23[89kg Classification],"&gt;0")</f>
        <v>0</v>
      </c>
      <c r="LN42" s="6">
        <f>COUNTIFS(Table23[Country],Tabela1[[#This Row],[Country]],Table23[102kg Classification],"&gt;0")</f>
        <v>0</v>
      </c>
      <c r="LO42" s="6">
        <f>COUNTIFS(Table23[Country],Tabela1[[#This Row],[Country]],Table23[Plus 102kg Classification],"&gt;0")</f>
        <v>0</v>
      </c>
      <c r="LP42" s="6">
        <f>COUNTIFS(Table28[Country],Tabela1[[#This Row],[Country]],Table28[49kg Classification],"&gt;0")</f>
        <v>1</v>
      </c>
      <c r="LQ42" s="6">
        <f>COUNTIFS(Table28[Country],Tabela1[[#This Row],[Country]],Table28[59kg Classification],"&gt;0")</f>
        <v>0</v>
      </c>
      <c r="LR42" s="6">
        <f>COUNTIFS(Table28[Country],Tabela1[[#This Row],[Country]],Table28[71kg Classification],"&gt;0")</f>
        <v>0</v>
      </c>
      <c r="LS42" s="6">
        <f>COUNTIFS(Table28[Country],Tabela1[[#This Row],[Country]],Table28[81kg Classification],"&gt;0")</f>
        <v>0</v>
      </c>
      <c r="LT42" s="6">
        <f>COUNTIFS(Table28[Country],Tabela1[[#This Row],[Country]],Table28[Plus 81kg Classification],"&gt;0")</f>
        <v>0</v>
      </c>
      <c r="LU42" s="6">
        <f>COUNTIFS(Table24[Country],Tabela1[[#This Row],[Country]],Table24[Freestyle 57kg Classification],"&gt;0")</f>
        <v>0</v>
      </c>
      <c r="LV42" s="6">
        <f>COUNTIFS(Table24[Country],Tabela1[[#This Row],[Country]],Table24[Freestyle 65kg Classification],"&gt;0")</f>
        <v>0</v>
      </c>
      <c r="LW42" s="6">
        <f>COUNTIFS(Table24[Country],Tabela1[[#This Row],[Country]],Table24[Freestyle 74kg Classification],"&gt;0")</f>
        <v>1</v>
      </c>
      <c r="LX42" s="6">
        <f>COUNTIFS(Table24[Country],Tabela1[[#This Row],[Country]],Table24[Freestyle 86kg Classification],"&gt;0")</f>
        <v>0</v>
      </c>
      <c r="LY42" s="6">
        <f>COUNTIFS(Table24[Country],Tabela1[[#This Row],[Country]],Table24[Freestyle 97kg Classification],"&gt;0")</f>
        <v>0</v>
      </c>
      <c r="LZ42" s="6">
        <f>COUNTIFS(Table24[Country],Tabela1[[#This Row],[Country]],Table24[Freestyle 125kg Classification],"&gt;0")</f>
        <v>0</v>
      </c>
      <c r="MA42" s="6">
        <f>COUNTIFS(Table24[Country],Tabela1[[#This Row],[Country]],Table24[Greco-Roman 60kg Classification],"&gt;0")</f>
        <v>0</v>
      </c>
      <c r="MB42" s="6">
        <f>COUNTIFS(Table24[Country],Tabela1[[#This Row],[Country]],Table24[Greco-Roman 67kg Classification],"&gt;0")</f>
        <v>0</v>
      </c>
      <c r="MC42" s="6">
        <f>COUNTIFS(Table24[Country],Tabela1[[#This Row],[Country]],Table24[Greco-Roman 77kg Classification],"&gt;0")</f>
        <v>0</v>
      </c>
      <c r="MD42" s="6">
        <f>COUNTIFS(Table24[Country],Tabela1[[#This Row],[Country]],Table24[Greco-Roman 87kg Classification],"&gt;0")</f>
        <v>0</v>
      </c>
      <c r="ME42" s="6">
        <f>COUNTIFS(Table24[Country],Tabela1[[#This Row],[Country]],Table24[Greco-Roman 97kg Classification],"&gt;0")</f>
        <v>0</v>
      </c>
      <c r="MF42" s="6">
        <f>COUNTIFS(Table24[Country],Tabela1[[#This Row],[Country]],Table24[Greco-Roman 130kg Classification],"&gt;0")</f>
        <v>0</v>
      </c>
      <c r="MG42" s="6">
        <f>COUNTIFS(Table31[Country],Tabela1[[#This Row],[Country]],Table31[50kg Classification],"&gt;0")</f>
        <v>0</v>
      </c>
      <c r="MH42" s="6">
        <f>COUNTIFS(Table31[Country],Tabela1[[#This Row],[Country]],Table31[53kg Classification],"&gt;0")</f>
        <v>0</v>
      </c>
      <c r="MI42" s="6">
        <f>COUNTIFS(Table31[Country],Tabela1[[#This Row],[Country]],Table31[57kg Classification],"&gt;0")</f>
        <v>0</v>
      </c>
      <c r="MJ42" s="6">
        <f>COUNTIFS(Table31[Country],Tabela1[[#This Row],[Country]],Table31[62kg Classification],"&gt;0")</f>
        <v>0</v>
      </c>
      <c r="MK42" s="6">
        <f>COUNTIFS(Table31[Country],Tabela1[[#This Row],[Country]],Table31[68kg Classification],"&gt;0")</f>
        <v>0</v>
      </c>
      <c r="ML42" s="6">
        <f>COUNTIFS(Table31[Country],Tabela1[[#This Row],[Country]],Table31[76kg Classification],"&gt;0")</f>
        <v>0</v>
      </c>
      <c r="MM42" s="6">
        <f>COUNTIFS(Table102[Country],Tabela1[[#This Row],[Country]],Table102[Downhill Classification],"&gt;0")</f>
        <v>0</v>
      </c>
      <c r="MN42" s="6">
        <f>COUNTIFS(Table102105[Country],Tabela1[[#This Row],[Country]],Table102105[Downhill Classification],"&gt;0")</f>
        <v>0</v>
      </c>
      <c r="MO42" s="6">
        <f>COUNTIFS(Table102[Country],Tabela1[[#This Row],[Country]],Table102[Giant Slalom Classification],"&gt;0")</f>
        <v>0</v>
      </c>
      <c r="MP42" s="6">
        <f>COUNTIFS(Table102105[Country],Tabela1[[#This Row],[Country]],Table102105[Giant Slalom Classification],"&gt;0")</f>
        <v>0</v>
      </c>
      <c r="MQ42" s="6">
        <f>COUNTIFS(Table102[Country],Tabela1[[#This Row],[Country]],Table102[Slalom Classification],"&gt;0")</f>
        <v>0</v>
      </c>
      <c r="MR42" s="6">
        <f>COUNTIFS(Table102105[Country],Tabela1[[#This Row],[Country]],Table102105[Slalom Classification],"&gt;0")</f>
        <v>0</v>
      </c>
      <c r="MS42" s="6">
        <f>COUNTIFS(Table102[Country],Tabela1[[#This Row],[Country]],Table102[Super-G Classification],"&gt;0")</f>
        <v>0</v>
      </c>
      <c r="MT42" s="6">
        <f>COUNTIFS(Table102105[Country],Tabela1[[#This Row],[Country]],Table102105[Super-G Classification],"&gt;0")</f>
        <v>0</v>
      </c>
      <c r="MU42" s="6">
        <f>COUNTIFS(Table105[Country],Tabela1[[#This Row],[Country]],Table105[Men''s Combined Classification],"&gt;0")</f>
        <v>0</v>
      </c>
      <c r="MV42" s="6">
        <f>COUNTIFS(Table105[Country],Tabela1[[#This Row],[Country]],Table105[Women''s Combined Classification],"&gt;0")</f>
        <v>0</v>
      </c>
      <c r="MW42" s="6">
        <f>COUNTIFS(Table106[Country],Tabela1[[#This Row],[Country]],Table106[Individual Classification],"&gt;0")</f>
        <v>0</v>
      </c>
      <c r="MX42" s="6">
        <f>COUNTIFS(Table106109[Country],Tabela1[[#This Row],[Country]],Table106109[Individual Classification],"&gt;0")</f>
        <v>0</v>
      </c>
      <c r="MY42" s="6">
        <f>COUNTIFS(Table106[Country],Tabela1[[#This Row],[Country]],Table106[Mass Start Classification],"&gt;0")</f>
        <v>0</v>
      </c>
      <c r="MZ42" s="6">
        <f>COUNTIFS(Table106109[Country],Tabela1[[#This Row],[Country]],Table106109[Mass Start Classification],"&gt;0")</f>
        <v>0</v>
      </c>
      <c r="NA42" s="6">
        <f>COUNTIFS(Table106[Country],Tabela1[[#This Row],[Country]],Table106[Pursuit Classification],"&gt;0")</f>
        <v>0</v>
      </c>
      <c r="NB42" s="6">
        <f>COUNTIFS(Table106109[Country],Tabela1[[#This Row],[Country]],Table106109[Pursuit Classification],"&gt;0")</f>
        <v>0</v>
      </c>
      <c r="NC42" s="6">
        <f>COUNTIFS(Table106[Country],Tabela1[[#This Row],[Country]],Table106[Sprint Classification],"&gt;0")</f>
        <v>0</v>
      </c>
      <c r="ND42" s="6">
        <f>COUNTIFS(Table106109[Country],Tabela1[[#This Row],[Country]],Table106109[Sprint Classification],"&gt;0")</f>
        <v>0</v>
      </c>
      <c r="NE42" s="6">
        <f>COUNTIFS(Table109[Country],Tabela1[[#This Row],[Country]],Table109[Men''s Relay Classification],"&gt;0")</f>
        <v>0</v>
      </c>
      <c r="NF42" s="6">
        <f>COUNTIFS(Table109[Country],Tabela1[[#This Row],[Country]],Table109[Women''s Relay Classification],"&gt;0")</f>
        <v>0</v>
      </c>
      <c r="NG42" s="6">
        <f>COUNTIFS(Table109[Country],Tabela1[[#This Row],[Country]],Table109[Mixed Relay Classification],"&gt;0")</f>
        <v>0</v>
      </c>
      <c r="NH42" s="6">
        <f>COUNTIFS(Table110[Country],Tabela1[[#This Row],[Country]],Table110[Monobob Classification],"&gt;0")</f>
        <v>0</v>
      </c>
      <c r="NI42" s="6">
        <f>COUNTIFS(Table111[Country],Tabela1[[#This Row],[Country]],Table111[Men''s Classification],"&gt;0")</f>
        <v>0</v>
      </c>
      <c r="NJ42" s="6">
        <f>COUNTIFS(Table111[Country],Tabela1[[#This Row],[Country]],Table111[Women''s Classification],"&gt;0")</f>
        <v>0</v>
      </c>
      <c r="NK42" s="6">
        <f>COUNTIFS(Table112[Country],Tabela1[[#This Row],[Country]],Table112[Men''s Four Classification],"&gt;0")</f>
        <v>0</v>
      </c>
      <c r="NL42" s="6">
        <f>COUNTIFS(Table113[Country],Tabela1[[#This Row],[Country]],Table113[Classical Classification],"&gt;0")</f>
        <v>0</v>
      </c>
      <c r="NM42" s="6">
        <f>COUNTIFS(Table113116[Country],Tabela1[[#This Row],[Country]],Table113116[Classical Classification],"&gt;0")</f>
        <v>0</v>
      </c>
      <c r="NN42" s="6">
        <f>COUNTIFS(Table113[Country],Tabela1[[#This Row],[Country]],Table113[Freestyle Classification],"&gt;0")</f>
        <v>1</v>
      </c>
      <c r="NO42" s="6">
        <f>COUNTIFS(Table113116[Country],Tabela1[[#This Row],[Country]],Table113116[Freestyle Classification],"&gt;0")</f>
        <v>0</v>
      </c>
      <c r="NP42" s="6">
        <f>COUNTIFS(Table117[Country],Tabela1[[#This Row],[Country]],Table117[Men''s Relay Classification],"&gt;0")</f>
        <v>0</v>
      </c>
      <c r="NQ42" s="6">
        <f>COUNTIFS(Table117[Country],Tabela1[[#This Row],[Country]],Table117[Women''s Relay Classification],"&gt;0")</f>
        <v>0</v>
      </c>
      <c r="NR42" s="6">
        <f>COUNTIFS(Table113[Country],Tabela1[[#This Row],[Country]],Table113[Skiathlon Classification],"&gt;0")</f>
        <v>0</v>
      </c>
      <c r="NS42" s="6">
        <f>COUNTIFS(Table113116[Country],Tabela1[[#This Row],[Country]],Table113116[Skiathlon Classification],"&gt;0")</f>
        <v>0</v>
      </c>
      <c r="NT42" s="6">
        <f>COUNTIFS(Table113[Country],Tabela1[[#This Row],[Country]],Table113[Sprint Classification],"&gt;0")</f>
        <v>1</v>
      </c>
      <c r="NU42" s="6">
        <f>COUNTIFS(Table113116[Country],Tabela1[[#This Row],[Country]],Table113116[Sprint Classification],"&gt;0")</f>
        <v>0</v>
      </c>
      <c r="NV42" s="6">
        <f>COUNTIFS(Table116[Country],Tabela1[[#This Row],[Country]],Table116[Men''s Team Sprint Classification],"&gt;0")</f>
        <v>0</v>
      </c>
      <c r="NW42" s="6">
        <f>COUNTIFS(Table116[Country],Tabela1[[#This Row],[Country]],Table116[Women''s Team Sprint Classification],"&gt;0")</f>
        <v>0</v>
      </c>
      <c r="NX42" s="6">
        <f>COUNTIFS(Table119[Country],Tabela1[[#This Row],[Country]],Table119[Men''s Classification],"&gt;0")</f>
        <v>0</v>
      </c>
      <c r="NY42" s="6">
        <f>COUNTIFS(Table119[Country],Tabela1[[#This Row],[Country]],Table119[Women''s Classification],"&gt;0")</f>
        <v>0</v>
      </c>
      <c r="NZ42" s="6">
        <f>COUNTIFS(Table118[Country],Tabela1[[#This Row],[Country]],Table118[Mixed Classification],"&gt;0")</f>
        <v>0</v>
      </c>
      <c r="OA42" s="6">
        <f>COUNTIFS(Table120[Country],Tabela1[[#This Row],[Country]],Table120[Classification],"&gt;0")</f>
        <v>0</v>
      </c>
      <c r="OB42" s="6">
        <f>COUNTIFS(Table120123[Country],Tabela1[[#This Row],[Country]],Table120123[Classification],"&gt;0")</f>
        <v>0</v>
      </c>
      <c r="OC42" s="6">
        <f>COUNTIFS(Table123[Country],Tabela1[[#This Row],[Country]],Table123[Ice Dance Classification],"&gt;0")</f>
        <v>0</v>
      </c>
      <c r="OD42" s="6">
        <f>COUNTIFS(Table123[Country],Tabela1[[#This Row],[Country]],Table123[Pair Skating Classification],"&gt;0")</f>
        <v>0</v>
      </c>
      <c r="OE42" s="6">
        <f>COUNTIFS(Table124[Country],Tabela1[[#This Row],[Country]],Table124[Mixed Classification],"&gt;0")</f>
        <v>0</v>
      </c>
      <c r="OF42" s="6">
        <f>COUNTIFS(Table125[Country],Tabela1[[#This Row],[Country]],Table125[Aerials Classification],"&gt;0")</f>
        <v>0</v>
      </c>
      <c r="OG42" s="6">
        <f>COUNTIFS(Table125128[Country],Tabela1[[#This Row],[Country]],Table125128[Aerials Classification],"&gt;0")</f>
        <v>0</v>
      </c>
      <c r="OH42" s="6">
        <f>COUNTIFS(Table128[Country],Tabela1[[#This Row],[Country]],Table128[Mixed Aerials Classification],"&gt;0")</f>
        <v>0</v>
      </c>
      <c r="OI42" s="6">
        <f>COUNTIFS(Table125[Country],Tabela1[[#This Row],[Country]],Table125[Big Air Classification],"&gt;0")</f>
        <v>0</v>
      </c>
      <c r="OJ42" s="6">
        <f>COUNTIFS(Table125128[Country],Tabela1[[#This Row],[Country]],Table125128[Big Air Classification],"&gt;0")</f>
        <v>0</v>
      </c>
      <c r="OK42" s="6">
        <f>COUNTIFS(Table125[Country],Tabela1[[#This Row],[Country]],Table125[Dual Moguls Classification],"&gt;0")</f>
        <v>0</v>
      </c>
      <c r="OL42" s="6">
        <f>COUNTIFS(Table125128[Country],Tabela1[[#This Row],[Country]],Table125128[Dual Moguls Classification],"&gt;0")</f>
        <v>0</v>
      </c>
      <c r="OM42" s="6">
        <f>COUNTIFS(Table125[Country],Tabela1[[#This Row],[Country]],Table125[Halfpipe Classification],"&gt;0")</f>
        <v>0</v>
      </c>
      <c r="ON42" s="6">
        <f>COUNTIFS(Table125128[Country],Tabela1[[#This Row],[Country]],Table125128[Halfpipe Classification],"&gt;0")</f>
        <v>0</v>
      </c>
      <c r="OO42" s="6">
        <f>COUNTIFS(Table125[Country],Tabela1[[#This Row],[Country]],Table125[Moguls Classification],"&gt;0")</f>
        <v>0</v>
      </c>
      <c r="OP42" s="6">
        <f>COUNTIFS(Table125128[Country],Tabela1[[#This Row],[Country]],Table125128[Moguls Classification],"&gt;0")</f>
        <v>0</v>
      </c>
      <c r="OQ42" s="6">
        <f>COUNTIFS(Table125[Country],Tabela1[[#This Row],[Country]],Table125[Ski Cross Classification],"&gt;0")</f>
        <v>0</v>
      </c>
      <c r="OR42" s="6">
        <f>COUNTIFS(Table125128[Country],Tabela1[[#This Row],[Country]],Table125128[Ski Cross Classification],"&gt;0")</f>
        <v>0</v>
      </c>
      <c r="OS42" s="6">
        <f>COUNTIFS(Table125[Country],Tabela1[[#This Row],[Country]],Table125[Slopestyle Classification],"&gt;0")</f>
        <v>0</v>
      </c>
      <c r="OT42" s="6">
        <f>COUNTIFS(Table125128[Country],Tabela1[[#This Row],[Country]],Table125128[Slopestyle Classification],"&gt;0")</f>
        <v>0</v>
      </c>
      <c r="OU42" s="6">
        <f>COUNTIFS(Table119131[Country],Tabela1[[#This Row],[Country]],Table119131[Men''s Classification],"&gt;0")</f>
        <v>0</v>
      </c>
      <c r="OV42" s="6">
        <f>COUNTIFS(Table119131[Country],Tabela1[[#This Row],[Country]],Table119131[Women''s Classification],"&gt;0")</f>
        <v>0</v>
      </c>
      <c r="OW42" s="6">
        <f>COUNTIFS(Table131[Country],Tabela1[[#This Row],[Country]],Table131[Classification],"&gt;0")</f>
        <v>0</v>
      </c>
      <c r="OX42" s="6">
        <f>COUNTIFS(Table131134[Country],Tabela1[[#This Row],[Country]],Table131134[Classification],"&gt;0")</f>
        <v>0</v>
      </c>
      <c r="OY42" s="6">
        <f>COUNTIFS(Table134[Country],Tabela1[[#This Row],[Country]],Table134[Men''s Classification],"&gt;0")</f>
        <v>0</v>
      </c>
      <c r="OZ42" s="6">
        <f>COUNTIFS(Table134[Country],Tabela1[[#This Row],[Country]],Table134[Women''s Classification],"&gt;0")</f>
        <v>0</v>
      </c>
      <c r="PA42" s="6">
        <f>COUNTIFS(Table135[Country],Tabela1[[#This Row],[Country]],Table135[Mixed Relay Classification],"&gt;0")</f>
        <v>0</v>
      </c>
      <c r="PB42" s="6">
        <f>COUNTIFS(Table136[Country],Tabela1[[#This Row],[Country]],Table136[Individual Classification],"&gt;0")</f>
        <v>0</v>
      </c>
      <c r="PC42" s="6">
        <f>COUNTIFS(Table136[Country],Tabela1[[#This Row],[Country]],Table136[Sprint Classification],"&gt;0")</f>
        <v>0</v>
      </c>
      <c r="PD42" s="6">
        <f>COUNTIFS(Table137[Country],Tabela1[[#This Row],[Country]],Table137[Men''s Team Sprint Large Hill Classification],"&gt;0")</f>
        <v>0</v>
      </c>
      <c r="PE42" s="6">
        <f>COUNTIFS(Table138[Country],Tabela1[[#This Row],[Country]],Table138[500m Classification],"&gt;0")</f>
        <v>0</v>
      </c>
      <c r="PF42" s="6">
        <f>COUNTIFS(Table138141[Country],Tabela1[[#This Row],[Country]],Table138141[500m Classification],"&gt;0")</f>
        <v>0</v>
      </c>
      <c r="PG42" s="6">
        <f>COUNTIFS(Table138[Country],Tabela1[[#This Row],[Country]],Table138[1000m Classification],"&gt;0")</f>
        <v>0</v>
      </c>
      <c r="PH42" s="6">
        <f>COUNTIFS(Table138141[Country],Tabela1[[#This Row],[Country]],Table138141[1000m Classification],"&gt;0")</f>
        <v>0</v>
      </c>
      <c r="PI42" s="6">
        <f>COUNTIFS(Table138[Country],Tabela1[[#This Row],[Country]],Table138[1500m Classification],"&gt;0")</f>
        <v>0</v>
      </c>
      <c r="PJ42" s="6">
        <f>COUNTIFS(Table138141[Country],Tabela1[[#This Row],[Country]],Table138141[1500m Classification],"&gt;0")</f>
        <v>0</v>
      </c>
      <c r="PK42" s="6">
        <f>COUNTIFS(Table141[Country],Tabela1[[#This Row],[Country]],Table141[Men''s 5000m Relay Classification],"&gt;0")</f>
        <v>0</v>
      </c>
      <c r="PL42" s="6">
        <f>COUNTIFS(Table141[Country],Tabela1[[#This Row],[Country]],Table141[Women''s 3000m Relay Classification],"&gt;0")</f>
        <v>0</v>
      </c>
      <c r="PM42" s="6">
        <f>COUNTIFS(Table141[Country],Tabela1[[#This Row],[Country]],Table141[Mixed 2000m Relay Classification],"&gt;0")</f>
        <v>0</v>
      </c>
      <c r="PN42" s="6">
        <f>COUNTIFS(Table142[Country],Tabela1[[#This Row],[Country]],Table142[Classification],"&gt;0")</f>
        <v>0</v>
      </c>
      <c r="PO42" s="6">
        <f>COUNTIFS(Table142145[Country],Tabela1[[#This Row],[Country]],Table142145[Classification],"&gt;0")</f>
        <v>0</v>
      </c>
      <c r="PP42" s="6">
        <f>COUNTIFS(Tabela15[Country],Tabela1[[#This Row],[Country]],Tabela15[Mixed Team Classification],"&gt;0")</f>
        <v>0</v>
      </c>
      <c r="PQ42" s="6">
        <f>COUNTIFS(Table145[Country],Tabela1[[#This Row],[Country]],Table145[Large Hill Classification],"&gt;0")</f>
        <v>0</v>
      </c>
      <c r="PR42" s="6">
        <f>COUNTIFS(Table145[Country],Tabela1[[#This Row],[Country]],Table145[Normal Hill Classification],"&gt;0")</f>
        <v>0</v>
      </c>
      <c r="PS42" s="6">
        <f>COUNTIFS(Table145148[Country],Tabela1[[#This Row],[Country]],Table145148[Large Hill Classification],"&gt;0")</f>
        <v>0</v>
      </c>
      <c r="PT42" s="6">
        <f>COUNTIFS(Table145148[Country],Tabela1[[#This Row],[Country]],Table145148[Normal Hill Classification],"&gt;0")</f>
        <v>0</v>
      </c>
      <c r="PU42" s="6">
        <f>COUNTIFS(Table148[Country],Tabela1[[#This Row],[Country]],Table148[Men''s Super Team Classification],"&gt;0")</f>
        <v>0</v>
      </c>
      <c r="PV42" s="6">
        <f>COUNTIFS(Tabela114[Country],Tabela1[[#This Row],[Country]],Tabela114[Mixed Normal Hill Classification],"&gt;0")</f>
        <v>0</v>
      </c>
      <c r="PW42" s="6">
        <f>COUNTIFS(Tabela50[Country],Tabela1[[#This Row],[Country]],Tabela50[Sprint Classification],"&gt;0")</f>
        <v>0</v>
      </c>
      <c r="PX42" s="6">
        <f>COUNTIFS(Tabela50101[Country],Tabela1[[#This Row],[Country]],Tabela50101[Sprint Classification],"&gt;0")</f>
        <v>0</v>
      </c>
      <c r="PY42" s="6">
        <f>COUNTIFS(Tabela103[Country],Tabela1[[#This Row],[Country]],Tabela103[Mixed Relay Classification],"&gt;0")</f>
        <v>0</v>
      </c>
      <c r="PZ42" s="6">
        <f>COUNTIFS(Table149[Country],Tabela1[[#This Row],[Country]],Table149[Big Air Classification],"&gt;0")</f>
        <v>0</v>
      </c>
      <c r="QA42" s="6">
        <f>COUNTIFS(Table149152[Country],Tabela1[[#This Row],[Country]],Table149152[Big Air Classification],"&gt;0")</f>
        <v>0</v>
      </c>
      <c r="QB42" s="6">
        <f>COUNTIFS(Table149[Country],Tabela1[[#This Row],[Country]],Table149[Halfpipe Classification],"&gt;0")</f>
        <v>0</v>
      </c>
      <c r="QC42" s="6">
        <f>COUNTIFS(Table149152[Country],Tabela1[[#This Row],[Country]],Table149152[Halfpipe Classification],"&gt;0")</f>
        <v>0</v>
      </c>
      <c r="QD42" s="6">
        <f>COUNTIFS(Table149[Country],Tabela1[[#This Row],[Country]],Table149[Parallel Giant Slalom Classification],"&gt;0")</f>
        <v>0</v>
      </c>
      <c r="QE42" s="6">
        <f>COUNTIFS(Table149152[Country],Tabela1[[#This Row],[Country]],Table149152[Parallel Giant Slalom Classification],"&gt;0")</f>
        <v>0</v>
      </c>
      <c r="QF42" s="6">
        <f>COUNTIFS(Table149[Country],Tabela1[[#This Row],[Country]],Table149[Slopestyle Classification],"&gt;0")</f>
        <v>0</v>
      </c>
      <c r="QG42" s="6">
        <f>COUNTIFS(Table149152[Country],Tabela1[[#This Row],[Country]],Table149152[Slopestyle Classification],"&gt;0")</f>
        <v>0</v>
      </c>
      <c r="QH42" s="6">
        <f>COUNTIFS(Table149[Country],Tabela1[[#This Row],[Country]],Table149[Snowboard Cross Classification],"&gt;0")</f>
        <v>0</v>
      </c>
      <c r="QI42" s="6">
        <f>COUNTIFS(Table149152[Country],Tabela1[[#This Row],[Country]],Table149152[Snowboard Cross Classification],"&gt;0")</f>
        <v>0</v>
      </c>
      <c r="QJ42" s="6">
        <f>COUNTIFS(Table153[Country],Tabela1[[#This Row],[Country]],Table153[Mixed Team Snowboard Cross Classification],"&gt;0")</f>
        <v>0</v>
      </c>
      <c r="QK42" s="6">
        <f>COUNTIFS(Table154[Country],Tabela1[[#This Row],[Country]],Table154[500m Classification],"&gt;0")</f>
        <v>0</v>
      </c>
      <c r="QL42" s="6">
        <f>COUNTIFS(Table154157[Country],Tabela1[[#This Row],[Country]],Table154157[500m Classification],"&gt;0")</f>
        <v>0</v>
      </c>
      <c r="QM42" s="6">
        <f>COUNTIFS(Table154[Country],Tabela1[[#This Row],[Country]],Table154[1000m Classification],"&gt;0")</f>
        <v>0</v>
      </c>
      <c r="QN42" s="6">
        <f>COUNTIFS(Table154157[Country],Tabela1[[#This Row],[Country]],Table154157[1000m Classification],"&gt;0")</f>
        <v>0</v>
      </c>
      <c r="QO42" s="6">
        <f>COUNTIFS(Table154[Country],Tabela1[[#This Row],[Country]],Table154[1500m Classification],"&gt;0")</f>
        <v>0</v>
      </c>
      <c r="QP42" s="6">
        <f>COUNTIFS(Table154157[Country],Tabela1[[#This Row],[Country]],Table154157[1500m Classification],"&gt;0")</f>
        <v>0</v>
      </c>
      <c r="QQ42" s="6">
        <f>COUNTIFS(Table154157[Country],Tabela1[[#This Row],[Country]],Table154157[3000m Classification],"&gt;0")</f>
        <v>0</v>
      </c>
      <c r="QR42" s="6">
        <f>COUNTIFS(Table154[Country],Tabela1[[#This Row],[Country]],Table154[5000m Classification],"&gt;0")</f>
        <v>0</v>
      </c>
      <c r="QS42" s="6">
        <f>COUNTIFS(Table154157[Country],Tabela1[[#This Row],[Country]],Table154157[5000m Classification],"&gt;0")</f>
        <v>0</v>
      </c>
      <c r="QT42" s="6">
        <f>COUNTIFS(Table154[Country],Tabela1[[#This Row],[Country]],Table154[10000m Classification],"&gt;0")</f>
        <v>0</v>
      </c>
      <c r="QU42" s="6">
        <f>COUNTIFS(Table154[Country],Tabela1[[#This Row],[Country]],Table154[Mass Start Classification],"&gt;0")</f>
        <v>0</v>
      </c>
      <c r="QV42" s="6">
        <f>COUNTIFS(Table154157[Country],Tabela1[[#This Row],[Country]],Table154157[Mass Start Classification],"&gt;0")</f>
        <v>0</v>
      </c>
      <c r="QW42" s="6">
        <f>COUNTIFS(Table157[Country],Tabela1[[#This Row],[Country]],Table157[Men''s Pursuit Classification],"&gt;0")</f>
        <v>0</v>
      </c>
      <c r="QX42" s="6">
        <f>COUNTIFS(Table157[Country],Tabela1[[#This Row],[Country]],Table157[Women''s Pursuit Classification],"&gt;0")</f>
        <v>0</v>
      </c>
      <c r="QY42" s="3" t="s">
        <v>353</v>
      </c>
    </row>
    <row r="43" spans="1:467" x14ac:dyDescent="0.3">
      <c r="A43" s="6">
        <v>42</v>
      </c>
      <c r="B43" s="6" t="s">
        <v>380</v>
      </c>
      <c r="C43" t="e" vm="42">
        <f>IF(ISBLANK(Tabela1[[#This Row],[Image Link]]), "", _xlfn.IMAGE(Tabela1[[#This Row],[Image Link]],1,1))</f>
        <v>#VALUE!</v>
      </c>
      <c r="D43" s="6">
        <f>SUM(Tabela1[[#This Row],[Archery - Men''s Individual Recurve]:[Speed Skating - Women''s Team Pursuit]])</f>
        <v>25</v>
      </c>
      <c r="E43" s="6">
        <f>COUNTIF(Tabela1[[#This Row],[Archery - Men''s Individual Recurve]:[Speed Skating - Women''s Team Pursuit]],"&gt;0")</f>
        <v>24</v>
      </c>
      <c r="F43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43" s="6">
        <f>SUM(Tabela1[[#This Row],[Archery - Men''s Individual Recurve]:[Wrestling - Women''s Freestyle 76kg]])</f>
        <v>25</v>
      </c>
      <c r="H43" s="6">
        <f>SUM(Tabela1[[#This Row],[Alpine Skiing - Men''s Downhill]:[Speed Skating - Women''s Team Pursuit]])</f>
        <v>0</v>
      </c>
      <c r="I43" s="6">
        <f>Tabela1[[#This Row],[Summer Gold Medals]]+Tabela1[[#This Row],[Winter Gold Medals]]</f>
        <v>2</v>
      </c>
      <c r="J43" s="6">
        <f>Tabela1[[#This Row],[Summer Silver Medals]]+Tabela1[[#This Row],[Winter Silver Medals]]</f>
        <v>0</v>
      </c>
      <c r="K43" s="6">
        <f>Tabela1[[#This Row],[Summer Bronze Medals]]+Tabela1[[#This Row],[Winter Bronze Medals]]</f>
        <v>1</v>
      </c>
      <c r="L43" s="6">
        <f>SUM(Tabela1[[#This Row],[Total Gold Medals]:[Total Bronze Medals]])</f>
        <v>3</v>
      </c>
      <c r="M43" s="6">
        <v>2</v>
      </c>
      <c r="N43" s="6"/>
      <c r="O43" s="6">
        <v>1</v>
      </c>
      <c r="P43" s="6">
        <f>SUM(Tabela1[[#This Row],[Summer Gold Medals]:[Summer Bronze Medals]])</f>
        <v>3</v>
      </c>
      <c r="Q43" s="6"/>
      <c r="R43" s="6"/>
      <c r="S43" s="6"/>
      <c r="T43" s="6">
        <f>Tabela1[[#This Row],[Winter Gold Medals]]+Tabela1[[#This Row],[Winter Silver Medals]]+Tabela1[[#This Row],[Winter Bronze Medals]]</f>
        <v>0</v>
      </c>
      <c r="U43" s="7">
        <f>Tabela1[[#This Row],[Total Medals]]/Tabela1[[#This Row],[Total Quotas]]</f>
        <v>0.12</v>
      </c>
      <c r="V43" s="6">
        <f>COUNTIFS(Table3[Country],Tabela1[[#This Row],[Country]],Table3[Recurve Classification],"&gt;0")</f>
        <v>0</v>
      </c>
      <c r="W43" s="6">
        <f>COUNTIFS(Table33[Country],Tabela1[[#This Row],[Country]],Table33[Recurve Classification],"&gt;0")</f>
        <v>0</v>
      </c>
      <c r="X43" s="6">
        <f>COUNTIFS(Table35[Country],Tabela1[[#This Row],[Country]],Table35[Men''s Team Recurve Classification],"&gt;0")</f>
        <v>0</v>
      </c>
      <c r="Y43" s="6">
        <f>COUNTIFS(Table35[Country],Tabela1[[#This Row],[Country]],Table35[Women''s Team Recurve Classification],"&gt;0")</f>
        <v>0</v>
      </c>
      <c r="Z43" s="6">
        <f>COUNTIFS(Tabela88[Country],Tabela1[[#This Row],[Country]],Tabela88[Mixed Team Recurve Classification],"&gt;0")</f>
        <v>0</v>
      </c>
      <c r="AA43" s="6">
        <f>COUNTIFS(Table36[Country],Tabela1[[#This Row],[Country]],Table36[Classification],"&gt;0")</f>
        <v>0</v>
      </c>
      <c r="AB43" s="6">
        <f>COUNTIFS(Table37[Country],Tabela1[[#This Row],[Country]],Table37[Classification],"&gt;0")</f>
        <v>0</v>
      </c>
      <c r="AC43" s="6">
        <f>COUNTIFS(Table4[Country],Tabela1[[#This Row],[Country]],Table4[100m Classification],"&gt;0")</f>
        <v>0</v>
      </c>
      <c r="AD43" s="6">
        <f>COUNTIFS(Table5[Country],Tabela1[[#This Row],[Country]],Table5[100m Classification],"&gt;0")</f>
        <v>0</v>
      </c>
      <c r="AE43" s="6">
        <f>COUNTIFS(Table4[Country],Tabela1[[#This Row],[Country]],Table4[200m Classification],"&gt;0")</f>
        <v>0</v>
      </c>
      <c r="AF43" s="6">
        <f>COUNTIFS(Table5[Country],Tabela1[[#This Row],[Country]],Table5[200m Classification],"&gt;0")</f>
        <v>0</v>
      </c>
      <c r="AG43" s="6">
        <f>COUNTIFS(Table4[Country],Tabela1[[#This Row],[Country]],Table4[400m Classification],"&gt;0")</f>
        <v>0</v>
      </c>
      <c r="AH43" s="6">
        <f>COUNTIFS(Table5[Country],Tabela1[[#This Row],[Country]],Table5[400m Classification],"&gt;0")</f>
        <v>0</v>
      </c>
      <c r="AI43" s="6">
        <f>COUNTIFS(Table4[Country],Tabela1[[#This Row],[Country]],Table4[800m Classification],"&gt;0")</f>
        <v>1</v>
      </c>
      <c r="AJ43" s="6">
        <f>COUNTIFS(Table5[Country],Tabela1[[#This Row],[Country]],Table5[800m Classification],"&gt;0")</f>
        <v>0</v>
      </c>
      <c r="AK43" s="6">
        <f>COUNTIFS(Table4[Country],Tabela1[[#This Row],[Country]],Table4[1500m Classification],"&gt;0")</f>
        <v>0</v>
      </c>
      <c r="AL43" s="6">
        <f>COUNTIFS(Table5[Country],Tabela1[[#This Row],[Country]],Table5[1500m Classification],"&gt;0")</f>
        <v>0</v>
      </c>
      <c r="AM43" s="6">
        <f>COUNTIFS(Table4[Country],Tabela1[[#This Row],[Country]],Table4[5000m Classification],"&gt;0")</f>
        <v>0</v>
      </c>
      <c r="AN43" s="6">
        <f>COUNTIFS(Table5[Country],Tabela1[[#This Row],[Country]],Table5[5000m Classification],"&gt;0")</f>
        <v>0</v>
      </c>
      <c r="AO43" s="6">
        <f>COUNTIFS(Table4[Country],Tabela1[[#This Row],[Country]],Table4[10000m Classification],"&gt;0")</f>
        <v>0</v>
      </c>
      <c r="AP43" s="6">
        <f>COUNTIFS(Table5[Country],Tabela1[[#This Row],[Country]],Table5[10000m Classification],"&gt;0")</f>
        <v>0</v>
      </c>
      <c r="AQ43" s="6">
        <f>COUNTIFS(Table4[Country],Tabela1[[#This Row],[Country]],Table4[110m Hurdles Classification],"&gt;0")</f>
        <v>1</v>
      </c>
      <c r="AR43" s="6">
        <f>COUNTIFS(Table5[Country],Tabela1[[#This Row],[Country]],Table5[100m Hurdles Classification],"&gt;0")</f>
        <v>0</v>
      </c>
      <c r="AS43" s="6">
        <f>COUNTIFS(Table4[Country],Tabela1[[#This Row],[Country]],Table4[400m Hurdles Classification],"&gt;0")</f>
        <v>0</v>
      </c>
      <c r="AT43" s="6">
        <f>COUNTIFS(Table5[Country],Tabela1[[#This Row],[Country]],Table5[400m Hurdles Classification],"&gt;0")</f>
        <v>0</v>
      </c>
      <c r="AU43" s="6">
        <f>COUNTIFS(Table4[Country],Tabela1[[#This Row],[Country]],Table4[3000m Steeplechase Classification],"&gt;0")</f>
        <v>0</v>
      </c>
      <c r="AV43" s="6">
        <f>COUNTIFS(Table5[Country],Tabela1[[#This Row],[Country]],Table5[3000m Steeplechase Classification],"&gt;0")</f>
        <v>0</v>
      </c>
      <c r="AW43" s="6">
        <f>COUNTIFS(Table27[Country],Tabela1[[#This Row],[Country]],Table27[Men''s 4x100m Relay Classification],"&gt;0")</f>
        <v>0</v>
      </c>
      <c r="AX43" s="6">
        <f>COUNTIFS(Table27[Country],Tabela1[[#This Row],[Country]],Table27[Women''s 4x100m Relay Classification],"&gt;0")</f>
        <v>0</v>
      </c>
      <c r="AY43" s="6">
        <f>COUNTIFS(Table27[Country],Tabela1[[#This Row],[Country]],Table27[Men''s 4x400m Relay Classification],"&gt;0")</f>
        <v>0</v>
      </c>
      <c r="AZ43" s="6">
        <f>COUNTIFS(Table27[Country],Tabela1[[#This Row],[Country]],Table27[Women''s 4x400m Relay Classification],"&gt;0")</f>
        <v>0</v>
      </c>
      <c r="BA43" s="6">
        <f>COUNTIFS(Table27[Country],Tabela1[[#This Row],[Country]],Table27[Mixed 4x400m Relay Classification],"&gt;0")</f>
        <v>0</v>
      </c>
      <c r="BB43" s="6">
        <f>COUNTIFS(Table4[Country],Tabela1[[#This Row],[Country]],Table4[Marathon Classification],"&gt;0")</f>
        <v>0</v>
      </c>
      <c r="BC43" s="6">
        <f>COUNTIFS(Table5[Country],Tabela1[[#This Row],[Country]],Table5[Marathon Classification],"&gt;0")</f>
        <v>0</v>
      </c>
      <c r="BD43" s="6">
        <f>COUNTIFS(Table4[Country],Tabela1[[#This Row],[Country]],Table4[20km Race Walk Classification],"&gt;0")</f>
        <v>0</v>
      </c>
      <c r="BE43" s="6">
        <f>COUNTIFS(Table5[Country],Tabela1[[#This Row],[Country]],Table5[20km Race Walk Classification],"&gt;0")</f>
        <v>0</v>
      </c>
      <c r="BF43" s="6">
        <f>COUNTIFS(Tabela96[Country],Tabela1[[#This Row],[Country]],Tabela96[Mixed Marathon Race Walk Relay Classification],"&gt;0")</f>
        <v>0</v>
      </c>
      <c r="BG43" s="6">
        <f>COUNTIFS(Table4[Country],Tabela1[[#This Row],[Country]],Table4[Discus Throw Classification],"&gt;0")</f>
        <v>0</v>
      </c>
      <c r="BH43" s="6">
        <f>COUNTIFS(Table5[Country],Tabela1[[#This Row],[Country]],Table5[Discus Throw Classification],"&gt;0")</f>
        <v>0</v>
      </c>
      <c r="BI43" s="6">
        <f>COUNTIFS(Table4[Country],Tabela1[[#This Row],[Country]],Table4[Hammer Throw Classification],"&gt;0")</f>
        <v>0</v>
      </c>
      <c r="BJ43" s="6">
        <f>COUNTIFS(Table5[Country],Tabela1[[#This Row],[Country]],Table5[Hammer Throw Classification],"&gt;0")</f>
        <v>1</v>
      </c>
      <c r="BK43" s="6">
        <f>COUNTIFS(Table4[Country],Tabela1[[#This Row],[Country]],Table4[High Jump Classification],"&gt;0")</f>
        <v>0</v>
      </c>
      <c r="BL43" s="6">
        <f>COUNTIFS(Table5[Country],Tabela1[[#This Row],[Country]],Table5[High Jump Classification],"&gt;0")</f>
        <v>0</v>
      </c>
      <c r="BM43" s="6">
        <f>COUNTIFS(Table4[Country],Tabela1[[#This Row],[Country]],Table4[Javelin Throw Classification],"&gt;0")</f>
        <v>0</v>
      </c>
      <c r="BN43" s="6">
        <f>COUNTIFS(Table5[Country],Tabela1[[#This Row],[Country]],Table5[Javelin Throw Classification],"&gt;0")</f>
        <v>0</v>
      </c>
      <c r="BO43" s="6">
        <f>COUNTIFS(Table4[Country],Tabela1[[#This Row],[Country]],Table4[Long Jump Classification],"&gt;0")</f>
        <v>0</v>
      </c>
      <c r="BP43" s="6">
        <f>COUNTIFS(Table5[Country],Tabela1[[#This Row],[Country]],Table5[Long Jump Classification],"&gt;0")</f>
        <v>0</v>
      </c>
      <c r="BQ43" s="6">
        <f>COUNTIFS(Table4[Country],Tabela1[[#This Row],[Country]],Table4[Pole Vault Classification],"&gt;0")</f>
        <v>0</v>
      </c>
      <c r="BR43" s="6">
        <f>COUNTIFS(Table5[Country],Tabela1[[#This Row],[Country]],Table5[Pole Vault Classification],"&gt;0")</f>
        <v>0</v>
      </c>
      <c r="BS43" s="6">
        <f>COUNTIFS(Table4[Country],Tabela1[[#This Row],[Country]],Table4[Shot Put Classification],"&gt;0")</f>
        <v>0</v>
      </c>
      <c r="BT43" s="6">
        <f>COUNTIFS(Table5[Country],Tabela1[[#This Row],[Country]],Table5[Shot Put Classification],"&gt;0")</f>
        <v>0</v>
      </c>
      <c r="BU43" s="6">
        <f>COUNTIFS(Table4[Country],Tabela1[[#This Row],[Country]],Table4[Triple Jump Classification],"&gt;0")</f>
        <v>1</v>
      </c>
      <c r="BV43" s="6">
        <f>COUNTIFS(Table5[Country],Tabela1[[#This Row],[Country]],Table5[Triple Jump Classification],"&gt;0")</f>
        <v>0</v>
      </c>
      <c r="BW43" s="6">
        <f>COUNTIFS(Table4[Country],Tabela1[[#This Row],[Country]],Table4[Decathlon Classification],"&gt;0")</f>
        <v>0</v>
      </c>
      <c r="BX43" s="6">
        <f>COUNTIFS(Table5[Country],Tabela1[[#This Row],[Country]],Table5[Heptathlon Classification],"&gt;0")</f>
        <v>0</v>
      </c>
      <c r="BY43" s="6">
        <f>COUNTIFS(Table61[Country],Tabela1[[#This Row],[Country]],Table61[Classification],"&gt;0")</f>
        <v>0</v>
      </c>
      <c r="BZ43" s="6">
        <f>COUNTIFS(Table38[Country],Tabela1[[#This Row],[Country]],Table38[Classification],"&gt;0")</f>
        <v>0</v>
      </c>
      <c r="CA43" s="6">
        <f>COUNTIFS(Table39[Country],Tabela1[[#This Row],[Country]],Table39[Men''s Classification],"&gt;0")</f>
        <v>0</v>
      </c>
      <c r="CB43" s="6">
        <f>COUNTIFS(Table39[Country],Tabela1[[#This Row],[Country]],Table39[Women''s Classification],"&gt;0")</f>
        <v>0</v>
      </c>
      <c r="CC43" s="6">
        <f>COUNTIFS(Table39[Country],Tabela1[[#This Row],[Country]],Table39[Mixed Classification],"&gt;0")</f>
        <v>0</v>
      </c>
      <c r="CD43" s="6">
        <f>COUNTIFS(Table89[Country],Tabela1[[#This Row],[Country]],Table89[Men''s Classification],"&gt;0")</f>
        <v>0</v>
      </c>
      <c r="CE43" s="6">
        <f>COUNTIFS(Table89[Country],Tabela1[[#This Row],[Country]],Table89[Women''s Classification],"&gt;0")</f>
        <v>0</v>
      </c>
      <c r="CF43" s="6">
        <f>COUNTIFS(Table90[Country],Tabela1[[#This Row],[Country]],Table90[Men''s Classification],"&gt;0")</f>
        <v>0</v>
      </c>
      <c r="CG43" s="6">
        <f>COUNTIFS(Table90[Country],Tabela1[[#This Row],[Country]],Table90[Women''s Classification],"&gt;0")</f>
        <v>0</v>
      </c>
      <c r="CH43" s="6">
        <f>COUNTIFS(Table60[Country],Tabela1[[#This Row],[Country]],Table60[Men''s Classification],"&gt;0")</f>
        <v>0</v>
      </c>
      <c r="CI43" s="6">
        <f>COUNTIFS(Table60[Country],Tabela1[[#This Row],[Country]],Table60[Women''s Classification],"&gt;0")</f>
        <v>0</v>
      </c>
      <c r="CJ43" s="6">
        <f>COUNTIFS(Table6[Country],Tabela1[[#This Row],[Country]],Table6[51kg Classification],"&gt;0")</f>
        <v>0</v>
      </c>
      <c r="CK43" s="6">
        <f>COUNTIFS(Table6[Country],Tabela1[[#This Row],[Country]],Table6[57kg Classification],"&gt;0")</f>
        <v>0</v>
      </c>
      <c r="CL43" s="6">
        <f>COUNTIFS(Table6[Country],Tabela1[[#This Row],[Country]],Table6[63.5kg Classification],"&gt;0")</f>
        <v>1</v>
      </c>
      <c r="CM43" s="6">
        <f>COUNTIFS(Table6[Country],Tabela1[[#This Row],[Country]],Table6[71kg Classification],"&gt;0")</f>
        <v>0</v>
      </c>
      <c r="CN43" s="6">
        <f>COUNTIFS(Table6[Country],Tabela1[[#This Row],[Country]],Table6[80kg Classification],"&gt;0")</f>
        <v>0</v>
      </c>
      <c r="CO43" s="6">
        <f>COUNTIFS(Table6[Country],Tabela1[[#This Row],[Country]],Table6[92kg Classification],"&gt;0")</f>
        <v>0</v>
      </c>
      <c r="CP43" s="6">
        <f>COUNTIFS(Table6[Country],Tabela1[[#This Row],[Country]],Table6[Plus 92kg Classification],"&gt;0")</f>
        <v>1</v>
      </c>
      <c r="CQ43" s="6">
        <f>COUNTIFS(Table7[Country],Tabela1[[#This Row],[Country]],Table7[50kg Classification],"&gt;0")</f>
        <v>0</v>
      </c>
      <c r="CR43" s="6">
        <f>COUNTIFS(Table7[Country],Tabela1[[#This Row],[Country]],Table7[54kg Classification],"&gt;0")</f>
        <v>0</v>
      </c>
      <c r="CS43" s="6">
        <f>COUNTIFS(Table7[Country],Tabela1[[#This Row],[Country]],Table7[57kg Classification],"&gt;0")</f>
        <v>0</v>
      </c>
      <c r="CT43" s="6">
        <f>COUNTIFS(Table7[Country],Tabela1[[#This Row],[Country]],Table7[60kg Classification],"&gt;0")</f>
        <v>0</v>
      </c>
      <c r="CU43" s="6">
        <f>COUNTIFS(Table7[Country],Tabela1[[#This Row],[Country]],Table7[66kg Classification],"&gt;0")</f>
        <v>0</v>
      </c>
      <c r="CV43" s="6">
        <f>COUNTIFS(Table7[Country],Tabela1[[#This Row],[Country]],Table7[75kg Classification],"&gt;0")</f>
        <v>0</v>
      </c>
      <c r="CW43" s="6">
        <f>COUNTIFS(Tabela94[Country],Tabela1[[#This Row],[Country]],Tabela94[Classification],"&gt;0")</f>
        <v>0</v>
      </c>
      <c r="CX43" s="6">
        <f>COUNTIFS(Tabela9499[Country],Tabela1[[#This Row],[Country]],Tabela9499[Classification],"&gt;0")</f>
        <v>0</v>
      </c>
      <c r="CY43" s="6">
        <f>COUNTIFS(Tabela107[Country],Tabela1[[#This Row],[Country]],Tabela107[C1 Slalom Classification],"&gt;0")</f>
        <v>0</v>
      </c>
      <c r="CZ43" s="6">
        <f>COUNTIFS(Tabela107122[Country],Tabela1[[#This Row],[Country]],Tabela107122[C1 Slalom Classification],"&gt;0")</f>
        <v>0</v>
      </c>
      <c r="DA43" s="6">
        <f>COUNTIFS(Tabela107[Country],Tabela1[[#This Row],[Country]],Tabela107[K1 Slalom Classification],"&gt;0")</f>
        <v>0</v>
      </c>
      <c r="DB43" s="6">
        <f>COUNTIFS(Tabela107122[Country],Tabela1[[#This Row],[Country]],Tabela107122[K1 Slalom Classification],"&gt;0")</f>
        <v>0</v>
      </c>
      <c r="DC43" s="6">
        <f>COUNTIFS(Tabela107[Country],Tabela1[[#This Row],[Country]],Tabela107[Kayak Cross Slalom Classification],"&gt;0")</f>
        <v>0</v>
      </c>
      <c r="DD43" s="6">
        <f>COUNTIFS(Tabela107122[Country],Tabela1[[#This Row],[Country]],Tabela107122[Kayak Cross Slalom Classification],"&gt;0")</f>
        <v>0</v>
      </c>
      <c r="DE43" s="6">
        <f>COUNTIFS(Table8[Country],Tabela1[[#This Row],[Country]],Table8[C1 200m Classification],"&gt;0")</f>
        <v>0</v>
      </c>
      <c r="DF43" s="6">
        <f>COUNTIFS(Table40[Country],Tabela1[[#This Row],[Country]],Table40[C1 1000m Classification],"&gt;0")</f>
        <v>0</v>
      </c>
      <c r="DG43" s="6">
        <f>COUNTIFS(Table68[Country],Tabela1[[#This Row],[Country]],Table68[Men''s C2 500m Classification],"&gt;0")</f>
        <v>0</v>
      </c>
      <c r="DH43" s="6">
        <f>COUNTIFS(Table68[Country],Tabela1[[#This Row],[Country]],Table68[Women''s C2 500m Classification],"&gt;0")</f>
        <v>0</v>
      </c>
      <c r="DI43" s="6">
        <f>COUNTIFS(Table8[Country],Tabela1[[#This Row],[Country]],Table8[K1 500m Classification],"&gt;0")</f>
        <v>0</v>
      </c>
      <c r="DJ43" s="6">
        <f>COUNTIFS(Table40[Country],Tabela1[[#This Row],[Country]],Table40[K1 1000m Classification],"&gt;0")</f>
        <v>0</v>
      </c>
      <c r="DK43" s="6">
        <f>COUNTIFS(Table68[Country],Tabela1[[#This Row],[Country]],Table68[Men''s K2 500m Classification],"&gt;0")</f>
        <v>0</v>
      </c>
      <c r="DL43" s="6">
        <f>COUNTIFS(Table68[Country],Tabela1[[#This Row],[Country]],Table68[Women''s K2 500m Classification],"&gt;0")</f>
        <v>0</v>
      </c>
      <c r="DM43" s="6">
        <f>COUNTIFS(Table83[Country],Tabela1[[#This Row],[Country]],Table83[Men''s K4 500m Classification],"&gt;0")</f>
        <v>0</v>
      </c>
      <c r="DN43" s="6">
        <f>COUNTIFS(Table83[Country],Tabela1[[#This Row],[Country]],Table83[Women''s K4 500m Classification],"&gt;0")</f>
        <v>0</v>
      </c>
      <c r="DO43" s="6">
        <f>COUNTIFS(Tabela126[Country],Tabela1[[#This Row],[Country]],Tabela126[Classification],"&gt;0")</f>
        <v>0</v>
      </c>
      <c r="DP43" s="6">
        <f>COUNTIFS(Tabela126130[Country],Tabela1[[#This Row],[Country]],Tabela126130[Classification],"&gt;0")</f>
        <v>0</v>
      </c>
      <c r="DQ43" s="6">
        <f>COUNTIFS(Table70[Country],Tabela1[[#This Row],[Country]],Table70[Classification],"&gt;0")</f>
        <v>0</v>
      </c>
      <c r="DR43" s="6">
        <f>COUNTIFS(Table80[Country],Tabela1[[#This Row],[Country]],Table80[Classification],"&gt;0")</f>
        <v>0</v>
      </c>
      <c r="DS43" s="6">
        <f>COUNTIFS(Table66[Country],Tabela1[[#This Row],[Country]],Table66[Classification],"&gt;0")</f>
        <v>0</v>
      </c>
      <c r="DT43" s="6">
        <f>COUNTIFS(Table67[Country],Tabela1[[#This Row],[Country]],Table67[Classification],"&gt;0")</f>
        <v>0</v>
      </c>
      <c r="DU43" s="6">
        <f>COUNTIFS(Table69[Country],Tabela1[[#This Row],[Country]],Table69[Keirin Classification],"&gt;0")</f>
        <v>0</v>
      </c>
      <c r="DV43" s="6">
        <f>COUNTIFS(Table41[Country],Tabela1[[#This Row],[Country]],Table41[Keirin Classification],"&gt;0")</f>
        <v>0</v>
      </c>
      <c r="DW43" s="6">
        <f>COUNTIFS(Table84[Country],Tabela1[[#This Row],[Country]],Table84[Men''s Madison Classification],"&gt;0")</f>
        <v>0</v>
      </c>
      <c r="DX43" s="6">
        <f>COUNTIFS(Table84[Country],Tabela1[[#This Row],[Country]],Table84[Women''s Madison Classification],"&gt;0")</f>
        <v>0</v>
      </c>
      <c r="DY43" s="6">
        <f>COUNTIFS(Table69[Country],Tabela1[[#This Row],[Country]],Table69[Omnium Classification],"&gt;0")</f>
        <v>0</v>
      </c>
      <c r="DZ43" s="6">
        <f>COUNTIFS(Table41[Country],Tabela1[[#This Row],[Country]],Table41[Omnium Classification],"&gt;0")</f>
        <v>0</v>
      </c>
      <c r="EA43" s="6">
        <f>COUNTIFS(Table9[Country],Tabela1[[#This Row],[Country]],Table9[Road Race Classification],"&gt;0")</f>
        <v>1</v>
      </c>
      <c r="EB43" s="6">
        <f>COUNTIFS(Table14[Country],Tabela1[[#This Row],[Country]],Table14[Road Race Classification],"&gt;0")</f>
        <v>1</v>
      </c>
      <c r="EC43" s="6">
        <f>COUNTIFS(Table69[Country],Tabela1[[#This Row],[Country]],Table69[Sprint Classification],"&gt;0")</f>
        <v>0</v>
      </c>
      <c r="ED43" s="6">
        <f>COUNTIFS(Table41[Country],Tabela1[[#This Row],[Country]],Table41[Sprint Classification],"&gt;0")</f>
        <v>0</v>
      </c>
      <c r="EE43" s="6">
        <f>COUNTIFS(Table85[Country],Tabela1[[#This Row],[Country]],Table85[Men''s Sprint Classification],"&gt;0")</f>
        <v>0</v>
      </c>
      <c r="EF43" s="6">
        <f>COUNTIFS(Table85[Country],Tabela1[[#This Row],[Country]],Table85[Women''s Sprint Classification],"&gt;0")</f>
        <v>0</v>
      </c>
      <c r="EG43" s="6">
        <f>COUNTIFS(Table85[Country],Tabela1[[#This Row],[Country]],Table85[Men''s Pursuit Classification],"&gt;0")</f>
        <v>0</v>
      </c>
      <c r="EH43" s="6">
        <f>COUNTIFS(Table85[Country],Tabela1[[#This Row],[Country]],Table85[Women''s Pursuit Classification],"&gt;0")</f>
        <v>0</v>
      </c>
      <c r="EI43" s="6">
        <f>COUNTIFS(Table9[Country],Tabela1[[#This Row],[Country]],Table9[Time-Trial Classification],"&gt;0")</f>
        <v>0</v>
      </c>
      <c r="EJ43" s="6">
        <f>COUNTIFS(Table14[Country],Tabela1[[#This Row],[Country]],Table14[Time-Trial Classification],"&gt;0")</f>
        <v>0</v>
      </c>
      <c r="EK43" s="6">
        <f>COUNTIFS(Table42[Country],Tabela1[[#This Row],[Country]],Table42[Springboard Classification],"&gt;0")</f>
        <v>0</v>
      </c>
      <c r="EL43" s="6">
        <f>COUNTIFS(Table43[Country],Tabela1[[#This Row],[Country]],Table43[Springboard Classification],"&gt;0")</f>
        <v>0</v>
      </c>
      <c r="EM43" s="6">
        <f>COUNTIFS(Table42[Country],Tabela1[[#This Row],[Country]],Table42[Platform Classification],"&gt;0")</f>
        <v>0</v>
      </c>
      <c r="EN43" s="6">
        <f>COUNTIFS(Table43[Country],Tabela1[[#This Row],[Country]],Table43[Platform Classification],"&gt;0")</f>
        <v>0</v>
      </c>
      <c r="EO43" s="6">
        <f>COUNTIFS(Table86[Country],Tabela1[[#This Row],[Country]],Table86[Men''s Synchronized Springboard Classification],"&gt;0")</f>
        <v>0</v>
      </c>
      <c r="EP43" s="6">
        <f>COUNTIFS(Table86[Country],Tabela1[[#This Row],[Country]],Table86[Women''s Synchronized Springboard Classification],"&gt;0")</f>
        <v>0</v>
      </c>
      <c r="EQ43" s="6">
        <f>COUNTIFS(Table86[Country],Tabela1[[#This Row],[Country]],Table86[Men''s Synchronized Platform Classification],"&gt;0")</f>
        <v>0</v>
      </c>
      <c r="ER43" s="6">
        <f>COUNTIFS(Table86[Country],Tabela1[[#This Row],[Country]],Table86[Women''s Synchronized Platform Classification],"&gt;0")</f>
        <v>0</v>
      </c>
      <c r="ES43" s="6">
        <f>COUNTIFS(Table44[Country],Tabela1[[#This Row],[Country]],Table44[Dressage Classification],"&gt;0")</f>
        <v>0</v>
      </c>
      <c r="ET43" s="6">
        <f>COUNTIFS(Table45[Country],Tabela1[[#This Row],[Country]],Table45[Dressage Classification],"&gt;0")</f>
        <v>0</v>
      </c>
      <c r="EU43" s="6">
        <f>COUNTIFS(Table44[Country],Tabela1[[#This Row],[Country]],Table44[Eventing Classification],"&gt;0")</f>
        <v>0</v>
      </c>
      <c r="EV43" s="6">
        <f>COUNTIFS(Table45[Country],Tabela1[[#This Row],[Country]],Table45[Eventing Classification],"&gt;0")</f>
        <v>0</v>
      </c>
      <c r="EW43" s="6">
        <f>COUNTIFS(Table44[Country],Tabela1[[#This Row],[Country]],Table44[Jumping Classification],"&gt;0")</f>
        <v>0</v>
      </c>
      <c r="EX43" s="6">
        <f>COUNTIFS(Table45[Country],Tabela1[[#This Row],[Country]],Table45[Jumping Classification],"&gt;0")</f>
        <v>0</v>
      </c>
      <c r="EY43" s="6">
        <f>COUNTIFS(Table10[Country],Tabela1[[#This Row],[Country]],Table10[Épée Classification],"&gt;0")</f>
        <v>0</v>
      </c>
      <c r="EZ43" s="6">
        <f>COUNTIFS(Table11[Country],Tabela1[[#This Row],[Country]],Table11[Épée Classification],"&gt;0")</f>
        <v>0</v>
      </c>
      <c r="FA43" s="6">
        <f>COUNTIFS(Table46[Country],Tabela1[[#This Row],[Country]],Table46[Men''s Épée Classification],"&gt;0")</f>
        <v>0</v>
      </c>
      <c r="FB43" s="6">
        <f>COUNTIFS(Table46[Country],Tabela1[[#This Row],[Country]],Table46[Women''s Épée Classification],"&gt;0")</f>
        <v>0</v>
      </c>
      <c r="FC43" s="6">
        <f>COUNTIFS(Table10[Country],Tabela1[[#This Row],[Country]],Table10[Foil Classification],"&gt;0")</f>
        <v>1</v>
      </c>
      <c r="FD43" s="6">
        <f>COUNTIFS(Table11[Country],Tabela1[[#This Row],[Country]],Table11[Foil Classification],"&gt;0")</f>
        <v>0</v>
      </c>
      <c r="FE43" s="6">
        <f>COUNTIFS(Table46[Country],Tabela1[[#This Row],[Country]],Table46[Men''s Foil Classification],"&gt;0")</f>
        <v>0</v>
      </c>
      <c r="FF43" s="6">
        <f>COUNTIFS(Table46[Country],Tabela1[[#This Row],[Country]],Table46[Women''s Foil Classification],"&gt;0")</f>
        <v>0</v>
      </c>
      <c r="FG43" s="6">
        <f>COUNTIFS(Table10[Country],Tabela1[[#This Row],[Country]],Table10[Sabre Classification],"&gt;0")</f>
        <v>0</v>
      </c>
      <c r="FH43" s="6">
        <f>COUNTIFS(Table11[Country],Tabela1[[#This Row],[Country]],Table11[Sabre Classification],"&gt;0")</f>
        <v>2</v>
      </c>
      <c r="FI43" s="6">
        <f>COUNTIFS(Table46[Country],Tabela1[[#This Row],[Country]],Table46[Men''s Sabre Classification],"&gt;0")</f>
        <v>0</v>
      </c>
      <c r="FJ43" s="6">
        <f>COUNTIFS(Table46[Country],Tabela1[[#This Row],[Country]],Table46[Women''s Sabre Classification],"&gt;0")</f>
        <v>1</v>
      </c>
      <c r="FK43" s="6">
        <f>COUNTIFS(Table91[Country],Tabela1[[#This Row],[Country]],Table91[Men''s Classification],"&gt;0")</f>
        <v>0</v>
      </c>
      <c r="FL43" s="6">
        <f>COUNTIFS(Table91[Country],Tabela1[[#This Row],[Country]],Table91[Women''s Classification],"&gt;0")</f>
        <v>0</v>
      </c>
      <c r="FM43" s="6">
        <f>COUNTIFS(Table9194[Country],Tabela1[[#This Row],[Country]],Table9194[Men''s Classification],"&gt;0")</f>
        <v>0</v>
      </c>
      <c r="FN43" s="6">
        <f>COUNTIFS(Table9194[Country],Tabela1[[#This Row],[Country]],Table9194[Women''s Classification],"&gt;0")</f>
        <v>0</v>
      </c>
      <c r="FO43" s="6">
        <f>COUNTIFS(Table71[Country],Tabela1[[#This Row],[Country]],Table71[Classification],"&gt;0")</f>
        <v>0</v>
      </c>
      <c r="FP43" s="6">
        <f>COUNTIFS(Table62[Country],Tabela1[[#This Row],[Country]],Table62[Classification],"&gt;0")</f>
        <v>0</v>
      </c>
      <c r="FQ43" s="6">
        <f>COUNTIFS(Table47[Country],Tabela1[[#This Row],[Country]],Table47[All-Around Classification],"&gt;0")</f>
        <v>0</v>
      </c>
      <c r="FR43" s="6">
        <f>COUNTIFS(Table48[Country],Tabela1[[#This Row],[Country]],Table48[All-Around Classification],"&gt;0")</f>
        <v>0</v>
      </c>
      <c r="FS43" s="6">
        <f>COUNTIFS(Table81[Country],Tabela1[[#This Row],[Country]],Table81[Men''s All-Around Classification],"&gt;0")</f>
        <v>0</v>
      </c>
      <c r="FT43" s="6">
        <f>COUNTIFS(Table81[Country],Tabela1[[#This Row],[Country]],Table81[Women''s All-Around Classification],"&gt;0")</f>
        <v>0</v>
      </c>
      <c r="FU43" s="6">
        <f>COUNTIFS(Table48[Country],Tabela1[[#This Row],[Country]],Table48[Balance Beam Classification],"&gt;0")</f>
        <v>0</v>
      </c>
      <c r="FV43" s="6">
        <f>COUNTIFS(Table47[Country],Tabela1[[#This Row],[Country]],Table47[Floor Exercise Classification],"&gt;0")</f>
        <v>0</v>
      </c>
      <c r="FW43" s="6">
        <f>COUNTIFS(Table48[Country],Tabela1[[#This Row],[Country]],Table48[Floor Exercise Classification],"&gt;0")</f>
        <v>0</v>
      </c>
      <c r="FX43" s="6">
        <f>COUNTIFS(Table47[Country],Tabela1[[#This Row],[Country]],Table47[Horizontal Bar Classification],"&gt;0")</f>
        <v>0</v>
      </c>
      <c r="FY43" s="6">
        <f>COUNTIFS(Table47[Country],Tabela1[[#This Row],[Country]],Table47[Parallel Bars Classification],"&gt;0")</f>
        <v>0</v>
      </c>
      <c r="FZ43" s="6">
        <f>COUNTIFS(Table47[Country],Tabela1[[#This Row],[Country]],Table47[Pommel Horse Classification],"&gt;0")</f>
        <v>0</v>
      </c>
      <c r="GA43" s="6">
        <f>COUNTIFS(Table47[Country],Tabela1[[#This Row],[Country]],Table47[Rings Classification],"&gt;0")</f>
        <v>0</v>
      </c>
      <c r="GB43" s="6">
        <f>COUNTIFS(Tabela132[Country],Tabela1[[#This Row],[Country]],Tabela132[Classification],"&gt;0")</f>
        <v>0</v>
      </c>
      <c r="GC43" s="6">
        <f>COUNTIFS(Tabela139[Country],Tabela1[[#This Row],[Country]],Tabela139[Classification],"&gt;0")</f>
        <v>0</v>
      </c>
      <c r="GD43" s="6">
        <f>COUNTIFS(Table48[Country],Tabela1[[#This Row],[Country]],Table48[Uneven Bars Classification],"&gt;0")</f>
        <v>0</v>
      </c>
      <c r="GE43" s="6">
        <f>COUNTIFS(Table47[Country],Tabela1[[#This Row],[Country]],Table47[Vault Classification],"&gt;0")</f>
        <v>0</v>
      </c>
      <c r="GF43" s="6">
        <f>COUNTIFS(Table48[Country],Tabela1[[#This Row],[Country]],Table48[Vault Classification],"&gt;0")</f>
        <v>0</v>
      </c>
      <c r="GG43" s="6">
        <f>COUNTIFS(Table919496[Country],Tabela1[[#This Row],[Country]],Table919496[Men''s Classification],"&gt;0")</f>
        <v>0</v>
      </c>
      <c r="GH43" s="6">
        <f>COUNTIFS(Table919496[Country],Tabela1[[#This Row],[Country]],Table919496[Women''s Classification],"&gt;0")</f>
        <v>0</v>
      </c>
      <c r="GI43" s="6">
        <f>COUNTIFS(Table12[Country],Tabela1[[#This Row],[Country]],Table12[60kg Classification],"&gt;0")</f>
        <v>0</v>
      </c>
      <c r="GJ43" s="6">
        <f>COUNTIFS(Table12[Country],Tabela1[[#This Row],[Country]],Table12[66kg Classification],"&gt;0")</f>
        <v>0</v>
      </c>
      <c r="GK43" s="6">
        <f>COUNTIFS(Table12[Country],Tabela1[[#This Row],[Country]],Table12[73kg Classification],"&gt;0")</f>
        <v>0</v>
      </c>
      <c r="GL43" s="6">
        <f>COUNTIFS(Table12[Country],Tabela1[[#This Row],[Country]],Table12[81kg Classification],"&gt;0")</f>
        <v>0</v>
      </c>
      <c r="GM43" s="6">
        <f>COUNTIFS(Table12[Country],Tabela1[[#This Row],[Country]],Table12[90kg Classification],"&gt;0")</f>
        <v>0</v>
      </c>
      <c r="GN43" s="6">
        <f>COUNTIFS(Table12[Country],Tabela1[[#This Row],[Country]],Table12[100kg Classification],"&gt;0")</f>
        <v>0</v>
      </c>
      <c r="GO43" s="6">
        <f>COUNTIFS(Table12[Country],Tabela1[[#This Row],[Country]],Table12[Plus 100kg Classification],"&gt;0")</f>
        <v>0</v>
      </c>
      <c r="GP43" s="6">
        <f>COUNTIFS(Table13[Country],Tabela1[[#This Row],[Country]],Table13[48kg Classification],"&gt;0")</f>
        <v>0</v>
      </c>
      <c r="GQ43" s="6">
        <f>COUNTIFS(Table13[Country],Tabela1[[#This Row],[Country]],Table13[52kg Classification],"&gt;0")</f>
        <v>0</v>
      </c>
      <c r="GR43" s="6">
        <f>COUNTIFS(Table13[Country],Tabela1[[#This Row],[Country]],Table13[57kg Classification],"&gt;0")</f>
        <v>0</v>
      </c>
      <c r="GS43" s="6">
        <f>COUNTIFS(Table13[Country],Tabela1[[#This Row],[Country]],Table13[63kg Classification],"&gt;0")</f>
        <v>1</v>
      </c>
      <c r="GT43" s="6">
        <f>COUNTIFS(Table13[Country],Tabela1[[#This Row],[Country]],Table13[70kg Classification],"&gt;0")</f>
        <v>0</v>
      </c>
      <c r="GU43" s="6">
        <f>COUNTIFS(Table13[Country],Tabela1[[#This Row],[Country]],Table13[78kg Classification],"&gt;0")</f>
        <v>0</v>
      </c>
      <c r="GV43" s="6">
        <f>COUNTIFS(Table13[Country],Tabela1[[#This Row],[Country]],Table13[Plus 78kg Classification],"&gt;0")</f>
        <v>0</v>
      </c>
      <c r="GW43" s="6">
        <f>COUNTIFS(Table82[Country],Tabela1[[#This Row],[Country]],Table82[Mixed Classification],"&gt;0")</f>
        <v>0</v>
      </c>
      <c r="GX43" s="6">
        <f>COUNTIFS(Table51[Country],Tabela1[[#This Row],[Country]],Table51[Classification],"&gt;0")</f>
        <v>0</v>
      </c>
      <c r="GY43" s="6">
        <f>COUNTIFS(Table52[Country],Tabela1[[#This Row],[Country]],Table52[Classification],"&gt;0")</f>
        <v>0</v>
      </c>
      <c r="GZ43" s="6">
        <f>COUNTIFS(Table32[Country],Tabela1[[#This Row],[Country]],Table32[All-Around Classification],"&gt;0")</f>
        <v>0</v>
      </c>
      <c r="HA43" s="6">
        <f>COUNTIFS(Table49[Country],Tabela1[[#This Row],[Country]],Table49[All-Around Classification],"&gt;0")</f>
        <v>0</v>
      </c>
      <c r="HB43" s="6">
        <f>COUNTIFS(Table26[Country],Tabela1[[#This Row],[Country]],Table26[Single Sculls Classification],"&gt;0")</f>
        <v>1</v>
      </c>
      <c r="HC43" s="6">
        <f>COUNTIFS(Table63[Country],Tabela1[[#This Row],[Country]],Table63[Single Sculls Classification],"&gt;0")</f>
        <v>0</v>
      </c>
      <c r="HD43" s="6">
        <f>COUNTIFS(Table16[Country],Tabela1[[#This Row],[Country]],Table16[Men''s Double Sculls Classification],"&gt;0")</f>
        <v>0</v>
      </c>
      <c r="HE43" s="6">
        <f>COUNTIFS(Table16[Country],Tabela1[[#This Row],[Country]],Table16[Women''s Double Sculls Classification],"&gt;0")</f>
        <v>0</v>
      </c>
      <c r="HF43" s="6">
        <f>COUNTIFS(Table72[Country],Tabela1[[#This Row],[Country]],Table72[Men''s Quadruple Sculls Classification],"&gt;0")</f>
        <v>0</v>
      </c>
      <c r="HG43" s="6">
        <f>COUNTIFS(Table72[Country],Tabela1[[#This Row],[Country]],Table72[Women''s Quadruple Sculls Classification],"&gt;0")</f>
        <v>0</v>
      </c>
      <c r="HH43" s="6">
        <f>COUNTIFS(Table16[Country],Tabela1[[#This Row],[Country]],Table16[Men''s Coxless Pairs Classification],"&gt;0")</f>
        <v>0</v>
      </c>
      <c r="HI43" s="6">
        <f>COUNTIFS(Table16[Country],Tabela1[[#This Row],[Country]],Table16[Women''s Coxless Pairs Classification],"&gt;0")</f>
        <v>0</v>
      </c>
      <c r="HJ43" s="6">
        <f>COUNTIFS(Table72[Country],Tabela1[[#This Row],[Country]],Table72[Men''s Coxless Fours Classification],"&gt;0")</f>
        <v>0</v>
      </c>
      <c r="HK43" s="6">
        <f>COUNTIFS(Table72[Country],Tabela1[[#This Row],[Country]],Table72[Women''s Coxless Fours Classification],"&gt;0")</f>
        <v>0</v>
      </c>
      <c r="HL43" s="6">
        <f>COUNTIFS(Table72[Country],Tabela1[[#This Row],[Country]],Table72[Men''s Eights Classification],"&gt;0")</f>
        <v>0</v>
      </c>
      <c r="HM43" s="6">
        <f>COUNTIFS(Table72[Country],Tabela1[[#This Row],[Country]],Table72[Women''s Eights Classification],"&gt;0")</f>
        <v>0</v>
      </c>
      <c r="HN43" s="6">
        <f>COUNTIFS(Table16[Country],Tabela1[[#This Row],[Country]],Table16[Men''s Lwt. Double Sculls Classification],"&gt;0")</f>
        <v>0</v>
      </c>
      <c r="HO43" s="6">
        <f>COUNTIFS(Table16[Country],Tabela1[[#This Row],[Country]],Table16[Women''s Lwt. Double Sculls Classification],"&gt;0")</f>
        <v>0</v>
      </c>
      <c r="HP43" s="6">
        <f>COUNTIFS(Table91949698[Country],Tabela1[[#This Row],[Country]],Table91949698[Men''s Classification],"&gt;0")</f>
        <v>0</v>
      </c>
      <c r="HQ43" s="6">
        <f>COUNTIFS(Table91949698[Country],Tabela1[[#This Row],[Country]],Table91949698[Women''s Classification],"&gt;0")</f>
        <v>0</v>
      </c>
      <c r="HR43" s="6">
        <f>COUNTIFS(Table25[Country],Tabela1[[#This Row],[Country]],Table25[Mixed 470 Classification],"&gt;0")</f>
        <v>0</v>
      </c>
      <c r="HS43" s="6">
        <f>COUNTIFS(Table25[Country],Tabela1[[#This Row],[Country]],Table25[Men''s 49er Classification],"&gt;0")</f>
        <v>0</v>
      </c>
      <c r="HT43" s="6">
        <f>COUNTIFS(Table25[Country],Tabela1[[#This Row],[Country]],Table25[Women''s 49er FX Classification],"&gt;0")</f>
        <v>0</v>
      </c>
      <c r="HU43" s="6">
        <f>COUNTIFS(Table17[Country],Tabela1[[#This Row],[Country]],Table17[Formula Kite Classification],"&gt;0")</f>
        <v>0</v>
      </c>
      <c r="HV43" s="6">
        <f>COUNTIFS(Table18[Country],Tabela1[[#This Row],[Country]],Table18[Formula Kite Classification],"&gt;0")</f>
        <v>0</v>
      </c>
      <c r="HW43" s="6">
        <f>COUNTIFS(Table17[Country],Tabela1[[#This Row],[Country]],Table17[ILCA 7 Classification],"&gt;0")</f>
        <v>0</v>
      </c>
      <c r="HX43" s="6">
        <f>COUNTIFS(Table18[Country],Tabela1[[#This Row],[Country]],Table18[ILCA 6 Classification],"&gt;0")</f>
        <v>0</v>
      </c>
      <c r="HY43" s="6">
        <f>COUNTIFS(Table17[Country],Tabela1[[#This Row],[Country]],Table17[IQFoil Classification],"&gt;0")</f>
        <v>0</v>
      </c>
      <c r="HZ43" s="6">
        <f>COUNTIFS(Table18[Country],Tabela1[[#This Row],[Country]],Table18[IQFoil Classification],"&gt;0")</f>
        <v>0</v>
      </c>
      <c r="IA43" s="6">
        <f>COUNTIFS(Table25[Country],Tabela1[[#This Row],[Country]],Table25[Mixed Nacra 17 Classification],"&gt;0")</f>
        <v>0</v>
      </c>
      <c r="IB43" s="6">
        <f>COUNTIFS(Table53[Country],Tabela1[[#This Row],[Country]],Table53[10m Air Pistol Classification],"&gt;0")</f>
        <v>1</v>
      </c>
      <c r="IC43" s="6">
        <f>COUNTIFS(Table19[Country],Tabela1[[#This Row],[Country]],Table19[10m Air Pistol Classification],"&gt;0")</f>
        <v>0</v>
      </c>
      <c r="ID43" s="6">
        <f>COUNTIFS(Table54[Country],Tabela1[[#This Row],[Country]],Table54[Mixed 10m Air Pistol Team Classification],"&gt;0")</f>
        <v>0</v>
      </c>
      <c r="IE43" s="6">
        <f>COUNTIFS(Table53[Country],Tabela1[[#This Row],[Country]],Table53[10m Air Rifle Classification],"&gt;0")</f>
        <v>1</v>
      </c>
      <c r="IF43" s="6">
        <f>COUNTIFS(Table19[Country],Tabela1[[#This Row],[Country]],Table19[10m Air Rifle Classification],"&gt;0")</f>
        <v>0</v>
      </c>
      <c r="IG43" s="6">
        <f>COUNTIFS(Table54[Country],Tabela1[[#This Row],[Country]],Table54[Mixed 10m Air Rifle Team Classification],"&gt;0")</f>
        <v>0</v>
      </c>
      <c r="IH43" s="6">
        <f>COUNTIFS(Table53[Country],Tabela1[[#This Row],[Country]],Table53[25m Rapid Fire Pistol Classification],"&gt;0")</f>
        <v>0</v>
      </c>
      <c r="II43" s="6">
        <f>COUNTIFS(Table19[Country],Tabela1[[#This Row],[Country]],Table19[25m Pistol Classification],"&gt;0")</f>
        <v>0</v>
      </c>
      <c r="IJ43" s="6">
        <f>COUNTIFS(Table53[Country],Tabela1[[#This Row],[Country]],Table53[50m Rifle 3 Positions Classification],"&gt;0")</f>
        <v>0</v>
      </c>
      <c r="IK43" s="6">
        <f>COUNTIFS(Table19[Country],Tabela1[[#This Row],[Country]],Table19[50m Rifle 3 Positions Classification],"&gt;0")</f>
        <v>0</v>
      </c>
      <c r="IL43" s="6">
        <f>COUNTIFS(Table53[Country],Tabela1[[#This Row],[Country]],Table53[Skeet Classification],"&gt;0")</f>
        <v>0</v>
      </c>
      <c r="IM43" s="6">
        <f>COUNTIFS(Table19[Country],Tabela1[[#This Row],[Country]],Table19[Skeet Classification],"&gt;0")</f>
        <v>0</v>
      </c>
      <c r="IN43" s="6">
        <f>COUNTIFS(Table54[Country],Tabela1[[#This Row],[Country]],Table54[Mixed Skeet Team Classification],"&gt;0")</f>
        <v>0</v>
      </c>
      <c r="IO43" s="6">
        <f>COUNTIFS(Table53[Country],Tabela1[[#This Row],[Country]],Table53[Trap Classification],"&gt;0")</f>
        <v>0</v>
      </c>
      <c r="IP43" s="6">
        <f>COUNTIFS(Table19[Country],Tabela1[[#This Row],[Country]],Table19[Trap Classification],"&gt;0")</f>
        <v>0</v>
      </c>
      <c r="IQ43" s="6">
        <f>COUNTIFS(Table73[Country],Tabela1[[#This Row],[Country]],Table73[Park Classification],"&gt;0")</f>
        <v>0</v>
      </c>
      <c r="IR43" s="6">
        <f>COUNTIFS(Table74[Country],Tabela1[[#This Row],[Country]],Table74[Park Classification],"&gt;0")</f>
        <v>0</v>
      </c>
      <c r="IS43" s="6">
        <f>COUNTIFS(Table73[Country],Tabela1[[#This Row],[Country]],Table73[Street Classification],"&gt;0")</f>
        <v>0</v>
      </c>
      <c r="IT43" s="6">
        <f>COUNTIFS(Table74[Country],Tabela1[[#This Row],[Country]],Table74[Street Classification],"&gt;0")</f>
        <v>0</v>
      </c>
      <c r="IU43" s="6">
        <f>COUNTIFS(Table75[Country],Tabela1[[#This Row],[Country]],Table75[Boulder and Lead Classification],"&gt;0")</f>
        <v>0</v>
      </c>
      <c r="IV43" s="6">
        <f>COUNTIFS(Table76[Country],Tabela1[[#This Row],[Country]],Table76[Boulder and Lead Classification],"&gt;0")</f>
        <v>0</v>
      </c>
      <c r="IW43" s="6">
        <f>COUNTIFS(Table75[Country],Tabela1[[#This Row],[Country]],Table75[Speed Classification],"&gt;0")</f>
        <v>0</v>
      </c>
      <c r="IX43" s="6">
        <f>COUNTIFS(Table76[Country],Tabela1[[#This Row],[Country]],Table76[Speed Classification],"&gt;0")</f>
        <v>0</v>
      </c>
      <c r="IY43" s="6">
        <f>COUNTIFS(Table64[Country],Tabela1[[#This Row],[Country]],Table64[Shortboard Classification],"&gt;0")</f>
        <v>0</v>
      </c>
      <c r="IZ43" s="6">
        <f>COUNTIFS(Table77[Country],Tabela1[[#This Row],[Country]],Table77[Shortboard Classification],"&gt;0")</f>
        <v>0</v>
      </c>
      <c r="JA43" s="6">
        <f>COUNTIFS(Table20[Country],Tabela1[[#This Row],[Country]],Table20[50m Freestyle Classification],"&gt;0")</f>
        <v>0</v>
      </c>
      <c r="JB43" s="6">
        <f>COUNTIFS(Table21[Country],Tabela1[[#This Row],[Country]],Table21[50m Freestyle Classification],"&gt;0")</f>
        <v>0</v>
      </c>
      <c r="JC43" s="6">
        <f>COUNTIFS(Table20[Country],Tabela1[[#This Row],[Country]],Table20[100m Freestyle Classification],"&gt;0")</f>
        <v>0</v>
      </c>
      <c r="JD43" s="6">
        <f>COUNTIFS(Table21[Country],Tabela1[[#This Row],[Country]],Table21[100m Freestyle Classification],"&gt;0")</f>
        <v>0</v>
      </c>
      <c r="JE43" s="6">
        <f>COUNTIFS(Table20[Country],Tabela1[[#This Row],[Country]],Table20[200m Freestyle Classification],"&gt;0")</f>
        <v>0</v>
      </c>
      <c r="JF43" s="6">
        <f>COUNTIFS(Table21[Country],Tabela1[[#This Row],[Country]],Table21[200m Freestyle Classification],"&gt;0")</f>
        <v>0</v>
      </c>
      <c r="JG43" s="6">
        <f>COUNTIFS(Table20[Country],Tabela1[[#This Row],[Country]],Table20[400m Freestyle Classification],"&gt;0")</f>
        <v>0</v>
      </c>
      <c r="JH43" s="6">
        <f>COUNTIFS(Table21[Country],Tabela1[[#This Row],[Country]],Table21[400m Freestyle Classification],"&gt;0")</f>
        <v>0</v>
      </c>
      <c r="JI43" s="6">
        <f>COUNTIFS(Table20[Country],Tabela1[[#This Row],[Country]],Table20[800m Freestyle Classification],"&gt;0")</f>
        <v>0</v>
      </c>
      <c r="JJ43" s="6">
        <f>COUNTIFS(Table21[Country],Tabela1[[#This Row],[Country]],Table21[800m Freestyle Classification],"&gt;0")</f>
        <v>0</v>
      </c>
      <c r="JK43" s="6">
        <f>COUNTIFS(Table20[Country],Tabela1[[#This Row],[Country]],Table20[1500m Freestyle Classification],"&gt;0")</f>
        <v>0</v>
      </c>
      <c r="JL43" s="6">
        <f>COUNTIFS(Table21[Country],Tabela1[[#This Row],[Country]],Table21[1500m Freestyle Classification],"&gt;0")</f>
        <v>0</v>
      </c>
      <c r="JM43" s="6">
        <f>COUNTIFS(Table20[Country],Tabela1[[#This Row],[Country]],Table20[100m Backstroke Classification],"&gt;0")</f>
        <v>0</v>
      </c>
      <c r="JN43" s="6">
        <f>COUNTIFS(Table21[Country],Tabela1[[#This Row],[Country]],Table21[100m Backstroke Classification],"&gt;0")</f>
        <v>0</v>
      </c>
      <c r="JO43" s="6">
        <f>COUNTIFS(Table20[Country],Tabela1[[#This Row],[Country]],Table20[200m Backstroke Classification],"&gt;0")</f>
        <v>0</v>
      </c>
      <c r="JP43" s="6">
        <f>COUNTIFS(Table21[Country],Tabela1[[#This Row],[Country]],Table21[200m Backstroke Classification],"&gt;0")</f>
        <v>0</v>
      </c>
      <c r="JQ43" s="6">
        <f>COUNTIFS(Table20[Country],Tabela1[[#This Row],[Country]],Table20[100m Breaststroke Classification],"&gt;0")</f>
        <v>0</v>
      </c>
      <c r="JR43" s="6">
        <f>COUNTIFS(Table21[Country],Tabela1[[#This Row],[Country]],Table21[100m Breaststroke Classification],"&gt;0")</f>
        <v>0</v>
      </c>
      <c r="JS43" s="6">
        <f>COUNTIFS(Table20[Country],Tabela1[[#This Row],[Country]],Table20[200m Breaststroke Classification],"&gt;0")</f>
        <v>0</v>
      </c>
      <c r="JT43" s="6">
        <f>COUNTIFS(Table21[Country],Tabela1[[#This Row],[Country]],Table21[200m Breaststroke Classification],"&gt;0")</f>
        <v>0</v>
      </c>
      <c r="JU43" s="6">
        <f>COUNTIFS(Table20[Country],Tabela1[[#This Row],[Country]],Table20[100m Butterfly Classification],"&gt;0")</f>
        <v>0</v>
      </c>
      <c r="JV43" s="6">
        <f>COUNTIFS(Table21[Country],Tabela1[[#This Row],[Country]],Table21[100m Butterfly Classification],"&gt;0")</f>
        <v>0</v>
      </c>
      <c r="JW43" s="6">
        <f>COUNTIFS(Table20[Country],Tabela1[[#This Row],[Country]],Table20[200m Butterfly Classification],"&gt;0")</f>
        <v>0</v>
      </c>
      <c r="JX43" s="6">
        <f>COUNTIFS(Table21[Country],Tabela1[[#This Row],[Country]],Table21[200m Butterfly Classification],"&gt;0")</f>
        <v>0</v>
      </c>
      <c r="JY43" s="6">
        <f>COUNTIFS(Table20[Country],Tabela1[[#This Row],[Country]],Table20[200m Medley Classification],"&gt;0")</f>
        <v>1</v>
      </c>
      <c r="JZ43" s="6">
        <f>COUNTIFS(Table21[Country],Tabela1[[#This Row],[Country]],Table21[200m Medley Classification],"&gt;0")</f>
        <v>0</v>
      </c>
      <c r="KA43" s="6">
        <f>COUNTIFS(Table20[Country],Tabela1[[#This Row],[Country]],Table20[400m Medley Classification],"&gt;0")</f>
        <v>0</v>
      </c>
      <c r="KB43" s="6">
        <f>COUNTIFS(Table21[Country],Tabela1[[#This Row],[Country]],Table21[400m Medley Classification],"&gt;0")</f>
        <v>0</v>
      </c>
      <c r="KC43" s="6">
        <f>COUNTIFS(Table78[Country],Tabela1[[#This Row],[Country]],Table78[Men''s 4x100m Freestyle Relay Classification],"&gt;0")</f>
        <v>0</v>
      </c>
      <c r="KD43" s="6">
        <f>COUNTIFS(Table78[Country],Tabela1[[#This Row],[Country]],Table78[Women''s 4x100m Freestyle Relay Classification],"&gt;0")</f>
        <v>0</v>
      </c>
      <c r="KE43" s="6">
        <f>COUNTIFS(Table78[Country],Tabela1[[#This Row],[Country]],Table78[Men''s 4x200m Freestyle Relay Classification],"&gt;0")</f>
        <v>0</v>
      </c>
      <c r="KF43" s="6">
        <f>COUNTIFS(Table78[Country],Tabela1[[#This Row],[Country]],Table78[Women''s 4x200m Freestyle Relay Classification],"&gt;0")</f>
        <v>0</v>
      </c>
      <c r="KG43" s="6">
        <f>COUNTIFS(Table78[Country],Tabela1[[#This Row],[Country]],Table78[Men''s 4x100m Medley Relay Classification],"&gt;0")</f>
        <v>0</v>
      </c>
      <c r="KH43" s="6">
        <f>COUNTIFS(Table78[Country],Tabela1[[#This Row],[Country]],Table78[Women''s 4x100m Medley Relay Classification],"&gt;0")</f>
        <v>0</v>
      </c>
      <c r="KI43" s="6">
        <f>COUNTIFS(Table78[Country],Tabela1[[#This Row],[Country]],Table78[Mixed 4x100m Medley Relay Classification],"&gt;0")</f>
        <v>0</v>
      </c>
      <c r="KJ43" s="6">
        <f>COUNTIFS(Table20[Country],Tabela1[[#This Row],[Country]],Table20[10km Open Water Classification],"&gt;0")</f>
        <v>0</v>
      </c>
      <c r="KK43" s="6">
        <f>COUNTIFS(Table21[Country],Tabela1[[#This Row],[Country]],Table21[10km Open Water Classification],"&gt;0")</f>
        <v>0</v>
      </c>
      <c r="KL43" s="6">
        <f>COUNTIFS(Table22[Country],Tabela1[[#This Row],[Country]],Table22[Classification],"&gt;0")</f>
        <v>1</v>
      </c>
      <c r="KM43" s="6">
        <f>COUNTIFS(Table30[Country],Tabela1[[#This Row],[Country]],Table30[Classification],"&gt;0")</f>
        <v>1</v>
      </c>
      <c r="KN43" s="6">
        <f>COUNTIFS(Table55[Country],Tabela1[[#This Row],[Country]],Table55[Men''s Classification],"&gt;0")</f>
        <v>0</v>
      </c>
      <c r="KO43" s="6">
        <f>COUNTIFS(Table55[Country],Tabela1[[#This Row],[Country]],Table55[Women''s Classification],"&gt;0")</f>
        <v>0</v>
      </c>
      <c r="KP43" s="6">
        <f>COUNTIFS(Table56[Country],Tabela1[[#This Row],[Country]],Table56[Mixed Classification],"&gt;0")</f>
        <v>0</v>
      </c>
      <c r="KQ43" s="6">
        <f>COUNTIFS(Table29[Country],Tabela1[[#This Row],[Country]],Table29[58kg Classification],"&gt;0")</f>
        <v>0</v>
      </c>
      <c r="KR43" s="6">
        <f>COUNTIFS(Table29[Country],Tabela1[[#This Row],[Country]],Table29[68kg Classification],"&gt;0")</f>
        <v>0</v>
      </c>
      <c r="KS43" s="6">
        <f>COUNTIFS(Table29[Country],Tabela1[[#This Row],[Country]],Table29[80kg Classification],"&gt;0")</f>
        <v>0</v>
      </c>
      <c r="KT43" s="6">
        <f>COUNTIFS(Table29[Country],Tabela1[[#This Row],[Country]],Table29[Plus 80kg Classification],"&gt;0")</f>
        <v>0</v>
      </c>
      <c r="KU43" s="6">
        <f>COUNTIFS(Table34[Country],Tabela1[[#This Row],[Country]],Table34[49kg Classification],"&gt;0")</f>
        <v>0</v>
      </c>
      <c r="KV43" s="6">
        <f>COUNTIFS(Table34[Country],Tabela1[[#This Row],[Country]],Table34[57kg Classification],"&gt;0")</f>
        <v>0</v>
      </c>
      <c r="KW43" s="6">
        <f>COUNTIFS(Table34[Country],Tabela1[[#This Row],[Country]],Table34[67kg Classification],"&gt;0")</f>
        <v>0</v>
      </c>
      <c r="KX43" s="6">
        <f>COUNTIFS(Table34[Country],Tabela1[[#This Row],[Country]],Table34[Plus 67kg Classification],"&gt;0")</f>
        <v>0</v>
      </c>
      <c r="KY43" s="6">
        <f>COUNTIFS(Table57[Country],Tabela1[[#This Row],[Country]],Table57[Classification],"&gt;0")</f>
        <v>0</v>
      </c>
      <c r="KZ43" s="6">
        <f>COUNTIFS(Table58[Country],Tabela1[[#This Row],[Country]],Table58[Classification],"&gt;0")</f>
        <v>0</v>
      </c>
      <c r="LA43" s="6">
        <f>COUNTIFS(Table79[Country],Tabela1[[#This Row],[Country]],Table79[Men''s Classification],"&gt;0")</f>
        <v>0</v>
      </c>
      <c r="LB43" s="6">
        <f>COUNTIFS(Table79[Country],Tabela1[[#This Row],[Country]],Table79[Women''s Classification],"&gt;0")</f>
        <v>0</v>
      </c>
      <c r="LC43" s="6">
        <f>COUNTIFS(Table79[Country],Tabela1[[#This Row],[Country]],Table79[Mixed Classification],"&gt;0")</f>
        <v>0</v>
      </c>
      <c r="LD43" s="6">
        <f>COUNTIFS(Table65[Country],Tabela1[[#This Row],[Country]],Table65[Classification],"&gt;0")</f>
        <v>0</v>
      </c>
      <c r="LE43" s="6">
        <f>COUNTIFS(Table59[Country],Tabela1[[#This Row],[Country]],Table59[Classification],"&gt;0")</f>
        <v>0</v>
      </c>
      <c r="LF43" s="6">
        <f>COUNTIFS(Table87[Country],Tabela1[[#This Row],[Country]],Table87[Mixed Relay Classification],"&gt;0")</f>
        <v>0</v>
      </c>
      <c r="LG43" s="6">
        <f>COUNTIFS(Table91949698100[Country],Tabela1[[#This Row],[Country]],Table91949698100[Men''s Classification],"&gt;0")</f>
        <v>0</v>
      </c>
      <c r="LH43" s="6">
        <f>COUNTIFS(Table91949698100[Country],Tabela1[[#This Row],[Country]],Table91949698100[Women''s Classification],"&gt;0")</f>
        <v>0</v>
      </c>
      <c r="LI43" s="6">
        <f>COUNTIFS(Table91949698100102[Country],Tabela1[[#This Row],[Country]],Table91949698100102[Men''s Classification],"&gt;0")</f>
        <v>0</v>
      </c>
      <c r="LJ43" s="6">
        <f>COUNTIFS(Table91949698100102[Country],Tabela1[[#This Row],[Country]],Table91949698100102[Women''s Classification],"&gt;0")</f>
        <v>0</v>
      </c>
      <c r="LK43" s="6">
        <f>COUNTIFS(Table23[Country],Tabela1[[#This Row],[Country]],Table23[61kg Classification],"&gt;0")</f>
        <v>0</v>
      </c>
      <c r="LL43" s="6">
        <f>COUNTIFS(Table23[Country],Tabela1[[#This Row],[Country]],Table23[73kg Classification],"&gt;0")</f>
        <v>0</v>
      </c>
      <c r="LM43" s="6">
        <f>COUNTIFS(Table23[Country],Tabela1[[#This Row],[Country]],Table23[89kg Classification],"&gt;0")</f>
        <v>0</v>
      </c>
      <c r="LN43" s="6">
        <f>COUNTIFS(Table23[Country],Tabela1[[#This Row],[Country]],Table23[102kg Classification],"&gt;0")</f>
        <v>0</v>
      </c>
      <c r="LO43" s="6">
        <f>COUNTIFS(Table23[Country],Tabela1[[#This Row],[Country]],Table23[Plus 102kg Classification],"&gt;0")</f>
        <v>1</v>
      </c>
      <c r="LP43" s="6">
        <f>COUNTIFS(Table28[Country],Tabela1[[#This Row],[Country]],Table28[49kg Classification],"&gt;0")</f>
        <v>0</v>
      </c>
      <c r="LQ43" s="6">
        <f>COUNTIFS(Table28[Country],Tabela1[[#This Row],[Country]],Table28[59kg Classification],"&gt;0")</f>
        <v>0</v>
      </c>
      <c r="LR43" s="6">
        <f>COUNTIFS(Table28[Country],Tabela1[[#This Row],[Country]],Table28[71kg Classification],"&gt;0")</f>
        <v>0</v>
      </c>
      <c r="LS43" s="6">
        <f>COUNTIFS(Table28[Country],Tabela1[[#This Row],[Country]],Table28[81kg Classification],"&gt;0")</f>
        <v>0</v>
      </c>
      <c r="LT43" s="6">
        <f>COUNTIFS(Table28[Country],Tabela1[[#This Row],[Country]],Table28[Plus 81kg Classification],"&gt;0")</f>
        <v>0</v>
      </c>
      <c r="LU43" s="6">
        <f>COUNTIFS(Table24[Country],Tabela1[[#This Row],[Country]],Table24[Freestyle 57kg Classification],"&gt;0")</f>
        <v>0</v>
      </c>
      <c r="LV43" s="6">
        <f>COUNTIFS(Table24[Country],Tabela1[[#This Row],[Country]],Table24[Freestyle 65kg Classification],"&gt;0")</f>
        <v>0</v>
      </c>
      <c r="LW43" s="6">
        <f>COUNTIFS(Table24[Country],Tabela1[[#This Row],[Country]],Table24[Freestyle 74kg Classification],"&gt;0")</f>
        <v>0</v>
      </c>
      <c r="LX43" s="6">
        <f>COUNTIFS(Table24[Country],Tabela1[[#This Row],[Country]],Table24[Freestyle 86kg Classification],"&gt;0")</f>
        <v>1</v>
      </c>
      <c r="LY43" s="6">
        <f>COUNTIFS(Table24[Country],Tabela1[[#This Row],[Country]],Table24[Freestyle 97kg Classification],"&gt;0")</f>
        <v>0</v>
      </c>
      <c r="LZ43" s="6">
        <f>COUNTIFS(Table24[Country],Tabela1[[#This Row],[Country]],Table24[Freestyle 125kg Classification],"&gt;0")</f>
        <v>0</v>
      </c>
      <c r="MA43" s="6">
        <f>COUNTIFS(Table24[Country],Tabela1[[#This Row],[Country]],Table24[Greco-Roman 60kg Classification],"&gt;0")</f>
        <v>1</v>
      </c>
      <c r="MB43" s="6">
        <f>COUNTIFS(Table24[Country],Tabela1[[#This Row],[Country]],Table24[Greco-Roman 67kg Classification],"&gt;0")</f>
        <v>0</v>
      </c>
      <c r="MC43" s="6">
        <f>COUNTIFS(Table24[Country],Tabela1[[#This Row],[Country]],Table24[Greco-Roman 77kg Classification],"&gt;0")</f>
        <v>1</v>
      </c>
      <c r="MD43" s="6">
        <f>COUNTIFS(Table24[Country],Tabela1[[#This Row],[Country]],Table24[Greco-Roman 87kg Classification],"&gt;0")</f>
        <v>1</v>
      </c>
      <c r="ME43" s="6">
        <f>COUNTIFS(Table24[Country],Tabela1[[#This Row],[Country]],Table24[Greco-Roman 97kg Classification],"&gt;0")</f>
        <v>1</v>
      </c>
      <c r="MF43" s="6">
        <f>COUNTIFS(Table24[Country],Tabela1[[#This Row],[Country]],Table24[Greco-Roman 130kg Classification],"&gt;0")</f>
        <v>0</v>
      </c>
      <c r="MG43" s="6">
        <f>COUNTIFS(Table31[Country],Tabela1[[#This Row],[Country]],Table31[50kg Classification],"&gt;0")</f>
        <v>0</v>
      </c>
      <c r="MH43" s="6">
        <f>COUNTIFS(Table31[Country],Tabela1[[#This Row],[Country]],Table31[53kg Classification],"&gt;0")</f>
        <v>0</v>
      </c>
      <c r="MI43" s="6">
        <f>COUNTIFS(Table31[Country],Tabela1[[#This Row],[Country]],Table31[57kg Classification],"&gt;0")</f>
        <v>0</v>
      </c>
      <c r="MJ43" s="6">
        <f>COUNTIFS(Table31[Country],Tabela1[[#This Row],[Country]],Table31[62kg Classification],"&gt;0")</f>
        <v>0</v>
      </c>
      <c r="MK43" s="6">
        <f>COUNTIFS(Table31[Country],Tabela1[[#This Row],[Country]],Table31[68kg Classification],"&gt;0")</f>
        <v>0</v>
      </c>
      <c r="ML43" s="6">
        <f>COUNTIFS(Table31[Country],Tabela1[[#This Row],[Country]],Table31[76kg Classification],"&gt;0")</f>
        <v>0</v>
      </c>
      <c r="MM43" s="6">
        <f>COUNTIFS(Table102[Country],Tabela1[[#This Row],[Country]],Table102[Downhill Classification],"&gt;0")</f>
        <v>0</v>
      </c>
      <c r="MN43" s="6">
        <f>COUNTIFS(Table102105[Country],Tabela1[[#This Row],[Country]],Table102105[Downhill Classification],"&gt;0")</f>
        <v>0</v>
      </c>
      <c r="MO43" s="6">
        <f>COUNTIFS(Table102[Country],Tabela1[[#This Row],[Country]],Table102[Giant Slalom Classification],"&gt;0")</f>
        <v>0</v>
      </c>
      <c r="MP43" s="6">
        <f>COUNTIFS(Table102105[Country],Tabela1[[#This Row],[Country]],Table102105[Giant Slalom Classification],"&gt;0")</f>
        <v>0</v>
      </c>
      <c r="MQ43" s="6">
        <f>COUNTIFS(Table102[Country],Tabela1[[#This Row],[Country]],Table102[Slalom Classification],"&gt;0")</f>
        <v>0</v>
      </c>
      <c r="MR43" s="6">
        <f>COUNTIFS(Table102105[Country],Tabela1[[#This Row],[Country]],Table102105[Slalom Classification],"&gt;0")</f>
        <v>0</v>
      </c>
      <c r="MS43" s="6">
        <f>COUNTIFS(Table102[Country],Tabela1[[#This Row],[Country]],Table102[Super-G Classification],"&gt;0")</f>
        <v>0</v>
      </c>
      <c r="MT43" s="6">
        <f>COUNTIFS(Table102105[Country],Tabela1[[#This Row],[Country]],Table102105[Super-G Classification],"&gt;0")</f>
        <v>0</v>
      </c>
      <c r="MU43" s="6">
        <f>COUNTIFS(Table105[Country],Tabela1[[#This Row],[Country]],Table105[Men''s Combined Classification],"&gt;0")</f>
        <v>0</v>
      </c>
      <c r="MV43" s="6">
        <f>COUNTIFS(Table105[Country],Tabela1[[#This Row],[Country]],Table105[Women''s Combined Classification],"&gt;0")</f>
        <v>0</v>
      </c>
      <c r="MW43" s="6">
        <f>COUNTIFS(Table106[Country],Tabela1[[#This Row],[Country]],Table106[Individual Classification],"&gt;0")</f>
        <v>0</v>
      </c>
      <c r="MX43" s="6">
        <f>COUNTIFS(Table106109[Country],Tabela1[[#This Row],[Country]],Table106109[Individual Classification],"&gt;0")</f>
        <v>0</v>
      </c>
      <c r="MY43" s="6">
        <f>COUNTIFS(Table106[Country],Tabela1[[#This Row],[Country]],Table106[Mass Start Classification],"&gt;0")</f>
        <v>0</v>
      </c>
      <c r="MZ43" s="6">
        <f>COUNTIFS(Table106109[Country],Tabela1[[#This Row],[Country]],Table106109[Mass Start Classification],"&gt;0")</f>
        <v>0</v>
      </c>
      <c r="NA43" s="6">
        <f>COUNTIFS(Table106[Country],Tabela1[[#This Row],[Country]],Table106[Pursuit Classification],"&gt;0")</f>
        <v>0</v>
      </c>
      <c r="NB43" s="6">
        <f>COUNTIFS(Table106109[Country],Tabela1[[#This Row],[Country]],Table106109[Pursuit Classification],"&gt;0")</f>
        <v>0</v>
      </c>
      <c r="NC43" s="6">
        <f>COUNTIFS(Table106[Country],Tabela1[[#This Row],[Country]],Table106[Sprint Classification],"&gt;0")</f>
        <v>0</v>
      </c>
      <c r="ND43" s="6">
        <f>COUNTIFS(Table106109[Country],Tabela1[[#This Row],[Country]],Table106109[Sprint Classification],"&gt;0")</f>
        <v>0</v>
      </c>
      <c r="NE43" s="6">
        <f>COUNTIFS(Table109[Country],Tabela1[[#This Row],[Country]],Table109[Men''s Relay Classification],"&gt;0")</f>
        <v>0</v>
      </c>
      <c r="NF43" s="6">
        <f>COUNTIFS(Table109[Country],Tabela1[[#This Row],[Country]],Table109[Women''s Relay Classification],"&gt;0")</f>
        <v>0</v>
      </c>
      <c r="NG43" s="6">
        <f>COUNTIFS(Table109[Country],Tabela1[[#This Row],[Country]],Table109[Mixed Relay Classification],"&gt;0")</f>
        <v>0</v>
      </c>
      <c r="NH43" s="6">
        <f>COUNTIFS(Table110[Country],Tabela1[[#This Row],[Country]],Table110[Monobob Classification],"&gt;0")</f>
        <v>0</v>
      </c>
      <c r="NI43" s="6">
        <f>COUNTIFS(Table111[Country],Tabela1[[#This Row],[Country]],Table111[Men''s Classification],"&gt;0")</f>
        <v>0</v>
      </c>
      <c r="NJ43" s="6">
        <f>COUNTIFS(Table111[Country],Tabela1[[#This Row],[Country]],Table111[Women''s Classification],"&gt;0")</f>
        <v>0</v>
      </c>
      <c r="NK43" s="6">
        <f>COUNTIFS(Table112[Country],Tabela1[[#This Row],[Country]],Table112[Men''s Four Classification],"&gt;0")</f>
        <v>0</v>
      </c>
      <c r="NL43" s="6">
        <f>COUNTIFS(Table113[Country],Tabela1[[#This Row],[Country]],Table113[Classical Classification],"&gt;0")</f>
        <v>0</v>
      </c>
      <c r="NM43" s="6">
        <f>COUNTIFS(Table113116[Country],Tabela1[[#This Row],[Country]],Table113116[Classical Classification],"&gt;0")</f>
        <v>0</v>
      </c>
      <c r="NN43" s="6">
        <f>COUNTIFS(Table113[Country],Tabela1[[#This Row],[Country]],Table113[Freestyle Classification],"&gt;0")</f>
        <v>0</v>
      </c>
      <c r="NO43" s="6">
        <f>COUNTIFS(Table113116[Country],Tabela1[[#This Row],[Country]],Table113116[Freestyle Classification],"&gt;0")</f>
        <v>0</v>
      </c>
      <c r="NP43" s="6">
        <f>COUNTIFS(Table117[Country],Tabela1[[#This Row],[Country]],Table117[Men''s Relay Classification],"&gt;0")</f>
        <v>0</v>
      </c>
      <c r="NQ43" s="6">
        <f>COUNTIFS(Table117[Country],Tabela1[[#This Row],[Country]],Table117[Women''s Relay Classification],"&gt;0")</f>
        <v>0</v>
      </c>
      <c r="NR43" s="6">
        <f>COUNTIFS(Table113[Country],Tabela1[[#This Row],[Country]],Table113[Skiathlon Classification],"&gt;0")</f>
        <v>0</v>
      </c>
      <c r="NS43" s="6">
        <f>COUNTIFS(Table113116[Country],Tabela1[[#This Row],[Country]],Table113116[Skiathlon Classification],"&gt;0")</f>
        <v>0</v>
      </c>
      <c r="NT43" s="6">
        <f>COUNTIFS(Table113[Country],Tabela1[[#This Row],[Country]],Table113[Sprint Classification],"&gt;0")</f>
        <v>0</v>
      </c>
      <c r="NU43" s="6">
        <f>COUNTIFS(Table113116[Country],Tabela1[[#This Row],[Country]],Table113116[Sprint Classification],"&gt;0")</f>
        <v>0</v>
      </c>
      <c r="NV43" s="6">
        <f>COUNTIFS(Table116[Country],Tabela1[[#This Row],[Country]],Table116[Men''s Team Sprint Classification],"&gt;0")</f>
        <v>0</v>
      </c>
      <c r="NW43" s="6">
        <f>COUNTIFS(Table116[Country],Tabela1[[#This Row],[Country]],Table116[Women''s Team Sprint Classification],"&gt;0")</f>
        <v>0</v>
      </c>
      <c r="NX43" s="6">
        <f>COUNTIFS(Table119[Country],Tabela1[[#This Row],[Country]],Table119[Men''s Classification],"&gt;0")</f>
        <v>0</v>
      </c>
      <c r="NY43" s="6">
        <f>COUNTIFS(Table119[Country],Tabela1[[#This Row],[Country]],Table119[Women''s Classification],"&gt;0")</f>
        <v>0</v>
      </c>
      <c r="NZ43" s="6">
        <f>COUNTIFS(Table118[Country],Tabela1[[#This Row],[Country]],Table118[Mixed Classification],"&gt;0")</f>
        <v>0</v>
      </c>
      <c r="OA43" s="6">
        <f>COUNTIFS(Table120[Country],Tabela1[[#This Row],[Country]],Table120[Classification],"&gt;0")</f>
        <v>0</v>
      </c>
      <c r="OB43" s="6">
        <f>COUNTIFS(Table120123[Country],Tabela1[[#This Row],[Country]],Table120123[Classification],"&gt;0")</f>
        <v>0</v>
      </c>
      <c r="OC43" s="6">
        <f>COUNTIFS(Table123[Country],Tabela1[[#This Row],[Country]],Table123[Ice Dance Classification],"&gt;0")</f>
        <v>0</v>
      </c>
      <c r="OD43" s="6">
        <f>COUNTIFS(Table123[Country],Tabela1[[#This Row],[Country]],Table123[Pair Skating Classification],"&gt;0")</f>
        <v>0</v>
      </c>
      <c r="OE43" s="6">
        <f>COUNTIFS(Table124[Country],Tabela1[[#This Row],[Country]],Table124[Mixed Classification],"&gt;0")</f>
        <v>0</v>
      </c>
      <c r="OF43" s="6">
        <f>COUNTIFS(Table125[Country],Tabela1[[#This Row],[Country]],Table125[Aerials Classification],"&gt;0")</f>
        <v>0</v>
      </c>
      <c r="OG43" s="6">
        <f>COUNTIFS(Table125128[Country],Tabela1[[#This Row],[Country]],Table125128[Aerials Classification],"&gt;0")</f>
        <v>0</v>
      </c>
      <c r="OH43" s="6">
        <f>COUNTIFS(Table128[Country],Tabela1[[#This Row],[Country]],Table128[Mixed Aerials Classification],"&gt;0")</f>
        <v>0</v>
      </c>
      <c r="OI43" s="6">
        <f>COUNTIFS(Table125[Country],Tabela1[[#This Row],[Country]],Table125[Big Air Classification],"&gt;0")</f>
        <v>0</v>
      </c>
      <c r="OJ43" s="6">
        <f>COUNTIFS(Table125128[Country],Tabela1[[#This Row],[Country]],Table125128[Big Air Classification],"&gt;0")</f>
        <v>0</v>
      </c>
      <c r="OK43" s="6">
        <f>COUNTIFS(Table125[Country],Tabela1[[#This Row],[Country]],Table125[Dual Moguls Classification],"&gt;0")</f>
        <v>0</v>
      </c>
      <c r="OL43" s="6">
        <f>COUNTIFS(Table125128[Country],Tabela1[[#This Row],[Country]],Table125128[Dual Moguls Classification],"&gt;0")</f>
        <v>0</v>
      </c>
      <c r="OM43" s="6">
        <f>COUNTIFS(Table125[Country],Tabela1[[#This Row],[Country]],Table125[Halfpipe Classification],"&gt;0")</f>
        <v>0</v>
      </c>
      <c r="ON43" s="6">
        <f>COUNTIFS(Table125128[Country],Tabela1[[#This Row],[Country]],Table125128[Halfpipe Classification],"&gt;0")</f>
        <v>0</v>
      </c>
      <c r="OO43" s="6">
        <f>COUNTIFS(Table125[Country],Tabela1[[#This Row],[Country]],Table125[Moguls Classification],"&gt;0")</f>
        <v>0</v>
      </c>
      <c r="OP43" s="6">
        <f>COUNTIFS(Table125128[Country],Tabela1[[#This Row],[Country]],Table125128[Moguls Classification],"&gt;0")</f>
        <v>0</v>
      </c>
      <c r="OQ43" s="6">
        <f>COUNTIFS(Table125[Country],Tabela1[[#This Row],[Country]],Table125[Ski Cross Classification],"&gt;0")</f>
        <v>0</v>
      </c>
      <c r="OR43" s="6">
        <f>COUNTIFS(Table125128[Country],Tabela1[[#This Row],[Country]],Table125128[Ski Cross Classification],"&gt;0")</f>
        <v>0</v>
      </c>
      <c r="OS43" s="6">
        <f>COUNTIFS(Table125[Country],Tabela1[[#This Row],[Country]],Table125[Slopestyle Classification],"&gt;0")</f>
        <v>0</v>
      </c>
      <c r="OT43" s="6">
        <f>COUNTIFS(Table125128[Country],Tabela1[[#This Row],[Country]],Table125128[Slopestyle Classification],"&gt;0")</f>
        <v>0</v>
      </c>
      <c r="OU43" s="6">
        <f>COUNTIFS(Table119131[Country],Tabela1[[#This Row],[Country]],Table119131[Men''s Classification],"&gt;0")</f>
        <v>0</v>
      </c>
      <c r="OV43" s="6">
        <f>COUNTIFS(Table119131[Country],Tabela1[[#This Row],[Country]],Table119131[Women''s Classification],"&gt;0")</f>
        <v>0</v>
      </c>
      <c r="OW43" s="6">
        <f>COUNTIFS(Table131[Country],Tabela1[[#This Row],[Country]],Table131[Classification],"&gt;0")</f>
        <v>0</v>
      </c>
      <c r="OX43" s="6">
        <f>COUNTIFS(Table131134[Country],Tabela1[[#This Row],[Country]],Table131134[Classification],"&gt;0")</f>
        <v>0</v>
      </c>
      <c r="OY43" s="6">
        <f>COUNTIFS(Table134[Country],Tabela1[[#This Row],[Country]],Table134[Men''s Classification],"&gt;0")</f>
        <v>0</v>
      </c>
      <c r="OZ43" s="6">
        <f>COUNTIFS(Table134[Country],Tabela1[[#This Row],[Country]],Table134[Women''s Classification],"&gt;0")</f>
        <v>0</v>
      </c>
      <c r="PA43" s="6">
        <f>COUNTIFS(Table135[Country],Tabela1[[#This Row],[Country]],Table135[Mixed Relay Classification],"&gt;0")</f>
        <v>0</v>
      </c>
      <c r="PB43" s="6">
        <f>COUNTIFS(Table136[Country],Tabela1[[#This Row],[Country]],Table136[Individual Classification],"&gt;0")</f>
        <v>0</v>
      </c>
      <c r="PC43" s="6">
        <f>COUNTIFS(Table136[Country],Tabela1[[#This Row],[Country]],Table136[Sprint Classification],"&gt;0")</f>
        <v>0</v>
      </c>
      <c r="PD43" s="6">
        <f>COUNTIFS(Table137[Country],Tabela1[[#This Row],[Country]],Table137[Men''s Team Sprint Large Hill Classification],"&gt;0")</f>
        <v>0</v>
      </c>
      <c r="PE43" s="6">
        <f>COUNTIFS(Table138[Country],Tabela1[[#This Row],[Country]],Table138[500m Classification],"&gt;0")</f>
        <v>0</v>
      </c>
      <c r="PF43" s="6">
        <f>COUNTIFS(Table138141[Country],Tabela1[[#This Row],[Country]],Table138141[500m Classification],"&gt;0")</f>
        <v>0</v>
      </c>
      <c r="PG43" s="6">
        <f>COUNTIFS(Table138[Country],Tabela1[[#This Row],[Country]],Table138[1000m Classification],"&gt;0")</f>
        <v>0</v>
      </c>
      <c r="PH43" s="6">
        <f>COUNTIFS(Table138141[Country],Tabela1[[#This Row],[Country]],Table138141[1000m Classification],"&gt;0")</f>
        <v>0</v>
      </c>
      <c r="PI43" s="6">
        <f>COUNTIFS(Table138[Country],Tabela1[[#This Row],[Country]],Table138[1500m Classification],"&gt;0")</f>
        <v>0</v>
      </c>
      <c r="PJ43" s="6">
        <f>COUNTIFS(Table138141[Country],Tabela1[[#This Row],[Country]],Table138141[1500m Classification],"&gt;0")</f>
        <v>0</v>
      </c>
      <c r="PK43" s="6">
        <f>COUNTIFS(Table141[Country],Tabela1[[#This Row],[Country]],Table141[Men''s 5000m Relay Classification],"&gt;0")</f>
        <v>0</v>
      </c>
      <c r="PL43" s="6">
        <f>COUNTIFS(Table141[Country],Tabela1[[#This Row],[Country]],Table141[Women''s 3000m Relay Classification],"&gt;0")</f>
        <v>0</v>
      </c>
      <c r="PM43" s="6">
        <f>COUNTIFS(Table141[Country],Tabela1[[#This Row],[Country]],Table141[Mixed 2000m Relay Classification],"&gt;0")</f>
        <v>0</v>
      </c>
      <c r="PN43" s="6">
        <f>COUNTIFS(Table142[Country],Tabela1[[#This Row],[Country]],Table142[Classification],"&gt;0")</f>
        <v>0</v>
      </c>
      <c r="PO43" s="6">
        <f>COUNTIFS(Table142145[Country],Tabela1[[#This Row],[Country]],Table142145[Classification],"&gt;0")</f>
        <v>0</v>
      </c>
      <c r="PP43" s="6">
        <f>COUNTIFS(Tabela15[Country],Tabela1[[#This Row],[Country]],Tabela15[Mixed Team Classification],"&gt;0")</f>
        <v>0</v>
      </c>
      <c r="PQ43" s="6">
        <f>COUNTIFS(Table145[Country],Tabela1[[#This Row],[Country]],Table145[Large Hill Classification],"&gt;0")</f>
        <v>0</v>
      </c>
      <c r="PR43" s="6">
        <f>COUNTIFS(Table145[Country],Tabela1[[#This Row],[Country]],Table145[Normal Hill Classification],"&gt;0")</f>
        <v>0</v>
      </c>
      <c r="PS43" s="6">
        <f>COUNTIFS(Table145148[Country],Tabela1[[#This Row],[Country]],Table145148[Large Hill Classification],"&gt;0")</f>
        <v>0</v>
      </c>
      <c r="PT43" s="6">
        <f>COUNTIFS(Table145148[Country],Tabela1[[#This Row],[Country]],Table145148[Normal Hill Classification],"&gt;0")</f>
        <v>0</v>
      </c>
      <c r="PU43" s="6">
        <f>COUNTIFS(Table148[Country],Tabela1[[#This Row],[Country]],Table148[Men''s Super Team Classification],"&gt;0")</f>
        <v>0</v>
      </c>
      <c r="PV43" s="6">
        <f>COUNTIFS(Tabela114[Country],Tabela1[[#This Row],[Country]],Tabela114[Mixed Normal Hill Classification],"&gt;0")</f>
        <v>0</v>
      </c>
      <c r="PW43" s="6">
        <f>COUNTIFS(Tabela50[Country],Tabela1[[#This Row],[Country]],Tabela50[Sprint Classification],"&gt;0")</f>
        <v>0</v>
      </c>
      <c r="PX43" s="6">
        <f>COUNTIFS(Tabela50101[Country],Tabela1[[#This Row],[Country]],Tabela50101[Sprint Classification],"&gt;0")</f>
        <v>0</v>
      </c>
      <c r="PY43" s="6">
        <f>COUNTIFS(Tabela103[Country],Tabela1[[#This Row],[Country]],Tabela103[Mixed Relay Classification],"&gt;0")</f>
        <v>0</v>
      </c>
      <c r="PZ43" s="6">
        <f>COUNTIFS(Table149[Country],Tabela1[[#This Row],[Country]],Table149[Big Air Classification],"&gt;0")</f>
        <v>0</v>
      </c>
      <c r="QA43" s="6">
        <f>COUNTIFS(Table149152[Country],Tabela1[[#This Row],[Country]],Table149152[Big Air Classification],"&gt;0")</f>
        <v>0</v>
      </c>
      <c r="QB43" s="6">
        <f>COUNTIFS(Table149[Country],Tabela1[[#This Row],[Country]],Table149[Halfpipe Classification],"&gt;0")</f>
        <v>0</v>
      </c>
      <c r="QC43" s="6">
        <f>COUNTIFS(Table149152[Country],Tabela1[[#This Row],[Country]],Table149152[Halfpipe Classification],"&gt;0")</f>
        <v>0</v>
      </c>
      <c r="QD43" s="6">
        <f>COUNTIFS(Table149[Country],Tabela1[[#This Row],[Country]],Table149[Parallel Giant Slalom Classification],"&gt;0")</f>
        <v>0</v>
      </c>
      <c r="QE43" s="6">
        <f>COUNTIFS(Table149152[Country],Tabela1[[#This Row],[Country]],Table149152[Parallel Giant Slalom Classification],"&gt;0")</f>
        <v>0</v>
      </c>
      <c r="QF43" s="6">
        <f>COUNTIFS(Table149[Country],Tabela1[[#This Row],[Country]],Table149[Slopestyle Classification],"&gt;0")</f>
        <v>0</v>
      </c>
      <c r="QG43" s="6">
        <f>COUNTIFS(Table149152[Country],Tabela1[[#This Row],[Country]],Table149152[Slopestyle Classification],"&gt;0")</f>
        <v>0</v>
      </c>
      <c r="QH43" s="6">
        <f>COUNTIFS(Table149[Country],Tabela1[[#This Row],[Country]],Table149[Snowboard Cross Classification],"&gt;0")</f>
        <v>0</v>
      </c>
      <c r="QI43" s="6">
        <f>COUNTIFS(Table149152[Country],Tabela1[[#This Row],[Country]],Table149152[Snowboard Cross Classification],"&gt;0")</f>
        <v>0</v>
      </c>
      <c r="QJ43" s="6">
        <f>COUNTIFS(Table153[Country],Tabela1[[#This Row],[Country]],Table153[Mixed Team Snowboard Cross Classification],"&gt;0")</f>
        <v>0</v>
      </c>
      <c r="QK43" s="6">
        <f>COUNTIFS(Table154[Country],Tabela1[[#This Row],[Country]],Table154[500m Classification],"&gt;0")</f>
        <v>0</v>
      </c>
      <c r="QL43" s="6">
        <f>COUNTIFS(Table154157[Country],Tabela1[[#This Row],[Country]],Table154157[500m Classification],"&gt;0")</f>
        <v>0</v>
      </c>
      <c r="QM43" s="6">
        <f>COUNTIFS(Table154[Country],Tabela1[[#This Row],[Country]],Table154[1000m Classification],"&gt;0")</f>
        <v>0</v>
      </c>
      <c r="QN43" s="6">
        <f>COUNTIFS(Table154157[Country],Tabela1[[#This Row],[Country]],Table154157[1000m Classification],"&gt;0")</f>
        <v>0</v>
      </c>
      <c r="QO43" s="6">
        <f>COUNTIFS(Table154[Country],Tabela1[[#This Row],[Country]],Table154[1500m Classification],"&gt;0")</f>
        <v>0</v>
      </c>
      <c r="QP43" s="6">
        <f>COUNTIFS(Table154157[Country],Tabela1[[#This Row],[Country]],Table154157[1500m Classification],"&gt;0")</f>
        <v>0</v>
      </c>
      <c r="QQ43" s="6">
        <f>COUNTIFS(Table154157[Country],Tabela1[[#This Row],[Country]],Table154157[3000m Classification],"&gt;0")</f>
        <v>0</v>
      </c>
      <c r="QR43" s="6">
        <f>COUNTIFS(Table154[Country],Tabela1[[#This Row],[Country]],Table154[5000m Classification],"&gt;0")</f>
        <v>0</v>
      </c>
      <c r="QS43" s="6">
        <f>COUNTIFS(Table154157[Country],Tabela1[[#This Row],[Country]],Table154157[5000m Classification],"&gt;0")</f>
        <v>0</v>
      </c>
      <c r="QT43" s="6">
        <f>COUNTIFS(Table154[Country],Tabela1[[#This Row],[Country]],Table154[10000m Classification],"&gt;0")</f>
        <v>0</v>
      </c>
      <c r="QU43" s="6">
        <f>COUNTIFS(Table154[Country],Tabela1[[#This Row],[Country]],Table154[Mass Start Classification],"&gt;0")</f>
        <v>0</v>
      </c>
      <c r="QV43" s="6">
        <f>COUNTIFS(Table154157[Country],Tabela1[[#This Row],[Country]],Table154157[Mass Start Classification],"&gt;0")</f>
        <v>0</v>
      </c>
      <c r="QW43" s="6">
        <f>COUNTIFS(Table157[Country],Tabela1[[#This Row],[Country]],Table157[Men''s Pursuit Classification],"&gt;0")</f>
        <v>0</v>
      </c>
      <c r="QX43" s="6">
        <f>COUNTIFS(Table157[Country],Tabela1[[#This Row],[Country]],Table157[Women''s Pursuit Classification],"&gt;0")</f>
        <v>0</v>
      </c>
      <c r="QY43" s="3" t="s">
        <v>381</v>
      </c>
    </row>
    <row r="44" spans="1:467" x14ac:dyDescent="0.3">
      <c r="A44" s="6">
        <v>43</v>
      </c>
      <c r="B44" s="6" t="s">
        <v>448</v>
      </c>
      <c r="C44" t="e" vm="43">
        <f>IF(ISBLANK(Tabela1[[#This Row],[Image Link]]), "", _xlfn.IMAGE(Tabela1[[#This Row],[Image Link]],1,1))</f>
        <v>#VALUE!</v>
      </c>
      <c r="D44" s="6">
        <f>SUM(Tabela1[[#This Row],[Archery - Men''s Individual Recurve]:[Speed Skating - Women''s Team Pursuit]])</f>
        <v>22</v>
      </c>
      <c r="E44" s="6">
        <f>COUNTIF(Tabela1[[#This Row],[Archery - Men''s Individual Recurve]:[Speed Skating - Women''s Team Pursuit]],"&gt;0")</f>
        <v>20</v>
      </c>
      <c r="F44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44" s="6">
        <f>SUM(Tabela1[[#This Row],[Archery - Men''s Individual Recurve]:[Wrestling - Women''s Freestyle 76kg]])</f>
        <v>22</v>
      </c>
      <c r="H44" s="6">
        <f>SUM(Tabela1[[#This Row],[Alpine Skiing - Men''s Downhill]:[Speed Skating - Women''s Team Pursuit]])</f>
        <v>0</v>
      </c>
      <c r="I44" s="6">
        <f>Tabela1[[#This Row],[Summer Gold Medals]]+Tabela1[[#This Row],[Winter Gold Medals]]</f>
        <v>0</v>
      </c>
      <c r="J44" s="6">
        <f>Tabela1[[#This Row],[Summer Silver Medals]]+Tabela1[[#This Row],[Winter Silver Medals]]</f>
        <v>1</v>
      </c>
      <c r="K44" s="6">
        <f>Tabela1[[#This Row],[Summer Bronze Medals]]+Tabela1[[#This Row],[Winter Bronze Medals]]</f>
        <v>5</v>
      </c>
      <c r="L44" s="6">
        <f>SUM(Tabela1[[#This Row],[Total Gold Medals]:[Total Bronze Medals]])</f>
        <v>6</v>
      </c>
      <c r="M44" s="6"/>
      <c r="N44" s="6">
        <v>1</v>
      </c>
      <c r="O44" s="6">
        <v>5</v>
      </c>
      <c r="P44" s="6">
        <f>SUM(Tabela1[[#This Row],[Summer Gold Medals]:[Summer Bronze Medals]])</f>
        <v>6</v>
      </c>
      <c r="Q44" s="6"/>
      <c r="R44" s="6"/>
      <c r="S44" s="6"/>
      <c r="T44" s="6">
        <f>Tabela1[[#This Row],[Winter Gold Medals]]+Tabela1[[#This Row],[Winter Silver Medals]]+Tabela1[[#This Row],[Winter Bronze Medals]]</f>
        <v>0</v>
      </c>
      <c r="U44" s="7">
        <f>Tabela1[[#This Row],[Total Medals]]/Tabela1[[#This Row],[Total Quotas]]</f>
        <v>0.27272727272727271</v>
      </c>
      <c r="V44" s="6">
        <f>COUNTIFS(Table3[Country],Tabela1[[#This Row],[Country]],Table3[Recurve Classification],"&gt;0")</f>
        <v>1</v>
      </c>
      <c r="W44" s="6">
        <f>COUNTIFS(Table33[Country],Tabela1[[#This Row],[Country]],Table33[Recurve Classification],"&gt;0")</f>
        <v>1</v>
      </c>
      <c r="X44" s="6">
        <f>COUNTIFS(Table35[Country],Tabela1[[#This Row],[Country]],Table35[Men''s Team Recurve Classification],"&gt;0")</f>
        <v>1</v>
      </c>
      <c r="Y44" s="6">
        <f>COUNTIFS(Table35[Country],Tabela1[[#This Row],[Country]],Table35[Women''s Team Recurve Classification],"&gt;0")</f>
        <v>1</v>
      </c>
      <c r="Z44" s="6">
        <f>COUNTIFS(Tabela88[Country],Tabela1[[#This Row],[Country]],Tabela88[Mixed Team Recurve Classification],"&gt;0")</f>
        <v>0</v>
      </c>
      <c r="AA44" s="6">
        <f>COUNTIFS(Table36[Country],Tabela1[[#This Row],[Country]],Table36[Classification],"&gt;0")</f>
        <v>0</v>
      </c>
      <c r="AB44" s="6">
        <f>COUNTIFS(Table37[Country],Tabela1[[#This Row],[Country]],Table37[Classification],"&gt;0")</f>
        <v>0</v>
      </c>
      <c r="AC44" s="6">
        <f>COUNTIFS(Table4[Country],Tabela1[[#This Row],[Country]],Table4[100m Classification],"&gt;0")</f>
        <v>0</v>
      </c>
      <c r="AD44" s="6">
        <f>COUNTIFS(Table5[Country],Tabela1[[#This Row],[Country]],Table5[100m Classification],"&gt;0")</f>
        <v>0</v>
      </c>
      <c r="AE44" s="6">
        <f>COUNTIFS(Table4[Country],Tabela1[[#This Row],[Country]],Table4[200m Classification],"&gt;0")</f>
        <v>0</v>
      </c>
      <c r="AF44" s="6">
        <f>COUNTIFS(Table5[Country],Tabela1[[#This Row],[Country]],Table5[200m Classification],"&gt;0")</f>
        <v>0</v>
      </c>
      <c r="AG44" s="6">
        <f>COUNTIFS(Table4[Country],Tabela1[[#This Row],[Country]],Table4[400m Classification],"&gt;0")</f>
        <v>0</v>
      </c>
      <c r="AH44" s="6">
        <f>COUNTIFS(Table5[Country],Tabela1[[#This Row],[Country]],Table5[400m Classification],"&gt;0")</f>
        <v>0</v>
      </c>
      <c r="AI44" s="6">
        <f>COUNTIFS(Table4[Country],Tabela1[[#This Row],[Country]],Table4[800m Classification],"&gt;0")</f>
        <v>0</v>
      </c>
      <c r="AJ44" s="6">
        <f>COUNTIFS(Table5[Country],Tabela1[[#This Row],[Country]],Table5[800m Classification],"&gt;0")</f>
        <v>0</v>
      </c>
      <c r="AK44" s="6">
        <f>COUNTIFS(Table4[Country],Tabela1[[#This Row],[Country]],Table4[1500m Classification],"&gt;0")</f>
        <v>0</v>
      </c>
      <c r="AL44" s="6">
        <f>COUNTIFS(Table5[Country],Tabela1[[#This Row],[Country]],Table5[1500m Classification],"&gt;0")</f>
        <v>0</v>
      </c>
      <c r="AM44" s="6">
        <f>COUNTIFS(Table4[Country],Tabela1[[#This Row],[Country]],Table4[5000m Classification],"&gt;0")</f>
        <v>0</v>
      </c>
      <c r="AN44" s="6">
        <f>COUNTIFS(Table5[Country],Tabela1[[#This Row],[Country]],Table5[5000m Classification],"&gt;0")</f>
        <v>0</v>
      </c>
      <c r="AO44" s="6">
        <f>COUNTIFS(Table4[Country],Tabela1[[#This Row],[Country]],Table4[10000m Classification],"&gt;0")</f>
        <v>0</v>
      </c>
      <c r="AP44" s="6">
        <f>COUNTIFS(Table5[Country],Tabela1[[#This Row],[Country]],Table5[10000m Classification],"&gt;0")</f>
        <v>0</v>
      </c>
      <c r="AQ44" s="6">
        <f>COUNTIFS(Table4[Country],Tabela1[[#This Row],[Country]],Table4[110m Hurdles Classification],"&gt;0")</f>
        <v>0</v>
      </c>
      <c r="AR44" s="6">
        <f>COUNTIFS(Table5[Country],Tabela1[[#This Row],[Country]],Table5[100m Hurdles Classification],"&gt;0")</f>
        <v>0</v>
      </c>
      <c r="AS44" s="6">
        <f>COUNTIFS(Table4[Country],Tabela1[[#This Row],[Country]],Table4[400m Hurdles Classification],"&gt;0")</f>
        <v>0</v>
      </c>
      <c r="AT44" s="6">
        <f>COUNTIFS(Table5[Country],Tabela1[[#This Row],[Country]],Table5[400m Hurdles Classification],"&gt;0")</f>
        <v>0</v>
      </c>
      <c r="AU44" s="6">
        <f>COUNTIFS(Table4[Country],Tabela1[[#This Row],[Country]],Table4[3000m Steeplechase Classification],"&gt;0")</f>
        <v>0</v>
      </c>
      <c r="AV44" s="6">
        <f>COUNTIFS(Table5[Country],Tabela1[[#This Row],[Country]],Table5[3000m Steeplechase Classification],"&gt;0")</f>
        <v>0</v>
      </c>
      <c r="AW44" s="6">
        <f>COUNTIFS(Table27[Country],Tabela1[[#This Row],[Country]],Table27[Men''s 4x100m Relay Classification],"&gt;0")</f>
        <v>0</v>
      </c>
      <c r="AX44" s="6">
        <f>COUNTIFS(Table27[Country],Tabela1[[#This Row],[Country]],Table27[Women''s 4x100m Relay Classification],"&gt;0")</f>
        <v>0</v>
      </c>
      <c r="AY44" s="6">
        <f>COUNTIFS(Table27[Country],Tabela1[[#This Row],[Country]],Table27[Men''s 4x400m Relay Classification],"&gt;0")</f>
        <v>0</v>
      </c>
      <c r="AZ44" s="6">
        <f>COUNTIFS(Table27[Country],Tabela1[[#This Row],[Country]],Table27[Women''s 4x400m Relay Classification],"&gt;0")</f>
        <v>1</v>
      </c>
      <c r="BA44" s="6">
        <f>COUNTIFS(Table27[Country],Tabela1[[#This Row],[Country]],Table27[Mixed 4x400m Relay Classification],"&gt;0")</f>
        <v>0</v>
      </c>
      <c r="BB44" s="6">
        <f>COUNTIFS(Table4[Country],Tabela1[[#This Row],[Country]],Table4[Marathon Classification],"&gt;0")</f>
        <v>0</v>
      </c>
      <c r="BC44" s="6">
        <f>COUNTIFS(Table5[Country],Tabela1[[#This Row],[Country]],Table5[Marathon Classification],"&gt;0")</f>
        <v>0</v>
      </c>
      <c r="BD44" s="6">
        <f>COUNTIFS(Table4[Country],Tabela1[[#This Row],[Country]],Table4[20km Race Walk Classification],"&gt;0")</f>
        <v>0</v>
      </c>
      <c r="BE44" s="6">
        <f>COUNTIFS(Table5[Country],Tabela1[[#This Row],[Country]],Table5[20km Race Walk Classification],"&gt;0")</f>
        <v>0</v>
      </c>
      <c r="BF44" s="6">
        <f>COUNTIFS(Tabela96[Country],Tabela1[[#This Row],[Country]],Tabela96[Mixed Marathon Race Walk Relay Classification],"&gt;0")</f>
        <v>0</v>
      </c>
      <c r="BG44" s="6">
        <f>COUNTIFS(Table4[Country],Tabela1[[#This Row],[Country]],Table4[Discus Throw Classification],"&gt;0")</f>
        <v>0</v>
      </c>
      <c r="BH44" s="6">
        <f>COUNTIFS(Table5[Country],Tabela1[[#This Row],[Country]],Table5[Discus Throw Classification],"&gt;0")</f>
        <v>0</v>
      </c>
      <c r="BI44" s="6">
        <f>COUNTIFS(Table4[Country],Tabela1[[#This Row],[Country]],Table4[Hammer Throw Classification],"&gt;0")</f>
        <v>0</v>
      </c>
      <c r="BJ44" s="6">
        <f>COUNTIFS(Table5[Country],Tabela1[[#This Row],[Country]],Table5[Hammer Throw Classification],"&gt;0")</f>
        <v>0</v>
      </c>
      <c r="BK44" s="6">
        <f>COUNTIFS(Table4[Country],Tabela1[[#This Row],[Country]],Table4[High Jump Classification],"&gt;0")</f>
        <v>0</v>
      </c>
      <c r="BL44" s="6">
        <f>COUNTIFS(Table5[Country],Tabela1[[#This Row],[Country]],Table5[High Jump Classification],"&gt;0")</f>
        <v>0</v>
      </c>
      <c r="BM44" s="6">
        <f>COUNTIFS(Table4[Country],Tabela1[[#This Row],[Country]],Table4[Javelin Throw Classification],"&gt;0")</f>
        <v>0</v>
      </c>
      <c r="BN44" s="6">
        <f>COUNTIFS(Table5[Country],Tabela1[[#This Row],[Country]],Table5[Javelin Throw Classification],"&gt;0")</f>
        <v>0</v>
      </c>
      <c r="BO44" s="6">
        <f>COUNTIFS(Table4[Country],Tabela1[[#This Row],[Country]],Table4[Long Jump Classification],"&gt;0")</f>
        <v>0</v>
      </c>
      <c r="BP44" s="6">
        <f>COUNTIFS(Table5[Country],Tabela1[[#This Row],[Country]],Table5[Long Jump Classification],"&gt;0")</f>
        <v>0</v>
      </c>
      <c r="BQ44" s="6">
        <f>COUNTIFS(Table4[Country],Tabela1[[#This Row],[Country]],Table4[Pole Vault Classification],"&gt;0")</f>
        <v>0</v>
      </c>
      <c r="BR44" s="6">
        <f>COUNTIFS(Table5[Country],Tabela1[[#This Row],[Country]],Table5[Pole Vault Classification],"&gt;0")</f>
        <v>0</v>
      </c>
      <c r="BS44" s="6">
        <f>COUNTIFS(Table4[Country],Tabela1[[#This Row],[Country]],Table4[Shot Put Classification],"&gt;0")</f>
        <v>0</v>
      </c>
      <c r="BT44" s="6">
        <f>COUNTIFS(Table5[Country],Tabela1[[#This Row],[Country]],Table5[Shot Put Classification],"&gt;0")</f>
        <v>0</v>
      </c>
      <c r="BU44" s="6">
        <f>COUNTIFS(Table4[Country],Tabela1[[#This Row],[Country]],Table4[Triple Jump Classification],"&gt;0")</f>
        <v>0</v>
      </c>
      <c r="BV44" s="6">
        <f>COUNTIFS(Table5[Country],Tabela1[[#This Row],[Country]],Table5[Triple Jump Classification],"&gt;0")</f>
        <v>0</v>
      </c>
      <c r="BW44" s="6">
        <f>COUNTIFS(Table4[Country],Tabela1[[#This Row],[Country]],Table4[Decathlon Classification],"&gt;0")</f>
        <v>0</v>
      </c>
      <c r="BX44" s="6">
        <f>COUNTIFS(Table5[Country],Tabela1[[#This Row],[Country]],Table5[Heptathlon Classification],"&gt;0")</f>
        <v>0</v>
      </c>
      <c r="BY44" s="6">
        <f>COUNTIFS(Table61[Country],Tabela1[[#This Row],[Country]],Table61[Classification],"&gt;0")</f>
        <v>0</v>
      </c>
      <c r="BZ44" s="6">
        <f>COUNTIFS(Table38[Country],Tabela1[[#This Row],[Country]],Table38[Classification],"&gt;0")</f>
        <v>1</v>
      </c>
      <c r="CA44" s="6">
        <f>COUNTIFS(Table39[Country],Tabela1[[#This Row],[Country]],Table39[Men''s Classification],"&gt;0")</f>
        <v>1</v>
      </c>
      <c r="CB44" s="6">
        <f>COUNTIFS(Table39[Country],Tabela1[[#This Row],[Country]],Table39[Women''s Classification],"&gt;0")</f>
        <v>1</v>
      </c>
      <c r="CC44" s="6">
        <f>COUNTIFS(Table39[Country],Tabela1[[#This Row],[Country]],Table39[Mixed Classification],"&gt;0")</f>
        <v>0</v>
      </c>
      <c r="CD44" s="6">
        <f>COUNTIFS(Table89[Country],Tabela1[[#This Row],[Country]],Table89[Men''s Classification],"&gt;0")</f>
        <v>0</v>
      </c>
      <c r="CE44" s="6">
        <f>COUNTIFS(Table89[Country],Tabela1[[#This Row],[Country]],Table89[Women''s Classification],"&gt;0")</f>
        <v>0</v>
      </c>
      <c r="CF44" s="6">
        <f>COUNTIFS(Table90[Country],Tabela1[[#This Row],[Country]],Table90[Men''s Classification],"&gt;0")</f>
        <v>0</v>
      </c>
      <c r="CG44" s="6">
        <f>COUNTIFS(Table90[Country],Tabela1[[#This Row],[Country]],Table90[Women''s Classification],"&gt;0")</f>
        <v>0</v>
      </c>
      <c r="CH44" s="6">
        <f>COUNTIFS(Table60[Country],Tabela1[[#This Row],[Country]],Table60[Men''s Classification],"&gt;0")</f>
        <v>0</v>
      </c>
      <c r="CI44" s="6">
        <f>COUNTIFS(Table60[Country],Tabela1[[#This Row],[Country]],Table60[Women''s Classification],"&gt;0")</f>
        <v>0</v>
      </c>
      <c r="CJ44" s="6">
        <f>COUNTIFS(Table6[Country],Tabela1[[#This Row],[Country]],Table6[51kg Classification],"&gt;0")</f>
        <v>0</v>
      </c>
      <c r="CK44" s="6">
        <f>COUNTIFS(Table6[Country],Tabela1[[#This Row],[Country]],Table6[57kg Classification],"&gt;0")</f>
        <v>0</v>
      </c>
      <c r="CL44" s="6">
        <f>COUNTIFS(Table6[Country],Tabela1[[#This Row],[Country]],Table6[63.5kg Classification],"&gt;0")</f>
        <v>0</v>
      </c>
      <c r="CM44" s="6">
        <f>COUNTIFS(Table6[Country],Tabela1[[#This Row],[Country]],Table6[71kg Classification],"&gt;0")</f>
        <v>0</v>
      </c>
      <c r="CN44" s="6">
        <f>COUNTIFS(Table6[Country],Tabela1[[#This Row],[Country]],Table6[80kg Classification],"&gt;0")</f>
        <v>0</v>
      </c>
      <c r="CO44" s="6">
        <f>COUNTIFS(Table6[Country],Tabela1[[#This Row],[Country]],Table6[92kg Classification],"&gt;0")</f>
        <v>0</v>
      </c>
      <c r="CP44" s="6">
        <f>COUNTIFS(Table6[Country],Tabela1[[#This Row],[Country]],Table6[Plus 92kg Classification],"&gt;0")</f>
        <v>0</v>
      </c>
      <c r="CQ44" s="6">
        <f>COUNTIFS(Table7[Country],Tabela1[[#This Row],[Country]],Table7[50kg Classification],"&gt;0")</f>
        <v>0</v>
      </c>
      <c r="CR44" s="6">
        <f>COUNTIFS(Table7[Country],Tabela1[[#This Row],[Country]],Table7[54kg Classification],"&gt;0")</f>
        <v>0</v>
      </c>
      <c r="CS44" s="6">
        <f>COUNTIFS(Table7[Country],Tabela1[[#This Row],[Country]],Table7[57kg Classification],"&gt;0")</f>
        <v>0</v>
      </c>
      <c r="CT44" s="6">
        <f>COUNTIFS(Table7[Country],Tabela1[[#This Row],[Country]],Table7[60kg Classification],"&gt;0")</f>
        <v>0</v>
      </c>
      <c r="CU44" s="6">
        <f>COUNTIFS(Table7[Country],Tabela1[[#This Row],[Country]],Table7[66kg Classification],"&gt;0")</f>
        <v>0</v>
      </c>
      <c r="CV44" s="6">
        <f>COUNTIFS(Table7[Country],Tabela1[[#This Row],[Country]],Table7[75kg Classification],"&gt;0")</f>
        <v>1</v>
      </c>
      <c r="CW44" s="6">
        <f>COUNTIFS(Tabela94[Country],Tabela1[[#This Row],[Country]],Tabela94[Classification],"&gt;0")</f>
        <v>0</v>
      </c>
      <c r="CX44" s="6">
        <f>COUNTIFS(Tabela9499[Country],Tabela1[[#This Row],[Country]],Tabela9499[Classification],"&gt;0")</f>
        <v>0</v>
      </c>
      <c r="CY44" s="6">
        <f>COUNTIFS(Tabela107[Country],Tabela1[[#This Row],[Country]],Tabela107[C1 Slalom Classification],"&gt;0")</f>
        <v>0</v>
      </c>
      <c r="CZ44" s="6">
        <f>COUNTIFS(Tabela107122[Country],Tabela1[[#This Row],[Country]],Tabela107122[C1 Slalom Classification],"&gt;0")</f>
        <v>0</v>
      </c>
      <c r="DA44" s="6">
        <f>COUNTIFS(Tabela107[Country],Tabela1[[#This Row],[Country]],Tabela107[K1 Slalom Classification],"&gt;0")</f>
        <v>0</v>
      </c>
      <c r="DB44" s="6">
        <f>COUNTIFS(Tabela107122[Country],Tabela1[[#This Row],[Country]],Tabela107122[K1 Slalom Classification],"&gt;0")</f>
        <v>0</v>
      </c>
      <c r="DC44" s="6">
        <f>COUNTIFS(Tabela107[Country],Tabela1[[#This Row],[Country]],Tabela107[Kayak Cross Slalom Classification],"&gt;0")</f>
        <v>0</v>
      </c>
      <c r="DD44" s="6">
        <f>COUNTIFS(Tabela107122[Country],Tabela1[[#This Row],[Country]],Tabela107122[Kayak Cross Slalom Classification],"&gt;0")</f>
        <v>0</v>
      </c>
      <c r="DE44" s="6">
        <f>COUNTIFS(Table8[Country],Tabela1[[#This Row],[Country]],Table8[C1 200m Classification],"&gt;0")</f>
        <v>0</v>
      </c>
      <c r="DF44" s="6">
        <f>COUNTIFS(Table40[Country],Tabela1[[#This Row],[Country]],Table40[C1 1000m Classification],"&gt;0")</f>
        <v>0</v>
      </c>
      <c r="DG44" s="6">
        <f>COUNTIFS(Table68[Country],Tabela1[[#This Row],[Country]],Table68[Men''s C2 500m Classification],"&gt;0")</f>
        <v>0</v>
      </c>
      <c r="DH44" s="6">
        <f>COUNTIFS(Table68[Country],Tabela1[[#This Row],[Country]],Table68[Women''s C2 500m Classification],"&gt;0")</f>
        <v>0</v>
      </c>
      <c r="DI44" s="6">
        <f>COUNTIFS(Table8[Country],Tabela1[[#This Row],[Country]],Table8[K1 500m Classification],"&gt;0")</f>
        <v>0</v>
      </c>
      <c r="DJ44" s="6">
        <f>COUNTIFS(Table40[Country],Tabela1[[#This Row],[Country]],Table40[K1 1000m Classification],"&gt;0")</f>
        <v>0</v>
      </c>
      <c r="DK44" s="6">
        <f>COUNTIFS(Table68[Country],Tabela1[[#This Row],[Country]],Table68[Men''s K2 500m Classification],"&gt;0")</f>
        <v>0</v>
      </c>
      <c r="DL44" s="6">
        <f>COUNTIFS(Table68[Country],Tabela1[[#This Row],[Country]],Table68[Women''s K2 500m Classification],"&gt;0")</f>
        <v>0</v>
      </c>
      <c r="DM44" s="6">
        <f>COUNTIFS(Table83[Country],Tabela1[[#This Row],[Country]],Table83[Men''s K4 500m Classification],"&gt;0")</f>
        <v>0</v>
      </c>
      <c r="DN44" s="6">
        <f>COUNTIFS(Table83[Country],Tabela1[[#This Row],[Country]],Table83[Women''s K4 500m Classification],"&gt;0")</f>
        <v>0</v>
      </c>
      <c r="DO44" s="6">
        <f>COUNTIFS(Tabela126[Country],Tabela1[[#This Row],[Country]],Tabela126[Classification],"&gt;0")</f>
        <v>0</v>
      </c>
      <c r="DP44" s="6">
        <f>COUNTIFS(Tabela126130[Country],Tabela1[[#This Row],[Country]],Tabela126130[Classification],"&gt;0")</f>
        <v>0</v>
      </c>
      <c r="DQ44" s="6">
        <f>COUNTIFS(Table70[Country],Tabela1[[#This Row],[Country]],Table70[Classification],"&gt;0")</f>
        <v>0</v>
      </c>
      <c r="DR44" s="6">
        <f>COUNTIFS(Table80[Country],Tabela1[[#This Row],[Country]],Table80[Classification],"&gt;0")</f>
        <v>0</v>
      </c>
      <c r="DS44" s="6">
        <f>COUNTIFS(Table66[Country],Tabela1[[#This Row],[Country]],Table66[Classification],"&gt;0")</f>
        <v>0</v>
      </c>
      <c r="DT44" s="6">
        <f>COUNTIFS(Table67[Country],Tabela1[[#This Row],[Country]],Table67[Classification],"&gt;0")</f>
        <v>0</v>
      </c>
      <c r="DU44" s="6">
        <f>COUNTIFS(Table69[Country],Tabela1[[#This Row],[Country]],Table69[Keirin Classification],"&gt;0")</f>
        <v>0</v>
      </c>
      <c r="DV44" s="6">
        <f>COUNTIFS(Table41[Country],Tabela1[[#This Row],[Country]],Table41[Keirin Classification],"&gt;0")</f>
        <v>0</v>
      </c>
      <c r="DW44" s="6">
        <f>COUNTIFS(Table84[Country],Tabela1[[#This Row],[Country]],Table84[Men''s Madison Classification],"&gt;0")</f>
        <v>0</v>
      </c>
      <c r="DX44" s="6">
        <f>COUNTIFS(Table84[Country],Tabela1[[#This Row],[Country]],Table84[Women''s Madison Classification],"&gt;0")</f>
        <v>0</v>
      </c>
      <c r="DY44" s="6">
        <f>COUNTIFS(Table69[Country],Tabela1[[#This Row],[Country]],Table69[Omnium Classification],"&gt;0")</f>
        <v>0</v>
      </c>
      <c r="DZ44" s="6">
        <f>COUNTIFS(Table41[Country],Tabela1[[#This Row],[Country]],Table41[Omnium Classification],"&gt;0")</f>
        <v>0</v>
      </c>
      <c r="EA44" s="6">
        <f>COUNTIFS(Table9[Country],Tabela1[[#This Row],[Country]],Table9[Road Race Classification],"&gt;0")</f>
        <v>0</v>
      </c>
      <c r="EB44" s="6">
        <f>COUNTIFS(Table14[Country],Tabela1[[#This Row],[Country]],Table14[Road Race Classification],"&gt;0")</f>
        <v>0</v>
      </c>
      <c r="EC44" s="6">
        <f>COUNTIFS(Table69[Country],Tabela1[[#This Row],[Country]],Table69[Sprint Classification],"&gt;0")</f>
        <v>0</v>
      </c>
      <c r="ED44" s="6">
        <f>COUNTIFS(Table41[Country],Tabela1[[#This Row],[Country]],Table41[Sprint Classification],"&gt;0")</f>
        <v>0</v>
      </c>
      <c r="EE44" s="6">
        <f>COUNTIFS(Table85[Country],Tabela1[[#This Row],[Country]],Table85[Men''s Sprint Classification],"&gt;0")</f>
        <v>0</v>
      </c>
      <c r="EF44" s="6">
        <f>COUNTIFS(Table85[Country],Tabela1[[#This Row],[Country]],Table85[Women''s Sprint Classification],"&gt;0")</f>
        <v>0</v>
      </c>
      <c r="EG44" s="6">
        <f>COUNTIFS(Table85[Country],Tabela1[[#This Row],[Country]],Table85[Men''s Pursuit Classification],"&gt;0")</f>
        <v>0</v>
      </c>
      <c r="EH44" s="6">
        <f>COUNTIFS(Table85[Country],Tabela1[[#This Row],[Country]],Table85[Women''s Pursuit Classification],"&gt;0")</f>
        <v>0</v>
      </c>
      <c r="EI44" s="6">
        <f>COUNTIFS(Table9[Country],Tabela1[[#This Row],[Country]],Table9[Time-Trial Classification],"&gt;0")</f>
        <v>0</v>
      </c>
      <c r="EJ44" s="6">
        <f>COUNTIFS(Table14[Country],Tabela1[[#This Row],[Country]],Table14[Time-Trial Classification],"&gt;0")</f>
        <v>0</v>
      </c>
      <c r="EK44" s="6">
        <f>COUNTIFS(Table42[Country],Tabela1[[#This Row],[Country]],Table42[Springboard Classification],"&gt;0")</f>
        <v>0</v>
      </c>
      <c r="EL44" s="6">
        <f>COUNTIFS(Table43[Country],Tabela1[[#This Row],[Country]],Table43[Springboard Classification],"&gt;0")</f>
        <v>0</v>
      </c>
      <c r="EM44" s="6">
        <f>COUNTIFS(Table42[Country],Tabela1[[#This Row],[Country]],Table42[Platform Classification],"&gt;0")</f>
        <v>0</v>
      </c>
      <c r="EN44" s="6">
        <f>COUNTIFS(Table43[Country],Tabela1[[#This Row],[Country]],Table43[Platform Classification],"&gt;0")</f>
        <v>0</v>
      </c>
      <c r="EO44" s="6">
        <f>COUNTIFS(Table86[Country],Tabela1[[#This Row],[Country]],Table86[Men''s Synchronized Springboard Classification],"&gt;0")</f>
        <v>0</v>
      </c>
      <c r="EP44" s="6">
        <f>COUNTIFS(Table86[Country],Tabela1[[#This Row],[Country]],Table86[Women''s Synchronized Springboard Classification],"&gt;0")</f>
        <v>0</v>
      </c>
      <c r="EQ44" s="6">
        <f>COUNTIFS(Table86[Country],Tabela1[[#This Row],[Country]],Table86[Men''s Synchronized Platform Classification],"&gt;0")</f>
        <v>0</v>
      </c>
      <c r="ER44" s="6">
        <f>COUNTIFS(Table86[Country],Tabela1[[#This Row],[Country]],Table86[Women''s Synchronized Platform Classification],"&gt;0")</f>
        <v>0</v>
      </c>
      <c r="ES44" s="6">
        <f>COUNTIFS(Table44[Country],Tabela1[[#This Row],[Country]],Table44[Dressage Classification],"&gt;0")</f>
        <v>0</v>
      </c>
      <c r="ET44" s="6">
        <f>COUNTIFS(Table45[Country],Tabela1[[#This Row],[Country]],Table45[Dressage Classification],"&gt;0")</f>
        <v>0</v>
      </c>
      <c r="EU44" s="6">
        <f>COUNTIFS(Table44[Country],Tabela1[[#This Row],[Country]],Table44[Eventing Classification],"&gt;0")</f>
        <v>0</v>
      </c>
      <c r="EV44" s="6">
        <f>COUNTIFS(Table45[Country],Tabela1[[#This Row],[Country]],Table45[Eventing Classification],"&gt;0")</f>
        <v>0</v>
      </c>
      <c r="EW44" s="6">
        <f>COUNTIFS(Table44[Country],Tabela1[[#This Row],[Country]],Table44[Jumping Classification],"&gt;0")</f>
        <v>0</v>
      </c>
      <c r="EX44" s="6">
        <f>COUNTIFS(Table45[Country],Tabela1[[#This Row],[Country]],Table45[Jumping Classification],"&gt;0")</f>
        <v>0</v>
      </c>
      <c r="EY44" s="6">
        <f>COUNTIFS(Table10[Country],Tabela1[[#This Row],[Country]],Table10[Épée Classification],"&gt;0")</f>
        <v>0</v>
      </c>
      <c r="EZ44" s="6">
        <f>COUNTIFS(Table11[Country],Tabela1[[#This Row],[Country]],Table11[Épée Classification],"&gt;0")</f>
        <v>0</v>
      </c>
      <c r="FA44" s="6">
        <f>COUNTIFS(Table46[Country],Tabela1[[#This Row],[Country]],Table46[Men''s Épée Classification],"&gt;0")</f>
        <v>0</v>
      </c>
      <c r="FB44" s="6">
        <f>COUNTIFS(Table46[Country],Tabela1[[#This Row],[Country]],Table46[Women''s Épée Classification],"&gt;0")</f>
        <v>0</v>
      </c>
      <c r="FC44" s="6">
        <f>COUNTIFS(Table10[Country],Tabela1[[#This Row],[Country]],Table10[Foil Classification],"&gt;0")</f>
        <v>0</v>
      </c>
      <c r="FD44" s="6">
        <f>COUNTIFS(Table11[Country],Tabela1[[#This Row],[Country]],Table11[Foil Classification],"&gt;0")</f>
        <v>0</v>
      </c>
      <c r="FE44" s="6">
        <f>COUNTIFS(Table46[Country],Tabela1[[#This Row],[Country]],Table46[Men''s Foil Classification],"&gt;0")</f>
        <v>0</v>
      </c>
      <c r="FF44" s="6">
        <f>COUNTIFS(Table46[Country],Tabela1[[#This Row],[Country]],Table46[Women''s Foil Classification],"&gt;0")</f>
        <v>0</v>
      </c>
      <c r="FG44" s="6">
        <f>COUNTIFS(Table10[Country],Tabela1[[#This Row],[Country]],Table10[Sabre Classification],"&gt;0")</f>
        <v>0</v>
      </c>
      <c r="FH44" s="6">
        <f>COUNTIFS(Table11[Country],Tabela1[[#This Row],[Country]],Table11[Sabre Classification],"&gt;0")</f>
        <v>0</v>
      </c>
      <c r="FI44" s="6">
        <f>COUNTIFS(Table46[Country],Tabela1[[#This Row],[Country]],Table46[Men''s Sabre Classification],"&gt;0")</f>
        <v>0</v>
      </c>
      <c r="FJ44" s="6">
        <f>COUNTIFS(Table46[Country],Tabela1[[#This Row],[Country]],Table46[Women''s Sabre Classification],"&gt;0")</f>
        <v>0</v>
      </c>
      <c r="FK44" s="6">
        <f>COUNTIFS(Table91[Country],Tabela1[[#This Row],[Country]],Table91[Men''s Classification],"&gt;0")</f>
        <v>0</v>
      </c>
      <c r="FL44" s="6">
        <f>COUNTIFS(Table91[Country],Tabela1[[#This Row],[Country]],Table91[Women''s Classification],"&gt;0")</f>
        <v>0</v>
      </c>
      <c r="FM44" s="6">
        <f>COUNTIFS(Table9194[Country],Tabela1[[#This Row],[Country]],Table9194[Men''s Classification],"&gt;0")</f>
        <v>0</v>
      </c>
      <c r="FN44" s="6">
        <f>COUNTIFS(Table9194[Country],Tabela1[[#This Row],[Country]],Table9194[Women''s Classification],"&gt;0")</f>
        <v>0</v>
      </c>
      <c r="FO44" s="6">
        <f>COUNTIFS(Table71[Country],Tabela1[[#This Row],[Country]],Table71[Classification],"&gt;0")</f>
        <v>0</v>
      </c>
      <c r="FP44" s="6">
        <f>COUNTIFS(Table62[Country],Tabela1[[#This Row],[Country]],Table62[Classification],"&gt;0")</f>
        <v>1</v>
      </c>
      <c r="FQ44" s="6">
        <f>COUNTIFS(Table47[Country],Tabela1[[#This Row],[Country]],Table47[All-Around Classification],"&gt;0")</f>
        <v>0</v>
      </c>
      <c r="FR44" s="6">
        <f>COUNTIFS(Table48[Country],Tabela1[[#This Row],[Country]],Table48[All-Around Classification],"&gt;0")</f>
        <v>0</v>
      </c>
      <c r="FS44" s="6">
        <f>COUNTIFS(Table81[Country],Tabela1[[#This Row],[Country]],Table81[Men''s All-Around Classification],"&gt;0")</f>
        <v>0</v>
      </c>
      <c r="FT44" s="6">
        <f>COUNTIFS(Table81[Country],Tabela1[[#This Row],[Country]],Table81[Women''s All-Around Classification],"&gt;0")</f>
        <v>0</v>
      </c>
      <c r="FU44" s="6">
        <f>COUNTIFS(Table48[Country],Tabela1[[#This Row],[Country]],Table48[Balance Beam Classification],"&gt;0")</f>
        <v>0</v>
      </c>
      <c r="FV44" s="6">
        <f>COUNTIFS(Table47[Country],Tabela1[[#This Row],[Country]],Table47[Floor Exercise Classification],"&gt;0")</f>
        <v>0</v>
      </c>
      <c r="FW44" s="6">
        <f>COUNTIFS(Table48[Country],Tabela1[[#This Row],[Country]],Table48[Floor Exercise Classification],"&gt;0")</f>
        <v>0</v>
      </c>
      <c r="FX44" s="6">
        <f>COUNTIFS(Table47[Country],Tabela1[[#This Row],[Country]],Table47[Horizontal Bar Classification],"&gt;0")</f>
        <v>0</v>
      </c>
      <c r="FY44" s="6">
        <f>COUNTIFS(Table47[Country],Tabela1[[#This Row],[Country]],Table47[Parallel Bars Classification],"&gt;0")</f>
        <v>0</v>
      </c>
      <c r="FZ44" s="6">
        <f>COUNTIFS(Table47[Country],Tabela1[[#This Row],[Country]],Table47[Pommel Horse Classification],"&gt;0")</f>
        <v>0</v>
      </c>
      <c r="GA44" s="6">
        <f>COUNTIFS(Table47[Country],Tabela1[[#This Row],[Country]],Table47[Rings Classification],"&gt;0")</f>
        <v>0</v>
      </c>
      <c r="GB44" s="6">
        <f>COUNTIFS(Tabela132[Country],Tabela1[[#This Row],[Country]],Tabela132[Classification],"&gt;0")</f>
        <v>0</v>
      </c>
      <c r="GC44" s="6">
        <f>COUNTIFS(Tabela139[Country],Tabela1[[#This Row],[Country]],Tabela139[Classification],"&gt;0")</f>
        <v>0</v>
      </c>
      <c r="GD44" s="6">
        <f>COUNTIFS(Table48[Country],Tabela1[[#This Row],[Country]],Table48[Uneven Bars Classification],"&gt;0")</f>
        <v>0</v>
      </c>
      <c r="GE44" s="6">
        <f>COUNTIFS(Table47[Country],Tabela1[[#This Row],[Country]],Table47[Vault Classification],"&gt;0")</f>
        <v>0</v>
      </c>
      <c r="GF44" s="6">
        <f>COUNTIFS(Table48[Country],Tabela1[[#This Row],[Country]],Table48[Vault Classification],"&gt;0")</f>
        <v>0</v>
      </c>
      <c r="GG44" s="6">
        <f>COUNTIFS(Table919496[Country],Tabela1[[#This Row],[Country]],Table919496[Men''s Classification],"&gt;0")</f>
        <v>0</v>
      </c>
      <c r="GH44" s="6">
        <f>COUNTIFS(Table919496[Country],Tabela1[[#This Row],[Country]],Table919496[Women''s Classification],"&gt;0")</f>
        <v>0</v>
      </c>
      <c r="GI44" s="6">
        <f>COUNTIFS(Table12[Country],Tabela1[[#This Row],[Country]],Table12[60kg Classification],"&gt;0")</f>
        <v>0</v>
      </c>
      <c r="GJ44" s="6">
        <f>COUNTIFS(Table12[Country],Tabela1[[#This Row],[Country]],Table12[66kg Classification],"&gt;0")</f>
        <v>0</v>
      </c>
      <c r="GK44" s="6">
        <f>COUNTIFS(Table12[Country],Tabela1[[#This Row],[Country]],Table12[73kg Classification],"&gt;0")</f>
        <v>0</v>
      </c>
      <c r="GL44" s="6">
        <f>COUNTIFS(Table12[Country],Tabela1[[#This Row],[Country]],Table12[81kg Classification],"&gt;0")</f>
        <v>0</v>
      </c>
      <c r="GM44" s="6">
        <f>COUNTIFS(Table12[Country],Tabela1[[#This Row],[Country]],Table12[90kg Classification],"&gt;0")</f>
        <v>0</v>
      </c>
      <c r="GN44" s="6">
        <f>COUNTIFS(Table12[Country],Tabela1[[#This Row],[Country]],Table12[100kg Classification],"&gt;0")</f>
        <v>0</v>
      </c>
      <c r="GO44" s="6">
        <f>COUNTIFS(Table12[Country],Tabela1[[#This Row],[Country]],Table12[Plus 100kg Classification],"&gt;0")</f>
        <v>0</v>
      </c>
      <c r="GP44" s="6">
        <f>COUNTIFS(Table13[Country],Tabela1[[#This Row],[Country]],Table13[48kg Classification],"&gt;0")</f>
        <v>0</v>
      </c>
      <c r="GQ44" s="6">
        <f>COUNTIFS(Table13[Country],Tabela1[[#This Row],[Country]],Table13[52kg Classification],"&gt;0")</f>
        <v>0</v>
      </c>
      <c r="GR44" s="6">
        <f>COUNTIFS(Table13[Country],Tabela1[[#This Row],[Country]],Table13[57kg Classification],"&gt;0")</f>
        <v>0</v>
      </c>
      <c r="GS44" s="6">
        <f>COUNTIFS(Table13[Country],Tabela1[[#This Row],[Country]],Table13[63kg Classification],"&gt;0")</f>
        <v>0</v>
      </c>
      <c r="GT44" s="6">
        <f>COUNTIFS(Table13[Country],Tabela1[[#This Row],[Country]],Table13[70kg Classification],"&gt;0")</f>
        <v>0</v>
      </c>
      <c r="GU44" s="6">
        <f>COUNTIFS(Table13[Country],Tabela1[[#This Row],[Country]],Table13[78kg Classification],"&gt;0")</f>
        <v>0</v>
      </c>
      <c r="GV44" s="6">
        <f>COUNTIFS(Table13[Country],Tabela1[[#This Row],[Country]],Table13[Plus 78kg Classification],"&gt;0")</f>
        <v>1</v>
      </c>
      <c r="GW44" s="6">
        <f>COUNTIFS(Table82[Country],Tabela1[[#This Row],[Country]],Table82[Mixed Classification],"&gt;0")</f>
        <v>0</v>
      </c>
      <c r="GX44" s="6">
        <f>COUNTIFS(Table51[Country],Tabela1[[#This Row],[Country]],Table51[Classification],"&gt;0")</f>
        <v>0</v>
      </c>
      <c r="GY44" s="6">
        <f>COUNTIFS(Table52[Country],Tabela1[[#This Row],[Country]],Table52[Classification],"&gt;0")</f>
        <v>0</v>
      </c>
      <c r="GZ44" s="6">
        <f>COUNTIFS(Table32[Country],Tabela1[[#This Row],[Country]],Table32[All-Around Classification],"&gt;0")</f>
        <v>0</v>
      </c>
      <c r="HA44" s="6">
        <f>COUNTIFS(Table49[Country],Tabela1[[#This Row],[Country]],Table49[All-Around Classification],"&gt;0")</f>
        <v>0</v>
      </c>
      <c r="HB44" s="6">
        <f>COUNTIFS(Table26[Country],Tabela1[[#This Row],[Country]],Table26[Single Sculls Classification],"&gt;0")</f>
        <v>0</v>
      </c>
      <c r="HC44" s="6">
        <f>COUNTIFS(Table63[Country],Tabela1[[#This Row],[Country]],Table63[Single Sculls Classification],"&gt;0")</f>
        <v>0</v>
      </c>
      <c r="HD44" s="6">
        <f>COUNTIFS(Table16[Country],Tabela1[[#This Row],[Country]],Table16[Men''s Double Sculls Classification],"&gt;0")</f>
        <v>0</v>
      </c>
      <c r="HE44" s="6">
        <f>COUNTIFS(Table16[Country],Tabela1[[#This Row],[Country]],Table16[Women''s Double Sculls Classification],"&gt;0")</f>
        <v>0</v>
      </c>
      <c r="HF44" s="6">
        <f>COUNTIFS(Table72[Country],Tabela1[[#This Row],[Country]],Table72[Men''s Quadruple Sculls Classification],"&gt;0")</f>
        <v>0</v>
      </c>
      <c r="HG44" s="6">
        <f>COUNTIFS(Table72[Country],Tabela1[[#This Row],[Country]],Table72[Women''s Quadruple Sculls Classification],"&gt;0")</f>
        <v>0</v>
      </c>
      <c r="HH44" s="6">
        <f>COUNTIFS(Table16[Country],Tabela1[[#This Row],[Country]],Table16[Men''s Coxless Pairs Classification],"&gt;0")</f>
        <v>0</v>
      </c>
      <c r="HI44" s="6">
        <f>COUNTIFS(Table16[Country],Tabela1[[#This Row],[Country]],Table16[Women''s Coxless Pairs Classification],"&gt;0")</f>
        <v>0</v>
      </c>
      <c r="HJ44" s="6">
        <f>COUNTIFS(Table72[Country],Tabela1[[#This Row],[Country]],Table72[Men''s Coxless Fours Classification],"&gt;0")</f>
        <v>0</v>
      </c>
      <c r="HK44" s="6">
        <f>COUNTIFS(Table72[Country],Tabela1[[#This Row],[Country]],Table72[Women''s Coxless Fours Classification],"&gt;0")</f>
        <v>0</v>
      </c>
      <c r="HL44" s="6">
        <f>COUNTIFS(Table72[Country],Tabela1[[#This Row],[Country]],Table72[Men''s Eights Classification],"&gt;0")</f>
        <v>0</v>
      </c>
      <c r="HM44" s="6">
        <f>COUNTIFS(Table72[Country],Tabela1[[#This Row],[Country]],Table72[Women''s Eights Classification],"&gt;0")</f>
        <v>0</v>
      </c>
      <c r="HN44" s="6">
        <f>COUNTIFS(Table16[Country],Tabela1[[#This Row],[Country]],Table16[Men''s Lwt. Double Sculls Classification],"&gt;0")</f>
        <v>0</v>
      </c>
      <c r="HO44" s="6">
        <f>COUNTIFS(Table16[Country],Tabela1[[#This Row],[Country]],Table16[Women''s Lwt. Double Sculls Classification],"&gt;0")</f>
        <v>0</v>
      </c>
      <c r="HP44" s="6">
        <f>COUNTIFS(Table91949698[Country],Tabela1[[#This Row],[Country]],Table91949698[Men''s Classification],"&gt;0")</f>
        <v>0</v>
      </c>
      <c r="HQ44" s="6">
        <f>COUNTIFS(Table91949698[Country],Tabela1[[#This Row],[Country]],Table91949698[Women''s Classification],"&gt;0")</f>
        <v>0</v>
      </c>
      <c r="HR44" s="6">
        <f>COUNTIFS(Table25[Country],Tabela1[[#This Row],[Country]],Table25[Mixed 470 Classification],"&gt;0")</f>
        <v>0</v>
      </c>
      <c r="HS44" s="6">
        <f>COUNTIFS(Table25[Country],Tabela1[[#This Row],[Country]],Table25[Men''s 49er Classification],"&gt;0")</f>
        <v>0</v>
      </c>
      <c r="HT44" s="6">
        <f>COUNTIFS(Table25[Country],Tabela1[[#This Row],[Country]],Table25[Women''s 49er FX Classification],"&gt;0")</f>
        <v>0</v>
      </c>
      <c r="HU44" s="6">
        <f>COUNTIFS(Table17[Country],Tabela1[[#This Row],[Country]],Table17[Formula Kite Classification],"&gt;0")</f>
        <v>0</v>
      </c>
      <c r="HV44" s="6">
        <f>COUNTIFS(Table18[Country],Tabela1[[#This Row],[Country]],Table18[Formula Kite Classification],"&gt;0")</f>
        <v>0</v>
      </c>
      <c r="HW44" s="6">
        <f>COUNTIFS(Table17[Country],Tabela1[[#This Row],[Country]],Table17[ILCA 7 Classification],"&gt;0")</f>
        <v>0</v>
      </c>
      <c r="HX44" s="6">
        <f>COUNTIFS(Table18[Country],Tabela1[[#This Row],[Country]],Table18[ILCA 6 Classification],"&gt;0")</f>
        <v>0</v>
      </c>
      <c r="HY44" s="6">
        <f>COUNTIFS(Table17[Country],Tabela1[[#This Row],[Country]],Table17[IQFoil Classification],"&gt;0")</f>
        <v>0</v>
      </c>
      <c r="HZ44" s="6">
        <f>COUNTIFS(Table18[Country],Tabela1[[#This Row],[Country]],Table18[IQFoil Classification],"&gt;0")</f>
        <v>0</v>
      </c>
      <c r="IA44" s="6">
        <f>COUNTIFS(Table25[Country],Tabela1[[#This Row],[Country]],Table25[Mixed Nacra 17 Classification],"&gt;0")</f>
        <v>0</v>
      </c>
      <c r="IB44" s="6">
        <f>COUNTIFS(Table53[Country],Tabela1[[#This Row],[Country]],Table53[10m Air Pistol Classification],"&gt;0")</f>
        <v>0</v>
      </c>
      <c r="IC44" s="6">
        <f>COUNTIFS(Table19[Country],Tabela1[[#This Row],[Country]],Table19[10m Air Pistol Classification],"&gt;0")</f>
        <v>0</v>
      </c>
      <c r="ID44" s="6">
        <f>COUNTIFS(Table54[Country],Tabela1[[#This Row],[Country]],Table54[Mixed 10m Air Pistol Team Classification],"&gt;0")</f>
        <v>0</v>
      </c>
      <c r="IE44" s="6">
        <f>COUNTIFS(Table53[Country],Tabela1[[#This Row],[Country]],Table53[10m Air Rifle Classification],"&gt;0")</f>
        <v>0</v>
      </c>
      <c r="IF44" s="6">
        <f>COUNTIFS(Table19[Country],Tabela1[[#This Row],[Country]],Table19[10m Air Rifle Classification],"&gt;0")</f>
        <v>0</v>
      </c>
      <c r="IG44" s="6">
        <f>COUNTIFS(Table54[Country],Tabela1[[#This Row],[Country]],Table54[Mixed 10m Air Rifle Team Classification],"&gt;0")</f>
        <v>0</v>
      </c>
      <c r="IH44" s="6">
        <f>COUNTIFS(Table53[Country],Tabela1[[#This Row],[Country]],Table53[25m Rapid Fire Pistol Classification],"&gt;0")</f>
        <v>0</v>
      </c>
      <c r="II44" s="6">
        <f>COUNTIFS(Table19[Country],Tabela1[[#This Row],[Country]],Table19[25m Pistol Classification],"&gt;0")</f>
        <v>1</v>
      </c>
      <c r="IJ44" s="6">
        <f>COUNTIFS(Table53[Country],Tabela1[[#This Row],[Country]],Table53[50m Rifle 3 Positions Classification],"&gt;0")</f>
        <v>0</v>
      </c>
      <c r="IK44" s="6">
        <f>COUNTIFS(Table19[Country],Tabela1[[#This Row],[Country]],Table19[50m Rifle 3 Positions Classification],"&gt;0")</f>
        <v>1</v>
      </c>
      <c r="IL44" s="6">
        <f>COUNTIFS(Table53[Country],Tabela1[[#This Row],[Country]],Table53[Skeet Classification],"&gt;0")</f>
        <v>0</v>
      </c>
      <c r="IM44" s="6">
        <f>COUNTIFS(Table19[Country],Tabela1[[#This Row],[Country]],Table19[Skeet Classification],"&gt;0")</f>
        <v>1</v>
      </c>
      <c r="IN44" s="6">
        <f>COUNTIFS(Table54[Country],Tabela1[[#This Row],[Country]],Table54[Mixed Skeet Team Classification],"&gt;0")</f>
        <v>0</v>
      </c>
      <c r="IO44" s="6">
        <f>COUNTIFS(Table53[Country],Tabela1[[#This Row],[Country]],Table53[Trap Classification],"&gt;0")</f>
        <v>0</v>
      </c>
      <c r="IP44" s="6">
        <f>COUNTIFS(Table19[Country],Tabela1[[#This Row],[Country]],Table19[Trap Classification],"&gt;0")</f>
        <v>2</v>
      </c>
      <c r="IQ44" s="6">
        <f>COUNTIFS(Table73[Country],Tabela1[[#This Row],[Country]],Table73[Park Classification],"&gt;0")</f>
        <v>0</v>
      </c>
      <c r="IR44" s="6">
        <f>COUNTIFS(Table74[Country],Tabela1[[#This Row],[Country]],Table74[Park Classification],"&gt;0")</f>
        <v>0</v>
      </c>
      <c r="IS44" s="6">
        <f>COUNTIFS(Table73[Country],Tabela1[[#This Row],[Country]],Table73[Street Classification],"&gt;0")</f>
        <v>0</v>
      </c>
      <c r="IT44" s="6">
        <f>COUNTIFS(Table74[Country],Tabela1[[#This Row],[Country]],Table74[Street Classification],"&gt;0")</f>
        <v>0</v>
      </c>
      <c r="IU44" s="6">
        <f>COUNTIFS(Table75[Country],Tabela1[[#This Row],[Country]],Table75[Boulder and Lead Classification],"&gt;0")</f>
        <v>0</v>
      </c>
      <c r="IV44" s="6">
        <f>COUNTIFS(Table76[Country],Tabela1[[#This Row],[Country]],Table76[Boulder and Lead Classification],"&gt;0")</f>
        <v>0</v>
      </c>
      <c r="IW44" s="6">
        <f>COUNTIFS(Table75[Country],Tabela1[[#This Row],[Country]],Table75[Speed Classification],"&gt;0")</f>
        <v>0</v>
      </c>
      <c r="IX44" s="6">
        <f>COUNTIFS(Table76[Country],Tabela1[[#This Row],[Country]],Table76[Speed Classification],"&gt;0")</f>
        <v>0</v>
      </c>
      <c r="IY44" s="6">
        <f>COUNTIFS(Table64[Country],Tabela1[[#This Row],[Country]],Table64[Shortboard Classification],"&gt;0")</f>
        <v>0</v>
      </c>
      <c r="IZ44" s="6">
        <f>COUNTIFS(Table77[Country],Tabela1[[#This Row],[Country]],Table77[Shortboard Classification],"&gt;0")</f>
        <v>0</v>
      </c>
      <c r="JA44" s="6">
        <f>COUNTIFS(Table20[Country],Tabela1[[#This Row],[Country]],Table20[50m Freestyle Classification],"&gt;0")</f>
        <v>0</v>
      </c>
      <c r="JB44" s="6">
        <f>COUNTIFS(Table21[Country],Tabela1[[#This Row],[Country]],Table21[50m Freestyle Classification],"&gt;0")</f>
        <v>0</v>
      </c>
      <c r="JC44" s="6">
        <f>COUNTIFS(Table20[Country],Tabela1[[#This Row],[Country]],Table20[100m Freestyle Classification],"&gt;0")</f>
        <v>0</v>
      </c>
      <c r="JD44" s="6">
        <f>COUNTIFS(Table21[Country],Tabela1[[#This Row],[Country]],Table21[100m Freestyle Classification],"&gt;0")</f>
        <v>0</v>
      </c>
      <c r="JE44" s="6">
        <f>COUNTIFS(Table20[Country],Tabela1[[#This Row],[Country]],Table20[200m Freestyle Classification],"&gt;0")</f>
        <v>0</v>
      </c>
      <c r="JF44" s="6">
        <f>COUNTIFS(Table21[Country],Tabela1[[#This Row],[Country]],Table21[200m Freestyle Classification],"&gt;0")</f>
        <v>0</v>
      </c>
      <c r="JG44" s="6">
        <f>COUNTIFS(Table20[Country],Tabela1[[#This Row],[Country]],Table20[400m Freestyle Classification],"&gt;0")</f>
        <v>0</v>
      </c>
      <c r="JH44" s="6">
        <f>COUNTIFS(Table21[Country],Tabela1[[#This Row],[Country]],Table21[400m Freestyle Classification],"&gt;0")</f>
        <v>0</v>
      </c>
      <c r="JI44" s="6">
        <f>COUNTIFS(Table20[Country],Tabela1[[#This Row],[Country]],Table20[800m Freestyle Classification],"&gt;0")</f>
        <v>0</v>
      </c>
      <c r="JJ44" s="6">
        <f>COUNTIFS(Table21[Country],Tabela1[[#This Row],[Country]],Table21[800m Freestyle Classification],"&gt;0")</f>
        <v>0</v>
      </c>
      <c r="JK44" s="6">
        <f>COUNTIFS(Table20[Country],Tabela1[[#This Row],[Country]],Table20[1500m Freestyle Classification],"&gt;0")</f>
        <v>0</v>
      </c>
      <c r="JL44" s="6">
        <f>COUNTIFS(Table21[Country],Tabela1[[#This Row],[Country]],Table21[1500m Freestyle Classification],"&gt;0")</f>
        <v>0</v>
      </c>
      <c r="JM44" s="6">
        <f>COUNTIFS(Table20[Country],Tabela1[[#This Row],[Country]],Table20[100m Backstroke Classification],"&gt;0")</f>
        <v>1</v>
      </c>
      <c r="JN44" s="6">
        <f>COUNTIFS(Table21[Country],Tabela1[[#This Row],[Country]],Table21[100m Backstroke Classification],"&gt;0")</f>
        <v>0</v>
      </c>
      <c r="JO44" s="6">
        <f>COUNTIFS(Table20[Country],Tabela1[[#This Row],[Country]],Table20[200m Backstroke Classification],"&gt;0")</f>
        <v>0</v>
      </c>
      <c r="JP44" s="6">
        <f>COUNTIFS(Table21[Country],Tabela1[[#This Row],[Country]],Table21[200m Backstroke Classification],"&gt;0")</f>
        <v>0</v>
      </c>
      <c r="JQ44" s="6">
        <f>COUNTIFS(Table20[Country],Tabela1[[#This Row],[Country]],Table20[100m Breaststroke Classification],"&gt;0")</f>
        <v>0</v>
      </c>
      <c r="JR44" s="6">
        <f>COUNTIFS(Table21[Country],Tabela1[[#This Row],[Country]],Table21[100m Breaststroke Classification],"&gt;0")</f>
        <v>0</v>
      </c>
      <c r="JS44" s="6">
        <f>COUNTIFS(Table20[Country],Tabela1[[#This Row],[Country]],Table20[200m Breaststroke Classification],"&gt;0")</f>
        <v>0</v>
      </c>
      <c r="JT44" s="6">
        <f>COUNTIFS(Table21[Country],Tabela1[[#This Row],[Country]],Table21[200m Breaststroke Classification],"&gt;0")</f>
        <v>0</v>
      </c>
      <c r="JU44" s="6">
        <f>COUNTIFS(Table20[Country],Tabela1[[#This Row],[Country]],Table20[100m Butterfly Classification],"&gt;0")</f>
        <v>0</v>
      </c>
      <c r="JV44" s="6">
        <f>COUNTIFS(Table21[Country],Tabela1[[#This Row],[Country]],Table21[100m Butterfly Classification],"&gt;0")</f>
        <v>0</v>
      </c>
      <c r="JW44" s="6">
        <f>COUNTIFS(Table20[Country],Tabela1[[#This Row],[Country]],Table20[200m Butterfly Classification],"&gt;0")</f>
        <v>0</v>
      </c>
      <c r="JX44" s="6">
        <f>COUNTIFS(Table21[Country],Tabela1[[#This Row],[Country]],Table21[200m Butterfly Classification],"&gt;0")</f>
        <v>0</v>
      </c>
      <c r="JY44" s="6">
        <f>COUNTIFS(Table20[Country],Tabela1[[#This Row],[Country]],Table20[200m Medley Classification],"&gt;0")</f>
        <v>0</v>
      </c>
      <c r="JZ44" s="6">
        <f>COUNTIFS(Table21[Country],Tabela1[[#This Row],[Country]],Table21[200m Medley Classification],"&gt;0")</f>
        <v>0</v>
      </c>
      <c r="KA44" s="6">
        <f>COUNTIFS(Table20[Country],Tabela1[[#This Row],[Country]],Table20[400m Medley Classification],"&gt;0")</f>
        <v>0</v>
      </c>
      <c r="KB44" s="6">
        <f>COUNTIFS(Table21[Country],Tabela1[[#This Row],[Country]],Table21[400m Medley Classification],"&gt;0")</f>
        <v>0</v>
      </c>
      <c r="KC44" s="6">
        <f>COUNTIFS(Table78[Country],Tabela1[[#This Row],[Country]],Table78[Men''s 4x100m Freestyle Relay Classification],"&gt;0")</f>
        <v>0</v>
      </c>
      <c r="KD44" s="6">
        <f>COUNTIFS(Table78[Country],Tabela1[[#This Row],[Country]],Table78[Women''s 4x100m Freestyle Relay Classification],"&gt;0")</f>
        <v>0</v>
      </c>
      <c r="KE44" s="6">
        <f>COUNTIFS(Table78[Country],Tabela1[[#This Row],[Country]],Table78[Men''s 4x200m Freestyle Relay Classification],"&gt;0")</f>
        <v>0</v>
      </c>
      <c r="KF44" s="6">
        <f>COUNTIFS(Table78[Country],Tabela1[[#This Row],[Country]],Table78[Women''s 4x200m Freestyle Relay Classification],"&gt;0")</f>
        <v>0</v>
      </c>
      <c r="KG44" s="6">
        <f>COUNTIFS(Table78[Country],Tabela1[[#This Row],[Country]],Table78[Men''s 4x100m Medley Relay Classification],"&gt;0")</f>
        <v>0</v>
      </c>
      <c r="KH44" s="6">
        <f>COUNTIFS(Table78[Country],Tabela1[[#This Row],[Country]],Table78[Women''s 4x100m Medley Relay Classification],"&gt;0")</f>
        <v>0</v>
      </c>
      <c r="KI44" s="6">
        <f>COUNTIFS(Table78[Country],Tabela1[[#This Row],[Country]],Table78[Mixed 4x100m Medley Relay Classification],"&gt;0")</f>
        <v>0</v>
      </c>
      <c r="KJ44" s="6">
        <f>COUNTIFS(Table20[Country],Tabela1[[#This Row],[Country]],Table20[10km Open Water Classification],"&gt;0")</f>
        <v>0</v>
      </c>
      <c r="KK44" s="6">
        <f>COUNTIFS(Table21[Country],Tabela1[[#This Row],[Country]],Table21[10km Open Water Classification],"&gt;0")</f>
        <v>0</v>
      </c>
      <c r="KL44" s="6">
        <f>COUNTIFS(Table22[Country],Tabela1[[#This Row],[Country]],Table22[Classification],"&gt;0")</f>
        <v>0</v>
      </c>
      <c r="KM44" s="6">
        <f>COUNTIFS(Table30[Country],Tabela1[[#This Row],[Country]],Table30[Classification],"&gt;0")</f>
        <v>2</v>
      </c>
      <c r="KN44" s="6">
        <f>COUNTIFS(Table55[Country],Tabela1[[#This Row],[Country]],Table55[Men''s Classification],"&gt;0")</f>
        <v>0</v>
      </c>
      <c r="KO44" s="6">
        <f>COUNTIFS(Table55[Country],Tabela1[[#This Row],[Country]],Table55[Women''s Classification],"&gt;0")</f>
        <v>1</v>
      </c>
      <c r="KP44" s="6">
        <f>COUNTIFS(Table56[Country],Tabela1[[#This Row],[Country]],Table56[Mixed Classification],"&gt;0")</f>
        <v>0</v>
      </c>
      <c r="KQ44" s="6">
        <f>COUNTIFS(Table29[Country],Tabela1[[#This Row],[Country]],Table29[58kg Classification],"&gt;0")</f>
        <v>0</v>
      </c>
      <c r="KR44" s="6">
        <f>COUNTIFS(Table29[Country],Tabela1[[#This Row],[Country]],Table29[68kg Classification],"&gt;0")</f>
        <v>0</v>
      </c>
      <c r="KS44" s="6">
        <f>COUNTIFS(Table29[Country],Tabela1[[#This Row],[Country]],Table29[80kg Classification],"&gt;0")</f>
        <v>0</v>
      </c>
      <c r="KT44" s="6">
        <f>COUNTIFS(Table29[Country],Tabela1[[#This Row],[Country]],Table29[Plus 80kg Classification],"&gt;0")</f>
        <v>0</v>
      </c>
      <c r="KU44" s="6">
        <f>COUNTIFS(Table34[Country],Tabela1[[#This Row],[Country]],Table34[49kg Classification],"&gt;0")</f>
        <v>0</v>
      </c>
      <c r="KV44" s="6">
        <f>COUNTIFS(Table34[Country],Tabela1[[#This Row],[Country]],Table34[57kg Classification],"&gt;0")</f>
        <v>0</v>
      </c>
      <c r="KW44" s="6">
        <f>COUNTIFS(Table34[Country],Tabela1[[#This Row],[Country]],Table34[67kg Classification],"&gt;0")</f>
        <v>0</v>
      </c>
      <c r="KX44" s="6">
        <f>COUNTIFS(Table34[Country],Tabela1[[#This Row],[Country]],Table34[Plus 67kg Classification],"&gt;0")</f>
        <v>0</v>
      </c>
      <c r="KY44" s="6">
        <f>COUNTIFS(Table57[Country],Tabela1[[#This Row],[Country]],Table57[Classification],"&gt;0")</f>
        <v>0</v>
      </c>
      <c r="KZ44" s="6">
        <f>COUNTIFS(Table58[Country],Tabela1[[#This Row],[Country]],Table58[Classification],"&gt;0")</f>
        <v>0</v>
      </c>
      <c r="LA44" s="6">
        <f>COUNTIFS(Table79[Country],Tabela1[[#This Row],[Country]],Table79[Men''s Classification],"&gt;0")</f>
        <v>1</v>
      </c>
      <c r="LB44" s="6">
        <f>COUNTIFS(Table79[Country],Tabela1[[#This Row],[Country]],Table79[Women''s Classification],"&gt;0")</f>
        <v>0</v>
      </c>
      <c r="LC44" s="6">
        <f>COUNTIFS(Table79[Country],Tabela1[[#This Row],[Country]],Table79[Mixed Classification],"&gt;0")</f>
        <v>0</v>
      </c>
      <c r="LD44" s="6">
        <f>COUNTIFS(Table65[Country],Tabela1[[#This Row],[Country]],Table65[Classification],"&gt;0")</f>
        <v>0</v>
      </c>
      <c r="LE44" s="6">
        <f>COUNTIFS(Table59[Country],Tabela1[[#This Row],[Country]],Table59[Classification],"&gt;0")</f>
        <v>0</v>
      </c>
      <c r="LF44" s="6">
        <f>COUNTIFS(Table87[Country],Tabela1[[#This Row],[Country]],Table87[Mixed Relay Classification],"&gt;0")</f>
        <v>0</v>
      </c>
      <c r="LG44" s="6">
        <f>COUNTIFS(Table91949698100[Country],Tabela1[[#This Row],[Country]],Table91949698100[Men''s Classification],"&gt;0")</f>
        <v>0</v>
      </c>
      <c r="LH44" s="6">
        <f>COUNTIFS(Table91949698100[Country],Tabela1[[#This Row],[Country]],Table91949698100[Women''s Classification],"&gt;0")</f>
        <v>0</v>
      </c>
      <c r="LI44" s="6">
        <f>COUNTIFS(Table91949698100102[Country],Tabela1[[#This Row],[Country]],Table91949698100102[Men''s Classification],"&gt;0")</f>
        <v>0</v>
      </c>
      <c r="LJ44" s="6">
        <f>COUNTIFS(Table91949698100102[Country],Tabela1[[#This Row],[Country]],Table91949698100102[Women''s Classification],"&gt;0")</f>
        <v>0</v>
      </c>
      <c r="LK44" s="6">
        <f>COUNTIFS(Table23[Country],Tabela1[[#This Row],[Country]],Table23[61kg Classification],"&gt;0")</f>
        <v>0</v>
      </c>
      <c r="LL44" s="6">
        <f>COUNTIFS(Table23[Country],Tabela1[[#This Row],[Country]],Table23[73kg Classification],"&gt;0")</f>
        <v>0</v>
      </c>
      <c r="LM44" s="6">
        <f>COUNTIFS(Table23[Country],Tabela1[[#This Row],[Country]],Table23[89kg Classification],"&gt;0")</f>
        <v>0</v>
      </c>
      <c r="LN44" s="6">
        <f>COUNTIFS(Table23[Country],Tabela1[[#This Row],[Country]],Table23[102kg Classification],"&gt;0")</f>
        <v>0</v>
      </c>
      <c r="LO44" s="6">
        <f>COUNTIFS(Table23[Country],Tabela1[[#This Row],[Country]],Table23[Plus 102kg Classification],"&gt;0")</f>
        <v>0</v>
      </c>
      <c r="LP44" s="6">
        <f>COUNTIFS(Table28[Country],Tabela1[[#This Row],[Country]],Table28[49kg Classification],"&gt;0")</f>
        <v>0</v>
      </c>
      <c r="LQ44" s="6">
        <f>COUNTIFS(Table28[Country],Tabela1[[#This Row],[Country]],Table28[59kg Classification],"&gt;0")</f>
        <v>0</v>
      </c>
      <c r="LR44" s="6">
        <f>COUNTIFS(Table28[Country],Tabela1[[#This Row],[Country]],Table28[71kg Classification],"&gt;0")</f>
        <v>0</v>
      </c>
      <c r="LS44" s="6">
        <f>COUNTIFS(Table28[Country],Tabela1[[#This Row],[Country]],Table28[81kg Classification],"&gt;0")</f>
        <v>0</v>
      </c>
      <c r="LT44" s="6">
        <f>COUNTIFS(Table28[Country],Tabela1[[#This Row],[Country]],Table28[Plus 81kg Classification],"&gt;0")</f>
        <v>0</v>
      </c>
      <c r="LU44" s="6">
        <f>COUNTIFS(Table24[Country],Tabela1[[#This Row],[Country]],Table24[Freestyle 57kg Classification],"&gt;0")</f>
        <v>1</v>
      </c>
      <c r="LV44" s="6">
        <f>COUNTIFS(Table24[Country],Tabela1[[#This Row],[Country]],Table24[Freestyle 65kg Classification],"&gt;0")</f>
        <v>0</v>
      </c>
      <c r="LW44" s="6">
        <f>COUNTIFS(Table24[Country],Tabela1[[#This Row],[Country]],Table24[Freestyle 74kg Classification],"&gt;0")</f>
        <v>0</v>
      </c>
      <c r="LX44" s="6">
        <f>COUNTIFS(Table24[Country],Tabela1[[#This Row],[Country]],Table24[Freestyle 86kg Classification],"&gt;0")</f>
        <v>0</v>
      </c>
      <c r="LY44" s="6">
        <f>COUNTIFS(Table24[Country],Tabela1[[#This Row],[Country]],Table24[Freestyle 97kg Classification],"&gt;0")</f>
        <v>0</v>
      </c>
      <c r="LZ44" s="6">
        <f>COUNTIFS(Table24[Country],Tabela1[[#This Row],[Country]],Table24[Freestyle 125kg Classification],"&gt;0")</f>
        <v>0</v>
      </c>
      <c r="MA44" s="6">
        <f>COUNTIFS(Table24[Country],Tabela1[[#This Row],[Country]],Table24[Greco-Roman 60kg Classification],"&gt;0")</f>
        <v>0</v>
      </c>
      <c r="MB44" s="6">
        <f>COUNTIFS(Table24[Country],Tabela1[[#This Row],[Country]],Table24[Greco-Roman 67kg Classification],"&gt;0")</f>
        <v>0</v>
      </c>
      <c r="MC44" s="6">
        <f>COUNTIFS(Table24[Country],Tabela1[[#This Row],[Country]],Table24[Greco-Roman 77kg Classification],"&gt;0")</f>
        <v>0</v>
      </c>
      <c r="MD44" s="6">
        <f>COUNTIFS(Table24[Country],Tabela1[[#This Row],[Country]],Table24[Greco-Roman 87kg Classification],"&gt;0")</f>
        <v>0</v>
      </c>
      <c r="ME44" s="6">
        <f>COUNTIFS(Table24[Country],Tabela1[[#This Row],[Country]],Table24[Greco-Roman 97kg Classification],"&gt;0")</f>
        <v>0</v>
      </c>
      <c r="MF44" s="6">
        <f>COUNTIFS(Table24[Country],Tabela1[[#This Row],[Country]],Table24[Greco-Roman 130kg Classification],"&gt;0")</f>
        <v>0</v>
      </c>
      <c r="MG44" s="6">
        <f>COUNTIFS(Table31[Country],Tabela1[[#This Row],[Country]],Table31[50kg Classification],"&gt;0")</f>
        <v>0</v>
      </c>
      <c r="MH44" s="6">
        <f>COUNTIFS(Table31[Country],Tabela1[[#This Row],[Country]],Table31[53kg Classification],"&gt;0")</f>
        <v>0</v>
      </c>
      <c r="MI44" s="6">
        <f>COUNTIFS(Table31[Country],Tabela1[[#This Row],[Country]],Table31[57kg Classification],"&gt;0")</f>
        <v>0</v>
      </c>
      <c r="MJ44" s="6">
        <f>COUNTIFS(Table31[Country],Tabela1[[#This Row],[Country]],Table31[62kg Classification],"&gt;0")</f>
        <v>0</v>
      </c>
      <c r="MK44" s="6">
        <f>COUNTIFS(Table31[Country],Tabela1[[#This Row],[Country]],Table31[68kg Classification],"&gt;0")</f>
        <v>0</v>
      </c>
      <c r="ML44" s="6">
        <f>COUNTIFS(Table31[Country],Tabela1[[#This Row],[Country]],Table31[76kg Classification],"&gt;0")</f>
        <v>0</v>
      </c>
      <c r="MM44" s="6">
        <f>COUNTIFS(Table102[Country],Tabela1[[#This Row],[Country]],Table102[Downhill Classification],"&gt;0")</f>
        <v>0</v>
      </c>
      <c r="MN44" s="6">
        <f>COUNTIFS(Table102105[Country],Tabela1[[#This Row],[Country]],Table102105[Downhill Classification],"&gt;0")</f>
        <v>0</v>
      </c>
      <c r="MO44" s="6">
        <f>COUNTIFS(Table102[Country],Tabela1[[#This Row],[Country]],Table102[Giant Slalom Classification],"&gt;0")</f>
        <v>0</v>
      </c>
      <c r="MP44" s="6">
        <f>COUNTIFS(Table102105[Country],Tabela1[[#This Row],[Country]],Table102105[Giant Slalom Classification],"&gt;0")</f>
        <v>0</v>
      </c>
      <c r="MQ44" s="6">
        <f>COUNTIFS(Table102[Country],Tabela1[[#This Row],[Country]],Table102[Slalom Classification],"&gt;0")</f>
        <v>0</v>
      </c>
      <c r="MR44" s="6">
        <f>COUNTIFS(Table102105[Country],Tabela1[[#This Row],[Country]],Table102105[Slalom Classification],"&gt;0")</f>
        <v>0</v>
      </c>
      <c r="MS44" s="6">
        <f>COUNTIFS(Table102[Country],Tabela1[[#This Row],[Country]],Table102[Super-G Classification],"&gt;0")</f>
        <v>0</v>
      </c>
      <c r="MT44" s="6">
        <f>COUNTIFS(Table102105[Country],Tabela1[[#This Row],[Country]],Table102105[Super-G Classification],"&gt;0")</f>
        <v>0</v>
      </c>
      <c r="MU44" s="6">
        <f>COUNTIFS(Table105[Country],Tabela1[[#This Row],[Country]],Table105[Men''s Combined Classification],"&gt;0")</f>
        <v>0</v>
      </c>
      <c r="MV44" s="6">
        <f>COUNTIFS(Table105[Country],Tabela1[[#This Row],[Country]],Table105[Women''s Combined Classification],"&gt;0")</f>
        <v>0</v>
      </c>
      <c r="MW44" s="6">
        <f>COUNTIFS(Table106[Country],Tabela1[[#This Row],[Country]],Table106[Individual Classification],"&gt;0")</f>
        <v>0</v>
      </c>
      <c r="MX44" s="6">
        <f>COUNTIFS(Table106109[Country],Tabela1[[#This Row],[Country]],Table106109[Individual Classification],"&gt;0")</f>
        <v>0</v>
      </c>
      <c r="MY44" s="6">
        <f>COUNTIFS(Table106[Country],Tabela1[[#This Row],[Country]],Table106[Mass Start Classification],"&gt;0")</f>
        <v>0</v>
      </c>
      <c r="MZ44" s="6">
        <f>COUNTIFS(Table106109[Country],Tabela1[[#This Row],[Country]],Table106109[Mass Start Classification],"&gt;0")</f>
        <v>0</v>
      </c>
      <c r="NA44" s="6">
        <f>COUNTIFS(Table106[Country],Tabela1[[#This Row],[Country]],Table106[Pursuit Classification],"&gt;0")</f>
        <v>0</v>
      </c>
      <c r="NB44" s="6">
        <f>COUNTIFS(Table106109[Country],Tabela1[[#This Row],[Country]],Table106109[Pursuit Classification],"&gt;0")</f>
        <v>0</v>
      </c>
      <c r="NC44" s="6">
        <f>COUNTIFS(Table106[Country],Tabela1[[#This Row],[Country]],Table106[Sprint Classification],"&gt;0")</f>
        <v>0</v>
      </c>
      <c r="ND44" s="6">
        <f>COUNTIFS(Table106109[Country],Tabela1[[#This Row],[Country]],Table106109[Sprint Classification],"&gt;0")</f>
        <v>0</v>
      </c>
      <c r="NE44" s="6">
        <f>COUNTIFS(Table109[Country],Tabela1[[#This Row],[Country]],Table109[Men''s Relay Classification],"&gt;0")</f>
        <v>0</v>
      </c>
      <c r="NF44" s="6">
        <f>COUNTIFS(Table109[Country],Tabela1[[#This Row],[Country]],Table109[Women''s Relay Classification],"&gt;0")</f>
        <v>0</v>
      </c>
      <c r="NG44" s="6">
        <f>COUNTIFS(Table109[Country],Tabela1[[#This Row],[Country]],Table109[Mixed Relay Classification],"&gt;0")</f>
        <v>0</v>
      </c>
      <c r="NH44" s="6">
        <f>COUNTIFS(Table110[Country],Tabela1[[#This Row],[Country]],Table110[Monobob Classification],"&gt;0")</f>
        <v>0</v>
      </c>
      <c r="NI44" s="6">
        <f>COUNTIFS(Table111[Country],Tabela1[[#This Row],[Country]],Table111[Men''s Classification],"&gt;0")</f>
        <v>0</v>
      </c>
      <c r="NJ44" s="6">
        <f>COUNTIFS(Table111[Country],Tabela1[[#This Row],[Country]],Table111[Women''s Classification],"&gt;0")</f>
        <v>0</v>
      </c>
      <c r="NK44" s="6">
        <f>COUNTIFS(Table112[Country],Tabela1[[#This Row],[Country]],Table112[Men''s Four Classification],"&gt;0")</f>
        <v>0</v>
      </c>
      <c r="NL44" s="6">
        <f>COUNTIFS(Table113[Country],Tabela1[[#This Row],[Country]],Table113[Classical Classification],"&gt;0")</f>
        <v>0</v>
      </c>
      <c r="NM44" s="6">
        <f>COUNTIFS(Table113116[Country],Tabela1[[#This Row],[Country]],Table113116[Classical Classification],"&gt;0")</f>
        <v>0</v>
      </c>
      <c r="NN44" s="6">
        <f>COUNTIFS(Table113[Country],Tabela1[[#This Row],[Country]],Table113[Freestyle Classification],"&gt;0")</f>
        <v>0</v>
      </c>
      <c r="NO44" s="6">
        <f>COUNTIFS(Table113116[Country],Tabela1[[#This Row],[Country]],Table113116[Freestyle Classification],"&gt;0")</f>
        <v>0</v>
      </c>
      <c r="NP44" s="6">
        <f>COUNTIFS(Table117[Country],Tabela1[[#This Row],[Country]],Table117[Men''s Relay Classification],"&gt;0")</f>
        <v>0</v>
      </c>
      <c r="NQ44" s="6">
        <f>COUNTIFS(Table117[Country],Tabela1[[#This Row],[Country]],Table117[Women''s Relay Classification],"&gt;0")</f>
        <v>0</v>
      </c>
      <c r="NR44" s="6">
        <f>COUNTIFS(Table113[Country],Tabela1[[#This Row],[Country]],Table113[Skiathlon Classification],"&gt;0")</f>
        <v>0</v>
      </c>
      <c r="NS44" s="6">
        <f>COUNTIFS(Table113116[Country],Tabela1[[#This Row],[Country]],Table113116[Skiathlon Classification],"&gt;0")</f>
        <v>0</v>
      </c>
      <c r="NT44" s="6">
        <f>COUNTIFS(Table113[Country],Tabela1[[#This Row],[Country]],Table113[Sprint Classification],"&gt;0")</f>
        <v>0</v>
      </c>
      <c r="NU44" s="6">
        <f>COUNTIFS(Table113116[Country],Tabela1[[#This Row],[Country]],Table113116[Sprint Classification],"&gt;0")</f>
        <v>0</v>
      </c>
      <c r="NV44" s="6">
        <f>COUNTIFS(Table116[Country],Tabela1[[#This Row],[Country]],Table116[Men''s Team Sprint Classification],"&gt;0")</f>
        <v>0</v>
      </c>
      <c r="NW44" s="6">
        <f>COUNTIFS(Table116[Country],Tabela1[[#This Row],[Country]],Table116[Women''s Team Sprint Classification],"&gt;0")</f>
        <v>0</v>
      </c>
      <c r="NX44" s="6">
        <f>COUNTIFS(Table119[Country],Tabela1[[#This Row],[Country]],Table119[Men''s Classification],"&gt;0")</f>
        <v>0</v>
      </c>
      <c r="NY44" s="6">
        <f>COUNTIFS(Table119[Country],Tabela1[[#This Row],[Country]],Table119[Women''s Classification],"&gt;0")</f>
        <v>0</v>
      </c>
      <c r="NZ44" s="6">
        <f>COUNTIFS(Table118[Country],Tabela1[[#This Row],[Country]],Table118[Mixed Classification],"&gt;0")</f>
        <v>0</v>
      </c>
      <c r="OA44" s="6">
        <f>COUNTIFS(Table120[Country],Tabela1[[#This Row],[Country]],Table120[Classification],"&gt;0")</f>
        <v>0</v>
      </c>
      <c r="OB44" s="6">
        <f>COUNTIFS(Table120123[Country],Tabela1[[#This Row],[Country]],Table120123[Classification],"&gt;0")</f>
        <v>0</v>
      </c>
      <c r="OC44" s="6">
        <f>COUNTIFS(Table123[Country],Tabela1[[#This Row],[Country]],Table123[Ice Dance Classification],"&gt;0")</f>
        <v>0</v>
      </c>
      <c r="OD44" s="6">
        <f>COUNTIFS(Table123[Country],Tabela1[[#This Row],[Country]],Table123[Pair Skating Classification],"&gt;0")</f>
        <v>0</v>
      </c>
      <c r="OE44" s="6">
        <f>COUNTIFS(Table124[Country],Tabela1[[#This Row],[Country]],Table124[Mixed Classification],"&gt;0")</f>
        <v>0</v>
      </c>
      <c r="OF44" s="6">
        <f>COUNTIFS(Table125[Country],Tabela1[[#This Row],[Country]],Table125[Aerials Classification],"&gt;0")</f>
        <v>0</v>
      </c>
      <c r="OG44" s="6">
        <f>COUNTIFS(Table125128[Country],Tabela1[[#This Row],[Country]],Table125128[Aerials Classification],"&gt;0")</f>
        <v>0</v>
      </c>
      <c r="OH44" s="6">
        <f>COUNTIFS(Table128[Country],Tabela1[[#This Row],[Country]],Table128[Mixed Aerials Classification],"&gt;0")</f>
        <v>0</v>
      </c>
      <c r="OI44" s="6">
        <f>COUNTIFS(Table125[Country],Tabela1[[#This Row],[Country]],Table125[Big Air Classification],"&gt;0")</f>
        <v>0</v>
      </c>
      <c r="OJ44" s="6">
        <f>COUNTIFS(Table125128[Country],Tabela1[[#This Row],[Country]],Table125128[Big Air Classification],"&gt;0")</f>
        <v>0</v>
      </c>
      <c r="OK44" s="6">
        <f>COUNTIFS(Table125[Country],Tabela1[[#This Row],[Country]],Table125[Dual Moguls Classification],"&gt;0")</f>
        <v>0</v>
      </c>
      <c r="OL44" s="6">
        <f>COUNTIFS(Table125128[Country],Tabela1[[#This Row],[Country]],Table125128[Dual Moguls Classification],"&gt;0")</f>
        <v>0</v>
      </c>
      <c r="OM44" s="6">
        <f>COUNTIFS(Table125[Country],Tabela1[[#This Row],[Country]],Table125[Halfpipe Classification],"&gt;0")</f>
        <v>0</v>
      </c>
      <c r="ON44" s="6">
        <f>COUNTIFS(Table125128[Country],Tabela1[[#This Row],[Country]],Table125128[Halfpipe Classification],"&gt;0")</f>
        <v>0</v>
      </c>
      <c r="OO44" s="6">
        <f>COUNTIFS(Table125[Country],Tabela1[[#This Row],[Country]],Table125[Moguls Classification],"&gt;0")</f>
        <v>0</v>
      </c>
      <c r="OP44" s="6">
        <f>COUNTIFS(Table125128[Country],Tabela1[[#This Row],[Country]],Table125128[Moguls Classification],"&gt;0")</f>
        <v>0</v>
      </c>
      <c r="OQ44" s="6">
        <f>COUNTIFS(Table125[Country],Tabela1[[#This Row],[Country]],Table125[Ski Cross Classification],"&gt;0")</f>
        <v>0</v>
      </c>
      <c r="OR44" s="6">
        <f>COUNTIFS(Table125128[Country],Tabela1[[#This Row],[Country]],Table125128[Ski Cross Classification],"&gt;0")</f>
        <v>0</v>
      </c>
      <c r="OS44" s="6">
        <f>COUNTIFS(Table125[Country],Tabela1[[#This Row],[Country]],Table125[Slopestyle Classification],"&gt;0")</f>
        <v>0</v>
      </c>
      <c r="OT44" s="6">
        <f>COUNTIFS(Table125128[Country],Tabela1[[#This Row],[Country]],Table125128[Slopestyle Classification],"&gt;0")</f>
        <v>0</v>
      </c>
      <c r="OU44" s="6">
        <f>COUNTIFS(Table119131[Country],Tabela1[[#This Row],[Country]],Table119131[Men''s Classification],"&gt;0")</f>
        <v>0</v>
      </c>
      <c r="OV44" s="6">
        <f>COUNTIFS(Table119131[Country],Tabela1[[#This Row],[Country]],Table119131[Women''s Classification],"&gt;0")</f>
        <v>0</v>
      </c>
      <c r="OW44" s="6">
        <f>COUNTIFS(Table131[Country],Tabela1[[#This Row],[Country]],Table131[Classification],"&gt;0")</f>
        <v>0</v>
      </c>
      <c r="OX44" s="6">
        <f>COUNTIFS(Table131134[Country],Tabela1[[#This Row],[Country]],Table131134[Classification],"&gt;0")</f>
        <v>0</v>
      </c>
      <c r="OY44" s="6">
        <f>COUNTIFS(Table134[Country],Tabela1[[#This Row],[Country]],Table134[Men''s Classification],"&gt;0")</f>
        <v>0</v>
      </c>
      <c r="OZ44" s="6">
        <f>COUNTIFS(Table134[Country],Tabela1[[#This Row],[Country]],Table134[Women''s Classification],"&gt;0")</f>
        <v>0</v>
      </c>
      <c r="PA44" s="6">
        <f>COUNTIFS(Table135[Country],Tabela1[[#This Row],[Country]],Table135[Mixed Relay Classification],"&gt;0")</f>
        <v>0</v>
      </c>
      <c r="PB44" s="6">
        <f>COUNTIFS(Table136[Country],Tabela1[[#This Row],[Country]],Table136[Individual Classification],"&gt;0")</f>
        <v>0</v>
      </c>
      <c r="PC44" s="6">
        <f>COUNTIFS(Table136[Country],Tabela1[[#This Row],[Country]],Table136[Sprint Classification],"&gt;0")</f>
        <v>0</v>
      </c>
      <c r="PD44" s="6">
        <f>COUNTIFS(Table137[Country],Tabela1[[#This Row],[Country]],Table137[Men''s Team Sprint Large Hill Classification],"&gt;0")</f>
        <v>0</v>
      </c>
      <c r="PE44" s="6">
        <f>COUNTIFS(Table138[Country],Tabela1[[#This Row],[Country]],Table138[500m Classification],"&gt;0")</f>
        <v>0</v>
      </c>
      <c r="PF44" s="6">
        <f>COUNTIFS(Table138141[Country],Tabela1[[#This Row],[Country]],Table138141[500m Classification],"&gt;0")</f>
        <v>0</v>
      </c>
      <c r="PG44" s="6">
        <f>COUNTIFS(Table138[Country],Tabela1[[#This Row],[Country]],Table138[1000m Classification],"&gt;0")</f>
        <v>0</v>
      </c>
      <c r="PH44" s="6">
        <f>COUNTIFS(Table138141[Country],Tabela1[[#This Row],[Country]],Table138141[1000m Classification],"&gt;0")</f>
        <v>0</v>
      </c>
      <c r="PI44" s="6">
        <f>COUNTIFS(Table138[Country],Tabela1[[#This Row],[Country]],Table138[1500m Classification],"&gt;0")</f>
        <v>0</v>
      </c>
      <c r="PJ44" s="6">
        <f>COUNTIFS(Table138141[Country],Tabela1[[#This Row],[Country]],Table138141[1500m Classification],"&gt;0")</f>
        <v>0</v>
      </c>
      <c r="PK44" s="6">
        <f>COUNTIFS(Table141[Country],Tabela1[[#This Row],[Country]],Table141[Men''s 5000m Relay Classification],"&gt;0")</f>
        <v>0</v>
      </c>
      <c r="PL44" s="6">
        <f>COUNTIFS(Table141[Country],Tabela1[[#This Row],[Country]],Table141[Women''s 3000m Relay Classification],"&gt;0")</f>
        <v>0</v>
      </c>
      <c r="PM44" s="6">
        <f>COUNTIFS(Table141[Country],Tabela1[[#This Row],[Country]],Table141[Mixed 2000m Relay Classification],"&gt;0")</f>
        <v>0</v>
      </c>
      <c r="PN44" s="6">
        <f>COUNTIFS(Table142[Country],Tabela1[[#This Row],[Country]],Table142[Classification],"&gt;0")</f>
        <v>0</v>
      </c>
      <c r="PO44" s="6">
        <f>COUNTIFS(Table142145[Country],Tabela1[[#This Row],[Country]],Table142145[Classification],"&gt;0")</f>
        <v>0</v>
      </c>
      <c r="PP44" s="6">
        <f>COUNTIFS(Tabela15[Country],Tabela1[[#This Row],[Country]],Tabela15[Mixed Team Classification],"&gt;0")</f>
        <v>0</v>
      </c>
      <c r="PQ44" s="6">
        <f>COUNTIFS(Table145[Country],Tabela1[[#This Row],[Country]],Table145[Large Hill Classification],"&gt;0")</f>
        <v>0</v>
      </c>
      <c r="PR44" s="6">
        <f>COUNTIFS(Table145[Country],Tabela1[[#This Row],[Country]],Table145[Normal Hill Classification],"&gt;0")</f>
        <v>0</v>
      </c>
      <c r="PS44" s="6">
        <f>COUNTIFS(Table145148[Country],Tabela1[[#This Row],[Country]],Table145148[Large Hill Classification],"&gt;0")</f>
        <v>0</v>
      </c>
      <c r="PT44" s="6">
        <f>COUNTIFS(Table145148[Country],Tabela1[[#This Row],[Country]],Table145148[Normal Hill Classification],"&gt;0")</f>
        <v>0</v>
      </c>
      <c r="PU44" s="6">
        <f>COUNTIFS(Table148[Country],Tabela1[[#This Row],[Country]],Table148[Men''s Super Team Classification],"&gt;0")</f>
        <v>0</v>
      </c>
      <c r="PV44" s="6">
        <f>COUNTIFS(Tabela114[Country],Tabela1[[#This Row],[Country]],Tabela114[Mixed Normal Hill Classification],"&gt;0")</f>
        <v>0</v>
      </c>
      <c r="PW44" s="6">
        <f>COUNTIFS(Tabela50[Country],Tabela1[[#This Row],[Country]],Tabela50[Sprint Classification],"&gt;0")</f>
        <v>0</v>
      </c>
      <c r="PX44" s="6">
        <f>COUNTIFS(Tabela50101[Country],Tabela1[[#This Row],[Country]],Tabela50101[Sprint Classification],"&gt;0")</f>
        <v>0</v>
      </c>
      <c r="PY44" s="6">
        <f>COUNTIFS(Tabela103[Country],Tabela1[[#This Row],[Country]],Tabela103[Mixed Relay Classification],"&gt;0")</f>
        <v>0</v>
      </c>
      <c r="PZ44" s="6">
        <f>COUNTIFS(Table149[Country],Tabela1[[#This Row],[Country]],Table149[Big Air Classification],"&gt;0")</f>
        <v>0</v>
      </c>
      <c r="QA44" s="6">
        <f>COUNTIFS(Table149152[Country],Tabela1[[#This Row],[Country]],Table149152[Big Air Classification],"&gt;0")</f>
        <v>0</v>
      </c>
      <c r="QB44" s="6">
        <f>COUNTIFS(Table149[Country],Tabela1[[#This Row],[Country]],Table149[Halfpipe Classification],"&gt;0")</f>
        <v>0</v>
      </c>
      <c r="QC44" s="6">
        <f>COUNTIFS(Table149152[Country],Tabela1[[#This Row],[Country]],Table149152[Halfpipe Classification],"&gt;0")</f>
        <v>0</v>
      </c>
      <c r="QD44" s="6">
        <f>COUNTIFS(Table149[Country],Tabela1[[#This Row],[Country]],Table149[Parallel Giant Slalom Classification],"&gt;0")</f>
        <v>0</v>
      </c>
      <c r="QE44" s="6">
        <f>COUNTIFS(Table149152[Country],Tabela1[[#This Row],[Country]],Table149152[Parallel Giant Slalom Classification],"&gt;0")</f>
        <v>0</v>
      </c>
      <c r="QF44" s="6">
        <f>COUNTIFS(Table149[Country],Tabela1[[#This Row],[Country]],Table149[Slopestyle Classification],"&gt;0")</f>
        <v>0</v>
      </c>
      <c r="QG44" s="6">
        <f>COUNTIFS(Table149152[Country],Tabela1[[#This Row],[Country]],Table149152[Slopestyle Classification],"&gt;0")</f>
        <v>0</v>
      </c>
      <c r="QH44" s="6">
        <f>COUNTIFS(Table149[Country],Tabela1[[#This Row],[Country]],Table149[Snowboard Cross Classification],"&gt;0")</f>
        <v>0</v>
      </c>
      <c r="QI44" s="6">
        <f>COUNTIFS(Table149152[Country],Tabela1[[#This Row],[Country]],Table149152[Snowboard Cross Classification],"&gt;0")</f>
        <v>0</v>
      </c>
      <c r="QJ44" s="6">
        <f>COUNTIFS(Table153[Country],Tabela1[[#This Row],[Country]],Table153[Mixed Team Snowboard Cross Classification],"&gt;0")</f>
        <v>0</v>
      </c>
      <c r="QK44" s="6">
        <f>COUNTIFS(Table154[Country],Tabela1[[#This Row],[Country]],Table154[500m Classification],"&gt;0")</f>
        <v>0</v>
      </c>
      <c r="QL44" s="6">
        <f>COUNTIFS(Table154157[Country],Tabela1[[#This Row],[Country]],Table154157[500m Classification],"&gt;0")</f>
        <v>0</v>
      </c>
      <c r="QM44" s="6">
        <f>COUNTIFS(Table154[Country],Tabela1[[#This Row],[Country]],Table154[1000m Classification],"&gt;0")</f>
        <v>0</v>
      </c>
      <c r="QN44" s="6">
        <f>COUNTIFS(Table154157[Country],Tabela1[[#This Row],[Country]],Table154157[1000m Classification],"&gt;0")</f>
        <v>0</v>
      </c>
      <c r="QO44" s="6">
        <f>COUNTIFS(Table154[Country],Tabela1[[#This Row],[Country]],Table154[1500m Classification],"&gt;0")</f>
        <v>0</v>
      </c>
      <c r="QP44" s="6">
        <f>COUNTIFS(Table154157[Country],Tabela1[[#This Row],[Country]],Table154157[1500m Classification],"&gt;0")</f>
        <v>0</v>
      </c>
      <c r="QQ44" s="6">
        <f>COUNTIFS(Table154157[Country],Tabela1[[#This Row],[Country]],Table154157[3000m Classification],"&gt;0")</f>
        <v>0</v>
      </c>
      <c r="QR44" s="6">
        <f>COUNTIFS(Table154[Country],Tabela1[[#This Row],[Country]],Table154[5000m Classification],"&gt;0")</f>
        <v>0</v>
      </c>
      <c r="QS44" s="6">
        <f>COUNTIFS(Table154157[Country],Tabela1[[#This Row],[Country]],Table154157[5000m Classification],"&gt;0")</f>
        <v>0</v>
      </c>
      <c r="QT44" s="6">
        <f>COUNTIFS(Table154[Country],Tabela1[[#This Row],[Country]],Table154[10000m Classification],"&gt;0")</f>
        <v>0</v>
      </c>
      <c r="QU44" s="6">
        <f>COUNTIFS(Table154[Country],Tabela1[[#This Row],[Country]],Table154[Mass Start Classification],"&gt;0")</f>
        <v>0</v>
      </c>
      <c r="QV44" s="6">
        <f>COUNTIFS(Table154157[Country],Tabela1[[#This Row],[Country]],Table154157[Mass Start Classification],"&gt;0")</f>
        <v>0</v>
      </c>
      <c r="QW44" s="6">
        <f>COUNTIFS(Table157[Country],Tabela1[[#This Row],[Country]],Table157[Men''s Pursuit Classification],"&gt;0")</f>
        <v>0</v>
      </c>
      <c r="QX44" s="6">
        <f>COUNTIFS(Table157[Country],Tabela1[[#This Row],[Country]],Table157[Women''s Pursuit Classification],"&gt;0")</f>
        <v>0</v>
      </c>
      <c r="QY44" s="3" t="s">
        <v>449</v>
      </c>
    </row>
    <row r="45" spans="1:467" x14ac:dyDescent="0.3">
      <c r="A45" s="6">
        <v>44</v>
      </c>
      <c r="B45" s="6" t="s">
        <v>690</v>
      </c>
      <c r="C45" t="e" vm="44">
        <f>IF(ISBLANK(Tabela1[[#This Row],[Image Link]]), "", _xlfn.IMAGE(Tabela1[[#This Row],[Image Link]],1,1))</f>
        <v>#VALUE!</v>
      </c>
      <c r="D45" s="6">
        <f>SUM(Tabela1[[#This Row],[Archery - Men''s Individual Recurve]:[Speed Skating - Women''s Team Pursuit]])</f>
        <v>21</v>
      </c>
      <c r="E45" s="6">
        <f>COUNTIF(Tabela1[[#This Row],[Archery - Men''s Individual Recurve]:[Speed Skating - Women''s Team Pursuit]],"&gt;0")</f>
        <v>20</v>
      </c>
      <c r="F45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45" s="6">
        <f>SUM(Tabela1[[#This Row],[Archery - Men''s Individual Recurve]:[Wrestling - Women''s Freestyle 76kg]])</f>
        <v>19</v>
      </c>
      <c r="H45" s="6">
        <f>SUM(Tabela1[[#This Row],[Alpine Skiing - Men''s Downhill]:[Speed Skating - Women''s Team Pursuit]])</f>
        <v>2</v>
      </c>
      <c r="I45" s="6">
        <f>Tabela1[[#This Row],[Summer Gold Medals]]+Tabela1[[#This Row],[Winter Gold Medals]]</f>
        <v>3</v>
      </c>
      <c r="J45" s="6">
        <f>Tabela1[[#This Row],[Summer Silver Medals]]+Tabela1[[#This Row],[Winter Silver Medals]]</f>
        <v>1</v>
      </c>
      <c r="K45" s="6">
        <f>Tabela1[[#This Row],[Summer Bronze Medals]]+Tabela1[[#This Row],[Winter Bronze Medals]]</f>
        <v>1</v>
      </c>
      <c r="L45" s="6">
        <f>SUM(Tabela1[[#This Row],[Total Gold Medals]:[Total Bronze Medals]])</f>
        <v>5</v>
      </c>
      <c r="M45" s="6">
        <v>3</v>
      </c>
      <c r="N45" s="6">
        <v>1</v>
      </c>
      <c r="O45" s="6">
        <v>1</v>
      </c>
      <c r="P45" s="6">
        <f>SUM(Tabela1[[#This Row],[Summer Gold Medals]:[Summer Bronze Medals]])</f>
        <v>5</v>
      </c>
      <c r="Q45" s="6"/>
      <c r="R45" s="6"/>
      <c r="S45" s="6"/>
      <c r="T45" s="6">
        <f>Tabela1[[#This Row],[Winter Gold Medals]]+Tabela1[[#This Row],[Winter Silver Medals]]+Tabela1[[#This Row],[Winter Bronze Medals]]</f>
        <v>0</v>
      </c>
      <c r="U45" s="7">
        <f>Tabela1[[#This Row],[Total Medals]]/Tabela1[[#This Row],[Total Quotas]]</f>
        <v>0.23809523809523808</v>
      </c>
      <c r="V45" s="6">
        <f>COUNTIFS(Table3[Country],Tabela1[[#This Row],[Country]],Table3[Recurve Classification],"&gt;0")</f>
        <v>0</v>
      </c>
      <c r="W45" s="6">
        <f>COUNTIFS(Table33[Country],Tabela1[[#This Row],[Country]],Table33[Recurve Classification],"&gt;0")</f>
        <v>0</v>
      </c>
      <c r="X45" s="6">
        <f>COUNTIFS(Table35[Country],Tabela1[[#This Row],[Country]],Table35[Men''s Team Recurve Classification],"&gt;0")</f>
        <v>0</v>
      </c>
      <c r="Y45" s="6">
        <f>COUNTIFS(Table35[Country],Tabela1[[#This Row],[Country]],Table35[Women''s Team Recurve Classification],"&gt;0")</f>
        <v>0</v>
      </c>
      <c r="Z45" s="6">
        <f>COUNTIFS(Tabela88[Country],Tabela1[[#This Row],[Country]],Tabela88[Mixed Team Recurve Classification],"&gt;0")</f>
        <v>0</v>
      </c>
      <c r="AA45" s="6">
        <f>COUNTIFS(Table36[Country],Tabela1[[#This Row],[Country]],Table36[Classification],"&gt;0")</f>
        <v>0</v>
      </c>
      <c r="AB45" s="6">
        <f>COUNTIFS(Table37[Country],Tabela1[[#This Row],[Country]],Table37[Classification],"&gt;0")</f>
        <v>0</v>
      </c>
      <c r="AC45" s="6">
        <f>COUNTIFS(Table4[Country],Tabela1[[#This Row],[Country]],Table4[100m Classification],"&gt;0")</f>
        <v>0</v>
      </c>
      <c r="AD45" s="6">
        <f>COUNTIFS(Table5[Country],Tabela1[[#This Row],[Country]],Table5[100m Classification],"&gt;0")</f>
        <v>0</v>
      </c>
      <c r="AE45" s="6">
        <f>COUNTIFS(Table4[Country],Tabela1[[#This Row],[Country]],Table4[200m Classification],"&gt;0")</f>
        <v>0</v>
      </c>
      <c r="AF45" s="6">
        <f>COUNTIFS(Table5[Country],Tabela1[[#This Row],[Country]],Table5[200m Classification],"&gt;0")</f>
        <v>0</v>
      </c>
      <c r="AG45" s="6">
        <f>COUNTIFS(Table4[Country],Tabela1[[#This Row],[Country]],Table4[400m Classification],"&gt;0")</f>
        <v>0</v>
      </c>
      <c r="AH45" s="6">
        <f>COUNTIFS(Table5[Country],Tabela1[[#This Row],[Country]],Table5[400m Classification],"&gt;0")</f>
        <v>0</v>
      </c>
      <c r="AI45" s="6">
        <f>COUNTIFS(Table4[Country],Tabela1[[#This Row],[Country]],Table4[800m Classification],"&gt;0")</f>
        <v>0</v>
      </c>
      <c r="AJ45" s="6">
        <f>COUNTIFS(Table5[Country],Tabela1[[#This Row],[Country]],Table5[800m Classification],"&gt;0")</f>
        <v>0</v>
      </c>
      <c r="AK45" s="6">
        <f>COUNTIFS(Table4[Country],Tabela1[[#This Row],[Country]],Table4[1500m Classification],"&gt;0")</f>
        <v>0</v>
      </c>
      <c r="AL45" s="6">
        <f>COUNTIFS(Table5[Country],Tabela1[[#This Row],[Country]],Table5[1500m Classification],"&gt;0")</f>
        <v>0</v>
      </c>
      <c r="AM45" s="6">
        <f>COUNTIFS(Table4[Country],Tabela1[[#This Row],[Country]],Table4[5000m Classification],"&gt;0")</f>
        <v>1</v>
      </c>
      <c r="AN45" s="6">
        <f>COUNTIFS(Table5[Country],Tabela1[[#This Row],[Country]],Table5[5000m Classification],"&gt;0")</f>
        <v>0</v>
      </c>
      <c r="AO45" s="6">
        <f>COUNTIFS(Table4[Country],Tabela1[[#This Row],[Country]],Table4[10000m Classification],"&gt;0")</f>
        <v>0</v>
      </c>
      <c r="AP45" s="6">
        <f>COUNTIFS(Table5[Country],Tabela1[[#This Row],[Country]],Table5[10000m Classification],"&gt;0")</f>
        <v>0</v>
      </c>
      <c r="AQ45" s="6">
        <f>COUNTIFS(Table4[Country],Tabela1[[#This Row],[Country]],Table4[110m Hurdles Classification],"&gt;0")</f>
        <v>0</v>
      </c>
      <c r="AR45" s="6">
        <f>COUNTIFS(Table5[Country],Tabela1[[#This Row],[Country]],Table5[100m Hurdles Classification],"&gt;0")</f>
        <v>0</v>
      </c>
      <c r="AS45" s="6">
        <f>COUNTIFS(Table4[Country],Tabela1[[#This Row],[Country]],Table4[400m Hurdles Classification],"&gt;0")</f>
        <v>0</v>
      </c>
      <c r="AT45" s="6">
        <f>COUNTIFS(Table5[Country],Tabela1[[#This Row],[Country]],Table5[400m Hurdles Classification],"&gt;0")</f>
        <v>0</v>
      </c>
      <c r="AU45" s="6">
        <f>COUNTIFS(Table4[Country],Tabela1[[#This Row],[Country]],Table4[3000m Steeplechase Classification],"&gt;0")</f>
        <v>0</v>
      </c>
      <c r="AV45" s="6">
        <f>COUNTIFS(Table5[Country],Tabela1[[#This Row],[Country]],Table5[3000m Steeplechase Classification],"&gt;0")</f>
        <v>0</v>
      </c>
      <c r="AW45" s="6">
        <f>COUNTIFS(Table27[Country],Tabela1[[#This Row],[Country]],Table27[Men''s 4x100m Relay Classification],"&gt;0")</f>
        <v>0</v>
      </c>
      <c r="AX45" s="6">
        <f>COUNTIFS(Table27[Country],Tabela1[[#This Row],[Country]],Table27[Women''s 4x100m Relay Classification],"&gt;0")</f>
        <v>0</v>
      </c>
      <c r="AY45" s="6">
        <f>COUNTIFS(Table27[Country],Tabela1[[#This Row],[Country]],Table27[Men''s 4x400m Relay Classification],"&gt;0")</f>
        <v>0</v>
      </c>
      <c r="AZ45" s="6">
        <f>COUNTIFS(Table27[Country],Tabela1[[#This Row],[Country]],Table27[Women''s 4x400m Relay Classification],"&gt;0")</f>
        <v>0</v>
      </c>
      <c r="BA45" s="6">
        <f>COUNTIFS(Table27[Country],Tabela1[[#This Row],[Country]],Table27[Mixed 4x400m Relay Classification],"&gt;0")</f>
        <v>0</v>
      </c>
      <c r="BB45" s="6">
        <f>COUNTIFS(Table4[Country],Tabela1[[#This Row],[Country]],Table4[Marathon Classification],"&gt;0")</f>
        <v>0</v>
      </c>
      <c r="BC45" s="6">
        <f>COUNTIFS(Table5[Country],Tabela1[[#This Row],[Country]],Table5[Marathon Classification],"&gt;0")</f>
        <v>0</v>
      </c>
      <c r="BD45" s="6">
        <f>COUNTIFS(Table4[Country],Tabela1[[#This Row],[Country]],Table4[20km Race Walk Classification],"&gt;0")</f>
        <v>0</v>
      </c>
      <c r="BE45" s="6">
        <f>COUNTIFS(Table5[Country],Tabela1[[#This Row],[Country]],Table5[20km Race Walk Classification],"&gt;0")</f>
        <v>0</v>
      </c>
      <c r="BF45" s="6">
        <f>COUNTIFS(Tabela96[Country],Tabela1[[#This Row],[Country]],Tabela96[Mixed Marathon Race Walk Relay Classification],"&gt;0")</f>
        <v>0</v>
      </c>
      <c r="BG45" s="6">
        <f>COUNTIFS(Table4[Country],Tabela1[[#This Row],[Country]],Table4[Discus Throw Classification],"&gt;0")</f>
        <v>0</v>
      </c>
      <c r="BH45" s="6">
        <f>COUNTIFS(Table5[Country],Tabela1[[#This Row],[Country]],Table5[Discus Throw Classification],"&gt;0")</f>
        <v>0</v>
      </c>
      <c r="BI45" s="6">
        <f>COUNTIFS(Table4[Country],Tabela1[[#This Row],[Country]],Table4[Hammer Throw Classification],"&gt;0")</f>
        <v>0</v>
      </c>
      <c r="BJ45" s="6">
        <f>COUNTIFS(Table5[Country],Tabela1[[#This Row],[Country]],Table5[Hammer Throw Classification],"&gt;0")</f>
        <v>0</v>
      </c>
      <c r="BK45" s="6">
        <f>COUNTIFS(Table4[Country],Tabela1[[#This Row],[Country]],Table4[High Jump Classification],"&gt;0")</f>
        <v>0</v>
      </c>
      <c r="BL45" s="6">
        <f>COUNTIFS(Table5[Country],Tabela1[[#This Row],[Country]],Table5[High Jump Classification],"&gt;0")</f>
        <v>0</v>
      </c>
      <c r="BM45" s="6">
        <f>COUNTIFS(Table4[Country],Tabela1[[#This Row],[Country]],Table4[Javelin Throw Classification],"&gt;0")</f>
        <v>0</v>
      </c>
      <c r="BN45" s="6">
        <f>COUNTIFS(Table5[Country],Tabela1[[#This Row],[Country]],Table5[Javelin Throw Classification],"&gt;0")</f>
        <v>0</v>
      </c>
      <c r="BO45" s="6">
        <f>COUNTIFS(Table4[Country],Tabela1[[#This Row],[Country]],Table4[Long Jump Classification],"&gt;0")</f>
        <v>0</v>
      </c>
      <c r="BP45" s="6">
        <f>COUNTIFS(Table5[Country],Tabela1[[#This Row],[Country]],Table5[Long Jump Classification],"&gt;0")</f>
        <v>0</v>
      </c>
      <c r="BQ45" s="6">
        <f>COUNTIFS(Table4[Country],Tabela1[[#This Row],[Country]],Table4[Pole Vault Classification],"&gt;0")</f>
        <v>0</v>
      </c>
      <c r="BR45" s="6">
        <f>COUNTIFS(Table5[Country],Tabela1[[#This Row],[Country]],Table5[Pole Vault Classification],"&gt;0")</f>
        <v>0</v>
      </c>
      <c r="BS45" s="6">
        <f>COUNTIFS(Table4[Country],Tabela1[[#This Row],[Country]],Table4[Shot Put Classification],"&gt;0")</f>
        <v>1</v>
      </c>
      <c r="BT45" s="6">
        <f>COUNTIFS(Table5[Country],Tabela1[[#This Row],[Country]],Table5[Shot Put Classification],"&gt;0")</f>
        <v>0</v>
      </c>
      <c r="BU45" s="6">
        <f>COUNTIFS(Table4[Country],Tabela1[[#This Row],[Country]],Table4[Triple Jump Classification],"&gt;0")</f>
        <v>0</v>
      </c>
      <c r="BV45" s="6">
        <f>COUNTIFS(Table5[Country],Tabela1[[#This Row],[Country]],Table5[Triple Jump Classification],"&gt;0")</f>
        <v>0</v>
      </c>
      <c r="BW45" s="6">
        <f>COUNTIFS(Table4[Country],Tabela1[[#This Row],[Country]],Table4[Decathlon Classification],"&gt;0")</f>
        <v>0</v>
      </c>
      <c r="BX45" s="6">
        <f>COUNTIFS(Table5[Country],Tabela1[[#This Row],[Country]],Table5[Heptathlon Classification],"&gt;0")</f>
        <v>0</v>
      </c>
      <c r="BY45" s="6">
        <f>COUNTIFS(Table61[Country],Tabela1[[#This Row],[Country]],Table61[Classification],"&gt;0")</f>
        <v>0</v>
      </c>
      <c r="BZ45" s="6">
        <f>COUNTIFS(Table38[Country],Tabela1[[#This Row],[Country]],Table38[Classification],"&gt;0")</f>
        <v>0</v>
      </c>
      <c r="CA45" s="6">
        <f>COUNTIFS(Table39[Country],Tabela1[[#This Row],[Country]],Table39[Men''s Classification],"&gt;0")</f>
        <v>0</v>
      </c>
      <c r="CB45" s="6">
        <f>COUNTIFS(Table39[Country],Tabela1[[#This Row],[Country]],Table39[Women''s Classification],"&gt;0")</f>
        <v>0</v>
      </c>
      <c r="CC45" s="6">
        <f>COUNTIFS(Table39[Country],Tabela1[[#This Row],[Country]],Table39[Mixed Classification],"&gt;0")</f>
        <v>0</v>
      </c>
      <c r="CD45" s="6">
        <f>COUNTIFS(Table89[Country],Tabela1[[#This Row],[Country]],Table89[Men''s Classification],"&gt;0")</f>
        <v>1</v>
      </c>
      <c r="CE45" s="6">
        <f>COUNTIFS(Table89[Country],Tabela1[[#This Row],[Country]],Table89[Women''s Classification],"&gt;0")</f>
        <v>1</v>
      </c>
      <c r="CF45" s="6">
        <f>COUNTIFS(Table90[Country],Tabela1[[#This Row],[Country]],Table90[Men''s Classification],"&gt;0")</f>
        <v>0</v>
      </c>
      <c r="CG45" s="6">
        <f>COUNTIFS(Table90[Country],Tabela1[[#This Row],[Country]],Table90[Women''s Classification],"&gt;0")</f>
        <v>0</v>
      </c>
      <c r="CH45" s="6">
        <f>COUNTIFS(Table60[Country],Tabela1[[#This Row],[Country]],Table60[Men''s Classification],"&gt;0")</f>
        <v>0</v>
      </c>
      <c r="CI45" s="6">
        <f>COUNTIFS(Table60[Country],Tabela1[[#This Row],[Country]],Table60[Women''s Classification],"&gt;0")</f>
        <v>0</v>
      </c>
      <c r="CJ45" s="6">
        <f>COUNTIFS(Table6[Country],Tabela1[[#This Row],[Country]],Table6[51kg Classification],"&gt;0")</f>
        <v>0</v>
      </c>
      <c r="CK45" s="6">
        <f>COUNTIFS(Table6[Country],Tabela1[[#This Row],[Country]],Table6[57kg Classification],"&gt;0")</f>
        <v>0</v>
      </c>
      <c r="CL45" s="6">
        <f>COUNTIFS(Table6[Country],Tabela1[[#This Row],[Country]],Table6[63.5kg Classification],"&gt;0")</f>
        <v>0</v>
      </c>
      <c r="CM45" s="6">
        <f>COUNTIFS(Table6[Country],Tabela1[[#This Row],[Country]],Table6[71kg Classification],"&gt;0")</f>
        <v>1</v>
      </c>
      <c r="CN45" s="6">
        <f>COUNTIFS(Table6[Country],Tabela1[[#This Row],[Country]],Table6[80kg Classification],"&gt;0")</f>
        <v>0</v>
      </c>
      <c r="CO45" s="6">
        <f>COUNTIFS(Table6[Country],Tabela1[[#This Row],[Country]],Table6[92kg Classification],"&gt;0")</f>
        <v>0</v>
      </c>
      <c r="CP45" s="6">
        <f>COUNTIFS(Table6[Country],Tabela1[[#This Row],[Country]],Table6[Plus 92kg Classification],"&gt;0")</f>
        <v>0</v>
      </c>
      <c r="CQ45" s="6">
        <f>COUNTIFS(Table7[Country],Tabela1[[#This Row],[Country]],Table7[50kg Classification],"&gt;0")</f>
        <v>0</v>
      </c>
      <c r="CR45" s="6">
        <f>COUNTIFS(Table7[Country],Tabela1[[#This Row],[Country]],Table7[54kg Classification],"&gt;0")</f>
        <v>1</v>
      </c>
      <c r="CS45" s="6">
        <f>COUNTIFS(Table7[Country],Tabela1[[#This Row],[Country]],Table7[57kg Classification],"&gt;0")</f>
        <v>0</v>
      </c>
      <c r="CT45" s="6">
        <f>COUNTIFS(Table7[Country],Tabela1[[#This Row],[Country]],Table7[60kg Classification],"&gt;0")</f>
        <v>0</v>
      </c>
      <c r="CU45" s="6">
        <f>COUNTIFS(Table7[Country],Tabela1[[#This Row],[Country]],Table7[66kg Classification],"&gt;0")</f>
        <v>0</v>
      </c>
      <c r="CV45" s="6">
        <f>COUNTIFS(Table7[Country],Tabela1[[#This Row],[Country]],Table7[75kg Classification],"&gt;0")</f>
        <v>0</v>
      </c>
      <c r="CW45" s="6">
        <f>COUNTIFS(Tabela94[Country],Tabela1[[#This Row],[Country]],Tabela94[Classification],"&gt;0")</f>
        <v>0</v>
      </c>
      <c r="CX45" s="6">
        <f>COUNTIFS(Tabela9499[Country],Tabela1[[#This Row],[Country]],Tabela9499[Classification],"&gt;0")</f>
        <v>0</v>
      </c>
      <c r="CY45" s="6">
        <f>COUNTIFS(Tabela107[Country],Tabela1[[#This Row],[Country]],Tabela107[C1 Slalom Classification],"&gt;0")</f>
        <v>0</v>
      </c>
      <c r="CZ45" s="6">
        <f>COUNTIFS(Tabela107122[Country],Tabela1[[#This Row],[Country]],Tabela107122[C1 Slalom Classification],"&gt;0")</f>
        <v>0</v>
      </c>
      <c r="DA45" s="6">
        <f>COUNTIFS(Tabela107[Country],Tabela1[[#This Row],[Country]],Tabela107[K1 Slalom Classification],"&gt;0")</f>
        <v>0</v>
      </c>
      <c r="DB45" s="6">
        <f>COUNTIFS(Tabela107122[Country],Tabela1[[#This Row],[Country]],Tabela107122[K1 Slalom Classification],"&gt;0")</f>
        <v>0</v>
      </c>
      <c r="DC45" s="6">
        <f>COUNTIFS(Tabela107[Country],Tabela1[[#This Row],[Country]],Tabela107[Kayak Cross Slalom Classification],"&gt;0")</f>
        <v>0</v>
      </c>
      <c r="DD45" s="6">
        <f>COUNTIFS(Tabela107122[Country],Tabela1[[#This Row],[Country]],Tabela107122[Kayak Cross Slalom Classification],"&gt;0")</f>
        <v>0</v>
      </c>
      <c r="DE45" s="6">
        <f>COUNTIFS(Table8[Country],Tabela1[[#This Row],[Country]],Table8[C1 200m Classification],"&gt;0")</f>
        <v>0</v>
      </c>
      <c r="DF45" s="6">
        <f>COUNTIFS(Table40[Country],Tabela1[[#This Row],[Country]],Table40[C1 1000m Classification],"&gt;0")</f>
        <v>0</v>
      </c>
      <c r="DG45" s="6">
        <f>COUNTIFS(Table68[Country],Tabela1[[#This Row],[Country]],Table68[Men''s C2 500m Classification],"&gt;0")</f>
        <v>0</v>
      </c>
      <c r="DH45" s="6">
        <f>COUNTIFS(Table68[Country],Tabela1[[#This Row],[Country]],Table68[Women''s C2 500m Classification],"&gt;0")</f>
        <v>0</v>
      </c>
      <c r="DI45" s="6">
        <f>COUNTIFS(Table8[Country],Tabela1[[#This Row],[Country]],Table8[K1 500m Classification],"&gt;0")</f>
        <v>0</v>
      </c>
      <c r="DJ45" s="6">
        <f>COUNTIFS(Table40[Country],Tabela1[[#This Row],[Country]],Table40[K1 1000m Classification],"&gt;0")</f>
        <v>0</v>
      </c>
      <c r="DK45" s="6">
        <f>COUNTIFS(Table68[Country],Tabela1[[#This Row],[Country]],Table68[Men''s K2 500m Classification],"&gt;0")</f>
        <v>0</v>
      </c>
      <c r="DL45" s="6">
        <f>COUNTIFS(Table68[Country],Tabela1[[#This Row],[Country]],Table68[Women''s K2 500m Classification],"&gt;0")</f>
        <v>0</v>
      </c>
      <c r="DM45" s="6">
        <f>COUNTIFS(Table83[Country],Tabela1[[#This Row],[Country]],Table83[Men''s K4 500m Classification],"&gt;0")</f>
        <v>0</v>
      </c>
      <c r="DN45" s="6">
        <f>COUNTIFS(Table83[Country],Tabela1[[#This Row],[Country]],Table83[Women''s K4 500m Classification],"&gt;0")</f>
        <v>0</v>
      </c>
      <c r="DO45" s="6">
        <f>COUNTIFS(Tabela126[Country],Tabela1[[#This Row],[Country]],Tabela126[Classification],"&gt;0")</f>
        <v>0</v>
      </c>
      <c r="DP45" s="6">
        <f>COUNTIFS(Tabela126130[Country],Tabela1[[#This Row],[Country]],Tabela126130[Classification],"&gt;0")</f>
        <v>0</v>
      </c>
      <c r="DQ45" s="6">
        <f>COUNTIFS(Table70[Country],Tabela1[[#This Row],[Country]],Table70[Classification],"&gt;0")</f>
        <v>0</v>
      </c>
      <c r="DR45" s="6">
        <f>COUNTIFS(Table80[Country],Tabela1[[#This Row],[Country]],Table80[Classification],"&gt;0")</f>
        <v>0</v>
      </c>
      <c r="DS45" s="6">
        <f>COUNTIFS(Table66[Country],Tabela1[[#This Row],[Country]],Table66[Classification],"&gt;0")</f>
        <v>0</v>
      </c>
      <c r="DT45" s="6">
        <f>COUNTIFS(Table67[Country],Tabela1[[#This Row],[Country]],Table67[Classification],"&gt;0")</f>
        <v>0</v>
      </c>
      <c r="DU45" s="6">
        <f>COUNTIFS(Table69[Country],Tabela1[[#This Row],[Country]],Table69[Keirin Classification],"&gt;0")</f>
        <v>0</v>
      </c>
      <c r="DV45" s="6">
        <f>COUNTIFS(Table41[Country],Tabela1[[#This Row],[Country]],Table41[Keirin Classification],"&gt;0")</f>
        <v>0</v>
      </c>
      <c r="DW45" s="6">
        <f>COUNTIFS(Table84[Country],Tabela1[[#This Row],[Country]],Table84[Men''s Madison Classification],"&gt;0")</f>
        <v>0</v>
      </c>
      <c r="DX45" s="6">
        <f>COUNTIFS(Table84[Country],Tabela1[[#This Row],[Country]],Table84[Women''s Madison Classification],"&gt;0")</f>
        <v>0</v>
      </c>
      <c r="DY45" s="6">
        <f>COUNTIFS(Table69[Country],Tabela1[[#This Row],[Country]],Table69[Omnium Classification],"&gt;0")</f>
        <v>0</v>
      </c>
      <c r="DZ45" s="6">
        <f>COUNTIFS(Table41[Country],Tabela1[[#This Row],[Country]],Table41[Omnium Classification],"&gt;0")</f>
        <v>0</v>
      </c>
      <c r="EA45" s="6">
        <f>COUNTIFS(Table9[Country],Tabela1[[#This Row],[Country]],Table9[Road Race Classification],"&gt;0")</f>
        <v>0</v>
      </c>
      <c r="EB45" s="6">
        <f>COUNTIFS(Table14[Country],Tabela1[[#This Row],[Country]],Table14[Road Race Classification],"&gt;0")</f>
        <v>1</v>
      </c>
      <c r="EC45" s="6">
        <f>COUNTIFS(Table69[Country],Tabela1[[#This Row],[Country]],Table69[Sprint Classification],"&gt;0")</f>
        <v>0</v>
      </c>
      <c r="ED45" s="6">
        <f>COUNTIFS(Table41[Country],Tabela1[[#This Row],[Country]],Table41[Sprint Classification],"&gt;0")</f>
        <v>0</v>
      </c>
      <c r="EE45" s="6">
        <f>COUNTIFS(Table85[Country],Tabela1[[#This Row],[Country]],Table85[Men''s Sprint Classification],"&gt;0")</f>
        <v>0</v>
      </c>
      <c r="EF45" s="6">
        <f>COUNTIFS(Table85[Country],Tabela1[[#This Row],[Country]],Table85[Women''s Sprint Classification],"&gt;0")</f>
        <v>0</v>
      </c>
      <c r="EG45" s="6">
        <f>COUNTIFS(Table85[Country],Tabela1[[#This Row],[Country]],Table85[Men''s Pursuit Classification],"&gt;0")</f>
        <v>0</v>
      </c>
      <c r="EH45" s="6">
        <f>COUNTIFS(Table85[Country],Tabela1[[#This Row],[Country]],Table85[Women''s Pursuit Classification],"&gt;0")</f>
        <v>0</v>
      </c>
      <c r="EI45" s="6">
        <f>COUNTIFS(Table9[Country],Tabela1[[#This Row],[Country]],Table9[Time-Trial Classification],"&gt;0")</f>
        <v>0</v>
      </c>
      <c r="EJ45" s="6">
        <f>COUNTIFS(Table14[Country],Tabela1[[#This Row],[Country]],Table14[Time-Trial Classification],"&gt;0")</f>
        <v>0</v>
      </c>
      <c r="EK45" s="6">
        <f>COUNTIFS(Table42[Country],Tabela1[[#This Row],[Country]],Table42[Springboard Classification],"&gt;0")</f>
        <v>0</v>
      </c>
      <c r="EL45" s="6">
        <f>COUNTIFS(Table43[Country],Tabela1[[#This Row],[Country]],Table43[Springboard Classification],"&gt;0")</f>
        <v>0</v>
      </c>
      <c r="EM45" s="6">
        <f>COUNTIFS(Table42[Country],Tabela1[[#This Row],[Country]],Table42[Platform Classification],"&gt;0")</f>
        <v>0</v>
      </c>
      <c r="EN45" s="6">
        <f>COUNTIFS(Table43[Country],Tabela1[[#This Row],[Country]],Table43[Platform Classification],"&gt;0")</f>
        <v>0</v>
      </c>
      <c r="EO45" s="6">
        <f>COUNTIFS(Table86[Country],Tabela1[[#This Row],[Country]],Table86[Men''s Synchronized Springboard Classification],"&gt;0")</f>
        <v>0</v>
      </c>
      <c r="EP45" s="6">
        <f>COUNTIFS(Table86[Country],Tabela1[[#This Row],[Country]],Table86[Women''s Synchronized Springboard Classification],"&gt;0")</f>
        <v>0</v>
      </c>
      <c r="EQ45" s="6">
        <f>COUNTIFS(Table86[Country],Tabela1[[#This Row],[Country]],Table86[Men''s Synchronized Platform Classification],"&gt;0")</f>
        <v>0</v>
      </c>
      <c r="ER45" s="6">
        <f>COUNTIFS(Table86[Country],Tabela1[[#This Row],[Country]],Table86[Women''s Synchronized Platform Classification],"&gt;0")</f>
        <v>0</v>
      </c>
      <c r="ES45" s="6">
        <f>COUNTIFS(Table44[Country],Tabela1[[#This Row],[Country]],Table44[Dressage Classification],"&gt;0")</f>
        <v>0</v>
      </c>
      <c r="ET45" s="6">
        <f>COUNTIFS(Table45[Country],Tabela1[[#This Row],[Country]],Table45[Dressage Classification],"&gt;0")</f>
        <v>0</v>
      </c>
      <c r="EU45" s="6">
        <f>COUNTIFS(Table44[Country],Tabela1[[#This Row],[Country]],Table44[Eventing Classification],"&gt;0")</f>
        <v>0</v>
      </c>
      <c r="EV45" s="6">
        <f>COUNTIFS(Table45[Country],Tabela1[[#This Row],[Country]],Table45[Eventing Classification],"&gt;0")</f>
        <v>0</v>
      </c>
      <c r="EW45" s="6">
        <f>COUNTIFS(Table44[Country],Tabela1[[#This Row],[Country]],Table44[Jumping Classification],"&gt;0")</f>
        <v>0</v>
      </c>
      <c r="EX45" s="6">
        <f>COUNTIFS(Table45[Country],Tabela1[[#This Row],[Country]],Table45[Jumping Classification],"&gt;0")</f>
        <v>0</v>
      </c>
      <c r="EY45" s="6">
        <f>COUNTIFS(Table10[Country],Tabela1[[#This Row],[Country]],Table10[Épée Classification],"&gt;0")</f>
        <v>0</v>
      </c>
      <c r="EZ45" s="6">
        <f>COUNTIFS(Table11[Country],Tabela1[[#This Row],[Country]],Table11[Épée Classification],"&gt;0")</f>
        <v>0</v>
      </c>
      <c r="FA45" s="6">
        <f>COUNTIFS(Table46[Country],Tabela1[[#This Row],[Country]],Table46[Men''s Épée Classification],"&gt;0")</f>
        <v>0</v>
      </c>
      <c r="FB45" s="6">
        <f>COUNTIFS(Table46[Country],Tabela1[[#This Row],[Country]],Table46[Women''s Épée Classification],"&gt;0")</f>
        <v>0</v>
      </c>
      <c r="FC45" s="6">
        <f>COUNTIFS(Table10[Country],Tabela1[[#This Row],[Country]],Table10[Foil Classification],"&gt;0")</f>
        <v>0</v>
      </c>
      <c r="FD45" s="6">
        <f>COUNTIFS(Table11[Country],Tabela1[[#This Row],[Country]],Table11[Foil Classification],"&gt;0")</f>
        <v>0</v>
      </c>
      <c r="FE45" s="6">
        <f>COUNTIFS(Table46[Country],Tabela1[[#This Row],[Country]],Table46[Men''s Foil Classification],"&gt;0")</f>
        <v>0</v>
      </c>
      <c r="FF45" s="6">
        <f>COUNTIFS(Table46[Country],Tabela1[[#This Row],[Country]],Table46[Women''s Foil Classification],"&gt;0")</f>
        <v>0</v>
      </c>
      <c r="FG45" s="6">
        <f>COUNTIFS(Table10[Country],Tabela1[[#This Row],[Country]],Table10[Sabre Classification],"&gt;0")</f>
        <v>0</v>
      </c>
      <c r="FH45" s="6">
        <f>COUNTIFS(Table11[Country],Tabela1[[#This Row],[Country]],Table11[Sabre Classification],"&gt;0")</f>
        <v>0</v>
      </c>
      <c r="FI45" s="6">
        <f>COUNTIFS(Table46[Country],Tabela1[[#This Row],[Country]],Table46[Men''s Sabre Classification],"&gt;0")</f>
        <v>0</v>
      </c>
      <c r="FJ45" s="6">
        <f>COUNTIFS(Table46[Country],Tabela1[[#This Row],[Country]],Table46[Women''s Sabre Classification],"&gt;0")</f>
        <v>0</v>
      </c>
      <c r="FK45" s="6">
        <f>COUNTIFS(Table91[Country],Tabela1[[#This Row],[Country]],Table91[Men''s Classification],"&gt;0")</f>
        <v>0</v>
      </c>
      <c r="FL45" s="6">
        <f>COUNTIFS(Table91[Country],Tabela1[[#This Row],[Country]],Table91[Women''s Classification],"&gt;0")</f>
        <v>0</v>
      </c>
      <c r="FM45" s="6">
        <f>COUNTIFS(Table9194[Country],Tabela1[[#This Row],[Country]],Table9194[Men''s Classification],"&gt;0")</f>
        <v>0</v>
      </c>
      <c r="FN45" s="6">
        <f>COUNTIFS(Table9194[Country],Tabela1[[#This Row],[Country]],Table9194[Women''s Classification],"&gt;0")</f>
        <v>0</v>
      </c>
      <c r="FO45" s="6">
        <f>COUNTIFS(Table71[Country],Tabela1[[#This Row],[Country]],Table71[Classification],"&gt;0")</f>
        <v>0</v>
      </c>
      <c r="FP45" s="6">
        <f>COUNTIFS(Table62[Country],Tabela1[[#This Row],[Country]],Table62[Classification],"&gt;0")</f>
        <v>0</v>
      </c>
      <c r="FQ45" s="6">
        <f>COUNTIFS(Table47[Country],Tabela1[[#This Row],[Country]],Table47[All-Around Classification],"&gt;0")</f>
        <v>0</v>
      </c>
      <c r="FR45" s="6">
        <f>COUNTIFS(Table48[Country],Tabela1[[#This Row],[Country]],Table48[All-Around Classification],"&gt;0")</f>
        <v>0</v>
      </c>
      <c r="FS45" s="6">
        <f>COUNTIFS(Table81[Country],Tabela1[[#This Row],[Country]],Table81[Men''s All-Around Classification],"&gt;0")</f>
        <v>0</v>
      </c>
      <c r="FT45" s="6">
        <f>COUNTIFS(Table81[Country],Tabela1[[#This Row],[Country]],Table81[Women''s All-Around Classification],"&gt;0")</f>
        <v>0</v>
      </c>
      <c r="FU45" s="6">
        <f>COUNTIFS(Table48[Country],Tabela1[[#This Row],[Country]],Table48[Balance Beam Classification],"&gt;0")</f>
        <v>0</v>
      </c>
      <c r="FV45" s="6">
        <f>COUNTIFS(Table47[Country],Tabela1[[#This Row],[Country]],Table47[Floor Exercise Classification],"&gt;0")</f>
        <v>0</v>
      </c>
      <c r="FW45" s="6">
        <f>COUNTIFS(Table48[Country],Tabela1[[#This Row],[Country]],Table48[Floor Exercise Classification],"&gt;0")</f>
        <v>0</v>
      </c>
      <c r="FX45" s="6">
        <f>COUNTIFS(Table47[Country],Tabela1[[#This Row],[Country]],Table47[Horizontal Bar Classification],"&gt;0")</f>
        <v>0</v>
      </c>
      <c r="FY45" s="6">
        <f>COUNTIFS(Table47[Country],Tabela1[[#This Row],[Country]],Table47[Parallel Bars Classification],"&gt;0")</f>
        <v>0</v>
      </c>
      <c r="FZ45" s="6">
        <f>COUNTIFS(Table47[Country],Tabela1[[#This Row],[Country]],Table47[Pommel Horse Classification],"&gt;0")</f>
        <v>0</v>
      </c>
      <c r="GA45" s="6">
        <f>COUNTIFS(Table47[Country],Tabela1[[#This Row],[Country]],Table47[Rings Classification],"&gt;0")</f>
        <v>0</v>
      </c>
      <c r="GB45" s="6">
        <f>COUNTIFS(Tabela132[Country],Tabela1[[#This Row],[Country]],Tabela132[Classification],"&gt;0")</f>
        <v>0</v>
      </c>
      <c r="GC45" s="6">
        <f>COUNTIFS(Tabela139[Country],Tabela1[[#This Row],[Country]],Tabela139[Classification],"&gt;0")</f>
        <v>0</v>
      </c>
      <c r="GD45" s="6">
        <f>COUNTIFS(Table48[Country],Tabela1[[#This Row],[Country]],Table48[Uneven Bars Classification],"&gt;0")</f>
        <v>0</v>
      </c>
      <c r="GE45" s="6">
        <f>COUNTIFS(Table47[Country],Tabela1[[#This Row],[Country]],Table47[Vault Classification],"&gt;0")</f>
        <v>0</v>
      </c>
      <c r="GF45" s="6">
        <f>COUNTIFS(Table48[Country],Tabela1[[#This Row],[Country]],Table48[Vault Classification],"&gt;0")</f>
        <v>0</v>
      </c>
      <c r="GG45" s="6">
        <f>COUNTIFS(Table919496[Country],Tabela1[[#This Row],[Country]],Table919496[Men''s Classification],"&gt;0")</f>
        <v>0</v>
      </c>
      <c r="GH45" s="6">
        <f>COUNTIFS(Table919496[Country],Tabela1[[#This Row],[Country]],Table919496[Women''s Classification],"&gt;0")</f>
        <v>0</v>
      </c>
      <c r="GI45" s="6">
        <f>COUNTIFS(Table12[Country],Tabela1[[#This Row],[Country]],Table12[60kg Classification],"&gt;0")</f>
        <v>0</v>
      </c>
      <c r="GJ45" s="6">
        <f>COUNTIFS(Table12[Country],Tabela1[[#This Row],[Country]],Table12[66kg Classification],"&gt;0")</f>
        <v>0</v>
      </c>
      <c r="GK45" s="6">
        <f>COUNTIFS(Table12[Country],Tabela1[[#This Row],[Country]],Table12[73kg Classification],"&gt;0")</f>
        <v>0</v>
      </c>
      <c r="GL45" s="6">
        <f>COUNTIFS(Table12[Country],Tabela1[[#This Row],[Country]],Table12[81kg Classification],"&gt;0")</f>
        <v>0</v>
      </c>
      <c r="GM45" s="6">
        <f>COUNTIFS(Table12[Country],Tabela1[[#This Row],[Country]],Table12[90kg Classification],"&gt;0")</f>
        <v>1</v>
      </c>
      <c r="GN45" s="6">
        <f>COUNTIFS(Table12[Country],Tabela1[[#This Row],[Country]],Table12[100kg Classification],"&gt;0")</f>
        <v>0</v>
      </c>
      <c r="GO45" s="6">
        <f>COUNTIFS(Table12[Country],Tabela1[[#This Row],[Country]],Table12[Plus 100kg Classification],"&gt;0")</f>
        <v>0</v>
      </c>
      <c r="GP45" s="6">
        <f>COUNTIFS(Table13[Country],Tabela1[[#This Row],[Country]],Table13[48kg Classification],"&gt;0")</f>
        <v>0</v>
      </c>
      <c r="GQ45" s="6">
        <f>COUNTIFS(Table13[Country],Tabela1[[#This Row],[Country]],Table13[52kg Classification],"&gt;0")</f>
        <v>0</v>
      </c>
      <c r="GR45" s="6">
        <f>COUNTIFS(Table13[Country],Tabela1[[#This Row],[Country]],Table13[57kg Classification],"&gt;0")</f>
        <v>0</v>
      </c>
      <c r="GS45" s="6">
        <f>COUNTIFS(Table13[Country],Tabela1[[#This Row],[Country]],Table13[63kg Classification],"&gt;0")</f>
        <v>0</v>
      </c>
      <c r="GT45" s="6">
        <f>COUNTIFS(Table13[Country],Tabela1[[#This Row],[Country]],Table13[70kg Classification],"&gt;0")</f>
        <v>0</v>
      </c>
      <c r="GU45" s="6">
        <f>COUNTIFS(Table13[Country],Tabela1[[#This Row],[Country]],Table13[78kg Classification],"&gt;0")</f>
        <v>0</v>
      </c>
      <c r="GV45" s="6">
        <f>COUNTIFS(Table13[Country],Tabela1[[#This Row],[Country]],Table13[Plus 78kg Classification],"&gt;0")</f>
        <v>0</v>
      </c>
      <c r="GW45" s="6">
        <f>COUNTIFS(Table82[Country],Tabela1[[#This Row],[Country]],Table82[Mixed Classification],"&gt;0")</f>
        <v>1</v>
      </c>
      <c r="GX45" s="6">
        <f>COUNTIFS(Table51[Country],Tabela1[[#This Row],[Country]],Table51[Classification],"&gt;0")</f>
        <v>0</v>
      </c>
      <c r="GY45" s="6">
        <f>COUNTIFS(Table52[Country],Tabela1[[#This Row],[Country]],Table52[Classification],"&gt;0")</f>
        <v>0</v>
      </c>
      <c r="GZ45" s="6">
        <f>COUNTIFS(Table32[Country],Tabela1[[#This Row],[Country]],Table32[All-Around Classification],"&gt;0")</f>
        <v>0</v>
      </c>
      <c r="HA45" s="6">
        <f>COUNTIFS(Table49[Country],Tabela1[[#This Row],[Country]],Table49[All-Around Classification],"&gt;0")</f>
        <v>0</v>
      </c>
      <c r="HB45" s="6">
        <f>COUNTIFS(Table26[Country],Tabela1[[#This Row],[Country]],Table26[Single Sculls Classification],"&gt;0")</f>
        <v>0</v>
      </c>
      <c r="HC45" s="6">
        <f>COUNTIFS(Table63[Country],Tabela1[[#This Row],[Country]],Table63[Single Sculls Classification],"&gt;0")</f>
        <v>0</v>
      </c>
      <c r="HD45" s="6">
        <f>COUNTIFS(Table16[Country],Tabela1[[#This Row],[Country]],Table16[Men''s Double Sculls Classification],"&gt;0")</f>
        <v>1</v>
      </c>
      <c r="HE45" s="6">
        <f>COUNTIFS(Table16[Country],Tabela1[[#This Row],[Country]],Table16[Women''s Double Sculls Classification],"&gt;0")</f>
        <v>0</v>
      </c>
      <c r="HF45" s="6">
        <f>COUNTIFS(Table72[Country],Tabela1[[#This Row],[Country]],Table72[Men''s Quadruple Sculls Classification],"&gt;0")</f>
        <v>0</v>
      </c>
      <c r="HG45" s="6">
        <f>COUNTIFS(Table72[Country],Tabela1[[#This Row],[Country]],Table72[Women''s Quadruple Sculls Classification],"&gt;0")</f>
        <v>0</v>
      </c>
      <c r="HH45" s="6">
        <f>COUNTIFS(Table16[Country],Tabela1[[#This Row],[Country]],Table16[Men''s Coxless Pairs Classification],"&gt;0")</f>
        <v>0</v>
      </c>
      <c r="HI45" s="6">
        <f>COUNTIFS(Table16[Country],Tabela1[[#This Row],[Country]],Table16[Women''s Coxless Pairs Classification],"&gt;0")</f>
        <v>0</v>
      </c>
      <c r="HJ45" s="6">
        <f>COUNTIFS(Table72[Country],Tabela1[[#This Row],[Country]],Table72[Men''s Coxless Fours Classification],"&gt;0")</f>
        <v>0</v>
      </c>
      <c r="HK45" s="6">
        <f>COUNTIFS(Table72[Country],Tabela1[[#This Row],[Country]],Table72[Women''s Coxless Fours Classification],"&gt;0")</f>
        <v>0</v>
      </c>
      <c r="HL45" s="6">
        <f>COUNTIFS(Table72[Country],Tabela1[[#This Row],[Country]],Table72[Men''s Eights Classification],"&gt;0")</f>
        <v>0</v>
      </c>
      <c r="HM45" s="6">
        <f>COUNTIFS(Table72[Country],Tabela1[[#This Row],[Country]],Table72[Women''s Eights Classification],"&gt;0")</f>
        <v>0</v>
      </c>
      <c r="HN45" s="6">
        <f>COUNTIFS(Table16[Country],Tabela1[[#This Row],[Country]],Table16[Men''s Lwt. Double Sculls Classification],"&gt;0")</f>
        <v>0</v>
      </c>
      <c r="HO45" s="6">
        <f>COUNTIFS(Table16[Country],Tabela1[[#This Row],[Country]],Table16[Women''s Lwt. Double Sculls Classification],"&gt;0")</f>
        <v>0</v>
      </c>
      <c r="HP45" s="6">
        <f>COUNTIFS(Table91949698[Country],Tabela1[[#This Row],[Country]],Table91949698[Men''s Classification],"&gt;0")</f>
        <v>0</v>
      </c>
      <c r="HQ45" s="6">
        <f>COUNTIFS(Table91949698[Country],Tabela1[[#This Row],[Country]],Table91949698[Women''s Classification],"&gt;0")</f>
        <v>0</v>
      </c>
      <c r="HR45" s="6">
        <f>COUNTIFS(Table25[Country],Tabela1[[#This Row],[Country]],Table25[Mixed 470 Classification],"&gt;0")</f>
        <v>0</v>
      </c>
      <c r="HS45" s="6">
        <f>COUNTIFS(Table25[Country],Tabela1[[#This Row],[Country]],Table25[Men''s 49er Classification],"&gt;0")</f>
        <v>0</v>
      </c>
      <c r="HT45" s="6">
        <f>COUNTIFS(Table25[Country],Tabela1[[#This Row],[Country]],Table25[Women''s 49er FX Classification],"&gt;0")</f>
        <v>0</v>
      </c>
      <c r="HU45" s="6">
        <f>COUNTIFS(Table17[Country],Tabela1[[#This Row],[Country]],Table17[Formula Kite Classification],"&gt;0")</f>
        <v>0</v>
      </c>
      <c r="HV45" s="6">
        <f>COUNTIFS(Table18[Country],Tabela1[[#This Row],[Country]],Table18[Formula Kite Classification],"&gt;0")</f>
        <v>0</v>
      </c>
      <c r="HW45" s="6">
        <f>COUNTIFS(Table17[Country],Tabela1[[#This Row],[Country]],Table17[ILCA 7 Classification],"&gt;0")</f>
        <v>0</v>
      </c>
      <c r="HX45" s="6">
        <f>COUNTIFS(Table18[Country],Tabela1[[#This Row],[Country]],Table18[ILCA 6 Classification],"&gt;0")</f>
        <v>0</v>
      </c>
      <c r="HY45" s="6">
        <f>COUNTIFS(Table17[Country],Tabela1[[#This Row],[Country]],Table17[IQFoil Classification],"&gt;0")</f>
        <v>0</v>
      </c>
      <c r="HZ45" s="6">
        <f>COUNTIFS(Table18[Country],Tabela1[[#This Row],[Country]],Table18[IQFoil Classification],"&gt;0")</f>
        <v>0</v>
      </c>
      <c r="IA45" s="6">
        <f>COUNTIFS(Table25[Country],Tabela1[[#This Row],[Country]],Table25[Mixed Nacra 17 Classification],"&gt;0")</f>
        <v>0</v>
      </c>
      <c r="IB45" s="6">
        <f>COUNTIFS(Table53[Country],Tabela1[[#This Row],[Country]],Table53[10m Air Pistol Classification],"&gt;0")</f>
        <v>1</v>
      </c>
      <c r="IC45" s="6">
        <f>COUNTIFS(Table19[Country],Tabela1[[#This Row],[Country]],Table19[10m Air Pistol Classification],"&gt;0")</f>
        <v>0</v>
      </c>
      <c r="ID45" s="6">
        <f>COUNTIFS(Table54[Country],Tabela1[[#This Row],[Country]],Table54[Mixed 10m Air Pistol Team Classification],"&gt;0")</f>
        <v>1</v>
      </c>
      <c r="IE45" s="6">
        <f>COUNTIFS(Table53[Country],Tabela1[[#This Row],[Country]],Table53[10m Air Rifle Classification],"&gt;0")</f>
        <v>0</v>
      </c>
      <c r="IF45" s="6">
        <f>COUNTIFS(Table19[Country],Tabela1[[#This Row],[Country]],Table19[10m Air Rifle Classification],"&gt;0")</f>
        <v>0</v>
      </c>
      <c r="IG45" s="6">
        <f>COUNTIFS(Table54[Country],Tabela1[[#This Row],[Country]],Table54[Mixed 10m Air Rifle Team Classification],"&gt;0")</f>
        <v>0</v>
      </c>
      <c r="IH45" s="6">
        <f>COUNTIFS(Table53[Country],Tabela1[[#This Row],[Country]],Table53[25m Rapid Fire Pistol Classification],"&gt;0")</f>
        <v>0</v>
      </c>
      <c r="II45" s="6">
        <f>COUNTIFS(Table19[Country],Tabela1[[#This Row],[Country]],Table19[25m Pistol Classification],"&gt;0")</f>
        <v>0</v>
      </c>
      <c r="IJ45" s="6">
        <f>COUNTIFS(Table53[Country],Tabela1[[#This Row],[Country]],Table53[50m Rifle 3 Positions Classification],"&gt;0")</f>
        <v>0</v>
      </c>
      <c r="IK45" s="6">
        <f>COUNTIFS(Table19[Country],Tabela1[[#This Row],[Country]],Table19[50m Rifle 3 Positions Classification],"&gt;0")</f>
        <v>0</v>
      </c>
      <c r="IL45" s="6">
        <f>COUNTIFS(Table53[Country],Tabela1[[#This Row],[Country]],Table53[Skeet Classification],"&gt;0")</f>
        <v>0</v>
      </c>
      <c r="IM45" s="6">
        <f>COUNTIFS(Table19[Country],Tabela1[[#This Row],[Country]],Table19[Skeet Classification],"&gt;0")</f>
        <v>0</v>
      </c>
      <c r="IN45" s="6">
        <f>COUNTIFS(Table54[Country],Tabela1[[#This Row],[Country]],Table54[Mixed Skeet Team Classification],"&gt;0")</f>
        <v>0</v>
      </c>
      <c r="IO45" s="6">
        <f>COUNTIFS(Table53[Country],Tabela1[[#This Row],[Country]],Table53[Trap Classification],"&gt;0")</f>
        <v>0</v>
      </c>
      <c r="IP45" s="6">
        <f>COUNTIFS(Table19[Country],Tabela1[[#This Row],[Country]],Table19[Trap Classification],"&gt;0")</f>
        <v>0</v>
      </c>
      <c r="IQ45" s="6">
        <f>COUNTIFS(Table73[Country],Tabela1[[#This Row],[Country]],Table73[Park Classification],"&gt;0")</f>
        <v>0</v>
      </c>
      <c r="IR45" s="6">
        <f>COUNTIFS(Table74[Country],Tabela1[[#This Row],[Country]],Table74[Park Classification],"&gt;0")</f>
        <v>0</v>
      </c>
      <c r="IS45" s="6">
        <f>COUNTIFS(Table73[Country],Tabela1[[#This Row],[Country]],Table73[Street Classification],"&gt;0")</f>
        <v>0</v>
      </c>
      <c r="IT45" s="6">
        <f>COUNTIFS(Table74[Country],Tabela1[[#This Row],[Country]],Table74[Street Classification],"&gt;0")</f>
        <v>0</v>
      </c>
      <c r="IU45" s="6">
        <f>COUNTIFS(Table75[Country],Tabela1[[#This Row],[Country]],Table75[Boulder and Lead Classification],"&gt;0")</f>
        <v>0</v>
      </c>
      <c r="IV45" s="6">
        <f>COUNTIFS(Table76[Country],Tabela1[[#This Row],[Country]],Table76[Boulder and Lead Classification],"&gt;0")</f>
        <v>0</v>
      </c>
      <c r="IW45" s="6">
        <f>COUNTIFS(Table75[Country],Tabela1[[#This Row],[Country]],Table75[Speed Classification],"&gt;0")</f>
        <v>0</v>
      </c>
      <c r="IX45" s="6">
        <f>COUNTIFS(Table76[Country],Tabela1[[#This Row],[Country]],Table76[Speed Classification],"&gt;0")</f>
        <v>0</v>
      </c>
      <c r="IY45" s="6">
        <f>COUNTIFS(Table64[Country],Tabela1[[#This Row],[Country]],Table64[Shortboard Classification],"&gt;0")</f>
        <v>0</v>
      </c>
      <c r="IZ45" s="6">
        <f>COUNTIFS(Table77[Country],Tabela1[[#This Row],[Country]],Table77[Shortboard Classification],"&gt;0")</f>
        <v>0</v>
      </c>
      <c r="JA45" s="6">
        <f>COUNTIFS(Table20[Country],Tabela1[[#This Row],[Country]],Table20[50m Freestyle Classification],"&gt;0")</f>
        <v>1</v>
      </c>
      <c r="JB45" s="6">
        <f>COUNTIFS(Table21[Country],Tabela1[[#This Row],[Country]],Table21[50m Freestyle Classification],"&gt;0")</f>
        <v>0</v>
      </c>
      <c r="JC45" s="6">
        <f>COUNTIFS(Table20[Country],Tabela1[[#This Row],[Country]],Table20[100m Freestyle Classification],"&gt;0")</f>
        <v>2</v>
      </c>
      <c r="JD45" s="6">
        <f>COUNTIFS(Table21[Country],Tabela1[[#This Row],[Country]],Table21[100m Freestyle Classification],"&gt;0")</f>
        <v>0</v>
      </c>
      <c r="JE45" s="6">
        <f>COUNTIFS(Table20[Country],Tabela1[[#This Row],[Country]],Table20[200m Freestyle Classification],"&gt;0")</f>
        <v>1</v>
      </c>
      <c r="JF45" s="6">
        <f>COUNTIFS(Table21[Country],Tabela1[[#This Row],[Country]],Table21[200m Freestyle Classification],"&gt;0")</f>
        <v>0</v>
      </c>
      <c r="JG45" s="6">
        <f>COUNTIFS(Table20[Country],Tabela1[[#This Row],[Country]],Table20[400m Freestyle Classification],"&gt;0")</f>
        <v>0</v>
      </c>
      <c r="JH45" s="6">
        <f>COUNTIFS(Table21[Country],Tabela1[[#This Row],[Country]],Table21[400m Freestyle Classification],"&gt;0")</f>
        <v>0</v>
      </c>
      <c r="JI45" s="6">
        <f>COUNTIFS(Table20[Country],Tabela1[[#This Row],[Country]],Table20[800m Freestyle Classification],"&gt;0")</f>
        <v>0</v>
      </c>
      <c r="JJ45" s="6">
        <f>COUNTIFS(Table21[Country],Tabela1[[#This Row],[Country]],Table21[800m Freestyle Classification],"&gt;0")</f>
        <v>0</v>
      </c>
      <c r="JK45" s="6">
        <f>COUNTIFS(Table20[Country],Tabela1[[#This Row],[Country]],Table20[1500m Freestyle Classification],"&gt;0")</f>
        <v>0</v>
      </c>
      <c r="JL45" s="6">
        <f>COUNTIFS(Table21[Country],Tabela1[[#This Row],[Country]],Table21[1500m Freestyle Classification],"&gt;0")</f>
        <v>0</v>
      </c>
      <c r="JM45" s="6">
        <f>COUNTIFS(Table20[Country],Tabela1[[#This Row],[Country]],Table20[100m Backstroke Classification],"&gt;0")</f>
        <v>0</v>
      </c>
      <c r="JN45" s="6">
        <f>COUNTIFS(Table21[Country],Tabela1[[#This Row],[Country]],Table21[100m Backstroke Classification],"&gt;0")</f>
        <v>0</v>
      </c>
      <c r="JO45" s="6">
        <f>COUNTIFS(Table20[Country],Tabela1[[#This Row],[Country]],Table20[200m Backstroke Classification],"&gt;0")</f>
        <v>0</v>
      </c>
      <c r="JP45" s="6">
        <f>COUNTIFS(Table21[Country],Tabela1[[#This Row],[Country]],Table21[200m Backstroke Classification],"&gt;0")</f>
        <v>0</v>
      </c>
      <c r="JQ45" s="6">
        <f>COUNTIFS(Table20[Country],Tabela1[[#This Row],[Country]],Table20[100m Breaststroke Classification],"&gt;0")</f>
        <v>0</v>
      </c>
      <c r="JR45" s="6">
        <f>COUNTIFS(Table21[Country],Tabela1[[#This Row],[Country]],Table21[100m Breaststroke Classification],"&gt;0")</f>
        <v>0</v>
      </c>
      <c r="JS45" s="6">
        <f>COUNTIFS(Table20[Country],Tabela1[[#This Row],[Country]],Table20[200m Breaststroke Classification],"&gt;0")</f>
        <v>0</v>
      </c>
      <c r="JT45" s="6">
        <f>COUNTIFS(Table21[Country],Tabela1[[#This Row],[Country]],Table21[200m Breaststroke Classification],"&gt;0")</f>
        <v>0</v>
      </c>
      <c r="JU45" s="6">
        <f>COUNTIFS(Table20[Country],Tabela1[[#This Row],[Country]],Table20[100m Butterfly Classification],"&gt;0")</f>
        <v>0</v>
      </c>
      <c r="JV45" s="6">
        <f>COUNTIFS(Table21[Country],Tabela1[[#This Row],[Country]],Table21[100m Butterfly Classification],"&gt;0")</f>
        <v>0</v>
      </c>
      <c r="JW45" s="6">
        <f>COUNTIFS(Table20[Country],Tabela1[[#This Row],[Country]],Table20[200m Butterfly Classification],"&gt;0")</f>
        <v>0</v>
      </c>
      <c r="JX45" s="6">
        <f>COUNTIFS(Table21[Country],Tabela1[[#This Row],[Country]],Table21[200m Butterfly Classification],"&gt;0")</f>
        <v>0</v>
      </c>
      <c r="JY45" s="6">
        <f>COUNTIFS(Table20[Country],Tabela1[[#This Row],[Country]],Table20[200m Medley Classification],"&gt;0")</f>
        <v>0</v>
      </c>
      <c r="JZ45" s="6">
        <f>COUNTIFS(Table21[Country],Tabela1[[#This Row],[Country]],Table21[200m Medley Classification],"&gt;0")</f>
        <v>0</v>
      </c>
      <c r="KA45" s="6">
        <f>COUNTIFS(Table20[Country],Tabela1[[#This Row],[Country]],Table20[400m Medley Classification],"&gt;0")</f>
        <v>0</v>
      </c>
      <c r="KB45" s="6">
        <f>COUNTIFS(Table21[Country],Tabela1[[#This Row],[Country]],Table21[400m Medley Classification],"&gt;0")</f>
        <v>0</v>
      </c>
      <c r="KC45" s="6">
        <f>COUNTIFS(Table78[Country],Tabela1[[#This Row],[Country]],Table78[Men''s 4x100m Freestyle Relay Classification],"&gt;0")</f>
        <v>1</v>
      </c>
      <c r="KD45" s="6">
        <f>COUNTIFS(Table78[Country],Tabela1[[#This Row],[Country]],Table78[Women''s 4x100m Freestyle Relay Classification],"&gt;0")</f>
        <v>0</v>
      </c>
      <c r="KE45" s="6">
        <f>COUNTIFS(Table78[Country],Tabela1[[#This Row],[Country]],Table78[Men''s 4x200m Freestyle Relay Classification],"&gt;0")</f>
        <v>0</v>
      </c>
      <c r="KF45" s="6">
        <f>COUNTIFS(Table78[Country],Tabela1[[#This Row],[Country]],Table78[Women''s 4x200m Freestyle Relay Classification],"&gt;0")</f>
        <v>0</v>
      </c>
      <c r="KG45" s="6">
        <f>COUNTIFS(Table78[Country],Tabela1[[#This Row],[Country]],Table78[Men''s 4x100m Medley Relay Classification],"&gt;0")</f>
        <v>0</v>
      </c>
      <c r="KH45" s="6">
        <f>COUNTIFS(Table78[Country],Tabela1[[#This Row],[Country]],Table78[Women''s 4x100m Medley Relay Classification],"&gt;0")</f>
        <v>0</v>
      </c>
      <c r="KI45" s="6">
        <f>COUNTIFS(Table78[Country],Tabela1[[#This Row],[Country]],Table78[Mixed 4x100m Medley Relay Classification],"&gt;0")</f>
        <v>0</v>
      </c>
      <c r="KJ45" s="6">
        <f>COUNTIFS(Table20[Country],Tabela1[[#This Row],[Country]],Table20[10km Open Water Classification],"&gt;0")</f>
        <v>0</v>
      </c>
      <c r="KK45" s="6">
        <f>COUNTIFS(Table21[Country],Tabela1[[#This Row],[Country]],Table21[10km Open Water Classification],"&gt;0")</f>
        <v>0</v>
      </c>
      <c r="KL45" s="6">
        <f>COUNTIFS(Table22[Country],Tabela1[[#This Row],[Country]],Table22[Classification],"&gt;0")</f>
        <v>0</v>
      </c>
      <c r="KM45" s="6">
        <f>COUNTIFS(Table30[Country],Tabela1[[#This Row],[Country]],Table30[Classification],"&gt;0")</f>
        <v>0</v>
      </c>
      <c r="KN45" s="6">
        <f>COUNTIFS(Table55[Country],Tabela1[[#This Row],[Country]],Table55[Men''s Classification],"&gt;0")</f>
        <v>0</v>
      </c>
      <c r="KO45" s="6">
        <f>COUNTIFS(Table55[Country],Tabela1[[#This Row],[Country]],Table55[Women''s Classification],"&gt;0")</f>
        <v>0</v>
      </c>
      <c r="KP45" s="6">
        <f>COUNTIFS(Table56[Country],Tabela1[[#This Row],[Country]],Table56[Mixed Classification],"&gt;0")</f>
        <v>0</v>
      </c>
      <c r="KQ45" s="6">
        <f>COUNTIFS(Table29[Country],Tabela1[[#This Row],[Country]],Table29[58kg Classification],"&gt;0")</f>
        <v>0</v>
      </c>
      <c r="KR45" s="6">
        <f>COUNTIFS(Table29[Country],Tabela1[[#This Row],[Country]],Table29[68kg Classification],"&gt;0")</f>
        <v>0</v>
      </c>
      <c r="KS45" s="6">
        <f>COUNTIFS(Table29[Country],Tabela1[[#This Row],[Country]],Table29[80kg Classification],"&gt;0")</f>
        <v>0</v>
      </c>
      <c r="KT45" s="6">
        <f>COUNTIFS(Table29[Country],Tabela1[[#This Row],[Country]],Table29[Plus 80kg Classification],"&gt;0")</f>
        <v>0</v>
      </c>
      <c r="KU45" s="6">
        <f>COUNTIFS(Table34[Country],Tabela1[[#This Row],[Country]],Table34[49kg Classification],"&gt;0")</f>
        <v>0</v>
      </c>
      <c r="KV45" s="6">
        <f>COUNTIFS(Table34[Country],Tabela1[[#This Row],[Country]],Table34[57kg Classification],"&gt;0")</f>
        <v>0</v>
      </c>
      <c r="KW45" s="6">
        <f>COUNTIFS(Table34[Country],Tabela1[[#This Row],[Country]],Table34[67kg Classification],"&gt;0")</f>
        <v>0</v>
      </c>
      <c r="KX45" s="6">
        <f>COUNTIFS(Table34[Country],Tabela1[[#This Row],[Country]],Table34[Plus 67kg Classification],"&gt;0")</f>
        <v>0</v>
      </c>
      <c r="KY45" s="6">
        <f>COUNTIFS(Table57[Country],Tabela1[[#This Row],[Country]],Table57[Classification],"&gt;0")</f>
        <v>0</v>
      </c>
      <c r="KZ45" s="6">
        <f>COUNTIFS(Table58[Country],Tabela1[[#This Row],[Country]],Table58[Classification],"&gt;0")</f>
        <v>0</v>
      </c>
      <c r="LA45" s="6">
        <f>COUNTIFS(Table79[Country],Tabela1[[#This Row],[Country]],Table79[Men''s Classification],"&gt;0")</f>
        <v>0</v>
      </c>
      <c r="LB45" s="6">
        <f>COUNTIFS(Table79[Country],Tabela1[[#This Row],[Country]],Table79[Women''s Classification],"&gt;0")</f>
        <v>0</v>
      </c>
      <c r="LC45" s="6">
        <f>COUNTIFS(Table79[Country],Tabela1[[#This Row],[Country]],Table79[Mixed Classification],"&gt;0")</f>
        <v>0</v>
      </c>
      <c r="LD45" s="6">
        <f>COUNTIFS(Table65[Country],Tabela1[[#This Row],[Country]],Table65[Classification],"&gt;0")</f>
        <v>0</v>
      </c>
      <c r="LE45" s="6">
        <f>COUNTIFS(Table59[Country],Tabela1[[#This Row],[Country]],Table59[Classification],"&gt;0")</f>
        <v>0</v>
      </c>
      <c r="LF45" s="6">
        <f>COUNTIFS(Table87[Country],Tabela1[[#This Row],[Country]],Table87[Mixed Relay Classification],"&gt;0")</f>
        <v>0</v>
      </c>
      <c r="LG45" s="6">
        <f>COUNTIFS(Table91949698100[Country],Tabela1[[#This Row],[Country]],Table91949698100[Men''s Classification],"&gt;0")</f>
        <v>1</v>
      </c>
      <c r="LH45" s="6">
        <f>COUNTIFS(Table91949698100[Country],Tabela1[[#This Row],[Country]],Table91949698100[Women''s Classification],"&gt;0")</f>
        <v>1</v>
      </c>
      <c r="LI45" s="6">
        <f>COUNTIFS(Table91949698100102[Country],Tabela1[[#This Row],[Country]],Table91949698100102[Men''s Classification],"&gt;0")</f>
        <v>0</v>
      </c>
      <c r="LJ45" s="6">
        <f>COUNTIFS(Table91949698100102[Country],Tabela1[[#This Row],[Country]],Table91949698100102[Women''s Classification],"&gt;0")</f>
        <v>0</v>
      </c>
      <c r="LK45" s="6">
        <f>COUNTIFS(Table23[Country],Tabela1[[#This Row],[Country]],Table23[61kg Classification],"&gt;0")</f>
        <v>0</v>
      </c>
      <c r="LL45" s="6">
        <f>COUNTIFS(Table23[Country],Tabela1[[#This Row],[Country]],Table23[73kg Classification],"&gt;0")</f>
        <v>0</v>
      </c>
      <c r="LM45" s="6">
        <f>COUNTIFS(Table23[Country],Tabela1[[#This Row],[Country]],Table23[89kg Classification],"&gt;0")</f>
        <v>0</v>
      </c>
      <c r="LN45" s="6">
        <f>COUNTIFS(Table23[Country],Tabela1[[#This Row],[Country]],Table23[102kg Classification],"&gt;0")</f>
        <v>0</v>
      </c>
      <c r="LO45" s="6">
        <f>COUNTIFS(Table23[Country],Tabela1[[#This Row],[Country]],Table23[Plus 102kg Classification],"&gt;0")</f>
        <v>0</v>
      </c>
      <c r="LP45" s="6">
        <f>COUNTIFS(Table28[Country],Tabela1[[#This Row],[Country]],Table28[49kg Classification],"&gt;0")</f>
        <v>0</v>
      </c>
      <c r="LQ45" s="6">
        <f>COUNTIFS(Table28[Country],Tabela1[[#This Row],[Country]],Table28[59kg Classification],"&gt;0")</f>
        <v>0</v>
      </c>
      <c r="LR45" s="6">
        <f>COUNTIFS(Table28[Country],Tabela1[[#This Row],[Country]],Table28[71kg Classification],"&gt;0")</f>
        <v>0</v>
      </c>
      <c r="LS45" s="6">
        <f>COUNTIFS(Table28[Country],Tabela1[[#This Row],[Country]],Table28[81kg Classification],"&gt;0")</f>
        <v>0</v>
      </c>
      <c r="LT45" s="6">
        <f>COUNTIFS(Table28[Country],Tabela1[[#This Row],[Country]],Table28[Plus 81kg Classification],"&gt;0")</f>
        <v>0</v>
      </c>
      <c r="LU45" s="6">
        <f>COUNTIFS(Table24[Country],Tabela1[[#This Row],[Country]],Table24[Freestyle 57kg Classification],"&gt;0")</f>
        <v>0</v>
      </c>
      <c r="LV45" s="6">
        <f>COUNTIFS(Table24[Country],Tabela1[[#This Row],[Country]],Table24[Freestyle 65kg Classification],"&gt;0")</f>
        <v>0</v>
      </c>
      <c r="LW45" s="6">
        <f>COUNTIFS(Table24[Country],Tabela1[[#This Row],[Country]],Table24[Freestyle 74kg Classification],"&gt;0")</f>
        <v>0</v>
      </c>
      <c r="LX45" s="6">
        <f>COUNTIFS(Table24[Country],Tabela1[[#This Row],[Country]],Table24[Freestyle 86kg Classification],"&gt;0")</f>
        <v>0</v>
      </c>
      <c r="LY45" s="6">
        <f>COUNTIFS(Table24[Country],Tabela1[[#This Row],[Country]],Table24[Freestyle 97kg Classification],"&gt;0")</f>
        <v>0</v>
      </c>
      <c r="LZ45" s="6">
        <f>COUNTIFS(Table24[Country],Tabela1[[#This Row],[Country]],Table24[Freestyle 125kg Classification],"&gt;0")</f>
        <v>0</v>
      </c>
      <c r="MA45" s="6">
        <f>COUNTIFS(Table24[Country],Tabela1[[#This Row],[Country]],Table24[Greco-Roman 60kg Classification],"&gt;0")</f>
        <v>0</v>
      </c>
      <c r="MB45" s="6">
        <f>COUNTIFS(Table24[Country],Tabela1[[#This Row],[Country]],Table24[Greco-Roman 67kg Classification],"&gt;0")</f>
        <v>0</v>
      </c>
      <c r="MC45" s="6">
        <f>COUNTIFS(Table24[Country],Tabela1[[#This Row],[Country]],Table24[Greco-Roman 77kg Classification],"&gt;0")</f>
        <v>0</v>
      </c>
      <c r="MD45" s="6">
        <f>COUNTIFS(Table24[Country],Tabela1[[#This Row],[Country]],Table24[Greco-Roman 87kg Classification],"&gt;0")</f>
        <v>0</v>
      </c>
      <c r="ME45" s="6">
        <f>COUNTIFS(Table24[Country],Tabela1[[#This Row],[Country]],Table24[Greco-Roman 97kg Classification],"&gt;0")</f>
        <v>0</v>
      </c>
      <c r="MF45" s="6">
        <f>COUNTIFS(Table24[Country],Tabela1[[#This Row],[Country]],Table24[Greco-Roman 130kg Classification],"&gt;0")</f>
        <v>0</v>
      </c>
      <c r="MG45" s="6">
        <f>COUNTIFS(Table31[Country],Tabela1[[#This Row],[Country]],Table31[50kg Classification],"&gt;0")</f>
        <v>0</v>
      </c>
      <c r="MH45" s="6">
        <f>COUNTIFS(Table31[Country],Tabela1[[#This Row],[Country]],Table31[53kg Classification],"&gt;0")</f>
        <v>0</v>
      </c>
      <c r="MI45" s="6">
        <f>COUNTIFS(Table31[Country],Tabela1[[#This Row],[Country]],Table31[57kg Classification],"&gt;0")</f>
        <v>0</v>
      </c>
      <c r="MJ45" s="6">
        <f>COUNTIFS(Table31[Country],Tabela1[[#This Row],[Country]],Table31[62kg Classification],"&gt;0")</f>
        <v>0</v>
      </c>
      <c r="MK45" s="6">
        <f>COUNTIFS(Table31[Country],Tabela1[[#This Row],[Country]],Table31[68kg Classification],"&gt;0")</f>
        <v>0</v>
      </c>
      <c r="ML45" s="6">
        <f>COUNTIFS(Table31[Country],Tabela1[[#This Row],[Country]],Table31[76kg Classification],"&gt;0")</f>
        <v>0</v>
      </c>
      <c r="MM45" s="6">
        <f>COUNTIFS(Table102[Country],Tabela1[[#This Row],[Country]],Table102[Downhill Classification],"&gt;0")</f>
        <v>0</v>
      </c>
      <c r="MN45" s="6">
        <f>COUNTIFS(Table102105[Country],Tabela1[[#This Row],[Country]],Table102105[Downhill Classification],"&gt;0")</f>
        <v>0</v>
      </c>
      <c r="MO45" s="6">
        <f>COUNTIFS(Table102[Country],Tabela1[[#This Row],[Country]],Table102[Giant Slalom Classification],"&gt;0")</f>
        <v>0</v>
      </c>
      <c r="MP45" s="6">
        <f>COUNTIFS(Table102105[Country],Tabela1[[#This Row],[Country]],Table102105[Giant Slalom Classification],"&gt;0")</f>
        <v>0</v>
      </c>
      <c r="MQ45" s="6">
        <f>COUNTIFS(Table102[Country],Tabela1[[#This Row],[Country]],Table102[Slalom Classification],"&gt;0")</f>
        <v>0</v>
      </c>
      <c r="MR45" s="6">
        <f>COUNTIFS(Table102105[Country],Tabela1[[#This Row],[Country]],Table102105[Slalom Classification],"&gt;0")</f>
        <v>0</v>
      </c>
      <c r="MS45" s="6">
        <f>COUNTIFS(Table102[Country],Tabela1[[#This Row],[Country]],Table102[Super-G Classification],"&gt;0")</f>
        <v>0</v>
      </c>
      <c r="MT45" s="6">
        <f>COUNTIFS(Table102105[Country],Tabela1[[#This Row],[Country]],Table102105[Super-G Classification],"&gt;0")</f>
        <v>0</v>
      </c>
      <c r="MU45" s="6">
        <f>COUNTIFS(Table105[Country],Tabela1[[#This Row],[Country]],Table105[Men''s Combined Classification],"&gt;0")</f>
        <v>0</v>
      </c>
      <c r="MV45" s="6">
        <f>COUNTIFS(Table105[Country],Tabela1[[#This Row],[Country]],Table105[Women''s Combined Classification],"&gt;0")</f>
        <v>0</v>
      </c>
      <c r="MW45" s="6">
        <f>COUNTIFS(Table106[Country],Tabela1[[#This Row],[Country]],Table106[Individual Classification],"&gt;0")</f>
        <v>0</v>
      </c>
      <c r="MX45" s="6">
        <f>COUNTIFS(Table106109[Country],Tabela1[[#This Row],[Country]],Table106109[Individual Classification],"&gt;0")</f>
        <v>0</v>
      </c>
      <c r="MY45" s="6">
        <f>COUNTIFS(Table106[Country],Tabela1[[#This Row],[Country]],Table106[Mass Start Classification],"&gt;0")</f>
        <v>0</v>
      </c>
      <c r="MZ45" s="6">
        <f>COUNTIFS(Table106109[Country],Tabela1[[#This Row],[Country]],Table106109[Mass Start Classification],"&gt;0")</f>
        <v>0</v>
      </c>
      <c r="NA45" s="6">
        <f>COUNTIFS(Table106[Country],Tabela1[[#This Row],[Country]],Table106[Pursuit Classification],"&gt;0")</f>
        <v>0</v>
      </c>
      <c r="NB45" s="6">
        <f>COUNTIFS(Table106109[Country],Tabela1[[#This Row],[Country]],Table106109[Pursuit Classification],"&gt;0")</f>
        <v>0</v>
      </c>
      <c r="NC45" s="6">
        <f>COUNTIFS(Table106[Country],Tabela1[[#This Row],[Country]],Table106[Sprint Classification],"&gt;0")</f>
        <v>0</v>
      </c>
      <c r="ND45" s="6">
        <f>COUNTIFS(Table106109[Country],Tabela1[[#This Row],[Country]],Table106109[Sprint Classification],"&gt;0")</f>
        <v>0</v>
      </c>
      <c r="NE45" s="6">
        <f>COUNTIFS(Table109[Country],Tabela1[[#This Row],[Country]],Table109[Men''s Relay Classification],"&gt;0")</f>
        <v>0</v>
      </c>
      <c r="NF45" s="6">
        <f>COUNTIFS(Table109[Country],Tabela1[[#This Row],[Country]],Table109[Women''s Relay Classification],"&gt;0")</f>
        <v>0</v>
      </c>
      <c r="NG45" s="6">
        <f>COUNTIFS(Table109[Country],Tabela1[[#This Row],[Country]],Table109[Mixed Relay Classification],"&gt;0")</f>
        <v>0</v>
      </c>
      <c r="NH45" s="6">
        <f>COUNTIFS(Table110[Country],Tabela1[[#This Row],[Country]],Table110[Monobob Classification],"&gt;0")</f>
        <v>0</v>
      </c>
      <c r="NI45" s="6">
        <f>COUNTIFS(Table111[Country],Tabela1[[#This Row],[Country]],Table111[Men''s Classification],"&gt;0")</f>
        <v>0</v>
      </c>
      <c r="NJ45" s="6">
        <f>COUNTIFS(Table111[Country],Tabela1[[#This Row],[Country]],Table111[Women''s Classification],"&gt;0")</f>
        <v>0</v>
      </c>
      <c r="NK45" s="6">
        <f>COUNTIFS(Table112[Country],Tabela1[[#This Row],[Country]],Table112[Men''s Four Classification],"&gt;0")</f>
        <v>0</v>
      </c>
      <c r="NL45" s="6">
        <f>COUNTIFS(Table113[Country],Tabela1[[#This Row],[Country]],Table113[Classical Classification],"&gt;0")</f>
        <v>0</v>
      </c>
      <c r="NM45" s="6">
        <f>COUNTIFS(Table113116[Country],Tabela1[[#This Row],[Country]],Table113116[Classical Classification],"&gt;0")</f>
        <v>0</v>
      </c>
      <c r="NN45" s="6">
        <f>COUNTIFS(Table113[Country],Tabela1[[#This Row],[Country]],Table113[Freestyle Classification],"&gt;0")</f>
        <v>1</v>
      </c>
      <c r="NO45" s="6">
        <f>COUNTIFS(Table113116[Country],Tabela1[[#This Row],[Country]],Table113116[Freestyle Classification],"&gt;0")</f>
        <v>0</v>
      </c>
      <c r="NP45" s="6">
        <f>COUNTIFS(Table117[Country],Tabela1[[#This Row],[Country]],Table117[Men''s Relay Classification],"&gt;0")</f>
        <v>0</v>
      </c>
      <c r="NQ45" s="6">
        <f>COUNTIFS(Table117[Country],Tabela1[[#This Row],[Country]],Table117[Women''s Relay Classification],"&gt;0")</f>
        <v>0</v>
      </c>
      <c r="NR45" s="6">
        <f>COUNTIFS(Table113[Country],Tabela1[[#This Row],[Country]],Table113[Skiathlon Classification],"&gt;0")</f>
        <v>0</v>
      </c>
      <c r="NS45" s="6">
        <f>COUNTIFS(Table113116[Country],Tabela1[[#This Row],[Country]],Table113116[Skiathlon Classification],"&gt;0")</f>
        <v>0</v>
      </c>
      <c r="NT45" s="6">
        <f>COUNTIFS(Table113[Country],Tabela1[[#This Row],[Country]],Table113[Sprint Classification],"&gt;0")</f>
        <v>1</v>
      </c>
      <c r="NU45" s="6">
        <f>COUNTIFS(Table113116[Country],Tabela1[[#This Row],[Country]],Table113116[Sprint Classification],"&gt;0")</f>
        <v>0</v>
      </c>
      <c r="NV45" s="6">
        <f>COUNTIFS(Table116[Country],Tabela1[[#This Row],[Country]],Table116[Men''s Team Sprint Classification],"&gt;0")</f>
        <v>0</v>
      </c>
      <c r="NW45" s="6">
        <f>COUNTIFS(Table116[Country],Tabela1[[#This Row],[Country]],Table116[Women''s Team Sprint Classification],"&gt;0")</f>
        <v>0</v>
      </c>
      <c r="NX45" s="6">
        <f>COUNTIFS(Table119[Country],Tabela1[[#This Row],[Country]],Table119[Men''s Classification],"&gt;0")</f>
        <v>0</v>
      </c>
      <c r="NY45" s="6">
        <f>COUNTIFS(Table119[Country],Tabela1[[#This Row],[Country]],Table119[Women''s Classification],"&gt;0")</f>
        <v>0</v>
      </c>
      <c r="NZ45" s="6">
        <f>COUNTIFS(Table118[Country],Tabela1[[#This Row],[Country]],Table118[Mixed Classification],"&gt;0")</f>
        <v>0</v>
      </c>
      <c r="OA45" s="6">
        <f>COUNTIFS(Table120[Country],Tabela1[[#This Row],[Country]],Table120[Classification],"&gt;0")</f>
        <v>0</v>
      </c>
      <c r="OB45" s="6">
        <f>COUNTIFS(Table120123[Country],Tabela1[[#This Row],[Country]],Table120123[Classification],"&gt;0")</f>
        <v>0</v>
      </c>
      <c r="OC45" s="6">
        <f>COUNTIFS(Table123[Country],Tabela1[[#This Row],[Country]],Table123[Ice Dance Classification],"&gt;0")</f>
        <v>0</v>
      </c>
      <c r="OD45" s="6">
        <f>COUNTIFS(Table123[Country],Tabela1[[#This Row],[Country]],Table123[Pair Skating Classification],"&gt;0")</f>
        <v>0</v>
      </c>
      <c r="OE45" s="6">
        <f>COUNTIFS(Table124[Country],Tabela1[[#This Row],[Country]],Table124[Mixed Classification],"&gt;0")</f>
        <v>0</v>
      </c>
      <c r="OF45" s="6">
        <f>COUNTIFS(Table125[Country],Tabela1[[#This Row],[Country]],Table125[Aerials Classification],"&gt;0")</f>
        <v>0</v>
      </c>
      <c r="OG45" s="6">
        <f>COUNTIFS(Table125128[Country],Tabela1[[#This Row],[Country]],Table125128[Aerials Classification],"&gt;0")</f>
        <v>0</v>
      </c>
      <c r="OH45" s="6">
        <f>COUNTIFS(Table128[Country],Tabela1[[#This Row],[Country]],Table128[Mixed Aerials Classification],"&gt;0")</f>
        <v>0</v>
      </c>
      <c r="OI45" s="6">
        <f>COUNTIFS(Table125[Country],Tabela1[[#This Row],[Country]],Table125[Big Air Classification],"&gt;0")</f>
        <v>0</v>
      </c>
      <c r="OJ45" s="6">
        <f>COUNTIFS(Table125128[Country],Tabela1[[#This Row],[Country]],Table125128[Big Air Classification],"&gt;0")</f>
        <v>0</v>
      </c>
      <c r="OK45" s="6">
        <f>COUNTIFS(Table125[Country],Tabela1[[#This Row],[Country]],Table125[Dual Moguls Classification],"&gt;0")</f>
        <v>0</v>
      </c>
      <c r="OL45" s="6">
        <f>COUNTIFS(Table125128[Country],Tabela1[[#This Row],[Country]],Table125128[Dual Moguls Classification],"&gt;0")</f>
        <v>0</v>
      </c>
      <c r="OM45" s="6">
        <f>COUNTIFS(Table125[Country],Tabela1[[#This Row],[Country]],Table125[Halfpipe Classification],"&gt;0")</f>
        <v>0</v>
      </c>
      <c r="ON45" s="6">
        <f>COUNTIFS(Table125128[Country],Tabela1[[#This Row],[Country]],Table125128[Halfpipe Classification],"&gt;0")</f>
        <v>0</v>
      </c>
      <c r="OO45" s="6">
        <f>COUNTIFS(Table125[Country],Tabela1[[#This Row],[Country]],Table125[Moguls Classification],"&gt;0")</f>
        <v>0</v>
      </c>
      <c r="OP45" s="6">
        <f>COUNTIFS(Table125128[Country],Tabela1[[#This Row],[Country]],Table125128[Moguls Classification],"&gt;0")</f>
        <v>0</v>
      </c>
      <c r="OQ45" s="6">
        <f>COUNTIFS(Table125[Country],Tabela1[[#This Row],[Country]],Table125[Ski Cross Classification],"&gt;0")</f>
        <v>0</v>
      </c>
      <c r="OR45" s="6">
        <f>COUNTIFS(Table125128[Country],Tabela1[[#This Row],[Country]],Table125128[Ski Cross Classification],"&gt;0")</f>
        <v>0</v>
      </c>
      <c r="OS45" s="6">
        <f>COUNTIFS(Table125[Country],Tabela1[[#This Row],[Country]],Table125[Slopestyle Classification],"&gt;0")</f>
        <v>0</v>
      </c>
      <c r="OT45" s="6">
        <f>COUNTIFS(Table125128[Country],Tabela1[[#This Row],[Country]],Table125128[Slopestyle Classification],"&gt;0")</f>
        <v>0</v>
      </c>
      <c r="OU45" s="6">
        <f>COUNTIFS(Table119131[Country],Tabela1[[#This Row],[Country]],Table119131[Men''s Classification],"&gt;0")</f>
        <v>0</v>
      </c>
      <c r="OV45" s="6">
        <f>COUNTIFS(Table119131[Country],Tabela1[[#This Row],[Country]],Table119131[Women''s Classification],"&gt;0")</f>
        <v>0</v>
      </c>
      <c r="OW45" s="6">
        <f>COUNTIFS(Table131[Country],Tabela1[[#This Row],[Country]],Table131[Classification],"&gt;0")</f>
        <v>0</v>
      </c>
      <c r="OX45" s="6">
        <f>COUNTIFS(Table131134[Country],Tabela1[[#This Row],[Country]],Table131134[Classification],"&gt;0")</f>
        <v>0</v>
      </c>
      <c r="OY45" s="6">
        <f>COUNTIFS(Table134[Country],Tabela1[[#This Row],[Country]],Table134[Men''s Classification],"&gt;0")</f>
        <v>0</v>
      </c>
      <c r="OZ45" s="6">
        <f>COUNTIFS(Table134[Country],Tabela1[[#This Row],[Country]],Table134[Women''s Classification],"&gt;0")</f>
        <v>0</v>
      </c>
      <c r="PA45" s="6">
        <f>COUNTIFS(Table135[Country],Tabela1[[#This Row],[Country]],Table135[Mixed Relay Classification],"&gt;0")</f>
        <v>0</v>
      </c>
      <c r="PB45" s="6">
        <f>COUNTIFS(Table136[Country],Tabela1[[#This Row],[Country]],Table136[Individual Classification],"&gt;0")</f>
        <v>0</v>
      </c>
      <c r="PC45" s="6">
        <f>COUNTIFS(Table136[Country],Tabela1[[#This Row],[Country]],Table136[Sprint Classification],"&gt;0")</f>
        <v>0</v>
      </c>
      <c r="PD45" s="6">
        <f>COUNTIFS(Table137[Country],Tabela1[[#This Row],[Country]],Table137[Men''s Team Sprint Large Hill Classification],"&gt;0")</f>
        <v>0</v>
      </c>
      <c r="PE45" s="6">
        <f>COUNTIFS(Table138[Country],Tabela1[[#This Row],[Country]],Table138[500m Classification],"&gt;0")</f>
        <v>0</v>
      </c>
      <c r="PF45" s="6">
        <f>COUNTIFS(Table138141[Country],Tabela1[[#This Row],[Country]],Table138141[500m Classification],"&gt;0")</f>
        <v>0</v>
      </c>
      <c r="PG45" s="6">
        <f>COUNTIFS(Table138[Country],Tabela1[[#This Row],[Country]],Table138[1000m Classification],"&gt;0")</f>
        <v>0</v>
      </c>
      <c r="PH45" s="6">
        <f>COUNTIFS(Table138141[Country],Tabela1[[#This Row],[Country]],Table138141[1000m Classification],"&gt;0")</f>
        <v>0</v>
      </c>
      <c r="PI45" s="6">
        <f>COUNTIFS(Table138[Country],Tabela1[[#This Row],[Country]],Table138[1500m Classification],"&gt;0")</f>
        <v>0</v>
      </c>
      <c r="PJ45" s="6">
        <f>COUNTIFS(Table138141[Country],Tabela1[[#This Row],[Country]],Table138141[1500m Classification],"&gt;0")</f>
        <v>0</v>
      </c>
      <c r="PK45" s="6">
        <f>COUNTIFS(Table141[Country],Tabela1[[#This Row],[Country]],Table141[Men''s 5000m Relay Classification],"&gt;0")</f>
        <v>0</v>
      </c>
      <c r="PL45" s="6">
        <f>COUNTIFS(Table141[Country],Tabela1[[#This Row],[Country]],Table141[Women''s 3000m Relay Classification],"&gt;0")</f>
        <v>0</v>
      </c>
      <c r="PM45" s="6">
        <f>COUNTIFS(Table141[Country],Tabela1[[#This Row],[Country]],Table141[Mixed 2000m Relay Classification],"&gt;0")</f>
        <v>0</v>
      </c>
      <c r="PN45" s="6">
        <f>COUNTIFS(Table142[Country],Tabela1[[#This Row],[Country]],Table142[Classification],"&gt;0")</f>
        <v>0</v>
      </c>
      <c r="PO45" s="6">
        <f>COUNTIFS(Table142145[Country],Tabela1[[#This Row],[Country]],Table142145[Classification],"&gt;0")</f>
        <v>0</v>
      </c>
      <c r="PP45" s="6">
        <f>COUNTIFS(Tabela15[Country],Tabela1[[#This Row],[Country]],Tabela15[Mixed Team Classification],"&gt;0")</f>
        <v>0</v>
      </c>
      <c r="PQ45" s="6">
        <f>COUNTIFS(Table145[Country],Tabela1[[#This Row],[Country]],Table145[Large Hill Classification],"&gt;0")</f>
        <v>0</v>
      </c>
      <c r="PR45" s="6">
        <f>COUNTIFS(Table145[Country],Tabela1[[#This Row],[Country]],Table145[Normal Hill Classification],"&gt;0")</f>
        <v>0</v>
      </c>
      <c r="PS45" s="6">
        <f>COUNTIFS(Table145148[Country],Tabela1[[#This Row],[Country]],Table145148[Large Hill Classification],"&gt;0")</f>
        <v>0</v>
      </c>
      <c r="PT45" s="6">
        <f>COUNTIFS(Table145148[Country],Tabela1[[#This Row],[Country]],Table145148[Normal Hill Classification],"&gt;0")</f>
        <v>0</v>
      </c>
      <c r="PU45" s="6">
        <f>COUNTIFS(Table148[Country],Tabela1[[#This Row],[Country]],Table148[Men''s Super Team Classification],"&gt;0")</f>
        <v>0</v>
      </c>
      <c r="PV45" s="6">
        <f>COUNTIFS(Tabela114[Country],Tabela1[[#This Row],[Country]],Tabela114[Mixed Normal Hill Classification],"&gt;0")</f>
        <v>0</v>
      </c>
      <c r="PW45" s="6">
        <f>COUNTIFS(Tabela50[Country],Tabela1[[#This Row],[Country]],Tabela50[Sprint Classification],"&gt;0")</f>
        <v>0</v>
      </c>
      <c r="PX45" s="6">
        <f>COUNTIFS(Tabela50101[Country],Tabela1[[#This Row],[Country]],Tabela50101[Sprint Classification],"&gt;0")</f>
        <v>0</v>
      </c>
      <c r="PY45" s="6">
        <f>COUNTIFS(Tabela103[Country],Tabela1[[#This Row],[Country]],Tabela103[Mixed Relay Classification],"&gt;0")</f>
        <v>0</v>
      </c>
      <c r="PZ45" s="6">
        <f>COUNTIFS(Table149[Country],Tabela1[[#This Row],[Country]],Table149[Big Air Classification],"&gt;0")</f>
        <v>0</v>
      </c>
      <c r="QA45" s="6">
        <f>COUNTIFS(Table149152[Country],Tabela1[[#This Row],[Country]],Table149152[Big Air Classification],"&gt;0")</f>
        <v>0</v>
      </c>
      <c r="QB45" s="6">
        <f>COUNTIFS(Table149[Country],Tabela1[[#This Row],[Country]],Table149[Halfpipe Classification],"&gt;0")</f>
        <v>0</v>
      </c>
      <c r="QC45" s="6">
        <f>COUNTIFS(Table149152[Country],Tabela1[[#This Row],[Country]],Table149152[Halfpipe Classification],"&gt;0")</f>
        <v>0</v>
      </c>
      <c r="QD45" s="6">
        <f>COUNTIFS(Table149[Country],Tabela1[[#This Row],[Country]],Table149[Parallel Giant Slalom Classification],"&gt;0")</f>
        <v>0</v>
      </c>
      <c r="QE45" s="6">
        <f>COUNTIFS(Table149152[Country],Tabela1[[#This Row],[Country]],Table149152[Parallel Giant Slalom Classification],"&gt;0")</f>
        <v>0</v>
      </c>
      <c r="QF45" s="6">
        <f>COUNTIFS(Table149[Country],Tabela1[[#This Row],[Country]],Table149[Slopestyle Classification],"&gt;0")</f>
        <v>0</v>
      </c>
      <c r="QG45" s="6">
        <f>COUNTIFS(Table149152[Country],Tabela1[[#This Row],[Country]],Table149152[Slopestyle Classification],"&gt;0")</f>
        <v>0</v>
      </c>
      <c r="QH45" s="6">
        <f>COUNTIFS(Table149[Country],Tabela1[[#This Row],[Country]],Table149[Snowboard Cross Classification],"&gt;0")</f>
        <v>0</v>
      </c>
      <c r="QI45" s="6">
        <f>COUNTIFS(Table149152[Country],Tabela1[[#This Row],[Country]],Table149152[Snowboard Cross Classification],"&gt;0")</f>
        <v>0</v>
      </c>
      <c r="QJ45" s="6">
        <f>COUNTIFS(Table153[Country],Tabela1[[#This Row],[Country]],Table153[Mixed Team Snowboard Cross Classification],"&gt;0")</f>
        <v>0</v>
      </c>
      <c r="QK45" s="6">
        <f>COUNTIFS(Table154[Country],Tabela1[[#This Row],[Country]],Table154[500m Classification],"&gt;0")</f>
        <v>0</v>
      </c>
      <c r="QL45" s="6">
        <f>COUNTIFS(Table154157[Country],Tabela1[[#This Row],[Country]],Table154157[500m Classification],"&gt;0")</f>
        <v>0</v>
      </c>
      <c r="QM45" s="6">
        <f>COUNTIFS(Table154[Country],Tabela1[[#This Row],[Country]],Table154[1000m Classification],"&gt;0")</f>
        <v>0</v>
      </c>
      <c r="QN45" s="6">
        <f>COUNTIFS(Table154157[Country],Tabela1[[#This Row],[Country]],Table154157[1000m Classification],"&gt;0")</f>
        <v>0</v>
      </c>
      <c r="QO45" s="6">
        <f>COUNTIFS(Table154[Country],Tabela1[[#This Row],[Country]],Table154[1500m Classification],"&gt;0")</f>
        <v>0</v>
      </c>
      <c r="QP45" s="6">
        <f>COUNTIFS(Table154157[Country],Tabela1[[#This Row],[Country]],Table154157[1500m Classification],"&gt;0")</f>
        <v>0</v>
      </c>
      <c r="QQ45" s="6">
        <f>COUNTIFS(Table154157[Country],Tabela1[[#This Row],[Country]],Table154157[3000m Classification],"&gt;0")</f>
        <v>0</v>
      </c>
      <c r="QR45" s="6">
        <f>COUNTIFS(Table154[Country],Tabela1[[#This Row],[Country]],Table154[5000m Classification],"&gt;0")</f>
        <v>0</v>
      </c>
      <c r="QS45" s="6">
        <f>COUNTIFS(Table154157[Country],Tabela1[[#This Row],[Country]],Table154157[5000m Classification],"&gt;0")</f>
        <v>0</v>
      </c>
      <c r="QT45" s="6">
        <f>COUNTIFS(Table154[Country],Tabela1[[#This Row],[Country]],Table154[10000m Classification],"&gt;0")</f>
        <v>0</v>
      </c>
      <c r="QU45" s="6">
        <f>COUNTIFS(Table154[Country],Tabela1[[#This Row],[Country]],Table154[Mass Start Classification],"&gt;0")</f>
        <v>0</v>
      </c>
      <c r="QV45" s="6">
        <f>COUNTIFS(Table154157[Country],Tabela1[[#This Row],[Country]],Table154157[Mass Start Classification],"&gt;0")</f>
        <v>0</v>
      </c>
      <c r="QW45" s="6">
        <f>COUNTIFS(Table157[Country],Tabela1[[#This Row],[Country]],Table157[Men''s Pursuit Classification],"&gt;0")</f>
        <v>0</v>
      </c>
      <c r="QX45" s="6">
        <f>COUNTIFS(Table157[Country],Tabela1[[#This Row],[Country]],Table157[Women''s Pursuit Classification],"&gt;0")</f>
        <v>0</v>
      </c>
      <c r="QY45" s="3" t="s">
        <v>691</v>
      </c>
    </row>
    <row r="46" spans="1:467" x14ac:dyDescent="0.3">
      <c r="A46" s="6">
        <v>45</v>
      </c>
      <c r="B46" s="6" t="s">
        <v>470</v>
      </c>
      <c r="C46" t="e" vm="45">
        <f>IF(ISBLANK(Tabela1[[#This Row],[Image Link]]), "", _xlfn.IMAGE(Tabela1[[#This Row],[Image Link]],1,1))</f>
        <v>#VALUE!</v>
      </c>
      <c r="D46" s="6">
        <f>SUM(Tabela1[[#This Row],[Archery - Men''s Individual Recurve]:[Speed Skating - Women''s Team Pursuit]])</f>
        <v>20</v>
      </c>
      <c r="E46" s="6">
        <f>COUNTIF(Tabela1[[#This Row],[Archery - Men''s Individual Recurve]:[Speed Skating - Women''s Team Pursuit]],"&gt;0")</f>
        <v>18</v>
      </c>
      <c r="F46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46" s="6">
        <f>SUM(Tabela1[[#This Row],[Archery - Men''s Individual Recurve]:[Wrestling - Women''s Freestyle 76kg]])</f>
        <v>20</v>
      </c>
      <c r="H46" s="6">
        <f>SUM(Tabela1[[#This Row],[Alpine Skiing - Men''s Downhill]:[Speed Skating - Women''s Team Pursuit]])</f>
        <v>0</v>
      </c>
      <c r="I46" s="6">
        <f>Tabela1[[#This Row],[Summer Gold Medals]]+Tabela1[[#This Row],[Winter Gold Medals]]</f>
        <v>2</v>
      </c>
      <c r="J46" s="6">
        <f>Tabela1[[#This Row],[Summer Silver Medals]]+Tabela1[[#This Row],[Winter Silver Medals]]</f>
        <v>1</v>
      </c>
      <c r="K46" s="6">
        <f>Tabela1[[#This Row],[Summer Bronze Medals]]+Tabela1[[#This Row],[Winter Bronze Medals]]</f>
        <v>6</v>
      </c>
      <c r="L46" s="6">
        <f>SUM(Tabela1[[#This Row],[Total Gold Medals]:[Total Bronze Medals]])</f>
        <v>9</v>
      </c>
      <c r="M46" s="6">
        <v>2</v>
      </c>
      <c r="N46" s="6">
        <v>1</v>
      </c>
      <c r="O46" s="6">
        <v>6</v>
      </c>
      <c r="P46" s="6">
        <f>SUM(Tabela1[[#This Row],[Summer Gold Medals]:[Summer Bronze Medals]])</f>
        <v>9</v>
      </c>
      <c r="Q46" s="6"/>
      <c r="R46" s="6"/>
      <c r="S46" s="6"/>
      <c r="T46" s="6">
        <f>Tabela1[[#This Row],[Winter Gold Medals]]+Tabela1[[#This Row],[Winter Silver Medals]]+Tabela1[[#This Row],[Winter Bronze Medals]]</f>
        <v>0</v>
      </c>
      <c r="U46" s="7">
        <f>Tabela1[[#This Row],[Total Medals]]/Tabela1[[#This Row],[Total Quotas]]</f>
        <v>0.45</v>
      </c>
      <c r="V46" s="6">
        <f>COUNTIFS(Table3[Country],Tabela1[[#This Row],[Country]],Table3[Recurve Classification],"&gt;0")</f>
        <v>0</v>
      </c>
      <c r="W46" s="6">
        <f>COUNTIFS(Table33[Country],Tabela1[[#This Row],[Country]],Table33[Recurve Classification],"&gt;0")</f>
        <v>0</v>
      </c>
      <c r="X46" s="6">
        <f>COUNTIFS(Table35[Country],Tabela1[[#This Row],[Country]],Table35[Men''s Team Recurve Classification],"&gt;0")</f>
        <v>0</v>
      </c>
      <c r="Y46" s="6">
        <f>COUNTIFS(Table35[Country],Tabela1[[#This Row],[Country]],Table35[Women''s Team Recurve Classification],"&gt;0")</f>
        <v>0</v>
      </c>
      <c r="Z46" s="6">
        <f>COUNTIFS(Tabela88[Country],Tabela1[[#This Row],[Country]],Tabela88[Mixed Team Recurve Classification],"&gt;0")</f>
        <v>0</v>
      </c>
      <c r="AA46" s="6">
        <f>COUNTIFS(Table36[Country],Tabela1[[#This Row],[Country]],Table36[Classification],"&gt;0")</f>
        <v>0</v>
      </c>
      <c r="AB46" s="6">
        <f>COUNTIFS(Table37[Country],Tabela1[[#This Row],[Country]],Table37[Classification],"&gt;0")</f>
        <v>0</v>
      </c>
      <c r="AC46" s="6">
        <f>COUNTIFS(Table4[Country],Tabela1[[#This Row],[Country]],Table4[100m Classification],"&gt;0")</f>
        <v>1</v>
      </c>
      <c r="AD46" s="6">
        <f>COUNTIFS(Table5[Country],Tabela1[[#This Row],[Country]],Table5[100m Classification],"&gt;0")</f>
        <v>0</v>
      </c>
      <c r="AE46" s="6">
        <f>COUNTIFS(Table4[Country],Tabela1[[#This Row],[Country]],Table4[200m Classification],"&gt;0")</f>
        <v>0</v>
      </c>
      <c r="AF46" s="6">
        <f>COUNTIFS(Table5[Country],Tabela1[[#This Row],[Country]],Table5[200m Classification],"&gt;0")</f>
        <v>0</v>
      </c>
      <c r="AG46" s="6">
        <f>COUNTIFS(Table4[Country],Tabela1[[#This Row],[Country]],Table4[400m Classification],"&gt;0")</f>
        <v>0</v>
      </c>
      <c r="AH46" s="6">
        <f>COUNTIFS(Table5[Country],Tabela1[[#This Row],[Country]],Table5[400m Classification],"&gt;0")</f>
        <v>0</v>
      </c>
      <c r="AI46" s="6">
        <f>COUNTIFS(Table4[Country],Tabela1[[#This Row],[Country]],Table4[800m Classification],"&gt;0")</f>
        <v>0</v>
      </c>
      <c r="AJ46" s="6">
        <f>COUNTIFS(Table5[Country],Tabela1[[#This Row],[Country]],Table5[800m Classification],"&gt;0")</f>
        <v>0</v>
      </c>
      <c r="AK46" s="6">
        <f>COUNTIFS(Table4[Country],Tabela1[[#This Row],[Country]],Table4[1500m Classification],"&gt;0")</f>
        <v>0</v>
      </c>
      <c r="AL46" s="6">
        <f>COUNTIFS(Table5[Country],Tabela1[[#This Row],[Country]],Table5[1500m Classification],"&gt;0")</f>
        <v>0</v>
      </c>
      <c r="AM46" s="6">
        <f>COUNTIFS(Table4[Country],Tabela1[[#This Row],[Country]],Table4[5000m Classification],"&gt;0")</f>
        <v>0</v>
      </c>
      <c r="AN46" s="6">
        <f>COUNTIFS(Table5[Country],Tabela1[[#This Row],[Country]],Table5[5000m Classification],"&gt;0")</f>
        <v>0</v>
      </c>
      <c r="AO46" s="6">
        <f>COUNTIFS(Table4[Country],Tabela1[[#This Row],[Country]],Table4[10000m Classification],"&gt;0")</f>
        <v>0</v>
      </c>
      <c r="AP46" s="6">
        <f>COUNTIFS(Table5[Country],Tabela1[[#This Row],[Country]],Table5[10000m Classification],"&gt;0")</f>
        <v>0</v>
      </c>
      <c r="AQ46" s="6">
        <f>COUNTIFS(Table4[Country],Tabela1[[#This Row],[Country]],Table4[110m Hurdles Classification],"&gt;0")</f>
        <v>0</v>
      </c>
      <c r="AR46" s="6">
        <f>COUNTIFS(Table5[Country],Tabela1[[#This Row],[Country]],Table5[100m Hurdles Classification],"&gt;0")</f>
        <v>0</v>
      </c>
      <c r="AS46" s="6">
        <f>COUNTIFS(Table4[Country],Tabela1[[#This Row],[Country]],Table4[400m Hurdles Classification],"&gt;0")</f>
        <v>0</v>
      </c>
      <c r="AT46" s="6">
        <f>COUNTIFS(Table5[Country],Tabela1[[#This Row],[Country]],Table5[400m Hurdles Classification],"&gt;0")</f>
        <v>0</v>
      </c>
      <c r="AU46" s="6">
        <f>COUNTIFS(Table4[Country],Tabela1[[#This Row],[Country]],Table4[3000m Steeplechase Classification],"&gt;0")</f>
        <v>0</v>
      </c>
      <c r="AV46" s="6">
        <f>COUNTIFS(Table5[Country],Tabela1[[#This Row],[Country]],Table5[3000m Steeplechase Classification],"&gt;0")</f>
        <v>0</v>
      </c>
      <c r="AW46" s="6">
        <f>COUNTIFS(Table27[Country],Tabela1[[#This Row],[Country]],Table27[Men''s 4x100m Relay Classification],"&gt;0")</f>
        <v>0</v>
      </c>
      <c r="AX46" s="6">
        <f>COUNTIFS(Table27[Country],Tabela1[[#This Row],[Country]],Table27[Women''s 4x100m Relay Classification],"&gt;0")</f>
        <v>0</v>
      </c>
      <c r="AY46" s="6">
        <f>COUNTIFS(Table27[Country],Tabela1[[#This Row],[Country]],Table27[Men''s 4x400m Relay Classification],"&gt;0")</f>
        <v>0</v>
      </c>
      <c r="AZ46" s="6">
        <f>COUNTIFS(Table27[Country],Tabela1[[#This Row],[Country]],Table27[Women''s 4x400m Relay Classification],"&gt;0")</f>
        <v>0</v>
      </c>
      <c r="BA46" s="6">
        <f>COUNTIFS(Table27[Country],Tabela1[[#This Row],[Country]],Table27[Mixed 4x400m Relay Classification],"&gt;0")</f>
        <v>0</v>
      </c>
      <c r="BB46" s="6">
        <f>COUNTIFS(Table4[Country],Tabela1[[#This Row],[Country]],Table4[Marathon Classification],"&gt;0")</f>
        <v>0</v>
      </c>
      <c r="BC46" s="6">
        <f>COUNTIFS(Table5[Country],Tabela1[[#This Row],[Country]],Table5[Marathon Classification],"&gt;0")</f>
        <v>0</v>
      </c>
      <c r="BD46" s="6">
        <f>COUNTIFS(Table4[Country],Tabela1[[#This Row],[Country]],Table4[20km Race Walk Classification],"&gt;0")</f>
        <v>0</v>
      </c>
      <c r="BE46" s="6">
        <f>COUNTIFS(Table5[Country],Tabela1[[#This Row],[Country]],Table5[20km Race Walk Classification],"&gt;0")</f>
        <v>0</v>
      </c>
      <c r="BF46" s="6">
        <f>COUNTIFS(Tabela96[Country],Tabela1[[#This Row],[Country]],Tabela96[Mixed Marathon Race Walk Relay Classification],"&gt;0")</f>
        <v>0</v>
      </c>
      <c r="BG46" s="6">
        <f>COUNTIFS(Table4[Country],Tabela1[[#This Row],[Country]],Table4[Discus Throw Classification],"&gt;0")</f>
        <v>0</v>
      </c>
      <c r="BH46" s="6">
        <f>COUNTIFS(Table5[Country],Tabela1[[#This Row],[Country]],Table5[Discus Throw Classification],"&gt;0")</f>
        <v>0</v>
      </c>
      <c r="BI46" s="6">
        <f>COUNTIFS(Table4[Country],Tabela1[[#This Row],[Country]],Table4[Hammer Throw Classification],"&gt;0")</f>
        <v>0</v>
      </c>
      <c r="BJ46" s="6">
        <f>COUNTIFS(Table5[Country],Tabela1[[#This Row],[Country]],Table5[Hammer Throw Classification],"&gt;0")</f>
        <v>0</v>
      </c>
      <c r="BK46" s="6">
        <f>COUNTIFS(Table4[Country],Tabela1[[#This Row],[Country]],Table4[High Jump Classification],"&gt;0")</f>
        <v>0</v>
      </c>
      <c r="BL46" s="6">
        <f>COUNTIFS(Table5[Country],Tabela1[[#This Row],[Country]],Table5[High Jump Classification],"&gt;0")</f>
        <v>0</v>
      </c>
      <c r="BM46" s="6">
        <f>COUNTIFS(Table4[Country],Tabela1[[#This Row],[Country]],Table4[Javelin Throw Classification],"&gt;0")</f>
        <v>0</v>
      </c>
      <c r="BN46" s="6">
        <f>COUNTIFS(Table5[Country],Tabela1[[#This Row],[Country]],Table5[Javelin Throw Classification],"&gt;0")</f>
        <v>0</v>
      </c>
      <c r="BO46" s="6">
        <f>COUNTIFS(Table4[Country],Tabela1[[#This Row],[Country]],Table4[Long Jump Classification],"&gt;0")</f>
        <v>0</v>
      </c>
      <c r="BP46" s="6">
        <f>COUNTIFS(Table5[Country],Tabela1[[#This Row],[Country]],Table5[Long Jump Classification],"&gt;0")</f>
        <v>0</v>
      </c>
      <c r="BQ46" s="6">
        <f>COUNTIFS(Table4[Country],Tabela1[[#This Row],[Country]],Table4[Pole Vault Classification],"&gt;0")</f>
        <v>0</v>
      </c>
      <c r="BR46" s="6">
        <f>COUNTIFS(Table5[Country],Tabela1[[#This Row],[Country]],Table5[Pole Vault Classification],"&gt;0")</f>
        <v>0</v>
      </c>
      <c r="BS46" s="6">
        <f>COUNTIFS(Table4[Country],Tabela1[[#This Row],[Country]],Table4[Shot Put Classification],"&gt;0")</f>
        <v>0</v>
      </c>
      <c r="BT46" s="6">
        <f>COUNTIFS(Table5[Country],Tabela1[[#This Row],[Country]],Table5[Shot Put Classification],"&gt;0")</f>
        <v>0</v>
      </c>
      <c r="BU46" s="6">
        <f>COUNTIFS(Table4[Country],Tabela1[[#This Row],[Country]],Table4[Triple Jump Classification],"&gt;0")</f>
        <v>2</v>
      </c>
      <c r="BV46" s="6">
        <f>COUNTIFS(Table5[Country],Tabela1[[#This Row],[Country]],Table5[Triple Jump Classification],"&gt;0")</f>
        <v>0</v>
      </c>
      <c r="BW46" s="6">
        <f>COUNTIFS(Table4[Country],Tabela1[[#This Row],[Country]],Table4[Decathlon Classification],"&gt;0")</f>
        <v>0</v>
      </c>
      <c r="BX46" s="6">
        <f>COUNTIFS(Table5[Country],Tabela1[[#This Row],[Country]],Table5[Heptathlon Classification],"&gt;0")</f>
        <v>0</v>
      </c>
      <c r="BY46" s="6">
        <f>COUNTIFS(Table61[Country],Tabela1[[#This Row],[Country]],Table61[Classification],"&gt;0")</f>
        <v>0</v>
      </c>
      <c r="BZ46" s="6">
        <f>COUNTIFS(Table38[Country],Tabela1[[#This Row],[Country]],Table38[Classification],"&gt;0")</f>
        <v>0</v>
      </c>
      <c r="CA46" s="6">
        <f>COUNTIFS(Table39[Country],Tabela1[[#This Row],[Country]],Table39[Men''s Classification],"&gt;0")</f>
        <v>0</v>
      </c>
      <c r="CB46" s="6">
        <f>COUNTIFS(Table39[Country],Tabela1[[#This Row],[Country]],Table39[Women''s Classification],"&gt;0")</f>
        <v>0</v>
      </c>
      <c r="CC46" s="6">
        <f>COUNTIFS(Table39[Country],Tabela1[[#This Row],[Country]],Table39[Mixed Classification],"&gt;0")</f>
        <v>0</v>
      </c>
      <c r="CD46" s="6">
        <f>COUNTIFS(Table89[Country],Tabela1[[#This Row],[Country]],Table89[Men''s Classification],"&gt;0")</f>
        <v>0</v>
      </c>
      <c r="CE46" s="6">
        <f>COUNTIFS(Table89[Country],Tabela1[[#This Row],[Country]],Table89[Women''s Classification],"&gt;0")</f>
        <v>0</v>
      </c>
      <c r="CF46" s="6">
        <f>COUNTIFS(Table90[Country],Tabela1[[#This Row],[Country]],Table90[Men''s Classification],"&gt;0")</f>
        <v>0</v>
      </c>
      <c r="CG46" s="6">
        <f>COUNTIFS(Table90[Country],Tabela1[[#This Row],[Country]],Table90[Women''s Classification],"&gt;0")</f>
        <v>0</v>
      </c>
      <c r="CH46" s="6">
        <f>COUNTIFS(Table60[Country],Tabela1[[#This Row],[Country]],Table60[Men''s Classification],"&gt;0")</f>
        <v>1</v>
      </c>
      <c r="CI46" s="6">
        <f>COUNTIFS(Table60[Country],Tabela1[[#This Row],[Country]],Table60[Women''s Classification],"&gt;0")</f>
        <v>0</v>
      </c>
      <c r="CJ46" s="6">
        <f>COUNTIFS(Table6[Country],Tabela1[[#This Row],[Country]],Table6[51kg Classification],"&gt;0")</f>
        <v>0</v>
      </c>
      <c r="CK46" s="6">
        <f>COUNTIFS(Table6[Country],Tabela1[[#This Row],[Country]],Table6[57kg Classification],"&gt;0")</f>
        <v>0</v>
      </c>
      <c r="CL46" s="6">
        <f>COUNTIFS(Table6[Country],Tabela1[[#This Row],[Country]],Table6[63.5kg Classification],"&gt;0")</f>
        <v>0</v>
      </c>
      <c r="CM46" s="6">
        <f>COUNTIFS(Table6[Country],Tabela1[[#This Row],[Country]],Table6[71kg Classification],"&gt;0")</f>
        <v>0</v>
      </c>
      <c r="CN46" s="6">
        <f>COUNTIFS(Table6[Country],Tabela1[[#This Row],[Country]],Table6[80kg Classification],"&gt;0")</f>
        <v>0</v>
      </c>
      <c r="CO46" s="6">
        <f>COUNTIFS(Table6[Country],Tabela1[[#This Row],[Country]],Table6[92kg Classification],"&gt;0")</f>
        <v>0</v>
      </c>
      <c r="CP46" s="6">
        <f>COUNTIFS(Table6[Country],Tabela1[[#This Row],[Country]],Table6[Plus 92kg Classification],"&gt;0")</f>
        <v>0</v>
      </c>
      <c r="CQ46" s="6">
        <f>COUNTIFS(Table7[Country],Tabela1[[#This Row],[Country]],Table7[50kg Classification],"&gt;0")</f>
        <v>0</v>
      </c>
      <c r="CR46" s="6">
        <f>COUNTIFS(Table7[Country],Tabela1[[#This Row],[Country]],Table7[54kg Classification],"&gt;0")</f>
        <v>0</v>
      </c>
      <c r="CS46" s="6">
        <f>COUNTIFS(Table7[Country],Tabela1[[#This Row],[Country]],Table7[57kg Classification],"&gt;0")</f>
        <v>0</v>
      </c>
      <c r="CT46" s="6">
        <f>COUNTIFS(Table7[Country],Tabela1[[#This Row],[Country]],Table7[60kg Classification],"&gt;0")</f>
        <v>0</v>
      </c>
      <c r="CU46" s="6">
        <f>COUNTIFS(Table7[Country],Tabela1[[#This Row],[Country]],Table7[66kg Classification],"&gt;0")</f>
        <v>0</v>
      </c>
      <c r="CV46" s="6">
        <f>COUNTIFS(Table7[Country],Tabela1[[#This Row],[Country]],Table7[75kg Classification],"&gt;0")</f>
        <v>0</v>
      </c>
      <c r="CW46" s="6">
        <f>COUNTIFS(Tabela94[Country],Tabela1[[#This Row],[Country]],Tabela94[Classification],"&gt;0")</f>
        <v>0</v>
      </c>
      <c r="CX46" s="6">
        <f>COUNTIFS(Tabela9499[Country],Tabela1[[#This Row],[Country]],Tabela9499[Classification],"&gt;0")</f>
        <v>0</v>
      </c>
      <c r="CY46" s="6">
        <f>COUNTIFS(Tabela107[Country],Tabela1[[#This Row],[Country]],Tabela107[C1 Slalom Classification],"&gt;0")</f>
        <v>0</v>
      </c>
      <c r="CZ46" s="6">
        <f>COUNTIFS(Tabela107122[Country],Tabela1[[#This Row],[Country]],Tabela107122[C1 Slalom Classification],"&gt;0")</f>
        <v>0</v>
      </c>
      <c r="DA46" s="6">
        <f>COUNTIFS(Tabela107[Country],Tabela1[[#This Row],[Country]],Tabela107[K1 Slalom Classification],"&gt;0")</f>
        <v>0</v>
      </c>
      <c r="DB46" s="6">
        <f>COUNTIFS(Tabela107122[Country],Tabela1[[#This Row],[Country]],Tabela107122[K1 Slalom Classification],"&gt;0")</f>
        <v>0</v>
      </c>
      <c r="DC46" s="6">
        <f>COUNTIFS(Tabela107[Country],Tabela1[[#This Row],[Country]],Tabela107[Kayak Cross Slalom Classification],"&gt;0")</f>
        <v>0</v>
      </c>
      <c r="DD46" s="6">
        <f>COUNTIFS(Tabela107122[Country],Tabela1[[#This Row],[Country]],Tabela107122[Kayak Cross Slalom Classification],"&gt;0")</f>
        <v>0</v>
      </c>
      <c r="DE46" s="6">
        <f>COUNTIFS(Table8[Country],Tabela1[[#This Row],[Country]],Table8[C1 200m Classification],"&gt;0")</f>
        <v>0</v>
      </c>
      <c r="DF46" s="6">
        <f>COUNTIFS(Table40[Country],Tabela1[[#This Row],[Country]],Table40[C1 1000m Classification],"&gt;0")</f>
        <v>0</v>
      </c>
      <c r="DG46" s="6">
        <f>COUNTIFS(Table68[Country],Tabela1[[#This Row],[Country]],Table68[Men''s C2 500m Classification],"&gt;0")</f>
        <v>0</v>
      </c>
      <c r="DH46" s="6">
        <f>COUNTIFS(Table68[Country],Tabela1[[#This Row],[Country]],Table68[Women''s C2 500m Classification],"&gt;0")</f>
        <v>0</v>
      </c>
      <c r="DI46" s="6">
        <f>COUNTIFS(Table8[Country],Tabela1[[#This Row],[Country]],Table8[K1 500m Classification],"&gt;0")</f>
        <v>0</v>
      </c>
      <c r="DJ46" s="6">
        <f>COUNTIFS(Table40[Country],Tabela1[[#This Row],[Country]],Table40[K1 1000m Classification],"&gt;0")</f>
        <v>0</v>
      </c>
      <c r="DK46" s="6">
        <f>COUNTIFS(Table68[Country],Tabela1[[#This Row],[Country]],Table68[Men''s K2 500m Classification],"&gt;0")</f>
        <v>0</v>
      </c>
      <c r="DL46" s="6">
        <f>COUNTIFS(Table68[Country],Tabela1[[#This Row],[Country]],Table68[Women''s K2 500m Classification],"&gt;0")</f>
        <v>0</v>
      </c>
      <c r="DM46" s="6">
        <f>COUNTIFS(Table83[Country],Tabela1[[#This Row],[Country]],Table83[Men''s K4 500m Classification],"&gt;0")</f>
        <v>0</v>
      </c>
      <c r="DN46" s="6">
        <f>COUNTIFS(Table83[Country],Tabela1[[#This Row],[Country]],Table83[Women''s K4 500m Classification],"&gt;0")</f>
        <v>0</v>
      </c>
      <c r="DO46" s="6">
        <f>COUNTIFS(Tabela126[Country],Tabela1[[#This Row],[Country]],Tabela126[Classification],"&gt;0")</f>
        <v>0</v>
      </c>
      <c r="DP46" s="6">
        <f>COUNTIFS(Tabela126130[Country],Tabela1[[#This Row],[Country]],Tabela126130[Classification],"&gt;0")</f>
        <v>0</v>
      </c>
      <c r="DQ46" s="6">
        <f>COUNTIFS(Table70[Country],Tabela1[[#This Row],[Country]],Table70[Classification],"&gt;0")</f>
        <v>0</v>
      </c>
      <c r="DR46" s="6">
        <f>COUNTIFS(Table80[Country],Tabela1[[#This Row],[Country]],Table80[Classification],"&gt;0")</f>
        <v>0</v>
      </c>
      <c r="DS46" s="6">
        <f>COUNTIFS(Table66[Country],Tabela1[[#This Row],[Country]],Table66[Classification],"&gt;0")</f>
        <v>0</v>
      </c>
      <c r="DT46" s="6">
        <f>COUNTIFS(Table67[Country],Tabela1[[#This Row],[Country]],Table67[Classification],"&gt;0")</f>
        <v>0</v>
      </c>
      <c r="DU46" s="6">
        <f>COUNTIFS(Table69[Country],Tabela1[[#This Row],[Country]],Table69[Keirin Classification],"&gt;0")</f>
        <v>0</v>
      </c>
      <c r="DV46" s="6">
        <f>COUNTIFS(Table41[Country],Tabela1[[#This Row],[Country]],Table41[Keirin Classification],"&gt;0")</f>
        <v>0</v>
      </c>
      <c r="DW46" s="6">
        <f>COUNTIFS(Table84[Country],Tabela1[[#This Row],[Country]],Table84[Men''s Madison Classification],"&gt;0")</f>
        <v>0</v>
      </c>
      <c r="DX46" s="6">
        <f>COUNTIFS(Table84[Country],Tabela1[[#This Row],[Country]],Table84[Women''s Madison Classification],"&gt;0")</f>
        <v>0</v>
      </c>
      <c r="DY46" s="6">
        <f>COUNTIFS(Table69[Country],Tabela1[[#This Row],[Country]],Table69[Omnium Classification],"&gt;0")</f>
        <v>0</v>
      </c>
      <c r="DZ46" s="6">
        <f>COUNTIFS(Table41[Country],Tabela1[[#This Row],[Country]],Table41[Omnium Classification],"&gt;0")</f>
        <v>0</v>
      </c>
      <c r="EA46" s="6">
        <f>COUNTIFS(Table9[Country],Tabela1[[#This Row],[Country]],Table9[Road Race Classification],"&gt;0")</f>
        <v>0</v>
      </c>
      <c r="EB46" s="6">
        <f>COUNTIFS(Table14[Country],Tabela1[[#This Row],[Country]],Table14[Road Race Classification],"&gt;0")</f>
        <v>1</v>
      </c>
      <c r="EC46" s="6">
        <f>COUNTIFS(Table69[Country],Tabela1[[#This Row],[Country]],Table69[Sprint Classification],"&gt;0")</f>
        <v>0</v>
      </c>
      <c r="ED46" s="6">
        <f>COUNTIFS(Table41[Country],Tabela1[[#This Row],[Country]],Table41[Sprint Classification],"&gt;0")</f>
        <v>0</v>
      </c>
      <c r="EE46" s="6">
        <f>COUNTIFS(Table85[Country],Tabela1[[#This Row],[Country]],Table85[Men''s Sprint Classification],"&gt;0")</f>
        <v>0</v>
      </c>
      <c r="EF46" s="6">
        <f>COUNTIFS(Table85[Country],Tabela1[[#This Row],[Country]],Table85[Women''s Sprint Classification],"&gt;0")</f>
        <v>0</v>
      </c>
      <c r="EG46" s="6">
        <f>COUNTIFS(Table85[Country],Tabela1[[#This Row],[Country]],Table85[Men''s Pursuit Classification],"&gt;0")</f>
        <v>0</v>
      </c>
      <c r="EH46" s="6">
        <f>COUNTIFS(Table85[Country],Tabela1[[#This Row],[Country]],Table85[Women''s Pursuit Classification],"&gt;0")</f>
        <v>0</v>
      </c>
      <c r="EI46" s="6">
        <f>COUNTIFS(Table9[Country],Tabela1[[#This Row],[Country]],Table9[Time-Trial Classification],"&gt;0")</f>
        <v>0</v>
      </c>
      <c r="EJ46" s="6">
        <f>COUNTIFS(Table14[Country],Tabela1[[#This Row],[Country]],Table14[Time-Trial Classification],"&gt;0")</f>
        <v>0</v>
      </c>
      <c r="EK46" s="6">
        <f>COUNTIFS(Table42[Country],Tabela1[[#This Row],[Country]],Table42[Springboard Classification],"&gt;0")</f>
        <v>0</v>
      </c>
      <c r="EL46" s="6">
        <f>COUNTIFS(Table43[Country],Tabela1[[#This Row],[Country]],Table43[Springboard Classification],"&gt;0")</f>
        <v>1</v>
      </c>
      <c r="EM46" s="6">
        <f>COUNTIFS(Table42[Country],Tabela1[[#This Row],[Country]],Table42[Platform Classification],"&gt;0")</f>
        <v>0</v>
      </c>
      <c r="EN46" s="6">
        <f>COUNTIFS(Table43[Country],Tabela1[[#This Row],[Country]],Table43[Platform Classification],"&gt;0")</f>
        <v>1</v>
      </c>
      <c r="EO46" s="6">
        <f>COUNTIFS(Table86[Country],Tabela1[[#This Row],[Country]],Table86[Men''s Synchronized Springboard Classification],"&gt;0")</f>
        <v>0</v>
      </c>
      <c r="EP46" s="6">
        <f>COUNTIFS(Table86[Country],Tabela1[[#This Row],[Country]],Table86[Women''s Synchronized Springboard Classification],"&gt;0")</f>
        <v>0</v>
      </c>
      <c r="EQ46" s="6">
        <f>COUNTIFS(Table86[Country],Tabela1[[#This Row],[Country]],Table86[Men''s Synchronized Platform Classification],"&gt;0")</f>
        <v>0</v>
      </c>
      <c r="ER46" s="6">
        <f>COUNTIFS(Table86[Country],Tabela1[[#This Row],[Country]],Table86[Women''s Synchronized Platform Classification],"&gt;0")</f>
        <v>0</v>
      </c>
      <c r="ES46" s="6">
        <f>COUNTIFS(Table44[Country],Tabela1[[#This Row],[Country]],Table44[Dressage Classification],"&gt;0")</f>
        <v>0</v>
      </c>
      <c r="ET46" s="6">
        <f>COUNTIFS(Table45[Country],Tabela1[[#This Row],[Country]],Table45[Dressage Classification],"&gt;0")</f>
        <v>0</v>
      </c>
      <c r="EU46" s="6">
        <f>COUNTIFS(Table44[Country],Tabela1[[#This Row],[Country]],Table44[Eventing Classification],"&gt;0")</f>
        <v>0</v>
      </c>
      <c r="EV46" s="6">
        <f>COUNTIFS(Table45[Country],Tabela1[[#This Row],[Country]],Table45[Eventing Classification],"&gt;0")</f>
        <v>0</v>
      </c>
      <c r="EW46" s="6">
        <f>COUNTIFS(Table44[Country],Tabela1[[#This Row],[Country]],Table44[Jumping Classification],"&gt;0")</f>
        <v>0</v>
      </c>
      <c r="EX46" s="6">
        <f>COUNTIFS(Table45[Country],Tabela1[[#This Row],[Country]],Table45[Jumping Classification],"&gt;0")</f>
        <v>0</v>
      </c>
      <c r="EY46" s="6">
        <f>COUNTIFS(Table10[Country],Tabela1[[#This Row],[Country]],Table10[Épée Classification],"&gt;0")</f>
        <v>0</v>
      </c>
      <c r="EZ46" s="6">
        <f>COUNTIFS(Table11[Country],Tabela1[[#This Row],[Country]],Table11[Épée Classification],"&gt;0")</f>
        <v>0</v>
      </c>
      <c r="FA46" s="6">
        <f>COUNTIFS(Table46[Country],Tabela1[[#This Row],[Country]],Table46[Men''s Épée Classification],"&gt;0")</f>
        <v>0</v>
      </c>
      <c r="FB46" s="6">
        <f>COUNTIFS(Table46[Country],Tabela1[[#This Row],[Country]],Table46[Women''s Épée Classification],"&gt;0")</f>
        <v>0</v>
      </c>
      <c r="FC46" s="6">
        <f>COUNTIFS(Table10[Country],Tabela1[[#This Row],[Country]],Table10[Foil Classification],"&gt;0")</f>
        <v>0</v>
      </c>
      <c r="FD46" s="6">
        <f>COUNTIFS(Table11[Country],Tabela1[[#This Row],[Country]],Table11[Foil Classification],"&gt;0")</f>
        <v>0</v>
      </c>
      <c r="FE46" s="6">
        <f>COUNTIFS(Table46[Country],Tabela1[[#This Row],[Country]],Table46[Men''s Foil Classification],"&gt;0")</f>
        <v>0</v>
      </c>
      <c r="FF46" s="6">
        <f>COUNTIFS(Table46[Country],Tabela1[[#This Row],[Country]],Table46[Women''s Foil Classification],"&gt;0")</f>
        <v>0</v>
      </c>
      <c r="FG46" s="6">
        <f>COUNTIFS(Table10[Country],Tabela1[[#This Row],[Country]],Table10[Sabre Classification],"&gt;0")</f>
        <v>0</v>
      </c>
      <c r="FH46" s="6">
        <f>COUNTIFS(Table11[Country],Tabela1[[#This Row],[Country]],Table11[Sabre Classification],"&gt;0")</f>
        <v>0</v>
      </c>
      <c r="FI46" s="6">
        <f>COUNTIFS(Table46[Country],Tabela1[[#This Row],[Country]],Table46[Men''s Sabre Classification],"&gt;0")</f>
        <v>0</v>
      </c>
      <c r="FJ46" s="6">
        <f>COUNTIFS(Table46[Country],Tabela1[[#This Row],[Country]],Table46[Women''s Sabre Classification],"&gt;0")</f>
        <v>0</v>
      </c>
      <c r="FK46" s="6">
        <f>COUNTIFS(Table91[Country],Tabela1[[#This Row],[Country]],Table91[Men''s Classification],"&gt;0")</f>
        <v>0</v>
      </c>
      <c r="FL46" s="6">
        <f>COUNTIFS(Table91[Country],Tabela1[[#This Row],[Country]],Table91[Women''s Classification],"&gt;0")</f>
        <v>0</v>
      </c>
      <c r="FM46" s="6">
        <f>COUNTIFS(Table9194[Country],Tabela1[[#This Row],[Country]],Table9194[Men''s Classification],"&gt;0")</f>
        <v>0</v>
      </c>
      <c r="FN46" s="6">
        <f>COUNTIFS(Table9194[Country],Tabela1[[#This Row],[Country]],Table9194[Women''s Classification],"&gt;0")</f>
        <v>0</v>
      </c>
      <c r="FO46" s="6">
        <f>COUNTIFS(Table71[Country],Tabela1[[#This Row],[Country]],Table71[Classification],"&gt;0")</f>
        <v>0</v>
      </c>
      <c r="FP46" s="6">
        <f>COUNTIFS(Table62[Country],Tabela1[[#This Row],[Country]],Table62[Classification],"&gt;0")</f>
        <v>0</v>
      </c>
      <c r="FQ46" s="6">
        <f>COUNTIFS(Table47[Country],Tabela1[[#This Row],[Country]],Table47[All-Around Classification],"&gt;0")</f>
        <v>0</v>
      </c>
      <c r="FR46" s="6">
        <f>COUNTIFS(Table48[Country],Tabela1[[#This Row],[Country]],Table48[All-Around Classification],"&gt;0")</f>
        <v>0</v>
      </c>
      <c r="FS46" s="6">
        <f>COUNTIFS(Table81[Country],Tabela1[[#This Row],[Country]],Table81[Men''s All-Around Classification],"&gt;0")</f>
        <v>0</v>
      </c>
      <c r="FT46" s="6">
        <f>COUNTIFS(Table81[Country],Tabela1[[#This Row],[Country]],Table81[Women''s All-Around Classification],"&gt;0")</f>
        <v>0</v>
      </c>
      <c r="FU46" s="6">
        <f>COUNTIFS(Table48[Country],Tabela1[[#This Row],[Country]],Table48[Balance Beam Classification],"&gt;0")</f>
        <v>0</v>
      </c>
      <c r="FV46" s="6">
        <f>COUNTIFS(Table47[Country],Tabela1[[#This Row],[Country]],Table47[Floor Exercise Classification],"&gt;0")</f>
        <v>0</v>
      </c>
      <c r="FW46" s="6">
        <f>COUNTIFS(Table48[Country],Tabela1[[#This Row],[Country]],Table48[Floor Exercise Classification],"&gt;0")</f>
        <v>0</v>
      </c>
      <c r="FX46" s="6">
        <f>COUNTIFS(Table47[Country],Tabela1[[#This Row],[Country]],Table47[Horizontal Bar Classification],"&gt;0")</f>
        <v>0</v>
      </c>
      <c r="FY46" s="6">
        <f>COUNTIFS(Table47[Country],Tabela1[[#This Row],[Country]],Table47[Parallel Bars Classification],"&gt;0")</f>
        <v>0</v>
      </c>
      <c r="FZ46" s="6">
        <f>COUNTIFS(Table47[Country],Tabela1[[#This Row],[Country]],Table47[Pommel Horse Classification],"&gt;0")</f>
        <v>0</v>
      </c>
      <c r="GA46" s="6">
        <f>COUNTIFS(Table47[Country],Tabela1[[#This Row],[Country]],Table47[Rings Classification],"&gt;0")</f>
        <v>0</v>
      </c>
      <c r="GB46" s="6">
        <f>COUNTIFS(Tabela132[Country],Tabela1[[#This Row],[Country]],Tabela132[Classification],"&gt;0")</f>
        <v>0</v>
      </c>
      <c r="GC46" s="6">
        <f>COUNTIFS(Tabela139[Country],Tabela1[[#This Row],[Country]],Tabela139[Classification],"&gt;0")</f>
        <v>0</v>
      </c>
      <c r="GD46" s="6">
        <f>COUNTIFS(Table48[Country],Tabela1[[#This Row],[Country]],Table48[Uneven Bars Classification],"&gt;0")</f>
        <v>0</v>
      </c>
      <c r="GE46" s="6">
        <f>COUNTIFS(Table47[Country],Tabela1[[#This Row],[Country]],Table47[Vault Classification],"&gt;0")</f>
        <v>0</v>
      </c>
      <c r="GF46" s="6">
        <f>COUNTIFS(Table48[Country],Tabela1[[#This Row],[Country]],Table48[Vault Classification],"&gt;0")</f>
        <v>0</v>
      </c>
      <c r="GG46" s="6">
        <f>COUNTIFS(Table919496[Country],Tabela1[[#This Row],[Country]],Table919496[Men''s Classification],"&gt;0")</f>
        <v>0</v>
      </c>
      <c r="GH46" s="6">
        <f>COUNTIFS(Table919496[Country],Tabela1[[#This Row],[Country]],Table919496[Women''s Classification],"&gt;0")</f>
        <v>0</v>
      </c>
      <c r="GI46" s="6">
        <f>COUNTIFS(Table12[Country],Tabela1[[#This Row],[Country]],Table12[60kg Classification],"&gt;0")</f>
        <v>0</v>
      </c>
      <c r="GJ46" s="6">
        <f>COUNTIFS(Table12[Country],Tabela1[[#This Row],[Country]],Table12[66kg Classification],"&gt;0")</f>
        <v>0</v>
      </c>
      <c r="GK46" s="6">
        <f>COUNTIFS(Table12[Country],Tabela1[[#This Row],[Country]],Table12[73kg Classification],"&gt;0")</f>
        <v>0</v>
      </c>
      <c r="GL46" s="6">
        <f>COUNTIFS(Table12[Country],Tabela1[[#This Row],[Country]],Table12[81kg Classification],"&gt;0")</f>
        <v>0</v>
      </c>
      <c r="GM46" s="6">
        <f>COUNTIFS(Table12[Country],Tabela1[[#This Row],[Country]],Table12[90kg Classification],"&gt;0")</f>
        <v>0</v>
      </c>
      <c r="GN46" s="6">
        <f>COUNTIFS(Table12[Country],Tabela1[[#This Row],[Country]],Table12[100kg Classification],"&gt;0")</f>
        <v>0</v>
      </c>
      <c r="GO46" s="6">
        <f>COUNTIFS(Table12[Country],Tabela1[[#This Row],[Country]],Table12[Plus 100kg Classification],"&gt;0")</f>
        <v>0</v>
      </c>
      <c r="GP46" s="6">
        <f>COUNTIFS(Table13[Country],Tabela1[[#This Row],[Country]],Table13[48kg Classification],"&gt;0")</f>
        <v>0</v>
      </c>
      <c r="GQ46" s="6">
        <f>COUNTIFS(Table13[Country],Tabela1[[#This Row],[Country]],Table13[52kg Classification],"&gt;0")</f>
        <v>0</v>
      </c>
      <c r="GR46" s="6">
        <f>COUNTIFS(Table13[Country],Tabela1[[#This Row],[Country]],Table13[57kg Classification],"&gt;0")</f>
        <v>0</v>
      </c>
      <c r="GS46" s="6">
        <f>COUNTIFS(Table13[Country],Tabela1[[#This Row],[Country]],Table13[63kg Classification],"&gt;0")</f>
        <v>0</v>
      </c>
      <c r="GT46" s="6">
        <f>COUNTIFS(Table13[Country],Tabela1[[#This Row],[Country]],Table13[70kg Classification],"&gt;0")</f>
        <v>0</v>
      </c>
      <c r="GU46" s="6">
        <f>COUNTIFS(Table13[Country],Tabela1[[#This Row],[Country]],Table13[78kg Classification],"&gt;0")</f>
        <v>0</v>
      </c>
      <c r="GV46" s="6">
        <f>COUNTIFS(Table13[Country],Tabela1[[#This Row],[Country]],Table13[Plus 78kg Classification],"&gt;0")</f>
        <v>1</v>
      </c>
      <c r="GW46" s="6">
        <f>COUNTIFS(Table82[Country],Tabela1[[#This Row],[Country]],Table82[Mixed Classification],"&gt;0")</f>
        <v>0</v>
      </c>
      <c r="GX46" s="6">
        <f>COUNTIFS(Table51[Country],Tabela1[[#This Row],[Country]],Table51[Classification],"&gt;0")</f>
        <v>1</v>
      </c>
      <c r="GY46" s="6">
        <f>COUNTIFS(Table52[Country],Tabela1[[#This Row],[Country]],Table52[Classification],"&gt;0")</f>
        <v>0</v>
      </c>
      <c r="GZ46" s="6">
        <f>COUNTIFS(Table32[Country],Tabela1[[#This Row],[Country]],Table32[All-Around Classification],"&gt;0")</f>
        <v>0</v>
      </c>
      <c r="HA46" s="6">
        <f>COUNTIFS(Table49[Country],Tabela1[[#This Row],[Country]],Table49[All-Around Classification],"&gt;0")</f>
        <v>0</v>
      </c>
      <c r="HB46" s="6">
        <f>COUNTIFS(Table26[Country],Tabela1[[#This Row],[Country]],Table26[Single Sculls Classification],"&gt;0")</f>
        <v>1</v>
      </c>
      <c r="HC46" s="6">
        <f>COUNTIFS(Table63[Country],Tabela1[[#This Row],[Country]],Table63[Single Sculls Classification],"&gt;0")</f>
        <v>0</v>
      </c>
      <c r="HD46" s="6">
        <f>COUNTIFS(Table16[Country],Tabela1[[#This Row],[Country]],Table16[Men''s Double Sculls Classification],"&gt;0")</f>
        <v>0</v>
      </c>
      <c r="HE46" s="6">
        <f>COUNTIFS(Table16[Country],Tabela1[[#This Row],[Country]],Table16[Women''s Double Sculls Classification],"&gt;0")</f>
        <v>0</v>
      </c>
      <c r="HF46" s="6">
        <f>COUNTIFS(Table72[Country],Tabela1[[#This Row],[Country]],Table72[Men''s Quadruple Sculls Classification],"&gt;0")</f>
        <v>0</v>
      </c>
      <c r="HG46" s="6">
        <f>COUNTIFS(Table72[Country],Tabela1[[#This Row],[Country]],Table72[Women''s Quadruple Sculls Classification],"&gt;0")</f>
        <v>0</v>
      </c>
      <c r="HH46" s="6">
        <f>COUNTIFS(Table16[Country],Tabela1[[#This Row],[Country]],Table16[Men''s Coxless Pairs Classification],"&gt;0")</f>
        <v>0</v>
      </c>
      <c r="HI46" s="6">
        <f>COUNTIFS(Table16[Country],Tabela1[[#This Row],[Country]],Table16[Women''s Coxless Pairs Classification],"&gt;0")</f>
        <v>0</v>
      </c>
      <c r="HJ46" s="6">
        <f>COUNTIFS(Table72[Country],Tabela1[[#This Row],[Country]],Table72[Men''s Coxless Fours Classification],"&gt;0")</f>
        <v>0</v>
      </c>
      <c r="HK46" s="6">
        <f>COUNTIFS(Table72[Country],Tabela1[[#This Row],[Country]],Table72[Women''s Coxless Fours Classification],"&gt;0")</f>
        <v>0</v>
      </c>
      <c r="HL46" s="6">
        <f>COUNTIFS(Table72[Country],Tabela1[[#This Row],[Country]],Table72[Men''s Eights Classification],"&gt;0")</f>
        <v>0</v>
      </c>
      <c r="HM46" s="6">
        <f>COUNTIFS(Table72[Country],Tabela1[[#This Row],[Country]],Table72[Women''s Eights Classification],"&gt;0")</f>
        <v>0</v>
      </c>
      <c r="HN46" s="6">
        <f>COUNTIFS(Table16[Country],Tabela1[[#This Row],[Country]],Table16[Men''s Lwt. Double Sculls Classification],"&gt;0")</f>
        <v>0</v>
      </c>
      <c r="HO46" s="6">
        <f>COUNTIFS(Table16[Country],Tabela1[[#This Row],[Country]],Table16[Women''s Lwt. Double Sculls Classification],"&gt;0")</f>
        <v>0</v>
      </c>
      <c r="HP46" s="6">
        <f>COUNTIFS(Table91949698[Country],Tabela1[[#This Row],[Country]],Table91949698[Men''s Classification],"&gt;0")</f>
        <v>0</v>
      </c>
      <c r="HQ46" s="6">
        <f>COUNTIFS(Table91949698[Country],Tabela1[[#This Row],[Country]],Table91949698[Women''s Classification],"&gt;0")</f>
        <v>0</v>
      </c>
      <c r="HR46" s="6">
        <f>COUNTIFS(Table25[Country],Tabela1[[#This Row],[Country]],Table25[Mixed 470 Classification],"&gt;0")</f>
        <v>0</v>
      </c>
      <c r="HS46" s="6">
        <f>COUNTIFS(Table25[Country],Tabela1[[#This Row],[Country]],Table25[Men''s 49er Classification],"&gt;0")</f>
        <v>0</v>
      </c>
      <c r="HT46" s="6">
        <f>COUNTIFS(Table25[Country],Tabela1[[#This Row],[Country]],Table25[Women''s 49er FX Classification],"&gt;0")</f>
        <v>0</v>
      </c>
      <c r="HU46" s="6">
        <f>COUNTIFS(Table17[Country],Tabela1[[#This Row],[Country]],Table17[Formula Kite Classification],"&gt;0")</f>
        <v>0</v>
      </c>
      <c r="HV46" s="6">
        <f>COUNTIFS(Table18[Country],Tabela1[[#This Row],[Country]],Table18[Formula Kite Classification],"&gt;0")</f>
        <v>0</v>
      </c>
      <c r="HW46" s="6">
        <f>COUNTIFS(Table17[Country],Tabela1[[#This Row],[Country]],Table17[ILCA 7 Classification],"&gt;0")</f>
        <v>0</v>
      </c>
      <c r="HX46" s="6">
        <f>COUNTIFS(Table18[Country],Tabela1[[#This Row],[Country]],Table18[ILCA 6 Classification],"&gt;0")</f>
        <v>0</v>
      </c>
      <c r="HY46" s="6">
        <f>COUNTIFS(Table17[Country],Tabela1[[#This Row],[Country]],Table17[IQFoil Classification],"&gt;0")</f>
        <v>0</v>
      </c>
      <c r="HZ46" s="6">
        <f>COUNTIFS(Table18[Country],Tabela1[[#This Row],[Country]],Table18[IQFoil Classification],"&gt;0")</f>
        <v>0</v>
      </c>
      <c r="IA46" s="6">
        <f>COUNTIFS(Table25[Country],Tabela1[[#This Row],[Country]],Table25[Mixed Nacra 17 Classification],"&gt;0")</f>
        <v>0</v>
      </c>
      <c r="IB46" s="6">
        <f>COUNTIFS(Table53[Country],Tabela1[[#This Row],[Country]],Table53[10m Air Pistol Classification],"&gt;0")</f>
        <v>0</v>
      </c>
      <c r="IC46" s="6">
        <f>COUNTIFS(Table19[Country],Tabela1[[#This Row],[Country]],Table19[10m Air Pistol Classification],"&gt;0")</f>
        <v>0</v>
      </c>
      <c r="ID46" s="6">
        <f>COUNTIFS(Table54[Country],Tabela1[[#This Row],[Country]],Table54[Mixed 10m Air Pistol Team Classification],"&gt;0")</f>
        <v>0</v>
      </c>
      <c r="IE46" s="6">
        <f>COUNTIFS(Table53[Country],Tabela1[[#This Row],[Country]],Table53[10m Air Rifle Classification],"&gt;0")</f>
        <v>0</v>
      </c>
      <c r="IF46" s="6">
        <f>COUNTIFS(Table19[Country],Tabela1[[#This Row],[Country]],Table19[10m Air Rifle Classification],"&gt;0")</f>
        <v>0</v>
      </c>
      <c r="IG46" s="6">
        <f>COUNTIFS(Table54[Country],Tabela1[[#This Row],[Country]],Table54[Mixed 10m Air Rifle Team Classification],"&gt;0")</f>
        <v>0</v>
      </c>
      <c r="IH46" s="6">
        <f>COUNTIFS(Table53[Country],Tabela1[[#This Row],[Country]],Table53[25m Rapid Fire Pistol Classification],"&gt;0")</f>
        <v>2</v>
      </c>
      <c r="II46" s="6">
        <f>COUNTIFS(Table19[Country],Tabela1[[#This Row],[Country]],Table19[25m Pistol Classification],"&gt;0")</f>
        <v>0</v>
      </c>
      <c r="IJ46" s="6">
        <f>COUNTIFS(Table53[Country],Tabela1[[#This Row],[Country]],Table53[50m Rifle 3 Positions Classification],"&gt;0")</f>
        <v>0</v>
      </c>
      <c r="IK46" s="6">
        <f>COUNTIFS(Table19[Country],Tabela1[[#This Row],[Country]],Table19[50m Rifle 3 Positions Classification],"&gt;0")</f>
        <v>0</v>
      </c>
      <c r="IL46" s="6">
        <f>COUNTIFS(Table53[Country],Tabela1[[#This Row],[Country]],Table53[Skeet Classification],"&gt;0")</f>
        <v>0</v>
      </c>
      <c r="IM46" s="6">
        <f>COUNTIFS(Table19[Country],Tabela1[[#This Row],[Country]],Table19[Skeet Classification],"&gt;0")</f>
        <v>0</v>
      </c>
      <c r="IN46" s="6">
        <f>COUNTIFS(Table54[Country],Tabela1[[#This Row],[Country]],Table54[Mixed Skeet Team Classification],"&gt;0")</f>
        <v>0</v>
      </c>
      <c r="IO46" s="6">
        <f>COUNTIFS(Table53[Country],Tabela1[[#This Row],[Country]],Table53[Trap Classification],"&gt;0")</f>
        <v>0</v>
      </c>
      <c r="IP46" s="6">
        <f>COUNTIFS(Table19[Country],Tabela1[[#This Row],[Country]],Table19[Trap Classification],"&gt;0")</f>
        <v>0</v>
      </c>
      <c r="IQ46" s="6">
        <f>COUNTIFS(Table73[Country],Tabela1[[#This Row],[Country]],Table73[Park Classification],"&gt;0")</f>
        <v>0</v>
      </c>
      <c r="IR46" s="6">
        <f>COUNTIFS(Table74[Country],Tabela1[[#This Row],[Country]],Table74[Park Classification],"&gt;0")</f>
        <v>0</v>
      </c>
      <c r="IS46" s="6">
        <f>COUNTIFS(Table73[Country],Tabela1[[#This Row],[Country]],Table73[Street Classification],"&gt;0")</f>
        <v>0</v>
      </c>
      <c r="IT46" s="6">
        <f>COUNTIFS(Table74[Country],Tabela1[[#This Row],[Country]],Table74[Street Classification],"&gt;0")</f>
        <v>0</v>
      </c>
      <c r="IU46" s="6">
        <f>COUNTIFS(Table75[Country],Tabela1[[#This Row],[Country]],Table75[Boulder and Lead Classification],"&gt;0")</f>
        <v>0</v>
      </c>
      <c r="IV46" s="6">
        <f>COUNTIFS(Table76[Country],Tabela1[[#This Row],[Country]],Table76[Boulder and Lead Classification],"&gt;0")</f>
        <v>0</v>
      </c>
      <c r="IW46" s="6">
        <f>COUNTIFS(Table75[Country],Tabela1[[#This Row],[Country]],Table75[Speed Classification],"&gt;0")</f>
        <v>0</v>
      </c>
      <c r="IX46" s="6">
        <f>COUNTIFS(Table76[Country],Tabela1[[#This Row],[Country]],Table76[Speed Classification],"&gt;0")</f>
        <v>0</v>
      </c>
      <c r="IY46" s="6">
        <f>COUNTIFS(Table64[Country],Tabela1[[#This Row],[Country]],Table64[Shortboard Classification],"&gt;0")</f>
        <v>0</v>
      </c>
      <c r="IZ46" s="6">
        <f>COUNTIFS(Table77[Country],Tabela1[[#This Row],[Country]],Table77[Shortboard Classification],"&gt;0")</f>
        <v>0</v>
      </c>
      <c r="JA46" s="6">
        <f>COUNTIFS(Table20[Country],Tabela1[[#This Row],[Country]],Table20[50m Freestyle Classification],"&gt;0")</f>
        <v>0</v>
      </c>
      <c r="JB46" s="6">
        <f>COUNTIFS(Table21[Country],Tabela1[[#This Row],[Country]],Table21[50m Freestyle Classification],"&gt;0")</f>
        <v>0</v>
      </c>
      <c r="JC46" s="6">
        <f>COUNTIFS(Table20[Country],Tabela1[[#This Row],[Country]],Table20[100m Freestyle Classification],"&gt;0")</f>
        <v>0</v>
      </c>
      <c r="JD46" s="6">
        <f>COUNTIFS(Table21[Country],Tabela1[[#This Row],[Country]],Table21[100m Freestyle Classification],"&gt;0")</f>
        <v>0</v>
      </c>
      <c r="JE46" s="6">
        <f>COUNTIFS(Table20[Country],Tabela1[[#This Row],[Country]],Table20[200m Freestyle Classification],"&gt;0")</f>
        <v>0</v>
      </c>
      <c r="JF46" s="6">
        <f>COUNTIFS(Table21[Country],Tabela1[[#This Row],[Country]],Table21[200m Freestyle Classification],"&gt;0")</f>
        <v>1</v>
      </c>
      <c r="JG46" s="6">
        <f>COUNTIFS(Table20[Country],Tabela1[[#This Row],[Country]],Table20[400m Freestyle Classification],"&gt;0")</f>
        <v>0</v>
      </c>
      <c r="JH46" s="6">
        <f>COUNTIFS(Table21[Country],Tabela1[[#This Row],[Country]],Table21[400m Freestyle Classification],"&gt;0")</f>
        <v>0</v>
      </c>
      <c r="JI46" s="6">
        <f>COUNTIFS(Table20[Country],Tabela1[[#This Row],[Country]],Table20[800m Freestyle Classification],"&gt;0")</f>
        <v>0</v>
      </c>
      <c r="JJ46" s="6">
        <f>COUNTIFS(Table21[Country],Tabela1[[#This Row],[Country]],Table21[800m Freestyle Classification],"&gt;0")</f>
        <v>0</v>
      </c>
      <c r="JK46" s="6">
        <f>COUNTIFS(Table20[Country],Tabela1[[#This Row],[Country]],Table20[1500m Freestyle Classification],"&gt;0")</f>
        <v>1</v>
      </c>
      <c r="JL46" s="6">
        <f>COUNTIFS(Table21[Country],Tabela1[[#This Row],[Country]],Table21[1500m Freestyle Classification],"&gt;0")</f>
        <v>0</v>
      </c>
      <c r="JM46" s="6">
        <f>COUNTIFS(Table20[Country],Tabela1[[#This Row],[Country]],Table20[100m Backstroke Classification],"&gt;0")</f>
        <v>0</v>
      </c>
      <c r="JN46" s="6">
        <f>COUNTIFS(Table21[Country],Tabela1[[#This Row],[Country]],Table21[100m Backstroke Classification],"&gt;0")</f>
        <v>0</v>
      </c>
      <c r="JO46" s="6">
        <f>COUNTIFS(Table20[Country],Tabela1[[#This Row],[Country]],Table20[200m Backstroke Classification],"&gt;0")</f>
        <v>0</v>
      </c>
      <c r="JP46" s="6">
        <f>COUNTIFS(Table21[Country],Tabela1[[#This Row],[Country]],Table21[200m Backstroke Classification],"&gt;0")</f>
        <v>0</v>
      </c>
      <c r="JQ46" s="6">
        <f>COUNTIFS(Table20[Country],Tabela1[[#This Row],[Country]],Table20[100m Breaststroke Classification],"&gt;0")</f>
        <v>0</v>
      </c>
      <c r="JR46" s="6">
        <f>COUNTIFS(Table21[Country],Tabela1[[#This Row],[Country]],Table21[100m Breaststroke Classification],"&gt;0")</f>
        <v>0</v>
      </c>
      <c r="JS46" s="6">
        <f>COUNTIFS(Table20[Country],Tabela1[[#This Row],[Country]],Table20[200m Breaststroke Classification],"&gt;0")</f>
        <v>0</v>
      </c>
      <c r="JT46" s="6">
        <f>COUNTIFS(Table21[Country],Tabela1[[#This Row],[Country]],Table21[200m Breaststroke Classification],"&gt;0")</f>
        <v>0</v>
      </c>
      <c r="JU46" s="6">
        <f>COUNTIFS(Table20[Country],Tabela1[[#This Row],[Country]],Table20[100m Butterfly Classification],"&gt;0")</f>
        <v>0</v>
      </c>
      <c r="JV46" s="6">
        <f>COUNTIFS(Table21[Country],Tabela1[[#This Row],[Country]],Table21[100m Butterfly Classification],"&gt;0")</f>
        <v>0</v>
      </c>
      <c r="JW46" s="6">
        <f>COUNTIFS(Table20[Country],Tabela1[[#This Row],[Country]],Table20[200m Butterfly Classification],"&gt;0")</f>
        <v>0</v>
      </c>
      <c r="JX46" s="6">
        <f>COUNTIFS(Table21[Country],Tabela1[[#This Row],[Country]],Table21[200m Butterfly Classification],"&gt;0")</f>
        <v>0</v>
      </c>
      <c r="JY46" s="6">
        <f>COUNTIFS(Table20[Country],Tabela1[[#This Row],[Country]],Table20[200m Medley Classification],"&gt;0")</f>
        <v>0</v>
      </c>
      <c r="JZ46" s="6">
        <f>COUNTIFS(Table21[Country],Tabela1[[#This Row],[Country]],Table21[200m Medley Classification],"&gt;0")</f>
        <v>0</v>
      </c>
      <c r="KA46" s="6">
        <f>COUNTIFS(Table20[Country],Tabela1[[#This Row],[Country]],Table20[400m Medley Classification],"&gt;0")</f>
        <v>0</v>
      </c>
      <c r="KB46" s="6">
        <f>COUNTIFS(Table21[Country],Tabela1[[#This Row],[Country]],Table21[400m Medley Classification],"&gt;0")</f>
        <v>0</v>
      </c>
      <c r="KC46" s="6">
        <f>COUNTIFS(Table78[Country],Tabela1[[#This Row],[Country]],Table78[Men''s 4x100m Freestyle Relay Classification],"&gt;0")</f>
        <v>0</v>
      </c>
      <c r="KD46" s="6">
        <f>COUNTIFS(Table78[Country],Tabela1[[#This Row],[Country]],Table78[Women''s 4x100m Freestyle Relay Classification],"&gt;0")</f>
        <v>0</v>
      </c>
      <c r="KE46" s="6">
        <f>COUNTIFS(Table78[Country],Tabela1[[#This Row],[Country]],Table78[Men''s 4x200m Freestyle Relay Classification],"&gt;0")</f>
        <v>0</v>
      </c>
      <c r="KF46" s="6">
        <f>COUNTIFS(Table78[Country],Tabela1[[#This Row],[Country]],Table78[Women''s 4x200m Freestyle Relay Classification],"&gt;0")</f>
        <v>0</v>
      </c>
      <c r="KG46" s="6">
        <f>COUNTIFS(Table78[Country],Tabela1[[#This Row],[Country]],Table78[Men''s 4x100m Medley Relay Classification],"&gt;0")</f>
        <v>0</v>
      </c>
      <c r="KH46" s="6">
        <f>COUNTIFS(Table78[Country],Tabela1[[#This Row],[Country]],Table78[Women''s 4x100m Medley Relay Classification],"&gt;0")</f>
        <v>0</v>
      </c>
      <c r="KI46" s="6">
        <f>COUNTIFS(Table78[Country],Tabela1[[#This Row],[Country]],Table78[Mixed 4x100m Medley Relay Classification],"&gt;0")</f>
        <v>0</v>
      </c>
      <c r="KJ46" s="6">
        <f>COUNTIFS(Table20[Country],Tabela1[[#This Row],[Country]],Table20[10km Open Water Classification],"&gt;0")</f>
        <v>0</v>
      </c>
      <c r="KK46" s="6">
        <f>COUNTIFS(Table21[Country],Tabela1[[#This Row],[Country]],Table21[10km Open Water Classification],"&gt;0")</f>
        <v>0</v>
      </c>
      <c r="KL46" s="6">
        <f>COUNTIFS(Table22[Country],Tabela1[[#This Row],[Country]],Table22[Classification],"&gt;0")</f>
        <v>1</v>
      </c>
      <c r="KM46" s="6">
        <f>COUNTIFS(Table30[Country],Tabela1[[#This Row],[Country]],Table30[Classification],"&gt;0")</f>
        <v>0</v>
      </c>
      <c r="KN46" s="6">
        <f>COUNTIFS(Table55[Country],Tabela1[[#This Row],[Country]],Table55[Men''s Classification],"&gt;0")</f>
        <v>0</v>
      </c>
      <c r="KO46" s="6">
        <f>COUNTIFS(Table55[Country],Tabela1[[#This Row],[Country]],Table55[Women''s Classification],"&gt;0")</f>
        <v>0</v>
      </c>
      <c r="KP46" s="6">
        <f>COUNTIFS(Table56[Country],Tabela1[[#This Row],[Country]],Table56[Mixed Classification],"&gt;0")</f>
        <v>1</v>
      </c>
      <c r="KQ46" s="6">
        <f>COUNTIFS(Table29[Country],Tabela1[[#This Row],[Country]],Table29[58kg Classification],"&gt;0")</f>
        <v>0</v>
      </c>
      <c r="KR46" s="6">
        <f>COUNTIFS(Table29[Country],Tabela1[[#This Row],[Country]],Table29[68kg Classification],"&gt;0")</f>
        <v>0</v>
      </c>
      <c r="KS46" s="6">
        <f>COUNTIFS(Table29[Country],Tabela1[[#This Row],[Country]],Table29[80kg Classification],"&gt;0")</f>
        <v>0</v>
      </c>
      <c r="KT46" s="6">
        <f>COUNTIFS(Table29[Country],Tabela1[[#This Row],[Country]],Table29[Plus 80kg Classification],"&gt;0")</f>
        <v>0</v>
      </c>
      <c r="KU46" s="6">
        <f>COUNTIFS(Table34[Country],Tabela1[[#This Row],[Country]],Table34[49kg Classification],"&gt;0")</f>
        <v>0</v>
      </c>
      <c r="KV46" s="6">
        <f>COUNTIFS(Table34[Country],Tabela1[[#This Row],[Country]],Table34[57kg Classification],"&gt;0")</f>
        <v>0</v>
      </c>
      <c r="KW46" s="6">
        <f>COUNTIFS(Table34[Country],Tabela1[[#This Row],[Country]],Table34[67kg Classification],"&gt;0")</f>
        <v>0</v>
      </c>
      <c r="KX46" s="6">
        <f>COUNTIFS(Table34[Country],Tabela1[[#This Row],[Country]],Table34[Plus 67kg Classification],"&gt;0")</f>
        <v>0</v>
      </c>
      <c r="KY46" s="6">
        <f>COUNTIFS(Table57[Country],Tabela1[[#This Row],[Country]],Table57[Classification],"&gt;0")</f>
        <v>0</v>
      </c>
      <c r="KZ46" s="6">
        <f>COUNTIFS(Table58[Country],Tabela1[[#This Row],[Country]],Table58[Classification],"&gt;0")</f>
        <v>0</v>
      </c>
      <c r="LA46" s="6">
        <f>COUNTIFS(Table79[Country],Tabela1[[#This Row],[Country]],Table79[Men''s Classification],"&gt;0")</f>
        <v>0</v>
      </c>
      <c r="LB46" s="6">
        <f>COUNTIFS(Table79[Country],Tabela1[[#This Row],[Country]],Table79[Women''s Classification],"&gt;0")</f>
        <v>0</v>
      </c>
      <c r="LC46" s="6">
        <f>COUNTIFS(Table79[Country],Tabela1[[#This Row],[Country]],Table79[Mixed Classification],"&gt;0")</f>
        <v>0</v>
      </c>
      <c r="LD46" s="6">
        <f>COUNTIFS(Table65[Country],Tabela1[[#This Row],[Country]],Table65[Classification],"&gt;0")</f>
        <v>0</v>
      </c>
      <c r="LE46" s="6">
        <f>COUNTIFS(Table59[Country],Tabela1[[#This Row],[Country]],Table59[Classification],"&gt;0")</f>
        <v>0</v>
      </c>
      <c r="LF46" s="6">
        <f>COUNTIFS(Table87[Country],Tabela1[[#This Row],[Country]],Table87[Mixed Relay Classification],"&gt;0")</f>
        <v>0</v>
      </c>
      <c r="LG46" s="6">
        <f>COUNTIFS(Table91949698100[Country],Tabela1[[#This Row],[Country]],Table91949698100[Men''s Classification],"&gt;0")</f>
        <v>0</v>
      </c>
      <c r="LH46" s="6">
        <f>COUNTIFS(Table91949698100[Country],Tabela1[[#This Row],[Country]],Table91949698100[Women''s Classification],"&gt;0")</f>
        <v>0</v>
      </c>
      <c r="LI46" s="6">
        <f>COUNTIFS(Table91949698100102[Country],Tabela1[[#This Row],[Country]],Table91949698100102[Men''s Classification],"&gt;0")</f>
        <v>0</v>
      </c>
      <c r="LJ46" s="6">
        <f>COUNTIFS(Table91949698100102[Country],Tabela1[[#This Row],[Country]],Table91949698100102[Women''s Classification],"&gt;0")</f>
        <v>0</v>
      </c>
      <c r="LK46" s="6">
        <f>COUNTIFS(Table23[Country],Tabela1[[#This Row],[Country]],Table23[61kg Classification],"&gt;0")</f>
        <v>0</v>
      </c>
      <c r="LL46" s="6">
        <f>COUNTIFS(Table23[Country],Tabela1[[#This Row],[Country]],Table23[73kg Classification],"&gt;0")</f>
        <v>0</v>
      </c>
      <c r="LM46" s="6">
        <f>COUNTIFS(Table23[Country],Tabela1[[#This Row],[Country]],Table23[89kg Classification],"&gt;0")</f>
        <v>0</v>
      </c>
      <c r="LN46" s="6">
        <f>COUNTIFS(Table23[Country],Tabela1[[#This Row],[Country]],Table23[102kg Classification],"&gt;0")</f>
        <v>0</v>
      </c>
      <c r="LO46" s="6">
        <f>COUNTIFS(Table23[Country],Tabela1[[#This Row],[Country]],Table23[Plus 102kg Classification],"&gt;0")</f>
        <v>0</v>
      </c>
      <c r="LP46" s="6">
        <f>COUNTIFS(Table28[Country],Tabela1[[#This Row],[Country]],Table28[49kg Classification],"&gt;0")</f>
        <v>0</v>
      </c>
      <c r="LQ46" s="6">
        <f>COUNTIFS(Table28[Country],Tabela1[[#This Row],[Country]],Table28[59kg Classification],"&gt;0")</f>
        <v>0</v>
      </c>
      <c r="LR46" s="6">
        <f>COUNTIFS(Table28[Country],Tabela1[[#This Row],[Country]],Table28[71kg Classification],"&gt;0")</f>
        <v>0</v>
      </c>
      <c r="LS46" s="6">
        <f>COUNTIFS(Table28[Country],Tabela1[[#This Row],[Country]],Table28[81kg Classification],"&gt;0")</f>
        <v>0</v>
      </c>
      <c r="LT46" s="6">
        <f>COUNTIFS(Table28[Country],Tabela1[[#This Row],[Country]],Table28[Plus 81kg Classification],"&gt;0")</f>
        <v>0</v>
      </c>
      <c r="LU46" s="6">
        <f>COUNTIFS(Table24[Country],Tabela1[[#This Row],[Country]],Table24[Freestyle 57kg Classification],"&gt;0")</f>
        <v>0</v>
      </c>
      <c r="LV46" s="6">
        <f>COUNTIFS(Table24[Country],Tabela1[[#This Row],[Country]],Table24[Freestyle 65kg Classification],"&gt;0")</f>
        <v>1</v>
      </c>
      <c r="LW46" s="6">
        <f>COUNTIFS(Table24[Country],Tabela1[[#This Row],[Country]],Table24[Freestyle 74kg Classification],"&gt;0")</f>
        <v>0</v>
      </c>
      <c r="LX46" s="6">
        <f>COUNTIFS(Table24[Country],Tabela1[[#This Row],[Country]],Table24[Freestyle 86kg Classification],"&gt;0")</f>
        <v>0</v>
      </c>
      <c r="LY46" s="6">
        <f>COUNTIFS(Table24[Country],Tabela1[[#This Row],[Country]],Table24[Freestyle 97kg Classification],"&gt;0")</f>
        <v>0</v>
      </c>
      <c r="LZ46" s="6">
        <f>COUNTIFS(Table24[Country],Tabela1[[#This Row],[Country]],Table24[Freestyle 125kg Classification],"&gt;0")</f>
        <v>0</v>
      </c>
      <c r="MA46" s="6">
        <f>COUNTIFS(Table24[Country],Tabela1[[#This Row],[Country]],Table24[Greco-Roman 60kg Classification],"&gt;0")</f>
        <v>0</v>
      </c>
      <c r="MB46" s="6">
        <f>COUNTIFS(Table24[Country],Tabela1[[#This Row],[Country]],Table24[Greco-Roman 67kg Classification],"&gt;0")</f>
        <v>1</v>
      </c>
      <c r="MC46" s="6">
        <f>COUNTIFS(Table24[Country],Tabela1[[#This Row],[Country]],Table24[Greco-Roman 77kg Classification],"&gt;0")</f>
        <v>0</v>
      </c>
      <c r="MD46" s="6">
        <f>COUNTIFS(Table24[Country],Tabela1[[#This Row],[Country]],Table24[Greco-Roman 87kg Classification],"&gt;0")</f>
        <v>0</v>
      </c>
      <c r="ME46" s="6">
        <f>COUNTIFS(Table24[Country],Tabela1[[#This Row],[Country]],Table24[Greco-Roman 97kg Classification],"&gt;0")</f>
        <v>0</v>
      </c>
      <c r="MF46" s="6">
        <f>COUNTIFS(Table24[Country],Tabela1[[#This Row],[Country]],Table24[Greco-Roman 130kg Classification],"&gt;0")</f>
        <v>0</v>
      </c>
      <c r="MG46" s="6">
        <f>COUNTIFS(Table31[Country],Tabela1[[#This Row],[Country]],Table31[50kg Classification],"&gt;0")</f>
        <v>1</v>
      </c>
      <c r="MH46" s="6">
        <f>COUNTIFS(Table31[Country],Tabela1[[#This Row],[Country]],Table31[53kg Classification],"&gt;0")</f>
        <v>0</v>
      </c>
      <c r="MI46" s="6">
        <f>COUNTIFS(Table31[Country],Tabela1[[#This Row],[Country]],Table31[57kg Classification],"&gt;0")</f>
        <v>0</v>
      </c>
      <c r="MJ46" s="6">
        <f>COUNTIFS(Table31[Country],Tabela1[[#This Row],[Country]],Table31[62kg Classification],"&gt;0")</f>
        <v>0</v>
      </c>
      <c r="MK46" s="6">
        <f>COUNTIFS(Table31[Country],Tabela1[[#This Row],[Country]],Table31[68kg Classification],"&gt;0")</f>
        <v>0</v>
      </c>
      <c r="ML46" s="6">
        <f>COUNTIFS(Table31[Country],Tabela1[[#This Row],[Country]],Table31[76kg Classification],"&gt;0")</f>
        <v>1</v>
      </c>
      <c r="MM46" s="6">
        <f>COUNTIFS(Table102[Country],Tabela1[[#This Row],[Country]],Table102[Downhill Classification],"&gt;0")</f>
        <v>0</v>
      </c>
      <c r="MN46" s="6">
        <f>COUNTIFS(Table102105[Country],Tabela1[[#This Row],[Country]],Table102105[Downhill Classification],"&gt;0")</f>
        <v>0</v>
      </c>
      <c r="MO46" s="6">
        <f>COUNTIFS(Table102[Country],Tabela1[[#This Row],[Country]],Table102[Giant Slalom Classification],"&gt;0")</f>
        <v>0</v>
      </c>
      <c r="MP46" s="6">
        <f>COUNTIFS(Table102105[Country],Tabela1[[#This Row],[Country]],Table102105[Giant Slalom Classification],"&gt;0")</f>
        <v>0</v>
      </c>
      <c r="MQ46" s="6">
        <f>COUNTIFS(Table102[Country],Tabela1[[#This Row],[Country]],Table102[Slalom Classification],"&gt;0")</f>
        <v>0</v>
      </c>
      <c r="MR46" s="6">
        <f>COUNTIFS(Table102105[Country],Tabela1[[#This Row],[Country]],Table102105[Slalom Classification],"&gt;0")</f>
        <v>0</v>
      </c>
      <c r="MS46" s="6">
        <f>COUNTIFS(Table102[Country],Tabela1[[#This Row],[Country]],Table102[Super-G Classification],"&gt;0")</f>
        <v>0</v>
      </c>
      <c r="MT46" s="6">
        <f>COUNTIFS(Table102105[Country],Tabela1[[#This Row],[Country]],Table102105[Super-G Classification],"&gt;0")</f>
        <v>0</v>
      </c>
      <c r="MU46" s="6">
        <f>COUNTIFS(Table105[Country],Tabela1[[#This Row],[Country]],Table105[Men''s Combined Classification],"&gt;0")</f>
        <v>0</v>
      </c>
      <c r="MV46" s="6">
        <f>COUNTIFS(Table105[Country],Tabela1[[#This Row],[Country]],Table105[Women''s Combined Classification],"&gt;0")</f>
        <v>0</v>
      </c>
      <c r="MW46" s="6">
        <f>COUNTIFS(Table106[Country],Tabela1[[#This Row],[Country]],Table106[Individual Classification],"&gt;0")</f>
        <v>0</v>
      </c>
      <c r="MX46" s="6">
        <f>COUNTIFS(Table106109[Country],Tabela1[[#This Row],[Country]],Table106109[Individual Classification],"&gt;0")</f>
        <v>0</v>
      </c>
      <c r="MY46" s="6">
        <f>COUNTIFS(Table106[Country],Tabela1[[#This Row],[Country]],Table106[Mass Start Classification],"&gt;0")</f>
        <v>0</v>
      </c>
      <c r="MZ46" s="6">
        <f>COUNTIFS(Table106109[Country],Tabela1[[#This Row],[Country]],Table106109[Mass Start Classification],"&gt;0")</f>
        <v>0</v>
      </c>
      <c r="NA46" s="6">
        <f>COUNTIFS(Table106[Country],Tabela1[[#This Row],[Country]],Table106[Pursuit Classification],"&gt;0")</f>
        <v>0</v>
      </c>
      <c r="NB46" s="6">
        <f>COUNTIFS(Table106109[Country],Tabela1[[#This Row],[Country]],Table106109[Pursuit Classification],"&gt;0")</f>
        <v>0</v>
      </c>
      <c r="NC46" s="6">
        <f>COUNTIFS(Table106[Country],Tabela1[[#This Row],[Country]],Table106[Sprint Classification],"&gt;0")</f>
        <v>0</v>
      </c>
      <c r="ND46" s="6">
        <f>COUNTIFS(Table106109[Country],Tabela1[[#This Row],[Country]],Table106109[Sprint Classification],"&gt;0")</f>
        <v>0</v>
      </c>
      <c r="NE46" s="6">
        <f>COUNTIFS(Table109[Country],Tabela1[[#This Row],[Country]],Table109[Men''s Relay Classification],"&gt;0")</f>
        <v>0</v>
      </c>
      <c r="NF46" s="6">
        <f>COUNTIFS(Table109[Country],Tabela1[[#This Row],[Country]],Table109[Women''s Relay Classification],"&gt;0")</f>
        <v>0</v>
      </c>
      <c r="NG46" s="6">
        <f>COUNTIFS(Table109[Country],Tabela1[[#This Row],[Country]],Table109[Mixed Relay Classification],"&gt;0")</f>
        <v>0</v>
      </c>
      <c r="NH46" s="6">
        <f>COUNTIFS(Table110[Country],Tabela1[[#This Row],[Country]],Table110[Monobob Classification],"&gt;0")</f>
        <v>0</v>
      </c>
      <c r="NI46" s="6">
        <f>COUNTIFS(Table111[Country],Tabela1[[#This Row],[Country]],Table111[Men''s Classification],"&gt;0")</f>
        <v>0</v>
      </c>
      <c r="NJ46" s="6">
        <f>COUNTIFS(Table111[Country],Tabela1[[#This Row],[Country]],Table111[Women''s Classification],"&gt;0")</f>
        <v>0</v>
      </c>
      <c r="NK46" s="6">
        <f>COUNTIFS(Table112[Country],Tabela1[[#This Row],[Country]],Table112[Men''s Four Classification],"&gt;0")</f>
        <v>0</v>
      </c>
      <c r="NL46" s="6">
        <f>COUNTIFS(Table113[Country],Tabela1[[#This Row],[Country]],Table113[Classical Classification],"&gt;0")</f>
        <v>0</v>
      </c>
      <c r="NM46" s="6">
        <f>COUNTIFS(Table113116[Country],Tabela1[[#This Row],[Country]],Table113116[Classical Classification],"&gt;0")</f>
        <v>0</v>
      </c>
      <c r="NN46" s="6">
        <f>COUNTIFS(Table113[Country],Tabela1[[#This Row],[Country]],Table113[Freestyle Classification],"&gt;0")</f>
        <v>0</v>
      </c>
      <c r="NO46" s="6">
        <f>COUNTIFS(Table113116[Country],Tabela1[[#This Row],[Country]],Table113116[Freestyle Classification],"&gt;0")</f>
        <v>0</v>
      </c>
      <c r="NP46" s="6">
        <f>COUNTIFS(Table117[Country],Tabela1[[#This Row],[Country]],Table117[Men''s Relay Classification],"&gt;0")</f>
        <v>0</v>
      </c>
      <c r="NQ46" s="6">
        <f>COUNTIFS(Table117[Country],Tabela1[[#This Row],[Country]],Table117[Women''s Relay Classification],"&gt;0")</f>
        <v>0</v>
      </c>
      <c r="NR46" s="6">
        <f>COUNTIFS(Table113[Country],Tabela1[[#This Row],[Country]],Table113[Skiathlon Classification],"&gt;0")</f>
        <v>0</v>
      </c>
      <c r="NS46" s="6">
        <f>COUNTIFS(Table113116[Country],Tabela1[[#This Row],[Country]],Table113116[Skiathlon Classification],"&gt;0")</f>
        <v>0</v>
      </c>
      <c r="NT46" s="6">
        <f>COUNTIFS(Table113[Country],Tabela1[[#This Row],[Country]],Table113[Sprint Classification],"&gt;0")</f>
        <v>0</v>
      </c>
      <c r="NU46" s="6">
        <f>COUNTIFS(Table113116[Country],Tabela1[[#This Row],[Country]],Table113116[Sprint Classification],"&gt;0")</f>
        <v>0</v>
      </c>
      <c r="NV46" s="6">
        <f>COUNTIFS(Table116[Country],Tabela1[[#This Row],[Country]],Table116[Men''s Team Sprint Classification],"&gt;0")</f>
        <v>0</v>
      </c>
      <c r="NW46" s="6">
        <f>COUNTIFS(Table116[Country],Tabela1[[#This Row],[Country]],Table116[Women''s Team Sprint Classification],"&gt;0")</f>
        <v>0</v>
      </c>
      <c r="NX46" s="6">
        <f>COUNTIFS(Table119[Country],Tabela1[[#This Row],[Country]],Table119[Men''s Classification],"&gt;0")</f>
        <v>0</v>
      </c>
      <c r="NY46" s="6">
        <f>COUNTIFS(Table119[Country],Tabela1[[#This Row],[Country]],Table119[Women''s Classification],"&gt;0")</f>
        <v>0</v>
      </c>
      <c r="NZ46" s="6">
        <f>COUNTIFS(Table118[Country],Tabela1[[#This Row],[Country]],Table118[Mixed Classification],"&gt;0")</f>
        <v>0</v>
      </c>
      <c r="OA46" s="6">
        <f>COUNTIFS(Table120[Country],Tabela1[[#This Row],[Country]],Table120[Classification],"&gt;0")</f>
        <v>0</v>
      </c>
      <c r="OB46" s="6">
        <f>COUNTIFS(Table120123[Country],Tabela1[[#This Row],[Country]],Table120123[Classification],"&gt;0")</f>
        <v>0</v>
      </c>
      <c r="OC46" s="6">
        <f>COUNTIFS(Table123[Country],Tabela1[[#This Row],[Country]],Table123[Ice Dance Classification],"&gt;0")</f>
        <v>0</v>
      </c>
      <c r="OD46" s="6">
        <f>COUNTIFS(Table123[Country],Tabela1[[#This Row],[Country]],Table123[Pair Skating Classification],"&gt;0")</f>
        <v>0</v>
      </c>
      <c r="OE46" s="6">
        <f>COUNTIFS(Table124[Country],Tabela1[[#This Row],[Country]],Table124[Mixed Classification],"&gt;0")</f>
        <v>0</v>
      </c>
      <c r="OF46" s="6">
        <f>COUNTIFS(Table125[Country],Tabela1[[#This Row],[Country]],Table125[Aerials Classification],"&gt;0")</f>
        <v>0</v>
      </c>
      <c r="OG46" s="6">
        <f>COUNTIFS(Table125128[Country],Tabela1[[#This Row],[Country]],Table125128[Aerials Classification],"&gt;0")</f>
        <v>0</v>
      </c>
      <c r="OH46" s="6">
        <f>COUNTIFS(Table128[Country],Tabela1[[#This Row],[Country]],Table128[Mixed Aerials Classification],"&gt;0")</f>
        <v>0</v>
      </c>
      <c r="OI46" s="6">
        <f>COUNTIFS(Table125[Country],Tabela1[[#This Row],[Country]],Table125[Big Air Classification],"&gt;0")</f>
        <v>0</v>
      </c>
      <c r="OJ46" s="6">
        <f>COUNTIFS(Table125128[Country],Tabela1[[#This Row],[Country]],Table125128[Big Air Classification],"&gt;0")</f>
        <v>0</v>
      </c>
      <c r="OK46" s="6">
        <f>COUNTIFS(Table125[Country],Tabela1[[#This Row],[Country]],Table125[Dual Moguls Classification],"&gt;0")</f>
        <v>0</v>
      </c>
      <c r="OL46" s="6">
        <f>COUNTIFS(Table125128[Country],Tabela1[[#This Row],[Country]],Table125128[Dual Moguls Classification],"&gt;0")</f>
        <v>0</v>
      </c>
      <c r="OM46" s="6">
        <f>COUNTIFS(Table125[Country],Tabela1[[#This Row],[Country]],Table125[Halfpipe Classification],"&gt;0")</f>
        <v>0</v>
      </c>
      <c r="ON46" s="6">
        <f>COUNTIFS(Table125128[Country],Tabela1[[#This Row],[Country]],Table125128[Halfpipe Classification],"&gt;0")</f>
        <v>0</v>
      </c>
      <c r="OO46" s="6">
        <f>COUNTIFS(Table125[Country],Tabela1[[#This Row],[Country]],Table125[Moguls Classification],"&gt;0")</f>
        <v>0</v>
      </c>
      <c r="OP46" s="6">
        <f>COUNTIFS(Table125128[Country],Tabela1[[#This Row],[Country]],Table125128[Moguls Classification],"&gt;0")</f>
        <v>0</v>
      </c>
      <c r="OQ46" s="6">
        <f>COUNTIFS(Table125[Country],Tabela1[[#This Row],[Country]],Table125[Ski Cross Classification],"&gt;0")</f>
        <v>0</v>
      </c>
      <c r="OR46" s="6">
        <f>COUNTIFS(Table125128[Country],Tabela1[[#This Row],[Country]],Table125128[Ski Cross Classification],"&gt;0")</f>
        <v>0</v>
      </c>
      <c r="OS46" s="6">
        <f>COUNTIFS(Table125[Country],Tabela1[[#This Row],[Country]],Table125[Slopestyle Classification],"&gt;0")</f>
        <v>0</v>
      </c>
      <c r="OT46" s="6">
        <f>COUNTIFS(Table125128[Country],Tabela1[[#This Row],[Country]],Table125128[Slopestyle Classification],"&gt;0")</f>
        <v>0</v>
      </c>
      <c r="OU46" s="6">
        <f>COUNTIFS(Table119131[Country],Tabela1[[#This Row],[Country]],Table119131[Men''s Classification],"&gt;0")</f>
        <v>0</v>
      </c>
      <c r="OV46" s="6">
        <f>COUNTIFS(Table119131[Country],Tabela1[[#This Row],[Country]],Table119131[Women''s Classification],"&gt;0")</f>
        <v>0</v>
      </c>
      <c r="OW46" s="6">
        <f>COUNTIFS(Table131[Country],Tabela1[[#This Row],[Country]],Table131[Classification],"&gt;0")</f>
        <v>0</v>
      </c>
      <c r="OX46" s="6">
        <f>COUNTIFS(Table131134[Country],Tabela1[[#This Row],[Country]],Table131134[Classification],"&gt;0")</f>
        <v>0</v>
      </c>
      <c r="OY46" s="6">
        <f>COUNTIFS(Table134[Country],Tabela1[[#This Row],[Country]],Table134[Men''s Classification],"&gt;0")</f>
        <v>0</v>
      </c>
      <c r="OZ46" s="6">
        <f>COUNTIFS(Table134[Country],Tabela1[[#This Row],[Country]],Table134[Women''s Classification],"&gt;0")</f>
        <v>0</v>
      </c>
      <c r="PA46" s="6">
        <f>COUNTIFS(Table135[Country],Tabela1[[#This Row],[Country]],Table135[Mixed Relay Classification],"&gt;0")</f>
        <v>0</v>
      </c>
      <c r="PB46" s="6">
        <f>COUNTIFS(Table136[Country],Tabela1[[#This Row],[Country]],Table136[Individual Classification],"&gt;0")</f>
        <v>0</v>
      </c>
      <c r="PC46" s="6">
        <f>COUNTIFS(Table136[Country],Tabela1[[#This Row],[Country]],Table136[Sprint Classification],"&gt;0")</f>
        <v>0</v>
      </c>
      <c r="PD46" s="6">
        <f>COUNTIFS(Table137[Country],Tabela1[[#This Row],[Country]],Table137[Men''s Team Sprint Large Hill Classification],"&gt;0")</f>
        <v>0</v>
      </c>
      <c r="PE46" s="6">
        <f>COUNTIFS(Table138[Country],Tabela1[[#This Row],[Country]],Table138[500m Classification],"&gt;0")</f>
        <v>0</v>
      </c>
      <c r="PF46" s="6">
        <f>COUNTIFS(Table138141[Country],Tabela1[[#This Row],[Country]],Table138141[500m Classification],"&gt;0")</f>
        <v>0</v>
      </c>
      <c r="PG46" s="6">
        <f>COUNTIFS(Table138[Country],Tabela1[[#This Row],[Country]],Table138[1000m Classification],"&gt;0")</f>
        <v>0</v>
      </c>
      <c r="PH46" s="6">
        <f>COUNTIFS(Table138141[Country],Tabela1[[#This Row],[Country]],Table138141[1000m Classification],"&gt;0")</f>
        <v>0</v>
      </c>
      <c r="PI46" s="6">
        <f>COUNTIFS(Table138[Country],Tabela1[[#This Row],[Country]],Table138[1500m Classification],"&gt;0")</f>
        <v>0</v>
      </c>
      <c r="PJ46" s="6">
        <f>COUNTIFS(Table138141[Country],Tabela1[[#This Row],[Country]],Table138141[1500m Classification],"&gt;0")</f>
        <v>0</v>
      </c>
      <c r="PK46" s="6">
        <f>COUNTIFS(Table141[Country],Tabela1[[#This Row],[Country]],Table141[Men''s 5000m Relay Classification],"&gt;0")</f>
        <v>0</v>
      </c>
      <c r="PL46" s="6">
        <f>COUNTIFS(Table141[Country],Tabela1[[#This Row],[Country]],Table141[Women''s 3000m Relay Classification],"&gt;0")</f>
        <v>0</v>
      </c>
      <c r="PM46" s="6">
        <f>COUNTIFS(Table141[Country],Tabela1[[#This Row],[Country]],Table141[Mixed 2000m Relay Classification],"&gt;0")</f>
        <v>0</v>
      </c>
      <c r="PN46" s="6">
        <f>COUNTIFS(Table142[Country],Tabela1[[#This Row],[Country]],Table142[Classification],"&gt;0")</f>
        <v>0</v>
      </c>
      <c r="PO46" s="6">
        <f>COUNTIFS(Table142145[Country],Tabela1[[#This Row],[Country]],Table142145[Classification],"&gt;0")</f>
        <v>0</v>
      </c>
      <c r="PP46" s="6">
        <f>COUNTIFS(Tabela15[Country],Tabela1[[#This Row],[Country]],Tabela15[Mixed Team Classification],"&gt;0")</f>
        <v>0</v>
      </c>
      <c r="PQ46" s="6">
        <f>COUNTIFS(Table145[Country],Tabela1[[#This Row],[Country]],Table145[Large Hill Classification],"&gt;0")</f>
        <v>0</v>
      </c>
      <c r="PR46" s="6">
        <f>COUNTIFS(Table145[Country],Tabela1[[#This Row],[Country]],Table145[Normal Hill Classification],"&gt;0")</f>
        <v>0</v>
      </c>
      <c r="PS46" s="6">
        <f>COUNTIFS(Table145148[Country],Tabela1[[#This Row],[Country]],Table145148[Large Hill Classification],"&gt;0")</f>
        <v>0</v>
      </c>
      <c r="PT46" s="6">
        <f>COUNTIFS(Table145148[Country],Tabela1[[#This Row],[Country]],Table145148[Normal Hill Classification],"&gt;0")</f>
        <v>0</v>
      </c>
      <c r="PU46" s="6">
        <f>COUNTIFS(Table148[Country],Tabela1[[#This Row],[Country]],Table148[Men''s Super Team Classification],"&gt;0")</f>
        <v>0</v>
      </c>
      <c r="PV46" s="6">
        <f>COUNTIFS(Tabela114[Country],Tabela1[[#This Row],[Country]],Tabela114[Mixed Normal Hill Classification],"&gt;0")</f>
        <v>0</v>
      </c>
      <c r="PW46" s="6">
        <f>COUNTIFS(Tabela50[Country],Tabela1[[#This Row],[Country]],Tabela50[Sprint Classification],"&gt;0")</f>
        <v>0</v>
      </c>
      <c r="PX46" s="6">
        <f>COUNTIFS(Tabela50101[Country],Tabela1[[#This Row],[Country]],Tabela50101[Sprint Classification],"&gt;0")</f>
        <v>0</v>
      </c>
      <c r="PY46" s="6">
        <f>COUNTIFS(Tabela103[Country],Tabela1[[#This Row],[Country]],Tabela103[Mixed Relay Classification],"&gt;0")</f>
        <v>0</v>
      </c>
      <c r="PZ46" s="6">
        <f>COUNTIFS(Table149[Country],Tabela1[[#This Row],[Country]],Table149[Big Air Classification],"&gt;0")</f>
        <v>0</v>
      </c>
      <c r="QA46" s="6">
        <f>COUNTIFS(Table149152[Country],Tabela1[[#This Row],[Country]],Table149152[Big Air Classification],"&gt;0")</f>
        <v>0</v>
      </c>
      <c r="QB46" s="6">
        <f>COUNTIFS(Table149[Country],Tabela1[[#This Row],[Country]],Table149[Halfpipe Classification],"&gt;0")</f>
        <v>0</v>
      </c>
      <c r="QC46" s="6">
        <f>COUNTIFS(Table149152[Country],Tabela1[[#This Row],[Country]],Table149152[Halfpipe Classification],"&gt;0")</f>
        <v>0</v>
      </c>
      <c r="QD46" s="6">
        <f>COUNTIFS(Table149[Country],Tabela1[[#This Row],[Country]],Table149[Parallel Giant Slalom Classification],"&gt;0")</f>
        <v>0</v>
      </c>
      <c r="QE46" s="6">
        <f>COUNTIFS(Table149152[Country],Tabela1[[#This Row],[Country]],Table149152[Parallel Giant Slalom Classification],"&gt;0")</f>
        <v>0</v>
      </c>
      <c r="QF46" s="6">
        <f>COUNTIFS(Table149[Country],Tabela1[[#This Row],[Country]],Table149[Slopestyle Classification],"&gt;0")</f>
        <v>0</v>
      </c>
      <c r="QG46" s="6">
        <f>COUNTIFS(Table149152[Country],Tabela1[[#This Row],[Country]],Table149152[Slopestyle Classification],"&gt;0")</f>
        <v>0</v>
      </c>
      <c r="QH46" s="6">
        <f>COUNTIFS(Table149[Country],Tabela1[[#This Row],[Country]],Table149[Snowboard Cross Classification],"&gt;0")</f>
        <v>0</v>
      </c>
      <c r="QI46" s="6">
        <f>COUNTIFS(Table149152[Country],Tabela1[[#This Row],[Country]],Table149152[Snowboard Cross Classification],"&gt;0")</f>
        <v>0</v>
      </c>
      <c r="QJ46" s="6">
        <f>COUNTIFS(Table153[Country],Tabela1[[#This Row],[Country]],Table153[Mixed Team Snowboard Cross Classification],"&gt;0")</f>
        <v>0</v>
      </c>
      <c r="QK46" s="6">
        <f>COUNTIFS(Table154[Country],Tabela1[[#This Row],[Country]],Table154[500m Classification],"&gt;0")</f>
        <v>0</v>
      </c>
      <c r="QL46" s="6">
        <f>COUNTIFS(Table154157[Country],Tabela1[[#This Row],[Country]],Table154157[500m Classification],"&gt;0")</f>
        <v>0</v>
      </c>
      <c r="QM46" s="6">
        <f>COUNTIFS(Table154[Country],Tabela1[[#This Row],[Country]],Table154[1000m Classification],"&gt;0")</f>
        <v>0</v>
      </c>
      <c r="QN46" s="6">
        <f>COUNTIFS(Table154157[Country],Tabela1[[#This Row],[Country]],Table154157[1000m Classification],"&gt;0")</f>
        <v>0</v>
      </c>
      <c r="QO46" s="6">
        <f>COUNTIFS(Table154[Country],Tabela1[[#This Row],[Country]],Table154[1500m Classification],"&gt;0")</f>
        <v>0</v>
      </c>
      <c r="QP46" s="6">
        <f>COUNTIFS(Table154157[Country],Tabela1[[#This Row],[Country]],Table154157[1500m Classification],"&gt;0")</f>
        <v>0</v>
      </c>
      <c r="QQ46" s="6">
        <f>COUNTIFS(Table154157[Country],Tabela1[[#This Row],[Country]],Table154157[3000m Classification],"&gt;0")</f>
        <v>0</v>
      </c>
      <c r="QR46" s="6">
        <f>COUNTIFS(Table154[Country],Tabela1[[#This Row],[Country]],Table154[5000m Classification],"&gt;0")</f>
        <v>0</v>
      </c>
      <c r="QS46" s="6">
        <f>COUNTIFS(Table154157[Country],Tabela1[[#This Row],[Country]],Table154157[5000m Classification],"&gt;0")</f>
        <v>0</v>
      </c>
      <c r="QT46" s="6">
        <f>COUNTIFS(Table154[Country],Tabela1[[#This Row],[Country]],Table154[10000m Classification],"&gt;0")</f>
        <v>0</v>
      </c>
      <c r="QU46" s="6">
        <f>COUNTIFS(Table154[Country],Tabela1[[#This Row],[Country]],Table154[Mass Start Classification],"&gt;0")</f>
        <v>0</v>
      </c>
      <c r="QV46" s="6">
        <f>COUNTIFS(Table154157[Country],Tabela1[[#This Row],[Country]],Table154157[Mass Start Classification],"&gt;0")</f>
        <v>0</v>
      </c>
      <c r="QW46" s="6">
        <f>COUNTIFS(Table157[Country],Tabela1[[#This Row],[Country]],Table157[Men''s Pursuit Classification],"&gt;0")</f>
        <v>0</v>
      </c>
      <c r="QX46" s="6">
        <f>COUNTIFS(Table157[Country],Tabela1[[#This Row],[Country]],Table157[Women''s Pursuit Classification],"&gt;0")</f>
        <v>0</v>
      </c>
      <c r="QY46" s="4" t="s">
        <v>471</v>
      </c>
    </row>
    <row r="47" spans="1:467" x14ac:dyDescent="0.3">
      <c r="A47" s="6">
        <v>46</v>
      </c>
      <c r="B47" s="6" t="s">
        <v>342</v>
      </c>
      <c r="C47" t="e" vm="46">
        <f>IF(ISBLANK(Tabela1[[#This Row],[Image Link]]), "", _xlfn.IMAGE(Tabela1[[#This Row],[Image Link]],1,1))</f>
        <v>#VALUE!</v>
      </c>
      <c r="D47" s="6">
        <f>SUM(Tabela1[[#This Row],[Archery - Men''s Individual Recurve]:[Speed Skating - Women''s Team Pursuit]])</f>
        <v>19</v>
      </c>
      <c r="E47" s="6">
        <f>COUNTIF(Tabela1[[#This Row],[Archery - Men''s Individual Recurve]:[Speed Skating - Women''s Team Pursuit]],"&gt;0")</f>
        <v>19</v>
      </c>
      <c r="F47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47" s="6">
        <f>SUM(Tabela1[[#This Row],[Archery - Men''s Individual Recurve]:[Wrestling - Women''s Freestyle 76kg]])</f>
        <v>17</v>
      </c>
      <c r="H47" s="6">
        <f>SUM(Tabela1[[#This Row],[Alpine Skiing - Men''s Downhill]:[Speed Skating - Women''s Team Pursuit]])</f>
        <v>2</v>
      </c>
      <c r="I47" s="6">
        <f>Tabela1[[#This Row],[Summer Gold Medals]]+Tabela1[[#This Row],[Winter Gold Medals]]</f>
        <v>1</v>
      </c>
      <c r="J47" s="6">
        <f>Tabela1[[#This Row],[Summer Silver Medals]]+Tabela1[[#This Row],[Winter Silver Medals]]</f>
        <v>1</v>
      </c>
      <c r="K47" s="6">
        <f>Tabela1[[#This Row],[Summer Bronze Medals]]+Tabela1[[#This Row],[Winter Bronze Medals]]</f>
        <v>6</v>
      </c>
      <c r="L47" s="6">
        <f>SUM(Tabela1[[#This Row],[Total Gold Medals]:[Total Bronze Medals]])</f>
        <v>8</v>
      </c>
      <c r="M47" s="6">
        <v>1</v>
      </c>
      <c r="N47" s="6">
        <v>1</v>
      </c>
      <c r="O47" s="6">
        <v>6</v>
      </c>
      <c r="P47" s="6">
        <f>SUM(Tabela1[[#This Row],[Summer Gold Medals]:[Summer Bronze Medals]])</f>
        <v>8</v>
      </c>
      <c r="Q47" s="6"/>
      <c r="R47" s="6"/>
      <c r="S47" s="6"/>
      <c r="T47" s="6">
        <f>Tabela1[[#This Row],[Winter Gold Medals]]+Tabela1[[#This Row],[Winter Silver Medals]]+Tabela1[[#This Row],[Winter Bronze Medals]]</f>
        <v>0</v>
      </c>
      <c r="U47" s="7">
        <f>Tabela1[[#This Row],[Total Medals]]/Tabela1[[#This Row],[Total Quotas]]</f>
        <v>0.42105263157894735</v>
      </c>
      <c r="V47" s="6">
        <f>COUNTIFS(Table3[Country],Tabela1[[#This Row],[Country]],Table3[Recurve Classification],"&gt;0")</f>
        <v>0</v>
      </c>
      <c r="W47" s="6">
        <f>COUNTIFS(Table33[Country],Tabela1[[#This Row],[Country]],Table33[Recurve Classification],"&gt;0")</f>
        <v>0</v>
      </c>
      <c r="X47" s="6">
        <f>COUNTIFS(Table35[Country],Tabela1[[#This Row],[Country]],Table35[Men''s Team Recurve Classification],"&gt;0")</f>
        <v>0</v>
      </c>
      <c r="Y47" s="6">
        <f>COUNTIFS(Table35[Country],Tabela1[[#This Row],[Country]],Table35[Women''s Team Recurve Classification],"&gt;0")</f>
        <v>0</v>
      </c>
      <c r="Z47" s="6">
        <f>COUNTIFS(Tabela88[Country],Tabela1[[#This Row],[Country]],Tabela88[Mixed Team Recurve Classification],"&gt;0")</f>
        <v>0</v>
      </c>
      <c r="AA47" s="6">
        <f>COUNTIFS(Table36[Country],Tabela1[[#This Row],[Country]],Table36[Classification],"&gt;0")</f>
        <v>0</v>
      </c>
      <c r="AB47" s="6">
        <f>COUNTIFS(Table37[Country],Tabela1[[#This Row],[Country]],Table37[Classification],"&gt;0")</f>
        <v>0</v>
      </c>
      <c r="AC47" s="6">
        <f>COUNTIFS(Table4[Country],Tabela1[[#This Row],[Country]],Table4[100m Classification],"&gt;0")</f>
        <v>0</v>
      </c>
      <c r="AD47" s="6">
        <f>COUNTIFS(Table5[Country],Tabela1[[#This Row],[Country]],Table5[100m Classification],"&gt;0")</f>
        <v>1</v>
      </c>
      <c r="AE47" s="6">
        <f>COUNTIFS(Table4[Country],Tabela1[[#This Row],[Country]],Table4[200m Classification],"&gt;0")</f>
        <v>0</v>
      </c>
      <c r="AF47" s="6">
        <f>COUNTIFS(Table5[Country],Tabela1[[#This Row],[Country]],Table5[200m Classification],"&gt;0")</f>
        <v>1</v>
      </c>
      <c r="AG47" s="6">
        <f>COUNTIFS(Table4[Country],Tabela1[[#This Row],[Country]],Table4[400m Classification],"&gt;0")</f>
        <v>0</v>
      </c>
      <c r="AH47" s="6">
        <f>COUNTIFS(Table5[Country],Tabela1[[#This Row],[Country]],Table5[400m Classification],"&gt;0")</f>
        <v>0</v>
      </c>
      <c r="AI47" s="6">
        <f>COUNTIFS(Table4[Country],Tabela1[[#This Row],[Country]],Table4[800m Classification],"&gt;0")</f>
        <v>0</v>
      </c>
      <c r="AJ47" s="6">
        <f>COUNTIFS(Table5[Country],Tabela1[[#This Row],[Country]],Table5[800m Classification],"&gt;0")</f>
        <v>0</v>
      </c>
      <c r="AK47" s="6">
        <f>COUNTIFS(Table4[Country],Tabela1[[#This Row],[Country]],Table4[1500m Classification],"&gt;0")</f>
        <v>0</v>
      </c>
      <c r="AL47" s="6">
        <f>COUNTIFS(Table5[Country],Tabela1[[#This Row],[Country]],Table5[1500m Classification],"&gt;0")</f>
        <v>0</v>
      </c>
      <c r="AM47" s="6">
        <f>COUNTIFS(Table4[Country],Tabela1[[#This Row],[Country]],Table4[5000m Classification],"&gt;0")</f>
        <v>0</v>
      </c>
      <c r="AN47" s="6">
        <f>COUNTIFS(Table5[Country],Tabela1[[#This Row],[Country]],Table5[5000m Classification],"&gt;0")</f>
        <v>0</v>
      </c>
      <c r="AO47" s="6">
        <f>COUNTIFS(Table4[Country],Tabela1[[#This Row],[Country]],Table4[10000m Classification],"&gt;0")</f>
        <v>0</v>
      </c>
      <c r="AP47" s="6">
        <f>COUNTIFS(Table5[Country],Tabela1[[#This Row],[Country]],Table5[10000m Classification],"&gt;0")</f>
        <v>0</v>
      </c>
      <c r="AQ47" s="6">
        <f>COUNTIFS(Table4[Country],Tabela1[[#This Row],[Country]],Table4[110m Hurdles Classification],"&gt;0")</f>
        <v>0</v>
      </c>
      <c r="AR47" s="6">
        <f>COUNTIFS(Table5[Country],Tabela1[[#This Row],[Country]],Table5[100m Hurdles Classification],"&gt;0")</f>
        <v>0</v>
      </c>
      <c r="AS47" s="6">
        <f>COUNTIFS(Table4[Country],Tabela1[[#This Row],[Country]],Table4[400m Hurdles Classification],"&gt;0")</f>
        <v>0</v>
      </c>
      <c r="AT47" s="6">
        <f>COUNTIFS(Table5[Country],Tabela1[[#This Row],[Country]],Table5[400m Hurdles Classification],"&gt;0")</f>
        <v>0</v>
      </c>
      <c r="AU47" s="6">
        <f>COUNTIFS(Table4[Country],Tabela1[[#This Row],[Country]],Table4[3000m Steeplechase Classification],"&gt;0")</f>
        <v>0</v>
      </c>
      <c r="AV47" s="6">
        <f>COUNTIFS(Table5[Country],Tabela1[[#This Row],[Country]],Table5[3000m Steeplechase Classification],"&gt;0")</f>
        <v>0</v>
      </c>
      <c r="AW47" s="6">
        <f>COUNTIFS(Table27[Country],Tabela1[[#This Row],[Country]],Table27[Men''s 4x100m Relay Classification],"&gt;0")</f>
        <v>0</v>
      </c>
      <c r="AX47" s="6">
        <f>COUNTIFS(Table27[Country],Tabela1[[#This Row],[Country]],Table27[Women''s 4x100m Relay Classification],"&gt;0")</f>
        <v>0</v>
      </c>
      <c r="AY47" s="6">
        <f>COUNTIFS(Table27[Country],Tabela1[[#This Row],[Country]],Table27[Men''s 4x400m Relay Classification],"&gt;0")</f>
        <v>0</v>
      </c>
      <c r="AZ47" s="6">
        <f>COUNTIFS(Table27[Country],Tabela1[[#This Row],[Country]],Table27[Women''s 4x400m Relay Classification],"&gt;0")</f>
        <v>0</v>
      </c>
      <c r="BA47" s="6">
        <f>COUNTIFS(Table27[Country],Tabela1[[#This Row],[Country]],Table27[Mixed 4x400m Relay Classification],"&gt;0")</f>
        <v>0</v>
      </c>
      <c r="BB47" s="6">
        <f>COUNTIFS(Table4[Country],Tabela1[[#This Row],[Country]],Table4[Marathon Classification],"&gt;0")</f>
        <v>0</v>
      </c>
      <c r="BC47" s="6">
        <f>COUNTIFS(Table5[Country],Tabela1[[#This Row],[Country]],Table5[Marathon Classification],"&gt;0")</f>
        <v>0</v>
      </c>
      <c r="BD47" s="6">
        <f>COUNTIFS(Table4[Country],Tabela1[[#This Row],[Country]],Table4[20km Race Walk Classification],"&gt;0")</f>
        <v>0</v>
      </c>
      <c r="BE47" s="6">
        <f>COUNTIFS(Table5[Country],Tabela1[[#This Row],[Country]],Table5[20km Race Walk Classification],"&gt;0")</f>
        <v>1</v>
      </c>
      <c r="BF47" s="6">
        <f>COUNTIFS(Tabela96[Country],Tabela1[[#This Row],[Country]],Tabela96[Mixed Marathon Race Walk Relay Classification],"&gt;0")</f>
        <v>0</v>
      </c>
      <c r="BG47" s="6">
        <f>COUNTIFS(Table4[Country],Tabela1[[#This Row],[Country]],Table4[Discus Throw Classification],"&gt;0")</f>
        <v>0</v>
      </c>
      <c r="BH47" s="6">
        <f>COUNTIFS(Table5[Country],Tabela1[[#This Row],[Country]],Table5[Discus Throw Classification],"&gt;0")</f>
        <v>0</v>
      </c>
      <c r="BI47" s="6">
        <f>COUNTIFS(Table4[Country],Tabela1[[#This Row],[Country]],Table4[Hammer Throw Classification],"&gt;0")</f>
        <v>0</v>
      </c>
      <c r="BJ47" s="6">
        <f>COUNTIFS(Table5[Country],Tabela1[[#This Row],[Country]],Table5[Hammer Throw Classification],"&gt;0")</f>
        <v>0</v>
      </c>
      <c r="BK47" s="6">
        <f>COUNTIFS(Table4[Country],Tabela1[[#This Row],[Country]],Table4[High Jump Classification],"&gt;0")</f>
        <v>0</v>
      </c>
      <c r="BL47" s="6">
        <f>COUNTIFS(Table5[Country],Tabela1[[#This Row],[Country]],Table5[High Jump Classification],"&gt;0")</f>
        <v>0</v>
      </c>
      <c r="BM47" s="6">
        <f>COUNTIFS(Table4[Country],Tabela1[[#This Row],[Country]],Table4[Javelin Throw Classification],"&gt;0")</f>
        <v>0</v>
      </c>
      <c r="BN47" s="6">
        <f>COUNTIFS(Table5[Country],Tabela1[[#This Row],[Country]],Table5[Javelin Throw Classification],"&gt;0")</f>
        <v>1</v>
      </c>
      <c r="BO47" s="6">
        <f>COUNTIFS(Table4[Country],Tabela1[[#This Row],[Country]],Table4[Long Jump Classification],"&gt;0")</f>
        <v>1</v>
      </c>
      <c r="BP47" s="6">
        <f>COUNTIFS(Table5[Country],Tabela1[[#This Row],[Country]],Table5[Long Jump Classification],"&gt;0")</f>
        <v>0</v>
      </c>
      <c r="BQ47" s="6">
        <f>COUNTIFS(Table4[Country],Tabela1[[#This Row],[Country]],Table4[Pole Vault Classification],"&gt;0")</f>
        <v>0</v>
      </c>
      <c r="BR47" s="6">
        <f>COUNTIFS(Table5[Country],Tabela1[[#This Row],[Country]],Table5[Pole Vault Classification],"&gt;0")</f>
        <v>1</v>
      </c>
      <c r="BS47" s="6">
        <f>COUNTIFS(Table4[Country],Tabela1[[#This Row],[Country]],Table4[Shot Put Classification],"&gt;0")</f>
        <v>0</v>
      </c>
      <c r="BT47" s="6">
        <f>COUNTIFS(Table5[Country],Tabela1[[#This Row],[Country]],Table5[Shot Put Classification],"&gt;0")</f>
        <v>0</v>
      </c>
      <c r="BU47" s="6">
        <f>COUNTIFS(Table4[Country],Tabela1[[#This Row],[Country]],Table4[Triple Jump Classification],"&gt;0")</f>
        <v>0</v>
      </c>
      <c r="BV47" s="6">
        <f>COUNTIFS(Table5[Country],Tabela1[[#This Row],[Country]],Table5[Triple Jump Classification],"&gt;0")</f>
        <v>0</v>
      </c>
      <c r="BW47" s="6">
        <f>COUNTIFS(Table4[Country],Tabela1[[#This Row],[Country]],Table4[Decathlon Classification],"&gt;0")</f>
        <v>0</v>
      </c>
      <c r="BX47" s="6">
        <f>COUNTIFS(Table5[Country],Tabela1[[#This Row],[Country]],Table5[Heptathlon Classification],"&gt;0")</f>
        <v>0</v>
      </c>
      <c r="BY47" s="6">
        <f>COUNTIFS(Table61[Country],Tabela1[[#This Row],[Country]],Table61[Classification],"&gt;0")</f>
        <v>0</v>
      </c>
      <c r="BZ47" s="6">
        <f>COUNTIFS(Table38[Country],Tabela1[[#This Row],[Country]],Table38[Classification],"&gt;0")</f>
        <v>0</v>
      </c>
      <c r="CA47" s="6">
        <f>COUNTIFS(Table39[Country],Tabela1[[#This Row],[Country]],Table39[Men''s Classification],"&gt;0")</f>
        <v>0</v>
      </c>
      <c r="CB47" s="6">
        <f>COUNTIFS(Table39[Country],Tabela1[[#This Row],[Country]],Table39[Women''s Classification],"&gt;0")</f>
        <v>0</v>
      </c>
      <c r="CC47" s="6">
        <f>COUNTIFS(Table39[Country],Tabela1[[#This Row],[Country]],Table39[Mixed Classification],"&gt;0")</f>
        <v>0</v>
      </c>
      <c r="CD47" s="6">
        <f>COUNTIFS(Table89[Country],Tabela1[[#This Row],[Country]],Table89[Men''s Classification],"&gt;0")</f>
        <v>1</v>
      </c>
      <c r="CE47" s="6">
        <f>COUNTIFS(Table89[Country],Tabela1[[#This Row],[Country]],Table89[Women''s Classification],"&gt;0")</f>
        <v>0</v>
      </c>
      <c r="CF47" s="6">
        <f>COUNTIFS(Table90[Country],Tabela1[[#This Row],[Country]],Table90[Men''s Classification],"&gt;0")</f>
        <v>0</v>
      </c>
      <c r="CG47" s="6">
        <f>COUNTIFS(Table90[Country],Tabela1[[#This Row],[Country]],Table90[Women''s Classification],"&gt;0")</f>
        <v>0</v>
      </c>
      <c r="CH47" s="6">
        <f>COUNTIFS(Table60[Country],Tabela1[[#This Row],[Country]],Table60[Men''s Classification],"&gt;0")</f>
        <v>0</v>
      </c>
      <c r="CI47" s="6">
        <f>COUNTIFS(Table60[Country],Tabela1[[#This Row],[Country]],Table60[Women''s Classification],"&gt;0")</f>
        <v>0</v>
      </c>
      <c r="CJ47" s="6">
        <f>COUNTIFS(Table6[Country],Tabela1[[#This Row],[Country]],Table6[51kg Classification],"&gt;0")</f>
        <v>0</v>
      </c>
      <c r="CK47" s="6">
        <f>COUNTIFS(Table6[Country],Tabela1[[#This Row],[Country]],Table6[57kg Classification],"&gt;0")</f>
        <v>0</v>
      </c>
      <c r="CL47" s="6">
        <f>COUNTIFS(Table6[Country],Tabela1[[#This Row],[Country]],Table6[63.5kg Classification],"&gt;0")</f>
        <v>0</v>
      </c>
      <c r="CM47" s="6">
        <f>COUNTIFS(Table6[Country],Tabela1[[#This Row],[Country]],Table6[71kg Classification],"&gt;0")</f>
        <v>0</v>
      </c>
      <c r="CN47" s="6">
        <f>COUNTIFS(Table6[Country],Tabela1[[#This Row],[Country]],Table6[80kg Classification],"&gt;0")</f>
        <v>0</v>
      </c>
      <c r="CO47" s="6">
        <f>COUNTIFS(Table6[Country],Tabela1[[#This Row],[Country]],Table6[92kg Classification],"&gt;0")</f>
        <v>0</v>
      </c>
      <c r="CP47" s="6">
        <f>COUNTIFS(Table6[Country],Tabela1[[#This Row],[Country]],Table6[Plus 92kg Classification],"&gt;0")</f>
        <v>0</v>
      </c>
      <c r="CQ47" s="6">
        <f>COUNTIFS(Table7[Country],Tabela1[[#This Row],[Country]],Table7[50kg Classification],"&gt;0")</f>
        <v>0</v>
      </c>
      <c r="CR47" s="6">
        <f>COUNTIFS(Table7[Country],Tabela1[[#This Row],[Country]],Table7[54kg Classification],"&gt;0")</f>
        <v>0</v>
      </c>
      <c r="CS47" s="6">
        <f>COUNTIFS(Table7[Country],Tabela1[[#This Row],[Country]],Table7[57kg Classification],"&gt;0")</f>
        <v>0</v>
      </c>
      <c r="CT47" s="6">
        <f>COUNTIFS(Table7[Country],Tabela1[[#This Row],[Country]],Table7[60kg Classification],"&gt;0")</f>
        <v>0</v>
      </c>
      <c r="CU47" s="6">
        <f>COUNTIFS(Table7[Country],Tabela1[[#This Row],[Country]],Table7[66kg Classification],"&gt;0")</f>
        <v>0</v>
      </c>
      <c r="CV47" s="6">
        <f>COUNTIFS(Table7[Country],Tabela1[[#This Row],[Country]],Table7[75kg Classification],"&gt;0")</f>
        <v>0</v>
      </c>
      <c r="CW47" s="6">
        <f>COUNTIFS(Tabela94[Country],Tabela1[[#This Row],[Country]],Tabela94[Classification],"&gt;0")</f>
        <v>0</v>
      </c>
      <c r="CX47" s="6">
        <f>COUNTIFS(Tabela9499[Country],Tabela1[[#This Row],[Country]],Tabela9499[Classification],"&gt;0")</f>
        <v>0</v>
      </c>
      <c r="CY47" s="6">
        <f>COUNTIFS(Tabela107[Country],Tabela1[[#This Row],[Country]],Tabela107[C1 Slalom Classification],"&gt;0")</f>
        <v>0</v>
      </c>
      <c r="CZ47" s="6">
        <f>COUNTIFS(Tabela107122[Country],Tabela1[[#This Row],[Country]],Tabela107122[C1 Slalom Classification],"&gt;0")</f>
        <v>0</v>
      </c>
      <c r="DA47" s="6">
        <f>COUNTIFS(Tabela107[Country],Tabela1[[#This Row],[Country]],Tabela107[K1 Slalom Classification],"&gt;0")</f>
        <v>0</v>
      </c>
      <c r="DB47" s="6">
        <f>COUNTIFS(Tabela107122[Country],Tabela1[[#This Row],[Country]],Tabela107122[K1 Slalom Classification],"&gt;0")</f>
        <v>0</v>
      </c>
      <c r="DC47" s="6">
        <f>COUNTIFS(Tabela107[Country],Tabela1[[#This Row],[Country]],Tabela107[Kayak Cross Slalom Classification],"&gt;0")</f>
        <v>0</v>
      </c>
      <c r="DD47" s="6">
        <f>COUNTIFS(Tabela107122[Country],Tabela1[[#This Row],[Country]],Tabela107122[Kayak Cross Slalom Classification],"&gt;0")</f>
        <v>0</v>
      </c>
      <c r="DE47" s="6">
        <f>COUNTIFS(Table8[Country],Tabela1[[#This Row],[Country]],Table8[C1 200m Classification],"&gt;0")</f>
        <v>0</v>
      </c>
      <c r="DF47" s="6">
        <f>COUNTIFS(Table40[Country],Tabela1[[#This Row],[Country]],Table40[C1 1000m Classification],"&gt;0")</f>
        <v>0</v>
      </c>
      <c r="DG47" s="6">
        <f>COUNTIFS(Table68[Country],Tabela1[[#This Row],[Country]],Table68[Men''s C2 500m Classification],"&gt;0")</f>
        <v>0</v>
      </c>
      <c r="DH47" s="6">
        <f>COUNTIFS(Table68[Country],Tabela1[[#This Row],[Country]],Table68[Women''s C2 500m Classification],"&gt;0")</f>
        <v>0</v>
      </c>
      <c r="DI47" s="6">
        <f>COUNTIFS(Table8[Country],Tabela1[[#This Row],[Country]],Table8[K1 500m Classification],"&gt;0")</f>
        <v>0</v>
      </c>
      <c r="DJ47" s="6">
        <f>COUNTIFS(Table40[Country],Tabela1[[#This Row],[Country]],Table40[K1 1000m Classification],"&gt;0")</f>
        <v>0</v>
      </c>
      <c r="DK47" s="6">
        <f>COUNTIFS(Table68[Country],Tabela1[[#This Row],[Country]],Table68[Men''s K2 500m Classification],"&gt;0")</f>
        <v>0</v>
      </c>
      <c r="DL47" s="6">
        <f>COUNTIFS(Table68[Country],Tabela1[[#This Row],[Country]],Table68[Women''s K2 500m Classification],"&gt;0")</f>
        <v>0</v>
      </c>
      <c r="DM47" s="6">
        <f>COUNTIFS(Table83[Country],Tabela1[[#This Row],[Country]],Table83[Men''s K4 500m Classification],"&gt;0")</f>
        <v>0</v>
      </c>
      <c r="DN47" s="6">
        <f>COUNTIFS(Table83[Country],Tabela1[[#This Row],[Country]],Table83[Women''s K4 500m Classification],"&gt;0")</f>
        <v>0</v>
      </c>
      <c r="DO47" s="6">
        <f>COUNTIFS(Tabela126[Country],Tabela1[[#This Row],[Country]],Tabela126[Classification],"&gt;0")</f>
        <v>0</v>
      </c>
      <c r="DP47" s="6">
        <f>COUNTIFS(Tabela126130[Country],Tabela1[[#This Row],[Country]],Tabela126130[Classification],"&gt;0")</f>
        <v>0</v>
      </c>
      <c r="DQ47" s="6">
        <f>COUNTIFS(Table70[Country],Tabela1[[#This Row],[Country]],Table70[Classification],"&gt;0")</f>
        <v>0</v>
      </c>
      <c r="DR47" s="6">
        <f>COUNTIFS(Table80[Country],Tabela1[[#This Row],[Country]],Table80[Classification],"&gt;0")</f>
        <v>0</v>
      </c>
      <c r="DS47" s="6">
        <f>COUNTIFS(Table66[Country],Tabela1[[#This Row],[Country]],Table66[Classification],"&gt;0")</f>
        <v>0</v>
      </c>
      <c r="DT47" s="6">
        <f>COUNTIFS(Table67[Country],Tabela1[[#This Row],[Country]],Table67[Classification],"&gt;0")</f>
        <v>0</v>
      </c>
      <c r="DU47" s="6">
        <f>COUNTIFS(Table69[Country],Tabela1[[#This Row],[Country]],Table69[Keirin Classification],"&gt;0")</f>
        <v>0</v>
      </c>
      <c r="DV47" s="6">
        <f>COUNTIFS(Table41[Country],Tabela1[[#This Row],[Country]],Table41[Keirin Classification],"&gt;0")</f>
        <v>0</v>
      </c>
      <c r="DW47" s="6">
        <f>COUNTIFS(Table84[Country],Tabela1[[#This Row],[Country]],Table84[Men''s Madison Classification],"&gt;0")</f>
        <v>0</v>
      </c>
      <c r="DX47" s="6">
        <f>COUNTIFS(Table84[Country],Tabela1[[#This Row],[Country]],Table84[Women''s Madison Classification],"&gt;0")</f>
        <v>0</v>
      </c>
      <c r="DY47" s="6">
        <f>COUNTIFS(Table69[Country],Tabela1[[#This Row],[Country]],Table69[Omnium Classification],"&gt;0")</f>
        <v>0</v>
      </c>
      <c r="DZ47" s="6">
        <f>COUNTIFS(Table41[Country],Tabela1[[#This Row],[Country]],Table41[Omnium Classification],"&gt;0")</f>
        <v>0</v>
      </c>
      <c r="EA47" s="6">
        <f>COUNTIFS(Table9[Country],Tabela1[[#This Row],[Country]],Table9[Road Race Classification],"&gt;0")</f>
        <v>1</v>
      </c>
      <c r="EB47" s="6">
        <f>COUNTIFS(Table14[Country],Tabela1[[#This Row],[Country]],Table14[Road Race Classification],"&gt;0")</f>
        <v>0</v>
      </c>
      <c r="EC47" s="6">
        <f>COUNTIFS(Table69[Country],Tabela1[[#This Row],[Country]],Table69[Sprint Classification],"&gt;0")</f>
        <v>0</v>
      </c>
      <c r="ED47" s="6">
        <f>COUNTIFS(Table41[Country],Tabela1[[#This Row],[Country]],Table41[Sprint Classification],"&gt;0")</f>
        <v>0</v>
      </c>
      <c r="EE47" s="6">
        <f>COUNTIFS(Table85[Country],Tabela1[[#This Row],[Country]],Table85[Men''s Sprint Classification],"&gt;0")</f>
        <v>0</v>
      </c>
      <c r="EF47" s="6">
        <f>COUNTIFS(Table85[Country],Tabela1[[#This Row],[Country]],Table85[Women''s Sprint Classification],"&gt;0")</f>
        <v>0</v>
      </c>
      <c r="EG47" s="6">
        <f>COUNTIFS(Table85[Country],Tabela1[[#This Row],[Country]],Table85[Men''s Pursuit Classification],"&gt;0")</f>
        <v>0</v>
      </c>
      <c r="EH47" s="6">
        <f>COUNTIFS(Table85[Country],Tabela1[[#This Row],[Country]],Table85[Women''s Pursuit Classification],"&gt;0")</f>
        <v>0</v>
      </c>
      <c r="EI47" s="6">
        <f>COUNTIFS(Table9[Country],Tabela1[[#This Row],[Country]],Table9[Time-Trial Classification],"&gt;0")</f>
        <v>0</v>
      </c>
      <c r="EJ47" s="6">
        <f>COUNTIFS(Table14[Country],Tabela1[[#This Row],[Country]],Table14[Time-Trial Classification],"&gt;0")</f>
        <v>0</v>
      </c>
      <c r="EK47" s="6">
        <f>COUNTIFS(Table42[Country],Tabela1[[#This Row],[Country]],Table42[Springboard Classification],"&gt;0")</f>
        <v>0</v>
      </c>
      <c r="EL47" s="6">
        <f>COUNTIFS(Table43[Country],Tabela1[[#This Row],[Country]],Table43[Springboard Classification],"&gt;0")</f>
        <v>0</v>
      </c>
      <c r="EM47" s="6">
        <f>COUNTIFS(Table42[Country],Tabela1[[#This Row],[Country]],Table42[Platform Classification],"&gt;0")</f>
        <v>0</v>
      </c>
      <c r="EN47" s="6">
        <f>COUNTIFS(Table43[Country],Tabela1[[#This Row],[Country]],Table43[Platform Classification],"&gt;0")</f>
        <v>0</v>
      </c>
      <c r="EO47" s="6">
        <f>COUNTIFS(Table86[Country],Tabela1[[#This Row],[Country]],Table86[Men''s Synchronized Springboard Classification],"&gt;0")</f>
        <v>0</v>
      </c>
      <c r="EP47" s="6">
        <f>COUNTIFS(Table86[Country],Tabela1[[#This Row],[Country]],Table86[Women''s Synchronized Springboard Classification],"&gt;0")</f>
        <v>0</v>
      </c>
      <c r="EQ47" s="6">
        <f>COUNTIFS(Table86[Country],Tabela1[[#This Row],[Country]],Table86[Men''s Synchronized Platform Classification],"&gt;0")</f>
        <v>0</v>
      </c>
      <c r="ER47" s="6">
        <f>COUNTIFS(Table86[Country],Tabela1[[#This Row],[Country]],Table86[Women''s Synchronized Platform Classification],"&gt;0")</f>
        <v>0</v>
      </c>
      <c r="ES47" s="6">
        <f>COUNTIFS(Table44[Country],Tabela1[[#This Row],[Country]],Table44[Dressage Classification],"&gt;0")</f>
        <v>0</v>
      </c>
      <c r="ET47" s="6">
        <f>COUNTIFS(Table45[Country],Tabela1[[#This Row],[Country]],Table45[Dressage Classification],"&gt;0")</f>
        <v>0</v>
      </c>
      <c r="EU47" s="6">
        <f>COUNTIFS(Table44[Country],Tabela1[[#This Row],[Country]],Table44[Eventing Classification],"&gt;0")</f>
        <v>0</v>
      </c>
      <c r="EV47" s="6">
        <f>COUNTIFS(Table45[Country],Tabela1[[#This Row],[Country]],Table45[Eventing Classification],"&gt;0")</f>
        <v>0</v>
      </c>
      <c r="EW47" s="6">
        <f>COUNTIFS(Table44[Country],Tabela1[[#This Row],[Country]],Table44[Jumping Classification],"&gt;0")</f>
        <v>0</v>
      </c>
      <c r="EX47" s="6">
        <f>COUNTIFS(Table45[Country],Tabela1[[#This Row],[Country]],Table45[Jumping Classification],"&gt;0")</f>
        <v>0</v>
      </c>
      <c r="EY47" s="6">
        <f>COUNTIFS(Table10[Country],Tabela1[[#This Row],[Country]],Table10[Épée Classification],"&gt;0")</f>
        <v>0</v>
      </c>
      <c r="EZ47" s="6">
        <f>COUNTIFS(Table11[Country],Tabela1[[#This Row],[Country]],Table11[Épée Classification],"&gt;0")</f>
        <v>0</v>
      </c>
      <c r="FA47" s="6">
        <f>COUNTIFS(Table46[Country],Tabela1[[#This Row],[Country]],Table46[Men''s Épée Classification],"&gt;0")</f>
        <v>0</v>
      </c>
      <c r="FB47" s="6">
        <f>COUNTIFS(Table46[Country],Tabela1[[#This Row],[Country]],Table46[Women''s Épée Classification],"&gt;0")</f>
        <v>0</v>
      </c>
      <c r="FC47" s="6">
        <f>COUNTIFS(Table10[Country],Tabela1[[#This Row],[Country]],Table10[Foil Classification],"&gt;0")</f>
        <v>0</v>
      </c>
      <c r="FD47" s="6">
        <f>COUNTIFS(Table11[Country],Tabela1[[#This Row],[Country]],Table11[Foil Classification],"&gt;0")</f>
        <v>0</v>
      </c>
      <c r="FE47" s="6">
        <f>COUNTIFS(Table46[Country],Tabela1[[#This Row],[Country]],Table46[Men''s Foil Classification],"&gt;0")</f>
        <v>0</v>
      </c>
      <c r="FF47" s="6">
        <f>COUNTIFS(Table46[Country],Tabela1[[#This Row],[Country]],Table46[Women''s Foil Classification],"&gt;0")</f>
        <v>0</v>
      </c>
      <c r="FG47" s="6">
        <f>COUNTIFS(Table10[Country],Tabela1[[#This Row],[Country]],Table10[Sabre Classification],"&gt;0")</f>
        <v>0</v>
      </c>
      <c r="FH47" s="6">
        <f>COUNTIFS(Table11[Country],Tabela1[[#This Row],[Country]],Table11[Sabre Classification],"&gt;0")</f>
        <v>0</v>
      </c>
      <c r="FI47" s="6">
        <f>COUNTIFS(Table46[Country],Tabela1[[#This Row],[Country]],Table46[Men''s Sabre Classification],"&gt;0")</f>
        <v>0</v>
      </c>
      <c r="FJ47" s="6">
        <f>COUNTIFS(Table46[Country],Tabela1[[#This Row],[Country]],Table46[Women''s Sabre Classification],"&gt;0")</f>
        <v>0</v>
      </c>
      <c r="FK47" s="6">
        <f>COUNTIFS(Table91[Country],Tabela1[[#This Row],[Country]],Table91[Men''s Classification],"&gt;0")</f>
        <v>0</v>
      </c>
      <c r="FL47" s="6">
        <f>COUNTIFS(Table91[Country],Tabela1[[#This Row],[Country]],Table91[Women''s Classification],"&gt;0")</f>
        <v>0</v>
      </c>
      <c r="FM47" s="6">
        <f>COUNTIFS(Table9194[Country],Tabela1[[#This Row],[Country]],Table9194[Men''s Classification],"&gt;0")</f>
        <v>0</v>
      </c>
      <c r="FN47" s="6">
        <f>COUNTIFS(Table9194[Country],Tabela1[[#This Row],[Country]],Table9194[Women''s Classification],"&gt;0")</f>
        <v>0</v>
      </c>
      <c r="FO47" s="6">
        <f>COUNTIFS(Table71[Country],Tabela1[[#This Row],[Country]],Table71[Classification],"&gt;0")</f>
        <v>0</v>
      </c>
      <c r="FP47" s="6">
        <f>COUNTIFS(Table62[Country],Tabela1[[#This Row],[Country]],Table62[Classification],"&gt;0")</f>
        <v>0</v>
      </c>
      <c r="FQ47" s="6">
        <f>COUNTIFS(Table47[Country],Tabela1[[#This Row],[Country]],Table47[All-Around Classification],"&gt;0")</f>
        <v>0</v>
      </c>
      <c r="FR47" s="6">
        <f>COUNTIFS(Table48[Country],Tabela1[[#This Row],[Country]],Table48[All-Around Classification],"&gt;0")</f>
        <v>0</v>
      </c>
      <c r="FS47" s="6">
        <f>COUNTIFS(Table81[Country],Tabela1[[#This Row],[Country]],Table81[Men''s All-Around Classification],"&gt;0")</f>
        <v>0</v>
      </c>
      <c r="FT47" s="6">
        <f>COUNTIFS(Table81[Country],Tabela1[[#This Row],[Country]],Table81[Women''s All-Around Classification],"&gt;0")</f>
        <v>0</v>
      </c>
      <c r="FU47" s="6">
        <f>COUNTIFS(Table48[Country],Tabela1[[#This Row],[Country]],Table48[Balance Beam Classification],"&gt;0")</f>
        <v>0</v>
      </c>
      <c r="FV47" s="6">
        <f>COUNTIFS(Table47[Country],Tabela1[[#This Row],[Country]],Table47[Floor Exercise Classification],"&gt;0")</f>
        <v>0</v>
      </c>
      <c r="FW47" s="6">
        <f>COUNTIFS(Table48[Country],Tabela1[[#This Row],[Country]],Table48[Floor Exercise Classification],"&gt;0")</f>
        <v>0</v>
      </c>
      <c r="FX47" s="6">
        <f>COUNTIFS(Table47[Country],Tabela1[[#This Row],[Country]],Table47[Horizontal Bar Classification],"&gt;0")</f>
        <v>0</v>
      </c>
      <c r="FY47" s="6">
        <f>COUNTIFS(Table47[Country],Tabela1[[#This Row],[Country]],Table47[Parallel Bars Classification],"&gt;0")</f>
        <v>0</v>
      </c>
      <c r="FZ47" s="6">
        <f>COUNTIFS(Table47[Country],Tabela1[[#This Row],[Country]],Table47[Pommel Horse Classification],"&gt;0")</f>
        <v>0</v>
      </c>
      <c r="GA47" s="6">
        <f>COUNTIFS(Table47[Country],Tabela1[[#This Row],[Country]],Table47[Rings Classification],"&gt;0")</f>
        <v>0</v>
      </c>
      <c r="GB47" s="6">
        <f>COUNTIFS(Tabela132[Country],Tabela1[[#This Row],[Country]],Tabela132[Classification],"&gt;0")</f>
        <v>0</v>
      </c>
      <c r="GC47" s="6">
        <f>COUNTIFS(Tabela139[Country],Tabela1[[#This Row],[Country]],Tabela139[Classification],"&gt;0")</f>
        <v>0</v>
      </c>
      <c r="GD47" s="6">
        <f>COUNTIFS(Table48[Country],Tabela1[[#This Row],[Country]],Table48[Uneven Bars Classification],"&gt;0")</f>
        <v>0</v>
      </c>
      <c r="GE47" s="6">
        <f>COUNTIFS(Table47[Country],Tabela1[[#This Row],[Country]],Table47[Vault Classification],"&gt;0")</f>
        <v>0</v>
      </c>
      <c r="GF47" s="6">
        <f>COUNTIFS(Table48[Country],Tabela1[[#This Row],[Country]],Table48[Vault Classification],"&gt;0")</f>
        <v>0</v>
      </c>
      <c r="GG47" s="6">
        <f>COUNTIFS(Table919496[Country],Tabela1[[#This Row],[Country]],Table919496[Men''s Classification],"&gt;0")</f>
        <v>0</v>
      </c>
      <c r="GH47" s="6">
        <f>COUNTIFS(Table919496[Country],Tabela1[[#This Row],[Country]],Table919496[Women''s Classification],"&gt;0")</f>
        <v>0</v>
      </c>
      <c r="GI47" s="6">
        <f>COUNTIFS(Table12[Country],Tabela1[[#This Row],[Country]],Table12[60kg Classification],"&gt;0")</f>
        <v>0</v>
      </c>
      <c r="GJ47" s="6">
        <f>COUNTIFS(Table12[Country],Tabela1[[#This Row],[Country]],Table12[66kg Classification],"&gt;0")</f>
        <v>0</v>
      </c>
      <c r="GK47" s="6">
        <f>COUNTIFS(Table12[Country],Tabela1[[#This Row],[Country]],Table12[73kg Classification],"&gt;0")</f>
        <v>0</v>
      </c>
      <c r="GL47" s="6">
        <f>COUNTIFS(Table12[Country],Tabela1[[#This Row],[Country]],Table12[81kg Classification],"&gt;0")</f>
        <v>0</v>
      </c>
      <c r="GM47" s="6">
        <f>COUNTIFS(Table12[Country],Tabela1[[#This Row],[Country]],Table12[90kg Classification],"&gt;0")</f>
        <v>0</v>
      </c>
      <c r="GN47" s="6">
        <f>COUNTIFS(Table12[Country],Tabela1[[#This Row],[Country]],Table12[100kg Classification],"&gt;0")</f>
        <v>0</v>
      </c>
      <c r="GO47" s="6">
        <f>COUNTIFS(Table12[Country],Tabela1[[#This Row],[Country]],Table12[Plus 100kg Classification],"&gt;0")</f>
        <v>0</v>
      </c>
      <c r="GP47" s="6">
        <f>COUNTIFS(Table13[Country],Tabela1[[#This Row],[Country]],Table13[48kg Classification],"&gt;0")</f>
        <v>0</v>
      </c>
      <c r="GQ47" s="6">
        <f>COUNTIFS(Table13[Country],Tabela1[[#This Row],[Country]],Table13[52kg Classification],"&gt;0")</f>
        <v>0</v>
      </c>
      <c r="GR47" s="6">
        <f>COUNTIFS(Table13[Country],Tabela1[[#This Row],[Country]],Table13[57kg Classification],"&gt;0")</f>
        <v>0</v>
      </c>
      <c r="GS47" s="6">
        <f>COUNTIFS(Table13[Country],Tabela1[[#This Row],[Country]],Table13[63kg Classification],"&gt;0")</f>
        <v>0</v>
      </c>
      <c r="GT47" s="6">
        <f>COUNTIFS(Table13[Country],Tabela1[[#This Row],[Country]],Table13[70kg Classification],"&gt;0")</f>
        <v>1</v>
      </c>
      <c r="GU47" s="6">
        <f>COUNTIFS(Table13[Country],Tabela1[[#This Row],[Country]],Table13[78kg Classification],"&gt;0")</f>
        <v>0</v>
      </c>
      <c r="GV47" s="6">
        <f>COUNTIFS(Table13[Country],Tabela1[[#This Row],[Country]],Table13[Plus 78kg Classification],"&gt;0")</f>
        <v>0</v>
      </c>
      <c r="GW47" s="6">
        <f>COUNTIFS(Table82[Country],Tabela1[[#This Row],[Country]],Table82[Mixed Classification],"&gt;0")</f>
        <v>0</v>
      </c>
      <c r="GX47" s="6">
        <f>COUNTIFS(Table51[Country],Tabela1[[#This Row],[Country]],Table51[Classification],"&gt;0")</f>
        <v>0</v>
      </c>
      <c r="GY47" s="6">
        <f>COUNTIFS(Table52[Country],Tabela1[[#This Row],[Country]],Table52[Classification],"&gt;0")</f>
        <v>0</v>
      </c>
      <c r="GZ47" s="6">
        <f>COUNTIFS(Table32[Country],Tabela1[[#This Row],[Country]],Table32[All-Around Classification],"&gt;0")</f>
        <v>0</v>
      </c>
      <c r="HA47" s="6">
        <f>COUNTIFS(Table49[Country],Tabela1[[#This Row],[Country]],Table49[All-Around Classification],"&gt;0")</f>
        <v>0</v>
      </c>
      <c r="HB47" s="6">
        <f>COUNTIFS(Table26[Country],Tabela1[[#This Row],[Country]],Table26[Single Sculls Classification],"&gt;0")</f>
        <v>0</v>
      </c>
      <c r="HC47" s="6">
        <f>COUNTIFS(Table63[Country],Tabela1[[#This Row],[Country]],Table63[Single Sculls Classification],"&gt;0")</f>
        <v>0</v>
      </c>
      <c r="HD47" s="6">
        <f>COUNTIFS(Table16[Country],Tabela1[[#This Row],[Country]],Table16[Men''s Double Sculls Classification],"&gt;0")</f>
        <v>0</v>
      </c>
      <c r="HE47" s="6">
        <f>COUNTIFS(Table16[Country],Tabela1[[#This Row],[Country]],Table16[Women''s Double Sculls Classification],"&gt;0")</f>
        <v>0</v>
      </c>
      <c r="HF47" s="6">
        <f>COUNTIFS(Table72[Country],Tabela1[[#This Row],[Country]],Table72[Men''s Quadruple Sculls Classification],"&gt;0")</f>
        <v>0</v>
      </c>
      <c r="HG47" s="6">
        <f>COUNTIFS(Table72[Country],Tabela1[[#This Row],[Country]],Table72[Women''s Quadruple Sculls Classification],"&gt;0")</f>
        <v>0</v>
      </c>
      <c r="HH47" s="6">
        <f>COUNTIFS(Table16[Country],Tabela1[[#This Row],[Country]],Table16[Men''s Coxless Pairs Classification],"&gt;0")</f>
        <v>0</v>
      </c>
      <c r="HI47" s="6">
        <f>COUNTIFS(Table16[Country],Tabela1[[#This Row],[Country]],Table16[Women''s Coxless Pairs Classification],"&gt;0")</f>
        <v>1</v>
      </c>
      <c r="HJ47" s="6">
        <f>COUNTIFS(Table72[Country],Tabela1[[#This Row],[Country]],Table72[Men''s Coxless Fours Classification],"&gt;0")</f>
        <v>0</v>
      </c>
      <c r="HK47" s="6">
        <f>COUNTIFS(Table72[Country],Tabela1[[#This Row],[Country]],Table72[Women''s Coxless Fours Classification],"&gt;0")</f>
        <v>0</v>
      </c>
      <c r="HL47" s="6">
        <f>COUNTIFS(Table72[Country],Tabela1[[#This Row],[Country]],Table72[Men''s Eights Classification],"&gt;0")</f>
        <v>0</v>
      </c>
      <c r="HM47" s="6">
        <f>COUNTIFS(Table72[Country],Tabela1[[#This Row],[Country]],Table72[Women''s Eights Classification],"&gt;0")</f>
        <v>0</v>
      </c>
      <c r="HN47" s="6">
        <f>COUNTIFS(Table16[Country],Tabela1[[#This Row],[Country]],Table16[Men''s Lwt. Double Sculls Classification],"&gt;0")</f>
        <v>1</v>
      </c>
      <c r="HO47" s="6">
        <f>COUNTIFS(Table16[Country],Tabela1[[#This Row],[Country]],Table16[Women''s Lwt. Double Sculls Classification],"&gt;0")</f>
        <v>0</v>
      </c>
      <c r="HP47" s="6">
        <f>COUNTIFS(Table91949698[Country],Tabela1[[#This Row],[Country]],Table91949698[Men''s Classification],"&gt;0")</f>
        <v>0</v>
      </c>
      <c r="HQ47" s="6">
        <f>COUNTIFS(Table91949698[Country],Tabela1[[#This Row],[Country]],Table91949698[Women''s Classification],"&gt;0")</f>
        <v>0</v>
      </c>
      <c r="HR47" s="6">
        <f>COUNTIFS(Table25[Country],Tabela1[[#This Row],[Country]],Table25[Mixed 470 Classification],"&gt;0")</f>
        <v>1</v>
      </c>
      <c r="HS47" s="6">
        <f>COUNTIFS(Table25[Country],Tabela1[[#This Row],[Country]],Table25[Men''s 49er Classification],"&gt;0")</f>
        <v>0</v>
      </c>
      <c r="HT47" s="6">
        <f>COUNTIFS(Table25[Country],Tabela1[[#This Row],[Country]],Table25[Women''s 49er FX Classification],"&gt;0")</f>
        <v>0</v>
      </c>
      <c r="HU47" s="6">
        <f>COUNTIFS(Table17[Country],Tabela1[[#This Row],[Country]],Table17[Formula Kite Classification],"&gt;0")</f>
        <v>0</v>
      </c>
      <c r="HV47" s="6">
        <f>COUNTIFS(Table18[Country],Tabela1[[#This Row],[Country]],Table18[Formula Kite Classification],"&gt;0")</f>
        <v>0</v>
      </c>
      <c r="HW47" s="6">
        <f>COUNTIFS(Table17[Country],Tabela1[[#This Row],[Country]],Table17[ILCA 7 Classification],"&gt;0")</f>
        <v>0</v>
      </c>
      <c r="HX47" s="6">
        <f>COUNTIFS(Table18[Country],Tabela1[[#This Row],[Country]],Table18[ILCA 6 Classification],"&gt;0")</f>
        <v>0</v>
      </c>
      <c r="HY47" s="6">
        <f>COUNTIFS(Table17[Country],Tabela1[[#This Row],[Country]],Table17[IQFoil Classification],"&gt;0")</f>
        <v>0</v>
      </c>
      <c r="HZ47" s="6">
        <f>COUNTIFS(Table18[Country],Tabela1[[#This Row],[Country]],Table18[IQFoil Classification],"&gt;0")</f>
        <v>0</v>
      </c>
      <c r="IA47" s="6">
        <f>COUNTIFS(Table25[Country],Tabela1[[#This Row],[Country]],Table25[Mixed Nacra 17 Classification],"&gt;0")</f>
        <v>0</v>
      </c>
      <c r="IB47" s="6">
        <f>COUNTIFS(Table53[Country],Tabela1[[#This Row],[Country]],Table53[10m Air Pistol Classification],"&gt;0")</f>
        <v>0</v>
      </c>
      <c r="IC47" s="6">
        <f>COUNTIFS(Table19[Country],Tabela1[[#This Row],[Country]],Table19[10m Air Pistol Classification],"&gt;0")</f>
        <v>0</v>
      </c>
      <c r="ID47" s="6">
        <f>COUNTIFS(Table54[Country],Tabela1[[#This Row],[Country]],Table54[Mixed 10m Air Pistol Team Classification],"&gt;0")</f>
        <v>0</v>
      </c>
      <c r="IE47" s="6">
        <f>COUNTIFS(Table53[Country],Tabela1[[#This Row],[Country]],Table53[10m Air Rifle Classification],"&gt;0")</f>
        <v>0</v>
      </c>
      <c r="IF47" s="6">
        <f>COUNTIFS(Table19[Country],Tabela1[[#This Row],[Country]],Table19[10m Air Rifle Classification],"&gt;0")</f>
        <v>0</v>
      </c>
      <c r="IG47" s="6">
        <f>COUNTIFS(Table54[Country],Tabela1[[#This Row],[Country]],Table54[Mixed 10m Air Rifle Team Classification],"&gt;0")</f>
        <v>0</v>
      </c>
      <c r="IH47" s="6">
        <f>COUNTIFS(Table53[Country],Tabela1[[#This Row],[Country]],Table53[25m Rapid Fire Pistol Classification],"&gt;0")</f>
        <v>0</v>
      </c>
      <c r="II47" s="6">
        <f>COUNTIFS(Table19[Country],Tabela1[[#This Row],[Country]],Table19[25m Pistol Classification],"&gt;0")</f>
        <v>0</v>
      </c>
      <c r="IJ47" s="6">
        <f>COUNTIFS(Table53[Country],Tabela1[[#This Row],[Country]],Table53[50m Rifle 3 Positions Classification],"&gt;0")</f>
        <v>0</v>
      </c>
      <c r="IK47" s="6">
        <f>COUNTIFS(Table19[Country],Tabela1[[#This Row],[Country]],Table19[50m Rifle 3 Positions Classification],"&gt;0")</f>
        <v>0</v>
      </c>
      <c r="IL47" s="6">
        <f>COUNTIFS(Table53[Country],Tabela1[[#This Row],[Country]],Table53[Skeet Classification],"&gt;0")</f>
        <v>0</v>
      </c>
      <c r="IM47" s="6">
        <f>COUNTIFS(Table19[Country],Tabela1[[#This Row],[Country]],Table19[Skeet Classification],"&gt;0")</f>
        <v>0</v>
      </c>
      <c r="IN47" s="6">
        <f>COUNTIFS(Table54[Country],Tabela1[[#This Row],[Country]],Table54[Mixed Skeet Team Classification],"&gt;0")</f>
        <v>0</v>
      </c>
      <c r="IO47" s="6">
        <f>COUNTIFS(Table53[Country],Tabela1[[#This Row],[Country]],Table53[Trap Classification],"&gt;0")</f>
        <v>0</v>
      </c>
      <c r="IP47" s="6">
        <f>COUNTIFS(Table19[Country],Tabela1[[#This Row],[Country]],Table19[Trap Classification],"&gt;0")</f>
        <v>0</v>
      </c>
      <c r="IQ47" s="6">
        <f>COUNTIFS(Table73[Country],Tabela1[[#This Row],[Country]],Table73[Park Classification],"&gt;0")</f>
        <v>0</v>
      </c>
      <c r="IR47" s="6">
        <f>COUNTIFS(Table74[Country],Tabela1[[#This Row],[Country]],Table74[Park Classification],"&gt;0")</f>
        <v>0</v>
      </c>
      <c r="IS47" s="6">
        <f>COUNTIFS(Table73[Country],Tabela1[[#This Row],[Country]],Table73[Street Classification],"&gt;0")</f>
        <v>0</v>
      </c>
      <c r="IT47" s="6">
        <f>COUNTIFS(Table74[Country],Tabela1[[#This Row],[Country]],Table74[Street Classification],"&gt;0")</f>
        <v>0</v>
      </c>
      <c r="IU47" s="6">
        <f>COUNTIFS(Table75[Country],Tabela1[[#This Row],[Country]],Table75[Boulder and Lead Classification],"&gt;0")</f>
        <v>0</v>
      </c>
      <c r="IV47" s="6">
        <f>COUNTIFS(Table76[Country],Tabela1[[#This Row],[Country]],Table76[Boulder and Lead Classification],"&gt;0")</f>
        <v>0</v>
      </c>
      <c r="IW47" s="6">
        <f>COUNTIFS(Table75[Country],Tabela1[[#This Row],[Country]],Table75[Speed Classification],"&gt;0")</f>
        <v>0</v>
      </c>
      <c r="IX47" s="6">
        <f>COUNTIFS(Table76[Country],Tabela1[[#This Row],[Country]],Table76[Speed Classification],"&gt;0")</f>
        <v>0</v>
      </c>
      <c r="IY47" s="6">
        <f>COUNTIFS(Table64[Country],Tabela1[[#This Row],[Country]],Table64[Shortboard Classification],"&gt;0")</f>
        <v>0</v>
      </c>
      <c r="IZ47" s="6">
        <f>COUNTIFS(Table77[Country],Tabela1[[#This Row],[Country]],Table77[Shortboard Classification],"&gt;0")</f>
        <v>0</v>
      </c>
      <c r="JA47" s="6">
        <f>COUNTIFS(Table20[Country],Tabela1[[#This Row],[Country]],Table20[50m Freestyle Classification],"&gt;0")</f>
        <v>1</v>
      </c>
      <c r="JB47" s="6">
        <f>COUNTIFS(Table21[Country],Tabela1[[#This Row],[Country]],Table21[50m Freestyle Classification],"&gt;0")</f>
        <v>0</v>
      </c>
      <c r="JC47" s="6">
        <f>COUNTIFS(Table20[Country],Tabela1[[#This Row],[Country]],Table20[100m Freestyle Classification],"&gt;0")</f>
        <v>0</v>
      </c>
      <c r="JD47" s="6">
        <f>COUNTIFS(Table21[Country],Tabela1[[#This Row],[Country]],Table21[100m Freestyle Classification],"&gt;0")</f>
        <v>0</v>
      </c>
      <c r="JE47" s="6">
        <f>COUNTIFS(Table20[Country],Tabela1[[#This Row],[Country]],Table20[200m Freestyle Classification],"&gt;0")</f>
        <v>0</v>
      </c>
      <c r="JF47" s="6">
        <f>COUNTIFS(Table21[Country],Tabela1[[#This Row],[Country]],Table21[200m Freestyle Classification],"&gt;0")</f>
        <v>0</v>
      </c>
      <c r="JG47" s="6">
        <f>COUNTIFS(Table20[Country],Tabela1[[#This Row],[Country]],Table20[400m Freestyle Classification],"&gt;0")</f>
        <v>0</v>
      </c>
      <c r="JH47" s="6">
        <f>COUNTIFS(Table21[Country],Tabela1[[#This Row],[Country]],Table21[400m Freestyle Classification],"&gt;0")</f>
        <v>0</v>
      </c>
      <c r="JI47" s="6">
        <f>COUNTIFS(Table20[Country],Tabela1[[#This Row],[Country]],Table20[800m Freestyle Classification],"&gt;0")</f>
        <v>0</v>
      </c>
      <c r="JJ47" s="6">
        <f>COUNTIFS(Table21[Country],Tabela1[[#This Row],[Country]],Table21[800m Freestyle Classification],"&gt;0")</f>
        <v>0</v>
      </c>
      <c r="JK47" s="6">
        <f>COUNTIFS(Table20[Country],Tabela1[[#This Row],[Country]],Table20[1500m Freestyle Classification],"&gt;0")</f>
        <v>0</v>
      </c>
      <c r="JL47" s="6">
        <f>COUNTIFS(Table21[Country],Tabela1[[#This Row],[Country]],Table21[1500m Freestyle Classification],"&gt;0")</f>
        <v>0</v>
      </c>
      <c r="JM47" s="6">
        <f>COUNTIFS(Table20[Country],Tabela1[[#This Row],[Country]],Table20[100m Backstroke Classification],"&gt;0")</f>
        <v>0</v>
      </c>
      <c r="JN47" s="6">
        <f>COUNTIFS(Table21[Country],Tabela1[[#This Row],[Country]],Table21[100m Backstroke Classification],"&gt;0")</f>
        <v>0</v>
      </c>
      <c r="JO47" s="6">
        <f>COUNTIFS(Table20[Country],Tabela1[[#This Row],[Country]],Table20[200m Backstroke Classification],"&gt;0")</f>
        <v>0</v>
      </c>
      <c r="JP47" s="6">
        <f>COUNTIFS(Table21[Country],Tabela1[[#This Row],[Country]],Table21[200m Backstroke Classification],"&gt;0")</f>
        <v>0</v>
      </c>
      <c r="JQ47" s="6">
        <f>COUNTIFS(Table20[Country],Tabela1[[#This Row],[Country]],Table20[100m Breaststroke Classification],"&gt;0")</f>
        <v>0</v>
      </c>
      <c r="JR47" s="6">
        <f>COUNTIFS(Table21[Country],Tabela1[[#This Row],[Country]],Table21[100m Breaststroke Classification],"&gt;0")</f>
        <v>0</v>
      </c>
      <c r="JS47" s="6">
        <f>COUNTIFS(Table20[Country],Tabela1[[#This Row],[Country]],Table20[200m Breaststroke Classification],"&gt;0")</f>
        <v>0</v>
      </c>
      <c r="JT47" s="6">
        <f>COUNTIFS(Table21[Country],Tabela1[[#This Row],[Country]],Table21[200m Breaststroke Classification],"&gt;0")</f>
        <v>0</v>
      </c>
      <c r="JU47" s="6">
        <f>COUNTIFS(Table20[Country],Tabela1[[#This Row],[Country]],Table20[100m Butterfly Classification],"&gt;0")</f>
        <v>0</v>
      </c>
      <c r="JV47" s="6">
        <f>COUNTIFS(Table21[Country],Tabela1[[#This Row],[Country]],Table21[100m Butterfly Classification],"&gt;0")</f>
        <v>0</v>
      </c>
      <c r="JW47" s="6">
        <f>COUNTIFS(Table20[Country],Tabela1[[#This Row],[Country]],Table20[200m Butterfly Classification],"&gt;0")</f>
        <v>0</v>
      </c>
      <c r="JX47" s="6">
        <f>COUNTIFS(Table21[Country],Tabela1[[#This Row],[Country]],Table21[200m Butterfly Classification],"&gt;0")</f>
        <v>0</v>
      </c>
      <c r="JY47" s="6">
        <f>COUNTIFS(Table20[Country],Tabela1[[#This Row],[Country]],Table20[200m Medley Classification],"&gt;0")</f>
        <v>0</v>
      </c>
      <c r="JZ47" s="6">
        <f>COUNTIFS(Table21[Country],Tabela1[[#This Row],[Country]],Table21[200m Medley Classification],"&gt;0")</f>
        <v>0</v>
      </c>
      <c r="KA47" s="6">
        <f>COUNTIFS(Table20[Country],Tabela1[[#This Row],[Country]],Table20[400m Medley Classification],"&gt;0")</f>
        <v>0</v>
      </c>
      <c r="KB47" s="6">
        <f>COUNTIFS(Table21[Country],Tabela1[[#This Row],[Country]],Table21[400m Medley Classification],"&gt;0")</f>
        <v>0</v>
      </c>
      <c r="KC47" s="6">
        <f>COUNTIFS(Table78[Country],Tabela1[[#This Row],[Country]],Table78[Men''s 4x100m Freestyle Relay Classification],"&gt;0")</f>
        <v>1</v>
      </c>
      <c r="KD47" s="6">
        <f>COUNTIFS(Table78[Country],Tabela1[[#This Row],[Country]],Table78[Women''s 4x100m Freestyle Relay Classification],"&gt;0")</f>
        <v>0</v>
      </c>
      <c r="KE47" s="6">
        <f>COUNTIFS(Table78[Country],Tabela1[[#This Row],[Country]],Table78[Men''s 4x200m Freestyle Relay Classification],"&gt;0")</f>
        <v>0</v>
      </c>
      <c r="KF47" s="6">
        <f>COUNTIFS(Table78[Country],Tabela1[[#This Row],[Country]],Table78[Women''s 4x200m Freestyle Relay Classification],"&gt;0")</f>
        <v>0</v>
      </c>
      <c r="KG47" s="6">
        <f>COUNTIFS(Table78[Country],Tabela1[[#This Row],[Country]],Table78[Men''s 4x100m Medley Relay Classification],"&gt;0")</f>
        <v>0</v>
      </c>
      <c r="KH47" s="6">
        <f>COUNTIFS(Table78[Country],Tabela1[[#This Row],[Country]],Table78[Women''s 4x100m Medley Relay Classification],"&gt;0")</f>
        <v>0</v>
      </c>
      <c r="KI47" s="6">
        <f>COUNTIFS(Table78[Country],Tabela1[[#This Row],[Country]],Table78[Mixed 4x100m Medley Relay Classification],"&gt;0")</f>
        <v>0</v>
      </c>
      <c r="KJ47" s="6">
        <f>COUNTIFS(Table20[Country],Tabela1[[#This Row],[Country]],Table20[10km Open Water Classification],"&gt;0")</f>
        <v>0</v>
      </c>
      <c r="KK47" s="6">
        <f>COUNTIFS(Table21[Country],Tabela1[[#This Row],[Country]],Table21[10km Open Water Classification],"&gt;0")</f>
        <v>0</v>
      </c>
      <c r="KL47" s="6">
        <f>COUNTIFS(Table22[Country],Tabela1[[#This Row],[Country]],Table22[Classification],"&gt;0")</f>
        <v>0</v>
      </c>
      <c r="KM47" s="6">
        <f>COUNTIFS(Table30[Country],Tabela1[[#This Row],[Country]],Table30[Classification],"&gt;0")</f>
        <v>0</v>
      </c>
      <c r="KN47" s="6">
        <f>COUNTIFS(Table55[Country],Tabela1[[#This Row],[Country]],Table55[Men''s Classification],"&gt;0")</f>
        <v>0</v>
      </c>
      <c r="KO47" s="6">
        <f>COUNTIFS(Table55[Country],Tabela1[[#This Row],[Country]],Table55[Women''s Classification],"&gt;0")</f>
        <v>0</v>
      </c>
      <c r="KP47" s="6">
        <f>COUNTIFS(Table56[Country],Tabela1[[#This Row],[Country]],Table56[Mixed Classification],"&gt;0")</f>
        <v>0</v>
      </c>
      <c r="KQ47" s="6">
        <f>COUNTIFS(Table29[Country],Tabela1[[#This Row],[Country]],Table29[58kg Classification],"&gt;0")</f>
        <v>0</v>
      </c>
      <c r="KR47" s="6">
        <f>COUNTIFS(Table29[Country],Tabela1[[#This Row],[Country]],Table29[68kg Classification],"&gt;0")</f>
        <v>0</v>
      </c>
      <c r="KS47" s="6">
        <f>COUNTIFS(Table29[Country],Tabela1[[#This Row],[Country]],Table29[80kg Classification],"&gt;0")</f>
        <v>0</v>
      </c>
      <c r="KT47" s="6">
        <f>COUNTIFS(Table29[Country],Tabela1[[#This Row],[Country]],Table29[Plus 80kg Classification],"&gt;0")</f>
        <v>0</v>
      </c>
      <c r="KU47" s="6">
        <f>COUNTIFS(Table34[Country],Tabela1[[#This Row],[Country]],Table34[49kg Classification],"&gt;0")</f>
        <v>0</v>
      </c>
      <c r="KV47" s="6">
        <f>COUNTIFS(Table34[Country],Tabela1[[#This Row],[Country]],Table34[57kg Classification],"&gt;0")</f>
        <v>0</v>
      </c>
      <c r="KW47" s="6">
        <f>COUNTIFS(Table34[Country],Tabela1[[#This Row],[Country]],Table34[67kg Classification],"&gt;0")</f>
        <v>0</v>
      </c>
      <c r="KX47" s="6">
        <f>COUNTIFS(Table34[Country],Tabela1[[#This Row],[Country]],Table34[Plus 67kg Classification],"&gt;0")</f>
        <v>0</v>
      </c>
      <c r="KY47" s="6">
        <f>COUNTIFS(Table57[Country],Tabela1[[#This Row],[Country]],Table57[Classification],"&gt;0")</f>
        <v>0</v>
      </c>
      <c r="KZ47" s="6">
        <f>COUNTIFS(Table58[Country],Tabela1[[#This Row],[Country]],Table58[Classification],"&gt;0")</f>
        <v>0</v>
      </c>
      <c r="LA47" s="6">
        <f>COUNTIFS(Table79[Country],Tabela1[[#This Row],[Country]],Table79[Men''s Classification],"&gt;0")</f>
        <v>0</v>
      </c>
      <c r="LB47" s="6">
        <f>COUNTIFS(Table79[Country],Tabela1[[#This Row],[Country]],Table79[Women''s Classification],"&gt;0")</f>
        <v>0</v>
      </c>
      <c r="LC47" s="6">
        <f>COUNTIFS(Table79[Country],Tabela1[[#This Row],[Country]],Table79[Mixed Classification],"&gt;0")</f>
        <v>0</v>
      </c>
      <c r="LD47" s="6">
        <f>COUNTIFS(Table65[Country],Tabela1[[#This Row],[Country]],Table65[Classification],"&gt;0")</f>
        <v>0</v>
      </c>
      <c r="LE47" s="6">
        <f>COUNTIFS(Table59[Country],Tabela1[[#This Row],[Country]],Table59[Classification],"&gt;0")</f>
        <v>0</v>
      </c>
      <c r="LF47" s="6">
        <f>COUNTIFS(Table87[Country],Tabela1[[#This Row],[Country]],Table87[Mixed Relay Classification],"&gt;0")</f>
        <v>0</v>
      </c>
      <c r="LG47" s="6">
        <f>COUNTIFS(Table91949698100[Country],Tabela1[[#This Row],[Country]],Table91949698100[Men''s Classification],"&gt;0")</f>
        <v>0</v>
      </c>
      <c r="LH47" s="6">
        <f>COUNTIFS(Table91949698100[Country],Tabela1[[#This Row],[Country]],Table91949698100[Women''s Classification],"&gt;0")</f>
        <v>0</v>
      </c>
      <c r="LI47" s="6">
        <f>COUNTIFS(Table91949698100102[Country],Tabela1[[#This Row],[Country]],Table91949698100102[Men''s Classification],"&gt;0")</f>
        <v>1</v>
      </c>
      <c r="LJ47" s="6">
        <f>COUNTIFS(Table91949698100102[Country],Tabela1[[#This Row],[Country]],Table91949698100102[Women''s Classification],"&gt;0")</f>
        <v>1</v>
      </c>
      <c r="LK47" s="6">
        <f>COUNTIFS(Table23[Country],Tabela1[[#This Row],[Country]],Table23[61kg Classification],"&gt;0")</f>
        <v>0</v>
      </c>
      <c r="LL47" s="6">
        <f>COUNTIFS(Table23[Country],Tabela1[[#This Row],[Country]],Table23[73kg Classification],"&gt;0")</f>
        <v>0</v>
      </c>
      <c r="LM47" s="6">
        <f>COUNTIFS(Table23[Country],Tabela1[[#This Row],[Country]],Table23[89kg Classification],"&gt;0")</f>
        <v>0</v>
      </c>
      <c r="LN47" s="6">
        <f>COUNTIFS(Table23[Country],Tabela1[[#This Row],[Country]],Table23[102kg Classification],"&gt;0")</f>
        <v>0</v>
      </c>
      <c r="LO47" s="6">
        <f>COUNTIFS(Table23[Country],Tabela1[[#This Row],[Country]],Table23[Plus 102kg Classification],"&gt;0")</f>
        <v>0</v>
      </c>
      <c r="LP47" s="6">
        <f>COUNTIFS(Table28[Country],Tabela1[[#This Row],[Country]],Table28[49kg Classification],"&gt;0")</f>
        <v>0</v>
      </c>
      <c r="LQ47" s="6">
        <f>COUNTIFS(Table28[Country],Tabela1[[#This Row],[Country]],Table28[59kg Classification],"&gt;0")</f>
        <v>0</v>
      </c>
      <c r="LR47" s="6">
        <f>COUNTIFS(Table28[Country],Tabela1[[#This Row],[Country]],Table28[71kg Classification],"&gt;0")</f>
        <v>0</v>
      </c>
      <c r="LS47" s="6">
        <f>COUNTIFS(Table28[Country],Tabela1[[#This Row],[Country]],Table28[81kg Classification],"&gt;0")</f>
        <v>0</v>
      </c>
      <c r="LT47" s="6">
        <f>COUNTIFS(Table28[Country],Tabela1[[#This Row],[Country]],Table28[Plus 81kg Classification],"&gt;0")</f>
        <v>0</v>
      </c>
      <c r="LU47" s="6">
        <f>COUNTIFS(Table24[Country],Tabela1[[#This Row],[Country]],Table24[Freestyle 57kg Classification],"&gt;0")</f>
        <v>0</v>
      </c>
      <c r="LV47" s="6">
        <f>COUNTIFS(Table24[Country],Tabela1[[#This Row],[Country]],Table24[Freestyle 65kg Classification],"&gt;0")</f>
        <v>0</v>
      </c>
      <c r="LW47" s="6">
        <f>COUNTIFS(Table24[Country],Tabela1[[#This Row],[Country]],Table24[Freestyle 74kg Classification],"&gt;0")</f>
        <v>1</v>
      </c>
      <c r="LX47" s="6">
        <f>COUNTIFS(Table24[Country],Tabela1[[#This Row],[Country]],Table24[Freestyle 86kg Classification],"&gt;0")</f>
        <v>0</v>
      </c>
      <c r="LY47" s="6">
        <f>COUNTIFS(Table24[Country],Tabela1[[#This Row],[Country]],Table24[Freestyle 97kg Classification],"&gt;0")</f>
        <v>0</v>
      </c>
      <c r="LZ47" s="6">
        <f>COUNTIFS(Table24[Country],Tabela1[[#This Row],[Country]],Table24[Freestyle 125kg Classification],"&gt;0")</f>
        <v>0</v>
      </c>
      <c r="MA47" s="6">
        <f>COUNTIFS(Table24[Country],Tabela1[[#This Row],[Country]],Table24[Greco-Roman 60kg Classification],"&gt;0")</f>
        <v>0</v>
      </c>
      <c r="MB47" s="6">
        <f>COUNTIFS(Table24[Country],Tabela1[[#This Row],[Country]],Table24[Greco-Roman 67kg Classification],"&gt;0")</f>
        <v>0</v>
      </c>
      <c r="MC47" s="6">
        <f>COUNTIFS(Table24[Country],Tabela1[[#This Row],[Country]],Table24[Greco-Roman 77kg Classification],"&gt;0")</f>
        <v>0</v>
      </c>
      <c r="MD47" s="6">
        <f>COUNTIFS(Table24[Country],Tabela1[[#This Row],[Country]],Table24[Greco-Roman 87kg Classification],"&gt;0")</f>
        <v>0</v>
      </c>
      <c r="ME47" s="6">
        <f>COUNTIFS(Table24[Country],Tabela1[[#This Row],[Country]],Table24[Greco-Roman 97kg Classification],"&gt;0")</f>
        <v>0</v>
      </c>
      <c r="MF47" s="6">
        <f>COUNTIFS(Table24[Country],Tabela1[[#This Row],[Country]],Table24[Greco-Roman 130kg Classification],"&gt;0")</f>
        <v>0</v>
      </c>
      <c r="MG47" s="6">
        <f>COUNTIFS(Table31[Country],Tabela1[[#This Row],[Country]],Table31[50kg Classification],"&gt;0")</f>
        <v>0</v>
      </c>
      <c r="MH47" s="6">
        <f>COUNTIFS(Table31[Country],Tabela1[[#This Row],[Country]],Table31[53kg Classification],"&gt;0")</f>
        <v>0</v>
      </c>
      <c r="MI47" s="6">
        <f>COUNTIFS(Table31[Country],Tabela1[[#This Row],[Country]],Table31[57kg Classification],"&gt;0")</f>
        <v>0</v>
      </c>
      <c r="MJ47" s="6">
        <f>COUNTIFS(Table31[Country],Tabela1[[#This Row],[Country]],Table31[62kg Classification],"&gt;0")</f>
        <v>0</v>
      </c>
      <c r="MK47" s="6">
        <f>COUNTIFS(Table31[Country],Tabela1[[#This Row],[Country]],Table31[68kg Classification],"&gt;0")</f>
        <v>0</v>
      </c>
      <c r="ML47" s="6">
        <f>COUNTIFS(Table31[Country],Tabela1[[#This Row],[Country]],Table31[76kg Classification],"&gt;0")</f>
        <v>0</v>
      </c>
      <c r="MM47" s="6">
        <f>COUNTIFS(Table102[Country],Tabela1[[#This Row],[Country]],Table102[Downhill Classification],"&gt;0")</f>
        <v>0</v>
      </c>
      <c r="MN47" s="6">
        <f>COUNTIFS(Table102105[Country],Tabela1[[#This Row],[Country]],Table102105[Downhill Classification],"&gt;0")</f>
        <v>0</v>
      </c>
      <c r="MO47" s="6">
        <f>COUNTIFS(Table102[Country],Tabela1[[#This Row],[Country]],Table102[Giant Slalom Classification],"&gt;0")</f>
        <v>0</v>
      </c>
      <c r="MP47" s="6">
        <f>COUNTIFS(Table102105[Country],Tabela1[[#This Row],[Country]],Table102105[Giant Slalom Classification],"&gt;0")</f>
        <v>1</v>
      </c>
      <c r="MQ47" s="6">
        <f>COUNTIFS(Table102[Country],Tabela1[[#This Row],[Country]],Table102[Slalom Classification],"&gt;0")</f>
        <v>0</v>
      </c>
      <c r="MR47" s="6">
        <f>COUNTIFS(Table102105[Country],Tabela1[[#This Row],[Country]],Table102105[Slalom Classification],"&gt;0")</f>
        <v>1</v>
      </c>
      <c r="MS47" s="6">
        <f>COUNTIFS(Table102[Country],Tabela1[[#This Row],[Country]],Table102[Super-G Classification],"&gt;0")</f>
        <v>0</v>
      </c>
      <c r="MT47" s="6">
        <f>COUNTIFS(Table102105[Country],Tabela1[[#This Row],[Country]],Table102105[Super-G Classification],"&gt;0")</f>
        <v>0</v>
      </c>
      <c r="MU47" s="6">
        <f>COUNTIFS(Table105[Country],Tabela1[[#This Row],[Country]],Table105[Men''s Combined Classification],"&gt;0")</f>
        <v>0</v>
      </c>
      <c r="MV47" s="6">
        <f>COUNTIFS(Table105[Country],Tabela1[[#This Row],[Country]],Table105[Women''s Combined Classification],"&gt;0")</f>
        <v>0</v>
      </c>
      <c r="MW47" s="6">
        <f>COUNTIFS(Table106[Country],Tabela1[[#This Row],[Country]],Table106[Individual Classification],"&gt;0")</f>
        <v>0</v>
      </c>
      <c r="MX47" s="6">
        <f>COUNTIFS(Table106109[Country],Tabela1[[#This Row],[Country]],Table106109[Individual Classification],"&gt;0")</f>
        <v>0</v>
      </c>
      <c r="MY47" s="6">
        <f>COUNTIFS(Table106[Country],Tabela1[[#This Row],[Country]],Table106[Mass Start Classification],"&gt;0")</f>
        <v>0</v>
      </c>
      <c r="MZ47" s="6">
        <f>COUNTIFS(Table106109[Country],Tabela1[[#This Row],[Country]],Table106109[Mass Start Classification],"&gt;0")</f>
        <v>0</v>
      </c>
      <c r="NA47" s="6">
        <f>COUNTIFS(Table106[Country],Tabela1[[#This Row],[Country]],Table106[Pursuit Classification],"&gt;0")</f>
        <v>0</v>
      </c>
      <c r="NB47" s="6">
        <f>COUNTIFS(Table106109[Country],Tabela1[[#This Row],[Country]],Table106109[Pursuit Classification],"&gt;0")</f>
        <v>0</v>
      </c>
      <c r="NC47" s="6">
        <f>COUNTIFS(Table106[Country],Tabela1[[#This Row],[Country]],Table106[Sprint Classification],"&gt;0")</f>
        <v>0</v>
      </c>
      <c r="ND47" s="6">
        <f>COUNTIFS(Table106109[Country],Tabela1[[#This Row],[Country]],Table106109[Sprint Classification],"&gt;0")</f>
        <v>0</v>
      </c>
      <c r="NE47" s="6">
        <f>COUNTIFS(Table109[Country],Tabela1[[#This Row],[Country]],Table109[Men''s Relay Classification],"&gt;0")</f>
        <v>0</v>
      </c>
      <c r="NF47" s="6">
        <f>COUNTIFS(Table109[Country],Tabela1[[#This Row],[Country]],Table109[Women''s Relay Classification],"&gt;0")</f>
        <v>0</v>
      </c>
      <c r="NG47" s="6">
        <f>COUNTIFS(Table109[Country],Tabela1[[#This Row],[Country]],Table109[Mixed Relay Classification],"&gt;0")</f>
        <v>0</v>
      </c>
      <c r="NH47" s="6">
        <f>COUNTIFS(Table110[Country],Tabela1[[#This Row],[Country]],Table110[Monobob Classification],"&gt;0")</f>
        <v>0</v>
      </c>
      <c r="NI47" s="6">
        <f>COUNTIFS(Table111[Country],Tabela1[[#This Row],[Country]],Table111[Men''s Classification],"&gt;0")</f>
        <v>0</v>
      </c>
      <c r="NJ47" s="6">
        <f>COUNTIFS(Table111[Country],Tabela1[[#This Row],[Country]],Table111[Women''s Classification],"&gt;0")</f>
        <v>0</v>
      </c>
      <c r="NK47" s="6">
        <f>COUNTIFS(Table112[Country],Tabela1[[#This Row],[Country]],Table112[Men''s Four Classification],"&gt;0")</f>
        <v>0</v>
      </c>
      <c r="NL47" s="6">
        <f>COUNTIFS(Table113[Country],Tabela1[[#This Row],[Country]],Table113[Classical Classification],"&gt;0")</f>
        <v>0</v>
      </c>
      <c r="NM47" s="6">
        <f>COUNTIFS(Table113116[Country],Tabela1[[#This Row],[Country]],Table113116[Classical Classification],"&gt;0")</f>
        <v>0</v>
      </c>
      <c r="NN47" s="6">
        <f>COUNTIFS(Table113[Country],Tabela1[[#This Row],[Country]],Table113[Freestyle Classification],"&gt;0")</f>
        <v>0</v>
      </c>
      <c r="NO47" s="6">
        <f>COUNTIFS(Table113116[Country],Tabela1[[#This Row],[Country]],Table113116[Freestyle Classification],"&gt;0")</f>
        <v>0</v>
      </c>
      <c r="NP47" s="6">
        <f>COUNTIFS(Table117[Country],Tabela1[[#This Row],[Country]],Table117[Men''s Relay Classification],"&gt;0")</f>
        <v>0</v>
      </c>
      <c r="NQ47" s="6">
        <f>COUNTIFS(Table117[Country],Tabela1[[#This Row],[Country]],Table117[Women''s Relay Classification],"&gt;0")</f>
        <v>0</v>
      </c>
      <c r="NR47" s="6">
        <f>COUNTIFS(Table113[Country],Tabela1[[#This Row],[Country]],Table113[Skiathlon Classification],"&gt;0")</f>
        <v>0</v>
      </c>
      <c r="NS47" s="6">
        <f>COUNTIFS(Table113116[Country],Tabela1[[#This Row],[Country]],Table113116[Skiathlon Classification],"&gt;0")</f>
        <v>0</v>
      </c>
      <c r="NT47" s="6">
        <f>COUNTIFS(Table113[Country],Tabela1[[#This Row],[Country]],Table113[Sprint Classification],"&gt;0")</f>
        <v>0</v>
      </c>
      <c r="NU47" s="6">
        <f>COUNTIFS(Table113116[Country],Tabela1[[#This Row],[Country]],Table113116[Sprint Classification],"&gt;0")</f>
        <v>0</v>
      </c>
      <c r="NV47" s="6">
        <f>COUNTIFS(Table116[Country],Tabela1[[#This Row],[Country]],Table116[Men''s Team Sprint Classification],"&gt;0")</f>
        <v>0</v>
      </c>
      <c r="NW47" s="6">
        <f>COUNTIFS(Table116[Country],Tabela1[[#This Row],[Country]],Table116[Women''s Team Sprint Classification],"&gt;0")</f>
        <v>0</v>
      </c>
      <c r="NX47" s="6">
        <f>COUNTIFS(Table119[Country],Tabela1[[#This Row],[Country]],Table119[Men''s Classification],"&gt;0")</f>
        <v>0</v>
      </c>
      <c r="NY47" s="6">
        <f>COUNTIFS(Table119[Country],Tabela1[[#This Row],[Country]],Table119[Women''s Classification],"&gt;0")</f>
        <v>0</v>
      </c>
      <c r="NZ47" s="6">
        <f>COUNTIFS(Table118[Country],Tabela1[[#This Row],[Country]],Table118[Mixed Classification],"&gt;0")</f>
        <v>0</v>
      </c>
      <c r="OA47" s="6">
        <f>COUNTIFS(Table120[Country],Tabela1[[#This Row],[Country]],Table120[Classification],"&gt;0")</f>
        <v>0</v>
      </c>
      <c r="OB47" s="6">
        <f>COUNTIFS(Table120123[Country],Tabela1[[#This Row],[Country]],Table120123[Classification],"&gt;0")</f>
        <v>0</v>
      </c>
      <c r="OC47" s="6">
        <f>COUNTIFS(Table123[Country],Tabela1[[#This Row],[Country]],Table123[Ice Dance Classification],"&gt;0")</f>
        <v>0</v>
      </c>
      <c r="OD47" s="6">
        <f>COUNTIFS(Table123[Country],Tabela1[[#This Row],[Country]],Table123[Pair Skating Classification],"&gt;0")</f>
        <v>0</v>
      </c>
      <c r="OE47" s="6">
        <f>COUNTIFS(Table124[Country],Tabela1[[#This Row],[Country]],Table124[Mixed Classification],"&gt;0")</f>
        <v>0</v>
      </c>
      <c r="OF47" s="6">
        <f>COUNTIFS(Table125[Country],Tabela1[[#This Row],[Country]],Table125[Aerials Classification],"&gt;0")</f>
        <v>0</v>
      </c>
      <c r="OG47" s="6">
        <f>COUNTIFS(Table125128[Country],Tabela1[[#This Row],[Country]],Table125128[Aerials Classification],"&gt;0")</f>
        <v>0</v>
      </c>
      <c r="OH47" s="6">
        <f>COUNTIFS(Table128[Country],Tabela1[[#This Row],[Country]],Table128[Mixed Aerials Classification],"&gt;0")</f>
        <v>0</v>
      </c>
      <c r="OI47" s="6">
        <f>COUNTIFS(Table125[Country],Tabela1[[#This Row],[Country]],Table125[Big Air Classification],"&gt;0")</f>
        <v>0</v>
      </c>
      <c r="OJ47" s="6">
        <f>COUNTIFS(Table125128[Country],Tabela1[[#This Row],[Country]],Table125128[Big Air Classification],"&gt;0")</f>
        <v>0</v>
      </c>
      <c r="OK47" s="6">
        <f>COUNTIFS(Table125[Country],Tabela1[[#This Row],[Country]],Table125[Dual Moguls Classification],"&gt;0")</f>
        <v>0</v>
      </c>
      <c r="OL47" s="6">
        <f>COUNTIFS(Table125128[Country],Tabela1[[#This Row],[Country]],Table125128[Dual Moguls Classification],"&gt;0")</f>
        <v>0</v>
      </c>
      <c r="OM47" s="6">
        <f>COUNTIFS(Table125[Country],Tabela1[[#This Row],[Country]],Table125[Halfpipe Classification],"&gt;0")</f>
        <v>0</v>
      </c>
      <c r="ON47" s="6">
        <f>COUNTIFS(Table125128[Country],Tabela1[[#This Row],[Country]],Table125128[Halfpipe Classification],"&gt;0")</f>
        <v>0</v>
      </c>
      <c r="OO47" s="6">
        <f>COUNTIFS(Table125[Country],Tabela1[[#This Row],[Country]],Table125[Moguls Classification],"&gt;0")</f>
        <v>0</v>
      </c>
      <c r="OP47" s="6">
        <f>COUNTIFS(Table125128[Country],Tabela1[[#This Row],[Country]],Table125128[Moguls Classification],"&gt;0")</f>
        <v>0</v>
      </c>
      <c r="OQ47" s="6">
        <f>COUNTIFS(Table125[Country],Tabela1[[#This Row],[Country]],Table125[Ski Cross Classification],"&gt;0")</f>
        <v>0</v>
      </c>
      <c r="OR47" s="6">
        <f>COUNTIFS(Table125128[Country],Tabela1[[#This Row],[Country]],Table125128[Ski Cross Classification],"&gt;0")</f>
        <v>0</v>
      </c>
      <c r="OS47" s="6">
        <f>COUNTIFS(Table125[Country],Tabela1[[#This Row],[Country]],Table125[Slopestyle Classification],"&gt;0")</f>
        <v>0</v>
      </c>
      <c r="OT47" s="6">
        <f>COUNTIFS(Table125128[Country],Tabela1[[#This Row],[Country]],Table125128[Slopestyle Classification],"&gt;0")</f>
        <v>0</v>
      </c>
      <c r="OU47" s="6">
        <f>COUNTIFS(Table119131[Country],Tabela1[[#This Row],[Country]],Table119131[Men''s Classification],"&gt;0")</f>
        <v>0</v>
      </c>
      <c r="OV47" s="6">
        <f>COUNTIFS(Table119131[Country],Tabela1[[#This Row],[Country]],Table119131[Women''s Classification],"&gt;0")</f>
        <v>0</v>
      </c>
      <c r="OW47" s="6">
        <f>COUNTIFS(Table131[Country],Tabela1[[#This Row],[Country]],Table131[Classification],"&gt;0")</f>
        <v>0</v>
      </c>
      <c r="OX47" s="6">
        <f>COUNTIFS(Table131134[Country],Tabela1[[#This Row],[Country]],Table131134[Classification],"&gt;0")</f>
        <v>0</v>
      </c>
      <c r="OY47" s="6">
        <f>COUNTIFS(Table134[Country],Tabela1[[#This Row],[Country]],Table134[Men''s Classification],"&gt;0")</f>
        <v>0</v>
      </c>
      <c r="OZ47" s="6">
        <f>COUNTIFS(Table134[Country],Tabela1[[#This Row],[Country]],Table134[Women''s Classification],"&gt;0")</f>
        <v>0</v>
      </c>
      <c r="PA47" s="6">
        <f>COUNTIFS(Table135[Country],Tabela1[[#This Row],[Country]],Table135[Mixed Relay Classification],"&gt;0")</f>
        <v>0</v>
      </c>
      <c r="PB47" s="6">
        <f>COUNTIFS(Table136[Country],Tabela1[[#This Row],[Country]],Table136[Individual Classification],"&gt;0")</f>
        <v>0</v>
      </c>
      <c r="PC47" s="6">
        <f>COUNTIFS(Table136[Country],Tabela1[[#This Row],[Country]],Table136[Sprint Classification],"&gt;0")</f>
        <v>0</v>
      </c>
      <c r="PD47" s="6">
        <f>COUNTIFS(Table137[Country],Tabela1[[#This Row],[Country]],Table137[Men''s Team Sprint Large Hill Classification],"&gt;0")</f>
        <v>0</v>
      </c>
      <c r="PE47" s="6">
        <f>COUNTIFS(Table138[Country],Tabela1[[#This Row],[Country]],Table138[500m Classification],"&gt;0")</f>
        <v>0</v>
      </c>
      <c r="PF47" s="6">
        <f>COUNTIFS(Table138141[Country],Tabela1[[#This Row],[Country]],Table138141[500m Classification],"&gt;0")</f>
        <v>0</v>
      </c>
      <c r="PG47" s="6">
        <f>COUNTIFS(Table138[Country],Tabela1[[#This Row],[Country]],Table138[1000m Classification],"&gt;0")</f>
        <v>0</v>
      </c>
      <c r="PH47" s="6">
        <f>COUNTIFS(Table138141[Country],Tabela1[[#This Row],[Country]],Table138141[1000m Classification],"&gt;0")</f>
        <v>0</v>
      </c>
      <c r="PI47" s="6">
        <f>COUNTIFS(Table138[Country],Tabela1[[#This Row],[Country]],Table138[1500m Classification],"&gt;0")</f>
        <v>0</v>
      </c>
      <c r="PJ47" s="6">
        <f>COUNTIFS(Table138141[Country],Tabela1[[#This Row],[Country]],Table138141[1500m Classification],"&gt;0")</f>
        <v>0</v>
      </c>
      <c r="PK47" s="6">
        <f>COUNTIFS(Table141[Country],Tabela1[[#This Row],[Country]],Table141[Men''s 5000m Relay Classification],"&gt;0")</f>
        <v>0</v>
      </c>
      <c r="PL47" s="6">
        <f>COUNTIFS(Table141[Country],Tabela1[[#This Row],[Country]],Table141[Women''s 3000m Relay Classification],"&gt;0")</f>
        <v>0</v>
      </c>
      <c r="PM47" s="6">
        <f>COUNTIFS(Table141[Country],Tabela1[[#This Row],[Country]],Table141[Mixed 2000m Relay Classification],"&gt;0")</f>
        <v>0</v>
      </c>
      <c r="PN47" s="6">
        <f>COUNTIFS(Table142[Country],Tabela1[[#This Row],[Country]],Table142[Classification],"&gt;0")</f>
        <v>0</v>
      </c>
      <c r="PO47" s="6">
        <f>COUNTIFS(Table142145[Country],Tabela1[[#This Row],[Country]],Table142145[Classification],"&gt;0")</f>
        <v>0</v>
      </c>
      <c r="PP47" s="6">
        <f>COUNTIFS(Tabela15[Country],Tabela1[[#This Row],[Country]],Tabela15[Mixed Team Classification],"&gt;0")</f>
        <v>0</v>
      </c>
      <c r="PQ47" s="6">
        <f>COUNTIFS(Table145[Country],Tabela1[[#This Row],[Country]],Table145[Large Hill Classification],"&gt;0")</f>
        <v>0</v>
      </c>
      <c r="PR47" s="6">
        <f>COUNTIFS(Table145[Country],Tabela1[[#This Row],[Country]],Table145[Normal Hill Classification],"&gt;0")</f>
        <v>0</v>
      </c>
      <c r="PS47" s="6">
        <f>COUNTIFS(Table145148[Country],Tabela1[[#This Row],[Country]],Table145148[Large Hill Classification],"&gt;0")</f>
        <v>0</v>
      </c>
      <c r="PT47" s="6">
        <f>COUNTIFS(Table145148[Country],Tabela1[[#This Row],[Country]],Table145148[Normal Hill Classification],"&gt;0")</f>
        <v>0</v>
      </c>
      <c r="PU47" s="6">
        <f>COUNTIFS(Table148[Country],Tabela1[[#This Row],[Country]],Table148[Men''s Super Team Classification],"&gt;0")</f>
        <v>0</v>
      </c>
      <c r="PV47" s="6">
        <f>COUNTIFS(Tabela114[Country],Tabela1[[#This Row],[Country]],Tabela114[Mixed Normal Hill Classification],"&gt;0")</f>
        <v>0</v>
      </c>
      <c r="PW47" s="6">
        <f>COUNTIFS(Tabela50[Country],Tabela1[[#This Row],[Country]],Tabela50[Sprint Classification],"&gt;0")</f>
        <v>0</v>
      </c>
      <c r="PX47" s="6">
        <f>COUNTIFS(Tabela50101[Country],Tabela1[[#This Row],[Country]],Tabela50101[Sprint Classification],"&gt;0")</f>
        <v>0</v>
      </c>
      <c r="PY47" s="6">
        <f>COUNTIFS(Tabela103[Country],Tabela1[[#This Row],[Country]],Tabela103[Mixed Relay Classification],"&gt;0")</f>
        <v>0</v>
      </c>
      <c r="PZ47" s="6">
        <f>COUNTIFS(Table149[Country],Tabela1[[#This Row],[Country]],Table149[Big Air Classification],"&gt;0")</f>
        <v>0</v>
      </c>
      <c r="QA47" s="6">
        <f>COUNTIFS(Table149152[Country],Tabela1[[#This Row],[Country]],Table149152[Big Air Classification],"&gt;0")</f>
        <v>0</v>
      </c>
      <c r="QB47" s="6">
        <f>COUNTIFS(Table149[Country],Tabela1[[#This Row],[Country]],Table149[Halfpipe Classification],"&gt;0")</f>
        <v>0</v>
      </c>
      <c r="QC47" s="6">
        <f>COUNTIFS(Table149152[Country],Tabela1[[#This Row],[Country]],Table149152[Halfpipe Classification],"&gt;0")</f>
        <v>0</v>
      </c>
      <c r="QD47" s="6">
        <f>COUNTIFS(Table149[Country],Tabela1[[#This Row],[Country]],Table149[Parallel Giant Slalom Classification],"&gt;0")</f>
        <v>0</v>
      </c>
      <c r="QE47" s="6">
        <f>COUNTIFS(Table149152[Country],Tabela1[[#This Row],[Country]],Table149152[Parallel Giant Slalom Classification],"&gt;0")</f>
        <v>0</v>
      </c>
      <c r="QF47" s="6">
        <f>COUNTIFS(Table149[Country],Tabela1[[#This Row],[Country]],Table149[Slopestyle Classification],"&gt;0")</f>
        <v>0</v>
      </c>
      <c r="QG47" s="6">
        <f>COUNTIFS(Table149152[Country],Tabela1[[#This Row],[Country]],Table149152[Slopestyle Classification],"&gt;0")</f>
        <v>0</v>
      </c>
      <c r="QH47" s="6">
        <f>COUNTIFS(Table149[Country],Tabela1[[#This Row],[Country]],Table149[Snowboard Cross Classification],"&gt;0")</f>
        <v>0</v>
      </c>
      <c r="QI47" s="6">
        <f>COUNTIFS(Table149152[Country],Tabela1[[#This Row],[Country]],Table149152[Snowboard Cross Classification],"&gt;0")</f>
        <v>0</v>
      </c>
      <c r="QJ47" s="6">
        <f>COUNTIFS(Table153[Country],Tabela1[[#This Row],[Country]],Table153[Mixed Team Snowboard Cross Classification],"&gt;0")</f>
        <v>0</v>
      </c>
      <c r="QK47" s="6">
        <f>COUNTIFS(Table154[Country],Tabela1[[#This Row],[Country]],Table154[500m Classification],"&gt;0")</f>
        <v>0</v>
      </c>
      <c r="QL47" s="6">
        <f>COUNTIFS(Table154157[Country],Tabela1[[#This Row],[Country]],Table154157[500m Classification],"&gt;0")</f>
        <v>0</v>
      </c>
      <c r="QM47" s="6">
        <f>COUNTIFS(Table154[Country],Tabela1[[#This Row],[Country]],Table154[1000m Classification],"&gt;0")</f>
        <v>0</v>
      </c>
      <c r="QN47" s="6">
        <f>COUNTIFS(Table154157[Country],Tabela1[[#This Row],[Country]],Table154157[1000m Classification],"&gt;0")</f>
        <v>0</v>
      </c>
      <c r="QO47" s="6">
        <f>COUNTIFS(Table154[Country],Tabela1[[#This Row],[Country]],Table154[1500m Classification],"&gt;0")</f>
        <v>0</v>
      </c>
      <c r="QP47" s="6">
        <f>COUNTIFS(Table154157[Country],Tabela1[[#This Row],[Country]],Table154157[1500m Classification],"&gt;0")</f>
        <v>0</v>
      </c>
      <c r="QQ47" s="6">
        <f>COUNTIFS(Table154157[Country],Tabela1[[#This Row],[Country]],Table154157[3000m Classification],"&gt;0")</f>
        <v>0</v>
      </c>
      <c r="QR47" s="6">
        <f>COUNTIFS(Table154[Country],Tabela1[[#This Row],[Country]],Table154[5000m Classification],"&gt;0")</f>
        <v>0</v>
      </c>
      <c r="QS47" s="6">
        <f>COUNTIFS(Table154157[Country],Tabela1[[#This Row],[Country]],Table154157[5000m Classification],"&gt;0")</f>
        <v>0</v>
      </c>
      <c r="QT47" s="6">
        <f>COUNTIFS(Table154[Country],Tabela1[[#This Row],[Country]],Table154[10000m Classification],"&gt;0")</f>
        <v>0</v>
      </c>
      <c r="QU47" s="6">
        <f>COUNTIFS(Table154[Country],Tabela1[[#This Row],[Country]],Table154[Mass Start Classification],"&gt;0")</f>
        <v>0</v>
      </c>
      <c r="QV47" s="6">
        <f>COUNTIFS(Table154157[Country],Tabela1[[#This Row],[Country]],Table154157[Mass Start Classification],"&gt;0")</f>
        <v>0</v>
      </c>
      <c r="QW47" s="6">
        <f>COUNTIFS(Table157[Country],Tabela1[[#This Row],[Country]],Table157[Men''s Pursuit Classification],"&gt;0")</f>
        <v>0</v>
      </c>
      <c r="QX47" s="6">
        <f>COUNTIFS(Table157[Country],Tabela1[[#This Row],[Country]],Table157[Women''s Pursuit Classification],"&gt;0")</f>
        <v>0</v>
      </c>
      <c r="QY47" s="3" t="s">
        <v>343</v>
      </c>
    </row>
    <row r="48" spans="1:467" x14ac:dyDescent="0.3">
      <c r="A48" s="6">
        <v>47</v>
      </c>
      <c r="B48" s="6" t="s">
        <v>600</v>
      </c>
      <c r="C48" t="e" vm="47">
        <f>IF(ISBLANK(Tabela1[[#This Row],[Image Link]]), "", _xlfn.IMAGE(Tabela1[[#This Row],[Image Link]],1,1))</f>
        <v>#VALUE!</v>
      </c>
      <c r="D48" s="6">
        <f>SUM(Tabela1[[#This Row],[Archery - Men''s Individual Recurve]:[Speed Skating - Women''s Team Pursuit]])</f>
        <v>17</v>
      </c>
      <c r="E48" s="6">
        <f>COUNTIF(Tabela1[[#This Row],[Archery - Men''s Individual Recurve]:[Speed Skating - Women''s Team Pursuit]],"&gt;0")</f>
        <v>16</v>
      </c>
      <c r="F48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48" s="6">
        <f>SUM(Tabela1[[#This Row],[Archery - Men''s Individual Recurve]:[Wrestling - Women''s Freestyle 76kg]])</f>
        <v>16</v>
      </c>
      <c r="H48" s="6">
        <f>SUM(Tabela1[[#This Row],[Alpine Skiing - Men''s Downhill]:[Speed Skating - Women''s Team Pursuit]])</f>
        <v>1</v>
      </c>
      <c r="I48" s="6">
        <f>Tabela1[[#This Row],[Summer Gold Medals]]+Tabela1[[#This Row],[Winter Gold Medals]]</f>
        <v>1</v>
      </c>
      <c r="J48" s="6">
        <f>Tabela1[[#This Row],[Summer Silver Medals]]+Tabela1[[#This Row],[Winter Silver Medals]]</f>
        <v>3</v>
      </c>
      <c r="K48" s="6">
        <f>Tabela1[[#This Row],[Summer Bronze Medals]]+Tabela1[[#This Row],[Winter Bronze Medals]]</f>
        <v>2</v>
      </c>
      <c r="L48" s="6">
        <f>SUM(Tabela1[[#This Row],[Total Gold Medals]:[Total Bronze Medals]])</f>
        <v>6</v>
      </c>
      <c r="M48" s="6">
        <v>1</v>
      </c>
      <c r="N48" s="6">
        <v>3</v>
      </c>
      <c r="O48" s="6">
        <v>2</v>
      </c>
      <c r="P48" s="6">
        <f>SUM(Tabela1[[#This Row],[Summer Gold Medals]:[Summer Bronze Medals]])</f>
        <v>6</v>
      </c>
      <c r="Q48" s="6"/>
      <c r="R48" s="6"/>
      <c r="S48" s="6"/>
      <c r="T48" s="6">
        <f>Tabela1[[#This Row],[Winter Gold Medals]]+Tabela1[[#This Row],[Winter Silver Medals]]+Tabela1[[#This Row],[Winter Bronze Medals]]</f>
        <v>0</v>
      </c>
      <c r="U48" s="7">
        <f>Tabela1[[#This Row],[Total Medals]]/Tabela1[[#This Row],[Total Quotas]]</f>
        <v>0.35294117647058826</v>
      </c>
      <c r="V48" s="6">
        <f>COUNTIFS(Table3[Country],Tabela1[[#This Row],[Country]],Table3[Recurve Classification],"&gt;0")</f>
        <v>0</v>
      </c>
      <c r="W48" s="6">
        <f>COUNTIFS(Table33[Country],Tabela1[[#This Row],[Country]],Table33[Recurve Classification],"&gt;0")</f>
        <v>0</v>
      </c>
      <c r="X48" s="6">
        <f>COUNTIFS(Table35[Country],Tabela1[[#This Row],[Country]],Table35[Men''s Team Recurve Classification],"&gt;0")</f>
        <v>0</v>
      </c>
      <c r="Y48" s="6">
        <f>COUNTIFS(Table35[Country],Tabela1[[#This Row],[Country]],Table35[Women''s Team Recurve Classification],"&gt;0")</f>
        <v>0</v>
      </c>
      <c r="Z48" s="6">
        <f>COUNTIFS(Tabela88[Country],Tabela1[[#This Row],[Country]],Tabela88[Mixed Team Recurve Classification],"&gt;0")</f>
        <v>0</v>
      </c>
      <c r="AA48" s="6">
        <f>COUNTIFS(Table36[Country],Tabela1[[#This Row],[Country]],Table36[Classification],"&gt;0")</f>
        <v>0</v>
      </c>
      <c r="AB48" s="6">
        <f>COUNTIFS(Table37[Country],Tabela1[[#This Row],[Country]],Table37[Classification],"&gt;0")</f>
        <v>0</v>
      </c>
      <c r="AC48" s="6">
        <f>COUNTIFS(Table4[Country],Tabela1[[#This Row],[Country]],Table4[100m Classification],"&gt;0")</f>
        <v>0</v>
      </c>
      <c r="AD48" s="6">
        <f>COUNTIFS(Table5[Country],Tabela1[[#This Row],[Country]],Table5[100m Classification],"&gt;0")</f>
        <v>1</v>
      </c>
      <c r="AE48" s="6">
        <f>COUNTIFS(Table4[Country],Tabela1[[#This Row],[Country]],Table4[200m Classification],"&gt;0")</f>
        <v>1</v>
      </c>
      <c r="AF48" s="6">
        <f>COUNTIFS(Table5[Country],Tabela1[[#This Row],[Country]],Table5[200m Classification],"&gt;0")</f>
        <v>0</v>
      </c>
      <c r="AG48" s="6">
        <f>COUNTIFS(Table4[Country],Tabela1[[#This Row],[Country]],Table4[400m Classification],"&gt;0")</f>
        <v>1</v>
      </c>
      <c r="AH48" s="6">
        <f>COUNTIFS(Table5[Country],Tabela1[[#This Row],[Country]],Table5[400m Classification],"&gt;0")</f>
        <v>0</v>
      </c>
      <c r="AI48" s="6">
        <f>COUNTIFS(Table4[Country],Tabela1[[#This Row],[Country]],Table4[800m Classification],"&gt;0")</f>
        <v>1</v>
      </c>
      <c r="AJ48" s="6">
        <f>COUNTIFS(Table5[Country],Tabela1[[#This Row],[Country]],Table5[800m Classification],"&gt;0")</f>
        <v>1</v>
      </c>
      <c r="AK48" s="6">
        <f>COUNTIFS(Table4[Country],Tabela1[[#This Row],[Country]],Table4[1500m Classification],"&gt;0")</f>
        <v>0</v>
      </c>
      <c r="AL48" s="6">
        <f>COUNTIFS(Table5[Country],Tabela1[[#This Row],[Country]],Table5[1500m Classification],"&gt;0")</f>
        <v>0</v>
      </c>
      <c r="AM48" s="6">
        <f>COUNTIFS(Table4[Country],Tabela1[[#This Row],[Country]],Table4[5000m Classification],"&gt;0")</f>
        <v>0</v>
      </c>
      <c r="AN48" s="6">
        <f>COUNTIFS(Table5[Country],Tabela1[[#This Row],[Country]],Table5[5000m Classification],"&gt;0")</f>
        <v>0</v>
      </c>
      <c r="AO48" s="6">
        <f>COUNTIFS(Table4[Country],Tabela1[[#This Row],[Country]],Table4[10000m Classification],"&gt;0")</f>
        <v>0</v>
      </c>
      <c r="AP48" s="6">
        <f>COUNTIFS(Table5[Country],Tabela1[[#This Row],[Country]],Table5[10000m Classification],"&gt;0")</f>
        <v>0</v>
      </c>
      <c r="AQ48" s="6">
        <f>COUNTIFS(Table4[Country],Tabela1[[#This Row],[Country]],Table4[110m Hurdles Classification],"&gt;0")</f>
        <v>0</v>
      </c>
      <c r="AR48" s="6">
        <f>COUNTIFS(Table5[Country],Tabela1[[#This Row],[Country]],Table5[100m Hurdles Classification],"&gt;0")</f>
        <v>0</v>
      </c>
      <c r="AS48" s="6">
        <f>COUNTIFS(Table4[Country],Tabela1[[#This Row],[Country]],Table4[400m Hurdles Classification],"&gt;0")</f>
        <v>0</v>
      </c>
      <c r="AT48" s="6">
        <f>COUNTIFS(Table5[Country],Tabela1[[#This Row],[Country]],Table5[400m Hurdles Classification],"&gt;0")</f>
        <v>1</v>
      </c>
      <c r="AU48" s="6">
        <f>COUNTIFS(Table4[Country],Tabela1[[#This Row],[Country]],Table4[3000m Steeplechase Classification],"&gt;0")</f>
        <v>0</v>
      </c>
      <c r="AV48" s="6">
        <f>COUNTIFS(Table5[Country],Tabela1[[#This Row],[Country]],Table5[3000m Steeplechase Classification],"&gt;0")</f>
        <v>0</v>
      </c>
      <c r="AW48" s="6">
        <f>COUNTIFS(Table27[Country],Tabela1[[#This Row],[Country]],Table27[Men''s 4x100m Relay Classification],"&gt;0")</f>
        <v>0</v>
      </c>
      <c r="AX48" s="6">
        <f>COUNTIFS(Table27[Country],Tabela1[[#This Row],[Country]],Table27[Women''s 4x100m Relay Classification],"&gt;0")</f>
        <v>1</v>
      </c>
      <c r="AY48" s="6">
        <f>COUNTIFS(Table27[Country],Tabela1[[#This Row],[Country]],Table27[Men''s 4x400m Relay Classification],"&gt;0")</f>
        <v>0</v>
      </c>
      <c r="AZ48" s="6">
        <f>COUNTIFS(Table27[Country],Tabela1[[#This Row],[Country]],Table27[Women''s 4x400m Relay Classification],"&gt;0")</f>
        <v>1</v>
      </c>
      <c r="BA48" s="6">
        <f>COUNTIFS(Table27[Country],Tabela1[[#This Row],[Country]],Table27[Mixed 4x400m Relay Classification],"&gt;0")</f>
        <v>0</v>
      </c>
      <c r="BB48" s="6">
        <f>COUNTIFS(Table4[Country],Tabela1[[#This Row],[Country]],Table4[Marathon Classification],"&gt;0")</f>
        <v>0</v>
      </c>
      <c r="BC48" s="6">
        <f>COUNTIFS(Table5[Country],Tabela1[[#This Row],[Country]],Table5[Marathon Classification],"&gt;0")</f>
        <v>0</v>
      </c>
      <c r="BD48" s="6">
        <f>COUNTIFS(Table4[Country],Tabela1[[#This Row],[Country]],Table4[20km Race Walk Classification],"&gt;0")</f>
        <v>0</v>
      </c>
      <c r="BE48" s="6">
        <f>COUNTIFS(Table5[Country],Tabela1[[#This Row],[Country]],Table5[20km Race Walk Classification],"&gt;0")</f>
        <v>0</v>
      </c>
      <c r="BF48" s="6">
        <f>COUNTIFS(Tabela96[Country],Tabela1[[#This Row],[Country]],Tabela96[Mixed Marathon Race Walk Relay Classification],"&gt;0")</f>
        <v>0</v>
      </c>
      <c r="BG48" s="6">
        <f>COUNTIFS(Table4[Country],Tabela1[[#This Row],[Country]],Table4[Discus Throw Classification],"&gt;0")</f>
        <v>0</v>
      </c>
      <c r="BH48" s="6">
        <f>COUNTIFS(Table5[Country],Tabela1[[#This Row],[Country]],Table5[Discus Throw Classification],"&gt;0")</f>
        <v>0</v>
      </c>
      <c r="BI48" s="6">
        <f>COUNTIFS(Table4[Country],Tabela1[[#This Row],[Country]],Table4[Hammer Throw Classification],"&gt;0")</f>
        <v>0</v>
      </c>
      <c r="BJ48" s="6">
        <f>COUNTIFS(Table5[Country],Tabela1[[#This Row],[Country]],Table5[Hammer Throw Classification],"&gt;0")</f>
        <v>0</v>
      </c>
      <c r="BK48" s="6">
        <f>COUNTIFS(Table4[Country],Tabela1[[#This Row],[Country]],Table4[High Jump Classification],"&gt;0")</f>
        <v>0</v>
      </c>
      <c r="BL48" s="6">
        <f>COUNTIFS(Table5[Country],Tabela1[[#This Row],[Country]],Table5[High Jump Classification],"&gt;0")</f>
        <v>0</v>
      </c>
      <c r="BM48" s="6">
        <f>COUNTIFS(Table4[Country],Tabela1[[#This Row],[Country]],Table4[Javelin Throw Classification],"&gt;0")</f>
        <v>0</v>
      </c>
      <c r="BN48" s="6">
        <f>COUNTIFS(Table5[Country],Tabela1[[#This Row],[Country]],Table5[Javelin Throw Classification],"&gt;0")</f>
        <v>0</v>
      </c>
      <c r="BO48" s="6">
        <f>COUNTIFS(Table4[Country],Tabela1[[#This Row],[Country]],Table4[Long Jump Classification],"&gt;0")</f>
        <v>1</v>
      </c>
      <c r="BP48" s="6">
        <f>COUNTIFS(Table5[Country],Tabela1[[#This Row],[Country]],Table5[Long Jump Classification],"&gt;0")</f>
        <v>1</v>
      </c>
      <c r="BQ48" s="6">
        <f>COUNTIFS(Table4[Country],Tabela1[[#This Row],[Country]],Table4[Pole Vault Classification],"&gt;0")</f>
        <v>0</v>
      </c>
      <c r="BR48" s="6">
        <f>COUNTIFS(Table5[Country],Tabela1[[#This Row],[Country]],Table5[Pole Vault Classification],"&gt;0")</f>
        <v>0</v>
      </c>
      <c r="BS48" s="6">
        <f>COUNTIFS(Table4[Country],Tabela1[[#This Row],[Country]],Table4[Shot Put Classification],"&gt;0")</f>
        <v>1</v>
      </c>
      <c r="BT48" s="6">
        <f>COUNTIFS(Table5[Country],Tabela1[[#This Row],[Country]],Table5[Shot Put Classification],"&gt;0")</f>
        <v>2</v>
      </c>
      <c r="BU48" s="6">
        <f>COUNTIFS(Table4[Country],Tabela1[[#This Row],[Country]],Table4[Triple Jump Classification],"&gt;0")</f>
        <v>0</v>
      </c>
      <c r="BV48" s="6">
        <f>COUNTIFS(Table5[Country],Tabela1[[#This Row],[Country]],Table5[Triple Jump Classification],"&gt;0")</f>
        <v>0</v>
      </c>
      <c r="BW48" s="6">
        <f>COUNTIFS(Table4[Country],Tabela1[[#This Row],[Country]],Table4[Decathlon Classification],"&gt;0")</f>
        <v>0</v>
      </c>
      <c r="BX48" s="6">
        <f>COUNTIFS(Table5[Country],Tabela1[[#This Row],[Country]],Table5[Heptathlon Classification],"&gt;0")</f>
        <v>0</v>
      </c>
      <c r="BY48" s="6">
        <f>COUNTIFS(Table61[Country],Tabela1[[#This Row],[Country]],Table61[Classification],"&gt;0")</f>
        <v>0</v>
      </c>
      <c r="BZ48" s="6">
        <f>COUNTIFS(Table38[Country],Tabela1[[#This Row],[Country]],Table38[Classification],"&gt;0")</f>
        <v>0</v>
      </c>
      <c r="CA48" s="6">
        <f>COUNTIFS(Table39[Country],Tabela1[[#This Row],[Country]],Table39[Men''s Classification],"&gt;0")</f>
        <v>0</v>
      </c>
      <c r="CB48" s="6">
        <f>COUNTIFS(Table39[Country],Tabela1[[#This Row],[Country]],Table39[Women''s Classification],"&gt;0")</f>
        <v>0</v>
      </c>
      <c r="CC48" s="6">
        <f>COUNTIFS(Table39[Country],Tabela1[[#This Row],[Country]],Table39[Mixed Classification],"&gt;0")</f>
        <v>0</v>
      </c>
      <c r="CD48" s="6">
        <f>COUNTIFS(Table89[Country],Tabela1[[#This Row],[Country]],Table89[Men''s Classification],"&gt;0")</f>
        <v>0</v>
      </c>
      <c r="CE48" s="6">
        <f>COUNTIFS(Table89[Country],Tabela1[[#This Row],[Country]],Table89[Women''s Classification],"&gt;0")</f>
        <v>0</v>
      </c>
      <c r="CF48" s="6">
        <f>COUNTIFS(Table90[Country],Tabela1[[#This Row],[Country]],Table90[Men''s Classification],"&gt;0")</f>
        <v>0</v>
      </c>
      <c r="CG48" s="6">
        <f>COUNTIFS(Table90[Country],Tabela1[[#This Row],[Country]],Table90[Women''s Classification],"&gt;0")</f>
        <v>0</v>
      </c>
      <c r="CH48" s="6">
        <f>COUNTIFS(Table60[Country],Tabela1[[#This Row],[Country]],Table60[Men''s Classification],"&gt;0")</f>
        <v>0</v>
      </c>
      <c r="CI48" s="6">
        <f>COUNTIFS(Table60[Country],Tabela1[[#This Row],[Country]],Table60[Women''s Classification],"&gt;0")</f>
        <v>0</v>
      </c>
      <c r="CJ48" s="6">
        <f>COUNTIFS(Table6[Country],Tabela1[[#This Row],[Country]],Table6[51kg Classification],"&gt;0")</f>
        <v>0</v>
      </c>
      <c r="CK48" s="6">
        <f>COUNTIFS(Table6[Country],Tabela1[[#This Row],[Country]],Table6[57kg Classification],"&gt;0")</f>
        <v>0</v>
      </c>
      <c r="CL48" s="6">
        <f>COUNTIFS(Table6[Country],Tabela1[[#This Row],[Country]],Table6[63.5kg Classification],"&gt;0")</f>
        <v>0</v>
      </c>
      <c r="CM48" s="6">
        <f>COUNTIFS(Table6[Country],Tabela1[[#This Row],[Country]],Table6[71kg Classification],"&gt;0")</f>
        <v>0</v>
      </c>
      <c r="CN48" s="6">
        <f>COUNTIFS(Table6[Country],Tabela1[[#This Row],[Country]],Table6[80kg Classification],"&gt;0")</f>
        <v>0</v>
      </c>
      <c r="CO48" s="6">
        <f>COUNTIFS(Table6[Country],Tabela1[[#This Row],[Country]],Table6[92kg Classification],"&gt;0")</f>
        <v>0</v>
      </c>
      <c r="CP48" s="6">
        <f>COUNTIFS(Table6[Country],Tabela1[[#This Row],[Country]],Table6[Plus 92kg Classification],"&gt;0")</f>
        <v>0</v>
      </c>
      <c r="CQ48" s="6">
        <f>COUNTIFS(Table7[Country],Tabela1[[#This Row],[Country]],Table7[50kg Classification],"&gt;0")</f>
        <v>0</v>
      </c>
      <c r="CR48" s="6">
        <f>COUNTIFS(Table7[Country],Tabela1[[#This Row],[Country]],Table7[54kg Classification],"&gt;0")</f>
        <v>0</v>
      </c>
      <c r="CS48" s="6">
        <f>COUNTIFS(Table7[Country],Tabela1[[#This Row],[Country]],Table7[57kg Classification],"&gt;0")</f>
        <v>0</v>
      </c>
      <c r="CT48" s="6">
        <f>COUNTIFS(Table7[Country],Tabela1[[#This Row],[Country]],Table7[60kg Classification],"&gt;0")</f>
        <v>0</v>
      </c>
      <c r="CU48" s="6">
        <f>COUNTIFS(Table7[Country],Tabela1[[#This Row],[Country]],Table7[66kg Classification],"&gt;0")</f>
        <v>0</v>
      </c>
      <c r="CV48" s="6">
        <f>COUNTIFS(Table7[Country],Tabela1[[#This Row],[Country]],Table7[75kg Classification],"&gt;0")</f>
        <v>0</v>
      </c>
      <c r="CW48" s="6">
        <f>COUNTIFS(Tabela94[Country],Tabela1[[#This Row],[Country]],Tabela94[Classification],"&gt;0")</f>
        <v>0</v>
      </c>
      <c r="CX48" s="6">
        <f>COUNTIFS(Tabela9499[Country],Tabela1[[#This Row],[Country]],Tabela9499[Classification],"&gt;0")</f>
        <v>0</v>
      </c>
      <c r="CY48" s="6">
        <f>COUNTIFS(Tabela107[Country],Tabela1[[#This Row],[Country]],Tabela107[C1 Slalom Classification],"&gt;0")</f>
        <v>0</v>
      </c>
      <c r="CZ48" s="6">
        <f>COUNTIFS(Tabela107122[Country],Tabela1[[#This Row],[Country]],Tabela107122[C1 Slalom Classification],"&gt;0")</f>
        <v>0</v>
      </c>
      <c r="DA48" s="6">
        <f>COUNTIFS(Tabela107[Country],Tabela1[[#This Row],[Country]],Tabela107[K1 Slalom Classification],"&gt;0")</f>
        <v>0</v>
      </c>
      <c r="DB48" s="6">
        <f>COUNTIFS(Tabela107122[Country],Tabela1[[#This Row],[Country]],Tabela107122[K1 Slalom Classification],"&gt;0")</f>
        <v>0</v>
      </c>
      <c r="DC48" s="6">
        <f>COUNTIFS(Tabela107[Country],Tabela1[[#This Row],[Country]],Tabela107[Kayak Cross Slalom Classification],"&gt;0")</f>
        <v>0</v>
      </c>
      <c r="DD48" s="6">
        <f>COUNTIFS(Tabela107122[Country],Tabela1[[#This Row],[Country]],Tabela107122[Kayak Cross Slalom Classification],"&gt;0")</f>
        <v>0</v>
      </c>
      <c r="DE48" s="6">
        <f>COUNTIFS(Table8[Country],Tabela1[[#This Row],[Country]],Table8[C1 200m Classification],"&gt;0")</f>
        <v>0</v>
      </c>
      <c r="DF48" s="6">
        <f>COUNTIFS(Table40[Country],Tabela1[[#This Row],[Country]],Table40[C1 1000m Classification],"&gt;0")</f>
        <v>0</v>
      </c>
      <c r="DG48" s="6">
        <f>COUNTIFS(Table68[Country],Tabela1[[#This Row],[Country]],Table68[Men''s C2 500m Classification],"&gt;0")</f>
        <v>0</v>
      </c>
      <c r="DH48" s="6">
        <f>COUNTIFS(Table68[Country],Tabela1[[#This Row],[Country]],Table68[Women''s C2 500m Classification],"&gt;0")</f>
        <v>0</v>
      </c>
      <c r="DI48" s="6">
        <f>COUNTIFS(Table8[Country],Tabela1[[#This Row],[Country]],Table8[K1 500m Classification],"&gt;0")</f>
        <v>0</v>
      </c>
      <c r="DJ48" s="6">
        <f>COUNTIFS(Table40[Country],Tabela1[[#This Row],[Country]],Table40[K1 1000m Classification],"&gt;0")</f>
        <v>0</v>
      </c>
      <c r="DK48" s="6">
        <f>COUNTIFS(Table68[Country],Tabela1[[#This Row],[Country]],Table68[Men''s K2 500m Classification],"&gt;0")</f>
        <v>0</v>
      </c>
      <c r="DL48" s="6">
        <f>COUNTIFS(Table68[Country],Tabela1[[#This Row],[Country]],Table68[Women''s K2 500m Classification],"&gt;0")</f>
        <v>0</v>
      </c>
      <c r="DM48" s="6">
        <f>COUNTIFS(Table83[Country],Tabela1[[#This Row],[Country]],Table83[Men''s K4 500m Classification],"&gt;0")</f>
        <v>0</v>
      </c>
      <c r="DN48" s="6">
        <f>COUNTIFS(Table83[Country],Tabela1[[#This Row],[Country]],Table83[Women''s K4 500m Classification],"&gt;0")</f>
        <v>0</v>
      </c>
      <c r="DO48" s="6">
        <f>COUNTIFS(Tabela126[Country],Tabela1[[#This Row],[Country]],Tabela126[Classification],"&gt;0")</f>
        <v>0</v>
      </c>
      <c r="DP48" s="6">
        <f>COUNTIFS(Tabela126130[Country],Tabela1[[#This Row],[Country]],Tabela126130[Classification],"&gt;0")</f>
        <v>0</v>
      </c>
      <c r="DQ48" s="6">
        <f>COUNTIFS(Table70[Country],Tabela1[[#This Row],[Country]],Table70[Classification],"&gt;0")</f>
        <v>0</v>
      </c>
      <c r="DR48" s="6">
        <f>COUNTIFS(Table80[Country],Tabela1[[#This Row],[Country]],Table80[Classification],"&gt;0")</f>
        <v>0</v>
      </c>
      <c r="DS48" s="6">
        <f>COUNTIFS(Table66[Country],Tabela1[[#This Row],[Country]],Table66[Classification],"&gt;0")</f>
        <v>0</v>
      </c>
      <c r="DT48" s="6">
        <f>COUNTIFS(Table67[Country],Tabela1[[#This Row],[Country]],Table67[Classification],"&gt;0")</f>
        <v>0</v>
      </c>
      <c r="DU48" s="6">
        <f>COUNTIFS(Table69[Country],Tabela1[[#This Row],[Country]],Table69[Keirin Classification],"&gt;0")</f>
        <v>0</v>
      </c>
      <c r="DV48" s="6">
        <f>COUNTIFS(Table41[Country],Tabela1[[#This Row],[Country]],Table41[Keirin Classification],"&gt;0")</f>
        <v>0</v>
      </c>
      <c r="DW48" s="6">
        <f>COUNTIFS(Table84[Country],Tabela1[[#This Row],[Country]],Table84[Men''s Madison Classification],"&gt;0")</f>
        <v>0</v>
      </c>
      <c r="DX48" s="6">
        <f>COUNTIFS(Table84[Country],Tabela1[[#This Row],[Country]],Table84[Women''s Madison Classification],"&gt;0")</f>
        <v>0</v>
      </c>
      <c r="DY48" s="6">
        <f>COUNTIFS(Table69[Country],Tabela1[[#This Row],[Country]],Table69[Omnium Classification],"&gt;0")</f>
        <v>0</v>
      </c>
      <c r="DZ48" s="6">
        <f>COUNTIFS(Table41[Country],Tabela1[[#This Row],[Country]],Table41[Omnium Classification],"&gt;0")</f>
        <v>0</v>
      </c>
      <c r="EA48" s="6">
        <f>COUNTIFS(Table9[Country],Tabela1[[#This Row],[Country]],Table9[Road Race Classification],"&gt;0")</f>
        <v>0</v>
      </c>
      <c r="EB48" s="6">
        <f>COUNTIFS(Table14[Country],Tabela1[[#This Row],[Country]],Table14[Road Race Classification],"&gt;0")</f>
        <v>0</v>
      </c>
      <c r="EC48" s="6">
        <f>COUNTIFS(Table69[Country],Tabela1[[#This Row],[Country]],Table69[Sprint Classification],"&gt;0")</f>
        <v>0</v>
      </c>
      <c r="ED48" s="6">
        <f>COUNTIFS(Table41[Country],Tabela1[[#This Row],[Country]],Table41[Sprint Classification],"&gt;0")</f>
        <v>0</v>
      </c>
      <c r="EE48" s="6">
        <f>COUNTIFS(Table85[Country],Tabela1[[#This Row],[Country]],Table85[Men''s Sprint Classification],"&gt;0")</f>
        <v>0</v>
      </c>
      <c r="EF48" s="6">
        <f>COUNTIFS(Table85[Country],Tabela1[[#This Row],[Country]],Table85[Women''s Sprint Classification],"&gt;0")</f>
        <v>0</v>
      </c>
      <c r="EG48" s="6">
        <f>COUNTIFS(Table85[Country],Tabela1[[#This Row],[Country]],Table85[Men''s Pursuit Classification],"&gt;0")</f>
        <v>0</v>
      </c>
      <c r="EH48" s="6">
        <f>COUNTIFS(Table85[Country],Tabela1[[#This Row],[Country]],Table85[Women''s Pursuit Classification],"&gt;0")</f>
        <v>0</v>
      </c>
      <c r="EI48" s="6">
        <f>COUNTIFS(Table9[Country],Tabela1[[#This Row],[Country]],Table9[Time-Trial Classification],"&gt;0")</f>
        <v>0</v>
      </c>
      <c r="EJ48" s="6">
        <f>COUNTIFS(Table14[Country],Tabela1[[#This Row],[Country]],Table14[Time-Trial Classification],"&gt;0")</f>
        <v>0</v>
      </c>
      <c r="EK48" s="6">
        <f>COUNTIFS(Table42[Country],Tabela1[[#This Row],[Country]],Table42[Springboard Classification],"&gt;0")</f>
        <v>1</v>
      </c>
      <c r="EL48" s="6">
        <f>COUNTIFS(Table43[Country],Tabela1[[#This Row],[Country]],Table43[Springboard Classification],"&gt;0")</f>
        <v>0</v>
      </c>
      <c r="EM48" s="6">
        <f>COUNTIFS(Table42[Country],Tabela1[[#This Row],[Country]],Table42[Platform Classification],"&gt;0")</f>
        <v>0</v>
      </c>
      <c r="EN48" s="6">
        <f>COUNTIFS(Table43[Country],Tabela1[[#This Row],[Country]],Table43[Platform Classification],"&gt;0")</f>
        <v>0</v>
      </c>
      <c r="EO48" s="6">
        <f>COUNTIFS(Table86[Country],Tabela1[[#This Row],[Country]],Table86[Men''s Synchronized Springboard Classification],"&gt;0")</f>
        <v>0</v>
      </c>
      <c r="EP48" s="6">
        <f>COUNTIFS(Table86[Country],Tabela1[[#This Row],[Country]],Table86[Women''s Synchronized Springboard Classification],"&gt;0")</f>
        <v>0</v>
      </c>
      <c r="EQ48" s="6">
        <f>COUNTIFS(Table86[Country],Tabela1[[#This Row],[Country]],Table86[Men''s Synchronized Platform Classification],"&gt;0")</f>
        <v>0</v>
      </c>
      <c r="ER48" s="6">
        <f>COUNTIFS(Table86[Country],Tabela1[[#This Row],[Country]],Table86[Women''s Synchronized Platform Classification],"&gt;0")</f>
        <v>0</v>
      </c>
      <c r="ES48" s="6">
        <f>COUNTIFS(Table44[Country],Tabela1[[#This Row],[Country]],Table44[Dressage Classification],"&gt;0")</f>
        <v>0</v>
      </c>
      <c r="ET48" s="6">
        <f>COUNTIFS(Table45[Country],Tabela1[[#This Row],[Country]],Table45[Dressage Classification],"&gt;0")</f>
        <v>0</v>
      </c>
      <c r="EU48" s="6">
        <f>COUNTIFS(Table44[Country],Tabela1[[#This Row],[Country]],Table44[Eventing Classification],"&gt;0")</f>
        <v>0</v>
      </c>
      <c r="EV48" s="6">
        <f>COUNTIFS(Table45[Country],Tabela1[[#This Row],[Country]],Table45[Eventing Classification],"&gt;0")</f>
        <v>0</v>
      </c>
      <c r="EW48" s="6">
        <f>COUNTIFS(Table44[Country],Tabela1[[#This Row],[Country]],Table44[Jumping Classification],"&gt;0")</f>
        <v>0</v>
      </c>
      <c r="EX48" s="6">
        <f>COUNTIFS(Table45[Country],Tabela1[[#This Row],[Country]],Table45[Jumping Classification],"&gt;0")</f>
        <v>0</v>
      </c>
      <c r="EY48" s="6">
        <f>COUNTIFS(Table10[Country],Tabela1[[#This Row],[Country]],Table10[Épée Classification],"&gt;0")</f>
        <v>0</v>
      </c>
      <c r="EZ48" s="6">
        <f>COUNTIFS(Table11[Country],Tabela1[[#This Row],[Country]],Table11[Épée Classification],"&gt;0")</f>
        <v>0</v>
      </c>
      <c r="FA48" s="6">
        <f>COUNTIFS(Table46[Country],Tabela1[[#This Row],[Country]],Table46[Men''s Épée Classification],"&gt;0")</f>
        <v>0</v>
      </c>
      <c r="FB48" s="6">
        <f>COUNTIFS(Table46[Country],Tabela1[[#This Row],[Country]],Table46[Women''s Épée Classification],"&gt;0")</f>
        <v>0</v>
      </c>
      <c r="FC48" s="6">
        <f>COUNTIFS(Table10[Country],Tabela1[[#This Row],[Country]],Table10[Foil Classification],"&gt;0")</f>
        <v>0</v>
      </c>
      <c r="FD48" s="6">
        <f>COUNTIFS(Table11[Country],Tabela1[[#This Row],[Country]],Table11[Foil Classification],"&gt;0")</f>
        <v>0</v>
      </c>
      <c r="FE48" s="6">
        <f>COUNTIFS(Table46[Country],Tabela1[[#This Row],[Country]],Table46[Men''s Foil Classification],"&gt;0")</f>
        <v>0</v>
      </c>
      <c r="FF48" s="6">
        <f>COUNTIFS(Table46[Country],Tabela1[[#This Row],[Country]],Table46[Women''s Foil Classification],"&gt;0")</f>
        <v>0</v>
      </c>
      <c r="FG48" s="6">
        <f>COUNTIFS(Table10[Country],Tabela1[[#This Row],[Country]],Table10[Sabre Classification],"&gt;0")</f>
        <v>0</v>
      </c>
      <c r="FH48" s="6">
        <f>COUNTIFS(Table11[Country],Tabela1[[#This Row],[Country]],Table11[Sabre Classification],"&gt;0")</f>
        <v>0</v>
      </c>
      <c r="FI48" s="6">
        <f>COUNTIFS(Table46[Country],Tabela1[[#This Row],[Country]],Table46[Men''s Sabre Classification],"&gt;0")</f>
        <v>0</v>
      </c>
      <c r="FJ48" s="6">
        <f>COUNTIFS(Table46[Country],Tabela1[[#This Row],[Country]],Table46[Women''s Sabre Classification],"&gt;0")</f>
        <v>0</v>
      </c>
      <c r="FK48" s="6">
        <f>COUNTIFS(Table91[Country],Tabela1[[#This Row],[Country]],Table91[Men''s Classification],"&gt;0")</f>
        <v>0</v>
      </c>
      <c r="FL48" s="6">
        <f>COUNTIFS(Table91[Country],Tabela1[[#This Row],[Country]],Table91[Women''s Classification],"&gt;0")</f>
        <v>0</v>
      </c>
      <c r="FM48" s="6">
        <f>COUNTIFS(Table9194[Country],Tabela1[[#This Row],[Country]],Table9194[Men''s Classification],"&gt;0")</f>
        <v>0</v>
      </c>
      <c r="FN48" s="6">
        <f>COUNTIFS(Table9194[Country],Tabela1[[#This Row],[Country]],Table9194[Women''s Classification],"&gt;0")</f>
        <v>0</v>
      </c>
      <c r="FO48" s="6">
        <f>COUNTIFS(Table71[Country],Tabela1[[#This Row],[Country]],Table71[Classification],"&gt;0")</f>
        <v>0</v>
      </c>
      <c r="FP48" s="6">
        <f>COUNTIFS(Table62[Country],Tabela1[[#This Row],[Country]],Table62[Classification],"&gt;0")</f>
        <v>0</v>
      </c>
      <c r="FQ48" s="6">
        <f>COUNTIFS(Table47[Country],Tabela1[[#This Row],[Country]],Table47[All-Around Classification],"&gt;0")</f>
        <v>0</v>
      </c>
      <c r="FR48" s="6">
        <f>COUNTIFS(Table48[Country],Tabela1[[#This Row],[Country]],Table48[All-Around Classification],"&gt;0")</f>
        <v>0</v>
      </c>
      <c r="FS48" s="6">
        <f>COUNTIFS(Table81[Country],Tabela1[[#This Row],[Country]],Table81[Men''s All-Around Classification],"&gt;0")</f>
        <v>0</v>
      </c>
      <c r="FT48" s="6">
        <f>COUNTIFS(Table81[Country],Tabela1[[#This Row],[Country]],Table81[Women''s All-Around Classification],"&gt;0")</f>
        <v>0</v>
      </c>
      <c r="FU48" s="6">
        <f>COUNTIFS(Table48[Country],Tabela1[[#This Row],[Country]],Table48[Balance Beam Classification],"&gt;0")</f>
        <v>0</v>
      </c>
      <c r="FV48" s="6">
        <f>COUNTIFS(Table47[Country],Tabela1[[#This Row],[Country]],Table47[Floor Exercise Classification],"&gt;0")</f>
        <v>0</v>
      </c>
      <c r="FW48" s="6">
        <f>COUNTIFS(Table48[Country],Tabela1[[#This Row],[Country]],Table48[Floor Exercise Classification],"&gt;0")</f>
        <v>0</v>
      </c>
      <c r="FX48" s="6">
        <f>COUNTIFS(Table47[Country],Tabela1[[#This Row],[Country]],Table47[Horizontal Bar Classification],"&gt;0")</f>
        <v>0</v>
      </c>
      <c r="FY48" s="6">
        <f>COUNTIFS(Table47[Country],Tabela1[[#This Row],[Country]],Table47[Parallel Bars Classification],"&gt;0")</f>
        <v>0</v>
      </c>
      <c r="FZ48" s="6">
        <f>COUNTIFS(Table47[Country],Tabela1[[#This Row],[Country]],Table47[Pommel Horse Classification],"&gt;0")</f>
        <v>0</v>
      </c>
      <c r="GA48" s="6">
        <f>COUNTIFS(Table47[Country],Tabela1[[#This Row],[Country]],Table47[Rings Classification],"&gt;0")</f>
        <v>0</v>
      </c>
      <c r="GB48" s="6">
        <f>COUNTIFS(Tabela132[Country],Tabela1[[#This Row],[Country]],Tabela132[Classification],"&gt;0")</f>
        <v>0</v>
      </c>
      <c r="GC48" s="6">
        <f>COUNTIFS(Tabela139[Country],Tabela1[[#This Row],[Country]],Tabela139[Classification],"&gt;0")</f>
        <v>0</v>
      </c>
      <c r="GD48" s="6">
        <f>COUNTIFS(Table48[Country],Tabela1[[#This Row],[Country]],Table48[Uneven Bars Classification],"&gt;0")</f>
        <v>0</v>
      </c>
      <c r="GE48" s="6">
        <f>COUNTIFS(Table47[Country],Tabela1[[#This Row],[Country]],Table47[Vault Classification],"&gt;0")</f>
        <v>0</v>
      </c>
      <c r="GF48" s="6">
        <f>COUNTIFS(Table48[Country],Tabela1[[#This Row],[Country]],Table48[Vault Classification],"&gt;0")</f>
        <v>0</v>
      </c>
      <c r="GG48" s="6">
        <f>COUNTIFS(Table919496[Country],Tabela1[[#This Row],[Country]],Table919496[Men''s Classification],"&gt;0")</f>
        <v>0</v>
      </c>
      <c r="GH48" s="6">
        <f>COUNTIFS(Table919496[Country],Tabela1[[#This Row],[Country]],Table919496[Women''s Classification],"&gt;0")</f>
        <v>0</v>
      </c>
      <c r="GI48" s="6">
        <f>COUNTIFS(Table12[Country],Tabela1[[#This Row],[Country]],Table12[60kg Classification],"&gt;0")</f>
        <v>1</v>
      </c>
      <c r="GJ48" s="6">
        <f>COUNTIFS(Table12[Country],Tabela1[[#This Row],[Country]],Table12[66kg Classification],"&gt;0")</f>
        <v>0</v>
      </c>
      <c r="GK48" s="6">
        <f>COUNTIFS(Table12[Country],Tabela1[[#This Row],[Country]],Table12[73kg Classification],"&gt;0")</f>
        <v>0</v>
      </c>
      <c r="GL48" s="6">
        <f>COUNTIFS(Table12[Country],Tabela1[[#This Row],[Country]],Table12[81kg Classification],"&gt;0")</f>
        <v>0</v>
      </c>
      <c r="GM48" s="6">
        <f>COUNTIFS(Table12[Country],Tabela1[[#This Row],[Country]],Table12[90kg Classification],"&gt;0")</f>
        <v>0</v>
      </c>
      <c r="GN48" s="6">
        <f>COUNTIFS(Table12[Country],Tabela1[[#This Row],[Country]],Table12[100kg Classification],"&gt;0")</f>
        <v>0</v>
      </c>
      <c r="GO48" s="6">
        <f>COUNTIFS(Table12[Country],Tabela1[[#This Row],[Country]],Table12[Plus 100kg Classification],"&gt;0")</f>
        <v>0</v>
      </c>
      <c r="GP48" s="6">
        <f>COUNTIFS(Table13[Country],Tabela1[[#This Row],[Country]],Table13[48kg Classification],"&gt;0")</f>
        <v>0</v>
      </c>
      <c r="GQ48" s="6">
        <f>COUNTIFS(Table13[Country],Tabela1[[#This Row],[Country]],Table13[52kg Classification],"&gt;0")</f>
        <v>0</v>
      </c>
      <c r="GR48" s="6">
        <f>COUNTIFS(Table13[Country],Tabela1[[#This Row],[Country]],Table13[57kg Classification],"&gt;0")</f>
        <v>0</v>
      </c>
      <c r="GS48" s="6">
        <f>COUNTIFS(Table13[Country],Tabela1[[#This Row],[Country]],Table13[63kg Classification],"&gt;0")</f>
        <v>0</v>
      </c>
      <c r="GT48" s="6">
        <f>COUNTIFS(Table13[Country],Tabela1[[#This Row],[Country]],Table13[70kg Classification],"&gt;0")</f>
        <v>0</v>
      </c>
      <c r="GU48" s="6">
        <f>COUNTIFS(Table13[Country],Tabela1[[#This Row],[Country]],Table13[78kg Classification],"&gt;0")</f>
        <v>0</v>
      </c>
      <c r="GV48" s="6">
        <f>COUNTIFS(Table13[Country],Tabela1[[#This Row],[Country]],Table13[Plus 78kg Classification],"&gt;0")</f>
        <v>0</v>
      </c>
      <c r="GW48" s="6">
        <f>COUNTIFS(Table82[Country],Tabela1[[#This Row],[Country]],Table82[Mixed Classification],"&gt;0")</f>
        <v>0</v>
      </c>
      <c r="GX48" s="6">
        <f>COUNTIFS(Table51[Country],Tabela1[[#This Row],[Country]],Table51[Classification],"&gt;0")</f>
        <v>0</v>
      </c>
      <c r="GY48" s="6">
        <f>COUNTIFS(Table52[Country],Tabela1[[#This Row],[Country]],Table52[Classification],"&gt;0")</f>
        <v>0</v>
      </c>
      <c r="GZ48" s="6">
        <f>COUNTIFS(Table32[Country],Tabela1[[#This Row],[Country]],Table32[All-Around Classification],"&gt;0")</f>
        <v>0</v>
      </c>
      <c r="HA48" s="6">
        <f>COUNTIFS(Table49[Country],Tabela1[[#This Row],[Country]],Table49[All-Around Classification],"&gt;0")</f>
        <v>0</v>
      </c>
      <c r="HB48" s="6">
        <f>COUNTIFS(Table26[Country],Tabela1[[#This Row],[Country]],Table26[Single Sculls Classification],"&gt;0")</f>
        <v>0</v>
      </c>
      <c r="HC48" s="6">
        <f>COUNTIFS(Table63[Country],Tabela1[[#This Row],[Country]],Table63[Single Sculls Classification],"&gt;0")</f>
        <v>0</v>
      </c>
      <c r="HD48" s="6">
        <f>COUNTIFS(Table16[Country],Tabela1[[#This Row],[Country]],Table16[Men''s Double Sculls Classification],"&gt;0")</f>
        <v>0</v>
      </c>
      <c r="HE48" s="6">
        <f>COUNTIFS(Table16[Country],Tabela1[[#This Row],[Country]],Table16[Women''s Double Sculls Classification],"&gt;0")</f>
        <v>0</v>
      </c>
      <c r="HF48" s="6">
        <f>COUNTIFS(Table72[Country],Tabela1[[#This Row],[Country]],Table72[Men''s Quadruple Sculls Classification],"&gt;0")</f>
        <v>0</v>
      </c>
      <c r="HG48" s="6">
        <f>COUNTIFS(Table72[Country],Tabela1[[#This Row],[Country]],Table72[Women''s Quadruple Sculls Classification],"&gt;0")</f>
        <v>0</v>
      </c>
      <c r="HH48" s="6">
        <f>COUNTIFS(Table16[Country],Tabela1[[#This Row],[Country]],Table16[Men''s Coxless Pairs Classification],"&gt;0")</f>
        <v>0</v>
      </c>
      <c r="HI48" s="6">
        <f>COUNTIFS(Table16[Country],Tabela1[[#This Row],[Country]],Table16[Women''s Coxless Pairs Classification],"&gt;0")</f>
        <v>0</v>
      </c>
      <c r="HJ48" s="6">
        <f>COUNTIFS(Table72[Country],Tabela1[[#This Row],[Country]],Table72[Men''s Coxless Fours Classification],"&gt;0")</f>
        <v>0</v>
      </c>
      <c r="HK48" s="6">
        <f>COUNTIFS(Table72[Country],Tabela1[[#This Row],[Country]],Table72[Women''s Coxless Fours Classification],"&gt;0")</f>
        <v>0</v>
      </c>
      <c r="HL48" s="6">
        <f>COUNTIFS(Table72[Country],Tabela1[[#This Row],[Country]],Table72[Men''s Eights Classification],"&gt;0")</f>
        <v>0</v>
      </c>
      <c r="HM48" s="6">
        <f>COUNTIFS(Table72[Country],Tabela1[[#This Row],[Country]],Table72[Women''s Eights Classification],"&gt;0")</f>
        <v>0</v>
      </c>
      <c r="HN48" s="6">
        <f>COUNTIFS(Table16[Country],Tabela1[[#This Row],[Country]],Table16[Men''s Lwt. Double Sculls Classification],"&gt;0")</f>
        <v>0</v>
      </c>
      <c r="HO48" s="6">
        <f>COUNTIFS(Table16[Country],Tabela1[[#This Row],[Country]],Table16[Women''s Lwt. Double Sculls Classification],"&gt;0")</f>
        <v>0</v>
      </c>
      <c r="HP48" s="6">
        <f>COUNTIFS(Table91949698[Country],Tabela1[[#This Row],[Country]],Table91949698[Men''s Classification],"&gt;0")</f>
        <v>0</v>
      </c>
      <c r="HQ48" s="6">
        <f>COUNTIFS(Table91949698[Country],Tabela1[[#This Row],[Country]],Table91949698[Women''s Classification],"&gt;0")</f>
        <v>0</v>
      </c>
      <c r="HR48" s="6">
        <f>COUNTIFS(Table25[Country],Tabela1[[#This Row],[Country]],Table25[Mixed 470 Classification],"&gt;0")</f>
        <v>0</v>
      </c>
      <c r="HS48" s="6">
        <f>COUNTIFS(Table25[Country],Tabela1[[#This Row],[Country]],Table25[Men''s 49er Classification],"&gt;0")</f>
        <v>0</v>
      </c>
      <c r="HT48" s="6">
        <f>COUNTIFS(Table25[Country],Tabela1[[#This Row],[Country]],Table25[Women''s 49er FX Classification],"&gt;0")</f>
        <v>0</v>
      </c>
      <c r="HU48" s="6">
        <f>COUNTIFS(Table17[Country],Tabela1[[#This Row],[Country]],Table17[Formula Kite Classification],"&gt;0")</f>
        <v>0</v>
      </c>
      <c r="HV48" s="6">
        <f>COUNTIFS(Table18[Country],Tabela1[[#This Row],[Country]],Table18[Formula Kite Classification],"&gt;0")</f>
        <v>0</v>
      </c>
      <c r="HW48" s="6">
        <f>COUNTIFS(Table17[Country],Tabela1[[#This Row],[Country]],Table17[ILCA 7 Classification],"&gt;0")</f>
        <v>0</v>
      </c>
      <c r="HX48" s="6">
        <f>COUNTIFS(Table18[Country],Tabela1[[#This Row],[Country]],Table18[ILCA 6 Classification],"&gt;0")</f>
        <v>0</v>
      </c>
      <c r="HY48" s="6">
        <f>COUNTIFS(Table17[Country],Tabela1[[#This Row],[Country]],Table17[IQFoil Classification],"&gt;0")</f>
        <v>0</v>
      </c>
      <c r="HZ48" s="6">
        <f>COUNTIFS(Table18[Country],Tabela1[[#This Row],[Country]],Table18[IQFoil Classification],"&gt;0")</f>
        <v>0</v>
      </c>
      <c r="IA48" s="6">
        <f>COUNTIFS(Table25[Country],Tabela1[[#This Row],[Country]],Table25[Mixed Nacra 17 Classification],"&gt;0")</f>
        <v>0</v>
      </c>
      <c r="IB48" s="6">
        <f>COUNTIFS(Table53[Country],Tabela1[[#This Row],[Country]],Table53[10m Air Pistol Classification],"&gt;0")</f>
        <v>0</v>
      </c>
      <c r="IC48" s="6">
        <f>COUNTIFS(Table19[Country],Tabela1[[#This Row],[Country]],Table19[10m Air Pistol Classification],"&gt;0")</f>
        <v>0</v>
      </c>
      <c r="ID48" s="6">
        <f>COUNTIFS(Table54[Country],Tabela1[[#This Row],[Country]],Table54[Mixed 10m Air Pistol Team Classification],"&gt;0")</f>
        <v>0</v>
      </c>
      <c r="IE48" s="6">
        <f>COUNTIFS(Table53[Country],Tabela1[[#This Row],[Country]],Table53[10m Air Rifle Classification],"&gt;0")</f>
        <v>0</v>
      </c>
      <c r="IF48" s="6">
        <f>COUNTIFS(Table19[Country],Tabela1[[#This Row],[Country]],Table19[10m Air Rifle Classification],"&gt;0")</f>
        <v>0</v>
      </c>
      <c r="IG48" s="6">
        <f>COUNTIFS(Table54[Country],Tabela1[[#This Row],[Country]],Table54[Mixed 10m Air Rifle Team Classification],"&gt;0")</f>
        <v>0</v>
      </c>
      <c r="IH48" s="6">
        <f>COUNTIFS(Table53[Country],Tabela1[[#This Row],[Country]],Table53[25m Rapid Fire Pistol Classification],"&gt;0")</f>
        <v>0</v>
      </c>
      <c r="II48" s="6">
        <f>COUNTIFS(Table19[Country],Tabela1[[#This Row],[Country]],Table19[25m Pistol Classification],"&gt;0")</f>
        <v>0</v>
      </c>
      <c r="IJ48" s="6">
        <f>COUNTIFS(Table53[Country],Tabela1[[#This Row],[Country]],Table53[50m Rifle 3 Positions Classification],"&gt;0")</f>
        <v>0</v>
      </c>
      <c r="IK48" s="6">
        <f>COUNTIFS(Table19[Country],Tabela1[[#This Row],[Country]],Table19[50m Rifle 3 Positions Classification],"&gt;0")</f>
        <v>0</v>
      </c>
      <c r="IL48" s="6">
        <f>COUNTIFS(Table53[Country],Tabela1[[#This Row],[Country]],Table53[Skeet Classification],"&gt;0")</f>
        <v>0</v>
      </c>
      <c r="IM48" s="6">
        <f>COUNTIFS(Table19[Country],Tabela1[[#This Row],[Country]],Table19[Skeet Classification],"&gt;0")</f>
        <v>0</v>
      </c>
      <c r="IN48" s="6">
        <f>COUNTIFS(Table54[Country],Tabela1[[#This Row],[Country]],Table54[Mixed Skeet Team Classification],"&gt;0")</f>
        <v>0</v>
      </c>
      <c r="IO48" s="6">
        <f>COUNTIFS(Table53[Country],Tabela1[[#This Row],[Country]],Table53[Trap Classification],"&gt;0")</f>
        <v>0</v>
      </c>
      <c r="IP48" s="6">
        <f>COUNTIFS(Table19[Country],Tabela1[[#This Row],[Country]],Table19[Trap Classification],"&gt;0")</f>
        <v>0</v>
      </c>
      <c r="IQ48" s="6">
        <f>COUNTIFS(Table73[Country],Tabela1[[#This Row],[Country]],Table73[Park Classification],"&gt;0")</f>
        <v>0</v>
      </c>
      <c r="IR48" s="6">
        <f>COUNTIFS(Table74[Country],Tabela1[[#This Row],[Country]],Table74[Park Classification],"&gt;0")</f>
        <v>0</v>
      </c>
      <c r="IS48" s="6">
        <f>COUNTIFS(Table73[Country],Tabela1[[#This Row],[Country]],Table73[Street Classification],"&gt;0")</f>
        <v>0</v>
      </c>
      <c r="IT48" s="6">
        <f>COUNTIFS(Table74[Country],Tabela1[[#This Row],[Country]],Table74[Street Classification],"&gt;0")</f>
        <v>0</v>
      </c>
      <c r="IU48" s="6">
        <f>COUNTIFS(Table75[Country],Tabela1[[#This Row],[Country]],Table75[Boulder and Lead Classification],"&gt;0")</f>
        <v>0</v>
      </c>
      <c r="IV48" s="6">
        <f>COUNTIFS(Table76[Country],Tabela1[[#This Row],[Country]],Table76[Boulder and Lead Classification],"&gt;0")</f>
        <v>0</v>
      </c>
      <c r="IW48" s="6">
        <f>COUNTIFS(Table75[Country],Tabela1[[#This Row],[Country]],Table75[Speed Classification],"&gt;0")</f>
        <v>0</v>
      </c>
      <c r="IX48" s="6">
        <f>COUNTIFS(Table76[Country],Tabela1[[#This Row],[Country]],Table76[Speed Classification],"&gt;0")</f>
        <v>0</v>
      </c>
      <c r="IY48" s="6">
        <f>COUNTIFS(Table64[Country],Tabela1[[#This Row],[Country]],Table64[Shortboard Classification],"&gt;0")</f>
        <v>0</v>
      </c>
      <c r="IZ48" s="6">
        <f>COUNTIFS(Table77[Country],Tabela1[[#This Row],[Country]],Table77[Shortboard Classification],"&gt;0")</f>
        <v>0</v>
      </c>
      <c r="JA48" s="6">
        <f>COUNTIFS(Table20[Country],Tabela1[[#This Row],[Country]],Table20[50m Freestyle Classification],"&gt;0")</f>
        <v>0</v>
      </c>
      <c r="JB48" s="6">
        <f>COUNTIFS(Table21[Country],Tabela1[[#This Row],[Country]],Table21[50m Freestyle Classification],"&gt;0")</f>
        <v>0</v>
      </c>
      <c r="JC48" s="6">
        <f>COUNTIFS(Table20[Country],Tabela1[[#This Row],[Country]],Table20[100m Freestyle Classification],"&gt;0")</f>
        <v>0</v>
      </c>
      <c r="JD48" s="6">
        <f>COUNTIFS(Table21[Country],Tabela1[[#This Row],[Country]],Table21[100m Freestyle Classification],"&gt;0")</f>
        <v>0</v>
      </c>
      <c r="JE48" s="6">
        <f>COUNTIFS(Table20[Country],Tabela1[[#This Row],[Country]],Table20[200m Freestyle Classification],"&gt;0")</f>
        <v>0</v>
      </c>
      <c r="JF48" s="6">
        <f>COUNTIFS(Table21[Country],Tabela1[[#This Row],[Country]],Table21[200m Freestyle Classification],"&gt;0")</f>
        <v>0</v>
      </c>
      <c r="JG48" s="6">
        <f>COUNTIFS(Table20[Country],Tabela1[[#This Row],[Country]],Table20[400m Freestyle Classification],"&gt;0")</f>
        <v>0</v>
      </c>
      <c r="JH48" s="6">
        <f>COUNTIFS(Table21[Country],Tabela1[[#This Row],[Country]],Table21[400m Freestyle Classification],"&gt;0")</f>
        <v>0</v>
      </c>
      <c r="JI48" s="6">
        <f>COUNTIFS(Table20[Country],Tabela1[[#This Row],[Country]],Table20[800m Freestyle Classification],"&gt;0")</f>
        <v>0</v>
      </c>
      <c r="JJ48" s="6">
        <f>COUNTIFS(Table21[Country],Tabela1[[#This Row],[Country]],Table21[800m Freestyle Classification],"&gt;0")</f>
        <v>0</v>
      </c>
      <c r="JK48" s="6">
        <f>COUNTIFS(Table20[Country],Tabela1[[#This Row],[Country]],Table20[1500m Freestyle Classification],"&gt;0")</f>
        <v>0</v>
      </c>
      <c r="JL48" s="6">
        <f>COUNTIFS(Table21[Country],Tabela1[[#This Row],[Country]],Table21[1500m Freestyle Classification],"&gt;0")</f>
        <v>0</v>
      </c>
      <c r="JM48" s="6">
        <f>COUNTIFS(Table20[Country],Tabela1[[#This Row],[Country]],Table20[100m Backstroke Classification],"&gt;0")</f>
        <v>0</v>
      </c>
      <c r="JN48" s="6">
        <f>COUNTIFS(Table21[Country],Tabela1[[#This Row],[Country]],Table21[100m Backstroke Classification],"&gt;0")</f>
        <v>0</v>
      </c>
      <c r="JO48" s="6">
        <f>COUNTIFS(Table20[Country],Tabela1[[#This Row],[Country]],Table20[200m Backstroke Classification],"&gt;0")</f>
        <v>0</v>
      </c>
      <c r="JP48" s="6">
        <f>COUNTIFS(Table21[Country],Tabela1[[#This Row],[Country]],Table21[200m Backstroke Classification],"&gt;0")</f>
        <v>0</v>
      </c>
      <c r="JQ48" s="6">
        <f>COUNTIFS(Table20[Country],Tabela1[[#This Row],[Country]],Table20[100m Breaststroke Classification],"&gt;0")</f>
        <v>0</v>
      </c>
      <c r="JR48" s="6">
        <f>COUNTIFS(Table21[Country],Tabela1[[#This Row],[Country]],Table21[100m Breaststroke Classification],"&gt;0")</f>
        <v>0</v>
      </c>
      <c r="JS48" s="6">
        <f>COUNTIFS(Table20[Country],Tabela1[[#This Row],[Country]],Table20[200m Breaststroke Classification],"&gt;0")</f>
        <v>0</v>
      </c>
      <c r="JT48" s="6">
        <f>COUNTIFS(Table21[Country],Tabela1[[#This Row],[Country]],Table21[200m Breaststroke Classification],"&gt;0")</f>
        <v>0</v>
      </c>
      <c r="JU48" s="6">
        <f>COUNTIFS(Table20[Country],Tabela1[[#This Row],[Country]],Table20[100m Butterfly Classification],"&gt;0")</f>
        <v>1</v>
      </c>
      <c r="JV48" s="6">
        <f>COUNTIFS(Table21[Country],Tabela1[[#This Row],[Country]],Table21[100m Butterfly Classification],"&gt;0")</f>
        <v>0</v>
      </c>
      <c r="JW48" s="6">
        <f>COUNTIFS(Table20[Country],Tabela1[[#This Row],[Country]],Table20[200m Butterfly Classification],"&gt;0")</f>
        <v>0</v>
      </c>
      <c r="JX48" s="6">
        <f>COUNTIFS(Table21[Country],Tabela1[[#This Row],[Country]],Table21[200m Butterfly Classification],"&gt;0")</f>
        <v>0</v>
      </c>
      <c r="JY48" s="6">
        <f>COUNTIFS(Table20[Country],Tabela1[[#This Row],[Country]],Table20[200m Medley Classification],"&gt;0")</f>
        <v>0</v>
      </c>
      <c r="JZ48" s="6">
        <f>COUNTIFS(Table21[Country],Tabela1[[#This Row],[Country]],Table21[200m Medley Classification],"&gt;0")</f>
        <v>0</v>
      </c>
      <c r="KA48" s="6">
        <f>COUNTIFS(Table20[Country],Tabela1[[#This Row],[Country]],Table20[400m Medley Classification],"&gt;0")</f>
        <v>0</v>
      </c>
      <c r="KB48" s="6">
        <f>COUNTIFS(Table21[Country],Tabela1[[#This Row],[Country]],Table21[400m Medley Classification],"&gt;0")</f>
        <v>0</v>
      </c>
      <c r="KC48" s="6">
        <f>COUNTIFS(Table78[Country],Tabela1[[#This Row],[Country]],Table78[Men''s 4x100m Freestyle Relay Classification],"&gt;0")</f>
        <v>0</v>
      </c>
      <c r="KD48" s="6">
        <f>COUNTIFS(Table78[Country],Tabela1[[#This Row],[Country]],Table78[Women''s 4x100m Freestyle Relay Classification],"&gt;0")</f>
        <v>0</v>
      </c>
      <c r="KE48" s="6">
        <f>COUNTIFS(Table78[Country],Tabela1[[#This Row],[Country]],Table78[Men''s 4x200m Freestyle Relay Classification],"&gt;0")</f>
        <v>0</v>
      </c>
      <c r="KF48" s="6">
        <f>COUNTIFS(Table78[Country],Tabela1[[#This Row],[Country]],Table78[Women''s 4x200m Freestyle Relay Classification],"&gt;0")</f>
        <v>0</v>
      </c>
      <c r="KG48" s="6">
        <f>COUNTIFS(Table78[Country],Tabela1[[#This Row],[Country]],Table78[Men''s 4x100m Medley Relay Classification],"&gt;0")</f>
        <v>0</v>
      </c>
      <c r="KH48" s="6">
        <f>COUNTIFS(Table78[Country],Tabela1[[#This Row],[Country]],Table78[Women''s 4x100m Medley Relay Classification],"&gt;0")</f>
        <v>0</v>
      </c>
      <c r="KI48" s="6">
        <f>COUNTIFS(Table78[Country],Tabela1[[#This Row],[Country]],Table78[Mixed 4x100m Medley Relay Classification],"&gt;0")</f>
        <v>0</v>
      </c>
      <c r="KJ48" s="6">
        <f>COUNTIFS(Table20[Country],Tabela1[[#This Row],[Country]],Table20[10km Open Water Classification],"&gt;0")</f>
        <v>0</v>
      </c>
      <c r="KK48" s="6">
        <f>COUNTIFS(Table21[Country],Tabela1[[#This Row],[Country]],Table21[10km Open Water Classification],"&gt;0")</f>
        <v>0</v>
      </c>
      <c r="KL48" s="6">
        <f>COUNTIFS(Table22[Country],Tabela1[[#This Row],[Country]],Table22[Classification],"&gt;0")</f>
        <v>0</v>
      </c>
      <c r="KM48" s="6">
        <f>COUNTIFS(Table30[Country],Tabela1[[#This Row],[Country]],Table30[Classification],"&gt;0")</f>
        <v>0</v>
      </c>
      <c r="KN48" s="6">
        <f>COUNTIFS(Table55[Country],Tabela1[[#This Row],[Country]],Table55[Men''s Classification],"&gt;0")</f>
        <v>0</v>
      </c>
      <c r="KO48" s="6">
        <f>COUNTIFS(Table55[Country],Tabela1[[#This Row],[Country]],Table55[Women''s Classification],"&gt;0")</f>
        <v>0</v>
      </c>
      <c r="KP48" s="6">
        <f>COUNTIFS(Table56[Country],Tabela1[[#This Row],[Country]],Table56[Mixed Classification],"&gt;0")</f>
        <v>0</v>
      </c>
      <c r="KQ48" s="6">
        <f>COUNTIFS(Table29[Country],Tabela1[[#This Row],[Country]],Table29[58kg Classification],"&gt;0")</f>
        <v>0</v>
      </c>
      <c r="KR48" s="6">
        <f>COUNTIFS(Table29[Country],Tabela1[[#This Row],[Country]],Table29[68kg Classification],"&gt;0")</f>
        <v>0</v>
      </c>
      <c r="KS48" s="6">
        <f>COUNTIFS(Table29[Country],Tabela1[[#This Row],[Country]],Table29[80kg Classification],"&gt;0")</f>
        <v>0</v>
      </c>
      <c r="KT48" s="6">
        <f>COUNTIFS(Table29[Country],Tabela1[[#This Row],[Country]],Table29[Plus 80kg Classification],"&gt;0")</f>
        <v>0</v>
      </c>
      <c r="KU48" s="6">
        <f>COUNTIFS(Table34[Country],Tabela1[[#This Row],[Country]],Table34[49kg Classification],"&gt;0")</f>
        <v>0</v>
      </c>
      <c r="KV48" s="6">
        <f>COUNTIFS(Table34[Country],Tabela1[[#This Row],[Country]],Table34[57kg Classification],"&gt;0")</f>
        <v>0</v>
      </c>
      <c r="KW48" s="6">
        <f>COUNTIFS(Table34[Country],Tabela1[[#This Row],[Country]],Table34[67kg Classification],"&gt;0")</f>
        <v>0</v>
      </c>
      <c r="KX48" s="6">
        <f>COUNTIFS(Table34[Country],Tabela1[[#This Row],[Country]],Table34[Plus 67kg Classification],"&gt;0")</f>
        <v>0</v>
      </c>
      <c r="KY48" s="6">
        <f>COUNTIFS(Table57[Country],Tabela1[[#This Row],[Country]],Table57[Classification],"&gt;0")</f>
        <v>0</v>
      </c>
      <c r="KZ48" s="6">
        <f>COUNTIFS(Table58[Country],Tabela1[[#This Row],[Country]],Table58[Classification],"&gt;0")</f>
        <v>0</v>
      </c>
      <c r="LA48" s="6">
        <f>COUNTIFS(Table79[Country],Tabela1[[#This Row],[Country]],Table79[Men''s Classification],"&gt;0")</f>
        <v>0</v>
      </c>
      <c r="LB48" s="6">
        <f>COUNTIFS(Table79[Country],Tabela1[[#This Row],[Country]],Table79[Women''s Classification],"&gt;0")</f>
        <v>0</v>
      </c>
      <c r="LC48" s="6">
        <f>COUNTIFS(Table79[Country],Tabela1[[#This Row],[Country]],Table79[Mixed Classification],"&gt;0")</f>
        <v>0</v>
      </c>
      <c r="LD48" s="6">
        <f>COUNTIFS(Table65[Country],Tabela1[[#This Row],[Country]],Table65[Classification],"&gt;0")</f>
        <v>0</v>
      </c>
      <c r="LE48" s="6">
        <f>COUNTIFS(Table59[Country],Tabela1[[#This Row],[Country]],Table59[Classification],"&gt;0")</f>
        <v>0</v>
      </c>
      <c r="LF48" s="6">
        <f>COUNTIFS(Table87[Country],Tabela1[[#This Row],[Country]],Table87[Mixed Relay Classification],"&gt;0")</f>
        <v>0</v>
      </c>
      <c r="LG48" s="6">
        <f>COUNTIFS(Table91949698100[Country],Tabela1[[#This Row],[Country]],Table91949698100[Men''s Classification],"&gt;0")</f>
        <v>0</v>
      </c>
      <c r="LH48" s="6">
        <f>COUNTIFS(Table91949698100[Country],Tabela1[[#This Row],[Country]],Table91949698100[Women''s Classification],"&gt;0")</f>
        <v>0</v>
      </c>
      <c r="LI48" s="6">
        <f>COUNTIFS(Table91949698100102[Country],Tabela1[[#This Row],[Country]],Table91949698100102[Men''s Classification],"&gt;0")</f>
        <v>0</v>
      </c>
      <c r="LJ48" s="6">
        <f>COUNTIFS(Table91949698100102[Country],Tabela1[[#This Row],[Country]],Table91949698100102[Women''s Classification],"&gt;0")</f>
        <v>0</v>
      </c>
      <c r="LK48" s="6">
        <f>COUNTIFS(Table23[Country],Tabela1[[#This Row],[Country]],Table23[61kg Classification],"&gt;0")</f>
        <v>0</v>
      </c>
      <c r="LL48" s="6">
        <f>COUNTIFS(Table23[Country],Tabela1[[#This Row],[Country]],Table23[73kg Classification],"&gt;0")</f>
        <v>0</v>
      </c>
      <c r="LM48" s="6">
        <f>COUNTIFS(Table23[Country],Tabela1[[#This Row],[Country]],Table23[89kg Classification],"&gt;0")</f>
        <v>0</v>
      </c>
      <c r="LN48" s="6">
        <f>COUNTIFS(Table23[Country],Tabela1[[#This Row],[Country]],Table23[102kg Classification],"&gt;0")</f>
        <v>0</v>
      </c>
      <c r="LO48" s="6">
        <f>COUNTIFS(Table23[Country],Tabela1[[#This Row],[Country]],Table23[Plus 102kg Classification],"&gt;0")</f>
        <v>0</v>
      </c>
      <c r="LP48" s="6">
        <f>COUNTIFS(Table28[Country],Tabela1[[#This Row],[Country]],Table28[49kg Classification],"&gt;0")</f>
        <v>0</v>
      </c>
      <c r="LQ48" s="6">
        <f>COUNTIFS(Table28[Country],Tabela1[[#This Row],[Country]],Table28[59kg Classification],"&gt;0")</f>
        <v>0</v>
      </c>
      <c r="LR48" s="6">
        <f>COUNTIFS(Table28[Country],Tabela1[[#This Row],[Country]],Table28[71kg Classification],"&gt;0")</f>
        <v>0</v>
      </c>
      <c r="LS48" s="6">
        <f>COUNTIFS(Table28[Country],Tabela1[[#This Row],[Country]],Table28[81kg Classification],"&gt;0")</f>
        <v>0</v>
      </c>
      <c r="LT48" s="6">
        <f>COUNTIFS(Table28[Country],Tabela1[[#This Row],[Country]],Table28[Plus 81kg Classification],"&gt;0")</f>
        <v>0</v>
      </c>
      <c r="LU48" s="6">
        <f>COUNTIFS(Table24[Country],Tabela1[[#This Row],[Country]],Table24[Freestyle 57kg Classification],"&gt;0")</f>
        <v>0</v>
      </c>
      <c r="LV48" s="6">
        <f>COUNTIFS(Table24[Country],Tabela1[[#This Row],[Country]],Table24[Freestyle 65kg Classification],"&gt;0")</f>
        <v>0</v>
      </c>
      <c r="LW48" s="6">
        <f>COUNTIFS(Table24[Country],Tabela1[[#This Row],[Country]],Table24[Freestyle 74kg Classification],"&gt;0")</f>
        <v>0</v>
      </c>
      <c r="LX48" s="6">
        <f>COUNTIFS(Table24[Country],Tabela1[[#This Row],[Country]],Table24[Freestyle 86kg Classification],"&gt;0")</f>
        <v>0</v>
      </c>
      <c r="LY48" s="6">
        <f>COUNTIFS(Table24[Country],Tabela1[[#This Row],[Country]],Table24[Freestyle 97kg Classification],"&gt;0")</f>
        <v>0</v>
      </c>
      <c r="LZ48" s="6">
        <f>COUNTIFS(Table24[Country],Tabela1[[#This Row],[Country]],Table24[Freestyle 125kg Classification],"&gt;0")</f>
        <v>0</v>
      </c>
      <c r="MA48" s="6">
        <f>COUNTIFS(Table24[Country],Tabela1[[#This Row],[Country]],Table24[Greco-Roman 60kg Classification],"&gt;0")</f>
        <v>0</v>
      </c>
      <c r="MB48" s="6">
        <f>COUNTIFS(Table24[Country],Tabela1[[#This Row],[Country]],Table24[Greco-Roman 67kg Classification],"&gt;0")</f>
        <v>0</v>
      </c>
      <c r="MC48" s="6">
        <f>COUNTIFS(Table24[Country],Tabela1[[#This Row],[Country]],Table24[Greco-Roman 77kg Classification],"&gt;0")</f>
        <v>0</v>
      </c>
      <c r="MD48" s="6">
        <f>COUNTIFS(Table24[Country],Tabela1[[#This Row],[Country]],Table24[Greco-Roman 87kg Classification],"&gt;0")</f>
        <v>0</v>
      </c>
      <c r="ME48" s="6">
        <f>COUNTIFS(Table24[Country],Tabela1[[#This Row],[Country]],Table24[Greco-Roman 97kg Classification],"&gt;0")</f>
        <v>0</v>
      </c>
      <c r="MF48" s="6">
        <f>COUNTIFS(Table24[Country],Tabela1[[#This Row],[Country]],Table24[Greco-Roman 130kg Classification],"&gt;0")</f>
        <v>0</v>
      </c>
      <c r="MG48" s="6">
        <f>COUNTIFS(Table31[Country],Tabela1[[#This Row],[Country]],Table31[50kg Classification],"&gt;0")</f>
        <v>0</v>
      </c>
      <c r="MH48" s="6">
        <f>COUNTIFS(Table31[Country],Tabela1[[#This Row],[Country]],Table31[53kg Classification],"&gt;0")</f>
        <v>0</v>
      </c>
      <c r="MI48" s="6">
        <f>COUNTIFS(Table31[Country],Tabela1[[#This Row],[Country]],Table31[57kg Classification],"&gt;0")</f>
        <v>0</v>
      </c>
      <c r="MJ48" s="6">
        <f>COUNTIFS(Table31[Country],Tabela1[[#This Row],[Country]],Table31[62kg Classification],"&gt;0")</f>
        <v>0</v>
      </c>
      <c r="MK48" s="6">
        <f>COUNTIFS(Table31[Country],Tabela1[[#This Row],[Country]],Table31[68kg Classification],"&gt;0")</f>
        <v>0</v>
      </c>
      <c r="ML48" s="6">
        <f>COUNTIFS(Table31[Country],Tabela1[[#This Row],[Country]],Table31[76kg Classification],"&gt;0")</f>
        <v>0</v>
      </c>
      <c r="MM48" s="6">
        <f>COUNTIFS(Table102[Country],Tabela1[[#This Row],[Country]],Table102[Downhill Classification],"&gt;0")</f>
        <v>0</v>
      </c>
      <c r="MN48" s="6">
        <f>COUNTIFS(Table102105[Country],Tabela1[[#This Row],[Country]],Table102105[Downhill Classification],"&gt;0")</f>
        <v>0</v>
      </c>
      <c r="MO48" s="6">
        <f>COUNTIFS(Table102[Country],Tabela1[[#This Row],[Country]],Table102[Giant Slalom Classification],"&gt;0")</f>
        <v>0</v>
      </c>
      <c r="MP48" s="6">
        <f>COUNTIFS(Table102105[Country],Tabela1[[#This Row],[Country]],Table102105[Giant Slalom Classification],"&gt;0")</f>
        <v>0</v>
      </c>
      <c r="MQ48" s="6">
        <f>COUNTIFS(Table102[Country],Tabela1[[#This Row],[Country]],Table102[Slalom Classification],"&gt;0")</f>
        <v>0</v>
      </c>
      <c r="MR48" s="6">
        <f>COUNTIFS(Table102105[Country],Tabela1[[#This Row],[Country]],Table102105[Slalom Classification],"&gt;0")</f>
        <v>0</v>
      </c>
      <c r="MS48" s="6">
        <f>COUNTIFS(Table102[Country],Tabela1[[#This Row],[Country]],Table102[Super-G Classification],"&gt;0")</f>
        <v>0</v>
      </c>
      <c r="MT48" s="6">
        <f>COUNTIFS(Table102105[Country],Tabela1[[#This Row],[Country]],Table102105[Super-G Classification],"&gt;0")</f>
        <v>0</v>
      </c>
      <c r="MU48" s="6">
        <f>COUNTIFS(Table105[Country],Tabela1[[#This Row],[Country]],Table105[Men''s Combined Classification],"&gt;0")</f>
        <v>0</v>
      </c>
      <c r="MV48" s="6">
        <f>COUNTIFS(Table105[Country],Tabela1[[#This Row],[Country]],Table105[Women''s Combined Classification],"&gt;0")</f>
        <v>0</v>
      </c>
      <c r="MW48" s="6">
        <f>COUNTIFS(Table106[Country],Tabela1[[#This Row],[Country]],Table106[Individual Classification],"&gt;0")</f>
        <v>0</v>
      </c>
      <c r="MX48" s="6">
        <f>COUNTIFS(Table106109[Country],Tabela1[[#This Row],[Country]],Table106109[Individual Classification],"&gt;0")</f>
        <v>0</v>
      </c>
      <c r="MY48" s="6">
        <f>COUNTIFS(Table106[Country],Tabela1[[#This Row],[Country]],Table106[Mass Start Classification],"&gt;0")</f>
        <v>0</v>
      </c>
      <c r="MZ48" s="6">
        <f>COUNTIFS(Table106109[Country],Tabela1[[#This Row],[Country]],Table106109[Mass Start Classification],"&gt;0")</f>
        <v>0</v>
      </c>
      <c r="NA48" s="6">
        <f>COUNTIFS(Table106[Country],Tabela1[[#This Row],[Country]],Table106[Pursuit Classification],"&gt;0")</f>
        <v>0</v>
      </c>
      <c r="NB48" s="6">
        <f>COUNTIFS(Table106109[Country],Tabela1[[#This Row],[Country]],Table106109[Pursuit Classification],"&gt;0")</f>
        <v>0</v>
      </c>
      <c r="NC48" s="6">
        <f>COUNTIFS(Table106[Country],Tabela1[[#This Row],[Country]],Table106[Sprint Classification],"&gt;0")</f>
        <v>0</v>
      </c>
      <c r="ND48" s="6">
        <f>COUNTIFS(Table106109[Country],Tabela1[[#This Row],[Country]],Table106109[Sprint Classification],"&gt;0")</f>
        <v>0</v>
      </c>
      <c r="NE48" s="6">
        <f>COUNTIFS(Table109[Country],Tabela1[[#This Row],[Country]],Table109[Men''s Relay Classification],"&gt;0")</f>
        <v>0</v>
      </c>
      <c r="NF48" s="6">
        <f>COUNTIFS(Table109[Country],Tabela1[[#This Row],[Country]],Table109[Women''s Relay Classification],"&gt;0")</f>
        <v>0</v>
      </c>
      <c r="NG48" s="6">
        <f>COUNTIFS(Table109[Country],Tabela1[[#This Row],[Country]],Table109[Mixed Relay Classification],"&gt;0")</f>
        <v>0</v>
      </c>
      <c r="NH48" s="6">
        <f>COUNTIFS(Table110[Country],Tabela1[[#This Row],[Country]],Table110[Monobob Classification],"&gt;0")</f>
        <v>0</v>
      </c>
      <c r="NI48" s="6">
        <f>COUNTIFS(Table111[Country],Tabela1[[#This Row],[Country]],Table111[Men''s Classification],"&gt;0")</f>
        <v>0</v>
      </c>
      <c r="NJ48" s="6">
        <f>COUNTIFS(Table111[Country],Tabela1[[#This Row],[Country]],Table111[Women''s Classification],"&gt;0")</f>
        <v>0</v>
      </c>
      <c r="NK48" s="6">
        <f>COUNTIFS(Table112[Country],Tabela1[[#This Row],[Country]],Table112[Men''s Four Classification],"&gt;0")</f>
        <v>1</v>
      </c>
      <c r="NL48" s="6">
        <f>COUNTIFS(Table113[Country],Tabela1[[#This Row],[Country]],Table113[Classical Classification],"&gt;0")</f>
        <v>0</v>
      </c>
      <c r="NM48" s="6">
        <f>COUNTIFS(Table113116[Country],Tabela1[[#This Row],[Country]],Table113116[Classical Classification],"&gt;0")</f>
        <v>0</v>
      </c>
      <c r="NN48" s="6">
        <f>COUNTIFS(Table113[Country],Tabela1[[#This Row],[Country]],Table113[Freestyle Classification],"&gt;0")</f>
        <v>0</v>
      </c>
      <c r="NO48" s="6">
        <f>COUNTIFS(Table113116[Country],Tabela1[[#This Row],[Country]],Table113116[Freestyle Classification],"&gt;0")</f>
        <v>0</v>
      </c>
      <c r="NP48" s="6">
        <f>COUNTIFS(Table117[Country],Tabela1[[#This Row],[Country]],Table117[Men''s Relay Classification],"&gt;0")</f>
        <v>0</v>
      </c>
      <c r="NQ48" s="6">
        <f>COUNTIFS(Table117[Country],Tabela1[[#This Row],[Country]],Table117[Women''s Relay Classification],"&gt;0")</f>
        <v>0</v>
      </c>
      <c r="NR48" s="6">
        <f>COUNTIFS(Table113[Country],Tabela1[[#This Row],[Country]],Table113[Skiathlon Classification],"&gt;0")</f>
        <v>0</v>
      </c>
      <c r="NS48" s="6">
        <f>COUNTIFS(Table113116[Country],Tabela1[[#This Row],[Country]],Table113116[Skiathlon Classification],"&gt;0")</f>
        <v>0</v>
      </c>
      <c r="NT48" s="6">
        <f>COUNTIFS(Table113[Country],Tabela1[[#This Row],[Country]],Table113[Sprint Classification],"&gt;0")</f>
        <v>0</v>
      </c>
      <c r="NU48" s="6">
        <f>COUNTIFS(Table113116[Country],Tabela1[[#This Row],[Country]],Table113116[Sprint Classification],"&gt;0")</f>
        <v>0</v>
      </c>
      <c r="NV48" s="6">
        <f>COUNTIFS(Table116[Country],Tabela1[[#This Row],[Country]],Table116[Men''s Team Sprint Classification],"&gt;0")</f>
        <v>0</v>
      </c>
      <c r="NW48" s="6">
        <f>COUNTIFS(Table116[Country],Tabela1[[#This Row],[Country]],Table116[Women''s Team Sprint Classification],"&gt;0")</f>
        <v>0</v>
      </c>
      <c r="NX48" s="6">
        <f>COUNTIFS(Table119[Country],Tabela1[[#This Row],[Country]],Table119[Men''s Classification],"&gt;0")</f>
        <v>0</v>
      </c>
      <c r="NY48" s="6">
        <f>COUNTIFS(Table119[Country],Tabela1[[#This Row],[Country]],Table119[Women''s Classification],"&gt;0")</f>
        <v>0</v>
      </c>
      <c r="NZ48" s="6">
        <f>COUNTIFS(Table118[Country],Tabela1[[#This Row],[Country]],Table118[Mixed Classification],"&gt;0")</f>
        <v>0</v>
      </c>
      <c r="OA48" s="6">
        <f>COUNTIFS(Table120[Country],Tabela1[[#This Row],[Country]],Table120[Classification],"&gt;0")</f>
        <v>0</v>
      </c>
      <c r="OB48" s="6">
        <f>COUNTIFS(Table120123[Country],Tabela1[[#This Row],[Country]],Table120123[Classification],"&gt;0")</f>
        <v>0</v>
      </c>
      <c r="OC48" s="6">
        <f>COUNTIFS(Table123[Country],Tabela1[[#This Row],[Country]],Table123[Ice Dance Classification],"&gt;0")</f>
        <v>0</v>
      </c>
      <c r="OD48" s="6">
        <f>COUNTIFS(Table123[Country],Tabela1[[#This Row],[Country]],Table123[Pair Skating Classification],"&gt;0")</f>
        <v>0</v>
      </c>
      <c r="OE48" s="6">
        <f>COUNTIFS(Table124[Country],Tabela1[[#This Row],[Country]],Table124[Mixed Classification],"&gt;0")</f>
        <v>0</v>
      </c>
      <c r="OF48" s="6">
        <f>COUNTIFS(Table125[Country],Tabela1[[#This Row],[Country]],Table125[Aerials Classification],"&gt;0")</f>
        <v>0</v>
      </c>
      <c r="OG48" s="6">
        <f>COUNTIFS(Table125128[Country],Tabela1[[#This Row],[Country]],Table125128[Aerials Classification],"&gt;0")</f>
        <v>0</v>
      </c>
      <c r="OH48" s="6">
        <f>COUNTIFS(Table128[Country],Tabela1[[#This Row],[Country]],Table128[Mixed Aerials Classification],"&gt;0")</f>
        <v>0</v>
      </c>
      <c r="OI48" s="6">
        <f>COUNTIFS(Table125[Country],Tabela1[[#This Row],[Country]],Table125[Big Air Classification],"&gt;0")</f>
        <v>0</v>
      </c>
      <c r="OJ48" s="6">
        <f>COUNTIFS(Table125128[Country],Tabela1[[#This Row],[Country]],Table125128[Big Air Classification],"&gt;0")</f>
        <v>0</v>
      </c>
      <c r="OK48" s="6">
        <f>COUNTIFS(Table125[Country],Tabela1[[#This Row],[Country]],Table125[Dual Moguls Classification],"&gt;0")</f>
        <v>0</v>
      </c>
      <c r="OL48" s="6">
        <f>COUNTIFS(Table125128[Country],Tabela1[[#This Row],[Country]],Table125128[Dual Moguls Classification],"&gt;0")</f>
        <v>0</v>
      </c>
      <c r="OM48" s="6">
        <f>COUNTIFS(Table125[Country],Tabela1[[#This Row],[Country]],Table125[Halfpipe Classification],"&gt;0")</f>
        <v>0</v>
      </c>
      <c r="ON48" s="6">
        <f>COUNTIFS(Table125128[Country],Tabela1[[#This Row],[Country]],Table125128[Halfpipe Classification],"&gt;0")</f>
        <v>0</v>
      </c>
      <c r="OO48" s="6">
        <f>COUNTIFS(Table125[Country],Tabela1[[#This Row],[Country]],Table125[Moguls Classification],"&gt;0")</f>
        <v>0</v>
      </c>
      <c r="OP48" s="6">
        <f>COUNTIFS(Table125128[Country],Tabela1[[#This Row],[Country]],Table125128[Moguls Classification],"&gt;0")</f>
        <v>0</v>
      </c>
      <c r="OQ48" s="6">
        <f>COUNTIFS(Table125[Country],Tabela1[[#This Row],[Country]],Table125[Ski Cross Classification],"&gt;0")</f>
        <v>0</v>
      </c>
      <c r="OR48" s="6">
        <f>COUNTIFS(Table125128[Country],Tabela1[[#This Row],[Country]],Table125128[Ski Cross Classification],"&gt;0")</f>
        <v>0</v>
      </c>
      <c r="OS48" s="6">
        <f>COUNTIFS(Table125[Country],Tabela1[[#This Row],[Country]],Table125[Slopestyle Classification],"&gt;0")</f>
        <v>0</v>
      </c>
      <c r="OT48" s="6">
        <f>COUNTIFS(Table125128[Country],Tabela1[[#This Row],[Country]],Table125128[Slopestyle Classification],"&gt;0")</f>
        <v>0</v>
      </c>
      <c r="OU48" s="6">
        <f>COUNTIFS(Table119131[Country],Tabela1[[#This Row],[Country]],Table119131[Men''s Classification],"&gt;0")</f>
        <v>0</v>
      </c>
      <c r="OV48" s="6">
        <f>COUNTIFS(Table119131[Country],Tabela1[[#This Row],[Country]],Table119131[Women''s Classification],"&gt;0")</f>
        <v>0</v>
      </c>
      <c r="OW48" s="6">
        <f>COUNTIFS(Table131[Country],Tabela1[[#This Row],[Country]],Table131[Classification],"&gt;0")</f>
        <v>0</v>
      </c>
      <c r="OX48" s="6">
        <f>COUNTIFS(Table131134[Country],Tabela1[[#This Row],[Country]],Table131134[Classification],"&gt;0")</f>
        <v>0</v>
      </c>
      <c r="OY48" s="6">
        <f>COUNTIFS(Table134[Country],Tabela1[[#This Row],[Country]],Table134[Men''s Classification],"&gt;0")</f>
        <v>0</v>
      </c>
      <c r="OZ48" s="6">
        <f>COUNTIFS(Table134[Country],Tabela1[[#This Row],[Country]],Table134[Women''s Classification],"&gt;0")</f>
        <v>0</v>
      </c>
      <c r="PA48" s="6">
        <f>COUNTIFS(Table135[Country],Tabela1[[#This Row],[Country]],Table135[Mixed Relay Classification],"&gt;0")</f>
        <v>0</v>
      </c>
      <c r="PB48" s="6">
        <f>COUNTIFS(Table136[Country],Tabela1[[#This Row],[Country]],Table136[Individual Classification],"&gt;0")</f>
        <v>0</v>
      </c>
      <c r="PC48" s="6">
        <f>COUNTIFS(Table136[Country],Tabela1[[#This Row],[Country]],Table136[Sprint Classification],"&gt;0")</f>
        <v>0</v>
      </c>
      <c r="PD48" s="6">
        <f>COUNTIFS(Table137[Country],Tabela1[[#This Row],[Country]],Table137[Men''s Team Sprint Large Hill Classification],"&gt;0")</f>
        <v>0</v>
      </c>
      <c r="PE48" s="6">
        <f>COUNTIFS(Table138[Country],Tabela1[[#This Row],[Country]],Table138[500m Classification],"&gt;0")</f>
        <v>0</v>
      </c>
      <c r="PF48" s="6">
        <f>COUNTIFS(Table138141[Country],Tabela1[[#This Row],[Country]],Table138141[500m Classification],"&gt;0")</f>
        <v>0</v>
      </c>
      <c r="PG48" s="6">
        <f>COUNTIFS(Table138[Country],Tabela1[[#This Row],[Country]],Table138[1000m Classification],"&gt;0")</f>
        <v>0</v>
      </c>
      <c r="PH48" s="6">
        <f>COUNTIFS(Table138141[Country],Tabela1[[#This Row],[Country]],Table138141[1000m Classification],"&gt;0")</f>
        <v>0</v>
      </c>
      <c r="PI48" s="6">
        <f>COUNTIFS(Table138[Country],Tabela1[[#This Row],[Country]],Table138[1500m Classification],"&gt;0")</f>
        <v>0</v>
      </c>
      <c r="PJ48" s="6">
        <f>COUNTIFS(Table138141[Country],Tabela1[[#This Row],[Country]],Table138141[1500m Classification],"&gt;0")</f>
        <v>0</v>
      </c>
      <c r="PK48" s="6">
        <f>COUNTIFS(Table141[Country],Tabela1[[#This Row],[Country]],Table141[Men''s 5000m Relay Classification],"&gt;0")</f>
        <v>0</v>
      </c>
      <c r="PL48" s="6">
        <f>COUNTIFS(Table141[Country],Tabela1[[#This Row],[Country]],Table141[Women''s 3000m Relay Classification],"&gt;0")</f>
        <v>0</v>
      </c>
      <c r="PM48" s="6">
        <f>COUNTIFS(Table141[Country],Tabela1[[#This Row],[Country]],Table141[Mixed 2000m Relay Classification],"&gt;0")</f>
        <v>0</v>
      </c>
      <c r="PN48" s="6">
        <f>COUNTIFS(Table142[Country],Tabela1[[#This Row],[Country]],Table142[Classification],"&gt;0")</f>
        <v>0</v>
      </c>
      <c r="PO48" s="6">
        <f>COUNTIFS(Table142145[Country],Tabela1[[#This Row],[Country]],Table142145[Classification],"&gt;0")</f>
        <v>0</v>
      </c>
      <c r="PP48" s="6">
        <f>COUNTIFS(Tabela15[Country],Tabela1[[#This Row],[Country]],Tabela15[Mixed Team Classification],"&gt;0")</f>
        <v>0</v>
      </c>
      <c r="PQ48" s="6">
        <f>COUNTIFS(Table145[Country],Tabela1[[#This Row],[Country]],Table145[Large Hill Classification],"&gt;0")</f>
        <v>0</v>
      </c>
      <c r="PR48" s="6">
        <f>COUNTIFS(Table145[Country],Tabela1[[#This Row],[Country]],Table145[Normal Hill Classification],"&gt;0")</f>
        <v>0</v>
      </c>
      <c r="PS48" s="6">
        <f>COUNTIFS(Table145148[Country],Tabela1[[#This Row],[Country]],Table145148[Large Hill Classification],"&gt;0")</f>
        <v>0</v>
      </c>
      <c r="PT48" s="6">
        <f>COUNTIFS(Table145148[Country],Tabela1[[#This Row],[Country]],Table145148[Normal Hill Classification],"&gt;0")</f>
        <v>0</v>
      </c>
      <c r="PU48" s="6">
        <f>COUNTIFS(Table148[Country],Tabela1[[#This Row],[Country]],Table148[Men''s Super Team Classification],"&gt;0")</f>
        <v>0</v>
      </c>
      <c r="PV48" s="6">
        <f>COUNTIFS(Tabela114[Country],Tabela1[[#This Row],[Country]],Tabela114[Mixed Normal Hill Classification],"&gt;0")</f>
        <v>0</v>
      </c>
      <c r="PW48" s="6">
        <f>COUNTIFS(Tabela50[Country],Tabela1[[#This Row],[Country]],Tabela50[Sprint Classification],"&gt;0")</f>
        <v>0</v>
      </c>
      <c r="PX48" s="6">
        <f>COUNTIFS(Tabela50101[Country],Tabela1[[#This Row],[Country]],Tabela50101[Sprint Classification],"&gt;0")</f>
        <v>0</v>
      </c>
      <c r="PY48" s="6">
        <f>COUNTIFS(Tabela103[Country],Tabela1[[#This Row],[Country]],Tabela103[Mixed Relay Classification],"&gt;0")</f>
        <v>0</v>
      </c>
      <c r="PZ48" s="6">
        <f>COUNTIFS(Table149[Country],Tabela1[[#This Row],[Country]],Table149[Big Air Classification],"&gt;0")</f>
        <v>0</v>
      </c>
      <c r="QA48" s="6">
        <f>COUNTIFS(Table149152[Country],Tabela1[[#This Row],[Country]],Table149152[Big Air Classification],"&gt;0")</f>
        <v>0</v>
      </c>
      <c r="QB48" s="6">
        <f>COUNTIFS(Table149[Country],Tabela1[[#This Row],[Country]],Table149[Halfpipe Classification],"&gt;0")</f>
        <v>0</v>
      </c>
      <c r="QC48" s="6">
        <f>COUNTIFS(Table149152[Country],Tabela1[[#This Row],[Country]],Table149152[Halfpipe Classification],"&gt;0")</f>
        <v>0</v>
      </c>
      <c r="QD48" s="6">
        <f>COUNTIFS(Table149[Country],Tabela1[[#This Row],[Country]],Table149[Parallel Giant Slalom Classification],"&gt;0")</f>
        <v>0</v>
      </c>
      <c r="QE48" s="6">
        <f>COUNTIFS(Table149152[Country],Tabela1[[#This Row],[Country]],Table149152[Parallel Giant Slalom Classification],"&gt;0")</f>
        <v>0</v>
      </c>
      <c r="QF48" s="6">
        <f>COUNTIFS(Table149[Country],Tabela1[[#This Row],[Country]],Table149[Slopestyle Classification],"&gt;0")</f>
        <v>0</v>
      </c>
      <c r="QG48" s="6">
        <f>COUNTIFS(Table149152[Country],Tabela1[[#This Row],[Country]],Table149152[Slopestyle Classification],"&gt;0")</f>
        <v>0</v>
      </c>
      <c r="QH48" s="6">
        <f>COUNTIFS(Table149[Country],Tabela1[[#This Row],[Country]],Table149[Snowboard Cross Classification],"&gt;0")</f>
        <v>0</v>
      </c>
      <c r="QI48" s="6">
        <f>COUNTIFS(Table149152[Country],Tabela1[[#This Row],[Country]],Table149152[Snowboard Cross Classification],"&gt;0")</f>
        <v>0</v>
      </c>
      <c r="QJ48" s="6">
        <f>COUNTIFS(Table153[Country],Tabela1[[#This Row],[Country]],Table153[Mixed Team Snowboard Cross Classification],"&gt;0")</f>
        <v>0</v>
      </c>
      <c r="QK48" s="6">
        <f>COUNTIFS(Table154[Country],Tabela1[[#This Row],[Country]],Table154[500m Classification],"&gt;0")</f>
        <v>0</v>
      </c>
      <c r="QL48" s="6">
        <f>COUNTIFS(Table154157[Country],Tabela1[[#This Row],[Country]],Table154157[500m Classification],"&gt;0")</f>
        <v>0</v>
      </c>
      <c r="QM48" s="6">
        <f>COUNTIFS(Table154[Country],Tabela1[[#This Row],[Country]],Table154[1000m Classification],"&gt;0")</f>
        <v>0</v>
      </c>
      <c r="QN48" s="6">
        <f>COUNTIFS(Table154157[Country],Tabela1[[#This Row],[Country]],Table154157[1000m Classification],"&gt;0")</f>
        <v>0</v>
      </c>
      <c r="QO48" s="6">
        <f>COUNTIFS(Table154[Country],Tabela1[[#This Row],[Country]],Table154[1500m Classification],"&gt;0")</f>
        <v>0</v>
      </c>
      <c r="QP48" s="6">
        <f>COUNTIFS(Table154157[Country],Tabela1[[#This Row],[Country]],Table154157[1500m Classification],"&gt;0")</f>
        <v>0</v>
      </c>
      <c r="QQ48" s="6">
        <f>COUNTIFS(Table154157[Country],Tabela1[[#This Row],[Country]],Table154157[3000m Classification],"&gt;0")</f>
        <v>0</v>
      </c>
      <c r="QR48" s="6">
        <f>COUNTIFS(Table154[Country],Tabela1[[#This Row],[Country]],Table154[5000m Classification],"&gt;0")</f>
        <v>0</v>
      </c>
      <c r="QS48" s="6">
        <f>COUNTIFS(Table154157[Country],Tabela1[[#This Row],[Country]],Table154157[5000m Classification],"&gt;0")</f>
        <v>0</v>
      </c>
      <c r="QT48" s="6">
        <f>COUNTIFS(Table154[Country],Tabela1[[#This Row],[Country]],Table154[10000m Classification],"&gt;0")</f>
        <v>0</v>
      </c>
      <c r="QU48" s="6">
        <f>COUNTIFS(Table154[Country],Tabela1[[#This Row],[Country]],Table154[Mass Start Classification],"&gt;0")</f>
        <v>0</v>
      </c>
      <c r="QV48" s="6">
        <f>COUNTIFS(Table154157[Country],Tabela1[[#This Row],[Country]],Table154157[Mass Start Classification],"&gt;0")</f>
        <v>0</v>
      </c>
      <c r="QW48" s="6">
        <f>COUNTIFS(Table157[Country],Tabela1[[#This Row],[Country]],Table157[Men''s Pursuit Classification],"&gt;0")</f>
        <v>0</v>
      </c>
      <c r="QX48" s="6">
        <f>COUNTIFS(Table157[Country],Tabela1[[#This Row],[Country]],Table157[Women''s Pursuit Classification],"&gt;0")</f>
        <v>0</v>
      </c>
      <c r="QY48" s="3" t="s">
        <v>601</v>
      </c>
    </row>
    <row r="49" spans="1:467" x14ac:dyDescent="0.3">
      <c r="A49" s="6">
        <v>48</v>
      </c>
      <c r="B49" s="6" t="s">
        <v>414</v>
      </c>
      <c r="C49" t="e" vm="48">
        <f>IF(ISBLANK(Tabela1[[#This Row],[Image Link]]), "", _xlfn.IMAGE(Tabela1[[#This Row],[Image Link]],1,1))</f>
        <v>#VALUE!</v>
      </c>
      <c r="D49" s="6">
        <f>SUM(Tabela1[[#This Row],[Archery - Men''s Individual Recurve]:[Speed Skating - Women''s Team Pursuit]])</f>
        <v>16</v>
      </c>
      <c r="E49" s="6">
        <f>COUNTIF(Tabela1[[#This Row],[Archery - Men''s Individual Recurve]:[Speed Skating - Women''s Team Pursuit]],"&gt;0")</f>
        <v>16</v>
      </c>
      <c r="F49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49" s="6">
        <f>SUM(Tabela1[[#This Row],[Archery - Men''s Individual Recurve]:[Wrestling - Women''s Freestyle 76kg]])</f>
        <v>15</v>
      </c>
      <c r="H49" s="6">
        <f>SUM(Tabela1[[#This Row],[Alpine Skiing - Men''s Downhill]:[Speed Skating - Women''s Team Pursuit]])</f>
        <v>1</v>
      </c>
      <c r="I49" s="6">
        <f>Tabela1[[#This Row],[Summer Gold Medals]]+Tabela1[[#This Row],[Winter Gold Medals]]</f>
        <v>2</v>
      </c>
      <c r="J49" s="6">
        <f>Tabela1[[#This Row],[Summer Silver Medals]]+Tabela1[[#This Row],[Winter Silver Medals]]</f>
        <v>3</v>
      </c>
      <c r="K49" s="6">
        <f>Tabela1[[#This Row],[Summer Bronze Medals]]+Tabela1[[#This Row],[Winter Bronze Medals]]</f>
        <v>5</v>
      </c>
      <c r="L49" s="6">
        <f>SUM(Tabela1[[#This Row],[Total Gold Medals]:[Total Bronze Medals]])</f>
        <v>10</v>
      </c>
      <c r="M49" s="6">
        <v>2</v>
      </c>
      <c r="N49" s="6">
        <v>2</v>
      </c>
      <c r="O49" s="6">
        <v>5</v>
      </c>
      <c r="P49" s="6">
        <f>SUM(Tabela1[[#This Row],[Summer Gold Medals]:[Summer Bronze Medals]])</f>
        <v>9</v>
      </c>
      <c r="Q49" s="6"/>
      <c r="R49" s="6">
        <v>1</v>
      </c>
      <c r="S49" s="6"/>
      <c r="T49" s="6">
        <f>Tabela1[[#This Row],[Winter Gold Medals]]+Tabela1[[#This Row],[Winter Silver Medals]]+Tabela1[[#This Row],[Winter Bronze Medals]]</f>
        <v>1</v>
      </c>
      <c r="U49" s="7">
        <f>Tabela1[[#This Row],[Total Medals]]/Tabela1[[#This Row],[Total Quotas]]</f>
        <v>0.625</v>
      </c>
      <c r="V49" s="6">
        <f>COUNTIFS(Table3[Country],Tabela1[[#This Row],[Country]],Table3[Recurve Classification],"&gt;0")</f>
        <v>0</v>
      </c>
      <c r="W49" s="6">
        <f>COUNTIFS(Table33[Country],Tabela1[[#This Row],[Country]],Table33[Recurve Classification],"&gt;0")</f>
        <v>0</v>
      </c>
      <c r="X49" s="6">
        <f>COUNTIFS(Table35[Country],Tabela1[[#This Row],[Country]],Table35[Men''s Team Recurve Classification],"&gt;0")</f>
        <v>0</v>
      </c>
      <c r="Y49" s="6">
        <f>COUNTIFS(Table35[Country],Tabela1[[#This Row],[Country]],Table35[Women''s Team Recurve Classification],"&gt;0")</f>
        <v>0</v>
      </c>
      <c r="Z49" s="6">
        <f>COUNTIFS(Tabela88[Country],Tabela1[[#This Row],[Country]],Tabela88[Mixed Team Recurve Classification],"&gt;0")</f>
        <v>0</v>
      </c>
      <c r="AA49" s="6">
        <f>COUNTIFS(Table36[Country],Tabela1[[#This Row],[Country]],Table36[Classification],"&gt;0")</f>
        <v>0</v>
      </c>
      <c r="AB49" s="6">
        <f>COUNTIFS(Table37[Country],Tabela1[[#This Row],[Country]],Table37[Classification],"&gt;0")</f>
        <v>0</v>
      </c>
      <c r="AC49" s="6">
        <f>COUNTIFS(Table4[Country],Tabela1[[#This Row],[Country]],Table4[100m Classification],"&gt;0")</f>
        <v>0</v>
      </c>
      <c r="AD49" s="6">
        <f>COUNTIFS(Table5[Country],Tabela1[[#This Row],[Country]],Table5[100m Classification],"&gt;0")</f>
        <v>0</v>
      </c>
      <c r="AE49" s="6">
        <f>COUNTIFS(Table4[Country],Tabela1[[#This Row],[Country]],Table4[200m Classification],"&gt;0")</f>
        <v>0</v>
      </c>
      <c r="AF49" s="6">
        <f>COUNTIFS(Table5[Country],Tabela1[[#This Row],[Country]],Table5[200m Classification],"&gt;0")</f>
        <v>0</v>
      </c>
      <c r="AG49" s="6">
        <f>COUNTIFS(Table4[Country],Tabela1[[#This Row],[Country]],Table4[400m Classification],"&gt;0")</f>
        <v>0</v>
      </c>
      <c r="AH49" s="6">
        <f>COUNTIFS(Table5[Country],Tabela1[[#This Row],[Country]],Table5[400m Classification],"&gt;0")</f>
        <v>0</v>
      </c>
      <c r="AI49" s="6">
        <f>COUNTIFS(Table4[Country],Tabela1[[#This Row],[Country]],Table4[800m Classification],"&gt;0")</f>
        <v>0</v>
      </c>
      <c r="AJ49" s="6">
        <f>COUNTIFS(Table5[Country],Tabela1[[#This Row],[Country]],Table5[800m Classification],"&gt;0")</f>
        <v>0</v>
      </c>
      <c r="AK49" s="6">
        <f>COUNTIFS(Table4[Country],Tabela1[[#This Row],[Country]],Table4[1500m Classification],"&gt;0")</f>
        <v>0</v>
      </c>
      <c r="AL49" s="6">
        <f>COUNTIFS(Table5[Country],Tabela1[[#This Row],[Country]],Table5[1500m Classification],"&gt;0")</f>
        <v>0</v>
      </c>
      <c r="AM49" s="6">
        <f>COUNTIFS(Table4[Country],Tabela1[[#This Row],[Country]],Table4[5000m Classification],"&gt;0")</f>
        <v>0</v>
      </c>
      <c r="AN49" s="6">
        <f>COUNTIFS(Table5[Country],Tabela1[[#This Row],[Country]],Table5[5000m Classification],"&gt;0")</f>
        <v>0</v>
      </c>
      <c r="AO49" s="6">
        <f>COUNTIFS(Table4[Country],Tabela1[[#This Row],[Country]],Table4[10000m Classification],"&gt;0")</f>
        <v>0</v>
      </c>
      <c r="AP49" s="6">
        <f>COUNTIFS(Table5[Country],Tabela1[[#This Row],[Country]],Table5[10000m Classification],"&gt;0")</f>
        <v>0</v>
      </c>
      <c r="AQ49" s="6">
        <f>COUNTIFS(Table4[Country],Tabela1[[#This Row],[Country]],Table4[110m Hurdles Classification],"&gt;0")</f>
        <v>0</v>
      </c>
      <c r="AR49" s="6">
        <f>COUNTIFS(Table5[Country],Tabela1[[#This Row],[Country]],Table5[100m Hurdles Classification],"&gt;0")</f>
        <v>0</v>
      </c>
      <c r="AS49" s="6">
        <f>COUNTIFS(Table4[Country],Tabela1[[#This Row],[Country]],Table4[400m Hurdles Classification],"&gt;0")</f>
        <v>0</v>
      </c>
      <c r="AT49" s="6">
        <f>COUNTIFS(Table5[Country],Tabela1[[#This Row],[Country]],Table5[400m Hurdles Classification],"&gt;0")</f>
        <v>0</v>
      </c>
      <c r="AU49" s="6">
        <f>COUNTIFS(Table4[Country],Tabela1[[#This Row],[Country]],Table4[3000m Steeplechase Classification],"&gt;0")</f>
        <v>0</v>
      </c>
      <c r="AV49" s="6">
        <f>COUNTIFS(Table5[Country],Tabela1[[#This Row],[Country]],Table5[3000m Steeplechase Classification],"&gt;0")</f>
        <v>0</v>
      </c>
      <c r="AW49" s="6">
        <f>COUNTIFS(Table27[Country],Tabela1[[#This Row],[Country]],Table27[Men''s 4x100m Relay Classification],"&gt;0")</f>
        <v>0</v>
      </c>
      <c r="AX49" s="6">
        <f>COUNTIFS(Table27[Country],Tabela1[[#This Row],[Country]],Table27[Women''s 4x100m Relay Classification],"&gt;0")</f>
        <v>0</v>
      </c>
      <c r="AY49" s="6">
        <f>COUNTIFS(Table27[Country],Tabela1[[#This Row],[Country]],Table27[Men''s 4x400m Relay Classification],"&gt;0")</f>
        <v>0</v>
      </c>
      <c r="AZ49" s="6">
        <f>COUNTIFS(Table27[Country],Tabela1[[#This Row],[Country]],Table27[Women''s 4x400m Relay Classification],"&gt;0")</f>
        <v>0</v>
      </c>
      <c r="BA49" s="6">
        <f>COUNTIFS(Table27[Country],Tabela1[[#This Row],[Country]],Table27[Mixed 4x400m Relay Classification],"&gt;0")</f>
        <v>0</v>
      </c>
      <c r="BB49" s="6">
        <f>COUNTIFS(Table4[Country],Tabela1[[#This Row],[Country]],Table4[Marathon Classification],"&gt;0")</f>
        <v>0</v>
      </c>
      <c r="BC49" s="6">
        <f>COUNTIFS(Table5[Country],Tabela1[[#This Row],[Country]],Table5[Marathon Classification],"&gt;0")</f>
        <v>0</v>
      </c>
      <c r="BD49" s="6">
        <f>COUNTIFS(Table4[Country],Tabela1[[#This Row],[Country]],Table4[20km Race Walk Classification],"&gt;0")</f>
        <v>0</v>
      </c>
      <c r="BE49" s="6">
        <f>COUNTIFS(Table5[Country],Tabela1[[#This Row],[Country]],Table5[20km Race Walk Classification],"&gt;0")</f>
        <v>0</v>
      </c>
      <c r="BF49" s="6">
        <f>COUNTIFS(Tabela96[Country],Tabela1[[#This Row],[Country]],Tabela96[Mixed Marathon Race Walk Relay Classification],"&gt;0")</f>
        <v>0</v>
      </c>
      <c r="BG49" s="6">
        <f>COUNTIFS(Table4[Country],Tabela1[[#This Row],[Country]],Table4[Discus Throw Classification],"&gt;0")</f>
        <v>0</v>
      </c>
      <c r="BH49" s="6">
        <f>COUNTIFS(Table5[Country],Tabela1[[#This Row],[Country]],Table5[Discus Throw Classification],"&gt;0")</f>
        <v>0</v>
      </c>
      <c r="BI49" s="6">
        <f>COUNTIFS(Table4[Country],Tabela1[[#This Row],[Country]],Table4[Hammer Throw Classification],"&gt;0")</f>
        <v>0</v>
      </c>
      <c r="BJ49" s="6">
        <f>COUNTIFS(Table5[Country],Tabela1[[#This Row],[Country]],Table5[Hammer Throw Classification],"&gt;0")</f>
        <v>0</v>
      </c>
      <c r="BK49" s="6">
        <f>COUNTIFS(Table4[Country],Tabela1[[#This Row],[Country]],Table4[High Jump Classification],"&gt;0")</f>
        <v>0</v>
      </c>
      <c r="BL49" s="6">
        <f>COUNTIFS(Table5[Country],Tabela1[[#This Row],[Country]],Table5[High Jump Classification],"&gt;0")</f>
        <v>0</v>
      </c>
      <c r="BM49" s="6">
        <f>COUNTIFS(Table4[Country],Tabela1[[#This Row],[Country]],Table4[Javelin Throw Classification],"&gt;0")</f>
        <v>0</v>
      </c>
      <c r="BN49" s="6">
        <f>COUNTIFS(Table5[Country],Tabela1[[#This Row],[Country]],Table5[Javelin Throw Classification],"&gt;0")</f>
        <v>0</v>
      </c>
      <c r="BO49" s="6">
        <f>COUNTIFS(Table4[Country],Tabela1[[#This Row],[Country]],Table4[Long Jump Classification],"&gt;0")</f>
        <v>0</v>
      </c>
      <c r="BP49" s="6">
        <f>COUNTIFS(Table5[Country],Tabela1[[#This Row],[Country]],Table5[Long Jump Classification],"&gt;0")</f>
        <v>0</v>
      </c>
      <c r="BQ49" s="6">
        <f>COUNTIFS(Table4[Country],Tabela1[[#This Row],[Country]],Table4[Pole Vault Classification],"&gt;0")</f>
        <v>0</v>
      </c>
      <c r="BR49" s="6">
        <f>COUNTIFS(Table5[Country],Tabela1[[#This Row],[Country]],Table5[Pole Vault Classification],"&gt;0")</f>
        <v>0</v>
      </c>
      <c r="BS49" s="6">
        <f>COUNTIFS(Table4[Country],Tabela1[[#This Row],[Country]],Table4[Shot Put Classification],"&gt;0")</f>
        <v>0</v>
      </c>
      <c r="BT49" s="6">
        <f>COUNTIFS(Table5[Country],Tabela1[[#This Row],[Country]],Table5[Shot Put Classification],"&gt;0")</f>
        <v>0</v>
      </c>
      <c r="BU49" s="6">
        <f>COUNTIFS(Table4[Country],Tabela1[[#This Row],[Country]],Table4[Triple Jump Classification],"&gt;0")</f>
        <v>0</v>
      </c>
      <c r="BV49" s="6">
        <f>COUNTIFS(Table5[Country],Tabela1[[#This Row],[Country]],Table5[Triple Jump Classification],"&gt;0")</f>
        <v>0</v>
      </c>
      <c r="BW49" s="6">
        <f>COUNTIFS(Table4[Country],Tabela1[[#This Row],[Country]],Table4[Decathlon Classification],"&gt;0")</f>
        <v>0</v>
      </c>
      <c r="BX49" s="6">
        <f>COUNTIFS(Table5[Country],Tabela1[[#This Row],[Country]],Table5[Heptathlon Classification],"&gt;0")</f>
        <v>0</v>
      </c>
      <c r="BY49" s="6">
        <f>COUNTIFS(Table61[Country],Tabela1[[#This Row],[Country]],Table61[Classification],"&gt;0")</f>
        <v>1</v>
      </c>
      <c r="BZ49" s="6">
        <f>COUNTIFS(Table38[Country],Tabela1[[#This Row],[Country]],Table38[Classification],"&gt;0")</f>
        <v>0</v>
      </c>
      <c r="CA49" s="6">
        <f>COUNTIFS(Table39[Country],Tabela1[[#This Row],[Country]],Table39[Men''s Classification],"&gt;0")</f>
        <v>0</v>
      </c>
      <c r="CB49" s="6">
        <f>COUNTIFS(Table39[Country],Tabela1[[#This Row],[Country]],Table39[Women''s Classification],"&gt;0")</f>
        <v>1</v>
      </c>
      <c r="CC49" s="6">
        <f>COUNTIFS(Table39[Country],Tabela1[[#This Row],[Country]],Table39[Mixed Classification],"&gt;0")</f>
        <v>0</v>
      </c>
      <c r="CD49" s="6">
        <f>COUNTIFS(Table89[Country],Tabela1[[#This Row],[Country]],Table89[Men''s Classification],"&gt;0")</f>
        <v>0</v>
      </c>
      <c r="CE49" s="6">
        <f>COUNTIFS(Table89[Country],Tabela1[[#This Row],[Country]],Table89[Women''s Classification],"&gt;0")</f>
        <v>0</v>
      </c>
      <c r="CF49" s="6">
        <f>COUNTIFS(Table90[Country],Tabela1[[#This Row],[Country]],Table90[Men''s Classification],"&gt;0")</f>
        <v>0</v>
      </c>
      <c r="CG49" s="6">
        <f>COUNTIFS(Table90[Country],Tabela1[[#This Row],[Country]],Table90[Women''s Classification],"&gt;0")</f>
        <v>0</v>
      </c>
      <c r="CH49" s="6">
        <f>COUNTIFS(Table60[Country],Tabela1[[#This Row],[Country]],Table60[Men''s Classification],"&gt;0")</f>
        <v>0</v>
      </c>
      <c r="CI49" s="6">
        <f>COUNTIFS(Table60[Country],Tabela1[[#This Row],[Country]],Table60[Women''s Classification],"&gt;0")</f>
        <v>0</v>
      </c>
      <c r="CJ49" s="6">
        <f>COUNTIFS(Table6[Country],Tabela1[[#This Row],[Country]],Table6[51kg Classification],"&gt;0")</f>
        <v>0</v>
      </c>
      <c r="CK49" s="6">
        <f>COUNTIFS(Table6[Country],Tabela1[[#This Row],[Country]],Table6[57kg Classification],"&gt;0")</f>
        <v>0</v>
      </c>
      <c r="CL49" s="6">
        <f>COUNTIFS(Table6[Country],Tabela1[[#This Row],[Country]],Table6[63.5kg Classification],"&gt;0")</f>
        <v>0</v>
      </c>
      <c r="CM49" s="6">
        <f>COUNTIFS(Table6[Country],Tabela1[[#This Row],[Country]],Table6[71kg Classification],"&gt;0")</f>
        <v>1</v>
      </c>
      <c r="CN49" s="6">
        <f>COUNTIFS(Table6[Country],Tabela1[[#This Row],[Country]],Table6[80kg Classification],"&gt;0")</f>
        <v>0</v>
      </c>
      <c r="CO49" s="6">
        <f>COUNTIFS(Table6[Country],Tabela1[[#This Row],[Country]],Table6[92kg Classification],"&gt;0")</f>
        <v>0</v>
      </c>
      <c r="CP49" s="6">
        <f>COUNTIFS(Table6[Country],Tabela1[[#This Row],[Country]],Table6[Plus 92kg Classification],"&gt;0")</f>
        <v>0</v>
      </c>
      <c r="CQ49" s="6">
        <f>COUNTIFS(Table7[Country],Tabela1[[#This Row],[Country]],Table7[50kg Classification],"&gt;0")</f>
        <v>0</v>
      </c>
      <c r="CR49" s="6">
        <f>COUNTIFS(Table7[Country],Tabela1[[#This Row],[Country]],Table7[54kg Classification],"&gt;0")</f>
        <v>0</v>
      </c>
      <c r="CS49" s="6">
        <f>COUNTIFS(Table7[Country],Tabela1[[#This Row],[Country]],Table7[57kg Classification],"&gt;0")</f>
        <v>0</v>
      </c>
      <c r="CT49" s="6">
        <f>COUNTIFS(Table7[Country],Tabela1[[#This Row],[Country]],Table7[60kg Classification],"&gt;0")</f>
        <v>0</v>
      </c>
      <c r="CU49" s="6">
        <f>COUNTIFS(Table7[Country],Tabela1[[#This Row],[Country]],Table7[66kg Classification],"&gt;0")</f>
        <v>0</v>
      </c>
      <c r="CV49" s="6">
        <f>COUNTIFS(Table7[Country],Tabela1[[#This Row],[Country]],Table7[75kg Classification],"&gt;0")</f>
        <v>0</v>
      </c>
      <c r="CW49" s="6">
        <f>COUNTIFS(Tabela94[Country],Tabela1[[#This Row],[Country]],Tabela94[Classification],"&gt;0")</f>
        <v>0</v>
      </c>
      <c r="CX49" s="6">
        <f>COUNTIFS(Tabela9499[Country],Tabela1[[#This Row],[Country]],Tabela9499[Classification],"&gt;0")</f>
        <v>0</v>
      </c>
      <c r="CY49" s="6">
        <f>COUNTIFS(Tabela107[Country],Tabela1[[#This Row],[Country]],Tabela107[C1 Slalom Classification],"&gt;0")</f>
        <v>0</v>
      </c>
      <c r="CZ49" s="6">
        <f>COUNTIFS(Tabela107122[Country],Tabela1[[#This Row],[Country]],Tabela107122[C1 Slalom Classification],"&gt;0")</f>
        <v>0</v>
      </c>
      <c r="DA49" s="6">
        <f>COUNTIFS(Tabela107[Country],Tabela1[[#This Row],[Country]],Tabela107[K1 Slalom Classification],"&gt;0")</f>
        <v>0</v>
      </c>
      <c r="DB49" s="6">
        <f>COUNTIFS(Tabela107122[Country],Tabela1[[#This Row],[Country]],Tabela107122[K1 Slalom Classification],"&gt;0")</f>
        <v>0</v>
      </c>
      <c r="DC49" s="6">
        <f>COUNTIFS(Tabela107[Country],Tabela1[[#This Row],[Country]],Tabela107[Kayak Cross Slalom Classification],"&gt;0")</f>
        <v>0</v>
      </c>
      <c r="DD49" s="6">
        <f>COUNTIFS(Tabela107122[Country],Tabela1[[#This Row],[Country]],Tabela107122[Kayak Cross Slalom Classification],"&gt;0")</f>
        <v>0</v>
      </c>
      <c r="DE49" s="6">
        <f>COUNTIFS(Table8[Country],Tabela1[[#This Row],[Country]],Table8[C1 200m Classification],"&gt;0")</f>
        <v>0</v>
      </c>
      <c r="DF49" s="6">
        <f>COUNTIFS(Table40[Country],Tabela1[[#This Row],[Country]],Table40[C1 1000m Classification],"&gt;0")</f>
        <v>0</v>
      </c>
      <c r="DG49" s="6">
        <f>COUNTIFS(Table68[Country],Tabela1[[#This Row],[Country]],Table68[Men''s C2 500m Classification],"&gt;0")</f>
        <v>0</v>
      </c>
      <c r="DH49" s="6">
        <f>COUNTIFS(Table68[Country],Tabela1[[#This Row],[Country]],Table68[Women''s C2 500m Classification],"&gt;0")</f>
        <v>0</v>
      </c>
      <c r="DI49" s="6">
        <f>COUNTIFS(Table8[Country],Tabela1[[#This Row],[Country]],Table8[K1 500m Classification],"&gt;0")</f>
        <v>0</v>
      </c>
      <c r="DJ49" s="6">
        <f>COUNTIFS(Table40[Country],Tabela1[[#This Row],[Country]],Table40[K1 1000m Classification],"&gt;0")</f>
        <v>0</v>
      </c>
      <c r="DK49" s="6">
        <f>COUNTIFS(Table68[Country],Tabela1[[#This Row],[Country]],Table68[Men''s K2 500m Classification],"&gt;0")</f>
        <v>0</v>
      </c>
      <c r="DL49" s="6">
        <f>COUNTIFS(Table68[Country],Tabela1[[#This Row],[Country]],Table68[Women''s K2 500m Classification],"&gt;0")</f>
        <v>0</v>
      </c>
      <c r="DM49" s="6">
        <f>COUNTIFS(Table83[Country],Tabela1[[#This Row],[Country]],Table83[Men''s K4 500m Classification],"&gt;0")</f>
        <v>0</v>
      </c>
      <c r="DN49" s="6">
        <f>COUNTIFS(Table83[Country],Tabela1[[#This Row],[Country]],Table83[Women''s K4 500m Classification],"&gt;0")</f>
        <v>0</v>
      </c>
      <c r="DO49" s="6">
        <f>COUNTIFS(Tabela126[Country],Tabela1[[#This Row],[Country]],Tabela126[Classification],"&gt;0")</f>
        <v>0</v>
      </c>
      <c r="DP49" s="6">
        <f>COUNTIFS(Tabela126130[Country],Tabela1[[#This Row],[Country]],Tabela126130[Classification],"&gt;0")</f>
        <v>0</v>
      </c>
      <c r="DQ49" s="6">
        <f>COUNTIFS(Table70[Country],Tabela1[[#This Row],[Country]],Table70[Classification],"&gt;0")</f>
        <v>0</v>
      </c>
      <c r="DR49" s="6">
        <f>COUNTIFS(Table80[Country],Tabela1[[#This Row],[Country]],Table80[Classification],"&gt;0")</f>
        <v>0</v>
      </c>
      <c r="DS49" s="6">
        <f>COUNTIFS(Table66[Country],Tabela1[[#This Row],[Country]],Table66[Classification],"&gt;0")</f>
        <v>1</v>
      </c>
      <c r="DT49" s="6">
        <f>COUNTIFS(Table67[Country],Tabela1[[#This Row],[Country]],Table67[Classification],"&gt;0")</f>
        <v>0</v>
      </c>
      <c r="DU49" s="6">
        <f>COUNTIFS(Table69[Country],Tabela1[[#This Row],[Country]],Table69[Keirin Classification],"&gt;0")</f>
        <v>0</v>
      </c>
      <c r="DV49" s="6">
        <f>COUNTIFS(Table41[Country],Tabela1[[#This Row],[Country]],Table41[Keirin Classification],"&gt;0")</f>
        <v>0</v>
      </c>
      <c r="DW49" s="6">
        <f>COUNTIFS(Table84[Country],Tabela1[[#This Row],[Country]],Table84[Men''s Madison Classification],"&gt;0")</f>
        <v>0</v>
      </c>
      <c r="DX49" s="6">
        <f>COUNTIFS(Table84[Country],Tabela1[[#This Row],[Country]],Table84[Women''s Madison Classification],"&gt;0")</f>
        <v>0</v>
      </c>
      <c r="DY49" s="6">
        <f>COUNTIFS(Table69[Country],Tabela1[[#This Row],[Country]],Table69[Omnium Classification],"&gt;0")</f>
        <v>0</v>
      </c>
      <c r="DZ49" s="6">
        <f>COUNTIFS(Table41[Country],Tabela1[[#This Row],[Country]],Table41[Omnium Classification],"&gt;0")</f>
        <v>0</v>
      </c>
      <c r="EA49" s="6">
        <f>COUNTIFS(Table9[Country],Tabela1[[#This Row],[Country]],Table9[Road Race Classification],"&gt;0")</f>
        <v>0</v>
      </c>
      <c r="EB49" s="6">
        <f>COUNTIFS(Table14[Country],Tabela1[[#This Row],[Country]],Table14[Road Race Classification],"&gt;0")</f>
        <v>0</v>
      </c>
      <c r="EC49" s="6">
        <f>COUNTIFS(Table69[Country],Tabela1[[#This Row],[Country]],Table69[Sprint Classification],"&gt;0")</f>
        <v>0</v>
      </c>
      <c r="ED49" s="6">
        <f>COUNTIFS(Table41[Country],Tabela1[[#This Row],[Country]],Table41[Sprint Classification],"&gt;0")</f>
        <v>0</v>
      </c>
      <c r="EE49" s="6">
        <f>COUNTIFS(Table85[Country],Tabela1[[#This Row],[Country]],Table85[Men''s Sprint Classification],"&gt;0")</f>
        <v>0</v>
      </c>
      <c r="EF49" s="6">
        <f>COUNTIFS(Table85[Country],Tabela1[[#This Row],[Country]],Table85[Women''s Sprint Classification],"&gt;0")</f>
        <v>0</v>
      </c>
      <c r="EG49" s="6">
        <f>COUNTIFS(Table85[Country],Tabela1[[#This Row],[Country]],Table85[Men''s Pursuit Classification],"&gt;0")</f>
        <v>1</v>
      </c>
      <c r="EH49" s="6">
        <f>COUNTIFS(Table85[Country],Tabela1[[#This Row],[Country]],Table85[Women''s Pursuit Classification],"&gt;0")</f>
        <v>0</v>
      </c>
      <c r="EI49" s="6">
        <f>COUNTIFS(Table9[Country],Tabela1[[#This Row],[Country]],Table9[Time-Trial Classification],"&gt;0")</f>
        <v>0</v>
      </c>
      <c r="EJ49" s="6">
        <f>COUNTIFS(Table14[Country],Tabela1[[#This Row],[Country]],Table14[Time-Trial Classification],"&gt;0")</f>
        <v>0</v>
      </c>
      <c r="EK49" s="6">
        <f>COUNTIFS(Table42[Country],Tabela1[[#This Row],[Country]],Table42[Springboard Classification],"&gt;0")</f>
        <v>0</v>
      </c>
      <c r="EL49" s="6">
        <f>COUNTIFS(Table43[Country],Tabela1[[#This Row],[Country]],Table43[Springboard Classification],"&gt;0")</f>
        <v>0</v>
      </c>
      <c r="EM49" s="6">
        <f>COUNTIFS(Table42[Country],Tabela1[[#This Row],[Country]],Table42[Platform Classification],"&gt;0")</f>
        <v>0</v>
      </c>
      <c r="EN49" s="6">
        <f>COUNTIFS(Table43[Country],Tabela1[[#This Row],[Country]],Table43[Platform Classification],"&gt;0")</f>
        <v>0</v>
      </c>
      <c r="EO49" s="6">
        <f>COUNTIFS(Table86[Country],Tabela1[[#This Row],[Country]],Table86[Men''s Synchronized Springboard Classification],"&gt;0")</f>
        <v>0</v>
      </c>
      <c r="EP49" s="6">
        <f>COUNTIFS(Table86[Country],Tabela1[[#This Row],[Country]],Table86[Women''s Synchronized Springboard Classification],"&gt;0")</f>
        <v>0</v>
      </c>
      <c r="EQ49" s="6">
        <f>COUNTIFS(Table86[Country],Tabela1[[#This Row],[Country]],Table86[Men''s Synchronized Platform Classification],"&gt;0")</f>
        <v>0</v>
      </c>
      <c r="ER49" s="6">
        <f>COUNTIFS(Table86[Country],Tabela1[[#This Row],[Country]],Table86[Women''s Synchronized Platform Classification],"&gt;0")</f>
        <v>0</v>
      </c>
      <c r="ES49" s="6">
        <f>COUNTIFS(Table44[Country],Tabela1[[#This Row],[Country]],Table44[Dressage Classification],"&gt;0")</f>
        <v>1</v>
      </c>
      <c r="ET49" s="6">
        <f>COUNTIFS(Table45[Country],Tabela1[[#This Row],[Country]],Table45[Dressage Classification],"&gt;0")</f>
        <v>1</v>
      </c>
      <c r="EU49" s="6">
        <f>COUNTIFS(Table44[Country],Tabela1[[#This Row],[Country]],Table44[Eventing Classification],"&gt;0")</f>
        <v>0</v>
      </c>
      <c r="EV49" s="6">
        <f>COUNTIFS(Table45[Country],Tabela1[[#This Row],[Country]],Table45[Eventing Classification],"&gt;0")</f>
        <v>0</v>
      </c>
      <c r="EW49" s="6">
        <f>COUNTIFS(Table44[Country],Tabela1[[#This Row],[Country]],Table44[Jumping Classification],"&gt;0")</f>
        <v>1</v>
      </c>
      <c r="EX49" s="6">
        <f>COUNTIFS(Table45[Country],Tabela1[[#This Row],[Country]],Table45[Jumping Classification],"&gt;0")</f>
        <v>0</v>
      </c>
      <c r="EY49" s="6">
        <f>COUNTIFS(Table10[Country],Tabela1[[#This Row],[Country]],Table10[Épée Classification],"&gt;0")</f>
        <v>0</v>
      </c>
      <c r="EZ49" s="6">
        <f>COUNTIFS(Table11[Country],Tabela1[[#This Row],[Country]],Table11[Épée Classification],"&gt;0")</f>
        <v>0</v>
      </c>
      <c r="FA49" s="6">
        <f>COUNTIFS(Table46[Country],Tabela1[[#This Row],[Country]],Table46[Men''s Épée Classification],"&gt;0")</f>
        <v>0</v>
      </c>
      <c r="FB49" s="6">
        <f>COUNTIFS(Table46[Country],Tabela1[[#This Row],[Country]],Table46[Women''s Épée Classification],"&gt;0")</f>
        <v>0</v>
      </c>
      <c r="FC49" s="6">
        <f>COUNTIFS(Table10[Country],Tabela1[[#This Row],[Country]],Table10[Foil Classification],"&gt;0")</f>
        <v>0</v>
      </c>
      <c r="FD49" s="6">
        <f>COUNTIFS(Table11[Country],Tabela1[[#This Row],[Country]],Table11[Foil Classification],"&gt;0")</f>
        <v>0</v>
      </c>
      <c r="FE49" s="6">
        <f>COUNTIFS(Table46[Country],Tabela1[[#This Row],[Country]],Table46[Men''s Foil Classification],"&gt;0")</f>
        <v>0</v>
      </c>
      <c r="FF49" s="6">
        <f>COUNTIFS(Table46[Country],Tabela1[[#This Row],[Country]],Table46[Women''s Foil Classification],"&gt;0")</f>
        <v>0</v>
      </c>
      <c r="FG49" s="6">
        <f>COUNTIFS(Table10[Country],Tabela1[[#This Row],[Country]],Table10[Sabre Classification],"&gt;0")</f>
        <v>0</v>
      </c>
      <c r="FH49" s="6">
        <f>COUNTIFS(Table11[Country],Tabela1[[#This Row],[Country]],Table11[Sabre Classification],"&gt;0")</f>
        <v>0</v>
      </c>
      <c r="FI49" s="6">
        <f>COUNTIFS(Table46[Country],Tabela1[[#This Row],[Country]],Table46[Men''s Sabre Classification],"&gt;0")</f>
        <v>0</v>
      </c>
      <c r="FJ49" s="6">
        <f>COUNTIFS(Table46[Country],Tabela1[[#This Row],[Country]],Table46[Women''s Sabre Classification],"&gt;0")</f>
        <v>0</v>
      </c>
      <c r="FK49" s="6">
        <f>COUNTIFS(Table91[Country],Tabela1[[#This Row],[Country]],Table91[Men''s Classification],"&gt;0")</f>
        <v>0</v>
      </c>
      <c r="FL49" s="6">
        <f>COUNTIFS(Table91[Country],Tabela1[[#This Row],[Country]],Table91[Women''s Classification],"&gt;0")</f>
        <v>0</v>
      </c>
      <c r="FM49" s="6">
        <f>COUNTIFS(Table9194[Country],Tabela1[[#This Row],[Country]],Table9194[Men''s Classification],"&gt;0")</f>
        <v>0</v>
      </c>
      <c r="FN49" s="6">
        <f>COUNTIFS(Table9194[Country],Tabela1[[#This Row],[Country]],Table9194[Women''s Classification],"&gt;0")</f>
        <v>0</v>
      </c>
      <c r="FO49" s="6">
        <f>COUNTIFS(Table71[Country],Tabela1[[#This Row],[Country]],Table71[Classification],"&gt;0")</f>
        <v>1</v>
      </c>
      <c r="FP49" s="6">
        <f>COUNTIFS(Table62[Country],Tabela1[[#This Row],[Country]],Table62[Classification],"&gt;0")</f>
        <v>0</v>
      </c>
      <c r="FQ49" s="6">
        <f>COUNTIFS(Table47[Country],Tabela1[[#This Row],[Country]],Table47[All-Around Classification],"&gt;0")</f>
        <v>0</v>
      </c>
      <c r="FR49" s="6">
        <f>COUNTIFS(Table48[Country],Tabela1[[#This Row],[Country]],Table48[All-Around Classification],"&gt;0")</f>
        <v>0</v>
      </c>
      <c r="FS49" s="6">
        <f>COUNTIFS(Table81[Country],Tabela1[[#This Row],[Country]],Table81[Men''s All-Around Classification],"&gt;0")</f>
        <v>0</v>
      </c>
      <c r="FT49" s="6">
        <f>COUNTIFS(Table81[Country],Tabela1[[#This Row],[Country]],Table81[Women''s All-Around Classification],"&gt;0")</f>
        <v>0</v>
      </c>
      <c r="FU49" s="6">
        <f>COUNTIFS(Table48[Country],Tabela1[[#This Row],[Country]],Table48[Balance Beam Classification],"&gt;0")</f>
        <v>0</v>
      </c>
      <c r="FV49" s="6">
        <f>COUNTIFS(Table47[Country],Tabela1[[#This Row],[Country]],Table47[Floor Exercise Classification],"&gt;0")</f>
        <v>0</v>
      </c>
      <c r="FW49" s="6">
        <f>COUNTIFS(Table48[Country],Tabela1[[#This Row],[Country]],Table48[Floor Exercise Classification],"&gt;0")</f>
        <v>0</v>
      </c>
      <c r="FX49" s="6">
        <f>COUNTIFS(Table47[Country],Tabela1[[#This Row],[Country]],Table47[Horizontal Bar Classification],"&gt;0")</f>
        <v>0</v>
      </c>
      <c r="FY49" s="6">
        <f>COUNTIFS(Table47[Country],Tabela1[[#This Row],[Country]],Table47[Parallel Bars Classification],"&gt;0")</f>
        <v>0</v>
      </c>
      <c r="FZ49" s="6">
        <f>COUNTIFS(Table47[Country],Tabela1[[#This Row],[Country]],Table47[Pommel Horse Classification],"&gt;0")</f>
        <v>0</v>
      </c>
      <c r="GA49" s="6">
        <f>COUNTIFS(Table47[Country],Tabela1[[#This Row],[Country]],Table47[Rings Classification],"&gt;0")</f>
        <v>0</v>
      </c>
      <c r="GB49" s="6">
        <f>COUNTIFS(Tabela132[Country],Tabela1[[#This Row],[Country]],Tabela132[Classification],"&gt;0")</f>
        <v>0</v>
      </c>
      <c r="GC49" s="6">
        <f>COUNTIFS(Tabela139[Country],Tabela1[[#This Row],[Country]],Tabela139[Classification],"&gt;0")</f>
        <v>0</v>
      </c>
      <c r="GD49" s="6">
        <f>COUNTIFS(Table48[Country],Tabela1[[#This Row],[Country]],Table48[Uneven Bars Classification],"&gt;0")</f>
        <v>0</v>
      </c>
      <c r="GE49" s="6">
        <f>COUNTIFS(Table47[Country],Tabela1[[#This Row],[Country]],Table47[Vault Classification],"&gt;0")</f>
        <v>0</v>
      </c>
      <c r="GF49" s="6">
        <f>COUNTIFS(Table48[Country],Tabela1[[#This Row],[Country]],Table48[Vault Classification],"&gt;0")</f>
        <v>0</v>
      </c>
      <c r="GG49" s="6">
        <f>COUNTIFS(Table919496[Country],Tabela1[[#This Row],[Country]],Table919496[Men''s Classification],"&gt;0")</f>
        <v>1</v>
      </c>
      <c r="GH49" s="6">
        <f>COUNTIFS(Table919496[Country],Tabela1[[#This Row],[Country]],Table919496[Women''s Classification],"&gt;0")</f>
        <v>1</v>
      </c>
      <c r="GI49" s="6">
        <f>COUNTIFS(Table12[Country],Tabela1[[#This Row],[Country]],Table12[60kg Classification],"&gt;0")</f>
        <v>0</v>
      </c>
      <c r="GJ49" s="6">
        <f>COUNTIFS(Table12[Country],Tabela1[[#This Row],[Country]],Table12[66kg Classification],"&gt;0")</f>
        <v>0</v>
      </c>
      <c r="GK49" s="6">
        <f>COUNTIFS(Table12[Country],Tabela1[[#This Row],[Country]],Table12[73kg Classification],"&gt;0")</f>
        <v>0</v>
      </c>
      <c r="GL49" s="6">
        <f>COUNTIFS(Table12[Country],Tabela1[[#This Row],[Country]],Table12[81kg Classification],"&gt;0")</f>
        <v>0</v>
      </c>
      <c r="GM49" s="6">
        <f>COUNTIFS(Table12[Country],Tabela1[[#This Row],[Country]],Table12[90kg Classification],"&gt;0")</f>
        <v>0</v>
      </c>
      <c r="GN49" s="6">
        <f>COUNTIFS(Table12[Country],Tabela1[[#This Row],[Country]],Table12[100kg Classification],"&gt;0")</f>
        <v>0</v>
      </c>
      <c r="GO49" s="6">
        <f>COUNTIFS(Table12[Country],Tabela1[[#This Row],[Country]],Table12[Plus 100kg Classification],"&gt;0")</f>
        <v>0</v>
      </c>
      <c r="GP49" s="6">
        <f>COUNTIFS(Table13[Country],Tabela1[[#This Row],[Country]],Table13[48kg Classification],"&gt;0")</f>
        <v>0</v>
      </c>
      <c r="GQ49" s="6">
        <f>COUNTIFS(Table13[Country],Tabela1[[#This Row],[Country]],Table13[52kg Classification],"&gt;0")</f>
        <v>0</v>
      </c>
      <c r="GR49" s="6">
        <f>COUNTIFS(Table13[Country],Tabela1[[#This Row],[Country]],Table13[57kg Classification],"&gt;0")</f>
        <v>0</v>
      </c>
      <c r="GS49" s="6">
        <f>COUNTIFS(Table13[Country],Tabela1[[#This Row],[Country]],Table13[63kg Classification],"&gt;0")</f>
        <v>0</v>
      </c>
      <c r="GT49" s="6">
        <f>COUNTIFS(Table13[Country],Tabela1[[#This Row],[Country]],Table13[70kg Classification],"&gt;0")</f>
        <v>0</v>
      </c>
      <c r="GU49" s="6">
        <f>COUNTIFS(Table13[Country],Tabela1[[#This Row],[Country]],Table13[78kg Classification],"&gt;0")</f>
        <v>0</v>
      </c>
      <c r="GV49" s="6">
        <f>COUNTIFS(Table13[Country],Tabela1[[#This Row],[Country]],Table13[Plus 78kg Classification],"&gt;0")</f>
        <v>0</v>
      </c>
      <c r="GW49" s="6">
        <f>COUNTIFS(Table82[Country],Tabela1[[#This Row],[Country]],Table82[Mixed Classification],"&gt;0")</f>
        <v>0</v>
      </c>
      <c r="GX49" s="6">
        <f>COUNTIFS(Table51[Country],Tabela1[[#This Row],[Country]],Table51[Classification],"&gt;0")</f>
        <v>0</v>
      </c>
      <c r="GY49" s="6">
        <f>COUNTIFS(Table52[Country],Tabela1[[#This Row],[Country]],Table52[Classification],"&gt;0")</f>
        <v>0</v>
      </c>
      <c r="GZ49" s="6">
        <f>COUNTIFS(Table32[Country],Tabela1[[#This Row],[Country]],Table32[All-Around Classification],"&gt;0")</f>
        <v>0</v>
      </c>
      <c r="HA49" s="6">
        <f>COUNTIFS(Table49[Country],Tabela1[[#This Row],[Country]],Table49[All-Around Classification],"&gt;0")</f>
        <v>0</v>
      </c>
      <c r="HB49" s="6">
        <f>COUNTIFS(Table26[Country],Tabela1[[#This Row],[Country]],Table26[Single Sculls Classification],"&gt;0")</f>
        <v>0</v>
      </c>
      <c r="HC49" s="6">
        <f>COUNTIFS(Table63[Country],Tabela1[[#This Row],[Country]],Table63[Single Sculls Classification],"&gt;0")</f>
        <v>0</v>
      </c>
      <c r="HD49" s="6">
        <f>COUNTIFS(Table16[Country],Tabela1[[#This Row],[Country]],Table16[Men''s Double Sculls Classification],"&gt;0")</f>
        <v>0</v>
      </c>
      <c r="HE49" s="6">
        <f>COUNTIFS(Table16[Country],Tabela1[[#This Row],[Country]],Table16[Women''s Double Sculls Classification],"&gt;0")</f>
        <v>0</v>
      </c>
      <c r="HF49" s="6">
        <f>COUNTIFS(Table72[Country],Tabela1[[#This Row],[Country]],Table72[Men''s Quadruple Sculls Classification],"&gt;0")</f>
        <v>0</v>
      </c>
      <c r="HG49" s="6">
        <f>COUNTIFS(Table72[Country],Tabela1[[#This Row],[Country]],Table72[Women''s Quadruple Sculls Classification],"&gt;0")</f>
        <v>0</v>
      </c>
      <c r="HH49" s="6">
        <f>COUNTIFS(Table16[Country],Tabela1[[#This Row],[Country]],Table16[Men''s Coxless Pairs Classification],"&gt;0")</f>
        <v>0</v>
      </c>
      <c r="HI49" s="6">
        <f>COUNTIFS(Table16[Country],Tabela1[[#This Row],[Country]],Table16[Women''s Coxless Pairs Classification],"&gt;0")</f>
        <v>1</v>
      </c>
      <c r="HJ49" s="6">
        <f>COUNTIFS(Table72[Country],Tabela1[[#This Row],[Country]],Table72[Men''s Coxless Fours Classification],"&gt;0")</f>
        <v>0</v>
      </c>
      <c r="HK49" s="6">
        <f>COUNTIFS(Table72[Country],Tabela1[[#This Row],[Country]],Table72[Women''s Coxless Fours Classification],"&gt;0")</f>
        <v>0</v>
      </c>
      <c r="HL49" s="6">
        <f>COUNTIFS(Table72[Country],Tabela1[[#This Row],[Country]],Table72[Men''s Eights Classification],"&gt;0")</f>
        <v>0</v>
      </c>
      <c r="HM49" s="6">
        <f>COUNTIFS(Table72[Country],Tabela1[[#This Row],[Country]],Table72[Women''s Eights Classification],"&gt;0")</f>
        <v>1</v>
      </c>
      <c r="HN49" s="6">
        <f>COUNTIFS(Table16[Country],Tabela1[[#This Row],[Country]],Table16[Men''s Lwt. Double Sculls Classification],"&gt;0")</f>
        <v>0</v>
      </c>
      <c r="HO49" s="6">
        <f>COUNTIFS(Table16[Country],Tabela1[[#This Row],[Country]],Table16[Women''s Lwt. Double Sculls Classification],"&gt;0")</f>
        <v>0</v>
      </c>
      <c r="HP49" s="6">
        <f>COUNTIFS(Table91949698[Country],Tabela1[[#This Row],[Country]],Table91949698[Men''s Classification],"&gt;0")</f>
        <v>0</v>
      </c>
      <c r="HQ49" s="6">
        <f>COUNTIFS(Table91949698[Country],Tabela1[[#This Row],[Country]],Table91949698[Women''s Classification],"&gt;0")</f>
        <v>0</v>
      </c>
      <c r="HR49" s="6">
        <f>COUNTIFS(Table25[Country],Tabela1[[#This Row],[Country]],Table25[Mixed 470 Classification],"&gt;0")</f>
        <v>0</v>
      </c>
      <c r="HS49" s="6">
        <f>COUNTIFS(Table25[Country],Tabela1[[#This Row],[Country]],Table25[Men''s 49er Classification],"&gt;0")</f>
        <v>0</v>
      </c>
      <c r="HT49" s="6">
        <f>COUNTIFS(Table25[Country],Tabela1[[#This Row],[Country]],Table25[Women''s 49er FX Classification],"&gt;0")</f>
        <v>0</v>
      </c>
      <c r="HU49" s="6">
        <f>COUNTIFS(Table17[Country],Tabela1[[#This Row],[Country]],Table17[Formula Kite Classification],"&gt;0")</f>
        <v>0</v>
      </c>
      <c r="HV49" s="6">
        <f>COUNTIFS(Table18[Country],Tabela1[[#This Row],[Country]],Table18[Formula Kite Classification],"&gt;0")</f>
        <v>0</v>
      </c>
      <c r="HW49" s="6">
        <f>COUNTIFS(Table17[Country],Tabela1[[#This Row],[Country]],Table17[ILCA 7 Classification],"&gt;0")</f>
        <v>0</v>
      </c>
      <c r="HX49" s="6">
        <f>COUNTIFS(Table18[Country],Tabela1[[#This Row],[Country]],Table18[ILCA 6 Classification],"&gt;0")</f>
        <v>0</v>
      </c>
      <c r="HY49" s="6">
        <f>COUNTIFS(Table17[Country],Tabela1[[#This Row],[Country]],Table17[IQFoil Classification],"&gt;0")</f>
        <v>0</v>
      </c>
      <c r="HZ49" s="6">
        <f>COUNTIFS(Table18[Country],Tabela1[[#This Row],[Country]],Table18[IQFoil Classification],"&gt;0")</f>
        <v>0</v>
      </c>
      <c r="IA49" s="6">
        <f>COUNTIFS(Table25[Country],Tabela1[[#This Row],[Country]],Table25[Mixed Nacra 17 Classification],"&gt;0")</f>
        <v>1</v>
      </c>
      <c r="IB49" s="6">
        <f>COUNTIFS(Table53[Country],Tabela1[[#This Row],[Country]],Table53[10m Air Pistol Classification],"&gt;0")</f>
        <v>0</v>
      </c>
      <c r="IC49" s="6">
        <f>COUNTIFS(Table19[Country],Tabela1[[#This Row],[Country]],Table19[10m Air Pistol Classification],"&gt;0")</f>
        <v>0</v>
      </c>
      <c r="ID49" s="6">
        <f>COUNTIFS(Table54[Country],Tabela1[[#This Row],[Country]],Table54[Mixed 10m Air Pistol Team Classification],"&gt;0")</f>
        <v>0</v>
      </c>
      <c r="IE49" s="6">
        <f>COUNTIFS(Table53[Country],Tabela1[[#This Row],[Country]],Table53[10m Air Rifle Classification],"&gt;0")</f>
        <v>0</v>
      </c>
      <c r="IF49" s="6">
        <f>COUNTIFS(Table19[Country],Tabela1[[#This Row],[Country]],Table19[10m Air Rifle Classification],"&gt;0")</f>
        <v>0</v>
      </c>
      <c r="IG49" s="6">
        <f>COUNTIFS(Table54[Country],Tabela1[[#This Row],[Country]],Table54[Mixed 10m Air Rifle Team Classification],"&gt;0")</f>
        <v>0</v>
      </c>
      <c r="IH49" s="6">
        <f>COUNTIFS(Table53[Country],Tabela1[[#This Row],[Country]],Table53[25m Rapid Fire Pistol Classification],"&gt;0")</f>
        <v>0</v>
      </c>
      <c r="II49" s="6">
        <f>COUNTIFS(Table19[Country],Tabela1[[#This Row],[Country]],Table19[25m Pistol Classification],"&gt;0")</f>
        <v>0</v>
      </c>
      <c r="IJ49" s="6">
        <f>COUNTIFS(Table53[Country],Tabela1[[#This Row],[Country]],Table53[50m Rifle 3 Positions Classification],"&gt;0")</f>
        <v>0</v>
      </c>
      <c r="IK49" s="6">
        <f>COUNTIFS(Table19[Country],Tabela1[[#This Row],[Country]],Table19[50m Rifle 3 Positions Classification],"&gt;0")</f>
        <v>0</v>
      </c>
      <c r="IL49" s="6">
        <f>COUNTIFS(Table53[Country],Tabela1[[#This Row],[Country]],Table53[Skeet Classification],"&gt;0")</f>
        <v>0</v>
      </c>
      <c r="IM49" s="6">
        <f>COUNTIFS(Table19[Country],Tabela1[[#This Row],[Country]],Table19[Skeet Classification],"&gt;0")</f>
        <v>0</v>
      </c>
      <c r="IN49" s="6">
        <f>COUNTIFS(Table54[Country],Tabela1[[#This Row],[Country]],Table54[Mixed Skeet Team Classification],"&gt;0")</f>
        <v>0</v>
      </c>
      <c r="IO49" s="6">
        <f>COUNTIFS(Table53[Country],Tabela1[[#This Row],[Country]],Table53[Trap Classification],"&gt;0")</f>
        <v>0</v>
      </c>
      <c r="IP49" s="6">
        <f>COUNTIFS(Table19[Country],Tabela1[[#This Row],[Country]],Table19[Trap Classification],"&gt;0")</f>
        <v>0</v>
      </c>
      <c r="IQ49" s="6">
        <f>COUNTIFS(Table73[Country],Tabela1[[#This Row],[Country]],Table73[Park Classification],"&gt;0")</f>
        <v>0</v>
      </c>
      <c r="IR49" s="6">
        <f>COUNTIFS(Table74[Country],Tabela1[[#This Row],[Country]],Table74[Park Classification],"&gt;0")</f>
        <v>0</v>
      </c>
      <c r="IS49" s="6">
        <f>COUNTIFS(Table73[Country],Tabela1[[#This Row],[Country]],Table73[Street Classification],"&gt;0")</f>
        <v>0</v>
      </c>
      <c r="IT49" s="6">
        <f>COUNTIFS(Table74[Country],Tabela1[[#This Row],[Country]],Table74[Street Classification],"&gt;0")</f>
        <v>0</v>
      </c>
      <c r="IU49" s="6">
        <f>COUNTIFS(Table75[Country],Tabela1[[#This Row],[Country]],Table75[Boulder and Lead Classification],"&gt;0")</f>
        <v>0</v>
      </c>
      <c r="IV49" s="6">
        <f>COUNTIFS(Table76[Country],Tabela1[[#This Row],[Country]],Table76[Boulder and Lead Classification],"&gt;0")</f>
        <v>0</v>
      </c>
      <c r="IW49" s="6">
        <f>COUNTIFS(Table75[Country],Tabela1[[#This Row],[Country]],Table75[Speed Classification],"&gt;0")</f>
        <v>0</v>
      </c>
      <c r="IX49" s="6">
        <f>COUNTIFS(Table76[Country],Tabela1[[#This Row],[Country]],Table76[Speed Classification],"&gt;0")</f>
        <v>0</v>
      </c>
      <c r="IY49" s="6">
        <f>COUNTIFS(Table64[Country],Tabela1[[#This Row],[Country]],Table64[Shortboard Classification],"&gt;0")</f>
        <v>0</v>
      </c>
      <c r="IZ49" s="6">
        <f>COUNTIFS(Table77[Country],Tabela1[[#This Row],[Country]],Table77[Shortboard Classification],"&gt;0")</f>
        <v>0</v>
      </c>
      <c r="JA49" s="6">
        <f>COUNTIFS(Table20[Country],Tabela1[[#This Row],[Country]],Table20[50m Freestyle Classification],"&gt;0")</f>
        <v>0</v>
      </c>
      <c r="JB49" s="6">
        <f>COUNTIFS(Table21[Country],Tabela1[[#This Row],[Country]],Table21[50m Freestyle Classification],"&gt;0")</f>
        <v>0</v>
      </c>
      <c r="JC49" s="6">
        <f>COUNTIFS(Table20[Country],Tabela1[[#This Row],[Country]],Table20[100m Freestyle Classification],"&gt;0")</f>
        <v>0</v>
      </c>
      <c r="JD49" s="6">
        <f>COUNTIFS(Table21[Country],Tabela1[[#This Row],[Country]],Table21[100m Freestyle Classification],"&gt;0")</f>
        <v>0</v>
      </c>
      <c r="JE49" s="6">
        <f>COUNTIFS(Table20[Country],Tabela1[[#This Row],[Country]],Table20[200m Freestyle Classification],"&gt;0")</f>
        <v>0</v>
      </c>
      <c r="JF49" s="6">
        <f>COUNTIFS(Table21[Country],Tabela1[[#This Row],[Country]],Table21[200m Freestyle Classification],"&gt;0")</f>
        <v>0</v>
      </c>
      <c r="JG49" s="6">
        <f>COUNTIFS(Table20[Country],Tabela1[[#This Row],[Country]],Table20[400m Freestyle Classification],"&gt;0")</f>
        <v>0</v>
      </c>
      <c r="JH49" s="6">
        <f>COUNTIFS(Table21[Country],Tabela1[[#This Row],[Country]],Table21[400m Freestyle Classification],"&gt;0")</f>
        <v>0</v>
      </c>
      <c r="JI49" s="6">
        <f>COUNTIFS(Table20[Country],Tabela1[[#This Row],[Country]],Table20[800m Freestyle Classification],"&gt;0")</f>
        <v>0</v>
      </c>
      <c r="JJ49" s="6">
        <f>COUNTIFS(Table21[Country],Tabela1[[#This Row],[Country]],Table21[800m Freestyle Classification],"&gt;0")</f>
        <v>0</v>
      </c>
      <c r="JK49" s="6">
        <f>COUNTIFS(Table20[Country],Tabela1[[#This Row],[Country]],Table20[1500m Freestyle Classification],"&gt;0")</f>
        <v>0</v>
      </c>
      <c r="JL49" s="6">
        <f>COUNTIFS(Table21[Country],Tabela1[[#This Row],[Country]],Table21[1500m Freestyle Classification],"&gt;0")</f>
        <v>0</v>
      </c>
      <c r="JM49" s="6">
        <f>COUNTIFS(Table20[Country],Tabela1[[#This Row],[Country]],Table20[100m Backstroke Classification],"&gt;0")</f>
        <v>0</v>
      </c>
      <c r="JN49" s="6">
        <f>COUNTIFS(Table21[Country],Tabela1[[#This Row],[Country]],Table21[100m Backstroke Classification],"&gt;0")</f>
        <v>0</v>
      </c>
      <c r="JO49" s="6">
        <f>COUNTIFS(Table20[Country],Tabela1[[#This Row],[Country]],Table20[200m Backstroke Classification],"&gt;0")</f>
        <v>0</v>
      </c>
      <c r="JP49" s="6">
        <f>COUNTIFS(Table21[Country],Tabela1[[#This Row],[Country]],Table21[200m Backstroke Classification],"&gt;0")</f>
        <v>0</v>
      </c>
      <c r="JQ49" s="6">
        <f>COUNTIFS(Table20[Country],Tabela1[[#This Row],[Country]],Table20[100m Breaststroke Classification],"&gt;0")</f>
        <v>0</v>
      </c>
      <c r="JR49" s="6">
        <f>COUNTIFS(Table21[Country],Tabela1[[#This Row],[Country]],Table21[100m Breaststroke Classification],"&gt;0")</f>
        <v>0</v>
      </c>
      <c r="JS49" s="6">
        <f>COUNTIFS(Table20[Country],Tabela1[[#This Row],[Country]],Table20[200m Breaststroke Classification],"&gt;0")</f>
        <v>0</v>
      </c>
      <c r="JT49" s="6">
        <f>COUNTIFS(Table21[Country],Tabela1[[#This Row],[Country]],Table21[200m Breaststroke Classification],"&gt;0")</f>
        <v>0</v>
      </c>
      <c r="JU49" s="6">
        <f>COUNTIFS(Table20[Country],Tabela1[[#This Row],[Country]],Table20[100m Butterfly Classification],"&gt;0")</f>
        <v>0</v>
      </c>
      <c r="JV49" s="6">
        <f>COUNTIFS(Table21[Country],Tabela1[[#This Row],[Country]],Table21[100m Butterfly Classification],"&gt;0")</f>
        <v>0</v>
      </c>
      <c r="JW49" s="6">
        <f>COUNTIFS(Table20[Country],Tabela1[[#This Row],[Country]],Table20[200m Butterfly Classification],"&gt;0")</f>
        <v>0</v>
      </c>
      <c r="JX49" s="6">
        <f>COUNTIFS(Table21[Country],Tabela1[[#This Row],[Country]],Table21[200m Butterfly Classification],"&gt;0")</f>
        <v>0</v>
      </c>
      <c r="JY49" s="6">
        <f>COUNTIFS(Table20[Country],Tabela1[[#This Row],[Country]],Table20[200m Medley Classification],"&gt;0")</f>
        <v>0</v>
      </c>
      <c r="JZ49" s="6">
        <f>COUNTIFS(Table21[Country],Tabela1[[#This Row],[Country]],Table21[200m Medley Classification],"&gt;0")</f>
        <v>0</v>
      </c>
      <c r="KA49" s="6">
        <f>COUNTIFS(Table20[Country],Tabela1[[#This Row],[Country]],Table20[400m Medley Classification],"&gt;0")</f>
        <v>0</v>
      </c>
      <c r="KB49" s="6">
        <f>COUNTIFS(Table21[Country],Tabela1[[#This Row],[Country]],Table21[400m Medley Classification],"&gt;0")</f>
        <v>0</v>
      </c>
      <c r="KC49" s="6">
        <f>COUNTIFS(Table78[Country],Tabela1[[#This Row],[Country]],Table78[Men''s 4x100m Freestyle Relay Classification],"&gt;0")</f>
        <v>0</v>
      </c>
      <c r="KD49" s="6">
        <f>COUNTIFS(Table78[Country],Tabela1[[#This Row],[Country]],Table78[Women''s 4x100m Freestyle Relay Classification],"&gt;0")</f>
        <v>0</v>
      </c>
      <c r="KE49" s="6">
        <f>COUNTIFS(Table78[Country],Tabela1[[#This Row],[Country]],Table78[Men''s 4x200m Freestyle Relay Classification],"&gt;0")</f>
        <v>0</v>
      </c>
      <c r="KF49" s="6">
        <f>COUNTIFS(Table78[Country],Tabela1[[#This Row],[Country]],Table78[Women''s 4x200m Freestyle Relay Classification],"&gt;0")</f>
        <v>0</v>
      </c>
      <c r="KG49" s="6">
        <f>COUNTIFS(Table78[Country],Tabela1[[#This Row],[Country]],Table78[Men''s 4x100m Medley Relay Classification],"&gt;0")</f>
        <v>0</v>
      </c>
      <c r="KH49" s="6">
        <f>COUNTIFS(Table78[Country],Tabela1[[#This Row],[Country]],Table78[Women''s 4x100m Medley Relay Classification],"&gt;0")</f>
        <v>0</v>
      </c>
      <c r="KI49" s="6">
        <f>COUNTIFS(Table78[Country],Tabela1[[#This Row],[Country]],Table78[Mixed 4x100m Medley Relay Classification],"&gt;0")</f>
        <v>0</v>
      </c>
      <c r="KJ49" s="6">
        <f>COUNTIFS(Table20[Country],Tabela1[[#This Row],[Country]],Table20[10km Open Water Classification],"&gt;0")</f>
        <v>0</v>
      </c>
      <c r="KK49" s="6">
        <f>COUNTIFS(Table21[Country],Tabela1[[#This Row],[Country]],Table21[10km Open Water Classification],"&gt;0")</f>
        <v>0</v>
      </c>
      <c r="KL49" s="6">
        <f>COUNTIFS(Table22[Country],Tabela1[[#This Row],[Country]],Table22[Classification],"&gt;0")</f>
        <v>0</v>
      </c>
      <c r="KM49" s="6">
        <f>COUNTIFS(Table30[Country],Tabela1[[#This Row],[Country]],Table30[Classification],"&gt;0")</f>
        <v>0</v>
      </c>
      <c r="KN49" s="6">
        <f>COUNTIFS(Table55[Country],Tabela1[[#This Row],[Country]],Table55[Men''s Classification],"&gt;0")</f>
        <v>0</v>
      </c>
      <c r="KO49" s="6">
        <f>COUNTIFS(Table55[Country],Tabela1[[#This Row],[Country]],Table55[Women''s Classification],"&gt;0")</f>
        <v>0</v>
      </c>
      <c r="KP49" s="6">
        <f>COUNTIFS(Table56[Country],Tabela1[[#This Row],[Country]],Table56[Mixed Classification],"&gt;0")</f>
        <v>0</v>
      </c>
      <c r="KQ49" s="6">
        <f>COUNTIFS(Table29[Country],Tabela1[[#This Row],[Country]],Table29[58kg Classification],"&gt;0")</f>
        <v>0</v>
      </c>
      <c r="KR49" s="6">
        <f>COUNTIFS(Table29[Country],Tabela1[[#This Row],[Country]],Table29[68kg Classification],"&gt;0")</f>
        <v>0</v>
      </c>
      <c r="KS49" s="6">
        <f>COUNTIFS(Table29[Country],Tabela1[[#This Row],[Country]],Table29[80kg Classification],"&gt;0")</f>
        <v>0</v>
      </c>
      <c r="KT49" s="6">
        <f>COUNTIFS(Table29[Country],Tabela1[[#This Row],[Country]],Table29[Plus 80kg Classification],"&gt;0")</f>
        <v>0</v>
      </c>
      <c r="KU49" s="6">
        <f>COUNTIFS(Table34[Country],Tabela1[[#This Row],[Country]],Table34[49kg Classification],"&gt;0")</f>
        <v>0</v>
      </c>
      <c r="KV49" s="6">
        <f>COUNTIFS(Table34[Country],Tabela1[[#This Row],[Country]],Table34[57kg Classification],"&gt;0")</f>
        <v>0</v>
      </c>
      <c r="KW49" s="6">
        <f>COUNTIFS(Table34[Country],Tabela1[[#This Row],[Country]],Table34[67kg Classification],"&gt;0")</f>
        <v>0</v>
      </c>
      <c r="KX49" s="6">
        <f>COUNTIFS(Table34[Country],Tabela1[[#This Row],[Country]],Table34[Plus 67kg Classification],"&gt;0")</f>
        <v>0</v>
      </c>
      <c r="KY49" s="6">
        <f>COUNTIFS(Table57[Country],Tabela1[[#This Row],[Country]],Table57[Classification],"&gt;0")</f>
        <v>0</v>
      </c>
      <c r="KZ49" s="6">
        <f>COUNTIFS(Table58[Country],Tabela1[[#This Row],[Country]],Table58[Classification],"&gt;0")</f>
        <v>1</v>
      </c>
      <c r="LA49" s="6">
        <f>COUNTIFS(Table79[Country],Tabela1[[#This Row],[Country]],Table79[Men''s Classification],"&gt;0")</f>
        <v>0</v>
      </c>
      <c r="LB49" s="6">
        <f>COUNTIFS(Table79[Country],Tabela1[[#This Row],[Country]],Table79[Women''s Classification],"&gt;0")</f>
        <v>0</v>
      </c>
      <c r="LC49" s="6">
        <f>COUNTIFS(Table79[Country],Tabela1[[#This Row],[Country]],Table79[Mixed Classification],"&gt;0")</f>
        <v>0</v>
      </c>
      <c r="LD49" s="6">
        <f>COUNTIFS(Table65[Country],Tabela1[[#This Row],[Country]],Table65[Classification],"&gt;0")</f>
        <v>0</v>
      </c>
      <c r="LE49" s="6">
        <f>COUNTIFS(Table59[Country],Tabela1[[#This Row],[Country]],Table59[Classification],"&gt;0")</f>
        <v>0</v>
      </c>
      <c r="LF49" s="6">
        <f>COUNTIFS(Table87[Country],Tabela1[[#This Row],[Country]],Table87[Mixed Relay Classification],"&gt;0")</f>
        <v>0</v>
      </c>
      <c r="LG49" s="6">
        <f>COUNTIFS(Table91949698100[Country],Tabela1[[#This Row],[Country]],Table91949698100[Men''s Classification],"&gt;0")</f>
        <v>0</v>
      </c>
      <c r="LH49" s="6">
        <f>COUNTIFS(Table91949698100[Country],Tabela1[[#This Row],[Country]],Table91949698100[Women''s Classification],"&gt;0")</f>
        <v>0</v>
      </c>
      <c r="LI49" s="6">
        <f>COUNTIFS(Table91949698100102[Country],Tabela1[[#This Row],[Country]],Table91949698100102[Men''s Classification],"&gt;0")</f>
        <v>0</v>
      </c>
      <c r="LJ49" s="6">
        <f>COUNTIFS(Table91949698100102[Country],Tabela1[[#This Row],[Country]],Table91949698100102[Women''s Classification],"&gt;0")</f>
        <v>0</v>
      </c>
      <c r="LK49" s="6">
        <f>COUNTIFS(Table23[Country],Tabela1[[#This Row],[Country]],Table23[61kg Classification],"&gt;0")</f>
        <v>0</v>
      </c>
      <c r="LL49" s="6">
        <f>COUNTIFS(Table23[Country],Tabela1[[#This Row],[Country]],Table23[73kg Classification],"&gt;0")</f>
        <v>0</v>
      </c>
      <c r="LM49" s="6">
        <f>COUNTIFS(Table23[Country],Tabela1[[#This Row],[Country]],Table23[89kg Classification],"&gt;0")</f>
        <v>0</v>
      </c>
      <c r="LN49" s="6">
        <f>COUNTIFS(Table23[Country],Tabela1[[#This Row],[Country]],Table23[102kg Classification],"&gt;0")</f>
        <v>0</v>
      </c>
      <c r="LO49" s="6">
        <f>COUNTIFS(Table23[Country],Tabela1[[#This Row],[Country]],Table23[Plus 102kg Classification],"&gt;0")</f>
        <v>0</v>
      </c>
      <c r="LP49" s="6">
        <f>COUNTIFS(Table28[Country],Tabela1[[#This Row],[Country]],Table28[49kg Classification],"&gt;0")</f>
        <v>0</v>
      </c>
      <c r="LQ49" s="6">
        <f>COUNTIFS(Table28[Country],Tabela1[[#This Row],[Country]],Table28[59kg Classification],"&gt;0")</f>
        <v>0</v>
      </c>
      <c r="LR49" s="6">
        <f>COUNTIFS(Table28[Country],Tabela1[[#This Row],[Country]],Table28[71kg Classification],"&gt;0")</f>
        <v>0</v>
      </c>
      <c r="LS49" s="6">
        <f>COUNTIFS(Table28[Country],Tabela1[[#This Row],[Country]],Table28[81kg Classification],"&gt;0")</f>
        <v>0</v>
      </c>
      <c r="LT49" s="6">
        <f>COUNTIFS(Table28[Country],Tabela1[[#This Row],[Country]],Table28[Plus 81kg Classification],"&gt;0")</f>
        <v>0</v>
      </c>
      <c r="LU49" s="6">
        <f>COUNTIFS(Table24[Country],Tabela1[[#This Row],[Country]],Table24[Freestyle 57kg Classification],"&gt;0")</f>
        <v>0</v>
      </c>
      <c r="LV49" s="6">
        <f>COUNTIFS(Table24[Country],Tabela1[[#This Row],[Country]],Table24[Freestyle 65kg Classification],"&gt;0")</f>
        <v>0</v>
      </c>
      <c r="LW49" s="6">
        <f>COUNTIFS(Table24[Country],Tabela1[[#This Row],[Country]],Table24[Freestyle 74kg Classification],"&gt;0")</f>
        <v>0</v>
      </c>
      <c r="LX49" s="6">
        <f>COUNTIFS(Table24[Country],Tabela1[[#This Row],[Country]],Table24[Freestyle 86kg Classification],"&gt;0")</f>
        <v>0</v>
      </c>
      <c r="LY49" s="6">
        <f>COUNTIFS(Table24[Country],Tabela1[[#This Row],[Country]],Table24[Freestyle 97kg Classification],"&gt;0")</f>
        <v>0</v>
      </c>
      <c r="LZ49" s="6">
        <f>COUNTIFS(Table24[Country],Tabela1[[#This Row],[Country]],Table24[Freestyle 125kg Classification],"&gt;0")</f>
        <v>0</v>
      </c>
      <c r="MA49" s="6">
        <f>COUNTIFS(Table24[Country],Tabela1[[#This Row],[Country]],Table24[Greco-Roman 60kg Classification],"&gt;0")</f>
        <v>0</v>
      </c>
      <c r="MB49" s="6">
        <f>COUNTIFS(Table24[Country],Tabela1[[#This Row],[Country]],Table24[Greco-Roman 67kg Classification],"&gt;0")</f>
        <v>0</v>
      </c>
      <c r="MC49" s="6">
        <f>COUNTIFS(Table24[Country],Tabela1[[#This Row],[Country]],Table24[Greco-Roman 77kg Classification],"&gt;0")</f>
        <v>0</v>
      </c>
      <c r="MD49" s="6">
        <f>COUNTIFS(Table24[Country],Tabela1[[#This Row],[Country]],Table24[Greco-Roman 87kg Classification],"&gt;0")</f>
        <v>0</v>
      </c>
      <c r="ME49" s="6">
        <f>COUNTIFS(Table24[Country],Tabela1[[#This Row],[Country]],Table24[Greco-Roman 97kg Classification],"&gt;0")</f>
        <v>0</v>
      </c>
      <c r="MF49" s="6">
        <f>COUNTIFS(Table24[Country],Tabela1[[#This Row],[Country]],Table24[Greco-Roman 130kg Classification],"&gt;0")</f>
        <v>0</v>
      </c>
      <c r="MG49" s="6">
        <f>COUNTIFS(Table31[Country],Tabela1[[#This Row],[Country]],Table31[50kg Classification],"&gt;0")</f>
        <v>0</v>
      </c>
      <c r="MH49" s="6">
        <f>COUNTIFS(Table31[Country],Tabela1[[#This Row],[Country]],Table31[53kg Classification],"&gt;0")</f>
        <v>0</v>
      </c>
      <c r="MI49" s="6">
        <f>COUNTIFS(Table31[Country],Tabela1[[#This Row],[Country]],Table31[57kg Classification],"&gt;0")</f>
        <v>0</v>
      </c>
      <c r="MJ49" s="6">
        <f>COUNTIFS(Table31[Country],Tabela1[[#This Row],[Country]],Table31[62kg Classification],"&gt;0")</f>
        <v>0</v>
      </c>
      <c r="MK49" s="6">
        <f>COUNTIFS(Table31[Country],Tabela1[[#This Row],[Country]],Table31[68kg Classification],"&gt;0")</f>
        <v>0</v>
      </c>
      <c r="ML49" s="6">
        <f>COUNTIFS(Table31[Country],Tabela1[[#This Row],[Country]],Table31[76kg Classification],"&gt;0")</f>
        <v>0</v>
      </c>
      <c r="MM49" s="6">
        <f>COUNTIFS(Table102[Country],Tabela1[[#This Row],[Country]],Table102[Downhill Classification],"&gt;0")</f>
        <v>0</v>
      </c>
      <c r="MN49" s="6">
        <f>COUNTIFS(Table102105[Country],Tabela1[[#This Row],[Country]],Table102105[Downhill Classification],"&gt;0")</f>
        <v>0</v>
      </c>
      <c r="MO49" s="6">
        <f>COUNTIFS(Table102[Country],Tabela1[[#This Row],[Country]],Table102[Giant Slalom Classification],"&gt;0")</f>
        <v>0</v>
      </c>
      <c r="MP49" s="6">
        <f>COUNTIFS(Table102105[Country],Tabela1[[#This Row],[Country]],Table102105[Giant Slalom Classification],"&gt;0")</f>
        <v>0</v>
      </c>
      <c r="MQ49" s="6">
        <f>COUNTIFS(Table102[Country],Tabela1[[#This Row],[Country]],Table102[Slalom Classification],"&gt;0")</f>
        <v>0</v>
      </c>
      <c r="MR49" s="6">
        <f>COUNTIFS(Table102105[Country],Tabela1[[#This Row],[Country]],Table102105[Slalom Classification],"&gt;0")</f>
        <v>0</v>
      </c>
      <c r="MS49" s="6">
        <f>COUNTIFS(Table102[Country],Tabela1[[#This Row],[Country]],Table102[Super-G Classification],"&gt;0")</f>
        <v>0</v>
      </c>
      <c r="MT49" s="6">
        <f>COUNTIFS(Table102105[Country],Tabela1[[#This Row],[Country]],Table102105[Super-G Classification],"&gt;0")</f>
        <v>0</v>
      </c>
      <c r="MU49" s="6">
        <f>COUNTIFS(Table105[Country],Tabela1[[#This Row],[Country]],Table105[Men''s Combined Classification],"&gt;0")</f>
        <v>0</v>
      </c>
      <c r="MV49" s="6">
        <f>COUNTIFS(Table105[Country],Tabela1[[#This Row],[Country]],Table105[Women''s Combined Classification],"&gt;0")</f>
        <v>0</v>
      </c>
      <c r="MW49" s="6">
        <f>COUNTIFS(Table106[Country],Tabela1[[#This Row],[Country]],Table106[Individual Classification],"&gt;0")</f>
        <v>0</v>
      </c>
      <c r="MX49" s="6">
        <f>COUNTIFS(Table106109[Country],Tabela1[[#This Row],[Country]],Table106109[Individual Classification],"&gt;0")</f>
        <v>0</v>
      </c>
      <c r="MY49" s="6">
        <f>COUNTIFS(Table106[Country],Tabela1[[#This Row],[Country]],Table106[Mass Start Classification],"&gt;0")</f>
        <v>0</v>
      </c>
      <c r="MZ49" s="6">
        <f>COUNTIFS(Table106109[Country],Tabela1[[#This Row],[Country]],Table106109[Mass Start Classification],"&gt;0")</f>
        <v>0</v>
      </c>
      <c r="NA49" s="6">
        <f>COUNTIFS(Table106[Country],Tabela1[[#This Row],[Country]],Table106[Pursuit Classification],"&gt;0")</f>
        <v>0</v>
      </c>
      <c r="NB49" s="6">
        <f>COUNTIFS(Table106109[Country],Tabela1[[#This Row],[Country]],Table106109[Pursuit Classification],"&gt;0")</f>
        <v>0</v>
      </c>
      <c r="NC49" s="6">
        <f>COUNTIFS(Table106[Country],Tabela1[[#This Row],[Country]],Table106[Sprint Classification],"&gt;0")</f>
        <v>0</v>
      </c>
      <c r="ND49" s="6">
        <f>COUNTIFS(Table106109[Country],Tabela1[[#This Row],[Country]],Table106109[Sprint Classification],"&gt;0")</f>
        <v>0</v>
      </c>
      <c r="NE49" s="6">
        <f>COUNTIFS(Table109[Country],Tabela1[[#This Row],[Country]],Table109[Men''s Relay Classification],"&gt;0")</f>
        <v>0</v>
      </c>
      <c r="NF49" s="6">
        <f>COUNTIFS(Table109[Country],Tabela1[[#This Row],[Country]],Table109[Women''s Relay Classification],"&gt;0")</f>
        <v>0</v>
      </c>
      <c r="NG49" s="6">
        <f>COUNTIFS(Table109[Country],Tabela1[[#This Row],[Country]],Table109[Mixed Relay Classification],"&gt;0")</f>
        <v>0</v>
      </c>
      <c r="NH49" s="6">
        <f>COUNTIFS(Table110[Country],Tabela1[[#This Row],[Country]],Table110[Monobob Classification],"&gt;0")</f>
        <v>0</v>
      </c>
      <c r="NI49" s="6">
        <f>COUNTIFS(Table111[Country],Tabela1[[#This Row],[Country]],Table111[Men''s Classification],"&gt;0")</f>
        <v>0</v>
      </c>
      <c r="NJ49" s="6">
        <f>COUNTIFS(Table111[Country],Tabela1[[#This Row],[Country]],Table111[Women''s Classification],"&gt;0")</f>
        <v>0</v>
      </c>
      <c r="NK49" s="6">
        <f>COUNTIFS(Table112[Country],Tabela1[[#This Row],[Country]],Table112[Men''s Four Classification],"&gt;0")</f>
        <v>0</v>
      </c>
      <c r="NL49" s="6">
        <f>COUNTIFS(Table113[Country],Tabela1[[#This Row],[Country]],Table113[Classical Classification],"&gt;0")</f>
        <v>0</v>
      </c>
      <c r="NM49" s="6">
        <f>COUNTIFS(Table113116[Country],Tabela1[[#This Row],[Country]],Table113116[Classical Classification],"&gt;0")</f>
        <v>0</v>
      </c>
      <c r="NN49" s="6">
        <f>COUNTIFS(Table113[Country],Tabela1[[#This Row],[Country]],Table113[Freestyle Classification],"&gt;0")</f>
        <v>0</v>
      </c>
      <c r="NO49" s="6">
        <f>COUNTIFS(Table113116[Country],Tabela1[[#This Row],[Country]],Table113116[Freestyle Classification],"&gt;0")</f>
        <v>0</v>
      </c>
      <c r="NP49" s="6">
        <f>COUNTIFS(Table117[Country],Tabela1[[#This Row],[Country]],Table117[Men''s Relay Classification],"&gt;0")</f>
        <v>0</v>
      </c>
      <c r="NQ49" s="6">
        <f>COUNTIFS(Table117[Country],Tabela1[[#This Row],[Country]],Table117[Women''s Relay Classification],"&gt;0")</f>
        <v>0</v>
      </c>
      <c r="NR49" s="6">
        <f>COUNTIFS(Table113[Country],Tabela1[[#This Row],[Country]],Table113[Skiathlon Classification],"&gt;0")</f>
        <v>0</v>
      </c>
      <c r="NS49" s="6">
        <f>COUNTIFS(Table113116[Country],Tabela1[[#This Row],[Country]],Table113116[Skiathlon Classification],"&gt;0")</f>
        <v>0</v>
      </c>
      <c r="NT49" s="6">
        <f>COUNTIFS(Table113[Country],Tabela1[[#This Row],[Country]],Table113[Sprint Classification],"&gt;0")</f>
        <v>0</v>
      </c>
      <c r="NU49" s="6">
        <f>COUNTIFS(Table113116[Country],Tabela1[[#This Row],[Country]],Table113116[Sprint Classification],"&gt;0")</f>
        <v>0</v>
      </c>
      <c r="NV49" s="6">
        <f>COUNTIFS(Table116[Country],Tabela1[[#This Row],[Country]],Table116[Men''s Team Sprint Classification],"&gt;0")</f>
        <v>0</v>
      </c>
      <c r="NW49" s="6">
        <f>COUNTIFS(Table116[Country],Tabela1[[#This Row],[Country]],Table116[Women''s Team Sprint Classification],"&gt;0")</f>
        <v>0</v>
      </c>
      <c r="NX49" s="6">
        <f>COUNTIFS(Table119[Country],Tabela1[[#This Row],[Country]],Table119[Men''s Classification],"&gt;0")</f>
        <v>0</v>
      </c>
      <c r="NY49" s="6">
        <f>COUNTIFS(Table119[Country],Tabela1[[#This Row],[Country]],Table119[Women''s Classification],"&gt;0")</f>
        <v>0</v>
      </c>
      <c r="NZ49" s="6">
        <f>COUNTIFS(Table118[Country],Tabela1[[#This Row],[Country]],Table118[Mixed Classification],"&gt;0")</f>
        <v>0</v>
      </c>
      <c r="OA49" s="6">
        <f>COUNTIFS(Table120[Country],Tabela1[[#This Row],[Country]],Table120[Classification],"&gt;0")</f>
        <v>0</v>
      </c>
      <c r="OB49" s="6">
        <f>COUNTIFS(Table120123[Country],Tabela1[[#This Row],[Country]],Table120123[Classification],"&gt;0")</f>
        <v>0</v>
      </c>
      <c r="OC49" s="6">
        <f>COUNTIFS(Table123[Country],Tabela1[[#This Row],[Country]],Table123[Ice Dance Classification],"&gt;0")</f>
        <v>0</v>
      </c>
      <c r="OD49" s="6">
        <f>COUNTIFS(Table123[Country],Tabela1[[#This Row],[Country]],Table123[Pair Skating Classification],"&gt;0")</f>
        <v>0</v>
      </c>
      <c r="OE49" s="6">
        <f>COUNTIFS(Table124[Country],Tabela1[[#This Row],[Country]],Table124[Mixed Classification],"&gt;0")</f>
        <v>0</v>
      </c>
      <c r="OF49" s="6">
        <f>COUNTIFS(Table125[Country],Tabela1[[#This Row],[Country]],Table125[Aerials Classification],"&gt;0")</f>
        <v>0</v>
      </c>
      <c r="OG49" s="6">
        <f>COUNTIFS(Table125128[Country],Tabela1[[#This Row],[Country]],Table125128[Aerials Classification],"&gt;0")</f>
        <v>0</v>
      </c>
      <c r="OH49" s="6">
        <f>COUNTIFS(Table128[Country],Tabela1[[#This Row],[Country]],Table128[Mixed Aerials Classification],"&gt;0")</f>
        <v>0</v>
      </c>
      <c r="OI49" s="6">
        <f>COUNTIFS(Table125[Country],Tabela1[[#This Row],[Country]],Table125[Big Air Classification],"&gt;0")</f>
        <v>0</v>
      </c>
      <c r="OJ49" s="6">
        <f>COUNTIFS(Table125128[Country],Tabela1[[#This Row],[Country]],Table125128[Big Air Classification],"&gt;0")</f>
        <v>0</v>
      </c>
      <c r="OK49" s="6">
        <f>COUNTIFS(Table125[Country],Tabela1[[#This Row],[Country]],Table125[Dual Moguls Classification],"&gt;0")</f>
        <v>0</v>
      </c>
      <c r="OL49" s="6">
        <f>COUNTIFS(Table125128[Country],Tabela1[[#This Row],[Country]],Table125128[Dual Moguls Classification],"&gt;0")</f>
        <v>0</v>
      </c>
      <c r="OM49" s="6">
        <f>COUNTIFS(Table125[Country],Tabela1[[#This Row],[Country]],Table125[Halfpipe Classification],"&gt;0")</f>
        <v>0</v>
      </c>
      <c r="ON49" s="6">
        <f>COUNTIFS(Table125128[Country],Tabela1[[#This Row],[Country]],Table125128[Halfpipe Classification],"&gt;0")</f>
        <v>0</v>
      </c>
      <c r="OO49" s="6">
        <f>COUNTIFS(Table125[Country],Tabela1[[#This Row],[Country]],Table125[Moguls Classification],"&gt;0")</f>
        <v>0</v>
      </c>
      <c r="OP49" s="6">
        <f>COUNTIFS(Table125128[Country],Tabela1[[#This Row],[Country]],Table125128[Moguls Classification],"&gt;0")</f>
        <v>0</v>
      </c>
      <c r="OQ49" s="6">
        <f>COUNTIFS(Table125[Country],Tabela1[[#This Row],[Country]],Table125[Ski Cross Classification],"&gt;0")</f>
        <v>0</v>
      </c>
      <c r="OR49" s="6">
        <f>COUNTIFS(Table125128[Country],Tabela1[[#This Row],[Country]],Table125128[Ski Cross Classification],"&gt;0")</f>
        <v>0</v>
      </c>
      <c r="OS49" s="6">
        <f>COUNTIFS(Table125[Country],Tabela1[[#This Row],[Country]],Table125[Slopestyle Classification],"&gt;0")</f>
        <v>0</v>
      </c>
      <c r="OT49" s="6">
        <f>COUNTIFS(Table125128[Country],Tabela1[[#This Row],[Country]],Table125128[Slopestyle Classification],"&gt;0")</f>
        <v>0</v>
      </c>
      <c r="OU49" s="6">
        <f>COUNTIFS(Table119131[Country],Tabela1[[#This Row],[Country]],Table119131[Men''s Classification],"&gt;0")</f>
        <v>1</v>
      </c>
      <c r="OV49" s="6">
        <f>COUNTIFS(Table119131[Country],Tabela1[[#This Row],[Country]],Table119131[Women''s Classification],"&gt;0")</f>
        <v>0</v>
      </c>
      <c r="OW49" s="6">
        <f>COUNTIFS(Table131[Country],Tabela1[[#This Row],[Country]],Table131[Classification],"&gt;0")</f>
        <v>0</v>
      </c>
      <c r="OX49" s="6">
        <f>COUNTIFS(Table131134[Country],Tabela1[[#This Row],[Country]],Table131134[Classification],"&gt;0")</f>
        <v>0</v>
      </c>
      <c r="OY49" s="6">
        <f>COUNTIFS(Table134[Country],Tabela1[[#This Row],[Country]],Table134[Men''s Classification],"&gt;0")</f>
        <v>0</v>
      </c>
      <c r="OZ49" s="6">
        <f>COUNTIFS(Table134[Country],Tabela1[[#This Row],[Country]],Table134[Women''s Classification],"&gt;0")</f>
        <v>0</v>
      </c>
      <c r="PA49" s="6">
        <f>COUNTIFS(Table135[Country],Tabela1[[#This Row],[Country]],Table135[Mixed Relay Classification],"&gt;0")</f>
        <v>0</v>
      </c>
      <c r="PB49" s="6">
        <f>COUNTIFS(Table136[Country],Tabela1[[#This Row],[Country]],Table136[Individual Classification],"&gt;0")</f>
        <v>0</v>
      </c>
      <c r="PC49" s="6">
        <f>COUNTIFS(Table136[Country],Tabela1[[#This Row],[Country]],Table136[Sprint Classification],"&gt;0")</f>
        <v>0</v>
      </c>
      <c r="PD49" s="6">
        <f>COUNTIFS(Table137[Country],Tabela1[[#This Row],[Country]],Table137[Men''s Team Sprint Large Hill Classification],"&gt;0")</f>
        <v>0</v>
      </c>
      <c r="PE49" s="6">
        <f>COUNTIFS(Table138[Country],Tabela1[[#This Row],[Country]],Table138[500m Classification],"&gt;0")</f>
        <v>0</v>
      </c>
      <c r="PF49" s="6">
        <f>COUNTIFS(Table138141[Country],Tabela1[[#This Row],[Country]],Table138141[500m Classification],"&gt;0")</f>
        <v>0</v>
      </c>
      <c r="PG49" s="6">
        <f>COUNTIFS(Table138[Country],Tabela1[[#This Row],[Country]],Table138[1000m Classification],"&gt;0")</f>
        <v>0</v>
      </c>
      <c r="PH49" s="6">
        <f>COUNTIFS(Table138141[Country],Tabela1[[#This Row],[Country]],Table138141[1000m Classification],"&gt;0")</f>
        <v>0</v>
      </c>
      <c r="PI49" s="6">
        <f>COUNTIFS(Table138[Country],Tabela1[[#This Row],[Country]],Table138[1500m Classification],"&gt;0")</f>
        <v>0</v>
      </c>
      <c r="PJ49" s="6">
        <f>COUNTIFS(Table138141[Country],Tabela1[[#This Row],[Country]],Table138141[1500m Classification],"&gt;0")</f>
        <v>0</v>
      </c>
      <c r="PK49" s="6">
        <f>COUNTIFS(Table141[Country],Tabela1[[#This Row],[Country]],Table141[Men''s 5000m Relay Classification],"&gt;0")</f>
        <v>0</v>
      </c>
      <c r="PL49" s="6">
        <f>COUNTIFS(Table141[Country],Tabela1[[#This Row],[Country]],Table141[Women''s 3000m Relay Classification],"&gt;0")</f>
        <v>0</v>
      </c>
      <c r="PM49" s="6">
        <f>COUNTIFS(Table141[Country],Tabela1[[#This Row],[Country]],Table141[Mixed 2000m Relay Classification],"&gt;0")</f>
        <v>0</v>
      </c>
      <c r="PN49" s="6">
        <f>COUNTIFS(Table142[Country],Tabela1[[#This Row],[Country]],Table142[Classification],"&gt;0")</f>
        <v>0</v>
      </c>
      <c r="PO49" s="6">
        <f>COUNTIFS(Table142145[Country],Tabela1[[#This Row],[Country]],Table142145[Classification],"&gt;0")</f>
        <v>0</v>
      </c>
      <c r="PP49" s="6">
        <f>COUNTIFS(Tabela15[Country],Tabela1[[#This Row],[Country]],Tabela15[Mixed Team Classification],"&gt;0")</f>
        <v>0</v>
      </c>
      <c r="PQ49" s="6">
        <f>COUNTIFS(Table145[Country],Tabela1[[#This Row],[Country]],Table145[Large Hill Classification],"&gt;0")</f>
        <v>0</v>
      </c>
      <c r="PR49" s="6">
        <f>COUNTIFS(Table145[Country],Tabela1[[#This Row],[Country]],Table145[Normal Hill Classification],"&gt;0")</f>
        <v>0</v>
      </c>
      <c r="PS49" s="6">
        <f>COUNTIFS(Table145148[Country],Tabela1[[#This Row],[Country]],Table145148[Large Hill Classification],"&gt;0")</f>
        <v>0</v>
      </c>
      <c r="PT49" s="6">
        <f>COUNTIFS(Table145148[Country],Tabela1[[#This Row],[Country]],Table145148[Normal Hill Classification],"&gt;0")</f>
        <v>0</v>
      </c>
      <c r="PU49" s="6">
        <f>COUNTIFS(Table148[Country],Tabela1[[#This Row],[Country]],Table148[Men''s Super Team Classification],"&gt;0")</f>
        <v>0</v>
      </c>
      <c r="PV49" s="6">
        <f>COUNTIFS(Tabela114[Country],Tabela1[[#This Row],[Country]],Tabela114[Mixed Normal Hill Classification],"&gt;0")</f>
        <v>0</v>
      </c>
      <c r="PW49" s="6">
        <f>COUNTIFS(Tabela50[Country],Tabela1[[#This Row],[Country]],Tabela50[Sprint Classification],"&gt;0")</f>
        <v>0</v>
      </c>
      <c r="PX49" s="6">
        <f>COUNTIFS(Tabela50101[Country],Tabela1[[#This Row],[Country]],Tabela50101[Sprint Classification],"&gt;0")</f>
        <v>0</v>
      </c>
      <c r="PY49" s="6">
        <f>COUNTIFS(Tabela103[Country],Tabela1[[#This Row],[Country]],Tabela103[Mixed Relay Classification],"&gt;0")</f>
        <v>0</v>
      </c>
      <c r="PZ49" s="6">
        <f>COUNTIFS(Table149[Country],Tabela1[[#This Row],[Country]],Table149[Big Air Classification],"&gt;0")</f>
        <v>0</v>
      </c>
      <c r="QA49" s="6">
        <f>COUNTIFS(Table149152[Country],Tabela1[[#This Row],[Country]],Table149152[Big Air Classification],"&gt;0")</f>
        <v>0</v>
      </c>
      <c r="QB49" s="6">
        <f>COUNTIFS(Table149[Country],Tabela1[[#This Row],[Country]],Table149[Halfpipe Classification],"&gt;0")</f>
        <v>0</v>
      </c>
      <c r="QC49" s="6">
        <f>COUNTIFS(Table149152[Country],Tabela1[[#This Row],[Country]],Table149152[Halfpipe Classification],"&gt;0")</f>
        <v>0</v>
      </c>
      <c r="QD49" s="6">
        <f>COUNTIFS(Table149[Country],Tabela1[[#This Row],[Country]],Table149[Parallel Giant Slalom Classification],"&gt;0")</f>
        <v>0</v>
      </c>
      <c r="QE49" s="6">
        <f>COUNTIFS(Table149152[Country],Tabela1[[#This Row],[Country]],Table149152[Parallel Giant Slalom Classification],"&gt;0")</f>
        <v>0</v>
      </c>
      <c r="QF49" s="6">
        <f>COUNTIFS(Table149[Country],Tabela1[[#This Row],[Country]],Table149[Slopestyle Classification],"&gt;0")</f>
        <v>0</v>
      </c>
      <c r="QG49" s="6">
        <f>COUNTIFS(Table149152[Country],Tabela1[[#This Row],[Country]],Table149152[Slopestyle Classification],"&gt;0")</f>
        <v>0</v>
      </c>
      <c r="QH49" s="6">
        <f>COUNTIFS(Table149[Country],Tabela1[[#This Row],[Country]],Table149[Snowboard Cross Classification],"&gt;0")</f>
        <v>0</v>
      </c>
      <c r="QI49" s="6">
        <f>COUNTIFS(Table149152[Country],Tabela1[[#This Row],[Country]],Table149152[Snowboard Cross Classification],"&gt;0")</f>
        <v>0</v>
      </c>
      <c r="QJ49" s="6">
        <f>COUNTIFS(Table153[Country],Tabela1[[#This Row],[Country]],Table153[Mixed Team Snowboard Cross Classification],"&gt;0")</f>
        <v>0</v>
      </c>
      <c r="QK49" s="6">
        <f>COUNTIFS(Table154[Country],Tabela1[[#This Row],[Country]],Table154[500m Classification],"&gt;0")</f>
        <v>0</v>
      </c>
      <c r="QL49" s="6">
        <f>COUNTIFS(Table154157[Country],Tabela1[[#This Row],[Country]],Table154157[500m Classification],"&gt;0")</f>
        <v>0</v>
      </c>
      <c r="QM49" s="6">
        <f>COUNTIFS(Table154[Country],Tabela1[[#This Row],[Country]],Table154[1000m Classification],"&gt;0")</f>
        <v>0</v>
      </c>
      <c r="QN49" s="6">
        <f>COUNTIFS(Table154157[Country],Tabela1[[#This Row],[Country]],Table154157[1000m Classification],"&gt;0")</f>
        <v>0</v>
      </c>
      <c r="QO49" s="6">
        <f>COUNTIFS(Table154[Country],Tabela1[[#This Row],[Country]],Table154[1500m Classification],"&gt;0")</f>
        <v>0</v>
      </c>
      <c r="QP49" s="6">
        <f>COUNTIFS(Table154157[Country],Tabela1[[#This Row],[Country]],Table154157[1500m Classification],"&gt;0")</f>
        <v>0</v>
      </c>
      <c r="QQ49" s="6">
        <f>COUNTIFS(Table154157[Country],Tabela1[[#This Row],[Country]],Table154157[3000m Classification],"&gt;0")</f>
        <v>0</v>
      </c>
      <c r="QR49" s="6">
        <f>COUNTIFS(Table154[Country],Tabela1[[#This Row],[Country]],Table154[5000m Classification],"&gt;0")</f>
        <v>0</v>
      </c>
      <c r="QS49" s="6">
        <f>COUNTIFS(Table154157[Country],Tabela1[[#This Row],[Country]],Table154157[5000m Classification],"&gt;0")</f>
        <v>0</v>
      </c>
      <c r="QT49" s="6">
        <f>COUNTIFS(Table154[Country],Tabela1[[#This Row],[Country]],Table154[10000m Classification],"&gt;0")</f>
        <v>0</v>
      </c>
      <c r="QU49" s="6">
        <f>COUNTIFS(Table154[Country],Tabela1[[#This Row],[Country]],Table154[Mass Start Classification],"&gt;0")</f>
        <v>0</v>
      </c>
      <c r="QV49" s="6">
        <f>COUNTIFS(Table154157[Country],Tabela1[[#This Row],[Country]],Table154157[Mass Start Classification],"&gt;0")</f>
        <v>0</v>
      </c>
      <c r="QW49" s="6">
        <f>COUNTIFS(Table157[Country],Tabela1[[#This Row],[Country]],Table157[Men''s Pursuit Classification],"&gt;0")</f>
        <v>0</v>
      </c>
      <c r="QX49" s="6">
        <f>COUNTIFS(Table157[Country],Tabela1[[#This Row],[Country]],Table157[Women''s Pursuit Classification],"&gt;0")</f>
        <v>0</v>
      </c>
      <c r="QY49" s="3" t="s">
        <v>415</v>
      </c>
    </row>
    <row r="50" spans="1:467" x14ac:dyDescent="0.3">
      <c r="A50" s="6">
        <v>49</v>
      </c>
      <c r="B50" s="6" t="s">
        <v>620</v>
      </c>
      <c r="C50" t="e" vm="49">
        <f>IF(ISBLANK(Tabela1[[#This Row],[Image Link]]), "", _xlfn.IMAGE(Tabela1[[#This Row],[Image Link]],1,1))</f>
        <v>#VALUE!</v>
      </c>
      <c r="D50" s="6">
        <f>SUM(Tabela1[[#This Row],[Archery - Men''s Individual Recurve]:[Speed Skating - Women''s Team Pursuit]])</f>
        <v>15</v>
      </c>
      <c r="E50" s="6">
        <f>COUNTIF(Tabela1[[#This Row],[Archery - Men''s Individual Recurve]:[Speed Skating - Women''s Team Pursuit]],"&gt;0")</f>
        <v>15</v>
      </c>
      <c r="F50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50" s="6">
        <f>SUM(Tabela1[[#This Row],[Archery - Men''s Individual Recurve]:[Wrestling - Women''s Freestyle 76kg]])</f>
        <v>12</v>
      </c>
      <c r="H50" s="6">
        <f>SUM(Tabela1[[#This Row],[Alpine Skiing - Men''s Downhill]:[Speed Skating - Women''s Team Pursuit]])</f>
        <v>3</v>
      </c>
      <c r="I50" s="6">
        <f>Tabela1[[#This Row],[Summer Gold Medals]]+Tabela1[[#This Row],[Winter Gold Medals]]</f>
        <v>0</v>
      </c>
      <c r="J50" s="6">
        <f>Tabela1[[#This Row],[Summer Silver Medals]]+Tabela1[[#This Row],[Winter Silver Medals]]</f>
        <v>2</v>
      </c>
      <c r="K50" s="6">
        <f>Tabela1[[#This Row],[Summer Bronze Medals]]+Tabela1[[#This Row],[Winter Bronze Medals]]</f>
        <v>2</v>
      </c>
      <c r="L50" s="6">
        <f>SUM(Tabela1[[#This Row],[Total Gold Medals]:[Total Bronze Medals]])</f>
        <v>4</v>
      </c>
      <c r="M50" s="6"/>
      <c r="N50" s="6">
        <v>2</v>
      </c>
      <c r="O50" s="6">
        <v>2</v>
      </c>
      <c r="P50" s="6">
        <f>SUM(Tabela1[[#This Row],[Summer Gold Medals]:[Summer Bronze Medals]])</f>
        <v>4</v>
      </c>
      <c r="Q50" s="6"/>
      <c r="R50" s="6"/>
      <c r="S50" s="6"/>
      <c r="T50" s="6">
        <f>Tabela1[[#This Row],[Winter Gold Medals]]+Tabela1[[#This Row],[Winter Silver Medals]]+Tabela1[[#This Row],[Winter Bronze Medals]]</f>
        <v>0</v>
      </c>
      <c r="U50" s="7">
        <f>Tabela1[[#This Row],[Total Medals]]/Tabela1[[#This Row],[Total Quotas]]</f>
        <v>0.26666666666666666</v>
      </c>
      <c r="V50" s="6">
        <f>COUNTIFS(Table3[Country],Tabela1[[#This Row],[Country]],Table3[Recurve Classification],"&gt;0")</f>
        <v>0</v>
      </c>
      <c r="W50" s="6">
        <f>COUNTIFS(Table33[Country],Tabela1[[#This Row],[Country]],Table33[Recurve Classification],"&gt;0")</f>
        <v>0</v>
      </c>
      <c r="X50" s="6">
        <f>COUNTIFS(Table35[Country],Tabela1[[#This Row],[Country]],Table35[Men''s Team Recurve Classification],"&gt;0")</f>
        <v>0</v>
      </c>
      <c r="Y50" s="6">
        <f>COUNTIFS(Table35[Country],Tabela1[[#This Row],[Country]],Table35[Women''s Team Recurve Classification],"&gt;0")</f>
        <v>0</v>
      </c>
      <c r="Z50" s="6">
        <f>COUNTIFS(Tabela88[Country],Tabela1[[#This Row],[Country]],Tabela88[Mixed Team Recurve Classification],"&gt;0")</f>
        <v>0</v>
      </c>
      <c r="AA50" s="6">
        <f>COUNTIFS(Table36[Country],Tabela1[[#This Row],[Country]],Table36[Classification],"&gt;0")</f>
        <v>0</v>
      </c>
      <c r="AB50" s="6">
        <f>COUNTIFS(Table37[Country],Tabela1[[#This Row],[Country]],Table37[Classification],"&gt;0")</f>
        <v>0</v>
      </c>
      <c r="AC50" s="6">
        <f>COUNTIFS(Table4[Country],Tabela1[[#This Row],[Country]],Table4[100m Classification],"&gt;0")</f>
        <v>0</v>
      </c>
      <c r="AD50" s="6">
        <f>COUNTIFS(Table5[Country],Tabela1[[#This Row],[Country]],Table5[100m Classification],"&gt;0")</f>
        <v>0</v>
      </c>
      <c r="AE50" s="6">
        <f>COUNTIFS(Table4[Country],Tabela1[[#This Row],[Country]],Table4[200m Classification],"&gt;0")</f>
        <v>0</v>
      </c>
      <c r="AF50" s="6">
        <f>COUNTIFS(Table5[Country],Tabela1[[#This Row],[Country]],Table5[200m Classification],"&gt;0")</f>
        <v>0</v>
      </c>
      <c r="AG50" s="6">
        <f>COUNTIFS(Table4[Country],Tabela1[[#This Row],[Country]],Table4[400m Classification],"&gt;0")</f>
        <v>0</v>
      </c>
      <c r="AH50" s="6">
        <f>COUNTIFS(Table5[Country],Tabela1[[#This Row],[Country]],Table5[400m Classification],"&gt;0")</f>
        <v>0</v>
      </c>
      <c r="AI50" s="6">
        <f>COUNTIFS(Table4[Country],Tabela1[[#This Row],[Country]],Table4[800m Classification],"&gt;0")</f>
        <v>0</v>
      </c>
      <c r="AJ50" s="6">
        <f>COUNTIFS(Table5[Country],Tabela1[[#This Row],[Country]],Table5[800m Classification],"&gt;0")</f>
        <v>0</v>
      </c>
      <c r="AK50" s="6">
        <f>COUNTIFS(Table4[Country],Tabela1[[#This Row],[Country]],Table4[1500m Classification],"&gt;0")</f>
        <v>0</v>
      </c>
      <c r="AL50" s="6">
        <f>COUNTIFS(Table5[Country],Tabela1[[#This Row],[Country]],Table5[1500m Classification],"&gt;0")</f>
        <v>0</v>
      </c>
      <c r="AM50" s="6">
        <f>COUNTIFS(Table4[Country],Tabela1[[#This Row],[Country]],Table4[5000m Classification],"&gt;0")</f>
        <v>0</v>
      </c>
      <c r="AN50" s="6">
        <f>COUNTIFS(Table5[Country],Tabela1[[#This Row],[Country]],Table5[5000m Classification],"&gt;0")</f>
        <v>0</v>
      </c>
      <c r="AO50" s="6">
        <f>COUNTIFS(Table4[Country],Tabela1[[#This Row],[Country]],Table4[10000m Classification],"&gt;0")</f>
        <v>0</v>
      </c>
      <c r="AP50" s="6">
        <f>COUNTIFS(Table5[Country],Tabela1[[#This Row],[Country]],Table5[10000m Classification],"&gt;0")</f>
        <v>0</v>
      </c>
      <c r="AQ50" s="6">
        <f>COUNTIFS(Table4[Country],Tabela1[[#This Row],[Country]],Table4[110m Hurdles Classification],"&gt;0")</f>
        <v>0</v>
      </c>
      <c r="AR50" s="6">
        <f>COUNTIFS(Table5[Country],Tabela1[[#This Row],[Country]],Table5[100m Hurdles Classification],"&gt;0")</f>
        <v>0</v>
      </c>
      <c r="AS50" s="6">
        <f>COUNTIFS(Table4[Country],Tabela1[[#This Row],[Country]],Table4[400m Hurdles Classification],"&gt;0")</f>
        <v>0</v>
      </c>
      <c r="AT50" s="6">
        <f>COUNTIFS(Table5[Country],Tabela1[[#This Row],[Country]],Table5[400m Hurdles Classification],"&gt;0")</f>
        <v>0</v>
      </c>
      <c r="AU50" s="6">
        <f>COUNTIFS(Table4[Country],Tabela1[[#This Row],[Country]],Table4[3000m Steeplechase Classification],"&gt;0")</f>
        <v>0</v>
      </c>
      <c r="AV50" s="6">
        <f>COUNTIFS(Table5[Country],Tabela1[[#This Row],[Country]],Table5[3000m Steeplechase Classification],"&gt;0")</f>
        <v>0</v>
      </c>
      <c r="AW50" s="6">
        <f>COUNTIFS(Table27[Country],Tabela1[[#This Row],[Country]],Table27[Men''s 4x100m Relay Classification],"&gt;0")</f>
        <v>0</v>
      </c>
      <c r="AX50" s="6">
        <f>COUNTIFS(Table27[Country],Tabela1[[#This Row],[Country]],Table27[Women''s 4x100m Relay Classification],"&gt;0")</f>
        <v>0</v>
      </c>
      <c r="AY50" s="6">
        <f>COUNTIFS(Table27[Country],Tabela1[[#This Row],[Country]],Table27[Men''s 4x400m Relay Classification],"&gt;0")</f>
        <v>0</v>
      </c>
      <c r="AZ50" s="6">
        <f>COUNTIFS(Table27[Country],Tabela1[[#This Row],[Country]],Table27[Women''s 4x400m Relay Classification],"&gt;0")</f>
        <v>0</v>
      </c>
      <c r="BA50" s="6">
        <f>COUNTIFS(Table27[Country],Tabela1[[#This Row],[Country]],Table27[Mixed 4x400m Relay Classification],"&gt;0")</f>
        <v>0</v>
      </c>
      <c r="BB50" s="6">
        <f>COUNTIFS(Table4[Country],Tabela1[[#This Row],[Country]],Table4[Marathon Classification],"&gt;0")</f>
        <v>0</v>
      </c>
      <c r="BC50" s="6">
        <f>COUNTIFS(Table5[Country],Tabela1[[#This Row],[Country]],Table5[Marathon Classification],"&gt;0")</f>
        <v>0</v>
      </c>
      <c r="BD50" s="6">
        <f>COUNTIFS(Table4[Country],Tabela1[[#This Row],[Country]],Table4[20km Race Walk Classification],"&gt;0")</f>
        <v>0</v>
      </c>
      <c r="BE50" s="6">
        <f>COUNTIFS(Table5[Country],Tabela1[[#This Row],[Country]],Table5[20km Race Walk Classification],"&gt;0")</f>
        <v>0</v>
      </c>
      <c r="BF50" s="6">
        <f>COUNTIFS(Tabela96[Country],Tabela1[[#This Row],[Country]],Tabela96[Mixed Marathon Race Walk Relay Classification],"&gt;0")</f>
        <v>0</v>
      </c>
      <c r="BG50" s="6">
        <f>COUNTIFS(Table4[Country],Tabela1[[#This Row],[Country]],Table4[Discus Throw Classification],"&gt;0")</f>
        <v>0</v>
      </c>
      <c r="BH50" s="6">
        <f>COUNTIFS(Table5[Country],Tabela1[[#This Row],[Country]],Table5[Discus Throw Classification],"&gt;0")</f>
        <v>0</v>
      </c>
      <c r="BI50" s="6">
        <f>COUNTIFS(Table4[Country],Tabela1[[#This Row],[Country]],Table4[Hammer Throw Classification],"&gt;0")</f>
        <v>0</v>
      </c>
      <c r="BJ50" s="6">
        <f>COUNTIFS(Table5[Country],Tabela1[[#This Row],[Country]],Table5[Hammer Throw Classification],"&gt;0")</f>
        <v>0</v>
      </c>
      <c r="BK50" s="6">
        <f>COUNTIFS(Table4[Country],Tabela1[[#This Row],[Country]],Table4[High Jump Classification],"&gt;0")</f>
        <v>0</v>
      </c>
      <c r="BL50" s="6">
        <f>COUNTIFS(Table5[Country],Tabela1[[#This Row],[Country]],Table5[High Jump Classification],"&gt;0")</f>
        <v>0</v>
      </c>
      <c r="BM50" s="6">
        <f>COUNTIFS(Table4[Country],Tabela1[[#This Row],[Country]],Table4[Javelin Throw Classification],"&gt;0")</f>
        <v>0</v>
      </c>
      <c r="BN50" s="6">
        <f>COUNTIFS(Table5[Country],Tabela1[[#This Row],[Country]],Table5[Javelin Throw Classification],"&gt;0")</f>
        <v>1</v>
      </c>
      <c r="BO50" s="6">
        <f>COUNTIFS(Table4[Country],Tabela1[[#This Row],[Country]],Table4[Long Jump Classification],"&gt;0")</f>
        <v>0</v>
      </c>
      <c r="BP50" s="6">
        <f>COUNTIFS(Table5[Country],Tabela1[[#This Row],[Country]],Table5[Long Jump Classification],"&gt;0")</f>
        <v>0</v>
      </c>
      <c r="BQ50" s="6">
        <f>COUNTIFS(Table4[Country],Tabela1[[#This Row],[Country]],Table4[Pole Vault Classification],"&gt;0")</f>
        <v>0</v>
      </c>
      <c r="BR50" s="6">
        <f>COUNTIFS(Table5[Country],Tabela1[[#This Row],[Country]],Table5[Pole Vault Classification],"&gt;0")</f>
        <v>0</v>
      </c>
      <c r="BS50" s="6">
        <f>COUNTIFS(Table4[Country],Tabela1[[#This Row],[Country]],Table4[Shot Put Classification],"&gt;0")</f>
        <v>0</v>
      </c>
      <c r="BT50" s="6">
        <f>COUNTIFS(Table5[Country],Tabela1[[#This Row],[Country]],Table5[Shot Put Classification],"&gt;0")</f>
        <v>0</v>
      </c>
      <c r="BU50" s="6">
        <f>COUNTIFS(Table4[Country],Tabela1[[#This Row],[Country]],Table4[Triple Jump Classification],"&gt;0")</f>
        <v>0</v>
      </c>
      <c r="BV50" s="6">
        <f>COUNTIFS(Table5[Country],Tabela1[[#This Row],[Country]],Table5[Triple Jump Classification],"&gt;0")</f>
        <v>1</v>
      </c>
      <c r="BW50" s="6">
        <f>COUNTIFS(Table4[Country],Tabela1[[#This Row],[Country]],Table4[Decathlon Classification],"&gt;0")</f>
        <v>0</v>
      </c>
      <c r="BX50" s="6">
        <f>COUNTIFS(Table5[Country],Tabela1[[#This Row],[Country]],Table5[Heptathlon Classification],"&gt;0")</f>
        <v>0</v>
      </c>
      <c r="BY50" s="6">
        <f>COUNTIFS(Table61[Country],Tabela1[[#This Row],[Country]],Table61[Classification],"&gt;0")</f>
        <v>0</v>
      </c>
      <c r="BZ50" s="6">
        <f>COUNTIFS(Table38[Country],Tabela1[[#This Row],[Country]],Table38[Classification],"&gt;0")</f>
        <v>0</v>
      </c>
      <c r="CA50" s="6">
        <f>COUNTIFS(Table39[Country],Tabela1[[#This Row],[Country]],Table39[Men''s Classification],"&gt;0")</f>
        <v>0</v>
      </c>
      <c r="CB50" s="6">
        <f>COUNTIFS(Table39[Country],Tabela1[[#This Row],[Country]],Table39[Women''s Classification],"&gt;0")</f>
        <v>0</v>
      </c>
      <c r="CC50" s="6">
        <f>COUNTIFS(Table39[Country],Tabela1[[#This Row],[Country]],Table39[Mixed Classification],"&gt;0")</f>
        <v>0</v>
      </c>
      <c r="CD50" s="6">
        <f>COUNTIFS(Table89[Country],Tabela1[[#This Row],[Country]],Table89[Men''s Classification],"&gt;0")</f>
        <v>0</v>
      </c>
      <c r="CE50" s="6">
        <f>COUNTIFS(Table89[Country],Tabela1[[#This Row],[Country]],Table89[Women''s Classification],"&gt;0")</f>
        <v>0</v>
      </c>
      <c r="CF50" s="6">
        <f>COUNTIFS(Table90[Country],Tabela1[[#This Row],[Country]],Table90[Men''s Classification],"&gt;0")</f>
        <v>0</v>
      </c>
      <c r="CG50" s="6">
        <f>COUNTIFS(Table90[Country],Tabela1[[#This Row],[Country]],Table90[Women''s Classification],"&gt;0")</f>
        <v>0</v>
      </c>
      <c r="CH50" s="6">
        <f>COUNTIFS(Table60[Country],Tabela1[[#This Row],[Country]],Table60[Men''s Classification],"&gt;0")</f>
        <v>0</v>
      </c>
      <c r="CI50" s="6">
        <f>COUNTIFS(Table60[Country],Tabela1[[#This Row],[Country]],Table60[Women''s Classification],"&gt;0")</f>
        <v>0</v>
      </c>
      <c r="CJ50" s="6">
        <f>COUNTIFS(Table6[Country],Tabela1[[#This Row],[Country]],Table6[51kg Classification],"&gt;0")</f>
        <v>0</v>
      </c>
      <c r="CK50" s="6">
        <f>COUNTIFS(Table6[Country],Tabela1[[#This Row],[Country]],Table6[57kg Classification],"&gt;0")</f>
        <v>0</v>
      </c>
      <c r="CL50" s="6">
        <f>COUNTIFS(Table6[Country],Tabela1[[#This Row],[Country]],Table6[63.5kg Classification],"&gt;0")</f>
        <v>0</v>
      </c>
      <c r="CM50" s="6">
        <f>COUNTIFS(Table6[Country],Tabela1[[#This Row],[Country]],Table6[71kg Classification],"&gt;0")</f>
        <v>0</v>
      </c>
      <c r="CN50" s="6">
        <f>COUNTIFS(Table6[Country],Tabela1[[#This Row],[Country]],Table6[80kg Classification],"&gt;0")</f>
        <v>0</v>
      </c>
      <c r="CO50" s="6">
        <f>COUNTIFS(Table6[Country],Tabela1[[#This Row],[Country]],Table6[92kg Classification],"&gt;0")</f>
        <v>0</v>
      </c>
      <c r="CP50" s="6">
        <f>COUNTIFS(Table6[Country],Tabela1[[#This Row],[Country]],Table6[Plus 92kg Classification],"&gt;0")</f>
        <v>0</v>
      </c>
      <c r="CQ50" s="6">
        <f>COUNTIFS(Table7[Country],Tabela1[[#This Row],[Country]],Table7[50kg Classification],"&gt;0")</f>
        <v>0</v>
      </c>
      <c r="CR50" s="6">
        <f>COUNTIFS(Table7[Country],Tabela1[[#This Row],[Country]],Table7[54kg Classification],"&gt;0")</f>
        <v>0</v>
      </c>
      <c r="CS50" s="6">
        <f>COUNTIFS(Table7[Country],Tabela1[[#This Row],[Country]],Table7[57kg Classification],"&gt;0")</f>
        <v>0</v>
      </c>
      <c r="CT50" s="6">
        <f>COUNTIFS(Table7[Country],Tabela1[[#This Row],[Country]],Table7[60kg Classification],"&gt;0")</f>
        <v>0</v>
      </c>
      <c r="CU50" s="6">
        <f>COUNTIFS(Table7[Country],Tabela1[[#This Row],[Country]],Table7[66kg Classification],"&gt;0")</f>
        <v>0</v>
      </c>
      <c r="CV50" s="6">
        <f>COUNTIFS(Table7[Country],Tabela1[[#This Row],[Country]],Table7[75kg Classification],"&gt;0")</f>
        <v>0</v>
      </c>
      <c r="CW50" s="6">
        <f>COUNTIFS(Tabela94[Country],Tabela1[[#This Row],[Country]],Tabela94[Classification],"&gt;0")</f>
        <v>0</v>
      </c>
      <c r="CX50" s="6">
        <f>COUNTIFS(Tabela9499[Country],Tabela1[[#This Row],[Country]],Tabela9499[Classification],"&gt;0")</f>
        <v>0</v>
      </c>
      <c r="CY50" s="6">
        <f>COUNTIFS(Tabela107[Country],Tabela1[[#This Row],[Country]],Tabela107[C1 Slalom Classification],"&gt;0")</f>
        <v>0</v>
      </c>
      <c r="CZ50" s="6">
        <f>COUNTIFS(Tabela107122[Country],Tabela1[[#This Row],[Country]],Tabela107122[C1 Slalom Classification],"&gt;0")</f>
        <v>0</v>
      </c>
      <c r="DA50" s="6">
        <f>COUNTIFS(Tabela107[Country],Tabela1[[#This Row],[Country]],Tabela107[K1 Slalom Classification],"&gt;0")</f>
        <v>0</v>
      </c>
      <c r="DB50" s="6">
        <f>COUNTIFS(Tabela107122[Country],Tabela1[[#This Row],[Country]],Tabela107122[K1 Slalom Classification],"&gt;0")</f>
        <v>0</v>
      </c>
      <c r="DC50" s="6">
        <f>COUNTIFS(Tabela107[Country],Tabela1[[#This Row],[Country]],Tabela107[Kayak Cross Slalom Classification],"&gt;0")</f>
        <v>0</v>
      </c>
      <c r="DD50" s="6">
        <f>COUNTIFS(Tabela107122[Country],Tabela1[[#This Row],[Country]],Tabela107122[Kayak Cross Slalom Classification],"&gt;0")</f>
        <v>0</v>
      </c>
      <c r="DE50" s="6">
        <f>COUNTIFS(Table8[Country],Tabela1[[#This Row],[Country]],Table8[C1 200m Classification],"&gt;0")</f>
        <v>0</v>
      </c>
      <c r="DF50" s="6">
        <f>COUNTIFS(Table40[Country],Tabela1[[#This Row],[Country]],Table40[C1 1000m Classification],"&gt;0")</f>
        <v>0</v>
      </c>
      <c r="DG50" s="6">
        <f>COUNTIFS(Table68[Country],Tabela1[[#This Row],[Country]],Table68[Men''s C2 500m Classification],"&gt;0")</f>
        <v>0</v>
      </c>
      <c r="DH50" s="6">
        <f>COUNTIFS(Table68[Country],Tabela1[[#This Row],[Country]],Table68[Women''s C2 500m Classification],"&gt;0")</f>
        <v>0</v>
      </c>
      <c r="DI50" s="6">
        <f>COUNTIFS(Table8[Country],Tabela1[[#This Row],[Country]],Table8[K1 500m Classification],"&gt;0")</f>
        <v>0</v>
      </c>
      <c r="DJ50" s="6">
        <f>COUNTIFS(Table40[Country],Tabela1[[#This Row],[Country]],Table40[K1 1000m Classification],"&gt;0")</f>
        <v>0</v>
      </c>
      <c r="DK50" s="6">
        <f>COUNTIFS(Table68[Country],Tabela1[[#This Row],[Country]],Table68[Men''s K2 500m Classification],"&gt;0")</f>
        <v>0</v>
      </c>
      <c r="DL50" s="6">
        <f>COUNTIFS(Table68[Country],Tabela1[[#This Row],[Country]],Table68[Women''s K2 500m Classification],"&gt;0")</f>
        <v>0</v>
      </c>
      <c r="DM50" s="6">
        <f>COUNTIFS(Table83[Country],Tabela1[[#This Row],[Country]],Table83[Men''s K4 500m Classification],"&gt;0")</f>
        <v>0</v>
      </c>
      <c r="DN50" s="6">
        <f>COUNTIFS(Table83[Country],Tabela1[[#This Row],[Country]],Table83[Women''s K4 500m Classification],"&gt;0")</f>
        <v>0</v>
      </c>
      <c r="DO50" s="6">
        <f>COUNTIFS(Tabela126[Country],Tabela1[[#This Row],[Country]],Tabela126[Classification],"&gt;0")</f>
        <v>0</v>
      </c>
      <c r="DP50" s="6">
        <f>COUNTIFS(Tabela126130[Country],Tabela1[[#This Row],[Country]],Tabela126130[Classification],"&gt;0")</f>
        <v>0</v>
      </c>
      <c r="DQ50" s="6">
        <f>COUNTIFS(Table70[Country],Tabela1[[#This Row],[Country]],Table70[Classification],"&gt;0")</f>
        <v>0</v>
      </c>
      <c r="DR50" s="6">
        <f>COUNTIFS(Table80[Country],Tabela1[[#This Row],[Country]],Table80[Classification],"&gt;0")</f>
        <v>0</v>
      </c>
      <c r="DS50" s="6">
        <f>COUNTIFS(Table66[Country],Tabela1[[#This Row],[Country]],Table66[Classification],"&gt;0")</f>
        <v>0</v>
      </c>
      <c r="DT50" s="6">
        <f>COUNTIFS(Table67[Country],Tabela1[[#This Row],[Country]],Table67[Classification],"&gt;0")</f>
        <v>0</v>
      </c>
      <c r="DU50" s="6">
        <f>COUNTIFS(Table69[Country],Tabela1[[#This Row],[Country]],Table69[Keirin Classification],"&gt;0")</f>
        <v>1</v>
      </c>
      <c r="DV50" s="6">
        <f>COUNTIFS(Table41[Country],Tabela1[[#This Row],[Country]],Table41[Keirin Classification],"&gt;0")</f>
        <v>0</v>
      </c>
      <c r="DW50" s="6">
        <f>COUNTIFS(Table84[Country],Tabela1[[#This Row],[Country]],Table84[Men''s Madison Classification],"&gt;0")</f>
        <v>0</v>
      </c>
      <c r="DX50" s="6">
        <f>COUNTIFS(Table84[Country],Tabela1[[#This Row],[Country]],Table84[Women''s Madison Classification],"&gt;0")</f>
        <v>0</v>
      </c>
      <c r="DY50" s="6">
        <f>COUNTIFS(Table69[Country],Tabela1[[#This Row],[Country]],Table69[Omnium Classification],"&gt;0")</f>
        <v>0</v>
      </c>
      <c r="DZ50" s="6">
        <f>COUNTIFS(Table41[Country],Tabela1[[#This Row],[Country]],Table41[Omnium Classification],"&gt;0")</f>
        <v>1</v>
      </c>
      <c r="EA50" s="6">
        <f>COUNTIFS(Table9[Country],Tabela1[[#This Row],[Country]],Table9[Road Race Classification],"&gt;0")</f>
        <v>0</v>
      </c>
      <c r="EB50" s="6">
        <f>COUNTIFS(Table14[Country],Tabela1[[#This Row],[Country]],Table14[Road Race Classification],"&gt;0")</f>
        <v>0</v>
      </c>
      <c r="EC50" s="6">
        <f>COUNTIFS(Table69[Country],Tabela1[[#This Row],[Country]],Table69[Sprint Classification],"&gt;0")</f>
        <v>1</v>
      </c>
      <c r="ED50" s="6">
        <f>COUNTIFS(Table41[Country],Tabela1[[#This Row],[Country]],Table41[Sprint Classification],"&gt;0")</f>
        <v>0</v>
      </c>
      <c r="EE50" s="6">
        <f>COUNTIFS(Table85[Country],Tabela1[[#This Row],[Country]],Table85[Men''s Sprint Classification],"&gt;0")</f>
        <v>0</v>
      </c>
      <c r="EF50" s="6">
        <f>COUNTIFS(Table85[Country],Tabela1[[#This Row],[Country]],Table85[Women''s Sprint Classification],"&gt;0")</f>
        <v>0</v>
      </c>
      <c r="EG50" s="6">
        <f>COUNTIFS(Table85[Country],Tabela1[[#This Row],[Country]],Table85[Men''s Pursuit Classification],"&gt;0")</f>
        <v>0</v>
      </c>
      <c r="EH50" s="6">
        <f>COUNTIFS(Table85[Country],Tabela1[[#This Row],[Country]],Table85[Women''s Pursuit Classification],"&gt;0")</f>
        <v>0</v>
      </c>
      <c r="EI50" s="6">
        <f>COUNTIFS(Table9[Country],Tabela1[[#This Row],[Country]],Table9[Time-Trial Classification],"&gt;0")</f>
        <v>0</v>
      </c>
      <c r="EJ50" s="6">
        <f>COUNTIFS(Table14[Country],Tabela1[[#This Row],[Country]],Table14[Time-Trial Classification],"&gt;0")</f>
        <v>0</v>
      </c>
      <c r="EK50" s="6">
        <f>COUNTIFS(Table42[Country],Tabela1[[#This Row],[Country]],Table42[Springboard Classification],"&gt;0")</f>
        <v>0</v>
      </c>
      <c r="EL50" s="6">
        <f>COUNTIFS(Table43[Country],Tabela1[[#This Row],[Country]],Table43[Springboard Classification],"&gt;0")</f>
        <v>0</v>
      </c>
      <c r="EM50" s="6">
        <f>COUNTIFS(Table42[Country],Tabela1[[#This Row],[Country]],Table42[Platform Classification],"&gt;0")</f>
        <v>0</v>
      </c>
      <c r="EN50" s="6">
        <f>COUNTIFS(Table43[Country],Tabela1[[#This Row],[Country]],Table43[Platform Classification],"&gt;0")</f>
        <v>0</v>
      </c>
      <c r="EO50" s="6">
        <f>COUNTIFS(Table86[Country],Tabela1[[#This Row],[Country]],Table86[Men''s Synchronized Springboard Classification],"&gt;0")</f>
        <v>0</v>
      </c>
      <c r="EP50" s="6">
        <f>COUNTIFS(Table86[Country],Tabela1[[#This Row],[Country]],Table86[Women''s Synchronized Springboard Classification],"&gt;0")</f>
        <v>0</v>
      </c>
      <c r="EQ50" s="6">
        <f>COUNTIFS(Table86[Country],Tabela1[[#This Row],[Country]],Table86[Men''s Synchronized Platform Classification],"&gt;0")</f>
        <v>0</v>
      </c>
      <c r="ER50" s="6">
        <f>COUNTIFS(Table86[Country],Tabela1[[#This Row],[Country]],Table86[Women''s Synchronized Platform Classification],"&gt;0")</f>
        <v>0</v>
      </c>
      <c r="ES50" s="6">
        <f>COUNTIFS(Table44[Country],Tabela1[[#This Row],[Country]],Table44[Dressage Classification],"&gt;0")</f>
        <v>0</v>
      </c>
      <c r="ET50" s="6">
        <f>COUNTIFS(Table45[Country],Tabela1[[#This Row],[Country]],Table45[Dressage Classification],"&gt;0")</f>
        <v>0</v>
      </c>
      <c r="EU50" s="6">
        <f>COUNTIFS(Table44[Country],Tabela1[[#This Row],[Country]],Table44[Eventing Classification],"&gt;0")</f>
        <v>0</v>
      </c>
      <c r="EV50" s="6">
        <f>COUNTIFS(Table45[Country],Tabela1[[#This Row],[Country]],Table45[Eventing Classification],"&gt;0")</f>
        <v>0</v>
      </c>
      <c r="EW50" s="6">
        <f>COUNTIFS(Table44[Country],Tabela1[[#This Row],[Country]],Table44[Jumping Classification],"&gt;0")</f>
        <v>0</v>
      </c>
      <c r="EX50" s="6">
        <f>COUNTIFS(Table45[Country],Tabela1[[#This Row],[Country]],Table45[Jumping Classification],"&gt;0")</f>
        <v>0</v>
      </c>
      <c r="EY50" s="6">
        <f>COUNTIFS(Table10[Country],Tabela1[[#This Row],[Country]],Table10[Épée Classification],"&gt;0")</f>
        <v>0</v>
      </c>
      <c r="EZ50" s="6">
        <f>COUNTIFS(Table11[Country],Tabela1[[#This Row],[Country]],Table11[Épée Classification],"&gt;0")</f>
        <v>0</v>
      </c>
      <c r="FA50" s="6">
        <f>COUNTIFS(Table46[Country],Tabela1[[#This Row],[Country]],Table46[Men''s Épée Classification],"&gt;0")</f>
        <v>0</v>
      </c>
      <c r="FB50" s="6">
        <f>COUNTIFS(Table46[Country],Tabela1[[#This Row],[Country]],Table46[Women''s Épée Classification],"&gt;0")</f>
        <v>0</v>
      </c>
      <c r="FC50" s="6">
        <f>COUNTIFS(Table10[Country],Tabela1[[#This Row],[Country]],Table10[Foil Classification],"&gt;0")</f>
        <v>0</v>
      </c>
      <c r="FD50" s="6">
        <f>COUNTIFS(Table11[Country],Tabela1[[#This Row],[Country]],Table11[Foil Classification],"&gt;0")</f>
        <v>0</v>
      </c>
      <c r="FE50" s="6">
        <f>COUNTIFS(Table46[Country],Tabela1[[#This Row],[Country]],Table46[Men''s Foil Classification],"&gt;0")</f>
        <v>0</v>
      </c>
      <c r="FF50" s="6">
        <f>COUNTIFS(Table46[Country],Tabela1[[#This Row],[Country]],Table46[Women''s Foil Classification],"&gt;0")</f>
        <v>0</v>
      </c>
      <c r="FG50" s="6">
        <f>COUNTIFS(Table10[Country],Tabela1[[#This Row],[Country]],Table10[Sabre Classification],"&gt;0")</f>
        <v>0</v>
      </c>
      <c r="FH50" s="6">
        <f>COUNTIFS(Table11[Country],Tabela1[[#This Row],[Country]],Table11[Sabre Classification],"&gt;0")</f>
        <v>0</v>
      </c>
      <c r="FI50" s="6">
        <f>COUNTIFS(Table46[Country],Tabela1[[#This Row],[Country]],Table46[Men''s Sabre Classification],"&gt;0")</f>
        <v>0</v>
      </c>
      <c r="FJ50" s="6">
        <f>COUNTIFS(Table46[Country],Tabela1[[#This Row],[Country]],Table46[Women''s Sabre Classification],"&gt;0")</f>
        <v>0</v>
      </c>
      <c r="FK50" s="6">
        <f>COUNTIFS(Table91[Country],Tabela1[[#This Row],[Country]],Table91[Men''s Classification],"&gt;0")</f>
        <v>0</v>
      </c>
      <c r="FL50" s="6">
        <f>COUNTIFS(Table91[Country],Tabela1[[#This Row],[Country]],Table91[Women''s Classification],"&gt;0")</f>
        <v>0</v>
      </c>
      <c r="FM50" s="6">
        <f>COUNTIFS(Table9194[Country],Tabela1[[#This Row],[Country]],Table9194[Men''s Classification],"&gt;0")</f>
        <v>0</v>
      </c>
      <c r="FN50" s="6">
        <f>COUNTIFS(Table9194[Country],Tabela1[[#This Row],[Country]],Table9194[Women''s Classification],"&gt;0")</f>
        <v>0</v>
      </c>
      <c r="FO50" s="6">
        <f>COUNTIFS(Table71[Country],Tabela1[[#This Row],[Country]],Table71[Classification],"&gt;0")</f>
        <v>0</v>
      </c>
      <c r="FP50" s="6">
        <f>COUNTIFS(Table62[Country],Tabela1[[#This Row],[Country]],Table62[Classification],"&gt;0")</f>
        <v>0</v>
      </c>
      <c r="FQ50" s="6">
        <f>COUNTIFS(Table47[Country],Tabela1[[#This Row],[Country]],Table47[All-Around Classification],"&gt;0")</f>
        <v>0</v>
      </c>
      <c r="FR50" s="6">
        <f>COUNTIFS(Table48[Country],Tabela1[[#This Row],[Country]],Table48[All-Around Classification],"&gt;0")</f>
        <v>0</v>
      </c>
      <c r="FS50" s="6">
        <f>COUNTIFS(Table81[Country],Tabela1[[#This Row],[Country]],Table81[Men''s All-Around Classification],"&gt;0")</f>
        <v>0</v>
      </c>
      <c r="FT50" s="6">
        <f>COUNTIFS(Table81[Country],Tabela1[[#This Row],[Country]],Table81[Women''s All-Around Classification],"&gt;0")</f>
        <v>0</v>
      </c>
      <c r="FU50" s="6">
        <f>COUNTIFS(Table48[Country],Tabela1[[#This Row],[Country]],Table48[Balance Beam Classification],"&gt;0")</f>
        <v>0</v>
      </c>
      <c r="FV50" s="6">
        <f>COUNTIFS(Table47[Country],Tabela1[[#This Row],[Country]],Table47[Floor Exercise Classification],"&gt;0")</f>
        <v>0</v>
      </c>
      <c r="FW50" s="6">
        <f>COUNTIFS(Table48[Country],Tabela1[[#This Row],[Country]],Table48[Floor Exercise Classification],"&gt;0")</f>
        <v>0</v>
      </c>
      <c r="FX50" s="6">
        <f>COUNTIFS(Table47[Country],Tabela1[[#This Row],[Country]],Table47[Horizontal Bar Classification],"&gt;0")</f>
        <v>0</v>
      </c>
      <c r="FY50" s="6">
        <f>COUNTIFS(Table47[Country],Tabela1[[#This Row],[Country]],Table47[Parallel Bars Classification],"&gt;0")</f>
        <v>0</v>
      </c>
      <c r="FZ50" s="6">
        <f>COUNTIFS(Table47[Country],Tabela1[[#This Row],[Country]],Table47[Pommel Horse Classification],"&gt;0")</f>
        <v>0</v>
      </c>
      <c r="GA50" s="6">
        <f>COUNTIFS(Table47[Country],Tabela1[[#This Row],[Country]],Table47[Rings Classification],"&gt;0")</f>
        <v>0</v>
      </c>
      <c r="GB50" s="6">
        <f>COUNTIFS(Tabela132[Country],Tabela1[[#This Row],[Country]],Tabela132[Classification],"&gt;0")</f>
        <v>0</v>
      </c>
      <c r="GC50" s="6">
        <f>COUNTIFS(Tabela139[Country],Tabela1[[#This Row],[Country]],Tabela139[Classification],"&gt;0")</f>
        <v>0</v>
      </c>
      <c r="GD50" s="6">
        <f>COUNTIFS(Table48[Country],Tabela1[[#This Row],[Country]],Table48[Uneven Bars Classification],"&gt;0")</f>
        <v>0</v>
      </c>
      <c r="GE50" s="6">
        <f>COUNTIFS(Table47[Country],Tabela1[[#This Row],[Country]],Table47[Vault Classification],"&gt;0")</f>
        <v>0</v>
      </c>
      <c r="GF50" s="6">
        <f>COUNTIFS(Table48[Country],Tabela1[[#This Row],[Country]],Table48[Vault Classification],"&gt;0")</f>
        <v>0</v>
      </c>
      <c r="GG50" s="6">
        <f>COUNTIFS(Table919496[Country],Tabela1[[#This Row],[Country]],Table919496[Men''s Classification],"&gt;0")</f>
        <v>0</v>
      </c>
      <c r="GH50" s="6">
        <f>COUNTIFS(Table919496[Country],Tabela1[[#This Row],[Country]],Table919496[Women''s Classification],"&gt;0")</f>
        <v>0</v>
      </c>
      <c r="GI50" s="6">
        <f>COUNTIFS(Table12[Country],Tabela1[[#This Row],[Country]],Table12[60kg Classification],"&gt;0")</f>
        <v>0</v>
      </c>
      <c r="GJ50" s="6">
        <f>COUNTIFS(Table12[Country],Tabela1[[#This Row],[Country]],Table12[66kg Classification],"&gt;0")</f>
        <v>0</v>
      </c>
      <c r="GK50" s="6">
        <f>COUNTIFS(Table12[Country],Tabela1[[#This Row],[Country]],Table12[73kg Classification],"&gt;0")</f>
        <v>0</v>
      </c>
      <c r="GL50" s="6">
        <f>COUNTIFS(Table12[Country],Tabela1[[#This Row],[Country]],Table12[81kg Classification],"&gt;0")</f>
        <v>0</v>
      </c>
      <c r="GM50" s="6">
        <f>COUNTIFS(Table12[Country],Tabela1[[#This Row],[Country]],Table12[90kg Classification],"&gt;0")</f>
        <v>0</v>
      </c>
      <c r="GN50" s="6">
        <f>COUNTIFS(Table12[Country],Tabela1[[#This Row],[Country]],Table12[100kg Classification],"&gt;0")</f>
        <v>0</v>
      </c>
      <c r="GO50" s="6">
        <f>COUNTIFS(Table12[Country],Tabela1[[#This Row],[Country]],Table12[Plus 100kg Classification],"&gt;0")</f>
        <v>0</v>
      </c>
      <c r="GP50" s="6">
        <f>COUNTIFS(Table13[Country],Tabela1[[#This Row],[Country]],Table13[48kg Classification],"&gt;0")</f>
        <v>0</v>
      </c>
      <c r="GQ50" s="6">
        <f>COUNTIFS(Table13[Country],Tabela1[[#This Row],[Country]],Table13[52kg Classification],"&gt;0")</f>
        <v>0</v>
      </c>
      <c r="GR50" s="6">
        <f>COUNTIFS(Table13[Country],Tabela1[[#This Row],[Country]],Table13[57kg Classification],"&gt;0")</f>
        <v>0</v>
      </c>
      <c r="GS50" s="6">
        <f>COUNTIFS(Table13[Country],Tabela1[[#This Row],[Country]],Table13[63kg Classification],"&gt;0")</f>
        <v>0</v>
      </c>
      <c r="GT50" s="6">
        <f>COUNTIFS(Table13[Country],Tabela1[[#This Row],[Country]],Table13[70kg Classification],"&gt;0")</f>
        <v>0</v>
      </c>
      <c r="GU50" s="6">
        <f>COUNTIFS(Table13[Country],Tabela1[[#This Row],[Country]],Table13[78kg Classification],"&gt;0")</f>
        <v>0</v>
      </c>
      <c r="GV50" s="6">
        <f>COUNTIFS(Table13[Country],Tabela1[[#This Row],[Country]],Table13[Plus 78kg Classification],"&gt;0")</f>
        <v>0</v>
      </c>
      <c r="GW50" s="6">
        <f>COUNTIFS(Table82[Country],Tabela1[[#This Row],[Country]],Table82[Mixed Classification],"&gt;0")</f>
        <v>0</v>
      </c>
      <c r="GX50" s="6">
        <f>COUNTIFS(Table51[Country],Tabela1[[#This Row],[Country]],Table51[Classification],"&gt;0")</f>
        <v>0</v>
      </c>
      <c r="GY50" s="6">
        <f>COUNTIFS(Table52[Country],Tabela1[[#This Row],[Country]],Table52[Classification],"&gt;0")</f>
        <v>1</v>
      </c>
      <c r="GZ50" s="6">
        <f>COUNTIFS(Table32[Country],Tabela1[[#This Row],[Country]],Table32[All-Around Classification],"&gt;0")</f>
        <v>0</v>
      </c>
      <c r="HA50" s="6">
        <f>COUNTIFS(Table49[Country],Tabela1[[#This Row],[Country]],Table49[All-Around Classification],"&gt;0")</f>
        <v>0</v>
      </c>
      <c r="HB50" s="6">
        <f>COUNTIFS(Table26[Country],Tabela1[[#This Row],[Country]],Table26[Single Sculls Classification],"&gt;0")</f>
        <v>0</v>
      </c>
      <c r="HC50" s="6">
        <f>COUNTIFS(Table63[Country],Tabela1[[#This Row],[Country]],Table63[Single Sculls Classification],"&gt;0")</f>
        <v>0</v>
      </c>
      <c r="HD50" s="6">
        <f>COUNTIFS(Table16[Country],Tabela1[[#This Row],[Country]],Table16[Men''s Double Sculls Classification],"&gt;0")</f>
        <v>0</v>
      </c>
      <c r="HE50" s="6">
        <f>COUNTIFS(Table16[Country],Tabela1[[#This Row],[Country]],Table16[Women''s Double Sculls Classification],"&gt;0")</f>
        <v>0</v>
      </c>
      <c r="HF50" s="6">
        <f>COUNTIFS(Table72[Country],Tabela1[[#This Row],[Country]],Table72[Men''s Quadruple Sculls Classification],"&gt;0")</f>
        <v>0</v>
      </c>
      <c r="HG50" s="6">
        <f>COUNTIFS(Table72[Country],Tabela1[[#This Row],[Country]],Table72[Women''s Quadruple Sculls Classification],"&gt;0")</f>
        <v>0</v>
      </c>
      <c r="HH50" s="6">
        <f>COUNTIFS(Table16[Country],Tabela1[[#This Row],[Country]],Table16[Men''s Coxless Pairs Classification],"&gt;0")</f>
        <v>0</v>
      </c>
      <c r="HI50" s="6">
        <f>COUNTIFS(Table16[Country],Tabela1[[#This Row],[Country]],Table16[Women''s Coxless Pairs Classification],"&gt;0")</f>
        <v>0</v>
      </c>
      <c r="HJ50" s="6">
        <f>COUNTIFS(Table72[Country],Tabela1[[#This Row],[Country]],Table72[Men''s Coxless Fours Classification],"&gt;0")</f>
        <v>0</v>
      </c>
      <c r="HK50" s="6">
        <f>COUNTIFS(Table72[Country],Tabela1[[#This Row],[Country]],Table72[Women''s Coxless Fours Classification],"&gt;0")</f>
        <v>0</v>
      </c>
      <c r="HL50" s="6">
        <f>COUNTIFS(Table72[Country],Tabela1[[#This Row],[Country]],Table72[Men''s Eights Classification],"&gt;0")</f>
        <v>0</v>
      </c>
      <c r="HM50" s="6">
        <f>COUNTIFS(Table72[Country],Tabela1[[#This Row],[Country]],Table72[Women''s Eights Classification],"&gt;0")</f>
        <v>0</v>
      </c>
      <c r="HN50" s="6">
        <f>COUNTIFS(Table16[Country],Tabela1[[#This Row],[Country]],Table16[Men''s Lwt. Double Sculls Classification],"&gt;0")</f>
        <v>0</v>
      </c>
      <c r="HO50" s="6">
        <f>COUNTIFS(Table16[Country],Tabela1[[#This Row],[Country]],Table16[Women''s Lwt. Double Sculls Classification],"&gt;0")</f>
        <v>0</v>
      </c>
      <c r="HP50" s="6">
        <f>COUNTIFS(Table91949698[Country],Tabela1[[#This Row],[Country]],Table91949698[Men''s Classification],"&gt;0")</f>
        <v>0</v>
      </c>
      <c r="HQ50" s="6">
        <f>COUNTIFS(Table91949698[Country],Tabela1[[#This Row],[Country]],Table91949698[Women''s Classification],"&gt;0")</f>
        <v>0</v>
      </c>
      <c r="HR50" s="6">
        <f>COUNTIFS(Table25[Country],Tabela1[[#This Row],[Country]],Table25[Mixed 470 Classification],"&gt;0")</f>
        <v>0</v>
      </c>
      <c r="HS50" s="6">
        <f>COUNTIFS(Table25[Country],Tabela1[[#This Row],[Country]],Table25[Men''s 49er Classification],"&gt;0")</f>
        <v>0</v>
      </c>
      <c r="HT50" s="6">
        <f>COUNTIFS(Table25[Country],Tabela1[[#This Row],[Country]],Table25[Women''s 49er FX Classification],"&gt;0")</f>
        <v>0</v>
      </c>
      <c r="HU50" s="6">
        <f>COUNTIFS(Table17[Country],Tabela1[[#This Row],[Country]],Table17[Formula Kite Classification],"&gt;0")</f>
        <v>0</v>
      </c>
      <c r="HV50" s="6">
        <f>COUNTIFS(Table18[Country],Tabela1[[#This Row],[Country]],Table18[Formula Kite Classification],"&gt;0")</f>
        <v>0</v>
      </c>
      <c r="HW50" s="6">
        <f>COUNTIFS(Table17[Country],Tabela1[[#This Row],[Country]],Table17[ILCA 7 Classification],"&gt;0")</f>
        <v>0</v>
      </c>
      <c r="HX50" s="6">
        <f>COUNTIFS(Table18[Country],Tabela1[[#This Row],[Country]],Table18[ILCA 6 Classification],"&gt;0")</f>
        <v>0</v>
      </c>
      <c r="HY50" s="6">
        <f>COUNTIFS(Table17[Country],Tabela1[[#This Row],[Country]],Table17[IQFoil Classification],"&gt;0")</f>
        <v>0</v>
      </c>
      <c r="HZ50" s="6">
        <f>COUNTIFS(Table18[Country],Tabela1[[#This Row],[Country]],Table18[IQFoil Classification],"&gt;0")</f>
        <v>0</v>
      </c>
      <c r="IA50" s="6">
        <f>COUNTIFS(Table25[Country],Tabela1[[#This Row],[Country]],Table25[Mixed Nacra 17 Classification],"&gt;0")</f>
        <v>0</v>
      </c>
      <c r="IB50" s="6">
        <f>COUNTIFS(Table53[Country],Tabela1[[#This Row],[Country]],Table53[10m Air Pistol Classification],"&gt;0")</f>
        <v>0</v>
      </c>
      <c r="IC50" s="6">
        <f>COUNTIFS(Table19[Country],Tabela1[[#This Row],[Country]],Table19[10m Air Pistol Classification],"&gt;0")</f>
        <v>0</v>
      </c>
      <c r="ID50" s="6">
        <f>COUNTIFS(Table54[Country],Tabela1[[#This Row],[Country]],Table54[Mixed 10m Air Pistol Team Classification],"&gt;0")</f>
        <v>0</v>
      </c>
      <c r="IE50" s="6">
        <f>COUNTIFS(Table53[Country],Tabela1[[#This Row],[Country]],Table53[10m Air Rifle Classification],"&gt;0")</f>
        <v>0</v>
      </c>
      <c r="IF50" s="6">
        <f>COUNTIFS(Table19[Country],Tabela1[[#This Row],[Country]],Table19[10m Air Rifle Classification],"&gt;0")</f>
        <v>0</v>
      </c>
      <c r="IG50" s="6">
        <f>COUNTIFS(Table54[Country],Tabela1[[#This Row],[Country]],Table54[Mixed 10m Air Rifle Team Classification],"&gt;0")</f>
        <v>0</v>
      </c>
      <c r="IH50" s="6">
        <f>COUNTIFS(Table53[Country],Tabela1[[#This Row],[Country]],Table53[25m Rapid Fire Pistol Classification],"&gt;0")</f>
        <v>0</v>
      </c>
      <c r="II50" s="6">
        <f>COUNTIFS(Table19[Country],Tabela1[[#This Row],[Country]],Table19[25m Pistol Classification],"&gt;0")</f>
        <v>0</v>
      </c>
      <c r="IJ50" s="6">
        <f>COUNTIFS(Table53[Country],Tabela1[[#This Row],[Country]],Table53[50m Rifle 3 Positions Classification],"&gt;0")</f>
        <v>0</v>
      </c>
      <c r="IK50" s="6">
        <f>COUNTIFS(Table19[Country],Tabela1[[#This Row],[Country]],Table19[50m Rifle 3 Positions Classification],"&gt;0")</f>
        <v>0</v>
      </c>
      <c r="IL50" s="6">
        <f>COUNTIFS(Table53[Country],Tabela1[[#This Row],[Country]],Table53[Skeet Classification],"&gt;0")</f>
        <v>0</v>
      </c>
      <c r="IM50" s="6">
        <f>COUNTIFS(Table19[Country],Tabela1[[#This Row],[Country]],Table19[Skeet Classification],"&gt;0")</f>
        <v>0</v>
      </c>
      <c r="IN50" s="6">
        <f>COUNTIFS(Table54[Country],Tabela1[[#This Row],[Country]],Table54[Mixed Skeet Team Classification],"&gt;0")</f>
        <v>0</v>
      </c>
      <c r="IO50" s="6">
        <f>COUNTIFS(Table53[Country],Tabela1[[#This Row],[Country]],Table53[Trap Classification],"&gt;0")</f>
        <v>0</v>
      </c>
      <c r="IP50" s="6">
        <f>COUNTIFS(Table19[Country],Tabela1[[#This Row],[Country]],Table19[Trap Classification],"&gt;0")</f>
        <v>0</v>
      </c>
      <c r="IQ50" s="6">
        <f>COUNTIFS(Table73[Country],Tabela1[[#This Row],[Country]],Table73[Park Classification],"&gt;0")</f>
        <v>0</v>
      </c>
      <c r="IR50" s="6">
        <f>COUNTIFS(Table74[Country],Tabela1[[#This Row],[Country]],Table74[Park Classification],"&gt;0")</f>
        <v>0</v>
      </c>
      <c r="IS50" s="6">
        <f>COUNTIFS(Table73[Country],Tabela1[[#This Row],[Country]],Table73[Street Classification],"&gt;0")</f>
        <v>0</v>
      </c>
      <c r="IT50" s="6">
        <f>COUNTIFS(Table74[Country],Tabela1[[#This Row],[Country]],Table74[Street Classification],"&gt;0")</f>
        <v>0</v>
      </c>
      <c r="IU50" s="6">
        <f>COUNTIFS(Table75[Country],Tabela1[[#This Row],[Country]],Table75[Boulder and Lead Classification],"&gt;0")</f>
        <v>0</v>
      </c>
      <c r="IV50" s="6">
        <f>COUNTIFS(Table76[Country],Tabela1[[#This Row],[Country]],Table76[Boulder and Lead Classification],"&gt;0")</f>
        <v>0</v>
      </c>
      <c r="IW50" s="6">
        <f>COUNTIFS(Table75[Country],Tabela1[[#This Row],[Country]],Table75[Speed Classification],"&gt;0")</f>
        <v>0</v>
      </c>
      <c r="IX50" s="6">
        <f>COUNTIFS(Table76[Country],Tabela1[[#This Row],[Country]],Table76[Speed Classification],"&gt;0")</f>
        <v>0</v>
      </c>
      <c r="IY50" s="6">
        <f>COUNTIFS(Table64[Country],Tabela1[[#This Row],[Country]],Table64[Shortboard Classification],"&gt;0")</f>
        <v>0</v>
      </c>
      <c r="IZ50" s="6">
        <f>COUNTIFS(Table77[Country],Tabela1[[#This Row],[Country]],Table77[Shortboard Classification],"&gt;0")</f>
        <v>0</v>
      </c>
      <c r="JA50" s="6">
        <f>COUNTIFS(Table20[Country],Tabela1[[#This Row],[Country]],Table20[50m Freestyle Classification],"&gt;0")</f>
        <v>0</v>
      </c>
      <c r="JB50" s="6">
        <f>COUNTIFS(Table21[Country],Tabela1[[#This Row],[Country]],Table21[50m Freestyle Classification],"&gt;0")</f>
        <v>0</v>
      </c>
      <c r="JC50" s="6">
        <f>COUNTIFS(Table20[Country],Tabela1[[#This Row],[Country]],Table20[100m Freestyle Classification],"&gt;0")</f>
        <v>1</v>
      </c>
      <c r="JD50" s="6">
        <f>COUNTIFS(Table21[Country],Tabela1[[#This Row],[Country]],Table21[100m Freestyle Classification],"&gt;0")</f>
        <v>0</v>
      </c>
      <c r="JE50" s="6">
        <f>COUNTIFS(Table20[Country],Tabela1[[#This Row],[Country]],Table20[200m Freestyle Classification],"&gt;0")</f>
        <v>1</v>
      </c>
      <c r="JF50" s="6">
        <f>COUNTIFS(Table21[Country],Tabela1[[#This Row],[Country]],Table21[200m Freestyle Classification],"&gt;0")</f>
        <v>0</v>
      </c>
      <c r="JG50" s="6">
        <f>COUNTIFS(Table20[Country],Tabela1[[#This Row],[Country]],Table20[400m Freestyle Classification],"&gt;0")</f>
        <v>1</v>
      </c>
      <c r="JH50" s="6">
        <f>COUNTIFS(Table21[Country],Tabela1[[#This Row],[Country]],Table21[400m Freestyle Classification],"&gt;0")</f>
        <v>0</v>
      </c>
      <c r="JI50" s="6">
        <f>COUNTIFS(Table20[Country],Tabela1[[#This Row],[Country]],Table20[800m Freestyle Classification],"&gt;0")</f>
        <v>0</v>
      </c>
      <c r="JJ50" s="6">
        <f>COUNTIFS(Table21[Country],Tabela1[[#This Row],[Country]],Table21[800m Freestyle Classification],"&gt;0")</f>
        <v>0</v>
      </c>
      <c r="JK50" s="6">
        <f>COUNTIFS(Table20[Country],Tabela1[[#This Row],[Country]],Table20[1500m Freestyle Classification],"&gt;0")</f>
        <v>0</v>
      </c>
      <c r="JL50" s="6">
        <f>COUNTIFS(Table21[Country],Tabela1[[#This Row],[Country]],Table21[1500m Freestyle Classification],"&gt;0")</f>
        <v>0</v>
      </c>
      <c r="JM50" s="6">
        <f>COUNTIFS(Table20[Country],Tabela1[[#This Row],[Country]],Table20[100m Backstroke Classification],"&gt;0")</f>
        <v>0</v>
      </c>
      <c r="JN50" s="6">
        <f>COUNTIFS(Table21[Country],Tabela1[[#This Row],[Country]],Table21[100m Backstroke Classification],"&gt;0")</f>
        <v>0</v>
      </c>
      <c r="JO50" s="6">
        <f>COUNTIFS(Table20[Country],Tabela1[[#This Row],[Country]],Table20[200m Backstroke Classification],"&gt;0")</f>
        <v>0</v>
      </c>
      <c r="JP50" s="6">
        <f>COUNTIFS(Table21[Country],Tabela1[[#This Row],[Country]],Table21[200m Backstroke Classification],"&gt;0")</f>
        <v>0</v>
      </c>
      <c r="JQ50" s="6">
        <f>COUNTIFS(Table20[Country],Tabela1[[#This Row],[Country]],Table20[100m Breaststroke Classification],"&gt;0")</f>
        <v>1</v>
      </c>
      <c r="JR50" s="6">
        <f>COUNTIFS(Table21[Country],Tabela1[[#This Row],[Country]],Table21[100m Breaststroke Classification],"&gt;0")</f>
        <v>0</v>
      </c>
      <c r="JS50" s="6">
        <f>COUNTIFS(Table20[Country],Tabela1[[#This Row],[Country]],Table20[200m Breaststroke Classification],"&gt;0")</f>
        <v>0</v>
      </c>
      <c r="JT50" s="6">
        <f>COUNTIFS(Table21[Country],Tabela1[[#This Row],[Country]],Table21[200m Breaststroke Classification],"&gt;0")</f>
        <v>0</v>
      </c>
      <c r="JU50" s="6">
        <f>COUNTIFS(Table20[Country],Tabela1[[#This Row],[Country]],Table20[100m Butterfly Classification],"&gt;0")</f>
        <v>0</v>
      </c>
      <c r="JV50" s="6">
        <f>COUNTIFS(Table21[Country],Tabela1[[#This Row],[Country]],Table21[100m Butterfly Classification],"&gt;0")</f>
        <v>0</v>
      </c>
      <c r="JW50" s="6">
        <f>COUNTIFS(Table20[Country],Tabela1[[#This Row],[Country]],Table20[200m Butterfly Classification],"&gt;0")</f>
        <v>0</v>
      </c>
      <c r="JX50" s="6">
        <f>COUNTIFS(Table21[Country],Tabela1[[#This Row],[Country]],Table21[200m Butterfly Classification],"&gt;0")</f>
        <v>0</v>
      </c>
      <c r="JY50" s="6">
        <f>COUNTIFS(Table20[Country],Tabela1[[#This Row],[Country]],Table20[200m Medley Classification],"&gt;0")</f>
        <v>0</v>
      </c>
      <c r="JZ50" s="6">
        <f>COUNTIFS(Table21[Country],Tabela1[[#This Row],[Country]],Table21[200m Medley Classification],"&gt;0")</f>
        <v>0</v>
      </c>
      <c r="KA50" s="6">
        <f>COUNTIFS(Table20[Country],Tabela1[[#This Row],[Country]],Table20[400m Medley Classification],"&gt;0")</f>
        <v>0</v>
      </c>
      <c r="KB50" s="6">
        <f>COUNTIFS(Table21[Country],Tabela1[[#This Row],[Country]],Table21[400m Medley Classification],"&gt;0")</f>
        <v>0</v>
      </c>
      <c r="KC50" s="6">
        <f>COUNTIFS(Table78[Country],Tabela1[[#This Row],[Country]],Table78[Men''s 4x100m Freestyle Relay Classification],"&gt;0")</f>
        <v>0</v>
      </c>
      <c r="KD50" s="6">
        <f>COUNTIFS(Table78[Country],Tabela1[[#This Row],[Country]],Table78[Women''s 4x100m Freestyle Relay Classification],"&gt;0")</f>
        <v>0</v>
      </c>
      <c r="KE50" s="6">
        <f>COUNTIFS(Table78[Country],Tabela1[[#This Row],[Country]],Table78[Men''s 4x200m Freestyle Relay Classification],"&gt;0")</f>
        <v>1</v>
      </c>
      <c r="KF50" s="6">
        <f>COUNTIFS(Table78[Country],Tabela1[[#This Row],[Country]],Table78[Women''s 4x200m Freestyle Relay Classification],"&gt;0")</f>
        <v>0</v>
      </c>
      <c r="KG50" s="6">
        <f>COUNTIFS(Table78[Country],Tabela1[[#This Row],[Country]],Table78[Men''s 4x100m Medley Relay Classification],"&gt;0")</f>
        <v>0</v>
      </c>
      <c r="KH50" s="6">
        <f>COUNTIFS(Table78[Country],Tabela1[[#This Row],[Country]],Table78[Women''s 4x100m Medley Relay Classification],"&gt;0")</f>
        <v>0</v>
      </c>
      <c r="KI50" s="6">
        <f>COUNTIFS(Table78[Country],Tabela1[[#This Row],[Country]],Table78[Mixed 4x100m Medley Relay Classification],"&gt;0")</f>
        <v>0</v>
      </c>
      <c r="KJ50" s="6">
        <f>COUNTIFS(Table20[Country],Tabela1[[#This Row],[Country]],Table20[10km Open Water Classification],"&gt;0")</f>
        <v>0</v>
      </c>
      <c r="KK50" s="6">
        <f>COUNTIFS(Table21[Country],Tabela1[[#This Row],[Country]],Table21[10km Open Water Classification],"&gt;0")</f>
        <v>0</v>
      </c>
      <c r="KL50" s="6">
        <f>COUNTIFS(Table22[Country],Tabela1[[#This Row],[Country]],Table22[Classification],"&gt;0")</f>
        <v>0</v>
      </c>
      <c r="KM50" s="6">
        <f>COUNTIFS(Table30[Country],Tabela1[[#This Row],[Country]],Table30[Classification],"&gt;0")</f>
        <v>0</v>
      </c>
      <c r="KN50" s="6">
        <f>COUNTIFS(Table55[Country],Tabela1[[#This Row],[Country]],Table55[Men''s Classification],"&gt;0")</f>
        <v>0</v>
      </c>
      <c r="KO50" s="6">
        <f>COUNTIFS(Table55[Country],Tabela1[[#This Row],[Country]],Table55[Women''s Classification],"&gt;0")</f>
        <v>0</v>
      </c>
      <c r="KP50" s="6">
        <f>COUNTIFS(Table56[Country],Tabela1[[#This Row],[Country]],Table56[Mixed Classification],"&gt;0")</f>
        <v>0</v>
      </c>
      <c r="KQ50" s="6">
        <f>COUNTIFS(Table29[Country],Tabela1[[#This Row],[Country]],Table29[58kg Classification],"&gt;0")</f>
        <v>0</v>
      </c>
      <c r="KR50" s="6">
        <f>COUNTIFS(Table29[Country],Tabela1[[#This Row],[Country]],Table29[68kg Classification],"&gt;0")</f>
        <v>0</v>
      </c>
      <c r="KS50" s="6">
        <f>COUNTIFS(Table29[Country],Tabela1[[#This Row],[Country]],Table29[80kg Classification],"&gt;0")</f>
        <v>0</v>
      </c>
      <c r="KT50" s="6">
        <f>COUNTIFS(Table29[Country],Tabela1[[#This Row],[Country]],Table29[Plus 80kg Classification],"&gt;0")</f>
        <v>0</v>
      </c>
      <c r="KU50" s="6">
        <f>COUNTIFS(Table34[Country],Tabela1[[#This Row],[Country]],Table34[49kg Classification],"&gt;0")</f>
        <v>0</v>
      </c>
      <c r="KV50" s="6">
        <f>COUNTIFS(Table34[Country],Tabela1[[#This Row],[Country]],Table34[57kg Classification],"&gt;0")</f>
        <v>0</v>
      </c>
      <c r="KW50" s="6">
        <f>COUNTIFS(Table34[Country],Tabela1[[#This Row],[Country]],Table34[67kg Classification],"&gt;0")</f>
        <v>0</v>
      </c>
      <c r="KX50" s="6">
        <f>COUNTIFS(Table34[Country],Tabela1[[#This Row],[Country]],Table34[Plus 67kg Classification],"&gt;0")</f>
        <v>0</v>
      </c>
      <c r="KY50" s="6">
        <f>COUNTIFS(Table57[Country],Tabela1[[#This Row],[Country]],Table57[Classification],"&gt;0")</f>
        <v>0</v>
      </c>
      <c r="KZ50" s="6">
        <f>COUNTIFS(Table58[Country],Tabela1[[#This Row],[Country]],Table58[Classification],"&gt;0")</f>
        <v>0</v>
      </c>
      <c r="LA50" s="6">
        <f>COUNTIFS(Table79[Country],Tabela1[[#This Row],[Country]],Table79[Men''s Classification],"&gt;0")</f>
        <v>0</v>
      </c>
      <c r="LB50" s="6">
        <f>COUNTIFS(Table79[Country],Tabela1[[#This Row],[Country]],Table79[Women''s Classification],"&gt;0")</f>
        <v>0</v>
      </c>
      <c r="LC50" s="6">
        <f>COUNTIFS(Table79[Country],Tabela1[[#This Row],[Country]],Table79[Mixed Classification],"&gt;0")</f>
        <v>0</v>
      </c>
      <c r="LD50" s="6">
        <f>COUNTIFS(Table65[Country],Tabela1[[#This Row],[Country]],Table65[Classification],"&gt;0")</f>
        <v>0</v>
      </c>
      <c r="LE50" s="6">
        <f>COUNTIFS(Table59[Country],Tabela1[[#This Row],[Country]],Table59[Classification],"&gt;0")</f>
        <v>0</v>
      </c>
      <c r="LF50" s="6">
        <f>COUNTIFS(Table87[Country],Tabela1[[#This Row],[Country]],Table87[Mixed Relay Classification],"&gt;0")</f>
        <v>0</v>
      </c>
      <c r="LG50" s="6">
        <f>COUNTIFS(Table91949698100[Country],Tabela1[[#This Row],[Country]],Table91949698100[Men''s Classification],"&gt;0")</f>
        <v>0</v>
      </c>
      <c r="LH50" s="6">
        <f>COUNTIFS(Table91949698100[Country],Tabela1[[#This Row],[Country]],Table91949698100[Women''s Classification],"&gt;0")</f>
        <v>0</v>
      </c>
      <c r="LI50" s="6">
        <f>COUNTIFS(Table91949698100102[Country],Tabela1[[#This Row],[Country]],Table91949698100102[Men''s Classification],"&gt;0")</f>
        <v>0</v>
      </c>
      <c r="LJ50" s="6">
        <f>COUNTIFS(Table91949698100102[Country],Tabela1[[#This Row],[Country]],Table91949698100102[Women''s Classification],"&gt;0")</f>
        <v>0</v>
      </c>
      <c r="LK50" s="6">
        <f>COUNTIFS(Table23[Country],Tabela1[[#This Row],[Country]],Table23[61kg Classification],"&gt;0")</f>
        <v>0</v>
      </c>
      <c r="LL50" s="6">
        <f>COUNTIFS(Table23[Country],Tabela1[[#This Row],[Country]],Table23[73kg Classification],"&gt;0")</f>
        <v>0</v>
      </c>
      <c r="LM50" s="6">
        <f>COUNTIFS(Table23[Country],Tabela1[[#This Row],[Country]],Table23[89kg Classification],"&gt;0")</f>
        <v>0</v>
      </c>
      <c r="LN50" s="6">
        <f>COUNTIFS(Table23[Country],Tabela1[[#This Row],[Country]],Table23[102kg Classification],"&gt;0")</f>
        <v>0</v>
      </c>
      <c r="LO50" s="6">
        <f>COUNTIFS(Table23[Country],Tabela1[[#This Row],[Country]],Table23[Plus 102kg Classification],"&gt;0")</f>
        <v>0</v>
      </c>
      <c r="LP50" s="6">
        <f>COUNTIFS(Table28[Country],Tabela1[[#This Row],[Country]],Table28[49kg Classification],"&gt;0")</f>
        <v>0</v>
      </c>
      <c r="LQ50" s="6">
        <f>COUNTIFS(Table28[Country],Tabela1[[#This Row],[Country]],Table28[59kg Classification],"&gt;0")</f>
        <v>0</v>
      </c>
      <c r="LR50" s="6">
        <f>COUNTIFS(Table28[Country],Tabela1[[#This Row],[Country]],Table28[71kg Classification],"&gt;0")</f>
        <v>0</v>
      </c>
      <c r="LS50" s="6">
        <f>COUNTIFS(Table28[Country],Tabela1[[#This Row],[Country]],Table28[81kg Classification],"&gt;0")</f>
        <v>0</v>
      </c>
      <c r="LT50" s="6">
        <f>COUNTIFS(Table28[Country],Tabela1[[#This Row],[Country]],Table28[Plus 81kg Classification],"&gt;0")</f>
        <v>0</v>
      </c>
      <c r="LU50" s="6">
        <f>COUNTIFS(Table24[Country],Tabela1[[#This Row],[Country]],Table24[Freestyle 57kg Classification],"&gt;0")</f>
        <v>0</v>
      </c>
      <c r="LV50" s="6">
        <f>COUNTIFS(Table24[Country],Tabela1[[#This Row],[Country]],Table24[Freestyle 65kg Classification],"&gt;0")</f>
        <v>0</v>
      </c>
      <c r="LW50" s="6">
        <f>COUNTIFS(Table24[Country],Tabela1[[#This Row],[Country]],Table24[Freestyle 74kg Classification],"&gt;0")</f>
        <v>0</v>
      </c>
      <c r="LX50" s="6">
        <f>COUNTIFS(Table24[Country],Tabela1[[#This Row],[Country]],Table24[Freestyle 86kg Classification],"&gt;0")</f>
        <v>0</v>
      </c>
      <c r="LY50" s="6">
        <f>COUNTIFS(Table24[Country],Tabela1[[#This Row],[Country]],Table24[Freestyle 97kg Classification],"&gt;0")</f>
        <v>0</v>
      </c>
      <c r="LZ50" s="6">
        <f>COUNTIFS(Table24[Country],Tabela1[[#This Row],[Country]],Table24[Freestyle 125kg Classification],"&gt;0")</f>
        <v>0</v>
      </c>
      <c r="MA50" s="6">
        <f>COUNTIFS(Table24[Country],Tabela1[[#This Row],[Country]],Table24[Greco-Roman 60kg Classification],"&gt;0")</f>
        <v>0</v>
      </c>
      <c r="MB50" s="6">
        <f>COUNTIFS(Table24[Country],Tabela1[[#This Row],[Country]],Table24[Greco-Roman 67kg Classification],"&gt;0")</f>
        <v>0</v>
      </c>
      <c r="MC50" s="6">
        <f>COUNTIFS(Table24[Country],Tabela1[[#This Row],[Country]],Table24[Greco-Roman 77kg Classification],"&gt;0")</f>
        <v>0</v>
      </c>
      <c r="MD50" s="6">
        <f>COUNTIFS(Table24[Country],Tabela1[[#This Row],[Country]],Table24[Greco-Roman 87kg Classification],"&gt;0")</f>
        <v>0</v>
      </c>
      <c r="ME50" s="6">
        <f>COUNTIFS(Table24[Country],Tabela1[[#This Row],[Country]],Table24[Greco-Roman 97kg Classification],"&gt;0")</f>
        <v>0</v>
      </c>
      <c r="MF50" s="6">
        <f>COUNTIFS(Table24[Country],Tabela1[[#This Row],[Country]],Table24[Greco-Roman 130kg Classification],"&gt;0")</f>
        <v>1</v>
      </c>
      <c r="MG50" s="6">
        <f>COUNTIFS(Table31[Country],Tabela1[[#This Row],[Country]],Table31[50kg Classification],"&gt;0")</f>
        <v>0</v>
      </c>
      <c r="MH50" s="6">
        <f>COUNTIFS(Table31[Country],Tabela1[[#This Row],[Country]],Table31[53kg Classification],"&gt;0")</f>
        <v>0</v>
      </c>
      <c r="MI50" s="6">
        <f>COUNTIFS(Table31[Country],Tabela1[[#This Row],[Country]],Table31[57kg Classification],"&gt;0")</f>
        <v>0</v>
      </c>
      <c r="MJ50" s="6">
        <f>COUNTIFS(Table31[Country],Tabela1[[#This Row],[Country]],Table31[62kg Classification],"&gt;0")</f>
        <v>0</v>
      </c>
      <c r="MK50" s="6">
        <f>COUNTIFS(Table31[Country],Tabela1[[#This Row],[Country]],Table31[68kg Classification],"&gt;0")</f>
        <v>0</v>
      </c>
      <c r="ML50" s="6">
        <f>COUNTIFS(Table31[Country],Tabela1[[#This Row],[Country]],Table31[76kg Classification],"&gt;0")</f>
        <v>0</v>
      </c>
      <c r="MM50" s="6">
        <f>COUNTIFS(Table102[Country],Tabela1[[#This Row],[Country]],Table102[Downhill Classification],"&gt;0")</f>
        <v>0</v>
      </c>
      <c r="MN50" s="6">
        <f>COUNTIFS(Table102105[Country],Tabela1[[#This Row],[Country]],Table102105[Downhill Classification],"&gt;0")</f>
        <v>0</v>
      </c>
      <c r="MO50" s="6">
        <f>COUNTIFS(Table102[Country],Tabela1[[#This Row],[Country]],Table102[Giant Slalom Classification],"&gt;0")</f>
        <v>0</v>
      </c>
      <c r="MP50" s="6">
        <f>COUNTIFS(Table102105[Country],Tabela1[[#This Row],[Country]],Table102105[Giant Slalom Classification],"&gt;0")</f>
        <v>0</v>
      </c>
      <c r="MQ50" s="6">
        <f>COUNTIFS(Table102[Country],Tabela1[[#This Row],[Country]],Table102[Slalom Classification],"&gt;0")</f>
        <v>0</v>
      </c>
      <c r="MR50" s="6">
        <f>COUNTIFS(Table102105[Country],Tabela1[[#This Row],[Country]],Table102105[Slalom Classification],"&gt;0")</f>
        <v>0</v>
      </c>
      <c r="MS50" s="6">
        <f>COUNTIFS(Table102[Country],Tabela1[[#This Row],[Country]],Table102[Super-G Classification],"&gt;0")</f>
        <v>0</v>
      </c>
      <c r="MT50" s="6">
        <f>COUNTIFS(Table102105[Country],Tabela1[[#This Row],[Country]],Table102105[Super-G Classification],"&gt;0")</f>
        <v>0</v>
      </c>
      <c r="MU50" s="6">
        <f>COUNTIFS(Table105[Country],Tabela1[[#This Row],[Country]],Table105[Men''s Combined Classification],"&gt;0")</f>
        <v>0</v>
      </c>
      <c r="MV50" s="6">
        <f>COUNTIFS(Table105[Country],Tabela1[[#This Row],[Country]],Table105[Women''s Combined Classification],"&gt;0")</f>
        <v>0</v>
      </c>
      <c r="MW50" s="6">
        <f>COUNTIFS(Table106[Country],Tabela1[[#This Row],[Country]],Table106[Individual Classification],"&gt;0")</f>
        <v>0</v>
      </c>
      <c r="MX50" s="6">
        <f>COUNTIFS(Table106109[Country],Tabela1[[#This Row],[Country]],Table106109[Individual Classification],"&gt;0")</f>
        <v>0</v>
      </c>
      <c r="MY50" s="6">
        <f>COUNTIFS(Table106[Country],Tabela1[[#This Row],[Country]],Table106[Mass Start Classification],"&gt;0")</f>
        <v>0</v>
      </c>
      <c r="MZ50" s="6">
        <f>COUNTIFS(Table106109[Country],Tabela1[[#This Row],[Country]],Table106109[Mass Start Classification],"&gt;0")</f>
        <v>0</v>
      </c>
      <c r="NA50" s="6">
        <f>COUNTIFS(Table106[Country],Tabela1[[#This Row],[Country]],Table106[Pursuit Classification],"&gt;0")</f>
        <v>0</v>
      </c>
      <c r="NB50" s="6">
        <f>COUNTIFS(Table106109[Country],Tabela1[[#This Row],[Country]],Table106109[Pursuit Classification],"&gt;0")</f>
        <v>0</v>
      </c>
      <c r="NC50" s="6">
        <f>COUNTIFS(Table106[Country],Tabela1[[#This Row],[Country]],Table106[Sprint Classification],"&gt;0")</f>
        <v>0</v>
      </c>
      <c r="ND50" s="6">
        <f>COUNTIFS(Table106109[Country],Tabela1[[#This Row],[Country]],Table106109[Sprint Classification],"&gt;0")</f>
        <v>0</v>
      </c>
      <c r="NE50" s="6">
        <f>COUNTIFS(Table109[Country],Tabela1[[#This Row],[Country]],Table109[Men''s Relay Classification],"&gt;0")</f>
        <v>0</v>
      </c>
      <c r="NF50" s="6">
        <f>COUNTIFS(Table109[Country],Tabela1[[#This Row],[Country]],Table109[Women''s Relay Classification],"&gt;0")</f>
        <v>0</v>
      </c>
      <c r="NG50" s="6">
        <f>COUNTIFS(Table109[Country],Tabela1[[#This Row],[Country]],Table109[Mixed Relay Classification],"&gt;0")</f>
        <v>0</v>
      </c>
      <c r="NH50" s="6">
        <f>COUNTIFS(Table110[Country],Tabela1[[#This Row],[Country]],Table110[Monobob Classification],"&gt;0")</f>
        <v>0</v>
      </c>
      <c r="NI50" s="6">
        <f>COUNTIFS(Table111[Country],Tabela1[[#This Row],[Country]],Table111[Men''s Classification],"&gt;0")</f>
        <v>0</v>
      </c>
      <c r="NJ50" s="6">
        <f>COUNTIFS(Table111[Country],Tabela1[[#This Row],[Country]],Table111[Women''s Classification],"&gt;0")</f>
        <v>0</v>
      </c>
      <c r="NK50" s="6">
        <f>COUNTIFS(Table112[Country],Tabela1[[#This Row],[Country]],Table112[Men''s Four Classification],"&gt;0")</f>
        <v>0</v>
      </c>
      <c r="NL50" s="6">
        <f>COUNTIFS(Table113[Country],Tabela1[[#This Row],[Country]],Table113[Classical Classification],"&gt;0")</f>
        <v>0</v>
      </c>
      <c r="NM50" s="6">
        <f>COUNTIFS(Table113116[Country],Tabela1[[#This Row],[Country]],Table113116[Classical Classification],"&gt;0")</f>
        <v>0</v>
      </c>
      <c r="NN50" s="6">
        <f>COUNTIFS(Table113[Country],Tabela1[[#This Row],[Country]],Table113[Freestyle Classification],"&gt;0")</f>
        <v>0</v>
      </c>
      <c r="NO50" s="6">
        <f>COUNTIFS(Table113116[Country],Tabela1[[#This Row],[Country]],Table113116[Freestyle Classification],"&gt;0")</f>
        <v>1</v>
      </c>
      <c r="NP50" s="6">
        <f>COUNTIFS(Table117[Country],Tabela1[[#This Row],[Country]],Table117[Men''s Relay Classification],"&gt;0")</f>
        <v>0</v>
      </c>
      <c r="NQ50" s="6">
        <f>COUNTIFS(Table117[Country],Tabela1[[#This Row],[Country]],Table117[Women''s Relay Classification],"&gt;0")</f>
        <v>0</v>
      </c>
      <c r="NR50" s="6">
        <f>COUNTIFS(Table113[Country],Tabela1[[#This Row],[Country]],Table113[Skiathlon Classification],"&gt;0")</f>
        <v>0</v>
      </c>
      <c r="NS50" s="6">
        <f>COUNTIFS(Table113116[Country],Tabela1[[#This Row],[Country]],Table113116[Skiathlon Classification],"&gt;0")</f>
        <v>0</v>
      </c>
      <c r="NT50" s="6">
        <f>COUNTIFS(Table113[Country],Tabela1[[#This Row],[Country]],Table113[Sprint Classification],"&gt;0")</f>
        <v>0</v>
      </c>
      <c r="NU50" s="6">
        <f>COUNTIFS(Table113116[Country],Tabela1[[#This Row],[Country]],Table113116[Sprint Classification],"&gt;0")</f>
        <v>1</v>
      </c>
      <c r="NV50" s="6">
        <f>COUNTIFS(Table116[Country],Tabela1[[#This Row],[Country]],Table116[Men''s Team Sprint Classification],"&gt;0")</f>
        <v>0</v>
      </c>
      <c r="NW50" s="6">
        <f>COUNTIFS(Table116[Country],Tabela1[[#This Row],[Country]],Table116[Women''s Team Sprint Classification],"&gt;0")</f>
        <v>1</v>
      </c>
      <c r="NX50" s="6">
        <f>COUNTIFS(Table119[Country],Tabela1[[#This Row],[Country]],Table119[Men''s Classification],"&gt;0")</f>
        <v>0</v>
      </c>
      <c r="NY50" s="6">
        <f>COUNTIFS(Table119[Country],Tabela1[[#This Row],[Country]],Table119[Women''s Classification],"&gt;0")</f>
        <v>0</v>
      </c>
      <c r="NZ50" s="6">
        <f>COUNTIFS(Table118[Country],Tabela1[[#This Row],[Country]],Table118[Mixed Classification],"&gt;0")</f>
        <v>0</v>
      </c>
      <c r="OA50" s="6">
        <f>COUNTIFS(Table120[Country],Tabela1[[#This Row],[Country]],Table120[Classification],"&gt;0")</f>
        <v>0</v>
      </c>
      <c r="OB50" s="6">
        <f>COUNTIFS(Table120123[Country],Tabela1[[#This Row],[Country]],Table120123[Classification],"&gt;0")</f>
        <v>0</v>
      </c>
      <c r="OC50" s="6">
        <f>COUNTIFS(Table123[Country],Tabela1[[#This Row],[Country]],Table123[Ice Dance Classification],"&gt;0")</f>
        <v>0</v>
      </c>
      <c r="OD50" s="6">
        <f>COUNTIFS(Table123[Country],Tabela1[[#This Row],[Country]],Table123[Pair Skating Classification],"&gt;0")</f>
        <v>0</v>
      </c>
      <c r="OE50" s="6">
        <f>COUNTIFS(Table124[Country],Tabela1[[#This Row],[Country]],Table124[Mixed Classification],"&gt;0")</f>
        <v>0</v>
      </c>
      <c r="OF50" s="6">
        <f>COUNTIFS(Table125[Country],Tabela1[[#This Row],[Country]],Table125[Aerials Classification],"&gt;0")</f>
        <v>0</v>
      </c>
      <c r="OG50" s="6">
        <f>COUNTIFS(Table125128[Country],Tabela1[[#This Row],[Country]],Table125128[Aerials Classification],"&gt;0")</f>
        <v>0</v>
      </c>
      <c r="OH50" s="6">
        <f>COUNTIFS(Table128[Country],Tabela1[[#This Row],[Country]],Table128[Mixed Aerials Classification],"&gt;0")</f>
        <v>0</v>
      </c>
      <c r="OI50" s="6">
        <f>COUNTIFS(Table125[Country],Tabela1[[#This Row],[Country]],Table125[Big Air Classification],"&gt;0")</f>
        <v>0</v>
      </c>
      <c r="OJ50" s="6">
        <f>COUNTIFS(Table125128[Country],Tabela1[[#This Row],[Country]],Table125128[Big Air Classification],"&gt;0")</f>
        <v>0</v>
      </c>
      <c r="OK50" s="6">
        <f>COUNTIFS(Table125[Country],Tabela1[[#This Row],[Country]],Table125[Dual Moguls Classification],"&gt;0")</f>
        <v>0</v>
      </c>
      <c r="OL50" s="6">
        <f>COUNTIFS(Table125128[Country],Tabela1[[#This Row],[Country]],Table125128[Dual Moguls Classification],"&gt;0")</f>
        <v>0</v>
      </c>
      <c r="OM50" s="6">
        <f>COUNTIFS(Table125[Country],Tabela1[[#This Row],[Country]],Table125[Halfpipe Classification],"&gt;0")</f>
        <v>0</v>
      </c>
      <c r="ON50" s="6">
        <f>COUNTIFS(Table125128[Country],Tabela1[[#This Row],[Country]],Table125128[Halfpipe Classification],"&gt;0")</f>
        <v>0</v>
      </c>
      <c r="OO50" s="6">
        <f>COUNTIFS(Table125[Country],Tabela1[[#This Row],[Country]],Table125[Moguls Classification],"&gt;0")</f>
        <v>0</v>
      </c>
      <c r="OP50" s="6">
        <f>COUNTIFS(Table125128[Country],Tabela1[[#This Row],[Country]],Table125128[Moguls Classification],"&gt;0")</f>
        <v>0</v>
      </c>
      <c r="OQ50" s="6">
        <f>COUNTIFS(Table125[Country],Tabela1[[#This Row],[Country]],Table125[Ski Cross Classification],"&gt;0")</f>
        <v>0</v>
      </c>
      <c r="OR50" s="6">
        <f>COUNTIFS(Table125128[Country],Tabela1[[#This Row],[Country]],Table125128[Ski Cross Classification],"&gt;0")</f>
        <v>0</v>
      </c>
      <c r="OS50" s="6">
        <f>COUNTIFS(Table125[Country],Tabela1[[#This Row],[Country]],Table125[Slopestyle Classification],"&gt;0")</f>
        <v>0</v>
      </c>
      <c r="OT50" s="6">
        <f>COUNTIFS(Table125128[Country],Tabela1[[#This Row],[Country]],Table125128[Slopestyle Classification],"&gt;0")</f>
        <v>0</v>
      </c>
      <c r="OU50" s="6">
        <f>COUNTIFS(Table119131[Country],Tabela1[[#This Row],[Country]],Table119131[Men''s Classification],"&gt;0")</f>
        <v>0</v>
      </c>
      <c r="OV50" s="6">
        <f>COUNTIFS(Table119131[Country],Tabela1[[#This Row],[Country]],Table119131[Women''s Classification],"&gt;0")</f>
        <v>0</v>
      </c>
      <c r="OW50" s="6">
        <f>COUNTIFS(Table131[Country],Tabela1[[#This Row],[Country]],Table131[Classification],"&gt;0")</f>
        <v>0</v>
      </c>
      <c r="OX50" s="6">
        <f>COUNTIFS(Table131134[Country],Tabela1[[#This Row],[Country]],Table131134[Classification],"&gt;0")</f>
        <v>0</v>
      </c>
      <c r="OY50" s="6">
        <f>COUNTIFS(Table134[Country],Tabela1[[#This Row],[Country]],Table134[Men''s Classification],"&gt;0")</f>
        <v>0</v>
      </c>
      <c r="OZ50" s="6">
        <f>COUNTIFS(Table134[Country],Tabela1[[#This Row],[Country]],Table134[Women''s Classification],"&gt;0")</f>
        <v>0</v>
      </c>
      <c r="PA50" s="6">
        <f>COUNTIFS(Table135[Country],Tabela1[[#This Row],[Country]],Table135[Mixed Relay Classification],"&gt;0")</f>
        <v>0</v>
      </c>
      <c r="PB50" s="6">
        <f>COUNTIFS(Table136[Country],Tabela1[[#This Row],[Country]],Table136[Individual Classification],"&gt;0")</f>
        <v>0</v>
      </c>
      <c r="PC50" s="6">
        <f>COUNTIFS(Table136[Country],Tabela1[[#This Row],[Country]],Table136[Sprint Classification],"&gt;0")</f>
        <v>0</v>
      </c>
      <c r="PD50" s="6">
        <f>COUNTIFS(Table137[Country],Tabela1[[#This Row],[Country]],Table137[Men''s Team Sprint Large Hill Classification],"&gt;0")</f>
        <v>0</v>
      </c>
      <c r="PE50" s="6">
        <f>COUNTIFS(Table138[Country],Tabela1[[#This Row],[Country]],Table138[500m Classification],"&gt;0")</f>
        <v>0</v>
      </c>
      <c r="PF50" s="6">
        <f>COUNTIFS(Table138141[Country],Tabela1[[#This Row],[Country]],Table138141[500m Classification],"&gt;0")</f>
        <v>0</v>
      </c>
      <c r="PG50" s="6">
        <f>COUNTIFS(Table138[Country],Tabela1[[#This Row],[Country]],Table138[1000m Classification],"&gt;0")</f>
        <v>0</v>
      </c>
      <c r="PH50" s="6">
        <f>COUNTIFS(Table138141[Country],Tabela1[[#This Row],[Country]],Table138141[1000m Classification],"&gt;0")</f>
        <v>0</v>
      </c>
      <c r="PI50" s="6">
        <f>COUNTIFS(Table138[Country],Tabela1[[#This Row],[Country]],Table138[1500m Classification],"&gt;0")</f>
        <v>0</v>
      </c>
      <c r="PJ50" s="6">
        <f>COUNTIFS(Table138141[Country],Tabela1[[#This Row],[Country]],Table138141[1500m Classification],"&gt;0")</f>
        <v>0</v>
      </c>
      <c r="PK50" s="6">
        <f>COUNTIFS(Table141[Country],Tabela1[[#This Row],[Country]],Table141[Men''s 5000m Relay Classification],"&gt;0")</f>
        <v>0</v>
      </c>
      <c r="PL50" s="6">
        <f>COUNTIFS(Table141[Country],Tabela1[[#This Row],[Country]],Table141[Women''s 3000m Relay Classification],"&gt;0")</f>
        <v>0</v>
      </c>
      <c r="PM50" s="6">
        <f>COUNTIFS(Table141[Country],Tabela1[[#This Row],[Country]],Table141[Mixed 2000m Relay Classification],"&gt;0")</f>
        <v>0</v>
      </c>
      <c r="PN50" s="6">
        <f>COUNTIFS(Table142[Country],Tabela1[[#This Row],[Country]],Table142[Classification],"&gt;0")</f>
        <v>0</v>
      </c>
      <c r="PO50" s="6">
        <f>COUNTIFS(Table142145[Country],Tabela1[[#This Row],[Country]],Table142145[Classification],"&gt;0")</f>
        <v>0</v>
      </c>
      <c r="PP50" s="6">
        <f>COUNTIFS(Tabela15[Country],Tabela1[[#This Row],[Country]],Tabela15[Mixed Team Classification],"&gt;0")</f>
        <v>0</v>
      </c>
      <c r="PQ50" s="6">
        <f>COUNTIFS(Table145[Country],Tabela1[[#This Row],[Country]],Table145[Large Hill Classification],"&gt;0")</f>
        <v>0</v>
      </c>
      <c r="PR50" s="6">
        <f>COUNTIFS(Table145[Country],Tabela1[[#This Row],[Country]],Table145[Normal Hill Classification],"&gt;0")</f>
        <v>0</v>
      </c>
      <c r="PS50" s="6">
        <f>COUNTIFS(Table145148[Country],Tabela1[[#This Row],[Country]],Table145148[Large Hill Classification],"&gt;0")</f>
        <v>0</v>
      </c>
      <c r="PT50" s="6">
        <f>COUNTIFS(Table145148[Country],Tabela1[[#This Row],[Country]],Table145148[Normal Hill Classification],"&gt;0")</f>
        <v>0</v>
      </c>
      <c r="PU50" s="6">
        <f>COUNTIFS(Table148[Country],Tabela1[[#This Row],[Country]],Table148[Men''s Super Team Classification],"&gt;0")</f>
        <v>0</v>
      </c>
      <c r="PV50" s="6">
        <f>COUNTIFS(Tabela114[Country],Tabela1[[#This Row],[Country]],Tabela114[Mixed Normal Hill Classification],"&gt;0")</f>
        <v>0</v>
      </c>
      <c r="PW50" s="6">
        <f>COUNTIFS(Tabela50[Country],Tabela1[[#This Row],[Country]],Tabela50[Sprint Classification],"&gt;0")</f>
        <v>0</v>
      </c>
      <c r="PX50" s="6">
        <f>COUNTIFS(Tabela50101[Country],Tabela1[[#This Row],[Country]],Tabela50101[Sprint Classification],"&gt;0")</f>
        <v>0</v>
      </c>
      <c r="PY50" s="6">
        <f>COUNTIFS(Tabela103[Country],Tabela1[[#This Row],[Country]],Tabela103[Mixed Relay Classification],"&gt;0")</f>
        <v>0</v>
      </c>
      <c r="PZ50" s="6">
        <f>COUNTIFS(Table149[Country],Tabela1[[#This Row],[Country]],Table149[Big Air Classification],"&gt;0")</f>
        <v>0</v>
      </c>
      <c r="QA50" s="6">
        <f>COUNTIFS(Table149152[Country],Tabela1[[#This Row],[Country]],Table149152[Big Air Classification],"&gt;0")</f>
        <v>0</v>
      </c>
      <c r="QB50" s="6">
        <f>COUNTIFS(Table149[Country],Tabela1[[#This Row],[Country]],Table149[Halfpipe Classification],"&gt;0")</f>
        <v>0</v>
      </c>
      <c r="QC50" s="6">
        <f>COUNTIFS(Table149152[Country],Tabela1[[#This Row],[Country]],Table149152[Halfpipe Classification],"&gt;0")</f>
        <v>0</v>
      </c>
      <c r="QD50" s="6">
        <f>COUNTIFS(Table149[Country],Tabela1[[#This Row],[Country]],Table149[Parallel Giant Slalom Classification],"&gt;0")</f>
        <v>0</v>
      </c>
      <c r="QE50" s="6">
        <f>COUNTIFS(Table149152[Country],Tabela1[[#This Row],[Country]],Table149152[Parallel Giant Slalom Classification],"&gt;0")</f>
        <v>0</v>
      </c>
      <c r="QF50" s="6">
        <f>COUNTIFS(Table149[Country],Tabela1[[#This Row],[Country]],Table149[Slopestyle Classification],"&gt;0")</f>
        <v>0</v>
      </c>
      <c r="QG50" s="6">
        <f>COUNTIFS(Table149152[Country],Tabela1[[#This Row],[Country]],Table149152[Slopestyle Classification],"&gt;0")</f>
        <v>0</v>
      </c>
      <c r="QH50" s="6">
        <f>COUNTIFS(Table149[Country],Tabela1[[#This Row],[Country]],Table149[Snowboard Cross Classification],"&gt;0")</f>
        <v>0</v>
      </c>
      <c r="QI50" s="6">
        <f>COUNTIFS(Table149152[Country],Tabela1[[#This Row],[Country]],Table149152[Snowboard Cross Classification],"&gt;0")</f>
        <v>0</v>
      </c>
      <c r="QJ50" s="6">
        <f>COUNTIFS(Table153[Country],Tabela1[[#This Row],[Country]],Table153[Mixed Team Snowboard Cross Classification],"&gt;0")</f>
        <v>0</v>
      </c>
      <c r="QK50" s="6">
        <f>COUNTIFS(Table154[Country],Tabela1[[#This Row],[Country]],Table154[500m Classification],"&gt;0")</f>
        <v>0</v>
      </c>
      <c r="QL50" s="6">
        <f>COUNTIFS(Table154157[Country],Tabela1[[#This Row],[Country]],Table154157[500m Classification],"&gt;0")</f>
        <v>0</v>
      </c>
      <c r="QM50" s="6">
        <f>COUNTIFS(Table154[Country],Tabela1[[#This Row],[Country]],Table154[1000m Classification],"&gt;0")</f>
        <v>0</v>
      </c>
      <c r="QN50" s="6">
        <f>COUNTIFS(Table154157[Country],Tabela1[[#This Row],[Country]],Table154157[1000m Classification],"&gt;0")</f>
        <v>0</v>
      </c>
      <c r="QO50" s="6">
        <f>COUNTIFS(Table154[Country],Tabela1[[#This Row],[Country]],Table154[1500m Classification],"&gt;0")</f>
        <v>0</v>
      </c>
      <c r="QP50" s="6">
        <f>COUNTIFS(Table154157[Country],Tabela1[[#This Row],[Country]],Table154157[1500m Classification],"&gt;0")</f>
        <v>0</v>
      </c>
      <c r="QQ50" s="6">
        <f>COUNTIFS(Table154157[Country],Tabela1[[#This Row],[Country]],Table154157[3000m Classification],"&gt;0")</f>
        <v>0</v>
      </c>
      <c r="QR50" s="6">
        <f>COUNTIFS(Table154[Country],Tabela1[[#This Row],[Country]],Table154[5000m Classification],"&gt;0")</f>
        <v>0</v>
      </c>
      <c r="QS50" s="6">
        <f>COUNTIFS(Table154157[Country],Tabela1[[#This Row],[Country]],Table154157[5000m Classification],"&gt;0")</f>
        <v>0</v>
      </c>
      <c r="QT50" s="6">
        <f>COUNTIFS(Table154[Country],Tabela1[[#This Row],[Country]],Table154[10000m Classification],"&gt;0")</f>
        <v>0</v>
      </c>
      <c r="QU50" s="6">
        <f>COUNTIFS(Table154[Country],Tabela1[[#This Row],[Country]],Table154[Mass Start Classification],"&gt;0")</f>
        <v>0</v>
      </c>
      <c r="QV50" s="6">
        <f>COUNTIFS(Table154157[Country],Tabela1[[#This Row],[Country]],Table154157[Mass Start Classification],"&gt;0")</f>
        <v>0</v>
      </c>
      <c r="QW50" s="6">
        <f>COUNTIFS(Table157[Country],Tabela1[[#This Row],[Country]],Table157[Men''s Pursuit Classification],"&gt;0")</f>
        <v>0</v>
      </c>
      <c r="QX50" s="6">
        <f>COUNTIFS(Table157[Country],Tabela1[[#This Row],[Country]],Table157[Women''s Pursuit Classification],"&gt;0")</f>
        <v>0</v>
      </c>
      <c r="QY50" s="3" t="s">
        <v>621</v>
      </c>
    </row>
    <row r="51" spans="1:467" x14ac:dyDescent="0.3">
      <c r="A51" s="6">
        <v>50</v>
      </c>
      <c r="B51" s="6" t="s">
        <v>378</v>
      </c>
      <c r="C51" t="e" vm="50">
        <f>IF(ISBLANK(Tabela1[[#This Row],[Image Link]]), "", _xlfn.IMAGE(Tabela1[[#This Row],[Image Link]],1,1))</f>
        <v>#VALUE!</v>
      </c>
      <c r="D51" s="6">
        <f>SUM(Tabela1[[#This Row],[Archery - Men''s Individual Recurve]:[Speed Skating - Women''s Team Pursuit]])</f>
        <v>14</v>
      </c>
      <c r="E51" s="6">
        <f>COUNTIF(Tabela1[[#This Row],[Archery - Men''s Individual Recurve]:[Speed Skating - Women''s Team Pursuit]],"&gt;0")</f>
        <v>14</v>
      </c>
      <c r="F51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51" s="6">
        <f>SUM(Tabela1[[#This Row],[Archery - Men''s Individual Recurve]:[Wrestling - Women''s Freestyle 76kg]])</f>
        <v>14</v>
      </c>
      <c r="H51" s="6">
        <f>SUM(Tabela1[[#This Row],[Alpine Skiing - Men''s Downhill]:[Speed Skating - Women''s Team Pursuit]])</f>
        <v>0</v>
      </c>
      <c r="I51" s="6">
        <f>Tabela1[[#This Row],[Summer Gold Medals]]+Tabela1[[#This Row],[Winter Gold Medals]]</f>
        <v>1</v>
      </c>
      <c r="J51" s="6">
        <f>Tabela1[[#This Row],[Summer Silver Medals]]+Tabela1[[#This Row],[Winter Silver Medals]]</f>
        <v>0</v>
      </c>
      <c r="K51" s="6">
        <f>Tabela1[[#This Row],[Summer Bronze Medals]]+Tabela1[[#This Row],[Winter Bronze Medals]]</f>
        <v>1</v>
      </c>
      <c r="L51" s="6">
        <f>SUM(Tabela1[[#This Row],[Total Gold Medals]:[Total Bronze Medals]])</f>
        <v>2</v>
      </c>
      <c r="M51" s="6">
        <v>1</v>
      </c>
      <c r="N51" s="6"/>
      <c r="O51" s="6">
        <v>1</v>
      </c>
      <c r="P51" s="6">
        <f>SUM(Tabela1[[#This Row],[Summer Gold Medals]:[Summer Bronze Medals]])</f>
        <v>2</v>
      </c>
      <c r="Q51" s="6"/>
      <c r="R51" s="6"/>
      <c r="S51" s="6"/>
      <c r="T51" s="6">
        <f>Tabela1[[#This Row],[Winter Gold Medals]]+Tabela1[[#This Row],[Winter Silver Medals]]+Tabela1[[#This Row],[Winter Bronze Medals]]</f>
        <v>0</v>
      </c>
      <c r="U51" s="7">
        <f>Tabela1[[#This Row],[Total Medals]]/Tabela1[[#This Row],[Total Quotas]]</f>
        <v>0.14285714285714285</v>
      </c>
      <c r="V51" s="6">
        <f>COUNTIFS(Table3[Country],Tabela1[[#This Row],[Country]],Table3[Recurve Classification],"&gt;0")</f>
        <v>0</v>
      </c>
      <c r="W51" s="6">
        <f>COUNTIFS(Table33[Country],Tabela1[[#This Row],[Country]],Table33[Recurve Classification],"&gt;0")</f>
        <v>0</v>
      </c>
      <c r="X51" s="6">
        <f>COUNTIFS(Table35[Country],Tabela1[[#This Row],[Country]],Table35[Men''s Team Recurve Classification],"&gt;0")</f>
        <v>0</v>
      </c>
      <c r="Y51" s="6">
        <f>COUNTIFS(Table35[Country],Tabela1[[#This Row],[Country]],Table35[Women''s Team Recurve Classification],"&gt;0")</f>
        <v>0</v>
      </c>
      <c r="Z51" s="6">
        <f>COUNTIFS(Tabela88[Country],Tabela1[[#This Row],[Country]],Tabela88[Mixed Team Recurve Classification],"&gt;0")</f>
        <v>0</v>
      </c>
      <c r="AA51" s="6">
        <f>COUNTIFS(Table36[Country],Tabela1[[#This Row],[Country]],Table36[Classification],"&gt;0")</f>
        <v>0</v>
      </c>
      <c r="AB51" s="6">
        <f>COUNTIFS(Table37[Country],Tabela1[[#This Row],[Country]],Table37[Classification],"&gt;0")</f>
        <v>0</v>
      </c>
      <c r="AC51" s="6">
        <f>COUNTIFS(Table4[Country],Tabela1[[#This Row],[Country]],Table4[100m Classification],"&gt;0")</f>
        <v>0</v>
      </c>
      <c r="AD51" s="6">
        <f>COUNTIFS(Table5[Country],Tabela1[[#This Row],[Country]],Table5[100m Classification],"&gt;0")</f>
        <v>0</v>
      </c>
      <c r="AE51" s="6">
        <f>COUNTIFS(Table4[Country],Tabela1[[#This Row],[Country]],Table4[200m Classification],"&gt;0")</f>
        <v>0</v>
      </c>
      <c r="AF51" s="6">
        <f>COUNTIFS(Table5[Country],Tabela1[[#This Row],[Country]],Table5[200m Classification],"&gt;0")</f>
        <v>0</v>
      </c>
      <c r="AG51" s="6">
        <f>COUNTIFS(Table4[Country],Tabela1[[#This Row],[Country]],Table4[400m Classification],"&gt;0")</f>
        <v>0</v>
      </c>
      <c r="AH51" s="6">
        <f>COUNTIFS(Table5[Country],Tabela1[[#This Row],[Country]],Table5[400m Classification],"&gt;0")</f>
        <v>0</v>
      </c>
      <c r="AI51" s="6">
        <f>COUNTIFS(Table4[Country],Tabela1[[#This Row],[Country]],Table4[800m Classification],"&gt;0")</f>
        <v>0</v>
      </c>
      <c r="AJ51" s="6">
        <f>COUNTIFS(Table5[Country],Tabela1[[#This Row],[Country]],Table5[800m Classification],"&gt;0")</f>
        <v>0</v>
      </c>
      <c r="AK51" s="6">
        <f>COUNTIFS(Table4[Country],Tabela1[[#This Row],[Country]],Table4[1500m Classification],"&gt;0")</f>
        <v>0</v>
      </c>
      <c r="AL51" s="6">
        <f>COUNTIFS(Table5[Country],Tabela1[[#This Row],[Country]],Table5[1500m Classification],"&gt;0")</f>
        <v>0</v>
      </c>
      <c r="AM51" s="6">
        <f>COUNTIFS(Table4[Country],Tabela1[[#This Row],[Country]],Table4[5000m Classification],"&gt;0")</f>
        <v>0</v>
      </c>
      <c r="AN51" s="6">
        <f>COUNTIFS(Table5[Country],Tabela1[[#This Row],[Country]],Table5[5000m Classification],"&gt;0")</f>
        <v>0</v>
      </c>
      <c r="AO51" s="6">
        <f>COUNTIFS(Table4[Country],Tabela1[[#This Row],[Country]],Table4[10000m Classification],"&gt;0")</f>
        <v>0</v>
      </c>
      <c r="AP51" s="6">
        <f>COUNTIFS(Table5[Country],Tabela1[[#This Row],[Country]],Table5[10000m Classification],"&gt;0")</f>
        <v>0</v>
      </c>
      <c r="AQ51" s="6">
        <f>COUNTIFS(Table4[Country],Tabela1[[#This Row],[Country]],Table4[110m Hurdles Classification],"&gt;0")</f>
        <v>0</v>
      </c>
      <c r="AR51" s="6">
        <f>COUNTIFS(Table5[Country],Tabela1[[#This Row],[Country]],Table5[100m Hurdles Classification],"&gt;0")</f>
        <v>0</v>
      </c>
      <c r="AS51" s="6">
        <f>COUNTIFS(Table4[Country],Tabela1[[#This Row],[Country]],Table4[400m Hurdles Classification],"&gt;0")</f>
        <v>0</v>
      </c>
      <c r="AT51" s="6">
        <f>COUNTIFS(Table5[Country],Tabela1[[#This Row],[Country]],Table5[400m Hurdles Classification],"&gt;0")</f>
        <v>0</v>
      </c>
      <c r="AU51" s="6">
        <f>COUNTIFS(Table4[Country],Tabela1[[#This Row],[Country]],Table4[3000m Steeplechase Classification],"&gt;0")</f>
        <v>1</v>
      </c>
      <c r="AV51" s="6">
        <f>COUNTIFS(Table5[Country],Tabela1[[#This Row],[Country]],Table5[3000m Steeplechase Classification],"&gt;0")</f>
        <v>0</v>
      </c>
      <c r="AW51" s="6">
        <f>COUNTIFS(Table27[Country],Tabela1[[#This Row],[Country]],Table27[Men''s 4x100m Relay Classification],"&gt;0")</f>
        <v>0</v>
      </c>
      <c r="AX51" s="6">
        <f>COUNTIFS(Table27[Country],Tabela1[[#This Row],[Country]],Table27[Women''s 4x100m Relay Classification],"&gt;0")</f>
        <v>0</v>
      </c>
      <c r="AY51" s="6">
        <f>COUNTIFS(Table27[Country],Tabela1[[#This Row],[Country]],Table27[Men''s 4x400m Relay Classification],"&gt;0")</f>
        <v>0</v>
      </c>
      <c r="AZ51" s="6">
        <f>COUNTIFS(Table27[Country],Tabela1[[#This Row],[Country]],Table27[Women''s 4x400m Relay Classification],"&gt;0")</f>
        <v>0</v>
      </c>
      <c r="BA51" s="6">
        <f>COUNTIFS(Table27[Country],Tabela1[[#This Row],[Country]],Table27[Mixed 4x400m Relay Classification],"&gt;0")</f>
        <v>0</v>
      </c>
      <c r="BB51" s="6">
        <f>COUNTIFS(Table4[Country],Tabela1[[#This Row],[Country]],Table4[Marathon Classification],"&gt;0")</f>
        <v>0</v>
      </c>
      <c r="BC51" s="6">
        <f>COUNTIFS(Table5[Country],Tabela1[[#This Row],[Country]],Table5[Marathon Classification],"&gt;0")</f>
        <v>0</v>
      </c>
      <c r="BD51" s="6">
        <f>COUNTIFS(Table4[Country],Tabela1[[#This Row],[Country]],Table4[20km Race Walk Classification],"&gt;0")</f>
        <v>0</v>
      </c>
      <c r="BE51" s="6">
        <f>COUNTIFS(Table5[Country],Tabela1[[#This Row],[Country]],Table5[20km Race Walk Classification],"&gt;0")</f>
        <v>0</v>
      </c>
      <c r="BF51" s="6">
        <f>COUNTIFS(Tabela96[Country],Tabela1[[#This Row],[Country]],Tabela96[Mixed Marathon Race Walk Relay Classification],"&gt;0")</f>
        <v>0</v>
      </c>
      <c r="BG51" s="6">
        <f>COUNTIFS(Table4[Country],Tabela1[[#This Row],[Country]],Table4[Discus Throw Classification],"&gt;0")</f>
        <v>0</v>
      </c>
      <c r="BH51" s="6">
        <f>COUNTIFS(Table5[Country],Tabela1[[#This Row],[Country]],Table5[Discus Throw Classification],"&gt;0")</f>
        <v>0</v>
      </c>
      <c r="BI51" s="6">
        <f>COUNTIFS(Table4[Country],Tabela1[[#This Row],[Country]],Table4[Hammer Throw Classification],"&gt;0")</f>
        <v>0</v>
      </c>
      <c r="BJ51" s="6">
        <f>COUNTIFS(Table5[Country],Tabela1[[#This Row],[Country]],Table5[Hammer Throw Classification],"&gt;0")</f>
        <v>0</v>
      </c>
      <c r="BK51" s="6">
        <f>COUNTIFS(Table4[Country],Tabela1[[#This Row],[Country]],Table4[High Jump Classification],"&gt;0")</f>
        <v>0</v>
      </c>
      <c r="BL51" s="6">
        <f>COUNTIFS(Table5[Country],Tabela1[[#This Row],[Country]],Table5[High Jump Classification],"&gt;0")</f>
        <v>0</v>
      </c>
      <c r="BM51" s="6">
        <f>COUNTIFS(Table4[Country],Tabela1[[#This Row],[Country]],Table4[Javelin Throw Classification],"&gt;0")</f>
        <v>0</v>
      </c>
      <c r="BN51" s="6">
        <f>COUNTIFS(Table5[Country],Tabela1[[#This Row],[Country]],Table5[Javelin Throw Classification],"&gt;0")</f>
        <v>0</v>
      </c>
      <c r="BO51" s="6">
        <f>COUNTIFS(Table4[Country],Tabela1[[#This Row],[Country]],Table4[Long Jump Classification],"&gt;0")</f>
        <v>0</v>
      </c>
      <c r="BP51" s="6">
        <f>COUNTIFS(Table5[Country],Tabela1[[#This Row],[Country]],Table5[Long Jump Classification],"&gt;0")</f>
        <v>0</v>
      </c>
      <c r="BQ51" s="6">
        <f>COUNTIFS(Table4[Country],Tabela1[[#This Row],[Country]],Table4[Pole Vault Classification],"&gt;0")</f>
        <v>0</v>
      </c>
      <c r="BR51" s="6">
        <f>COUNTIFS(Table5[Country],Tabela1[[#This Row],[Country]],Table5[Pole Vault Classification],"&gt;0")</f>
        <v>0</v>
      </c>
      <c r="BS51" s="6">
        <f>COUNTIFS(Table4[Country],Tabela1[[#This Row],[Country]],Table4[Shot Put Classification],"&gt;0")</f>
        <v>0</v>
      </c>
      <c r="BT51" s="6">
        <f>COUNTIFS(Table5[Country],Tabela1[[#This Row],[Country]],Table5[Shot Put Classification],"&gt;0")</f>
        <v>0</v>
      </c>
      <c r="BU51" s="6">
        <f>COUNTIFS(Table4[Country],Tabela1[[#This Row],[Country]],Table4[Triple Jump Classification],"&gt;0")</f>
        <v>0</v>
      </c>
      <c r="BV51" s="6">
        <f>COUNTIFS(Table5[Country],Tabela1[[#This Row],[Country]],Table5[Triple Jump Classification],"&gt;0")</f>
        <v>0</v>
      </c>
      <c r="BW51" s="6">
        <f>COUNTIFS(Table4[Country],Tabela1[[#This Row],[Country]],Table4[Decathlon Classification],"&gt;0")</f>
        <v>0</v>
      </c>
      <c r="BX51" s="6">
        <f>COUNTIFS(Table5[Country],Tabela1[[#This Row],[Country]],Table5[Heptathlon Classification],"&gt;0")</f>
        <v>0</v>
      </c>
      <c r="BY51" s="6">
        <f>COUNTIFS(Table61[Country],Tabela1[[#This Row],[Country]],Table61[Classification],"&gt;0")</f>
        <v>0</v>
      </c>
      <c r="BZ51" s="6">
        <f>COUNTIFS(Table38[Country],Tabela1[[#This Row],[Country]],Table38[Classification],"&gt;0")</f>
        <v>0</v>
      </c>
      <c r="CA51" s="6">
        <f>COUNTIFS(Table39[Country],Tabela1[[#This Row],[Country]],Table39[Men''s Classification],"&gt;0")</f>
        <v>0</v>
      </c>
      <c r="CB51" s="6">
        <f>COUNTIFS(Table39[Country],Tabela1[[#This Row],[Country]],Table39[Women''s Classification],"&gt;0")</f>
        <v>0</v>
      </c>
      <c r="CC51" s="6">
        <f>COUNTIFS(Table39[Country],Tabela1[[#This Row],[Country]],Table39[Mixed Classification],"&gt;0")</f>
        <v>0</v>
      </c>
      <c r="CD51" s="6">
        <f>COUNTIFS(Table89[Country],Tabela1[[#This Row],[Country]],Table89[Men''s Classification],"&gt;0")</f>
        <v>0</v>
      </c>
      <c r="CE51" s="6">
        <f>COUNTIFS(Table89[Country],Tabela1[[#This Row],[Country]],Table89[Women''s Classification],"&gt;0")</f>
        <v>0</v>
      </c>
      <c r="CF51" s="6">
        <f>COUNTIFS(Table90[Country],Tabela1[[#This Row],[Country]],Table90[Men''s Classification],"&gt;0")</f>
        <v>0</v>
      </c>
      <c r="CG51" s="6">
        <f>COUNTIFS(Table90[Country],Tabela1[[#This Row],[Country]],Table90[Women''s Classification],"&gt;0")</f>
        <v>0</v>
      </c>
      <c r="CH51" s="6">
        <f>COUNTIFS(Table60[Country],Tabela1[[#This Row],[Country]],Table60[Men''s Classification],"&gt;0")</f>
        <v>1</v>
      </c>
      <c r="CI51" s="6">
        <f>COUNTIFS(Table60[Country],Tabela1[[#This Row],[Country]],Table60[Women''s Classification],"&gt;0")</f>
        <v>0</v>
      </c>
      <c r="CJ51" s="6">
        <f>COUNTIFS(Table6[Country],Tabela1[[#This Row],[Country]],Table6[51kg Classification],"&gt;0")</f>
        <v>0</v>
      </c>
      <c r="CK51" s="6">
        <f>COUNTIFS(Table6[Country],Tabela1[[#This Row],[Country]],Table6[57kg Classification],"&gt;0")</f>
        <v>0</v>
      </c>
      <c r="CL51" s="6">
        <f>COUNTIFS(Table6[Country],Tabela1[[#This Row],[Country]],Table6[63.5kg Classification],"&gt;0")</f>
        <v>0</v>
      </c>
      <c r="CM51" s="6">
        <f>COUNTIFS(Table6[Country],Tabela1[[#This Row],[Country]],Table6[71kg Classification],"&gt;0")</f>
        <v>0</v>
      </c>
      <c r="CN51" s="6">
        <f>COUNTIFS(Table6[Country],Tabela1[[#This Row],[Country]],Table6[80kg Classification],"&gt;0")</f>
        <v>0</v>
      </c>
      <c r="CO51" s="6">
        <f>COUNTIFS(Table6[Country],Tabela1[[#This Row],[Country]],Table6[92kg Classification],"&gt;0")</f>
        <v>0</v>
      </c>
      <c r="CP51" s="6">
        <f>COUNTIFS(Table6[Country],Tabela1[[#This Row],[Country]],Table6[Plus 92kg Classification],"&gt;0")</f>
        <v>0</v>
      </c>
      <c r="CQ51" s="6">
        <f>COUNTIFS(Table7[Country],Tabela1[[#This Row],[Country]],Table7[50kg Classification],"&gt;0")</f>
        <v>1</v>
      </c>
      <c r="CR51" s="6">
        <f>COUNTIFS(Table7[Country],Tabela1[[#This Row],[Country]],Table7[54kg Classification],"&gt;0")</f>
        <v>1</v>
      </c>
      <c r="CS51" s="6">
        <f>COUNTIFS(Table7[Country],Tabela1[[#This Row],[Country]],Table7[57kg Classification],"&gt;0")</f>
        <v>0</v>
      </c>
      <c r="CT51" s="6">
        <f>COUNTIFS(Table7[Country],Tabela1[[#This Row],[Country]],Table7[60kg Classification],"&gt;0")</f>
        <v>0</v>
      </c>
      <c r="CU51" s="6">
        <f>COUNTIFS(Table7[Country],Tabela1[[#This Row],[Country]],Table7[66kg Classification],"&gt;0")</f>
        <v>0</v>
      </c>
      <c r="CV51" s="6">
        <f>COUNTIFS(Table7[Country],Tabela1[[#This Row],[Country]],Table7[75kg Classification],"&gt;0")</f>
        <v>1</v>
      </c>
      <c r="CW51" s="6">
        <f>COUNTIFS(Tabela94[Country],Tabela1[[#This Row],[Country]],Tabela94[Classification],"&gt;0")</f>
        <v>0</v>
      </c>
      <c r="CX51" s="6">
        <f>COUNTIFS(Tabela9499[Country],Tabela1[[#This Row],[Country]],Tabela9499[Classification],"&gt;0")</f>
        <v>0</v>
      </c>
      <c r="CY51" s="6">
        <f>COUNTIFS(Tabela107[Country],Tabela1[[#This Row],[Country]],Tabela107[C1 Slalom Classification],"&gt;0")</f>
        <v>0</v>
      </c>
      <c r="CZ51" s="6">
        <f>COUNTIFS(Tabela107122[Country],Tabela1[[#This Row],[Country]],Tabela107122[C1 Slalom Classification],"&gt;0")</f>
        <v>0</v>
      </c>
      <c r="DA51" s="6">
        <f>COUNTIFS(Tabela107[Country],Tabela1[[#This Row],[Country]],Tabela107[K1 Slalom Classification],"&gt;0")</f>
        <v>0</v>
      </c>
      <c r="DB51" s="6">
        <f>COUNTIFS(Tabela107122[Country],Tabela1[[#This Row],[Country]],Tabela107122[K1 Slalom Classification],"&gt;0")</f>
        <v>0</v>
      </c>
      <c r="DC51" s="6">
        <f>COUNTIFS(Tabela107[Country],Tabela1[[#This Row],[Country]],Tabela107[Kayak Cross Slalom Classification],"&gt;0")</f>
        <v>0</v>
      </c>
      <c r="DD51" s="6">
        <f>COUNTIFS(Tabela107122[Country],Tabela1[[#This Row],[Country]],Tabela107122[Kayak Cross Slalom Classification],"&gt;0")</f>
        <v>0</v>
      </c>
      <c r="DE51" s="6">
        <f>COUNTIFS(Table8[Country],Tabela1[[#This Row],[Country]],Table8[C1 200m Classification],"&gt;0")</f>
        <v>0</v>
      </c>
      <c r="DF51" s="6">
        <f>COUNTIFS(Table40[Country],Tabela1[[#This Row],[Country]],Table40[C1 1000m Classification],"&gt;0")</f>
        <v>0</v>
      </c>
      <c r="DG51" s="6">
        <f>COUNTIFS(Table68[Country],Tabela1[[#This Row],[Country]],Table68[Men''s C2 500m Classification],"&gt;0")</f>
        <v>0</v>
      </c>
      <c r="DH51" s="6">
        <f>COUNTIFS(Table68[Country],Tabela1[[#This Row],[Country]],Table68[Women''s C2 500m Classification],"&gt;0")</f>
        <v>0</v>
      </c>
      <c r="DI51" s="6">
        <f>COUNTIFS(Table8[Country],Tabela1[[#This Row],[Country]],Table8[K1 500m Classification],"&gt;0")</f>
        <v>0</v>
      </c>
      <c r="DJ51" s="6">
        <f>COUNTIFS(Table40[Country],Tabela1[[#This Row],[Country]],Table40[K1 1000m Classification],"&gt;0")</f>
        <v>0</v>
      </c>
      <c r="DK51" s="6">
        <f>COUNTIFS(Table68[Country],Tabela1[[#This Row],[Country]],Table68[Men''s K2 500m Classification],"&gt;0")</f>
        <v>0</v>
      </c>
      <c r="DL51" s="6">
        <f>COUNTIFS(Table68[Country],Tabela1[[#This Row],[Country]],Table68[Women''s K2 500m Classification],"&gt;0")</f>
        <v>0</v>
      </c>
      <c r="DM51" s="6">
        <f>COUNTIFS(Table83[Country],Tabela1[[#This Row],[Country]],Table83[Men''s K4 500m Classification],"&gt;0")</f>
        <v>0</v>
      </c>
      <c r="DN51" s="6">
        <f>COUNTIFS(Table83[Country],Tabela1[[#This Row],[Country]],Table83[Women''s K4 500m Classification],"&gt;0")</f>
        <v>0</v>
      </c>
      <c r="DO51" s="6">
        <f>COUNTIFS(Tabela126[Country],Tabela1[[#This Row],[Country]],Tabela126[Classification],"&gt;0")</f>
        <v>0</v>
      </c>
      <c r="DP51" s="6">
        <f>COUNTIFS(Tabela126130[Country],Tabela1[[#This Row],[Country]],Tabela126130[Classification],"&gt;0")</f>
        <v>0</v>
      </c>
      <c r="DQ51" s="6">
        <f>COUNTIFS(Table70[Country],Tabela1[[#This Row],[Country]],Table70[Classification],"&gt;0")</f>
        <v>1</v>
      </c>
      <c r="DR51" s="6">
        <f>COUNTIFS(Table80[Country],Tabela1[[#This Row],[Country]],Table80[Classification],"&gt;0")</f>
        <v>0</v>
      </c>
      <c r="DS51" s="6">
        <f>COUNTIFS(Table66[Country],Tabela1[[#This Row],[Country]],Table66[Classification],"&gt;0")</f>
        <v>0</v>
      </c>
      <c r="DT51" s="6">
        <f>COUNTIFS(Table67[Country],Tabela1[[#This Row],[Country]],Table67[Classification],"&gt;0")</f>
        <v>0</v>
      </c>
      <c r="DU51" s="6">
        <f>COUNTIFS(Table69[Country],Tabela1[[#This Row],[Country]],Table69[Keirin Classification],"&gt;0")</f>
        <v>0</v>
      </c>
      <c r="DV51" s="6">
        <f>COUNTIFS(Table41[Country],Tabela1[[#This Row],[Country]],Table41[Keirin Classification],"&gt;0")</f>
        <v>0</v>
      </c>
      <c r="DW51" s="6">
        <f>COUNTIFS(Table84[Country],Tabela1[[#This Row],[Country]],Table84[Men''s Madison Classification],"&gt;0")</f>
        <v>0</v>
      </c>
      <c r="DX51" s="6">
        <f>COUNTIFS(Table84[Country],Tabela1[[#This Row],[Country]],Table84[Women''s Madison Classification],"&gt;0")</f>
        <v>0</v>
      </c>
      <c r="DY51" s="6">
        <f>COUNTIFS(Table69[Country],Tabela1[[#This Row],[Country]],Table69[Omnium Classification],"&gt;0")</f>
        <v>0</v>
      </c>
      <c r="DZ51" s="6">
        <f>COUNTIFS(Table41[Country],Tabela1[[#This Row],[Country]],Table41[Omnium Classification],"&gt;0")</f>
        <v>0</v>
      </c>
      <c r="EA51" s="6">
        <f>COUNTIFS(Table9[Country],Tabela1[[#This Row],[Country]],Table9[Road Race Classification],"&gt;0")</f>
        <v>1</v>
      </c>
      <c r="EB51" s="6">
        <f>COUNTIFS(Table14[Country],Tabela1[[#This Row],[Country]],Table14[Road Race Classification],"&gt;0")</f>
        <v>0</v>
      </c>
      <c r="EC51" s="6">
        <f>COUNTIFS(Table69[Country],Tabela1[[#This Row],[Country]],Table69[Sprint Classification],"&gt;0")</f>
        <v>0</v>
      </c>
      <c r="ED51" s="6">
        <f>COUNTIFS(Table41[Country],Tabela1[[#This Row],[Country]],Table41[Sprint Classification],"&gt;0")</f>
        <v>0</v>
      </c>
      <c r="EE51" s="6">
        <f>COUNTIFS(Table85[Country],Tabela1[[#This Row],[Country]],Table85[Men''s Sprint Classification],"&gt;0")</f>
        <v>0</v>
      </c>
      <c r="EF51" s="6">
        <f>COUNTIFS(Table85[Country],Tabela1[[#This Row],[Country]],Table85[Women''s Sprint Classification],"&gt;0")</f>
        <v>0</v>
      </c>
      <c r="EG51" s="6">
        <f>COUNTIFS(Table85[Country],Tabela1[[#This Row],[Country]],Table85[Men''s Pursuit Classification],"&gt;0")</f>
        <v>0</v>
      </c>
      <c r="EH51" s="6">
        <f>COUNTIFS(Table85[Country],Tabela1[[#This Row],[Country]],Table85[Women''s Pursuit Classification],"&gt;0")</f>
        <v>0</v>
      </c>
      <c r="EI51" s="6">
        <f>COUNTIFS(Table9[Country],Tabela1[[#This Row],[Country]],Table9[Time-Trial Classification],"&gt;0")</f>
        <v>1</v>
      </c>
      <c r="EJ51" s="6">
        <f>COUNTIFS(Table14[Country],Tabela1[[#This Row],[Country]],Table14[Time-Trial Classification],"&gt;0")</f>
        <v>0</v>
      </c>
      <c r="EK51" s="6">
        <f>COUNTIFS(Table42[Country],Tabela1[[#This Row],[Country]],Table42[Springboard Classification],"&gt;0")</f>
        <v>0</v>
      </c>
      <c r="EL51" s="6">
        <f>COUNTIFS(Table43[Country],Tabela1[[#This Row],[Country]],Table43[Springboard Classification],"&gt;0")</f>
        <v>0</v>
      </c>
      <c r="EM51" s="6">
        <f>COUNTIFS(Table42[Country],Tabela1[[#This Row],[Country]],Table42[Platform Classification],"&gt;0")</f>
        <v>0</v>
      </c>
      <c r="EN51" s="6">
        <f>COUNTIFS(Table43[Country],Tabela1[[#This Row],[Country]],Table43[Platform Classification],"&gt;0")</f>
        <v>0</v>
      </c>
      <c r="EO51" s="6">
        <f>COUNTIFS(Table86[Country],Tabela1[[#This Row],[Country]],Table86[Men''s Synchronized Springboard Classification],"&gt;0")</f>
        <v>0</v>
      </c>
      <c r="EP51" s="6">
        <f>COUNTIFS(Table86[Country],Tabela1[[#This Row],[Country]],Table86[Women''s Synchronized Springboard Classification],"&gt;0")</f>
        <v>0</v>
      </c>
      <c r="EQ51" s="6">
        <f>COUNTIFS(Table86[Country],Tabela1[[#This Row],[Country]],Table86[Men''s Synchronized Platform Classification],"&gt;0")</f>
        <v>0</v>
      </c>
      <c r="ER51" s="6">
        <f>COUNTIFS(Table86[Country],Tabela1[[#This Row],[Country]],Table86[Women''s Synchronized Platform Classification],"&gt;0")</f>
        <v>0</v>
      </c>
      <c r="ES51" s="6">
        <f>COUNTIFS(Table44[Country],Tabela1[[#This Row],[Country]],Table44[Dressage Classification],"&gt;0")</f>
        <v>0</v>
      </c>
      <c r="ET51" s="6">
        <f>COUNTIFS(Table45[Country],Tabela1[[#This Row],[Country]],Table45[Dressage Classification],"&gt;0")</f>
        <v>0</v>
      </c>
      <c r="EU51" s="6">
        <f>COUNTIFS(Table44[Country],Tabela1[[#This Row],[Country]],Table44[Eventing Classification],"&gt;0")</f>
        <v>1</v>
      </c>
      <c r="EV51" s="6">
        <f>COUNTIFS(Table45[Country],Tabela1[[#This Row],[Country]],Table45[Eventing Classification],"&gt;0")</f>
        <v>0</v>
      </c>
      <c r="EW51" s="6">
        <f>COUNTIFS(Table44[Country],Tabela1[[#This Row],[Country]],Table44[Jumping Classification],"&gt;0")</f>
        <v>0</v>
      </c>
      <c r="EX51" s="6">
        <f>COUNTIFS(Table45[Country],Tabela1[[#This Row],[Country]],Table45[Jumping Classification],"&gt;0")</f>
        <v>0</v>
      </c>
      <c r="EY51" s="6">
        <f>COUNTIFS(Table10[Country],Tabela1[[#This Row],[Country]],Table10[Épée Classification],"&gt;0")</f>
        <v>0</v>
      </c>
      <c r="EZ51" s="6">
        <f>COUNTIFS(Table11[Country],Tabela1[[#This Row],[Country]],Table11[Épée Classification],"&gt;0")</f>
        <v>0</v>
      </c>
      <c r="FA51" s="6">
        <f>COUNTIFS(Table46[Country],Tabela1[[#This Row],[Country]],Table46[Men''s Épée Classification],"&gt;0")</f>
        <v>0</v>
      </c>
      <c r="FB51" s="6">
        <f>COUNTIFS(Table46[Country],Tabela1[[#This Row],[Country]],Table46[Women''s Épée Classification],"&gt;0")</f>
        <v>0</v>
      </c>
      <c r="FC51" s="6">
        <f>COUNTIFS(Table10[Country],Tabela1[[#This Row],[Country]],Table10[Foil Classification],"&gt;0")</f>
        <v>0</v>
      </c>
      <c r="FD51" s="6">
        <f>COUNTIFS(Table11[Country],Tabela1[[#This Row],[Country]],Table11[Foil Classification],"&gt;0")</f>
        <v>0</v>
      </c>
      <c r="FE51" s="6">
        <f>COUNTIFS(Table46[Country],Tabela1[[#This Row],[Country]],Table46[Men''s Foil Classification],"&gt;0")</f>
        <v>0</v>
      </c>
      <c r="FF51" s="6">
        <f>COUNTIFS(Table46[Country],Tabela1[[#This Row],[Country]],Table46[Women''s Foil Classification],"&gt;0")</f>
        <v>0</v>
      </c>
      <c r="FG51" s="6">
        <f>COUNTIFS(Table10[Country],Tabela1[[#This Row],[Country]],Table10[Sabre Classification],"&gt;0")</f>
        <v>0</v>
      </c>
      <c r="FH51" s="6">
        <f>COUNTIFS(Table11[Country],Tabela1[[#This Row],[Country]],Table11[Sabre Classification],"&gt;0")</f>
        <v>0</v>
      </c>
      <c r="FI51" s="6">
        <f>COUNTIFS(Table46[Country],Tabela1[[#This Row],[Country]],Table46[Men''s Sabre Classification],"&gt;0")</f>
        <v>0</v>
      </c>
      <c r="FJ51" s="6">
        <f>COUNTIFS(Table46[Country],Tabela1[[#This Row],[Country]],Table46[Women''s Sabre Classification],"&gt;0")</f>
        <v>0</v>
      </c>
      <c r="FK51" s="6">
        <f>COUNTIFS(Table91[Country],Tabela1[[#This Row],[Country]],Table91[Men''s Classification],"&gt;0")</f>
        <v>0</v>
      </c>
      <c r="FL51" s="6">
        <f>COUNTIFS(Table91[Country],Tabela1[[#This Row],[Country]],Table91[Women''s Classification],"&gt;0")</f>
        <v>0</v>
      </c>
      <c r="FM51" s="6">
        <f>COUNTIFS(Table9194[Country],Tabela1[[#This Row],[Country]],Table9194[Men''s Classification],"&gt;0")</f>
        <v>1</v>
      </c>
      <c r="FN51" s="6">
        <f>COUNTIFS(Table9194[Country],Tabela1[[#This Row],[Country]],Table9194[Women''s Classification],"&gt;0")</f>
        <v>0</v>
      </c>
      <c r="FO51" s="6">
        <f>COUNTIFS(Table71[Country],Tabela1[[#This Row],[Country]],Table71[Classification],"&gt;0")</f>
        <v>0</v>
      </c>
      <c r="FP51" s="6">
        <f>COUNTIFS(Table62[Country],Tabela1[[#This Row],[Country]],Table62[Classification],"&gt;0")</f>
        <v>1</v>
      </c>
      <c r="FQ51" s="6">
        <f>COUNTIFS(Table47[Country],Tabela1[[#This Row],[Country]],Table47[All-Around Classification],"&gt;0")</f>
        <v>0</v>
      </c>
      <c r="FR51" s="6">
        <f>COUNTIFS(Table48[Country],Tabela1[[#This Row],[Country]],Table48[All-Around Classification],"&gt;0")</f>
        <v>0</v>
      </c>
      <c r="FS51" s="6">
        <f>COUNTIFS(Table81[Country],Tabela1[[#This Row],[Country]],Table81[Men''s All-Around Classification],"&gt;0")</f>
        <v>0</v>
      </c>
      <c r="FT51" s="6">
        <f>COUNTIFS(Table81[Country],Tabela1[[#This Row],[Country]],Table81[Women''s All-Around Classification],"&gt;0")</f>
        <v>0</v>
      </c>
      <c r="FU51" s="6">
        <f>COUNTIFS(Table48[Country],Tabela1[[#This Row],[Country]],Table48[Balance Beam Classification],"&gt;0")</f>
        <v>0</v>
      </c>
      <c r="FV51" s="6">
        <f>COUNTIFS(Table47[Country],Tabela1[[#This Row],[Country]],Table47[Floor Exercise Classification],"&gt;0")</f>
        <v>0</v>
      </c>
      <c r="FW51" s="6">
        <f>COUNTIFS(Table48[Country],Tabela1[[#This Row],[Country]],Table48[Floor Exercise Classification],"&gt;0")</f>
        <v>0</v>
      </c>
      <c r="FX51" s="6">
        <f>COUNTIFS(Table47[Country],Tabela1[[#This Row],[Country]],Table47[Horizontal Bar Classification],"&gt;0")</f>
        <v>0</v>
      </c>
      <c r="FY51" s="6">
        <f>COUNTIFS(Table47[Country],Tabela1[[#This Row],[Country]],Table47[Parallel Bars Classification],"&gt;0")</f>
        <v>0</v>
      </c>
      <c r="FZ51" s="6">
        <f>COUNTIFS(Table47[Country],Tabela1[[#This Row],[Country]],Table47[Pommel Horse Classification],"&gt;0")</f>
        <v>0</v>
      </c>
      <c r="GA51" s="6">
        <f>COUNTIFS(Table47[Country],Tabela1[[#This Row],[Country]],Table47[Rings Classification],"&gt;0")</f>
        <v>0</v>
      </c>
      <c r="GB51" s="6">
        <f>COUNTIFS(Tabela132[Country],Tabela1[[#This Row],[Country]],Tabela132[Classification],"&gt;0")</f>
        <v>0</v>
      </c>
      <c r="GC51" s="6">
        <f>COUNTIFS(Tabela139[Country],Tabela1[[#This Row],[Country]],Tabela139[Classification],"&gt;0")</f>
        <v>0</v>
      </c>
      <c r="GD51" s="6">
        <f>COUNTIFS(Table48[Country],Tabela1[[#This Row],[Country]],Table48[Uneven Bars Classification],"&gt;0")</f>
        <v>0</v>
      </c>
      <c r="GE51" s="6">
        <f>COUNTIFS(Table47[Country],Tabela1[[#This Row],[Country]],Table47[Vault Classification],"&gt;0")</f>
        <v>0</v>
      </c>
      <c r="GF51" s="6">
        <f>COUNTIFS(Table48[Country],Tabela1[[#This Row],[Country]],Table48[Vault Classification],"&gt;0")</f>
        <v>0</v>
      </c>
      <c r="GG51" s="6">
        <f>COUNTIFS(Table919496[Country],Tabela1[[#This Row],[Country]],Table919496[Men''s Classification],"&gt;0")</f>
        <v>0</v>
      </c>
      <c r="GH51" s="6">
        <f>COUNTIFS(Table919496[Country],Tabela1[[#This Row],[Country]],Table919496[Women''s Classification],"&gt;0")</f>
        <v>0</v>
      </c>
      <c r="GI51" s="6">
        <f>COUNTIFS(Table12[Country],Tabela1[[#This Row],[Country]],Table12[60kg Classification],"&gt;0")</f>
        <v>0</v>
      </c>
      <c r="GJ51" s="6">
        <f>COUNTIFS(Table12[Country],Tabela1[[#This Row],[Country]],Table12[66kg Classification],"&gt;0")</f>
        <v>0</v>
      </c>
      <c r="GK51" s="6">
        <f>COUNTIFS(Table12[Country],Tabela1[[#This Row],[Country]],Table12[73kg Classification],"&gt;0")</f>
        <v>0</v>
      </c>
      <c r="GL51" s="6">
        <f>COUNTIFS(Table12[Country],Tabela1[[#This Row],[Country]],Table12[81kg Classification],"&gt;0")</f>
        <v>1</v>
      </c>
      <c r="GM51" s="6">
        <f>COUNTIFS(Table12[Country],Tabela1[[#This Row],[Country]],Table12[90kg Classification],"&gt;0")</f>
        <v>0</v>
      </c>
      <c r="GN51" s="6">
        <f>COUNTIFS(Table12[Country],Tabela1[[#This Row],[Country]],Table12[100kg Classification],"&gt;0")</f>
        <v>0</v>
      </c>
      <c r="GO51" s="6">
        <f>COUNTIFS(Table12[Country],Tabela1[[#This Row],[Country]],Table12[Plus 100kg Classification],"&gt;0")</f>
        <v>0</v>
      </c>
      <c r="GP51" s="6">
        <f>COUNTIFS(Table13[Country],Tabela1[[#This Row],[Country]],Table13[48kg Classification],"&gt;0")</f>
        <v>0</v>
      </c>
      <c r="GQ51" s="6">
        <f>COUNTIFS(Table13[Country],Tabela1[[#This Row],[Country]],Table13[52kg Classification],"&gt;0")</f>
        <v>0</v>
      </c>
      <c r="GR51" s="6">
        <f>COUNTIFS(Table13[Country],Tabela1[[#This Row],[Country]],Table13[57kg Classification],"&gt;0")</f>
        <v>0</v>
      </c>
      <c r="GS51" s="6">
        <f>COUNTIFS(Table13[Country],Tabela1[[#This Row],[Country]],Table13[63kg Classification],"&gt;0")</f>
        <v>0</v>
      </c>
      <c r="GT51" s="6">
        <f>COUNTIFS(Table13[Country],Tabela1[[#This Row],[Country]],Table13[70kg Classification],"&gt;0")</f>
        <v>0</v>
      </c>
      <c r="GU51" s="6">
        <f>COUNTIFS(Table13[Country],Tabela1[[#This Row],[Country]],Table13[78kg Classification],"&gt;0")</f>
        <v>0</v>
      </c>
      <c r="GV51" s="6">
        <f>COUNTIFS(Table13[Country],Tabela1[[#This Row],[Country]],Table13[Plus 78kg Classification],"&gt;0")</f>
        <v>0</v>
      </c>
      <c r="GW51" s="6">
        <f>COUNTIFS(Table82[Country],Tabela1[[#This Row],[Country]],Table82[Mixed Classification],"&gt;0")</f>
        <v>0</v>
      </c>
      <c r="GX51" s="6">
        <f>COUNTIFS(Table51[Country],Tabela1[[#This Row],[Country]],Table51[Classification],"&gt;0")</f>
        <v>0</v>
      </c>
      <c r="GY51" s="6">
        <f>COUNTIFS(Table52[Country],Tabela1[[#This Row],[Country]],Table52[Classification],"&gt;0")</f>
        <v>0</v>
      </c>
      <c r="GZ51" s="6">
        <f>COUNTIFS(Table32[Country],Tabela1[[#This Row],[Country]],Table32[All-Around Classification],"&gt;0")</f>
        <v>0</v>
      </c>
      <c r="HA51" s="6">
        <f>COUNTIFS(Table49[Country],Tabela1[[#This Row],[Country]],Table49[All-Around Classification],"&gt;0")</f>
        <v>0</v>
      </c>
      <c r="HB51" s="6">
        <f>COUNTIFS(Table26[Country],Tabela1[[#This Row],[Country]],Table26[Single Sculls Classification],"&gt;0")</f>
        <v>0</v>
      </c>
      <c r="HC51" s="6">
        <f>COUNTIFS(Table63[Country],Tabela1[[#This Row],[Country]],Table63[Single Sculls Classification],"&gt;0")</f>
        <v>0</v>
      </c>
      <c r="HD51" s="6">
        <f>COUNTIFS(Table16[Country],Tabela1[[#This Row],[Country]],Table16[Men''s Double Sculls Classification],"&gt;0")</f>
        <v>0</v>
      </c>
      <c r="HE51" s="6">
        <f>COUNTIFS(Table16[Country],Tabela1[[#This Row],[Country]],Table16[Women''s Double Sculls Classification],"&gt;0")</f>
        <v>0</v>
      </c>
      <c r="HF51" s="6">
        <f>COUNTIFS(Table72[Country],Tabela1[[#This Row],[Country]],Table72[Men''s Quadruple Sculls Classification],"&gt;0")</f>
        <v>0</v>
      </c>
      <c r="HG51" s="6">
        <f>COUNTIFS(Table72[Country],Tabela1[[#This Row],[Country]],Table72[Women''s Quadruple Sculls Classification],"&gt;0")</f>
        <v>0</v>
      </c>
      <c r="HH51" s="6">
        <f>COUNTIFS(Table16[Country],Tabela1[[#This Row],[Country]],Table16[Men''s Coxless Pairs Classification],"&gt;0")</f>
        <v>0</v>
      </c>
      <c r="HI51" s="6">
        <f>COUNTIFS(Table16[Country],Tabela1[[#This Row],[Country]],Table16[Women''s Coxless Pairs Classification],"&gt;0")</f>
        <v>0</v>
      </c>
      <c r="HJ51" s="6">
        <f>COUNTIFS(Table72[Country],Tabela1[[#This Row],[Country]],Table72[Men''s Coxless Fours Classification],"&gt;0")</f>
        <v>0</v>
      </c>
      <c r="HK51" s="6">
        <f>COUNTIFS(Table72[Country],Tabela1[[#This Row],[Country]],Table72[Women''s Coxless Fours Classification],"&gt;0")</f>
        <v>0</v>
      </c>
      <c r="HL51" s="6">
        <f>COUNTIFS(Table72[Country],Tabela1[[#This Row],[Country]],Table72[Men''s Eights Classification],"&gt;0")</f>
        <v>0</v>
      </c>
      <c r="HM51" s="6">
        <f>COUNTIFS(Table72[Country],Tabela1[[#This Row],[Country]],Table72[Women''s Eights Classification],"&gt;0")</f>
        <v>0</v>
      </c>
      <c r="HN51" s="6">
        <f>COUNTIFS(Table16[Country],Tabela1[[#This Row],[Country]],Table16[Men''s Lwt. Double Sculls Classification],"&gt;0")</f>
        <v>0</v>
      </c>
      <c r="HO51" s="6">
        <f>COUNTIFS(Table16[Country],Tabela1[[#This Row],[Country]],Table16[Women''s Lwt. Double Sculls Classification],"&gt;0")</f>
        <v>0</v>
      </c>
      <c r="HP51" s="6">
        <f>COUNTIFS(Table91949698[Country],Tabela1[[#This Row],[Country]],Table91949698[Men''s Classification],"&gt;0")</f>
        <v>0</v>
      </c>
      <c r="HQ51" s="6">
        <f>COUNTIFS(Table91949698[Country],Tabela1[[#This Row],[Country]],Table91949698[Women''s Classification],"&gt;0")</f>
        <v>0</v>
      </c>
      <c r="HR51" s="6">
        <f>COUNTIFS(Table25[Country],Tabela1[[#This Row],[Country]],Table25[Mixed 470 Classification],"&gt;0")</f>
        <v>0</v>
      </c>
      <c r="HS51" s="6">
        <f>COUNTIFS(Table25[Country],Tabela1[[#This Row],[Country]],Table25[Men''s 49er Classification],"&gt;0")</f>
        <v>0</v>
      </c>
      <c r="HT51" s="6">
        <f>COUNTIFS(Table25[Country],Tabela1[[#This Row],[Country]],Table25[Women''s 49er FX Classification],"&gt;0")</f>
        <v>0</v>
      </c>
      <c r="HU51" s="6">
        <f>COUNTIFS(Table17[Country],Tabela1[[#This Row],[Country]],Table17[Formula Kite Classification],"&gt;0")</f>
        <v>0</v>
      </c>
      <c r="HV51" s="6">
        <f>COUNTIFS(Table18[Country],Tabela1[[#This Row],[Country]],Table18[Formula Kite Classification],"&gt;0")</f>
        <v>0</v>
      </c>
      <c r="HW51" s="6">
        <f>COUNTIFS(Table17[Country],Tabela1[[#This Row],[Country]],Table17[ILCA 7 Classification],"&gt;0")</f>
        <v>0</v>
      </c>
      <c r="HX51" s="6">
        <f>COUNTIFS(Table18[Country],Tabela1[[#This Row],[Country]],Table18[ILCA 6 Classification],"&gt;0")</f>
        <v>0</v>
      </c>
      <c r="HY51" s="6">
        <f>COUNTIFS(Table17[Country],Tabela1[[#This Row],[Country]],Table17[IQFoil Classification],"&gt;0")</f>
        <v>0</v>
      </c>
      <c r="HZ51" s="6">
        <f>COUNTIFS(Table18[Country],Tabela1[[#This Row],[Country]],Table18[IQFoil Classification],"&gt;0")</f>
        <v>0</v>
      </c>
      <c r="IA51" s="6">
        <f>COUNTIFS(Table25[Country],Tabela1[[#This Row],[Country]],Table25[Mixed Nacra 17 Classification],"&gt;0")</f>
        <v>0</v>
      </c>
      <c r="IB51" s="6">
        <f>COUNTIFS(Table53[Country],Tabela1[[#This Row],[Country]],Table53[10m Air Pistol Classification],"&gt;0")</f>
        <v>0</v>
      </c>
      <c r="IC51" s="6">
        <f>COUNTIFS(Table19[Country],Tabela1[[#This Row],[Country]],Table19[10m Air Pistol Classification],"&gt;0")</f>
        <v>0</v>
      </c>
      <c r="ID51" s="6">
        <f>COUNTIFS(Table54[Country],Tabela1[[#This Row],[Country]],Table54[Mixed 10m Air Pistol Team Classification],"&gt;0")</f>
        <v>0</v>
      </c>
      <c r="IE51" s="6">
        <f>COUNTIFS(Table53[Country],Tabela1[[#This Row],[Country]],Table53[10m Air Rifle Classification],"&gt;0")</f>
        <v>0</v>
      </c>
      <c r="IF51" s="6">
        <f>COUNTIFS(Table19[Country],Tabela1[[#This Row],[Country]],Table19[10m Air Rifle Classification],"&gt;0")</f>
        <v>0</v>
      </c>
      <c r="IG51" s="6">
        <f>COUNTIFS(Table54[Country],Tabela1[[#This Row],[Country]],Table54[Mixed 10m Air Rifle Team Classification],"&gt;0")</f>
        <v>0</v>
      </c>
      <c r="IH51" s="6">
        <f>COUNTIFS(Table53[Country],Tabela1[[#This Row],[Country]],Table53[25m Rapid Fire Pistol Classification],"&gt;0")</f>
        <v>0</v>
      </c>
      <c r="II51" s="6">
        <f>COUNTIFS(Table19[Country],Tabela1[[#This Row],[Country]],Table19[25m Pistol Classification],"&gt;0")</f>
        <v>0</v>
      </c>
      <c r="IJ51" s="6">
        <f>COUNTIFS(Table53[Country],Tabela1[[#This Row],[Country]],Table53[50m Rifle 3 Positions Classification],"&gt;0")</f>
        <v>0</v>
      </c>
      <c r="IK51" s="6">
        <f>COUNTIFS(Table19[Country],Tabela1[[#This Row],[Country]],Table19[50m Rifle 3 Positions Classification],"&gt;0")</f>
        <v>0</v>
      </c>
      <c r="IL51" s="6">
        <f>COUNTIFS(Table53[Country],Tabela1[[#This Row],[Country]],Table53[Skeet Classification],"&gt;0")</f>
        <v>0</v>
      </c>
      <c r="IM51" s="6">
        <f>COUNTIFS(Table19[Country],Tabela1[[#This Row],[Country]],Table19[Skeet Classification],"&gt;0")</f>
        <v>0</v>
      </c>
      <c r="IN51" s="6">
        <f>COUNTIFS(Table54[Country],Tabela1[[#This Row],[Country]],Table54[Mixed Skeet Team Classification],"&gt;0")</f>
        <v>0</v>
      </c>
      <c r="IO51" s="6">
        <f>COUNTIFS(Table53[Country],Tabela1[[#This Row],[Country]],Table53[Trap Classification],"&gt;0")</f>
        <v>0</v>
      </c>
      <c r="IP51" s="6">
        <f>COUNTIFS(Table19[Country],Tabela1[[#This Row],[Country]],Table19[Trap Classification],"&gt;0")</f>
        <v>0</v>
      </c>
      <c r="IQ51" s="6">
        <f>COUNTIFS(Table73[Country],Tabela1[[#This Row],[Country]],Table73[Park Classification],"&gt;0")</f>
        <v>0</v>
      </c>
      <c r="IR51" s="6">
        <f>COUNTIFS(Table74[Country],Tabela1[[#This Row],[Country]],Table74[Park Classification],"&gt;0")</f>
        <v>0</v>
      </c>
      <c r="IS51" s="6">
        <f>COUNTIFS(Table73[Country],Tabela1[[#This Row],[Country]],Table73[Street Classification],"&gt;0")</f>
        <v>0</v>
      </c>
      <c r="IT51" s="6">
        <f>COUNTIFS(Table74[Country],Tabela1[[#This Row],[Country]],Table74[Street Classification],"&gt;0")</f>
        <v>0</v>
      </c>
      <c r="IU51" s="6">
        <f>COUNTIFS(Table75[Country],Tabela1[[#This Row],[Country]],Table75[Boulder and Lead Classification],"&gt;0")</f>
        <v>0</v>
      </c>
      <c r="IV51" s="6">
        <f>COUNTIFS(Table76[Country],Tabela1[[#This Row],[Country]],Table76[Boulder and Lead Classification],"&gt;0")</f>
        <v>0</v>
      </c>
      <c r="IW51" s="6">
        <f>COUNTIFS(Table75[Country],Tabela1[[#This Row],[Country]],Table75[Speed Classification],"&gt;0")</f>
        <v>0</v>
      </c>
      <c r="IX51" s="6">
        <f>COUNTIFS(Table76[Country],Tabela1[[#This Row],[Country]],Table76[Speed Classification],"&gt;0")</f>
        <v>0</v>
      </c>
      <c r="IY51" s="6">
        <f>COUNTIFS(Table64[Country],Tabela1[[#This Row],[Country]],Table64[Shortboard Classification],"&gt;0")</f>
        <v>0</v>
      </c>
      <c r="IZ51" s="6">
        <f>COUNTIFS(Table77[Country],Tabela1[[#This Row],[Country]],Table77[Shortboard Classification],"&gt;0")</f>
        <v>0</v>
      </c>
      <c r="JA51" s="6">
        <f>COUNTIFS(Table20[Country],Tabela1[[#This Row],[Country]],Table20[50m Freestyle Classification],"&gt;0")</f>
        <v>0</v>
      </c>
      <c r="JB51" s="6">
        <f>COUNTIFS(Table21[Country],Tabela1[[#This Row],[Country]],Table21[50m Freestyle Classification],"&gt;0")</f>
        <v>0</v>
      </c>
      <c r="JC51" s="6">
        <f>COUNTIFS(Table20[Country],Tabela1[[#This Row],[Country]],Table20[100m Freestyle Classification],"&gt;0")</f>
        <v>0</v>
      </c>
      <c r="JD51" s="6">
        <f>COUNTIFS(Table21[Country],Tabela1[[#This Row],[Country]],Table21[100m Freestyle Classification],"&gt;0")</f>
        <v>0</v>
      </c>
      <c r="JE51" s="6">
        <f>COUNTIFS(Table20[Country],Tabela1[[#This Row],[Country]],Table20[200m Freestyle Classification],"&gt;0")</f>
        <v>0</v>
      </c>
      <c r="JF51" s="6">
        <f>COUNTIFS(Table21[Country],Tabela1[[#This Row],[Country]],Table21[200m Freestyle Classification],"&gt;0")</f>
        <v>0</v>
      </c>
      <c r="JG51" s="6">
        <f>COUNTIFS(Table20[Country],Tabela1[[#This Row],[Country]],Table20[400m Freestyle Classification],"&gt;0")</f>
        <v>1</v>
      </c>
      <c r="JH51" s="6">
        <f>COUNTIFS(Table21[Country],Tabela1[[#This Row],[Country]],Table21[400m Freestyle Classification],"&gt;0")</f>
        <v>0</v>
      </c>
      <c r="JI51" s="6">
        <f>COUNTIFS(Table20[Country],Tabela1[[#This Row],[Country]],Table20[800m Freestyle Classification],"&gt;0")</f>
        <v>0</v>
      </c>
      <c r="JJ51" s="6">
        <f>COUNTIFS(Table21[Country],Tabela1[[#This Row],[Country]],Table21[800m Freestyle Classification],"&gt;0")</f>
        <v>0</v>
      </c>
      <c r="JK51" s="6">
        <f>COUNTIFS(Table20[Country],Tabela1[[#This Row],[Country]],Table20[1500m Freestyle Classification],"&gt;0")</f>
        <v>0</v>
      </c>
      <c r="JL51" s="6">
        <f>COUNTIFS(Table21[Country],Tabela1[[#This Row],[Country]],Table21[1500m Freestyle Classification],"&gt;0")</f>
        <v>0</v>
      </c>
      <c r="JM51" s="6">
        <f>COUNTIFS(Table20[Country],Tabela1[[#This Row],[Country]],Table20[100m Backstroke Classification],"&gt;0")</f>
        <v>0</v>
      </c>
      <c r="JN51" s="6">
        <f>COUNTIFS(Table21[Country],Tabela1[[#This Row],[Country]],Table21[100m Backstroke Classification],"&gt;0")</f>
        <v>0</v>
      </c>
      <c r="JO51" s="6">
        <f>COUNTIFS(Table20[Country],Tabela1[[#This Row],[Country]],Table20[200m Backstroke Classification],"&gt;0")</f>
        <v>0</v>
      </c>
      <c r="JP51" s="6">
        <f>COUNTIFS(Table21[Country],Tabela1[[#This Row],[Country]],Table21[200m Backstroke Classification],"&gt;0")</f>
        <v>0</v>
      </c>
      <c r="JQ51" s="6">
        <f>COUNTIFS(Table20[Country],Tabela1[[#This Row],[Country]],Table20[100m Breaststroke Classification],"&gt;0")</f>
        <v>0</v>
      </c>
      <c r="JR51" s="6">
        <f>COUNTIFS(Table21[Country],Tabela1[[#This Row],[Country]],Table21[100m Breaststroke Classification],"&gt;0")</f>
        <v>0</v>
      </c>
      <c r="JS51" s="6">
        <f>COUNTIFS(Table20[Country],Tabela1[[#This Row],[Country]],Table20[200m Breaststroke Classification],"&gt;0")</f>
        <v>0</v>
      </c>
      <c r="JT51" s="6">
        <f>COUNTIFS(Table21[Country],Tabela1[[#This Row],[Country]],Table21[200m Breaststroke Classification],"&gt;0")</f>
        <v>0</v>
      </c>
      <c r="JU51" s="6">
        <f>COUNTIFS(Table20[Country],Tabela1[[#This Row],[Country]],Table20[100m Butterfly Classification],"&gt;0")</f>
        <v>0</v>
      </c>
      <c r="JV51" s="6">
        <f>COUNTIFS(Table21[Country],Tabela1[[#This Row],[Country]],Table21[100m Butterfly Classification],"&gt;0")</f>
        <v>0</v>
      </c>
      <c r="JW51" s="6">
        <f>COUNTIFS(Table20[Country],Tabela1[[#This Row],[Country]],Table20[200m Butterfly Classification],"&gt;0")</f>
        <v>0</v>
      </c>
      <c r="JX51" s="6">
        <f>COUNTIFS(Table21[Country],Tabela1[[#This Row],[Country]],Table21[200m Butterfly Classification],"&gt;0")</f>
        <v>0</v>
      </c>
      <c r="JY51" s="6">
        <f>COUNTIFS(Table20[Country],Tabela1[[#This Row],[Country]],Table20[200m Medley Classification],"&gt;0")</f>
        <v>0</v>
      </c>
      <c r="JZ51" s="6">
        <f>COUNTIFS(Table21[Country],Tabela1[[#This Row],[Country]],Table21[200m Medley Classification],"&gt;0")</f>
        <v>0</v>
      </c>
      <c r="KA51" s="6">
        <f>COUNTIFS(Table20[Country],Tabela1[[#This Row],[Country]],Table20[400m Medley Classification],"&gt;0")</f>
        <v>0</v>
      </c>
      <c r="KB51" s="6">
        <f>COUNTIFS(Table21[Country],Tabela1[[#This Row],[Country]],Table21[400m Medley Classification],"&gt;0")</f>
        <v>0</v>
      </c>
      <c r="KC51" s="6">
        <f>COUNTIFS(Table78[Country],Tabela1[[#This Row],[Country]],Table78[Men''s 4x100m Freestyle Relay Classification],"&gt;0")</f>
        <v>0</v>
      </c>
      <c r="KD51" s="6">
        <f>COUNTIFS(Table78[Country],Tabela1[[#This Row],[Country]],Table78[Women''s 4x100m Freestyle Relay Classification],"&gt;0")</f>
        <v>0</v>
      </c>
      <c r="KE51" s="6">
        <f>COUNTIFS(Table78[Country],Tabela1[[#This Row],[Country]],Table78[Men''s 4x200m Freestyle Relay Classification],"&gt;0")</f>
        <v>0</v>
      </c>
      <c r="KF51" s="6">
        <f>COUNTIFS(Table78[Country],Tabela1[[#This Row],[Country]],Table78[Women''s 4x200m Freestyle Relay Classification],"&gt;0")</f>
        <v>0</v>
      </c>
      <c r="KG51" s="6">
        <f>COUNTIFS(Table78[Country],Tabela1[[#This Row],[Country]],Table78[Men''s 4x100m Medley Relay Classification],"&gt;0")</f>
        <v>0</v>
      </c>
      <c r="KH51" s="6">
        <f>COUNTIFS(Table78[Country],Tabela1[[#This Row],[Country]],Table78[Women''s 4x100m Medley Relay Classification],"&gt;0")</f>
        <v>0</v>
      </c>
      <c r="KI51" s="6">
        <f>COUNTIFS(Table78[Country],Tabela1[[#This Row],[Country]],Table78[Mixed 4x100m Medley Relay Classification],"&gt;0")</f>
        <v>0</v>
      </c>
      <c r="KJ51" s="6">
        <f>COUNTIFS(Table20[Country],Tabela1[[#This Row],[Country]],Table20[10km Open Water Classification],"&gt;0")</f>
        <v>0</v>
      </c>
      <c r="KK51" s="6">
        <f>COUNTIFS(Table21[Country],Tabela1[[#This Row],[Country]],Table21[10km Open Water Classification],"&gt;0")</f>
        <v>0</v>
      </c>
      <c r="KL51" s="6">
        <f>COUNTIFS(Table22[Country],Tabela1[[#This Row],[Country]],Table22[Classification],"&gt;0")</f>
        <v>0</v>
      </c>
      <c r="KM51" s="6">
        <f>COUNTIFS(Table30[Country],Tabela1[[#This Row],[Country]],Table30[Classification],"&gt;0")</f>
        <v>0</v>
      </c>
      <c r="KN51" s="6">
        <f>COUNTIFS(Table55[Country],Tabela1[[#This Row],[Country]],Table55[Men''s Classification],"&gt;0")</f>
        <v>0</v>
      </c>
      <c r="KO51" s="6">
        <f>COUNTIFS(Table55[Country],Tabela1[[#This Row],[Country]],Table55[Women''s Classification],"&gt;0")</f>
        <v>0</v>
      </c>
      <c r="KP51" s="6">
        <f>COUNTIFS(Table56[Country],Tabela1[[#This Row],[Country]],Table56[Mixed Classification],"&gt;0")</f>
        <v>0</v>
      </c>
      <c r="KQ51" s="6">
        <f>COUNTIFS(Table29[Country],Tabela1[[#This Row],[Country]],Table29[58kg Classification],"&gt;0")</f>
        <v>0</v>
      </c>
      <c r="KR51" s="6">
        <f>COUNTIFS(Table29[Country],Tabela1[[#This Row],[Country]],Table29[68kg Classification],"&gt;0")</f>
        <v>0</v>
      </c>
      <c r="KS51" s="6">
        <f>COUNTIFS(Table29[Country],Tabela1[[#This Row],[Country]],Table29[80kg Classification],"&gt;0")</f>
        <v>0</v>
      </c>
      <c r="KT51" s="6">
        <f>COUNTIFS(Table29[Country],Tabela1[[#This Row],[Country]],Table29[Plus 80kg Classification],"&gt;0")</f>
        <v>0</v>
      </c>
      <c r="KU51" s="6">
        <f>COUNTIFS(Table34[Country],Tabela1[[#This Row],[Country]],Table34[49kg Classification],"&gt;0")</f>
        <v>1</v>
      </c>
      <c r="KV51" s="6">
        <f>COUNTIFS(Table34[Country],Tabela1[[#This Row],[Country]],Table34[57kg Classification],"&gt;0")</f>
        <v>0</v>
      </c>
      <c r="KW51" s="6">
        <f>COUNTIFS(Table34[Country],Tabela1[[#This Row],[Country]],Table34[67kg Classification],"&gt;0")</f>
        <v>0</v>
      </c>
      <c r="KX51" s="6">
        <f>COUNTIFS(Table34[Country],Tabela1[[#This Row],[Country]],Table34[Plus 67kg Classification],"&gt;0")</f>
        <v>0</v>
      </c>
      <c r="KY51" s="6">
        <f>COUNTIFS(Table57[Country],Tabela1[[#This Row],[Country]],Table57[Classification],"&gt;0")</f>
        <v>0</v>
      </c>
      <c r="KZ51" s="6">
        <f>COUNTIFS(Table58[Country],Tabela1[[#This Row],[Country]],Table58[Classification],"&gt;0")</f>
        <v>0</v>
      </c>
      <c r="LA51" s="6">
        <f>COUNTIFS(Table79[Country],Tabela1[[#This Row],[Country]],Table79[Men''s Classification],"&gt;0")</f>
        <v>0</v>
      </c>
      <c r="LB51" s="6">
        <f>COUNTIFS(Table79[Country],Tabela1[[#This Row],[Country]],Table79[Women''s Classification],"&gt;0")</f>
        <v>0</v>
      </c>
      <c r="LC51" s="6">
        <f>COUNTIFS(Table79[Country],Tabela1[[#This Row],[Country]],Table79[Mixed Classification],"&gt;0")</f>
        <v>0</v>
      </c>
      <c r="LD51" s="6">
        <f>COUNTIFS(Table65[Country],Tabela1[[#This Row],[Country]],Table65[Classification],"&gt;0")</f>
        <v>0</v>
      </c>
      <c r="LE51" s="6">
        <f>COUNTIFS(Table59[Country],Tabela1[[#This Row],[Country]],Table59[Classification],"&gt;0")</f>
        <v>0</v>
      </c>
      <c r="LF51" s="6">
        <f>COUNTIFS(Table87[Country],Tabela1[[#This Row],[Country]],Table87[Mixed Relay Classification],"&gt;0")</f>
        <v>0</v>
      </c>
      <c r="LG51" s="6">
        <f>COUNTIFS(Table91949698100[Country],Tabela1[[#This Row],[Country]],Table91949698100[Men''s Classification],"&gt;0")</f>
        <v>0</v>
      </c>
      <c r="LH51" s="6">
        <f>COUNTIFS(Table91949698100[Country],Tabela1[[#This Row],[Country]],Table91949698100[Women''s Classification],"&gt;0")</f>
        <v>0</v>
      </c>
      <c r="LI51" s="6">
        <f>COUNTIFS(Table91949698100102[Country],Tabela1[[#This Row],[Country]],Table91949698100102[Men''s Classification],"&gt;0")</f>
        <v>0</v>
      </c>
      <c r="LJ51" s="6">
        <f>COUNTIFS(Table91949698100102[Country],Tabela1[[#This Row],[Country]],Table91949698100102[Women''s Classification],"&gt;0")</f>
        <v>0</v>
      </c>
      <c r="LK51" s="6">
        <f>COUNTIFS(Table23[Country],Tabela1[[#This Row],[Country]],Table23[61kg Classification],"&gt;0")</f>
        <v>0</v>
      </c>
      <c r="LL51" s="6">
        <f>COUNTIFS(Table23[Country],Tabela1[[#This Row],[Country]],Table23[73kg Classification],"&gt;0")</f>
        <v>0</v>
      </c>
      <c r="LM51" s="6">
        <f>COUNTIFS(Table23[Country],Tabela1[[#This Row],[Country]],Table23[89kg Classification],"&gt;0")</f>
        <v>0</v>
      </c>
      <c r="LN51" s="6">
        <f>COUNTIFS(Table23[Country],Tabela1[[#This Row],[Country]],Table23[102kg Classification],"&gt;0")</f>
        <v>0</v>
      </c>
      <c r="LO51" s="6">
        <f>COUNTIFS(Table23[Country],Tabela1[[#This Row],[Country]],Table23[Plus 102kg Classification],"&gt;0")</f>
        <v>0</v>
      </c>
      <c r="LP51" s="6">
        <f>COUNTIFS(Table28[Country],Tabela1[[#This Row],[Country]],Table28[49kg Classification],"&gt;0")</f>
        <v>0</v>
      </c>
      <c r="LQ51" s="6">
        <f>COUNTIFS(Table28[Country],Tabela1[[#This Row],[Country]],Table28[59kg Classification],"&gt;0")</f>
        <v>0</v>
      </c>
      <c r="LR51" s="6">
        <f>COUNTIFS(Table28[Country],Tabela1[[#This Row],[Country]],Table28[71kg Classification],"&gt;0")</f>
        <v>0</v>
      </c>
      <c r="LS51" s="6">
        <f>COUNTIFS(Table28[Country],Tabela1[[#This Row],[Country]],Table28[81kg Classification],"&gt;0")</f>
        <v>0</v>
      </c>
      <c r="LT51" s="6">
        <f>COUNTIFS(Table28[Country],Tabela1[[#This Row],[Country]],Table28[Plus 81kg Classification],"&gt;0")</f>
        <v>0</v>
      </c>
      <c r="LU51" s="6">
        <f>COUNTIFS(Table24[Country],Tabela1[[#This Row],[Country]],Table24[Freestyle 57kg Classification],"&gt;0")</f>
        <v>0</v>
      </c>
      <c r="LV51" s="6">
        <f>COUNTIFS(Table24[Country],Tabela1[[#This Row],[Country]],Table24[Freestyle 65kg Classification],"&gt;0")</f>
        <v>0</v>
      </c>
      <c r="LW51" s="6">
        <f>COUNTIFS(Table24[Country],Tabela1[[#This Row],[Country]],Table24[Freestyle 74kg Classification],"&gt;0")</f>
        <v>0</v>
      </c>
      <c r="LX51" s="6">
        <f>COUNTIFS(Table24[Country],Tabela1[[#This Row],[Country]],Table24[Freestyle 86kg Classification],"&gt;0")</f>
        <v>0</v>
      </c>
      <c r="LY51" s="6">
        <f>COUNTIFS(Table24[Country],Tabela1[[#This Row],[Country]],Table24[Freestyle 97kg Classification],"&gt;0")</f>
        <v>0</v>
      </c>
      <c r="LZ51" s="6">
        <f>COUNTIFS(Table24[Country],Tabela1[[#This Row],[Country]],Table24[Freestyle 125kg Classification],"&gt;0")</f>
        <v>0</v>
      </c>
      <c r="MA51" s="6">
        <f>COUNTIFS(Table24[Country],Tabela1[[#This Row],[Country]],Table24[Greco-Roman 60kg Classification],"&gt;0")</f>
        <v>0</v>
      </c>
      <c r="MB51" s="6">
        <f>COUNTIFS(Table24[Country],Tabela1[[#This Row],[Country]],Table24[Greco-Roman 67kg Classification],"&gt;0")</f>
        <v>0</v>
      </c>
      <c r="MC51" s="6">
        <f>COUNTIFS(Table24[Country],Tabela1[[#This Row],[Country]],Table24[Greco-Roman 77kg Classification],"&gt;0")</f>
        <v>0</v>
      </c>
      <c r="MD51" s="6">
        <f>COUNTIFS(Table24[Country],Tabela1[[#This Row],[Country]],Table24[Greco-Roman 87kg Classification],"&gt;0")</f>
        <v>0</v>
      </c>
      <c r="ME51" s="6">
        <f>COUNTIFS(Table24[Country],Tabela1[[#This Row],[Country]],Table24[Greco-Roman 97kg Classification],"&gt;0")</f>
        <v>0</v>
      </c>
      <c r="MF51" s="6">
        <f>COUNTIFS(Table24[Country],Tabela1[[#This Row],[Country]],Table24[Greco-Roman 130kg Classification],"&gt;0")</f>
        <v>0</v>
      </c>
      <c r="MG51" s="6">
        <f>COUNTIFS(Table31[Country],Tabela1[[#This Row],[Country]],Table31[50kg Classification],"&gt;0")</f>
        <v>0</v>
      </c>
      <c r="MH51" s="6">
        <f>COUNTIFS(Table31[Country],Tabela1[[#This Row],[Country]],Table31[53kg Classification],"&gt;0")</f>
        <v>0</v>
      </c>
      <c r="MI51" s="6">
        <f>COUNTIFS(Table31[Country],Tabela1[[#This Row],[Country]],Table31[57kg Classification],"&gt;0")</f>
        <v>0</v>
      </c>
      <c r="MJ51" s="6">
        <f>COUNTIFS(Table31[Country],Tabela1[[#This Row],[Country]],Table31[62kg Classification],"&gt;0")</f>
        <v>0</v>
      </c>
      <c r="MK51" s="6">
        <f>COUNTIFS(Table31[Country],Tabela1[[#This Row],[Country]],Table31[68kg Classification],"&gt;0")</f>
        <v>0</v>
      </c>
      <c r="ML51" s="6">
        <f>COUNTIFS(Table31[Country],Tabela1[[#This Row],[Country]],Table31[76kg Classification],"&gt;0")</f>
        <v>0</v>
      </c>
      <c r="MM51" s="6">
        <f>COUNTIFS(Table102[Country],Tabela1[[#This Row],[Country]],Table102[Downhill Classification],"&gt;0")</f>
        <v>0</v>
      </c>
      <c r="MN51" s="6">
        <f>COUNTIFS(Table102105[Country],Tabela1[[#This Row],[Country]],Table102105[Downhill Classification],"&gt;0")</f>
        <v>0</v>
      </c>
      <c r="MO51" s="6">
        <f>COUNTIFS(Table102[Country],Tabela1[[#This Row],[Country]],Table102[Giant Slalom Classification],"&gt;0")</f>
        <v>0</v>
      </c>
      <c r="MP51" s="6">
        <f>COUNTIFS(Table102105[Country],Tabela1[[#This Row],[Country]],Table102105[Giant Slalom Classification],"&gt;0")</f>
        <v>0</v>
      </c>
      <c r="MQ51" s="6">
        <f>COUNTIFS(Table102[Country],Tabela1[[#This Row],[Country]],Table102[Slalom Classification],"&gt;0")</f>
        <v>0</v>
      </c>
      <c r="MR51" s="6">
        <f>COUNTIFS(Table102105[Country],Tabela1[[#This Row],[Country]],Table102105[Slalom Classification],"&gt;0")</f>
        <v>0</v>
      </c>
      <c r="MS51" s="6">
        <f>COUNTIFS(Table102[Country],Tabela1[[#This Row],[Country]],Table102[Super-G Classification],"&gt;0")</f>
        <v>0</v>
      </c>
      <c r="MT51" s="6">
        <f>COUNTIFS(Table102105[Country],Tabela1[[#This Row],[Country]],Table102105[Super-G Classification],"&gt;0")</f>
        <v>0</v>
      </c>
      <c r="MU51" s="6">
        <f>COUNTIFS(Table105[Country],Tabela1[[#This Row],[Country]],Table105[Men''s Combined Classification],"&gt;0")</f>
        <v>0</v>
      </c>
      <c r="MV51" s="6">
        <f>COUNTIFS(Table105[Country],Tabela1[[#This Row],[Country]],Table105[Women''s Combined Classification],"&gt;0")</f>
        <v>0</v>
      </c>
      <c r="MW51" s="6">
        <f>COUNTIFS(Table106[Country],Tabela1[[#This Row],[Country]],Table106[Individual Classification],"&gt;0")</f>
        <v>0</v>
      </c>
      <c r="MX51" s="6">
        <f>COUNTIFS(Table106109[Country],Tabela1[[#This Row],[Country]],Table106109[Individual Classification],"&gt;0")</f>
        <v>0</v>
      </c>
      <c r="MY51" s="6">
        <f>COUNTIFS(Table106[Country],Tabela1[[#This Row],[Country]],Table106[Mass Start Classification],"&gt;0")</f>
        <v>0</v>
      </c>
      <c r="MZ51" s="6">
        <f>COUNTIFS(Table106109[Country],Tabela1[[#This Row],[Country]],Table106109[Mass Start Classification],"&gt;0")</f>
        <v>0</v>
      </c>
      <c r="NA51" s="6">
        <f>COUNTIFS(Table106[Country],Tabela1[[#This Row],[Country]],Table106[Pursuit Classification],"&gt;0")</f>
        <v>0</v>
      </c>
      <c r="NB51" s="6">
        <f>COUNTIFS(Table106109[Country],Tabela1[[#This Row],[Country]],Table106109[Pursuit Classification],"&gt;0")</f>
        <v>0</v>
      </c>
      <c r="NC51" s="6">
        <f>COUNTIFS(Table106[Country],Tabela1[[#This Row],[Country]],Table106[Sprint Classification],"&gt;0")</f>
        <v>0</v>
      </c>
      <c r="ND51" s="6">
        <f>COUNTIFS(Table106109[Country],Tabela1[[#This Row],[Country]],Table106109[Sprint Classification],"&gt;0")</f>
        <v>0</v>
      </c>
      <c r="NE51" s="6">
        <f>COUNTIFS(Table109[Country],Tabela1[[#This Row],[Country]],Table109[Men''s Relay Classification],"&gt;0")</f>
        <v>0</v>
      </c>
      <c r="NF51" s="6">
        <f>COUNTIFS(Table109[Country],Tabela1[[#This Row],[Country]],Table109[Women''s Relay Classification],"&gt;0")</f>
        <v>0</v>
      </c>
      <c r="NG51" s="6">
        <f>COUNTIFS(Table109[Country],Tabela1[[#This Row],[Country]],Table109[Mixed Relay Classification],"&gt;0")</f>
        <v>0</v>
      </c>
      <c r="NH51" s="6">
        <f>COUNTIFS(Table110[Country],Tabela1[[#This Row],[Country]],Table110[Monobob Classification],"&gt;0")</f>
        <v>0</v>
      </c>
      <c r="NI51" s="6">
        <f>COUNTIFS(Table111[Country],Tabela1[[#This Row],[Country]],Table111[Men''s Classification],"&gt;0")</f>
        <v>0</v>
      </c>
      <c r="NJ51" s="6">
        <f>COUNTIFS(Table111[Country],Tabela1[[#This Row],[Country]],Table111[Women''s Classification],"&gt;0")</f>
        <v>0</v>
      </c>
      <c r="NK51" s="6">
        <f>COUNTIFS(Table112[Country],Tabela1[[#This Row],[Country]],Table112[Men''s Four Classification],"&gt;0")</f>
        <v>0</v>
      </c>
      <c r="NL51" s="6">
        <f>COUNTIFS(Table113[Country],Tabela1[[#This Row],[Country]],Table113[Classical Classification],"&gt;0")</f>
        <v>0</v>
      </c>
      <c r="NM51" s="6">
        <f>COUNTIFS(Table113116[Country],Tabela1[[#This Row],[Country]],Table113116[Classical Classification],"&gt;0")</f>
        <v>0</v>
      </c>
      <c r="NN51" s="6">
        <f>COUNTIFS(Table113[Country],Tabela1[[#This Row],[Country]],Table113[Freestyle Classification],"&gt;0")</f>
        <v>0</v>
      </c>
      <c r="NO51" s="6">
        <f>COUNTIFS(Table113116[Country],Tabela1[[#This Row],[Country]],Table113116[Freestyle Classification],"&gt;0")</f>
        <v>0</v>
      </c>
      <c r="NP51" s="6">
        <f>COUNTIFS(Table117[Country],Tabela1[[#This Row],[Country]],Table117[Men''s Relay Classification],"&gt;0")</f>
        <v>0</v>
      </c>
      <c r="NQ51" s="6">
        <f>COUNTIFS(Table117[Country],Tabela1[[#This Row],[Country]],Table117[Women''s Relay Classification],"&gt;0")</f>
        <v>0</v>
      </c>
      <c r="NR51" s="6">
        <f>COUNTIFS(Table113[Country],Tabela1[[#This Row],[Country]],Table113[Skiathlon Classification],"&gt;0")</f>
        <v>0</v>
      </c>
      <c r="NS51" s="6">
        <f>COUNTIFS(Table113116[Country],Tabela1[[#This Row],[Country]],Table113116[Skiathlon Classification],"&gt;0")</f>
        <v>0</v>
      </c>
      <c r="NT51" s="6">
        <f>COUNTIFS(Table113[Country],Tabela1[[#This Row],[Country]],Table113[Sprint Classification],"&gt;0")</f>
        <v>0</v>
      </c>
      <c r="NU51" s="6">
        <f>COUNTIFS(Table113116[Country],Tabela1[[#This Row],[Country]],Table113116[Sprint Classification],"&gt;0")</f>
        <v>0</v>
      </c>
      <c r="NV51" s="6">
        <f>COUNTIFS(Table116[Country],Tabela1[[#This Row],[Country]],Table116[Men''s Team Sprint Classification],"&gt;0")</f>
        <v>0</v>
      </c>
      <c r="NW51" s="6">
        <f>COUNTIFS(Table116[Country],Tabela1[[#This Row],[Country]],Table116[Women''s Team Sprint Classification],"&gt;0")</f>
        <v>0</v>
      </c>
      <c r="NX51" s="6">
        <f>COUNTIFS(Table119[Country],Tabela1[[#This Row],[Country]],Table119[Men''s Classification],"&gt;0")</f>
        <v>0</v>
      </c>
      <c r="NY51" s="6">
        <f>COUNTIFS(Table119[Country],Tabela1[[#This Row],[Country]],Table119[Women''s Classification],"&gt;0")</f>
        <v>0</v>
      </c>
      <c r="NZ51" s="6">
        <f>COUNTIFS(Table118[Country],Tabela1[[#This Row],[Country]],Table118[Mixed Classification],"&gt;0")</f>
        <v>0</v>
      </c>
      <c r="OA51" s="6">
        <f>COUNTIFS(Table120[Country],Tabela1[[#This Row],[Country]],Table120[Classification],"&gt;0")</f>
        <v>0</v>
      </c>
      <c r="OB51" s="6">
        <f>COUNTIFS(Table120123[Country],Tabela1[[#This Row],[Country]],Table120123[Classification],"&gt;0")</f>
        <v>0</v>
      </c>
      <c r="OC51" s="6">
        <f>COUNTIFS(Table123[Country],Tabela1[[#This Row],[Country]],Table123[Ice Dance Classification],"&gt;0")</f>
        <v>0</v>
      </c>
      <c r="OD51" s="6">
        <f>COUNTIFS(Table123[Country],Tabela1[[#This Row],[Country]],Table123[Pair Skating Classification],"&gt;0")</f>
        <v>0</v>
      </c>
      <c r="OE51" s="6">
        <f>COUNTIFS(Table124[Country],Tabela1[[#This Row],[Country]],Table124[Mixed Classification],"&gt;0")</f>
        <v>0</v>
      </c>
      <c r="OF51" s="6">
        <f>COUNTIFS(Table125[Country],Tabela1[[#This Row],[Country]],Table125[Aerials Classification],"&gt;0")</f>
        <v>0</v>
      </c>
      <c r="OG51" s="6">
        <f>COUNTIFS(Table125128[Country],Tabela1[[#This Row],[Country]],Table125128[Aerials Classification],"&gt;0")</f>
        <v>0</v>
      </c>
      <c r="OH51" s="6">
        <f>COUNTIFS(Table128[Country],Tabela1[[#This Row],[Country]],Table128[Mixed Aerials Classification],"&gt;0")</f>
        <v>0</v>
      </c>
      <c r="OI51" s="6">
        <f>COUNTIFS(Table125[Country],Tabela1[[#This Row],[Country]],Table125[Big Air Classification],"&gt;0")</f>
        <v>0</v>
      </c>
      <c r="OJ51" s="6">
        <f>COUNTIFS(Table125128[Country],Tabela1[[#This Row],[Country]],Table125128[Big Air Classification],"&gt;0")</f>
        <v>0</v>
      </c>
      <c r="OK51" s="6">
        <f>COUNTIFS(Table125[Country],Tabela1[[#This Row],[Country]],Table125[Dual Moguls Classification],"&gt;0")</f>
        <v>0</v>
      </c>
      <c r="OL51" s="6">
        <f>COUNTIFS(Table125128[Country],Tabela1[[#This Row],[Country]],Table125128[Dual Moguls Classification],"&gt;0")</f>
        <v>0</v>
      </c>
      <c r="OM51" s="6">
        <f>COUNTIFS(Table125[Country],Tabela1[[#This Row],[Country]],Table125[Halfpipe Classification],"&gt;0")</f>
        <v>0</v>
      </c>
      <c r="ON51" s="6">
        <f>COUNTIFS(Table125128[Country],Tabela1[[#This Row],[Country]],Table125128[Halfpipe Classification],"&gt;0")</f>
        <v>0</v>
      </c>
      <c r="OO51" s="6">
        <f>COUNTIFS(Table125[Country],Tabela1[[#This Row],[Country]],Table125[Moguls Classification],"&gt;0")</f>
        <v>0</v>
      </c>
      <c r="OP51" s="6">
        <f>COUNTIFS(Table125128[Country],Tabela1[[#This Row],[Country]],Table125128[Moguls Classification],"&gt;0")</f>
        <v>0</v>
      </c>
      <c r="OQ51" s="6">
        <f>COUNTIFS(Table125[Country],Tabela1[[#This Row],[Country]],Table125[Ski Cross Classification],"&gt;0")</f>
        <v>0</v>
      </c>
      <c r="OR51" s="6">
        <f>COUNTIFS(Table125128[Country],Tabela1[[#This Row],[Country]],Table125128[Ski Cross Classification],"&gt;0")</f>
        <v>0</v>
      </c>
      <c r="OS51" s="6">
        <f>COUNTIFS(Table125[Country],Tabela1[[#This Row],[Country]],Table125[Slopestyle Classification],"&gt;0")</f>
        <v>0</v>
      </c>
      <c r="OT51" s="6">
        <f>COUNTIFS(Table125128[Country],Tabela1[[#This Row],[Country]],Table125128[Slopestyle Classification],"&gt;0")</f>
        <v>0</v>
      </c>
      <c r="OU51" s="6">
        <f>COUNTIFS(Table119131[Country],Tabela1[[#This Row],[Country]],Table119131[Men''s Classification],"&gt;0")</f>
        <v>0</v>
      </c>
      <c r="OV51" s="6">
        <f>COUNTIFS(Table119131[Country],Tabela1[[#This Row],[Country]],Table119131[Women''s Classification],"&gt;0")</f>
        <v>0</v>
      </c>
      <c r="OW51" s="6">
        <f>COUNTIFS(Table131[Country],Tabela1[[#This Row],[Country]],Table131[Classification],"&gt;0")</f>
        <v>0</v>
      </c>
      <c r="OX51" s="6">
        <f>COUNTIFS(Table131134[Country],Tabela1[[#This Row],[Country]],Table131134[Classification],"&gt;0")</f>
        <v>0</v>
      </c>
      <c r="OY51" s="6">
        <f>COUNTIFS(Table134[Country],Tabela1[[#This Row],[Country]],Table134[Men''s Classification],"&gt;0")</f>
        <v>0</v>
      </c>
      <c r="OZ51" s="6">
        <f>COUNTIFS(Table134[Country],Tabela1[[#This Row],[Country]],Table134[Women''s Classification],"&gt;0")</f>
        <v>0</v>
      </c>
      <c r="PA51" s="6">
        <f>COUNTIFS(Table135[Country],Tabela1[[#This Row],[Country]],Table135[Mixed Relay Classification],"&gt;0")</f>
        <v>0</v>
      </c>
      <c r="PB51" s="6">
        <f>COUNTIFS(Table136[Country],Tabela1[[#This Row],[Country]],Table136[Individual Classification],"&gt;0")</f>
        <v>0</v>
      </c>
      <c r="PC51" s="6">
        <f>COUNTIFS(Table136[Country],Tabela1[[#This Row],[Country]],Table136[Sprint Classification],"&gt;0")</f>
        <v>0</v>
      </c>
      <c r="PD51" s="6">
        <f>COUNTIFS(Table137[Country],Tabela1[[#This Row],[Country]],Table137[Men''s Team Sprint Large Hill Classification],"&gt;0")</f>
        <v>0</v>
      </c>
      <c r="PE51" s="6">
        <f>COUNTIFS(Table138[Country],Tabela1[[#This Row],[Country]],Table138[500m Classification],"&gt;0")</f>
        <v>0</v>
      </c>
      <c r="PF51" s="6">
        <f>COUNTIFS(Table138141[Country],Tabela1[[#This Row],[Country]],Table138141[500m Classification],"&gt;0")</f>
        <v>0</v>
      </c>
      <c r="PG51" s="6">
        <f>COUNTIFS(Table138[Country],Tabela1[[#This Row],[Country]],Table138[1000m Classification],"&gt;0")</f>
        <v>0</v>
      </c>
      <c r="PH51" s="6">
        <f>COUNTIFS(Table138141[Country],Tabela1[[#This Row],[Country]],Table138141[1000m Classification],"&gt;0")</f>
        <v>0</v>
      </c>
      <c r="PI51" s="6">
        <f>COUNTIFS(Table138[Country],Tabela1[[#This Row],[Country]],Table138[1500m Classification],"&gt;0")</f>
        <v>0</v>
      </c>
      <c r="PJ51" s="6">
        <f>COUNTIFS(Table138141[Country],Tabela1[[#This Row],[Country]],Table138141[1500m Classification],"&gt;0")</f>
        <v>0</v>
      </c>
      <c r="PK51" s="6">
        <f>COUNTIFS(Table141[Country],Tabela1[[#This Row],[Country]],Table141[Men''s 5000m Relay Classification],"&gt;0")</f>
        <v>0</v>
      </c>
      <c r="PL51" s="6">
        <f>COUNTIFS(Table141[Country],Tabela1[[#This Row],[Country]],Table141[Women''s 3000m Relay Classification],"&gt;0")</f>
        <v>0</v>
      </c>
      <c r="PM51" s="6">
        <f>COUNTIFS(Table141[Country],Tabela1[[#This Row],[Country]],Table141[Mixed 2000m Relay Classification],"&gt;0")</f>
        <v>0</v>
      </c>
      <c r="PN51" s="6">
        <f>COUNTIFS(Table142[Country],Tabela1[[#This Row],[Country]],Table142[Classification],"&gt;0")</f>
        <v>0</v>
      </c>
      <c r="PO51" s="6">
        <f>COUNTIFS(Table142145[Country],Tabela1[[#This Row],[Country]],Table142145[Classification],"&gt;0")</f>
        <v>0</v>
      </c>
      <c r="PP51" s="6">
        <f>COUNTIFS(Tabela15[Country],Tabela1[[#This Row],[Country]],Tabela15[Mixed Team Classification],"&gt;0")</f>
        <v>0</v>
      </c>
      <c r="PQ51" s="6">
        <f>COUNTIFS(Table145[Country],Tabela1[[#This Row],[Country]],Table145[Large Hill Classification],"&gt;0")</f>
        <v>0</v>
      </c>
      <c r="PR51" s="6">
        <f>COUNTIFS(Table145[Country],Tabela1[[#This Row],[Country]],Table145[Normal Hill Classification],"&gt;0")</f>
        <v>0</v>
      </c>
      <c r="PS51" s="6">
        <f>COUNTIFS(Table145148[Country],Tabela1[[#This Row],[Country]],Table145148[Large Hill Classification],"&gt;0")</f>
        <v>0</v>
      </c>
      <c r="PT51" s="6">
        <f>COUNTIFS(Table145148[Country],Tabela1[[#This Row],[Country]],Table145148[Normal Hill Classification],"&gt;0")</f>
        <v>0</v>
      </c>
      <c r="PU51" s="6">
        <f>COUNTIFS(Table148[Country],Tabela1[[#This Row],[Country]],Table148[Men''s Super Team Classification],"&gt;0")</f>
        <v>0</v>
      </c>
      <c r="PV51" s="6">
        <f>COUNTIFS(Tabela114[Country],Tabela1[[#This Row],[Country]],Tabela114[Mixed Normal Hill Classification],"&gt;0")</f>
        <v>0</v>
      </c>
      <c r="PW51" s="6">
        <f>COUNTIFS(Tabela50[Country],Tabela1[[#This Row],[Country]],Tabela50[Sprint Classification],"&gt;0")</f>
        <v>0</v>
      </c>
      <c r="PX51" s="6">
        <f>COUNTIFS(Tabela50101[Country],Tabela1[[#This Row],[Country]],Tabela50101[Sprint Classification],"&gt;0")</f>
        <v>0</v>
      </c>
      <c r="PY51" s="6">
        <f>COUNTIFS(Tabela103[Country],Tabela1[[#This Row],[Country]],Tabela103[Mixed Relay Classification],"&gt;0")</f>
        <v>0</v>
      </c>
      <c r="PZ51" s="6">
        <f>COUNTIFS(Table149[Country],Tabela1[[#This Row],[Country]],Table149[Big Air Classification],"&gt;0")</f>
        <v>0</v>
      </c>
      <c r="QA51" s="6">
        <f>COUNTIFS(Table149152[Country],Tabela1[[#This Row],[Country]],Table149152[Big Air Classification],"&gt;0")</f>
        <v>0</v>
      </c>
      <c r="QB51" s="6">
        <f>COUNTIFS(Table149[Country],Tabela1[[#This Row],[Country]],Table149[Halfpipe Classification],"&gt;0")</f>
        <v>0</v>
      </c>
      <c r="QC51" s="6">
        <f>COUNTIFS(Table149152[Country],Tabela1[[#This Row],[Country]],Table149152[Halfpipe Classification],"&gt;0")</f>
        <v>0</v>
      </c>
      <c r="QD51" s="6">
        <f>COUNTIFS(Table149[Country],Tabela1[[#This Row],[Country]],Table149[Parallel Giant Slalom Classification],"&gt;0")</f>
        <v>0</v>
      </c>
      <c r="QE51" s="6">
        <f>COUNTIFS(Table149152[Country],Tabela1[[#This Row],[Country]],Table149152[Parallel Giant Slalom Classification],"&gt;0")</f>
        <v>0</v>
      </c>
      <c r="QF51" s="6">
        <f>COUNTIFS(Table149[Country],Tabela1[[#This Row],[Country]],Table149[Slopestyle Classification],"&gt;0")</f>
        <v>0</v>
      </c>
      <c r="QG51" s="6">
        <f>COUNTIFS(Table149152[Country],Tabela1[[#This Row],[Country]],Table149152[Slopestyle Classification],"&gt;0")</f>
        <v>0</v>
      </c>
      <c r="QH51" s="6">
        <f>COUNTIFS(Table149[Country],Tabela1[[#This Row],[Country]],Table149[Snowboard Cross Classification],"&gt;0")</f>
        <v>0</v>
      </c>
      <c r="QI51" s="6">
        <f>COUNTIFS(Table149152[Country],Tabela1[[#This Row],[Country]],Table149152[Snowboard Cross Classification],"&gt;0")</f>
        <v>0</v>
      </c>
      <c r="QJ51" s="6">
        <f>COUNTIFS(Table153[Country],Tabela1[[#This Row],[Country]],Table153[Mixed Team Snowboard Cross Classification],"&gt;0")</f>
        <v>0</v>
      </c>
      <c r="QK51" s="6">
        <f>COUNTIFS(Table154[Country],Tabela1[[#This Row],[Country]],Table154[500m Classification],"&gt;0")</f>
        <v>0</v>
      </c>
      <c r="QL51" s="6">
        <f>COUNTIFS(Table154157[Country],Tabela1[[#This Row],[Country]],Table154157[500m Classification],"&gt;0")</f>
        <v>0</v>
      </c>
      <c r="QM51" s="6">
        <f>COUNTIFS(Table154[Country],Tabela1[[#This Row],[Country]],Table154[1000m Classification],"&gt;0")</f>
        <v>0</v>
      </c>
      <c r="QN51" s="6">
        <f>COUNTIFS(Table154157[Country],Tabela1[[#This Row],[Country]],Table154157[1000m Classification],"&gt;0")</f>
        <v>0</v>
      </c>
      <c r="QO51" s="6">
        <f>COUNTIFS(Table154[Country],Tabela1[[#This Row],[Country]],Table154[1500m Classification],"&gt;0")</f>
        <v>0</v>
      </c>
      <c r="QP51" s="6">
        <f>COUNTIFS(Table154157[Country],Tabela1[[#This Row],[Country]],Table154157[1500m Classification],"&gt;0")</f>
        <v>0</v>
      </c>
      <c r="QQ51" s="6">
        <f>COUNTIFS(Table154157[Country],Tabela1[[#This Row],[Country]],Table154157[3000m Classification],"&gt;0")</f>
        <v>0</v>
      </c>
      <c r="QR51" s="6">
        <f>COUNTIFS(Table154[Country],Tabela1[[#This Row],[Country]],Table154[5000m Classification],"&gt;0")</f>
        <v>0</v>
      </c>
      <c r="QS51" s="6">
        <f>COUNTIFS(Table154157[Country],Tabela1[[#This Row],[Country]],Table154157[5000m Classification],"&gt;0")</f>
        <v>0</v>
      </c>
      <c r="QT51" s="6">
        <f>COUNTIFS(Table154[Country],Tabela1[[#This Row],[Country]],Table154[10000m Classification],"&gt;0")</f>
        <v>0</v>
      </c>
      <c r="QU51" s="6">
        <f>COUNTIFS(Table154[Country],Tabela1[[#This Row],[Country]],Table154[Mass Start Classification],"&gt;0")</f>
        <v>0</v>
      </c>
      <c r="QV51" s="6">
        <f>COUNTIFS(Table154157[Country],Tabela1[[#This Row],[Country]],Table154157[Mass Start Classification],"&gt;0")</f>
        <v>0</v>
      </c>
      <c r="QW51" s="6">
        <f>COUNTIFS(Table157[Country],Tabela1[[#This Row],[Country]],Table157[Men''s Pursuit Classification],"&gt;0")</f>
        <v>0</v>
      </c>
      <c r="QX51" s="6">
        <f>COUNTIFS(Table157[Country],Tabela1[[#This Row],[Country]],Table157[Women''s Pursuit Classification],"&gt;0")</f>
        <v>0</v>
      </c>
      <c r="QY51" s="3" t="s">
        <v>379</v>
      </c>
    </row>
    <row r="52" spans="1:467" x14ac:dyDescent="0.3">
      <c r="A52" s="6">
        <v>51</v>
      </c>
      <c r="B52" s="6" t="s">
        <v>580</v>
      </c>
      <c r="C52" t="e" vm="51">
        <f>IF(ISBLANK(Tabela1[[#This Row],[Image Link]]), "", _xlfn.IMAGE(Tabela1[[#This Row],[Image Link]],1,1))</f>
        <v>#VALUE!</v>
      </c>
      <c r="D52" s="6">
        <f>SUM(Tabela1[[#This Row],[Archery - Men''s Individual Recurve]:[Speed Skating - Women''s Team Pursuit]])</f>
        <v>13</v>
      </c>
      <c r="E52" s="6">
        <f>COUNTIF(Tabela1[[#This Row],[Archery - Men''s Individual Recurve]:[Speed Skating - Women''s Team Pursuit]],"&gt;0")</f>
        <v>13</v>
      </c>
      <c r="F52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52" s="6">
        <f>SUM(Tabela1[[#This Row],[Archery - Men''s Individual Recurve]:[Wrestling - Women''s Freestyle 76kg]])</f>
        <v>11</v>
      </c>
      <c r="H52" s="6">
        <f>SUM(Tabela1[[#This Row],[Alpine Skiing - Men''s Downhill]:[Speed Skating - Women''s Team Pursuit]])</f>
        <v>2</v>
      </c>
      <c r="I52" s="6">
        <f>Tabela1[[#This Row],[Summer Gold Medals]]+Tabela1[[#This Row],[Winter Gold Medals]]</f>
        <v>3</v>
      </c>
      <c r="J52" s="6">
        <f>Tabela1[[#This Row],[Summer Silver Medals]]+Tabela1[[#This Row],[Winter Silver Medals]]</f>
        <v>4</v>
      </c>
      <c r="K52" s="6">
        <f>Tabela1[[#This Row],[Summer Bronze Medals]]+Tabela1[[#This Row],[Winter Bronze Medals]]</f>
        <v>1</v>
      </c>
      <c r="L52" s="6">
        <f>SUM(Tabela1[[#This Row],[Total Gold Medals]:[Total Bronze Medals]])</f>
        <v>8</v>
      </c>
      <c r="M52" s="6">
        <v>3</v>
      </c>
      <c r="N52" s="6">
        <v>3</v>
      </c>
      <c r="O52" s="6">
        <v>1</v>
      </c>
      <c r="P52" s="6">
        <f>SUM(Tabela1[[#This Row],[Summer Gold Medals]:[Summer Bronze Medals]])</f>
        <v>7</v>
      </c>
      <c r="Q52" s="6"/>
      <c r="R52" s="6">
        <v>1</v>
      </c>
      <c r="S52" s="6"/>
      <c r="T52" s="6">
        <f>Tabela1[[#This Row],[Winter Gold Medals]]+Tabela1[[#This Row],[Winter Silver Medals]]+Tabela1[[#This Row],[Winter Bronze Medals]]</f>
        <v>1</v>
      </c>
      <c r="U52" s="7">
        <f>Tabela1[[#This Row],[Total Medals]]/Tabela1[[#This Row],[Total Quotas]]</f>
        <v>0.61538461538461542</v>
      </c>
      <c r="V52" s="6">
        <f>COUNTIFS(Table3[Country],Tabela1[[#This Row],[Country]],Table3[Recurve Classification],"&gt;0")</f>
        <v>0</v>
      </c>
      <c r="W52" s="6">
        <f>COUNTIFS(Table33[Country],Tabela1[[#This Row],[Country]],Table33[Recurve Classification],"&gt;0")</f>
        <v>0</v>
      </c>
      <c r="X52" s="6">
        <f>COUNTIFS(Table35[Country],Tabela1[[#This Row],[Country]],Table35[Men''s Team Recurve Classification],"&gt;0")</f>
        <v>0</v>
      </c>
      <c r="Y52" s="6">
        <f>COUNTIFS(Table35[Country],Tabela1[[#This Row],[Country]],Table35[Women''s Team Recurve Classification],"&gt;0")</f>
        <v>0</v>
      </c>
      <c r="Z52" s="6">
        <f>COUNTIFS(Tabela88[Country],Tabela1[[#This Row],[Country]],Tabela88[Mixed Team Recurve Classification],"&gt;0")</f>
        <v>0</v>
      </c>
      <c r="AA52" s="6">
        <f>COUNTIFS(Table36[Country],Tabela1[[#This Row],[Country]],Table36[Classification],"&gt;0")</f>
        <v>0</v>
      </c>
      <c r="AB52" s="6">
        <f>COUNTIFS(Table37[Country],Tabela1[[#This Row],[Country]],Table37[Classification],"&gt;0")</f>
        <v>0</v>
      </c>
      <c r="AC52" s="6">
        <f>COUNTIFS(Table4[Country],Tabela1[[#This Row],[Country]],Table4[100m Classification],"&gt;0")</f>
        <v>0</v>
      </c>
      <c r="AD52" s="6">
        <f>COUNTIFS(Table5[Country],Tabela1[[#This Row],[Country]],Table5[100m Classification],"&gt;0")</f>
        <v>0</v>
      </c>
      <c r="AE52" s="6">
        <f>COUNTIFS(Table4[Country],Tabela1[[#This Row],[Country]],Table4[200m Classification],"&gt;0")</f>
        <v>0</v>
      </c>
      <c r="AF52" s="6">
        <f>COUNTIFS(Table5[Country],Tabela1[[#This Row],[Country]],Table5[200m Classification],"&gt;0")</f>
        <v>0</v>
      </c>
      <c r="AG52" s="6">
        <f>COUNTIFS(Table4[Country],Tabela1[[#This Row],[Country]],Table4[400m Classification],"&gt;0")</f>
        <v>0</v>
      </c>
      <c r="AH52" s="6">
        <f>COUNTIFS(Table5[Country],Tabela1[[#This Row],[Country]],Table5[400m Classification],"&gt;0")</f>
        <v>0</v>
      </c>
      <c r="AI52" s="6">
        <f>COUNTIFS(Table4[Country],Tabela1[[#This Row],[Country]],Table4[800m Classification],"&gt;0")</f>
        <v>0</v>
      </c>
      <c r="AJ52" s="6">
        <f>COUNTIFS(Table5[Country],Tabela1[[#This Row],[Country]],Table5[800m Classification],"&gt;0")</f>
        <v>0</v>
      </c>
      <c r="AK52" s="6">
        <f>COUNTIFS(Table4[Country],Tabela1[[#This Row],[Country]],Table4[1500m Classification],"&gt;0")</f>
        <v>0</v>
      </c>
      <c r="AL52" s="6">
        <f>COUNTIFS(Table5[Country],Tabela1[[#This Row],[Country]],Table5[1500m Classification],"&gt;0")</f>
        <v>0</v>
      </c>
      <c r="AM52" s="6">
        <f>COUNTIFS(Table4[Country],Tabela1[[#This Row],[Country]],Table4[5000m Classification],"&gt;0")</f>
        <v>0</v>
      </c>
      <c r="AN52" s="6">
        <f>COUNTIFS(Table5[Country],Tabela1[[#This Row],[Country]],Table5[5000m Classification],"&gt;0")</f>
        <v>0</v>
      </c>
      <c r="AO52" s="6">
        <f>COUNTIFS(Table4[Country],Tabela1[[#This Row],[Country]],Table4[10000m Classification],"&gt;0")</f>
        <v>0</v>
      </c>
      <c r="AP52" s="6">
        <f>COUNTIFS(Table5[Country],Tabela1[[#This Row],[Country]],Table5[10000m Classification],"&gt;0")</f>
        <v>0</v>
      </c>
      <c r="AQ52" s="6">
        <f>COUNTIFS(Table4[Country],Tabela1[[#This Row],[Country]],Table4[110m Hurdles Classification],"&gt;0")</f>
        <v>0</v>
      </c>
      <c r="AR52" s="6">
        <f>COUNTIFS(Table5[Country],Tabela1[[#This Row],[Country]],Table5[100m Hurdles Classification],"&gt;0")</f>
        <v>0</v>
      </c>
      <c r="AS52" s="6">
        <f>COUNTIFS(Table4[Country],Tabela1[[#This Row],[Country]],Table4[400m Hurdles Classification],"&gt;0")</f>
        <v>0</v>
      </c>
      <c r="AT52" s="6">
        <f>COUNTIFS(Table5[Country],Tabela1[[#This Row],[Country]],Table5[400m Hurdles Classification],"&gt;0")</f>
        <v>0</v>
      </c>
      <c r="AU52" s="6">
        <f>COUNTIFS(Table4[Country],Tabela1[[#This Row],[Country]],Table4[3000m Steeplechase Classification],"&gt;0")</f>
        <v>0</v>
      </c>
      <c r="AV52" s="6">
        <f>COUNTIFS(Table5[Country],Tabela1[[#This Row],[Country]],Table5[3000m Steeplechase Classification],"&gt;0")</f>
        <v>0</v>
      </c>
      <c r="AW52" s="6">
        <f>COUNTIFS(Table27[Country],Tabela1[[#This Row],[Country]],Table27[Men''s 4x100m Relay Classification],"&gt;0")</f>
        <v>0</v>
      </c>
      <c r="AX52" s="6">
        <f>COUNTIFS(Table27[Country],Tabela1[[#This Row],[Country]],Table27[Women''s 4x100m Relay Classification],"&gt;0")</f>
        <v>0</v>
      </c>
      <c r="AY52" s="6">
        <f>COUNTIFS(Table27[Country],Tabela1[[#This Row],[Country]],Table27[Men''s 4x400m Relay Classification],"&gt;0")</f>
        <v>0</v>
      </c>
      <c r="AZ52" s="6">
        <f>COUNTIFS(Table27[Country],Tabela1[[#This Row],[Country]],Table27[Women''s 4x400m Relay Classification],"&gt;0")</f>
        <v>0</v>
      </c>
      <c r="BA52" s="6">
        <f>COUNTIFS(Table27[Country],Tabela1[[#This Row],[Country]],Table27[Mixed 4x400m Relay Classification],"&gt;0")</f>
        <v>0</v>
      </c>
      <c r="BB52" s="6">
        <f>COUNTIFS(Table4[Country],Tabela1[[#This Row],[Country]],Table4[Marathon Classification],"&gt;0")</f>
        <v>0</v>
      </c>
      <c r="BC52" s="6">
        <f>COUNTIFS(Table5[Country],Tabela1[[#This Row],[Country]],Table5[Marathon Classification],"&gt;0")</f>
        <v>0</v>
      </c>
      <c r="BD52" s="6">
        <f>COUNTIFS(Table4[Country],Tabela1[[#This Row],[Country]],Table4[20km Race Walk Classification],"&gt;0")</f>
        <v>0</v>
      </c>
      <c r="BE52" s="6">
        <f>COUNTIFS(Table5[Country],Tabela1[[#This Row],[Country]],Table5[20km Race Walk Classification],"&gt;0")</f>
        <v>0</v>
      </c>
      <c r="BF52" s="6">
        <f>COUNTIFS(Tabela96[Country],Tabela1[[#This Row],[Country]],Tabela96[Mixed Marathon Race Walk Relay Classification],"&gt;0")</f>
        <v>0</v>
      </c>
      <c r="BG52" s="6">
        <f>COUNTIFS(Table4[Country],Tabela1[[#This Row],[Country]],Table4[Discus Throw Classification],"&gt;0")</f>
        <v>0</v>
      </c>
      <c r="BH52" s="6">
        <f>COUNTIFS(Table5[Country],Tabela1[[#This Row],[Country]],Table5[Discus Throw Classification],"&gt;0")</f>
        <v>0</v>
      </c>
      <c r="BI52" s="6">
        <f>COUNTIFS(Table4[Country],Tabela1[[#This Row],[Country]],Table4[Hammer Throw Classification],"&gt;0")</f>
        <v>0</v>
      </c>
      <c r="BJ52" s="6">
        <f>COUNTIFS(Table5[Country],Tabela1[[#This Row],[Country]],Table5[Hammer Throw Classification],"&gt;0")</f>
        <v>0</v>
      </c>
      <c r="BK52" s="6">
        <f>COUNTIFS(Table4[Country],Tabela1[[#This Row],[Country]],Table4[High Jump Classification],"&gt;0")</f>
        <v>0</v>
      </c>
      <c r="BL52" s="6">
        <f>COUNTIFS(Table5[Country],Tabela1[[#This Row],[Country]],Table5[High Jump Classification],"&gt;0")</f>
        <v>0</v>
      </c>
      <c r="BM52" s="6">
        <f>COUNTIFS(Table4[Country],Tabela1[[#This Row],[Country]],Table4[Javelin Throw Classification],"&gt;0")</f>
        <v>0</v>
      </c>
      <c r="BN52" s="6">
        <f>COUNTIFS(Table5[Country],Tabela1[[#This Row],[Country]],Table5[Javelin Throw Classification],"&gt;0")</f>
        <v>0</v>
      </c>
      <c r="BO52" s="6">
        <f>COUNTIFS(Table4[Country],Tabela1[[#This Row],[Country]],Table4[Long Jump Classification],"&gt;0")</f>
        <v>0</v>
      </c>
      <c r="BP52" s="6">
        <f>COUNTIFS(Table5[Country],Tabela1[[#This Row],[Country]],Table5[Long Jump Classification],"&gt;0")</f>
        <v>0</v>
      </c>
      <c r="BQ52" s="6">
        <f>COUNTIFS(Table4[Country],Tabela1[[#This Row],[Country]],Table4[Pole Vault Classification],"&gt;0")</f>
        <v>0</v>
      </c>
      <c r="BR52" s="6">
        <f>COUNTIFS(Table5[Country],Tabela1[[#This Row],[Country]],Table5[Pole Vault Classification],"&gt;0")</f>
        <v>0</v>
      </c>
      <c r="BS52" s="6">
        <f>COUNTIFS(Table4[Country],Tabela1[[#This Row],[Country]],Table4[Shot Put Classification],"&gt;0")</f>
        <v>0</v>
      </c>
      <c r="BT52" s="6">
        <f>COUNTIFS(Table5[Country],Tabela1[[#This Row],[Country]],Table5[Shot Put Classification],"&gt;0")</f>
        <v>0</v>
      </c>
      <c r="BU52" s="6">
        <f>COUNTIFS(Table4[Country],Tabela1[[#This Row],[Country]],Table4[Triple Jump Classification],"&gt;0")</f>
        <v>0</v>
      </c>
      <c r="BV52" s="6">
        <f>COUNTIFS(Table5[Country],Tabela1[[#This Row],[Country]],Table5[Triple Jump Classification],"&gt;0")</f>
        <v>0</v>
      </c>
      <c r="BW52" s="6">
        <f>COUNTIFS(Table4[Country],Tabela1[[#This Row],[Country]],Table4[Decathlon Classification],"&gt;0")</f>
        <v>0</v>
      </c>
      <c r="BX52" s="6">
        <f>COUNTIFS(Table5[Country],Tabela1[[#This Row],[Country]],Table5[Heptathlon Classification],"&gt;0")</f>
        <v>0</v>
      </c>
      <c r="BY52" s="6">
        <f>COUNTIFS(Table61[Country],Tabela1[[#This Row],[Country]],Table61[Classification],"&gt;0")</f>
        <v>0</v>
      </c>
      <c r="BZ52" s="6">
        <f>COUNTIFS(Table38[Country],Tabela1[[#This Row],[Country]],Table38[Classification],"&gt;0")</f>
        <v>0</v>
      </c>
      <c r="CA52" s="6">
        <f>COUNTIFS(Table39[Country],Tabela1[[#This Row],[Country]],Table39[Men''s Classification],"&gt;0")</f>
        <v>0</v>
      </c>
      <c r="CB52" s="6">
        <f>COUNTIFS(Table39[Country],Tabela1[[#This Row],[Country]],Table39[Women''s Classification],"&gt;0")</f>
        <v>0</v>
      </c>
      <c r="CC52" s="6">
        <f>COUNTIFS(Table39[Country],Tabela1[[#This Row],[Country]],Table39[Mixed Classification],"&gt;0")</f>
        <v>0</v>
      </c>
      <c r="CD52" s="6">
        <f>COUNTIFS(Table89[Country],Tabela1[[#This Row],[Country]],Table89[Men''s Classification],"&gt;0")</f>
        <v>0</v>
      </c>
      <c r="CE52" s="6">
        <f>COUNTIFS(Table89[Country],Tabela1[[#This Row],[Country]],Table89[Women''s Classification],"&gt;0")</f>
        <v>0</v>
      </c>
      <c r="CF52" s="6">
        <f>COUNTIFS(Table90[Country],Tabela1[[#This Row],[Country]],Table90[Men''s Classification],"&gt;0")</f>
        <v>0</v>
      </c>
      <c r="CG52" s="6">
        <f>COUNTIFS(Table90[Country],Tabela1[[#This Row],[Country]],Table90[Women''s Classification],"&gt;0")</f>
        <v>0</v>
      </c>
      <c r="CH52" s="6">
        <f>COUNTIFS(Table60[Country],Tabela1[[#This Row],[Country]],Table60[Men''s Classification],"&gt;0")</f>
        <v>0</v>
      </c>
      <c r="CI52" s="6">
        <f>COUNTIFS(Table60[Country],Tabela1[[#This Row],[Country]],Table60[Women''s Classification],"&gt;0")</f>
        <v>0</v>
      </c>
      <c r="CJ52" s="6">
        <f>COUNTIFS(Table6[Country],Tabela1[[#This Row],[Country]],Table6[51kg Classification],"&gt;0")</f>
        <v>0</v>
      </c>
      <c r="CK52" s="6">
        <f>COUNTIFS(Table6[Country],Tabela1[[#This Row],[Country]],Table6[57kg Classification],"&gt;0")</f>
        <v>0</v>
      </c>
      <c r="CL52" s="6">
        <f>COUNTIFS(Table6[Country],Tabela1[[#This Row],[Country]],Table6[63.5kg Classification],"&gt;0")</f>
        <v>0</v>
      </c>
      <c r="CM52" s="6">
        <f>COUNTIFS(Table6[Country],Tabela1[[#This Row],[Country]],Table6[71kg Classification],"&gt;0")</f>
        <v>0</v>
      </c>
      <c r="CN52" s="6">
        <f>COUNTIFS(Table6[Country],Tabela1[[#This Row],[Country]],Table6[80kg Classification],"&gt;0")</f>
        <v>0</v>
      </c>
      <c r="CO52" s="6">
        <f>COUNTIFS(Table6[Country],Tabela1[[#This Row],[Country]],Table6[92kg Classification],"&gt;0")</f>
        <v>1</v>
      </c>
      <c r="CP52" s="6">
        <f>COUNTIFS(Table6[Country],Tabela1[[#This Row],[Country]],Table6[Plus 92kg Classification],"&gt;0")</f>
        <v>0</v>
      </c>
      <c r="CQ52" s="6">
        <f>COUNTIFS(Table7[Country],Tabela1[[#This Row],[Country]],Table7[50kg Classification],"&gt;0")</f>
        <v>0</v>
      </c>
      <c r="CR52" s="6">
        <f>COUNTIFS(Table7[Country],Tabela1[[#This Row],[Country]],Table7[54kg Classification],"&gt;0")</f>
        <v>0</v>
      </c>
      <c r="CS52" s="6">
        <f>COUNTIFS(Table7[Country],Tabela1[[#This Row],[Country]],Table7[57kg Classification],"&gt;0")</f>
        <v>0</v>
      </c>
      <c r="CT52" s="6">
        <f>COUNTIFS(Table7[Country],Tabela1[[#This Row],[Country]],Table7[60kg Classification],"&gt;0")</f>
        <v>0</v>
      </c>
      <c r="CU52" s="6">
        <f>COUNTIFS(Table7[Country],Tabela1[[#This Row],[Country]],Table7[66kg Classification],"&gt;0")</f>
        <v>0</v>
      </c>
      <c r="CV52" s="6">
        <f>COUNTIFS(Table7[Country],Tabela1[[#This Row],[Country]],Table7[75kg Classification],"&gt;0")</f>
        <v>0</v>
      </c>
      <c r="CW52" s="6">
        <f>COUNTIFS(Tabela94[Country],Tabela1[[#This Row],[Country]],Tabela94[Classification],"&gt;0")</f>
        <v>0</v>
      </c>
      <c r="CX52" s="6">
        <f>COUNTIFS(Tabela9499[Country],Tabela1[[#This Row],[Country]],Tabela9499[Classification],"&gt;0")</f>
        <v>0</v>
      </c>
      <c r="CY52" s="6">
        <f>COUNTIFS(Tabela107[Country],Tabela1[[#This Row],[Country]],Tabela107[C1 Slalom Classification],"&gt;0")</f>
        <v>0</v>
      </c>
      <c r="CZ52" s="6">
        <f>COUNTIFS(Tabela107122[Country],Tabela1[[#This Row],[Country]],Tabela107122[C1 Slalom Classification],"&gt;0")</f>
        <v>0</v>
      </c>
      <c r="DA52" s="6">
        <f>COUNTIFS(Tabela107[Country],Tabela1[[#This Row],[Country]],Tabela107[K1 Slalom Classification],"&gt;0")</f>
        <v>0</v>
      </c>
      <c r="DB52" s="6">
        <f>COUNTIFS(Tabela107122[Country],Tabela1[[#This Row],[Country]],Tabela107122[K1 Slalom Classification],"&gt;0")</f>
        <v>0</v>
      </c>
      <c r="DC52" s="6">
        <f>COUNTIFS(Tabela107[Country],Tabela1[[#This Row],[Country]],Tabela107[Kayak Cross Slalom Classification],"&gt;0")</f>
        <v>0</v>
      </c>
      <c r="DD52" s="6">
        <f>COUNTIFS(Tabela107122[Country],Tabela1[[#This Row],[Country]],Tabela107122[Kayak Cross Slalom Classification],"&gt;0")</f>
        <v>0</v>
      </c>
      <c r="DE52" s="6">
        <f>COUNTIFS(Table8[Country],Tabela1[[#This Row],[Country]],Table8[C1 200m Classification],"&gt;0")</f>
        <v>0</v>
      </c>
      <c r="DF52" s="6">
        <f>COUNTIFS(Table40[Country],Tabela1[[#This Row],[Country]],Table40[C1 1000m Classification],"&gt;0")</f>
        <v>0</v>
      </c>
      <c r="DG52" s="6">
        <f>COUNTIFS(Table68[Country],Tabela1[[#This Row],[Country]],Table68[Men''s C2 500m Classification],"&gt;0")</f>
        <v>0</v>
      </c>
      <c r="DH52" s="6">
        <f>COUNTIFS(Table68[Country],Tabela1[[#This Row],[Country]],Table68[Women''s C2 500m Classification],"&gt;0")</f>
        <v>0</v>
      </c>
      <c r="DI52" s="6">
        <f>COUNTIFS(Table8[Country],Tabela1[[#This Row],[Country]],Table8[K1 500m Classification],"&gt;0")</f>
        <v>0</v>
      </c>
      <c r="DJ52" s="6">
        <f>COUNTIFS(Table40[Country],Tabela1[[#This Row],[Country]],Table40[K1 1000m Classification],"&gt;0")</f>
        <v>0</v>
      </c>
      <c r="DK52" s="6">
        <f>COUNTIFS(Table68[Country],Tabela1[[#This Row],[Country]],Table68[Men''s K2 500m Classification],"&gt;0")</f>
        <v>0</v>
      </c>
      <c r="DL52" s="6">
        <f>COUNTIFS(Table68[Country],Tabela1[[#This Row],[Country]],Table68[Women''s K2 500m Classification],"&gt;0")</f>
        <v>0</v>
      </c>
      <c r="DM52" s="6">
        <f>COUNTIFS(Table83[Country],Tabela1[[#This Row],[Country]],Table83[Men''s K4 500m Classification],"&gt;0")</f>
        <v>0</v>
      </c>
      <c r="DN52" s="6">
        <f>COUNTIFS(Table83[Country],Tabela1[[#This Row],[Country]],Table83[Women''s K4 500m Classification],"&gt;0")</f>
        <v>0</v>
      </c>
      <c r="DO52" s="6">
        <f>COUNTIFS(Tabela126[Country],Tabela1[[#This Row],[Country]],Tabela126[Classification],"&gt;0")</f>
        <v>0</v>
      </c>
      <c r="DP52" s="6">
        <f>COUNTIFS(Tabela126130[Country],Tabela1[[#This Row],[Country]],Tabela126130[Classification],"&gt;0")</f>
        <v>0</v>
      </c>
      <c r="DQ52" s="6">
        <f>COUNTIFS(Table70[Country],Tabela1[[#This Row],[Country]],Table70[Classification],"&gt;0")</f>
        <v>0</v>
      </c>
      <c r="DR52" s="6">
        <f>COUNTIFS(Table80[Country],Tabela1[[#This Row],[Country]],Table80[Classification],"&gt;0")</f>
        <v>0</v>
      </c>
      <c r="DS52" s="6">
        <f>COUNTIFS(Table66[Country],Tabela1[[#This Row],[Country]],Table66[Classification],"&gt;0")</f>
        <v>0</v>
      </c>
      <c r="DT52" s="6">
        <f>COUNTIFS(Table67[Country],Tabela1[[#This Row],[Country]],Table67[Classification],"&gt;0")</f>
        <v>0</v>
      </c>
      <c r="DU52" s="6">
        <f>COUNTIFS(Table69[Country],Tabela1[[#This Row],[Country]],Table69[Keirin Classification],"&gt;0")</f>
        <v>0</v>
      </c>
      <c r="DV52" s="6">
        <f>COUNTIFS(Table41[Country],Tabela1[[#This Row],[Country]],Table41[Keirin Classification],"&gt;0")</f>
        <v>0</v>
      </c>
      <c r="DW52" s="6">
        <f>COUNTIFS(Table84[Country],Tabela1[[#This Row],[Country]],Table84[Men''s Madison Classification],"&gt;0")</f>
        <v>0</v>
      </c>
      <c r="DX52" s="6">
        <f>COUNTIFS(Table84[Country],Tabela1[[#This Row],[Country]],Table84[Women''s Madison Classification],"&gt;0")</f>
        <v>0</v>
      </c>
      <c r="DY52" s="6">
        <f>COUNTIFS(Table69[Country],Tabela1[[#This Row],[Country]],Table69[Omnium Classification],"&gt;0")</f>
        <v>0</v>
      </c>
      <c r="DZ52" s="6">
        <f>COUNTIFS(Table41[Country],Tabela1[[#This Row],[Country]],Table41[Omnium Classification],"&gt;0")</f>
        <v>0</v>
      </c>
      <c r="EA52" s="6">
        <f>COUNTIFS(Table9[Country],Tabela1[[#This Row],[Country]],Table9[Road Race Classification],"&gt;0")</f>
        <v>0</v>
      </c>
      <c r="EB52" s="6">
        <f>COUNTIFS(Table14[Country],Tabela1[[#This Row],[Country]],Table14[Road Race Classification],"&gt;0")</f>
        <v>0</v>
      </c>
      <c r="EC52" s="6">
        <f>COUNTIFS(Table69[Country],Tabela1[[#This Row],[Country]],Table69[Sprint Classification],"&gt;0")</f>
        <v>0</v>
      </c>
      <c r="ED52" s="6">
        <f>COUNTIFS(Table41[Country],Tabela1[[#This Row],[Country]],Table41[Sprint Classification],"&gt;0")</f>
        <v>0</v>
      </c>
      <c r="EE52" s="6">
        <f>COUNTIFS(Table85[Country],Tabela1[[#This Row],[Country]],Table85[Men''s Sprint Classification],"&gt;0")</f>
        <v>0</v>
      </c>
      <c r="EF52" s="6">
        <f>COUNTIFS(Table85[Country],Tabela1[[#This Row],[Country]],Table85[Women''s Sprint Classification],"&gt;0")</f>
        <v>0</v>
      </c>
      <c r="EG52" s="6">
        <f>COUNTIFS(Table85[Country],Tabela1[[#This Row],[Country]],Table85[Men''s Pursuit Classification],"&gt;0")</f>
        <v>0</v>
      </c>
      <c r="EH52" s="6">
        <f>COUNTIFS(Table85[Country],Tabela1[[#This Row],[Country]],Table85[Women''s Pursuit Classification],"&gt;0")</f>
        <v>0</v>
      </c>
      <c r="EI52" s="6">
        <f>COUNTIFS(Table9[Country],Tabela1[[#This Row],[Country]],Table9[Time-Trial Classification],"&gt;0")</f>
        <v>0</v>
      </c>
      <c r="EJ52" s="6">
        <f>COUNTIFS(Table14[Country],Tabela1[[#This Row],[Country]],Table14[Time-Trial Classification],"&gt;0")</f>
        <v>0</v>
      </c>
      <c r="EK52" s="6">
        <f>COUNTIFS(Table42[Country],Tabela1[[#This Row],[Country]],Table42[Springboard Classification],"&gt;0")</f>
        <v>0</v>
      </c>
      <c r="EL52" s="6">
        <f>COUNTIFS(Table43[Country],Tabela1[[#This Row],[Country]],Table43[Springboard Classification],"&gt;0")</f>
        <v>0</v>
      </c>
      <c r="EM52" s="6">
        <f>COUNTIFS(Table42[Country],Tabela1[[#This Row],[Country]],Table42[Platform Classification],"&gt;0")</f>
        <v>0</v>
      </c>
      <c r="EN52" s="6">
        <f>COUNTIFS(Table43[Country],Tabela1[[#This Row],[Country]],Table43[Platform Classification],"&gt;0")</f>
        <v>0</v>
      </c>
      <c r="EO52" s="6">
        <f>COUNTIFS(Table86[Country],Tabela1[[#This Row],[Country]],Table86[Men''s Synchronized Springboard Classification],"&gt;0")</f>
        <v>0</v>
      </c>
      <c r="EP52" s="6">
        <f>COUNTIFS(Table86[Country],Tabela1[[#This Row],[Country]],Table86[Women''s Synchronized Springboard Classification],"&gt;0")</f>
        <v>0</v>
      </c>
      <c r="EQ52" s="6">
        <f>COUNTIFS(Table86[Country],Tabela1[[#This Row],[Country]],Table86[Men''s Synchronized Platform Classification],"&gt;0")</f>
        <v>0</v>
      </c>
      <c r="ER52" s="6">
        <f>COUNTIFS(Table86[Country],Tabela1[[#This Row],[Country]],Table86[Women''s Synchronized Platform Classification],"&gt;0")</f>
        <v>0</v>
      </c>
      <c r="ES52" s="6">
        <f>COUNTIFS(Table44[Country],Tabela1[[#This Row],[Country]],Table44[Dressage Classification],"&gt;0")</f>
        <v>0</v>
      </c>
      <c r="ET52" s="6">
        <f>COUNTIFS(Table45[Country],Tabela1[[#This Row],[Country]],Table45[Dressage Classification],"&gt;0")</f>
        <v>0</v>
      </c>
      <c r="EU52" s="6">
        <f>COUNTIFS(Table44[Country],Tabela1[[#This Row],[Country]],Table44[Eventing Classification],"&gt;0")</f>
        <v>0</v>
      </c>
      <c r="EV52" s="6">
        <f>COUNTIFS(Table45[Country],Tabela1[[#This Row],[Country]],Table45[Eventing Classification],"&gt;0")</f>
        <v>0</v>
      </c>
      <c r="EW52" s="6">
        <f>COUNTIFS(Table44[Country],Tabela1[[#This Row],[Country]],Table44[Jumping Classification],"&gt;0")</f>
        <v>0</v>
      </c>
      <c r="EX52" s="6">
        <f>COUNTIFS(Table45[Country],Tabela1[[#This Row],[Country]],Table45[Jumping Classification],"&gt;0")</f>
        <v>0</v>
      </c>
      <c r="EY52" s="6">
        <f>COUNTIFS(Table10[Country],Tabela1[[#This Row],[Country]],Table10[Épée Classification],"&gt;0")</f>
        <v>0</v>
      </c>
      <c r="EZ52" s="6">
        <f>COUNTIFS(Table11[Country],Tabela1[[#This Row],[Country]],Table11[Épée Classification],"&gt;0")</f>
        <v>0</v>
      </c>
      <c r="FA52" s="6">
        <f>COUNTIFS(Table46[Country],Tabela1[[#This Row],[Country]],Table46[Men''s Épée Classification],"&gt;0")</f>
        <v>0</v>
      </c>
      <c r="FB52" s="6">
        <f>COUNTIFS(Table46[Country],Tabela1[[#This Row],[Country]],Table46[Women''s Épée Classification],"&gt;0")</f>
        <v>0</v>
      </c>
      <c r="FC52" s="6">
        <f>COUNTIFS(Table10[Country],Tabela1[[#This Row],[Country]],Table10[Foil Classification],"&gt;0")</f>
        <v>0</v>
      </c>
      <c r="FD52" s="6">
        <f>COUNTIFS(Table11[Country],Tabela1[[#This Row],[Country]],Table11[Foil Classification],"&gt;0")</f>
        <v>0</v>
      </c>
      <c r="FE52" s="6">
        <f>COUNTIFS(Table46[Country],Tabela1[[#This Row],[Country]],Table46[Men''s Foil Classification],"&gt;0")</f>
        <v>0</v>
      </c>
      <c r="FF52" s="6">
        <f>COUNTIFS(Table46[Country],Tabela1[[#This Row],[Country]],Table46[Women''s Foil Classification],"&gt;0")</f>
        <v>0</v>
      </c>
      <c r="FG52" s="6">
        <f>COUNTIFS(Table10[Country],Tabela1[[#This Row],[Country]],Table10[Sabre Classification],"&gt;0")</f>
        <v>0</v>
      </c>
      <c r="FH52" s="6">
        <f>COUNTIFS(Table11[Country],Tabela1[[#This Row],[Country]],Table11[Sabre Classification],"&gt;0")</f>
        <v>0</v>
      </c>
      <c r="FI52" s="6">
        <f>COUNTIFS(Table46[Country],Tabela1[[#This Row],[Country]],Table46[Men''s Sabre Classification],"&gt;0")</f>
        <v>0</v>
      </c>
      <c r="FJ52" s="6">
        <f>COUNTIFS(Table46[Country],Tabela1[[#This Row],[Country]],Table46[Women''s Sabre Classification],"&gt;0")</f>
        <v>0</v>
      </c>
      <c r="FK52" s="6">
        <f>COUNTIFS(Table91[Country],Tabela1[[#This Row],[Country]],Table91[Men''s Classification],"&gt;0")</f>
        <v>0</v>
      </c>
      <c r="FL52" s="6">
        <f>COUNTIFS(Table91[Country],Tabela1[[#This Row],[Country]],Table91[Women''s Classification],"&gt;0")</f>
        <v>0</v>
      </c>
      <c r="FM52" s="6">
        <f>COUNTIFS(Table9194[Country],Tabela1[[#This Row],[Country]],Table9194[Men''s Classification],"&gt;0")</f>
        <v>0</v>
      </c>
      <c r="FN52" s="6">
        <f>COUNTIFS(Table9194[Country],Tabela1[[#This Row],[Country]],Table9194[Women''s Classification],"&gt;0")</f>
        <v>0</v>
      </c>
      <c r="FO52" s="6">
        <f>COUNTIFS(Table71[Country],Tabela1[[#This Row],[Country]],Table71[Classification],"&gt;0")</f>
        <v>0</v>
      </c>
      <c r="FP52" s="6">
        <f>COUNTIFS(Table62[Country],Tabela1[[#This Row],[Country]],Table62[Classification],"&gt;0")</f>
        <v>0</v>
      </c>
      <c r="FQ52" s="6">
        <f>COUNTIFS(Table47[Country],Tabela1[[#This Row],[Country]],Table47[All-Around Classification],"&gt;0")</f>
        <v>0</v>
      </c>
      <c r="FR52" s="6">
        <f>COUNTIFS(Table48[Country],Tabela1[[#This Row],[Country]],Table48[All-Around Classification],"&gt;0")</f>
        <v>0</v>
      </c>
      <c r="FS52" s="6">
        <f>COUNTIFS(Table81[Country],Tabela1[[#This Row],[Country]],Table81[Men''s All-Around Classification],"&gt;0")</f>
        <v>0</v>
      </c>
      <c r="FT52" s="6">
        <f>COUNTIFS(Table81[Country],Tabela1[[#This Row],[Country]],Table81[Women''s All-Around Classification],"&gt;0")</f>
        <v>0</v>
      </c>
      <c r="FU52" s="6">
        <f>COUNTIFS(Table48[Country],Tabela1[[#This Row],[Country]],Table48[Balance Beam Classification],"&gt;0")</f>
        <v>0</v>
      </c>
      <c r="FV52" s="6">
        <f>COUNTIFS(Table47[Country],Tabela1[[#This Row],[Country]],Table47[Floor Exercise Classification],"&gt;0")</f>
        <v>0</v>
      </c>
      <c r="FW52" s="6">
        <f>COUNTIFS(Table48[Country],Tabela1[[#This Row],[Country]],Table48[Floor Exercise Classification],"&gt;0")</f>
        <v>0</v>
      </c>
      <c r="FX52" s="6">
        <f>COUNTIFS(Table47[Country],Tabela1[[#This Row],[Country]],Table47[Horizontal Bar Classification],"&gt;0")</f>
        <v>0</v>
      </c>
      <c r="FY52" s="6">
        <f>COUNTIFS(Table47[Country],Tabela1[[#This Row],[Country]],Table47[Parallel Bars Classification],"&gt;0")</f>
        <v>0</v>
      </c>
      <c r="FZ52" s="6">
        <f>COUNTIFS(Table47[Country],Tabela1[[#This Row],[Country]],Table47[Pommel Horse Classification],"&gt;0")</f>
        <v>0</v>
      </c>
      <c r="GA52" s="6">
        <f>COUNTIFS(Table47[Country],Tabela1[[#This Row],[Country]],Table47[Rings Classification],"&gt;0")</f>
        <v>0</v>
      </c>
      <c r="GB52" s="6">
        <f>COUNTIFS(Tabela132[Country],Tabela1[[#This Row],[Country]],Tabela132[Classification],"&gt;0")</f>
        <v>0</v>
      </c>
      <c r="GC52" s="6">
        <f>COUNTIFS(Tabela139[Country],Tabela1[[#This Row],[Country]],Tabela139[Classification],"&gt;0")</f>
        <v>0</v>
      </c>
      <c r="GD52" s="6">
        <f>COUNTIFS(Table48[Country],Tabela1[[#This Row],[Country]],Table48[Uneven Bars Classification],"&gt;0")</f>
        <v>0</v>
      </c>
      <c r="GE52" s="6">
        <f>COUNTIFS(Table47[Country],Tabela1[[#This Row],[Country]],Table47[Vault Classification],"&gt;0")</f>
        <v>0</v>
      </c>
      <c r="GF52" s="6">
        <f>COUNTIFS(Table48[Country],Tabela1[[#This Row],[Country]],Table48[Vault Classification],"&gt;0")</f>
        <v>0</v>
      </c>
      <c r="GG52" s="6">
        <f>COUNTIFS(Table919496[Country],Tabela1[[#This Row],[Country]],Table919496[Men''s Classification],"&gt;0")</f>
        <v>0</v>
      </c>
      <c r="GH52" s="6">
        <f>COUNTIFS(Table919496[Country],Tabela1[[#This Row],[Country]],Table919496[Women''s Classification],"&gt;0")</f>
        <v>0</v>
      </c>
      <c r="GI52" s="6">
        <f>COUNTIFS(Table12[Country],Tabela1[[#This Row],[Country]],Table12[60kg Classification],"&gt;0")</f>
        <v>0</v>
      </c>
      <c r="GJ52" s="6">
        <f>COUNTIFS(Table12[Country],Tabela1[[#This Row],[Country]],Table12[66kg Classification],"&gt;0")</f>
        <v>1</v>
      </c>
      <c r="GK52" s="6">
        <f>COUNTIFS(Table12[Country],Tabela1[[#This Row],[Country]],Table12[73kg Classification],"&gt;0")</f>
        <v>1</v>
      </c>
      <c r="GL52" s="6">
        <f>COUNTIFS(Table12[Country],Tabela1[[#This Row],[Country]],Table12[81kg Classification],"&gt;0")</f>
        <v>1</v>
      </c>
      <c r="GM52" s="6">
        <f>COUNTIFS(Table12[Country],Tabela1[[#This Row],[Country]],Table12[90kg Classification],"&gt;0")</f>
        <v>1</v>
      </c>
      <c r="GN52" s="6">
        <f>COUNTIFS(Table12[Country],Tabela1[[#This Row],[Country]],Table12[100kg Classification],"&gt;0")</f>
        <v>0</v>
      </c>
      <c r="GO52" s="6">
        <f>COUNTIFS(Table12[Country],Tabela1[[#This Row],[Country]],Table12[Plus 100kg Classification],"&gt;0")</f>
        <v>0</v>
      </c>
      <c r="GP52" s="6">
        <f>COUNTIFS(Table13[Country],Tabela1[[#This Row],[Country]],Table13[48kg Classification],"&gt;0")</f>
        <v>0</v>
      </c>
      <c r="GQ52" s="6">
        <f>COUNTIFS(Table13[Country],Tabela1[[#This Row],[Country]],Table13[52kg Classification],"&gt;0")</f>
        <v>0</v>
      </c>
      <c r="GR52" s="6">
        <f>COUNTIFS(Table13[Country],Tabela1[[#This Row],[Country]],Table13[57kg Classification],"&gt;0")</f>
        <v>0</v>
      </c>
      <c r="GS52" s="6">
        <f>COUNTIFS(Table13[Country],Tabela1[[#This Row],[Country]],Table13[63kg Classification],"&gt;0")</f>
        <v>1</v>
      </c>
      <c r="GT52" s="6">
        <f>COUNTIFS(Table13[Country],Tabela1[[#This Row],[Country]],Table13[70kg Classification],"&gt;0")</f>
        <v>0</v>
      </c>
      <c r="GU52" s="6">
        <f>COUNTIFS(Table13[Country],Tabela1[[#This Row],[Country]],Table13[78kg Classification],"&gt;0")</f>
        <v>0</v>
      </c>
      <c r="GV52" s="6">
        <f>COUNTIFS(Table13[Country],Tabela1[[#This Row],[Country]],Table13[Plus 78kg Classification],"&gt;0")</f>
        <v>0</v>
      </c>
      <c r="GW52" s="6">
        <f>COUNTIFS(Table82[Country],Tabela1[[#This Row],[Country]],Table82[Mixed Classification],"&gt;0")</f>
        <v>1</v>
      </c>
      <c r="GX52" s="6">
        <f>COUNTIFS(Table51[Country],Tabela1[[#This Row],[Country]],Table51[Classification],"&gt;0")</f>
        <v>0</v>
      </c>
      <c r="GY52" s="6">
        <f>COUNTIFS(Table52[Country],Tabela1[[#This Row],[Country]],Table52[Classification],"&gt;0")</f>
        <v>0</v>
      </c>
      <c r="GZ52" s="6">
        <f>COUNTIFS(Table32[Country],Tabela1[[#This Row],[Country]],Table32[All-Around Classification],"&gt;0")</f>
        <v>0</v>
      </c>
      <c r="HA52" s="6">
        <f>COUNTIFS(Table49[Country],Tabela1[[#This Row],[Country]],Table49[All-Around Classification],"&gt;0")</f>
        <v>0</v>
      </c>
      <c r="HB52" s="6">
        <f>COUNTIFS(Table26[Country],Tabela1[[#This Row],[Country]],Table26[Single Sculls Classification],"&gt;0")</f>
        <v>0</v>
      </c>
      <c r="HC52" s="6">
        <f>COUNTIFS(Table63[Country],Tabela1[[#This Row],[Country]],Table63[Single Sculls Classification],"&gt;0")</f>
        <v>0</v>
      </c>
      <c r="HD52" s="6">
        <f>COUNTIFS(Table16[Country],Tabela1[[#This Row],[Country]],Table16[Men''s Double Sculls Classification],"&gt;0")</f>
        <v>0</v>
      </c>
      <c r="HE52" s="6">
        <f>COUNTIFS(Table16[Country],Tabela1[[#This Row],[Country]],Table16[Women''s Double Sculls Classification],"&gt;0")</f>
        <v>0</v>
      </c>
      <c r="HF52" s="6">
        <f>COUNTIFS(Table72[Country],Tabela1[[#This Row],[Country]],Table72[Men''s Quadruple Sculls Classification],"&gt;0")</f>
        <v>0</v>
      </c>
      <c r="HG52" s="6">
        <f>COUNTIFS(Table72[Country],Tabela1[[#This Row],[Country]],Table72[Women''s Quadruple Sculls Classification],"&gt;0")</f>
        <v>0</v>
      </c>
      <c r="HH52" s="6">
        <f>COUNTIFS(Table16[Country],Tabela1[[#This Row],[Country]],Table16[Men''s Coxless Pairs Classification],"&gt;0")</f>
        <v>0</v>
      </c>
      <c r="HI52" s="6">
        <f>COUNTIFS(Table16[Country],Tabela1[[#This Row],[Country]],Table16[Women''s Coxless Pairs Classification],"&gt;0")</f>
        <v>0</v>
      </c>
      <c r="HJ52" s="6">
        <f>COUNTIFS(Table72[Country],Tabela1[[#This Row],[Country]],Table72[Men''s Coxless Fours Classification],"&gt;0")</f>
        <v>0</v>
      </c>
      <c r="HK52" s="6">
        <f>COUNTIFS(Table72[Country],Tabela1[[#This Row],[Country]],Table72[Women''s Coxless Fours Classification],"&gt;0")</f>
        <v>0</v>
      </c>
      <c r="HL52" s="6">
        <f>COUNTIFS(Table72[Country],Tabela1[[#This Row],[Country]],Table72[Men''s Eights Classification],"&gt;0")</f>
        <v>0</v>
      </c>
      <c r="HM52" s="6">
        <f>COUNTIFS(Table72[Country],Tabela1[[#This Row],[Country]],Table72[Women''s Eights Classification],"&gt;0")</f>
        <v>0</v>
      </c>
      <c r="HN52" s="6">
        <f>COUNTIFS(Table16[Country],Tabela1[[#This Row],[Country]],Table16[Men''s Lwt. Double Sculls Classification],"&gt;0")</f>
        <v>0</v>
      </c>
      <c r="HO52" s="6">
        <f>COUNTIFS(Table16[Country],Tabela1[[#This Row],[Country]],Table16[Women''s Lwt. Double Sculls Classification],"&gt;0")</f>
        <v>0</v>
      </c>
      <c r="HP52" s="6">
        <f>COUNTIFS(Table91949698[Country],Tabela1[[#This Row],[Country]],Table91949698[Men''s Classification],"&gt;0")</f>
        <v>0</v>
      </c>
      <c r="HQ52" s="6">
        <f>COUNTIFS(Table91949698[Country],Tabela1[[#This Row],[Country]],Table91949698[Women''s Classification],"&gt;0")</f>
        <v>0</v>
      </c>
      <c r="HR52" s="6">
        <f>COUNTIFS(Table25[Country],Tabela1[[#This Row],[Country]],Table25[Mixed 470 Classification],"&gt;0")</f>
        <v>0</v>
      </c>
      <c r="HS52" s="6">
        <f>COUNTIFS(Table25[Country],Tabela1[[#This Row],[Country]],Table25[Men''s 49er Classification],"&gt;0")</f>
        <v>0</v>
      </c>
      <c r="HT52" s="6">
        <f>COUNTIFS(Table25[Country],Tabela1[[#This Row],[Country]],Table25[Women''s 49er FX Classification],"&gt;0")</f>
        <v>0</v>
      </c>
      <c r="HU52" s="6">
        <f>COUNTIFS(Table17[Country],Tabela1[[#This Row],[Country]],Table17[Formula Kite Classification],"&gt;0")</f>
        <v>0</v>
      </c>
      <c r="HV52" s="6">
        <f>COUNTIFS(Table18[Country],Tabela1[[#This Row],[Country]],Table18[Formula Kite Classification],"&gt;0")</f>
        <v>0</v>
      </c>
      <c r="HW52" s="6">
        <f>COUNTIFS(Table17[Country],Tabela1[[#This Row],[Country]],Table17[ILCA 7 Classification],"&gt;0")</f>
        <v>0</v>
      </c>
      <c r="HX52" s="6">
        <f>COUNTIFS(Table18[Country],Tabela1[[#This Row],[Country]],Table18[ILCA 6 Classification],"&gt;0")</f>
        <v>0</v>
      </c>
      <c r="HY52" s="6">
        <f>COUNTIFS(Table17[Country],Tabela1[[#This Row],[Country]],Table17[IQFoil Classification],"&gt;0")</f>
        <v>0</v>
      </c>
      <c r="HZ52" s="6">
        <f>COUNTIFS(Table18[Country],Tabela1[[#This Row],[Country]],Table18[IQFoil Classification],"&gt;0")</f>
        <v>0</v>
      </c>
      <c r="IA52" s="6">
        <f>COUNTIFS(Table25[Country],Tabela1[[#This Row],[Country]],Table25[Mixed Nacra 17 Classification],"&gt;0")</f>
        <v>0</v>
      </c>
      <c r="IB52" s="6">
        <f>COUNTIFS(Table53[Country],Tabela1[[#This Row],[Country]],Table53[10m Air Pistol Classification],"&gt;0")</f>
        <v>0</v>
      </c>
      <c r="IC52" s="6">
        <f>COUNTIFS(Table19[Country],Tabela1[[#This Row],[Country]],Table19[10m Air Pistol Classification],"&gt;0")</f>
        <v>0</v>
      </c>
      <c r="ID52" s="6">
        <f>COUNTIFS(Table54[Country],Tabela1[[#This Row],[Country]],Table54[Mixed 10m Air Pistol Team Classification],"&gt;0")</f>
        <v>0</v>
      </c>
      <c r="IE52" s="6">
        <f>COUNTIFS(Table53[Country],Tabela1[[#This Row],[Country]],Table53[10m Air Rifle Classification],"&gt;0")</f>
        <v>0</v>
      </c>
      <c r="IF52" s="6">
        <f>COUNTIFS(Table19[Country],Tabela1[[#This Row],[Country]],Table19[10m Air Rifle Classification],"&gt;0")</f>
        <v>0</v>
      </c>
      <c r="IG52" s="6">
        <f>COUNTIFS(Table54[Country],Tabela1[[#This Row],[Country]],Table54[Mixed 10m Air Rifle Team Classification],"&gt;0")</f>
        <v>0</v>
      </c>
      <c r="IH52" s="6">
        <f>COUNTIFS(Table53[Country],Tabela1[[#This Row],[Country]],Table53[25m Rapid Fire Pistol Classification],"&gt;0")</f>
        <v>0</v>
      </c>
      <c r="II52" s="6">
        <f>COUNTIFS(Table19[Country],Tabela1[[#This Row],[Country]],Table19[25m Pistol Classification],"&gt;0")</f>
        <v>0</v>
      </c>
      <c r="IJ52" s="6">
        <f>COUNTIFS(Table53[Country],Tabela1[[#This Row],[Country]],Table53[50m Rifle 3 Positions Classification],"&gt;0")</f>
        <v>0</v>
      </c>
      <c r="IK52" s="6">
        <f>COUNTIFS(Table19[Country],Tabela1[[#This Row],[Country]],Table19[50m Rifle 3 Positions Classification],"&gt;0")</f>
        <v>0</v>
      </c>
      <c r="IL52" s="6">
        <f>COUNTIFS(Table53[Country],Tabela1[[#This Row],[Country]],Table53[Skeet Classification],"&gt;0")</f>
        <v>0</v>
      </c>
      <c r="IM52" s="6">
        <f>COUNTIFS(Table19[Country],Tabela1[[#This Row],[Country]],Table19[Skeet Classification],"&gt;0")</f>
        <v>0</v>
      </c>
      <c r="IN52" s="6">
        <f>COUNTIFS(Table54[Country],Tabela1[[#This Row],[Country]],Table54[Mixed Skeet Team Classification],"&gt;0")</f>
        <v>0</v>
      </c>
      <c r="IO52" s="6">
        <f>COUNTIFS(Table53[Country],Tabela1[[#This Row],[Country]],Table53[Trap Classification],"&gt;0")</f>
        <v>0</v>
      </c>
      <c r="IP52" s="6">
        <f>COUNTIFS(Table19[Country],Tabela1[[#This Row],[Country]],Table19[Trap Classification],"&gt;0")</f>
        <v>0</v>
      </c>
      <c r="IQ52" s="6">
        <f>COUNTIFS(Table73[Country],Tabela1[[#This Row],[Country]],Table73[Park Classification],"&gt;0")</f>
        <v>0</v>
      </c>
      <c r="IR52" s="6">
        <f>COUNTIFS(Table74[Country],Tabela1[[#This Row],[Country]],Table74[Park Classification],"&gt;0")</f>
        <v>0</v>
      </c>
      <c r="IS52" s="6">
        <f>COUNTIFS(Table73[Country],Tabela1[[#This Row],[Country]],Table73[Street Classification],"&gt;0")</f>
        <v>0</v>
      </c>
      <c r="IT52" s="6">
        <f>COUNTIFS(Table74[Country],Tabela1[[#This Row],[Country]],Table74[Street Classification],"&gt;0")</f>
        <v>0</v>
      </c>
      <c r="IU52" s="6">
        <f>COUNTIFS(Table75[Country],Tabela1[[#This Row],[Country]],Table75[Boulder and Lead Classification],"&gt;0")</f>
        <v>0</v>
      </c>
      <c r="IV52" s="6">
        <f>COUNTIFS(Table76[Country],Tabela1[[#This Row],[Country]],Table76[Boulder and Lead Classification],"&gt;0")</f>
        <v>0</v>
      </c>
      <c r="IW52" s="6">
        <f>COUNTIFS(Table75[Country],Tabela1[[#This Row],[Country]],Table75[Speed Classification],"&gt;0")</f>
        <v>0</v>
      </c>
      <c r="IX52" s="6">
        <f>COUNTIFS(Table76[Country],Tabela1[[#This Row],[Country]],Table76[Speed Classification],"&gt;0")</f>
        <v>0</v>
      </c>
      <c r="IY52" s="6">
        <f>COUNTIFS(Table64[Country],Tabela1[[#This Row],[Country]],Table64[Shortboard Classification],"&gt;0")</f>
        <v>0</v>
      </c>
      <c r="IZ52" s="6">
        <f>COUNTIFS(Table77[Country],Tabela1[[#This Row],[Country]],Table77[Shortboard Classification],"&gt;0")</f>
        <v>0</v>
      </c>
      <c r="JA52" s="6">
        <f>COUNTIFS(Table20[Country],Tabela1[[#This Row],[Country]],Table20[50m Freestyle Classification],"&gt;0")</f>
        <v>0</v>
      </c>
      <c r="JB52" s="6">
        <f>COUNTIFS(Table21[Country],Tabela1[[#This Row],[Country]],Table21[50m Freestyle Classification],"&gt;0")</f>
        <v>0</v>
      </c>
      <c r="JC52" s="6">
        <f>COUNTIFS(Table20[Country],Tabela1[[#This Row],[Country]],Table20[100m Freestyle Classification],"&gt;0")</f>
        <v>0</v>
      </c>
      <c r="JD52" s="6">
        <f>COUNTIFS(Table21[Country],Tabela1[[#This Row],[Country]],Table21[100m Freestyle Classification],"&gt;0")</f>
        <v>0</v>
      </c>
      <c r="JE52" s="6">
        <f>COUNTIFS(Table20[Country],Tabela1[[#This Row],[Country]],Table20[200m Freestyle Classification],"&gt;0")</f>
        <v>0</v>
      </c>
      <c r="JF52" s="6">
        <f>COUNTIFS(Table21[Country],Tabela1[[#This Row],[Country]],Table21[200m Freestyle Classification],"&gt;0")</f>
        <v>0</v>
      </c>
      <c r="JG52" s="6">
        <f>COUNTIFS(Table20[Country],Tabela1[[#This Row],[Country]],Table20[400m Freestyle Classification],"&gt;0")</f>
        <v>0</v>
      </c>
      <c r="JH52" s="6">
        <f>COUNTIFS(Table21[Country],Tabela1[[#This Row],[Country]],Table21[400m Freestyle Classification],"&gt;0")</f>
        <v>0</v>
      </c>
      <c r="JI52" s="6">
        <f>COUNTIFS(Table20[Country],Tabela1[[#This Row],[Country]],Table20[800m Freestyle Classification],"&gt;0")</f>
        <v>0</v>
      </c>
      <c r="JJ52" s="6">
        <f>COUNTIFS(Table21[Country],Tabela1[[#This Row],[Country]],Table21[800m Freestyle Classification],"&gt;0")</f>
        <v>0</v>
      </c>
      <c r="JK52" s="6">
        <f>COUNTIFS(Table20[Country],Tabela1[[#This Row],[Country]],Table20[1500m Freestyle Classification],"&gt;0")</f>
        <v>0</v>
      </c>
      <c r="JL52" s="6">
        <f>COUNTIFS(Table21[Country],Tabela1[[#This Row],[Country]],Table21[1500m Freestyle Classification],"&gt;0")</f>
        <v>0</v>
      </c>
      <c r="JM52" s="6">
        <f>COUNTIFS(Table20[Country],Tabela1[[#This Row],[Country]],Table20[100m Backstroke Classification],"&gt;0")</f>
        <v>0</v>
      </c>
      <c r="JN52" s="6">
        <f>COUNTIFS(Table21[Country],Tabela1[[#This Row],[Country]],Table21[100m Backstroke Classification],"&gt;0")</f>
        <v>0</v>
      </c>
      <c r="JO52" s="6">
        <f>COUNTIFS(Table20[Country],Tabela1[[#This Row],[Country]],Table20[200m Backstroke Classification],"&gt;0")</f>
        <v>0</v>
      </c>
      <c r="JP52" s="6">
        <f>COUNTIFS(Table21[Country],Tabela1[[#This Row],[Country]],Table21[200m Backstroke Classification],"&gt;0")</f>
        <v>0</v>
      </c>
      <c r="JQ52" s="6">
        <f>COUNTIFS(Table20[Country],Tabela1[[#This Row],[Country]],Table20[100m Breaststroke Classification],"&gt;0")</f>
        <v>0</v>
      </c>
      <c r="JR52" s="6">
        <f>COUNTIFS(Table21[Country],Tabela1[[#This Row],[Country]],Table21[100m Breaststroke Classification],"&gt;0")</f>
        <v>0</v>
      </c>
      <c r="JS52" s="6">
        <f>COUNTIFS(Table20[Country],Tabela1[[#This Row],[Country]],Table20[200m Breaststroke Classification],"&gt;0")</f>
        <v>0</v>
      </c>
      <c r="JT52" s="6">
        <f>COUNTIFS(Table21[Country],Tabela1[[#This Row],[Country]],Table21[200m Breaststroke Classification],"&gt;0")</f>
        <v>0</v>
      </c>
      <c r="JU52" s="6">
        <f>COUNTIFS(Table20[Country],Tabela1[[#This Row],[Country]],Table20[100m Butterfly Classification],"&gt;0")</f>
        <v>0</v>
      </c>
      <c r="JV52" s="6">
        <f>COUNTIFS(Table21[Country],Tabela1[[#This Row],[Country]],Table21[100m Butterfly Classification],"&gt;0")</f>
        <v>0</v>
      </c>
      <c r="JW52" s="6">
        <f>COUNTIFS(Table20[Country],Tabela1[[#This Row],[Country]],Table20[200m Butterfly Classification],"&gt;0")</f>
        <v>0</v>
      </c>
      <c r="JX52" s="6">
        <f>COUNTIFS(Table21[Country],Tabela1[[#This Row],[Country]],Table21[200m Butterfly Classification],"&gt;0")</f>
        <v>0</v>
      </c>
      <c r="JY52" s="6">
        <f>COUNTIFS(Table20[Country],Tabela1[[#This Row],[Country]],Table20[200m Medley Classification],"&gt;0")</f>
        <v>0</v>
      </c>
      <c r="JZ52" s="6">
        <f>COUNTIFS(Table21[Country],Tabela1[[#This Row],[Country]],Table21[200m Medley Classification],"&gt;0")</f>
        <v>0</v>
      </c>
      <c r="KA52" s="6">
        <f>COUNTIFS(Table20[Country],Tabela1[[#This Row],[Country]],Table20[400m Medley Classification],"&gt;0")</f>
        <v>0</v>
      </c>
      <c r="KB52" s="6">
        <f>COUNTIFS(Table21[Country],Tabela1[[#This Row],[Country]],Table21[400m Medley Classification],"&gt;0")</f>
        <v>0</v>
      </c>
      <c r="KC52" s="6">
        <f>COUNTIFS(Table78[Country],Tabela1[[#This Row],[Country]],Table78[Men''s 4x100m Freestyle Relay Classification],"&gt;0")</f>
        <v>0</v>
      </c>
      <c r="KD52" s="6">
        <f>COUNTIFS(Table78[Country],Tabela1[[#This Row],[Country]],Table78[Women''s 4x100m Freestyle Relay Classification],"&gt;0")</f>
        <v>0</v>
      </c>
      <c r="KE52" s="6">
        <f>COUNTIFS(Table78[Country],Tabela1[[#This Row],[Country]],Table78[Men''s 4x200m Freestyle Relay Classification],"&gt;0")</f>
        <v>0</v>
      </c>
      <c r="KF52" s="6">
        <f>COUNTIFS(Table78[Country],Tabela1[[#This Row],[Country]],Table78[Women''s 4x200m Freestyle Relay Classification],"&gt;0")</f>
        <v>0</v>
      </c>
      <c r="KG52" s="6">
        <f>COUNTIFS(Table78[Country],Tabela1[[#This Row],[Country]],Table78[Men''s 4x100m Medley Relay Classification],"&gt;0")</f>
        <v>0</v>
      </c>
      <c r="KH52" s="6">
        <f>COUNTIFS(Table78[Country],Tabela1[[#This Row],[Country]],Table78[Women''s 4x100m Medley Relay Classification],"&gt;0")</f>
        <v>0</v>
      </c>
      <c r="KI52" s="6">
        <f>COUNTIFS(Table78[Country],Tabela1[[#This Row],[Country]],Table78[Mixed 4x100m Medley Relay Classification],"&gt;0")</f>
        <v>0</v>
      </c>
      <c r="KJ52" s="6">
        <f>COUNTIFS(Table20[Country],Tabela1[[#This Row],[Country]],Table20[10km Open Water Classification],"&gt;0")</f>
        <v>0</v>
      </c>
      <c r="KK52" s="6">
        <f>COUNTIFS(Table21[Country],Tabela1[[#This Row],[Country]],Table21[10km Open Water Classification],"&gt;0")</f>
        <v>0</v>
      </c>
      <c r="KL52" s="6">
        <f>COUNTIFS(Table22[Country],Tabela1[[#This Row],[Country]],Table22[Classification],"&gt;0")</f>
        <v>0</v>
      </c>
      <c r="KM52" s="6">
        <f>COUNTIFS(Table30[Country],Tabela1[[#This Row],[Country]],Table30[Classification],"&gt;0")</f>
        <v>0</v>
      </c>
      <c r="KN52" s="6">
        <f>COUNTIFS(Table55[Country],Tabela1[[#This Row],[Country]],Table55[Men''s Classification],"&gt;0")</f>
        <v>0</v>
      </c>
      <c r="KO52" s="6">
        <f>COUNTIFS(Table55[Country],Tabela1[[#This Row],[Country]],Table55[Women''s Classification],"&gt;0")</f>
        <v>0</v>
      </c>
      <c r="KP52" s="6">
        <f>COUNTIFS(Table56[Country],Tabela1[[#This Row],[Country]],Table56[Mixed Classification],"&gt;0")</f>
        <v>0</v>
      </c>
      <c r="KQ52" s="6">
        <f>COUNTIFS(Table29[Country],Tabela1[[#This Row],[Country]],Table29[58kg Classification],"&gt;0")</f>
        <v>0</v>
      </c>
      <c r="KR52" s="6">
        <f>COUNTIFS(Table29[Country],Tabela1[[#This Row],[Country]],Table29[68kg Classification],"&gt;0")</f>
        <v>0</v>
      </c>
      <c r="KS52" s="6">
        <f>COUNTIFS(Table29[Country],Tabela1[[#This Row],[Country]],Table29[80kg Classification],"&gt;0")</f>
        <v>0</v>
      </c>
      <c r="KT52" s="6">
        <f>COUNTIFS(Table29[Country],Tabela1[[#This Row],[Country]],Table29[Plus 80kg Classification],"&gt;0")</f>
        <v>0</v>
      </c>
      <c r="KU52" s="6">
        <f>COUNTIFS(Table34[Country],Tabela1[[#This Row],[Country]],Table34[49kg Classification],"&gt;0")</f>
        <v>0</v>
      </c>
      <c r="KV52" s="6">
        <f>COUNTIFS(Table34[Country],Tabela1[[#This Row],[Country]],Table34[57kg Classification],"&gt;0")</f>
        <v>0</v>
      </c>
      <c r="KW52" s="6">
        <f>COUNTIFS(Table34[Country],Tabela1[[#This Row],[Country]],Table34[67kg Classification],"&gt;0")</f>
        <v>0</v>
      </c>
      <c r="KX52" s="6">
        <f>COUNTIFS(Table34[Country],Tabela1[[#This Row],[Country]],Table34[Plus 67kg Classification],"&gt;0")</f>
        <v>0</v>
      </c>
      <c r="KY52" s="6">
        <f>COUNTIFS(Table57[Country],Tabela1[[#This Row],[Country]],Table57[Classification],"&gt;0")</f>
        <v>0</v>
      </c>
      <c r="KZ52" s="6">
        <f>COUNTIFS(Table58[Country],Tabela1[[#This Row],[Country]],Table58[Classification],"&gt;0")</f>
        <v>0</v>
      </c>
      <c r="LA52" s="6">
        <f>COUNTIFS(Table79[Country],Tabela1[[#This Row],[Country]],Table79[Men''s Classification],"&gt;0")</f>
        <v>0</v>
      </c>
      <c r="LB52" s="6">
        <f>COUNTIFS(Table79[Country],Tabela1[[#This Row],[Country]],Table79[Women''s Classification],"&gt;0")</f>
        <v>0</v>
      </c>
      <c r="LC52" s="6">
        <f>COUNTIFS(Table79[Country],Tabela1[[#This Row],[Country]],Table79[Mixed Classification],"&gt;0")</f>
        <v>0</v>
      </c>
      <c r="LD52" s="6">
        <f>COUNTIFS(Table65[Country],Tabela1[[#This Row],[Country]],Table65[Classification],"&gt;0")</f>
        <v>0</v>
      </c>
      <c r="LE52" s="6">
        <f>COUNTIFS(Table59[Country],Tabela1[[#This Row],[Country]],Table59[Classification],"&gt;0")</f>
        <v>0</v>
      </c>
      <c r="LF52" s="6">
        <f>COUNTIFS(Table87[Country],Tabela1[[#This Row],[Country]],Table87[Mixed Relay Classification],"&gt;0")</f>
        <v>0</v>
      </c>
      <c r="LG52" s="6">
        <f>COUNTIFS(Table91949698100[Country],Tabela1[[#This Row],[Country]],Table91949698100[Men''s Classification],"&gt;0")</f>
        <v>0</v>
      </c>
      <c r="LH52" s="6">
        <f>COUNTIFS(Table91949698100[Country],Tabela1[[#This Row],[Country]],Table91949698100[Women''s Classification],"&gt;0")</f>
        <v>0</v>
      </c>
      <c r="LI52" s="6">
        <f>COUNTIFS(Table91949698100102[Country],Tabela1[[#This Row],[Country]],Table91949698100102[Men''s Classification],"&gt;0")</f>
        <v>0</v>
      </c>
      <c r="LJ52" s="6">
        <f>COUNTIFS(Table91949698100102[Country],Tabela1[[#This Row],[Country]],Table91949698100102[Women''s Classification],"&gt;0")</f>
        <v>0</v>
      </c>
      <c r="LK52" s="6">
        <f>COUNTIFS(Table23[Country],Tabela1[[#This Row],[Country]],Table23[61kg Classification],"&gt;0")</f>
        <v>0</v>
      </c>
      <c r="LL52" s="6">
        <f>COUNTIFS(Table23[Country],Tabela1[[#This Row],[Country]],Table23[73kg Classification],"&gt;0")</f>
        <v>0</v>
      </c>
      <c r="LM52" s="6">
        <f>COUNTIFS(Table23[Country],Tabela1[[#This Row],[Country]],Table23[89kg Classification],"&gt;0")</f>
        <v>0</v>
      </c>
      <c r="LN52" s="6">
        <f>COUNTIFS(Table23[Country],Tabela1[[#This Row],[Country]],Table23[102kg Classification],"&gt;0")</f>
        <v>1</v>
      </c>
      <c r="LO52" s="6">
        <f>COUNTIFS(Table23[Country],Tabela1[[#This Row],[Country]],Table23[Plus 102kg Classification],"&gt;0")</f>
        <v>0</v>
      </c>
      <c r="LP52" s="6">
        <f>COUNTIFS(Table28[Country],Tabela1[[#This Row],[Country]],Table28[49kg Classification],"&gt;0")</f>
        <v>0</v>
      </c>
      <c r="LQ52" s="6">
        <f>COUNTIFS(Table28[Country],Tabela1[[#This Row],[Country]],Table28[59kg Classification],"&gt;0")</f>
        <v>0</v>
      </c>
      <c r="LR52" s="6">
        <f>COUNTIFS(Table28[Country],Tabela1[[#This Row],[Country]],Table28[71kg Classification],"&gt;0")</f>
        <v>0</v>
      </c>
      <c r="LS52" s="6">
        <f>COUNTIFS(Table28[Country],Tabela1[[#This Row],[Country]],Table28[81kg Classification],"&gt;0")</f>
        <v>0</v>
      </c>
      <c r="LT52" s="6">
        <f>COUNTIFS(Table28[Country],Tabela1[[#This Row],[Country]],Table28[Plus 81kg Classification],"&gt;0")</f>
        <v>0</v>
      </c>
      <c r="LU52" s="6">
        <f>COUNTIFS(Table24[Country],Tabela1[[#This Row],[Country]],Table24[Freestyle 57kg Classification],"&gt;0")</f>
        <v>0</v>
      </c>
      <c r="LV52" s="6">
        <f>COUNTIFS(Table24[Country],Tabela1[[#This Row],[Country]],Table24[Freestyle 65kg Classification],"&gt;0")</f>
        <v>1</v>
      </c>
      <c r="LW52" s="6">
        <f>COUNTIFS(Table24[Country],Tabela1[[#This Row],[Country]],Table24[Freestyle 74kg Classification],"&gt;0")</f>
        <v>0</v>
      </c>
      <c r="LX52" s="6">
        <f>COUNTIFS(Table24[Country],Tabela1[[#This Row],[Country]],Table24[Freestyle 86kg Classification],"&gt;0")</f>
        <v>0</v>
      </c>
      <c r="LY52" s="6">
        <f>COUNTIFS(Table24[Country],Tabela1[[#This Row],[Country]],Table24[Freestyle 97kg Classification],"&gt;0")</f>
        <v>1</v>
      </c>
      <c r="LZ52" s="6">
        <f>COUNTIFS(Table24[Country],Tabela1[[#This Row],[Country]],Table24[Freestyle 125kg Classification],"&gt;0")</f>
        <v>1</v>
      </c>
      <c r="MA52" s="6">
        <f>COUNTIFS(Table24[Country],Tabela1[[#This Row],[Country]],Table24[Greco-Roman 60kg Classification],"&gt;0")</f>
        <v>0</v>
      </c>
      <c r="MB52" s="6">
        <f>COUNTIFS(Table24[Country],Tabela1[[#This Row],[Country]],Table24[Greco-Roman 67kg Classification],"&gt;0")</f>
        <v>0</v>
      </c>
      <c r="MC52" s="6">
        <f>COUNTIFS(Table24[Country],Tabela1[[#This Row],[Country]],Table24[Greco-Roman 77kg Classification],"&gt;0")</f>
        <v>0</v>
      </c>
      <c r="MD52" s="6">
        <f>COUNTIFS(Table24[Country],Tabela1[[#This Row],[Country]],Table24[Greco-Roman 87kg Classification],"&gt;0")</f>
        <v>0</v>
      </c>
      <c r="ME52" s="6">
        <f>COUNTIFS(Table24[Country],Tabela1[[#This Row],[Country]],Table24[Greco-Roman 97kg Classification],"&gt;0")</f>
        <v>0</v>
      </c>
      <c r="MF52" s="6">
        <f>COUNTIFS(Table24[Country],Tabela1[[#This Row],[Country]],Table24[Greco-Roman 130kg Classification],"&gt;0")</f>
        <v>0</v>
      </c>
      <c r="MG52" s="6">
        <f>COUNTIFS(Table31[Country],Tabela1[[#This Row],[Country]],Table31[50kg Classification],"&gt;0")</f>
        <v>0</v>
      </c>
      <c r="MH52" s="6">
        <f>COUNTIFS(Table31[Country],Tabela1[[#This Row],[Country]],Table31[53kg Classification],"&gt;0")</f>
        <v>0</v>
      </c>
      <c r="MI52" s="6">
        <f>COUNTIFS(Table31[Country],Tabela1[[#This Row],[Country]],Table31[57kg Classification],"&gt;0")</f>
        <v>0</v>
      </c>
      <c r="MJ52" s="6">
        <f>COUNTIFS(Table31[Country],Tabela1[[#This Row],[Country]],Table31[62kg Classification],"&gt;0")</f>
        <v>0</v>
      </c>
      <c r="MK52" s="6">
        <f>COUNTIFS(Table31[Country],Tabela1[[#This Row],[Country]],Table31[68kg Classification],"&gt;0")</f>
        <v>0</v>
      </c>
      <c r="ML52" s="6">
        <f>COUNTIFS(Table31[Country],Tabela1[[#This Row],[Country]],Table31[76kg Classification],"&gt;0")</f>
        <v>0</v>
      </c>
      <c r="MM52" s="6">
        <f>COUNTIFS(Table102[Country],Tabela1[[#This Row],[Country]],Table102[Downhill Classification],"&gt;0")</f>
        <v>0</v>
      </c>
      <c r="MN52" s="6">
        <f>COUNTIFS(Table102105[Country],Tabela1[[#This Row],[Country]],Table102105[Downhill Classification],"&gt;0")</f>
        <v>0</v>
      </c>
      <c r="MO52" s="6">
        <f>COUNTIFS(Table102[Country],Tabela1[[#This Row],[Country]],Table102[Giant Slalom Classification],"&gt;0")</f>
        <v>1</v>
      </c>
      <c r="MP52" s="6">
        <f>COUNTIFS(Table102105[Country],Tabela1[[#This Row],[Country]],Table102105[Giant Slalom Classification],"&gt;0")</f>
        <v>0</v>
      </c>
      <c r="MQ52" s="6">
        <f>COUNTIFS(Table102[Country],Tabela1[[#This Row],[Country]],Table102[Slalom Classification],"&gt;0")</f>
        <v>1</v>
      </c>
      <c r="MR52" s="6">
        <f>COUNTIFS(Table102105[Country],Tabela1[[#This Row],[Country]],Table102105[Slalom Classification],"&gt;0")</f>
        <v>0</v>
      </c>
      <c r="MS52" s="6">
        <f>COUNTIFS(Table102[Country],Tabela1[[#This Row],[Country]],Table102[Super-G Classification],"&gt;0")</f>
        <v>0</v>
      </c>
      <c r="MT52" s="6">
        <f>COUNTIFS(Table102105[Country],Tabela1[[#This Row],[Country]],Table102105[Super-G Classification],"&gt;0")</f>
        <v>0</v>
      </c>
      <c r="MU52" s="6">
        <f>COUNTIFS(Table105[Country],Tabela1[[#This Row],[Country]],Table105[Men''s Combined Classification],"&gt;0")</f>
        <v>0</v>
      </c>
      <c r="MV52" s="6">
        <f>COUNTIFS(Table105[Country],Tabela1[[#This Row],[Country]],Table105[Women''s Combined Classification],"&gt;0")</f>
        <v>0</v>
      </c>
      <c r="MW52" s="6">
        <f>COUNTIFS(Table106[Country],Tabela1[[#This Row],[Country]],Table106[Individual Classification],"&gt;0")</f>
        <v>0</v>
      </c>
      <c r="MX52" s="6">
        <f>COUNTIFS(Table106109[Country],Tabela1[[#This Row],[Country]],Table106109[Individual Classification],"&gt;0")</f>
        <v>0</v>
      </c>
      <c r="MY52" s="6">
        <f>COUNTIFS(Table106[Country],Tabela1[[#This Row],[Country]],Table106[Mass Start Classification],"&gt;0")</f>
        <v>0</v>
      </c>
      <c r="MZ52" s="6">
        <f>COUNTIFS(Table106109[Country],Tabela1[[#This Row],[Country]],Table106109[Mass Start Classification],"&gt;0")</f>
        <v>0</v>
      </c>
      <c r="NA52" s="6">
        <f>COUNTIFS(Table106[Country],Tabela1[[#This Row],[Country]],Table106[Pursuit Classification],"&gt;0")</f>
        <v>0</v>
      </c>
      <c r="NB52" s="6">
        <f>COUNTIFS(Table106109[Country],Tabela1[[#This Row],[Country]],Table106109[Pursuit Classification],"&gt;0")</f>
        <v>0</v>
      </c>
      <c r="NC52" s="6">
        <f>COUNTIFS(Table106[Country],Tabela1[[#This Row],[Country]],Table106[Sprint Classification],"&gt;0")</f>
        <v>0</v>
      </c>
      <c r="ND52" s="6">
        <f>COUNTIFS(Table106109[Country],Tabela1[[#This Row],[Country]],Table106109[Sprint Classification],"&gt;0")</f>
        <v>0</v>
      </c>
      <c r="NE52" s="6">
        <f>COUNTIFS(Table109[Country],Tabela1[[#This Row],[Country]],Table109[Men''s Relay Classification],"&gt;0")</f>
        <v>0</v>
      </c>
      <c r="NF52" s="6">
        <f>COUNTIFS(Table109[Country],Tabela1[[#This Row],[Country]],Table109[Women''s Relay Classification],"&gt;0")</f>
        <v>0</v>
      </c>
      <c r="NG52" s="6">
        <f>COUNTIFS(Table109[Country],Tabela1[[#This Row],[Country]],Table109[Mixed Relay Classification],"&gt;0")</f>
        <v>0</v>
      </c>
      <c r="NH52" s="6">
        <f>COUNTIFS(Table110[Country],Tabela1[[#This Row],[Country]],Table110[Monobob Classification],"&gt;0")</f>
        <v>0</v>
      </c>
      <c r="NI52" s="6">
        <f>COUNTIFS(Table111[Country],Tabela1[[#This Row],[Country]],Table111[Men''s Classification],"&gt;0")</f>
        <v>0</v>
      </c>
      <c r="NJ52" s="6">
        <f>COUNTIFS(Table111[Country],Tabela1[[#This Row],[Country]],Table111[Women''s Classification],"&gt;0")</f>
        <v>0</v>
      </c>
      <c r="NK52" s="6">
        <f>COUNTIFS(Table112[Country],Tabela1[[#This Row],[Country]],Table112[Men''s Four Classification],"&gt;0")</f>
        <v>0</v>
      </c>
      <c r="NL52" s="6">
        <f>COUNTIFS(Table113[Country],Tabela1[[#This Row],[Country]],Table113[Classical Classification],"&gt;0")</f>
        <v>0</v>
      </c>
      <c r="NM52" s="6">
        <f>COUNTIFS(Table113116[Country],Tabela1[[#This Row],[Country]],Table113116[Classical Classification],"&gt;0")</f>
        <v>0</v>
      </c>
      <c r="NN52" s="6">
        <f>COUNTIFS(Table113[Country],Tabela1[[#This Row],[Country]],Table113[Freestyle Classification],"&gt;0")</f>
        <v>0</v>
      </c>
      <c r="NO52" s="6">
        <f>COUNTIFS(Table113116[Country],Tabela1[[#This Row],[Country]],Table113116[Freestyle Classification],"&gt;0")</f>
        <v>0</v>
      </c>
      <c r="NP52" s="6">
        <f>COUNTIFS(Table117[Country],Tabela1[[#This Row],[Country]],Table117[Men''s Relay Classification],"&gt;0")</f>
        <v>0</v>
      </c>
      <c r="NQ52" s="6">
        <f>COUNTIFS(Table117[Country],Tabela1[[#This Row],[Country]],Table117[Women''s Relay Classification],"&gt;0")</f>
        <v>0</v>
      </c>
      <c r="NR52" s="6">
        <f>COUNTIFS(Table113[Country],Tabela1[[#This Row],[Country]],Table113[Skiathlon Classification],"&gt;0")</f>
        <v>0</v>
      </c>
      <c r="NS52" s="6">
        <f>COUNTIFS(Table113116[Country],Tabela1[[#This Row],[Country]],Table113116[Skiathlon Classification],"&gt;0")</f>
        <v>0</v>
      </c>
      <c r="NT52" s="6">
        <f>COUNTIFS(Table113[Country],Tabela1[[#This Row],[Country]],Table113[Sprint Classification],"&gt;0")</f>
        <v>0</v>
      </c>
      <c r="NU52" s="6">
        <f>COUNTIFS(Table113116[Country],Tabela1[[#This Row],[Country]],Table113116[Sprint Classification],"&gt;0")</f>
        <v>0</v>
      </c>
      <c r="NV52" s="6">
        <f>COUNTIFS(Table116[Country],Tabela1[[#This Row],[Country]],Table116[Men''s Team Sprint Classification],"&gt;0")</f>
        <v>0</v>
      </c>
      <c r="NW52" s="6">
        <f>COUNTIFS(Table116[Country],Tabela1[[#This Row],[Country]],Table116[Women''s Team Sprint Classification],"&gt;0")</f>
        <v>0</v>
      </c>
      <c r="NX52" s="6">
        <f>COUNTIFS(Table119[Country],Tabela1[[#This Row],[Country]],Table119[Men''s Classification],"&gt;0")</f>
        <v>0</v>
      </c>
      <c r="NY52" s="6">
        <f>COUNTIFS(Table119[Country],Tabela1[[#This Row],[Country]],Table119[Women''s Classification],"&gt;0")</f>
        <v>0</v>
      </c>
      <c r="NZ52" s="6">
        <f>COUNTIFS(Table118[Country],Tabela1[[#This Row],[Country]],Table118[Mixed Classification],"&gt;0")</f>
        <v>0</v>
      </c>
      <c r="OA52" s="6">
        <f>COUNTIFS(Table120[Country],Tabela1[[#This Row],[Country]],Table120[Classification],"&gt;0")</f>
        <v>0</v>
      </c>
      <c r="OB52" s="6">
        <f>COUNTIFS(Table120123[Country],Tabela1[[#This Row],[Country]],Table120123[Classification],"&gt;0")</f>
        <v>0</v>
      </c>
      <c r="OC52" s="6">
        <f>COUNTIFS(Table123[Country],Tabela1[[#This Row],[Country]],Table123[Ice Dance Classification],"&gt;0")</f>
        <v>0</v>
      </c>
      <c r="OD52" s="6">
        <f>COUNTIFS(Table123[Country],Tabela1[[#This Row],[Country]],Table123[Pair Skating Classification],"&gt;0")</f>
        <v>0</v>
      </c>
      <c r="OE52" s="6">
        <f>COUNTIFS(Table124[Country],Tabela1[[#This Row],[Country]],Table124[Mixed Classification],"&gt;0")</f>
        <v>0</v>
      </c>
      <c r="OF52" s="6">
        <f>COUNTIFS(Table125[Country],Tabela1[[#This Row],[Country]],Table125[Aerials Classification],"&gt;0")</f>
        <v>0</v>
      </c>
      <c r="OG52" s="6">
        <f>COUNTIFS(Table125128[Country],Tabela1[[#This Row],[Country]],Table125128[Aerials Classification],"&gt;0")</f>
        <v>0</v>
      </c>
      <c r="OH52" s="6">
        <f>COUNTIFS(Table128[Country],Tabela1[[#This Row],[Country]],Table128[Mixed Aerials Classification],"&gt;0")</f>
        <v>0</v>
      </c>
      <c r="OI52" s="6">
        <f>COUNTIFS(Table125[Country],Tabela1[[#This Row],[Country]],Table125[Big Air Classification],"&gt;0")</f>
        <v>0</v>
      </c>
      <c r="OJ52" s="6">
        <f>COUNTIFS(Table125128[Country],Tabela1[[#This Row],[Country]],Table125128[Big Air Classification],"&gt;0")</f>
        <v>0</v>
      </c>
      <c r="OK52" s="6">
        <f>COUNTIFS(Table125[Country],Tabela1[[#This Row],[Country]],Table125[Dual Moguls Classification],"&gt;0")</f>
        <v>0</v>
      </c>
      <c r="OL52" s="6">
        <f>COUNTIFS(Table125128[Country],Tabela1[[#This Row],[Country]],Table125128[Dual Moguls Classification],"&gt;0")</f>
        <v>0</v>
      </c>
      <c r="OM52" s="6">
        <f>COUNTIFS(Table125[Country],Tabela1[[#This Row],[Country]],Table125[Halfpipe Classification],"&gt;0")</f>
        <v>0</v>
      </c>
      <c r="ON52" s="6">
        <f>COUNTIFS(Table125128[Country],Tabela1[[#This Row],[Country]],Table125128[Halfpipe Classification],"&gt;0")</f>
        <v>0</v>
      </c>
      <c r="OO52" s="6">
        <f>COUNTIFS(Table125[Country],Tabela1[[#This Row],[Country]],Table125[Moguls Classification],"&gt;0")</f>
        <v>0</v>
      </c>
      <c r="OP52" s="6">
        <f>COUNTIFS(Table125128[Country],Tabela1[[#This Row],[Country]],Table125128[Moguls Classification],"&gt;0")</f>
        <v>0</v>
      </c>
      <c r="OQ52" s="6">
        <f>COUNTIFS(Table125[Country],Tabela1[[#This Row],[Country]],Table125[Ski Cross Classification],"&gt;0")</f>
        <v>0</v>
      </c>
      <c r="OR52" s="6">
        <f>COUNTIFS(Table125128[Country],Tabela1[[#This Row],[Country]],Table125128[Ski Cross Classification],"&gt;0")</f>
        <v>0</v>
      </c>
      <c r="OS52" s="6">
        <f>COUNTIFS(Table125[Country],Tabela1[[#This Row],[Country]],Table125[Slopestyle Classification],"&gt;0")</f>
        <v>0</v>
      </c>
      <c r="OT52" s="6">
        <f>COUNTIFS(Table125128[Country],Tabela1[[#This Row],[Country]],Table125128[Slopestyle Classification],"&gt;0")</f>
        <v>0</v>
      </c>
      <c r="OU52" s="6">
        <f>COUNTIFS(Table119131[Country],Tabela1[[#This Row],[Country]],Table119131[Men''s Classification],"&gt;0")</f>
        <v>0</v>
      </c>
      <c r="OV52" s="6">
        <f>COUNTIFS(Table119131[Country],Tabela1[[#This Row],[Country]],Table119131[Women''s Classification],"&gt;0")</f>
        <v>0</v>
      </c>
      <c r="OW52" s="6">
        <f>COUNTIFS(Table131[Country],Tabela1[[#This Row],[Country]],Table131[Classification],"&gt;0")</f>
        <v>0</v>
      </c>
      <c r="OX52" s="6">
        <f>COUNTIFS(Table131134[Country],Tabela1[[#This Row],[Country]],Table131134[Classification],"&gt;0")</f>
        <v>0</v>
      </c>
      <c r="OY52" s="6">
        <f>COUNTIFS(Table134[Country],Tabela1[[#This Row],[Country]],Table134[Men''s Classification],"&gt;0")</f>
        <v>0</v>
      </c>
      <c r="OZ52" s="6">
        <f>COUNTIFS(Table134[Country],Tabela1[[#This Row],[Country]],Table134[Women''s Classification],"&gt;0")</f>
        <v>0</v>
      </c>
      <c r="PA52" s="6">
        <f>COUNTIFS(Table135[Country],Tabela1[[#This Row],[Country]],Table135[Mixed Relay Classification],"&gt;0")</f>
        <v>0</v>
      </c>
      <c r="PB52" s="6">
        <f>COUNTIFS(Table136[Country],Tabela1[[#This Row],[Country]],Table136[Individual Classification],"&gt;0")</f>
        <v>0</v>
      </c>
      <c r="PC52" s="6">
        <f>COUNTIFS(Table136[Country],Tabela1[[#This Row],[Country]],Table136[Sprint Classification],"&gt;0")</f>
        <v>0</v>
      </c>
      <c r="PD52" s="6">
        <f>COUNTIFS(Table137[Country],Tabela1[[#This Row],[Country]],Table137[Men''s Team Sprint Large Hill Classification],"&gt;0")</f>
        <v>0</v>
      </c>
      <c r="PE52" s="6">
        <f>COUNTIFS(Table138[Country],Tabela1[[#This Row],[Country]],Table138[500m Classification],"&gt;0")</f>
        <v>0</v>
      </c>
      <c r="PF52" s="6">
        <f>COUNTIFS(Table138141[Country],Tabela1[[#This Row],[Country]],Table138141[500m Classification],"&gt;0")</f>
        <v>0</v>
      </c>
      <c r="PG52" s="6">
        <f>COUNTIFS(Table138[Country],Tabela1[[#This Row],[Country]],Table138[1000m Classification],"&gt;0")</f>
        <v>0</v>
      </c>
      <c r="PH52" s="6">
        <f>COUNTIFS(Table138141[Country],Tabela1[[#This Row],[Country]],Table138141[1000m Classification],"&gt;0")</f>
        <v>0</v>
      </c>
      <c r="PI52" s="6">
        <f>COUNTIFS(Table138[Country],Tabela1[[#This Row],[Country]],Table138[1500m Classification],"&gt;0")</f>
        <v>0</v>
      </c>
      <c r="PJ52" s="6">
        <f>COUNTIFS(Table138141[Country],Tabela1[[#This Row],[Country]],Table138141[1500m Classification],"&gt;0")</f>
        <v>0</v>
      </c>
      <c r="PK52" s="6">
        <f>COUNTIFS(Table141[Country],Tabela1[[#This Row],[Country]],Table141[Men''s 5000m Relay Classification],"&gt;0")</f>
        <v>0</v>
      </c>
      <c r="PL52" s="6">
        <f>COUNTIFS(Table141[Country],Tabela1[[#This Row],[Country]],Table141[Women''s 3000m Relay Classification],"&gt;0")</f>
        <v>0</v>
      </c>
      <c r="PM52" s="6">
        <f>COUNTIFS(Table141[Country],Tabela1[[#This Row],[Country]],Table141[Mixed 2000m Relay Classification],"&gt;0")</f>
        <v>0</v>
      </c>
      <c r="PN52" s="6">
        <f>COUNTIFS(Table142[Country],Tabela1[[#This Row],[Country]],Table142[Classification],"&gt;0")</f>
        <v>0</v>
      </c>
      <c r="PO52" s="6">
        <f>COUNTIFS(Table142145[Country],Tabela1[[#This Row],[Country]],Table142145[Classification],"&gt;0")</f>
        <v>0</v>
      </c>
      <c r="PP52" s="6">
        <f>COUNTIFS(Tabela15[Country],Tabela1[[#This Row],[Country]],Tabela15[Mixed Team Classification],"&gt;0")</f>
        <v>0</v>
      </c>
      <c r="PQ52" s="6">
        <f>COUNTIFS(Table145[Country],Tabela1[[#This Row],[Country]],Table145[Large Hill Classification],"&gt;0")</f>
        <v>0</v>
      </c>
      <c r="PR52" s="6">
        <f>COUNTIFS(Table145[Country],Tabela1[[#This Row],[Country]],Table145[Normal Hill Classification],"&gt;0")</f>
        <v>0</v>
      </c>
      <c r="PS52" s="6">
        <f>COUNTIFS(Table145148[Country],Tabela1[[#This Row],[Country]],Table145148[Large Hill Classification],"&gt;0")</f>
        <v>0</v>
      </c>
      <c r="PT52" s="6">
        <f>COUNTIFS(Table145148[Country],Tabela1[[#This Row],[Country]],Table145148[Normal Hill Classification],"&gt;0")</f>
        <v>0</v>
      </c>
      <c r="PU52" s="6">
        <f>COUNTIFS(Table148[Country],Tabela1[[#This Row],[Country]],Table148[Men''s Super Team Classification],"&gt;0")</f>
        <v>0</v>
      </c>
      <c r="PV52" s="6">
        <f>COUNTIFS(Tabela114[Country],Tabela1[[#This Row],[Country]],Tabela114[Mixed Normal Hill Classification],"&gt;0")</f>
        <v>0</v>
      </c>
      <c r="PW52" s="6">
        <f>COUNTIFS(Tabela50[Country],Tabela1[[#This Row],[Country]],Tabela50[Sprint Classification],"&gt;0")</f>
        <v>0</v>
      </c>
      <c r="PX52" s="6">
        <f>COUNTIFS(Tabela50101[Country],Tabela1[[#This Row],[Country]],Tabela50101[Sprint Classification],"&gt;0")</f>
        <v>0</v>
      </c>
      <c r="PY52" s="6">
        <f>COUNTIFS(Tabela103[Country],Tabela1[[#This Row],[Country]],Tabela103[Mixed Relay Classification],"&gt;0")</f>
        <v>0</v>
      </c>
      <c r="PZ52" s="6">
        <f>COUNTIFS(Table149[Country],Tabela1[[#This Row],[Country]],Table149[Big Air Classification],"&gt;0")</f>
        <v>0</v>
      </c>
      <c r="QA52" s="6">
        <f>COUNTIFS(Table149152[Country],Tabela1[[#This Row],[Country]],Table149152[Big Air Classification],"&gt;0")</f>
        <v>0</v>
      </c>
      <c r="QB52" s="6">
        <f>COUNTIFS(Table149[Country],Tabela1[[#This Row],[Country]],Table149[Halfpipe Classification],"&gt;0")</f>
        <v>0</v>
      </c>
      <c r="QC52" s="6">
        <f>COUNTIFS(Table149152[Country],Tabela1[[#This Row],[Country]],Table149152[Halfpipe Classification],"&gt;0")</f>
        <v>0</v>
      </c>
      <c r="QD52" s="6">
        <f>COUNTIFS(Table149[Country],Tabela1[[#This Row],[Country]],Table149[Parallel Giant Slalom Classification],"&gt;0")</f>
        <v>0</v>
      </c>
      <c r="QE52" s="6">
        <f>COUNTIFS(Table149152[Country],Tabela1[[#This Row],[Country]],Table149152[Parallel Giant Slalom Classification],"&gt;0")</f>
        <v>0</v>
      </c>
      <c r="QF52" s="6">
        <f>COUNTIFS(Table149[Country],Tabela1[[#This Row],[Country]],Table149[Slopestyle Classification],"&gt;0")</f>
        <v>0</v>
      </c>
      <c r="QG52" s="6">
        <f>COUNTIFS(Table149152[Country],Tabela1[[#This Row],[Country]],Table149152[Slopestyle Classification],"&gt;0")</f>
        <v>0</v>
      </c>
      <c r="QH52" s="6">
        <f>COUNTIFS(Table149[Country],Tabela1[[#This Row],[Country]],Table149[Snowboard Cross Classification],"&gt;0")</f>
        <v>0</v>
      </c>
      <c r="QI52" s="6">
        <f>COUNTIFS(Table149152[Country],Tabela1[[#This Row],[Country]],Table149152[Snowboard Cross Classification],"&gt;0")</f>
        <v>0</v>
      </c>
      <c r="QJ52" s="6">
        <f>COUNTIFS(Table153[Country],Tabela1[[#This Row],[Country]],Table153[Mixed Team Snowboard Cross Classification],"&gt;0")</f>
        <v>0</v>
      </c>
      <c r="QK52" s="6">
        <f>COUNTIFS(Table154[Country],Tabela1[[#This Row],[Country]],Table154[500m Classification],"&gt;0")</f>
        <v>0</v>
      </c>
      <c r="QL52" s="6">
        <f>COUNTIFS(Table154157[Country],Tabela1[[#This Row],[Country]],Table154157[500m Classification],"&gt;0")</f>
        <v>0</v>
      </c>
      <c r="QM52" s="6">
        <f>COUNTIFS(Table154[Country],Tabela1[[#This Row],[Country]],Table154[1000m Classification],"&gt;0")</f>
        <v>0</v>
      </c>
      <c r="QN52" s="6">
        <f>COUNTIFS(Table154157[Country],Tabela1[[#This Row],[Country]],Table154157[1000m Classification],"&gt;0")</f>
        <v>0</v>
      </c>
      <c r="QO52" s="6">
        <f>COUNTIFS(Table154[Country],Tabela1[[#This Row],[Country]],Table154[1500m Classification],"&gt;0")</f>
        <v>0</v>
      </c>
      <c r="QP52" s="6">
        <f>COUNTIFS(Table154157[Country],Tabela1[[#This Row],[Country]],Table154157[1500m Classification],"&gt;0")</f>
        <v>0</v>
      </c>
      <c r="QQ52" s="6">
        <f>COUNTIFS(Table154157[Country],Tabela1[[#This Row],[Country]],Table154157[3000m Classification],"&gt;0")</f>
        <v>0</v>
      </c>
      <c r="QR52" s="6">
        <f>COUNTIFS(Table154[Country],Tabela1[[#This Row],[Country]],Table154[5000m Classification],"&gt;0")</f>
        <v>0</v>
      </c>
      <c r="QS52" s="6">
        <f>COUNTIFS(Table154157[Country],Tabela1[[#This Row],[Country]],Table154157[5000m Classification],"&gt;0")</f>
        <v>0</v>
      </c>
      <c r="QT52" s="6">
        <f>COUNTIFS(Table154[Country],Tabela1[[#This Row],[Country]],Table154[10000m Classification],"&gt;0")</f>
        <v>0</v>
      </c>
      <c r="QU52" s="6">
        <f>COUNTIFS(Table154[Country],Tabela1[[#This Row],[Country]],Table154[Mass Start Classification],"&gt;0")</f>
        <v>0</v>
      </c>
      <c r="QV52" s="6">
        <f>COUNTIFS(Table154157[Country],Tabela1[[#This Row],[Country]],Table154157[Mass Start Classification],"&gt;0")</f>
        <v>0</v>
      </c>
      <c r="QW52" s="6">
        <f>COUNTIFS(Table157[Country],Tabela1[[#This Row],[Country]],Table157[Men''s Pursuit Classification],"&gt;0")</f>
        <v>0</v>
      </c>
      <c r="QX52" s="6">
        <f>COUNTIFS(Table157[Country],Tabela1[[#This Row],[Country]],Table157[Women''s Pursuit Classification],"&gt;0")</f>
        <v>0</v>
      </c>
      <c r="QY52" s="4" t="s">
        <v>581</v>
      </c>
    </row>
    <row r="53" spans="1:467" x14ac:dyDescent="0.3">
      <c r="A53" s="6">
        <v>52</v>
      </c>
      <c r="B53" s="6" t="s">
        <v>588</v>
      </c>
      <c r="C53" t="e" vm="52">
        <f>IF(ISBLANK(Tabela1[[#This Row],[Image Link]]), "", _xlfn.IMAGE(Tabela1[[#This Row],[Image Link]],1,1))</f>
        <v>#VALUE!</v>
      </c>
      <c r="D53" s="6">
        <f>SUM(Tabela1[[#This Row],[Archery - Men''s Individual Recurve]:[Speed Skating - Women''s Team Pursuit]])</f>
        <v>12</v>
      </c>
      <c r="E53" s="6">
        <f>COUNTIF(Tabela1[[#This Row],[Archery - Men''s Individual Recurve]:[Speed Skating - Women''s Team Pursuit]],"&gt;0")</f>
        <v>12</v>
      </c>
      <c r="F53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53" s="6">
        <f>SUM(Tabela1[[#This Row],[Archery - Men''s Individual Recurve]:[Wrestling - Women''s Freestyle 76kg]])</f>
        <v>6</v>
      </c>
      <c r="H53" s="6">
        <f>SUM(Tabela1[[#This Row],[Alpine Skiing - Men''s Downhill]:[Speed Skating - Women''s Team Pursuit]])</f>
        <v>6</v>
      </c>
      <c r="I53" s="6">
        <f>Tabela1[[#This Row],[Summer Gold Medals]]+Tabela1[[#This Row],[Winter Gold Medals]]</f>
        <v>0</v>
      </c>
      <c r="J53" s="6">
        <f>Tabela1[[#This Row],[Summer Silver Medals]]+Tabela1[[#This Row],[Winter Silver Medals]]</f>
        <v>0</v>
      </c>
      <c r="K53" s="6">
        <f>Tabela1[[#This Row],[Summer Bronze Medals]]+Tabela1[[#This Row],[Winter Bronze Medals]]</f>
        <v>0</v>
      </c>
      <c r="L53" s="6">
        <f>SUM(Tabela1[[#This Row],[Total Gold Medals]:[Total Bronze Medals]])</f>
        <v>0</v>
      </c>
      <c r="M53" s="6"/>
      <c r="N53" s="6"/>
      <c r="O53" s="6"/>
      <c r="P53" s="6">
        <f>SUM(Tabela1[[#This Row],[Summer Gold Medals]:[Summer Bronze Medals]])</f>
        <v>0</v>
      </c>
      <c r="Q53" s="6"/>
      <c r="R53" s="6"/>
      <c r="S53" s="6"/>
      <c r="T53" s="6">
        <f>Tabela1[[#This Row],[Winter Gold Medals]]+Tabela1[[#This Row],[Winter Silver Medals]]+Tabela1[[#This Row],[Winter Bronze Medals]]</f>
        <v>0</v>
      </c>
      <c r="U53" s="7">
        <f>Tabela1[[#This Row],[Total Medals]]/Tabela1[[#This Row],[Total Quotas]]</f>
        <v>0</v>
      </c>
      <c r="V53" s="6">
        <f>COUNTIFS(Table3[Country],Tabela1[[#This Row],[Country]],Table3[Recurve Classification],"&gt;0")</f>
        <v>0</v>
      </c>
      <c r="W53" s="6">
        <f>COUNTIFS(Table33[Country],Tabela1[[#This Row],[Country]],Table33[Recurve Classification],"&gt;0")</f>
        <v>0</v>
      </c>
      <c r="X53" s="6">
        <f>COUNTIFS(Table35[Country],Tabela1[[#This Row],[Country]],Table35[Men''s Team Recurve Classification],"&gt;0")</f>
        <v>0</v>
      </c>
      <c r="Y53" s="6">
        <f>COUNTIFS(Table35[Country],Tabela1[[#This Row],[Country]],Table35[Women''s Team Recurve Classification],"&gt;0")</f>
        <v>0</v>
      </c>
      <c r="Z53" s="6">
        <f>COUNTIFS(Tabela88[Country],Tabela1[[#This Row],[Country]],Tabela88[Mixed Team Recurve Classification],"&gt;0")</f>
        <v>0</v>
      </c>
      <c r="AA53" s="6">
        <f>COUNTIFS(Table36[Country],Tabela1[[#This Row],[Country]],Table36[Classification],"&gt;0")</f>
        <v>0</v>
      </c>
      <c r="AB53" s="6">
        <f>COUNTIFS(Table37[Country],Tabela1[[#This Row],[Country]],Table37[Classification],"&gt;0")</f>
        <v>0</v>
      </c>
      <c r="AC53" s="6">
        <f>COUNTIFS(Table4[Country],Tabela1[[#This Row],[Country]],Table4[100m Classification],"&gt;0")</f>
        <v>0</v>
      </c>
      <c r="AD53" s="6">
        <f>COUNTIFS(Table5[Country],Tabela1[[#This Row],[Country]],Table5[100m Classification],"&gt;0")</f>
        <v>0</v>
      </c>
      <c r="AE53" s="6">
        <f>COUNTIFS(Table4[Country],Tabela1[[#This Row],[Country]],Table4[200m Classification],"&gt;0")</f>
        <v>0</v>
      </c>
      <c r="AF53" s="6">
        <f>COUNTIFS(Table5[Country],Tabela1[[#This Row],[Country]],Table5[200m Classification],"&gt;0")</f>
        <v>0</v>
      </c>
      <c r="AG53" s="6">
        <f>COUNTIFS(Table4[Country],Tabela1[[#This Row],[Country]],Table4[400m Classification],"&gt;0")</f>
        <v>0</v>
      </c>
      <c r="AH53" s="6">
        <f>COUNTIFS(Table5[Country],Tabela1[[#This Row],[Country]],Table5[400m Classification],"&gt;0")</f>
        <v>0</v>
      </c>
      <c r="AI53" s="6">
        <f>COUNTIFS(Table4[Country],Tabela1[[#This Row],[Country]],Table4[800m Classification],"&gt;0")</f>
        <v>0</v>
      </c>
      <c r="AJ53" s="6">
        <f>COUNTIFS(Table5[Country],Tabela1[[#This Row],[Country]],Table5[800m Classification],"&gt;0")</f>
        <v>0</v>
      </c>
      <c r="AK53" s="6">
        <f>COUNTIFS(Table4[Country],Tabela1[[#This Row],[Country]],Table4[1500m Classification],"&gt;0")</f>
        <v>0</v>
      </c>
      <c r="AL53" s="6">
        <f>COUNTIFS(Table5[Country],Tabela1[[#This Row],[Country]],Table5[1500m Classification],"&gt;0")</f>
        <v>0</v>
      </c>
      <c r="AM53" s="6">
        <f>COUNTIFS(Table4[Country],Tabela1[[#This Row],[Country]],Table4[5000m Classification],"&gt;0")</f>
        <v>0</v>
      </c>
      <c r="AN53" s="6">
        <f>COUNTIFS(Table5[Country],Tabela1[[#This Row],[Country]],Table5[5000m Classification],"&gt;0")</f>
        <v>0</v>
      </c>
      <c r="AO53" s="6">
        <f>COUNTIFS(Table4[Country],Tabela1[[#This Row],[Country]],Table4[10000m Classification],"&gt;0")</f>
        <v>0</v>
      </c>
      <c r="AP53" s="6">
        <f>COUNTIFS(Table5[Country],Tabela1[[#This Row],[Country]],Table5[10000m Classification],"&gt;0")</f>
        <v>0</v>
      </c>
      <c r="AQ53" s="6">
        <f>COUNTIFS(Table4[Country],Tabela1[[#This Row],[Country]],Table4[110m Hurdles Classification],"&gt;0")</f>
        <v>0</v>
      </c>
      <c r="AR53" s="6">
        <f>COUNTIFS(Table5[Country],Tabela1[[#This Row],[Country]],Table5[100m Hurdles Classification],"&gt;0")</f>
        <v>1</v>
      </c>
      <c r="AS53" s="6">
        <f>COUNTIFS(Table4[Country],Tabela1[[#This Row],[Country]],Table4[400m Hurdles Classification],"&gt;0")</f>
        <v>0</v>
      </c>
      <c r="AT53" s="6">
        <f>COUNTIFS(Table5[Country],Tabela1[[#This Row],[Country]],Table5[400m Hurdles Classification],"&gt;0")</f>
        <v>0</v>
      </c>
      <c r="AU53" s="6">
        <f>COUNTIFS(Table4[Country],Tabela1[[#This Row],[Country]],Table4[3000m Steeplechase Classification],"&gt;0")</f>
        <v>0</v>
      </c>
      <c r="AV53" s="6">
        <f>COUNTIFS(Table5[Country],Tabela1[[#This Row],[Country]],Table5[3000m Steeplechase Classification],"&gt;0")</f>
        <v>0</v>
      </c>
      <c r="AW53" s="6">
        <f>COUNTIFS(Table27[Country],Tabela1[[#This Row],[Country]],Table27[Men''s 4x100m Relay Classification],"&gt;0")</f>
        <v>0</v>
      </c>
      <c r="AX53" s="6">
        <f>COUNTIFS(Table27[Country],Tabela1[[#This Row],[Country]],Table27[Women''s 4x100m Relay Classification],"&gt;0")</f>
        <v>0</v>
      </c>
      <c r="AY53" s="6">
        <f>COUNTIFS(Table27[Country],Tabela1[[#This Row],[Country]],Table27[Men''s 4x400m Relay Classification],"&gt;0")</f>
        <v>0</v>
      </c>
      <c r="AZ53" s="6">
        <f>COUNTIFS(Table27[Country],Tabela1[[#This Row],[Country]],Table27[Women''s 4x400m Relay Classification],"&gt;0")</f>
        <v>0</v>
      </c>
      <c r="BA53" s="6">
        <f>COUNTIFS(Table27[Country],Tabela1[[#This Row],[Country]],Table27[Mixed 4x400m Relay Classification],"&gt;0")</f>
        <v>0</v>
      </c>
      <c r="BB53" s="6">
        <f>COUNTIFS(Table4[Country],Tabela1[[#This Row],[Country]],Table4[Marathon Classification],"&gt;0")</f>
        <v>0</v>
      </c>
      <c r="BC53" s="6">
        <f>COUNTIFS(Table5[Country],Tabela1[[#This Row],[Country]],Table5[Marathon Classification],"&gt;0")</f>
        <v>0</v>
      </c>
      <c r="BD53" s="6">
        <f>COUNTIFS(Table4[Country],Tabela1[[#This Row],[Country]],Table4[20km Race Walk Classification],"&gt;0")</f>
        <v>0</v>
      </c>
      <c r="BE53" s="6">
        <f>COUNTIFS(Table5[Country],Tabela1[[#This Row],[Country]],Table5[20km Race Walk Classification],"&gt;0")</f>
        <v>0</v>
      </c>
      <c r="BF53" s="6">
        <f>COUNTIFS(Tabela96[Country],Tabela1[[#This Row],[Country]],Tabela96[Mixed Marathon Race Walk Relay Classification],"&gt;0")</f>
        <v>0</v>
      </c>
      <c r="BG53" s="6">
        <f>COUNTIFS(Table4[Country],Tabela1[[#This Row],[Country]],Table4[Discus Throw Classification],"&gt;0")</f>
        <v>0</v>
      </c>
      <c r="BH53" s="6">
        <f>COUNTIFS(Table5[Country],Tabela1[[#This Row],[Country]],Table5[Discus Throw Classification],"&gt;0")</f>
        <v>0</v>
      </c>
      <c r="BI53" s="6">
        <f>COUNTIFS(Table4[Country],Tabela1[[#This Row],[Country]],Table4[Hammer Throw Classification],"&gt;0")</f>
        <v>0</v>
      </c>
      <c r="BJ53" s="6">
        <f>COUNTIFS(Table5[Country],Tabela1[[#This Row],[Country]],Table5[Hammer Throw Classification],"&gt;0")</f>
        <v>0</v>
      </c>
      <c r="BK53" s="6">
        <f>COUNTIFS(Table4[Country],Tabela1[[#This Row],[Country]],Table4[High Jump Classification],"&gt;0")</f>
        <v>0</v>
      </c>
      <c r="BL53" s="6">
        <f>COUNTIFS(Table5[Country],Tabela1[[#This Row],[Country]],Table5[High Jump Classification],"&gt;0")</f>
        <v>0</v>
      </c>
      <c r="BM53" s="6">
        <f>COUNTIFS(Table4[Country],Tabela1[[#This Row],[Country]],Table4[Javelin Throw Classification],"&gt;0")</f>
        <v>0</v>
      </c>
      <c r="BN53" s="6">
        <f>COUNTIFS(Table5[Country],Tabela1[[#This Row],[Country]],Table5[Javelin Throw Classification],"&gt;0")</f>
        <v>0</v>
      </c>
      <c r="BO53" s="6">
        <f>COUNTIFS(Table4[Country],Tabela1[[#This Row],[Country]],Table4[Long Jump Classification],"&gt;0")</f>
        <v>0</v>
      </c>
      <c r="BP53" s="6">
        <f>COUNTIFS(Table5[Country],Tabela1[[#This Row],[Country]],Table5[Long Jump Classification],"&gt;0")</f>
        <v>0</v>
      </c>
      <c r="BQ53" s="6">
        <f>COUNTIFS(Table4[Country],Tabela1[[#This Row],[Country]],Table4[Pole Vault Classification],"&gt;0")</f>
        <v>0</v>
      </c>
      <c r="BR53" s="6">
        <f>COUNTIFS(Table5[Country],Tabela1[[#This Row],[Country]],Table5[Pole Vault Classification],"&gt;0")</f>
        <v>0</v>
      </c>
      <c r="BS53" s="6">
        <f>COUNTIFS(Table4[Country],Tabela1[[#This Row],[Country]],Table4[Shot Put Classification],"&gt;0")</f>
        <v>0</v>
      </c>
      <c r="BT53" s="6">
        <f>COUNTIFS(Table5[Country],Tabela1[[#This Row],[Country]],Table5[Shot Put Classification],"&gt;0")</f>
        <v>0</v>
      </c>
      <c r="BU53" s="6">
        <f>COUNTIFS(Table4[Country],Tabela1[[#This Row],[Country]],Table4[Triple Jump Classification],"&gt;0")</f>
        <v>0</v>
      </c>
      <c r="BV53" s="6">
        <f>COUNTIFS(Table5[Country],Tabela1[[#This Row],[Country]],Table5[Triple Jump Classification],"&gt;0")</f>
        <v>0</v>
      </c>
      <c r="BW53" s="6">
        <f>COUNTIFS(Table4[Country],Tabela1[[#This Row],[Country]],Table4[Decathlon Classification],"&gt;0")</f>
        <v>0</v>
      </c>
      <c r="BX53" s="6">
        <f>COUNTIFS(Table5[Country],Tabela1[[#This Row],[Country]],Table5[Heptathlon Classification],"&gt;0")</f>
        <v>0</v>
      </c>
      <c r="BY53" s="6">
        <f>COUNTIFS(Table61[Country],Tabela1[[#This Row],[Country]],Table61[Classification],"&gt;0")</f>
        <v>0</v>
      </c>
      <c r="BZ53" s="6">
        <f>COUNTIFS(Table38[Country],Tabela1[[#This Row],[Country]],Table38[Classification],"&gt;0")</f>
        <v>0</v>
      </c>
      <c r="CA53" s="6">
        <f>COUNTIFS(Table39[Country],Tabela1[[#This Row],[Country]],Table39[Men''s Classification],"&gt;0")</f>
        <v>0</v>
      </c>
      <c r="CB53" s="6">
        <f>COUNTIFS(Table39[Country],Tabela1[[#This Row],[Country]],Table39[Women''s Classification],"&gt;0")</f>
        <v>0</v>
      </c>
      <c r="CC53" s="6">
        <f>COUNTIFS(Table39[Country],Tabela1[[#This Row],[Country]],Table39[Mixed Classification],"&gt;0")</f>
        <v>0</v>
      </c>
      <c r="CD53" s="6">
        <f>COUNTIFS(Table89[Country],Tabela1[[#This Row],[Country]],Table89[Men''s Classification],"&gt;0")</f>
        <v>0</v>
      </c>
      <c r="CE53" s="6">
        <f>COUNTIFS(Table89[Country],Tabela1[[#This Row],[Country]],Table89[Women''s Classification],"&gt;0")</f>
        <v>0</v>
      </c>
      <c r="CF53" s="6">
        <f>COUNTIFS(Table90[Country],Tabela1[[#This Row],[Country]],Table90[Men''s Classification],"&gt;0")</f>
        <v>0</v>
      </c>
      <c r="CG53" s="6">
        <f>COUNTIFS(Table90[Country],Tabela1[[#This Row],[Country]],Table90[Women''s Classification],"&gt;0")</f>
        <v>0</v>
      </c>
      <c r="CH53" s="6">
        <f>COUNTIFS(Table60[Country],Tabela1[[#This Row],[Country]],Table60[Men''s Classification],"&gt;0")</f>
        <v>0</v>
      </c>
      <c r="CI53" s="6">
        <f>COUNTIFS(Table60[Country],Tabela1[[#This Row],[Country]],Table60[Women''s Classification],"&gt;0")</f>
        <v>0</v>
      </c>
      <c r="CJ53" s="6">
        <f>COUNTIFS(Table6[Country],Tabela1[[#This Row],[Country]],Table6[51kg Classification],"&gt;0")</f>
        <v>0</v>
      </c>
      <c r="CK53" s="6">
        <f>COUNTIFS(Table6[Country],Tabela1[[#This Row],[Country]],Table6[57kg Classification],"&gt;0")</f>
        <v>0</v>
      </c>
      <c r="CL53" s="6">
        <f>COUNTIFS(Table6[Country],Tabela1[[#This Row],[Country]],Table6[63.5kg Classification],"&gt;0")</f>
        <v>0</v>
      </c>
      <c r="CM53" s="6">
        <f>COUNTIFS(Table6[Country],Tabela1[[#This Row],[Country]],Table6[71kg Classification],"&gt;0")</f>
        <v>0</v>
      </c>
      <c r="CN53" s="6">
        <f>COUNTIFS(Table6[Country],Tabela1[[#This Row],[Country]],Table6[80kg Classification],"&gt;0")</f>
        <v>0</v>
      </c>
      <c r="CO53" s="6">
        <f>COUNTIFS(Table6[Country],Tabela1[[#This Row],[Country]],Table6[92kg Classification],"&gt;0")</f>
        <v>0</v>
      </c>
      <c r="CP53" s="6">
        <f>COUNTIFS(Table6[Country],Tabela1[[#This Row],[Country]],Table6[Plus 92kg Classification],"&gt;0")</f>
        <v>0</v>
      </c>
      <c r="CQ53" s="6">
        <f>COUNTIFS(Table7[Country],Tabela1[[#This Row],[Country]],Table7[50kg Classification],"&gt;0")</f>
        <v>0</v>
      </c>
      <c r="CR53" s="6">
        <f>COUNTIFS(Table7[Country],Tabela1[[#This Row],[Country]],Table7[54kg Classification],"&gt;0")</f>
        <v>0</v>
      </c>
      <c r="CS53" s="6">
        <f>COUNTIFS(Table7[Country],Tabela1[[#This Row],[Country]],Table7[57kg Classification],"&gt;0")</f>
        <v>0</v>
      </c>
      <c r="CT53" s="6">
        <f>COUNTIFS(Table7[Country],Tabela1[[#This Row],[Country]],Table7[60kg Classification],"&gt;0")</f>
        <v>0</v>
      </c>
      <c r="CU53" s="6">
        <f>COUNTIFS(Table7[Country],Tabela1[[#This Row],[Country]],Table7[66kg Classification],"&gt;0")</f>
        <v>0</v>
      </c>
      <c r="CV53" s="6">
        <f>COUNTIFS(Table7[Country],Tabela1[[#This Row],[Country]],Table7[75kg Classification],"&gt;0")</f>
        <v>0</v>
      </c>
      <c r="CW53" s="6">
        <f>COUNTIFS(Tabela94[Country],Tabela1[[#This Row],[Country]],Tabela94[Classification],"&gt;0")</f>
        <v>0</v>
      </c>
      <c r="CX53" s="6">
        <f>COUNTIFS(Tabela9499[Country],Tabela1[[#This Row],[Country]],Tabela9499[Classification],"&gt;0")</f>
        <v>0</v>
      </c>
      <c r="CY53" s="6">
        <f>COUNTIFS(Tabela107[Country],Tabela1[[#This Row],[Country]],Tabela107[C1 Slalom Classification],"&gt;0")</f>
        <v>0</v>
      </c>
      <c r="CZ53" s="6">
        <f>COUNTIFS(Tabela107122[Country],Tabela1[[#This Row],[Country]],Tabela107122[C1 Slalom Classification],"&gt;0")</f>
        <v>0</v>
      </c>
      <c r="DA53" s="6">
        <f>COUNTIFS(Tabela107[Country],Tabela1[[#This Row],[Country]],Tabela107[K1 Slalom Classification],"&gt;0")</f>
        <v>0</v>
      </c>
      <c r="DB53" s="6">
        <f>COUNTIFS(Tabela107122[Country],Tabela1[[#This Row],[Country]],Tabela107122[K1 Slalom Classification],"&gt;0")</f>
        <v>0</v>
      </c>
      <c r="DC53" s="6">
        <f>COUNTIFS(Tabela107[Country],Tabela1[[#This Row],[Country]],Tabela107[Kayak Cross Slalom Classification],"&gt;0")</f>
        <v>0</v>
      </c>
      <c r="DD53" s="6">
        <f>COUNTIFS(Tabela107122[Country],Tabela1[[#This Row],[Country]],Tabela107122[Kayak Cross Slalom Classification],"&gt;0")</f>
        <v>0</v>
      </c>
      <c r="DE53" s="6">
        <f>COUNTIFS(Table8[Country],Tabela1[[#This Row],[Country]],Table8[C1 200m Classification],"&gt;0")</f>
        <v>0</v>
      </c>
      <c r="DF53" s="6">
        <f>COUNTIFS(Table40[Country],Tabela1[[#This Row],[Country]],Table40[C1 1000m Classification],"&gt;0")</f>
        <v>0</v>
      </c>
      <c r="DG53" s="6">
        <f>COUNTIFS(Table68[Country],Tabela1[[#This Row],[Country]],Table68[Men''s C2 500m Classification],"&gt;0")</f>
        <v>0</v>
      </c>
      <c r="DH53" s="6">
        <f>COUNTIFS(Table68[Country],Tabela1[[#This Row],[Country]],Table68[Women''s C2 500m Classification],"&gt;0")</f>
        <v>0</v>
      </c>
      <c r="DI53" s="6">
        <f>COUNTIFS(Table8[Country],Tabela1[[#This Row],[Country]],Table8[K1 500m Classification],"&gt;0")</f>
        <v>0</v>
      </c>
      <c r="DJ53" s="6">
        <f>COUNTIFS(Table40[Country],Tabela1[[#This Row],[Country]],Table40[K1 1000m Classification],"&gt;0")</f>
        <v>0</v>
      </c>
      <c r="DK53" s="6">
        <f>COUNTIFS(Table68[Country],Tabela1[[#This Row],[Country]],Table68[Men''s K2 500m Classification],"&gt;0")</f>
        <v>0</v>
      </c>
      <c r="DL53" s="6">
        <f>COUNTIFS(Table68[Country],Tabela1[[#This Row],[Country]],Table68[Women''s K2 500m Classification],"&gt;0")</f>
        <v>0</v>
      </c>
      <c r="DM53" s="6">
        <f>COUNTIFS(Table83[Country],Tabela1[[#This Row],[Country]],Table83[Men''s K4 500m Classification],"&gt;0")</f>
        <v>0</v>
      </c>
      <c r="DN53" s="6">
        <f>COUNTIFS(Table83[Country],Tabela1[[#This Row],[Country]],Table83[Women''s K4 500m Classification],"&gt;0")</f>
        <v>0</v>
      </c>
      <c r="DO53" s="6">
        <f>COUNTIFS(Tabela126[Country],Tabela1[[#This Row],[Country]],Tabela126[Classification],"&gt;0")</f>
        <v>0</v>
      </c>
      <c r="DP53" s="6">
        <f>COUNTIFS(Tabela126130[Country],Tabela1[[#This Row],[Country]],Tabela126130[Classification],"&gt;0")</f>
        <v>0</v>
      </c>
      <c r="DQ53" s="6">
        <f>COUNTIFS(Table70[Country],Tabela1[[#This Row],[Country]],Table70[Classification],"&gt;0")</f>
        <v>0</v>
      </c>
      <c r="DR53" s="6">
        <f>COUNTIFS(Table80[Country],Tabela1[[#This Row],[Country]],Table80[Classification],"&gt;0")</f>
        <v>0</v>
      </c>
      <c r="DS53" s="6">
        <f>COUNTIFS(Table66[Country],Tabela1[[#This Row],[Country]],Table66[Classification],"&gt;0")</f>
        <v>0</v>
      </c>
      <c r="DT53" s="6">
        <f>COUNTIFS(Table67[Country],Tabela1[[#This Row],[Country]],Table67[Classification],"&gt;0")</f>
        <v>0</v>
      </c>
      <c r="DU53" s="6">
        <f>COUNTIFS(Table69[Country],Tabela1[[#This Row],[Country]],Table69[Keirin Classification],"&gt;0")</f>
        <v>0</v>
      </c>
      <c r="DV53" s="6">
        <f>COUNTIFS(Table41[Country],Tabela1[[#This Row],[Country]],Table41[Keirin Classification],"&gt;0")</f>
        <v>0</v>
      </c>
      <c r="DW53" s="6">
        <f>COUNTIFS(Table84[Country],Tabela1[[#This Row],[Country]],Table84[Men''s Madison Classification],"&gt;0")</f>
        <v>0</v>
      </c>
      <c r="DX53" s="6">
        <f>COUNTIFS(Table84[Country],Tabela1[[#This Row],[Country]],Table84[Women''s Madison Classification],"&gt;0")</f>
        <v>0</v>
      </c>
      <c r="DY53" s="6">
        <f>COUNTIFS(Table69[Country],Tabela1[[#This Row],[Country]],Table69[Omnium Classification],"&gt;0")</f>
        <v>0</v>
      </c>
      <c r="DZ53" s="6">
        <f>COUNTIFS(Table41[Country],Tabela1[[#This Row],[Country]],Table41[Omnium Classification],"&gt;0")</f>
        <v>0</v>
      </c>
      <c r="EA53" s="6">
        <f>COUNTIFS(Table9[Country],Tabela1[[#This Row],[Country]],Table9[Road Race Classification],"&gt;0")</f>
        <v>0</v>
      </c>
      <c r="EB53" s="6">
        <f>COUNTIFS(Table14[Country],Tabela1[[#This Row],[Country]],Table14[Road Race Classification],"&gt;0")</f>
        <v>0</v>
      </c>
      <c r="EC53" s="6">
        <f>COUNTIFS(Table69[Country],Tabela1[[#This Row],[Country]],Table69[Sprint Classification],"&gt;0")</f>
        <v>0</v>
      </c>
      <c r="ED53" s="6">
        <f>COUNTIFS(Table41[Country],Tabela1[[#This Row],[Country]],Table41[Sprint Classification],"&gt;0")</f>
        <v>0</v>
      </c>
      <c r="EE53" s="6">
        <f>COUNTIFS(Table85[Country],Tabela1[[#This Row],[Country]],Table85[Men''s Sprint Classification],"&gt;0")</f>
        <v>0</v>
      </c>
      <c r="EF53" s="6">
        <f>COUNTIFS(Table85[Country],Tabela1[[#This Row],[Country]],Table85[Women''s Sprint Classification],"&gt;0")</f>
        <v>0</v>
      </c>
      <c r="EG53" s="6">
        <f>COUNTIFS(Table85[Country],Tabela1[[#This Row],[Country]],Table85[Men''s Pursuit Classification],"&gt;0")</f>
        <v>0</v>
      </c>
      <c r="EH53" s="6">
        <f>COUNTIFS(Table85[Country],Tabela1[[#This Row],[Country]],Table85[Women''s Pursuit Classification],"&gt;0")</f>
        <v>0</v>
      </c>
      <c r="EI53" s="6">
        <f>COUNTIFS(Table9[Country],Tabela1[[#This Row],[Country]],Table9[Time-Trial Classification],"&gt;0")</f>
        <v>0</v>
      </c>
      <c r="EJ53" s="6">
        <f>COUNTIFS(Table14[Country],Tabela1[[#This Row],[Country]],Table14[Time-Trial Classification],"&gt;0")</f>
        <v>0</v>
      </c>
      <c r="EK53" s="6">
        <f>COUNTIFS(Table42[Country],Tabela1[[#This Row],[Country]],Table42[Springboard Classification],"&gt;0")</f>
        <v>0</v>
      </c>
      <c r="EL53" s="6">
        <f>COUNTIFS(Table43[Country],Tabela1[[#This Row],[Country]],Table43[Springboard Classification],"&gt;0")</f>
        <v>0</v>
      </c>
      <c r="EM53" s="6">
        <f>COUNTIFS(Table42[Country],Tabela1[[#This Row],[Country]],Table42[Platform Classification],"&gt;0")</f>
        <v>0</v>
      </c>
      <c r="EN53" s="6">
        <f>COUNTIFS(Table43[Country],Tabela1[[#This Row],[Country]],Table43[Platform Classification],"&gt;0")</f>
        <v>0</v>
      </c>
      <c r="EO53" s="6">
        <f>COUNTIFS(Table86[Country],Tabela1[[#This Row],[Country]],Table86[Men''s Synchronized Springboard Classification],"&gt;0")</f>
        <v>0</v>
      </c>
      <c r="EP53" s="6">
        <f>COUNTIFS(Table86[Country],Tabela1[[#This Row],[Country]],Table86[Women''s Synchronized Springboard Classification],"&gt;0")</f>
        <v>0</v>
      </c>
      <c r="EQ53" s="6">
        <f>COUNTIFS(Table86[Country],Tabela1[[#This Row],[Country]],Table86[Men''s Synchronized Platform Classification],"&gt;0")</f>
        <v>0</v>
      </c>
      <c r="ER53" s="6">
        <f>COUNTIFS(Table86[Country],Tabela1[[#This Row],[Country]],Table86[Women''s Synchronized Platform Classification],"&gt;0")</f>
        <v>0</v>
      </c>
      <c r="ES53" s="6">
        <f>COUNTIFS(Table44[Country],Tabela1[[#This Row],[Country]],Table44[Dressage Classification],"&gt;0")</f>
        <v>0</v>
      </c>
      <c r="ET53" s="6">
        <f>COUNTIFS(Table45[Country],Tabela1[[#This Row],[Country]],Table45[Dressage Classification],"&gt;0")</f>
        <v>0</v>
      </c>
      <c r="EU53" s="6">
        <f>COUNTIFS(Table44[Country],Tabela1[[#This Row],[Country]],Table44[Eventing Classification],"&gt;0")</f>
        <v>0</v>
      </c>
      <c r="EV53" s="6">
        <f>COUNTIFS(Table45[Country],Tabela1[[#This Row],[Country]],Table45[Eventing Classification],"&gt;0")</f>
        <v>0</v>
      </c>
      <c r="EW53" s="6">
        <f>COUNTIFS(Table44[Country],Tabela1[[#This Row],[Country]],Table44[Jumping Classification],"&gt;0")</f>
        <v>0</v>
      </c>
      <c r="EX53" s="6">
        <f>COUNTIFS(Table45[Country],Tabela1[[#This Row],[Country]],Table45[Jumping Classification],"&gt;0")</f>
        <v>0</v>
      </c>
      <c r="EY53" s="6">
        <f>COUNTIFS(Table10[Country],Tabela1[[#This Row],[Country]],Table10[Épée Classification],"&gt;0")</f>
        <v>0</v>
      </c>
      <c r="EZ53" s="6">
        <f>COUNTIFS(Table11[Country],Tabela1[[#This Row],[Country]],Table11[Épée Classification],"&gt;0")</f>
        <v>0</v>
      </c>
      <c r="FA53" s="6">
        <f>COUNTIFS(Table46[Country],Tabela1[[#This Row],[Country]],Table46[Men''s Épée Classification],"&gt;0")</f>
        <v>0</v>
      </c>
      <c r="FB53" s="6">
        <f>COUNTIFS(Table46[Country],Tabela1[[#This Row],[Country]],Table46[Women''s Épée Classification],"&gt;0")</f>
        <v>0</v>
      </c>
      <c r="FC53" s="6">
        <f>COUNTIFS(Table10[Country],Tabela1[[#This Row],[Country]],Table10[Foil Classification],"&gt;0")</f>
        <v>0</v>
      </c>
      <c r="FD53" s="6">
        <f>COUNTIFS(Table11[Country],Tabela1[[#This Row],[Country]],Table11[Foil Classification],"&gt;0")</f>
        <v>0</v>
      </c>
      <c r="FE53" s="6">
        <f>COUNTIFS(Table46[Country],Tabela1[[#This Row],[Country]],Table46[Men''s Foil Classification],"&gt;0")</f>
        <v>0</v>
      </c>
      <c r="FF53" s="6">
        <f>COUNTIFS(Table46[Country],Tabela1[[#This Row],[Country]],Table46[Women''s Foil Classification],"&gt;0")</f>
        <v>0</v>
      </c>
      <c r="FG53" s="6">
        <f>COUNTIFS(Table10[Country],Tabela1[[#This Row],[Country]],Table10[Sabre Classification],"&gt;0")</f>
        <v>0</v>
      </c>
      <c r="FH53" s="6">
        <f>COUNTIFS(Table11[Country],Tabela1[[#This Row],[Country]],Table11[Sabre Classification],"&gt;0")</f>
        <v>0</v>
      </c>
      <c r="FI53" s="6">
        <f>COUNTIFS(Table46[Country],Tabela1[[#This Row],[Country]],Table46[Men''s Sabre Classification],"&gt;0")</f>
        <v>0</v>
      </c>
      <c r="FJ53" s="6">
        <f>COUNTIFS(Table46[Country],Tabela1[[#This Row],[Country]],Table46[Women''s Sabre Classification],"&gt;0")</f>
        <v>0</v>
      </c>
      <c r="FK53" s="6">
        <f>COUNTIFS(Table91[Country],Tabela1[[#This Row],[Country]],Table91[Men''s Classification],"&gt;0")</f>
        <v>0</v>
      </c>
      <c r="FL53" s="6">
        <f>COUNTIFS(Table91[Country],Tabela1[[#This Row],[Country]],Table91[Women''s Classification],"&gt;0")</f>
        <v>0</v>
      </c>
      <c r="FM53" s="6">
        <f>COUNTIFS(Table9194[Country],Tabela1[[#This Row],[Country]],Table9194[Men''s Classification],"&gt;0")</f>
        <v>0</v>
      </c>
      <c r="FN53" s="6">
        <f>COUNTIFS(Table9194[Country],Tabela1[[#This Row],[Country]],Table9194[Women''s Classification],"&gt;0")</f>
        <v>0</v>
      </c>
      <c r="FO53" s="6">
        <f>COUNTIFS(Table71[Country],Tabela1[[#This Row],[Country]],Table71[Classification],"&gt;0")</f>
        <v>0</v>
      </c>
      <c r="FP53" s="6">
        <f>COUNTIFS(Table62[Country],Tabela1[[#This Row],[Country]],Table62[Classification],"&gt;0")</f>
        <v>0</v>
      </c>
      <c r="FQ53" s="6">
        <f>COUNTIFS(Table47[Country],Tabela1[[#This Row],[Country]],Table47[All-Around Classification],"&gt;0")</f>
        <v>0</v>
      </c>
      <c r="FR53" s="6">
        <f>COUNTIFS(Table48[Country],Tabela1[[#This Row],[Country]],Table48[All-Around Classification],"&gt;0")</f>
        <v>1</v>
      </c>
      <c r="FS53" s="6">
        <f>COUNTIFS(Table81[Country],Tabela1[[#This Row],[Country]],Table81[Men''s All-Around Classification],"&gt;0")</f>
        <v>0</v>
      </c>
      <c r="FT53" s="6">
        <f>COUNTIFS(Table81[Country],Tabela1[[#This Row],[Country]],Table81[Women''s All-Around Classification],"&gt;0")</f>
        <v>0</v>
      </c>
      <c r="FU53" s="6">
        <f>COUNTIFS(Table48[Country],Tabela1[[#This Row],[Country]],Table48[Balance Beam Classification],"&gt;0")</f>
        <v>1</v>
      </c>
      <c r="FV53" s="6">
        <f>COUNTIFS(Table47[Country],Tabela1[[#This Row],[Country]],Table47[Floor Exercise Classification],"&gt;0")</f>
        <v>0</v>
      </c>
      <c r="FW53" s="6">
        <f>COUNTIFS(Table48[Country],Tabela1[[#This Row],[Country]],Table48[Floor Exercise Classification],"&gt;0")</f>
        <v>1</v>
      </c>
      <c r="FX53" s="6">
        <f>COUNTIFS(Table47[Country],Tabela1[[#This Row],[Country]],Table47[Horizontal Bar Classification],"&gt;0")</f>
        <v>0</v>
      </c>
      <c r="FY53" s="6">
        <f>COUNTIFS(Table47[Country],Tabela1[[#This Row],[Country]],Table47[Parallel Bars Classification],"&gt;0")</f>
        <v>0</v>
      </c>
      <c r="FZ53" s="6">
        <f>COUNTIFS(Table47[Country],Tabela1[[#This Row],[Country]],Table47[Pommel Horse Classification],"&gt;0")</f>
        <v>0</v>
      </c>
      <c r="GA53" s="6">
        <f>COUNTIFS(Table47[Country],Tabela1[[#This Row],[Country]],Table47[Rings Classification],"&gt;0")</f>
        <v>0</v>
      </c>
      <c r="GB53" s="6">
        <f>COUNTIFS(Tabela132[Country],Tabela1[[#This Row],[Country]],Tabela132[Classification],"&gt;0")</f>
        <v>0</v>
      </c>
      <c r="GC53" s="6">
        <f>COUNTIFS(Tabela139[Country],Tabela1[[#This Row],[Country]],Tabela139[Classification],"&gt;0")</f>
        <v>0</v>
      </c>
      <c r="GD53" s="6">
        <f>COUNTIFS(Table48[Country],Tabela1[[#This Row],[Country]],Table48[Uneven Bars Classification],"&gt;0")</f>
        <v>1</v>
      </c>
      <c r="GE53" s="6">
        <f>COUNTIFS(Table47[Country],Tabela1[[#This Row],[Country]],Table47[Vault Classification],"&gt;0")</f>
        <v>0</v>
      </c>
      <c r="GF53" s="6">
        <f>COUNTIFS(Table48[Country],Tabela1[[#This Row],[Country]],Table48[Vault Classification],"&gt;0")</f>
        <v>0</v>
      </c>
      <c r="GG53" s="6">
        <f>COUNTIFS(Table919496[Country],Tabela1[[#This Row],[Country]],Table919496[Men''s Classification],"&gt;0")</f>
        <v>0</v>
      </c>
      <c r="GH53" s="6">
        <f>COUNTIFS(Table919496[Country],Tabela1[[#This Row],[Country]],Table919496[Women''s Classification],"&gt;0")</f>
        <v>0</v>
      </c>
      <c r="GI53" s="6">
        <f>COUNTIFS(Table12[Country],Tabela1[[#This Row],[Country]],Table12[60kg Classification],"&gt;0")</f>
        <v>0</v>
      </c>
      <c r="GJ53" s="6">
        <f>COUNTIFS(Table12[Country],Tabela1[[#This Row],[Country]],Table12[66kg Classification],"&gt;0")</f>
        <v>0</v>
      </c>
      <c r="GK53" s="6">
        <f>COUNTIFS(Table12[Country],Tabela1[[#This Row],[Country]],Table12[73kg Classification],"&gt;0")</f>
        <v>0</v>
      </c>
      <c r="GL53" s="6">
        <f>COUNTIFS(Table12[Country],Tabela1[[#This Row],[Country]],Table12[81kg Classification],"&gt;0")</f>
        <v>0</v>
      </c>
      <c r="GM53" s="6">
        <f>COUNTIFS(Table12[Country],Tabela1[[#This Row],[Country]],Table12[90kg Classification],"&gt;0")</f>
        <v>0</v>
      </c>
      <c r="GN53" s="6">
        <f>COUNTIFS(Table12[Country],Tabela1[[#This Row],[Country]],Table12[100kg Classification],"&gt;0")</f>
        <v>0</v>
      </c>
      <c r="GO53" s="6">
        <f>COUNTIFS(Table12[Country],Tabela1[[#This Row],[Country]],Table12[Plus 100kg Classification],"&gt;0")</f>
        <v>0</v>
      </c>
      <c r="GP53" s="6">
        <f>COUNTIFS(Table13[Country],Tabela1[[#This Row],[Country]],Table13[48kg Classification],"&gt;0")</f>
        <v>0</v>
      </c>
      <c r="GQ53" s="6">
        <f>COUNTIFS(Table13[Country],Tabela1[[#This Row],[Country]],Table13[52kg Classification],"&gt;0")</f>
        <v>0</v>
      </c>
      <c r="GR53" s="6">
        <f>COUNTIFS(Table13[Country],Tabela1[[#This Row],[Country]],Table13[57kg Classification],"&gt;0")</f>
        <v>0</v>
      </c>
      <c r="GS53" s="6">
        <f>COUNTIFS(Table13[Country],Tabela1[[#This Row],[Country]],Table13[63kg Classification],"&gt;0")</f>
        <v>0</v>
      </c>
      <c r="GT53" s="6">
        <f>COUNTIFS(Table13[Country],Tabela1[[#This Row],[Country]],Table13[70kg Classification],"&gt;0")</f>
        <v>0</v>
      </c>
      <c r="GU53" s="6">
        <f>COUNTIFS(Table13[Country],Tabela1[[#This Row],[Country]],Table13[78kg Classification],"&gt;0")</f>
        <v>0</v>
      </c>
      <c r="GV53" s="6">
        <f>COUNTIFS(Table13[Country],Tabela1[[#This Row],[Country]],Table13[Plus 78kg Classification],"&gt;0")</f>
        <v>0</v>
      </c>
      <c r="GW53" s="6">
        <f>COUNTIFS(Table82[Country],Tabela1[[#This Row],[Country]],Table82[Mixed Classification],"&gt;0")</f>
        <v>0</v>
      </c>
      <c r="GX53" s="6">
        <f>COUNTIFS(Table51[Country],Tabela1[[#This Row],[Country]],Table51[Classification],"&gt;0")</f>
        <v>0</v>
      </c>
      <c r="GY53" s="6">
        <f>COUNTIFS(Table52[Country],Tabela1[[#This Row],[Country]],Table52[Classification],"&gt;0")</f>
        <v>0</v>
      </c>
      <c r="GZ53" s="6">
        <f>COUNTIFS(Table32[Country],Tabela1[[#This Row],[Country]],Table32[All-Around Classification],"&gt;0")</f>
        <v>0</v>
      </c>
      <c r="HA53" s="6">
        <f>COUNTIFS(Table49[Country],Tabela1[[#This Row],[Country]],Table49[All-Around Classification],"&gt;0")</f>
        <v>0</v>
      </c>
      <c r="HB53" s="6">
        <f>COUNTIFS(Table26[Country],Tabela1[[#This Row],[Country]],Table26[Single Sculls Classification],"&gt;0")</f>
        <v>0</v>
      </c>
      <c r="HC53" s="6">
        <f>COUNTIFS(Table63[Country],Tabela1[[#This Row],[Country]],Table63[Single Sculls Classification],"&gt;0")</f>
        <v>0</v>
      </c>
      <c r="HD53" s="6">
        <f>COUNTIFS(Table16[Country],Tabela1[[#This Row],[Country]],Table16[Men''s Double Sculls Classification],"&gt;0")</f>
        <v>0</v>
      </c>
      <c r="HE53" s="6">
        <f>COUNTIFS(Table16[Country],Tabela1[[#This Row],[Country]],Table16[Women''s Double Sculls Classification],"&gt;0")</f>
        <v>0</v>
      </c>
      <c r="HF53" s="6">
        <f>COUNTIFS(Table72[Country],Tabela1[[#This Row],[Country]],Table72[Men''s Quadruple Sculls Classification],"&gt;0")</f>
        <v>0</v>
      </c>
      <c r="HG53" s="6">
        <f>COUNTIFS(Table72[Country],Tabela1[[#This Row],[Country]],Table72[Women''s Quadruple Sculls Classification],"&gt;0")</f>
        <v>0</v>
      </c>
      <c r="HH53" s="6">
        <f>COUNTIFS(Table16[Country],Tabela1[[#This Row],[Country]],Table16[Men''s Coxless Pairs Classification],"&gt;0")</f>
        <v>0</v>
      </c>
      <c r="HI53" s="6">
        <f>COUNTIFS(Table16[Country],Tabela1[[#This Row],[Country]],Table16[Women''s Coxless Pairs Classification],"&gt;0")</f>
        <v>0</v>
      </c>
      <c r="HJ53" s="6">
        <f>COUNTIFS(Table72[Country],Tabela1[[#This Row],[Country]],Table72[Men''s Coxless Fours Classification],"&gt;0")</f>
        <v>0</v>
      </c>
      <c r="HK53" s="6">
        <f>COUNTIFS(Table72[Country],Tabela1[[#This Row],[Country]],Table72[Women''s Coxless Fours Classification],"&gt;0")</f>
        <v>0</v>
      </c>
      <c r="HL53" s="6">
        <f>COUNTIFS(Table72[Country],Tabela1[[#This Row],[Country]],Table72[Men''s Eights Classification],"&gt;0")</f>
        <v>0</v>
      </c>
      <c r="HM53" s="6">
        <f>COUNTIFS(Table72[Country],Tabela1[[#This Row],[Country]],Table72[Women''s Eights Classification],"&gt;0")</f>
        <v>0</v>
      </c>
      <c r="HN53" s="6">
        <f>COUNTIFS(Table16[Country],Tabela1[[#This Row],[Country]],Table16[Men''s Lwt. Double Sculls Classification],"&gt;0")</f>
        <v>0</v>
      </c>
      <c r="HO53" s="6">
        <f>COUNTIFS(Table16[Country],Tabela1[[#This Row],[Country]],Table16[Women''s Lwt. Double Sculls Classification],"&gt;0")</f>
        <v>0</v>
      </c>
      <c r="HP53" s="6">
        <f>COUNTIFS(Table91949698[Country],Tabela1[[#This Row],[Country]],Table91949698[Men''s Classification],"&gt;0")</f>
        <v>0</v>
      </c>
      <c r="HQ53" s="6">
        <f>COUNTIFS(Table91949698[Country],Tabela1[[#This Row],[Country]],Table91949698[Women''s Classification],"&gt;0")</f>
        <v>0</v>
      </c>
      <c r="HR53" s="6">
        <f>COUNTIFS(Table25[Country],Tabela1[[#This Row],[Country]],Table25[Mixed 470 Classification],"&gt;0")</f>
        <v>0</v>
      </c>
      <c r="HS53" s="6">
        <f>COUNTIFS(Table25[Country],Tabela1[[#This Row],[Country]],Table25[Men''s 49er Classification],"&gt;0")</f>
        <v>0</v>
      </c>
      <c r="HT53" s="6">
        <f>COUNTIFS(Table25[Country],Tabela1[[#This Row],[Country]],Table25[Women''s 49er FX Classification],"&gt;0")</f>
        <v>0</v>
      </c>
      <c r="HU53" s="6">
        <f>COUNTIFS(Table17[Country],Tabela1[[#This Row],[Country]],Table17[Formula Kite Classification],"&gt;0")</f>
        <v>0</v>
      </c>
      <c r="HV53" s="6">
        <f>COUNTIFS(Table18[Country],Tabela1[[#This Row],[Country]],Table18[Formula Kite Classification],"&gt;0")</f>
        <v>0</v>
      </c>
      <c r="HW53" s="6">
        <f>COUNTIFS(Table17[Country],Tabela1[[#This Row],[Country]],Table17[ILCA 7 Classification],"&gt;0")</f>
        <v>0</v>
      </c>
      <c r="HX53" s="6">
        <f>COUNTIFS(Table18[Country],Tabela1[[#This Row],[Country]],Table18[ILCA 6 Classification],"&gt;0")</f>
        <v>0</v>
      </c>
      <c r="HY53" s="6">
        <f>COUNTIFS(Table17[Country],Tabela1[[#This Row],[Country]],Table17[IQFoil Classification],"&gt;0")</f>
        <v>0</v>
      </c>
      <c r="HZ53" s="6">
        <f>COUNTIFS(Table18[Country],Tabela1[[#This Row],[Country]],Table18[IQFoil Classification],"&gt;0")</f>
        <v>0</v>
      </c>
      <c r="IA53" s="6">
        <f>COUNTIFS(Table25[Country],Tabela1[[#This Row],[Country]],Table25[Mixed Nacra 17 Classification],"&gt;0")</f>
        <v>0</v>
      </c>
      <c r="IB53" s="6">
        <f>COUNTIFS(Table53[Country],Tabela1[[#This Row],[Country]],Table53[10m Air Pistol Classification],"&gt;0")</f>
        <v>0</v>
      </c>
      <c r="IC53" s="6">
        <f>COUNTIFS(Table19[Country],Tabela1[[#This Row],[Country]],Table19[10m Air Pistol Classification],"&gt;0")</f>
        <v>0</v>
      </c>
      <c r="ID53" s="6">
        <f>COUNTIFS(Table54[Country],Tabela1[[#This Row],[Country]],Table54[Mixed 10m Air Pistol Team Classification],"&gt;0")</f>
        <v>0</v>
      </c>
      <c r="IE53" s="6">
        <f>COUNTIFS(Table53[Country],Tabela1[[#This Row],[Country]],Table53[10m Air Rifle Classification],"&gt;0")</f>
        <v>0</v>
      </c>
      <c r="IF53" s="6">
        <f>COUNTIFS(Table19[Country],Tabela1[[#This Row],[Country]],Table19[10m Air Rifle Classification],"&gt;0")</f>
        <v>0</v>
      </c>
      <c r="IG53" s="6">
        <f>COUNTIFS(Table54[Country],Tabela1[[#This Row],[Country]],Table54[Mixed 10m Air Rifle Team Classification],"&gt;0")</f>
        <v>0</v>
      </c>
      <c r="IH53" s="6">
        <f>COUNTIFS(Table53[Country],Tabela1[[#This Row],[Country]],Table53[25m Rapid Fire Pistol Classification],"&gt;0")</f>
        <v>0</v>
      </c>
      <c r="II53" s="6">
        <f>COUNTIFS(Table19[Country],Tabela1[[#This Row],[Country]],Table19[25m Pistol Classification],"&gt;0")</f>
        <v>0</v>
      </c>
      <c r="IJ53" s="6">
        <f>COUNTIFS(Table53[Country],Tabela1[[#This Row],[Country]],Table53[50m Rifle 3 Positions Classification],"&gt;0")</f>
        <v>0</v>
      </c>
      <c r="IK53" s="6">
        <f>COUNTIFS(Table19[Country],Tabela1[[#This Row],[Country]],Table19[50m Rifle 3 Positions Classification],"&gt;0")</f>
        <v>0</v>
      </c>
      <c r="IL53" s="6">
        <f>COUNTIFS(Table53[Country],Tabela1[[#This Row],[Country]],Table53[Skeet Classification],"&gt;0")</f>
        <v>0</v>
      </c>
      <c r="IM53" s="6">
        <f>COUNTIFS(Table19[Country],Tabela1[[#This Row],[Country]],Table19[Skeet Classification],"&gt;0")</f>
        <v>0</v>
      </c>
      <c r="IN53" s="6">
        <f>COUNTIFS(Table54[Country],Tabela1[[#This Row],[Country]],Table54[Mixed Skeet Team Classification],"&gt;0")</f>
        <v>0</v>
      </c>
      <c r="IO53" s="6">
        <f>COUNTIFS(Table53[Country],Tabela1[[#This Row],[Country]],Table53[Trap Classification],"&gt;0")</f>
        <v>0</v>
      </c>
      <c r="IP53" s="6">
        <f>COUNTIFS(Table19[Country],Tabela1[[#This Row],[Country]],Table19[Trap Classification],"&gt;0")</f>
        <v>0</v>
      </c>
      <c r="IQ53" s="6">
        <f>COUNTIFS(Table73[Country],Tabela1[[#This Row],[Country]],Table73[Park Classification],"&gt;0")</f>
        <v>0</v>
      </c>
      <c r="IR53" s="6">
        <f>COUNTIFS(Table74[Country],Tabela1[[#This Row],[Country]],Table74[Park Classification],"&gt;0")</f>
        <v>0</v>
      </c>
      <c r="IS53" s="6">
        <f>COUNTIFS(Table73[Country],Tabela1[[#This Row],[Country]],Table73[Street Classification],"&gt;0")</f>
        <v>0</v>
      </c>
      <c r="IT53" s="6">
        <f>COUNTIFS(Table74[Country],Tabela1[[#This Row],[Country]],Table74[Street Classification],"&gt;0")</f>
        <v>0</v>
      </c>
      <c r="IU53" s="6">
        <f>COUNTIFS(Table75[Country],Tabela1[[#This Row],[Country]],Table75[Boulder and Lead Classification],"&gt;0")</f>
        <v>0</v>
      </c>
      <c r="IV53" s="6">
        <f>COUNTIFS(Table76[Country],Tabela1[[#This Row],[Country]],Table76[Boulder and Lead Classification],"&gt;0")</f>
        <v>0</v>
      </c>
      <c r="IW53" s="6">
        <f>COUNTIFS(Table75[Country],Tabela1[[#This Row],[Country]],Table75[Speed Classification],"&gt;0")</f>
        <v>0</v>
      </c>
      <c r="IX53" s="6">
        <f>COUNTIFS(Table76[Country],Tabela1[[#This Row],[Country]],Table76[Speed Classification],"&gt;0")</f>
        <v>0</v>
      </c>
      <c r="IY53" s="6">
        <f>COUNTIFS(Table64[Country],Tabela1[[#This Row],[Country]],Table64[Shortboard Classification],"&gt;0")</f>
        <v>0</v>
      </c>
      <c r="IZ53" s="6">
        <f>COUNTIFS(Table77[Country],Tabela1[[#This Row],[Country]],Table77[Shortboard Classification],"&gt;0")</f>
        <v>0</v>
      </c>
      <c r="JA53" s="6">
        <f>COUNTIFS(Table20[Country],Tabela1[[#This Row],[Country]],Table20[50m Freestyle Classification],"&gt;0")</f>
        <v>0</v>
      </c>
      <c r="JB53" s="6">
        <f>COUNTIFS(Table21[Country],Tabela1[[#This Row],[Country]],Table21[50m Freestyle Classification],"&gt;0")</f>
        <v>1</v>
      </c>
      <c r="JC53" s="6">
        <f>COUNTIFS(Table20[Country],Tabela1[[#This Row],[Country]],Table20[100m Freestyle Classification],"&gt;0")</f>
        <v>0</v>
      </c>
      <c r="JD53" s="6">
        <f>COUNTIFS(Table21[Country],Tabela1[[#This Row],[Country]],Table21[100m Freestyle Classification],"&gt;0")</f>
        <v>0</v>
      </c>
      <c r="JE53" s="6">
        <f>COUNTIFS(Table20[Country],Tabela1[[#This Row],[Country]],Table20[200m Freestyle Classification],"&gt;0")</f>
        <v>0</v>
      </c>
      <c r="JF53" s="6">
        <f>COUNTIFS(Table21[Country],Tabela1[[#This Row],[Country]],Table21[200m Freestyle Classification],"&gt;0")</f>
        <v>0</v>
      </c>
      <c r="JG53" s="6">
        <f>COUNTIFS(Table20[Country],Tabela1[[#This Row],[Country]],Table20[400m Freestyle Classification],"&gt;0")</f>
        <v>0</v>
      </c>
      <c r="JH53" s="6">
        <f>COUNTIFS(Table21[Country],Tabela1[[#This Row],[Country]],Table21[400m Freestyle Classification],"&gt;0")</f>
        <v>0</v>
      </c>
      <c r="JI53" s="6">
        <f>COUNTIFS(Table20[Country],Tabela1[[#This Row],[Country]],Table20[800m Freestyle Classification],"&gt;0")</f>
        <v>0</v>
      </c>
      <c r="JJ53" s="6">
        <f>COUNTIFS(Table21[Country],Tabela1[[#This Row],[Country]],Table21[800m Freestyle Classification],"&gt;0")</f>
        <v>0</v>
      </c>
      <c r="JK53" s="6">
        <f>COUNTIFS(Table20[Country],Tabela1[[#This Row],[Country]],Table20[1500m Freestyle Classification],"&gt;0")</f>
        <v>0</v>
      </c>
      <c r="JL53" s="6">
        <f>COUNTIFS(Table21[Country],Tabela1[[#This Row],[Country]],Table21[1500m Freestyle Classification],"&gt;0")</f>
        <v>0</v>
      </c>
      <c r="JM53" s="6">
        <f>COUNTIFS(Table20[Country],Tabela1[[#This Row],[Country]],Table20[100m Backstroke Classification],"&gt;0")</f>
        <v>0</v>
      </c>
      <c r="JN53" s="6">
        <f>COUNTIFS(Table21[Country],Tabela1[[#This Row],[Country]],Table21[100m Backstroke Classification],"&gt;0")</f>
        <v>0</v>
      </c>
      <c r="JO53" s="6">
        <f>COUNTIFS(Table20[Country],Tabela1[[#This Row],[Country]],Table20[200m Backstroke Classification],"&gt;0")</f>
        <v>0</v>
      </c>
      <c r="JP53" s="6">
        <f>COUNTIFS(Table21[Country],Tabela1[[#This Row],[Country]],Table21[200m Backstroke Classification],"&gt;0")</f>
        <v>0</v>
      </c>
      <c r="JQ53" s="6">
        <f>COUNTIFS(Table20[Country],Tabela1[[#This Row],[Country]],Table20[100m Breaststroke Classification],"&gt;0")</f>
        <v>0</v>
      </c>
      <c r="JR53" s="6">
        <f>COUNTIFS(Table21[Country],Tabela1[[#This Row],[Country]],Table21[100m Breaststroke Classification],"&gt;0")</f>
        <v>0</v>
      </c>
      <c r="JS53" s="6">
        <f>COUNTIFS(Table20[Country],Tabela1[[#This Row],[Country]],Table20[200m Breaststroke Classification],"&gt;0")</f>
        <v>0</v>
      </c>
      <c r="JT53" s="6">
        <f>COUNTIFS(Table21[Country],Tabela1[[#This Row],[Country]],Table21[200m Breaststroke Classification],"&gt;0")</f>
        <v>0</v>
      </c>
      <c r="JU53" s="6">
        <f>COUNTIFS(Table20[Country],Tabela1[[#This Row],[Country]],Table20[100m Butterfly Classification],"&gt;0")</f>
        <v>0</v>
      </c>
      <c r="JV53" s="6">
        <f>COUNTIFS(Table21[Country],Tabela1[[#This Row],[Country]],Table21[100m Butterfly Classification],"&gt;0")</f>
        <v>0</v>
      </c>
      <c r="JW53" s="6">
        <f>COUNTIFS(Table20[Country],Tabela1[[#This Row],[Country]],Table20[200m Butterfly Classification],"&gt;0")</f>
        <v>0</v>
      </c>
      <c r="JX53" s="6">
        <f>COUNTIFS(Table21[Country],Tabela1[[#This Row],[Country]],Table21[200m Butterfly Classification],"&gt;0")</f>
        <v>0</v>
      </c>
      <c r="JY53" s="6">
        <f>COUNTIFS(Table20[Country],Tabela1[[#This Row],[Country]],Table20[200m Medley Classification],"&gt;0")</f>
        <v>0</v>
      </c>
      <c r="JZ53" s="6">
        <f>COUNTIFS(Table21[Country],Tabela1[[#This Row],[Country]],Table21[200m Medley Classification],"&gt;0")</f>
        <v>0</v>
      </c>
      <c r="KA53" s="6">
        <f>COUNTIFS(Table20[Country],Tabela1[[#This Row],[Country]],Table20[400m Medley Classification],"&gt;0")</f>
        <v>0</v>
      </c>
      <c r="KB53" s="6">
        <f>COUNTIFS(Table21[Country],Tabela1[[#This Row],[Country]],Table21[400m Medley Classification],"&gt;0")</f>
        <v>0</v>
      </c>
      <c r="KC53" s="6">
        <f>COUNTIFS(Table78[Country],Tabela1[[#This Row],[Country]],Table78[Men''s 4x100m Freestyle Relay Classification],"&gt;0")</f>
        <v>0</v>
      </c>
      <c r="KD53" s="6">
        <f>COUNTIFS(Table78[Country],Tabela1[[#This Row],[Country]],Table78[Women''s 4x100m Freestyle Relay Classification],"&gt;0")</f>
        <v>0</v>
      </c>
      <c r="KE53" s="6">
        <f>COUNTIFS(Table78[Country],Tabela1[[#This Row],[Country]],Table78[Men''s 4x200m Freestyle Relay Classification],"&gt;0")</f>
        <v>0</v>
      </c>
      <c r="KF53" s="6">
        <f>COUNTIFS(Table78[Country],Tabela1[[#This Row],[Country]],Table78[Women''s 4x200m Freestyle Relay Classification],"&gt;0")</f>
        <v>0</v>
      </c>
      <c r="KG53" s="6">
        <f>COUNTIFS(Table78[Country],Tabela1[[#This Row],[Country]],Table78[Men''s 4x100m Medley Relay Classification],"&gt;0")</f>
        <v>0</v>
      </c>
      <c r="KH53" s="6">
        <f>COUNTIFS(Table78[Country],Tabela1[[#This Row],[Country]],Table78[Women''s 4x100m Medley Relay Classification],"&gt;0")</f>
        <v>0</v>
      </c>
      <c r="KI53" s="6">
        <f>COUNTIFS(Table78[Country],Tabela1[[#This Row],[Country]],Table78[Mixed 4x100m Medley Relay Classification],"&gt;0")</f>
        <v>0</v>
      </c>
      <c r="KJ53" s="6">
        <f>COUNTIFS(Table20[Country],Tabela1[[#This Row],[Country]],Table20[10km Open Water Classification],"&gt;0")</f>
        <v>0</v>
      </c>
      <c r="KK53" s="6">
        <f>COUNTIFS(Table21[Country],Tabela1[[#This Row],[Country]],Table21[10km Open Water Classification],"&gt;0")</f>
        <v>0</v>
      </c>
      <c r="KL53" s="6">
        <f>COUNTIFS(Table22[Country],Tabela1[[#This Row],[Country]],Table22[Classification],"&gt;0")</f>
        <v>0</v>
      </c>
      <c r="KM53" s="6">
        <f>COUNTIFS(Table30[Country],Tabela1[[#This Row],[Country]],Table30[Classification],"&gt;0")</f>
        <v>0</v>
      </c>
      <c r="KN53" s="6">
        <f>COUNTIFS(Table55[Country],Tabela1[[#This Row],[Country]],Table55[Men''s Classification],"&gt;0")</f>
        <v>0</v>
      </c>
      <c r="KO53" s="6">
        <f>COUNTIFS(Table55[Country],Tabela1[[#This Row],[Country]],Table55[Women''s Classification],"&gt;0")</f>
        <v>0</v>
      </c>
      <c r="KP53" s="6">
        <f>COUNTIFS(Table56[Country],Tabela1[[#This Row],[Country]],Table56[Mixed Classification],"&gt;0")</f>
        <v>0</v>
      </c>
      <c r="KQ53" s="6">
        <f>COUNTIFS(Table29[Country],Tabela1[[#This Row],[Country]],Table29[58kg Classification],"&gt;0")</f>
        <v>0</v>
      </c>
      <c r="KR53" s="6">
        <f>COUNTIFS(Table29[Country],Tabela1[[#This Row],[Country]],Table29[68kg Classification],"&gt;0")</f>
        <v>0</v>
      </c>
      <c r="KS53" s="6">
        <f>COUNTIFS(Table29[Country],Tabela1[[#This Row],[Country]],Table29[80kg Classification],"&gt;0")</f>
        <v>0</v>
      </c>
      <c r="KT53" s="6">
        <f>COUNTIFS(Table29[Country],Tabela1[[#This Row],[Country]],Table29[Plus 80kg Classification],"&gt;0")</f>
        <v>0</v>
      </c>
      <c r="KU53" s="6">
        <f>COUNTIFS(Table34[Country],Tabela1[[#This Row],[Country]],Table34[49kg Classification],"&gt;0")</f>
        <v>0</v>
      </c>
      <c r="KV53" s="6">
        <f>COUNTIFS(Table34[Country],Tabela1[[#This Row],[Country]],Table34[57kg Classification],"&gt;0")</f>
        <v>0</v>
      </c>
      <c r="KW53" s="6">
        <f>COUNTIFS(Table34[Country],Tabela1[[#This Row],[Country]],Table34[67kg Classification],"&gt;0")</f>
        <v>0</v>
      </c>
      <c r="KX53" s="6">
        <f>COUNTIFS(Table34[Country],Tabela1[[#This Row],[Country]],Table34[Plus 67kg Classification],"&gt;0")</f>
        <v>0</v>
      </c>
      <c r="KY53" s="6">
        <f>COUNTIFS(Table57[Country],Tabela1[[#This Row],[Country]],Table57[Classification],"&gt;0")</f>
        <v>0</v>
      </c>
      <c r="KZ53" s="6">
        <f>COUNTIFS(Table58[Country],Tabela1[[#This Row],[Country]],Table58[Classification],"&gt;0")</f>
        <v>0</v>
      </c>
      <c r="LA53" s="6">
        <f>COUNTIFS(Table79[Country],Tabela1[[#This Row],[Country]],Table79[Men''s Classification],"&gt;0")</f>
        <v>0</v>
      </c>
      <c r="LB53" s="6">
        <f>COUNTIFS(Table79[Country],Tabela1[[#This Row],[Country]],Table79[Women''s Classification],"&gt;0")</f>
        <v>0</v>
      </c>
      <c r="LC53" s="6">
        <f>COUNTIFS(Table79[Country],Tabela1[[#This Row],[Country]],Table79[Mixed Classification],"&gt;0")</f>
        <v>0</v>
      </c>
      <c r="LD53" s="6">
        <f>COUNTIFS(Table65[Country],Tabela1[[#This Row],[Country]],Table65[Classification],"&gt;0")</f>
        <v>0</v>
      </c>
      <c r="LE53" s="6">
        <f>COUNTIFS(Table59[Country],Tabela1[[#This Row],[Country]],Table59[Classification],"&gt;0")</f>
        <v>0</v>
      </c>
      <c r="LF53" s="6">
        <f>COUNTIFS(Table87[Country],Tabela1[[#This Row],[Country]],Table87[Mixed Relay Classification],"&gt;0")</f>
        <v>0</v>
      </c>
      <c r="LG53" s="6">
        <f>COUNTIFS(Table91949698100[Country],Tabela1[[#This Row],[Country]],Table91949698100[Men''s Classification],"&gt;0")</f>
        <v>0</v>
      </c>
      <c r="LH53" s="6">
        <f>COUNTIFS(Table91949698100[Country],Tabela1[[#This Row],[Country]],Table91949698100[Women''s Classification],"&gt;0")</f>
        <v>0</v>
      </c>
      <c r="LI53" s="6">
        <f>COUNTIFS(Table91949698100102[Country],Tabela1[[#This Row],[Country]],Table91949698100102[Men''s Classification],"&gt;0")</f>
        <v>0</v>
      </c>
      <c r="LJ53" s="6">
        <f>COUNTIFS(Table91949698100102[Country],Tabela1[[#This Row],[Country]],Table91949698100102[Women''s Classification],"&gt;0")</f>
        <v>0</v>
      </c>
      <c r="LK53" s="6">
        <f>COUNTIFS(Table23[Country],Tabela1[[#This Row],[Country]],Table23[61kg Classification],"&gt;0")</f>
        <v>0</v>
      </c>
      <c r="LL53" s="6">
        <f>COUNTIFS(Table23[Country],Tabela1[[#This Row],[Country]],Table23[73kg Classification],"&gt;0")</f>
        <v>0</v>
      </c>
      <c r="LM53" s="6">
        <f>COUNTIFS(Table23[Country],Tabela1[[#This Row],[Country]],Table23[89kg Classification],"&gt;0")</f>
        <v>0</v>
      </c>
      <c r="LN53" s="6">
        <f>COUNTIFS(Table23[Country],Tabela1[[#This Row],[Country]],Table23[102kg Classification],"&gt;0")</f>
        <v>0</v>
      </c>
      <c r="LO53" s="6">
        <f>COUNTIFS(Table23[Country],Tabela1[[#This Row],[Country]],Table23[Plus 102kg Classification],"&gt;0")</f>
        <v>0</v>
      </c>
      <c r="LP53" s="6">
        <f>COUNTIFS(Table28[Country],Tabela1[[#This Row],[Country]],Table28[49kg Classification],"&gt;0")</f>
        <v>0</v>
      </c>
      <c r="LQ53" s="6">
        <f>COUNTIFS(Table28[Country],Tabela1[[#This Row],[Country]],Table28[59kg Classification],"&gt;0")</f>
        <v>0</v>
      </c>
      <c r="LR53" s="6">
        <f>COUNTIFS(Table28[Country],Tabela1[[#This Row],[Country]],Table28[71kg Classification],"&gt;0")</f>
        <v>0</v>
      </c>
      <c r="LS53" s="6">
        <f>COUNTIFS(Table28[Country],Tabela1[[#This Row],[Country]],Table28[81kg Classification],"&gt;0")</f>
        <v>0</v>
      </c>
      <c r="LT53" s="6">
        <f>COUNTIFS(Table28[Country],Tabela1[[#This Row],[Country]],Table28[Plus 81kg Classification],"&gt;0")</f>
        <v>0</v>
      </c>
      <c r="LU53" s="6">
        <f>COUNTIFS(Table24[Country],Tabela1[[#This Row],[Country]],Table24[Freestyle 57kg Classification],"&gt;0")</f>
        <v>0</v>
      </c>
      <c r="LV53" s="6">
        <f>COUNTIFS(Table24[Country],Tabela1[[#This Row],[Country]],Table24[Freestyle 65kg Classification],"&gt;0")</f>
        <v>0</v>
      </c>
      <c r="LW53" s="6">
        <f>COUNTIFS(Table24[Country],Tabela1[[#This Row],[Country]],Table24[Freestyle 74kg Classification],"&gt;0")</f>
        <v>0</v>
      </c>
      <c r="LX53" s="6">
        <f>COUNTIFS(Table24[Country],Tabela1[[#This Row],[Country]],Table24[Freestyle 86kg Classification],"&gt;0")</f>
        <v>0</v>
      </c>
      <c r="LY53" s="6">
        <f>COUNTIFS(Table24[Country],Tabela1[[#This Row],[Country]],Table24[Freestyle 97kg Classification],"&gt;0")</f>
        <v>0</v>
      </c>
      <c r="LZ53" s="6">
        <f>COUNTIFS(Table24[Country],Tabela1[[#This Row],[Country]],Table24[Freestyle 125kg Classification],"&gt;0")</f>
        <v>0</v>
      </c>
      <c r="MA53" s="6">
        <f>COUNTIFS(Table24[Country],Tabela1[[#This Row],[Country]],Table24[Greco-Roman 60kg Classification],"&gt;0")</f>
        <v>0</v>
      </c>
      <c r="MB53" s="6">
        <f>COUNTIFS(Table24[Country],Tabela1[[#This Row],[Country]],Table24[Greco-Roman 67kg Classification],"&gt;0")</f>
        <v>0</v>
      </c>
      <c r="MC53" s="6">
        <f>COUNTIFS(Table24[Country],Tabela1[[#This Row],[Country]],Table24[Greco-Roman 77kg Classification],"&gt;0")</f>
        <v>0</v>
      </c>
      <c r="MD53" s="6">
        <f>COUNTIFS(Table24[Country],Tabela1[[#This Row],[Country]],Table24[Greco-Roman 87kg Classification],"&gt;0")</f>
        <v>0</v>
      </c>
      <c r="ME53" s="6">
        <f>COUNTIFS(Table24[Country],Tabela1[[#This Row],[Country]],Table24[Greco-Roman 97kg Classification],"&gt;0")</f>
        <v>0</v>
      </c>
      <c r="MF53" s="6">
        <f>COUNTIFS(Table24[Country],Tabela1[[#This Row],[Country]],Table24[Greco-Roman 130kg Classification],"&gt;0")</f>
        <v>0</v>
      </c>
      <c r="MG53" s="6">
        <f>COUNTIFS(Table31[Country],Tabela1[[#This Row],[Country]],Table31[50kg Classification],"&gt;0")</f>
        <v>0</v>
      </c>
      <c r="MH53" s="6">
        <f>COUNTIFS(Table31[Country],Tabela1[[#This Row],[Country]],Table31[53kg Classification],"&gt;0")</f>
        <v>0</v>
      </c>
      <c r="MI53" s="6">
        <f>COUNTIFS(Table31[Country],Tabela1[[#This Row],[Country]],Table31[57kg Classification],"&gt;0")</f>
        <v>0</v>
      </c>
      <c r="MJ53" s="6">
        <f>COUNTIFS(Table31[Country],Tabela1[[#This Row],[Country]],Table31[62kg Classification],"&gt;0")</f>
        <v>0</v>
      </c>
      <c r="MK53" s="6">
        <f>COUNTIFS(Table31[Country],Tabela1[[#This Row],[Country]],Table31[68kg Classification],"&gt;0")</f>
        <v>0</v>
      </c>
      <c r="ML53" s="6">
        <f>COUNTIFS(Table31[Country],Tabela1[[#This Row],[Country]],Table31[76kg Classification],"&gt;0")</f>
        <v>0</v>
      </c>
      <c r="MM53" s="6">
        <f>COUNTIFS(Table102[Country],Tabela1[[#This Row],[Country]],Table102[Downhill Classification],"&gt;0")</f>
        <v>0</v>
      </c>
      <c r="MN53" s="6">
        <f>COUNTIFS(Table102105[Country],Tabela1[[#This Row],[Country]],Table102105[Downhill Classification],"&gt;0")</f>
        <v>0</v>
      </c>
      <c r="MO53" s="6">
        <f>COUNTIFS(Table102[Country],Tabela1[[#This Row],[Country]],Table102[Giant Slalom Classification],"&gt;0")</f>
        <v>1</v>
      </c>
      <c r="MP53" s="6">
        <f>COUNTIFS(Table102105[Country],Tabela1[[#This Row],[Country]],Table102105[Giant Slalom Classification],"&gt;0")</f>
        <v>0</v>
      </c>
      <c r="MQ53" s="6">
        <f>COUNTIFS(Table102[Country],Tabela1[[#This Row],[Country]],Table102[Slalom Classification],"&gt;0")</f>
        <v>1</v>
      </c>
      <c r="MR53" s="6">
        <f>COUNTIFS(Table102105[Country],Tabela1[[#This Row],[Country]],Table102105[Slalom Classification],"&gt;0")</f>
        <v>0</v>
      </c>
      <c r="MS53" s="6">
        <f>COUNTIFS(Table102[Country],Tabela1[[#This Row],[Country]],Table102[Super-G Classification],"&gt;0")</f>
        <v>0</v>
      </c>
      <c r="MT53" s="6">
        <f>COUNTIFS(Table102105[Country],Tabela1[[#This Row],[Country]],Table102105[Super-G Classification],"&gt;0")</f>
        <v>0</v>
      </c>
      <c r="MU53" s="6">
        <f>COUNTIFS(Table105[Country],Tabela1[[#This Row],[Country]],Table105[Men''s Combined Classification],"&gt;0")</f>
        <v>0</v>
      </c>
      <c r="MV53" s="6">
        <f>COUNTIFS(Table105[Country],Tabela1[[#This Row],[Country]],Table105[Women''s Combined Classification],"&gt;0")</f>
        <v>0</v>
      </c>
      <c r="MW53" s="6">
        <f>COUNTIFS(Table106[Country],Tabela1[[#This Row],[Country]],Table106[Individual Classification],"&gt;0")</f>
        <v>0</v>
      </c>
      <c r="MX53" s="6">
        <f>COUNTIFS(Table106109[Country],Tabela1[[#This Row],[Country]],Table106109[Individual Classification],"&gt;0")</f>
        <v>0</v>
      </c>
      <c r="MY53" s="6">
        <f>COUNTIFS(Table106[Country],Tabela1[[#This Row],[Country]],Table106[Mass Start Classification],"&gt;0")</f>
        <v>0</v>
      </c>
      <c r="MZ53" s="6">
        <f>COUNTIFS(Table106109[Country],Tabela1[[#This Row],[Country]],Table106109[Mass Start Classification],"&gt;0")</f>
        <v>0</v>
      </c>
      <c r="NA53" s="6">
        <f>COUNTIFS(Table106[Country],Tabela1[[#This Row],[Country]],Table106[Pursuit Classification],"&gt;0")</f>
        <v>0</v>
      </c>
      <c r="NB53" s="6">
        <f>COUNTIFS(Table106109[Country],Tabela1[[#This Row],[Country]],Table106109[Pursuit Classification],"&gt;0")</f>
        <v>0</v>
      </c>
      <c r="NC53" s="6">
        <f>COUNTIFS(Table106[Country],Tabela1[[#This Row],[Country]],Table106[Sprint Classification],"&gt;0")</f>
        <v>0</v>
      </c>
      <c r="ND53" s="6">
        <f>COUNTIFS(Table106109[Country],Tabela1[[#This Row],[Country]],Table106109[Sprint Classification],"&gt;0")</f>
        <v>0</v>
      </c>
      <c r="NE53" s="6">
        <f>COUNTIFS(Table109[Country],Tabela1[[#This Row],[Country]],Table109[Men''s Relay Classification],"&gt;0")</f>
        <v>0</v>
      </c>
      <c r="NF53" s="6">
        <f>COUNTIFS(Table109[Country],Tabela1[[#This Row],[Country]],Table109[Women''s Relay Classification],"&gt;0")</f>
        <v>0</v>
      </c>
      <c r="NG53" s="6">
        <f>COUNTIFS(Table109[Country],Tabela1[[#This Row],[Country]],Table109[Mixed Relay Classification],"&gt;0")</f>
        <v>0</v>
      </c>
      <c r="NH53" s="6">
        <f>COUNTIFS(Table110[Country],Tabela1[[#This Row],[Country]],Table110[Monobob Classification],"&gt;0")</f>
        <v>0</v>
      </c>
      <c r="NI53" s="6">
        <f>COUNTIFS(Table111[Country],Tabela1[[#This Row],[Country]],Table111[Men''s Classification],"&gt;0")</f>
        <v>0</v>
      </c>
      <c r="NJ53" s="6">
        <f>COUNTIFS(Table111[Country],Tabela1[[#This Row],[Country]],Table111[Women''s Classification],"&gt;0")</f>
        <v>0</v>
      </c>
      <c r="NK53" s="6">
        <f>COUNTIFS(Table112[Country],Tabela1[[#This Row],[Country]],Table112[Men''s Four Classification],"&gt;0")</f>
        <v>0</v>
      </c>
      <c r="NL53" s="6">
        <f>COUNTIFS(Table113[Country],Tabela1[[#This Row],[Country]],Table113[Classical Classification],"&gt;0")</f>
        <v>1</v>
      </c>
      <c r="NM53" s="6">
        <f>COUNTIFS(Table113116[Country],Tabela1[[#This Row],[Country]],Table113116[Classical Classification],"&gt;0")</f>
        <v>0</v>
      </c>
      <c r="NN53" s="6">
        <f>COUNTIFS(Table113[Country],Tabela1[[#This Row],[Country]],Table113[Freestyle Classification],"&gt;0")</f>
        <v>1</v>
      </c>
      <c r="NO53" s="6">
        <f>COUNTIFS(Table113116[Country],Tabela1[[#This Row],[Country]],Table113116[Freestyle Classification],"&gt;0")</f>
        <v>0</v>
      </c>
      <c r="NP53" s="6">
        <f>COUNTIFS(Table117[Country],Tabela1[[#This Row],[Country]],Table117[Men''s Relay Classification],"&gt;0")</f>
        <v>0</v>
      </c>
      <c r="NQ53" s="6">
        <f>COUNTIFS(Table117[Country],Tabela1[[#This Row],[Country]],Table117[Women''s Relay Classification],"&gt;0")</f>
        <v>0</v>
      </c>
      <c r="NR53" s="6">
        <f>COUNTIFS(Table113[Country],Tabela1[[#This Row],[Country]],Table113[Skiathlon Classification],"&gt;0")</f>
        <v>1</v>
      </c>
      <c r="NS53" s="6">
        <f>COUNTIFS(Table113116[Country],Tabela1[[#This Row],[Country]],Table113116[Skiathlon Classification],"&gt;0")</f>
        <v>0</v>
      </c>
      <c r="NT53" s="6">
        <f>COUNTIFS(Table113[Country],Tabela1[[#This Row],[Country]],Table113[Sprint Classification],"&gt;0")</f>
        <v>1</v>
      </c>
      <c r="NU53" s="6">
        <f>COUNTIFS(Table113116[Country],Tabela1[[#This Row],[Country]],Table113116[Sprint Classification],"&gt;0")</f>
        <v>0</v>
      </c>
      <c r="NV53" s="6">
        <f>COUNTIFS(Table116[Country],Tabela1[[#This Row],[Country]],Table116[Men''s Team Sprint Classification],"&gt;0")</f>
        <v>0</v>
      </c>
      <c r="NW53" s="6">
        <f>COUNTIFS(Table116[Country],Tabela1[[#This Row],[Country]],Table116[Women''s Team Sprint Classification],"&gt;0")</f>
        <v>0</v>
      </c>
      <c r="NX53" s="6">
        <f>COUNTIFS(Table119[Country],Tabela1[[#This Row],[Country]],Table119[Men''s Classification],"&gt;0")</f>
        <v>0</v>
      </c>
      <c r="NY53" s="6">
        <f>COUNTIFS(Table119[Country],Tabela1[[#This Row],[Country]],Table119[Women''s Classification],"&gt;0")</f>
        <v>0</v>
      </c>
      <c r="NZ53" s="6">
        <f>COUNTIFS(Table118[Country],Tabela1[[#This Row],[Country]],Table118[Mixed Classification],"&gt;0")</f>
        <v>0</v>
      </c>
      <c r="OA53" s="6">
        <f>COUNTIFS(Table120[Country],Tabela1[[#This Row],[Country]],Table120[Classification],"&gt;0")</f>
        <v>0</v>
      </c>
      <c r="OB53" s="6">
        <f>COUNTIFS(Table120123[Country],Tabela1[[#This Row],[Country]],Table120123[Classification],"&gt;0")</f>
        <v>0</v>
      </c>
      <c r="OC53" s="6">
        <f>COUNTIFS(Table123[Country],Tabela1[[#This Row],[Country]],Table123[Ice Dance Classification],"&gt;0")</f>
        <v>0</v>
      </c>
      <c r="OD53" s="6">
        <f>COUNTIFS(Table123[Country],Tabela1[[#This Row],[Country]],Table123[Pair Skating Classification],"&gt;0")</f>
        <v>0</v>
      </c>
      <c r="OE53" s="6">
        <f>COUNTIFS(Table124[Country],Tabela1[[#This Row],[Country]],Table124[Mixed Classification],"&gt;0")</f>
        <v>0</v>
      </c>
      <c r="OF53" s="6">
        <f>COUNTIFS(Table125[Country],Tabela1[[#This Row],[Country]],Table125[Aerials Classification],"&gt;0")</f>
        <v>0</v>
      </c>
      <c r="OG53" s="6">
        <f>COUNTIFS(Table125128[Country],Tabela1[[#This Row],[Country]],Table125128[Aerials Classification],"&gt;0")</f>
        <v>0</v>
      </c>
      <c r="OH53" s="6">
        <f>COUNTIFS(Table128[Country],Tabela1[[#This Row],[Country]],Table128[Mixed Aerials Classification],"&gt;0")</f>
        <v>0</v>
      </c>
      <c r="OI53" s="6">
        <f>COUNTIFS(Table125[Country],Tabela1[[#This Row],[Country]],Table125[Big Air Classification],"&gt;0")</f>
        <v>0</v>
      </c>
      <c r="OJ53" s="6">
        <f>COUNTIFS(Table125128[Country],Tabela1[[#This Row],[Country]],Table125128[Big Air Classification],"&gt;0")</f>
        <v>0</v>
      </c>
      <c r="OK53" s="6">
        <f>COUNTIFS(Table125[Country],Tabela1[[#This Row],[Country]],Table125[Dual Moguls Classification],"&gt;0")</f>
        <v>0</v>
      </c>
      <c r="OL53" s="6">
        <f>COUNTIFS(Table125128[Country],Tabela1[[#This Row],[Country]],Table125128[Dual Moguls Classification],"&gt;0")</f>
        <v>0</v>
      </c>
      <c r="OM53" s="6">
        <f>COUNTIFS(Table125[Country],Tabela1[[#This Row],[Country]],Table125[Halfpipe Classification],"&gt;0")</f>
        <v>0</v>
      </c>
      <c r="ON53" s="6">
        <f>COUNTIFS(Table125128[Country],Tabela1[[#This Row],[Country]],Table125128[Halfpipe Classification],"&gt;0")</f>
        <v>0</v>
      </c>
      <c r="OO53" s="6">
        <f>COUNTIFS(Table125[Country],Tabela1[[#This Row],[Country]],Table125[Moguls Classification],"&gt;0")</f>
        <v>0</v>
      </c>
      <c r="OP53" s="6">
        <f>COUNTIFS(Table125128[Country],Tabela1[[#This Row],[Country]],Table125128[Moguls Classification],"&gt;0")</f>
        <v>0</v>
      </c>
      <c r="OQ53" s="6">
        <f>COUNTIFS(Table125[Country],Tabela1[[#This Row],[Country]],Table125[Ski Cross Classification],"&gt;0")</f>
        <v>0</v>
      </c>
      <c r="OR53" s="6">
        <f>COUNTIFS(Table125128[Country],Tabela1[[#This Row],[Country]],Table125128[Ski Cross Classification],"&gt;0")</f>
        <v>0</v>
      </c>
      <c r="OS53" s="6">
        <f>COUNTIFS(Table125[Country],Tabela1[[#This Row],[Country]],Table125[Slopestyle Classification],"&gt;0")</f>
        <v>0</v>
      </c>
      <c r="OT53" s="6">
        <f>COUNTIFS(Table125128[Country],Tabela1[[#This Row],[Country]],Table125128[Slopestyle Classification],"&gt;0")</f>
        <v>0</v>
      </c>
      <c r="OU53" s="6">
        <f>COUNTIFS(Table119131[Country],Tabela1[[#This Row],[Country]],Table119131[Men''s Classification],"&gt;0")</f>
        <v>0</v>
      </c>
      <c r="OV53" s="6">
        <f>COUNTIFS(Table119131[Country],Tabela1[[#This Row],[Country]],Table119131[Women''s Classification],"&gt;0")</f>
        <v>0</v>
      </c>
      <c r="OW53" s="6">
        <f>COUNTIFS(Table131[Country],Tabela1[[#This Row],[Country]],Table131[Classification],"&gt;0")</f>
        <v>0</v>
      </c>
      <c r="OX53" s="6">
        <f>COUNTIFS(Table131134[Country],Tabela1[[#This Row],[Country]],Table131134[Classification],"&gt;0")</f>
        <v>0</v>
      </c>
      <c r="OY53" s="6">
        <f>COUNTIFS(Table134[Country],Tabela1[[#This Row],[Country]],Table134[Men''s Classification],"&gt;0")</f>
        <v>0</v>
      </c>
      <c r="OZ53" s="6">
        <f>COUNTIFS(Table134[Country],Tabela1[[#This Row],[Country]],Table134[Women''s Classification],"&gt;0")</f>
        <v>0</v>
      </c>
      <c r="PA53" s="6">
        <f>COUNTIFS(Table135[Country],Tabela1[[#This Row],[Country]],Table135[Mixed Relay Classification],"&gt;0")</f>
        <v>0</v>
      </c>
      <c r="PB53" s="6">
        <f>COUNTIFS(Table136[Country],Tabela1[[#This Row],[Country]],Table136[Individual Classification],"&gt;0")</f>
        <v>0</v>
      </c>
      <c r="PC53" s="6">
        <f>COUNTIFS(Table136[Country],Tabela1[[#This Row],[Country]],Table136[Sprint Classification],"&gt;0")</f>
        <v>0</v>
      </c>
      <c r="PD53" s="6">
        <f>COUNTIFS(Table137[Country],Tabela1[[#This Row],[Country]],Table137[Men''s Team Sprint Large Hill Classification],"&gt;0")</f>
        <v>0</v>
      </c>
      <c r="PE53" s="6">
        <f>COUNTIFS(Table138[Country],Tabela1[[#This Row],[Country]],Table138[500m Classification],"&gt;0")</f>
        <v>0</v>
      </c>
      <c r="PF53" s="6">
        <f>COUNTIFS(Table138141[Country],Tabela1[[#This Row],[Country]],Table138141[500m Classification],"&gt;0")</f>
        <v>0</v>
      </c>
      <c r="PG53" s="6">
        <f>COUNTIFS(Table138[Country],Tabela1[[#This Row],[Country]],Table138[1000m Classification],"&gt;0")</f>
        <v>0</v>
      </c>
      <c r="PH53" s="6">
        <f>COUNTIFS(Table138141[Country],Tabela1[[#This Row],[Country]],Table138141[1000m Classification],"&gt;0")</f>
        <v>0</v>
      </c>
      <c r="PI53" s="6">
        <f>COUNTIFS(Table138[Country],Tabela1[[#This Row],[Country]],Table138[1500m Classification],"&gt;0")</f>
        <v>0</v>
      </c>
      <c r="PJ53" s="6">
        <f>COUNTIFS(Table138141[Country],Tabela1[[#This Row],[Country]],Table138141[1500m Classification],"&gt;0")</f>
        <v>0</v>
      </c>
      <c r="PK53" s="6">
        <f>COUNTIFS(Table141[Country],Tabela1[[#This Row],[Country]],Table141[Men''s 5000m Relay Classification],"&gt;0")</f>
        <v>0</v>
      </c>
      <c r="PL53" s="6">
        <f>COUNTIFS(Table141[Country],Tabela1[[#This Row],[Country]],Table141[Women''s 3000m Relay Classification],"&gt;0")</f>
        <v>0</v>
      </c>
      <c r="PM53" s="6">
        <f>COUNTIFS(Table141[Country],Tabela1[[#This Row],[Country]],Table141[Mixed 2000m Relay Classification],"&gt;0")</f>
        <v>0</v>
      </c>
      <c r="PN53" s="6">
        <f>COUNTIFS(Table142[Country],Tabela1[[#This Row],[Country]],Table142[Classification],"&gt;0")</f>
        <v>0</v>
      </c>
      <c r="PO53" s="6">
        <f>COUNTIFS(Table142145[Country],Tabela1[[#This Row],[Country]],Table142145[Classification],"&gt;0")</f>
        <v>0</v>
      </c>
      <c r="PP53" s="6">
        <f>COUNTIFS(Tabela15[Country],Tabela1[[#This Row],[Country]],Tabela15[Mixed Team Classification],"&gt;0")</f>
        <v>0</v>
      </c>
      <c r="PQ53" s="6">
        <f>COUNTIFS(Table145[Country],Tabela1[[#This Row],[Country]],Table145[Large Hill Classification],"&gt;0")</f>
        <v>0</v>
      </c>
      <c r="PR53" s="6">
        <f>COUNTIFS(Table145[Country],Tabela1[[#This Row],[Country]],Table145[Normal Hill Classification],"&gt;0")</f>
        <v>0</v>
      </c>
      <c r="PS53" s="6">
        <f>COUNTIFS(Table145148[Country],Tabela1[[#This Row],[Country]],Table145148[Large Hill Classification],"&gt;0")</f>
        <v>0</v>
      </c>
      <c r="PT53" s="6">
        <f>COUNTIFS(Table145148[Country],Tabela1[[#This Row],[Country]],Table145148[Normal Hill Classification],"&gt;0")</f>
        <v>0</v>
      </c>
      <c r="PU53" s="6">
        <f>COUNTIFS(Table148[Country],Tabela1[[#This Row],[Country]],Table148[Men''s Super Team Classification],"&gt;0")</f>
        <v>0</v>
      </c>
      <c r="PV53" s="6">
        <f>COUNTIFS(Tabela114[Country],Tabela1[[#This Row],[Country]],Tabela114[Mixed Normal Hill Classification],"&gt;0")</f>
        <v>0</v>
      </c>
      <c r="PW53" s="6">
        <f>COUNTIFS(Tabela50[Country],Tabela1[[#This Row],[Country]],Tabela50[Sprint Classification],"&gt;0")</f>
        <v>0</v>
      </c>
      <c r="PX53" s="6">
        <f>COUNTIFS(Tabela50101[Country],Tabela1[[#This Row],[Country]],Tabela50101[Sprint Classification],"&gt;0")</f>
        <v>0</v>
      </c>
      <c r="PY53" s="6">
        <f>COUNTIFS(Tabela103[Country],Tabela1[[#This Row],[Country]],Tabela103[Mixed Relay Classification],"&gt;0")</f>
        <v>0</v>
      </c>
      <c r="PZ53" s="6">
        <f>COUNTIFS(Table149[Country],Tabela1[[#This Row],[Country]],Table149[Big Air Classification],"&gt;0")</f>
        <v>0</v>
      </c>
      <c r="QA53" s="6">
        <f>COUNTIFS(Table149152[Country],Tabela1[[#This Row],[Country]],Table149152[Big Air Classification],"&gt;0")</f>
        <v>0</v>
      </c>
      <c r="QB53" s="6">
        <f>COUNTIFS(Table149[Country],Tabela1[[#This Row],[Country]],Table149[Halfpipe Classification],"&gt;0")</f>
        <v>0</v>
      </c>
      <c r="QC53" s="6">
        <f>COUNTIFS(Table149152[Country],Tabela1[[#This Row],[Country]],Table149152[Halfpipe Classification],"&gt;0")</f>
        <v>0</v>
      </c>
      <c r="QD53" s="6">
        <f>COUNTIFS(Table149[Country],Tabela1[[#This Row],[Country]],Table149[Parallel Giant Slalom Classification],"&gt;0")</f>
        <v>0</v>
      </c>
      <c r="QE53" s="6">
        <f>COUNTIFS(Table149152[Country],Tabela1[[#This Row],[Country]],Table149152[Parallel Giant Slalom Classification],"&gt;0")</f>
        <v>0</v>
      </c>
      <c r="QF53" s="6">
        <f>COUNTIFS(Table149[Country],Tabela1[[#This Row],[Country]],Table149[Slopestyle Classification],"&gt;0")</f>
        <v>0</v>
      </c>
      <c r="QG53" s="6">
        <f>COUNTIFS(Table149152[Country],Tabela1[[#This Row],[Country]],Table149152[Slopestyle Classification],"&gt;0")</f>
        <v>0</v>
      </c>
      <c r="QH53" s="6">
        <f>COUNTIFS(Table149[Country],Tabela1[[#This Row],[Country]],Table149[Snowboard Cross Classification],"&gt;0")</f>
        <v>0</v>
      </c>
      <c r="QI53" s="6">
        <f>COUNTIFS(Table149152[Country],Tabela1[[#This Row],[Country]],Table149152[Snowboard Cross Classification],"&gt;0")</f>
        <v>0</v>
      </c>
      <c r="QJ53" s="6">
        <f>COUNTIFS(Table153[Country],Tabela1[[#This Row],[Country]],Table153[Mixed Team Snowboard Cross Classification],"&gt;0")</f>
        <v>0</v>
      </c>
      <c r="QK53" s="6">
        <f>COUNTIFS(Table154[Country],Tabela1[[#This Row],[Country]],Table154[500m Classification],"&gt;0")</f>
        <v>0</v>
      </c>
      <c r="QL53" s="6">
        <f>COUNTIFS(Table154157[Country],Tabela1[[#This Row],[Country]],Table154157[500m Classification],"&gt;0")</f>
        <v>0</v>
      </c>
      <c r="QM53" s="6">
        <f>COUNTIFS(Table154[Country],Tabela1[[#This Row],[Country]],Table154[1000m Classification],"&gt;0")</f>
        <v>0</v>
      </c>
      <c r="QN53" s="6">
        <f>COUNTIFS(Table154157[Country],Tabela1[[#This Row],[Country]],Table154157[1000m Classification],"&gt;0")</f>
        <v>0</v>
      </c>
      <c r="QO53" s="6">
        <f>COUNTIFS(Table154[Country],Tabela1[[#This Row],[Country]],Table154[1500m Classification],"&gt;0")</f>
        <v>0</v>
      </c>
      <c r="QP53" s="6">
        <f>COUNTIFS(Table154157[Country],Tabela1[[#This Row],[Country]],Table154157[1500m Classification],"&gt;0")</f>
        <v>0</v>
      </c>
      <c r="QQ53" s="6">
        <f>COUNTIFS(Table154157[Country],Tabela1[[#This Row],[Country]],Table154157[3000m Classification],"&gt;0")</f>
        <v>0</v>
      </c>
      <c r="QR53" s="6">
        <f>COUNTIFS(Table154[Country],Tabela1[[#This Row],[Country]],Table154[5000m Classification],"&gt;0")</f>
        <v>0</v>
      </c>
      <c r="QS53" s="6">
        <f>COUNTIFS(Table154157[Country],Tabela1[[#This Row],[Country]],Table154157[5000m Classification],"&gt;0")</f>
        <v>0</v>
      </c>
      <c r="QT53" s="6">
        <f>COUNTIFS(Table154[Country],Tabela1[[#This Row],[Country]],Table154[10000m Classification],"&gt;0")</f>
        <v>0</v>
      </c>
      <c r="QU53" s="6">
        <f>COUNTIFS(Table154[Country],Tabela1[[#This Row],[Country]],Table154[Mass Start Classification],"&gt;0")</f>
        <v>0</v>
      </c>
      <c r="QV53" s="6">
        <f>COUNTIFS(Table154157[Country],Tabela1[[#This Row],[Country]],Table154157[Mass Start Classification],"&gt;0")</f>
        <v>0</v>
      </c>
      <c r="QW53" s="6">
        <f>COUNTIFS(Table157[Country],Tabela1[[#This Row],[Country]],Table157[Men''s Pursuit Classification],"&gt;0")</f>
        <v>0</v>
      </c>
      <c r="QX53" s="6">
        <f>COUNTIFS(Table157[Country],Tabela1[[#This Row],[Country]],Table157[Women''s Pursuit Classification],"&gt;0")</f>
        <v>0</v>
      </c>
      <c r="QY53" s="4" t="s">
        <v>589</v>
      </c>
    </row>
    <row r="54" spans="1:467" x14ac:dyDescent="0.3">
      <c r="A54" s="6">
        <v>53</v>
      </c>
      <c r="B54" s="6" t="s">
        <v>436</v>
      </c>
      <c r="C54" t="e" vm="53">
        <f>IF(ISBLANK(Tabela1[[#This Row],[Image Link]]), "", _xlfn.IMAGE(Tabela1[[#This Row],[Image Link]],1,1))</f>
        <v>#VALUE!</v>
      </c>
      <c r="D54" s="6">
        <f>SUM(Tabela1[[#This Row],[Archery - Men''s Individual Recurve]:[Speed Skating - Women''s Team Pursuit]])</f>
        <v>12</v>
      </c>
      <c r="E54" s="6">
        <f>COUNTIF(Tabela1[[#This Row],[Archery - Men''s Individual Recurve]:[Speed Skating - Women''s Team Pursuit]],"&gt;0")</f>
        <v>10</v>
      </c>
      <c r="F54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54" s="6">
        <f>SUM(Tabela1[[#This Row],[Archery - Men''s Individual Recurve]:[Wrestling - Women''s Freestyle 76kg]])</f>
        <v>12</v>
      </c>
      <c r="H54" s="6">
        <f>SUM(Tabela1[[#This Row],[Alpine Skiing - Men''s Downhill]:[Speed Skating - Women''s Team Pursuit]])</f>
        <v>0</v>
      </c>
      <c r="I54" s="6">
        <f>Tabela1[[#This Row],[Summer Gold Medals]]+Tabela1[[#This Row],[Winter Gold Medals]]</f>
        <v>4</v>
      </c>
      <c r="J54" s="6">
        <f>Tabela1[[#This Row],[Summer Silver Medals]]+Tabela1[[#This Row],[Winter Silver Medals]]</f>
        <v>2</v>
      </c>
      <c r="K54" s="6">
        <f>Tabela1[[#This Row],[Summer Bronze Medals]]+Tabela1[[#This Row],[Winter Bronze Medals]]</f>
        <v>5</v>
      </c>
      <c r="L54" s="6">
        <f>SUM(Tabela1[[#This Row],[Total Gold Medals]:[Total Bronze Medals]])</f>
        <v>11</v>
      </c>
      <c r="M54" s="6">
        <v>4</v>
      </c>
      <c r="N54" s="6">
        <v>2</v>
      </c>
      <c r="O54" s="6">
        <v>5</v>
      </c>
      <c r="P54" s="6">
        <f>SUM(Tabela1[[#This Row],[Summer Gold Medals]:[Summer Bronze Medals]])</f>
        <v>11</v>
      </c>
      <c r="Q54" s="6"/>
      <c r="R54" s="6"/>
      <c r="S54" s="6"/>
      <c r="T54" s="6">
        <f>Tabela1[[#This Row],[Winter Gold Medals]]+Tabela1[[#This Row],[Winter Silver Medals]]+Tabela1[[#This Row],[Winter Bronze Medals]]</f>
        <v>0</v>
      </c>
      <c r="U54" s="7">
        <f>Tabela1[[#This Row],[Total Medals]]/Tabela1[[#This Row],[Total Quotas]]</f>
        <v>0.91666666666666663</v>
      </c>
      <c r="V54" s="6">
        <f>COUNTIFS(Table3[Country],Tabela1[[#This Row],[Country]],Table3[Recurve Classification],"&gt;0")</f>
        <v>0</v>
      </c>
      <c r="W54" s="6">
        <f>COUNTIFS(Table33[Country],Tabela1[[#This Row],[Country]],Table33[Recurve Classification],"&gt;0")</f>
        <v>0</v>
      </c>
      <c r="X54" s="6">
        <f>COUNTIFS(Table35[Country],Tabela1[[#This Row],[Country]],Table35[Men''s Team Recurve Classification],"&gt;0")</f>
        <v>0</v>
      </c>
      <c r="Y54" s="6">
        <f>COUNTIFS(Table35[Country],Tabela1[[#This Row],[Country]],Table35[Women''s Team Recurve Classification],"&gt;0")</f>
        <v>0</v>
      </c>
      <c r="Z54" s="6">
        <f>COUNTIFS(Tabela88[Country],Tabela1[[#This Row],[Country]],Tabela88[Mixed Team Recurve Classification],"&gt;0")</f>
        <v>0</v>
      </c>
      <c r="AA54" s="6">
        <f>COUNTIFS(Table36[Country],Tabela1[[#This Row],[Country]],Table36[Classification],"&gt;0")</f>
        <v>0</v>
      </c>
      <c r="AB54" s="6">
        <f>COUNTIFS(Table37[Country],Tabela1[[#This Row],[Country]],Table37[Classification],"&gt;0")</f>
        <v>0</v>
      </c>
      <c r="AC54" s="6">
        <f>COUNTIFS(Table4[Country],Tabela1[[#This Row],[Country]],Table4[100m Classification],"&gt;0")</f>
        <v>0</v>
      </c>
      <c r="AD54" s="6">
        <f>COUNTIFS(Table5[Country],Tabela1[[#This Row],[Country]],Table5[100m Classification],"&gt;0")</f>
        <v>0</v>
      </c>
      <c r="AE54" s="6">
        <f>COUNTIFS(Table4[Country],Tabela1[[#This Row],[Country]],Table4[200m Classification],"&gt;0")</f>
        <v>0</v>
      </c>
      <c r="AF54" s="6">
        <f>COUNTIFS(Table5[Country],Tabela1[[#This Row],[Country]],Table5[200m Classification],"&gt;0")</f>
        <v>0</v>
      </c>
      <c r="AG54" s="6">
        <f>COUNTIFS(Table4[Country],Tabela1[[#This Row],[Country]],Table4[400m Classification],"&gt;0")</f>
        <v>0</v>
      </c>
      <c r="AH54" s="6">
        <f>COUNTIFS(Table5[Country],Tabela1[[#This Row],[Country]],Table5[400m Classification],"&gt;0")</f>
        <v>0</v>
      </c>
      <c r="AI54" s="6">
        <f>COUNTIFS(Table4[Country],Tabela1[[#This Row],[Country]],Table4[800m Classification],"&gt;0")</f>
        <v>0</v>
      </c>
      <c r="AJ54" s="6">
        <f>COUNTIFS(Table5[Country],Tabela1[[#This Row],[Country]],Table5[800m Classification],"&gt;0")</f>
        <v>0</v>
      </c>
      <c r="AK54" s="6">
        <f>COUNTIFS(Table4[Country],Tabela1[[#This Row],[Country]],Table4[1500m Classification],"&gt;0")</f>
        <v>0</v>
      </c>
      <c r="AL54" s="6">
        <f>COUNTIFS(Table5[Country],Tabela1[[#This Row],[Country]],Table5[1500m Classification],"&gt;0")</f>
        <v>0</v>
      </c>
      <c r="AM54" s="6">
        <f>COUNTIFS(Table4[Country],Tabela1[[#This Row],[Country]],Table4[5000m Classification],"&gt;0")</f>
        <v>0</v>
      </c>
      <c r="AN54" s="6">
        <f>COUNTIFS(Table5[Country],Tabela1[[#This Row],[Country]],Table5[5000m Classification],"&gt;0")</f>
        <v>1</v>
      </c>
      <c r="AO54" s="6">
        <f>COUNTIFS(Table4[Country],Tabela1[[#This Row],[Country]],Table4[10000m Classification],"&gt;0")</f>
        <v>1</v>
      </c>
      <c r="AP54" s="6">
        <f>COUNTIFS(Table5[Country],Tabela1[[#This Row],[Country]],Table5[10000m Classification],"&gt;0")</f>
        <v>1</v>
      </c>
      <c r="AQ54" s="6">
        <f>COUNTIFS(Table4[Country],Tabela1[[#This Row],[Country]],Table4[110m Hurdles Classification],"&gt;0")</f>
        <v>0</v>
      </c>
      <c r="AR54" s="6">
        <f>COUNTIFS(Table5[Country],Tabela1[[#This Row],[Country]],Table5[100m Hurdles Classification],"&gt;0")</f>
        <v>0</v>
      </c>
      <c r="AS54" s="6">
        <f>COUNTIFS(Table4[Country],Tabela1[[#This Row],[Country]],Table4[400m Hurdles Classification],"&gt;0")</f>
        <v>0</v>
      </c>
      <c r="AT54" s="6">
        <f>COUNTIFS(Table5[Country],Tabela1[[#This Row],[Country]],Table5[400m Hurdles Classification],"&gt;0")</f>
        <v>0</v>
      </c>
      <c r="AU54" s="6">
        <f>COUNTIFS(Table4[Country],Tabela1[[#This Row],[Country]],Table4[3000m Steeplechase Classification],"&gt;0")</f>
        <v>1</v>
      </c>
      <c r="AV54" s="6">
        <f>COUNTIFS(Table5[Country],Tabela1[[#This Row],[Country]],Table5[3000m Steeplechase Classification],"&gt;0")</f>
        <v>1</v>
      </c>
      <c r="AW54" s="6">
        <f>COUNTIFS(Table27[Country],Tabela1[[#This Row],[Country]],Table27[Men''s 4x100m Relay Classification],"&gt;0")</f>
        <v>0</v>
      </c>
      <c r="AX54" s="6">
        <f>COUNTIFS(Table27[Country],Tabela1[[#This Row],[Country]],Table27[Women''s 4x100m Relay Classification],"&gt;0")</f>
        <v>0</v>
      </c>
      <c r="AY54" s="6">
        <f>COUNTIFS(Table27[Country],Tabela1[[#This Row],[Country]],Table27[Men''s 4x400m Relay Classification],"&gt;0")</f>
        <v>0</v>
      </c>
      <c r="AZ54" s="6">
        <f>COUNTIFS(Table27[Country],Tabela1[[#This Row],[Country]],Table27[Women''s 4x400m Relay Classification],"&gt;0")</f>
        <v>0</v>
      </c>
      <c r="BA54" s="6">
        <f>COUNTIFS(Table27[Country],Tabela1[[#This Row],[Country]],Table27[Mixed 4x400m Relay Classification],"&gt;0")</f>
        <v>1</v>
      </c>
      <c r="BB54" s="6">
        <f>COUNTIFS(Table4[Country],Tabela1[[#This Row],[Country]],Table4[Marathon Classification],"&gt;0")</f>
        <v>2</v>
      </c>
      <c r="BC54" s="6">
        <f>COUNTIFS(Table5[Country],Tabela1[[#This Row],[Country]],Table5[Marathon Classification],"&gt;0")</f>
        <v>2</v>
      </c>
      <c r="BD54" s="6">
        <f>COUNTIFS(Table4[Country],Tabela1[[#This Row],[Country]],Table4[20km Race Walk Classification],"&gt;0")</f>
        <v>0</v>
      </c>
      <c r="BE54" s="6">
        <f>COUNTIFS(Table5[Country],Tabela1[[#This Row],[Country]],Table5[20km Race Walk Classification],"&gt;0")</f>
        <v>0</v>
      </c>
      <c r="BF54" s="6">
        <f>COUNTIFS(Tabela96[Country],Tabela1[[#This Row],[Country]],Tabela96[Mixed Marathon Race Walk Relay Classification],"&gt;0")</f>
        <v>0</v>
      </c>
      <c r="BG54" s="6">
        <f>COUNTIFS(Table4[Country],Tabela1[[#This Row],[Country]],Table4[Discus Throw Classification],"&gt;0")</f>
        <v>0</v>
      </c>
      <c r="BH54" s="6">
        <f>COUNTIFS(Table5[Country],Tabela1[[#This Row],[Country]],Table5[Discus Throw Classification],"&gt;0")</f>
        <v>0</v>
      </c>
      <c r="BI54" s="6">
        <f>COUNTIFS(Table4[Country],Tabela1[[#This Row],[Country]],Table4[Hammer Throw Classification],"&gt;0")</f>
        <v>0</v>
      </c>
      <c r="BJ54" s="6">
        <f>COUNTIFS(Table5[Country],Tabela1[[#This Row],[Country]],Table5[Hammer Throw Classification],"&gt;0")</f>
        <v>0</v>
      </c>
      <c r="BK54" s="6">
        <f>COUNTIFS(Table4[Country],Tabela1[[#This Row],[Country]],Table4[High Jump Classification],"&gt;0")</f>
        <v>0</v>
      </c>
      <c r="BL54" s="6">
        <f>COUNTIFS(Table5[Country],Tabela1[[#This Row],[Country]],Table5[High Jump Classification],"&gt;0")</f>
        <v>0</v>
      </c>
      <c r="BM54" s="6">
        <f>COUNTIFS(Table4[Country],Tabela1[[#This Row],[Country]],Table4[Javelin Throw Classification],"&gt;0")</f>
        <v>1</v>
      </c>
      <c r="BN54" s="6">
        <f>COUNTIFS(Table5[Country],Tabela1[[#This Row],[Country]],Table5[Javelin Throw Classification],"&gt;0")</f>
        <v>0</v>
      </c>
      <c r="BO54" s="6">
        <f>COUNTIFS(Table4[Country],Tabela1[[#This Row],[Country]],Table4[Long Jump Classification],"&gt;0")</f>
        <v>0</v>
      </c>
      <c r="BP54" s="6">
        <f>COUNTIFS(Table5[Country],Tabela1[[#This Row],[Country]],Table5[Long Jump Classification],"&gt;0")</f>
        <v>0</v>
      </c>
      <c r="BQ54" s="6">
        <f>COUNTIFS(Table4[Country],Tabela1[[#This Row],[Country]],Table4[Pole Vault Classification],"&gt;0")</f>
        <v>0</v>
      </c>
      <c r="BR54" s="6">
        <f>COUNTIFS(Table5[Country],Tabela1[[#This Row],[Country]],Table5[Pole Vault Classification],"&gt;0")</f>
        <v>0</v>
      </c>
      <c r="BS54" s="6">
        <f>COUNTIFS(Table4[Country],Tabela1[[#This Row],[Country]],Table4[Shot Put Classification],"&gt;0")</f>
        <v>0</v>
      </c>
      <c r="BT54" s="6">
        <f>COUNTIFS(Table5[Country],Tabela1[[#This Row],[Country]],Table5[Shot Put Classification],"&gt;0")</f>
        <v>0</v>
      </c>
      <c r="BU54" s="6">
        <f>COUNTIFS(Table4[Country],Tabela1[[#This Row],[Country]],Table4[Triple Jump Classification],"&gt;0")</f>
        <v>0</v>
      </c>
      <c r="BV54" s="6">
        <f>COUNTIFS(Table5[Country],Tabela1[[#This Row],[Country]],Table5[Triple Jump Classification],"&gt;0")</f>
        <v>0</v>
      </c>
      <c r="BW54" s="6">
        <f>COUNTIFS(Table4[Country],Tabela1[[#This Row],[Country]],Table4[Decathlon Classification],"&gt;0")</f>
        <v>0</v>
      </c>
      <c r="BX54" s="6">
        <f>COUNTIFS(Table5[Country],Tabela1[[#This Row],[Country]],Table5[Heptathlon Classification],"&gt;0")</f>
        <v>0</v>
      </c>
      <c r="BY54" s="6">
        <f>COUNTIFS(Table61[Country],Tabela1[[#This Row],[Country]],Table61[Classification],"&gt;0")</f>
        <v>0</v>
      </c>
      <c r="BZ54" s="6">
        <f>COUNTIFS(Table38[Country],Tabela1[[#This Row],[Country]],Table38[Classification],"&gt;0")</f>
        <v>0</v>
      </c>
      <c r="CA54" s="6">
        <f>COUNTIFS(Table39[Country],Tabela1[[#This Row],[Country]],Table39[Men''s Classification],"&gt;0")</f>
        <v>0</v>
      </c>
      <c r="CB54" s="6">
        <f>COUNTIFS(Table39[Country],Tabela1[[#This Row],[Country]],Table39[Women''s Classification],"&gt;0")</f>
        <v>0</v>
      </c>
      <c r="CC54" s="6">
        <f>COUNTIFS(Table39[Country],Tabela1[[#This Row],[Country]],Table39[Mixed Classification],"&gt;0")</f>
        <v>0</v>
      </c>
      <c r="CD54" s="6">
        <f>COUNTIFS(Table89[Country],Tabela1[[#This Row],[Country]],Table89[Men''s Classification],"&gt;0")</f>
        <v>0</v>
      </c>
      <c r="CE54" s="6">
        <f>COUNTIFS(Table89[Country],Tabela1[[#This Row],[Country]],Table89[Women''s Classification],"&gt;0")</f>
        <v>0</v>
      </c>
      <c r="CF54" s="6">
        <f>COUNTIFS(Table90[Country],Tabela1[[#This Row],[Country]],Table90[Men''s Classification],"&gt;0")</f>
        <v>0</v>
      </c>
      <c r="CG54" s="6">
        <f>COUNTIFS(Table90[Country],Tabela1[[#This Row],[Country]],Table90[Women''s Classification],"&gt;0")</f>
        <v>0</v>
      </c>
      <c r="CH54" s="6">
        <f>COUNTIFS(Table60[Country],Tabela1[[#This Row],[Country]],Table60[Men''s Classification],"&gt;0")</f>
        <v>0</v>
      </c>
      <c r="CI54" s="6">
        <f>COUNTIFS(Table60[Country],Tabela1[[#This Row],[Country]],Table60[Women''s Classification],"&gt;0")</f>
        <v>0</v>
      </c>
      <c r="CJ54" s="6">
        <f>COUNTIFS(Table6[Country],Tabela1[[#This Row],[Country]],Table6[51kg Classification],"&gt;0")</f>
        <v>0</v>
      </c>
      <c r="CK54" s="6">
        <f>COUNTIFS(Table6[Country],Tabela1[[#This Row],[Country]],Table6[57kg Classification],"&gt;0")</f>
        <v>0</v>
      </c>
      <c r="CL54" s="6">
        <f>COUNTIFS(Table6[Country],Tabela1[[#This Row],[Country]],Table6[63.5kg Classification],"&gt;0")</f>
        <v>0</v>
      </c>
      <c r="CM54" s="6">
        <f>COUNTIFS(Table6[Country],Tabela1[[#This Row],[Country]],Table6[71kg Classification],"&gt;0")</f>
        <v>0</v>
      </c>
      <c r="CN54" s="6">
        <f>COUNTIFS(Table6[Country],Tabela1[[#This Row],[Country]],Table6[80kg Classification],"&gt;0")</f>
        <v>0</v>
      </c>
      <c r="CO54" s="6">
        <f>COUNTIFS(Table6[Country],Tabela1[[#This Row],[Country]],Table6[92kg Classification],"&gt;0")</f>
        <v>0</v>
      </c>
      <c r="CP54" s="6">
        <f>COUNTIFS(Table6[Country],Tabela1[[#This Row],[Country]],Table6[Plus 92kg Classification],"&gt;0")</f>
        <v>0</v>
      </c>
      <c r="CQ54" s="6">
        <f>COUNTIFS(Table7[Country],Tabela1[[#This Row],[Country]],Table7[50kg Classification],"&gt;0")</f>
        <v>0</v>
      </c>
      <c r="CR54" s="6">
        <f>COUNTIFS(Table7[Country],Tabela1[[#This Row],[Country]],Table7[54kg Classification],"&gt;0")</f>
        <v>0</v>
      </c>
      <c r="CS54" s="6">
        <f>COUNTIFS(Table7[Country],Tabela1[[#This Row],[Country]],Table7[57kg Classification],"&gt;0")</f>
        <v>0</v>
      </c>
      <c r="CT54" s="6">
        <f>COUNTIFS(Table7[Country],Tabela1[[#This Row],[Country]],Table7[60kg Classification],"&gt;0")</f>
        <v>0</v>
      </c>
      <c r="CU54" s="6">
        <f>COUNTIFS(Table7[Country],Tabela1[[#This Row],[Country]],Table7[66kg Classification],"&gt;0")</f>
        <v>0</v>
      </c>
      <c r="CV54" s="6">
        <f>COUNTIFS(Table7[Country],Tabela1[[#This Row],[Country]],Table7[75kg Classification],"&gt;0")</f>
        <v>0</v>
      </c>
      <c r="CW54" s="6">
        <f>COUNTIFS(Tabela94[Country],Tabela1[[#This Row],[Country]],Tabela94[Classification],"&gt;0")</f>
        <v>0</v>
      </c>
      <c r="CX54" s="6">
        <f>COUNTIFS(Tabela9499[Country],Tabela1[[#This Row],[Country]],Tabela9499[Classification],"&gt;0")</f>
        <v>0</v>
      </c>
      <c r="CY54" s="6">
        <f>COUNTIFS(Tabela107[Country],Tabela1[[#This Row],[Country]],Tabela107[C1 Slalom Classification],"&gt;0")</f>
        <v>0</v>
      </c>
      <c r="CZ54" s="6">
        <f>COUNTIFS(Tabela107122[Country],Tabela1[[#This Row],[Country]],Tabela107122[C1 Slalom Classification],"&gt;0")</f>
        <v>0</v>
      </c>
      <c r="DA54" s="6">
        <f>COUNTIFS(Tabela107[Country],Tabela1[[#This Row],[Country]],Tabela107[K1 Slalom Classification],"&gt;0")</f>
        <v>0</v>
      </c>
      <c r="DB54" s="6">
        <f>COUNTIFS(Tabela107122[Country],Tabela1[[#This Row],[Country]],Tabela107122[K1 Slalom Classification],"&gt;0")</f>
        <v>0</v>
      </c>
      <c r="DC54" s="6">
        <f>COUNTIFS(Tabela107[Country],Tabela1[[#This Row],[Country]],Tabela107[Kayak Cross Slalom Classification],"&gt;0")</f>
        <v>0</v>
      </c>
      <c r="DD54" s="6">
        <f>COUNTIFS(Tabela107122[Country],Tabela1[[#This Row],[Country]],Tabela107122[Kayak Cross Slalom Classification],"&gt;0")</f>
        <v>0</v>
      </c>
      <c r="DE54" s="6">
        <f>COUNTIFS(Table8[Country],Tabela1[[#This Row],[Country]],Table8[C1 200m Classification],"&gt;0")</f>
        <v>0</v>
      </c>
      <c r="DF54" s="6">
        <f>COUNTIFS(Table40[Country],Tabela1[[#This Row],[Country]],Table40[C1 1000m Classification],"&gt;0")</f>
        <v>0</v>
      </c>
      <c r="DG54" s="6">
        <f>COUNTIFS(Table68[Country],Tabela1[[#This Row],[Country]],Table68[Men''s C2 500m Classification],"&gt;0")</f>
        <v>0</v>
      </c>
      <c r="DH54" s="6">
        <f>COUNTIFS(Table68[Country],Tabela1[[#This Row],[Country]],Table68[Women''s C2 500m Classification],"&gt;0")</f>
        <v>0</v>
      </c>
      <c r="DI54" s="6">
        <f>COUNTIFS(Table8[Country],Tabela1[[#This Row],[Country]],Table8[K1 500m Classification],"&gt;0")</f>
        <v>0</v>
      </c>
      <c r="DJ54" s="6">
        <f>COUNTIFS(Table40[Country],Tabela1[[#This Row],[Country]],Table40[K1 1000m Classification],"&gt;0")</f>
        <v>0</v>
      </c>
      <c r="DK54" s="6">
        <f>COUNTIFS(Table68[Country],Tabela1[[#This Row],[Country]],Table68[Men''s K2 500m Classification],"&gt;0")</f>
        <v>0</v>
      </c>
      <c r="DL54" s="6">
        <f>COUNTIFS(Table68[Country],Tabela1[[#This Row],[Country]],Table68[Women''s K2 500m Classification],"&gt;0")</f>
        <v>0</v>
      </c>
      <c r="DM54" s="6">
        <f>COUNTIFS(Table83[Country],Tabela1[[#This Row],[Country]],Table83[Men''s K4 500m Classification],"&gt;0")</f>
        <v>0</v>
      </c>
      <c r="DN54" s="6">
        <f>COUNTIFS(Table83[Country],Tabela1[[#This Row],[Country]],Table83[Women''s K4 500m Classification],"&gt;0")</f>
        <v>0</v>
      </c>
      <c r="DO54" s="6">
        <f>COUNTIFS(Tabela126[Country],Tabela1[[#This Row],[Country]],Tabela126[Classification],"&gt;0")</f>
        <v>0</v>
      </c>
      <c r="DP54" s="6">
        <f>COUNTIFS(Tabela126130[Country],Tabela1[[#This Row],[Country]],Tabela126130[Classification],"&gt;0")</f>
        <v>0</v>
      </c>
      <c r="DQ54" s="6">
        <f>COUNTIFS(Table70[Country],Tabela1[[#This Row],[Country]],Table70[Classification],"&gt;0")</f>
        <v>0</v>
      </c>
      <c r="DR54" s="6">
        <f>COUNTIFS(Table80[Country],Tabela1[[#This Row],[Country]],Table80[Classification],"&gt;0")</f>
        <v>0</v>
      </c>
      <c r="DS54" s="6">
        <f>COUNTIFS(Table66[Country],Tabela1[[#This Row],[Country]],Table66[Classification],"&gt;0")</f>
        <v>0</v>
      </c>
      <c r="DT54" s="6">
        <f>COUNTIFS(Table67[Country],Tabela1[[#This Row],[Country]],Table67[Classification],"&gt;0")</f>
        <v>0</v>
      </c>
      <c r="DU54" s="6">
        <f>COUNTIFS(Table69[Country],Tabela1[[#This Row],[Country]],Table69[Keirin Classification],"&gt;0")</f>
        <v>0</v>
      </c>
      <c r="DV54" s="6">
        <f>COUNTIFS(Table41[Country],Tabela1[[#This Row],[Country]],Table41[Keirin Classification],"&gt;0")</f>
        <v>0</v>
      </c>
      <c r="DW54" s="6">
        <f>COUNTIFS(Table84[Country],Tabela1[[#This Row],[Country]],Table84[Men''s Madison Classification],"&gt;0")</f>
        <v>0</v>
      </c>
      <c r="DX54" s="6">
        <f>COUNTIFS(Table84[Country],Tabela1[[#This Row],[Country]],Table84[Women''s Madison Classification],"&gt;0")</f>
        <v>0</v>
      </c>
      <c r="DY54" s="6">
        <f>COUNTIFS(Table69[Country],Tabela1[[#This Row],[Country]],Table69[Omnium Classification],"&gt;0")</f>
        <v>0</v>
      </c>
      <c r="DZ54" s="6">
        <f>COUNTIFS(Table41[Country],Tabela1[[#This Row],[Country]],Table41[Omnium Classification],"&gt;0")</f>
        <v>0</v>
      </c>
      <c r="EA54" s="6">
        <f>COUNTIFS(Table9[Country],Tabela1[[#This Row],[Country]],Table9[Road Race Classification],"&gt;0")</f>
        <v>0</v>
      </c>
      <c r="EB54" s="6">
        <f>COUNTIFS(Table14[Country],Tabela1[[#This Row],[Country]],Table14[Road Race Classification],"&gt;0")</f>
        <v>0</v>
      </c>
      <c r="EC54" s="6">
        <f>COUNTIFS(Table69[Country],Tabela1[[#This Row],[Country]],Table69[Sprint Classification],"&gt;0")</f>
        <v>0</v>
      </c>
      <c r="ED54" s="6">
        <f>COUNTIFS(Table41[Country],Tabela1[[#This Row],[Country]],Table41[Sprint Classification],"&gt;0")</f>
        <v>0</v>
      </c>
      <c r="EE54" s="6">
        <f>COUNTIFS(Table85[Country],Tabela1[[#This Row],[Country]],Table85[Men''s Sprint Classification],"&gt;0")</f>
        <v>0</v>
      </c>
      <c r="EF54" s="6">
        <f>COUNTIFS(Table85[Country],Tabela1[[#This Row],[Country]],Table85[Women''s Sprint Classification],"&gt;0")</f>
        <v>0</v>
      </c>
      <c r="EG54" s="6">
        <f>COUNTIFS(Table85[Country],Tabela1[[#This Row],[Country]],Table85[Men''s Pursuit Classification],"&gt;0")</f>
        <v>0</v>
      </c>
      <c r="EH54" s="6">
        <f>COUNTIFS(Table85[Country],Tabela1[[#This Row],[Country]],Table85[Women''s Pursuit Classification],"&gt;0")</f>
        <v>0</v>
      </c>
      <c r="EI54" s="6">
        <f>COUNTIFS(Table9[Country],Tabela1[[#This Row],[Country]],Table9[Time-Trial Classification],"&gt;0")</f>
        <v>0</v>
      </c>
      <c r="EJ54" s="6">
        <f>COUNTIFS(Table14[Country],Tabela1[[#This Row],[Country]],Table14[Time-Trial Classification],"&gt;0")</f>
        <v>0</v>
      </c>
      <c r="EK54" s="6">
        <f>COUNTIFS(Table42[Country],Tabela1[[#This Row],[Country]],Table42[Springboard Classification],"&gt;0")</f>
        <v>0</v>
      </c>
      <c r="EL54" s="6">
        <f>COUNTIFS(Table43[Country],Tabela1[[#This Row],[Country]],Table43[Springboard Classification],"&gt;0")</f>
        <v>0</v>
      </c>
      <c r="EM54" s="6">
        <f>COUNTIFS(Table42[Country],Tabela1[[#This Row],[Country]],Table42[Platform Classification],"&gt;0")</f>
        <v>0</v>
      </c>
      <c r="EN54" s="6">
        <f>COUNTIFS(Table43[Country],Tabela1[[#This Row],[Country]],Table43[Platform Classification],"&gt;0")</f>
        <v>0</v>
      </c>
      <c r="EO54" s="6">
        <f>COUNTIFS(Table86[Country],Tabela1[[#This Row],[Country]],Table86[Men''s Synchronized Springboard Classification],"&gt;0")</f>
        <v>0</v>
      </c>
      <c r="EP54" s="6">
        <f>COUNTIFS(Table86[Country],Tabela1[[#This Row],[Country]],Table86[Women''s Synchronized Springboard Classification],"&gt;0")</f>
        <v>0</v>
      </c>
      <c r="EQ54" s="6">
        <f>COUNTIFS(Table86[Country],Tabela1[[#This Row],[Country]],Table86[Men''s Synchronized Platform Classification],"&gt;0")</f>
        <v>0</v>
      </c>
      <c r="ER54" s="6">
        <f>COUNTIFS(Table86[Country],Tabela1[[#This Row],[Country]],Table86[Women''s Synchronized Platform Classification],"&gt;0")</f>
        <v>0</v>
      </c>
      <c r="ES54" s="6">
        <f>COUNTIFS(Table44[Country],Tabela1[[#This Row],[Country]],Table44[Dressage Classification],"&gt;0")</f>
        <v>0</v>
      </c>
      <c r="ET54" s="6">
        <f>COUNTIFS(Table45[Country],Tabela1[[#This Row],[Country]],Table45[Dressage Classification],"&gt;0")</f>
        <v>0</v>
      </c>
      <c r="EU54" s="6">
        <f>COUNTIFS(Table44[Country],Tabela1[[#This Row],[Country]],Table44[Eventing Classification],"&gt;0")</f>
        <v>0</v>
      </c>
      <c r="EV54" s="6">
        <f>COUNTIFS(Table45[Country],Tabela1[[#This Row],[Country]],Table45[Eventing Classification],"&gt;0")</f>
        <v>0</v>
      </c>
      <c r="EW54" s="6">
        <f>COUNTIFS(Table44[Country],Tabela1[[#This Row],[Country]],Table44[Jumping Classification],"&gt;0")</f>
        <v>0</v>
      </c>
      <c r="EX54" s="6">
        <f>COUNTIFS(Table45[Country],Tabela1[[#This Row],[Country]],Table45[Jumping Classification],"&gt;0")</f>
        <v>0</v>
      </c>
      <c r="EY54" s="6">
        <f>COUNTIFS(Table10[Country],Tabela1[[#This Row],[Country]],Table10[Épée Classification],"&gt;0")</f>
        <v>0</v>
      </c>
      <c r="EZ54" s="6">
        <f>COUNTIFS(Table11[Country],Tabela1[[#This Row],[Country]],Table11[Épée Classification],"&gt;0")</f>
        <v>0</v>
      </c>
      <c r="FA54" s="6">
        <f>COUNTIFS(Table46[Country],Tabela1[[#This Row],[Country]],Table46[Men''s Épée Classification],"&gt;0")</f>
        <v>0</v>
      </c>
      <c r="FB54" s="6">
        <f>COUNTIFS(Table46[Country],Tabela1[[#This Row],[Country]],Table46[Women''s Épée Classification],"&gt;0")</f>
        <v>0</v>
      </c>
      <c r="FC54" s="6">
        <f>COUNTIFS(Table10[Country],Tabela1[[#This Row],[Country]],Table10[Foil Classification],"&gt;0")</f>
        <v>0</v>
      </c>
      <c r="FD54" s="6">
        <f>COUNTIFS(Table11[Country],Tabela1[[#This Row],[Country]],Table11[Foil Classification],"&gt;0")</f>
        <v>0</v>
      </c>
      <c r="FE54" s="6">
        <f>COUNTIFS(Table46[Country],Tabela1[[#This Row],[Country]],Table46[Men''s Foil Classification],"&gt;0")</f>
        <v>0</v>
      </c>
      <c r="FF54" s="6">
        <f>COUNTIFS(Table46[Country],Tabela1[[#This Row],[Country]],Table46[Women''s Foil Classification],"&gt;0")</f>
        <v>0</v>
      </c>
      <c r="FG54" s="6">
        <f>COUNTIFS(Table10[Country],Tabela1[[#This Row],[Country]],Table10[Sabre Classification],"&gt;0")</f>
        <v>0</v>
      </c>
      <c r="FH54" s="6">
        <f>COUNTIFS(Table11[Country],Tabela1[[#This Row],[Country]],Table11[Sabre Classification],"&gt;0")</f>
        <v>0</v>
      </c>
      <c r="FI54" s="6">
        <f>COUNTIFS(Table46[Country],Tabela1[[#This Row],[Country]],Table46[Men''s Sabre Classification],"&gt;0")</f>
        <v>0</v>
      </c>
      <c r="FJ54" s="6">
        <f>COUNTIFS(Table46[Country],Tabela1[[#This Row],[Country]],Table46[Women''s Sabre Classification],"&gt;0")</f>
        <v>0</v>
      </c>
      <c r="FK54" s="6">
        <f>COUNTIFS(Table91[Country],Tabela1[[#This Row],[Country]],Table91[Men''s Classification],"&gt;0")</f>
        <v>0</v>
      </c>
      <c r="FL54" s="6">
        <f>COUNTIFS(Table91[Country],Tabela1[[#This Row],[Country]],Table91[Women''s Classification],"&gt;0")</f>
        <v>0</v>
      </c>
      <c r="FM54" s="6">
        <f>COUNTIFS(Table9194[Country],Tabela1[[#This Row],[Country]],Table9194[Men''s Classification],"&gt;0")</f>
        <v>0</v>
      </c>
      <c r="FN54" s="6">
        <f>COUNTIFS(Table9194[Country],Tabela1[[#This Row],[Country]],Table9194[Women''s Classification],"&gt;0")</f>
        <v>0</v>
      </c>
      <c r="FO54" s="6">
        <f>COUNTIFS(Table71[Country],Tabela1[[#This Row],[Country]],Table71[Classification],"&gt;0")</f>
        <v>0</v>
      </c>
      <c r="FP54" s="6">
        <f>COUNTIFS(Table62[Country],Tabela1[[#This Row],[Country]],Table62[Classification],"&gt;0")</f>
        <v>0</v>
      </c>
      <c r="FQ54" s="6">
        <f>COUNTIFS(Table47[Country],Tabela1[[#This Row],[Country]],Table47[All-Around Classification],"&gt;0")</f>
        <v>0</v>
      </c>
      <c r="FR54" s="6">
        <f>COUNTIFS(Table48[Country],Tabela1[[#This Row],[Country]],Table48[All-Around Classification],"&gt;0")</f>
        <v>0</v>
      </c>
      <c r="FS54" s="6">
        <f>COUNTIFS(Table81[Country],Tabela1[[#This Row],[Country]],Table81[Men''s All-Around Classification],"&gt;0")</f>
        <v>0</v>
      </c>
      <c r="FT54" s="6">
        <f>COUNTIFS(Table81[Country],Tabela1[[#This Row],[Country]],Table81[Women''s All-Around Classification],"&gt;0")</f>
        <v>0</v>
      </c>
      <c r="FU54" s="6">
        <f>COUNTIFS(Table48[Country],Tabela1[[#This Row],[Country]],Table48[Balance Beam Classification],"&gt;0")</f>
        <v>0</v>
      </c>
      <c r="FV54" s="6">
        <f>COUNTIFS(Table47[Country],Tabela1[[#This Row],[Country]],Table47[Floor Exercise Classification],"&gt;0")</f>
        <v>0</v>
      </c>
      <c r="FW54" s="6">
        <f>COUNTIFS(Table48[Country],Tabela1[[#This Row],[Country]],Table48[Floor Exercise Classification],"&gt;0")</f>
        <v>0</v>
      </c>
      <c r="FX54" s="6">
        <f>COUNTIFS(Table47[Country],Tabela1[[#This Row],[Country]],Table47[Horizontal Bar Classification],"&gt;0")</f>
        <v>0</v>
      </c>
      <c r="FY54" s="6">
        <f>COUNTIFS(Table47[Country],Tabela1[[#This Row],[Country]],Table47[Parallel Bars Classification],"&gt;0")</f>
        <v>0</v>
      </c>
      <c r="FZ54" s="6">
        <f>COUNTIFS(Table47[Country],Tabela1[[#This Row],[Country]],Table47[Pommel Horse Classification],"&gt;0")</f>
        <v>0</v>
      </c>
      <c r="GA54" s="6">
        <f>COUNTIFS(Table47[Country],Tabela1[[#This Row],[Country]],Table47[Rings Classification],"&gt;0")</f>
        <v>0</v>
      </c>
      <c r="GB54" s="6">
        <f>COUNTIFS(Tabela132[Country],Tabela1[[#This Row],[Country]],Tabela132[Classification],"&gt;0")</f>
        <v>0</v>
      </c>
      <c r="GC54" s="6">
        <f>COUNTIFS(Tabela139[Country],Tabela1[[#This Row],[Country]],Tabela139[Classification],"&gt;0")</f>
        <v>0</v>
      </c>
      <c r="GD54" s="6">
        <f>COUNTIFS(Table48[Country],Tabela1[[#This Row],[Country]],Table48[Uneven Bars Classification],"&gt;0")</f>
        <v>0</v>
      </c>
      <c r="GE54" s="6">
        <f>COUNTIFS(Table47[Country],Tabela1[[#This Row],[Country]],Table47[Vault Classification],"&gt;0")</f>
        <v>0</v>
      </c>
      <c r="GF54" s="6">
        <f>COUNTIFS(Table48[Country],Tabela1[[#This Row],[Country]],Table48[Vault Classification],"&gt;0")</f>
        <v>0</v>
      </c>
      <c r="GG54" s="6">
        <f>COUNTIFS(Table919496[Country],Tabela1[[#This Row],[Country]],Table919496[Men''s Classification],"&gt;0")</f>
        <v>0</v>
      </c>
      <c r="GH54" s="6">
        <f>COUNTIFS(Table919496[Country],Tabela1[[#This Row],[Country]],Table919496[Women''s Classification],"&gt;0")</f>
        <v>0</v>
      </c>
      <c r="GI54" s="6">
        <f>COUNTIFS(Table12[Country],Tabela1[[#This Row],[Country]],Table12[60kg Classification],"&gt;0")</f>
        <v>0</v>
      </c>
      <c r="GJ54" s="6">
        <f>COUNTIFS(Table12[Country],Tabela1[[#This Row],[Country]],Table12[66kg Classification],"&gt;0")</f>
        <v>0</v>
      </c>
      <c r="GK54" s="6">
        <f>COUNTIFS(Table12[Country],Tabela1[[#This Row],[Country]],Table12[73kg Classification],"&gt;0")</f>
        <v>0</v>
      </c>
      <c r="GL54" s="6">
        <f>COUNTIFS(Table12[Country],Tabela1[[#This Row],[Country]],Table12[81kg Classification],"&gt;0")</f>
        <v>0</v>
      </c>
      <c r="GM54" s="6">
        <f>COUNTIFS(Table12[Country],Tabela1[[#This Row],[Country]],Table12[90kg Classification],"&gt;0")</f>
        <v>0</v>
      </c>
      <c r="GN54" s="6">
        <f>COUNTIFS(Table12[Country],Tabela1[[#This Row],[Country]],Table12[100kg Classification],"&gt;0")</f>
        <v>0</v>
      </c>
      <c r="GO54" s="6">
        <f>COUNTIFS(Table12[Country],Tabela1[[#This Row],[Country]],Table12[Plus 100kg Classification],"&gt;0")</f>
        <v>0</v>
      </c>
      <c r="GP54" s="6">
        <f>COUNTIFS(Table13[Country],Tabela1[[#This Row],[Country]],Table13[48kg Classification],"&gt;0")</f>
        <v>0</v>
      </c>
      <c r="GQ54" s="6">
        <f>COUNTIFS(Table13[Country],Tabela1[[#This Row],[Country]],Table13[52kg Classification],"&gt;0")</f>
        <v>0</v>
      </c>
      <c r="GR54" s="6">
        <f>COUNTIFS(Table13[Country],Tabela1[[#This Row],[Country]],Table13[57kg Classification],"&gt;0")</f>
        <v>0</v>
      </c>
      <c r="GS54" s="6">
        <f>COUNTIFS(Table13[Country],Tabela1[[#This Row],[Country]],Table13[63kg Classification],"&gt;0")</f>
        <v>0</v>
      </c>
      <c r="GT54" s="6">
        <f>COUNTIFS(Table13[Country],Tabela1[[#This Row],[Country]],Table13[70kg Classification],"&gt;0")</f>
        <v>0</v>
      </c>
      <c r="GU54" s="6">
        <f>COUNTIFS(Table13[Country],Tabela1[[#This Row],[Country]],Table13[78kg Classification],"&gt;0")</f>
        <v>0</v>
      </c>
      <c r="GV54" s="6">
        <f>COUNTIFS(Table13[Country],Tabela1[[#This Row],[Country]],Table13[Plus 78kg Classification],"&gt;0")</f>
        <v>0</v>
      </c>
      <c r="GW54" s="6">
        <f>COUNTIFS(Table82[Country],Tabela1[[#This Row],[Country]],Table82[Mixed Classification],"&gt;0")</f>
        <v>0</v>
      </c>
      <c r="GX54" s="6">
        <f>COUNTIFS(Table51[Country],Tabela1[[#This Row],[Country]],Table51[Classification],"&gt;0")</f>
        <v>0</v>
      </c>
      <c r="GY54" s="6">
        <f>COUNTIFS(Table52[Country],Tabela1[[#This Row],[Country]],Table52[Classification],"&gt;0")</f>
        <v>0</v>
      </c>
      <c r="GZ54" s="6">
        <f>COUNTIFS(Table32[Country],Tabela1[[#This Row],[Country]],Table32[All-Around Classification],"&gt;0")</f>
        <v>0</v>
      </c>
      <c r="HA54" s="6">
        <f>COUNTIFS(Table49[Country],Tabela1[[#This Row],[Country]],Table49[All-Around Classification],"&gt;0")</f>
        <v>0</v>
      </c>
      <c r="HB54" s="6">
        <f>COUNTIFS(Table26[Country],Tabela1[[#This Row],[Country]],Table26[Single Sculls Classification],"&gt;0")</f>
        <v>0</v>
      </c>
      <c r="HC54" s="6">
        <f>COUNTIFS(Table63[Country],Tabela1[[#This Row],[Country]],Table63[Single Sculls Classification],"&gt;0")</f>
        <v>0</v>
      </c>
      <c r="HD54" s="6">
        <f>COUNTIFS(Table16[Country],Tabela1[[#This Row],[Country]],Table16[Men''s Double Sculls Classification],"&gt;0")</f>
        <v>0</v>
      </c>
      <c r="HE54" s="6">
        <f>COUNTIFS(Table16[Country],Tabela1[[#This Row],[Country]],Table16[Women''s Double Sculls Classification],"&gt;0")</f>
        <v>0</v>
      </c>
      <c r="HF54" s="6">
        <f>COUNTIFS(Table72[Country],Tabela1[[#This Row],[Country]],Table72[Men''s Quadruple Sculls Classification],"&gt;0")</f>
        <v>0</v>
      </c>
      <c r="HG54" s="6">
        <f>COUNTIFS(Table72[Country],Tabela1[[#This Row],[Country]],Table72[Women''s Quadruple Sculls Classification],"&gt;0")</f>
        <v>0</v>
      </c>
      <c r="HH54" s="6">
        <f>COUNTIFS(Table16[Country],Tabela1[[#This Row],[Country]],Table16[Men''s Coxless Pairs Classification],"&gt;0")</f>
        <v>0</v>
      </c>
      <c r="HI54" s="6">
        <f>COUNTIFS(Table16[Country],Tabela1[[#This Row],[Country]],Table16[Women''s Coxless Pairs Classification],"&gt;0")</f>
        <v>0</v>
      </c>
      <c r="HJ54" s="6">
        <f>COUNTIFS(Table72[Country],Tabela1[[#This Row],[Country]],Table72[Men''s Coxless Fours Classification],"&gt;0")</f>
        <v>0</v>
      </c>
      <c r="HK54" s="6">
        <f>COUNTIFS(Table72[Country],Tabela1[[#This Row],[Country]],Table72[Women''s Coxless Fours Classification],"&gt;0")</f>
        <v>0</v>
      </c>
      <c r="HL54" s="6">
        <f>COUNTIFS(Table72[Country],Tabela1[[#This Row],[Country]],Table72[Men''s Eights Classification],"&gt;0")</f>
        <v>0</v>
      </c>
      <c r="HM54" s="6">
        <f>COUNTIFS(Table72[Country],Tabela1[[#This Row],[Country]],Table72[Women''s Eights Classification],"&gt;0")</f>
        <v>0</v>
      </c>
      <c r="HN54" s="6">
        <f>COUNTIFS(Table16[Country],Tabela1[[#This Row],[Country]],Table16[Men''s Lwt. Double Sculls Classification],"&gt;0")</f>
        <v>0</v>
      </c>
      <c r="HO54" s="6">
        <f>COUNTIFS(Table16[Country],Tabela1[[#This Row],[Country]],Table16[Women''s Lwt. Double Sculls Classification],"&gt;0")</f>
        <v>0</v>
      </c>
      <c r="HP54" s="6">
        <f>COUNTIFS(Table91949698[Country],Tabela1[[#This Row],[Country]],Table91949698[Men''s Classification],"&gt;0")</f>
        <v>0</v>
      </c>
      <c r="HQ54" s="6">
        <f>COUNTIFS(Table91949698[Country],Tabela1[[#This Row],[Country]],Table91949698[Women''s Classification],"&gt;0")</f>
        <v>0</v>
      </c>
      <c r="HR54" s="6">
        <f>COUNTIFS(Table25[Country],Tabela1[[#This Row],[Country]],Table25[Mixed 470 Classification],"&gt;0")</f>
        <v>0</v>
      </c>
      <c r="HS54" s="6">
        <f>COUNTIFS(Table25[Country],Tabela1[[#This Row],[Country]],Table25[Men''s 49er Classification],"&gt;0")</f>
        <v>0</v>
      </c>
      <c r="HT54" s="6">
        <f>COUNTIFS(Table25[Country],Tabela1[[#This Row],[Country]],Table25[Women''s 49er FX Classification],"&gt;0")</f>
        <v>0</v>
      </c>
      <c r="HU54" s="6">
        <f>COUNTIFS(Table17[Country],Tabela1[[#This Row],[Country]],Table17[Formula Kite Classification],"&gt;0")</f>
        <v>0</v>
      </c>
      <c r="HV54" s="6">
        <f>COUNTIFS(Table18[Country],Tabela1[[#This Row],[Country]],Table18[Formula Kite Classification],"&gt;0")</f>
        <v>0</v>
      </c>
      <c r="HW54" s="6">
        <f>COUNTIFS(Table17[Country],Tabela1[[#This Row],[Country]],Table17[ILCA 7 Classification],"&gt;0")</f>
        <v>0</v>
      </c>
      <c r="HX54" s="6">
        <f>COUNTIFS(Table18[Country],Tabela1[[#This Row],[Country]],Table18[ILCA 6 Classification],"&gt;0")</f>
        <v>0</v>
      </c>
      <c r="HY54" s="6">
        <f>COUNTIFS(Table17[Country],Tabela1[[#This Row],[Country]],Table17[IQFoil Classification],"&gt;0")</f>
        <v>0</v>
      </c>
      <c r="HZ54" s="6">
        <f>COUNTIFS(Table18[Country],Tabela1[[#This Row],[Country]],Table18[IQFoil Classification],"&gt;0")</f>
        <v>0</v>
      </c>
      <c r="IA54" s="6">
        <f>COUNTIFS(Table25[Country],Tabela1[[#This Row],[Country]],Table25[Mixed Nacra 17 Classification],"&gt;0")</f>
        <v>0</v>
      </c>
      <c r="IB54" s="6">
        <f>COUNTIFS(Table53[Country],Tabela1[[#This Row],[Country]],Table53[10m Air Pistol Classification],"&gt;0")</f>
        <v>0</v>
      </c>
      <c r="IC54" s="6">
        <f>COUNTIFS(Table19[Country],Tabela1[[#This Row],[Country]],Table19[10m Air Pistol Classification],"&gt;0")</f>
        <v>0</v>
      </c>
      <c r="ID54" s="6">
        <f>COUNTIFS(Table54[Country],Tabela1[[#This Row],[Country]],Table54[Mixed 10m Air Pistol Team Classification],"&gt;0")</f>
        <v>0</v>
      </c>
      <c r="IE54" s="6">
        <f>COUNTIFS(Table53[Country],Tabela1[[#This Row],[Country]],Table53[10m Air Rifle Classification],"&gt;0")</f>
        <v>0</v>
      </c>
      <c r="IF54" s="6">
        <f>COUNTIFS(Table19[Country],Tabela1[[#This Row],[Country]],Table19[10m Air Rifle Classification],"&gt;0")</f>
        <v>0</v>
      </c>
      <c r="IG54" s="6">
        <f>COUNTIFS(Table54[Country],Tabela1[[#This Row],[Country]],Table54[Mixed 10m Air Rifle Team Classification],"&gt;0")</f>
        <v>0</v>
      </c>
      <c r="IH54" s="6">
        <f>COUNTIFS(Table53[Country],Tabela1[[#This Row],[Country]],Table53[25m Rapid Fire Pistol Classification],"&gt;0")</f>
        <v>0</v>
      </c>
      <c r="II54" s="6">
        <f>COUNTIFS(Table19[Country],Tabela1[[#This Row],[Country]],Table19[25m Pistol Classification],"&gt;0")</f>
        <v>0</v>
      </c>
      <c r="IJ54" s="6">
        <f>COUNTIFS(Table53[Country],Tabela1[[#This Row],[Country]],Table53[50m Rifle 3 Positions Classification],"&gt;0")</f>
        <v>0</v>
      </c>
      <c r="IK54" s="6">
        <f>COUNTIFS(Table19[Country],Tabela1[[#This Row],[Country]],Table19[50m Rifle 3 Positions Classification],"&gt;0")</f>
        <v>0</v>
      </c>
      <c r="IL54" s="6">
        <f>COUNTIFS(Table53[Country],Tabela1[[#This Row],[Country]],Table53[Skeet Classification],"&gt;0")</f>
        <v>0</v>
      </c>
      <c r="IM54" s="6">
        <f>COUNTIFS(Table19[Country],Tabela1[[#This Row],[Country]],Table19[Skeet Classification],"&gt;0")</f>
        <v>0</v>
      </c>
      <c r="IN54" s="6">
        <f>COUNTIFS(Table54[Country],Tabela1[[#This Row],[Country]],Table54[Mixed Skeet Team Classification],"&gt;0")</f>
        <v>0</v>
      </c>
      <c r="IO54" s="6">
        <f>COUNTIFS(Table53[Country],Tabela1[[#This Row],[Country]],Table53[Trap Classification],"&gt;0")</f>
        <v>0</v>
      </c>
      <c r="IP54" s="6">
        <f>COUNTIFS(Table19[Country],Tabela1[[#This Row],[Country]],Table19[Trap Classification],"&gt;0")</f>
        <v>0</v>
      </c>
      <c r="IQ54" s="6">
        <f>COUNTIFS(Table73[Country],Tabela1[[#This Row],[Country]],Table73[Park Classification],"&gt;0")</f>
        <v>0</v>
      </c>
      <c r="IR54" s="6">
        <f>COUNTIFS(Table74[Country],Tabela1[[#This Row],[Country]],Table74[Park Classification],"&gt;0")</f>
        <v>0</v>
      </c>
      <c r="IS54" s="6">
        <f>COUNTIFS(Table73[Country],Tabela1[[#This Row],[Country]],Table73[Street Classification],"&gt;0")</f>
        <v>0</v>
      </c>
      <c r="IT54" s="6">
        <f>COUNTIFS(Table74[Country],Tabela1[[#This Row],[Country]],Table74[Street Classification],"&gt;0")</f>
        <v>0</v>
      </c>
      <c r="IU54" s="6">
        <f>COUNTIFS(Table75[Country],Tabela1[[#This Row],[Country]],Table75[Boulder and Lead Classification],"&gt;0")</f>
        <v>0</v>
      </c>
      <c r="IV54" s="6">
        <f>COUNTIFS(Table76[Country],Tabela1[[#This Row],[Country]],Table76[Boulder and Lead Classification],"&gt;0")</f>
        <v>0</v>
      </c>
      <c r="IW54" s="6">
        <f>COUNTIFS(Table75[Country],Tabela1[[#This Row],[Country]],Table75[Speed Classification],"&gt;0")</f>
        <v>0</v>
      </c>
      <c r="IX54" s="6">
        <f>COUNTIFS(Table76[Country],Tabela1[[#This Row],[Country]],Table76[Speed Classification],"&gt;0")</f>
        <v>0</v>
      </c>
      <c r="IY54" s="6">
        <f>COUNTIFS(Table64[Country],Tabela1[[#This Row],[Country]],Table64[Shortboard Classification],"&gt;0")</f>
        <v>0</v>
      </c>
      <c r="IZ54" s="6">
        <f>COUNTIFS(Table77[Country],Tabela1[[#This Row],[Country]],Table77[Shortboard Classification],"&gt;0")</f>
        <v>0</v>
      </c>
      <c r="JA54" s="6">
        <f>COUNTIFS(Table20[Country],Tabela1[[#This Row],[Country]],Table20[50m Freestyle Classification],"&gt;0")</f>
        <v>0</v>
      </c>
      <c r="JB54" s="6">
        <f>COUNTIFS(Table21[Country],Tabela1[[#This Row],[Country]],Table21[50m Freestyle Classification],"&gt;0")</f>
        <v>0</v>
      </c>
      <c r="JC54" s="6">
        <f>COUNTIFS(Table20[Country],Tabela1[[#This Row],[Country]],Table20[100m Freestyle Classification],"&gt;0")</f>
        <v>0</v>
      </c>
      <c r="JD54" s="6">
        <f>COUNTIFS(Table21[Country],Tabela1[[#This Row],[Country]],Table21[100m Freestyle Classification],"&gt;0")</f>
        <v>0</v>
      </c>
      <c r="JE54" s="6">
        <f>COUNTIFS(Table20[Country],Tabela1[[#This Row],[Country]],Table20[200m Freestyle Classification],"&gt;0")</f>
        <v>0</v>
      </c>
      <c r="JF54" s="6">
        <f>COUNTIFS(Table21[Country],Tabela1[[#This Row],[Country]],Table21[200m Freestyle Classification],"&gt;0")</f>
        <v>0</v>
      </c>
      <c r="JG54" s="6">
        <f>COUNTIFS(Table20[Country],Tabela1[[#This Row],[Country]],Table20[400m Freestyle Classification],"&gt;0")</f>
        <v>0</v>
      </c>
      <c r="JH54" s="6">
        <f>COUNTIFS(Table21[Country],Tabela1[[#This Row],[Country]],Table21[400m Freestyle Classification],"&gt;0")</f>
        <v>0</v>
      </c>
      <c r="JI54" s="6">
        <f>COUNTIFS(Table20[Country],Tabela1[[#This Row],[Country]],Table20[800m Freestyle Classification],"&gt;0")</f>
        <v>0</v>
      </c>
      <c r="JJ54" s="6">
        <f>COUNTIFS(Table21[Country],Tabela1[[#This Row],[Country]],Table21[800m Freestyle Classification],"&gt;0")</f>
        <v>0</v>
      </c>
      <c r="JK54" s="6">
        <f>COUNTIFS(Table20[Country],Tabela1[[#This Row],[Country]],Table20[1500m Freestyle Classification],"&gt;0")</f>
        <v>0</v>
      </c>
      <c r="JL54" s="6">
        <f>COUNTIFS(Table21[Country],Tabela1[[#This Row],[Country]],Table21[1500m Freestyle Classification],"&gt;0")</f>
        <v>0</v>
      </c>
      <c r="JM54" s="6">
        <f>COUNTIFS(Table20[Country],Tabela1[[#This Row],[Country]],Table20[100m Backstroke Classification],"&gt;0")</f>
        <v>0</v>
      </c>
      <c r="JN54" s="6">
        <f>COUNTIFS(Table21[Country],Tabela1[[#This Row],[Country]],Table21[100m Backstroke Classification],"&gt;0")</f>
        <v>0</v>
      </c>
      <c r="JO54" s="6">
        <f>COUNTIFS(Table20[Country],Tabela1[[#This Row],[Country]],Table20[200m Backstroke Classification],"&gt;0")</f>
        <v>0</v>
      </c>
      <c r="JP54" s="6">
        <f>COUNTIFS(Table21[Country],Tabela1[[#This Row],[Country]],Table21[200m Backstroke Classification],"&gt;0")</f>
        <v>0</v>
      </c>
      <c r="JQ54" s="6">
        <f>COUNTIFS(Table20[Country],Tabela1[[#This Row],[Country]],Table20[100m Breaststroke Classification],"&gt;0")</f>
        <v>0</v>
      </c>
      <c r="JR54" s="6">
        <f>COUNTIFS(Table21[Country],Tabela1[[#This Row],[Country]],Table21[100m Breaststroke Classification],"&gt;0")</f>
        <v>0</v>
      </c>
      <c r="JS54" s="6">
        <f>COUNTIFS(Table20[Country],Tabela1[[#This Row],[Country]],Table20[200m Breaststroke Classification],"&gt;0")</f>
        <v>0</v>
      </c>
      <c r="JT54" s="6">
        <f>COUNTIFS(Table21[Country],Tabela1[[#This Row],[Country]],Table21[200m Breaststroke Classification],"&gt;0")</f>
        <v>0</v>
      </c>
      <c r="JU54" s="6">
        <f>COUNTIFS(Table20[Country],Tabela1[[#This Row],[Country]],Table20[100m Butterfly Classification],"&gt;0")</f>
        <v>0</v>
      </c>
      <c r="JV54" s="6">
        <f>COUNTIFS(Table21[Country],Tabela1[[#This Row],[Country]],Table21[100m Butterfly Classification],"&gt;0")</f>
        <v>0</v>
      </c>
      <c r="JW54" s="6">
        <f>COUNTIFS(Table20[Country],Tabela1[[#This Row],[Country]],Table20[200m Butterfly Classification],"&gt;0")</f>
        <v>0</v>
      </c>
      <c r="JX54" s="6">
        <f>COUNTIFS(Table21[Country],Tabela1[[#This Row],[Country]],Table21[200m Butterfly Classification],"&gt;0")</f>
        <v>0</v>
      </c>
      <c r="JY54" s="6">
        <f>COUNTIFS(Table20[Country],Tabela1[[#This Row],[Country]],Table20[200m Medley Classification],"&gt;0")</f>
        <v>0</v>
      </c>
      <c r="JZ54" s="6">
        <f>COUNTIFS(Table21[Country],Tabela1[[#This Row],[Country]],Table21[200m Medley Classification],"&gt;0")</f>
        <v>0</v>
      </c>
      <c r="KA54" s="6">
        <f>COUNTIFS(Table20[Country],Tabela1[[#This Row],[Country]],Table20[400m Medley Classification],"&gt;0")</f>
        <v>0</v>
      </c>
      <c r="KB54" s="6">
        <f>COUNTIFS(Table21[Country],Tabela1[[#This Row],[Country]],Table21[400m Medley Classification],"&gt;0")</f>
        <v>0</v>
      </c>
      <c r="KC54" s="6">
        <f>COUNTIFS(Table78[Country],Tabela1[[#This Row],[Country]],Table78[Men''s 4x100m Freestyle Relay Classification],"&gt;0")</f>
        <v>0</v>
      </c>
      <c r="KD54" s="6">
        <f>COUNTIFS(Table78[Country],Tabela1[[#This Row],[Country]],Table78[Women''s 4x100m Freestyle Relay Classification],"&gt;0")</f>
        <v>0</v>
      </c>
      <c r="KE54" s="6">
        <f>COUNTIFS(Table78[Country],Tabela1[[#This Row],[Country]],Table78[Men''s 4x200m Freestyle Relay Classification],"&gt;0")</f>
        <v>0</v>
      </c>
      <c r="KF54" s="6">
        <f>COUNTIFS(Table78[Country],Tabela1[[#This Row],[Country]],Table78[Women''s 4x200m Freestyle Relay Classification],"&gt;0")</f>
        <v>0</v>
      </c>
      <c r="KG54" s="6">
        <f>COUNTIFS(Table78[Country],Tabela1[[#This Row],[Country]],Table78[Men''s 4x100m Medley Relay Classification],"&gt;0")</f>
        <v>0</v>
      </c>
      <c r="KH54" s="6">
        <f>COUNTIFS(Table78[Country],Tabela1[[#This Row],[Country]],Table78[Women''s 4x100m Medley Relay Classification],"&gt;0")</f>
        <v>0</v>
      </c>
      <c r="KI54" s="6">
        <f>COUNTIFS(Table78[Country],Tabela1[[#This Row],[Country]],Table78[Mixed 4x100m Medley Relay Classification],"&gt;0")</f>
        <v>0</v>
      </c>
      <c r="KJ54" s="6">
        <f>COUNTIFS(Table20[Country],Tabela1[[#This Row],[Country]],Table20[10km Open Water Classification],"&gt;0")</f>
        <v>0</v>
      </c>
      <c r="KK54" s="6">
        <f>COUNTIFS(Table21[Country],Tabela1[[#This Row],[Country]],Table21[10km Open Water Classification],"&gt;0")</f>
        <v>0</v>
      </c>
      <c r="KL54" s="6">
        <f>COUNTIFS(Table22[Country],Tabela1[[#This Row],[Country]],Table22[Classification],"&gt;0")</f>
        <v>0</v>
      </c>
      <c r="KM54" s="6">
        <f>COUNTIFS(Table30[Country],Tabela1[[#This Row],[Country]],Table30[Classification],"&gt;0")</f>
        <v>0</v>
      </c>
      <c r="KN54" s="6">
        <f>COUNTIFS(Table55[Country],Tabela1[[#This Row],[Country]],Table55[Men''s Classification],"&gt;0")</f>
        <v>0</v>
      </c>
      <c r="KO54" s="6">
        <f>COUNTIFS(Table55[Country],Tabela1[[#This Row],[Country]],Table55[Women''s Classification],"&gt;0")</f>
        <v>0</v>
      </c>
      <c r="KP54" s="6">
        <f>COUNTIFS(Table56[Country],Tabela1[[#This Row],[Country]],Table56[Mixed Classification],"&gt;0")</f>
        <v>0</v>
      </c>
      <c r="KQ54" s="6">
        <f>COUNTIFS(Table29[Country],Tabela1[[#This Row],[Country]],Table29[58kg Classification],"&gt;0")</f>
        <v>0</v>
      </c>
      <c r="KR54" s="6">
        <f>COUNTIFS(Table29[Country],Tabela1[[#This Row],[Country]],Table29[68kg Classification],"&gt;0")</f>
        <v>0</v>
      </c>
      <c r="KS54" s="6">
        <f>COUNTIFS(Table29[Country],Tabela1[[#This Row],[Country]],Table29[80kg Classification],"&gt;0")</f>
        <v>0</v>
      </c>
      <c r="KT54" s="6">
        <f>COUNTIFS(Table29[Country],Tabela1[[#This Row],[Country]],Table29[Plus 80kg Classification],"&gt;0")</f>
        <v>0</v>
      </c>
      <c r="KU54" s="6">
        <f>COUNTIFS(Table34[Country],Tabela1[[#This Row],[Country]],Table34[49kg Classification],"&gt;0")</f>
        <v>0</v>
      </c>
      <c r="KV54" s="6">
        <f>COUNTIFS(Table34[Country],Tabela1[[#This Row],[Country]],Table34[57kg Classification],"&gt;0")</f>
        <v>0</v>
      </c>
      <c r="KW54" s="6">
        <f>COUNTIFS(Table34[Country],Tabela1[[#This Row],[Country]],Table34[67kg Classification],"&gt;0")</f>
        <v>0</v>
      </c>
      <c r="KX54" s="6">
        <f>COUNTIFS(Table34[Country],Tabela1[[#This Row],[Country]],Table34[Plus 67kg Classification],"&gt;0")</f>
        <v>0</v>
      </c>
      <c r="KY54" s="6">
        <f>COUNTIFS(Table57[Country],Tabela1[[#This Row],[Country]],Table57[Classification],"&gt;0")</f>
        <v>0</v>
      </c>
      <c r="KZ54" s="6">
        <f>COUNTIFS(Table58[Country],Tabela1[[#This Row],[Country]],Table58[Classification],"&gt;0")</f>
        <v>0</v>
      </c>
      <c r="LA54" s="6">
        <f>COUNTIFS(Table79[Country],Tabela1[[#This Row],[Country]],Table79[Men''s Classification],"&gt;0")</f>
        <v>0</v>
      </c>
      <c r="LB54" s="6">
        <f>COUNTIFS(Table79[Country],Tabela1[[#This Row],[Country]],Table79[Women''s Classification],"&gt;0")</f>
        <v>0</v>
      </c>
      <c r="LC54" s="6">
        <f>COUNTIFS(Table79[Country],Tabela1[[#This Row],[Country]],Table79[Mixed Classification],"&gt;0")</f>
        <v>0</v>
      </c>
      <c r="LD54" s="6">
        <f>COUNTIFS(Table65[Country],Tabela1[[#This Row],[Country]],Table65[Classification],"&gt;0")</f>
        <v>0</v>
      </c>
      <c r="LE54" s="6">
        <f>COUNTIFS(Table59[Country],Tabela1[[#This Row],[Country]],Table59[Classification],"&gt;0")</f>
        <v>0</v>
      </c>
      <c r="LF54" s="6">
        <f>COUNTIFS(Table87[Country],Tabela1[[#This Row],[Country]],Table87[Mixed Relay Classification],"&gt;0")</f>
        <v>0</v>
      </c>
      <c r="LG54" s="6">
        <f>COUNTIFS(Table91949698100[Country],Tabela1[[#This Row],[Country]],Table91949698100[Men''s Classification],"&gt;0")</f>
        <v>0</v>
      </c>
      <c r="LH54" s="6">
        <f>COUNTIFS(Table91949698100[Country],Tabela1[[#This Row],[Country]],Table91949698100[Women''s Classification],"&gt;0")</f>
        <v>1</v>
      </c>
      <c r="LI54" s="6">
        <f>COUNTIFS(Table91949698100102[Country],Tabela1[[#This Row],[Country]],Table91949698100102[Men''s Classification],"&gt;0")</f>
        <v>0</v>
      </c>
      <c r="LJ54" s="6">
        <f>COUNTIFS(Table91949698100102[Country],Tabela1[[#This Row],[Country]],Table91949698100102[Women''s Classification],"&gt;0")</f>
        <v>0</v>
      </c>
      <c r="LK54" s="6">
        <f>COUNTIFS(Table23[Country],Tabela1[[#This Row],[Country]],Table23[61kg Classification],"&gt;0")</f>
        <v>0</v>
      </c>
      <c r="LL54" s="6">
        <f>COUNTIFS(Table23[Country],Tabela1[[#This Row],[Country]],Table23[73kg Classification],"&gt;0")</f>
        <v>0</v>
      </c>
      <c r="LM54" s="6">
        <f>COUNTIFS(Table23[Country],Tabela1[[#This Row],[Country]],Table23[89kg Classification],"&gt;0")</f>
        <v>0</v>
      </c>
      <c r="LN54" s="6">
        <f>COUNTIFS(Table23[Country],Tabela1[[#This Row],[Country]],Table23[102kg Classification],"&gt;0")</f>
        <v>0</v>
      </c>
      <c r="LO54" s="6">
        <f>COUNTIFS(Table23[Country],Tabela1[[#This Row],[Country]],Table23[Plus 102kg Classification],"&gt;0")</f>
        <v>0</v>
      </c>
      <c r="LP54" s="6">
        <f>COUNTIFS(Table28[Country],Tabela1[[#This Row],[Country]],Table28[49kg Classification],"&gt;0")</f>
        <v>0</v>
      </c>
      <c r="LQ54" s="6">
        <f>COUNTIFS(Table28[Country],Tabela1[[#This Row],[Country]],Table28[59kg Classification],"&gt;0")</f>
        <v>0</v>
      </c>
      <c r="LR54" s="6">
        <f>COUNTIFS(Table28[Country],Tabela1[[#This Row],[Country]],Table28[71kg Classification],"&gt;0")</f>
        <v>0</v>
      </c>
      <c r="LS54" s="6">
        <f>COUNTIFS(Table28[Country],Tabela1[[#This Row],[Country]],Table28[81kg Classification],"&gt;0")</f>
        <v>0</v>
      </c>
      <c r="LT54" s="6">
        <f>COUNTIFS(Table28[Country],Tabela1[[#This Row],[Country]],Table28[Plus 81kg Classification],"&gt;0")</f>
        <v>0</v>
      </c>
      <c r="LU54" s="6">
        <f>COUNTIFS(Table24[Country],Tabela1[[#This Row],[Country]],Table24[Freestyle 57kg Classification],"&gt;0")</f>
        <v>0</v>
      </c>
      <c r="LV54" s="6">
        <f>COUNTIFS(Table24[Country],Tabela1[[#This Row],[Country]],Table24[Freestyle 65kg Classification],"&gt;0")</f>
        <v>0</v>
      </c>
      <c r="LW54" s="6">
        <f>COUNTIFS(Table24[Country],Tabela1[[#This Row],[Country]],Table24[Freestyle 74kg Classification],"&gt;0")</f>
        <v>0</v>
      </c>
      <c r="LX54" s="6">
        <f>COUNTIFS(Table24[Country],Tabela1[[#This Row],[Country]],Table24[Freestyle 86kg Classification],"&gt;0")</f>
        <v>0</v>
      </c>
      <c r="LY54" s="6">
        <f>COUNTIFS(Table24[Country],Tabela1[[#This Row],[Country]],Table24[Freestyle 97kg Classification],"&gt;0")</f>
        <v>0</v>
      </c>
      <c r="LZ54" s="6">
        <f>COUNTIFS(Table24[Country],Tabela1[[#This Row],[Country]],Table24[Freestyle 125kg Classification],"&gt;0")</f>
        <v>0</v>
      </c>
      <c r="MA54" s="6">
        <f>COUNTIFS(Table24[Country],Tabela1[[#This Row],[Country]],Table24[Greco-Roman 60kg Classification],"&gt;0")</f>
        <v>0</v>
      </c>
      <c r="MB54" s="6">
        <f>COUNTIFS(Table24[Country],Tabela1[[#This Row],[Country]],Table24[Greco-Roman 67kg Classification],"&gt;0")</f>
        <v>0</v>
      </c>
      <c r="MC54" s="6">
        <f>COUNTIFS(Table24[Country],Tabela1[[#This Row],[Country]],Table24[Greco-Roman 77kg Classification],"&gt;0")</f>
        <v>0</v>
      </c>
      <c r="MD54" s="6">
        <f>COUNTIFS(Table24[Country],Tabela1[[#This Row],[Country]],Table24[Greco-Roman 87kg Classification],"&gt;0")</f>
        <v>0</v>
      </c>
      <c r="ME54" s="6">
        <f>COUNTIFS(Table24[Country],Tabela1[[#This Row],[Country]],Table24[Greco-Roman 97kg Classification],"&gt;0")</f>
        <v>0</v>
      </c>
      <c r="MF54" s="6">
        <f>COUNTIFS(Table24[Country],Tabela1[[#This Row],[Country]],Table24[Greco-Roman 130kg Classification],"&gt;0")</f>
        <v>0</v>
      </c>
      <c r="MG54" s="6">
        <f>COUNTIFS(Table31[Country],Tabela1[[#This Row],[Country]],Table31[50kg Classification],"&gt;0")</f>
        <v>0</v>
      </c>
      <c r="MH54" s="6">
        <f>COUNTIFS(Table31[Country],Tabela1[[#This Row],[Country]],Table31[53kg Classification],"&gt;0")</f>
        <v>0</v>
      </c>
      <c r="MI54" s="6">
        <f>COUNTIFS(Table31[Country],Tabela1[[#This Row],[Country]],Table31[57kg Classification],"&gt;0")</f>
        <v>0</v>
      </c>
      <c r="MJ54" s="6">
        <f>COUNTIFS(Table31[Country],Tabela1[[#This Row],[Country]],Table31[62kg Classification],"&gt;0")</f>
        <v>0</v>
      </c>
      <c r="MK54" s="6">
        <f>COUNTIFS(Table31[Country],Tabela1[[#This Row],[Country]],Table31[68kg Classification],"&gt;0")</f>
        <v>0</v>
      </c>
      <c r="ML54" s="6">
        <f>COUNTIFS(Table31[Country],Tabela1[[#This Row],[Country]],Table31[76kg Classification],"&gt;0")</f>
        <v>0</v>
      </c>
      <c r="MM54" s="6">
        <f>COUNTIFS(Table102[Country],Tabela1[[#This Row],[Country]],Table102[Downhill Classification],"&gt;0")</f>
        <v>0</v>
      </c>
      <c r="MN54" s="6">
        <f>COUNTIFS(Table102105[Country],Tabela1[[#This Row],[Country]],Table102105[Downhill Classification],"&gt;0")</f>
        <v>0</v>
      </c>
      <c r="MO54" s="6">
        <f>COUNTIFS(Table102[Country],Tabela1[[#This Row],[Country]],Table102[Giant Slalom Classification],"&gt;0")</f>
        <v>0</v>
      </c>
      <c r="MP54" s="6">
        <f>COUNTIFS(Table102105[Country],Tabela1[[#This Row],[Country]],Table102105[Giant Slalom Classification],"&gt;0")</f>
        <v>0</v>
      </c>
      <c r="MQ54" s="6">
        <f>COUNTIFS(Table102[Country],Tabela1[[#This Row],[Country]],Table102[Slalom Classification],"&gt;0")</f>
        <v>0</v>
      </c>
      <c r="MR54" s="6">
        <f>COUNTIFS(Table102105[Country],Tabela1[[#This Row],[Country]],Table102105[Slalom Classification],"&gt;0")</f>
        <v>0</v>
      </c>
      <c r="MS54" s="6">
        <f>COUNTIFS(Table102[Country],Tabela1[[#This Row],[Country]],Table102[Super-G Classification],"&gt;0")</f>
        <v>0</v>
      </c>
      <c r="MT54" s="6">
        <f>COUNTIFS(Table102105[Country],Tabela1[[#This Row],[Country]],Table102105[Super-G Classification],"&gt;0")</f>
        <v>0</v>
      </c>
      <c r="MU54" s="6">
        <f>COUNTIFS(Table105[Country],Tabela1[[#This Row],[Country]],Table105[Men''s Combined Classification],"&gt;0")</f>
        <v>0</v>
      </c>
      <c r="MV54" s="6">
        <f>COUNTIFS(Table105[Country],Tabela1[[#This Row],[Country]],Table105[Women''s Combined Classification],"&gt;0")</f>
        <v>0</v>
      </c>
      <c r="MW54" s="6">
        <f>COUNTIFS(Table106[Country],Tabela1[[#This Row],[Country]],Table106[Individual Classification],"&gt;0")</f>
        <v>0</v>
      </c>
      <c r="MX54" s="6">
        <f>COUNTIFS(Table106109[Country],Tabela1[[#This Row],[Country]],Table106109[Individual Classification],"&gt;0")</f>
        <v>0</v>
      </c>
      <c r="MY54" s="6">
        <f>COUNTIFS(Table106[Country],Tabela1[[#This Row],[Country]],Table106[Mass Start Classification],"&gt;0")</f>
        <v>0</v>
      </c>
      <c r="MZ54" s="6">
        <f>COUNTIFS(Table106109[Country],Tabela1[[#This Row],[Country]],Table106109[Mass Start Classification],"&gt;0")</f>
        <v>0</v>
      </c>
      <c r="NA54" s="6">
        <f>COUNTIFS(Table106[Country],Tabela1[[#This Row],[Country]],Table106[Pursuit Classification],"&gt;0")</f>
        <v>0</v>
      </c>
      <c r="NB54" s="6">
        <f>COUNTIFS(Table106109[Country],Tabela1[[#This Row],[Country]],Table106109[Pursuit Classification],"&gt;0")</f>
        <v>0</v>
      </c>
      <c r="NC54" s="6">
        <f>COUNTIFS(Table106[Country],Tabela1[[#This Row],[Country]],Table106[Sprint Classification],"&gt;0")</f>
        <v>0</v>
      </c>
      <c r="ND54" s="6">
        <f>COUNTIFS(Table106109[Country],Tabela1[[#This Row],[Country]],Table106109[Sprint Classification],"&gt;0")</f>
        <v>0</v>
      </c>
      <c r="NE54" s="6">
        <f>COUNTIFS(Table109[Country],Tabela1[[#This Row],[Country]],Table109[Men''s Relay Classification],"&gt;0")</f>
        <v>0</v>
      </c>
      <c r="NF54" s="6">
        <f>COUNTIFS(Table109[Country],Tabela1[[#This Row],[Country]],Table109[Women''s Relay Classification],"&gt;0")</f>
        <v>0</v>
      </c>
      <c r="NG54" s="6">
        <f>COUNTIFS(Table109[Country],Tabela1[[#This Row],[Country]],Table109[Mixed Relay Classification],"&gt;0")</f>
        <v>0</v>
      </c>
      <c r="NH54" s="6">
        <f>COUNTIFS(Table110[Country],Tabela1[[#This Row],[Country]],Table110[Monobob Classification],"&gt;0")</f>
        <v>0</v>
      </c>
      <c r="NI54" s="6">
        <f>COUNTIFS(Table111[Country],Tabela1[[#This Row],[Country]],Table111[Men''s Classification],"&gt;0")</f>
        <v>0</v>
      </c>
      <c r="NJ54" s="6">
        <f>COUNTIFS(Table111[Country],Tabela1[[#This Row],[Country]],Table111[Women''s Classification],"&gt;0")</f>
        <v>0</v>
      </c>
      <c r="NK54" s="6">
        <f>COUNTIFS(Table112[Country],Tabela1[[#This Row],[Country]],Table112[Men''s Four Classification],"&gt;0")</f>
        <v>0</v>
      </c>
      <c r="NL54" s="6">
        <f>COUNTIFS(Table113[Country],Tabela1[[#This Row],[Country]],Table113[Classical Classification],"&gt;0")</f>
        <v>0</v>
      </c>
      <c r="NM54" s="6">
        <f>COUNTIFS(Table113116[Country],Tabela1[[#This Row],[Country]],Table113116[Classical Classification],"&gt;0")</f>
        <v>0</v>
      </c>
      <c r="NN54" s="6">
        <f>COUNTIFS(Table113[Country],Tabela1[[#This Row],[Country]],Table113[Freestyle Classification],"&gt;0")</f>
        <v>0</v>
      </c>
      <c r="NO54" s="6">
        <f>COUNTIFS(Table113116[Country],Tabela1[[#This Row],[Country]],Table113116[Freestyle Classification],"&gt;0")</f>
        <v>0</v>
      </c>
      <c r="NP54" s="6">
        <f>COUNTIFS(Table117[Country],Tabela1[[#This Row],[Country]],Table117[Men''s Relay Classification],"&gt;0")</f>
        <v>0</v>
      </c>
      <c r="NQ54" s="6">
        <f>COUNTIFS(Table117[Country],Tabela1[[#This Row],[Country]],Table117[Women''s Relay Classification],"&gt;0")</f>
        <v>0</v>
      </c>
      <c r="NR54" s="6">
        <f>COUNTIFS(Table113[Country],Tabela1[[#This Row],[Country]],Table113[Skiathlon Classification],"&gt;0")</f>
        <v>0</v>
      </c>
      <c r="NS54" s="6">
        <f>COUNTIFS(Table113116[Country],Tabela1[[#This Row],[Country]],Table113116[Skiathlon Classification],"&gt;0")</f>
        <v>0</v>
      </c>
      <c r="NT54" s="6">
        <f>COUNTIFS(Table113[Country],Tabela1[[#This Row],[Country]],Table113[Sprint Classification],"&gt;0")</f>
        <v>0</v>
      </c>
      <c r="NU54" s="6">
        <f>COUNTIFS(Table113116[Country],Tabela1[[#This Row],[Country]],Table113116[Sprint Classification],"&gt;0")</f>
        <v>0</v>
      </c>
      <c r="NV54" s="6">
        <f>COUNTIFS(Table116[Country],Tabela1[[#This Row],[Country]],Table116[Men''s Team Sprint Classification],"&gt;0")</f>
        <v>0</v>
      </c>
      <c r="NW54" s="6">
        <f>COUNTIFS(Table116[Country],Tabela1[[#This Row],[Country]],Table116[Women''s Team Sprint Classification],"&gt;0")</f>
        <v>0</v>
      </c>
      <c r="NX54" s="6">
        <f>COUNTIFS(Table119[Country],Tabela1[[#This Row],[Country]],Table119[Men''s Classification],"&gt;0")</f>
        <v>0</v>
      </c>
      <c r="NY54" s="6">
        <f>COUNTIFS(Table119[Country],Tabela1[[#This Row],[Country]],Table119[Women''s Classification],"&gt;0")</f>
        <v>0</v>
      </c>
      <c r="NZ54" s="6">
        <f>COUNTIFS(Table118[Country],Tabela1[[#This Row],[Country]],Table118[Mixed Classification],"&gt;0")</f>
        <v>0</v>
      </c>
      <c r="OA54" s="6">
        <f>COUNTIFS(Table120[Country],Tabela1[[#This Row],[Country]],Table120[Classification],"&gt;0")</f>
        <v>0</v>
      </c>
      <c r="OB54" s="6">
        <f>COUNTIFS(Table120123[Country],Tabela1[[#This Row],[Country]],Table120123[Classification],"&gt;0")</f>
        <v>0</v>
      </c>
      <c r="OC54" s="6">
        <f>COUNTIFS(Table123[Country],Tabela1[[#This Row],[Country]],Table123[Ice Dance Classification],"&gt;0")</f>
        <v>0</v>
      </c>
      <c r="OD54" s="6">
        <f>COUNTIFS(Table123[Country],Tabela1[[#This Row],[Country]],Table123[Pair Skating Classification],"&gt;0")</f>
        <v>0</v>
      </c>
      <c r="OE54" s="6">
        <f>COUNTIFS(Table124[Country],Tabela1[[#This Row],[Country]],Table124[Mixed Classification],"&gt;0")</f>
        <v>0</v>
      </c>
      <c r="OF54" s="6">
        <f>COUNTIFS(Table125[Country],Tabela1[[#This Row],[Country]],Table125[Aerials Classification],"&gt;0")</f>
        <v>0</v>
      </c>
      <c r="OG54" s="6">
        <f>COUNTIFS(Table125128[Country],Tabela1[[#This Row],[Country]],Table125128[Aerials Classification],"&gt;0")</f>
        <v>0</v>
      </c>
      <c r="OH54" s="6">
        <f>COUNTIFS(Table128[Country],Tabela1[[#This Row],[Country]],Table128[Mixed Aerials Classification],"&gt;0")</f>
        <v>0</v>
      </c>
      <c r="OI54" s="6">
        <f>COUNTIFS(Table125[Country],Tabela1[[#This Row],[Country]],Table125[Big Air Classification],"&gt;0")</f>
        <v>0</v>
      </c>
      <c r="OJ54" s="6">
        <f>COUNTIFS(Table125128[Country],Tabela1[[#This Row],[Country]],Table125128[Big Air Classification],"&gt;0")</f>
        <v>0</v>
      </c>
      <c r="OK54" s="6">
        <f>COUNTIFS(Table125[Country],Tabela1[[#This Row],[Country]],Table125[Dual Moguls Classification],"&gt;0")</f>
        <v>0</v>
      </c>
      <c r="OL54" s="6">
        <f>COUNTIFS(Table125128[Country],Tabela1[[#This Row],[Country]],Table125128[Dual Moguls Classification],"&gt;0")</f>
        <v>0</v>
      </c>
      <c r="OM54" s="6">
        <f>COUNTIFS(Table125[Country],Tabela1[[#This Row],[Country]],Table125[Halfpipe Classification],"&gt;0")</f>
        <v>0</v>
      </c>
      <c r="ON54" s="6">
        <f>COUNTIFS(Table125128[Country],Tabela1[[#This Row],[Country]],Table125128[Halfpipe Classification],"&gt;0")</f>
        <v>0</v>
      </c>
      <c r="OO54" s="6">
        <f>COUNTIFS(Table125[Country],Tabela1[[#This Row],[Country]],Table125[Moguls Classification],"&gt;0")</f>
        <v>0</v>
      </c>
      <c r="OP54" s="6">
        <f>COUNTIFS(Table125128[Country],Tabela1[[#This Row],[Country]],Table125128[Moguls Classification],"&gt;0")</f>
        <v>0</v>
      </c>
      <c r="OQ54" s="6">
        <f>COUNTIFS(Table125[Country],Tabela1[[#This Row],[Country]],Table125[Ski Cross Classification],"&gt;0")</f>
        <v>0</v>
      </c>
      <c r="OR54" s="6">
        <f>COUNTIFS(Table125128[Country],Tabela1[[#This Row],[Country]],Table125128[Ski Cross Classification],"&gt;0")</f>
        <v>0</v>
      </c>
      <c r="OS54" s="6">
        <f>COUNTIFS(Table125[Country],Tabela1[[#This Row],[Country]],Table125[Slopestyle Classification],"&gt;0")</f>
        <v>0</v>
      </c>
      <c r="OT54" s="6">
        <f>COUNTIFS(Table125128[Country],Tabela1[[#This Row],[Country]],Table125128[Slopestyle Classification],"&gt;0")</f>
        <v>0</v>
      </c>
      <c r="OU54" s="6">
        <f>COUNTIFS(Table119131[Country],Tabela1[[#This Row],[Country]],Table119131[Men''s Classification],"&gt;0")</f>
        <v>0</v>
      </c>
      <c r="OV54" s="6">
        <f>COUNTIFS(Table119131[Country],Tabela1[[#This Row],[Country]],Table119131[Women''s Classification],"&gt;0")</f>
        <v>0</v>
      </c>
      <c r="OW54" s="6">
        <f>COUNTIFS(Table131[Country],Tabela1[[#This Row],[Country]],Table131[Classification],"&gt;0")</f>
        <v>0</v>
      </c>
      <c r="OX54" s="6">
        <f>COUNTIFS(Table131134[Country],Tabela1[[#This Row],[Country]],Table131134[Classification],"&gt;0")</f>
        <v>0</v>
      </c>
      <c r="OY54" s="6">
        <f>COUNTIFS(Table134[Country],Tabela1[[#This Row],[Country]],Table134[Men''s Classification],"&gt;0")</f>
        <v>0</v>
      </c>
      <c r="OZ54" s="6">
        <f>COUNTIFS(Table134[Country],Tabela1[[#This Row],[Country]],Table134[Women''s Classification],"&gt;0")</f>
        <v>0</v>
      </c>
      <c r="PA54" s="6">
        <f>COUNTIFS(Table135[Country],Tabela1[[#This Row],[Country]],Table135[Mixed Relay Classification],"&gt;0")</f>
        <v>0</v>
      </c>
      <c r="PB54" s="6">
        <f>COUNTIFS(Table136[Country],Tabela1[[#This Row],[Country]],Table136[Individual Classification],"&gt;0")</f>
        <v>0</v>
      </c>
      <c r="PC54" s="6">
        <f>COUNTIFS(Table136[Country],Tabela1[[#This Row],[Country]],Table136[Sprint Classification],"&gt;0")</f>
        <v>0</v>
      </c>
      <c r="PD54" s="6">
        <f>COUNTIFS(Table137[Country],Tabela1[[#This Row],[Country]],Table137[Men''s Team Sprint Large Hill Classification],"&gt;0")</f>
        <v>0</v>
      </c>
      <c r="PE54" s="6">
        <f>COUNTIFS(Table138[Country],Tabela1[[#This Row],[Country]],Table138[500m Classification],"&gt;0")</f>
        <v>0</v>
      </c>
      <c r="PF54" s="6">
        <f>COUNTIFS(Table138141[Country],Tabela1[[#This Row],[Country]],Table138141[500m Classification],"&gt;0")</f>
        <v>0</v>
      </c>
      <c r="PG54" s="6">
        <f>COUNTIFS(Table138[Country],Tabela1[[#This Row],[Country]],Table138[1000m Classification],"&gt;0")</f>
        <v>0</v>
      </c>
      <c r="PH54" s="6">
        <f>COUNTIFS(Table138141[Country],Tabela1[[#This Row],[Country]],Table138141[1000m Classification],"&gt;0")</f>
        <v>0</v>
      </c>
      <c r="PI54" s="6">
        <f>COUNTIFS(Table138[Country],Tabela1[[#This Row],[Country]],Table138[1500m Classification],"&gt;0")</f>
        <v>0</v>
      </c>
      <c r="PJ54" s="6">
        <f>COUNTIFS(Table138141[Country],Tabela1[[#This Row],[Country]],Table138141[1500m Classification],"&gt;0")</f>
        <v>0</v>
      </c>
      <c r="PK54" s="6">
        <f>COUNTIFS(Table141[Country],Tabela1[[#This Row],[Country]],Table141[Men''s 5000m Relay Classification],"&gt;0")</f>
        <v>0</v>
      </c>
      <c r="PL54" s="6">
        <f>COUNTIFS(Table141[Country],Tabela1[[#This Row],[Country]],Table141[Women''s 3000m Relay Classification],"&gt;0")</f>
        <v>0</v>
      </c>
      <c r="PM54" s="6">
        <f>COUNTIFS(Table141[Country],Tabela1[[#This Row],[Country]],Table141[Mixed 2000m Relay Classification],"&gt;0")</f>
        <v>0</v>
      </c>
      <c r="PN54" s="6">
        <f>COUNTIFS(Table142[Country],Tabela1[[#This Row],[Country]],Table142[Classification],"&gt;0")</f>
        <v>0</v>
      </c>
      <c r="PO54" s="6">
        <f>COUNTIFS(Table142145[Country],Tabela1[[#This Row],[Country]],Table142145[Classification],"&gt;0")</f>
        <v>0</v>
      </c>
      <c r="PP54" s="6">
        <f>COUNTIFS(Tabela15[Country],Tabela1[[#This Row],[Country]],Tabela15[Mixed Team Classification],"&gt;0")</f>
        <v>0</v>
      </c>
      <c r="PQ54" s="6">
        <f>COUNTIFS(Table145[Country],Tabela1[[#This Row],[Country]],Table145[Large Hill Classification],"&gt;0")</f>
        <v>0</v>
      </c>
      <c r="PR54" s="6">
        <f>COUNTIFS(Table145[Country],Tabela1[[#This Row],[Country]],Table145[Normal Hill Classification],"&gt;0")</f>
        <v>0</v>
      </c>
      <c r="PS54" s="6">
        <f>COUNTIFS(Table145148[Country],Tabela1[[#This Row],[Country]],Table145148[Large Hill Classification],"&gt;0")</f>
        <v>0</v>
      </c>
      <c r="PT54" s="6">
        <f>COUNTIFS(Table145148[Country],Tabela1[[#This Row],[Country]],Table145148[Normal Hill Classification],"&gt;0")</f>
        <v>0</v>
      </c>
      <c r="PU54" s="6">
        <f>COUNTIFS(Table148[Country],Tabela1[[#This Row],[Country]],Table148[Men''s Super Team Classification],"&gt;0")</f>
        <v>0</v>
      </c>
      <c r="PV54" s="6">
        <f>COUNTIFS(Tabela114[Country],Tabela1[[#This Row],[Country]],Tabela114[Mixed Normal Hill Classification],"&gt;0")</f>
        <v>0</v>
      </c>
      <c r="PW54" s="6">
        <f>COUNTIFS(Tabela50[Country],Tabela1[[#This Row],[Country]],Tabela50[Sprint Classification],"&gt;0")</f>
        <v>0</v>
      </c>
      <c r="PX54" s="6">
        <f>COUNTIFS(Tabela50101[Country],Tabela1[[#This Row],[Country]],Tabela50101[Sprint Classification],"&gt;0")</f>
        <v>0</v>
      </c>
      <c r="PY54" s="6">
        <f>COUNTIFS(Tabela103[Country],Tabela1[[#This Row],[Country]],Tabela103[Mixed Relay Classification],"&gt;0")</f>
        <v>0</v>
      </c>
      <c r="PZ54" s="6">
        <f>COUNTIFS(Table149[Country],Tabela1[[#This Row],[Country]],Table149[Big Air Classification],"&gt;0")</f>
        <v>0</v>
      </c>
      <c r="QA54" s="6">
        <f>COUNTIFS(Table149152[Country],Tabela1[[#This Row],[Country]],Table149152[Big Air Classification],"&gt;0")</f>
        <v>0</v>
      </c>
      <c r="QB54" s="6">
        <f>COUNTIFS(Table149[Country],Tabela1[[#This Row],[Country]],Table149[Halfpipe Classification],"&gt;0")</f>
        <v>0</v>
      </c>
      <c r="QC54" s="6">
        <f>COUNTIFS(Table149152[Country],Tabela1[[#This Row],[Country]],Table149152[Halfpipe Classification],"&gt;0")</f>
        <v>0</v>
      </c>
      <c r="QD54" s="6">
        <f>COUNTIFS(Table149[Country],Tabela1[[#This Row],[Country]],Table149[Parallel Giant Slalom Classification],"&gt;0")</f>
        <v>0</v>
      </c>
      <c r="QE54" s="6">
        <f>COUNTIFS(Table149152[Country],Tabela1[[#This Row],[Country]],Table149152[Parallel Giant Slalom Classification],"&gt;0")</f>
        <v>0</v>
      </c>
      <c r="QF54" s="6">
        <f>COUNTIFS(Table149[Country],Tabela1[[#This Row],[Country]],Table149[Slopestyle Classification],"&gt;0")</f>
        <v>0</v>
      </c>
      <c r="QG54" s="6">
        <f>COUNTIFS(Table149152[Country],Tabela1[[#This Row],[Country]],Table149152[Slopestyle Classification],"&gt;0")</f>
        <v>0</v>
      </c>
      <c r="QH54" s="6">
        <f>COUNTIFS(Table149[Country],Tabela1[[#This Row],[Country]],Table149[Snowboard Cross Classification],"&gt;0")</f>
        <v>0</v>
      </c>
      <c r="QI54" s="6">
        <f>COUNTIFS(Table149152[Country],Tabela1[[#This Row],[Country]],Table149152[Snowboard Cross Classification],"&gt;0")</f>
        <v>0</v>
      </c>
      <c r="QJ54" s="6">
        <f>COUNTIFS(Table153[Country],Tabela1[[#This Row],[Country]],Table153[Mixed Team Snowboard Cross Classification],"&gt;0")</f>
        <v>0</v>
      </c>
      <c r="QK54" s="6">
        <f>COUNTIFS(Table154[Country],Tabela1[[#This Row],[Country]],Table154[500m Classification],"&gt;0")</f>
        <v>0</v>
      </c>
      <c r="QL54" s="6">
        <f>COUNTIFS(Table154157[Country],Tabela1[[#This Row],[Country]],Table154157[500m Classification],"&gt;0")</f>
        <v>0</v>
      </c>
      <c r="QM54" s="6">
        <f>COUNTIFS(Table154[Country],Tabela1[[#This Row],[Country]],Table154[1000m Classification],"&gt;0")</f>
        <v>0</v>
      </c>
      <c r="QN54" s="6">
        <f>COUNTIFS(Table154157[Country],Tabela1[[#This Row],[Country]],Table154157[1000m Classification],"&gt;0")</f>
        <v>0</v>
      </c>
      <c r="QO54" s="6">
        <f>COUNTIFS(Table154[Country],Tabela1[[#This Row],[Country]],Table154[1500m Classification],"&gt;0")</f>
        <v>0</v>
      </c>
      <c r="QP54" s="6">
        <f>COUNTIFS(Table154157[Country],Tabela1[[#This Row],[Country]],Table154157[1500m Classification],"&gt;0")</f>
        <v>0</v>
      </c>
      <c r="QQ54" s="6">
        <f>COUNTIFS(Table154157[Country],Tabela1[[#This Row],[Country]],Table154157[3000m Classification],"&gt;0")</f>
        <v>0</v>
      </c>
      <c r="QR54" s="6">
        <f>COUNTIFS(Table154[Country],Tabela1[[#This Row],[Country]],Table154[5000m Classification],"&gt;0")</f>
        <v>0</v>
      </c>
      <c r="QS54" s="6">
        <f>COUNTIFS(Table154157[Country],Tabela1[[#This Row],[Country]],Table154157[5000m Classification],"&gt;0")</f>
        <v>0</v>
      </c>
      <c r="QT54" s="6">
        <f>COUNTIFS(Table154[Country],Tabela1[[#This Row],[Country]],Table154[10000m Classification],"&gt;0")</f>
        <v>0</v>
      </c>
      <c r="QU54" s="6">
        <f>COUNTIFS(Table154[Country],Tabela1[[#This Row],[Country]],Table154[Mass Start Classification],"&gt;0")</f>
        <v>0</v>
      </c>
      <c r="QV54" s="6">
        <f>COUNTIFS(Table154157[Country],Tabela1[[#This Row],[Country]],Table154157[Mass Start Classification],"&gt;0")</f>
        <v>0</v>
      </c>
      <c r="QW54" s="6">
        <f>COUNTIFS(Table157[Country],Tabela1[[#This Row],[Country]],Table157[Men''s Pursuit Classification],"&gt;0")</f>
        <v>0</v>
      </c>
      <c r="QX54" s="6">
        <f>COUNTIFS(Table157[Country],Tabela1[[#This Row],[Country]],Table157[Women''s Pursuit Classification],"&gt;0")</f>
        <v>0</v>
      </c>
      <c r="QY54" s="4" t="s">
        <v>437</v>
      </c>
    </row>
    <row r="55" spans="1:467" x14ac:dyDescent="0.3">
      <c r="A55" s="6">
        <v>54</v>
      </c>
      <c r="B55" s="6" t="s">
        <v>400</v>
      </c>
      <c r="C55" t="e" vm="54">
        <f>IF(ISBLANK(Tabela1[[#This Row],[Image Link]]), "", _xlfn.IMAGE(Tabela1[[#This Row],[Image Link]],1,1))</f>
        <v>#VALUE!</v>
      </c>
      <c r="D55" s="6">
        <f>SUM(Tabela1[[#This Row],[Archery - Men''s Individual Recurve]:[Speed Skating - Women''s Team Pursuit]])</f>
        <v>12</v>
      </c>
      <c r="E55" s="6">
        <f>COUNTIF(Tabela1[[#This Row],[Archery - Men''s Individual Recurve]:[Speed Skating - Women''s Team Pursuit]],"&gt;0")</f>
        <v>12</v>
      </c>
      <c r="F55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55" s="6">
        <f>SUM(Tabela1[[#This Row],[Archery - Men''s Individual Recurve]:[Wrestling - Women''s Freestyle 76kg]])</f>
        <v>12</v>
      </c>
      <c r="H55" s="6">
        <f>SUM(Tabela1[[#This Row],[Alpine Skiing - Men''s Downhill]:[Speed Skating - Women''s Team Pursuit]])</f>
        <v>0</v>
      </c>
      <c r="I55" s="6">
        <f>Tabela1[[#This Row],[Summer Gold Medals]]+Tabela1[[#This Row],[Winter Gold Medals]]</f>
        <v>1</v>
      </c>
      <c r="J55" s="6">
        <f>Tabela1[[#This Row],[Summer Silver Medals]]+Tabela1[[#This Row],[Winter Silver Medals]]</f>
        <v>2</v>
      </c>
      <c r="K55" s="6">
        <f>Tabela1[[#This Row],[Summer Bronze Medals]]+Tabela1[[#This Row],[Winter Bronze Medals]]</f>
        <v>2</v>
      </c>
      <c r="L55" s="6">
        <f>SUM(Tabela1[[#This Row],[Total Gold Medals]:[Total Bronze Medals]])</f>
        <v>5</v>
      </c>
      <c r="M55" s="6">
        <v>1</v>
      </c>
      <c r="N55" s="6">
        <v>2</v>
      </c>
      <c r="O55" s="6">
        <v>2</v>
      </c>
      <c r="P55" s="6">
        <f>SUM(Tabela1[[#This Row],[Summer Gold Medals]:[Summer Bronze Medals]])</f>
        <v>5</v>
      </c>
      <c r="Q55" s="6"/>
      <c r="R55" s="6"/>
      <c r="S55" s="6"/>
      <c r="T55" s="6">
        <f>Tabela1[[#This Row],[Winter Gold Medals]]+Tabela1[[#This Row],[Winter Silver Medals]]+Tabela1[[#This Row],[Winter Bronze Medals]]</f>
        <v>0</v>
      </c>
      <c r="U55" s="7">
        <f>Tabela1[[#This Row],[Total Medals]]/Tabela1[[#This Row],[Total Quotas]]</f>
        <v>0.41666666666666669</v>
      </c>
      <c r="V55" s="6">
        <f>COUNTIFS(Table3[Country],Tabela1[[#This Row],[Country]],Table3[Recurve Classification],"&gt;0")</f>
        <v>0</v>
      </c>
      <c r="W55" s="6">
        <f>COUNTIFS(Table33[Country],Tabela1[[#This Row],[Country]],Table33[Recurve Classification],"&gt;0")</f>
        <v>0</v>
      </c>
      <c r="X55" s="6">
        <f>COUNTIFS(Table35[Country],Tabela1[[#This Row],[Country]],Table35[Men''s Team Recurve Classification],"&gt;0")</f>
        <v>0</v>
      </c>
      <c r="Y55" s="6">
        <f>COUNTIFS(Table35[Country],Tabela1[[#This Row],[Country]],Table35[Women''s Team Recurve Classification],"&gt;0")</f>
        <v>0</v>
      </c>
      <c r="Z55" s="6">
        <f>COUNTIFS(Tabela88[Country],Tabela1[[#This Row],[Country]],Tabela88[Mixed Team Recurve Classification],"&gt;0")</f>
        <v>0</v>
      </c>
      <c r="AA55" s="6">
        <f>COUNTIFS(Table36[Country],Tabela1[[#This Row],[Country]],Table36[Classification],"&gt;0")</f>
        <v>0</v>
      </c>
      <c r="AB55" s="6">
        <f>COUNTIFS(Table37[Country],Tabela1[[#This Row],[Country]],Table37[Classification],"&gt;0")</f>
        <v>0</v>
      </c>
      <c r="AC55" s="6">
        <f>COUNTIFS(Table4[Country],Tabela1[[#This Row],[Country]],Table4[100m Classification],"&gt;0")</f>
        <v>0</v>
      </c>
      <c r="AD55" s="6">
        <f>COUNTIFS(Table5[Country],Tabela1[[#This Row],[Country]],Table5[100m Classification],"&gt;0")</f>
        <v>0</v>
      </c>
      <c r="AE55" s="6">
        <f>COUNTIFS(Table4[Country],Tabela1[[#This Row],[Country]],Table4[200m Classification],"&gt;0")</f>
        <v>0</v>
      </c>
      <c r="AF55" s="6">
        <f>COUNTIFS(Table5[Country],Tabela1[[#This Row],[Country]],Table5[200m Classification],"&gt;0")</f>
        <v>0</v>
      </c>
      <c r="AG55" s="6">
        <f>COUNTIFS(Table4[Country],Tabela1[[#This Row],[Country]],Table4[400m Classification],"&gt;0")</f>
        <v>0</v>
      </c>
      <c r="AH55" s="6">
        <f>COUNTIFS(Table5[Country],Tabela1[[#This Row],[Country]],Table5[400m Classification],"&gt;0")</f>
        <v>0</v>
      </c>
      <c r="AI55" s="6">
        <f>COUNTIFS(Table4[Country],Tabela1[[#This Row],[Country]],Table4[800m Classification],"&gt;0")</f>
        <v>0</v>
      </c>
      <c r="AJ55" s="6">
        <f>COUNTIFS(Table5[Country],Tabela1[[#This Row],[Country]],Table5[800m Classification],"&gt;0")</f>
        <v>0</v>
      </c>
      <c r="AK55" s="6">
        <f>COUNTIFS(Table4[Country],Tabela1[[#This Row],[Country]],Table4[1500m Classification],"&gt;0")</f>
        <v>0</v>
      </c>
      <c r="AL55" s="6">
        <f>COUNTIFS(Table5[Country],Tabela1[[#This Row],[Country]],Table5[1500m Classification],"&gt;0")</f>
        <v>0</v>
      </c>
      <c r="AM55" s="6">
        <f>COUNTIFS(Table4[Country],Tabela1[[#This Row],[Country]],Table4[5000m Classification],"&gt;0")</f>
        <v>0</v>
      </c>
      <c r="AN55" s="6">
        <f>COUNTIFS(Table5[Country],Tabela1[[#This Row],[Country]],Table5[5000m Classification],"&gt;0")</f>
        <v>0</v>
      </c>
      <c r="AO55" s="6">
        <f>COUNTIFS(Table4[Country],Tabela1[[#This Row],[Country]],Table4[10000m Classification],"&gt;0")</f>
        <v>0</v>
      </c>
      <c r="AP55" s="6">
        <f>COUNTIFS(Table5[Country],Tabela1[[#This Row],[Country]],Table5[10000m Classification],"&gt;0")</f>
        <v>0</v>
      </c>
      <c r="AQ55" s="6">
        <f>COUNTIFS(Table4[Country],Tabela1[[#This Row],[Country]],Table4[110m Hurdles Classification],"&gt;0")</f>
        <v>0</v>
      </c>
      <c r="AR55" s="6">
        <f>COUNTIFS(Table5[Country],Tabela1[[#This Row],[Country]],Table5[100m Hurdles Classification],"&gt;0")</f>
        <v>0</v>
      </c>
      <c r="AS55" s="6">
        <f>COUNTIFS(Table4[Country],Tabela1[[#This Row],[Country]],Table4[400m Hurdles Classification],"&gt;0")</f>
        <v>0</v>
      </c>
      <c r="AT55" s="6">
        <f>COUNTIFS(Table5[Country],Tabela1[[#This Row],[Country]],Table5[400m Hurdles Classification],"&gt;0")</f>
        <v>0</v>
      </c>
      <c r="AU55" s="6">
        <f>COUNTIFS(Table4[Country],Tabela1[[#This Row],[Country]],Table4[3000m Steeplechase Classification],"&gt;0")</f>
        <v>0</v>
      </c>
      <c r="AV55" s="6">
        <f>COUNTIFS(Table5[Country],Tabela1[[#This Row],[Country]],Table5[3000m Steeplechase Classification],"&gt;0")</f>
        <v>0</v>
      </c>
      <c r="AW55" s="6">
        <f>COUNTIFS(Table27[Country],Tabela1[[#This Row],[Country]],Table27[Men''s 4x100m Relay Classification],"&gt;0")</f>
        <v>0</v>
      </c>
      <c r="AX55" s="6">
        <f>COUNTIFS(Table27[Country],Tabela1[[#This Row],[Country]],Table27[Women''s 4x100m Relay Classification],"&gt;0")</f>
        <v>0</v>
      </c>
      <c r="AY55" s="6">
        <f>COUNTIFS(Table27[Country],Tabela1[[#This Row],[Country]],Table27[Men''s 4x400m Relay Classification],"&gt;0")</f>
        <v>0</v>
      </c>
      <c r="AZ55" s="6">
        <f>COUNTIFS(Table27[Country],Tabela1[[#This Row],[Country]],Table27[Women''s 4x400m Relay Classification],"&gt;0")</f>
        <v>0</v>
      </c>
      <c r="BA55" s="6">
        <f>COUNTIFS(Table27[Country],Tabela1[[#This Row],[Country]],Table27[Mixed 4x400m Relay Classification],"&gt;0")</f>
        <v>0</v>
      </c>
      <c r="BB55" s="6">
        <f>COUNTIFS(Table4[Country],Tabela1[[#This Row],[Country]],Table4[Marathon Classification],"&gt;0")</f>
        <v>0</v>
      </c>
      <c r="BC55" s="6">
        <f>COUNTIFS(Table5[Country],Tabela1[[#This Row],[Country]],Table5[Marathon Classification],"&gt;0")</f>
        <v>1</v>
      </c>
      <c r="BD55" s="6">
        <f>COUNTIFS(Table4[Country],Tabela1[[#This Row],[Country]],Table4[20km Race Walk Classification],"&gt;0")</f>
        <v>1</v>
      </c>
      <c r="BE55" s="6">
        <f>COUNTIFS(Table5[Country],Tabela1[[#This Row],[Country]],Table5[20km Race Walk Classification],"&gt;0")</f>
        <v>0</v>
      </c>
      <c r="BF55" s="6">
        <f>COUNTIFS(Tabela96[Country],Tabela1[[#This Row],[Country]],Tabela96[Mixed Marathon Race Walk Relay Classification],"&gt;0")</f>
        <v>0</v>
      </c>
      <c r="BG55" s="6">
        <f>COUNTIFS(Table4[Country],Tabela1[[#This Row],[Country]],Table4[Discus Throw Classification],"&gt;0")</f>
        <v>1</v>
      </c>
      <c r="BH55" s="6">
        <f>COUNTIFS(Table5[Country],Tabela1[[#This Row],[Country]],Table5[Discus Throw Classification],"&gt;0")</f>
        <v>0</v>
      </c>
      <c r="BI55" s="6">
        <f>COUNTIFS(Table4[Country],Tabela1[[#This Row],[Country]],Table4[Hammer Throw Classification],"&gt;0")</f>
        <v>0</v>
      </c>
      <c r="BJ55" s="6">
        <f>COUNTIFS(Table5[Country],Tabela1[[#This Row],[Country]],Table5[Hammer Throw Classification],"&gt;0")</f>
        <v>0</v>
      </c>
      <c r="BK55" s="6">
        <f>COUNTIFS(Table4[Country],Tabela1[[#This Row],[Country]],Table4[High Jump Classification],"&gt;0")</f>
        <v>0</v>
      </c>
      <c r="BL55" s="6">
        <f>COUNTIFS(Table5[Country],Tabela1[[#This Row],[Country]],Table5[High Jump Classification],"&gt;0")</f>
        <v>0</v>
      </c>
      <c r="BM55" s="6">
        <f>COUNTIFS(Table4[Country],Tabela1[[#This Row],[Country]],Table4[Javelin Throw Classification],"&gt;0")</f>
        <v>0</v>
      </c>
      <c r="BN55" s="6">
        <f>COUNTIFS(Table5[Country],Tabela1[[#This Row],[Country]],Table5[Javelin Throw Classification],"&gt;0")</f>
        <v>0</v>
      </c>
      <c r="BO55" s="6">
        <f>COUNTIFS(Table4[Country],Tabela1[[#This Row],[Country]],Table4[Long Jump Classification],"&gt;0")</f>
        <v>0</v>
      </c>
      <c r="BP55" s="6">
        <f>COUNTIFS(Table5[Country],Tabela1[[#This Row],[Country]],Table5[Long Jump Classification],"&gt;0")</f>
        <v>0</v>
      </c>
      <c r="BQ55" s="6">
        <f>COUNTIFS(Table4[Country],Tabela1[[#This Row],[Country]],Table4[Pole Vault Classification],"&gt;0")</f>
        <v>0</v>
      </c>
      <c r="BR55" s="6">
        <f>COUNTIFS(Table5[Country],Tabela1[[#This Row],[Country]],Table5[Pole Vault Classification],"&gt;0")</f>
        <v>0</v>
      </c>
      <c r="BS55" s="6">
        <f>COUNTIFS(Table4[Country],Tabela1[[#This Row],[Country]],Table4[Shot Put Classification],"&gt;0")</f>
        <v>0</v>
      </c>
      <c r="BT55" s="6">
        <f>COUNTIFS(Table5[Country],Tabela1[[#This Row],[Country]],Table5[Shot Put Classification],"&gt;0")</f>
        <v>0</v>
      </c>
      <c r="BU55" s="6">
        <f>COUNTIFS(Table4[Country],Tabela1[[#This Row],[Country]],Table4[Triple Jump Classification],"&gt;0")</f>
        <v>0</v>
      </c>
      <c r="BV55" s="6">
        <f>COUNTIFS(Table5[Country],Tabela1[[#This Row],[Country]],Table5[Triple Jump Classification],"&gt;0")</f>
        <v>0</v>
      </c>
      <c r="BW55" s="6">
        <f>COUNTIFS(Table4[Country],Tabela1[[#This Row],[Country]],Table4[Decathlon Classification],"&gt;0")</f>
        <v>0</v>
      </c>
      <c r="BX55" s="6">
        <f>COUNTIFS(Table5[Country],Tabela1[[#This Row],[Country]],Table5[Heptathlon Classification],"&gt;0")</f>
        <v>0</v>
      </c>
      <c r="BY55" s="6">
        <f>COUNTIFS(Table61[Country],Tabela1[[#This Row],[Country]],Table61[Classification],"&gt;0")</f>
        <v>0</v>
      </c>
      <c r="BZ55" s="6">
        <f>COUNTIFS(Table38[Country],Tabela1[[#This Row],[Country]],Table38[Classification],"&gt;0")</f>
        <v>0</v>
      </c>
      <c r="CA55" s="6">
        <f>COUNTIFS(Table39[Country],Tabela1[[#This Row],[Country]],Table39[Men''s Classification],"&gt;0")</f>
        <v>0</v>
      </c>
      <c r="CB55" s="6">
        <f>COUNTIFS(Table39[Country],Tabela1[[#This Row],[Country]],Table39[Women''s Classification],"&gt;0")</f>
        <v>0</v>
      </c>
      <c r="CC55" s="6">
        <f>COUNTIFS(Table39[Country],Tabela1[[#This Row],[Country]],Table39[Mixed Classification],"&gt;0")</f>
        <v>0</v>
      </c>
      <c r="CD55" s="6">
        <f>COUNTIFS(Table89[Country],Tabela1[[#This Row],[Country]],Table89[Men''s Classification],"&gt;0")</f>
        <v>0</v>
      </c>
      <c r="CE55" s="6">
        <f>COUNTIFS(Table89[Country],Tabela1[[#This Row],[Country]],Table89[Women''s Classification],"&gt;0")</f>
        <v>0</v>
      </c>
      <c r="CF55" s="6">
        <f>COUNTIFS(Table90[Country],Tabela1[[#This Row],[Country]],Table90[Men''s Classification],"&gt;0")</f>
        <v>0</v>
      </c>
      <c r="CG55" s="6">
        <f>COUNTIFS(Table90[Country],Tabela1[[#This Row],[Country]],Table90[Women''s Classification],"&gt;0")</f>
        <v>0</v>
      </c>
      <c r="CH55" s="6">
        <f>COUNTIFS(Table60[Country],Tabela1[[#This Row],[Country]],Table60[Men''s Classification],"&gt;0")</f>
        <v>0</v>
      </c>
      <c r="CI55" s="6">
        <f>COUNTIFS(Table60[Country],Tabela1[[#This Row],[Country]],Table60[Women''s Classification],"&gt;0")</f>
        <v>0</v>
      </c>
      <c r="CJ55" s="6">
        <f>COUNTIFS(Table6[Country],Tabela1[[#This Row],[Country]],Table6[51kg Classification],"&gt;0")</f>
        <v>0</v>
      </c>
      <c r="CK55" s="6">
        <f>COUNTIFS(Table6[Country],Tabela1[[#This Row],[Country]],Table6[57kg Classification],"&gt;0")</f>
        <v>0</v>
      </c>
      <c r="CL55" s="6">
        <f>COUNTIFS(Table6[Country],Tabela1[[#This Row],[Country]],Table6[63.5kg Classification],"&gt;0")</f>
        <v>0</v>
      </c>
      <c r="CM55" s="6">
        <f>COUNTIFS(Table6[Country],Tabela1[[#This Row],[Country]],Table6[71kg Classification],"&gt;0")</f>
        <v>0</v>
      </c>
      <c r="CN55" s="6">
        <f>COUNTIFS(Table6[Country],Tabela1[[#This Row],[Country]],Table6[80kg Classification],"&gt;0")</f>
        <v>0</v>
      </c>
      <c r="CO55" s="6">
        <f>COUNTIFS(Table6[Country],Tabela1[[#This Row],[Country]],Table6[92kg Classification],"&gt;0")</f>
        <v>0</v>
      </c>
      <c r="CP55" s="6">
        <f>COUNTIFS(Table6[Country],Tabela1[[#This Row],[Country]],Table6[Plus 92kg Classification],"&gt;0")</f>
        <v>0</v>
      </c>
      <c r="CQ55" s="6">
        <f>COUNTIFS(Table7[Country],Tabela1[[#This Row],[Country]],Table7[50kg Classification],"&gt;0")</f>
        <v>0</v>
      </c>
      <c r="CR55" s="6">
        <f>COUNTIFS(Table7[Country],Tabela1[[#This Row],[Country]],Table7[54kg Classification],"&gt;0")</f>
        <v>0</v>
      </c>
      <c r="CS55" s="6">
        <f>COUNTIFS(Table7[Country],Tabela1[[#This Row],[Country]],Table7[57kg Classification],"&gt;0")</f>
        <v>0</v>
      </c>
      <c r="CT55" s="6">
        <f>COUNTIFS(Table7[Country],Tabela1[[#This Row],[Country]],Table7[60kg Classification],"&gt;0")</f>
        <v>1</v>
      </c>
      <c r="CU55" s="6">
        <f>COUNTIFS(Table7[Country],Tabela1[[#This Row],[Country]],Table7[66kg Classification],"&gt;0")</f>
        <v>0</v>
      </c>
      <c r="CV55" s="6">
        <f>COUNTIFS(Table7[Country],Tabela1[[#This Row],[Country]],Table7[75kg Classification],"&gt;0")</f>
        <v>0</v>
      </c>
      <c r="CW55" s="6">
        <f>COUNTIFS(Tabela94[Country],Tabela1[[#This Row],[Country]],Tabela94[Classification],"&gt;0")</f>
        <v>0</v>
      </c>
      <c r="CX55" s="6">
        <f>COUNTIFS(Tabela9499[Country],Tabela1[[#This Row],[Country]],Tabela9499[Classification],"&gt;0")</f>
        <v>0</v>
      </c>
      <c r="CY55" s="6">
        <f>COUNTIFS(Tabela107[Country],Tabela1[[#This Row],[Country]],Tabela107[C1 Slalom Classification],"&gt;0")</f>
        <v>0</v>
      </c>
      <c r="CZ55" s="6">
        <f>COUNTIFS(Tabela107122[Country],Tabela1[[#This Row],[Country]],Tabela107122[C1 Slalom Classification],"&gt;0")</f>
        <v>0</v>
      </c>
      <c r="DA55" s="6">
        <f>COUNTIFS(Tabela107[Country],Tabela1[[#This Row],[Country]],Tabela107[K1 Slalom Classification],"&gt;0")</f>
        <v>0</v>
      </c>
      <c r="DB55" s="6">
        <f>COUNTIFS(Tabela107122[Country],Tabela1[[#This Row],[Country]],Tabela107122[K1 Slalom Classification],"&gt;0")</f>
        <v>0</v>
      </c>
      <c r="DC55" s="6">
        <f>COUNTIFS(Tabela107[Country],Tabela1[[#This Row],[Country]],Tabela107[Kayak Cross Slalom Classification],"&gt;0")</f>
        <v>0</v>
      </c>
      <c r="DD55" s="6">
        <f>COUNTIFS(Tabela107122[Country],Tabela1[[#This Row],[Country]],Tabela107122[Kayak Cross Slalom Classification],"&gt;0")</f>
        <v>0</v>
      </c>
      <c r="DE55" s="6">
        <f>COUNTIFS(Table8[Country],Tabela1[[#This Row],[Country]],Table8[C1 200m Classification],"&gt;0")</f>
        <v>0</v>
      </c>
      <c r="DF55" s="6">
        <f>COUNTIFS(Table40[Country],Tabela1[[#This Row],[Country]],Table40[C1 1000m Classification],"&gt;0")</f>
        <v>0</v>
      </c>
      <c r="DG55" s="6">
        <f>COUNTIFS(Table68[Country],Tabela1[[#This Row],[Country]],Table68[Men''s C2 500m Classification],"&gt;0")</f>
        <v>0</v>
      </c>
      <c r="DH55" s="6">
        <f>COUNTIFS(Table68[Country],Tabela1[[#This Row],[Country]],Table68[Women''s C2 500m Classification],"&gt;0")</f>
        <v>0</v>
      </c>
      <c r="DI55" s="6">
        <f>COUNTIFS(Table8[Country],Tabela1[[#This Row],[Country]],Table8[K1 500m Classification],"&gt;0")</f>
        <v>0</v>
      </c>
      <c r="DJ55" s="6">
        <f>COUNTIFS(Table40[Country],Tabela1[[#This Row],[Country]],Table40[K1 1000m Classification],"&gt;0")</f>
        <v>0</v>
      </c>
      <c r="DK55" s="6">
        <f>COUNTIFS(Table68[Country],Tabela1[[#This Row],[Country]],Table68[Men''s K2 500m Classification],"&gt;0")</f>
        <v>0</v>
      </c>
      <c r="DL55" s="6">
        <f>COUNTIFS(Table68[Country],Tabela1[[#This Row],[Country]],Table68[Women''s K2 500m Classification],"&gt;0")</f>
        <v>0</v>
      </c>
      <c r="DM55" s="6">
        <f>COUNTIFS(Table83[Country],Tabela1[[#This Row],[Country]],Table83[Men''s K4 500m Classification],"&gt;0")</f>
        <v>0</v>
      </c>
      <c r="DN55" s="6">
        <f>COUNTIFS(Table83[Country],Tabela1[[#This Row],[Country]],Table83[Women''s K4 500m Classification],"&gt;0")</f>
        <v>0</v>
      </c>
      <c r="DO55" s="6">
        <f>COUNTIFS(Tabela126[Country],Tabela1[[#This Row],[Country]],Tabela126[Classification],"&gt;0")</f>
        <v>0</v>
      </c>
      <c r="DP55" s="6">
        <f>COUNTIFS(Tabela126130[Country],Tabela1[[#This Row],[Country]],Tabela126130[Classification],"&gt;0")</f>
        <v>0</v>
      </c>
      <c r="DQ55" s="6">
        <f>COUNTIFS(Table70[Country],Tabela1[[#This Row],[Country]],Table70[Classification],"&gt;0")</f>
        <v>0</v>
      </c>
      <c r="DR55" s="6">
        <f>COUNTIFS(Table80[Country],Tabela1[[#This Row],[Country]],Table80[Classification],"&gt;0")</f>
        <v>0</v>
      </c>
      <c r="DS55" s="6">
        <f>COUNTIFS(Table66[Country],Tabela1[[#This Row],[Country]],Table66[Classification],"&gt;0")</f>
        <v>0</v>
      </c>
      <c r="DT55" s="6">
        <f>COUNTIFS(Table67[Country],Tabela1[[#This Row],[Country]],Table67[Classification],"&gt;0")</f>
        <v>0</v>
      </c>
      <c r="DU55" s="6">
        <f>COUNTIFS(Table69[Country],Tabela1[[#This Row],[Country]],Table69[Keirin Classification],"&gt;0")</f>
        <v>0</v>
      </c>
      <c r="DV55" s="6">
        <f>COUNTIFS(Table41[Country],Tabela1[[#This Row],[Country]],Table41[Keirin Classification],"&gt;0")</f>
        <v>0</v>
      </c>
      <c r="DW55" s="6">
        <f>COUNTIFS(Table84[Country],Tabela1[[#This Row],[Country]],Table84[Men''s Madison Classification],"&gt;0")</f>
        <v>0</v>
      </c>
      <c r="DX55" s="6">
        <f>COUNTIFS(Table84[Country],Tabela1[[#This Row],[Country]],Table84[Women''s Madison Classification],"&gt;0")</f>
        <v>0</v>
      </c>
      <c r="DY55" s="6">
        <f>COUNTIFS(Table69[Country],Tabela1[[#This Row],[Country]],Table69[Omnium Classification],"&gt;0")</f>
        <v>0</v>
      </c>
      <c r="DZ55" s="6">
        <f>COUNTIFS(Table41[Country],Tabela1[[#This Row],[Country]],Table41[Omnium Classification],"&gt;0")</f>
        <v>0</v>
      </c>
      <c r="EA55" s="6">
        <f>COUNTIFS(Table9[Country],Tabela1[[#This Row],[Country]],Table9[Road Race Classification],"&gt;0")</f>
        <v>0</v>
      </c>
      <c r="EB55" s="6">
        <f>COUNTIFS(Table14[Country],Tabela1[[#This Row],[Country]],Table14[Road Race Classification],"&gt;0")</f>
        <v>0</v>
      </c>
      <c r="EC55" s="6">
        <f>COUNTIFS(Table69[Country],Tabela1[[#This Row],[Country]],Table69[Sprint Classification],"&gt;0")</f>
        <v>0</v>
      </c>
      <c r="ED55" s="6">
        <f>COUNTIFS(Table41[Country],Tabela1[[#This Row],[Country]],Table41[Sprint Classification],"&gt;0")</f>
        <v>0</v>
      </c>
      <c r="EE55" s="6">
        <f>COUNTIFS(Table85[Country],Tabela1[[#This Row],[Country]],Table85[Men''s Sprint Classification],"&gt;0")</f>
        <v>0</v>
      </c>
      <c r="EF55" s="6">
        <f>COUNTIFS(Table85[Country],Tabela1[[#This Row],[Country]],Table85[Women''s Sprint Classification],"&gt;0")</f>
        <v>0</v>
      </c>
      <c r="EG55" s="6">
        <f>COUNTIFS(Table85[Country],Tabela1[[#This Row],[Country]],Table85[Men''s Pursuit Classification],"&gt;0")</f>
        <v>0</v>
      </c>
      <c r="EH55" s="6">
        <f>COUNTIFS(Table85[Country],Tabela1[[#This Row],[Country]],Table85[Women''s Pursuit Classification],"&gt;0")</f>
        <v>0</v>
      </c>
      <c r="EI55" s="6">
        <f>COUNTIFS(Table9[Country],Tabela1[[#This Row],[Country]],Table9[Time-Trial Classification],"&gt;0")</f>
        <v>0</v>
      </c>
      <c r="EJ55" s="6">
        <f>COUNTIFS(Table14[Country],Tabela1[[#This Row],[Country]],Table14[Time-Trial Classification],"&gt;0")</f>
        <v>0</v>
      </c>
      <c r="EK55" s="6">
        <f>COUNTIFS(Table42[Country],Tabela1[[#This Row],[Country]],Table42[Springboard Classification],"&gt;0")</f>
        <v>0</v>
      </c>
      <c r="EL55" s="6">
        <f>COUNTIFS(Table43[Country],Tabela1[[#This Row],[Country]],Table43[Springboard Classification],"&gt;0")</f>
        <v>0</v>
      </c>
      <c r="EM55" s="6">
        <f>COUNTIFS(Table42[Country],Tabela1[[#This Row],[Country]],Table42[Platform Classification],"&gt;0")</f>
        <v>0</v>
      </c>
      <c r="EN55" s="6">
        <f>COUNTIFS(Table43[Country],Tabela1[[#This Row],[Country]],Table43[Platform Classification],"&gt;0")</f>
        <v>0</v>
      </c>
      <c r="EO55" s="6">
        <f>COUNTIFS(Table86[Country],Tabela1[[#This Row],[Country]],Table86[Men''s Synchronized Springboard Classification],"&gt;0")</f>
        <v>0</v>
      </c>
      <c r="EP55" s="6">
        <f>COUNTIFS(Table86[Country],Tabela1[[#This Row],[Country]],Table86[Women''s Synchronized Springboard Classification],"&gt;0")</f>
        <v>0</v>
      </c>
      <c r="EQ55" s="6">
        <f>COUNTIFS(Table86[Country],Tabela1[[#This Row],[Country]],Table86[Men''s Synchronized Platform Classification],"&gt;0")</f>
        <v>0</v>
      </c>
      <c r="ER55" s="6">
        <f>COUNTIFS(Table86[Country],Tabela1[[#This Row],[Country]],Table86[Women''s Synchronized Platform Classification],"&gt;0")</f>
        <v>0</v>
      </c>
      <c r="ES55" s="6">
        <f>COUNTIFS(Table44[Country],Tabela1[[#This Row],[Country]],Table44[Dressage Classification],"&gt;0")</f>
        <v>0</v>
      </c>
      <c r="ET55" s="6">
        <f>COUNTIFS(Table45[Country],Tabela1[[#This Row],[Country]],Table45[Dressage Classification],"&gt;0")</f>
        <v>0</v>
      </c>
      <c r="EU55" s="6">
        <f>COUNTIFS(Table44[Country],Tabela1[[#This Row],[Country]],Table44[Eventing Classification],"&gt;0")</f>
        <v>1</v>
      </c>
      <c r="EV55" s="6">
        <f>COUNTIFS(Table45[Country],Tabela1[[#This Row],[Country]],Table45[Eventing Classification],"&gt;0")</f>
        <v>0</v>
      </c>
      <c r="EW55" s="6">
        <f>COUNTIFS(Table44[Country],Tabela1[[#This Row],[Country]],Table44[Jumping Classification],"&gt;0")</f>
        <v>0</v>
      </c>
      <c r="EX55" s="6">
        <f>COUNTIFS(Table45[Country],Tabela1[[#This Row],[Country]],Table45[Jumping Classification],"&gt;0")</f>
        <v>0</v>
      </c>
      <c r="EY55" s="6">
        <f>COUNTIFS(Table10[Country],Tabela1[[#This Row],[Country]],Table10[Épée Classification],"&gt;0")</f>
        <v>0</v>
      </c>
      <c r="EZ55" s="6">
        <f>COUNTIFS(Table11[Country],Tabela1[[#This Row],[Country]],Table11[Épée Classification],"&gt;0")</f>
        <v>0</v>
      </c>
      <c r="FA55" s="6">
        <f>COUNTIFS(Table46[Country],Tabela1[[#This Row],[Country]],Table46[Men''s Épée Classification],"&gt;0")</f>
        <v>0</v>
      </c>
      <c r="FB55" s="6">
        <f>COUNTIFS(Table46[Country],Tabela1[[#This Row],[Country]],Table46[Women''s Épée Classification],"&gt;0")</f>
        <v>0</v>
      </c>
      <c r="FC55" s="6">
        <f>COUNTIFS(Table10[Country],Tabela1[[#This Row],[Country]],Table10[Foil Classification],"&gt;0")</f>
        <v>0</v>
      </c>
      <c r="FD55" s="6">
        <f>COUNTIFS(Table11[Country],Tabela1[[#This Row],[Country]],Table11[Foil Classification],"&gt;0")</f>
        <v>0</v>
      </c>
      <c r="FE55" s="6">
        <f>COUNTIFS(Table46[Country],Tabela1[[#This Row],[Country]],Table46[Men''s Foil Classification],"&gt;0")</f>
        <v>0</v>
      </c>
      <c r="FF55" s="6">
        <f>COUNTIFS(Table46[Country],Tabela1[[#This Row],[Country]],Table46[Women''s Foil Classification],"&gt;0")</f>
        <v>0</v>
      </c>
      <c r="FG55" s="6">
        <f>COUNTIFS(Table10[Country],Tabela1[[#This Row],[Country]],Table10[Sabre Classification],"&gt;0")</f>
        <v>0</v>
      </c>
      <c r="FH55" s="6">
        <f>COUNTIFS(Table11[Country],Tabela1[[#This Row],[Country]],Table11[Sabre Classification],"&gt;0")</f>
        <v>0</v>
      </c>
      <c r="FI55" s="6">
        <f>COUNTIFS(Table46[Country],Tabela1[[#This Row],[Country]],Table46[Men''s Sabre Classification],"&gt;0")</f>
        <v>0</v>
      </c>
      <c r="FJ55" s="6">
        <f>COUNTIFS(Table46[Country],Tabela1[[#This Row],[Country]],Table46[Women''s Sabre Classification],"&gt;0")</f>
        <v>0</v>
      </c>
      <c r="FK55" s="6">
        <f>COUNTIFS(Table91[Country],Tabela1[[#This Row],[Country]],Table91[Men''s Classification],"&gt;0")</f>
        <v>0</v>
      </c>
      <c r="FL55" s="6">
        <f>COUNTIFS(Table91[Country],Tabela1[[#This Row],[Country]],Table91[Women''s Classification],"&gt;0")</f>
        <v>0</v>
      </c>
      <c r="FM55" s="6">
        <f>COUNTIFS(Table9194[Country],Tabela1[[#This Row],[Country]],Table9194[Men''s Classification],"&gt;0")</f>
        <v>0</v>
      </c>
      <c r="FN55" s="6">
        <f>COUNTIFS(Table9194[Country],Tabela1[[#This Row],[Country]],Table9194[Women''s Classification],"&gt;0")</f>
        <v>0</v>
      </c>
      <c r="FO55" s="6">
        <f>COUNTIFS(Table71[Country],Tabela1[[#This Row],[Country]],Table71[Classification],"&gt;0")</f>
        <v>0</v>
      </c>
      <c r="FP55" s="6">
        <f>COUNTIFS(Table62[Country],Tabela1[[#This Row],[Country]],Table62[Classification],"&gt;0")</f>
        <v>0</v>
      </c>
      <c r="FQ55" s="6">
        <f>COUNTIFS(Table47[Country],Tabela1[[#This Row],[Country]],Table47[All-Around Classification],"&gt;0")</f>
        <v>0</v>
      </c>
      <c r="FR55" s="6">
        <f>COUNTIFS(Table48[Country],Tabela1[[#This Row],[Country]],Table48[All-Around Classification],"&gt;0")</f>
        <v>0</v>
      </c>
      <c r="FS55" s="6">
        <f>COUNTIFS(Table81[Country],Tabela1[[#This Row],[Country]],Table81[Men''s All-Around Classification],"&gt;0")</f>
        <v>0</v>
      </c>
      <c r="FT55" s="6">
        <f>COUNTIFS(Table81[Country],Tabela1[[#This Row],[Country]],Table81[Women''s All-Around Classification],"&gt;0")</f>
        <v>0</v>
      </c>
      <c r="FU55" s="6">
        <f>COUNTIFS(Table48[Country],Tabela1[[#This Row],[Country]],Table48[Balance Beam Classification],"&gt;0")</f>
        <v>0</v>
      </c>
      <c r="FV55" s="6">
        <f>COUNTIFS(Table47[Country],Tabela1[[#This Row],[Country]],Table47[Floor Exercise Classification],"&gt;0")</f>
        <v>0</v>
      </c>
      <c r="FW55" s="6">
        <f>COUNTIFS(Table48[Country],Tabela1[[#This Row],[Country]],Table48[Floor Exercise Classification],"&gt;0")</f>
        <v>0</v>
      </c>
      <c r="FX55" s="6">
        <f>COUNTIFS(Table47[Country],Tabela1[[#This Row],[Country]],Table47[Horizontal Bar Classification],"&gt;0")</f>
        <v>0</v>
      </c>
      <c r="FY55" s="6">
        <f>COUNTIFS(Table47[Country],Tabela1[[#This Row],[Country]],Table47[Parallel Bars Classification],"&gt;0")</f>
        <v>0</v>
      </c>
      <c r="FZ55" s="6">
        <f>COUNTIFS(Table47[Country],Tabela1[[#This Row],[Country]],Table47[Pommel Horse Classification],"&gt;0")</f>
        <v>0</v>
      </c>
      <c r="GA55" s="6">
        <f>COUNTIFS(Table47[Country],Tabela1[[#This Row],[Country]],Table47[Rings Classification],"&gt;0")</f>
        <v>0</v>
      </c>
      <c r="GB55" s="6">
        <f>COUNTIFS(Tabela132[Country],Tabela1[[#This Row],[Country]],Tabela132[Classification],"&gt;0")</f>
        <v>0</v>
      </c>
      <c r="GC55" s="6">
        <f>COUNTIFS(Tabela139[Country],Tabela1[[#This Row],[Country]],Tabela139[Classification],"&gt;0")</f>
        <v>0</v>
      </c>
      <c r="GD55" s="6">
        <f>COUNTIFS(Table48[Country],Tabela1[[#This Row],[Country]],Table48[Uneven Bars Classification],"&gt;0")</f>
        <v>0</v>
      </c>
      <c r="GE55" s="6">
        <f>COUNTIFS(Table47[Country],Tabela1[[#This Row],[Country]],Table47[Vault Classification],"&gt;0")</f>
        <v>0</v>
      </c>
      <c r="GF55" s="6">
        <f>COUNTIFS(Table48[Country],Tabela1[[#This Row],[Country]],Table48[Vault Classification],"&gt;0")</f>
        <v>0</v>
      </c>
      <c r="GG55" s="6">
        <f>COUNTIFS(Table919496[Country],Tabela1[[#This Row],[Country]],Table919496[Men''s Classification],"&gt;0")</f>
        <v>0</v>
      </c>
      <c r="GH55" s="6">
        <f>COUNTIFS(Table919496[Country],Tabela1[[#This Row],[Country]],Table919496[Women''s Classification],"&gt;0")</f>
        <v>0</v>
      </c>
      <c r="GI55" s="6">
        <f>COUNTIFS(Table12[Country],Tabela1[[#This Row],[Country]],Table12[60kg Classification],"&gt;0")</f>
        <v>0</v>
      </c>
      <c r="GJ55" s="6">
        <f>COUNTIFS(Table12[Country],Tabela1[[#This Row],[Country]],Table12[66kg Classification],"&gt;0")</f>
        <v>0</v>
      </c>
      <c r="GK55" s="6">
        <f>COUNTIFS(Table12[Country],Tabela1[[#This Row],[Country]],Table12[73kg Classification],"&gt;0")</f>
        <v>0</v>
      </c>
      <c r="GL55" s="6">
        <f>COUNTIFS(Table12[Country],Tabela1[[#This Row],[Country]],Table12[81kg Classification],"&gt;0")</f>
        <v>0</v>
      </c>
      <c r="GM55" s="6">
        <f>COUNTIFS(Table12[Country],Tabela1[[#This Row],[Country]],Table12[90kg Classification],"&gt;0")</f>
        <v>0</v>
      </c>
      <c r="GN55" s="6">
        <f>COUNTIFS(Table12[Country],Tabela1[[#This Row],[Country]],Table12[100kg Classification],"&gt;0")</f>
        <v>0</v>
      </c>
      <c r="GO55" s="6">
        <f>COUNTIFS(Table12[Country],Tabela1[[#This Row],[Country]],Table12[Plus 100kg Classification],"&gt;0")</f>
        <v>0</v>
      </c>
      <c r="GP55" s="6">
        <f>COUNTIFS(Table13[Country],Tabela1[[#This Row],[Country]],Table13[48kg Classification],"&gt;0")</f>
        <v>0</v>
      </c>
      <c r="GQ55" s="6">
        <f>COUNTIFS(Table13[Country],Tabela1[[#This Row],[Country]],Table13[52kg Classification],"&gt;0")</f>
        <v>0</v>
      </c>
      <c r="GR55" s="6">
        <f>COUNTIFS(Table13[Country],Tabela1[[#This Row],[Country]],Table13[57kg Classification],"&gt;0")</f>
        <v>0</v>
      </c>
      <c r="GS55" s="6">
        <f>COUNTIFS(Table13[Country],Tabela1[[#This Row],[Country]],Table13[63kg Classification],"&gt;0")</f>
        <v>0</v>
      </c>
      <c r="GT55" s="6">
        <f>COUNTIFS(Table13[Country],Tabela1[[#This Row],[Country]],Table13[70kg Classification],"&gt;0")</f>
        <v>0</v>
      </c>
      <c r="GU55" s="6">
        <f>COUNTIFS(Table13[Country],Tabela1[[#This Row],[Country]],Table13[78kg Classification],"&gt;0")</f>
        <v>0</v>
      </c>
      <c r="GV55" s="6">
        <f>COUNTIFS(Table13[Country],Tabela1[[#This Row],[Country]],Table13[Plus 78kg Classification],"&gt;0")</f>
        <v>0</v>
      </c>
      <c r="GW55" s="6">
        <f>COUNTIFS(Table82[Country],Tabela1[[#This Row],[Country]],Table82[Mixed Classification],"&gt;0")</f>
        <v>0</v>
      </c>
      <c r="GX55" s="6">
        <f>COUNTIFS(Table51[Country],Tabela1[[#This Row],[Country]],Table51[Classification],"&gt;0")</f>
        <v>1</v>
      </c>
      <c r="GY55" s="6">
        <f>COUNTIFS(Table52[Country],Tabela1[[#This Row],[Country]],Table52[Classification],"&gt;0")</f>
        <v>1</v>
      </c>
      <c r="GZ55" s="6">
        <f>COUNTIFS(Table32[Country],Tabela1[[#This Row],[Country]],Table32[All-Around Classification],"&gt;0")</f>
        <v>0</v>
      </c>
      <c r="HA55" s="6">
        <f>COUNTIFS(Table49[Country],Tabela1[[#This Row],[Country]],Table49[All-Around Classification],"&gt;0")</f>
        <v>0</v>
      </c>
      <c r="HB55" s="6">
        <f>COUNTIFS(Table26[Country],Tabela1[[#This Row],[Country]],Table26[Single Sculls Classification],"&gt;0")</f>
        <v>0</v>
      </c>
      <c r="HC55" s="6">
        <f>COUNTIFS(Table63[Country],Tabela1[[#This Row],[Country]],Table63[Single Sculls Classification],"&gt;0")</f>
        <v>0</v>
      </c>
      <c r="HD55" s="6">
        <f>COUNTIFS(Table16[Country],Tabela1[[#This Row],[Country]],Table16[Men''s Double Sculls Classification],"&gt;0")</f>
        <v>0</v>
      </c>
      <c r="HE55" s="6">
        <f>COUNTIFS(Table16[Country],Tabela1[[#This Row],[Country]],Table16[Women''s Double Sculls Classification],"&gt;0")</f>
        <v>0</v>
      </c>
      <c r="HF55" s="6">
        <f>COUNTIFS(Table72[Country],Tabela1[[#This Row],[Country]],Table72[Men''s Quadruple Sculls Classification],"&gt;0")</f>
        <v>0</v>
      </c>
      <c r="HG55" s="6">
        <f>COUNTIFS(Table72[Country],Tabela1[[#This Row],[Country]],Table72[Women''s Quadruple Sculls Classification],"&gt;0")</f>
        <v>0</v>
      </c>
      <c r="HH55" s="6">
        <f>COUNTIFS(Table16[Country],Tabela1[[#This Row],[Country]],Table16[Men''s Coxless Pairs Classification],"&gt;0")</f>
        <v>0</v>
      </c>
      <c r="HI55" s="6">
        <f>COUNTIFS(Table16[Country],Tabela1[[#This Row],[Country]],Table16[Women''s Coxless Pairs Classification],"&gt;0")</f>
        <v>0</v>
      </c>
      <c r="HJ55" s="6">
        <f>COUNTIFS(Table72[Country],Tabela1[[#This Row],[Country]],Table72[Men''s Coxless Fours Classification],"&gt;0")</f>
        <v>0</v>
      </c>
      <c r="HK55" s="6">
        <f>COUNTIFS(Table72[Country],Tabela1[[#This Row],[Country]],Table72[Women''s Coxless Fours Classification],"&gt;0")</f>
        <v>0</v>
      </c>
      <c r="HL55" s="6">
        <f>COUNTIFS(Table72[Country],Tabela1[[#This Row],[Country]],Table72[Men''s Eights Classification],"&gt;0")</f>
        <v>0</v>
      </c>
      <c r="HM55" s="6">
        <f>COUNTIFS(Table72[Country],Tabela1[[#This Row],[Country]],Table72[Women''s Eights Classification],"&gt;0")</f>
        <v>0</v>
      </c>
      <c r="HN55" s="6">
        <f>COUNTIFS(Table16[Country],Tabela1[[#This Row],[Country]],Table16[Men''s Lwt. Double Sculls Classification],"&gt;0")</f>
        <v>0</v>
      </c>
      <c r="HO55" s="6">
        <f>COUNTIFS(Table16[Country],Tabela1[[#This Row],[Country]],Table16[Women''s Lwt. Double Sculls Classification],"&gt;0")</f>
        <v>0</v>
      </c>
      <c r="HP55" s="6">
        <f>COUNTIFS(Table91949698[Country],Tabela1[[#This Row],[Country]],Table91949698[Men''s Classification],"&gt;0")</f>
        <v>0</v>
      </c>
      <c r="HQ55" s="6">
        <f>COUNTIFS(Table91949698[Country],Tabela1[[#This Row],[Country]],Table91949698[Women''s Classification],"&gt;0")</f>
        <v>0</v>
      </c>
      <c r="HR55" s="6">
        <f>COUNTIFS(Table25[Country],Tabela1[[#This Row],[Country]],Table25[Mixed 470 Classification],"&gt;0")</f>
        <v>0</v>
      </c>
      <c r="HS55" s="6">
        <f>COUNTIFS(Table25[Country],Tabela1[[#This Row],[Country]],Table25[Men''s 49er Classification],"&gt;0")</f>
        <v>0</v>
      </c>
      <c r="HT55" s="6">
        <f>COUNTIFS(Table25[Country],Tabela1[[#This Row],[Country]],Table25[Women''s 49er FX Classification],"&gt;0")</f>
        <v>0</v>
      </c>
      <c r="HU55" s="6">
        <f>COUNTIFS(Table17[Country],Tabela1[[#This Row],[Country]],Table17[Formula Kite Classification],"&gt;0")</f>
        <v>0</v>
      </c>
      <c r="HV55" s="6">
        <f>COUNTIFS(Table18[Country],Tabela1[[#This Row],[Country]],Table18[Formula Kite Classification],"&gt;0")</f>
        <v>0</v>
      </c>
      <c r="HW55" s="6">
        <f>COUNTIFS(Table17[Country],Tabela1[[#This Row],[Country]],Table17[ILCA 7 Classification],"&gt;0")</f>
        <v>0</v>
      </c>
      <c r="HX55" s="6">
        <f>COUNTIFS(Table18[Country],Tabela1[[#This Row],[Country]],Table18[ILCA 6 Classification],"&gt;0")</f>
        <v>0</v>
      </c>
      <c r="HY55" s="6">
        <f>COUNTIFS(Table17[Country],Tabela1[[#This Row],[Country]],Table17[IQFoil Classification],"&gt;0")</f>
        <v>0</v>
      </c>
      <c r="HZ55" s="6">
        <f>COUNTIFS(Table18[Country],Tabela1[[#This Row],[Country]],Table18[IQFoil Classification],"&gt;0")</f>
        <v>0</v>
      </c>
      <c r="IA55" s="6">
        <f>COUNTIFS(Table25[Country],Tabela1[[#This Row],[Country]],Table25[Mixed Nacra 17 Classification],"&gt;0")</f>
        <v>0</v>
      </c>
      <c r="IB55" s="6">
        <f>COUNTIFS(Table53[Country],Tabela1[[#This Row],[Country]],Table53[10m Air Pistol Classification],"&gt;0")</f>
        <v>0</v>
      </c>
      <c r="IC55" s="6">
        <f>COUNTIFS(Table19[Country],Tabela1[[#This Row],[Country]],Table19[10m Air Pistol Classification],"&gt;0")</f>
        <v>1</v>
      </c>
      <c r="ID55" s="6">
        <f>COUNTIFS(Table54[Country],Tabela1[[#This Row],[Country]],Table54[Mixed 10m Air Pistol Team Classification],"&gt;0")</f>
        <v>0</v>
      </c>
      <c r="IE55" s="6">
        <f>COUNTIFS(Table53[Country],Tabela1[[#This Row],[Country]],Table53[10m Air Rifle Classification],"&gt;0")</f>
        <v>0</v>
      </c>
      <c r="IF55" s="6">
        <f>COUNTIFS(Table19[Country],Tabela1[[#This Row],[Country]],Table19[10m Air Rifle Classification],"&gt;0")</f>
        <v>0</v>
      </c>
      <c r="IG55" s="6">
        <f>COUNTIFS(Table54[Country],Tabela1[[#This Row],[Country]],Table54[Mixed 10m Air Rifle Team Classification],"&gt;0")</f>
        <v>0</v>
      </c>
      <c r="IH55" s="6">
        <f>COUNTIFS(Table53[Country],Tabela1[[#This Row],[Country]],Table53[25m Rapid Fire Pistol Classification],"&gt;0")</f>
        <v>0</v>
      </c>
      <c r="II55" s="6">
        <f>COUNTIFS(Table19[Country],Tabela1[[#This Row],[Country]],Table19[25m Pistol Classification],"&gt;0")</f>
        <v>1</v>
      </c>
      <c r="IJ55" s="6">
        <f>COUNTIFS(Table53[Country],Tabela1[[#This Row],[Country]],Table53[50m Rifle 3 Positions Classification],"&gt;0")</f>
        <v>0</v>
      </c>
      <c r="IK55" s="6">
        <f>COUNTIFS(Table19[Country],Tabela1[[#This Row],[Country]],Table19[50m Rifle 3 Positions Classification],"&gt;0")</f>
        <v>0</v>
      </c>
      <c r="IL55" s="6">
        <f>COUNTIFS(Table53[Country],Tabela1[[#This Row],[Country]],Table53[Skeet Classification],"&gt;0")</f>
        <v>0</v>
      </c>
      <c r="IM55" s="6">
        <f>COUNTIFS(Table19[Country],Tabela1[[#This Row],[Country]],Table19[Skeet Classification],"&gt;0")</f>
        <v>0</v>
      </c>
      <c r="IN55" s="6">
        <f>COUNTIFS(Table54[Country],Tabela1[[#This Row],[Country]],Table54[Mixed Skeet Team Classification],"&gt;0")</f>
        <v>0</v>
      </c>
      <c r="IO55" s="6">
        <f>COUNTIFS(Table53[Country],Tabela1[[#This Row],[Country]],Table53[Trap Classification],"&gt;0")</f>
        <v>0</v>
      </c>
      <c r="IP55" s="6">
        <f>COUNTIFS(Table19[Country],Tabela1[[#This Row],[Country]],Table19[Trap Classification],"&gt;0")</f>
        <v>0</v>
      </c>
      <c r="IQ55" s="6">
        <f>COUNTIFS(Table73[Country],Tabela1[[#This Row],[Country]],Table73[Park Classification],"&gt;0")</f>
        <v>0</v>
      </c>
      <c r="IR55" s="6">
        <f>COUNTIFS(Table74[Country],Tabela1[[#This Row],[Country]],Table74[Park Classification],"&gt;0")</f>
        <v>0</v>
      </c>
      <c r="IS55" s="6">
        <f>COUNTIFS(Table73[Country],Tabela1[[#This Row],[Country]],Table73[Street Classification],"&gt;0")</f>
        <v>0</v>
      </c>
      <c r="IT55" s="6">
        <f>COUNTIFS(Table74[Country],Tabela1[[#This Row],[Country]],Table74[Street Classification],"&gt;0")</f>
        <v>0</v>
      </c>
      <c r="IU55" s="6">
        <f>COUNTIFS(Table75[Country],Tabela1[[#This Row],[Country]],Table75[Boulder and Lead Classification],"&gt;0")</f>
        <v>0</v>
      </c>
      <c r="IV55" s="6">
        <f>COUNTIFS(Table76[Country],Tabela1[[#This Row],[Country]],Table76[Boulder and Lead Classification],"&gt;0")</f>
        <v>0</v>
      </c>
      <c r="IW55" s="6">
        <f>COUNTIFS(Table75[Country],Tabela1[[#This Row],[Country]],Table75[Speed Classification],"&gt;0")</f>
        <v>0</v>
      </c>
      <c r="IX55" s="6">
        <f>COUNTIFS(Table76[Country],Tabela1[[#This Row],[Country]],Table76[Speed Classification],"&gt;0")</f>
        <v>0</v>
      </c>
      <c r="IY55" s="6">
        <f>COUNTIFS(Table64[Country],Tabela1[[#This Row],[Country]],Table64[Shortboard Classification],"&gt;0")</f>
        <v>0</v>
      </c>
      <c r="IZ55" s="6">
        <f>COUNTIFS(Table77[Country],Tabela1[[#This Row],[Country]],Table77[Shortboard Classification],"&gt;0")</f>
        <v>0</v>
      </c>
      <c r="JA55" s="6">
        <f>COUNTIFS(Table20[Country],Tabela1[[#This Row],[Country]],Table20[50m Freestyle Classification],"&gt;0")</f>
        <v>0</v>
      </c>
      <c r="JB55" s="6">
        <f>COUNTIFS(Table21[Country],Tabela1[[#This Row],[Country]],Table21[50m Freestyle Classification],"&gt;0")</f>
        <v>1</v>
      </c>
      <c r="JC55" s="6">
        <f>COUNTIFS(Table20[Country],Tabela1[[#This Row],[Country]],Table20[100m Freestyle Classification],"&gt;0")</f>
        <v>0</v>
      </c>
      <c r="JD55" s="6">
        <f>COUNTIFS(Table21[Country],Tabela1[[#This Row],[Country]],Table21[100m Freestyle Classification],"&gt;0")</f>
        <v>0</v>
      </c>
      <c r="JE55" s="6">
        <f>COUNTIFS(Table20[Country],Tabela1[[#This Row],[Country]],Table20[200m Freestyle Classification],"&gt;0")</f>
        <v>0</v>
      </c>
      <c r="JF55" s="6">
        <f>COUNTIFS(Table21[Country],Tabela1[[#This Row],[Country]],Table21[200m Freestyle Classification],"&gt;0")</f>
        <v>0</v>
      </c>
      <c r="JG55" s="6">
        <f>COUNTIFS(Table20[Country],Tabela1[[#This Row],[Country]],Table20[400m Freestyle Classification],"&gt;0")</f>
        <v>0</v>
      </c>
      <c r="JH55" s="6">
        <f>COUNTIFS(Table21[Country],Tabela1[[#This Row],[Country]],Table21[400m Freestyle Classification],"&gt;0")</f>
        <v>0</v>
      </c>
      <c r="JI55" s="6">
        <f>COUNTIFS(Table20[Country],Tabela1[[#This Row],[Country]],Table20[800m Freestyle Classification],"&gt;0")</f>
        <v>0</v>
      </c>
      <c r="JJ55" s="6">
        <f>COUNTIFS(Table21[Country],Tabela1[[#This Row],[Country]],Table21[800m Freestyle Classification],"&gt;0")</f>
        <v>0</v>
      </c>
      <c r="JK55" s="6">
        <f>COUNTIFS(Table20[Country],Tabela1[[#This Row],[Country]],Table20[1500m Freestyle Classification],"&gt;0")</f>
        <v>0</v>
      </c>
      <c r="JL55" s="6">
        <f>COUNTIFS(Table21[Country],Tabela1[[#This Row],[Country]],Table21[1500m Freestyle Classification],"&gt;0")</f>
        <v>0</v>
      </c>
      <c r="JM55" s="6">
        <f>COUNTIFS(Table20[Country],Tabela1[[#This Row],[Country]],Table20[100m Backstroke Classification],"&gt;0")</f>
        <v>0</v>
      </c>
      <c r="JN55" s="6">
        <f>COUNTIFS(Table21[Country],Tabela1[[#This Row],[Country]],Table21[100m Backstroke Classification],"&gt;0")</f>
        <v>0</v>
      </c>
      <c r="JO55" s="6">
        <f>COUNTIFS(Table20[Country],Tabela1[[#This Row],[Country]],Table20[200m Backstroke Classification],"&gt;0")</f>
        <v>0</v>
      </c>
      <c r="JP55" s="6">
        <f>COUNTIFS(Table21[Country],Tabela1[[#This Row],[Country]],Table21[200m Backstroke Classification],"&gt;0")</f>
        <v>0</v>
      </c>
      <c r="JQ55" s="6">
        <f>COUNTIFS(Table20[Country],Tabela1[[#This Row],[Country]],Table20[100m Breaststroke Classification],"&gt;0")</f>
        <v>0</v>
      </c>
      <c r="JR55" s="6">
        <f>COUNTIFS(Table21[Country],Tabela1[[#This Row],[Country]],Table21[100m Breaststroke Classification],"&gt;0")</f>
        <v>0</v>
      </c>
      <c r="JS55" s="6">
        <f>COUNTIFS(Table20[Country],Tabela1[[#This Row],[Country]],Table20[200m Breaststroke Classification],"&gt;0")</f>
        <v>0</v>
      </c>
      <c r="JT55" s="6">
        <f>COUNTIFS(Table21[Country],Tabela1[[#This Row],[Country]],Table21[200m Breaststroke Classification],"&gt;0")</f>
        <v>0</v>
      </c>
      <c r="JU55" s="6">
        <f>COUNTIFS(Table20[Country],Tabela1[[#This Row],[Country]],Table20[100m Butterfly Classification],"&gt;0")</f>
        <v>0</v>
      </c>
      <c r="JV55" s="6">
        <f>COUNTIFS(Table21[Country],Tabela1[[#This Row],[Country]],Table21[100m Butterfly Classification],"&gt;0")</f>
        <v>0</v>
      </c>
      <c r="JW55" s="6">
        <f>COUNTIFS(Table20[Country],Tabela1[[#This Row],[Country]],Table20[200m Butterfly Classification],"&gt;0")</f>
        <v>0</v>
      </c>
      <c r="JX55" s="6">
        <f>COUNTIFS(Table21[Country],Tabela1[[#This Row],[Country]],Table21[200m Butterfly Classification],"&gt;0")</f>
        <v>0</v>
      </c>
      <c r="JY55" s="6">
        <f>COUNTIFS(Table20[Country],Tabela1[[#This Row],[Country]],Table20[200m Medley Classification],"&gt;0")</f>
        <v>1</v>
      </c>
      <c r="JZ55" s="6">
        <f>COUNTIFS(Table21[Country],Tabela1[[#This Row],[Country]],Table21[200m Medley Classification],"&gt;0")</f>
        <v>0</v>
      </c>
      <c r="KA55" s="6">
        <f>COUNTIFS(Table20[Country],Tabela1[[#This Row],[Country]],Table20[400m Medley Classification],"&gt;0")</f>
        <v>0</v>
      </c>
      <c r="KB55" s="6">
        <f>COUNTIFS(Table21[Country],Tabela1[[#This Row],[Country]],Table21[400m Medley Classification],"&gt;0")</f>
        <v>0</v>
      </c>
      <c r="KC55" s="6">
        <f>COUNTIFS(Table78[Country],Tabela1[[#This Row],[Country]],Table78[Men''s 4x100m Freestyle Relay Classification],"&gt;0")</f>
        <v>0</v>
      </c>
      <c r="KD55" s="6">
        <f>COUNTIFS(Table78[Country],Tabela1[[#This Row],[Country]],Table78[Women''s 4x100m Freestyle Relay Classification],"&gt;0")</f>
        <v>0</v>
      </c>
      <c r="KE55" s="6">
        <f>COUNTIFS(Table78[Country],Tabela1[[#This Row],[Country]],Table78[Men''s 4x200m Freestyle Relay Classification],"&gt;0")</f>
        <v>0</v>
      </c>
      <c r="KF55" s="6">
        <f>COUNTIFS(Table78[Country],Tabela1[[#This Row],[Country]],Table78[Women''s 4x200m Freestyle Relay Classification],"&gt;0")</f>
        <v>0</v>
      </c>
      <c r="KG55" s="6">
        <f>COUNTIFS(Table78[Country],Tabela1[[#This Row],[Country]],Table78[Men''s 4x100m Medley Relay Classification],"&gt;0")</f>
        <v>0</v>
      </c>
      <c r="KH55" s="6">
        <f>COUNTIFS(Table78[Country],Tabela1[[#This Row],[Country]],Table78[Women''s 4x100m Medley Relay Classification],"&gt;0")</f>
        <v>0</v>
      </c>
      <c r="KI55" s="6">
        <f>COUNTIFS(Table78[Country],Tabela1[[#This Row],[Country]],Table78[Mixed 4x100m Medley Relay Classification],"&gt;0")</f>
        <v>0</v>
      </c>
      <c r="KJ55" s="6">
        <f>COUNTIFS(Table20[Country],Tabela1[[#This Row],[Country]],Table20[10km Open Water Classification],"&gt;0")</f>
        <v>0</v>
      </c>
      <c r="KK55" s="6">
        <f>COUNTIFS(Table21[Country],Tabela1[[#This Row],[Country]],Table21[10km Open Water Classification],"&gt;0")</f>
        <v>0</v>
      </c>
      <c r="KL55" s="6">
        <f>COUNTIFS(Table22[Country],Tabela1[[#This Row],[Country]],Table22[Classification],"&gt;0")</f>
        <v>0</v>
      </c>
      <c r="KM55" s="6">
        <f>COUNTIFS(Table30[Country],Tabela1[[#This Row],[Country]],Table30[Classification],"&gt;0")</f>
        <v>0</v>
      </c>
      <c r="KN55" s="6">
        <f>COUNTIFS(Table55[Country],Tabela1[[#This Row],[Country]],Table55[Men''s Classification],"&gt;0")</f>
        <v>0</v>
      </c>
      <c r="KO55" s="6">
        <f>COUNTIFS(Table55[Country],Tabela1[[#This Row],[Country]],Table55[Women''s Classification],"&gt;0")</f>
        <v>0</v>
      </c>
      <c r="KP55" s="6">
        <f>COUNTIFS(Table56[Country],Tabela1[[#This Row],[Country]],Table56[Mixed Classification],"&gt;0")</f>
        <v>0</v>
      </c>
      <c r="KQ55" s="6">
        <f>COUNTIFS(Table29[Country],Tabela1[[#This Row],[Country]],Table29[58kg Classification],"&gt;0")</f>
        <v>0</v>
      </c>
      <c r="KR55" s="6">
        <f>COUNTIFS(Table29[Country],Tabela1[[#This Row],[Country]],Table29[68kg Classification],"&gt;0")</f>
        <v>0</v>
      </c>
      <c r="KS55" s="6">
        <f>COUNTIFS(Table29[Country],Tabela1[[#This Row],[Country]],Table29[80kg Classification],"&gt;0")</f>
        <v>0</v>
      </c>
      <c r="KT55" s="6">
        <f>COUNTIFS(Table29[Country],Tabela1[[#This Row],[Country]],Table29[Plus 80kg Classification],"&gt;0")</f>
        <v>0</v>
      </c>
      <c r="KU55" s="6">
        <f>COUNTIFS(Table34[Country],Tabela1[[#This Row],[Country]],Table34[49kg Classification],"&gt;0")</f>
        <v>0</v>
      </c>
      <c r="KV55" s="6">
        <f>COUNTIFS(Table34[Country],Tabela1[[#This Row],[Country]],Table34[57kg Classification],"&gt;0")</f>
        <v>0</v>
      </c>
      <c r="KW55" s="6">
        <f>COUNTIFS(Table34[Country],Tabela1[[#This Row],[Country]],Table34[67kg Classification],"&gt;0")</f>
        <v>0</v>
      </c>
      <c r="KX55" s="6">
        <f>COUNTIFS(Table34[Country],Tabela1[[#This Row],[Country]],Table34[Plus 67kg Classification],"&gt;0")</f>
        <v>0</v>
      </c>
      <c r="KY55" s="6">
        <f>COUNTIFS(Table57[Country],Tabela1[[#This Row],[Country]],Table57[Classification],"&gt;0")</f>
        <v>0</v>
      </c>
      <c r="KZ55" s="6">
        <f>COUNTIFS(Table58[Country],Tabela1[[#This Row],[Country]],Table58[Classification],"&gt;0")</f>
        <v>0</v>
      </c>
      <c r="LA55" s="6">
        <f>COUNTIFS(Table79[Country],Tabela1[[#This Row],[Country]],Table79[Men''s Classification],"&gt;0")</f>
        <v>0</v>
      </c>
      <c r="LB55" s="6">
        <f>COUNTIFS(Table79[Country],Tabela1[[#This Row],[Country]],Table79[Women''s Classification],"&gt;0")</f>
        <v>0</v>
      </c>
      <c r="LC55" s="6">
        <f>COUNTIFS(Table79[Country],Tabela1[[#This Row],[Country]],Table79[Mixed Classification],"&gt;0")</f>
        <v>0</v>
      </c>
      <c r="LD55" s="6">
        <f>COUNTIFS(Table65[Country],Tabela1[[#This Row],[Country]],Table65[Classification],"&gt;0")</f>
        <v>0</v>
      </c>
      <c r="LE55" s="6">
        <f>COUNTIFS(Table59[Country],Tabela1[[#This Row],[Country]],Table59[Classification],"&gt;0")</f>
        <v>0</v>
      </c>
      <c r="LF55" s="6">
        <f>COUNTIFS(Table87[Country],Tabela1[[#This Row],[Country]],Table87[Mixed Relay Classification],"&gt;0")</f>
        <v>0</v>
      </c>
      <c r="LG55" s="6">
        <f>COUNTIFS(Table91949698100[Country],Tabela1[[#This Row],[Country]],Table91949698100[Men''s Classification],"&gt;0")</f>
        <v>0</v>
      </c>
      <c r="LH55" s="6">
        <f>COUNTIFS(Table91949698100[Country],Tabela1[[#This Row],[Country]],Table91949698100[Women''s Classification],"&gt;0")</f>
        <v>0</v>
      </c>
      <c r="LI55" s="6">
        <f>COUNTIFS(Table91949698100102[Country],Tabela1[[#This Row],[Country]],Table91949698100102[Men''s Classification],"&gt;0")</f>
        <v>0</v>
      </c>
      <c r="LJ55" s="6">
        <f>COUNTIFS(Table91949698100102[Country],Tabela1[[#This Row],[Country]],Table91949698100102[Women''s Classification],"&gt;0")</f>
        <v>0</v>
      </c>
      <c r="LK55" s="6">
        <f>COUNTIFS(Table23[Country],Tabela1[[#This Row],[Country]],Table23[61kg Classification],"&gt;0")</f>
        <v>0</v>
      </c>
      <c r="LL55" s="6">
        <f>COUNTIFS(Table23[Country],Tabela1[[#This Row],[Country]],Table23[73kg Classification],"&gt;0")</f>
        <v>0</v>
      </c>
      <c r="LM55" s="6">
        <f>COUNTIFS(Table23[Country],Tabela1[[#This Row],[Country]],Table23[89kg Classification],"&gt;0")</f>
        <v>0</v>
      </c>
      <c r="LN55" s="6">
        <f>COUNTIFS(Table23[Country],Tabela1[[#This Row],[Country]],Table23[102kg Classification],"&gt;0")</f>
        <v>0</v>
      </c>
      <c r="LO55" s="6">
        <f>COUNTIFS(Table23[Country],Tabela1[[#This Row],[Country]],Table23[Plus 102kg Classification],"&gt;0")</f>
        <v>0</v>
      </c>
      <c r="LP55" s="6">
        <f>COUNTIFS(Table28[Country],Tabela1[[#This Row],[Country]],Table28[49kg Classification],"&gt;0")</f>
        <v>0</v>
      </c>
      <c r="LQ55" s="6">
        <f>COUNTIFS(Table28[Country],Tabela1[[#This Row],[Country]],Table28[59kg Classification],"&gt;0")</f>
        <v>0</v>
      </c>
      <c r="LR55" s="6">
        <f>COUNTIFS(Table28[Country],Tabela1[[#This Row],[Country]],Table28[71kg Classification],"&gt;0")</f>
        <v>0</v>
      </c>
      <c r="LS55" s="6">
        <f>COUNTIFS(Table28[Country],Tabela1[[#This Row],[Country]],Table28[81kg Classification],"&gt;0")</f>
        <v>0</v>
      </c>
      <c r="LT55" s="6">
        <f>COUNTIFS(Table28[Country],Tabela1[[#This Row],[Country]],Table28[Plus 81kg Classification],"&gt;0")</f>
        <v>0</v>
      </c>
      <c r="LU55" s="6">
        <f>COUNTIFS(Table24[Country],Tabela1[[#This Row],[Country]],Table24[Freestyle 57kg Classification],"&gt;0")</f>
        <v>0</v>
      </c>
      <c r="LV55" s="6">
        <f>COUNTIFS(Table24[Country],Tabela1[[#This Row],[Country]],Table24[Freestyle 65kg Classification],"&gt;0")</f>
        <v>0</v>
      </c>
      <c r="LW55" s="6">
        <f>COUNTIFS(Table24[Country],Tabela1[[#This Row],[Country]],Table24[Freestyle 74kg Classification],"&gt;0")</f>
        <v>0</v>
      </c>
      <c r="LX55" s="6">
        <f>COUNTIFS(Table24[Country],Tabela1[[#This Row],[Country]],Table24[Freestyle 86kg Classification],"&gt;0")</f>
        <v>0</v>
      </c>
      <c r="LY55" s="6">
        <f>COUNTIFS(Table24[Country],Tabela1[[#This Row],[Country]],Table24[Freestyle 97kg Classification],"&gt;0")</f>
        <v>0</v>
      </c>
      <c r="LZ55" s="6">
        <f>COUNTIFS(Table24[Country],Tabela1[[#This Row],[Country]],Table24[Freestyle 125kg Classification],"&gt;0")</f>
        <v>0</v>
      </c>
      <c r="MA55" s="6">
        <f>COUNTIFS(Table24[Country],Tabela1[[#This Row],[Country]],Table24[Greco-Roman 60kg Classification],"&gt;0")</f>
        <v>0</v>
      </c>
      <c r="MB55" s="6">
        <f>COUNTIFS(Table24[Country],Tabela1[[#This Row],[Country]],Table24[Greco-Roman 67kg Classification],"&gt;0")</f>
        <v>1</v>
      </c>
      <c r="MC55" s="6">
        <f>COUNTIFS(Table24[Country],Tabela1[[#This Row],[Country]],Table24[Greco-Roman 77kg Classification],"&gt;0")</f>
        <v>0</v>
      </c>
      <c r="MD55" s="6">
        <f>COUNTIFS(Table24[Country],Tabela1[[#This Row],[Country]],Table24[Greco-Roman 87kg Classification],"&gt;0")</f>
        <v>0</v>
      </c>
      <c r="ME55" s="6">
        <f>COUNTIFS(Table24[Country],Tabela1[[#This Row],[Country]],Table24[Greco-Roman 97kg Classification],"&gt;0")</f>
        <v>0</v>
      </c>
      <c r="MF55" s="6">
        <f>COUNTIFS(Table24[Country],Tabela1[[#This Row],[Country]],Table24[Greco-Roman 130kg Classification],"&gt;0")</f>
        <v>0</v>
      </c>
      <c r="MG55" s="6">
        <f>COUNTIFS(Table31[Country],Tabela1[[#This Row],[Country]],Table31[50kg Classification],"&gt;0")</f>
        <v>0</v>
      </c>
      <c r="MH55" s="6">
        <f>COUNTIFS(Table31[Country],Tabela1[[#This Row],[Country]],Table31[53kg Classification],"&gt;0")</f>
        <v>0</v>
      </c>
      <c r="MI55" s="6">
        <f>COUNTIFS(Table31[Country],Tabela1[[#This Row],[Country]],Table31[57kg Classification],"&gt;0")</f>
        <v>0</v>
      </c>
      <c r="MJ55" s="6">
        <f>COUNTIFS(Table31[Country],Tabela1[[#This Row],[Country]],Table31[62kg Classification],"&gt;0")</f>
        <v>0</v>
      </c>
      <c r="MK55" s="6">
        <f>COUNTIFS(Table31[Country],Tabela1[[#This Row],[Country]],Table31[68kg Classification],"&gt;0")</f>
        <v>0</v>
      </c>
      <c r="ML55" s="6">
        <f>COUNTIFS(Table31[Country],Tabela1[[#This Row],[Country]],Table31[76kg Classification],"&gt;0")</f>
        <v>0</v>
      </c>
      <c r="MM55" s="6">
        <f>COUNTIFS(Table102[Country],Tabela1[[#This Row],[Country]],Table102[Downhill Classification],"&gt;0")</f>
        <v>0</v>
      </c>
      <c r="MN55" s="6">
        <f>COUNTIFS(Table102105[Country],Tabela1[[#This Row],[Country]],Table102105[Downhill Classification],"&gt;0")</f>
        <v>0</v>
      </c>
      <c r="MO55" s="6">
        <f>COUNTIFS(Table102[Country],Tabela1[[#This Row],[Country]],Table102[Giant Slalom Classification],"&gt;0")</f>
        <v>0</v>
      </c>
      <c r="MP55" s="6">
        <f>COUNTIFS(Table102105[Country],Tabela1[[#This Row],[Country]],Table102105[Giant Slalom Classification],"&gt;0")</f>
        <v>0</v>
      </c>
      <c r="MQ55" s="6">
        <f>COUNTIFS(Table102[Country],Tabela1[[#This Row],[Country]],Table102[Slalom Classification],"&gt;0")</f>
        <v>0</v>
      </c>
      <c r="MR55" s="6">
        <f>COUNTIFS(Table102105[Country],Tabela1[[#This Row],[Country]],Table102105[Slalom Classification],"&gt;0")</f>
        <v>0</v>
      </c>
      <c r="MS55" s="6">
        <f>COUNTIFS(Table102[Country],Tabela1[[#This Row],[Country]],Table102[Super-G Classification],"&gt;0")</f>
        <v>0</v>
      </c>
      <c r="MT55" s="6">
        <f>COUNTIFS(Table102105[Country],Tabela1[[#This Row],[Country]],Table102105[Super-G Classification],"&gt;0")</f>
        <v>0</v>
      </c>
      <c r="MU55" s="6">
        <f>COUNTIFS(Table105[Country],Tabela1[[#This Row],[Country]],Table105[Men''s Combined Classification],"&gt;0")</f>
        <v>0</v>
      </c>
      <c r="MV55" s="6">
        <f>COUNTIFS(Table105[Country],Tabela1[[#This Row],[Country]],Table105[Women''s Combined Classification],"&gt;0")</f>
        <v>0</v>
      </c>
      <c r="MW55" s="6">
        <f>COUNTIFS(Table106[Country],Tabela1[[#This Row],[Country]],Table106[Individual Classification],"&gt;0")</f>
        <v>0</v>
      </c>
      <c r="MX55" s="6">
        <f>COUNTIFS(Table106109[Country],Tabela1[[#This Row],[Country]],Table106109[Individual Classification],"&gt;0")</f>
        <v>0</v>
      </c>
      <c r="MY55" s="6">
        <f>COUNTIFS(Table106[Country],Tabela1[[#This Row],[Country]],Table106[Mass Start Classification],"&gt;0")</f>
        <v>0</v>
      </c>
      <c r="MZ55" s="6">
        <f>COUNTIFS(Table106109[Country],Tabela1[[#This Row],[Country]],Table106109[Mass Start Classification],"&gt;0")</f>
        <v>0</v>
      </c>
      <c r="NA55" s="6">
        <f>COUNTIFS(Table106[Country],Tabela1[[#This Row],[Country]],Table106[Pursuit Classification],"&gt;0")</f>
        <v>0</v>
      </c>
      <c r="NB55" s="6">
        <f>COUNTIFS(Table106109[Country],Tabela1[[#This Row],[Country]],Table106109[Pursuit Classification],"&gt;0")</f>
        <v>0</v>
      </c>
      <c r="NC55" s="6">
        <f>COUNTIFS(Table106[Country],Tabela1[[#This Row],[Country]],Table106[Sprint Classification],"&gt;0")</f>
        <v>0</v>
      </c>
      <c r="ND55" s="6">
        <f>COUNTIFS(Table106109[Country],Tabela1[[#This Row],[Country]],Table106109[Sprint Classification],"&gt;0")</f>
        <v>0</v>
      </c>
      <c r="NE55" s="6">
        <f>COUNTIFS(Table109[Country],Tabela1[[#This Row],[Country]],Table109[Men''s Relay Classification],"&gt;0")</f>
        <v>0</v>
      </c>
      <c r="NF55" s="6">
        <f>COUNTIFS(Table109[Country],Tabela1[[#This Row],[Country]],Table109[Women''s Relay Classification],"&gt;0")</f>
        <v>0</v>
      </c>
      <c r="NG55" s="6">
        <f>COUNTIFS(Table109[Country],Tabela1[[#This Row],[Country]],Table109[Mixed Relay Classification],"&gt;0")</f>
        <v>0</v>
      </c>
      <c r="NH55" s="6">
        <f>COUNTIFS(Table110[Country],Tabela1[[#This Row],[Country]],Table110[Monobob Classification],"&gt;0")</f>
        <v>0</v>
      </c>
      <c r="NI55" s="6">
        <f>COUNTIFS(Table111[Country],Tabela1[[#This Row],[Country]],Table111[Men''s Classification],"&gt;0")</f>
        <v>0</v>
      </c>
      <c r="NJ55" s="6">
        <f>COUNTIFS(Table111[Country],Tabela1[[#This Row],[Country]],Table111[Women''s Classification],"&gt;0")</f>
        <v>0</v>
      </c>
      <c r="NK55" s="6">
        <f>COUNTIFS(Table112[Country],Tabela1[[#This Row],[Country]],Table112[Men''s Four Classification],"&gt;0")</f>
        <v>0</v>
      </c>
      <c r="NL55" s="6">
        <f>COUNTIFS(Table113[Country],Tabela1[[#This Row],[Country]],Table113[Classical Classification],"&gt;0")</f>
        <v>0</v>
      </c>
      <c r="NM55" s="6">
        <f>COUNTIFS(Table113116[Country],Tabela1[[#This Row],[Country]],Table113116[Classical Classification],"&gt;0")</f>
        <v>0</v>
      </c>
      <c r="NN55" s="6">
        <f>COUNTIFS(Table113[Country],Tabela1[[#This Row],[Country]],Table113[Freestyle Classification],"&gt;0")</f>
        <v>0</v>
      </c>
      <c r="NO55" s="6">
        <f>COUNTIFS(Table113116[Country],Tabela1[[#This Row],[Country]],Table113116[Freestyle Classification],"&gt;0")</f>
        <v>0</v>
      </c>
      <c r="NP55" s="6">
        <f>COUNTIFS(Table117[Country],Tabela1[[#This Row],[Country]],Table117[Men''s Relay Classification],"&gt;0")</f>
        <v>0</v>
      </c>
      <c r="NQ55" s="6">
        <f>COUNTIFS(Table117[Country],Tabela1[[#This Row],[Country]],Table117[Women''s Relay Classification],"&gt;0")</f>
        <v>0</v>
      </c>
      <c r="NR55" s="6">
        <f>COUNTIFS(Table113[Country],Tabela1[[#This Row],[Country]],Table113[Skiathlon Classification],"&gt;0")</f>
        <v>0</v>
      </c>
      <c r="NS55" s="6">
        <f>COUNTIFS(Table113116[Country],Tabela1[[#This Row],[Country]],Table113116[Skiathlon Classification],"&gt;0")</f>
        <v>0</v>
      </c>
      <c r="NT55" s="6">
        <f>COUNTIFS(Table113[Country],Tabela1[[#This Row],[Country]],Table113[Sprint Classification],"&gt;0")</f>
        <v>0</v>
      </c>
      <c r="NU55" s="6">
        <f>COUNTIFS(Table113116[Country],Tabela1[[#This Row],[Country]],Table113116[Sprint Classification],"&gt;0")</f>
        <v>0</v>
      </c>
      <c r="NV55" s="6">
        <f>COUNTIFS(Table116[Country],Tabela1[[#This Row],[Country]],Table116[Men''s Team Sprint Classification],"&gt;0")</f>
        <v>0</v>
      </c>
      <c r="NW55" s="6">
        <f>COUNTIFS(Table116[Country],Tabela1[[#This Row],[Country]],Table116[Women''s Team Sprint Classification],"&gt;0")</f>
        <v>0</v>
      </c>
      <c r="NX55" s="6">
        <f>COUNTIFS(Table119[Country],Tabela1[[#This Row],[Country]],Table119[Men''s Classification],"&gt;0")</f>
        <v>0</v>
      </c>
      <c r="NY55" s="6">
        <f>COUNTIFS(Table119[Country],Tabela1[[#This Row],[Country]],Table119[Women''s Classification],"&gt;0")</f>
        <v>0</v>
      </c>
      <c r="NZ55" s="6">
        <f>COUNTIFS(Table118[Country],Tabela1[[#This Row],[Country]],Table118[Mixed Classification],"&gt;0")</f>
        <v>0</v>
      </c>
      <c r="OA55" s="6">
        <f>COUNTIFS(Table120[Country],Tabela1[[#This Row],[Country]],Table120[Classification],"&gt;0")</f>
        <v>0</v>
      </c>
      <c r="OB55" s="6">
        <f>COUNTIFS(Table120123[Country],Tabela1[[#This Row],[Country]],Table120123[Classification],"&gt;0")</f>
        <v>0</v>
      </c>
      <c r="OC55" s="6">
        <f>COUNTIFS(Table123[Country],Tabela1[[#This Row],[Country]],Table123[Ice Dance Classification],"&gt;0")</f>
        <v>0</v>
      </c>
      <c r="OD55" s="6">
        <f>COUNTIFS(Table123[Country],Tabela1[[#This Row],[Country]],Table123[Pair Skating Classification],"&gt;0")</f>
        <v>0</v>
      </c>
      <c r="OE55" s="6">
        <f>COUNTIFS(Table124[Country],Tabela1[[#This Row],[Country]],Table124[Mixed Classification],"&gt;0")</f>
        <v>0</v>
      </c>
      <c r="OF55" s="6">
        <f>COUNTIFS(Table125[Country],Tabela1[[#This Row],[Country]],Table125[Aerials Classification],"&gt;0")</f>
        <v>0</v>
      </c>
      <c r="OG55" s="6">
        <f>COUNTIFS(Table125128[Country],Tabela1[[#This Row],[Country]],Table125128[Aerials Classification],"&gt;0")</f>
        <v>0</v>
      </c>
      <c r="OH55" s="6">
        <f>COUNTIFS(Table128[Country],Tabela1[[#This Row],[Country]],Table128[Mixed Aerials Classification],"&gt;0")</f>
        <v>0</v>
      </c>
      <c r="OI55" s="6">
        <f>COUNTIFS(Table125[Country],Tabela1[[#This Row],[Country]],Table125[Big Air Classification],"&gt;0")</f>
        <v>0</v>
      </c>
      <c r="OJ55" s="6">
        <f>COUNTIFS(Table125128[Country],Tabela1[[#This Row],[Country]],Table125128[Big Air Classification],"&gt;0")</f>
        <v>0</v>
      </c>
      <c r="OK55" s="6">
        <f>COUNTIFS(Table125[Country],Tabela1[[#This Row],[Country]],Table125[Dual Moguls Classification],"&gt;0")</f>
        <v>0</v>
      </c>
      <c r="OL55" s="6">
        <f>COUNTIFS(Table125128[Country],Tabela1[[#This Row],[Country]],Table125128[Dual Moguls Classification],"&gt;0")</f>
        <v>0</v>
      </c>
      <c r="OM55" s="6">
        <f>COUNTIFS(Table125[Country],Tabela1[[#This Row],[Country]],Table125[Halfpipe Classification],"&gt;0")</f>
        <v>0</v>
      </c>
      <c r="ON55" s="6">
        <f>COUNTIFS(Table125128[Country],Tabela1[[#This Row],[Country]],Table125128[Halfpipe Classification],"&gt;0")</f>
        <v>0</v>
      </c>
      <c r="OO55" s="6">
        <f>COUNTIFS(Table125[Country],Tabela1[[#This Row],[Country]],Table125[Moguls Classification],"&gt;0")</f>
        <v>0</v>
      </c>
      <c r="OP55" s="6">
        <f>COUNTIFS(Table125128[Country],Tabela1[[#This Row],[Country]],Table125128[Moguls Classification],"&gt;0")</f>
        <v>0</v>
      </c>
      <c r="OQ55" s="6">
        <f>COUNTIFS(Table125[Country],Tabela1[[#This Row],[Country]],Table125[Ski Cross Classification],"&gt;0")</f>
        <v>0</v>
      </c>
      <c r="OR55" s="6">
        <f>COUNTIFS(Table125128[Country],Tabela1[[#This Row],[Country]],Table125128[Ski Cross Classification],"&gt;0")</f>
        <v>0</v>
      </c>
      <c r="OS55" s="6">
        <f>COUNTIFS(Table125[Country],Tabela1[[#This Row],[Country]],Table125[Slopestyle Classification],"&gt;0")</f>
        <v>0</v>
      </c>
      <c r="OT55" s="6">
        <f>COUNTIFS(Table125128[Country],Tabela1[[#This Row],[Country]],Table125128[Slopestyle Classification],"&gt;0")</f>
        <v>0</v>
      </c>
      <c r="OU55" s="6">
        <f>COUNTIFS(Table119131[Country],Tabela1[[#This Row],[Country]],Table119131[Men''s Classification],"&gt;0")</f>
        <v>0</v>
      </c>
      <c r="OV55" s="6">
        <f>COUNTIFS(Table119131[Country],Tabela1[[#This Row],[Country]],Table119131[Women''s Classification],"&gt;0")</f>
        <v>0</v>
      </c>
      <c r="OW55" s="6">
        <f>COUNTIFS(Table131[Country],Tabela1[[#This Row],[Country]],Table131[Classification],"&gt;0")</f>
        <v>0</v>
      </c>
      <c r="OX55" s="6">
        <f>COUNTIFS(Table131134[Country],Tabela1[[#This Row],[Country]],Table131134[Classification],"&gt;0")</f>
        <v>0</v>
      </c>
      <c r="OY55" s="6">
        <f>COUNTIFS(Table134[Country],Tabela1[[#This Row],[Country]],Table134[Men''s Classification],"&gt;0")</f>
        <v>0</v>
      </c>
      <c r="OZ55" s="6">
        <f>COUNTIFS(Table134[Country],Tabela1[[#This Row],[Country]],Table134[Women''s Classification],"&gt;0")</f>
        <v>0</v>
      </c>
      <c r="PA55" s="6">
        <f>COUNTIFS(Table135[Country],Tabela1[[#This Row],[Country]],Table135[Mixed Relay Classification],"&gt;0")</f>
        <v>0</v>
      </c>
      <c r="PB55" s="6">
        <f>COUNTIFS(Table136[Country],Tabela1[[#This Row],[Country]],Table136[Individual Classification],"&gt;0")</f>
        <v>0</v>
      </c>
      <c r="PC55" s="6">
        <f>COUNTIFS(Table136[Country],Tabela1[[#This Row],[Country]],Table136[Sprint Classification],"&gt;0")</f>
        <v>0</v>
      </c>
      <c r="PD55" s="6">
        <f>COUNTIFS(Table137[Country],Tabela1[[#This Row],[Country]],Table137[Men''s Team Sprint Large Hill Classification],"&gt;0")</f>
        <v>0</v>
      </c>
      <c r="PE55" s="6">
        <f>COUNTIFS(Table138[Country],Tabela1[[#This Row],[Country]],Table138[500m Classification],"&gt;0")</f>
        <v>0</v>
      </c>
      <c r="PF55" s="6">
        <f>COUNTIFS(Table138141[Country],Tabela1[[#This Row],[Country]],Table138141[500m Classification],"&gt;0")</f>
        <v>0</v>
      </c>
      <c r="PG55" s="6">
        <f>COUNTIFS(Table138[Country],Tabela1[[#This Row],[Country]],Table138[1000m Classification],"&gt;0")</f>
        <v>0</v>
      </c>
      <c r="PH55" s="6">
        <f>COUNTIFS(Table138141[Country],Tabela1[[#This Row],[Country]],Table138141[1000m Classification],"&gt;0")</f>
        <v>0</v>
      </c>
      <c r="PI55" s="6">
        <f>COUNTIFS(Table138[Country],Tabela1[[#This Row],[Country]],Table138[1500m Classification],"&gt;0")</f>
        <v>0</v>
      </c>
      <c r="PJ55" s="6">
        <f>COUNTIFS(Table138141[Country],Tabela1[[#This Row],[Country]],Table138141[1500m Classification],"&gt;0")</f>
        <v>0</v>
      </c>
      <c r="PK55" s="6">
        <f>COUNTIFS(Table141[Country],Tabela1[[#This Row],[Country]],Table141[Men''s 5000m Relay Classification],"&gt;0")</f>
        <v>0</v>
      </c>
      <c r="PL55" s="6">
        <f>COUNTIFS(Table141[Country],Tabela1[[#This Row],[Country]],Table141[Women''s 3000m Relay Classification],"&gt;0")</f>
        <v>0</v>
      </c>
      <c r="PM55" s="6">
        <f>COUNTIFS(Table141[Country],Tabela1[[#This Row],[Country]],Table141[Mixed 2000m Relay Classification],"&gt;0")</f>
        <v>0</v>
      </c>
      <c r="PN55" s="6">
        <f>COUNTIFS(Table142[Country],Tabela1[[#This Row],[Country]],Table142[Classification],"&gt;0")</f>
        <v>0</v>
      </c>
      <c r="PO55" s="6">
        <f>COUNTIFS(Table142145[Country],Tabela1[[#This Row],[Country]],Table142145[Classification],"&gt;0")</f>
        <v>0</v>
      </c>
      <c r="PP55" s="6">
        <f>COUNTIFS(Tabela15[Country],Tabela1[[#This Row],[Country]],Tabela15[Mixed Team Classification],"&gt;0")</f>
        <v>0</v>
      </c>
      <c r="PQ55" s="6">
        <f>COUNTIFS(Table145[Country],Tabela1[[#This Row],[Country]],Table145[Large Hill Classification],"&gt;0")</f>
        <v>0</v>
      </c>
      <c r="PR55" s="6">
        <f>COUNTIFS(Table145[Country],Tabela1[[#This Row],[Country]],Table145[Normal Hill Classification],"&gt;0")</f>
        <v>0</v>
      </c>
      <c r="PS55" s="6">
        <f>COUNTIFS(Table145148[Country],Tabela1[[#This Row],[Country]],Table145148[Large Hill Classification],"&gt;0")</f>
        <v>0</v>
      </c>
      <c r="PT55" s="6">
        <f>COUNTIFS(Table145148[Country],Tabela1[[#This Row],[Country]],Table145148[Normal Hill Classification],"&gt;0")</f>
        <v>0</v>
      </c>
      <c r="PU55" s="6">
        <f>COUNTIFS(Table148[Country],Tabela1[[#This Row],[Country]],Table148[Men''s Super Team Classification],"&gt;0")</f>
        <v>0</v>
      </c>
      <c r="PV55" s="6">
        <f>COUNTIFS(Tabela114[Country],Tabela1[[#This Row],[Country]],Tabela114[Mixed Normal Hill Classification],"&gt;0")</f>
        <v>0</v>
      </c>
      <c r="PW55" s="6">
        <f>COUNTIFS(Tabela50[Country],Tabela1[[#This Row],[Country]],Tabela50[Sprint Classification],"&gt;0")</f>
        <v>0</v>
      </c>
      <c r="PX55" s="6">
        <f>COUNTIFS(Tabela50101[Country],Tabela1[[#This Row],[Country]],Tabela50101[Sprint Classification],"&gt;0")</f>
        <v>0</v>
      </c>
      <c r="PY55" s="6">
        <f>COUNTIFS(Tabela103[Country],Tabela1[[#This Row],[Country]],Tabela103[Mixed Relay Classification],"&gt;0")</f>
        <v>0</v>
      </c>
      <c r="PZ55" s="6">
        <f>COUNTIFS(Table149[Country],Tabela1[[#This Row],[Country]],Table149[Big Air Classification],"&gt;0")</f>
        <v>0</v>
      </c>
      <c r="QA55" s="6">
        <f>COUNTIFS(Table149152[Country],Tabela1[[#This Row],[Country]],Table149152[Big Air Classification],"&gt;0")</f>
        <v>0</v>
      </c>
      <c r="QB55" s="6">
        <f>COUNTIFS(Table149[Country],Tabela1[[#This Row],[Country]],Table149[Halfpipe Classification],"&gt;0")</f>
        <v>0</v>
      </c>
      <c r="QC55" s="6">
        <f>COUNTIFS(Table149152[Country],Tabela1[[#This Row],[Country]],Table149152[Halfpipe Classification],"&gt;0")</f>
        <v>0</v>
      </c>
      <c r="QD55" s="6">
        <f>COUNTIFS(Table149[Country],Tabela1[[#This Row],[Country]],Table149[Parallel Giant Slalom Classification],"&gt;0")</f>
        <v>0</v>
      </c>
      <c r="QE55" s="6">
        <f>COUNTIFS(Table149152[Country],Tabela1[[#This Row],[Country]],Table149152[Parallel Giant Slalom Classification],"&gt;0")</f>
        <v>0</v>
      </c>
      <c r="QF55" s="6">
        <f>COUNTIFS(Table149[Country],Tabela1[[#This Row],[Country]],Table149[Slopestyle Classification],"&gt;0")</f>
        <v>0</v>
      </c>
      <c r="QG55" s="6">
        <f>COUNTIFS(Table149152[Country],Tabela1[[#This Row],[Country]],Table149152[Slopestyle Classification],"&gt;0")</f>
        <v>0</v>
      </c>
      <c r="QH55" s="6">
        <f>COUNTIFS(Table149[Country],Tabela1[[#This Row],[Country]],Table149[Snowboard Cross Classification],"&gt;0")</f>
        <v>0</v>
      </c>
      <c r="QI55" s="6">
        <f>COUNTIFS(Table149152[Country],Tabela1[[#This Row],[Country]],Table149152[Snowboard Cross Classification],"&gt;0")</f>
        <v>0</v>
      </c>
      <c r="QJ55" s="6">
        <f>COUNTIFS(Table153[Country],Tabela1[[#This Row],[Country]],Table153[Mixed Team Snowboard Cross Classification],"&gt;0")</f>
        <v>0</v>
      </c>
      <c r="QK55" s="6">
        <f>COUNTIFS(Table154[Country],Tabela1[[#This Row],[Country]],Table154[500m Classification],"&gt;0")</f>
        <v>0</v>
      </c>
      <c r="QL55" s="6">
        <f>COUNTIFS(Table154157[Country],Tabela1[[#This Row],[Country]],Table154157[500m Classification],"&gt;0")</f>
        <v>0</v>
      </c>
      <c r="QM55" s="6">
        <f>COUNTIFS(Table154[Country],Tabela1[[#This Row],[Country]],Table154[1000m Classification],"&gt;0")</f>
        <v>0</v>
      </c>
      <c r="QN55" s="6">
        <f>COUNTIFS(Table154157[Country],Tabela1[[#This Row],[Country]],Table154157[1000m Classification],"&gt;0")</f>
        <v>0</v>
      </c>
      <c r="QO55" s="6">
        <f>COUNTIFS(Table154[Country],Tabela1[[#This Row],[Country]],Table154[1500m Classification],"&gt;0")</f>
        <v>0</v>
      </c>
      <c r="QP55" s="6">
        <f>COUNTIFS(Table154157[Country],Tabela1[[#This Row],[Country]],Table154157[1500m Classification],"&gt;0")</f>
        <v>0</v>
      </c>
      <c r="QQ55" s="6">
        <f>COUNTIFS(Table154157[Country],Tabela1[[#This Row],[Country]],Table154157[3000m Classification],"&gt;0")</f>
        <v>0</v>
      </c>
      <c r="QR55" s="6">
        <f>COUNTIFS(Table154[Country],Tabela1[[#This Row],[Country]],Table154[5000m Classification],"&gt;0")</f>
        <v>0</v>
      </c>
      <c r="QS55" s="6">
        <f>COUNTIFS(Table154157[Country],Tabela1[[#This Row],[Country]],Table154157[5000m Classification],"&gt;0")</f>
        <v>0</v>
      </c>
      <c r="QT55" s="6">
        <f>COUNTIFS(Table154[Country],Tabela1[[#This Row],[Country]],Table154[10000m Classification],"&gt;0")</f>
        <v>0</v>
      </c>
      <c r="QU55" s="6">
        <f>COUNTIFS(Table154[Country],Tabela1[[#This Row],[Country]],Table154[Mass Start Classification],"&gt;0")</f>
        <v>0</v>
      </c>
      <c r="QV55" s="6">
        <f>COUNTIFS(Table154157[Country],Tabela1[[#This Row],[Country]],Table154157[Mass Start Classification],"&gt;0")</f>
        <v>0</v>
      </c>
      <c r="QW55" s="6">
        <f>COUNTIFS(Table157[Country],Tabela1[[#This Row],[Country]],Table157[Men''s Pursuit Classification],"&gt;0")</f>
        <v>0</v>
      </c>
      <c r="QX55" s="6">
        <f>COUNTIFS(Table157[Country],Tabela1[[#This Row],[Country]],Table157[Women''s Pursuit Classification],"&gt;0")</f>
        <v>0</v>
      </c>
      <c r="QY55" s="3" t="s">
        <v>401</v>
      </c>
    </row>
    <row r="56" spans="1:467" x14ac:dyDescent="0.3">
      <c r="A56" s="6">
        <v>55</v>
      </c>
      <c r="B56" s="6" t="s">
        <v>576</v>
      </c>
      <c r="C56" t="e" vm="55">
        <f>IF(ISBLANK(Tabela1[[#This Row],[Image Link]]), "", _xlfn.IMAGE(Tabela1[[#This Row],[Image Link]],1,1))</f>
        <v>#VALUE!</v>
      </c>
      <c r="D56" s="6">
        <f>SUM(Tabela1[[#This Row],[Archery - Men''s Individual Recurve]:[Speed Skating - Women''s Team Pursuit]])</f>
        <v>11</v>
      </c>
      <c r="E56" s="6">
        <f>COUNTIF(Tabela1[[#This Row],[Archery - Men''s Individual Recurve]:[Speed Skating - Women''s Team Pursuit]],"&gt;0")</f>
        <v>6</v>
      </c>
      <c r="F56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56" s="6">
        <f>SUM(Tabela1[[#This Row],[Archery - Men''s Individual Recurve]:[Wrestling - Women''s Freestyle 76kg]])</f>
        <v>11</v>
      </c>
      <c r="H56" s="6">
        <f>SUM(Tabela1[[#This Row],[Alpine Skiing - Men''s Downhill]:[Speed Skating - Women''s Team Pursuit]])</f>
        <v>0</v>
      </c>
      <c r="I56" s="6">
        <f>Tabela1[[#This Row],[Summer Gold Medals]]+Tabela1[[#This Row],[Winter Gold Medals]]</f>
        <v>1</v>
      </c>
      <c r="J56" s="6">
        <f>Tabela1[[#This Row],[Summer Silver Medals]]+Tabela1[[#This Row],[Winter Silver Medals]]</f>
        <v>3</v>
      </c>
      <c r="K56" s="6">
        <f>Tabela1[[#This Row],[Summer Bronze Medals]]+Tabela1[[#This Row],[Winter Bronze Medals]]</f>
        <v>0</v>
      </c>
      <c r="L56" s="6">
        <f>SUM(Tabela1[[#This Row],[Total Gold Medals]:[Total Bronze Medals]])</f>
        <v>4</v>
      </c>
      <c r="M56" s="6">
        <v>1</v>
      </c>
      <c r="N56" s="6">
        <v>3</v>
      </c>
      <c r="O56" s="6"/>
      <c r="P56" s="6">
        <f>SUM(Tabela1[[#This Row],[Summer Gold Medals]:[Summer Bronze Medals]])</f>
        <v>4</v>
      </c>
      <c r="Q56" s="6"/>
      <c r="R56" s="6"/>
      <c r="S56" s="6"/>
      <c r="T56" s="6">
        <f>Tabela1[[#This Row],[Winter Gold Medals]]+Tabela1[[#This Row],[Winter Silver Medals]]+Tabela1[[#This Row],[Winter Bronze Medals]]</f>
        <v>0</v>
      </c>
      <c r="U56" s="7">
        <f>Tabela1[[#This Row],[Total Medals]]/Tabela1[[#This Row],[Total Quotas]]</f>
        <v>0.36363636363636365</v>
      </c>
      <c r="V56" s="6">
        <f>COUNTIFS(Table3[Country],Tabela1[[#This Row],[Country]],Table3[Recurve Classification],"&gt;0")</f>
        <v>0</v>
      </c>
      <c r="W56" s="6">
        <f>COUNTIFS(Table33[Country],Tabela1[[#This Row],[Country]],Table33[Recurve Classification],"&gt;0")</f>
        <v>0</v>
      </c>
      <c r="X56" s="6">
        <f>COUNTIFS(Table35[Country],Tabela1[[#This Row],[Country]],Table35[Men''s Team Recurve Classification],"&gt;0")</f>
        <v>0</v>
      </c>
      <c r="Y56" s="6">
        <f>COUNTIFS(Table35[Country],Tabela1[[#This Row],[Country]],Table35[Women''s Team Recurve Classification],"&gt;0")</f>
        <v>0</v>
      </c>
      <c r="Z56" s="6">
        <f>COUNTIFS(Tabela88[Country],Tabela1[[#This Row],[Country]],Tabela88[Mixed Team Recurve Classification],"&gt;0")</f>
        <v>0</v>
      </c>
      <c r="AA56" s="6">
        <f>COUNTIFS(Table36[Country],Tabela1[[#This Row],[Country]],Table36[Classification],"&gt;0")</f>
        <v>0</v>
      </c>
      <c r="AB56" s="6">
        <f>COUNTIFS(Table37[Country],Tabela1[[#This Row],[Country]],Table37[Classification],"&gt;0")</f>
        <v>0</v>
      </c>
      <c r="AC56" s="6">
        <f>COUNTIFS(Table4[Country],Tabela1[[#This Row],[Country]],Table4[100m Classification],"&gt;0")</f>
        <v>0</v>
      </c>
      <c r="AD56" s="6">
        <f>COUNTIFS(Table5[Country],Tabela1[[#This Row],[Country]],Table5[100m Classification],"&gt;0")</f>
        <v>0</v>
      </c>
      <c r="AE56" s="6">
        <f>COUNTIFS(Table4[Country],Tabela1[[#This Row],[Country]],Table4[200m Classification],"&gt;0")</f>
        <v>0</v>
      </c>
      <c r="AF56" s="6">
        <f>COUNTIFS(Table5[Country],Tabela1[[#This Row],[Country]],Table5[200m Classification],"&gt;0")</f>
        <v>0</v>
      </c>
      <c r="AG56" s="6">
        <f>COUNTIFS(Table4[Country],Tabela1[[#This Row],[Country]],Table4[400m Classification],"&gt;0")</f>
        <v>0</v>
      </c>
      <c r="AH56" s="6">
        <f>COUNTIFS(Table5[Country],Tabela1[[#This Row],[Country]],Table5[400m Classification],"&gt;0")</f>
        <v>0</v>
      </c>
      <c r="AI56" s="6">
        <f>COUNTIFS(Table4[Country],Tabela1[[#This Row],[Country]],Table4[800m Classification],"&gt;0")</f>
        <v>0</v>
      </c>
      <c r="AJ56" s="6">
        <f>COUNTIFS(Table5[Country],Tabela1[[#This Row],[Country]],Table5[800m Classification],"&gt;0")</f>
        <v>1</v>
      </c>
      <c r="AK56" s="6">
        <f>COUNTIFS(Table4[Country],Tabela1[[#This Row],[Country]],Table4[1500m Classification],"&gt;0")</f>
        <v>0</v>
      </c>
      <c r="AL56" s="6">
        <f>COUNTIFS(Table5[Country],Tabela1[[#This Row],[Country]],Table5[1500m Classification],"&gt;0")</f>
        <v>1</v>
      </c>
      <c r="AM56" s="6">
        <f>COUNTIFS(Table4[Country],Tabela1[[#This Row],[Country]],Table4[5000m Classification],"&gt;0")</f>
        <v>2</v>
      </c>
      <c r="AN56" s="6">
        <f>COUNTIFS(Table5[Country],Tabela1[[#This Row],[Country]],Table5[5000m Classification],"&gt;0")</f>
        <v>2</v>
      </c>
      <c r="AO56" s="6">
        <f>COUNTIFS(Table4[Country],Tabela1[[#This Row],[Country]],Table4[10000m Classification],"&gt;0")</f>
        <v>2</v>
      </c>
      <c r="AP56" s="6">
        <f>COUNTIFS(Table5[Country],Tabela1[[#This Row],[Country]],Table5[10000m Classification],"&gt;0")</f>
        <v>3</v>
      </c>
      <c r="AQ56" s="6">
        <f>COUNTIFS(Table4[Country],Tabela1[[#This Row],[Country]],Table4[110m Hurdles Classification],"&gt;0")</f>
        <v>0</v>
      </c>
      <c r="AR56" s="6">
        <f>COUNTIFS(Table5[Country],Tabela1[[#This Row],[Country]],Table5[100m Hurdles Classification],"&gt;0")</f>
        <v>0</v>
      </c>
      <c r="AS56" s="6">
        <f>COUNTIFS(Table4[Country],Tabela1[[#This Row],[Country]],Table4[400m Hurdles Classification],"&gt;0")</f>
        <v>0</v>
      </c>
      <c r="AT56" s="6">
        <f>COUNTIFS(Table5[Country],Tabela1[[#This Row],[Country]],Table5[400m Hurdles Classification],"&gt;0")</f>
        <v>0</v>
      </c>
      <c r="AU56" s="6">
        <f>COUNTIFS(Table4[Country],Tabela1[[#This Row],[Country]],Table4[3000m Steeplechase Classification],"&gt;0")</f>
        <v>0</v>
      </c>
      <c r="AV56" s="6">
        <f>COUNTIFS(Table5[Country],Tabela1[[#This Row],[Country]],Table5[3000m Steeplechase Classification],"&gt;0")</f>
        <v>0</v>
      </c>
      <c r="AW56" s="6">
        <f>COUNTIFS(Table27[Country],Tabela1[[#This Row],[Country]],Table27[Men''s 4x100m Relay Classification],"&gt;0")</f>
        <v>0</v>
      </c>
      <c r="AX56" s="6">
        <f>COUNTIFS(Table27[Country],Tabela1[[#This Row],[Country]],Table27[Women''s 4x100m Relay Classification],"&gt;0")</f>
        <v>0</v>
      </c>
      <c r="AY56" s="6">
        <f>COUNTIFS(Table27[Country],Tabela1[[#This Row],[Country]],Table27[Men''s 4x400m Relay Classification],"&gt;0")</f>
        <v>0</v>
      </c>
      <c r="AZ56" s="6">
        <f>COUNTIFS(Table27[Country],Tabela1[[#This Row],[Country]],Table27[Women''s 4x400m Relay Classification],"&gt;0")</f>
        <v>0</v>
      </c>
      <c r="BA56" s="6">
        <f>COUNTIFS(Table27[Country],Tabela1[[#This Row],[Country]],Table27[Mixed 4x400m Relay Classification],"&gt;0")</f>
        <v>0</v>
      </c>
      <c r="BB56" s="6">
        <f>COUNTIFS(Table4[Country],Tabela1[[#This Row],[Country]],Table4[Marathon Classification],"&gt;0")</f>
        <v>0</v>
      </c>
      <c r="BC56" s="6">
        <f>COUNTIFS(Table5[Country],Tabela1[[#This Row],[Country]],Table5[Marathon Classification],"&gt;0")</f>
        <v>0</v>
      </c>
      <c r="BD56" s="6">
        <f>COUNTIFS(Table4[Country],Tabela1[[#This Row],[Country]],Table4[20km Race Walk Classification],"&gt;0")</f>
        <v>0</v>
      </c>
      <c r="BE56" s="6">
        <f>COUNTIFS(Table5[Country],Tabela1[[#This Row],[Country]],Table5[20km Race Walk Classification],"&gt;0")</f>
        <v>0</v>
      </c>
      <c r="BF56" s="6">
        <f>COUNTIFS(Tabela96[Country],Tabela1[[#This Row],[Country]],Tabela96[Mixed Marathon Race Walk Relay Classification],"&gt;0")</f>
        <v>0</v>
      </c>
      <c r="BG56" s="6">
        <f>COUNTIFS(Table4[Country],Tabela1[[#This Row],[Country]],Table4[Discus Throw Classification],"&gt;0")</f>
        <v>0</v>
      </c>
      <c r="BH56" s="6">
        <f>COUNTIFS(Table5[Country],Tabela1[[#This Row],[Country]],Table5[Discus Throw Classification],"&gt;0")</f>
        <v>0</v>
      </c>
      <c r="BI56" s="6">
        <f>COUNTIFS(Table4[Country],Tabela1[[#This Row],[Country]],Table4[Hammer Throw Classification],"&gt;0")</f>
        <v>0</v>
      </c>
      <c r="BJ56" s="6">
        <f>COUNTIFS(Table5[Country],Tabela1[[#This Row],[Country]],Table5[Hammer Throw Classification],"&gt;0")</f>
        <v>0</v>
      </c>
      <c r="BK56" s="6">
        <f>COUNTIFS(Table4[Country],Tabela1[[#This Row],[Country]],Table4[High Jump Classification],"&gt;0")</f>
        <v>0</v>
      </c>
      <c r="BL56" s="6">
        <f>COUNTIFS(Table5[Country],Tabela1[[#This Row],[Country]],Table5[High Jump Classification],"&gt;0")</f>
        <v>0</v>
      </c>
      <c r="BM56" s="6">
        <f>COUNTIFS(Table4[Country],Tabela1[[#This Row],[Country]],Table4[Javelin Throw Classification],"&gt;0")</f>
        <v>0</v>
      </c>
      <c r="BN56" s="6">
        <f>COUNTIFS(Table5[Country],Tabela1[[#This Row],[Country]],Table5[Javelin Throw Classification],"&gt;0")</f>
        <v>0</v>
      </c>
      <c r="BO56" s="6">
        <f>COUNTIFS(Table4[Country],Tabela1[[#This Row],[Country]],Table4[Long Jump Classification],"&gt;0")</f>
        <v>0</v>
      </c>
      <c r="BP56" s="6">
        <f>COUNTIFS(Table5[Country],Tabela1[[#This Row],[Country]],Table5[Long Jump Classification],"&gt;0")</f>
        <v>0</v>
      </c>
      <c r="BQ56" s="6">
        <f>COUNTIFS(Table4[Country],Tabela1[[#This Row],[Country]],Table4[Pole Vault Classification],"&gt;0")</f>
        <v>0</v>
      </c>
      <c r="BR56" s="6">
        <f>COUNTIFS(Table5[Country],Tabela1[[#This Row],[Country]],Table5[Pole Vault Classification],"&gt;0")</f>
        <v>0</v>
      </c>
      <c r="BS56" s="6">
        <f>COUNTIFS(Table4[Country],Tabela1[[#This Row],[Country]],Table4[Shot Put Classification],"&gt;0")</f>
        <v>0</v>
      </c>
      <c r="BT56" s="6">
        <f>COUNTIFS(Table5[Country],Tabela1[[#This Row],[Country]],Table5[Shot Put Classification],"&gt;0")</f>
        <v>0</v>
      </c>
      <c r="BU56" s="6">
        <f>COUNTIFS(Table4[Country],Tabela1[[#This Row],[Country]],Table4[Triple Jump Classification],"&gt;0")</f>
        <v>0</v>
      </c>
      <c r="BV56" s="6">
        <f>COUNTIFS(Table5[Country],Tabela1[[#This Row],[Country]],Table5[Triple Jump Classification],"&gt;0")</f>
        <v>0</v>
      </c>
      <c r="BW56" s="6">
        <f>COUNTIFS(Table4[Country],Tabela1[[#This Row],[Country]],Table4[Decathlon Classification],"&gt;0")</f>
        <v>0</v>
      </c>
      <c r="BX56" s="6">
        <f>COUNTIFS(Table5[Country],Tabela1[[#This Row],[Country]],Table5[Heptathlon Classification],"&gt;0")</f>
        <v>0</v>
      </c>
      <c r="BY56" s="6">
        <f>COUNTIFS(Table61[Country],Tabela1[[#This Row],[Country]],Table61[Classification],"&gt;0")</f>
        <v>0</v>
      </c>
      <c r="BZ56" s="6">
        <f>COUNTIFS(Table38[Country],Tabela1[[#This Row],[Country]],Table38[Classification],"&gt;0")</f>
        <v>0</v>
      </c>
      <c r="CA56" s="6">
        <f>COUNTIFS(Table39[Country],Tabela1[[#This Row],[Country]],Table39[Men''s Classification],"&gt;0")</f>
        <v>0</v>
      </c>
      <c r="CB56" s="6">
        <f>COUNTIFS(Table39[Country],Tabela1[[#This Row],[Country]],Table39[Women''s Classification],"&gt;0")</f>
        <v>0</v>
      </c>
      <c r="CC56" s="6">
        <f>COUNTIFS(Table39[Country],Tabela1[[#This Row],[Country]],Table39[Mixed Classification],"&gt;0")</f>
        <v>0</v>
      </c>
      <c r="CD56" s="6">
        <f>COUNTIFS(Table89[Country],Tabela1[[#This Row],[Country]],Table89[Men''s Classification],"&gt;0")</f>
        <v>0</v>
      </c>
      <c r="CE56" s="6">
        <f>COUNTIFS(Table89[Country],Tabela1[[#This Row],[Country]],Table89[Women''s Classification],"&gt;0")</f>
        <v>0</v>
      </c>
      <c r="CF56" s="6">
        <f>COUNTIFS(Table90[Country],Tabela1[[#This Row],[Country]],Table90[Men''s Classification],"&gt;0")</f>
        <v>0</v>
      </c>
      <c r="CG56" s="6">
        <f>COUNTIFS(Table90[Country],Tabela1[[#This Row],[Country]],Table90[Women''s Classification],"&gt;0")</f>
        <v>0</v>
      </c>
      <c r="CH56" s="6">
        <f>COUNTIFS(Table60[Country],Tabela1[[#This Row],[Country]],Table60[Men''s Classification],"&gt;0")</f>
        <v>0</v>
      </c>
      <c r="CI56" s="6">
        <f>COUNTIFS(Table60[Country],Tabela1[[#This Row],[Country]],Table60[Women''s Classification],"&gt;0")</f>
        <v>0</v>
      </c>
      <c r="CJ56" s="6">
        <f>COUNTIFS(Table6[Country],Tabela1[[#This Row],[Country]],Table6[51kg Classification],"&gt;0")</f>
        <v>0</v>
      </c>
      <c r="CK56" s="6">
        <f>COUNTIFS(Table6[Country],Tabela1[[#This Row],[Country]],Table6[57kg Classification],"&gt;0")</f>
        <v>0</v>
      </c>
      <c r="CL56" s="6">
        <f>COUNTIFS(Table6[Country],Tabela1[[#This Row],[Country]],Table6[63.5kg Classification],"&gt;0")</f>
        <v>0</v>
      </c>
      <c r="CM56" s="6">
        <f>COUNTIFS(Table6[Country],Tabela1[[#This Row],[Country]],Table6[71kg Classification],"&gt;0")</f>
        <v>0</v>
      </c>
      <c r="CN56" s="6">
        <f>COUNTIFS(Table6[Country],Tabela1[[#This Row],[Country]],Table6[80kg Classification],"&gt;0")</f>
        <v>0</v>
      </c>
      <c r="CO56" s="6">
        <f>COUNTIFS(Table6[Country],Tabela1[[#This Row],[Country]],Table6[92kg Classification],"&gt;0")</f>
        <v>0</v>
      </c>
      <c r="CP56" s="6">
        <f>COUNTIFS(Table6[Country],Tabela1[[#This Row],[Country]],Table6[Plus 92kg Classification],"&gt;0")</f>
        <v>0</v>
      </c>
      <c r="CQ56" s="6">
        <f>COUNTIFS(Table7[Country],Tabela1[[#This Row],[Country]],Table7[50kg Classification],"&gt;0")</f>
        <v>0</v>
      </c>
      <c r="CR56" s="6">
        <f>COUNTIFS(Table7[Country],Tabela1[[#This Row],[Country]],Table7[54kg Classification],"&gt;0")</f>
        <v>0</v>
      </c>
      <c r="CS56" s="6">
        <f>COUNTIFS(Table7[Country],Tabela1[[#This Row],[Country]],Table7[57kg Classification],"&gt;0")</f>
        <v>0</v>
      </c>
      <c r="CT56" s="6">
        <f>COUNTIFS(Table7[Country],Tabela1[[#This Row],[Country]],Table7[60kg Classification],"&gt;0")</f>
        <v>0</v>
      </c>
      <c r="CU56" s="6">
        <f>COUNTIFS(Table7[Country],Tabela1[[#This Row],[Country]],Table7[66kg Classification],"&gt;0")</f>
        <v>0</v>
      </c>
      <c r="CV56" s="6">
        <f>COUNTIFS(Table7[Country],Tabela1[[#This Row],[Country]],Table7[75kg Classification],"&gt;0")</f>
        <v>0</v>
      </c>
      <c r="CW56" s="6">
        <f>COUNTIFS(Tabela94[Country],Tabela1[[#This Row],[Country]],Tabela94[Classification],"&gt;0")</f>
        <v>0</v>
      </c>
      <c r="CX56" s="6">
        <f>COUNTIFS(Tabela9499[Country],Tabela1[[#This Row],[Country]],Tabela9499[Classification],"&gt;0")</f>
        <v>0</v>
      </c>
      <c r="CY56" s="6">
        <f>COUNTIFS(Tabela107[Country],Tabela1[[#This Row],[Country]],Tabela107[C1 Slalom Classification],"&gt;0")</f>
        <v>0</v>
      </c>
      <c r="CZ56" s="6">
        <f>COUNTIFS(Tabela107122[Country],Tabela1[[#This Row],[Country]],Tabela107122[C1 Slalom Classification],"&gt;0")</f>
        <v>0</v>
      </c>
      <c r="DA56" s="6">
        <f>COUNTIFS(Tabela107[Country],Tabela1[[#This Row],[Country]],Tabela107[K1 Slalom Classification],"&gt;0")</f>
        <v>0</v>
      </c>
      <c r="DB56" s="6">
        <f>COUNTIFS(Tabela107122[Country],Tabela1[[#This Row],[Country]],Tabela107122[K1 Slalom Classification],"&gt;0")</f>
        <v>0</v>
      </c>
      <c r="DC56" s="6">
        <f>COUNTIFS(Tabela107[Country],Tabela1[[#This Row],[Country]],Tabela107[Kayak Cross Slalom Classification],"&gt;0")</f>
        <v>0</v>
      </c>
      <c r="DD56" s="6">
        <f>COUNTIFS(Tabela107122[Country],Tabela1[[#This Row],[Country]],Tabela107122[Kayak Cross Slalom Classification],"&gt;0")</f>
        <v>0</v>
      </c>
      <c r="DE56" s="6">
        <f>COUNTIFS(Table8[Country],Tabela1[[#This Row],[Country]],Table8[C1 200m Classification],"&gt;0")</f>
        <v>0</v>
      </c>
      <c r="DF56" s="6">
        <f>COUNTIFS(Table40[Country],Tabela1[[#This Row],[Country]],Table40[C1 1000m Classification],"&gt;0")</f>
        <v>0</v>
      </c>
      <c r="DG56" s="6">
        <f>COUNTIFS(Table68[Country],Tabela1[[#This Row],[Country]],Table68[Men''s C2 500m Classification],"&gt;0")</f>
        <v>0</v>
      </c>
      <c r="DH56" s="6">
        <f>COUNTIFS(Table68[Country],Tabela1[[#This Row],[Country]],Table68[Women''s C2 500m Classification],"&gt;0")</f>
        <v>0</v>
      </c>
      <c r="DI56" s="6">
        <f>COUNTIFS(Table8[Country],Tabela1[[#This Row],[Country]],Table8[K1 500m Classification],"&gt;0")</f>
        <v>0</v>
      </c>
      <c r="DJ56" s="6">
        <f>COUNTIFS(Table40[Country],Tabela1[[#This Row],[Country]],Table40[K1 1000m Classification],"&gt;0")</f>
        <v>0</v>
      </c>
      <c r="DK56" s="6">
        <f>COUNTIFS(Table68[Country],Tabela1[[#This Row],[Country]],Table68[Men''s K2 500m Classification],"&gt;0")</f>
        <v>0</v>
      </c>
      <c r="DL56" s="6">
        <f>COUNTIFS(Table68[Country],Tabela1[[#This Row],[Country]],Table68[Women''s K2 500m Classification],"&gt;0")</f>
        <v>0</v>
      </c>
      <c r="DM56" s="6">
        <f>COUNTIFS(Table83[Country],Tabela1[[#This Row],[Country]],Table83[Men''s K4 500m Classification],"&gt;0")</f>
        <v>0</v>
      </c>
      <c r="DN56" s="6">
        <f>COUNTIFS(Table83[Country],Tabela1[[#This Row],[Country]],Table83[Women''s K4 500m Classification],"&gt;0")</f>
        <v>0</v>
      </c>
      <c r="DO56" s="6">
        <f>COUNTIFS(Tabela126[Country],Tabela1[[#This Row],[Country]],Tabela126[Classification],"&gt;0")</f>
        <v>0</v>
      </c>
      <c r="DP56" s="6">
        <f>COUNTIFS(Tabela126130[Country],Tabela1[[#This Row],[Country]],Tabela126130[Classification],"&gt;0")</f>
        <v>0</v>
      </c>
      <c r="DQ56" s="6">
        <f>COUNTIFS(Table70[Country],Tabela1[[#This Row],[Country]],Table70[Classification],"&gt;0")</f>
        <v>0</v>
      </c>
      <c r="DR56" s="6">
        <f>COUNTIFS(Table80[Country],Tabela1[[#This Row],[Country]],Table80[Classification],"&gt;0")</f>
        <v>0</v>
      </c>
      <c r="DS56" s="6">
        <f>COUNTIFS(Table66[Country],Tabela1[[#This Row],[Country]],Table66[Classification],"&gt;0")</f>
        <v>0</v>
      </c>
      <c r="DT56" s="6">
        <f>COUNTIFS(Table67[Country],Tabela1[[#This Row],[Country]],Table67[Classification],"&gt;0")</f>
        <v>0</v>
      </c>
      <c r="DU56" s="6">
        <f>COUNTIFS(Table69[Country],Tabela1[[#This Row],[Country]],Table69[Keirin Classification],"&gt;0")</f>
        <v>0</v>
      </c>
      <c r="DV56" s="6">
        <f>COUNTIFS(Table41[Country],Tabela1[[#This Row],[Country]],Table41[Keirin Classification],"&gt;0")</f>
        <v>0</v>
      </c>
      <c r="DW56" s="6">
        <f>COUNTIFS(Table84[Country],Tabela1[[#This Row],[Country]],Table84[Men''s Madison Classification],"&gt;0")</f>
        <v>0</v>
      </c>
      <c r="DX56" s="6">
        <f>COUNTIFS(Table84[Country],Tabela1[[#This Row],[Country]],Table84[Women''s Madison Classification],"&gt;0")</f>
        <v>0</v>
      </c>
      <c r="DY56" s="6">
        <f>COUNTIFS(Table69[Country],Tabela1[[#This Row],[Country]],Table69[Omnium Classification],"&gt;0")</f>
        <v>0</v>
      </c>
      <c r="DZ56" s="6">
        <f>COUNTIFS(Table41[Country],Tabela1[[#This Row],[Country]],Table41[Omnium Classification],"&gt;0")</f>
        <v>0</v>
      </c>
      <c r="EA56" s="6">
        <f>COUNTIFS(Table9[Country],Tabela1[[#This Row],[Country]],Table9[Road Race Classification],"&gt;0")</f>
        <v>0</v>
      </c>
      <c r="EB56" s="6">
        <f>COUNTIFS(Table14[Country],Tabela1[[#This Row],[Country]],Table14[Road Race Classification],"&gt;0")</f>
        <v>0</v>
      </c>
      <c r="EC56" s="6">
        <f>COUNTIFS(Table69[Country],Tabela1[[#This Row],[Country]],Table69[Sprint Classification],"&gt;0")</f>
        <v>0</v>
      </c>
      <c r="ED56" s="6">
        <f>COUNTIFS(Table41[Country],Tabela1[[#This Row],[Country]],Table41[Sprint Classification],"&gt;0")</f>
        <v>0</v>
      </c>
      <c r="EE56" s="6">
        <f>COUNTIFS(Table85[Country],Tabela1[[#This Row],[Country]],Table85[Men''s Sprint Classification],"&gt;0")</f>
        <v>0</v>
      </c>
      <c r="EF56" s="6">
        <f>COUNTIFS(Table85[Country],Tabela1[[#This Row],[Country]],Table85[Women''s Sprint Classification],"&gt;0")</f>
        <v>0</v>
      </c>
      <c r="EG56" s="6">
        <f>COUNTIFS(Table85[Country],Tabela1[[#This Row],[Country]],Table85[Men''s Pursuit Classification],"&gt;0")</f>
        <v>0</v>
      </c>
      <c r="EH56" s="6">
        <f>COUNTIFS(Table85[Country],Tabela1[[#This Row],[Country]],Table85[Women''s Pursuit Classification],"&gt;0")</f>
        <v>0</v>
      </c>
      <c r="EI56" s="6">
        <f>COUNTIFS(Table9[Country],Tabela1[[#This Row],[Country]],Table9[Time-Trial Classification],"&gt;0")</f>
        <v>0</v>
      </c>
      <c r="EJ56" s="6">
        <f>COUNTIFS(Table14[Country],Tabela1[[#This Row],[Country]],Table14[Time-Trial Classification],"&gt;0")</f>
        <v>0</v>
      </c>
      <c r="EK56" s="6">
        <f>COUNTIFS(Table42[Country],Tabela1[[#This Row],[Country]],Table42[Springboard Classification],"&gt;0")</f>
        <v>0</v>
      </c>
      <c r="EL56" s="6">
        <f>COUNTIFS(Table43[Country],Tabela1[[#This Row],[Country]],Table43[Springboard Classification],"&gt;0")</f>
        <v>0</v>
      </c>
      <c r="EM56" s="6">
        <f>COUNTIFS(Table42[Country],Tabela1[[#This Row],[Country]],Table42[Platform Classification],"&gt;0")</f>
        <v>0</v>
      </c>
      <c r="EN56" s="6">
        <f>COUNTIFS(Table43[Country],Tabela1[[#This Row],[Country]],Table43[Platform Classification],"&gt;0")</f>
        <v>0</v>
      </c>
      <c r="EO56" s="6">
        <f>COUNTIFS(Table86[Country],Tabela1[[#This Row],[Country]],Table86[Men''s Synchronized Springboard Classification],"&gt;0")</f>
        <v>0</v>
      </c>
      <c r="EP56" s="6">
        <f>COUNTIFS(Table86[Country],Tabela1[[#This Row],[Country]],Table86[Women''s Synchronized Springboard Classification],"&gt;0")</f>
        <v>0</v>
      </c>
      <c r="EQ56" s="6">
        <f>COUNTIFS(Table86[Country],Tabela1[[#This Row],[Country]],Table86[Men''s Synchronized Platform Classification],"&gt;0")</f>
        <v>0</v>
      </c>
      <c r="ER56" s="6">
        <f>COUNTIFS(Table86[Country],Tabela1[[#This Row],[Country]],Table86[Women''s Synchronized Platform Classification],"&gt;0")</f>
        <v>0</v>
      </c>
      <c r="ES56" s="6">
        <f>COUNTIFS(Table44[Country],Tabela1[[#This Row],[Country]],Table44[Dressage Classification],"&gt;0")</f>
        <v>0</v>
      </c>
      <c r="ET56" s="6">
        <f>COUNTIFS(Table45[Country],Tabela1[[#This Row],[Country]],Table45[Dressage Classification],"&gt;0")</f>
        <v>0</v>
      </c>
      <c r="EU56" s="6">
        <f>COUNTIFS(Table44[Country],Tabela1[[#This Row],[Country]],Table44[Eventing Classification],"&gt;0")</f>
        <v>0</v>
      </c>
      <c r="EV56" s="6">
        <f>COUNTIFS(Table45[Country],Tabela1[[#This Row],[Country]],Table45[Eventing Classification],"&gt;0")</f>
        <v>0</v>
      </c>
      <c r="EW56" s="6">
        <f>COUNTIFS(Table44[Country],Tabela1[[#This Row],[Country]],Table44[Jumping Classification],"&gt;0")</f>
        <v>0</v>
      </c>
      <c r="EX56" s="6">
        <f>COUNTIFS(Table45[Country],Tabela1[[#This Row],[Country]],Table45[Jumping Classification],"&gt;0")</f>
        <v>0</v>
      </c>
      <c r="EY56" s="6">
        <f>COUNTIFS(Table10[Country],Tabela1[[#This Row],[Country]],Table10[Épée Classification],"&gt;0")</f>
        <v>0</v>
      </c>
      <c r="EZ56" s="6">
        <f>COUNTIFS(Table11[Country],Tabela1[[#This Row],[Country]],Table11[Épée Classification],"&gt;0")</f>
        <v>0</v>
      </c>
      <c r="FA56" s="6">
        <f>COUNTIFS(Table46[Country],Tabela1[[#This Row],[Country]],Table46[Men''s Épée Classification],"&gt;0")</f>
        <v>0</v>
      </c>
      <c r="FB56" s="6">
        <f>COUNTIFS(Table46[Country],Tabela1[[#This Row],[Country]],Table46[Women''s Épée Classification],"&gt;0")</f>
        <v>0</v>
      </c>
      <c r="FC56" s="6">
        <f>COUNTIFS(Table10[Country],Tabela1[[#This Row],[Country]],Table10[Foil Classification],"&gt;0")</f>
        <v>0</v>
      </c>
      <c r="FD56" s="6">
        <f>COUNTIFS(Table11[Country],Tabela1[[#This Row],[Country]],Table11[Foil Classification],"&gt;0")</f>
        <v>0</v>
      </c>
      <c r="FE56" s="6">
        <f>COUNTIFS(Table46[Country],Tabela1[[#This Row],[Country]],Table46[Men''s Foil Classification],"&gt;0")</f>
        <v>0</v>
      </c>
      <c r="FF56" s="6">
        <f>COUNTIFS(Table46[Country],Tabela1[[#This Row],[Country]],Table46[Women''s Foil Classification],"&gt;0")</f>
        <v>0</v>
      </c>
      <c r="FG56" s="6">
        <f>COUNTIFS(Table10[Country],Tabela1[[#This Row],[Country]],Table10[Sabre Classification],"&gt;0")</f>
        <v>0</v>
      </c>
      <c r="FH56" s="6">
        <f>COUNTIFS(Table11[Country],Tabela1[[#This Row],[Country]],Table11[Sabre Classification],"&gt;0")</f>
        <v>0</v>
      </c>
      <c r="FI56" s="6">
        <f>COUNTIFS(Table46[Country],Tabela1[[#This Row],[Country]],Table46[Men''s Sabre Classification],"&gt;0")</f>
        <v>0</v>
      </c>
      <c r="FJ56" s="6">
        <f>COUNTIFS(Table46[Country],Tabela1[[#This Row],[Country]],Table46[Women''s Sabre Classification],"&gt;0")</f>
        <v>0</v>
      </c>
      <c r="FK56" s="6">
        <f>COUNTIFS(Table91[Country],Tabela1[[#This Row],[Country]],Table91[Men''s Classification],"&gt;0")</f>
        <v>0</v>
      </c>
      <c r="FL56" s="6">
        <f>COUNTIFS(Table91[Country],Tabela1[[#This Row],[Country]],Table91[Women''s Classification],"&gt;0")</f>
        <v>0</v>
      </c>
      <c r="FM56" s="6">
        <f>COUNTIFS(Table9194[Country],Tabela1[[#This Row],[Country]],Table9194[Men''s Classification],"&gt;0")</f>
        <v>0</v>
      </c>
      <c r="FN56" s="6">
        <f>COUNTIFS(Table9194[Country],Tabela1[[#This Row],[Country]],Table9194[Women''s Classification],"&gt;0")</f>
        <v>0</v>
      </c>
      <c r="FO56" s="6">
        <f>COUNTIFS(Table71[Country],Tabela1[[#This Row],[Country]],Table71[Classification],"&gt;0")</f>
        <v>0</v>
      </c>
      <c r="FP56" s="6">
        <f>COUNTIFS(Table62[Country],Tabela1[[#This Row],[Country]],Table62[Classification],"&gt;0")</f>
        <v>0</v>
      </c>
      <c r="FQ56" s="6">
        <f>COUNTIFS(Table47[Country],Tabela1[[#This Row],[Country]],Table47[All-Around Classification],"&gt;0")</f>
        <v>0</v>
      </c>
      <c r="FR56" s="6">
        <f>COUNTIFS(Table48[Country],Tabela1[[#This Row],[Country]],Table48[All-Around Classification],"&gt;0")</f>
        <v>0</v>
      </c>
      <c r="FS56" s="6">
        <f>COUNTIFS(Table81[Country],Tabela1[[#This Row],[Country]],Table81[Men''s All-Around Classification],"&gt;0")</f>
        <v>0</v>
      </c>
      <c r="FT56" s="6">
        <f>COUNTIFS(Table81[Country],Tabela1[[#This Row],[Country]],Table81[Women''s All-Around Classification],"&gt;0")</f>
        <v>0</v>
      </c>
      <c r="FU56" s="6">
        <f>COUNTIFS(Table48[Country],Tabela1[[#This Row],[Country]],Table48[Balance Beam Classification],"&gt;0")</f>
        <v>0</v>
      </c>
      <c r="FV56" s="6">
        <f>COUNTIFS(Table47[Country],Tabela1[[#This Row],[Country]],Table47[Floor Exercise Classification],"&gt;0")</f>
        <v>0</v>
      </c>
      <c r="FW56" s="6">
        <f>COUNTIFS(Table48[Country],Tabela1[[#This Row],[Country]],Table48[Floor Exercise Classification],"&gt;0")</f>
        <v>0</v>
      </c>
      <c r="FX56" s="6">
        <f>COUNTIFS(Table47[Country],Tabela1[[#This Row],[Country]],Table47[Horizontal Bar Classification],"&gt;0")</f>
        <v>0</v>
      </c>
      <c r="FY56" s="6">
        <f>COUNTIFS(Table47[Country],Tabela1[[#This Row],[Country]],Table47[Parallel Bars Classification],"&gt;0")</f>
        <v>0</v>
      </c>
      <c r="FZ56" s="6">
        <f>COUNTIFS(Table47[Country],Tabela1[[#This Row],[Country]],Table47[Pommel Horse Classification],"&gt;0")</f>
        <v>0</v>
      </c>
      <c r="GA56" s="6">
        <f>COUNTIFS(Table47[Country],Tabela1[[#This Row],[Country]],Table47[Rings Classification],"&gt;0")</f>
        <v>0</v>
      </c>
      <c r="GB56" s="6">
        <f>COUNTIFS(Tabela132[Country],Tabela1[[#This Row],[Country]],Tabela132[Classification],"&gt;0")</f>
        <v>0</v>
      </c>
      <c r="GC56" s="6">
        <f>COUNTIFS(Tabela139[Country],Tabela1[[#This Row],[Country]],Tabela139[Classification],"&gt;0")</f>
        <v>0</v>
      </c>
      <c r="GD56" s="6">
        <f>COUNTIFS(Table48[Country],Tabela1[[#This Row],[Country]],Table48[Uneven Bars Classification],"&gt;0")</f>
        <v>0</v>
      </c>
      <c r="GE56" s="6">
        <f>COUNTIFS(Table47[Country],Tabela1[[#This Row],[Country]],Table47[Vault Classification],"&gt;0")</f>
        <v>0</v>
      </c>
      <c r="GF56" s="6">
        <f>COUNTIFS(Table48[Country],Tabela1[[#This Row],[Country]],Table48[Vault Classification],"&gt;0")</f>
        <v>0</v>
      </c>
      <c r="GG56" s="6">
        <f>COUNTIFS(Table919496[Country],Tabela1[[#This Row],[Country]],Table919496[Men''s Classification],"&gt;0")</f>
        <v>0</v>
      </c>
      <c r="GH56" s="6">
        <f>COUNTIFS(Table919496[Country],Tabela1[[#This Row],[Country]],Table919496[Women''s Classification],"&gt;0")</f>
        <v>0</v>
      </c>
      <c r="GI56" s="6">
        <f>COUNTIFS(Table12[Country],Tabela1[[#This Row],[Country]],Table12[60kg Classification],"&gt;0")</f>
        <v>0</v>
      </c>
      <c r="GJ56" s="6">
        <f>COUNTIFS(Table12[Country],Tabela1[[#This Row],[Country]],Table12[66kg Classification],"&gt;0")</f>
        <v>0</v>
      </c>
      <c r="GK56" s="6">
        <f>COUNTIFS(Table12[Country],Tabela1[[#This Row],[Country]],Table12[73kg Classification],"&gt;0")</f>
        <v>0</v>
      </c>
      <c r="GL56" s="6">
        <f>COUNTIFS(Table12[Country],Tabela1[[#This Row],[Country]],Table12[81kg Classification],"&gt;0")</f>
        <v>0</v>
      </c>
      <c r="GM56" s="6">
        <f>COUNTIFS(Table12[Country],Tabela1[[#This Row],[Country]],Table12[90kg Classification],"&gt;0")</f>
        <v>0</v>
      </c>
      <c r="GN56" s="6">
        <f>COUNTIFS(Table12[Country],Tabela1[[#This Row],[Country]],Table12[100kg Classification],"&gt;0")</f>
        <v>0</v>
      </c>
      <c r="GO56" s="6">
        <f>COUNTIFS(Table12[Country],Tabela1[[#This Row],[Country]],Table12[Plus 100kg Classification],"&gt;0")</f>
        <v>0</v>
      </c>
      <c r="GP56" s="6">
        <f>COUNTIFS(Table13[Country],Tabela1[[#This Row],[Country]],Table13[48kg Classification],"&gt;0")</f>
        <v>0</v>
      </c>
      <c r="GQ56" s="6">
        <f>COUNTIFS(Table13[Country],Tabela1[[#This Row],[Country]],Table13[52kg Classification],"&gt;0")</f>
        <v>0</v>
      </c>
      <c r="GR56" s="6">
        <f>COUNTIFS(Table13[Country],Tabela1[[#This Row],[Country]],Table13[57kg Classification],"&gt;0")</f>
        <v>0</v>
      </c>
      <c r="GS56" s="6">
        <f>COUNTIFS(Table13[Country],Tabela1[[#This Row],[Country]],Table13[63kg Classification],"&gt;0")</f>
        <v>0</v>
      </c>
      <c r="GT56" s="6">
        <f>COUNTIFS(Table13[Country],Tabela1[[#This Row],[Country]],Table13[70kg Classification],"&gt;0")</f>
        <v>0</v>
      </c>
      <c r="GU56" s="6">
        <f>COUNTIFS(Table13[Country],Tabela1[[#This Row],[Country]],Table13[78kg Classification],"&gt;0")</f>
        <v>0</v>
      </c>
      <c r="GV56" s="6">
        <f>COUNTIFS(Table13[Country],Tabela1[[#This Row],[Country]],Table13[Plus 78kg Classification],"&gt;0")</f>
        <v>0</v>
      </c>
      <c r="GW56" s="6">
        <f>COUNTIFS(Table82[Country],Tabela1[[#This Row],[Country]],Table82[Mixed Classification],"&gt;0")</f>
        <v>0</v>
      </c>
      <c r="GX56" s="6">
        <f>COUNTIFS(Table51[Country],Tabela1[[#This Row],[Country]],Table51[Classification],"&gt;0")</f>
        <v>0</v>
      </c>
      <c r="GY56" s="6">
        <f>COUNTIFS(Table52[Country],Tabela1[[#This Row],[Country]],Table52[Classification],"&gt;0")</f>
        <v>0</v>
      </c>
      <c r="GZ56" s="6">
        <f>COUNTIFS(Table32[Country],Tabela1[[#This Row],[Country]],Table32[All-Around Classification],"&gt;0")</f>
        <v>0</v>
      </c>
      <c r="HA56" s="6">
        <f>COUNTIFS(Table49[Country],Tabela1[[#This Row],[Country]],Table49[All-Around Classification],"&gt;0")</f>
        <v>0</v>
      </c>
      <c r="HB56" s="6">
        <f>COUNTIFS(Table26[Country],Tabela1[[#This Row],[Country]],Table26[Single Sculls Classification],"&gt;0")</f>
        <v>0</v>
      </c>
      <c r="HC56" s="6">
        <f>COUNTIFS(Table63[Country],Tabela1[[#This Row],[Country]],Table63[Single Sculls Classification],"&gt;0")</f>
        <v>0</v>
      </c>
      <c r="HD56" s="6">
        <f>COUNTIFS(Table16[Country],Tabela1[[#This Row],[Country]],Table16[Men''s Double Sculls Classification],"&gt;0")</f>
        <v>0</v>
      </c>
      <c r="HE56" s="6">
        <f>COUNTIFS(Table16[Country],Tabela1[[#This Row],[Country]],Table16[Women''s Double Sculls Classification],"&gt;0")</f>
        <v>0</v>
      </c>
      <c r="HF56" s="6">
        <f>COUNTIFS(Table72[Country],Tabela1[[#This Row],[Country]],Table72[Men''s Quadruple Sculls Classification],"&gt;0")</f>
        <v>0</v>
      </c>
      <c r="HG56" s="6">
        <f>COUNTIFS(Table72[Country],Tabela1[[#This Row],[Country]],Table72[Women''s Quadruple Sculls Classification],"&gt;0")</f>
        <v>0</v>
      </c>
      <c r="HH56" s="6">
        <f>COUNTIFS(Table16[Country],Tabela1[[#This Row],[Country]],Table16[Men''s Coxless Pairs Classification],"&gt;0")</f>
        <v>0</v>
      </c>
      <c r="HI56" s="6">
        <f>COUNTIFS(Table16[Country],Tabela1[[#This Row],[Country]],Table16[Women''s Coxless Pairs Classification],"&gt;0")</f>
        <v>0</v>
      </c>
      <c r="HJ56" s="6">
        <f>COUNTIFS(Table72[Country],Tabela1[[#This Row],[Country]],Table72[Men''s Coxless Fours Classification],"&gt;0")</f>
        <v>0</v>
      </c>
      <c r="HK56" s="6">
        <f>COUNTIFS(Table72[Country],Tabela1[[#This Row],[Country]],Table72[Women''s Coxless Fours Classification],"&gt;0")</f>
        <v>0</v>
      </c>
      <c r="HL56" s="6">
        <f>COUNTIFS(Table72[Country],Tabela1[[#This Row],[Country]],Table72[Men''s Eights Classification],"&gt;0")</f>
        <v>0</v>
      </c>
      <c r="HM56" s="6">
        <f>COUNTIFS(Table72[Country],Tabela1[[#This Row],[Country]],Table72[Women''s Eights Classification],"&gt;0")</f>
        <v>0</v>
      </c>
      <c r="HN56" s="6">
        <f>COUNTIFS(Table16[Country],Tabela1[[#This Row],[Country]],Table16[Men''s Lwt. Double Sculls Classification],"&gt;0")</f>
        <v>0</v>
      </c>
      <c r="HO56" s="6">
        <f>COUNTIFS(Table16[Country],Tabela1[[#This Row],[Country]],Table16[Women''s Lwt. Double Sculls Classification],"&gt;0")</f>
        <v>0</v>
      </c>
      <c r="HP56" s="6">
        <f>COUNTIFS(Table91949698[Country],Tabela1[[#This Row],[Country]],Table91949698[Men''s Classification],"&gt;0")</f>
        <v>0</v>
      </c>
      <c r="HQ56" s="6">
        <f>COUNTIFS(Table91949698[Country],Tabela1[[#This Row],[Country]],Table91949698[Women''s Classification],"&gt;0")</f>
        <v>0</v>
      </c>
      <c r="HR56" s="6">
        <f>COUNTIFS(Table25[Country],Tabela1[[#This Row],[Country]],Table25[Mixed 470 Classification],"&gt;0")</f>
        <v>0</v>
      </c>
      <c r="HS56" s="6">
        <f>COUNTIFS(Table25[Country],Tabela1[[#This Row],[Country]],Table25[Men''s 49er Classification],"&gt;0")</f>
        <v>0</v>
      </c>
      <c r="HT56" s="6">
        <f>COUNTIFS(Table25[Country],Tabela1[[#This Row],[Country]],Table25[Women''s 49er FX Classification],"&gt;0")</f>
        <v>0</v>
      </c>
      <c r="HU56" s="6">
        <f>COUNTIFS(Table17[Country],Tabela1[[#This Row],[Country]],Table17[Formula Kite Classification],"&gt;0")</f>
        <v>0</v>
      </c>
      <c r="HV56" s="6">
        <f>COUNTIFS(Table18[Country],Tabela1[[#This Row],[Country]],Table18[Formula Kite Classification],"&gt;0")</f>
        <v>0</v>
      </c>
      <c r="HW56" s="6">
        <f>COUNTIFS(Table17[Country],Tabela1[[#This Row],[Country]],Table17[ILCA 7 Classification],"&gt;0")</f>
        <v>0</v>
      </c>
      <c r="HX56" s="6">
        <f>COUNTIFS(Table18[Country],Tabela1[[#This Row],[Country]],Table18[ILCA 6 Classification],"&gt;0")</f>
        <v>0</v>
      </c>
      <c r="HY56" s="6">
        <f>COUNTIFS(Table17[Country],Tabela1[[#This Row],[Country]],Table17[IQFoil Classification],"&gt;0")</f>
        <v>0</v>
      </c>
      <c r="HZ56" s="6">
        <f>COUNTIFS(Table18[Country],Tabela1[[#This Row],[Country]],Table18[IQFoil Classification],"&gt;0")</f>
        <v>0</v>
      </c>
      <c r="IA56" s="6">
        <f>COUNTIFS(Table25[Country],Tabela1[[#This Row],[Country]],Table25[Mixed Nacra 17 Classification],"&gt;0")</f>
        <v>0</v>
      </c>
      <c r="IB56" s="6">
        <f>COUNTIFS(Table53[Country],Tabela1[[#This Row],[Country]],Table53[10m Air Pistol Classification],"&gt;0")</f>
        <v>0</v>
      </c>
      <c r="IC56" s="6">
        <f>COUNTIFS(Table19[Country],Tabela1[[#This Row],[Country]],Table19[10m Air Pistol Classification],"&gt;0")</f>
        <v>0</v>
      </c>
      <c r="ID56" s="6">
        <f>COUNTIFS(Table54[Country],Tabela1[[#This Row],[Country]],Table54[Mixed 10m Air Pistol Team Classification],"&gt;0")</f>
        <v>0</v>
      </c>
      <c r="IE56" s="6">
        <f>COUNTIFS(Table53[Country],Tabela1[[#This Row],[Country]],Table53[10m Air Rifle Classification],"&gt;0")</f>
        <v>0</v>
      </c>
      <c r="IF56" s="6">
        <f>COUNTIFS(Table19[Country],Tabela1[[#This Row],[Country]],Table19[10m Air Rifle Classification],"&gt;0")</f>
        <v>0</v>
      </c>
      <c r="IG56" s="6">
        <f>COUNTIFS(Table54[Country],Tabela1[[#This Row],[Country]],Table54[Mixed 10m Air Rifle Team Classification],"&gt;0")</f>
        <v>0</v>
      </c>
      <c r="IH56" s="6">
        <f>COUNTIFS(Table53[Country],Tabela1[[#This Row],[Country]],Table53[25m Rapid Fire Pistol Classification],"&gt;0")</f>
        <v>0</v>
      </c>
      <c r="II56" s="6">
        <f>COUNTIFS(Table19[Country],Tabela1[[#This Row],[Country]],Table19[25m Pistol Classification],"&gt;0")</f>
        <v>0</v>
      </c>
      <c r="IJ56" s="6">
        <f>COUNTIFS(Table53[Country],Tabela1[[#This Row],[Country]],Table53[50m Rifle 3 Positions Classification],"&gt;0")</f>
        <v>0</v>
      </c>
      <c r="IK56" s="6">
        <f>COUNTIFS(Table19[Country],Tabela1[[#This Row],[Country]],Table19[50m Rifle 3 Positions Classification],"&gt;0")</f>
        <v>0</v>
      </c>
      <c r="IL56" s="6">
        <f>COUNTIFS(Table53[Country],Tabela1[[#This Row],[Country]],Table53[Skeet Classification],"&gt;0")</f>
        <v>0</v>
      </c>
      <c r="IM56" s="6">
        <f>COUNTIFS(Table19[Country],Tabela1[[#This Row],[Country]],Table19[Skeet Classification],"&gt;0")</f>
        <v>0</v>
      </c>
      <c r="IN56" s="6">
        <f>COUNTIFS(Table54[Country],Tabela1[[#This Row],[Country]],Table54[Mixed Skeet Team Classification],"&gt;0")</f>
        <v>0</v>
      </c>
      <c r="IO56" s="6">
        <f>COUNTIFS(Table53[Country],Tabela1[[#This Row],[Country]],Table53[Trap Classification],"&gt;0")</f>
        <v>0</v>
      </c>
      <c r="IP56" s="6">
        <f>COUNTIFS(Table19[Country],Tabela1[[#This Row],[Country]],Table19[Trap Classification],"&gt;0")</f>
        <v>0</v>
      </c>
      <c r="IQ56" s="6">
        <f>COUNTIFS(Table73[Country],Tabela1[[#This Row],[Country]],Table73[Park Classification],"&gt;0")</f>
        <v>0</v>
      </c>
      <c r="IR56" s="6">
        <f>COUNTIFS(Table74[Country],Tabela1[[#This Row],[Country]],Table74[Park Classification],"&gt;0")</f>
        <v>0</v>
      </c>
      <c r="IS56" s="6">
        <f>COUNTIFS(Table73[Country],Tabela1[[#This Row],[Country]],Table73[Street Classification],"&gt;0")</f>
        <v>0</v>
      </c>
      <c r="IT56" s="6">
        <f>COUNTIFS(Table74[Country],Tabela1[[#This Row],[Country]],Table74[Street Classification],"&gt;0")</f>
        <v>0</v>
      </c>
      <c r="IU56" s="6">
        <f>COUNTIFS(Table75[Country],Tabela1[[#This Row],[Country]],Table75[Boulder and Lead Classification],"&gt;0")</f>
        <v>0</v>
      </c>
      <c r="IV56" s="6">
        <f>COUNTIFS(Table76[Country],Tabela1[[#This Row],[Country]],Table76[Boulder and Lead Classification],"&gt;0")</f>
        <v>0</v>
      </c>
      <c r="IW56" s="6">
        <f>COUNTIFS(Table75[Country],Tabela1[[#This Row],[Country]],Table75[Speed Classification],"&gt;0")</f>
        <v>0</v>
      </c>
      <c r="IX56" s="6">
        <f>COUNTIFS(Table76[Country],Tabela1[[#This Row],[Country]],Table76[Speed Classification],"&gt;0")</f>
        <v>0</v>
      </c>
      <c r="IY56" s="6">
        <f>COUNTIFS(Table64[Country],Tabela1[[#This Row],[Country]],Table64[Shortboard Classification],"&gt;0")</f>
        <v>0</v>
      </c>
      <c r="IZ56" s="6">
        <f>COUNTIFS(Table77[Country],Tabela1[[#This Row],[Country]],Table77[Shortboard Classification],"&gt;0")</f>
        <v>0</v>
      </c>
      <c r="JA56" s="6">
        <f>COUNTIFS(Table20[Country],Tabela1[[#This Row],[Country]],Table20[50m Freestyle Classification],"&gt;0")</f>
        <v>0</v>
      </c>
      <c r="JB56" s="6">
        <f>COUNTIFS(Table21[Country],Tabela1[[#This Row],[Country]],Table21[50m Freestyle Classification],"&gt;0")</f>
        <v>0</v>
      </c>
      <c r="JC56" s="6">
        <f>COUNTIFS(Table20[Country],Tabela1[[#This Row],[Country]],Table20[100m Freestyle Classification],"&gt;0")</f>
        <v>0</v>
      </c>
      <c r="JD56" s="6">
        <f>COUNTIFS(Table21[Country],Tabela1[[#This Row],[Country]],Table21[100m Freestyle Classification],"&gt;0")</f>
        <v>0</v>
      </c>
      <c r="JE56" s="6">
        <f>COUNTIFS(Table20[Country],Tabela1[[#This Row],[Country]],Table20[200m Freestyle Classification],"&gt;0")</f>
        <v>0</v>
      </c>
      <c r="JF56" s="6">
        <f>COUNTIFS(Table21[Country],Tabela1[[#This Row],[Country]],Table21[200m Freestyle Classification],"&gt;0")</f>
        <v>0</v>
      </c>
      <c r="JG56" s="6">
        <f>COUNTIFS(Table20[Country],Tabela1[[#This Row],[Country]],Table20[400m Freestyle Classification],"&gt;0")</f>
        <v>0</v>
      </c>
      <c r="JH56" s="6">
        <f>COUNTIFS(Table21[Country],Tabela1[[#This Row],[Country]],Table21[400m Freestyle Classification],"&gt;0")</f>
        <v>0</v>
      </c>
      <c r="JI56" s="6">
        <f>COUNTIFS(Table20[Country],Tabela1[[#This Row],[Country]],Table20[800m Freestyle Classification],"&gt;0")</f>
        <v>0</v>
      </c>
      <c r="JJ56" s="6">
        <f>COUNTIFS(Table21[Country],Tabela1[[#This Row],[Country]],Table21[800m Freestyle Classification],"&gt;0")</f>
        <v>0</v>
      </c>
      <c r="JK56" s="6">
        <f>COUNTIFS(Table20[Country],Tabela1[[#This Row],[Country]],Table20[1500m Freestyle Classification],"&gt;0")</f>
        <v>0</v>
      </c>
      <c r="JL56" s="6">
        <f>COUNTIFS(Table21[Country],Tabela1[[#This Row],[Country]],Table21[1500m Freestyle Classification],"&gt;0")</f>
        <v>0</v>
      </c>
      <c r="JM56" s="6">
        <f>COUNTIFS(Table20[Country],Tabela1[[#This Row],[Country]],Table20[100m Backstroke Classification],"&gt;0")</f>
        <v>0</v>
      </c>
      <c r="JN56" s="6">
        <f>COUNTIFS(Table21[Country],Tabela1[[#This Row],[Country]],Table21[100m Backstroke Classification],"&gt;0")</f>
        <v>0</v>
      </c>
      <c r="JO56" s="6">
        <f>COUNTIFS(Table20[Country],Tabela1[[#This Row],[Country]],Table20[200m Backstroke Classification],"&gt;0")</f>
        <v>0</v>
      </c>
      <c r="JP56" s="6">
        <f>COUNTIFS(Table21[Country],Tabela1[[#This Row],[Country]],Table21[200m Backstroke Classification],"&gt;0")</f>
        <v>0</v>
      </c>
      <c r="JQ56" s="6">
        <f>COUNTIFS(Table20[Country],Tabela1[[#This Row],[Country]],Table20[100m Breaststroke Classification],"&gt;0")</f>
        <v>0</v>
      </c>
      <c r="JR56" s="6">
        <f>COUNTIFS(Table21[Country],Tabela1[[#This Row],[Country]],Table21[100m Breaststroke Classification],"&gt;0")</f>
        <v>0</v>
      </c>
      <c r="JS56" s="6">
        <f>COUNTIFS(Table20[Country],Tabela1[[#This Row],[Country]],Table20[200m Breaststroke Classification],"&gt;0")</f>
        <v>0</v>
      </c>
      <c r="JT56" s="6">
        <f>COUNTIFS(Table21[Country],Tabela1[[#This Row],[Country]],Table21[200m Breaststroke Classification],"&gt;0")</f>
        <v>0</v>
      </c>
      <c r="JU56" s="6">
        <f>COUNTIFS(Table20[Country],Tabela1[[#This Row],[Country]],Table20[100m Butterfly Classification],"&gt;0")</f>
        <v>0</v>
      </c>
      <c r="JV56" s="6">
        <f>COUNTIFS(Table21[Country],Tabela1[[#This Row],[Country]],Table21[100m Butterfly Classification],"&gt;0")</f>
        <v>0</v>
      </c>
      <c r="JW56" s="6">
        <f>COUNTIFS(Table20[Country],Tabela1[[#This Row],[Country]],Table20[200m Butterfly Classification],"&gt;0")</f>
        <v>0</v>
      </c>
      <c r="JX56" s="6">
        <f>COUNTIFS(Table21[Country],Tabela1[[#This Row],[Country]],Table21[200m Butterfly Classification],"&gt;0")</f>
        <v>0</v>
      </c>
      <c r="JY56" s="6">
        <f>COUNTIFS(Table20[Country],Tabela1[[#This Row],[Country]],Table20[200m Medley Classification],"&gt;0")</f>
        <v>0</v>
      </c>
      <c r="JZ56" s="6">
        <f>COUNTIFS(Table21[Country],Tabela1[[#This Row],[Country]],Table21[200m Medley Classification],"&gt;0")</f>
        <v>0</v>
      </c>
      <c r="KA56" s="6">
        <f>COUNTIFS(Table20[Country],Tabela1[[#This Row],[Country]],Table20[400m Medley Classification],"&gt;0")</f>
        <v>0</v>
      </c>
      <c r="KB56" s="6">
        <f>COUNTIFS(Table21[Country],Tabela1[[#This Row],[Country]],Table21[400m Medley Classification],"&gt;0")</f>
        <v>0</v>
      </c>
      <c r="KC56" s="6">
        <f>COUNTIFS(Table78[Country],Tabela1[[#This Row],[Country]],Table78[Men''s 4x100m Freestyle Relay Classification],"&gt;0")</f>
        <v>0</v>
      </c>
      <c r="KD56" s="6">
        <f>COUNTIFS(Table78[Country],Tabela1[[#This Row],[Country]],Table78[Women''s 4x100m Freestyle Relay Classification],"&gt;0")</f>
        <v>0</v>
      </c>
      <c r="KE56" s="6">
        <f>COUNTIFS(Table78[Country],Tabela1[[#This Row],[Country]],Table78[Men''s 4x200m Freestyle Relay Classification],"&gt;0")</f>
        <v>0</v>
      </c>
      <c r="KF56" s="6">
        <f>COUNTIFS(Table78[Country],Tabela1[[#This Row],[Country]],Table78[Women''s 4x200m Freestyle Relay Classification],"&gt;0")</f>
        <v>0</v>
      </c>
      <c r="KG56" s="6">
        <f>COUNTIFS(Table78[Country],Tabela1[[#This Row],[Country]],Table78[Men''s 4x100m Medley Relay Classification],"&gt;0")</f>
        <v>0</v>
      </c>
      <c r="KH56" s="6">
        <f>COUNTIFS(Table78[Country],Tabela1[[#This Row],[Country]],Table78[Women''s 4x100m Medley Relay Classification],"&gt;0")</f>
        <v>0</v>
      </c>
      <c r="KI56" s="6">
        <f>COUNTIFS(Table78[Country],Tabela1[[#This Row],[Country]],Table78[Mixed 4x100m Medley Relay Classification],"&gt;0")</f>
        <v>0</v>
      </c>
      <c r="KJ56" s="6">
        <f>COUNTIFS(Table20[Country],Tabela1[[#This Row],[Country]],Table20[10km Open Water Classification],"&gt;0")</f>
        <v>0</v>
      </c>
      <c r="KK56" s="6">
        <f>COUNTIFS(Table21[Country],Tabela1[[#This Row],[Country]],Table21[10km Open Water Classification],"&gt;0")</f>
        <v>0</v>
      </c>
      <c r="KL56" s="6">
        <f>COUNTIFS(Table22[Country],Tabela1[[#This Row],[Country]],Table22[Classification],"&gt;0")</f>
        <v>0</v>
      </c>
      <c r="KM56" s="6">
        <f>COUNTIFS(Table30[Country],Tabela1[[#This Row],[Country]],Table30[Classification],"&gt;0")</f>
        <v>0</v>
      </c>
      <c r="KN56" s="6">
        <f>COUNTIFS(Table55[Country],Tabela1[[#This Row],[Country]],Table55[Men''s Classification],"&gt;0")</f>
        <v>0</v>
      </c>
      <c r="KO56" s="6">
        <f>COUNTIFS(Table55[Country],Tabela1[[#This Row],[Country]],Table55[Women''s Classification],"&gt;0")</f>
        <v>0</v>
      </c>
      <c r="KP56" s="6">
        <f>COUNTIFS(Table56[Country],Tabela1[[#This Row],[Country]],Table56[Mixed Classification],"&gt;0")</f>
        <v>0</v>
      </c>
      <c r="KQ56" s="6">
        <f>COUNTIFS(Table29[Country],Tabela1[[#This Row],[Country]],Table29[58kg Classification],"&gt;0")</f>
        <v>0</v>
      </c>
      <c r="KR56" s="6">
        <f>COUNTIFS(Table29[Country],Tabela1[[#This Row],[Country]],Table29[68kg Classification],"&gt;0")</f>
        <v>0</v>
      </c>
      <c r="KS56" s="6">
        <f>COUNTIFS(Table29[Country],Tabela1[[#This Row],[Country]],Table29[80kg Classification],"&gt;0")</f>
        <v>0</v>
      </c>
      <c r="KT56" s="6">
        <f>COUNTIFS(Table29[Country],Tabela1[[#This Row],[Country]],Table29[Plus 80kg Classification],"&gt;0")</f>
        <v>0</v>
      </c>
      <c r="KU56" s="6">
        <f>COUNTIFS(Table34[Country],Tabela1[[#This Row],[Country]],Table34[49kg Classification],"&gt;0")</f>
        <v>0</v>
      </c>
      <c r="KV56" s="6">
        <f>COUNTIFS(Table34[Country],Tabela1[[#This Row],[Country]],Table34[57kg Classification],"&gt;0")</f>
        <v>0</v>
      </c>
      <c r="KW56" s="6">
        <f>COUNTIFS(Table34[Country],Tabela1[[#This Row],[Country]],Table34[67kg Classification],"&gt;0")</f>
        <v>0</v>
      </c>
      <c r="KX56" s="6">
        <f>COUNTIFS(Table34[Country],Tabela1[[#This Row],[Country]],Table34[Plus 67kg Classification],"&gt;0")</f>
        <v>0</v>
      </c>
      <c r="KY56" s="6">
        <f>COUNTIFS(Table57[Country],Tabela1[[#This Row],[Country]],Table57[Classification],"&gt;0")</f>
        <v>0</v>
      </c>
      <c r="KZ56" s="6">
        <f>COUNTIFS(Table58[Country],Tabela1[[#This Row],[Country]],Table58[Classification],"&gt;0")</f>
        <v>0</v>
      </c>
      <c r="LA56" s="6">
        <f>COUNTIFS(Table79[Country],Tabela1[[#This Row],[Country]],Table79[Men''s Classification],"&gt;0")</f>
        <v>0</v>
      </c>
      <c r="LB56" s="6">
        <f>COUNTIFS(Table79[Country],Tabela1[[#This Row],[Country]],Table79[Women''s Classification],"&gt;0")</f>
        <v>0</v>
      </c>
      <c r="LC56" s="6">
        <f>COUNTIFS(Table79[Country],Tabela1[[#This Row],[Country]],Table79[Mixed Classification],"&gt;0")</f>
        <v>0</v>
      </c>
      <c r="LD56" s="6">
        <f>COUNTIFS(Table65[Country],Tabela1[[#This Row],[Country]],Table65[Classification],"&gt;0")</f>
        <v>0</v>
      </c>
      <c r="LE56" s="6">
        <f>COUNTIFS(Table59[Country],Tabela1[[#This Row],[Country]],Table59[Classification],"&gt;0")</f>
        <v>0</v>
      </c>
      <c r="LF56" s="6">
        <f>COUNTIFS(Table87[Country],Tabela1[[#This Row],[Country]],Table87[Mixed Relay Classification],"&gt;0")</f>
        <v>0</v>
      </c>
      <c r="LG56" s="6">
        <f>COUNTIFS(Table91949698100[Country],Tabela1[[#This Row],[Country]],Table91949698100[Men''s Classification],"&gt;0")</f>
        <v>0</v>
      </c>
      <c r="LH56" s="6">
        <f>COUNTIFS(Table91949698100[Country],Tabela1[[#This Row],[Country]],Table91949698100[Women''s Classification],"&gt;0")</f>
        <v>0</v>
      </c>
      <c r="LI56" s="6">
        <f>COUNTIFS(Table91949698100102[Country],Tabela1[[#This Row],[Country]],Table91949698100102[Men''s Classification],"&gt;0")</f>
        <v>0</v>
      </c>
      <c r="LJ56" s="6">
        <f>COUNTIFS(Table91949698100102[Country],Tabela1[[#This Row],[Country]],Table91949698100102[Women''s Classification],"&gt;0")</f>
        <v>0</v>
      </c>
      <c r="LK56" s="6">
        <f>COUNTIFS(Table23[Country],Tabela1[[#This Row],[Country]],Table23[61kg Classification],"&gt;0")</f>
        <v>0</v>
      </c>
      <c r="LL56" s="6">
        <f>COUNTIFS(Table23[Country],Tabela1[[#This Row],[Country]],Table23[73kg Classification],"&gt;0")</f>
        <v>0</v>
      </c>
      <c r="LM56" s="6">
        <f>COUNTIFS(Table23[Country],Tabela1[[#This Row],[Country]],Table23[89kg Classification],"&gt;0")</f>
        <v>0</v>
      </c>
      <c r="LN56" s="6">
        <f>COUNTIFS(Table23[Country],Tabela1[[#This Row],[Country]],Table23[102kg Classification],"&gt;0")</f>
        <v>0</v>
      </c>
      <c r="LO56" s="6">
        <f>COUNTIFS(Table23[Country],Tabela1[[#This Row],[Country]],Table23[Plus 102kg Classification],"&gt;0")</f>
        <v>0</v>
      </c>
      <c r="LP56" s="6">
        <f>COUNTIFS(Table28[Country],Tabela1[[#This Row],[Country]],Table28[49kg Classification],"&gt;0")</f>
        <v>0</v>
      </c>
      <c r="LQ56" s="6">
        <f>COUNTIFS(Table28[Country],Tabela1[[#This Row],[Country]],Table28[59kg Classification],"&gt;0")</f>
        <v>0</v>
      </c>
      <c r="LR56" s="6">
        <f>COUNTIFS(Table28[Country],Tabela1[[#This Row],[Country]],Table28[71kg Classification],"&gt;0")</f>
        <v>0</v>
      </c>
      <c r="LS56" s="6">
        <f>COUNTIFS(Table28[Country],Tabela1[[#This Row],[Country]],Table28[81kg Classification],"&gt;0")</f>
        <v>0</v>
      </c>
      <c r="LT56" s="6">
        <f>COUNTIFS(Table28[Country],Tabela1[[#This Row],[Country]],Table28[Plus 81kg Classification],"&gt;0")</f>
        <v>0</v>
      </c>
      <c r="LU56" s="6">
        <f>COUNTIFS(Table24[Country],Tabela1[[#This Row],[Country]],Table24[Freestyle 57kg Classification],"&gt;0")</f>
        <v>0</v>
      </c>
      <c r="LV56" s="6">
        <f>COUNTIFS(Table24[Country],Tabela1[[#This Row],[Country]],Table24[Freestyle 65kg Classification],"&gt;0")</f>
        <v>0</v>
      </c>
      <c r="LW56" s="6">
        <f>COUNTIFS(Table24[Country],Tabela1[[#This Row],[Country]],Table24[Freestyle 74kg Classification],"&gt;0")</f>
        <v>0</v>
      </c>
      <c r="LX56" s="6">
        <f>COUNTIFS(Table24[Country],Tabela1[[#This Row],[Country]],Table24[Freestyle 86kg Classification],"&gt;0")</f>
        <v>0</v>
      </c>
      <c r="LY56" s="6">
        <f>COUNTIFS(Table24[Country],Tabela1[[#This Row],[Country]],Table24[Freestyle 97kg Classification],"&gt;0")</f>
        <v>0</v>
      </c>
      <c r="LZ56" s="6">
        <f>COUNTIFS(Table24[Country],Tabela1[[#This Row],[Country]],Table24[Freestyle 125kg Classification],"&gt;0")</f>
        <v>0</v>
      </c>
      <c r="MA56" s="6">
        <f>COUNTIFS(Table24[Country],Tabela1[[#This Row],[Country]],Table24[Greco-Roman 60kg Classification],"&gt;0")</f>
        <v>0</v>
      </c>
      <c r="MB56" s="6">
        <f>COUNTIFS(Table24[Country],Tabela1[[#This Row],[Country]],Table24[Greco-Roman 67kg Classification],"&gt;0")</f>
        <v>0</v>
      </c>
      <c r="MC56" s="6">
        <f>COUNTIFS(Table24[Country],Tabela1[[#This Row],[Country]],Table24[Greco-Roman 77kg Classification],"&gt;0")</f>
        <v>0</v>
      </c>
      <c r="MD56" s="6">
        <f>COUNTIFS(Table24[Country],Tabela1[[#This Row],[Country]],Table24[Greco-Roman 87kg Classification],"&gt;0")</f>
        <v>0</v>
      </c>
      <c r="ME56" s="6">
        <f>COUNTIFS(Table24[Country],Tabela1[[#This Row],[Country]],Table24[Greco-Roman 97kg Classification],"&gt;0")</f>
        <v>0</v>
      </c>
      <c r="MF56" s="6">
        <f>COUNTIFS(Table24[Country],Tabela1[[#This Row],[Country]],Table24[Greco-Roman 130kg Classification],"&gt;0")</f>
        <v>0</v>
      </c>
      <c r="MG56" s="6">
        <f>COUNTIFS(Table31[Country],Tabela1[[#This Row],[Country]],Table31[50kg Classification],"&gt;0")</f>
        <v>0</v>
      </c>
      <c r="MH56" s="6">
        <f>COUNTIFS(Table31[Country],Tabela1[[#This Row],[Country]],Table31[53kg Classification],"&gt;0")</f>
        <v>0</v>
      </c>
      <c r="MI56" s="6">
        <f>COUNTIFS(Table31[Country],Tabela1[[#This Row],[Country]],Table31[57kg Classification],"&gt;0")</f>
        <v>0</v>
      </c>
      <c r="MJ56" s="6">
        <f>COUNTIFS(Table31[Country],Tabela1[[#This Row],[Country]],Table31[62kg Classification],"&gt;0")</f>
        <v>0</v>
      </c>
      <c r="MK56" s="6">
        <f>COUNTIFS(Table31[Country],Tabela1[[#This Row],[Country]],Table31[68kg Classification],"&gt;0")</f>
        <v>0</v>
      </c>
      <c r="ML56" s="6">
        <f>COUNTIFS(Table31[Country],Tabela1[[#This Row],[Country]],Table31[76kg Classification],"&gt;0")</f>
        <v>0</v>
      </c>
      <c r="MM56" s="6">
        <f>COUNTIFS(Table102[Country],Tabela1[[#This Row],[Country]],Table102[Downhill Classification],"&gt;0")</f>
        <v>0</v>
      </c>
      <c r="MN56" s="6">
        <f>COUNTIFS(Table102105[Country],Tabela1[[#This Row],[Country]],Table102105[Downhill Classification],"&gt;0")</f>
        <v>0</v>
      </c>
      <c r="MO56" s="6">
        <f>COUNTIFS(Table102[Country],Tabela1[[#This Row],[Country]],Table102[Giant Slalom Classification],"&gt;0")</f>
        <v>0</v>
      </c>
      <c r="MP56" s="6">
        <f>COUNTIFS(Table102105[Country],Tabela1[[#This Row],[Country]],Table102105[Giant Slalom Classification],"&gt;0")</f>
        <v>0</v>
      </c>
      <c r="MQ56" s="6">
        <f>COUNTIFS(Table102[Country],Tabela1[[#This Row],[Country]],Table102[Slalom Classification],"&gt;0")</f>
        <v>0</v>
      </c>
      <c r="MR56" s="6">
        <f>COUNTIFS(Table102105[Country],Tabela1[[#This Row],[Country]],Table102105[Slalom Classification],"&gt;0")</f>
        <v>0</v>
      </c>
      <c r="MS56" s="6">
        <f>COUNTIFS(Table102[Country],Tabela1[[#This Row],[Country]],Table102[Super-G Classification],"&gt;0")</f>
        <v>0</v>
      </c>
      <c r="MT56" s="6">
        <f>COUNTIFS(Table102105[Country],Tabela1[[#This Row],[Country]],Table102105[Super-G Classification],"&gt;0")</f>
        <v>0</v>
      </c>
      <c r="MU56" s="6">
        <f>COUNTIFS(Table105[Country],Tabela1[[#This Row],[Country]],Table105[Men''s Combined Classification],"&gt;0")</f>
        <v>0</v>
      </c>
      <c r="MV56" s="6">
        <f>COUNTIFS(Table105[Country],Tabela1[[#This Row],[Country]],Table105[Women''s Combined Classification],"&gt;0")</f>
        <v>0</v>
      </c>
      <c r="MW56" s="6">
        <f>COUNTIFS(Table106[Country],Tabela1[[#This Row],[Country]],Table106[Individual Classification],"&gt;0")</f>
        <v>0</v>
      </c>
      <c r="MX56" s="6">
        <f>COUNTIFS(Table106109[Country],Tabela1[[#This Row],[Country]],Table106109[Individual Classification],"&gt;0")</f>
        <v>0</v>
      </c>
      <c r="MY56" s="6">
        <f>COUNTIFS(Table106[Country],Tabela1[[#This Row],[Country]],Table106[Mass Start Classification],"&gt;0")</f>
        <v>0</v>
      </c>
      <c r="MZ56" s="6">
        <f>COUNTIFS(Table106109[Country],Tabela1[[#This Row],[Country]],Table106109[Mass Start Classification],"&gt;0")</f>
        <v>0</v>
      </c>
      <c r="NA56" s="6">
        <f>COUNTIFS(Table106[Country],Tabela1[[#This Row],[Country]],Table106[Pursuit Classification],"&gt;0")</f>
        <v>0</v>
      </c>
      <c r="NB56" s="6">
        <f>COUNTIFS(Table106109[Country],Tabela1[[#This Row],[Country]],Table106109[Pursuit Classification],"&gt;0")</f>
        <v>0</v>
      </c>
      <c r="NC56" s="6">
        <f>COUNTIFS(Table106[Country],Tabela1[[#This Row],[Country]],Table106[Sprint Classification],"&gt;0")</f>
        <v>0</v>
      </c>
      <c r="ND56" s="6">
        <f>COUNTIFS(Table106109[Country],Tabela1[[#This Row],[Country]],Table106109[Sprint Classification],"&gt;0")</f>
        <v>0</v>
      </c>
      <c r="NE56" s="6">
        <f>COUNTIFS(Table109[Country],Tabela1[[#This Row],[Country]],Table109[Men''s Relay Classification],"&gt;0")</f>
        <v>0</v>
      </c>
      <c r="NF56" s="6">
        <f>COUNTIFS(Table109[Country],Tabela1[[#This Row],[Country]],Table109[Women''s Relay Classification],"&gt;0")</f>
        <v>0</v>
      </c>
      <c r="NG56" s="6">
        <f>COUNTIFS(Table109[Country],Tabela1[[#This Row],[Country]],Table109[Mixed Relay Classification],"&gt;0")</f>
        <v>0</v>
      </c>
      <c r="NH56" s="6">
        <f>COUNTIFS(Table110[Country],Tabela1[[#This Row],[Country]],Table110[Monobob Classification],"&gt;0")</f>
        <v>0</v>
      </c>
      <c r="NI56" s="6">
        <f>COUNTIFS(Table111[Country],Tabela1[[#This Row],[Country]],Table111[Men''s Classification],"&gt;0")</f>
        <v>0</v>
      </c>
      <c r="NJ56" s="6">
        <f>COUNTIFS(Table111[Country],Tabela1[[#This Row],[Country]],Table111[Women''s Classification],"&gt;0")</f>
        <v>0</v>
      </c>
      <c r="NK56" s="6">
        <f>COUNTIFS(Table112[Country],Tabela1[[#This Row],[Country]],Table112[Men''s Four Classification],"&gt;0")</f>
        <v>0</v>
      </c>
      <c r="NL56" s="6">
        <f>COUNTIFS(Table113[Country],Tabela1[[#This Row],[Country]],Table113[Classical Classification],"&gt;0")</f>
        <v>0</v>
      </c>
      <c r="NM56" s="6">
        <f>COUNTIFS(Table113116[Country],Tabela1[[#This Row],[Country]],Table113116[Classical Classification],"&gt;0")</f>
        <v>0</v>
      </c>
      <c r="NN56" s="6">
        <f>COUNTIFS(Table113[Country],Tabela1[[#This Row],[Country]],Table113[Freestyle Classification],"&gt;0")</f>
        <v>0</v>
      </c>
      <c r="NO56" s="6">
        <f>COUNTIFS(Table113116[Country],Tabela1[[#This Row],[Country]],Table113116[Freestyle Classification],"&gt;0")</f>
        <v>0</v>
      </c>
      <c r="NP56" s="6">
        <f>COUNTIFS(Table117[Country],Tabela1[[#This Row],[Country]],Table117[Men''s Relay Classification],"&gt;0")</f>
        <v>0</v>
      </c>
      <c r="NQ56" s="6">
        <f>COUNTIFS(Table117[Country],Tabela1[[#This Row],[Country]],Table117[Women''s Relay Classification],"&gt;0")</f>
        <v>0</v>
      </c>
      <c r="NR56" s="6">
        <f>COUNTIFS(Table113[Country],Tabela1[[#This Row],[Country]],Table113[Skiathlon Classification],"&gt;0")</f>
        <v>0</v>
      </c>
      <c r="NS56" s="6">
        <f>COUNTIFS(Table113116[Country],Tabela1[[#This Row],[Country]],Table113116[Skiathlon Classification],"&gt;0")</f>
        <v>0</v>
      </c>
      <c r="NT56" s="6">
        <f>COUNTIFS(Table113[Country],Tabela1[[#This Row],[Country]],Table113[Sprint Classification],"&gt;0")</f>
        <v>0</v>
      </c>
      <c r="NU56" s="6">
        <f>COUNTIFS(Table113116[Country],Tabela1[[#This Row],[Country]],Table113116[Sprint Classification],"&gt;0")</f>
        <v>0</v>
      </c>
      <c r="NV56" s="6">
        <f>COUNTIFS(Table116[Country],Tabela1[[#This Row],[Country]],Table116[Men''s Team Sprint Classification],"&gt;0")</f>
        <v>0</v>
      </c>
      <c r="NW56" s="6">
        <f>COUNTIFS(Table116[Country],Tabela1[[#This Row],[Country]],Table116[Women''s Team Sprint Classification],"&gt;0")</f>
        <v>0</v>
      </c>
      <c r="NX56" s="6">
        <f>COUNTIFS(Table119[Country],Tabela1[[#This Row],[Country]],Table119[Men''s Classification],"&gt;0")</f>
        <v>0</v>
      </c>
      <c r="NY56" s="6">
        <f>COUNTIFS(Table119[Country],Tabela1[[#This Row],[Country]],Table119[Women''s Classification],"&gt;0")</f>
        <v>0</v>
      </c>
      <c r="NZ56" s="6">
        <f>COUNTIFS(Table118[Country],Tabela1[[#This Row],[Country]],Table118[Mixed Classification],"&gt;0")</f>
        <v>0</v>
      </c>
      <c r="OA56" s="6">
        <f>COUNTIFS(Table120[Country],Tabela1[[#This Row],[Country]],Table120[Classification],"&gt;0")</f>
        <v>0</v>
      </c>
      <c r="OB56" s="6">
        <f>COUNTIFS(Table120123[Country],Tabela1[[#This Row],[Country]],Table120123[Classification],"&gt;0")</f>
        <v>0</v>
      </c>
      <c r="OC56" s="6">
        <f>COUNTIFS(Table123[Country],Tabela1[[#This Row],[Country]],Table123[Ice Dance Classification],"&gt;0")</f>
        <v>0</v>
      </c>
      <c r="OD56" s="6">
        <f>COUNTIFS(Table123[Country],Tabela1[[#This Row],[Country]],Table123[Pair Skating Classification],"&gt;0")</f>
        <v>0</v>
      </c>
      <c r="OE56" s="6">
        <f>COUNTIFS(Table124[Country],Tabela1[[#This Row],[Country]],Table124[Mixed Classification],"&gt;0")</f>
        <v>0</v>
      </c>
      <c r="OF56" s="6">
        <f>COUNTIFS(Table125[Country],Tabela1[[#This Row],[Country]],Table125[Aerials Classification],"&gt;0")</f>
        <v>0</v>
      </c>
      <c r="OG56" s="6">
        <f>COUNTIFS(Table125128[Country],Tabela1[[#This Row],[Country]],Table125128[Aerials Classification],"&gt;0")</f>
        <v>0</v>
      </c>
      <c r="OH56" s="6">
        <f>COUNTIFS(Table128[Country],Tabela1[[#This Row],[Country]],Table128[Mixed Aerials Classification],"&gt;0")</f>
        <v>0</v>
      </c>
      <c r="OI56" s="6">
        <f>COUNTIFS(Table125[Country],Tabela1[[#This Row],[Country]],Table125[Big Air Classification],"&gt;0")</f>
        <v>0</v>
      </c>
      <c r="OJ56" s="6">
        <f>COUNTIFS(Table125128[Country],Tabela1[[#This Row],[Country]],Table125128[Big Air Classification],"&gt;0")</f>
        <v>0</v>
      </c>
      <c r="OK56" s="6">
        <f>COUNTIFS(Table125[Country],Tabela1[[#This Row],[Country]],Table125[Dual Moguls Classification],"&gt;0")</f>
        <v>0</v>
      </c>
      <c r="OL56" s="6">
        <f>COUNTIFS(Table125128[Country],Tabela1[[#This Row],[Country]],Table125128[Dual Moguls Classification],"&gt;0")</f>
        <v>0</v>
      </c>
      <c r="OM56" s="6">
        <f>COUNTIFS(Table125[Country],Tabela1[[#This Row],[Country]],Table125[Halfpipe Classification],"&gt;0")</f>
        <v>0</v>
      </c>
      <c r="ON56" s="6">
        <f>COUNTIFS(Table125128[Country],Tabela1[[#This Row],[Country]],Table125128[Halfpipe Classification],"&gt;0")</f>
        <v>0</v>
      </c>
      <c r="OO56" s="6">
        <f>COUNTIFS(Table125[Country],Tabela1[[#This Row],[Country]],Table125[Moguls Classification],"&gt;0")</f>
        <v>0</v>
      </c>
      <c r="OP56" s="6">
        <f>COUNTIFS(Table125128[Country],Tabela1[[#This Row],[Country]],Table125128[Moguls Classification],"&gt;0")</f>
        <v>0</v>
      </c>
      <c r="OQ56" s="6">
        <f>COUNTIFS(Table125[Country],Tabela1[[#This Row],[Country]],Table125[Ski Cross Classification],"&gt;0")</f>
        <v>0</v>
      </c>
      <c r="OR56" s="6">
        <f>COUNTIFS(Table125128[Country],Tabela1[[#This Row],[Country]],Table125128[Ski Cross Classification],"&gt;0")</f>
        <v>0</v>
      </c>
      <c r="OS56" s="6">
        <f>COUNTIFS(Table125[Country],Tabela1[[#This Row],[Country]],Table125[Slopestyle Classification],"&gt;0")</f>
        <v>0</v>
      </c>
      <c r="OT56" s="6">
        <f>COUNTIFS(Table125128[Country],Tabela1[[#This Row],[Country]],Table125128[Slopestyle Classification],"&gt;0")</f>
        <v>0</v>
      </c>
      <c r="OU56" s="6">
        <f>COUNTIFS(Table119131[Country],Tabela1[[#This Row],[Country]],Table119131[Men''s Classification],"&gt;0")</f>
        <v>0</v>
      </c>
      <c r="OV56" s="6">
        <f>COUNTIFS(Table119131[Country],Tabela1[[#This Row],[Country]],Table119131[Women''s Classification],"&gt;0")</f>
        <v>0</v>
      </c>
      <c r="OW56" s="6">
        <f>COUNTIFS(Table131[Country],Tabela1[[#This Row],[Country]],Table131[Classification],"&gt;0")</f>
        <v>0</v>
      </c>
      <c r="OX56" s="6">
        <f>COUNTIFS(Table131134[Country],Tabela1[[#This Row],[Country]],Table131134[Classification],"&gt;0")</f>
        <v>0</v>
      </c>
      <c r="OY56" s="6">
        <f>COUNTIFS(Table134[Country],Tabela1[[#This Row],[Country]],Table134[Men''s Classification],"&gt;0")</f>
        <v>0</v>
      </c>
      <c r="OZ56" s="6">
        <f>COUNTIFS(Table134[Country],Tabela1[[#This Row],[Country]],Table134[Women''s Classification],"&gt;0")</f>
        <v>0</v>
      </c>
      <c r="PA56" s="6">
        <f>COUNTIFS(Table135[Country],Tabela1[[#This Row],[Country]],Table135[Mixed Relay Classification],"&gt;0")</f>
        <v>0</v>
      </c>
      <c r="PB56" s="6">
        <f>COUNTIFS(Table136[Country],Tabela1[[#This Row],[Country]],Table136[Individual Classification],"&gt;0")</f>
        <v>0</v>
      </c>
      <c r="PC56" s="6">
        <f>COUNTIFS(Table136[Country],Tabela1[[#This Row],[Country]],Table136[Sprint Classification],"&gt;0")</f>
        <v>0</v>
      </c>
      <c r="PD56" s="6">
        <f>COUNTIFS(Table137[Country],Tabela1[[#This Row],[Country]],Table137[Men''s Team Sprint Large Hill Classification],"&gt;0")</f>
        <v>0</v>
      </c>
      <c r="PE56" s="6">
        <f>COUNTIFS(Table138[Country],Tabela1[[#This Row],[Country]],Table138[500m Classification],"&gt;0")</f>
        <v>0</v>
      </c>
      <c r="PF56" s="6">
        <f>COUNTIFS(Table138141[Country],Tabela1[[#This Row],[Country]],Table138141[500m Classification],"&gt;0")</f>
        <v>0</v>
      </c>
      <c r="PG56" s="6">
        <f>COUNTIFS(Table138[Country],Tabela1[[#This Row],[Country]],Table138[1000m Classification],"&gt;0")</f>
        <v>0</v>
      </c>
      <c r="PH56" s="6">
        <f>COUNTIFS(Table138141[Country],Tabela1[[#This Row],[Country]],Table138141[1000m Classification],"&gt;0")</f>
        <v>0</v>
      </c>
      <c r="PI56" s="6">
        <f>COUNTIFS(Table138[Country],Tabela1[[#This Row],[Country]],Table138[1500m Classification],"&gt;0")</f>
        <v>0</v>
      </c>
      <c r="PJ56" s="6">
        <f>COUNTIFS(Table138141[Country],Tabela1[[#This Row],[Country]],Table138141[1500m Classification],"&gt;0")</f>
        <v>0</v>
      </c>
      <c r="PK56" s="6">
        <f>COUNTIFS(Table141[Country],Tabela1[[#This Row],[Country]],Table141[Men''s 5000m Relay Classification],"&gt;0")</f>
        <v>0</v>
      </c>
      <c r="PL56" s="6">
        <f>COUNTIFS(Table141[Country],Tabela1[[#This Row],[Country]],Table141[Women''s 3000m Relay Classification],"&gt;0")</f>
        <v>0</v>
      </c>
      <c r="PM56" s="6">
        <f>COUNTIFS(Table141[Country],Tabela1[[#This Row],[Country]],Table141[Mixed 2000m Relay Classification],"&gt;0")</f>
        <v>0</v>
      </c>
      <c r="PN56" s="6">
        <f>COUNTIFS(Table142[Country],Tabela1[[#This Row],[Country]],Table142[Classification],"&gt;0")</f>
        <v>0</v>
      </c>
      <c r="PO56" s="6">
        <f>COUNTIFS(Table142145[Country],Tabela1[[#This Row],[Country]],Table142145[Classification],"&gt;0")</f>
        <v>0</v>
      </c>
      <c r="PP56" s="6">
        <f>COUNTIFS(Tabela15[Country],Tabela1[[#This Row],[Country]],Tabela15[Mixed Team Classification],"&gt;0")</f>
        <v>0</v>
      </c>
      <c r="PQ56" s="6">
        <f>COUNTIFS(Table145[Country],Tabela1[[#This Row],[Country]],Table145[Large Hill Classification],"&gt;0")</f>
        <v>0</v>
      </c>
      <c r="PR56" s="6">
        <f>COUNTIFS(Table145[Country],Tabela1[[#This Row],[Country]],Table145[Normal Hill Classification],"&gt;0")</f>
        <v>0</v>
      </c>
      <c r="PS56" s="6">
        <f>COUNTIFS(Table145148[Country],Tabela1[[#This Row],[Country]],Table145148[Large Hill Classification],"&gt;0")</f>
        <v>0</v>
      </c>
      <c r="PT56" s="6">
        <f>COUNTIFS(Table145148[Country],Tabela1[[#This Row],[Country]],Table145148[Normal Hill Classification],"&gt;0")</f>
        <v>0</v>
      </c>
      <c r="PU56" s="6">
        <f>COUNTIFS(Table148[Country],Tabela1[[#This Row],[Country]],Table148[Men''s Super Team Classification],"&gt;0")</f>
        <v>0</v>
      </c>
      <c r="PV56" s="6">
        <f>COUNTIFS(Tabela114[Country],Tabela1[[#This Row],[Country]],Tabela114[Mixed Normal Hill Classification],"&gt;0")</f>
        <v>0</v>
      </c>
      <c r="PW56" s="6">
        <f>COUNTIFS(Tabela50[Country],Tabela1[[#This Row],[Country]],Tabela50[Sprint Classification],"&gt;0")</f>
        <v>0</v>
      </c>
      <c r="PX56" s="6">
        <f>COUNTIFS(Tabela50101[Country],Tabela1[[#This Row],[Country]],Tabela50101[Sprint Classification],"&gt;0")</f>
        <v>0</v>
      </c>
      <c r="PY56" s="6">
        <f>COUNTIFS(Tabela103[Country],Tabela1[[#This Row],[Country]],Tabela103[Mixed Relay Classification],"&gt;0")</f>
        <v>0</v>
      </c>
      <c r="PZ56" s="6">
        <f>COUNTIFS(Table149[Country],Tabela1[[#This Row],[Country]],Table149[Big Air Classification],"&gt;0")</f>
        <v>0</v>
      </c>
      <c r="QA56" s="6">
        <f>COUNTIFS(Table149152[Country],Tabela1[[#This Row],[Country]],Table149152[Big Air Classification],"&gt;0")</f>
        <v>0</v>
      </c>
      <c r="QB56" s="6">
        <f>COUNTIFS(Table149[Country],Tabela1[[#This Row],[Country]],Table149[Halfpipe Classification],"&gt;0")</f>
        <v>0</v>
      </c>
      <c r="QC56" s="6">
        <f>COUNTIFS(Table149152[Country],Tabela1[[#This Row],[Country]],Table149152[Halfpipe Classification],"&gt;0")</f>
        <v>0</v>
      </c>
      <c r="QD56" s="6">
        <f>COUNTIFS(Table149[Country],Tabela1[[#This Row],[Country]],Table149[Parallel Giant Slalom Classification],"&gt;0")</f>
        <v>0</v>
      </c>
      <c r="QE56" s="6">
        <f>COUNTIFS(Table149152[Country],Tabela1[[#This Row],[Country]],Table149152[Parallel Giant Slalom Classification],"&gt;0")</f>
        <v>0</v>
      </c>
      <c r="QF56" s="6">
        <f>COUNTIFS(Table149[Country],Tabela1[[#This Row],[Country]],Table149[Slopestyle Classification],"&gt;0")</f>
        <v>0</v>
      </c>
      <c r="QG56" s="6">
        <f>COUNTIFS(Table149152[Country],Tabela1[[#This Row],[Country]],Table149152[Slopestyle Classification],"&gt;0")</f>
        <v>0</v>
      </c>
      <c r="QH56" s="6">
        <f>COUNTIFS(Table149[Country],Tabela1[[#This Row],[Country]],Table149[Snowboard Cross Classification],"&gt;0")</f>
        <v>0</v>
      </c>
      <c r="QI56" s="6">
        <f>COUNTIFS(Table149152[Country],Tabela1[[#This Row],[Country]],Table149152[Snowboard Cross Classification],"&gt;0")</f>
        <v>0</v>
      </c>
      <c r="QJ56" s="6">
        <f>COUNTIFS(Table153[Country],Tabela1[[#This Row],[Country]],Table153[Mixed Team Snowboard Cross Classification],"&gt;0")</f>
        <v>0</v>
      </c>
      <c r="QK56" s="6">
        <f>COUNTIFS(Table154[Country],Tabela1[[#This Row],[Country]],Table154[500m Classification],"&gt;0")</f>
        <v>0</v>
      </c>
      <c r="QL56" s="6">
        <f>COUNTIFS(Table154157[Country],Tabela1[[#This Row],[Country]],Table154157[500m Classification],"&gt;0")</f>
        <v>0</v>
      </c>
      <c r="QM56" s="6">
        <f>COUNTIFS(Table154[Country],Tabela1[[#This Row],[Country]],Table154[1000m Classification],"&gt;0")</f>
        <v>0</v>
      </c>
      <c r="QN56" s="6">
        <f>COUNTIFS(Table154157[Country],Tabela1[[#This Row],[Country]],Table154157[1000m Classification],"&gt;0")</f>
        <v>0</v>
      </c>
      <c r="QO56" s="6">
        <f>COUNTIFS(Table154[Country],Tabela1[[#This Row],[Country]],Table154[1500m Classification],"&gt;0")</f>
        <v>0</v>
      </c>
      <c r="QP56" s="6">
        <f>COUNTIFS(Table154157[Country],Tabela1[[#This Row],[Country]],Table154157[1500m Classification],"&gt;0")</f>
        <v>0</v>
      </c>
      <c r="QQ56" s="6">
        <f>COUNTIFS(Table154157[Country],Tabela1[[#This Row],[Country]],Table154157[3000m Classification],"&gt;0")</f>
        <v>0</v>
      </c>
      <c r="QR56" s="6">
        <f>COUNTIFS(Table154[Country],Tabela1[[#This Row],[Country]],Table154[5000m Classification],"&gt;0")</f>
        <v>0</v>
      </c>
      <c r="QS56" s="6">
        <f>COUNTIFS(Table154157[Country],Tabela1[[#This Row],[Country]],Table154157[5000m Classification],"&gt;0")</f>
        <v>0</v>
      </c>
      <c r="QT56" s="6">
        <f>COUNTIFS(Table154[Country],Tabela1[[#This Row],[Country]],Table154[10000m Classification],"&gt;0")</f>
        <v>0</v>
      </c>
      <c r="QU56" s="6">
        <f>COUNTIFS(Table154[Country],Tabela1[[#This Row],[Country]],Table154[Mass Start Classification],"&gt;0")</f>
        <v>0</v>
      </c>
      <c r="QV56" s="6">
        <f>COUNTIFS(Table154157[Country],Tabela1[[#This Row],[Country]],Table154157[Mass Start Classification],"&gt;0")</f>
        <v>0</v>
      </c>
      <c r="QW56" s="6">
        <f>COUNTIFS(Table157[Country],Tabela1[[#This Row],[Country]],Table157[Men''s Pursuit Classification],"&gt;0")</f>
        <v>0</v>
      </c>
      <c r="QX56" s="6">
        <f>COUNTIFS(Table157[Country],Tabela1[[#This Row],[Country]],Table157[Women''s Pursuit Classification],"&gt;0")</f>
        <v>0</v>
      </c>
      <c r="QY56" s="3" t="s">
        <v>577</v>
      </c>
    </row>
    <row r="57" spans="1:467" x14ac:dyDescent="0.3">
      <c r="A57" s="6">
        <v>56</v>
      </c>
      <c r="B57" s="6" t="s">
        <v>404</v>
      </c>
      <c r="C57" t="e" vm="56">
        <f>IF(ISBLANK(Tabela1[[#This Row],[Image Link]]), "", _xlfn.IMAGE(Tabela1[[#This Row],[Image Link]],1,1))</f>
        <v>#VALUE!</v>
      </c>
      <c r="D57" s="6">
        <f>SUM(Tabela1[[#This Row],[Archery - Men''s Individual Recurve]:[Speed Skating - Women''s Team Pursuit]])</f>
        <v>11</v>
      </c>
      <c r="E57" s="6">
        <f>COUNTIF(Tabela1[[#This Row],[Archery - Men''s Individual Recurve]:[Speed Skating - Women''s Team Pursuit]],"&gt;0")</f>
        <v>11</v>
      </c>
      <c r="F57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57" s="6">
        <f>SUM(Tabela1[[#This Row],[Archery - Men''s Individual Recurve]:[Wrestling - Women''s Freestyle 76kg]])</f>
        <v>11</v>
      </c>
      <c r="H57" s="6">
        <f>SUM(Tabela1[[#This Row],[Alpine Skiing - Men''s Downhill]:[Speed Skating - Women''s Team Pursuit]])</f>
        <v>0</v>
      </c>
      <c r="I57" s="6">
        <f>Tabela1[[#This Row],[Summer Gold Medals]]+Tabela1[[#This Row],[Winter Gold Medals]]</f>
        <v>1</v>
      </c>
      <c r="J57" s="6">
        <f>Tabela1[[#This Row],[Summer Silver Medals]]+Tabela1[[#This Row],[Winter Silver Medals]]</f>
        <v>1</v>
      </c>
      <c r="K57" s="6">
        <f>Tabela1[[#This Row],[Summer Bronze Medals]]+Tabela1[[#This Row],[Winter Bronze Medals]]</f>
        <v>1</v>
      </c>
      <c r="L57" s="6">
        <f>SUM(Tabela1[[#This Row],[Total Gold Medals]:[Total Bronze Medals]])</f>
        <v>3</v>
      </c>
      <c r="M57" s="6">
        <v>1</v>
      </c>
      <c r="N57" s="6">
        <v>1</v>
      </c>
      <c r="O57" s="6">
        <v>1</v>
      </c>
      <c r="P57" s="6">
        <f>SUM(Tabela1[[#This Row],[Summer Gold Medals]:[Summer Bronze Medals]])</f>
        <v>3</v>
      </c>
      <c r="Q57" s="6"/>
      <c r="R57" s="6"/>
      <c r="S57" s="6"/>
      <c r="T57" s="6">
        <f>Tabela1[[#This Row],[Winter Gold Medals]]+Tabela1[[#This Row],[Winter Silver Medals]]+Tabela1[[#This Row],[Winter Bronze Medals]]</f>
        <v>0</v>
      </c>
      <c r="U57" s="7">
        <f>Tabela1[[#This Row],[Total Medals]]/Tabela1[[#This Row],[Total Quotas]]</f>
        <v>0.27272727272727271</v>
      </c>
      <c r="V57" s="6">
        <f>COUNTIFS(Table3[Country],Tabela1[[#This Row],[Country]],Table3[Recurve Classification],"&gt;0")</f>
        <v>0</v>
      </c>
      <c r="W57" s="6">
        <f>COUNTIFS(Table33[Country],Tabela1[[#This Row],[Country]],Table33[Recurve Classification],"&gt;0")</f>
        <v>0</v>
      </c>
      <c r="X57" s="6">
        <f>COUNTIFS(Table35[Country],Tabela1[[#This Row],[Country]],Table35[Men''s Team Recurve Classification],"&gt;0")</f>
        <v>0</v>
      </c>
      <c r="Y57" s="6">
        <f>COUNTIFS(Table35[Country],Tabela1[[#This Row],[Country]],Table35[Women''s Team Recurve Classification],"&gt;0")</f>
        <v>0</v>
      </c>
      <c r="Z57" s="6">
        <f>COUNTIFS(Tabela88[Country],Tabela1[[#This Row],[Country]],Tabela88[Mixed Team Recurve Classification],"&gt;0")</f>
        <v>0</v>
      </c>
      <c r="AA57" s="6">
        <f>COUNTIFS(Table36[Country],Tabela1[[#This Row],[Country]],Table36[Classification],"&gt;0")</f>
        <v>0</v>
      </c>
      <c r="AB57" s="6">
        <f>COUNTIFS(Table37[Country],Tabela1[[#This Row],[Country]],Table37[Classification],"&gt;0")</f>
        <v>0</v>
      </c>
      <c r="AC57" s="6">
        <f>COUNTIFS(Table4[Country],Tabela1[[#This Row],[Country]],Table4[100m Classification],"&gt;0")</f>
        <v>0</v>
      </c>
      <c r="AD57" s="6">
        <f>COUNTIFS(Table5[Country],Tabela1[[#This Row],[Country]],Table5[100m Classification],"&gt;0")</f>
        <v>0</v>
      </c>
      <c r="AE57" s="6">
        <f>COUNTIFS(Table4[Country],Tabela1[[#This Row],[Country]],Table4[200m Classification],"&gt;0")</f>
        <v>0</v>
      </c>
      <c r="AF57" s="6">
        <f>COUNTIFS(Table5[Country],Tabela1[[#This Row],[Country]],Table5[200m Classification],"&gt;0")</f>
        <v>0</v>
      </c>
      <c r="AG57" s="6">
        <f>COUNTIFS(Table4[Country],Tabela1[[#This Row],[Country]],Table4[400m Classification],"&gt;0")</f>
        <v>0</v>
      </c>
      <c r="AH57" s="6">
        <f>COUNTIFS(Table5[Country],Tabela1[[#This Row],[Country]],Table5[400m Classification],"&gt;0")</f>
        <v>0</v>
      </c>
      <c r="AI57" s="6">
        <f>COUNTIFS(Table4[Country],Tabela1[[#This Row],[Country]],Table4[800m Classification],"&gt;0")</f>
        <v>0</v>
      </c>
      <c r="AJ57" s="6">
        <f>COUNTIFS(Table5[Country],Tabela1[[#This Row],[Country]],Table5[800m Classification],"&gt;0")</f>
        <v>0</v>
      </c>
      <c r="AK57" s="6">
        <f>COUNTIFS(Table4[Country],Tabela1[[#This Row],[Country]],Table4[1500m Classification],"&gt;0")</f>
        <v>0</v>
      </c>
      <c r="AL57" s="6">
        <f>COUNTIFS(Table5[Country],Tabela1[[#This Row],[Country]],Table5[1500m Classification],"&gt;0")</f>
        <v>0</v>
      </c>
      <c r="AM57" s="6">
        <f>COUNTIFS(Table4[Country],Tabela1[[#This Row],[Country]],Table4[5000m Classification],"&gt;0")</f>
        <v>0</v>
      </c>
      <c r="AN57" s="6">
        <f>COUNTIFS(Table5[Country],Tabela1[[#This Row],[Country]],Table5[5000m Classification],"&gt;0")</f>
        <v>0</v>
      </c>
      <c r="AO57" s="6">
        <f>COUNTIFS(Table4[Country],Tabela1[[#This Row],[Country]],Table4[10000m Classification],"&gt;0")</f>
        <v>0</v>
      </c>
      <c r="AP57" s="6">
        <f>COUNTIFS(Table5[Country],Tabela1[[#This Row],[Country]],Table5[10000m Classification],"&gt;0")</f>
        <v>0</v>
      </c>
      <c r="AQ57" s="6">
        <f>COUNTIFS(Table4[Country],Tabela1[[#This Row],[Country]],Table4[110m Hurdles Classification],"&gt;0")</f>
        <v>0</v>
      </c>
      <c r="AR57" s="6">
        <f>COUNTIFS(Table5[Country],Tabela1[[#This Row],[Country]],Table5[100m Hurdles Classification],"&gt;0")</f>
        <v>0</v>
      </c>
      <c r="AS57" s="6">
        <f>COUNTIFS(Table4[Country],Tabela1[[#This Row],[Country]],Table4[400m Hurdles Classification],"&gt;0")</f>
        <v>0</v>
      </c>
      <c r="AT57" s="6">
        <f>COUNTIFS(Table5[Country],Tabela1[[#This Row],[Country]],Table5[400m Hurdles Classification],"&gt;0")</f>
        <v>0</v>
      </c>
      <c r="AU57" s="6">
        <f>COUNTIFS(Table4[Country],Tabela1[[#This Row],[Country]],Table4[3000m Steeplechase Classification],"&gt;0")</f>
        <v>1</v>
      </c>
      <c r="AV57" s="6">
        <f>COUNTIFS(Table5[Country],Tabela1[[#This Row],[Country]],Table5[3000m Steeplechase Classification],"&gt;0")</f>
        <v>0</v>
      </c>
      <c r="AW57" s="6">
        <f>COUNTIFS(Table27[Country],Tabela1[[#This Row],[Country]],Table27[Men''s 4x100m Relay Classification],"&gt;0")</f>
        <v>0</v>
      </c>
      <c r="AX57" s="6">
        <f>COUNTIFS(Table27[Country],Tabela1[[#This Row],[Country]],Table27[Women''s 4x100m Relay Classification],"&gt;0")</f>
        <v>0</v>
      </c>
      <c r="AY57" s="6">
        <f>COUNTIFS(Table27[Country],Tabela1[[#This Row],[Country]],Table27[Men''s 4x400m Relay Classification],"&gt;0")</f>
        <v>0</v>
      </c>
      <c r="AZ57" s="6">
        <f>COUNTIFS(Table27[Country],Tabela1[[#This Row],[Country]],Table27[Women''s 4x400m Relay Classification],"&gt;0")</f>
        <v>0</v>
      </c>
      <c r="BA57" s="6">
        <f>COUNTIFS(Table27[Country],Tabela1[[#This Row],[Country]],Table27[Mixed 4x400m Relay Classification],"&gt;0")</f>
        <v>0</v>
      </c>
      <c r="BB57" s="6">
        <f>COUNTIFS(Table4[Country],Tabela1[[#This Row],[Country]],Table4[Marathon Classification],"&gt;0")</f>
        <v>0</v>
      </c>
      <c r="BC57" s="6">
        <f>COUNTIFS(Table5[Country],Tabela1[[#This Row],[Country]],Table5[Marathon Classification],"&gt;0")</f>
        <v>0</v>
      </c>
      <c r="BD57" s="6">
        <f>COUNTIFS(Table4[Country],Tabela1[[#This Row],[Country]],Table4[20km Race Walk Classification],"&gt;0")</f>
        <v>0</v>
      </c>
      <c r="BE57" s="6">
        <f>COUNTIFS(Table5[Country],Tabela1[[#This Row],[Country]],Table5[20km Race Walk Classification],"&gt;0")</f>
        <v>0</v>
      </c>
      <c r="BF57" s="6">
        <f>COUNTIFS(Tabela96[Country],Tabela1[[#This Row],[Country]],Tabela96[Mixed Marathon Race Walk Relay Classification],"&gt;0")</f>
        <v>0</v>
      </c>
      <c r="BG57" s="6">
        <f>COUNTIFS(Table4[Country],Tabela1[[#This Row],[Country]],Table4[Discus Throw Classification],"&gt;0")</f>
        <v>0</v>
      </c>
      <c r="BH57" s="6">
        <f>COUNTIFS(Table5[Country],Tabela1[[#This Row],[Country]],Table5[Discus Throw Classification],"&gt;0")</f>
        <v>0</v>
      </c>
      <c r="BI57" s="6">
        <f>COUNTIFS(Table4[Country],Tabela1[[#This Row],[Country]],Table4[Hammer Throw Classification],"&gt;0")</f>
        <v>0</v>
      </c>
      <c r="BJ57" s="6">
        <f>COUNTIFS(Table5[Country],Tabela1[[#This Row],[Country]],Table5[Hammer Throw Classification],"&gt;0")</f>
        <v>0</v>
      </c>
      <c r="BK57" s="6">
        <f>COUNTIFS(Table4[Country],Tabela1[[#This Row],[Country]],Table4[High Jump Classification],"&gt;0")</f>
        <v>0</v>
      </c>
      <c r="BL57" s="6">
        <f>COUNTIFS(Table5[Country],Tabela1[[#This Row],[Country]],Table5[High Jump Classification],"&gt;0")</f>
        <v>0</v>
      </c>
      <c r="BM57" s="6">
        <f>COUNTIFS(Table4[Country],Tabela1[[#This Row],[Country]],Table4[Javelin Throw Classification],"&gt;0")</f>
        <v>0</v>
      </c>
      <c r="BN57" s="6">
        <f>COUNTIFS(Table5[Country],Tabela1[[#This Row],[Country]],Table5[Javelin Throw Classification],"&gt;0")</f>
        <v>0</v>
      </c>
      <c r="BO57" s="6">
        <f>COUNTIFS(Table4[Country],Tabela1[[#This Row],[Country]],Table4[Long Jump Classification],"&gt;0")</f>
        <v>0</v>
      </c>
      <c r="BP57" s="6">
        <f>COUNTIFS(Table5[Country],Tabela1[[#This Row],[Country]],Table5[Long Jump Classification],"&gt;0")</f>
        <v>0</v>
      </c>
      <c r="BQ57" s="6">
        <f>COUNTIFS(Table4[Country],Tabela1[[#This Row],[Country]],Table4[Pole Vault Classification],"&gt;0")</f>
        <v>0</v>
      </c>
      <c r="BR57" s="6">
        <f>COUNTIFS(Table5[Country],Tabela1[[#This Row],[Country]],Table5[Pole Vault Classification],"&gt;0")</f>
        <v>0</v>
      </c>
      <c r="BS57" s="6">
        <f>COUNTIFS(Table4[Country],Tabela1[[#This Row],[Country]],Table4[Shot Put Classification],"&gt;0")</f>
        <v>0</v>
      </c>
      <c r="BT57" s="6">
        <f>COUNTIFS(Table5[Country],Tabela1[[#This Row],[Country]],Table5[Shot Put Classification],"&gt;0")</f>
        <v>0</v>
      </c>
      <c r="BU57" s="6">
        <f>COUNTIFS(Table4[Country],Tabela1[[#This Row],[Country]],Table4[Triple Jump Classification],"&gt;0")</f>
        <v>0</v>
      </c>
      <c r="BV57" s="6">
        <f>COUNTIFS(Table5[Country],Tabela1[[#This Row],[Country]],Table5[Triple Jump Classification],"&gt;0")</f>
        <v>0</v>
      </c>
      <c r="BW57" s="6">
        <f>COUNTIFS(Table4[Country],Tabela1[[#This Row],[Country]],Table4[Decathlon Classification],"&gt;0")</f>
        <v>0</v>
      </c>
      <c r="BX57" s="6">
        <f>COUNTIFS(Table5[Country],Tabela1[[#This Row],[Country]],Table5[Heptathlon Classification],"&gt;0")</f>
        <v>0</v>
      </c>
      <c r="BY57" s="6">
        <f>COUNTIFS(Table61[Country],Tabela1[[#This Row],[Country]],Table61[Classification],"&gt;0")</f>
        <v>0</v>
      </c>
      <c r="BZ57" s="6">
        <f>COUNTIFS(Table38[Country],Tabela1[[#This Row],[Country]],Table38[Classification],"&gt;0")</f>
        <v>0</v>
      </c>
      <c r="CA57" s="6">
        <f>COUNTIFS(Table39[Country],Tabela1[[#This Row],[Country]],Table39[Men''s Classification],"&gt;0")</f>
        <v>0</v>
      </c>
      <c r="CB57" s="6">
        <f>COUNTIFS(Table39[Country],Tabela1[[#This Row],[Country]],Table39[Women''s Classification],"&gt;0")</f>
        <v>0</v>
      </c>
      <c r="CC57" s="6">
        <f>COUNTIFS(Table39[Country],Tabela1[[#This Row],[Country]],Table39[Mixed Classification],"&gt;0")</f>
        <v>0</v>
      </c>
      <c r="CD57" s="6">
        <f>COUNTIFS(Table89[Country],Tabela1[[#This Row],[Country]],Table89[Men''s Classification],"&gt;0")</f>
        <v>0</v>
      </c>
      <c r="CE57" s="6">
        <f>COUNTIFS(Table89[Country],Tabela1[[#This Row],[Country]],Table89[Women''s Classification],"&gt;0")</f>
        <v>0</v>
      </c>
      <c r="CF57" s="6">
        <f>COUNTIFS(Table90[Country],Tabela1[[#This Row],[Country]],Table90[Men''s Classification],"&gt;0")</f>
        <v>0</v>
      </c>
      <c r="CG57" s="6">
        <f>COUNTIFS(Table90[Country],Tabela1[[#This Row],[Country]],Table90[Women''s Classification],"&gt;0")</f>
        <v>0</v>
      </c>
      <c r="CH57" s="6">
        <f>COUNTIFS(Table60[Country],Tabela1[[#This Row],[Country]],Table60[Men''s Classification],"&gt;0")</f>
        <v>0</v>
      </c>
      <c r="CI57" s="6">
        <f>COUNTIFS(Table60[Country],Tabela1[[#This Row],[Country]],Table60[Women''s Classification],"&gt;0")</f>
        <v>0</v>
      </c>
      <c r="CJ57" s="6">
        <f>COUNTIFS(Table6[Country],Tabela1[[#This Row],[Country]],Table6[51kg Classification],"&gt;0")</f>
        <v>0</v>
      </c>
      <c r="CK57" s="6">
        <f>COUNTIFS(Table6[Country],Tabela1[[#This Row],[Country]],Table6[57kg Classification],"&gt;0")</f>
        <v>0</v>
      </c>
      <c r="CL57" s="6">
        <f>COUNTIFS(Table6[Country],Tabela1[[#This Row],[Country]],Table6[63.5kg Classification],"&gt;0")</f>
        <v>0</v>
      </c>
      <c r="CM57" s="6">
        <f>COUNTIFS(Table6[Country],Tabela1[[#This Row],[Country]],Table6[71kg Classification],"&gt;0")</f>
        <v>0</v>
      </c>
      <c r="CN57" s="6">
        <f>COUNTIFS(Table6[Country],Tabela1[[#This Row],[Country]],Table6[80kg Classification],"&gt;0")</f>
        <v>0</v>
      </c>
      <c r="CO57" s="6">
        <f>COUNTIFS(Table6[Country],Tabela1[[#This Row],[Country]],Table6[92kg Classification],"&gt;0")</f>
        <v>0</v>
      </c>
      <c r="CP57" s="6">
        <f>COUNTIFS(Table6[Country],Tabela1[[#This Row],[Country]],Table6[Plus 92kg Classification],"&gt;0")</f>
        <v>0</v>
      </c>
      <c r="CQ57" s="6">
        <f>COUNTIFS(Table7[Country],Tabela1[[#This Row],[Country]],Table7[50kg Classification],"&gt;0")</f>
        <v>0</v>
      </c>
      <c r="CR57" s="6">
        <f>COUNTIFS(Table7[Country],Tabela1[[#This Row],[Country]],Table7[54kg Classification],"&gt;0")</f>
        <v>0</v>
      </c>
      <c r="CS57" s="6">
        <f>COUNTIFS(Table7[Country],Tabela1[[#This Row],[Country]],Table7[57kg Classification],"&gt;0")</f>
        <v>0</v>
      </c>
      <c r="CT57" s="6">
        <f>COUNTIFS(Table7[Country],Tabela1[[#This Row],[Country]],Table7[60kg Classification],"&gt;0")</f>
        <v>0</v>
      </c>
      <c r="CU57" s="6">
        <f>COUNTIFS(Table7[Country],Tabela1[[#This Row],[Country]],Table7[66kg Classification],"&gt;0")</f>
        <v>0</v>
      </c>
      <c r="CV57" s="6">
        <f>COUNTIFS(Table7[Country],Tabela1[[#This Row],[Country]],Table7[75kg Classification],"&gt;0")</f>
        <v>0</v>
      </c>
      <c r="CW57" s="6">
        <f>COUNTIFS(Tabela94[Country],Tabela1[[#This Row],[Country]],Tabela94[Classification],"&gt;0")</f>
        <v>0</v>
      </c>
      <c r="CX57" s="6">
        <f>COUNTIFS(Tabela9499[Country],Tabela1[[#This Row],[Country]],Tabela9499[Classification],"&gt;0")</f>
        <v>0</v>
      </c>
      <c r="CY57" s="6">
        <f>COUNTIFS(Tabela107[Country],Tabela1[[#This Row],[Country]],Tabela107[C1 Slalom Classification],"&gt;0")</f>
        <v>1</v>
      </c>
      <c r="CZ57" s="6">
        <f>COUNTIFS(Tabela107122[Country],Tabela1[[#This Row],[Country]],Tabela107122[C1 Slalom Classification],"&gt;0")</f>
        <v>0</v>
      </c>
      <c r="DA57" s="6">
        <f>COUNTIFS(Tabela107[Country],Tabela1[[#This Row],[Country]],Tabela107[K1 Slalom Classification],"&gt;0")</f>
        <v>1</v>
      </c>
      <c r="DB57" s="6">
        <f>COUNTIFS(Tabela107122[Country],Tabela1[[#This Row],[Country]],Tabela107122[K1 Slalom Classification],"&gt;0")</f>
        <v>0</v>
      </c>
      <c r="DC57" s="6">
        <f>COUNTIFS(Tabela107[Country],Tabela1[[#This Row],[Country]],Tabela107[Kayak Cross Slalom Classification],"&gt;0")</f>
        <v>1</v>
      </c>
      <c r="DD57" s="6">
        <f>COUNTIFS(Tabela107122[Country],Tabela1[[#This Row],[Country]],Tabela107122[Kayak Cross Slalom Classification],"&gt;0")</f>
        <v>0</v>
      </c>
      <c r="DE57" s="6">
        <f>COUNTIFS(Table8[Country],Tabela1[[#This Row],[Country]],Table8[C1 200m Classification],"&gt;0")</f>
        <v>0</v>
      </c>
      <c r="DF57" s="6">
        <f>COUNTIFS(Table40[Country],Tabela1[[#This Row],[Country]],Table40[C1 1000m Classification],"&gt;0")</f>
        <v>0</v>
      </c>
      <c r="DG57" s="6">
        <f>COUNTIFS(Table68[Country],Tabela1[[#This Row],[Country]],Table68[Men''s C2 500m Classification],"&gt;0")</f>
        <v>0</v>
      </c>
      <c r="DH57" s="6">
        <f>COUNTIFS(Table68[Country],Tabela1[[#This Row],[Country]],Table68[Women''s C2 500m Classification],"&gt;0")</f>
        <v>0</v>
      </c>
      <c r="DI57" s="6">
        <f>COUNTIFS(Table8[Country],Tabela1[[#This Row],[Country]],Table8[K1 500m Classification],"&gt;0")</f>
        <v>0</v>
      </c>
      <c r="DJ57" s="6">
        <f>COUNTIFS(Table40[Country],Tabela1[[#This Row],[Country]],Table40[K1 1000m Classification],"&gt;0")</f>
        <v>0</v>
      </c>
      <c r="DK57" s="6">
        <f>COUNTIFS(Table68[Country],Tabela1[[#This Row],[Country]],Table68[Men''s K2 500m Classification],"&gt;0")</f>
        <v>0</v>
      </c>
      <c r="DL57" s="6">
        <f>COUNTIFS(Table68[Country],Tabela1[[#This Row],[Country]],Table68[Women''s K2 500m Classification],"&gt;0")</f>
        <v>0</v>
      </c>
      <c r="DM57" s="6">
        <f>COUNTIFS(Table83[Country],Tabela1[[#This Row],[Country]],Table83[Men''s K4 500m Classification],"&gt;0")</f>
        <v>0</v>
      </c>
      <c r="DN57" s="6">
        <f>COUNTIFS(Table83[Country],Tabela1[[#This Row],[Country]],Table83[Women''s K4 500m Classification],"&gt;0")</f>
        <v>0</v>
      </c>
      <c r="DO57" s="6">
        <f>COUNTIFS(Tabela126[Country],Tabela1[[#This Row],[Country]],Tabela126[Classification],"&gt;0")</f>
        <v>0</v>
      </c>
      <c r="DP57" s="6">
        <f>COUNTIFS(Tabela126130[Country],Tabela1[[#This Row],[Country]],Tabela126130[Classification],"&gt;0")</f>
        <v>0</v>
      </c>
      <c r="DQ57" s="6">
        <f>COUNTIFS(Table70[Country],Tabela1[[#This Row],[Country]],Table70[Classification],"&gt;0")</f>
        <v>0</v>
      </c>
      <c r="DR57" s="6">
        <f>COUNTIFS(Table80[Country],Tabela1[[#This Row],[Country]],Table80[Classification],"&gt;0")</f>
        <v>0</v>
      </c>
      <c r="DS57" s="6">
        <f>COUNTIFS(Table66[Country],Tabela1[[#This Row],[Country]],Table66[Classification],"&gt;0")</f>
        <v>0</v>
      </c>
      <c r="DT57" s="6">
        <f>COUNTIFS(Table67[Country],Tabela1[[#This Row],[Country]],Table67[Classification],"&gt;0")</f>
        <v>0</v>
      </c>
      <c r="DU57" s="6">
        <f>COUNTIFS(Table69[Country],Tabela1[[#This Row],[Country]],Table69[Keirin Classification],"&gt;0")</f>
        <v>0</v>
      </c>
      <c r="DV57" s="6">
        <f>COUNTIFS(Table41[Country],Tabela1[[#This Row],[Country]],Table41[Keirin Classification],"&gt;0")</f>
        <v>0</v>
      </c>
      <c r="DW57" s="6">
        <f>COUNTIFS(Table84[Country],Tabela1[[#This Row],[Country]],Table84[Men''s Madison Classification],"&gt;0")</f>
        <v>0</v>
      </c>
      <c r="DX57" s="6">
        <f>COUNTIFS(Table84[Country],Tabela1[[#This Row],[Country]],Table84[Women''s Madison Classification],"&gt;0")</f>
        <v>0</v>
      </c>
      <c r="DY57" s="6">
        <f>COUNTIFS(Table69[Country],Tabela1[[#This Row],[Country]],Table69[Omnium Classification],"&gt;0")</f>
        <v>0</v>
      </c>
      <c r="DZ57" s="6">
        <f>COUNTIFS(Table41[Country],Tabela1[[#This Row],[Country]],Table41[Omnium Classification],"&gt;0")</f>
        <v>0</v>
      </c>
      <c r="EA57" s="6">
        <f>COUNTIFS(Table9[Country],Tabela1[[#This Row],[Country]],Table9[Road Race Classification],"&gt;0")</f>
        <v>0</v>
      </c>
      <c r="EB57" s="6">
        <f>COUNTIFS(Table14[Country],Tabela1[[#This Row],[Country]],Table14[Road Race Classification],"&gt;0")</f>
        <v>0</v>
      </c>
      <c r="EC57" s="6">
        <f>COUNTIFS(Table69[Country],Tabela1[[#This Row],[Country]],Table69[Sprint Classification],"&gt;0")</f>
        <v>0</v>
      </c>
      <c r="ED57" s="6">
        <f>COUNTIFS(Table41[Country],Tabela1[[#This Row],[Country]],Table41[Sprint Classification],"&gt;0")</f>
        <v>0</v>
      </c>
      <c r="EE57" s="6">
        <f>COUNTIFS(Table85[Country],Tabela1[[#This Row],[Country]],Table85[Men''s Sprint Classification],"&gt;0")</f>
        <v>0</v>
      </c>
      <c r="EF57" s="6">
        <f>COUNTIFS(Table85[Country],Tabela1[[#This Row],[Country]],Table85[Women''s Sprint Classification],"&gt;0")</f>
        <v>0</v>
      </c>
      <c r="EG57" s="6">
        <f>COUNTIFS(Table85[Country],Tabela1[[#This Row],[Country]],Table85[Men''s Pursuit Classification],"&gt;0")</f>
        <v>0</v>
      </c>
      <c r="EH57" s="6">
        <f>COUNTIFS(Table85[Country],Tabela1[[#This Row],[Country]],Table85[Women''s Pursuit Classification],"&gt;0")</f>
        <v>0</v>
      </c>
      <c r="EI57" s="6">
        <f>COUNTIFS(Table9[Country],Tabela1[[#This Row],[Country]],Table9[Time-Trial Classification],"&gt;0")</f>
        <v>0</v>
      </c>
      <c r="EJ57" s="6">
        <f>COUNTIFS(Table14[Country],Tabela1[[#This Row],[Country]],Table14[Time-Trial Classification],"&gt;0")</f>
        <v>0</v>
      </c>
      <c r="EK57" s="6">
        <f>COUNTIFS(Table42[Country],Tabela1[[#This Row],[Country]],Table42[Springboard Classification],"&gt;0")</f>
        <v>0</v>
      </c>
      <c r="EL57" s="6">
        <f>COUNTIFS(Table43[Country],Tabela1[[#This Row],[Country]],Table43[Springboard Classification],"&gt;0")</f>
        <v>0</v>
      </c>
      <c r="EM57" s="6">
        <f>COUNTIFS(Table42[Country],Tabela1[[#This Row],[Country]],Table42[Platform Classification],"&gt;0")</f>
        <v>0</v>
      </c>
      <c r="EN57" s="6">
        <f>COUNTIFS(Table43[Country],Tabela1[[#This Row],[Country]],Table43[Platform Classification],"&gt;0")</f>
        <v>0</v>
      </c>
      <c r="EO57" s="6">
        <f>COUNTIFS(Table86[Country],Tabela1[[#This Row],[Country]],Table86[Men''s Synchronized Springboard Classification],"&gt;0")</f>
        <v>0</v>
      </c>
      <c r="EP57" s="6">
        <f>COUNTIFS(Table86[Country],Tabela1[[#This Row],[Country]],Table86[Women''s Synchronized Springboard Classification],"&gt;0")</f>
        <v>0</v>
      </c>
      <c r="EQ57" s="6">
        <f>COUNTIFS(Table86[Country],Tabela1[[#This Row],[Country]],Table86[Men''s Synchronized Platform Classification],"&gt;0")</f>
        <v>0</v>
      </c>
      <c r="ER57" s="6">
        <f>COUNTIFS(Table86[Country],Tabela1[[#This Row],[Country]],Table86[Women''s Synchronized Platform Classification],"&gt;0")</f>
        <v>0</v>
      </c>
      <c r="ES57" s="6">
        <f>COUNTIFS(Table44[Country],Tabela1[[#This Row],[Country]],Table44[Dressage Classification],"&gt;0")</f>
        <v>0</v>
      </c>
      <c r="ET57" s="6">
        <f>COUNTIFS(Table45[Country],Tabela1[[#This Row],[Country]],Table45[Dressage Classification],"&gt;0")</f>
        <v>0</v>
      </c>
      <c r="EU57" s="6">
        <f>COUNTIFS(Table44[Country],Tabela1[[#This Row],[Country]],Table44[Eventing Classification],"&gt;0")</f>
        <v>0</v>
      </c>
      <c r="EV57" s="6">
        <f>COUNTIFS(Table45[Country],Tabela1[[#This Row],[Country]],Table45[Eventing Classification],"&gt;0")</f>
        <v>0</v>
      </c>
      <c r="EW57" s="6">
        <f>COUNTIFS(Table44[Country],Tabela1[[#This Row],[Country]],Table44[Jumping Classification],"&gt;0")</f>
        <v>0</v>
      </c>
      <c r="EX57" s="6">
        <f>COUNTIFS(Table45[Country],Tabela1[[#This Row],[Country]],Table45[Jumping Classification],"&gt;0")</f>
        <v>0</v>
      </c>
      <c r="EY57" s="6">
        <f>COUNTIFS(Table10[Country],Tabela1[[#This Row],[Country]],Table10[Épée Classification],"&gt;0")</f>
        <v>0</v>
      </c>
      <c r="EZ57" s="6">
        <f>COUNTIFS(Table11[Country],Tabela1[[#This Row],[Country]],Table11[Épée Classification],"&gt;0")</f>
        <v>0</v>
      </c>
      <c r="FA57" s="6">
        <f>COUNTIFS(Table46[Country],Tabela1[[#This Row],[Country]],Table46[Men''s Épée Classification],"&gt;0")</f>
        <v>0</v>
      </c>
      <c r="FB57" s="6">
        <f>COUNTIFS(Table46[Country],Tabela1[[#This Row],[Country]],Table46[Women''s Épée Classification],"&gt;0")</f>
        <v>0</v>
      </c>
      <c r="FC57" s="6">
        <f>COUNTIFS(Table10[Country],Tabela1[[#This Row],[Country]],Table10[Foil Classification],"&gt;0")</f>
        <v>0</v>
      </c>
      <c r="FD57" s="6">
        <f>COUNTIFS(Table11[Country],Tabela1[[#This Row],[Country]],Table11[Foil Classification],"&gt;0")</f>
        <v>0</v>
      </c>
      <c r="FE57" s="6">
        <f>COUNTIFS(Table46[Country],Tabela1[[#This Row],[Country]],Table46[Men''s Foil Classification],"&gt;0")</f>
        <v>0</v>
      </c>
      <c r="FF57" s="6">
        <f>COUNTIFS(Table46[Country],Tabela1[[#This Row],[Country]],Table46[Women''s Foil Classification],"&gt;0")</f>
        <v>0</v>
      </c>
      <c r="FG57" s="6">
        <f>COUNTIFS(Table10[Country],Tabela1[[#This Row],[Country]],Table10[Sabre Classification],"&gt;0")</f>
        <v>1</v>
      </c>
      <c r="FH57" s="6">
        <f>COUNTIFS(Table11[Country],Tabela1[[#This Row],[Country]],Table11[Sabre Classification],"&gt;0")</f>
        <v>1</v>
      </c>
      <c r="FI57" s="6">
        <f>COUNTIFS(Table46[Country],Tabela1[[#This Row],[Country]],Table46[Men''s Sabre Classification],"&gt;0")</f>
        <v>0</v>
      </c>
      <c r="FJ57" s="6">
        <f>COUNTIFS(Table46[Country],Tabela1[[#This Row],[Country]],Table46[Women''s Sabre Classification],"&gt;0")</f>
        <v>0</v>
      </c>
      <c r="FK57" s="6">
        <f>COUNTIFS(Table91[Country],Tabela1[[#This Row],[Country]],Table91[Men''s Classification],"&gt;0")</f>
        <v>0</v>
      </c>
      <c r="FL57" s="6">
        <f>COUNTIFS(Table91[Country],Tabela1[[#This Row],[Country]],Table91[Women''s Classification],"&gt;0")</f>
        <v>0</v>
      </c>
      <c r="FM57" s="6">
        <f>COUNTIFS(Table9194[Country],Tabela1[[#This Row],[Country]],Table9194[Men''s Classification],"&gt;0")</f>
        <v>0</v>
      </c>
      <c r="FN57" s="6">
        <f>COUNTIFS(Table9194[Country],Tabela1[[#This Row],[Country]],Table9194[Women''s Classification],"&gt;0")</f>
        <v>0</v>
      </c>
      <c r="FO57" s="6">
        <f>COUNTIFS(Table71[Country],Tabela1[[#This Row],[Country]],Table71[Classification],"&gt;0")</f>
        <v>0</v>
      </c>
      <c r="FP57" s="6">
        <f>COUNTIFS(Table62[Country],Tabela1[[#This Row],[Country]],Table62[Classification],"&gt;0")</f>
        <v>0</v>
      </c>
      <c r="FQ57" s="6">
        <f>COUNTIFS(Table47[Country],Tabela1[[#This Row],[Country]],Table47[All-Around Classification],"&gt;0")</f>
        <v>0</v>
      </c>
      <c r="FR57" s="6">
        <f>COUNTIFS(Table48[Country],Tabela1[[#This Row],[Country]],Table48[All-Around Classification],"&gt;0")</f>
        <v>0</v>
      </c>
      <c r="FS57" s="6">
        <f>COUNTIFS(Table81[Country],Tabela1[[#This Row],[Country]],Table81[Men''s All-Around Classification],"&gt;0")</f>
        <v>0</v>
      </c>
      <c r="FT57" s="6">
        <f>COUNTIFS(Table81[Country],Tabela1[[#This Row],[Country]],Table81[Women''s All-Around Classification],"&gt;0")</f>
        <v>0</v>
      </c>
      <c r="FU57" s="6">
        <f>COUNTIFS(Table48[Country],Tabela1[[#This Row],[Country]],Table48[Balance Beam Classification],"&gt;0")</f>
        <v>0</v>
      </c>
      <c r="FV57" s="6">
        <f>COUNTIFS(Table47[Country],Tabela1[[#This Row],[Country]],Table47[Floor Exercise Classification],"&gt;0")</f>
        <v>0</v>
      </c>
      <c r="FW57" s="6">
        <f>COUNTIFS(Table48[Country],Tabela1[[#This Row],[Country]],Table48[Floor Exercise Classification],"&gt;0")</f>
        <v>0</v>
      </c>
      <c r="FX57" s="6">
        <f>COUNTIFS(Table47[Country],Tabela1[[#This Row],[Country]],Table47[Horizontal Bar Classification],"&gt;0")</f>
        <v>0</v>
      </c>
      <c r="FY57" s="6">
        <f>COUNTIFS(Table47[Country],Tabela1[[#This Row],[Country]],Table47[Parallel Bars Classification],"&gt;0")</f>
        <v>0</v>
      </c>
      <c r="FZ57" s="6">
        <f>COUNTIFS(Table47[Country],Tabela1[[#This Row],[Country]],Table47[Pommel Horse Classification],"&gt;0")</f>
        <v>0</v>
      </c>
      <c r="GA57" s="6">
        <f>COUNTIFS(Table47[Country],Tabela1[[#This Row],[Country]],Table47[Rings Classification],"&gt;0")</f>
        <v>0</v>
      </c>
      <c r="GB57" s="6">
        <f>COUNTIFS(Tabela132[Country],Tabela1[[#This Row],[Country]],Tabela132[Classification],"&gt;0")</f>
        <v>0</v>
      </c>
      <c r="GC57" s="6">
        <f>COUNTIFS(Tabela139[Country],Tabela1[[#This Row],[Country]],Tabela139[Classification],"&gt;0")</f>
        <v>0</v>
      </c>
      <c r="GD57" s="6">
        <f>COUNTIFS(Table48[Country],Tabela1[[#This Row],[Country]],Table48[Uneven Bars Classification],"&gt;0")</f>
        <v>0</v>
      </c>
      <c r="GE57" s="6">
        <f>COUNTIFS(Table47[Country],Tabela1[[#This Row],[Country]],Table47[Vault Classification],"&gt;0")</f>
        <v>0</v>
      </c>
      <c r="GF57" s="6">
        <f>COUNTIFS(Table48[Country],Tabela1[[#This Row],[Country]],Table48[Vault Classification],"&gt;0")</f>
        <v>0</v>
      </c>
      <c r="GG57" s="6">
        <f>COUNTIFS(Table919496[Country],Tabela1[[#This Row],[Country]],Table919496[Men''s Classification],"&gt;0")</f>
        <v>0</v>
      </c>
      <c r="GH57" s="6">
        <f>COUNTIFS(Table919496[Country],Tabela1[[#This Row],[Country]],Table919496[Women''s Classification],"&gt;0")</f>
        <v>0</v>
      </c>
      <c r="GI57" s="6">
        <f>COUNTIFS(Table12[Country],Tabela1[[#This Row],[Country]],Table12[60kg Classification],"&gt;0")</f>
        <v>0</v>
      </c>
      <c r="GJ57" s="6">
        <f>COUNTIFS(Table12[Country],Tabela1[[#This Row],[Country]],Table12[66kg Classification],"&gt;0")</f>
        <v>0</v>
      </c>
      <c r="GK57" s="6">
        <f>COUNTIFS(Table12[Country],Tabela1[[#This Row],[Country]],Table12[73kg Classification],"&gt;0")</f>
        <v>0</v>
      </c>
      <c r="GL57" s="6">
        <f>COUNTIFS(Table12[Country],Tabela1[[#This Row],[Country]],Table12[81kg Classification],"&gt;0")</f>
        <v>0</v>
      </c>
      <c r="GM57" s="6">
        <f>COUNTIFS(Table12[Country],Tabela1[[#This Row],[Country]],Table12[90kg Classification],"&gt;0")</f>
        <v>0</v>
      </c>
      <c r="GN57" s="6">
        <f>COUNTIFS(Table12[Country],Tabela1[[#This Row],[Country]],Table12[100kg Classification],"&gt;0")</f>
        <v>0</v>
      </c>
      <c r="GO57" s="6">
        <f>COUNTIFS(Table12[Country],Tabela1[[#This Row],[Country]],Table12[Plus 100kg Classification],"&gt;0")</f>
        <v>0</v>
      </c>
      <c r="GP57" s="6">
        <f>COUNTIFS(Table13[Country],Tabela1[[#This Row],[Country]],Table13[48kg Classification],"&gt;0")</f>
        <v>0</v>
      </c>
      <c r="GQ57" s="6">
        <f>COUNTIFS(Table13[Country],Tabela1[[#This Row],[Country]],Table13[52kg Classification],"&gt;0")</f>
        <v>0</v>
      </c>
      <c r="GR57" s="6">
        <f>COUNTIFS(Table13[Country],Tabela1[[#This Row],[Country]],Table13[57kg Classification],"&gt;0")</f>
        <v>0</v>
      </c>
      <c r="GS57" s="6">
        <f>COUNTIFS(Table13[Country],Tabela1[[#This Row],[Country]],Table13[63kg Classification],"&gt;0")</f>
        <v>0</v>
      </c>
      <c r="GT57" s="6">
        <f>COUNTIFS(Table13[Country],Tabela1[[#This Row],[Country]],Table13[70kg Classification],"&gt;0")</f>
        <v>0</v>
      </c>
      <c r="GU57" s="6">
        <f>COUNTIFS(Table13[Country],Tabela1[[#This Row],[Country]],Table13[78kg Classification],"&gt;0")</f>
        <v>0</v>
      </c>
      <c r="GV57" s="6">
        <f>COUNTIFS(Table13[Country],Tabela1[[#This Row],[Country]],Table13[Plus 78kg Classification],"&gt;0")</f>
        <v>0</v>
      </c>
      <c r="GW57" s="6">
        <f>COUNTIFS(Table82[Country],Tabela1[[#This Row],[Country]],Table82[Mixed Classification],"&gt;0")</f>
        <v>0</v>
      </c>
      <c r="GX57" s="6">
        <f>COUNTIFS(Table51[Country],Tabela1[[#This Row],[Country]],Table51[Classification],"&gt;0")</f>
        <v>0</v>
      </c>
      <c r="GY57" s="6">
        <f>COUNTIFS(Table52[Country],Tabela1[[#This Row],[Country]],Table52[Classification],"&gt;0")</f>
        <v>0</v>
      </c>
      <c r="GZ57" s="6">
        <f>COUNTIFS(Table32[Country],Tabela1[[#This Row],[Country]],Table32[All-Around Classification],"&gt;0")</f>
        <v>0</v>
      </c>
      <c r="HA57" s="6">
        <f>COUNTIFS(Table49[Country],Tabela1[[#This Row],[Country]],Table49[All-Around Classification],"&gt;0")</f>
        <v>0</v>
      </c>
      <c r="HB57" s="6">
        <f>COUNTIFS(Table26[Country],Tabela1[[#This Row],[Country]],Table26[Single Sculls Classification],"&gt;0")</f>
        <v>0</v>
      </c>
      <c r="HC57" s="6">
        <f>COUNTIFS(Table63[Country],Tabela1[[#This Row],[Country]],Table63[Single Sculls Classification],"&gt;0")</f>
        <v>0</v>
      </c>
      <c r="HD57" s="6">
        <f>COUNTIFS(Table16[Country],Tabela1[[#This Row],[Country]],Table16[Men''s Double Sculls Classification],"&gt;0")</f>
        <v>0</v>
      </c>
      <c r="HE57" s="6">
        <f>COUNTIFS(Table16[Country],Tabela1[[#This Row],[Country]],Table16[Women''s Double Sculls Classification],"&gt;0")</f>
        <v>0</v>
      </c>
      <c r="HF57" s="6">
        <f>COUNTIFS(Table72[Country],Tabela1[[#This Row],[Country]],Table72[Men''s Quadruple Sculls Classification],"&gt;0")</f>
        <v>0</v>
      </c>
      <c r="HG57" s="6">
        <f>COUNTIFS(Table72[Country],Tabela1[[#This Row],[Country]],Table72[Women''s Quadruple Sculls Classification],"&gt;0")</f>
        <v>0</v>
      </c>
      <c r="HH57" s="6">
        <f>COUNTIFS(Table16[Country],Tabela1[[#This Row],[Country]],Table16[Men''s Coxless Pairs Classification],"&gt;0")</f>
        <v>0</v>
      </c>
      <c r="HI57" s="6">
        <f>COUNTIFS(Table16[Country],Tabela1[[#This Row],[Country]],Table16[Women''s Coxless Pairs Classification],"&gt;0")</f>
        <v>0</v>
      </c>
      <c r="HJ57" s="6">
        <f>COUNTIFS(Table72[Country],Tabela1[[#This Row],[Country]],Table72[Men''s Coxless Fours Classification],"&gt;0")</f>
        <v>0</v>
      </c>
      <c r="HK57" s="6">
        <f>COUNTIFS(Table72[Country],Tabela1[[#This Row],[Country]],Table72[Women''s Coxless Fours Classification],"&gt;0")</f>
        <v>0</v>
      </c>
      <c r="HL57" s="6">
        <f>COUNTIFS(Table72[Country],Tabela1[[#This Row],[Country]],Table72[Men''s Eights Classification],"&gt;0")</f>
        <v>0</v>
      </c>
      <c r="HM57" s="6">
        <f>COUNTIFS(Table72[Country],Tabela1[[#This Row],[Country]],Table72[Women''s Eights Classification],"&gt;0")</f>
        <v>0</v>
      </c>
      <c r="HN57" s="6">
        <f>COUNTIFS(Table16[Country],Tabela1[[#This Row],[Country]],Table16[Men''s Lwt. Double Sculls Classification],"&gt;0")</f>
        <v>0</v>
      </c>
      <c r="HO57" s="6">
        <f>COUNTIFS(Table16[Country],Tabela1[[#This Row],[Country]],Table16[Women''s Lwt. Double Sculls Classification],"&gt;0")</f>
        <v>0</v>
      </c>
      <c r="HP57" s="6">
        <f>COUNTIFS(Table91949698[Country],Tabela1[[#This Row],[Country]],Table91949698[Men''s Classification],"&gt;0")</f>
        <v>0</v>
      </c>
      <c r="HQ57" s="6">
        <f>COUNTIFS(Table91949698[Country],Tabela1[[#This Row],[Country]],Table91949698[Women''s Classification],"&gt;0")</f>
        <v>0</v>
      </c>
      <c r="HR57" s="6">
        <f>COUNTIFS(Table25[Country],Tabela1[[#This Row],[Country]],Table25[Mixed 470 Classification],"&gt;0")</f>
        <v>0</v>
      </c>
      <c r="HS57" s="6">
        <f>COUNTIFS(Table25[Country],Tabela1[[#This Row],[Country]],Table25[Men''s 49er Classification],"&gt;0")</f>
        <v>0</v>
      </c>
      <c r="HT57" s="6">
        <f>COUNTIFS(Table25[Country],Tabela1[[#This Row],[Country]],Table25[Women''s 49er FX Classification],"&gt;0")</f>
        <v>0</v>
      </c>
      <c r="HU57" s="6">
        <f>COUNTIFS(Table17[Country],Tabela1[[#This Row],[Country]],Table17[Formula Kite Classification],"&gt;0")</f>
        <v>0</v>
      </c>
      <c r="HV57" s="6">
        <f>COUNTIFS(Table18[Country],Tabela1[[#This Row],[Country]],Table18[Formula Kite Classification],"&gt;0")</f>
        <v>0</v>
      </c>
      <c r="HW57" s="6">
        <f>COUNTIFS(Table17[Country],Tabela1[[#This Row],[Country]],Table17[ILCA 7 Classification],"&gt;0")</f>
        <v>0</v>
      </c>
      <c r="HX57" s="6">
        <f>COUNTIFS(Table18[Country],Tabela1[[#This Row],[Country]],Table18[ILCA 6 Classification],"&gt;0")</f>
        <v>0</v>
      </c>
      <c r="HY57" s="6">
        <f>COUNTIFS(Table17[Country],Tabela1[[#This Row],[Country]],Table17[IQFoil Classification],"&gt;0")</f>
        <v>0</v>
      </c>
      <c r="HZ57" s="6">
        <f>COUNTIFS(Table18[Country],Tabela1[[#This Row],[Country]],Table18[IQFoil Classification],"&gt;0")</f>
        <v>0</v>
      </c>
      <c r="IA57" s="6">
        <f>COUNTIFS(Table25[Country],Tabela1[[#This Row],[Country]],Table25[Mixed Nacra 17 Classification],"&gt;0")</f>
        <v>0</v>
      </c>
      <c r="IB57" s="6">
        <f>COUNTIFS(Table53[Country],Tabela1[[#This Row],[Country]],Table53[10m Air Pistol Classification],"&gt;0")</f>
        <v>0</v>
      </c>
      <c r="IC57" s="6">
        <f>COUNTIFS(Table19[Country],Tabela1[[#This Row],[Country]],Table19[10m Air Pistol Classification],"&gt;0")</f>
        <v>1</v>
      </c>
      <c r="ID57" s="6">
        <f>COUNTIFS(Table54[Country],Tabela1[[#This Row],[Country]],Table54[Mixed 10m Air Pistol Team Classification],"&gt;0")</f>
        <v>0</v>
      </c>
      <c r="IE57" s="6">
        <f>COUNTIFS(Table53[Country],Tabela1[[#This Row],[Country]],Table53[10m Air Rifle Classification],"&gt;0")</f>
        <v>0</v>
      </c>
      <c r="IF57" s="6">
        <f>COUNTIFS(Table19[Country],Tabela1[[#This Row],[Country]],Table19[10m Air Rifle Classification],"&gt;0")</f>
        <v>0</v>
      </c>
      <c r="IG57" s="6">
        <f>COUNTIFS(Table54[Country],Tabela1[[#This Row],[Country]],Table54[Mixed 10m Air Rifle Team Classification],"&gt;0")</f>
        <v>0</v>
      </c>
      <c r="IH57" s="6">
        <f>COUNTIFS(Table53[Country],Tabela1[[#This Row],[Country]],Table53[25m Rapid Fire Pistol Classification],"&gt;0")</f>
        <v>0</v>
      </c>
      <c r="II57" s="6">
        <f>COUNTIFS(Table19[Country],Tabela1[[#This Row],[Country]],Table19[25m Pistol Classification],"&gt;0")</f>
        <v>0</v>
      </c>
      <c r="IJ57" s="6">
        <f>COUNTIFS(Table53[Country],Tabela1[[#This Row],[Country]],Table53[50m Rifle 3 Positions Classification],"&gt;0")</f>
        <v>0</v>
      </c>
      <c r="IK57" s="6">
        <f>COUNTIFS(Table19[Country],Tabela1[[#This Row],[Country]],Table19[50m Rifle 3 Positions Classification],"&gt;0")</f>
        <v>0</v>
      </c>
      <c r="IL57" s="6">
        <f>COUNTIFS(Table53[Country],Tabela1[[#This Row],[Country]],Table53[Skeet Classification],"&gt;0")</f>
        <v>0</v>
      </c>
      <c r="IM57" s="6">
        <f>COUNTIFS(Table19[Country],Tabela1[[#This Row],[Country]],Table19[Skeet Classification],"&gt;0")</f>
        <v>0</v>
      </c>
      <c r="IN57" s="6">
        <f>COUNTIFS(Table54[Country],Tabela1[[#This Row],[Country]],Table54[Mixed Skeet Team Classification],"&gt;0")</f>
        <v>0</v>
      </c>
      <c r="IO57" s="6">
        <f>COUNTIFS(Table53[Country],Tabela1[[#This Row],[Country]],Table53[Trap Classification],"&gt;0")</f>
        <v>0</v>
      </c>
      <c r="IP57" s="6">
        <f>COUNTIFS(Table19[Country],Tabela1[[#This Row],[Country]],Table19[Trap Classification],"&gt;0")</f>
        <v>0</v>
      </c>
      <c r="IQ57" s="6">
        <f>COUNTIFS(Table73[Country],Tabela1[[#This Row],[Country]],Table73[Park Classification],"&gt;0")</f>
        <v>0</v>
      </c>
      <c r="IR57" s="6">
        <f>COUNTIFS(Table74[Country],Tabela1[[#This Row],[Country]],Table74[Park Classification],"&gt;0")</f>
        <v>0</v>
      </c>
      <c r="IS57" s="6">
        <f>COUNTIFS(Table73[Country],Tabela1[[#This Row],[Country]],Table73[Street Classification],"&gt;0")</f>
        <v>0</v>
      </c>
      <c r="IT57" s="6">
        <f>COUNTIFS(Table74[Country],Tabela1[[#This Row],[Country]],Table74[Street Classification],"&gt;0")</f>
        <v>0</v>
      </c>
      <c r="IU57" s="6">
        <f>COUNTIFS(Table75[Country],Tabela1[[#This Row],[Country]],Table75[Boulder and Lead Classification],"&gt;0")</f>
        <v>0</v>
      </c>
      <c r="IV57" s="6">
        <f>COUNTIFS(Table76[Country],Tabela1[[#This Row],[Country]],Table76[Boulder and Lead Classification],"&gt;0")</f>
        <v>0</v>
      </c>
      <c r="IW57" s="6">
        <f>COUNTIFS(Table75[Country],Tabela1[[#This Row],[Country]],Table75[Speed Classification],"&gt;0")</f>
        <v>0</v>
      </c>
      <c r="IX57" s="6">
        <f>COUNTIFS(Table76[Country],Tabela1[[#This Row],[Country]],Table76[Speed Classification],"&gt;0")</f>
        <v>0</v>
      </c>
      <c r="IY57" s="6">
        <f>COUNTIFS(Table64[Country],Tabela1[[#This Row],[Country]],Table64[Shortboard Classification],"&gt;0")</f>
        <v>0</v>
      </c>
      <c r="IZ57" s="6">
        <f>COUNTIFS(Table77[Country],Tabela1[[#This Row],[Country]],Table77[Shortboard Classification],"&gt;0")</f>
        <v>0</v>
      </c>
      <c r="JA57" s="6">
        <f>COUNTIFS(Table20[Country],Tabela1[[#This Row],[Country]],Table20[50m Freestyle Classification],"&gt;0")</f>
        <v>0</v>
      </c>
      <c r="JB57" s="6">
        <f>COUNTIFS(Table21[Country],Tabela1[[#This Row],[Country]],Table21[50m Freestyle Classification],"&gt;0")</f>
        <v>0</v>
      </c>
      <c r="JC57" s="6">
        <f>COUNTIFS(Table20[Country],Tabela1[[#This Row],[Country]],Table20[100m Freestyle Classification],"&gt;0")</f>
        <v>0</v>
      </c>
      <c r="JD57" s="6">
        <f>COUNTIFS(Table21[Country],Tabela1[[#This Row],[Country]],Table21[100m Freestyle Classification],"&gt;0")</f>
        <v>0</v>
      </c>
      <c r="JE57" s="6">
        <f>COUNTIFS(Table20[Country],Tabela1[[#This Row],[Country]],Table20[200m Freestyle Classification],"&gt;0")</f>
        <v>0</v>
      </c>
      <c r="JF57" s="6">
        <f>COUNTIFS(Table21[Country],Tabela1[[#This Row],[Country]],Table21[200m Freestyle Classification],"&gt;0")</f>
        <v>0</v>
      </c>
      <c r="JG57" s="6">
        <f>COUNTIFS(Table20[Country],Tabela1[[#This Row],[Country]],Table20[400m Freestyle Classification],"&gt;0")</f>
        <v>0</v>
      </c>
      <c r="JH57" s="6">
        <f>COUNTIFS(Table21[Country],Tabela1[[#This Row],[Country]],Table21[400m Freestyle Classification],"&gt;0")</f>
        <v>0</v>
      </c>
      <c r="JI57" s="6">
        <f>COUNTIFS(Table20[Country],Tabela1[[#This Row],[Country]],Table20[800m Freestyle Classification],"&gt;0")</f>
        <v>0</v>
      </c>
      <c r="JJ57" s="6">
        <f>COUNTIFS(Table21[Country],Tabela1[[#This Row],[Country]],Table21[800m Freestyle Classification],"&gt;0")</f>
        <v>0</v>
      </c>
      <c r="JK57" s="6">
        <f>COUNTIFS(Table20[Country],Tabela1[[#This Row],[Country]],Table20[1500m Freestyle Classification],"&gt;0")</f>
        <v>0</v>
      </c>
      <c r="JL57" s="6">
        <f>COUNTIFS(Table21[Country],Tabela1[[#This Row],[Country]],Table21[1500m Freestyle Classification],"&gt;0")</f>
        <v>0</v>
      </c>
      <c r="JM57" s="6">
        <f>COUNTIFS(Table20[Country],Tabela1[[#This Row],[Country]],Table20[100m Backstroke Classification],"&gt;0")</f>
        <v>0</v>
      </c>
      <c r="JN57" s="6">
        <f>COUNTIFS(Table21[Country],Tabela1[[#This Row],[Country]],Table21[100m Backstroke Classification],"&gt;0")</f>
        <v>0</v>
      </c>
      <c r="JO57" s="6">
        <f>COUNTIFS(Table20[Country],Tabela1[[#This Row],[Country]],Table20[200m Backstroke Classification],"&gt;0")</f>
        <v>0</v>
      </c>
      <c r="JP57" s="6">
        <f>COUNTIFS(Table21[Country],Tabela1[[#This Row],[Country]],Table21[200m Backstroke Classification],"&gt;0")</f>
        <v>0</v>
      </c>
      <c r="JQ57" s="6">
        <f>COUNTIFS(Table20[Country],Tabela1[[#This Row],[Country]],Table20[100m Breaststroke Classification],"&gt;0")</f>
        <v>0</v>
      </c>
      <c r="JR57" s="6">
        <f>COUNTIFS(Table21[Country],Tabela1[[#This Row],[Country]],Table21[100m Breaststroke Classification],"&gt;0")</f>
        <v>0</v>
      </c>
      <c r="JS57" s="6">
        <f>COUNTIFS(Table20[Country],Tabela1[[#This Row],[Country]],Table20[200m Breaststroke Classification],"&gt;0")</f>
        <v>0</v>
      </c>
      <c r="JT57" s="6">
        <f>COUNTIFS(Table21[Country],Tabela1[[#This Row],[Country]],Table21[200m Breaststroke Classification],"&gt;0")</f>
        <v>0</v>
      </c>
      <c r="JU57" s="6">
        <f>COUNTIFS(Table20[Country],Tabela1[[#This Row],[Country]],Table20[100m Butterfly Classification],"&gt;0")</f>
        <v>0</v>
      </c>
      <c r="JV57" s="6">
        <f>COUNTIFS(Table21[Country],Tabela1[[#This Row],[Country]],Table21[100m Butterfly Classification],"&gt;0")</f>
        <v>0</v>
      </c>
      <c r="JW57" s="6">
        <f>COUNTIFS(Table20[Country],Tabela1[[#This Row],[Country]],Table20[200m Butterfly Classification],"&gt;0")</f>
        <v>0</v>
      </c>
      <c r="JX57" s="6">
        <f>COUNTIFS(Table21[Country],Tabela1[[#This Row],[Country]],Table21[200m Butterfly Classification],"&gt;0")</f>
        <v>0</v>
      </c>
      <c r="JY57" s="6">
        <f>COUNTIFS(Table20[Country],Tabela1[[#This Row],[Country]],Table20[200m Medley Classification],"&gt;0")</f>
        <v>0</v>
      </c>
      <c r="JZ57" s="6">
        <f>COUNTIFS(Table21[Country],Tabela1[[#This Row],[Country]],Table21[200m Medley Classification],"&gt;0")</f>
        <v>0</v>
      </c>
      <c r="KA57" s="6">
        <f>COUNTIFS(Table20[Country],Tabela1[[#This Row],[Country]],Table20[400m Medley Classification],"&gt;0")</f>
        <v>0</v>
      </c>
      <c r="KB57" s="6">
        <f>COUNTIFS(Table21[Country],Tabela1[[#This Row],[Country]],Table21[400m Medley Classification],"&gt;0")</f>
        <v>0</v>
      </c>
      <c r="KC57" s="6">
        <f>COUNTIFS(Table78[Country],Tabela1[[#This Row],[Country]],Table78[Men''s 4x100m Freestyle Relay Classification],"&gt;0")</f>
        <v>0</v>
      </c>
      <c r="KD57" s="6">
        <f>COUNTIFS(Table78[Country],Tabela1[[#This Row],[Country]],Table78[Women''s 4x100m Freestyle Relay Classification],"&gt;0")</f>
        <v>0</v>
      </c>
      <c r="KE57" s="6">
        <f>COUNTIFS(Table78[Country],Tabela1[[#This Row],[Country]],Table78[Men''s 4x200m Freestyle Relay Classification],"&gt;0")</f>
        <v>0</v>
      </c>
      <c r="KF57" s="6">
        <f>COUNTIFS(Table78[Country],Tabela1[[#This Row],[Country]],Table78[Women''s 4x200m Freestyle Relay Classification],"&gt;0")</f>
        <v>0</v>
      </c>
      <c r="KG57" s="6">
        <f>COUNTIFS(Table78[Country],Tabela1[[#This Row],[Country]],Table78[Men''s 4x100m Medley Relay Classification],"&gt;0")</f>
        <v>0</v>
      </c>
      <c r="KH57" s="6">
        <f>COUNTIFS(Table78[Country],Tabela1[[#This Row],[Country]],Table78[Women''s 4x100m Medley Relay Classification],"&gt;0")</f>
        <v>0</v>
      </c>
      <c r="KI57" s="6">
        <f>COUNTIFS(Table78[Country],Tabela1[[#This Row],[Country]],Table78[Mixed 4x100m Medley Relay Classification],"&gt;0")</f>
        <v>0</v>
      </c>
      <c r="KJ57" s="6">
        <f>COUNTIFS(Table20[Country],Tabela1[[#This Row],[Country]],Table20[10km Open Water Classification],"&gt;0")</f>
        <v>0</v>
      </c>
      <c r="KK57" s="6">
        <f>COUNTIFS(Table21[Country],Tabela1[[#This Row],[Country]],Table21[10km Open Water Classification],"&gt;0")</f>
        <v>0</v>
      </c>
      <c r="KL57" s="6">
        <f>COUNTIFS(Table22[Country],Tabela1[[#This Row],[Country]],Table22[Classification],"&gt;0")</f>
        <v>0</v>
      </c>
      <c r="KM57" s="6">
        <f>COUNTIFS(Table30[Country],Tabela1[[#This Row],[Country]],Table30[Classification],"&gt;0")</f>
        <v>0</v>
      </c>
      <c r="KN57" s="6">
        <f>COUNTIFS(Table55[Country],Tabela1[[#This Row],[Country]],Table55[Men''s Classification],"&gt;0")</f>
        <v>0</v>
      </c>
      <c r="KO57" s="6">
        <f>COUNTIFS(Table55[Country],Tabela1[[#This Row],[Country]],Table55[Women''s Classification],"&gt;0")</f>
        <v>0</v>
      </c>
      <c r="KP57" s="6">
        <f>COUNTIFS(Table56[Country],Tabela1[[#This Row],[Country]],Table56[Mixed Classification],"&gt;0")</f>
        <v>0</v>
      </c>
      <c r="KQ57" s="6">
        <f>COUNTIFS(Table29[Country],Tabela1[[#This Row],[Country]],Table29[58kg Classification],"&gt;0")</f>
        <v>0</v>
      </c>
      <c r="KR57" s="6">
        <f>COUNTIFS(Table29[Country],Tabela1[[#This Row],[Country]],Table29[68kg Classification],"&gt;0")</f>
        <v>0</v>
      </c>
      <c r="KS57" s="6">
        <f>COUNTIFS(Table29[Country],Tabela1[[#This Row],[Country]],Table29[80kg Classification],"&gt;0")</f>
        <v>1</v>
      </c>
      <c r="KT57" s="6">
        <f>COUNTIFS(Table29[Country],Tabela1[[#This Row],[Country]],Table29[Plus 80kg Classification],"&gt;0")</f>
        <v>0</v>
      </c>
      <c r="KU57" s="6">
        <f>COUNTIFS(Table34[Country],Tabela1[[#This Row],[Country]],Table34[49kg Classification],"&gt;0")</f>
        <v>1</v>
      </c>
      <c r="KV57" s="6">
        <f>COUNTIFS(Table34[Country],Tabela1[[#This Row],[Country]],Table34[57kg Classification],"&gt;0")</f>
        <v>1</v>
      </c>
      <c r="KW57" s="6">
        <f>COUNTIFS(Table34[Country],Tabela1[[#This Row],[Country]],Table34[67kg Classification],"&gt;0")</f>
        <v>0</v>
      </c>
      <c r="KX57" s="6">
        <f>COUNTIFS(Table34[Country],Tabela1[[#This Row],[Country]],Table34[Plus 67kg Classification],"&gt;0")</f>
        <v>0</v>
      </c>
      <c r="KY57" s="6">
        <f>COUNTIFS(Table57[Country],Tabela1[[#This Row],[Country]],Table57[Classification],"&gt;0")</f>
        <v>1</v>
      </c>
      <c r="KZ57" s="6">
        <f>COUNTIFS(Table58[Country],Tabela1[[#This Row],[Country]],Table58[Classification],"&gt;0")</f>
        <v>0</v>
      </c>
      <c r="LA57" s="6">
        <f>COUNTIFS(Table79[Country],Tabela1[[#This Row],[Country]],Table79[Men''s Classification],"&gt;0")</f>
        <v>0</v>
      </c>
      <c r="LB57" s="6">
        <f>COUNTIFS(Table79[Country],Tabela1[[#This Row],[Country]],Table79[Women''s Classification],"&gt;0")</f>
        <v>0</v>
      </c>
      <c r="LC57" s="6">
        <f>COUNTIFS(Table79[Country],Tabela1[[#This Row],[Country]],Table79[Mixed Classification],"&gt;0")</f>
        <v>0</v>
      </c>
      <c r="LD57" s="6">
        <f>COUNTIFS(Table65[Country],Tabela1[[#This Row],[Country]],Table65[Classification],"&gt;0")</f>
        <v>0</v>
      </c>
      <c r="LE57" s="6">
        <f>COUNTIFS(Table59[Country],Tabela1[[#This Row],[Country]],Table59[Classification],"&gt;0")</f>
        <v>0</v>
      </c>
      <c r="LF57" s="6">
        <f>COUNTIFS(Table87[Country],Tabela1[[#This Row],[Country]],Table87[Mixed Relay Classification],"&gt;0")</f>
        <v>0</v>
      </c>
      <c r="LG57" s="6">
        <f>COUNTIFS(Table91949698100[Country],Tabela1[[#This Row],[Country]],Table91949698100[Men''s Classification],"&gt;0")</f>
        <v>0</v>
      </c>
      <c r="LH57" s="6">
        <f>COUNTIFS(Table91949698100[Country],Tabela1[[#This Row],[Country]],Table91949698100[Women''s Classification],"&gt;0")</f>
        <v>0</v>
      </c>
      <c r="LI57" s="6">
        <f>COUNTIFS(Table91949698100102[Country],Tabela1[[#This Row],[Country]],Table91949698100102[Men''s Classification],"&gt;0")</f>
        <v>0</v>
      </c>
      <c r="LJ57" s="6">
        <f>COUNTIFS(Table91949698100102[Country],Tabela1[[#This Row],[Country]],Table91949698100102[Women''s Classification],"&gt;0")</f>
        <v>0</v>
      </c>
      <c r="LK57" s="6">
        <f>COUNTIFS(Table23[Country],Tabela1[[#This Row],[Country]],Table23[61kg Classification],"&gt;0")</f>
        <v>0</v>
      </c>
      <c r="LL57" s="6">
        <f>COUNTIFS(Table23[Country],Tabela1[[#This Row],[Country]],Table23[73kg Classification],"&gt;0")</f>
        <v>0</v>
      </c>
      <c r="LM57" s="6">
        <f>COUNTIFS(Table23[Country],Tabela1[[#This Row],[Country]],Table23[89kg Classification],"&gt;0")</f>
        <v>0</v>
      </c>
      <c r="LN57" s="6">
        <f>COUNTIFS(Table23[Country],Tabela1[[#This Row],[Country]],Table23[102kg Classification],"&gt;0")</f>
        <v>0</v>
      </c>
      <c r="LO57" s="6">
        <f>COUNTIFS(Table23[Country],Tabela1[[#This Row],[Country]],Table23[Plus 102kg Classification],"&gt;0")</f>
        <v>0</v>
      </c>
      <c r="LP57" s="6">
        <f>COUNTIFS(Table28[Country],Tabela1[[#This Row],[Country]],Table28[49kg Classification],"&gt;0")</f>
        <v>0</v>
      </c>
      <c r="LQ57" s="6">
        <f>COUNTIFS(Table28[Country],Tabela1[[#This Row],[Country]],Table28[59kg Classification],"&gt;0")</f>
        <v>0</v>
      </c>
      <c r="LR57" s="6">
        <f>COUNTIFS(Table28[Country],Tabela1[[#This Row],[Country]],Table28[71kg Classification],"&gt;0")</f>
        <v>0</v>
      </c>
      <c r="LS57" s="6">
        <f>COUNTIFS(Table28[Country],Tabela1[[#This Row],[Country]],Table28[81kg Classification],"&gt;0")</f>
        <v>0</v>
      </c>
      <c r="LT57" s="6">
        <f>COUNTIFS(Table28[Country],Tabela1[[#This Row],[Country]],Table28[Plus 81kg Classification],"&gt;0")</f>
        <v>0</v>
      </c>
      <c r="LU57" s="6">
        <f>COUNTIFS(Table24[Country],Tabela1[[#This Row],[Country]],Table24[Freestyle 57kg Classification],"&gt;0")</f>
        <v>0</v>
      </c>
      <c r="LV57" s="6">
        <f>COUNTIFS(Table24[Country],Tabela1[[#This Row],[Country]],Table24[Freestyle 65kg Classification],"&gt;0")</f>
        <v>0</v>
      </c>
      <c r="LW57" s="6">
        <f>COUNTIFS(Table24[Country],Tabela1[[#This Row],[Country]],Table24[Freestyle 74kg Classification],"&gt;0")</f>
        <v>0</v>
      </c>
      <c r="LX57" s="6">
        <f>COUNTIFS(Table24[Country],Tabela1[[#This Row],[Country]],Table24[Freestyle 86kg Classification],"&gt;0")</f>
        <v>0</v>
      </c>
      <c r="LY57" s="6">
        <f>COUNTIFS(Table24[Country],Tabela1[[#This Row],[Country]],Table24[Freestyle 97kg Classification],"&gt;0")</f>
        <v>0</v>
      </c>
      <c r="LZ57" s="6">
        <f>COUNTIFS(Table24[Country],Tabela1[[#This Row],[Country]],Table24[Freestyle 125kg Classification],"&gt;0")</f>
        <v>0</v>
      </c>
      <c r="MA57" s="6">
        <f>COUNTIFS(Table24[Country],Tabela1[[#This Row],[Country]],Table24[Greco-Roman 60kg Classification],"&gt;0")</f>
        <v>0</v>
      </c>
      <c r="MB57" s="6">
        <f>COUNTIFS(Table24[Country],Tabela1[[#This Row],[Country]],Table24[Greco-Roman 67kg Classification],"&gt;0")</f>
        <v>0</v>
      </c>
      <c r="MC57" s="6">
        <f>COUNTIFS(Table24[Country],Tabela1[[#This Row],[Country]],Table24[Greco-Roman 77kg Classification],"&gt;0")</f>
        <v>0</v>
      </c>
      <c r="MD57" s="6">
        <f>COUNTIFS(Table24[Country],Tabela1[[#This Row],[Country]],Table24[Greco-Roman 87kg Classification],"&gt;0")</f>
        <v>0</v>
      </c>
      <c r="ME57" s="6">
        <f>COUNTIFS(Table24[Country],Tabela1[[#This Row],[Country]],Table24[Greco-Roman 97kg Classification],"&gt;0")</f>
        <v>0</v>
      </c>
      <c r="MF57" s="6">
        <f>COUNTIFS(Table24[Country],Tabela1[[#This Row],[Country]],Table24[Greco-Roman 130kg Classification],"&gt;0")</f>
        <v>0</v>
      </c>
      <c r="MG57" s="6">
        <f>COUNTIFS(Table31[Country],Tabela1[[#This Row],[Country]],Table31[50kg Classification],"&gt;0")</f>
        <v>0</v>
      </c>
      <c r="MH57" s="6">
        <f>COUNTIFS(Table31[Country],Tabela1[[#This Row],[Country]],Table31[53kg Classification],"&gt;0")</f>
        <v>0</v>
      </c>
      <c r="MI57" s="6">
        <f>COUNTIFS(Table31[Country],Tabela1[[#This Row],[Country]],Table31[57kg Classification],"&gt;0")</f>
        <v>0</v>
      </c>
      <c r="MJ57" s="6">
        <f>COUNTIFS(Table31[Country],Tabela1[[#This Row],[Country]],Table31[62kg Classification],"&gt;0")</f>
        <v>0</v>
      </c>
      <c r="MK57" s="6">
        <f>COUNTIFS(Table31[Country],Tabela1[[#This Row],[Country]],Table31[68kg Classification],"&gt;0")</f>
        <v>0</v>
      </c>
      <c r="ML57" s="6">
        <f>COUNTIFS(Table31[Country],Tabela1[[#This Row],[Country]],Table31[76kg Classification],"&gt;0")</f>
        <v>0</v>
      </c>
      <c r="MM57" s="6">
        <f>COUNTIFS(Table102[Country],Tabela1[[#This Row],[Country]],Table102[Downhill Classification],"&gt;0")</f>
        <v>0</v>
      </c>
      <c r="MN57" s="6">
        <f>COUNTIFS(Table102105[Country],Tabela1[[#This Row],[Country]],Table102105[Downhill Classification],"&gt;0")</f>
        <v>0</v>
      </c>
      <c r="MO57" s="6">
        <f>COUNTIFS(Table102[Country],Tabela1[[#This Row],[Country]],Table102[Giant Slalom Classification],"&gt;0")</f>
        <v>0</v>
      </c>
      <c r="MP57" s="6">
        <f>COUNTIFS(Table102105[Country],Tabela1[[#This Row],[Country]],Table102105[Giant Slalom Classification],"&gt;0")</f>
        <v>0</v>
      </c>
      <c r="MQ57" s="6">
        <f>COUNTIFS(Table102[Country],Tabela1[[#This Row],[Country]],Table102[Slalom Classification],"&gt;0")</f>
        <v>0</v>
      </c>
      <c r="MR57" s="6">
        <f>COUNTIFS(Table102105[Country],Tabela1[[#This Row],[Country]],Table102105[Slalom Classification],"&gt;0")</f>
        <v>0</v>
      </c>
      <c r="MS57" s="6">
        <f>COUNTIFS(Table102[Country],Tabela1[[#This Row],[Country]],Table102[Super-G Classification],"&gt;0")</f>
        <v>0</v>
      </c>
      <c r="MT57" s="6">
        <f>COUNTIFS(Table102105[Country],Tabela1[[#This Row],[Country]],Table102105[Super-G Classification],"&gt;0")</f>
        <v>0</v>
      </c>
      <c r="MU57" s="6">
        <f>COUNTIFS(Table105[Country],Tabela1[[#This Row],[Country]],Table105[Men''s Combined Classification],"&gt;0")</f>
        <v>0</v>
      </c>
      <c r="MV57" s="6">
        <f>COUNTIFS(Table105[Country],Tabela1[[#This Row],[Country]],Table105[Women''s Combined Classification],"&gt;0")</f>
        <v>0</v>
      </c>
      <c r="MW57" s="6">
        <f>COUNTIFS(Table106[Country],Tabela1[[#This Row],[Country]],Table106[Individual Classification],"&gt;0")</f>
        <v>0</v>
      </c>
      <c r="MX57" s="6">
        <f>COUNTIFS(Table106109[Country],Tabela1[[#This Row],[Country]],Table106109[Individual Classification],"&gt;0")</f>
        <v>0</v>
      </c>
      <c r="MY57" s="6">
        <f>COUNTIFS(Table106[Country],Tabela1[[#This Row],[Country]],Table106[Mass Start Classification],"&gt;0")</f>
        <v>0</v>
      </c>
      <c r="MZ57" s="6">
        <f>COUNTIFS(Table106109[Country],Tabela1[[#This Row],[Country]],Table106109[Mass Start Classification],"&gt;0")</f>
        <v>0</v>
      </c>
      <c r="NA57" s="6">
        <f>COUNTIFS(Table106[Country],Tabela1[[#This Row],[Country]],Table106[Pursuit Classification],"&gt;0")</f>
        <v>0</v>
      </c>
      <c r="NB57" s="6">
        <f>COUNTIFS(Table106109[Country],Tabela1[[#This Row],[Country]],Table106109[Pursuit Classification],"&gt;0")</f>
        <v>0</v>
      </c>
      <c r="NC57" s="6">
        <f>COUNTIFS(Table106[Country],Tabela1[[#This Row],[Country]],Table106[Sprint Classification],"&gt;0")</f>
        <v>0</v>
      </c>
      <c r="ND57" s="6">
        <f>COUNTIFS(Table106109[Country],Tabela1[[#This Row],[Country]],Table106109[Sprint Classification],"&gt;0")</f>
        <v>0</v>
      </c>
      <c r="NE57" s="6">
        <f>COUNTIFS(Table109[Country],Tabela1[[#This Row],[Country]],Table109[Men''s Relay Classification],"&gt;0")</f>
        <v>0</v>
      </c>
      <c r="NF57" s="6">
        <f>COUNTIFS(Table109[Country],Tabela1[[#This Row],[Country]],Table109[Women''s Relay Classification],"&gt;0")</f>
        <v>0</v>
      </c>
      <c r="NG57" s="6">
        <f>COUNTIFS(Table109[Country],Tabela1[[#This Row],[Country]],Table109[Mixed Relay Classification],"&gt;0")</f>
        <v>0</v>
      </c>
      <c r="NH57" s="6">
        <f>COUNTIFS(Table110[Country],Tabela1[[#This Row],[Country]],Table110[Monobob Classification],"&gt;0")</f>
        <v>0</v>
      </c>
      <c r="NI57" s="6">
        <f>COUNTIFS(Table111[Country],Tabela1[[#This Row],[Country]],Table111[Men''s Classification],"&gt;0")</f>
        <v>0</v>
      </c>
      <c r="NJ57" s="6">
        <f>COUNTIFS(Table111[Country],Tabela1[[#This Row],[Country]],Table111[Women''s Classification],"&gt;0")</f>
        <v>0</v>
      </c>
      <c r="NK57" s="6">
        <f>COUNTIFS(Table112[Country],Tabela1[[#This Row],[Country]],Table112[Men''s Four Classification],"&gt;0")</f>
        <v>0</v>
      </c>
      <c r="NL57" s="6">
        <f>COUNTIFS(Table113[Country],Tabela1[[#This Row],[Country]],Table113[Classical Classification],"&gt;0")</f>
        <v>0</v>
      </c>
      <c r="NM57" s="6">
        <f>COUNTIFS(Table113116[Country],Tabela1[[#This Row],[Country]],Table113116[Classical Classification],"&gt;0")</f>
        <v>0</v>
      </c>
      <c r="NN57" s="6">
        <f>COUNTIFS(Table113[Country],Tabela1[[#This Row],[Country]],Table113[Freestyle Classification],"&gt;0")</f>
        <v>0</v>
      </c>
      <c r="NO57" s="6">
        <f>COUNTIFS(Table113116[Country],Tabela1[[#This Row],[Country]],Table113116[Freestyle Classification],"&gt;0")</f>
        <v>0</v>
      </c>
      <c r="NP57" s="6">
        <f>COUNTIFS(Table117[Country],Tabela1[[#This Row],[Country]],Table117[Men''s Relay Classification],"&gt;0")</f>
        <v>0</v>
      </c>
      <c r="NQ57" s="6">
        <f>COUNTIFS(Table117[Country],Tabela1[[#This Row],[Country]],Table117[Women''s Relay Classification],"&gt;0")</f>
        <v>0</v>
      </c>
      <c r="NR57" s="6">
        <f>COUNTIFS(Table113[Country],Tabela1[[#This Row],[Country]],Table113[Skiathlon Classification],"&gt;0")</f>
        <v>0</v>
      </c>
      <c r="NS57" s="6">
        <f>COUNTIFS(Table113116[Country],Tabela1[[#This Row],[Country]],Table113116[Skiathlon Classification],"&gt;0")</f>
        <v>0</v>
      </c>
      <c r="NT57" s="6">
        <f>COUNTIFS(Table113[Country],Tabela1[[#This Row],[Country]],Table113[Sprint Classification],"&gt;0")</f>
        <v>0</v>
      </c>
      <c r="NU57" s="6">
        <f>COUNTIFS(Table113116[Country],Tabela1[[#This Row],[Country]],Table113116[Sprint Classification],"&gt;0")</f>
        <v>0</v>
      </c>
      <c r="NV57" s="6">
        <f>COUNTIFS(Table116[Country],Tabela1[[#This Row],[Country]],Table116[Men''s Team Sprint Classification],"&gt;0")</f>
        <v>0</v>
      </c>
      <c r="NW57" s="6">
        <f>COUNTIFS(Table116[Country],Tabela1[[#This Row],[Country]],Table116[Women''s Team Sprint Classification],"&gt;0")</f>
        <v>0</v>
      </c>
      <c r="NX57" s="6">
        <f>COUNTIFS(Table119[Country],Tabela1[[#This Row],[Country]],Table119[Men''s Classification],"&gt;0")</f>
        <v>0</v>
      </c>
      <c r="NY57" s="6">
        <f>COUNTIFS(Table119[Country],Tabela1[[#This Row],[Country]],Table119[Women''s Classification],"&gt;0")</f>
        <v>0</v>
      </c>
      <c r="NZ57" s="6">
        <f>COUNTIFS(Table118[Country],Tabela1[[#This Row],[Country]],Table118[Mixed Classification],"&gt;0")</f>
        <v>0</v>
      </c>
      <c r="OA57" s="6">
        <f>COUNTIFS(Table120[Country],Tabela1[[#This Row],[Country]],Table120[Classification],"&gt;0")</f>
        <v>0</v>
      </c>
      <c r="OB57" s="6">
        <f>COUNTIFS(Table120123[Country],Tabela1[[#This Row],[Country]],Table120123[Classification],"&gt;0")</f>
        <v>0</v>
      </c>
      <c r="OC57" s="6">
        <f>COUNTIFS(Table123[Country],Tabela1[[#This Row],[Country]],Table123[Ice Dance Classification],"&gt;0")</f>
        <v>0</v>
      </c>
      <c r="OD57" s="6">
        <f>COUNTIFS(Table123[Country],Tabela1[[#This Row],[Country]],Table123[Pair Skating Classification],"&gt;0")</f>
        <v>0</v>
      </c>
      <c r="OE57" s="6">
        <f>COUNTIFS(Table124[Country],Tabela1[[#This Row],[Country]],Table124[Mixed Classification],"&gt;0")</f>
        <v>0</v>
      </c>
      <c r="OF57" s="6">
        <f>COUNTIFS(Table125[Country],Tabela1[[#This Row],[Country]],Table125[Aerials Classification],"&gt;0")</f>
        <v>0</v>
      </c>
      <c r="OG57" s="6">
        <f>COUNTIFS(Table125128[Country],Tabela1[[#This Row],[Country]],Table125128[Aerials Classification],"&gt;0")</f>
        <v>0</v>
      </c>
      <c r="OH57" s="6">
        <f>COUNTIFS(Table128[Country],Tabela1[[#This Row],[Country]],Table128[Mixed Aerials Classification],"&gt;0")</f>
        <v>0</v>
      </c>
      <c r="OI57" s="6">
        <f>COUNTIFS(Table125[Country],Tabela1[[#This Row],[Country]],Table125[Big Air Classification],"&gt;0")</f>
        <v>0</v>
      </c>
      <c r="OJ57" s="6">
        <f>COUNTIFS(Table125128[Country],Tabela1[[#This Row],[Country]],Table125128[Big Air Classification],"&gt;0")</f>
        <v>0</v>
      </c>
      <c r="OK57" s="6">
        <f>COUNTIFS(Table125[Country],Tabela1[[#This Row],[Country]],Table125[Dual Moguls Classification],"&gt;0")</f>
        <v>0</v>
      </c>
      <c r="OL57" s="6">
        <f>COUNTIFS(Table125128[Country],Tabela1[[#This Row],[Country]],Table125128[Dual Moguls Classification],"&gt;0")</f>
        <v>0</v>
      </c>
      <c r="OM57" s="6">
        <f>COUNTIFS(Table125[Country],Tabela1[[#This Row],[Country]],Table125[Halfpipe Classification],"&gt;0")</f>
        <v>0</v>
      </c>
      <c r="ON57" s="6">
        <f>COUNTIFS(Table125128[Country],Tabela1[[#This Row],[Country]],Table125128[Halfpipe Classification],"&gt;0")</f>
        <v>0</v>
      </c>
      <c r="OO57" s="6">
        <f>COUNTIFS(Table125[Country],Tabela1[[#This Row],[Country]],Table125[Moguls Classification],"&gt;0")</f>
        <v>0</v>
      </c>
      <c r="OP57" s="6">
        <f>COUNTIFS(Table125128[Country],Tabela1[[#This Row],[Country]],Table125128[Moguls Classification],"&gt;0")</f>
        <v>0</v>
      </c>
      <c r="OQ57" s="6">
        <f>COUNTIFS(Table125[Country],Tabela1[[#This Row],[Country]],Table125[Ski Cross Classification],"&gt;0")</f>
        <v>0</v>
      </c>
      <c r="OR57" s="6">
        <f>COUNTIFS(Table125128[Country],Tabela1[[#This Row],[Country]],Table125128[Ski Cross Classification],"&gt;0")</f>
        <v>0</v>
      </c>
      <c r="OS57" s="6">
        <f>COUNTIFS(Table125[Country],Tabela1[[#This Row],[Country]],Table125[Slopestyle Classification],"&gt;0")</f>
        <v>0</v>
      </c>
      <c r="OT57" s="6">
        <f>COUNTIFS(Table125128[Country],Tabela1[[#This Row],[Country]],Table125128[Slopestyle Classification],"&gt;0")</f>
        <v>0</v>
      </c>
      <c r="OU57" s="6">
        <f>COUNTIFS(Table119131[Country],Tabela1[[#This Row],[Country]],Table119131[Men''s Classification],"&gt;0")</f>
        <v>0</v>
      </c>
      <c r="OV57" s="6">
        <f>COUNTIFS(Table119131[Country],Tabela1[[#This Row],[Country]],Table119131[Women''s Classification],"&gt;0")</f>
        <v>0</v>
      </c>
      <c r="OW57" s="6">
        <f>COUNTIFS(Table131[Country],Tabela1[[#This Row],[Country]],Table131[Classification],"&gt;0")</f>
        <v>0</v>
      </c>
      <c r="OX57" s="6">
        <f>COUNTIFS(Table131134[Country],Tabela1[[#This Row],[Country]],Table131134[Classification],"&gt;0")</f>
        <v>0</v>
      </c>
      <c r="OY57" s="6">
        <f>COUNTIFS(Table134[Country],Tabela1[[#This Row],[Country]],Table134[Men''s Classification],"&gt;0")</f>
        <v>0</v>
      </c>
      <c r="OZ57" s="6">
        <f>COUNTIFS(Table134[Country],Tabela1[[#This Row],[Country]],Table134[Women''s Classification],"&gt;0")</f>
        <v>0</v>
      </c>
      <c r="PA57" s="6">
        <f>COUNTIFS(Table135[Country],Tabela1[[#This Row],[Country]],Table135[Mixed Relay Classification],"&gt;0")</f>
        <v>0</v>
      </c>
      <c r="PB57" s="6">
        <f>COUNTIFS(Table136[Country],Tabela1[[#This Row],[Country]],Table136[Individual Classification],"&gt;0")</f>
        <v>0</v>
      </c>
      <c r="PC57" s="6">
        <f>COUNTIFS(Table136[Country],Tabela1[[#This Row],[Country]],Table136[Sprint Classification],"&gt;0")</f>
        <v>0</v>
      </c>
      <c r="PD57" s="6">
        <f>COUNTIFS(Table137[Country],Tabela1[[#This Row],[Country]],Table137[Men''s Team Sprint Large Hill Classification],"&gt;0")</f>
        <v>0</v>
      </c>
      <c r="PE57" s="6">
        <f>COUNTIFS(Table138[Country],Tabela1[[#This Row],[Country]],Table138[500m Classification],"&gt;0")</f>
        <v>0</v>
      </c>
      <c r="PF57" s="6">
        <f>COUNTIFS(Table138141[Country],Tabela1[[#This Row],[Country]],Table138141[500m Classification],"&gt;0")</f>
        <v>0</v>
      </c>
      <c r="PG57" s="6">
        <f>COUNTIFS(Table138[Country],Tabela1[[#This Row],[Country]],Table138[1000m Classification],"&gt;0")</f>
        <v>0</v>
      </c>
      <c r="PH57" s="6">
        <f>COUNTIFS(Table138141[Country],Tabela1[[#This Row],[Country]],Table138141[1000m Classification],"&gt;0")</f>
        <v>0</v>
      </c>
      <c r="PI57" s="6">
        <f>COUNTIFS(Table138[Country],Tabela1[[#This Row],[Country]],Table138[1500m Classification],"&gt;0")</f>
        <v>0</v>
      </c>
      <c r="PJ57" s="6">
        <f>COUNTIFS(Table138141[Country],Tabela1[[#This Row],[Country]],Table138141[1500m Classification],"&gt;0")</f>
        <v>0</v>
      </c>
      <c r="PK57" s="6">
        <f>COUNTIFS(Table141[Country],Tabela1[[#This Row],[Country]],Table141[Men''s 5000m Relay Classification],"&gt;0")</f>
        <v>0</v>
      </c>
      <c r="PL57" s="6">
        <f>COUNTIFS(Table141[Country],Tabela1[[#This Row],[Country]],Table141[Women''s 3000m Relay Classification],"&gt;0")</f>
        <v>0</v>
      </c>
      <c r="PM57" s="6">
        <f>COUNTIFS(Table141[Country],Tabela1[[#This Row],[Country]],Table141[Mixed 2000m Relay Classification],"&gt;0")</f>
        <v>0</v>
      </c>
      <c r="PN57" s="6">
        <f>COUNTIFS(Table142[Country],Tabela1[[#This Row],[Country]],Table142[Classification],"&gt;0")</f>
        <v>0</v>
      </c>
      <c r="PO57" s="6">
        <f>COUNTIFS(Table142145[Country],Tabela1[[#This Row],[Country]],Table142145[Classification],"&gt;0")</f>
        <v>0</v>
      </c>
      <c r="PP57" s="6">
        <f>COUNTIFS(Tabela15[Country],Tabela1[[#This Row],[Country]],Tabela15[Mixed Team Classification],"&gt;0")</f>
        <v>0</v>
      </c>
      <c r="PQ57" s="6">
        <f>COUNTIFS(Table145[Country],Tabela1[[#This Row],[Country]],Table145[Large Hill Classification],"&gt;0")</f>
        <v>0</v>
      </c>
      <c r="PR57" s="6">
        <f>COUNTIFS(Table145[Country],Tabela1[[#This Row],[Country]],Table145[Normal Hill Classification],"&gt;0")</f>
        <v>0</v>
      </c>
      <c r="PS57" s="6">
        <f>COUNTIFS(Table145148[Country],Tabela1[[#This Row],[Country]],Table145148[Large Hill Classification],"&gt;0")</f>
        <v>0</v>
      </c>
      <c r="PT57" s="6">
        <f>COUNTIFS(Table145148[Country],Tabela1[[#This Row],[Country]],Table145148[Normal Hill Classification],"&gt;0")</f>
        <v>0</v>
      </c>
      <c r="PU57" s="6">
        <f>COUNTIFS(Table148[Country],Tabela1[[#This Row],[Country]],Table148[Men''s Super Team Classification],"&gt;0")</f>
        <v>0</v>
      </c>
      <c r="PV57" s="6">
        <f>COUNTIFS(Tabela114[Country],Tabela1[[#This Row],[Country]],Tabela114[Mixed Normal Hill Classification],"&gt;0")</f>
        <v>0</v>
      </c>
      <c r="PW57" s="6">
        <f>COUNTIFS(Tabela50[Country],Tabela1[[#This Row],[Country]],Tabela50[Sprint Classification],"&gt;0")</f>
        <v>0</v>
      </c>
      <c r="PX57" s="6">
        <f>COUNTIFS(Tabela50101[Country],Tabela1[[#This Row],[Country]],Tabela50101[Sprint Classification],"&gt;0")</f>
        <v>0</v>
      </c>
      <c r="PY57" s="6">
        <f>COUNTIFS(Tabela103[Country],Tabela1[[#This Row],[Country]],Tabela103[Mixed Relay Classification],"&gt;0")</f>
        <v>0</v>
      </c>
      <c r="PZ57" s="6">
        <f>COUNTIFS(Table149[Country],Tabela1[[#This Row],[Country]],Table149[Big Air Classification],"&gt;0")</f>
        <v>0</v>
      </c>
      <c r="QA57" s="6">
        <f>COUNTIFS(Table149152[Country],Tabela1[[#This Row],[Country]],Table149152[Big Air Classification],"&gt;0")</f>
        <v>0</v>
      </c>
      <c r="QB57" s="6">
        <f>COUNTIFS(Table149[Country],Tabela1[[#This Row],[Country]],Table149[Halfpipe Classification],"&gt;0")</f>
        <v>0</v>
      </c>
      <c r="QC57" s="6">
        <f>COUNTIFS(Table149152[Country],Tabela1[[#This Row],[Country]],Table149152[Halfpipe Classification],"&gt;0")</f>
        <v>0</v>
      </c>
      <c r="QD57" s="6">
        <f>COUNTIFS(Table149[Country],Tabela1[[#This Row],[Country]],Table149[Parallel Giant Slalom Classification],"&gt;0")</f>
        <v>0</v>
      </c>
      <c r="QE57" s="6">
        <f>COUNTIFS(Table149152[Country],Tabela1[[#This Row],[Country]],Table149152[Parallel Giant Slalom Classification],"&gt;0")</f>
        <v>0</v>
      </c>
      <c r="QF57" s="6">
        <f>COUNTIFS(Table149[Country],Tabela1[[#This Row],[Country]],Table149[Slopestyle Classification],"&gt;0")</f>
        <v>0</v>
      </c>
      <c r="QG57" s="6">
        <f>COUNTIFS(Table149152[Country],Tabela1[[#This Row],[Country]],Table149152[Slopestyle Classification],"&gt;0")</f>
        <v>0</v>
      </c>
      <c r="QH57" s="6">
        <f>COUNTIFS(Table149[Country],Tabela1[[#This Row],[Country]],Table149[Snowboard Cross Classification],"&gt;0")</f>
        <v>0</v>
      </c>
      <c r="QI57" s="6">
        <f>COUNTIFS(Table149152[Country],Tabela1[[#This Row],[Country]],Table149152[Snowboard Cross Classification],"&gt;0")</f>
        <v>0</v>
      </c>
      <c r="QJ57" s="6">
        <f>COUNTIFS(Table153[Country],Tabela1[[#This Row],[Country]],Table153[Mixed Team Snowboard Cross Classification],"&gt;0")</f>
        <v>0</v>
      </c>
      <c r="QK57" s="6">
        <f>COUNTIFS(Table154[Country],Tabela1[[#This Row],[Country]],Table154[500m Classification],"&gt;0")</f>
        <v>0</v>
      </c>
      <c r="QL57" s="6">
        <f>COUNTIFS(Table154157[Country],Tabela1[[#This Row],[Country]],Table154157[500m Classification],"&gt;0")</f>
        <v>0</v>
      </c>
      <c r="QM57" s="6">
        <f>COUNTIFS(Table154[Country],Tabela1[[#This Row],[Country]],Table154[1000m Classification],"&gt;0")</f>
        <v>0</v>
      </c>
      <c r="QN57" s="6">
        <f>COUNTIFS(Table154157[Country],Tabela1[[#This Row],[Country]],Table154157[1000m Classification],"&gt;0")</f>
        <v>0</v>
      </c>
      <c r="QO57" s="6">
        <f>COUNTIFS(Table154[Country],Tabela1[[#This Row],[Country]],Table154[1500m Classification],"&gt;0")</f>
        <v>0</v>
      </c>
      <c r="QP57" s="6">
        <f>COUNTIFS(Table154157[Country],Tabela1[[#This Row],[Country]],Table154157[1500m Classification],"&gt;0")</f>
        <v>0</v>
      </c>
      <c r="QQ57" s="6">
        <f>COUNTIFS(Table154157[Country],Tabela1[[#This Row],[Country]],Table154157[3000m Classification],"&gt;0")</f>
        <v>0</v>
      </c>
      <c r="QR57" s="6">
        <f>COUNTIFS(Table154[Country],Tabela1[[#This Row],[Country]],Table154[5000m Classification],"&gt;0")</f>
        <v>0</v>
      </c>
      <c r="QS57" s="6">
        <f>COUNTIFS(Table154157[Country],Tabela1[[#This Row],[Country]],Table154157[5000m Classification],"&gt;0")</f>
        <v>0</v>
      </c>
      <c r="QT57" s="6">
        <f>COUNTIFS(Table154[Country],Tabela1[[#This Row],[Country]],Table154[10000m Classification],"&gt;0")</f>
        <v>0</v>
      </c>
      <c r="QU57" s="6">
        <f>COUNTIFS(Table154[Country],Tabela1[[#This Row],[Country]],Table154[Mass Start Classification],"&gt;0")</f>
        <v>0</v>
      </c>
      <c r="QV57" s="6">
        <f>COUNTIFS(Table154157[Country],Tabela1[[#This Row],[Country]],Table154157[Mass Start Classification],"&gt;0")</f>
        <v>0</v>
      </c>
      <c r="QW57" s="6">
        <f>COUNTIFS(Table157[Country],Tabela1[[#This Row],[Country]],Table157[Men''s Pursuit Classification],"&gt;0")</f>
        <v>0</v>
      </c>
      <c r="QX57" s="6">
        <f>COUNTIFS(Table157[Country],Tabela1[[#This Row],[Country]],Table157[Women''s Pursuit Classification],"&gt;0")</f>
        <v>0</v>
      </c>
      <c r="QY57" s="3" t="s">
        <v>405</v>
      </c>
    </row>
    <row r="58" spans="1:467" x14ac:dyDescent="0.3">
      <c r="A58" s="6">
        <v>57</v>
      </c>
      <c r="B58" s="6" t="s">
        <v>374</v>
      </c>
      <c r="C58" t="e" vm="57">
        <f>IF(ISBLANK(Tabela1[[#This Row],[Image Link]]), "", _xlfn.IMAGE(Tabela1[[#This Row],[Image Link]],1,1))</f>
        <v>#VALUE!</v>
      </c>
      <c r="D58" s="6">
        <f>SUM(Tabela1[[#This Row],[Archery - Men''s Individual Recurve]:[Speed Skating - Women''s Team Pursuit]])</f>
        <v>11</v>
      </c>
      <c r="E58" s="6">
        <f>COUNTIF(Tabela1[[#This Row],[Archery - Men''s Individual Recurve]:[Speed Skating - Women''s Team Pursuit]],"&gt;0")</f>
        <v>11</v>
      </c>
      <c r="F58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58" s="6">
        <f>SUM(Tabela1[[#This Row],[Archery - Men''s Individual Recurve]:[Wrestling - Women''s Freestyle 76kg]])</f>
        <v>11</v>
      </c>
      <c r="H58" s="6">
        <f>SUM(Tabela1[[#This Row],[Alpine Skiing - Men''s Downhill]:[Speed Skating - Women''s Team Pursuit]])</f>
        <v>0</v>
      </c>
      <c r="I58" s="6">
        <f>Tabela1[[#This Row],[Summer Gold Medals]]+Tabela1[[#This Row],[Winter Gold Medals]]</f>
        <v>1</v>
      </c>
      <c r="J58" s="6">
        <f>Tabela1[[#This Row],[Summer Silver Medals]]+Tabela1[[#This Row],[Winter Silver Medals]]</f>
        <v>0</v>
      </c>
      <c r="K58" s="6">
        <f>Tabela1[[#This Row],[Summer Bronze Medals]]+Tabela1[[#This Row],[Winter Bronze Medals]]</f>
        <v>2</v>
      </c>
      <c r="L58" s="6">
        <f>SUM(Tabela1[[#This Row],[Total Gold Medals]:[Total Bronze Medals]])</f>
        <v>3</v>
      </c>
      <c r="M58" s="6">
        <v>1</v>
      </c>
      <c r="N58" s="6"/>
      <c r="O58" s="6">
        <v>2</v>
      </c>
      <c r="P58" s="6">
        <f>SUM(Tabela1[[#This Row],[Summer Gold Medals]:[Summer Bronze Medals]])</f>
        <v>3</v>
      </c>
      <c r="Q58" s="6"/>
      <c r="R58" s="6"/>
      <c r="S58" s="6"/>
      <c r="T58" s="6">
        <f>Tabela1[[#This Row],[Winter Gold Medals]]+Tabela1[[#This Row],[Winter Silver Medals]]+Tabela1[[#This Row],[Winter Bronze Medals]]</f>
        <v>0</v>
      </c>
      <c r="U58" s="7">
        <f>Tabela1[[#This Row],[Total Medals]]/Tabela1[[#This Row],[Total Quotas]]</f>
        <v>0.27272727272727271</v>
      </c>
      <c r="V58" s="6">
        <f>COUNTIFS(Table3[Country],Tabela1[[#This Row],[Country]],Table3[Recurve Classification],"&gt;0")</f>
        <v>0</v>
      </c>
      <c r="W58" s="6">
        <f>COUNTIFS(Table33[Country],Tabela1[[#This Row],[Country]],Table33[Recurve Classification],"&gt;0")</f>
        <v>0</v>
      </c>
      <c r="X58" s="6">
        <f>COUNTIFS(Table35[Country],Tabela1[[#This Row],[Country]],Table35[Men''s Team Recurve Classification],"&gt;0")</f>
        <v>0</v>
      </c>
      <c r="Y58" s="6">
        <f>COUNTIFS(Table35[Country],Tabela1[[#This Row],[Country]],Table35[Women''s Team Recurve Classification],"&gt;0")</f>
        <v>0</v>
      </c>
      <c r="Z58" s="6">
        <f>COUNTIFS(Tabela88[Country],Tabela1[[#This Row],[Country]],Tabela88[Mixed Team Recurve Classification],"&gt;0")</f>
        <v>0</v>
      </c>
      <c r="AA58" s="6">
        <f>COUNTIFS(Table36[Country],Tabela1[[#This Row],[Country]],Table36[Classification],"&gt;0")</f>
        <v>0</v>
      </c>
      <c r="AB58" s="6">
        <f>COUNTIFS(Table37[Country],Tabela1[[#This Row],[Country]],Table37[Classification],"&gt;0")</f>
        <v>0</v>
      </c>
      <c r="AC58" s="6">
        <f>COUNTIFS(Table4[Country],Tabela1[[#This Row],[Country]],Table4[100m Classification],"&gt;0")</f>
        <v>0</v>
      </c>
      <c r="AD58" s="6">
        <f>COUNTIFS(Table5[Country],Tabela1[[#This Row],[Country]],Table5[100m Classification],"&gt;0")</f>
        <v>0</v>
      </c>
      <c r="AE58" s="6">
        <f>COUNTIFS(Table4[Country],Tabela1[[#This Row],[Country]],Table4[200m Classification],"&gt;0")</f>
        <v>1</v>
      </c>
      <c r="AF58" s="6">
        <f>COUNTIFS(Table5[Country],Tabela1[[#This Row],[Country]],Table5[200m Classification],"&gt;0")</f>
        <v>0</v>
      </c>
      <c r="AG58" s="6">
        <f>COUNTIFS(Table4[Country],Tabela1[[#This Row],[Country]],Table4[400m Classification],"&gt;0")</f>
        <v>1</v>
      </c>
      <c r="AH58" s="6">
        <f>COUNTIFS(Table5[Country],Tabela1[[#This Row],[Country]],Table5[400m Classification],"&gt;0")</f>
        <v>0</v>
      </c>
      <c r="AI58" s="6">
        <f>COUNTIFS(Table4[Country],Tabela1[[#This Row],[Country]],Table4[800m Classification],"&gt;0")</f>
        <v>0</v>
      </c>
      <c r="AJ58" s="6">
        <f>COUNTIFS(Table5[Country],Tabela1[[#This Row],[Country]],Table5[800m Classification],"&gt;0")</f>
        <v>0</v>
      </c>
      <c r="AK58" s="6">
        <f>COUNTIFS(Table4[Country],Tabela1[[#This Row],[Country]],Table4[1500m Classification],"&gt;0")</f>
        <v>0</v>
      </c>
      <c r="AL58" s="6">
        <f>COUNTIFS(Table5[Country],Tabela1[[#This Row],[Country]],Table5[1500m Classification],"&gt;0")</f>
        <v>0</v>
      </c>
      <c r="AM58" s="6">
        <f>COUNTIFS(Table4[Country],Tabela1[[#This Row],[Country]],Table4[5000m Classification],"&gt;0")</f>
        <v>0</v>
      </c>
      <c r="AN58" s="6">
        <f>COUNTIFS(Table5[Country],Tabela1[[#This Row],[Country]],Table5[5000m Classification],"&gt;0")</f>
        <v>0</v>
      </c>
      <c r="AO58" s="6">
        <f>COUNTIFS(Table4[Country],Tabela1[[#This Row],[Country]],Table4[10000m Classification],"&gt;0")</f>
        <v>0</v>
      </c>
      <c r="AP58" s="6">
        <f>COUNTIFS(Table5[Country],Tabela1[[#This Row],[Country]],Table5[10000m Classification],"&gt;0")</f>
        <v>0</v>
      </c>
      <c r="AQ58" s="6">
        <f>COUNTIFS(Table4[Country],Tabela1[[#This Row],[Country]],Table4[110m Hurdles Classification],"&gt;0")</f>
        <v>0</v>
      </c>
      <c r="AR58" s="6">
        <f>COUNTIFS(Table5[Country],Tabela1[[#This Row],[Country]],Table5[100m Hurdles Classification],"&gt;0")</f>
        <v>0</v>
      </c>
      <c r="AS58" s="6">
        <f>COUNTIFS(Table4[Country],Tabela1[[#This Row],[Country]],Table4[400m Hurdles Classification],"&gt;0")</f>
        <v>1</v>
      </c>
      <c r="AT58" s="6">
        <f>COUNTIFS(Table5[Country],Tabela1[[#This Row],[Country]],Table5[400m Hurdles Classification],"&gt;0")</f>
        <v>0</v>
      </c>
      <c r="AU58" s="6">
        <f>COUNTIFS(Table4[Country],Tabela1[[#This Row],[Country]],Table4[3000m Steeplechase Classification],"&gt;0")</f>
        <v>0</v>
      </c>
      <c r="AV58" s="6">
        <f>COUNTIFS(Table5[Country],Tabela1[[#This Row],[Country]],Table5[3000m Steeplechase Classification],"&gt;0")</f>
        <v>0</v>
      </c>
      <c r="AW58" s="6">
        <f>COUNTIFS(Table27[Country],Tabela1[[#This Row],[Country]],Table27[Men''s 4x100m Relay Classification],"&gt;0")</f>
        <v>0</v>
      </c>
      <c r="AX58" s="6">
        <f>COUNTIFS(Table27[Country],Tabela1[[#This Row],[Country]],Table27[Women''s 4x100m Relay Classification],"&gt;0")</f>
        <v>0</v>
      </c>
      <c r="AY58" s="6">
        <f>COUNTIFS(Table27[Country],Tabela1[[#This Row],[Country]],Table27[Men''s 4x400m Relay Classification],"&gt;0")</f>
        <v>0</v>
      </c>
      <c r="AZ58" s="6">
        <f>COUNTIFS(Table27[Country],Tabela1[[#This Row],[Country]],Table27[Women''s 4x400m Relay Classification],"&gt;0")</f>
        <v>0</v>
      </c>
      <c r="BA58" s="6">
        <f>COUNTIFS(Table27[Country],Tabela1[[#This Row],[Country]],Table27[Mixed 4x400m Relay Classification],"&gt;0")</f>
        <v>1</v>
      </c>
      <c r="BB58" s="6">
        <f>COUNTIFS(Table4[Country],Tabela1[[#This Row],[Country]],Table4[Marathon Classification],"&gt;0")</f>
        <v>0</v>
      </c>
      <c r="BC58" s="6">
        <f>COUNTIFS(Table5[Country],Tabela1[[#This Row],[Country]],Table5[Marathon Classification],"&gt;0")</f>
        <v>0</v>
      </c>
      <c r="BD58" s="6">
        <f>COUNTIFS(Table4[Country],Tabela1[[#This Row],[Country]],Table4[20km Race Walk Classification],"&gt;0")</f>
        <v>0</v>
      </c>
      <c r="BE58" s="6">
        <f>COUNTIFS(Table5[Country],Tabela1[[#This Row],[Country]],Table5[20km Race Walk Classification],"&gt;0")</f>
        <v>0</v>
      </c>
      <c r="BF58" s="6">
        <f>COUNTIFS(Tabela96[Country],Tabela1[[#This Row],[Country]],Tabela96[Mixed Marathon Race Walk Relay Classification],"&gt;0")</f>
        <v>0</v>
      </c>
      <c r="BG58" s="6">
        <f>COUNTIFS(Table4[Country],Tabela1[[#This Row],[Country]],Table4[Discus Throw Classification],"&gt;0")</f>
        <v>0</v>
      </c>
      <c r="BH58" s="6">
        <f>COUNTIFS(Table5[Country],Tabela1[[#This Row],[Country]],Table5[Discus Throw Classification],"&gt;0")</f>
        <v>0</v>
      </c>
      <c r="BI58" s="6">
        <f>COUNTIFS(Table4[Country],Tabela1[[#This Row],[Country]],Table4[Hammer Throw Classification],"&gt;0")</f>
        <v>0</v>
      </c>
      <c r="BJ58" s="6">
        <f>COUNTIFS(Table5[Country],Tabela1[[#This Row],[Country]],Table5[Hammer Throw Classification],"&gt;0")</f>
        <v>0</v>
      </c>
      <c r="BK58" s="6">
        <f>COUNTIFS(Table4[Country],Tabela1[[#This Row],[Country]],Table4[High Jump Classification],"&gt;0")</f>
        <v>0</v>
      </c>
      <c r="BL58" s="6">
        <f>COUNTIFS(Table5[Country],Tabela1[[#This Row],[Country]],Table5[High Jump Classification],"&gt;0")</f>
        <v>0</v>
      </c>
      <c r="BM58" s="6">
        <f>COUNTIFS(Table4[Country],Tabela1[[#This Row],[Country]],Table4[Javelin Throw Classification],"&gt;0")</f>
        <v>0</v>
      </c>
      <c r="BN58" s="6">
        <f>COUNTIFS(Table5[Country],Tabela1[[#This Row],[Country]],Table5[Javelin Throw Classification],"&gt;0")</f>
        <v>0</v>
      </c>
      <c r="BO58" s="6">
        <f>COUNTIFS(Table4[Country],Tabela1[[#This Row],[Country]],Table4[Long Jump Classification],"&gt;0")</f>
        <v>0</v>
      </c>
      <c r="BP58" s="6">
        <f>COUNTIFS(Table5[Country],Tabela1[[#This Row],[Country]],Table5[Long Jump Classification],"&gt;0")</f>
        <v>0</v>
      </c>
      <c r="BQ58" s="6">
        <f>COUNTIFS(Table4[Country],Tabela1[[#This Row],[Country]],Table4[Pole Vault Classification],"&gt;0")</f>
        <v>0</v>
      </c>
      <c r="BR58" s="6">
        <f>COUNTIFS(Table5[Country],Tabela1[[#This Row],[Country]],Table5[Pole Vault Classification],"&gt;0")</f>
        <v>0</v>
      </c>
      <c r="BS58" s="6">
        <f>COUNTIFS(Table4[Country],Tabela1[[#This Row],[Country]],Table4[Shot Put Classification],"&gt;0")</f>
        <v>0</v>
      </c>
      <c r="BT58" s="6">
        <f>COUNTIFS(Table5[Country],Tabela1[[#This Row],[Country]],Table5[Shot Put Classification],"&gt;0")</f>
        <v>0</v>
      </c>
      <c r="BU58" s="6">
        <f>COUNTIFS(Table4[Country],Tabela1[[#This Row],[Country]],Table4[Triple Jump Classification],"&gt;0")</f>
        <v>0</v>
      </c>
      <c r="BV58" s="6">
        <f>COUNTIFS(Table5[Country],Tabela1[[#This Row],[Country]],Table5[Triple Jump Classification],"&gt;0")</f>
        <v>0</v>
      </c>
      <c r="BW58" s="6">
        <f>COUNTIFS(Table4[Country],Tabela1[[#This Row],[Country]],Table4[Decathlon Classification],"&gt;0")</f>
        <v>0</v>
      </c>
      <c r="BX58" s="6">
        <f>COUNTIFS(Table5[Country],Tabela1[[#This Row],[Country]],Table5[Heptathlon Classification],"&gt;0")</f>
        <v>0</v>
      </c>
      <c r="BY58" s="6">
        <f>COUNTIFS(Table61[Country],Tabela1[[#This Row],[Country]],Table61[Classification],"&gt;0")</f>
        <v>0</v>
      </c>
      <c r="BZ58" s="6">
        <f>COUNTIFS(Table38[Country],Tabela1[[#This Row],[Country]],Table38[Classification],"&gt;0")</f>
        <v>0</v>
      </c>
      <c r="CA58" s="6">
        <f>COUNTIFS(Table39[Country],Tabela1[[#This Row],[Country]],Table39[Men''s Classification],"&gt;0")</f>
        <v>0</v>
      </c>
      <c r="CB58" s="6">
        <f>COUNTIFS(Table39[Country],Tabela1[[#This Row],[Country]],Table39[Women''s Classification],"&gt;0")</f>
        <v>0</v>
      </c>
      <c r="CC58" s="6">
        <f>COUNTIFS(Table39[Country],Tabela1[[#This Row],[Country]],Table39[Mixed Classification],"&gt;0")</f>
        <v>0</v>
      </c>
      <c r="CD58" s="6">
        <f>COUNTIFS(Table89[Country],Tabela1[[#This Row],[Country]],Table89[Men''s Classification],"&gt;0")</f>
        <v>0</v>
      </c>
      <c r="CE58" s="6">
        <f>COUNTIFS(Table89[Country],Tabela1[[#This Row],[Country]],Table89[Women''s Classification],"&gt;0")</f>
        <v>0</v>
      </c>
      <c r="CF58" s="6">
        <f>COUNTIFS(Table90[Country],Tabela1[[#This Row],[Country]],Table90[Men''s Classification],"&gt;0")</f>
        <v>0</v>
      </c>
      <c r="CG58" s="6">
        <f>COUNTIFS(Table90[Country],Tabela1[[#This Row],[Country]],Table90[Women''s Classification],"&gt;0")</f>
        <v>0</v>
      </c>
      <c r="CH58" s="6">
        <f>COUNTIFS(Table60[Country],Tabela1[[#This Row],[Country]],Table60[Men''s Classification],"&gt;0")</f>
        <v>0</v>
      </c>
      <c r="CI58" s="6">
        <f>COUNTIFS(Table60[Country],Tabela1[[#This Row],[Country]],Table60[Women''s Classification],"&gt;0")</f>
        <v>0</v>
      </c>
      <c r="CJ58" s="6">
        <f>COUNTIFS(Table6[Country],Tabela1[[#This Row],[Country]],Table6[51kg Classification],"&gt;0")</f>
        <v>0</v>
      </c>
      <c r="CK58" s="6">
        <f>COUNTIFS(Table6[Country],Tabela1[[#This Row],[Country]],Table6[57kg Classification],"&gt;0")</f>
        <v>0</v>
      </c>
      <c r="CL58" s="6">
        <f>COUNTIFS(Table6[Country],Tabela1[[#This Row],[Country]],Table6[63.5kg Classification],"&gt;0")</f>
        <v>0</v>
      </c>
      <c r="CM58" s="6">
        <f>COUNTIFS(Table6[Country],Tabela1[[#This Row],[Country]],Table6[71kg Classification],"&gt;0")</f>
        <v>0</v>
      </c>
      <c r="CN58" s="6">
        <f>COUNTIFS(Table6[Country],Tabela1[[#This Row],[Country]],Table6[80kg Classification],"&gt;0")</f>
        <v>1</v>
      </c>
      <c r="CO58" s="6">
        <f>COUNTIFS(Table6[Country],Tabela1[[#This Row],[Country]],Table6[92kg Classification],"&gt;0")</f>
        <v>0</v>
      </c>
      <c r="CP58" s="6">
        <f>COUNTIFS(Table6[Country],Tabela1[[#This Row],[Country]],Table6[Plus 92kg Classification],"&gt;0")</f>
        <v>0</v>
      </c>
      <c r="CQ58" s="6">
        <f>COUNTIFS(Table7[Country],Tabela1[[#This Row],[Country]],Table7[50kg Classification],"&gt;0")</f>
        <v>0</v>
      </c>
      <c r="CR58" s="6">
        <f>COUNTIFS(Table7[Country],Tabela1[[#This Row],[Country]],Table7[54kg Classification],"&gt;0")</f>
        <v>0</v>
      </c>
      <c r="CS58" s="6">
        <f>COUNTIFS(Table7[Country],Tabela1[[#This Row],[Country]],Table7[57kg Classification],"&gt;0")</f>
        <v>0</v>
      </c>
      <c r="CT58" s="6">
        <f>COUNTIFS(Table7[Country],Tabela1[[#This Row],[Country]],Table7[60kg Classification],"&gt;0")</f>
        <v>0</v>
      </c>
      <c r="CU58" s="6">
        <f>COUNTIFS(Table7[Country],Tabela1[[#This Row],[Country]],Table7[66kg Classification],"&gt;0")</f>
        <v>0</v>
      </c>
      <c r="CV58" s="6">
        <f>COUNTIFS(Table7[Country],Tabela1[[#This Row],[Country]],Table7[75kg Classification],"&gt;0")</f>
        <v>0</v>
      </c>
      <c r="CW58" s="6">
        <f>COUNTIFS(Tabela94[Country],Tabela1[[#This Row],[Country]],Tabela94[Classification],"&gt;0")</f>
        <v>0</v>
      </c>
      <c r="CX58" s="6">
        <f>COUNTIFS(Tabela9499[Country],Tabela1[[#This Row],[Country]],Tabela9499[Classification],"&gt;0")</f>
        <v>0</v>
      </c>
      <c r="CY58" s="6">
        <f>COUNTIFS(Tabela107[Country],Tabela1[[#This Row],[Country]],Tabela107[C1 Slalom Classification],"&gt;0")</f>
        <v>0</v>
      </c>
      <c r="CZ58" s="6">
        <f>COUNTIFS(Tabela107122[Country],Tabela1[[#This Row],[Country]],Tabela107122[C1 Slalom Classification],"&gt;0")</f>
        <v>0</v>
      </c>
      <c r="DA58" s="6">
        <f>COUNTIFS(Tabela107[Country],Tabela1[[#This Row],[Country]],Tabela107[K1 Slalom Classification],"&gt;0")</f>
        <v>0</v>
      </c>
      <c r="DB58" s="6">
        <f>COUNTIFS(Tabela107122[Country],Tabela1[[#This Row],[Country]],Tabela107122[K1 Slalom Classification],"&gt;0")</f>
        <v>0</v>
      </c>
      <c r="DC58" s="6">
        <f>COUNTIFS(Tabela107[Country],Tabela1[[#This Row],[Country]],Tabela107[Kayak Cross Slalom Classification],"&gt;0")</f>
        <v>0</v>
      </c>
      <c r="DD58" s="6">
        <f>COUNTIFS(Tabela107122[Country],Tabela1[[#This Row],[Country]],Tabela107122[Kayak Cross Slalom Classification],"&gt;0")</f>
        <v>0</v>
      </c>
      <c r="DE58" s="6">
        <f>COUNTIFS(Table8[Country],Tabela1[[#This Row],[Country]],Table8[C1 200m Classification],"&gt;0")</f>
        <v>0</v>
      </c>
      <c r="DF58" s="6">
        <f>COUNTIFS(Table40[Country],Tabela1[[#This Row],[Country]],Table40[C1 1000m Classification],"&gt;0")</f>
        <v>0</v>
      </c>
      <c r="DG58" s="6">
        <f>COUNTIFS(Table68[Country],Tabela1[[#This Row],[Country]],Table68[Men''s C2 500m Classification],"&gt;0")</f>
        <v>0</v>
      </c>
      <c r="DH58" s="6">
        <f>COUNTIFS(Table68[Country],Tabela1[[#This Row],[Country]],Table68[Women''s C2 500m Classification],"&gt;0")</f>
        <v>0</v>
      </c>
      <c r="DI58" s="6">
        <f>COUNTIFS(Table8[Country],Tabela1[[#This Row],[Country]],Table8[K1 500m Classification],"&gt;0")</f>
        <v>0</v>
      </c>
      <c r="DJ58" s="6">
        <f>COUNTIFS(Table40[Country],Tabela1[[#This Row],[Country]],Table40[K1 1000m Classification],"&gt;0")</f>
        <v>0</v>
      </c>
      <c r="DK58" s="6">
        <f>COUNTIFS(Table68[Country],Tabela1[[#This Row],[Country]],Table68[Men''s K2 500m Classification],"&gt;0")</f>
        <v>0</v>
      </c>
      <c r="DL58" s="6">
        <f>COUNTIFS(Table68[Country],Tabela1[[#This Row],[Country]],Table68[Women''s K2 500m Classification],"&gt;0")</f>
        <v>0</v>
      </c>
      <c r="DM58" s="6">
        <f>COUNTIFS(Table83[Country],Tabela1[[#This Row],[Country]],Table83[Men''s K4 500m Classification],"&gt;0")</f>
        <v>0</v>
      </c>
      <c r="DN58" s="6">
        <f>COUNTIFS(Table83[Country],Tabela1[[#This Row],[Country]],Table83[Women''s K4 500m Classification],"&gt;0")</f>
        <v>0</v>
      </c>
      <c r="DO58" s="6">
        <f>COUNTIFS(Tabela126[Country],Tabela1[[#This Row],[Country]],Tabela126[Classification],"&gt;0")</f>
        <v>0</v>
      </c>
      <c r="DP58" s="6">
        <f>COUNTIFS(Tabela126130[Country],Tabela1[[#This Row],[Country]],Tabela126130[Classification],"&gt;0")</f>
        <v>0</v>
      </c>
      <c r="DQ58" s="6">
        <f>COUNTIFS(Table70[Country],Tabela1[[#This Row],[Country]],Table70[Classification],"&gt;0")</f>
        <v>0</v>
      </c>
      <c r="DR58" s="6">
        <f>COUNTIFS(Table80[Country],Tabela1[[#This Row],[Country]],Table80[Classification],"&gt;0")</f>
        <v>0</v>
      </c>
      <c r="DS58" s="6">
        <f>COUNTIFS(Table66[Country],Tabela1[[#This Row],[Country]],Table66[Classification],"&gt;0")</f>
        <v>0</v>
      </c>
      <c r="DT58" s="6">
        <f>COUNTIFS(Table67[Country],Tabela1[[#This Row],[Country]],Table67[Classification],"&gt;0")</f>
        <v>0</v>
      </c>
      <c r="DU58" s="6">
        <f>COUNTIFS(Table69[Country],Tabela1[[#This Row],[Country]],Table69[Keirin Classification],"&gt;0")</f>
        <v>0</v>
      </c>
      <c r="DV58" s="6">
        <f>COUNTIFS(Table41[Country],Tabela1[[#This Row],[Country]],Table41[Keirin Classification],"&gt;0")</f>
        <v>0</v>
      </c>
      <c r="DW58" s="6">
        <f>COUNTIFS(Table84[Country],Tabela1[[#This Row],[Country]],Table84[Men''s Madison Classification],"&gt;0")</f>
        <v>0</v>
      </c>
      <c r="DX58" s="6">
        <f>COUNTIFS(Table84[Country],Tabela1[[#This Row],[Country]],Table84[Women''s Madison Classification],"&gt;0")</f>
        <v>0</v>
      </c>
      <c r="DY58" s="6">
        <f>COUNTIFS(Table69[Country],Tabela1[[#This Row],[Country]],Table69[Omnium Classification],"&gt;0")</f>
        <v>0</v>
      </c>
      <c r="DZ58" s="6">
        <f>COUNTIFS(Table41[Country],Tabela1[[#This Row],[Country]],Table41[Omnium Classification],"&gt;0")</f>
        <v>0</v>
      </c>
      <c r="EA58" s="6">
        <f>COUNTIFS(Table9[Country],Tabela1[[#This Row],[Country]],Table9[Road Race Classification],"&gt;0")</f>
        <v>0</v>
      </c>
      <c r="EB58" s="6">
        <f>COUNTIFS(Table14[Country],Tabela1[[#This Row],[Country]],Table14[Road Race Classification],"&gt;0")</f>
        <v>0</v>
      </c>
      <c r="EC58" s="6">
        <f>COUNTIFS(Table69[Country],Tabela1[[#This Row],[Country]],Table69[Sprint Classification],"&gt;0")</f>
        <v>0</v>
      </c>
      <c r="ED58" s="6">
        <f>COUNTIFS(Table41[Country],Tabela1[[#This Row],[Country]],Table41[Sprint Classification],"&gt;0")</f>
        <v>0</v>
      </c>
      <c r="EE58" s="6">
        <f>COUNTIFS(Table85[Country],Tabela1[[#This Row],[Country]],Table85[Men''s Sprint Classification],"&gt;0")</f>
        <v>0</v>
      </c>
      <c r="EF58" s="6">
        <f>COUNTIFS(Table85[Country],Tabela1[[#This Row],[Country]],Table85[Women''s Sprint Classification],"&gt;0")</f>
        <v>0</v>
      </c>
      <c r="EG58" s="6">
        <f>COUNTIFS(Table85[Country],Tabela1[[#This Row],[Country]],Table85[Men''s Pursuit Classification],"&gt;0")</f>
        <v>0</v>
      </c>
      <c r="EH58" s="6">
        <f>COUNTIFS(Table85[Country],Tabela1[[#This Row],[Country]],Table85[Women''s Pursuit Classification],"&gt;0")</f>
        <v>0</v>
      </c>
      <c r="EI58" s="6">
        <f>COUNTIFS(Table9[Country],Tabela1[[#This Row],[Country]],Table9[Time-Trial Classification],"&gt;0")</f>
        <v>0</v>
      </c>
      <c r="EJ58" s="6">
        <f>COUNTIFS(Table14[Country],Tabela1[[#This Row],[Country]],Table14[Time-Trial Classification],"&gt;0")</f>
        <v>0</v>
      </c>
      <c r="EK58" s="6">
        <f>COUNTIFS(Table42[Country],Tabela1[[#This Row],[Country]],Table42[Springboard Classification],"&gt;0")</f>
        <v>1</v>
      </c>
      <c r="EL58" s="6">
        <f>COUNTIFS(Table43[Country],Tabela1[[#This Row],[Country]],Table43[Springboard Classification],"&gt;0")</f>
        <v>0</v>
      </c>
      <c r="EM58" s="6">
        <f>COUNTIFS(Table42[Country],Tabela1[[#This Row],[Country]],Table42[Platform Classification],"&gt;0")</f>
        <v>0</v>
      </c>
      <c r="EN58" s="6">
        <f>COUNTIFS(Table43[Country],Tabela1[[#This Row],[Country]],Table43[Platform Classification],"&gt;0")</f>
        <v>1</v>
      </c>
      <c r="EO58" s="6">
        <f>COUNTIFS(Table86[Country],Tabela1[[#This Row],[Country]],Table86[Men''s Synchronized Springboard Classification],"&gt;0")</f>
        <v>0</v>
      </c>
      <c r="EP58" s="6">
        <f>COUNTIFS(Table86[Country],Tabela1[[#This Row],[Country]],Table86[Women''s Synchronized Springboard Classification],"&gt;0")</f>
        <v>0</v>
      </c>
      <c r="EQ58" s="6">
        <f>COUNTIFS(Table86[Country],Tabela1[[#This Row],[Country]],Table86[Men''s Synchronized Platform Classification],"&gt;0")</f>
        <v>0</v>
      </c>
      <c r="ER58" s="6">
        <f>COUNTIFS(Table86[Country],Tabela1[[#This Row],[Country]],Table86[Women''s Synchronized Platform Classification],"&gt;0")</f>
        <v>0</v>
      </c>
      <c r="ES58" s="6">
        <f>COUNTIFS(Table44[Country],Tabela1[[#This Row],[Country]],Table44[Dressage Classification],"&gt;0")</f>
        <v>0</v>
      </c>
      <c r="ET58" s="6">
        <f>COUNTIFS(Table45[Country],Tabela1[[#This Row],[Country]],Table45[Dressage Classification],"&gt;0")</f>
        <v>0</v>
      </c>
      <c r="EU58" s="6">
        <f>COUNTIFS(Table44[Country],Tabela1[[#This Row],[Country]],Table44[Eventing Classification],"&gt;0")</f>
        <v>0</v>
      </c>
      <c r="EV58" s="6">
        <f>COUNTIFS(Table45[Country],Tabela1[[#This Row],[Country]],Table45[Eventing Classification],"&gt;0")</f>
        <v>0</v>
      </c>
      <c r="EW58" s="6">
        <f>COUNTIFS(Table44[Country],Tabela1[[#This Row],[Country]],Table44[Jumping Classification],"&gt;0")</f>
        <v>0</v>
      </c>
      <c r="EX58" s="6">
        <f>COUNTIFS(Table45[Country],Tabela1[[#This Row],[Country]],Table45[Jumping Classification],"&gt;0")</f>
        <v>0</v>
      </c>
      <c r="EY58" s="6">
        <f>COUNTIFS(Table10[Country],Tabela1[[#This Row],[Country]],Table10[Épée Classification],"&gt;0")</f>
        <v>0</v>
      </c>
      <c r="EZ58" s="6">
        <f>COUNTIFS(Table11[Country],Tabela1[[#This Row],[Country]],Table11[Épée Classification],"&gt;0")</f>
        <v>0</v>
      </c>
      <c r="FA58" s="6">
        <f>COUNTIFS(Table46[Country],Tabela1[[#This Row],[Country]],Table46[Men''s Épée Classification],"&gt;0")</f>
        <v>0</v>
      </c>
      <c r="FB58" s="6">
        <f>COUNTIFS(Table46[Country],Tabela1[[#This Row],[Country]],Table46[Women''s Épée Classification],"&gt;0")</f>
        <v>0</v>
      </c>
      <c r="FC58" s="6">
        <f>COUNTIFS(Table10[Country],Tabela1[[#This Row],[Country]],Table10[Foil Classification],"&gt;0")</f>
        <v>0</v>
      </c>
      <c r="FD58" s="6">
        <f>COUNTIFS(Table11[Country],Tabela1[[#This Row],[Country]],Table11[Foil Classification],"&gt;0")</f>
        <v>0</v>
      </c>
      <c r="FE58" s="6">
        <f>COUNTIFS(Table46[Country],Tabela1[[#This Row],[Country]],Table46[Men''s Foil Classification],"&gt;0")</f>
        <v>0</v>
      </c>
      <c r="FF58" s="6">
        <f>COUNTIFS(Table46[Country],Tabela1[[#This Row],[Country]],Table46[Women''s Foil Classification],"&gt;0")</f>
        <v>0</v>
      </c>
      <c r="FG58" s="6">
        <f>COUNTIFS(Table10[Country],Tabela1[[#This Row],[Country]],Table10[Sabre Classification],"&gt;0")</f>
        <v>0</v>
      </c>
      <c r="FH58" s="6">
        <f>COUNTIFS(Table11[Country],Tabela1[[#This Row],[Country]],Table11[Sabre Classification],"&gt;0")</f>
        <v>0</v>
      </c>
      <c r="FI58" s="6">
        <f>COUNTIFS(Table46[Country],Tabela1[[#This Row],[Country]],Table46[Men''s Sabre Classification],"&gt;0")</f>
        <v>0</v>
      </c>
      <c r="FJ58" s="6">
        <f>COUNTIFS(Table46[Country],Tabela1[[#This Row],[Country]],Table46[Women''s Sabre Classification],"&gt;0")</f>
        <v>0</v>
      </c>
      <c r="FK58" s="6">
        <f>COUNTIFS(Table91[Country],Tabela1[[#This Row],[Country]],Table91[Men''s Classification],"&gt;0")</f>
        <v>0</v>
      </c>
      <c r="FL58" s="6">
        <f>COUNTIFS(Table91[Country],Tabela1[[#This Row],[Country]],Table91[Women''s Classification],"&gt;0")</f>
        <v>0</v>
      </c>
      <c r="FM58" s="6">
        <f>COUNTIFS(Table9194[Country],Tabela1[[#This Row],[Country]],Table9194[Men''s Classification],"&gt;0")</f>
        <v>1</v>
      </c>
      <c r="FN58" s="6">
        <f>COUNTIFS(Table9194[Country],Tabela1[[#This Row],[Country]],Table9194[Women''s Classification],"&gt;0")</f>
        <v>0</v>
      </c>
      <c r="FO58" s="6">
        <f>COUNTIFS(Table71[Country],Tabela1[[#This Row],[Country]],Table71[Classification],"&gt;0")</f>
        <v>0</v>
      </c>
      <c r="FP58" s="6">
        <f>COUNTIFS(Table62[Country],Tabela1[[#This Row],[Country]],Table62[Classification],"&gt;0")</f>
        <v>0</v>
      </c>
      <c r="FQ58" s="6">
        <f>COUNTIFS(Table47[Country],Tabela1[[#This Row],[Country]],Table47[All-Around Classification],"&gt;0")</f>
        <v>0</v>
      </c>
      <c r="FR58" s="6">
        <f>COUNTIFS(Table48[Country],Tabela1[[#This Row],[Country]],Table48[All-Around Classification],"&gt;0")</f>
        <v>0</v>
      </c>
      <c r="FS58" s="6">
        <f>COUNTIFS(Table81[Country],Tabela1[[#This Row],[Country]],Table81[Men''s All-Around Classification],"&gt;0")</f>
        <v>0</v>
      </c>
      <c r="FT58" s="6">
        <f>COUNTIFS(Table81[Country],Tabela1[[#This Row],[Country]],Table81[Women''s All-Around Classification],"&gt;0")</f>
        <v>0</v>
      </c>
      <c r="FU58" s="6">
        <f>COUNTIFS(Table48[Country],Tabela1[[#This Row],[Country]],Table48[Balance Beam Classification],"&gt;0")</f>
        <v>0</v>
      </c>
      <c r="FV58" s="6">
        <f>COUNTIFS(Table47[Country],Tabela1[[#This Row],[Country]],Table47[Floor Exercise Classification],"&gt;0")</f>
        <v>0</v>
      </c>
      <c r="FW58" s="6">
        <f>COUNTIFS(Table48[Country],Tabela1[[#This Row],[Country]],Table48[Floor Exercise Classification],"&gt;0")</f>
        <v>0</v>
      </c>
      <c r="FX58" s="6">
        <f>COUNTIFS(Table47[Country],Tabela1[[#This Row],[Country]],Table47[Horizontal Bar Classification],"&gt;0")</f>
        <v>0</v>
      </c>
      <c r="FY58" s="6">
        <f>COUNTIFS(Table47[Country],Tabela1[[#This Row],[Country]],Table47[Parallel Bars Classification],"&gt;0")</f>
        <v>0</v>
      </c>
      <c r="FZ58" s="6">
        <f>COUNTIFS(Table47[Country],Tabela1[[#This Row],[Country]],Table47[Pommel Horse Classification],"&gt;0")</f>
        <v>0</v>
      </c>
      <c r="GA58" s="6">
        <f>COUNTIFS(Table47[Country],Tabela1[[#This Row],[Country]],Table47[Rings Classification],"&gt;0")</f>
        <v>0</v>
      </c>
      <c r="GB58" s="6">
        <f>COUNTIFS(Tabela132[Country],Tabela1[[#This Row],[Country]],Tabela132[Classification],"&gt;0")</f>
        <v>0</v>
      </c>
      <c r="GC58" s="6">
        <f>COUNTIFS(Tabela139[Country],Tabela1[[#This Row],[Country]],Tabela139[Classification],"&gt;0")</f>
        <v>0</v>
      </c>
      <c r="GD58" s="6">
        <f>COUNTIFS(Table48[Country],Tabela1[[#This Row],[Country]],Table48[Uneven Bars Classification],"&gt;0")</f>
        <v>0</v>
      </c>
      <c r="GE58" s="6">
        <f>COUNTIFS(Table47[Country],Tabela1[[#This Row],[Country]],Table47[Vault Classification],"&gt;0")</f>
        <v>0</v>
      </c>
      <c r="GF58" s="6">
        <f>COUNTIFS(Table48[Country],Tabela1[[#This Row],[Country]],Table48[Vault Classification],"&gt;0")</f>
        <v>0</v>
      </c>
      <c r="GG58" s="6">
        <f>COUNTIFS(Table919496[Country],Tabela1[[#This Row],[Country]],Table919496[Men''s Classification],"&gt;0")</f>
        <v>0</v>
      </c>
      <c r="GH58" s="6">
        <f>COUNTIFS(Table919496[Country],Tabela1[[#This Row],[Country]],Table919496[Women''s Classification],"&gt;0")</f>
        <v>0</v>
      </c>
      <c r="GI58" s="6">
        <f>COUNTIFS(Table12[Country],Tabela1[[#This Row],[Country]],Table12[60kg Classification],"&gt;0")</f>
        <v>0</v>
      </c>
      <c r="GJ58" s="6">
        <f>COUNTIFS(Table12[Country],Tabela1[[#This Row],[Country]],Table12[66kg Classification],"&gt;0")</f>
        <v>0</v>
      </c>
      <c r="GK58" s="6">
        <f>COUNTIFS(Table12[Country],Tabela1[[#This Row],[Country]],Table12[73kg Classification],"&gt;0")</f>
        <v>0</v>
      </c>
      <c r="GL58" s="6">
        <f>COUNTIFS(Table12[Country],Tabela1[[#This Row],[Country]],Table12[81kg Classification],"&gt;0")</f>
        <v>0</v>
      </c>
      <c r="GM58" s="6">
        <f>COUNTIFS(Table12[Country],Tabela1[[#This Row],[Country]],Table12[90kg Classification],"&gt;0")</f>
        <v>1</v>
      </c>
      <c r="GN58" s="6">
        <f>COUNTIFS(Table12[Country],Tabela1[[#This Row],[Country]],Table12[100kg Classification],"&gt;0")</f>
        <v>0</v>
      </c>
      <c r="GO58" s="6">
        <f>COUNTIFS(Table12[Country],Tabela1[[#This Row],[Country]],Table12[Plus 100kg Classification],"&gt;0")</f>
        <v>0</v>
      </c>
      <c r="GP58" s="6">
        <f>COUNTIFS(Table13[Country],Tabela1[[#This Row],[Country]],Table13[48kg Classification],"&gt;0")</f>
        <v>0</v>
      </c>
      <c r="GQ58" s="6">
        <f>COUNTIFS(Table13[Country],Tabela1[[#This Row],[Country]],Table13[52kg Classification],"&gt;0")</f>
        <v>0</v>
      </c>
      <c r="GR58" s="6">
        <f>COUNTIFS(Table13[Country],Tabela1[[#This Row],[Country]],Table13[57kg Classification],"&gt;0")</f>
        <v>0</v>
      </c>
      <c r="GS58" s="6">
        <f>COUNTIFS(Table13[Country],Tabela1[[#This Row],[Country]],Table13[63kg Classification],"&gt;0")</f>
        <v>0</v>
      </c>
      <c r="GT58" s="6">
        <f>COUNTIFS(Table13[Country],Tabela1[[#This Row],[Country]],Table13[70kg Classification],"&gt;0")</f>
        <v>0</v>
      </c>
      <c r="GU58" s="6">
        <f>COUNTIFS(Table13[Country],Tabela1[[#This Row],[Country]],Table13[78kg Classification],"&gt;0")</f>
        <v>0</v>
      </c>
      <c r="GV58" s="6">
        <f>COUNTIFS(Table13[Country],Tabela1[[#This Row],[Country]],Table13[Plus 78kg Classification],"&gt;0")</f>
        <v>0</v>
      </c>
      <c r="GW58" s="6">
        <f>COUNTIFS(Table82[Country],Tabela1[[#This Row],[Country]],Table82[Mixed Classification],"&gt;0")</f>
        <v>0</v>
      </c>
      <c r="GX58" s="6">
        <f>COUNTIFS(Table51[Country],Tabela1[[#This Row],[Country]],Table51[Classification],"&gt;0")</f>
        <v>0</v>
      </c>
      <c r="GY58" s="6">
        <f>COUNTIFS(Table52[Country],Tabela1[[#This Row],[Country]],Table52[Classification],"&gt;0")</f>
        <v>0</v>
      </c>
      <c r="GZ58" s="6">
        <f>COUNTIFS(Table32[Country],Tabela1[[#This Row],[Country]],Table32[All-Around Classification],"&gt;0")</f>
        <v>0</v>
      </c>
      <c r="HA58" s="6">
        <f>COUNTIFS(Table49[Country],Tabela1[[#This Row],[Country]],Table49[All-Around Classification],"&gt;0")</f>
        <v>0</v>
      </c>
      <c r="HB58" s="6">
        <f>COUNTIFS(Table26[Country],Tabela1[[#This Row],[Country]],Table26[Single Sculls Classification],"&gt;0")</f>
        <v>0</v>
      </c>
      <c r="HC58" s="6">
        <f>COUNTIFS(Table63[Country],Tabela1[[#This Row],[Country]],Table63[Single Sculls Classification],"&gt;0")</f>
        <v>0</v>
      </c>
      <c r="HD58" s="6">
        <f>COUNTIFS(Table16[Country],Tabela1[[#This Row],[Country]],Table16[Men''s Double Sculls Classification],"&gt;0")</f>
        <v>0</v>
      </c>
      <c r="HE58" s="6">
        <f>COUNTIFS(Table16[Country],Tabela1[[#This Row],[Country]],Table16[Women''s Double Sculls Classification],"&gt;0")</f>
        <v>0</v>
      </c>
      <c r="HF58" s="6">
        <f>COUNTIFS(Table72[Country],Tabela1[[#This Row],[Country]],Table72[Men''s Quadruple Sculls Classification],"&gt;0")</f>
        <v>0</v>
      </c>
      <c r="HG58" s="6">
        <f>COUNTIFS(Table72[Country],Tabela1[[#This Row],[Country]],Table72[Women''s Quadruple Sculls Classification],"&gt;0")</f>
        <v>0</v>
      </c>
      <c r="HH58" s="6">
        <f>COUNTIFS(Table16[Country],Tabela1[[#This Row],[Country]],Table16[Men''s Coxless Pairs Classification],"&gt;0")</f>
        <v>0</v>
      </c>
      <c r="HI58" s="6">
        <f>COUNTIFS(Table16[Country],Tabela1[[#This Row],[Country]],Table16[Women''s Coxless Pairs Classification],"&gt;0")</f>
        <v>0</v>
      </c>
      <c r="HJ58" s="6">
        <f>COUNTIFS(Table72[Country],Tabela1[[#This Row],[Country]],Table72[Men''s Coxless Fours Classification],"&gt;0")</f>
        <v>0</v>
      </c>
      <c r="HK58" s="6">
        <f>COUNTIFS(Table72[Country],Tabela1[[#This Row],[Country]],Table72[Women''s Coxless Fours Classification],"&gt;0")</f>
        <v>0</v>
      </c>
      <c r="HL58" s="6">
        <f>COUNTIFS(Table72[Country],Tabela1[[#This Row],[Country]],Table72[Men''s Eights Classification],"&gt;0")</f>
        <v>0</v>
      </c>
      <c r="HM58" s="6">
        <f>COUNTIFS(Table72[Country],Tabela1[[#This Row],[Country]],Table72[Women''s Eights Classification],"&gt;0")</f>
        <v>0</v>
      </c>
      <c r="HN58" s="6">
        <f>COUNTIFS(Table16[Country],Tabela1[[#This Row],[Country]],Table16[Men''s Lwt. Double Sculls Classification],"&gt;0")</f>
        <v>0</v>
      </c>
      <c r="HO58" s="6">
        <f>COUNTIFS(Table16[Country],Tabela1[[#This Row],[Country]],Table16[Women''s Lwt. Double Sculls Classification],"&gt;0")</f>
        <v>0</v>
      </c>
      <c r="HP58" s="6">
        <f>COUNTIFS(Table91949698[Country],Tabela1[[#This Row],[Country]],Table91949698[Men''s Classification],"&gt;0")</f>
        <v>0</v>
      </c>
      <c r="HQ58" s="6">
        <f>COUNTIFS(Table91949698[Country],Tabela1[[#This Row],[Country]],Table91949698[Women''s Classification],"&gt;0")</f>
        <v>0</v>
      </c>
      <c r="HR58" s="6">
        <f>COUNTIFS(Table25[Country],Tabela1[[#This Row],[Country]],Table25[Mixed 470 Classification],"&gt;0")</f>
        <v>0</v>
      </c>
      <c r="HS58" s="6">
        <f>COUNTIFS(Table25[Country],Tabela1[[#This Row],[Country]],Table25[Men''s 49er Classification],"&gt;0")</f>
        <v>0</v>
      </c>
      <c r="HT58" s="6">
        <f>COUNTIFS(Table25[Country],Tabela1[[#This Row],[Country]],Table25[Women''s 49er FX Classification],"&gt;0")</f>
        <v>0</v>
      </c>
      <c r="HU58" s="6">
        <f>COUNTIFS(Table17[Country],Tabela1[[#This Row],[Country]],Table17[Formula Kite Classification],"&gt;0")</f>
        <v>0</v>
      </c>
      <c r="HV58" s="6">
        <f>COUNTIFS(Table18[Country],Tabela1[[#This Row],[Country]],Table18[Formula Kite Classification],"&gt;0")</f>
        <v>0</v>
      </c>
      <c r="HW58" s="6">
        <f>COUNTIFS(Table17[Country],Tabela1[[#This Row],[Country]],Table17[ILCA 7 Classification],"&gt;0")</f>
        <v>0</v>
      </c>
      <c r="HX58" s="6">
        <f>COUNTIFS(Table18[Country],Tabela1[[#This Row],[Country]],Table18[ILCA 6 Classification],"&gt;0")</f>
        <v>0</v>
      </c>
      <c r="HY58" s="6">
        <f>COUNTIFS(Table17[Country],Tabela1[[#This Row],[Country]],Table17[IQFoil Classification],"&gt;0")</f>
        <v>0</v>
      </c>
      <c r="HZ58" s="6">
        <f>COUNTIFS(Table18[Country],Tabela1[[#This Row],[Country]],Table18[IQFoil Classification],"&gt;0")</f>
        <v>0</v>
      </c>
      <c r="IA58" s="6">
        <f>COUNTIFS(Table25[Country],Tabela1[[#This Row],[Country]],Table25[Mixed Nacra 17 Classification],"&gt;0")</f>
        <v>0</v>
      </c>
      <c r="IB58" s="6">
        <f>COUNTIFS(Table53[Country],Tabela1[[#This Row],[Country]],Table53[10m Air Pistol Classification],"&gt;0")</f>
        <v>0</v>
      </c>
      <c r="IC58" s="6">
        <f>COUNTIFS(Table19[Country],Tabela1[[#This Row],[Country]],Table19[10m Air Pistol Classification],"&gt;0")</f>
        <v>0</v>
      </c>
      <c r="ID58" s="6">
        <f>COUNTIFS(Table54[Country],Tabela1[[#This Row],[Country]],Table54[Mixed 10m Air Pistol Team Classification],"&gt;0")</f>
        <v>0</v>
      </c>
      <c r="IE58" s="6">
        <f>COUNTIFS(Table53[Country],Tabela1[[#This Row],[Country]],Table53[10m Air Rifle Classification],"&gt;0")</f>
        <v>0</v>
      </c>
      <c r="IF58" s="6">
        <f>COUNTIFS(Table19[Country],Tabela1[[#This Row],[Country]],Table19[10m Air Rifle Classification],"&gt;0")</f>
        <v>0</v>
      </c>
      <c r="IG58" s="6">
        <f>COUNTIFS(Table54[Country],Tabela1[[#This Row],[Country]],Table54[Mixed 10m Air Rifle Team Classification],"&gt;0")</f>
        <v>0</v>
      </c>
      <c r="IH58" s="6">
        <f>COUNTIFS(Table53[Country],Tabela1[[#This Row],[Country]],Table53[25m Rapid Fire Pistol Classification],"&gt;0")</f>
        <v>0</v>
      </c>
      <c r="II58" s="6">
        <f>COUNTIFS(Table19[Country],Tabela1[[#This Row],[Country]],Table19[25m Pistol Classification],"&gt;0")</f>
        <v>0</v>
      </c>
      <c r="IJ58" s="6">
        <f>COUNTIFS(Table53[Country],Tabela1[[#This Row],[Country]],Table53[50m Rifle 3 Positions Classification],"&gt;0")</f>
        <v>0</v>
      </c>
      <c r="IK58" s="6">
        <f>COUNTIFS(Table19[Country],Tabela1[[#This Row],[Country]],Table19[50m Rifle 3 Positions Classification],"&gt;0")</f>
        <v>0</v>
      </c>
      <c r="IL58" s="6">
        <f>COUNTIFS(Table53[Country],Tabela1[[#This Row],[Country]],Table53[Skeet Classification],"&gt;0")</f>
        <v>0</v>
      </c>
      <c r="IM58" s="6">
        <f>COUNTIFS(Table19[Country],Tabela1[[#This Row],[Country]],Table19[Skeet Classification],"&gt;0")</f>
        <v>0</v>
      </c>
      <c r="IN58" s="6">
        <f>COUNTIFS(Table54[Country],Tabela1[[#This Row],[Country]],Table54[Mixed Skeet Team Classification],"&gt;0")</f>
        <v>0</v>
      </c>
      <c r="IO58" s="6">
        <f>COUNTIFS(Table53[Country],Tabela1[[#This Row],[Country]],Table53[Trap Classification],"&gt;0")</f>
        <v>0</v>
      </c>
      <c r="IP58" s="6">
        <f>COUNTIFS(Table19[Country],Tabela1[[#This Row],[Country]],Table19[Trap Classification],"&gt;0")</f>
        <v>0</v>
      </c>
      <c r="IQ58" s="6">
        <f>COUNTIFS(Table73[Country],Tabela1[[#This Row],[Country]],Table73[Park Classification],"&gt;0")</f>
        <v>0</v>
      </c>
      <c r="IR58" s="6">
        <f>COUNTIFS(Table74[Country],Tabela1[[#This Row],[Country]],Table74[Park Classification],"&gt;0")</f>
        <v>0</v>
      </c>
      <c r="IS58" s="6">
        <f>COUNTIFS(Table73[Country],Tabela1[[#This Row],[Country]],Table73[Street Classification],"&gt;0")</f>
        <v>0</v>
      </c>
      <c r="IT58" s="6">
        <f>COUNTIFS(Table74[Country],Tabela1[[#This Row],[Country]],Table74[Street Classification],"&gt;0")</f>
        <v>0</v>
      </c>
      <c r="IU58" s="6">
        <f>COUNTIFS(Table75[Country],Tabela1[[#This Row],[Country]],Table75[Boulder and Lead Classification],"&gt;0")</f>
        <v>0</v>
      </c>
      <c r="IV58" s="6">
        <f>COUNTIFS(Table76[Country],Tabela1[[#This Row],[Country]],Table76[Boulder and Lead Classification],"&gt;0")</f>
        <v>0</v>
      </c>
      <c r="IW58" s="6">
        <f>COUNTIFS(Table75[Country],Tabela1[[#This Row],[Country]],Table75[Speed Classification],"&gt;0")</f>
        <v>0</v>
      </c>
      <c r="IX58" s="6">
        <f>COUNTIFS(Table76[Country],Tabela1[[#This Row],[Country]],Table76[Speed Classification],"&gt;0")</f>
        <v>0</v>
      </c>
      <c r="IY58" s="6">
        <f>COUNTIFS(Table64[Country],Tabela1[[#This Row],[Country]],Table64[Shortboard Classification],"&gt;0")</f>
        <v>0</v>
      </c>
      <c r="IZ58" s="6">
        <f>COUNTIFS(Table77[Country],Tabela1[[#This Row],[Country]],Table77[Shortboard Classification],"&gt;0")</f>
        <v>0</v>
      </c>
      <c r="JA58" s="6">
        <f>COUNTIFS(Table20[Country],Tabela1[[#This Row],[Country]],Table20[50m Freestyle Classification],"&gt;0")</f>
        <v>0</v>
      </c>
      <c r="JB58" s="6">
        <f>COUNTIFS(Table21[Country],Tabela1[[#This Row],[Country]],Table21[50m Freestyle Classification],"&gt;0")</f>
        <v>0</v>
      </c>
      <c r="JC58" s="6">
        <f>COUNTIFS(Table20[Country],Tabela1[[#This Row],[Country]],Table20[100m Freestyle Classification],"&gt;0")</f>
        <v>0</v>
      </c>
      <c r="JD58" s="6">
        <f>COUNTIFS(Table21[Country],Tabela1[[#This Row],[Country]],Table21[100m Freestyle Classification],"&gt;0")</f>
        <v>0</v>
      </c>
      <c r="JE58" s="6">
        <f>COUNTIFS(Table20[Country],Tabela1[[#This Row],[Country]],Table20[200m Freestyle Classification],"&gt;0")</f>
        <v>0</v>
      </c>
      <c r="JF58" s="6">
        <f>COUNTIFS(Table21[Country],Tabela1[[#This Row],[Country]],Table21[200m Freestyle Classification],"&gt;0")</f>
        <v>0</v>
      </c>
      <c r="JG58" s="6">
        <f>COUNTIFS(Table20[Country],Tabela1[[#This Row],[Country]],Table20[400m Freestyle Classification],"&gt;0")</f>
        <v>0</v>
      </c>
      <c r="JH58" s="6">
        <f>COUNTIFS(Table21[Country],Tabela1[[#This Row],[Country]],Table21[400m Freestyle Classification],"&gt;0")</f>
        <v>0</v>
      </c>
      <c r="JI58" s="6">
        <f>COUNTIFS(Table20[Country],Tabela1[[#This Row],[Country]],Table20[800m Freestyle Classification],"&gt;0")</f>
        <v>0</v>
      </c>
      <c r="JJ58" s="6">
        <f>COUNTIFS(Table21[Country],Tabela1[[#This Row],[Country]],Table21[800m Freestyle Classification],"&gt;0")</f>
        <v>0</v>
      </c>
      <c r="JK58" s="6">
        <f>COUNTIFS(Table20[Country],Tabela1[[#This Row],[Country]],Table20[1500m Freestyle Classification],"&gt;0")</f>
        <v>0</v>
      </c>
      <c r="JL58" s="6">
        <f>COUNTIFS(Table21[Country],Tabela1[[#This Row],[Country]],Table21[1500m Freestyle Classification],"&gt;0")</f>
        <v>0</v>
      </c>
      <c r="JM58" s="6">
        <f>COUNTIFS(Table20[Country],Tabela1[[#This Row],[Country]],Table20[100m Backstroke Classification],"&gt;0")</f>
        <v>0</v>
      </c>
      <c r="JN58" s="6">
        <f>COUNTIFS(Table21[Country],Tabela1[[#This Row],[Country]],Table21[100m Backstroke Classification],"&gt;0")</f>
        <v>0</v>
      </c>
      <c r="JO58" s="6">
        <f>COUNTIFS(Table20[Country],Tabela1[[#This Row],[Country]],Table20[200m Backstroke Classification],"&gt;0")</f>
        <v>0</v>
      </c>
      <c r="JP58" s="6">
        <f>COUNTIFS(Table21[Country],Tabela1[[#This Row],[Country]],Table21[200m Backstroke Classification],"&gt;0")</f>
        <v>0</v>
      </c>
      <c r="JQ58" s="6">
        <f>COUNTIFS(Table20[Country],Tabela1[[#This Row],[Country]],Table20[100m Breaststroke Classification],"&gt;0")</f>
        <v>0</v>
      </c>
      <c r="JR58" s="6">
        <f>COUNTIFS(Table21[Country],Tabela1[[#This Row],[Country]],Table21[100m Breaststroke Classification],"&gt;0")</f>
        <v>0</v>
      </c>
      <c r="JS58" s="6">
        <f>COUNTIFS(Table20[Country],Tabela1[[#This Row],[Country]],Table20[200m Breaststroke Classification],"&gt;0")</f>
        <v>0</v>
      </c>
      <c r="JT58" s="6">
        <f>COUNTIFS(Table21[Country],Tabela1[[#This Row],[Country]],Table21[200m Breaststroke Classification],"&gt;0")</f>
        <v>0</v>
      </c>
      <c r="JU58" s="6">
        <f>COUNTIFS(Table20[Country],Tabela1[[#This Row],[Country]],Table20[100m Butterfly Classification],"&gt;0")</f>
        <v>0</v>
      </c>
      <c r="JV58" s="6">
        <f>COUNTIFS(Table21[Country],Tabela1[[#This Row],[Country]],Table21[100m Butterfly Classification],"&gt;0")</f>
        <v>0</v>
      </c>
      <c r="JW58" s="6">
        <f>COUNTIFS(Table20[Country],Tabela1[[#This Row],[Country]],Table20[200m Butterfly Classification],"&gt;0")</f>
        <v>0</v>
      </c>
      <c r="JX58" s="6">
        <f>COUNTIFS(Table21[Country],Tabela1[[#This Row],[Country]],Table21[200m Butterfly Classification],"&gt;0")</f>
        <v>0</v>
      </c>
      <c r="JY58" s="6">
        <f>COUNTIFS(Table20[Country],Tabela1[[#This Row],[Country]],Table20[200m Medley Classification],"&gt;0")</f>
        <v>0</v>
      </c>
      <c r="JZ58" s="6">
        <f>COUNTIFS(Table21[Country],Tabela1[[#This Row],[Country]],Table21[200m Medley Classification],"&gt;0")</f>
        <v>0</v>
      </c>
      <c r="KA58" s="6">
        <f>COUNTIFS(Table20[Country],Tabela1[[#This Row],[Country]],Table20[400m Medley Classification],"&gt;0")</f>
        <v>0</v>
      </c>
      <c r="KB58" s="6">
        <f>COUNTIFS(Table21[Country],Tabela1[[#This Row],[Country]],Table21[400m Medley Classification],"&gt;0")</f>
        <v>0</v>
      </c>
      <c r="KC58" s="6">
        <f>COUNTIFS(Table78[Country],Tabela1[[#This Row],[Country]],Table78[Men''s 4x100m Freestyle Relay Classification],"&gt;0")</f>
        <v>0</v>
      </c>
      <c r="KD58" s="6">
        <f>COUNTIFS(Table78[Country],Tabela1[[#This Row],[Country]],Table78[Women''s 4x100m Freestyle Relay Classification],"&gt;0")</f>
        <v>0</v>
      </c>
      <c r="KE58" s="6">
        <f>COUNTIFS(Table78[Country],Tabela1[[#This Row],[Country]],Table78[Men''s 4x200m Freestyle Relay Classification],"&gt;0")</f>
        <v>0</v>
      </c>
      <c r="KF58" s="6">
        <f>COUNTIFS(Table78[Country],Tabela1[[#This Row],[Country]],Table78[Women''s 4x200m Freestyle Relay Classification],"&gt;0")</f>
        <v>0</v>
      </c>
      <c r="KG58" s="6">
        <f>COUNTIFS(Table78[Country],Tabela1[[#This Row],[Country]],Table78[Men''s 4x100m Medley Relay Classification],"&gt;0")</f>
        <v>0</v>
      </c>
      <c r="KH58" s="6">
        <f>COUNTIFS(Table78[Country],Tabela1[[#This Row],[Country]],Table78[Women''s 4x100m Medley Relay Classification],"&gt;0")</f>
        <v>0</v>
      </c>
      <c r="KI58" s="6">
        <f>COUNTIFS(Table78[Country],Tabela1[[#This Row],[Country]],Table78[Mixed 4x100m Medley Relay Classification],"&gt;0")</f>
        <v>0</v>
      </c>
      <c r="KJ58" s="6">
        <f>COUNTIFS(Table20[Country],Tabela1[[#This Row],[Country]],Table20[10km Open Water Classification],"&gt;0")</f>
        <v>0</v>
      </c>
      <c r="KK58" s="6">
        <f>COUNTIFS(Table21[Country],Tabela1[[#This Row],[Country]],Table21[10km Open Water Classification],"&gt;0")</f>
        <v>0</v>
      </c>
      <c r="KL58" s="6">
        <f>COUNTIFS(Table22[Country],Tabela1[[#This Row],[Country]],Table22[Classification],"&gt;0")</f>
        <v>0</v>
      </c>
      <c r="KM58" s="6">
        <f>COUNTIFS(Table30[Country],Tabela1[[#This Row],[Country]],Table30[Classification],"&gt;0")</f>
        <v>0</v>
      </c>
      <c r="KN58" s="6">
        <f>COUNTIFS(Table55[Country],Tabela1[[#This Row],[Country]],Table55[Men''s Classification],"&gt;0")</f>
        <v>0</v>
      </c>
      <c r="KO58" s="6">
        <f>COUNTIFS(Table55[Country],Tabela1[[#This Row],[Country]],Table55[Women''s Classification],"&gt;0")</f>
        <v>0</v>
      </c>
      <c r="KP58" s="6">
        <f>COUNTIFS(Table56[Country],Tabela1[[#This Row],[Country]],Table56[Mixed Classification],"&gt;0")</f>
        <v>0</v>
      </c>
      <c r="KQ58" s="6">
        <f>COUNTIFS(Table29[Country],Tabela1[[#This Row],[Country]],Table29[58kg Classification],"&gt;0")</f>
        <v>0</v>
      </c>
      <c r="KR58" s="6">
        <f>COUNTIFS(Table29[Country],Tabela1[[#This Row],[Country]],Table29[68kg Classification],"&gt;0")</f>
        <v>0</v>
      </c>
      <c r="KS58" s="6">
        <f>COUNTIFS(Table29[Country],Tabela1[[#This Row],[Country]],Table29[80kg Classification],"&gt;0")</f>
        <v>0</v>
      </c>
      <c r="KT58" s="6">
        <f>COUNTIFS(Table29[Country],Tabela1[[#This Row],[Country]],Table29[Plus 80kg Classification],"&gt;0")</f>
        <v>0</v>
      </c>
      <c r="KU58" s="6">
        <f>COUNTIFS(Table34[Country],Tabela1[[#This Row],[Country]],Table34[49kg Classification],"&gt;0")</f>
        <v>0</v>
      </c>
      <c r="KV58" s="6">
        <f>COUNTIFS(Table34[Country],Tabela1[[#This Row],[Country]],Table34[57kg Classification],"&gt;0")</f>
        <v>0</v>
      </c>
      <c r="KW58" s="6">
        <f>COUNTIFS(Table34[Country],Tabela1[[#This Row],[Country]],Table34[67kg Classification],"&gt;0")</f>
        <v>0</v>
      </c>
      <c r="KX58" s="6">
        <f>COUNTIFS(Table34[Country],Tabela1[[#This Row],[Country]],Table34[Plus 67kg Classification],"&gt;0")</f>
        <v>0</v>
      </c>
      <c r="KY58" s="6">
        <f>COUNTIFS(Table57[Country],Tabela1[[#This Row],[Country]],Table57[Classification],"&gt;0")</f>
        <v>0</v>
      </c>
      <c r="KZ58" s="6">
        <f>COUNTIFS(Table58[Country],Tabela1[[#This Row],[Country]],Table58[Classification],"&gt;0")</f>
        <v>0</v>
      </c>
      <c r="LA58" s="6">
        <f>COUNTIFS(Table79[Country],Tabela1[[#This Row],[Country]],Table79[Men''s Classification],"&gt;0")</f>
        <v>0</v>
      </c>
      <c r="LB58" s="6">
        <f>COUNTIFS(Table79[Country],Tabela1[[#This Row],[Country]],Table79[Women''s Classification],"&gt;0")</f>
        <v>0</v>
      </c>
      <c r="LC58" s="6">
        <f>COUNTIFS(Table79[Country],Tabela1[[#This Row],[Country]],Table79[Mixed Classification],"&gt;0")</f>
        <v>0</v>
      </c>
      <c r="LD58" s="6">
        <f>COUNTIFS(Table65[Country],Tabela1[[#This Row],[Country]],Table65[Classification],"&gt;0")</f>
        <v>0</v>
      </c>
      <c r="LE58" s="6">
        <f>COUNTIFS(Table59[Country],Tabela1[[#This Row],[Country]],Table59[Classification],"&gt;0")</f>
        <v>0</v>
      </c>
      <c r="LF58" s="6">
        <f>COUNTIFS(Table87[Country],Tabela1[[#This Row],[Country]],Table87[Mixed Relay Classification],"&gt;0")</f>
        <v>0</v>
      </c>
      <c r="LG58" s="6">
        <f>COUNTIFS(Table91949698100[Country],Tabela1[[#This Row],[Country]],Table91949698100[Men''s Classification],"&gt;0")</f>
        <v>0</v>
      </c>
      <c r="LH58" s="6">
        <f>COUNTIFS(Table91949698100[Country],Tabela1[[#This Row],[Country]],Table91949698100[Women''s Classification],"&gt;0")</f>
        <v>1</v>
      </c>
      <c r="LI58" s="6">
        <f>COUNTIFS(Table91949698100102[Country],Tabela1[[#This Row],[Country]],Table91949698100102[Men''s Classification],"&gt;0")</f>
        <v>0</v>
      </c>
      <c r="LJ58" s="6">
        <f>COUNTIFS(Table91949698100102[Country],Tabela1[[#This Row],[Country]],Table91949698100102[Women''s Classification],"&gt;0")</f>
        <v>0</v>
      </c>
      <c r="LK58" s="6">
        <f>COUNTIFS(Table23[Country],Tabela1[[#This Row],[Country]],Table23[61kg Classification],"&gt;0")</f>
        <v>0</v>
      </c>
      <c r="LL58" s="6">
        <f>COUNTIFS(Table23[Country],Tabela1[[#This Row],[Country]],Table23[73kg Classification],"&gt;0")</f>
        <v>0</v>
      </c>
      <c r="LM58" s="6">
        <f>COUNTIFS(Table23[Country],Tabela1[[#This Row],[Country]],Table23[89kg Classification],"&gt;0")</f>
        <v>0</v>
      </c>
      <c r="LN58" s="6">
        <f>COUNTIFS(Table23[Country],Tabela1[[#This Row],[Country]],Table23[102kg Classification],"&gt;0")</f>
        <v>0</v>
      </c>
      <c r="LO58" s="6">
        <f>COUNTIFS(Table23[Country],Tabela1[[#This Row],[Country]],Table23[Plus 102kg Classification],"&gt;0")</f>
        <v>0</v>
      </c>
      <c r="LP58" s="6">
        <f>COUNTIFS(Table28[Country],Tabela1[[#This Row],[Country]],Table28[49kg Classification],"&gt;0")</f>
        <v>1</v>
      </c>
      <c r="LQ58" s="6">
        <f>COUNTIFS(Table28[Country],Tabela1[[#This Row],[Country]],Table28[59kg Classification],"&gt;0")</f>
        <v>0</v>
      </c>
      <c r="LR58" s="6">
        <f>COUNTIFS(Table28[Country],Tabela1[[#This Row],[Country]],Table28[71kg Classification],"&gt;0")</f>
        <v>0</v>
      </c>
      <c r="LS58" s="6">
        <f>COUNTIFS(Table28[Country],Tabela1[[#This Row],[Country]],Table28[81kg Classification],"&gt;0")</f>
        <v>0</v>
      </c>
      <c r="LT58" s="6">
        <f>COUNTIFS(Table28[Country],Tabela1[[#This Row],[Country]],Table28[Plus 81kg Classification],"&gt;0")</f>
        <v>0</v>
      </c>
      <c r="LU58" s="6">
        <f>COUNTIFS(Table24[Country],Tabela1[[#This Row],[Country]],Table24[Freestyle 57kg Classification],"&gt;0")</f>
        <v>0</v>
      </c>
      <c r="LV58" s="6">
        <f>COUNTIFS(Table24[Country],Tabela1[[#This Row],[Country]],Table24[Freestyle 65kg Classification],"&gt;0")</f>
        <v>0</v>
      </c>
      <c r="LW58" s="6">
        <f>COUNTIFS(Table24[Country],Tabela1[[#This Row],[Country]],Table24[Freestyle 74kg Classification],"&gt;0")</f>
        <v>0</v>
      </c>
      <c r="LX58" s="6">
        <f>COUNTIFS(Table24[Country],Tabela1[[#This Row],[Country]],Table24[Freestyle 86kg Classification],"&gt;0")</f>
        <v>0</v>
      </c>
      <c r="LY58" s="6">
        <f>COUNTIFS(Table24[Country],Tabela1[[#This Row],[Country]],Table24[Freestyle 97kg Classification],"&gt;0")</f>
        <v>0</v>
      </c>
      <c r="LZ58" s="6">
        <f>COUNTIFS(Table24[Country],Tabela1[[#This Row],[Country]],Table24[Freestyle 125kg Classification],"&gt;0")</f>
        <v>0</v>
      </c>
      <c r="MA58" s="6">
        <f>COUNTIFS(Table24[Country],Tabela1[[#This Row],[Country]],Table24[Greco-Roman 60kg Classification],"&gt;0")</f>
        <v>0</v>
      </c>
      <c r="MB58" s="6">
        <f>COUNTIFS(Table24[Country],Tabela1[[#This Row],[Country]],Table24[Greco-Roman 67kg Classification],"&gt;0")</f>
        <v>0</v>
      </c>
      <c r="MC58" s="6">
        <f>COUNTIFS(Table24[Country],Tabela1[[#This Row],[Country]],Table24[Greco-Roman 77kg Classification],"&gt;0")</f>
        <v>0</v>
      </c>
      <c r="MD58" s="6">
        <f>COUNTIFS(Table24[Country],Tabela1[[#This Row],[Country]],Table24[Greco-Roman 87kg Classification],"&gt;0")</f>
        <v>0</v>
      </c>
      <c r="ME58" s="6">
        <f>COUNTIFS(Table24[Country],Tabela1[[#This Row],[Country]],Table24[Greco-Roman 97kg Classification],"&gt;0")</f>
        <v>0</v>
      </c>
      <c r="MF58" s="6">
        <f>COUNTIFS(Table24[Country],Tabela1[[#This Row],[Country]],Table24[Greco-Roman 130kg Classification],"&gt;0")</f>
        <v>0</v>
      </c>
      <c r="MG58" s="6">
        <f>COUNTIFS(Table31[Country],Tabela1[[#This Row],[Country]],Table31[50kg Classification],"&gt;0")</f>
        <v>0</v>
      </c>
      <c r="MH58" s="6">
        <f>COUNTIFS(Table31[Country],Tabela1[[#This Row],[Country]],Table31[53kg Classification],"&gt;0")</f>
        <v>0</v>
      </c>
      <c r="MI58" s="6">
        <f>COUNTIFS(Table31[Country],Tabela1[[#This Row],[Country]],Table31[57kg Classification],"&gt;0")</f>
        <v>0</v>
      </c>
      <c r="MJ58" s="6">
        <f>COUNTIFS(Table31[Country],Tabela1[[#This Row],[Country]],Table31[62kg Classification],"&gt;0")</f>
        <v>0</v>
      </c>
      <c r="MK58" s="6">
        <f>COUNTIFS(Table31[Country],Tabela1[[#This Row],[Country]],Table31[68kg Classification],"&gt;0")</f>
        <v>0</v>
      </c>
      <c r="ML58" s="6">
        <f>COUNTIFS(Table31[Country],Tabela1[[#This Row],[Country]],Table31[76kg Classification],"&gt;0")</f>
        <v>0</v>
      </c>
      <c r="MM58" s="6">
        <f>COUNTIFS(Table102[Country],Tabela1[[#This Row],[Country]],Table102[Downhill Classification],"&gt;0")</f>
        <v>0</v>
      </c>
      <c r="MN58" s="6">
        <f>COUNTIFS(Table102105[Country],Tabela1[[#This Row],[Country]],Table102105[Downhill Classification],"&gt;0")</f>
        <v>0</v>
      </c>
      <c r="MO58" s="6">
        <f>COUNTIFS(Table102[Country],Tabela1[[#This Row],[Country]],Table102[Giant Slalom Classification],"&gt;0")</f>
        <v>0</v>
      </c>
      <c r="MP58" s="6">
        <f>COUNTIFS(Table102105[Country],Tabela1[[#This Row],[Country]],Table102105[Giant Slalom Classification],"&gt;0")</f>
        <v>0</v>
      </c>
      <c r="MQ58" s="6">
        <f>COUNTIFS(Table102[Country],Tabela1[[#This Row],[Country]],Table102[Slalom Classification],"&gt;0")</f>
        <v>0</v>
      </c>
      <c r="MR58" s="6">
        <f>COUNTIFS(Table102105[Country],Tabela1[[#This Row],[Country]],Table102105[Slalom Classification],"&gt;0")</f>
        <v>0</v>
      </c>
      <c r="MS58" s="6">
        <f>COUNTIFS(Table102[Country],Tabela1[[#This Row],[Country]],Table102[Super-G Classification],"&gt;0")</f>
        <v>0</v>
      </c>
      <c r="MT58" s="6">
        <f>COUNTIFS(Table102105[Country],Tabela1[[#This Row],[Country]],Table102105[Super-G Classification],"&gt;0")</f>
        <v>0</v>
      </c>
      <c r="MU58" s="6">
        <f>COUNTIFS(Table105[Country],Tabela1[[#This Row],[Country]],Table105[Men''s Combined Classification],"&gt;0")</f>
        <v>0</v>
      </c>
      <c r="MV58" s="6">
        <f>COUNTIFS(Table105[Country],Tabela1[[#This Row],[Country]],Table105[Women''s Combined Classification],"&gt;0")</f>
        <v>0</v>
      </c>
      <c r="MW58" s="6">
        <f>COUNTIFS(Table106[Country],Tabela1[[#This Row],[Country]],Table106[Individual Classification],"&gt;0")</f>
        <v>0</v>
      </c>
      <c r="MX58" s="6">
        <f>COUNTIFS(Table106109[Country],Tabela1[[#This Row],[Country]],Table106109[Individual Classification],"&gt;0")</f>
        <v>0</v>
      </c>
      <c r="MY58" s="6">
        <f>COUNTIFS(Table106[Country],Tabela1[[#This Row],[Country]],Table106[Mass Start Classification],"&gt;0")</f>
        <v>0</v>
      </c>
      <c r="MZ58" s="6">
        <f>COUNTIFS(Table106109[Country],Tabela1[[#This Row],[Country]],Table106109[Mass Start Classification],"&gt;0")</f>
        <v>0</v>
      </c>
      <c r="NA58" s="6">
        <f>COUNTIFS(Table106[Country],Tabela1[[#This Row],[Country]],Table106[Pursuit Classification],"&gt;0")</f>
        <v>0</v>
      </c>
      <c r="NB58" s="6">
        <f>COUNTIFS(Table106109[Country],Tabela1[[#This Row],[Country]],Table106109[Pursuit Classification],"&gt;0")</f>
        <v>0</v>
      </c>
      <c r="NC58" s="6">
        <f>COUNTIFS(Table106[Country],Tabela1[[#This Row],[Country]],Table106[Sprint Classification],"&gt;0")</f>
        <v>0</v>
      </c>
      <c r="ND58" s="6">
        <f>COUNTIFS(Table106109[Country],Tabela1[[#This Row],[Country]],Table106109[Sprint Classification],"&gt;0")</f>
        <v>0</v>
      </c>
      <c r="NE58" s="6">
        <f>COUNTIFS(Table109[Country],Tabela1[[#This Row],[Country]],Table109[Men''s Relay Classification],"&gt;0")</f>
        <v>0</v>
      </c>
      <c r="NF58" s="6">
        <f>COUNTIFS(Table109[Country],Tabela1[[#This Row],[Country]],Table109[Women''s Relay Classification],"&gt;0")</f>
        <v>0</v>
      </c>
      <c r="NG58" s="6">
        <f>COUNTIFS(Table109[Country],Tabela1[[#This Row],[Country]],Table109[Mixed Relay Classification],"&gt;0")</f>
        <v>0</v>
      </c>
      <c r="NH58" s="6">
        <f>COUNTIFS(Table110[Country],Tabela1[[#This Row],[Country]],Table110[Monobob Classification],"&gt;0")</f>
        <v>0</v>
      </c>
      <c r="NI58" s="6">
        <f>COUNTIFS(Table111[Country],Tabela1[[#This Row],[Country]],Table111[Men''s Classification],"&gt;0")</f>
        <v>0</v>
      </c>
      <c r="NJ58" s="6">
        <f>COUNTIFS(Table111[Country],Tabela1[[#This Row],[Country]],Table111[Women''s Classification],"&gt;0")</f>
        <v>0</v>
      </c>
      <c r="NK58" s="6">
        <f>COUNTIFS(Table112[Country],Tabela1[[#This Row],[Country]],Table112[Men''s Four Classification],"&gt;0")</f>
        <v>0</v>
      </c>
      <c r="NL58" s="6">
        <f>COUNTIFS(Table113[Country],Tabela1[[#This Row],[Country]],Table113[Classical Classification],"&gt;0")</f>
        <v>0</v>
      </c>
      <c r="NM58" s="6">
        <f>COUNTIFS(Table113116[Country],Tabela1[[#This Row],[Country]],Table113116[Classical Classification],"&gt;0")</f>
        <v>0</v>
      </c>
      <c r="NN58" s="6">
        <f>COUNTIFS(Table113[Country],Tabela1[[#This Row],[Country]],Table113[Freestyle Classification],"&gt;0")</f>
        <v>0</v>
      </c>
      <c r="NO58" s="6">
        <f>COUNTIFS(Table113116[Country],Tabela1[[#This Row],[Country]],Table113116[Freestyle Classification],"&gt;0")</f>
        <v>0</v>
      </c>
      <c r="NP58" s="6">
        <f>COUNTIFS(Table117[Country],Tabela1[[#This Row],[Country]],Table117[Men''s Relay Classification],"&gt;0")</f>
        <v>0</v>
      </c>
      <c r="NQ58" s="6">
        <f>COUNTIFS(Table117[Country],Tabela1[[#This Row],[Country]],Table117[Women''s Relay Classification],"&gt;0")</f>
        <v>0</v>
      </c>
      <c r="NR58" s="6">
        <f>COUNTIFS(Table113[Country],Tabela1[[#This Row],[Country]],Table113[Skiathlon Classification],"&gt;0")</f>
        <v>0</v>
      </c>
      <c r="NS58" s="6">
        <f>COUNTIFS(Table113116[Country],Tabela1[[#This Row],[Country]],Table113116[Skiathlon Classification],"&gt;0")</f>
        <v>0</v>
      </c>
      <c r="NT58" s="6">
        <f>COUNTIFS(Table113[Country],Tabela1[[#This Row],[Country]],Table113[Sprint Classification],"&gt;0")</f>
        <v>0</v>
      </c>
      <c r="NU58" s="6">
        <f>COUNTIFS(Table113116[Country],Tabela1[[#This Row],[Country]],Table113116[Sprint Classification],"&gt;0")</f>
        <v>0</v>
      </c>
      <c r="NV58" s="6">
        <f>COUNTIFS(Table116[Country],Tabela1[[#This Row],[Country]],Table116[Men''s Team Sprint Classification],"&gt;0")</f>
        <v>0</v>
      </c>
      <c r="NW58" s="6">
        <f>COUNTIFS(Table116[Country],Tabela1[[#This Row],[Country]],Table116[Women''s Team Sprint Classification],"&gt;0")</f>
        <v>0</v>
      </c>
      <c r="NX58" s="6">
        <f>COUNTIFS(Table119[Country],Tabela1[[#This Row],[Country]],Table119[Men''s Classification],"&gt;0")</f>
        <v>0</v>
      </c>
      <c r="NY58" s="6">
        <f>COUNTIFS(Table119[Country],Tabela1[[#This Row],[Country]],Table119[Women''s Classification],"&gt;0")</f>
        <v>0</v>
      </c>
      <c r="NZ58" s="6">
        <f>COUNTIFS(Table118[Country],Tabela1[[#This Row],[Country]],Table118[Mixed Classification],"&gt;0")</f>
        <v>0</v>
      </c>
      <c r="OA58" s="6">
        <f>COUNTIFS(Table120[Country],Tabela1[[#This Row],[Country]],Table120[Classification],"&gt;0")</f>
        <v>0</v>
      </c>
      <c r="OB58" s="6">
        <f>COUNTIFS(Table120123[Country],Tabela1[[#This Row],[Country]],Table120123[Classification],"&gt;0")</f>
        <v>0</v>
      </c>
      <c r="OC58" s="6">
        <f>COUNTIFS(Table123[Country],Tabela1[[#This Row],[Country]],Table123[Ice Dance Classification],"&gt;0")</f>
        <v>0</v>
      </c>
      <c r="OD58" s="6">
        <f>COUNTIFS(Table123[Country],Tabela1[[#This Row],[Country]],Table123[Pair Skating Classification],"&gt;0")</f>
        <v>0</v>
      </c>
      <c r="OE58" s="6">
        <f>COUNTIFS(Table124[Country],Tabela1[[#This Row],[Country]],Table124[Mixed Classification],"&gt;0")</f>
        <v>0</v>
      </c>
      <c r="OF58" s="6">
        <f>COUNTIFS(Table125[Country],Tabela1[[#This Row],[Country]],Table125[Aerials Classification],"&gt;0")</f>
        <v>0</v>
      </c>
      <c r="OG58" s="6">
        <f>COUNTIFS(Table125128[Country],Tabela1[[#This Row],[Country]],Table125128[Aerials Classification],"&gt;0")</f>
        <v>0</v>
      </c>
      <c r="OH58" s="6">
        <f>COUNTIFS(Table128[Country],Tabela1[[#This Row],[Country]],Table128[Mixed Aerials Classification],"&gt;0")</f>
        <v>0</v>
      </c>
      <c r="OI58" s="6">
        <f>COUNTIFS(Table125[Country],Tabela1[[#This Row],[Country]],Table125[Big Air Classification],"&gt;0")</f>
        <v>0</v>
      </c>
      <c r="OJ58" s="6">
        <f>COUNTIFS(Table125128[Country],Tabela1[[#This Row],[Country]],Table125128[Big Air Classification],"&gt;0")</f>
        <v>0</v>
      </c>
      <c r="OK58" s="6">
        <f>COUNTIFS(Table125[Country],Tabela1[[#This Row],[Country]],Table125[Dual Moguls Classification],"&gt;0")</f>
        <v>0</v>
      </c>
      <c r="OL58" s="6">
        <f>COUNTIFS(Table125128[Country],Tabela1[[#This Row],[Country]],Table125128[Dual Moguls Classification],"&gt;0")</f>
        <v>0</v>
      </c>
      <c r="OM58" s="6">
        <f>COUNTIFS(Table125[Country],Tabela1[[#This Row],[Country]],Table125[Halfpipe Classification],"&gt;0")</f>
        <v>0</v>
      </c>
      <c r="ON58" s="6">
        <f>COUNTIFS(Table125128[Country],Tabela1[[#This Row],[Country]],Table125128[Halfpipe Classification],"&gt;0")</f>
        <v>0</v>
      </c>
      <c r="OO58" s="6">
        <f>COUNTIFS(Table125[Country],Tabela1[[#This Row],[Country]],Table125[Moguls Classification],"&gt;0")</f>
        <v>0</v>
      </c>
      <c r="OP58" s="6">
        <f>COUNTIFS(Table125128[Country],Tabela1[[#This Row],[Country]],Table125128[Moguls Classification],"&gt;0")</f>
        <v>0</v>
      </c>
      <c r="OQ58" s="6">
        <f>COUNTIFS(Table125[Country],Tabela1[[#This Row],[Country]],Table125[Ski Cross Classification],"&gt;0")</f>
        <v>0</v>
      </c>
      <c r="OR58" s="6">
        <f>COUNTIFS(Table125128[Country],Tabela1[[#This Row],[Country]],Table125128[Ski Cross Classification],"&gt;0")</f>
        <v>0</v>
      </c>
      <c r="OS58" s="6">
        <f>COUNTIFS(Table125[Country],Tabela1[[#This Row],[Country]],Table125[Slopestyle Classification],"&gt;0")</f>
        <v>0</v>
      </c>
      <c r="OT58" s="6">
        <f>COUNTIFS(Table125128[Country],Tabela1[[#This Row],[Country]],Table125128[Slopestyle Classification],"&gt;0")</f>
        <v>0</v>
      </c>
      <c r="OU58" s="6">
        <f>COUNTIFS(Table119131[Country],Tabela1[[#This Row],[Country]],Table119131[Men''s Classification],"&gt;0")</f>
        <v>0</v>
      </c>
      <c r="OV58" s="6">
        <f>COUNTIFS(Table119131[Country],Tabela1[[#This Row],[Country]],Table119131[Women''s Classification],"&gt;0")</f>
        <v>0</v>
      </c>
      <c r="OW58" s="6">
        <f>COUNTIFS(Table131[Country],Tabela1[[#This Row],[Country]],Table131[Classification],"&gt;0")</f>
        <v>0</v>
      </c>
      <c r="OX58" s="6">
        <f>COUNTIFS(Table131134[Country],Tabela1[[#This Row],[Country]],Table131134[Classification],"&gt;0")</f>
        <v>0</v>
      </c>
      <c r="OY58" s="6">
        <f>COUNTIFS(Table134[Country],Tabela1[[#This Row],[Country]],Table134[Men''s Classification],"&gt;0")</f>
        <v>0</v>
      </c>
      <c r="OZ58" s="6">
        <f>COUNTIFS(Table134[Country],Tabela1[[#This Row],[Country]],Table134[Women''s Classification],"&gt;0")</f>
        <v>0</v>
      </c>
      <c r="PA58" s="6">
        <f>COUNTIFS(Table135[Country],Tabela1[[#This Row],[Country]],Table135[Mixed Relay Classification],"&gt;0")</f>
        <v>0</v>
      </c>
      <c r="PB58" s="6">
        <f>COUNTIFS(Table136[Country],Tabela1[[#This Row],[Country]],Table136[Individual Classification],"&gt;0")</f>
        <v>0</v>
      </c>
      <c r="PC58" s="6">
        <f>COUNTIFS(Table136[Country],Tabela1[[#This Row],[Country]],Table136[Sprint Classification],"&gt;0")</f>
        <v>0</v>
      </c>
      <c r="PD58" s="6">
        <f>COUNTIFS(Table137[Country],Tabela1[[#This Row],[Country]],Table137[Men''s Team Sprint Large Hill Classification],"&gt;0")</f>
        <v>0</v>
      </c>
      <c r="PE58" s="6">
        <f>COUNTIFS(Table138[Country],Tabela1[[#This Row],[Country]],Table138[500m Classification],"&gt;0")</f>
        <v>0</v>
      </c>
      <c r="PF58" s="6">
        <f>COUNTIFS(Table138141[Country],Tabela1[[#This Row],[Country]],Table138141[500m Classification],"&gt;0")</f>
        <v>0</v>
      </c>
      <c r="PG58" s="6">
        <f>COUNTIFS(Table138[Country],Tabela1[[#This Row],[Country]],Table138[1000m Classification],"&gt;0")</f>
        <v>0</v>
      </c>
      <c r="PH58" s="6">
        <f>COUNTIFS(Table138141[Country],Tabela1[[#This Row],[Country]],Table138141[1000m Classification],"&gt;0")</f>
        <v>0</v>
      </c>
      <c r="PI58" s="6">
        <f>COUNTIFS(Table138[Country],Tabela1[[#This Row],[Country]],Table138[1500m Classification],"&gt;0")</f>
        <v>0</v>
      </c>
      <c r="PJ58" s="6">
        <f>COUNTIFS(Table138141[Country],Tabela1[[#This Row],[Country]],Table138141[1500m Classification],"&gt;0")</f>
        <v>0</v>
      </c>
      <c r="PK58" s="6">
        <f>COUNTIFS(Table141[Country],Tabela1[[#This Row],[Country]],Table141[Men''s 5000m Relay Classification],"&gt;0")</f>
        <v>0</v>
      </c>
      <c r="PL58" s="6">
        <f>COUNTIFS(Table141[Country],Tabela1[[#This Row],[Country]],Table141[Women''s 3000m Relay Classification],"&gt;0")</f>
        <v>0</v>
      </c>
      <c r="PM58" s="6">
        <f>COUNTIFS(Table141[Country],Tabela1[[#This Row],[Country]],Table141[Mixed 2000m Relay Classification],"&gt;0")</f>
        <v>0</v>
      </c>
      <c r="PN58" s="6">
        <f>COUNTIFS(Table142[Country],Tabela1[[#This Row],[Country]],Table142[Classification],"&gt;0")</f>
        <v>0</v>
      </c>
      <c r="PO58" s="6">
        <f>COUNTIFS(Table142145[Country],Tabela1[[#This Row],[Country]],Table142145[Classification],"&gt;0")</f>
        <v>0</v>
      </c>
      <c r="PP58" s="6">
        <f>COUNTIFS(Tabela15[Country],Tabela1[[#This Row],[Country]],Tabela15[Mixed Team Classification],"&gt;0")</f>
        <v>0</v>
      </c>
      <c r="PQ58" s="6">
        <f>COUNTIFS(Table145[Country],Tabela1[[#This Row],[Country]],Table145[Large Hill Classification],"&gt;0")</f>
        <v>0</v>
      </c>
      <c r="PR58" s="6">
        <f>COUNTIFS(Table145[Country],Tabela1[[#This Row],[Country]],Table145[Normal Hill Classification],"&gt;0")</f>
        <v>0</v>
      </c>
      <c r="PS58" s="6">
        <f>COUNTIFS(Table145148[Country],Tabela1[[#This Row],[Country]],Table145148[Large Hill Classification],"&gt;0")</f>
        <v>0</v>
      </c>
      <c r="PT58" s="6">
        <f>COUNTIFS(Table145148[Country],Tabela1[[#This Row],[Country]],Table145148[Normal Hill Classification],"&gt;0")</f>
        <v>0</v>
      </c>
      <c r="PU58" s="6">
        <f>COUNTIFS(Table148[Country],Tabela1[[#This Row],[Country]],Table148[Men''s Super Team Classification],"&gt;0")</f>
        <v>0</v>
      </c>
      <c r="PV58" s="6">
        <f>COUNTIFS(Tabela114[Country],Tabela1[[#This Row],[Country]],Tabela114[Mixed Normal Hill Classification],"&gt;0")</f>
        <v>0</v>
      </c>
      <c r="PW58" s="6">
        <f>COUNTIFS(Tabela50[Country],Tabela1[[#This Row],[Country]],Tabela50[Sprint Classification],"&gt;0")</f>
        <v>0</v>
      </c>
      <c r="PX58" s="6">
        <f>COUNTIFS(Tabela50101[Country],Tabela1[[#This Row],[Country]],Tabela50101[Sprint Classification],"&gt;0")</f>
        <v>0</v>
      </c>
      <c r="PY58" s="6">
        <f>COUNTIFS(Tabela103[Country],Tabela1[[#This Row],[Country]],Tabela103[Mixed Relay Classification],"&gt;0")</f>
        <v>0</v>
      </c>
      <c r="PZ58" s="6">
        <f>COUNTIFS(Table149[Country],Tabela1[[#This Row],[Country]],Table149[Big Air Classification],"&gt;0")</f>
        <v>0</v>
      </c>
      <c r="QA58" s="6">
        <f>COUNTIFS(Table149152[Country],Tabela1[[#This Row],[Country]],Table149152[Big Air Classification],"&gt;0")</f>
        <v>0</v>
      </c>
      <c r="QB58" s="6">
        <f>COUNTIFS(Table149[Country],Tabela1[[#This Row],[Country]],Table149[Halfpipe Classification],"&gt;0")</f>
        <v>0</v>
      </c>
      <c r="QC58" s="6">
        <f>COUNTIFS(Table149152[Country],Tabela1[[#This Row],[Country]],Table149152[Halfpipe Classification],"&gt;0")</f>
        <v>0</v>
      </c>
      <c r="QD58" s="6">
        <f>COUNTIFS(Table149[Country],Tabela1[[#This Row],[Country]],Table149[Parallel Giant Slalom Classification],"&gt;0")</f>
        <v>0</v>
      </c>
      <c r="QE58" s="6">
        <f>COUNTIFS(Table149152[Country],Tabela1[[#This Row],[Country]],Table149152[Parallel Giant Slalom Classification],"&gt;0")</f>
        <v>0</v>
      </c>
      <c r="QF58" s="6">
        <f>COUNTIFS(Table149[Country],Tabela1[[#This Row],[Country]],Table149[Slopestyle Classification],"&gt;0")</f>
        <v>0</v>
      </c>
      <c r="QG58" s="6">
        <f>COUNTIFS(Table149152[Country],Tabela1[[#This Row],[Country]],Table149152[Slopestyle Classification],"&gt;0")</f>
        <v>0</v>
      </c>
      <c r="QH58" s="6">
        <f>COUNTIFS(Table149[Country],Tabela1[[#This Row],[Country]],Table149[Snowboard Cross Classification],"&gt;0")</f>
        <v>0</v>
      </c>
      <c r="QI58" s="6">
        <f>COUNTIFS(Table149152[Country],Tabela1[[#This Row],[Country]],Table149152[Snowboard Cross Classification],"&gt;0")</f>
        <v>0</v>
      </c>
      <c r="QJ58" s="6">
        <f>COUNTIFS(Table153[Country],Tabela1[[#This Row],[Country]],Table153[Mixed Team Snowboard Cross Classification],"&gt;0")</f>
        <v>0</v>
      </c>
      <c r="QK58" s="6">
        <f>COUNTIFS(Table154[Country],Tabela1[[#This Row],[Country]],Table154[500m Classification],"&gt;0")</f>
        <v>0</v>
      </c>
      <c r="QL58" s="6">
        <f>COUNTIFS(Table154157[Country],Tabela1[[#This Row],[Country]],Table154157[500m Classification],"&gt;0")</f>
        <v>0</v>
      </c>
      <c r="QM58" s="6">
        <f>COUNTIFS(Table154[Country],Tabela1[[#This Row],[Country]],Table154[1000m Classification],"&gt;0")</f>
        <v>0</v>
      </c>
      <c r="QN58" s="6">
        <f>COUNTIFS(Table154157[Country],Tabela1[[#This Row],[Country]],Table154157[1000m Classification],"&gt;0")</f>
        <v>0</v>
      </c>
      <c r="QO58" s="6">
        <f>COUNTIFS(Table154[Country],Tabela1[[#This Row],[Country]],Table154[1500m Classification],"&gt;0")</f>
        <v>0</v>
      </c>
      <c r="QP58" s="6">
        <f>COUNTIFS(Table154157[Country],Tabela1[[#This Row],[Country]],Table154157[1500m Classification],"&gt;0")</f>
        <v>0</v>
      </c>
      <c r="QQ58" s="6">
        <f>COUNTIFS(Table154157[Country],Tabela1[[#This Row],[Country]],Table154157[3000m Classification],"&gt;0")</f>
        <v>0</v>
      </c>
      <c r="QR58" s="6">
        <f>COUNTIFS(Table154[Country],Tabela1[[#This Row],[Country]],Table154[5000m Classification],"&gt;0")</f>
        <v>0</v>
      </c>
      <c r="QS58" s="6">
        <f>COUNTIFS(Table154157[Country],Tabela1[[#This Row],[Country]],Table154157[5000m Classification],"&gt;0")</f>
        <v>0</v>
      </c>
      <c r="QT58" s="6">
        <f>COUNTIFS(Table154[Country],Tabela1[[#This Row],[Country]],Table154[10000m Classification],"&gt;0")</f>
        <v>0</v>
      </c>
      <c r="QU58" s="6">
        <f>COUNTIFS(Table154[Country],Tabela1[[#This Row],[Country]],Table154[Mass Start Classification],"&gt;0")</f>
        <v>0</v>
      </c>
      <c r="QV58" s="6">
        <f>COUNTIFS(Table154157[Country],Tabela1[[#This Row],[Country]],Table154157[Mass Start Classification],"&gt;0")</f>
        <v>0</v>
      </c>
      <c r="QW58" s="6">
        <f>COUNTIFS(Table157[Country],Tabela1[[#This Row],[Country]],Table157[Men''s Pursuit Classification],"&gt;0")</f>
        <v>0</v>
      </c>
      <c r="QX58" s="6">
        <f>COUNTIFS(Table157[Country],Tabela1[[#This Row],[Country]],Table157[Women''s Pursuit Classification],"&gt;0")</f>
        <v>0</v>
      </c>
      <c r="QY58" s="4" t="s">
        <v>375</v>
      </c>
    </row>
    <row r="59" spans="1:467" x14ac:dyDescent="0.3">
      <c r="A59" s="6">
        <v>58</v>
      </c>
      <c r="B59" s="6" t="s">
        <v>700</v>
      </c>
      <c r="C59" t="e" vm="58">
        <f>IF(ISBLANK(Tabela1[[#This Row],[Image Link]]), "", _xlfn.IMAGE(Tabela1[[#This Row],[Image Link]],1,1))</f>
        <v>#VALUE!</v>
      </c>
      <c r="D59" s="6">
        <f>SUM(Tabela1[[#This Row],[Archery - Men''s Individual Recurve]:[Speed Skating - Women''s Team Pursuit]])</f>
        <v>11</v>
      </c>
      <c r="E59" s="6">
        <f>COUNTIF(Tabela1[[#This Row],[Archery - Men''s Individual Recurve]:[Speed Skating - Women''s Team Pursuit]],"&gt;0")</f>
        <v>11</v>
      </c>
      <c r="F59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59" s="6">
        <f>SUM(Tabela1[[#This Row],[Archery - Men''s Individual Recurve]:[Wrestling - Women''s Freestyle 76kg]])</f>
        <v>9</v>
      </c>
      <c r="H59" s="6">
        <f>SUM(Tabela1[[#This Row],[Alpine Skiing - Men''s Downhill]:[Speed Skating - Women''s Team Pursuit]])</f>
        <v>2</v>
      </c>
      <c r="I59" s="6">
        <f>Tabela1[[#This Row],[Summer Gold Medals]]+Tabela1[[#This Row],[Winter Gold Medals]]</f>
        <v>16</v>
      </c>
      <c r="J59" s="6">
        <f>Tabela1[[#This Row],[Summer Silver Medals]]+Tabela1[[#This Row],[Winter Silver Medals]]</f>
        <v>13</v>
      </c>
      <c r="K59" s="6">
        <f>Tabela1[[#This Row],[Summer Bronze Medals]]+Tabela1[[#This Row],[Winter Bronze Medals]]</f>
        <v>13</v>
      </c>
      <c r="L59" s="6">
        <f>SUM(Tabela1[[#This Row],[Total Gold Medals]:[Total Bronze Medals]])</f>
        <v>42</v>
      </c>
      <c r="M59" s="6">
        <v>13</v>
      </c>
      <c r="N59" s="6">
        <v>9</v>
      </c>
      <c r="O59" s="6">
        <v>10</v>
      </c>
      <c r="P59" s="6">
        <f>SUM(Tabela1[[#This Row],[Summer Gold Medals]:[Summer Bronze Medals]])</f>
        <v>32</v>
      </c>
      <c r="Q59" s="6">
        <v>3</v>
      </c>
      <c r="R59" s="6">
        <v>4</v>
      </c>
      <c r="S59" s="6">
        <v>3</v>
      </c>
      <c r="T59" s="6">
        <f>Tabela1[[#This Row],[Winter Gold Medals]]+Tabela1[[#This Row],[Winter Silver Medals]]+Tabela1[[#This Row],[Winter Bronze Medals]]</f>
        <v>10</v>
      </c>
      <c r="U59" s="7">
        <f>Tabela1[[#This Row],[Total Medals]]/Tabela1[[#This Row],[Total Quotas]]</f>
        <v>3.8181818181818183</v>
      </c>
      <c r="V59" s="6">
        <f>COUNTIFS(Table3[Country],Tabela1[[#This Row],[Country]],Table3[Recurve Classification],"&gt;0")</f>
        <v>1</v>
      </c>
      <c r="W59" s="6">
        <f>COUNTIFS(Table33[Country],Tabela1[[#This Row],[Country]],Table33[Recurve Classification],"&gt;0")</f>
        <v>0</v>
      </c>
      <c r="X59" s="6">
        <f>COUNTIFS(Table35[Country],Tabela1[[#This Row],[Country]],Table35[Men''s Team Recurve Classification],"&gt;0")</f>
        <v>1</v>
      </c>
      <c r="Y59" s="6">
        <f>COUNTIFS(Table35[Country],Tabela1[[#This Row],[Country]],Table35[Women''s Team Recurve Classification],"&gt;0")</f>
        <v>0</v>
      </c>
      <c r="Z59" s="6">
        <f>COUNTIFS(Tabela88[Country],Tabela1[[#This Row],[Country]],Tabela88[Mixed Team Recurve Classification],"&gt;0")</f>
        <v>1</v>
      </c>
      <c r="AA59" s="6">
        <f>COUNTIFS(Table36[Country],Tabela1[[#This Row],[Country]],Table36[Classification],"&gt;0")</f>
        <v>0</v>
      </c>
      <c r="AB59" s="6">
        <f>COUNTIFS(Table37[Country],Tabela1[[#This Row],[Country]],Table37[Classification],"&gt;0")</f>
        <v>0</v>
      </c>
      <c r="AC59" s="6">
        <f>COUNTIFS(Table4[Country],Tabela1[[#This Row],[Country]],Table4[100m Classification],"&gt;0")</f>
        <v>0</v>
      </c>
      <c r="AD59" s="6">
        <f>COUNTIFS(Table5[Country],Tabela1[[#This Row],[Country]],Table5[100m Classification],"&gt;0")</f>
        <v>0</v>
      </c>
      <c r="AE59" s="6">
        <f>COUNTIFS(Table4[Country],Tabela1[[#This Row],[Country]],Table4[200m Classification],"&gt;0")</f>
        <v>0</v>
      </c>
      <c r="AF59" s="6">
        <f>COUNTIFS(Table5[Country],Tabela1[[#This Row],[Country]],Table5[200m Classification],"&gt;0")</f>
        <v>0</v>
      </c>
      <c r="AG59" s="6">
        <f>COUNTIFS(Table4[Country],Tabela1[[#This Row],[Country]],Table4[400m Classification],"&gt;0")</f>
        <v>0</v>
      </c>
      <c r="AH59" s="6">
        <f>COUNTIFS(Table5[Country],Tabela1[[#This Row],[Country]],Table5[400m Classification],"&gt;0")</f>
        <v>0</v>
      </c>
      <c r="AI59" s="6">
        <f>COUNTIFS(Table4[Country],Tabela1[[#This Row],[Country]],Table4[800m Classification],"&gt;0")</f>
        <v>0</v>
      </c>
      <c r="AJ59" s="6">
        <f>COUNTIFS(Table5[Country],Tabela1[[#This Row],[Country]],Table5[800m Classification],"&gt;0")</f>
        <v>0</v>
      </c>
      <c r="AK59" s="6">
        <f>COUNTIFS(Table4[Country],Tabela1[[#This Row],[Country]],Table4[1500m Classification],"&gt;0")</f>
        <v>0</v>
      </c>
      <c r="AL59" s="6">
        <f>COUNTIFS(Table5[Country],Tabela1[[#This Row],[Country]],Table5[1500m Classification],"&gt;0")</f>
        <v>0</v>
      </c>
      <c r="AM59" s="6">
        <f>COUNTIFS(Table4[Country],Tabela1[[#This Row],[Country]],Table4[5000m Classification],"&gt;0")</f>
        <v>0</v>
      </c>
      <c r="AN59" s="6">
        <f>COUNTIFS(Table5[Country],Tabela1[[#This Row],[Country]],Table5[5000m Classification],"&gt;0")</f>
        <v>0</v>
      </c>
      <c r="AO59" s="6">
        <f>COUNTIFS(Table4[Country],Tabela1[[#This Row],[Country]],Table4[10000m Classification],"&gt;0")</f>
        <v>0</v>
      </c>
      <c r="AP59" s="6">
        <f>COUNTIFS(Table5[Country],Tabela1[[#This Row],[Country]],Table5[10000m Classification],"&gt;0")</f>
        <v>0</v>
      </c>
      <c r="AQ59" s="6">
        <f>COUNTIFS(Table4[Country],Tabela1[[#This Row],[Country]],Table4[110m Hurdles Classification],"&gt;0")</f>
        <v>0</v>
      </c>
      <c r="AR59" s="6">
        <f>COUNTIFS(Table5[Country],Tabela1[[#This Row],[Country]],Table5[100m Hurdles Classification],"&gt;0")</f>
        <v>0</v>
      </c>
      <c r="AS59" s="6">
        <f>COUNTIFS(Table4[Country],Tabela1[[#This Row],[Country]],Table4[400m Hurdles Classification],"&gt;0")</f>
        <v>0</v>
      </c>
      <c r="AT59" s="6">
        <f>COUNTIFS(Table5[Country],Tabela1[[#This Row],[Country]],Table5[400m Hurdles Classification],"&gt;0")</f>
        <v>0</v>
      </c>
      <c r="AU59" s="6">
        <f>COUNTIFS(Table4[Country],Tabela1[[#This Row],[Country]],Table4[3000m Steeplechase Classification],"&gt;0")</f>
        <v>0</v>
      </c>
      <c r="AV59" s="6">
        <f>COUNTIFS(Table5[Country],Tabela1[[#This Row],[Country]],Table5[3000m Steeplechase Classification],"&gt;0")</f>
        <v>0</v>
      </c>
      <c r="AW59" s="6">
        <f>COUNTIFS(Table27[Country],Tabela1[[#This Row],[Country]],Table27[Men''s 4x100m Relay Classification],"&gt;0")</f>
        <v>0</v>
      </c>
      <c r="AX59" s="6">
        <f>COUNTIFS(Table27[Country],Tabela1[[#This Row],[Country]],Table27[Women''s 4x100m Relay Classification],"&gt;0")</f>
        <v>0</v>
      </c>
      <c r="AY59" s="6">
        <f>COUNTIFS(Table27[Country],Tabela1[[#This Row],[Country]],Table27[Men''s 4x400m Relay Classification],"&gt;0")</f>
        <v>0</v>
      </c>
      <c r="AZ59" s="6">
        <f>COUNTIFS(Table27[Country],Tabela1[[#This Row],[Country]],Table27[Women''s 4x400m Relay Classification],"&gt;0")</f>
        <v>0</v>
      </c>
      <c r="BA59" s="6">
        <f>COUNTIFS(Table27[Country],Tabela1[[#This Row],[Country]],Table27[Mixed 4x400m Relay Classification],"&gt;0")</f>
        <v>0</v>
      </c>
      <c r="BB59" s="6">
        <f>COUNTIFS(Table4[Country],Tabela1[[#This Row],[Country]],Table4[Marathon Classification],"&gt;0")</f>
        <v>0</v>
      </c>
      <c r="BC59" s="6">
        <f>COUNTIFS(Table5[Country],Tabela1[[#This Row],[Country]],Table5[Marathon Classification],"&gt;0")</f>
        <v>0</v>
      </c>
      <c r="BD59" s="6">
        <f>COUNTIFS(Table4[Country],Tabela1[[#This Row],[Country]],Table4[20km Race Walk Classification],"&gt;0")</f>
        <v>0</v>
      </c>
      <c r="BE59" s="6">
        <f>COUNTIFS(Table5[Country],Tabela1[[#This Row],[Country]],Table5[20km Race Walk Classification],"&gt;0")</f>
        <v>0</v>
      </c>
      <c r="BF59" s="6">
        <f>COUNTIFS(Tabela96[Country],Tabela1[[#This Row],[Country]],Tabela96[Mixed Marathon Race Walk Relay Classification],"&gt;0")</f>
        <v>0</v>
      </c>
      <c r="BG59" s="6">
        <f>COUNTIFS(Table4[Country],Tabela1[[#This Row],[Country]],Table4[Discus Throw Classification],"&gt;0")</f>
        <v>0</v>
      </c>
      <c r="BH59" s="6">
        <f>COUNTIFS(Table5[Country],Tabela1[[#This Row],[Country]],Table5[Discus Throw Classification],"&gt;0")</f>
        <v>0</v>
      </c>
      <c r="BI59" s="6">
        <f>COUNTIFS(Table4[Country],Tabela1[[#This Row],[Country]],Table4[Hammer Throw Classification],"&gt;0")</f>
        <v>0</v>
      </c>
      <c r="BJ59" s="6">
        <f>COUNTIFS(Table5[Country],Tabela1[[#This Row],[Country]],Table5[Hammer Throw Classification],"&gt;0")</f>
        <v>0</v>
      </c>
      <c r="BK59" s="6">
        <f>COUNTIFS(Table4[Country],Tabela1[[#This Row],[Country]],Table4[High Jump Classification],"&gt;0")</f>
        <v>0</v>
      </c>
      <c r="BL59" s="6">
        <f>COUNTIFS(Table5[Country],Tabela1[[#This Row],[Country]],Table5[High Jump Classification],"&gt;0")</f>
        <v>0</v>
      </c>
      <c r="BM59" s="6">
        <f>COUNTIFS(Table4[Country],Tabela1[[#This Row],[Country]],Table4[Javelin Throw Classification],"&gt;0")</f>
        <v>0</v>
      </c>
      <c r="BN59" s="6">
        <f>COUNTIFS(Table5[Country],Tabela1[[#This Row],[Country]],Table5[Javelin Throw Classification],"&gt;0")</f>
        <v>0</v>
      </c>
      <c r="BO59" s="6">
        <f>COUNTIFS(Table4[Country],Tabela1[[#This Row],[Country]],Table4[Long Jump Classification],"&gt;0")</f>
        <v>0</v>
      </c>
      <c r="BP59" s="6">
        <f>COUNTIFS(Table5[Country],Tabela1[[#This Row],[Country]],Table5[Long Jump Classification],"&gt;0")</f>
        <v>0</v>
      </c>
      <c r="BQ59" s="6">
        <f>COUNTIFS(Table4[Country],Tabela1[[#This Row],[Country]],Table4[Pole Vault Classification],"&gt;0")</f>
        <v>0</v>
      </c>
      <c r="BR59" s="6">
        <f>COUNTIFS(Table5[Country],Tabela1[[#This Row],[Country]],Table5[Pole Vault Classification],"&gt;0")</f>
        <v>0</v>
      </c>
      <c r="BS59" s="6">
        <f>COUNTIFS(Table4[Country],Tabela1[[#This Row],[Country]],Table4[Shot Put Classification],"&gt;0")</f>
        <v>0</v>
      </c>
      <c r="BT59" s="6">
        <f>COUNTIFS(Table5[Country],Tabela1[[#This Row],[Country]],Table5[Shot Put Classification],"&gt;0")</f>
        <v>0</v>
      </c>
      <c r="BU59" s="6">
        <f>COUNTIFS(Table4[Country],Tabela1[[#This Row],[Country]],Table4[Triple Jump Classification],"&gt;0")</f>
        <v>0</v>
      </c>
      <c r="BV59" s="6">
        <f>COUNTIFS(Table5[Country],Tabela1[[#This Row],[Country]],Table5[Triple Jump Classification],"&gt;0")</f>
        <v>0</v>
      </c>
      <c r="BW59" s="6">
        <f>COUNTIFS(Table4[Country],Tabela1[[#This Row],[Country]],Table4[Decathlon Classification],"&gt;0")</f>
        <v>0</v>
      </c>
      <c r="BX59" s="6">
        <f>COUNTIFS(Table5[Country],Tabela1[[#This Row],[Country]],Table5[Heptathlon Classification],"&gt;0")</f>
        <v>0</v>
      </c>
      <c r="BY59" s="6">
        <f>COUNTIFS(Table61[Country],Tabela1[[#This Row],[Country]],Table61[Classification],"&gt;0")</f>
        <v>0</v>
      </c>
      <c r="BZ59" s="6">
        <f>COUNTIFS(Table38[Country],Tabela1[[#This Row],[Country]],Table38[Classification],"&gt;0")</f>
        <v>1</v>
      </c>
      <c r="CA59" s="6">
        <f>COUNTIFS(Table39[Country],Tabela1[[#This Row],[Country]],Table39[Men''s Classification],"&gt;0")</f>
        <v>0</v>
      </c>
      <c r="CB59" s="6">
        <f>COUNTIFS(Table39[Country],Tabela1[[#This Row],[Country]],Table39[Women''s Classification],"&gt;0")</f>
        <v>0</v>
      </c>
      <c r="CC59" s="6">
        <f>COUNTIFS(Table39[Country],Tabela1[[#This Row],[Country]],Table39[Mixed Classification],"&gt;0")</f>
        <v>0</v>
      </c>
      <c r="CD59" s="6">
        <f>COUNTIFS(Table89[Country],Tabela1[[#This Row],[Country]],Table89[Men''s Classification],"&gt;0")</f>
        <v>0</v>
      </c>
      <c r="CE59" s="6">
        <f>COUNTIFS(Table89[Country],Tabela1[[#This Row],[Country]],Table89[Women''s Classification],"&gt;0")</f>
        <v>0</v>
      </c>
      <c r="CF59" s="6">
        <f>COUNTIFS(Table90[Country],Tabela1[[#This Row],[Country]],Table90[Men''s Classification],"&gt;0")</f>
        <v>0</v>
      </c>
      <c r="CG59" s="6">
        <f>COUNTIFS(Table90[Country],Tabela1[[#This Row],[Country]],Table90[Women''s Classification],"&gt;0")</f>
        <v>0</v>
      </c>
      <c r="CH59" s="6">
        <f>COUNTIFS(Table60[Country],Tabela1[[#This Row],[Country]],Table60[Men''s Classification],"&gt;0")</f>
        <v>0</v>
      </c>
      <c r="CI59" s="6">
        <f>COUNTIFS(Table60[Country],Tabela1[[#This Row],[Country]],Table60[Women''s Classification],"&gt;0")</f>
        <v>0</v>
      </c>
      <c r="CJ59" s="6">
        <f>COUNTIFS(Table6[Country],Tabela1[[#This Row],[Country]],Table6[51kg Classification],"&gt;0")</f>
        <v>0</v>
      </c>
      <c r="CK59" s="6">
        <f>COUNTIFS(Table6[Country],Tabela1[[#This Row],[Country]],Table6[57kg Classification],"&gt;0")</f>
        <v>0</v>
      </c>
      <c r="CL59" s="6">
        <f>COUNTIFS(Table6[Country],Tabela1[[#This Row],[Country]],Table6[63.5kg Classification],"&gt;0")</f>
        <v>0</v>
      </c>
      <c r="CM59" s="6">
        <f>COUNTIFS(Table6[Country],Tabela1[[#This Row],[Country]],Table6[71kg Classification],"&gt;0")</f>
        <v>0</v>
      </c>
      <c r="CN59" s="6">
        <f>COUNTIFS(Table6[Country],Tabela1[[#This Row],[Country]],Table6[80kg Classification],"&gt;0")</f>
        <v>0</v>
      </c>
      <c r="CO59" s="6">
        <f>COUNTIFS(Table6[Country],Tabela1[[#This Row],[Country]],Table6[92kg Classification],"&gt;0")</f>
        <v>0</v>
      </c>
      <c r="CP59" s="6">
        <f>COUNTIFS(Table6[Country],Tabela1[[#This Row],[Country]],Table6[Plus 92kg Classification],"&gt;0")</f>
        <v>0</v>
      </c>
      <c r="CQ59" s="6">
        <f>COUNTIFS(Table7[Country],Tabela1[[#This Row],[Country]],Table7[50kg Classification],"&gt;0")</f>
        <v>0</v>
      </c>
      <c r="CR59" s="6">
        <f>COUNTIFS(Table7[Country],Tabela1[[#This Row],[Country]],Table7[54kg Classification],"&gt;0")</f>
        <v>1</v>
      </c>
      <c r="CS59" s="6">
        <f>COUNTIFS(Table7[Country],Tabela1[[#This Row],[Country]],Table7[57kg Classification],"&gt;0")</f>
        <v>0</v>
      </c>
      <c r="CT59" s="6">
        <f>COUNTIFS(Table7[Country],Tabela1[[#This Row],[Country]],Table7[60kg Classification],"&gt;0")</f>
        <v>0</v>
      </c>
      <c r="CU59" s="6">
        <f>COUNTIFS(Table7[Country],Tabela1[[#This Row],[Country]],Table7[66kg Classification],"&gt;0")</f>
        <v>0</v>
      </c>
      <c r="CV59" s="6">
        <f>COUNTIFS(Table7[Country],Tabela1[[#This Row],[Country]],Table7[75kg Classification],"&gt;0")</f>
        <v>0</v>
      </c>
      <c r="CW59" s="6">
        <f>COUNTIFS(Tabela94[Country],Tabela1[[#This Row],[Country]],Tabela94[Classification],"&gt;0")</f>
        <v>0</v>
      </c>
      <c r="CX59" s="6">
        <f>COUNTIFS(Tabela9499[Country],Tabela1[[#This Row],[Country]],Tabela9499[Classification],"&gt;0")</f>
        <v>0</v>
      </c>
      <c r="CY59" s="6">
        <f>COUNTIFS(Tabela107[Country],Tabela1[[#This Row],[Country]],Tabela107[C1 Slalom Classification],"&gt;0")</f>
        <v>0</v>
      </c>
      <c r="CZ59" s="6">
        <f>COUNTIFS(Tabela107122[Country],Tabela1[[#This Row],[Country]],Tabela107122[C1 Slalom Classification],"&gt;0")</f>
        <v>0</v>
      </c>
      <c r="DA59" s="6">
        <f>COUNTIFS(Tabela107[Country],Tabela1[[#This Row],[Country]],Tabela107[K1 Slalom Classification],"&gt;0")</f>
        <v>0</v>
      </c>
      <c r="DB59" s="6">
        <f>COUNTIFS(Tabela107122[Country],Tabela1[[#This Row],[Country]],Tabela107122[K1 Slalom Classification],"&gt;0")</f>
        <v>0</v>
      </c>
      <c r="DC59" s="6">
        <f>COUNTIFS(Tabela107[Country],Tabela1[[#This Row],[Country]],Tabela107[Kayak Cross Slalom Classification],"&gt;0")</f>
        <v>0</v>
      </c>
      <c r="DD59" s="6">
        <f>COUNTIFS(Tabela107122[Country],Tabela1[[#This Row],[Country]],Tabela107122[Kayak Cross Slalom Classification],"&gt;0")</f>
        <v>0</v>
      </c>
      <c r="DE59" s="6">
        <f>COUNTIFS(Table8[Country],Tabela1[[#This Row],[Country]],Table8[C1 200m Classification],"&gt;0")</f>
        <v>0</v>
      </c>
      <c r="DF59" s="6">
        <f>COUNTIFS(Table40[Country],Tabela1[[#This Row],[Country]],Table40[C1 1000m Classification],"&gt;0")</f>
        <v>0</v>
      </c>
      <c r="DG59" s="6">
        <f>COUNTIFS(Table68[Country],Tabela1[[#This Row],[Country]],Table68[Men''s C2 500m Classification],"&gt;0")</f>
        <v>0</v>
      </c>
      <c r="DH59" s="6">
        <f>COUNTIFS(Table68[Country],Tabela1[[#This Row],[Country]],Table68[Women''s C2 500m Classification],"&gt;0")</f>
        <v>0</v>
      </c>
      <c r="DI59" s="6">
        <f>COUNTIFS(Table8[Country],Tabela1[[#This Row],[Country]],Table8[K1 500m Classification],"&gt;0")</f>
        <v>0</v>
      </c>
      <c r="DJ59" s="6">
        <f>COUNTIFS(Table40[Country],Tabela1[[#This Row],[Country]],Table40[K1 1000m Classification],"&gt;0")</f>
        <v>0</v>
      </c>
      <c r="DK59" s="6">
        <f>COUNTIFS(Table68[Country],Tabela1[[#This Row],[Country]],Table68[Men''s K2 500m Classification],"&gt;0")</f>
        <v>0</v>
      </c>
      <c r="DL59" s="6">
        <f>COUNTIFS(Table68[Country],Tabela1[[#This Row],[Country]],Table68[Women''s K2 500m Classification],"&gt;0")</f>
        <v>0</v>
      </c>
      <c r="DM59" s="6">
        <f>COUNTIFS(Table83[Country],Tabela1[[#This Row],[Country]],Table83[Men''s K4 500m Classification],"&gt;0")</f>
        <v>0</v>
      </c>
      <c r="DN59" s="6">
        <f>COUNTIFS(Table83[Country],Tabela1[[#This Row],[Country]],Table83[Women''s K4 500m Classification],"&gt;0")</f>
        <v>0</v>
      </c>
      <c r="DO59" s="6">
        <f>COUNTIFS(Tabela126[Country],Tabela1[[#This Row],[Country]],Tabela126[Classification],"&gt;0")</f>
        <v>0</v>
      </c>
      <c r="DP59" s="6">
        <f>COUNTIFS(Tabela126130[Country],Tabela1[[#This Row],[Country]],Tabela126130[Classification],"&gt;0")</f>
        <v>0</v>
      </c>
      <c r="DQ59" s="6">
        <f>COUNTIFS(Table70[Country],Tabela1[[#This Row],[Country]],Table70[Classification],"&gt;0")</f>
        <v>0</v>
      </c>
      <c r="DR59" s="6">
        <f>COUNTIFS(Table80[Country],Tabela1[[#This Row],[Country]],Table80[Classification],"&gt;0")</f>
        <v>0</v>
      </c>
      <c r="DS59" s="6">
        <f>COUNTIFS(Table66[Country],Tabela1[[#This Row],[Country]],Table66[Classification],"&gt;0")</f>
        <v>0</v>
      </c>
      <c r="DT59" s="6">
        <f>COUNTIFS(Table67[Country],Tabela1[[#This Row],[Country]],Table67[Classification],"&gt;0")</f>
        <v>0</v>
      </c>
      <c r="DU59" s="6">
        <f>COUNTIFS(Table69[Country],Tabela1[[#This Row],[Country]],Table69[Keirin Classification],"&gt;0")</f>
        <v>0</v>
      </c>
      <c r="DV59" s="6">
        <f>COUNTIFS(Table41[Country],Tabela1[[#This Row],[Country]],Table41[Keirin Classification],"&gt;0")</f>
        <v>0</v>
      </c>
      <c r="DW59" s="6">
        <f>COUNTIFS(Table84[Country],Tabela1[[#This Row],[Country]],Table84[Men''s Madison Classification],"&gt;0")</f>
        <v>0</v>
      </c>
      <c r="DX59" s="6">
        <f>COUNTIFS(Table84[Country],Tabela1[[#This Row],[Country]],Table84[Women''s Madison Classification],"&gt;0")</f>
        <v>0</v>
      </c>
      <c r="DY59" s="6">
        <f>COUNTIFS(Table69[Country],Tabela1[[#This Row],[Country]],Table69[Omnium Classification],"&gt;0")</f>
        <v>0</v>
      </c>
      <c r="DZ59" s="6">
        <f>COUNTIFS(Table41[Country],Tabela1[[#This Row],[Country]],Table41[Omnium Classification],"&gt;0")</f>
        <v>0</v>
      </c>
      <c r="EA59" s="6">
        <f>COUNTIFS(Table9[Country],Tabela1[[#This Row],[Country]],Table9[Road Race Classification],"&gt;0")</f>
        <v>0</v>
      </c>
      <c r="EB59" s="6">
        <f>COUNTIFS(Table14[Country],Tabela1[[#This Row],[Country]],Table14[Road Race Classification],"&gt;0")</f>
        <v>0</v>
      </c>
      <c r="EC59" s="6">
        <f>COUNTIFS(Table69[Country],Tabela1[[#This Row],[Country]],Table69[Sprint Classification],"&gt;0")</f>
        <v>0</v>
      </c>
      <c r="ED59" s="6">
        <f>COUNTIFS(Table41[Country],Tabela1[[#This Row],[Country]],Table41[Sprint Classification],"&gt;0")</f>
        <v>0</v>
      </c>
      <c r="EE59" s="6">
        <f>COUNTIFS(Table85[Country],Tabela1[[#This Row],[Country]],Table85[Men''s Sprint Classification],"&gt;0")</f>
        <v>0</v>
      </c>
      <c r="EF59" s="6">
        <f>COUNTIFS(Table85[Country],Tabela1[[#This Row],[Country]],Table85[Women''s Sprint Classification],"&gt;0")</f>
        <v>0</v>
      </c>
      <c r="EG59" s="6">
        <f>COUNTIFS(Table85[Country],Tabela1[[#This Row],[Country]],Table85[Men''s Pursuit Classification],"&gt;0")</f>
        <v>0</v>
      </c>
      <c r="EH59" s="6">
        <f>COUNTIFS(Table85[Country],Tabela1[[#This Row],[Country]],Table85[Women''s Pursuit Classification],"&gt;0")</f>
        <v>0</v>
      </c>
      <c r="EI59" s="6">
        <f>COUNTIFS(Table9[Country],Tabela1[[#This Row],[Country]],Table9[Time-Trial Classification],"&gt;0")</f>
        <v>0</v>
      </c>
      <c r="EJ59" s="6">
        <f>COUNTIFS(Table14[Country],Tabela1[[#This Row],[Country]],Table14[Time-Trial Classification],"&gt;0")</f>
        <v>0</v>
      </c>
      <c r="EK59" s="6">
        <f>COUNTIFS(Table42[Country],Tabela1[[#This Row],[Country]],Table42[Springboard Classification],"&gt;0")</f>
        <v>0</v>
      </c>
      <c r="EL59" s="6">
        <f>COUNTIFS(Table43[Country],Tabela1[[#This Row],[Country]],Table43[Springboard Classification],"&gt;0")</f>
        <v>0</v>
      </c>
      <c r="EM59" s="6">
        <f>COUNTIFS(Table42[Country],Tabela1[[#This Row],[Country]],Table42[Platform Classification],"&gt;0")</f>
        <v>0</v>
      </c>
      <c r="EN59" s="6">
        <f>COUNTIFS(Table43[Country],Tabela1[[#This Row],[Country]],Table43[Platform Classification],"&gt;0")</f>
        <v>0</v>
      </c>
      <c r="EO59" s="6">
        <f>COUNTIFS(Table86[Country],Tabela1[[#This Row],[Country]],Table86[Men''s Synchronized Springboard Classification],"&gt;0")</f>
        <v>0</v>
      </c>
      <c r="EP59" s="6">
        <f>COUNTIFS(Table86[Country],Tabela1[[#This Row],[Country]],Table86[Women''s Synchronized Springboard Classification],"&gt;0")</f>
        <v>0</v>
      </c>
      <c r="EQ59" s="6">
        <f>COUNTIFS(Table86[Country],Tabela1[[#This Row],[Country]],Table86[Men''s Synchronized Platform Classification],"&gt;0")</f>
        <v>0</v>
      </c>
      <c r="ER59" s="6">
        <f>COUNTIFS(Table86[Country],Tabela1[[#This Row],[Country]],Table86[Women''s Synchronized Platform Classification],"&gt;0")</f>
        <v>0</v>
      </c>
      <c r="ES59" s="6">
        <f>COUNTIFS(Table44[Country],Tabela1[[#This Row],[Country]],Table44[Dressage Classification],"&gt;0")</f>
        <v>0</v>
      </c>
      <c r="ET59" s="6">
        <f>COUNTIFS(Table45[Country],Tabela1[[#This Row],[Country]],Table45[Dressage Classification],"&gt;0")</f>
        <v>0</v>
      </c>
      <c r="EU59" s="6">
        <f>COUNTIFS(Table44[Country],Tabela1[[#This Row],[Country]],Table44[Eventing Classification],"&gt;0")</f>
        <v>0</v>
      </c>
      <c r="EV59" s="6">
        <f>COUNTIFS(Table45[Country],Tabela1[[#This Row],[Country]],Table45[Eventing Classification],"&gt;0")</f>
        <v>0</v>
      </c>
      <c r="EW59" s="6">
        <f>COUNTIFS(Table44[Country],Tabela1[[#This Row],[Country]],Table44[Jumping Classification],"&gt;0")</f>
        <v>0</v>
      </c>
      <c r="EX59" s="6">
        <f>COUNTIFS(Table45[Country],Tabela1[[#This Row],[Country]],Table45[Jumping Classification],"&gt;0")</f>
        <v>0</v>
      </c>
      <c r="EY59" s="6">
        <f>COUNTIFS(Table10[Country],Tabela1[[#This Row],[Country]],Table10[Épée Classification],"&gt;0")</f>
        <v>0</v>
      </c>
      <c r="EZ59" s="6">
        <f>COUNTIFS(Table11[Country],Tabela1[[#This Row],[Country]],Table11[Épée Classification],"&gt;0")</f>
        <v>0</v>
      </c>
      <c r="FA59" s="6">
        <f>COUNTIFS(Table46[Country],Tabela1[[#This Row],[Country]],Table46[Men''s Épée Classification],"&gt;0")</f>
        <v>0</v>
      </c>
      <c r="FB59" s="6">
        <f>COUNTIFS(Table46[Country],Tabela1[[#This Row],[Country]],Table46[Women''s Épée Classification],"&gt;0")</f>
        <v>0</v>
      </c>
      <c r="FC59" s="6">
        <f>COUNTIFS(Table10[Country],Tabela1[[#This Row],[Country]],Table10[Foil Classification],"&gt;0")</f>
        <v>0</v>
      </c>
      <c r="FD59" s="6">
        <f>COUNTIFS(Table11[Country],Tabela1[[#This Row],[Country]],Table11[Foil Classification],"&gt;0")</f>
        <v>0</v>
      </c>
      <c r="FE59" s="6">
        <f>COUNTIFS(Table46[Country],Tabela1[[#This Row],[Country]],Table46[Men''s Foil Classification],"&gt;0")</f>
        <v>0</v>
      </c>
      <c r="FF59" s="6">
        <f>COUNTIFS(Table46[Country],Tabela1[[#This Row],[Country]],Table46[Women''s Foil Classification],"&gt;0")</f>
        <v>0</v>
      </c>
      <c r="FG59" s="6">
        <f>COUNTIFS(Table10[Country],Tabela1[[#This Row],[Country]],Table10[Sabre Classification],"&gt;0")</f>
        <v>0</v>
      </c>
      <c r="FH59" s="6">
        <f>COUNTIFS(Table11[Country],Tabela1[[#This Row],[Country]],Table11[Sabre Classification],"&gt;0")</f>
        <v>0</v>
      </c>
      <c r="FI59" s="6">
        <f>COUNTIFS(Table46[Country],Tabela1[[#This Row],[Country]],Table46[Men''s Sabre Classification],"&gt;0")</f>
        <v>0</v>
      </c>
      <c r="FJ59" s="6">
        <f>COUNTIFS(Table46[Country],Tabela1[[#This Row],[Country]],Table46[Women''s Sabre Classification],"&gt;0")</f>
        <v>0</v>
      </c>
      <c r="FK59" s="6">
        <f>COUNTIFS(Table91[Country],Tabela1[[#This Row],[Country]],Table91[Men''s Classification],"&gt;0")</f>
        <v>0</v>
      </c>
      <c r="FL59" s="6">
        <f>COUNTIFS(Table91[Country],Tabela1[[#This Row],[Country]],Table91[Women''s Classification],"&gt;0")</f>
        <v>0</v>
      </c>
      <c r="FM59" s="6">
        <f>COUNTIFS(Table9194[Country],Tabela1[[#This Row],[Country]],Table9194[Men''s Classification],"&gt;0")</f>
        <v>0</v>
      </c>
      <c r="FN59" s="6">
        <f>COUNTIFS(Table9194[Country],Tabela1[[#This Row],[Country]],Table9194[Women''s Classification],"&gt;0")</f>
        <v>0</v>
      </c>
      <c r="FO59" s="6">
        <f>COUNTIFS(Table71[Country],Tabela1[[#This Row],[Country]],Table71[Classification],"&gt;0")</f>
        <v>0</v>
      </c>
      <c r="FP59" s="6">
        <f>COUNTIFS(Table62[Country],Tabela1[[#This Row],[Country]],Table62[Classification],"&gt;0")</f>
        <v>0</v>
      </c>
      <c r="FQ59" s="6">
        <f>COUNTIFS(Table47[Country],Tabela1[[#This Row],[Country]],Table47[All-Around Classification],"&gt;0")</f>
        <v>0</v>
      </c>
      <c r="FR59" s="6">
        <f>COUNTIFS(Table48[Country],Tabela1[[#This Row],[Country]],Table48[All-Around Classification],"&gt;0")</f>
        <v>0</v>
      </c>
      <c r="FS59" s="6">
        <f>COUNTIFS(Table81[Country],Tabela1[[#This Row],[Country]],Table81[Men''s All-Around Classification],"&gt;0")</f>
        <v>0</v>
      </c>
      <c r="FT59" s="6">
        <f>COUNTIFS(Table81[Country],Tabela1[[#This Row],[Country]],Table81[Women''s All-Around Classification],"&gt;0")</f>
        <v>0</v>
      </c>
      <c r="FU59" s="6">
        <f>COUNTIFS(Table48[Country],Tabela1[[#This Row],[Country]],Table48[Balance Beam Classification],"&gt;0")</f>
        <v>0</v>
      </c>
      <c r="FV59" s="6">
        <f>COUNTIFS(Table47[Country],Tabela1[[#This Row],[Country]],Table47[Floor Exercise Classification],"&gt;0")</f>
        <v>0</v>
      </c>
      <c r="FW59" s="6">
        <f>COUNTIFS(Table48[Country],Tabela1[[#This Row],[Country]],Table48[Floor Exercise Classification],"&gt;0")</f>
        <v>0</v>
      </c>
      <c r="FX59" s="6">
        <f>COUNTIFS(Table47[Country],Tabela1[[#This Row],[Country]],Table47[Horizontal Bar Classification],"&gt;0")</f>
        <v>0</v>
      </c>
      <c r="FY59" s="6">
        <f>COUNTIFS(Table47[Country],Tabela1[[#This Row],[Country]],Table47[Parallel Bars Classification],"&gt;0")</f>
        <v>0</v>
      </c>
      <c r="FZ59" s="6">
        <f>COUNTIFS(Table47[Country],Tabela1[[#This Row],[Country]],Table47[Pommel Horse Classification],"&gt;0")</f>
        <v>0</v>
      </c>
      <c r="GA59" s="6">
        <f>COUNTIFS(Table47[Country],Tabela1[[#This Row],[Country]],Table47[Rings Classification],"&gt;0")</f>
        <v>0</v>
      </c>
      <c r="GB59" s="6">
        <f>COUNTIFS(Tabela132[Country],Tabela1[[#This Row],[Country]],Tabela132[Classification],"&gt;0")</f>
        <v>0</v>
      </c>
      <c r="GC59" s="6">
        <f>COUNTIFS(Tabela139[Country],Tabela1[[#This Row],[Country]],Tabela139[Classification],"&gt;0")</f>
        <v>0</v>
      </c>
      <c r="GD59" s="6">
        <f>COUNTIFS(Table48[Country],Tabela1[[#This Row],[Country]],Table48[Uneven Bars Classification],"&gt;0")</f>
        <v>0</v>
      </c>
      <c r="GE59" s="6">
        <f>COUNTIFS(Table47[Country],Tabela1[[#This Row],[Country]],Table47[Vault Classification],"&gt;0")</f>
        <v>0</v>
      </c>
      <c r="GF59" s="6">
        <f>COUNTIFS(Table48[Country],Tabela1[[#This Row],[Country]],Table48[Vault Classification],"&gt;0")</f>
        <v>0</v>
      </c>
      <c r="GG59" s="6">
        <f>COUNTIFS(Table919496[Country],Tabela1[[#This Row],[Country]],Table919496[Men''s Classification],"&gt;0")</f>
        <v>0</v>
      </c>
      <c r="GH59" s="6">
        <f>COUNTIFS(Table919496[Country],Tabela1[[#This Row],[Country]],Table919496[Women''s Classification],"&gt;0")</f>
        <v>0</v>
      </c>
      <c r="GI59" s="6">
        <f>COUNTIFS(Table12[Country],Tabela1[[#This Row],[Country]],Table12[60kg Classification],"&gt;0")</f>
        <v>0</v>
      </c>
      <c r="GJ59" s="6">
        <f>COUNTIFS(Table12[Country],Tabela1[[#This Row],[Country]],Table12[66kg Classification],"&gt;0")</f>
        <v>0</v>
      </c>
      <c r="GK59" s="6">
        <f>COUNTIFS(Table12[Country],Tabela1[[#This Row],[Country]],Table12[73kg Classification],"&gt;0")</f>
        <v>0</v>
      </c>
      <c r="GL59" s="6">
        <f>COUNTIFS(Table12[Country],Tabela1[[#This Row],[Country]],Table12[81kg Classification],"&gt;0")</f>
        <v>0</v>
      </c>
      <c r="GM59" s="6">
        <f>COUNTIFS(Table12[Country],Tabela1[[#This Row],[Country]],Table12[90kg Classification],"&gt;0")</f>
        <v>0</v>
      </c>
      <c r="GN59" s="6">
        <f>COUNTIFS(Table12[Country],Tabela1[[#This Row],[Country]],Table12[100kg Classification],"&gt;0")</f>
        <v>0</v>
      </c>
      <c r="GO59" s="6">
        <f>COUNTIFS(Table12[Country],Tabela1[[#This Row],[Country]],Table12[Plus 100kg Classification],"&gt;0")</f>
        <v>0</v>
      </c>
      <c r="GP59" s="6">
        <f>COUNTIFS(Table13[Country],Tabela1[[#This Row],[Country]],Table13[48kg Classification],"&gt;0")</f>
        <v>0</v>
      </c>
      <c r="GQ59" s="6">
        <f>COUNTIFS(Table13[Country],Tabela1[[#This Row],[Country]],Table13[52kg Classification],"&gt;0")</f>
        <v>0</v>
      </c>
      <c r="GR59" s="6">
        <f>COUNTIFS(Table13[Country],Tabela1[[#This Row],[Country]],Table13[57kg Classification],"&gt;0")</f>
        <v>0</v>
      </c>
      <c r="GS59" s="6">
        <f>COUNTIFS(Table13[Country],Tabela1[[#This Row],[Country]],Table13[63kg Classification],"&gt;0")</f>
        <v>0</v>
      </c>
      <c r="GT59" s="6">
        <f>COUNTIFS(Table13[Country],Tabela1[[#This Row],[Country]],Table13[70kg Classification],"&gt;0")</f>
        <v>0</v>
      </c>
      <c r="GU59" s="6">
        <f>COUNTIFS(Table13[Country],Tabela1[[#This Row],[Country]],Table13[78kg Classification],"&gt;0")</f>
        <v>0</v>
      </c>
      <c r="GV59" s="6">
        <f>COUNTIFS(Table13[Country],Tabela1[[#This Row],[Country]],Table13[Plus 78kg Classification],"&gt;0")</f>
        <v>0</v>
      </c>
      <c r="GW59" s="6">
        <f>COUNTIFS(Table82[Country],Tabela1[[#This Row],[Country]],Table82[Mixed Classification],"&gt;0")</f>
        <v>0</v>
      </c>
      <c r="GX59" s="6">
        <f>COUNTIFS(Table51[Country],Tabela1[[#This Row],[Country]],Table51[Classification],"&gt;0")</f>
        <v>0</v>
      </c>
      <c r="GY59" s="6">
        <f>COUNTIFS(Table52[Country],Tabela1[[#This Row],[Country]],Table52[Classification],"&gt;0")</f>
        <v>0</v>
      </c>
      <c r="GZ59" s="6">
        <f>COUNTIFS(Table32[Country],Tabela1[[#This Row],[Country]],Table32[All-Around Classification],"&gt;0")</f>
        <v>0</v>
      </c>
      <c r="HA59" s="6">
        <f>COUNTIFS(Table49[Country],Tabela1[[#This Row],[Country]],Table49[All-Around Classification],"&gt;0")</f>
        <v>0</v>
      </c>
      <c r="HB59" s="6">
        <f>COUNTIFS(Table26[Country],Tabela1[[#This Row],[Country]],Table26[Single Sculls Classification],"&gt;0")</f>
        <v>0</v>
      </c>
      <c r="HC59" s="6">
        <f>COUNTIFS(Table63[Country],Tabela1[[#This Row],[Country]],Table63[Single Sculls Classification],"&gt;0")</f>
        <v>0</v>
      </c>
      <c r="HD59" s="6">
        <f>COUNTIFS(Table16[Country],Tabela1[[#This Row],[Country]],Table16[Men''s Double Sculls Classification],"&gt;0")</f>
        <v>0</v>
      </c>
      <c r="HE59" s="6">
        <f>COUNTIFS(Table16[Country],Tabela1[[#This Row],[Country]],Table16[Women''s Double Sculls Classification],"&gt;0")</f>
        <v>0</v>
      </c>
      <c r="HF59" s="6">
        <f>COUNTIFS(Table72[Country],Tabela1[[#This Row],[Country]],Table72[Men''s Quadruple Sculls Classification],"&gt;0")</f>
        <v>0</v>
      </c>
      <c r="HG59" s="6">
        <f>COUNTIFS(Table72[Country],Tabela1[[#This Row],[Country]],Table72[Women''s Quadruple Sculls Classification],"&gt;0")</f>
        <v>0</v>
      </c>
      <c r="HH59" s="6">
        <f>COUNTIFS(Table16[Country],Tabela1[[#This Row],[Country]],Table16[Men''s Coxless Pairs Classification],"&gt;0")</f>
        <v>0</v>
      </c>
      <c r="HI59" s="6">
        <f>COUNTIFS(Table16[Country],Tabela1[[#This Row],[Country]],Table16[Women''s Coxless Pairs Classification],"&gt;0")</f>
        <v>0</v>
      </c>
      <c r="HJ59" s="6">
        <f>COUNTIFS(Table72[Country],Tabela1[[#This Row],[Country]],Table72[Men''s Coxless Fours Classification],"&gt;0")</f>
        <v>0</v>
      </c>
      <c r="HK59" s="6">
        <f>COUNTIFS(Table72[Country],Tabela1[[#This Row],[Country]],Table72[Women''s Coxless Fours Classification],"&gt;0")</f>
        <v>0</v>
      </c>
      <c r="HL59" s="6">
        <f>COUNTIFS(Table72[Country],Tabela1[[#This Row],[Country]],Table72[Men''s Eights Classification],"&gt;0")</f>
        <v>0</v>
      </c>
      <c r="HM59" s="6">
        <f>COUNTIFS(Table72[Country],Tabela1[[#This Row],[Country]],Table72[Women''s Eights Classification],"&gt;0")</f>
        <v>0</v>
      </c>
      <c r="HN59" s="6">
        <f>COUNTIFS(Table16[Country],Tabela1[[#This Row],[Country]],Table16[Men''s Lwt. Double Sculls Classification],"&gt;0")</f>
        <v>0</v>
      </c>
      <c r="HO59" s="6">
        <f>COUNTIFS(Table16[Country],Tabela1[[#This Row],[Country]],Table16[Women''s Lwt. Double Sculls Classification],"&gt;0")</f>
        <v>0</v>
      </c>
      <c r="HP59" s="6">
        <f>COUNTIFS(Table91949698[Country],Tabela1[[#This Row],[Country]],Table91949698[Men''s Classification],"&gt;0")</f>
        <v>0</v>
      </c>
      <c r="HQ59" s="6">
        <f>COUNTIFS(Table91949698[Country],Tabela1[[#This Row],[Country]],Table91949698[Women''s Classification],"&gt;0")</f>
        <v>0</v>
      </c>
      <c r="HR59" s="6">
        <f>COUNTIFS(Table25[Country],Tabela1[[#This Row],[Country]],Table25[Mixed 470 Classification],"&gt;0")</f>
        <v>0</v>
      </c>
      <c r="HS59" s="6">
        <f>COUNTIFS(Table25[Country],Tabela1[[#This Row],[Country]],Table25[Men''s 49er Classification],"&gt;0")</f>
        <v>0</v>
      </c>
      <c r="HT59" s="6">
        <f>COUNTIFS(Table25[Country],Tabela1[[#This Row],[Country]],Table25[Women''s 49er FX Classification],"&gt;0")</f>
        <v>0</v>
      </c>
      <c r="HU59" s="6">
        <f>COUNTIFS(Table17[Country],Tabela1[[#This Row],[Country]],Table17[Formula Kite Classification],"&gt;0")</f>
        <v>0</v>
      </c>
      <c r="HV59" s="6">
        <f>COUNTIFS(Table18[Country],Tabela1[[#This Row],[Country]],Table18[Formula Kite Classification],"&gt;0")</f>
        <v>0</v>
      </c>
      <c r="HW59" s="6">
        <f>COUNTIFS(Table17[Country],Tabela1[[#This Row],[Country]],Table17[ILCA 7 Classification],"&gt;0")</f>
        <v>0</v>
      </c>
      <c r="HX59" s="6">
        <f>COUNTIFS(Table18[Country],Tabela1[[#This Row],[Country]],Table18[ILCA 6 Classification],"&gt;0")</f>
        <v>0</v>
      </c>
      <c r="HY59" s="6">
        <f>COUNTIFS(Table17[Country],Tabela1[[#This Row],[Country]],Table17[IQFoil Classification],"&gt;0")</f>
        <v>0</v>
      </c>
      <c r="HZ59" s="6">
        <f>COUNTIFS(Table18[Country],Tabela1[[#This Row],[Country]],Table18[IQFoil Classification],"&gt;0")</f>
        <v>0</v>
      </c>
      <c r="IA59" s="6">
        <f>COUNTIFS(Table25[Country],Tabela1[[#This Row],[Country]],Table25[Mixed Nacra 17 Classification],"&gt;0")</f>
        <v>0</v>
      </c>
      <c r="IB59" s="6">
        <f>COUNTIFS(Table53[Country],Tabela1[[#This Row],[Country]],Table53[10m Air Pistol Classification],"&gt;0")</f>
        <v>0</v>
      </c>
      <c r="IC59" s="6">
        <f>COUNTIFS(Table19[Country],Tabela1[[#This Row],[Country]],Table19[10m Air Pistol Classification],"&gt;0")</f>
        <v>0</v>
      </c>
      <c r="ID59" s="6">
        <f>COUNTIFS(Table54[Country],Tabela1[[#This Row],[Country]],Table54[Mixed 10m Air Pistol Team Classification],"&gt;0")</f>
        <v>0</v>
      </c>
      <c r="IE59" s="6">
        <f>COUNTIFS(Table53[Country],Tabela1[[#This Row],[Country]],Table53[10m Air Rifle Classification],"&gt;0")</f>
        <v>0</v>
      </c>
      <c r="IF59" s="6">
        <f>COUNTIFS(Table19[Country],Tabela1[[#This Row],[Country]],Table19[10m Air Rifle Classification],"&gt;0")</f>
        <v>0</v>
      </c>
      <c r="IG59" s="6">
        <f>COUNTIFS(Table54[Country],Tabela1[[#This Row],[Country]],Table54[Mixed 10m Air Rifle Team Classification],"&gt;0")</f>
        <v>0</v>
      </c>
      <c r="IH59" s="6">
        <f>COUNTIFS(Table53[Country],Tabela1[[#This Row],[Country]],Table53[25m Rapid Fire Pistol Classification],"&gt;0")</f>
        <v>0</v>
      </c>
      <c r="II59" s="6">
        <f>COUNTIFS(Table19[Country],Tabela1[[#This Row],[Country]],Table19[25m Pistol Classification],"&gt;0")</f>
        <v>0</v>
      </c>
      <c r="IJ59" s="6">
        <f>COUNTIFS(Table53[Country],Tabela1[[#This Row],[Country]],Table53[50m Rifle 3 Positions Classification],"&gt;0")</f>
        <v>0</v>
      </c>
      <c r="IK59" s="6">
        <f>COUNTIFS(Table19[Country],Tabela1[[#This Row],[Country]],Table19[50m Rifle 3 Positions Classification],"&gt;0")</f>
        <v>0</v>
      </c>
      <c r="IL59" s="6">
        <f>COUNTIFS(Table53[Country],Tabela1[[#This Row],[Country]],Table53[Skeet Classification],"&gt;0")</f>
        <v>0</v>
      </c>
      <c r="IM59" s="6">
        <f>COUNTIFS(Table19[Country],Tabela1[[#This Row],[Country]],Table19[Skeet Classification],"&gt;0")</f>
        <v>0</v>
      </c>
      <c r="IN59" s="6">
        <f>COUNTIFS(Table54[Country],Tabela1[[#This Row],[Country]],Table54[Mixed Skeet Team Classification],"&gt;0")</f>
        <v>0</v>
      </c>
      <c r="IO59" s="6">
        <f>COUNTIFS(Table53[Country],Tabela1[[#This Row],[Country]],Table53[Trap Classification],"&gt;0")</f>
        <v>0</v>
      </c>
      <c r="IP59" s="6">
        <f>COUNTIFS(Table19[Country],Tabela1[[#This Row],[Country]],Table19[Trap Classification],"&gt;0")</f>
        <v>1</v>
      </c>
      <c r="IQ59" s="6">
        <f>COUNTIFS(Table73[Country],Tabela1[[#This Row],[Country]],Table73[Park Classification],"&gt;0")</f>
        <v>0</v>
      </c>
      <c r="IR59" s="6">
        <f>COUNTIFS(Table74[Country],Tabela1[[#This Row],[Country]],Table74[Park Classification],"&gt;0")</f>
        <v>0</v>
      </c>
      <c r="IS59" s="6">
        <f>COUNTIFS(Table73[Country],Tabela1[[#This Row],[Country]],Table73[Street Classification],"&gt;0")</f>
        <v>0</v>
      </c>
      <c r="IT59" s="6">
        <f>COUNTIFS(Table74[Country],Tabela1[[#This Row],[Country]],Table74[Street Classification],"&gt;0")</f>
        <v>0</v>
      </c>
      <c r="IU59" s="6">
        <f>COUNTIFS(Table75[Country],Tabela1[[#This Row],[Country]],Table75[Boulder and Lead Classification],"&gt;0")</f>
        <v>0</v>
      </c>
      <c r="IV59" s="6">
        <f>COUNTIFS(Table76[Country],Tabela1[[#This Row],[Country]],Table76[Boulder and Lead Classification],"&gt;0")</f>
        <v>0</v>
      </c>
      <c r="IW59" s="6">
        <f>COUNTIFS(Table75[Country],Tabela1[[#This Row],[Country]],Table75[Speed Classification],"&gt;0")</f>
        <v>0</v>
      </c>
      <c r="IX59" s="6">
        <f>COUNTIFS(Table76[Country],Tabela1[[#This Row],[Country]],Table76[Speed Classification],"&gt;0")</f>
        <v>0</v>
      </c>
      <c r="IY59" s="6">
        <f>COUNTIFS(Table64[Country],Tabela1[[#This Row],[Country]],Table64[Shortboard Classification],"&gt;0")</f>
        <v>0</v>
      </c>
      <c r="IZ59" s="6">
        <f>COUNTIFS(Table77[Country],Tabela1[[#This Row],[Country]],Table77[Shortboard Classification],"&gt;0")</f>
        <v>0</v>
      </c>
      <c r="JA59" s="6">
        <f>COUNTIFS(Table20[Country],Tabela1[[#This Row],[Country]],Table20[50m Freestyle Classification],"&gt;0")</f>
        <v>0</v>
      </c>
      <c r="JB59" s="6">
        <f>COUNTIFS(Table21[Country],Tabela1[[#This Row],[Country]],Table21[50m Freestyle Classification],"&gt;0")</f>
        <v>0</v>
      </c>
      <c r="JC59" s="6">
        <f>COUNTIFS(Table20[Country],Tabela1[[#This Row],[Country]],Table20[100m Freestyle Classification],"&gt;0")</f>
        <v>0</v>
      </c>
      <c r="JD59" s="6">
        <f>COUNTIFS(Table21[Country],Tabela1[[#This Row],[Country]],Table21[100m Freestyle Classification],"&gt;0")</f>
        <v>0</v>
      </c>
      <c r="JE59" s="6">
        <f>COUNTIFS(Table20[Country],Tabela1[[#This Row],[Country]],Table20[200m Freestyle Classification],"&gt;0")</f>
        <v>0</v>
      </c>
      <c r="JF59" s="6">
        <f>COUNTIFS(Table21[Country],Tabela1[[#This Row],[Country]],Table21[200m Freestyle Classification],"&gt;0")</f>
        <v>0</v>
      </c>
      <c r="JG59" s="6">
        <f>COUNTIFS(Table20[Country],Tabela1[[#This Row],[Country]],Table20[400m Freestyle Classification],"&gt;0")</f>
        <v>0</v>
      </c>
      <c r="JH59" s="6">
        <f>COUNTIFS(Table21[Country],Tabela1[[#This Row],[Country]],Table21[400m Freestyle Classification],"&gt;0")</f>
        <v>0</v>
      </c>
      <c r="JI59" s="6">
        <f>COUNTIFS(Table20[Country],Tabela1[[#This Row],[Country]],Table20[800m Freestyle Classification],"&gt;0")</f>
        <v>0</v>
      </c>
      <c r="JJ59" s="6">
        <f>COUNTIFS(Table21[Country],Tabela1[[#This Row],[Country]],Table21[800m Freestyle Classification],"&gt;0")</f>
        <v>0</v>
      </c>
      <c r="JK59" s="6">
        <f>COUNTIFS(Table20[Country],Tabela1[[#This Row],[Country]],Table20[1500m Freestyle Classification],"&gt;0")</f>
        <v>0</v>
      </c>
      <c r="JL59" s="6">
        <f>COUNTIFS(Table21[Country],Tabela1[[#This Row],[Country]],Table21[1500m Freestyle Classification],"&gt;0")</f>
        <v>0</v>
      </c>
      <c r="JM59" s="6">
        <f>COUNTIFS(Table20[Country],Tabela1[[#This Row],[Country]],Table20[100m Backstroke Classification],"&gt;0")</f>
        <v>0</v>
      </c>
      <c r="JN59" s="6">
        <f>COUNTIFS(Table21[Country],Tabela1[[#This Row],[Country]],Table21[100m Backstroke Classification],"&gt;0")</f>
        <v>0</v>
      </c>
      <c r="JO59" s="6">
        <f>COUNTIFS(Table20[Country],Tabela1[[#This Row],[Country]],Table20[200m Backstroke Classification],"&gt;0")</f>
        <v>0</v>
      </c>
      <c r="JP59" s="6">
        <f>COUNTIFS(Table21[Country],Tabela1[[#This Row],[Country]],Table21[200m Backstroke Classification],"&gt;0")</f>
        <v>0</v>
      </c>
      <c r="JQ59" s="6">
        <f>COUNTIFS(Table20[Country],Tabela1[[#This Row],[Country]],Table20[100m Breaststroke Classification],"&gt;0")</f>
        <v>0</v>
      </c>
      <c r="JR59" s="6">
        <f>COUNTIFS(Table21[Country],Tabela1[[#This Row],[Country]],Table21[100m Breaststroke Classification],"&gt;0")</f>
        <v>0</v>
      </c>
      <c r="JS59" s="6">
        <f>COUNTIFS(Table20[Country],Tabela1[[#This Row],[Country]],Table20[200m Breaststroke Classification],"&gt;0")</f>
        <v>0</v>
      </c>
      <c r="JT59" s="6">
        <f>COUNTIFS(Table21[Country],Tabela1[[#This Row],[Country]],Table21[200m Breaststroke Classification],"&gt;0")</f>
        <v>0</v>
      </c>
      <c r="JU59" s="6">
        <f>COUNTIFS(Table20[Country],Tabela1[[#This Row],[Country]],Table20[100m Butterfly Classification],"&gt;0")</f>
        <v>0</v>
      </c>
      <c r="JV59" s="6">
        <f>COUNTIFS(Table21[Country],Tabela1[[#This Row],[Country]],Table21[100m Butterfly Classification],"&gt;0")</f>
        <v>0</v>
      </c>
      <c r="JW59" s="6">
        <f>COUNTIFS(Table20[Country],Tabela1[[#This Row],[Country]],Table20[200m Butterfly Classification],"&gt;0")</f>
        <v>0</v>
      </c>
      <c r="JX59" s="6">
        <f>COUNTIFS(Table21[Country],Tabela1[[#This Row],[Country]],Table21[200m Butterfly Classification],"&gt;0")</f>
        <v>0</v>
      </c>
      <c r="JY59" s="6">
        <f>COUNTIFS(Table20[Country],Tabela1[[#This Row],[Country]],Table20[200m Medley Classification],"&gt;0")</f>
        <v>0</v>
      </c>
      <c r="JZ59" s="6">
        <f>COUNTIFS(Table21[Country],Tabela1[[#This Row],[Country]],Table21[200m Medley Classification],"&gt;0")</f>
        <v>0</v>
      </c>
      <c r="KA59" s="6">
        <f>COUNTIFS(Table20[Country],Tabela1[[#This Row],[Country]],Table20[400m Medley Classification],"&gt;0")</f>
        <v>0</v>
      </c>
      <c r="KB59" s="6">
        <f>COUNTIFS(Table21[Country],Tabela1[[#This Row],[Country]],Table21[400m Medley Classification],"&gt;0")</f>
        <v>0</v>
      </c>
      <c r="KC59" s="6">
        <f>COUNTIFS(Table78[Country],Tabela1[[#This Row],[Country]],Table78[Men''s 4x100m Freestyle Relay Classification],"&gt;0")</f>
        <v>0</v>
      </c>
      <c r="KD59" s="6">
        <f>COUNTIFS(Table78[Country],Tabela1[[#This Row],[Country]],Table78[Women''s 4x100m Freestyle Relay Classification],"&gt;0")</f>
        <v>0</v>
      </c>
      <c r="KE59" s="6">
        <f>COUNTIFS(Table78[Country],Tabela1[[#This Row],[Country]],Table78[Men''s 4x200m Freestyle Relay Classification],"&gt;0")</f>
        <v>0</v>
      </c>
      <c r="KF59" s="6">
        <f>COUNTIFS(Table78[Country],Tabela1[[#This Row],[Country]],Table78[Women''s 4x200m Freestyle Relay Classification],"&gt;0")</f>
        <v>0</v>
      </c>
      <c r="KG59" s="6">
        <f>COUNTIFS(Table78[Country],Tabela1[[#This Row],[Country]],Table78[Men''s 4x100m Medley Relay Classification],"&gt;0")</f>
        <v>0</v>
      </c>
      <c r="KH59" s="6">
        <f>COUNTIFS(Table78[Country],Tabela1[[#This Row],[Country]],Table78[Women''s 4x100m Medley Relay Classification],"&gt;0")</f>
        <v>0</v>
      </c>
      <c r="KI59" s="6">
        <f>COUNTIFS(Table78[Country],Tabela1[[#This Row],[Country]],Table78[Mixed 4x100m Medley Relay Classification],"&gt;0")</f>
        <v>0</v>
      </c>
      <c r="KJ59" s="6">
        <f>COUNTIFS(Table20[Country],Tabela1[[#This Row],[Country]],Table20[10km Open Water Classification],"&gt;0")</f>
        <v>0</v>
      </c>
      <c r="KK59" s="6">
        <f>COUNTIFS(Table21[Country],Tabela1[[#This Row],[Country]],Table21[10km Open Water Classification],"&gt;0")</f>
        <v>0</v>
      </c>
      <c r="KL59" s="6">
        <f>COUNTIFS(Table22[Country],Tabela1[[#This Row],[Country]],Table22[Classification],"&gt;0")</f>
        <v>0</v>
      </c>
      <c r="KM59" s="6">
        <f>COUNTIFS(Table30[Country],Tabela1[[#This Row],[Country]],Table30[Classification],"&gt;0")</f>
        <v>1</v>
      </c>
      <c r="KN59" s="6">
        <f>COUNTIFS(Table55[Country],Tabela1[[#This Row],[Country]],Table55[Men''s Classification],"&gt;0")</f>
        <v>0</v>
      </c>
      <c r="KO59" s="6">
        <f>COUNTIFS(Table55[Country],Tabela1[[#This Row],[Country]],Table55[Women''s Classification],"&gt;0")</f>
        <v>1</v>
      </c>
      <c r="KP59" s="6">
        <f>COUNTIFS(Table56[Country],Tabela1[[#This Row],[Country]],Table56[Mixed Classification],"&gt;0")</f>
        <v>0</v>
      </c>
      <c r="KQ59" s="6">
        <f>COUNTIFS(Table29[Country],Tabela1[[#This Row],[Country]],Table29[58kg Classification],"&gt;0")</f>
        <v>0</v>
      </c>
      <c r="KR59" s="6">
        <f>COUNTIFS(Table29[Country],Tabela1[[#This Row],[Country]],Table29[68kg Classification],"&gt;0")</f>
        <v>0</v>
      </c>
      <c r="KS59" s="6">
        <f>COUNTIFS(Table29[Country],Tabela1[[#This Row],[Country]],Table29[80kg Classification],"&gt;0")</f>
        <v>0</v>
      </c>
      <c r="KT59" s="6">
        <f>COUNTIFS(Table29[Country],Tabela1[[#This Row],[Country]],Table29[Plus 80kg Classification],"&gt;0")</f>
        <v>0</v>
      </c>
      <c r="KU59" s="6">
        <f>COUNTIFS(Table34[Country],Tabela1[[#This Row],[Country]],Table34[49kg Classification],"&gt;0")</f>
        <v>0</v>
      </c>
      <c r="KV59" s="6">
        <f>COUNTIFS(Table34[Country],Tabela1[[#This Row],[Country]],Table34[57kg Classification],"&gt;0")</f>
        <v>1</v>
      </c>
      <c r="KW59" s="6">
        <f>COUNTIFS(Table34[Country],Tabela1[[#This Row],[Country]],Table34[67kg Classification],"&gt;0")</f>
        <v>0</v>
      </c>
      <c r="KX59" s="6">
        <f>COUNTIFS(Table34[Country],Tabela1[[#This Row],[Country]],Table34[Plus 67kg Classification],"&gt;0")</f>
        <v>0</v>
      </c>
      <c r="KY59" s="6">
        <f>COUNTIFS(Table57[Country],Tabela1[[#This Row],[Country]],Table57[Classification],"&gt;0")</f>
        <v>0</v>
      </c>
      <c r="KZ59" s="6">
        <f>COUNTIFS(Table58[Country],Tabela1[[#This Row],[Country]],Table58[Classification],"&gt;0")</f>
        <v>0</v>
      </c>
      <c r="LA59" s="6">
        <f>COUNTIFS(Table79[Country],Tabela1[[#This Row],[Country]],Table79[Men''s Classification],"&gt;0")</f>
        <v>0</v>
      </c>
      <c r="LB59" s="6">
        <f>COUNTIFS(Table79[Country],Tabela1[[#This Row],[Country]],Table79[Women''s Classification],"&gt;0")</f>
        <v>0</v>
      </c>
      <c r="LC59" s="6">
        <f>COUNTIFS(Table79[Country],Tabela1[[#This Row],[Country]],Table79[Mixed Classification],"&gt;0")</f>
        <v>0</v>
      </c>
      <c r="LD59" s="6">
        <f>COUNTIFS(Table65[Country],Tabela1[[#This Row],[Country]],Table65[Classification],"&gt;0")</f>
        <v>0</v>
      </c>
      <c r="LE59" s="6">
        <f>COUNTIFS(Table59[Country],Tabela1[[#This Row],[Country]],Table59[Classification],"&gt;0")</f>
        <v>0</v>
      </c>
      <c r="LF59" s="6">
        <f>COUNTIFS(Table87[Country],Tabela1[[#This Row],[Country]],Table87[Mixed Relay Classification],"&gt;0")</f>
        <v>0</v>
      </c>
      <c r="LG59" s="6">
        <f>COUNTIFS(Table91949698100[Country],Tabela1[[#This Row],[Country]],Table91949698100[Men''s Classification],"&gt;0")</f>
        <v>0</v>
      </c>
      <c r="LH59" s="6">
        <f>COUNTIFS(Table91949698100[Country],Tabela1[[#This Row],[Country]],Table91949698100[Women''s Classification],"&gt;0")</f>
        <v>0</v>
      </c>
      <c r="LI59" s="6">
        <f>COUNTIFS(Table91949698100102[Country],Tabela1[[#This Row],[Country]],Table91949698100102[Men''s Classification],"&gt;0")</f>
        <v>0</v>
      </c>
      <c r="LJ59" s="6">
        <f>COUNTIFS(Table91949698100102[Country],Tabela1[[#This Row],[Country]],Table91949698100102[Women''s Classification],"&gt;0")</f>
        <v>0</v>
      </c>
      <c r="LK59" s="6">
        <f>COUNTIFS(Table23[Country],Tabela1[[#This Row],[Country]],Table23[61kg Classification],"&gt;0")</f>
        <v>0</v>
      </c>
      <c r="LL59" s="6">
        <f>COUNTIFS(Table23[Country],Tabela1[[#This Row],[Country]],Table23[73kg Classification],"&gt;0")</f>
        <v>0</v>
      </c>
      <c r="LM59" s="6">
        <f>COUNTIFS(Table23[Country],Tabela1[[#This Row],[Country]],Table23[89kg Classification],"&gt;0")</f>
        <v>0</v>
      </c>
      <c r="LN59" s="6">
        <f>COUNTIFS(Table23[Country],Tabela1[[#This Row],[Country]],Table23[102kg Classification],"&gt;0")</f>
        <v>0</v>
      </c>
      <c r="LO59" s="6">
        <f>COUNTIFS(Table23[Country],Tabela1[[#This Row],[Country]],Table23[Plus 102kg Classification],"&gt;0")</f>
        <v>0</v>
      </c>
      <c r="LP59" s="6">
        <f>COUNTIFS(Table28[Country],Tabela1[[#This Row],[Country]],Table28[49kg Classification],"&gt;0")</f>
        <v>0</v>
      </c>
      <c r="LQ59" s="6">
        <f>COUNTIFS(Table28[Country],Tabela1[[#This Row],[Country]],Table28[59kg Classification],"&gt;0")</f>
        <v>0</v>
      </c>
      <c r="LR59" s="6">
        <f>COUNTIFS(Table28[Country],Tabela1[[#This Row],[Country]],Table28[71kg Classification],"&gt;0")</f>
        <v>0</v>
      </c>
      <c r="LS59" s="6">
        <f>COUNTIFS(Table28[Country],Tabela1[[#This Row],[Country]],Table28[81kg Classification],"&gt;0")</f>
        <v>0</v>
      </c>
      <c r="LT59" s="6">
        <f>COUNTIFS(Table28[Country],Tabela1[[#This Row],[Country]],Table28[Plus 81kg Classification],"&gt;0")</f>
        <v>0</v>
      </c>
      <c r="LU59" s="6">
        <f>COUNTIFS(Table24[Country],Tabela1[[#This Row],[Country]],Table24[Freestyle 57kg Classification],"&gt;0")</f>
        <v>0</v>
      </c>
      <c r="LV59" s="6">
        <f>COUNTIFS(Table24[Country],Tabela1[[#This Row],[Country]],Table24[Freestyle 65kg Classification],"&gt;0")</f>
        <v>0</v>
      </c>
      <c r="LW59" s="6">
        <f>COUNTIFS(Table24[Country],Tabela1[[#This Row],[Country]],Table24[Freestyle 74kg Classification],"&gt;0")</f>
        <v>0</v>
      </c>
      <c r="LX59" s="6">
        <f>COUNTIFS(Table24[Country],Tabela1[[#This Row],[Country]],Table24[Freestyle 86kg Classification],"&gt;0")</f>
        <v>0</v>
      </c>
      <c r="LY59" s="6">
        <f>COUNTIFS(Table24[Country],Tabela1[[#This Row],[Country]],Table24[Freestyle 97kg Classification],"&gt;0")</f>
        <v>0</v>
      </c>
      <c r="LZ59" s="6">
        <f>COUNTIFS(Table24[Country],Tabela1[[#This Row],[Country]],Table24[Freestyle 125kg Classification],"&gt;0")</f>
        <v>0</v>
      </c>
      <c r="MA59" s="6">
        <f>COUNTIFS(Table24[Country],Tabela1[[#This Row],[Country]],Table24[Greco-Roman 60kg Classification],"&gt;0")</f>
        <v>0</v>
      </c>
      <c r="MB59" s="6">
        <f>COUNTIFS(Table24[Country],Tabela1[[#This Row],[Country]],Table24[Greco-Roman 67kg Classification],"&gt;0")</f>
        <v>0</v>
      </c>
      <c r="MC59" s="6">
        <f>COUNTIFS(Table24[Country],Tabela1[[#This Row],[Country]],Table24[Greco-Roman 77kg Classification],"&gt;0")</f>
        <v>0</v>
      </c>
      <c r="MD59" s="6">
        <f>COUNTIFS(Table24[Country],Tabela1[[#This Row],[Country]],Table24[Greco-Roman 87kg Classification],"&gt;0")</f>
        <v>0</v>
      </c>
      <c r="ME59" s="6">
        <f>COUNTIFS(Table24[Country],Tabela1[[#This Row],[Country]],Table24[Greco-Roman 97kg Classification],"&gt;0")</f>
        <v>0</v>
      </c>
      <c r="MF59" s="6">
        <f>COUNTIFS(Table24[Country],Tabela1[[#This Row],[Country]],Table24[Greco-Roman 130kg Classification],"&gt;0")</f>
        <v>0</v>
      </c>
      <c r="MG59" s="6">
        <f>COUNTIFS(Table31[Country],Tabela1[[#This Row],[Country]],Table31[50kg Classification],"&gt;0")</f>
        <v>0</v>
      </c>
      <c r="MH59" s="6">
        <f>COUNTIFS(Table31[Country],Tabela1[[#This Row],[Country]],Table31[53kg Classification],"&gt;0")</f>
        <v>0</v>
      </c>
      <c r="MI59" s="6">
        <f>COUNTIFS(Table31[Country],Tabela1[[#This Row],[Country]],Table31[57kg Classification],"&gt;0")</f>
        <v>0</v>
      </c>
      <c r="MJ59" s="6">
        <f>COUNTIFS(Table31[Country],Tabela1[[#This Row],[Country]],Table31[62kg Classification],"&gt;0")</f>
        <v>0</v>
      </c>
      <c r="MK59" s="6">
        <f>COUNTIFS(Table31[Country],Tabela1[[#This Row],[Country]],Table31[68kg Classification],"&gt;0")</f>
        <v>0</v>
      </c>
      <c r="ML59" s="6">
        <f>COUNTIFS(Table31[Country],Tabela1[[#This Row],[Country]],Table31[76kg Classification],"&gt;0")</f>
        <v>0</v>
      </c>
      <c r="MM59" s="6">
        <f>COUNTIFS(Table102[Country],Tabela1[[#This Row],[Country]],Table102[Downhill Classification],"&gt;0")</f>
        <v>0</v>
      </c>
      <c r="MN59" s="6">
        <f>COUNTIFS(Table102105[Country],Tabela1[[#This Row],[Country]],Table102105[Downhill Classification],"&gt;0")</f>
        <v>0</v>
      </c>
      <c r="MO59" s="6">
        <f>COUNTIFS(Table102[Country],Tabela1[[#This Row],[Country]],Table102[Giant Slalom Classification],"&gt;0")</f>
        <v>0</v>
      </c>
      <c r="MP59" s="6">
        <f>COUNTIFS(Table102105[Country],Tabela1[[#This Row],[Country]],Table102105[Giant Slalom Classification],"&gt;0")</f>
        <v>0</v>
      </c>
      <c r="MQ59" s="6">
        <f>COUNTIFS(Table102[Country],Tabela1[[#This Row],[Country]],Table102[Slalom Classification],"&gt;0")</f>
        <v>0</v>
      </c>
      <c r="MR59" s="6">
        <f>COUNTIFS(Table102105[Country],Tabela1[[#This Row],[Country]],Table102105[Slalom Classification],"&gt;0")</f>
        <v>0</v>
      </c>
      <c r="MS59" s="6">
        <f>COUNTIFS(Table102[Country],Tabela1[[#This Row],[Country]],Table102[Super-G Classification],"&gt;0")</f>
        <v>0</v>
      </c>
      <c r="MT59" s="6">
        <f>COUNTIFS(Table102105[Country],Tabela1[[#This Row],[Country]],Table102105[Super-G Classification],"&gt;0")</f>
        <v>0</v>
      </c>
      <c r="MU59" s="6">
        <f>COUNTIFS(Table105[Country],Tabela1[[#This Row],[Country]],Table105[Men''s Combined Classification],"&gt;0")</f>
        <v>0</v>
      </c>
      <c r="MV59" s="6">
        <f>COUNTIFS(Table105[Country],Tabela1[[#This Row],[Country]],Table105[Women''s Combined Classification],"&gt;0")</f>
        <v>0</v>
      </c>
      <c r="MW59" s="6">
        <f>COUNTIFS(Table106[Country],Tabela1[[#This Row],[Country]],Table106[Individual Classification],"&gt;0")</f>
        <v>0</v>
      </c>
      <c r="MX59" s="6">
        <f>COUNTIFS(Table106109[Country],Tabela1[[#This Row],[Country]],Table106109[Individual Classification],"&gt;0")</f>
        <v>0</v>
      </c>
      <c r="MY59" s="6">
        <f>COUNTIFS(Table106[Country],Tabela1[[#This Row],[Country]],Table106[Mass Start Classification],"&gt;0")</f>
        <v>0</v>
      </c>
      <c r="MZ59" s="6">
        <f>COUNTIFS(Table106109[Country],Tabela1[[#This Row],[Country]],Table106109[Mass Start Classification],"&gt;0")</f>
        <v>0</v>
      </c>
      <c r="NA59" s="6">
        <f>COUNTIFS(Table106[Country],Tabela1[[#This Row],[Country]],Table106[Pursuit Classification],"&gt;0")</f>
        <v>0</v>
      </c>
      <c r="NB59" s="6">
        <f>COUNTIFS(Table106109[Country],Tabela1[[#This Row],[Country]],Table106109[Pursuit Classification],"&gt;0")</f>
        <v>0</v>
      </c>
      <c r="NC59" s="6">
        <f>COUNTIFS(Table106[Country],Tabela1[[#This Row],[Country]],Table106[Sprint Classification],"&gt;0")</f>
        <v>0</v>
      </c>
      <c r="ND59" s="6">
        <f>COUNTIFS(Table106109[Country],Tabela1[[#This Row],[Country]],Table106109[Sprint Classification],"&gt;0")</f>
        <v>0</v>
      </c>
      <c r="NE59" s="6">
        <f>COUNTIFS(Table109[Country],Tabela1[[#This Row],[Country]],Table109[Men''s Relay Classification],"&gt;0")</f>
        <v>0</v>
      </c>
      <c r="NF59" s="6">
        <f>COUNTIFS(Table109[Country],Tabela1[[#This Row],[Country]],Table109[Women''s Relay Classification],"&gt;0")</f>
        <v>0</v>
      </c>
      <c r="NG59" s="6">
        <f>COUNTIFS(Table109[Country],Tabela1[[#This Row],[Country]],Table109[Mixed Relay Classification],"&gt;0")</f>
        <v>0</v>
      </c>
      <c r="NH59" s="6">
        <f>COUNTIFS(Table110[Country],Tabela1[[#This Row],[Country]],Table110[Monobob Classification],"&gt;0")</f>
        <v>0</v>
      </c>
      <c r="NI59" s="6">
        <f>COUNTIFS(Table111[Country],Tabela1[[#This Row],[Country]],Table111[Men''s Classification],"&gt;0")</f>
        <v>0</v>
      </c>
      <c r="NJ59" s="6">
        <f>COUNTIFS(Table111[Country],Tabela1[[#This Row],[Country]],Table111[Women''s Classification],"&gt;0")</f>
        <v>0</v>
      </c>
      <c r="NK59" s="6">
        <f>COUNTIFS(Table112[Country],Tabela1[[#This Row],[Country]],Table112[Men''s Four Classification],"&gt;0")</f>
        <v>0</v>
      </c>
      <c r="NL59" s="6">
        <f>COUNTIFS(Table113[Country],Tabela1[[#This Row],[Country]],Table113[Classical Classification],"&gt;0")</f>
        <v>0</v>
      </c>
      <c r="NM59" s="6">
        <f>COUNTIFS(Table113116[Country],Tabela1[[#This Row],[Country]],Table113116[Classical Classification],"&gt;0")</f>
        <v>0</v>
      </c>
      <c r="NN59" s="6">
        <f>COUNTIFS(Table113[Country],Tabela1[[#This Row],[Country]],Table113[Freestyle Classification],"&gt;0")</f>
        <v>0</v>
      </c>
      <c r="NO59" s="6">
        <f>COUNTIFS(Table113116[Country],Tabela1[[#This Row],[Country]],Table113116[Freestyle Classification],"&gt;0")</f>
        <v>0</v>
      </c>
      <c r="NP59" s="6">
        <f>COUNTIFS(Table117[Country],Tabela1[[#This Row],[Country]],Table117[Men''s Relay Classification],"&gt;0")</f>
        <v>0</v>
      </c>
      <c r="NQ59" s="6">
        <f>COUNTIFS(Table117[Country],Tabela1[[#This Row],[Country]],Table117[Women''s Relay Classification],"&gt;0")</f>
        <v>0</v>
      </c>
      <c r="NR59" s="6">
        <f>COUNTIFS(Table113[Country],Tabela1[[#This Row],[Country]],Table113[Skiathlon Classification],"&gt;0")</f>
        <v>0</v>
      </c>
      <c r="NS59" s="6">
        <f>COUNTIFS(Table113116[Country],Tabela1[[#This Row],[Country]],Table113116[Skiathlon Classification],"&gt;0")</f>
        <v>0</v>
      </c>
      <c r="NT59" s="6">
        <f>COUNTIFS(Table113[Country],Tabela1[[#This Row],[Country]],Table113[Sprint Classification],"&gt;0")</f>
        <v>0</v>
      </c>
      <c r="NU59" s="6">
        <f>COUNTIFS(Table113116[Country],Tabela1[[#This Row],[Country]],Table113116[Sprint Classification],"&gt;0")</f>
        <v>0</v>
      </c>
      <c r="NV59" s="6">
        <f>COUNTIFS(Table116[Country],Tabela1[[#This Row],[Country]],Table116[Men''s Team Sprint Classification],"&gt;0")</f>
        <v>0</v>
      </c>
      <c r="NW59" s="6">
        <f>COUNTIFS(Table116[Country],Tabela1[[#This Row],[Country]],Table116[Women''s Team Sprint Classification],"&gt;0")</f>
        <v>0</v>
      </c>
      <c r="NX59" s="6">
        <f>COUNTIFS(Table119[Country],Tabela1[[#This Row],[Country]],Table119[Men''s Classification],"&gt;0")</f>
        <v>0</v>
      </c>
      <c r="NY59" s="6">
        <f>COUNTIFS(Table119[Country],Tabela1[[#This Row],[Country]],Table119[Women''s Classification],"&gt;0")</f>
        <v>0</v>
      </c>
      <c r="NZ59" s="6">
        <f>COUNTIFS(Table118[Country],Tabela1[[#This Row],[Country]],Table118[Mixed Classification],"&gt;0")</f>
        <v>0</v>
      </c>
      <c r="OA59" s="6">
        <f>COUNTIFS(Table120[Country],Tabela1[[#This Row],[Country]],Table120[Classification],"&gt;0")</f>
        <v>0</v>
      </c>
      <c r="OB59" s="6">
        <f>COUNTIFS(Table120123[Country],Tabela1[[#This Row],[Country]],Table120123[Classification],"&gt;0")</f>
        <v>0</v>
      </c>
      <c r="OC59" s="6">
        <f>COUNTIFS(Table123[Country],Tabela1[[#This Row],[Country]],Table123[Ice Dance Classification],"&gt;0")</f>
        <v>1</v>
      </c>
      <c r="OD59" s="6">
        <f>COUNTIFS(Table123[Country],Tabela1[[#This Row],[Country]],Table123[Pair Skating Classification],"&gt;0")</f>
        <v>0</v>
      </c>
      <c r="OE59" s="6">
        <f>COUNTIFS(Table124[Country],Tabela1[[#This Row],[Country]],Table124[Mixed Classification],"&gt;0")</f>
        <v>1</v>
      </c>
      <c r="OF59" s="6">
        <f>COUNTIFS(Table125[Country],Tabela1[[#This Row],[Country]],Table125[Aerials Classification],"&gt;0")</f>
        <v>0</v>
      </c>
      <c r="OG59" s="6">
        <f>COUNTIFS(Table125128[Country],Tabela1[[#This Row],[Country]],Table125128[Aerials Classification],"&gt;0")</f>
        <v>0</v>
      </c>
      <c r="OH59" s="6">
        <f>COUNTIFS(Table128[Country],Tabela1[[#This Row],[Country]],Table128[Mixed Aerials Classification],"&gt;0")</f>
        <v>0</v>
      </c>
      <c r="OI59" s="6">
        <f>COUNTIFS(Table125[Country],Tabela1[[#This Row],[Country]],Table125[Big Air Classification],"&gt;0")</f>
        <v>0</v>
      </c>
      <c r="OJ59" s="6">
        <f>COUNTIFS(Table125128[Country],Tabela1[[#This Row],[Country]],Table125128[Big Air Classification],"&gt;0")</f>
        <v>0</v>
      </c>
      <c r="OK59" s="6">
        <f>COUNTIFS(Table125[Country],Tabela1[[#This Row],[Country]],Table125[Dual Moguls Classification],"&gt;0")</f>
        <v>0</v>
      </c>
      <c r="OL59" s="6">
        <f>COUNTIFS(Table125128[Country],Tabela1[[#This Row],[Country]],Table125128[Dual Moguls Classification],"&gt;0")</f>
        <v>0</v>
      </c>
      <c r="OM59" s="6">
        <f>COUNTIFS(Table125[Country],Tabela1[[#This Row],[Country]],Table125[Halfpipe Classification],"&gt;0")</f>
        <v>0</v>
      </c>
      <c r="ON59" s="6">
        <f>COUNTIFS(Table125128[Country],Tabela1[[#This Row],[Country]],Table125128[Halfpipe Classification],"&gt;0")</f>
        <v>0</v>
      </c>
      <c r="OO59" s="6">
        <f>COUNTIFS(Table125[Country],Tabela1[[#This Row],[Country]],Table125[Moguls Classification],"&gt;0")</f>
        <v>0</v>
      </c>
      <c r="OP59" s="6">
        <f>COUNTIFS(Table125128[Country],Tabela1[[#This Row],[Country]],Table125128[Moguls Classification],"&gt;0")</f>
        <v>0</v>
      </c>
      <c r="OQ59" s="6">
        <f>COUNTIFS(Table125[Country],Tabela1[[#This Row],[Country]],Table125[Ski Cross Classification],"&gt;0")</f>
        <v>0</v>
      </c>
      <c r="OR59" s="6">
        <f>COUNTIFS(Table125128[Country],Tabela1[[#This Row],[Country]],Table125128[Ski Cross Classification],"&gt;0")</f>
        <v>0</v>
      </c>
      <c r="OS59" s="6">
        <f>COUNTIFS(Table125[Country],Tabela1[[#This Row],[Country]],Table125[Slopestyle Classification],"&gt;0")</f>
        <v>0</v>
      </c>
      <c r="OT59" s="6">
        <f>COUNTIFS(Table125128[Country],Tabela1[[#This Row],[Country]],Table125128[Slopestyle Classification],"&gt;0")</f>
        <v>0</v>
      </c>
      <c r="OU59" s="6">
        <f>COUNTIFS(Table119131[Country],Tabela1[[#This Row],[Country]],Table119131[Men''s Classification],"&gt;0")</f>
        <v>0</v>
      </c>
      <c r="OV59" s="6">
        <f>COUNTIFS(Table119131[Country],Tabela1[[#This Row],[Country]],Table119131[Women''s Classification],"&gt;0")</f>
        <v>0</v>
      </c>
      <c r="OW59" s="6">
        <f>COUNTIFS(Table131[Country],Tabela1[[#This Row],[Country]],Table131[Classification],"&gt;0")</f>
        <v>0</v>
      </c>
      <c r="OX59" s="6">
        <f>COUNTIFS(Table131134[Country],Tabela1[[#This Row],[Country]],Table131134[Classification],"&gt;0")</f>
        <v>0</v>
      </c>
      <c r="OY59" s="6">
        <f>COUNTIFS(Table134[Country],Tabela1[[#This Row],[Country]],Table134[Men''s Classification],"&gt;0")</f>
        <v>0</v>
      </c>
      <c r="OZ59" s="6">
        <f>COUNTIFS(Table134[Country],Tabela1[[#This Row],[Country]],Table134[Women''s Classification],"&gt;0")</f>
        <v>0</v>
      </c>
      <c r="PA59" s="6">
        <f>COUNTIFS(Table135[Country],Tabela1[[#This Row],[Country]],Table135[Mixed Relay Classification],"&gt;0")</f>
        <v>0</v>
      </c>
      <c r="PB59" s="6">
        <f>COUNTIFS(Table136[Country],Tabela1[[#This Row],[Country]],Table136[Individual Classification],"&gt;0")</f>
        <v>0</v>
      </c>
      <c r="PC59" s="6">
        <f>COUNTIFS(Table136[Country],Tabela1[[#This Row],[Country]],Table136[Sprint Classification],"&gt;0")</f>
        <v>0</v>
      </c>
      <c r="PD59" s="6">
        <f>COUNTIFS(Table137[Country],Tabela1[[#This Row],[Country]],Table137[Men''s Team Sprint Large Hill Classification],"&gt;0")</f>
        <v>0</v>
      </c>
      <c r="PE59" s="6">
        <f>COUNTIFS(Table138[Country],Tabela1[[#This Row],[Country]],Table138[500m Classification],"&gt;0")</f>
        <v>0</v>
      </c>
      <c r="PF59" s="6">
        <f>COUNTIFS(Table138141[Country],Tabela1[[#This Row],[Country]],Table138141[500m Classification],"&gt;0")</f>
        <v>0</v>
      </c>
      <c r="PG59" s="6">
        <f>COUNTIFS(Table138[Country],Tabela1[[#This Row],[Country]],Table138[1000m Classification],"&gt;0")</f>
        <v>0</v>
      </c>
      <c r="PH59" s="6">
        <f>COUNTIFS(Table138141[Country],Tabela1[[#This Row],[Country]],Table138141[1000m Classification],"&gt;0")</f>
        <v>0</v>
      </c>
      <c r="PI59" s="6">
        <f>COUNTIFS(Table138[Country],Tabela1[[#This Row],[Country]],Table138[1500m Classification],"&gt;0")</f>
        <v>0</v>
      </c>
      <c r="PJ59" s="6">
        <f>COUNTIFS(Table138141[Country],Tabela1[[#This Row],[Country]],Table138141[1500m Classification],"&gt;0")</f>
        <v>0</v>
      </c>
      <c r="PK59" s="6">
        <f>COUNTIFS(Table141[Country],Tabela1[[#This Row],[Country]],Table141[Men''s 5000m Relay Classification],"&gt;0")</f>
        <v>0</v>
      </c>
      <c r="PL59" s="6">
        <f>COUNTIFS(Table141[Country],Tabela1[[#This Row],[Country]],Table141[Women''s 3000m Relay Classification],"&gt;0")</f>
        <v>0</v>
      </c>
      <c r="PM59" s="6">
        <f>COUNTIFS(Table141[Country],Tabela1[[#This Row],[Country]],Table141[Mixed 2000m Relay Classification],"&gt;0")</f>
        <v>0</v>
      </c>
      <c r="PN59" s="6">
        <f>COUNTIFS(Table142[Country],Tabela1[[#This Row],[Country]],Table142[Classification],"&gt;0")</f>
        <v>0</v>
      </c>
      <c r="PO59" s="6">
        <f>COUNTIFS(Table142145[Country],Tabela1[[#This Row],[Country]],Table142145[Classification],"&gt;0")</f>
        <v>0</v>
      </c>
      <c r="PP59" s="6">
        <f>COUNTIFS(Tabela15[Country],Tabela1[[#This Row],[Country]],Tabela15[Mixed Team Classification],"&gt;0")</f>
        <v>0</v>
      </c>
      <c r="PQ59" s="6">
        <f>COUNTIFS(Table145[Country],Tabela1[[#This Row],[Country]],Table145[Large Hill Classification],"&gt;0")</f>
        <v>0</v>
      </c>
      <c r="PR59" s="6">
        <f>COUNTIFS(Table145[Country],Tabela1[[#This Row],[Country]],Table145[Normal Hill Classification],"&gt;0")</f>
        <v>0</v>
      </c>
      <c r="PS59" s="6">
        <f>COUNTIFS(Table145148[Country],Tabela1[[#This Row],[Country]],Table145148[Large Hill Classification],"&gt;0")</f>
        <v>0</v>
      </c>
      <c r="PT59" s="6">
        <f>COUNTIFS(Table145148[Country],Tabela1[[#This Row],[Country]],Table145148[Normal Hill Classification],"&gt;0")</f>
        <v>0</v>
      </c>
      <c r="PU59" s="6">
        <f>COUNTIFS(Table148[Country],Tabela1[[#This Row],[Country]],Table148[Men''s Super Team Classification],"&gt;0")</f>
        <v>0</v>
      </c>
      <c r="PV59" s="6">
        <f>COUNTIFS(Tabela114[Country],Tabela1[[#This Row],[Country]],Tabela114[Mixed Normal Hill Classification],"&gt;0")</f>
        <v>0</v>
      </c>
      <c r="PW59" s="6">
        <f>COUNTIFS(Tabela50[Country],Tabela1[[#This Row],[Country]],Tabela50[Sprint Classification],"&gt;0")</f>
        <v>0</v>
      </c>
      <c r="PX59" s="6">
        <f>COUNTIFS(Tabela50101[Country],Tabela1[[#This Row],[Country]],Tabela50101[Sprint Classification],"&gt;0")</f>
        <v>0</v>
      </c>
      <c r="PY59" s="6">
        <f>COUNTIFS(Tabela103[Country],Tabela1[[#This Row],[Country]],Tabela103[Mixed Relay Classification],"&gt;0")</f>
        <v>0</v>
      </c>
      <c r="PZ59" s="6">
        <f>COUNTIFS(Table149[Country],Tabela1[[#This Row],[Country]],Table149[Big Air Classification],"&gt;0")</f>
        <v>0</v>
      </c>
      <c r="QA59" s="6">
        <f>COUNTIFS(Table149152[Country],Tabela1[[#This Row],[Country]],Table149152[Big Air Classification],"&gt;0")</f>
        <v>0</v>
      </c>
      <c r="QB59" s="6">
        <f>COUNTIFS(Table149[Country],Tabela1[[#This Row],[Country]],Table149[Halfpipe Classification],"&gt;0")</f>
        <v>0</v>
      </c>
      <c r="QC59" s="6">
        <f>COUNTIFS(Table149152[Country],Tabela1[[#This Row],[Country]],Table149152[Halfpipe Classification],"&gt;0")</f>
        <v>0</v>
      </c>
      <c r="QD59" s="6">
        <f>COUNTIFS(Table149[Country],Tabela1[[#This Row],[Country]],Table149[Parallel Giant Slalom Classification],"&gt;0")</f>
        <v>0</v>
      </c>
      <c r="QE59" s="6">
        <f>COUNTIFS(Table149152[Country],Tabela1[[#This Row],[Country]],Table149152[Parallel Giant Slalom Classification],"&gt;0")</f>
        <v>0</v>
      </c>
      <c r="QF59" s="6">
        <f>COUNTIFS(Table149[Country],Tabela1[[#This Row],[Country]],Table149[Slopestyle Classification],"&gt;0")</f>
        <v>0</v>
      </c>
      <c r="QG59" s="6">
        <f>COUNTIFS(Table149152[Country],Tabela1[[#This Row],[Country]],Table149152[Slopestyle Classification],"&gt;0")</f>
        <v>0</v>
      </c>
      <c r="QH59" s="6">
        <f>COUNTIFS(Table149[Country],Tabela1[[#This Row],[Country]],Table149[Snowboard Cross Classification],"&gt;0")</f>
        <v>0</v>
      </c>
      <c r="QI59" s="6">
        <f>COUNTIFS(Table149152[Country],Tabela1[[#This Row],[Country]],Table149152[Snowboard Cross Classification],"&gt;0")</f>
        <v>0</v>
      </c>
      <c r="QJ59" s="6">
        <f>COUNTIFS(Table153[Country],Tabela1[[#This Row],[Country]],Table153[Mixed Team Snowboard Cross Classification],"&gt;0")</f>
        <v>0</v>
      </c>
      <c r="QK59" s="6">
        <f>COUNTIFS(Table154[Country],Tabela1[[#This Row],[Country]],Table154[500m Classification],"&gt;0")</f>
        <v>0</v>
      </c>
      <c r="QL59" s="6">
        <f>COUNTIFS(Table154157[Country],Tabela1[[#This Row],[Country]],Table154157[500m Classification],"&gt;0")</f>
        <v>0</v>
      </c>
      <c r="QM59" s="6">
        <f>COUNTIFS(Table154[Country],Tabela1[[#This Row],[Country]],Table154[1000m Classification],"&gt;0")</f>
        <v>0</v>
      </c>
      <c r="QN59" s="6">
        <f>COUNTIFS(Table154157[Country],Tabela1[[#This Row],[Country]],Table154157[1000m Classification],"&gt;0")</f>
        <v>0</v>
      </c>
      <c r="QO59" s="6">
        <f>COUNTIFS(Table154[Country],Tabela1[[#This Row],[Country]],Table154[1500m Classification],"&gt;0")</f>
        <v>0</v>
      </c>
      <c r="QP59" s="6">
        <f>COUNTIFS(Table154157[Country],Tabela1[[#This Row],[Country]],Table154157[1500m Classification],"&gt;0")</f>
        <v>0</v>
      </c>
      <c r="QQ59" s="6">
        <f>COUNTIFS(Table154157[Country],Tabela1[[#This Row],[Country]],Table154157[3000m Classification],"&gt;0")</f>
        <v>0</v>
      </c>
      <c r="QR59" s="6">
        <f>COUNTIFS(Table154[Country],Tabela1[[#This Row],[Country]],Table154[5000m Classification],"&gt;0")</f>
        <v>0</v>
      </c>
      <c r="QS59" s="6">
        <f>COUNTIFS(Table154157[Country],Tabela1[[#This Row],[Country]],Table154157[5000m Classification],"&gt;0")</f>
        <v>0</v>
      </c>
      <c r="QT59" s="6">
        <f>COUNTIFS(Table154[Country],Tabela1[[#This Row],[Country]],Table154[10000m Classification],"&gt;0")</f>
        <v>0</v>
      </c>
      <c r="QU59" s="6">
        <f>COUNTIFS(Table154[Country],Tabela1[[#This Row],[Country]],Table154[Mass Start Classification],"&gt;0")</f>
        <v>0</v>
      </c>
      <c r="QV59" s="6">
        <f>COUNTIFS(Table154157[Country],Tabela1[[#This Row],[Country]],Table154157[Mass Start Classification],"&gt;0")</f>
        <v>0</v>
      </c>
      <c r="QW59" s="6">
        <f>COUNTIFS(Table157[Country],Tabela1[[#This Row],[Country]],Table157[Men''s Pursuit Classification],"&gt;0")</f>
        <v>0</v>
      </c>
      <c r="QX59" s="6">
        <f>COUNTIFS(Table157[Country],Tabela1[[#This Row],[Country]],Table157[Women''s Pursuit Classification],"&gt;0")</f>
        <v>0</v>
      </c>
      <c r="QY59" s="3" t="s">
        <v>701</v>
      </c>
    </row>
    <row r="60" spans="1:467" x14ac:dyDescent="0.3">
      <c r="A60" s="6">
        <v>59</v>
      </c>
      <c r="B60" s="6" t="s">
        <v>432</v>
      </c>
      <c r="C60" t="e" vm="59">
        <f>IF(ISBLANK(Tabela1[[#This Row],[Image Link]]), "", _xlfn.IMAGE(Tabela1[[#This Row],[Image Link]],1,1))</f>
        <v>#VALUE!</v>
      </c>
      <c r="D60" s="6">
        <f>SUM(Tabela1[[#This Row],[Archery - Men''s Individual Recurve]:[Speed Skating - Women''s Team Pursuit]])</f>
        <v>11</v>
      </c>
      <c r="E60" s="6">
        <f>COUNTIF(Tabela1[[#This Row],[Archery - Men''s Individual Recurve]:[Speed Skating - Women''s Team Pursuit]],"&gt;0")</f>
        <v>10</v>
      </c>
      <c r="F60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60" s="6">
        <f>SUM(Tabela1[[#This Row],[Archery - Men''s Individual Recurve]:[Wrestling - Women''s Freestyle 76kg]])</f>
        <v>11</v>
      </c>
      <c r="H60" s="6">
        <f>SUM(Tabela1[[#This Row],[Alpine Skiing - Men''s Downhill]:[Speed Skating - Women''s Team Pursuit]])</f>
        <v>0</v>
      </c>
      <c r="I60" s="6">
        <f>Tabela1[[#This Row],[Summer Gold Medals]]+Tabela1[[#This Row],[Winter Gold Medals]]</f>
        <v>2</v>
      </c>
      <c r="J60" s="6">
        <f>Tabela1[[#This Row],[Summer Silver Medals]]+Tabela1[[#This Row],[Winter Silver Medals]]</f>
        <v>0</v>
      </c>
      <c r="K60" s="6">
        <f>Tabela1[[#This Row],[Summer Bronze Medals]]+Tabela1[[#This Row],[Winter Bronze Medals]]</f>
        <v>1</v>
      </c>
      <c r="L60" s="6">
        <f>SUM(Tabela1[[#This Row],[Total Gold Medals]:[Total Bronze Medals]])</f>
        <v>3</v>
      </c>
      <c r="M60" s="6">
        <v>2</v>
      </c>
      <c r="N60" s="6"/>
      <c r="O60" s="6">
        <v>1</v>
      </c>
      <c r="P60" s="6">
        <f>SUM(Tabela1[[#This Row],[Summer Gold Medals]:[Summer Bronze Medals]])</f>
        <v>3</v>
      </c>
      <c r="Q60" s="6"/>
      <c r="R60" s="6"/>
      <c r="S60" s="6"/>
      <c r="T60" s="6">
        <f>Tabela1[[#This Row],[Winter Gold Medals]]+Tabela1[[#This Row],[Winter Silver Medals]]+Tabela1[[#This Row],[Winter Bronze Medals]]</f>
        <v>0</v>
      </c>
      <c r="U60" s="7">
        <f>Tabela1[[#This Row],[Total Medals]]/Tabela1[[#This Row],[Total Quotas]]</f>
        <v>0.27272727272727271</v>
      </c>
      <c r="V60" s="6">
        <f>COUNTIFS(Table3[Country],Tabela1[[#This Row],[Country]],Table3[Recurve Classification],"&gt;0")</f>
        <v>1</v>
      </c>
      <c r="W60" s="6">
        <f>COUNTIFS(Table33[Country],Tabela1[[#This Row],[Country]],Table33[Recurve Classification],"&gt;0")</f>
        <v>2</v>
      </c>
      <c r="X60" s="6">
        <f>COUNTIFS(Table35[Country],Tabela1[[#This Row],[Country]],Table35[Men''s Team Recurve Classification],"&gt;0")</f>
        <v>0</v>
      </c>
      <c r="Y60" s="6">
        <f>COUNTIFS(Table35[Country],Tabela1[[#This Row],[Country]],Table35[Women''s Team Recurve Classification],"&gt;0")</f>
        <v>1</v>
      </c>
      <c r="Z60" s="6">
        <f>COUNTIFS(Tabela88[Country],Tabela1[[#This Row],[Country]],Tabela88[Mixed Team Recurve Classification],"&gt;0")</f>
        <v>1</v>
      </c>
      <c r="AA60" s="6">
        <f>COUNTIFS(Table36[Country],Tabela1[[#This Row],[Country]],Table36[Classification],"&gt;0")</f>
        <v>0</v>
      </c>
      <c r="AB60" s="6">
        <f>COUNTIFS(Table37[Country],Tabela1[[#This Row],[Country]],Table37[Classification],"&gt;0")</f>
        <v>0</v>
      </c>
      <c r="AC60" s="6">
        <f>COUNTIFS(Table4[Country],Tabela1[[#This Row],[Country]],Table4[100m Classification],"&gt;0")</f>
        <v>0</v>
      </c>
      <c r="AD60" s="6">
        <f>COUNTIFS(Table5[Country],Tabela1[[#This Row],[Country]],Table5[100m Classification],"&gt;0")</f>
        <v>0</v>
      </c>
      <c r="AE60" s="6">
        <f>COUNTIFS(Table4[Country],Tabela1[[#This Row],[Country]],Table4[200m Classification],"&gt;0")</f>
        <v>0</v>
      </c>
      <c r="AF60" s="6">
        <f>COUNTIFS(Table5[Country],Tabela1[[#This Row],[Country]],Table5[200m Classification],"&gt;0")</f>
        <v>0</v>
      </c>
      <c r="AG60" s="6">
        <f>COUNTIFS(Table4[Country],Tabela1[[#This Row],[Country]],Table4[400m Classification],"&gt;0")</f>
        <v>0</v>
      </c>
      <c r="AH60" s="6">
        <f>COUNTIFS(Table5[Country],Tabela1[[#This Row],[Country]],Table5[400m Classification],"&gt;0")</f>
        <v>0</v>
      </c>
      <c r="AI60" s="6">
        <f>COUNTIFS(Table4[Country],Tabela1[[#This Row],[Country]],Table4[800m Classification],"&gt;0")</f>
        <v>0</v>
      </c>
      <c r="AJ60" s="6">
        <f>COUNTIFS(Table5[Country],Tabela1[[#This Row],[Country]],Table5[800m Classification],"&gt;0")</f>
        <v>0</v>
      </c>
      <c r="AK60" s="6">
        <f>COUNTIFS(Table4[Country],Tabela1[[#This Row],[Country]],Table4[1500m Classification],"&gt;0")</f>
        <v>0</v>
      </c>
      <c r="AL60" s="6">
        <f>COUNTIFS(Table5[Country],Tabela1[[#This Row],[Country]],Table5[1500m Classification],"&gt;0")</f>
        <v>0</v>
      </c>
      <c r="AM60" s="6">
        <f>COUNTIFS(Table4[Country],Tabela1[[#This Row],[Country]],Table4[5000m Classification],"&gt;0")</f>
        <v>0</v>
      </c>
      <c r="AN60" s="6">
        <f>COUNTIFS(Table5[Country],Tabela1[[#This Row],[Country]],Table5[5000m Classification],"&gt;0")</f>
        <v>0</v>
      </c>
      <c r="AO60" s="6">
        <f>COUNTIFS(Table4[Country],Tabela1[[#This Row],[Country]],Table4[10000m Classification],"&gt;0")</f>
        <v>0</v>
      </c>
      <c r="AP60" s="6">
        <f>COUNTIFS(Table5[Country],Tabela1[[#This Row],[Country]],Table5[10000m Classification],"&gt;0")</f>
        <v>0</v>
      </c>
      <c r="AQ60" s="6">
        <f>COUNTIFS(Table4[Country],Tabela1[[#This Row],[Country]],Table4[110m Hurdles Classification],"&gt;0")</f>
        <v>0</v>
      </c>
      <c r="AR60" s="6">
        <f>COUNTIFS(Table5[Country],Tabela1[[#This Row],[Country]],Table5[100m Hurdles Classification],"&gt;0")</f>
        <v>0</v>
      </c>
      <c r="AS60" s="6">
        <f>COUNTIFS(Table4[Country],Tabela1[[#This Row],[Country]],Table4[400m Hurdles Classification],"&gt;0")</f>
        <v>0</v>
      </c>
      <c r="AT60" s="6">
        <f>COUNTIFS(Table5[Country],Tabela1[[#This Row],[Country]],Table5[400m Hurdles Classification],"&gt;0")</f>
        <v>0</v>
      </c>
      <c r="AU60" s="6">
        <f>COUNTIFS(Table4[Country],Tabela1[[#This Row],[Country]],Table4[3000m Steeplechase Classification],"&gt;0")</f>
        <v>0</v>
      </c>
      <c r="AV60" s="6">
        <f>COUNTIFS(Table5[Country],Tabela1[[#This Row],[Country]],Table5[3000m Steeplechase Classification],"&gt;0")</f>
        <v>0</v>
      </c>
      <c r="AW60" s="6">
        <f>COUNTIFS(Table27[Country],Tabela1[[#This Row],[Country]],Table27[Men''s 4x100m Relay Classification],"&gt;0")</f>
        <v>0</v>
      </c>
      <c r="AX60" s="6">
        <f>COUNTIFS(Table27[Country],Tabela1[[#This Row],[Country]],Table27[Women''s 4x100m Relay Classification],"&gt;0")</f>
        <v>0</v>
      </c>
      <c r="AY60" s="6">
        <f>COUNTIFS(Table27[Country],Tabela1[[#This Row],[Country]],Table27[Men''s 4x400m Relay Classification],"&gt;0")</f>
        <v>0</v>
      </c>
      <c r="AZ60" s="6">
        <f>COUNTIFS(Table27[Country],Tabela1[[#This Row],[Country]],Table27[Women''s 4x400m Relay Classification],"&gt;0")</f>
        <v>0</v>
      </c>
      <c r="BA60" s="6">
        <f>COUNTIFS(Table27[Country],Tabela1[[#This Row],[Country]],Table27[Mixed 4x400m Relay Classification],"&gt;0")</f>
        <v>0</v>
      </c>
      <c r="BB60" s="6">
        <f>COUNTIFS(Table4[Country],Tabela1[[#This Row],[Country]],Table4[Marathon Classification],"&gt;0")</f>
        <v>0</v>
      </c>
      <c r="BC60" s="6">
        <f>COUNTIFS(Table5[Country],Tabela1[[#This Row],[Country]],Table5[Marathon Classification],"&gt;0")</f>
        <v>0</v>
      </c>
      <c r="BD60" s="6">
        <f>COUNTIFS(Table4[Country],Tabela1[[#This Row],[Country]],Table4[20km Race Walk Classification],"&gt;0")</f>
        <v>0</v>
      </c>
      <c r="BE60" s="6">
        <f>COUNTIFS(Table5[Country],Tabela1[[#This Row],[Country]],Table5[20km Race Walk Classification],"&gt;0")</f>
        <v>0</v>
      </c>
      <c r="BF60" s="6">
        <f>COUNTIFS(Tabela96[Country],Tabela1[[#This Row],[Country]],Tabela96[Mixed Marathon Race Walk Relay Classification],"&gt;0")</f>
        <v>0</v>
      </c>
      <c r="BG60" s="6">
        <f>COUNTIFS(Table4[Country],Tabela1[[#This Row],[Country]],Table4[Discus Throw Classification],"&gt;0")</f>
        <v>0</v>
      </c>
      <c r="BH60" s="6">
        <f>COUNTIFS(Table5[Country],Tabela1[[#This Row],[Country]],Table5[Discus Throw Classification],"&gt;0")</f>
        <v>0</v>
      </c>
      <c r="BI60" s="6">
        <f>COUNTIFS(Table4[Country],Tabela1[[#This Row],[Country]],Table4[Hammer Throw Classification],"&gt;0")</f>
        <v>0</v>
      </c>
      <c r="BJ60" s="6">
        <f>COUNTIFS(Table5[Country],Tabela1[[#This Row],[Country]],Table5[Hammer Throw Classification],"&gt;0")</f>
        <v>0</v>
      </c>
      <c r="BK60" s="6">
        <f>COUNTIFS(Table4[Country],Tabela1[[#This Row],[Country]],Table4[High Jump Classification],"&gt;0")</f>
        <v>0</v>
      </c>
      <c r="BL60" s="6">
        <f>COUNTIFS(Table5[Country],Tabela1[[#This Row],[Country]],Table5[High Jump Classification],"&gt;0")</f>
        <v>0</v>
      </c>
      <c r="BM60" s="6">
        <f>COUNTIFS(Table4[Country],Tabela1[[#This Row],[Country]],Table4[Javelin Throw Classification],"&gt;0")</f>
        <v>0</v>
      </c>
      <c r="BN60" s="6">
        <f>COUNTIFS(Table5[Country],Tabela1[[#This Row],[Country]],Table5[Javelin Throw Classification],"&gt;0")</f>
        <v>0</v>
      </c>
      <c r="BO60" s="6">
        <f>COUNTIFS(Table4[Country],Tabela1[[#This Row],[Country]],Table4[Long Jump Classification],"&gt;0")</f>
        <v>0</v>
      </c>
      <c r="BP60" s="6">
        <f>COUNTIFS(Table5[Country],Tabela1[[#This Row],[Country]],Table5[Long Jump Classification],"&gt;0")</f>
        <v>0</v>
      </c>
      <c r="BQ60" s="6">
        <f>COUNTIFS(Table4[Country],Tabela1[[#This Row],[Country]],Table4[Pole Vault Classification],"&gt;0")</f>
        <v>0</v>
      </c>
      <c r="BR60" s="6">
        <f>COUNTIFS(Table5[Country],Tabela1[[#This Row],[Country]],Table5[Pole Vault Classification],"&gt;0")</f>
        <v>0</v>
      </c>
      <c r="BS60" s="6">
        <f>COUNTIFS(Table4[Country],Tabela1[[#This Row],[Country]],Table4[Shot Put Classification],"&gt;0")</f>
        <v>0</v>
      </c>
      <c r="BT60" s="6">
        <f>COUNTIFS(Table5[Country],Tabela1[[#This Row],[Country]],Table5[Shot Put Classification],"&gt;0")</f>
        <v>0</v>
      </c>
      <c r="BU60" s="6">
        <f>COUNTIFS(Table4[Country],Tabela1[[#This Row],[Country]],Table4[Triple Jump Classification],"&gt;0")</f>
        <v>0</v>
      </c>
      <c r="BV60" s="6">
        <f>COUNTIFS(Table5[Country],Tabela1[[#This Row],[Country]],Table5[Triple Jump Classification],"&gt;0")</f>
        <v>0</v>
      </c>
      <c r="BW60" s="6">
        <f>COUNTIFS(Table4[Country],Tabela1[[#This Row],[Country]],Table4[Decathlon Classification],"&gt;0")</f>
        <v>0</v>
      </c>
      <c r="BX60" s="6">
        <f>COUNTIFS(Table5[Country],Tabela1[[#This Row],[Country]],Table5[Heptathlon Classification],"&gt;0")</f>
        <v>0</v>
      </c>
      <c r="BY60" s="6">
        <f>COUNTIFS(Table61[Country],Tabela1[[#This Row],[Country]],Table61[Classification],"&gt;0")</f>
        <v>0</v>
      </c>
      <c r="BZ60" s="6">
        <f>COUNTIFS(Table38[Country],Tabela1[[#This Row],[Country]],Table38[Classification],"&gt;0")</f>
        <v>1</v>
      </c>
      <c r="CA60" s="6">
        <f>COUNTIFS(Table39[Country],Tabela1[[#This Row],[Country]],Table39[Men''s Classification],"&gt;0")</f>
        <v>1</v>
      </c>
      <c r="CB60" s="6">
        <f>COUNTIFS(Table39[Country],Tabela1[[#This Row],[Country]],Table39[Women''s Classification],"&gt;0")</f>
        <v>0</v>
      </c>
      <c r="CC60" s="6">
        <f>COUNTIFS(Table39[Country],Tabela1[[#This Row],[Country]],Table39[Mixed Classification],"&gt;0")</f>
        <v>0</v>
      </c>
      <c r="CD60" s="6">
        <f>COUNTIFS(Table89[Country],Tabela1[[#This Row],[Country]],Table89[Men''s Classification],"&gt;0")</f>
        <v>0</v>
      </c>
      <c r="CE60" s="6">
        <f>COUNTIFS(Table89[Country],Tabela1[[#This Row],[Country]],Table89[Women''s Classification],"&gt;0")</f>
        <v>0</v>
      </c>
      <c r="CF60" s="6">
        <f>COUNTIFS(Table90[Country],Tabela1[[#This Row],[Country]],Table90[Men''s Classification],"&gt;0")</f>
        <v>0</v>
      </c>
      <c r="CG60" s="6">
        <f>COUNTIFS(Table90[Country],Tabela1[[#This Row],[Country]],Table90[Women''s Classification],"&gt;0")</f>
        <v>0</v>
      </c>
      <c r="CH60" s="6">
        <f>COUNTIFS(Table60[Country],Tabela1[[#This Row],[Country]],Table60[Men''s Classification],"&gt;0")</f>
        <v>0</v>
      </c>
      <c r="CI60" s="6">
        <f>COUNTIFS(Table60[Country],Tabela1[[#This Row],[Country]],Table60[Women''s Classification],"&gt;0")</f>
        <v>0</v>
      </c>
      <c r="CJ60" s="6">
        <f>COUNTIFS(Table6[Country],Tabela1[[#This Row],[Country]],Table6[51kg Classification],"&gt;0")</f>
        <v>0</v>
      </c>
      <c r="CK60" s="6">
        <f>COUNTIFS(Table6[Country],Tabela1[[#This Row],[Country]],Table6[57kg Classification],"&gt;0")</f>
        <v>0</v>
      </c>
      <c r="CL60" s="6">
        <f>COUNTIFS(Table6[Country],Tabela1[[#This Row],[Country]],Table6[63.5kg Classification],"&gt;0")</f>
        <v>0</v>
      </c>
      <c r="CM60" s="6">
        <f>COUNTIFS(Table6[Country],Tabela1[[#This Row],[Country]],Table6[71kg Classification],"&gt;0")</f>
        <v>0</v>
      </c>
      <c r="CN60" s="6">
        <f>COUNTIFS(Table6[Country],Tabela1[[#This Row],[Country]],Table6[80kg Classification],"&gt;0")</f>
        <v>0</v>
      </c>
      <c r="CO60" s="6">
        <f>COUNTIFS(Table6[Country],Tabela1[[#This Row],[Country]],Table6[92kg Classification],"&gt;0")</f>
        <v>0</v>
      </c>
      <c r="CP60" s="6">
        <f>COUNTIFS(Table6[Country],Tabela1[[#This Row],[Country]],Table6[Plus 92kg Classification],"&gt;0")</f>
        <v>0</v>
      </c>
      <c r="CQ60" s="6">
        <f>COUNTIFS(Table7[Country],Tabela1[[#This Row],[Country]],Table7[50kg Classification],"&gt;0")</f>
        <v>0</v>
      </c>
      <c r="CR60" s="6">
        <f>COUNTIFS(Table7[Country],Tabela1[[#This Row],[Country]],Table7[54kg Classification],"&gt;0")</f>
        <v>0</v>
      </c>
      <c r="CS60" s="6">
        <f>COUNTIFS(Table7[Country],Tabela1[[#This Row],[Country]],Table7[57kg Classification],"&gt;0")</f>
        <v>0</v>
      </c>
      <c r="CT60" s="6">
        <f>COUNTIFS(Table7[Country],Tabela1[[#This Row],[Country]],Table7[60kg Classification],"&gt;0")</f>
        <v>0</v>
      </c>
      <c r="CU60" s="6">
        <f>COUNTIFS(Table7[Country],Tabela1[[#This Row],[Country]],Table7[66kg Classification],"&gt;0")</f>
        <v>0</v>
      </c>
      <c r="CV60" s="6">
        <f>COUNTIFS(Table7[Country],Tabela1[[#This Row],[Country]],Table7[75kg Classification],"&gt;0")</f>
        <v>0</v>
      </c>
      <c r="CW60" s="6">
        <f>COUNTIFS(Tabela94[Country],Tabela1[[#This Row],[Country]],Tabela94[Classification],"&gt;0")</f>
        <v>0</v>
      </c>
      <c r="CX60" s="6">
        <f>COUNTIFS(Tabela9499[Country],Tabela1[[#This Row],[Country]],Tabela9499[Classification],"&gt;0")</f>
        <v>0</v>
      </c>
      <c r="CY60" s="6">
        <f>COUNTIFS(Tabela107[Country],Tabela1[[#This Row],[Country]],Tabela107[C1 Slalom Classification],"&gt;0")</f>
        <v>0</v>
      </c>
      <c r="CZ60" s="6">
        <f>COUNTIFS(Tabela107122[Country],Tabela1[[#This Row],[Country]],Tabela107122[C1 Slalom Classification],"&gt;0")</f>
        <v>0</v>
      </c>
      <c r="DA60" s="6">
        <f>COUNTIFS(Tabela107[Country],Tabela1[[#This Row],[Country]],Tabela107[K1 Slalom Classification],"&gt;0")</f>
        <v>0</v>
      </c>
      <c r="DB60" s="6">
        <f>COUNTIFS(Tabela107122[Country],Tabela1[[#This Row],[Country]],Tabela107122[K1 Slalom Classification],"&gt;0")</f>
        <v>0</v>
      </c>
      <c r="DC60" s="6">
        <f>COUNTIFS(Tabela107[Country],Tabela1[[#This Row],[Country]],Tabela107[Kayak Cross Slalom Classification],"&gt;0")</f>
        <v>0</v>
      </c>
      <c r="DD60" s="6">
        <f>COUNTIFS(Tabela107122[Country],Tabela1[[#This Row],[Country]],Tabela107122[Kayak Cross Slalom Classification],"&gt;0")</f>
        <v>0</v>
      </c>
      <c r="DE60" s="6">
        <f>COUNTIFS(Table8[Country],Tabela1[[#This Row],[Country]],Table8[C1 200m Classification],"&gt;0")</f>
        <v>0</v>
      </c>
      <c r="DF60" s="6">
        <f>COUNTIFS(Table40[Country],Tabela1[[#This Row],[Country]],Table40[C1 1000m Classification],"&gt;0")</f>
        <v>0</v>
      </c>
      <c r="DG60" s="6">
        <f>COUNTIFS(Table68[Country],Tabela1[[#This Row],[Country]],Table68[Men''s C2 500m Classification],"&gt;0")</f>
        <v>0</v>
      </c>
      <c r="DH60" s="6">
        <f>COUNTIFS(Table68[Country],Tabela1[[#This Row],[Country]],Table68[Women''s C2 500m Classification],"&gt;0")</f>
        <v>0</v>
      </c>
      <c r="DI60" s="6">
        <f>COUNTIFS(Table8[Country],Tabela1[[#This Row],[Country]],Table8[K1 500m Classification],"&gt;0")</f>
        <v>0</v>
      </c>
      <c r="DJ60" s="6">
        <f>COUNTIFS(Table40[Country],Tabela1[[#This Row],[Country]],Table40[K1 1000m Classification],"&gt;0")</f>
        <v>0</v>
      </c>
      <c r="DK60" s="6">
        <f>COUNTIFS(Table68[Country],Tabela1[[#This Row],[Country]],Table68[Men''s K2 500m Classification],"&gt;0")</f>
        <v>0</v>
      </c>
      <c r="DL60" s="6">
        <f>COUNTIFS(Table68[Country],Tabela1[[#This Row],[Country]],Table68[Women''s K2 500m Classification],"&gt;0")</f>
        <v>0</v>
      </c>
      <c r="DM60" s="6">
        <f>COUNTIFS(Table83[Country],Tabela1[[#This Row],[Country]],Table83[Men''s K4 500m Classification],"&gt;0")</f>
        <v>0</v>
      </c>
      <c r="DN60" s="6">
        <f>COUNTIFS(Table83[Country],Tabela1[[#This Row],[Country]],Table83[Women''s K4 500m Classification],"&gt;0")</f>
        <v>0</v>
      </c>
      <c r="DO60" s="6">
        <f>COUNTIFS(Tabela126[Country],Tabela1[[#This Row],[Country]],Tabela126[Classification],"&gt;0")</f>
        <v>0</v>
      </c>
      <c r="DP60" s="6">
        <f>COUNTIFS(Tabela126130[Country],Tabela1[[#This Row],[Country]],Tabela126130[Classification],"&gt;0")</f>
        <v>0</v>
      </c>
      <c r="DQ60" s="6">
        <f>COUNTIFS(Table70[Country],Tabela1[[#This Row],[Country]],Table70[Classification],"&gt;0")</f>
        <v>0</v>
      </c>
      <c r="DR60" s="6">
        <f>COUNTIFS(Table80[Country],Tabela1[[#This Row],[Country]],Table80[Classification],"&gt;0")</f>
        <v>0</v>
      </c>
      <c r="DS60" s="6">
        <f>COUNTIFS(Table66[Country],Tabela1[[#This Row],[Country]],Table66[Classification],"&gt;0")</f>
        <v>0</v>
      </c>
      <c r="DT60" s="6">
        <f>COUNTIFS(Table67[Country],Tabela1[[#This Row],[Country]],Table67[Classification],"&gt;0")</f>
        <v>0</v>
      </c>
      <c r="DU60" s="6">
        <f>COUNTIFS(Table69[Country],Tabela1[[#This Row],[Country]],Table69[Keirin Classification],"&gt;0")</f>
        <v>0</v>
      </c>
      <c r="DV60" s="6">
        <f>COUNTIFS(Table41[Country],Tabela1[[#This Row],[Country]],Table41[Keirin Classification],"&gt;0")</f>
        <v>0</v>
      </c>
      <c r="DW60" s="6">
        <f>COUNTIFS(Table84[Country],Tabela1[[#This Row],[Country]],Table84[Men''s Madison Classification],"&gt;0")</f>
        <v>0</v>
      </c>
      <c r="DX60" s="6">
        <f>COUNTIFS(Table84[Country],Tabela1[[#This Row],[Country]],Table84[Women''s Madison Classification],"&gt;0")</f>
        <v>0</v>
      </c>
      <c r="DY60" s="6">
        <f>COUNTIFS(Table69[Country],Tabela1[[#This Row],[Country]],Table69[Omnium Classification],"&gt;0")</f>
        <v>0</v>
      </c>
      <c r="DZ60" s="6">
        <f>COUNTIFS(Table41[Country],Tabela1[[#This Row],[Country]],Table41[Omnium Classification],"&gt;0")</f>
        <v>0</v>
      </c>
      <c r="EA60" s="6">
        <f>COUNTIFS(Table9[Country],Tabela1[[#This Row],[Country]],Table9[Road Race Classification],"&gt;0")</f>
        <v>0</v>
      </c>
      <c r="EB60" s="6">
        <f>COUNTIFS(Table14[Country],Tabela1[[#This Row],[Country]],Table14[Road Race Classification],"&gt;0")</f>
        <v>0</v>
      </c>
      <c r="EC60" s="6">
        <f>COUNTIFS(Table69[Country],Tabela1[[#This Row],[Country]],Table69[Sprint Classification],"&gt;0")</f>
        <v>0</v>
      </c>
      <c r="ED60" s="6">
        <f>COUNTIFS(Table41[Country],Tabela1[[#This Row],[Country]],Table41[Sprint Classification],"&gt;0")</f>
        <v>0</v>
      </c>
      <c r="EE60" s="6">
        <f>COUNTIFS(Table85[Country],Tabela1[[#This Row],[Country]],Table85[Men''s Sprint Classification],"&gt;0")</f>
        <v>0</v>
      </c>
      <c r="EF60" s="6">
        <f>COUNTIFS(Table85[Country],Tabela1[[#This Row],[Country]],Table85[Women''s Sprint Classification],"&gt;0")</f>
        <v>0</v>
      </c>
      <c r="EG60" s="6">
        <f>COUNTIFS(Table85[Country],Tabela1[[#This Row],[Country]],Table85[Men''s Pursuit Classification],"&gt;0")</f>
        <v>0</v>
      </c>
      <c r="EH60" s="6">
        <f>COUNTIFS(Table85[Country],Tabela1[[#This Row],[Country]],Table85[Women''s Pursuit Classification],"&gt;0")</f>
        <v>0</v>
      </c>
      <c r="EI60" s="6">
        <f>COUNTIFS(Table9[Country],Tabela1[[#This Row],[Country]],Table9[Time-Trial Classification],"&gt;0")</f>
        <v>0</v>
      </c>
      <c r="EJ60" s="6">
        <f>COUNTIFS(Table14[Country],Tabela1[[#This Row],[Country]],Table14[Time-Trial Classification],"&gt;0")</f>
        <v>0</v>
      </c>
      <c r="EK60" s="6">
        <f>COUNTIFS(Table42[Country],Tabela1[[#This Row],[Country]],Table42[Springboard Classification],"&gt;0")</f>
        <v>0</v>
      </c>
      <c r="EL60" s="6">
        <f>COUNTIFS(Table43[Country],Tabela1[[#This Row],[Country]],Table43[Springboard Classification],"&gt;0")</f>
        <v>0</v>
      </c>
      <c r="EM60" s="6">
        <f>COUNTIFS(Table42[Country],Tabela1[[#This Row],[Country]],Table42[Platform Classification],"&gt;0")</f>
        <v>0</v>
      </c>
      <c r="EN60" s="6">
        <f>COUNTIFS(Table43[Country],Tabela1[[#This Row],[Country]],Table43[Platform Classification],"&gt;0")</f>
        <v>0</v>
      </c>
      <c r="EO60" s="6">
        <f>COUNTIFS(Table86[Country],Tabela1[[#This Row],[Country]],Table86[Men''s Synchronized Springboard Classification],"&gt;0")</f>
        <v>0</v>
      </c>
      <c r="EP60" s="6">
        <f>COUNTIFS(Table86[Country],Tabela1[[#This Row],[Country]],Table86[Women''s Synchronized Springboard Classification],"&gt;0")</f>
        <v>0</v>
      </c>
      <c r="EQ60" s="6">
        <f>COUNTIFS(Table86[Country],Tabela1[[#This Row],[Country]],Table86[Men''s Synchronized Platform Classification],"&gt;0")</f>
        <v>0</v>
      </c>
      <c r="ER60" s="6">
        <f>COUNTIFS(Table86[Country],Tabela1[[#This Row],[Country]],Table86[Women''s Synchronized Platform Classification],"&gt;0")</f>
        <v>0</v>
      </c>
      <c r="ES60" s="6">
        <f>COUNTIFS(Table44[Country],Tabela1[[#This Row],[Country]],Table44[Dressage Classification],"&gt;0")</f>
        <v>0</v>
      </c>
      <c r="ET60" s="6">
        <f>COUNTIFS(Table45[Country],Tabela1[[#This Row],[Country]],Table45[Dressage Classification],"&gt;0")</f>
        <v>0</v>
      </c>
      <c r="EU60" s="6">
        <f>COUNTIFS(Table44[Country],Tabela1[[#This Row],[Country]],Table44[Eventing Classification],"&gt;0")</f>
        <v>0</v>
      </c>
      <c r="EV60" s="6">
        <f>COUNTIFS(Table45[Country],Tabela1[[#This Row],[Country]],Table45[Eventing Classification],"&gt;0")</f>
        <v>0</v>
      </c>
      <c r="EW60" s="6">
        <f>COUNTIFS(Table44[Country],Tabela1[[#This Row],[Country]],Table44[Jumping Classification],"&gt;0")</f>
        <v>0</v>
      </c>
      <c r="EX60" s="6">
        <f>COUNTIFS(Table45[Country],Tabela1[[#This Row],[Country]],Table45[Jumping Classification],"&gt;0")</f>
        <v>0</v>
      </c>
      <c r="EY60" s="6">
        <f>COUNTIFS(Table10[Country],Tabela1[[#This Row],[Country]],Table10[Épée Classification],"&gt;0")</f>
        <v>0</v>
      </c>
      <c r="EZ60" s="6">
        <f>COUNTIFS(Table11[Country],Tabela1[[#This Row],[Country]],Table11[Épée Classification],"&gt;0")</f>
        <v>0</v>
      </c>
      <c r="FA60" s="6">
        <f>COUNTIFS(Table46[Country],Tabela1[[#This Row],[Country]],Table46[Men''s Épée Classification],"&gt;0")</f>
        <v>0</v>
      </c>
      <c r="FB60" s="6">
        <f>COUNTIFS(Table46[Country],Tabela1[[#This Row],[Country]],Table46[Women''s Épée Classification],"&gt;0")</f>
        <v>0</v>
      </c>
      <c r="FC60" s="6">
        <f>COUNTIFS(Table10[Country],Tabela1[[#This Row],[Country]],Table10[Foil Classification],"&gt;0")</f>
        <v>0</v>
      </c>
      <c r="FD60" s="6">
        <f>COUNTIFS(Table11[Country],Tabela1[[#This Row],[Country]],Table11[Foil Classification],"&gt;0")</f>
        <v>0</v>
      </c>
      <c r="FE60" s="6">
        <f>COUNTIFS(Table46[Country],Tabela1[[#This Row],[Country]],Table46[Men''s Foil Classification],"&gt;0")</f>
        <v>0</v>
      </c>
      <c r="FF60" s="6">
        <f>COUNTIFS(Table46[Country],Tabela1[[#This Row],[Country]],Table46[Women''s Foil Classification],"&gt;0")</f>
        <v>0</v>
      </c>
      <c r="FG60" s="6">
        <f>COUNTIFS(Table10[Country],Tabela1[[#This Row],[Country]],Table10[Sabre Classification],"&gt;0")</f>
        <v>0</v>
      </c>
      <c r="FH60" s="6">
        <f>COUNTIFS(Table11[Country],Tabela1[[#This Row],[Country]],Table11[Sabre Classification],"&gt;0")</f>
        <v>0</v>
      </c>
      <c r="FI60" s="6">
        <f>COUNTIFS(Table46[Country],Tabela1[[#This Row],[Country]],Table46[Men''s Sabre Classification],"&gt;0")</f>
        <v>0</v>
      </c>
      <c r="FJ60" s="6">
        <f>COUNTIFS(Table46[Country],Tabela1[[#This Row],[Country]],Table46[Women''s Sabre Classification],"&gt;0")</f>
        <v>0</v>
      </c>
      <c r="FK60" s="6">
        <f>COUNTIFS(Table91[Country],Tabela1[[#This Row],[Country]],Table91[Men''s Classification],"&gt;0")</f>
        <v>0</v>
      </c>
      <c r="FL60" s="6">
        <f>COUNTIFS(Table91[Country],Tabela1[[#This Row],[Country]],Table91[Women''s Classification],"&gt;0")</f>
        <v>0</v>
      </c>
      <c r="FM60" s="6">
        <f>COUNTIFS(Table9194[Country],Tabela1[[#This Row],[Country]],Table9194[Men''s Classification],"&gt;0")</f>
        <v>0</v>
      </c>
      <c r="FN60" s="6">
        <f>COUNTIFS(Table9194[Country],Tabela1[[#This Row],[Country]],Table9194[Women''s Classification],"&gt;0")</f>
        <v>0</v>
      </c>
      <c r="FO60" s="6">
        <f>COUNTIFS(Table71[Country],Tabela1[[#This Row],[Country]],Table71[Classification],"&gt;0")</f>
        <v>0</v>
      </c>
      <c r="FP60" s="6">
        <f>COUNTIFS(Table62[Country],Tabela1[[#This Row],[Country]],Table62[Classification],"&gt;0")</f>
        <v>0</v>
      </c>
      <c r="FQ60" s="6">
        <f>COUNTIFS(Table47[Country],Tabela1[[#This Row],[Country]],Table47[All-Around Classification],"&gt;0")</f>
        <v>0</v>
      </c>
      <c r="FR60" s="6">
        <f>COUNTIFS(Table48[Country],Tabela1[[#This Row],[Country]],Table48[All-Around Classification],"&gt;0")</f>
        <v>0</v>
      </c>
      <c r="FS60" s="6">
        <f>COUNTIFS(Table81[Country],Tabela1[[#This Row],[Country]],Table81[Men''s All-Around Classification],"&gt;0")</f>
        <v>0</v>
      </c>
      <c r="FT60" s="6">
        <f>COUNTIFS(Table81[Country],Tabela1[[#This Row],[Country]],Table81[Women''s All-Around Classification],"&gt;0")</f>
        <v>0</v>
      </c>
      <c r="FU60" s="6">
        <f>COUNTIFS(Table48[Country],Tabela1[[#This Row],[Country]],Table48[Balance Beam Classification],"&gt;0")</f>
        <v>0</v>
      </c>
      <c r="FV60" s="6">
        <f>COUNTIFS(Table47[Country],Tabela1[[#This Row],[Country]],Table47[Floor Exercise Classification],"&gt;0")</f>
        <v>0</v>
      </c>
      <c r="FW60" s="6">
        <f>COUNTIFS(Table48[Country],Tabela1[[#This Row],[Country]],Table48[Floor Exercise Classification],"&gt;0")</f>
        <v>0</v>
      </c>
      <c r="FX60" s="6">
        <f>COUNTIFS(Table47[Country],Tabela1[[#This Row],[Country]],Table47[Horizontal Bar Classification],"&gt;0")</f>
        <v>0</v>
      </c>
      <c r="FY60" s="6">
        <f>COUNTIFS(Table47[Country],Tabela1[[#This Row],[Country]],Table47[Parallel Bars Classification],"&gt;0")</f>
        <v>0</v>
      </c>
      <c r="FZ60" s="6">
        <f>COUNTIFS(Table47[Country],Tabela1[[#This Row],[Country]],Table47[Pommel Horse Classification],"&gt;0")</f>
        <v>0</v>
      </c>
      <c r="GA60" s="6">
        <f>COUNTIFS(Table47[Country],Tabela1[[#This Row],[Country]],Table47[Rings Classification],"&gt;0")</f>
        <v>0</v>
      </c>
      <c r="GB60" s="6">
        <f>COUNTIFS(Tabela132[Country],Tabela1[[#This Row],[Country]],Tabela132[Classification],"&gt;0")</f>
        <v>0</v>
      </c>
      <c r="GC60" s="6">
        <f>COUNTIFS(Tabela139[Country],Tabela1[[#This Row],[Country]],Tabela139[Classification],"&gt;0")</f>
        <v>0</v>
      </c>
      <c r="GD60" s="6">
        <f>COUNTIFS(Table48[Country],Tabela1[[#This Row],[Country]],Table48[Uneven Bars Classification],"&gt;0")</f>
        <v>0</v>
      </c>
      <c r="GE60" s="6">
        <f>COUNTIFS(Table47[Country],Tabela1[[#This Row],[Country]],Table47[Vault Classification],"&gt;0")</f>
        <v>0</v>
      </c>
      <c r="GF60" s="6">
        <f>COUNTIFS(Table48[Country],Tabela1[[#This Row],[Country]],Table48[Vault Classification],"&gt;0")</f>
        <v>0</v>
      </c>
      <c r="GG60" s="6">
        <f>COUNTIFS(Table919496[Country],Tabela1[[#This Row],[Country]],Table919496[Men''s Classification],"&gt;0")</f>
        <v>0</v>
      </c>
      <c r="GH60" s="6">
        <f>COUNTIFS(Table919496[Country],Tabela1[[#This Row],[Country]],Table919496[Women''s Classification],"&gt;0")</f>
        <v>0</v>
      </c>
      <c r="GI60" s="6">
        <f>COUNTIFS(Table12[Country],Tabela1[[#This Row],[Country]],Table12[60kg Classification],"&gt;0")</f>
        <v>0</v>
      </c>
      <c r="GJ60" s="6">
        <f>COUNTIFS(Table12[Country],Tabela1[[#This Row],[Country]],Table12[66kg Classification],"&gt;0")</f>
        <v>0</v>
      </c>
      <c r="GK60" s="6">
        <f>COUNTIFS(Table12[Country],Tabela1[[#This Row],[Country]],Table12[73kg Classification],"&gt;0")</f>
        <v>0</v>
      </c>
      <c r="GL60" s="6">
        <f>COUNTIFS(Table12[Country],Tabela1[[#This Row],[Country]],Table12[81kg Classification],"&gt;0")</f>
        <v>0</v>
      </c>
      <c r="GM60" s="6">
        <f>COUNTIFS(Table12[Country],Tabela1[[#This Row],[Country]],Table12[90kg Classification],"&gt;0")</f>
        <v>0</v>
      </c>
      <c r="GN60" s="6">
        <f>COUNTIFS(Table12[Country],Tabela1[[#This Row],[Country]],Table12[100kg Classification],"&gt;0")</f>
        <v>0</v>
      </c>
      <c r="GO60" s="6">
        <f>COUNTIFS(Table12[Country],Tabela1[[#This Row],[Country]],Table12[Plus 100kg Classification],"&gt;0")</f>
        <v>0</v>
      </c>
      <c r="GP60" s="6">
        <f>COUNTIFS(Table13[Country],Tabela1[[#This Row],[Country]],Table13[48kg Classification],"&gt;0")</f>
        <v>0</v>
      </c>
      <c r="GQ60" s="6">
        <f>COUNTIFS(Table13[Country],Tabela1[[#This Row],[Country]],Table13[52kg Classification],"&gt;0")</f>
        <v>0</v>
      </c>
      <c r="GR60" s="6">
        <f>COUNTIFS(Table13[Country],Tabela1[[#This Row],[Country]],Table13[57kg Classification],"&gt;0")</f>
        <v>0</v>
      </c>
      <c r="GS60" s="6">
        <f>COUNTIFS(Table13[Country],Tabela1[[#This Row],[Country]],Table13[63kg Classification],"&gt;0")</f>
        <v>0</v>
      </c>
      <c r="GT60" s="6">
        <f>COUNTIFS(Table13[Country],Tabela1[[#This Row],[Country]],Table13[70kg Classification],"&gt;0")</f>
        <v>0</v>
      </c>
      <c r="GU60" s="6">
        <f>COUNTIFS(Table13[Country],Tabela1[[#This Row],[Country]],Table13[78kg Classification],"&gt;0")</f>
        <v>0</v>
      </c>
      <c r="GV60" s="6">
        <f>COUNTIFS(Table13[Country],Tabela1[[#This Row],[Country]],Table13[Plus 78kg Classification],"&gt;0")</f>
        <v>0</v>
      </c>
      <c r="GW60" s="6">
        <f>COUNTIFS(Table82[Country],Tabela1[[#This Row],[Country]],Table82[Mixed Classification],"&gt;0")</f>
        <v>0</v>
      </c>
      <c r="GX60" s="6">
        <f>COUNTIFS(Table51[Country],Tabela1[[#This Row],[Country]],Table51[Classification],"&gt;0")</f>
        <v>0</v>
      </c>
      <c r="GY60" s="6">
        <f>COUNTIFS(Table52[Country],Tabela1[[#This Row],[Country]],Table52[Classification],"&gt;0")</f>
        <v>0</v>
      </c>
      <c r="GZ60" s="6">
        <f>COUNTIFS(Table32[Country],Tabela1[[#This Row],[Country]],Table32[All-Around Classification],"&gt;0")</f>
        <v>0</v>
      </c>
      <c r="HA60" s="6">
        <f>COUNTIFS(Table49[Country],Tabela1[[#This Row],[Country]],Table49[All-Around Classification],"&gt;0")</f>
        <v>0</v>
      </c>
      <c r="HB60" s="6">
        <f>COUNTIFS(Table26[Country],Tabela1[[#This Row],[Country]],Table26[Single Sculls Classification],"&gt;0")</f>
        <v>1</v>
      </c>
      <c r="HC60" s="6">
        <f>COUNTIFS(Table63[Country],Tabela1[[#This Row],[Country]],Table63[Single Sculls Classification],"&gt;0")</f>
        <v>0</v>
      </c>
      <c r="HD60" s="6">
        <f>COUNTIFS(Table16[Country],Tabela1[[#This Row],[Country]],Table16[Men''s Double Sculls Classification],"&gt;0")</f>
        <v>0</v>
      </c>
      <c r="HE60" s="6">
        <f>COUNTIFS(Table16[Country],Tabela1[[#This Row],[Country]],Table16[Women''s Double Sculls Classification],"&gt;0")</f>
        <v>0</v>
      </c>
      <c r="HF60" s="6">
        <f>COUNTIFS(Table72[Country],Tabela1[[#This Row],[Country]],Table72[Men''s Quadruple Sculls Classification],"&gt;0")</f>
        <v>0</v>
      </c>
      <c r="HG60" s="6">
        <f>COUNTIFS(Table72[Country],Tabela1[[#This Row],[Country]],Table72[Women''s Quadruple Sculls Classification],"&gt;0")</f>
        <v>0</v>
      </c>
      <c r="HH60" s="6">
        <f>COUNTIFS(Table16[Country],Tabela1[[#This Row],[Country]],Table16[Men''s Coxless Pairs Classification],"&gt;0")</f>
        <v>0</v>
      </c>
      <c r="HI60" s="6">
        <f>COUNTIFS(Table16[Country],Tabela1[[#This Row],[Country]],Table16[Women''s Coxless Pairs Classification],"&gt;0")</f>
        <v>0</v>
      </c>
      <c r="HJ60" s="6">
        <f>COUNTIFS(Table72[Country],Tabela1[[#This Row],[Country]],Table72[Men''s Coxless Fours Classification],"&gt;0")</f>
        <v>0</v>
      </c>
      <c r="HK60" s="6">
        <f>COUNTIFS(Table72[Country],Tabela1[[#This Row],[Country]],Table72[Women''s Coxless Fours Classification],"&gt;0")</f>
        <v>0</v>
      </c>
      <c r="HL60" s="6">
        <f>COUNTIFS(Table72[Country],Tabela1[[#This Row],[Country]],Table72[Men''s Eights Classification],"&gt;0")</f>
        <v>0</v>
      </c>
      <c r="HM60" s="6">
        <f>COUNTIFS(Table72[Country],Tabela1[[#This Row],[Country]],Table72[Women''s Eights Classification],"&gt;0")</f>
        <v>0</v>
      </c>
      <c r="HN60" s="6">
        <f>COUNTIFS(Table16[Country],Tabela1[[#This Row],[Country]],Table16[Men''s Lwt. Double Sculls Classification],"&gt;0")</f>
        <v>0</v>
      </c>
      <c r="HO60" s="6">
        <f>COUNTIFS(Table16[Country],Tabela1[[#This Row],[Country]],Table16[Women''s Lwt. Double Sculls Classification],"&gt;0")</f>
        <v>0</v>
      </c>
      <c r="HP60" s="6">
        <f>COUNTIFS(Table91949698[Country],Tabela1[[#This Row],[Country]],Table91949698[Men''s Classification],"&gt;0")</f>
        <v>0</v>
      </c>
      <c r="HQ60" s="6">
        <f>COUNTIFS(Table91949698[Country],Tabela1[[#This Row],[Country]],Table91949698[Women''s Classification],"&gt;0")</f>
        <v>0</v>
      </c>
      <c r="HR60" s="6">
        <f>COUNTIFS(Table25[Country],Tabela1[[#This Row],[Country]],Table25[Mixed 470 Classification],"&gt;0")</f>
        <v>0</v>
      </c>
      <c r="HS60" s="6">
        <f>COUNTIFS(Table25[Country],Tabela1[[#This Row],[Country]],Table25[Men''s 49er Classification],"&gt;0")</f>
        <v>0</v>
      </c>
      <c r="HT60" s="6">
        <f>COUNTIFS(Table25[Country],Tabela1[[#This Row],[Country]],Table25[Women''s 49er FX Classification],"&gt;0")</f>
        <v>0</v>
      </c>
      <c r="HU60" s="6">
        <f>COUNTIFS(Table17[Country],Tabela1[[#This Row],[Country]],Table17[Formula Kite Classification],"&gt;0")</f>
        <v>0</v>
      </c>
      <c r="HV60" s="6">
        <f>COUNTIFS(Table18[Country],Tabela1[[#This Row],[Country]],Table18[Formula Kite Classification],"&gt;0")</f>
        <v>0</v>
      </c>
      <c r="HW60" s="6">
        <f>COUNTIFS(Table17[Country],Tabela1[[#This Row],[Country]],Table17[ILCA 7 Classification],"&gt;0")</f>
        <v>0</v>
      </c>
      <c r="HX60" s="6">
        <f>COUNTIFS(Table18[Country],Tabela1[[#This Row],[Country]],Table18[ILCA 6 Classification],"&gt;0")</f>
        <v>0</v>
      </c>
      <c r="HY60" s="6">
        <f>COUNTIFS(Table17[Country],Tabela1[[#This Row],[Country]],Table17[IQFoil Classification],"&gt;0")</f>
        <v>0</v>
      </c>
      <c r="HZ60" s="6">
        <f>COUNTIFS(Table18[Country],Tabela1[[#This Row],[Country]],Table18[IQFoil Classification],"&gt;0")</f>
        <v>0</v>
      </c>
      <c r="IA60" s="6">
        <f>COUNTIFS(Table25[Country],Tabela1[[#This Row],[Country]],Table25[Mixed Nacra 17 Classification],"&gt;0")</f>
        <v>0</v>
      </c>
      <c r="IB60" s="6">
        <f>COUNTIFS(Table53[Country],Tabela1[[#This Row],[Country]],Table53[10m Air Pistol Classification],"&gt;0")</f>
        <v>0</v>
      </c>
      <c r="IC60" s="6">
        <f>COUNTIFS(Table19[Country],Tabela1[[#This Row],[Country]],Table19[10m Air Pistol Classification],"&gt;0")</f>
        <v>0</v>
      </c>
      <c r="ID60" s="6">
        <f>COUNTIFS(Table54[Country],Tabela1[[#This Row],[Country]],Table54[Mixed 10m Air Pistol Team Classification],"&gt;0")</f>
        <v>0</v>
      </c>
      <c r="IE60" s="6">
        <f>COUNTIFS(Table53[Country],Tabela1[[#This Row],[Country]],Table53[10m Air Rifle Classification],"&gt;0")</f>
        <v>0</v>
      </c>
      <c r="IF60" s="6">
        <f>COUNTIFS(Table19[Country],Tabela1[[#This Row],[Country]],Table19[10m Air Rifle Classification],"&gt;0")</f>
        <v>0</v>
      </c>
      <c r="IG60" s="6">
        <f>COUNTIFS(Table54[Country],Tabela1[[#This Row],[Country]],Table54[Mixed 10m Air Rifle Team Classification],"&gt;0")</f>
        <v>0</v>
      </c>
      <c r="IH60" s="6">
        <f>COUNTIFS(Table53[Country],Tabela1[[#This Row],[Country]],Table53[25m Rapid Fire Pistol Classification],"&gt;0")</f>
        <v>0</v>
      </c>
      <c r="II60" s="6">
        <f>COUNTIFS(Table19[Country],Tabela1[[#This Row],[Country]],Table19[25m Pistol Classification],"&gt;0")</f>
        <v>0</v>
      </c>
      <c r="IJ60" s="6">
        <f>COUNTIFS(Table53[Country],Tabela1[[#This Row],[Country]],Table53[50m Rifle 3 Positions Classification],"&gt;0")</f>
        <v>0</v>
      </c>
      <c r="IK60" s="6">
        <f>COUNTIFS(Table19[Country],Tabela1[[#This Row],[Country]],Table19[50m Rifle 3 Positions Classification],"&gt;0")</f>
        <v>0</v>
      </c>
      <c r="IL60" s="6">
        <f>COUNTIFS(Table53[Country],Tabela1[[#This Row],[Country]],Table53[Skeet Classification],"&gt;0")</f>
        <v>0</v>
      </c>
      <c r="IM60" s="6">
        <f>COUNTIFS(Table19[Country],Tabela1[[#This Row],[Country]],Table19[Skeet Classification],"&gt;0")</f>
        <v>0</v>
      </c>
      <c r="IN60" s="6">
        <f>COUNTIFS(Table54[Country],Tabela1[[#This Row],[Country]],Table54[Mixed Skeet Team Classification],"&gt;0")</f>
        <v>0</v>
      </c>
      <c r="IO60" s="6">
        <f>COUNTIFS(Table53[Country],Tabela1[[#This Row],[Country]],Table53[Trap Classification],"&gt;0")</f>
        <v>0</v>
      </c>
      <c r="IP60" s="6">
        <f>COUNTIFS(Table19[Country],Tabela1[[#This Row],[Country]],Table19[Trap Classification],"&gt;0")</f>
        <v>0</v>
      </c>
      <c r="IQ60" s="6">
        <f>COUNTIFS(Table73[Country],Tabela1[[#This Row],[Country]],Table73[Park Classification],"&gt;0")</f>
        <v>0</v>
      </c>
      <c r="IR60" s="6">
        <f>COUNTIFS(Table74[Country],Tabela1[[#This Row],[Country]],Table74[Park Classification],"&gt;0")</f>
        <v>0</v>
      </c>
      <c r="IS60" s="6">
        <f>COUNTIFS(Table73[Country],Tabela1[[#This Row],[Country]],Table73[Street Classification],"&gt;0")</f>
        <v>0</v>
      </c>
      <c r="IT60" s="6">
        <f>COUNTIFS(Table74[Country],Tabela1[[#This Row],[Country]],Table74[Street Classification],"&gt;0")</f>
        <v>0</v>
      </c>
      <c r="IU60" s="6">
        <f>COUNTIFS(Table75[Country],Tabela1[[#This Row],[Country]],Table75[Boulder and Lead Classification],"&gt;0")</f>
        <v>0</v>
      </c>
      <c r="IV60" s="6">
        <f>COUNTIFS(Table76[Country],Tabela1[[#This Row],[Country]],Table76[Boulder and Lead Classification],"&gt;0")</f>
        <v>0</v>
      </c>
      <c r="IW60" s="6">
        <f>COUNTIFS(Table75[Country],Tabela1[[#This Row],[Country]],Table75[Speed Classification],"&gt;0")</f>
        <v>1</v>
      </c>
      <c r="IX60" s="6">
        <f>COUNTIFS(Table76[Country],Tabela1[[#This Row],[Country]],Table76[Speed Classification],"&gt;0")</f>
        <v>1</v>
      </c>
      <c r="IY60" s="6">
        <f>COUNTIFS(Table64[Country],Tabela1[[#This Row],[Country]],Table64[Shortboard Classification],"&gt;0")</f>
        <v>0</v>
      </c>
      <c r="IZ60" s="6">
        <f>COUNTIFS(Table77[Country],Tabela1[[#This Row],[Country]],Table77[Shortboard Classification],"&gt;0")</f>
        <v>0</v>
      </c>
      <c r="JA60" s="6">
        <f>COUNTIFS(Table20[Country],Tabela1[[#This Row],[Country]],Table20[50m Freestyle Classification],"&gt;0")</f>
        <v>0</v>
      </c>
      <c r="JB60" s="6">
        <f>COUNTIFS(Table21[Country],Tabela1[[#This Row],[Country]],Table21[50m Freestyle Classification],"&gt;0")</f>
        <v>0</v>
      </c>
      <c r="JC60" s="6">
        <f>COUNTIFS(Table20[Country],Tabela1[[#This Row],[Country]],Table20[100m Freestyle Classification],"&gt;0")</f>
        <v>0</v>
      </c>
      <c r="JD60" s="6">
        <f>COUNTIFS(Table21[Country],Tabela1[[#This Row],[Country]],Table21[100m Freestyle Classification],"&gt;0")</f>
        <v>0</v>
      </c>
      <c r="JE60" s="6">
        <f>COUNTIFS(Table20[Country],Tabela1[[#This Row],[Country]],Table20[200m Freestyle Classification],"&gt;0")</f>
        <v>0</v>
      </c>
      <c r="JF60" s="6">
        <f>COUNTIFS(Table21[Country],Tabela1[[#This Row],[Country]],Table21[200m Freestyle Classification],"&gt;0")</f>
        <v>0</v>
      </c>
      <c r="JG60" s="6">
        <f>COUNTIFS(Table20[Country],Tabela1[[#This Row],[Country]],Table20[400m Freestyle Classification],"&gt;0")</f>
        <v>0</v>
      </c>
      <c r="JH60" s="6">
        <f>COUNTIFS(Table21[Country],Tabela1[[#This Row],[Country]],Table21[400m Freestyle Classification],"&gt;0")</f>
        <v>0</v>
      </c>
      <c r="JI60" s="6">
        <f>COUNTIFS(Table20[Country],Tabela1[[#This Row],[Country]],Table20[800m Freestyle Classification],"&gt;0")</f>
        <v>0</v>
      </c>
      <c r="JJ60" s="6">
        <f>COUNTIFS(Table21[Country],Tabela1[[#This Row],[Country]],Table21[800m Freestyle Classification],"&gt;0")</f>
        <v>0</v>
      </c>
      <c r="JK60" s="6">
        <f>COUNTIFS(Table20[Country],Tabela1[[#This Row],[Country]],Table20[1500m Freestyle Classification],"&gt;0")</f>
        <v>0</v>
      </c>
      <c r="JL60" s="6">
        <f>COUNTIFS(Table21[Country],Tabela1[[#This Row],[Country]],Table21[1500m Freestyle Classification],"&gt;0")</f>
        <v>0</v>
      </c>
      <c r="JM60" s="6">
        <f>COUNTIFS(Table20[Country],Tabela1[[#This Row],[Country]],Table20[100m Backstroke Classification],"&gt;0")</f>
        <v>0</v>
      </c>
      <c r="JN60" s="6">
        <f>COUNTIFS(Table21[Country],Tabela1[[#This Row],[Country]],Table21[100m Backstroke Classification],"&gt;0")</f>
        <v>0</v>
      </c>
      <c r="JO60" s="6">
        <f>COUNTIFS(Table20[Country],Tabela1[[#This Row],[Country]],Table20[200m Backstroke Classification],"&gt;0")</f>
        <v>0</v>
      </c>
      <c r="JP60" s="6">
        <f>COUNTIFS(Table21[Country],Tabela1[[#This Row],[Country]],Table21[200m Backstroke Classification],"&gt;0")</f>
        <v>0</v>
      </c>
      <c r="JQ60" s="6">
        <f>COUNTIFS(Table20[Country],Tabela1[[#This Row],[Country]],Table20[100m Breaststroke Classification],"&gt;0")</f>
        <v>0</v>
      </c>
      <c r="JR60" s="6">
        <f>COUNTIFS(Table21[Country],Tabela1[[#This Row],[Country]],Table21[100m Breaststroke Classification],"&gt;0")</f>
        <v>0</v>
      </c>
      <c r="JS60" s="6">
        <f>COUNTIFS(Table20[Country],Tabela1[[#This Row],[Country]],Table20[200m Breaststroke Classification],"&gt;0")</f>
        <v>0</v>
      </c>
      <c r="JT60" s="6">
        <f>COUNTIFS(Table21[Country],Tabela1[[#This Row],[Country]],Table21[200m Breaststroke Classification],"&gt;0")</f>
        <v>0</v>
      </c>
      <c r="JU60" s="6">
        <f>COUNTIFS(Table20[Country],Tabela1[[#This Row],[Country]],Table20[100m Butterfly Classification],"&gt;0")</f>
        <v>0</v>
      </c>
      <c r="JV60" s="6">
        <f>COUNTIFS(Table21[Country],Tabela1[[#This Row],[Country]],Table21[100m Butterfly Classification],"&gt;0")</f>
        <v>0</v>
      </c>
      <c r="JW60" s="6">
        <f>COUNTIFS(Table20[Country],Tabela1[[#This Row],[Country]],Table20[200m Butterfly Classification],"&gt;0")</f>
        <v>0</v>
      </c>
      <c r="JX60" s="6">
        <f>COUNTIFS(Table21[Country],Tabela1[[#This Row],[Country]],Table21[200m Butterfly Classification],"&gt;0")</f>
        <v>0</v>
      </c>
      <c r="JY60" s="6">
        <f>COUNTIFS(Table20[Country],Tabela1[[#This Row],[Country]],Table20[200m Medley Classification],"&gt;0")</f>
        <v>0</v>
      </c>
      <c r="JZ60" s="6">
        <f>COUNTIFS(Table21[Country],Tabela1[[#This Row],[Country]],Table21[200m Medley Classification],"&gt;0")</f>
        <v>0</v>
      </c>
      <c r="KA60" s="6">
        <f>COUNTIFS(Table20[Country],Tabela1[[#This Row],[Country]],Table20[400m Medley Classification],"&gt;0")</f>
        <v>0</v>
      </c>
      <c r="KB60" s="6">
        <f>COUNTIFS(Table21[Country],Tabela1[[#This Row],[Country]],Table21[400m Medley Classification],"&gt;0")</f>
        <v>0</v>
      </c>
      <c r="KC60" s="6">
        <f>COUNTIFS(Table78[Country],Tabela1[[#This Row],[Country]],Table78[Men''s 4x100m Freestyle Relay Classification],"&gt;0")</f>
        <v>0</v>
      </c>
      <c r="KD60" s="6">
        <f>COUNTIFS(Table78[Country],Tabela1[[#This Row],[Country]],Table78[Women''s 4x100m Freestyle Relay Classification],"&gt;0")</f>
        <v>0</v>
      </c>
      <c r="KE60" s="6">
        <f>COUNTIFS(Table78[Country],Tabela1[[#This Row],[Country]],Table78[Men''s 4x200m Freestyle Relay Classification],"&gt;0")</f>
        <v>0</v>
      </c>
      <c r="KF60" s="6">
        <f>COUNTIFS(Table78[Country],Tabela1[[#This Row],[Country]],Table78[Women''s 4x200m Freestyle Relay Classification],"&gt;0")</f>
        <v>0</v>
      </c>
      <c r="KG60" s="6">
        <f>COUNTIFS(Table78[Country],Tabela1[[#This Row],[Country]],Table78[Men''s 4x100m Medley Relay Classification],"&gt;0")</f>
        <v>0</v>
      </c>
      <c r="KH60" s="6">
        <f>COUNTIFS(Table78[Country],Tabela1[[#This Row],[Country]],Table78[Women''s 4x100m Medley Relay Classification],"&gt;0")</f>
        <v>0</v>
      </c>
      <c r="KI60" s="6">
        <f>COUNTIFS(Table78[Country],Tabela1[[#This Row],[Country]],Table78[Mixed 4x100m Medley Relay Classification],"&gt;0")</f>
        <v>0</v>
      </c>
      <c r="KJ60" s="6">
        <f>COUNTIFS(Table20[Country],Tabela1[[#This Row],[Country]],Table20[10km Open Water Classification],"&gt;0")</f>
        <v>0</v>
      </c>
      <c r="KK60" s="6">
        <f>COUNTIFS(Table21[Country],Tabela1[[#This Row],[Country]],Table21[10km Open Water Classification],"&gt;0")</f>
        <v>0</v>
      </c>
      <c r="KL60" s="6">
        <f>COUNTIFS(Table22[Country],Tabela1[[#This Row],[Country]],Table22[Classification],"&gt;0")</f>
        <v>0</v>
      </c>
      <c r="KM60" s="6">
        <f>COUNTIFS(Table30[Country],Tabela1[[#This Row],[Country]],Table30[Classification],"&gt;0")</f>
        <v>0</v>
      </c>
      <c r="KN60" s="6">
        <f>COUNTIFS(Table55[Country],Tabela1[[#This Row],[Country]],Table55[Men''s Classification],"&gt;0")</f>
        <v>0</v>
      </c>
      <c r="KO60" s="6">
        <f>COUNTIFS(Table55[Country],Tabela1[[#This Row],[Country]],Table55[Women''s Classification],"&gt;0")</f>
        <v>0</v>
      </c>
      <c r="KP60" s="6">
        <f>COUNTIFS(Table56[Country],Tabela1[[#This Row],[Country]],Table56[Mixed Classification],"&gt;0")</f>
        <v>0</v>
      </c>
      <c r="KQ60" s="6">
        <f>COUNTIFS(Table29[Country],Tabela1[[#This Row],[Country]],Table29[58kg Classification],"&gt;0")</f>
        <v>0</v>
      </c>
      <c r="KR60" s="6">
        <f>COUNTIFS(Table29[Country],Tabela1[[#This Row],[Country]],Table29[68kg Classification],"&gt;0")</f>
        <v>0</v>
      </c>
      <c r="KS60" s="6">
        <f>COUNTIFS(Table29[Country],Tabela1[[#This Row],[Country]],Table29[80kg Classification],"&gt;0")</f>
        <v>0</v>
      </c>
      <c r="KT60" s="6">
        <f>COUNTIFS(Table29[Country],Tabela1[[#This Row],[Country]],Table29[Plus 80kg Classification],"&gt;0")</f>
        <v>0</v>
      </c>
      <c r="KU60" s="6">
        <f>COUNTIFS(Table34[Country],Tabela1[[#This Row],[Country]],Table34[49kg Classification],"&gt;0")</f>
        <v>0</v>
      </c>
      <c r="KV60" s="6">
        <f>COUNTIFS(Table34[Country],Tabela1[[#This Row],[Country]],Table34[57kg Classification],"&gt;0")</f>
        <v>0</v>
      </c>
      <c r="KW60" s="6">
        <f>COUNTIFS(Table34[Country],Tabela1[[#This Row],[Country]],Table34[67kg Classification],"&gt;0")</f>
        <v>0</v>
      </c>
      <c r="KX60" s="6">
        <f>COUNTIFS(Table34[Country],Tabela1[[#This Row],[Country]],Table34[Plus 67kg Classification],"&gt;0")</f>
        <v>0</v>
      </c>
      <c r="KY60" s="6">
        <f>COUNTIFS(Table57[Country],Tabela1[[#This Row],[Country]],Table57[Classification],"&gt;0")</f>
        <v>0</v>
      </c>
      <c r="KZ60" s="6">
        <f>COUNTIFS(Table58[Country],Tabela1[[#This Row],[Country]],Table58[Classification],"&gt;0")</f>
        <v>0</v>
      </c>
      <c r="LA60" s="6">
        <f>COUNTIFS(Table79[Country],Tabela1[[#This Row],[Country]],Table79[Men''s Classification],"&gt;0")</f>
        <v>0</v>
      </c>
      <c r="LB60" s="6">
        <f>COUNTIFS(Table79[Country],Tabela1[[#This Row],[Country]],Table79[Women''s Classification],"&gt;0")</f>
        <v>0</v>
      </c>
      <c r="LC60" s="6">
        <f>COUNTIFS(Table79[Country],Tabela1[[#This Row],[Country]],Table79[Mixed Classification],"&gt;0")</f>
        <v>0</v>
      </c>
      <c r="LD60" s="6">
        <f>COUNTIFS(Table65[Country],Tabela1[[#This Row],[Country]],Table65[Classification],"&gt;0")</f>
        <v>0</v>
      </c>
      <c r="LE60" s="6">
        <f>COUNTIFS(Table59[Country],Tabela1[[#This Row],[Country]],Table59[Classification],"&gt;0")</f>
        <v>0</v>
      </c>
      <c r="LF60" s="6">
        <f>COUNTIFS(Table87[Country],Tabela1[[#This Row],[Country]],Table87[Mixed Relay Classification],"&gt;0")</f>
        <v>0</v>
      </c>
      <c r="LG60" s="6">
        <f>COUNTIFS(Table91949698100[Country],Tabela1[[#This Row],[Country]],Table91949698100[Men''s Classification],"&gt;0")</f>
        <v>0</v>
      </c>
      <c r="LH60" s="6">
        <f>COUNTIFS(Table91949698100[Country],Tabela1[[#This Row],[Country]],Table91949698100[Women''s Classification],"&gt;0")</f>
        <v>0</v>
      </c>
      <c r="LI60" s="6">
        <f>COUNTIFS(Table91949698100102[Country],Tabela1[[#This Row],[Country]],Table91949698100102[Men''s Classification],"&gt;0")</f>
        <v>0</v>
      </c>
      <c r="LJ60" s="6">
        <f>COUNTIFS(Table91949698100102[Country],Tabela1[[#This Row],[Country]],Table91949698100102[Women''s Classification],"&gt;0")</f>
        <v>0</v>
      </c>
      <c r="LK60" s="6">
        <f>COUNTIFS(Table23[Country],Tabela1[[#This Row],[Country]],Table23[61kg Classification],"&gt;0")</f>
        <v>0</v>
      </c>
      <c r="LL60" s="6">
        <f>COUNTIFS(Table23[Country],Tabela1[[#This Row],[Country]],Table23[73kg Classification],"&gt;0")</f>
        <v>0</v>
      </c>
      <c r="LM60" s="6">
        <f>COUNTIFS(Table23[Country],Tabela1[[#This Row],[Country]],Table23[89kg Classification],"&gt;0")</f>
        <v>0</v>
      </c>
      <c r="LN60" s="6">
        <f>COUNTIFS(Table23[Country],Tabela1[[#This Row],[Country]],Table23[102kg Classification],"&gt;0")</f>
        <v>0</v>
      </c>
      <c r="LO60" s="6">
        <f>COUNTIFS(Table23[Country],Tabela1[[#This Row],[Country]],Table23[Plus 102kg Classification],"&gt;0")</f>
        <v>0</v>
      </c>
      <c r="LP60" s="6">
        <f>COUNTIFS(Table28[Country],Tabela1[[#This Row],[Country]],Table28[49kg Classification],"&gt;0")</f>
        <v>0</v>
      </c>
      <c r="LQ60" s="6">
        <f>COUNTIFS(Table28[Country],Tabela1[[#This Row],[Country]],Table28[59kg Classification],"&gt;0")</f>
        <v>0</v>
      </c>
      <c r="LR60" s="6">
        <f>COUNTIFS(Table28[Country],Tabela1[[#This Row],[Country]],Table28[71kg Classification],"&gt;0")</f>
        <v>0</v>
      </c>
      <c r="LS60" s="6">
        <f>COUNTIFS(Table28[Country],Tabela1[[#This Row],[Country]],Table28[81kg Classification],"&gt;0")</f>
        <v>0</v>
      </c>
      <c r="LT60" s="6">
        <f>COUNTIFS(Table28[Country],Tabela1[[#This Row],[Country]],Table28[Plus 81kg Classification],"&gt;0")</f>
        <v>1</v>
      </c>
      <c r="LU60" s="6">
        <f>COUNTIFS(Table24[Country],Tabela1[[#This Row],[Country]],Table24[Freestyle 57kg Classification],"&gt;0")</f>
        <v>0</v>
      </c>
      <c r="LV60" s="6">
        <f>COUNTIFS(Table24[Country],Tabela1[[#This Row],[Country]],Table24[Freestyle 65kg Classification],"&gt;0")</f>
        <v>0</v>
      </c>
      <c r="LW60" s="6">
        <f>COUNTIFS(Table24[Country],Tabela1[[#This Row],[Country]],Table24[Freestyle 74kg Classification],"&gt;0")</f>
        <v>0</v>
      </c>
      <c r="LX60" s="6">
        <f>COUNTIFS(Table24[Country],Tabela1[[#This Row],[Country]],Table24[Freestyle 86kg Classification],"&gt;0")</f>
        <v>0</v>
      </c>
      <c r="LY60" s="6">
        <f>COUNTIFS(Table24[Country],Tabela1[[#This Row],[Country]],Table24[Freestyle 97kg Classification],"&gt;0")</f>
        <v>0</v>
      </c>
      <c r="LZ60" s="6">
        <f>COUNTIFS(Table24[Country],Tabela1[[#This Row],[Country]],Table24[Freestyle 125kg Classification],"&gt;0")</f>
        <v>0</v>
      </c>
      <c r="MA60" s="6">
        <f>COUNTIFS(Table24[Country],Tabela1[[#This Row],[Country]],Table24[Greco-Roman 60kg Classification],"&gt;0")</f>
        <v>0</v>
      </c>
      <c r="MB60" s="6">
        <f>COUNTIFS(Table24[Country],Tabela1[[#This Row],[Country]],Table24[Greco-Roman 67kg Classification],"&gt;0")</f>
        <v>0</v>
      </c>
      <c r="MC60" s="6">
        <f>COUNTIFS(Table24[Country],Tabela1[[#This Row],[Country]],Table24[Greco-Roman 77kg Classification],"&gt;0")</f>
        <v>0</v>
      </c>
      <c r="MD60" s="6">
        <f>COUNTIFS(Table24[Country],Tabela1[[#This Row],[Country]],Table24[Greco-Roman 87kg Classification],"&gt;0")</f>
        <v>0</v>
      </c>
      <c r="ME60" s="6">
        <f>COUNTIFS(Table24[Country],Tabela1[[#This Row],[Country]],Table24[Greco-Roman 97kg Classification],"&gt;0")</f>
        <v>0</v>
      </c>
      <c r="MF60" s="6">
        <f>COUNTIFS(Table24[Country],Tabela1[[#This Row],[Country]],Table24[Greco-Roman 130kg Classification],"&gt;0")</f>
        <v>0</v>
      </c>
      <c r="MG60" s="6">
        <f>COUNTIFS(Table31[Country],Tabela1[[#This Row],[Country]],Table31[50kg Classification],"&gt;0")</f>
        <v>0</v>
      </c>
      <c r="MH60" s="6">
        <f>COUNTIFS(Table31[Country],Tabela1[[#This Row],[Country]],Table31[53kg Classification],"&gt;0")</f>
        <v>0</v>
      </c>
      <c r="MI60" s="6">
        <f>COUNTIFS(Table31[Country],Tabela1[[#This Row],[Country]],Table31[57kg Classification],"&gt;0")</f>
        <v>0</v>
      </c>
      <c r="MJ60" s="6">
        <f>COUNTIFS(Table31[Country],Tabela1[[#This Row],[Country]],Table31[62kg Classification],"&gt;0")</f>
        <v>0</v>
      </c>
      <c r="MK60" s="6">
        <f>COUNTIFS(Table31[Country],Tabela1[[#This Row],[Country]],Table31[68kg Classification],"&gt;0")</f>
        <v>0</v>
      </c>
      <c r="ML60" s="6">
        <f>COUNTIFS(Table31[Country],Tabela1[[#This Row],[Country]],Table31[76kg Classification],"&gt;0")</f>
        <v>0</v>
      </c>
      <c r="MM60" s="6">
        <f>COUNTIFS(Table102[Country],Tabela1[[#This Row],[Country]],Table102[Downhill Classification],"&gt;0")</f>
        <v>0</v>
      </c>
      <c r="MN60" s="6">
        <f>COUNTIFS(Table102105[Country],Tabela1[[#This Row],[Country]],Table102105[Downhill Classification],"&gt;0")</f>
        <v>0</v>
      </c>
      <c r="MO60" s="6">
        <f>COUNTIFS(Table102[Country],Tabela1[[#This Row],[Country]],Table102[Giant Slalom Classification],"&gt;0")</f>
        <v>0</v>
      </c>
      <c r="MP60" s="6">
        <f>COUNTIFS(Table102105[Country],Tabela1[[#This Row],[Country]],Table102105[Giant Slalom Classification],"&gt;0")</f>
        <v>0</v>
      </c>
      <c r="MQ60" s="6">
        <f>COUNTIFS(Table102[Country],Tabela1[[#This Row],[Country]],Table102[Slalom Classification],"&gt;0")</f>
        <v>0</v>
      </c>
      <c r="MR60" s="6">
        <f>COUNTIFS(Table102105[Country],Tabela1[[#This Row],[Country]],Table102105[Slalom Classification],"&gt;0")</f>
        <v>0</v>
      </c>
      <c r="MS60" s="6">
        <f>COUNTIFS(Table102[Country],Tabela1[[#This Row],[Country]],Table102[Super-G Classification],"&gt;0")</f>
        <v>0</v>
      </c>
      <c r="MT60" s="6">
        <f>COUNTIFS(Table102105[Country],Tabela1[[#This Row],[Country]],Table102105[Super-G Classification],"&gt;0")</f>
        <v>0</v>
      </c>
      <c r="MU60" s="6">
        <f>COUNTIFS(Table105[Country],Tabela1[[#This Row],[Country]],Table105[Men''s Combined Classification],"&gt;0")</f>
        <v>0</v>
      </c>
      <c r="MV60" s="6">
        <f>COUNTIFS(Table105[Country],Tabela1[[#This Row],[Country]],Table105[Women''s Combined Classification],"&gt;0")</f>
        <v>0</v>
      </c>
      <c r="MW60" s="6">
        <f>COUNTIFS(Table106[Country],Tabela1[[#This Row],[Country]],Table106[Individual Classification],"&gt;0")</f>
        <v>0</v>
      </c>
      <c r="MX60" s="6">
        <f>COUNTIFS(Table106109[Country],Tabela1[[#This Row],[Country]],Table106109[Individual Classification],"&gt;0")</f>
        <v>0</v>
      </c>
      <c r="MY60" s="6">
        <f>COUNTIFS(Table106[Country],Tabela1[[#This Row],[Country]],Table106[Mass Start Classification],"&gt;0")</f>
        <v>0</v>
      </c>
      <c r="MZ60" s="6">
        <f>COUNTIFS(Table106109[Country],Tabela1[[#This Row],[Country]],Table106109[Mass Start Classification],"&gt;0")</f>
        <v>0</v>
      </c>
      <c r="NA60" s="6">
        <f>COUNTIFS(Table106[Country],Tabela1[[#This Row],[Country]],Table106[Pursuit Classification],"&gt;0")</f>
        <v>0</v>
      </c>
      <c r="NB60" s="6">
        <f>COUNTIFS(Table106109[Country],Tabela1[[#This Row],[Country]],Table106109[Pursuit Classification],"&gt;0")</f>
        <v>0</v>
      </c>
      <c r="NC60" s="6">
        <f>COUNTIFS(Table106[Country],Tabela1[[#This Row],[Country]],Table106[Sprint Classification],"&gt;0")</f>
        <v>0</v>
      </c>
      <c r="ND60" s="6">
        <f>COUNTIFS(Table106109[Country],Tabela1[[#This Row],[Country]],Table106109[Sprint Classification],"&gt;0")</f>
        <v>0</v>
      </c>
      <c r="NE60" s="6">
        <f>COUNTIFS(Table109[Country],Tabela1[[#This Row],[Country]],Table109[Men''s Relay Classification],"&gt;0")</f>
        <v>0</v>
      </c>
      <c r="NF60" s="6">
        <f>COUNTIFS(Table109[Country],Tabela1[[#This Row],[Country]],Table109[Women''s Relay Classification],"&gt;0")</f>
        <v>0</v>
      </c>
      <c r="NG60" s="6">
        <f>COUNTIFS(Table109[Country],Tabela1[[#This Row],[Country]],Table109[Mixed Relay Classification],"&gt;0")</f>
        <v>0</v>
      </c>
      <c r="NH60" s="6">
        <f>COUNTIFS(Table110[Country],Tabela1[[#This Row],[Country]],Table110[Monobob Classification],"&gt;0")</f>
        <v>0</v>
      </c>
      <c r="NI60" s="6">
        <f>COUNTIFS(Table111[Country],Tabela1[[#This Row],[Country]],Table111[Men''s Classification],"&gt;0")</f>
        <v>0</v>
      </c>
      <c r="NJ60" s="6">
        <f>COUNTIFS(Table111[Country],Tabela1[[#This Row],[Country]],Table111[Women''s Classification],"&gt;0")</f>
        <v>0</v>
      </c>
      <c r="NK60" s="6">
        <f>COUNTIFS(Table112[Country],Tabela1[[#This Row],[Country]],Table112[Men''s Four Classification],"&gt;0")</f>
        <v>0</v>
      </c>
      <c r="NL60" s="6">
        <f>COUNTIFS(Table113[Country],Tabela1[[#This Row],[Country]],Table113[Classical Classification],"&gt;0")</f>
        <v>0</v>
      </c>
      <c r="NM60" s="6">
        <f>COUNTIFS(Table113116[Country],Tabela1[[#This Row],[Country]],Table113116[Classical Classification],"&gt;0")</f>
        <v>0</v>
      </c>
      <c r="NN60" s="6">
        <f>COUNTIFS(Table113[Country],Tabela1[[#This Row],[Country]],Table113[Freestyle Classification],"&gt;0")</f>
        <v>0</v>
      </c>
      <c r="NO60" s="6">
        <f>COUNTIFS(Table113116[Country],Tabela1[[#This Row],[Country]],Table113116[Freestyle Classification],"&gt;0")</f>
        <v>0</v>
      </c>
      <c r="NP60" s="6">
        <f>COUNTIFS(Table117[Country],Tabela1[[#This Row],[Country]],Table117[Men''s Relay Classification],"&gt;0")</f>
        <v>0</v>
      </c>
      <c r="NQ60" s="6">
        <f>COUNTIFS(Table117[Country],Tabela1[[#This Row],[Country]],Table117[Women''s Relay Classification],"&gt;0")</f>
        <v>0</v>
      </c>
      <c r="NR60" s="6">
        <f>COUNTIFS(Table113[Country],Tabela1[[#This Row],[Country]],Table113[Skiathlon Classification],"&gt;0")</f>
        <v>0</v>
      </c>
      <c r="NS60" s="6">
        <f>COUNTIFS(Table113116[Country],Tabela1[[#This Row],[Country]],Table113116[Skiathlon Classification],"&gt;0")</f>
        <v>0</v>
      </c>
      <c r="NT60" s="6">
        <f>COUNTIFS(Table113[Country],Tabela1[[#This Row],[Country]],Table113[Sprint Classification],"&gt;0")</f>
        <v>0</v>
      </c>
      <c r="NU60" s="6">
        <f>COUNTIFS(Table113116[Country],Tabela1[[#This Row],[Country]],Table113116[Sprint Classification],"&gt;0")</f>
        <v>0</v>
      </c>
      <c r="NV60" s="6">
        <f>COUNTIFS(Table116[Country],Tabela1[[#This Row],[Country]],Table116[Men''s Team Sprint Classification],"&gt;0")</f>
        <v>0</v>
      </c>
      <c r="NW60" s="6">
        <f>COUNTIFS(Table116[Country],Tabela1[[#This Row],[Country]],Table116[Women''s Team Sprint Classification],"&gt;0")</f>
        <v>0</v>
      </c>
      <c r="NX60" s="6">
        <f>COUNTIFS(Table119[Country],Tabela1[[#This Row],[Country]],Table119[Men''s Classification],"&gt;0")</f>
        <v>0</v>
      </c>
      <c r="NY60" s="6">
        <f>COUNTIFS(Table119[Country],Tabela1[[#This Row],[Country]],Table119[Women''s Classification],"&gt;0")</f>
        <v>0</v>
      </c>
      <c r="NZ60" s="6">
        <f>COUNTIFS(Table118[Country],Tabela1[[#This Row],[Country]],Table118[Mixed Classification],"&gt;0")</f>
        <v>0</v>
      </c>
      <c r="OA60" s="6">
        <f>COUNTIFS(Table120[Country],Tabela1[[#This Row],[Country]],Table120[Classification],"&gt;0")</f>
        <v>0</v>
      </c>
      <c r="OB60" s="6">
        <f>COUNTIFS(Table120123[Country],Tabela1[[#This Row],[Country]],Table120123[Classification],"&gt;0")</f>
        <v>0</v>
      </c>
      <c r="OC60" s="6">
        <f>COUNTIFS(Table123[Country],Tabela1[[#This Row],[Country]],Table123[Ice Dance Classification],"&gt;0")</f>
        <v>0</v>
      </c>
      <c r="OD60" s="6">
        <f>COUNTIFS(Table123[Country],Tabela1[[#This Row],[Country]],Table123[Pair Skating Classification],"&gt;0")</f>
        <v>0</v>
      </c>
      <c r="OE60" s="6">
        <f>COUNTIFS(Table124[Country],Tabela1[[#This Row],[Country]],Table124[Mixed Classification],"&gt;0")</f>
        <v>0</v>
      </c>
      <c r="OF60" s="6">
        <f>COUNTIFS(Table125[Country],Tabela1[[#This Row],[Country]],Table125[Aerials Classification],"&gt;0")</f>
        <v>0</v>
      </c>
      <c r="OG60" s="6">
        <f>COUNTIFS(Table125128[Country],Tabela1[[#This Row],[Country]],Table125128[Aerials Classification],"&gt;0")</f>
        <v>0</v>
      </c>
      <c r="OH60" s="6">
        <f>COUNTIFS(Table128[Country],Tabela1[[#This Row],[Country]],Table128[Mixed Aerials Classification],"&gt;0")</f>
        <v>0</v>
      </c>
      <c r="OI60" s="6">
        <f>COUNTIFS(Table125[Country],Tabela1[[#This Row],[Country]],Table125[Big Air Classification],"&gt;0")</f>
        <v>0</v>
      </c>
      <c r="OJ60" s="6">
        <f>COUNTIFS(Table125128[Country],Tabela1[[#This Row],[Country]],Table125128[Big Air Classification],"&gt;0")</f>
        <v>0</v>
      </c>
      <c r="OK60" s="6">
        <f>COUNTIFS(Table125[Country],Tabela1[[#This Row],[Country]],Table125[Dual Moguls Classification],"&gt;0")</f>
        <v>0</v>
      </c>
      <c r="OL60" s="6">
        <f>COUNTIFS(Table125128[Country],Tabela1[[#This Row],[Country]],Table125128[Dual Moguls Classification],"&gt;0")</f>
        <v>0</v>
      </c>
      <c r="OM60" s="6">
        <f>COUNTIFS(Table125[Country],Tabela1[[#This Row],[Country]],Table125[Halfpipe Classification],"&gt;0")</f>
        <v>0</v>
      </c>
      <c r="ON60" s="6">
        <f>COUNTIFS(Table125128[Country],Tabela1[[#This Row],[Country]],Table125128[Halfpipe Classification],"&gt;0")</f>
        <v>0</v>
      </c>
      <c r="OO60" s="6">
        <f>COUNTIFS(Table125[Country],Tabela1[[#This Row],[Country]],Table125[Moguls Classification],"&gt;0")</f>
        <v>0</v>
      </c>
      <c r="OP60" s="6">
        <f>COUNTIFS(Table125128[Country],Tabela1[[#This Row],[Country]],Table125128[Moguls Classification],"&gt;0")</f>
        <v>0</v>
      </c>
      <c r="OQ60" s="6">
        <f>COUNTIFS(Table125[Country],Tabela1[[#This Row],[Country]],Table125[Ski Cross Classification],"&gt;0")</f>
        <v>0</v>
      </c>
      <c r="OR60" s="6">
        <f>COUNTIFS(Table125128[Country],Tabela1[[#This Row],[Country]],Table125128[Ski Cross Classification],"&gt;0")</f>
        <v>0</v>
      </c>
      <c r="OS60" s="6">
        <f>COUNTIFS(Table125[Country],Tabela1[[#This Row],[Country]],Table125[Slopestyle Classification],"&gt;0")</f>
        <v>0</v>
      </c>
      <c r="OT60" s="6">
        <f>COUNTIFS(Table125128[Country],Tabela1[[#This Row],[Country]],Table125128[Slopestyle Classification],"&gt;0")</f>
        <v>0</v>
      </c>
      <c r="OU60" s="6">
        <f>COUNTIFS(Table119131[Country],Tabela1[[#This Row],[Country]],Table119131[Men''s Classification],"&gt;0")</f>
        <v>0</v>
      </c>
      <c r="OV60" s="6">
        <f>COUNTIFS(Table119131[Country],Tabela1[[#This Row],[Country]],Table119131[Women''s Classification],"&gt;0")</f>
        <v>0</v>
      </c>
      <c r="OW60" s="6">
        <f>COUNTIFS(Table131[Country],Tabela1[[#This Row],[Country]],Table131[Classification],"&gt;0")</f>
        <v>0</v>
      </c>
      <c r="OX60" s="6">
        <f>COUNTIFS(Table131134[Country],Tabela1[[#This Row],[Country]],Table131134[Classification],"&gt;0")</f>
        <v>0</v>
      </c>
      <c r="OY60" s="6">
        <f>COUNTIFS(Table134[Country],Tabela1[[#This Row],[Country]],Table134[Men''s Classification],"&gt;0")</f>
        <v>0</v>
      </c>
      <c r="OZ60" s="6">
        <f>COUNTIFS(Table134[Country],Tabela1[[#This Row],[Country]],Table134[Women''s Classification],"&gt;0")</f>
        <v>0</v>
      </c>
      <c r="PA60" s="6">
        <f>COUNTIFS(Table135[Country],Tabela1[[#This Row],[Country]],Table135[Mixed Relay Classification],"&gt;0")</f>
        <v>0</v>
      </c>
      <c r="PB60" s="6">
        <f>COUNTIFS(Table136[Country],Tabela1[[#This Row],[Country]],Table136[Individual Classification],"&gt;0")</f>
        <v>0</v>
      </c>
      <c r="PC60" s="6">
        <f>COUNTIFS(Table136[Country],Tabela1[[#This Row],[Country]],Table136[Sprint Classification],"&gt;0")</f>
        <v>0</v>
      </c>
      <c r="PD60" s="6">
        <f>COUNTIFS(Table137[Country],Tabela1[[#This Row],[Country]],Table137[Men''s Team Sprint Large Hill Classification],"&gt;0")</f>
        <v>0</v>
      </c>
      <c r="PE60" s="6">
        <f>COUNTIFS(Table138[Country],Tabela1[[#This Row],[Country]],Table138[500m Classification],"&gt;0")</f>
        <v>0</v>
      </c>
      <c r="PF60" s="6">
        <f>COUNTIFS(Table138141[Country],Tabela1[[#This Row],[Country]],Table138141[500m Classification],"&gt;0")</f>
        <v>0</v>
      </c>
      <c r="PG60" s="6">
        <f>COUNTIFS(Table138[Country],Tabela1[[#This Row],[Country]],Table138[1000m Classification],"&gt;0")</f>
        <v>0</v>
      </c>
      <c r="PH60" s="6">
        <f>COUNTIFS(Table138141[Country],Tabela1[[#This Row],[Country]],Table138141[1000m Classification],"&gt;0")</f>
        <v>0</v>
      </c>
      <c r="PI60" s="6">
        <f>COUNTIFS(Table138[Country],Tabela1[[#This Row],[Country]],Table138[1500m Classification],"&gt;0")</f>
        <v>0</v>
      </c>
      <c r="PJ60" s="6">
        <f>COUNTIFS(Table138141[Country],Tabela1[[#This Row],[Country]],Table138141[1500m Classification],"&gt;0")</f>
        <v>0</v>
      </c>
      <c r="PK60" s="6">
        <f>COUNTIFS(Table141[Country],Tabela1[[#This Row],[Country]],Table141[Men''s 5000m Relay Classification],"&gt;0")</f>
        <v>0</v>
      </c>
      <c r="PL60" s="6">
        <f>COUNTIFS(Table141[Country],Tabela1[[#This Row],[Country]],Table141[Women''s 3000m Relay Classification],"&gt;0")</f>
        <v>0</v>
      </c>
      <c r="PM60" s="6">
        <f>COUNTIFS(Table141[Country],Tabela1[[#This Row],[Country]],Table141[Mixed 2000m Relay Classification],"&gt;0")</f>
        <v>0</v>
      </c>
      <c r="PN60" s="6">
        <f>COUNTIFS(Table142[Country],Tabela1[[#This Row],[Country]],Table142[Classification],"&gt;0")</f>
        <v>0</v>
      </c>
      <c r="PO60" s="6">
        <f>COUNTIFS(Table142145[Country],Tabela1[[#This Row],[Country]],Table142145[Classification],"&gt;0")</f>
        <v>0</v>
      </c>
      <c r="PP60" s="6">
        <f>COUNTIFS(Tabela15[Country],Tabela1[[#This Row],[Country]],Tabela15[Mixed Team Classification],"&gt;0")</f>
        <v>0</v>
      </c>
      <c r="PQ60" s="6">
        <f>COUNTIFS(Table145[Country],Tabela1[[#This Row],[Country]],Table145[Large Hill Classification],"&gt;0")</f>
        <v>0</v>
      </c>
      <c r="PR60" s="6">
        <f>COUNTIFS(Table145[Country],Tabela1[[#This Row],[Country]],Table145[Normal Hill Classification],"&gt;0")</f>
        <v>0</v>
      </c>
      <c r="PS60" s="6">
        <f>COUNTIFS(Table145148[Country],Tabela1[[#This Row],[Country]],Table145148[Large Hill Classification],"&gt;0")</f>
        <v>0</v>
      </c>
      <c r="PT60" s="6">
        <f>COUNTIFS(Table145148[Country],Tabela1[[#This Row],[Country]],Table145148[Normal Hill Classification],"&gt;0")</f>
        <v>0</v>
      </c>
      <c r="PU60" s="6">
        <f>COUNTIFS(Table148[Country],Tabela1[[#This Row],[Country]],Table148[Men''s Super Team Classification],"&gt;0")</f>
        <v>0</v>
      </c>
      <c r="PV60" s="6">
        <f>COUNTIFS(Tabela114[Country],Tabela1[[#This Row],[Country]],Tabela114[Mixed Normal Hill Classification],"&gt;0")</f>
        <v>0</v>
      </c>
      <c r="PW60" s="6">
        <f>COUNTIFS(Tabela50[Country],Tabela1[[#This Row],[Country]],Tabela50[Sprint Classification],"&gt;0")</f>
        <v>0</v>
      </c>
      <c r="PX60" s="6">
        <f>COUNTIFS(Tabela50101[Country],Tabela1[[#This Row],[Country]],Tabela50101[Sprint Classification],"&gt;0")</f>
        <v>0</v>
      </c>
      <c r="PY60" s="6">
        <f>COUNTIFS(Tabela103[Country],Tabela1[[#This Row],[Country]],Tabela103[Mixed Relay Classification],"&gt;0")</f>
        <v>0</v>
      </c>
      <c r="PZ60" s="6">
        <f>COUNTIFS(Table149[Country],Tabela1[[#This Row],[Country]],Table149[Big Air Classification],"&gt;0")</f>
        <v>0</v>
      </c>
      <c r="QA60" s="6">
        <f>COUNTIFS(Table149152[Country],Tabela1[[#This Row],[Country]],Table149152[Big Air Classification],"&gt;0")</f>
        <v>0</v>
      </c>
      <c r="QB60" s="6">
        <f>COUNTIFS(Table149[Country],Tabela1[[#This Row],[Country]],Table149[Halfpipe Classification],"&gt;0")</f>
        <v>0</v>
      </c>
      <c r="QC60" s="6">
        <f>COUNTIFS(Table149152[Country],Tabela1[[#This Row],[Country]],Table149152[Halfpipe Classification],"&gt;0")</f>
        <v>0</v>
      </c>
      <c r="QD60" s="6">
        <f>COUNTIFS(Table149[Country],Tabela1[[#This Row],[Country]],Table149[Parallel Giant Slalom Classification],"&gt;0")</f>
        <v>0</v>
      </c>
      <c r="QE60" s="6">
        <f>COUNTIFS(Table149152[Country],Tabela1[[#This Row],[Country]],Table149152[Parallel Giant Slalom Classification],"&gt;0")</f>
        <v>0</v>
      </c>
      <c r="QF60" s="6">
        <f>COUNTIFS(Table149[Country],Tabela1[[#This Row],[Country]],Table149[Slopestyle Classification],"&gt;0")</f>
        <v>0</v>
      </c>
      <c r="QG60" s="6">
        <f>COUNTIFS(Table149152[Country],Tabela1[[#This Row],[Country]],Table149152[Slopestyle Classification],"&gt;0")</f>
        <v>0</v>
      </c>
      <c r="QH60" s="6">
        <f>COUNTIFS(Table149[Country],Tabela1[[#This Row],[Country]],Table149[Snowboard Cross Classification],"&gt;0")</f>
        <v>0</v>
      </c>
      <c r="QI60" s="6">
        <f>COUNTIFS(Table149152[Country],Tabela1[[#This Row],[Country]],Table149152[Snowboard Cross Classification],"&gt;0")</f>
        <v>0</v>
      </c>
      <c r="QJ60" s="6">
        <f>COUNTIFS(Table153[Country],Tabela1[[#This Row],[Country]],Table153[Mixed Team Snowboard Cross Classification],"&gt;0")</f>
        <v>0</v>
      </c>
      <c r="QK60" s="6">
        <f>COUNTIFS(Table154[Country],Tabela1[[#This Row],[Country]],Table154[500m Classification],"&gt;0")</f>
        <v>0</v>
      </c>
      <c r="QL60" s="6">
        <f>COUNTIFS(Table154157[Country],Tabela1[[#This Row],[Country]],Table154157[500m Classification],"&gt;0")</f>
        <v>0</v>
      </c>
      <c r="QM60" s="6">
        <f>COUNTIFS(Table154[Country],Tabela1[[#This Row],[Country]],Table154[1000m Classification],"&gt;0")</f>
        <v>0</v>
      </c>
      <c r="QN60" s="6">
        <f>COUNTIFS(Table154157[Country],Tabela1[[#This Row],[Country]],Table154157[1000m Classification],"&gt;0")</f>
        <v>0</v>
      </c>
      <c r="QO60" s="6">
        <f>COUNTIFS(Table154[Country],Tabela1[[#This Row],[Country]],Table154[1500m Classification],"&gt;0")</f>
        <v>0</v>
      </c>
      <c r="QP60" s="6">
        <f>COUNTIFS(Table154157[Country],Tabela1[[#This Row],[Country]],Table154157[1500m Classification],"&gt;0")</f>
        <v>0</v>
      </c>
      <c r="QQ60" s="6">
        <f>COUNTIFS(Table154157[Country],Tabela1[[#This Row],[Country]],Table154157[3000m Classification],"&gt;0")</f>
        <v>0</v>
      </c>
      <c r="QR60" s="6">
        <f>COUNTIFS(Table154[Country],Tabela1[[#This Row],[Country]],Table154[5000m Classification],"&gt;0")</f>
        <v>0</v>
      </c>
      <c r="QS60" s="6">
        <f>COUNTIFS(Table154157[Country],Tabela1[[#This Row],[Country]],Table154157[5000m Classification],"&gt;0")</f>
        <v>0</v>
      </c>
      <c r="QT60" s="6">
        <f>COUNTIFS(Table154[Country],Tabela1[[#This Row],[Country]],Table154[10000m Classification],"&gt;0")</f>
        <v>0</v>
      </c>
      <c r="QU60" s="6">
        <f>COUNTIFS(Table154[Country],Tabela1[[#This Row],[Country]],Table154[Mass Start Classification],"&gt;0")</f>
        <v>0</v>
      </c>
      <c r="QV60" s="6">
        <f>COUNTIFS(Table154157[Country],Tabela1[[#This Row],[Country]],Table154157[Mass Start Classification],"&gt;0")</f>
        <v>0</v>
      </c>
      <c r="QW60" s="6">
        <f>COUNTIFS(Table157[Country],Tabela1[[#This Row],[Country]],Table157[Men''s Pursuit Classification],"&gt;0")</f>
        <v>0</v>
      </c>
      <c r="QX60" s="6">
        <f>COUNTIFS(Table157[Country],Tabela1[[#This Row],[Country]],Table157[Women''s Pursuit Classification],"&gt;0")</f>
        <v>0</v>
      </c>
      <c r="QY60" s="4" t="s">
        <v>433</v>
      </c>
    </row>
    <row r="61" spans="1:467" x14ac:dyDescent="0.3">
      <c r="A61" s="6">
        <v>60</v>
      </c>
      <c r="B61" s="6" t="s">
        <v>360</v>
      </c>
      <c r="C61" t="e" vm="60">
        <f>IF(ISBLANK(Tabela1[[#This Row],[Image Link]]), "", _xlfn.IMAGE(Tabela1[[#This Row],[Image Link]],1,1))</f>
        <v>#VALUE!</v>
      </c>
      <c r="D61" s="6">
        <f>SUM(Tabela1[[#This Row],[Archery - Men''s Individual Recurve]:[Speed Skating - Women''s Team Pursuit]])</f>
        <v>11</v>
      </c>
      <c r="E61" s="6">
        <f>COUNTIF(Tabela1[[#This Row],[Archery - Men''s Individual Recurve]:[Speed Skating - Women''s Team Pursuit]],"&gt;0")</f>
        <v>10</v>
      </c>
      <c r="F61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61" s="6">
        <f>SUM(Tabela1[[#This Row],[Archery - Men''s Individual Recurve]:[Wrestling - Women''s Freestyle 76kg]])</f>
        <v>11</v>
      </c>
      <c r="H61" s="6">
        <f>SUM(Tabela1[[#This Row],[Alpine Skiing - Men''s Downhill]:[Speed Skating - Women''s Team Pursuit]])</f>
        <v>0</v>
      </c>
      <c r="I61" s="6">
        <f>Tabela1[[#This Row],[Summer Gold Medals]]+Tabela1[[#This Row],[Winter Gold Medals]]</f>
        <v>3</v>
      </c>
      <c r="J61" s="6">
        <f>Tabela1[[#This Row],[Summer Silver Medals]]+Tabela1[[#This Row],[Winter Silver Medals]]</f>
        <v>6</v>
      </c>
      <c r="K61" s="6">
        <f>Tabela1[[#This Row],[Summer Bronze Medals]]+Tabela1[[#This Row],[Winter Bronze Medals]]</f>
        <v>3</v>
      </c>
      <c r="L61" s="6">
        <f>SUM(Tabela1[[#This Row],[Total Gold Medals]:[Total Bronze Medals]])</f>
        <v>12</v>
      </c>
      <c r="M61" s="6">
        <v>3</v>
      </c>
      <c r="N61" s="6">
        <v>6</v>
      </c>
      <c r="O61" s="6">
        <v>3</v>
      </c>
      <c r="P61" s="6">
        <f>SUM(Tabela1[[#This Row],[Summer Gold Medals]:[Summer Bronze Medals]])</f>
        <v>12</v>
      </c>
      <c r="Q61" s="6"/>
      <c r="R61" s="6"/>
      <c r="S61" s="6"/>
      <c r="T61" s="6">
        <f>Tabela1[[#This Row],[Winter Gold Medals]]+Tabela1[[#This Row],[Winter Silver Medals]]+Tabela1[[#This Row],[Winter Bronze Medals]]</f>
        <v>0</v>
      </c>
      <c r="U61" s="7">
        <f>Tabela1[[#This Row],[Total Medals]]/Tabela1[[#This Row],[Total Quotas]]</f>
        <v>1.0909090909090908</v>
      </c>
      <c r="V61" s="6">
        <f>COUNTIFS(Table3[Country],Tabela1[[#This Row],[Country]],Table3[Recurve Classification],"&gt;0")</f>
        <v>0</v>
      </c>
      <c r="W61" s="6">
        <f>COUNTIFS(Table33[Country],Tabela1[[#This Row],[Country]],Table33[Recurve Classification],"&gt;0")</f>
        <v>0</v>
      </c>
      <c r="X61" s="6">
        <f>COUNTIFS(Table35[Country],Tabela1[[#This Row],[Country]],Table35[Men''s Team Recurve Classification],"&gt;0")</f>
        <v>0</v>
      </c>
      <c r="Y61" s="6">
        <f>COUNTIFS(Table35[Country],Tabela1[[#This Row],[Country]],Table35[Women''s Team Recurve Classification],"&gt;0")</f>
        <v>0</v>
      </c>
      <c r="Z61" s="6">
        <f>COUNTIFS(Tabela88[Country],Tabela1[[#This Row],[Country]],Tabela88[Mixed Team Recurve Classification],"&gt;0")</f>
        <v>0</v>
      </c>
      <c r="AA61" s="6">
        <f>COUNTIFS(Table36[Country],Tabela1[[#This Row],[Country]],Table36[Classification],"&gt;0")</f>
        <v>0</v>
      </c>
      <c r="AB61" s="6">
        <f>COUNTIFS(Table37[Country],Tabela1[[#This Row],[Country]],Table37[Classification],"&gt;0")</f>
        <v>0</v>
      </c>
      <c r="AC61" s="6">
        <f>COUNTIFS(Table4[Country],Tabela1[[#This Row],[Country]],Table4[100m Classification],"&gt;0")</f>
        <v>0</v>
      </c>
      <c r="AD61" s="6">
        <f>COUNTIFS(Table5[Country],Tabela1[[#This Row],[Country]],Table5[100m Classification],"&gt;0")</f>
        <v>0</v>
      </c>
      <c r="AE61" s="6">
        <f>COUNTIFS(Table4[Country],Tabela1[[#This Row],[Country]],Table4[200m Classification],"&gt;0")</f>
        <v>0</v>
      </c>
      <c r="AF61" s="6">
        <f>COUNTIFS(Table5[Country],Tabela1[[#This Row],[Country]],Table5[200m Classification],"&gt;0")</f>
        <v>0</v>
      </c>
      <c r="AG61" s="6">
        <f>COUNTIFS(Table4[Country],Tabela1[[#This Row],[Country]],Table4[400m Classification],"&gt;0")</f>
        <v>0</v>
      </c>
      <c r="AH61" s="6">
        <f>COUNTIFS(Table5[Country],Tabela1[[#This Row],[Country]],Table5[400m Classification],"&gt;0")</f>
        <v>0</v>
      </c>
      <c r="AI61" s="6">
        <f>COUNTIFS(Table4[Country],Tabela1[[#This Row],[Country]],Table4[800m Classification],"&gt;0")</f>
        <v>0</v>
      </c>
      <c r="AJ61" s="6">
        <f>COUNTIFS(Table5[Country],Tabela1[[#This Row],[Country]],Table5[800m Classification],"&gt;0")</f>
        <v>0</v>
      </c>
      <c r="AK61" s="6">
        <f>COUNTIFS(Table4[Country],Tabela1[[#This Row],[Country]],Table4[1500m Classification],"&gt;0")</f>
        <v>0</v>
      </c>
      <c r="AL61" s="6">
        <f>COUNTIFS(Table5[Country],Tabela1[[#This Row],[Country]],Table5[1500m Classification],"&gt;0")</f>
        <v>0</v>
      </c>
      <c r="AM61" s="6">
        <f>COUNTIFS(Table4[Country],Tabela1[[#This Row],[Country]],Table4[5000m Classification],"&gt;0")</f>
        <v>0</v>
      </c>
      <c r="AN61" s="6">
        <f>COUNTIFS(Table5[Country],Tabela1[[#This Row],[Country]],Table5[5000m Classification],"&gt;0")</f>
        <v>0</v>
      </c>
      <c r="AO61" s="6">
        <f>COUNTIFS(Table4[Country],Tabela1[[#This Row],[Country]],Table4[10000m Classification],"&gt;0")</f>
        <v>0</v>
      </c>
      <c r="AP61" s="6">
        <f>COUNTIFS(Table5[Country],Tabela1[[#This Row],[Country]],Table5[10000m Classification],"&gt;0")</f>
        <v>0</v>
      </c>
      <c r="AQ61" s="6">
        <f>COUNTIFS(Table4[Country],Tabela1[[#This Row],[Country]],Table4[110m Hurdles Classification],"&gt;0")</f>
        <v>0</v>
      </c>
      <c r="AR61" s="6">
        <f>COUNTIFS(Table5[Country],Tabela1[[#This Row],[Country]],Table5[100m Hurdles Classification],"&gt;0")</f>
        <v>0</v>
      </c>
      <c r="AS61" s="6">
        <f>COUNTIFS(Table4[Country],Tabela1[[#This Row],[Country]],Table4[400m Hurdles Classification],"&gt;0")</f>
        <v>0</v>
      </c>
      <c r="AT61" s="6">
        <f>COUNTIFS(Table5[Country],Tabela1[[#This Row],[Country]],Table5[400m Hurdles Classification],"&gt;0")</f>
        <v>0</v>
      </c>
      <c r="AU61" s="6">
        <f>COUNTIFS(Table4[Country],Tabela1[[#This Row],[Country]],Table4[3000m Steeplechase Classification],"&gt;0")</f>
        <v>0</v>
      </c>
      <c r="AV61" s="6">
        <f>COUNTIFS(Table5[Country],Tabela1[[#This Row],[Country]],Table5[3000m Steeplechase Classification],"&gt;0")</f>
        <v>0</v>
      </c>
      <c r="AW61" s="6">
        <f>COUNTIFS(Table27[Country],Tabela1[[#This Row],[Country]],Table27[Men''s 4x100m Relay Classification],"&gt;0")</f>
        <v>0</v>
      </c>
      <c r="AX61" s="6">
        <f>COUNTIFS(Table27[Country],Tabela1[[#This Row],[Country]],Table27[Women''s 4x100m Relay Classification],"&gt;0")</f>
        <v>0</v>
      </c>
      <c r="AY61" s="6">
        <f>COUNTIFS(Table27[Country],Tabela1[[#This Row],[Country]],Table27[Men''s 4x400m Relay Classification],"&gt;0")</f>
        <v>0</v>
      </c>
      <c r="AZ61" s="6">
        <f>COUNTIFS(Table27[Country],Tabela1[[#This Row],[Country]],Table27[Women''s 4x400m Relay Classification],"&gt;0")</f>
        <v>0</v>
      </c>
      <c r="BA61" s="6">
        <f>COUNTIFS(Table27[Country],Tabela1[[#This Row],[Country]],Table27[Mixed 4x400m Relay Classification],"&gt;0")</f>
        <v>0</v>
      </c>
      <c r="BB61" s="6">
        <f>COUNTIFS(Table4[Country],Tabela1[[#This Row],[Country]],Table4[Marathon Classification],"&gt;0")</f>
        <v>0</v>
      </c>
      <c r="BC61" s="6">
        <f>COUNTIFS(Table5[Country],Tabela1[[#This Row],[Country]],Table5[Marathon Classification],"&gt;0")</f>
        <v>0</v>
      </c>
      <c r="BD61" s="6">
        <f>COUNTIFS(Table4[Country],Tabela1[[#This Row],[Country]],Table4[20km Race Walk Classification],"&gt;0")</f>
        <v>0</v>
      </c>
      <c r="BE61" s="6">
        <f>COUNTIFS(Table5[Country],Tabela1[[#This Row],[Country]],Table5[20km Race Walk Classification],"&gt;0")</f>
        <v>0</v>
      </c>
      <c r="BF61" s="6">
        <f>COUNTIFS(Tabela96[Country],Tabela1[[#This Row],[Country]],Tabela96[Mixed Marathon Race Walk Relay Classification],"&gt;0")</f>
        <v>0</v>
      </c>
      <c r="BG61" s="6">
        <f>COUNTIFS(Table4[Country],Tabela1[[#This Row],[Country]],Table4[Discus Throw Classification],"&gt;0")</f>
        <v>0</v>
      </c>
      <c r="BH61" s="6">
        <f>COUNTIFS(Table5[Country],Tabela1[[#This Row],[Country]],Table5[Discus Throw Classification],"&gt;0")</f>
        <v>0</v>
      </c>
      <c r="BI61" s="6">
        <f>COUNTIFS(Table4[Country],Tabela1[[#This Row],[Country]],Table4[Hammer Throw Classification],"&gt;0")</f>
        <v>0</v>
      </c>
      <c r="BJ61" s="6">
        <f>COUNTIFS(Table5[Country],Tabela1[[#This Row],[Country]],Table5[Hammer Throw Classification],"&gt;0")</f>
        <v>0</v>
      </c>
      <c r="BK61" s="6">
        <f>COUNTIFS(Table4[Country],Tabela1[[#This Row],[Country]],Table4[High Jump Classification],"&gt;0")</f>
        <v>0</v>
      </c>
      <c r="BL61" s="6">
        <f>COUNTIFS(Table5[Country],Tabela1[[#This Row],[Country]],Table5[High Jump Classification],"&gt;0")</f>
        <v>0</v>
      </c>
      <c r="BM61" s="6">
        <f>COUNTIFS(Table4[Country],Tabela1[[#This Row],[Country]],Table4[Javelin Throw Classification],"&gt;0")</f>
        <v>0</v>
      </c>
      <c r="BN61" s="6">
        <f>COUNTIFS(Table5[Country],Tabela1[[#This Row],[Country]],Table5[Javelin Throw Classification],"&gt;0")</f>
        <v>0</v>
      </c>
      <c r="BO61" s="6">
        <f>COUNTIFS(Table4[Country],Tabela1[[#This Row],[Country]],Table4[Long Jump Classification],"&gt;0")</f>
        <v>0</v>
      </c>
      <c r="BP61" s="6">
        <f>COUNTIFS(Table5[Country],Tabela1[[#This Row],[Country]],Table5[Long Jump Classification],"&gt;0")</f>
        <v>0</v>
      </c>
      <c r="BQ61" s="6">
        <f>COUNTIFS(Table4[Country],Tabela1[[#This Row],[Country]],Table4[Pole Vault Classification],"&gt;0")</f>
        <v>0</v>
      </c>
      <c r="BR61" s="6">
        <f>COUNTIFS(Table5[Country],Tabela1[[#This Row],[Country]],Table5[Pole Vault Classification],"&gt;0")</f>
        <v>0</v>
      </c>
      <c r="BS61" s="6">
        <f>COUNTIFS(Table4[Country],Tabela1[[#This Row],[Country]],Table4[Shot Put Classification],"&gt;0")</f>
        <v>0</v>
      </c>
      <c r="BT61" s="6">
        <f>COUNTIFS(Table5[Country],Tabela1[[#This Row],[Country]],Table5[Shot Put Classification],"&gt;0")</f>
        <v>0</v>
      </c>
      <c r="BU61" s="6">
        <f>COUNTIFS(Table4[Country],Tabela1[[#This Row],[Country]],Table4[Triple Jump Classification],"&gt;0")</f>
        <v>0</v>
      </c>
      <c r="BV61" s="6">
        <f>COUNTIFS(Table5[Country],Tabela1[[#This Row],[Country]],Table5[Triple Jump Classification],"&gt;0")</f>
        <v>0</v>
      </c>
      <c r="BW61" s="6">
        <f>COUNTIFS(Table4[Country],Tabela1[[#This Row],[Country]],Table4[Decathlon Classification],"&gt;0")</f>
        <v>0</v>
      </c>
      <c r="BX61" s="6">
        <f>COUNTIFS(Table5[Country],Tabela1[[#This Row],[Country]],Table5[Heptathlon Classification],"&gt;0")</f>
        <v>0</v>
      </c>
      <c r="BY61" s="6">
        <f>COUNTIFS(Table61[Country],Tabela1[[#This Row],[Country]],Table61[Classification],"&gt;0")</f>
        <v>0</v>
      </c>
      <c r="BZ61" s="6">
        <f>COUNTIFS(Table38[Country],Tabela1[[#This Row],[Country]],Table38[Classification],"&gt;0")</f>
        <v>0</v>
      </c>
      <c r="CA61" s="6">
        <f>COUNTIFS(Table39[Country],Tabela1[[#This Row],[Country]],Table39[Men''s Classification],"&gt;0")</f>
        <v>0</v>
      </c>
      <c r="CB61" s="6">
        <f>COUNTIFS(Table39[Country],Tabela1[[#This Row],[Country]],Table39[Women''s Classification],"&gt;0")</f>
        <v>0</v>
      </c>
      <c r="CC61" s="6">
        <f>COUNTIFS(Table39[Country],Tabela1[[#This Row],[Country]],Table39[Mixed Classification],"&gt;0")</f>
        <v>0</v>
      </c>
      <c r="CD61" s="6">
        <f>COUNTIFS(Table89[Country],Tabela1[[#This Row],[Country]],Table89[Men''s Classification],"&gt;0")</f>
        <v>0</v>
      </c>
      <c r="CE61" s="6">
        <f>COUNTIFS(Table89[Country],Tabela1[[#This Row],[Country]],Table89[Women''s Classification],"&gt;0")</f>
        <v>0</v>
      </c>
      <c r="CF61" s="6">
        <f>COUNTIFS(Table90[Country],Tabela1[[#This Row],[Country]],Table90[Men''s Classification],"&gt;0")</f>
        <v>0</v>
      </c>
      <c r="CG61" s="6">
        <f>COUNTIFS(Table90[Country],Tabela1[[#This Row],[Country]],Table90[Women''s Classification],"&gt;0")</f>
        <v>0</v>
      </c>
      <c r="CH61" s="6">
        <f>COUNTIFS(Table60[Country],Tabela1[[#This Row],[Country]],Table60[Men''s Classification],"&gt;0")</f>
        <v>0</v>
      </c>
      <c r="CI61" s="6">
        <f>COUNTIFS(Table60[Country],Tabela1[[#This Row],[Country]],Table60[Women''s Classification],"&gt;0")</f>
        <v>0</v>
      </c>
      <c r="CJ61" s="6">
        <f>COUNTIFS(Table6[Country],Tabela1[[#This Row],[Country]],Table6[51kg Classification],"&gt;0")</f>
        <v>0</v>
      </c>
      <c r="CK61" s="6">
        <f>COUNTIFS(Table6[Country],Tabela1[[#This Row],[Country]],Table6[57kg Classification],"&gt;0")</f>
        <v>0</v>
      </c>
      <c r="CL61" s="6">
        <f>COUNTIFS(Table6[Country],Tabela1[[#This Row],[Country]],Table6[63.5kg Classification],"&gt;0")</f>
        <v>0</v>
      </c>
      <c r="CM61" s="6">
        <f>COUNTIFS(Table6[Country],Tabela1[[#This Row],[Country]],Table6[71kg Classification],"&gt;0")</f>
        <v>0</v>
      </c>
      <c r="CN61" s="6">
        <f>COUNTIFS(Table6[Country],Tabela1[[#This Row],[Country]],Table6[80kg Classification],"&gt;0")</f>
        <v>0</v>
      </c>
      <c r="CO61" s="6">
        <f>COUNTIFS(Table6[Country],Tabela1[[#This Row],[Country]],Table6[92kg Classification],"&gt;0")</f>
        <v>0</v>
      </c>
      <c r="CP61" s="6">
        <f>COUNTIFS(Table6[Country],Tabela1[[#This Row],[Country]],Table6[Plus 92kg Classification],"&gt;0")</f>
        <v>0</v>
      </c>
      <c r="CQ61" s="6">
        <f>COUNTIFS(Table7[Country],Tabela1[[#This Row],[Country]],Table7[50kg Classification],"&gt;0")</f>
        <v>0</v>
      </c>
      <c r="CR61" s="6">
        <f>COUNTIFS(Table7[Country],Tabela1[[#This Row],[Country]],Table7[54kg Classification],"&gt;0")</f>
        <v>0</v>
      </c>
      <c r="CS61" s="6">
        <f>COUNTIFS(Table7[Country],Tabela1[[#This Row],[Country]],Table7[57kg Classification],"&gt;0")</f>
        <v>0</v>
      </c>
      <c r="CT61" s="6">
        <f>COUNTIFS(Table7[Country],Tabela1[[#This Row],[Country]],Table7[60kg Classification],"&gt;0")</f>
        <v>0</v>
      </c>
      <c r="CU61" s="6">
        <f>COUNTIFS(Table7[Country],Tabela1[[#This Row],[Country]],Table7[66kg Classification],"&gt;0")</f>
        <v>0</v>
      </c>
      <c r="CV61" s="6">
        <f>COUNTIFS(Table7[Country],Tabela1[[#This Row],[Country]],Table7[75kg Classification],"&gt;0")</f>
        <v>0</v>
      </c>
      <c r="CW61" s="6">
        <f>COUNTIFS(Tabela94[Country],Tabela1[[#This Row],[Country]],Tabela94[Classification],"&gt;0")</f>
        <v>0</v>
      </c>
      <c r="CX61" s="6">
        <f>COUNTIFS(Tabela9499[Country],Tabela1[[#This Row],[Country]],Tabela9499[Classification],"&gt;0")</f>
        <v>0</v>
      </c>
      <c r="CY61" s="6">
        <f>COUNTIFS(Tabela107[Country],Tabela1[[#This Row],[Country]],Tabela107[C1 Slalom Classification],"&gt;0")</f>
        <v>0</v>
      </c>
      <c r="CZ61" s="6">
        <f>COUNTIFS(Tabela107122[Country],Tabela1[[#This Row],[Country]],Tabela107122[C1 Slalom Classification],"&gt;0")</f>
        <v>0</v>
      </c>
      <c r="DA61" s="6">
        <f>COUNTIFS(Tabela107[Country],Tabela1[[#This Row],[Country]],Tabela107[K1 Slalom Classification],"&gt;0")</f>
        <v>0</v>
      </c>
      <c r="DB61" s="6">
        <f>COUNTIFS(Tabela107122[Country],Tabela1[[#This Row],[Country]],Tabela107122[K1 Slalom Classification],"&gt;0")</f>
        <v>0</v>
      </c>
      <c r="DC61" s="6">
        <f>COUNTIFS(Tabela107[Country],Tabela1[[#This Row],[Country]],Tabela107[Kayak Cross Slalom Classification],"&gt;0")</f>
        <v>0</v>
      </c>
      <c r="DD61" s="6">
        <f>COUNTIFS(Tabela107122[Country],Tabela1[[#This Row],[Country]],Tabela107122[Kayak Cross Slalom Classification],"&gt;0")</f>
        <v>0</v>
      </c>
      <c r="DE61" s="6">
        <f>COUNTIFS(Table8[Country],Tabela1[[#This Row],[Country]],Table8[C1 200m Classification],"&gt;0")</f>
        <v>0</v>
      </c>
      <c r="DF61" s="6">
        <f>COUNTIFS(Table40[Country],Tabela1[[#This Row],[Country]],Table40[C1 1000m Classification],"&gt;0")</f>
        <v>1</v>
      </c>
      <c r="DG61" s="6">
        <f>COUNTIFS(Table68[Country],Tabela1[[#This Row],[Country]],Table68[Men''s C2 500m Classification],"&gt;0")</f>
        <v>0</v>
      </c>
      <c r="DH61" s="6">
        <f>COUNTIFS(Table68[Country],Tabela1[[#This Row],[Country]],Table68[Women''s C2 500m Classification],"&gt;0")</f>
        <v>0</v>
      </c>
      <c r="DI61" s="6">
        <f>COUNTIFS(Table8[Country],Tabela1[[#This Row],[Country]],Table8[K1 500m Classification],"&gt;0")</f>
        <v>0</v>
      </c>
      <c r="DJ61" s="6">
        <f>COUNTIFS(Table40[Country],Tabela1[[#This Row],[Country]],Table40[K1 1000m Classification],"&gt;0")</f>
        <v>0</v>
      </c>
      <c r="DK61" s="6">
        <f>COUNTIFS(Table68[Country],Tabela1[[#This Row],[Country]],Table68[Men''s K2 500m Classification],"&gt;0")</f>
        <v>0</v>
      </c>
      <c r="DL61" s="6">
        <f>COUNTIFS(Table68[Country],Tabela1[[#This Row],[Country]],Table68[Women''s K2 500m Classification],"&gt;0")</f>
        <v>0</v>
      </c>
      <c r="DM61" s="6">
        <f>COUNTIFS(Table83[Country],Tabela1[[#This Row],[Country]],Table83[Men''s K4 500m Classification],"&gt;0")</f>
        <v>0</v>
      </c>
      <c r="DN61" s="6">
        <f>COUNTIFS(Table83[Country],Tabela1[[#This Row],[Country]],Table83[Women''s K4 500m Classification],"&gt;0")</f>
        <v>0</v>
      </c>
      <c r="DO61" s="6">
        <f>COUNTIFS(Tabela126[Country],Tabela1[[#This Row],[Country]],Tabela126[Classification],"&gt;0")</f>
        <v>0</v>
      </c>
      <c r="DP61" s="6">
        <f>COUNTIFS(Tabela126130[Country],Tabela1[[#This Row],[Country]],Tabela126130[Classification],"&gt;0")</f>
        <v>0</v>
      </c>
      <c r="DQ61" s="6">
        <f>COUNTIFS(Table70[Country],Tabela1[[#This Row],[Country]],Table70[Classification],"&gt;0")</f>
        <v>0</v>
      </c>
      <c r="DR61" s="6">
        <f>COUNTIFS(Table80[Country],Tabela1[[#This Row],[Country]],Table80[Classification],"&gt;0")</f>
        <v>0</v>
      </c>
      <c r="DS61" s="6">
        <f>COUNTIFS(Table66[Country],Tabela1[[#This Row],[Country]],Table66[Classification],"&gt;0")</f>
        <v>0</v>
      </c>
      <c r="DT61" s="6">
        <f>COUNTIFS(Table67[Country],Tabela1[[#This Row],[Country]],Table67[Classification],"&gt;0")</f>
        <v>0</v>
      </c>
      <c r="DU61" s="6">
        <f>COUNTIFS(Table69[Country],Tabela1[[#This Row],[Country]],Table69[Keirin Classification],"&gt;0")</f>
        <v>0</v>
      </c>
      <c r="DV61" s="6">
        <f>COUNTIFS(Table41[Country],Tabela1[[#This Row],[Country]],Table41[Keirin Classification],"&gt;0")</f>
        <v>0</v>
      </c>
      <c r="DW61" s="6">
        <f>COUNTIFS(Table84[Country],Tabela1[[#This Row],[Country]],Table84[Men''s Madison Classification],"&gt;0")</f>
        <v>0</v>
      </c>
      <c r="DX61" s="6">
        <f>COUNTIFS(Table84[Country],Tabela1[[#This Row],[Country]],Table84[Women''s Madison Classification],"&gt;0")</f>
        <v>0</v>
      </c>
      <c r="DY61" s="6">
        <f>COUNTIFS(Table69[Country],Tabela1[[#This Row],[Country]],Table69[Omnium Classification],"&gt;0")</f>
        <v>0</v>
      </c>
      <c r="DZ61" s="6">
        <f>COUNTIFS(Table41[Country],Tabela1[[#This Row],[Country]],Table41[Omnium Classification],"&gt;0")</f>
        <v>0</v>
      </c>
      <c r="EA61" s="6">
        <f>COUNTIFS(Table9[Country],Tabela1[[#This Row],[Country]],Table9[Road Race Classification],"&gt;0")</f>
        <v>0</v>
      </c>
      <c r="EB61" s="6">
        <f>COUNTIFS(Table14[Country],Tabela1[[#This Row],[Country]],Table14[Road Race Classification],"&gt;0")</f>
        <v>0</v>
      </c>
      <c r="EC61" s="6">
        <f>COUNTIFS(Table69[Country],Tabela1[[#This Row],[Country]],Table69[Sprint Classification],"&gt;0")</f>
        <v>0</v>
      </c>
      <c r="ED61" s="6">
        <f>COUNTIFS(Table41[Country],Tabela1[[#This Row],[Country]],Table41[Sprint Classification],"&gt;0")</f>
        <v>0</v>
      </c>
      <c r="EE61" s="6">
        <f>COUNTIFS(Table85[Country],Tabela1[[#This Row],[Country]],Table85[Men''s Sprint Classification],"&gt;0")</f>
        <v>0</v>
      </c>
      <c r="EF61" s="6">
        <f>COUNTIFS(Table85[Country],Tabela1[[#This Row],[Country]],Table85[Women''s Sprint Classification],"&gt;0")</f>
        <v>0</v>
      </c>
      <c r="EG61" s="6">
        <f>COUNTIFS(Table85[Country],Tabela1[[#This Row],[Country]],Table85[Men''s Pursuit Classification],"&gt;0")</f>
        <v>0</v>
      </c>
      <c r="EH61" s="6">
        <f>COUNTIFS(Table85[Country],Tabela1[[#This Row],[Country]],Table85[Women''s Pursuit Classification],"&gt;0")</f>
        <v>0</v>
      </c>
      <c r="EI61" s="6">
        <f>COUNTIFS(Table9[Country],Tabela1[[#This Row],[Country]],Table9[Time-Trial Classification],"&gt;0")</f>
        <v>0</v>
      </c>
      <c r="EJ61" s="6">
        <f>COUNTIFS(Table14[Country],Tabela1[[#This Row],[Country]],Table14[Time-Trial Classification],"&gt;0")</f>
        <v>0</v>
      </c>
      <c r="EK61" s="6">
        <f>COUNTIFS(Table42[Country],Tabela1[[#This Row],[Country]],Table42[Springboard Classification],"&gt;0")</f>
        <v>0</v>
      </c>
      <c r="EL61" s="6">
        <f>COUNTIFS(Table43[Country],Tabela1[[#This Row],[Country]],Table43[Springboard Classification],"&gt;0")</f>
        <v>0</v>
      </c>
      <c r="EM61" s="6">
        <f>COUNTIFS(Table42[Country],Tabela1[[#This Row],[Country]],Table42[Platform Classification],"&gt;0")</f>
        <v>0</v>
      </c>
      <c r="EN61" s="6">
        <f>COUNTIFS(Table43[Country],Tabela1[[#This Row],[Country]],Table43[Platform Classification],"&gt;0")</f>
        <v>0</v>
      </c>
      <c r="EO61" s="6">
        <f>COUNTIFS(Table86[Country],Tabela1[[#This Row],[Country]],Table86[Men''s Synchronized Springboard Classification],"&gt;0")</f>
        <v>0</v>
      </c>
      <c r="EP61" s="6">
        <f>COUNTIFS(Table86[Country],Tabela1[[#This Row],[Country]],Table86[Women''s Synchronized Springboard Classification],"&gt;0")</f>
        <v>0</v>
      </c>
      <c r="EQ61" s="6">
        <f>COUNTIFS(Table86[Country],Tabela1[[#This Row],[Country]],Table86[Men''s Synchronized Platform Classification],"&gt;0")</f>
        <v>0</v>
      </c>
      <c r="ER61" s="6">
        <f>COUNTIFS(Table86[Country],Tabela1[[#This Row],[Country]],Table86[Women''s Synchronized Platform Classification],"&gt;0")</f>
        <v>0</v>
      </c>
      <c r="ES61" s="6">
        <f>COUNTIFS(Table44[Country],Tabela1[[#This Row],[Country]],Table44[Dressage Classification],"&gt;0")</f>
        <v>0</v>
      </c>
      <c r="ET61" s="6">
        <f>COUNTIFS(Table45[Country],Tabela1[[#This Row],[Country]],Table45[Dressage Classification],"&gt;0")</f>
        <v>0</v>
      </c>
      <c r="EU61" s="6">
        <f>COUNTIFS(Table44[Country],Tabela1[[#This Row],[Country]],Table44[Eventing Classification],"&gt;0")</f>
        <v>0</v>
      </c>
      <c r="EV61" s="6">
        <f>COUNTIFS(Table45[Country],Tabela1[[#This Row],[Country]],Table45[Eventing Classification],"&gt;0")</f>
        <v>0</v>
      </c>
      <c r="EW61" s="6">
        <f>COUNTIFS(Table44[Country],Tabela1[[#This Row],[Country]],Table44[Jumping Classification],"&gt;0")</f>
        <v>0</v>
      </c>
      <c r="EX61" s="6">
        <f>COUNTIFS(Table45[Country],Tabela1[[#This Row],[Country]],Table45[Jumping Classification],"&gt;0")</f>
        <v>0</v>
      </c>
      <c r="EY61" s="6">
        <f>COUNTIFS(Table10[Country],Tabela1[[#This Row],[Country]],Table10[Épée Classification],"&gt;0")</f>
        <v>0</v>
      </c>
      <c r="EZ61" s="6">
        <f>COUNTIFS(Table11[Country],Tabela1[[#This Row],[Country]],Table11[Épée Classification],"&gt;0")</f>
        <v>0</v>
      </c>
      <c r="FA61" s="6">
        <f>COUNTIFS(Table46[Country],Tabela1[[#This Row],[Country]],Table46[Men''s Épée Classification],"&gt;0")</f>
        <v>0</v>
      </c>
      <c r="FB61" s="6">
        <f>COUNTIFS(Table46[Country],Tabela1[[#This Row],[Country]],Table46[Women''s Épée Classification],"&gt;0")</f>
        <v>0</v>
      </c>
      <c r="FC61" s="6">
        <f>COUNTIFS(Table10[Country],Tabela1[[#This Row],[Country]],Table10[Foil Classification],"&gt;0")</f>
        <v>0</v>
      </c>
      <c r="FD61" s="6">
        <f>COUNTIFS(Table11[Country],Tabela1[[#This Row],[Country]],Table11[Foil Classification],"&gt;0")</f>
        <v>0</v>
      </c>
      <c r="FE61" s="6">
        <f>COUNTIFS(Table46[Country],Tabela1[[#This Row],[Country]],Table46[Men''s Foil Classification],"&gt;0")</f>
        <v>0</v>
      </c>
      <c r="FF61" s="6">
        <f>COUNTIFS(Table46[Country],Tabela1[[#This Row],[Country]],Table46[Women''s Foil Classification],"&gt;0")</f>
        <v>0</v>
      </c>
      <c r="FG61" s="6">
        <f>COUNTIFS(Table10[Country],Tabela1[[#This Row],[Country]],Table10[Sabre Classification],"&gt;0")</f>
        <v>0</v>
      </c>
      <c r="FH61" s="6">
        <f>COUNTIFS(Table11[Country],Tabela1[[#This Row],[Country]],Table11[Sabre Classification],"&gt;0")</f>
        <v>0</v>
      </c>
      <c r="FI61" s="6">
        <f>COUNTIFS(Table46[Country],Tabela1[[#This Row],[Country]],Table46[Men''s Sabre Classification],"&gt;0")</f>
        <v>0</v>
      </c>
      <c r="FJ61" s="6">
        <f>COUNTIFS(Table46[Country],Tabela1[[#This Row],[Country]],Table46[Women''s Sabre Classification],"&gt;0")</f>
        <v>0</v>
      </c>
      <c r="FK61" s="6">
        <f>COUNTIFS(Table91[Country],Tabela1[[#This Row],[Country]],Table91[Men''s Classification],"&gt;0")</f>
        <v>0</v>
      </c>
      <c r="FL61" s="6">
        <f>COUNTIFS(Table91[Country],Tabela1[[#This Row],[Country]],Table91[Women''s Classification],"&gt;0")</f>
        <v>0</v>
      </c>
      <c r="FM61" s="6">
        <f>COUNTIFS(Table9194[Country],Tabela1[[#This Row],[Country]],Table9194[Men''s Classification],"&gt;0")</f>
        <v>0</v>
      </c>
      <c r="FN61" s="6">
        <f>COUNTIFS(Table9194[Country],Tabela1[[#This Row],[Country]],Table9194[Women''s Classification],"&gt;0")</f>
        <v>0</v>
      </c>
      <c r="FO61" s="6">
        <f>COUNTIFS(Table71[Country],Tabela1[[#This Row],[Country]],Table71[Classification],"&gt;0")</f>
        <v>0</v>
      </c>
      <c r="FP61" s="6">
        <f>COUNTIFS(Table62[Country],Tabela1[[#This Row],[Country]],Table62[Classification],"&gt;0")</f>
        <v>0</v>
      </c>
      <c r="FQ61" s="6">
        <f>COUNTIFS(Table47[Country],Tabela1[[#This Row],[Country]],Table47[All-Around Classification],"&gt;0")</f>
        <v>0</v>
      </c>
      <c r="FR61" s="6">
        <f>COUNTIFS(Table48[Country],Tabela1[[#This Row],[Country]],Table48[All-Around Classification],"&gt;0")</f>
        <v>0</v>
      </c>
      <c r="FS61" s="6">
        <f>COUNTIFS(Table81[Country],Tabela1[[#This Row],[Country]],Table81[Men''s All-Around Classification],"&gt;0")</f>
        <v>0</v>
      </c>
      <c r="FT61" s="6">
        <f>COUNTIFS(Table81[Country],Tabela1[[#This Row],[Country]],Table81[Women''s All-Around Classification],"&gt;0")</f>
        <v>0</v>
      </c>
      <c r="FU61" s="6">
        <f>COUNTIFS(Table48[Country],Tabela1[[#This Row],[Country]],Table48[Balance Beam Classification],"&gt;0")</f>
        <v>0</v>
      </c>
      <c r="FV61" s="6">
        <f>COUNTIFS(Table47[Country],Tabela1[[#This Row],[Country]],Table47[Floor Exercise Classification],"&gt;0")</f>
        <v>0</v>
      </c>
      <c r="FW61" s="6">
        <f>COUNTIFS(Table48[Country],Tabela1[[#This Row],[Country]],Table48[Floor Exercise Classification],"&gt;0")</f>
        <v>0</v>
      </c>
      <c r="FX61" s="6">
        <f>COUNTIFS(Table47[Country],Tabela1[[#This Row],[Country]],Table47[Horizontal Bar Classification],"&gt;0")</f>
        <v>0</v>
      </c>
      <c r="FY61" s="6">
        <f>COUNTIFS(Table47[Country],Tabela1[[#This Row],[Country]],Table47[Parallel Bars Classification],"&gt;0")</f>
        <v>0</v>
      </c>
      <c r="FZ61" s="6">
        <f>COUNTIFS(Table47[Country],Tabela1[[#This Row],[Country]],Table47[Pommel Horse Classification],"&gt;0")</f>
        <v>0</v>
      </c>
      <c r="GA61" s="6">
        <f>COUNTIFS(Table47[Country],Tabela1[[#This Row],[Country]],Table47[Rings Classification],"&gt;0")</f>
        <v>0</v>
      </c>
      <c r="GB61" s="6">
        <f>COUNTIFS(Tabela132[Country],Tabela1[[#This Row],[Country]],Tabela132[Classification],"&gt;0")</f>
        <v>0</v>
      </c>
      <c r="GC61" s="6">
        <f>COUNTIFS(Tabela139[Country],Tabela1[[#This Row],[Country]],Tabela139[Classification],"&gt;0")</f>
        <v>0</v>
      </c>
      <c r="GD61" s="6">
        <f>COUNTIFS(Table48[Country],Tabela1[[#This Row],[Country]],Table48[Uneven Bars Classification],"&gt;0")</f>
        <v>0</v>
      </c>
      <c r="GE61" s="6">
        <f>COUNTIFS(Table47[Country],Tabela1[[#This Row],[Country]],Table47[Vault Classification],"&gt;0")</f>
        <v>0</v>
      </c>
      <c r="GF61" s="6">
        <f>COUNTIFS(Table48[Country],Tabela1[[#This Row],[Country]],Table48[Vault Classification],"&gt;0")</f>
        <v>0</v>
      </c>
      <c r="GG61" s="6">
        <f>COUNTIFS(Table919496[Country],Tabela1[[#This Row],[Country]],Table919496[Men''s Classification],"&gt;0")</f>
        <v>0</v>
      </c>
      <c r="GH61" s="6">
        <f>COUNTIFS(Table919496[Country],Tabela1[[#This Row],[Country]],Table919496[Women''s Classification],"&gt;0")</f>
        <v>0</v>
      </c>
      <c r="GI61" s="6">
        <f>COUNTIFS(Table12[Country],Tabela1[[#This Row],[Country]],Table12[60kg Classification],"&gt;0")</f>
        <v>0</v>
      </c>
      <c r="GJ61" s="6">
        <f>COUNTIFS(Table12[Country],Tabela1[[#This Row],[Country]],Table12[66kg Classification],"&gt;0")</f>
        <v>0</v>
      </c>
      <c r="GK61" s="6">
        <f>COUNTIFS(Table12[Country],Tabela1[[#This Row],[Country]],Table12[73kg Classification],"&gt;0")</f>
        <v>0</v>
      </c>
      <c r="GL61" s="6">
        <f>COUNTIFS(Table12[Country],Tabela1[[#This Row],[Country]],Table12[81kg Classification],"&gt;0")</f>
        <v>0</v>
      </c>
      <c r="GM61" s="6">
        <f>COUNTIFS(Table12[Country],Tabela1[[#This Row],[Country]],Table12[90kg Classification],"&gt;0")</f>
        <v>0</v>
      </c>
      <c r="GN61" s="6">
        <f>COUNTIFS(Table12[Country],Tabela1[[#This Row],[Country]],Table12[100kg Classification],"&gt;0")</f>
        <v>0</v>
      </c>
      <c r="GO61" s="6">
        <f>COUNTIFS(Table12[Country],Tabela1[[#This Row],[Country]],Table12[Plus 100kg Classification],"&gt;0")</f>
        <v>0</v>
      </c>
      <c r="GP61" s="6">
        <f>COUNTIFS(Table13[Country],Tabela1[[#This Row],[Country]],Table13[48kg Classification],"&gt;0")</f>
        <v>0</v>
      </c>
      <c r="GQ61" s="6">
        <f>COUNTIFS(Table13[Country],Tabela1[[#This Row],[Country]],Table13[52kg Classification],"&gt;0")</f>
        <v>0</v>
      </c>
      <c r="GR61" s="6">
        <f>COUNTIFS(Table13[Country],Tabela1[[#This Row],[Country]],Table13[57kg Classification],"&gt;0")</f>
        <v>0</v>
      </c>
      <c r="GS61" s="6">
        <f>COUNTIFS(Table13[Country],Tabela1[[#This Row],[Country]],Table13[63kg Classification],"&gt;0")</f>
        <v>0</v>
      </c>
      <c r="GT61" s="6">
        <f>COUNTIFS(Table13[Country],Tabela1[[#This Row],[Country]],Table13[70kg Classification],"&gt;0")</f>
        <v>0</v>
      </c>
      <c r="GU61" s="6">
        <f>COUNTIFS(Table13[Country],Tabela1[[#This Row],[Country]],Table13[78kg Classification],"&gt;0")</f>
        <v>0</v>
      </c>
      <c r="GV61" s="6">
        <f>COUNTIFS(Table13[Country],Tabela1[[#This Row],[Country]],Table13[Plus 78kg Classification],"&gt;0")</f>
        <v>0</v>
      </c>
      <c r="GW61" s="6">
        <f>COUNTIFS(Table82[Country],Tabela1[[#This Row],[Country]],Table82[Mixed Classification],"&gt;0")</f>
        <v>0</v>
      </c>
      <c r="GX61" s="6">
        <f>COUNTIFS(Table51[Country],Tabela1[[#This Row],[Country]],Table51[Classification],"&gt;0")</f>
        <v>0</v>
      </c>
      <c r="GY61" s="6">
        <f>COUNTIFS(Table52[Country],Tabela1[[#This Row],[Country]],Table52[Classification],"&gt;0")</f>
        <v>0</v>
      </c>
      <c r="GZ61" s="6">
        <f>COUNTIFS(Table32[Country],Tabela1[[#This Row],[Country]],Table32[All-Around Classification],"&gt;0")</f>
        <v>0</v>
      </c>
      <c r="HA61" s="6">
        <f>COUNTIFS(Table49[Country],Tabela1[[#This Row],[Country]],Table49[All-Around Classification],"&gt;0")</f>
        <v>0</v>
      </c>
      <c r="HB61" s="6">
        <f>COUNTIFS(Table26[Country],Tabela1[[#This Row],[Country]],Table26[Single Sculls Classification],"&gt;0")</f>
        <v>0</v>
      </c>
      <c r="HC61" s="6">
        <f>COUNTIFS(Table63[Country],Tabela1[[#This Row],[Country]],Table63[Single Sculls Classification],"&gt;0")</f>
        <v>0</v>
      </c>
      <c r="HD61" s="6">
        <f>COUNTIFS(Table16[Country],Tabela1[[#This Row],[Country]],Table16[Men''s Double Sculls Classification],"&gt;0")</f>
        <v>0</v>
      </c>
      <c r="HE61" s="6">
        <f>COUNTIFS(Table16[Country],Tabela1[[#This Row],[Country]],Table16[Women''s Double Sculls Classification],"&gt;0")</f>
        <v>0</v>
      </c>
      <c r="HF61" s="6">
        <f>COUNTIFS(Table72[Country],Tabela1[[#This Row],[Country]],Table72[Men''s Quadruple Sculls Classification],"&gt;0")</f>
        <v>0</v>
      </c>
      <c r="HG61" s="6">
        <f>COUNTIFS(Table72[Country],Tabela1[[#This Row],[Country]],Table72[Women''s Quadruple Sculls Classification],"&gt;0")</f>
        <v>0</v>
      </c>
      <c r="HH61" s="6">
        <f>COUNTIFS(Table16[Country],Tabela1[[#This Row],[Country]],Table16[Men''s Coxless Pairs Classification],"&gt;0")</f>
        <v>0</v>
      </c>
      <c r="HI61" s="6">
        <f>COUNTIFS(Table16[Country],Tabela1[[#This Row],[Country]],Table16[Women''s Coxless Pairs Classification],"&gt;0")</f>
        <v>0</v>
      </c>
      <c r="HJ61" s="6">
        <f>COUNTIFS(Table72[Country],Tabela1[[#This Row],[Country]],Table72[Men''s Coxless Fours Classification],"&gt;0")</f>
        <v>0</v>
      </c>
      <c r="HK61" s="6">
        <f>COUNTIFS(Table72[Country],Tabela1[[#This Row],[Country]],Table72[Women''s Coxless Fours Classification],"&gt;0")</f>
        <v>0</v>
      </c>
      <c r="HL61" s="6">
        <f>COUNTIFS(Table72[Country],Tabela1[[#This Row],[Country]],Table72[Men''s Eights Classification],"&gt;0")</f>
        <v>0</v>
      </c>
      <c r="HM61" s="6">
        <f>COUNTIFS(Table72[Country],Tabela1[[#This Row],[Country]],Table72[Women''s Eights Classification],"&gt;0")</f>
        <v>0</v>
      </c>
      <c r="HN61" s="6">
        <f>COUNTIFS(Table16[Country],Tabela1[[#This Row],[Country]],Table16[Men''s Lwt. Double Sculls Classification],"&gt;0")</f>
        <v>0</v>
      </c>
      <c r="HO61" s="6">
        <f>COUNTIFS(Table16[Country],Tabela1[[#This Row],[Country]],Table16[Women''s Lwt. Double Sculls Classification],"&gt;0")</f>
        <v>0</v>
      </c>
      <c r="HP61" s="6">
        <f>COUNTIFS(Table91949698[Country],Tabela1[[#This Row],[Country]],Table91949698[Men''s Classification],"&gt;0")</f>
        <v>0</v>
      </c>
      <c r="HQ61" s="6">
        <f>COUNTIFS(Table91949698[Country],Tabela1[[#This Row],[Country]],Table91949698[Women''s Classification],"&gt;0")</f>
        <v>0</v>
      </c>
      <c r="HR61" s="6">
        <f>COUNTIFS(Table25[Country],Tabela1[[#This Row],[Country]],Table25[Mixed 470 Classification],"&gt;0")</f>
        <v>0</v>
      </c>
      <c r="HS61" s="6">
        <f>COUNTIFS(Table25[Country],Tabela1[[#This Row],[Country]],Table25[Men''s 49er Classification],"&gt;0")</f>
        <v>0</v>
      </c>
      <c r="HT61" s="6">
        <f>COUNTIFS(Table25[Country],Tabela1[[#This Row],[Country]],Table25[Women''s 49er FX Classification],"&gt;0")</f>
        <v>0</v>
      </c>
      <c r="HU61" s="6">
        <f>COUNTIFS(Table17[Country],Tabela1[[#This Row],[Country]],Table17[Formula Kite Classification],"&gt;0")</f>
        <v>0</v>
      </c>
      <c r="HV61" s="6">
        <f>COUNTIFS(Table18[Country],Tabela1[[#This Row],[Country]],Table18[Formula Kite Classification],"&gt;0")</f>
        <v>0</v>
      </c>
      <c r="HW61" s="6">
        <f>COUNTIFS(Table17[Country],Tabela1[[#This Row],[Country]],Table17[ILCA 7 Classification],"&gt;0")</f>
        <v>0</v>
      </c>
      <c r="HX61" s="6">
        <f>COUNTIFS(Table18[Country],Tabela1[[#This Row],[Country]],Table18[ILCA 6 Classification],"&gt;0")</f>
        <v>0</v>
      </c>
      <c r="HY61" s="6">
        <f>COUNTIFS(Table17[Country],Tabela1[[#This Row],[Country]],Table17[IQFoil Classification],"&gt;0")</f>
        <v>0</v>
      </c>
      <c r="HZ61" s="6">
        <f>COUNTIFS(Table18[Country],Tabela1[[#This Row],[Country]],Table18[IQFoil Classification],"&gt;0")</f>
        <v>0</v>
      </c>
      <c r="IA61" s="6">
        <f>COUNTIFS(Table25[Country],Tabela1[[#This Row],[Country]],Table25[Mixed Nacra 17 Classification],"&gt;0")</f>
        <v>0</v>
      </c>
      <c r="IB61" s="6">
        <f>COUNTIFS(Table53[Country],Tabela1[[#This Row],[Country]],Table53[10m Air Pistol Classification],"&gt;0")</f>
        <v>0</v>
      </c>
      <c r="IC61" s="6">
        <f>COUNTIFS(Table19[Country],Tabela1[[#This Row],[Country]],Table19[10m Air Pistol Classification],"&gt;0")</f>
        <v>0</v>
      </c>
      <c r="ID61" s="6">
        <f>COUNTIFS(Table54[Country],Tabela1[[#This Row],[Country]],Table54[Mixed 10m Air Pistol Team Classification],"&gt;0")</f>
        <v>0</v>
      </c>
      <c r="IE61" s="6">
        <f>COUNTIFS(Table53[Country],Tabela1[[#This Row],[Country]],Table53[10m Air Rifle Classification],"&gt;0")</f>
        <v>0</v>
      </c>
      <c r="IF61" s="6">
        <f>COUNTIFS(Table19[Country],Tabela1[[#This Row],[Country]],Table19[10m Air Rifle Classification],"&gt;0")</f>
        <v>0</v>
      </c>
      <c r="IG61" s="6">
        <f>COUNTIFS(Table54[Country],Tabela1[[#This Row],[Country]],Table54[Mixed 10m Air Rifle Team Classification],"&gt;0")</f>
        <v>0</v>
      </c>
      <c r="IH61" s="6">
        <f>COUNTIFS(Table53[Country],Tabela1[[#This Row],[Country]],Table53[25m Rapid Fire Pistol Classification],"&gt;0")</f>
        <v>0</v>
      </c>
      <c r="II61" s="6">
        <f>COUNTIFS(Table19[Country],Tabela1[[#This Row],[Country]],Table19[25m Pistol Classification],"&gt;0")</f>
        <v>0</v>
      </c>
      <c r="IJ61" s="6">
        <f>COUNTIFS(Table53[Country],Tabela1[[#This Row],[Country]],Table53[50m Rifle 3 Positions Classification],"&gt;0")</f>
        <v>0</v>
      </c>
      <c r="IK61" s="6">
        <f>COUNTIFS(Table19[Country],Tabela1[[#This Row],[Country]],Table19[50m Rifle 3 Positions Classification],"&gt;0")</f>
        <v>0</v>
      </c>
      <c r="IL61" s="6">
        <f>COUNTIFS(Table53[Country],Tabela1[[#This Row],[Country]],Table53[Skeet Classification],"&gt;0")</f>
        <v>0</v>
      </c>
      <c r="IM61" s="6">
        <f>COUNTIFS(Table19[Country],Tabela1[[#This Row],[Country]],Table19[Skeet Classification],"&gt;0")</f>
        <v>0</v>
      </c>
      <c r="IN61" s="6">
        <f>COUNTIFS(Table54[Country],Tabela1[[#This Row],[Country]],Table54[Mixed Skeet Team Classification],"&gt;0")</f>
        <v>0</v>
      </c>
      <c r="IO61" s="6">
        <f>COUNTIFS(Table53[Country],Tabela1[[#This Row],[Country]],Table53[Trap Classification],"&gt;0")</f>
        <v>0</v>
      </c>
      <c r="IP61" s="6">
        <f>COUNTIFS(Table19[Country],Tabela1[[#This Row],[Country]],Table19[Trap Classification],"&gt;0")</f>
        <v>0</v>
      </c>
      <c r="IQ61" s="6">
        <f>COUNTIFS(Table73[Country],Tabela1[[#This Row],[Country]],Table73[Park Classification],"&gt;0")</f>
        <v>0</v>
      </c>
      <c r="IR61" s="6">
        <f>COUNTIFS(Table74[Country],Tabela1[[#This Row],[Country]],Table74[Park Classification],"&gt;0")</f>
        <v>0</v>
      </c>
      <c r="IS61" s="6">
        <f>COUNTIFS(Table73[Country],Tabela1[[#This Row],[Country]],Table73[Street Classification],"&gt;0")</f>
        <v>0</v>
      </c>
      <c r="IT61" s="6">
        <f>COUNTIFS(Table74[Country],Tabela1[[#This Row],[Country]],Table74[Street Classification],"&gt;0")</f>
        <v>0</v>
      </c>
      <c r="IU61" s="6">
        <f>COUNTIFS(Table75[Country],Tabela1[[#This Row],[Country]],Table75[Boulder and Lead Classification],"&gt;0")</f>
        <v>0</v>
      </c>
      <c r="IV61" s="6">
        <f>COUNTIFS(Table76[Country],Tabela1[[#This Row],[Country]],Table76[Boulder and Lead Classification],"&gt;0")</f>
        <v>0</v>
      </c>
      <c r="IW61" s="6">
        <f>COUNTIFS(Table75[Country],Tabela1[[#This Row],[Country]],Table75[Speed Classification],"&gt;0")</f>
        <v>0</v>
      </c>
      <c r="IX61" s="6">
        <f>COUNTIFS(Table76[Country],Tabela1[[#This Row],[Country]],Table76[Speed Classification],"&gt;0")</f>
        <v>0</v>
      </c>
      <c r="IY61" s="6">
        <f>COUNTIFS(Table64[Country],Tabela1[[#This Row],[Country]],Table64[Shortboard Classification],"&gt;0")</f>
        <v>0</v>
      </c>
      <c r="IZ61" s="6">
        <f>COUNTIFS(Table77[Country],Tabela1[[#This Row],[Country]],Table77[Shortboard Classification],"&gt;0")</f>
        <v>0</v>
      </c>
      <c r="JA61" s="6">
        <f>COUNTIFS(Table20[Country],Tabela1[[#This Row],[Country]],Table20[50m Freestyle Classification],"&gt;0")</f>
        <v>0</v>
      </c>
      <c r="JB61" s="6">
        <f>COUNTIFS(Table21[Country],Tabela1[[#This Row],[Country]],Table21[50m Freestyle Classification],"&gt;0")</f>
        <v>0</v>
      </c>
      <c r="JC61" s="6">
        <f>COUNTIFS(Table20[Country],Tabela1[[#This Row],[Country]],Table20[100m Freestyle Classification],"&gt;0")</f>
        <v>0</v>
      </c>
      <c r="JD61" s="6">
        <f>COUNTIFS(Table21[Country],Tabela1[[#This Row],[Country]],Table21[100m Freestyle Classification],"&gt;0")</f>
        <v>0</v>
      </c>
      <c r="JE61" s="6">
        <f>COUNTIFS(Table20[Country],Tabela1[[#This Row],[Country]],Table20[200m Freestyle Classification],"&gt;0")</f>
        <v>0</v>
      </c>
      <c r="JF61" s="6">
        <f>COUNTIFS(Table21[Country],Tabela1[[#This Row],[Country]],Table21[200m Freestyle Classification],"&gt;0")</f>
        <v>0</v>
      </c>
      <c r="JG61" s="6">
        <f>COUNTIFS(Table20[Country],Tabela1[[#This Row],[Country]],Table20[400m Freestyle Classification],"&gt;0")</f>
        <v>0</v>
      </c>
      <c r="JH61" s="6">
        <f>COUNTIFS(Table21[Country],Tabela1[[#This Row],[Country]],Table21[400m Freestyle Classification],"&gt;0")</f>
        <v>0</v>
      </c>
      <c r="JI61" s="6">
        <f>COUNTIFS(Table20[Country],Tabela1[[#This Row],[Country]],Table20[800m Freestyle Classification],"&gt;0")</f>
        <v>0</v>
      </c>
      <c r="JJ61" s="6">
        <f>COUNTIFS(Table21[Country],Tabela1[[#This Row],[Country]],Table21[800m Freestyle Classification],"&gt;0")</f>
        <v>0</v>
      </c>
      <c r="JK61" s="6">
        <f>COUNTIFS(Table20[Country],Tabela1[[#This Row],[Country]],Table20[1500m Freestyle Classification],"&gt;0")</f>
        <v>0</v>
      </c>
      <c r="JL61" s="6">
        <f>COUNTIFS(Table21[Country],Tabela1[[#This Row],[Country]],Table21[1500m Freestyle Classification],"&gt;0")</f>
        <v>0</v>
      </c>
      <c r="JM61" s="6">
        <f>COUNTIFS(Table20[Country],Tabela1[[#This Row],[Country]],Table20[100m Backstroke Classification],"&gt;0")</f>
        <v>0</v>
      </c>
      <c r="JN61" s="6">
        <f>COUNTIFS(Table21[Country],Tabela1[[#This Row],[Country]],Table21[100m Backstroke Classification],"&gt;0")</f>
        <v>0</v>
      </c>
      <c r="JO61" s="6">
        <f>COUNTIFS(Table20[Country],Tabela1[[#This Row],[Country]],Table20[200m Backstroke Classification],"&gt;0")</f>
        <v>0</v>
      </c>
      <c r="JP61" s="6">
        <f>COUNTIFS(Table21[Country],Tabela1[[#This Row],[Country]],Table21[200m Backstroke Classification],"&gt;0")</f>
        <v>0</v>
      </c>
      <c r="JQ61" s="6">
        <f>COUNTIFS(Table20[Country],Tabela1[[#This Row],[Country]],Table20[100m Breaststroke Classification],"&gt;0")</f>
        <v>0</v>
      </c>
      <c r="JR61" s="6">
        <f>COUNTIFS(Table21[Country],Tabela1[[#This Row],[Country]],Table21[100m Breaststroke Classification],"&gt;0")</f>
        <v>0</v>
      </c>
      <c r="JS61" s="6">
        <f>COUNTIFS(Table20[Country],Tabela1[[#This Row],[Country]],Table20[200m Breaststroke Classification],"&gt;0")</f>
        <v>0</v>
      </c>
      <c r="JT61" s="6">
        <f>COUNTIFS(Table21[Country],Tabela1[[#This Row],[Country]],Table21[200m Breaststroke Classification],"&gt;0")</f>
        <v>0</v>
      </c>
      <c r="JU61" s="6">
        <f>COUNTIFS(Table20[Country],Tabela1[[#This Row],[Country]],Table20[100m Butterfly Classification],"&gt;0")</f>
        <v>0</v>
      </c>
      <c r="JV61" s="6">
        <f>COUNTIFS(Table21[Country],Tabela1[[#This Row],[Country]],Table21[100m Butterfly Classification],"&gt;0")</f>
        <v>0</v>
      </c>
      <c r="JW61" s="6">
        <f>COUNTIFS(Table20[Country],Tabela1[[#This Row],[Country]],Table20[200m Butterfly Classification],"&gt;0")</f>
        <v>0</v>
      </c>
      <c r="JX61" s="6">
        <f>COUNTIFS(Table21[Country],Tabela1[[#This Row],[Country]],Table21[200m Butterfly Classification],"&gt;0")</f>
        <v>0</v>
      </c>
      <c r="JY61" s="6">
        <f>COUNTIFS(Table20[Country],Tabela1[[#This Row],[Country]],Table20[200m Medley Classification],"&gt;0")</f>
        <v>0</v>
      </c>
      <c r="JZ61" s="6">
        <f>COUNTIFS(Table21[Country],Tabela1[[#This Row],[Country]],Table21[200m Medley Classification],"&gt;0")</f>
        <v>0</v>
      </c>
      <c r="KA61" s="6">
        <f>COUNTIFS(Table20[Country],Tabela1[[#This Row],[Country]],Table20[400m Medley Classification],"&gt;0")</f>
        <v>0</v>
      </c>
      <c r="KB61" s="6">
        <f>COUNTIFS(Table21[Country],Tabela1[[#This Row],[Country]],Table21[400m Medley Classification],"&gt;0")</f>
        <v>0</v>
      </c>
      <c r="KC61" s="6">
        <f>COUNTIFS(Table78[Country],Tabela1[[#This Row],[Country]],Table78[Men''s 4x100m Freestyle Relay Classification],"&gt;0")</f>
        <v>0</v>
      </c>
      <c r="KD61" s="6">
        <f>COUNTIFS(Table78[Country],Tabela1[[#This Row],[Country]],Table78[Women''s 4x100m Freestyle Relay Classification],"&gt;0")</f>
        <v>0</v>
      </c>
      <c r="KE61" s="6">
        <f>COUNTIFS(Table78[Country],Tabela1[[#This Row],[Country]],Table78[Men''s 4x200m Freestyle Relay Classification],"&gt;0")</f>
        <v>0</v>
      </c>
      <c r="KF61" s="6">
        <f>COUNTIFS(Table78[Country],Tabela1[[#This Row],[Country]],Table78[Women''s 4x200m Freestyle Relay Classification],"&gt;0")</f>
        <v>0</v>
      </c>
      <c r="KG61" s="6">
        <f>COUNTIFS(Table78[Country],Tabela1[[#This Row],[Country]],Table78[Men''s 4x100m Medley Relay Classification],"&gt;0")</f>
        <v>0</v>
      </c>
      <c r="KH61" s="6">
        <f>COUNTIFS(Table78[Country],Tabela1[[#This Row],[Country]],Table78[Women''s 4x100m Medley Relay Classification],"&gt;0")</f>
        <v>0</v>
      </c>
      <c r="KI61" s="6">
        <f>COUNTIFS(Table78[Country],Tabela1[[#This Row],[Country]],Table78[Mixed 4x100m Medley Relay Classification],"&gt;0")</f>
        <v>0</v>
      </c>
      <c r="KJ61" s="6">
        <f>COUNTIFS(Table20[Country],Tabela1[[#This Row],[Country]],Table20[10km Open Water Classification],"&gt;0")</f>
        <v>0</v>
      </c>
      <c r="KK61" s="6">
        <f>COUNTIFS(Table21[Country],Tabela1[[#This Row],[Country]],Table21[10km Open Water Classification],"&gt;0")</f>
        <v>0</v>
      </c>
      <c r="KL61" s="6">
        <f>COUNTIFS(Table22[Country],Tabela1[[#This Row],[Country]],Table22[Classification],"&gt;0")</f>
        <v>2</v>
      </c>
      <c r="KM61" s="6">
        <f>COUNTIFS(Table30[Country],Tabela1[[#This Row],[Country]],Table30[Classification],"&gt;0")</f>
        <v>1</v>
      </c>
      <c r="KN61" s="6">
        <f>COUNTIFS(Table55[Country],Tabela1[[#This Row],[Country]],Table55[Men''s Classification],"&gt;0")</f>
        <v>0</v>
      </c>
      <c r="KO61" s="6">
        <f>COUNTIFS(Table55[Country],Tabela1[[#This Row],[Country]],Table55[Women''s Classification],"&gt;0")</f>
        <v>0</v>
      </c>
      <c r="KP61" s="6">
        <f>COUNTIFS(Table56[Country],Tabela1[[#This Row],[Country]],Table56[Mixed Classification],"&gt;0")</f>
        <v>0</v>
      </c>
      <c r="KQ61" s="6">
        <f>COUNTIFS(Table29[Country],Tabela1[[#This Row],[Country]],Table29[58kg Classification],"&gt;0")</f>
        <v>0</v>
      </c>
      <c r="KR61" s="6">
        <f>COUNTIFS(Table29[Country],Tabela1[[#This Row],[Country]],Table29[68kg Classification],"&gt;0")</f>
        <v>0</v>
      </c>
      <c r="KS61" s="6">
        <f>COUNTIFS(Table29[Country],Tabela1[[#This Row],[Country]],Table29[80kg Classification],"&gt;0")</f>
        <v>0</v>
      </c>
      <c r="KT61" s="6">
        <f>COUNTIFS(Table29[Country],Tabela1[[#This Row],[Country]],Table29[Plus 80kg Classification],"&gt;0")</f>
        <v>1</v>
      </c>
      <c r="KU61" s="6">
        <f>COUNTIFS(Table34[Country],Tabela1[[#This Row],[Country]],Table34[49kg Classification],"&gt;0")</f>
        <v>0</v>
      </c>
      <c r="KV61" s="6">
        <f>COUNTIFS(Table34[Country],Tabela1[[#This Row],[Country]],Table34[57kg Classification],"&gt;0")</f>
        <v>0</v>
      </c>
      <c r="KW61" s="6">
        <f>COUNTIFS(Table34[Country],Tabela1[[#This Row],[Country]],Table34[67kg Classification],"&gt;0")</f>
        <v>0</v>
      </c>
      <c r="KX61" s="6">
        <f>COUNTIFS(Table34[Country],Tabela1[[#This Row],[Country]],Table34[Plus 67kg Classification],"&gt;0")</f>
        <v>0</v>
      </c>
      <c r="KY61" s="6">
        <f>COUNTIFS(Table57[Country],Tabela1[[#This Row],[Country]],Table57[Classification],"&gt;0")</f>
        <v>0</v>
      </c>
      <c r="KZ61" s="6">
        <f>COUNTIFS(Table58[Country],Tabela1[[#This Row],[Country]],Table58[Classification],"&gt;0")</f>
        <v>0</v>
      </c>
      <c r="LA61" s="6">
        <f>COUNTIFS(Table79[Country],Tabela1[[#This Row],[Country]],Table79[Men''s Classification],"&gt;0")</f>
        <v>0</v>
      </c>
      <c r="LB61" s="6">
        <f>COUNTIFS(Table79[Country],Tabela1[[#This Row],[Country]],Table79[Women''s Classification],"&gt;0")</f>
        <v>0</v>
      </c>
      <c r="LC61" s="6">
        <f>COUNTIFS(Table79[Country],Tabela1[[#This Row],[Country]],Table79[Mixed Classification],"&gt;0")</f>
        <v>0</v>
      </c>
      <c r="LD61" s="6">
        <f>COUNTIFS(Table65[Country],Tabela1[[#This Row],[Country]],Table65[Classification],"&gt;0")</f>
        <v>0</v>
      </c>
      <c r="LE61" s="6">
        <f>COUNTIFS(Table59[Country],Tabela1[[#This Row],[Country]],Table59[Classification],"&gt;0")</f>
        <v>0</v>
      </c>
      <c r="LF61" s="6">
        <f>COUNTIFS(Table87[Country],Tabela1[[#This Row],[Country]],Table87[Mixed Relay Classification],"&gt;0")</f>
        <v>0</v>
      </c>
      <c r="LG61" s="6">
        <f>COUNTIFS(Table91949698100[Country],Tabela1[[#This Row],[Country]],Table91949698100[Men''s Classification],"&gt;0")</f>
        <v>0</v>
      </c>
      <c r="LH61" s="6">
        <f>COUNTIFS(Table91949698100[Country],Tabela1[[#This Row],[Country]],Table91949698100[Women''s Classification],"&gt;0")</f>
        <v>0</v>
      </c>
      <c r="LI61" s="6">
        <f>COUNTIFS(Table91949698100102[Country],Tabela1[[#This Row],[Country]],Table91949698100102[Men''s Classification],"&gt;0")</f>
        <v>0</v>
      </c>
      <c r="LJ61" s="6">
        <f>COUNTIFS(Table91949698100102[Country],Tabela1[[#This Row],[Country]],Table91949698100102[Women''s Classification],"&gt;0")</f>
        <v>0</v>
      </c>
      <c r="LK61" s="6">
        <f>COUNTIFS(Table23[Country],Tabela1[[#This Row],[Country]],Table23[61kg Classification],"&gt;0")</f>
        <v>0</v>
      </c>
      <c r="LL61" s="6">
        <f>COUNTIFS(Table23[Country],Tabela1[[#This Row],[Country]],Table23[73kg Classification],"&gt;0")</f>
        <v>0</v>
      </c>
      <c r="LM61" s="6">
        <f>COUNTIFS(Table23[Country],Tabela1[[#This Row],[Country]],Table23[89kg Classification],"&gt;0")</f>
        <v>0</v>
      </c>
      <c r="LN61" s="6">
        <f>COUNTIFS(Table23[Country],Tabela1[[#This Row],[Country]],Table23[102kg Classification],"&gt;0")</f>
        <v>0</v>
      </c>
      <c r="LO61" s="6">
        <f>COUNTIFS(Table23[Country],Tabela1[[#This Row],[Country]],Table23[Plus 102kg Classification],"&gt;0")</f>
        <v>1</v>
      </c>
      <c r="LP61" s="6">
        <f>COUNTIFS(Table28[Country],Tabela1[[#This Row],[Country]],Table28[49kg Classification],"&gt;0")</f>
        <v>0</v>
      </c>
      <c r="LQ61" s="6">
        <f>COUNTIFS(Table28[Country],Tabela1[[#This Row],[Country]],Table28[59kg Classification],"&gt;0")</f>
        <v>0</v>
      </c>
      <c r="LR61" s="6">
        <f>COUNTIFS(Table28[Country],Tabela1[[#This Row],[Country]],Table28[71kg Classification],"&gt;0")</f>
        <v>0</v>
      </c>
      <c r="LS61" s="6">
        <f>COUNTIFS(Table28[Country],Tabela1[[#This Row],[Country]],Table28[81kg Classification],"&gt;0")</f>
        <v>0</v>
      </c>
      <c r="LT61" s="6">
        <f>COUNTIFS(Table28[Country],Tabela1[[#This Row],[Country]],Table28[Plus 81kg Classification],"&gt;0")</f>
        <v>0</v>
      </c>
      <c r="LU61" s="6">
        <f>COUNTIFS(Table24[Country],Tabela1[[#This Row],[Country]],Table24[Freestyle 57kg Classification],"&gt;0")</f>
        <v>0</v>
      </c>
      <c r="LV61" s="6">
        <f>COUNTIFS(Table24[Country],Tabela1[[#This Row],[Country]],Table24[Freestyle 65kg Classification],"&gt;0")</f>
        <v>1</v>
      </c>
      <c r="LW61" s="6">
        <f>COUNTIFS(Table24[Country],Tabela1[[#This Row],[Country]],Table24[Freestyle 74kg Classification],"&gt;0")</f>
        <v>1</v>
      </c>
      <c r="LX61" s="6">
        <f>COUNTIFS(Table24[Country],Tabela1[[#This Row],[Country]],Table24[Freestyle 86kg Classification],"&gt;0")</f>
        <v>1</v>
      </c>
      <c r="LY61" s="6">
        <f>COUNTIFS(Table24[Country],Tabela1[[#This Row],[Country]],Table24[Freestyle 97kg Classification],"&gt;0")</f>
        <v>0</v>
      </c>
      <c r="LZ61" s="6">
        <f>COUNTIFS(Table24[Country],Tabela1[[#This Row],[Country]],Table24[Freestyle 125kg Classification],"&gt;0")</f>
        <v>1</v>
      </c>
      <c r="MA61" s="6">
        <f>COUNTIFS(Table24[Country],Tabela1[[#This Row],[Country]],Table24[Greco-Roman 60kg Classification],"&gt;0")</f>
        <v>0</v>
      </c>
      <c r="MB61" s="6">
        <f>COUNTIFS(Table24[Country],Tabela1[[#This Row],[Country]],Table24[Greco-Roman 67kg Classification],"&gt;0")</f>
        <v>0</v>
      </c>
      <c r="MC61" s="6">
        <f>COUNTIFS(Table24[Country],Tabela1[[#This Row],[Country]],Table24[Greco-Roman 77kg Classification],"&gt;0")</f>
        <v>0</v>
      </c>
      <c r="MD61" s="6">
        <f>COUNTIFS(Table24[Country],Tabela1[[#This Row],[Country]],Table24[Greco-Roman 87kg Classification],"&gt;0")</f>
        <v>0</v>
      </c>
      <c r="ME61" s="6">
        <f>COUNTIFS(Table24[Country],Tabela1[[#This Row],[Country]],Table24[Greco-Roman 97kg Classification],"&gt;0")</f>
        <v>1</v>
      </c>
      <c r="MF61" s="6">
        <f>COUNTIFS(Table24[Country],Tabela1[[#This Row],[Country]],Table24[Greco-Roman 130kg Classification],"&gt;0")</f>
        <v>0</v>
      </c>
      <c r="MG61" s="6">
        <f>COUNTIFS(Table31[Country],Tabela1[[#This Row],[Country]],Table31[50kg Classification],"&gt;0")</f>
        <v>0</v>
      </c>
      <c r="MH61" s="6">
        <f>COUNTIFS(Table31[Country],Tabela1[[#This Row],[Country]],Table31[53kg Classification],"&gt;0")</f>
        <v>0</v>
      </c>
      <c r="MI61" s="6">
        <f>COUNTIFS(Table31[Country],Tabela1[[#This Row],[Country]],Table31[57kg Classification],"&gt;0")</f>
        <v>0</v>
      </c>
      <c r="MJ61" s="6">
        <f>COUNTIFS(Table31[Country],Tabela1[[#This Row],[Country]],Table31[62kg Classification],"&gt;0")</f>
        <v>0</v>
      </c>
      <c r="MK61" s="6">
        <f>COUNTIFS(Table31[Country],Tabela1[[#This Row],[Country]],Table31[68kg Classification],"&gt;0")</f>
        <v>0</v>
      </c>
      <c r="ML61" s="6">
        <f>COUNTIFS(Table31[Country],Tabela1[[#This Row],[Country]],Table31[76kg Classification],"&gt;0")</f>
        <v>0</v>
      </c>
      <c r="MM61" s="6">
        <f>COUNTIFS(Table102[Country],Tabela1[[#This Row],[Country]],Table102[Downhill Classification],"&gt;0")</f>
        <v>0</v>
      </c>
      <c r="MN61" s="6">
        <f>COUNTIFS(Table102105[Country],Tabela1[[#This Row],[Country]],Table102105[Downhill Classification],"&gt;0")</f>
        <v>0</v>
      </c>
      <c r="MO61" s="6">
        <f>COUNTIFS(Table102[Country],Tabela1[[#This Row],[Country]],Table102[Giant Slalom Classification],"&gt;0")</f>
        <v>0</v>
      </c>
      <c r="MP61" s="6">
        <f>COUNTIFS(Table102105[Country],Tabela1[[#This Row],[Country]],Table102105[Giant Slalom Classification],"&gt;0")</f>
        <v>0</v>
      </c>
      <c r="MQ61" s="6">
        <f>COUNTIFS(Table102[Country],Tabela1[[#This Row],[Country]],Table102[Slalom Classification],"&gt;0")</f>
        <v>0</v>
      </c>
      <c r="MR61" s="6">
        <f>COUNTIFS(Table102105[Country],Tabela1[[#This Row],[Country]],Table102105[Slalom Classification],"&gt;0")</f>
        <v>0</v>
      </c>
      <c r="MS61" s="6">
        <f>COUNTIFS(Table102[Country],Tabela1[[#This Row],[Country]],Table102[Super-G Classification],"&gt;0")</f>
        <v>0</v>
      </c>
      <c r="MT61" s="6">
        <f>COUNTIFS(Table102105[Country],Tabela1[[#This Row],[Country]],Table102105[Super-G Classification],"&gt;0")</f>
        <v>0</v>
      </c>
      <c r="MU61" s="6">
        <f>COUNTIFS(Table105[Country],Tabela1[[#This Row],[Country]],Table105[Men''s Combined Classification],"&gt;0")</f>
        <v>0</v>
      </c>
      <c r="MV61" s="6">
        <f>COUNTIFS(Table105[Country],Tabela1[[#This Row],[Country]],Table105[Women''s Combined Classification],"&gt;0")</f>
        <v>0</v>
      </c>
      <c r="MW61" s="6">
        <f>COUNTIFS(Table106[Country],Tabela1[[#This Row],[Country]],Table106[Individual Classification],"&gt;0")</f>
        <v>0</v>
      </c>
      <c r="MX61" s="6">
        <f>COUNTIFS(Table106109[Country],Tabela1[[#This Row],[Country]],Table106109[Individual Classification],"&gt;0")</f>
        <v>0</v>
      </c>
      <c r="MY61" s="6">
        <f>COUNTIFS(Table106[Country],Tabela1[[#This Row],[Country]],Table106[Mass Start Classification],"&gt;0")</f>
        <v>0</v>
      </c>
      <c r="MZ61" s="6">
        <f>COUNTIFS(Table106109[Country],Tabela1[[#This Row],[Country]],Table106109[Mass Start Classification],"&gt;0")</f>
        <v>0</v>
      </c>
      <c r="NA61" s="6">
        <f>COUNTIFS(Table106[Country],Tabela1[[#This Row],[Country]],Table106[Pursuit Classification],"&gt;0")</f>
        <v>0</v>
      </c>
      <c r="NB61" s="6">
        <f>COUNTIFS(Table106109[Country],Tabela1[[#This Row],[Country]],Table106109[Pursuit Classification],"&gt;0")</f>
        <v>0</v>
      </c>
      <c r="NC61" s="6">
        <f>COUNTIFS(Table106[Country],Tabela1[[#This Row],[Country]],Table106[Sprint Classification],"&gt;0")</f>
        <v>0</v>
      </c>
      <c r="ND61" s="6">
        <f>COUNTIFS(Table106109[Country],Tabela1[[#This Row],[Country]],Table106109[Sprint Classification],"&gt;0")</f>
        <v>0</v>
      </c>
      <c r="NE61" s="6">
        <f>COUNTIFS(Table109[Country],Tabela1[[#This Row],[Country]],Table109[Men''s Relay Classification],"&gt;0")</f>
        <v>0</v>
      </c>
      <c r="NF61" s="6">
        <f>COUNTIFS(Table109[Country],Tabela1[[#This Row],[Country]],Table109[Women''s Relay Classification],"&gt;0")</f>
        <v>0</v>
      </c>
      <c r="NG61" s="6">
        <f>COUNTIFS(Table109[Country],Tabela1[[#This Row],[Country]],Table109[Mixed Relay Classification],"&gt;0")</f>
        <v>0</v>
      </c>
      <c r="NH61" s="6">
        <f>COUNTIFS(Table110[Country],Tabela1[[#This Row],[Country]],Table110[Monobob Classification],"&gt;0")</f>
        <v>0</v>
      </c>
      <c r="NI61" s="6">
        <f>COUNTIFS(Table111[Country],Tabela1[[#This Row],[Country]],Table111[Men''s Classification],"&gt;0")</f>
        <v>0</v>
      </c>
      <c r="NJ61" s="6">
        <f>COUNTIFS(Table111[Country],Tabela1[[#This Row],[Country]],Table111[Women''s Classification],"&gt;0")</f>
        <v>0</v>
      </c>
      <c r="NK61" s="6">
        <f>COUNTIFS(Table112[Country],Tabela1[[#This Row],[Country]],Table112[Men''s Four Classification],"&gt;0")</f>
        <v>0</v>
      </c>
      <c r="NL61" s="6">
        <f>COUNTIFS(Table113[Country],Tabela1[[#This Row],[Country]],Table113[Classical Classification],"&gt;0")</f>
        <v>0</v>
      </c>
      <c r="NM61" s="6">
        <f>COUNTIFS(Table113116[Country],Tabela1[[#This Row],[Country]],Table113116[Classical Classification],"&gt;0")</f>
        <v>0</v>
      </c>
      <c r="NN61" s="6">
        <f>COUNTIFS(Table113[Country],Tabela1[[#This Row],[Country]],Table113[Freestyle Classification],"&gt;0")</f>
        <v>0</v>
      </c>
      <c r="NO61" s="6">
        <f>COUNTIFS(Table113116[Country],Tabela1[[#This Row],[Country]],Table113116[Freestyle Classification],"&gt;0")</f>
        <v>0</v>
      </c>
      <c r="NP61" s="6">
        <f>COUNTIFS(Table117[Country],Tabela1[[#This Row],[Country]],Table117[Men''s Relay Classification],"&gt;0")</f>
        <v>0</v>
      </c>
      <c r="NQ61" s="6">
        <f>COUNTIFS(Table117[Country],Tabela1[[#This Row],[Country]],Table117[Women''s Relay Classification],"&gt;0")</f>
        <v>0</v>
      </c>
      <c r="NR61" s="6">
        <f>COUNTIFS(Table113[Country],Tabela1[[#This Row],[Country]],Table113[Skiathlon Classification],"&gt;0")</f>
        <v>0</v>
      </c>
      <c r="NS61" s="6">
        <f>COUNTIFS(Table113116[Country],Tabela1[[#This Row],[Country]],Table113116[Skiathlon Classification],"&gt;0")</f>
        <v>0</v>
      </c>
      <c r="NT61" s="6">
        <f>COUNTIFS(Table113[Country],Tabela1[[#This Row],[Country]],Table113[Sprint Classification],"&gt;0")</f>
        <v>0</v>
      </c>
      <c r="NU61" s="6">
        <f>COUNTIFS(Table113116[Country],Tabela1[[#This Row],[Country]],Table113116[Sprint Classification],"&gt;0")</f>
        <v>0</v>
      </c>
      <c r="NV61" s="6">
        <f>COUNTIFS(Table116[Country],Tabela1[[#This Row],[Country]],Table116[Men''s Team Sprint Classification],"&gt;0")</f>
        <v>0</v>
      </c>
      <c r="NW61" s="6">
        <f>COUNTIFS(Table116[Country],Tabela1[[#This Row],[Country]],Table116[Women''s Team Sprint Classification],"&gt;0")</f>
        <v>0</v>
      </c>
      <c r="NX61" s="6">
        <f>COUNTIFS(Table119[Country],Tabela1[[#This Row],[Country]],Table119[Men''s Classification],"&gt;0")</f>
        <v>0</v>
      </c>
      <c r="NY61" s="6">
        <f>COUNTIFS(Table119[Country],Tabela1[[#This Row],[Country]],Table119[Women''s Classification],"&gt;0")</f>
        <v>0</v>
      </c>
      <c r="NZ61" s="6">
        <f>COUNTIFS(Table118[Country],Tabela1[[#This Row],[Country]],Table118[Mixed Classification],"&gt;0")</f>
        <v>0</v>
      </c>
      <c r="OA61" s="6">
        <f>COUNTIFS(Table120[Country],Tabela1[[#This Row],[Country]],Table120[Classification],"&gt;0")</f>
        <v>0</v>
      </c>
      <c r="OB61" s="6">
        <f>COUNTIFS(Table120123[Country],Tabela1[[#This Row],[Country]],Table120123[Classification],"&gt;0")</f>
        <v>0</v>
      </c>
      <c r="OC61" s="6">
        <f>COUNTIFS(Table123[Country],Tabela1[[#This Row],[Country]],Table123[Ice Dance Classification],"&gt;0")</f>
        <v>0</v>
      </c>
      <c r="OD61" s="6">
        <f>COUNTIFS(Table123[Country],Tabela1[[#This Row],[Country]],Table123[Pair Skating Classification],"&gt;0")</f>
        <v>0</v>
      </c>
      <c r="OE61" s="6">
        <f>COUNTIFS(Table124[Country],Tabela1[[#This Row],[Country]],Table124[Mixed Classification],"&gt;0")</f>
        <v>0</v>
      </c>
      <c r="OF61" s="6">
        <f>COUNTIFS(Table125[Country],Tabela1[[#This Row],[Country]],Table125[Aerials Classification],"&gt;0")</f>
        <v>0</v>
      </c>
      <c r="OG61" s="6">
        <f>COUNTIFS(Table125128[Country],Tabela1[[#This Row],[Country]],Table125128[Aerials Classification],"&gt;0")</f>
        <v>0</v>
      </c>
      <c r="OH61" s="6">
        <f>COUNTIFS(Table128[Country],Tabela1[[#This Row],[Country]],Table128[Mixed Aerials Classification],"&gt;0")</f>
        <v>0</v>
      </c>
      <c r="OI61" s="6">
        <f>COUNTIFS(Table125[Country],Tabela1[[#This Row],[Country]],Table125[Big Air Classification],"&gt;0")</f>
        <v>0</v>
      </c>
      <c r="OJ61" s="6">
        <f>COUNTIFS(Table125128[Country],Tabela1[[#This Row],[Country]],Table125128[Big Air Classification],"&gt;0")</f>
        <v>0</v>
      </c>
      <c r="OK61" s="6">
        <f>COUNTIFS(Table125[Country],Tabela1[[#This Row],[Country]],Table125[Dual Moguls Classification],"&gt;0")</f>
        <v>0</v>
      </c>
      <c r="OL61" s="6">
        <f>COUNTIFS(Table125128[Country],Tabela1[[#This Row],[Country]],Table125128[Dual Moguls Classification],"&gt;0")</f>
        <v>0</v>
      </c>
      <c r="OM61" s="6">
        <f>COUNTIFS(Table125[Country],Tabela1[[#This Row],[Country]],Table125[Halfpipe Classification],"&gt;0")</f>
        <v>0</v>
      </c>
      <c r="ON61" s="6">
        <f>COUNTIFS(Table125128[Country],Tabela1[[#This Row],[Country]],Table125128[Halfpipe Classification],"&gt;0")</f>
        <v>0</v>
      </c>
      <c r="OO61" s="6">
        <f>COUNTIFS(Table125[Country],Tabela1[[#This Row],[Country]],Table125[Moguls Classification],"&gt;0")</f>
        <v>0</v>
      </c>
      <c r="OP61" s="6">
        <f>COUNTIFS(Table125128[Country],Tabela1[[#This Row],[Country]],Table125128[Moguls Classification],"&gt;0")</f>
        <v>0</v>
      </c>
      <c r="OQ61" s="6">
        <f>COUNTIFS(Table125[Country],Tabela1[[#This Row],[Country]],Table125[Ski Cross Classification],"&gt;0")</f>
        <v>0</v>
      </c>
      <c r="OR61" s="6">
        <f>COUNTIFS(Table125128[Country],Tabela1[[#This Row],[Country]],Table125128[Ski Cross Classification],"&gt;0")</f>
        <v>0</v>
      </c>
      <c r="OS61" s="6">
        <f>COUNTIFS(Table125[Country],Tabela1[[#This Row],[Country]],Table125[Slopestyle Classification],"&gt;0")</f>
        <v>0</v>
      </c>
      <c r="OT61" s="6">
        <f>COUNTIFS(Table125128[Country],Tabela1[[#This Row],[Country]],Table125128[Slopestyle Classification],"&gt;0")</f>
        <v>0</v>
      </c>
      <c r="OU61" s="6">
        <f>COUNTIFS(Table119131[Country],Tabela1[[#This Row],[Country]],Table119131[Men''s Classification],"&gt;0")</f>
        <v>0</v>
      </c>
      <c r="OV61" s="6">
        <f>COUNTIFS(Table119131[Country],Tabela1[[#This Row],[Country]],Table119131[Women''s Classification],"&gt;0")</f>
        <v>0</v>
      </c>
      <c r="OW61" s="6">
        <f>COUNTIFS(Table131[Country],Tabela1[[#This Row],[Country]],Table131[Classification],"&gt;0")</f>
        <v>0</v>
      </c>
      <c r="OX61" s="6">
        <f>COUNTIFS(Table131134[Country],Tabela1[[#This Row],[Country]],Table131134[Classification],"&gt;0")</f>
        <v>0</v>
      </c>
      <c r="OY61" s="6">
        <f>COUNTIFS(Table134[Country],Tabela1[[#This Row],[Country]],Table134[Men''s Classification],"&gt;0")</f>
        <v>0</v>
      </c>
      <c r="OZ61" s="6">
        <f>COUNTIFS(Table134[Country],Tabela1[[#This Row],[Country]],Table134[Women''s Classification],"&gt;0")</f>
        <v>0</v>
      </c>
      <c r="PA61" s="6">
        <f>COUNTIFS(Table135[Country],Tabela1[[#This Row],[Country]],Table135[Mixed Relay Classification],"&gt;0")</f>
        <v>0</v>
      </c>
      <c r="PB61" s="6">
        <f>COUNTIFS(Table136[Country],Tabela1[[#This Row],[Country]],Table136[Individual Classification],"&gt;0")</f>
        <v>0</v>
      </c>
      <c r="PC61" s="6">
        <f>COUNTIFS(Table136[Country],Tabela1[[#This Row],[Country]],Table136[Sprint Classification],"&gt;0")</f>
        <v>0</v>
      </c>
      <c r="PD61" s="6">
        <f>COUNTIFS(Table137[Country],Tabela1[[#This Row],[Country]],Table137[Men''s Team Sprint Large Hill Classification],"&gt;0")</f>
        <v>0</v>
      </c>
      <c r="PE61" s="6">
        <f>COUNTIFS(Table138[Country],Tabela1[[#This Row],[Country]],Table138[500m Classification],"&gt;0")</f>
        <v>0</v>
      </c>
      <c r="PF61" s="6">
        <f>COUNTIFS(Table138141[Country],Tabela1[[#This Row],[Country]],Table138141[500m Classification],"&gt;0")</f>
        <v>0</v>
      </c>
      <c r="PG61" s="6">
        <f>COUNTIFS(Table138[Country],Tabela1[[#This Row],[Country]],Table138[1000m Classification],"&gt;0")</f>
        <v>0</v>
      </c>
      <c r="PH61" s="6">
        <f>COUNTIFS(Table138141[Country],Tabela1[[#This Row],[Country]],Table138141[1000m Classification],"&gt;0")</f>
        <v>0</v>
      </c>
      <c r="PI61" s="6">
        <f>COUNTIFS(Table138[Country],Tabela1[[#This Row],[Country]],Table138[1500m Classification],"&gt;0")</f>
        <v>0</v>
      </c>
      <c r="PJ61" s="6">
        <f>COUNTIFS(Table138141[Country],Tabela1[[#This Row],[Country]],Table138141[1500m Classification],"&gt;0")</f>
        <v>0</v>
      </c>
      <c r="PK61" s="6">
        <f>COUNTIFS(Table141[Country],Tabela1[[#This Row],[Country]],Table141[Men''s 5000m Relay Classification],"&gt;0")</f>
        <v>0</v>
      </c>
      <c r="PL61" s="6">
        <f>COUNTIFS(Table141[Country],Tabela1[[#This Row],[Country]],Table141[Women''s 3000m Relay Classification],"&gt;0")</f>
        <v>0</v>
      </c>
      <c r="PM61" s="6">
        <f>COUNTIFS(Table141[Country],Tabela1[[#This Row],[Country]],Table141[Mixed 2000m Relay Classification],"&gt;0")</f>
        <v>0</v>
      </c>
      <c r="PN61" s="6">
        <f>COUNTIFS(Table142[Country],Tabela1[[#This Row],[Country]],Table142[Classification],"&gt;0")</f>
        <v>0</v>
      </c>
      <c r="PO61" s="6">
        <f>COUNTIFS(Table142145[Country],Tabela1[[#This Row],[Country]],Table142145[Classification],"&gt;0")</f>
        <v>0</v>
      </c>
      <c r="PP61" s="6">
        <f>COUNTIFS(Tabela15[Country],Tabela1[[#This Row],[Country]],Tabela15[Mixed Team Classification],"&gt;0")</f>
        <v>0</v>
      </c>
      <c r="PQ61" s="6">
        <f>COUNTIFS(Table145[Country],Tabela1[[#This Row],[Country]],Table145[Large Hill Classification],"&gt;0")</f>
        <v>0</v>
      </c>
      <c r="PR61" s="6">
        <f>COUNTIFS(Table145[Country],Tabela1[[#This Row],[Country]],Table145[Normal Hill Classification],"&gt;0")</f>
        <v>0</v>
      </c>
      <c r="PS61" s="6">
        <f>COUNTIFS(Table145148[Country],Tabela1[[#This Row],[Country]],Table145148[Large Hill Classification],"&gt;0")</f>
        <v>0</v>
      </c>
      <c r="PT61" s="6">
        <f>COUNTIFS(Table145148[Country],Tabela1[[#This Row],[Country]],Table145148[Normal Hill Classification],"&gt;0")</f>
        <v>0</v>
      </c>
      <c r="PU61" s="6">
        <f>COUNTIFS(Table148[Country],Tabela1[[#This Row],[Country]],Table148[Men''s Super Team Classification],"&gt;0")</f>
        <v>0</v>
      </c>
      <c r="PV61" s="6">
        <f>COUNTIFS(Tabela114[Country],Tabela1[[#This Row],[Country]],Tabela114[Mixed Normal Hill Classification],"&gt;0")</f>
        <v>0</v>
      </c>
      <c r="PW61" s="6">
        <f>COUNTIFS(Tabela50[Country],Tabela1[[#This Row],[Country]],Tabela50[Sprint Classification],"&gt;0")</f>
        <v>0</v>
      </c>
      <c r="PX61" s="6">
        <f>COUNTIFS(Tabela50101[Country],Tabela1[[#This Row],[Country]],Tabela50101[Sprint Classification],"&gt;0")</f>
        <v>0</v>
      </c>
      <c r="PY61" s="6">
        <f>COUNTIFS(Tabela103[Country],Tabela1[[#This Row],[Country]],Tabela103[Mixed Relay Classification],"&gt;0")</f>
        <v>0</v>
      </c>
      <c r="PZ61" s="6">
        <f>COUNTIFS(Table149[Country],Tabela1[[#This Row],[Country]],Table149[Big Air Classification],"&gt;0")</f>
        <v>0</v>
      </c>
      <c r="QA61" s="6">
        <f>COUNTIFS(Table149152[Country],Tabela1[[#This Row],[Country]],Table149152[Big Air Classification],"&gt;0")</f>
        <v>0</v>
      </c>
      <c r="QB61" s="6">
        <f>COUNTIFS(Table149[Country],Tabela1[[#This Row],[Country]],Table149[Halfpipe Classification],"&gt;0")</f>
        <v>0</v>
      </c>
      <c r="QC61" s="6">
        <f>COUNTIFS(Table149152[Country],Tabela1[[#This Row],[Country]],Table149152[Halfpipe Classification],"&gt;0")</f>
        <v>0</v>
      </c>
      <c r="QD61" s="6">
        <f>COUNTIFS(Table149[Country],Tabela1[[#This Row],[Country]],Table149[Parallel Giant Slalom Classification],"&gt;0")</f>
        <v>0</v>
      </c>
      <c r="QE61" s="6">
        <f>COUNTIFS(Table149152[Country],Tabela1[[#This Row],[Country]],Table149152[Parallel Giant Slalom Classification],"&gt;0")</f>
        <v>0</v>
      </c>
      <c r="QF61" s="6">
        <f>COUNTIFS(Table149[Country],Tabela1[[#This Row],[Country]],Table149[Slopestyle Classification],"&gt;0")</f>
        <v>0</v>
      </c>
      <c r="QG61" s="6">
        <f>COUNTIFS(Table149152[Country],Tabela1[[#This Row],[Country]],Table149152[Slopestyle Classification],"&gt;0")</f>
        <v>0</v>
      </c>
      <c r="QH61" s="6">
        <f>COUNTIFS(Table149[Country],Tabela1[[#This Row],[Country]],Table149[Snowboard Cross Classification],"&gt;0")</f>
        <v>0</v>
      </c>
      <c r="QI61" s="6">
        <f>COUNTIFS(Table149152[Country],Tabela1[[#This Row],[Country]],Table149152[Snowboard Cross Classification],"&gt;0")</f>
        <v>0</v>
      </c>
      <c r="QJ61" s="6">
        <f>COUNTIFS(Table153[Country],Tabela1[[#This Row],[Country]],Table153[Mixed Team Snowboard Cross Classification],"&gt;0")</f>
        <v>0</v>
      </c>
      <c r="QK61" s="6">
        <f>COUNTIFS(Table154[Country],Tabela1[[#This Row],[Country]],Table154[500m Classification],"&gt;0")</f>
        <v>0</v>
      </c>
      <c r="QL61" s="6">
        <f>COUNTIFS(Table154157[Country],Tabela1[[#This Row],[Country]],Table154157[500m Classification],"&gt;0")</f>
        <v>0</v>
      </c>
      <c r="QM61" s="6">
        <f>COUNTIFS(Table154[Country],Tabela1[[#This Row],[Country]],Table154[1000m Classification],"&gt;0")</f>
        <v>0</v>
      </c>
      <c r="QN61" s="6">
        <f>COUNTIFS(Table154157[Country],Tabela1[[#This Row],[Country]],Table154157[1000m Classification],"&gt;0")</f>
        <v>0</v>
      </c>
      <c r="QO61" s="6">
        <f>COUNTIFS(Table154[Country],Tabela1[[#This Row],[Country]],Table154[1500m Classification],"&gt;0")</f>
        <v>0</v>
      </c>
      <c r="QP61" s="6">
        <f>COUNTIFS(Table154157[Country],Tabela1[[#This Row],[Country]],Table154157[1500m Classification],"&gt;0")</f>
        <v>0</v>
      </c>
      <c r="QQ61" s="6">
        <f>COUNTIFS(Table154157[Country],Tabela1[[#This Row],[Country]],Table154157[3000m Classification],"&gt;0")</f>
        <v>0</v>
      </c>
      <c r="QR61" s="6">
        <f>COUNTIFS(Table154[Country],Tabela1[[#This Row],[Country]],Table154[5000m Classification],"&gt;0")</f>
        <v>0</v>
      </c>
      <c r="QS61" s="6">
        <f>COUNTIFS(Table154157[Country],Tabela1[[#This Row],[Country]],Table154157[5000m Classification],"&gt;0")</f>
        <v>0</v>
      </c>
      <c r="QT61" s="6">
        <f>COUNTIFS(Table154[Country],Tabela1[[#This Row],[Country]],Table154[10000m Classification],"&gt;0")</f>
        <v>0</v>
      </c>
      <c r="QU61" s="6">
        <f>COUNTIFS(Table154[Country],Tabela1[[#This Row],[Country]],Table154[Mass Start Classification],"&gt;0")</f>
        <v>0</v>
      </c>
      <c r="QV61" s="6">
        <f>COUNTIFS(Table154157[Country],Tabela1[[#This Row],[Country]],Table154157[Mass Start Classification],"&gt;0")</f>
        <v>0</v>
      </c>
      <c r="QW61" s="6">
        <f>COUNTIFS(Table157[Country],Tabela1[[#This Row],[Country]],Table157[Men''s Pursuit Classification],"&gt;0")</f>
        <v>0</v>
      </c>
      <c r="QX61" s="6">
        <f>COUNTIFS(Table157[Country],Tabela1[[#This Row],[Country]],Table157[Women''s Pursuit Classification],"&gt;0")</f>
        <v>0</v>
      </c>
      <c r="QY61" s="3" t="s">
        <v>361</v>
      </c>
    </row>
    <row r="62" spans="1:467" x14ac:dyDescent="0.3">
      <c r="A62" s="6">
        <v>61</v>
      </c>
      <c r="B62" s="6" t="s">
        <v>506</v>
      </c>
      <c r="C62" t="e" vm="61">
        <f>IF(ISBLANK(Tabela1[[#This Row],[Image Link]]), "", _xlfn.IMAGE(Tabela1[[#This Row],[Image Link]],1,1))</f>
        <v>#VALUE!</v>
      </c>
      <c r="D62" s="6">
        <f>SUM(Tabela1[[#This Row],[Archery - Men''s Individual Recurve]:[Speed Skating - Women''s Team Pursuit]])</f>
        <v>10</v>
      </c>
      <c r="E62" s="6">
        <f>COUNTIF(Tabela1[[#This Row],[Archery - Men''s Individual Recurve]:[Speed Skating - Women''s Team Pursuit]],"&gt;0")</f>
        <v>10</v>
      </c>
      <c r="F62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62" s="6">
        <f>SUM(Tabela1[[#This Row],[Archery - Men''s Individual Recurve]:[Wrestling - Women''s Freestyle 76kg]])</f>
        <v>6</v>
      </c>
      <c r="H62" s="6">
        <f>SUM(Tabela1[[#This Row],[Alpine Skiing - Men''s Downhill]:[Speed Skating - Women''s Team Pursuit]])</f>
        <v>4</v>
      </c>
      <c r="I62" s="6">
        <f>Tabela1[[#This Row],[Summer Gold Medals]]+Tabela1[[#This Row],[Winter Gold Medals]]</f>
        <v>0</v>
      </c>
      <c r="J62" s="6">
        <f>Tabela1[[#This Row],[Summer Silver Medals]]+Tabela1[[#This Row],[Winter Silver Medals]]</f>
        <v>3</v>
      </c>
      <c r="K62" s="6">
        <f>Tabela1[[#This Row],[Summer Bronze Medals]]+Tabela1[[#This Row],[Winter Bronze Medals]]</f>
        <v>1</v>
      </c>
      <c r="L62" s="6">
        <f>SUM(Tabela1[[#This Row],[Total Gold Medals]:[Total Bronze Medals]])</f>
        <v>4</v>
      </c>
      <c r="M62" s="6"/>
      <c r="N62" s="6">
        <v>3</v>
      </c>
      <c r="O62" s="6">
        <v>1</v>
      </c>
      <c r="P62" s="6">
        <f>SUM(Tabela1[[#This Row],[Summer Gold Medals]:[Summer Bronze Medals]])</f>
        <v>4</v>
      </c>
      <c r="Q62" s="6"/>
      <c r="R62" s="6"/>
      <c r="S62" s="6"/>
      <c r="T62" s="6">
        <f>Tabela1[[#This Row],[Winter Gold Medals]]+Tabela1[[#This Row],[Winter Silver Medals]]+Tabela1[[#This Row],[Winter Bronze Medals]]</f>
        <v>0</v>
      </c>
      <c r="U62" s="7">
        <f>Tabela1[[#This Row],[Total Medals]]/Tabela1[[#This Row],[Total Quotas]]</f>
        <v>0.4</v>
      </c>
      <c r="V62" s="6">
        <f>COUNTIFS(Table3[Country],Tabela1[[#This Row],[Country]],Table3[Recurve Classification],"&gt;0")</f>
        <v>0</v>
      </c>
      <c r="W62" s="6">
        <f>COUNTIFS(Table33[Country],Tabela1[[#This Row],[Country]],Table33[Recurve Classification],"&gt;0")</f>
        <v>0</v>
      </c>
      <c r="X62" s="6">
        <f>COUNTIFS(Table35[Country],Tabela1[[#This Row],[Country]],Table35[Men''s Team Recurve Classification],"&gt;0")</f>
        <v>0</v>
      </c>
      <c r="Y62" s="6">
        <f>COUNTIFS(Table35[Country],Tabela1[[#This Row],[Country]],Table35[Women''s Team Recurve Classification],"&gt;0")</f>
        <v>0</v>
      </c>
      <c r="Z62" s="6">
        <f>COUNTIFS(Tabela88[Country],Tabela1[[#This Row],[Country]],Tabela88[Mixed Team Recurve Classification],"&gt;0")</f>
        <v>0</v>
      </c>
      <c r="AA62" s="6">
        <f>COUNTIFS(Table36[Country],Tabela1[[#This Row],[Country]],Table36[Classification],"&gt;0")</f>
        <v>0</v>
      </c>
      <c r="AB62" s="6">
        <f>COUNTIFS(Table37[Country],Tabela1[[#This Row],[Country]],Table37[Classification],"&gt;0")</f>
        <v>0</v>
      </c>
      <c r="AC62" s="6">
        <f>COUNTIFS(Table4[Country],Tabela1[[#This Row],[Country]],Table4[100m Classification],"&gt;0")</f>
        <v>0</v>
      </c>
      <c r="AD62" s="6">
        <f>COUNTIFS(Table5[Country],Tabela1[[#This Row],[Country]],Table5[100m Classification],"&gt;0")</f>
        <v>0</v>
      </c>
      <c r="AE62" s="6">
        <f>COUNTIFS(Table4[Country],Tabela1[[#This Row],[Country]],Table4[200m Classification],"&gt;0")</f>
        <v>0</v>
      </c>
      <c r="AF62" s="6">
        <f>COUNTIFS(Table5[Country],Tabela1[[#This Row],[Country]],Table5[200m Classification],"&gt;0")</f>
        <v>0</v>
      </c>
      <c r="AG62" s="6">
        <f>COUNTIFS(Table4[Country],Tabela1[[#This Row],[Country]],Table4[400m Classification],"&gt;0")</f>
        <v>0</v>
      </c>
      <c r="AH62" s="6">
        <f>COUNTIFS(Table5[Country],Tabela1[[#This Row],[Country]],Table5[400m Classification],"&gt;0")</f>
        <v>0</v>
      </c>
      <c r="AI62" s="6">
        <f>COUNTIFS(Table4[Country],Tabela1[[#This Row],[Country]],Table4[800m Classification],"&gt;0")</f>
        <v>1</v>
      </c>
      <c r="AJ62" s="6">
        <f>COUNTIFS(Table5[Country],Tabela1[[#This Row],[Country]],Table5[800m Classification],"&gt;0")</f>
        <v>0</v>
      </c>
      <c r="AK62" s="6">
        <f>COUNTIFS(Table4[Country],Tabela1[[#This Row],[Country]],Table4[1500m Classification],"&gt;0")</f>
        <v>0</v>
      </c>
      <c r="AL62" s="6">
        <f>COUNTIFS(Table5[Country],Tabela1[[#This Row],[Country]],Table5[1500m Classification],"&gt;0")</f>
        <v>0</v>
      </c>
      <c r="AM62" s="6">
        <f>COUNTIFS(Table4[Country],Tabela1[[#This Row],[Country]],Table4[5000m Classification],"&gt;0")</f>
        <v>0</v>
      </c>
      <c r="AN62" s="6">
        <f>COUNTIFS(Table5[Country],Tabela1[[#This Row],[Country]],Table5[5000m Classification],"&gt;0")</f>
        <v>0</v>
      </c>
      <c r="AO62" s="6">
        <f>COUNTIFS(Table4[Country],Tabela1[[#This Row],[Country]],Table4[10000m Classification],"&gt;0")</f>
        <v>0</v>
      </c>
      <c r="AP62" s="6">
        <f>COUNTIFS(Table5[Country],Tabela1[[#This Row],[Country]],Table5[10000m Classification],"&gt;0")</f>
        <v>0</v>
      </c>
      <c r="AQ62" s="6">
        <f>COUNTIFS(Table4[Country],Tabela1[[#This Row],[Country]],Table4[110m Hurdles Classification],"&gt;0")</f>
        <v>0</v>
      </c>
      <c r="AR62" s="6">
        <f>COUNTIFS(Table5[Country],Tabela1[[#This Row],[Country]],Table5[100m Hurdles Classification],"&gt;0")</f>
        <v>0</v>
      </c>
      <c r="AS62" s="6">
        <f>COUNTIFS(Table4[Country],Tabela1[[#This Row],[Country]],Table4[400m Hurdles Classification],"&gt;0")</f>
        <v>0</v>
      </c>
      <c r="AT62" s="6">
        <f>COUNTIFS(Table5[Country],Tabela1[[#This Row],[Country]],Table5[400m Hurdles Classification],"&gt;0")</f>
        <v>0</v>
      </c>
      <c r="AU62" s="6">
        <f>COUNTIFS(Table4[Country],Tabela1[[#This Row],[Country]],Table4[3000m Steeplechase Classification],"&gt;0")</f>
        <v>0</v>
      </c>
      <c r="AV62" s="6">
        <f>COUNTIFS(Table5[Country],Tabela1[[#This Row],[Country]],Table5[3000m Steeplechase Classification],"&gt;0")</f>
        <v>0</v>
      </c>
      <c r="AW62" s="6">
        <f>COUNTIFS(Table27[Country],Tabela1[[#This Row],[Country]],Table27[Men''s 4x100m Relay Classification],"&gt;0")</f>
        <v>0</v>
      </c>
      <c r="AX62" s="6">
        <f>COUNTIFS(Table27[Country],Tabela1[[#This Row],[Country]],Table27[Women''s 4x100m Relay Classification],"&gt;0")</f>
        <v>0</v>
      </c>
      <c r="AY62" s="6">
        <f>COUNTIFS(Table27[Country],Tabela1[[#This Row],[Country]],Table27[Men''s 4x400m Relay Classification],"&gt;0")</f>
        <v>0</v>
      </c>
      <c r="AZ62" s="6">
        <f>COUNTIFS(Table27[Country],Tabela1[[#This Row],[Country]],Table27[Women''s 4x400m Relay Classification],"&gt;0")</f>
        <v>0</v>
      </c>
      <c r="BA62" s="6">
        <f>COUNTIFS(Table27[Country],Tabela1[[#This Row],[Country]],Table27[Mixed 4x400m Relay Classification],"&gt;0")</f>
        <v>0</v>
      </c>
      <c r="BB62" s="6">
        <f>COUNTIFS(Table4[Country],Tabela1[[#This Row],[Country]],Table4[Marathon Classification],"&gt;0")</f>
        <v>0</v>
      </c>
      <c r="BC62" s="6">
        <f>COUNTIFS(Table5[Country],Tabela1[[#This Row],[Country]],Table5[Marathon Classification],"&gt;0")</f>
        <v>0</v>
      </c>
      <c r="BD62" s="6">
        <f>COUNTIFS(Table4[Country],Tabela1[[#This Row],[Country]],Table4[20km Race Walk Classification],"&gt;0")</f>
        <v>0</v>
      </c>
      <c r="BE62" s="6">
        <f>COUNTIFS(Table5[Country],Tabela1[[#This Row],[Country]],Table5[20km Race Walk Classification],"&gt;0")</f>
        <v>0</v>
      </c>
      <c r="BF62" s="6">
        <f>COUNTIFS(Tabela96[Country],Tabela1[[#This Row],[Country]],Tabela96[Mixed Marathon Race Walk Relay Classification],"&gt;0")</f>
        <v>0</v>
      </c>
      <c r="BG62" s="6">
        <f>COUNTIFS(Table4[Country],Tabela1[[#This Row],[Country]],Table4[Discus Throw Classification],"&gt;0")</f>
        <v>0</v>
      </c>
      <c r="BH62" s="6">
        <f>COUNTIFS(Table5[Country],Tabela1[[#This Row],[Country]],Table5[Discus Throw Classification],"&gt;0")</f>
        <v>0</v>
      </c>
      <c r="BI62" s="6">
        <f>COUNTIFS(Table4[Country],Tabela1[[#This Row],[Country]],Table4[Hammer Throw Classification],"&gt;0")</f>
        <v>0</v>
      </c>
      <c r="BJ62" s="6">
        <f>COUNTIFS(Table5[Country],Tabela1[[#This Row],[Country]],Table5[Hammer Throw Classification],"&gt;0")</f>
        <v>0</v>
      </c>
      <c r="BK62" s="6">
        <f>COUNTIFS(Table4[Country],Tabela1[[#This Row],[Country]],Table4[High Jump Classification],"&gt;0")</f>
        <v>0</v>
      </c>
      <c r="BL62" s="6">
        <f>COUNTIFS(Table5[Country],Tabela1[[#This Row],[Country]],Table5[High Jump Classification],"&gt;0")</f>
        <v>0</v>
      </c>
      <c r="BM62" s="6">
        <f>COUNTIFS(Table4[Country],Tabela1[[#This Row],[Country]],Table4[Javelin Throw Classification],"&gt;0")</f>
        <v>0</v>
      </c>
      <c r="BN62" s="6">
        <f>COUNTIFS(Table5[Country],Tabela1[[#This Row],[Country]],Table5[Javelin Throw Classification],"&gt;0")</f>
        <v>0</v>
      </c>
      <c r="BO62" s="6">
        <f>COUNTIFS(Table4[Country],Tabela1[[#This Row],[Country]],Table4[Long Jump Classification],"&gt;0")</f>
        <v>0</v>
      </c>
      <c r="BP62" s="6">
        <f>COUNTIFS(Table5[Country],Tabela1[[#This Row],[Country]],Table5[Long Jump Classification],"&gt;0")</f>
        <v>0</v>
      </c>
      <c r="BQ62" s="6">
        <f>COUNTIFS(Table4[Country],Tabela1[[#This Row],[Country]],Table4[Pole Vault Classification],"&gt;0")</f>
        <v>0</v>
      </c>
      <c r="BR62" s="6">
        <f>COUNTIFS(Table5[Country],Tabela1[[#This Row],[Country]],Table5[Pole Vault Classification],"&gt;0")</f>
        <v>0</v>
      </c>
      <c r="BS62" s="6">
        <f>COUNTIFS(Table4[Country],Tabela1[[#This Row],[Country]],Table4[Shot Put Classification],"&gt;0")</f>
        <v>0</v>
      </c>
      <c r="BT62" s="6">
        <f>COUNTIFS(Table5[Country],Tabela1[[#This Row],[Country]],Table5[Shot Put Classification],"&gt;0")</f>
        <v>0</v>
      </c>
      <c r="BU62" s="6">
        <f>COUNTIFS(Table4[Country],Tabela1[[#This Row],[Country]],Table4[Triple Jump Classification],"&gt;0")</f>
        <v>0</v>
      </c>
      <c r="BV62" s="6">
        <f>COUNTIFS(Table5[Country],Tabela1[[#This Row],[Country]],Table5[Triple Jump Classification],"&gt;0")</f>
        <v>0</v>
      </c>
      <c r="BW62" s="6">
        <f>COUNTIFS(Table4[Country],Tabela1[[#This Row],[Country]],Table4[Decathlon Classification],"&gt;0")</f>
        <v>0</v>
      </c>
      <c r="BX62" s="6">
        <f>COUNTIFS(Table5[Country],Tabela1[[#This Row],[Country]],Table5[Heptathlon Classification],"&gt;0")</f>
        <v>0</v>
      </c>
      <c r="BY62" s="6">
        <f>COUNTIFS(Table61[Country],Tabela1[[#This Row],[Country]],Table61[Classification],"&gt;0")</f>
        <v>0</v>
      </c>
      <c r="BZ62" s="6">
        <f>COUNTIFS(Table38[Country],Tabela1[[#This Row],[Country]],Table38[Classification],"&gt;0")</f>
        <v>0</v>
      </c>
      <c r="CA62" s="6">
        <f>COUNTIFS(Table39[Country],Tabela1[[#This Row],[Country]],Table39[Men''s Classification],"&gt;0")</f>
        <v>0</v>
      </c>
      <c r="CB62" s="6">
        <f>COUNTIFS(Table39[Country],Tabela1[[#This Row],[Country]],Table39[Women''s Classification],"&gt;0")</f>
        <v>0</v>
      </c>
      <c r="CC62" s="6">
        <f>COUNTIFS(Table39[Country],Tabela1[[#This Row],[Country]],Table39[Mixed Classification],"&gt;0")</f>
        <v>0</v>
      </c>
      <c r="CD62" s="6">
        <f>COUNTIFS(Table89[Country],Tabela1[[#This Row],[Country]],Table89[Men''s Classification],"&gt;0")</f>
        <v>0</v>
      </c>
      <c r="CE62" s="6">
        <f>COUNTIFS(Table89[Country],Tabela1[[#This Row],[Country]],Table89[Women''s Classification],"&gt;0")</f>
        <v>0</v>
      </c>
      <c r="CF62" s="6">
        <f>COUNTIFS(Table90[Country],Tabela1[[#This Row],[Country]],Table90[Men''s Classification],"&gt;0")</f>
        <v>0</v>
      </c>
      <c r="CG62" s="6">
        <f>COUNTIFS(Table90[Country],Tabela1[[#This Row],[Country]],Table90[Women''s Classification],"&gt;0")</f>
        <v>0</v>
      </c>
      <c r="CH62" s="6">
        <f>COUNTIFS(Table60[Country],Tabela1[[#This Row],[Country]],Table60[Men''s Classification],"&gt;0")</f>
        <v>0</v>
      </c>
      <c r="CI62" s="6">
        <f>COUNTIFS(Table60[Country],Tabela1[[#This Row],[Country]],Table60[Women''s Classification],"&gt;0")</f>
        <v>0</v>
      </c>
      <c r="CJ62" s="6">
        <f>COUNTIFS(Table6[Country],Tabela1[[#This Row],[Country]],Table6[51kg Classification],"&gt;0")</f>
        <v>0</v>
      </c>
      <c r="CK62" s="6">
        <f>COUNTIFS(Table6[Country],Tabela1[[#This Row],[Country]],Table6[57kg Classification],"&gt;0")</f>
        <v>0</v>
      </c>
      <c r="CL62" s="6">
        <f>COUNTIFS(Table6[Country],Tabela1[[#This Row],[Country]],Table6[63.5kg Classification],"&gt;0")</f>
        <v>0</v>
      </c>
      <c r="CM62" s="6">
        <f>COUNTIFS(Table6[Country],Tabela1[[#This Row],[Country]],Table6[71kg Classification],"&gt;0")</f>
        <v>0</v>
      </c>
      <c r="CN62" s="6">
        <f>COUNTIFS(Table6[Country],Tabela1[[#This Row],[Country]],Table6[80kg Classification],"&gt;0")</f>
        <v>0</v>
      </c>
      <c r="CO62" s="6">
        <f>COUNTIFS(Table6[Country],Tabela1[[#This Row],[Country]],Table6[92kg Classification],"&gt;0")</f>
        <v>0</v>
      </c>
      <c r="CP62" s="6">
        <f>COUNTIFS(Table6[Country],Tabela1[[#This Row],[Country]],Table6[Plus 92kg Classification],"&gt;0")</f>
        <v>1</v>
      </c>
      <c r="CQ62" s="6">
        <f>COUNTIFS(Table7[Country],Tabela1[[#This Row],[Country]],Table7[50kg Classification],"&gt;0")</f>
        <v>0</v>
      </c>
      <c r="CR62" s="6">
        <f>COUNTIFS(Table7[Country],Tabela1[[#This Row],[Country]],Table7[54kg Classification],"&gt;0")</f>
        <v>0</v>
      </c>
      <c r="CS62" s="6">
        <f>COUNTIFS(Table7[Country],Tabela1[[#This Row],[Country]],Table7[57kg Classification],"&gt;0")</f>
        <v>0</v>
      </c>
      <c r="CT62" s="6">
        <f>COUNTIFS(Table7[Country],Tabela1[[#This Row],[Country]],Table7[60kg Classification],"&gt;0")</f>
        <v>0</v>
      </c>
      <c r="CU62" s="6">
        <f>COUNTIFS(Table7[Country],Tabela1[[#This Row],[Country]],Table7[66kg Classification],"&gt;0")</f>
        <v>0</v>
      </c>
      <c r="CV62" s="6">
        <f>COUNTIFS(Table7[Country],Tabela1[[#This Row],[Country]],Table7[75kg Classification],"&gt;0")</f>
        <v>0</v>
      </c>
      <c r="CW62" s="6">
        <f>COUNTIFS(Tabela94[Country],Tabela1[[#This Row],[Country]],Tabela94[Classification],"&gt;0")</f>
        <v>0</v>
      </c>
      <c r="CX62" s="6">
        <f>COUNTIFS(Tabela9499[Country],Tabela1[[#This Row],[Country]],Tabela9499[Classification],"&gt;0")</f>
        <v>0</v>
      </c>
      <c r="CY62" s="6">
        <f>COUNTIFS(Tabela107[Country],Tabela1[[#This Row],[Country]],Tabela107[C1 Slalom Classification],"&gt;0")</f>
        <v>0</v>
      </c>
      <c r="CZ62" s="6">
        <f>COUNTIFS(Tabela107122[Country],Tabela1[[#This Row],[Country]],Tabela107122[C1 Slalom Classification],"&gt;0")</f>
        <v>0</v>
      </c>
      <c r="DA62" s="6">
        <f>COUNTIFS(Tabela107[Country],Tabela1[[#This Row],[Country]],Tabela107[K1 Slalom Classification],"&gt;0")</f>
        <v>0</v>
      </c>
      <c r="DB62" s="6">
        <f>COUNTIFS(Tabela107122[Country],Tabela1[[#This Row],[Country]],Tabela107122[K1 Slalom Classification],"&gt;0")</f>
        <v>0</v>
      </c>
      <c r="DC62" s="6">
        <f>COUNTIFS(Tabela107[Country],Tabela1[[#This Row],[Country]],Tabela107[Kayak Cross Slalom Classification],"&gt;0")</f>
        <v>0</v>
      </c>
      <c r="DD62" s="6">
        <f>COUNTIFS(Tabela107122[Country],Tabela1[[#This Row],[Country]],Tabela107122[Kayak Cross Slalom Classification],"&gt;0")</f>
        <v>0</v>
      </c>
      <c r="DE62" s="6">
        <f>COUNTIFS(Table8[Country],Tabela1[[#This Row],[Country]],Table8[C1 200m Classification],"&gt;0")</f>
        <v>0</v>
      </c>
      <c r="DF62" s="6">
        <f>COUNTIFS(Table40[Country],Tabela1[[#This Row],[Country]],Table40[C1 1000m Classification],"&gt;0")</f>
        <v>0</v>
      </c>
      <c r="DG62" s="6">
        <f>COUNTIFS(Table68[Country],Tabela1[[#This Row],[Country]],Table68[Men''s C2 500m Classification],"&gt;0")</f>
        <v>0</v>
      </c>
      <c r="DH62" s="6">
        <f>COUNTIFS(Table68[Country],Tabela1[[#This Row],[Country]],Table68[Women''s C2 500m Classification],"&gt;0")</f>
        <v>0</v>
      </c>
      <c r="DI62" s="6">
        <f>COUNTIFS(Table8[Country],Tabela1[[#This Row],[Country]],Table8[K1 500m Classification],"&gt;0")</f>
        <v>0</v>
      </c>
      <c r="DJ62" s="6">
        <f>COUNTIFS(Table40[Country],Tabela1[[#This Row],[Country]],Table40[K1 1000m Classification],"&gt;0")</f>
        <v>0</v>
      </c>
      <c r="DK62" s="6">
        <f>COUNTIFS(Table68[Country],Tabela1[[#This Row],[Country]],Table68[Men''s K2 500m Classification],"&gt;0")</f>
        <v>0</v>
      </c>
      <c r="DL62" s="6">
        <f>COUNTIFS(Table68[Country],Tabela1[[#This Row],[Country]],Table68[Women''s K2 500m Classification],"&gt;0")</f>
        <v>0</v>
      </c>
      <c r="DM62" s="6">
        <f>COUNTIFS(Table83[Country],Tabela1[[#This Row],[Country]],Table83[Men''s K4 500m Classification],"&gt;0")</f>
        <v>0</v>
      </c>
      <c r="DN62" s="6">
        <f>COUNTIFS(Table83[Country],Tabela1[[#This Row],[Country]],Table83[Women''s K4 500m Classification],"&gt;0")</f>
        <v>0</v>
      </c>
      <c r="DO62" s="6">
        <f>COUNTIFS(Tabela126[Country],Tabela1[[#This Row],[Country]],Tabela126[Classification],"&gt;0")</f>
        <v>0</v>
      </c>
      <c r="DP62" s="6">
        <f>COUNTIFS(Tabela126130[Country],Tabela1[[#This Row],[Country]],Tabela126130[Classification],"&gt;0")</f>
        <v>0</v>
      </c>
      <c r="DQ62" s="6">
        <f>COUNTIFS(Table70[Country],Tabela1[[#This Row],[Country]],Table70[Classification],"&gt;0")</f>
        <v>0</v>
      </c>
      <c r="DR62" s="6">
        <f>COUNTIFS(Table80[Country],Tabela1[[#This Row],[Country]],Table80[Classification],"&gt;0")</f>
        <v>0</v>
      </c>
      <c r="DS62" s="6">
        <f>COUNTIFS(Table66[Country],Tabela1[[#This Row],[Country]],Table66[Classification],"&gt;0")</f>
        <v>0</v>
      </c>
      <c r="DT62" s="6">
        <f>COUNTIFS(Table67[Country],Tabela1[[#This Row],[Country]],Table67[Classification],"&gt;0")</f>
        <v>0</v>
      </c>
      <c r="DU62" s="6">
        <f>COUNTIFS(Table69[Country],Tabela1[[#This Row],[Country]],Table69[Keirin Classification],"&gt;0")</f>
        <v>0</v>
      </c>
      <c r="DV62" s="6">
        <f>COUNTIFS(Table41[Country],Tabela1[[#This Row],[Country]],Table41[Keirin Classification],"&gt;0")</f>
        <v>0</v>
      </c>
      <c r="DW62" s="6">
        <f>COUNTIFS(Table84[Country],Tabela1[[#This Row],[Country]],Table84[Men''s Madison Classification],"&gt;0")</f>
        <v>0</v>
      </c>
      <c r="DX62" s="6">
        <f>COUNTIFS(Table84[Country],Tabela1[[#This Row],[Country]],Table84[Women''s Madison Classification],"&gt;0")</f>
        <v>0</v>
      </c>
      <c r="DY62" s="6">
        <f>COUNTIFS(Table69[Country],Tabela1[[#This Row],[Country]],Table69[Omnium Classification],"&gt;0")</f>
        <v>0</v>
      </c>
      <c r="DZ62" s="6">
        <f>COUNTIFS(Table41[Country],Tabela1[[#This Row],[Country]],Table41[Omnium Classification],"&gt;0")</f>
        <v>0</v>
      </c>
      <c r="EA62" s="6">
        <f>COUNTIFS(Table9[Country],Tabela1[[#This Row],[Country]],Table9[Road Race Classification],"&gt;0")</f>
        <v>0</v>
      </c>
      <c r="EB62" s="6">
        <f>COUNTIFS(Table14[Country],Tabela1[[#This Row],[Country]],Table14[Road Race Classification],"&gt;0")</f>
        <v>0</v>
      </c>
      <c r="EC62" s="6">
        <f>COUNTIFS(Table69[Country],Tabela1[[#This Row],[Country]],Table69[Sprint Classification],"&gt;0")</f>
        <v>0</v>
      </c>
      <c r="ED62" s="6">
        <f>COUNTIFS(Table41[Country],Tabela1[[#This Row],[Country]],Table41[Sprint Classification],"&gt;0")</f>
        <v>0</v>
      </c>
      <c r="EE62" s="6">
        <f>COUNTIFS(Table85[Country],Tabela1[[#This Row],[Country]],Table85[Men''s Sprint Classification],"&gt;0")</f>
        <v>0</v>
      </c>
      <c r="EF62" s="6">
        <f>COUNTIFS(Table85[Country],Tabela1[[#This Row],[Country]],Table85[Women''s Sprint Classification],"&gt;0")</f>
        <v>0</v>
      </c>
      <c r="EG62" s="6">
        <f>COUNTIFS(Table85[Country],Tabela1[[#This Row],[Country]],Table85[Men''s Pursuit Classification],"&gt;0")</f>
        <v>0</v>
      </c>
      <c r="EH62" s="6">
        <f>COUNTIFS(Table85[Country],Tabela1[[#This Row],[Country]],Table85[Women''s Pursuit Classification],"&gt;0")</f>
        <v>0</v>
      </c>
      <c r="EI62" s="6">
        <f>COUNTIFS(Table9[Country],Tabela1[[#This Row],[Country]],Table9[Time-Trial Classification],"&gt;0")</f>
        <v>0</v>
      </c>
      <c r="EJ62" s="6">
        <f>COUNTIFS(Table14[Country],Tabela1[[#This Row],[Country]],Table14[Time-Trial Classification],"&gt;0")</f>
        <v>0</v>
      </c>
      <c r="EK62" s="6">
        <f>COUNTIFS(Table42[Country],Tabela1[[#This Row],[Country]],Table42[Springboard Classification],"&gt;0")</f>
        <v>0</v>
      </c>
      <c r="EL62" s="6">
        <f>COUNTIFS(Table43[Country],Tabela1[[#This Row],[Country]],Table43[Springboard Classification],"&gt;0")</f>
        <v>0</v>
      </c>
      <c r="EM62" s="6">
        <f>COUNTIFS(Table42[Country],Tabela1[[#This Row],[Country]],Table42[Platform Classification],"&gt;0")</f>
        <v>0</v>
      </c>
      <c r="EN62" s="6">
        <f>COUNTIFS(Table43[Country],Tabela1[[#This Row],[Country]],Table43[Platform Classification],"&gt;0")</f>
        <v>0</v>
      </c>
      <c r="EO62" s="6">
        <f>COUNTIFS(Table86[Country],Tabela1[[#This Row],[Country]],Table86[Men''s Synchronized Springboard Classification],"&gt;0")</f>
        <v>0</v>
      </c>
      <c r="EP62" s="6">
        <f>COUNTIFS(Table86[Country],Tabela1[[#This Row],[Country]],Table86[Women''s Synchronized Springboard Classification],"&gt;0")</f>
        <v>0</v>
      </c>
      <c r="EQ62" s="6">
        <f>COUNTIFS(Table86[Country],Tabela1[[#This Row],[Country]],Table86[Men''s Synchronized Platform Classification],"&gt;0")</f>
        <v>0</v>
      </c>
      <c r="ER62" s="6">
        <f>COUNTIFS(Table86[Country],Tabela1[[#This Row],[Country]],Table86[Women''s Synchronized Platform Classification],"&gt;0")</f>
        <v>0</v>
      </c>
      <c r="ES62" s="6">
        <f>COUNTIFS(Table44[Country],Tabela1[[#This Row],[Country]],Table44[Dressage Classification],"&gt;0")</f>
        <v>0</v>
      </c>
      <c r="ET62" s="6">
        <f>COUNTIFS(Table45[Country],Tabela1[[#This Row],[Country]],Table45[Dressage Classification],"&gt;0")</f>
        <v>0</v>
      </c>
      <c r="EU62" s="6">
        <f>COUNTIFS(Table44[Country],Tabela1[[#This Row],[Country]],Table44[Eventing Classification],"&gt;0")</f>
        <v>0</v>
      </c>
      <c r="EV62" s="6">
        <f>COUNTIFS(Table45[Country],Tabela1[[#This Row],[Country]],Table45[Eventing Classification],"&gt;0")</f>
        <v>0</v>
      </c>
      <c r="EW62" s="6">
        <f>COUNTIFS(Table44[Country],Tabela1[[#This Row],[Country]],Table44[Jumping Classification],"&gt;0")</f>
        <v>0</v>
      </c>
      <c r="EX62" s="6">
        <f>COUNTIFS(Table45[Country],Tabela1[[#This Row],[Country]],Table45[Jumping Classification],"&gt;0")</f>
        <v>0</v>
      </c>
      <c r="EY62" s="6">
        <f>COUNTIFS(Table10[Country],Tabela1[[#This Row],[Country]],Table10[Épée Classification],"&gt;0")</f>
        <v>0</v>
      </c>
      <c r="EZ62" s="6">
        <f>COUNTIFS(Table11[Country],Tabela1[[#This Row],[Country]],Table11[Épée Classification],"&gt;0")</f>
        <v>0</v>
      </c>
      <c r="FA62" s="6">
        <f>COUNTIFS(Table46[Country],Tabela1[[#This Row],[Country]],Table46[Men''s Épée Classification],"&gt;0")</f>
        <v>0</v>
      </c>
      <c r="FB62" s="6">
        <f>COUNTIFS(Table46[Country],Tabela1[[#This Row],[Country]],Table46[Women''s Épée Classification],"&gt;0")</f>
        <v>0</v>
      </c>
      <c r="FC62" s="6">
        <f>COUNTIFS(Table10[Country],Tabela1[[#This Row],[Country]],Table10[Foil Classification],"&gt;0")</f>
        <v>0</v>
      </c>
      <c r="FD62" s="6">
        <f>COUNTIFS(Table11[Country],Tabela1[[#This Row],[Country]],Table11[Foil Classification],"&gt;0")</f>
        <v>0</v>
      </c>
      <c r="FE62" s="6">
        <f>COUNTIFS(Table46[Country],Tabela1[[#This Row],[Country]],Table46[Men''s Foil Classification],"&gt;0")</f>
        <v>0</v>
      </c>
      <c r="FF62" s="6">
        <f>COUNTIFS(Table46[Country],Tabela1[[#This Row],[Country]],Table46[Women''s Foil Classification],"&gt;0")</f>
        <v>0</v>
      </c>
      <c r="FG62" s="6">
        <f>COUNTIFS(Table10[Country],Tabela1[[#This Row],[Country]],Table10[Sabre Classification],"&gt;0")</f>
        <v>0</v>
      </c>
      <c r="FH62" s="6">
        <f>COUNTIFS(Table11[Country],Tabela1[[#This Row],[Country]],Table11[Sabre Classification],"&gt;0")</f>
        <v>0</v>
      </c>
      <c r="FI62" s="6">
        <f>COUNTIFS(Table46[Country],Tabela1[[#This Row],[Country]],Table46[Men''s Sabre Classification],"&gt;0")</f>
        <v>0</v>
      </c>
      <c r="FJ62" s="6">
        <f>COUNTIFS(Table46[Country],Tabela1[[#This Row],[Country]],Table46[Women''s Sabre Classification],"&gt;0")</f>
        <v>0</v>
      </c>
      <c r="FK62" s="6">
        <f>COUNTIFS(Table91[Country],Tabela1[[#This Row],[Country]],Table91[Men''s Classification],"&gt;0")</f>
        <v>0</v>
      </c>
      <c r="FL62" s="6">
        <f>COUNTIFS(Table91[Country],Tabela1[[#This Row],[Country]],Table91[Women''s Classification],"&gt;0")</f>
        <v>0</v>
      </c>
      <c r="FM62" s="6">
        <f>COUNTIFS(Table9194[Country],Tabela1[[#This Row],[Country]],Table9194[Men''s Classification],"&gt;0")</f>
        <v>0</v>
      </c>
      <c r="FN62" s="6">
        <f>COUNTIFS(Table9194[Country],Tabela1[[#This Row],[Country]],Table9194[Women''s Classification],"&gt;0")</f>
        <v>0</v>
      </c>
      <c r="FO62" s="6">
        <f>COUNTIFS(Table71[Country],Tabela1[[#This Row],[Country]],Table71[Classification],"&gt;0")</f>
        <v>0</v>
      </c>
      <c r="FP62" s="6">
        <f>COUNTIFS(Table62[Country],Tabela1[[#This Row],[Country]],Table62[Classification],"&gt;0")</f>
        <v>0</v>
      </c>
      <c r="FQ62" s="6">
        <f>COUNTIFS(Table47[Country],Tabela1[[#This Row],[Country]],Table47[All-Around Classification],"&gt;0")</f>
        <v>0</v>
      </c>
      <c r="FR62" s="6">
        <f>COUNTIFS(Table48[Country],Tabela1[[#This Row],[Country]],Table48[All-Around Classification],"&gt;0")</f>
        <v>0</v>
      </c>
      <c r="FS62" s="6">
        <f>COUNTIFS(Table81[Country],Tabela1[[#This Row],[Country]],Table81[Men''s All-Around Classification],"&gt;0")</f>
        <v>0</v>
      </c>
      <c r="FT62" s="6">
        <f>COUNTIFS(Table81[Country],Tabela1[[#This Row],[Country]],Table81[Women''s All-Around Classification],"&gt;0")</f>
        <v>0</v>
      </c>
      <c r="FU62" s="6">
        <f>COUNTIFS(Table48[Country],Tabela1[[#This Row],[Country]],Table48[Balance Beam Classification],"&gt;0")</f>
        <v>0</v>
      </c>
      <c r="FV62" s="6">
        <f>COUNTIFS(Table47[Country],Tabela1[[#This Row],[Country]],Table47[Floor Exercise Classification],"&gt;0")</f>
        <v>0</v>
      </c>
      <c r="FW62" s="6">
        <f>COUNTIFS(Table48[Country],Tabela1[[#This Row],[Country]],Table48[Floor Exercise Classification],"&gt;0")</f>
        <v>0</v>
      </c>
      <c r="FX62" s="6">
        <f>COUNTIFS(Table47[Country],Tabela1[[#This Row],[Country]],Table47[Horizontal Bar Classification],"&gt;0")</f>
        <v>0</v>
      </c>
      <c r="FY62" s="6">
        <f>COUNTIFS(Table47[Country],Tabela1[[#This Row],[Country]],Table47[Parallel Bars Classification],"&gt;0")</f>
        <v>0</v>
      </c>
      <c r="FZ62" s="6">
        <f>COUNTIFS(Table47[Country],Tabela1[[#This Row],[Country]],Table47[Pommel Horse Classification],"&gt;0")</f>
        <v>0</v>
      </c>
      <c r="GA62" s="6">
        <f>COUNTIFS(Table47[Country],Tabela1[[#This Row],[Country]],Table47[Rings Classification],"&gt;0")</f>
        <v>0</v>
      </c>
      <c r="GB62" s="6">
        <f>COUNTIFS(Tabela132[Country],Tabela1[[#This Row],[Country]],Tabela132[Classification],"&gt;0")</f>
        <v>0</v>
      </c>
      <c r="GC62" s="6">
        <f>COUNTIFS(Tabela139[Country],Tabela1[[#This Row],[Country]],Tabela139[Classification],"&gt;0")</f>
        <v>0</v>
      </c>
      <c r="GD62" s="6">
        <f>COUNTIFS(Table48[Country],Tabela1[[#This Row],[Country]],Table48[Uneven Bars Classification],"&gt;0")</f>
        <v>0</v>
      </c>
      <c r="GE62" s="6">
        <f>COUNTIFS(Table47[Country],Tabela1[[#This Row],[Country]],Table47[Vault Classification],"&gt;0")</f>
        <v>0</v>
      </c>
      <c r="GF62" s="6">
        <f>COUNTIFS(Table48[Country],Tabela1[[#This Row],[Country]],Table48[Vault Classification],"&gt;0")</f>
        <v>0</v>
      </c>
      <c r="GG62" s="6">
        <f>COUNTIFS(Table919496[Country],Tabela1[[#This Row],[Country]],Table919496[Men''s Classification],"&gt;0")</f>
        <v>0</v>
      </c>
      <c r="GH62" s="6">
        <f>COUNTIFS(Table919496[Country],Tabela1[[#This Row],[Country]],Table919496[Women''s Classification],"&gt;0")</f>
        <v>0</v>
      </c>
      <c r="GI62" s="6">
        <f>COUNTIFS(Table12[Country],Tabela1[[#This Row],[Country]],Table12[60kg Classification],"&gt;0")</f>
        <v>0</v>
      </c>
      <c r="GJ62" s="6">
        <f>COUNTIFS(Table12[Country],Tabela1[[#This Row],[Country]],Table12[66kg Classification],"&gt;0")</f>
        <v>0</v>
      </c>
      <c r="GK62" s="6">
        <f>COUNTIFS(Table12[Country],Tabela1[[#This Row],[Country]],Table12[73kg Classification],"&gt;0")</f>
        <v>0</v>
      </c>
      <c r="GL62" s="6">
        <f>COUNTIFS(Table12[Country],Tabela1[[#This Row],[Country]],Table12[81kg Classification],"&gt;0")</f>
        <v>0</v>
      </c>
      <c r="GM62" s="6">
        <f>COUNTIFS(Table12[Country],Tabela1[[#This Row],[Country]],Table12[90kg Classification],"&gt;0")</f>
        <v>0</v>
      </c>
      <c r="GN62" s="6">
        <f>COUNTIFS(Table12[Country],Tabela1[[#This Row],[Country]],Table12[100kg Classification],"&gt;0")</f>
        <v>0</v>
      </c>
      <c r="GO62" s="6">
        <f>COUNTIFS(Table12[Country],Tabela1[[#This Row],[Country]],Table12[Plus 100kg Classification],"&gt;0")</f>
        <v>0</v>
      </c>
      <c r="GP62" s="6">
        <f>COUNTIFS(Table13[Country],Tabela1[[#This Row],[Country]],Table13[48kg Classification],"&gt;0")</f>
        <v>0</v>
      </c>
      <c r="GQ62" s="6">
        <f>COUNTIFS(Table13[Country],Tabela1[[#This Row],[Country]],Table13[52kg Classification],"&gt;0")</f>
        <v>0</v>
      </c>
      <c r="GR62" s="6">
        <f>COUNTIFS(Table13[Country],Tabela1[[#This Row],[Country]],Table13[57kg Classification],"&gt;0")</f>
        <v>0</v>
      </c>
      <c r="GS62" s="6">
        <f>COUNTIFS(Table13[Country],Tabela1[[#This Row],[Country]],Table13[63kg Classification],"&gt;0")</f>
        <v>0</v>
      </c>
      <c r="GT62" s="6">
        <f>COUNTIFS(Table13[Country],Tabela1[[#This Row],[Country]],Table13[70kg Classification],"&gt;0")</f>
        <v>0</v>
      </c>
      <c r="GU62" s="6">
        <f>COUNTIFS(Table13[Country],Tabela1[[#This Row],[Country]],Table13[78kg Classification],"&gt;0")</f>
        <v>0</v>
      </c>
      <c r="GV62" s="6">
        <f>COUNTIFS(Table13[Country],Tabela1[[#This Row],[Country]],Table13[Plus 78kg Classification],"&gt;0")</f>
        <v>0</v>
      </c>
      <c r="GW62" s="6">
        <f>COUNTIFS(Table82[Country],Tabela1[[#This Row],[Country]],Table82[Mixed Classification],"&gt;0")</f>
        <v>0</v>
      </c>
      <c r="GX62" s="6">
        <f>COUNTIFS(Table51[Country],Tabela1[[#This Row],[Country]],Table51[Classification],"&gt;0")</f>
        <v>0</v>
      </c>
      <c r="GY62" s="6">
        <f>COUNTIFS(Table52[Country],Tabela1[[#This Row],[Country]],Table52[Classification],"&gt;0")</f>
        <v>0</v>
      </c>
      <c r="GZ62" s="6">
        <f>COUNTIFS(Table32[Country],Tabela1[[#This Row],[Country]],Table32[All-Around Classification],"&gt;0")</f>
        <v>0</v>
      </c>
      <c r="HA62" s="6">
        <f>COUNTIFS(Table49[Country],Tabela1[[#This Row],[Country]],Table49[All-Around Classification],"&gt;0")</f>
        <v>0</v>
      </c>
      <c r="HB62" s="6">
        <f>COUNTIFS(Table26[Country],Tabela1[[#This Row],[Country]],Table26[Single Sculls Classification],"&gt;0")</f>
        <v>0</v>
      </c>
      <c r="HC62" s="6">
        <f>COUNTIFS(Table63[Country],Tabela1[[#This Row],[Country]],Table63[Single Sculls Classification],"&gt;0")</f>
        <v>0</v>
      </c>
      <c r="HD62" s="6">
        <f>COUNTIFS(Table16[Country],Tabela1[[#This Row],[Country]],Table16[Men''s Double Sculls Classification],"&gt;0")</f>
        <v>0</v>
      </c>
      <c r="HE62" s="6">
        <f>COUNTIFS(Table16[Country],Tabela1[[#This Row],[Country]],Table16[Women''s Double Sculls Classification],"&gt;0")</f>
        <v>0</v>
      </c>
      <c r="HF62" s="6">
        <f>COUNTIFS(Table72[Country],Tabela1[[#This Row],[Country]],Table72[Men''s Quadruple Sculls Classification],"&gt;0")</f>
        <v>0</v>
      </c>
      <c r="HG62" s="6">
        <f>COUNTIFS(Table72[Country],Tabela1[[#This Row],[Country]],Table72[Women''s Quadruple Sculls Classification],"&gt;0")</f>
        <v>0</v>
      </c>
      <c r="HH62" s="6">
        <f>COUNTIFS(Table16[Country],Tabela1[[#This Row],[Country]],Table16[Men''s Coxless Pairs Classification],"&gt;0")</f>
        <v>0</v>
      </c>
      <c r="HI62" s="6">
        <f>COUNTIFS(Table16[Country],Tabela1[[#This Row],[Country]],Table16[Women''s Coxless Pairs Classification],"&gt;0")</f>
        <v>0</v>
      </c>
      <c r="HJ62" s="6">
        <f>COUNTIFS(Table72[Country],Tabela1[[#This Row],[Country]],Table72[Men''s Coxless Fours Classification],"&gt;0")</f>
        <v>0</v>
      </c>
      <c r="HK62" s="6">
        <f>COUNTIFS(Table72[Country],Tabela1[[#This Row],[Country]],Table72[Women''s Coxless Fours Classification],"&gt;0")</f>
        <v>0</v>
      </c>
      <c r="HL62" s="6">
        <f>COUNTIFS(Table72[Country],Tabela1[[#This Row],[Country]],Table72[Men''s Eights Classification],"&gt;0")</f>
        <v>0</v>
      </c>
      <c r="HM62" s="6">
        <f>COUNTIFS(Table72[Country],Tabela1[[#This Row],[Country]],Table72[Women''s Eights Classification],"&gt;0")</f>
        <v>0</v>
      </c>
      <c r="HN62" s="6">
        <f>COUNTIFS(Table16[Country],Tabela1[[#This Row],[Country]],Table16[Men''s Lwt. Double Sculls Classification],"&gt;0")</f>
        <v>0</v>
      </c>
      <c r="HO62" s="6">
        <f>COUNTIFS(Table16[Country],Tabela1[[#This Row],[Country]],Table16[Women''s Lwt. Double Sculls Classification],"&gt;0")</f>
        <v>0</v>
      </c>
      <c r="HP62" s="6">
        <f>COUNTIFS(Table91949698[Country],Tabela1[[#This Row],[Country]],Table91949698[Men''s Classification],"&gt;0")</f>
        <v>0</v>
      </c>
      <c r="HQ62" s="6">
        <f>COUNTIFS(Table91949698[Country],Tabela1[[#This Row],[Country]],Table91949698[Women''s Classification],"&gt;0")</f>
        <v>0</v>
      </c>
      <c r="HR62" s="6">
        <f>COUNTIFS(Table25[Country],Tabela1[[#This Row],[Country]],Table25[Mixed 470 Classification],"&gt;0")</f>
        <v>0</v>
      </c>
      <c r="HS62" s="6">
        <f>COUNTIFS(Table25[Country],Tabela1[[#This Row],[Country]],Table25[Men''s 49er Classification],"&gt;0")</f>
        <v>0</v>
      </c>
      <c r="HT62" s="6">
        <f>COUNTIFS(Table25[Country],Tabela1[[#This Row],[Country]],Table25[Women''s 49er FX Classification],"&gt;0")</f>
        <v>0</v>
      </c>
      <c r="HU62" s="6">
        <f>COUNTIFS(Table17[Country],Tabela1[[#This Row],[Country]],Table17[Formula Kite Classification],"&gt;0")</f>
        <v>0</v>
      </c>
      <c r="HV62" s="6">
        <f>COUNTIFS(Table18[Country],Tabela1[[#This Row],[Country]],Table18[Formula Kite Classification],"&gt;0")</f>
        <v>0</v>
      </c>
      <c r="HW62" s="6">
        <f>COUNTIFS(Table17[Country],Tabela1[[#This Row],[Country]],Table17[ILCA 7 Classification],"&gt;0")</f>
        <v>0</v>
      </c>
      <c r="HX62" s="6">
        <f>COUNTIFS(Table18[Country],Tabela1[[#This Row],[Country]],Table18[ILCA 6 Classification],"&gt;0")</f>
        <v>0</v>
      </c>
      <c r="HY62" s="6">
        <f>COUNTIFS(Table17[Country],Tabela1[[#This Row],[Country]],Table17[IQFoil Classification],"&gt;0")</f>
        <v>0</v>
      </c>
      <c r="HZ62" s="6">
        <f>COUNTIFS(Table18[Country],Tabela1[[#This Row],[Country]],Table18[IQFoil Classification],"&gt;0")</f>
        <v>0</v>
      </c>
      <c r="IA62" s="6">
        <f>COUNTIFS(Table25[Country],Tabela1[[#This Row],[Country]],Table25[Mixed Nacra 17 Classification],"&gt;0")</f>
        <v>0</v>
      </c>
      <c r="IB62" s="6">
        <f>COUNTIFS(Table53[Country],Tabela1[[#This Row],[Country]],Table53[10m Air Pistol Classification],"&gt;0")</f>
        <v>0</v>
      </c>
      <c r="IC62" s="6">
        <f>COUNTIFS(Table19[Country],Tabela1[[#This Row],[Country]],Table19[10m Air Pistol Classification],"&gt;0")</f>
        <v>0</v>
      </c>
      <c r="ID62" s="6">
        <f>COUNTIFS(Table54[Country],Tabela1[[#This Row],[Country]],Table54[Mixed 10m Air Pistol Team Classification],"&gt;0")</f>
        <v>0</v>
      </c>
      <c r="IE62" s="6">
        <f>COUNTIFS(Table53[Country],Tabela1[[#This Row],[Country]],Table53[10m Air Rifle Classification],"&gt;0")</f>
        <v>0</v>
      </c>
      <c r="IF62" s="6">
        <f>COUNTIFS(Table19[Country],Tabela1[[#This Row],[Country]],Table19[10m Air Rifle Classification],"&gt;0")</f>
        <v>0</v>
      </c>
      <c r="IG62" s="6">
        <f>COUNTIFS(Table54[Country],Tabela1[[#This Row],[Country]],Table54[Mixed 10m Air Rifle Team Classification],"&gt;0")</f>
        <v>0</v>
      </c>
      <c r="IH62" s="6">
        <f>COUNTIFS(Table53[Country],Tabela1[[#This Row],[Country]],Table53[25m Rapid Fire Pistol Classification],"&gt;0")</f>
        <v>0</v>
      </c>
      <c r="II62" s="6">
        <f>COUNTIFS(Table19[Country],Tabela1[[#This Row],[Country]],Table19[25m Pistol Classification],"&gt;0")</f>
        <v>0</v>
      </c>
      <c r="IJ62" s="6">
        <f>COUNTIFS(Table53[Country],Tabela1[[#This Row],[Country]],Table53[50m Rifle 3 Positions Classification],"&gt;0")</f>
        <v>0</v>
      </c>
      <c r="IK62" s="6">
        <f>COUNTIFS(Table19[Country],Tabela1[[#This Row],[Country]],Table19[50m Rifle 3 Positions Classification],"&gt;0")</f>
        <v>0</v>
      </c>
      <c r="IL62" s="6">
        <f>COUNTIFS(Table53[Country],Tabela1[[#This Row],[Country]],Table53[Skeet Classification],"&gt;0")</f>
        <v>0</v>
      </c>
      <c r="IM62" s="6">
        <f>COUNTIFS(Table19[Country],Tabela1[[#This Row],[Country]],Table19[Skeet Classification],"&gt;0")</f>
        <v>0</v>
      </c>
      <c r="IN62" s="6">
        <f>COUNTIFS(Table54[Country],Tabela1[[#This Row],[Country]],Table54[Mixed Skeet Team Classification],"&gt;0")</f>
        <v>0</v>
      </c>
      <c r="IO62" s="6">
        <f>COUNTIFS(Table53[Country],Tabela1[[#This Row],[Country]],Table53[Trap Classification],"&gt;0")</f>
        <v>0</v>
      </c>
      <c r="IP62" s="6">
        <f>COUNTIFS(Table19[Country],Tabela1[[#This Row],[Country]],Table19[Trap Classification],"&gt;0")</f>
        <v>0</v>
      </c>
      <c r="IQ62" s="6">
        <f>COUNTIFS(Table73[Country],Tabela1[[#This Row],[Country]],Table73[Park Classification],"&gt;0")</f>
        <v>0</v>
      </c>
      <c r="IR62" s="6">
        <f>COUNTIFS(Table74[Country],Tabela1[[#This Row],[Country]],Table74[Park Classification],"&gt;0")</f>
        <v>0</v>
      </c>
      <c r="IS62" s="6">
        <f>COUNTIFS(Table73[Country],Tabela1[[#This Row],[Country]],Table73[Street Classification],"&gt;0")</f>
        <v>0</v>
      </c>
      <c r="IT62" s="6">
        <f>COUNTIFS(Table74[Country],Tabela1[[#This Row],[Country]],Table74[Street Classification],"&gt;0")</f>
        <v>0</v>
      </c>
      <c r="IU62" s="6">
        <f>COUNTIFS(Table75[Country],Tabela1[[#This Row],[Country]],Table75[Boulder and Lead Classification],"&gt;0")</f>
        <v>0</v>
      </c>
      <c r="IV62" s="6">
        <f>COUNTIFS(Table76[Country],Tabela1[[#This Row],[Country]],Table76[Boulder and Lead Classification],"&gt;0")</f>
        <v>0</v>
      </c>
      <c r="IW62" s="6">
        <f>COUNTIFS(Table75[Country],Tabela1[[#This Row],[Country]],Table75[Speed Classification],"&gt;0")</f>
        <v>0</v>
      </c>
      <c r="IX62" s="6">
        <f>COUNTIFS(Table76[Country],Tabela1[[#This Row],[Country]],Table76[Speed Classification],"&gt;0")</f>
        <v>0</v>
      </c>
      <c r="IY62" s="6">
        <f>COUNTIFS(Table64[Country],Tabela1[[#This Row],[Country]],Table64[Shortboard Classification],"&gt;0")</f>
        <v>0</v>
      </c>
      <c r="IZ62" s="6">
        <f>COUNTIFS(Table77[Country],Tabela1[[#This Row],[Country]],Table77[Shortboard Classification],"&gt;0")</f>
        <v>0</v>
      </c>
      <c r="JA62" s="6">
        <f>COUNTIFS(Table20[Country],Tabela1[[#This Row],[Country]],Table20[50m Freestyle Classification],"&gt;0")</f>
        <v>0</v>
      </c>
      <c r="JB62" s="6">
        <f>COUNTIFS(Table21[Country],Tabela1[[#This Row],[Country]],Table21[50m Freestyle Classification],"&gt;0")</f>
        <v>0</v>
      </c>
      <c r="JC62" s="6">
        <f>COUNTIFS(Table20[Country],Tabela1[[#This Row],[Country]],Table20[100m Freestyle Classification],"&gt;0")</f>
        <v>0</v>
      </c>
      <c r="JD62" s="6">
        <f>COUNTIFS(Table21[Country],Tabela1[[#This Row],[Country]],Table21[100m Freestyle Classification],"&gt;0")</f>
        <v>0</v>
      </c>
      <c r="JE62" s="6">
        <f>COUNTIFS(Table20[Country],Tabela1[[#This Row],[Country]],Table20[200m Freestyle Classification],"&gt;0")</f>
        <v>0</v>
      </c>
      <c r="JF62" s="6">
        <f>COUNTIFS(Table21[Country],Tabela1[[#This Row],[Country]],Table21[200m Freestyle Classification],"&gt;0")</f>
        <v>0</v>
      </c>
      <c r="JG62" s="6">
        <f>COUNTIFS(Table20[Country],Tabela1[[#This Row],[Country]],Table20[400m Freestyle Classification],"&gt;0")</f>
        <v>0</v>
      </c>
      <c r="JH62" s="6">
        <f>COUNTIFS(Table21[Country],Tabela1[[#This Row],[Country]],Table21[400m Freestyle Classification],"&gt;0")</f>
        <v>0</v>
      </c>
      <c r="JI62" s="6">
        <f>COUNTIFS(Table20[Country],Tabela1[[#This Row],[Country]],Table20[800m Freestyle Classification],"&gt;0")</f>
        <v>0</v>
      </c>
      <c r="JJ62" s="6">
        <f>COUNTIFS(Table21[Country],Tabela1[[#This Row],[Country]],Table21[800m Freestyle Classification],"&gt;0")</f>
        <v>0</v>
      </c>
      <c r="JK62" s="6">
        <f>COUNTIFS(Table20[Country],Tabela1[[#This Row],[Country]],Table20[1500m Freestyle Classification],"&gt;0")</f>
        <v>0</v>
      </c>
      <c r="JL62" s="6">
        <f>COUNTIFS(Table21[Country],Tabela1[[#This Row],[Country]],Table21[1500m Freestyle Classification],"&gt;0")</f>
        <v>0</v>
      </c>
      <c r="JM62" s="6">
        <f>COUNTIFS(Table20[Country],Tabela1[[#This Row],[Country]],Table20[100m Backstroke Classification],"&gt;0")</f>
        <v>0</v>
      </c>
      <c r="JN62" s="6">
        <f>COUNTIFS(Table21[Country],Tabela1[[#This Row],[Country]],Table21[100m Backstroke Classification],"&gt;0")</f>
        <v>0</v>
      </c>
      <c r="JO62" s="6">
        <f>COUNTIFS(Table20[Country],Tabela1[[#This Row],[Country]],Table20[200m Backstroke Classification],"&gt;0")</f>
        <v>0</v>
      </c>
      <c r="JP62" s="6">
        <f>COUNTIFS(Table21[Country],Tabela1[[#This Row],[Country]],Table21[200m Backstroke Classification],"&gt;0")</f>
        <v>0</v>
      </c>
      <c r="JQ62" s="6">
        <f>COUNTIFS(Table20[Country],Tabela1[[#This Row],[Country]],Table20[100m Breaststroke Classification],"&gt;0")</f>
        <v>0</v>
      </c>
      <c r="JR62" s="6">
        <f>COUNTIFS(Table21[Country],Tabela1[[#This Row],[Country]],Table21[100m Breaststroke Classification],"&gt;0")</f>
        <v>0</v>
      </c>
      <c r="JS62" s="6">
        <f>COUNTIFS(Table20[Country],Tabela1[[#This Row],[Country]],Table20[200m Breaststroke Classification],"&gt;0")</f>
        <v>0</v>
      </c>
      <c r="JT62" s="6">
        <f>COUNTIFS(Table21[Country],Tabela1[[#This Row],[Country]],Table21[200m Breaststroke Classification],"&gt;0")</f>
        <v>0</v>
      </c>
      <c r="JU62" s="6">
        <f>COUNTIFS(Table20[Country],Tabela1[[#This Row],[Country]],Table20[100m Butterfly Classification],"&gt;0")</f>
        <v>0</v>
      </c>
      <c r="JV62" s="6">
        <f>COUNTIFS(Table21[Country],Tabela1[[#This Row],[Country]],Table21[100m Butterfly Classification],"&gt;0")</f>
        <v>0</v>
      </c>
      <c r="JW62" s="6">
        <f>COUNTIFS(Table20[Country],Tabela1[[#This Row],[Country]],Table20[200m Butterfly Classification],"&gt;0")</f>
        <v>0</v>
      </c>
      <c r="JX62" s="6">
        <f>COUNTIFS(Table21[Country],Tabela1[[#This Row],[Country]],Table21[200m Butterfly Classification],"&gt;0")</f>
        <v>0</v>
      </c>
      <c r="JY62" s="6">
        <f>COUNTIFS(Table20[Country],Tabela1[[#This Row],[Country]],Table20[200m Medley Classification],"&gt;0")</f>
        <v>0</v>
      </c>
      <c r="JZ62" s="6">
        <f>COUNTIFS(Table21[Country],Tabela1[[#This Row],[Country]],Table21[200m Medley Classification],"&gt;0")</f>
        <v>0</v>
      </c>
      <c r="KA62" s="6">
        <f>COUNTIFS(Table20[Country],Tabela1[[#This Row],[Country]],Table20[400m Medley Classification],"&gt;0")</f>
        <v>0</v>
      </c>
      <c r="KB62" s="6">
        <f>COUNTIFS(Table21[Country],Tabela1[[#This Row],[Country]],Table21[400m Medley Classification],"&gt;0")</f>
        <v>0</v>
      </c>
      <c r="KC62" s="6">
        <f>COUNTIFS(Table78[Country],Tabela1[[#This Row],[Country]],Table78[Men''s 4x100m Freestyle Relay Classification],"&gt;0")</f>
        <v>0</v>
      </c>
      <c r="KD62" s="6">
        <f>COUNTIFS(Table78[Country],Tabela1[[#This Row],[Country]],Table78[Women''s 4x100m Freestyle Relay Classification],"&gt;0")</f>
        <v>0</v>
      </c>
      <c r="KE62" s="6">
        <f>COUNTIFS(Table78[Country],Tabela1[[#This Row],[Country]],Table78[Men''s 4x200m Freestyle Relay Classification],"&gt;0")</f>
        <v>0</v>
      </c>
      <c r="KF62" s="6">
        <f>COUNTIFS(Table78[Country],Tabela1[[#This Row],[Country]],Table78[Women''s 4x200m Freestyle Relay Classification],"&gt;0")</f>
        <v>0</v>
      </c>
      <c r="KG62" s="6">
        <f>COUNTIFS(Table78[Country],Tabela1[[#This Row],[Country]],Table78[Men''s 4x100m Medley Relay Classification],"&gt;0")</f>
        <v>0</v>
      </c>
      <c r="KH62" s="6">
        <f>COUNTIFS(Table78[Country],Tabela1[[#This Row],[Country]],Table78[Women''s 4x100m Medley Relay Classification],"&gt;0")</f>
        <v>0</v>
      </c>
      <c r="KI62" s="6">
        <f>COUNTIFS(Table78[Country],Tabela1[[#This Row],[Country]],Table78[Mixed 4x100m Medley Relay Classification],"&gt;0")</f>
        <v>0</v>
      </c>
      <c r="KJ62" s="6">
        <f>COUNTIFS(Table20[Country],Tabela1[[#This Row],[Country]],Table20[10km Open Water Classification],"&gt;0")</f>
        <v>0</v>
      </c>
      <c r="KK62" s="6">
        <f>COUNTIFS(Table21[Country],Tabela1[[#This Row],[Country]],Table21[10km Open Water Classification],"&gt;0")</f>
        <v>0</v>
      </c>
      <c r="KL62" s="6">
        <f>COUNTIFS(Table22[Country],Tabela1[[#This Row],[Country]],Table22[Classification],"&gt;0")</f>
        <v>0</v>
      </c>
      <c r="KM62" s="6">
        <f>COUNTIFS(Table30[Country],Tabela1[[#This Row],[Country]],Table30[Classification],"&gt;0")</f>
        <v>0</v>
      </c>
      <c r="KN62" s="6">
        <f>COUNTIFS(Table55[Country],Tabela1[[#This Row],[Country]],Table55[Men''s Classification],"&gt;0")</f>
        <v>0</v>
      </c>
      <c r="KO62" s="6">
        <f>COUNTIFS(Table55[Country],Tabela1[[#This Row],[Country]],Table55[Women''s Classification],"&gt;0")</f>
        <v>0</v>
      </c>
      <c r="KP62" s="6">
        <f>COUNTIFS(Table56[Country],Tabela1[[#This Row],[Country]],Table56[Mixed Classification],"&gt;0")</f>
        <v>0</v>
      </c>
      <c r="KQ62" s="6">
        <f>COUNTIFS(Table29[Country],Tabela1[[#This Row],[Country]],Table29[58kg Classification],"&gt;0")</f>
        <v>0</v>
      </c>
      <c r="KR62" s="6">
        <f>COUNTIFS(Table29[Country],Tabela1[[#This Row],[Country]],Table29[68kg Classification],"&gt;0")</f>
        <v>0</v>
      </c>
      <c r="KS62" s="6">
        <f>COUNTIFS(Table29[Country],Tabela1[[#This Row],[Country]],Table29[80kg Classification],"&gt;0")</f>
        <v>0</v>
      </c>
      <c r="KT62" s="6">
        <f>COUNTIFS(Table29[Country],Tabela1[[#This Row],[Country]],Table29[Plus 80kg Classification],"&gt;0")</f>
        <v>0</v>
      </c>
      <c r="KU62" s="6">
        <f>COUNTIFS(Table34[Country],Tabela1[[#This Row],[Country]],Table34[49kg Classification],"&gt;0")</f>
        <v>0</v>
      </c>
      <c r="KV62" s="6">
        <f>COUNTIFS(Table34[Country],Tabela1[[#This Row],[Country]],Table34[57kg Classification],"&gt;0")</f>
        <v>0</v>
      </c>
      <c r="KW62" s="6">
        <f>COUNTIFS(Table34[Country],Tabela1[[#This Row],[Country]],Table34[67kg Classification],"&gt;0")</f>
        <v>0</v>
      </c>
      <c r="KX62" s="6">
        <f>COUNTIFS(Table34[Country],Tabela1[[#This Row],[Country]],Table34[Plus 67kg Classification],"&gt;0")</f>
        <v>0</v>
      </c>
      <c r="KY62" s="6">
        <f>COUNTIFS(Table57[Country],Tabela1[[#This Row],[Country]],Table57[Classification],"&gt;0")</f>
        <v>0</v>
      </c>
      <c r="KZ62" s="6">
        <f>COUNTIFS(Table58[Country],Tabela1[[#This Row],[Country]],Table58[Classification],"&gt;0")</f>
        <v>0</v>
      </c>
      <c r="LA62" s="6">
        <f>COUNTIFS(Table79[Country],Tabela1[[#This Row],[Country]],Table79[Men''s Classification],"&gt;0")</f>
        <v>0</v>
      </c>
      <c r="LB62" s="6">
        <f>COUNTIFS(Table79[Country],Tabela1[[#This Row],[Country]],Table79[Women''s Classification],"&gt;0")</f>
        <v>0</v>
      </c>
      <c r="LC62" s="6">
        <f>COUNTIFS(Table79[Country],Tabela1[[#This Row],[Country]],Table79[Mixed Classification],"&gt;0")</f>
        <v>0</v>
      </c>
      <c r="LD62" s="6">
        <f>COUNTIFS(Table65[Country],Tabela1[[#This Row],[Country]],Table65[Classification],"&gt;0")</f>
        <v>0</v>
      </c>
      <c r="LE62" s="6">
        <f>COUNTIFS(Table59[Country],Tabela1[[#This Row],[Country]],Table59[Classification],"&gt;0")</f>
        <v>0</v>
      </c>
      <c r="LF62" s="6">
        <f>COUNTIFS(Table87[Country],Tabela1[[#This Row],[Country]],Table87[Mixed Relay Classification],"&gt;0")</f>
        <v>0</v>
      </c>
      <c r="LG62" s="6">
        <f>COUNTIFS(Table91949698100[Country],Tabela1[[#This Row],[Country]],Table91949698100[Men''s Classification],"&gt;0")</f>
        <v>0</v>
      </c>
      <c r="LH62" s="6">
        <f>COUNTIFS(Table91949698100[Country],Tabela1[[#This Row],[Country]],Table91949698100[Women''s Classification],"&gt;0")</f>
        <v>0</v>
      </c>
      <c r="LI62" s="6">
        <f>COUNTIFS(Table91949698100102[Country],Tabela1[[#This Row],[Country]],Table91949698100102[Men''s Classification],"&gt;0")</f>
        <v>0</v>
      </c>
      <c r="LJ62" s="6">
        <f>COUNTIFS(Table91949698100102[Country],Tabela1[[#This Row],[Country]],Table91949698100102[Women''s Classification],"&gt;0")</f>
        <v>0</v>
      </c>
      <c r="LK62" s="6">
        <f>COUNTIFS(Table23[Country],Tabela1[[#This Row],[Country]],Table23[61kg Classification],"&gt;0")</f>
        <v>0</v>
      </c>
      <c r="LL62" s="6">
        <f>COUNTIFS(Table23[Country],Tabela1[[#This Row],[Country]],Table23[73kg Classification],"&gt;0")</f>
        <v>0</v>
      </c>
      <c r="LM62" s="6">
        <f>COUNTIFS(Table23[Country],Tabela1[[#This Row],[Country]],Table23[89kg Classification],"&gt;0")</f>
        <v>1</v>
      </c>
      <c r="LN62" s="6">
        <f>COUNTIFS(Table23[Country],Tabela1[[#This Row],[Country]],Table23[102kg Classification],"&gt;0")</f>
        <v>1</v>
      </c>
      <c r="LO62" s="6">
        <f>COUNTIFS(Table23[Country],Tabela1[[#This Row],[Country]],Table23[Plus 102kg Classification],"&gt;0")</f>
        <v>1</v>
      </c>
      <c r="LP62" s="6">
        <f>COUNTIFS(Table28[Country],Tabela1[[#This Row],[Country]],Table28[49kg Classification],"&gt;0")</f>
        <v>0</v>
      </c>
      <c r="LQ62" s="6">
        <f>COUNTIFS(Table28[Country],Tabela1[[#This Row],[Country]],Table28[59kg Classification],"&gt;0")</f>
        <v>0</v>
      </c>
      <c r="LR62" s="6">
        <f>COUNTIFS(Table28[Country],Tabela1[[#This Row],[Country]],Table28[71kg Classification],"&gt;0")</f>
        <v>0</v>
      </c>
      <c r="LS62" s="6">
        <f>COUNTIFS(Table28[Country],Tabela1[[#This Row],[Country]],Table28[81kg Classification],"&gt;0")</f>
        <v>0</v>
      </c>
      <c r="LT62" s="6">
        <f>COUNTIFS(Table28[Country],Tabela1[[#This Row],[Country]],Table28[Plus 81kg Classification],"&gt;0")</f>
        <v>0</v>
      </c>
      <c r="LU62" s="6">
        <f>COUNTIFS(Table24[Country],Tabela1[[#This Row],[Country]],Table24[Freestyle 57kg Classification],"&gt;0")</f>
        <v>0</v>
      </c>
      <c r="LV62" s="6">
        <f>COUNTIFS(Table24[Country],Tabela1[[#This Row],[Country]],Table24[Freestyle 65kg Classification],"&gt;0")</f>
        <v>0</v>
      </c>
      <c r="LW62" s="6">
        <f>COUNTIFS(Table24[Country],Tabela1[[#This Row],[Country]],Table24[Freestyle 74kg Classification],"&gt;0")</f>
        <v>0</v>
      </c>
      <c r="LX62" s="6">
        <f>COUNTIFS(Table24[Country],Tabela1[[#This Row],[Country]],Table24[Freestyle 86kg Classification],"&gt;0")</f>
        <v>0</v>
      </c>
      <c r="LY62" s="6">
        <f>COUNTIFS(Table24[Country],Tabela1[[#This Row],[Country]],Table24[Freestyle 97kg Classification],"&gt;0")</f>
        <v>0</v>
      </c>
      <c r="LZ62" s="6">
        <f>COUNTIFS(Table24[Country],Tabela1[[#This Row],[Country]],Table24[Freestyle 125kg Classification],"&gt;0")</f>
        <v>0</v>
      </c>
      <c r="MA62" s="6">
        <f>COUNTIFS(Table24[Country],Tabela1[[#This Row],[Country]],Table24[Greco-Roman 60kg Classification],"&gt;0")</f>
        <v>0</v>
      </c>
      <c r="MB62" s="6">
        <f>COUNTIFS(Table24[Country],Tabela1[[#This Row],[Country]],Table24[Greco-Roman 67kg Classification],"&gt;0")</f>
        <v>0</v>
      </c>
      <c r="MC62" s="6">
        <f>COUNTIFS(Table24[Country],Tabela1[[#This Row],[Country]],Table24[Greco-Roman 77kg Classification],"&gt;0")</f>
        <v>0</v>
      </c>
      <c r="MD62" s="6">
        <f>COUNTIFS(Table24[Country],Tabela1[[#This Row],[Country]],Table24[Greco-Roman 87kg Classification],"&gt;0")</f>
        <v>0</v>
      </c>
      <c r="ME62" s="6">
        <f>COUNTIFS(Table24[Country],Tabela1[[#This Row],[Country]],Table24[Greco-Roman 97kg Classification],"&gt;0")</f>
        <v>1</v>
      </c>
      <c r="MF62" s="6">
        <f>COUNTIFS(Table24[Country],Tabela1[[#This Row],[Country]],Table24[Greco-Roman 130kg Classification],"&gt;0")</f>
        <v>0</v>
      </c>
      <c r="MG62" s="6">
        <f>COUNTIFS(Table31[Country],Tabela1[[#This Row],[Country]],Table31[50kg Classification],"&gt;0")</f>
        <v>0</v>
      </c>
      <c r="MH62" s="6">
        <f>COUNTIFS(Table31[Country],Tabela1[[#This Row],[Country]],Table31[53kg Classification],"&gt;0")</f>
        <v>0</v>
      </c>
      <c r="MI62" s="6">
        <f>COUNTIFS(Table31[Country],Tabela1[[#This Row],[Country]],Table31[57kg Classification],"&gt;0")</f>
        <v>0</v>
      </c>
      <c r="MJ62" s="6">
        <f>COUNTIFS(Table31[Country],Tabela1[[#This Row],[Country]],Table31[62kg Classification],"&gt;0")</f>
        <v>0</v>
      </c>
      <c r="MK62" s="6">
        <f>COUNTIFS(Table31[Country],Tabela1[[#This Row],[Country]],Table31[68kg Classification],"&gt;0")</f>
        <v>0</v>
      </c>
      <c r="ML62" s="6">
        <f>COUNTIFS(Table31[Country],Tabela1[[#This Row],[Country]],Table31[76kg Classification],"&gt;0")</f>
        <v>0</v>
      </c>
      <c r="MM62" s="6">
        <f>COUNTIFS(Table102[Country],Tabela1[[#This Row],[Country]],Table102[Downhill Classification],"&gt;0")</f>
        <v>0</v>
      </c>
      <c r="MN62" s="6">
        <f>COUNTIFS(Table102105[Country],Tabela1[[#This Row],[Country]],Table102105[Downhill Classification],"&gt;0")</f>
        <v>0</v>
      </c>
      <c r="MO62" s="6">
        <f>COUNTIFS(Table102[Country],Tabela1[[#This Row],[Country]],Table102[Giant Slalom Classification],"&gt;0")</f>
        <v>0</v>
      </c>
      <c r="MP62" s="6">
        <f>COUNTIFS(Table102105[Country],Tabela1[[#This Row],[Country]],Table102105[Giant Slalom Classification],"&gt;0")</f>
        <v>0</v>
      </c>
      <c r="MQ62" s="6">
        <f>COUNTIFS(Table102[Country],Tabela1[[#This Row],[Country]],Table102[Slalom Classification],"&gt;0")</f>
        <v>0</v>
      </c>
      <c r="MR62" s="6">
        <f>COUNTIFS(Table102105[Country],Tabela1[[#This Row],[Country]],Table102105[Slalom Classification],"&gt;0")</f>
        <v>0</v>
      </c>
      <c r="MS62" s="6">
        <f>COUNTIFS(Table102[Country],Tabela1[[#This Row],[Country]],Table102[Super-G Classification],"&gt;0")</f>
        <v>0</v>
      </c>
      <c r="MT62" s="6">
        <f>COUNTIFS(Table102105[Country],Tabela1[[#This Row],[Country]],Table102105[Super-G Classification],"&gt;0")</f>
        <v>0</v>
      </c>
      <c r="MU62" s="6">
        <f>COUNTIFS(Table105[Country],Tabela1[[#This Row],[Country]],Table105[Men''s Combined Classification],"&gt;0")</f>
        <v>0</v>
      </c>
      <c r="MV62" s="6">
        <f>COUNTIFS(Table105[Country],Tabela1[[#This Row],[Country]],Table105[Women''s Combined Classification],"&gt;0")</f>
        <v>0</v>
      </c>
      <c r="MW62" s="6">
        <f>COUNTIFS(Table106[Country],Tabela1[[#This Row],[Country]],Table106[Individual Classification],"&gt;0")</f>
        <v>0</v>
      </c>
      <c r="MX62" s="6">
        <f>COUNTIFS(Table106109[Country],Tabela1[[#This Row],[Country]],Table106109[Individual Classification],"&gt;0")</f>
        <v>0</v>
      </c>
      <c r="MY62" s="6">
        <f>COUNTIFS(Table106[Country],Tabela1[[#This Row],[Country]],Table106[Mass Start Classification],"&gt;0")</f>
        <v>0</v>
      </c>
      <c r="MZ62" s="6">
        <f>COUNTIFS(Table106109[Country],Tabela1[[#This Row],[Country]],Table106109[Mass Start Classification],"&gt;0")</f>
        <v>0</v>
      </c>
      <c r="NA62" s="6">
        <f>COUNTIFS(Table106[Country],Tabela1[[#This Row],[Country]],Table106[Pursuit Classification],"&gt;0")</f>
        <v>0</v>
      </c>
      <c r="NB62" s="6">
        <f>COUNTIFS(Table106109[Country],Tabela1[[#This Row],[Country]],Table106109[Pursuit Classification],"&gt;0")</f>
        <v>0</v>
      </c>
      <c r="NC62" s="6">
        <f>COUNTIFS(Table106[Country],Tabela1[[#This Row],[Country]],Table106[Sprint Classification],"&gt;0")</f>
        <v>0</v>
      </c>
      <c r="ND62" s="6">
        <f>COUNTIFS(Table106109[Country],Tabela1[[#This Row],[Country]],Table106109[Sprint Classification],"&gt;0")</f>
        <v>0</v>
      </c>
      <c r="NE62" s="6">
        <f>COUNTIFS(Table109[Country],Tabela1[[#This Row],[Country]],Table109[Men''s Relay Classification],"&gt;0")</f>
        <v>0</v>
      </c>
      <c r="NF62" s="6">
        <f>COUNTIFS(Table109[Country],Tabela1[[#This Row],[Country]],Table109[Women''s Relay Classification],"&gt;0")</f>
        <v>0</v>
      </c>
      <c r="NG62" s="6">
        <f>COUNTIFS(Table109[Country],Tabela1[[#This Row],[Country]],Table109[Mixed Relay Classification],"&gt;0")</f>
        <v>0</v>
      </c>
      <c r="NH62" s="6">
        <f>COUNTIFS(Table110[Country],Tabela1[[#This Row],[Country]],Table110[Monobob Classification],"&gt;0")</f>
        <v>0</v>
      </c>
      <c r="NI62" s="6">
        <f>COUNTIFS(Table111[Country],Tabela1[[#This Row],[Country]],Table111[Men''s Classification],"&gt;0")</f>
        <v>0</v>
      </c>
      <c r="NJ62" s="6">
        <f>COUNTIFS(Table111[Country],Tabela1[[#This Row],[Country]],Table111[Women''s Classification],"&gt;0")</f>
        <v>0</v>
      </c>
      <c r="NK62" s="6">
        <f>COUNTIFS(Table112[Country],Tabela1[[#This Row],[Country]],Table112[Men''s Four Classification],"&gt;0")</f>
        <v>0</v>
      </c>
      <c r="NL62" s="6">
        <f>COUNTIFS(Table113[Country],Tabela1[[#This Row],[Country]],Table113[Classical Classification],"&gt;0")</f>
        <v>0</v>
      </c>
      <c r="NM62" s="6">
        <f>COUNTIFS(Table113116[Country],Tabela1[[#This Row],[Country]],Table113116[Classical Classification],"&gt;0")</f>
        <v>0</v>
      </c>
      <c r="NN62" s="6">
        <f>COUNTIFS(Table113[Country],Tabela1[[#This Row],[Country]],Table113[Freestyle Classification],"&gt;0")</f>
        <v>1</v>
      </c>
      <c r="NO62" s="6">
        <f>COUNTIFS(Table113116[Country],Tabela1[[#This Row],[Country]],Table113116[Freestyle Classification],"&gt;0")</f>
        <v>1</v>
      </c>
      <c r="NP62" s="6">
        <f>COUNTIFS(Table117[Country],Tabela1[[#This Row],[Country]],Table117[Men''s Relay Classification],"&gt;0")</f>
        <v>0</v>
      </c>
      <c r="NQ62" s="6">
        <f>COUNTIFS(Table117[Country],Tabela1[[#This Row],[Country]],Table117[Women''s Relay Classification],"&gt;0")</f>
        <v>0</v>
      </c>
      <c r="NR62" s="6">
        <f>COUNTIFS(Table113[Country],Tabela1[[#This Row],[Country]],Table113[Skiathlon Classification],"&gt;0")</f>
        <v>1</v>
      </c>
      <c r="NS62" s="6">
        <f>COUNTIFS(Table113116[Country],Tabela1[[#This Row],[Country]],Table113116[Skiathlon Classification],"&gt;0")</f>
        <v>1</v>
      </c>
      <c r="NT62" s="6">
        <f>COUNTIFS(Table113[Country],Tabela1[[#This Row],[Country]],Table113[Sprint Classification],"&gt;0")</f>
        <v>0</v>
      </c>
      <c r="NU62" s="6">
        <f>COUNTIFS(Table113116[Country],Tabela1[[#This Row],[Country]],Table113116[Sprint Classification],"&gt;0")</f>
        <v>0</v>
      </c>
      <c r="NV62" s="6">
        <f>COUNTIFS(Table116[Country],Tabela1[[#This Row],[Country]],Table116[Men''s Team Sprint Classification],"&gt;0")</f>
        <v>0</v>
      </c>
      <c r="NW62" s="6">
        <f>COUNTIFS(Table116[Country],Tabela1[[#This Row],[Country]],Table116[Women''s Team Sprint Classification],"&gt;0")</f>
        <v>0</v>
      </c>
      <c r="NX62" s="6">
        <f>COUNTIFS(Table119[Country],Tabela1[[#This Row],[Country]],Table119[Men''s Classification],"&gt;0")</f>
        <v>0</v>
      </c>
      <c r="NY62" s="6">
        <f>COUNTIFS(Table119[Country],Tabela1[[#This Row],[Country]],Table119[Women''s Classification],"&gt;0")</f>
        <v>0</v>
      </c>
      <c r="NZ62" s="6">
        <f>COUNTIFS(Table118[Country],Tabela1[[#This Row],[Country]],Table118[Mixed Classification],"&gt;0")</f>
        <v>0</v>
      </c>
      <c r="OA62" s="6">
        <f>COUNTIFS(Table120[Country],Tabela1[[#This Row],[Country]],Table120[Classification],"&gt;0")</f>
        <v>0</v>
      </c>
      <c r="OB62" s="6">
        <f>COUNTIFS(Table120123[Country],Tabela1[[#This Row],[Country]],Table120123[Classification],"&gt;0")</f>
        <v>0</v>
      </c>
      <c r="OC62" s="6">
        <f>COUNTIFS(Table123[Country],Tabela1[[#This Row],[Country]],Table123[Ice Dance Classification],"&gt;0")</f>
        <v>0</v>
      </c>
      <c r="OD62" s="6">
        <f>COUNTIFS(Table123[Country],Tabela1[[#This Row],[Country]],Table123[Pair Skating Classification],"&gt;0")</f>
        <v>0</v>
      </c>
      <c r="OE62" s="6">
        <f>COUNTIFS(Table124[Country],Tabela1[[#This Row],[Country]],Table124[Mixed Classification],"&gt;0")</f>
        <v>0</v>
      </c>
      <c r="OF62" s="6">
        <f>COUNTIFS(Table125[Country],Tabela1[[#This Row],[Country]],Table125[Aerials Classification],"&gt;0")</f>
        <v>0</v>
      </c>
      <c r="OG62" s="6">
        <f>COUNTIFS(Table125128[Country],Tabela1[[#This Row],[Country]],Table125128[Aerials Classification],"&gt;0")</f>
        <v>0</v>
      </c>
      <c r="OH62" s="6">
        <f>COUNTIFS(Table128[Country],Tabela1[[#This Row],[Country]],Table128[Mixed Aerials Classification],"&gt;0")</f>
        <v>0</v>
      </c>
      <c r="OI62" s="6">
        <f>COUNTIFS(Table125[Country],Tabela1[[#This Row],[Country]],Table125[Big Air Classification],"&gt;0")</f>
        <v>0</v>
      </c>
      <c r="OJ62" s="6">
        <f>COUNTIFS(Table125128[Country],Tabela1[[#This Row],[Country]],Table125128[Big Air Classification],"&gt;0")</f>
        <v>0</v>
      </c>
      <c r="OK62" s="6">
        <f>COUNTIFS(Table125[Country],Tabela1[[#This Row],[Country]],Table125[Dual Moguls Classification],"&gt;0")</f>
        <v>0</v>
      </c>
      <c r="OL62" s="6">
        <f>COUNTIFS(Table125128[Country],Tabela1[[#This Row],[Country]],Table125128[Dual Moguls Classification],"&gt;0")</f>
        <v>0</v>
      </c>
      <c r="OM62" s="6">
        <f>COUNTIFS(Table125[Country],Tabela1[[#This Row],[Country]],Table125[Halfpipe Classification],"&gt;0")</f>
        <v>0</v>
      </c>
      <c r="ON62" s="6">
        <f>COUNTIFS(Table125128[Country],Tabela1[[#This Row],[Country]],Table125128[Halfpipe Classification],"&gt;0")</f>
        <v>0</v>
      </c>
      <c r="OO62" s="6">
        <f>COUNTIFS(Table125[Country],Tabela1[[#This Row],[Country]],Table125[Moguls Classification],"&gt;0")</f>
        <v>0</v>
      </c>
      <c r="OP62" s="6">
        <f>COUNTIFS(Table125128[Country],Tabela1[[#This Row],[Country]],Table125128[Moguls Classification],"&gt;0")</f>
        <v>0</v>
      </c>
      <c r="OQ62" s="6">
        <f>COUNTIFS(Table125[Country],Tabela1[[#This Row],[Country]],Table125[Ski Cross Classification],"&gt;0")</f>
        <v>0</v>
      </c>
      <c r="OR62" s="6">
        <f>COUNTIFS(Table125128[Country],Tabela1[[#This Row],[Country]],Table125128[Ski Cross Classification],"&gt;0")</f>
        <v>0</v>
      </c>
      <c r="OS62" s="6">
        <f>COUNTIFS(Table125[Country],Tabela1[[#This Row],[Country]],Table125[Slopestyle Classification],"&gt;0")</f>
        <v>0</v>
      </c>
      <c r="OT62" s="6">
        <f>COUNTIFS(Table125128[Country],Tabela1[[#This Row],[Country]],Table125128[Slopestyle Classification],"&gt;0")</f>
        <v>0</v>
      </c>
      <c r="OU62" s="6">
        <f>COUNTIFS(Table119131[Country],Tabela1[[#This Row],[Country]],Table119131[Men''s Classification],"&gt;0")</f>
        <v>0</v>
      </c>
      <c r="OV62" s="6">
        <f>COUNTIFS(Table119131[Country],Tabela1[[#This Row],[Country]],Table119131[Women''s Classification],"&gt;0")</f>
        <v>0</v>
      </c>
      <c r="OW62" s="6">
        <f>COUNTIFS(Table131[Country],Tabela1[[#This Row],[Country]],Table131[Classification],"&gt;0")</f>
        <v>0</v>
      </c>
      <c r="OX62" s="6">
        <f>COUNTIFS(Table131134[Country],Tabela1[[#This Row],[Country]],Table131134[Classification],"&gt;0")</f>
        <v>0</v>
      </c>
      <c r="OY62" s="6">
        <f>COUNTIFS(Table134[Country],Tabela1[[#This Row],[Country]],Table134[Men''s Classification],"&gt;0")</f>
        <v>0</v>
      </c>
      <c r="OZ62" s="6">
        <f>COUNTIFS(Table134[Country],Tabela1[[#This Row],[Country]],Table134[Women''s Classification],"&gt;0")</f>
        <v>0</v>
      </c>
      <c r="PA62" s="6">
        <f>COUNTIFS(Table135[Country],Tabela1[[#This Row],[Country]],Table135[Mixed Relay Classification],"&gt;0")</f>
        <v>0</v>
      </c>
      <c r="PB62" s="6">
        <f>COUNTIFS(Table136[Country],Tabela1[[#This Row],[Country]],Table136[Individual Classification],"&gt;0")</f>
        <v>0</v>
      </c>
      <c r="PC62" s="6">
        <f>COUNTIFS(Table136[Country],Tabela1[[#This Row],[Country]],Table136[Sprint Classification],"&gt;0")</f>
        <v>0</v>
      </c>
      <c r="PD62" s="6">
        <f>COUNTIFS(Table137[Country],Tabela1[[#This Row],[Country]],Table137[Men''s Team Sprint Large Hill Classification],"&gt;0")</f>
        <v>0</v>
      </c>
      <c r="PE62" s="6">
        <f>COUNTIFS(Table138[Country],Tabela1[[#This Row],[Country]],Table138[500m Classification],"&gt;0")</f>
        <v>0</v>
      </c>
      <c r="PF62" s="6">
        <f>COUNTIFS(Table138141[Country],Tabela1[[#This Row],[Country]],Table138141[500m Classification],"&gt;0")</f>
        <v>0</v>
      </c>
      <c r="PG62" s="6">
        <f>COUNTIFS(Table138[Country],Tabela1[[#This Row],[Country]],Table138[1000m Classification],"&gt;0")</f>
        <v>0</v>
      </c>
      <c r="PH62" s="6">
        <f>COUNTIFS(Table138141[Country],Tabela1[[#This Row],[Country]],Table138141[1000m Classification],"&gt;0")</f>
        <v>0</v>
      </c>
      <c r="PI62" s="6">
        <f>COUNTIFS(Table138[Country],Tabela1[[#This Row],[Country]],Table138[1500m Classification],"&gt;0")</f>
        <v>0</v>
      </c>
      <c r="PJ62" s="6">
        <f>COUNTIFS(Table138141[Country],Tabela1[[#This Row],[Country]],Table138141[1500m Classification],"&gt;0")</f>
        <v>0</v>
      </c>
      <c r="PK62" s="6">
        <f>COUNTIFS(Table141[Country],Tabela1[[#This Row],[Country]],Table141[Men''s 5000m Relay Classification],"&gt;0")</f>
        <v>0</v>
      </c>
      <c r="PL62" s="6">
        <f>COUNTIFS(Table141[Country],Tabela1[[#This Row],[Country]],Table141[Women''s 3000m Relay Classification],"&gt;0")</f>
        <v>0</v>
      </c>
      <c r="PM62" s="6">
        <f>COUNTIFS(Table141[Country],Tabela1[[#This Row],[Country]],Table141[Mixed 2000m Relay Classification],"&gt;0")</f>
        <v>0</v>
      </c>
      <c r="PN62" s="6">
        <f>COUNTIFS(Table142[Country],Tabela1[[#This Row],[Country]],Table142[Classification],"&gt;0")</f>
        <v>0</v>
      </c>
      <c r="PO62" s="6">
        <f>COUNTIFS(Table142145[Country],Tabela1[[#This Row],[Country]],Table142145[Classification],"&gt;0")</f>
        <v>0</v>
      </c>
      <c r="PP62" s="6">
        <f>COUNTIFS(Tabela15[Country],Tabela1[[#This Row],[Country]],Tabela15[Mixed Team Classification],"&gt;0")</f>
        <v>0</v>
      </c>
      <c r="PQ62" s="6">
        <f>COUNTIFS(Table145[Country],Tabela1[[#This Row],[Country]],Table145[Large Hill Classification],"&gt;0")</f>
        <v>0</v>
      </c>
      <c r="PR62" s="6">
        <f>COUNTIFS(Table145[Country],Tabela1[[#This Row],[Country]],Table145[Normal Hill Classification],"&gt;0")</f>
        <v>0</v>
      </c>
      <c r="PS62" s="6">
        <f>COUNTIFS(Table145148[Country],Tabela1[[#This Row],[Country]],Table145148[Large Hill Classification],"&gt;0")</f>
        <v>0</v>
      </c>
      <c r="PT62" s="6">
        <f>COUNTIFS(Table145148[Country],Tabela1[[#This Row],[Country]],Table145148[Normal Hill Classification],"&gt;0")</f>
        <v>0</v>
      </c>
      <c r="PU62" s="6">
        <f>COUNTIFS(Table148[Country],Tabela1[[#This Row],[Country]],Table148[Men''s Super Team Classification],"&gt;0")</f>
        <v>0</v>
      </c>
      <c r="PV62" s="6">
        <f>COUNTIFS(Tabela114[Country],Tabela1[[#This Row],[Country]],Tabela114[Mixed Normal Hill Classification],"&gt;0")</f>
        <v>0</v>
      </c>
      <c r="PW62" s="6">
        <f>COUNTIFS(Tabela50[Country],Tabela1[[#This Row],[Country]],Tabela50[Sprint Classification],"&gt;0")</f>
        <v>0</v>
      </c>
      <c r="PX62" s="6">
        <f>COUNTIFS(Tabela50101[Country],Tabela1[[#This Row],[Country]],Tabela50101[Sprint Classification],"&gt;0")</f>
        <v>0</v>
      </c>
      <c r="PY62" s="6">
        <f>COUNTIFS(Tabela103[Country],Tabela1[[#This Row],[Country]],Tabela103[Mixed Relay Classification],"&gt;0")</f>
        <v>0</v>
      </c>
      <c r="PZ62" s="6">
        <f>COUNTIFS(Table149[Country],Tabela1[[#This Row],[Country]],Table149[Big Air Classification],"&gt;0")</f>
        <v>0</v>
      </c>
      <c r="QA62" s="6">
        <f>COUNTIFS(Table149152[Country],Tabela1[[#This Row],[Country]],Table149152[Big Air Classification],"&gt;0")</f>
        <v>0</v>
      </c>
      <c r="QB62" s="6">
        <f>COUNTIFS(Table149[Country],Tabela1[[#This Row],[Country]],Table149[Halfpipe Classification],"&gt;0")</f>
        <v>0</v>
      </c>
      <c r="QC62" s="6">
        <f>COUNTIFS(Table149152[Country],Tabela1[[#This Row],[Country]],Table149152[Halfpipe Classification],"&gt;0")</f>
        <v>0</v>
      </c>
      <c r="QD62" s="6">
        <f>COUNTIFS(Table149[Country],Tabela1[[#This Row],[Country]],Table149[Parallel Giant Slalom Classification],"&gt;0")</f>
        <v>0</v>
      </c>
      <c r="QE62" s="6">
        <f>COUNTIFS(Table149152[Country],Tabela1[[#This Row],[Country]],Table149152[Parallel Giant Slalom Classification],"&gt;0")</f>
        <v>0</v>
      </c>
      <c r="QF62" s="6">
        <f>COUNTIFS(Table149[Country],Tabela1[[#This Row],[Country]],Table149[Slopestyle Classification],"&gt;0")</f>
        <v>0</v>
      </c>
      <c r="QG62" s="6">
        <f>COUNTIFS(Table149152[Country],Tabela1[[#This Row],[Country]],Table149152[Slopestyle Classification],"&gt;0")</f>
        <v>0</v>
      </c>
      <c r="QH62" s="6">
        <f>COUNTIFS(Table149[Country],Tabela1[[#This Row],[Country]],Table149[Snowboard Cross Classification],"&gt;0")</f>
        <v>0</v>
      </c>
      <c r="QI62" s="6">
        <f>COUNTIFS(Table149152[Country],Tabela1[[#This Row],[Country]],Table149152[Snowboard Cross Classification],"&gt;0")</f>
        <v>0</v>
      </c>
      <c r="QJ62" s="6">
        <f>COUNTIFS(Table153[Country],Tabela1[[#This Row],[Country]],Table153[Mixed Team Snowboard Cross Classification],"&gt;0")</f>
        <v>0</v>
      </c>
      <c r="QK62" s="6">
        <f>COUNTIFS(Table154[Country],Tabela1[[#This Row],[Country]],Table154[500m Classification],"&gt;0")</f>
        <v>0</v>
      </c>
      <c r="QL62" s="6">
        <f>COUNTIFS(Table154157[Country],Tabela1[[#This Row],[Country]],Table154157[500m Classification],"&gt;0")</f>
        <v>0</v>
      </c>
      <c r="QM62" s="6">
        <f>COUNTIFS(Table154[Country],Tabela1[[#This Row],[Country]],Table154[1000m Classification],"&gt;0")</f>
        <v>0</v>
      </c>
      <c r="QN62" s="6">
        <f>COUNTIFS(Table154157[Country],Tabela1[[#This Row],[Country]],Table154157[1000m Classification],"&gt;0")</f>
        <v>0</v>
      </c>
      <c r="QO62" s="6">
        <f>COUNTIFS(Table154[Country],Tabela1[[#This Row],[Country]],Table154[1500m Classification],"&gt;0")</f>
        <v>0</v>
      </c>
      <c r="QP62" s="6">
        <f>COUNTIFS(Table154157[Country],Tabela1[[#This Row],[Country]],Table154157[1500m Classification],"&gt;0")</f>
        <v>0</v>
      </c>
      <c r="QQ62" s="6">
        <f>COUNTIFS(Table154157[Country],Tabela1[[#This Row],[Country]],Table154157[3000m Classification],"&gt;0")</f>
        <v>0</v>
      </c>
      <c r="QR62" s="6">
        <f>COUNTIFS(Table154[Country],Tabela1[[#This Row],[Country]],Table154[5000m Classification],"&gt;0")</f>
        <v>0</v>
      </c>
      <c r="QS62" s="6">
        <f>COUNTIFS(Table154157[Country],Tabela1[[#This Row],[Country]],Table154157[5000m Classification],"&gt;0")</f>
        <v>0</v>
      </c>
      <c r="QT62" s="6">
        <f>COUNTIFS(Table154[Country],Tabela1[[#This Row],[Country]],Table154[10000m Classification],"&gt;0")</f>
        <v>0</v>
      </c>
      <c r="QU62" s="6">
        <f>COUNTIFS(Table154[Country],Tabela1[[#This Row],[Country]],Table154[Mass Start Classification],"&gt;0")</f>
        <v>0</v>
      </c>
      <c r="QV62" s="6">
        <f>COUNTIFS(Table154157[Country],Tabela1[[#This Row],[Country]],Table154157[Mass Start Classification],"&gt;0")</f>
        <v>0</v>
      </c>
      <c r="QW62" s="6">
        <f>COUNTIFS(Table157[Country],Tabela1[[#This Row],[Country]],Table157[Men''s Pursuit Classification],"&gt;0")</f>
        <v>0</v>
      </c>
      <c r="QX62" s="6">
        <f>COUNTIFS(Table157[Country],Tabela1[[#This Row],[Country]],Table157[Women''s Pursuit Classification],"&gt;0")</f>
        <v>0</v>
      </c>
      <c r="QY62" s="4" t="s">
        <v>507</v>
      </c>
    </row>
    <row r="63" spans="1:467" x14ac:dyDescent="0.3">
      <c r="A63" s="6">
        <v>62</v>
      </c>
      <c r="B63" s="6" t="s">
        <v>478</v>
      </c>
      <c r="C63" t="e" vm="62">
        <f>IF(ISBLANK(Tabela1[[#This Row],[Image Link]]), "", _xlfn.IMAGE(Tabela1[[#This Row],[Image Link]],1,1))</f>
        <v>#VALUE!</v>
      </c>
      <c r="D63" s="6">
        <f>SUM(Tabela1[[#This Row],[Archery - Men''s Individual Recurve]:[Speed Skating - Women''s Team Pursuit]])</f>
        <v>10</v>
      </c>
      <c r="E63" s="6">
        <f>COUNTIF(Tabela1[[#This Row],[Archery - Men''s Individual Recurve]:[Speed Skating - Women''s Team Pursuit]],"&gt;0")</f>
        <v>10</v>
      </c>
      <c r="F63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63" s="6">
        <f>SUM(Tabela1[[#This Row],[Archery - Men''s Individual Recurve]:[Wrestling - Women''s Freestyle 76kg]])</f>
        <v>5</v>
      </c>
      <c r="H63" s="6">
        <f>SUM(Tabela1[[#This Row],[Alpine Skiing - Men''s Downhill]:[Speed Skating - Women''s Team Pursuit]])</f>
        <v>5</v>
      </c>
      <c r="I63" s="6">
        <f>Tabela1[[#This Row],[Summer Gold Medals]]+Tabela1[[#This Row],[Winter Gold Medals]]</f>
        <v>1</v>
      </c>
      <c r="J63" s="6">
        <f>Tabela1[[#This Row],[Summer Silver Medals]]+Tabela1[[#This Row],[Winter Silver Medals]]</f>
        <v>3</v>
      </c>
      <c r="K63" s="6">
        <f>Tabela1[[#This Row],[Summer Bronze Medals]]+Tabela1[[#This Row],[Winter Bronze Medals]]</f>
        <v>2</v>
      </c>
      <c r="L63" s="6">
        <f>SUM(Tabela1[[#This Row],[Total Gold Medals]:[Total Bronze Medals]])</f>
        <v>6</v>
      </c>
      <c r="M63" s="6">
        <v>1</v>
      </c>
      <c r="N63" s="6">
        <v>3</v>
      </c>
      <c r="O63" s="6">
        <v>2</v>
      </c>
      <c r="P63" s="6">
        <f>SUM(Tabela1[[#This Row],[Summer Gold Medals]:[Summer Bronze Medals]])</f>
        <v>6</v>
      </c>
      <c r="Q63" s="6"/>
      <c r="R63" s="6"/>
      <c r="S63" s="6"/>
      <c r="T63" s="6">
        <f>Tabela1[[#This Row],[Winter Gold Medals]]+Tabela1[[#This Row],[Winter Silver Medals]]+Tabela1[[#This Row],[Winter Bronze Medals]]</f>
        <v>0</v>
      </c>
      <c r="U63" s="7">
        <f>Tabela1[[#This Row],[Total Medals]]/Tabela1[[#This Row],[Total Quotas]]</f>
        <v>0.6</v>
      </c>
      <c r="V63" s="6">
        <f>COUNTIFS(Table3[Country],Tabela1[[#This Row],[Country]],Table3[Recurve Classification],"&gt;0")</f>
        <v>0</v>
      </c>
      <c r="W63" s="6">
        <f>COUNTIFS(Table33[Country],Tabela1[[#This Row],[Country]],Table33[Recurve Classification],"&gt;0")</f>
        <v>0</v>
      </c>
      <c r="X63" s="6">
        <f>COUNTIFS(Table35[Country],Tabela1[[#This Row],[Country]],Table35[Men''s Team Recurve Classification],"&gt;0")</f>
        <v>0</v>
      </c>
      <c r="Y63" s="6">
        <f>COUNTIFS(Table35[Country],Tabela1[[#This Row],[Country]],Table35[Women''s Team Recurve Classification],"&gt;0")</f>
        <v>0</v>
      </c>
      <c r="Z63" s="6">
        <f>COUNTIFS(Tabela88[Country],Tabela1[[#This Row],[Country]],Tabela88[Mixed Team Recurve Classification],"&gt;0")</f>
        <v>0</v>
      </c>
      <c r="AA63" s="6">
        <f>COUNTIFS(Table36[Country],Tabela1[[#This Row],[Country]],Table36[Classification],"&gt;0")</f>
        <v>0</v>
      </c>
      <c r="AB63" s="6">
        <f>COUNTIFS(Table37[Country],Tabela1[[#This Row],[Country]],Table37[Classification],"&gt;0")</f>
        <v>0</v>
      </c>
      <c r="AC63" s="6">
        <f>COUNTIFS(Table4[Country],Tabela1[[#This Row],[Country]],Table4[100m Classification],"&gt;0")</f>
        <v>0</v>
      </c>
      <c r="AD63" s="6">
        <f>COUNTIFS(Table5[Country],Tabela1[[#This Row],[Country]],Table5[100m Classification],"&gt;0")</f>
        <v>0</v>
      </c>
      <c r="AE63" s="6">
        <f>COUNTIFS(Table4[Country],Tabela1[[#This Row],[Country]],Table4[200m Classification],"&gt;0")</f>
        <v>0</v>
      </c>
      <c r="AF63" s="6">
        <f>COUNTIFS(Table5[Country],Tabela1[[#This Row],[Country]],Table5[200m Classification],"&gt;0")</f>
        <v>0</v>
      </c>
      <c r="AG63" s="6">
        <f>COUNTIFS(Table4[Country],Tabela1[[#This Row],[Country]],Table4[400m Classification],"&gt;0")</f>
        <v>0</v>
      </c>
      <c r="AH63" s="6">
        <f>COUNTIFS(Table5[Country],Tabela1[[#This Row],[Country]],Table5[400m Classification],"&gt;0")</f>
        <v>0</v>
      </c>
      <c r="AI63" s="6">
        <f>COUNTIFS(Table4[Country],Tabela1[[#This Row],[Country]],Table4[800m Classification],"&gt;0")</f>
        <v>0</v>
      </c>
      <c r="AJ63" s="6">
        <f>COUNTIFS(Table5[Country],Tabela1[[#This Row],[Country]],Table5[800m Classification],"&gt;0")</f>
        <v>0</v>
      </c>
      <c r="AK63" s="6">
        <f>COUNTIFS(Table4[Country],Tabela1[[#This Row],[Country]],Table4[1500m Classification],"&gt;0")</f>
        <v>0</v>
      </c>
      <c r="AL63" s="6">
        <f>COUNTIFS(Table5[Country],Tabela1[[#This Row],[Country]],Table5[1500m Classification],"&gt;0")</f>
        <v>0</v>
      </c>
      <c r="AM63" s="6">
        <f>COUNTIFS(Table4[Country],Tabela1[[#This Row],[Country]],Table4[5000m Classification],"&gt;0")</f>
        <v>0</v>
      </c>
      <c r="AN63" s="6">
        <f>COUNTIFS(Table5[Country],Tabela1[[#This Row],[Country]],Table5[5000m Classification],"&gt;0")</f>
        <v>0</v>
      </c>
      <c r="AO63" s="6">
        <f>COUNTIFS(Table4[Country],Tabela1[[#This Row],[Country]],Table4[10000m Classification],"&gt;0")</f>
        <v>0</v>
      </c>
      <c r="AP63" s="6">
        <f>COUNTIFS(Table5[Country],Tabela1[[#This Row],[Country]],Table5[10000m Classification],"&gt;0")</f>
        <v>0</v>
      </c>
      <c r="AQ63" s="6">
        <f>COUNTIFS(Table4[Country],Tabela1[[#This Row],[Country]],Table4[110m Hurdles Classification],"&gt;0")</f>
        <v>0</v>
      </c>
      <c r="AR63" s="6">
        <f>COUNTIFS(Table5[Country],Tabela1[[#This Row],[Country]],Table5[100m Hurdles Classification],"&gt;0")</f>
        <v>0</v>
      </c>
      <c r="AS63" s="6">
        <f>COUNTIFS(Table4[Country],Tabela1[[#This Row],[Country]],Table4[400m Hurdles Classification],"&gt;0")</f>
        <v>0</v>
      </c>
      <c r="AT63" s="6">
        <f>COUNTIFS(Table5[Country],Tabela1[[#This Row],[Country]],Table5[400m Hurdles Classification],"&gt;0")</f>
        <v>0</v>
      </c>
      <c r="AU63" s="6">
        <f>COUNTIFS(Table4[Country],Tabela1[[#This Row],[Country]],Table4[3000m Steeplechase Classification],"&gt;0")</f>
        <v>0</v>
      </c>
      <c r="AV63" s="6">
        <f>COUNTIFS(Table5[Country],Tabela1[[#This Row],[Country]],Table5[3000m Steeplechase Classification],"&gt;0")</f>
        <v>0</v>
      </c>
      <c r="AW63" s="6">
        <f>COUNTIFS(Table27[Country],Tabela1[[#This Row],[Country]],Table27[Men''s 4x100m Relay Classification],"&gt;0")</f>
        <v>0</v>
      </c>
      <c r="AX63" s="6">
        <f>COUNTIFS(Table27[Country],Tabela1[[#This Row],[Country]],Table27[Women''s 4x100m Relay Classification],"&gt;0")</f>
        <v>0</v>
      </c>
      <c r="AY63" s="6">
        <f>COUNTIFS(Table27[Country],Tabela1[[#This Row],[Country]],Table27[Men''s 4x400m Relay Classification],"&gt;0")</f>
        <v>0</v>
      </c>
      <c r="AZ63" s="6">
        <f>COUNTIFS(Table27[Country],Tabela1[[#This Row],[Country]],Table27[Women''s 4x400m Relay Classification],"&gt;0")</f>
        <v>0</v>
      </c>
      <c r="BA63" s="6">
        <f>COUNTIFS(Table27[Country],Tabela1[[#This Row],[Country]],Table27[Mixed 4x400m Relay Classification],"&gt;0")</f>
        <v>0</v>
      </c>
      <c r="BB63" s="6">
        <f>COUNTIFS(Table4[Country],Tabela1[[#This Row],[Country]],Table4[Marathon Classification],"&gt;0")</f>
        <v>0</v>
      </c>
      <c r="BC63" s="6">
        <f>COUNTIFS(Table5[Country],Tabela1[[#This Row],[Country]],Table5[Marathon Classification],"&gt;0")</f>
        <v>0</v>
      </c>
      <c r="BD63" s="6">
        <f>COUNTIFS(Table4[Country],Tabela1[[#This Row],[Country]],Table4[20km Race Walk Classification],"&gt;0")</f>
        <v>0</v>
      </c>
      <c r="BE63" s="6">
        <f>COUNTIFS(Table5[Country],Tabela1[[#This Row],[Country]],Table5[20km Race Walk Classification],"&gt;0")</f>
        <v>0</v>
      </c>
      <c r="BF63" s="6">
        <f>COUNTIFS(Tabela96[Country],Tabela1[[#This Row],[Country]],Tabela96[Mixed Marathon Race Walk Relay Classification],"&gt;0")</f>
        <v>0</v>
      </c>
      <c r="BG63" s="6">
        <f>COUNTIFS(Table4[Country],Tabela1[[#This Row],[Country]],Table4[Discus Throw Classification],"&gt;0")</f>
        <v>0</v>
      </c>
      <c r="BH63" s="6">
        <f>COUNTIFS(Table5[Country],Tabela1[[#This Row],[Country]],Table5[Discus Throw Classification],"&gt;0")</f>
        <v>0</v>
      </c>
      <c r="BI63" s="6">
        <f>COUNTIFS(Table4[Country],Tabela1[[#This Row],[Country]],Table4[Hammer Throw Classification],"&gt;0")</f>
        <v>0</v>
      </c>
      <c r="BJ63" s="6">
        <f>COUNTIFS(Table5[Country],Tabela1[[#This Row],[Country]],Table5[Hammer Throw Classification],"&gt;0")</f>
        <v>0</v>
      </c>
      <c r="BK63" s="6">
        <f>COUNTIFS(Table4[Country],Tabela1[[#This Row],[Country]],Table4[High Jump Classification],"&gt;0")</f>
        <v>0</v>
      </c>
      <c r="BL63" s="6">
        <f>COUNTIFS(Table5[Country],Tabela1[[#This Row],[Country]],Table5[High Jump Classification],"&gt;0")</f>
        <v>0</v>
      </c>
      <c r="BM63" s="6">
        <f>COUNTIFS(Table4[Country],Tabela1[[#This Row],[Country]],Table4[Javelin Throw Classification],"&gt;0")</f>
        <v>0</v>
      </c>
      <c r="BN63" s="6">
        <f>COUNTIFS(Table5[Country],Tabela1[[#This Row],[Country]],Table5[Javelin Throw Classification],"&gt;0")</f>
        <v>0</v>
      </c>
      <c r="BO63" s="6">
        <f>COUNTIFS(Table4[Country],Tabela1[[#This Row],[Country]],Table4[Long Jump Classification],"&gt;0")</f>
        <v>0</v>
      </c>
      <c r="BP63" s="6">
        <f>COUNTIFS(Table5[Country],Tabela1[[#This Row],[Country]],Table5[Long Jump Classification],"&gt;0")</f>
        <v>0</v>
      </c>
      <c r="BQ63" s="6">
        <f>COUNTIFS(Table4[Country],Tabela1[[#This Row],[Country]],Table4[Pole Vault Classification],"&gt;0")</f>
        <v>0</v>
      </c>
      <c r="BR63" s="6">
        <f>COUNTIFS(Table5[Country],Tabela1[[#This Row],[Country]],Table5[Pole Vault Classification],"&gt;0")</f>
        <v>0</v>
      </c>
      <c r="BS63" s="6">
        <f>COUNTIFS(Table4[Country],Tabela1[[#This Row],[Country]],Table4[Shot Put Classification],"&gt;0")</f>
        <v>0</v>
      </c>
      <c r="BT63" s="6">
        <f>COUNTIFS(Table5[Country],Tabela1[[#This Row],[Country]],Table5[Shot Put Classification],"&gt;0")</f>
        <v>0</v>
      </c>
      <c r="BU63" s="6">
        <f>COUNTIFS(Table4[Country],Tabela1[[#This Row],[Country]],Table4[Triple Jump Classification],"&gt;0")</f>
        <v>0</v>
      </c>
      <c r="BV63" s="6">
        <f>COUNTIFS(Table5[Country],Tabela1[[#This Row],[Country]],Table5[Triple Jump Classification],"&gt;0")</f>
        <v>0</v>
      </c>
      <c r="BW63" s="6">
        <f>COUNTIFS(Table4[Country],Tabela1[[#This Row],[Country]],Table4[Decathlon Classification],"&gt;0")</f>
        <v>0</v>
      </c>
      <c r="BX63" s="6">
        <f>COUNTIFS(Table5[Country],Tabela1[[#This Row],[Country]],Table5[Heptathlon Classification],"&gt;0")</f>
        <v>0</v>
      </c>
      <c r="BY63" s="6">
        <f>COUNTIFS(Table61[Country],Tabela1[[#This Row],[Country]],Table61[Classification],"&gt;0")</f>
        <v>0</v>
      </c>
      <c r="BZ63" s="6">
        <f>COUNTIFS(Table38[Country],Tabela1[[#This Row],[Country]],Table38[Classification],"&gt;0")</f>
        <v>0</v>
      </c>
      <c r="CA63" s="6">
        <f>COUNTIFS(Table39[Country],Tabela1[[#This Row],[Country]],Table39[Men''s Classification],"&gt;0")</f>
        <v>1</v>
      </c>
      <c r="CB63" s="6">
        <f>COUNTIFS(Table39[Country],Tabela1[[#This Row],[Country]],Table39[Women''s Classification],"&gt;0")</f>
        <v>0</v>
      </c>
      <c r="CC63" s="6">
        <f>COUNTIFS(Table39[Country],Tabela1[[#This Row],[Country]],Table39[Mixed Classification],"&gt;0")</f>
        <v>1</v>
      </c>
      <c r="CD63" s="6">
        <f>COUNTIFS(Table89[Country],Tabela1[[#This Row],[Country]],Table89[Men''s Classification],"&gt;0")</f>
        <v>0</v>
      </c>
      <c r="CE63" s="6">
        <f>COUNTIFS(Table89[Country],Tabela1[[#This Row],[Country]],Table89[Women''s Classification],"&gt;0")</f>
        <v>0</v>
      </c>
      <c r="CF63" s="6">
        <f>COUNTIFS(Table90[Country],Tabela1[[#This Row],[Country]],Table90[Men''s Classification],"&gt;0")</f>
        <v>0</v>
      </c>
      <c r="CG63" s="6">
        <f>COUNTIFS(Table90[Country],Tabela1[[#This Row],[Country]],Table90[Women''s Classification],"&gt;0")</f>
        <v>0</v>
      </c>
      <c r="CH63" s="6">
        <f>COUNTIFS(Table60[Country],Tabela1[[#This Row],[Country]],Table60[Men''s Classification],"&gt;0")</f>
        <v>0</v>
      </c>
      <c r="CI63" s="6">
        <f>COUNTIFS(Table60[Country],Tabela1[[#This Row],[Country]],Table60[Women''s Classification],"&gt;0")</f>
        <v>0</v>
      </c>
      <c r="CJ63" s="6">
        <f>COUNTIFS(Table6[Country],Tabela1[[#This Row],[Country]],Table6[51kg Classification],"&gt;0")</f>
        <v>0</v>
      </c>
      <c r="CK63" s="6">
        <f>COUNTIFS(Table6[Country],Tabela1[[#This Row],[Country]],Table6[57kg Classification],"&gt;0")</f>
        <v>0</v>
      </c>
      <c r="CL63" s="6">
        <f>COUNTIFS(Table6[Country],Tabela1[[#This Row],[Country]],Table6[63.5kg Classification],"&gt;0")</f>
        <v>0</v>
      </c>
      <c r="CM63" s="6">
        <f>COUNTIFS(Table6[Country],Tabela1[[#This Row],[Country]],Table6[71kg Classification],"&gt;0")</f>
        <v>0</v>
      </c>
      <c r="CN63" s="6">
        <f>COUNTIFS(Table6[Country],Tabela1[[#This Row],[Country]],Table6[80kg Classification],"&gt;0")</f>
        <v>0</v>
      </c>
      <c r="CO63" s="6">
        <f>COUNTIFS(Table6[Country],Tabela1[[#This Row],[Country]],Table6[92kg Classification],"&gt;0")</f>
        <v>0</v>
      </c>
      <c r="CP63" s="6">
        <f>COUNTIFS(Table6[Country],Tabela1[[#This Row],[Country]],Table6[Plus 92kg Classification],"&gt;0")</f>
        <v>0</v>
      </c>
      <c r="CQ63" s="6">
        <f>COUNTIFS(Table7[Country],Tabela1[[#This Row],[Country]],Table7[50kg Classification],"&gt;0")</f>
        <v>0</v>
      </c>
      <c r="CR63" s="6">
        <f>COUNTIFS(Table7[Country],Tabela1[[#This Row],[Country]],Table7[54kg Classification],"&gt;0")</f>
        <v>0</v>
      </c>
      <c r="CS63" s="6">
        <f>COUNTIFS(Table7[Country],Tabela1[[#This Row],[Country]],Table7[57kg Classification],"&gt;0")</f>
        <v>0</v>
      </c>
      <c r="CT63" s="6">
        <f>COUNTIFS(Table7[Country],Tabela1[[#This Row],[Country]],Table7[60kg Classification],"&gt;0")</f>
        <v>0</v>
      </c>
      <c r="CU63" s="6">
        <f>COUNTIFS(Table7[Country],Tabela1[[#This Row],[Country]],Table7[66kg Classification],"&gt;0")</f>
        <v>0</v>
      </c>
      <c r="CV63" s="6">
        <f>COUNTIFS(Table7[Country],Tabela1[[#This Row],[Country]],Table7[75kg Classification],"&gt;0")</f>
        <v>0</v>
      </c>
      <c r="CW63" s="6">
        <f>COUNTIFS(Tabela94[Country],Tabela1[[#This Row],[Country]],Tabela94[Classification],"&gt;0")</f>
        <v>0</v>
      </c>
      <c r="CX63" s="6">
        <f>COUNTIFS(Tabela9499[Country],Tabela1[[#This Row],[Country]],Tabela9499[Classification],"&gt;0")</f>
        <v>0</v>
      </c>
      <c r="CY63" s="6">
        <f>COUNTIFS(Tabela107[Country],Tabela1[[#This Row],[Country]],Tabela107[C1 Slalom Classification],"&gt;0")</f>
        <v>0</v>
      </c>
      <c r="CZ63" s="6">
        <f>COUNTIFS(Tabela107122[Country],Tabela1[[#This Row],[Country]],Tabela107122[C1 Slalom Classification],"&gt;0")</f>
        <v>0</v>
      </c>
      <c r="DA63" s="6">
        <f>COUNTIFS(Tabela107[Country],Tabela1[[#This Row],[Country]],Tabela107[K1 Slalom Classification],"&gt;0")</f>
        <v>0</v>
      </c>
      <c r="DB63" s="6">
        <f>COUNTIFS(Tabela107122[Country],Tabela1[[#This Row],[Country]],Tabela107122[K1 Slalom Classification],"&gt;0")</f>
        <v>0</v>
      </c>
      <c r="DC63" s="6">
        <f>COUNTIFS(Tabela107[Country],Tabela1[[#This Row],[Country]],Tabela107[Kayak Cross Slalom Classification],"&gt;0")</f>
        <v>0</v>
      </c>
      <c r="DD63" s="6">
        <f>COUNTIFS(Tabela107122[Country],Tabela1[[#This Row],[Country]],Tabela107122[Kayak Cross Slalom Classification],"&gt;0")</f>
        <v>0</v>
      </c>
      <c r="DE63" s="6">
        <f>COUNTIFS(Table8[Country],Tabela1[[#This Row],[Country]],Table8[C1 200m Classification],"&gt;0")</f>
        <v>0</v>
      </c>
      <c r="DF63" s="6">
        <f>COUNTIFS(Table40[Country],Tabela1[[#This Row],[Country]],Table40[C1 1000m Classification],"&gt;0")</f>
        <v>0</v>
      </c>
      <c r="DG63" s="6">
        <f>COUNTIFS(Table68[Country],Tabela1[[#This Row],[Country]],Table68[Men''s C2 500m Classification],"&gt;0")</f>
        <v>0</v>
      </c>
      <c r="DH63" s="6">
        <f>COUNTIFS(Table68[Country],Tabela1[[#This Row],[Country]],Table68[Women''s C2 500m Classification],"&gt;0")</f>
        <v>0</v>
      </c>
      <c r="DI63" s="6">
        <f>COUNTIFS(Table8[Country],Tabela1[[#This Row],[Country]],Table8[K1 500m Classification],"&gt;0")</f>
        <v>0</v>
      </c>
      <c r="DJ63" s="6">
        <f>COUNTIFS(Table40[Country],Tabela1[[#This Row],[Country]],Table40[K1 1000m Classification],"&gt;0")</f>
        <v>0</v>
      </c>
      <c r="DK63" s="6">
        <f>COUNTIFS(Table68[Country],Tabela1[[#This Row],[Country]],Table68[Men''s K2 500m Classification],"&gt;0")</f>
        <v>0</v>
      </c>
      <c r="DL63" s="6">
        <f>COUNTIFS(Table68[Country],Tabela1[[#This Row],[Country]],Table68[Women''s K2 500m Classification],"&gt;0")</f>
        <v>0</v>
      </c>
      <c r="DM63" s="6">
        <f>COUNTIFS(Table83[Country],Tabela1[[#This Row],[Country]],Table83[Men''s K4 500m Classification],"&gt;0")</f>
        <v>0</v>
      </c>
      <c r="DN63" s="6">
        <f>COUNTIFS(Table83[Country],Tabela1[[#This Row],[Country]],Table83[Women''s K4 500m Classification],"&gt;0")</f>
        <v>0</v>
      </c>
      <c r="DO63" s="6">
        <f>COUNTIFS(Tabela126[Country],Tabela1[[#This Row],[Country]],Tabela126[Classification],"&gt;0")</f>
        <v>0</v>
      </c>
      <c r="DP63" s="6">
        <f>COUNTIFS(Tabela126130[Country],Tabela1[[#This Row],[Country]],Tabela126130[Classification],"&gt;0")</f>
        <v>0</v>
      </c>
      <c r="DQ63" s="6">
        <f>COUNTIFS(Table70[Country],Tabela1[[#This Row],[Country]],Table70[Classification],"&gt;0")</f>
        <v>0</v>
      </c>
      <c r="DR63" s="6">
        <f>COUNTIFS(Table80[Country],Tabela1[[#This Row],[Country]],Table80[Classification],"&gt;0")</f>
        <v>0</v>
      </c>
      <c r="DS63" s="6">
        <f>COUNTIFS(Table66[Country],Tabela1[[#This Row],[Country]],Table66[Classification],"&gt;0")</f>
        <v>0</v>
      </c>
      <c r="DT63" s="6">
        <f>COUNTIFS(Table67[Country],Tabela1[[#This Row],[Country]],Table67[Classification],"&gt;0")</f>
        <v>0</v>
      </c>
      <c r="DU63" s="6">
        <f>COUNTIFS(Table69[Country],Tabela1[[#This Row],[Country]],Table69[Keirin Classification],"&gt;0")</f>
        <v>1</v>
      </c>
      <c r="DV63" s="6">
        <f>COUNTIFS(Table41[Country],Tabela1[[#This Row],[Country]],Table41[Keirin Classification],"&gt;0")</f>
        <v>0</v>
      </c>
      <c r="DW63" s="6">
        <f>COUNTIFS(Table84[Country],Tabela1[[#This Row],[Country]],Table84[Men''s Madison Classification],"&gt;0")</f>
        <v>0</v>
      </c>
      <c r="DX63" s="6">
        <f>COUNTIFS(Table84[Country],Tabela1[[#This Row],[Country]],Table84[Women''s Madison Classification],"&gt;0")</f>
        <v>0</v>
      </c>
      <c r="DY63" s="6">
        <f>COUNTIFS(Table69[Country],Tabela1[[#This Row],[Country]],Table69[Omnium Classification],"&gt;0")</f>
        <v>0</v>
      </c>
      <c r="DZ63" s="6">
        <f>COUNTIFS(Table41[Country],Tabela1[[#This Row],[Country]],Table41[Omnium Classification],"&gt;0")</f>
        <v>0</v>
      </c>
      <c r="EA63" s="6">
        <f>COUNTIFS(Table9[Country],Tabela1[[#This Row],[Country]],Table9[Road Race Classification],"&gt;0")</f>
        <v>0</v>
      </c>
      <c r="EB63" s="6">
        <f>COUNTIFS(Table14[Country],Tabela1[[#This Row],[Country]],Table14[Road Race Classification],"&gt;0")</f>
        <v>0</v>
      </c>
      <c r="EC63" s="6">
        <f>COUNTIFS(Table69[Country],Tabela1[[#This Row],[Country]],Table69[Sprint Classification],"&gt;0")</f>
        <v>1</v>
      </c>
      <c r="ED63" s="6">
        <f>COUNTIFS(Table41[Country],Tabela1[[#This Row],[Country]],Table41[Sprint Classification],"&gt;0")</f>
        <v>0</v>
      </c>
      <c r="EE63" s="6">
        <f>COUNTIFS(Table85[Country],Tabela1[[#This Row],[Country]],Table85[Men''s Sprint Classification],"&gt;0")</f>
        <v>0</v>
      </c>
      <c r="EF63" s="6">
        <f>COUNTIFS(Table85[Country],Tabela1[[#This Row],[Country]],Table85[Women''s Sprint Classification],"&gt;0")</f>
        <v>0</v>
      </c>
      <c r="EG63" s="6">
        <f>COUNTIFS(Table85[Country],Tabela1[[#This Row],[Country]],Table85[Men''s Pursuit Classification],"&gt;0")</f>
        <v>0</v>
      </c>
      <c r="EH63" s="6">
        <f>COUNTIFS(Table85[Country],Tabela1[[#This Row],[Country]],Table85[Women''s Pursuit Classification],"&gt;0")</f>
        <v>0</v>
      </c>
      <c r="EI63" s="6">
        <f>COUNTIFS(Table9[Country],Tabela1[[#This Row],[Country]],Table9[Time-Trial Classification],"&gt;0")</f>
        <v>0</v>
      </c>
      <c r="EJ63" s="6">
        <f>COUNTIFS(Table14[Country],Tabela1[[#This Row],[Country]],Table14[Time-Trial Classification],"&gt;0")</f>
        <v>0</v>
      </c>
      <c r="EK63" s="6">
        <f>COUNTIFS(Table42[Country],Tabela1[[#This Row],[Country]],Table42[Springboard Classification],"&gt;0")</f>
        <v>0</v>
      </c>
      <c r="EL63" s="6">
        <f>COUNTIFS(Table43[Country],Tabela1[[#This Row],[Country]],Table43[Springboard Classification],"&gt;0")</f>
        <v>0</v>
      </c>
      <c r="EM63" s="6">
        <f>COUNTIFS(Table42[Country],Tabela1[[#This Row],[Country]],Table42[Platform Classification],"&gt;0")</f>
        <v>0</v>
      </c>
      <c r="EN63" s="6">
        <f>COUNTIFS(Table43[Country],Tabela1[[#This Row],[Country]],Table43[Platform Classification],"&gt;0")</f>
        <v>0</v>
      </c>
      <c r="EO63" s="6">
        <f>COUNTIFS(Table86[Country],Tabela1[[#This Row],[Country]],Table86[Men''s Synchronized Springboard Classification],"&gt;0")</f>
        <v>0</v>
      </c>
      <c r="EP63" s="6">
        <f>COUNTIFS(Table86[Country],Tabela1[[#This Row],[Country]],Table86[Women''s Synchronized Springboard Classification],"&gt;0")</f>
        <v>0</v>
      </c>
      <c r="EQ63" s="6">
        <f>COUNTIFS(Table86[Country],Tabela1[[#This Row],[Country]],Table86[Men''s Synchronized Platform Classification],"&gt;0")</f>
        <v>0</v>
      </c>
      <c r="ER63" s="6">
        <f>COUNTIFS(Table86[Country],Tabela1[[#This Row],[Country]],Table86[Women''s Synchronized Platform Classification],"&gt;0")</f>
        <v>0</v>
      </c>
      <c r="ES63" s="6">
        <f>COUNTIFS(Table44[Country],Tabela1[[#This Row],[Country]],Table44[Dressage Classification],"&gt;0")</f>
        <v>0</v>
      </c>
      <c r="ET63" s="6">
        <f>COUNTIFS(Table45[Country],Tabela1[[#This Row],[Country]],Table45[Dressage Classification],"&gt;0")</f>
        <v>0</v>
      </c>
      <c r="EU63" s="6">
        <f>COUNTIFS(Table44[Country],Tabela1[[#This Row],[Country]],Table44[Eventing Classification],"&gt;0")</f>
        <v>0</v>
      </c>
      <c r="EV63" s="6">
        <f>COUNTIFS(Table45[Country],Tabela1[[#This Row],[Country]],Table45[Eventing Classification],"&gt;0")</f>
        <v>0</v>
      </c>
      <c r="EW63" s="6">
        <f>COUNTIFS(Table44[Country],Tabela1[[#This Row],[Country]],Table44[Jumping Classification],"&gt;0")</f>
        <v>0</v>
      </c>
      <c r="EX63" s="6">
        <f>COUNTIFS(Table45[Country],Tabela1[[#This Row],[Country]],Table45[Jumping Classification],"&gt;0")</f>
        <v>0</v>
      </c>
      <c r="EY63" s="6">
        <f>COUNTIFS(Table10[Country],Tabela1[[#This Row],[Country]],Table10[Épée Classification],"&gt;0")</f>
        <v>0</v>
      </c>
      <c r="EZ63" s="6">
        <f>COUNTIFS(Table11[Country],Tabela1[[#This Row],[Country]],Table11[Épée Classification],"&gt;0")</f>
        <v>0</v>
      </c>
      <c r="FA63" s="6">
        <f>COUNTIFS(Table46[Country],Tabela1[[#This Row],[Country]],Table46[Men''s Épée Classification],"&gt;0")</f>
        <v>0</v>
      </c>
      <c r="FB63" s="6">
        <f>COUNTIFS(Table46[Country],Tabela1[[#This Row],[Country]],Table46[Women''s Épée Classification],"&gt;0")</f>
        <v>0</v>
      </c>
      <c r="FC63" s="6">
        <f>COUNTIFS(Table10[Country],Tabela1[[#This Row],[Country]],Table10[Foil Classification],"&gt;0")</f>
        <v>0</v>
      </c>
      <c r="FD63" s="6">
        <f>COUNTIFS(Table11[Country],Tabela1[[#This Row],[Country]],Table11[Foil Classification],"&gt;0")</f>
        <v>0</v>
      </c>
      <c r="FE63" s="6">
        <f>COUNTIFS(Table46[Country],Tabela1[[#This Row],[Country]],Table46[Men''s Foil Classification],"&gt;0")</f>
        <v>0</v>
      </c>
      <c r="FF63" s="6">
        <f>COUNTIFS(Table46[Country],Tabela1[[#This Row],[Country]],Table46[Women''s Foil Classification],"&gt;0")</f>
        <v>0</v>
      </c>
      <c r="FG63" s="6">
        <f>COUNTIFS(Table10[Country],Tabela1[[#This Row],[Country]],Table10[Sabre Classification],"&gt;0")</f>
        <v>0</v>
      </c>
      <c r="FH63" s="6">
        <f>COUNTIFS(Table11[Country],Tabela1[[#This Row],[Country]],Table11[Sabre Classification],"&gt;0")</f>
        <v>0</v>
      </c>
      <c r="FI63" s="6">
        <f>COUNTIFS(Table46[Country],Tabela1[[#This Row],[Country]],Table46[Men''s Sabre Classification],"&gt;0")</f>
        <v>0</v>
      </c>
      <c r="FJ63" s="6">
        <f>COUNTIFS(Table46[Country],Tabela1[[#This Row],[Country]],Table46[Women''s Sabre Classification],"&gt;0")</f>
        <v>0</v>
      </c>
      <c r="FK63" s="6">
        <f>COUNTIFS(Table91[Country],Tabela1[[#This Row],[Country]],Table91[Men''s Classification],"&gt;0")</f>
        <v>0</v>
      </c>
      <c r="FL63" s="6">
        <f>COUNTIFS(Table91[Country],Tabela1[[#This Row],[Country]],Table91[Women''s Classification],"&gt;0")</f>
        <v>0</v>
      </c>
      <c r="FM63" s="6">
        <f>COUNTIFS(Table9194[Country],Tabela1[[#This Row],[Country]],Table9194[Men''s Classification],"&gt;0")</f>
        <v>0</v>
      </c>
      <c r="FN63" s="6">
        <f>COUNTIFS(Table9194[Country],Tabela1[[#This Row],[Country]],Table9194[Women''s Classification],"&gt;0")</f>
        <v>0</v>
      </c>
      <c r="FO63" s="6">
        <f>COUNTIFS(Table71[Country],Tabela1[[#This Row],[Country]],Table71[Classification],"&gt;0")</f>
        <v>0</v>
      </c>
      <c r="FP63" s="6">
        <f>COUNTIFS(Table62[Country],Tabela1[[#This Row],[Country]],Table62[Classification],"&gt;0")</f>
        <v>0</v>
      </c>
      <c r="FQ63" s="6">
        <f>COUNTIFS(Table47[Country],Tabela1[[#This Row],[Country]],Table47[All-Around Classification],"&gt;0")</f>
        <v>0</v>
      </c>
      <c r="FR63" s="6">
        <f>COUNTIFS(Table48[Country],Tabela1[[#This Row],[Country]],Table48[All-Around Classification],"&gt;0")</f>
        <v>0</v>
      </c>
      <c r="FS63" s="6">
        <f>COUNTIFS(Table81[Country],Tabela1[[#This Row],[Country]],Table81[Men''s All-Around Classification],"&gt;0")</f>
        <v>0</v>
      </c>
      <c r="FT63" s="6">
        <f>COUNTIFS(Table81[Country],Tabela1[[#This Row],[Country]],Table81[Women''s All-Around Classification],"&gt;0")</f>
        <v>0</v>
      </c>
      <c r="FU63" s="6">
        <f>COUNTIFS(Table48[Country],Tabela1[[#This Row],[Country]],Table48[Balance Beam Classification],"&gt;0")</f>
        <v>0</v>
      </c>
      <c r="FV63" s="6">
        <f>COUNTIFS(Table47[Country],Tabela1[[#This Row],[Country]],Table47[Floor Exercise Classification],"&gt;0")</f>
        <v>0</v>
      </c>
      <c r="FW63" s="6">
        <f>COUNTIFS(Table48[Country],Tabela1[[#This Row],[Country]],Table48[Floor Exercise Classification],"&gt;0")</f>
        <v>0</v>
      </c>
      <c r="FX63" s="6">
        <f>COUNTIFS(Table47[Country],Tabela1[[#This Row],[Country]],Table47[Horizontal Bar Classification],"&gt;0")</f>
        <v>0</v>
      </c>
      <c r="FY63" s="6">
        <f>COUNTIFS(Table47[Country],Tabela1[[#This Row],[Country]],Table47[Parallel Bars Classification],"&gt;0")</f>
        <v>0</v>
      </c>
      <c r="FZ63" s="6">
        <f>COUNTIFS(Table47[Country],Tabela1[[#This Row],[Country]],Table47[Pommel Horse Classification],"&gt;0")</f>
        <v>0</v>
      </c>
      <c r="GA63" s="6">
        <f>COUNTIFS(Table47[Country],Tabela1[[#This Row],[Country]],Table47[Rings Classification],"&gt;0")</f>
        <v>0</v>
      </c>
      <c r="GB63" s="6">
        <f>COUNTIFS(Tabela132[Country],Tabela1[[#This Row],[Country]],Tabela132[Classification],"&gt;0")</f>
        <v>0</v>
      </c>
      <c r="GC63" s="6">
        <f>COUNTIFS(Tabela139[Country],Tabela1[[#This Row],[Country]],Tabela139[Classification],"&gt;0")</f>
        <v>0</v>
      </c>
      <c r="GD63" s="6">
        <f>COUNTIFS(Table48[Country],Tabela1[[#This Row],[Country]],Table48[Uneven Bars Classification],"&gt;0")</f>
        <v>0</v>
      </c>
      <c r="GE63" s="6">
        <f>COUNTIFS(Table47[Country],Tabela1[[#This Row],[Country]],Table47[Vault Classification],"&gt;0")</f>
        <v>0</v>
      </c>
      <c r="GF63" s="6">
        <f>COUNTIFS(Table48[Country],Tabela1[[#This Row],[Country]],Table48[Vault Classification],"&gt;0")</f>
        <v>0</v>
      </c>
      <c r="GG63" s="6">
        <f>COUNTIFS(Table919496[Country],Tabela1[[#This Row],[Country]],Table919496[Men''s Classification],"&gt;0")</f>
        <v>0</v>
      </c>
      <c r="GH63" s="6">
        <f>COUNTIFS(Table919496[Country],Tabela1[[#This Row],[Country]],Table919496[Women''s Classification],"&gt;0")</f>
        <v>0</v>
      </c>
      <c r="GI63" s="6">
        <f>COUNTIFS(Table12[Country],Tabela1[[#This Row],[Country]],Table12[60kg Classification],"&gt;0")</f>
        <v>0</v>
      </c>
      <c r="GJ63" s="6">
        <f>COUNTIFS(Table12[Country],Tabela1[[#This Row],[Country]],Table12[66kg Classification],"&gt;0")</f>
        <v>0</v>
      </c>
      <c r="GK63" s="6">
        <f>COUNTIFS(Table12[Country],Tabela1[[#This Row],[Country]],Table12[73kg Classification],"&gt;0")</f>
        <v>0</v>
      </c>
      <c r="GL63" s="6">
        <f>COUNTIFS(Table12[Country],Tabela1[[#This Row],[Country]],Table12[81kg Classification],"&gt;0")</f>
        <v>0</v>
      </c>
      <c r="GM63" s="6">
        <f>COUNTIFS(Table12[Country],Tabela1[[#This Row],[Country]],Table12[90kg Classification],"&gt;0")</f>
        <v>0</v>
      </c>
      <c r="GN63" s="6">
        <f>COUNTIFS(Table12[Country],Tabela1[[#This Row],[Country]],Table12[100kg Classification],"&gt;0")</f>
        <v>0</v>
      </c>
      <c r="GO63" s="6">
        <f>COUNTIFS(Table12[Country],Tabela1[[#This Row],[Country]],Table12[Plus 100kg Classification],"&gt;0")</f>
        <v>0</v>
      </c>
      <c r="GP63" s="6">
        <f>COUNTIFS(Table13[Country],Tabela1[[#This Row],[Country]],Table13[48kg Classification],"&gt;0")</f>
        <v>0</v>
      </c>
      <c r="GQ63" s="6">
        <f>COUNTIFS(Table13[Country],Tabela1[[#This Row],[Country]],Table13[52kg Classification],"&gt;0")</f>
        <v>0</v>
      </c>
      <c r="GR63" s="6">
        <f>COUNTIFS(Table13[Country],Tabela1[[#This Row],[Country]],Table13[57kg Classification],"&gt;0")</f>
        <v>0</v>
      </c>
      <c r="GS63" s="6">
        <f>COUNTIFS(Table13[Country],Tabela1[[#This Row],[Country]],Table13[63kg Classification],"&gt;0")</f>
        <v>0</v>
      </c>
      <c r="GT63" s="6">
        <f>COUNTIFS(Table13[Country],Tabela1[[#This Row],[Country]],Table13[70kg Classification],"&gt;0")</f>
        <v>0</v>
      </c>
      <c r="GU63" s="6">
        <f>COUNTIFS(Table13[Country],Tabela1[[#This Row],[Country]],Table13[78kg Classification],"&gt;0")</f>
        <v>0</v>
      </c>
      <c r="GV63" s="6">
        <f>COUNTIFS(Table13[Country],Tabela1[[#This Row],[Country]],Table13[Plus 78kg Classification],"&gt;0")</f>
        <v>0</v>
      </c>
      <c r="GW63" s="6">
        <f>COUNTIFS(Table82[Country],Tabela1[[#This Row],[Country]],Table82[Mixed Classification],"&gt;0")</f>
        <v>0</v>
      </c>
      <c r="GX63" s="6">
        <f>COUNTIFS(Table51[Country],Tabela1[[#This Row],[Country]],Table51[Classification],"&gt;0")</f>
        <v>0</v>
      </c>
      <c r="GY63" s="6">
        <f>COUNTIFS(Table52[Country],Tabela1[[#This Row],[Country]],Table52[Classification],"&gt;0")</f>
        <v>0</v>
      </c>
      <c r="GZ63" s="6">
        <f>COUNTIFS(Table32[Country],Tabela1[[#This Row],[Country]],Table32[All-Around Classification],"&gt;0")</f>
        <v>0</v>
      </c>
      <c r="HA63" s="6">
        <f>COUNTIFS(Table49[Country],Tabela1[[#This Row],[Country]],Table49[All-Around Classification],"&gt;0")</f>
        <v>0</v>
      </c>
      <c r="HB63" s="6">
        <f>COUNTIFS(Table26[Country],Tabela1[[#This Row],[Country]],Table26[Single Sculls Classification],"&gt;0")</f>
        <v>0</v>
      </c>
      <c r="HC63" s="6">
        <f>COUNTIFS(Table63[Country],Tabela1[[#This Row],[Country]],Table63[Single Sculls Classification],"&gt;0")</f>
        <v>0</v>
      </c>
      <c r="HD63" s="6">
        <f>COUNTIFS(Table16[Country],Tabela1[[#This Row],[Country]],Table16[Men''s Double Sculls Classification],"&gt;0")</f>
        <v>0</v>
      </c>
      <c r="HE63" s="6">
        <f>COUNTIFS(Table16[Country],Tabela1[[#This Row],[Country]],Table16[Women''s Double Sculls Classification],"&gt;0")</f>
        <v>0</v>
      </c>
      <c r="HF63" s="6">
        <f>COUNTIFS(Table72[Country],Tabela1[[#This Row],[Country]],Table72[Men''s Quadruple Sculls Classification],"&gt;0")</f>
        <v>0</v>
      </c>
      <c r="HG63" s="6">
        <f>COUNTIFS(Table72[Country],Tabela1[[#This Row],[Country]],Table72[Women''s Quadruple Sculls Classification],"&gt;0")</f>
        <v>0</v>
      </c>
      <c r="HH63" s="6">
        <f>COUNTIFS(Table16[Country],Tabela1[[#This Row],[Country]],Table16[Men''s Coxless Pairs Classification],"&gt;0")</f>
        <v>0</v>
      </c>
      <c r="HI63" s="6">
        <f>COUNTIFS(Table16[Country],Tabela1[[#This Row],[Country]],Table16[Women''s Coxless Pairs Classification],"&gt;0")</f>
        <v>0</v>
      </c>
      <c r="HJ63" s="6">
        <f>COUNTIFS(Table72[Country],Tabela1[[#This Row],[Country]],Table72[Men''s Coxless Fours Classification],"&gt;0")</f>
        <v>0</v>
      </c>
      <c r="HK63" s="6">
        <f>COUNTIFS(Table72[Country],Tabela1[[#This Row],[Country]],Table72[Women''s Coxless Fours Classification],"&gt;0")</f>
        <v>0</v>
      </c>
      <c r="HL63" s="6">
        <f>COUNTIFS(Table72[Country],Tabela1[[#This Row],[Country]],Table72[Men''s Eights Classification],"&gt;0")</f>
        <v>0</v>
      </c>
      <c r="HM63" s="6">
        <f>COUNTIFS(Table72[Country],Tabela1[[#This Row],[Country]],Table72[Women''s Eights Classification],"&gt;0")</f>
        <v>0</v>
      </c>
      <c r="HN63" s="6">
        <f>COUNTIFS(Table16[Country],Tabela1[[#This Row],[Country]],Table16[Men''s Lwt. Double Sculls Classification],"&gt;0")</f>
        <v>0</v>
      </c>
      <c r="HO63" s="6">
        <f>COUNTIFS(Table16[Country],Tabela1[[#This Row],[Country]],Table16[Women''s Lwt. Double Sculls Classification],"&gt;0")</f>
        <v>0</v>
      </c>
      <c r="HP63" s="6">
        <f>COUNTIFS(Table91949698[Country],Tabela1[[#This Row],[Country]],Table91949698[Men''s Classification],"&gt;0")</f>
        <v>0</v>
      </c>
      <c r="HQ63" s="6">
        <f>COUNTIFS(Table91949698[Country],Tabela1[[#This Row],[Country]],Table91949698[Women''s Classification],"&gt;0")</f>
        <v>0</v>
      </c>
      <c r="HR63" s="6">
        <f>COUNTIFS(Table25[Country],Tabela1[[#This Row],[Country]],Table25[Mixed 470 Classification],"&gt;0")</f>
        <v>0</v>
      </c>
      <c r="HS63" s="6">
        <f>COUNTIFS(Table25[Country],Tabela1[[#This Row],[Country]],Table25[Men''s 49er Classification],"&gt;0")</f>
        <v>0</v>
      </c>
      <c r="HT63" s="6">
        <f>COUNTIFS(Table25[Country],Tabela1[[#This Row],[Country]],Table25[Women''s 49er FX Classification],"&gt;0")</f>
        <v>0</v>
      </c>
      <c r="HU63" s="6">
        <f>COUNTIFS(Table17[Country],Tabela1[[#This Row],[Country]],Table17[Formula Kite Classification],"&gt;0")</f>
        <v>1</v>
      </c>
      <c r="HV63" s="6">
        <f>COUNTIFS(Table18[Country],Tabela1[[#This Row],[Country]],Table18[Formula Kite Classification],"&gt;0")</f>
        <v>0</v>
      </c>
      <c r="HW63" s="6">
        <f>COUNTIFS(Table17[Country],Tabela1[[#This Row],[Country]],Table17[ILCA 7 Classification],"&gt;0")</f>
        <v>0</v>
      </c>
      <c r="HX63" s="6">
        <f>COUNTIFS(Table18[Country],Tabela1[[#This Row],[Country]],Table18[ILCA 6 Classification],"&gt;0")</f>
        <v>0</v>
      </c>
      <c r="HY63" s="6">
        <f>COUNTIFS(Table17[Country],Tabela1[[#This Row],[Country]],Table17[IQFoil Classification],"&gt;0")</f>
        <v>0</v>
      </c>
      <c r="HZ63" s="6">
        <f>COUNTIFS(Table18[Country],Tabela1[[#This Row],[Country]],Table18[IQFoil Classification],"&gt;0")</f>
        <v>0</v>
      </c>
      <c r="IA63" s="6">
        <f>COUNTIFS(Table25[Country],Tabela1[[#This Row],[Country]],Table25[Mixed Nacra 17 Classification],"&gt;0")</f>
        <v>0</v>
      </c>
      <c r="IB63" s="6">
        <f>COUNTIFS(Table53[Country],Tabela1[[#This Row],[Country]],Table53[10m Air Pistol Classification],"&gt;0")</f>
        <v>0</v>
      </c>
      <c r="IC63" s="6">
        <f>COUNTIFS(Table19[Country],Tabela1[[#This Row],[Country]],Table19[10m Air Pistol Classification],"&gt;0")</f>
        <v>0</v>
      </c>
      <c r="ID63" s="6">
        <f>COUNTIFS(Table54[Country],Tabela1[[#This Row],[Country]],Table54[Mixed 10m Air Pistol Team Classification],"&gt;0")</f>
        <v>0</v>
      </c>
      <c r="IE63" s="6">
        <f>COUNTIFS(Table53[Country],Tabela1[[#This Row],[Country]],Table53[10m Air Rifle Classification],"&gt;0")</f>
        <v>0</v>
      </c>
      <c r="IF63" s="6">
        <f>COUNTIFS(Table19[Country],Tabela1[[#This Row],[Country]],Table19[10m Air Rifle Classification],"&gt;0")</f>
        <v>0</v>
      </c>
      <c r="IG63" s="6">
        <f>COUNTIFS(Table54[Country],Tabela1[[#This Row],[Country]],Table54[Mixed 10m Air Rifle Team Classification],"&gt;0")</f>
        <v>0</v>
      </c>
      <c r="IH63" s="6">
        <f>COUNTIFS(Table53[Country],Tabela1[[#This Row],[Country]],Table53[25m Rapid Fire Pistol Classification],"&gt;0")</f>
        <v>0</v>
      </c>
      <c r="II63" s="6">
        <f>COUNTIFS(Table19[Country],Tabela1[[#This Row],[Country]],Table19[25m Pistol Classification],"&gt;0")</f>
        <v>0</v>
      </c>
      <c r="IJ63" s="6">
        <f>COUNTIFS(Table53[Country],Tabela1[[#This Row],[Country]],Table53[50m Rifle 3 Positions Classification],"&gt;0")</f>
        <v>0</v>
      </c>
      <c r="IK63" s="6">
        <f>COUNTIFS(Table19[Country],Tabela1[[#This Row],[Country]],Table19[50m Rifle 3 Positions Classification],"&gt;0")</f>
        <v>0</v>
      </c>
      <c r="IL63" s="6">
        <f>COUNTIFS(Table53[Country],Tabela1[[#This Row],[Country]],Table53[Skeet Classification],"&gt;0")</f>
        <v>0</v>
      </c>
      <c r="IM63" s="6">
        <f>COUNTIFS(Table19[Country],Tabela1[[#This Row],[Country]],Table19[Skeet Classification],"&gt;0")</f>
        <v>0</v>
      </c>
      <c r="IN63" s="6">
        <f>COUNTIFS(Table54[Country],Tabela1[[#This Row],[Country]],Table54[Mixed Skeet Team Classification],"&gt;0")</f>
        <v>0</v>
      </c>
      <c r="IO63" s="6">
        <f>COUNTIFS(Table53[Country],Tabela1[[#This Row],[Country]],Table53[Trap Classification],"&gt;0")</f>
        <v>0</v>
      </c>
      <c r="IP63" s="6">
        <f>COUNTIFS(Table19[Country],Tabela1[[#This Row],[Country]],Table19[Trap Classification],"&gt;0")</f>
        <v>0</v>
      </c>
      <c r="IQ63" s="6">
        <f>COUNTIFS(Table73[Country],Tabela1[[#This Row],[Country]],Table73[Park Classification],"&gt;0")</f>
        <v>0</v>
      </c>
      <c r="IR63" s="6">
        <f>COUNTIFS(Table74[Country],Tabela1[[#This Row],[Country]],Table74[Park Classification],"&gt;0")</f>
        <v>0</v>
      </c>
      <c r="IS63" s="6">
        <f>COUNTIFS(Table73[Country],Tabela1[[#This Row],[Country]],Table73[Street Classification],"&gt;0")</f>
        <v>0</v>
      </c>
      <c r="IT63" s="6">
        <f>COUNTIFS(Table74[Country],Tabela1[[#This Row],[Country]],Table74[Street Classification],"&gt;0")</f>
        <v>0</v>
      </c>
      <c r="IU63" s="6">
        <f>COUNTIFS(Table75[Country],Tabela1[[#This Row],[Country]],Table75[Boulder and Lead Classification],"&gt;0")</f>
        <v>0</v>
      </c>
      <c r="IV63" s="6">
        <f>COUNTIFS(Table76[Country],Tabela1[[#This Row],[Country]],Table76[Boulder and Lead Classification],"&gt;0")</f>
        <v>0</v>
      </c>
      <c r="IW63" s="6">
        <f>COUNTIFS(Table75[Country],Tabela1[[#This Row],[Country]],Table75[Speed Classification],"&gt;0")</f>
        <v>0</v>
      </c>
      <c r="IX63" s="6">
        <f>COUNTIFS(Table76[Country],Tabela1[[#This Row],[Country]],Table76[Speed Classification],"&gt;0")</f>
        <v>0</v>
      </c>
      <c r="IY63" s="6">
        <f>COUNTIFS(Table64[Country],Tabela1[[#This Row],[Country]],Table64[Shortboard Classification],"&gt;0")</f>
        <v>0</v>
      </c>
      <c r="IZ63" s="6">
        <f>COUNTIFS(Table77[Country],Tabela1[[#This Row],[Country]],Table77[Shortboard Classification],"&gt;0")</f>
        <v>0</v>
      </c>
      <c r="JA63" s="6">
        <f>COUNTIFS(Table20[Country],Tabela1[[#This Row],[Country]],Table20[50m Freestyle Classification],"&gt;0")</f>
        <v>0</v>
      </c>
      <c r="JB63" s="6">
        <f>COUNTIFS(Table21[Country],Tabela1[[#This Row],[Country]],Table21[50m Freestyle Classification],"&gt;0")</f>
        <v>0</v>
      </c>
      <c r="JC63" s="6">
        <f>COUNTIFS(Table20[Country],Tabela1[[#This Row],[Country]],Table20[100m Freestyle Classification],"&gt;0")</f>
        <v>0</v>
      </c>
      <c r="JD63" s="6">
        <f>COUNTIFS(Table21[Country],Tabela1[[#This Row],[Country]],Table21[100m Freestyle Classification],"&gt;0")</f>
        <v>0</v>
      </c>
      <c r="JE63" s="6">
        <f>COUNTIFS(Table20[Country],Tabela1[[#This Row],[Country]],Table20[200m Freestyle Classification],"&gt;0")</f>
        <v>0</v>
      </c>
      <c r="JF63" s="6">
        <f>COUNTIFS(Table21[Country],Tabela1[[#This Row],[Country]],Table21[200m Freestyle Classification],"&gt;0")</f>
        <v>0</v>
      </c>
      <c r="JG63" s="6">
        <f>COUNTIFS(Table20[Country],Tabela1[[#This Row],[Country]],Table20[400m Freestyle Classification],"&gt;0")</f>
        <v>0</v>
      </c>
      <c r="JH63" s="6">
        <f>COUNTIFS(Table21[Country],Tabela1[[#This Row],[Country]],Table21[400m Freestyle Classification],"&gt;0")</f>
        <v>0</v>
      </c>
      <c r="JI63" s="6">
        <f>COUNTIFS(Table20[Country],Tabela1[[#This Row],[Country]],Table20[800m Freestyle Classification],"&gt;0")</f>
        <v>0</v>
      </c>
      <c r="JJ63" s="6">
        <f>COUNTIFS(Table21[Country],Tabela1[[#This Row],[Country]],Table21[800m Freestyle Classification],"&gt;0")</f>
        <v>0</v>
      </c>
      <c r="JK63" s="6">
        <f>COUNTIFS(Table20[Country],Tabela1[[#This Row],[Country]],Table20[1500m Freestyle Classification],"&gt;0")</f>
        <v>0</v>
      </c>
      <c r="JL63" s="6">
        <f>COUNTIFS(Table21[Country],Tabela1[[#This Row],[Country]],Table21[1500m Freestyle Classification],"&gt;0")</f>
        <v>0</v>
      </c>
      <c r="JM63" s="6">
        <f>COUNTIFS(Table20[Country],Tabela1[[#This Row],[Country]],Table20[100m Backstroke Classification],"&gt;0")</f>
        <v>0</v>
      </c>
      <c r="JN63" s="6">
        <f>COUNTIFS(Table21[Country],Tabela1[[#This Row],[Country]],Table21[100m Backstroke Classification],"&gt;0")</f>
        <v>0</v>
      </c>
      <c r="JO63" s="6">
        <f>COUNTIFS(Table20[Country],Tabela1[[#This Row],[Country]],Table20[200m Backstroke Classification],"&gt;0")</f>
        <v>0</v>
      </c>
      <c r="JP63" s="6">
        <f>COUNTIFS(Table21[Country],Tabela1[[#This Row],[Country]],Table21[200m Backstroke Classification],"&gt;0")</f>
        <v>0</v>
      </c>
      <c r="JQ63" s="6">
        <f>COUNTIFS(Table20[Country],Tabela1[[#This Row],[Country]],Table20[100m Breaststroke Classification],"&gt;0")</f>
        <v>0</v>
      </c>
      <c r="JR63" s="6">
        <f>COUNTIFS(Table21[Country],Tabela1[[#This Row],[Country]],Table21[100m Breaststroke Classification],"&gt;0")</f>
        <v>0</v>
      </c>
      <c r="JS63" s="6">
        <f>COUNTIFS(Table20[Country],Tabela1[[#This Row],[Country]],Table20[200m Breaststroke Classification],"&gt;0")</f>
        <v>0</v>
      </c>
      <c r="JT63" s="6">
        <f>COUNTIFS(Table21[Country],Tabela1[[#This Row],[Country]],Table21[200m Breaststroke Classification],"&gt;0")</f>
        <v>0</v>
      </c>
      <c r="JU63" s="6">
        <f>COUNTIFS(Table20[Country],Tabela1[[#This Row],[Country]],Table20[100m Butterfly Classification],"&gt;0")</f>
        <v>0</v>
      </c>
      <c r="JV63" s="6">
        <f>COUNTIFS(Table21[Country],Tabela1[[#This Row],[Country]],Table21[100m Butterfly Classification],"&gt;0")</f>
        <v>0</v>
      </c>
      <c r="JW63" s="6">
        <f>COUNTIFS(Table20[Country],Tabela1[[#This Row],[Country]],Table20[200m Butterfly Classification],"&gt;0")</f>
        <v>0</v>
      </c>
      <c r="JX63" s="6">
        <f>COUNTIFS(Table21[Country],Tabela1[[#This Row],[Country]],Table21[200m Butterfly Classification],"&gt;0")</f>
        <v>0</v>
      </c>
      <c r="JY63" s="6">
        <f>COUNTIFS(Table20[Country],Tabela1[[#This Row],[Country]],Table20[200m Medley Classification],"&gt;0")</f>
        <v>0</v>
      </c>
      <c r="JZ63" s="6">
        <f>COUNTIFS(Table21[Country],Tabela1[[#This Row],[Country]],Table21[200m Medley Classification],"&gt;0")</f>
        <v>0</v>
      </c>
      <c r="KA63" s="6">
        <f>COUNTIFS(Table20[Country],Tabela1[[#This Row],[Country]],Table20[400m Medley Classification],"&gt;0")</f>
        <v>0</v>
      </c>
      <c r="KB63" s="6">
        <f>COUNTIFS(Table21[Country],Tabela1[[#This Row],[Country]],Table21[400m Medley Classification],"&gt;0")</f>
        <v>0</v>
      </c>
      <c r="KC63" s="6">
        <f>COUNTIFS(Table78[Country],Tabela1[[#This Row],[Country]],Table78[Men''s 4x100m Freestyle Relay Classification],"&gt;0")</f>
        <v>0</v>
      </c>
      <c r="KD63" s="6">
        <f>COUNTIFS(Table78[Country],Tabela1[[#This Row],[Country]],Table78[Women''s 4x100m Freestyle Relay Classification],"&gt;0")</f>
        <v>0</v>
      </c>
      <c r="KE63" s="6">
        <f>COUNTIFS(Table78[Country],Tabela1[[#This Row],[Country]],Table78[Men''s 4x200m Freestyle Relay Classification],"&gt;0")</f>
        <v>0</v>
      </c>
      <c r="KF63" s="6">
        <f>COUNTIFS(Table78[Country],Tabela1[[#This Row],[Country]],Table78[Women''s 4x200m Freestyle Relay Classification],"&gt;0")</f>
        <v>0</v>
      </c>
      <c r="KG63" s="6">
        <f>COUNTIFS(Table78[Country],Tabela1[[#This Row],[Country]],Table78[Men''s 4x100m Medley Relay Classification],"&gt;0")</f>
        <v>0</v>
      </c>
      <c r="KH63" s="6">
        <f>COUNTIFS(Table78[Country],Tabela1[[#This Row],[Country]],Table78[Women''s 4x100m Medley Relay Classification],"&gt;0")</f>
        <v>0</v>
      </c>
      <c r="KI63" s="6">
        <f>COUNTIFS(Table78[Country],Tabela1[[#This Row],[Country]],Table78[Mixed 4x100m Medley Relay Classification],"&gt;0")</f>
        <v>0</v>
      </c>
      <c r="KJ63" s="6">
        <f>COUNTIFS(Table20[Country],Tabela1[[#This Row],[Country]],Table20[10km Open Water Classification],"&gt;0")</f>
        <v>0</v>
      </c>
      <c r="KK63" s="6">
        <f>COUNTIFS(Table21[Country],Tabela1[[#This Row],[Country]],Table21[10km Open Water Classification],"&gt;0")</f>
        <v>0</v>
      </c>
      <c r="KL63" s="6">
        <f>COUNTIFS(Table22[Country],Tabela1[[#This Row],[Country]],Table22[Classification],"&gt;0")</f>
        <v>0</v>
      </c>
      <c r="KM63" s="6">
        <f>COUNTIFS(Table30[Country],Tabela1[[#This Row],[Country]],Table30[Classification],"&gt;0")</f>
        <v>0</v>
      </c>
      <c r="KN63" s="6">
        <f>COUNTIFS(Table55[Country],Tabela1[[#This Row],[Country]],Table55[Men''s Classification],"&gt;0")</f>
        <v>0</v>
      </c>
      <c r="KO63" s="6">
        <f>COUNTIFS(Table55[Country],Tabela1[[#This Row],[Country]],Table55[Women''s Classification],"&gt;0")</f>
        <v>0</v>
      </c>
      <c r="KP63" s="6">
        <f>COUNTIFS(Table56[Country],Tabela1[[#This Row],[Country]],Table56[Mixed Classification],"&gt;0")</f>
        <v>0</v>
      </c>
      <c r="KQ63" s="6">
        <f>COUNTIFS(Table29[Country],Tabela1[[#This Row],[Country]],Table29[58kg Classification],"&gt;0")</f>
        <v>0</v>
      </c>
      <c r="KR63" s="6">
        <f>COUNTIFS(Table29[Country],Tabela1[[#This Row],[Country]],Table29[68kg Classification],"&gt;0")</f>
        <v>0</v>
      </c>
      <c r="KS63" s="6">
        <f>COUNTIFS(Table29[Country],Tabela1[[#This Row],[Country]],Table29[80kg Classification],"&gt;0")</f>
        <v>0</v>
      </c>
      <c r="KT63" s="6">
        <f>COUNTIFS(Table29[Country],Tabela1[[#This Row],[Country]],Table29[Plus 80kg Classification],"&gt;0")</f>
        <v>0</v>
      </c>
      <c r="KU63" s="6">
        <f>COUNTIFS(Table34[Country],Tabela1[[#This Row],[Country]],Table34[49kg Classification],"&gt;0")</f>
        <v>0</v>
      </c>
      <c r="KV63" s="6">
        <f>COUNTIFS(Table34[Country],Tabela1[[#This Row],[Country]],Table34[57kg Classification],"&gt;0")</f>
        <v>0</v>
      </c>
      <c r="KW63" s="6">
        <f>COUNTIFS(Table34[Country],Tabela1[[#This Row],[Country]],Table34[67kg Classification],"&gt;0")</f>
        <v>0</v>
      </c>
      <c r="KX63" s="6">
        <f>COUNTIFS(Table34[Country],Tabela1[[#This Row],[Country]],Table34[Plus 67kg Classification],"&gt;0")</f>
        <v>0</v>
      </c>
      <c r="KY63" s="6">
        <f>COUNTIFS(Table57[Country],Tabela1[[#This Row],[Country]],Table57[Classification],"&gt;0")</f>
        <v>0</v>
      </c>
      <c r="KZ63" s="6">
        <f>COUNTIFS(Table58[Country],Tabela1[[#This Row],[Country]],Table58[Classification],"&gt;0")</f>
        <v>0</v>
      </c>
      <c r="LA63" s="6">
        <f>COUNTIFS(Table79[Country],Tabela1[[#This Row],[Country]],Table79[Men''s Classification],"&gt;0")</f>
        <v>0</v>
      </c>
      <c r="LB63" s="6">
        <f>COUNTIFS(Table79[Country],Tabela1[[#This Row],[Country]],Table79[Women''s Classification],"&gt;0")</f>
        <v>0</v>
      </c>
      <c r="LC63" s="6">
        <f>COUNTIFS(Table79[Country],Tabela1[[#This Row],[Country]],Table79[Mixed Classification],"&gt;0")</f>
        <v>0</v>
      </c>
      <c r="LD63" s="6">
        <f>COUNTIFS(Table65[Country],Tabela1[[#This Row],[Country]],Table65[Classification],"&gt;0")</f>
        <v>0</v>
      </c>
      <c r="LE63" s="6">
        <f>COUNTIFS(Table59[Country],Tabela1[[#This Row],[Country]],Table59[Classification],"&gt;0")</f>
        <v>0</v>
      </c>
      <c r="LF63" s="6">
        <f>COUNTIFS(Table87[Country],Tabela1[[#This Row],[Country]],Table87[Mixed Relay Classification],"&gt;0")</f>
        <v>0</v>
      </c>
      <c r="LG63" s="6">
        <f>COUNTIFS(Table91949698100[Country],Tabela1[[#This Row],[Country]],Table91949698100[Men''s Classification],"&gt;0")</f>
        <v>0</v>
      </c>
      <c r="LH63" s="6">
        <f>COUNTIFS(Table91949698100[Country],Tabela1[[#This Row],[Country]],Table91949698100[Women''s Classification],"&gt;0")</f>
        <v>0</v>
      </c>
      <c r="LI63" s="6">
        <f>COUNTIFS(Table91949698100102[Country],Tabela1[[#This Row],[Country]],Table91949698100102[Men''s Classification],"&gt;0")</f>
        <v>0</v>
      </c>
      <c r="LJ63" s="6">
        <f>COUNTIFS(Table91949698100102[Country],Tabela1[[#This Row],[Country]],Table91949698100102[Women''s Classification],"&gt;0")</f>
        <v>0</v>
      </c>
      <c r="LK63" s="6">
        <f>COUNTIFS(Table23[Country],Tabela1[[#This Row],[Country]],Table23[61kg Classification],"&gt;0")</f>
        <v>0</v>
      </c>
      <c r="LL63" s="6">
        <f>COUNTIFS(Table23[Country],Tabela1[[#This Row],[Country]],Table23[73kg Classification],"&gt;0")</f>
        <v>0</v>
      </c>
      <c r="LM63" s="6">
        <f>COUNTIFS(Table23[Country],Tabela1[[#This Row],[Country]],Table23[89kg Classification],"&gt;0")</f>
        <v>0</v>
      </c>
      <c r="LN63" s="6">
        <f>COUNTIFS(Table23[Country],Tabela1[[#This Row],[Country]],Table23[102kg Classification],"&gt;0")</f>
        <v>0</v>
      </c>
      <c r="LO63" s="6">
        <f>COUNTIFS(Table23[Country],Tabela1[[#This Row],[Country]],Table23[Plus 102kg Classification],"&gt;0")</f>
        <v>0</v>
      </c>
      <c r="LP63" s="6">
        <f>COUNTIFS(Table28[Country],Tabela1[[#This Row],[Country]],Table28[49kg Classification],"&gt;0")</f>
        <v>0</v>
      </c>
      <c r="LQ63" s="6">
        <f>COUNTIFS(Table28[Country],Tabela1[[#This Row],[Country]],Table28[59kg Classification],"&gt;0")</f>
        <v>0</v>
      </c>
      <c r="LR63" s="6">
        <f>COUNTIFS(Table28[Country],Tabela1[[#This Row],[Country]],Table28[71kg Classification],"&gt;0")</f>
        <v>0</v>
      </c>
      <c r="LS63" s="6">
        <f>COUNTIFS(Table28[Country],Tabela1[[#This Row],[Country]],Table28[81kg Classification],"&gt;0")</f>
        <v>0</v>
      </c>
      <c r="LT63" s="6">
        <f>COUNTIFS(Table28[Country],Tabela1[[#This Row],[Country]],Table28[Plus 81kg Classification],"&gt;0")</f>
        <v>0</v>
      </c>
      <c r="LU63" s="6">
        <f>COUNTIFS(Table24[Country],Tabela1[[#This Row],[Country]],Table24[Freestyle 57kg Classification],"&gt;0")</f>
        <v>0</v>
      </c>
      <c r="LV63" s="6">
        <f>COUNTIFS(Table24[Country],Tabela1[[#This Row],[Country]],Table24[Freestyle 65kg Classification],"&gt;0")</f>
        <v>0</v>
      </c>
      <c r="LW63" s="6">
        <f>COUNTIFS(Table24[Country],Tabela1[[#This Row],[Country]],Table24[Freestyle 74kg Classification],"&gt;0")</f>
        <v>0</v>
      </c>
      <c r="LX63" s="6">
        <f>COUNTIFS(Table24[Country],Tabela1[[#This Row],[Country]],Table24[Freestyle 86kg Classification],"&gt;0")</f>
        <v>0</v>
      </c>
      <c r="LY63" s="6">
        <f>COUNTIFS(Table24[Country],Tabela1[[#This Row],[Country]],Table24[Freestyle 97kg Classification],"&gt;0")</f>
        <v>0</v>
      </c>
      <c r="LZ63" s="6">
        <f>COUNTIFS(Table24[Country],Tabela1[[#This Row],[Country]],Table24[Freestyle 125kg Classification],"&gt;0")</f>
        <v>0</v>
      </c>
      <c r="MA63" s="6">
        <f>COUNTIFS(Table24[Country],Tabela1[[#This Row],[Country]],Table24[Greco-Roman 60kg Classification],"&gt;0")</f>
        <v>0</v>
      </c>
      <c r="MB63" s="6">
        <f>COUNTIFS(Table24[Country],Tabela1[[#This Row],[Country]],Table24[Greco-Roman 67kg Classification],"&gt;0")</f>
        <v>0</v>
      </c>
      <c r="MC63" s="6">
        <f>COUNTIFS(Table24[Country],Tabela1[[#This Row],[Country]],Table24[Greco-Roman 77kg Classification],"&gt;0")</f>
        <v>0</v>
      </c>
      <c r="MD63" s="6">
        <f>COUNTIFS(Table24[Country],Tabela1[[#This Row],[Country]],Table24[Greco-Roman 87kg Classification],"&gt;0")</f>
        <v>0</v>
      </c>
      <c r="ME63" s="6">
        <f>COUNTIFS(Table24[Country],Tabela1[[#This Row],[Country]],Table24[Greco-Roman 97kg Classification],"&gt;0")</f>
        <v>0</v>
      </c>
      <c r="MF63" s="6">
        <f>COUNTIFS(Table24[Country],Tabela1[[#This Row],[Country]],Table24[Greco-Roman 130kg Classification],"&gt;0")</f>
        <v>0</v>
      </c>
      <c r="MG63" s="6">
        <f>COUNTIFS(Table31[Country],Tabela1[[#This Row],[Country]],Table31[50kg Classification],"&gt;0")</f>
        <v>0</v>
      </c>
      <c r="MH63" s="6">
        <f>COUNTIFS(Table31[Country],Tabela1[[#This Row],[Country]],Table31[53kg Classification],"&gt;0")</f>
        <v>0</v>
      </c>
      <c r="MI63" s="6">
        <f>COUNTIFS(Table31[Country],Tabela1[[#This Row],[Country]],Table31[57kg Classification],"&gt;0")</f>
        <v>0</v>
      </c>
      <c r="MJ63" s="6">
        <f>COUNTIFS(Table31[Country],Tabela1[[#This Row],[Country]],Table31[62kg Classification],"&gt;0")</f>
        <v>0</v>
      </c>
      <c r="MK63" s="6">
        <f>COUNTIFS(Table31[Country],Tabela1[[#This Row],[Country]],Table31[68kg Classification],"&gt;0")</f>
        <v>0</v>
      </c>
      <c r="ML63" s="6">
        <f>COUNTIFS(Table31[Country],Tabela1[[#This Row],[Country]],Table31[76kg Classification],"&gt;0")</f>
        <v>0</v>
      </c>
      <c r="MM63" s="6">
        <f>COUNTIFS(Table102[Country],Tabela1[[#This Row],[Country]],Table102[Downhill Classification],"&gt;0")</f>
        <v>0</v>
      </c>
      <c r="MN63" s="6">
        <f>COUNTIFS(Table102105[Country],Tabela1[[#This Row],[Country]],Table102105[Downhill Classification],"&gt;0")</f>
        <v>0</v>
      </c>
      <c r="MO63" s="6">
        <f>COUNTIFS(Table102[Country],Tabela1[[#This Row],[Country]],Table102[Giant Slalom Classification],"&gt;0")</f>
        <v>0</v>
      </c>
      <c r="MP63" s="6">
        <f>COUNTIFS(Table102105[Country],Tabela1[[#This Row],[Country]],Table102105[Giant Slalom Classification],"&gt;0")</f>
        <v>0</v>
      </c>
      <c r="MQ63" s="6">
        <f>COUNTIFS(Table102[Country],Tabela1[[#This Row],[Country]],Table102[Slalom Classification],"&gt;0")</f>
        <v>0</v>
      </c>
      <c r="MR63" s="6">
        <f>COUNTIFS(Table102105[Country],Tabela1[[#This Row],[Country]],Table102105[Slalom Classification],"&gt;0")</f>
        <v>0</v>
      </c>
      <c r="MS63" s="6">
        <f>COUNTIFS(Table102[Country],Tabela1[[#This Row],[Country]],Table102[Super-G Classification],"&gt;0")</f>
        <v>0</v>
      </c>
      <c r="MT63" s="6">
        <f>COUNTIFS(Table102105[Country],Tabela1[[#This Row],[Country]],Table102105[Super-G Classification],"&gt;0")</f>
        <v>0</v>
      </c>
      <c r="MU63" s="6">
        <f>COUNTIFS(Table105[Country],Tabela1[[#This Row],[Country]],Table105[Men''s Combined Classification],"&gt;0")</f>
        <v>0</v>
      </c>
      <c r="MV63" s="6">
        <f>COUNTIFS(Table105[Country],Tabela1[[#This Row],[Country]],Table105[Women''s Combined Classification],"&gt;0")</f>
        <v>0</v>
      </c>
      <c r="MW63" s="6">
        <f>COUNTIFS(Table106[Country],Tabela1[[#This Row],[Country]],Table106[Individual Classification],"&gt;0")</f>
        <v>0</v>
      </c>
      <c r="MX63" s="6">
        <f>COUNTIFS(Table106109[Country],Tabela1[[#This Row],[Country]],Table106109[Individual Classification],"&gt;0")</f>
        <v>0</v>
      </c>
      <c r="MY63" s="6">
        <f>COUNTIFS(Table106[Country],Tabela1[[#This Row],[Country]],Table106[Mass Start Classification],"&gt;0")</f>
        <v>0</v>
      </c>
      <c r="MZ63" s="6">
        <f>COUNTIFS(Table106109[Country],Tabela1[[#This Row],[Country]],Table106109[Mass Start Classification],"&gt;0")</f>
        <v>0</v>
      </c>
      <c r="NA63" s="6">
        <f>COUNTIFS(Table106[Country],Tabela1[[#This Row],[Country]],Table106[Pursuit Classification],"&gt;0")</f>
        <v>0</v>
      </c>
      <c r="NB63" s="6">
        <f>COUNTIFS(Table106109[Country],Tabela1[[#This Row],[Country]],Table106109[Pursuit Classification],"&gt;0")</f>
        <v>0</v>
      </c>
      <c r="NC63" s="6">
        <f>COUNTIFS(Table106[Country],Tabela1[[#This Row],[Country]],Table106[Sprint Classification],"&gt;0")</f>
        <v>0</v>
      </c>
      <c r="ND63" s="6">
        <f>COUNTIFS(Table106109[Country],Tabela1[[#This Row],[Country]],Table106109[Sprint Classification],"&gt;0")</f>
        <v>0</v>
      </c>
      <c r="NE63" s="6">
        <f>COUNTIFS(Table109[Country],Tabela1[[#This Row],[Country]],Table109[Men''s Relay Classification],"&gt;0")</f>
        <v>0</v>
      </c>
      <c r="NF63" s="6">
        <f>COUNTIFS(Table109[Country],Tabela1[[#This Row],[Country]],Table109[Women''s Relay Classification],"&gt;0")</f>
        <v>0</v>
      </c>
      <c r="NG63" s="6">
        <f>COUNTIFS(Table109[Country],Tabela1[[#This Row],[Country]],Table109[Mixed Relay Classification],"&gt;0")</f>
        <v>0</v>
      </c>
      <c r="NH63" s="6">
        <f>COUNTIFS(Table110[Country],Tabela1[[#This Row],[Country]],Table110[Monobob Classification],"&gt;0")</f>
        <v>0</v>
      </c>
      <c r="NI63" s="6">
        <f>COUNTIFS(Table111[Country],Tabela1[[#This Row],[Country]],Table111[Men''s Classification],"&gt;0")</f>
        <v>0</v>
      </c>
      <c r="NJ63" s="6">
        <f>COUNTIFS(Table111[Country],Tabela1[[#This Row],[Country]],Table111[Women''s Classification],"&gt;0")</f>
        <v>0</v>
      </c>
      <c r="NK63" s="6">
        <f>COUNTIFS(Table112[Country],Tabela1[[#This Row],[Country]],Table112[Men''s Four Classification],"&gt;0")</f>
        <v>0</v>
      </c>
      <c r="NL63" s="6">
        <f>COUNTIFS(Table113[Country],Tabela1[[#This Row],[Country]],Table113[Classical Classification],"&gt;0")</f>
        <v>1</v>
      </c>
      <c r="NM63" s="6">
        <f>COUNTIFS(Table113116[Country],Tabela1[[#This Row],[Country]],Table113116[Classical Classification],"&gt;0")</f>
        <v>0</v>
      </c>
      <c r="NN63" s="6">
        <f>COUNTIFS(Table113[Country],Tabela1[[#This Row],[Country]],Table113[Freestyle Classification],"&gt;0")</f>
        <v>1</v>
      </c>
      <c r="NO63" s="6">
        <f>COUNTIFS(Table113116[Country],Tabela1[[#This Row],[Country]],Table113116[Freestyle Classification],"&gt;0")</f>
        <v>1</v>
      </c>
      <c r="NP63" s="6">
        <f>COUNTIFS(Table117[Country],Tabela1[[#This Row],[Country]],Table117[Men''s Relay Classification],"&gt;0")</f>
        <v>0</v>
      </c>
      <c r="NQ63" s="6">
        <f>COUNTIFS(Table117[Country],Tabela1[[#This Row],[Country]],Table117[Women''s Relay Classification],"&gt;0")</f>
        <v>0</v>
      </c>
      <c r="NR63" s="6">
        <f>COUNTIFS(Table113[Country],Tabela1[[#This Row],[Country]],Table113[Skiathlon Classification],"&gt;0")</f>
        <v>1</v>
      </c>
      <c r="NS63" s="6">
        <f>COUNTIFS(Table113116[Country],Tabela1[[#This Row],[Country]],Table113116[Skiathlon Classification],"&gt;0")</f>
        <v>0</v>
      </c>
      <c r="NT63" s="6">
        <f>COUNTIFS(Table113[Country],Tabela1[[#This Row],[Country]],Table113[Sprint Classification],"&gt;0")</f>
        <v>1</v>
      </c>
      <c r="NU63" s="6">
        <f>COUNTIFS(Table113116[Country],Tabela1[[#This Row],[Country]],Table113116[Sprint Classification],"&gt;0")</f>
        <v>0</v>
      </c>
      <c r="NV63" s="6">
        <f>COUNTIFS(Table116[Country],Tabela1[[#This Row],[Country]],Table116[Men''s Team Sprint Classification],"&gt;0")</f>
        <v>0</v>
      </c>
      <c r="NW63" s="6">
        <f>COUNTIFS(Table116[Country],Tabela1[[#This Row],[Country]],Table116[Women''s Team Sprint Classification],"&gt;0")</f>
        <v>0</v>
      </c>
      <c r="NX63" s="6">
        <f>COUNTIFS(Table119[Country],Tabela1[[#This Row],[Country]],Table119[Men''s Classification],"&gt;0")</f>
        <v>0</v>
      </c>
      <c r="NY63" s="6">
        <f>COUNTIFS(Table119[Country],Tabela1[[#This Row],[Country]],Table119[Women''s Classification],"&gt;0")</f>
        <v>0</v>
      </c>
      <c r="NZ63" s="6">
        <f>COUNTIFS(Table118[Country],Tabela1[[#This Row],[Country]],Table118[Mixed Classification],"&gt;0")</f>
        <v>0</v>
      </c>
      <c r="OA63" s="6">
        <f>COUNTIFS(Table120[Country],Tabela1[[#This Row],[Country]],Table120[Classification],"&gt;0")</f>
        <v>0</v>
      </c>
      <c r="OB63" s="6">
        <f>COUNTIFS(Table120123[Country],Tabela1[[#This Row],[Country]],Table120123[Classification],"&gt;0")</f>
        <v>0</v>
      </c>
      <c r="OC63" s="6">
        <f>COUNTIFS(Table123[Country],Tabela1[[#This Row],[Country]],Table123[Ice Dance Classification],"&gt;0")</f>
        <v>0</v>
      </c>
      <c r="OD63" s="6">
        <f>COUNTIFS(Table123[Country],Tabela1[[#This Row],[Country]],Table123[Pair Skating Classification],"&gt;0")</f>
        <v>0</v>
      </c>
      <c r="OE63" s="6">
        <f>COUNTIFS(Table124[Country],Tabela1[[#This Row],[Country]],Table124[Mixed Classification],"&gt;0")</f>
        <v>0</v>
      </c>
      <c r="OF63" s="6">
        <f>COUNTIFS(Table125[Country],Tabela1[[#This Row],[Country]],Table125[Aerials Classification],"&gt;0")</f>
        <v>0</v>
      </c>
      <c r="OG63" s="6">
        <f>COUNTIFS(Table125128[Country],Tabela1[[#This Row],[Country]],Table125128[Aerials Classification],"&gt;0")</f>
        <v>0</v>
      </c>
      <c r="OH63" s="6">
        <f>COUNTIFS(Table128[Country],Tabela1[[#This Row],[Country]],Table128[Mixed Aerials Classification],"&gt;0")</f>
        <v>0</v>
      </c>
      <c r="OI63" s="6">
        <f>COUNTIFS(Table125[Country],Tabela1[[#This Row],[Country]],Table125[Big Air Classification],"&gt;0")</f>
        <v>0</v>
      </c>
      <c r="OJ63" s="6">
        <f>COUNTIFS(Table125128[Country],Tabela1[[#This Row],[Country]],Table125128[Big Air Classification],"&gt;0")</f>
        <v>0</v>
      </c>
      <c r="OK63" s="6">
        <f>COUNTIFS(Table125[Country],Tabela1[[#This Row],[Country]],Table125[Dual Moguls Classification],"&gt;0")</f>
        <v>0</v>
      </c>
      <c r="OL63" s="6">
        <f>COUNTIFS(Table125128[Country],Tabela1[[#This Row],[Country]],Table125128[Dual Moguls Classification],"&gt;0")</f>
        <v>0</v>
      </c>
      <c r="OM63" s="6">
        <f>COUNTIFS(Table125[Country],Tabela1[[#This Row],[Country]],Table125[Halfpipe Classification],"&gt;0")</f>
        <v>0</v>
      </c>
      <c r="ON63" s="6">
        <f>COUNTIFS(Table125128[Country],Tabela1[[#This Row],[Country]],Table125128[Halfpipe Classification],"&gt;0")</f>
        <v>0</v>
      </c>
      <c r="OO63" s="6">
        <f>COUNTIFS(Table125[Country],Tabela1[[#This Row],[Country]],Table125[Moguls Classification],"&gt;0")</f>
        <v>0</v>
      </c>
      <c r="OP63" s="6">
        <f>COUNTIFS(Table125128[Country],Tabela1[[#This Row],[Country]],Table125128[Moguls Classification],"&gt;0")</f>
        <v>0</v>
      </c>
      <c r="OQ63" s="6">
        <f>COUNTIFS(Table125[Country],Tabela1[[#This Row],[Country]],Table125[Ski Cross Classification],"&gt;0")</f>
        <v>0</v>
      </c>
      <c r="OR63" s="6">
        <f>COUNTIFS(Table125128[Country],Tabela1[[#This Row],[Country]],Table125128[Ski Cross Classification],"&gt;0")</f>
        <v>0</v>
      </c>
      <c r="OS63" s="6">
        <f>COUNTIFS(Table125[Country],Tabela1[[#This Row],[Country]],Table125[Slopestyle Classification],"&gt;0")</f>
        <v>0</v>
      </c>
      <c r="OT63" s="6">
        <f>COUNTIFS(Table125128[Country],Tabela1[[#This Row],[Country]],Table125128[Slopestyle Classification],"&gt;0")</f>
        <v>0</v>
      </c>
      <c r="OU63" s="6">
        <f>COUNTIFS(Table119131[Country],Tabela1[[#This Row],[Country]],Table119131[Men''s Classification],"&gt;0")</f>
        <v>0</v>
      </c>
      <c r="OV63" s="6">
        <f>COUNTIFS(Table119131[Country],Tabela1[[#This Row],[Country]],Table119131[Women''s Classification],"&gt;0")</f>
        <v>0</v>
      </c>
      <c r="OW63" s="6">
        <f>COUNTIFS(Table131[Country],Tabela1[[#This Row],[Country]],Table131[Classification],"&gt;0")</f>
        <v>0</v>
      </c>
      <c r="OX63" s="6">
        <f>COUNTIFS(Table131134[Country],Tabela1[[#This Row],[Country]],Table131134[Classification],"&gt;0")</f>
        <v>0</v>
      </c>
      <c r="OY63" s="6">
        <f>COUNTIFS(Table134[Country],Tabela1[[#This Row],[Country]],Table134[Men''s Classification],"&gt;0")</f>
        <v>0</v>
      </c>
      <c r="OZ63" s="6">
        <f>COUNTIFS(Table134[Country],Tabela1[[#This Row],[Country]],Table134[Women''s Classification],"&gt;0")</f>
        <v>0</v>
      </c>
      <c r="PA63" s="6">
        <f>COUNTIFS(Table135[Country],Tabela1[[#This Row],[Country]],Table135[Mixed Relay Classification],"&gt;0")</f>
        <v>0</v>
      </c>
      <c r="PB63" s="6">
        <f>COUNTIFS(Table136[Country],Tabela1[[#This Row],[Country]],Table136[Individual Classification],"&gt;0")</f>
        <v>0</v>
      </c>
      <c r="PC63" s="6">
        <f>COUNTIFS(Table136[Country],Tabela1[[#This Row],[Country]],Table136[Sprint Classification],"&gt;0")</f>
        <v>0</v>
      </c>
      <c r="PD63" s="6">
        <f>COUNTIFS(Table137[Country],Tabela1[[#This Row],[Country]],Table137[Men''s Team Sprint Large Hill Classification],"&gt;0")</f>
        <v>0</v>
      </c>
      <c r="PE63" s="6">
        <f>COUNTIFS(Table138[Country],Tabela1[[#This Row],[Country]],Table138[500m Classification],"&gt;0")</f>
        <v>0</v>
      </c>
      <c r="PF63" s="6">
        <f>COUNTIFS(Table138141[Country],Tabela1[[#This Row],[Country]],Table138141[500m Classification],"&gt;0")</f>
        <v>0</v>
      </c>
      <c r="PG63" s="6">
        <f>COUNTIFS(Table138[Country],Tabela1[[#This Row],[Country]],Table138[1000m Classification],"&gt;0")</f>
        <v>0</v>
      </c>
      <c r="PH63" s="6">
        <f>COUNTIFS(Table138141[Country],Tabela1[[#This Row],[Country]],Table138141[1000m Classification],"&gt;0")</f>
        <v>0</v>
      </c>
      <c r="PI63" s="6">
        <f>COUNTIFS(Table138[Country],Tabela1[[#This Row],[Country]],Table138[1500m Classification],"&gt;0")</f>
        <v>0</v>
      </c>
      <c r="PJ63" s="6">
        <f>COUNTIFS(Table138141[Country],Tabela1[[#This Row],[Country]],Table138141[1500m Classification],"&gt;0")</f>
        <v>0</v>
      </c>
      <c r="PK63" s="6">
        <f>COUNTIFS(Table141[Country],Tabela1[[#This Row],[Country]],Table141[Men''s 5000m Relay Classification],"&gt;0")</f>
        <v>0</v>
      </c>
      <c r="PL63" s="6">
        <f>COUNTIFS(Table141[Country],Tabela1[[#This Row],[Country]],Table141[Women''s 3000m Relay Classification],"&gt;0")</f>
        <v>0</v>
      </c>
      <c r="PM63" s="6">
        <f>COUNTIFS(Table141[Country],Tabela1[[#This Row],[Country]],Table141[Mixed 2000m Relay Classification],"&gt;0")</f>
        <v>0</v>
      </c>
      <c r="PN63" s="6">
        <f>COUNTIFS(Table142[Country],Tabela1[[#This Row],[Country]],Table142[Classification],"&gt;0")</f>
        <v>0</v>
      </c>
      <c r="PO63" s="6">
        <f>COUNTIFS(Table142145[Country],Tabela1[[#This Row],[Country]],Table142145[Classification],"&gt;0")</f>
        <v>0</v>
      </c>
      <c r="PP63" s="6">
        <f>COUNTIFS(Tabela15[Country],Tabela1[[#This Row],[Country]],Tabela15[Mixed Team Classification],"&gt;0")</f>
        <v>0</v>
      </c>
      <c r="PQ63" s="6">
        <f>COUNTIFS(Table145[Country],Tabela1[[#This Row],[Country]],Table145[Large Hill Classification],"&gt;0")</f>
        <v>0</v>
      </c>
      <c r="PR63" s="6">
        <f>COUNTIFS(Table145[Country],Tabela1[[#This Row],[Country]],Table145[Normal Hill Classification],"&gt;0")</f>
        <v>0</v>
      </c>
      <c r="PS63" s="6">
        <f>COUNTIFS(Table145148[Country],Tabela1[[#This Row],[Country]],Table145148[Large Hill Classification],"&gt;0")</f>
        <v>0</v>
      </c>
      <c r="PT63" s="6">
        <f>COUNTIFS(Table145148[Country],Tabela1[[#This Row],[Country]],Table145148[Normal Hill Classification],"&gt;0")</f>
        <v>0</v>
      </c>
      <c r="PU63" s="6">
        <f>COUNTIFS(Table148[Country],Tabela1[[#This Row],[Country]],Table148[Men''s Super Team Classification],"&gt;0")</f>
        <v>0</v>
      </c>
      <c r="PV63" s="6">
        <f>COUNTIFS(Tabela114[Country],Tabela1[[#This Row],[Country]],Tabela114[Mixed Normal Hill Classification],"&gt;0")</f>
        <v>0</v>
      </c>
      <c r="PW63" s="6">
        <f>COUNTIFS(Tabela50[Country],Tabela1[[#This Row],[Country]],Tabela50[Sprint Classification],"&gt;0")</f>
        <v>0</v>
      </c>
      <c r="PX63" s="6">
        <f>COUNTIFS(Tabela50101[Country],Tabela1[[#This Row],[Country]],Tabela50101[Sprint Classification],"&gt;0")</f>
        <v>0</v>
      </c>
      <c r="PY63" s="6">
        <f>COUNTIFS(Tabela103[Country],Tabela1[[#This Row],[Country]],Tabela103[Mixed Relay Classification],"&gt;0")</f>
        <v>0</v>
      </c>
      <c r="PZ63" s="6">
        <f>COUNTIFS(Table149[Country],Tabela1[[#This Row],[Country]],Table149[Big Air Classification],"&gt;0")</f>
        <v>0</v>
      </c>
      <c r="QA63" s="6">
        <f>COUNTIFS(Table149152[Country],Tabela1[[#This Row],[Country]],Table149152[Big Air Classification],"&gt;0")</f>
        <v>0</v>
      </c>
      <c r="QB63" s="6">
        <f>COUNTIFS(Table149[Country],Tabela1[[#This Row],[Country]],Table149[Halfpipe Classification],"&gt;0")</f>
        <v>0</v>
      </c>
      <c r="QC63" s="6">
        <f>COUNTIFS(Table149152[Country],Tabela1[[#This Row],[Country]],Table149152[Halfpipe Classification],"&gt;0")</f>
        <v>0</v>
      </c>
      <c r="QD63" s="6">
        <f>COUNTIFS(Table149[Country],Tabela1[[#This Row],[Country]],Table149[Parallel Giant Slalom Classification],"&gt;0")</f>
        <v>0</v>
      </c>
      <c r="QE63" s="6">
        <f>COUNTIFS(Table149152[Country],Tabela1[[#This Row],[Country]],Table149152[Parallel Giant Slalom Classification],"&gt;0")</f>
        <v>0</v>
      </c>
      <c r="QF63" s="6">
        <f>COUNTIFS(Table149[Country],Tabela1[[#This Row],[Country]],Table149[Slopestyle Classification],"&gt;0")</f>
        <v>0</v>
      </c>
      <c r="QG63" s="6">
        <f>COUNTIFS(Table149152[Country],Tabela1[[#This Row],[Country]],Table149152[Slopestyle Classification],"&gt;0")</f>
        <v>0</v>
      </c>
      <c r="QH63" s="6">
        <f>COUNTIFS(Table149[Country],Tabela1[[#This Row],[Country]],Table149[Snowboard Cross Classification],"&gt;0")</f>
        <v>0</v>
      </c>
      <c r="QI63" s="6">
        <f>COUNTIFS(Table149152[Country],Tabela1[[#This Row],[Country]],Table149152[Snowboard Cross Classification],"&gt;0")</f>
        <v>0</v>
      </c>
      <c r="QJ63" s="6">
        <f>COUNTIFS(Table153[Country],Tabela1[[#This Row],[Country]],Table153[Mixed Team Snowboard Cross Classification],"&gt;0")</f>
        <v>0</v>
      </c>
      <c r="QK63" s="6">
        <f>COUNTIFS(Table154[Country],Tabela1[[#This Row],[Country]],Table154[500m Classification],"&gt;0")</f>
        <v>0</v>
      </c>
      <c r="QL63" s="6">
        <f>COUNTIFS(Table154157[Country],Tabela1[[#This Row],[Country]],Table154157[500m Classification],"&gt;0")</f>
        <v>0</v>
      </c>
      <c r="QM63" s="6">
        <f>COUNTIFS(Table154[Country],Tabela1[[#This Row],[Country]],Table154[1000m Classification],"&gt;0")</f>
        <v>0</v>
      </c>
      <c r="QN63" s="6">
        <f>COUNTIFS(Table154157[Country],Tabela1[[#This Row],[Country]],Table154157[1000m Classification],"&gt;0")</f>
        <v>0</v>
      </c>
      <c r="QO63" s="6">
        <f>COUNTIFS(Table154[Country],Tabela1[[#This Row],[Country]],Table154[1500m Classification],"&gt;0")</f>
        <v>0</v>
      </c>
      <c r="QP63" s="6">
        <f>COUNTIFS(Table154157[Country],Tabela1[[#This Row],[Country]],Table154157[1500m Classification],"&gt;0")</f>
        <v>0</v>
      </c>
      <c r="QQ63" s="6">
        <f>COUNTIFS(Table154157[Country],Tabela1[[#This Row],[Country]],Table154157[3000m Classification],"&gt;0")</f>
        <v>0</v>
      </c>
      <c r="QR63" s="6">
        <f>COUNTIFS(Table154[Country],Tabela1[[#This Row],[Country]],Table154[5000m Classification],"&gt;0")</f>
        <v>0</v>
      </c>
      <c r="QS63" s="6">
        <f>COUNTIFS(Table154157[Country],Tabela1[[#This Row],[Country]],Table154157[5000m Classification],"&gt;0")</f>
        <v>0</v>
      </c>
      <c r="QT63" s="6">
        <f>COUNTIFS(Table154[Country],Tabela1[[#This Row],[Country]],Table154[10000m Classification],"&gt;0")</f>
        <v>0</v>
      </c>
      <c r="QU63" s="6">
        <f>COUNTIFS(Table154[Country],Tabela1[[#This Row],[Country]],Table154[Mass Start Classification],"&gt;0")</f>
        <v>0</v>
      </c>
      <c r="QV63" s="6">
        <f>COUNTIFS(Table154157[Country],Tabela1[[#This Row],[Country]],Table154157[Mass Start Classification],"&gt;0")</f>
        <v>0</v>
      </c>
      <c r="QW63" s="6">
        <f>COUNTIFS(Table157[Country],Tabela1[[#This Row],[Country]],Table157[Men''s Pursuit Classification],"&gt;0")</f>
        <v>0</v>
      </c>
      <c r="QX63" s="6">
        <f>COUNTIFS(Table157[Country],Tabela1[[#This Row],[Country]],Table157[Women''s Pursuit Classification],"&gt;0")</f>
        <v>0</v>
      </c>
      <c r="QY63" s="3" t="s">
        <v>479</v>
      </c>
    </row>
    <row r="64" spans="1:467" x14ac:dyDescent="0.3">
      <c r="A64" s="6">
        <v>63</v>
      </c>
      <c r="B64" s="6" t="s">
        <v>500</v>
      </c>
      <c r="C64" t="e" vm="63">
        <f>IF(ISBLANK(Tabela1[[#This Row],[Image Link]]), "", _xlfn.IMAGE(Tabela1[[#This Row],[Image Link]],1,1))</f>
        <v>#VALUE!</v>
      </c>
      <c r="D64" s="6">
        <f>SUM(Tabela1[[#This Row],[Archery - Men''s Individual Recurve]:[Speed Skating - Women''s Team Pursuit]])</f>
        <v>10</v>
      </c>
      <c r="E64" s="6">
        <f>COUNTIF(Tabela1[[#This Row],[Archery - Men''s Individual Recurve]:[Speed Skating - Women''s Team Pursuit]],"&gt;0")</f>
        <v>10</v>
      </c>
      <c r="F64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Winter Olympics</v>
      </c>
      <c r="G64" s="6">
        <f>SUM(Tabela1[[#This Row],[Archery - Men''s Individual Recurve]:[Wrestling - Women''s Freestyle 76kg]])</f>
        <v>4</v>
      </c>
      <c r="H64" s="6">
        <f>SUM(Tabela1[[#This Row],[Alpine Skiing - Men''s Downhill]:[Speed Skating - Women''s Team Pursuit]])</f>
        <v>6</v>
      </c>
      <c r="I64" s="6">
        <f>Tabela1[[#This Row],[Summer Gold Medals]]+Tabela1[[#This Row],[Winter Gold Medals]]</f>
        <v>0</v>
      </c>
      <c r="J64" s="6">
        <f>Tabela1[[#This Row],[Summer Silver Medals]]+Tabela1[[#This Row],[Winter Silver Medals]]</f>
        <v>0</v>
      </c>
      <c r="K64" s="6">
        <f>Tabela1[[#This Row],[Summer Bronze Medals]]+Tabela1[[#This Row],[Winter Bronze Medals]]</f>
        <v>0</v>
      </c>
      <c r="L64" s="6">
        <f>SUM(Tabela1[[#This Row],[Total Gold Medals]:[Total Bronze Medals]])</f>
        <v>0</v>
      </c>
      <c r="M64" s="6"/>
      <c r="N64" s="6"/>
      <c r="O64" s="6"/>
      <c r="P64" s="6">
        <f>SUM(Tabela1[[#This Row],[Summer Gold Medals]:[Summer Bronze Medals]])</f>
        <v>0</v>
      </c>
      <c r="Q64" s="6"/>
      <c r="R64" s="6"/>
      <c r="S64" s="6"/>
      <c r="T64" s="6">
        <f>Tabela1[[#This Row],[Winter Gold Medals]]+Tabela1[[#This Row],[Winter Silver Medals]]+Tabela1[[#This Row],[Winter Bronze Medals]]</f>
        <v>0</v>
      </c>
      <c r="U64" s="7">
        <f>Tabela1[[#This Row],[Total Medals]]/Tabela1[[#This Row],[Total Quotas]]</f>
        <v>0</v>
      </c>
      <c r="V64" s="6">
        <f>COUNTIFS(Table3[Country],Tabela1[[#This Row],[Country]],Table3[Recurve Classification],"&gt;0")</f>
        <v>0</v>
      </c>
      <c r="W64" s="6">
        <f>COUNTIFS(Table33[Country],Tabela1[[#This Row],[Country]],Table33[Recurve Classification],"&gt;0")</f>
        <v>0</v>
      </c>
      <c r="X64" s="6">
        <f>COUNTIFS(Table35[Country],Tabela1[[#This Row],[Country]],Table35[Men''s Team Recurve Classification],"&gt;0")</f>
        <v>0</v>
      </c>
      <c r="Y64" s="6">
        <f>COUNTIFS(Table35[Country],Tabela1[[#This Row],[Country]],Table35[Women''s Team Recurve Classification],"&gt;0")</f>
        <v>0</v>
      </c>
      <c r="Z64" s="6">
        <f>COUNTIFS(Tabela88[Country],Tabela1[[#This Row],[Country]],Tabela88[Mixed Team Recurve Classification],"&gt;0")</f>
        <v>0</v>
      </c>
      <c r="AA64" s="6">
        <f>COUNTIFS(Table36[Country],Tabela1[[#This Row],[Country]],Table36[Classification],"&gt;0")</f>
        <v>0</v>
      </c>
      <c r="AB64" s="6">
        <f>COUNTIFS(Table37[Country],Tabela1[[#This Row],[Country]],Table37[Classification],"&gt;0")</f>
        <v>0</v>
      </c>
      <c r="AC64" s="6">
        <f>COUNTIFS(Table4[Country],Tabela1[[#This Row],[Country]],Table4[100m Classification],"&gt;0")</f>
        <v>0</v>
      </c>
      <c r="AD64" s="6">
        <f>COUNTIFS(Table5[Country],Tabela1[[#This Row],[Country]],Table5[100m Classification],"&gt;0")</f>
        <v>0</v>
      </c>
      <c r="AE64" s="6">
        <f>COUNTIFS(Table4[Country],Tabela1[[#This Row],[Country]],Table4[200m Classification],"&gt;0")</f>
        <v>0</v>
      </c>
      <c r="AF64" s="6">
        <f>COUNTIFS(Table5[Country],Tabela1[[#This Row],[Country]],Table5[200m Classification],"&gt;0")</f>
        <v>0</v>
      </c>
      <c r="AG64" s="6">
        <f>COUNTIFS(Table4[Country],Tabela1[[#This Row],[Country]],Table4[400m Classification],"&gt;0")</f>
        <v>0</v>
      </c>
      <c r="AH64" s="6">
        <f>COUNTIFS(Table5[Country],Tabela1[[#This Row],[Country]],Table5[400m Classification],"&gt;0")</f>
        <v>0</v>
      </c>
      <c r="AI64" s="6">
        <f>COUNTIFS(Table4[Country],Tabela1[[#This Row],[Country]],Table4[800m Classification],"&gt;0")</f>
        <v>0</v>
      </c>
      <c r="AJ64" s="6">
        <f>COUNTIFS(Table5[Country],Tabela1[[#This Row],[Country]],Table5[800m Classification],"&gt;0")</f>
        <v>0</v>
      </c>
      <c r="AK64" s="6">
        <f>COUNTIFS(Table4[Country],Tabela1[[#This Row],[Country]],Table4[1500m Classification],"&gt;0")</f>
        <v>0</v>
      </c>
      <c r="AL64" s="6">
        <f>COUNTIFS(Table5[Country],Tabela1[[#This Row],[Country]],Table5[1500m Classification],"&gt;0")</f>
        <v>0</v>
      </c>
      <c r="AM64" s="6">
        <f>COUNTIFS(Table4[Country],Tabela1[[#This Row],[Country]],Table4[5000m Classification],"&gt;0")</f>
        <v>0</v>
      </c>
      <c r="AN64" s="6">
        <f>COUNTIFS(Table5[Country],Tabela1[[#This Row],[Country]],Table5[5000m Classification],"&gt;0")</f>
        <v>0</v>
      </c>
      <c r="AO64" s="6">
        <f>COUNTIFS(Table4[Country],Tabela1[[#This Row],[Country]],Table4[10000m Classification],"&gt;0")</f>
        <v>0</v>
      </c>
      <c r="AP64" s="6">
        <f>COUNTIFS(Table5[Country],Tabela1[[#This Row],[Country]],Table5[10000m Classification],"&gt;0")</f>
        <v>0</v>
      </c>
      <c r="AQ64" s="6">
        <f>COUNTIFS(Table4[Country],Tabela1[[#This Row],[Country]],Table4[110m Hurdles Classification],"&gt;0")</f>
        <v>0</v>
      </c>
      <c r="AR64" s="6">
        <f>COUNTIFS(Table5[Country],Tabela1[[#This Row],[Country]],Table5[100m Hurdles Classification],"&gt;0")</f>
        <v>0</v>
      </c>
      <c r="AS64" s="6">
        <f>COUNTIFS(Table4[Country],Tabela1[[#This Row],[Country]],Table4[400m Hurdles Classification],"&gt;0")</f>
        <v>0</v>
      </c>
      <c r="AT64" s="6">
        <f>COUNTIFS(Table5[Country],Tabela1[[#This Row],[Country]],Table5[400m Hurdles Classification],"&gt;0")</f>
        <v>0</v>
      </c>
      <c r="AU64" s="6">
        <f>COUNTIFS(Table4[Country],Tabela1[[#This Row],[Country]],Table4[3000m Steeplechase Classification],"&gt;0")</f>
        <v>1</v>
      </c>
      <c r="AV64" s="6">
        <f>COUNTIFS(Table5[Country],Tabela1[[#This Row],[Country]],Table5[3000m Steeplechase Classification],"&gt;0")</f>
        <v>0</v>
      </c>
      <c r="AW64" s="6">
        <f>COUNTIFS(Table27[Country],Tabela1[[#This Row],[Country]],Table27[Men''s 4x100m Relay Classification],"&gt;0")</f>
        <v>0</v>
      </c>
      <c r="AX64" s="6">
        <f>COUNTIFS(Table27[Country],Tabela1[[#This Row],[Country]],Table27[Women''s 4x100m Relay Classification],"&gt;0")</f>
        <v>0</v>
      </c>
      <c r="AY64" s="6">
        <f>COUNTIFS(Table27[Country],Tabela1[[#This Row],[Country]],Table27[Men''s 4x400m Relay Classification],"&gt;0")</f>
        <v>0</v>
      </c>
      <c r="AZ64" s="6">
        <f>COUNTIFS(Table27[Country],Tabela1[[#This Row],[Country]],Table27[Women''s 4x400m Relay Classification],"&gt;0")</f>
        <v>0</v>
      </c>
      <c r="BA64" s="6">
        <f>COUNTIFS(Table27[Country],Tabela1[[#This Row],[Country]],Table27[Mixed 4x400m Relay Classification],"&gt;0")</f>
        <v>0</v>
      </c>
      <c r="BB64" s="6">
        <f>COUNTIFS(Table4[Country],Tabela1[[#This Row],[Country]],Table4[Marathon Classification],"&gt;0")</f>
        <v>0</v>
      </c>
      <c r="BC64" s="6">
        <f>COUNTIFS(Table5[Country],Tabela1[[#This Row],[Country]],Table5[Marathon Classification],"&gt;0")</f>
        <v>0</v>
      </c>
      <c r="BD64" s="6">
        <f>COUNTIFS(Table4[Country],Tabela1[[#This Row],[Country]],Table4[20km Race Walk Classification],"&gt;0")</f>
        <v>0</v>
      </c>
      <c r="BE64" s="6">
        <f>COUNTIFS(Table5[Country],Tabela1[[#This Row],[Country]],Table5[20km Race Walk Classification],"&gt;0")</f>
        <v>0</v>
      </c>
      <c r="BF64" s="6">
        <f>COUNTIFS(Tabela96[Country],Tabela1[[#This Row],[Country]],Tabela96[Mixed Marathon Race Walk Relay Classification],"&gt;0")</f>
        <v>0</v>
      </c>
      <c r="BG64" s="6">
        <f>COUNTIFS(Table4[Country],Tabela1[[#This Row],[Country]],Table4[Discus Throw Classification],"&gt;0")</f>
        <v>0</v>
      </c>
      <c r="BH64" s="6">
        <f>COUNTIFS(Table5[Country],Tabela1[[#This Row],[Country]],Table5[Discus Throw Classification],"&gt;0")</f>
        <v>0</v>
      </c>
      <c r="BI64" s="6">
        <f>COUNTIFS(Table4[Country],Tabela1[[#This Row],[Country]],Table4[Hammer Throw Classification],"&gt;0")</f>
        <v>0</v>
      </c>
      <c r="BJ64" s="6">
        <f>COUNTIFS(Table5[Country],Tabela1[[#This Row],[Country]],Table5[Hammer Throw Classification],"&gt;0")</f>
        <v>0</v>
      </c>
      <c r="BK64" s="6">
        <f>COUNTIFS(Table4[Country],Tabela1[[#This Row],[Country]],Table4[High Jump Classification],"&gt;0")</f>
        <v>0</v>
      </c>
      <c r="BL64" s="6">
        <f>COUNTIFS(Table5[Country],Tabela1[[#This Row],[Country]],Table5[High Jump Classification],"&gt;0")</f>
        <v>0</v>
      </c>
      <c r="BM64" s="6">
        <f>COUNTIFS(Table4[Country],Tabela1[[#This Row],[Country]],Table4[Javelin Throw Classification],"&gt;0")</f>
        <v>0</v>
      </c>
      <c r="BN64" s="6">
        <f>COUNTIFS(Table5[Country],Tabela1[[#This Row],[Country]],Table5[Javelin Throw Classification],"&gt;0")</f>
        <v>0</v>
      </c>
      <c r="BO64" s="6">
        <f>COUNTIFS(Table4[Country],Tabela1[[#This Row],[Country]],Table4[Long Jump Classification],"&gt;0")</f>
        <v>0</v>
      </c>
      <c r="BP64" s="6">
        <f>COUNTIFS(Table5[Country],Tabela1[[#This Row],[Country]],Table5[Long Jump Classification],"&gt;0")</f>
        <v>0</v>
      </c>
      <c r="BQ64" s="6">
        <f>COUNTIFS(Table4[Country],Tabela1[[#This Row],[Country]],Table4[Pole Vault Classification],"&gt;0")</f>
        <v>0</v>
      </c>
      <c r="BR64" s="6">
        <f>COUNTIFS(Table5[Country],Tabela1[[#This Row],[Country]],Table5[Pole Vault Classification],"&gt;0")</f>
        <v>0</v>
      </c>
      <c r="BS64" s="6">
        <f>COUNTIFS(Table4[Country],Tabela1[[#This Row],[Country]],Table4[Shot Put Classification],"&gt;0")</f>
        <v>0</v>
      </c>
      <c r="BT64" s="6">
        <f>COUNTIFS(Table5[Country],Tabela1[[#This Row],[Country]],Table5[Shot Put Classification],"&gt;0")</f>
        <v>0</v>
      </c>
      <c r="BU64" s="6">
        <f>COUNTIFS(Table4[Country],Tabela1[[#This Row],[Country]],Table4[Triple Jump Classification],"&gt;0")</f>
        <v>0</v>
      </c>
      <c r="BV64" s="6">
        <f>COUNTIFS(Table5[Country],Tabela1[[#This Row],[Country]],Table5[Triple Jump Classification],"&gt;0")</f>
        <v>0</v>
      </c>
      <c r="BW64" s="6">
        <f>COUNTIFS(Table4[Country],Tabela1[[#This Row],[Country]],Table4[Decathlon Classification],"&gt;0")</f>
        <v>0</v>
      </c>
      <c r="BX64" s="6">
        <f>COUNTIFS(Table5[Country],Tabela1[[#This Row],[Country]],Table5[Heptathlon Classification],"&gt;0")</f>
        <v>0</v>
      </c>
      <c r="BY64" s="6">
        <f>COUNTIFS(Table61[Country],Tabela1[[#This Row],[Country]],Table61[Classification],"&gt;0")</f>
        <v>0</v>
      </c>
      <c r="BZ64" s="6">
        <f>COUNTIFS(Table38[Country],Tabela1[[#This Row],[Country]],Table38[Classification],"&gt;0")</f>
        <v>0</v>
      </c>
      <c r="CA64" s="6">
        <f>COUNTIFS(Table39[Country],Tabela1[[#This Row],[Country]],Table39[Men''s Classification],"&gt;0")</f>
        <v>0</v>
      </c>
      <c r="CB64" s="6">
        <f>COUNTIFS(Table39[Country],Tabela1[[#This Row],[Country]],Table39[Women''s Classification],"&gt;0")</f>
        <v>0</v>
      </c>
      <c r="CC64" s="6">
        <f>COUNTIFS(Table39[Country],Tabela1[[#This Row],[Country]],Table39[Mixed Classification],"&gt;0")</f>
        <v>0</v>
      </c>
      <c r="CD64" s="6">
        <f>COUNTIFS(Table89[Country],Tabela1[[#This Row],[Country]],Table89[Men''s Classification],"&gt;0")</f>
        <v>0</v>
      </c>
      <c r="CE64" s="6">
        <f>COUNTIFS(Table89[Country],Tabela1[[#This Row],[Country]],Table89[Women''s Classification],"&gt;0")</f>
        <v>0</v>
      </c>
      <c r="CF64" s="6">
        <f>COUNTIFS(Table90[Country],Tabela1[[#This Row],[Country]],Table90[Men''s Classification],"&gt;0")</f>
        <v>0</v>
      </c>
      <c r="CG64" s="6">
        <f>COUNTIFS(Table90[Country],Tabela1[[#This Row],[Country]],Table90[Women''s Classification],"&gt;0")</f>
        <v>0</v>
      </c>
      <c r="CH64" s="6">
        <f>COUNTIFS(Table60[Country],Tabela1[[#This Row],[Country]],Table60[Men''s Classification],"&gt;0")</f>
        <v>0</v>
      </c>
      <c r="CI64" s="6">
        <f>COUNTIFS(Table60[Country],Tabela1[[#This Row],[Country]],Table60[Women''s Classification],"&gt;0")</f>
        <v>0</v>
      </c>
      <c r="CJ64" s="6">
        <f>COUNTIFS(Table6[Country],Tabela1[[#This Row],[Country]],Table6[51kg Classification],"&gt;0")</f>
        <v>0</v>
      </c>
      <c r="CK64" s="6">
        <f>COUNTIFS(Table6[Country],Tabela1[[#This Row],[Country]],Table6[57kg Classification],"&gt;0")</f>
        <v>0</v>
      </c>
      <c r="CL64" s="6">
        <f>COUNTIFS(Table6[Country],Tabela1[[#This Row],[Country]],Table6[63.5kg Classification],"&gt;0")</f>
        <v>0</v>
      </c>
      <c r="CM64" s="6">
        <f>COUNTIFS(Table6[Country],Tabela1[[#This Row],[Country]],Table6[71kg Classification],"&gt;0")</f>
        <v>0</v>
      </c>
      <c r="CN64" s="6">
        <f>COUNTIFS(Table6[Country],Tabela1[[#This Row],[Country]],Table6[80kg Classification],"&gt;0")</f>
        <v>0</v>
      </c>
      <c r="CO64" s="6">
        <f>COUNTIFS(Table6[Country],Tabela1[[#This Row],[Country]],Table6[92kg Classification],"&gt;0")</f>
        <v>0</v>
      </c>
      <c r="CP64" s="6">
        <f>COUNTIFS(Table6[Country],Tabela1[[#This Row],[Country]],Table6[Plus 92kg Classification],"&gt;0")</f>
        <v>0</v>
      </c>
      <c r="CQ64" s="6">
        <f>COUNTIFS(Table7[Country],Tabela1[[#This Row],[Country]],Table7[50kg Classification],"&gt;0")</f>
        <v>0</v>
      </c>
      <c r="CR64" s="6">
        <f>COUNTIFS(Table7[Country],Tabela1[[#This Row],[Country]],Table7[54kg Classification],"&gt;0")</f>
        <v>0</v>
      </c>
      <c r="CS64" s="6">
        <f>COUNTIFS(Table7[Country],Tabela1[[#This Row],[Country]],Table7[57kg Classification],"&gt;0")</f>
        <v>0</v>
      </c>
      <c r="CT64" s="6">
        <f>COUNTIFS(Table7[Country],Tabela1[[#This Row],[Country]],Table7[60kg Classification],"&gt;0")</f>
        <v>0</v>
      </c>
      <c r="CU64" s="6">
        <f>COUNTIFS(Table7[Country],Tabela1[[#This Row],[Country]],Table7[66kg Classification],"&gt;0")</f>
        <v>0</v>
      </c>
      <c r="CV64" s="6">
        <f>COUNTIFS(Table7[Country],Tabela1[[#This Row],[Country]],Table7[75kg Classification],"&gt;0")</f>
        <v>0</v>
      </c>
      <c r="CW64" s="6">
        <f>COUNTIFS(Tabela94[Country],Tabela1[[#This Row],[Country]],Tabela94[Classification],"&gt;0")</f>
        <v>0</v>
      </c>
      <c r="CX64" s="6">
        <f>COUNTIFS(Tabela9499[Country],Tabela1[[#This Row],[Country]],Tabela9499[Classification],"&gt;0")</f>
        <v>0</v>
      </c>
      <c r="CY64" s="6">
        <f>COUNTIFS(Tabela107[Country],Tabela1[[#This Row],[Country]],Tabela107[C1 Slalom Classification],"&gt;0")</f>
        <v>0</v>
      </c>
      <c r="CZ64" s="6">
        <f>COUNTIFS(Tabela107122[Country],Tabela1[[#This Row],[Country]],Tabela107122[C1 Slalom Classification],"&gt;0")</f>
        <v>1</v>
      </c>
      <c r="DA64" s="6">
        <f>COUNTIFS(Tabela107[Country],Tabela1[[#This Row],[Country]],Tabela107[K1 Slalom Classification],"&gt;0")</f>
        <v>0</v>
      </c>
      <c r="DB64" s="6">
        <f>COUNTIFS(Tabela107122[Country],Tabela1[[#This Row],[Country]],Tabela107122[K1 Slalom Classification],"&gt;0")</f>
        <v>1</v>
      </c>
      <c r="DC64" s="6">
        <f>COUNTIFS(Tabela107[Country],Tabela1[[#This Row],[Country]],Tabela107[Kayak Cross Slalom Classification],"&gt;0")</f>
        <v>0</v>
      </c>
      <c r="DD64" s="6">
        <f>COUNTIFS(Tabela107122[Country],Tabela1[[#This Row],[Country]],Tabela107122[Kayak Cross Slalom Classification],"&gt;0")</f>
        <v>1</v>
      </c>
      <c r="DE64" s="6">
        <f>COUNTIFS(Table8[Country],Tabela1[[#This Row],[Country]],Table8[C1 200m Classification],"&gt;0")</f>
        <v>0</v>
      </c>
      <c r="DF64" s="6">
        <f>COUNTIFS(Table40[Country],Tabela1[[#This Row],[Country]],Table40[C1 1000m Classification],"&gt;0")</f>
        <v>0</v>
      </c>
      <c r="DG64" s="6">
        <f>COUNTIFS(Table68[Country],Tabela1[[#This Row],[Country]],Table68[Men''s C2 500m Classification],"&gt;0")</f>
        <v>0</v>
      </c>
      <c r="DH64" s="6">
        <f>COUNTIFS(Table68[Country],Tabela1[[#This Row],[Country]],Table68[Women''s C2 500m Classification],"&gt;0")</f>
        <v>0</v>
      </c>
      <c r="DI64" s="6">
        <f>COUNTIFS(Table8[Country],Tabela1[[#This Row],[Country]],Table8[K1 500m Classification],"&gt;0")</f>
        <v>0</v>
      </c>
      <c r="DJ64" s="6">
        <f>COUNTIFS(Table40[Country],Tabela1[[#This Row],[Country]],Table40[K1 1000m Classification],"&gt;0")</f>
        <v>0</v>
      </c>
      <c r="DK64" s="6">
        <f>COUNTIFS(Table68[Country],Tabela1[[#This Row],[Country]],Table68[Men''s K2 500m Classification],"&gt;0")</f>
        <v>0</v>
      </c>
      <c r="DL64" s="6">
        <f>COUNTIFS(Table68[Country],Tabela1[[#This Row],[Country]],Table68[Women''s K2 500m Classification],"&gt;0")</f>
        <v>0</v>
      </c>
      <c r="DM64" s="6">
        <f>COUNTIFS(Table83[Country],Tabela1[[#This Row],[Country]],Table83[Men''s K4 500m Classification],"&gt;0")</f>
        <v>0</v>
      </c>
      <c r="DN64" s="6">
        <f>COUNTIFS(Table83[Country],Tabela1[[#This Row],[Country]],Table83[Women''s K4 500m Classification],"&gt;0")</f>
        <v>0</v>
      </c>
      <c r="DO64" s="6">
        <f>COUNTIFS(Tabela126[Country],Tabela1[[#This Row],[Country]],Tabela126[Classification],"&gt;0")</f>
        <v>0</v>
      </c>
      <c r="DP64" s="6">
        <f>COUNTIFS(Tabela126130[Country],Tabela1[[#This Row],[Country]],Tabela126130[Classification],"&gt;0")</f>
        <v>0</v>
      </c>
      <c r="DQ64" s="6">
        <f>COUNTIFS(Table70[Country],Tabela1[[#This Row],[Country]],Table70[Classification],"&gt;0")</f>
        <v>0</v>
      </c>
      <c r="DR64" s="6">
        <f>COUNTIFS(Table80[Country],Tabela1[[#This Row],[Country]],Table80[Classification],"&gt;0")</f>
        <v>0</v>
      </c>
      <c r="DS64" s="6">
        <f>COUNTIFS(Table66[Country],Tabela1[[#This Row],[Country]],Table66[Classification],"&gt;0")</f>
        <v>0</v>
      </c>
      <c r="DT64" s="6">
        <f>COUNTIFS(Table67[Country],Tabela1[[#This Row],[Country]],Table67[Classification],"&gt;0")</f>
        <v>0</v>
      </c>
      <c r="DU64" s="6">
        <f>COUNTIFS(Table69[Country],Tabela1[[#This Row],[Country]],Table69[Keirin Classification],"&gt;0")</f>
        <v>0</v>
      </c>
      <c r="DV64" s="6">
        <f>COUNTIFS(Table41[Country],Tabela1[[#This Row],[Country]],Table41[Keirin Classification],"&gt;0")</f>
        <v>0</v>
      </c>
      <c r="DW64" s="6">
        <f>COUNTIFS(Table84[Country],Tabela1[[#This Row],[Country]],Table84[Men''s Madison Classification],"&gt;0")</f>
        <v>0</v>
      </c>
      <c r="DX64" s="6">
        <f>COUNTIFS(Table84[Country],Tabela1[[#This Row],[Country]],Table84[Women''s Madison Classification],"&gt;0")</f>
        <v>0</v>
      </c>
      <c r="DY64" s="6">
        <f>COUNTIFS(Table69[Country],Tabela1[[#This Row],[Country]],Table69[Omnium Classification],"&gt;0")</f>
        <v>0</v>
      </c>
      <c r="DZ64" s="6">
        <f>COUNTIFS(Table41[Country],Tabela1[[#This Row],[Country]],Table41[Omnium Classification],"&gt;0")</f>
        <v>0</v>
      </c>
      <c r="EA64" s="6">
        <f>COUNTIFS(Table9[Country],Tabela1[[#This Row],[Country]],Table9[Road Race Classification],"&gt;0")</f>
        <v>0</v>
      </c>
      <c r="EB64" s="6">
        <f>COUNTIFS(Table14[Country],Tabela1[[#This Row],[Country]],Table14[Road Race Classification],"&gt;0")</f>
        <v>0</v>
      </c>
      <c r="EC64" s="6">
        <f>COUNTIFS(Table69[Country],Tabela1[[#This Row],[Country]],Table69[Sprint Classification],"&gt;0")</f>
        <v>0</v>
      </c>
      <c r="ED64" s="6">
        <f>COUNTIFS(Table41[Country],Tabela1[[#This Row],[Country]],Table41[Sprint Classification],"&gt;0")</f>
        <v>0</v>
      </c>
      <c r="EE64" s="6">
        <f>COUNTIFS(Table85[Country],Tabela1[[#This Row],[Country]],Table85[Men''s Sprint Classification],"&gt;0")</f>
        <v>0</v>
      </c>
      <c r="EF64" s="6">
        <f>COUNTIFS(Table85[Country],Tabela1[[#This Row],[Country]],Table85[Women''s Sprint Classification],"&gt;0")</f>
        <v>0</v>
      </c>
      <c r="EG64" s="6">
        <f>COUNTIFS(Table85[Country],Tabela1[[#This Row],[Country]],Table85[Men''s Pursuit Classification],"&gt;0")</f>
        <v>0</v>
      </c>
      <c r="EH64" s="6">
        <f>COUNTIFS(Table85[Country],Tabela1[[#This Row],[Country]],Table85[Women''s Pursuit Classification],"&gt;0")</f>
        <v>0</v>
      </c>
      <c r="EI64" s="6">
        <f>COUNTIFS(Table9[Country],Tabela1[[#This Row],[Country]],Table9[Time-Trial Classification],"&gt;0")</f>
        <v>0</v>
      </c>
      <c r="EJ64" s="6">
        <f>COUNTIFS(Table14[Country],Tabela1[[#This Row],[Country]],Table14[Time-Trial Classification],"&gt;0")</f>
        <v>0</v>
      </c>
      <c r="EK64" s="6">
        <f>COUNTIFS(Table42[Country],Tabela1[[#This Row],[Country]],Table42[Springboard Classification],"&gt;0")</f>
        <v>0</v>
      </c>
      <c r="EL64" s="6">
        <f>COUNTIFS(Table43[Country],Tabela1[[#This Row],[Country]],Table43[Springboard Classification],"&gt;0")</f>
        <v>0</v>
      </c>
      <c r="EM64" s="6">
        <f>COUNTIFS(Table42[Country],Tabela1[[#This Row],[Country]],Table42[Platform Classification],"&gt;0")</f>
        <v>0</v>
      </c>
      <c r="EN64" s="6">
        <f>COUNTIFS(Table43[Country],Tabela1[[#This Row],[Country]],Table43[Platform Classification],"&gt;0")</f>
        <v>0</v>
      </c>
      <c r="EO64" s="6">
        <f>COUNTIFS(Table86[Country],Tabela1[[#This Row],[Country]],Table86[Men''s Synchronized Springboard Classification],"&gt;0")</f>
        <v>0</v>
      </c>
      <c r="EP64" s="6">
        <f>COUNTIFS(Table86[Country],Tabela1[[#This Row],[Country]],Table86[Women''s Synchronized Springboard Classification],"&gt;0")</f>
        <v>0</v>
      </c>
      <c r="EQ64" s="6">
        <f>COUNTIFS(Table86[Country],Tabela1[[#This Row],[Country]],Table86[Men''s Synchronized Platform Classification],"&gt;0")</f>
        <v>0</v>
      </c>
      <c r="ER64" s="6">
        <f>COUNTIFS(Table86[Country],Tabela1[[#This Row],[Country]],Table86[Women''s Synchronized Platform Classification],"&gt;0")</f>
        <v>0</v>
      </c>
      <c r="ES64" s="6">
        <f>COUNTIFS(Table44[Country],Tabela1[[#This Row],[Country]],Table44[Dressage Classification],"&gt;0")</f>
        <v>0</v>
      </c>
      <c r="ET64" s="6">
        <f>COUNTIFS(Table45[Country],Tabela1[[#This Row],[Country]],Table45[Dressage Classification],"&gt;0")</f>
        <v>0</v>
      </c>
      <c r="EU64" s="6">
        <f>COUNTIFS(Table44[Country],Tabela1[[#This Row],[Country]],Table44[Eventing Classification],"&gt;0")</f>
        <v>0</v>
      </c>
      <c r="EV64" s="6">
        <f>COUNTIFS(Table45[Country],Tabela1[[#This Row],[Country]],Table45[Eventing Classification],"&gt;0")</f>
        <v>0</v>
      </c>
      <c r="EW64" s="6">
        <f>COUNTIFS(Table44[Country],Tabela1[[#This Row],[Country]],Table44[Jumping Classification],"&gt;0")</f>
        <v>0</v>
      </c>
      <c r="EX64" s="6">
        <f>COUNTIFS(Table45[Country],Tabela1[[#This Row],[Country]],Table45[Jumping Classification],"&gt;0")</f>
        <v>0</v>
      </c>
      <c r="EY64" s="6">
        <f>COUNTIFS(Table10[Country],Tabela1[[#This Row],[Country]],Table10[Épée Classification],"&gt;0")</f>
        <v>0</v>
      </c>
      <c r="EZ64" s="6">
        <f>COUNTIFS(Table11[Country],Tabela1[[#This Row],[Country]],Table11[Épée Classification],"&gt;0")</f>
        <v>0</v>
      </c>
      <c r="FA64" s="6">
        <f>COUNTIFS(Table46[Country],Tabela1[[#This Row],[Country]],Table46[Men''s Épée Classification],"&gt;0")</f>
        <v>0</v>
      </c>
      <c r="FB64" s="6">
        <f>COUNTIFS(Table46[Country],Tabela1[[#This Row],[Country]],Table46[Women''s Épée Classification],"&gt;0")</f>
        <v>0</v>
      </c>
      <c r="FC64" s="6">
        <f>COUNTIFS(Table10[Country],Tabela1[[#This Row],[Country]],Table10[Foil Classification],"&gt;0")</f>
        <v>0</v>
      </c>
      <c r="FD64" s="6">
        <f>COUNTIFS(Table11[Country],Tabela1[[#This Row],[Country]],Table11[Foil Classification],"&gt;0")</f>
        <v>0</v>
      </c>
      <c r="FE64" s="6">
        <f>COUNTIFS(Table46[Country],Tabela1[[#This Row],[Country]],Table46[Men''s Foil Classification],"&gt;0")</f>
        <v>0</v>
      </c>
      <c r="FF64" s="6">
        <f>COUNTIFS(Table46[Country],Tabela1[[#This Row],[Country]],Table46[Women''s Foil Classification],"&gt;0")</f>
        <v>0</v>
      </c>
      <c r="FG64" s="6">
        <f>COUNTIFS(Table10[Country],Tabela1[[#This Row],[Country]],Table10[Sabre Classification],"&gt;0")</f>
        <v>0</v>
      </c>
      <c r="FH64" s="6">
        <f>COUNTIFS(Table11[Country],Tabela1[[#This Row],[Country]],Table11[Sabre Classification],"&gt;0")</f>
        <v>0</v>
      </c>
      <c r="FI64" s="6">
        <f>COUNTIFS(Table46[Country],Tabela1[[#This Row],[Country]],Table46[Men''s Sabre Classification],"&gt;0")</f>
        <v>0</v>
      </c>
      <c r="FJ64" s="6">
        <f>COUNTIFS(Table46[Country],Tabela1[[#This Row],[Country]],Table46[Women''s Sabre Classification],"&gt;0")</f>
        <v>0</v>
      </c>
      <c r="FK64" s="6">
        <f>COUNTIFS(Table91[Country],Tabela1[[#This Row],[Country]],Table91[Men''s Classification],"&gt;0")</f>
        <v>0</v>
      </c>
      <c r="FL64" s="6">
        <f>COUNTIFS(Table91[Country],Tabela1[[#This Row],[Country]],Table91[Women''s Classification],"&gt;0")</f>
        <v>0</v>
      </c>
      <c r="FM64" s="6">
        <f>COUNTIFS(Table9194[Country],Tabela1[[#This Row],[Country]],Table9194[Men''s Classification],"&gt;0")</f>
        <v>0</v>
      </c>
      <c r="FN64" s="6">
        <f>COUNTIFS(Table9194[Country],Tabela1[[#This Row],[Country]],Table9194[Women''s Classification],"&gt;0")</f>
        <v>0</v>
      </c>
      <c r="FO64" s="6">
        <f>COUNTIFS(Table71[Country],Tabela1[[#This Row],[Country]],Table71[Classification],"&gt;0")</f>
        <v>0</v>
      </c>
      <c r="FP64" s="6">
        <f>COUNTIFS(Table62[Country],Tabela1[[#This Row],[Country]],Table62[Classification],"&gt;0")</f>
        <v>0</v>
      </c>
      <c r="FQ64" s="6">
        <f>COUNTIFS(Table47[Country],Tabela1[[#This Row],[Country]],Table47[All-Around Classification],"&gt;0")</f>
        <v>0</v>
      </c>
      <c r="FR64" s="6">
        <f>COUNTIFS(Table48[Country],Tabela1[[#This Row],[Country]],Table48[All-Around Classification],"&gt;0")</f>
        <v>0</v>
      </c>
      <c r="FS64" s="6">
        <f>COUNTIFS(Table81[Country],Tabela1[[#This Row],[Country]],Table81[Men''s All-Around Classification],"&gt;0")</f>
        <v>0</v>
      </c>
      <c r="FT64" s="6">
        <f>COUNTIFS(Table81[Country],Tabela1[[#This Row],[Country]],Table81[Women''s All-Around Classification],"&gt;0")</f>
        <v>0</v>
      </c>
      <c r="FU64" s="6">
        <f>COUNTIFS(Table48[Country],Tabela1[[#This Row],[Country]],Table48[Balance Beam Classification],"&gt;0")</f>
        <v>0</v>
      </c>
      <c r="FV64" s="6">
        <f>COUNTIFS(Table47[Country],Tabela1[[#This Row],[Country]],Table47[Floor Exercise Classification],"&gt;0")</f>
        <v>0</v>
      </c>
      <c r="FW64" s="6">
        <f>COUNTIFS(Table48[Country],Tabela1[[#This Row],[Country]],Table48[Floor Exercise Classification],"&gt;0")</f>
        <v>0</v>
      </c>
      <c r="FX64" s="6">
        <f>COUNTIFS(Table47[Country],Tabela1[[#This Row],[Country]],Table47[Horizontal Bar Classification],"&gt;0")</f>
        <v>0</v>
      </c>
      <c r="FY64" s="6">
        <f>COUNTIFS(Table47[Country],Tabela1[[#This Row],[Country]],Table47[Parallel Bars Classification],"&gt;0")</f>
        <v>0</v>
      </c>
      <c r="FZ64" s="6">
        <f>COUNTIFS(Table47[Country],Tabela1[[#This Row],[Country]],Table47[Pommel Horse Classification],"&gt;0")</f>
        <v>0</v>
      </c>
      <c r="GA64" s="6">
        <f>COUNTIFS(Table47[Country],Tabela1[[#This Row],[Country]],Table47[Rings Classification],"&gt;0")</f>
        <v>0</v>
      </c>
      <c r="GB64" s="6">
        <f>COUNTIFS(Tabela132[Country],Tabela1[[#This Row],[Country]],Tabela132[Classification],"&gt;0")</f>
        <v>0</v>
      </c>
      <c r="GC64" s="6">
        <f>COUNTIFS(Tabela139[Country],Tabela1[[#This Row],[Country]],Tabela139[Classification],"&gt;0")</f>
        <v>0</v>
      </c>
      <c r="GD64" s="6">
        <f>COUNTIFS(Table48[Country],Tabela1[[#This Row],[Country]],Table48[Uneven Bars Classification],"&gt;0")</f>
        <v>0</v>
      </c>
      <c r="GE64" s="6">
        <f>COUNTIFS(Table47[Country],Tabela1[[#This Row],[Country]],Table47[Vault Classification],"&gt;0")</f>
        <v>0</v>
      </c>
      <c r="GF64" s="6">
        <f>COUNTIFS(Table48[Country],Tabela1[[#This Row],[Country]],Table48[Vault Classification],"&gt;0")</f>
        <v>0</v>
      </c>
      <c r="GG64" s="6">
        <f>COUNTIFS(Table919496[Country],Tabela1[[#This Row],[Country]],Table919496[Men''s Classification],"&gt;0")</f>
        <v>0</v>
      </c>
      <c r="GH64" s="6">
        <f>COUNTIFS(Table919496[Country],Tabela1[[#This Row],[Country]],Table919496[Women''s Classification],"&gt;0")</f>
        <v>0</v>
      </c>
      <c r="GI64" s="6">
        <f>COUNTIFS(Table12[Country],Tabela1[[#This Row],[Country]],Table12[60kg Classification],"&gt;0")</f>
        <v>0</v>
      </c>
      <c r="GJ64" s="6">
        <f>COUNTIFS(Table12[Country],Tabela1[[#This Row],[Country]],Table12[66kg Classification],"&gt;0")</f>
        <v>0</v>
      </c>
      <c r="GK64" s="6">
        <f>COUNTIFS(Table12[Country],Tabela1[[#This Row],[Country]],Table12[73kg Classification],"&gt;0")</f>
        <v>0</v>
      </c>
      <c r="GL64" s="6">
        <f>COUNTIFS(Table12[Country],Tabela1[[#This Row],[Country]],Table12[81kg Classification],"&gt;0")</f>
        <v>0</v>
      </c>
      <c r="GM64" s="6">
        <f>COUNTIFS(Table12[Country],Tabela1[[#This Row],[Country]],Table12[90kg Classification],"&gt;0")</f>
        <v>0</v>
      </c>
      <c r="GN64" s="6">
        <f>COUNTIFS(Table12[Country],Tabela1[[#This Row],[Country]],Table12[100kg Classification],"&gt;0")</f>
        <v>0</v>
      </c>
      <c r="GO64" s="6">
        <f>COUNTIFS(Table12[Country],Tabela1[[#This Row],[Country]],Table12[Plus 100kg Classification],"&gt;0")</f>
        <v>0</v>
      </c>
      <c r="GP64" s="6">
        <f>COUNTIFS(Table13[Country],Tabela1[[#This Row],[Country]],Table13[48kg Classification],"&gt;0")</f>
        <v>0</v>
      </c>
      <c r="GQ64" s="6">
        <f>COUNTIFS(Table13[Country],Tabela1[[#This Row],[Country]],Table13[52kg Classification],"&gt;0")</f>
        <v>0</v>
      </c>
      <c r="GR64" s="6">
        <f>COUNTIFS(Table13[Country],Tabela1[[#This Row],[Country]],Table13[57kg Classification],"&gt;0")</f>
        <v>0</v>
      </c>
      <c r="GS64" s="6">
        <f>COUNTIFS(Table13[Country],Tabela1[[#This Row],[Country]],Table13[63kg Classification],"&gt;0")</f>
        <v>0</v>
      </c>
      <c r="GT64" s="6">
        <f>COUNTIFS(Table13[Country],Tabela1[[#This Row],[Country]],Table13[70kg Classification],"&gt;0")</f>
        <v>0</v>
      </c>
      <c r="GU64" s="6">
        <f>COUNTIFS(Table13[Country],Tabela1[[#This Row],[Country]],Table13[78kg Classification],"&gt;0")</f>
        <v>0</v>
      </c>
      <c r="GV64" s="6">
        <f>COUNTIFS(Table13[Country],Tabela1[[#This Row],[Country]],Table13[Plus 78kg Classification],"&gt;0")</f>
        <v>0</v>
      </c>
      <c r="GW64" s="6">
        <f>COUNTIFS(Table82[Country],Tabela1[[#This Row],[Country]],Table82[Mixed Classification],"&gt;0")</f>
        <v>0</v>
      </c>
      <c r="GX64" s="6">
        <f>COUNTIFS(Table51[Country],Tabela1[[#This Row],[Country]],Table51[Classification],"&gt;0")</f>
        <v>0</v>
      </c>
      <c r="GY64" s="6">
        <f>COUNTIFS(Table52[Country],Tabela1[[#This Row],[Country]],Table52[Classification],"&gt;0")</f>
        <v>0</v>
      </c>
      <c r="GZ64" s="6">
        <f>COUNTIFS(Table32[Country],Tabela1[[#This Row],[Country]],Table32[All-Around Classification],"&gt;0")</f>
        <v>0</v>
      </c>
      <c r="HA64" s="6">
        <f>COUNTIFS(Table49[Country],Tabela1[[#This Row],[Country]],Table49[All-Around Classification],"&gt;0")</f>
        <v>0</v>
      </c>
      <c r="HB64" s="6">
        <f>COUNTIFS(Table26[Country],Tabela1[[#This Row],[Country]],Table26[Single Sculls Classification],"&gt;0")</f>
        <v>0</v>
      </c>
      <c r="HC64" s="6">
        <f>COUNTIFS(Table63[Country],Tabela1[[#This Row],[Country]],Table63[Single Sculls Classification],"&gt;0")</f>
        <v>0</v>
      </c>
      <c r="HD64" s="6">
        <f>COUNTIFS(Table16[Country],Tabela1[[#This Row],[Country]],Table16[Men''s Double Sculls Classification],"&gt;0")</f>
        <v>0</v>
      </c>
      <c r="HE64" s="6">
        <f>COUNTIFS(Table16[Country],Tabela1[[#This Row],[Country]],Table16[Women''s Double Sculls Classification],"&gt;0")</f>
        <v>0</v>
      </c>
      <c r="HF64" s="6">
        <f>COUNTIFS(Table72[Country],Tabela1[[#This Row],[Country]],Table72[Men''s Quadruple Sculls Classification],"&gt;0")</f>
        <v>0</v>
      </c>
      <c r="HG64" s="6">
        <f>COUNTIFS(Table72[Country],Tabela1[[#This Row],[Country]],Table72[Women''s Quadruple Sculls Classification],"&gt;0")</f>
        <v>0</v>
      </c>
      <c r="HH64" s="6">
        <f>COUNTIFS(Table16[Country],Tabela1[[#This Row],[Country]],Table16[Men''s Coxless Pairs Classification],"&gt;0")</f>
        <v>0</v>
      </c>
      <c r="HI64" s="6">
        <f>COUNTIFS(Table16[Country],Tabela1[[#This Row],[Country]],Table16[Women''s Coxless Pairs Classification],"&gt;0")</f>
        <v>0</v>
      </c>
      <c r="HJ64" s="6">
        <f>COUNTIFS(Table72[Country],Tabela1[[#This Row],[Country]],Table72[Men''s Coxless Fours Classification],"&gt;0")</f>
        <v>0</v>
      </c>
      <c r="HK64" s="6">
        <f>COUNTIFS(Table72[Country],Tabela1[[#This Row],[Country]],Table72[Women''s Coxless Fours Classification],"&gt;0")</f>
        <v>0</v>
      </c>
      <c r="HL64" s="6">
        <f>COUNTIFS(Table72[Country],Tabela1[[#This Row],[Country]],Table72[Men''s Eights Classification],"&gt;0")</f>
        <v>0</v>
      </c>
      <c r="HM64" s="6">
        <f>COUNTIFS(Table72[Country],Tabela1[[#This Row],[Country]],Table72[Women''s Eights Classification],"&gt;0")</f>
        <v>0</v>
      </c>
      <c r="HN64" s="6">
        <f>COUNTIFS(Table16[Country],Tabela1[[#This Row],[Country]],Table16[Men''s Lwt. Double Sculls Classification],"&gt;0")</f>
        <v>0</v>
      </c>
      <c r="HO64" s="6">
        <f>COUNTIFS(Table16[Country],Tabela1[[#This Row],[Country]],Table16[Women''s Lwt. Double Sculls Classification],"&gt;0")</f>
        <v>0</v>
      </c>
      <c r="HP64" s="6">
        <f>COUNTIFS(Table91949698[Country],Tabela1[[#This Row],[Country]],Table91949698[Men''s Classification],"&gt;0")</f>
        <v>0</v>
      </c>
      <c r="HQ64" s="6">
        <f>COUNTIFS(Table91949698[Country],Tabela1[[#This Row],[Country]],Table91949698[Women''s Classification],"&gt;0")</f>
        <v>0</v>
      </c>
      <c r="HR64" s="6">
        <f>COUNTIFS(Table25[Country],Tabela1[[#This Row],[Country]],Table25[Mixed 470 Classification],"&gt;0")</f>
        <v>0</v>
      </c>
      <c r="HS64" s="6">
        <f>COUNTIFS(Table25[Country],Tabela1[[#This Row],[Country]],Table25[Men''s 49er Classification],"&gt;0")</f>
        <v>0</v>
      </c>
      <c r="HT64" s="6">
        <f>COUNTIFS(Table25[Country],Tabela1[[#This Row],[Country]],Table25[Women''s 49er FX Classification],"&gt;0")</f>
        <v>0</v>
      </c>
      <c r="HU64" s="6">
        <f>COUNTIFS(Table17[Country],Tabela1[[#This Row],[Country]],Table17[Formula Kite Classification],"&gt;0")</f>
        <v>0</v>
      </c>
      <c r="HV64" s="6">
        <f>COUNTIFS(Table18[Country],Tabela1[[#This Row],[Country]],Table18[Formula Kite Classification],"&gt;0")</f>
        <v>0</v>
      </c>
      <c r="HW64" s="6">
        <f>COUNTIFS(Table17[Country],Tabela1[[#This Row],[Country]],Table17[ILCA 7 Classification],"&gt;0")</f>
        <v>0</v>
      </c>
      <c r="HX64" s="6">
        <f>COUNTIFS(Table18[Country],Tabela1[[#This Row],[Country]],Table18[ILCA 6 Classification],"&gt;0")</f>
        <v>0</v>
      </c>
      <c r="HY64" s="6">
        <f>COUNTIFS(Table17[Country],Tabela1[[#This Row],[Country]],Table17[IQFoil Classification],"&gt;0")</f>
        <v>0</v>
      </c>
      <c r="HZ64" s="6">
        <f>COUNTIFS(Table18[Country],Tabela1[[#This Row],[Country]],Table18[IQFoil Classification],"&gt;0")</f>
        <v>0</v>
      </c>
      <c r="IA64" s="6">
        <f>COUNTIFS(Table25[Country],Tabela1[[#This Row],[Country]],Table25[Mixed Nacra 17 Classification],"&gt;0")</f>
        <v>0</v>
      </c>
      <c r="IB64" s="6">
        <f>COUNTIFS(Table53[Country],Tabela1[[#This Row],[Country]],Table53[10m Air Pistol Classification],"&gt;0")</f>
        <v>0</v>
      </c>
      <c r="IC64" s="6">
        <f>COUNTIFS(Table19[Country],Tabela1[[#This Row],[Country]],Table19[10m Air Pistol Classification],"&gt;0")</f>
        <v>0</v>
      </c>
      <c r="ID64" s="6">
        <f>COUNTIFS(Table54[Country],Tabela1[[#This Row],[Country]],Table54[Mixed 10m Air Pistol Team Classification],"&gt;0")</f>
        <v>0</v>
      </c>
      <c r="IE64" s="6">
        <f>COUNTIFS(Table53[Country],Tabela1[[#This Row],[Country]],Table53[10m Air Rifle Classification],"&gt;0")</f>
        <v>0</v>
      </c>
      <c r="IF64" s="6">
        <f>COUNTIFS(Table19[Country],Tabela1[[#This Row],[Country]],Table19[10m Air Rifle Classification],"&gt;0")</f>
        <v>0</v>
      </c>
      <c r="IG64" s="6">
        <f>COUNTIFS(Table54[Country],Tabela1[[#This Row],[Country]],Table54[Mixed 10m Air Rifle Team Classification],"&gt;0")</f>
        <v>0</v>
      </c>
      <c r="IH64" s="6">
        <f>COUNTIFS(Table53[Country],Tabela1[[#This Row],[Country]],Table53[25m Rapid Fire Pistol Classification],"&gt;0")</f>
        <v>0</v>
      </c>
      <c r="II64" s="6">
        <f>COUNTIFS(Table19[Country],Tabela1[[#This Row],[Country]],Table19[25m Pistol Classification],"&gt;0")</f>
        <v>0</v>
      </c>
      <c r="IJ64" s="6">
        <f>COUNTIFS(Table53[Country],Tabela1[[#This Row],[Country]],Table53[50m Rifle 3 Positions Classification],"&gt;0")</f>
        <v>0</v>
      </c>
      <c r="IK64" s="6">
        <f>COUNTIFS(Table19[Country],Tabela1[[#This Row],[Country]],Table19[50m Rifle 3 Positions Classification],"&gt;0")</f>
        <v>0</v>
      </c>
      <c r="IL64" s="6">
        <f>COUNTIFS(Table53[Country],Tabela1[[#This Row],[Country]],Table53[Skeet Classification],"&gt;0")</f>
        <v>0</v>
      </c>
      <c r="IM64" s="6">
        <f>COUNTIFS(Table19[Country],Tabela1[[#This Row],[Country]],Table19[Skeet Classification],"&gt;0")</f>
        <v>0</v>
      </c>
      <c r="IN64" s="6">
        <f>COUNTIFS(Table54[Country],Tabela1[[#This Row],[Country]],Table54[Mixed Skeet Team Classification],"&gt;0")</f>
        <v>0</v>
      </c>
      <c r="IO64" s="6">
        <f>COUNTIFS(Table53[Country],Tabela1[[#This Row],[Country]],Table53[Trap Classification],"&gt;0")</f>
        <v>0</v>
      </c>
      <c r="IP64" s="6">
        <f>COUNTIFS(Table19[Country],Tabela1[[#This Row],[Country]],Table19[Trap Classification],"&gt;0")</f>
        <v>0</v>
      </c>
      <c r="IQ64" s="6">
        <f>COUNTIFS(Table73[Country],Tabela1[[#This Row],[Country]],Table73[Park Classification],"&gt;0")</f>
        <v>0</v>
      </c>
      <c r="IR64" s="6">
        <f>COUNTIFS(Table74[Country],Tabela1[[#This Row],[Country]],Table74[Park Classification],"&gt;0")</f>
        <v>0</v>
      </c>
      <c r="IS64" s="6">
        <f>COUNTIFS(Table73[Country],Tabela1[[#This Row],[Country]],Table73[Street Classification],"&gt;0")</f>
        <v>0</v>
      </c>
      <c r="IT64" s="6">
        <f>COUNTIFS(Table74[Country],Tabela1[[#This Row],[Country]],Table74[Street Classification],"&gt;0")</f>
        <v>0</v>
      </c>
      <c r="IU64" s="6">
        <f>COUNTIFS(Table75[Country],Tabela1[[#This Row],[Country]],Table75[Boulder and Lead Classification],"&gt;0")</f>
        <v>0</v>
      </c>
      <c r="IV64" s="6">
        <f>COUNTIFS(Table76[Country],Tabela1[[#This Row],[Country]],Table76[Boulder and Lead Classification],"&gt;0")</f>
        <v>0</v>
      </c>
      <c r="IW64" s="6">
        <f>COUNTIFS(Table75[Country],Tabela1[[#This Row],[Country]],Table75[Speed Classification],"&gt;0")</f>
        <v>0</v>
      </c>
      <c r="IX64" s="6">
        <f>COUNTIFS(Table76[Country],Tabela1[[#This Row],[Country]],Table76[Speed Classification],"&gt;0")</f>
        <v>0</v>
      </c>
      <c r="IY64" s="6">
        <f>COUNTIFS(Table64[Country],Tabela1[[#This Row],[Country]],Table64[Shortboard Classification],"&gt;0")</f>
        <v>0</v>
      </c>
      <c r="IZ64" s="6">
        <f>COUNTIFS(Table77[Country],Tabela1[[#This Row],[Country]],Table77[Shortboard Classification],"&gt;0")</f>
        <v>0</v>
      </c>
      <c r="JA64" s="6">
        <f>COUNTIFS(Table20[Country],Tabela1[[#This Row],[Country]],Table20[50m Freestyle Classification],"&gt;0")</f>
        <v>0</v>
      </c>
      <c r="JB64" s="6">
        <f>COUNTIFS(Table21[Country],Tabela1[[#This Row],[Country]],Table21[50m Freestyle Classification],"&gt;0")</f>
        <v>0</v>
      </c>
      <c r="JC64" s="6">
        <f>COUNTIFS(Table20[Country],Tabela1[[#This Row],[Country]],Table20[100m Freestyle Classification],"&gt;0")</f>
        <v>0</v>
      </c>
      <c r="JD64" s="6">
        <f>COUNTIFS(Table21[Country],Tabela1[[#This Row],[Country]],Table21[100m Freestyle Classification],"&gt;0")</f>
        <v>0</v>
      </c>
      <c r="JE64" s="6">
        <f>COUNTIFS(Table20[Country],Tabela1[[#This Row],[Country]],Table20[200m Freestyle Classification],"&gt;0")</f>
        <v>0</v>
      </c>
      <c r="JF64" s="6">
        <f>COUNTIFS(Table21[Country],Tabela1[[#This Row],[Country]],Table21[200m Freestyle Classification],"&gt;0")</f>
        <v>0</v>
      </c>
      <c r="JG64" s="6">
        <f>COUNTIFS(Table20[Country],Tabela1[[#This Row],[Country]],Table20[400m Freestyle Classification],"&gt;0")</f>
        <v>0</v>
      </c>
      <c r="JH64" s="6">
        <f>COUNTIFS(Table21[Country],Tabela1[[#This Row],[Country]],Table21[400m Freestyle Classification],"&gt;0")</f>
        <v>0</v>
      </c>
      <c r="JI64" s="6">
        <f>COUNTIFS(Table20[Country],Tabela1[[#This Row],[Country]],Table20[800m Freestyle Classification],"&gt;0")</f>
        <v>0</v>
      </c>
      <c r="JJ64" s="6">
        <f>COUNTIFS(Table21[Country],Tabela1[[#This Row],[Country]],Table21[800m Freestyle Classification],"&gt;0")</f>
        <v>0</v>
      </c>
      <c r="JK64" s="6">
        <f>COUNTIFS(Table20[Country],Tabela1[[#This Row],[Country]],Table20[1500m Freestyle Classification],"&gt;0")</f>
        <v>0</v>
      </c>
      <c r="JL64" s="6">
        <f>COUNTIFS(Table21[Country],Tabela1[[#This Row],[Country]],Table21[1500m Freestyle Classification],"&gt;0")</f>
        <v>0</v>
      </c>
      <c r="JM64" s="6">
        <f>COUNTIFS(Table20[Country],Tabela1[[#This Row],[Country]],Table20[100m Backstroke Classification],"&gt;0")</f>
        <v>0</v>
      </c>
      <c r="JN64" s="6">
        <f>COUNTIFS(Table21[Country],Tabela1[[#This Row],[Country]],Table21[100m Backstroke Classification],"&gt;0")</f>
        <v>0</v>
      </c>
      <c r="JO64" s="6">
        <f>COUNTIFS(Table20[Country],Tabela1[[#This Row],[Country]],Table20[200m Backstroke Classification],"&gt;0")</f>
        <v>0</v>
      </c>
      <c r="JP64" s="6">
        <f>COUNTIFS(Table21[Country],Tabela1[[#This Row],[Country]],Table21[200m Backstroke Classification],"&gt;0")</f>
        <v>0</v>
      </c>
      <c r="JQ64" s="6">
        <f>COUNTIFS(Table20[Country],Tabela1[[#This Row],[Country]],Table20[100m Breaststroke Classification],"&gt;0")</f>
        <v>0</v>
      </c>
      <c r="JR64" s="6">
        <f>COUNTIFS(Table21[Country],Tabela1[[#This Row],[Country]],Table21[100m Breaststroke Classification],"&gt;0")</f>
        <v>0</v>
      </c>
      <c r="JS64" s="6">
        <f>COUNTIFS(Table20[Country],Tabela1[[#This Row],[Country]],Table20[200m Breaststroke Classification],"&gt;0")</f>
        <v>0</v>
      </c>
      <c r="JT64" s="6">
        <f>COUNTIFS(Table21[Country],Tabela1[[#This Row],[Country]],Table21[200m Breaststroke Classification],"&gt;0")</f>
        <v>0</v>
      </c>
      <c r="JU64" s="6">
        <f>COUNTIFS(Table20[Country],Tabela1[[#This Row],[Country]],Table20[100m Butterfly Classification],"&gt;0")</f>
        <v>0</v>
      </c>
      <c r="JV64" s="6">
        <f>COUNTIFS(Table21[Country],Tabela1[[#This Row],[Country]],Table21[100m Butterfly Classification],"&gt;0")</f>
        <v>0</v>
      </c>
      <c r="JW64" s="6">
        <f>COUNTIFS(Table20[Country],Tabela1[[#This Row],[Country]],Table20[200m Butterfly Classification],"&gt;0")</f>
        <v>0</v>
      </c>
      <c r="JX64" s="6">
        <f>COUNTIFS(Table21[Country],Tabela1[[#This Row],[Country]],Table21[200m Butterfly Classification],"&gt;0")</f>
        <v>0</v>
      </c>
      <c r="JY64" s="6">
        <f>COUNTIFS(Table20[Country],Tabela1[[#This Row],[Country]],Table20[200m Medley Classification],"&gt;0")</f>
        <v>0</v>
      </c>
      <c r="JZ64" s="6">
        <f>COUNTIFS(Table21[Country],Tabela1[[#This Row],[Country]],Table21[200m Medley Classification],"&gt;0")</f>
        <v>0</v>
      </c>
      <c r="KA64" s="6">
        <f>COUNTIFS(Table20[Country],Tabela1[[#This Row],[Country]],Table20[400m Medley Classification],"&gt;0")</f>
        <v>0</v>
      </c>
      <c r="KB64" s="6">
        <f>COUNTIFS(Table21[Country],Tabela1[[#This Row],[Country]],Table21[400m Medley Classification],"&gt;0")</f>
        <v>0</v>
      </c>
      <c r="KC64" s="6">
        <f>COUNTIFS(Table78[Country],Tabela1[[#This Row],[Country]],Table78[Men''s 4x100m Freestyle Relay Classification],"&gt;0")</f>
        <v>0</v>
      </c>
      <c r="KD64" s="6">
        <f>COUNTIFS(Table78[Country],Tabela1[[#This Row],[Country]],Table78[Women''s 4x100m Freestyle Relay Classification],"&gt;0")</f>
        <v>0</v>
      </c>
      <c r="KE64" s="6">
        <f>COUNTIFS(Table78[Country],Tabela1[[#This Row],[Country]],Table78[Men''s 4x200m Freestyle Relay Classification],"&gt;0")</f>
        <v>0</v>
      </c>
      <c r="KF64" s="6">
        <f>COUNTIFS(Table78[Country],Tabela1[[#This Row],[Country]],Table78[Women''s 4x200m Freestyle Relay Classification],"&gt;0")</f>
        <v>0</v>
      </c>
      <c r="KG64" s="6">
        <f>COUNTIFS(Table78[Country],Tabela1[[#This Row],[Country]],Table78[Men''s 4x100m Medley Relay Classification],"&gt;0")</f>
        <v>0</v>
      </c>
      <c r="KH64" s="6">
        <f>COUNTIFS(Table78[Country],Tabela1[[#This Row],[Country]],Table78[Women''s 4x100m Medley Relay Classification],"&gt;0")</f>
        <v>0</v>
      </c>
      <c r="KI64" s="6">
        <f>COUNTIFS(Table78[Country],Tabela1[[#This Row],[Country]],Table78[Mixed 4x100m Medley Relay Classification],"&gt;0")</f>
        <v>0</v>
      </c>
      <c r="KJ64" s="6">
        <f>COUNTIFS(Table20[Country],Tabela1[[#This Row],[Country]],Table20[10km Open Water Classification],"&gt;0")</f>
        <v>0</v>
      </c>
      <c r="KK64" s="6">
        <f>COUNTIFS(Table21[Country],Tabela1[[#This Row],[Country]],Table21[10km Open Water Classification],"&gt;0")</f>
        <v>0</v>
      </c>
      <c r="KL64" s="6">
        <f>COUNTIFS(Table22[Country],Tabela1[[#This Row],[Country]],Table22[Classification],"&gt;0")</f>
        <v>0</v>
      </c>
      <c r="KM64" s="6">
        <f>COUNTIFS(Table30[Country],Tabela1[[#This Row],[Country]],Table30[Classification],"&gt;0")</f>
        <v>0</v>
      </c>
      <c r="KN64" s="6">
        <f>COUNTIFS(Table55[Country],Tabela1[[#This Row],[Country]],Table55[Men''s Classification],"&gt;0")</f>
        <v>0</v>
      </c>
      <c r="KO64" s="6">
        <f>COUNTIFS(Table55[Country],Tabela1[[#This Row],[Country]],Table55[Women''s Classification],"&gt;0")</f>
        <v>0</v>
      </c>
      <c r="KP64" s="6">
        <f>COUNTIFS(Table56[Country],Tabela1[[#This Row],[Country]],Table56[Mixed Classification],"&gt;0")</f>
        <v>0</v>
      </c>
      <c r="KQ64" s="6">
        <f>COUNTIFS(Table29[Country],Tabela1[[#This Row],[Country]],Table29[58kg Classification],"&gt;0")</f>
        <v>0</v>
      </c>
      <c r="KR64" s="6">
        <f>COUNTIFS(Table29[Country],Tabela1[[#This Row],[Country]],Table29[68kg Classification],"&gt;0")</f>
        <v>0</v>
      </c>
      <c r="KS64" s="6">
        <f>COUNTIFS(Table29[Country],Tabela1[[#This Row],[Country]],Table29[80kg Classification],"&gt;0")</f>
        <v>0</v>
      </c>
      <c r="KT64" s="6">
        <f>COUNTIFS(Table29[Country],Tabela1[[#This Row],[Country]],Table29[Plus 80kg Classification],"&gt;0")</f>
        <v>0</v>
      </c>
      <c r="KU64" s="6">
        <f>COUNTIFS(Table34[Country],Tabela1[[#This Row],[Country]],Table34[49kg Classification],"&gt;0")</f>
        <v>0</v>
      </c>
      <c r="KV64" s="6">
        <f>COUNTIFS(Table34[Country],Tabela1[[#This Row],[Country]],Table34[57kg Classification],"&gt;0")</f>
        <v>0</v>
      </c>
      <c r="KW64" s="6">
        <f>COUNTIFS(Table34[Country],Tabela1[[#This Row],[Country]],Table34[67kg Classification],"&gt;0")</f>
        <v>0</v>
      </c>
      <c r="KX64" s="6">
        <f>COUNTIFS(Table34[Country],Tabela1[[#This Row],[Country]],Table34[Plus 67kg Classification],"&gt;0")</f>
        <v>0</v>
      </c>
      <c r="KY64" s="6">
        <f>COUNTIFS(Table57[Country],Tabela1[[#This Row],[Country]],Table57[Classification],"&gt;0")</f>
        <v>0</v>
      </c>
      <c r="KZ64" s="6">
        <f>COUNTIFS(Table58[Country],Tabela1[[#This Row],[Country]],Table58[Classification],"&gt;0")</f>
        <v>0</v>
      </c>
      <c r="LA64" s="6">
        <f>COUNTIFS(Table79[Country],Tabela1[[#This Row],[Country]],Table79[Men''s Classification],"&gt;0")</f>
        <v>0</v>
      </c>
      <c r="LB64" s="6">
        <f>COUNTIFS(Table79[Country],Tabela1[[#This Row],[Country]],Table79[Women''s Classification],"&gt;0")</f>
        <v>0</v>
      </c>
      <c r="LC64" s="6">
        <f>COUNTIFS(Table79[Country],Tabela1[[#This Row],[Country]],Table79[Mixed Classification],"&gt;0")</f>
        <v>0</v>
      </c>
      <c r="LD64" s="6">
        <f>COUNTIFS(Table65[Country],Tabela1[[#This Row],[Country]],Table65[Classification],"&gt;0")</f>
        <v>0</v>
      </c>
      <c r="LE64" s="6">
        <f>COUNTIFS(Table59[Country],Tabela1[[#This Row],[Country]],Table59[Classification],"&gt;0")</f>
        <v>0</v>
      </c>
      <c r="LF64" s="6">
        <f>COUNTIFS(Table87[Country],Tabela1[[#This Row],[Country]],Table87[Mixed Relay Classification],"&gt;0")</f>
        <v>0</v>
      </c>
      <c r="LG64" s="6">
        <f>COUNTIFS(Table91949698100[Country],Tabela1[[#This Row],[Country]],Table91949698100[Men''s Classification],"&gt;0")</f>
        <v>0</v>
      </c>
      <c r="LH64" s="6">
        <f>COUNTIFS(Table91949698100[Country],Tabela1[[#This Row],[Country]],Table91949698100[Women''s Classification],"&gt;0")</f>
        <v>0</v>
      </c>
      <c r="LI64" s="6">
        <f>COUNTIFS(Table91949698100102[Country],Tabela1[[#This Row],[Country]],Table91949698100102[Men''s Classification],"&gt;0")</f>
        <v>0</v>
      </c>
      <c r="LJ64" s="6">
        <f>COUNTIFS(Table91949698100102[Country],Tabela1[[#This Row],[Country]],Table91949698100102[Women''s Classification],"&gt;0")</f>
        <v>0</v>
      </c>
      <c r="LK64" s="6">
        <f>COUNTIFS(Table23[Country],Tabela1[[#This Row],[Country]],Table23[61kg Classification],"&gt;0")</f>
        <v>0</v>
      </c>
      <c r="LL64" s="6">
        <f>COUNTIFS(Table23[Country],Tabela1[[#This Row],[Country]],Table23[73kg Classification],"&gt;0")</f>
        <v>0</v>
      </c>
      <c r="LM64" s="6">
        <f>COUNTIFS(Table23[Country],Tabela1[[#This Row],[Country]],Table23[89kg Classification],"&gt;0")</f>
        <v>0</v>
      </c>
      <c r="LN64" s="6">
        <f>COUNTIFS(Table23[Country],Tabela1[[#This Row],[Country]],Table23[102kg Classification],"&gt;0")</f>
        <v>0</v>
      </c>
      <c r="LO64" s="6">
        <f>COUNTIFS(Table23[Country],Tabela1[[#This Row],[Country]],Table23[Plus 102kg Classification],"&gt;0")</f>
        <v>0</v>
      </c>
      <c r="LP64" s="6">
        <f>COUNTIFS(Table28[Country],Tabela1[[#This Row],[Country]],Table28[49kg Classification],"&gt;0")</f>
        <v>0</v>
      </c>
      <c r="LQ64" s="6">
        <f>COUNTIFS(Table28[Country],Tabela1[[#This Row],[Country]],Table28[59kg Classification],"&gt;0")</f>
        <v>0</v>
      </c>
      <c r="LR64" s="6">
        <f>COUNTIFS(Table28[Country],Tabela1[[#This Row],[Country]],Table28[71kg Classification],"&gt;0")</f>
        <v>0</v>
      </c>
      <c r="LS64" s="6">
        <f>COUNTIFS(Table28[Country],Tabela1[[#This Row],[Country]],Table28[81kg Classification],"&gt;0")</f>
        <v>0</v>
      </c>
      <c r="LT64" s="6">
        <f>COUNTIFS(Table28[Country],Tabela1[[#This Row],[Country]],Table28[Plus 81kg Classification],"&gt;0")</f>
        <v>0</v>
      </c>
      <c r="LU64" s="6">
        <f>COUNTIFS(Table24[Country],Tabela1[[#This Row],[Country]],Table24[Freestyle 57kg Classification],"&gt;0")</f>
        <v>0</v>
      </c>
      <c r="LV64" s="6">
        <f>COUNTIFS(Table24[Country],Tabela1[[#This Row],[Country]],Table24[Freestyle 65kg Classification],"&gt;0")</f>
        <v>0</v>
      </c>
      <c r="LW64" s="6">
        <f>COUNTIFS(Table24[Country],Tabela1[[#This Row],[Country]],Table24[Freestyle 74kg Classification],"&gt;0")</f>
        <v>0</v>
      </c>
      <c r="LX64" s="6">
        <f>COUNTIFS(Table24[Country],Tabela1[[#This Row],[Country]],Table24[Freestyle 86kg Classification],"&gt;0")</f>
        <v>0</v>
      </c>
      <c r="LY64" s="6">
        <f>COUNTIFS(Table24[Country],Tabela1[[#This Row],[Country]],Table24[Freestyle 97kg Classification],"&gt;0")</f>
        <v>0</v>
      </c>
      <c r="LZ64" s="6">
        <f>COUNTIFS(Table24[Country],Tabela1[[#This Row],[Country]],Table24[Freestyle 125kg Classification],"&gt;0")</f>
        <v>0</v>
      </c>
      <c r="MA64" s="6">
        <f>COUNTIFS(Table24[Country],Tabela1[[#This Row],[Country]],Table24[Greco-Roman 60kg Classification],"&gt;0")</f>
        <v>0</v>
      </c>
      <c r="MB64" s="6">
        <f>COUNTIFS(Table24[Country],Tabela1[[#This Row],[Country]],Table24[Greco-Roman 67kg Classification],"&gt;0")</f>
        <v>0</v>
      </c>
      <c r="MC64" s="6">
        <f>COUNTIFS(Table24[Country],Tabela1[[#This Row],[Country]],Table24[Greco-Roman 77kg Classification],"&gt;0")</f>
        <v>0</v>
      </c>
      <c r="MD64" s="6">
        <f>COUNTIFS(Table24[Country],Tabela1[[#This Row],[Country]],Table24[Greco-Roman 87kg Classification],"&gt;0")</f>
        <v>0</v>
      </c>
      <c r="ME64" s="6">
        <f>COUNTIFS(Table24[Country],Tabela1[[#This Row],[Country]],Table24[Greco-Roman 97kg Classification],"&gt;0")</f>
        <v>0</v>
      </c>
      <c r="MF64" s="6">
        <f>COUNTIFS(Table24[Country],Tabela1[[#This Row],[Country]],Table24[Greco-Roman 130kg Classification],"&gt;0")</f>
        <v>0</v>
      </c>
      <c r="MG64" s="6">
        <f>COUNTIFS(Table31[Country],Tabela1[[#This Row],[Country]],Table31[50kg Classification],"&gt;0")</f>
        <v>0</v>
      </c>
      <c r="MH64" s="6">
        <f>COUNTIFS(Table31[Country],Tabela1[[#This Row],[Country]],Table31[53kg Classification],"&gt;0")</f>
        <v>0</v>
      </c>
      <c r="MI64" s="6">
        <f>COUNTIFS(Table31[Country],Tabela1[[#This Row],[Country]],Table31[57kg Classification],"&gt;0")</f>
        <v>0</v>
      </c>
      <c r="MJ64" s="6">
        <f>COUNTIFS(Table31[Country],Tabela1[[#This Row],[Country]],Table31[62kg Classification],"&gt;0")</f>
        <v>0</v>
      </c>
      <c r="MK64" s="6">
        <f>COUNTIFS(Table31[Country],Tabela1[[#This Row],[Country]],Table31[68kg Classification],"&gt;0")</f>
        <v>0</v>
      </c>
      <c r="ML64" s="6">
        <f>COUNTIFS(Table31[Country],Tabela1[[#This Row],[Country]],Table31[76kg Classification],"&gt;0")</f>
        <v>0</v>
      </c>
      <c r="MM64" s="6">
        <f>COUNTIFS(Table102[Country],Tabela1[[#This Row],[Country]],Table102[Downhill Classification],"&gt;0")</f>
        <v>0</v>
      </c>
      <c r="MN64" s="6">
        <f>COUNTIFS(Table102105[Country],Tabela1[[#This Row],[Country]],Table102105[Downhill Classification],"&gt;0")</f>
        <v>1</v>
      </c>
      <c r="MO64" s="6">
        <f>COUNTIFS(Table102[Country],Tabela1[[#This Row],[Country]],Table102[Giant Slalom Classification],"&gt;0")</f>
        <v>1</v>
      </c>
      <c r="MP64" s="6">
        <f>COUNTIFS(Table102105[Country],Tabela1[[#This Row],[Country]],Table102105[Giant Slalom Classification],"&gt;0")</f>
        <v>0</v>
      </c>
      <c r="MQ64" s="6">
        <f>COUNTIFS(Table102[Country],Tabela1[[#This Row],[Country]],Table102[Slalom Classification],"&gt;0")</f>
        <v>0</v>
      </c>
      <c r="MR64" s="6">
        <f>COUNTIFS(Table102105[Country],Tabela1[[#This Row],[Country]],Table102105[Slalom Classification],"&gt;0")</f>
        <v>1</v>
      </c>
      <c r="MS64" s="6">
        <f>COUNTIFS(Table102[Country],Tabela1[[#This Row],[Country]],Table102[Super-G Classification],"&gt;0")</f>
        <v>0</v>
      </c>
      <c r="MT64" s="6">
        <f>COUNTIFS(Table102105[Country],Tabela1[[#This Row],[Country]],Table102105[Super-G Classification],"&gt;0")</f>
        <v>0</v>
      </c>
      <c r="MU64" s="6">
        <f>COUNTIFS(Table105[Country],Tabela1[[#This Row],[Country]],Table105[Men''s Combined Classification],"&gt;0")</f>
        <v>0</v>
      </c>
      <c r="MV64" s="6">
        <f>COUNTIFS(Table105[Country],Tabela1[[#This Row],[Country]],Table105[Women''s Combined Classification],"&gt;0")</f>
        <v>0</v>
      </c>
      <c r="MW64" s="6">
        <f>COUNTIFS(Table106[Country],Tabela1[[#This Row],[Country]],Table106[Individual Classification],"&gt;0")</f>
        <v>0</v>
      </c>
      <c r="MX64" s="6">
        <f>COUNTIFS(Table106109[Country],Tabela1[[#This Row],[Country]],Table106109[Individual Classification],"&gt;0")</f>
        <v>0</v>
      </c>
      <c r="MY64" s="6">
        <f>COUNTIFS(Table106[Country],Tabela1[[#This Row],[Country]],Table106[Mass Start Classification],"&gt;0")</f>
        <v>0</v>
      </c>
      <c r="MZ64" s="6">
        <f>COUNTIFS(Table106109[Country],Tabela1[[#This Row],[Country]],Table106109[Mass Start Classification],"&gt;0")</f>
        <v>0</v>
      </c>
      <c r="NA64" s="6">
        <f>COUNTIFS(Table106[Country],Tabela1[[#This Row],[Country]],Table106[Pursuit Classification],"&gt;0")</f>
        <v>0</v>
      </c>
      <c r="NB64" s="6">
        <f>COUNTIFS(Table106109[Country],Tabela1[[#This Row],[Country]],Table106109[Pursuit Classification],"&gt;0")</f>
        <v>0</v>
      </c>
      <c r="NC64" s="6">
        <f>COUNTIFS(Table106[Country],Tabela1[[#This Row],[Country]],Table106[Sprint Classification],"&gt;0")</f>
        <v>0</v>
      </c>
      <c r="ND64" s="6">
        <f>COUNTIFS(Table106109[Country],Tabela1[[#This Row],[Country]],Table106109[Sprint Classification],"&gt;0")</f>
        <v>0</v>
      </c>
      <c r="NE64" s="6">
        <f>COUNTIFS(Table109[Country],Tabela1[[#This Row],[Country]],Table109[Men''s Relay Classification],"&gt;0")</f>
        <v>0</v>
      </c>
      <c r="NF64" s="6">
        <f>COUNTIFS(Table109[Country],Tabela1[[#This Row],[Country]],Table109[Women''s Relay Classification],"&gt;0")</f>
        <v>0</v>
      </c>
      <c r="NG64" s="6">
        <f>COUNTIFS(Table109[Country],Tabela1[[#This Row],[Country]],Table109[Mixed Relay Classification],"&gt;0")</f>
        <v>0</v>
      </c>
      <c r="NH64" s="6">
        <f>COUNTIFS(Table110[Country],Tabela1[[#This Row],[Country]],Table110[Monobob Classification],"&gt;0")</f>
        <v>0</v>
      </c>
      <c r="NI64" s="6">
        <f>COUNTIFS(Table111[Country],Tabela1[[#This Row],[Country]],Table111[Men''s Classification],"&gt;0")</f>
        <v>0</v>
      </c>
      <c r="NJ64" s="6">
        <f>COUNTIFS(Table111[Country],Tabela1[[#This Row],[Country]],Table111[Women''s Classification],"&gt;0")</f>
        <v>0</v>
      </c>
      <c r="NK64" s="6">
        <f>COUNTIFS(Table112[Country],Tabela1[[#This Row],[Country]],Table112[Men''s Four Classification],"&gt;0")</f>
        <v>0</v>
      </c>
      <c r="NL64" s="6">
        <f>COUNTIFS(Table113[Country],Tabela1[[#This Row],[Country]],Table113[Classical Classification],"&gt;0")</f>
        <v>0</v>
      </c>
      <c r="NM64" s="6">
        <f>COUNTIFS(Table113116[Country],Tabela1[[#This Row],[Country]],Table113116[Classical Classification],"&gt;0")</f>
        <v>0</v>
      </c>
      <c r="NN64" s="6">
        <f>COUNTIFS(Table113[Country],Tabela1[[#This Row],[Country]],Table113[Freestyle Classification],"&gt;0")</f>
        <v>0</v>
      </c>
      <c r="NO64" s="6">
        <f>COUNTIFS(Table113116[Country],Tabela1[[#This Row],[Country]],Table113116[Freestyle Classification],"&gt;0")</f>
        <v>1</v>
      </c>
      <c r="NP64" s="6">
        <f>COUNTIFS(Table117[Country],Tabela1[[#This Row],[Country]],Table117[Men''s Relay Classification],"&gt;0")</f>
        <v>0</v>
      </c>
      <c r="NQ64" s="6">
        <f>COUNTIFS(Table117[Country],Tabela1[[#This Row],[Country]],Table117[Women''s Relay Classification],"&gt;0")</f>
        <v>0</v>
      </c>
      <c r="NR64" s="6">
        <f>COUNTIFS(Table113[Country],Tabela1[[#This Row],[Country]],Table113[Skiathlon Classification],"&gt;0")</f>
        <v>0</v>
      </c>
      <c r="NS64" s="6">
        <f>COUNTIFS(Table113116[Country],Tabela1[[#This Row],[Country]],Table113116[Skiathlon Classification],"&gt;0")</f>
        <v>1</v>
      </c>
      <c r="NT64" s="6">
        <f>COUNTIFS(Table113[Country],Tabela1[[#This Row],[Country]],Table113[Sprint Classification],"&gt;0")</f>
        <v>0</v>
      </c>
      <c r="NU64" s="6">
        <f>COUNTIFS(Table113116[Country],Tabela1[[#This Row],[Country]],Table113116[Sprint Classification],"&gt;0")</f>
        <v>1</v>
      </c>
      <c r="NV64" s="6">
        <f>COUNTIFS(Table116[Country],Tabela1[[#This Row],[Country]],Table116[Men''s Team Sprint Classification],"&gt;0")</f>
        <v>0</v>
      </c>
      <c r="NW64" s="6">
        <f>COUNTIFS(Table116[Country],Tabela1[[#This Row],[Country]],Table116[Women''s Team Sprint Classification],"&gt;0")</f>
        <v>0</v>
      </c>
      <c r="NX64" s="6">
        <f>COUNTIFS(Table119[Country],Tabela1[[#This Row],[Country]],Table119[Men''s Classification],"&gt;0")</f>
        <v>0</v>
      </c>
      <c r="NY64" s="6">
        <f>COUNTIFS(Table119[Country],Tabela1[[#This Row],[Country]],Table119[Women''s Classification],"&gt;0")</f>
        <v>0</v>
      </c>
      <c r="NZ64" s="6">
        <f>COUNTIFS(Table118[Country],Tabela1[[#This Row],[Country]],Table118[Mixed Classification],"&gt;0")</f>
        <v>0</v>
      </c>
      <c r="OA64" s="6">
        <f>COUNTIFS(Table120[Country],Tabela1[[#This Row],[Country]],Table120[Classification],"&gt;0")</f>
        <v>0</v>
      </c>
      <c r="OB64" s="6">
        <f>COUNTIFS(Table120123[Country],Tabela1[[#This Row],[Country]],Table120123[Classification],"&gt;0")</f>
        <v>0</v>
      </c>
      <c r="OC64" s="6">
        <f>COUNTIFS(Table123[Country],Tabela1[[#This Row],[Country]],Table123[Ice Dance Classification],"&gt;0")</f>
        <v>0</v>
      </c>
      <c r="OD64" s="6">
        <f>COUNTIFS(Table123[Country],Tabela1[[#This Row],[Country]],Table123[Pair Skating Classification],"&gt;0")</f>
        <v>0</v>
      </c>
      <c r="OE64" s="6">
        <f>COUNTIFS(Table124[Country],Tabela1[[#This Row],[Country]],Table124[Mixed Classification],"&gt;0")</f>
        <v>0</v>
      </c>
      <c r="OF64" s="6">
        <f>COUNTIFS(Table125[Country],Tabela1[[#This Row],[Country]],Table125[Aerials Classification],"&gt;0")</f>
        <v>0</v>
      </c>
      <c r="OG64" s="6">
        <f>COUNTIFS(Table125128[Country],Tabela1[[#This Row],[Country]],Table125128[Aerials Classification],"&gt;0")</f>
        <v>0</v>
      </c>
      <c r="OH64" s="6">
        <f>COUNTIFS(Table128[Country],Tabela1[[#This Row],[Country]],Table128[Mixed Aerials Classification],"&gt;0")</f>
        <v>0</v>
      </c>
      <c r="OI64" s="6">
        <f>COUNTIFS(Table125[Country],Tabela1[[#This Row],[Country]],Table125[Big Air Classification],"&gt;0")</f>
        <v>0</v>
      </c>
      <c r="OJ64" s="6">
        <f>COUNTIFS(Table125128[Country],Tabela1[[#This Row],[Country]],Table125128[Big Air Classification],"&gt;0")</f>
        <v>0</v>
      </c>
      <c r="OK64" s="6">
        <f>COUNTIFS(Table125[Country],Tabela1[[#This Row],[Country]],Table125[Dual Moguls Classification],"&gt;0")</f>
        <v>0</v>
      </c>
      <c r="OL64" s="6">
        <f>COUNTIFS(Table125128[Country],Tabela1[[#This Row],[Country]],Table125128[Dual Moguls Classification],"&gt;0")</f>
        <v>0</v>
      </c>
      <c r="OM64" s="6">
        <f>COUNTIFS(Table125[Country],Tabela1[[#This Row],[Country]],Table125[Halfpipe Classification],"&gt;0")</f>
        <v>0</v>
      </c>
      <c r="ON64" s="6">
        <f>COUNTIFS(Table125128[Country],Tabela1[[#This Row],[Country]],Table125128[Halfpipe Classification],"&gt;0")</f>
        <v>0</v>
      </c>
      <c r="OO64" s="6">
        <f>COUNTIFS(Table125[Country],Tabela1[[#This Row],[Country]],Table125[Moguls Classification],"&gt;0")</f>
        <v>0</v>
      </c>
      <c r="OP64" s="6">
        <f>COUNTIFS(Table125128[Country],Tabela1[[#This Row],[Country]],Table125128[Moguls Classification],"&gt;0")</f>
        <v>0</v>
      </c>
      <c r="OQ64" s="6">
        <f>COUNTIFS(Table125[Country],Tabela1[[#This Row],[Country]],Table125[Ski Cross Classification],"&gt;0")</f>
        <v>0</v>
      </c>
      <c r="OR64" s="6">
        <f>COUNTIFS(Table125128[Country],Tabela1[[#This Row],[Country]],Table125128[Ski Cross Classification],"&gt;0")</f>
        <v>0</v>
      </c>
      <c r="OS64" s="6">
        <f>COUNTIFS(Table125[Country],Tabela1[[#This Row],[Country]],Table125[Slopestyle Classification],"&gt;0")</f>
        <v>0</v>
      </c>
      <c r="OT64" s="6">
        <f>COUNTIFS(Table125128[Country],Tabela1[[#This Row],[Country]],Table125128[Slopestyle Classification],"&gt;0")</f>
        <v>0</v>
      </c>
      <c r="OU64" s="6">
        <f>COUNTIFS(Table119131[Country],Tabela1[[#This Row],[Country]],Table119131[Men''s Classification],"&gt;0")</f>
        <v>0</v>
      </c>
      <c r="OV64" s="6">
        <f>COUNTIFS(Table119131[Country],Tabela1[[#This Row],[Country]],Table119131[Women''s Classification],"&gt;0")</f>
        <v>0</v>
      </c>
      <c r="OW64" s="6">
        <f>COUNTIFS(Table131[Country],Tabela1[[#This Row],[Country]],Table131[Classification],"&gt;0")</f>
        <v>0</v>
      </c>
      <c r="OX64" s="6">
        <f>COUNTIFS(Table131134[Country],Tabela1[[#This Row],[Country]],Table131134[Classification],"&gt;0")</f>
        <v>0</v>
      </c>
      <c r="OY64" s="6">
        <f>COUNTIFS(Table134[Country],Tabela1[[#This Row],[Country]],Table134[Men''s Classification],"&gt;0")</f>
        <v>0</v>
      </c>
      <c r="OZ64" s="6">
        <f>COUNTIFS(Table134[Country],Tabela1[[#This Row],[Country]],Table134[Women''s Classification],"&gt;0")</f>
        <v>0</v>
      </c>
      <c r="PA64" s="6">
        <f>COUNTIFS(Table135[Country],Tabela1[[#This Row],[Country]],Table135[Mixed Relay Classification],"&gt;0")</f>
        <v>0</v>
      </c>
      <c r="PB64" s="6">
        <f>COUNTIFS(Table136[Country],Tabela1[[#This Row],[Country]],Table136[Individual Classification],"&gt;0")</f>
        <v>0</v>
      </c>
      <c r="PC64" s="6">
        <f>COUNTIFS(Table136[Country],Tabela1[[#This Row],[Country]],Table136[Sprint Classification],"&gt;0")</f>
        <v>0</v>
      </c>
      <c r="PD64" s="6">
        <f>COUNTIFS(Table137[Country],Tabela1[[#This Row],[Country]],Table137[Men''s Team Sprint Large Hill Classification],"&gt;0")</f>
        <v>0</v>
      </c>
      <c r="PE64" s="6">
        <f>COUNTIFS(Table138[Country],Tabela1[[#This Row],[Country]],Table138[500m Classification],"&gt;0")</f>
        <v>0</v>
      </c>
      <c r="PF64" s="6">
        <f>COUNTIFS(Table138141[Country],Tabela1[[#This Row],[Country]],Table138141[500m Classification],"&gt;0")</f>
        <v>0</v>
      </c>
      <c r="PG64" s="6">
        <f>COUNTIFS(Table138[Country],Tabela1[[#This Row],[Country]],Table138[1000m Classification],"&gt;0")</f>
        <v>0</v>
      </c>
      <c r="PH64" s="6">
        <f>COUNTIFS(Table138141[Country],Tabela1[[#This Row],[Country]],Table138141[1000m Classification],"&gt;0")</f>
        <v>0</v>
      </c>
      <c r="PI64" s="6">
        <f>COUNTIFS(Table138[Country],Tabela1[[#This Row],[Country]],Table138[1500m Classification],"&gt;0")</f>
        <v>0</v>
      </c>
      <c r="PJ64" s="6">
        <f>COUNTIFS(Table138141[Country],Tabela1[[#This Row],[Country]],Table138141[1500m Classification],"&gt;0")</f>
        <v>0</v>
      </c>
      <c r="PK64" s="6">
        <f>COUNTIFS(Table141[Country],Tabela1[[#This Row],[Country]],Table141[Men''s 5000m Relay Classification],"&gt;0")</f>
        <v>0</v>
      </c>
      <c r="PL64" s="6">
        <f>COUNTIFS(Table141[Country],Tabela1[[#This Row],[Country]],Table141[Women''s 3000m Relay Classification],"&gt;0")</f>
        <v>0</v>
      </c>
      <c r="PM64" s="6">
        <f>COUNTIFS(Table141[Country],Tabela1[[#This Row],[Country]],Table141[Mixed 2000m Relay Classification],"&gt;0")</f>
        <v>0</v>
      </c>
      <c r="PN64" s="6">
        <f>COUNTIFS(Table142[Country],Tabela1[[#This Row],[Country]],Table142[Classification],"&gt;0")</f>
        <v>0</v>
      </c>
      <c r="PO64" s="6">
        <f>COUNTIFS(Table142145[Country],Tabela1[[#This Row],[Country]],Table142145[Classification],"&gt;0")</f>
        <v>0</v>
      </c>
      <c r="PP64" s="6">
        <f>COUNTIFS(Tabela15[Country],Tabela1[[#This Row],[Country]],Tabela15[Mixed Team Classification],"&gt;0")</f>
        <v>0</v>
      </c>
      <c r="PQ64" s="6">
        <f>COUNTIFS(Table145[Country],Tabela1[[#This Row],[Country]],Table145[Large Hill Classification],"&gt;0")</f>
        <v>0</v>
      </c>
      <c r="PR64" s="6">
        <f>COUNTIFS(Table145[Country],Tabela1[[#This Row],[Country]],Table145[Normal Hill Classification],"&gt;0")</f>
        <v>0</v>
      </c>
      <c r="PS64" s="6">
        <f>COUNTIFS(Table145148[Country],Tabela1[[#This Row],[Country]],Table145148[Large Hill Classification],"&gt;0")</f>
        <v>0</v>
      </c>
      <c r="PT64" s="6">
        <f>COUNTIFS(Table145148[Country],Tabela1[[#This Row],[Country]],Table145148[Normal Hill Classification],"&gt;0")</f>
        <v>0</v>
      </c>
      <c r="PU64" s="6">
        <f>COUNTIFS(Table148[Country],Tabela1[[#This Row],[Country]],Table148[Men''s Super Team Classification],"&gt;0")</f>
        <v>0</v>
      </c>
      <c r="PV64" s="6">
        <f>COUNTIFS(Tabela114[Country],Tabela1[[#This Row],[Country]],Tabela114[Mixed Normal Hill Classification],"&gt;0")</f>
        <v>0</v>
      </c>
      <c r="PW64" s="6">
        <f>COUNTIFS(Tabela50[Country],Tabela1[[#This Row],[Country]],Tabela50[Sprint Classification],"&gt;0")</f>
        <v>0</v>
      </c>
      <c r="PX64" s="6">
        <f>COUNTIFS(Tabela50101[Country],Tabela1[[#This Row],[Country]],Tabela50101[Sprint Classification],"&gt;0")</f>
        <v>0</v>
      </c>
      <c r="PY64" s="6">
        <f>COUNTIFS(Tabela103[Country],Tabela1[[#This Row],[Country]],Tabela103[Mixed Relay Classification],"&gt;0")</f>
        <v>0</v>
      </c>
      <c r="PZ64" s="6">
        <f>COUNTIFS(Table149[Country],Tabela1[[#This Row],[Country]],Table149[Big Air Classification],"&gt;0")</f>
        <v>0</v>
      </c>
      <c r="QA64" s="6">
        <f>COUNTIFS(Table149152[Country],Tabela1[[#This Row],[Country]],Table149152[Big Air Classification],"&gt;0")</f>
        <v>0</v>
      </c>
      <c r="QB64" s="6">
        <f>COUNTIFS(Table149[Country],Tabela1[[#This Row],[Country]],Table149[Halfpipe Classification],"&gt;0")</f>
        <v>0</v>
      </c>
      <c r="QC64" s="6">
        <f>COUNTIFS(Table149152[Country],Tabela1[[#This Row],[Country]],Table149152[Halfpipe Classification],"&gt;0")</f>
        <v>0</v>
      </c>
      <c r="QD64" s="6">
        <f>COUNTIFS(Table149[Country],Tabela1[[#This Row],[Country]],Table149[Parallel Giant Slalom Classification],"&gt;0")</f>
        <v>0</v>
      </c>
      <c r="QE64" s="6">
        <f>COUNTIFS(Table149152[Country],Tabela1[[#This Row],[Country]],Table149152[Parallel Giant Slalom Classification],"&gt;0")</f>
        <v>0</v>
      </c>
      <c r="QF64" s="6">
        <f>COUNTIFS(Table149[Country],Tabela1[[#This Row],[Country]],Table149[Slopestyle Classification],"&gt;0")</f>
        <v>0</v>
      </c>
      <c r="QG64" s="6">
        <f>COUNTIFS(Table149152[Country],Tabela1[[#This Row],[Country]],Table149152[Slopestyle Classification],"&gt;0")</f>
        <v>0</v>
      </c>
      <c r="QH64" s="6">
        <f>COUNTIFS(Table149[Country],Tabela1[[#This Row],[Country]],Table149[Snowboard Cross Classification],"&gt;0")</f>
        <v>0</v>
      </c>
      <c r="QI64" s="6">
        <f>COUNTIFS(Table149152[Country],Tabela1[[#This Row],[Country]],Table149152[Snowboard Cross Classification],"&gt;0")</f>
        <v>0</v>
      </c>
      <c r="QJ64" s="6">
        <f>COUNTIFS(Table153[Country],Tabela1[[#This Row],[Country]],Table153[Mixed Team Snowboard Cross Classification],"&gt;0")</f>
        <v>0</v>
      </c>
      <c r="QK64" s="6">
        <f>COUNTIFS(Table154[Country],Tabela1[[#This Row],[Country]],Table154[500m Classification],"&gt;0")</f>
        <v>0</v>
      </c>
      <c r="QL64" s="6">
        <f>COUNTIFS(Table154157[Country],Tabela1[[#This Row],[Country]],Table154157[500m Classification],"&gt;0")</f>
        <v>0</v>
      </c>
      <c r="QM64" s="6">
        <f>COUNTIFS(Table154[Country],Tabela1[[#This Row],[Country]],Table154[1000m Classification],"&gt;0")</f>
        <v>0</v>
      </c>
      <c r="QN64" s="6">
        <f>COUNTIFS(Table154157[Country],Tabela1[[#This Row],[Country]],Table154157[1000m Classification],"&gt;0")</f>
        <v>0</v>
      </c>
      <c r="QO64" s="6">
        <f>COUNTIFS(Table154[Country],Tabela1[[#This Row],[Country]],Table154[1500m Classification],"&gt;0")</f>
        <v>0</v>
      </c>
      <c r="QP64" s="6">
        <f>COUNTIFS(Table154157[Country],Tabela1[[#This Row],[Country]],Table154157[1500m Classification],"&gt;0")</f>
        <v>0</v>
      </c>
      <c r="QQ64" s="6">
        <f>COUNTIFS(Table154157[Country],Tabela1[[#This Row],[Country]],Table154157[3000m Classification],"&gt;0")</f>
        <v>0</v>
      </c>
      <c r="QR64" s="6">
        <f>COUNTIFS(Table154[Country],Tabela1[[#This Row],[Country]],Table154[5000m Classification],"&gt;0")</f>
        <v>0</v>
      </c>
      <c r="QS64" s="6">
        <f>COUNTIFS(Table154157[Country],Tabela1[[#This Row],[Country]],Table154157[5000m Classification],"&gt;0")</f>
        <v>0</v>
      </c>
      <c r="QT64" s="6">
        <f>COUNTIFS(Table154[Country],Tabela1[[#This Row],[Country]],Table154[10000m Classification],"&gt;0")</f>
        <v>0</v>
      </c>
      <c r="QU64" s="6">
        <f>COUNTIFS(Table154[Country],Tabela1[[#This Row],[Country]],Table154[Mass Start Classification],"&gt;0")</f>
        <v>0</v>
      </c>
      <c r="QV64" s="6">
        <f>COUNTIFS(Table154157[Country],Tabela1[[#This Row],[Country]],Table154157[Mass Start Classification],"&gt;0")</f>
        <v>0</v>
      </c>
      <c r="QW64" s="6">
        <f>COUNTIFS(Table157[Country],Tabela1[[#This Row],[Country]],Table157[Men''s Pursuit Classification],"&gt;0")</f>
        <v>0</v>
      </c>
      <c r="QX64" s="6">
        <f>COUNTIFS(Table157[Country],Tabela1[[#This Row],[Country]],Table157[Women''s Pursuit Classification],"&gt;0")</f>
        <v>0</v>
      </c>
      <c r="QY64" s="4" t="s">
        <v>501</v>
      </c>
    </row>
    <row r="65" spans="1:467" x14ac:dyDescent="0.3">
      <c r="A65" s="6">
        <v>64</v>
      </c>
      <c r="B65" s="6" t="s">
        <v>512</v>
      </c>
      <c r="C65" t="e" vm="64">
        <f>IF(ISBLANK(Tabela1[[#This Row],[Image Link]]), "", _xlfn.IMAGE(Tabela1[[#This Row],[Image Link]],1,1))</f>
        <v>#VALUE!</v>
      </c>
      <c r="D65" s="6">
        <f>SUM(Tabela1[[#This Row],[Archery - Men''s Individual Recurve]:[Speed Skating - Women''s Team Pursuit]])</f>
        <v>9</v>
      </c>
      <c r="E65" s="6">
        <f>COUNTIF(Tabela1[[#This Row],[Archery - Men''s Individual Recurve]:[Speed Skating - Women''s Team Pursuit]],"&gt;0")</f>
        <v>9</v>
      </c>
      <c r="F65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65" s="6">
        <f>SUM(Tabela1[[#This Row],[Archery - Men''s Individual Recurve]:[Wrestling - Women''s Freestyle 76kg]])</f>
        <v>9</v>
      </c>
      <c r="H65" s="6">
        <f>SUM(Tabela1[[#This Row],[Alpine Skiing - Men''s Downhill]:[Speed Skating - Women''s Team Pursuit]])</f>
        <v>0</v>
      </c>
      <c r="I65" s="6">
        <f>Tabela1[[#This Row],[Summer Gold Medals]]+Tabela1[[#This Row],[Winter Gold Medals]]</f>
        <v>2</v>
      </c>
      <c r="J65" s="6">
        <f>Tabela1[[#This Row],[Summer Silver Medals]]+Tabela1[[#This Row],[Winter Silver Medals]]</f>
        <v>1</v>
      </c>
      <c r="K65" s="6">
        <f>Tabela1[[#This Row],[Summer Bronze Medals]]+Tabela1[[#This Row],[Winter Bronze Medals]]</f>
        <v>1</v>
      </c>
      <c r="L65" s="6">
        <f>SUM(Tabela1[[#This Row],[Total Gold Medals]:[Total Bronze Medals]])</f>
        <v>4</v>
      </c>
      <c r="M65" s="6">
        <v>2</v>
      </c>
      <c r="N65" s="6">
        <v>1</v>
      </c>
      <c r="O65" s="6">
        <v>1</v>
      </c>
      <c r="P65" s="6">
        <f>SUM(Tabela1[[#This Row],[Summer Gold Medals]:[Summer Bronze Medals]])</f>
        <v>4</v>
      </c>
      <c r="Q65" s="6"/>
      <c r="R65" s="6"/>
      <c r="S65" s="6"/>
      <c r="T65" s="6">
        <f>Tabela1[[#This Row],[Winter Gold Medals]]+Tabela1[[#This Row],[Winter Silver Medals]]+Tabela1[[#This Row],[Winter Bronze Medals]]</f>
        <v>0</v>
      </c>
      <c r="U65" s="7">
        <f>Tabela1[[#This Row],[Total Medals]]/Tabela1[[#This Row],[Total Quotas]]</f>
        <v>0.44444444444444442</v>
      </c>
      <c r="V65" s="6">
        <f>COUNTIFS(Table3[Country],Tabela1[[#This Row],[Country]],Table3[Recurve Classification],"&gt;0")</f>
        <v>0</v>
      </c>
      <c r="W65" s="6">
        <f>COUNTIFS(Table33[Country],Tabela1[[#This Row],[Country]],Table33[Recurve Classification],"&gt;0")</f>
        <v>0</v>
      </c>
      <c r="X65" s="6">
        <f>COUNTIFS(Table35[Country],Tabela1[[#This Row],[Country]],Table35[Men''s Team Recurve Classification],"&gt;0")</f>
        <v>0</v>
      </c>
      <c r="Y65" s="6">
        <f>COUNTIFS(Table35[Country],Tabela1[[#This Row],[Country]],Table35[Women''s Team Recurve Classification],"&gt;0")</f>
        <v>0</v>
      </c>
      <c r="Z65" s="6">
        <f>COUNTIFS(Tabela88[Country],Tabela1[[#This Row],[Country]],Tabela88[Mixed Team Recurve Classification],"&gt;0")</f>
        <v>0</v>
      </c>
      <c r="AA65" s="6">
        <f>COUNTIFS(Table36[Country],Tabela1[[#This Row],[Country]],Table36[Classification],"&gt;0")</f>
        <v>0</v>
      </c>
      <c r="AB65" s="6">
        <f>COUNTIFS(Table37[Country],Tabela1[[#This Row],[Country]],Table37[Classification],"&gt;0")</f>
        <v>0</v>
      </c>
      <c r="AC65" s="6">
        <f>COUNTIFS(Table4[Country],Tabela1[[#This Row],[Country]],Table4[100m Classification],"&gt;0")</f>
        <v>0</v>
      </c>
      <c r="AD65" s="6">
        <f>COUNTIFS(Table5[Country],Tabela1[[#This Row],[Country]],Table5[100m Classification],"&gt;0")</f>
        <v>0</v>
      </c>
      <c r="AE65" s="6">
        <f>COUNTIFS(Table4[Country],Tabela1[[#This Row],[Country]],Table4[200m Classification],"&gt;0")</f>
        <v>0</v>
      </c>
      <c r="AF65" s="6">
        <f>COUNTIFS(Table5[Country],Tabela1[[#This Row],[Country]],Table5[200m Classification],"&gt;0")</f>
        <v>0</v>
      </c>
      <c r="AG65" s="6">
        <f>COUNTIFS(Table4[Country],Tabela1[[#This Row],[Country]],Table4[400m Classification],"&gt;0")</f>
        <v>0</v>
      </c>
      <c r="AH65" s="6">
        <f>COUNTIFS(Table5[Country],Tabela1[[#This Row],[Country]],Table5[400m Classification],"&gt;0")</f>
        <v>0</v>
      </c>
      <c r="AI65" s="6">
        <f>COUNTIFS(Table4[Country],Tabela1[[#This Row],[Country]],Table4[800m Classification],"&gt;0")</f>
        <v>0</v>
      </c>
      <c r="AJ65" s="6">
        <f>COUNTIFS(Table5[Country],Tabela1[[#This Row],[Country]],Table5[800m Classification],"&gt;0")</f>
        <v>1</v>
      </c>
      <c r="AK65" s="6">
        <f>COUNTIFS(Table4[Country],Tabela1[[#This Row],[Country]],Table4[1500m Classification],"&gt;0")</f>
        <v>0</v>
      </c>
      <c r="AL65" s="6">
        <f>COUNTIFS(Table5[Country],Tabela1[[#This Row],[Country]],Table5[1500m Classification],"&gt;0")</f>
        <v>0</v>
      </c>
      <c r="AM65" s="6">
        <f>COUNTIFS(Table4[Country],Tabela1[[#This Row],[Country]],Table4[5000m Classification],"&gt;0")</f>
        <v>1</v>
      </c>
      <c r="AN65" s="6">
        <f>COUNTIFS(Table5[Country],Tabela1[[#This Row],[Country]],Table5[5000m Classification],"&gt;0")</f>
        <v>0</v>
      </c>
      <c r="AO65" s="6">
        <f>COUNTIFS(Table4[Country],Tabela1[[#This Row],[Country]],Table4[10000m Classification],"&gt;0")</f>
        <v>1</v>
      </c>
      <c r="AP65" s="6">
        <f>COUNTIFS(Table5[Country],Tabela1[[#This Row],[Country]],Table5[10000m Classification],"&gt;0")</f>
        <v>0</v>
      </c>
      <c r="AQ65" s="6">
        <f>COUNTIFS(Table4[Country],Tabela1[[#This Row],[Country]],Table4[110m Hurdles Classification],"&gt;0")</f>
        <v>0</v>
      </c>
      <c r="AR65" s="6">
        <f>COUNTIFS(Table5[Country],Tabela1[[#This Row],[Country]],Table5[100m Hurdles Classification],"&gt;0")</f>
        <v>0</v>
      </c>
      <c r="AS65" s="6">
        <f>COUNTIFS(Table4[Country],Tabela1[[#This Row],[Country]],Table4[400m Hurdles Classification],"&gt;0")</f>
        <v>0</v>
      </c>
      <c r="AT65" s="6">
        <f>COUNTIFS(Table5[Country],Tabela1[[#This Row],[Country]],Table5[400m Hurdles Classification],"&gt;0")</f>
        <v>0</v>
      </c>
      <c r="AU65" s="6">
        <f>COUNTIFS(Table4[Country],Tabela1[[#This Row],[Country]],Table4[3000m Steeplechase Classification],"&gt;0")</f>
        <v>0</v>
      </c>
      <c r="AV65" s="6">
        <f>COUNTIFS(Table5[Country],Tabela1[[#This Row],[Country]],Table5[3000m Steeplechase Classification],"&gt;0")</f>
        <v>0</v>
      </c>
      <c r="AW65" s="6">
        <f>COUNTIFS(Table27[Country],Tabela1[[#This Row],[Country]],Table27[Men''s 4x100m Relay Classification],"&gt;0")</f>
        <v>0</v>
      </c>
      <c r="AX65" s="6">
        <f>COUNTIFS(Table27[Country],Tabela1[[#This Row],[Country]],Table27[Women''s 4x100m Relay Classification],"&gt;0")</f>
        <v>0</v>
      </c>
      <c r="AY65" s="6">
        <f>COUNTIFS(Table27[Country],Tabela1[[#This Row],[Country]],Table27[Men''s 4x400m Relay Classification],"&gt;0")</f>
        <v>0</v>
      </c>
      <c r="AZ65" s="6">
        <f>COUNTIFS(Table27[Country],Tabela1[[#This Row],[Country]],Table27[Women''s 4x400m Relay Classification],"&gt;0")</f>
        <v>0</v>
      </c>
      <c r="BA65" s="6">
        <f>COUNTIFS(Table27[Country],Tabela1[[#This Row],[Country]],Table27[Mixed 4x400m Relay Classification],"&gt;0")</f>
        <v>0</v>
      </c>
      <c r="BB65" s="6">
        <f>COUNTIFS(Table4[Country],Tabela1[[#This Row],[Country]],Table4[Marathon Classification],"&gt;0")</f>
        <v>0</v>
      </c>
      <c r="BC65" s="6">
        <f>COUNTIFS(Table5[Country],Tabela1[[#This Row],[Country]],Table5[Marathon Classification],"&gt;0")</f>
        <v>1</v>
      </c>
      <c r="BD65" s="6">
        <f>COUNTIFS(Table4[Country],Tabela1[[#This Row],[Country]],Table4[20km Race Walk Classification],"&gt;0")</f>
        <v>0</v>
      </c>
      <c r="BE65" s="6">
        <f>COUNTIFS(Table5[Country],Tabela1[[#This Row],[Country]],Table5[20km Race Walk Classification],"&gt;0")</f>
        <v>0</v>
      </c>
      <c r="BF65" s="6">
        <f>COUNTIFS(Tabela96[Country],Tabela1[[#This Row],[Country]],Tabela96[Mixed Marathon Race Walk Relay Classification],"&gt;0")</f>
        <v>0</v>
      </c>
      <c r="BG65" s="6">
        <f>COUNTIFS(Table4[Country],Tabela1[[#This Row],[Country]],Table4[Discus Throw Classification],"&gt;0")</f>
        <v>0</v>
      </c>
      <c r="BH65" s="6">
        <f>COUNTIFS(Table5[Country],Tabela1[[#This Row],[Country]],Table5[Discus Throw Classification],"&gt;0")</f>
        <v>0</v>
      </c>
      <c r="BI65" s="6">
        <f>COUNTIFS(Table4[Country],Tabela1[[#This Row],[Country]],Table4[Hammer Throw Classification],"&gt;0")</f>
        <v>0</v>
      </c>
      <c r="BJ65" s="6">
        <f>COUNTIFS(Table5[Country],Tabela1[[#This Row],[Country]],Table5[Hammer Throw Classification],"&gt;0")</f>
        <v>0</v>
      </c>
      <c r="BK65" s="6">
        <f>COUNTIFS(Table4[Country],Tabela1[[#This Row],[Country]],Table4[High Jump Classification],"&gt;0")</f>
        <v>0</v>
      </c>
      <c r="BL65" s="6">
        <f>COUNTIFS(Table5[Country],Tabela1[[#This Row],[Country]],Table5[High Jump Classification],"&gt;0")</f>
        <v>0</v>
      </c>
      <c r="BM65" s="6">
        <f>COUNTIFS(Table4[Country],Tabela1[[#This Row],[Country]],Table4[Javelin Throw Classification],"&gt;0")</f>
        <v>0</v>
      </c>
      <c r="BN65" s="6">
        <f>COUNTIFS(Table5[Country],Tabela1[[#This Row],[Country]],Table5[Javelin Throw Classification],"&gt;0")</f>
        <v>0</v>
      </c>
      <c r="BO65" s="6">
        <f>COUNTIFS(Table4[Country],Tabela1[[#This Row],[Country]],Table4[Long Jump Classification],"&gt;0")</f>
        <v>0</v>
      </c>
      <c r="BP65" s="6">
        <f>COUNTIFS(Table5[Country],Tabela1[[#This Row],[Country]],Table5[Long Jump Classification],"&gt;0")</f>
        <v>0</v>
      </c>
      <c r="BQ65" s="6">
        <f>COUNTIFS(Table4[Country],Tabela1[[#This Row],[Country]],Table4[Pole Vault Classification],"&gt;0")</f>
        <v>0</v>
      </c>
      <c r="BR65" s="6">
        <f>COUNTIFS(Table5[Country],Tabela1[[#This Row],[Country]],Table5[Pole Vault Classification],"&gt;0")</f>
        <v>0</v>
      </c>
      <c r="BS65" s="6">
        <f>COUNTIFS(Table4[Country],Tabela1[[#This Row],[Country]],Table4[Shot Put Classification],"&gt;0")</f>
        <v>0</v>
      </c>
      <c r="BT65" s="6">
        <f>COUNTIFS(Table5[Country],Tabela1[[#This Row],[Country]],Table5[Shot Put Classification],"&gt;0")</f>
        <v>0</v>
      </c>
      <c r="BU65" s="6">
        <f>COUNTIFS(Table4[Country],Tabela1[[#This Row],[Country]],Table4[Triple Jump Classification],"&gt;0")</f>
        <v>0</v>
      </c>
      <c r="BV65" s="6">
        <f>COUNTIFS(Table5[Country],Tabela1[[#This Row],[Country]],Table5[Triple Jump Classification],"&gt;0")</f>
        <v>0</v>
      </c>
      <c r="BW65" s="6">
        <f>COUNTIFS(Table4[Country],Tabela1[[#This Row],[Country]],Table4[Decathlon Classification],"&gt;0")</f>
        <v>0</v>
      </c>
      <c r="BX65" s="6">
        <f>COUNTIFS(Table5[Country],Tabela1[[#This Row],[Country]],Table5[Heptathlon Classification],"&gt;0")</f>
        <v>0</v>
      </c>
      <c r="BY65" s="6">
        <f>COUNTIFS(Table61[Country],Tabela1[[#This Row],[Country]],Table61[Classification],"&gt;0")</f>
        <v>0</v>
      </c>
      <c r="BZ65" s="6">
        <f>COUNTIFS(Table38[Country],Tabela1[[#This Row],[Country]],Table38[Classification],"&gt;0")</f>
        <v>0</v>
      </c>
      <c r="CA65" s="6">
        <f>COUNTIFS(Table39[Country],Tabela1[[#This Row],[Country]],Table39[Men''s Classification],"&gt;0")</f>
        <v>0</v>
      </c>
      <c r="CB65" s="6">
        <f>COUNTIFS(Table39[Country],Tabela1[[#This Row],[Country]],Table39[Women''s Classification],"&gt;0")</f>
        <v>0</v>
      </c>
      <c r="CC65" s="6">
        <f>COUNTIFS(Table39[Country],Tabela1[[#This Row],[Country]],Table39[Mixed Classification],"&gt;0")</f>
        <v>0</v>
      </c>
      <c r="CD65" s="6">
        <f>COUNTIFS(Table89[Country],Tabela1[[#This Row],[Country]],Table89[Men''s Classification],"&gt;0")</f>
        <v>0</v>
      </c>
      <c r="CE65" s="6">
        <f>COUNTIFS(Table89[Country],Tabela1[[#This Row],[Country]],Table89[Women''s Classification],"&gt;0")</f>
        <v>0</v>
      </c>
      <c r="CF65" s="6">
        <f>COUNTIFS(Table90[Country],Tabela1[[#This Row],[Country]],Table90[Men''s Classification],"&gt;0")</f>
        <v>0</v>
      </c>
      <c r="CG65" s="6">
        <f>COUNTIFS(Table90[Country],Tabela1[[#This Row],[Country]],Table90[Women''s Classification],"&gt;0")</f>
        <v>0</v>
      </c>
      <c r="CH65" s="6">
        <f>COUNTIFS(Table60[Country],Tabela1[[#This Row],[Country]],Table60[Men''s Classification],"&gt;0")</f>
        <v>0</v>
      </c>
      <c r="CI65" s="6">
        <f>COUNTIFS(Table60[Country],Tabela1[[#This Row],[Country]],Table60[Women''s Classification],"&gt;0")</f>
        <v>0</v>
      </c>
      <c r="CJ65" s="6">
        <f>COUNTIFS(Table6[Country],Tabela1[[#This Row],[Country]],Table6[51kg Classification],"&gt;0")</f>
        <v>0</v>
      </c>
      <c r="CK65" s="6">
        <f>COUNTIFS(Table6[Country],Tabela1[[#This Row],[Country]],Table6[57kg Classification],"&gt;0")</f>
        <v>0</v>
      </c>
      <c r="CL65" s="6">
        <f>COUNTIFS(Table6[Country],Tabela1[[#This Row],[Country]],Table6[63.5kg Classification],"&gt;0")</f>
        <v>0</v>
      </c>
      <c r="CM65" s="6">
        <f>COUNTIFS(Table6[Country],Tabela1[[#This Row],[Country]],Table6[71kg Classification],"&gt;0")</f>
        <v>0</v>
      </c>
      <c r="CN65" s="6">
        <f>COUNTIFS(Table6[Country],Tabela1[[#This Row],[Country]],Table6[80kg Classification],"&gt;0")</f>
        <v>0</v>
      </c>
      <c r="CO65" s="6">
        <f>COUNTIFS(Table6[Country],Tabela1[[#This Row],[Country]],Table6[92kg Classification],"&gt;0")</f>
        <v>0</v>
      </c>
      <c r="CP65" s="6">
        <f>COUNTIFS(Table6[Country],Tabela1[[#This Row],[Country]],Table6[Plus 92kg Classification],"&gt;0")</f>
        <v>0</v>
      </c>
      <c r="CQ65" s="6">
        <f>COUNTIFS(Table7[Country],Tabela1[[#This Row],[Country]],Table7[50kg Classification],"&gt;0")</f>
        <v>0</v>
      </c>
      <c r="CR65" s="6">
        <f>COUNTIFS(Table7[Country],Tabela1[[#This Row],[Country]],Table7[54kg Classification],"&gt;0")</f>
        <v>0</v>
      </c>
      <c r="CS65" s="6">
        <f>COUNTIFS(Table7[Country],Tabela1[[#This Row],[Country]],Table7[57kg Classification],"&gt;0")</f>
        <v>0</v>
      </c>
      <c r="CT65" s="6">
        <f>COUNTIFS(Table7[Country],Tabela1[[#This Row],[Country]],Table7[60kg Classification],"&gt;0")</f>
        <v>0</v>
      </c>
      <c r="CU65" s="6">
        <f>COUNTIFS(Table7[Country],Tabela1[[#This Row],[Country]],Table7[66kg Classification],"&gt;0")</f>
        <v>0</v>
      </c>
      <c r="CV65" s="6">
        <f>COUNTIFS(Table7[Country],Tabela1[[#This Row],[Country]],Table7[75kg Classification],"&gt;0")</f>
        <v>0</v>
      </c>
      <c r="CW65" s="6">
        <f>COUNTIFS(Tabela94[Country],Tabela1[[#This Row],[Country]],Tabela94[Classification],"&gt;0")</f>
        <v>0</v>
      </c>
      <c r="CX65" s="6">
        <f>COUNTIFS(Tabela9499[Country],Tabela1[[#This Row],[Country]],Tabela9499[Classification],"&gt;0")</f>
        <v>0</v>
      </c>
      <c r="CY65" s="6">
        <f>COUNTIFS(Tabela107[Country],Tabela1[[#This Row],[Country]],Tabela107[C1 Slalom Classification],"&gt;0")</f>
        <v>0</v>
      </c>
      <c r="CZ65" s="6">
        <f>COUNTIFS(Tabela107122[Country],Tabela1[[#This Row],[Country]],Tabela107122[C1 Slalom Classification],"&gt;0")</f>
        <v>0</v>
      </c>
      <c r="DA65" s="6">
        <f>COUNTIFS(Tabela107[Country],Tabela1[[#This Row],[Country]],Tabela107[K1 Slalom Classification],"&gt;0")</f>
        <v>0</v>
      </c>
      <c r="DB65" s="6">
        <f>COUNTIFS(Tabela107122[Country],Tabela1[[#This Row],[Country]],Tabela107122[K1 Slalom Classification],"&gt;0")</f>
        <v>0</v>
      </c>
      <c r="DC65" s="6">
        <f>COUNTIFS(Tabela107[Country],Tabela1[[#This Row],[Country]],Tabela107[Kayak Cross Slalom Classification],"&gt;0")</f>
        <v>0</v>
      </c>
      <c r="DD65" s="6">
        <f>COUNTIFS(Tabela107122[Country],Tabela1[[#This Row],[Country]],Tabela107122[Kayak Cross Slalom Classification],"&gt;0")</f>
        <v>0</v>
      </c>
      <c r="DE65" s="6">
        <f>COUNTIFS(Table8[Country],Tabela1[[#This Row],[Country]],Table8[C1 200m Classification],"&gt;0")</f>
        <v>0</v>
      </c>
      <c r="DF65" s="6">
        <f>COUNTIFS(Table40[Country],Tabela1[[#This Row],[Country]],Table40[C1 1000m Classification],"&gt;0")</f>
        <v>0</v>
      </c>
      <c r="DG65" s="6">
        <f>COUNTIFS(Table68[Country],Tabela1[[#This Row],[Country]],Table68[Men''s C2 500m Classification],"&gt;0")</f>
        <v>0</v>
      </c>
      <c r="DH65" s="6">
        <f>COUNTIFS(Table68[Country],Tabela1[[#This Row],[Country]],Table68[Women''s C2 500m Classification],"&gt;0")</f>
        <v>0</v>
      </c>
      <c r="DI65" s="6">
        <f>COUNTIFS(Table8[Country],Tabela1[[#This Row],[Country]],Table8[K1 500m Classification],"&gt;0")</f>
        <v>0</v>
      </c>
      <c r="DJ65" s="6">
        <f>COUNTIFS(Table40[Country],Tabela1[[#This Row],[Country]],Table40[K1 1000m Classification],"&gt;0")</f>
        <v>0</v>
      </c>
      <c r="DK65" s="6">
        <f>COUNTIFS(Table68[Country],Tabela1[[#This Row],[Country]],Table68[Men''s K2 500m Classification],"&gt;0")</f>
        <v>0</v>
      </c>
      <c r="DL65" s="6">
        <f>COUNTIFS(Table68[Country],Tabela1[[#This Row],[Country]],Table68[Women''s K2 500m Classification],"&gt;0")</f>
        <v>0</v>
      </c>
      <c r="DM65" s="6">
        <f>COUNTIFS(Table83[Country],Tabela1[[#This Row],[Country]],Table83[Men''s K4 500m Classification],"&gt;0")</f>
        <v>0</v>
      </c>
      <c r="DN65" s="6">
        <f>COUNTIFS(Table83[Country],Tabela1[[#This Row],[Country]],Table83[Women''s K4 500m Classification],"&gt;0")</f>
        <v>0</v>
      </c>
      <c r="DO65" s="6">
        <f>COUNTIFS(Tabela126[Country],Tabela1[[#This Row],[Country]],Tabela126[Classification],"&gt;0")</f>
        <v>0</v>
      </c>
      <c r="DP65" s="6">
        <f>COUNTIFS(Tabela126130[Country],Tabela1[[#This Row],[Country]],Tabela126130[Classification],"&gt;0")</f>
        <v>0</v>
      </c>
      <c r="DQ65" s="6">
        <f>COUNTIFS(Table70[Country],Tabela1[[#This Row],[Country]],Table70[Classification],"&gt;0")</f>
        <v>0</v>
      </c>
      <c r="DR65" s="6">
        <f>COUNTIFS(Table80[Country],Tabela1[[#This Row],[Country]],Table80[Classification],"&gt;0")</f>
        <v>0</v>
      </c>
      <c r="DS65" s="6">
        <f>COUNTIFS(Table66[Country],Tabela1[[#This Row],[Country]],Table66[Classification],"&gt;0")</f>
        <v>0</v>
      </c>
      <c r="DT65" s="6">
        <f>COUNTIFS(Table67[Country],Tabela1[[#This Row],[Country]],Table67[Classification],"&gt;0")</f>
        <v>0</v>
      </c>
      <c r="DU65" s="6">
        <f>COUNTIFS(Table69[Country],Tabela1[[#This Row],[Country]],Table69[Keirin Classification],"&gt;0")</f>
        <v>0</v>
      </c>
      <c r="DV65" s="6">
        <f>COUNTIFS(Table41[Country],Tabela1[[#This Row],[Country]],Table41[Keirin Classification],"&gt;0")</f>
        <v>0</v>
      </c>
      <c r="DW65" s="6">
        <f>COUNTIFS(Table84[Country],Tabela1[[#This Row],[Country]],Table84[Men''s Madison Classification],"&gt;0")</f>
        <v>0</v>
      </c>
      <c r="DX65" s="6">
        <f>COUNTIFS(Table84[Country],Tabela1[[#This Row],[Country]],Table84[Women''s Madison Classification],"&gt;0")</f>
        <v>0</v>
      </c>
      <c r="DY65" s="6">
        <f>COUNTIFS(Table69[Country],Tabela1[[#This Row],[Country]],Table69[Omnium Classification],"&gt;0")</f>
        <v>0</v>
      </c>
      <c r="DZ65" s="6">
        <f>COUNTIFS(Table41[Country],Tabela1[[#This Row],[Country]],Table41[Omnium Classification],"&gt;0")</f>
        <v>0</v>
      </c>
      <c r="EA65" s="6">
        <f>COUNTIFS(Table9[Country],Tabela1[[#This Row],[Country]],Table9[Road Race Classification],"&gt;0")</f>
        <v>0</v>
      </c>
      <c r="EB65" s="6">
        <f>COUNTIFS(Table14[Country],Tabela1[[#This Row],[Country]],Table14[Road Race Classification],"&gt;0")</f>
        <v>0</v>
      </c>
      <c r="EC65" s="6">
        <f>COUNTIFS(Table69[Country],Tabela1[[#This Row],[Country]],Table69[Sprint Classification],"&gt;0")</f>
        <v>0</v>
      </c>
      <c r="ED65" s="6">
        <f>COUNTIFS(Table41[Country],Tabela1[[#This Row],[Country]],Table41[Sprint Classification],"&gt;0")</f>
        <v>0</v>
      </c>
      <c r="EE65" s="6">
        <f>COUNTIFS(Table85[Country],Tabela1[[#This Row],[Country]],Table85[Men''s Sprint Classification],"&gt;0")</f>
        <v>0</v>
      </c>
      <c r="EF65" s="6">
        <f>COUNTIFS(Table85[Country],Tabela1[[#This Row],[Country]],Table85[Women''s Sprint Classification],"&gt;0")</f>
        <v>0</v>
      </c>
      <c r="EG65" s="6">
        <f>COUNTIFS(Table85[Country],Tabela1[[#This Row],[Country]],Table85[Men''s Pursuit Classification],"&gt;0")</f>
        <v>0</v>
      </c>
      <c r="EH65" s="6">
        <f>COUNTIFS(Table85[Country],Tabela1[[#This Row],[Country]],Table85[Women''s Pursuit Classification],"&gt;0")</f>
        <v>0</v>
      </c>
      <c r="EI65" s="6">
        <f>COUNTIFS(Table9[Country],Tabela1[[#This Row],[Country]],Table9[Time-Trial Classification],"&gt;0")</f>
        <v>0</v>
      </c>
      <c r="EJ65" s="6">
        <f>COUNTIFS(Table14[Country],Tabela1[[#This Row],[Country]],Table14[Time-Trial Classification],"&gt;0")</f>
        <v>0</v>
      </c>
      <c r="EK65" s="6">
        <f>COUNTIFS(Table42[Country],Tabela1[[#This Row],[Country]],Table42[Springboard Classification],"&gt;0")</f>
        <v>0</v>
      </c>
      <c r="EL65" s="6">
        <f>COUNTIFS(Table43[Country],Tabela1[[#This Row],[Country]],Table43[Springboard Classification],"&gt;0")</f>
        <v>0</v>
      </c>
      <c r="EM65" s="6">
        <f>COUNTIFS(Table42[Country],Tabela1[[#This Row],[Country]],Table42[Platform Classification],"&gt;0")</f>
        <v>0</v>
      </c>
      <c r="EN65" s="6">
        <f>COUNTIFS(Table43[Country],Tabela1[[#This Row],[Country]],Table43[Platform Classification],"&gt;0")</f>
        <v>0</v>
      </c>
      <c r="EO65" s="6">
        <f>COUNTIFS(Table86[Country],Tabela1[[#This Row],[Country]],Table86[Men''s Synchronized Springboard Classification],"&gt;0")</f>
        <v>0</v>
      </c>
      <c r="EP65" s="6">
        <f>COUNTIFS(Table86[Country],Tabela1[[#This Row],[Country]],Table86[Women''s Synchronized Springboard Classification],"&gt;0")</f>
        <v>0</v>
      </c>
      <c r="EQ65" s="6">
        <f>COUNTIFS(Table86[Country],Tabela1[[#This Row],[Country]],Table86[Men''s Synchronized Platform Classification],"&gt;0")</f>
        <v>0</v>
      </c>
      <c r="ER65" s="6">
        <f>COUNTIFS(Table86[Country],Tabela1[[#This Row],[Country]],Table86[Women''s Synchronized Platform Classification],"&gt;0")</f>
        <v>0</v>
      </c>
      <c r="ES65" s="6">
        <f>COUNTIFS(Table44[Country],Tabela1[[#This Row],[Country]],Table44[Dressage Classification],"&gt;0")</f>
        <v>0</v>
      </c>
      <c r="ET65" s="6">
        <f>COUNTIFS(Table45[Country],Tabela1[[#This Row],[Country]],Table45[Dressage Classification],"&gt;0")</f>
        <v>0</v>
      </c>
      <c r="EU65" s="6">
        <f>COUNTIFS(Table44[Country],Tabela1[[#This Row],[Country]],Table44[Eventing Classification],"&gt;0")</f>
        <v>0</v>
      </c>
      <c r="EV65" s="6">
        <f>COUNTIFS(Table45[Country],Tabela1[[#This Row],[Country]],Table45[Eventing Classification],"&gt;0")</f>
        <v>0</v>
      </c>
      <c r="EW65" s="6">
        <f>COUNTIFS(Table44[Country],Tabela1[[#This Row],[Country]],Table44[Jumping Classification],"&gt;0")</f>
        <v>0</v>
      </c>
      <c r="EX65" s="6">
        <f>COUNTIFS(Table45[Country],Tabela1[[#This Row],[Country]],Table45[Jumping Classification],"&gt;0")</f>
        <v>0</v>
      </c>
      <c r="EY65" s="6">
        <f>COUNTIFS(Table10[Country],Tabela1[[#This Row],[Country]],Table10[Épée Classification],"&gt;0")</f>
        <v>0</v>
      </c>
      <c r="EZ65" s="6">
        <f>COUNTIFS(Table11[Country],Tabela1[[#This Row],[Country]],Table11[Épée Classification],"&gt;0")</f>
        <v>0</v>
      </c>
      <c r="FA65" s="6">
        <f>COUNTIFS(Table46[Country],Tabela1[[#This Row],[Country]],Table46[Men''s Épée Classification],"&gt;0")</f>
        <v>0</v>
      </c>
      <c r="FB65" s="6">
        <f>COUNTIFS(Table46[Country],Tabela1[[#This Row],[Country]],Table46[Women''s Épée Classification],"&gt;0")</f>
        <v>0</v>
      </c>
      <c r="FC65" s="6">
        <f>COUNTIFS(Table10[Country],Tabela1[[#This Row],[Country]],Table10[Foil Classification],"&gt;0")</f>
        <v>0</v>
      </c>
      <c r="FD65" s="6">
        <f>COUNTIFS(Table11[Country],Tabela1[[#This Row],[Country]],Table11[Foil Classification],"&gt;0")</f>
        <v>0</v>
      </c>
      <c r="FE65" s="6">
        <f>COUNTIFS(Table46[Country],Tabela1[[#This Row],[Country]],Table46[Men''s Foil Classification],"&gt;0")</f>
        <v>0</v>
      </c>
      <c r="FF65" s="6">
        <f>COUNTIFS(Table46[Country],Tabela1[[#This Row],[Country]],Table46[Women''s Foil Classification],"&gt;0")</f>
        <v>0</v>
      </c>
      <c r="FG65" s="6">
        <f>COUNTIFS(Table10[Country],Tabela1[[#This Row],[Country]],Table10[Sabre Classification],"&gt;0")</f>
        <v>0</v>
      </c>
      <c r="FH65" s="6">
        <f>COUNTIFS(Table11[Country],Tabela1[[#This Row],[Country]],Table11[Sabre Classification],"&gt;0")</f>
        <v>0</v>
      </c>
      <c r="FI65" s="6">
        <f>COUNTIFS(Table46[Country],Tabela1[[#This Row],[Country]],Table46[Men''s Sabre Classification],"&gt;0")</f>
        <v>0</v>
      </c>
      <c r="FJ65" s="6">
        <f>COUNTIFS(Table46[Country],Tabela1[[#This Row],[Country]],Table46[Women''s Sabre Classification],"&gt;0")</f>
        <v>0</v>
      </c>
      <c r="FK65" s="6">
        <f>COUNTIFS(Table91[Country],Tabela1[[#This Row],[Country]],Table91[Men''s Classification],"&gt;0")</f>
        <v>0</v>
      </c>
      <c r="FL65" s="6">
        <f>COUNTIFS(Table91[Country],Tabela1[[#This Row],[Country]],Table91[Women''s Classification],"&gt;0")</f>
        <v>0</v>
      </c>
      <c r="FM65" s="6">
        <f>COUNTIFS(Table9194[Country],Tabela1[[#This Row],[Country]],Table9194[Men''s Classification],"&gt;0")</f>
        <v>0</v>
      </c>
      <c r="FN65" s="6">
        <f>COUNTIFS(Table9194[Country],Tabela1[[#This Row],[Country]],Table9194[Women''s Classification],"&gt;0")</f>
        <v>0</v>
      </c>
      <c r="FO65" s="6">
        <f>COUNTIFS(Table71[Country],Tabela1[[#This Row],[Country]],Table71[Classification],"&gt;0")</f>
        <v>0</v>
      </c>
      <c r="FP65" s="6">
        <f>COUNTIFS(Table62[Country],Tabela1[[#This Row],[Country]],Table62[Classification],"&gt;0")</f>
        <v>0</v>
      </c>
      <c r="FQ65" s="6">
        <f>COUNTIFS(Table47[Country],Tabela1[[#This Row],[Country]],Table47[All-Around Classification],"&gt;0")</f>
        <v>0</v>
      </c>
      <c r="FR65" s="6">
        <f>COUNTIFS(Table48[Country],Tabela1[[#This Row],[Country]],Table48[All-Around Classification],"&gt;0")</f>
        <v>0</v>
      </c>
      <c r="FS65" s="6">
        <f>COUNTIFS(Table81[Country],Tabela1[[#This Row],[Country]],Table81[Men''s All-Around Classification],"&gt;0")</f>
        <v>0</v>
      </c>
      <c r="FT65" s="6">
        <f>COUNTIFS(Table81[Country],Tabela1[[#This Row],[Country]],Table81[Women''s All-Around Classification],"&gt;0")</f>
        <v>0</v>
      </c>
      <c r="FU65" s="6">
        <f>COUNTIFS(Table48[Country],Tabela1[[#This Row],[Country]],Table48[Balance Beam Classification],"&gt;0")</f>
        <v>0</v>
      </c>
      <c r="FV65" s="6">
        <f>COUNTIFS(Table47[Country],Tabela1[[#This Row],[Country]],Table47[Floor Exercise Classification],"&gt;0")</f>
        <v>0</v>
      </c>
      <c r="FW65" s="6">
        <f>COUNTIFS(Table48[Country],Tabela1[[#This Row],[Country]],Table48[Floor Exercise Classification],"&gt;0")</f>
        <v>0</v>
      </c>
      <c r="FX65" s="6">
        <f>COUNTIFS(Table47[Country],Tabela1[[#This Row],[Country]],Table47[Horizontal Bar Classification],"&gt;0")</f>
        <v>0</v>
      </c>
      <c r="FY65" s="6">
        <f>COUNTIFS(Table47[Country],Tabela1[[#This Row],[Country]],Table47[Parallel Bars Classification],"&gt;0")</f>
        <v>0</v>
      </c>
      <c r="FZ65" s="6">
        <f>COUNTIFS(Table47[Country],Tabela1[[#This Row],[Country]],Table47[Pommel Horse Classification],"&gt;0")</f>
        <v>0</v>
      </c>
      <c r="GA65" s="6">
        <f>COUNTIFS(Table47[Country],Tabela1[[#This Row],[Country]],Table47[Rings Classification],"&gt;0")</f>
        <v>0</v>
      </c>
      <c r="GB65" s="6">
        <f>COUNTIFS(Tabela132[Country],Tabela1[[#This Row],[Country]],Tabela132[Classification],"&gt;0")</f>
        <v>0</v>
      </c>
      <c r="GC65" s="6">
        <f>COUNTIFS(Tabela139[Country],Tabela1[[#This Row],[Country]],Tabela139[Classification],"&gt;0")</f>
        <v>0</v>
      </c>
      <c r="GD65" s="6">
        <f>COUNTIFS(Table48[Country],Tabela1[[#This Row],[Country]],Table48[Uneven Bars Classification],"&gt;0")</f>
        <v>0</v>
      </c>
      <c r="GE65" s="6">
        <f>COUNTIFS(Table47[Country],Tabela1[[#This Row],[Country]],Table47[Vault Classification],"&gt;0")</f>
        <v>0</v>
      </c>
      <c r="GF65" s="6">
        <f>COUNTIFS(Table48[Country],Tabela1[[#This Row],[Country]],Table48[Vault Classification],"&gt;0")</f>
        <v>0</v>
      </c>
      <c r="GG65" s="6">
        <f>COUNTIFS(Table919496[Country],Tabela1[[#This Row],[Country]],Table919496[Men''s Classification],"&gt;0")</f>
        <v>0</v>
      </c>
      <c r="GH65" s="6">
        <f>COUNTIFS(Table919496[Country],Tabela1[[#This Row],[Country]],Table919496[Women''s Classification],"&gt;0")</f>
        <v>0</v>
      </c>
      <c r="GI65" s="6">
        <f>COUNTIFS(Table12[Country],Tabela1[[#This Row],[Country]],Table12[60kg Classification],"&gt;0")</f>
        <v>0</v>
      </c>
      <c r="GJ65" s="6">
        <f>COUNTIFS(Table12[Country],Tabela1[[#This Row],[Country]],Table12[66kg Classification],"&gt;0")</f>
        <v>0</v>
      </c>
      <c r="GK65" s="6">
        <f>COUNTIFS(Table12[Country],Tabela1[[#This Row],[Country]],Table12[73kg Classification],"&gt;0")</f>
        <v>0</v>
      </c>
      <c r="GL65" s="6">
        <f>COUNTIFS(Table12[Country],Tabela1[[#This Row],[Country]],Table12[81kg Classification],"&gt;0")</f>
        <v>1</v>
      </c>
      <c r="GM65" s="6">
        <f>COUNTIFS(Table12[Country],Tabela1[[#This Row],[Country]],Table12[90kg Classification],"&gt;0")</f>
        <v>0</v>
      </c>
      <c r="GN65" s="6">
        <f>COUNTIFS(Table12[Country],Tabela1[[#This Row],[Country]],Table12[100kg Classification],"&gt;0")</f>
        <v>0</v>
      </c>
      <c r="GO65" s="6">
        <f>COUNTIFS(Table12[Country],Tabela1[[#This Row],[Country]],Table12[Plus 100kg Classification],"&gt;0")</f>
        <v>0</v>
      </c>
      <c r="GP65" s="6">
        <f>COUNTIFS(Table13[Country],Tabela1[[#This Row],[Country]],Table13[48kg Classification],"&gt;0")</f>
        <v>0</v>
      </c>
      <c r="GQ65" s="6">
        <f>COUNTIFS(Table13[Country],Tabela1[[#This Row],[Country]],Table13[52kg Classification],"&gt;0")</f>
        <v>0</v>
      </c>
      <c r="GR65" s="6">
        <f>COUNTIFS(Table13[Country],Tabela1[[#This Row],[Country]],Table13[57kg Classification],"&gt;0")</f>
        <v>0</v>
      </c>
      <c r="GS65" s="6">
        <f>COUNTIFS(Table13[Country],Tabela1[[#This Row],[Country]],Table13[63kg Classification],"&gt;0")</f>
        <v>0</v>
      </c>
      <c r="GT65" s="6">
        <f>COUNTIFS(Table13[Country],Tabela1[[#This Row],[Country]],Table13[70kg Classification],"&gt;0")</f>
        <v>0</v>
      </c>
      <c r="GU65" s="6">
        <f>COUNTIFS(Table13[Country],Tabela1[[#This Row],[Country]],Table13[78kg Classification],"&gt;0")</f>
        <v>0</v>
      </c>
      <c r="GV65" s="6">
        <f>COUNTIFS(Table13[Country],Tabela1[[#This Row],[Country]],Table13[Plus 78kg Classification],"&gt;0")</f>
        <v>0</v>
      </c>
      <c r="GW65" s="6">
        <f>COUNTIFS(Table82[Country],Tabela1[[#This Row],[Country]],Table82[Mixed Classification],"&gt;0")</f>
        <v>0</v>
      </c>
      <c r="GX65" s="6">
        <f>COUNTIFS(Table51[Country],Tabela1[[#This Row],[Country]],Table51[Classification],"&gt;0")</f>
        <v>0</v>
      </c>
      <c r="GY65" s="6">
        <f>COUNTIFS(Table52[Country],Tabela1[[#This Row],[Country]],Table52[Classification],"&gt;0")</f>
        <v>0</v>
      </c>
      <c r="GZ65" s="6">
        <f>COUNTIFS(Table32[Country],Tabela1[[#This Row],[Country]],Table32[All-Around Classification],"&gt;0")</f>
        <v>0</v>
      </c>
      <c r="HA65" s="6">
        <f>COUNTIFS(Table49[Country],Tabela1[[#This Row],[Country]],Table49[All-Around Classification],"&gt;0")</f>
        <v>0</v>
      </c>
      <c r="HB65" s="6">
        <f>COUNTIFS(Table26[Country],Tabela1[[#This Row],[Country]],Table26[Single Sculls Classification],"&gt;0")</f>
        <v>0</v>
      </c>
      <c r="HC65" s="6">
        <f>COUNTIFS(Table63[Country],Tabela1[[#This Row],[Country]],Table63[Single Sculls Classification],"&gt;0")</f>
        <v>0</v>
      </c>
      <c r="HD65" s="6">
        <f>COUNTIFS(Table16[Country],Tabela1[[#This Row],[Country]],Table16[Men''s Double Sculls Classification],"&gt;0")</f>
        <v>0</v>
      </c>
      <c r="HE65" s="6">
        <f>COUNTIFS(Table16[Country],Tabela1[[#This Row],[Country]],Table16[Women''s Double Sculls Classification],"&gt;0")</f>
        <v>0</v>
      </c>
      <c r="HF65" s="6">
        <f>COUNTIFS(Table72[Country],Tabela1[[#This Row],[Country]],Table72[Men''s Quadruple Sculls Classification],"&gt;0")</f>
        <v>0</v>
      </c>
      <c r="HG65" s="6">
        <f>COUNTIFS(Table72[Country],Tabela1[[#This Row],[Country]],Table72[Women''s Quadruple Sculls Classification],"&gt;0")</f>
        <v>0</v>
      </c>
      <c r="HH65" s="6">
        <f>COUNTIFS(Table16[Country],Tabela1[[#This Row],[Country]],Table16[Men''s Coxless Pairs Classification],"&gt;0")</f>
        <v>0</v>
      </c>
      <c r="HI65" s="6">
        <f>COUNTIFS(Table16[Country],Tabela1[[#This Row],[Country]],Table16[Women''s Coxless Pairs Classification],"&gt;0")</f>
        <v>0</v>
      </c>
      <c r="HJ65" s="6">
        <f>COUNTIFS(Table72[Country],Tabela1[[#This Row],[Country]],Table72[Men''s Coxless Fours Classification],"&gt;0")</f>
        <v>0</v>
      </c>
      <c r="HK65" s="6">
        <f>COUNTIFS(Table72[Country],Tabela1[[#This Row],[Country]],Table72[Women''s Coxless Fours Classification],"&gt;0")</f>
        <v>0</v>
      </c>
      <c r="HL65" s="6">
        <f>COUNTIFS(Table72[Country],Tabela1[[#This Row],[Country]],Table72[Men''s Eights Classification],"&gt;0")</f>
        <v>0</v>
      </c>
      <c r="HM65" s="6">
        <f>COUNTIFS(Table72[Country],Tabela1[[#This Row],[Country]],Table72[Women''s Eights Classification],"&gt;0")</f>
        <v>0</v>
      </c>
      <c r="HN65" s="6">
        <f>COUNTIFS(Table16[Country],Tabela1[[#This Row],[Country]],Table16[Men''s Lwt. Double Sculls Classification],"&gt;0")</f>
        <v>0</v>
      </c>
      <c r="HO65" s="6">
        <f>COUNTIFS(Table16[Country],Tabela1[[#This Row],[Country]],Table16[Women''s Lwt. Double Sculls Classification],"&gt;0")</f>
        <v>0</v>
      </c>
      <c r="HP65" s="6">
        <f>COUNTIFS(Table91949698[Country],Tabela1[[#This Row],[Country]],Table91949698[Men''s Classification],"&gt;0")</f>
        <v>0</v>
      </c>
      <c r="HQ65" s="6">
        <f>COUNTIFS(Table91949698[Country],Tabela1[[#This Row],[Country]],Table91949698[Women''s Classification],"&gt;0")</f>
        <v>0</v>
      </c>
      <c r="HR65" s="6">
        <f>COUNTIFS(Table25[Country],Tabela1[[#This Row],[Country]],Table25[Mixed 470 Classification],"&gt;0")</f>
        <v>0</v>
      </c>
      <c r="HS65" s="6">
        <f>COUNTIFS(Table25[Country],Tabela1[[#This Row],[Country]],Table25[Men''s 49er Classification],"&gt;0")</f>
        <v>0</v>
      </c>
      <c r="HT65" s="6">
        <f>COUNTIFS(Table25[Country],Tabela1[[#This Row],[Country]],Table25[Women''s 49er FX Classification],"&gt;0")</f>
        <v>0</v>
      </c>
      <c r="HU65" s="6">
        <f>COUNTIFS(Table17[Country],Tabela1[[#This Row],[Country]],Table17[Formula Kite Classification],"&gt;0")</f>
        <v>0</v>
      </c>
      <c r="HV65" s="6">
        <f>COUNTIFS(Table18[Country],Tabela1[[#This Row],[Country]],Table18[Formula Kite Classification],"&gt;0")</f>
        <v>0</v>
      </c>
      <c r="HW65" s="6">
        <f>COUNTIFS(Table17[Country],Tabela1[[#This Row],[Country]],Table17[ILCA 7 Classification],"&gt;0")</f>
        <v>0</v>
      </c>
      <c r="HX65" s="6">
        <f>COUNTIFS(Table18[Country],Tabela1[[#This Row],[Country]],Table18[ILCA 6 Classification],"&gt;0")</f>
        <v>0</v>
      </c>
      <c r="HY65" s="6">
        <f>COUNTIFS(Table17[Country],Tabela1[[#This Row],[Country]],Table17[IQFoil Classification],"&gt;0")</f>
        <v>0</v>
      </c>
      <c r="HZ65" s="6">
        <f>COUNTIFS(Table18[Country],Tabela1[[#This Row],[Country]],Table18[IQFoil Classification],"&gt;0")</f>
        <v>0</v>
      </c>
      <c r="IA65" s="6">
        <f>COUNTIFS(Table25[Country],Tabela1[[#This Row],[Country]],Table25[Mixed Nacra 17 Classification],"&gt;0")</f>
        <v>0</v>
      </c>
      <c r="IB65" s="6">
        <f>COUNTIFS(Table53[Country],Tabela1[[#This Row],[Country]],Table53[10m Air Pistol Classification],"&gt;0")</f>
        <v>0</v>
      </c>
      <c r="IC65" s="6">
        <f>COUNTIFS(Table19[Country],Tabela1[[#This Row],[Country]],Table19[10m Air Pistol Classification],"&gt;0")</f>
        <v>0</v>
      </c>
      <c r="ID65" s="6">
        <f>COUNTIFS(Table54[Country],Tabela1[[#This Row],[Country]],Table54[Mixed 10m Air Pistol Team Classification],"&gt;0")</f>
        <v>0</v>
      </c>
      <c r="IE65" s="6">
        <f>COUNTIFS(Table53[Country],Tabela1[[#This Row],[Country]],Table53[10m Air Rifle Classification],"&gt;0")</f>
        <v>0</v>
      </c>
      <c r="IF65" s="6">
        <f>COUNTIFS(Table19[Country],Tabela1[[#This Row],[Country]],Table19[10m Air Rifle Classification],"&gt;0")</f>
        <v>0</v>
      </c>
      <c r="IG65" s="6">
        <f>COUNTIFS(Table54[Country],Tabela1[[#This Row],[Country]],Table54[Mixed 10m Air Rifle Team Classification],"&gt;0")</f>
        <v>0</v>
      </c>
      <c r="IH65" s="6">
        <f>COUNTIFS(Table53[Country],Tabela1[[#This Row],[Country]],Table53[25m Rapid Fire Pistol Classification],"&gt;0")</f>
        <v>0</v>
      </c>
      <c r="II65" s="6">
        <f>COUNTIFS(Table19[Country],Tabela1[[#This Row],[Country]],Table19[25m Pistol Classification],"&gt;0")</f>
        <v>0</v>
      </c>
      <c r="IJ65" s="6">
        <f>COUNTIFS(Table53[Country],Tabela1[[#This Row],[Country]],Table53[50m Rifle 3 Positions Classification],"&gt;0")</f>
        <v>0</v>
      </c>
      <c r="IK65" s="6">
        <f>COUNTIFS(Table19[Country],Tabela1[[#This Row],[Country]],Table19[50m Rifle 3 Positions Classification],"&gt;0")</f>
        <v>0</v>
      </c>
      <c r="IL65" s="6">
        <f>COUNTIFS(Table53[Country],Tabela1[[#This Row],[Country]],Table53[Skeet Classification],"&gt;0")</f>
        <v>0</v>
      </c>
      <c r="IM65" s="6">
        <f>COUNTIFS(Table19[Country],Tabela1[[#This Row],[Country]],Table19[Skeet Classification],"&gt;0")</f>
        <v>0</v>
      </c>
      <c r="IN65" s="6">
        <f>COUNTIFS(Table54[Country],Tabela1[[#This Row],[Country]],Table54[Mixed Skeet Team Classification],"&gt;0")</f>
        <v>0</v>
      </c>
      <c r="IO65" s="6">
        <f>COUNTIFS(Table53[Country],Tabela1[[#This Row],[Country]],Table53[Trap Classification],"&gt;0")</f>
        <v>0</v>
      </c>
      <c r="IP65" s="6">
        <f>COUNTIFS(Table19[Country],Tabela1[[#This Row],[Country]],Table19[Trap Classification],"&gt;0")</f>
        <v>0</v>
      </c>
      <c r="IQ65" s="6">
        <f>COUNTIFS(Table73[Country],Tabela1[[#This Row],[Country]],Table73[Park Classification],"&gt;0")</f>
        <v>0</v>
      </c>
      <c r="IR65" s="6">
        <f>COUNTIFS(Table74[Country],Tabela1[[#This Row],[Country]],Table74[Park Classification],"&gt;0")</f>
        <v>0</v>
      </c>
      <c r="IS65" s="6">
        <f>COUNTIFS(Table73[Country],Tabela1[[#This Row],[Country]],Table73[Street Classification],"&gt;0")</f>
        <v>0</v>
      </c>
      <c r="IT65" s="6">
        <f>COUNTIFS(Table74[Country],Tabela1[[#This Row],[Country]],Table74[Street Classification],"&gt;0")</f>
        <v>0</v>
      </c>
      <c r="IU65" s="6">
        <f>COUNTIFS(Table75[Country],Tabela1[[#This Row],[Country]],Table75[Boulder and Lead Classification],"&gt;0")</f>
        <v>0</v>
      </c>
      <c r="IV65" s="6">
        <f>COUNTIFS(Table76[Country],Tabela1[[#This Row],[Country]],Table76[Boulder and Lead Classification],"&gt;0")</f>
        <v>0</v>
      </c>
      <c r="IW65" s="6">
        <f>COUNTIFS(Table75[Country],Tabela1[[#This Row],[Country]],Table75[Speed Classification],"&gt;0")</f>
        <v>0</v>
      </c>
      <c r="IX65" s="6">
        <f>COUNTIFS(Table76[Country],Tabela1[[#This Row],[Country]],Table76[Speed Classification],"&gt;0")</f>
        <v>0</v>
      </c>
      <c r="IY65" s="6">
        <f>COUNTIFS(Table64[Country],Tabela1[[#This Row],[Country]],Table64[Shortboard Classification],"&gt;0")</f>
        <v>0</v>
      </c>
      <c r="IZ65" s="6">
        <f>COUNTIFS(Table77[Country],Tabela1[[#This Row],[Country]],Table77[Shortboard Classification],"&gt;0")</f>
        <v>0</v>
      </c>
      <c r="JA65" s="6">
        <f>COUNTIFS(Table20[Country],Tabela1[[#This Row],[Country]],Table20[50m Freestyle Classification],"&gt;0")</f>
        <v>0</v>
      </c>
      <c r="JB65" s="6">
        <f>COUNTIFS(Table21[Country],Tabela1[[#This Row],[Country]],Table21[50m Freestyle Classification],"&gt;0")</f>
        <v>0</v>
      </c>
      <c r="JC65" s="6">
        <f>COUNTIFS(Table20[Country],Tabela1[[#This Row],[Country]],Table20[100m Freestyle Classification],"&gt;0")</f>
        <v>0</v>
      </c>
      <c r="JD65" s="6">
        <f>COUNTIFS(Table21[Country],Tabela1[[#This Row],[Country]],Table21[100m Freestyle Classification],"&gt;0")</f>
        <v>0</v>
      </c>
      <c r="JE65" s="6">
        <f>COUNTIFS(Table20[Country],Tabela1[[#This Row],[Country]],Table20[200m Freestyle Classification],"&gt;0")</f>
        <v>0</v>
      </c>
      <c r="JF65" s="6">
        <f>COUNTIFS(Table21[Country],Tabela1[[#This Row],[Country]],Table21[200m Freestyle Classification],"&gt;0")</f>
        <v>0</v>
      </c>
      <c r="JG65" s="6">
        <f>COUNTIFS(Table20[Country],Tabela1[[#This Row],[Country]],Table20[400m Freestyle Classification],"&gt;0")</f>
        <v>0</v>
      </c>
      <c r="JH65" s="6">
        <f>COUNTIFS(Table21[Country],Tabela1[[#This Row],[Country]],Table21[400m Freestyle Classification],"&gt;0")</f>
        <v>0</v>
      </c>
      <c r="JI65" s="6">
        <f>COUNTIFS(Table20[Country],Tabela1[[#This Row],[Country]],Table20[800m Freestyle Classification],"&gt;0")</f>
        <v>0</v>
      </c>
      <c r="JJ65" s="6">
        <f>COUNTIFS(Table21[Country],Tabela1[[#This Row],[Country]],Table21[800m Freestyle Classification],"&gt;0")</f>
        <v>0</v>
      </c>
      <c r="JK65" s="6">
        <f>COUNTIFS(Table20[Country],Tabela1[[#This Row],[Country]],Table20[1500m Freestyle Classification],"&gt;0")</f>
        <v>0</v>
      </c>
      <c r="JL65" s="6">
        <f>COUNTIFS(Table21[Country],Tabela1[[#This Row],[Country]],Table21[1500m Freestyle Classification],"&gt;0")</f>
        <v>0</v>
      </c>
      <c r="JM65" s="6">
        <f>COUNTIFS(Table20[Country],Tabela1[[#This Row],[Country]],Table20[100m Backstroke Classification],"&gt;0")</f>
        <v>0</v>
      </c>
      <c r="JN65" s="6">
        <f>COUNTIFS(Table21[Country],Tabela1[[#This Row],[Country]],Table21[100m Backstroke Classification],"&gt;0")</f>
        <v>1</v>
      </c>
      <c r="JO65" s="6">
        <f>COUNTIFS(Table20[Country],Tabela1[[#This Row],[Country]],Table20[200m Backstroke Classification],"&gt;0")</f>
        <v>0</v>
      </c>
      <c r="JP65" s="6">
        <f>COUNTIFS(Table21[Country],Tabela1[[#This Row],[Country]],Table21[200m Backstroke Classification],"&gt;0")</f>
        <v>0</v>
      </c>
      <c r="JQ65" s="6">
        <f>COUNTIFS(Table20[Country],Tabela1[[#This Row],[Country]],Table20[100m Breaststroke Classification],"&gt;0")</f>
        <v>0</v>
      </c>
      <c r="JR65" s="6">
        <f>COUNTIFS(Table21[Country],Tabela1[[#This Row],[Country]],Table21[100m Breaststroke Classification],"&gt;0")</f>
        <v>0</v>
      </c>
      <c r="JS65" s="6">
        <f>COUNTIFS(Table20[Country],Tabela1[[#This Row],[Country]],Table20[200m Breaststroke Classification],"&gt;0")</f>
        <v>1</v>
      </c>
      <c r="JT65" s="6">
        <f>COUNTIFS(Table21[Country],Tabela1[[#This Row],[Country]],Table21[200m Breaststroke Classification],"&gt;0")</f>
        <v>0</v>
      </c>
      <c r="JU65" s="6">
        <f>COUNTIFS(Table20[Country],Tabela1[[#This Row],[Country]],Table20[100m Butterfly Classification],"&gt;0")</f>
        <v>0</v>
      </c>
      <c r="JV65" s="6">
        <f>COUNTIFS(Table21[Country],Tabela1[[#This Row],[Country]],Table21[100m Butterfly Classification],"&gt;0")</f>
        <v>0</v>
      </c>
      <c r="JW65" s="6">
        <f>COUNTIFS(Table20[Country],Tabela1[[#This Row],[Country]],Table20[200m Butterfly Classification],"&gt;0")</f>
        <v>0</v>
      </c>
      <c r="JX65" s="6">
        <f>COUNTIFS(Table21[Country],Tabela1[[#This Row],[Country]],Table21[200m Butterfly Classification],"&gt;0")</f>
        <v>0</v>
      </c>
      <c r="JY65" s="6">
        <f>COUNTIFS(Table20[Country],Tabela1[[#This Row],[Country]],Table20[200m Medley Classification],"&gt;0")</f>
        <v>0</v>
      </c>
      <c r="JZ65" s="6">
        <f>COUNTIFS(Table21[Country],Tabela1[[#This Row],[Country]],Table21[200m Medley Classification],"&gt;0")</f>
        <v>0</v>
      </c>
      <c r="KA65" s="6">
        <f>COUNTIFS(Table20[Country],Tabela1[[#This Row],[Country]],Table20[400m Medley Classification],"&gt;0")</f>
        <v>0</v>
      </c>
      <c r="KB65" s="6">
        <f>COUNTIFS(Table21[Country],Tabela1[[#This Row],[Country]],Table21[400m Medley Classification],"&gt;0")</f>
        <v>0</v>
      </c>
      <c r="KC65" s="6">
        <f>COUNTIFS(Table78[Country],Tabela1[[#This Row],[Country]],Table78[Men''s 4x100m Freestyle Relay Classification],"&gt;0")</f>
        <v>0</v>
      </c>
      <c r="KD65" s="6">
        <f>COUNTIFS(Table78[Country],Tabela1[[#This Row],[Country]],Table78[Women''s 4x100m Freestyle Relay Classification],"&gt;0")</f>
        <v>0</v>
      </c>
      <c r="KE65" s="6">
        <f>COUNTIFS(Table78[Country],Tabela1[[#This Row],[Country]],Table78[Men''s 4x200m Freestyle Relay Classification],"&gt;0")</f>
        <v>0</v>
      </c>
      <c r="KF65" s="6">
        <f>COUNTIFS(Table78[Country],Tabela1[[#This Row],[Country]],Table78[Women''s 4x200m Freestyle Relay Classification],"&gt;0")</f>
        <v>0</v>
      </c>
      <c r="KG65" s="6">
        <f>COUNTIFS(Table78[Country],Tabela1[[#This Row],[Country]],Table78[Men''s 4x100m Medley Relay Classification],"&gt;0")</f>
        <v>0</v>
      </c>
      <c r="KH65" s="6">
        <f>COUNTIFS(Table78[Country],Tabela1[[#This Row],[Country]],Table78[Women''s 4x100m Medley Relay Classification],"&gt;0")</f>
        <v>0</v>
      </c>
      <c r="KI65" s="6">
        <f>COUNTIFS(Table78[Country],Tabela1[[#This Row],[Country]],Table78[Mixed 4x100m Medley Relay Classification],"&gt;0")</f>
        <v>0</v>
      </c>
      <c r="KJ65" s="6">
        <f>COUNTIFS(Table20[Country],Tabela1[[#This Row],[Country]],Table20[10km Open Water Classification],"&gt;0")</f>
        <v>0</v>
      </c>
      <c r="KK65" s="6">
        <f>COUNTIFS(Table21[Country],Tabela1[[#This Row],[Country]],Table21[10km Open Water Classification],"&gt;0")</f>
        <v>0</v>
      </c>
      <c r="KL65" s="6">
        <f>COUNTIFS(Table22[Country],Tabela1[[#This Row],[Country]],Table22[Classification],"&gt;0")</f>
        <v>0</v>
      </c>
      <c r="KM65" s="6">
        <f>COUNTIFS(Table30[Country],Tabela1[[#This Row],[Country]],Table30[Classification],"&gt;0")</f>
        <v>0</v>
      </c>
      <c r="KN65" s="6">
        <f>COUNTIFS(Table55[Country],Tabela1[[#This Row],[Country]],Table55[Men''s Classification],"&gt;0")</f>
        <v>0</v>
      </c>
      <c r="KO65" s="6">
        <f>COUNTIFS(Table55[Country],Tabela1[[#This Row],[Country]],Table55[Women''s Classification],"&gt;0")</f>
        <v>0</v>
      </c>
      <c r="KP65" s="6">
        <f>COUNTIFS(Table56[Country],Tabela1[[#This Row],[Country]],Table56[Mixed Classification],"&gt;0")</f>
        <v>0</v>
      </c>
      <c r="KQ65" s="6">
        <f>COUNTIFS(Table29[Country],Tabela1[[#This Row],[Country]],Table29[58kg Classification],"&gt;0")</f>
        <v>0</v>
      </c>
      <c r="KR65" s="6">
        <f>COUNTIFS(Table29[Country],Tabela1[[#This Row],[Country]],Table29[68kg Classification],"&gt;0")</f>
        <v>0</v>
      </c>
      <c r="KS65" s="6">
        <f>COUNTIFS(Table29[Country],Tabela1[[#This Row],[Country]],Table29[80kg Classification],"&gt;0")</f>
        <v>0</v>
      </c>
      <c r="KT65" s="6">
        <f>COUNTIFS(Table29[Country],Tabela1[[#This Row],[Country]],Table29[Plus 80kg Classification],"&gt;0")</f>
        <v>0</v>
      </c>
      <c r="KU65" s="6">
        <f>COUNTIFS(Table34[Country],Tabela1[[#This Row],[Country]],Table34[49kg Classification],"&gt;0")</f>
        <v>0</v>
      </c>
      <c r="KV65" s="6">
        <f>COUNTIFS(Table34[Country],Tabela1[[#This Row],[Country]],Table34[57kg Classification],"&gt;0")</f>
        <v>0</v>
      </c>
      <c r="KW65" s="6">
        <f>COUNTIFS(Table34[Country],Tabela1[[#This Row],[Country]],Table34[67kg Classification],"&gt;0")</f>
        <v>0</v>
      </c>
      <c r="KX65" s="6">
        <f>COUNTIFS(Table34[Country],Tabela1[[#This Row],[Country]],Table34[Plus 67kg Classification],"&gt;0")</f>
        <v>0</v>
      </c>
      <c r="KY65" s="6">
        <f>COUNTIFS(Table57[Country],Tabela1[[#This Row],[Country]],Table57[Classification],"&gt;0")</f>
        <v>0</v>
      </c>
      <c r="KZ65" s="6">
        <f>COUNTIFS(Table58[Country],Tabela1[[#This Row],[Country]],Table58[Classification],"&gt;0")</f>
        <v>0</v>
      </c>
      <c r="LA65" s="6">
        <f>COUNTIFS(Table79[Country],Tabela1[[#This Row],[Country]],Table79[Men''s Classification],"&gt;0")</f>
        <v>0</v>
      </c>
      <c r="LB65" s="6">
        <f>COUNTIFS(Table79[Country],Tabela1[[#This Row],[Country]],Table79[Women''s Classification],"&gt;0")</f>
        <v>0</v>
      </c>
      <c r="LC65" s="6">
        <f>COUNTIFS(Table79[Country],Tabela1[[#This Row],[Country]],Table79[Mixed Classification],"&gt;0")</f>
        <v>0</v>
      </c>
      <c r="LD65" s="6">
        <f>COUNTIFS(Table65[Country],Tabela1[[#This Row],[Country]],Table65[Classification],"&gt;0")</f>
        <v>0</v>
      </c>
      <c r="LE65" s="6">
        <f>COUNTIFS(Table59[Country],Tabela1[[#This Row],[Country]],Table59[Classification],"&gt;0")</f>
        <v>0</v>
      </c>
      <c r="LF65" s="6">
        <f>COUNTIFS(Table87[Country],Tabela1[[#This Row],[Country]],Table87[Mixed Relay Classification],"&gt;0")</f>
        <v>0</v>
      </c>
      <c r="LG65" s="6">
        <f>COUNTIFS(Table91949698100[Country],Tabela1[[#This Row],[Country]],Table91949698100[Men''s Classification],"&gt;0")</f>
        <v>0</v>
      </c>
      <c r="LH65" s="6">
        <f>COUNTIFS(Table91949698100[Country],Tabela1[[#This Row],[Country]],Table91949698100[Women''s Classification],"&gt;0")</f>
        <v>0</v>
      </c>
      <c r="LI65" s="6">
        <f>COUNTIFS(Table91949698100102[Country],Tabela1[[#This Row],[Country]],Table91949698100102[Men''s Classification],"&gt;0")</f>
        <v>0</v>
      </c>
      <c r="LJ65" s="6">
        <f>COUNTIFS(Table91949698100102[Country],Tabela1[[#This Row],[Country]],Table91949698100102[Women''s Classification],"&gt;0")</f>
        <v>0</v>
      </c>
      <c r="LK65" s="6">
        <f>COUNTIFS(Table23[Country],Tabela1[[#This Row],[Country]],Table23[61kg Classification],"&gt;0")</f>
        <v>0</v>
      </c>
      <c r="LL65" s="6">
        <f>COUNTIFS(Table23[Country],Tabela1[[#This Row],[Country]],Table23[73kg Classification],"&gt;0")</f>
        <v>0</v>
      </c>
      <c r="LM65" s="6">
        <f>COUNTIFS(Table23[Country],Tabela1[[#This Row],[Country]],Table23[89kg Classification],"&gt;0")</f>
        <v>0</v>
      </c>
      <c r="LN65" s="6">
        <f>COUNTIFS(Table23[Country],Tabela1[[#This Row],[Country]],Table23[102kg Classification],"&gt;0")</f>
        <v>1</v>
      </c>
      <c r="LO65" s="6">
        <f>COUNTIFS(Table23[Country],Tabela1[[#This Row],[Country]],Table23[Plus 102kg Classification],"&gt;0")</f>
        <v>1</v>
      </c>
      <c r="LP65" s="6">
        <f>COUNTIFS(Table28[Country],Tabela1[[#This Row],[Country]],Table28[49kg Classification],"&gt;0")</f>
        <v>0</v>
      </c>
      <c r="LQ65" s="6">
        <f>COUNTIFS(Table28[Country],Tabela1[[#This Row],[Country]],Table28[59kg Classification],"&gt;0")</f>
        <v>0</v>
      </c>
      <c r="LR65" s="6">
        <f>COUNTIFS(Table28[Country],Tabela1[[#This Row],[Country]],Table28[71kg Classification],"&gt;0")</f>
        <v>0</v>
      </c>
      <c r="LS65" s="6">
        <f>COUNTIFS(Table28[Country],Tabela1[[#This Row],[Country]],Table28[81kg Classification],"&gt;0")</f>
        <v>0</v>
      </c>
      <c r="LT65" s="6">
        <f>COUNTIFS(Table28[Country],Tabela1[[#This Row],[Country]],Table28[Plus 81kg Classification],"&gt;0")</f>
        <v>0</v>
      </c>
      <c r="LU65" s="6">
        <f>COUNTIFS(Table24[Country],Tabela1[[#This Row],[Country]],Table24[Freestyle 57kg Classification],"&gt;0")</f>
        <v>0</v>
      </c>
      <c r="LV65" s="6">
        <f>COUNTIFS(Table24[Country],Tabela1[[#This Row],[Country]],Table24[Freestyle 65kg Classification],"&gt;0")</f>
        <v>0</v>
      </c>
      <c r="LW65" s="6">
        <f>COUNTIFS(Table24[Country],Tabela1[[#This Row],[Country]],Table24[Freestyle 74kg Classification],"&gt;0")</f>
        <v>0</v>
      </c>
      <c r="LX65" s="6">
        <f>COUNTIFS(Table24[Country],Tabela1[[#This Row],[Country]],Table24[Freestyle 86kg Classification],"&gt;0")</f>
        <v>0</v>
      </c>
      <c r="LY65" s="6">
        <f>COUNTIFS(Table24[Country],Tabela1[[#This Row],[Country]],Table24[Freestyle 97kg Classification],"&gt;0")</f>
        <v>0</v>
      </c>
      <c r="LZ65" s="6">
        <f>COUNTIFS(Table24[Country],Tabela1[[#This Row],[Country]],Table24[Freestyle 125kg Classification],"&gt;0")</f>
        <v>0</v>
      </c>
      <c r="MA65" s="6">
        <f>COUNTIFS(Table24[Country],Tabela1[[#This Row],[Country]],Table24[Greco-Roman 60kg Classification],"&gt;0")</f>
        <v>0</v>
      </c>
      <c r="MB65" s="6">
        <f>COUNTIFS(Table24[Country],Tabela1[[#This Row],[Country]],Table24[Greco-Roman 67kg Classification],"&gt;0")</f>
        <v>0</v>
      </c>
      <c r="MC65" s="6">
        <f>COUNTIFS(Table24[Country],Tabela1[[#This Row],[Country]],Table24[Greco-Roman 77kg Classification],"&gt;0")</f>
        <v>0</v>
      </c>
      <c r="MD65" s="6">
        <f>COUNTIFS(Table24[Country],Tabela1[[#This Row],[Country]],Table24[Greco-Roman 87kg Classification],"&gt;0")</f>
        <v>0</v>
      </c>
      <c r="ME65" s="6">
        <f>COUNTIFS(Table24[Country],Tabela1[[#This Row],[Country]],Table24[Greco-Roman 97kg Classification],"&gt;0")</f>
        <v>0</v>
      </c>
      <c r="MF65" s="6">
        <f>COUNTIFS(Table24[Country],Tabela1[[#This Row],[Country]],Table24[Greco-Roman 130kg Classification],"&gt;0")</f>
        <v>0</v>
      </c>
      <c r="MG65" s="6">
        <f>COUNTIFS(Table31[Country],Tabela1[[#This Row],[Country]],Table31[50kg Classification],"&gt;0")</f>
        <v>0</v>
      </c>
      <c r="MH65" s="6">
        <f>COUNTIFS(Table31[Country],Tabela1[[#This Row],[Country]],Table31[53kg Classification],"&gt;0")</f>
        <v>0</v>
      </c>
      <c r="MI65" s="6">
        <f>COUNTIFS(Table31[Country],Tabela1[[#This Row],[Country]],Table31[57kg Classification],"&gt;0")</f>
        <v>0</v>
      </c>
      <c r="MJ65" s="6">
        <f>COUNTIFS(Table31[Country],Tabela1[[#This Row],[Country]],Table31[62kg Classification],"&gt;0")</f>
        <v>0</v>
      </c>
      <c r="MK65" s="6">
        <f>COUNTIFS(Table31[Country],Tabela1[[#This Row],[Country]],Table31[68kg Classification],"&gt;0")</f>
        <v>0</v>
      </c>
      <c r="ML65" s="6">
        <f>COUNTIFS(Table31[Country],Tabela1[[#This Row],[Country]],Table31[76kg Classification],"&gt;0")</f>
        <v>0</v>
      </c>
      <c r="MM65" s="6">
        <f>COUNTIFS(Table102[Country],Tabela1[[#This Row],[Country]],Table102[Downhill Classification],"&gt;0")</f>
        <v>0</v>
      </c>
      <c r="MN65" s="6">
        <f>COUNTIFS(Table102105[Country],Tabela1[[#This Row],[Country]],Table102105[Downhill Classification],"&gt;0")</f>
        <v>0</v>
      </c>
      <c r="MO65" s="6">
        <f>COUNTIFS(Table102[Country],Tabela1[[#This Row],[Country]],Table102[Giant Slalom Classification],"&gt;0")</f>
        <v>0</v>
      </c>
      <c r="MP65" s="6">
        <f>COUNTIFS(Table102105[Country],Tabela1[[#This Row],[Country]],Table102105[Giant Slalom Classification],"&gt;0")</f>
        <v>0</v>
      </c>
      <c r="MQ65" s="6">
        <f>COUNTIFS(Table102[Country],Tabela1[[#This Row],[Country]],Table102[Slalom Classification],"&gt;0")</f>
        <v>0</v>
      </c>
      <c r="MR65" s="6">
        <f>COUNTIFS(Table102105[Country],Tabela1[[#This Row],[Country]],Table102105[Slalom Classification],"&gt;0")</f>
        <v>0</v>
      </c>
      <c r="MS65" s="6">
        <f>COUNTIFS(Table102[Country],Tabela1[[#This Row],[Country]],Table102[Super-G Classification],"&gt;0")</f>
        <v>0</v>
      </c>
      <c r="MT65" s="6">
        <f>COUNTIFS(Table102105[Country],Tabela1[[#This Row],[Country]],Table102105[Super-G Classification],"&gt;0")</f>
        <v>0</v>
      </c>
      <c r="MU65" s="6">
        <f>COUNTIFS(Table105[Country],Tabela1[[#This Row],[Country]],Table105[Men''s Combined Classification],"&gt;0")</f>
        <v>0</v>
      </c>
      <c r="MV65" s="6">
        <f>COUNTIFS(Table105[Country],Tabela1[[#This Row],[Country]],Table105[Women''s Combined Classification],"&gt;0")</f>
        <v>0</v>
      </c>
      <c r="MW65" s="6">
        <f>COUNTIFS(Table106[Country],Tabela1[[#This Row],[Country]],Table106[Individual Classification],"&gt;0")</f>
        <v>0</v>
      </c>
      <c r="MX65" s="6">
        <f>COUNTIFS(Table106109[Country],Tabela1[[#This Row],[Country]],Table106109[Individual Classification],"&gt;0")</f>
        <v>0</v>
      </c>
      <c r="MY65" s="6">
        <f>COUNTIFS(Table106[Country],Tabela1[[#This Row],[Country]],Table106[Mass Start Classification],"&gt;0")</f>
        <v>0</v>
      </c>
      <c r="MZ65" s="6">
        <f>COUNTIFS(Table106109[Country],Tabela1[[#This Row],[Country]],Table106109[Mass Start Classification],"&gt;0")</f>
        <v>0</v>
      </c>
      <c r="NA65" s="6">
        <f>COUNTIFS(Table106[Country],Tabela1[[#This Row],[Country]],Table106[Pursuit Classification],"&gt;0")</f>
        <v>0</v>
      </c>
      <c r="NB65" s="6">
        <f>COUNTIFS(Table106109[Country],Tabela1[[#This Row],[Country]],Table106109[Pursuit Classification],"&gt;0")</f>
        <v>0</v>
      </c>
      <c r="NC65" s="6">
        <f>COUNTIFS(Table106[Country],Tabela1[[#This Row],[Country]],Table106[Sprint Classification],"&gt;0")</f>
        <v>0</v>
      </c>
      <c r="ND65" s="6">
        <f>COUNTIFS(Table106109[Country],Tabela1[[#This Row],[Country]],Table106109[Sprint Classification],"&gt;0")</f>
        <v>0</v>
      </c>
      <c r="NE65" s="6">
        <f>COUNTIFS(Table109[Country],Tabela1[[#This Row],[Country]],Table109[Men''s Relay Classification],"&gt;0")</f>
        <v>0</v>
      </c>
      <c r="NF65" s="6">
        <f>COUNTIFS(Table109[Country],Tabela1[[#This Row],[Country]],Table109[Women''s Relay Classification],"&gt;0")</f>
        <v>0</v>
      </c>
      <c r="NG65" s="6">
        <f>COUNTIFS(Table109[Country],Tabela1[[#This Row],[Country]],Table109[Mixed Relay Classification],"&gt;0")</f>
        <v>0</v>
      </c>
      <c r="NH65" s="6">
        <f>COUNTIFS(Table110[Country],Tabela1[[#This Row],[Country]],Table110[Monobob Classification],"&gt;0")</f>
        <v>0</v>
      </c>
      <c r="NI65" s="6">
        <f>COUNTIFS(Table111[Country],Tabela1[[#This Row],[Country]],Table111[Men''s Classification],"&gt;0")</f>
        <v>0</v>
      </c>
      <c r="NJ65" s="6">
        <f>COUNTIFS(Table111[Country],Tabela1[[#This Row],[Country]],Table111[Women''s Classification],"&gt;0")</f>
        <v>0</v>
      </c>
      <c r="NK65" s="6">
        <f>COUNTIFS(Table112[Country],Tabela1[[#This Row],[Country]],Table112[Men''s Four Classification],"&gt;0")</f>
        <v>0</v>
      </c>
      <c r="NL65" s="6">
        <f>COUNTIFS(Table113[Country],Tabela1[[#This Row],[Country]],Table113[Classical Classification],"&gt;0")</f>
        <v>0</v>
      </c>
      <c r="NM65" s="6">
        <f>COUNTIFS(Table113116[Country],Tabela1[[#This Row],[Country]],Table113116[Classical Classification],"&gt;0")</f>
        <v>0</v>
      </c>
      <c r="NN65" s="6">
        <f>COUNTIFS(Table113[Country],Tabela1[[#This Row],[Country]],Table113[Freestyle Classification],"&gt;0")</f>
        <v>0</v>
      </c>
      <c r="NO65" s="6">
        <f>COUNTIFS(Table113116[Country],Tabela1[[#This Row],[Country]],Table113116[Freestyle Classification],"&gt;0")</f>
        <v>0</v>
      </c>
      <c r="NP65" s="6">
        <f>COUNTIFS(Table117[Country],Tabela1[[#This Row],[Country]],Table117[Men''s Relay Classification],"&gt;0")</f>
        <v>0</v>
      </c>
      <c r="NQ65" s="6">
        <f>COUNTIFS(Table117[Country],Tabela1[[#This Row],[Country]],Table117[Women''s Relay Classification],"&gt;0")</f>
        <v>0</v>
      </c>
      <c r="NR65" s="6">
        <f>COUNTIFS(Table113[Country],Tabela1[[#This Row],[Country]],Table113[Skiathlon Classification],"&gt;0")</f>
        <v>0</v>
      </c>
      <c r="NS65" s="6">
        <f>COUNTIFS(Table113116[Country],Tabela1[[#This Row],[Country]],Table113116[Skiathlon Classification],"&gt;0")</f>
        <v>0</v>
      </c>
      <c r="NT65" s="6">
        <f>COUNTIFS(Table113[Country],Tabela1[[#This Row],[Country]],Table113[Sprint Classification],"&gt;0")</f>
        <v>0</v>
      </c>
      <c r="NU65" s="6">
        <f>COUNTIFS(Table113116[Country],Tabela1[[#This Row],[Country]],Table113116[Sprint Classification],"&gt;0")</f>
        <v>0</v>
      </c>
      <c r="NV65" s="6">
        <f>COUNTIFS(Table116[Country],Tabela1[[#This Row],[Country]],Table116[Men''s Team Sprint Classification],"&gt;0")</f>
        <v>0</v>
      </c>
      <c r="NW65" s="6">
        <f>COUNTIFS(Table116[Country],Tabela1[[#This Row],[Country]],Table116[Women''s Team Sprint Classification],"&gt;0")</f>
        <v>0</v>
      </c>
      <c r="NX65" s="6">
        <f>COUNTIFS(Table119[Country],Tabela1[[#This Row],[Country]],Table119[Men''s Classification],"&gt;0")</f>
        <v>0</v>
      </c>
      <c r="NY65" s="6">
        <f>COUNTIFS(Table119[Country],Tabela1[[#This Row],[Country]],Table119[Women''s Classification],"&gt;0")</f>
        <v>0</v>
      </c>
      <c r="NZ65" s="6">
        <f>COUNTIFS(Table118[Country],Tabela1[[#This Row],[Country]],Table118[Mixed Classification],"&gt;0")</f>
        <v>0</v>
      </c>
      <c r="OA65" s="6">
        <f>COUNTIFS(Table120[Country],Tabela1[[#This Row],[Country]],Table120[Classification],"&gt;0")</f>
        <v>0</v>
      </c>
      <c r="OB65" s="6">
        <f>COUNTIFS(Table120123[Country],Tabela1[[#This Row],[Country]],Table120123[Classification],"&gt;0")</f>
        <v>0</v>
      </c>
      <c r="OC65" s="6">
        <f>COUNTIFS(Table123[Country],Tabela1[[#This Row],[Country]],Table123[Ice Dance Classification],"&gt;0")</f>
        <v>0</v>
      </c>
      <c r="OD65" s="6">
        <f>COUNTIFS(Table123[Country],Tabela1[[#This Row],[Country]],Table123[Pair Skating Classification],"&gt;0")</f>
        <v>0</v>
      </c>
      <c r="OE65" s="6">
        <f>COUNTIFS(Table124[Country],Tabela1[[#This Row],[Country]],Table124[Mixed Classification],"&gt;0")</f>
        <v>0</v>
      </c>
      <c r="OF65" s="6">
        <f>COUNTIFS(Table125[Country],Tabela1[[#This Row],[Country]],Table125[Aerials Classification],"&gt;0")</f>
        <v>0</v>
      </c>
      <c r="OG65" s="6">
        <f>COUNTIFS(Table125128[Country],Tabela1[[#This Row],[Country]],Table125128[Aerials Classification],"&gt;0")</f>
        <v>0</v>
      </c>
      <c r="OH65" s="6">
        <f>COUNTIFS(Table128[Country],Tabela1[[#This Row],[Country]],Table128[Mixed Aerials Classification],"&gt;0")</f>
        <v>0</v>
      </c>
      <c r="OI65" s="6">
        <f>COUNTIFS(Table125[Country],Tabela1[[#This Row],[Country]],Table125[Big Air Classification],"&gt;0")</f>
        <v>0</v>
      </c>
      <c r="OJ65" s="6">
        <f>COUNTIFS(Table125128[Country],Tabela1[[#This Row],[Country]],Table125128[Big Air Classification],"&gt;0")</f>
        <v>0</v>
      </c>
      <c r="OK65" s="6">
        <f>COUNTIFS(Table125[Country],Tabela1[[#This Row],[Country]],Table125[Dual Moguls Classification],"&gt;0")</f>
        <v>0</v>
      </c>
      <c r="OL65" s="6">
        <f>COUNTIFS(Table125128[Country],Tabela1[[#This Row],[Country]],Table125128[Dual Moguls Classification],"&gt;0")</f>
        <v>0</v>
      </c>
      <c r="OM65" s="6">
        <f>COUNTIFS(Table125[Country],Tabela1[[#This Row],[Country]],Table125[Halfpipe Classification],"&gt;0")</f>
        <v>0</v>
      </c>
      <c r="ON65" s="6">
        <f>COUNTIFS(Table125128[Country],Tabela1[[#This Row],[Country]],Table125128[Halfpipe Classification],"&gt;0")</f>
        <v>0</v>
      </c>
      <c r="OO65" s="6">
        <f>COUNTIFS(Table125[Country],Tabela1[[#This Row],[Country]],Table125[Moguls Classification],"&gt;0")</f>
        <v>0</v>
      </c>
      <c r="OP65" s="6">
        <f>COUNTIFS(Table125128[Country],Tabela1[[#This Row],[Country]],Table125128[Moguls Classification],"&gt;0")</f>
        <v>0</v>
      </c>
      <c r="OQ65" s="6">
        <f>COUNTIFS(Table125[Country],Tabela1[[#This Row],[Country]],Table125[Ski Cross Classification],"&gt;0")</f>
        <v>0</v>
      </c>
      <c r="OR65" s="6">
        <f>COUNTIFS(Table125128[Country],Tabela1[[#This Row],[Country]],Table125128[Ski Cross Classification],"&gt;0")</f>
        <v>0</v>
      </c>
      <c r="OS65" s="6">
        <f>COUNTIFS(Table125[Country],Tabela1[[#This Row],[Country]],Table125[Slopestyle Classification],"&gt;0")</f>
        <v>0</v>
      </c>
      <c r="OT65" s="6">
        <f>COUNTIFS(Table125128[Country],Tabela1[[#This Row],[Country]],Table125128[Slopestyle Classification],"&gt;0")</f>
        <v>0</v>
      </c>
      <c r="OU65" s="6">
        <f>COUNTIFS(Table119131[Country],Tabela1[[#This Row],[Country]],Table119131[Men''s Classification],"&gt;0")</f>
        <v>0</v>
      </c>
      <c r="OV65" s="6">
        <f>COUNTIFS(Table119131[Country],Tabela1[[#This Row],[Country]],Table119131[Women''s Classification],"&gt;0")</f>
        <v>0</v>
      </c>
      <c r="OW65" s="6">
        <f>COUNTIFS(Table131[Country],Tabela1[[#This Row],[Country]],Table131[Classification],"&gt;0")</f>
        <v>0</v>
      </c>
      <c r="OX65" s="6">
        <f>COUNTIFS(Table131134[Country],Tabela1[[#This Row],[Country]],Table131134[Classification],"&gt;0")</f>
        <v>0</v>
      </c>
      <c r="OY65" s="6">
        <f>COUNTIFS(Table134[Country],Tabela1[[#This Row],[Country]],Table134[Men''s Classification],"&gt;0")</f>
        <v>0</v>
      </c>
      <c r="OZ65" s="6">
        <f>COUNTIFS(Table134[Country],Tabela1[[#This Row],[Country]],Table134[Women''s Classification],"&gt;0")</f>
        <v>0</v>
      </c>
      <c r="PA65" s="6">
        <f>COUNTIFS(Table135[Country],Tabela1[[#This Row],[Country]],Table135[Mixed Relay Classification],"&gt;0")</f>
        <v>0</v>
      </c>
      <c r="PB65" s="6">
        <f>COUNTIFS(Table136[Country],Tabela1[[#This Row],[Country]],Table136[Individual Classification],"&gt;0")</f>
        <v>0</v>
      </c>
      <c r="PC65" s="6">
        <f>COUNTIFS(Table136[Country],Tabela1[[#This Row],[Country]],Table136[Sprint Classification],"&gt;0")</f>
        <v>0</v>
      </c>
      <c r="PD65" s="6">
        <f>COUNTIFS(Table137[Country],Tabela1[[#This Row],[Country]],Table137[Men''s Team Sprint Large Hill Classification],"&gt;0")</f>
        <v>0</v>
      </c>
      <c r="PE65" s="6">
        <f>COUNTIFS(Table138[Country],Tabela1[[#This Row],[Country]],Table138[500m Classification],"&gt;0")</f>
        <v>0</v>
      </c>
      <c r="PF65" s="6">
        <f>COUNTIFS(Table138141[Country],Tabela1[[#This Row],[Country]],Table138141[500m Classification],"&gt;0")</f>
        <v>0</v>
      </c>
      <c r="PG65" s="6">
        <f>COUNTIFS(Table138[Country],Tabela1[[#This Row],[Country]],Table138[1000m Classification],"&gt;0")</f>
        <v>0</v>
      </c>
      <c r="PH65" s="6">
        <f>COUNTIFS(Table138141[Country],Tabela1[[#This Row],[Country]],Table138141[1000m Classification],"&gt;0")</f>
        <v>0</v>
      </c>
      <c r="PI65" s="6">
        <f>COUNTIFS(Table138[Country],Tabela1[[#This Row],[Country]],Table138[1500m Classification],"&gt;0")</f>
        <v>0</v>
      </c>
      <c r="PJ65" s="6">
        <f>COUNTIFS(Table138141[Country],Tabela1[[#This Row],[Country]],Table138141[1500m Classification],"&gt;0")</f>
        <v>0</v>
      </c>
      <c r="PK65" s="6">
        <f>COUNTIFS(Table141[Country],Tabela1[[#This Row],[Country]],Table141[Men''s 5000m Relay Classification],"&gt;0")</f>
        <v>0</v>
      </c>
      <c r="PL65" s="6">
        <f>COUNTIFS(Table141[Country],Tabela1[[#This Row],[Country]],Table141[Women''s 3000m Relay Classification],"&gt;0")</f>
        <v>0</v>
      </c>
      <c r="PM65" s="6">
        <f>COUNTIFS(Table141[Country],Tabela1[[#This Row],[Country]],Table141[Mixed 2000m Relay Classification],"&gt;0")</f>
        <v>0</v>
      </c>
      <c r="PN65" s="6">
        <f>COUNTIFS(Table142[Country],Tabela1[[#This Row],[Country]],Table142[Classification],"&gt;0")</f>
        <v>0</v>
      </c>
      <c r="PO65" s="6">
        <f>COUNTIFS(Table142145[Country],Tabela1[[#This Row],[Country]],Table142145[Classification],"&gt;0")</f>
        <v>0</v>
      </c>
      <c r="PP65" s="6">
        <f>COUNTIFS(Tabela15[Country],Tabela1[[#This Row],[Country]],Tabela15[Mixed Team Classification],"&gt;0")</f>
        <v>0</v>
      </c>
      <c r="PQ65" s="6">
        <f>COUNTIFS(Table145[Country],Tabela1[[#This Row],[Country]],Table145[Large Hill Classification],"&gt;0")</f>
        <v>0</v>
      </c>
      <c r="PR65" s="6">
        <f>COUNTIFS(Table145[Country],Tabela1[[#This Row],[Country]],Table145[Normal Hill Classification],"&gt;0")</f>
        <v>0</v>
      </c>
      <c r="PS65" s="6">
        <f>COUNTIFS(Table145148[Country],Tabela1[[#This Row],[Country]],Table145148[Large Hill Classification],"&gt;0")</f>
        <v>0</v>
      </c>
      <c r="PT65" s="6">
        <f>COUNTIFS(Table145148[Country],Tabela1[[#This Row],[Country]],Table145148[Normal Hill Classification],"&gt;0")</f>
        <v>0</v>
      </c>
      <c r="PU65" s="6">
        <f>COUNTIFS(Table148[Country],Tabela1[[#This Row],[Country]],Table148[Men''s Super Team Classification],"&gt;0")</f>
        <v>0</v>
      </c>
      <c r="PV65" s="6">
        <f>COUNTIFS(Tabela114[Country],Tabela1[[#This Row],[Country]],Tabela114[Mixed Normal Hill Classification],"&gt;0")</f>
        <v>0</v>
      </c>
      <c r="PW65" s="6">
        <f>COUNTIFS(Tabela50[Country],Tabela1[[#This Row],[Country]],Tabela50[Sprint Classification],"&gt;0")</f>
        <v>0</v>
      </c>
      <c r="PX65" s="6">
        <f>COUNTIFS(Tabela50101[Country],Tabela1[[#This Row],[Country]],Tabela50101[Sprint Classification],"&gt;0")</f>
        <v>0</v>
      </c>
      <c r="PY65" s="6">
        <f>COUNTIFS(Tabela103[Country],Tabela1[[#This Row],[Country]],Tabela103[Mixed Relay Classification],"&gt;0")</f>
        <v>0</v>
      </c>
      <c r="PZ65" s="6">
        <f>COUNTIFS(Table149[Country],Tabela1[[#This Row],[Country]],Table149[Big Air Classification],"&gt;0")</f>
        <v>0</v>
      </c>
      <c r="QA65" s="6">
        <f>COUNTIFS(Table149152[Country],Tabela1[[#This Row],[Country]],Table149152[Big Air Classification],"&gt;0")</f>
        <v>0</v>
      </c>
      <c r="QB65" s="6">
        <f>COUNTIFS(Table149[Country],Tabela1[[#This Row],[Country]],Table149[Halfpipe Classification],"&gt;0")</f>
        <v>0</v>
      </c>
      <c r="QC65" s="6">
        <f>COUNTIFS(Table149152[Country],Tabela1[[#This Row],[Country]],Table149152[Halfpipe Classification],"&gt;0")</f>
        <v>0</v>
      </c>
      <c r="QD65" s="6">
        <f>COUNTIFS(Table149[Country],Tabela1[[#This Row],[Country]],Table149[Parallel Giant Slalom Classification],"&gt;0")</f>
        <v>0</v>
      </c>
      <c r="QE65" s="6">
        <f>COUNTIFS(Table149152[Country],Tabela1[[#This Row],[Country]],Table149152[Parallel Giant Slalom Classification],"&gt;0")</f>
        <v>0</v>
      </c>
      <c r="QF65" s="6">
        <f>COUNTIFS(Table149[Country],Tabela1[[#This Row],[Country]],Table149[Slopestyle Classification],"&gt;0")</f>
        <v>0</v>
      </c>
      <c r="QG65" s="6">
        <f>COUNTIFS(Table149152[Country],Tabela1[[#This Row],[Country]],Table149152[Slopestyle Classification],"&gt;0")</f>
        <v>0</v>
      </c>
      <c r="QH65" s="6">
        <f>COUNTIFS(Table149[Country],Tabela1[[#This Row],[Country]],Table149[Snowboard Cross Classification],"&gt;0")</f>
        <v>0</v>
      </c>
      <c r="QI65" s="6">
        <f>COUNTIFS(Table149152[Country],Tabela1[[#This Row],[Country]],Table149152[Snowboard Cross Classification],"&gt;0")</f>
        <v>0</v>
      </c>
      <c r="QJ65" s="6">
        <f>COUNTIFS(Table153[Country],Tabela1[[#This Row],[Country]],Table153[Mixed Team Snowboard Cross Classification],"&gt;0")</f>
        <v>0</v>
      </c>
      <c r="QK65" s="6">
        <f>COUNTIFS(Table154[Country],Tabela1[[#This Row],[Country]],Table154[500m Classification],"&gt;0")</f>
        <v>0</v>
      </c>
      <c r="QL65" s="6">
        <f>COUNTIFS(Table154157[Country],Tabela1[[#This Row],[Country]],Table154157[500m Classification],"&gt;0")</f>
        <v>0</v>
      </c>
      <c r="QM65" s="6">
        <f>COUNTIFS(Table154[Country],Tabela1[[#This Row],[Country]],Table154[1000m Classification],"&gt;0")</f>
        <v>0</v>
      </c>
      <c r="QN65" s="6">
        <f>COUNTIFS(Table154157[Country],Tabela1[[#This Row],[Country]],Table154157[1000m Classification],"&gt;0")</f>
        <v>0</v>
      </c>
      <c r="QO65" s="6">
        <f>COUNTIFS(Table154[Country],Tabela1[[#This Row],[Country]],Table154[1500m Classification],"&gt;0")</f>
        <v>0</v>
      </c>
      <c r="QP65" s="6">
        <f>COUNTIFS(Table154157[Country],Tabela1[[#This Row],[Country]],Table154157[1500m Classification],"&gt;0")</f>
        <v>0</v>
      </c>
      <c r="QQ65" s="6">
        <f>COUNTIFS(Table154157[Country],Tabela1[[#This Row],[Country]],Table154157[3000m Classification],"&gt;0")</f>
        <v>0</v>
      </c>
      <c r="QR65" s="6">
        <f>COUNTIFS(Table154[Country],Tabela1[[#This Row],[Country]],Table154[5000m Classification],"&gt;0")</f>
        <v>0</v>
      </c>
      <c r="QS65" s="6">
        <f>COUNTIFS(Table154157[Country],Tabela1[[#This Row],[Country]],Table154157[5000m Classification],"&gt;0")</f>
        <v>0</v>
      </c>
      <c r="QT65" s="6">
        <f>COUNTIFS(Table154[Country],Tabela1[[#This Row],[Country]],Table154[10000m Classification],"&gt;0")</f>
        <v>0</v>
      </c>
      <c r="QU65" s="6">
        <f>COUNTIFS(Table154[Country],Tabela1[[#This Row],[Country]],Table154[Mass Start Classification],"&gt;0")</f>
        <v>0</v>
      </c>
      <c r="QV65" s="6">
        <f>COUNTIFS(Table154157[Country],Tabela1[[#This Row],[Country]],Table154157[Mass Start Classification],"&gt;0")</f>
        <v>0</v>
      </c>
      <c r="QW65" s="6">
        <f>COUNTIFS(Table157[Country],Tabela1[[#This Row],[Country]],Table157[Men''s Pursuit Classification],"&gt;0")</f>
        <v>0</v>
      </c>
      <c r="QX65" s="6">
        <f>COUNTIFS(Table157[Country],Tabela1[[#This Row],[Country]],Table157[Women''s Pursuit Classification],"&gt;0")</f>
        <v>0</v>
      </c>
      <c r="QY65" s="3" t="s">
        <v>513</v>
      </c>
    </row>
    <row r="66" spans="1:467" x14ac:dyDescent="0.3">
      <c r="A66" s="6">
        <v>65</v>
      </c>
      <c r="B66" s="6" t="s">
        <v>724</v>
      </c>
      <c r="C66" t="e" vm="65">
        <f>IF(ISBLANK(Tabela1[[#This Row],[Image Link]]), "", _xlfn.IMAGE(Tabela1[[#This Row],[Image Link]],1,1))</f>
        <v>#VALUE!</v>
      </c>
      <c r="D66" s="6">
        <f>SUM(Tabela1[[#This Row],[Archery - Men''s Individual Recurve]:[Speed Skating - Women''s Team Pursuit]])</f>
        <v>9</v>
      </c>
      <c r="E66" s="6">
        <f>COUNTIF(Tabela1[[#This Row],[Archery - Men''s Individual Recurve]:[Speed Skating - Women''s Team Pursuit]],"&gt;0")</f>
        <v>8</v>
      </c>
      <c r="F66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66" s="6">
        <f>SUM(Tabela1[[#This Row],[Archery - Men''s Individual Recurve]:[Wrestling - Women''s Freestyle 76kg]])</f>
        <v>9</v>
      </c>
      <c r="H66" s="6">
        <f>SUM(Tabela1[[#This Row],[Alpine Skiing - Men''s Downhill]:[Speed Skating - Women''s Team Pursuit]])</f>
        <v>0</v>
      </c>
      <c r="I66" s="6">
        <f>Tabela1[[#This Row],[Summer Gold Medals]]+Tabela1[[#This Row],[Winter Gold Medals]]</f>
        <v>1</v>
      </c>
      <c r="J66" s="6">
        <f>Tabela1[[#This Row],[Summer Silver Medals]]+Tabela1[[#This Row],[Winter Silver Medals]]</f>
        <v>1</v>
      </c>
      <c r="K66" s="6">
        <f>Tabela1[[#This Row],[Summer Bronze Medals]]+Tabela1[[#This Row],[Winter Bronze Medals]]</f>
        <v>0</v>
      </c>
      <c r="L66" s="6">
        <f>SUM(Tabela1[[#This Row],[Total Gold Medals]:[Total Bronze Medals]])</f>
        <v>2</v>
      </c>
      <c r="M66" s="6">
        <v>1</v>
      </c>
      <c r="N66" s="6">
        <v>1</v>
      </c>
      <c r="O66" s="6"/>
      <c r="P66" s="6">
        <f>SUM(Tabela1[[#This Row],[Summer Gold Medals]:[Summer Bronze Medals]])</f>
        <v>2</v>
      </c>
      <c r="Q66" s="6"/>
      <c r="R66" s="6"/>
      <c r="S66" s="6"/>
      <c r="T66" s="6">
        <f>Tabela1[[#This Row],[Winter Gold Medals]]+Tabela1[[#This Row],[Winter Silver Medals]]+Tabela1[[#This Row],[Winter Bronze Medals]]</f>
        <v>0</v>
      </c>
      <c r="U66" s="7">
        <f>Tabela1[[#This Row],[Total Medals]]/Tabela1[[#This Row],[Total Quotas]]</f>
        <v>0.22222222222222221</v>
      </c>
      <c r="V66" s="6">
        <f>COUNTIFS(Table3[Country],Tabela1[[#This Row],[Country]],Table3[Recurve Classification],"&gt;0")</f>
        <v>0</v>
      </c>
      <c r="W66" s="6">
        <f>COUNTIFS(Table33[Country],Tabela1[[#This Row],[Country]],Table33[Recurve Classification],"&gt;0")</f>
        <v>0</v>
      </c>
      <c r="X66" s="6">
        <f>COUNTIFS(Table35[Country],Tabela1[[#This Row],[Country]],Table35[Men''s Team Recurve Classification],"&gt;0")</f>
        <v>0</v>
      </c>
      <c r="Y66" s="6">
        <f>COUNTIFS(Table35[Country],Tabela1[[#This Row],[Country]],Table35[Women''s Team Recurve Classification],"&gt;0")</f>
        <v>0</v>
      </c>
      <c r="Z66" s="6">
        <f>COUNTIFS(Tabela88[Country],Tabela1[[#This Row],[Country]],Tabela88[Mixed Team Recurve Classification],"&gt;0")</f>
        <v>0</v>
      </c>
      <c r="AA66" s="6">
        <f>COUNTIFS(Table36[Country],Tabela1[[#This Row],[Country]],Table36[Classification],"&gt;0")</f>
        <v>0</v>
      </c>
      <c r="AB66" s="6">
        <f>COUNTIFS(Table37[Country],Tabela1[[#This Row],[Country]],Table37[Classification],"&gt;0")</f>
        <v>0</v>
      </c>
      <c r="AC66" s="6">
        <f>COUNTIFS(Table4[Country],Tabela1[[#This Row],[Country]],Table4[100m Classification],"&gt;0")</f>
        <v>0</v>
      </c>
      <c r="AD66" s="6">
        <f>COUNTIFS(Table5[Country],Tabela1[[#This Row],[Country]],Table5[100m Classification],"&gt;0")</f>
        <v>0</v>
      </c>
      <c r="AE66" s="6">
        <f>COUNTIFS(Table4[Country],Tabela1[[#This Row],[Country]],Table4[200m Classification],"&gt;0")</f>
        <v>0</v>
      </c>
      <c r="AF66" s="6">
        <f>COUNTIFS(Table5[Country],Tabela1[[#This Row],[Country]],Table5[200m Classification],"&gt;0")</f>
        <v>0</v>
      </c>
      <c r="AG66" s="6">
        <f>COUNTIFS(Table4[Country],Tabela1[[#This Row],[Country]],Table4[400m Classification],"&gt;0")</f>
        <v>0</v>
      </c>
      <c r="AH66" s="6">
        <f>COUNTIFS(Table5[Country],Tabela1[[#This Row],[Country]],Table5[400m Classification],"&gt;0")</f>
        <v>0</v>
      </c>
      <c r="AI66" s="6">
        <f>COUNTIFS(Table4[Country],Tabela1[[#This Row],[Country]],Table4[800m Classification],"&gt;0")</f>
        <v>0</v>
      </c>
      <c r="AJ66" s="6">
        <f>COUNTIFS(Table5[Country],Tabela1[[#This Row],[Country]],Table5[800m Classification],"&gt;0")</f>
        <v>1</v>
      </c>
      <c r="AK66" s="6">
        <f>COUNTIFS(Table4[Country],Tabela1[[#This Row],[Country]],Table4[1500m Classification],"&gt;0")</f>
        <v>0</v>
      </c>
      <c r="AL66" s="6">
        <f>COUNTIFS(Table5[Country],Tabela1[[#This Row],[Country]],Table5[1500m Classification],"&gt;0")</f>
        <v>1</v>
      </c>
      <c r="AM66" s="6">
        <f>COUNTIFS(Table4[Country],Tabela1[[#This Row],[Country]],Table4[5000m Classification],"&gt;0")</f>
        <v>0</v>
      </c>
      <c r="AN66" s="6">
        <f>COUNTIFS(Table5[Country],Tabela1[[#This Row],[Country]],Table5[5000m Classification],"&gt;0")</f>
        <v>0</v>
      </c>
      <c r="AO66" s="6">
        <f>COUNTIFS(Table4[Country],Tabela1[[#This Row],[Country]],Table4[10000m Classification],"&gt;0")</f>
        <v>2</v>
      </c>
      <c r="AP66" s="6">
        <f>COUNTIFS(Table5[Country],Tabela1[[#This Row],[Country]],Table5[10000m Classification],"&gt;0")</f>
        <v>0</v>
      </c>
      <c r="AQ66" s="6">
        <f>COUNTIFS(Table4[Country],Tabela1[[#This Row],[Country]],Table4[110m Hurdles Classification],"&gt;0")</f>
        <v>0</v>
      </c>
      <c r="AR66" s="6">
        <f>COUNTIFS(Table5[Country],Tabela1[[#This Row],[Country]],Table5[100m Hurdles Classification],"&gt;0")</f>
        <v>0</v>
      </c>
      <c r="AS66" s="6">
        <f>COUNTIFS(Table4[Country],Tabela1[[#This Row],[Country]],Table4[400m Hurdles Classification],"&gt;0")</f>
        <v>0</v>
      </c>
      <c r="AT66" s="6">
        <f>COUNTIFS(Table5[Country],Tabela1[[#This Row],[Country]],Table5[400m Hurdles Classification],"&gt;0")</f>
        <v>0</v>
      </c>
      <c r="AU66" s="6">
        <f>COUNTIFS(Table4[Country],Tabela1[[#This Row],[Country]],Table4[3000m Steeplechase Classification],"&gt;0")</f>
        <v>0</v>
      </c>
      <c r="AV66" s="6">
        <f>COUNTIFS(Table5[Country],Tabela1[[#This Row],[Country]],Table5[3000m Steeplechase Classification],"&gt;0")</f>
        <v>1</v>
      </c>
      <c r="AW66" s="6">
        <f>COUNTIFS(Table27[Country],Tabela1[[#This Row],[Country]],Table27[Men''s 4x100m Relay Classification],"&gt;0")</f>
        <v>0</v>
      </c>
      <c r="AX66" s="6">
        <f>COUNTIFS(Table27[Country],Tabela1[[#This Row],[Country]],Table27[Women''s 4x100m Relay Classification],"&gt;0")</f>
        <v>0</v>
      </c>
      <c r="AY66" s="6">
        <f>COUNTIFS(Table27[Country],Tabela1[[#This Row],[Country]],Table27[Men''s 4x400m Relay Classification],"&gt;0")</f>
        <v>0</v>
      </c>
      <c r="AZ66" s="6">
        <f>COUNTIFS(Table27[Country],Tabela1[[#This Row],[Country]],Table27[Women''s 4x400m Relay Classification],"&gt;0")</f>
        <v>0</v>
      </c>
      <c r="BA66" s="6">
        <f>COUNTIFS(Table27[Country],Tabela1[[#This Row],[Country]],Table27[Mixed 4x400m Relay Classification],"&gt;0")</f>
        <v>0</v>
      </c>
      <c r="BB66" s="6">
        <f>COUNTIFS(Table4[Country],Tabela1[[#This Row],[Country]],Table4[Marathon Classification],"&gt;0")</f>
        <v>1</v>
      </c>
      <c r="BC66" s="6">
        <f>COUNTIFS(Table5[Country],Tabela1[[#This Row],[Country]],Table5[Marathon Classification],"&gt;0")</f>
        <v>1</v>
      </c>
      <c r="BD66" s="6">
        <f>COUNTIFS(Table4[Country],Tabela1[[#This Row],[Country]],Table4[20km Race Walk Classification],"&gt;0")</f>
        <v>0</v>
      </c>
      <c r="BE66" s="6">
        <f>COUNTIFS(Table5[Country],Tabela1[[#This Row],[Country]],Table5[20km Race Walk Classification],"&gt;0")</f>
        <v>0</v>
      </c>
      <c r="BF66" s="6">
        <f>COUNTIFS(Tabela96[Country],Tabela1[[#This Row],[Country]],Tabela96[Mixed Marathon Race Walk Relay Classification],"&gt;0")</f>
        <v>0</v>
      </c>
      <c r="BG66" s="6">
        <f>COUNTIFS(Table4[Country],Tabela1[[#This Row],[Country]],Table4[Discus Throw Classification],"&gt;0")</f>
        <v>0</v>
      </c>
      <c r="BH66" s="6">
        <f>COUNTIFS(Table5[Country],Tabela1[[#This Row],[Country]],Table5[Discus Throw Classification],"&gt;0")</f>
        <v>0</v>
      </c>
      <c r="BI66" s="6">
        <f>COUNTIFS(Table4[Country],Tabela1[[#This Row],[Country]],Table4[Hammer Throw Classification],"&gt;0")</f>
        <v>0</v>
      </c>
      <c r="BJ66" s="6">
        <f>COUNTIFS(Table5[Country],Tabela1[[#This Row],[Country]],Table5[Hammer Throw Classification],"&gt;0")</f>
        <v>0</v>
      </c>
      <c r="BK66" s="6">
        <f>COUNTIFS(Table4[Country],Tabela1[[#This Row],[Country]],Table4[High Jump Classification],"&gt;0")</f>
        <v>0</v>
      </c>
      <c r="BL66" s="6">
        <f>COUNTIFS(Table5[Country],Tabela1[[#This Row],[Country]],Table5[High Jump Classification],"&gt;0")</f>
        <v>0</v>
      </c>
      <c r="BM66" s="6">
        <f>COUNTIFS(Table4[Country],Tabela1[[#This Row],[Country]],Table4[Javelin Throw Classification],"&gt;0")</f>
        <v>0</v>
      </c>
      <c r="BN66" s="6">
        <f>COUNTIFS(Table5[Country],Tabela1[[#This Row],[Country]],Table5[Javelin Throw Classification],"&gt;0")</f>
        <v>0</v>
      </c>
      <c r="BO66" s="6">
        <f>COUNTIFS(Table4[Country],Tabela1[[#This Row],[Country]],Table4[Long Jump Classification],"&gt;0")</f>
        <v>0</v>
      </c>
      <c r="BP66" s="6">
        <f>COUNTIFS(Table5[Country],Tabela1[[#This Row],[Country]],Table5[Long Jump Classification],"&gt;0")</f>
        <v>0</v>
      </c>
      <c r="BQ66" s="6">
        <f>COUNTIFS(Table4[Country],Tabela1[[#This Row],[Country]],Table4[Pole Vault Classification],"&gt;0")</f>
        <v>0</v>
      </c>
      <c r="BR66" s="6">
        <f>COUNTIFS(Table5[Country],Tabela1[[#This Row],[Country]],Table5[Pole Vault Classification],"&gt;0")</f>
        <v>0</v>
      </c>
      <c r="BS66" s="6">
        <f>COUNTIFS(Table4[Country],Tabela1[[#This Row],[Country]],Table4[Shot Put Classification],"&gt;0")</f>
        <v>0</v>
      </c>
      <c r="BT66" s="6">
        <f>COUNTIFS(Table5[Country],Tabela1[[#This Row],[Country]],Table5[Shot Put Classification],"&gt;0")</f>
        <v>0</v>
      </c>
      <c r="BU66" s="6">
        <f>COUNTIFS(Table4[Country],Tabela1[[#This Row],[Country]],Table4[Triple Jump Classification],"&gt;0")</f>
        <v>0</v>
      </c>
      <c r="BV66" s="6">
        <f>COUNTIFS(Table5[Country],Tabela1[[#This Row],[Country]],Table5[Triple Jump Classification],"&gt;0")</f>
        <v>0</v>
      </c>
      <c r="BW66" s="6">
        <f>COUNTIFS(Table4[Country],Tabela1[[#This Row],[Country]],Table4[Decathlon Classification],"&gt;0")</f>
        <v>0</v>
      </c>
      <c r="BX66" s="6">
        <f>COUNTIFS(Table5[Country],Tabela1[[#This Row],[Country]],Table5[Heptathlon Classification],"&gt;0")</f>
        <v>0</v>
      </c>
      <c r="BY66" s="6">
        <f>COUNTIFS(Table61[Country],Tabela1[[#This Row],[Country]],Table61[Classification],"&gt;0")</f>
        <v>0</v>
      </c>
      <c r="BZ66" s="6">
        <f>COUNTIFS(Table38[Country],Tabela1[[#This Row],[Country]],Table38[Classification],"&gt;0")</f>
        <v>0</v>
      </c>
      <c r="CA66" s="6">
        <f>COUNTIFS(Table39[Country],Tabela1[[#This Row],[Country]],Table39[Men''s Classification],"&gt;0")</f>
        <v>0</v>
      </c>
      <c r="CB66" s="6">
        <f>COUNTIFS(Table39[Country],Tabela1[[#This Row],[Country]],Table39[Women''s Classification],"&gt;0")</f>
        <v>0</v>
      </c>
      <c r="CC66" s="6">
        <f>COUNTIFS(Table39[Country],Tabela1[[#This Row],[Country]],Table39[Mixed Classification],"&gt;0")</f>
        <v>0</v>
      </c>
      <c r="CD66" s="6">
        <f>COUNTIFS(Table89[Country],Tabela1[[#This Row],[Country]],Table89[Men''s Classification],"&gt;0")</f>
        <v>0</v>
      </c>
      <c r="CE66" s="6">
        <f>COUNTIFS(Table89[Country],Tabela1[[#This Row],[Country]],Table89[Women''s Classification],"&gt;0")</f>
        <v>0</v>
      </c>
      <c r="CF66" s="6">
        <f>COUNTIFS(Table90[Country],Tabela1[[#This Row],[Country]],Table90[Men''s Classification],"&gt;0")</f>
        <v>0</v>
      </c>
      <c r="CG66" s="6">
        <f>COUNTIFS(Table90[Country],Tabela1[[#This Row],[Country]],Table90[Women''s Classification],"&gt;0")</f>
        <v>0</v>
      </c>
      <c r="CH66" s="6">
        <f>COUNTIFS(Table60[Country],Tabela1[[#This Row],[Country]],Table60[Men''s Classification],"&gt;0")</f>
        <v>0</v>
      </c>
      <c r="CI66" s="6">
        <f>COUNTIFS(Table60[Country],Tabela1[[#This Row],[Country]],Table60[Women''s Classification],"&gt;0")</f>
        <v>0</v>
      </c>
      <c r="CJ66" s="6">
        <f>COUNTIFS(Table6[Country],Tabela1[[#This Row],[Country]],Table6[51kg Classification],"&gt;0")</f>
        <v>0</v>
      </c>
      <c r="CK66" s="6">
        <f>COUNTIFS(Table6[Country],Tabela1[[#This Row],[Country]],Table6[57kg Classification],"&gt;0")</f>
        <v>0</v>
      </c>
      <c r="CL66" s="6">
        <f>COUNTIFS(Table6[Country],Tabela1[[#This Row],[Country]],Table6[63.5kg Classification],"&gt;0")</f>
        <v>0</v>
      </c>
      <c r="CM66" s="6">
        <f>COUNTIFS(Table6[Country],Tabela1[[#This Row],[Country]],Table6[71kg Classification],"&gt;0")</f>
        <v>0</v>
      </c>
      <c r="CN66" s="6">
        <f>COUNTIFS(Table6[Country],Tabela1[[#This Row],[Country]],Table6[80kg Classification],"&gt;0")</f>
        <v>0</v>
      </c>
      <c r="CO66" s="6">
        <f>COUNTIFS(Table6[Country],Tabela1[[#This Row],[Country]],Table6[92kg Classification],"&gt;0")</f>
        <v>0</v>
      </c>
      <c r="CP66" s="6">
        <f>COUNTIFS(Table6[Country],Tabela1[[#This Row],[Country]],Table6[Plus 92kg Classification],"&gt;0")</f>
        <v>0</v>
      </c>
      <c r="CQ66" s="6">
        <f>COUNTIFS(Table7[Country],Tabela1[[#This Row],[Country]],Table7[50kg Classification],"&gt;0")</f>
        <v>0</v>
      </c>
      <c r="CR66" s="6">
        <f>COUNTIFS(Table7[Country],Tabela1[[#This Row],[Country]],Table7[54kg Classification],"&gt;0")</f>
        <v>0</v>
      </c>
      <c r="CS66" s="6">
        <f>COUNTIFS(Table7[Country],Tabela1[[#This Row],[Country]],Table7[57kg Classification],"&gt;0")</f>
        <v>0</v>
      </c>
      <c r="CT66" s="6">
        <f>COUNTIFS(Table7[Country],Tabela1[[#This Row],[Country]],Table7[60kg Classification],"&gt;0")</f>
        <v>0</v>
      </c>
      <c r="CU66" s="6">
        <f>COUNTIFS(Table7[Country],Tabela1[[#This Row],[Country]],Table7[66kg Classification],"&gt;0")</f>
        <v>0</v>
      </c>
      <c r="CV66" s="6">
        <f>COUNTIFS(Table7[Country],Tabela1[[#This Row],[Country]],Table7[75kg Classification],"&gt;0")</f>
        <v>0</v>
      </c>
      <c r="CW66" s="6">
        <f>COUNTIFS(Tabela94[Country],Tabela1[[#This Row],[Country]],Tabela94[Classification],"&gt;0")</f>
        <v>0</v>
      </c>
      <c r="CX66" s="6">
        <f>COUNTIFS(Tabela9499[Country],Tabela1[[#This Row],[Country]],Tabela9499[Classification],"&gt;0")</f>
        <v>0</v>
      </c>
      <c r="CY66" s="6">
        <f>COUNTIFS(Tabela107[Country],Tabela1[[#This Row],[Country]],Tabela107[C1 Slalom Classification],"&gt;0")</f>
        <v>0</v>
      </c>
      <c r="CZ66" s="6">
        <f>COUNTIFS(Tabela107122[Country],Tabela1[[#This Row],[Country]],Tabela107122[C1 Slalom Classification],"&gt;0")</f>
        <v>0</v>
      </c>
      <c r="DA66" s="6">
        <f>COUNTIFS(Tabela107[Country],Tabela1[[#This Row],[Country]],Tabela107[K1 Slalom Classification],"&gt;0")</f>
        <v>0</v>
      </c>
      <c r="DB66" s="6">
        <f>COUNTIFS(Tabela107122[Country],Tabela1[[#This Row],[Country]],Tabela107122[K1 Slalom Classification],"&gt;0")</f>
        <v>0</v>
      </c>
      <c r="DC66" s="6">
        <f>COUNTIFS(Tabela107[Country],Tabela1[[#This Row],[Country]],Tabela107[Kayak Cross Slalom Classification],"&gt;0")</f>
        <v>0</v>
      </c>
      <c r="DD66" s="6">
        <f>COUNTIFS(Tabela107122[Country],Tabela1[[#This Row],[Country]],Tabela107122[Kayak Cross Slalom Classification],"&gt;0")</f>
        <v>0</v>
      </c>
      <c r="DE66" s="6">
        <f>COUNTIFS(Table8[Country],Tabela1[[#This Row],[Country]],Table8[C1 200m Classification],"&gt;0")</f>
        <v>0</v>
      </c>
      <c r="DF66" s="6">
        <f>COUNTIFS(Table40[Country],Tabela1[[#This Row],[Country]],Table40[C1 1000m Classification],"&gt;0")</f>
        <v>0</v>
      </c>
      <c r="DG66" s="6">
        <f>COUNTIFS(Table68[Country],Tabela1[[#This Row],[Country]],Table68[Men''s C2 500m Classification],"&gt;0")</f>
        <v>0</v>
      </c>
      <c r="DH66" s="6">
        <f>COUNTIFS(Table68[Country],Tabela1[[#This Row],[Country]],Table68[Women''s C2 500m Classification],"&gt;0")</f>
        <v>0</v>
      </c>
      <c r="DI66" s="6">
        <f>COUNTIFS(Table8[Country],Tabela1[[#This Row],[Country]],Table8[K1 500m Classification],"&gt;0")</f>
        <v>0</v>
      </c>
      <c r="DJ66" s="6">
        <f>COUNTIFS(Table40[Country],Tabela1[[#This Row],[Country]],Table40[K1 1000m Classification],"&gt;0")</f>
        <v>0</v>
      </c>
      <c r="DK66" s="6">
        <f>COUNTIFS(Table68[Country],Tabela1[[#This Row],[Country]],Table68[Men''s K2 500m Classification],"&gt;0")</f>
        <v>0</v>
      </c>
      <c r="DL66" s="6">
        <f>COUNTIFS(Table68[Country],Tabela1[[#This Row],[Country]],Table68[Women''s K2 500m Classification],"&gt;0")</f>
        <v>0</v>
      </c>
      <c r="DM66" s="6">
        <f>COUNTIFS(Table83[Country],Tabela1[[#This Row],[Country]],Table83[Men''s K4 500m Classification],"&gt;0")</f>
        <v>0</v>
      </c>
      <c r="DN66" s="6">
        <f>COUNTIFS(Table83[Country],Tabela1[[#This Row],[Country]],Table83[Women''s K4 500m Classification],"&gt;0")</f>
        <v>0</v>
      </c>
      <c r="DO66" s="6">
        <f>COUNTIFS(Tabela126[Country],Tabela1[[#This Row],[Country]],Tabela126[Classification],"&gt;0")</f>
        <v>0</v>
      </c>
      <c r="DP66" s="6">
        <f>COUNTIFS(Tabela126130[Country],Tabela1[[#This Row],[Country]],Tabela126130[Classification],"&gt;0")</f>
        <v>0</v>
      </c>
      <c r="DQ66" s="6">
        <f>COUNTIFS(Table70[Country],Tabela1[[#This Row],[Country]],Table70[Classification],"&gt;0")</f>
        <v>0</v>
      </c>
      <c r="DR66" s="6">
        <f>COUNTIFS(Table80[Country],Tabela1[[#This Row],[Country]],Table80[Classification],"&gt;0")</f>
        <v>0</v>
      </c>
      <c r="DS66" s="6">
        <f>COUNTIFS(Table66[Country],Tabela1[[#This Row],[Country]],Table66[Classification],"&gt;0")</f>
        <v>0</v>
      </c>
      <c r="DT66" s="6">
        <f>COUNTIFS(Table67[Country],Tabela1[[#This Row],[Country]],Table67[Classification],"&gt;0")</f>
        <v>0</v>
      </c>
      <c r="DU66" s="6">
        <f>COUNTIFS(Table69[Country],Tabela1[[#This Row],[Country]],Table69[Keirin Classification],"&gt;0")</f>
        <v>0</v>
      </c>
      <c r="DV66" s="6">
        <f>COUNTIFS(Table41[Country],Tabela1[[#This Row],[Country]],Table41[Keirin Classification],"&gt;0")</f>
        <v>0</v>
      </c>
      <c r="DW66" s="6">
        <f>COUNTIFS(Table84[Country],Tabela1[[#This Row],[Country]],Table84[Men''s Madison Classification],"&gt;0")</f>
        <v>0</v>
      </c>
      <c r="DX66" s="6">
        <f>COUNTIFS(Table84[Country],Tabela1[[#This Row],[Country]],Table84[Women''s Madison Classification],"&gt;0")</f>
        <v>0</v>
      </c>
      <c r="DY66" s="6">
        <f>COUNTIFS(Table69[Country],Tabela1[[#This Row],[Country]],Table69[Omnium Classification],"&gt;0")</f>
        <v>0</v>
      </c>
      <c r="DZ66" s="6">
        <f>COUNTIFS(Table41[Country],Tabela1[[#This Row],[Country]],Table41[Omnium Classification],"&gt;0")</f>
        <v>0</v>
      </c>
      <c r="EA66" s="6">
        <f>COUNTIFS(Table9[Country],Tabela1[[#This Row],[Country]],Table9[Road Race Classification],"&gt;0")</f>
        <v>1</v>
      </c>
      <c r="EB66" s="6">
        <f>COUNTIFS(Table14[Country],Tabela1[[#This Row],[Country]],Table14[Road Race Classification],"&gt;0")</f>
        <v>0</v>
      </c>
      <c r="EC66" s="6">
        <f>COUNTIFS(Table69[Country],Tabela1[[#This Row],[Country]],Table69[Sprint Classification],"&gt;0")</f>
        <v>0</v>
      </c>
      <c r="ED66" s="6">
        <f>COUNTIFS(Table41[Country],Tabela1[[#This Row],[Country]],Table41[Sprint Classification],"&gt;0")</f>
        <v>0</v>
      </c>
      <c r="EE66" s="6">
        <f>COUNTIFS(Table85[Country],Tabela1[[#This Row],[Country]],Table85[Men''s Sprint Classification],"&gt;0")</f>
        <v>0</v>
      </c>
      <c r="EF66" s="6">
        <f>COUNTIFS(Table85[Country],Tabela1[[#This Row],[Country]],Table85[Women''s Sprint Classification],"&gt;0")</f>
        <v>0</v>
      </c>
      <c r="EG66" s="6">
        <f>COUNTIFS(Table85[Country],Tabela1[[#This Row],[Country]],Table85[Men''s Pursuit Classification],"&gt;0")</f>
        <v>0</v>
      </c>
      <c r="EH66" s="6">
        <f>COUNTIFS(Table85[Country],Tabela1[[#This Row],[Country]],Table85[Women''s Pursuit Classification],"&gt;0")</f>
        <v>0</v>
      </c>
      <c r="EI66" s="6">
        <f>COUNTIFS(Table9[Country],Tabela1[[#This Row],[Country]],Table9[Time-Trial Classification],"&gt;0")</f>
        <v>0</v>
      </c>
      <c r="EJ66" s="6">
        <f>COUNTIFS(Table14[Country],Tabela1[[#This Row],[Country]],Table14[Time-Trial Classification],"&gt;0")</f>
        <v>0</v>
      </c>
      <c r="EK66" s="6">
        <f>COUNTIFS(Table42[Country],Tabela1[[#This Row],[Country]],Table42[Springboard Classification],"&gt;0")</f>
        <v>0</v>
      </c>
      <c r="EL66" s="6">
        <f>COUNTIFS(Table43[Country],Tabela1[[#This Row],[Country]],Table43[Springboard Classification],"&gt;0")</f>
        <v>0</v>
      </c>
      <c r="EM66" s="6">
        <f>COUNTIFS(Table42[Country],Tabela1[[#This Row],[Country]],Table42[Platform Classification],"&gt;0")</f>
        <v>0</v>
      </c>
      <c r="EN66" s="6">
        <f>COUNTIFS(Table43[Country],Tabela1[[#This Row],[Country]],Table43[Platform Classification],"&gt;0")</f>
        <v>0</v>
      </c>
      <c r="EO66" s="6">
        <f>COUNTIFS(Table86[Country],Tabela1[[#This Row],[Country]],Table86[Men''s Synchronized Springboard Classification],"&gt;0")</f>
        <v>0</v>
      </c>
      <c r="EP66" s="6">
        <f>COUNTIFS(Table86[Country],Tabela1[[#This Row],[Country]],Table86[Women''s Synchronized Springboard Classification],"&gt;0")</f>
        <v>0</v>
      </c>
      <c r="EQ66" s="6">
        <f>COUNTIFS(Table86[Country],Tabela1[[#This Row],[Country]],Table86[Men''s Synchronized Platform Classification],"&gt;0")</f>
        <v>0</v>
      </c>
      <c r="ER66" s="6">
        <f>COUNTIFS(Table86[Country],Tabela1[[#This Row],[Country]],Table86[Women''s Synchronized Platform Classification],"&gt;0")</f>
        <v>0</v>
      </c>
      <c r="ES66" s="6">
        <f>COUNTIFS(Table44[Country],Tabela1[[#This Row],[Country]],Table44[Dressage Classification],"&gt;0")</f>
        <v>0</v>
      </c>
      <c r="ET66" s="6">
        <f>COUNTIFS(Table45[Country],Tabela1[[#This Row],[Country]],Table45[Dressage Classification],"&gt;0")</f>
        <v>0</v>
      </c>
      <c r="EU66" s="6">
        <f>COUNTIFS(Table44[Country],Tabela1[[#This Row],[Country]],Table44[Eventing Classification],"&gt;0")</f>
        <v>0</v>
      </c>
      <c r="EV66" s="6">
        <f>COUNTIFS(Table45[Country],Tabela1[[#This Row],[Country]],Table45[Eventing Classification],"&gt;0")</f>
        <v>0</v>
      </c>
      <c r="EW66" s="6">
        <f>COUNTIFS(Table44[Country],Tabela1[[#This Row],[Country]],Table44[Jumping Classification],"&gt;0")</f>
        <v>0</v>
      </c>
      <c r="EX66" s="6">
        <f>COUNTIFS(Table45[Country],Tabela1[[#This Row],[Country]],Table45[Jumping Classification],"&gt;0")</f>
        <v>0</v>
      </c>
      <c r="EY66" s="6">
        <f>COUNTIFS(Table10[Country],Tabela1[[#This Row],[Country]],Table10[Épée Classification],"&gt;0")</f>
        <v>0</v>
      </c>
      <c r="EZ66" s="6">
        <f>COUNTIFS(Table11[Country],Tabela1[[#This Row],[Country]],Table11[Épée Classification],"&gt;0")</f>
        <v>0</v>
      </c>
      <c r="FA66" s="6">
        <f>COUNTIFS(Table46[Country],Tabela1[[#This Row],[Country]],Table46[Men''s Épée Classification],"&gt;0")</f>
        <v>0</v>
      </c>
      <c r="FB66" s="6">
        <f>COUNTIFS(Table46[Country],Tabela1[[#This Row],[Country]],Table46[Women''s Épée Classification],"&gt;0")</f>
        <v>0</v>
      </c>
      <c r="FC66" s="6">
        <f>COUNTIFS(Table10[Country],Tabela1[[#This Row],[Country]],Table10[Foil Classification],"&gt;0")</f>
        <v>0</v>
      </c>
      <c r="FD66" s="6">
        <f>COUNTIFS(Table11[Country],Tabela1[[#This Row],[Country]],Table11[Foil Classification],"&gt;0")</f>
        <v>0</v>
      </c>
      <c r="FE66" s="6">
        <f>COUNTIFS(Table46[Country],Tabela1[[#This Row],[Country]],Table46[Men''s Foil Classification],"&gt;0")</f>
        <v>0</v>
      </c>
      <c r="FF66" s="6">
        <f>COUNTIFS(Table46[Country],Tabela1[[#This Row],[Country]],Table46[Women''s Foil Classification],"&gt;0")</f>
        <v>0</v>
      </c>
      <c r="FG66" s="6">
        <f>COUNTIFS(Table10[Country],Tabela1[[#This Row],[Country]],Table10[Sabre Classification],"&gt;0")</f>
        <v>0</v>
      </c>
      <c r="FH66" s="6">
        <f>COUNTIFS(Table11[Country],Tabela1[[#This Row],[Country]],Table11[Sabre Classification],"&gt;0")</f>
        <v>0</v>
      </c>
      <c r="FI66" s="6">
        <f>COUNTIFS(Table46[Country],Tabela1[[#This Row],[Country]],Table46[Men''s Sabre Classification],"&gt;0")</f>
        <v>0</v>
      </c>
      <c r="FJ66" s="6">
        <f>COUNTIFS(Table46[Country],Tabela1[[#This Row],[Country]],Table46[Women''s Sabre Classification],"&gt;0")</f>
        <v>0</v>
      </c>
      <c r="FK66" s="6">
        <f>COUNTIFS(Table91[Country],Tabela1[[#This Row],[Country]],Table91[Men''s Classification],"&gt;0")</f>
        <v>0</v>
      </c>
      <c r="FL66" s="6">
        <f>COUNTIFS(Table91[Country],Tabela1[[#This Row],[Country]],Table91[Women''s Classification],"&gt;0")</f>
        <v>0</v>
      </c>
      <c r="FM66" s="6">
        <f>COUNTIFS(Table9194[Country],Tabela1[[#This Row],[Country]],Table9194[Men''s Classification],"&gt;0")</f>
        <v>0</v>
      </c>
      <c r="FN66" s="6">
        <f>COUNTIFS(Table9194[Country],Tabela1[[#This Row],[Country]],Table9194[Women''s Classification],"&gt;0")</f>
        <v>0</v>
      </c>
      <c r="FO66" s="6">
        <f>COUNTIFS(Table71[Country],Tabela1[[#This Row],[Country]],Table71[Classification],"&gt;0")</f>
        <v>0</v>
      </c>
      <c r="FP66" s="6">
        <f>COUNTIFS(Table62[Country],Tabela1[[#This Row],[Country]],Table62[Classification],"&gt;0")</f>
        <v>0</v>
      </c>
      <c r="FQ66" s="6">
        <f>COUNTIFS(Table47[Country],Tabela1[[#This Row],[Country]],Table47[All-Around Classification],"&gt;0")</f>
        <v>0</v>
      </c>
      <c r="FR66" s="6">
        <f>COUNTIFS(Table48[Country],Tabela1[[#This Row],[Country]],Table48[All-Around Classification],"&gt;0")</f>
        <v>0</v>
      </c>
      <c r="FS66" s="6">
        <f>COUNTIFS(Table81[Country],Tabela1[[#This Row],[Country]],Table81[Men''s All-Around Classification],"&gt;0")</f>
        <v>0</v>
      </c>
      <c r="FT66" s="6">
        <f>COUNTIFS(Table81[Country],Tabela1[[#This Row],[Country]],Table81[Women''s All-Around Classification],"&gt;0")</f>
        <v>0</v>
      </c>
      <c r="FU66" s="6">
        <f>COUNTIFS(Table48[Country],Tabela1[[#This Row],[Country]],Table48[Balance Beam Classification],"&gt;0")</f>
        <v>0</v>
      </c>
      <c r="FV66" s="6">
        <f>COUNTIFS(Table47[Country],Tabela1[[#This Row],[Country]],Table47[Floor Exercise Classification],"&gt;0")</f>
        <v>0</v>
      </c>
      <c r="FW66" s="6">
        <f>COUNTIFS(Table48[Country],Tabela1[[#This Row],[Country]],Table48[Floor Exercise Classification],"&gt;0")</f>
        <v>0</v>
      </c>
      <c r="FX66" s="6">
        <f>COUNTIFS(Table47[Country],Tabela1[[#This Row],[Country]],Table47[Horizontal Bar Classification],"&gt;0")</f>
        <v>0</v>
      </c>
      <c r="FY66" s="6">
        <f>COUNTIFS(Table47[Country],Tabela1[[#This Row],[Country]],Table47[Parallel Bars Classification],"&gt;0")</f>
        <v>0</v>
      </c>
      <c r="FZ66" s="6">
        <f>COUNTIFS(Table47[Country],Tabela1[[#This Row],[Country]],Table47[Pommel Horse Classification],"&gt;0")</f>
        <v>0</v>
      </c>
      <c r="GA66" s="6">
        <f>COUNTIFS(Table47[Country],Tabela1[[#This Row],[Country]],Table47[Rings Classification],"&gt;0")</f>
        <v>0</v>
      </c>
      <c r="GB66" s="6">
        <f>COUNTIFS(Tabela132[Country],Tabela1[[#This Row],[Country]],Tabela132[Classification],"&gt;0")</f>
        <v>0</v>
      </c>
      <c r="GC66" s="6">
        <f>COUNTIFS(Tabela139[Country],Tabela1[[#This Row],[Country]],Tabela139[Classification],"&gt;0")</f>
        <v>0</v>
      </c>
      <c r="GD66" s="6">
        <f>COUNTIFS(Table48[Country],Tabela1[[#This Row],[Country]],Table48[Uneven Bars Classification],"&gt;0")</f>
        <v>0</v>
      </c>
      <c r="GE66" s="6">
        <f>COUNTIFS(Table47[Country],Tabela1[[#This Row],[Country]],Table47[Vault Classification],"&gt;0")</f>
        <v>0</v>
      </c>
      <c r="GF66" s="6">
        <f>COUNTIFS(Table48[Country],Tabela1[[#This Row],[Country]],Table48[Vault Classification],"&gt;0")</f>
        <v>0</v>
      </c>
      <c r="GG66" s="6">
        <f>COUNTIFS(Table919496[Country],Tabela1[[#This Row],[Country]],Table919496[Men''s Classification],"&gt;0")</f>
        <v>0</v>
      </c>
      <c r="GH66" s="6">
        <f>COUNTIFS(Table919496[Country],Tabela1[[#This Row],[Country]],Table919496[Women''s Classification],"&gt;0")</f>
        <v>0</v>
      </c>
      <c r="GI66" s="6">
        <f>COUNTIFS(Table12[Country],Tabela1[[#This Row],[Country]],Table12[60kg Classification],"&gt;0")</f>
        <v>0</v>
      </c>
      <c r="GJ66" s="6">
        <f>COUNTIFS(Table12[Country],Tabela1[[#This Row],[Country]],Table12[66kg Classification],"&gt;0")</f>
        <v>0</v>
      </c>
      <c r="GK66" s="6">
        <f>COUNTIFS(Table12[Country],Tabela1[[#This Row],[Country]],Table12[73kg Classification],"&gt;0")</f>
        <v>0</v>
      </c>
      <c r="GL66" s="6">
        <f>COUNTIFS(Table12[Country],Tabela1[[#This Row],[Country]],Table12[81kg Classification],"&gt;0")</f>
        <v>0</v>
      </c>
      <c r="GM66" s="6">
        <f>COUNTIFS(Table12[Country],Tabela1[[#This Row],[Country]],Table12[90kg Classification],"&gt;0")</f>
        <v>0</v>
      </c>
      <c r="GN66" s="6">
        <f>COUNTIFS(Table12[Country],Tabela1[[#This Row],[Country]],Table12[100kg Classification],"&gt;0")</f>
        <v>0</v>
      </c>
      <c r="GO66" s="6">
        <f>COUNTIFS(Table12[Country],Tabela1[[#This Row],[Country]],Table12[Plus 100kg Classification],"&gt;0")</f>
        <v>0</v>
      </c>
      <c r="GP66" s="6">
        <f>COUNTIFS(Table13[Country],Tabela1[[#This Row],[Country]],Table13[48kg Classification],"&gt;0")</f>
        <v>0</v>
      </c>
      <c r="GQ66" s="6">
        <f>COUNTIFS(Table13[Country],Tabela1[[#This Row],[Country]],Table13[52kg Classification],"&gt;0")</f>
        <v>0</v>
      </c>
      <c r="GR66" s="6">
        <f>COUNTIFS(Table13[Country],Tabela1[[#This Row],[Country]],Table13[57kg Classification],"&gt;0")</f>
        <v>0</v>
      </c>
      <c r="GS66" s="6">
        <f>COUNTIFS(Table13[Country],Tabela1[[#This Row],[Country]],Table13[63kg Classification],"&gt;0")</f>
        <v>0</v>
      </c>
      <c r="GT66" s="6">
        <f>COUNTIFS(Table13[Country],Tabela1[[#This Row],[Country]],Table13[70kg Classification],"&gt;0")</f>
        <v>0</v>
      </c>
      <c r="GU66" s="6">
        <f>COUNTIFS(Table13[Country],Tabela1[[#This Row],[Country]],Table13[78kg Classification],"&gt;0")</f>
        <v>0</v>
      </c>
      <c r="GV66" s="6">
        <f>COUNTIFS(Table13[Country],Tabela1[[#This Row],[Country]],Table13[Plus 78kg Classification],"&gt;0")</f>
        <v>0</v>
      </c>
      <c r="GW66" s="6">
        <f>COUNTIFS(Table82[Country],Tabela1[[#This Row],[Country]],Table82[Mixed Classification],"&gt;0")</f>
        <v>0</v>
      </c>
      <c r="GX66" s="6">
        <f>COUNTIFS(Table51[Country],Tabela1[[#This Row],[Country]],Table51[Classification],"&gt;0")</f>
        <v>0</v>
      </c>
      <c r="GY66" s="6">
        <f>COUNTIFS(Table52[Country],Tabela1[[#This Row],[Country]],Table52[Classification],"&gt;0")</f>
        <v>0</v>
      </c>
      <c r="GZ66" s="6">
        <f>COUNTIFS(Table32[Country],Tabela1[[#This Row],[Country]],Table32[All-Around Classification],"&gt;0")</f>
        <v>0</v>
      </c>
      <c r="HA66" s="6">
        <f>COUNTIFS(Table49[Country],Tabela1[[#This Row],[Country]],Table49[All-Around Classification],"&gt;0")</f>
        <v>0</v>
      </c>
      <c r="HB66" s="6">
        <f>COUNTIFS(Table26[Country],Tabela1[[#This Row],[Country]],Table26[Single Sculls Classification],"&gt;0")</f>
        <v>0</v>
      </c>
      <c r="HC66" s="6">
        <f>COUNTIFS(Table63[Country],Tabela1[[#This Row],[Country]],Table63[Single Sculls Classification],"&gt;0")</f>
        <v>1</v>
      </c>
      <c r="HD66" s="6">
        <f>COUNTIFS(Table16[Country],Tabela1[[#This Row],[Country]],Table16[Men''s Double Sculls Classification],"&gt;0")</f>
        <v>0</v>
      </c>
      <c r="HE66" s="6">
        <f>COUNTIFS(Table16[Country],Tabela1[[#This Row],[Country]],Table16[Women''s Double Sculls Classification],"&gt;0")</f>
        <v>0</v>
      </c>
      <c r="HF66" s="6">
        <f>COUNTIFS(Table72[Country],Tabela1[[#This Row],[Country]],Table72[Men''s Quadruple Sculls Classification],"&gt;0")</f>
        <v>0</v>
      </c>
      <c r="HG66" s="6">
        <f>COUNTIFS(Table72[Country],Tabela1[[#This Row],[Country]],Table72[Women''s Quadruple Sculls Classification],"&gt;0")</f>
        <v>0</v>
      </c>
      <c r="HH66" s="6">
        <f>COUNTIFS(Table16[Country],Tabela1[[#This Row],[Country]],Table16[Men''s Coxless Pairs Classification],"&gt;0")</f>
        <v>0</v>
      </c>
      <c r="HI66" s="6">
        <f>COUNTIFS(Table16[Country],Tabela1[[#This Row],[Country]],Table16[Women''s Coxless Pairs Classification],"&gt;0")</f>
        <v>0</v>
      </c>
      <c r="HJ66" s="6">
        <f>COUNTIFS(Table72[Country],Tabela1[[#This Row],[Country]],Table72[Men''s Coxless Fours Classification],"&gt;0")</f>
        <v>0</v>
      </c>
      <c r="HK66" s="6">
        <f>COUNTIFS(Table72[Country],Tabela1[[#This Row],[Country]],Table72[Women''s Coxless Fours Classification],"&gt;0")</f>
        <v>0</v>
      </c>
      <c r="HL66" s="6">
        <f>COUNTIFS(Table72[Country],Tabela1[[#This Row],[Country]],Table72[Men''s Eights Classification],"&gt;0")</f>
        <v>0</v>
      </c>
      <c r="HM66" s="6">
        <f>COUNTIFS(Table72[Country],Tabela1[[#This Row],[Country]],Table72[Women''s Eights Classification],"&gt;0")</f>
        <v>0</v>
      </c>
      <c r="HN66" s="6">
        <f>COUNTIFS(Table16[Country],Tabela1[[#This Row],[Country]],Table16[Men''s Lwt. Double Sculls Classification],"&gt;0")</f>
        <v>0</v>
      </c>
      <c r="HO66" s="6">
        <f>COUNTIFS(Table16[Country],Tabela1[[#This Row],[Country]],Table16[Women''s Lwt. Double Sculls Classification],"&gt;0")</f>
        <v>0</v>
      </c>
      <c r="HP66" s="6">
        <f>COUNTIFS(Table91949698[Country],Tabela1[[#This Row],[Country]],Table91949698[Men''s Classification],"&gt;0")</f>
        <v>0</v>
      </c>
      <c r="HQ66" s="6">
        <f>COUNTIFS(Table91949698[Country],Tabela1[[#This Row],[Country]],Table91949698[Women''s Classification],"&gt;0")</f>
        <v>0</v>
      </c>
      <c r="HR66" s="6">
        <f>COUNTIFS(Table25[Country],Tabela1[[#This Row],[Country]],Table25[Mixed 470 Classification],"&gt;0")</f>
        <v>0</v>
      </c>
      <c r="HS66" s="6">
        <f>COUNTIFS(Table25[Country],Tabela1[[#This Row],[Country]],Table25[Men''s 49er Classification],"&gt;0")</f>
        <v>0</v>
      </c>
      <c r="HT66" s="6">
        <f>COUNTIFS(Table25[Country],Tabela1[[#This Row],[Country]],Table25[Women''s 49er FX Classification],"&gt;0")</f>
        <v>0</v>
      </c>
      <c r="HU66" s="6">
        <f>COUNTIFS(Table17[Country],Tabela1[[#This Row],[Country]],Table17[Formula Kite Classification],"&gt;0")</f>
        <v>0</v>
      </c>
      <c r="HV66" s="6">
        <f>COUNTIFS(Table18[Country],Tabela1[[#This Row],[Country]],Table18[Formula Kite Classification],"&gt;0")</f>
        <v>0</v>
      </c>
      <c r="HW66" s="6">
        <f>COUNTIFS(Table17[Country],Tabela1[[#This Row],[Country]],Table17[ILCA 7 Classification],"&gt;0")</f>
        <v>0</v>
      </c>
      <c r="HX66" s="6">
        <f>COUNTIFS(Table18[Country],Tabela1[[#This Row],[Country]],Table18[ILCA 6 Classification],"&gt;0")</f>
        <v>0</v>
      </c>
      <c r="HY66" s="6">
        <f>COUNTIFS(Table17[Country],Tabela1[[#This Row],[Country]],Table17[IQFoil Classification],"&gt;0")</f>
        <v>0</v>
      </c>
      <c r="HZ66" s="6">
        <f>COUNTIFS(Table18[Country],Tabela1[[#This Row],[Country]],Table18[IQFoil Classification],"&gt;0")</f>
        <v>0</v>
      </c>
      <c r="IA66" s="6">
        <f>COUNTIFS(Table25[Country],Tabela1[[#This Row],[Country]],Table25[Mixed Nacra 17 Classification],"&gt;0")</f>
        <v>0</v>
      </c>
      <c r="IB66" s="6">
        <f>COUNTIFS(Table53[Country],Tabela1[[#This Row],[Country]],Table53[10m Air Pistol Classification],"&gt;0")</f>
        <v>0</v>
      </c>
      <c r="IC66" s="6">
        <f>COUNTIFS(Table19[Country],Tabela1[[#This Row],[Country]],Table19[10m Air Pistol Classification],"&gt;0")</f>
        <v>0</v>
      </c>
      <c r="ID66" s="6">
        <f>COUNTIFS(Table54[Country],Tabela1[[#This Row],[Country]],Table54[Mixed 10m Air Pistol Team Classification],"&gt;0")</f>
        <v>0</v>
      </c>
      <c r="IE66" s="6">
        <f>COUNTIFS(Table53[Country],Tabela1[[#This Row],[Country]],Table53[10m Air Rifle Classification],"&gt;0")</f>
        <v>0</v>
      </c>
      <c r="IF66" s="6">
        <f>COUNTIFS(Table19[Country],Tabela1[[#This Row],[Country]],Table19[10m Air Rifle Classification],"&gt;0")</f>
        <v>0</v>
      </c>
      <c r="IG66" s="6">
        <f>COUNTIFS(Table54[Country],Tabela1[[#This Row],[Country]],Table54[Mixed 10m Air Rifle Team Classification],"&gt;0")</f>
        <v>0</v>
      </c>
      <c r="IH66" s="6">
        <f>COUNTIFS(Table53[Country],Tabela1[[#This Row],[Country]],Table53[25m Rapid Fire Pistol Classification],"&gt;0")</f>
        <v>0</v>
      </c>
      <c r="II66" s="6">
        <f>COUNTIFS(Table19[Country],Tabela1[[#This Row],[Country]],Table19[25m Pistol Classification],"&gt;0")</f>
        <v>0</v>
      </c>
      <c r="IJ66" s="6">
        <f>COUNTIFS(Table53[Country],Tabela1[[#This Row],[Country]],Table53[50m Rifle 3 Positions Classification],"&gt;0")</f>
        <v>0</v>
      </c>
      <c r="IK66" s="6">
        <f>COUNTIFS(Table19[Country],Tabela1[[#This Row],[Country]],Table19[50m Rifle 3 Positions Classification],"&gt;0")</f>
        <v>0</v>
      </c>
      <c r="IL66" s="6">
        <f>COUNTIFS(Table53[Country],Tabela1[[#This Row],[Country]],Table53[Skeet Classification],"&gt;0")</f>
        <v>0</v>
      </c>
      <c r="IM66" s="6">
        <f>COUNTIFS(Table19[Country],Tabela1[[#This Row],[Country]],Table19[Skeet Classification],"&gt;0")</f>
        <v>0</v>
      </c>
      <c r="IN66" s="6">
        <f>COUNTIFS(Table54[Country],Tabela1[[#This Row],[Country]],Table54[Mixed Skeet Team Classification],"&gt;0")</f>
        <v>0</v>
      </c>
      <c r="IO66" s="6">
        <f>COUNTIFS(Table53[Country],Tabela1[[#This Row],[Country]],Table53[Trap Classification],"&gt;0")</f>
        <v>0</v>
      </c>
      <c r="IP66" s="6">
        <f>COUNTIFS(Table19[Country],Tabela1[[#This Row],[Country]],Table19[Trap Classification],"&gt;0")</f>
        <v>0</v>
      </c>
      <c r="IQ66" s="6">
        <f>COUNTIFS(Table73[Country],Tabela1[[#This Row],[Country]],Table73[Park Classification],"&gt;0")</f>
        <v>0</v>
      </c>
      <c r="IR66" s="6">
        <f>COUNTIFS(Table74[Country],Tabela1[[#This Row],[Country]],Table74[Park Classification],"&gt;0")</f>
        <v>0</v>
      </c>
      <c r="IS66" s="6">
        <f>COUNTIFS(Table73[Country],Tabela1[[#This Row],[Country]],Table73[Street Classification],"&gt;0")</f>
        <v>0</v>
      </c>
      <c r="IT66" s="6">
        <f>COUNTIFS(Table74[Country],Tabela1[[#This Row],[Country]],Table74[Street Classification],"&gt;0")</f>
        <v>0</v>
      </c>
      <c r="IU66" s="6">
        <f>COUNTIFS(Table75[Country],Tabela1[[#This Row],[Country]],Table75[Boulder and Lead Classification],"&gt;0")</f>
        <v>0</v>
      </c>
      <c r="IV66" s="6">
        <f>COUNTIFS(Table76[Country],Tabela1[[#This Row],[Country]],Table76[Boulder and Lead Classification],"&gt;0")</f>
        <v>0</v>
      </c>
      <c r="IW66" s="6">
        <f>COUNTIFS(Table75[Country],Tabela1[[#This Row],[Country]],Table75[Speed Classification],"&gt;0")</f>
        <v>0</v>
      </c>
      <c r="IX66" s="6">
        <f>COUNTIFS(Table76[Country],Tabela1[[#This Row],[Country]],Table76[Speed Classification],"&gt;0")</f>
        <v>0</v>
      </c>
      <c r="IY66" s="6">
        <f>COUNTIFS(Table64[Country],Tabela1[[#This Row],[Country]],Table64[Shortboard Classification],"&gt;0")</f>
        <v>0</v>
      </c>
      <c r="IZ66" s="6">
        <f>COUNTIFS(Table77[Country],Tabela1[[#This Row],[Country]],Table77[Shortboard Classification],"&gt;0")</f>
        <v>0</v>
      </c>
      <c r="JA66" s="6">
        <f>COUNTIFS(Table20[Country],Tabela1[[#This Row],[Country]],Table20[50m Freestyle Classification],"&gt;0")</f>
        <v>0</v>
      </c>
      <c r="JB66" s="6">
        <f>COUNTIFS(Table21[Country],Tabela1[[#This Row],[Country]],Table21[50m Freestyle Classification],"&gt;0")</f>
        <v>0</v>
      </c>
      <c r="JC66" s="6">
        <f>COUNTIFS(Table20[Country],Tabela1[[#This Row],[Country]],Table20[100m Freestyle Classification],"&gt;0")</f>
        <v>0</v>
      </c>
      <c r="JD66" s="6">
        <f>COUNTIFS(Table21[Country],Tabela1[[#This Row],[Country]],Table21[100m Freestyle Classification],"&gt;0")</f>
        <v>0</v>
      </c>
      <c r="JE66" s="6">
        <f>COUNTIFS(Table20[Country],Tabela1[[#This Row],[Country]],Table20[200m Freestyle Classification],"&gt;0")</f>
        <v>0</v>
      </c>
      <c r="JF66" s="6">
        <f>COUNTIFS(Table21[Country],Tabela1[[#This Row],[Country]],Table21[200m Freestyle Classification],"&gt;0")</f>
        <v>0</v>
      </c>
      <c r="JG66" s="6">
        <f>COUNTIFS(Table20[Country],Tabela1[[#This Row],[Country]],Table20[400m Freestyle Classification],"&gt;0")</f>
        <v>0</v>
      </c>
      <c r="JH66" s="6">
        <f>COUNTIFS(Table21[Country],Tabela1[[#This Row],[Country]],Table21[400m Freestyle Classification],"&gt;0")</f>
        <v>0</v>
      </c>
      <c r="JI66" s="6">
        <f>COUNTIFS(Table20[Country],Tabela1[[#This Row],[Country]],Table20[800m Freestyle Classification],"&gt;0")</f>
        <v>0</v>
      </c>
      <c r="JJ66" s="6">
        <f>COUNTIFS(Table21[Country],Tabela1[[#This Row],[Country]],Table21[800m Freestyle Classification],"&gt;0")</f>
        <v>0</v>
      </c>
      <c r="JK66" s="6">
        <f>COUNTIFS(Table20[Country],Tabela1[[#This Row],[Country]],Table20[1500m Freestyle Classification],"&gt;0")</f>
        <v>0</v>
      </c>
      <c r="JL66" s="6">
        <f>COUNTIFS(Table21[Country],Tabela1[[#This Row],[Country]],Table21[1500m Freestyle Classification],"&gt;0")</f>
        <v>0</v>
      </c>
      <c r="JM66" s="6">
        <f>COUNTIFS(Table20[Country],Tabela1[[#This Row],[Country]],Table20[100m Backstroke Classification],"&gt;0")</f>
        <v>0</v>
      </c>
      <c r="JN66" s="6">
        <f>COUNTIFS(Table21[Country],Tabela1[[#This Row],[Country]],Table21[100m Backstroke Classification],"&gt;0")</f>
        <v>0</v>
      </c>
      <c r="JO66" s="6">
        <f>COUNTIFS(Table20[Country],Tabela1[[#This Row],[Country]],Table20[200m Backstroke Classification],"&gt;0")</f>
        <v>0</v>
      </c>
      <c r="JP66" s="6">
        <f>COUNTIFS(Table21[Country],Tabela1[[#This Row],[Country]],Table21[200m Backstroke Classification],"&gt;0")</f>
        <v>0</v>
      </c>
      <c r="JQ66" s="6">
        <f>COUNTIFS(Table20[Country],Tabela1[[#This Row],[Country]],Table20[100m Breaststroke Classification],"&gt;0")</f>
        <v>0</v>
      </c>
      <c r="JR66" s="6">
        <f>COUNTIFS(Table21[Country],Tabela1[[#This Row],[Country]],Table21[100m Breaststroke Classification],"&gt;0")</f>
        <v>0</v>
      </c>
      <c r="JS66" s="6">
        <f>COUNTIFS(Table20[Country],Tabela1[[#This Row],[Country]],Table20[200m Breaststroke Classification],"&gt;0")</f>
        <v>0</v>
      </c>
      <c r="JT66" s="6">
        <f>COUNTIFS(Table21[Country],Tabela1[[#This Row],[Country]],Table21[200m Breaststroke Classification],"&gt;0")</f>
        <v>0</v>
      </c>
      <c r="JU66" s="6">
        <f>COUNTIFS(Table20[Country],Tabela1[[#This Row],[Country]],Table20[100m Butterfly Classification],"&gt;0")</f>
        <v>0</v>
      </c>
      <c r="JV66" s="6">
        <f>COUNTIFS(Table21[Country],Tabela1[[#This Row],[Country]],Table21[100m Butterfly Classification],"&gt;0")</f>
        <v>0</v>
      </c>
      <c r="JW66" s="6">
        <f>COUNTIFS(Table20[Country],Tabela1[[#This Row],[Country]],Table20[200m Butterfly Classification],"&gt;0")</f>
        <v>0</v>
      </c>
      <c r="JX66" s="6">
        <f>COUNTIFS(Table21[Country],Tabela1[[#This Row],[Country]],Table21[200m Butterfly Classification],"&gt;0")</f>
        <v>0</v>
      </c>
      <c r="JY66" s="6">
        <f>COUNTIFS(Table20[Country],Tabela1[[#This Row],[Country]],Table20[200m Medley Classification],"&gt;0")</f>
        <v>0</v>
      </c>
      <c r="JZ66" s="6">
        <f>COUNTIFS(Table21[Country],Tabela1[[#This Row],[Country]],Table21[200m Medley Classification],"&gt;0")</f>
        <v>0</v>
      </c>
      <c r="KA66" s="6">
        <f>COUNTIFS(Table20[Country],Tabela1[[#This Row],[Country]],Table20[400m Medley Classification],"&gt;0")</f>
        <v>0</v>
      </c>
      <c r="KB66" s="6">
        <f>COUNTIFS(Table21[Country],Tabela1[[#This Row],[Country]],Table21[400m Medley Classification],"&gt;0")</f>
        <v>0</v>
      </c>
      <c r="KC66" s="6">
        <f>COUNTIFS(Table78[Country],Tabela1[[#This Row],[Country]],Table78[Men''s 4x100m Freestyle Relay Classification],"&gt;0")</f>
        <v>0</v>
      </c>
      <c r="KD66" s="6">
        <f>COUNTIFS(Table78[Country],Tabela1[[#This Row],[Country]],Table78[Women''s 4x100m Freestyle Relay Classification],"&gt;0")</f>
        <v>0</v>
      </c>
      <c r="KE66" s="6">
        <f>COUNTIFS(Table78[Country],Tabela1[[#This Row],[Country]],Table78[Men''s 4x200m Freestyle Relay Classification],"&gt;0")</f>
        <v>0</v>
      </c>
      <c r="KF66" s="6">
        <f>COUNTIFS(Table78[Country],Tabela1[[#This Row],[Country]],Table78[Women''s 4x200m Freestyle Relay Classification],"&gt;0")</f>
        <v>0</v>
      </c>
      <c r="KG66" s="6">
        <f>COUNTIFS(Table78[Country],Tabela1[[#This Row],[Country]],Table78[Men''s 4x100m Medley Relay Classification],"&gt;0")</f>
        <v>0</v>
      </c>
      <c r="KH66" s="6">
        <f>COUNTIFS(Table78[Country],Tabela1[[#This Row],[Country]],Table78[Women''s 4x100m Medley Relay Classification],"&gt;0")</f>
        <v>0</v>
      </c>
      <c r="KI66" s="6">
        <f>COUNTIFS(Table78[Country],Tabela1[[#This Row],[Country]],Table78[Mixed 4x100m Medley Relay Classification],"&gt;0")</f>
        <v>0</v>
      </c>
      <c r="KJ66" s="6">
        <f>COUNTIFS(Table20[Country],Tabela1[[#This Row],[Country]],Table20[10km Open Water Classification],"&gt;0")</f>
        <v>0</v>
      </c>
      <c r="KK66" s="6">
        <f>COUNTIFS(Table21[Country],Tabela1[[#This Row],[Country]],Table21[10km Open Water Classification],"&gt;0")</f>
        <v>0</v>
      </c>
      <c r="KL66" s="6">
        <f>COUNTIFS(Table22[Country],Tabela1[[#This Row],[Country]],Table22[Classification],"&gt;0")</f>
        <v>0</v>
      </c>
      <c r="KM66" s="6">
        <f>COUNTIFS(Table30[Country],Tabela1[[#This Row],[Country]],Table30[Classification],"&gt;0")</f>
        <v>0</v>
      </c>
      <c r="KN66" s="6">
        <f>COUNTIFS(Table55[Country],Tabela1[[#This Row],[Country]],Table55[Men''s Classification],"&gt;0")</f>
        <v>0</v>
      </c>
      <c r="KO66" s="6">
        <f>COUNTIFS(Table55[Country],Tabela1[[#This Row],[Country]],Table55[Women''s Classification],"&gt;0")</f>
        <v>0</v>
      </c>
      <c r="KP66" s="6">
        <f>COUNTIFS(Table56[Country],Tabela1[[#This Row],[Country]],Table56[Mixed Classification],"&gt;0")</f>
        <v>0</v>
      </c>
      <c r="KQ66" s="6">
        <f>COUNTIFS(Table29[Country],Tabela1[[#This Row],[Country]],Table29[58kg Classification],"&gt;0")</f>
        <v>0</v>
      </c>
      <c r="KR66" s="6">
        <f>COUNTIFS(Table29[Country],Tabela1[[#This Row],[Country]],Table29[68kg Classification],"&gt;0")</f>
        <v>0</v>
      </c>
      <c r="KS66" s="6">
        <f>COUNTIFS(Table29[Country],Tabela1[[#This Row],[Country]],Table29[80kg Classification],"&gt;0")</f>
        <v>0</v>
      </c>
      <c r="KT66" s="6">
        <f>COUNTIFS(Table29[Country],Tabela1[[#This Row],[Country]],Table29[Plus 80kg Classification],"&gt;0")</f>
        <v>0</v>
      </c>
      <c r="KU66" s="6">
        <f>COUNTIFS(Table34[Country],Tabela1[[#This Row],[Country]],Table34[49kg Classification],"&gt;0")</f>
        <v>0</v>
      </c>
      <c r="KV66" s="6">
        <f>COUNTIFS(Table34[Country],Tabela1[[#This Row],[Country]],Table34[57kg Classification],"&gt;0")</f>
        <v>0</v>
      </c>
      <c r="KW66" s="6">
        <f>COUNTIFS(Table34[Country],Tabela1[[#This Row],[Country]],Table34[67kg Classification],"&gt;0")</f>
        <v>0</v>
      </c>
      <c r="KX66" s="6">
        <f>COUNTIFS(Table34[Country],Tabela1[[#This Row],[Country]],Table34[Plus 67kg Classification],"&gt;0")</f>
        <v>0</v>
      </c>
      <c r="KY66" s="6">
        <f>COUNTIFS(Table57[Country],Tabela1[[#This Row],[Country]],Table57[Classification],"&gt;0")</f>
        <v>0</v>
      </c>
      <c r="KZ66" s="6">
        <f>COUNTIFS(Table58[Country],Tabela1[[#This Row],[Country]],Table58[Classification],"&gt;0")</f>
        <v>0</v>
      </c>
      <c r="LA66" s="6">
        <f>COUNTIFS(Table79[Country],Tabela1[[#This Row],[Country]],Table79[Men''s Classification],"&gt;0")</f>
        <v>0</v>
      </c>
      <c r="LB66" s="6">
        <f>COUNTIFS(Table79[Country],Tabela1[[#This Row],[Country]],Table79[Women''s Classification],"&gt;0")</f>
        <v>0</v>
      </c>
      <c r="LC66" s="6">
        <f>COUNTIFS(Table79[Country],Tabela1[[#This Row],[Country]],Table79[Mixed Classification],"&gt;0")</f>
        <v>0</v>
      </c>
      <c r="LD66" s="6">
        <f>COUNTIFS(Table65[Country],Tabela1[[#This Row],[Country]],Table65[Classification],"&gt;0")</f>
        <v>0</v>
      </c>
      <c r="LE66" s="6">
        <f>COUNTIFS(Table59[Country],Tabela1[[#This Row],[Country]],Table59[Classification],"&gt;0")</f>
        <v>0</v>
      </c>
      <c r="LF66" s="6">
        <f>COUNTIFS(Table87[Country],Tabela1[[#This Row],[Country]],Table87[Mixed Relay Classification],"&gt;0")</f>
        <v>0</v>
      </c>
      <c r="LG66" s="6">
        <f>COUNTIFS(Table91949698100[Country],Tabela1[[#This Row],[Country]],Table91949698100[Men''s Classification],"&gt;0")</f>
        <v>0</v>
      </c>
      <c r="LH66" s="6">
        <f>COUNTIFS(Table91949698100[Country],Tabela1[[#This Row],[Country]],Table91949698100[Women''s Classification],"&gt;0")</f>
        <v>0</v>
      </c>
      <c r="LI66" s="6">
        <f>COUNTIFS(Table91949698100102[Country],Tabela1[[#This Row],[Country]],Table91949698100102[Men''s Classification],"&gt;0")</f>
        <v>0</v>
      </c>
      <c r="LJ66" s="6">
        <f>COUNTIFS(Table91949698100102[Country],Tabela1[[#This Row],[Country]],Table91949698100102[Women''s Classification],"&gt;0")</f>
        <v>0</v>
      </c>
      <c r="LK66" s="6">
        <f>COUNTIFS(Table23[Country],Tabela1[[#This Row],[Country]],Table23[61kg Classification],"&gt;0")</f>
        <v>0</v>
      </c>
      <c r="LL66" s="6">
        <f>COUNTIFS(Table23[Country],Tabela1[[#This Row],[Country]],Table23[73kg Classification],"&gt;0")</f>
        <v>0</v>
      </c>
      <c r="LM66" s="6">
        <f>COUNTIFS(Table23[Country],Tabela1[[#This Row],[Country]],Table23[89kg Classification],"&gt;0")</f>
        <v>0</v>
      </c>
      <c r="LN66" s="6">
        <f>COUNTIFS(Table23[Country],Tabela1[[#This Row],[Country]],Table23[102kg Classification],"&gt;0")</f>
        <v>0</v>
      </c>
      <c r="LO66" s="6">
        <f>COUNTIFS(Table23[Country],Tabela1[[#This Row],[Country]],Table23[Plus 102kg Classification],"&gt;0")</f>
        <v>0</v>
      </c>
      <c r="LP66" s="6">
        <f>COUNTIFS(Table28[Country],Tabela1[[#This Row],[Country]],Table28[49kg Classification],"&gt;0")</f>
        <v>0</v>
      </c>
      <c r="LQ66" s="6">
        <f>COUNTIFS(Table28[Country],Tabela1[[#This Row],[Country]],Table28[59kg Classification],"&gt;0")</f>
        <v>0</v>
      </c>
      <c r="LR66" s="6">
        <f>COUNTIFS(Table28[Country],Tabela1[[#This Row],[Country]],Table28[71kg Classification],"&gt;0")</f>
        <v>0</v>
      </c>
      <c r="LS66" s="6">
        <f>COUNTIFS(Table28[Country],Tabela1[[#This Row],[Country]],Table28[81kg Classification],"&gt;0")</f>
        <v>0</v>
      </c>
      <c r="LT66" s="6">
        <f>COUNTIFS(Table28[Country],Tabela1[[#This Row],[Country]],Table28[Plus 81kg Classification],"&gt;0")</f>
        <v>0</v>
      </c>
      <c r="LU66" s="6">
        <f>COUNTIFS(Table24[Country],Tabela1[[#This Row],[Country]],Table24[Freestyle 57kg Classification],"&gt;0")</f>
        <v>0</v>
      </c>
      <c r="LV66" s="6">
        <f>COUNTIFS(Table24[Country],Tabela1[[#This Row],[Country]],Table24[Freestyle 65kg Classification],"&gt;0")</f>
        <v>0</v>
      </c>
      <c r="LW66" s="6">
        <f>COUNTIFS(Table24[Country],Tabela1[[#This Row],[Country]],Table24[Freestyle 74kg Classification],"&gt;0")</f>
        <v>0</v>
      </c>
      <c r="LX66" s="6">
        <f>COUNTIFS(Table24[Country],Tabela1[[#This Row],[Country]],Table24[Freestyle 86kg Classification],"&gt;0")</f>
        <v>0</v>
      </c>
      <c r="LY66" s="6">
        <f>COUNTIFS(Table24[Country],Tabela1[[#This Row],[Country]],Table24[Freestyle 97kg Classification],"&gt;0")</f>
        <v>0</v>
      </c>
      <c r="LZ66" s="6">
        <f>COUNTIFS(Table24[Country],Tabela1[[#This Row],[Country]],Table24[Freestyle 125kg Classification],"&gt;0")</f>
        <v>0</v>
      </c>
      <c r="MA66" s="6">
        <f>COUNTIFS(Table24[Country],Tabela1[[#This Row],[Country]],Table24[Greco-Roman 60kg Classification],"&gt;0")</f>
        <v>0</v>
      </c>
      <c r="MB66" s="6">
        <f>COUNTIFS(Table24[Country],Tabela1[[#This Row],[Country]],Table24[Greco-Roman 67kg Classification],"&gt;0")</f>
        <v>0</v>
      </c>
      <c r="MC66" s="6">
        <f>COUNTIFS(Table24[Country],Tabela1[[#This Row],[Country]],Table24[Greco-Roman 77kg Classification],"&gt;0")</f>
        <v>0</v>
      </c>
      <c r="MD66" s="6">
        <f>COUNTIFS(Table24[Country],Tabela1[[#This Row],[Country]],Table24[Greco-Roman 87kg Classification],"&gt;0")</f>
        <v>0</v>
      </c>
      <c r="ME66" s="6">
        <f>COUNTIFS(Table24[Country],Tabela1[[#This Row],[Country]],Table24[Greco-Roman 97kg Classification],"&gt;0")</f>
        <v>0</v>
      </c>
      <c r="MF66" s="6">
        <f>COUNTIFS(Table24[Country],Tabela1[[#This Row],[Country]],Table24[Greco-Roman 130kg Classification],"&gt;0")</f>
        <v>0</v>
      </c>
      <c r="MG66" s="6">
        <f>COUNTIFS(Table31[Country],Tabela1[[#This Row],[Country]],Table31[50kg Classification],"&gt;0")</f>
        <v>0</v>
      </c>
      <c r="MH66" s="6">
        <f>COUNTIFS(Table31[Country],Tabela1[[#This Row],[Country]],Table31[53kg Classification],"&gt;0")</f>
        <v>0</v>
      </c>
      <c r="MI66" s="6">
        <f>COUNTIFS(Table31[Country],Tabela1[[#This Row],[Country]],Table31[57kg Classification],"&gt;0")</f>
        <v>0</v>
      </c>
      <c r="MJ66" s="6">
        <f>COUNTIFS(Table31[Country],Tabela1[[#This Row],[Country]],Table31[62kg Classification],"&gt;0")</f>
        <v>0</v>
      </c>
      <c r="MK66" s="6">
        <f>COUNTIFS(Table31[Country],Tabela1[[#This Row],[Country]],Table31[68kg Classification],"&gt;0")</f>
        <v>0</v>
      </c>
      <c r="ML66" s="6">
        <f>COUNTIFS(Table31[Country],Tabela1[[#This Row],[Country]],Table31[76kg Classification],"&gt;0")</f>
        <v>0</v>
      </c>
      <c r="MM66" s="6">
        <f>COUNTIFS(Table102[Country],Tabela1[[#This Row],[Country]],Table102[Downhill Classification],"&gt;0")</f>
        <v>0</v>
      </c>
      <c r="MN66" s="6">
        <f>COUNTIFS(Table102105[Country],Tabela1[[#This Row],[Country]],Table102105[Downhill Classification],"&gt;0")</f>
        <v>0</v>
      </c>
      <c r="MO66" s="6">
        <f>COUNTIFS(Table102[Country],Tabela1[[#This Row],[Country]],Table102[Giant Slalom Classification],"&gt;0")</f>
        <v>0</v>
      </c>
      <c r="MP66" s="6">
        <f>COUNTIFS(Table102105[Country],Tabela1[[#This Row],[Country]],Table102105[Giant Slalom Classification],"&gt;0")</f>
        <v>0</v>
      </c>
      <c r="MQ66" s="6">
        <f>COUNTIFS(Table102[Country],Tabela1[[#This Row],[Country]],Table102[Slalom Classification],"&gt;0")</f>
        <v>0</v>
      </c>
      <c r="MR66" s="6">
        <f>COUNTIFS(Table102105[Country],Tabela1[[#This Row],[Country]],Table102105[Slalom Classification],"&gt;0")</f>
        <v>0</v>
      </c>
      <c r="MS66" s="6">
        <f>COUNTIFS(Table102[Country],Tabela1[[#This Row],[Country]],Table102[Super-G Classification],"&gt;0")</f>
        <v>0</v>
      </c>
      <c r="MT66" s="6">
        <f>COUNTIFS(Table102105[Country],Tabela1[[#This Row],[Country]],Table102105[Super-G Classification],"&gt;0")</f>
        <v>0</v>
      </c>
      <c r="MU66" s="6">
        <f>COUNTIFS(Table105[Country],Tabela1[[#This Row],[Country]],Table105[Men''s Combined Classification],"&gt;0")</f>
        <v>0</v>
      </c>
      <c r="MV66" s="6">
        <f>COUNTIFS(Table105[Country],Tabela1[[#This Row],[Country]],Table105[Women''s Combined Classification],"&gt;0")</f>
        <v>0</v>
      </c>
      <c r="MW66" s="6">
        <f>COUNTIFS(Table106[Country],Tabela1[[#This Row],[Country]],Table106[Individual Classification],"&gt;0")</f>
        <v>0</v>
      </c>
      <c r="MX66" s="6">
        <f>COUNTIFS(Table106109[Country],Tabela1[[#This Row],[Country]],Table106109[Individual Classification],"&gt;0")</f>
        <v>0</v>
      </c>
      <c r="MY66" s="6">
        <f>COUNTIFS(Table106[Country],Tabela1[[#This Row],[Country]],Table106[Mass Start Classification],"&gt;0")</f>
        <v>0</v>
      </c>
      <c r="MZ66" s="6">
        <f>COUNTIFS(Table106109[Country],Tabela1[[#This Row],[Country]],Table106109[Mass Start Classification],"&gt;0")</f>
        <v>0</v>
      </c>
      <c r="NA66" s="6">
        <f>COUNTIFS(Table106[Country],Tabela1[[#This Row],[Country]],Table106[Pursuit Classification],"&gt;0")</f>
        <v>0</v>
      </c>
      <c r="NB66" s="6">
        <f>COUNTIFS(Table106109[Country],Tabela1[[#This Row],[Country]],Table106109[Pursuit Classification],"&gt;0")</f>
        <v>0</v>
      </c>
      <c r="NC66" s="6">
        <f>COUNTIFS(Table106[Country],Tabela1[[#This Row],[Country]],Table106[Sprint Classification],"&gt;0")</f>
        <v>0</v>
      </c>
      <c r="ND66" s="6">
        <f>COUNTIFS(Table106109[Country],Tabela1[[#This Row],[Country]],Table106109[Sprint Classification],"&gt;0")</f>
        <v>0</v>
      </c>
      <c r="NE66" s="6">
        <f>COUNTIFS(Table109[Country],Tabela1[[#This Row],[Country]],Table109[Men''s Relay Classification],"&gt;0")</f>
        <v>0</v>
      </c>
      <c r="NF66" s="6">
        <f>COUNTIFS(Table109[Country],Tabela1[[#This Row],[Country]],Table109[Women''s Relay Classification],"&gt;0")</f>
        <v>0</v>
      </c>
      <c r="NG66" s="6">
        <f>COUNTIFS(Table109[Country],Tabela1[[#This Row],[Country]],Table109[Mixed Relay Classification],"&gt;0")</f>
        <v>0</v>
      </c>
      <c r="NH66" s="6">
        <f>COUNTIFS(Table110[Country],Tabela1[[#This Row],[Country]],Table110[Monobob Classification],"&gt;0")</f>
        <v>0</v>
      </c>
      <c r="NI66" s="6">
        <f>COUNTIFS(Table111[Country],Tabela1[[#This Row],[Country]],Table111[Men''s Classification],"&gt;0")</f>
        <v>0</v>
      </c>
      <c r="NJ66" s="6">
        <f>COUNTIFS(Table111[Country],Tabela1[[#This Row],[Country]],Table111[Women''s Classification],"&gt;0")</f>
        <v>0</v>
      </c>
      <c r="NK66" s="6">
        <f>COUNTIFS(Table112[Country],Tabela1[[#This Row],[Country]],Table112[Men''s Four Classification],"&gt;0")</f>
        <v>0</v>
      </c>
      <c r="NL66" s="6">
        <f>COUNTIFS(Table113[Country],Tabela1[[#This Row],[Country]],Table113[Classical Classification],"&gt;0")</f>
        <v>0</v>
      </c>
      <c r="NM66" s="6">
        <f>COUNTIFS(Table113116[Country],Tabela1[[#This Row],[Country]],Table113116[Classical Classification],"&gt;0")</f>
        <v>0</v>
      </c>
      <c r="NN66" s="6">
        <f>COUNTIFS(Table113[Country],Tabela1[[#This Row],[Country]],Table113[Freestyle Classification],"&gt;0")</f>
        <v>0</v>
      </c>
      <c r="NO66" s="6">
        <f>COUNTIFS(Table113116[Country],Tabela1[[#This Row],[Country]],Table113116[Freestyle Classification],"&gt;0")</f>
        <v>0</v>
      </c>
      <c r="NP66" s="6">
        <f>COUNTIFS(Table117[Country],Tabela1[[#This Row],[Country]],Table117[Men''s Relay Classification],"&gt;0")</f>
        <v>0</v>
      </c>
      <c r="NQ66" s="6">
        <f>COUNTIFS(Table117[Country],Tabela1[[#This Row],[Country]],Table117[Women''s Relay Classification],"&gt;0")</f>
        <v>0</v>
      </c>
      <c r="NR66" s="6">
        <f>COUNTIFS(Table113[Country],Tabela1[[#This Row],[Country]],Table113[Skiathlon Classification],"&gt;0")</f>
        <v>0</v>
      </c>
      <c r="NS66" s="6">
        <f>COUNTIFS(Table113116[Country],Tabela1[[#This Row],[Country]],Table113116[Skiathlon Classification],"&gt;0")</f>
        <v>0</v>
      </c>
      <c r="NT66" s="6">
        <f>COUNTIFS(Table113[Country],Tabela1[[#This Row],[Country]],Table113[Sprint Classification],"&gt;0")</f>
        <v>0</v>
      </c>
      <c r="NU66" s="6">
        <f>COUNTIFS(Table113116[Country],Tabela1[[#This Row],[Country]],Table113116[Sprint Classification],"&gt;0")</f>
        <v>0</v>
      </c>
      <c r="NV66" s="6">
        <f>COUNTIFS(Table116[Country],Tabela1[[#This Row],[Country]],Table116[Men''s Team Sprint Classification],"&gt;0")</f>
        <v>0</v>
      </c>
      <c r="NW66" s="6">
        <f>COUNTIFS(Table116[Country],Tabela1[[#This Row],[Country]],Table116[Women''s Team Sprint Classification],"&gt;0")</f>
        <v>0</v>
      </c>
      <c r="NX66" s="6">
        <f>COUNTIFS(Table119[Country],Tabela1[[#This Row],[Country]],Table119[Men''s Classification],"&gt;0")</f>
        <v>0</v>
      </c>
      <c r="NY66" s="6">
        <f>COUNTIFS(Table119[Country],Tabela1[[#This Row],[Country]],Table119[Women''s Classification],"&gt;0")</f>
        <v>0</v>
      </c>
      <c r="NZ66" s="6">
        <f>COUNTIFS(Table118[Country],Tabela1[[#This Row],[Country]],Table118[Mixed Classification],"&gt;0")</f>
        <v>0</v>
      </c>
      <c r="OA66" s="6">
        <f>COUNTIFS(Table120[Country],Tabela1[[#This Row],[Country]],Table120[Classification],"&gt;0")</f>
        <v>0</v>
      </c>
      <c r="OB66" s="6">
        <f>COUNTIFS(Table120123[Country],Tabela1[[#This Row],[Country]],Table120123[Classification],"&gt;0")</f>
        <v>0</v>
      </c>
      <c r="OC66" s="6">
        <f>COUNTIFS(Table123[Country],Tabela1[[#This Row],[Country]],Table123[Ice Dance Classification],"&gt;0")</f>
        <v>0</v>
      </c>
      <c r="OD66" s="6">
        <f>COUNTIFS(Table123[Country],Tabela1[[#This Row],[Country]],Table123[Pair Skating Classification],"&gt;0")</f>
        <v>0</v>
      </c>
      <c r="OE66" s="6">
        <f>COUNTIFS(Table124[Country],Tabela1[[#This Row],[Country]],Table124[Mixed Classification],"&gt;0")</f>
        <v>0</v>
      </c>
      <c r="OF66" s="6">
        <f>COUNTIFS(Table125[Country],Tabela1[[#This Row],[Country]],Table125[Aerials Classification],"&gt;0")</f>
        <v>0</v>
      </c>
      <c r="OG66" s="6">
        <f>COUNTIFS(Table125128[Country],Tabela1[[#This Row],[Country]],Table125128[Aerials Classification],"&gt;0")</f>
        <v>0</v>
      </c>
      <c r="OH66" s="6">
        <f>COUNTIFS(Table128[Country],Tabela1[[#This Row],[Country]],Table128[Mixed Aerials Classification],"&gt;0")</f>
        <v>0</v>
      </c>
      <c r="OI66" s="6">
        <f>COUNTIFS(Table125[Country],Tabela1[[#This Row],[Country]],Table125[Big Air Classification],"&gt;0")</f>
        <v>0</v>
      </c>
      <c r="OJ66" s="6">
        <f>COUNTIFS(Table125128[Country],Tabela1[[#This Row],[Country]],Table125128[Big Air Classification],"&gt;0")</f>
        <v>0</v>
      </c>
      <c r="OK66" s="6">
        <f>COUNTIFS(Table125[Country],Tabela1[[#This Row],[Country]],Table125[Dual Moguls Classification],"&gt;0")</f>
        <v>0</v>
      </c>
      <c r="OL66" s="6">
        <f>COUNTIFS(Table125128[Country],Tabela1[[#This Row],[Country]],Table125128[Dual Moguls Classification],"&gt;0")</f>
        <v>0</v>
      </c>
      <c r="OM66" s="6">
        <f>COUNTIFS(Table125[Country],Tabela1[[#This Row],[Country]],Table125[Halfpipe Classification],"&gt;0")</f>
        <v>0</v>
      </c>
      <c r="ON66" s="6">
        <f>COUNTIFS(Table125128[Country],Tabela1[[#This Row],[Country]],Table125128[Halfpipe Classification],"&gt;0")</f>
        <v>0</v>
      </c>
      <c r="OO66" s="6">
        <f>COUNTIFS(Table125[Country],Tabela1[[#This Row],[Country]],Table125[Moguls Classification],"&gt;0")</f>
        <v>0</v>
      </c>
      <c r="OP66" s="6">
        <f>COUNTIFS(Table125128[Country],Tabela1[[#This Row],[Country]],Table125128[Moguls Classification],"&gt;0")</f>
        <v>0</v>
      </c>
      <c r="OQ66" s="6">
        <f>COUNTIFS(Table125[Country],Tabela1[[#This Row],[Country]],Table125[Ski Cross Classification],"&gt;0")</f>
        <v>0</v>
      </c>
      <c r="OR66" s="6">
        <f>COUNTIFS(Table125128[Country],Tabela1[[#This Row],[Country]],Table125128[Ski Cross Classification],"&gt;0")</f>
        <v>0</v>
      </c>
      <c r="OS66" s="6">
        <f>COUNTIFS(Table125[Country],Tabela1[[#This Row],[Country]],Table125[Slopestyle Classification],"&gt;0")</f>
        <v>0</v>
      </c>
      <c r="OT66" s="6">
        <f>COUNTIFS(Table125128[Country],Tabela1[[#This Row],[Country]],Table125128[Slopestyle Classification],"&gt;0")</f>
        <v>0</v>
      </c>
      <c r="OU66" s="6">
        <f>COUNTIFS(Table119131[Country],Tabela1[[#This Row],[Country]],Table119131[Men''s Classification],"&gt;0")</f>
        <v>0</v>
      </c>
      <c r="OV66" s="6">
        <f>COUNTIFS(Table119131[Country],Tabela1[[#This Row],[Country]],Table119131[Women''s Classification],"&gt;0")</f>
        <v>0</v>
      </c>
      <c r="OW66" s="6">
        <f>COUNTIFS(Table131[Country],Tabela1[[#This Row],[Country]],Table131[Classification],"&gt;0")</f>
        <v>0</v>
      </c>
      <c r="OX66" s="6">
        <f>COUNTIFS(Table131134[Country],Tabela1[[#This Row],[Country]],Table131134[Classification],"&gt;0")</f>
        <v>0</v>
      </c>
      <c r="OY66" s="6">
        <f>COUNTIFS(Table134[Country],Tabela1[[#This Row],[Country]],Table134[Men''s Classification],"&gt;0")</f>
        <v>0</v>
      </c>
      <c r="OZ66" s="6">
        <f>COUNTIFS(Table134[Country],Tabela1[[#This Row],[Country]],Table134[Women''s Classification],"&gt;0")</f>
        <v>0</v>
      </c>
      <c r="PA66" s="6">
        <f>COUNTIFS(Table135[Country],Tabela1[[#This Row],[Country]],Table135[Mixed Relay Classification],"&gt;0")</f>
        <v>0</v>
      </c>
      <c r="PB66" s="6">
        <f>COUNTIFS(Table136[Country],Tabela1[[#This Row],[Country]],Table136[Individual Classification],"&gt;0")</f>
        <v>0</v>
      </c>
      <c r="PC66" s="6">
        <f>COUNTIFS(Table136[Country],Tabela1[[#This Row],[Country]],Table136[Sprint Classification],"&gt;0")</f>
        <v>0</v>
      </c>
      <c r="PD66" s="6">
        <f>COUNTIFS(Table137[Country],Tabela1[[#This Row],[Country]],Table137[Men''s Team Sprint Large Hill Classification],"&gt;0")</f>
        <v>0</v>
      </c>
      <c r="PE66" s="6">
        <f>COUNTIFS(Table138[Country],Tabela1[[#This Row],[Country]],Table138[500m Classification],"&gt;0")</f>
        <v>0</v>
      </c>
      <c r="PF66" s="6">
        <f>COUNTIFS(Table138141[Country],Tabela1[[#This Row],[Country]],Table138141[500m Classification],"&gt;0")</f>
        <v>0</v>
      </c>
      <c r="PG66" s="6">
        <f>COUNTIFS(Table138[Country],Tabela1[[#This Row],[Country]],Table138[1000m Classification],"&gt;0")</f>
        <v>0</v>
      </c>
      <c r="PH66" s="6">
        <f>COUNTIFS(Table138141[Country],Tabela1[[#This Row],[Country]],Table138141[1000m Classification],"&gt;0")</f>
        <v>0</v>
      </c>
      <c r="PI66" s="6">
        <f>COUNTIFS(Table138[Country],Tabela1[[#This Row],[Country]],Table138[1500m Classification],"&gt;0")</f>
        <v>0</v>
      </c>
      <c r="PJ66" s="6">
        <f>COUNTIFS(Table138141[Country],Tabela1[[#This Row],[Country]],Table138141[1500m Classification],"&gt;0")</f>
        <v>0</v>
      </c>
      <c r="PK66" s="6">
        <f>COUNTIFS(Table141[Country],Tabela1[[#This Row],[Country]],Table141[Men''s 5000m Relay Classification],"&gt;0")</f>
        <v>0</v>
      </c>
      <c r="PL66" s="6">
        <f>COUNTIFS(Table141[Country],Tabela1[[#This Row],[Country]],Table141[Women''s 3000m Relay Classification],"&gt;0")</f>
        <v>0</v>
      </c>
      <c r="PM66" s="6">
        <f>COUNTIFS(Table141[Country],Tabela1[[#This Row],[Country]],Table141[Mixed 2000m Relay Classification],"&gt;0")</f>
        <v>0</v>
      </c>
      <c r="PN66" s="6">
        <f>COUNTIFS(Table142[Country],Tabela1[[#This Row],[Country]],Table142[Classification],"&gt;0")</f>
        <v>0</v>
      </c>
      <c r="PO66" s="6">
        <f>COUNTIFS(Table142145[Country],Tabela1[[#This Row],[Country]],Table142145[Classification],"&gt;0")</f>
        <v>0</v>
      </c>
      <c r="PP66" s="6">
        <f>COUNTIFS(Tabela15[Country],Tabela1[[#This Row],[Country]],Tabela15[Mixed Team Classification],"&gt;0")</f>
        <v>0</v>
      </c>
      <c r="PQ66" s="6">
        <f>COUNTIFS(Table145[Country],Tabela1[[#This Row],[Country]],Table145[Large Hill Classification],"&gt;0")</f>
        <v>0</v>
      </c>
      <c r="PR66" s="6">
        <f>COUNTIFS(Table145[Country],Tabela1[[#This Row],[Country]],Table145[Normal Hill Classification],"&gt;0")</f>
        <v>0</v>
      </c>
      <c r="PS66" s="6">
        <f>COUNTIFS(Table145148[Country],Tabela1[[#This Row],[Country]],Table145148[Large Hill Classification],"&gt;0")</f>
        <v>0</v>
      </c>
      <c r="PT66" s="6">
        <f>COUNTIFS(Table145148[Country],Tabela1[[#This Row],[Country]],Table145148[Normal Hill Classification],"&gt;0")</f>
        <v>0</v>
      </c>
      <c r="PU66" s="6">
        <f>COUNTIFS(Table148[Country],Tabela1[[#This Row],[Country]],Table148[Men''s Super Team Classification],"&gt;0")</f>
        <v>0</v>
      </c>
      <c r="PV66" s="6">
        <f>COUNTIFS(Tabela114[Country],Tabela1[[#This Row],[Country]],Tabela114[Mixed Normal Hill Classification],"&gt;0")</f>
        <v>0</v>
      </c>
      <c r="PW66" s="6">
        <f>COUNTIFS(Tabela50[Country],Tabela1[[#This Row],[Country]],Tabela50[Sprint Classification],"&gt;0")</f>
        <v>0</v>
      </c>
      <c r="PX66" s="6">
        <f>COUNTIFS(Tabela50101[Country],Tabela1[[#This Row],[Country]],Tabela50101[Sprint Classification],"&gt;0")</f>
        <v>0</v>
      </c>
      <c r="PY66" s="6">
        <f>COUNTIFS(Tabela103[Country],Tabela1[[#This Row],[Country]],Tabela103[Mixed Relay Classification],"&gt;0")</f>
        <v>0</v>
      </c>
      <c r="PZ66" s="6">
        <f>COUNTIFS(Table149[Country],Tabela1[[#This Row],[Country]],Table149[Big Air Classification],"&gt;0")</f>
        <v>0</v>
      </c>
      <c r="QA66" s="6">
        <f>COUNTIFS(Table149152[Country],Tabela1[[#This Row],[Country]],Table149152[Big Air Classification],"&gt;0")</f>
        <v>0</v>
      </c>
      <c r="QB66" s="6">
        <f>COUNTIFS(Table149[Country],Tabela1[[#This Row],[Country]],Table149[Halfpipe Classification],"&gt;0")</f>
        <v>0</v>
      </c>
      <c r="QC66" s="6">
        <f>COUNTIFS(Table149152[Country],Tabela1[[#This Row],[Country]],Table149152[Halfpipe Classification],"&gt;0")</f>
        <v>0</v>
      </c>
      <c r="QD66" s="6">
        <f>COUNTIFS(Table149[Country],Tabela1[[#This Row],[Country]],Table149[Parallel Giant Slalom Classification],"&gt;0")</f>
        <v>0</v>
      </c>
      <c r="QE66" s="6">
        <f>COUNTIFS(Table149152[Country],Tabela1[[#This Row],[Country]],Table149152[Parallel Giant Slalom Classification],"&gt;0")</f>
        <v>0</v>
      </c>
      <c r="QF66" s="6">
        <f>COUNTIFS(Table149[Country],Tabela1[[#This Row],[Country]],Table149[Slopestyle Classification],"&gt;0")</f>
        <v>0</v>
      </c>
      <c r="QG66" s="6">
        <f>COUNTIFS(Table149152[Country],Tabela1[[#This Row],[Country]],Table149152[Slopestyle Classification],"&gt;0")</f>
        <v>0</v>
      </c>
      <c r="QH66" s="6">
        <f>COUNTIFS(Table149[Country],Tabela1[[#This Row],[Country]],Table149[Snowboard Cross Classification],"&gt;0")</f>
        <v>0</v>
      </c>
      <c r="QI66" s="6">
        <f>COUNTIFS(Table149152[Country],Tabela1[[#This Row],[Country]],Table149152[Snowboard Cross Classification],"&gt;0")</f>
        <v>0</v>
      </c>
      <c r="QJ66" s="6">
        <f>COUNTIFS(Table153[Country],Tabela1[[#This Row],[Country]],Table153[Mixed Team Snowboard Cross Classification],"&gt;0")</f>
        <v>0</v>
      </c>
      <c r="QK66" s="6">
        <f>COUNTIFS(Table154[Country],Tabela1[[#This Row],[Country]],Table154[500m Classification],"&gt;0")</f>
        <v>0</v>
      </c>
      <c r="QL66" s="6">
        <f>COUNTIFS(Table154157[Country],Tabela1[[#This Row],[Country]],Table154157[500m Classification],"&gt;0")</f>
        <v>0</v>
      </c>
      <c r="QM66" s="6">
        <f>COUNTIFS(Table154[Country],Tabela1[[#This Row],[Country]],Table154[1000m Classification],"&gt;0")</f>
        <v>0</v>
      </c>
      <c r="QN66" s="6">
        <f>COUNTIFS(Table154157[Country],Tabela1[[#This Row],[Country]],Table154157[1000m Classification],"&gt;0")</f>
        <v>0</v>
      </c>
      <c r="QO66" s="6">
        <f>COUNTIFS(Table154[Country],Tabela1[[#This Row],[Country]],Table154[1500m Classification],"&gt;0")</f>
        <v>0</v>
      </c>
      <c r="QP66" s="6">
        <f>COUNTIFS(Table154157[Country],Tabela1[[#This Row],[Country]],Table154157[1500m Classification],"&gt;0")</f>
        <v>0</v>
      </c>
      <c r="QQ66" s="6">
        <f>COUNTIFS(Table154157[Country],Tabela1[[#This Row],[Country]],Table154157[3000m Classification],"&gt;0")</f>
        <v>0</v>
      </c>
      <c r="QR66" s="6">
        <f>COUNTIFS(Table154[Country],Tabela1[[#This Row],[Country]],Table154[5000m Classification],"&gt;0")</f>
        <v>0</v>
      </c>
      <c r="QS66" s="6">
        <f>COUNTIFS(Table154157[Country],Tabela1[[#This Row],[Country]],Table154157[5000m Classification],"&gt;0")</f>
        <v>0</v>
      </c>
      <c r="QT66" s="6">
        <f>COUNTIFS(Table154[Country],Tabela1[[#This Row],[Country]],Table154[10000m Classification],"&gt;0")</f>
        <v>0</v>
      </c>
      <c r="QU66" s="6">
        <f>COUNTIFS(Table154[Country],Tabela1[[#This Row],[Country]],Table154[Mass Start Classification],"&gt;0")</f>
        <v>0</v>
      </c>
      <c r="QV66" s="6">
        <f>COUNTIFS(Table154157[Country],Tabela1[[#This Row],[Country]],Table154157[Mass Start Classification],"&gt;0")</f>
        <v>0</v>
      </c>
      <c r="QW66" s="6">
        <f>COUNTIFS(Table157[Country],Tabela1[[#This Row],[Country]],Table157[Men''s Pursuit Classification],"&gt;0")</f>
        <v>0</v>
      </c>
      <c r="QX66" s="6">
        <f>COUNTIFS(Table157[Country],Tabela1[[#This Row],[Country]],Table157[Women''s Pursuit Classification],"&gt;0")</f>
        <v>0</v>
      </c>
      <c r="QY66" s="4" t="s">
        <v>725</v>
      </c>
    </row>
    <row r="67" spans="1:467" x14ac:dyDescent="0.3">
      <c r="A67" s="6">
        <v>66</v>
      </c>
      <c r="B67" s="6" t="s">
        <v>602</v>
      </c>
      <c r="C67" t="e" vm="66">
        <f>IF(ISBLANK(Tabela1[[#This Row],[Image Link]]), "", _xlfn.IMAGE(Tabela1[[#This Row],[Image Link]],1,1))</f>
        <v>#VALUE!</v>
      </c>
      <c r="D67" s="6">
        <f>SUM(Tabela1[[#This Row],[Archery - Men''s Individual Recurve]:[Speed Skating - Women''s Team Pursuit]])</f>
        <v>8</v>
      </c>
      <c r="E67" s="6">
        <f>COUNTIF(Tabela1[[#This Row],[Archery - Men''s Individual Recurve]:[Speed Skating - Women''s Team Pursuit]],"&gt;0")</f>
        <v>8</v>
      </c>
      <c r="F67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67" s="6">
        <f>SUM(Tabela1[[#This Row],[Archery - Men''s Individual Recurve]:[Wrestling - Women''s Freestyle 76kg]])</f>
        <v>8</v>
      </c>
      <c r="H67" s="6">
        <f>SUM(Tabela1[[#This Row],[Alpine Skiing - Men''s Downhill]:[Speed Skating - Women''s Team Pursuit]])</f>
        <v>0</v>
      </c>
      <c r="I67" s="6">
        <f>Tabela1[[#This Row],[Summer Gold Medals]]+Tabela1[[#This Row],[Winter Gold Medals]]</f>
        <v>0</v>
      </c>
      <c r="J67" s="6">
        <f>Tabela1[[#This Row],[Summer Silver Medals]]+Tabela1[[#This Row],[Winter Silver Medals]]</f>
        <v>1</v>
      </c>
      <c r="K67" s="6">
        <f>Tabela1[[#This Row],[Summer Bronze Medals]]+Tabela1[[#This Row],[Winter Bronze Medals]]</f>
        <v>0</v>
      </c>
      <c r="L67" s="6">
        <f>SUM(Tabela1[[#This Row],[Total Gold Medals]:[Total Bronze Medals]])</f>
        <v>1</v>
      </c>
      <c r="M67" s="6"/>
      <c r="N67" s="6">
        <v>1</v>
      </c>
      <c r="O67" s="6"/>
      <c r="P67" s="6">
        <f>SUM(Tabela1[[#This Row],[Summer Gold Medals]:[Summer Bronze Medals]])</f>
        <v>1</v>
      </c>
      <c r="Q67" s="6"/>
      <c r="R67" s="6"/>
      <c r="S67" s="6"/>
      <c r="T67" s="6">
        <f>Tabela1[[#This Row],[Winter Gold Medals]]+Tabela1[[#This Row],[Winter Silver Medals]]+Tabela1[[#This Row],[Winter Bronze Medals]]</f>
        <v>0</v>
      </c>
      <c r="U67" s="7">
        <f>Tabela1[[#This Row],[Total Medals]]/Tabela1[[#This Row],[Total Quotas]]</f>
        <v>0.125</v>
      </c>
      <c r="V67" s="6">
        <f>COUNTIFS(Table3[Country],Tabela1[[#This Row],[Country]],Table3[Recurve Classification],"&gt;0")</f>
        <v>0</v>
      </c>
      <c r="W67" s="6">
        <f>COUNTIFS(Table33[Country],Tabela1[[#This Row],[Country]],Table33[Recurve Classification],"&gt;0")</f>
        <v>0</v>
      </c>
      <c r="X67" s="6">
        <f>COUNTIFS(Table35[Country],Tabela1[[#This Row],[Country]],Table35[Men''s Team Recurve Classification],"&gt;0")</f>
        <v>0</v>
      </c>
      <c r="Y67" s="6">
        <f>COUNTIFS(Table35[Country],Tabela1[[#This Row],[Country]],Table35[Women''s Team Recurve Classification],"&gt;0")</f>
        <v>0</v>
      </c>
      <c r="Z67" s="6">
        <f>COUNTIFS(Tabela88[Country],Tabela1[[#This Row],[Country]],Tabela88[Mixed Team Recurve Classification],"&gt;0")</f>
        <v>0</v>
      </c>
      <c r="AA67" s="6">
        <f>COUNTIFS(Table36[Country],Tabela1[[#This Row],[Country]],Table36[Classification],"&gt;0")</f>
        <v>0</v>
      </c>
      <c r="AB67" s="6">
        <f>COUNTIFS(Table37[Country],Tabela1[[#This Row],[Country]],Table37[Classification],"&gt;0")</f>
        <v>0</v>
      </c>
      <c r="AC67" s="6">
        <f>COUNTIFS(Table4[Country],Tabela1[[#This Row],[Country]],Table4[100m Classification],"&gt;0")</f>
        <v>0</v>
      </c>
      <c r="AD67" s="6">
        <f>COUNTIFS(Table5[Country],Tabela1[[#This Row],[Country]],Table5[100m Classification],"&gt;0")</f>
        <v>0</v>
      </c>
      <c r="AE67" s="6">
        <f>COUNTIFS(Table4[Country],Tabela1[[#This Row],[Country]],Table4[200m Classification],"&gt;0")</f>
        <v>0</v>
      </c>
      <c r="AF67" s="6">
        <f>COUNTIFS(Table5[Country],Tabela1[[#This Row],[Country]],Table5[200m Classification],"&gt;0")</f>
        <v>0</v>
      </c>
      <c r="AG67" s="6">
        <f>COUNTIFS(Table4[Country],Tabela1[[#This Row],[Country]],Table4[400m Classification],"&gt;0")</f>
        <v>0</v>
      </c>
      <c r="AH67" s="6">
        <f>COUNTIFS(Table5[Country],Tabela1[[#This Row],[Country]],Table5[400m Classification],"&gt;0")</f>
        <v>0</v>
      </c>
      <c r="AI67" s="6">
        <f>COUNTIFS(Table4[Country],Tabela1[[#This Row],[Country]],Table4[800m Classification],"&gt;0")</f>
        <v>0</v>
      </c>
      <c r="AJ67" s="6">
        <f>COUNTIFS(Table5[Country],Tabela1[[#This Row],[Country]],Table5[800m Classification],"&gt;0")</f>
        <v>0</v>
      </c>
      <c r="AK67" s="6">
        <f>COUNTIFS(Table4[Country],Tabela1[[#This Row],[Country]],Table4[1500m Classification],"&gt;0")</f>
        <v>0</v>
      </c>
      <c r="AL67" s="6">
        <f>COUNTIFS(Table5[Country],Tabela1[[#This Row],[Country]],Table5[1500m Classification],"&gt;0")</f>
        <v>0</v>
      </c>
      <c r="AM67" s="6">
        <f>COUNTIFS(Table4[Country],Tabela1[[#This Row],[Country]],Table4[5000m Classification],"&gt;0")</f>
        <v>0</v>
      </c>
      <c r="AN67" s="6">
        <f>COUNTIFS(Table5[Country],Tabela1[[#This Row],[Country]],Table5[5000m Classification],"&gt;0")</f>
        <v>0</v>
      </c>
      <c r="AO67" s="6">
        <f>COUNTIFS(Table4[Country],Tabela1[[#This Row],[Country]],Table4[10000m Classification],"&gt;0")</f>
        <v>0</v>
      </c>
      <c r="AP67" s="6">
        <f>COUNTIFS(Table5[Country],Tabela1[[#This Row],[Country]],Table5[10000m Classification],"&gt;0")</f>
        <v>0</v>
      </c>
      <c r="AQ67" s="6">
        <f>COUNTIFS(Table4[Country],Tabela1[[#This Row],[Country]],Table4[110m Hurdles Classification],"&gt;0")</f>
        <v>0</v>
      </c>
      <c r="AR67" s="6">
        <f>COUNTIFS(Table5[Country],Tabela1[[#This Row],[Country]],Table5[100m Hurdles Classification],"&gt;0")</f>
        <v>0</v>
      </c>
      <c r="AS67" s="6">
        <f>COUNTIFS(Table4[Country],Tabela1[[#This Row],[Country]],Table4[400m Hurdles Classification],"&gt;0")</f>
        <v>0</v>
      </c>
      <c r="AT67" s="6">
        <f>COUNTIFS(Table5[Country],Tabela1[[#This Row],[Country]],Table5[400m Hurdles Classification],"&gt;0")</f>
        <v>0</v>
      </c>
      <c r="AU67" s="6">
        <f>COUNTIFS(Table4[Country],Tabela1[[#This Row],[Country]],Table4[3000m Steeplechase Classification],"&gt;0")</f>
        <v>0</v>
      </c>
      <c r="AV67" s="6">
        <f>COUNTIFS(Table5[Country],Tabela1[[#This Row],[Country]],Table5[3000m Steeplechase Classification],"&gt;0")</f>
        <v>0</v>
      </c>
      <c r="AW67" s="6">
        <f>COUNTIFS(Table27[Country],Tabela1[[#This Row],[Country]],Table27[Men''s 4x100m Relay Classification],"&gt;0")</f>
        <v>0</v>
      </c>
      <c r="AX67" s="6">
        <f>COUNTIFS(Table27[Country],Tabela1[[#This Row],[Country]],Table27[Women''s 4x100m Relay Classification],"&gt;0")</f>
        <v>0</v>
      </c>
      <c r="AY67" s="6">
        <f>COUNTIFS(Table27[Country],Tabela1[[#This Row],[Country]],Table27[Men''s 4x400m Relay Classification],"&gt;0")</f>
        <v>0</v>
      </c>
      <c r="AZ67" s="6">
        <f>COUNTIFS(Table27[Country],Tabela1[[#This Row],[Country]],Table27[Women''s 4x400m Relay Classification],"&gt;0")</f>
        <v>0</v>
      </c>
      <c r="BA67" s="6">
        <f>COUNTIFS(Table27[Country],Tabela1[[#This Row],[Country]],Table27[Mixed 4x400m Relay Classification],"&gt;0")</f>
        <v>0</v>
      </c>
      <c r="BB67" s="6">
        <f>COUNTIFS(Table4[Country],Tabela1[[#This Row],[Country]],Table4[Marathon Classification],"&gt;0")</f>
        <v>1</v>
      </c>
      <c r="BC67" s="6">
        <f>COUNTIFS(Table5[Country],Tabela1[[#This Row],[Country]],Table5[Marathon Classification],"&gt;0")</f>
        <v>0</v>
      </c>
      <c r="BD67" s="6">
        <f>COUNTIFS(Table4[Country],Tabela1[[#This Row],[Country]],Table4[20km Race Walk Classification],"&gt;0")</f>
        <v>0</v>
      </c>
      <c r="BE67" s="6">
        <f>COUNTIFS(Table5[Country],Tabela1[[#This Row],[Country]],Table5[20km Race Walk Classification],"&gt;0")</f>
        <v>0</v>
      </c>
      <c r="BF67" s="6">
        <f>COUNTIFS(Tabela96[Country],Tabela1[[#This Row],[Country]],Tabela96[Mixed Marathon Race Walk Relay Classification],"&gt;0")</f>
        <v>0</v>
      </c>
      <c r="BG67" s="6">
        <f>COUNTIFS(Table4[Country],Tabela1[[#This Row],[Country]],Table4[Discus Throw Classification],"&gt;0")</f>
        <v>0</v>
      </c>
      <c r="BH67" s="6">
        <f>COUNTIFS(Table5[Country],Tabela1[[#This Row],[Country]],Table5[Discus Throw Classification],"&gt;0")</f>
        <v>0</v>
      </c>
      <c r="BI67" s="6">
        <f>COUNTIFS(Table4[Country],Tabela1[[#This Row],[Country]],Table4[Hammer Throw Classification],"&gt;0")</f>
        <v>0</v>
      </c>
      <c r="BJ67" s="6">
        <f>COUNTIFS(Table5[Country],Tabela1[[#This Row],[Country]],Table5[Hammer Throw Classification],"&gt;0")</f>
        <v>0</v>
      </c>
      <c r="BK67" s="6">
        <f>COUNTIFS(Table4[Country],Tabela1[[#This Row],[Country]],Table4[High Jump Classification],"&gt;0")</f>
        <v>0</v>
      </c>
      <c r="BL67" s="6">
        <f>COUNTIFS(Table5[Country],Tabela1[[#This Row],[Country]],Table5[High Jump Classification],"&gt;0")</f>
        <v>0</v>
      </c>
      <c r="BM67" s="6">
        <f>COUNTIFS(Table4[Country],Tabela1[[#This Row],[Country]],Table4[Javelin Throw Classification],"&gt;0")</f>
        <v>0</v>
      </c>
      <c r="BN67" s="6">
        <f>COUNTIFS(Table5[Country],Tabela1[[#This Row],[Country]],Table5[Javelin Throw Classification],"&gt;0")</f>
        <v>0</v>
      </c>
      <c r="BO67" s="6">
        <f>COUNTIFS(Table4[Country],Tabela1[[#This Row],[Country]],Table4[Long Jump Classification],"&gt;0")</f>
        <v>0</v>
      </c>
      <c r="BP67" s="6">
        <f>COUNTIFS(Table5[Country],Tabela1[[#This Row],[Country]],Table5[Long Jump Classification],"&gt;0")</f>
        <v>0</v>
      </c>
      <c r="BQ67" s="6">
        <f>COUNTIFS(Table4[Country],Tabela1[[#This Row],[Country]],Table4[Pole Vault Classification],"&gt;0")</f>
        <v>0</v>
      </c>
      <c r="BR67" s="6">
        <f>COUNTIFS(Table5[Country],Tabela1[[#This Row],[Country]],Table5[Pole Vault Classification],"&gt;0")</f>
        <v>0</v>
      </c>
      <c r="BS67" s="6">
        <f>COUNTIFS(Table4[Country],Tabela1[[#This Row],[Country]],Table4[Shot Put Classification],"&gt;0")</f>
        <v>0</v>
      </c>
      <c r="BT67" s="6">
        <f>COUNTIFS(Table5[Country],Tabela1[[#This Row],[Country]],Table5[Shot Put Classification],"&gt;0")</f>
        <v>0</v>
      </c>
      <c r="BU67" s="6">
        <f>COUNTIFS(Table4[Country],Tabela1[[#This Row],[Country]],Table4[Triple Jump Classification],"&gt;0")</f>
        <v>0</v>
      </c>
      <c r="BV67" s="6">
        <f>COUNTIFS(Table5[Country],Tabela1[[#This Row],[Country]],Table5[Triple Jump Classification],"&gt;0")</f>
        <v>0</v>
      </c>
      <c r="BW67" s="6">
        <f>COUNTIFS(Table4[Country],Tabela1[[#This Row],[Country]],Table4[Decathlon Classification],"&gt;0")</f>
        <v>0</v>
      </c>
      <c r="BX67" s="6">
        <f>COUNTIFS(Table5[Country],Tabela1[[#This Row],[Country]],Table5[Heptathlon Classification],"&gt;0")</f>
        <v>0</v>
      </c>
      <c r="BY67" s="6">
        <f>COUNTIFS(Table61[Country],Tabela1[[#This Row],[Country]],Table61[Classification],"&gt;0")</f>
        <v>0</v>
      </c>
      <c r="BZ67" s="6">
        <f>COUNTIFS(Table38[Country],Tabela1[[#This Row],[Country]],Table38[Classification],"&gt;0")</f>
        <v>0</v>
      </c>
      <c r="CA67" s="6">
        <f>COUNTIFS(Table39[Country],Tabela1[[#This Row],[Country]],Table39[Men''s Classification],"&gt;0")</f>
        <v>0</v>
      </c>
      <c r="CB67" s="6">
        <f>COUNTIFS(Table39[Country],Tabela1[[#This Row],[Country]],Table39[Women''s Classification],"&gt;0")</f>
        <v>0</v>
      </c>
      <c r="CC67" s="6">
        <f>COUNTIFS(Table39[Country],Tabela1[[#This Row],[Country]],Table39[Mixed Classification],"&gt;0")</f>
        <v>0</v>
      </c>
      <c r="CD67" s="6">
        <f>COUNTIFS(Table89[Country],Tabela1[[#This Row],[Country]],Table89[Men''s Classification],"&gt;0")</f>
        <v>0</v>
      </c>
      <c r="CE67" s="6">
        <f>COUNTIFS(Table89[Country],Tabela1[[#This Row],[Country]],Table89[Women''s Classification],"&gt;0")</f>
        <v>0</v>
      </c>
      <c r="CF67" s="6">
        <f>COUNTIFS(Table90[Country],Tabela1[[#This Row],[Country]],Table90[Men''s Classification],"&gt;0")</f>
        <v>0</v>
      </c>
      <c r="CG67" s="6">
        <f>COUNTIFS(Table90[Country],Tabela1[[#This Row],[Country]],Table90[Women''s Classification],"&gt;0")</f>
        <v>0</v>
      </c>
      <c r="CH67" s="6">
        <f>COUNTIFS(Table60[Country],Tabela1[[#This Row],[Country]],Table60[Men''s Classification],"&gt;0")</f>
        <v>0</v>
      </c>
      <c r="CI67" s="6">
        <f>COUNTIFS(Table60[Country],Tabela1[[#This Row],[Country]],Table60[Women''s Classification],"&gt;0")</f>
        <v>0</v>
      </c>
      <c r="CJ67" s="6">
        <f>COUNTIFS(Table6[Country],Tabela1[[#This Row],[Country]],Table6[51kg Classification],"&gt;0")</f>
        <v>0</v>
      </c>
      <c r="CK67" s="6">
        <f>COUNTIFS(Table6[Country],Tabela1[[#This Row],[Country]],Table6[57kg Classification],"&gt;0")</f>
        <v>0</v>
      </c>
      <c r="CL67" s="6">
        <f>COUNTIFS(Table6[Country],Tabela1[[#This Row],[Country]],Table6[63.5kg Classification],"&gt;0")</f>
        <v>1</v>
      </c>
      <c r="CM67" s="6">
        <f>COUNTIFS(Table6[Country],Tabela1[[#This Row],[Country]],Table6[71kg Classification],"&gt;0")</f>
        <v>1</v>
      </c>
      <c r="CN67" s="6">
        <f>COUNTIFS(Table6[Country],Tabela1[[#This Row],[Country]],Table6[80kg Classification],"&gt;0")</f>
        <v>0</v>
      </c>
      <c r="CO67" s="6">
        <f>COUNTIFS(Table6[Country],Tabela1[[#This Row],[Country]],Table6[92kg Classification],"&gt;0")</f>
        <v>0</v>
      </c>
      <c r="CP67" s="6">
        <f>COUNTIFS(Table6[Country],Tabela1[[#This Row],[Country]],Table6[Plus 92kg Classification],"&gt;0")</f>
        <v>0</v>
      </c>
      <c r="CQ67" s="6">
        <f>COUNTIFS(Table7[Country],Tabela1[[#This Row],[Country]],Table7[50kg Classification],"&gt;0")</f>
        <v>0</v>
      </c>
      <c r="CR67" s="6">
        <f>COUNTIFS(Table7[Country],Tabela1[[#This Row],[Country]],Table7[54kg Classification],"&gt;0")</f>
        <v>0</v>
      </c>
      <c r="CS67" s="6">
        <f>COUNTIFS(Table7[Country],Tabela1[[#This Row],[Country]],Table7[57kg Classification],"&gt;0")</f>
        <v>0</v>
      </c>
      <c r="CT67" s="6">
        <f>COUNTIFS(Table7[Country],Tabela1[[#This Row],[Country]],Table7[60kg Classification],"&gt;0")</f>
        <v>0</v>
      </c>
      <c r="CU67" s="6">
        <f>COUNTIFS(Table7[Country],Tabela1[[#This Row],[Country]],Table7[66kg Classification],"&gt;0")</f>
        <v>0</v>
      </c>
      <c r="CV67" s="6">
        <f>COUNTIFS(Table7[Country],Tabela1[[#This Row],[Country]],Table7[75kg Classification],"&gt;0")</f>
        <v>0</v>
      </c>
      <c r="CW67" s="6">
        <f>COUNTIFS(Tabela94[Country],Tabela1[[#This Row],[Country]],Tabela94[Classification],"&gt;0")</f>
        <v>0</v>
      </c>
      <c r="CX67" s="6">
        <f>COUNTIFS(Tabela9499[Country],Tabela1[[#This Row],[Country]],Tabela9499[Classification],"&gt;0")</f>
        <v>0</v>
      </c>
      <c r="CY67" s="6">
        <f>COUNTIFS(Tabela107[Country],Tabela1[[#This Row],[Country]],Tabela107[C1 Slalom Classification],"&gt;0")</f>
        <v>0</v>
      </c>
      <c r="CZ67" s="6">
        <f>COUNTIFS(Tabela107122[Country],Tabela1[[#This Row],[Country]],Tabela107122[C1 Slalom Classification],"&gt;0")</f>
        <v>0</v>
      </c>
      <c r="DA67" s="6">
        <f>COUNTIFS(Tabela107[Country],Tabela1[[#This Row],[Country]],Tabela107[K1 Slalom Classification],"&gt;0")</f>
        <v>0</v>
      </c>
      <c r="DB67" s="6">
        <f>COUNTIFS(Tabela107122[Country],Tabela1[[#This Row],[Country]],Tabela107122[K1 Slalom Classification],"&gt;0")</f>
        <v>0</v>
      </c>
      <c r="DC67" s="6">
        <f>COUNTIFS(Tabela107[Country],Tabela1[[#This Row],[Country]],Tabela107[Kayak Cross Slalom Classification],"&gt;0")</f>
        <v>0</v>
      </c>
      <c r="DD67" s="6">
        <f>COUNTIFS(Tabela107122[Country],Tabela1[[#This Row],[Country]],Tabela107122[Kayak Cross Slalom Classification],"&gt;0")</f>
        <v>0</v>
      </c>
      <c r="DE67" s="6">
        <f>COUNTIFS(Table8[Country],Tabela1[[#This Row],[Country]],Table8[C1 200m Classification],"&gt;0")</f>
        <v>0</v>
      </c>
      <c r="DF67" s="6">
        <f>COUNTIFS(Table40[Country],Tabela1[[#This Row],[Country]],Table40[C1 1000m Classification],"&gt;0")</f>
        <v>0</v>
      </c>
      <c r="DG67" s="6">
        <f>COUNTIFS(Table68[Country],Tabela1[[#This Row],[Country]],Table68[Men''s C2 500m Classification],"&gt;0")</f>
        <v>0</v>
      </c>
      <c r="DH67" s="6">
        <f>COUNTIFS(Table68[Country],Tabela1[[#This Row],[Country]],Table68[Women''s C2 500m Classification],"&gt;0")</f>
        <v>0</v>
      </c>
      <c r="DI67" s="6">
        <f>COUNTIFS(Table8[Country],Tabela1[[#This Row],[Country]],Table8[K1 500m Classification],"&gt;0")</f>
        <v>0</v>
      </c>
      <c r="DJ67" s="6">
        <f>COUNTIFS(Table40[Country],Tabela1[[#This Row],[Country]],Table40[K1 1000m Classification],"&gt;0")</f>
        <v>0</v>
      </c>
      <c r="DK67" s="6">
        <f>COUNTIFS(Table68[Country],Tabela1[[#This Row],[Country]],Table68[Men''s K2 500m Classification],"&gt;0")</f>
        <v>0</v>
      </c>
      <c r="DL67" s="6">
        <f>COUNTIFS(Table68[Country],Tabela1[[#This Row],[Country]],Table68[Women''s K2 500m Classification],"&gt;0")</f>
        <v>0</v>
      </c>
      <c r="DM67" s="6">
        <f>COUNTIFS(Table83[Country],Tabela1[[#This Row],[Country]],Table83[Men''s K4 500m Classification],"&gt;0")</f>
        <v>0</v>
      </c>
      <c r="DN67" s="6">
        <f>COUNTIFS(Table83[Country],Tabela1[[#This Row],[Country]],Table83[Women''s K4 500m Classification],"&gt;0")</f>
        <v>0</v>
      </c>
      <c r="DO67" s="6">
        <f>COUNTIFS(Tabela126[Country],Tabela1[[#This Row],[Country]],Tabela126[Classification],"&gt;0")</f>
        <v>0</v>
      </c>
      <c r="DP67" s="6">
        <f>COUNTIFS(Tabela126130[Country],Tabela1[[#This Row],[Country]],Tabela126130[Classification],"&gt;0")</f>
        <v>0</v>
      </c>
      <c r="DQ67" s="6">
        <f>COUNTIFS(Table70[Country],Tabela1[[#This Row],[Country]],Table70[Classification],"&gt;0")</f>
        <v>0</v>
      </c>
      <c r="DR67" s="6">
        <f>COUNTIFS(Table80[Country],Tabela1[[#This Row],[Country]],Table80[Classification],"&gt;0")</f>
        <v>0</v>
      </c>
      <c r="DS67" s="6">
        <f>COUNTIFS(Table66[Country],Tabela1[[#This Row],[Country]],Table66[Classification],"&gt;0")</f>
        <v>0</v>
      </c>
      <c r="DT67" s="6">
        <f>COUNTIFS(Table67[Country],Tabela1[[#This Row],[Country]],Table67[Classification],"&gt;0")</f>
        <v>0</v>
      </c>
      <c r="DU67" s="6">
        <f>COUNTIFS(Table69[Country],Tabela1[[#This Row],[Country]],Table69[Keirin Classification],"&gt;0")</f>
        <v>0</v>
      </c>
      <c r="DV67" s="6">
        <f>COUNTIFS(Table41[Country],Tabela1[[#This Row],[Country]],Table41[Keirin Classification],"&gt;0")</f>
        <v>0</v>
      </c>
      <c r="DW67" s="6">
        <f>COUNTIFS(Table84[Country],Tabela1[[#This Row],[Country]],Table84[Men''s Madison Classification],"&gt;0")</f>
        <v>0</v>
      </c>
      <c r="DX67" s="6">
        <f>COUNTIFS(Table84[Country],Tabela1[[#This Row],[Country]],Table84[Women''s Madison Classification],"&gt;0")</f>
        <v>0</v>
      </c>
      <c r="DY67" s="6">
        <f>COUNTIFS(Table69[Country],Tabela1[[#This Row],[Country]],Table69[Omnium Classification],"&gt;0")</f>
        <v>0</v>
      </c>
      <c r="DZ67" s="6">
        <f>COUNTIFS(Table41[Country],Tabela1[[#This Row],[Country]],Table41[Omnium Classification],"&gt;0")</f>
        <v>0</v>
      </c>
      <c r="EA67" s="6">
        <f>COUNTIFS(Table9[Country],Tabela1[[#This Row],[Country]],Table9[Road Race Classification],"&gt;0")</f>
        <v>0</v>
      </c>
      <c r="EB67" s="6">
        <f>COUNTIFS(Table14[Country],Tabela1[[#This Row],[Country]],Table14[Road Race Classification],"&gt;0")</f>
        <v>0</v>
      </c>
      <c r="EC67" s="6">
        <f>COUNTIFS(Table69[Country],Tabela1[[#This Row],[Country]],Table69[Sprint Classification],"&gt;0")</f>
        <v>0</v>
      </c>
      <c r="ED67" s="6">
        <f>COUNTIFS(Table41[Country],Tabela1[[#This Row],[Country]],Table41[Sprint Classification],"&gt;0")</f>
        <v>0</v>
      </c>
      <c r="EE67" s="6">
        <f>COUNTIFS(Table85[Country],Tabela1[[#This Row],[Country]],Table85[Men''s Sprint Classification],"&gt;0")</f>
        <v>0</v>
      </c>
      <c r="EF67" s="6">
        <f>COUNTIFS(Table85[Country],Tabela1[[#This Row],[Country]],Table85[Women''s Sprint Classification],"&gt;0")</f>
        <v>0</v>
      </c>
      <c r="EG67" s="6">
        <f>COUNTIFS(Table85[Country],Tabela1[[#This Row],[Country]],Table85[Men''s Pursuit Classification],"&gt;0")</f>
        <v>0</v>
      </c>
      <c r="EH67" s="6">
        <f>COUNTIFS(Table85[Country],Tabela1[[#This Row],[Country]],Table85[Women''s Pursuit Classification],"&gt;0")</f>
        <v>0</v>
      </c>
      <c r="EI67" s="6">
        <f>COUNTIFS(Table9[Country],Tabela1[[#This Row],[Country]],Table9[Time-Trial Classification],"&gt;0")</f>
        <v>0</v>
      </c>
      <c r="EJ67" s="6">
        <f>COUNTIFS(Table14[Country],Tabela1[[#This Row],[Country]],Table14[Time-Trial Classification],"&gt;0")</f>
        <v>0</v>
      </c>
      <c r="EK67" s="6">
        <f>COUNTIFS(Table42[Country],Tabela1[[#This Row],[Country]],Table42[Springboard Classification],"&gt;0")</f>
        <v>0</v>
      </c>
      <c r="EL67" s="6">
        <f>COUNTIFS(Table43[Country],Tabela1[[#This Row],[Country]],Table43[Springboard Classification],"&gt;0")</f>
        <v>0</v>
      </c>
      <c r="EM67" s="6">
        <f>COUNTIFS(Table42[Country],Tabela1[[#This Row],[Country]],Table42[Platform Classification],"&gt;0")</f>
        <v>0</v>
      </c>
      <c r="EN67" s="6">
        <f>COUNTIFS(Table43[Country],Tabela1[[#This Row],[Country]],Table43[Platform Classification],"&gt;0")</f>
        <v>0</v>
      </c>
      <c r="EO67" s="6">
        <f>COUNTIFS(Table86[Country],Tabela1[[#This Row],[Country]],Table86[Men''s Synchronized Springboard Classification],"&gt;0")</f>
        <v>0</v>
      </c>
      <c r="EP67" s="6">
        <f>COUNTIFS(Table86[Country],Tabela1[[#This Row],[Country]],Table86[Women''s Synchronized Springboard Classification],"&gt;0")</f>
        <v>0</v>
      </c>
      <c r="EQ67" s="6">
        <f>COUNTIFS(Table86[Country],Tabela1[[#This Row],[Country]],Table86[Men''s Synchronized Platform Classification],"&gt;0")</f>
        <v>0</v>
      </c>
      <c r="ER67" s="6">
        <f>COUNTIFS(Table86[Country],Tabela1[[#This Row],[Country]],Table86[Women''s Synchronized Platform Classification],"&gt;0")</f>
        <v>0</v>
      </c>
      <c r="ES67" s="6">
        <f>COUNTIFS(Table44[Country],Tabela1[[#This Row],[Country]],Table44[Dressage Classification],"&gt;0")</f>
        <v>0</v>
      </c>
      <c r="ET67" s="6">
        <f>COUNTIFS(Table45[Country],Tabela1[[#This Row],[Country]],Table45[Dressage Classification],"&gt;0")</f>
        <v>0</v>
      </c>
      <c r="EU67" s="6">
        <f>COUNTIFS(Table44[Country],Tabela1[[#This Row],[Country]],Table44[Eventing Classification],"&gt;0")</f>
        <v>0</v>
      </c>
      <c r="EV67" s="6">
        <f>COUNTIFS(Table45[Country],Tabela1[[#This Row],[Country]],Table45[Eventing Classification],"&gt;0")</f>
        <v>0</v>
      </c>
      <c r="EW67" s="6">
        <f>COUNTIFS(Table44[Country],Tabela1[[#This Row],[Country]],Table44[Jumping Classification],"&gt;0")</f>
        <v>0</v>
      </c>
      <c r="EX67" s="6">
        <f>COUNTIFS(Table45[Country],Tabela1[[#This Row],[Country]],Table45[Jumping Classification],"&gt;0")</f>
        <v>0</v>
      </c>
      <c r="EY67" s="6">
        <f>COUNTIFS(Table10[Country],Tabela1[[#This Row],[Country]],Table10[Épée Classification],"&gt;0")</f>
        <v>0</v>
      </c>
      <c r="EZ67" s="6">
        <f>COUNTIFS(Table11[Country],Tabela1[[#This Row],[Country]],Table11[Épée Classification],"&gt;0")</f>
        <v>0</v>
      </c>
      <c r="FA67" s="6">
        <f>COUNTIFS(Table46[Country],Tabela1[[#This Row],[Country]],Table46[Men''s Épée Classification],"&gt;0")</f>
        <v>0</v>
      </c>
      <c r="FB67" s="6">
        <f>COUNTIFS(Table46[Country],Tabela1[[#This Row],[Country]],Table46[Women''s Épée Classification],"&gt;0")</f>
        <v>0</v>
      </c>
      <c r="FC67" s="6">
        <f>COUNTIFS(Table10[Country],Tabela1[[#This Row],[Country]],Table10[Foil Classification],"&gt;0")</f>
        <v>0</v>
      </c>
      <c r="FD67" s="6">
        <f>COUNTIFS(Table11[Country],Tabela1[[#This Row],[Country]],Table11[Foil Classification],"&gt;0")</f>
        <v>0</v>
      </c>
      <c r="FE67" s="6">
        <f>COUNTIFS(Table46[Country],Tabela1[[#This Row],[Country]],Table46[Men''s Foil Classification],"&gt;0")</f>
        <v>0</v>
      </c>
      <c r="FF67" s="6">
        <f>COUNTIFS(Table46[Country],Tabela1[[#This Row],[Country]],Table46[Women''s Foil Classification],"&gt;0")</f>
        <v>0</v>
      </c>
      <c r="FG67" s="6">
        <f>COUNTIFS(Table10[Country],Tabela1[[#This Row],[Country]],Table10[Sabre Classification],"&gt;0")</f>
        <v>0</v>
      </c>
      <c r="FH67" s="6">
        <f>COUNTIFS(Table11[Country],Tabela1[[#This Row],[Country]],Table11[Sabre Classification],"&gt;0")</f>
        <v>0</v>
      </c>
      <c r="FI67" s="6">
        <f>COUNTIFS(Table46[Country],Tabela1[[#This Row],[Country]],Table46[Men''s Sabre Classification],"&gt;0")</f>
        <v>0</v>
      </c>
      <c r="FJ67" s="6">
        <f>COUNTIFS(Table46[Country],Tabela1[[#This Row],[Country]],Table46[Women''s Sabre Classification],"&gt;0")</f>
        <v>0</v>
      </c>
      <c r="FK67" s="6">
        <f>COUNTIFS(Table91[Country],Tabela1[[#This Row],[Country]],Table91[Men''s Classification],"&gt;0")</f>
        <v>0</v>
      </c>
      <c r="FL67" s="6">
        <f>COUNTIFS(Table91[Country],Tabela1[[#This Row],[Country]],Table91[Women''s Classification],"&gt;0")</f>
        <v>0</v>
      </c>
      <c r="FM67" s="6">
        <f>COUNTIFS(Table9194[Country],Tabela1[[#This Row],[Country]],Table9194[Men''s Classification],"&gt;0")</f>
        <v>0</v>
      </c>
      <c r="FN67" s="6">
        <f>COUNTIFS(Table9194[Country],Tabela1[[#This Row],[Country]],Table9194[Women''s Classification],"&gt;0")</f>
        <v>0</v>
      </c>
      <c r="FO67" s="6">
        <f>COUNTIFS(Table71[Country],Tabela1[[#This Row],[Country]],Table71[Classification],"&gt;0")</f>
        <v>0</v>
      </c>
      <c r="FP67" s="6">
        <f>COUNTIFS(Table62[Country],Tabela1[[#This Row],[Country]],Table62[Classification],"&gt;0")</f>
        <v>0</v>
      </c>
      <c r="FQ67" s="6">
        <f>COUNTIFS(Table47[Country],Tabela1[[#This Row],[Country]],Table47[All-Around Classification],"&gt;0")</f>
        <v>0</v>
      </c>
      <c r="FR67" s="6">
        <f>COUNTIFS(Table48[Country],Tabela1[[#This Row],[Country]],Table48[All-Around Classification],"&gt;0")</f>
        <v>0</v>
      </c>
      <c r="FS67" s="6">
        <f>COUNTIFS(Table81[Country],Tabela1[[#This Row],[Country]],Table81[Men''s All-Around Classification],"&gt;0")</f>
        <v>0</v>
      </c>
      <c r="FT67" s="6">
        <f>COUNTIFS(Table81[Country],Tabela1[[#This Row],[Country]],Table81[Women''s All-Around Classification],"&gt;0")</f>
        <v>0</v>
      </c>
      <c r="FU67" s="6">
        <f>COUNTIFS(Table48[Country],Tabela1[[#This Row],[Country]],Table48[Balance Beam Classification],"&gt;0")</f>
        <v>0</v>
      </c>
      <c r="FV67" s="6">
        <f>COUNTIFS(Table47[Country],Tabela1[[#This Row],[Country]],Table47[Floor Exercise Classification],"&gt;0")</f>
        <v>0</v>
      </c>
      <c r="FW67" s="6">
        <f>COUNTIFS(Table48[Country],Tabela1[[#This Row],[Country]],Table48[Floor Exercise Classification],"&gt;0")</f>
        <v>0</v>
      </c>
      <c r="FX67" s="6">
        <f>COUNTIFS(Table47[Country],Tabela1[[#This Row],[Country]],Table47[Horizontal Bar Classification],"&gt;0")</f>
        <v>0</v>
      </c>
      <c r="FY67" s="6">
        <f>COUNTIFS(Table47[Country],Tabela1[[#This Row],[Country]],Table47[Parallel Bars Classification],"&gt;0")</f>
        <v>0</v>
      </c>
      <c r="FZ67" s="6">
        <f>COUNTIFS(Table47[Country],Tabela1[[#This Row],[Country]],Table47[Pommel Horse Classification],"&gt;0")</f>
        <v>1</v>
      </c>
      <c r="GA67" s="6">
        <f>COUNTIFS(Table47[Country],Tabela1[[#This Row],[Country]],Table47[Rings Classification],"&gt;0")</f>
        <v>0</v>
      </c>
      <c r="GB67" s="6">
        <f>COUNTIFS(Tabela132[Country],Tabela1[[#This Row],[Country]],Tabela132[Classification],"&gt;0")</f>
        <v>0</v>
      </c>
      <c r="GC67" s="6">
        <f>COUNTIFS(Tabela139[Country],Tabela1[[#This Row],[Country]],Tabela139[Classification],"&gt;0")</f>
        <v>0</v>
      </c>
      <c r="GD67" s="6">
        <f>COUNTIFS(Table48[Country],Tabela1[[#This Row],[Country]],Table48[Uneven Bars Classification],"&gt;0")</f>
        <v>0</v>
      </c>
      <c r="GE67" s="6">
        <f>COUNTIFS(Table47[Country],Tabela1[[#This Row],[Country]],Table47[Vault Classification],"&gt;0")</f>
        <v>0</v>
      </c>
      <c r="GF67" s="6">
        <f>COUNTIFS(Table48[Country],Tabela1[[#This Row],[Country]],Table48[Vault Classification],"&gt;0")</f>
        <v>0</v>
      </c>
      <c r="GG67" s="6">
        <f>COUNTIFS(Table919496[Country],Tabela1[[#This Row],[Country]],Table919496[Men''s Classification],"&gt;0")</f>
        <v>0</v>
      </c>
      <c r="GH67" s="6">
        <f>COUNTIFS(Table919496[Country],Tabela1[[#This Row],[Country]],Table919496[Women''s Classification],"&gt;0")</f>
        <v>0</v>
      </c>
      <c r="GI67" s="6">
        <f>COUNTIFS(Table12[Country],Tabela1[[#This Row],[Country]],Table12[60kg Classification],"&gt;0")</f>
        <v>0</v>
      </c>
      <c r="GJ67" s="6">
        <f>COUNTIFS(Table12[Country],Tabela1[[#This Row],[Country]],Table12[66kg Classification],"&gt;0")</f>
        <v>0</v>
      </c>
      <c r="GK67" s="6">
        <f>COUNTIFS(Table12[Country],Tabela1[[#This Row],[Country]],Table12[73kg Classification],"&gt;0")</f>
        <v>0</v>
      </c>
      <c r="GL67" s="6">
        <f>COUNTIFS(Table12[Country],Tabela1[[#This Row],[Country]],Table12[81kg Classification],"&gt;0")</f>
        <v>0</v>
      </c>
      <c r="GM67" s="6">
        <f>COUNTIFS(Table12[Country],Tabela1[[#This Row],[Country]],Table12[90kg Classification],"&gt;0")</f>
        <v>0</v>
      </c>
      <c r="GN67" s="6">
        <f>COUNTIFS(Table12[Country],Tabela1[[#This Row],[Country]],Table12[100kg Classification],"&gt;0")</f>
        <v>0</v>
      </c>
      <c r="GO67" s="6">
        <f>COUNTIFS(Table12[Country],Tabela1[[#This Row],[Country]],Table12[Plus 100kg Classification],"&gt;0")</f>
        <v>0</v>
      </c>
      <c r="GP67" s="6">
        <f>COUNTIFS(Table13[Country],Tabela1[[#This Row],[Country]],Table13[48kg Classification],"&gt;0")</f>
        <v>0</v>
      </c>
      <c r="GQ67" s="6">
        <f>COUNTIFS(Table13[Country],Tabela1[[#This Row],[Country]],Table13[52kg Classification],"&gt;0")</f>
        <v>0</v>
      </c>
      <c r="GR67" s="6">
        <f>COUNTIFS(Table13[Country],Tabela1[[#This Row],[Country]],Table13[57kg Classification],"&gt;0")</f>
        <v>0</v>
      </c>
      <c r="GS67" s="6">
        <f>COUNTIFS(Table13[Country],Tabela1[[#This Row],[Country]],Table13[63kg Classification],"&gt;0")</f>
        <v>0</v>
      </c>
      <c r="GT67" s="6">
        <f>COUNTIFS(Table13[Country],Tabela1[[#This Row],[Country]],Table13[70kg Classification],"&gt;0")</f>
        <v>0</v>
      </c>
      <c r="GU67" s="6">
        <f>COUNTIFS(Table13[Country],Tabela1[[#This Row],[Country]],Table13[78kg Classification],"&gt;0")</f>
        <v>0</v>
      </c>
      <c r="GV67" s="6">
        <f>COUNTIFS(Table13[Country],Tabela1[[#This Row],[Country]],Table13[Plus 78kg Classification],"&gt;0")</f>
        <v>0</v>
      </c>
      <c r="GW67" s="6">
        <f>COUNTIFS(Table82[Country],Tabela1[[#This Row],[Country]],Table82[Mixed Classification],"&gt;0")</f>
        <v>0</v>
      </c>
      <c r="GX67" s="6">
        <f>COUNTIFS(Table51[Country],Tabela1[[#This Row],[Country]],Table51[Classification],"&gt;0")</f>
        <v>0</v>
      </c>
      <c r="GY67" s="6">
        <f>COUNTIFS(Table52[Country],Tabela1[[#This Row],[Country]],Table52[Classification],"&gt;0")</f>
        <v>0</v>
      </c>
      <c r="GZ67" s="6">
        <f>COUNTIFS(Table32[Country],Tabela1[[#This Row],[Country]],Table32[All-Around Classification],"&gt;0")</f>
        <v>0</v>
      </c>
      <c r="HA67" s="6">
        <f>COUNTIFS(Table49[Country],Tabela1[[#This Row],[Country]],Table49[All-Around Classification],"&gt;0")</f>
        <v>0</v>
      </c>
      <c r="HB67" s="6">
        <f>COUNTIFS(Table26[Country],Tabela1[[#This Row],[Country]],Table26[Single Sculls Classification],"&gt;0")</f>
        <v>0</v>
      </c>
      <c r="HC67" s="6">
        <f>COUNTIFS(Table63[Country],Tabela1[[#This Row],[Country]],Table63[Single Sculls Classification],"&gt;0")</f>
        <v>0</v>
      </c>
      <c r="HD67" s="6">
        <f>COUNTIFS(Table16[Country],Tabela1[[#This Row],[Country]],Table16[Men''s Double Sculls Classification],"&gt;0")</f>
        <v>0</v>
      </c>
      <c r="HE67" s="6">
        <f>COUNTIFS(Table16[Country],Tabela1[[#This Row],[Country]],Table16[Women''s Double Sculls Classification],"&gt;0")</f>
        <v>0</v>
      </c>
      <c r="HF67" s="6">
        <f>COUNTIFS(Table72[Country],Tabela1[[#This Row],[Country]],Table72[Men''s Quadruple Sculls Classification],"&gt;0")</f>
        <v>0</v>
      </c>
      <c r="HG67" s="6">
        <f>COUNTIFS(Table72[Country],Tabela1[[#This Row],[Country]],Table72[Women''s Quadruple Sculls Classification],"&gt;0")</f>
        <v>0</v>
      </c>
      <c r="HH67" s="6">
        <f>COUNTIFS(Table16[Country],Tabela1[[#This Row],[Country]],Table16[Men''s Coxless Pairs Classification],"&gt;0")</f>
        <v>0</v>
      </c>
      <c r="HI67" s="6">
        <f>COUNTIFS(Table16[Country],Tabela1[[#This Row],[Country]],Table16[Women''s Coxless Pairs Classification],"&gt;0")</f>
        <v>0</v>
      </c>
      <c r="HJ67" s="6">
        <f>COUNTIFS(Table72[Country],Tabela1[[#This Row],[Country]],Table72[Men''s Coxless Fours Classification],"&gt;0")</f>
        <v>0</v>
      </c>
      <c r="HK67" s="6">
        <f>COUNTIFS(Table72[Country],Tabela1[[#This Row],[Country]],Table72[Women''s Coxless Fours Classification],"&gt;0")</f>
        <v>0</v>
      </c>
      <c r="HL67" s="6">
        <f>COUNTIFS(Table72[Country],Tabela1[[#This Row],[Country]],Table72[Men''s Eights Classification],"&gt;0")</f>
        <v>0</v>
      </c>
      <c r="HM67" s="6">
        <f>COUNTIFS(Table72[Country],Tabela1[[#This Row],[Country]],Table72[Women''s Eights Classification],"&gt;0")</f>
        <v>0</v>
      </c>
      <c r="HN67" s="6">
        <f>COUNTIFS(Table16[Country],Tabela1[[#This Row],[Country]],Table16[Men''s Lwt. Double Sculls Classification],"&gt;0")</f>
        <v>0</v>
      </c>
      <c r="HO67" s="6">
        <f>COUNTIFS(Table16[Country],Tabela1[[#This Row],[Country]],Table16[Women''s Lwt. Double Sculls Classification],"&gt;0")</f>
        <v>0</v>
      </c>
      <c r="HP67" s="6">
        <f>COUNTIFS(Table91949698[Country],Tabela1[[#This Row],[Country]],Table91949698[Men''s Classification],"&gt;0")</f>
        <v>0</v>
      </c>
      <c r="HQ67" s="6">
        <f>COUNTIFS(Table91949698[Country],Tabela1[[#This Row],[Country]],Table91949698[Women''s Classification],"&gt;0")</f>
        <v>0</v>
      </c>
      <c r="HR67" s="6">
        <f>COUNTIFS(Table25[Country],Tabela1[[#This Row],[Country]],Table25[Mixed 470 Classification],"&gt;0")</f>
        <v>0</v>
      </c>
      <c r="HS67" s="6">
        <f>COUNTIFS(Table25[Country],Tabela1[[#This Row],[Country]],Table25[Men''s 49er Classification],"&gt;0")</f>
        <v>0</v>
      </c>
      <c r="HT67" s="6">
        <f>COUNTIFS(Table25[Country],Tabela1[[#This Row],[Country]],Table25[Women''s 49er FX Classification],"&gt;0")</f>
        <v>0</v>
      </c>
      <c r="HU67" s="6">
        <f>COUNTIFS(Table17[Country],Tabela1[[#This Row],[Country]],Table17[Formula Kite Classification],"&gt;0")</f>
        <v>0</v>
      </c>
      <c r="HV67" s="6">
        <f>COUNTIFS(Table18[Country],Tabela1[[#This Row],[Country]],Table18[Formula Kite Classification],"&gt;0")</f>
        <v>0</v>
      </c>
      <c r="HW67" s="6">
        <f>COUNTIFS(Table17[Country],Tabela1[[#This Row],[Country]],Table17[ILCA 7 Classification],"&gt;0")</f>
        <v>0</v>
      </c>
      <c r="HX67" s="6">
        <f>COUNTIFS(Table18[Country],Tabela1[[#This Row],[Country]],Table18[ILCA 6 Classification],"&gt;0")</f>
        <v>0</v>
      </c>
      <c r="HY67" s="6">
        <f>COUNTIFS(Table17[Country],Tabela1[[#This Row],[Country]],Table17[IQFoil Classification],"&gt;0")</f>
        <v>0</v>
      </c>
      <c r="HZ67" s="6">
        <f>COUNTIFS(Table18[Country],Tabela1[[#This Row],[Country]],Table18[IQFoil Classification],"&gt;0")</f>
        <v>0</v>
      </c>
      <c r="IA67" s="6">
        <f>COUNTIFS(Table25[Country],Tabela1[[#This Row],[Country]],Table25[Mixed Nacra 17 Classification],"&gt;0")</f>
        <v>0</v>
      </c>
      <c r="IB67" s="6">
        <f>COUNTIFS(Table53[Country],Tabela1[[#This Row],[Country]],Table53[10m Air Pistol Classification],"&gt;0")</f>
        <v>0</v>
      </c>
      <c r="IC67" s="6">
        <f>COUNTIFS(Table19[Country],Tabela1[[#This Row],[Country]],Table19[10m Air Pistol Classification],"&gt;0")</f>
        <v>0</v>
      </c>
      <c r="ID67" s="6">
        <f>COUNTIFS(Table54[Country],Tabela1[[#This Row],[Country]],Table54[Mixed 10m Air Pistol Team Classification],"&gt;0")</f>
        <v>0</v>
      </c>
      <c r="IE67" s="6">
        <f>COUNTIFS(Table53[Country],Tabela1[[#This Row],[Country]],Table53[10m Air Rifle Classification],"&gt;0")</f>
        <v>0</v>
      </c>
      <c r="IF67" s="6">
        <f>COUNTIFS(Table19[Country],Tabela1[[#This Row],[Country]],Table19[10m Air Rifle Classification],"&gt;0")</f>
        <v>0</v>
      </c>
      <c r="IG67" s="6">
        <f>COUNTIFS(Table54[Country],Tabela1[[#This Row],[Country]],Table54[Mixed 10m Air Rifle Team Classification],"&gt;0")</f>
        <v>0</v>
      </c>
      <c r="IH67" s="6">
        <f>COUNTIFS(Table53[Country],Tabela1[[#This Row],[Country]],Table53[25m Rapid Fire Pistol Classification],"&gt;0")</f>
        <v>0</v>
      </c>
      <c r="II67" s="6">
        <f>COUNTIFS(Table19[Country],Tabela1[[#This Row],[Country]],Table19[25m Pistol Classification],"&gt;0")</f>
        <v>0</v>
      </c>
      <c r="IJ67" s="6">
        <f>COUNTIFS(Table53[Country],Tabela1[[#This Row],[Country]],Table53[50m Rifle 3 Positions Classification],"&gt;0")</f>
        <v>0</v>
      </c>
      <c r="IK67" s="6">
        <f>COUNTIFS(Table19[Country],Tabela1[[#This Row],[Country]],Table19[50m Rifle 3 Positions Classification],"&gt;0")</f>
        <v>0</v>
      </c>
      <c r="IL67" s="6">
        <f>COUNTIFS(Table53[Country],Tabela1[[#This Row],[Country]],Table53[Skeet Classification],"&gt;0")</f>
        <v>0</v>
      </c>
      <c r="IM67" s="6">
        <f>COUNTIFS(Table19[Country],Tabela1[[#This Row],[Country]],Table19[Skeet Classification],"&gt;0")</f>
        <v>0</v>
      </c>
      <c r="IN67" s="6">
        <f>COUNTIFS(Table54[Country],Tabela1[[#This Row],[Country]],Table54[Mixed Skeet Team Classification],"&gt;0")</f>
        <v>0</v>
      </c>
      <c r="IO67" s="6">
        <f>COUNTIFS(Table53[Country],Tabela1[[#This Row],[Country]],Table53[Trap Classification],"&gt;0")</f>
        <v>0</v>
      </c>
      <c r="IP67" s="6">
        <f>COUNTIFS(Table19[Country],Tabela1[[#This Row],[Country]],Table19[Trap Classification],"&gt;0")</f>
        <v>0</v>
      </c>
      <c r="IQ67" s="6">
        <f>COUNTIFS(Table73[Country],Tabela1[[#This Row],[Country]],Table73[Park Classification],"&gt;0")</f>
        <v>0</v>
      </c>
      <c r="IR67" s="6">
        <f>COUNTIFS(Table74[Country],Tabela1[[#This Row],[Country]],Table74[Park Classification],"&gt;0")</f>
        <v>0</v>
      </c>
      <c r="IS67" s="6">
        <f>COUNTIFS(Table73[Country],Tabela1[[#This Row],[Country]],Table73[Street Classification],"&gt;0")</f>
        <v>0</v>
      </c>
      <c r="IT67" s="6">
        <f>COUNTIFS(Table74[Country],Tabela1[[#This Row],[Country]],Table74[Street Classification],"&gt;0")</f>
        <v>0</v>
      </c>
      <c r="IU67" s="6">
        <f>COUNTIFS(Table75[Country],Tabela1[[#This Row],[Country]],Table75[Boulder and Lead Classification],"&gt;0")</f>
        <v>0</v>
      </c>
      <c r="IV67" s="6">
        <f>COUNTIFS(Table76[Country],Tabela1[[#This Row],[Country]],Table76[Boulder and Lead Classification],"&gt;0")</f>
        <v>0</v>
      </c>
      <c r="IW67" s="6">
        <f>COUNTIFS(Table75[Country],Tabela1[[#This Row],[Country]],Table75[Speed Classification],"&gt;0")</f>
        <v>0</v>
      </c>
      <c r="IX67" s="6">
        <f>COUNTIFS(Table76[Country],Tabela1[[#This Row],[Country]],Table76[Speed Classification],"&gt;0")</f>
        <v>0</v>
      </c>
      <c r="IY67" s="6">
        <f>COUNTIFS(Table64[Country],Tabela1[[#This Row],[Country]],Table64[Shortboard Classification],"&gt;0")</f>
        <v>0</v>
      </c>
      <c r="IZ67" s="6">
        <f>COUNTIFS(Table77[Country],Tabela1[[#This Row],[Country]],Table77[Shortboard Classification],"&gt;0")</f>
        <v>0</v>
      </c>
      <c r="JA67" s="6">
        <f>COUNTIFS(Table20[Country],Tabela1[[#This Row],[Country]],Table20[50m Freestyle Classification],"&gt;0")</f>
        <v>0</v>
      </c>
      <c r="JB67" s="6">
        <f>COUNTIFS(Table21[Country],Tabela1[[#This Row],[Country]],Table21[50m Freestyle Classification],"&gt;0")</f>
        <v>0</v>
      </c>
      <c r="JC67" s="6">
        <f>COUNTIFS(Table20[Country],Tabela1[[#This Row],[Country]],Table20[100m Freestyle Classification],"&gt;0")</f>
        <v>0</v>
      </c>
      <c r="JD67" s="6">
        <f>COUNTIFS(Table21[Country],Tabela1[[#This Row],[Country]],Table21[100m Freestyle Classification],"&gt;0")</f>
        <v>0</v>
      </c>
      <c r="JE67" s="6">
        <f>COUNTIFS(Table20[Country],Tabela1[[#This Row],[Country]],Table20[200m Freestyle Classification],"&gt;0")</f>
        <v>0</v>
      </c>
      <c r="JF67" s="6">
        <f>COUNTIFS(Table21[Country],Tabela1[[#This Row],[Country]],Table21[200m Freestyle Classification],"&gt;0")</f>
        <v>0</v>
      </c>
      <c r="JG67" s="6">
        <f>COUNTIFS(Table20[Country],Tabela1[[#This Row],[Country]],Table20[400m Freestyle Classification],"&gt;0")</f>
        <v>0</v>
      </c>
      <c r="JH67" s="6">
        <f>COUNTIFS(Table21[Country],Tabela1[[#This Row],[Country]],Table21[400m Freestyle Classification],"&gt;0")</f>
        <v>1</v>
      </c>
      <c r="JI67" s="6">
        <f>COUNTIFS(Table20[Country],Tabela1[[#This Row],[Country]],Table20[800m Freestyle Classification],"&gt;0")</f>
        <v>0</v>
      </c>
      <c r="JJ67" s="6">
        <f>COUNTIFS(Table21[Country],Tabela1[[#This Row],[Country]],Table21[800m Freestyle Classification],"&gt;0")</f>
        <v>0</v>
      </c>
      <c r="JK67" s="6">
        <f>COUNTIFS(Table20[Country],Tabela1[[#This Row],[Country]],Table20[1500m Freestyle Classification],"&gt;0")</f>
        <v>0</v>
      </c>
      <c r="JL67" s="6">
        <f>COUNTIFS(Table21[Country],Tabela1[[#This Row],[Country]],Table21[1500m Freestyle Classification],"&gt;0")</f>
        <v>0</v>
      </c>
      <c r="JM67" s="6">
        <f>COUNTIFS(Table20[Country],Tabela1[[#This Row],[Country]],Table20[100m Backstroke Classification],"&gt;0")</f>
        <v>0</v>
      </c>
      <c r="JN67" s="6">
        <f>COUNTIFS(Table21[Country],Tabela1[[#This Row],[Country]],Table21[100m Backstroke Classification],"&gt;0")</f>
        <v>0</v>
      </c>
      <c r="JO67" s="6">
        <f>COUNTIFS(Table20[Country],Tabela1[[#This Row],[Country]],Table20[200m Backstroke Classification],"&gt;0")</f>
        <v>0</v>
      </c>
      <c r="JP67" s="6">
        <f>COUNTIFS(Table21[Country],Tabela1[[#This Row],[Country]],Table21[200m Backstroke Classification],"&gt;0")</f>
        <v>0</v>
      </c>
      <c r="JQ67" s="6">
        <f>COUNTIFS(Table20[Country],Tabela1[[#This Row],[Country]],Table20[100m Breaststroke Classification],"&gt;0")</f>
        <v>0</v>
      </c>
      <c r="JR67" s="6">
        <f>COUNTIFS(Table21[Country],Tabela1[[#This Row],[Country]],Table21[100m Breaststroke Classification],"&gt;0")</f>
        <v>0</v>
      </c>
      <c r="JS67" s="6">
        <f>COUNTIFS(Table20[Country],Tabela1[[#This Row],[Country]],Table20[200m Breaststroke Classification],"&gt;0")</f>
        <v>0</v>
      </c>
      <c r="JT67" s="6">
        <f>COUNTIFS(Table21[Country],Tabela1[[#This Row],[Country]],Table21[200m Breaststroke Classification],"&gt;0")</f>
        <v>0</v>
      </c>
      <c r="JU67" s="6">
        <f>COUNTIFS(Table20[Country],Tabela1[[#This Row],[Country]],Table20[100m Butterfly Classification],"&gt;0")</f>
        <v>0</v>
      </c>
      <c r="JV67" s="6">
        <f>COUNTIFS(Table21[Country],Tabela1[[#This Row],[Country]],Table21[100m Butterfly Classification],"&gt;0")</f>
        <v>0</v>
      </c>
      <c r="JW67" s="6">
        <f>COUNTIFS(Table20[Country],Tabela1[[#This Row],[Country]],Table20[200m Butterfly Classification],"&gt;0")</f>
        <v>0</v>
      </c>
      <c r="JX67" s="6">
        <f>COUNTIFS(Table21[Country],Tabela1[[#This Row],[Country]],Table21[200m Butterfly Classification],"&gt;0")</f>
        <v>0</v>
      </c>
      <c r="JY67" s="6">
        <f>COUNTIFS(Table20[Country],Tabela1[[#This Row],[Country]],Table20[200m Medley Classification],"&gt;0")</f>
        <v>0</v>
      </c>
      <c r="JZ67" s="6">
        <f>COUNTIFS(Table21[Country],Tabela1[[#This Row],[Country]],Table21[200m Medley Classification],"&gt;0")</f>
        <v>0</v>
      </c>
      <c r="KA67" s="6">
        <f>COUNTIFS(Table20[Country],Tabela1[[#This Row],[Country]],Table20[400m Medley Classification],"&gt;0")</f>
        <v>0</v>
      </c>
      <c r="KB67" s="6">
        <f>COUNTIFS(Table21[Country],Tabela1[[#This Row],[Country]],Table21[400m Medley Classification],"&gt;0")</f>
        <v>0</v>
      </c>
      <c r="KC67" s="6">
        <f>COUNTIFS(Table78[Country],Tabela1[[#This Row],[Country]],Table78[Men''s 4x100m Freestyle Relay Classification],"&gt;0")</f>
        <v>0</v>
      </c>
      <c r="KD67" s="6">
        <f>COUNTIFS(Table78[Country],Tabela1[[#This Row],[Country]],Table78[Women''s 4x100m Freestyle Relay Classification],"&gt;0")</f>
        <v>0</v>
      </c>
      <c r="KE67" s="6">
        <f>COUNTIFS(Table78[Country],Tabela1[[#This Row],[Country]],Table78[Men''s 4x200m Freestyle Relay Classification],"&gt;0")</f>
        <v>0</v>
      </c>
      <c r="KF67" s="6">
        <f>COUNTIFS(Table78[Country],Tabela1[[#This Row],[Country]],Table78[Women''s 4x200m Freestyle Relay Classification],"&gt;0")</f>
        <v>0</v>
      </c>
      <c r="KG67" s="6">
        <f>COUNTIFS(Table78[Country],Tabela1[[#This Row],[Country]],Table78[Men''s 4x100m Medley Relay Classification],"&gt;0")</f>
        <v>0</v>
      </c>
      <c r="KH67" s="6">
        <f>COUNTIFS(Table78[Country],Tabela1[[#This Row],[Country]],Table78[Women''s 4x100m Medley Relay Classification],"&gt;0")</f>
        <v>0</v>
      </c>
      <c r="KI67" s="6">
        <f>COUNTIFS(Table78[Country],Tabela1[[#This Row],[Country]],Table78[Mixed 4x100m Medley Relay Classification],"&gt;0")</f>
        <v>0</v>
      </c>
      <c r="KJ67" s="6">
        <f>COUNTIFS(Table20[Country],Tabela1[[#This Row],[Country]],Table20[10km Open Water Classification],"&gt;0")</f>
        <v>0</v>
      </c>
      <c r="KK67" s="6">
        <f>COUNTIFS(Table21[Country],Tabela1[[#This Row],[Country]],Table21[10km Open Water Classification],"&gt;0")</f>
        <v>0</v>
      </c>
      <c r="KL67" s="6">
        <f>COUNTIFS(Table22[Country],Tabela1[[#This Row],[Country]],Table22[Classification],"&gt;0")</f>
        <v>1</v>
      </c>
      <c r="KM67" s="6">
        <f>COUNTIFS(Table30[Country],Tabela1[[#This Row],[Country]],Table30[Classification],"&gt;0")</f>
        <v>0</v>
      </c>
      <c r="KN67" s="6">
        <f>COUNTIFS(Table55[Country],Tabela1[[#This Row],[Country]],Table55[Men''s Classification],"&gt;0")</f>
        <v>0</v>
      </c>
      <c r="KO67" s="6">
        <f>COUNTIFS(Table55[Country],Tabela1[[#This Row],[Country]],Table55[Women''s Classification],"&gt;0")</f>
        <v>0</v>
      </c>
      <c r="KP67" s="6">
        <f>COUNTIFS(Table56[Country],Tabela1[[#This Row],[Country]],Table56[Mixed Classification],"&gt;0")</f>
        <v>0</v>
      </c>
      <c r="KQ67" s="6">
        <f>COUNTIFS(Table29[Country],Tabela1[[#This Row],[Country]],Table29[58kg Classification],"&gt;0")</f>
        <v>0</v>
      </c>
      <c r="KR67" s="6">
        <f>COUNTIFS(Table29[Country],Tabela1[[#This Row],[Country]],Table29[68kg Classification],"&gt;0")</f>
        <v>1</v>
      </c>
      <c r="KS67" s="6">
        <f>COUNTIFS(Table29[Country],Tabela1[[#This Row],[Country]],Table29[80kg Classification],"&gt;0")</f>
        <v>0</v>
      </c>
      <c r="KT67" s="6">
        <f>COUNTIFS(Table29[Country],Tabela1[[#This Row],[Country]],Table29[Plus 80kg Classification],"&gt;0")</f>
        <v>0</v>
      </c>
      <c r="KU67" s="6">
        <f>COUNTIFS(Table34[Country],Tabela1[[#This Row],[Country]],Table34[49kg Classification],"&gt;0")</f>
        <v>0</v>
      </c>
      <c r="KV67" s="6">
        <f>COUNTIFS(Table34[Country],Tabela1[[#This Row],[Country]],Table34[57kg Classification],"&gt;0")</f>
        <v>0</v>
      </c>
      <c r="KW67" s="6">
        <f>COUNTIFS(Table34[Country],Tabela1[[#This Row],[Country]],Table34[67kg Classification],"&gt;0")</f>
        <v>1</v>
      </c>
      <c r="KX67" s="6">
        <f>COUNTIFS(Table34[Country],Tabela1[[#This Row],[Country]],Table34[Plus 67kg Classification],"&gt;0")</f>
        <v>0</v>
      </c>
      <c r="KY67" s="6">
        <f>COUNTIFS(Table57[Country],Tabela1[[#This Row],[Country]],Table57[Classification],"&gt;0")</f>
        <v>0</v>
      </c>
      <c r="KZ67" s="6">
        <f>COUNTIFS(Table58[Country],Tabela1[[#This Row],[Country]],Table58[Classification],"&gt;0")</f>
        <v>0</v>
      </c>
      <c r="LA67" s="6">
        <f>COUNTIFS(Table79[Country],Tabela1[[#This Row],[Country]],Table79[Men''s Classification],"&gt;0")</f>
        <v>0</v>
      </c>
      <c r="LB67" s="6">
        <f>COUNTIFS(Table79[Country],Tabela1[[#This Row],[Country]],Table79[Women''s Classification],"&gt;0")</f>
        <v>0</v>
      </c>
      <c r="LC67" s="6">
        <f>COUNTIFS(Table79[Country],Tabela1[[#This Row],[Country]],Table79[Mixed Classification],"&gt;0")</f>
        <v>0</v>
      </c>
      <c r="LD67" s="6">
        <f>COUNTIFS(Table65[Country],Tabela1[[#This Row],[Country]],Table65[Classification],"&gt;0")</f>
        <v>0</v>
      </c>
      <c r="LE67" s="6">
        <f>COUNTIFS(Table59[Country],Tabela1[[#This Row],[Country]],Table59[Classification],"&gt;0")</f>
        <v>0</v>
      </c>
      <c r="LF67" s="6">
        <f>COUNTIFS(Table87[Country],Tabela1[[#This Row],[Country]],Table87[Mixed Relay Classification],"&gt;0")</f>
        <v>0</v>
      </c>
      <c r="LG67" s="6">
        <f>COUNTIFS(Table91949698100[Country],Tabela1[[#This Row],[Country]],Table91949698100[Men''s Classification],"&gt;0")</f>
        <v>0</v>
      </c>
      <c r="LH67" s="6">
        <f>COUNTIFS(Table91949698100[Country],Tabela1[[#This Row],[Country]],Table91949698100[Women''s Classification],"&gt;0")</f>
        <v>0</v>
      </c>
      <c r="LI67" s="6">
        <f>COUNTIFS(Table91949698100102[Country],Tabela1[[#This Row],[Country]],Table91949698100102[Men''s Classification],"&gt;0")</f>
        <v>0</v>
      </c>
      <c r="LJ67" s="6">
        <f>COUNTIFS(Table91949698100102[Country],Tabela1[[#This Row],[Country]],Table91949698100102[Women''s Classification],"&gt;0")</f>
        <v>0</v>
      </c>
      <c r="LK67" s="6">
        <f>COUNTIFS(Table23[Country],Tabela1[[#This Row],[Country]],Table23[61kg Classification],"&gt;0")</f>
        <v>0</v>
      </c>
      <c r="LL67" s="6">
        <f>COUNTIFS(Table23[Country],Tabela1[[#This Row],[Country]],Table23[73kg Classification],"&gt;0")</f>
        <v>0</v>
      </c>
      <c r="LM67" s="6">
        <f>COUNTIFS(Table23[Country],Tabela1[[#This Row],[Country]],Table23[89kg Classification],"&gt;0")</f>
        <v>0</v>
      </c>
      <c r="LN67" s="6">
        <f>COUNTIFS(Table23[Country],Tabela1[[#This Row],[Country]],Table23[102kg Classification],"&gt;0")</f>
        <v>0</v>
      </c>
      <c r="LO67" s="6">
        <f>COUNTIFS(Table23[Country],Tabela1[[#This Row],[Country]],Table23[Plus 102kg Classification],"&gt;0")</f>
        <v>0</v>
      </c>
      <c r="LP67" s="6">
        <f>COUNTIFS(Table28[Country],Tabela1[[#This Row],[Country]],Table28[49kg Classification],"&gt;0")</f>
        <v>0</v>
      </c>
      <c r="LQ67" s="6">
        <f>COUNTIFS(Table28[Country],Tabela1[[#This Row],[Country]],Table28[59kg Classification],"&gt;0")</f>
        <v>0</v>
      </c>
      <c r="LR67" s="6">
        <f>COUNTIFS(Table28[Country],Tabela1[[#This Row],[Country]],Table28[71kg Classification],"&gt;0")</f>
        <v>0</v>
      </c>
      <c r="LS67" s="6">
        <f>COUNTIFS(Table28[Country],Tabela1[[#This Row],[Country]],Table28[81kg Classification],"&gt;0")</f>
        <v>0</v>
      </c>
      <c r="LT67" s="6">
        <f>COUNTIFS(Table28[Country],Tabela1[[#This Row],[Country]],Table28[Plus 81kg Classification],"&gt;0")</f>
        <v>0</v>
      </c>
      <c r="LU67" s="6">
        <f>COUNTIFS(Table24[Country],Tabela1[[#This Row],[Country]],Table24[Freestyle 57kg Classification],"&gt;0")</f>
        <v>0</v>
      </c>
      <c r="LV67" s="6">
        <f>COUNTIFS(Table24[Country],Tabela1[[#This Row],[Country]],Table24[Freestyle 65kg Classification],"&gt;0")</f>
        <v>0</v>
      </c>
      <c r="LW67" s="6">
        <f>COUNTIFS(Table24[Country],Tabela1[[#This Row],[Country]],Table24[Freestyle 74kg Classification],"&gt;0")</f>
        <v>0</v>
      </c>
      <c r="LX67" s="6">
        <f>COUNTIFS(Table24[Country],Tabela1[[#This Row],[Country]],Table24[Freestyle 86kg Classification],"&gt;0")</f>
        <v>0</v>
      </c>
      <c r="LY67" s="6">
        <f>COUNTIFS(Table24[Country],Tabela1[[#This Row],[Country]],Table24[Freestyle 97kg Classification],"&gt;0")</f>
        <v>0</v>
      </c>
      <c r="LZ67" s="6">
        <f>COUNTIFS(Table24[Country],Tabela1[[#This Row],[Country]],Table24[Freestyle 125kg Classification],"&gt;0")</f>
        <v>0</v>
      </c>
      <c r="MA67" s="6">
        <f>COUNTIFS(Table24[Country],Tabela1[[#This Row],[Country]],Table24[Greco-Roman 60kg Classification],"&gt;0")</f>
        <v>0</v>
      </c>
      <c r="MB67" s="6">
        <f>COUNTIFS(Table24[Country],Tabela1[[#This Row],[Country]],Table24[Greco-Roman 67kg Classification],"&gt;0")</f>
        <v>0</v>
      </c>
      <c r="MC67" s="6">
        <f>COUNTIFS(Table24[Country],Tabela1[[#This Row],[Country]],Table24[Greco-Roman 77kg Classification],"&gt;0")</f>
        <v>0</v>
      </c>
      <c r="MD67" s="6">
        <f>COUNTIFS(Table24[Country],Tabela1[[#This Row],[Country]],Table24[Greco-Roman 87kg Classification],"&gt;0")</f>
        <v>0</v>
      </c>
      <c r="ME67" s="6">
        <f>COUNTIFS(Table24[Country],Tabela1[[#This Row],[Country]],Table24[Greco-Roman 97kg Classification],"&gt;0")</f>
        <v>0</v>
      </c>
      <c r="MF67" s="6">
        <f>COUNTIFS(Table24[Country],Tabela1[[#This Row],[Country]],Table24[Greco-Roman 130kg Classification],"&gt;0")</f>
        <v>0</v>
      </c>
      <c r="MG67" s="6">
        <f>COUNTIFS(Table31[Country],Tabela1[[#This Row],[Country]],Table31[50kg Classification],"&gt;0")</f>
        <v>0</v>
      </c>
      <c r="MH67" s="6">
        <f>COUNTIFS(Table31[Country],Tabela1[[#This Row],[Country]],Table31[53kg Classification],"&gt;0")</f>
        <v>0</v>
      </c>
      <c r="MI67" s="6">
        <f>COUNTIFS(Table31[Country],Tabela1[[#This Row],[Country]],Table31[57kg Classification],"&gt;0")</f>
        <v>0</v>
      </c>
      <c r="MJ67" s="6">
        <f>COUNTIFS(Table31[Country],Tabela1[[#This Row],[Country]],Table31[62kg Classification],"&gt;0")</f>
        <v>0</v>
      </c>
      <c r="MK67" s="6">
        <f>COUNTIFS(Table31[Country],Tabela1[[#This Row],[Country]],Table31[68kg Classification],"&gt;0")</f>
        <v>0</v>
      </c>
      <c r="ML67" s="6">
        <f>COUNTIFS(Table31[Country],Tabela1[[#This Row],[Country]],Table31[76kg Classification],"&gt;0")</f>
        <v>0</v>
      </c>
      <c r="MM67" s="6">
        <f>COUNTIFS(Table102[Country],Tabela1[[#This Row],[Country]],Table102[Downhill Classification],"&gt;0")</f>
        <v>0</v>
      </c>
      <c r="MN67" s="6">
        <f>COUNTIFS(Table102105[Country],Tabela1[[#This Row],[Country]],Table102105[Downhill Classification],"&gt;0")</f>
        <v>0</v>
      </c>
      <c r="MO67" s="6">
        <f>COUNTIFS(Table102[Country],Tabela1[[#This Row],[Country]],Table102[Giant Slalom Classification],"&gt;0")</f>
        <v>0</v>
      </c>
      <c r="MP67" s="6">
        <f>COUNTIFS(Table102105[Country],Tabela1[[#This Row],[Country]],Table102105[Giant Slalom Classification],"&gt;0")</f>
        <v>0</v>
      </c>
      <c r="MQ67" s="6">
        <f>COUNTIFS(Table102[Country],Tabela1[[#This Row],[Country]],Table102[Slalom Classification],"&gt;0")</f>
        <v>0</v>
      </c>
      <c r="MR67" s="6">
        <f>COUNTIFS(Table102105[Country],Tabela1[[#This Row],[Country]],Table102105[Slalom Classification],"&gt;0")</f>
        <v>0</v>
      </c>
      <c r="MS67" s="6">
        <f>COUNTIFS(Table102[Country],Tabela1[[#This Row],[Country]],Table102[Super-G Classification],"&gt;0")</f>
        <v>0</v>
      </c>
      <c r="MT67" s="6">
        <f>COUNTIFS(Table102105[Country],Tabela1[[#This Row],[Country]],Table102105[Super-G Classification],"&gt;0")</f>
        <v>0</v>
      </c>
      <c r="MU67" s="6">
        <f>COUNTIFS(Table105[Country],Tabela1[[#This Row],[Country]],Table105[Men''s Combined Classification],"&gt;0")</f>
        <v>0</v>
      </c>
      <c r="MV67" s="6">
        <f>COUNTIFS(Table105[Country],Tabela1[[#This Row],[Country]],Table105[Women''s Combined Classification],"&gt;0")</f>
        <v>0</v>
      </c>
      <c r="MW67" s="6">
        <f>COUNTIFS(Table106[Country],Tabela1[[#This Row],[Country]],Table106[Individual Classification],"&gt;0")</f>
        <v>0</v>
      </c>
      <c r="MX67" s="6">
        <f>COUNTIFS(Table106109[Country],Tabela1[[#This Row],[Country]],Table106109[Individual Classification],"&gt;0")</f>
        <v>0</v>
      </c>
      <c r="MY67" s="6">
        <f>COUNTIFS(Table106[Country],Tabela1[[#This Row],[Country]],Table106[Mass Start Classification],"&gt;0")</f>
        <v>0</v>
      </c>
      <c r="MZ67" s="6">
        <f>COUNTIFS(Table106109[Country],Tabela1[[#This Row],[Country]],Table106109[Mass Start Classification],"&gt;0")</f>
        <v>0</v>
      </c>
      <c r="NA67" s="6">
        <f>COUNTIFS(Table106[Country],Tabela1[[#This Row],[Country]],Table106[Pursuit Classification],"&gt;0")</f>
        <v>0</v>
      </c>
      <c r="NB67" s="6">
        <f>COUNTIFS(Table106109[Country],Tabela1[[#This Row],[Country]],Table106109[Pursuit Classification],"&gt;0")</f>
        <v>0</v>
      </c>
      <c r="NC67" s="6">
        <f>COUNTIFS(Table106[Country],Tabela1[[#This Row],[Country]],Table106[Sprint Classification],"&gt;0")</f>
        <v>0</v>
      </c>
      <c r="ND67" s="6">
        <f>COUNTIFS(Table106109[Country],Tabela1[[#This Row],[Country]],Table106109[Sprint Classification],"&gt;0")</f>
        <v>0</v>
      </c>
      <c r="NE67" s="6">
        <f>COUNTIFS(Table109[Country],Tabela1[[#This Row],[Country]],Table109[Men''s Relay Classification],"&gt;0")</f>
        <v>0</v>
      </c>
      <c r="NF67" s="6">
        <f>COUNTIFS(Table109[Country],Tabela1[[#This Row],[Country]],Table109[Women''s Relay Classification],"&gt;0")</f>
        <v>0</v>
      </c>
      <c r="NG67" s="6">
        <f>COUNTIFS(Table109[Country],Tabela1[[#This Row],[Country]],Table109[Mixed Relay Classification],"&gt;0")</f>
        <v>0</v>
      </c>
      <c r="NH67" s="6">
        <f>COUNTIFS(Table110[Country],Tabela1[[#This Row],[Country]],Table110[Monobob Classification],"&gt;0")</f>
        <v>0</v>
      </c>
      <c r="NI67" s="6">
        <f>COUNTIFS(Table111[Country],Tabela1[[#This Row],[Country]],Table111[Men''s Classification],"&gt;0")</f>
        <v>0</v>
      </c>
      <c r="NJ67" s="6">
        <f>COUNTIFS(Table111[Country],Tabela1[[#This Row],[Country]],Table111[Women''s Classification],"&gt;0")</f>
        <v>0</v>
      </c>
      <c r="NK67" s="6">
        <f>COUNTIFS(Table112[Country],Tabela1[[#This Row],[Country]],Table112[Men''s Four Classification],"&gt;0")</f>
        <v>0</v>
      </c>
      <c r="NL67" s="6">
        <f>COUNTIFS(Table113[Country],Tabela1[[#This Row],[Country]],Table113[Classical Classification],"&gt;0")</f>
        <v>0</v>
      </c>
      <c r="NM67" s="6">
        <f>COUNTIFS(Table113116[Country],Tabela1[[#This Row],[Country]],Table113116[Classical Classification],"&gt;0")</f>
        <v>0</v>
      </c>
      <c r="NN67" s="6">
        <f>COUNTIFS(Table113[Country],Tabela1[[#This Row],[Country]],Table113[Freestyle Classification],"&gt;0")</f>
        <v>0</v>
      </c>
      <c r="NO67" s="6">
        <f>COUNTIFS(Table113116[Country],Tabela1[[#This Row],[Country]],Table113116[Freestyle Classification],"&gt;0")</f>
        <v>0</v>
      </c>
      <c r="NP67" s="6">
        <f>COUNTIFS(Table117[Country],Tabela1[[#This Row],[Country]],Table117[Men''s Relay Classification],"&gt;0")</f>
        <v>0</v>
      </c>
      <c r="NQ67" s="6">
        <f>COUNTIFS(Table117[Country],Tabela1[[#This Row],[Country]],Table117[Women''s Relay Classification],"&gt;0")</f>
        <v>0</v>
      </c>
      <c r="NR67" s="6">
        <f>COUNTIFS(Table113[Country],Tabela1[[#This Row],[Country]],Table113[Skiathlon Classification],"&gt;0")</f>
        <v>0</v>
      </c>
      <c r="NS67" s="6">
        <f>COUNTIFS(Table113116[Country],Tabela1[[#This Row],[Country]],Table113116[Skiathlon Classification],"&gt;0")</f>
        <v>0</v>
      </c>
      <c r="NT67" s="6">
        <f>COUNTIFS(Table113[Country],Tabela1[[#This Row],[Country]],Table113[Sprint Classification],"&gt;0")</f>
        <v>0</v>
      </c>
      <c r="NU67" s="6">
        <f>COUNTIFS(Table113116[Country],Tabela1[[#This Row],[Country]],Table113116[Sprint Classification],"&gt;0")</f>
        <v>0</v>
      </c>
      <c r="NV67" s="6">
        <f>COUNTIFS(Table116[Country],Tabela1[[#This Row],[Country]],Table116[Men''s Team Sprint Classification],"&gt;0")</f>
        <v>0</v>
      </c>
      <c r="NW67" s="6">
        <f>COUNTIFS(Table116[Country],Tabela1[[#This Row],[Country]],Table116[Women''s Team Sprint Classification],"&gt;0")</f>
        <v>0</v>
      </c>
      <c r="NX67" s="6">
        <f>COUNTIFS(Table119[Country],Tabela1[[#This Row],[Country]],Table119[Men''s Classification],"&gt;0")</f>
        <v>0</v>
      </c>
      <c r="NY67" s="6">
        <f>COUNTIFS(Table119[Country],Tabela1[[#This Row],[Country]],Table119[Women''s Classification],"&gt;0")</f>
        <v>0</v>
      </c>
      <c r="NZ67" s="6">
        <f>COUNTIFS(Table118[Country],Tabela1[[#This Row],[Country]],Table118[Mixed Classification],"&gt;0")</f>
        <v>0</v>
      </c>
      <c r="OA67" s="6">
        <f>COUNTIFS(Table120[Country],Tabela1[[#This Row],[Country]],Table120[Classification],"&gt;0")</f>
        <v>0</v>
      </c>
      <c r="OB67" s="6">
        <f>COUNTIFS(Table120123[Country],Tabela1[[#This Row],[Country]],Table120123[Classification],"&gt;0")</f>
        <v>0</v>
      </c>
      <c r="OC67" s="6">
        <f>COUNTIFS(Table123[Country],Tabela1[[#This Row],[Country]],Table123[Ice Dance Classification],"&gt;0")</f>
        <v>0</v>
      </c>
      <c r="OD67" s="6">
        <f>COUNTIFS(Table123[Country],Tabela1[[#This Row],[Country]],Table123[Pair Skating Classification],"&gt;0")</f>
        <v>0</v>
      </c>
      <c r="OE67" s="6">
        <f>COUNTIFS(Table124[Country],Tabela1[[#This Row],[Country]],Table124[Mixed Classification],"&gt;0")</f>
        <v>0</v>
      </c>
      <c r="OF67" s="6">
        <f>COUNTIFS(Table125[Country],Tabela1[[#This Row],[Country]],Table125[Aerials Classification],"&gt;0")</f>
        <v>0</v>
      </c>
      <c r="OG67" s="6">
        <f>COUNTIFS(Table125128[Country],Tabela1[[#This Row],[Country]],Table125128[Aerials Classification],"&gt;0")</f>
        <v>0</v>
      </c>
      <c r="OH67" s="6">
        <f>COUNTIFS(Table128[Country],Tabela1[[#This Row],[Country]],Table128[Mixed Aerials Classification],"&gt;0")</f>
        <v>0</v>
      </c>
      <c r="OI67" s="6">
        <f>COUNTIFS(Table125[Country],Tabela1[[#This Row],[Country]],Table125[Big Air Classification],"&gt;0")</f>
        <v>0</v>
      </c>
      <c r="OJ67" s="6">
        <f>COUNTIFS(Table125128[Country],Tabela1[[#This Row],[Country]],Table125128[Big Air Classification],"&gt;0")</f>
        <v>0</v>
      </c>
      <c r="OK67" s="6">
        <f>COUNTIFS(Table125[Country],Tabela1[[#This Row],[Country]],Table125[Dual Moguls Classification],"&gt;0")</f>
        <v>0</v>
      </c>
      <c r="OL67" s="6">
        <f>COUNTIFS(Table125128[Country],Tabela1[[#This Row],[Country]],Table125128[Dual Moguls Classification],"&gt;0")</f>
        <v>0</v>
      </c>
      <c r="OM67" s="6">
        <f>COUNTIFS(Table125[Country],Tabela1[[#This Row],[Country]],Table125[Halfpipe Classification],"&gt;0")</f>
        <v>0</v>
      </c>
      <c r="ON67" s="6">
        <f>COUNTIFS(Table125128[Country],Tabela1[[#This Row],[Country]],Table125128[Halfpipe Classification],"&gt;0")</f>
        <v>0</v>
      </c>
      <c r="OO67" s="6">
        <f>COUNTIFS(Table125[Country],Tabela1[[#This Row],[Country]],Table125[Moguls Classification],"&gt;0")</f>
        <v>0</v>
      </c>
      <c r="OP67" s="6">
        <f>COUNTIFS(Table125128[Country],Tabela1[[#This Row],[Country]],Table125128[Moguls Classification],"&gt;0")</f>
        <v>0</v>
      </c>
      <c r="OQ67" s="6">
        <f>COUNTIFS(Table125[Country],Tabela1[[#This Row],[Country]],Table125[Ski Cross Classification],"&gt;0")</f>
        <v>0</v>
      </c>
      <c r="OR67" s="6">
        <f>COUNTIFS(Table125128[Country],Tabela1[[#This Row],[Country]],Table125128[Ski Cross Classification],"&gt;0")</f>
        <v>0</v>
      </c>
      <c r="OS67" s="6">
        <f>COUNTIFS(Table125[Country],Tabela1[[#This Row],[Country]],Table125[Slopestyle Classification],"&gt;0")</f>
        <v>0</v>
      </c>
      <c r="OT67" s="6">
        <f>COUNTIFS(Table125128[Country],Tabela1[[#This Row],[Country]],Table125128[Slopestyle Classification],"&gt;0")</f>
        <v>0</v>
      </c>
      <c r="OU67" s="6">
        <f>COUNTIFS(Table119131[Country],Tabela1[[#This Row],[Country]],Table119131[Men''s Classification],"&gt;0")</f>
        <v>0</v>
      </c>
      <c r="OV67" s="6">
        <f>COUNTIFS(Table119131[Country],Tabela1[[#This Row],[Country]],Table119131[Women''s Classification],"&gt;0")</f>
        <v>0</v>
      </c>
      <c r="OW67" s="6">
        <f>COUNTIFS(Table131[Country],Tabela1[[#This Row],[Country]],Table131[Classification],"&gt;0")</f>
        <v>0</v>
      </c>
      <c r="OX67" s="6">
        <f>COUNTIFS(Table131134[Country],Tabela1[[#This Row],[Country]],Table131134[Classification],"&gt;0")</f>
        <v>0</v>
      </c>
      <c r="OY67" s="6">
        <f>COUNTIFS(Table134[Country],Tabela1[[#This Row],[Country]],Table134[Men''s Classification],"&gt;0")</f>
        <v>0</v>
      </c>
      <c r="OZ67" s="6">
        <f>COUNTIFS(Table134[Country],Tabela1[[#This Row],[Country]],Table134[Women''s Classification],"&gt;0")</f>
        <v>0</v>
      </c>
      <c r="PA67" s="6">
        <f>COUNTIFS(Table135[Country],Tabela1[[#This Row],[Country]],Table135[Mixed Relay Classification],"&gt;0")</f>
        <v>0</v>
      </c>
      <c r="PB67" s="6">
        <f>COUNTIFS(Table136[Country],Tabela1[[#This Row],[Country]],Table136[Individual Classification],"&gt;0")</f>
        <v>0</v>
      </c>
      <c r="PC67" s="6">
        <f>COUNTIFS(Table136[Country],Tabela1[[#This Row],[Country]],Table136[Sprint Classification],"&gt;0")</f>
        <v>0</v>
      </c>
      <c r="PD67" s="6">
        <f>COUNTIFS(Table137[Country],Tabela1[[#This Row],[Country]],Table137[Men''s Team Sprint Large Hill Classification],"&gt;0")</f>
        <v>0</v>
      </c>
      <c r="PE67" s="6">
        <f>COUNTIFS(Table138[Country],Tabela1[[#This Row],[Country]],Table138[500m Classification],"&gt;0")</f>
        <v>0</v>
      </c>
      <c r="PF67" s="6">
        <f>COUNTIFS(Table138141[Country],Tabela1[[#This Row],[Country]],Table138141[500m Classification],"&gt;0")</f>
        <v>0</v>
      </c>
      <c r="PG67" s="6">
        <f>COUNTIFS(Table138[Country],Tabela1[[#This Row],[Country]],Table138[1000m Classification],"&gt;0")</f>
        <v>0</v>
      </c>
      <c r="PH67" s="6">
        <f>COUNTIFS(Table138141[Country],Tabela1[[#This Row],[Country]],Table138141[1000m Classification],"&gt;0")</f>
        <v>0</v>
      </c>
      <c r="PI67" s="6">
        <f>COUNTIFS(Table138[Country],Tabela1[[#This Row],[Country]],Table138[1500m Classification],"&gt;0")</f>
        <v>0</v>
      </c>
      <c r="PJ67" s="6">
        <f>COUNTIFS(Table138141[Country],Tabela1[[#This Row],[Country]],Table138141[1500m Classification],"&gt;0")</f>
        <v>0</v>
      </c>
      <c r="PK67" s="6">
        <f>COUNTIFS(Table141[Country],Tabela1[[#This Row],[Country]],Table141[Men''s 5000m Relay Classification],"&gt;0")</f>
        <v>0</v>
      </c>
      <c r="PL67" s="6">
        <f>COUNTIFS(Table141[Country],Tabela1[[#This Row],[Country]],Table141[Women''s 3000m Relay Classification],"&gt;0")</f>
        <v>0</v>
      </c>
      <c r="PM67" s="6">
        <f>COUNTIFS(Table141[Country],Tabela1[[#This Row],[Country]],Table141[Mixed 2000m Relay Classification],"&gt;0")</f>
        <v>0</v>
      </c>
      <c r="PN67" s="6">
        <f>COUNTIFS(Table142[Country],Tabela1[[#This Row],[Country]],Table142[Classification],"&gt;0")</f>
        <v>0</v>
      </c>
      <c r="PO67" s="6">
        <f>COUNTIFS(Table142145[Country],Tabela1[[#This Row],[Country]],Table142145[Classification],"&gt;0")</f>
        <v>0</v>
      </c>
      <c r="PP67" s="6">
        <f>COUNTIFS(Tabela15[Country],Tabela1[[#This Row],[Country]],Tabela15[Mixed Team Classification],"&gt;0")</f>
        <v>0</v>
      </c>
      <c r="PQ67" s="6">
        <f>COUNTIFS(Table145[Country],Tabela1[[#This Row],[Country]],Table145[Large Hill Classification],"&gt;0")</f>
        <v>0</v>
      </c>
      <c r="PR67" s="6">
        <f>COUNTIFS(Table145[Country],Tabela1[[#This Row],[Country]],Table145[Normal Hill Classification],"&gt;0")</f>
        <v>0</v>
      </c>
      <c r="PS67" s="6">
        <f>COUNTIFS(Table145148[Country],Tabela1[[#This Row],[Country]],Table145148[Large Hill Classification],"&gt;0")</f>
        <v>0</v>
      </c>
      <c r="PT67" s="6">
        <f>COUNTIFS(Table145148[Country],Tabela1[[#This Row],[Country]],Table145148[Normal Hill Classification],"&gt;0")</f>
        <v>0</v>
      </c>
      <c r="PU67" s="6">
        <f>COUNTIFS(Table148[Country],Tabela1[[#This Row],[Country]],Table148[Men''s Super Team Classification],"&gt;0")</f>
        <v>0</v>
      </c>
      <c r="PV67" s="6">
        <f>COUNTIFS(Tabela114[Country],Tabela1[[#This Row],[Country]],Tabela114[Mixed Normal Hill Classification],"&gt;0")</f>
        <v>0</v>
      </c>
      <c r="PW67" s="6">
        <f>COUNTIFS(Tabela50[Country],Tabela1[[#This Row],[Country]],Tabela50[Sprint Classification],"&gt;0")</f>
        <v>0</v>
      </c>
      <c r="PX67" s="6">
        <f>COUNTIFS(Tabela50101[Country],Tabela1[[#This Row],[Country]],Tabela50101[Sprint Classification],"&gt;0")</f>
        <v>0</v>
      </c>
      <c r="PY67" s="6">
        <f>COUNTIFS(Tabela103[Country],Tabela1[[#This Row],[Country]],Tabela103[Mixed Relay Classification],"&gt;0")</f>
        <v>0</v>
      </c>
      <c r="PZ67" s="6">
        <f>COUNTIFS(Table149[Country],Tabela1[[#This Row],[Country]],Table149[Big Air Classification],"&gt;0")</f>
        <v>0</v>
      </c>
      <c r="QA67" s="6">
        <f>COUNTIFS(Table149152[Country],Tabela1[[#This Row],[Country]],Table149152[Big Air Classification],"&gt;0")</f>
        <v>0</v>
      </c>
      <c r="QB67" s="6">
        <f>COUNTIFS(Table149[Country],Tabela1[[#This Row],[Country]],Table149[Halfpipe Classification],"&gt;0")</f>
        <v>0</v>
      </c>
      <c r="QC67" s="6">
        <f>COUNTIFS(Table149152[Country],Tabela1[[#This Row],[Country]],Table149152[Halfpipe Classification],"&gt;0")</f>
        <v>0</v>
      </c>
      <c r="QD67" s="6">
        <f>COUNTIFS(Table149[Country],Tabela1[[#This Row],[Country]],Table149[Parallel Giant Slalom Classification],"&gt;0")</f>
        <v>0</v>
      </c>
      <c r="QE67" s="6">
        <f>COUNTIFS(Table149152[Country],Tabela1[[#This Row],[Country]],Table149152[Parallel Giant Slalom Classification],"&gt;0")</f>
        <v>0</v>
      </c>
      <c r="QF67" s="6">
        <f>COUNTIFS(Table149[Country],Tabela1[[#This Row],[Country]],Table149[Slopestyle Classification],"&gt;0")</f>
        <v>0</v>
      </c>
      <c r="QG67" s="6">
        <f>COUNTIFS(Table149152[Country],Tabela1[[#This Row],[Country]],Table149152[Slopestyle Classification],"&gt;0")</f>
        <v>0</v>
      </c>
      <c r="QH67" s="6">
        <f>COUNTIFS(Table149[Country],Tabela1[[#This Row],[Country]],Table149[Snowboard Cross Classification],"&gt;0")</f>
        <v>0</v>
      </c>
      <c r="QI67" s="6">
        <f>COUNTIFS(Table149152[Country],Tabela1[[#This Row],[Country]],Table149152[Snowboard Cross Classification],"&gt;0")</f>
        <v>0</v>
      </c>
      <c r="QJ67" s="6">
        <f>COUNTIFS(Table153[Country],Tabela1[[#This Row],[Country]],Table153[Mixed Team Snowboard Cross Classification],"&gt;0")</f>
        <v>0</v>
      </c>
      <c r="QK67" s="6">
        <f>COUNTIFS(Table154[Country],Tabela1[[#This Row],[Country]],Table154[500m Classification],"&gt;0")</f>
        <v>0</v>
      </c>
      <c r="QL67" s="6">
        <f>COUNTIFS(Table154157[Country],Tabela1[[#This Row],[Country]],Table154157[500m Classification],"&gt;0")</f>
        <v>0</v>
      </c>
      <c r="QM67" s="6">
        <f>COUNTIFS(Table154[Country],Tabela1[[#This Row],[Country]],Table154[1000m Classification],"&gt;0")</f>
        <v>0</v>
      </c>
      <c r="QN67" s="6">
        <f>COUNTIFS(Table154157[Country],Tabela1[[#This Row],[Country]],Table154157[1000m Classification],"&gt;0")</f>
        <v>0</v>
      </c>
      <c r="QO67" s="6">
        <f>COUNTIFS(Table154[Country],Tabela1[[#This Row],[Country]],Table154[1500m Classification],"&gt;0")</f>
        <v>0</v>
      </c>
      <c r="QP67" s="6">
        <f>COUNTIFS(Table154157[Country],Tabela1[[#This Row],[Country]],Table154157[1500m Classification],"&gt;0")</f>
        <v>0</v>
      </c>
      <c r="QQ67" s="6">
        <f>COUNTIFS(Table154157[Country],Tabela1[[#This Row],[Country]],Table154157[3000m Classification],"&gt;0")</f>
        <v>0</v>
      </c>
      <c r="QR67" s="6">
        <f>COUNTIFS(Table154[Country],Tabela1[[#This Row],[Country]],Table154[5000m Classification],"&gt;0")</f>
        <v>0</v>
      </c>
      <c r="QS67" s="6">
        <f>COUNTIFS(Table154157[Country],Tabela1[[#This Row],[Country]],Table154157[5000m Classification],"&gt;0")</f>
        <v>0</v>
      </c>
      <c r="QT67" s="6">
        <f>COUNTIFS(Table154[Country],Tabela1[[#This Row],[Country]],Table154[10000m Classification],"&gt;0")</f>
        <v>0</v>
      </c>
      <c r="QU67" s="6">
        <f>COUNTIFS(Table154[Country],Tabela1[[#This Row],[Country]],Table154[Mass Start Classification],"&gt;0")</f>
        <v>0</v>
      </c>
      <c r="QV67" s="6">
        <f>COUNTIFS(Table154157[Country],Tabela1[[#This Row],[Country]],Table154157[Mass Start Classification],"&gt;0")</f>
        <v>0</v>
      </c>
      <c r="QW67" s="6">
        <f>COUNTIFS(Table157[Country],Tabela1[[#This Row],[Country]],Table157[Men''s Pursuit Classification],"&gt;0")</f>
        <v>0</v>
      </c>
      <c r="QX67" s="6">
        <f>COUNTIFS(Table157[Country],Tabela1[[#This Row],[Country]],Table157[Women''s Pursuit Classification],"&gt;0")</f>
        <v>0</v>
      </c>
      <c r="QY67" s="4" t="s">
        <v>603</v>
      </c>
    </row>
    <row r="68" spans="1:467" x14ac:dyDescent="0.3">
      <c r="A68" s="6">
        <v>67</v>
      </c>
      <c r="B68" s="6" t="s">
        <v>572</v>
      </c>
      <c r="C68" t="e" vm="67">
        <f>IF(ISBLANK(Tabela1[[#This Row],[Image Link]]), "", _xlfn.IMAGE(Tabela1[[#This Row],[Image Link]],1,1))</f>
        <v>#VALUE!</v>
      </c>
      <c r="D68" s="6">
        <f>SUM(Tabela1[[#This Row],[Archery - Men''s Individual Recurve]:[Speed Skating - Women''s Team Pursuit]])</f>
        <v>8</v>
      </c>
      <c r="E68" s="6">
        <f>COUNTIF(Tabela1[[#This Row],[Archery - Men''s Individual Recurve]:[Speed Skating - Women''s Team Pursuit]],"&gt;0")</f>
        <v>8</v>
      </c>
      <c r="F68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68" s="6">
        <f>SUM(Tabela1[[#This Row],[Archery - Men''s Individual Recurve]:[Wrestling - Women''s Freestyle 76kg]])</f>
        <v>4</v>
      </c>
      <c r="H68" s="6">
        <f>SUM(Tabela1[[#This Row],[Alpine Skiing - Men''s Downhill]:[Speed Skating - Women''s Team Pursuit]])</f>
        <v>4</v>
      </c>
      <c r="I68" s="6">
        <f>Tabela1[[#This Row],[Summer Gold Medals]]+Tabela1[[#This Row],[Winter Gold Medals]]</f>
        <v>0</v>
      </c>
      <c r="J68" s="6">
        <f>Tabela1[[#This Row],[Summer Silver Medals]]+Tabela1[[#This Row],[Winter Silver Medals]]</f>
        <v>1</v>
      </c>
      <c r="K68" s="6">
        <f>Tabela1[[#This Row],[Summer Bronze Medals]]+Tabela1[[#This Row],[Winter Bronze Medals]]</f>
        <v>0</v>
      </c>
      <c r="L68" s="6">
        <f>SUM(Tabela1[[#This Row],[Total Gold Medals]:[Total Bronze Medals]])</f>
        <v>1</v>
      </c>
      <c r="M68" s="6"/>
      <c r="N68" s="6"/>
      <c r="O68" s="6"/>
      <c r="P68" s="6">
        <f>SUM(Tabela1[[#This Row],[Summer Gold Medals]:[Summer Bronze Medals]])</f>
        <v>0</v>
      </c>
      <c r="Q68" s="6"/>
      <c r="R68" s="6">
        <v>1</v>
      </c>
      <c r="S68" s="6"/>
      <c r="T68" s="6">
        <f>Tabela1[[#This Row],[Winter Gold Medals]]+Tabela1[[#This Row],[Winter Silver Medals]]+Tabela1[[#This Row],[Winter Bronze Medals]]</f>
        <v>1</v>
      </c>
      <c r="U68" s="7">
        <f>Tabela1[[#This Row],[Total Medals]]/Tabela1[[#This Row],[Total Quotas]]</f>
        <v>0.125</v>
      </c>
      <c r="V68" s="6">
        <f>COUNTIFS(Table3[Country],Tabela1[[#This Row],[Country]],Table3[Recurve Classification],"&gt;0")</f>
        <v>0</v>
      </c>
      <c r="W68" s="6">
        <f>COUNTIFS(Table33[Country],Tabela1[[#This Row],[Country]],Table33[Recurve Classification],"&gt;0")</f>
        <v>0</v>
      </c>
      <c r="X68" s="6">
        <f>COUNTIFS(Table35[Country],Tabela1[[#This Row],[Country]],Table35[Men''s Team Recurve Classification],"&gt;0")</f>
        <v>0</v>
      </c>
      <c r="Y68" s="6">
        <f>COUNTIFS(Table35[Country],Tabela1[[#This Row],[Country]],Table35[Women''s Team Recurve Classification],"&gt;0")</f>
        <v>0</v>
      </c>
      <c r="Z68" s="6">
        <f>COUNTIFS(Tabela88[Country],Tabela1[[#This Row],[Country]],Tabela88[Mixed Team Recurve Classification],"&gt;0")</f>
        <v>0</v>
      </c>
      <c r="AA68" s="6">
        <f>COUNTIFS(Table36[Country],Tabela1[[#This Row],[Country]],Table36[Classification],"&gt;0")</f>
        <v>0</v>
      </c>
      <c r="AB68" s="6">
        <f>COUNTIFS(Table37[Country],Tabela1[[#This Row],[Country]],Table37[Classification],"&gt;0")</f>
        <v>0</v>
      </c>
      <c r="AC68" s="6">
        <f>COUNTIFS(Table4[Country],Tabela1[[#This Row],[Country]],Table4[100m Classification],"&gt;0")</f>
        <v>0</v>
      </c>
      <c r="AD68" s="6">
        <f>COUNTIFS(Table5[Country],Tabela1[[#This Row],[Country]],Table5[100m Classification],"&gt;0")</f>
        <v>0</v>
      </c>
      <c r="AE68" s="6">
        <f>COUNTIFS(Table4[Country],Tabela1[[#This Row],[Country]],Table4[200m Classification],"&gt;0")</f>
        <v>0</v>
      </c>
      <c r="AF68" s="6">
        <f>COUNTIFS(Table5[Country],Tabela1[[#This Row],[Country]],Table5[200m Classification],"&gt;0")</f>
        <v>0</v>
      </c>
      <c r="AG68" s="6">
        <f>COUNTIFS(Table4[Country],Tabela1[[#This Row],[Country]],Table4[400m Classification],"&gt;0")</f>
        <v>0</v>
      </c>
      <c r="AH68" s="6">
        <f>COUNTIFS(Table5[Country],Tabela1[[#This Row],[Country]],Table5[400m Classification],"&gt;0")</f>
        <v>0</v>
      </c>
      <c r="AI68" s="6">
        <f>COUNTIFS(Table4[Country],Tabela1[[#This Row],[Country]],Table4[800m Classification],"&gt;0")</f>
        <v>0</v>
      </c>
      <c r="AJ68" s="6">
        <f>COUNTIFS(Table5[Country],Tabela1[[#This Row],[Country]],Table5[800m Classification],"&gt;0")</f>
        <v>0</v>
      </c>
      <c r="AK68" s="6">
        <f>COUNTIFS(Table4[Country],Tabela1[[#This Row],[Country]],Table4[1500m Classification],"&gt;0")</f>
        <v>0</v>
      </c>
      <c r="AL68" s="6">
        <f>COUNTIFS(Table5[Country],Tabela1[[#This Row],[Country]],Table5[1500m Classification],"&gt;0")</f>
        <v>0</v>
      </c>
      <c r="AM68" s="6">
        <f>COUNTIFS(Table4[Country],Tabela1[[#This Row],[Country]],Table4[5000m Classification],"&gt;0")</f>
        <v>0</v>
      </c>
      <c r="AN68" s="6">
        <f>COUNTIFS(Table5[Country],Tabela1[[#This Row],[Country]],Table5[5000m Classification],"&gt;0")</f>
        <v>0</v>
      </c>
      <c r="AO68" s="6">
        <f>COUNTIFS(Table4[Country],Tabela1[[#This Row],[Country]],Table4[10000m Classification],"&gt;0")</f>
        <v>0</v>
      </c>
      <c r="AP68" s="6">
        <f>COUNTIFS(Table5[Country],Tabela1[[#This Row],[Country]],Table5[10000m Classification],"&gt;0")</f>
        <v>0</v>
      </c>
      <c r="AQ68" s="6">
        <f>COUNTIFS(Table4[Country],Tabela1[[#This Row],[Country]],Table4[110m Hurdles Classification],"&gt;0")</f>
        <v>0</v>
      </c>
      <c r="AR68" s="6">
        <f>COUNTIFS(Table5[Country],Tabela1[[#This Row],[Country]],Table5[100m Hurdles Classification],"&gt;0")</f>
        <v>0</v>
      </c>
      <c r="AS68" s="6">
        <f>COUNTIFS(Table4[Country],Tabela1[[#This Row],[Country]],Table4[400m Hurdles Classification],"&gt;0")</f>
        <v>0</v>
      </c>
      <c r="AT68" s="6">
        <f>COUNTIFS(Table5[Country],Tabela1[[#This Row],[Country]],Table5[400m Hurdles Classification],"&gt;0")</f>
        <v>0</v>
      </c>
      <c r="AU68" s="6">
        <f>COUNTIFS(Table4[Country],Tabela1[[#This Row],[Country]],Table4[3000m Steeplechase Classification],"&gt;0")</f>
        <v>0</v>
      </c>
      <c r="AV68" s="6">
        <f>COUNTIFS(Table5[Country],Tabela1[[#This Row],[Country]],Table5[3000m Steeplechase Classification],"&gt;0")</f>
        <v>0</v>
      </c>
      <c r="AW68" s="6">
        <f>COUNTIFS(Table27[Country],Tabela1[[#This Row],[Country]],Table27[Men''s 4x100m Relay Classification],"&gt;0")</f>
        <v>0</v>
      </c>
      <c r="AX68" s="6">
        <f>COUNTIFS(Table27[Country],Tabela1[[#This Row],[Country]],Table27[Women''s 4x100m Relay Classification],"&gt;0")</f>
        <v>0</v>
      </c>
      <c r="AY68" s="6">
        <f>COUNTIFS(Table27[Country],Tabela1[[#This Row],[Country]],Table27[Men''s 4x400m Relay Classification],"&gt;0")</f>
        <v>0</v>
      </c>
      <c r="AZ68" s="6">
        <f>COUNTIFS(Table27[Country],Tabela1[[#This Row],[Country]],Table27[Women''s 4x400m Relay Classification],"&gt;0")</f>
        <v>0</v>
      </c>
      <c r="BA68" s="6">
        <f>COUNTIFS(Table27[Country],Tabela1[[#This Row],[Country]],Table27[Mixed 4x400m Relay Classification],"&gt;0")</f>
        <v>0</v>
      </c>
      <c r="BB68" s="6">
        <f>COUNTIFS(Table4[Country],Tabela1[[#This Row],[Country]],Table4[Marathon Classification],"&gt;0")</f>
        <v>0</v>
      </c>
      <c r="BC68" s="6">
        <f>COUNTIFS(Table5[Country],Tabela1[[#This Row],[Country]],Table5[Marathon Classification],"&gt;0")</f>
        <v>0</v>
      </c>
      <c r="BD68" s="6">
        <f>COUNTIFS(Table4[Country],Tabela1[[#This Row],[Country]],Table4[20km Race Walk Classification],"&gt;0")</f>
        <v>0</v>
      </c>
      <c r="BE68" s="6">
        <f>COUNTIFS(Table5[Country],Tabela1[[#This Row],[Country]],Table5[20km Race Walk Classification],"&gt;0")</f>
        <v>0</v>
      </c>
      <c r="BF68" s="6">
        <f>COUNTIFS(Tabela96[Country],Tabela1[[#This Row],[Country]],Tabela96[Mixed Marathon Race Walk Relay Classification],"&gt;0")</f>
        <v>0</v>
      </c>
      <c r="BG68" s="6">
        <f>COUNTIFS(Table4[Country],Tabela1[[#This Row],[Country]],Table4[Discus Throw Classification],"&gt;0")</f>
        <v>0</v>
      </c>
      <c r="BH68" s="6">
        <f>COUNTIFS(Table5[Country],Tabela1[[#This Row],[Country]],Table5[Discus Throw Classification],"&gt;0")</f>
        <v>0</v>
      </c>
      <c r="BI68" s="6">
        <f>COUNTIFS(Table4[Country],Tabela1[[#This Row],[Country]],Table4[Hammer Throw Classification],"&gt;0")</f>
        <v>0</v>
      </c>
      <c r="BJ68" s="6">
        <f>COUNTIFS(Table5[Country],Tabela1[[#This Row],[Country]],Table5[Hammer Throw Classification],"&gt;0")</f>
        <v>0</v>
      </c>
      <c r="BK68" s="6">
        <f>COUNTIFS(Table4[Country],Tabela1[[#This Row],[Country]],Table4[High Jump Classification],"&gt;0")</f>
        <v>0</v>
      </c>
      <c r="BL68" s="6">
        <f>COUNTIFS(Table5[Country],Tabela1[[#This Row],[Country]],Table5[High Jump Classification],"&gt;0")</f>
        <v>0</v>
      </c>
      <c r="BM68" s="6">
        <f>COUNTIFS(Table4[Country],Tabela1[[#This Row],[Country]],Table4[Javelin Throw Classification],"&gt;0")</f>
        <v>0</v>
      </c>
      <c r="BN68" s="6">
        <f>COUNTIFS(Table5[Country],Tabela1[[#This Row],[Country]],Table5[Javelin Throw Classification],"&gt;0")</f>
        <v>0</v>
      </c>
      <c r="BO68" s="6">
        <f>COUNTIFS(Table4[Country],Tabela1[[#This Row],[Country]],Table4[Long Jump Classification],"&gt;0")</f>
        <v>0</v>
      </c>
      <c r="BP68" s="6">
        <f>COUNTIFS(Table5[Country],Tabela1[[#This Row],[Country]],Table5[Long Jump Classification],"&gt;0")</f>
        <v>0</v>
      </c>
      <c r="BQ68" s="6">
        <f>COUNTIFS(Table4[Country],Tabela1[[#This Row],[Country]],Table4[Pole Vault Classification],"&gt;0")</f>
        <v>0</v>
      </c>
      <c r="BR68" s="6">
        <f>COUNTIFS(Table5[Country],Tabela1[[#This Row],[Country]],Table5[Pole Vault Classification],"&gt;0")</f>
        <v>0</v>
      </c>
      <c r="BS68" s="6">
        <f>COUNTIFS(Table4[Country],Tabela1[[#This Row],[Country]],Table4[Shot Put Classification],"&gt;0")</f>
        <v>0</v>
      </c>
      <c r="BT68" s="6">
        <f>COUNTIFS(Table5[Country],Tabela1[[#This Row],[Country]],Table5[Shot Put Classification],"&gt;0")</f>
        <v>0</v>
      </c>
      <c r="BU68" s="6">
        <f>COUNTIFS(Table4[Country],Tabela1[[#This Row],[Country]],Table4[Triple Jump Classification],"&gt;0")</f>
        <v>0</v>
      </c>
      <c r="BV68" s="6">
        <f>COUNTIFS(Table5[Country],Tabela1[[#This Row],[Country]],Table5[Triple Jump Classification],"&gt;0")</f>
        <v>0</v>
      </c>
      <c r="BW68" s="6">
        <f>COUNTIFS(Table4[Country],Tabela1[[#This Row],[Country]],Table4[Decathlon Classification],"&gt;0")</f>
        <v>0</v>
      </c>
      <c r="BX68" s="6">
        <f>COUNTIFS(Table5[Country],Tabela1[[#This Row],[Country]],Table5[Heptathlon Classification],"&gt;0")</f>
        <v>0</v>
      </c>
      <c r="BY68" s="6">
        <f>COUNTIFS(Table61[Country],Tabela1[[#This Row],[Country]],Table61[Classification],"&gt;0")</f>
        <v>0</v>
      </c>
      <c r="BZ68" s="6">
        <f>COUNTIFS(Table38[Country],Tabela1[[#This Row],[Country]],Table38[Classification],"&gt;0")</f>
        <v>0</v>
      </c>
      <c r="CA68" s="6">
        <f>COUNTIFS(Table39[Country],Tabela1[[#This Row],[Country]],Table39[Men''s Classification],"&gt;0")</f>
        <v>0</v>
      </c>
      <c r="CB68" s="6">
        <f>COUNTIFS(Table39[Country],Tabela1[[#This Row],[Country]],Table39[Women''s Classification],"&gt;0")</f>
        <v>0</v>
      </c>
      <c r="CC68" s="6">
        <f>COUNTIFS(Table39[Country],Tabela1[[#This Row],[Country]],Table39[Mixed Classification],"&gt;0")</f>
        <v>0</v>
      </c>
      <c r="CD68" s="6">
        <f>COUNTIFS(Table89[Country],Tabela1[[#This Row],[Country]],Table89[Men''s Classification],"&gt;0")</f>
        <v>0</v>
      </c>
      <c r="CE68" s="6">
        <f>COUNTIFS(Table89[Country],Tabela1[[#This Row],[Country]],Table89[Women''s Classification],"&gt;0")</f>
        <v>0</v>
      </c>
      <c r="CF68" s="6">
        <f>COUNTIFS(Table90[Country],Tabela1[[#This Row],[Country]],Table90[Men''s Classification],"&gt;0")</f>
        <v>0</v>
      </c>
      <c r="CG68" s="6">
        <f>COUNTIFS(Table90[Country],Tabela1[[#This Row],[Country]],Table90[Women''s Classification],"&gt;0")</f>
        <v>0</v>
      </c>
      <c r="CH68" s="6">
        <f>COUNTIFS(Table60[Country],Tabela1[[#This Row],[Country]],Table60[Men''s Classification],"&gt;0")</f>
        <v>0</v>
      </c>
      <c r="CI68" s="6">
        <f>COUNTIFS(Table60[Country],Tabela1[[#This Row],[Country]],Table60[Women''s Classification],"&gt;0")</f>
        <v>0</v>
      </c>
      <c r="CJ68" s="6">
        <f>COUNTIFS(Table6[Country],Tabela1[[#This Row],[Country]],Table6[51kg Classification],"&gt;0")</f>
        <v>0</v>
      </c>
      <c r="CK68" s="6">
        <f>COUNTIFS(Table6[Country],Tabela1[[#This Row],[Country]],Table6[57kg Classification],"&gt;0")</f>
        <v>0</v>
      </c>
      <c r="CL68" s="6">
        <f>COUNTIFS(Table6[Country],Tabela1[[#This Row],[Country]],Table6[63.5kg Classification],"&gt;0")</f>
        <v>0</v>
      </c>
      <c r="CM68" s="6">
        <f>COUNTIFS(Table6[Country],Tabela1[[#This Row],[Country]],Table6[71kg Classification],"&gt;0")</f>
        <v>0</v>
      </c>
      <c r="CN68" s="6">
        <f>COUNTIFS(Table6[Country],Tabela1[[#This Row],[Country]],Table6[80kg Classification],"&gt;0")</f>
        <v>0</v>
      </c>
      <c r="CO68" s="6">
        <f>COUNTIFS(Table6[Country],Tabela1[[#This Row],[Country]],Table6[92kg Classification],"&gt;0")</f>
        <v>0</v>
      </c>
      <c r="CP68" s="6">
        <f>COUNTIFS(Table6[Country],Tabela1[[#This Row],[Country]],Table6[Plus 92kg Classification],"&gt;0")</f>
        <v>0</v>
      </c>
      <c r="CQ68" s="6">
        <f>COUNTIFS(Table7[Country],Tabela1[[#This Row],[Country]],Table7[50kg Classification],"&gt;0")</f>
        <v>0</v>
      </c>
      <c r="CR68" s="6">
        <f>COUNTIFS(Table7[Country],Tabela1[[#This Row],[Country]],Table7[54kg Classification],"&gt;0")</f>
        <v>0</v>
      </c>
      <c r="CS68" s="6">
        <f>COUNTIFS(Table7[Country],Tabela1[[#This Row],[Country]],Table7[57kg Classification],"&gt;0")</f>
        <v>0</v>
      </c>
      <c r="CT68" s="6">
        <f>COUNTIFS(Table7[Country],Tabela1[[#This Row],[Country]],Table7[60kg Classification],"&gt;0")</f>
        <v>0</v>
      </c>
      <c r="CU68" s="6">
        <f>COUNTIFS(Table7[Country],Tabela1[[#This Row],[Country]],Table7[66kg Classification],"&gt;0")</f>
        <v>0</v>
      </c>
      <c r="CV68" s="6">
        <f>COUNTIFS(Table7[Country],Tabela1[[#This Row],[Country]],Table7[75kg Classification],"&gt;0")</f>
        <v>0</v>
      </c>
      <c r="CW68" s="6">
        <f>COUNTIFS(Tabela94[Country],Tabela1[[#This Row],[Country]],Tabela94[Classification],"&gt;0")</f>
        <v>0</v>
      </c>
      <c r="CX68" s="6">
        <f>COUNTIFS(Tabela9499[Country],Tabela1[[#This Row],[Country]],Tabela9499[Classification],"&gt;0")</f>
        <v>0</v>
      </c>
      <c r="CY68" s="6">
        <f>COUNTIFS(Tabela107[Country],Tabela1[[#This Row],[Country]],Tabela107[C1 Slalom Classification],"&gt;0")</f>
        <v>0</v>
      </c>
      <c r="CZ68" s="6">
        <f>COUNTIFS(Tabela107122[Country],Tabela1[[#This Row],[Country]],Tabela107122[C1 Slalom Classification],"&gt;0")</f>
        <v>0</v>
      </c>
      <c r="DA68" s="6">
        <f>COUNTIFS(Tabela107[Country],Tabela1[[#This Row],[Country]],Tabela107[K1 Slalom Classification],"&gt;0")</f>
        <v>0</v>
      </c>
      <c r="DB68" s="6">
        <f>COUNTIFS(Tabela107122[Country],Tabela1[[#This Row],[Country]],Tabela107122[K1 Slalom Classification],"&gt;0")</f>
        <v>0</v>
      </c>
      <c r="DC68" s="6">
        <f>COUNTIFS(Tabela107[Country],Tabela1[[#This Row],[Country]],Tabela107[Kayak Cross Slalom Classification],"&gt;0")</f>
        <v>0</v>
      </c>
      <c r="DD68" s="6">
        <f>COUNTIFS(Tabela107122[Country],Tabela1[[#This Row],[Country]],Tabela107122[Kayak Cross Slalom Classification],"&gt;0")</f>
        <v>0</v>
      </c>
      <c r="DE68" s="6">
        <f>COUNTIFS(Table8[Country],Tabela1[[#This Row],[Country]],Table8[C1 200m Classification],"&gt;0")</f>
        <v>0</v>
      </c>
      <c r="DF68" s="6">
        <f>COUNTIFS(Table40[Country],Tabela1[[#This Row],[Country]],Table40[C1 1000m Classification],"&gt;0")</f>
        <v>0</v>
      </c>
      <c r="DG68" s="6">
        <f>COUNTIFS(Table68[Country],Tabela1[[#This Row],[Country]],Table68[Men''s C2 500m Classification],"&gt;0")</f>
        <v>0</v>
      </c>
      <c r="DH68" s="6">
        <f>COUNTIFS(Table68[Country],Tabela1[[#This Row],[Country]],Table68[Women''s C2 500m Classification],"&gt;0")</f>
        <v>0</v>
      </c>
      <c r="DI68" s="6">
        <f>COUNTIFS(Table8[Country],Tabela1[[#This Row],[Country]],Table8[K1 500m Classification],"&gt;0")</f>
        <v>0</v>
      </c>
      <c r="DJ68" s="6">
        <f>COUNTIFS(Table40[Country],Tabela1[[#This Row],[Country]],Table40[K1 1000m Classification],"&gt;0")</f>
        <v>0</v>
      </c>
      <c r="DK68" s="6">
        <f>COUNTIFS(Table68[Country],Tabela1[[#This Row],[Country]],Table68[Men''s K2 500m Classification],"&gt;0")</f>
        <v>0</v>
      </c>
      <c r="DL68" s="6">
        <f>COUNTIFS(Table68[Country],Tabela1[[#This Row],[Country]],Table68[Women''s K2 500m Classification],"&gt;0")</f>
        <v>0</v>
      </c>
      <c r="DM68" s="6">
        <f>COUNTIFS(Table83[Country],Tabela1[[#This Row],[Country]],Table83[Men''s K4 500m Classification],"&gt;0")</f>
        <v>0</v>
      </c>
      <c r="DN68" s="6">
        <f>COUNTIFS(Table83[Country],Tabela1[[#This Row],[Country]],Table83[Women''s K4 500m Classification],"&gt;0")</f>
        <v>0</v>
      </c>
      <c r="DO68" s="6">
        <f>COUNTIFS(Tabela126[Country],Tabela1[[#This Row],[Country]],Tabela126[Classification],"&gt;0")</f>
        <v>0</v>
      </c>
      <c r="DP68" s="6">
        <f>COUNTIFS(Tabela126130[Country],Tabela1[[#This Row],[Country]],Tabela126130[Classification],"&gt;0")</f>
        <v>0</v>
      </c>
      <c r="DQ68" s="6">
        <f>COUNTIFS(Table70[Country],Tabela1[[#This Row],[Country]],Table70[Classification],"&gt;0")</f>
        <v>0</v>
      </c>
      <c r="DR68" s="6">
        <f>COUNTIFS(Table80[Country],Tabela1[[#This Row],[Country]],Table80[Classification],"&gt;0")</f>
        <v>0</v>
      </c>
      <c r="DS68" s="6">
        <f>COUNTIFS(Table66[Country],Tabela1[[#This Row],[Country]],Table66[Classification],"&gt;0")</f>
        <v>0</v>
      </c>
      <c r="DT68" s="6">
        <f>COUNTIFS(Table67[Country],Tabela1[[#This Row],[Country]],Table67[Classification],"&gt;0")</f>
        <v>0</v>
      </c>
      <c r="DU68" s="6">
        <f>COUNTIFS(Table69[Country],Tabela1[[#This Row],[Country]],Table69[Keirin Classification],"&gt;0")</f>
        <v>0</v>
      </c>
      <c r="DV68" s="6">
        <f>COUNTIFS(Table41[Country],Tabela1[[#This Row],[Country]],Table41[Keirin Classification],"&gt;0")</f>
        <v>0</v>
      </c>
      <c r="DW68" s="6">
        <f>COUNTIFS(Table84[Country],Tabela1[[#This Row],[Country]],Table84[Men''s Madison Classification],"&gt;0")</f>
        <v>0</v>
      </c>
      <c r="DX68" s="6">
        <f>COUNTIFS(Table84[Country],Tabela1[[#This Row],[Country]],Table84[Women''s Madison Classification],"&gt;0")</f>
        <v>0</v>
      </c>
      <c r="DY68" s="6">
        <f>COUNTIFS(Table69[Country],Tabela1[[#This Row],[Country]],Table69[Omnium Classification],"&gt;0")</f>
        <v>0</v>
      </c>
      <c r="DZ68" s="6">
        <f>COUNTIFS(Table41[Country],Tabela1[[#This Row],[Country]],Table41[Omnium Classification],"&gt;0")</f>
        <v>0</v>
      </c>
      <c r="EA68" s="6">
        <f>COUNTIFS(Table9[Country],Tabela1[[#This Row],[Country]],Table9[Road Race Classification],"&gt;0")</f>
        <v>0</v>
      </c>
      <c r="EB68" s="6">
        <f>COUNTIFS(Table14[Country],Tabela1[[#This Row],[Country]],Table14[Road Race Classification],"&gt;0")</f>
        <v>0</v>
      </c>
      <c r="EC68" s="6">
        <f>COUNTIFS(Table69[Country],Tabela1[[#This Row],[Country]],Table69[Sprint Classification],"&gt;0")</f>
        <v>0</v>
      </c>
      <c r="ED68" s="6">
        <f>COUNTIFS(Table41[Country],Tabela1[[#This Row],[Country]],Table41[Sprint Classification],"&gt;0")</f>
        <v>0</v>
      </c>
      <c r="EE68" s="6">
        <f>COUNTIFS(Table85[Country],Tabela1[[#This Row],[Country]],Table85[Men''s Sprint Classification],"&gt;0")</f>
        <v>0</v>
      </c>
      <c r="EF68" s="6">
        <f>COUNTIFS(Table85[Country],Tabela1[[#This Row],[Country]],Table85[Women''s Sprint Classification],"&gt;0")</f>
        <v>0</v>
      </c>
      <c r="EG68" s="6">
        <f>COUNTIFS(Table85[Country],Tabela1[[#This Row],[Country]],Table85[Men''s Pursuit Classification],"&gt;0")</f>
        <v>0</v>
      </c>
      <c r="EH68" s="6">
        <f>COUNTIFS(Table85[Country],Tabela1[[#This Row],[Country]],Table85[Women''s Pursuit Classification],"&gt;0")</f>
        <v>0</v>
      </c>
      <c r="EI68" s="6">
        <f>COUNTIFS(Table9[Country],Tabela1[[#This Row],[Country]],Table9[Time-Trial Classification],"&gt;0")</f>
        <v>0</v>
      </c>
      <c r="EJ68" s="6">
        <f>COUNTIFS(Table14[Country],Tabela1[[#This Row],[Country]],Table14[Time-Trial Classification],"&gt;0")</f>
        <v>0</v>
      </c>
      <c r="EK68" s="6">
        <f>COUNTIFS(Table42[Country],Tabela1[[#This Row],[Country]],Table42[Springboard Classification],"&gt;0")</f>
        <v>0</v>
      </c>
      <c r="EL68" s="6">
        <f>COUNTIFS(Table43[Country],Tabela1[[#This Row],[Country]],Table43[Springboard Classification],"&gt;0")</f>
        <v>0</v>
      </c>
      <c r="EM68" s="6">
        <f>COUNTIFS(Table42[Country],Tabela1[[#This Row],[Country]],Table42[Platform Classification],"&gt;0")</f>
        <v>0</v>
      </c>
      <c r="EN68" s="6">
        <f>COUNTIFS(Table43[Country],Tabela1[[#This Row],[Country]],Table43[Platform Classification],"&gt;0")</f>
        <v>0</v>
      </c>
      <c r="EO68" s="6">
        <f>COUNTIFS(Table86[Country],Tabela1[[#This Row],[Country]],Table86[Men''s Synchronized Springboard Classification],"&gt;0")</f>
        <v>0</v>
      </c>
      <c r="EP68" s="6">
        <f>COUNTIFS(Table86[Country],Tabela1[[#This Row],[Country]],Table86[Women''s Synchronized Springboard Classification],"&gt;0")</f>
        <v>0</v>
      </c>
      <c r="EQ68" s="6">
        <f>COUNTIFS(Table86[Country],Tabela1[[#This Row],[Country]],Table86[Men''s Synchronized Platform Classification],"&gt;0")</f>
        <v>0</v>
      </c>
      <c r="ER68" s="6">
        <f>COUNTIFS(Table86[Country],Tabela1[[#This Row],[Country]],Table86[Women''s Synchronized Platform Classification],"&gt;0")</f>
        <v>0</v>
      </c>
      <c r="ES68" s="6">
        <f>COUNTIFS(Table44[Country],Tabela1[[#This Row],[Country]],Table44[Dressage Classification],"&gt;0")</f>
        <v>0</v>
      </c>
      <c r="ET68" s="6">
        <f>COUNTIFS(Table45[Country],Tabela1[[#This Row],[Country]],Table45[Dressage Classification],"&gt;0")</f>
        <v>0</v>
      </c>
      <c r="EU68" s="6">
        <f>COUNTIFS(Table44[Country],Tabela1[[#This Row],[Country]],Table44[Eventing Classification],"&gt;0")</f>
        <v>0</v>
      </c>
      <c r="EV68" s="6">
        <f>COUNTIFS(Table45[Country],Tabela1[[#This Row],[Country]],Table45[Eventing Classification],"&gt;0")</f>
        <v>0</v>
      </c>
      <c r="EW68" s="6">
        <f>COUNTIFS(Table44[Country],Tabela1[[#This Row],[Country]],Table44[Jumping Classification],"&gt;0")</f>
        <v>1</v>
      </c>
      <c r="EX68" s="6">
        <f>COUNTIFS(Table45[Country],Tabela1[[#This Row],[Country]],Table45[Jumping Classification],"&gt;0")</f>
        <v>0</v>
      </c>
      <c r="EY68" s="6">
        <f>COUNTIFS(Table10[Country],Tabela1[[#This Row],[Country]],Table10[Épée Classification],"&gt;0")</f>
        <v>0</v>
      </c>
      <c r="EZ68" s="6">
        <f>COUNTIFS(Table11[Country],Tabela1[[#This Row],[Country]],Table11[Épée Classification],"&gt;0")</f>
        <v>0</v>
      </c>
      <c r="FA68" s="6">
        <f>COUNTIFS(Table46[Country],Tabela1[[#This Row],[Country]],Table46[Men''s Épée Classification],"&gt;0")</f>
        <v>0</v>
      </c>
      <c r="FB68" s="6">
        <f>COUNTIFS(Table46[Country],Tabela1[[#This Row],[Country]],Table46[Women''s Épée Classification],"&gt;0")</f>
        <v>0</v>
      </c>
      <c r="FC68" s="6">
        <f>COUNTIFS(Table10[Country],Tabela1[[#This Row],[Country]],Table10[Foil Classification],"&gt;0")</f>
        <v>0</v>
      </c>
      <c r="FD68" s="6">
        <f>COUNTIFS(Table11[Country],Tabela1[[#This Row],[Country]],Table11[Foil Classification],"&gt;0")</f>
        <v>0</v>
      </c>
      <c r="FE68" s="6">
        <f>COUNTIFS(Table46[Country],Tabela1[[#This Row],[Country]],Table46[Men''s Foil Classification],"&gt;0")</f>
        <v>0</v>
      </c>
      <c r="FF68" s="6">
        <f>COUNTIFS(Table46[Country],Tabela1[[#This Row],[Country]],Table46[Women''s Foil Classification],"&gt;0")</f>
        <v>0</v>
      </c>
      <c r="FG68" s="6">
        <f>COUNTIFS(Table10[Country],Tabela1[[#This Row],[Country]],Table10[Sabre Classification],"&gt;0")</f>
        <v>0</v>
      </c>
      <c r="FH68" s="6">
        <f>COUNTIFS(Table11[Country],Tabela1[[#This Row],[Country]],Table11[Sabre Classification],"&gt;0")</f>
        <v>0</v>
      </c>
      <c r="FI68" s="6">
        <f>COUNTIFS(Table46[Country],Tabela1[[#This Row],[Country]],Table46[Men''s Sabre Classification],"&gt;0")</f>
        <v>0</v>
      </c>
      <c r="FJ68" s="6">
        <f>COUNTIFS(Table46[Country],Tabela1[[#This Row],[Country]],Table46[Women''s Sabre Classification],"&gt;0")</f>
        <v>0</v>
      </c>
      <c r="FK68" s="6">
        <f>COUNTIFS(Table91[Country],Tabela1[[#This Row],[Country]],Table91[Men''s Classification],"&gt;0")</f>
        <v>0</v>
      </c>
      <c r="FL68" s="6">
        <f>COUNTIFS(Table91[Country],Tabela1[[#This Row],[Country]],Table91[Women''s Classification],"&gt;0")</f>
        <v>0</v>
      </c>
      <c r="FM68" s="6">
        <f>COUNTIFS(Table9194[Country],Tabela1[[#This Row],[Country]],Table9194[Men''s Classification],"&gt;0")</f>
        <v>0</v>
      </c>
      <c r="FN68" s="6">
        <f>COUNTIFS(Table9194[Country],Tabela1[[#This Row],[Country]],Table9194[Women''s Classification],"&gt;0")</f>
        <v>0</v>
      </c>
      <c r="FO68" s="6">
        <f>COUNTIFS(Table71[Country],Tabela1[[#This Row],[Country]],Table71[Classification],"&gt;0")</f>
        <v>0</v>
      </c>
      <c r="FP68" s="6">
        <f>COUNTIFS(Table62[Country],Tabela1[[#This Row],[Country]],Table62[Classification],"&gt;0")</f>
        <v>0</v>
      </c>
      <c r="FQ68" s="6">
        <f>COUNTIFS(Table47[Country],Tabela1[[#This Row],[Country]],Table47[All-Around Classification],"&gt;0")</f>
        <v>0</v>
      </c>
      <c r="FR68" s="6">
        <f>COUNTIFS(Table48[Country],Tabela1[[#This Row],[Country]],Table48[All-Around Classification],"&gt;0")</f>
        <v>0</v>
      </c>
      <c r="FS68" s="6">
        <f>COUNTIFS(Table81[Country],Tabela1[[#This Row],[Country]],Table81[Men''s All-Around Classification],"&gt;0")</f>
        <v>0</v>
      </c>
      <c r="FT68" s="6">
        <f>COUNTIFS(Table81[Country],Tabela1[[#This Row],[Country]],Table81[Women''s All-Around Classification],"&gt;0")</f>
        <v>0</v>
      </c>
      <c r="FU68" s="6">
        <f>COUNTIFS(Table48[Country],Tabela1[[#This Row],[Country]],Table48[Balance Beam Classification],"&gt;0")</f>
        <v>0</v>
      </c>
      <c r="FV68" s="6">
        <f>COUNTIFS(Table47[Country],Tabela1[[#This Row],[Country]],Table47[Floor Exercise Classification],"&gt;0")</f>
        <v>0</v>
      </c>
      <c r="FW68" s="6">
        <f>COUNTIFS(Table48[Country],Tabela1[[#This Row],[Country]],Table48[Floor Exercise Classification],"&gt;0")</f>
        <v>0</v>
      </c>
      <c r="FX68" s="6">
        <f>COUNTIFS(Table47[Country],Tabela1[[#This Row],[Country]],Table47[Horizontal Bar Classification],"&gt;0")</f>
        <v>0</v>
      </c>
      <c r="FY68" s="6">
        <f>COUNTIFS(Table47[Country],Tabela1[[#This Row],[Country]],Table47[Parallel Bars Classification],"&gt;0")</f>
        <v>0</v>
      </c>
      <c r="FZ68" s="6">
        <f>COUNTIFS(Table47[Country],Tabela1[[#This Row],[Country]],Table47[Pommel Horse Classification],"&gt;0")</f>
        <v>0</v>
      </c>
      <c r="GA68" s="6">
        <f>COUNTIFS(Table47[Country],Tabela1[[#This Row],[Country]],Table47[Rings Classification],"&gt;0")</f>
        <v>0</v>
      </c>
      <c r="GB68" s="6">
        <f>COUNTIFS(Tabela132[Country],Tabela1[[#This Row],[Country]],Tabela132[Classification],"&gt;0")</f>
        <v>0</v>
      </c>
      <c r="GC68" s="6">
        <f>COUNTIFS(Tabela139[Country],Tabela1[[#This Row],[Country]],Tabela139[Classification],"&gt;0")</f>
        <v>0</v>
      </c>
      <c r="GD68" s="6">
        <f>COUNTIFS(Table48[Country],Tabela1[[#This Row],[Country]],Table48[Uneven Bars Classification],"&gt;0")</f>
        <v>0</v>
      </c>
      <c r="GE68" s="6">
        <f>COUNTIFS(Table47[Country],Tabela1[[#This Row],[Country]],Table47[Vault Classification],"&gt;0")</f>
        <v>0</v>
      </c>
      <c r="GF68" s="6">
        <f>COUNTIFS(Table48[Country],Tabela1[[#This Row],[Country]],Table48[Vault Classification],"&gt;0")</f>
        <v>0</v>
      </c>
      <c r="GG68" s="6">
        <f>COUNTIFS(Table919496[Country],Tabela1[[#This Row],[Country]],Table919496[Men''s Classification],"&gt;0")</f>
        <v>0</v>
      </c>
      <c r="GH68" s="6">
        <f>COUNTIFS(Table919496[Country],Tabela1[[#This Row],[Country]],Table919496[Women''s Classification],"&gt;0")</f>
        <v>0</v>
      </c>
      <c r="GI68" s="6">
        <f>COUNTIFS(Table12[Country],Tabela1[[#This Row],[Country]],Table12[60kg Classification],"&gt;0")</f>
        <v>0</v>
      </c>
      <c r="GJ68" s="6">
        <f>COUNTIFS(Table12[Country],Tabela1[[#This Row],[Country]],Table12[66kg Classification],"&gt;0")</f>
        <v>0</v>
      </c>
      <c r="GK68" s="6">
        <f>COUNTIFS(Table12[Country],Tabela1[[#This Row],[Country]],Table12[73kg Classification],"&gt;0")</f>
        <v>0</v>
      </c>
      <c r="GL68" s="6">
        <f>COUNTIFS(Table12[Country],Tabela1[[#This Row],[Country]],Table12[81kg Classification],"&gt;0")</f>
        <v>0</v>
      </c>
      <c r="GM68" s="6">
        <f>COUNTIFS(Table12[Country],Tabela1[[#This Row],[Country]],Table12[90kg Classification],"&gt;0")</f>
        <v>0</v>
      </c>
      <c r="GN68" s="6">
        <f>COUNTIFS(Table12[Country],Tabela1[[#This Row],[Country]],Table12[100kg Classification],"&gt;0")</f>
        <v>0</v>
      </c>
      <c r="GO68" s="6">
        <f>COUNTIFS(Table12[Country],Tabela1[[#This Row],[Country]],Table12[Plus 100kg Classification],"&gt;0")</f>
        <v>0</v>
      </c>
      <c r="GP68" s="6">
        <f>COUNTIFS(Table13[Country],Tabela1[[#This Row],[Country]],Table13[48kg Classification],"&gt;0")</f>
        <v>0</v>
      </c>
      <c r="GQ68" s="6">
        <f>COUNTIFS(Table13[Country],Tabela1[[#This Row],[Country]],Table13[52kg Classification],"&gt;0")</f>
        <v>0</v>
      </c>
      <c r="GR68" s="6">
        <f>COUNTIFS(Table13[Country],Tabela1[[#This Row],[Country]],Table13[57kg Classification],"&gt;0")</f>
        <v>0</v>
      </c>
      <c r="GS68" s="6">
        <f>COUNTIFS(Table13[Country],Tabela1[[#This Row],[Country]],Table13[63kg Classification],"&gt;0")</f>
        <v>0</v>
      </c>
      <c r="GT68" s="6">
        <f>COUNTIFS(Table13[Country],Tabela1[[#This Row],[Country]],Table13[70kg Classification],"&gt;0")</f>
        <v>0</v>
      </c>
      <c r="GU68" s="6">
        <f>COUNTIFS(Table13[Country],Tabela1[[#This Row],[Country]],Table13[78kg Classification],"&gt;0")</f>
        <v>0</v>
      </c>
      <c r="GV68" s="6">
        <f>COUNTIFS(Table13[Country],Tabela1[[#This Row],[Country]],Table13[Plus 78kg Classification],"&gt;0")</f>
        <v>0</v>
      </c>
      <c r="GW68" s="6">
        <f>COUNTIFS(Table82[Country],Tabela1[[#This Row],[Country]],Table82[Mixed Classification],"&gt;0")</f>
        <v>0</v>
      </c>
      <c r="GX68" s="6">
        <f>COUNTIFS(Table51[Country],Tabela1[[#This Row],[Country]],Table51[Classification],"&gt;0")</f>
        <v>0</v>
      </c>
      <c r="GY68" s="6">
        <f>COUNTIFS(Table52[Country],Tabela1[[#This Row],[Country]],Table52[Classification],"&gt;0")</f>
        <v>0</v>
      </c>
      <c r="GZ68" s="6">
        <f>COUNTIFS(Table32[Country],Tabela1[[#This Row],[Country]],Table32[All-Around Classification],"&gt;0")</f>
        <v>0</v>
      </c>
      <c r="HA68" s="6">
        <f>COUNTIFS(Table49[Country],Tabela1[[#This Row],[Country]],Table49[All-Around Classification],"&gt;0")</f>
        <v>0</v>
      </c>
      <c r="HB68" s="6">
        <f>COUNTIFS(Table26[Country],Tabela1[[#This Row],[Country]],Table26[Single Sculls Classification],"&gt;0")</f>
        <v>0</v>
      </c>
      <c r="HC68" s="6">
        <f>COUNTIFS(Table63[Country],Tabela1[[#This Row],[Country]],Table63[Single Sculls Classification],"&gt;0")</f>
        <v>0</v>
      </c>
      <c r="HD68" s="6">
        <f>COUNTIFS(Table16[Country],Tabela1[[#This Row],[Country]],Table16[Men''s Double Sculls Classification],"&gt;0")</f>
        <v>0</v>
      </c>
      <c r="HE68" s="6">
        <f>COUNTIFS(Table16[Country],Tabela1[[#This Row],[Country]],Table16[Women''s Double Sculls Classification],"&gt;0")</f>
        <v>0</v>
      </c>
      <c r="HF68" s="6">
        <f>COUNTIFS(Table72[Country],Tabela1[[#This Row],[Country]],Table72[Men''s Quadruple Sculls Classification],"&gt;0")</f>
        <v>1</v>
      </c>
      <c r="HG68" s="6">
        <f>COUNTIFS(Table72[Country],Tabela1[[#This Row],[Country]],Table72[Women''s Quadruple Sculls Classification],"&gt;0")</f>
        <v>0</v>
      </c>
      <c r="HH68" s="6">
        <f>COUNTIFS(Table16[Country],Tabela1[[#This Row],[Country]],Table16[Men''s Coxless Pairs Classification],"&gt;0")</f>
        <v>0</v>
      </c>
      <c r="HI68" s="6">
        <f>COUNTIFS(Table16[Country],Tabela1[[#This Row],[Country]],Table16[Women''s Coxless Pairs Classification],"&gt;0")</f>
        <v>0</v>
      </c>
      <c r="HJ68" s="6">
        <f>COUNTIFS(Table72[Country],Tabela1[[#This Row],[Country]],Table72[Men''s Coxless Fours Classification],"&gt;0")</f>
        <v>0</v>
      </c>
      <c r="HK68" s="6">
        <f>COUNTIFS(Table72[Country],Tabela1[[#This Row],[Country]],Table72[Women''s Coxless Fours Classification],"&gt;0")</f>
        <v>0</v>
      </c>
      <c r="HL68" s="6">
        <f>COUNTIFS(Table72[Country],Tabela1[[#This Row],[Country]],Table72[Men''s Eights Classification],"&gt;0")</f>
        <v>0</v>
      </c>
      <c r="HM68" s="6">
        <f>COUNTIFS(Table72[Country],Tabela1[[#This Row],[Country]],Table72[Women''s Eights Classification],"&gt;0")</f>
        <v>0</v>
      </c>
      <c r="HN68" s="6">
        <f>COUNTIFS(Table16[Country],Tabela1[[#This Row],[Country]],Table16[Men''s Lwt. Double Sculls Classification],"&gt;0")</f>
        <v>0</v>
      </c>
      <c r="HO68" s="6">
        <f>COUNTIFS(Table16[Country],Tabela1[[#This Row],[Country]],Table16[Women''s Lwt. Double Sculls Classification],"&gt;0")</f>
        <v>0</v>
      </c>
      <c r="HP68" s="6">
        <f>COUNTIFS(Table91949698[Country],Tabela1[[#This Row],[Country]],Table91949698[Men''s Classification],"&gt;0")</f>
        <v>0</v>
      </c>
      <c r="HQ68" s="6">
        <f>COUNTIFS(Table91949698[Country],Tabela1[[#This Row],[Country]],Table91949698[Women''s Classification],"&gt;0")</f>
        <v>0</v>
      </c>
      <c r="HR68" s="6">
        <f>COUNTIFS(Table25[Country],Tabela1[[#This Row],[Country]],Table25[Mixed 470 Classification],"&gt;0")</f>
        <v>0</v>
      </c>
      <c r="HS68" s="6">
        <f>COUNTIFS(Table25[Country],Tabela1[[#This Row],[Country]],Table25[Men''s 49er Classification],"&gt;0")</f>
        <v>0</v>
      </c>
      <c r="HT68" s="6">
        <f>COUNTIFS(Table25[Country],Tabela1[[#This Row],[Country]],Table25[Women''s 49er FX Classification],"&gt;0")</f>
        <v>0</v>
      </c>
      <c r="HU68" s="6">
        <f>COUNTIFS(Table17[Country],Tabela1[[#This Row],[Country]],Table17[Formula Kite Classification],"&gt;0")</f>
        <v>0</v>
      </c>
      <c r="HV68" s="6">
        <f>COUNTIFS(Table18[Country],Tabela1[[#This Row],[Country]],Table18[Formula Kite Classification],"&gt;0")</f>
        <v>0</v>
      </c>
      <c r="HW68" s="6">
        <f>COUNTIFS(Table17[Country],Tabela1[[#This Row],[Country]],Table17[ILCA 7 Classification],"&gt;0")</f>
        <v>0</v>
      </c>
      <c r="HX68" s="6">
        <f>COUNTIFS(Table18[Country],Tabela1[[#This Row],[Country]],Table18[ILCA 6 Classification],"&gt;0")</f>
        <v>0</v>
      </c>
      <c r="HY68" s="6">
        <f>COUNTIFS(Table17[Country],Tabela1[[#This Row],[Country]],Table17[IQFoil Classification],"&gt;0")</f>
        <v>0</v>
      </c>
      <c r="HZ68" s="6">
        <f>COUNTIFS(Table18[Country],Tabela1[[#This Row],[Country]],Table18[IQFoil Classification],"&gt;0")</f>
        <v>0</v>
      </c>
      <c r="IA68" s="6">
        <f>COUNTIFS(Table25[Country],Tabela1[[#This Row],[Country]],Table25[Mixed Nacra 17 Classification],"&gt;0")</f>
        <v>0</v>
      </c>
      <c r="IB68" s="6">
        <f>COUNTIFS(Table53[Country],Tabela1[[#This Row],[Country]],Table53[10m Air Pistol Classification],"&gt;0")</f>
        <v>0</v>
      </c>
      <c r="IC68" s="6">
        <f>COUNTIFS(Table19[Country],Tabela1[[#This Row],[Country]],Table19[10m Air Pistol Classification],"&gt;0")</f>
        <v>0</v>
      </c>
      <c r="ID68" s="6">
        <f>COUNTIFS(Table54[Country],Tabela1[[#This Row],[Country]],Table54[Mixed 10m Air Pistol Team Classification],"&gt;0")</f>
        <v>0</v>
      </c>
      <c r="IE68" s="6">
        <f>COUNTIFS(Table53[Country],Tabela1[[#This Row],[Country]],Table53[10m Air Rifle Classification],"&gt;0")</f>
        <v>0</v>
      </c>
      <c r="IF68" s="6">
        <f>COUNTIFS(Table19[Country],Tabela1[[#This Row],[Country]],Table19[10m Air Rifle Classification],"&gt;0")</f>
        <v>0</v>
      </c>
      <c r="IG68" s="6">
        <f>COUNTIFS(Table54[Country],Tabela1[[#This Row],[Country]],Table54[Mixed 10m Air Rifle Team Classification],"&gt;0")</f>
        <v>0</v>
      </c>
      <c r="IH68" s="6">
        <f>COUNTIFS(Table53[Country],Tabela1[[#This Row],[Country]],Table53[25m Rapid Fire Pistol Classification],"&gt;0")</f>
        <v>1</v>
      </c>
      <c r="II68" s="6">
        <f>COUNTIFS(Table19[Country],Tabela1[[#This Row],[Country]],Table19[25m Pistol Classification],"&gt;0")</f>
        <v>0</v>
      </c>
      <c r="IJ68" s="6">
        <f>COUNTIFS(Table53[Country],Tabela1[[#This Row],[Country]],Table53[50m Rifle 3 Positions Classification],"&gt;0")</f>
        <v>0</v>
      </c>
      <c r="IK68" s="6">
        <f>COUNTIFS(Table19[Country],Tabela1[[#This Row],[Country]],Table19[50m Rifle 3 Positions Classification],"&gt;0")</f>
        <v>0</v>
      </c>
      <c r="IL68" s="6">
        <f>COUNTIFS(Table53[Country],Tabela1[[#This Row],[Country]],Table53[Skeet Classification],"&gt;0")</f>
        <v>0</v>
      </c>
      <c r="IM68" s="6">
        <f>COUNTIFS(Table19[Country],Tabela1[[#This Row],[Country]],Table19[Skeet Classification],"&gt;0")</f>
        <v>0</v>
      </c>
      <c r="IN68" s="6">
        <f>COUNTIFS(Table54[Country],Tabela1[[#This Row],[Country]],Table54[Mixed Skeet Team Classification],"&gt;0")</f>
        <v>0</v>
      </c>
      <c r="IO68" s="6">
        <f>COUNTIFS(Table53[Country],Tabela1[[#This Row],[Country]],Table53[Trap Classification],"&gt;0")</f>
        <v>0</v>
      </c>
      <c r="IP68" s="6">
        <f>COUNTIFS(Table19[Country],Tabela1[[#This Row],[Country]],Table19[Trap Classification],"&gt;0")</f>
        <v>0</v>
      </c>
      <c r="IQ68" s="6">
        <f>COUNTIFS(Table73[Country],Tabela1[[#This Row],[Country]],Table73[Park Classification],"&gt;0")</f>
        <v>0</v>
      </c>
      <c r="IR68" s="6">
        <f>COUNTIFS(Table74[Country],Tabela1[[#This Row],[Country]],Table74[Park Classification],"&gt;0")</f>
        <v>0</v>
      </c>
      <c r="IS68" s="6">
        <f>COUNTIFS(Table73[Country],Tabela1[[#This Row],[Country]],Table73[Street Classification],"&gt;0")</f>
        <v>0</v>
      </c>
      <c r="IT68" s="6">
        <f>COUNTIFS(Table74[Country],Tabela1[[#This Row],[Country]],Table74[Street Classification],"&gt;0")</f>
        <v>0</v>
      </c>
      <c r="IU68" s="6">
        <f>COUNTIFS(Table75[Country],Tabela1[[#This Row],[Country]],Table75[Boulder and Lead Classification],"&gt;0")</f>
        <v>0</v>
      </c>
      <c r="IV68" s="6">
        <f>COUNTIFS(Table76[Country],Tabela1[[#This Row],[Country]],Table76[Boulder and Lead Classification],"&gt;0")</f>
        <v>0</v>
      </c>
      <c r="IW68" s="6">
        <f>COUNTIFS(Table75[Country],Tabela1[[#This Row],[Country]],Table75[Speed Classification],"&gt;0")</f>
        <v>0</v>
      </c>
      <c r="IX68" s="6">
        <f>COUNTIFS(Table76[Country],Tabela1[[#This Row],[Country]],Table76[Speed Classification],"&gt;0")</f>
        <v>0</v>
      </c>
      <c r="IY68" s="6">
        <f>COUNTIFS(Table64[Country],Tabela1[[#This Row],[Country]],Table64[Shortboard Classification],"&gt;0")</f>
        <v>0</v>
      </c>
      <c r="IZ68" s="6">
        <f>COUNTIFS(Table77[Country],Tabela1[[#This Row],[Country]],Table77[Shortboard Classification],"&gt;0")</f>
        <v>0</v>
      </c>
      <c r="JA68" s="6">
        <f>COUNTIFS(Table20[Country],Tabela1[[#This Row],[Country]],Table20[50m Freestyle Classification],"&gt;0")</f>
        <v>0</v>
      </c>
      <c r="JB68" s="6">
        <f>COUNTIFS(Table21[Country],Tabela1[[#This Row],[Country]],Table21[50m Freestyle Classification],"&gt;0")</f>
        <v>0</v>
      </c>
      <c r="JC68" s="6">
        <f>COUNTIFS(Table20[Country],Tabela1[[#This Row],[Country]],Table20[100m Freestyle Classification],"&gt;0")</f>
        <v>0</v>
      </c>
      <c r="JD68" s="6">
        <f>COUNTIFS(Table21[Country],Tabela1[[#This Row],[Country]],Table21[100m Freestyle Classification],"&gt;0")</f>
        <v>0</v>
      </c>
      <c r="JE68" s="6">
        <f>COUNTIFS(Table20[Country],Tabela1[[#This Row],[Country]],Table20[200m Freestyle Classification],"&gt;0")</f>
        <v>0</v>
      </c>
      <c r="JF68" s="6">
        <f>COUNTIFS(Table21[Country],Tabela1[[#This Row],[Country]],Table21[200m Freestyle Classification],"&gt;0")</f>
        <v>0</v>
      </c>
      <c r="JG68" s="6">
        <f>COUNTIFS(Table20[Country],Tabela1[[#This Row],[Country]],Table20[400m Freestyle Classification],"&gt;0")</f>
        <v>0</v>
      </c>
      <c r="JH68" s="6">
        <f>COUNTIFS(Table21[Country],Tabela1[[#This Row],[Country]],Table21[400m Freestyle Classification],"&gt;0")</f>
        <v>0</v>
      </c>
      <c r="JI68" s="6">
        <f>COUNTIFS(Table20[Country],Tabela1[[#This Row],[Country]],Table20[800m Freestyle Classification],"&gt;0")</f>
        <v>0</v>
      </c>
      <c r="JJ68" s="6">
        <f>COUNTIFS(Table21[Country],Tabela1[[#This Row],[Country]],Table21[800m Freestyle Classification],"&gt;0")</f>
        <v>0</v>
      </c>
      <c r="JK68" s="6">
        <f>COUNTIFS(Table20[Country],Tabela1[[#This Row],[Country]],Table20[1500m Freestyle Classification],"&gt;0")</f>
        <v>0</v>
      </c>
      <c r="JL68" s="6">
        <f>COUNTIFS(Table21[Country],Tabela1[[#This Row],[Country]],Table21[1500m Freestyle Classification],"&gt;0")</f>
        <v>0</v>
      </c>
      <c r="JM68" s="6">
        <f>COUNTIFS(Table20[Country],Tabela1[[#This Row],[Country]],Table20[100m Backstroke Classification],"&gt;0")</f>
        <v>0</v>
      </c>
      <c r="JN68" s="6">
        <f>COUNTIFS(Table21[Country],Tabela1[[#This Row],[Country]],Table21[100m Backstroke Classification],"&gt;0")</f>
        <v>0</v>
      </c>
      <c r="JO68" s="6">
        <f>COUNTIFS(Table20[Country],Tabela1[[#This Row],[Country]],Table20[200m Backstroke Classification],"&gt;0")</f>
        <v>0</v>
      </c>
      <c r="JP68" s="6">
        <f>COUNTIFS(Table21[Country],Tabela1[[#This Row],[Country]],Table21[200m Backstroke Classification],"&gt;0")</f>
        <v>0</v>
      </c>
      <c r="JQ68" s="6">
        <f>COUNTIFS(Table20[Country],Tabela1[[#This Row],[Country]],Table20[100m Breaststroke Classification],"&gt;0")</f>
        <v>0</v>
      </c>
      <c r="JR68" s="6">
        <f>COUNTIFS(Table21[Country],Tabela1[[#This Row],[Country]],Table21[100m Breaststroke Classification],"&gt;0")</f>
        <v>0</v>
      </c>
      <c r="JS68" s="6">
        <f>COUNTIFS(Table20[Country],Tabela1[[#This Row],[Country]],Table20[200m Breaststroke Classification],"&gt;0")</f>
        <v>0</v>
      </c>
      <c r="JT68" s="6">
        <f>COUNTIFS(Table21[Country],Tabela1[[#This Row],[Country]],Table21[200m Breaststroke Classification],"&gt;0")</f>
        <v>0</v>
      </c>
      <c r="JU68" s="6">
        <f>COUNTIFS(Table20[Country],Tabela1[[#This Row],[Country]],Table20[100m Butterfly Classification],"&gt;0")</f>
        <v>0</v>
      </c>
      <c r="JV68" s="6">
        <f>COUNTIFS(Table21[Country],Tabela1[[#This Row],[Country]],Table21[100m Butterfly Classification],"&gt;0")</f>
        <v>0</v>
      </c>
      <c r="JW68" s="6">
        <f>COUNTIFS(Table20[Country],Tabela1[[#This Row],[Country]],Table20[200m Butterfly Classification],"&gt;0")</f>
        <v>0</v>
      </c>
      <c r="JX68" s="6">
        <f>COUNTIFS(Table21[Country],Tabela1[[#This Row],[Country]],Table21[200m Butterfly Classification],"&gt;0")</f>
        <v>0</v>
      </c>
      <c r="JY68" s="6">
        <f>COUNTIFS(Table20[Country],Tabela1[[#This Row],[Country]],Table20[200m Medley Classification],"&gt;0")</f>
        <v>0</v>
      </c>
      <c r="JZ68" s="6">
        <f>COUNTIFS(Table21[Country],Tabela1[[#This Row],[Country]],Table21[200m Medley Classification],"&gt;0")</f>
        <v>0</v>
      </c>
      <c r="KA68" s="6">
        <f>COUNTIFS(Table20[Country],Tabela1[[#This Row],[Country]],Table20[400m Medley Classification],"&gt;0")</f>
        <v>0</v>
      </c>
      <c r="KB68" s="6">
        <f>COUNTIFS(Table21[Country],Tabela1[[#This Row],[Country]],Table21[400m Medley Classification],"&gt;0")</f>
        <v>0</v>
      </c>
      <c r="KC68" s="6">
        <f>COUNTIFS(Table78[Country],Tabela1[[#This Row],[Country]],Table78[Men''s 4x100m Freestyle Relay Classification],"&gt;0")</f>
        <v>0</v>
      </c>
      <c r="KD68" s="6">
        <f>COUNTIFS(Table78[Country],Tabela1[[#This Row],[Country]],Table78[Women''s 4x100m Freestyle Relay Classification],"&gt;0")</f>
        <v>0</v>
      </c>
      <c r="KE68" s="6">
        <f>COUNTIFS(Table78[Country],Tabela1[[#This Row],[Country]],Table78[Men''s 4x200m Freestyle Relay Classification],"&gt;0")</f>
        <v>0</v>
      </c>
      <c r="KF68" s="6">
        <f>COUNTIFS(Table78[Country],Tabela1[[#This Row],[Country]],Table78[Women''s 4x200m Freestyle Relay Classification],"&gt;0")</f>
        <v>0</v>
      </c>
      <c r="KG68" s="6">
        <f>COUNTIFS(Table78[Country],Tabela1[[#This Row],[Country]],Table78[Men''s 4x100m Medley Relay Classification],"&gt;0")</f>
        <v>0</v>
      </c>
      <c r="KH68" s="6">
        <f>COUNTIFS(Table78[Country],Tabela1[[#This Row],[Country]],Table78[Women''s 4x100m Medley Relay Classification],"&gt;0")</f>
        <v>0</v>
      </c>
      <c r="KI68" s="6">
        <f>COUNTIFS(Table78[Country],Tabela1[[#This Row],[Country]],Table78[Mixed 4x100m Medley Relay Classification],"&gt;0")</f>
        <v>0</v>
      </c>
      <c r="KJ68" s="6">
        <f>COUNTIFS(Table20[Country],Tabela1[[#This Row],[Country]],Table20[10km Open Water Classification],"&gt;0")</f>
        <v>0</v>
      </c>
      <c r="KK68" s="6">
        <f>COUNTIFS(Table21[Country],Tabela1[[#This Row],[Country]],Table21[10km Open Water Classification],"&gt;0")</f>
        <v>0</v>
      </c>
      <c r="KL68" s="6">
        <f>COUNTIFS(Table22[Country],Tabela1[[#This Row],[Country]],Table22[Classification],"&gt;0")</f>
        <v>0</v>
      </c>
      <c r="KM68" s="6">
        <f>COUNTIFS(Table30[Country],Tabela1[[#This Row],[Country]],Table30[Classification],"&gt;0")</f>
        <v>0</v>
      </c>
      <c r="KN68" s="6">
        <f>COUNTIFS(Table55[Country],Tabela1[[#This Row],[Country]],Table55[Men''s Classification],"&gt;0")</f>
        <v>0</v>
      </c>
      <c r="KO68" s="6">
        <f>COUNTIFS(Table55[Country],Tabela1[[#This Row],[Country]],Table55[Women''s Classification],"&gt;0")</f>
        <v>0</v>
      </c>
      <c r="KP68" s="6">
        <f>COUNTIFS(Table56[Country],Tabela1[[#This Row],[Country]],Table56[Mixed Classification],"&gt;0")</f>
        <v>0</v>
      </c>
      <c r="KQ68" s="6">
        <f>COUNTIFS(Table29[Country],Tabela1[[#This Row],[Country]],Table29[58kg Classification],"&gt;0")</f>
        <v>0</v>
      </c>
      <c r="KR68" s="6">
        <f>COUNTIFS(Table29[Country],Tabela1[[#This Row],[Country]],Table29[68kg Classification],"&gt;0")</f>
        <v>0</v>
      </c>
      <c r="KS68" s="6">
        <f>COUNTIFS(Table29[Country],Tabela1[[#This Row],[Country]],Table29[80kg Classification],"&gt;0")</f>
        <v>0</v>
      </c>
      <c r="KT68" s="6">
        <f>COUNTIFS(Table29[Country],Tabela1[[#This Row],[Country]],Table29[Plus 80kg Classification],"&gt;0")</f>
        <v>0</v>
      </c>
      <c r="KU68" s="6">
        <f>COUNTIFS(Table34[Country],Tabela1[[#This Row],[Country]],Table34[49kg Classification],"&gt;0")</f>
        <v>0</v>
      </c>
      <c r="KV68" s="6">
        <f>COUNTIFS(Table34[Country],Tabela1[[#This Row],[Country]],Table34[57kg Classification],"&gt;0")</f>
        <v>0</v>
      </c>
      <c r="KW68" s="6">
        <f>COUNTIFS(Table34[Country],Tabela1[[#This Row],[Country]],Table34[67kg Classification],"&gt;0")</f>
        <v>0</v>
      </c>
      <c r="KX68" s="6">
        <f>COUNTIFS(Table34[Country],Tabela1[[#This Row],[Country]],Table34[Plus 67kg Classification],"&gt;0")</f>
        <v>0</v>
      </c>
      <c r="KY68" s="6">
        <f>COUNTIFS(Table57[Country],Tabela1[[#This Row],[Country]],Table57[Classification],"&gt;0")</f>
        <v>0</v>
      </c>
      <c r="KZ68" s="6">
        <f>COUNTIFS(Table58[Country],Tabela1[[#This Row],[Country]],Table58[Classification],"&gt;0")</f>
        <v>0</v>
      </c>
      <c r="LA68" s="6">
        <f>COUNTIFS(Table79[Country],Tabela1[[#This Row],[Country]],Table79[Men''s Classification],"&gt;0")</f>
        <v>0</v>
      </c>
      <c r="LB68" s="6">
        <f>COUNTIFS(Table79[Country],Tabela1[[#This Row],[Country]],Table79[Women''s Classification],"&gt;0")</f>
        <v>0</v>
      </c>
      <c r="LC68" s="6">
        <f>COUNTIFS(Table79[Country],Tabela1[[#This Row],[Country]],Table79[Mixed Classification],"&gt;0")</f>
        <v>0</v>
      </c>
      <c r="LD68" s="6">
        <f>COUNTIFS(Table65[Country],Tabela1[[#This Row],[Country]],Table65[Classification],"&gt;0")</f>
        <v>0</v>
      </c>
      <c r="LE68" s="6">
        <f>COUNTIFS(Table59[Country],Tabela1[[#This Row],[Country]],Table59[Classification],"&gt;0")</f>
        <v>0</v>
      </c>
      <c r="LF68" s="6">
        <f>COUNTIFS(Table87[Country],Tabela1[[#This Row],[Country]],Table87[Mixed Relay Classification],"&gt;0")</f>
        <v>0</v>
      </c>
      <c r="LG68" s="6">
        <f>COUNTIFS(Table91949698100[Country],Tabela1[[#This Row],[Country]],Table91949698100[Men''s Classification],"&gt;0")</f>
        <v>0</v>
      </c>
      <c r="LH68" s="6">
        <f>COUNTIFS(Table91949698100[Country],Tabela1[[#This Row],[Country]],Table91949698100[Women''s Classification],"&gt;0")</f>
        <v>0</v>
      </c>
      <c r="LI68" s="6">
        <f>COUNTIFS(Table91949698100102[Country],Tabela1[[#This Row],[Country]],Table91949698100102[Men''s Classification],"&gt;0")</f>
        <v>0</v>
      </c>
      <c r="LJ68" s="6">
        <f>COUNTIFS(Table91949698100102[Country],Tabela1[[#This Row],[Country]],Table91949698100102[Women''s Classification],"&gt;0")</f>
        <v>0</v>
      </c>
      <c r="LK68" s="6">
        <f>COUNTIFS(Table23[Country],Tabela1[[#This Row],[Country]],Table23[61kg Classification],"&gt;0")</f>
        <v>0</v>
      </c>
      <c r="LL68" s="6">
        <f>COUNTIFS(Table23[Country],Tabela1[[#This Row],[Country]],Table23[73kg Classification],"&gt;0")</f>
        <v>0</v>
      </c>
      <c r="LM68" s="6">
        <f>COUNTIFS(Table23[Country],Tabela1[[#This Row],[Country]],Table23[89kg Classification],"&gt;0")</f>
        <v>0</v>
      </c>
      <c r="LN68" s="6">
        <f>COUNTIFS(Table23[Country],Tabela1[[#This Row],[Country]],Table23[102kg Classification],"&gt;0")</f>
        <v>0</v>
      </c>
      <c r="LO68" s="6">
        <f>COUNTIFS(Table23[Country],Tabela1[[#This Row],[Country]],Table23[Plus 102kg Classification],"&gt;0")</f>
        <v>0</v>
      </c>
      <c r="LP68" s="6">
        <f>COUNTIFS(Table28[Country],Tabela1[[#This Row],[Country]],Table28[49kg Classification],"&gt;0")</f>
        <v>0</v>
      </c>
      <c r="LQ68" s="6">
        <f>COUNTIFS(Table28[Country],Tabela1[[#This Row],[Country]],Table28[59kg Classification],"&gt;0")</f>
        <v>0</v>
      </c>
      <c r="LR68" s="6">
        <f>COUNTIFS(Table28[Country],Tabela1[[#This Row],[Country]],Table28[71kg Classification],"&gt;0")</f>
        <v>0</v>
      </c>
      <c r="LS68" s="6">
        <f>COUNTIFS(Table28[Country],Tabela1[[#This Row],[Country]],Table28[81kg Classification],"&gt;0")</f>
        <v>0</v>
      </c>
      <c r="LT68" s="6">
        <f>COUNTIFS(Table28[Country],Tabela1[[#This Row],[Country]],Table28[Plus 81kg Classification],"&gt;0")</f>
        <v>0</v>
      </c>
      <c r="LU68" s="6">
        <f>COUNTIFS(Table24[Country],Tabela1[[#This Row],[Country]],Table24[Freestyle 57kg Classification],"&gt;0")</f>
        <v>0</v>
      </c>
      <c r="LV68" s="6">
        <f>COUNTIFS(Table24[Country],Tabela1[[#This Row],[Country]],Table24[Freestyle 65kg Classification],"&gt;0")</f>
        <v>0</v>
      </c>
      <c r="LW68" s="6">
        <f>COUNTIFS(Table24[Country],Tabela1[[#This Row],[Country]],Table24[Freestyle 74kg Classification],"&gt;0")</f>
        <v>0</v>
      </c>
      <c r="LX68" s="6">
        <f>COUNTIFS(Table24[Country],Tabela1[[#This Row],[Country]],Table24[Freestyle 86kg Classification],"&gt;0")</f>
        <v>0</v>
      </c>
      <c r="LY68" s="6">
        <f>COUNTIFS(Table24[Country],Tabela1[[#This Row],[Country]],Table24[Freestyle 97kg Classification],"&gt;0")</f>
        <v>0</v>
      </c>
      <c r="LZ68" s="6">
        <f>COUNTIFS(Table24[Country],Tabela1[[#This Row],[Country]],Table24[Freestyle 125kg Classification],"&gt;0")</f>
        <v>0</v>
      </c>
      <c r="MA68" s="6">
        <f>COUNTIFS(Table24[Country],Tabela1[[#This Row],[Country]],Table24[Greco-Roman 60kg Classification],"&gt;0")</f>
        <v>0</v>
      </c>
      <c r="MB68" s="6">
        <f>COUNTIFS(Table24[Country],Tabela1[[#This Row],[Country]],Table24[Greco-Roman 67kg Classification],"&gt;0")</f>
        <v>0</v>
      </c>
      <c r="MC68" s="6">
        <f>COUNTIFS(Table24[Country],Tabela1[[#This Row],[Country]],Table24[Greco-Roman 77kg Classification],"&gt;0")</f>
        <v>0</v>
      </c>
      <c r="MD68" s="6">
        <f>COUNTIFS(Table24[Country],Tabela1[[#This Row],[Country]],Table24[Greco-Roman 87kg Classification],"&gt;0")</f>
        <v>0</v>
      </c>
      <c r="ME68" s="6">
        <f>COUNTIFS(Table24[Country],Tabela1[[#This Row],[Country]],Table24[Greco-Roman 97kg Classification],"&gt;0")</f>
        <v>0</v>
      </c>
      <c r="MF68" s="6">
        <f>COUNTIFS(Table24[Country],Tabela1[[#This Row],[Country]],Table24[Greco-Roman 130kg Classification],"&gt;0")</f>
        <v>1</v>
      </c>
      <c r="MG68" s="6">
        <f>COUNTIFS(Table31[Country],Tabela1[[#This Row],[Country]],Table31[50kg Classification],"&gt;0")</f>
        <v>0</v>
      </c>
      <c r="MH68" s="6">
        <f>COUNTIFS(Table31[Country],Tabela1[[#This Row],[Country]],Table31[53kg Classification],"&gt;0")</f>
        <v>0</v>
      </c>
      <c r="MI68" s="6">
        <f>COUNTIFS(Table31[Country],Tabela1[[#This Row],[Country]],Table31[57kg Classification],"&gt;0")</f>
        <v>0</v>
      </c>
      <c r="MJ68" s="6">
        <f>COUNTIFS(Table31[Country],Tabela1[[#This Row],[Country]],Table31[62kg Classification],"&gt;0")</f>
        <v>0</v>
      </c>
      <c r="MK68" s="6">
        <f>COUNTIFS(Table31[Country],Tabela1[[#This Row],[Country]],Table31[68kg Classification],"&gt;0")</f>
        <v>0</v>
      </c>
      <c r="ML68" s="6">
        <f>COUNTIFS(Table31[Country],Tabela1[[#This Row],[Country]],Table31[76kg Classification],"&gt;0")</f>
        <v>0</v>
      </c>
      <c r="MM68" s="6">
        <f>COUNTIFS(Table102[Country],Tabela1[[#This Row],[Country]],Table102[Downhill Classification],"&gt;0")</f>
        <v>0</v>
      </c>
      <c r="MN68" s="6">
        <f>COUNTIFS(Table102105[Country],Tabela1[[#This Row],[Country]],Table102105[Downhill Classification],"&gt;0")</f>
        <v>0</v>
      </c>
      <c r="MO68" s="6">
        <f>COUNTIFS(Table102[Country],Tabela1[[#This Row],[Country]],Table102[Giant Slalom Classification],"&gt;0")</f>
        <v>0</v>
      </c>
      <c r="MP68" s="6">
        <f>COUNTIFS(Table102105[Country],Tabela1[[#This Row],[Country]],Table102105[Giant Slalom Classification],"&gt;0")</f>
        <v>0</v>
      </c>
      <c r="MQ68" s="6">
        <f>COUNTIFS(Table102[Country],Tabela1[[#This Row],[Country]],Table102[Slalom Classification],"&gt;0")</f>
        <v>0</v>
      </c>
      <c r="MR68" s="6">
        <f>COUNTIFS(Table102105[Country],Tabela1[[#This Row],[Country]],Table102105[Slalom Classification],"&gt;0")</f>
        <v>0</v>
      </c>
      <c r="MS68" s="6">
        <f>COUNTIFS(Table102[Country],Tabela1[[#This Row],[Country]],Table102[Super-G Classification],"&gt;0")</f>
        <v>0</v>
      </c>
      <c r="MT68" s="6">
        <f>COUNTIFS(Table102105[Country],Tabela1[[#This Row],[Country]],Table102105[Super-G Classification],"&gt;0")</f>
        <v>0</v>
      </c>
      <c r="MU68" s="6">
        <f>COUNTIFS(Table105[Country],Tabela1[[#This Row],[Country]],Table105[Men''s Combined Classification],"&gt;0")</f>
        <v>0</v>
      </c>
      <c r="MV68" s="6">
        <f>COUNTIFS(Table105[Country],Tabela1[[#This Row],[Country]],Table105[Women''s Combined Classification],"&gt;0")</f>
        <v>0</v>
      </c>
      <c r="MW68" s="6">
        <f>COUNTIFS(Table106[Country],Tabela1[[#This Row],[Country]],Table106[Individual Classification],"&gt;0")</f>
        <v>0</v>
      </c>
      <c r="MX68" s="6">
        <f>COUNTIFS(Table106109[Country],Tabela1[[#This Row],[Country]],Table106109[Individual Classification],"&gt;0")</f>
        <v>0</v>
      </c>
      <c r="MY68" s="6">
        <f>COUNTIFS(Table106[Country],Tabela1[[#This Row],[Country]],Table106[Mass Start Classification],"&gt;0")</f>
        <v>0</v>
      </c>
      <c r="MZ68" s="6">
        <f>COUNTIFS(Table106109[Country],Tabela1[[#This Row],[Country]],Table106109[Mass Start Classification],"&gt;0")</f>
        <v>0</v>
      </c>
      <c r="NA68" s="6">
        <f>COUNTIFS(Table106[Country],Tabela1[[#This Row],[Country]],Table106[Pursuit Classification],"&gt;0")</f>
        <v>0</v>
      </c>
      <c r="NB68" s="6">
        <f>COUNTIFS(Table106109[Country],Tabela1[[#This Row],[Country]],Table106109[Pursuit Classification],"&gt;0")</f>
        <v>0</v>
      </c>
      <c r="NC68" s="6">
        <f>COUNTIFS(Table106[Country],Tabela1[[#This Row],[Country]],Table106[Sprint Classification],"&gt;0")</f>
        <v>0</v>
      </c>
      <c r="ND68" s="6">
        <f>COUNTIFS(Table106109[Country],Tabela1[[#This Row],[Country]],Table106109[Sprint Classification],"&gt;0")</f>
        <v>0</v>
      </c>
      <c r="NE68" s="6">
        <f>COUNTIFS(Table109[Country],Tabela1[[#This Row],[Country]],Table109[Men''s Relay Classification],"&gt;0")</f>
        <v>0</v>
      </c>
      <c r="NF68" s="6">
        <f>COUNTIFS(Table109[Country],Tabela1[[#This Row],[Country]],Table109[Women''s Relay Classification],"&gt;0")</f>
        <v>0</v>
      </c>
      <c r="NG68" s="6">
        <f>COUNTIFS(Table109[Country],Tabela1[[#This Row],[Country]],Table109[Mixed Relay Classification],"&gt;0")</f>
        <v>0</v>
      </c>
      <c r="NH68" s="6">
        <f>COUNTIFS(Table110[Country],Tabela1[[#This Row],[Country]],Table110[Monobob Classification],"&gt;0")</f>
        <v>0</v>
      </c>
      <c r="NI68" s="6">
        <f>COUNTIFS(Table111[Country],Tabela1[[#This Row],[Country]],Table111[Men''s Classification],"&gt;0")</f>
        <v>0</v>
      </c>
      <c r="NJ68" s="6">
        <f>COUNTIFS(Table111[Country],Tabela1[[#This Row],[Country]],Table111[Women''s Classification],"&gt;0")</f>
        <v>0</v>
      </c>
      <c r="NK68" s="6">
        <f>COUNTIFS(Table112[Country],Tabela1[[#This Row],[Country]],Table112[Men''s Four Classification],"&gt;0")</f>
        <v>0</v>
      </c>
      <c r="NL68" s="6">
        <f>COUNTIFS(Table113[Country],Tabela1[[#This Row],[Country]],Table113[Classical Classification],"&gt;0")</f>
        <v>0</v>
      </c>
      <c r="NM68" s="6">
        <f>COUNTIFS(Table113116[Country],Tabela1[[#This Row],[Country]],Table113116[Classical Classification],"&gt;0")</f>
        <v>1</v>
      </c>
      <c r="NN68" s="6">
        <f>COUNTIFS(Table113[Country],Tabela1[[#This Row],[Country]],Table113[Freestyle Classification],"&gt;0")</f>
        <v>0</v>
      </c>
      <c r="NO68" s="6">
        <f>COUNTIFS(Table113116[Country],Tabela1[[#This Row],[Country]],Table113116[Freestyle Classification],"&gt;0")</f>
        <v>1</v>
      </c>
      <c r="NP68" s="6">
        <f>COUNTIFS(Table117[Country],Tabela1[[#This Row],[Country]],Table117[Men''s Relay Classification],"&gt;0")</f>
        <v>0</v>
      </c>
      <c r="NQ68" s="6">
        <f>COUNTIFS(Table117[Country],Tabela1[[#This Row],[Country]],Table117[Women''s Relay Classification],"&gt;0")</f>
        <v>1</v>
      </c>
      <c r="NR68" s="6">
        <f>COUNTIFS(Table113[Country],Tabela1[[#This Row],[Country]],Table113[Skiathlon Classification],"&gt;0")</f>
        <v>0</v>
      </c>
      <c r="NS68" s="6">
        <f>COUNTIFS(Table113116[Country],Tabela1[[#This Row],[Country]],Table113116[Skiathlon Classification],"&gt;0")</f>
        <v>0</v>
      </c>
      <c r="NT68" s="6">
        <f>COUNTIFS(Table113[Country],Tabela1[[#This Row],[Country]],Table113[Sprint Classification],"&gt;0")</f>
        <v>0</v>
      </c>
      <c r="NU68" s="6">
        <f>COUNTIFS(Table113116[Country],Tabela1[[#This Row],[Country]],Table113116[Sprint Classification],"&gt;0")</f>
        <v>1</v>
      </c>
      <c r="NV68" s="6">
        <f>COUNTIFS(Table116[Country],Tabela1[[#This Row],[Country]],Table116[Men''s Team Sprint Classification],"&gt;0")</f>
        <v>0</v>
      </c>
      <c r="NW68" s="6">
        <f>COUNTIFS(Table116[Country],Tabela1[[#This Row],[Country]],Table116[Women''s Team Sprint Classification],"&gt;0")</f>
        <v>0</v>
      </c>
      <c r="NX68" s="6">
        <f>COUNTIFS(Table119[Country],Tabela1[[#This Row],[Country]],Table119[Men''s Classification],"&gt;0")</f>
        <v>0</v>
      </c>
      <c r="NY68" s="6">
        <f>COUNTIFS(Table119[Country],Tabela1[[#This Row],[Country]],Table119[Women''s Classification],"&gt;0")</f>
        <v>0</v>
      </c>
      <c r="NZ68" s="6">
        <f>COUNTIFS(Table118[Country],Tabela1[[#This Row],[Country]],Table118[Mixed Classification],"&gt;0")</f>
        <v>0</v>
      </c>
      <c r="OA68" s="6">
        <f>COUNTIFS(Table120[Country],Tabela1[[#This Row],[Country]],Table120[Classification],"&gt;0")</f>
        <v>0</v>
      </c>
      <c r="OB68" s="6">
        <f>COUNTIFS(Table120123[Country],Tabela1[[#This Row],[Country]],Table120123[Classification],"&gt;0")</f>
        <v>0</v>
      </c>
      <c r="OC68" s="6">
        <f>COUNTIFS(Table123[Country],Tabela1[[#This Row],[Country]],Table123[Ice Dance Classification],"&gt;0")</f>
        <v>0</v>
      </c>
      <c r="OD68" s="6">
        <f>COUNTIFS(Table123[Country],Tabela1[[#This Row],[Country]],Table123[Pair Skating Classification],"&gt;0")</f>
        <v>0</v>
      </c>
      <c r="OE68" s="6">
        <f>COUNTIFS(Table124[Country],Tabela1[[#This Row],[Country]],Table124[Mixed Classification],"&gt;0")</f>
        <v>0</v>
      </c>
      <c r="OF68" s="6">
        <f>COUNTIFS(Table125[Country],Tabela1[[#This Row],[Country]],Table125[Aerials Classification],"&gt;0")</f>
        <v>0</v>
      </c>
      <c r="OG68" s="6">
        <f>COUNTIFS(Table125128[Country],Tabela1[[#This Row],[Country]],Table125128[Aerials Classification],"&gt;0")</f>
        <v>0</v>
      </c>
      <c r="OH68" s="6">
        <f>COUNTIFS(Table128[Country],Tabela1[[#This Row],[Country]],Table128[Mixed Aerials Classification],"&gt;0")</f>
        <v>0</v>
      </c>
      <c r="OI68" s="6">
        <f>COUNTIFS(Table125[Country],Tabela1[[#This Row],[Country]],Table125[Big Air Classification],"&gt;0")</f>
        <v>0</v>
      </c>
      <c r="OJ68" s="6">
        <f>COUNTIFS(Table125128[Country],Tabela1[[#This Row],[Country]],Table125128[Big Air Classification],"&gt;0")</f>
        <v>0</v>
      </c>
      <c r="OK68" s="6">
        <f>COUNTIFS(Table125[Country],Tabela1[[#This Row],[Country]],Table125[Dual Moguls Classification],"&gt;0")</f>
        <v>0</v>
      </c>
      <c r="OL68" s="6">
        <f>COUNTIFS(Table125128[Country],Tabela1[[#This Row],[Country]],Table125128[Dual Moguls Classification],"&gt;0")</f>
        <v>0</v>
      </c>
      <c r="OM68" s="6">
        <f>COUNTIFS(Table125[Country],Tabela1[[#This Row],[Country]],Table125[Halfpipe Classification],"&gt;0")</f>
        <v>0</v>
      </c>
      <c r="ON68" s="6">
        <f>COUNTIFS(Table125128[Country],Tabela1[[#This Row],[Country]],Table125128[Halfpipe Classification],"&gt;0")</f>
        <v>0</v>
      </c>
      <c r="OO68" s="6">
        <f>COUNTIFS(Table125[Country],Tabela1[[#This Row],[Country]],Table125[Moguls Classification],"&gt;0")</f>
        <v>0</v>
      </c>
      <c r="OP68" s="6">
        <f>COUNTIFS(Table125128[Country],Tabela1[[#This Row],[Country]],Table125128[Moguls Classification],"&gt;0")</f>
        <v>0</v>
      </c>
      <c r="OQ68" s="6">
        <f>COUNTIFS(Table125[Country],Tabela1[[#This Row],[Country]],Table125[Ski Cross Classification],"&gt;0")</f>
        <v>0</v>
      </c>
      <c r="OR68" s="6">
        <f>COUNTIFS(Table125128[Country],Tabela1[[#This Row],[Country]],Table125128[Ski Cross Classification],"&gt;0")</f>
        <v>0</v>
      </c>
      <c r="OS68" s="6">
        <f>COUNTIFS(Table125[Country],Tabela1[[#This Row],[Country]],Table125[Slopestyle Classification],"&gt;0")</f>
        <v>0</v>
      </c>
      <c r="OT68" s="6">
        <f>COUNTIFS(Table125128[Country],Tabela1[[#This Row],[Country]],Table125128[Slopestyle Classification],"&gt;0")</f>
        <v>0</v>
      </c>
      <c r="OU68" s="6">
        <f>COUNTIFS(Table119131[Country],Tabela1[[#This Row],[Country]],Table119131[Men''s Classification],"&gt;0")</f>
        <v>0</v>
      </c>
      <c r="OV68" s="6">
        <f>COUNTIFS(Table119131[Country],Tabela1[[#This Row],[Country]],Table119131[Women''s Classification],"&gt;0")</f>
        <v>0</v>
      </c>
      <c r="OW68" s="6">
        <f>COUNTIFS(Table131[Country],Tabela1[[#This Row],[Country]],Table131[Classification],"&gt;0")</f>
        <v>0</v>
      </c>
      <c r="OX68" s="6">
        <f>COUNTIFS(Table131134[Country],Tabela1[[#This Row],[Country]],Table131134[Classification],"&gt;0")</f>
        <v>0</v>
      </c>
      <c r="OY68" s="6">
        <f>COUNTIFS(Table134[Country],Tabela1[[#This Row],[Country]],Table134[Men''s Classification],"&gt;0")</f>
        <v>0</v>
      </c>
      <c r="OZ68" s="6">
        <f>COUNTIFS(Table134[Country],Tabela1[[#This Row],[Country]],Table134[Women''s Classification],"&gt;0")</f>
        <v>0</v>
      </c>
      <c r="PA68" s="6">
        <f>COUNTIFS(Table135[Country],Tabela1[[#This Row],[Country]],Table135[Mixed Relay Classification],"&gt;0")</f>
        <v>0</v>
      </c>
      <c r="PB68" s="6">
        <f>COUNTIFS(Table136[Country],Tabela1[[#This Row],[Country]],Table136[Individual Classification],"&gt;0")</f>
        <v>0</v>
      </c>
      <c r="PC68" s="6">
        <f>COUNTIFS(Table136[Country],Tabela1[[#This Row],[Country]],Table136[Sprint Classification],"&gt;0")</f>
        <v>0</v>
      </c>
      <c r="PD68" s="6">
        <f>COUNTIFS(Table137[Country],Tabela1[[#This Row],[Country]],Table137[Men''s Team Sprint Large Hill Classification],"&gt;0")</f>
        <v>0</v>
      </c>
      <c r="PE68" s="6">
        <f>COUNTIFS(Table138[Country],Tabela1[[#This Row],[Country]],Table138[500m Classification],"&gt;0")</f>
        <v>0</v>
      </c>
      <c r="PF68" s="6">
        <f>COUNTIFS(Table138141[Country],Tabela1[[#This Row],[Country]],Table138141[500m Classification],"&gt;0")</f>
        <v>0</v>
      </c>
      <c r="PG68" s="6">
        <f>COUNTIFS(Table138[Country],Tabela1[[#This Row],[Country]],Table138[1000m Classification],"&gt;0")</f>
        <v>0</v>
      </c>
      <c r="PH68" s="6">
        <f>COUNTIFS(Table138141[Country],Tabela1[[#This Row],[Country]],Table138141[1000m Classification],"&gt;0")</f>
        <v>0</v>
      </c>
      <c r="PI68" s="6">
        <f>COUNTIFS(Table138[Country],Tabela1[[#This Row],[Country]],Table138[1500m Classification],"&gt;0")</f>
        <v>0</v>
      </c>
      <c r="PJ68" s="6">
        <f>COUNTIFS(Table138141[Country],Tabela1[[#This Row],[Country]],Table138141[1500m Classification],"&gt;0")</f>
        <v>0</v>
      </c>
      <c r="PK68" s="6">
        <f>COUNTIFS(Table141[Country],Tabela1[[#This Row],[Country]],Table141[Men''s 5000m Relay Classification],"&gt;0")</f>
        <v>0</v>
      </c>
      <c r="PL68" s="6">
        <f>COUNTIFS(Table141[Country],Tabela1[[#This Row],[Country]],Table141[Women''s 3000m Relay Classification],"&gt;0")</f>
        <v>0</v>
      </c>
      <c r="PM68" s="6">
        <f>COUNTIFS(Table141[Country],Tabela1[[#This Row],[Country]],Table141[Mixed 2000m Relay Classification],"&gt;0")</f>
        <v>0</v>
      </c>
      <c r="PN68" s="6">
        <f>COUNTIFS(Table142[Country],Tabela1[[#This Row],[Country]],Table142[Classification],"&gt;0")</f>
        <v>0</v>
      </c>
      <c r="PO68" s="6">
        <f>COUNTIFS(Table142145[Country],Tabela1[[#This Row],[Country]],Table142145[Classification],"&gt;0")</f>
        <v>0</v>
      </c>
      <c r="PP68" s="6">
        <f>COUNTIFS(Tabela15[Country],Tabela1[[#This Row],[Country]],Tabela15[Mixed Team Classification],"&gt;0")</f>
        <v>0</v>
      </c>
      <c r="PQ68" s="6">
        <f>COUNTIFS(Table145[Country],Tabela1[[#This Row],[Country]],Table145[Large Hill Classification],"&gt;0")</f>
        <v>0</v>
      </c>
      <c r="PR68" s="6">
        <f>COUNTIFS(Table145[Country],Tabela1[[#This Row],[Country]],Table145[Normal Hill Classification],"&gt;0")</f>
        <v>0</v>
      </c>
      <c r="PS68" s="6">
        <f>COUNTIFS(Table145148[Country],Tabela1[[#This Row],[Country]],Table145148[Large Hill Classification],"&gt;0")</f>
        <v>0</v>
      </c>
      <c r="PT68" s="6">
        <f>COUNTIFS(Table145148[Country],Tabela1[[#This Row],[Country]],Table145148[Normal Hill Classification],"&gt;0")</f>
        <v>0</v>
      </c>
      <c r="PU68" s="6">
        <f>COUNTIFS(Table148[Country],Tabela1[[#This Row],[Country]],Table148[Men''s Super Team Classification],"&gt;0")</f>
        <v>0</v>
      </c>
      <c r="PV68" s="6">
        <f>COUNTIFS(Tabela114[Country],Tabela1[[#This Row],[Country]],Tabela114[Mixed Normal Hill Classification],"&gt;0")</f>
        <v>0</v>
      </c>
      <c r="PW68" s="6">
        <f>COUNTIFS(Tabela50[Country],Tabela1[[#This Row],[Country]],Tabela50[Sprint Classification],"&gt;0")</f>
        <v>0</v>
      </c>
      <c r="PX68" s="6">
        <f>COUNTIFS(Tabela50101[Country],Tabela1[[#This Row],[Country]],Tabela50101[Sprint Classification],"&gt;0")</f>
        <v>0</v>
      </c>
      <c r="PY68" s="6">
        <f>COUNTIFS(Tabela103[Country],Tabela1[[#This Row],[Country]],Tabela103[Mixed Relay Classification],"&gt;0")</f>
        <v>0</v>
      </c>
      <c r="PZ68" s="6">
        <f>COUNTIFS(Table149[Country],Tabela1[[#This Row],[Country]],Table149[Big Air Classification],"&gt;0")</f>
        <v>0</v>
      </c>
      <c r="QA68" s="6">
        <f>COUNTIFS(Table149152[Country],Tabela1[[#This Row],[Country]],Table149152[Big Air Classification],"&gt;0")</f>
        <v>0</v>
      </c>
      <c r="QB68" s="6">
        <f>COUNTIFS(Table149[Country],Tabela1[[#This Row],[Country]],Table149[Halfpipe Classification],"&gt;0")</f>
        <v>0</v>
      </c>
      <c r="QC68" s="6">
        <f>COUNTIFS(Table149152[Country],Tabela1[[#This Row],[Country]],Table149152[Halfpipe Classification],"&gt;0")</f>
        <v>0</v>
      </c>
      <c r="QD68" s="6">
        <f>COUNTIFS(Table149[Country],Tabela1[[#This Row],[Country]],Table149[Parallel Giant Slalom Classification],"&gt;0")</f>
        <v>0</v>
      </c>
      <c r="QE68" s="6">
        <f>COUNTIFS(Table149152[Country],Tabela1[[#This Row],[Country]],Table149152[Parallel Giant Slalom Classification],"&gt;0")</f>
        <v>0</v>
      </c>
      <c r="QF68" s="6">
        <f>COUNTIFS(Table149[Country],Tabela1[[#This Row],[Country]],Table149[Slopestyle Classification],"&gt;0")</f>
        <v>0</v>
      </c>
      <c r="QG68" s="6">
        <f>COUNTIFS(Table149152[Country],Tabela1[[#This Row],[Country]],Table149152[Slopestyle Classification],"&gt;0")</f>
        <v>0</v>
      </c>
      <c r="QH68" s="6">
        <f>COUNTIFS(Table149[Country],Tabela1[[#This Row],[Country]],Table149[Snowboard Cross Classification],"&gt;0")</f>
        <v>0</v>
      </c>
      <c r="QI68" s="6">
        <f>COUNTIFS(Table149152[Country],Tabela1[[#This Row],[Country]],Table149152[Snowboard Cross Classification],"&gt;0")</f>
        <v>0</v>
      </c>
      <c r="QJ68" s="6">
        <f>COUNTIFS(Table153[Country],Tabela1[[#This Row],[Country]],Table153[Mixed Team Snowboard Cross Classification],"&gt;0")</f>
        <v>0</v>
      </c>
      <c r="QK68" s="6">
        <f>COUNTIFS(Table154[Country],Tabela1[[#This Row],[Country]],Table154[500m Classification],"&gt;0")</f>
        <v>0</v>
      </c>
      <c r="QL68" s="6">
        <f>COUNTIFS(Table154157[Country],Tabela1[[#This Row],[Country]],Table154157[500m Classification],"&gt;0")</f>
        <v>0</v>
      </c>
      <c r="QM68" s="6">
        <f>COUNTIFS(Table154[Country],Tabela1[[#This Row],[Country]],Table154[1000m Classification],"&gt;0")</f>
        <v>0</v>
      </c>
      <c r="QN68" s="6">
        <f>COUNTIFS(Table154157[Country],Tabela1[[#This Row],[Country]],Table154157[1000m Classification],"&gt;0")</f>
        <v>0</v>
      </c>
      <c r="QO68" s="6">
        <f>COUNTIFS(Table154[Country],Tabela1[[#This Row],[Country]],Table154[1500m Classification],"&gt;0")</f>
        <v>0</v>
      </c>
      <c r="QP68" s="6">
        <f>COUNTIFS(Table154157[Country],Tabela1[[#This Row],[Country]],Table154157[1500m Classification],"&gt;0")</f>
        <v>0</v>
      </c>
      <c r="QQ68" s="6">
        <f>COUNTIFS(Table154157[Country],Tabela1[[#This Row],[Country]],Table154157[3000m Classification],"&gt;0")</f>
        <v>0</v>
      </c>
      <c r="QR68" s="6">
        <f>COUNTIFS(Table154[Country],Tabela1[[#This Row],[Country]],Table154[5000m Classification],"&gt;0")</f>
        <v>0</v>
      </c>
      <c r="QS68" s="6">
        <f>COUNTIFS(Table154157[Country],Tabela1[[#This Row],[Country]],Table154157[5000m Classification],"&gt;0")</f>
        <v>0</v>
      </c>
      <c r="QT68" s="6">
        <f>COUNTIFS(Table154[Country],Tabela1[[#This Row],[Country]],Table154[10000m Classification],"&gt;0")</f>
        <v>0</v>
      </c>
      <c r="QU68" s="6">
        <f>COUNTIFS(Table154[Country],Tabela1[[#This Row],[Country]],Table154[Mass Start Classification],"&gt;0")</f>
        <v>0</v>
      </c>
      <c r="QV68" s="6">
        <f>COUNTIFS(Table154157[Country],Tabela1[[#This Row],[Country]],Table154157[Mass Start Classification],"&gt;0")</f>
        <v>0</v>
      </c>
      <c r="QW68" s="6">
        <f>COUNTIFS(Table157[Country],Tabela1[[#This Row],[Country]],Table157[Men''s Pursuit Classification],"&gt;0")</f>
        <v>0</v>
      </c>
      <c r="QX68" s="6">
        <f>COUNTIFS(Table157[Country],Tabela1[[#This Row],[Country]],Table157[Women''s Pursuit Classification],"&gt;0")</f>
        <v>0</v>
      </c>
      <c r="QY68" s="3" t="s">
        <v>573</v>
      </c>
    </row>
    <row r="69" spans="1:467" x14ac:dyDescent="0.3">
      <c r="A69" s="6">
        <v>68</v>
      </c>
      <c r="B69" s="6" t="s">
        <v>526</v>
      </c>
      <c r="C69" t="e" vm="68">
        <f>IF(ISBLANK(Tabela1[[#This Row],[Image Link]]), "", _xlfn.IMAGE(Tabela1[[#This Row],[Image Link]],1,1))</f>
        <v>#VALUE!</v>
      </c>
      <c r="D69" s="6">
        <f>SUM(Tabela1[[#This Row],[Archery - Men''s Individual Recurve]:[Speed Skating - Women''s Team Pursuit]])</f>
        <v>8</v>
      </c>
      <c r="E69" s="6">
        <f>COUNTIF(Tabela1[[#This Row],[Archery - Men''s Individual Recurve]:[Speed Skating - Women''s Team Pursuit]],"&gt;0")</f>
        <v>7</v>
      </c>
      <c r="F69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69" s="6">
        <f>SUM(Tabela1[[#This Row],[Archery - Men''s Individual Recurve]:[Wrestling - Women''s Freestyle 76kg]])</f>
        <v>8</v>
      </c>
      <c r="H69" s="6">
        <f>SUM(Tabela1[[#This Row],[Alpine Skiing - Men''s Downhill]:[Speed Skating - Women''s Team Pursuit]])</f>
        <v>0</v>
      </c>
      <c r="I69" s="6">
        <f>Tabela1[[#This Row],[Summer Gold Medals]]+Tabela1[[#This Row],[Winter Gold Medals]]</f>
        <v>0</v>
      </c>
      <c r="J69" s="6">
        <f>Tabela1[[#This Row],[Summer Silver Medals]]+Tabela1[[#This Row],[Winter Silver Medals]]</f>
        <v>0</v>
      </c>
      <c r="K69" s="6">
        <f>Tabela1[[#This Row],[Summer Bronze Medals]]+Tabela1[[#This Row],[Winter Bronze Medals]]</f>
        <v>0</v>
      </c>
      <c r="L69" s="6">
        <f>SUM(Tabela1[[#This Row],[Total Gold Medals]:[Total Bronze Medals]])</f>
        <v>0</v>
      </c>
      <c r="M69" s="6"/>
      <c r="N69" s="6"/>
      <c r="O69" s="6"/>
      <c r="P69" s="6">
        <f>SUM(Tabela1[[#This Row],[Summer Gold Medals]:[Summer Bronze Medals]])</f>
        <v>0</v>
      </c>
      <c r="Q69" s="6"/>
      <c r="R69" s="6"/>
      <c r="S69" s="6"/>
      <c r="T69" s="6">
        <f>Tabela1[[#This Row],[Winter Gold Medals]]+Tabela1[[#This Row],[Winter Silver Medals]]+Tabela1[[#This Row],[Winter Bronze Medals]]</f>
        <v>0</v>
      </c>
      <c r="U69" s="7">
        <f>Tabela1[[#This Row],[Total Medals]]/Tabela1[[#This Row],[Total Quotas]]</f>
        <v>0</v>
      </c>
      <c r="V69" s="6">
        <f>COUNTIFS(Table3[Country],Tabela1[[#This Row],[Country]],Table3[Recurve Classification],"&gt;0")</f>
        <v>0</v>
      </c>
      <c r="W69" s="6">
        <f>COUNTIFS(Table33[Country],Tabela1[[#This Row],[Country]],Table33[Recurve Classification],"&gt;0")</f>
        <v>0</v>
      </c>
      <c r="X69" s="6">
        <f>COUNTIFS(Table35[Country],Tabela1[[#This Row],[Country]],Table35[Men''s Team Recurve Classification],"&gt;0")</f>
        <v>0</v>
      </c>
      <c r="Y69" s="6">
        <f>COUNTIFS(Table35[Country],Tabela1[[#This Row],[Country]],Table35[Women''s Team Recurve Classification],"&gt;0")</f>
        <v>0</v>
      </c>
      <c r="Z69" s="6">
        <f>COUNTIFS(Tabela88[Country],Tabela1[[#This Row],[Country]],Tabela88[Mixed Team Recurve Classification],"&gt;0")</f>
        <v>0</v>
      </c>
      <c r="AA69" s="6">
        <f>COUNTIFS(Table36[Country],Tabela1[[#This Row],[Country]],Table36[Classification],"&gt;0")</f>
        <v>0</v>
      </c>
      <c r="AB69" s="6">
        <f>COUNTIFS(Table37[Country],Tabela1[[#This Row],[Country]],Table37[Classification],"&gt;0")</f>
        <v>0</v>
      </c>
      <c r="AC69" s="6">
        <f>COUNTIFS(Table4[Country],Tabela1[[#This Row],[Country]],Table4[100m Classification],"&gt;0")</f>
        <v>0</v>
      </c>
      <c r="AD69" s="6">
        <f>COUNTIFS(Table5[Country],Tabela1[[#This Row],[Country]],Table5[100m Classification],"&gt;0")</f>
        <v>0</v>
      </c>
      <c r="AE69" s="6">
        <f>COUNTIFS(Table4[Country],Tabela1[[#This Row],[Country]],Table4[200m Classification],"&gt;0")</f>
        <v>0</v>
      </c>
      <c r="AF69" s="6">
        <f>COUNTIFS(Table5[Country],Tabela1[[#This Row],[Country]],Table5[200m Classification],"&gt;0")</f>
        <v>0</v>
      </c>
      <c r="AG69" s="6">
        <f>COUNTIFS(Table4[Country],Tabela1[[#This Row],[Country]],Table4[400m Classification],"&gt;0")</f>
        <v>0</v>
      </c>
      <c r="AH69" s="6">
        <f>COUNTIFS(Table5[Country],Tabela1[[#This Row],[Country]],Table5[400m Classification],"&gt;0")</f>
        <v>0</v>
      </c>
      <c r="AI69" s="6">
        <f>COUNTIFS(Table4[Country],Tabela1[[#This Row],[Country]],Table4[800m Classification],"&gt;0")</f>
        <v>0</v>
      </c>
      <c r="AJ69" s="6">
        <f>COUNTIFS(Table5[Country],Tabela1[[#This Row],[Country]],Table5[800m Classification],"&gt;0")</f>
        <v>0</v>
      </c>
      <c r="AK69" s="6">
        <f>COUNTIFS(Table4[Country],Tabela1[[#This Row],[Country]],Table4[1500m Classification],"&gt;0")</f>
        <v>0</v>
      </c>
      <c r="AL69" s="6">
        <f>COUNTIFS(Table5[Country],Tabela1[[#This Row],[Country]],Table5[1500m Classification],"&gt;0")</f>
        <v>0</v>
      </c>
      <c r="AM69" s="6">
        <f>COUNTIFS(Table4[Country],Tabela1[[#This Row],[Country]],Table4[5000m Classification],"&gt;0")</f>
        <v>0</v>
      </c>
      <c r="AN69" s="6">
        <f>COUNTIFS(Table5[Country],Tabela1[[#This Row],[Country]],Table5[5000m Classification],"&gt;0")</f>
        <v>0</v>
      </c>
      <c r="AO69" s="6">
        <f>COUNTIFS(Table4[Country],Tabela1[[#This Row],[Country]],Table4[10000m Classification],"&gt;0")</f>
        <v>0</v>
      </c>
      <c r="AP69" s="6">
        <f>COUNTIFS(Table5[Country],Tabela1[[#This Row],[Country]],Table5[10000m Classification],"&gt;0")</f>
        <v>0</v>
      </c>
      <c r="AQ69" s="6">
        <f>COUNTIFS(Table4[Country],Tabela1[[#This Row],[Country]],Table4[110m Hurdles Classification],"&gt;0")</f>
        <v>0</v>
      </c>
      <c r="AR69" s="6">
        <f>COUNTIFS(Table5[Country],Tabela1[[#This Row],[Country]],Table5[100m Hurdles Classification],"&gt;0")</f>
        <v>0</v>
      </c>
      <c r="AS69" s="6">
        <f>COUNTIFS(Table4[Country],Tabela1[[#This Row],[Country]],Table4[400m Hurdles Classification],"&gt;0")</f>
        <v>0</v>
      </c>
      <c r="AT69" s="6">
        <f>COUNTIFS(Table5[Country],Tabela1[[#This Row],[Country]],Table5[400m Hurdles Classification],"&gt;0")</f>
        <v>0</v>
      </c>
      <c r="AU69" s="6">
        <f>COUNTIFS(Table4[Country],Tabela1[[#This Row],[Country]],Table4[3000m Steeplechase Classification],"&gt;0")</f>
        <v>0</v>
      </c>
      <c r="AV69" s="6">
        <f>COUNTIFS(Table5[Country],Tabela1[[#This Row],[Country]],Table5[3000m Steeplechase Classification],"&gt;0")</f>
        <v>0</v>
      </c>
      <c r="AW69" s="6">
        <f>COUNTIFS(Table27[Country],Tabela1[[#This Row],[Country]],Table27[Men''s 4x100m Relay Classification],"&gt;0")</f>
        <v>0</v>
      </c>
      <c r="AX69" s="6">
        <f>COUNTIFS(Table27[Country],Tabela1[[#This Row],[Country]],Table27[Women''s 4x100m Relay Classification],"&gt;0")</f>
        <v>0</v>
      </c>
      <c r="AY69" s="6">
        <f>COUNTIFS(Table27[Country],Tabela1[[#This Row],[Country]],Table27[Men''s 4x400m Relay Classification],"&gt;0")</f>
        <v>0</v>
      </c>
      <c r="AZ69" s="6">
        <f>COUNTIFS(Table27[Country],Tabela1[[#This Row],[Country]],Table27[Women''s 4x400m Relay Classification],"&gt;0")</f>
        <v>0</v>
      </c>
      <c r="BA69" s="6">
        <f>COUNTIFS(Table27[Country],Tabela1[[#This Row],[Country]],Table27[Mixed 4x400m Relay Classification],"&gt;0")</f>
        <v>0</v>
      </c>
      <c r="BB69" s="6">
        <f>COUNTIFS(Table4[Country],Tabela1[[#This Row],[Country]],Table4[Marathon Classification],"&gt;0")</f>
        <v>0</v>
      </c>
      <c r="BC69" s="6">
        <f>COUNTIFS(Table5[Country],Tabela1[[#This Row],[Country]],Table5[Marathon Classification],"&gt;0")</f>
        <v>0</v>
      </c>
      <c r="BD69" s="6">
        <f>COUNTIFS(Table4[Country],Tabela1[[#This Row],[Country]],Table4[20km Race Walk Classification],"&gt;0")</f>
        <v>0</v>
      </c>
      <c r="BE69" s="6">
        <f>COUNTIFS(Table5[Country],Tabela1[[#This Row],[Country]],Table5[20km Race Walk Classification],"&gt;0")</f>
        <v>0</v>
      </c>
      <c r="BF69" s="6">
        <f>COUNTIFS(Tabela96[Country],Tabela1[[#This Row],[Country]],Tabela96[Mixed Marathon Race Walk Relay Classification],"&gt;0")</f>
        <v>0</v>
      </c>
      <c r="BG69" s="6">
        <f>COUNTIFS(Table4[Country],Tabela1[[#This Row],[Country]],Table4[Discus Throw Classification],"&gt;0")</f>
        <v>0</v>
      </c>
      <c r="BH69" s="6">
        <f>COUNTIFS(Table5[Country],Tabela1[[#This Row],[Country]],Table5[Discus Throw Classification],"&gt;0")</f>
        <v>0</v>
      </c>
      <c r="BI69" s="6">
        <f>COUNTIFS(Table4[Country],Tabela1[[#This Row],[Country]],Table4[Hammer Throw Classification],"&gt;0")</f>
        <v>0</v>
      </c>
      <c r="BJ69" s="6">
        <f>COUNTIFS(Table5[Country],Tabela1[[#This Row],[Country]],Table5[Hammer Throw Classification],"&gt;0")</f>
        <v>0</v>
      </c>
      <c r="BK69" s="6">
        <f>COUNTIFS(Table4[Country],Tabela1[[#This Row],[Country]],Table4[High Jump Classification],"&gt;0")</f>
        <v>0</v>
      </c>
      <c r="BL69" s="6">
        <f>COUNTIFS(Table5[Country],Tabela1[[#This Row],[Country]],Table5[High Jump Classification],"&gt;0")</f>
        <v>0</v>
      </c>
      <c r="BM69" s="6">
        <f>COUNTIFS(Table4[Country],Tabela1[[#This Row],[Country]],Table4[Javelin Throw Classification],"&gt;0")</f>
        <v>0</v>
      </c>
      <c r="BN69" s="6">
        <f>COUNTIFS(Table5[Country],Tabela1[[#This Row],[Country]],Table5[Javelin Throw Classification],"&gt;0")</f>
        <v>0</v>
      </c>
      <c r="BO69" s="6">
        <f>COUNTIFS(Table4[Country],Tabela1[[#This Row],[Country]],Table4[Long Jump Classification],"&gt;0")</f>
        <v>0</v>
      </c>
      <c r="BP69" s="6">
        <f>COUNTIFS(Table5[Country],Tabela1[[#This Row],[Country]],Table5[Long Jump Classification],"&gt;0")</f>
        <v>0</v>
      </c>
      <c r="BQ69" s="6">
        <f>COUNTIFS(Table4[Country],Tabela1[[#This Row],[Country]],Table4[Pole Vault Classification],"&gt;0")</f>
        <v>0</v>
      </c>
      <c r="BR69" s="6">
        <f>COUNTIFS(Table5[Country],Tabela1[[#This Row],[Country]],Table5[Pole Vault Classification],"&gt;0")</f>
        <v>0</v>
      </c>
      <c r="BS69" s="6">
        <f>COUNTIFS(Table4[Country],Tabela1[[#This Row],[Country]],Table4[Shot Put Classification],"&gt;0")</f>
        <v>0</v>
      </c>
      <c r="BT69" s="6">
        <f>COUNTIFS(Table5[Country],Tabela1[[#This Row],[Country]],Table5[Shot Put Classification],"&gt;0")</f>
        <v>0</v>
      </c>
      <c r="BU69" s="6">
        <f>COUNTIFS(Table4[Country],Tabela1[[#This Row],[Country]],Table4[Triple Jump Classification],"&gt;0")</f>
        <v>1</v>
      </c>
      <c r="BV69" s="6">
        <f>COUNTIFS(Table5[Country],Tabela1[[#This Row],[Country]],Table5[Triple Jump Classification],"&gt;0")</f>
        <v>0</v>
      </c>
      <c r="BW69" s="6">
        <f>COUNTIFS(Table4[Country],Tabela1[[#This Row],[Country]],Table4[Decathlon Classification],"&gt;0")</f>
        <v>0</v>
      </c>
      <c r="BX69" s="6">
        <f>COUNTIFS(Table5[Country],Tabela1[[#This Row],[Country]],Table5[Heptathlon Classification],"&gt;0")</f>
        <v>0</v>
      </c>
      <c r="BY69" s="6">
        <f>COUNTIFS(Table61[Country],Tabela1[[#This Row],[Country]],Table61[Classification],"&gt;0")</f>
        <v>0</v>
      </c>
      <c r="BZ69" s="6">
        <f>COUNTIFS(Table38[Country],Tabela1[[#This Row],[Country]],Table38[Classification],"&gt;0")</f>
        <v>0</v>
      </c>
      <c r="CA69" s="6">
        <f>COUNTIFS(Table39[Country],Tabela1[[#This Row],[Country]],Table39[Men''s Classification],"&gt;0")</f>
        <v>0</v>
      </c>
      <c r="CB69" s="6">
        <f>COUNTIFS(Table39[Country],Tabela1[[#This Row],[Country]],Table39[Women''s Classification],"&gt;0")</f>
        <v>0</v>
      </c>
      <c r="CC69" s="6">
        <f>COUNTIFS(Table39[Country],Tabela1[[#This Row],[Country]],Table39[Mixed Classification],"&gt;0")</f>
        <v>0</v>
      </c>
      <c r="CD69" s="6">
        <f>COUNTIFS(Table89[Country],Tabela1[[#This Row],[Country]],Table89[Men''s Classification],"&gt;0")</f>
        <v>0</v>
      </c>
      <c r="CE69" s="6">
        <f>COUNTIFS(Table89[Country],Tabela1[[#This Row],[Country]],Table89[Women''s Classification],"&gt;0")</f>
        <v>0</v>
      </c>
      <c r="CF69" s="6">
        <f>COUNTIFS(Table90[Country],Tabela1[[#This Row],[Country]],Table90[Men''s Classification],"&gt;0")</f>
        <v>0</v>
      </c>
      <c r="CG69" s="6">
        <f>COUNTIFS(Table90[Country],Tabela1[[#This Row],[Country]],Table90[Women''s Classification],"&gt;0")</f>
        <v>0</v>
      </c>
      <c r="CH69" s="6">
        <f>COUNTIFS(Table60[Country],Tabela1[[#This Row],[Country]],Table60[Men''s Classification],"&gt;0")</f>
        <v>0</v>
      </c>
      <c r="CI69" s="6">
        <f>COUNTIFS(Table60[Country],Tabela1[[#This Row],[Country]],Table60[Women''s Classification],"&gt;0")</f>
        <v>0</v>
      </c>
      <c r="CJ69" s="6">
        <f>COUNTIFS(Table6[Country],Tabela1[[#This Row],[Country]],Table6[51kg Classification],"&gt;0")</f>
        <v>0</v>
      </c>
      <c r="CK69" s="6">
        <f>COUNTIFS(Table6[Country],Tabela1[[#This Row],[Country]],Table6[57kg Classification],"&gt;0")</f>
        <v>0</v>
      </c>
      <c r="CL69" s="6">
        <f>COUNTIFS(Table6[Country],Tabela1[[#This Row],[Country]],Table6[63.5kg Classification],"&gt;0")</f>
        <v>0</v>
      </c>
      <c r="CM69" s="6">
        <f>COUNTIFS(Table6[Country],Tabela1[[#This Row],[Country]],Table6[71kg Classification],"&gt;0")</f>
        <v>0</v>
      </c>
      <c r="CN69" s="6">
        <f>COUNTIFS(Table6[Country],Tabela1[[#This Row],[Country]],Table6[80kg Classification],"&gt;0")</f>
        <v>0</v>
      </c>
      <c r="CO69" s="6">
        <f>COUNTIFS(Table6[Country],Tabela1[[#This Row],[Country]],Table6[92kg Classification],"&gt;0")</f>
        <v>0</v>
      </c>
      <c r="CP69" s="6">
        <f>COUNTIFS(Table6[Country],Tabela1[[#This Row],[Country]],Table6[Plus 92kg Classification],"&gt;0")</f>
        <v>0</v>
      </c>
      <c r="CQ69" s="6">
        <f>COUNTIFS(Table7[Country],Tabela1[[#This Row],[Country]],Table7[50kg Classification],"&gt;0")</f>
        <v>0</v>
      </c>
      <c r="CR69" s="6">
        <f>COUNTIFS(Table7[Country],Tabela1[[#This Row],[Country]],Table7[54kg Classification],"&gt;0")</f>
        <v>0</v>
      </c>
      <c r="CS69" s="6">
        <f>COUNTIFS(Table7[Country],Tabela1[[#This Row],[Country]],Table7[57kg Classification],"&gt;0")</f>
        <v>0</v>
      </c>
      <c r="CT69" s="6">
        <f>COUNTIFS(Table7[Country],Tabela1[[#This Row],[Country]],Table7[60kg Classification],"&gt;0")</f>
        <v>0</v>
      </c>
      <c r="CU69" s="6">
        <f>COUNTIFS(Table7[Country],Tabela1[[#This Row],[Country]],Table7[66kg Classification],"&gt;0")</f>
        <v>0</v>
      </c>
      <c r="CV69" s="6">
        <f>COUNTIFS(Table7[Country],Tabela1[[#This Row],[Country]],Table7[75kg Classification],"&gt;0")</f>
        <v>0</v>
      </c>
      <c r="CW69" s="6">
        <f>COUNTIFS(Tabela94[Country],Tabela1[[#This Row],[Country]],Tabela94[Classification],"&gt;0")</f>
        <v>0</v>
      </c>
      <c r="CX69" s="6">
        <f>COUNTIFS(Tabela9499[Country],Tabela1[[#This Row],[Country]],Tabela9499[Classification],"&gt;0")</f>
        <v>0</v>
      </c>
      <c r="CY69" s="6">
        <f>COUNTIFS(Tabela107[Country],Tabela1[[#This Row],[Country]],Tabela107[C1 Slalom Classification],"&gt;0")</f>
        <v>0</v>
      </c>
      <c r="CZ69" s="6">
        <f>COUNTIFS(Tabela107122[Country],Tabela1[[#This Row],[Country]],Tabela107122[C1 Slalom Classification],"&gt;0")</f>
        <v>0</v>
      </c>
      <c r="DA69" s="6">
        <f>COUNTIFS(Tabela107[Country],Tabela1[[#This Row],[Country]],Tabela107[K1 Slalom Classification],"&gt;0")</f>
        <v>0</v>
      </c>
      <c r="DB69" s="6">
        <f>COUNTIFS(Tabela107122[Country],Tabela1[[#This Row],[Country]],Tabela107122[K1 Slalom Classification],"&gt;0")</f>
        <v>0</v>
      </c>
      <c r="DC69" s="6">
        <f>COUNTIFS(Tabela107[Country],Tabela1[[#This Row],[Country]],Tabela107[Kayak Cross Slalom Classification],"&gt;0")</f>
        <v>0</v>
      </c>
      <c r="DD69" s="6">
        <f>COUNTIFS(Tabela107122[Country],Tabela1[[#This Row],[Country]],Tabela107122[Kayak Cross Slalom Classification],"&gt;0")</f>
        <v>0</v>
      </c>
      <c r="DE69" s="6">
        <f>COUNTIFS(Table8[Country],Tabela1[[#This Row],[Country]],Table8[C1 200m Classification],"&gt;0")</f>
        <v>0</v>
      </c>
      <c r="DF69" s="6">
        <f>COUNTIFS(Table40[Country],Tabela1[[#This Row],[Country]],Table40[C1 1000m Classification],"&gt;0")</f>
        <v>0</v>
      </c>
      <c r="DG69" s="6">
        <f>COUNTIFS(Table68[Country],Tabela1[[#This Row],[Country]],Table68[Men''s C2 500m Classification],"&gt;0")</f>
        <v>0</v>
      </c>
      <c r="DH69" s="6">
        <f>COUNTIFS(Table68[Country],Tabela1[[#This Row],[Country]],Table68[Women''s C2 500m Classification],"&gt;0")</f>
        <v>0</v>
      </c>
      <c r="DI69" s="6">
        <f>COUNTIFS(Table8[Country],Tabela1[[#This Row],[Country]],Table8[K1 500m Classification],"&gt;0")</f>
        <v>0</v>
      </c>
      <c r="DJ69" s="6">
        <f>COUNTIFS(Table40[Country],Tabela1[[#This Row],[Country]],Table40[K1 1000m Classification],"&gt;0")</f>
        <v>0</v>
      </c>
      <c r="DK69" s="6">
        <f>COUNTIFS(Table68[Country],Tabela1[[#This Row],[Country]],Table68[Men''s K2 500m Classification],"&gt;0")</f>
        <v>0</v>
      </c>
      <c r="DL69" s="6">
        <f>COUNTIFS(Table68[Country],Tabela1[[#This Row],[Country]],Table68[Women''s K2 500m Classification],"&gt;0")</f>
        <v>0</v>
      </c>
      <c r="DM69" s="6">
        <f>COUNTIFS(Table83[Country],Tabela1[[#This Row],[Country]],Table83[Men''s K4 500m Classification],"&gt;0")</f>
        <v>0</v>
      </c>
      <c r="DN69" s="6">
        <f>COUNTIFS(Table83[Country],Tabela1[[#This Row],[Country]],Table83[Women''s K4 500m Classification],"&gt;0")</f>
        <v>0</v>
      </c>
      <c r="DO69" s="6">
        <f>COUNTIFS(Tabela126[Country],Tabela1[[#This Row],[Country]],Tabela126[Classification],"&gt;0")</f>
        <v>0</v>
      </c>
      <c r="DP69" s="6">
        <f>COUNTIFS(Tabela126130[Country],Tabela1[[#This Row],[Country]],Tabela126130[Classification],"&gt;0")</f>
        <v>0</v>
      </c>
      <c r="DQ69" s="6">
        <f>COUNTIFS(Table70[Country],Tabela1[[#This Row],[Country]],Table70[Classification],"&gt;0")</f>
        <v>0</v>
      </c>
      <c r="DR69" s="6">
        <f>COUNTIFS(Table80[Country],Tabela1[[#This Row],[Country]],Table80[Classification],"&gt;0")</f>
        <v>0</v>
      </c>
      <c r="DS69" s="6">
        <f>COUNTIFS(Table66[Country],Tabela1[[#This Row],[Country]],Table66[Classification],"&gt;0")</f>
        <v>0</v>
      </c>
      <c r="DT69" s="6">
        <f>COUNTIFS(Table67[Country],Tabela1[[#This Row],[Country]],Table67[Classification],"&gt;0")</f>
        <v>0</v>
      </c>
      <c r="DU69" s="6">
        <f>COUNTIFS(Table69[Country],Tabela1[[#This Row],[Country]],Table69[Keirin Classification],"&gt;0")</f>
        <v>0</v>
      </c>
      <c r="DV69" s="6">
        <f>COUNTIFS(Table41[Country],Tabela1[[#This Row],[Country]],Table41[Keirin Classification],"&gt;0")</f>
        <v>0</v>
      </c>
      <c r="DW69" s="6">
        <f>COUNTIFS(Table84[Country],Tabela1[[#This Row],[Country]],Table84[Men''s Madison Classification],"&gt;0")</f>
        <v>0</v>
      </c>
      <c r="DX69" s="6">
        <f>COUNTIFS(Table84[Country],Tabela1[[#This Row],[Country]],Table84[Women''s Madison Classification],"&gt;0")</f>
        <v>0</v>
      </c>
      <c r="DY69" s="6">
        <f>COUNTIFS(Table69[Country],Tabela1[[#This Row],[Country]],Table69[Omnium Classification],"&gt;0")</f>
        <v>0</v>
      </c>
      <c r="DZ69" s="6">
        <f>COUNTIFS(Table41[Country],Tabela1[[#This Row],[Country]],Table41[Omnium Classification],"&gt;0")</f>
        <v>0</v>
      </c>
      <c r="EA69" s="6">
        <f>COUNTIFS(Table9[Country],Tabela1[[#This Row],[Country]],Table9[Road Race Classification],"&gt;0")</f>
        <v>0</v>
      </c>
      <c r="EB69" s="6">
        <f>COUNTIFS(Table14[Country],Tabela1[[#This Row],[Country]],Table14[Road Race Classification],"&gt;0")</f>
        <v>0</v>
      </c>
      <c r="EC69" s="6">
        <f>COUNTIFS(Table69[Country],Tabela1[[#This Row],[Country]],Table69[Sprint Classification],"&gt;0")</f>
        <v>0</v>
      </c>
      <c r="ED69" s="6">
        <f>COUNTIFS(Table41[Country],Tabela1[[#This Row],[Country]],Table41[Sprint Classification],"&gt;0")</f>
        <v>0</v>
      </c>
      <c r="EE69" s="6">
        <f>COUNTIFS(Table85[Country],Tabela1[[#This Row],[Country]],Table85[Men''s Sprint Classification],"&gt;0")</f>
        <v>0</v>
      </c>
      <c r="EF69" s="6">
        <f>COUNTIFS(Table85[Country],Tabela1[[#This Row],[Country]],Table85[Women''s Sprint Classification],"&gt;0")</f>
        <v>0</v>
      </c>
      <c r="EG69" s="6">
        <f>COUNTIFS(Table85[Country],Tabela1[[#This Row],[Country]],Table85[Men''s Pursuit Classification],"&gt;0")</f>
        <v>0</v>
      </c>
      <c r="EH69" s="6">
        <f>COUNTIFS(Table85[Country],Tabela1[[#This Row],[Country]],Table85[Women''s Pursuit Classification],"&gt;0")</f>
        <v>0</v>
      </c>
      <c r="EI69" s="6">
        <f>COUNTIFS(Table9[Country],Tabela1[[#This Row],[Country]],Table9[Time-Trial Classification],"&gt;0")</f>
        <v>0</v>
      </c>
      <c r="EJ69" s="6">
        <f>COUNTIFS(Table14[Country],Tabela1[[#This Row],[Country]],Table14[Time-Trial Classification],"&gt;0")</f>
        <v>0</v>
      </c>
      <c r="EK69" s="6">
        <f>COUNTIFS(Table42[Country],Tabela1[[#This Row],[Country]],Table42[Springboard Classification],"&gt;0")</f>
        <v>0</v>
      </c>
      <c r="EL69" s="6">
        <f>COUNTIFS(Table43[Country],Tabela1[[#This Row],[Country]],Table43[Springboard Classification],"&gt;0")</f>
        <v>0</v>
      </c>
      <c r="EM69" s="6">
        <f>COUNTIFS(Table42[Country],Tabela1[[#This Row],[Country]],Table42[Platform Classification],"&gt;0")</f>
        <v>0</v>
      </c>
      <c r="EN69" s="6">
        <f>COUNTIFS(Table43[Country],Tabela1[[#This Row],[Country]],Table43[Platform Classification],"&gt;0")</f>
        <v>0</v>
      </c>
      <c r="EO69" s="6">
        <f>COUNTIFS(Table86[Country],Tabela1[[#This Row],[Country]],Table86[Men''s Synchronized Springboard Classification],"&gt;0")</f>
        <v>0</v>
      </c>
      <c r="EP69" s="6">
        <f>COUNTIFS(Table86[Country],Tabela1[[#This Row],[Country]],Table86[Women''s Synchronized Springboard Classification],"&gt;0")</f>
        <v>0</v>
      </c>
      <c r="EQ69" s="6">
        <f>COUNTIFS(Table86[Country],Tabela1[[#This Row],[Country]],Table86[Men''s Synchronized Platform Classification],"&gt;0")</f>
        <v>0</v>
      </c>
      <c r="ER69" s="6">
        <f>COUNTIFS(Table86[Country],Tabela1[[#This Row],[Country]],Table86[Women''s Synchronized Platform Classification],"&gt;0")</f>
        <v>0</v>
      </c>
      <c r="ES69" s="6">
        <f>COUNTIFS(Table44[Country],Tabela1[[#This Row],[Country]],Table44[Dressage Classification],"&gt;0")</f>
        <v>0</v>
      </c>
      <c r="ET69" s="6">
        <f>COUNTIFS(Table45[Country],Tabela1[[#This Row],[Country]],Table45[Dressage Classification],"&gt;0")</f>
        <v>0</v>
      </c>
      <c r="EU69" s="6">
        <f>COUNTIFS(Table44[Country],Tabela1[[#This Row],[Country]],Table44[Eventing Classification],"&gt;0")</f>
        <v>0</v>
      </c>
      <c r="EV69" s="6">
        <f>COUNTIFS(Table45[Country],Tabela1[[#This Row],[Country]],Table45[Eventing Classification],"&gt;0")</f>
        <v>0</v>
      </c>
      <c r="EW69" s="6">
        <f>COUNTIFS(Table44[Country],Tabela1[[#This Row],[Country]],Table44[Jumping Classification],"&gt;0")</f>
        <v>0</v>
      </c>
      <c r="EX69" s="6">
        <f>COUNTIFS(Table45[Country],Tabela1[[#This Row],[Country]],Table45[Jumping Classification],"&gt;0")</f>
        <v>0</v>
      </c>
      <c r="EY69" s="6">
        <f>COUNTIFS(Table10[Country],Tabela1[[#This Row],[Country]],Table10[Épée Classification],"&gt;0")</f>
        <v>0</v>
      </c>
      <c r="EZ69" s="6">
        <f>COUNTIFS(Table11[Country],Tabela1[[#This Row],[Country]],Table11[Épée Classification],"&gt;0")</f>
        <v>0</v>
      </c>
      <c r="FA69" s="6">
        <f>COUNTIFS(Table46[Country],Tabela1[[#This Row],[Country]],Table46[Men''s Épée Classification],"&gt;0")</f>
        <v>0</v>
      </c>
      <c r="FB69" s="6">
        <f>COUNTIFS(Table46[Country],Tabela1[[#This Row],[Country]],Table46[Women''s Épée Classification],"&gt;0")</f>
        <v>0</v>
      </c>
      <c r="FC69" s="6">
        <f>COUNTIFS(Table10[Country],Tabela1[[#This Row],[Country]],Table10[Foil Classification],"&gt;0")</f>
        <v>0</v>
      </c>
      <c r="FD69" s="6">
        <f>COUNTIFS(Table11[Country],Tabela1[[#This Row],[Country]],Table11[Foil Classification],"&gt;0")</f>
        <v>0</v>
      </c>
      <c r="FE69" s="6">
        <f>COUNTIFS(Table46[Country],Tabela1[[#This Row],[Country]],Table46[Men''s Foil Classification],"&gt;0")</f>
        <v>0</v>
      </c>
      <c r="FF69" s="6">
        <f>COUNTIFS(Table46[Country],Tabela1[[#This Row],[Country]],Table46[Women''s Foil Classification],"&gt;0")</f>
        <v>0</v>
      </c>
      <c r="FG69" s="6">
        <f>COUNTIFS(Table10[Country],Tabela1[[#This Row],[Country]],Table10[Sabre Classification],"&gt;0")</f>
        <v>0</v>
      </c>
      <c r="FH69" s="6">
        <f>COUNTIFS(Table11[Country],Tabela1[[#This Row],[Country]],Table11[Sabre Classification],"&gt;0")</f>
        <v>0</v>
      </c>
      <c r="FI69" s="6">
        <f>COUNTIFS(Table46[Country],Tabela1[[#This Row],[Country]],Table46[Men''s Sabre Classification],"&gt;0")</f>
        <v>0</v>
      </c>
      <c r="FJ69" s="6">
        <f>COUNTIFS(Table46[Country],Tabela1[[#This Row],[Country]],Table46[Women''s Sabre Classification],"&gt;0")</f>
        <v>0</v>
      </c>
      <c r="FK69" s="6">
        <f>COUNTIFS(Table91[Country],Tabela1[[#This Row],[Country]],Table91[Men''s Classification],"&gt;0")</f>
        <v>0</v>
      </c>
      <c r="FL69" s="6">
        <f>COUNTIFS(Table91[Country],Tabela1[[#This Row],[Country]],Table91[Women''s Classification],"&gt;0")</f>
        <v>0</v>
      </c>
      <c r="FM69" s="6">
        <f>COUNTIFS(Table9194[Country],Tabela1[[#This Row],[Country]],Table9194[Men''s Classification],"&gt;0")</f>
        <v>0</v>
      </c>
      <c r="FN69" s="6">
        <f>COUNTIFS(Table9194[Country],Tabela1[[#This Row],[Country]],Table9194[Women''s Classification],"&gt;0")</f>
        <v>0</v>
      </c>
      <c r="FO69" s="6">
        <f>COUNTIFS(Table71[Country],Tabela1[[#This Row],[Country]],Table71[Classification],"&gt;0")</f>
        <v>0</v>
      </c>
      <c r="FP69" s="6">
        <f>COUNTIFS(Table62[Country],Tabela1[[#This Row],[Country]],Table62[Classification],"&gt;0")</f>
        <v>0</v>
      </c>
      <c r="FQ69" s="6">
        <f>COUNTIFS(Table47[Country],Tabela1[[#This Row],[Country]],Table47[All-Around Classification],"&gt;0")</f>
        <v>0</v>
      </c>
      <c r="FR69" s="6">
        <f>COUNTIFS(Table48[Country],Tabela1[[#This Row],[Country]],Table48[All-Around Classification],"&gt;0")</f>
        <v>0</v>
      </c>
      <c r="FS69" s="6">
        <f>COUNTIFS(Table81[Country],Tabela1[[#This Row],[Country]],Table81[Men''s All-Around Classification],"&gt;0")</f>
        <v>0</v>
      </c>
      <c r="FT69" s="6">
        <f>COUNTIFS(Table81[Country],Tabela1[[#This Row],[Country]],Table81[Women''s All-Around Classification],"&gt;0")</f>
        <v>0</v>
      </c>
      <c r="FU69" s="6">
        <f>COUNTIFS(Table48[Country],Tabela1[[#This Row],[Country]],Table48[Balance Beam Classification],"&gt;0")</f>
        <v>0</v>
      </c>
      <c r="FV69" s="6">
        <f>COUNTIFS(Table47[Country],Tabela1[[#This Row],[Country]],Table47[Floor Exercise Classification],"&gt;0")</f>
        <v>0</v>
      </c>
      <c r="FW69" s="6">
        <f>COUNTIFS(Table48[Country],Tabela1[[#This Row],[Country]],Table48[Floor Exercise Classification],"&gt;0")</f>
        <v>0</v>
      </c>
      <c r="FX69" s="6">
        <f>COUNTIFS(Table47[Country],Tabela1[[#This Row],[Country]],Table47[Horizontal Bar Classification],"&gt;0")</f>
        <v>0</v>
      </c>
      <c r="FY69" s="6">
        <f>COUNTIFS(Table47[Country],Tabela1[[#This Row],[Country]],Table47[Parallel Bars Classification],"&gt;0")</f>
        <v>0</v>
      </c>
      <c r="FZ69" s="6">
        <f>COUNTIFS(Table47[Country],Tabela1[[#This Row],[Country]],Table47[Pommel Horse Classification],"&gt;0")</f>
        <v>0</v>
      </c>
      <c r="GA69" s="6">
        <f>COUNTIFS(Table47[Country],Tabela1[[#This Row],[Country]],Table47[Rings Classification],"&gt;0")</f>
        <v>0</v>
      </c>
      <c r="GB69" s="6">
        <f>COUNTIFS(Tabela132[Country],Tabela1[[#This Row],[Country]],Tabela132[Classification],"&gt;0")</f>
        <v>0</v>
      </c>
      <c r="GC69" s="6">
        <f>COUNTIFS(Tabela139[Country],Tabela1[[#This Row],[Country]],Tabela139[Classification],"&gt;0")</f>
        <v>0</v>
      </c>
      <c r="GD69" s="6">
        <f>COUNTIFS(Table48[Country],Tabela1[[#This Row],[Country]],Table48[Uneven Bars Classification],"&gt;0")</f>
        <v>0</v>
      </c>
      <c r="GE69" s="6">
        <f>COUNTIFS(Table47[Country],Tabela1[[#This Row],[Country]],Table47[Vault Classification],"&gt;0")</f>
        <v>0</v>
      </c>
      <c r="GF69" s="6">
        <f>COUNTIFS(Table48[Country],Tabela1[[#This Row],[Country]],Table48[Vault Classification],"&gt;0")</f>
        <v>0</v>
      </c>
      <c r="GG69" s="6">
        <f>COUNTIFS(Table919496[Country],Tabela1[[#This Row],[Country]],Table919496[Men''s Classification],"&gt;0")</f>
        <v>0</v>
      </c>
      <c r="GH69" s="6">
        <f>COUNTIFS(Table919496[Country],Tabela1[[#This Row],[Country]],Table919496[Women''s Classification],"&gt;0")</f>
        <v>0</v>
      </c>
      <c r="GI69" s="6">
        <f>COUNTIFS(Table12[Country],Tabela1[[#This Row],[Country]],Table12[60kg Classification],"&gt;0")</f>
        <v>0</v>
      </c>
      <c r="GJ69" s="6">
        <f>COUNTIFS(Table12[Country],Tabela1[[#This Row],[Country]],Table12[66kg Classification],"&gt;0")</f>
        <v>0</v>
      </c>
      <c r="GK69" s="6">
        <f>COUNTIFS(Table12[Country],Tabela1[[#This Row],[Country]],Table12[73kg Classification],"&gt;0")</f>
        <v>0</v>
      </c>
      <c r="GL69" s="6">
        <f>COUNTIFS(Table12[Country],Tabela1[[#This Row],[Country]],Table12[81kg Classification],"&gt;0")</f>
        <v>0</v>
      </c>
      <c r="GM69" s="6">
        <f>COUNTIFS(Table12[Country],Tabela1[[#This Row],[Country]],Table12[90kg Classification],"&gt;0")</f>
        <v>0</v>
      </c>
      <c r="GN69" s="6">
        <f>COUNTIFS(Table12[Country],Tabela1[[#This Row],[Country]],Table12[100kg Classification],"&gt;0")</f>
        <v>0</v>
      </c>
      <c r="GO69" s="6">
        <f>COUNTIFS(Table12[Country],Tabela1[[#This Row],[Country]],Table12[Plus 100kg Classification],"&gt;0")</f>
        <v>0</v>
      </c>
      <c r="GP69" s="6">
        <f>COUNTIFS(Table13[Country],Tabela1[[#This Row],[Country]],Table13[48kg Classification],"&gt;0")</f>
        <v>0</v>
      </c>
      <c r="GQ69" s="6">
        <f>COUNTIFS(Table13[Country],Tabela1[[#This Row],[Country]],Table13[52kg Classification],"&gt;0")</f>
        <v>0</v>
      </c>
      <c r="GR69" s="6">
        <f>COUNTIFS(Table13[Country],Tabela1[[#This Row],[Country]],Table13[57kg Classification],"&gt;0")</f>
        <v>0</v>
      </c>
      <c r="GS69" s="6">
        <f>COUNTIFS(Table13[Country],Tabela1[[#This Row],[Country]],Table13[63kg Classification],"&gt;0")</f>
        <v>0</v>
      </c>
      <c r="GT69" s="6">
        <f>COUNTIFS(Table13[Country],Tabela1[[#This Row],[Country]],Table13[70kg Classification],"&gt;0")</f>
        <v>0</v>
      </c>
      <c r="GU69" s="6">
        <f>COUNTIFS(Table13[Country],Tabela1[[#This Row],[Country]],Table13[78kg Classification],"&gt;0")</f>
        <v>0</v>
      </c>
      <c r="GV69" s="6">
        <f>COUNTIFS(Table13[Country],Tabela1[[#This Row],[Country]],Table13[Plus 78kg Classification],"&gt;0")</f>
        <v>0</v>
      </c>
      <c r="GW69" s="6">
        <f>COUNTIFS(Table82[Country],Tabela1[[#This Row],[Country]],Table82[Mixed Classification],"&gt;0")</f>
        <v>0</v>
      </c>
      <c r="GX69" s="6">
        <f>COUNTIFS(Table51[Country],Tabela1[[#This Row],[Country]],Table51[Classification],"&gt;0")</f>
        <v>0</v>
      </c>
      <c r="GY69" s="6">
        <f>COUNTIFS(Table52[Country],Tabela1[[#This Row],[Country]],Table52[Classification],"&gt;0")</f>
        <v>0</v>
      </c>
      <c r="GZ69" s="6">
        <f>COUNTIFS(Table32[Country],Tabela1[[#This Row],[Country]],Table32[All-Around Classification],"&gt;0")</f>
        <v>0</v>
      </c>
      <c r="HA69" s="6">
        <f>COUNTIFS(Table49[Country],Tabela1[[#This Row],[Country]],Table49[All-Around Classification],"&gt;0")</f>
        <v>0</v>
      </c>
      <c r="HB69" s="6">
        <f>COUNTIFS(Table26[Country],Tabela1[[#This Row],[Country]],Table26[Single Sculls Classification],"&gt;0")</f>
        <v>1</v>
      </c>
      <c r="HC69" s="6">
        <f>COUNTIFS(Table63[Country],Tabela1[[#This Row],[Country]],Table63[Single Sculls Classification],"&gt;0")</f>
        <v>0</v>
      </c>
      <c r="HD69" s="6">
        <f>COUNTIFS(Table16[Country],Tabela1[[#This Row],[Country]],Table16[Men''s Double Sculls Classification],"&gt;0")</f>
        <v>0</v>
      </c>
      <c r="HE69" s="6">
        <f>COUNTIFS(Table16[Country],Tabela1[[#This Row],[Country]],Table16[Women''s Double Sculls Classification],"&gt;0")</f>
        <v>0</v>
      </c>
      <c r="HF69" s="6">
        <f>COUNTIFS(Table72[Country],Tabela1[[#This Row],[Country]],Table72[Men''s Quadruple Sculls Classification],"&gt;0")</f>
        <v>0</v>
      </c>
      <c r="HG69" s="6">
        <f>COUNTIFS(Table72[Country],Tabela1[[#This Row],[Country]],Table72[Women''s Quadruple Sculls Classification],"&gt;0")</f>
        <v>0</v>
      </c>
      <c r="HH69" s="6">
        <f>COUNTIFS(Table16[Country],Tabela1[[#This Row],[Country]],Table16[Men''s Coxless Pairs Classification],"&gt;0")</f>
        <v>0</v>
      </c>
      <c r="HI69" s="6">
        <f>COUNTIFS(Table16[Country],Tabela1[[#This Row],[Country]],Table16[Women''s Coxless Pairs Classification],"&gt;0")</f>
        <v>0</v>
      </c>
      <c r="HJ69" s="6">
        <f>COUNTIFS(Table72[Country],Tabela1[[#This Row],[Country]],Table72[Men''s Coxless Fours Classification],"&gt;0")</f>
        <v>0</v>
      </c>
      <c r="HK69" s="6">
        <f>COUNTIFS(Table72[Country],Tabela1[[#This Row],[Country]],Table72[Women''s Coxless Fours Classification],"&gt;0")</f>
        <v>0</v>
      </c>
      <c r="HL69" s="6">
        <f>COUNTIFS(Table72[Country],Tabela1[[#This Row],[Country]],Table72[Men''s Eights Classification],"&gt;0")</f>
        <v>0</v>
      </c>
      <c r="HM69" s="6">
        <f>COUNTIFS(Table72[Country],Tabela1[[#This Row],[Country]],Table72[Women''s Eights Classification],"&gt;0")</f>
        <v>0</v>
      </c>
      <c r="HN69" s="6">
        <f>COUNTIFS(Table16[Country],Tabela1[[#This Row],[Country]],Table16[Men''s Lwt. Double Sculls Classification],"&gt;0")</f>
        <v>0</v>
      </c>
      <c r="HO69" s="6">
        <f>COUNTIFS(Table16[Country],Tabela1[[#This Row],[Country]],Table16[Women''s Lwt. Double Sculls Classification],"&gt;0")</f>
        <v>0</v>
      </c>
      <c r="HP69" s="6">
        <f>COUNTIFS(Table91949698[Country],Tabela1[[#This Row],[Country]],Table91949698[Men''s Classification],"&gt;0")</f>
        <v>0</v>
      </c>
      <c r="HQ69" s="6">
        <f>COUNTIFS(Table91949698[Country],Tabela1[[#This Row],[Country]],Table91949698[Women''s Classification],"&gt;0")</f>
        <v>0</v>
      </c>
      <c r="HR69" s="6">
        <f>COUNTIFS(Table25[Country],Tabela1[[#This Row],[Country]],Table25[Mixed 470 Classification],"&gt;0")</f>
        <v>0</v>
      </c>
      <c r="HS69" s="6">
        <f>COUNTIFS(Table25[Country],Tabela1[[#This Row],[Country]],Table25[Men''s 49er Classification],"&gt;0")</f>
        <v>0</v>
      </c>
      <c r="HT69" s="6">
        <f>COUNTIFS(Table25[Country],Tabela1[[#This Row],[Country]],Table25[Women''s 49er FX Classification],"&gt;0")</f>
        <v>0</v>
      </c>
      <c r="HU69" s="6">
        <f>COUNTIFS(Table17[Country],Tabela1[[#This Row],[Country]],Table17[Formula Kite Classification],"&gt;0")</f>
        <v>0</v>
      </c>
      <c r="HV69" s="6">
        <f>COUNTIFS(Table18[Country],Tabela1[[#This Row],[Country]],Table18[Formula Kite Classification],"&gt;0")</f>
        <v>0</v>
      </c>
      <c r="HW69" s="6">
        <f>COUNTIFS(Table17[Country],Tabela1[[#This Row],[Country]],Table17[ILCA 7 Classification],"&gt;0")</f>
        <v>0</v>
      </c>
      <c r="HX69" s="6">
        <f>COUNTIFS(Table18[Country],Tabela1[[#This Row],[Country]],Table18[ILCA 6 Classification],"&gt;0")</f>
        <v>1</v>
      </c>
      <c r="HY69" s="6">
        <f>COUNTIFS(Table17[Country],Tabela1[[#This Row],[Country]],Table17[IQFoil Classification],"&gt;0")</f>
        <v>0</v>
      </c>
      <c r="HZ69" s="6">
        <f>COUNTIFS(Table18[Country],Tabela1[[#This Row],[Country]],Table18[IQFoil Classification],"&gt;0")</f>
        <v>0</v>
      </c>
      <c r="IA69" s="6">
        <f>COUNTIFS(Table25[Country],Tabela1[[#This Row],[Country]],Table25[Mixed Nacra 17 Classification],"&gt;0")</f>
        <v>0</v>
      </c>
      <c r="IB69" s="6">
        <f>COUNTIFS(Table53[Country],Tabela1[[#This Row],[Country]],Table53[10m Air Pistol Classification],"&gt;0")</f>
        <v>0</v>
      </c>
      <c r="IC69" s="6">
        <f>COUNTIFS(Table19[Country],Tabela1[[#This Row],[Country]],Table19[10m Air Pistol Classification],"&gt;0")</f>
        <v>0</v>
      </c>
      <c r="ID69" s="6">
        <f>COUNTIFS(Table54[Country],Tabela1[[#This Row],[Country]],Table54[Mixed 10m Air Pistol Team Classification],"&gt;0")</f>
        <v>0</v>
      </c>
      <c r="IE69" s="6">
        <f>COUNTIFS(Table53[Country],Tabela1[[#This Row],[Country]],Table53[10m Air Rifle Classification],"&gt;0")</f>
        <v>0</v>
      </c>
      <c r="IF69" s="6">
        <f>COUNTIFS(Table19[Country],Tabela1[[#This Row],[Country]],Table19[10m Air Rifle Classification],"&gt;0")</f>
        <v>0</v>
      </c>
      <c r="IG69" s="6">
        <f>COUNTIFS(Table54[Country],Tabela1[[#This Row],[Country]],Table54[Mixed 10m Air Rifle Team Classification],"&gt;0")</f>
        <v>0</v>
      </c>
      <c r="IH69" s="6">
        <f>COUNTIFS(Table53[Country],Tabela1[[#This Row],[Country]],Table53[25m Rapid Fire Pistol Classification],"&gt;0")</f>
        <v>0</v>
      </c>
      <c r="II69" s="6">
        <f>COUNTIFS(Table19[Country],Tabela1[[#This Row],[Country]],Table19[25m Pistol Classification],"&gt;0")</f>
        <v>0</v>
      </c>
      <c r="IJ69" s="6">
        <f>COUNTIFS(Table53[Country],Tabela1[[#This Row],[Country]],Table53[50m Rifle 3 Positions Classification],"&gt;0")</f>
        <v>0</v>
      </c>
      <c r="IK69" s="6">
        <f>COUNTIFS(Table19[Country],Tabela1[[#This Row],[Country]],Table19[50m Rifle 3 Positions Classification],"&gt;0")</f>
        <v>0</v>
      </c>
      <c r="IL69" s="6">
        <f>COUNTIFS(Table53[Country],Tabela1[[#This Row],[Country]],Table53[Skeet Classification],"&gt;0")</f>
        <v>0</v>
      </c>
      <c r="IM69" s="6">
        <f>COUNTIFS(Table19[Country],Tabela1[[#This Row],[Country]],Table19[Skeet Classification],"&gt;0")</f>
        <v>0</v>
      </c>
      <c r="IN69" s="6">
        <f>COUNTIFS(Table54[Country],Tabela1[[#This Row],[Country]],Table54[Mixed Skeet Team Classification],"&gt;0")</f>
        <v>0</v>
      </c>
      <c r="IO69" s="6">
        <f>COUNTIFS(Table53[Country],Tabela1[[#This Row],[Country]],Table53[Trap Classification],"&gt;0")</f>
        <v>0</v>
      </c>
      <c r="IP69" s="6">
        <f>COUNTIFS(Table19[Country],Tabela1[[#This Row],[Country]],Table19[Trap Classification],"&gt;0")</f>
        <v>0</v>
      </c>
      <c r="IQ69" s="6">
        <f>COUNTIFS(Table73[Country],Tabela1[[#This Row],[Country]],Table73[Park Classification],"&gt;0")</f>
        <v>0</v>
      </c>
      <c r="IR69" s="6">
        <f>COUNTIFS(Table74[Country],Tabela1[[#This Row],[Country]],Table74[Park Classification],"&gt;0")</f>
        <v>0</v>
      </c>
      <c r="IS69" s="6">
        <f>COUNTIFS(Table73[Country],Tabela1[[#This Row],[Country]],Table73[Street Classification],"&gt;0")</f>
        <v>0</v>
      </c>
      <c r="IT69" s="6">
        <f>COUNTIFS(Table74[Country],Tabela1[[#This Row],[Country]],Table74[Street Classification],"&gt;0")</f>
        <v>0</v>
      </c>
      <c r="IU69" s="6">
        <f>COUNTIFS(Table75[Country],Tabela1[[#This Row],[Country]],Table75[Boulder and Lead Classification],"&gt;0")</f>
        <v>0</v>
      </c>
      <c r="IV69" s="6">
        <f>COUNTIFS(Table76[Country],Tabela1[[#This Row],[Country]],Table76[Boulder and Lead Classification],"&gt;0")</f>
        <v>0</v>
      </c>
      <c r="IW69" s="6">
        <f>COUNTIFS(Table75[Country],Tabela1[[#This Row],[Country]],Table75[Speed Classification],"&gt;0")</f>
        <v>0</v>
      </c>
      <c r="IX69" s="6">
        <f>COUNTIFS(Table76[Country],Tabela1[[#This Row],[Country]],Table76[Speed Classification],"&gt;0")</f>
        <v>0</v>
      </c>
      <c r="IY69" s="6">
        <f>COUNTIFS(Table64[Country],Tabela1[[#This Row],[Country]],Table64[Shortboard Classification],"&gt;0")</f>
        <v>0</v>
      </c>
      <c r="IZ69" s="6">
        <f>COUNTIFS(Table77[Country],Tabela1[[#This Row],[Country]],Table77[Shortboard Classification],"&gt;0")</f>
        <v>0</v>
      </c>
      <c r="JA69" s="6">
        <f>COUNTIFS(Table20[Country],Tabela1[[#This Row],[Country]],Table20[50m Freestyle Classification],"&gt;0")</f>
        <v>0</v>
      </c>
      <c r="JB69" s="6">
        <f>COUNTIFS(Table21[Country],Tabela1[[#This Row],[Country]],Table21[50m Freestyle Classification],"&gt;0")</f>
        <v>0</v>
      </c>
      <c r="JC69" s="6">
        <f>COUNTIFS(Table20[Country],Tabela1[[#This Row],[Country]],Table20[100m Freestyle Classification],"&gt;0")</f>
        <v>0</v>
      </c>
      <c r="JD69" s="6">
        <f>COUNTIFS(Table21[Country],Tabela1[[#This Row],[Country]],Table21[100m Freestyle Classification],"&gt;0")</f>
        <v>0</v>
      </c>
      <c r="JE69" s="6">
        <f>COUNTIFS(Table20[Country],Tabela1[[#This Row],[Country]],Table20[200m Freestyle Classification],"&gt;0")</f>
        <v>0</v>
      </c>
      <c r="JF69" s="6">
        <f>COUNTIFS(Table21[Country],Tabela1[[#This Row],[Country]],Table21[200m Freestyle Classification],"&gt;0")</f>
        <v>0</v>
      </c>
      <c r="JG69" s="6">
        <f>COUNTIFS(Table20[Country],Tabela1[[#This Row],[Country]],Table20[400m Freestyle Classification],"&gt;0")</f>
        <v>0</v>
      </c>
      <c r="JH69" s="6">
        <f>COUNTIFS(Table21[Country],Tabela1[[#This Row],[Country]],Table21[400m Freestyle Classification],"&gt;0")</f>
        <v>0</v>
      </c>
      <c r="JI69" s="6">
        <f>COUNTIFS(Table20[Country],Tabela1[[#This Row],[Country]],Table20[800m Freestyle Classification],"&gt;0")</f>
        <v>0</v>
      </c>
      <c r="JJ69" s="6">
        <f>COUNTIFS(Table21[Country],Tabela1[[#This Row],[Country]],Table21[800m Freestyle Classification],"&gt;0")</f>
        <v>0</v>
      </c>
      <c r="JK69" s="6">
        <f>COUNTIFS(Table20[Country],Tabela1[[#This Row],[Country]],Table20[1500m Freestyle Classification],"&gt;0")</f>
        <v>0</v>
      </c>
      <c r="JL69" s="6">
        <f>COUNTIFS(Table21[Country],Tabela1[[#This Row],[Country]],Table21[1500m Freestyle Classification],"&gt;0")</f>
        <v>0</v>
      </c>
      <c r="JM69" s="6">
        <f>COUNTIFS(Table20[Country],Tabela1[[#This Row],[Country]],Table20[100m Backstroke Classification],"&gt;0")</f>
        <v>1</v>
      </c>
      <c r="JN69" s="6">
        <f>COUNTIFS(Table21[Country],Tabela1[[#This Row],[Country]],Table21[100m Backstroke Classification],"&gt;0")</f>
        <v>1</v>
      </c>
      <c r="JO69" s="6">
        <f>COUNTIFS(Table20[Country],Tabela1[[#This Row],[Country]],Table20[200m Backstroke Classification],"&gt;0")</f>
        <v>0</v>
      </c>
      <c r="JP69" s="6">
        <f>COUNTIFS(Table21[Country],Tabela1[[#This Row],[Country]],Table21[200m Backstroke Classification],"&gt;0")</f>
        <v>0</v>
      </c>
      <c r="JQ69" s="6">
        <f>COUNTIFS(Table20[Country],Tabela1[[#This Row],[Country]],Table20[100m Breaststroke Classification],"&gt;0")</f>
        <v>0</v>
      </c>
      <c r="JR69" s="6">
        <f>COUNTIFS(Table21[Country],Tabela1[[#This Row],[Country]],Table21[100m Breaststroke Classification],"&gt;0")</f>
        <v>0</v>
      </c>
      <c r="JS69" s="6">
        <f>COUNTIFS(Table20[Country],Tabela1[[#This Row],[Country]],Table20[200m Breaststroke Classification],"&gt;0")</f>
        <v>0</v>
      </c>
      <c r="JT69" s="6">
        <f>COUNTIFS(Table21[Country],Tabela1[[#This Row],[Country]],Table21[200m Breaststroke Classification],"&gt;0")</f>
        <v>0</v>
      </c>
      <c r="JU69" s="6">
        <f>COUNTIFS(Table20[Country],Tabela1[[#This Row],[Country]],Table20[100m Butterfly Classification],"&gt;0")</f>
        <v>0</v>
      </c>
      <c r="JV69" s="6">
        <f>COUNTIFS(Table21[Country],Tabela1[[#This Row],[Country]],Table21[100m Butterfly Classification],"&gt;0")</f>
        <v>0</v>
      </c>
      <c r="JW69" s="6">
        <f>COUNTIFS(Table20[Country],Tabela1[[#This Row],[Country]],Table20[200m Butterfly Classification],"&gt;0")</f>
        <v>0</v>
      </c>
      <c r="JX69" s="6">
        <f>COUNTIFS(Table21[Country],Tabela1[[#This Row],[Country]],Table21[200m Butterfly Classification],"&gt;0")</f>
        <v>0</v>
      </c>
      <c r="JY69" s="6">
        <f>COUNTIFS(Table20[Country],Tabela1[[#This Row],[Country]],Table20[200m Medley Classification],"&gt;0")</f>
        <v>0</v>
      </c>
      <c r="JZ69" s="6">
        <f>COUNTIFS(Table21[Country],Tabela1[[#This Row],[Country]],Table21[200m Medley Classification],"&gt;0")</f>
        <v>0</v>
      </c>
      <c r="KA69" s="6">
        <f>COUNTIFS(Table20[Country],Tabela1[[#This Row],[Country]],Table20[400m Medley Classification],"&gt;0")</f>
        <v>0</v>
      </c>
      <c r="KB69" s="6">
        <f>COUNTIFS(Table21[Country],Tabela1[[#This Row],[Country]],Table21[400m Medley Classification],"&gt;0")</f>
        <v>0</v>
      </c>
      <c r="KC69" s="6">
        <f>COUNTIFS(Table78[Country],Tabela1[[#This Row],[Country]],Table78[Men''s 4x100m Freestyle Relay Classification],"&gt;0")</f>
        <v>0</v>
      </c>
      <c r="KD69" s="6">
        <f>COUNTIFS(Table78[Country],Tabela1[[#This Row],[Country]],Table78[Women''s 4x100m Freestyle Relay Classification],"&gt;0")</f>
        <v>0</v>
      </c>
      <c r="KE69" s="6">
        <f>COUNTIFS(Table78[Country],Tabela1[[#This Row],[Country]],Table78[Men''s 4x200m Freestyle Relay Classification],"&gt;0")</f>
        <v>0</v>
      </c>
      <c r="KF69" s="6">
        <f>COUNTIFS(Table78[Country],Tabela1[[#This Row],[Country]],Table78[Women''s 4x200m Freestyle Relay Classification],"&gt;0")</f>
        <v>0</v>
      </c>
      <c r="KG69" s="6">
        <f>COUNTIFS(Table78[Country],Tabela1[[#This Row],[Country]],Table78[Men''s 4x100m Medley Relay Classification],"&gt;0")</f>
        <v>0</v>
      </c>
      <c r="KH69" s="6">
        <f>COUNTIFS(Table78[Country],Tabela1[[#This Row],[Country]],Table78[Women''s 4x100m Medley Relay Classification],"&gt;0")</f>
        <v>0</v>
      </c>
      <c r="KI69" s="6">
        <f>COUNTIFS(Table78[Country],Tabela1[[#This Row],[Country]],Table78[Mixed 4x100m Medley Relay Classification],"&gt;0")</f>
        <v>0</v>
      </c>
      <c r="KJ69" s="6">
        <f>COUNTIFS(Table20[Country],Tabela1[[#This Row],[Country]],Table20[10km Open Water Classification],"&gt;0")</f>
        <v>0</v>
      </c>
      <c r="KK69" s="6">
        <f>COUNTIFS(Table21[Country],Tabela1[[#This Row],[Country]],Table21[10km Open Water Classification],"&gt;0")</f>
        <v>0</v>
      </c>
      <c r="KL69" s="6">
        <f>COUNTIFS(Table22[Country],Tabela1[[#This Row],[Country]],Table22[Classification],"&gt;0")</f>
        <v>0</v>
      </c>
      <c r="KM69" s="6">
        <f>COUNTIFS(Table30[Country],Tabela1[[#This Row],[Country]],Table30[Classification],"&gt;0")</f>
        <v>0</v>
      </c>
      <c r="KN69" s="6">
        <f>COUNTIFS(Table55[Country],Tabela1[[#This Row],[Country]],Table55[Men''s Classification],"&gt;0")</f>
        <v>0</v>
      </c>
      <c r="KO69" s="6">
        <f>COUNTIFS(Table55[Country],Tabela1[[#This Row],[Country]],Table55[Women''s Classification],"&gt;0")</f>
        <v>0</v>
      </c>
      <c r="KP69" s="6">
        <f>COUNTIFS(Table56[Country],Tabela1[[#This Row],[Country]],Table56[Mixed Classification],"&gt;0")</f>
        <v>0</v>
      </c>
      <c r="KQ69" s="6">
        <f>COUNTIFS(Table29[Country],Tabela1[[#This Row],[Country]],Table29[58kg Classification],"&gt;0")</f>
        <v>0</v>
      </c>
      <c r="KR69" s="6">
        <f>COUNTIFS(Table29[Country],Tabela1[[#This Row],[Country]],Table29[68kg Classification],"&gt;0")</f>
        <v>0</v>
      </c>
      <c r="KS69" s="6">
        <f>COUNTIFS(Table29[Country],Tabela1[[#This Row],[Country]],Table29[80kg Classification],"&gt;0")</f>
        <v>0</v>
      </c>
      <c r="KT69" s="6">
        <f>COUNTIFS(Table29[Country],Tabela1[[#This Row],[Country]],Table29[Plus 80kg Classification],"&gt;0")</f>
        <v>0</v>
      </c>
      <c r="KU69" s="6">
        <f>COUNTIFS(Table34[Country],Tabela1[[#This Row],[Country]],Table34[49kg Classification],"&gt;0")</f>
        <v>0</v>
      </c>
      <c r="KV69" s="6">
        <f>COUNTIFS(Table34[Country],Tabela1[[#This Row],[Country]],Table34[57kg Classification],"&gt;0")</f>
        <v>0</v>
      </c>
      <c r="KW69" s="6">
        <f>COUNTIFS(Table34[Country],Tabela1[[#This Row],[Country]],Table34[67kg Classification],"&gt;0")</f>
        <v>0</v>
      </c>
      <c r="KX69" s="6">
        <f>COUNTIFS(Table34[Country],Tabela1[[#This Row],[Country]],Table34[Plus 67kg Classification],"&gt;0")</f>
        <v>0</v>
      </c>
      <c r="KY69" s="6">
        <f>COUNTIFS(Table57[Country],Tabela1[[#This Row],[Country]],Table57[Classification],"&gt;0")</f>
        <v>0</v>
      </c>
      <c r="KZ69" s="6">
        <f>COUNTIFS(Table58[Country],Tabela1[[#This Row],[Country]],Table58[Classification],"&gt;0")</f>
        <v>0</v>
      </c>
      <c r="LA69" s="6">
        <f>COUNTIFS(Table79[Country],Tabela1[[#This Row],[Country]],Table79[Men''s Classification],"&gt;0")</f>
        <v>0</v>
      </c>
      <c r="LB69" s="6">
        <f>COUNTIFS(Table79[Country],Tabela1[[#This Row],[Country]],Table79[Women''s Classification],"&gt;0")</f>
        <v>0</v>
      </c>
      <c r="LC69" s="6">
        <f>COUNTIFS(Table79[Country],Tabela1[[#This Row],[Country]],Table79[Mixed Classification],"&gt;0")</f>
        <v>0</v>
      </c>
      <c r="LD69" s="6">
        <f>COUNTIFS(Table65[Country],Tabela1[[#This Row],[Country]],Table65[Classification],"&gt;0")</f>
        <v>1</v>
      </c>
      <c r="LE69" s="6">
        <f>COUNTIFS(Table59[Country],Tabela1[[#This Row],[Country]],Table59[Classification],"&gt;0")</f>
        <v>2</v>
      </c>
      <c r="LF69" s="6">
        <f>COUNTIFS(Table87[Country],Tabela1[[#This Row],[Country]],Table87[Mixed Relay Classification],"&gt;0")</f>
        <v>0</v>
      </c>
      <c r="LG69" s="6">
        <f>COUNTIFS(Table91949698100[Country],Tabela1[[#This Row],[Country]],Table91949698100[Men''s Classification],"&gt;0")</f>
        <v>0</v>
      </c>
      <c r="LH69" s="6">
        <f>COUNTIFS(Table91949698100[Country],Tabela1[[#This Row],[Country]],Table91949698100[Women''s Classification],"&gt;0")</f>
        <v>0</v>
      </c>
      <c r="LI69" s="6">
        <f>COUNTIFS(Table91949698100102[Country],Tabela1[[#This Row],[Country]],Table91949698100102[Men''s Classification],"&gt;0")</f>
        <v>0</v>
      </c>
      <c r="LJ69" s="6">
        <f>COUNTIFS(Table91949698100102[Country],Tabela1[[#This Row],[Country]],Table91949698100102[Women''s Classification],"&gt;0")</f>
        <v>0</v>
      </c>
      <c r="LK69" s="6">
        <f>COUNTIFS(Table23[Country],Tabela1[[#This Row],[Country]],Table23[61kg Classification],"&gt;0")</f>
        <v>0</v>
      </c>
      <c r="LL69" s="6">
        <f>COUNTIFS(Table23[Country],Tabela1[[#This Row],[Country]],Table23[73kg Classification],"&gt;0")</f>
        <v>0</v>
      </c>
      <c r="LM69" s="6">
        <f>COUNTIFS(Table23[Country],Tabela1[[#This Row],[Country]],Table23[89kg Classification],"&gt;0")</f>
        <v>0</v>
      </c>
      <c r="LN69" s="6">
        <f>COUNTIFS(Table23[Country],Tabela1[[#This Row],[Country]],Table23[102kg Classification],"&gt;0")</f>
        <v>0</v>
      </c>
      <c r="LO69" s="6">
        <f>COUNTIFS(Table23[Country],Tabela1[[#This Row],[Country]],Table23[Plus 102kg Classification],"&gt;0")</f>
        <v>0</v>
      </c>
      <c r="LP69" s="6">
        <f>COUNTIFS(Table28[Country],Tabela1[[#This Row],[Country]],Table28[49kg Classification],"&gt;0")</f>
        <v>0</v>
      </c>
      <c r="LQ69" s="6">
        <f>COUNTIFS(Table28[Country],Tabela1[[#This Row],[Country]],Table28[59kg Classification],"&gt;0")</f>
        <v>0</v>
      </c>
      <c r="LR69" s="6">
        <f>COUNTIFS(Table28[Country],Tabela1[[#This Row],[Country]],Table28[71kg Classification],"&gt;0")</f>
        <v>0</v>
      </c>
      <c r="LS69" s="6">
        <f>COUNTIFS(Table28[Country],Tabela1[[#This Row],[Country]],Table28[81kg Classification],"&gt;0")</f>
        <v>0</v>
      </c>
      <c r="LT69" s="6">
        <f>COUNTIFS(Table28[Country],Tabela1[[#This Row],[Country]],Table28[Plus 81kg Classification],"&gt;0")</f>
        <v>0</v>
      </c>
      <c r="LU69" s="6">
        <f>COUNTIFS(Table24[Country],Tabela1[[#This Row],[Country]],Table24[Freestyle 57kg Classification],"&gt;0")</f>
        <v>0</v>
      </c>
      <c r="LV69" s="6">
        <f>COUNTIFS(Table24[Country],Tabela1[[#This Row],[Country]],Table24[Freestyle 65kg Classification],"&gt;0")</f>
        <v>0</v>
      </c>
      <c r="LW69" s="6">
        <f>COUNTIFS(Table24[Country],Tabela1[[#This Row],[Country]],Table24[Freestyle 74kg Classification],"&gt;0")</f>
        <v>0</v>
      </c>
      <c r="LX69" s="6">
        <f>COUNTIFS(Table24[Country],Tabela1[[#This Row],[Country]],Table24[Freestyle 86kg Classification],"&gt;0")</f>
        <v>0</v>
      </c>
      <c r="LY69" s="6">
        <f>COUNTIFS(Table24[Country],Tabela1[[#This Row],[Country]],Table24[Freestyle 97kg Classification],"&gt;0")</f>
        <v>0</v>
      </c>
      <c r="LZ69" s="6">
        <f>COUNTIFS(Table24[Country],Tabela1[[#This Row],[Country]],Table24[Freestyle 125kg Classification],"&gt;0")</f>
        <v>0</v>
      </c>
      <c r="MA69" s="6">
        <f>COUNTIFS(Table24[Country],Tabela1[[#This Row],[Country]],Table24[Greco-Roman 60kg Classification],"&gt;0")</f>
        <v>0</v>
      </c>
      <c r="MB69" s="6">
        <f>COUNTIFS(Table24[Country],Tabela1[[#This Row],[Country]],Table24[Greco-Roman 67kg Classification],"&gt;0")</f>
        <v>0</v>
      </c>
      <c r="MC69" s="6">
        <f>COUNTIFS(Table24[Country],Tabela1[[#This Row],[Country]],Table24[Greco-Roman 77kg Classification],"&gt;0")</f>
        <v>0</v>
      </c>
      <c r="MD69" s="6">
        <f>COUNTIFS(Table24[Country],Tabela1[[#This Row],[Country]],Table24[Greco-Roman 87kg Classification],"&gt;0")</f>
        <v>0</v>
      </c>
      <c r="ME69" s="6">
        <f>COUNTIFS(Table24[Country],Tabela1[[#This Row],[Country]],Table24[Greco-Roman 97kg Classification],"&gt;0")</f>
        <v>0</v>
      </c>
      <c r="MF69" s="6">
        <f>COUNTIFS(Table24[Country],Tabela1[[#This Row],[Country]],Table24[Greco-Roman 130kg Classification],"&gt;0")</f>
        <v>0</v>
      </c>
      <c r="MG69" s="6">
        <f>COUNTIFS(Table31[Country],Tabela1[[#This Row],[Country]],Table31[50kg Classification],"&gt;0")</f>
        <v>0</v>
      </c>
      <c r="MH69" s="6">
        <f>COUNTIFS(Table31[Country],Tabela1[[#This Row],[Country]],Table31[53kg Classification],"&gt;0")</f>
        <v>0</v>
      </c>
      <c r="MI69" s="6">
        <f>COUNTIFS(Table31[Country],Tabela1[[#This Row],[Country]],Table31[57kg Classification],"&gt;0")</f>
        <v>0</v>
      </c>
      <c r="MJ69" s="6">
        <f>COUNTIFS(Table31[Country],Tabela1[[#This Row],[Country]],Table31[62kg Classification],"&gt;0")</f>
        <v>0</v>
      </c>
      <c r="MK69" s="6">
        <f>COUNTIFS(Table31[Country],Tabela1[[#This Row],[Country]],Table31[68kg Classification],"&gt;0")</f>
        <v>0</v>
      </c>
      <c r="ML69" s="6">
        <f>COUNTIFS(Table31[Country],Tabela1[[#This Row],[Country]],Table31[76kg Classification],"&gt;0")</f>
        <v>0</v>
      </c>
      <c r="MM69" s="6">
        <f>COUNTIFS(Table102[Country],Tabela1[[#This Row],[Country]],Table102[Downhill Classification],"&gt;0")</f>
        <v>0</v>
      </c>
      <c r="MN69" s="6">
        <f>COUNTIFS(Table102105[Country],Tabela1[[#This Row],[Country]],Table102105[Downhill Classification],"&gt;0")</f>
        <v>0</v>
      </c>
      <c r="MO69" s="6">
        <f>COUNTIFS(Table102[Country],Tabela1[[#This Row],[Country]],Table102[Giant Slalom Classification],"&gt;0")</f>
        <v>0</v>
      </c>
      <c r="MP69" s="6">
        <f>COUNTIFS(Table102105[Country],Tabela1[[#This Row],[Country]],Table102105[Giant Slalom Classification],"&gt;0")</f>
        <v>0</v>
      </c>
      <c r="MQ69" s="6">
        <f>COUNTIFS(Table102[Country],Tabela1[[#This Row],[Country]],Table102[Slalom Classification],"&gt;0")</f>
        <v>0</v>
      </c>
      <c r="MR69" s="6">
        <f>COUNTIFS(Table102105[Country],Tabela1[[#This Row],[Country]],Table102105[Slalom Classification],"&gt;0")</f>
        <v>0</v>
      </c>
      <c r="MS69" s="6">
        <f>COUNTIFS(Table102[Country],Tabela1[[#This Row],[Country]],Table102[Super-G Classification],"&gt;0")</f>
        <v>0</v>
      </c>
      <c r="MT69" s="6">
        <f>COUNTIFS(Table102105[Country],Tabela1[[#This Row],[Country]],Table102105[Super-G Classification],"&gt;0")</f>
        <v>0</v>
      </c>
      <c r="MU69" s="6">
        <f>COUNTIFS(Table105[Country],Tabela1[[#This Row],[Country]],Table105[Men''s Combined Classification],"&gt;0")</f>
        <v>0</v>
      </c>
      <c r="MV69" s="6">
        <f>COUNTIFS(Table105[Country],Tabela1[[#This Row],[Country]],Table105[Women''s Combined Classification],"&gt;0")</f>
        <v>0</v>
      </c>
      <c r="MW69" s="6">
        <f>COUNTIFS(Table106[Country],Tabela1[[#This Row],[Country]],Table106[Individual Classification],"&gt;0")</f>
        <v>0</v>
      </c>
      <c r="MX69" s="6">
        <f>COUNTIFS(Table106109[Country],Tabela1[[#This Row],[Country]],Table106109[Individual Classification],"&gt;0")</f>
        <v>0</v>
      </c>
      <c r="MY69" s="6">
        <f>COUNTIFS(Table106[Country],Tabela1[[#This Row],[Country]],Table106[Mass Start Classification],"&gt;0")</f>
        <v>0</v>
      </c>
      <c r="MZ69" s="6">
        <f>COUNTIFS(Table106109[Country],Tabela1[[#This Row],[Country]],Table106109[Mass Start Classification],"&gt;0")</f>
        <v>0</v>
      </c>
      <c r="NA69" s="6">
        <f>COUNTIFS(Table106[Country],Tabela1[[#This Row],[Country]],Table106[Pursuit Classification],"&gt;0")</f>
        <v>0</v>
      </c>
      <c r="NB69" s="6">
        <f>COUNTIFS(Table106109[Country],Tabela1[[#This Row],[Country]],Table106109[Pursuit Classification],"&gt;0")</f>
        <v>0</v>
      </c>
      <c r="NC69" s="6">
        <f>COUNTIFS(Table106[Country],Tabela1[[#This Row],[Country]],Table106[Sprint Classification],"&gt;0")</f>
        <v>0</v>
      </c>
      <c r="ND69" s="6">
        <f>COUNTIFS(Table106109[Country],Tabela1[[#This Row],[Country]],Table106109[Sprint Classification],"&gt;0")</f>
        <v>0</v>
      </c>
      <c r="NE69" s="6">
        <f>COUNTIFS(Table109[Country],Tabela1[[#This Row],[Country]],Table109[Men''s Relay Classification],"&gt;0")</f>
        <v>0</v>
      </c>
      <c r="NF69" s="6">
        <f>COUNTIFS(Table109[Country],Tabela1[[#This Row],[Country]],Table109[Women''s Relay Classification],"&gt;0")</f>
        <v>0</v>
      </c>
      <c r="NG69" s="6">
        <f>COUNTIFS(Table109[Country],Tabela1[[#This Row],[Country]],Table109[Mixed Relay Classification],"&gt;0")</f>
        <v>0</v>
      </c>
      <c r="NH69" s="6">
        <f>COUNTIFS(Table110[Country],Tabela1[[#This Row],[Country]],Table110[Monobob Classification],"&gt;0")</f>
        <v>0</v>
      </c>
      <c r="NI69" s="6">
        <f>COUNTIFS(Table111[Country],Tabela1[[#This Row],[Country]],Table111[Men''s Classification],"&gt;0")</f>
        <v>0</v>
      </c>
      <c r="NJ69" s="6">
        <f>COUNTIFS(Table111[Country],Tabela1[[#This Row],[Country]],Table111[Women''s Classification],"&gt;0")</f>
        <v>0</v>
      </c>
      <c r="NK69" s="6">
        <f>COUNTIFS(Table112[Country],Tabela1[[#This Row],[Country]],Table112[Men''s Four Classification],"&gt;0")</f>
        <v>0</v>
      </c>
      <c r="NL69" s="6">
        <f>COUNTIFS(Table113[Country],Tabela1[[#This Row],[Country]],Table113[Classical Classification],"&gt;0")</f>
        <v>0</v>
      </c>
      <c r="NM69" s="6">
        <f>COUNTIFS(Table113116[Country],Tabela1[[#This Row],[Country]],Table113116[Classical Classification],"&gt;0")</f>
        <v>0</v>
      </c>
      <c r="NN69" s="6">
        <f>COUNTIFS(Table113[Country],Tabela1[[#This Row],[Country]],Table113[Freestyle Classification],"&gt;0")</f>
        <v>0</v>
      </c>
      <c r="NO69" s="6">
        <f>COUNTIFS(Table113116[Country],Tabela1[[#This Row],[Country]],Table113116[Freestyle Classification],"&gt;0")</f>
        <v>0</v>
      </c>
      <c r="NP69" s="6">
        <f>COUNTIFS(Table117[Country],Tabela1[[#This Row],[Country]],Table117[Men''s Relay Classification],"&gt;0")</f>
        <v>0</v>
      </c>
      <c r="NQ69" s="6">
        <f>COUNTIFS(Table117[Country],Tabela1[[#This Row],[Country]],Table117[Women''s Relay Classification],"&gt;0")</f>
        <v>0</v>
      </c>
      <c r="NR69" s="6">
        <f>COUNTIFS(Table113[Country],Tabela1[[#This Row],[Country]],Table113[Skiathlon Classification],"&gt;0")</f>
        <v>0</v>
      </c>
      <c r="NS69" s="6">
        <f>COUNTIFS(Table113116[Country],Tabela1[[#This Row],[Country]],Table113116[Skiathlon Classification],"&gt;0")</f>
        <v>0</v>
      </c>
      <c r="NT69" s="6">
        <f>COUNTIFS(Table113[Country],Tabela1[[#This Row],[Country]],Table113[Sprint Classification],"&gt;0")</f>
        <v>0</v>
      </c>
      <c r="NU69" s="6">
        <f>COUNTIFS(Table113116[Country],Tabela1[[#This Row],[Country]],Table113116[Sprint Classification],"&gt;0")</f>
        <v>0</v>
      </c>
      <c r="NV69" s="6">
        <f>COUNTIFS(Table116[Country],Tabela1[[#This Row],[Country]],Table116[Men''s Team Sprint Classification],"&gt;0")</f>
        <v>0</v>
      </c>
      <c r="NW69" s="6">
        <f>COUNTIFS(Table116[Country],Tabela1[[#This Row],[Country]],Table116[Women''s Team Sprint Classification],"&gt;0")</f>
        <v>0</v>
      </c>
      <c r="NX69" s="6">
        <f>COUNTIFS(Table119[Country],Tabela1[[#This Row],[Country]],Table119[Men''s Classification],"&gt;0")</f>
        <v>0</v>
      </c>
      <c r="NY69" s="6">
        <f>COUNTIFS(Table119[Country],Tabela1[[#This Row],[Country]],Table119[Women''s Classification],"&gt;0")</f>
        <v>0</v>
      </c>
      <c r="NZ69" s="6">
        <f>COUNTIFS(Table118[Country],Tabela1[[#This Row],[Country]],Table118[Mixed Classification],"&gt;0")</f>
        <v>0</v>
      </c>
      <c r="OA69" s="6">
        <f>COUNTIFS(Table120[Country],Tabela1[[#This Row],[Country]],Table120[Classification],"&gt;0")</f>
        <v>0</v>
      </c>
      <c r="OB69" s="6">
        <f>COUNTIFS(Table120123[Country],Tabela1[[#This Row],[Country]],Table120123[Classification],"&gt;0")</f>
        <v>0</v>
      </c>
      <c r="OC69" s="6">
        <f>COUNTIFS(Table123[Country],Tabela1[[#This Row],[Country]],Table123[Ice Dance Classification],"&gt;0")</f>
        <v>0</v>
      </c>
      <c r="OD69" s="6">
        <f>COUNTIFS(Table123[Country],Tabela1[[#This Row],[Country]],Table123[Pair Skating Classification],"&gt;0")</f>
        <v>0</v>
      </c>
      <c r="OE69" s="6">
        <f>COUNTIFS(Table124[Country],Tabela1[[#This Row],[Country]],Table124[Mixed Classification],"&gt;0")</f>
        <v>0</v>
      </c>
      <c r="OF69" s="6">
        <f>COUNTIFS(Table125[Country],Tabela1[[#This Row],[Country]],Table125[Aerials Classification],"&gt;0")</f>
        <v>0</v>
      </c>
      <c r="OG69" s="6">
        <f>COUNTIFS(Table125128[Country],Tabela1[[#This Row],[Country]],Table125128[Aerials Classification],"&gt;0")</f>
        <v>0</v>
      </c>
      <c r="OH69" s="6">
        <f>COUNTIFS(Table128[Country],Tabela1[[#This Row],[Country]],Table128[Mixed Aerials Classification],"&gt;0")</f>
        <v>0</v>
      </c>
      <c r="OI69" s="6">
        <f>COUNTIFS(Table125[Country],Tabela1[[#This Row],[Country]],Table125[Big Air Classification],"&gt;0")</f>
        <v>0</v>
      </c>
      <c r="OJ69" s="6">
        <f>COUNTIFS(Table125128[Country],Tabela1[[#This Row],[Country]],Table125128[Big Air Classification],"&gt;0")</f>
        <v>0</v>
      </c>
      <c r="OK69" s="6">
        <f>COUNTIFS(Table125[Country],Tabela1[[#This Row],[Country]],Table125[Dual Moguls Classification],"&gt;0")</f>
        <v>0</v>
      </c>
      <c r="OL69" s="6">
        <f>COUNTIFS(Table125128[Country],Tabela1[[#This Row],[Country]],Table125128[Dual Moguls Classification],"&gt;0")</f>
        <v>0</v>
      </c>
      <c r="OM69" s="6">
        <f>COUNTIFS(Table125[Country],Tabela1[[#This Row],[Country]],Table125[Halfpipe Classification],"&gt;0")</f>
        <v>0</v>
      </c>
      <c r="ON69" s="6">
        <f>COUNTIFS(Table125128[Country],Tabela1[[#This Row],[Country]],Table125128[Halfpipe Classification],"&gt;0")</f>
        <v>0</v>
      </c>
      <c r="OO69" s="6">
        <f>COUNTIFS(Table125[Country],Tabela1[[#This Row],[Country]],Table125[Moguls Classification],"&gt;0")</f>
        <v>0</v>
      </c>
      <c r="OP69" s="6">
        <f>COUNTIFS(Table125128[Country],Tabela1[[#This Row],[Country]],Table125128[Moguls Classification],"&gt;0")</f>
        <v>0</v>
      </c>
      <c r="OQ69" s="6">
        <f>COUNTIFS(Table125[Country],Tabela1[[#This Row],[Country]],Table125[Ski Cross Classification],"&gt;0")</f>
        <v>0</v>
      </c>
      <c r="OR69" s="6">
        <f>COUNTIFS(Table125128[Country],Tabela1[[#This Row],[Country]],Table125128[Ski Cross Classification],"&gt;0")</f>
        <v>0</v>
      </c>
      <c r="OS69" s="6">
        <f>COUNTIFS(Table125[Country],Tabela1[[#This Row],[Country]],Table125[Slopestyle Classification],"&gt;0")</f>
        <v>0</v>
      </c>
      <c r="OT69" s="6">
        <f>COUNTIFS(Table125128[Country],Tabela1[[#This Row],[Country]],Table125128[Slopestyle Classification],"&gt;0")</f>
        <v>0</v>
      </c>
      <c r="OU69" s="6">
        <f>COUNTIFS(Table119131[Country],Tabela1[[#This Row],[Country]],Table119131[Men''s Classification],"&gt;0")</f>
        <v>0</v>
      </c>
      <c r="OV69" s="6">
        <f>COUNTIFS(Table119131[Country],Tabela1[[#This Row],[Country]],Table119131[Women''s Classification],"&gt;0")</f>
        <v>0</v>
      </c>
      <c r="OW69" s="6">
        <f>COUNTIFS(Table131[Country],Tabela1[[#This Row],[Country]],Table131[Classification],"&gt;0")</f>
        <v>0</v>
      </c>
      <c r="OX69" s="6">
        <f>COUNTIFS(Table131134[Country],Tabela1[[#This Row],[Country]],Table131134[Classification],"&gt;0")</f>
        <v>0</v>
      </c>
      <c r="OY69" s="6">
        <f>COUNTIFS(Table134[Country],Tabela1[[#This Row],[Country]],Table134[Men''s Classification],"&gt;0")</f>
        <v>0</v>
      </c>
      <c r="OZ69" s="6">
        <f>COUNTIFS(Table134[Country],Tabela1[[#This Row],[Country]],Table134[Women''s Classification],"&gt;0")</f>
        <v>0</v>
      </c>
      <c r="PA69" s="6">
        <f>COUNTIFS(Table135[Country],Tabela1[[#This Row],[Country]],Table135[Mixed Relay Classification],"&gt;0")</f>
        <v>0</v>
      </c>
      <c r="PB69" s="6">
        <f>COUNTIFS(Table136[Country],Tabela1[[#This Row],[Country]],Table136[Individual Classification],"&gt;0")</f>
        <v>0</v>
      </c>
      <c r="PC69" s="6">
        <f>COUNTIFS(Table136[Country],Tabela1[[#This Row],[Country]],Table136[Sprint Classification],"&gt;0")</f>
        <v>0</v>
      </c>
      <c r="PD69" s="6">
        <f>COUNTIFS(Table137[Country],Tabela1[[#This Row],[Country]],Table137[Men''s Team Sprint Large Hill Classification],"&gt;0")</f>
        <v>0</v>
      </c>
      <c r="PE69" s="6">
        <f>COUNTIFS(Table138[Country],Tabela1[[#This Row],[Country]],Table138[500m Classification],"&gt;0")</f>
        <v>0</v>
      </c>
      <c r="PF69" s="6">
        <f>COUNTIFS(Table138141[Country],Tabela1[[#This Row],[Country]],Table138141[500m Classification],"&gt;0")</f>
        <v>0</v>
      </c>
      <c r="PG69" s="6">
        <f>COUNTIFS(Table138[Country],Tabela1[[#This Row],[Country]],Table138[1000m Classification],"&gt;0")</f>
        <v>0</v>
      </c>
      <c r="PH69" s="6">
        <f>COUNTIFS(Table138141[Country],Tabela1[[#This Row],[Country]],Table138141[1000m Classification],"&gt;0")</f>
        <v>0</v>
      </c>
      <c r="PI69" s="6">
        <f>COUNTIFS(Table138[Country],Tabela1[[#This Row],[Country]],Table138[1500m Classification],"&gt;0")</f>
        <v>0</v>
      </c>
      <c r="PJ69" s="6">
        <f>COUNTIFS(Table138141[Country],Tabela1[[#This Row],[Country]],Table138141[1500m Classification],"&gt;0")</f>
        <v>0</v>
      </c>
      <c r="PK69" s="6">
        <f>COUNTIFS(Table141[Country],Tabela1[[#This Row],[Country]],Table141[Men''s 5000m Relay Classification],"&gt;0")</f>
        <v>0</v>
      </c>
      <c r="PL69" s="6">
        <f>COUNTIFS(Table141[Country],Tabela1[[#This Row],[Country]],Table141[Women''s 3000m Relay Classification],"&gt;0")</f>
        <v>0</v>
      </c>
      <c r="PM69" s="6">
        <f>COUNTIFS(Table141[Country],Tabela1[[#This Row],[Country]],Table141[Mixed 2000m Relay Classification],"&gt;0")</f>
        <v>0</v>
      </c>
      <c r="PN69" s="6">
        <f>COUNTIFS(Table142[Country],Tabela1[[#This Row],[Country]],Table142[Classification],"&gt;0")</f>
        <v>0</v>
      </c>
      <c r="PO69" s="6">
        <f>COUNTIFS(Table142145[Country],Tabela1[[#This Row],[Country]],Table142145[Classification],"&gt;0")</f>
        <v>0</v>
      </c>
      <c r="PP69" s="6">
        <f>COUNTIFS(Tabela15[Country],Tabela1[[#This Row],[Country]],Tabela15[Mixed Team Classification],"&gt;0")</f>
        <v>0</v>
      </c>
      <c r="PQ69" s="6">
        <f>COUNTIFS(Table145[Country],Tabela1[[#This Row],[Country]],Table145[Large Hill Classification],"&gt;0")</f>
        <v>0</v>
      </c>
      <c r="PR69" s="6">
        <f>COUNTIFS(Table145[Country],Tabela1[[#This Row],[Country]],Table145[Normal Hill Classification],"&gt;0")</f>
        <v>0</v>
      </c>
      <c r="PS69" s="6">
        <f>COUNTIFS(Table145148[Country],Tabela1[[#This Row],[Country]],Table145148[Large Hill Classification],"&gt;0")</f>
        <v>0</v>
      </c>
      <c r="PT69" s="6">
        <f>COUNTIFS(Table145148[Country],Tabela1[[#This Row],[Country]],Table145148[Normal Hill Classification],"&gt;0")</f>
        <v>0</v>
      </c>
      <c r="PU69" s="6">
        <f>COUNTIFS(Table148[Country],Tabela1[[#This Row],[Country]],Table148[Men''s Super Team Classification],"&gt;0")</f>
        <v>0</v>
      </c>
      <c r="PV69" s="6">
        <f>COUNTIFS(Tabela114[Country],Tabela1[[#This Row],[Country]],Tabela114[Mixed Normal Hill Classification],"&gt;0")</f>
        <v>0</v>
      </c>
      <c r="PW69" s="6">
        <f>COUNTIFS(Tabela50[Country],Tabela1[[#This Row],[Country]],Tabela50[Sprint Classification],"&gt;0")</f>
        <v>0</v>
      </c>
      <c r="PX69" s="6">
        <f>COUNTIFS(Tabela50101[Country],Tabela1[[#This Row],[Country]],Tabela50101[Sprint Classification],"&gt;0")</f>
        <v>0</v>
      </c>
      <c r="PY69" s="6">
        <f>COUNTIFS(Tabela103[Country],Tabela1[[#This Row],[Country]],Tabela103[Mixed Relay Classification],"&gt;0")</f>
        <v>0</v>
      </c>
      <c r="PZ69" s="6">
        <f>COUNTIFS(Table149[Country],Tabela1[[#This Row],[Country]],Table149[Big Air Classification],"&gt;0")</f>
        <v>0</v>
      </c>
      <c r="QA69" s="6">
        <f>COUNTIFS(Table149152[Country],Tabela1[[#This Row],[Country]],Table149152[Big Air Classification],"&gt;0")</f>
        <v>0</v>
      </c>
      <c r="QB69" s="6">
        <f>COUNTIFS(Table149[Country],Tabela1[[#This Row],[Country]],Table149[Halfpipe Classification],"&gt;0")</f>
        <v>0</v>
      </c>
      <c r="QC69" s="6">
        <f>COUNTIFS(Table149152[Country],Tabela1[[#This Row],[Country]],Table149152[Halfpipe Classification],"&gt;0")</f>
        <v>0</v>
      </c>
      <c r="QD69" s="6">
        <f>COUNTIFS(Table149[Country],Tabela1[[#This Row],[Country]],Table149[Parallel Giant Slalom Classification],"&gt;0")</f>
        <v>0</v>
      </c>
      <c r="QE69" s="6">
        <f>COUNTIFS(Table149152[Country],Tabela1[[#This Row],[Country]],Table149152[Parallel Giant Slalom Classification],"&gt;0")</f>
        <v>0</v>
      </c>
      <c r="QF69" s="6">
        <f>COUNTIFS(Table149[Country],Tabela1[[#This Row],[Country]],Table149[Slopestyle Classification],"&gt;0")</f>
        <v>0</v>
      </c>
      <c r="QG69" s="6">
        <f>COUNTIFS(Table149152[Country],Tabela1[[#This Row],[Country]],Table149152[Slopestyle Classification],"&gt;0")</f>
        <v>0</v>
      </c>
      <c r="QH69" s="6">
        <f>COUNTIFS(Table149[Country],Tabela1[[#This Row],[Country]],Table149[Snowboard Cross Classification],"&gt;0")</f>
        <v>0</v>
      </c>
      <c r="QI69" s="6">
        <f>COUNTIFS(Table149152[Country],Tabela1[[#This Row],[Country]],Table149152[Snowboard Cross Classification],"&gt;0")</f>
        <v>0</v>
      </c>
      <c r="QJ69" s="6">
        <f>COUNTIFS(Table153[Country],Tabela1[[#This Row],[Country]],Table153[Mixed Team Snowboard Cross Classification],"&gt;0")</f>
        <v>0</v>
      </c>
      <c r="QK69" s="6">
        <f>COUNTIFS(Table154[Country],Tabela1[[#This Row],[Country]],Table154[500m Classification],"&gt;0")</f>
        <v>0</v>
      </c>
      <c r="QL69" s="6">
        <f>COUNTIFS(Table154157[Country],Tabela1[[#This Row],[Country]],Table154157[500m Classification],"&gt;0")</f>
        <v>0</v>
      </c>
      <c r="QM69" s="6">
        <f>COUNTIFS(Table154[Country],Tabela1[[#This Row],[Country]],Table154[1000m Classification],"&gt;0")</f>
        <v>0</v>
      </c>
      <c r="QN69" s="6">
        <f>COUNTIFS(Table154157[Country],Tabela1[[#This Row],[Country]],Table154157[1000m Classification],"&gt;0")</f>
        <v>0</v>
      </c>
      <c r="QO69" s="6">
        <f>COUNTIFS(Table154[Country],Tabela1[[#This Row],[Country]],Table154[1500m Classification],"&gt;0")</f>
        <v>0</v>
      </c>
      <c r="QP69" s="6">
        <f>COUNTIFS(Table154157[Country],Tabela1[[#This Row],[Country]],Table154157[1500m Classification],"&gt;0")</f>
        <v>0</v>
      </c>
      <c r="QQ69" s="6">
        <f>COUNTIFS(Table154157[Country],Tabela1[[#This Row],[Country]],Table154157[3000m Classification],"&gt;0")</f>
        <v>0</v>
      </c>
      <c r="QR69" s="6">
        <f>COUNTIFS(Table154[Country],Tabela1[[#This Row],[Country]],Table154[5000m Classification],"&gt;0")</f>
        <v>0</v>
      </c>
      <c r="QS69" s="6">
        <f>COUNTIFS(Table154157[Country],Tabela1[[#This Row],[Country]],Table154157[5000m Classification],"&gt;0")</f>
        <v>0</v>
      </c>
      <c r="QT69" s="6">
        <f>COUNTIFS(Table154[Country],Tabela1[[#This Row],[Country]],Table154[10000m Classification],"&gt;0")</f>
        <v>0</v>
      </c>
      <c r="QU69" s="6">
        <f>COUNTIFS(Table154[Country],Tabela1[[#This Row],[Country]],Table154[Mass Start Classification],"&gt;0")</f>
        <v>0</v>
      </c>
      <c r="QV69" s="6">
        <f>COUNTIFS(Table154157[Country],Tabela1[[#This Row],[Country]],Table154157[Mass Start Classification],"&gt;0")</f>
        <v>0</v>
      </c>
      <c r="QW69" s="6">
        <f>COUNTIFS(Table157[Country],Tabela1[[#This Row],[Country]],Table157[Men''s Pursuit Classification],"&gt;0")</f>
        <v>0</v>
      </c>
      <c r="QX69" s="6">
        <f>COUNTIFS(Table157[Country],Tabela1[[#This Row],[Country]],Table157[Women''s Pursuit Classification],"&gt;0")</f>
        <v>0</v>
      </c>
      <c r="QY69" s="3" t="s">
        <v>527</v>
      </c>
    </row>
    <row r="70" spans="1:467" x14ac:dyDescent="0.3">
      <c r="A70" s="6">
        <v>69</v>
      </c>
      <c r="B70" s="6" t="s">
        <v>482</v>
      </c>
      <c r="C70" t="e" vm="69">
        <f>IF(ISBLANK(Tabela1[[#This Row],[Image Link]]), "", _xlfn.IMAGE(Tabela1[[#This Row],[Image Link]],1,1))</f>
        <v>#VALUE!</v>
      </c>
      <c r="D70" s="6">
        <f>SUM(Tabela1[[#This Row],[Archery - Men''s Individual Recurve]:[Speed Skating - Women''s Team Pursuit]])</f>
        <v>8</v>
      </c>
      <c r="E70" s="6">
        <f>COUNTIF(Tabela1[[#This Row],[Archery - Men''s Individual Recurve]:[Speed Skating - Women''s Team Pursuit]],"&gt;0")</f>
        <v>8</v>
      </c>
      <c r="F70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70" s="6">
        <f>SUM(Tabela1[[#This Row],[Archery - Men''s Individual Recurve]:[Wrestling - Women''s Freestyle 76kg]])</f>
        <v>8</v>
      </c>
      <c r="H70" s="6">
        <f>SUM(Tabela1[[#This Row],[Alpine Skiing - Men''s Downhill]:[Speed Skating - Women''s Team Pursuit]])</f>
        <v>0</v>
      </c>
      <c r="I70" s="6">
        <f>Tabela1[[#This Row],[Summer Gold Medals]]+Tabela1[[#This Row],[Winter Gold Medals]]</f>
        <v>8</v>
      </c>
      <c r="J70" s="6">
        <f>Tabela1[[#This Row],[Summer Silver Medals]]+Tabela1[[#This Row],[Winter Silver Medals]]</f>
        <v>2</v>
      </c>
      <c r="K70" s="6">
        <f>Tabela1[[#This Row],[Summer Bronze Medals]]+Tabela1[[#This Row],[Winter Bronze Medals]]</f>
        <v>3</v>
      </c>
      <c r="L70" s="6">
        <f>SUM(Tabela1[[#This Row],[Total Gold Medals]:[Total Bronze Medals]])</f>
        <v>13</v>
      </c>
      <c r="M70" s="6">
        <v>8</v>
      </c>
      <c r="N70" s="6">
        <v>2</v>
      </c>
      <c r="O70" s="6">
        <v>3</v>
      </c>
      <c r="P70" s="6">
        <f>SUM(Tabela1[[#This Row],[Summer Gold Medals]:[Summer Bronze Medals]])</f>
        <v>13</v>
      </c>
      <c r="Q70" s="6"/>
      <c r="R70" s="6"/>
      <c r="S70" s="6"/>
      <c r="T70" s="6">
        <f>Tabela1[[#This Row],[Winter Gold Medals]]+Tabela1[[#This Row],[Winter Silver Medals]]+Tabela1[[#This Row],[Winter Bronze Medals]]</f>
        <v>0</v>
      </c>
      <c r="U70" s="7">
        <f>Tabela1[[#This Row],[Total Medals]]/Tabela1[[#This Row],[Total Quotas]]</f>
        <v>1.625</v>
      </c>
      <c r="V70" s="6">
        <f>COUNTIFS(Table3[Country],Tabela1[[#This Row],[Country]],Table3[Recurve Classification],"&gt;0")</f>
        <v>0</v>
      </c>
      <c r="W70" s="6">
        <f>COUNTIFS(Table33[Country],Tabela1[[#This Row],[Country]],Table33[Recurve Classification],"&gt;0")</f>
        <v>1</v>
      </c>
      <c r="X70" s="6">
        <f>COUNTIFS(Table35[Country],Tabela1[[#This Row],[Country]],Table35[Men''s Team Recurve Classification],"&gt;0")</f>
        <v>0</v>
      </c>
      <c r="Y70" s="6">
        <f>COUNTIFS(Table35[Country],Tabela1[[#This Row],[Country]],Table35[Women''s Team Recurve Classification],"&gt;0")</f>
        <v>0</v>
      </c>
      <c r="Z70" s="6">
        <f>COUNTIFS(Tabela88[Country],Tabela1[[#This Row],[Country]],Tabela88[Mixed Team Recurve Classification],"&gt;0")</f>
        <v>1</v>
      </c>
      <c r="AA70" s="6">
        <f>COUNTIFS(Table36[Country],Tabela1[[#This Row],[Country]],Table36[Classification],"&gt;0")</f>
        <v>0</v>
      </c>
      <c r="AB70" s="6">
        <f>COUNTIFS(Table37[Country],Tabela1[[#This Row],[Country]],Table37[Classification],"&gt;0")</f>
        <v>0</v>
      </c>
      <c r="AC70" s="6">
        <f>COUNTIFS(Table4[Country],Tabela1[[#This Row],[Country]],Table4[100m Classification],"&gt;0")</f>
        <v>0</v>
      </c>
      <c r="AD70" s="6">
        <f>COUNTIFS(Table5[Country],Tabela1[[#This Row],[Country]],Table5[100m Classification],"&gt;0")</f>
        <v>0</v>
      </c>
      <c r="AE70" s="6">
        <f>COUNTIFS(Table4[Country],Tabela1[[#This Row],[Country]],Table4[200m Classification],"&gt;0")</f>
        <v>0</v>
      </c>
      <c r="AF70" s="6">
        <f>COUNTIFS(Table5[Country],Tabela1[[#This Row],[Country]],Table5[200m Classification],"&gt;0")</f>
        <v>0</v>
      </c>
      <c r="AG70" s="6">
        <f>COUNTIFS(Table4[Country],Tabela1[[#This Row],[Country]],Table4[400m Classification],"&gt;0")</f>
        <v>0</v>
      </c>
      <c r="AH70" s="6">
        <f>COUNTIFS(Table5[Country],Tabela1[[#This Row],[Country]],Table5[400m Classification],"&gt;0")</f>
        <v>0</v>
      </c>
      <c r="AI70" s="6">
        <f>COUNTIFS(Table4[Country],Tabela1[[#This Row],[Country]],Table4[800m Classification],"&gt;0")</f>
        <v>0</v>
      </c>
      <c r="AJ70" s="6">
        <f>COUNTIFS(Table5[Country],Tabela1[[#This Row],[Country]],Table5[800m Classification],"&gt;0")</f>
        <v>0</v>
      </c>
      <c r="AK70" s="6">
        <f>COUNTIFS(Table4[Country],Tabela1[[#This Row],[Country]],Table4[1500m Classification],"&gt;0")</f>
        <v>0</v>
      </c>
      <c r="AL70" s="6">
        <f>COUNTIFS(Table5[Country],Tabela1[[#This Row],[Country]],Table5[1500m Classification],"&gt;0")</f>
        <v>0</v>
      </c>
      <c r="AM70" s="6">
        <f>COUNTIFS(Table4[Country],Tabela1[[#This Row],[Country]],Table4[5000m Classification],"&gt;0")</f>
        <v>0</v>
      </c>
      <c r="AN70" s="6">
        <f>COUNTIFS(Table5[Country],Tabela1[[#This Row],[Country]],Table5[5000m Classification],"&gt;0")</f>
        <v>0</v>
      </c>
      <c r="AO70" s="6">
        <f>COUNTIFS(Table4[Country],Tabela1[[#This Row],[Country]],Table4[10000m Classification],"&gt;0")</f>
        <v>0</v>
      </c>
      <c r="AP70" s="6">
        <f>COUNTIFS(Table5[Country],Tabela1[[#This Row],[Country]],Table5[10000m Classification],"&gt;0")</f>
        <v>0</v>
      </c>
      <c r="AQ70" s="6">
        <f>COUNTIFS(Table4[Country],Tabela1[[#This Row],[Country]],Table4[110m Hurdles Classification],"&gt;0")</f>
        <v>0</v>
      </c>
      <c r="AR70" s="6">
        <f>COUNTIFS(Table5[Country],Tabela1[[#This Row],[Country]],Table5[100m Hurdles Classification],"&gt;0")</f>
        <v>0</v>
      </c>
      <c r="AS70" s="6">
        <f>COUNTIFS(Table4[Country],Tabela1[[#This Row],[Country]],Table4[400m Hurdles Classification],"&gt;0")</f>
        <v>0</v>
      </c>
      <c r="AT70" s="6">
        <f>COUNTIFS(Table5[Country],Tabela1[[#This Row],[Country]],Table5[400m Hurdles Classification],"&gt;0")</f>
        <v>0</v>
      </c>
      <c r="AU70" s="6">
        <f>COUNTIFS(Table4[Country],Tabela1[[#This Row],[Country]],Table4[3000m Steeplechase Classification],"&gt;0")</f>
        <v>0</v>
      </c>
      <c r="AV70" s="6">
        <f>COUNTIFS(Table5[Country],Tabela1[[#This Row],[Country]],Table5[3000m Steeplechase Classification],"&gt;0")</f>
        <v>0</v>
      </c>
      <c r="AW70" s="6">
        <f>COUNTIFS(Table27[Country],Tabela1[[#This Row],[Country]],Table27[Men''s 4x100m Relay Classification],"&gt;0")</f>
        <v>0</v>
      </c>
      <c r="AX70" s="6">
        <f>COUNTIFS(Table27[Country],Tabela1[[#This Row],[Country]],Table27[Women''s 4x100m Relay Classification],"&gt;0")</f>
        <v>0</v>
      </c>
      <c r="AY70" s="6">
        <f>COUNTIFS(Table27[Country],Tabela1[[#This Row],[Country]],Table27[Men''s 4x400m Relay Classification],"&gt;0")</f>
        <v>0</v>
      </c>
      <c r="AZ70" s="6">
        <f>COUNTIFS(Table27[Country],Tabela1[[#This Row],[Country]],Table27[Women''s 4x400m Relay Classification],"&gt;0")</f>
        <v>0</v>
      </c>
      <c r="BA70" s="6">
        <f>COUNTIFS(Table27[Country],Tabela1[[#This Row],[Country]],Table27[Mixed 4x400m Relay Classification],"&gt;0")</f>
        <v>0</v>
      </c>
      <c r="BB70" s="6">
        <f>COUNTIFS(Table4[Country],Tabela1[[#This Row],[Country]],Table4[Marathon Classification],"&gt;0")</f>
        <v>0</v>
      </c>
      <c r="BC70" s="6">
        <f>COUNTIFS(Table5[Country],Tabela1[[#This Row],[Country]],Table5[Marathon Classification],"&gt;0")</f>
        <v>0</v>
      </c>
      <c r="BD70" s="6">
        <f>COUNTIFS(Table4[Country],Tabela1[[#This Row],[Country]],Table4[20km Race Walk Classification],"&gt;0")</f>
        <v>0</v>
      </c>
      <c r="BE70" s="6">
        <f>COUNTIFS(Table5[Country],Tabela1[[#This Row],[Country]],Table5[20km Race Walk Classification],"&gt;0")</f>
        <v>0</v>
      </c>
      <c r="BF70" s="6">
        <f>COUNTIFS(Tabela96[Country],Tabela1[[#This Row],[Country]],Tabela96[Mixed Marathon Race Walk Relay Classification],"&gt;0")</f>
        <v>0</v>
      </c>
      <c r="BG70" s="6">
        <f>COUNTIFS(Table4[Country],Tabela1[[#This Row],[Country]],Table4[Discus Throw Classification],"&gt;0")</f>
        <v>0</v>
      </c>
      <c r="BH70" s="6">
        <f>COUNTIFS(Table5[Country],Tabela1[[#This Row],[Country]],Table5[Discus Throw Classification],"&gt;0")</f>
        <v>0</v>
      </c>
      <c r="BI70" s="6">
        <f>COUNTIFS(Table4[Country],Tabela1[[#This Row],[Country]],Table4[Hammer Throw Classification],"&gt;0")</f>
        <v>0</v>
      </c>
      <c r="BJ70" s="6">
        <f>COUNTIFS(Table5[Country],Tabela1[[#This Row],[Country]],Table5[Hammer Throw Classification],"&gt;0")</f>
        <v>0</v>
      </c>
      <c r="BK70" s="6">
        <f>COUNTIFS(Table4[Country],Tabela1[[#This Row],[Country]],Table4[High Jump Classification],"&gt;0")</f>
        <v>0</v>
      </c>
      <c r="BL70" s="6">
        <f>COUNTIFS(Table5[Country],Tabela1[[#This Row],[Country]],Table5[High Jump Classification],"&gt;0")</f>
        <v>0</v>
      </c>
      <c r="BM70" s="6">
        <f>COUNTIFS(Table4[Country],Tabela1[[#This Row],[Country]],Table4[Javelin Throw Classification],"&gt;0")</f>
        <v>0</v>
      </c>
      <c r="BN70" s="6">
        <f>COUNTIFS(Table5[Country],Tabela1[[#This Row],[Country]],Table5[Javelin Throw Classification],"&gt;0")</f>
        <v>0</v>
      </c>
      <c r="BO70" s="6">
        <f>COUNTIFS(Table4[Country],Tabela1[[#This Row],[Country]],Table4[Long Jump Classification],"&gt;0")</f>
        <v>0</v>
      </c>
      <c r="BP70" s="6">
        <f>COUNTIFS(Table5[Country],Tabela1[[#This Row],[Country]],Table5[Long Jump Classification],"&gt;0")</f>
        <v>0</v>
      </c>
      <c r="BQ70" s="6">
        <f>COUNTIFS(Table4[Country],Tabela1[[#This Row],[Country]],Table4[Pole Vault Classification],"&gt;0")</f>
        <v>0</v>
      </c>
      <c r="BR70" s="6">
        <f>COUNTIFS(Table5[Country],Tabela1[[#This Row],[Country]],Table5[Pole Vault Classification],"&gt;0")</f>
        <v>0</v>
      </c>
      <c r="BS70" s="6">
        <f>COUNTIFS(Table4[Country],Tabela1[[#This Row],[Country]],Table4[Shot Put Classification],"&gt;0")</f>
        <v>0</v>
      </c>
      <c r="BT70" s="6">
        <f>COUNTIFS(Table5[Country],Tabela1[[#This Row],[Country]],Table5[Shot Put Classification],"&gt;0")</f>
        <v>0</v>
      </c>
      <c r="BU70" s="6">
        <f>COUNTIFS(Table4[Country],Tabela1[[#This Row],[Country]],Table4[Triple Jump Classification],"&gt;0")</f>
        <v>0</v>
      </c>
      <c r="BV70" s="6">
        <f>COUNTIFS(Table5[Country],Tabela1[[#This Row],[Country]],Table5[Triple Jump Classification],"&gt;0")</f>
        <v>0</v>
      </c>
      <c r="BW70" s="6">
        <f>COUNTIFS(Table4[Country],Tabela1[[#This Row],[Country]],Table4[Decathlon Classification],"&gt;0")</f>
        <v>0</v>
      </c>
      <c r="BX70" s="6">
        <f>COUNTIFS(Table5[Country],Tabela1[[#This Row],[Country]],Table5[Heptathlon Classification],"&gt;0")</f>
        <v>0</v>
      </c>
      <c r="BY70" s="6">
        <f>COUNTIFS(Table61[Country],Tabela1[[#This Row],[Country]],Table61[Classification],"&gt;0")</f>
        <v>0</v>
      </c>
      <c r="BZ70" s="6">
        <f>COUNTIFS(Table38[Country],Tabela1[[#This Row],[Country]],Table38[Classification],"&gt;0")</f>
        <v>0</v>
      </c>
      <c r="CA70" s="6">
        <f>COUNTIFS(Table39[Country],Tabela1[[#This Row],[Country]],Table39[Men''s Classification],"&gt;0")</f>
        <v>0</v>
      </c>
      <c r="CB70" s="6">
        <f>COUNTIFS(Table39[Country],Tabela1[[#This Row],[Country]],Table39[Women''s Classification],"&gt;0")</f>
        <v>0</v>
      </c>
      <c r="CC70" s="6">
        <f>COUNTIFS(Table39[Country],Tabela1[[#This Row],[Country]],Table39[Mixed Classification],"&gt;0")</f>
        <v>0</v>
      </c>
      <c r="CD70" s="6">
        <f>COUNTIFS(Table89[Country],Tabela1[[#This Row],[Country]],Table89[Men''s Classification],"&gt;0")</f>
        <v>0</v>
      </c>
      <c r="CE70" s="6">
        <f>COUNTIFS(Table89[Country],Tabela1[[#This Row],[Country]],Table89[Women''s Classification],"&gt;0")</f>
        <v>0</v>
      </c>
      <c r="CF70" s="6">
        <f>COUNTIFS(Table90[Country],Tabela1[[#This Row],[Country]],Table90[Men''s Classification],"&gt;0")</f>
        <v>0</v>
      </c>
      <c r="CG70" s="6">
        <f>COUNTIFS(Table90[Country],Tabela1[[#This Row],[Country]],Table90[Women''s Classification],"&gt;0")</f>
        <v>0</v>
      </c>
      <c r="CH70" s="6">
        <f>COUNTIFS(Table60[Country],Tabela1[[#This Row],[Country]],Table60[Men''s Classification],"&gt;0")</f>
        <v>0</v>
      </c>
      <c r="CI70" s="6">
        <f>COUNTIFS(Table60[Country],Tabela1[[#This Row],[Country]],Table60[Women''s Classification],"&gt;0")</f>
        <v>0</v>
      </c>
      <c r="CJ70" s="6">
        <f>COUNTIFS(Table6[Country],Tabela1[[#This Row],[Country]],Table6[51kg Classification],"&gt;0")</f>
        <v>0</v>
      </c>
      <c r="CK70" s="6">
        <f>COUNTIFS(Table6[Country],Tabela1[[#This Row],[Country]],Table6[57kg Classification],"&gt;0")</f>
        <v>0</v>
      </c>
      <c r="CL70" s="6">
        <f>COUNTIFS(Table6[Country],Tabela1[[#This Row],[Country]],Table6[63.5kg Classification],"&gt;0")</f>
        <v>0</v>
      </c>
      <c r="CM70" s="6">
        <f>COUNTIFS(Table6[Country],Tabela1[[#This Row],[Country]],Table6[71kg Classification],"&gt;0")</f>
        <v>0</v>
      </c>
      <c r="CN70" s="6">
        <f>COUNTIFS(Table6[Country],Tabela1[[#This Row],[Country]],Table6[80kg Classification],"&gt;0")</f>
        <v>0</v>
      </c>
      <c r="CO70" s="6">
        <f>COUNTIFS(Table6[Country],Tabela1[[#This Row],[Country]],Table6[92kg Classification],"&gt;0")</f>
        <v>0</v>
      </c>
      <c r="CP70" s="6">
        <f>COUNTIFS(Table6[Country],Tabela1[[#This Row],[Country]],Table6[Plus 92kg Classification],"&gt;0")</f>
        <v>0</v>
      </c>
      <c r="CQ70" s="6">
        <f>COUNTIFS(Table7[Country],Tabela1[[#This Row],[Country]],Table7[50kg Classification],"&gt;0")</f>
        <v>0</v>
      </c>
      <c r="CR70" s="6">
        <f>COUNTIFS(Table7[Country],Tabela1[[#This Row],[Country]],Table7[54kg Classification],"&gt;0")</f>
        <v>0</v>
      </c>
      <c r="CS70" s="6">
        <f>COUNTIFS(Table7[Country],Tabela1[[#This Row],[Country]],Table7[57kg Classification],"&gt;0")</f>
        <v>0</v>
      </c>
      <c r="CT70" s="6">
        <f>COUNTIFS(Table7[Country],Tabela1[[#This Row],[Country]],Table7[60kg Classification],"&gt;0")</f>
        <v>0</v>
      </c>
      <c r="CU70" s="6">
        <f>COUNTIFS(Table7[Country],Tabela1[[#This Row],[Country]],Table7[66kg Classification],"&gt;0")</f>
        <v>0</v>
      </c>
      <c r="CV70" s="6">
        <f>COUNTIFS(Table7[Country],Tabela1[[#This Row],[Country]],Table7[75kg Classification],"&gt;0")</f>
        <v>0</v>
      </c>
      <c r="CW70" s="6">
        <f>COUNTIFS(Tabela94[Country],Tabela1[[#This Row],[Country]],Tabela94[Classification],"&gt;0")</f>
        <v>0</v>
      </c>
      <c r="CX70" s="6">
        <f>COUNTIFS(Tabela9499[Country],Tabela1[[#This Row],[Country]],Tabela9499[Classification],"&gt;0")</f>
        <v>0</v>
      </c>
      <c r="CY70" s="6">
        <f>COUNTIFS(Tabela107[Country],Tabela1[[#This Row],[Country]],Tabela107[C1 Slalom Classification],"&gt;0")</f>
        <v>0</v>
      </c>
      <c r="CZ70" s="6">
        <f>COUNTIFS(Tabela107122[Country],Tabela1[[#This Row],[Country]],Tabela107122[C1 Slalom Classification],"&gt;0")</f>
        <v>0</v>
      </c>
      <c r="DA70" s="6">
        <f>COUNTIFS(Tabela107[Country],Tabela1[[#This Row],[Country]],Tabela107[K1 Slalom Classification],"&gt;0")</f>
        <v>0</v>
      </c>
      <c r="DB70" s="6">
        <f>COUNTIFS(Tabela107122[Country],Tabela1[[#This Row],[Country]],Tabela107122[K1 Slalom Classification],"&gt;0")</f>
        <v>0</v>
      </c>
      <c r="DC70" s="6">
        <f>COUNTIFS(Tabela107[Country],Tabela1[[#This Row],[Country]],Tabela107[Kayak Cross Slalom Classification],"&gt;0")</f>
        <v>0</v>
      </c>
      <c r="DD70" s="6">
        <f>COUNTIFS(Tabela107122[Country],Tabela1[[#This Row],[Country]],Tabela107122[Kayak Cross Slalom Classification],"&gt;0")</f>
        <v>0</v>
      </c>
      <c r="DE70" s="6">
        <f>COUNTIFS(Table8[Country],Tabela1[[#This Row],[Country]],Table8[C1 200m Classification],"&gt;0")</f>
        <v>0</v>
      </c>
      <c r="DF70" s="6">
        <f>COUNTIFS(Table40[Country],Tabela1[[#This Row],[Country]],Table40[C1 1000m Classification],"&gt;0")</f>
        <v>0</v>
      </c>
      <c r="DG70" s="6">
        <f>COUNTIFS(Table68[Country],Tabela1[[#This Row],[Country]],Table68[Men''s C2 500m Classification],"&gt;0")</f>
        <v>0</v>
      </c>
      <c r="DH70" s="6">
        <f>COUNTIFS(Table68[Country],Tabela1[[#This Row],[Country]],Table68[Women''s C2 500m Classification],"&gt;0")</f>
        <v>0</v>
      </c>
      <c r="DI70" s="6">
        <f>COUNTIFS(Table8[Country],Tabela1[[#This Row],[Country]],Table8[K1 500m Classification],"&gt;0")</f>
        <v>0</v>
      </c>
      <c r="DJ70" s="6">
        <f>COUNTIFS(Table40[Country],Tabela1[[#This Row],[Country]],Table40[K1 1000m Classification],"&gt;0")</f>
        <v>0</v>
      </c>
      <c r="DK70" s="6">
        <f>COUNTIFS(Table68[Country],Tabela1[[#This Row],[Country]],Table68[Men''s K2 500m Classification],"&gt;0")</f>
        <v>0</v>
      </c>
      <c r="DL70" s="6">
        <f>COUNTIFS(Table68[Country],Tabela1[[#This Row],[Country]],Table68[Women''s K2 500m Classification],"&gt;0")</f>
        <v>0</v>
      </c>
      <c r="DM70" s="6">
        <f>COUNTIFS(Table83[Country],Tabela1[[#This Row],[Country]],Table83[Men''s K4 500m Classification],"&gt;0")</f>
        <v>0</v>
      </c>
      <c r="DN70" s="6">
        <f>COUNTIFS(Table83[Country],Tabela1[[#This Row],[Country]],Table83[Women''s K4 500m Classification],"&gt;0")</f>
        <v>0</v>
      </c>
      <c r="DO70" s="6">
        <f>COUNTIFS(Tabela126[Country],Tabela1[[#This Row],[Country]],Tabela126[Classification],"&gt;0")</f>
        <v>0</v>
      </c>
      <c r="DP70" s="6">
        <f>COUNTIFS(Tabela126130[Country],Tabela1[[#This Row],[Country]],Tabela126130[Classification],"&gt;0")</f>
        <v>0</v>
      </c>
      <c r="DQ70" s="6">
        <f>COUNTIFS(Table70[Country],Tabela1[[#This Row],[Country]],Table70[Classification],"&gt;0")</f>
        <v>0</v>
      </c>
      <c r="DR70" s="6">
        <f>COUNTIFS(Table80[Country],Tabela1[[#This Row],[Country]],Table80[Classification],"&gt;0")</f>
        <v>0</v>
      </c>
      <c r="DS70" s="6">
        <f>COUNTIFS(Table66[Country],Tabela1[[#This Row],[Country]],Table66[Classification],"&gt;0")</f>
        <v>0</v>
      </c>
      <c r="DT70" s="6">
        <f>COUNTIFS(Table67[Country],Tabela1[[#This Row],[Country]],Table67[Classification],"&gt;0")</f>
        <v>0</v>
      </c>
      <c r="DU70" s="6">
        <f>COUNTIFS(Table69[Country],Tabela1[[#This Row],[Country]],Table69[Keirin Classification],"&gt;0")</f>
        <v>0</v>
      </c>
      <c r="DV70" s="6">
        <f>COUNTIFS(Table41[Country],Tabela1[[#This Row],[Country]],Table41[Keirin Classification],"&gt;0")</f>
        <v>0</v>
      </c>
      <c r="DW70" s="6">
        <f>COUNTIFS(Table84[Country],Tabela1[[#This Row],[Country]],Table84[Men''s Madison Classification],"&gt;0")</f>
        <v>0</v>
      </c>
      <c r="DX70" s="6">
        <f>COUNTIFS(Table84[Country],Tabela1[[#This Row],[Country]],Table84[Women''s Madison Classification],"&gt;0")</f>
        <v>0</v>
      </c>
      <c r="DY70" s="6">
        <f>COUNTIFS(Table69[Country],Tabela1[[#This Row],[Country]],Table69[Omnium Classification],"&gt;0")</f>
        <v>0</v>
      </c>
      <c r="DZ70" s="6">
        <f>COUNTIFS(Table41[Country],Tabela1[[#This Row],[Country]],Table41[Omnium Classification],"&gt;0")</f>
        <v>0</v>
      </c>
      <c r="EA70" s="6">
        <f>COUNTIFS(Table9[Country],Tabela1[[#This Row],[Country]],Table9[Road Race Classification],"&gt;0")</f>
        <v>0</v>
      </c>
      <c r="EB70" s="6">
        <f>COUNTIFS(Table14[Country],Tabela1[[#This Row],[Country]],Table14[Road Race Classification],"&gt;0")</f>
        <v>0</v>
      </c>
      <c r="EC70" s="6">
        <f>COUNTIFS(Table69[Country],Tabela1[[#This Row],[Country]],Table69[Sprint Classification],"&gt;0")</f>
        <v>0</v>
      </c>
      <c r="ED70" s="6">
        <f>COUNTIFS(Table41[Country],Tabela1[[#This Row],[Country]],Table41[Sprint Classification],"&gt;0")</f>
        <v>0</v>
      </c>
      <c r="EE70" s="6">
        <f>COUNTIFS(Table85[Country],Tabela1[[#This Row],[Country]],Table85[Men''s Sprint Classification],"&gt;0")</f>
        <v>0</v>
      </c>
      <c r="EF70" s="6">
        <f>COUNTIFS(Table85[Country],Tabela1[[#This Row],[Country]],Table85[Women''s Sprint Classification],"&gt;0")</f>
        <v>0</v>
      </c>
      <c r="EG70" s="6">
        <f>COUNTIFS(Table85[Country],Tabela1[[#This Row],[Country]],Table85[Men''s Pursuit Classification],"&gt;0")</f>
        <v>0</v>
      </c>
      <c r="EH70" s="6">
        <f>COUNTIFS(Table85[Country],Tabela1[[#This Row],[Country]],Table85[Women''s Pursuit Classification],"&gt;0")</f>
        <v>0</v>
      </c>
      <c r="EI70" s="6">
        <f>COUNTIFS(Table9[Country],Tabela1[[#This Row],[Country]],Table9[Time-Trial Classification],"&gt;0")</f>
        <v>0</v>
      </c>
      <c r="EJ70" s="6">
        <f>COUNTIFS(Table14[Country],Tabela1[[#This Row],[Country]],Table14[Time-Trial Classification],"&gt;0")</f>
        <v>0</v>
      </c>
      <c r="EK70" s="6">
        <f>COUNTIFS(Table42[Country],Tabela1[[#This Row],[Country]],Table42[Springboard Classification],"&gt;0")</f>
        <v>0</v>
      </c>
      <c r="EL70" s="6">
        <f>COUNTIFS(Table43[Country],Tabela1[[#This Row],[Country]],Table43[Springboard Classification],"&gt;0")</f>
        <v>0</v>
      </c>
      <c r="EM70" s="6">
        <f>COUNTIFS(Table42[Country],Tabela1[[#This Row],[Country]],Table42[Platform Classification],"&gt;0")</f>
        <v>0</v>
      </c>
      <c r="EN70" s="6">
        <f>COUNTIFS(Table43[Country],Tabela1[[#This Row],[Country]],Table43[Platform Classification],"&gt;0")</f>
        <v>0</v>
      </c>
      <c r="EO70" s="6">
        <f>COUNTIFS(Table86[Country],Tabela1[[#This Row],[Country]],Table86[Men''s Synchronized Springboard Classification],"&gt;0")</f>
        <v>0</v>
      </c>
      <c r="EP70" s="6">
        <f>COUNTIFS(Table86[Country],Tabela1[[#This Row],[Country]],Table86[Women''s Synchronized Springboard Classification],"&gt;0")</f>
        <v>0</v>
      </c>
      <c r="EQ70" s="6">
        <f>COUNTIFS(Table86[Country],Tabela1[[#This Row],[Country]],Table86[Men''s Synchronized Platform Classification],"&gt;0")</f>
        <v>0</v>
      </c>
      <c r="ER70" s="6">
        <f>COUNTIFS(Table86[Country],Tabela1[[#This Row],[Country]],Table86[Women''s Synchronized Platform Classification],"&gt;0")</f>
        <v>0</v>
      </c>
      <c r="ES70" s="6">
        <f>COUNTIFS(Table44[Country],Tabela1[[#This Row],[Country]],Table44[Dressage Classification],"&gt;0")</f>
        <v>0</v>
      </c>
      <c r="ET70" s="6">
        <f>COUNTIFS(Table45[Country],Tabela1[[#This Row],[Country]],Table45[Dressage Classification],"&gt;0")</f>
        <v>0</v>
      </c>
      <c r="EU70" s="6">
        <f>COUNTIFS(Table44[Country],Tabela1[[#This Row],[Country]],Table44[Eventing Classification],"&gt;0")</f>
        <v>0</v>
      </c>
      <c r="EV70" s="6">
        <f>COUNTIFS(Table45[Country],Tabela1[[#This Row],[Country]],Table45[Eventing Classification],"&gt;0")</f>
        <v>0</v>
      </c>
      <c r="EW70" s="6">
        <f>COUNTIFS(Table44[Country],Tabela1[[#This Row],[Country]],Table44[Jumping Classification],"&gt;0")</f>
        <v>0</v>
      </c>
      <c r="EX70" s="6">
        <f>COUNTIFS(Table45[Country],Tabela1[[#This Row],[Country]],Table45[Jumping Classification],"&gt;0")</f>
        <v>0</v>
      </c>
      <c r="EY70" s="6">
        <f>COUNTIFS(Table10[Country],Tabela1[[#This Row],[Country]],Table10[Épée Classification],"&gt;0")</f>
        <v>0</v>
      </c>
      <c r="EZ70" s="6">
        <f>COUNTIFS(Table11[Country],Tabela1[[#This Row],[Country]],Table11[Épée Classification],"&gt;0")</f>
        <v>0</v>
      </c>
      <c r="FA70" s="6">
        <f>COUNTIFS(Table46[Country],Tabela1[[#This Row],[Country]],Table46[Men''s Épée Classification],"&gt;0")</f>
        <v>0</v>
      </c>
      <c r="FB70" s="6">
        <f>COUNTIFS(Table46[Country],Tabela1[[#This Row],[Country]],Table46[Women''s Épée Classification],"&gt;0")</f>
        <v>0</v>
      </c>
      <c r="FC70" s="6">
        <f>COUNTIFS(Table10[Country],Tabela1[[#This Row],[Country]],Table10[Foil Classification],"&gt;0")</f>
        <v>0</v>
      </c>
      <c r="FD70" s="6">
        <f>COUNTIFS(Table11[Country],Tabela1[[#This Row],[Country]],Table11[Foil Classification],"&gt;0")</f>
        <v>0</v>
      </c>
      <c r="FE70" s="6">
        <f>COUNTIFS(Table46[Country],Tabela1[[#This Row],[Country]],Table46[Men''s Foil Classification],"&gt;0")</f>
        <v>0</v>
      </c>
      <c r="FF70" s="6">
        <f>COUNTIFS(Table46[Country],Tabela1[[#This Row],[Country]],Table46[Women''s Foil Classification],"&gt;0")</f>
        <v>0</v>
      </c>
      <c r="FG70" s="6">
        <f>COUNTIFS(Table10[Country],Tabela1[[#This Row],[Country]],Table10[Sabre Classification],"&gt;0")</f>
        <v>0</v>
      </c>
      <c r="FH70" s="6">
        <f>COUNTIFS(Table11[Country],Tabela1[[#This Row],[Country]],Table11[Sabre Classification],"&gt;0")</f>
        <v>0</v>
      </c>
      <c r="FI70" s="6">
        <f>COUNTIFS(Table46[Country],Tabela1[[#This Row],[Country]],Table46[Men''s Sabre Classification],"&gt;0")</f>
        <v>0</v>
      </c>
      <c r="FJ70" s="6">
        <f>COUNTIFS(Table46[Country],Tabela1[[#This Row],[Country]],Table46[Women''s Sabre Classification],"&gt;0")</f>
        <v>0</v>
      </c>
      <c r="FK70" s="6">
        <f>COUNTIFS(Table91[Country],Tabela1[[#This Row],[Country]],Table91[Men''s Classification],"&gt;0")</f>
        <v>0</v>
      </c>
      <c r="FL70" s="6">
        <f>COUNTIFS(Table91[Country],Tabela1[[#This Row],[Country]],Table91[Women''s Classification],"&gt;0")</f>
        <v>0</v>
      </c>
      <c r="FM70" s="6">
        <f>COUNTIFS(Table9194[Country],Tabela1[[#This Row],[Country]],Table9194[Men''s Classification],"&gt;0")</f>
        <v>1</v>
      </c>
      <c r="FN70" s="6">
        <f>COUNTIFS(Table9194[Country],Tabela1[[#This Row],[Country]],Table9194[Women''s Classification],"&gt;0")</f>
        <v>0</v>
      </c>
      <c r="FO70" s="6">
        <f>COUNTIFS(Table71[Country],Tabela1[[#This Row],[Country]],Table71[Classification],"&gt;0")</f>
        <v>0</v>
      </c>
      <c r="FP70" s="6">
        <f>COUNTIFS(Table62[Country],Tabela1[[#This Row],[Country]],Table62[Classification],"&gt;0")</f>
        <v>0</v>
      </c>
      <c r="FQ70" s="6">
        <f>COUNTIFS(Table47[Country],Tabela1[[#This Row],[Country]],Table47[All-Around Classification],"&gt;0")</f>
        <v>0</v>
      </c>
      <c r="FR70" s="6">
        <f>COUNTIFS(Table48[Country],Tabela1[[#This Row],[Country]],Table48[All-Around Classification],"&gt;0")</f>
        <v>0</v>
      </c>
      <c r="FS70" s="6">
        <f>COUNTIFS(Table81[Country],Tabela1[[#This Row],[Country]],Table81[Men''s All-Around Classification],"&gt;0")</f>
        <v>0</v>
      </c>
      <c r="FT70" s="6">
        <f>COUNTIFS(Table81[Country],Tabela1[[#This Row],[Country]],Table81[Women''s All-Around Classification],"&gt;0")</f>
        <v>0</v>
      </c>
      <c r="FU70" s="6">
        <f>COUNTIFS(Table48[Country],Tabela1[[#This Row],[Country]],Table48[Balance Beam Classification],"&gt;0")</f>
        <v>0</v>
      </c>
      <c r="FV70" s="6">
        <f>COUNTIFS(Table47[Country],Tabela1[[#This Row],[Country]],Table47[Floor Exercise Classification],"&gt;0")</f>
        <v>0</v>
      </c>
      <c r="FW70" s="6">
        <f>COUNTIFS(Table48[Country],Tabela1[[#This Row],[Country]],Table48[Floor Exercise Classification],"&gt;0")</f>
        <v>0</v>
      </c>
      <c r="FX70" s="6">
        <f>COUNTIFS(Table47[Country],Tabela1[[#This Row],[Country]],Table47[Horizontal Bar Classification],"&gt;0")</f>
        <v>0</v>
      </c>
      <c r="FY70" s="6">
        <f>COUNTIFS(Table47[Country],Tabela1[[#This Row],[Country]],Table47[Parallel Bars Classification],"&gt;0")</f>
        <v>1</v>
      </c>
      <c r="FZ70" s="6">
        <f>COUNTIFS(Table47[Country],Tabela1[[#This Row],[Country]],Table47[Pommel Horse Classification],"&gt;0")</f>
        <v>0</v>
      </c>
      <c r="GA70" s="6">
        <f>COUNTIFS(Table47[Country],Tabela1[[#This Row],[Country]],Table47[Rings Classification],"&gt;0")</f>
        <v>0</v>
      </c>
      <c r="GB70" s="6">
        <f>COUNTIFS(Tabela132[Country],Tabela1[[#This Row],[Country]],Tabela132[Classification],"&gt;0")</f>
        <v>0</v>
      </c>
      <c r="GC70" s="6">
        <f>COUNTIFS(Tabela139[Country],Tabela1[[#This Row],[Country]],Tabela139[Classification],"&gt;0")</f>
        <v>0</v>
      </c>
      <c r="GD70" s="6">
        <f>COUNTIFS(Table48[Country],Tabela1[[#This Row],[Country]],Table48[Uneven Bars Classification],"&gt;0")</f>
        <v>0</v>
      </c>
      <c r="GE70" s="6">
        <f>COUNTIFS(Table47[Country],Tabela1[[#This Row],[Country]],Table47[Vault Classification],"&gt;0")</f>
        <v>0</v>
      </c>
      <c r="GF70" s="6">
        <f>COUNTIFS(Table48[Country],Tabela1[[#This Row],[Country]],Table48[Vault Classification],"&gt;0")</f>
        <v>0</v>
      </c>
      <c r="GG70" s="6">
        <f>COUNTIFS(Table919496[Country],Tabela1[[#This Row],[Country]],Table919496[Men''s Classification],"&gt;0")</f>
        <v>0</v>
      </c>
      <c r="GH70" s="6">
        <f>COUNTIFS(Table919496[Country],Tabela1[[#This Row],[Country]],Table919496[Women''s Classification],"&gt;0")</f>
        <v>0</v>
      </c>
      <c r="GI70" s="6">
        <f>COUNTIFS(Table12[Country],Tabela1[[#This Row],[Country]],Table12[60kg Classification],"&gt;0")</f>
        <v>0</v>
      </c>
      <c r="GJ70" s="6">
        <f>COUNTIFS(Table12[Country],Tabela1[[#This Row],[Country]],Table12[66kg Classification],"&gt;0")</f>
        <v>0</v>
      </c>
      <c r="GK70" s="6">
        <f>COUNTIFS(Table12[Country],Tabela1[[#This Row],[Country]],Table12[73kg Classification],"&gt;0")</f>
        <v>0</v>
      </c>
      <c r="GL70" s="6">
        <f>COUNTIFS(Table12[Country],Tabela1[[#This Row],[Country]],Table12[81kg Classification],"&gt;0")</f>
        <v>0</v>
      </c>
      <c r="GM70" s="6">
        <f>COUNTIFS(Table12[Country],Tabela1[[#This Row],[Country]],Table12[90kg Classification],"&gt;0")</f>
        <v>0</v>
      </c>
      <c r="GN70" s="6">
        <f>COUNTIFS(Table12[Country],Tabela1[[#This Row],[Country]],Table12[100kg Classification],"&gt;0")</f>
        <v>0</v>
      </c>
      <c r="GO70" s="6">
        <f>COUNTIFS(Table12[Country],Tabela1[[#This Row],[Country]],Table12[Plus 100kg Classification],"&gt;0")</f>
        <v>0</v>
      </c>
      <c r="GP70" s="6">
        <f>COUNTIFS(Table13[Country],Tabela1[[#This Row],[Country]],Table13[48kg Classification],"&gt;0")</f>
        <v>0</v>
      </c>
      <c r="GQ70" s="6">
        <f>COUNTIFS(Table13[Country],Tabela1[[#This Row],[Country]],Table13[52kg Classification],"&gt;0")</f>
        <v>0</v>
      </c>
      <c r="GR70" s="6">
        <f>COUNTIFS(Table13[Country],Tabela1[[#This Row],[Country]],Table13[57kg Classification],"&gt;0")</f>
        <v>0</v>
      </c>
      <c r="GS70" s="6">
        <f>COUNTIFS(Table13[Country],Tabela1[[#This Row],[Country]],Table13[63kg Classification],"&gt;0")</f>
        <v>0</v>
      </c>
      <c r="GT70" s="6">
        <f>COUNTIFS(Table13[Country],Tabela1[[#This Row],[Country]],Table13[70kg Classification],"&gt;0")</f>
        <v>0</v>
      </c>
      <c r="GU70" s="6">
        <f>COUNTIFS(Table13[Country],Tabela1[[#This Row],[Country]],Table13[78kg Classification],"&gt;0")</f>
        <v>0</v>
      </c>
      <c r="GV70" s="6">
        <f>COUNTIFS(Table13[Country],Tabela1[[#This Row],[Country]],Table13[Plus 78kg Classification],"&gt;0")</f>
        <v>0</v>
      </c>
      <c r="GW70" s="6">
        <f>COUNTIFS(Table82[Country],Tabela1[[#This Row],[Country]],Table82[Mixed Classification],"&gt;0")</f>
        <v>0</v>
      </c>
      <c r="GX70" s="6">
        <f>COUNTIFS(Table51[Country],Tabela1[[#This Row],[Country]],Table51[Classification],"&gt;0")</f>
        <v>0</v>
      </c>
      <c r="GY70" s="6">
        <f>COUNTIFS(Table52[Country],Tabela1[[#This Row],[Country]],Table52[Classification],"&gt;0")</f>
        <v>0</v>
      </c>
      <c r="GZ70" s="6">
        <f>COUNTIFS(Table32[Country],Tabela1[[#This Row],[Country]],Table32[All-Around Classification],"&gt;0")</f>
        <v>0</v>
      </c>
      <c r="HA70" s="6">
        <f>COUNTIFS(Table49[Country],Tabela1[[#This Row],[Country]],Table49[All-Around Classification],"&gt;0")</f>
        <v>0</v>
      </c>
      <c r="HB70" s="6">
        <f>COUNTIFS(Table26[Country],Tabela1[[#This Row],[Country]],Table26[Single Sculls Classification],"&gt;0")</f>
        <v>0</v>
      </c>
      <c r="HC70" s="6">
        <f>COUNTIFS(Table63[Country],Tabela1[[#This Row],[Country]],Table63[Single Sculls Classification],"&gt;0")</f>
        <v>0</v>
      </c>
      <c r="HD70" s="6">
        <f>COUNTIFS(Table16[Country],Tabela1[[#This Row],[Country]],Table16[Men''s Double Sculls Classification],"&gt;0")</f>
        <v>0</v>
      </c>
      <c r="HE70" s="6">
        <f>COUNTIFS(Table16[Country],Tabela1[[#This Row],[Country]],Table16[Women''s Double Sculls Classification],"&gt;0")</f>
        <v>0</v>
      </c>
      <c r="HF70" s="6">
        <f>COUNTIFS(Table72[Country],Tabela1[[#This Row],[Country]],Table72[Men''s Quadruple Sculls Classification],"&gt;0")</f>
        <v>0</v>
      </c>
      <c r="HG70" s="6">
        <f>COUNTIFS(Table72[Country],Tabela1[[#This Row],[Country]],Table72[Women''s Quadruple Sculls Classification],"&gt;0")</f>
        <v>0</v>
      </c>
      <c r="HH70" s="6">
        <f>COUNTIFS(Table16[Country],Tabela1[[#This Row],[Country]],Table16[Men''s Coxless Pairs Classification],"&gt;0")</f>
        <v>0</v>
      </c>
      <c r="HI70" s="6">
        <f>COUNTIFS(Table16[Country],Tabela1[[#This Row],[Country]],Table16[Women''s Coxless Pairs Classification],"&gt;0")</f>
        <v>0</v>
      </c>
      <c r="HJ70" s="6">
        <f>COUNTIFS(Table72[Country],Tabela1[[#This Row],[Country]],Table72[Men''s Coxless Fours Classification],"&gt;0")</f>
        <v>0</v>
      </c>
      <c r="HK70" s="6">
        <f>COUNTIFS(Table72[Country],Tabela1[[#This Row],[Country]],Table72[Women''s Coxless Fours Classification],"&gt;0")</f>
        <v>0</v>
      </c>
      <c r="HL70" s="6">
        <f>COUNTIFS(Table72[Country],Tabela1[[#This Row],[Country]],Table72[Men''s Eights Classification],"&gt;0")</f>
        <v>0</v>
      </c>
      <c r="HM70" s="6">
        <f>COUNTIFS(Table72[Country],Tabela1[[#This Row],[Country]],Table72[Women''s Eights Classification],"&gt;0")</f>
        <v>0</v>
      </c>
      <c r="HN70" s="6">
        <f>COUNTIFS(Table16[Country],Tabela1[[#This Row],[Country]],Table16[Men''s Lwt. Double Sculls Classification],"&gt;0")</f>
        <v>0</v>
      </c>
      <c r="HO70" s="6">
        <f>COUNTIFS(Table16[Country],Tabela1[[#This Row],[Country]],Table16[Women''s Lwt. Double Sculls Classification],"&gt;0")</f>
        <v>0</v>
      </c>
      <c r="HP70" s="6">
        <f>COUNTIFS(Table91949698[Country],Tabela1[[#This Row],[Country]],Table91949698[Men''s Classification],"&gt;0")</f>
        <v>0</v>
      </c>
      <c r="HQ70" s="6">
        <f>COUNTIFS(Table91949698[Country],Tabela1[[#This Row],[Country]],Table91949698[Women''s Classification],"&gt;0")</f>
        <v>0</v>
      </c>
      <c r="HR70" s="6">
        <f>COUNTIFS(Table25[Country],Tabela1[[#This Row],[Country]],Table25[Mixed 470 Classification],"&gt;0")</f>
        <v>0</v>
      </c>
      <c r="HS70" s="6">
        <f>COUNTIFS(Table25[Country],Tabela1[[#This Row],[Country]],Table25[Men''s 49er Classification],"&gt;0")</f>
        <v>0</v>
      </c>
      <c r="HT70" s="6">
        <f>COUNTIFS(Table25[Country],Tabela1[[#This Row],[Country]],Table25[Women''s 49er FX Classification],"&gt;0")</f>
        <v>0</v>
      </c>
      <c r="HU70" s="6">
        <f>COUNTIFS(Table17[Country],Tabela1[[#This Row],[Country]],Table17[Formula Kite Classification],"&gt;0")</f>
        <v>0</v>
      </c>
      <c r="HV70" s="6">
        <f>COUNTIFS(Table18[Country],Tabela1[[#This Row],[Country]],Table18[Formula Kite Classification],"&gt;0")</f>
        <v>0</v>
      </c>
      <c r="HW70" s="6">
        <f>COUNTIFS(Table17[Country],Tabela1[[#This Row],[Country]],Table17[ILCA 7 Classification],"&gt;0")</f>
        <v>0</v>
      </c>
      <c r="HX70" s="6">
        <f>COUNTIFS(Table18[Country],Tabela1[[#This Row],[Country]],Table18[ILCA 6 Classification],"&gt;0")</f>
        <v>0</v>
      </c>
      <c r="HY70" s="6">
        <f>COUNTIFS(Table17[Country],Tabela1[[#This Row],[Country]],Table17[IQFoil Classification],"&gt;0")</f>
        <v>0</v>
      </c>
      <c r="HZ70" s="6">
        <f>COUNTIFS(Table18[Country],Tabela1[[#This Row],[Country]],Table18[IQFoil Classification],"&gt;0")</f>
        <v>0</v>
      </c>
      <c r="IA70" s="6">
        <f>COUNTIFS(Table25[Country],Tabela1[[#This Row],[Country]],Table25[Mixed Nacra 17 Classification],"&gt;0")</f>
        <v>0</v>
      </c>
      <c r="IB70" s="6">
        <f>COUNTIFS(Table53[Country],Tabela1[[#This Row],[Country]],Table53[10m Air Pistol Classification],"&gt;0")</f>
        <v>0</v>
      </c>
      <c r="IC70" s="6">
        <f>COUNTIFS(Table19[Country],Tabela1[[#This Row],[Country]],Table19[10m Air Pistol Classification],"&gt;0")</f>
        <v>0</v>
      </c>
      <c r="ID70" s="6">
        <f>COUNTIFS(Table54[Country],Tabela1[[#This Row],[Country]],Table54[Mixed 10m Air Pistol Team Classification],"&gt;0")</f>
        <v>0</v>
      </c>
      <c r="IE70" s="6">
        <f>COUNTIFS(Table53[Country],Tabela1[[#This Row],[Country]],Table53[10m Air Rifle Classification],"&gt;0")</f>
        <v>0</v>
      </c>
      <c r="IF70" s="6">
        <f>COUNTIFS(Table19[Country],Tabela1[[#This Row],[Country]],Table19[10m Air Rifle Classification],"&gt;0")</f>
        <v>0</v>
      </c>
      <c r="IG70" s="6">
        <f>COUNTIFS(Table54[Country],Tabela1[[#This Row],[Country]],Table54[Mixed 10m Air Rifle Team Classification],"&gt;0")</f>
        <v>0</v>
      </c>
      <c r="IH70" s="6">
        <f>COUNTIFS(Table53[Country],Tabela1[[#This Row],[Country]],Table53[25m Rapid Fire Pistol Classification],"&gt;0")</f>
        <v>0</v>
      </c>
      <c r="II70" s="6">
        <f>COUNTIFS(Table19[Country],Tabela1[[#This Row],[Country]],Table19[25m Pistol Classification],"&gt;0")</f>
        <v>0</v>
      </c>
      <c r="IJ70" s="6">
        <f>COUNTIFS(Table53[Country],Tabela1[[#This Row],[Country]],Table53[50m Rifle 3 Positions Classification],"&gt;0")</f>
        <v>0</v>
      </c>
      <c r="IK70" s="6">
        <f>COUNTIFS(Table19[Country],Tabela1[[#This Row],[Country]],Table19[50m Rifle 3 Positions Classification],"&gt;0")</f>
        <v>0</v>
      </c>
      <c r="IL70" s="6">
        <f>COUNTIFS(Table53[Country],Tabela1[[#This Row],[Country]],Table53[Skeet Classification],"&gt;0")</f>
        <v>0</v>
      </c>
      <c r="IM70" s="6">
        <f>COUNTIFS(Table19[Country],Tabela1[[#This Row],[Country]],Table19[Skeet Classification],"&gt;0")</f>
        <v>0</v>
      </c>
      <c r="IN70" s="6">
        <f>COUNTIFS(Table54[Country],Tabela1[[#This Row],[Country]],Table54[Mixed Skeet Team Classification],"&gt;0")</f>
        <v>0</v>
      </c>
      <c r="IO70" s="6">
        <f>COUNTIFS(Table53[Country],Tabela1[[#This Row],[Country]],Table53[Trap Classification],"&gt;0")</f>
        <v>0</v>
      </c>
      <c r="IP70" s="6">
        <f>COUNTIFS(Table19[Country],Tabela1[[#This Row],[Country]],Table19[Trap Classification],"&gt;0")</f>
        <v>0</v>
      </c>
      <c r="IQ70" s="6">
        <f>COUNTIFS(Table73[Country],Tabela1[[#This Row],[Country]],Table73[Park Classification],"&gt;0")</f>
        <v>0</v>
      </c>
      <c r="IR70" s="6">
        <f>COUNTIFS(Table74[Country],Tabela1[[#This Row],[Country]],Table74[Park Classification],"&gt;0")</f>
        <v>0</v>
      </c>
      <c r="IS70" s="6">
        <f>COUNTIFS(Table73[Country],Tabela1[[#This Row],[Country]],Table73[Street Classification],"&gt;0")</f>
        <v>0</v>
      </c>
      <c r="IT70" s="6">
        <f>COUNTIFS(Table74[Country],Tabela1[[#This Row],[Country]],Table74[Street Classification],"&gt;0")</f>
        <v>0</v>
      </c>
      <c r="IU70" s="6">
        <f>COUNTIFS(Table75[Country],Tabela1[[#This Row],[Country]],Table75[Boulder and Lead Classification],"&gt;0")</f>
        <v>0</v>
      </c>
      <c r="IV70" s="6">
        <f>COUNTIFS(Table76[Country],Tabela1[[#This Row],[Country]],Table76[Boulder and Lead Classification],"&gt;0")</f>
        <v>0</v>
      </c>
      <c r="IW70" s="6">
        <f>COUNTIFS(Table75[Country],Tabela1[[#This Row],[Country]],Table75[Speed Classification],"&gt;0")</f>
        <v>0</v>
      </c>
      <c r="IX70" s="6">
        <f>COUNTIFS(Table76[Country],Tabela1[[#This Row],[Country]],Table76[Speed Classification],"&gt;0")</f>
        <v>0</v>
      </c>
      <c r="IY70" s="6">
        <f>COUNTIFS(Table64[Country],Tabela1[[#This Row],[Country]],Table64[Shortboard Classification],"&gt;0")</f>
        <v>0</v>
      </c>
      <c r="IZ70" s="6">
        <f>COUNTIFS(Table77[Country],Tabela1[[#This Row],[Country]],Table77[Shortboard Classification],"&gt;0")</f>
        <v>0</v>
      </c>
      <c r="JA70" s="6">
        <f>COUNTIFS(Table20[Country],Tabela1[[#This Row],[Country]],Table20[50m Freestyle Classification],"&gt;0")</f>
        <v>0</v>
      </c>
      <c r="JB70" s="6">
        <f>COUNTIFS(Table21[Country],Tabela1[[#This Row],[Country]],Table21[50m Freestyle Classification],"&gt;0")</f>
        <v>0</v>
      </c>
      <c r="JC70" s="6">
        <f>COUNTIFS(Table20[Country],Tabela1[[#This Row],[Country]],Table20[100m Freestyle Classification],"&gt;0")</f>
        <v>0</v>
      </c>
      <c r="JD70" s="6">
        <f>COUNTIFS(Table21[Country],Tabela1[[#This Row],[Country]],Table21[100m Freestyle Classification],"&gt;0")</f>
        <v>0</v>
      </c>
      <c r="JE70" s="6">
        <f>COUNTIFS(Table20[Country],Tabela1[[#This Row],[Country]],Table20[200m Freestyle Classification],"&gt;0")</f>
        <v>0</v>
      </c>
      <c r="JF70" s="6">
        <f>COUNTIFS(Table21[Country],Tabela1[[#This Row],[Country]],Table21[200m Freestyle Classification],"&gt;0")</f>
        <v>0</v>
      </c>
      <c r="JG70" s="6">
        <f>COUNTIFS(Table20[Country],Tabela1[[#This Row],[Country]],Table20[400m Freestyle Classification],"&gt;0")</f>
        <v>1</v>
      </c>
      <c r="JH70" s="6">
        <f>COUNTIFS(Table21[Country],Tabela1[[#This Row],[Country]],Table21[400m Freestyle Classification],"&gt;0")</f>
        <v>0</v>
      </c>
      <c r="JI70" s="6">
        <f>COUNTIFS(Table20[Country],Tabela1[[#This Row],[Country]],Table20[800m Freestyle Classification],"&gt;0")</f>
        <v>1</v>
      </c>
      <c r="JJ70" s="6">
        <f>COUNTIFS(Table21[Country],Tabela1[[#This Row],[Country]],Table21[800m Freestyle Classification],"&gt;0")</f>
        <v>0</v>
      </c>
      <c r="JK70" s="6">
        <f>COUNTIFS(Table20[Country],Tabela1[[#This Row],[Country]],Table20[1500m Freestyle Classification],"&gt;0")</f>
        <v>0</v>
      </c>
      <c r="JL70" s="6">
        <f>COUNTIFS(Table21[Country],Tabela1[[#This Row],[Country]],Table21[1500m Freestyle Classification],"&gt;0")</f>
        <v>0</v>
      </c>
      <c r="JM70" s="6">
        <f>COUNTIFS(Table20[Country],Tabela1[[#This Row],[Country]],Table20[100m Backstroke Classification],"&gt;0")</f>
        <v>0</v>
      </c>
      <c r="JN70" s="6">
        <f>COUNTIFS(Table21[Country],Tabela1[[#This Row],[Country]],Table21[100m Backstroke Classification],"&gt;0")</f>
        <v>0</v>
      </c>
      <c r="JO70" s="6">
        <f>COUNTIFS(Table20[Country],Tabela1[[#This Row],[Country]],Table20[200m Backstroke Classification],"&gt;0")</f>
        <v>0</v>
      </c>
      <c r="JP70" s="6">
        <f>COUNTIFS(Table21[Country],Tabela1[[#This Row],[Country]],Table21[200m Backstroke Classification],"&gt;0")</f>
        <v>0</v>
      </c>
      <c r="JQ70" s="6">
        <f>COUNTIFS(Table20[Country],Tabela1[[#This Row],[Country]],Table20[100m Breaststroke Classification],"&gt;0")</f>
        <v>0</v>
      </c>
      <c r="JR70" s="6">
        <f>COUNTIFS(Table21[Country],Tabela1[[#This Row],[Country]],Table21[100m Breaststroke Classification],"&gt;0")</f>
        <v>0</v>
      </c>
      <c r="JS70" s="6">
        <f>COUNTIFS(Table20[Country],Tabela1[[#This Row],[Country]],Table20[200m Breaststroke Classification],"&gt;0")</f>
        <v>0</v>
      </c>
      <c r="JT70" s="6">
        <f>COUNTIFS(Table21[Country],Tabela1[[#This Row],[Country]],Table21[200m Breaststroke Classification],"&gt;0")</f>
        <v>0</v>
      </c>
      <c r="JU70" s="6">
        <f>COUNTIFS(Table20[Country],Tabela1[[#This Row],[Country]],Table20[100m Butterfly Classification],"&gt;0")</f>
        <v>0</v>
      </c>
      <c r="JV70" s="6">
        <f>COUNTIFS(Table21[Country],Tabela1[[#This Row],[Country]],Table21[100m Butterfly Classification],"&gt;0")</f>
        <v>0</v>
      </c>
      <c r="JW70" s="6">
        <f>COUNTIFS(Table20[Country],Tabela1[[#This Row],[Country]],Table20[200m Butterfly Classification],"&gt;0")</f>
        <v>0</v>
      </c>
      <c r="JX70" s="6">
        <f>COUNTIFS(Table21[Country],Tabela1[[#This Row],[Country]],Table21[200m Butterfly Classification],"&gt;0")</f>
        <v>0</v>
      </c>
      <c r="JY70" s="6">
        <f>COUNTIFS(Table20[Country],Tabela1[[#This Row],[Country]],Table20[200m Medley Classification],"&gt;0")</f>
        <v>0</v>
      </c>
      <c r="JZ70" s="6">
        <f>COUNTIFS(Table21[Country],Tabela1[[#This Row],[Country]],Table21[200m Medley Classification],"&gt;0")</f>
        <v>0</v>
      </c>
      <c r="KA70" s="6">
        <f>COUNTIFS(Table20[Country],Tabela1[[#This Row],[Country]],Table20[400m Medley Classification],"&gt;0")</f>
        <v>0</v>
      </c>
      <c r="KB70" s="6">
        <f>COUNTIFS(Table21[Country],Tabela1[[#This Row],[Country]],Table21[400m Medley Classification],"&gt;0")</f>
        <v>0</v>
      </c>
      <c r="KC70" s="6">
        <f>COUNTIFS(Table78[Country],Tabela1[[#This Row],[Country]],Table78[Men''s 4x100m Freestyle Relay Classification],"&gt;0")</f>
        <v>0</v>
      </c>
      <c r="KD70" s="6">
        <f>COUNTIFS(Table78[Country],Tabela1[[#This Row],[Country]],Table78[Women''s 4x100m Freestyle Relay Classification],"&gt;0")</f>
        <v>0</v>
      </c>
      <c r="KE70" s="6">
        <f>COUNTIFS(Table78[Country],Tabela1[[#This Row],[Country]],Table78[Men''s 4x200m Freestyle Relay Classification],"&gt;0")</f>
        <v>0</v>
      </c>
      <c r="KF70" s="6">
        <f>COUNTIFS(Table78[Country],Tabela1[[#This Row],[Country]],Table78[Women''s 4x200m Freestyle Relay Classification],"&gt;0")</f>
        <v>0</v>
      </c>
      <c r="KG70" s="6">
        <f>COUNTIFS(Table78[Country],Tabela1[[#This Row],[Country]],Table78[Men''s 4x100m Medley Relay Classification],"&gt;0")</f>
        <v>0</v>
      </c>
      <c r="KH70" s="6">
        <f>COUNTIFS(Table78[Country],Tabela1[[#This Row],[Country]],Table78[Women''s 4x100m Medley Relay Classification],"&gt;0")</f>
        <v>0</v>
      </c>
      <c r="KI70" s="6">
        <f>COUNTIFS(Table78[Country],Tabela1[[#This Row],[Country]],Table78[Mixed 4x100m Medley Relay Classification],"&gt;0")</f>
        <v>0</v>
      </c>
      <c r="KJ70" s="6">
        <f>COUNTIFS(Table20[Country],Tabela1[[#This Row],[Country]],Table20[10km Open Water Classification],"&gt;0")</f>
        <v>0</v>
      </c>
      <c r="KK70" s="6">
        <f>COUNTIFS(Table21[Country],Tabela1[[#This Row],[Country]],Table21[10km Open Water Classification],"&gt;0")</f>
        <v>0</v>
      </c>
      <c r="KL70" s="6">
        <f>COUNTIFS(Table22[Country],Tabela1[[#This Row],[Country]],Table22[Classification],"&gt;0")</f>
        <v>0</v>
      </c>
      <c r="KM70" s="6">
        <f>COUNTIFS(Table30[Country],Tabela1[[#This Row],[Country]],Table30[Classification],"&gt;0")</f>
        <v>0</v>
      </c>
      <c r="KN70" s="6">
        <f>COUNTIFS(Table55[Country],Tabela1[[#This Row],[Country]],Table55[Men''s Classification],"&gt;0")</f>
        <v>0</v>
      </c>
      <c r="KO70" s="6">
        <f>COUNTIFS(Table55[Country],Tabela1[[#This Row],[Country]],Table55[Women''s Classification],"&gt;0")</f>
        <v>0</v>
      </c>
      <c r="KP70" s="6">
        <f>COUNTIFS(Table56[Country],Tabela1[[#This Row],[Country]],Table56[Mixed Classification],"&gt;0")</f>
        <v>0</v>
      </c>
      <c r="KQ70" s="6">
        <f>COUNTIFS(Table29[Country],Tabela1[[#This Row],[Country]],Table29[58kg Classification],"&gt;0")</f>
        <v>0</v>
      </c>
      <c r="KR70" s="6">
        <f>COUNTIFS(Table29[Country],Tabela1[[#This Row],[Country]],Table29[68kg Classification],"&gt;0")</f>
        <v>0</v>
      </c>
      <c r="KS70" s="6">
        <f>COUNTIFS(Table29[Country],Tabela1[[#This Row],[Country]],Table29[80kg Classification],"&gt;0")</f>
        <v>0</v>
      </c>
      <c r="KT70" s="6">
        <f>COUNTIFS(Table29[Country],Tabela1[[#This Row],[Country]],Table29[Plus 80kg Classification],"&gt;0")</f>
        <v>0</v>
      </c>
      <c r="KU70" s="6">
        <f>COUNTIFS(Table34[Country],Tabela1[[#This Row],[Country]],Table34[49kg Classification],"&gt;0")</f>
        <v>0</v>
      </c>
      <c r="KV70" s="6">
        <f>COUNTIFS(Table34[Country],Tabela1[[#This Row],[Country]],Table34[57kg Classification],"&gt;0")</f>
        <v>0</v>
      </c>
      <c r="KW70" s="6">
        <f>COUNTIFS(Table34[Country],Tabela1[[#This Row],[Country]],Table34[67kg Classification],"&gt;0")</f>
        <v>1</v>
      </c>
      <c r="KX70" s="6">
        <f>COUNTIFS(Table34[Country],Tabela1[[#This Row],[Country]],Table34[Plus 67kg Classification],"&gt;0")</f>
        <v>0</v>
      </c>
      <c r="KY70" s="6">
        <f>COUNTIFS(Table57[Country],Tabela1[[#This Row],[Country]],Table57[Classification],"&gt;0")</f>
        <v>0</v>
      </c>
      <c r="KZ70" s="6">
        <f>COUNTIFS(Table58[Country],Tabela1[[#This Row],[Country]],Table58[Classification],"&gt;0")</f>
        <v>0</v>
      </c>
      <c r="LA70" s="6">
        <f>COUNTIFS(Table79[Country],Tabela1[[#This Row],[Country]],Table79[Men''s Classification],"&gt;0")</f>
        <v>0</v>
      </c>
      <c r="LB70" s="6">
        <f>COUNTIFS(Table79[Country],Tabela1[[#This Row],[Country]],Table79[Women''s Classification],"&gt;0")</f>
        <v>0</v>
      </c>
      <c r="LC70" s="6">
        <f>COUNTIFS(Table79[Country],Tabela1[[#This Row],[Country]],Table79[Mixed Classification],"&gt;0")</f>
        <v>0</v>
      </c>
      <c r="LD70" s="6">
        <f>COUNTIFS(Table65[Country],Tabela1[[#This Row],[Country]],Table65[Classification],"&gt;0")</f>
        <v>0</v>
      </c>
      <c r="LE70" s="6">
        <f>COUNTIFS(Table59[Country],Tabela1[[#This Row],[Country]],Table59[Classification],"&gt;0")</f>
        <v>0</v>
      </c>
      <c r="LF70" s="6">
        <f>COUNTIFS(Table87[Country],Tabela1[[#This Row],[Country]],Table87[Mixed Relay Classification],"&gt;0")</f>
        <v>0</v>
      </c>
      <c r="LG70" s="6">
        <f>COUNTIFS(Table91949698100[Country],Tabela1[[#This Row],[Country]],Table91949698100[Men''s Classification],"&gt;0")</f>
        <v>0</v>
      </c>
      <c r="LH70" s="6">
        <f>COUNTIFS(Table91949698100[Country],Tabela1[[#This Row],[Country]],Table91949698100[Women''s Classification],"&gt;0")</f>
        <v>0</v>
      </c>
      <c r="LI70" s="6">
        <f>COUNTIFS(Table91949698100102[Country],Tabela1[[#This Row],[Country]],Table91949698100102[Men''s Classification],"&gt;0")</f>
        <v>0</v>
      </c>
      <c r="LJ70" s="6">
        <f>COUNTIFS(Table91949698100102[Country],Tabela1[[#This Row],[Country]],Table91949698100102[Women''s Classification],"&gt;0")</f>
        <v>0</v>
      </c>
      <c r="LK70" s="6">
        <f>COUNTIFS(Table23[Country],Tabela1[[#This Row],[Country]],Table23[61kg Classification],"&gt;0")</f>
        <v>0</v>
      </c>
      <c r="LL70" s="6">
        <f>COUNTIFS(Table23[Country],Tabela1[[#This Row],[Country]],Table23[73kg Classification],"&gt;0")</f>
        <v>0</v>
      </c>
      <c r="LM70" s="6">
        <f>COUNTIFS(Table23[Country],Tabela1[[#This Row],[Country]],Table23[89kg Classification],"&gt;0")</f>
        <v>0</v>
      </c>
      <c r="LN70" s="6">
        <f>COUNTIFS(Table23[Country],Tabela1[[#This Row],[Country]],Table23[102kg Classification],"&gt;0")</f>
        <v>0</v>
      </c>
      <c r="LO70" s="6">
        <f>COUNTIFS(Table23[Country],Tabela1[[#This Row],[Country]],Table23[Plus 102kg Classification],"&gt;0")</f>
        <v>0</v>
      </c>
      <c r="LP70" s="6">
        <f>COUNTIFS(Table28[Country],Tabela1[[#This Row],[Country]],Table28[49kg Classification],"&gt;0")</f>
        <v>0</v>
      </c>
      <c r="LQ70" s="6">
        <f>COUNTIFS(Table28[Country],Tabela1[[#This Row],[Country]],Table28[59kg Classification],"&gt;0")</f>
        <v>0</v>
      </c>
      <c r="LR70" s="6">
        <f>COUNTIFS(Table28[Country],Tabela1[[#This Row],[Country]],Table28[71kg Classification],"&gt;0")</f>
        <v>0</v>
      </c>
      <c r="LS70" s="6">
        <f>COUNTIFS(Table28[Country],Tabela1[[#This Row],[Country]],Table28[81kg Classification],"&gt;0")</f>
        <v>0</v>
      </c>
      <c r="LT70" s="6">
        <f>COUNTIFS(Table28[Country],Tabela1[[#This Row],[Country]],Table28[Plus 81kg Classification],"&gt;0")</f>
        <v>0</v>
      </c>
      <c r="LU70" s="6">
        <f>COUNTIFS(Table24[Country],Tabela1[[#This Row],[Country]],Table24[Freestyle 57kg Classification],"&gt;0")</f>
        <v>0</v>
      </c>
      <c r="LV70" s="6">
        <f>COUNTIFS(Table24[Country],Tabela1[[#This Row],[Country]],Table24[Freestyle 65kg Classification],"&gt;0")</f>
        <v>0</v>
      </c>
      <c r="LW70" s="6">
        <f>COUNTIFS(Table24[Country],Tabela1[[#This Row],[Country]],Table24[Freestyle 74kg Classification],"&gt;0")</f>
        <v>0</v>
      </c>
      <c r="LX70" s="6">
        <f>COUNTIFS(Table24[Country],Tabela1[[#This Row],[Country]],Table24[Freestyle 86kg Classification],"&gt;0")</f>
        <v>0</v>
      </c>
      <c r="LY70" s="6">
        <f>COUNTIFS(Table24[Country],Tabela1[[#This Row],[Country]],Table24[Freestyle 97kg Classification],"&gt;0")</f>
        <v>0</v>
      </c>
      <c r="LZ70" s="6">
        <f>COUNTIFS(Table24[Country],Tabela1[[#This Row],[Country]],Table24[Freestyle 125kg Classification],"&gt;0")</f>
        <v>0</v>
      </c>
      <c r="MA70" s="6">
        <f>COUNTIFS(Table24[Country],Tabela1[[#This Row],[Country]],Table24[Greco-Roman 60kg Classification],"&gt;0")</f>
        <v>0</v>
      </c>
      <c r="MB70" s="6">
        <f>COUNTIFS(Table24[Country],Tabela1[[#This Row],[Country]],Table24[Greco-Roman 67kg Classification],"&gt;0")</f>
        <v>0</v>
      </c>
      <c r="MC70" s="6">
        <f>COUNTIFS(Table24[Country],Tabela1[[#This Row],[Country]],Table24[Greco-Roman 77kg Classification],"&gt;0")</f>
        <v>0</v>
      </c>
      <c r="MD70" s="6">
        <f>COUNTIFS(Table24[Country],Tabela1[[#This Row],[Country]],Table24[Greco-Roman 87kg Classification],"&gt;0")</f>
        <v>0</v>
      </c>
      <c r="ME70" s="6">
        <f>COUNTIFS(Table24[Country],Tabela1[[#This Row],[Country]],Table24[Greco-Roman 97kg Classification],"&gt;0")</f>
        <v>1</v>
      </c>
      <c r="MF70" s="6">
        <f>COUNTIFS(Table24[Country],Tabela1[[#This Row],[Country]],Table24[Greco-Roman 130kg Classification],"&gt;0")</f>
        <v>0</v>
      </c>
      <c r="MG70" s="6">
        <f>COUNTIFS(Table31[Country],Tabela1[[#This Row],[Country]],Table31[50kg Classification],"&gt;0")</f>
        <v>0</v>
      </c>
      <c r="MH70" s="6">
        <f>COUNTIFS(Table31[Country],Tabela1[[#This Row],[Country]],Table31[53kg Classification],"&gt;0")</f>
        <v>0</v>
      </c>
      <c r="MI70" s="6">
        <f>COUNTIFS(Table31[Country],Tabela1[[#This Row],[Country]],Table31[57kg Classification],"&gt;0")</f>
        <v>0</v>
      </c>
      <c r="MJ70" s="6">
        <f>COUNTIFS(Table31[Country],Tabela1[[#This Row],[Country]],Table31[62kg Classification],"&gt;0")</f>
        <v>0</v>
      </c>
      <c r="MK70" s="6">
        <f>COUNTIFS(Table31[Country],Tabela1[[#This Row],[Country]],Table31[68kg Classification],"&gt;0")</f>
        <v>0</v>
      </c>
      <c r="ML70" s="6">
        <f>COUNTIFS(Table31[Country],Tabela1[[#This Row],[Country]],Table31[76kg Classification],"&gt;0")</f>
        <v>0</v>
      </c>
      <c r="MM70" s="6">
        <f>COUNTIFS(Table102[Country],Tabela1[[#This Row],[Country]],Table102[Downhill Classification],"&gt;0")</f>
        <v>0</v>
      </c>
      <c r="MN70" s="6">
        <f>COUNTIFS(Table102105[Country],Tabela1[[#This Row],[Country]],Table102105[Downhill Classification],"&gt;0")</f>
        <v>0</v>
      </c>
      <c r="MO70" s="6">
        <f>COUNTIFS(Table102[Country],Tabela1[[#This Row],[Country]],Table102[Giant Slalom Classification],"&gt;0")</f>
        <v>0</v>
      </c>
      <c r="MP70" s="6">
        <f>COUNTIFS(Table102105[Country],Tabela1[[#This Row],[Country]],Table102105[Giant Slalom Classification],"&gt;0")</f>
        <v>0</v>
      </c>
      <c r="MQ70" s="6">
        <f>COUNTIFS(Table102[Country],Tabela1[[#This Row],[Country]],Table102[Slalom Classification],"&gt;0")</f>
        <v>0</v>
      </c>
      <c r="MR70" s="6">
        <f>COUNTIFS(Table102105[Country],Tabela1[[#This Row],[Country]],Table102105[Slalom Classification],"&gt;0")</f>
        <v>0</v>
      </c>
      <c r="MS70" s="6">
        <f>COUNTIFS(Table102[Country],Tabela1[[#This Row],[Country]],Table102[Super-G Classification],"&gt;0")</f>
        <v>0</v>
      </c>
      <c r="MT70" s="6">
        <f>COUNTIFS(Table102105[Country],Tabela1[[#This Row],[Country]],Table102105[Super-G Classification],"&gt;0")</f>
        <v>0</v>
      </c>
      <c r="MU70" s="6">
        <f>COUNTIFS(Table105[Country],Tabela1[[#This Row],[Country]],Table105[Men''s Combined Classification],"&gt;0")</f>
        <v>0</v>
      </c>
      <c r="MV70" s="6">
        <f>COUNTIFS(Table105[Country],Tabela1[[#This Row],[Country]],Table105[Women''s Combined Classification],"&gt;0")</f>
        <v>0</v>
      </c>
      <c r="MW70" s="6">
        <f>COUNTIFS(Table106[Country],Tabela1[[#This Row],[Country]],Table106[Individual Classification],"&gt;0")</f>
        <v>0</v>
      </c>
      <c r="MX70" s="6">
        <f>COUNTIFS(Table106109[Country],Tabela1[[#This Row],[Country]],Table106109[Individual Classification],"&gt;0")</f>
        <v>0</v>
      </c>
      <c r="MY70" s="6">
        <f>COUNTIFS(Table106[Country],Tabela1[[#This Row],[Country]],Table106[Mass Start Classification],"&gt;0")</f>
        <v>0</v>
      </c>
      <c r="MZ70" s="6">
        <f>COUNTIFS(Table106109[Country],Tabela1[[#This Row],[Country]],Table106109[Mass Start Classification],"&gt;0")</f>
        <v>0</v>
      </c>
      <c r="NA70" s="6">
        <f>COUNTIFS(Table106[Country],Tabela1[[#This Row],[Country]],Table106[Pursuit Classification],"&gt;0")</f>
        <v>0</v>
      </c>
      <c r="NB70" s="6">
        <f>COUNTIFS(Table106109[Country],Tabela1[[#This Row],[Country]],Table106109[Pursuit Classification],"&gt;0")</f>
        <v>0</v>
      </c>
      <c r="NC70" s="6">
        <f>COUNTIFS(Table106[Country],Tabela1[[#This Row],[Country]],Table106[Sprint Classification],"&gt;0")</f>
        <v>0</v>
      </c>
      <c r="ND70" s="6">
        <f>COUNTIFS(Table106109[Country],Tabela1[[#This Row],[Country]],Table106109[Sprint Classification],"&gt;0")</f>
        <v>0</v>
      </c>
      <c r="NE70" s="6">
        <f>COUNTIFS(Table109[Country],Tabela1[[#This Row],[Country]],Table109[Men''s Relay Classification],"&gt;0")</f>
        <v>0</v>
      </c>
      <c r="NF70" s="6">
        <f>COUNTIFS(Table109[Country],Tabela1[[#This Row],[Country]],Table109[Women''s Relay Classification],"&gt;0")</f>
        <v>0</v>
      </c>
      <c r="NG70" s="6">
        <f>COUNTIFS(Table109[Country],Tabela1[[#This Row],[Country]],Table109[Mixed Relay Classification],"&gt;0")</f>
        <v>0</v>
      </c>
      <c r="NH70" s="6">
        <f>COUNTIFS(Table110[Country],Tabela1[[#This Row],[Country]],Table110[Monobob Classification],"&gt;0")</f>
        <v>0</v>
      </c>
      <c r="NI70" s="6">
        <f>COUNTIFS(Table111[Country],Tabela1[[#This Row],[Country]],Table111[Men''s Classification],"&gt;0")</f>
        <v>0</v>
      </c>
      <c r="NJ70" s="6">
        <f>COUNTIFS(Table111[Country],Tabela1[[#This Row],[Country]],Table111[Women''s Classification],"&gt;0")</f>
        <v>0</v>
      </c>
      <c r="NK70" s="6">
        <f>COUNTIFS(Table112[Country],Tabela1[[#This Row],[Country]],Table112[Men''s Four Classification],"&gt;0")</f>
        <v>0</v>
      </c>
      <c r="NL70" s="6">
        <f>COUNTIFS(Table113[Country],Tabela1[[#This Row],[Country]],Table113[Classical Classification],"&gt;0")</f>
        <v>0</v>
      </c>
      <c r="NM70" s="6">
        <f>COUNTIFS(Table113116[Country],Tabela1[[#This Row],[Country]],Table113116[Classical Classification],"&gt;0")</f>
        <v>0</v>
      </c>
      <c r="NN70" s="6">
        <f>COUNTIFS(Table113[Country],Tabela1[[#This Row],[Country]],Table113[Freestyle Classification],"&gt;0")</f>
        <v>0</v>
      </c>
      <c r="NO70" s="6">
        <f>COUNTIFS(Table113116[Country],Tabela1[[#This Row],[Country]],Table113116[Freestyle Classification],"&gt;0")</f>
        <v>0</v>
      </c>
      <c r="NP70" s="6">
        <f>COUNTIFS(Table117[Country],Tabela1[[#This Row],[Country]],Table117[Men''s Relay Classification],"&gt;0")</f>
        <v>0</v>
      </c>
      <c r="NQ70" s="6">
        <f>COUNTIFS(Table117[Country],Tabela1[[#This Row],[Country]],Table117[Women''s Relay Classification],"&gt;0")</f>
        <v>0</v>
      </c>
      <c r="NR70" s="6">
        <f>COUNTIFS(Table113[Country],Tabela1[[#This Row],[Country]],Table113[Skiathlon Classification],"&gt;0")</f>
        <v>0</v>
      </c>
      <c r="NS70" s="6">
        <f>COUNTIFS(Table113116[Country],Tabela1[[#This Row],[Country]],Table113116[Skiathlon Classification],"&gt;0")</f>
        <v>0</v>
      </c>
      <c r="NT70" s="6">
        <f>COUNTIFS(Table113[Country],Tabela1[[#This Row],[Country]],Table113[Sprint Classification],"&gt;0")</f>
        <v>0</v>
      </c>
      <c r="NU70" s="6">
        <f>COUNTIFS(Table113116[Country],Tabela1[[#This Row],[Country]],Table113116[Sprint Classification],"&gt;0")</f>
        <v>0</v>
      </c>
      <c r="NV70" s="6">
        <f>COUNTIFS(Table116[Country],Tabela1[[#This Row],[Country]],Table116[Men''s Team Sprint Classification],"&gt;0")</f>
        <v>0</v>
      </c>
      <c r="NW70" s="6">
        <f>COUNTIFS(Table116[Country],Tabela1[[#This Row],[Country]],Table116[Women''s Team Sprint Classification],"&gt;0")</f>
        <v>0</v>
      </c>
      <c r="NX70" s="6">
        <f>COUNTIFS(Table119[Country],Tabela1[[#This Row],[Country]],Table119[Men''s Classification],"&gt;0")</f>
        <v>0</v>
      </c>
      <c r="NY70" s="6">
        <f>COUNTIFS(Table119[Country],Tabela1[[#This Row],[Country]],Table119[Women''s Classification],"&gt;0")</f>
        <v>0</v>
      </c>
      <c r="NZ70" s="6">
        <f>COUNTIFS(Table118[Country],Tabela1[[#This Row],[Country]],Table118[Mixed Classification],"&gt;0")</f>
        <v>0</v>
      </c>
      <c r="OA70" s="6">
        <f>COUNTIFS(Table120[Country],Tabela1[[#This Row],[Country]],Table120[Classification],"&gt;0")</f>
        <v>0</v>
      </c>
      <c r="OB70" s="6">
        <f>COUNTIFS(Table120123[Country],Tabela1[[#This Row],[Country]],Table120123[Classification],"&gt;0")</f>
        <v>0</v>
      </c>
      <c r="OC70" s="6">
        <f>COUNTIFS(Table123[Country],Tabela1[[#This Row],[Country]],Table123[Ice Dance Classification],"&gt;0")</f>
        <v>0</v>
      </c>
      <c r="OD70" s="6">
        <f>COUNTIFS(Table123[Country],Tabela1[[#This Row],[Country]],Table123[Pair Skating Classification],"&gt;0")</f>
        <v>0</v>
      </c>
      <c r="OE70" s="6">
        <f>COUNTIFS(Table124[Country],Tabela1[[#This Row],[Country]],Table124[Mixed Classification],"&gt;0")</f>
        <v>0</v>
      </c>
      <c r="OF70" s="6">
        <f>COUNTIFS(Table125[Country],Tabela1[[#This Row],[Country]],Table125[Aerials Classification],"&gt;0")</f>
        <v>0</v>
      </c>
      <c r="OG70" s="6">
        <f>COUNTIFS(Table125128[Country],Tabela1[[#This Row],[Country]],Table125128[Aerials Classification],"&gt;0")</f>
        <v>0</v>
      </c>
      <c r="OH70" s="6">
        <f>COUNTIFS(Table128[Country],Tabela1[[#This Row],[Country]],Table128[Mixed Aerials Classification],"&gt;0")</f>
        <v>0</v>
      </c>
      <c r="OI70" s="6">
        <f>COUNTIFS(Table125[Country],Tabela1[[#This Row],[Country]],Table125[Big Air Classification],"&gt;0")</f>
        <v>0</v>
      </c>
      <c r="OJ70" s="6">
        <f>COUNTIFS(Table125128[Country],Tabela1[[#This Row],[Country]],Table125128[Big Air Classification],"&gt;0")</f>
        <v>0</v>
      </c>
      <c r="OK70" s="6">
        <f>COUNTIFS(Table125[Country],Tabela1[[#This Row],[Country]],Table125[Dual Moguls Classification],"&gt;0")</f>
        <v>0</v>
      </c>
      <c r="OL70" s="6">
        <f>COUNTIFS(Table125128[Country],Tabela1[[#This Row],[Country]],Table125128[Dual Moguls Classification],"&gt;0")</f>
        <v>0</v>
      </c>
      <c r="OM70" s="6">
        <f>COUNTIFS(Table125[Country],Tabela1[[#This Row],[Country]],Table125[Halfpipe Classification],"&gt;0")</f>
        <v>0</v>
      </c>
      <c r="ON70" s="6">
        <f>COUNTIFS(Table125128[Country],Tabela1[[#This Row],[Country]],Table125128[Halfpipe Classification],"&gt;0")</f>
        <v>0</v>
      </c>
      <c r="OO70" s="6">
        <f>COUNTIFS(Table125[Country],Tabela1[[#This Row],[Country]],Table125[Moguls Classification],"&gt;0")</f>
        <v>0</v>
      </c>
      <c r="OP70" s="6">
        <f>COUNTIFS(Table125128[Country],Tabela1[[#This Row],[Country]],Table125128[Moguls Classification],"&gt;0")</f>
        <v>0</v>
      </c>
      <c r="OQ70" s="6">
        <f>COUNTIFS(Table125[Country],Tabela1[[#This Row],[Country]],Table125[Ski Cross Classification],"&gt;0")</f>
        <v>0</v>
      </c>
      <c r="OR70" s="6">
        <f>COUNTIFS(Table125128[Country],Tabela1[[#This Row],[Country]],Table125128[Ski Cross Classification],"&gt;0")</f>
        <v>0</v>
      </c>
      <c r="OS70" s="6">
        <f>COUNTIFS(Table125[Country],Tabela1[[#This Row],[Country]],Table125[Slopestyle Classification],"&gt;0")</f>
        <v>0</v>
      </c>
      <c r="OT70" s="6">
        <f>COUNTIFS(Table125128[Country],Tabela1[[#This Row],[Country]],Table125128[Slopestyle Classification],"&gt;0")</f>
        <v>0</v>
      </c>
      <c r="OU70" s="6">
        <f>COUNTIFS(Table119131[Country],Tabela1[[#This Row],[Country]],Table119131[Men''s Classification],"&gt;0")</f>
        <v>0</v>
      </c>
      <c r="OV70" s="6">
        <f>COUNTIFS(Table119131[Country],Tabela1[[#This Row],[Country]],Table119131[Women''s Classification],"&gt;0")</f>
        <v>0</v>
      </c>
      <c r="OW70" s="6">
        <f>COUNTIFS(Table131[Country],Tabela1[[#This Row],[Country]],Table131[Classification],"&gt;0")</f>
        <v>0</v>
      </c>
      <c r="OX70" s="6">
        <f>COUNTIFS(Table131134[Country],Tabela1[[#This Row],[Country]],Table131134[Classification],"&gt;0")</f>
        <v>0</v>
      </c>
      <c r="OY70" s="6">
        <f>COUNTIFS(Table134[Country],Tabela1[[#This Row],[Country]],Table134[Men''s Classification],"&gt;0")</f>
        <v>0</v>
      </c>
      <c r="OZ70" s="6">
        <f>COUNTIFS(Table134[Country],Tabela1[[#This Row],[Country]],Table134[Women''s Classification],"&gt;0")</f>
        <v>0</v>
      </c>
      <c r="PA70" s="6">
        <f>COUNTIFS(Table135[Country],Tabela1[[#This Row],[Country]],Table135[Mixed Relay Classification],"&gt;0")</f>
        <v>0</v>
      </c>
      <c r="PB70" s="6">
        <f>COUNTIFS(Table136[Country],Tabela1[[#This Row],[Country]],Table136[Individual Classification],"&gt;0")</f>
        <v>0</v>
      </c>
      <c r="PC70" s="6">
        <f>COUNTIFS(Table136[Country],Tabela1[[#This Row],[Country]],Table136[Sprint Classification],"&gt;0")</f>
        <v>0</v>
      </c>
      <c r="PD70" s="6">
        <f>COUNTIFS(Table137[Country],Tabela1[[#This Row],[Country]],Table137[Men''s Team Sprint Large Hill Classification],"&gt;0")</f>
        <v>0</v>
      </c>
      <c r="PE70" s="6">
        <f>COUNTIFS(Table138[Country],Tabela1[[#This Row],[Country]],Table138[500m Classification],"&gt;0")</f>
        <v>0</v>
      </c>
      <c r="PF70" s="6">
        <f>COUNTIFS(Table138141[Country],Tabela1[[#This Row],[Country]],Table138141[500m Classification],"&gt;0")</f>
        <v>0</v>
      </c>
      <c r="PG70" s="6">
        <f>COUNTIFS(Table138[Country],Tabela1[[#This Row],[Country]],Table138[1000m Classification],"&gt;0")</f>
        <v>0</v>
      </c>
      <c r="PH70" s="6">
        <f>COUNTIFS(Table138141[Country],Tabela1[[#This Row],[Country]],Table138141[1000m Classification],"&gt;0")</f>
        <v>0</v>
      </c>
      <c r="PI70" s="6">
        <f>COUNTIFS(Table138[Country],Tabela1[[#This Row],[Country]],Table138[1500m Classification],"&gt;0")</f>
        <v>0</v>
      </c>
      <c r="PJ70" s="6">
        <f>COUNTIFS(Table138141[Country],Tabela1[[#This Row],[Country]],Table138141[1500m Classification],"&gt;0")</f>
        <v>0</v>
      </c>
      <c r="PK70" s="6">
        <f>COUNTIFS(Table141[Country],Tabela1[[#This Row],[Country]],Table141[Men''s 5000m Relay Classification],"&gt;0")</f>
        <v>0</v>
      </c>
      <c r="PL70" s="6">
        <f>COUNTIFS(Table141[Country],Tabela1[[#This Row],[Country]],Table141[Women''s 3000m Relay Classification],"&gt;0")</f>
        <v>0</v>
      </c>
      <c r="PM70" s="6">
        <f>COUNTIFS(Table141[Country],Tabela1[[#This Row],[Country]],Table141[Mixed 2000m Relay Classification],"&gt;0")</f>
        <v>0</v>
      </c>
      <c r="PN70" s="6">
        <f>COUNTIFS(Table142[Country],Tabela1[[#This Row],[Country]],Table142[Classification],"&gt;0")</f>
        <v>0</v>
      </c>
      <c r="PO70" s="6">
        <f>COUNTIFS(Table142145[Country],Tabela1[[#This Row],[Country]],Table142145[Classification],"&gt;0")</f>
        <v>0</v>
      </c>
      <c r="PP70" s="6">
        <f>COUNTIFS(Tabela15[Country],Tabela1[[#This Row],[Country]],Tabela15[Mixed Team Classification],"&gt;0")</f>
        <v>0</v>
      </c>
      <c r="PQ70" s="6">
        <f>COUNTIFS(Table145[Country],Tabela1[[#This Row],[Country]],Table145[Large Hill Classification],"&gt;0")</f>
        <v>0</v>
      </c>
      <c r="PR70" s="6">
        <f>COUNTIFS(Table145[Country],Tabela1[[#This Row],[Country]],Table145[Normal Hill Classification],"&gt;0")</f>
        <v>0</v>
      </c>
      <c r="PS70" s="6">
        <f>COUNTIFS(Table145148[Country],Tabela1[[#This Row],[Country]],Table145148[Large Hill Classification],"&gt;0")</f>
        <v>0</v>
      </c>
      <c r="PT70" s="6">
        <f>COUNTIFS(Table145148[Country],Tabela1[[#This Row],[Country]],Table145148[Normal Hill Classification],"&gt;0")</f>
        <v>0</v>
      </c>
      <c r="PU70" s="6">
        <f>COUNTIFS(Table148[Country],Tabela1[[#This Row],[Country]],Table148[Men''s Super Team Classification],"&gt;0")</f>
        <v>0</v>
      </c>
      <c r="PV70" s="6">
        <f>COUNTIFS(Tabela114[Country],Tabela1[[#This Row],[Country]],Tabela114[Mixed Normal Hill Classification],"&gt;0")</f>
        <v>0</v>
      </c>
      <c r="PW70" s="6">
        <f>COUNTIFS(Tabela50[Country],Tabela1[[#This Row],[Country]],Tabela50[Sprint Classification],"&gt;0")</f>
        <v>0</v>
      </c>
      <c r="PX70" s="6">
        <f>COUNTIFS(Tabela50101[Country],Tabela1[[#This Row],[Country]],Tabela50101[Sprint Classification],"&gt;0")</f>
        <v>0</v>
      </c>
      <c r="PY70" s="6">
        <f>COUNTIFS(Tabela103[Country],Tabela1[[#This Row],[Country]],Tabela103[Mixed Relay Classification],"&gt;0")</f>
        <v>0</v>
      </c>
      <c r="PZ70" s="6">
        <f>COUNTIFS(Table149[Country],Tabela1[[#This Row],[Country]],Table149[Big Air Classification],"&gt;0")</f>
        <v>0</v>
      </c>
      <c r="QA70" s="6">
        <f>COUNTIFS(Table149152[Country],Tabela1[[#This Row],[Country]],Table149152[Big Air Classification],"&gt;0")</f>
        <v>0</v>
      </c>
      <c r="QB70" s="6">
        <f>COUNTIFS(Table149[Country],Tabela1[[#This Row],[Country]],Table149[Halfpipe Classification],"&gt;0")</f>
        <v>0</v>
      </c>
      <c r="QC70" s="6">
        <f>COUNTIFS(Table149152[Country],Tabela1[[#This Row],[Country]],Table149152[Halfpipe Classification],"&gt;0")</f>
        <v>0</v>
      </c>
      <c r="QD70" s="6">
        <f>COUNTIFS(Table149[Country],Tabela1[[#This Row],[Country]],Table149[Parallel Giant Slalom Classification],"&gt;0")</f>
        <v>0</v>
      </c>
      <c r="QE70" s="6">
        <f>COUNTIFS(Table149152[Country],Tabela1[[#This Row],[Country]],Table149152[Parallel Giant Slalom Classification],"&gt;0")</f>
        <v>0</v>
      </c>
      <c r="QF70" s="6">
        <f>COUNTIFS(Table149[Country],Tabela1[[#This Row],[Country]],Table149[Slopestyle Classification],"&gt;0")</f>
        <v>0</v>
      </c>
      <c r="QG70" s="6">
        <f>COUNTIFS(Table149152[Country],Tabela1[[#This Row],[Country]],Table149152[Slopestyle Classification],"&gt;0")</f>
        <v>0</v>
      </c>
      <c r="QH70" s="6">
        <f>COUNTIFS(Table149[Country],Tabela1[[#This Row],[Country]],Table149[Snowboard Cross Classification],"&gt;0")</f>
        <v>0</v>
      </c>
      <c r="QI70" s="6">
        <f>COUNTIFS(Table149152[Country],Tabela1[[#This Row],[Country]],Table149152[Snowboard Cross Classification],"&gt;0")</f>
        <v>0</v>
      </c>
      <c r="QJ70" s="6">
        <f>COUNTIFS(Table153[Country],Tabela1[[#This Row],[Country]],Table153[Mixed Team Snowboard Cross Classification],"&gt;0")</f>
        <v>0</v>
      </c>
      <c r="QK70" s="6">
        <f>COUNTIFS(Table154[Country],Tabela1[[#This Row],[Country]],Table154[500m Classification],"&gt;0")</f>
        <v>0</v>
      </c>
      <c r="QL70" s="6">
        <f>COUNTIFS(Table154157[Country],Tabela1[[#This Row],[Country]],Table154157[500m Classification],"&gt;0")</f>
        <v>0</v>
      </c>
      <c r="QM70" s="6">
        <f>COUNTIFS(Table154[Country],Tabela1[[#This Row],[Country]],Table154[1000m Classification],"&gt;0")</f>
        <v>0</v>
      </c>
      <c r="QN70" s="6">
        <f>COUNTIFS(Table154157[Country],Tabela1[[#This Row],[Country]],Table154157[1000m Classification],"&gt;0")</f>
        <v>0</v>
      </c>
      <c r="QO70" s="6">
        <f>COUNTIFS(Table154[Country],Tabela1[[#This Row],[Country]],Table154[1500m Classification],"&gt;0")</f>
        <v>0</v>
      </c>
      <c r="QP70" s="6">
        <f>COUNTIFS(Table154157[Country],Tabela1[[#This Row],[Country]],Table154157[1500m Classification],"&gt;0")</f>
        <v>0</v>
      </c>
      <c r="QQ70" s="6">
        <f>COUNTIFS(Table154157[Country],Tabela1[[#This Row],[Country]],Table154157[3000m Classification],"&gt;0")</f>
        <v>0</v>
      </c>
      <c r="QR70" s="6">
        <f>COUNTIFS(Table154[Country],Tabela1[[#This Row],[Country]],Table154[5000m Classification],"&gt;0")</f>
        <v>0</v>
      </c>
      <c r="QS70" s="6">
        <f>COUNTIFS(Table154157[Country],Tabela1[[#This Row],[Country]],Table154157[5000m Classification],"&gt;0")</f>
        <v>0</v>
      </c>
      <c r="QT70" s="6">
        <f>COUNTIFS(Table154[Country],Tabela1[[#This Row],[Country]],Table154[10000m Classification],"&gt;0")</f>
        <v>0</v>
      </c>
      <c r="QU70" s="6">
        <f>COUNTIFS(Table154[Country],Tabela1[[#This Row],[Country]],Table154[Mass Start Classification],"&gt;0")</f>
        <v>0</v>
      </c>
      <c r="QV70" s="6">
        <f>COUNTIFS(Table154157[Country],Tabela1[[#This Row],[Country]],Table154157[Mass Start Classification],"&gt;0")</f>
        <v>0</v>
      </c>
      <c r="QW70" s="6">
        <f>COUNTIFS(Table157[Country],Tabela1[[#This Row],[Country]],Table157[Men''s Pursuit Classification],"&gt;0")</f>
        <v>0</v>
      </c>
      <c r="QX70" s="6">
        <f>COUNTIFS(Table157[Country],Tabela1[[#This Row],[Country]],Table157[Women''s Pursuit Classification],"&gt;0")</f>
        <v>0</v>
      </c>
      <c r="QY70" s="3" t="s">
        <v>483</v>
      </c>
    </row>
    <row r="71" spans="1:467" x14ac:dyDescent="0.3">
      <c r="A71" s="6">
        <v>70</v>
      </c>
      <c r="B71" s="6" t="s">
        <v>532</v>
      </c>
      <c r="C71" t="e" vm="70">
        <f>IF(ISBLANK(Tabela1[[#This Row],[Image Link]]), "", _xlfn.IMAGE(Tabela1[[#This Row],[Image Link]],1,1))</f>
        <v>#VALUE!</v>
      </c>
      <c r="D71" s="6">
        <f>SUM(Tabela1[[#This Row],[Archery - Men''s Individual Recurve]:[Speed Skating - Women''s Team Pursuit]])</f>
        <v>7</v>
      </c>
      <c r="E71" s="6">
        <f>COUNTIF(Tabela1[[#This Row],[Archery - Men''s Individual Recurve]:[Speed Skating - Women''s Team Pursuit]],"&gt;0")</f>
        <v>5</v>
      </c>
      <c r="F71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71" s="6">
        <f>SUM(Tabela1[[#This Row],[Archery - Men''s Individual Recurve]:[Wrestling - Women''s Freestyle 76kg]])</f>
        <v>7</v>
      </c>
      <c r="H71" s="6">
        <f>SUM(Tabela1[[#This Row],[Alpine Skiing - Men''s Downhill]:[Speed Skating - Women''s Team Pursuit]])</f>
        <v>0</v>
      </c>
      <c r="I71" s="6">
        <f>Tabela1[[#This Row],[Summer Gold Medals]]+Tabela1[[#This Row],[Winter Gold Medals]]</f>
        <v>1</v>
      </c>
      <c r="J71" s="6">
        <f>Tabela1[[#This Row],[Summer Silver Medals]]+Tabela1[[#This Row],[Winter Silver Medals]]</f>
        <v>1</v>
      </c>
      <c r="K71" s="6">
        <f>Tabela1[[#This Row],[Summer Bronze Medals]]+Tabela1[[#This Row],[Winter Bronze Medals]]</f>
        <v>0</v>
      </c>
      <c r="L71" s="6">
        <f>SUM(Tabela1[[#This Row],[Total Gold Medals]:[Total Bronze Medals]])</f>
        <v>2</v>
      </c>
      <c r="M71" s="6">
        <v>1</v>
      </c>
      <c r="N71" s="6">
        <v>1</v>
      </c>
      <c r="O71" s="6"/>
      <c r="P71" s="6">
        <f>SUM(Tabela1[[#This Row],[Summer Gold Medals]:[Summer Bronze Medals]])</f>
        <v>2</v>
      </c>
      <c r="Q71" s="6"/>
      <c r="R71" s="6"/>
      <c r="S71" s="6"/>
      <c r="T71" s="6">
        <f>Tabela1[[#This Row],[Winter Gold Medals]]+Tabela1[[#This Row],[Winter Silver Medals]]+Tabela1[[#This Row],[Winter Bronze Medals]]</f>
        <v>0</v>
      </c>
      <c r="U71" s="7">
        <f>Tabela1[[#This Row],[Total Medals]]/Tabela1[[#This Row],[Total Quotas]]</f>
        <v>0.2857142857142857</v>
      </c>
      <c r="V71" s="6">
        <f>COUNTIFS(Table3[Country],Tabela1[[#This Row],[Country]],Table3[Recurve Classification],"&gt;0")</f>
        <v>0</v>
      </c>
      <c r="W71" s="6">
        <f>COUNTIFS(Table33[Country],Tabela1[[#This Row],[Country]],Table33[Recurve Classification],"&gt;0")</f>
        <v>0</v>
      </c>
      <c r="X71" s="6">
        <f>COUNTIFS(Table35[Country],Tabela1[[#This Row],[Country]],Table35[Men''s Team Recurve Classification],"&gt;0")</f>
        <v>0</v>
      </c>
      <c r="Y71" s="6">
        <f>COUNTIFS(Table35[Country],Tabela1[[#This Row],[Country]],Table35[Women''s Team Recurve Classification],"&gt;0")</f>
        <v>0</v>
      </c>
      <c r="Z71" s="6">
        <f>COUNTIFS(Tabela88[Country],Tabela1[[#This Row],[Country]],Tabela88[Mixed Team Recurve Classification],"&gt;0")</f>
        <v>0</v>
      </c>
      <c r="AA71" s="6">
        <f>COUNTIFS(Table36[Country],Tabela1[[#This Row],[Country]],Table36[Classification],"&gt;0")</f>
        <v>0</v>
      </c>
      <c r="AB71" s="6">
        <f>COUNTIFS(Table37[Country],Tabela1[[#This Row],[Country]],Table37[Classification],"&gt;0")</f>
        <v>0</v>
      </c>
      <c r="AC71" s="6">
        <f>COUNTIFS(Table4[Country],Tabela1[[#This Row],[Country]],Table4[100m Classification],"&gt;0")</f>
        <v>0</v>
      </c>
      <c r="AD71" s="6">
        <f>COUNTIFS(Table5[Country],Tabela1[[#This Row],[Country]],Table5[100m Classification],"&gt;0")</f>
        <v>0</v>
      </c>
      <c r="AE71" s="6">
        <f>COUNTIFS(Table4[Country],Tabela1[[#This Row],[Country]],Table4[200m Classification],"&gt;0")</f>
        <v>0</v>
      </c>
      <c r="AF71" s="6">
        <f>COUNTIFS(Table5[Country],Tabela1[[#This Row],[Country]],Table5[200m Classification],"&gt;0")</f>
        <v>0</v>
      </c>
      <c r="AG71" s="6">
        <f>COUNTIFS(Table4[Country],Tabela1[[#This Row],[Country]],Table4[400m Classification],"&gt;0")</f>
        <v>1</v>
      </c>
      <c r="AH71" s="6">
        <f>COUNTIFS(Table5[Country],Tabela1[[#This Row],[Country]],Table5[400m Classification],"&gt;0")</f>
        <v>0</v>
      </c>
      <c r="AI71" s="6">
        <f>COUNTIFS(Table4[Country],Tabela1[[#This Row],[Country]],Table4[800m Classification],"&gt;0")</f>
        <v>3</v>
      </c>
      <c r="AJ71" s="6">
        <f>COUNTIFS(Table5[Country],Tabela1[[#This Row],[Country]],Table5[800m Classification],"&gt;0")</f>
        <v>0</v>
      </c>
      <c r="AK71" s="6">
        <f>COUNTIFS(Table4[Country],Tabela1[[#This Row],[Country]],Table4[1500m Classification],"&gt;0")</f>
        <v>0</v>
      </c>
      <c r="AL71" s="6">
        <f>COUNTIFS(Table5[Country],Tabela1[[#This Row],[Country]],Table5[1500m Classification],"&gt;0")</f>
        <v>0</v>
      </c>
      <c r="AM71" s="6">
        <f>COUNTIFS(Table4[Country],Tabela1[[#This Row],[Country]],Table4[5000m Classification],"&gt;0")</f>
        <v>0</v>
      </c>
      <c r="AN71" s="6">
        <f>COUNTIFS(Table5[Country],Tabela1[[#This Row],[Country]],Table5[5000m Classification],"&gt;0")</f>
        <v>0</v>
      </c>
      <c r="AO71" s="6">
        <f>COUNTIFS(Table4[Country],Tabela1[[#This Row],[Country]],Table4[10000m Classification],"&gt;0")</f>
        <v>0</v>
      </c>
      <c r="AP71" s="6">
        <f>COUNTIFS(Table5[Country],Tabela1[[#This Row],[Country]],Table5[10000m Classification],"&gt;0")</f>
        <v>0</v>
      </c>
      <c r="AQ71" s="6">
        <f>COUNTIFS(Table4[Country],Tabela1[[#This Row],[Country]],Table4[110m Hurdles Classification],"&gt;0")</f>
        <v>0</v>
      </c>
      <c r="AR71" s="6">
        <f>COUNTIFS(Table5[Country],Tabela1[[#This Row],[Country]],Table5[100m Hurdles Classification],"&gt;0")</f>
        <v>0</v>
      </c>
      <c r="AS71" s="6">
        <f>COUNTIFS(Table4[Country],Tabela1[[#This Row],[Country]],Table4[400m Hurdles Classification],"&gt;0")</f>
        <v>1</v>
      </c>
      <c r="AT71" s="6">
        <f>COUNTIFS(Table5[Country],Tabela1[[#This Row],[Country]],Table5[400m Hurdles Classification],"&gt;0")</f>
        <v>0</v>
      </c>
      <c r="AU71" s="6">
        <f>COUNTIFS(Table4[Country],Tabela1[[#This Row],[Country]],Table4[3000m Steeplechase Classification],"&gt;0")</f>
        <v>0</v>
      </c>
      <c r="AV71" s="6">
        <f>COUNTIFS(Table5[Country],Tabela1[[#This Row],[Country]],Table5[3000m Steeplechase Classification],"&gt;0")</f>
        <v>0</v>
      </c>
      <c r="AW71" s="6">
        <f>COUNTIFS(Table27[Country],Tabela1[[#This Row],[Country]],Table27[Men''s 4x100m Relay Classification],"&gt;0")</f>
        <v>0</v>
      </c>
      <c r="AX71" s="6">
        <f>COUNTIFS(Table27[Country],Tabela1[[#This Row],[Country]],Table27[Women''s 4x100m Relay Classification],"&gt;0")</f>
        <v>0</v>
      </c>
      <c r="AY71" s="6">
        <f>COUNTIFS(Table27[Country],Tabela1[[#This Row],[Country]],Table27[Men''s 4x400m Relay Classification],"&gt;0")</f>
        <v>1</v>
      </c>
      <c r="AZ71" s="6">
        <f>COUNTIFS(Table27[Country],Tabela1[[#This Row],[Country]],Table27[Women''s 4x400m Relay Classification],"&gt;0")</f>
        <v>0</v>
      </c>
      <c r="BA71" s="6">
        <f>COUNTIFS(Table27[Country],Tabela1[[#This Row],[Country]],Table27[Mixed 4x400m Relay Classification],"&gt;0")</f>
        <v>0</v>
      </c>
      <c r="BB71" s="6">
        <f>COUNTIFS(Table4[Country],Tabela1[[#This Row],[Country]],Table4[Marathon Classification],"&gt;0")</f>
        <v>0</v>
      </c>
      <c r="BC71" s="6">
        <f>COUNTIFS(Table5[Country],Tabela1[[#This Row],[Country]],Table5[Marathon Classification],"&gt;0")</f>
        <v>0</v>
      </c>
      <c r="BD71" s="6">
        <f>COUNTIFS(Table4[Country],Tabela1[[#This Row],[Country]],Table4[20km Race Walk Classification],"&gt;0")</f>
        <v>0</v>
      </c>
      <c r="BE71" s="6">
        <f>COUNTIFS(Table5[Country],Tabela1[[#This Row],[Country]],Table5[20km Race Walk Classification],"&gt;0")</f>
        <v>0</v>
      </c>
      <c r="BF71" s="6">
        <f>COUNTIFS(Tabela96[Country],Tabela1[[#This Row],[Country]],Tabela96[Mixed Marathon Race Walk Relay Classification],"&gt;0")</f>
        <v>0</v>
      </c>
      <c r="BG71" s="6">
        <f>COUNTIFS(Table4[Country],Tabela1[[#This Row],[Country]],Table4[Discus Throw Classification],"&gt;0")</f>
        <v>0</v>
      </c>
      <c r="BH71" s="6">
        <f>COUNTIFS(Table5[Country],Tabela1[[#This Row],[Country]],Table5[Discus Throw Classification],"&gt;0")</f>
        <v>0</v>
      </c>
      <c r="BI71" s="6">
        <f>COUNTIFS(Table4[Country],Tabela1[[#This Row],[Country]],Table4[Hammer Throw Classification],"&gt;0")</f>
        <v>0</v>
      </c>
      <c r="BJ71" s="6">
        <f>COUNTIFS(Table5[Country],Tabela1[[#This Row],[Country]],Table5[Hammer Throw Classification],"&gt;0")</f>
        <v>0</v>
      </c>
      <c r="BK71" s="6">
        <f>COUNTIFS(Table4[Country],Tabela1[[#This Row],[Country]],Table4[High Jump Classification],"&gt;0")</f>
        <v>0</v>
      </c>
      <c r="BL71" s="6">
        <f>COUNTIFS(Table5[Country],Tabela1[[#This Row],[Country]],Table5[High Jump Classification],"&gt;0")</f>
        <v>0</v>
      </c>
      <c r="BM71" s="6">
        <f>COUNTIFS(Table4[Country],Tabela1[[#This Row],[Country]],Table4[Javelin Throw Classification],"&gt;0")</f>
        <v>0</v>
      </c>
      <c r="BN71" s="6">
        <f>COUNTIFS(Table5[Country],Tabela1[[#This Row],[Country]],Table5[Javelin Throw Classification],"&gt;0")</f>
        <v>0</v>
      </c>
      <c r="BO71" s="6">
        <f>COUNTIFS(Table4[Country],Tabela1[[#This Row],[Country]],Table4[Long Jump Classification],"&gt;0")</f>
        <v>0</v>
      </c>
      <c r="BP71" s="6">
        <f>COUNTIFS(Table5[Country],Tabela1[[#This Row],[Country]],Table5[Long Jump Classification],"&gt;0")</f>
        <v>0</v>
      </c>
      <c r="BQ71" s="6">
        <f>COUNTIFS(Table4[Country],Tabela1[[#This Row],[Country]],Table4[Pole Vault Classification],"&gt;0")</f>
        <v>0</v>
      </c>
      <c r="BR71" s="6">
        <f>COUNTIFS(Table5[Country],Tabela1[[#This Row],[Country]],Table5[Pole Vault Classification],"&gt;0")</f>
        <v>0</v>
      </c>
      <c r="BS71" s="6">
        <f>COUNTIFS(Table4[Country],Tabela1[[#This Row],[Country]],Table4[Shot Put Classification],"&gt;0")</f>
        <v>0</v>
      </c>
      <c r="BT71" s="6">
        <f>COUNTIFS(Table5[Country],Tabela1[[#This Row],[Country]],Table5[Shot Put Classification],"&gt;0")</f>
        <v>0</v>
      </c>
      <c r="BU71" s="6">
        <f>COUNTIFS(Table4[Country],Tabela1[[#This Row],[Country]],Table4[Triple Jump Classification],"&gt;0")</f>
        <v>0</v>
      </c>
      <c r="BV71" s="6">
        <f>COUNTIFS(Table5[Country],Tabela1[[#This Row],[Country]],Table5[Triple Jump Classification],"&gt;0")</f>
        <v>0</v>
      </c>
      <c r="BW71" s="6">
        <f>COUNTIFS(Table4[Country],Tabela1[[#This Row],[Country]],Table4[Decathlon Classification],"&gt;0")</f>
        <v>0</v>
      </c>
      <c r="BX71" s="6">
        <f>COUNTIFS(Table5[Country],Tabela1[[#This Row],[Country]],Table5[Heptathlon Classification],"&gt;0")</f>
        <v>0</v>
      </c>
      <c r="BY71" s="6">
        <f>COUNTIFS(Table61[Country],Tabela1[[#This Row],[Country]],Table61[Classification],"&gt;0")</f>
        <v>0</v>
      </c>
      <c r="BZ71" s="6">
        <f>COUNTIFS(Table38[Country],Tabela1[[#This Row],[Country]],Table38[Classification],"&gt;0")</f>
        <v>0</v>
      </c>
      <c r="CA71" s="6">
        <f>COUNTIFS(Table39[Country],Tabela1[[#This Row],[Country]],Table39[Men''s Classification],"&gt;0")</f>
        <v>0</v>
      </c>
      <c r="CB71" s="6">
        <f>COUNTIFS(Table39[Country],Tabela1[[#This Row],[Country]],Table39[Women''s Classification],"&gt;0")</f>
        <v>0</v>
      </c>
      <c r="CC71" s="6">
        <f>COUNTIFS(Table39[Country],Tabela1[[#This Row],[Country]],Table39[Mixed Classification],"&gt;0")</f>
        <v>0</v>
      </c>
      <c r="CD71" s="6">
        <f>COUNTIFS(Table89[Country],Tabela1[[#This Row],[Country]],Table89[Men''s Classification],"&gt;0")</f>
        <v>0</v>
      </c>
      <c r="CE71" s="6">
        <f>COUNTIFS(Table89[Country],Tabela1[[#This Row],[Country]],Table89[Women''s Classification],"&gt;0")</f>
        <v>0</v>
      </c>
      <c r="CF71" s="6">
        <f>COUNTIFS(Table90[Country],Tabela1[[#This Row],[Country]],Table90[Men''s Classification],"&gt;0")</f>
        <v>0</v>
      </c>
      <c r="CG71" s="6">
        <f>COUNTIFS(Table90[Country],Tabela1[[#This Row],[Country]],Table90[Women''s Classification],"&gt;0")</f>
        <v>0</v>
      </c>
      <c r="CH71" s="6">
        <f>COUNTIFS(Table60[Country],Tabela1[[#This Row],[Country]],Table60[Men''s Classification],"&gt;0")</f>
        <v>0</v>
      </c>
      <c r="CI71" s="6">
        <f>COUNTIFS(Table60[Country],Tabela1[[#This Row],[Country]],Table60[Women''s Classification],"&gt;0")</f>
        <v>0</v>
      </c>
      <c r="CJ71" s="6">
        <f>COUNTIFS(Table6[Country],Tabela1[[#This Row],[Country]],Table6[51kg Classification],"&gt;0")</f>
        <v>0</v>
      </c>
      <c r="CK71" s="6">
        <f>COUNTIFS(Table6[Country],Tabela1[[#This Row],[Country]],Table6[57kg Classification],"&gt;0")</f>
        <v>0</v>
      </c>
      <c r="CL71" s="6">
        <f>COUNTIFS(Table6[Country],Tabela1[[#This Row],[Country]],Table6[63.5kg Classification],"&gt;0")</f>
        <v>0</v>
      </c>
      <c r="CM71" s="6">
        <f>COUNTIFS(Table6[Country],Tabela1[[#This Row],[Country]],Table6[71kg Classification],"&gt;0")</f>
        <v>0</v>
      </c>
      <c r="CN71" s="6">
        <f>COUNTIFS(Table6[Country],Tabela1[[#This Row],[Country]],Table6[80kg Classification],"&gt;0")</f>
        <v>0</v>
      </c>
      <c r="CO71" s="6">
        <f>COUNTIFS(Table6[Country],Tabela1[[#This Row],[Country]],Table6[92kg Classification],"&gt;0")</f>
        <v>0</v>
      </c>
      <c r="CP71" s="6">
        <f>COUNTIFS(Table6[Country],Tabela1[[#This Row],[Country]],Table6[Plus 92kg Classification],"&gt;0")</f>
        <v>0</v>
      </c>
      <c r="CQ71" s="6">
        <f>COUNTIFS(Table7[Country],Tabela1[[#This Row],[Country]],Table7[50kg Classification],"&gt;0")</f>
        <v>0</v>
      </c>
      <c r="CR71" s="6">
        <f>COUNTIFS(Table7[Country],Tabela1[[#This Row],[Country]],Table7[54kg Classification],"&gt;0")</f>
        <v>0</v>
      </c>
      <c r="CS71" s="6">
        <f>COUNTIFS(Table7[Country],Tabela1[[#This Row],[Country]],Table7[57kg Classification],"&gt;0")</f>
        <v>0</v>
      </c>
      <c r="CT71" s="6">
        <f>COUNTIFS(Table7[Country],Tabela1[[#This Row],[Country]],Table7[60kg Classification],"&gt;0")</f>
        <v>0</v>
      </c>
      <c r="CU71" s="6">
        <f>COUNTIFS(Table7[Country],Tabela1[[#This Row],[Country]],Table7[66kg Classification],"&gt;0")</f>
        <v>0</v>
      </c>
      <c r="CV71" s="6">
        <f>COUNTIFS(Table7[Country],Tabela1[[#This Row],[Country]],Table7[75kg Classification],"&gt;0")</f>
        <v>0</v>
      </c>
      <c r="CW71" s="6">
        <f>COUNTIFS(Tabela94[Country],Tabela1[[#This Row],[Country]],Tabela94[Classification],"&gt;0")</f>
        <v>0</v>
      </c>
      <c r="CX71" s="6">
        <f>COUNTIFS(Tabela9499[Country],Tabela1[[#This Row],[Country]],Tabela9499[Classification],"&gt;0")</f>
        <v>0</v>
      </c>
      <c r="CY71" s="6">
        <f>COUNTIFS(Tabela107[Country],Tabela1[[#This Row],[Country]],Tabela107[C1 Slalom Classification],"&gt;0")</f>
        <v>0</v>
      </c>
      <c r="CZ71" s="6">
        <f>COUNTIFS(Tabela107122[Country],Tabela1[[#This Row],[Country]],Tabela107122[C1 Slalom Classification],"&gt;0")</f>
        <v>0</v>
      </c>
      <c r="DA71" s="6">
        <f>COUNTIFS(Tabela107[Country],Tabela1[[#This Row],[Country]],Tabela107[K1 Slalom Classification],"&gt;0")</f>
        <v>0</v>
      </c>
      <c r="DB71" s="6">
        <f>COUNTIFS(Tabela107122[Country],Tabela1[[#This Row],[Country]],Tabela107122[K1 Slalom Classification],"&gt;0")</f>
        <v>0</v>
      </c>
      <c r="DC71" s="6">
        <f>COUNTIFS(Tabela107[Country],Tabela1[[#This Row],[Country]],Tabela107[Kayak Cross Slalom Classification],"&gt;0")</f>
        <v>0</v>
      </c>
      <c r="DD71" s="6">
        <f>COUNTIFS(Tabela107122[Country],Tabela1[[#This Row],[Country]],Tabela107122[Kayak Cross Slalom Classification],"&gt;0")</f>
        <v>0</v>
      </c>
      <c r="DE71" s="6">
        <f>COUNTIFS(Table8[Country],Tabela1[[#This Row],[Country]],Table8[C1 200m Classification],"&gt;0")</f>
        <v>0</v>
      </c>
      <c r="DF71" s="6">
        <f>COUNTIFS(Table40[Country],Tabela1[[#This Row],[Country]],Table40[C1 1000m Classification],"&gt;0")</f>
        <v>0</v>
      </c>
      <c r="DG71" s="6">
        <f>COUNTIFS(Table68[Country],Tabela1[[#This Row],[Country]],Table68[Men''s C2 500m Classification],"&gt;0")</f>
        <v>0</v>
      </c>
      <c r="DH71" s="6">
        <f>COUNTIFS(Table68[Country],Tabela1[[#This Row],[Country]],Table68[Women''s C2 500m Classification],"&gt;0")</f>
        <v>0</v>
      </c>
      <c r="DI71" s="6">
        <f>COUNTIFS(Table8[Country],Tabela1[[#This Row],[Country]],Table8[K1 500m Classification],"&gt;0")</f>
        <v>0</v>
      </c>
      <c r="DJ71" s="6">
        <f>COUNTIFS(Table40[Country],Tabela1[[#This Row],[Country]],Table40[K1 1000m Classification],"&gt;0")</f>
        <v>0</v>
      </c>
      <c r="DK71" s="6">
        <f>COUNTIFS(Table68[Country],Tabela1[[#This Row],[Country]],Table68[Men''s K2 500m Classification],"&gt;0")</f>
        <v>0</v>
      </c>
      <c r="DL71" s="6">
        <f>COUNTIFS(Table68[Country],Tabela1[[#This Row],[Country]],Table68[Women''s K2 500m Classification],"&gt;0")</f>
        <v>0</v>
      </c>
      <c r="DM71" s="6">
        <f>COUNTIFS(Table83[Country],Tabela1[[#This Row],[Country]],Table83[Men''s K4 500m Classification],"&gt;0")</f>
        <v>0</v>
      </c>
      <c r="DN71" s="6">
        <f>COUNTIFS(Table83[Country],Tabela1[[#This Row],[Country]],Table83[Women''s K4 500m Classification],"&gt;0")</f>
        <v>0</v>
      </c>
      <c r="DO71" s="6">
        <f>COUNTIFS(Tabela126[Country],Tabela1[[#This Row],[Country]],Tabela126[Classification],"&gt;0")</f>
        <v>0</v>
      </c>
      <c r="DP71" s="6">
        <f>COUNTIFS(Tabela126130[Country],Tabela1[[#This Row],[Country]],Tabela126130[Classification],"&gt;0")</f>
        <v>0</v>
      </c>
      <c r="DQ71" s="6">
        <f>COUNTIFS(Table70[Country],Tabela1[[#This Row],[Country]],Table70[Classification],"&gt;0")</f>
        <v>0</v>
      </c>
      <c r="DR71" s="6">
        <f>COUNTIFS(Table80[Country],Tabela1[[#This Row],[Country]],Table80[Classification],"&gt;0")</f>
        <v>0</v>
      </c>
      <c r="DS71" s="6">
        <f>COUNTIFS(Table66[Country],Tabela1[[#This Row],[Country]],Table66[Classification],"&gt;0")</f>
        <v>0</v>
      </c>
      <c r="DT71" s="6">
        <f>COUNTIFS(Table67[Country],Tabela1[[#This Row],[Country]],Table67[Classification],"&gt;0")</f>
        <v>0</v>
      </c>
      <c r="DU71" s="6">
        <f>COUNTIFS(Table69[Country],Tabela1[[#This Row],[Country]],Table69[Keirin Classification],"&gt;0")</f>
        <v>0</v>
      </c>
      <c r="DV71" s="6">
        <f>COUNTIFS(Table41[Country],Tabela1[[#This Row],[Country]],Table41[Keirin Classification],"&gt;0")</f>
        <v>0</v>
      </c>
      <c r="DW71" s="6">
        <f>COUNTIFS(Table84[Country],Tabela1[[#This Row],[Country]],Table84[Men''s Madison Classification],"&gt;0")</f>
        <v>0</v>
      </c>
      <c r="DX71" s="6">
        <f>COUNTIFS(Table84[Country],Tabela1[[#This Row],[Country]],Table84[Women''s Madison Classification],"&gt;0")</f>
        <v>0</v>
      </c>
      <c r="DY71" s="6">
        <f>COUNTIFS(Table69[Country],Tabela1[[#This Row],[Country]],Table69[Omnium Classification],"&gt;0")</f>
        <v>0</v>
      </c>
      <c r="DZ71" s="6">
        <f>COUNTIFS(Table41[Country],Tabela1[[#This Row],[Country]],Table41[Omnium Classification],"&gt;0")</f>
        <v>0</v>
      </c>
      <c r="EA71" s="6">
        <f>COUNTIFS(Table9[Country],Tabela1[[#This Row],[Country]],Table9[Road Race Classification],"&gt;0")</f>
        <v>0</v>
      </c>
      <c r="EB71" s="6">
        <f>COUNTIFS(Table14[Country],Tabela1[[#This Row],[Country]],Table14[Road Race Classification],"&gt;0")</f>
        <v>0</v>
      </c>
      <c r="EC71" s="6">
        <f>COUNTIFS(Table69[Country],Tabela1[[#This Row],[Country]],Table69[Sprint Classification],"&gt;0")</f>
        <v>0</v>
      </c>
      <c r="ED71" s="6">
        <f>COUNTIFS(Table41[Country],Tabela1[[#This Row],[Country]],Table41[Sprint Classification],"&gt;0")</f>
        <v>0</v>
      </c>
      <c r="EE71" s="6">
        <f>COUNTIFS(Table85[Country],Tabela1[[#This Row],[Country]],Table85[Men''s Sprint Classification],"&gt;0")</f>
        <v>0</v>
      </c>
      <c r="EF71" s="6">
        <f>COUNTIFS(Table85[Country],Tabela1[[#This Row],[Country]],Table85[Women''s Sprint Classification],"&gt;0")</f>
        <v>0</v>
      </c>
      <c r="EG71" s="6">
        <f>COUNTIFS(Table85[Country],Tabela1[[#This Row],[Country]],Table85[Men''s Pursuit Classification],"&gt;0")</f>
        <v>0</v>
      </c>
      <c r="EH71" s="6">
        <f>COUNTIFS(Table85[Country],Tabela1[[#This Row],[Country]],Table85[Women''s Pursuit Classification],"&gt;0")</f>
        <v>0</v>
      </c>
      <c r="EI71" s="6">
        <f>COUNTIFS(Table9[Country],Tabela1[[#This Row],[Country]],Table9[Time-Trial Classification],"&gt;0")</f>
        <v>0</v>
      </c>
      <c r="EJ71" s="6">
        <f>COUNTIFS(Table14[Country],Tabela1[[#This Row],[Country]],Table14[Time-Trial Classification],"&gt;0")</f>
        <v>0</v>
      </c>
      <c r="EK71" s="6">
        <f>COUNTIFS(Table42[Country],Tabela1[[#This Row],[Country]],Table42[Springboard Classification],"&gt;0")</f>
        <v>0</v>
      </c>
      <c r="EL71" s="6">
        <f>COUNTIFS(Table43[Country],Tabela1[[#This Row],[Country]],Table43[Springboard Classification],"&gt;0")</f>
        <v>0</v>
      </c>
      <c r="EM71" s="6">
        <f>COUNTIFS(Table42[Country],Tabela1[[#This Row],[Country]],Table42[Platform Classification],"&gt;0")</f>
        <v>0</v>
      </c>
      <c r="EN71" s="6">
        <f>COUNTIFS(Table43[Country],Tabela1[[#This Row],[Country]],Table43[Platform Classification],"&gt;0")</f>
        <v>0</v>
      </c>
      <c r="EO71" s="6">
        <f>COUNTIFS(Table86[Country],Tabela1[[#This Row],[Country]],Table86[Men''s Synchronized Springboard Classification],"&gt;0")</f>
        <v>0</v>
      </c>
      <c r="EP71" s="6">
        <f>COUNTIFS(Table86[Country],Tabela1[[#This Row],[Country]],Table86[Women''s Synchronized Springboard Classification],"&gt;0")</f>
        <v>0</v>
      </c>
      <c r="EQ71" s="6">
        <f>COUNTIFS(Table86[Country],Tabela1[[#This Row],[Country]],Table86[Men''s Synchronized Platform Classification],"&gt;0")</f>
        <v>0</v>
      </c>
      <c r="ER71" s="6">
        <f>COUNTIFS(Table86[Country],Tabela1[[#This Row],[Country]],Table86[Women''s Synchronized Platform Classification],"&gt;0")</f>
        <v>0</v>
      </c>
      <c r="ES71" s="6">
        <f>COUNTIFS(Table44[Country],Tabela1[[#This Row],[Country]],Table44[Dressage Classification],"&gt;0")</f>
        <v>0</v>
      </c>
      <c r="ET71" s="6">
        <f>COUNTIFS(Table45[Country],Tabela1[[#This Row],[Country]],Table45[Dressage Classification],"&gt;0")</f>
        <v>0</v>
      </c>
      <c r="EU71" s="6">
        <f>COUNTIFS(Table44[Country],Tabela1[[#This Row],[Country]],Table44[Eventing Classification],"&gt;0")</f>
        <v>0</v>
      </c>
      <c r="EV71" s="6">
        <f>COUNTIFS(Table45[Country],Tabela1[[#This Row],[Country]],Table45[Eventing Classification],"&gt;0")</f>
        <v>0</v>
      </c>
      <c r="EW71" s="6">
        <f>COUNTIFS(Table44[Country],Tabela1[[#This Row],[Country]],Table44[Jumping Classification],"&gt;0")</f>
        <v>0</v>
      </c>
      <c r="EX71" s="6">
        <f>COUNTIFS(Table45[Country],Tabela1[[#This Row],[Country]],Table45[Jumping Classification],"&gt;0")</f>
        <v>0</v>
      </c>
      <c r="EY71" s="6">
        <f>COUNTIFS(Table10[Country],Tabela1[[#This Row],[Country]],Table10[Épée Classification],"&gt;0")</f>
        <v>0</v>
      </c>
      <c r="EZ71" s="6">
        <f>COUNTIFS(Table11[Country],Tabela1[[#This Row],[Country]],Table11[Épée Classification],"&gt;0")</f>
        <v>0</v>
      </c>
      <c r="FA71" s="6">
        <f>COUNTIFS(Table46[Country],Tabela1[[#This Row],[Country]],Table46[Men''s Épée Classification],"&gt;0")</f>
        <v>0</v>
      </c>
      <c r="FB71" s="6">
        <f>COUNTIFS(Table46[Country],Tabela1[[#This Row],[Country]],Table46[Women''s Épée Classification],"&gt;0")</f>
        <v>0</v>
      </c>
      <c r="FC71" s="6">
        <f>COUNTIFS(Table10[Country],Tabela1[[#This Row],[Country]],Table10[Foil Classification],"&gt;0")</f>
        <v>0</v>
      </c>
      <c r="FD71" s="6">
        <f>COUNTIFS(Table11[Country],Tabela1[[#This Row],[Country]],Table11[Foil Classification],"&gt;0")</f>
        <v>0</v>
      </c>
      <c r="FE71" s="6">
        <f>COUNTIFS(Table46[Country],Tabela1[[#This Row],[Country]],Table46[Men''s Foil Classification],"&gt;0")</f>
        <v>0</v>
      </c>
      <c r="FF71" s="6">
        <f>COUNTIFS(Table46[Country],Tabela1[[#This Row],[Country]],Table46[Women''s Foil Classification],"&gt;0")</f>
        <v>0</v>
      </c>
      <c r="FG71" s="6">
        <f>COUNTIFS(Table10[Country],Tabela1[[#This Row],[Country]],Table10[Sabre Classification],"&gt;0")</f>
        <v>0</v>
      </c>
      <c r="FH71" s="6">
        <f>COUNTIFS(Table11[Country],Tabela1[[#This Row],[Country]],Table11[Sabre Classification],"&gt;0")</f>
        <v>0</v>
      </c>
      <c r="FI71" s="6">
        <f>COUNTIFS(Table46[Country],Tabela1[[#This Row],[Country]],Table46[Men''s Sabre Classification],"&gt;0")</f>
        <v>0</v>
      </c>
      <c r="FJ71" s="6">
        <f>COUNTIFS(Table46[Country],Tabela1[[#This Row],[Country]],Table46[Women''s Sabre Classification],"&gt;0")</f>
        <v>0</v>
      </c>
      <c r="FK71" s="6">
        <f>COUNTIFS(Table91[Country],Tabela1[[#This Row],[Country]],Table91[Men''s Classification],"&gt;0")</f>
        <v>0</v>
      </c>
      <c r="FL71" s="6">
        <f>COUNTIFS(Table91[Country],Tabela1[[#This Row],[Country]],Table91[Women''s Classification],"&gt;0")</f>
        <v>0</v>
      </c>
      <c r="FM71" s="6">
        <f>COUNTIFS(Table9194[Country],Tabela1[[#This Row],[Country]],Table9194[Men''s Classification],"&gt;0")</f>
        <v>0</v>
      </c>
      <c r="FN71" s="6">
        <f>COUNTIFS(Table9194[Country],Tabela1[[#This Row],[Country]],Table9194[Women''s Classification],"&gt;0")</f>
        <v>0</v>
      </c>
      <c r="FO71" s="6">
        <f>COUNTIFS(Table71[Country],Tabela1[[#This Row],[Country]],Table71[Classification],"&gt;0")</f>
        <v>0</v>
      </c>
      <c r="FP71" s="6">
        <f>COUNTIFS(Table62[Country],Tabela1[[#This Row],[Country]],Table62[Classification],"&gt;0")</f>
        <v>0</v>
      </c>
      <c r="FQ71" s="6">
        <f>COUNTIFS(Table47[Country],Tabela1[[#This Row],[Country]],Table47[All-Around Classification],"&gt;0")</f>
        <v>0</v>
      </c>
      <c r="FR71" s="6">
        <f>COUNTIFS(Table48[Country],Tabela1[[#This Row],[Country]],Table48[All-Around Classification],"&gt;0")</f>
        <v>0</v>
      </c>
      <c r="FS71" s="6">
        <f>COUNTIFS(Table81[Country],Tabela1[[#This Row],[Country]],Table81[Men''s All-Around Classification],"&gt;0")</f>
        <v>0</v>
      </c>
      <c r="FT71" s="6">
        <f>COUNTIFS(Table81[Country],Tabela1[[#This Row],[Country]],Table81[Women''s All-Around Classification],"&gt;0")</f>
        <v>0</v>
      </c>
      <c r="FU71" s="6">
        <f>COUNTIFS(Table48[Country],Tabela1[[#This Row],[Country]],Table48[Balance Beam Classification],"&gt;0")</f>
        <v>0</v>
      </c>
      <c r="FV71" s="6">
        <f>COUNTIFS(Table47[Country],Tabela1[[#This Row],[Country]],Table47[Floor Exercise Classification],"&gt;0")</f>
        <v>0</v>
      </c>
      <c r="FW71" s="6">
        <f>COUNTIFS(Table48[Country],Tabela1[[#This Row],[Country]],Table48[Floor Exercise Classification],"&gt;0")</f>
        <v>0</v>
      </c>
      <c r="FX71" s="6">
        <f>COUNTIFS(Table47[Country],Tabela1[[#This Row],[Country]],Table47[Horizontal Bar Classification],"&gt;0")</f>
        <v>0</v>
      </c>
      <c r="FY71" s="6">
        <f>COUNTIFS(Table47[Country],Tabela1[[#This Row],[Country]],Table47[Parallel Bars Classification],"&gt;0")</f>
        <v>0</v>
      </c>
      <c r="FZ71" s="6">
        <f>COUNTIFS(Table47[Country],Tabela1[[#This Row],[Country]],Table47[Pommel Horse Classification],"&gt;0")</f>
        <v>0</v>
      </c>
      <c r="GA71" s="6">
        <f>COUNTIFS(Table47[Country],Tabela1[[#This Row],[Country]],Table47[Rings Classification],"&gt;0")</f>
        <v>0</v>
      </c>
      <c r="GB71" s="6">
        <f>COUNTIFS(Tabela132[Country],Tabela1[[#This Row],[Country]],Tabela132[Classification],"&gt;0")</f>
        <v>0</v>
      </c>
      <c r="GC71" s="6">
        <f>COUNTIFS(Tabela139[Country],Tabela1[[#This Row],[Country]],Tabela139[Classification],"&gt;0")</f>
        <v>0</v>
      </c>
      <c r="GD71" s="6">
        <f>COUNTIFS(Table48[Country],Tabela1[[#This Row],[Country]],Table48[Uneven Bars Classification],"&gt;0")</f>
        <v>0</v>
      </c>
      <c r="GE71" s="6">
        <f>COUNTIFS(Table47[Country],Tabela1[[#This Row],[Country]],Table47[Vault Classification],"&gt;0")</f>
        <v>0</v>
      </c>
      <c r="GF71" s="6">
        <f>COUNTIFS(Table48[Country],Tabela1[[#This Row],[Country]],Table48[Vault Classification],"&gt;0")</f>
        <v>0</v>
      </c>
      <c r="GG71" s="6">
        <f>COUNTIFS(Table919496[Country],Tabela1[[#This Row],[Country]],Table919496[Men''s Classification],"&gt;0")</f>
        <v>0</v>
      </c>
      <c r="GH71" s="6">
        <f>COUNTIFS(Table919496[Country],Tabela1[[#This Row],[Country]],Table919496[Women''s Classification],"&gt;0")</f>
        <v>0</v>
      </c>
      <c r="GI71" s="6">
        <f>COUNTIFS(Table12[Country],Tabela1[[#This Row],[Country]],Table12[60kg Classification],"&gt;0")</f>
        <v>0</v>
      </c>
      <c r="GJ71" s="6">
        <f>COUNTIFS(Table12[Country],Tabela1[[#This Row],[Country]],Table12[66kg Classification],"&gt;0")</f>
        <v>0</v>
      </c>
      <c r="GK71" s="6">
        <f>COUNTIFS(Table12[Country],Tabela1[[#This Row],[Country]],Table12[73kg Classification],"&gt;0")</f>
        <v>0</v>
      </c>
      <c r="GL71" s="6">
        <f>COUNTIFS(Table12[Country],Tabela1[[#This Row],[Country]],Table12[81kg Classification],"&gt;0")</f>
        <v>0</v>
      </c>
      <c r="GM71" s="6">
        <f>COUNTIFS(Table12[Country],Tabela1[[#This Row],[Country]],Table12[90kg Classification],"&gt;0")</f>
        <v>0</v>
      </c>
      <c r="GN71" s="6">
        <f>COUNTIFS(Table12[Country],Tabela1[[#This Row],[Country]],Table12[100kg Classification],"&gt;0")</f>
        <v>0</v>
      </c>
      <c r="GO71" s="6">
        <f>COUNTIFS(Table12[Country],Tabela1[[#This Row],[Country]],Table12[Plus 100kg Classification],"&gt;0")</f>
        <v>0</v>
      </c>
      <c r="GP71" s="6">
        <f>COUNTIFS(Table13[Country],Tabela1[[#This Row],[Country]],Table13[48kg Classification],"&gt;0")</f>
        <v>0</v>
      </c>
      <c r="GQ71" s="6">
        <f>COUNTIFS(Table13[Country],Tabela1[[#This Row],[Country]],Table13[52kg Classification],"&gt;0")</f>
        <v>0</v>
      </c>
      <c r="GR71" s="6">
        <f>COUNTIFS(Table13[Country],Tabela1[[#This Row],[Country]],Table13[57kg Classification],"&gt;0")</f>
        <v>0</v>
      </c>
      <c r="GS71" s="6">
        <f>COUNTIFS(Table13[Country],Tabela1[[#This Row],[Country]],Table13[63kg Classification],"&gt;0")</f>
        <v>0</v>
      </c>
      <c r="GT71" s="6">
        <f>COUNTIFS(Table13[Country],Tabela1[[#This Row],[Country]],Table13[70kg Classification],"&gt;0")</f>
        <v>0</v>
      </c>
      <c r="GU71" s="6">
        <f>COUNTIFS(Table13[Country],Tabela1[[#This Row],[Country]],Table13[78kg Classification],"&gt;0")</f>
        <v>0</v>
      </c>
      <c r="GV71" s="6">
        <f>COUNTIFS(Table13[Country],Tabela1[[#This Row],[Country]],Table13[Plus 78kg Classification],"&gt;0")</f>
        <v>0</v>
      </c>
      <c r="GW71" s="6">
        <f>COUNTIFS(Table82[Country],Tabela1[[#This Row],[Country]],Table82[Mixed Classification],"&gt;0")</f>
        <v>0</v>
      </c>
      <c r="GX71" s="6">
        <f>COUNTIFS(Table51[Country],Tabela1[[#This Row],[Country]],Table51[Classification],"&gt;0")</f>
        <v>0</v>
      </c>
      <c r="GY71" s="6">
        <f>COUNTIFS(Table52[Country],Tabela1[[#This Row],[Country]],Table52[Classification],"&gt;0")</f>
        <v>0</v>
      </c>
      <c r="GZ71" s="6">
        <f>COUNTIFS(Table32[Country],Tabela1[[#This Row],[Country]],Table32[All-Around Classification],"&gt;0")</f>
        <v>0</v>
      </c>
      <c r="HA71" s="6">
        <f>COUNTIFS(Table49[Country],Tabela1[[#This Row],[Country]],Table49[All-Around Classification],"&gt;0")</f>
        <v>0</v>
      </c>
      <c r="HB71" s="6">
        <f>COUNTIFS(Table26[Country],Tabela1[[#This Row],[Country]],Table26[Single Sculls Classification],"&gt;0")</f>
        <v>0</v>
      </c>
      <c r="HC71" s="6">
        <f>COUNTIFS(Table63[Country],Tabela1[[#This Row],[Country]],Table63[Single Sculls Classification],"&gt;0")</f>
        <v>0</v>
      </c>
      <c r="HD71" s="6">
        <f>COUNTIFS(Table16[Country],Tabela1[[#This Row],[Country]],Table16[Men''s Double Sculls Classification],"&gt;0")</f>
        <v>0</v>
      </c>
      <c r="HE71" s="6">
        <f>COUNTIFS(Table16[Country],Tabela1[[#This Row],[Country]],Table16[Women''s Double Sculls Classification],"&gt;0")</f>
        <v>0</v>
      </c>
      <c r="HF71" s="6">
        <f>COUNTIFS(Table72[Country],Tabela1[[#This Row],[Country]],Table72[Men''s Quadruple Sculls Classification],"&gt;0")</f>
        <v>0</v>
      </c>
      <c r="HG71" s="6">
        <f>COUNTIFS(Table72[Country],Tabela1[[#This Row],[Country]],Table72[Women''s Quadruple Sculls Classification],"&gt;0")</f>
        <v>0</v>
      </c>
      <c r="HH71" s="6">
        <f>COUNTIFS(Table16[Country],Tabela1[[#This Row],[Country]],Table16[Men''s Coxless Pairs Classification],"&gt;0")</f>
        <v>0</v>
      </c>
      <c r="HI71" s="6">
        <f>COUNTIFS(Table16[Country],Tabela1[[#This Row],[Country]],Table16[Women''s Coxless Pairs Classification],"&gt;0")</f>
        <v>0</v>
      </c>
      <c r="HJ71" s="6">
        <f>COUNTIFS(Table72[Country],Tabela1[[#This Row],[Country]],Table72[Men''s Coxless Fours Classification],"&gt;0")</f>
        <v>0</v>
      </c>
      <c r="HK71" s="6">
        <f>COUNTIFS(Table72[Country],Tabela1[[#This Row],[Country]],Table72[Women''s Coxless Fours Classification],"&gt;0")</f>
        <v>0</v>
      </c>
      <c r="HL71" s="6">
        <f>COUNTIFS(Table72[Country],Tabela1[[#This Row],[Country]],Table72[Men''s Eights Classification],"&gt;0")</f>
        <v>0</v>
      </c>
      <c r="HM71" s="6">
        <f>COUNTIFS(Table72[Country],Tabela1[[#This Row],[Country]],Table72[Women''s Eights Classification],"&gt;0")</f>
        <v>0</v>
      </c>
      <c r="HN71" s="6">
        <f>COUNTIFS(Table16[Country],Tabela1[[#This Row],[Country]],Table16[Men''s Lwt. Double Sculls Classification],"&gt;0")</f>
        <v>0</v>
      </c>
      <c r="HO71" s="6">
        <f>COUNTIFS(Table16[Country],Tabela1[[#This Row],[Country]],Table16[Women''s Lwt. Double Sculls Classification],"&gt;0")</f>
        <v>0</v>
      </c>
      <c r="HP71" s="6">
        <f>COUNTIFS(Table91949698[Country],Tabela1[[#This Row],[Country]],Table91949698[Men''s Classification],"&gt;0")</f>
        <v>0</v>
      </c>
      <c r="HQ71" s="6">
        <f>COUNTIFS(Table91949698[Country],Tabela1[[#This Row],[Country]],Table91949698[Women''s Classification],"&gt;0")</f>
        <v>0</v>
      </c>
      <c r="HR71" s="6">
        <f>COUNTIFS(Table25[Country],Tabela1[[#This Row],[Country]],Table25[Mixed 470 Classification],"&gt;0")</f>
        <v>0</v>
      </c>
      <c r="HS71" s="6">
        <f>COUNTIFS(Table25[Country],Tabela1[[#This Row],[Country]],Table25[Men''s 49er Classification],"&gt;0")</f>
        <v>0</v>
      </c>
      <c r="HT71" s="6">
        <f>COUNTIFS(Table25[Country],Tabela1[[#This Row],[Country]],Table25[Women''s 49er FX Classification],"&gt;0")</f>
        <v>0</v>
      </c>
      <c r="HU71" s="6">
        <f>COUNTIFS(Table17[Country],Tabela1[[#This Row],[Country]],Table17[Formula Kite Classification],"&gt;0")</f>
        <v>0</v>
      </c>
      <c r="HV71" s="6">
        <f>COUNTIFS(Table18[Country],Tabela1[[#This Row],[Country]],Table18[Formula Kite Classification],"&gt;0")</f>
        <v>0</v>
      </c>
      <c r="HW71" s="6">
        <f>COUNTIFS(Table17[Country],Tabela1[[#This Row],[Country]],Table17[ILCA 7 Classification],"&gt;0")</f>
        <v>0</v>
      </c>
      <c r="HX71" s="6">
        <f>COUNTIFS(Table18[Country],Tabela1[[#This Row],[Country]],Table18[ILCA 6 Classification],"&gt;0")</f>
        <v>0</v>
      </c>
      <c r="HY71" s="6">
        <f>COUNTIFS(Table17[Country],Tabela1[[#This Row],[Country]],Table17[IQFoil Classification],"&gt;0")</f>
        <v>0</v>
      </c>
      <c r="HZ71" s="6">
        <f>COUNTIFS(Table18[Country],Tabela1[[#This Row],[Country]],Table18[IQFoil Classification],"&gt;0")</f>
        <v>0</v>
      </c>
      <c r="IA71" s="6">
        <f>COUNTIFS(Table25[Country],Tabela1[[#This Row],[Country]],Table25[Mixed Nacra 17 Classification],"&gt;0")</f>
        <v>0</v>
      </c>
      <c r="IB71" s="6">
        <f>COUNTIFS(Table53[Country],Tabela1[[#This Row],[Country]],Table53[10m Air Pistol Classification],"&gt;0")</f>
        <v>0</v>
      </c>
      <c r="IC71" s="6">
        <f>COUNTIFS(Table19[Country],Tabela1[[#This Row],[Country]],Table19[10m Air Pistol Classification],"&gt;0")</f>
        <v>0</v>
      </c>
      <c r="ID71" s="6">
        <f>COUNTIFS(Table54[Country],Tabela1[[#This Row],[Country]],Table54[Mixed 10m Air Pistol Team Classification],"&gt;0")</f>
        <v>0</v>
      </c>
      <c r="IE71" s="6">
        <f>COUNTIFS(Table53[Country],Tabela1[[#This Row],[Country]],Table53[10m Air Rifle Classification],"&gt;0")</f>
        <v>0</v>
      </c>
      <c r="IF71" s="6">
        <f>COUNTIFS(Table19[Country],Tabela1[[#This Row],[Country]],Table19[10m Air Rifle Classification],"&gt;0")</f>
        <v>0</v>
      </c>
      <c r="IG71" s="6">
        <f>COUNTIFS(Table54[Country],Tabela1[[#This Row],[Country]],Table54[Mixed 10m Air Rifle Team Classification],"&gt;0")</f>
        <v>0</v>
      </c>
      <c r="IH71" s="6">
        <f>COUNTIFS(Table53[Country],Tabela1[[#This Row],[Country]],Table53[25m Rapid Fire Pistol Classification],"&gt;0")</f>
        <v>0</v>
      </c>
      <c r="II71" s="6">
        <f>COUNTIFS(Table19[Country],Tabela1[[#This Row],[Country]],Table19[25m Pistol Classification],"&gt;0")</f>
        <v>0</v>
      </c>
      <c r="IJ71" s="6">
        <f>COUNTIFS(Table53[Country],Tabela1[[#This Row],[Country]],Table53[50m Rifle 3 Positions Classification],"&gt;0")</f>
        <v>0</v>
      </c>
      <c r="IK71" s="6">
        <f>COUNTIFS(Table19[Country],Tabela1[[#This Row],[Country]],Table19[50m Rifle 3 Positions Classification],"&gt;0")</f>
        <v>0</v>
      </c>
      <c r="IL71" s="6">
        <f>COUNTIFS(Table53[Country],Tabela1[[#This Row],[Country]],Table53[Skeet Classification],"&gt;0")</f>
        <v>0</v>
      </c>
      <c r="IM71" s="6">
        <f>COUNTIFS(Table19[Country],Tabela1[[#This Row],[Country]],Table19[Skeet Classification],"&gt;0")</f>
        <v>0</v>
      </c>
      <c r="IN71" s="6">
        <f>COUNTIFS(Table54[Country],Tabela1[[#This Row],[Country]],Table54[Mixed Skeet Team Classification],"&gt;0")</f>
        <v>0</v>
      </c>
      <c r="IO71" s="6">
        <f>COUNTIFS(Table53[Country],Tabela1[[#This Row],[Country]],Table53[Trap Classification],"&gt;0")</f>
        <v>0</v>
      </c>
      <c r="IP71" s="6">
        <f>COUNTIFS(Table19[Country],Tabela1[[#This Row],[Country]],Table19[Trap Classification],"&gt;0")</f>
        <v>0</v>
      </c>
      <c r="IQ71" s="6">
        <f>COUNTIFS(Table73[Country],Tabela1[[#This Row],[Country]],Table73[Park Classification],"&gt;0")</f>
        <v>0</v>
      </c>
      <c r="IR71" s="6">
        <f>COUNTIFS(Table74[Country],Tabela1[[#This Row],[Country]],Table74[Park Classification],"&gt;0")</f>
        <v>0</v>
      </c>
      <c r="IS71" s="6">
        <f>COUNTIFS(Table73[Country],Tabela1[[#This Row],[Country]],Table73[Street Classification],"&gt;0")</f>
        <v>0</v>
      </c>
      <c r="IT71" s="6">
        <f>COUNTIFS(Table74[Country],Tabela1[[#This Row],[Country]],Table74[Street Classification],"&gt;0")</f>
        <v>0</v>
      </c>
      <c r="IU71" s="6">
        <f>COUNTIFS(Table75[Country],Tabela1[[#This Row],[Country]],Table75[Boulder and Lead Classification],"&gt;0")</f>
        <v>0</v>
      </c>
      <c r="IV71" s="6">
        <f>COUNTIFS(Table76[Country],Tabela1[[#This Row],[Country]],Table76[Boulder and Lead Classification],"&gt;0")</f>
        <v>0</v>
      </c>
      <c r="IW71" s="6">
        <f>COUNTIFS(Table75[Country],Tabela1[[#This Row],[Country]],Table75[Speed Classification],"&gt;0")</f>
        <v>0</v>
      </c>
      <c r="IX71" s="6">
        <f>COUNTIFS(Table76[Country],Tabela1[[#This Row],[Country]],Table76[Speed Classification],"&gt;0")</f>
        <v>0</v>
      </c>
      <c r="IY71" s="6">
        <f>COUNTIFS(Table64[Country],Tabela1[[#This Row],[Country]],Table64[Shortboard Classification],"&gt;0")</f>
        <v>0</v>
      </c>
      <c r="IZ71" s="6">
        <f>COUNTIFS(Table77[Country],Tabela1[[#This Row],[Country]],Table77[Shortboard Classification],"&gt;0")</f>
        <v>0</v>
      </c>
      <c r="JA71" s="6">
        <f>COUNTIFS(Table20[Country],Tabela1[[#This Row],[Country]],Table20[50m Freestyle Classification],"&gt;0")</f>
        <v>0</v>
      </c>
      <c r="JB71" s="6">
        <f>COUNTIFS(Table21[Country],Tabela1[[#This Row],[Country]],Table21[50m Freestyle Classification],"&gt;0")</f>
        <v>0</v>
      </c>
      <c r="JC71" s="6">
        <f>COUNTIFS(Table20[Country],Tabela1[[#This Row],[Country]],Table20[100m Freestyle Classification],"&gt;0")</f>
        <v>0</v>
      </c>
      <c r="JD71" s="6">
        <f>COUNTIFS(Table21[Country],Tabela1[[#This Row],[Country]],Table21[100m Freestyle Classification],"&gt;0")</f>
        <v>1</v>
      </c>
      <c r="JE71" s="6">
        <f>COUNTIFS(Table20[Country],Tabela1[[#This Row],[Country]],Table20[200m Freestyle Classification],"&gt;0")</f>
        <v>0</v>
      </c>
      <c r="JF71" s="6">
        <f>COUNTIFS(Table21[Country],Tabela1[[#This Row],[Country]],Table21[200m Freestyle Classification],"&gt;0")</f>
        <v>0</v>
      </c>
      <c r="JG71" s="6">
        <f>COUNTIFS(Table20[Country],Tabela1[[#This Row],[Country]],Table20[400m Freestyle Classification],"&gt;0")</f>
        <v>0</v>
      </c>
      <c r="JH71" s="6">
        <f>COUNTIFS(Table21[Country],Tabela1[[#This Row],[Country]],Table21[400m Freestyle Classification],"&gt;0")</f>
        <v>0</v>
      </c>
      <c r="JI71" s="6">
        <f>COUNTIFS(Table20[Country],Tabela1[[#This Row],[Country]],Table20[800m Freestyle Classification],"&gt;0")</f>
        <v>0</v>
      </c>
      <c r="JJ71" s="6">
        <f>COUNTIFS(Table21[Country],Tabela1[[#This Row],[Country]],Table21[800m Freestyle Classification],"&gt;0")</f>
        <v>0</v>
      </c>
      <c r="JK71" s="6">
        <f>COUNTIFS(Table20[Country],Tabela1[[#This Row],[Country]],Table20[1500m Freestyle Classification],"&gt;0")</f>
        <v>0</v>
      </c>
      <c r="JL71" s="6">
        <f>COUNTIFS(Table21[Country],Tabela1[[#This Row],[Country]],Table21[1500m Freestyle Classification],"&gt;0")</f>
        <v>0</v>
      </c>
      <c r="JM71" s="6">
        <f>COUNTIFS(Table20[Country],Tabela1[[#This Row],[Country]],Table20[100m Backstroke Classification],"&gt;0")</f>
        <v>0</v>
      </c>
      <c r="JN71" s="6">
        <f>COUNTIFS(Table21[Country],Tabela1[[#This Row],[Country]],Table21[100m Backstroke Classification],"&gt;0")</f>
        <v>0</v>
      </c>
      <c r="JO71" s="6">
        <f>COUNTIFS(Table20[Country],Tabela1[[#This Row],[Country]],Table20[200m Backstroke Classification],"&gt;0")</f>
        <v>0</v>
      </c>
      <c r="JP71" s="6">
        <f>COUNTIFS(Table21[Country],Tabela1[[#This Row],[Country]],Table21[200m Backstroke Classification],"&gt;0")</f>
        <v>0</v>
      </c>
      <c r="JQ71" s="6">
        <f>COUNTIFS(Table20[Country],Tabela1[[#This Row],[Country]],Table20[100m Breaststroke Classification],"&gt;0")</f>
        <v>0</v>
      </c>
      <c r="JR71" s="6">
        <f>COUNTIFS(Table21[Country],Tabela1[[#This Row],[Country]],Table21[100m Breaststroke Classification],"&gt;0")</f>
        <v>0</v>
      </c>
      <c r="JS71" s="6">
        <f>COUNTIFS(Table20[Country],Tabela1[[#This Row],[Country]],Table20[200m Breaststroke Classification],"&gt;0")</f>
        <v>0</v>
      </c>
      <c r="JT71" s="6">
        <f>COUNTIFS(Table21[Country],Tabela1[[#This Row],[Country]],Table21[200m Breaststroke Classification],"&gt;0")</f>
        <v>0</v>
      </c>
      <c r="JU71" s="6">
        <f>COUNTIFS(Table20[Country],Tabela1[[#This Row],[Country]],Table20[100m Butterfly Classification],"&gt;0")</f>
        <v>0</v>
      </c>
      <c r="JV71" s="6">
        <f>COUNTIFS(Table21[Country],Tabela1[[#This Row],[Country]],Table21[100m Butterfly Classification],"&gt;0")</f>
        <v>0</v>
      </c>
      <c r="JW71" s="6">
        <f>COUNTIFS(Table20[Country],Tabela1[[#This Row],[Country]],Table20[200m Butterfly Classification],"&gt;0")</f>
        <v>0</v>
      </c>
      <c r="JX71" s="6">
        <f>COUNTIFS(Table21[Country],Tabela1[[#This Row],[Country]],Table21[200m Butterfly Classification],"&gt;0")</f>
        <v>0</v>
      </c>
      <c r="JY71" s="6">
        <f>COUNTIFS(Table20[Country],Tabela1[[#This Row],[Country]],Table20[200m Medley Classification],"&gt;0")</f>
        <v>0</v>
      </c>
      <c r="JZ71" s="6">
        <f>COUNTIFS(Table21[Country],Tabela1[[#This Row],[Country]],Table21[200m Medley Classification],"&gt;0")</f>
        <v>0</v>
      </c>
      <c r="KA71" s="6">
        <f>COUNTIFS(Table20[Country],Tabela1[[#This Row],[Country]],Table20[400m Medley Classification],"&gt;0")</f>
        <v>0</v>
      </c>
      <c r="KB71" s="6">
        <f>COUNTIFS(Table21[Country],Tabela1[[#This Row],[Country]],Table21[400m Medley Classification],"&gt;0")</f>
        <v>0</v>
      </c>
      <c r="KC71" s="6">
        <f>COUNTIFS(Table78[Country],Tabela1[[#This Row],[Country]],Table78[Men''s 4x100m Freestyle Relay Classification],"&gt;0")</f>
        <v>0</v>
      </c>
      <c r="KD71" s="6">
        <f>COUNTIFS(Table78[Country],Tabela1[[#This Row],[Country]],Table78[Women''s 4x100m Freestyle Relay Classification],"&gt;0")</f>
        <v>0</v>
      </c>
      <c r="KE71" s="6">
        <f>COUNTIFS(Table78[Country],Tabela1[[#This Row],[Country]],Table78[Men''s 4x200m Freestyle Relay Classification],"&gt;0")</f>
        <v>0</v>
      </c>
      <c r="KF71" s="6">
        <f>COUNTIFS(Table78[Country],Tabela1[[#This Row],[Country]],Table78[Women''s 4x200m Freestyle Relay Classification],"&gt;0")</f>
        <v>0</v>
      </c>
      <c r="KG71" s="6">
        <f>COUNTIFS(Table78[Country],Tabela1[[#This Row],[Country]],Table78[Men''s 4x100m Medley Relay Classification],"&gt;0")</f>
        <v>0</v>
      </c>
      <c r="KH71" s="6">
        <f>COUNTIFS(Table78[Country],Tabela1[[#This Row],[Country]],Table78[Women''s 4x100m Medley Relay Classification],"&gt;0")</f>
        <v>0</v>
      </c>
      <c r="KI71" s="6">
        <f>COUNTIFS(Table78[Country],Tabela1[[#This Row],[Country]],Table78[Mixed 4x100m Medley Relay Classification],"&gt;0")</f>
        <v>0</v>
      </c>
      <c r="KJ71" s="6">
        <f>COUNTIFS(Table20[Country],Tabela1[[#This Row],[Country]],Table20[10km Open Water Classification],"&gt;0")</f>
        <v>0</v>
      </c>
      <c r="KK71" s="6">
        <f>COUNTIFS(Table21[Country],Tabela1[[#This Row],[Country]],Table21[10km Open Water Classification],"&gt;0")</f>
        <v>0</v>
      </c>
      <c r="KL71" s="6">
        <f>COUNTIFS(Table22[Country],Tabela1[[#This Row],[Country]],Table22[Classification],"&gt;0")</f>
        <v>0</v>
      </c>
      <c r="KM71" s="6">
        <f>COUNTIFS(Table30[Country],Tabela1[[#This Row],[Country]],Table30[Classification],"&gt;0")</f>
        <v>0</v>
      </c>
      <c r="KN71" s="6">
        <f>COUNTIFS(Table55[Country],Tabela1[[#This Row],[Country]],Table55[Men''s Classification],"&gt;0")</f>
        <v>0</v>
      </c>
      <c r="KO71" s="6">
        <f>COUNTIFS(Table55[Country],Tabela1[[#This Row],[Country]],Table55[Women''s Classification],"&gt;0")</f>
        <v>0</v>
      </c>
      <c r="KP71" s="6">
        <f>COUNTIFS(Table56[Country],Tabela1[[#This Row],[Country]],Table56[Mixed Classification],"&gt;0")</f>
        <v>0</v>
      </c>
      <c r="KQ71" s="6">
        <f>COUNTIFS(Table29[Country],Tabela1[[#This Row],[Country]],Table29[58kg Classification],"&gt;0")</f>
        <v>0</v>
      </c>
      <c r="KR71" s="6">
        <f>COUNTIFS(Table29[Country],Tabela1[[#This Row],[Country]],Table29[68kg Classification],"&gt;0")</f>
        <v>0</v>
      </c>
      <c r="KS71" s="6">
        <f>COUNTIFS(Table29[Country],Tabela1[[#This Row],[Country]],Table29[80kg Classification],"&gt;0")</f>
        <v>0</v>
      </c>
      <c r="KT71" s="6">
        <f>COUNTIFS(Table29[Country],Tabela1[[#This Row],[Country]],Table29[Plus 80kg Classification],"&gt;0")</f>
        <v>0</v>
      </c>
      <c r="KU71" s="6">
        <f>COUNTIFS(Table34[Country],Tabela1[[#This Row],[Country]],Table34[49kg Classification],"&gt;0")</f>
        <v>0</v>
      </c>
      <c r="KV71" s="6">
        <f>COUNTIFS(Table34[Country],Tabela1[[#This Row],[Country]],Table34[57kg Classification],"&gt;0")</f>
        <v>0</v>
      </c>
      <c r="KW71" s="6">
        <f>COUNTIFS(Table34[Country],Tabela1[[#This Row],[Country]],Table34[67kg Classification],"&gt;0")</f>
        <v>0</v>
      </c>
      <c r="KX71" s="6">
        <f>COUNTIFS(Table34[Country],Tabela1[[#This Row],[Country]],Table34[Plus 67kg Classification],"&gt;0")</f>
        <v>0</v>
      </c>
      <c r="KY71" s="6">
        <f>COUNTIFS(Table57[Country],Tabela1[[#This Row],[Country]],Table57[Classification],"&gt;0")</f>
        <v>0</v>
      </c>
      <c r="KZ71" s="6">
        <f>COUNTIFS(Table58[Country],Tabela1[[#This Row],[Country]],Table58[Classification],"&gt;0")</f>
        <v>0</v>
      </c>
      <c r="LA71" s="6">
        <f>COUNTIFS(Table79[Country],Tabela1[[#This Row],[Country]],Table79[Men''s Classification],"&gt;0")</f>
        <v>0</v>
      </c>
      <c r="LB71" s="6">
        <f>COUNTIFS(Table79[Country],Tabela1[[#This Row],[Country]],Table79[Women''s Classification],"&gt;0")</f>
        <v>0</v>
      </c>
      <c r="LC71" s="6">
        <f>COUNTIFS(Table79[Country],Tabela1[[#This Row],[Country]],Table79[Mixed Classification],"&gt;0")</f>
        <v>0</v>
      </c>
      <c r="LD71" s="6">
        <f>COUNTIFS(Table65[Country],Tabela1[[#This Row],[Country]],Table65[Classification],"&gt;0")</f>
        <v>0</v>
      </c>
      <c r="LE71" s="6">
        <f>COUNTIFS(Table59[Country],Tabela1[[#This Row],[Country]],Table59[Classification],"&gt;0")</f>
        <v>0</v>
      </c>
      <c r="LF71" s="6">
        <f>COUNTIFS(Table87[Country],Tabela1[[#This Row],[Country]],Table87[Mixed Relay Classification],"&gt;0")</f>
        <v>0</v>
      </c>
      <c r="LG71" s="6">
        <f>COUNTIFS(Table91949698100[Country],Tabela1[[#This Row],[Country]],Table91949698100[Men''s Classification],"&gt;0")</f>
        <v>0</v>
      </c>
      <c r="LH71" s="6">
        <f>COUNTIFS(Table91949698100[Country],Tabela1[[#This Row],[Country]],Table91949698100[Women''s Classification],"&gt;0")</f>
        <v>0</v>
      </c>
      <c r="LI71" s="6">
        <f>COUNTIFS(Table91949698100102[Country],Tabela1[[#This Row],[Country]],Table91949698100102[Men''s Classification],"&gt;0")</f>
        <v>0</v>
      </c>
      <c r="LJ71" s="6">
        <f>COUNTIFS(Table91949698100102[Country],Tabela1[[#This Row],[Country]],Table91949698100102[Women''s Classification],"&gt;0")</f>
        <v>0</v>
      </c>
      <c r="LK71" s="6">
        <f>COUNTIFS(Table23[Country],Tabela1[[#This Row],[Country]],Table23[61kg Classification],"&gt;0")</f>
        <v>0</v>
      </c>
      <c r="LL71" s="6">
        <f>COUNTIFS(Table23[Country],Tabela1[[#This Row],[Country]],Table23[73kg Classification],"&gt;0")</f>
        <v>0</v>
      </c>
      <c r="LM71" s="6">
        <f>COUNTIFS(Table23[Country],Tabela1[[#This Row],[Country]],Table23[89kg Classification],"&gt;0")</f>
        <v>0</v>
      </c>
      <c r="LN71" s="6">
        <f>COUNTIFS(Table23[Country],Tabela1[[#This Row],[Country]],Table23[102kg Classification],"&gt;0")</f>
        <v>0</v>
      </c>
      <c r="LO71" s="6">
        <f>COUNTIFS(Table23[Country],Tabela1[[#This Row],[Country]],Table23[Plus 102kg Classification],"&gt;0")</f>
        <v>0</v>
      </c>
      <c r="LP71" s="6">
        <f>COUNTIFS(Table28[Country],Tabela1[[#This Row],[Country]],Table28[49kg Classification],"&gt;0")</f>
        <v>0</v>
      </c>
      <c r="LQ71" s="6">
        <f>COUNTIFS(Table28[Country],Tabela1[[#This Row],[Country]],Table28[59kg Classification],"&gt;0")</f>
        <v>0</v>
      </c>
      <c r="LR71" s="6">
        <f>COUNTIFS(Table28[Country],Tabela1[[#This Row],[Country]],Table28[71kg Classification],"&gt;0")</f>
        <v>0</v>
      </c>
      <c r="LS71" s="6">
        <f>COUNTIFS(Table28[Country],Tabela1[[#This Row],[Country]],Table28[81kg Classification],"&gt;0")</f>
        <v>0</v>
      </c>
      <c r="LT71" s="6">
        <f>COUNTIFS(Table28[Country],Tabela1[[#This Row],[Country]],Table28[Plus 81kg Classification],"&gt;0")</f>
        <v>0</v>
      </c>
      <c r="LU71" s="6">
        <f>COUNTIFS(Table24[Country],Tabela1[[#This Row],[Country]],Table24[Freestyle 57kg Classification],"&gt;0")</f>
        <v>0</v>
      </c>
      <c r="LV71" s="6">
        <f>COUNTIFS(Table24[Country],Tabela1[[#This Row],[Country]],Table24[Freestyle 65kg Classification],"&gt;0")</f>
        <v>0</v>
      </c>
      <c r="LW71" s="6">
        <f>COUNTIFS(Table24[Country],Tabela1[[#This Row],[Country]],Table24[Freestyle 74kg Classification],"&gt;0")</f>
        <v>0</v>
      </c>
      <c r="LX71" s="6">
        <f>COUNTIFS(Table24[Country],Tabela1[[#This Row],[Country]],Table24[Freestyle 86kg Classification],"&gt;0")</f>
        <v>0</v>
      </c>
      <c r="LY71" s="6">
        <f>COUNTIFS(Table24[Country],Tabela1[[#This Row],[Country]],Table24[Freestyle 97kg Classification],"&gt;0")</f>
        <v>0</v>
      </c>
      <c r="LZ71" s="6">
        <f>COUNTIFS(Table24[Country],Tabela1[[#This Row],[Country]],Table24[Freestyle 125kg Classification],"&gt;0")</f>
        <v>0</v>
      </c>
      <c r="MA71" s="6">
        <f>COUNTIFS(Table24[Country],Tabela1[[#This Row],[Country]],Table24[Greco-Roman 60kg Classification],"&gt;0")</f>
        <v>0</v>
      </c>
      <c r="MB71" s="6">
        <f>COUNTIFS(Table24[Country],Tabela1[[#This Row],[Country]],Table24[Greco-Roman 67kg Classification],"&gt;0")</f>
        <v>0</v>
      </c>
      <c r="MC71" s="6">
        <f>COUNTIFS(Table24[Country],Tabela1[[#This Row],[Country]],Table24[Greco-Roman 77kg Classification],"&gt;0")</f>
        <v>0</v>
      </c>
      <c r="MD71" s="6">
        <f>COUNTIFS(Table24[Country],Tabela1[[#This Row],[Country]],Table24[Greco-Roman 87kg Classification],"&gt;0")</f>
        <v>0</v>
      </c>
      <c r="ME71" s="6">
        <f>COUNTIFS(Table24[Country],Tabela1[[#This Row],[Country]],Table24[Greco-Roman 97kg Classification],"&gt;0")</f>
        <v>0</v>
      </c>
      <c r="MF71" s="6">
        <f>COUNTIFS(Table24[Country],Tabela1[[#This Row],[Country]],Table24[Greco-Roman 130kg Classification],"&gt;0")</f>
        <v>0</v>
      </c>
      <c r="MG71" s="6">
        <f>COUNTIFS(Table31[Country],Tabela1[[#This Row],[Country]],Table31[50kg Classification],"&gt;0")</f>
        <v>0</v>
      </c>
      <c r="MH71" s="6">
        <f>COUNTIFS(Table31[Country],Tabela1[[#This Row],[Country]],Table31[53kg Classification],"&gt;0")</f>
        <v>0</v>
      </c>
      <c r="MI71" s="6">
        <f>COUNTIFS(Table31[Country],Tabela1[[#This Row],[Country]],Table31[57kg Classification],"&gt;0")</f>
        <v>0</v>
      </c>
      <c r="MJ71" s="6">
        <f>COUNTIFS(Table31[Country],Tabela1[[#This Row],[Country]],Table31[62kg Classification],"&gt;0")</f>
        <v>0</v>
      </c>
      <c r="MK71" s="6">
        <f>COUNTIFS(Table31[Country],Tabela1[[#This Row],[Country]],Table31[68kg Classification],"&gt;0")</f>
        <v>0</v>
      </c>
      <c r="ML71" s="6">
        <f>COUNTIFS(Table31[Country],Tabela1[[#This Row],[Country]],Table31[76kg Classification],"&gt;0")</f>
        <v>0</v>
      </c>
      <c r="MM71" s="6">
        <f>COUNTIFS(Table102[Country],Tabela1[[#This Row],[Country]],Table102[Downhill Classification],"&gt;0")</f>
        <v>0</v>
      </c>
      <c r="MN71" s="6">
        <f>COUNTIFS(Table102105[Country],Tabela1[[#This Row],[Country]],Table102105[Downhill Classification],"&gt;0")</f>
        <v>0</v>
      </c>
      <c r="MO71" s="6">
        <f>COUNTIFS(Table102[Country],Tabela1[[#This Row],[Country]],Table102[Giant Slalom Classification],"&gt;0")</f>
        <v>0</v>
      </c>
      <c r="MP71" s="6">
        <f>COUNTIFS(Table102105[Country],Tabela1[[#This Row],[Country]],Table102105[Giant Slalom Classification],"&gt;0")</f>
        <v>0</v>
      </c>
      <c r="MQ71" s="6">
        <f>COUNTIFS(Table102[Country],Tabela1[[#This Row],[Country]],Table102[Slalom Classification],"&gt;0")</f>
        <v>0</v>
      </c>
      <c r="MR71" s="6">
        <f>COUNTIFS(Table102105[Country],Tabela1[[#This Row],[Country]],Table102105[Slalom Classification],"&gt;0")</f>
        <v>0</v>
      </c>
      <c r="MS71" s="6">
        <f>COUNTIFS(Table102[Country],Tabela1[[#This Row],[Country]],Table102[Super-G Classification],"&gt;0")</f>
        <v>0</v>
      </c>
      <c r="MT71" s="6">
        <f>COUNTIFS(Table102105[Country],Tabela1[[#This Row],[Country]],Table102105[Super-G Classification],"&gt;0")</f>
        <v>0</v>
      </c>
      <c r="MU71" s="6">
        <f>COUNTIFS(Table105[Country],Tabela1[[#This Row],[Country]],Table105[Men''s Combined Classification],"&gt;0")</f>
        <v>0</v>
      </c>
      <c r="MV71" s="6">
        <f>COUNTIFS(Table105[Country],Tabela1[[#This Row],[Country]],Table105[Women''s Combined Classification],"&gt;0")</f>
        <v>0</v>
      </c>
      <c r="MW71" s="6">
        <f>COUNTIFS(Table106[Country],Tabela1[[#This Row],[Country]],Table106[Individual Classification],"&gt;0")</f>
        <v>0</v>
      </c>
      <c r="MX71" s="6">
        <f>COUNTIFS(Table106109[Country],Tabela1[[#This Row],[Country]],Table106109[Individual Classification],"&gt;0")</f>
        <v>0</v>
      </c>
      <c r="MY71" s="6">
        <f>COUNTIFS(Table106[Country],Tabela1[[#This Row],[Country]],Table106[Mass Start Classification],"&gt;0")</f>
        <v>0</v>
      </c>
      <c r="MZ71" s="6">
        <f>COUNTIFS(Table106109[Country],Tabela1[[#This Row],[Country]],Table106109[Mass Start Classification],"&gt;0")</f>
        <v>0</v>
      </c>
      <c r="NA71" s="6">
        <f>COUNTIFS(Table106[Country],Tabela1[[#This Row],[Country]],Table106[Pursuit Classification],"&gt;0")</f>
        <v>0</v>
      </c>
      <c r="NB71" s="6">
        <f>COUNTIFS(Table106109[Country],Tabela1[[#This Row],[Country]],Table106109[Pursuit Classification],"&gt;0")</f>
        <v>0</v>
      </c>
      <c r="NC71" s="6">
        <f>COUNTIFS(Table106[Country],Tabela1[[#This Row],[Country]],Table106[Sprint Classification],"&gt;0")</f>
        <v>0</v>
      </c>
      <c r="ND71" s="6">
        <f>COUNTIFS(Table106109[Country],Tabela1[[#This Row],[Country]],Table106109[Sprint Classification],"&gt;0")</f>
        <v>0</v>
      </c>
      <c r="NE71" s="6">
        <f>COUNTIFS(Table109[Country],Tabela1[[#This Row],[Country]],Table109[Men''s Relay Classification],"&gt;0")</f>
        <v>0</v>
      </c>
      <c r="NF71" s="6">
        <f>COUNTIFS(Table109[Country],Tabela1[[#This Row],[Country]],Table109[Women''s Relay Classification],"&gt;0")</f>
        <v>0</v>
      </c>
      <c r="NG71" s="6">
        <f>COUNTIFS(Table109[Country],Tabela1[[#This Row],[Country]],Table109[Mixed Relay Classification],"&gt;0")</f>
        <v>0</v>
      </c>
      <c r="NH71" s="6">
        <f>COUNTIFS(Table110[Country],Tabela1[[#This Row],[Country]],Table110[Monobob Classification],"&gt;0")</f>
        <v>0</v>
      </c>
      <c r="NI71" s="6">
        <f>COUNTIFS(Table111[Country],Tabela1[[#This Row],[Country]],Table111[Men''s Classification],"&gt;0")</f>
        <v>0</v>
      </c>
      <c r="NJ71" s="6">
        <f>COUNTIFS(Table111[Country],Tabela1[[#This Row],[Country]],Table111[Women''s Classification],"&gt;0")</f>
        <v>0</v>
      </c>
      <c r="NK71" s="6">
        <f>COUNTIFS(Table112[Country],Tabela1[[#This Row],[Country]],Table112[Men''s Four Classification],"&gt;0")</f>
        <v>0</v>
      </c>
      <c r="NL71" s="6">
        <f>COUNTIFS(Table113[Country],Tabela1[[#This Row],[Country]],Table113[Classical Classification],"&gt;0")</f>
        <v>0</v>
      </c>
      <c r="NM71" s="6">
        <f>COUNTIFS(Table113116[Country],Tabela1[[#This Row],[Country]],Table113116[Classical Classification],"&gt;0")</f>
        <v>0</v>
      </c>
      <c r="NN71" s="6">
        <f>COUNTIFS(Table113[Country],Tabela1[[#This Row],[Country]],Table113[Freestyle Classification],"&gt;0")</f>
        <v>0</v>
      </c>
      <c r="NO71" s="6">
        <f>COUNTIFS(Table113116[Country],Tabela1[[#This Row],[Country]],Table113116[Freestyle Classification],"&gt;0")</f>
        <v>0</v>
      </c>
      <c r="NP71" s="6">
        <f>COUNTIFS(Table117[Country],Tabela1[[#This Row],[Country]],Table117[Men''s Relay Classification],"&gt;0")</f>
        <v>0</v>
      </c>
      <c r="NQ71" s="6">
        <f>COUNTIFS(Table117[Country],Tabela1[[#This Row],[Country]],Table117[Women''s Relay Classification],"&gt;0")</f>
        <v>0</v>
      </c>
      <c r="NR71" s="6">
        <f>COUNTIFS(Table113[Country],Tabela1[[#This Row],[Country]],Table113[Skiathlon Classification],"&gt;0")</f>
        <v>0</v>
      </c>
      <c r="NS71" s="6">
        <f>COUNTIFS(Table113116[Country],Tabela1[[#This Row],[Country]],Table113116[Skiathlon Classification],"&gt;0")</f>
        <v>0</v>
      </c>
      <c r="NT71" s="6">
        <f>COUNTIFS(Table113[Country],Tabela1[[#This Row],[Country]],Table113[Sprint Classification],"&gt;0")</f>
        <v>0</v>
      </c>
      <c r="NU71" s="6">
        <f>COUNTIFS(Table113116[Country],Tabela1[[#This Row],[Country]],Table113116[Sprint Classification],"&gt;0")</f>
        <v>0</v>
      </c>
      <c r="NV71" s="6">
        <f>COUNTIFS(Table116[Country],Tabela1[[#This Row],[Country]],Table116[Men''s Team Sprint Classification],"&gt;0")</f>
        <v>0</v>
      </c>
      <c r="NW71" s="6">
        <f>COUNTIFS(Table116[Country],Tabela1[[#This Row],[Country]],Table116[Women''s Team Sprint Classification],"&gt;0")</f>
        <v>0</v>
      </c>
      <c r="NX71" s="6">
        <f>COUNTIFS(Table119[Country],Tabela1[[#This Row],[Country]],Table119[Men''s Classification],"&gt;0")</f>
        <v>0</v>
      </c>
      <c r="NY71" s="6">
        <f>COUNTIFS(Table119[Country],Tabela1[[#This Row],[Country]],Table119[Women''s Classification],"&gt;0")</f>
        <v>0</v>
      </c>
      <c r="NZ71" s="6">
        <f>COUNTIFS(Table118[Country],Tabela1[[#This Row],[Country]],Table118[Mixed Classification],"&gt;0")</f>
        <v>0</v>
      </c>
      <c r="OA71" s="6">
        <f>COUNTIFS(Table120[Country],Tabela1[[#This Row],[Country]],Table120[Classification],"&gt;0")</f>
        <v>0</v>
      </c>
      <c r="OB71" s="6">
        <f>COUNTIFS(Table120123[Country],Tabela1[[#This Row],[Country]],Table120123[Classification],"&gt;0")</f>
        <v>0</v>
      </c>
      <c r="OC71" s="6">
        <f>COUNTIFS(Table123[Country],Tabela1[[#This Row],[Country]],Table123[Ice Dance Classification],"&gt;0")</f>
        <v>0</v>
      </c>
      <c r="OD71" s="6">
        <f>COUNTIFS(Table123[Country],Tabela1[[#This Row],[Country]],Table123[Pair Skating Classification],"&gt;0")</f>
        <v>0</v>
      </c>
      <c r="OE71" s="6">
        <f>COUNTIFS(Table124[Country],Tabela1[[#This Row],[Country]],Table124[Mixed Classification],"&gt;0")</f>
        <v>0</v>
      </c>
      <c r="OF71" s="6">
        <f>COUNTIFS(Table125[Country],Tabela1[[#This Row],[Country]],Table125[Aerials Classification],"&gt;0")</f>
        <v>0</v>
      </c>
      <c r="OG71" s="6">
        <f>COUNTIFS(Table125128[Country],Tabela1[[#This Row],[Country]],Table125128[Aerials Classification],"&gt;0")</f>
        <v>0</v>
      </c>
      <c r="OH71" s="6">
        <f>COUNTIFS(Table128[Country],Tabela1[[#This Row],[Country]],Table128[Mixed Aerials Classification],"&gt;0")</f>
        <v>0</v>
      </c>
      <c r="OI71" s="6">
        <f>COUNTIFS(Table125[Country],Tabela1[[#This Row],[Country]],Table125[Big Air Classification],"&gt;0")</f>
        <v>0</v>
      </c>
      <c r="OJ71" s="6">
        <f>COUNTIFS(Table125128[Country],Tabela1[[#This Row],[Country]],Table125128[Big Air Classification],"&gt;0")</f>
        <v>0</v>
      </c>
      <c r="OK71" s="6">
        <f>COUNTIFS(Table125[Country],Tabela1[[#This Row],[Country]],Table125[Dual Moguls Classification],"&gt;0")</f>
        <v>0</v>
      </c>
      <c r="OL71" s="6">
        <f>COUNTIFS(Table125128[Country],Tabela1[[#This Row],[Country]],Table125128[Dual Moguls Classification],"&gt;0")</f>
        <v>0</v>
      </c>
      <c r="OM71" s="6">
        <f>COUNTIFS(Table125[Country],Tabela1[[#This Row],[Country]],Table125[Halfpipe Classification],"&gt;0")</f>
        <v>0</v>
      </c>
      <c r="ON71" s="6">
        <f>COUNTIFS(Table125128[Country],Tabela1[[#This Row],[Country]],Table125128[Halfpipe Classification],"&gt;0")</f>
        <v>0</v>
      </c>
      <c r="OO71" s="6">
        <f>COUNTIFS(Table125[Country],Tabela1[[#This Row],[Country]],Table125[Moguls Classification],"&gt;0")</f>
        <v>0</v>
      </c>
      <c r="OP71" s="6">
        <f>COUNTIFS(Table125128[Country],Tabela1[[#This Row],[Country]],Table125128[Moguls Classification],"&gt;0")</f>
        <v>0</v>
      </c>
      <c r="OQ71" s="6">
        <f>COUNTIFS(Table125[Country],Tabela1[[#This Row],[Country]],Table125[Ski Cross Classification],"&gt;0")</f>
        <v>0</v>
      </c>
      <c r="OR71" s="6">
        <f>COUNTIFS(Table125128[Country],Tabela1[[#This Row],[Country]],Table125128[Ski Cross Classification],"&gt;0")</f>
        <v>0</v>
      </c>
      <c r="OS71" s="6">
        <f>COUNTIFS(Table125[Country],Tabela1[[#This Row],[Country]],Table125[Slopestyle Classification],"&gt;0")</f>
        <v>0</v>
      </c>
      <c r="OT71" s="6">
        <f>COUNTIFS(Table125128[Country],Tabela1[[#This Row],[Country]],Table125128[Slopestyle Classification],"&gt;0")</f>
        <v>0</v>
      </c>
      <c r="OU71" s="6">
        <f>COUNTIFS(Table119131[Country],Tabela1[[#This Row],[Country]],Table119131[Men''s Classification],"&gt;0")</f>
        <v>0</v>
      </c>
      <c r="OV71" s="6">
        <f>COUNTIFS(Table119131[Country],Tabela1[[#This Row],[Country]],Table119131[Women''s Classification],"&gt;0")</f>
        <v>0</v>
      </c>
      <c r="OW71" s="6">
        <f>COUNTIFS(Table131[Country],Tabela1[[#This Row],[Country]],Table131[Classification],"&gt;0")</f>
        <v>0</v>
      </c>
      <c r="OX71" s="6">
        <f>COUNTIFS(Table131134[Country],Tabela1[[#This Row],[Country]],Table131134[Classification],"&gt;0")</f>
        <v>0</v>
      </c>
      <c r="OY71" s="6">
        <f>COUNTIFS(Table134[Country],Tabela1[[#This Row],[Country]],Table134[Men''s Classification],"&gt;0")</f>
        <v>0</v>
      </c>
      <c r="OZ71" s="6">
        <f>COUNTIFS(Table134[Country],Tabela1[[#This Row],[Country]],Table134[Women''s Classification],"&gt;0")</f>
        <v>0</v>
      </c>
      <c r="PA71" s="6">
        <f>COUNTIFS(Table135[Country],Tabela1[[#This Row],[Country]],Table135[Mixed Relay Classification],"&gt;0")</f>
        <v>0</v>
      </c>
      <c r="PB71" s="6">
        <f>COUNTIFS(Table136[Country],Tabela1[[#This Row],[Country]],Table136[Individual Classification],"&gt;0")</f>
        <v>0</v>
      </c>
      <c r="PC71" s="6">
        <f>COUNTIFS(Table136[Country],Tabela1[[#This Row],[Country]],Table136[Sprint Classification],"&gt;0")</f>
        <v>0</v>
      </c>
      <c r="PD71" s="6">
        <f>COUNTIFS(Table137[Country],Tabela1[[#This Row],[Country]],Table137[Men''s Team Sprint Large Hill Classification],"&gt;0")</f>
        <v>0</v>
      </c>
      <c r="PE71" s="6">
        <f>COUNTIFS(Table138[Country],Tabela1[[#This Row],[Country]],Table138[500m Classification],"&gt;0")</f>
        <v>0</v>
      </c>
      <c r="PF71" s="6">
        <f>COUNTIFS(Table138141[Country],Tabela1[[#This Row],[Country]],Table138141[500m Classification],"&gt;0")</f>
        <v>0</v>
      </c>
      <c r="PG71" s="6">
        <f>COUNTIFS(Table138[Country],Tabela1[[#This Row],[Country]],Table138[1000m Classification],"&gt;0")</f>
        <v>0</v>
      </c>
      <c r="PH71" s="6">
        <f>COUNTIFS(Table138141[Country],Tabela1[[#This Row],[Country]],Table138141[1000m Classification],"&gt;0")</f>
        <v>0</v>
      </c>
      <c r="PI71" s="6">
        <f>COUNTIFS(Table138[Country],Tabela1[[#This Row],[Country]],Table138[1500m Classification],"&gt;0")</f>
        <v>0</v>
      </c>
      <c r="PJ71" s="6">
        <f>COUNTIFS(Table138141[Country],Tabela1[[#This Row],[Country]],Table138141[1500m Classification],"&gt;0")</f>
        <v>0</v>
      </c>
      <c r="PK71" s="6">
        <f>COUNTIFS(Table141[Country],Tabela1[[#This Row],[Country]],Table141[Men''s 5000m Relay Classification],"&gt;0")</f>
        <v>0</v>
      </c>
      <c r="PL71" s="6">
        <f>COUNTIFS(Table141[Country],Tabela1[[#This Row],[Country]],Table141[Women''s 3000m Relay Classification],"&gt;0")</f>
        <v>0</v>
      </c>
      <c r="PM71" s="6">
        <f>COUNTIFS(Table141[Country],Tabela1[[#This Row],[Country]],Table141[Mixed 2000m Relay Classification],"&gt;0")</f>
        <v>0</v>
      </c>
      <c r="PN71" s="6">
        <f>COUNTIFS(Table142[Country],Tabela1[[#This Row],[Country]],Table142[Classification],"&gt;0")</f>
        <v>0</v>
      </c>
      <c r="PO71" s="6">
        <f>COUNTIFS(Table142145[Country],Tabela1[[#This Row],[Country]],Table142145[Classification],"&gt;0")</f>
        <v>0</v>
      </c>
      <c r="PP71" s="6">
        <f>COUNTIFS(Tabela15[Country],Tabela1[[#This Row],[Country]],Tabela15[Mixed Team Classification],"&gt;0")</f>
        <v>0</v>
      </c>
      <c r="PQ71" s="6">
        <f>COUNTIFS(Table145[Country],Tabela1[[#This Row],[Country]],Table145[Large Hill Classification],"&gt;0")</f>
        <v>0</v>
      </c>
      <c r="PR71" s="6">
        <f>COUNTIFS(Table145[Country],Tabela1[[#This Row],[Country]],Table145[Normal Hill Classification],"&gt;0")</f>
        <v>0</v>
      </c>
      <c r="PS71" s="6">
        <f>COUNTIFS(Table145148[Country],Tabela1[[#This Row],[Country]],Table145148[Large Hill Classification],"&gt;0")</f>
        <v>0</v>
      </c>
      <c r="PT71" s="6">
        <f>COUNTIFS(Table145148[Country],Tabela1[[#This Row],[Country]],Table145148[Normal Hill Classification],"&gt;0")</f>
        <v>0</v>
      </c>
      <c r="PU71" s="6">
        <f>COUNTIFS(Table148[Country],Tabela1[[#This Row],[Country]],Table148[Men''s Super Team Classification],"&gt;0")</f>
        <v>0</v>
      </c>
      <c r="PV71" s="6">
        <f>COUNTIFS(Tabela114[Country],Tabela1[[#This Row],[Country]],Tabela114[Mixed Normal Hill Classification],"&gt;0")</f>
        <v>0</v>
      </c>
      <c r="PW71" s="6">
        <f>COUNTIFS(Tabela50[Country],Tabela1[[#This Row],[Country]],Tabela50[Sprint Classification],"&gt;0")</f>
        <v>0</v>
      </c>
      <c r="PX71" s="6">
        <f>COUNTIFS(Tabela50101[Country],Tabela1[[#This Row],[Country]],Tabela50101[Sprint Classification],"&gt;0")</f>
        <v>0</v>
      </c>
      <c r="PY71" s="6">
        <f>COUNTIFS(Tabela103[Country],Tabela1[[#This Row],[Country]],Tabela103[Mixed Relay Classification],"&gt;0")</f>
        <v>0</v>
      </c>
      <c r="PZ71" s="6">
        <f>COUNTIFS(Table149[Country],Tabela1[[#This Row],[Country]],Table149[Big Air Classification],"&gt;0")</f>
        <v>0</v>
      </c>
      <c r="QA71" s="6">
        <f>COUNTIFS(Table149152[Country],Tabela1[[#This Row],[Country]],Table149152[Big Air Classification],"&gt;0")</f>
        <v>0</v>
      </c>
      <c r="QB71" s="6">
        <f>COUNTIFS(Table149[Country],Tabela1[[#This Row],[Country]],Table149[Halfpipe Classification],"&gt;0")</f>
        <v>0</v>
      </c>
      <c r="QC71" s="6">
        <f>COUNTIFS(Table149152[Country],Tabela1[[#This Row],[Country]],Table149152[Halfpipe Classification],"&gt;0")</f>
        <v>0</v>
      </c>
      <c r="QD71" s="6">
        <f>COUNTIFS(Table149[Country],Tabela1[[#This Row],[Country]],Table149[Parallel Giant Slalom Classification],"&gt;0")</f>
        <v>0</v>
      </c>
      <c r="QE71" s="6">
        <f>COUNTIFS(Table149152[Country],Tabela1[[#This Row],[Country]],Table149152[Parallel Giant Slalom Classification],"&gt;0")</f>
        <v>0</v>
      </c>
      <c r="QF71" s="6">
        <f>COUNTIFS(Table149[Country],Tabela1[[#This Row],[Country]],Table149[Slopestyle Classification],"&gt;0")</f>
        <v>0</v>
      </c>
      <c r="QG71" s="6">
        <f>COUNTIFS(Table149152[Country],Tabela1[[#This Row],[Country]],Table149152[Slopestyle Classification],"&gt;0")</f>
        <v>0</v>
      </c>
      <c r="QH71" s="6">
        <f>COUNTIFS(Table149[Country],Tabela1[[#This Row],[Country]],Table149[Snowboard Cross Classification],"&gt;0")</f>
        <v>0</v>
      </c>
      <c r="QI71" s="6">
        <f>COUNTIFS(Table149152[Country],Tabela1[[#This Row],[Country]],Table149152[Snowboard Cross Classification],"&gt;0")</f>
        <v>0</v>
      </c>
      <c r="QJ71" s="6">
        <f>COUNTIFS(Table153[Country],Tabela1[[#This Row],[Country]],Table153[Mixed Team Snowboard Cross Classification],"&gt;0")</f>
        <v>0</v>
      </c>
      <c r="QK71" s="6">
        <f>COUNTIFS(Table154[Country],Tabela1[[#This Row],[Country]],Table154[500m Classification],"&gt;0")</f>
        <v>0</v>
      </c>
      <c r="QL71" s="6">
        <f>COUNTIFS(Table154157[Country],Tabela1[[#This Row],[Country]],Table154157[500m Classification],"&gt;0")</f>
        <v>0</v>
      </c>
      <c r="QM71" s="6">
        <f>COUNTIFS(Table154[Country],Tabela1[[#This Row],[Country]],Table154[1000m Classification],"&gt;0")</f>
        <v>0</v>
      </c>
      <c r="QN71" s="6">
        <f>COUNTIFS(Table154157[Country],Tabela1[[#This Row],[Country]],Table154157[1000m Classification],"&gt;0")</f>
        <v>0</v>
      </c>
      <c r="QO71" s="6">
        <f>COUNTIFS(Table154[Country],Tabela1[[#This Row],[Country]],Table154[1500m Classification],"&gt;0")</f>
        <v>0</v>
      </c>
      <c r="QP71" s="6">
        <f>COUNTIFS(Table154157[Country],Tabela1[[#This Row],[Country]],Table154157[1500m Classification],"&gt;0")</f>
        <v>0</v>
      </c>
      <c r="QQ71" s="6">
        <f>COUNTIFS(Table154157[Country],Tabela1[[#This Row],[Country]],Table154157[3000m Classification],"&gt;0")</f>
        <v>0</v>
      </c>
      <c r="QR71" s="6">
        <f>COUNTIFS(Table154[Country],Tabela1[[#This Row],[Country]],Table154[5000m Classification],"&gt;0")</f>
        <v>0</v>
      </c>
      <c r="QS71" s="6">
        <f>COUNTIFS(Table154157[Country],Tabela1[[#This Row],[Country]],Table154157[5000m Classification],"&gt;0")</f>
        <v>0</v>
      </c>
      <c r="QT71" s="6">
        <f>COUNTIFS(Table154[Country],Tabela1[[#This Row],[Country]],Table154[10000m Classification],"&gt;0")</f>
        <v>0</v>
      </c>
      <c r="QU71" s="6">
        <f>COUNTIFS(Table154[Country],Tabela1[[#This Row],[Country]],Table154[Mass Start Classification],"&gt;0")</f>
        <v>0</v>
      </c>
      <c r="QV71" s="6">
        <f>COUNTIFS(Table154157[Country],Tabela1[[#This Row],[Country]],Table154157[Mass Start Classification],"&gt;0")</f>
        <v>0</v>
      </c>
      <c r="QW71" s="6">
        <f>COUNTIFS(Table157[Country],Tabela1[[#This Row],[Country]],Table157[Men''s Pursuit Classification],"&gt;0")</f>
        <v>0</v>
      </c>
      <c r="QX71" s="6">
        <f>COUNTIFS(Table157[Country],Tabela1[[#This Row],[Country]],Table157[Women''s Pursuit Classification],"&gt;0")</f>
        <v>0</v>
      </c>
      <c r="QY71" s="3" t="s">
        <v>533</v>
      </c>
    </row>
    <row r="72" spans="1:467" x14ac:dyDescent="0.3">
      <c r="A72" s="6">
        <v>71</v>
      </c>
      <c r="B72" s="6" t="s">
        <v>674</v>
      </c>
      <c r="C72" t="e" vm="71">
        <f>IF(ISBLANK(Tabela1[[#This Row],[Image Link]]), "", _xlfn.IMAGE(Tabela1[[#This Row],[Image Link]],1,1))</f>
        <v>#VALUE!</v>
      </c>
      <c r="D72" s="6">
        <f>SUM(Tabela1[[#This Row],[Archery - Men''s Individual Recurve]:[Speed Skating - Women''s Team Pursuit]])</f>
        <v>7</v>
      </c>
      <c r="E72" s="6">
        <f>COUNTIF(Tabela1[[#This Row],[Archery - Men''s Individual Recurve]:[Speed Skating - Women''s Team Pursuit]],"&gt;0")</f>
        <v>7</v>
      </c>
      <c r="F72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72" s="6">
        <f>SUM(Tabela1[[#This Row],[Archery - Men''s Individual Recurve]:[Wrestling - Women''s Freestyle 76kg]])</f>
        <v>5</v>
      </c>
      <c r="H72" s="6">
        <f>SUM(Tabela1[[#This Row],[Alpine Skiing - Men''s Downhill]:[Speed Skating - Women''s Team Pursuit]])</f>
        <v>2</v>
      </c>
      <c r="I72" s="6">
        <f>Tabela1[[#This Row],[Summer Gold Medals]]+Tabela1[[#This Row],[Winter Gold Medals]]</f>
        <v>0</v>
      </c>
      <c r="J72" s="6">
        <f>Tabela1[[#This Row],[Summer Silver Medals]]+Tabela1[[#This Row],[Winter Silver Medals]]</f>
        <v>2</v>
      </c>
      <c r="K72" s="6">
        <f>Tabela1[[#This Row],[Summer Bronze Medals]]+Tabela1[[#This Row],[Winter Bronze Medals]]</f>
        <v>0</v>
      </c>
      <c r="L72" s="6">
        <f>SUM(Tabela1[[#This Row],[Total Gold Medals]:[Total Bronze Medals]])</f>
        <v>2</v>
      </c>
      <c r="M72" s="6"/>
      <c r="N72" s="6">
        <v>1</v>
      </c>
      <c r="O72" s="6"/>
      <c r="P72" s="6">
        <f>SUM(Tabela1[[#This Row],[Summer Gold Medals]:[Summer Bronze Medals]])</f>
        <v>1</v>
      </c>
      <c r="Q72" s="6"/>
      <c r="R72" s="6">
        <v>1</v>
      </c>
      <c r="S72" s="6"/>
      <c r="T72" s="6">
        <f>Tabela1[[#This Row],[Winter Gold Medals]]+Tabela1[[#This Row],[Winter Silver Medals]]+Tabela1[[#This Row],[Winter Bronze Medals]]</f>
        <v>1</v>
      </c>
      <c r="U72" s="7">
        <f>Tabela1[[#This Row],[Total Medals]]/Tabela1[[#This Row],[Total Quotas]]</f>
        <v>0.2857142857142857</v>
      </c>
      <c r="V72" s="6">
        <f>COUNTIFS(Table3[Country],Tabela1[[#This Row],[Country]],Table3[Recurve Classification],"&gt;0")</f>
        <v>0</v>
      </c>
      <c r="W72" s="6">
        <f>COUNTIFS(Table33[Country],Tabela1[[#This Row],[Country]],Table33[Recurve Classification],"&gt;0")</f>
        <v>0</v>
      </c>
      <c r="X72" s="6">
        <f>COUNTIFS(Table35[Country],Tabela1[[#This Row],[Country]],Table35[Men''s Team Recurve Classification],"&gt;0")</f>
        <v>0</v>
      </c>
      <c r="Y72" s="6">
        <f>COUNTIFS(Table35[Country],Tabela1[[#This Row],[Country]],Table35[Women''s Team Recurve Classification],"&gt;0")</f>
        <v>0</v>
      </c>
      <c r="Z72" s="6">
        <f>COUNTIFS(Tabela88[Country],Tabela1[[#This Row],[Country]],Tabela88[Mixed Team Recurve Classification],"&gt;0")</f>
        <v>0</v>
      </c>
      <c r="AA72" s="6">
        <f>COUNTIFS(Table36[Country],Tabela1[[#This Row],[Country]],Table36[Classification],"&gt;0")</f>
        <v>0</v>
      </c>
      <c r="AB72" s="6">
        <f>COUNTIFS(Table37[Country],Tabela1[[#This Row],[Country]],Table37[Classification],"&gt;0")</f>
        <v>0</v>
      </c>
      <c r="AC72" s="6">
        <f>COUNTIFS(Table4[Country],Tabela1[[#This Row],[Country]],Table4[100m Classification],"&gt;0")</f>
        <v>0</v>
      </c>
      <c r="AD72" s="6">
        <f>COUNTIFS(Table5[Country],Tabela1[[#This Row],[Country]],Table5[100m Classification],"&gt;0")</f>
        <v>0</v>
      </c>
      <c r="AE72" s="6">
        <f>COUNTIFS(Table4[Country],Tabela1[[#This Row],[Country]],Table4[200m Classification],"&gt;0")</f>
        <v>0</v>
      </c>
      <c r="AF72" s="6">
        <f>COUNTIFS(Table5[Country],Tabela1[[#This Row],[Country]],Table5[200m Classification],"&gt;0")</f>
        <v>0</v>
      </c>
      <c r="AG72" s="6">
        <f>COUNTIFS(Table4[Country],Tabela1[[#This Row],[Country]],Table4[400m Classification],"&gt;0")</f>
        <v>0</v>
      </c>
      <c r="AH72" s="6">
        <f>COUNTIFS(Table5[Country],Tabela1[[#This Row],[Country]],Table5[400m Classification],"&gt;0")</f>
        <v>0</v>
      </c>
      <c r="AI72" s="6">
        <f>COUNTIFS(Table4[Country],Tabela1[[#This Row],[Country]],Table4[800m Classification],"&gt;0")</f>
        <v>0</v>
      </c>
      <c r="AJ72" s="6">
        <f>COUNTIFS(Table5[Country],Tabela1[[#This Row],[Country]],Table5[800m Classification],"&gt;0")</f>
        <v>0</v>
      </c>
      <c r="AK72" s="6">
        <f>COUNTIFS(Table4[Country],Tabela1[[#This Row],[Country]],Table4[1500m Classification],"&gt;0")</f>
        <v>0</v>
      </c>
      <c r="AL72" s="6">
        <f>COUNTIFS(Table5[Country],Tabela1[[#This Row],[Country]],Table5[1500m Classification],"&gt;0")</f>
        <v>0</v>
      </c>
      <c r="AM72" s="6">
        <f>COUNTIFS(Table4[Country],Tabela1[[#This Row],[Country]],Table4[5000m Classification],"&gt;0")</f>
        <v>0</v>
      </c>
      <c r="AN72" s="6">
        <f>COUNTIFS(Table5[Country],Tabela1[[#This Row],[Country]],Table5[5000m Classification],"&gt;0")</f>
        <v>0</v>
      </c>
      <c r="AO72" s="6">
        <f>COUNTIFS(Table4[Country],Tabela1[[#This Row],[Country]],Table4[10000m Classification],"&gt;0")</f>
        <v>0</v>
      </c>
      <c r="AP72" s="6">
        <f>COUNTIFS(Table5[Country],Tabela1[[#This Row],[Country]],Table5[10000m Classification],"&gt;0")</f>
        <v>0</v>
      </c>
      <c r="AQ72" s="6">
        <f>COUNTIFS(Table4[Country],Tabela1[[#This Row],[Country]],Table4[110m Hurdles Classification],"&gt;0")</f>
        <v>0</v>
      </c>
      <c r="AR72" s="6">
        <f>COUNTIFS(Table5[Country],Tabela1[[#This Row],[Country]],Table5[100m Hurdles Classification],"&gt;0")</f>
        <v>0</v>
      </c>
      <c r="AS72" s="6">
        <f>COUNTIFS(Table4[Country],Tabela1[[#This Row],[Country]],Table4[400m Hurdles Classification],"&gt;0")</f>
        <v>0</v>
      </c>
      <c r="AT72" s="6">
        <f>COUNTIFS(Table5[Country],Tabela1[[#This Row],[Country]],Table5[400m Hurdles Classification],"&gt;0")</f>
        <v>0</v>
      </c>
      <c r="AU72" s="6">
        <f>COUNTIFS(Table4[Country],Tabela1[[#This Row],[Country]],Table4[3000m Steeplechase Classification],"&gt;0")</f>
        <v>0</v>
      </c>
      <c r="AV72" s="6">
        <f>COUNTIFS(Table5[Country],Tabela1[[#This Row],[Country]],Table5[3000m Steeplechase Classification],"&gt;0")</f>
        <v>0</v>
      </c>
      <c r="AW72" s="6">
        <f>COUNTIFS(Table27[Country],Tabela1[[#This Row],[Country]],Table27[Men''s 4x100m Relay Classification],"&gt;0")</f>
        <v>0</v>
      </c>
      <c r="AX72" s="6">
        <f>COUNTIFS(Table27[Country],Tabela1[[#This Row],[Country]],Table27[Women''s 4x100m Relay Classification],"&gt;0")</f>
        <v>0</v>
      </c>
      <c r="AY72" s="6">
        <f>COUNTIFS(Table27[Country],Tabela1[[#This Row],[Country]],Table27[Men''s 4x400m Relay Classification],"&gt;0")</f>
        <v>0</v>
      </c>
      <c r="AZ72" s="6">
        <f>COUNTIFS(Table27[Country],Tabela1[[#This Row],[Country]],Table27[Women''s 4x400m Relay Classification],"&gt;0")</f>
        <v>0</v>
      </c>
      <c r="BA72" s="6">
        <f>COUNTIFS(Table27[Country],Tabela1[[#This Row],[Country]],Table27[Mixed 4x400m Relay Classification],"&gt;0")</f>
        <v>0</v>
      </c>
      <c r="BB72" s="6">
        <f>COUNTIFS(Table4[Country],Tabela1[[#This Row],[Country]],Table4[Marathon Classification],"&gt;0")</f>
        <v>0</v>
      </c>
      <c r="BC72" s="6">
        <f>COUNTIFS(Table5[Country],Tabela1[[#This Row],[Country]],Table5[Marathon Classification],"&gt;0")</f>
        <v>0</v>
      </c>
      <c r="BD72" s="6">
        <f>COUNTIFS(Table4[Country],Tabela1[[#This Row],[Country]],Table4[20km Race Walk Classification],"&gt;0")</f>
        <v>0</v>
      </c>
      <c r="BE72" s="6">
        <f>COUNTIFS(Table5[Country],Tabela1[[#This Row],[Country]],Table5[20km Race Walk Classification],"&gt;0")</f>
        <v>0</v>
      </c>
      <c r="BF72" s="6">
        <f>COUNTIFS(Tabela96[Country],Tabela1[[#This Row],[Country]],Tabela96[Mixed Marathon Race Walk Relay Classification],"&gt;0")</f>
        <v>0</v>
      </c>
      <c r="BG72" s="6">
        <f>COUNTIFS(Table4[Country],Tabela1[[#This Row],[Country]],Table4[Discus Throw Classification],"&gt;0")</f>
        <v>0</v>
      </c>
      <c r="BH72" s="6">
        <f>COUNTIFS(Table5[Country],Tabela1[[#This Row],[Country]],Table5[Discus Throw Classification],"&gt;0")</f>
        <v>0</v>
      </c>
      <c r="BI72" s="6">
        <f>COUNTIFS(Table4[Country],Tabela1[[#This Row],[Country]],Table4[Hammer Throw Classification],"&gt;0")</f>
        <v>0</v>
      </c>
      <c r="BJ72" s="6">
        <f>COUNTIFS(Table5[Country],Tabela1[[#This Row],[Country]],Table5[Hammer Throw Classification],"&gt;0")</f>
        <v>0</v>
      </c>
      <c r="BK72" s="6">
        <f>COUNTIFS(Table4[Country],Tabela1[[#This Row],[Country]],Table4[High Jump Classification],"&gt;0")</f>
        <v>0</v>
      </c>
      <c r="BL72" s="6">
        <f>COUNTIFS(Table5[Country],Tabela1[[#This Row],[Country]],Table5[High Jump Classification],"&gt;0")</f>
        <v>0</v>
      </c>
      <c r="BM72" s="6">
        <f>COUNTIFS(Table4[Country],Tabela1[[#This Row],[Country]],Table4[Javelin Throw Classification],"&gt;0")</f>
        <v>0</v>
      </c>
      <c r="BN72" s="6">
        <f>COUNTIFS(Table5[Country],Tabela1[[#This Row],[Country]],Table5[Javelin Throw Classification],"&gt;0")</f>
        <v>0</v>
      </c>
      <c r="BO72" s="6">
        <f>COUNTIFS(Table4[Country],Tabela1[[#This Row],[Country]],Table4[Long Jump Classification],"&gt;0")</f>
        <v>0</v>
      </c>
      <c r="BP72" s="6">
        <f>COUNTIFS(Table5[Country],Tabela1[[#This Row],[Country]],Table5[Long Jump Classification],"&gt;0")</f>
        <v>0</v>
      </c>
      <c r="BQ72" s="6">
        <f>COUNTIFS(Table4[Country],Tabela1[[#This Row],[Country]],Table4[Pole Vault Classification],"&gt;0")</f>
        <v>0</v>
      </c>
      <c r="BR72" s="6">
        <f>COUNTIFS(Table5[Country],Tabela1[[#This Row],[Country]],Table5[Pole Vault Classification],"&gt;0")</f>
        <v>0</v>
      </c>
      <c r="BS72" s="6">
        <f>COUNTIFS(Table4[Country],Tabela1[[#This Row],[Country]],Table4[Shot Put Classification],"&gt;0")</f>
        <v>0</v>
      </c>
      <c r="BT72" s="6">
        <f>COUNTIFS(Table5[Country],Tabela1[[#This Row],[Country]],Table5[Shot Put Classification],"&gt;0")</f>
        <v>0</v>
      </c>
      <c r="BU72" s="6">
        <f>COUNTIFS(Table4[Country],Tabela1[[#This Row],[Country]],Table4[Triple Jump Classification],"&gt;0")</f>
        <v>0</v>
      </c>
      <c r="BV72" s="6">
        <f>COUNTIFS(Table5[Country],Tabela1[[#This Row],[Country]],Table5[Triple Jump Classification],"&gt;0")</f>
        <v>0</v>
      </c>
      <c r="BW72" s="6">
        <f>COUNTIFS(Table4[Country],Tabela1[[#This Row],[Country]],Table4[Decathlon Classification],"&gt;0")</f>
        <v>0</v>
      </c>
      <c r="BX72" s="6">
        <f>COUNTIFS(Table5[Country],Tabela1[[#This Row],[Country]],Table5[Heptathlon Classification],"&gt;0")</f>
        <v>0</v>
      </c>
      <c r="BY72" s="6">
        <f>COUNTIFS(Table61[Country],Tabela1[[#This Row],[Country]],Table61[Classification],"&gt;0")</f>
        <v>0</v>
      </c>
      <c r="BZ72" s="6">
        <f>COUNTIFS(Table38[Country],Tabela1[[#This Row],[Country]],Table38[Classification],"&gt;0")</f>
        <v>0</v>
      </c>
      <c r="CA72" s="6">
        <f>COUNTIFS(Table39[Country],Tabela1[[#This Row],[Country]],Table39[Men''s Classification],"&gt;0")</f>
        <v>0</v>
      </c>
      <c r="CB72" s="6">
        <f>COUNTIFS(Table39[Country],Tabela1[[#This Row],[Country]],Table39[Women''s Classification],"&gt;0")</f>
        <v>0</v>
      </c>
      <c r="CC72" s="6">
        <f>COUNTIFS(Table39[Country],Tabela1[[#This Row],[Country]],Table39[Mixed Classification],"&gt;0")</f>
        <v>0</v>
      </c>
      <c r="CD72" s="6">
        <f>COUNTIFS(Table89[Country],Tabela1[[#This Row],[Country]],Table89[Men''s Classification],"&gt;0")</f>
        <v>0</v>
      </c>
      <c r="CE72" s="6">
        <f>COUNTIFS(Table89[Country],Tabela1[[#This Row],[Country]],Table89[Women''s Classification],"&gt;0")</f>
        <v>0</v>
      </c>
      <c r="CF72" s="6">
        <f>COUNTIFS(Table90[Country],Tabela1[[#This Row],[Country]],Table90[Men''s Classification],"&gt;0")</f>
        <v>0</v>
      </c>
      <c r="CG72" s="6">
        <f>COUNTIFS(Table90[Country],Tabela1[[#This Row],[Country]],Table90[Women''s Classification],"&gt;0")</f>
        <v>0</v>
      </c>
      <c r="CH72" s="6">
        <f>COUNTIFS(Table60[Country],Tabela1[[#This Row],[Country]],Table60[Men''s Classification],"&gt;0")</f>
        <v>0</v>
      </c>
      <c r="CI72" s="6">
        <f>COUNTIFS(Table60[Country],Tabela1[[#This Row],[Country]],Table60[Women''s Classification],"&gt;0")</f>
        <v>0</v>
      </c>
      <c r="CJ72" s="6">
        <f>COUNTIFS(Table6[Country],Tabela1[[#This Row],[Country]],Table6[51kg Classification],"&gt;0")</f>
        <v>0</v>
      </c>
      <c r="CK72" s="6">
        <f>COUNTIFS(Table6[Country],Tabela1[[#This Row],[Country]],Table6[57kg Classification],"&gt;0")</f>
        <v>0</v>
      </c>
      <c r="CL72" s="6">
        <f>COUNTIFS(Table6[Country],Tabela1[[#This Row],[Country]],Table6[63.5kg Classification],"&gt;0")</f>
        <v>0</v>
      </c>
      <c r="CM72" s="6">
        <f>COUNTIFS(Table6[Country],Tabela1[[#This Row],[Country]],Table6[71kg Classification],"&gt;0")</f>
        <v>0</v>
      </c>
      <c r="CN72" s="6">
        <f>COUNTIFS(Table6[Country],Tabela1[[#This Row],[Country]],Table6[80kg Classification],"&gt;0")</f>
        <v>0</v>
      </c>
      <c r="CO72" s="6">
        <f>COUNTIFS(Table6[Country],Tabela1[[#This Row],[Country]],Table6[92kg Classification],"&gt;0")</f>
        <v>0</v>
      </c>
      <c r="CP72" s="6">
        <f>COUNTIFS(Table6[Country],Tabela1[[#This Row],[Country]],Table6[Plus 92kg Classification],"&gt;0")</f>
        <v>0</v>
      </c>
      <c r="CQ72" s="6">
        <f>COUNTIFS(Table7[Country],Tabela1[[#This Row],[Country]],Table7[50kg Classification],"&gt;0")</f>
        <v>0</v>
      </c>
      <c r="CR72" s="6">
        <f>COUNTIFS(Table7[Country],Tabela1[[#This Row],[Country]],Table7[54kg Classification],"&gt;0")</f>
        <v>0</v>
      </c>
      <c r="CS72" s="6">
        <f>COUNTIFS(Table7[Country],Tabela1[[#This Row],[Country]],Table7[57kg Classification],"&gt;0")</f>
        <v>0</v>
      </c>
      <c r="CT72" s="6">
        <f>COUNTIFS(Table7[Country],Tabela1[[#This Row],[Country]],Table7[60kg Classification],"&gt;0")</f>
        <v>0</v>
      </c>
      <c r="CU72" s="6">
        <f>COUNTIFS(Table7[Country],Tabela1[[#This Row],[Country]],Table7[66kg Classification],"&gt;0")</f>
        <v>0</v>
      </c>
      <c r="CV72" s="6">
        <f>COUNTIFS(Table7[Country],Tabela1[[#This Row],[Country]],Table7[75kg Classification],"&gt;0")</f>
        <v>0</v>
      </c>
      <c r="CW72" s="6">
        <f>COUNTIFS(Tabela94[Country],Tabela1[[#This Row],[Country]],Tabela94[Classification],"&gt;0")</f>
        <v>0</v>
      </c>
      <c r="CX72" s="6">
        <f>COUNTIFS(Tabela9499[Country],Tabela1[[#This Row],[Country]],Tabela9499[Classification],"&gt;0")</f>
        <v>0</v>
      </c>
      <c r="CY72" s="6">
        <f>COUNTIFS(Tabela107[Country],Tabela1[[#This Row],[Country]],Tabela107[C1 Slalom Classification],"&gt;0")</f>
        <v>0</v>
      </c>
      <c r="CZ72" s="6">
        <f>COUNTIFS(Tabela107122[Country],Tabela1[[#This Row],[Country]],Tabela107122[C1 Slalom Classification],"&gt;0")</f>
        <v>0</v>
      </c>
      <c r="DA72" s="6">
        <f>COUNTIFS(Tabela107[Country],Tabela1[[#This Row],[Country]],Tabela107[K1 Slalom Classification],"&gt;0")</f>
        <v>0</v>
      </c>
      <c r="DB72" s="6">
        <f>COUNTIFS(Tabela107122[Country],Tabela1[[#This Row],[Country]],Tabela107122[K1 Slalom Classification],"&gt;0")</f>
        <v>0</v>
      </c>
      <c r="DC72" s="6">
        <f>COUNTIFS(Tabela107[Country],Tabela1[[#This Row],[Country]],Tabela107[Kayak Cross Slalom Classification],"&gt;0")</f>
        <v>0</v>
      </c>
      <c r="DD72" s="6">
        <f>COUNTIFS(Tabela107122[Country],Tabela1[[#This Row],[Country]],Tabela107122[Kayak Cross Slalom Classification],"&gt;0")</f>
        <v>0</v>
      </c>
      <c r="DE72" s="6">
        <f>COUNTIFS(Table8[Country],Tabela1[[#This Row],[Country]],Table8[C1 200m Classification],"&gt;0")</f>
        <v>1</v>
      </c>
      <c r="DF72" s="6">
        <f>COUNTIFS(Table40[Country],Tabela1[[#This Row],[Country]],Table40[C1 1000m Classification],"&gt;0")</f>
        <v>0</v>
      </c>
      <c r="DG72" s="6">
        <f>COUNTIFS(Table68[Country],Tabela1[[#This Row],[Country]],Table68[Men''s C2 500m Classification],"&gt;0")</f>
        <v>0</v>
      </c>
      <c r="DH72" s="6">
        <f>COUNTIFS(Table68[Country],Tabela1[[#This Row],[Country]],Table68[Women''s C2 500m Classification],"&gt;0")</f>
        <v>0</v>
      </c>
      <c r="DI72" s="6">
        <f>COUNTIFS(Table8[Country],Tabela1[[#This Row],[Country]],Table8[K1 500m Classification],"&gt;0")</f>
        <v>0</v>
      </c>
      <c r="DJ72" s="6">
        <f>COUNTIFS(Table40[Country],Tabela1[[#This Row],[Country]],Table40[K1 1000m Classification],"&gt;0")</f>
        <v>0</v>
      </c>
      <c r="DK72" s="6">
        <f>COUNTIFS(Table68[Country],Tabela1[[#This Row],[Country]],Table68[Men''s K2 500m Classification],"&gt;0")</f>
        <v>0</v>
      </c>
      <c r="DL72" s="6">
        <f>COUNTIFS(Table68[Country],Tabela1[[#This Row],[Country]],Table68[Women''s K2 500m Classification],"&gt;0")</f>
        <v>0</v>
      </c>
      <c r="DM72" s="6">
        <f>COUNTIFS(Table83[Country],Tabela1[[#This Row],[Country]],Table83[Men''s K4 500m Classification],"&gt;0")</f>
        <v>0</v>
      </c>
      <c r="DN72" s="6">
        <f>COUNTIFS(Table83[Country],Tabela1[[#This Row],[Country]],Table83[Women''s K4 500m Classification],"&gt;0")</f>
        <v>0</v>
      </c>
      <c r="DO72" s="6">
        <f>COUNTIFS(Tabela126[Country],Tabela1[[#This Row],[Country]],Tabela126[Classification],"&gt;0")</f>
        <v>0</v>
      </c>
      <c r="DP72" s="6">
        <f>COUNTIFS(Tabela126130[Country],Tabela1[[#This Row],[Country]],Tabela126130[Classification],"&gt;0")</f>
        <v>0</v>
      </c>
      <c r="DQ72" s="6">
        <f>COUNTIFS(Table70[Country],Tabela1[[#This Row],[Country]],Table70[Classification],"&gt;0")</f>
        <v>0</v>
      </c>
      <c r="DR72" s="6">
        <f>COUNTIFS(Table80[Country],Tabela1[[#This Row],[Country]],Table80[Classification],"&gt;0")</f>
        <v>0</v>
      </c>
      <c r="DS72" s="6">
        <f>COUNTIFS(Table66[Country],Tabela1[[#This Row],[Country]],Table66[Classification],"&gt;0")</f>
        <v>0</v>
      </c>
      <c r="DT72" s="6">
        <f>COUNTIFS(Table67[Country],Tabela1[[#This Row],[Country]],Table67[Classification],"&gt;0")</f>
        <v>0</v>
      </c>
      <c r="DU72" s="6">
        <f>COUNTIFS(Table69[Country],Tabela1[[#This Row],[Country]],Table69[Keirin Classification],"&gt;0")</f>
        <v>0</v>
      </c>
      <c r="DV72" s="6">
        <f>COUNTIFS(Table41[Country],Tabela1[[#This Row],[Country]],Table41[Keirin Classification],"&gt;0")</f>
        <v>0</v>
      </c>
      <c r="DW72" s="6">
        <f>COUNTIFS(Table84[Country],Tabela1[[#This Row],[Country]],Table84[Men''s Madison Classification],"&gt;0")</f>
        <v>0</v>
      </c>
      <c r="DX72" s="6">
        <f>COUNTIFS(Table84[Country],Tabela1[[#This Row],[Country]],Table84[Women''s Madison Classification],"&gt;0")</f>
        <v>0</v>
      </c>
      <c r="DY72" s="6">
        <f>COUNTIFS(Table69[Country],Tabela1[[#This Row],[Country]],Table69[Omnium Classification],"&gt;0")</f>
        <v>0</v>
      </c>
      <c r="DZ72" s="6">
        <f>COUNTIFS(Table41[Country],Tabela1[[#This Row],[Country]],Table41[Omnium Classification],"&gt;0")</f>
        <v>0</v>
      </c>
      <c r="EA72" s="6">
        <f>COUNTIFS(Table9[Country],Tabela1[[#This Row],[Country]],Table9[Road Race Classification],"&gt;0")</f>
        <v>0</v>
      </c>
      <c r="EB72" s="6">
        <f>COUNTIFS(Table14[Country],Tabela1[[#This Row],[Country]],Table14[Road Race Classification],"&gt;0")</f>
        <v>1</v>
      </c>
      <c r="EC72" s="6">
        <f>COUNTIFS(Table69[Country],Tabela1[[#This Row],[Country]],Table69[Sprint Classification],"&gt;0")</f>
        <v>0</v>
      </c>
      <c r="ED72" s="6">
        <f>COUNTIFS(Table41[Country],Tabela1[[#This Row],[Country]],Table41[Sprint Classification],"&gt;0")</f>
        <v>0</v>
      </c>
      <c r="EE72" s="6">
        <f>COUNTIFS(Table85[Country],Tabela1[[#This Row],[Country]],Table85[Men''s Sprint Classification],"&gt;0")</f>
        <v>0</v>
      </c>
      <c r="EF72" s="6">
        <f>COUNTIFS(Table85[Country],Tabela1[[#This Row],[Country]],Table85[Women''s Sprint Classification],"&gt;0")</f>
        <v>0</v>
      </c>
      <c r="EG72" s="6">
        <f>COUNTIFS(Table85[Country],Tabela1[[#This Row],[Country]],Table85[Men''s Pursuit Classification],"&gt;0")</f>
        <v>0</v>
      </c>
      <c r="EH72" s="6">
        <f>COUNTIFS(Table85[Country],Tabela1[[#This Row],[Country]],Table85[Women''s Pursuit Classification],"&gt;0")</f>
        <v>0</v>
      </c>
      <c r="EI72" s="6">
        <f>COUNTIFS(Table9[Country],Tabela1[[#This Row],[Country]],Table9[Time-Trial Classification],"&gt;0")</f>
        <v>0</v>
      </c>
      <c r="EJ72" s="6">
        <f>COUNTIFS(Table14[Country],Tabela1[[#This Row],[Country]],Table14[Time-Trial Classification],"&gt;0")</f>
        <v>0</v>
      </c>
      <c r="EK72" s="6">
        <f>COUNTIFS(Table42[Country],Tabela1[[#This Row],[Country]],Table42[Springboard Classification],"&gt;0")</f>
        <v>0</v>
      </c>
      <c r="EL72" s="6">
        <f>COUNTIFS(Table43[Country],Tabela1[[#This Row],[Country]],Table43[Springboard Classification],"&gt;0")</f>
        <v>0</v>
      </c>
      <c r="EM72" s="6">
        <f>COUNTIFS(Table42[Country],Tabela1[[#This Row],[Country]],Table42[Platform Classification],"&gt;0")</f>
        <v>0</v>
      </c>
      <c r="EN72" s="6">
        <f>COUNTIFS(Table43[Country],Tabela1[[#This Row],[Country]],Table43[Platform Classification],"&gt;0")</f>
        <v>0</v>
      </c>
      <c r="EO72" s="6">
        <f>COUNTIFS(Table86[Country],Tabela1[[#This Row],[Country]],Table86[Men''s Synchronized Springboard Classification],"&gt;0")</f>
        <v>0</v>
      </c>
      <c r="EP72" s="6">
        <f>COUNTIFS(Table86[Country],Tabela1[[#This Row],[Country]],Table86[Women''s Synchronized Springboard Classification],"&gt;0")</f>
        <v>0</v>
      </c>
      <c r="EQ72" s="6">
        <f>COUNTIFS(Table86[Country],Tabela1[[#This Row],[Country]],Table86[Men''s Synchronized Platform Classification],"&gt;0")</f>
        <v>0</v>
      </c>
      <c r="ER72" s="6">
        <f>COUNTIFS(Table86[Country],Tabela1[[#This Row],[Country]],Table86[Women''s Synchronized Platform Classification],"&gt;0")</f>
        <v>0</v>
      </c>
      <c r="ES72" s="6">
        <f>COUNTIFS(Table44[Country],Tabela1[[#This Row],[Country]],Table44[Dressage Classification],"&gt;0")</f>
        <v>0</v>
      </c>
      <c r="ET72" s="6">
        <f>COUNTIFS(Table45[Country],Tabela1[[#This Row],[Country]],Table45[Dressage Classification],"&gt;0")</f>
        <v>0</v>
      </c>
      <c r="EU72" s="6">
        <f>COUNTIFS(Table44[Country],Tabela1[[#This Row],[Country]],Table44[Eventing Classification],"&gt;0")</f>
        <v>0</v>
      </c>
      <c r="EV72" s="6">
        <f>COUNTIFS(Table45[Country],Tabela1[[#This Row],[Country]],Table45[Eventing Classification],"&gt;0")</f>
        <v>0</v>
      </c>
      <c r="EW72" s="6">
        <f>COUNTIFS(Table44[Country],Tabela1[[#This Row],[Country]],Table44[Jumping Classification],"&gt;0")</f>
        <v>0</v>
      </c>
      <c r="EX72" s="6">
        <f>COUNTIFS(Table45[Country],Tabela1[[#This Row],[Country]],Table45[Jumping Classification],"&gt;0")</f>
        <v>0</v>
      </c>
      <c r="EY72" s="6">
        <f>COUNTIFS(Table10[Country],Tabela1[[#This Row],[Country]],Table10[Épée Classification],"&gt;0")</f>
        <v>0</v>
      </c>
      <c r="EZ72" s="6">
        <f>COUNTIFS(Table11[Country],Tabela1[[#This Row],[Country]],Table11[Épée Classification],"&gt;0")</f>
        <v>0</v>
      </c>
      <c r="FA72" s="6">
        <f>COUNTIFS(Table46[Country],Tabela1[[#This Row],[Country]],Table46[Men''s Épée Classification],"&gt;0")</f>
        <v>0</v>
      </c>
      <c r="FB72" s="6">
        <f>COUNTIFS(Table46[Country],Tabela1[[#This Row],[Country]],Table46[Women''s Épée Classification],"&gt;0")</f>
        <v>0</v>
      </c>
      <c r="FC72" s="6">
        <f>COUNTIFS(Table10[Country],Tabela1[[#This Row],[Country]],Table10[Foil Classification],"&gt;0")</f>
        <v>0</v>
      </c>
      <c r="FD72" s="6">
        <f>COUNTIFS(Table11[Country],Tabela1[[#This Row],[Country]],Table11[Foil Classification],"&gt;0")</f>
        <v>0</v>
      </c>
      <c r="FE72" s="6">
        <f>COUNTIFS(Table46[Country],Tabela1[[#This Row],[Country]],Table46[Men''s Foil Classification],"&gt;0")</f>
        <v>0</v>
      </c>
      <c r="FF72" s="6">
        <f>COUNTIFS(Table46[Country],Tabela1[[#This Row],[Country]],Table46[Women''s Foil Classification],"&gt;0")</f>
        <v>0</v>
      </c>
      <c r="FG72" s="6">
        <f>COUNTIFS(Table10[Country],Tabela1[[#This Row],[Country]],Table10[Sabre Classification],"&gt;0")</f>
        <v>0</v>
      </c>
      <c r="FH72" s="6">
        <f>COUNTIFS(Table11[Country],Tabela1[[#This Row],[Country]],Table11[Sabre Classification],"&gt;0")</f>
        <v>0</v>
      </c>
      <c r="FI72" s="6">
        <f>COUNTIFS(Table46[Country],Tabela1[[#This Row],[Country]],Table46[Men''s Sabre Classification],"&gt;0")</f>
        <v>0</v>
      </c>
      <c r="FJ72" s="6">
        <f>COUNTIFS(Table46[Country],Tabela1[[#This Row],[Country]],Table46[Women''s Sabre Classification],"&gt;0")</f>
        <v>0</v>
      </c>
      <c r="FK72" s="6">
        <f>COUNTIFS(Table91[Country],Tabela1[[#This Row],[Country]],Table91[Men''s Classification],"&gt;0")</f>
        <v>0</v>
      </c>
      <c r="FL72" s="6">
        <f>COUNTIFS(Table91[Country],Tabela1[[#This Row],[Country]],Table91[Women''s Classification],"&gt;0")</f>
        <v>0</v>
      </c>
      <c r="FM72" s="6">
        <f>COUNTIFS(Table9194[Country],Tabela1[[#This Row],[Country]],Table9194[Men''s Classification],"&gt;0")</f>
        <v>0</v>
      </c>
      <c r="FN72" s="6">
        <f>COUNTIFS(Table9194[Country],Tabela1[[#This Row],[Country]],Table9194[Women''s Classification],"&gt;0")</f>
        <v>0</v>
      </c>
      <c r="FO72" s="6">
        <f>COUNTIFS(Table71[Country],Tabela1[[#This Row],[Country]],Table71[Classification],"&gt;0")</f>
        <v>0</v>
      </c>
      <c r="FP72" s="6">
        <f>COUNTIFS(Table62[Country],Tabela1[[#This Row],[Country]],Table62[Classification],"&gt;0")</f>
        <v>0</v>
      </c>
      <c r="FQ72" s="6">
        <f>COUNTIFS(Table47[Country],Tabela1[[#This Row],[Country]],Table47[All-Around Classification],"&gt;0")</f>
        <v>0</v>
      </c>
      <c r="FR72" s="6">
        <f>COUNTIFS(Table48[Country],Tabela1[[#This Row],[Country]],Table48[All-Around Classification],"&gt;0")</f>
        <v>0</v>
      </c>
      <c r="FS72" s="6">
        <f>COUNTIFS(Table81[Country],Tabela1[[#This Row],[Country]],Table81[Men''s All-Around Classification],"&gt;0")</f>
        <v>0</v>
      </c>
      <c r="FT72" s="6">
        <f>COUNTIFS(Table81[Country],Tabela1[[#This Row],[Country]],Table81[Women''s All-Around Classification],"&gt;0")</f>
        <v>0</v>
      </c>
      <c r="FU72" s="6">
        <f>COUNTIFS(Table48[Country],Tabela1[[#This Row],[Country]],Table48[Balance Beam Classification],"&gt;0")</f>
        <v>0</v>
      </c>
      <c r="FV72" s="6">
        <f>COUNTIFS(Table47[Country],Tabela1[[#This Row],[Country]],Table47[Floor Exercise Classification],"&gt;0")</f>
        <v>0</v>
      </c>
      <c r="FW72" s="6">
        <f>COUNTIFS(Table48[Country],Tabela1[[#This Row],[Country]],Table48[Floor Exercise Classification],"&gt;0")</f>
        <v>0</v>
      </c>
      <c r="FX72" s="6">
        <f>COUNTIFS(Table47[Country],Tabela1[[#This Row],[Country]],Table47[Horizontal Bar Classification],"&gt;0")</f>
        <v>0</v>
      </c>
      <c r="FY72" s="6">
        <f>COUNTIFS(Table47[Country],Tabela1[[#This Row],[Country]],Table47[Parallel Bars Classification],"&gt;0")</f>
        <v>0</v>
      </c>
      <c r="FZ72" s="6">
        <f>COUNTIFS(Table47[Country],Tabela1[[#This Row],[Country]],Table47[Pommel Horse Classification],"&gt;0")</f>
        <v>0</v>
      </c>
      <c r="GA72" s="6">
        <f>COUNTIFS(Table47[Country],Tabela1[[#This Row],[Country]],Table47[Rings Classification],"&gt;0")</f>
        <v>0</v>
      </c>
      <c r="GB72" s="6">
        <f>COUNTIFS(Tabela132[Country],Tabela1[[#This Row],[Country]],Tabela132[Classification],"&gt;0")</f>
        <v>0</v>
      </c>
      <c r="GC72" s="6">
        <f>COUNTIFS(Tabela139[Country],Tabela1[[#This Row],[Country]],Tabela139[Classification],"&gt;0")</f>
        <v>0</v>
      </c>
      <c r="GD72" s="6">
        <f>COUNTIFS(Table48[Country],Tabela1[[#This Row],[Country]],Table48[Uneven Bars Classification],"&gt;0")</f>
        <v>0</v>
      </c>
      <c r="GE72" s="6">
        <f>COUNTIFS(Table47[Country],Tabela1[[#This Row],[Country]],Table47[Vault Classification],"&gt;0")</f>
        <v>0</v>
      </c>
      <c r="GF72" s="6">
        <f>COUNTIFS(Table48[Country],Tabela1[[#This Row],[Country]],Table48[Vault Classification],"&gt;0")</f>
        <v>0</v>
      </c>
      <c r="GG72" s="6">
        <f>COUNTIFS(Table919496[Country],Tabela1[[#This Row],[Country]],Table919496[Men''s Classification],"&gt;0")</f>
        <v>0</v>
      </c>
      <c r="GH72" s="6">
        <f>COUNTIFS(Table919496[Country],Tabela1[[#This Row],[Country]],Table919496[Women''s Classification],"&gt;0")</f>
        <v>0</v>
      </c>
      <c r="GI72" s="6">
        <f>COUNTIFS(Table12[Country],Tabela1[[#This Row],[Country]],Table12[60kg Classification],"&gt;0")</f>
        <v>0</v>
      </c>
      <c r="GJ72" s="6">
        <f>COUNTIFS(Table12[Country],Tabela1[[#This Row],[Country]],Table12[66kg Classification],"&gt;0")</f>
        <v>0</v>
      </c>
      <c r="GK72" s="6">
        <f>COUNTIFS(Table12[Country],Tabela1[[#This Row],[Country]],Table12[73kg Classification],"&gt;0")</f>
        <v>0</v>
      </c>
      <c r="GL72" s="6">
        <f>COUNTIFS(Table12[Country],Tabela1[[#This Row],[Country]],Table12[81kg Classification],"&gt;0")</f>
        <v>0</v>
      </c>
      <c r="GM72" s="6">
        <f>COUNTIFS(Table12[Country],Tabela1[[#This Row],[Country]],Table12[90kg Classification],"&gt;0")</f>
        <v>0</v>
      </c>
      <c r="GN72" s="6">
        <f>COUNTIFS(Table12[Country],Tabela1[[#This Row],[Country]],Table12[100kg Classification],"&gt;0")</f>
        <v>0</v>
      </c>
      <c r="GO72" s="6">
        <f>COUNTIFS(Table12[Country],Tabela1[[#This Row],[Country]],Table12[Plus 100kg Classification],"&gt;0")</f>
        <v>0</v>
      </c>
      <c r="GP72" s="6">
        <f>COUNTIFS(Table13[Country],Tabela1[[#This Row],[Country]],Table13[48kg Classification],"&gt;0")</f>
        <v>0</v>
      </c>
      <c r="GQ72" s="6">
        <f>COUNTIFS(Table13[Country],Tabela1[[#This Row],[Country]],Table13[52kg Classification],"&gt;0")</f>
        <v>0</v>
      </c>
      <c r="GR72" s="6">
        <f>COUNTIFS(Table13[Country],Tabela1[[#This Row],[Country]],Table13[57kg Classification],"&gt;0")</f>
        <v>0</v>
      </c>
      <c r="GS72" s="6">
        <f>COUNTIFS(Table13[Country],Tabela1[[#This Row],[Country]],Table13[63kg Classification],"&gt;0")</f>
        <v>0</v>
      </c>
      <c r="GT72" s="6">
        <f>COUNTIFS(Table13[Country],Tabela1[[#This Row],[Country]],Table13[70kg Classification],"&gt;0")</f>
        <v>0</v>
      </c>
      <c r="GU72" s="6">
        <f>COUNTIFS(Table13[Country],Tabela1[[#This Row],[Country]],Table13[78kg Classification],"&gt;0")</f>
        <v>0</v>
      </c>
      <c r="GV72" s="6">
        <f>COUNTIFS(Table13[Country],Tabela1[[#This Row],[Country]],Table13[Plus 78kg Classification],"&gt;0")</f>
        <v>0</v>
      </c>
      <c r="GW72" s="6">
        <f>COUNTIFS(Table82[Country],Tabela1[[#This Row],[Country]],Table82[Mixed Classification],"&gt;0")</f>
        <v>0</v>
      </c>
      <c r="GX72" s="6">
        <f>COUNTIFS(Table51[Country],Tabela1[[#This Row],[Country]],Table51[Classification],"&gt;0")</f>
        <v>0</v>
      </c>
      <c r="GY72" s="6">
        <f>COUNTIFS(Table52[Country],Tabela1[[#This Row],[Country]],Table52[Classification],"&gt;0")</f>
        <v>0</v>
      </c>
      <c r="GZ72" s="6">
        <f>COUNTIFS(Table32[Country],Tabela1[[#This Row],[Country]],Table32[All-Around Classification],"&gt;0")</f>
        <v>0</v>
      </c>
      <c r="HA72" s="6">
        <f>COUNTIFS(Table49[Country],Tabela1[[#This Row],[Country]],Table49[All-Around Classification],"&gt;0")</f>
        <v>0</v>
      </c>
      <c r="HB72" s="6">
        <f>COUNTIFS(Table26[Country],Tabela1[[#This Row],[Country]],Table26[Single Sculls Classification],"&gt;0")</f>
        <v>0</v>
      </c>
      <c r="HC72" s="6">
        <f>COUNTIFS(Table63[Country],Tabela1[[#This Row],[Country]],Table63[Single Sculls Classification],"&gt;0")</f>
        <v>0</v>
      </c>
      <c r="HD72" s="6">
        <f>COUNTIFS(Table16[Country],Tabela1[[#This Row],[Country]],Table16[Men''s Double Sculls Classification],"&gt;0")</f>
        <v>0</v>
      </c>
      <c r="HE72" s="6">
        <f>COUNTIFS(Table16[Country],Tabela1[[#This Row],[Country]],Table16[Women''s Double Sculls Classification],"&gt;0")</f>
        <v>0</v>
      </c>
      <c r="HF72" s="6">
        <f>COUNTIFS(Table72[Country],Tabela1[[#This Row],[Country]],Table72[Men''s Quadruple Sculls Classification],"&gt;0")</f>
        <v>0</v>
      </c>
      <c r="HG72" s="6">
        <f>COUNTIFS(Table72[Country],Tabela1[[#This Row],[Country]],Table72[Women''s Quadruple Sculls Classification],"&gt;0")</f>
        <v>0</v>
      </c>
      <c r="HH72" s="6">
        <f>COUNTIFS(Table16[Country],Tabela1[[#This Row],[Country]],Table16[Men''s Coxless Pairs Classification],"&gt;0")</f>
        <v>0</v>
      </c>
      <c r="HI72" s="6">
        <f>COUNTIFS(Table16[Country],Tabela1[[#This Row],[Country]],Table16[Women''s Coxless Pairs Classification],"&gt;0")</f>
        <v>0</v>
      </c>
      <c r="HJ72" s="6">
        <f>COUNTIFS(Table72[Country],Tabela1[[#This Row],[Country]],Table72[Men''s Coxless Fours Classification],"&gt;0")</f>
        <v>0</v>
      </c>
      <c r="HK72" s="6">
        <f>COUNTIFS(Table72[Country],Tabela1[[#This Row],[Country]],Table72[Women''s Coxless Fours Classification],"&gt;0")</f>
        <v>0</v>
      </c>
      <c r="HL72" s="6">
        <f>COUNTIFS(Table72[Country],Tabela1[[#This Row],[Country]],Table72[Men''s Eights Classification],"&gt;0")</f>
        <v>0</v>
      </c>
      <c r="HM72" s="6">
        <f>COUNTIFS(Table72[Country],Tabela1[[#This Row],[Country]],Table72[Women''s Eights Classification],"&gt;0")</f>
        <v>0</v>
      </c>
      <c r="HN72" s="6">
        <f>COUNTIFS(Table16[Country],Tabela1[[#This Row],[Country]],Table16[Men''s Lwt. Double Sculls Classification],"&gt;0")</f>
        <v>0</v>
      </c>
      <c r="HO72" s="6">
        <f>COUNTIFS(Table16[Country],Tabela1[[#This Row],[Country]],Table16[Women''s Lwt. Double Sculls Classification],"&gt;0")</f>
        <v>0</v>
      </c>
      <c r="HP72" s="6">
        <f>COUNTIFS(Table91949698[Country],Tabela1[[#This Row],[Country]],Table91949698[Men''s Classification],"&gt;0")</f>
        <v>0</v>
      </c>
      <c r="HQ72" s="6">
        <f>COUNTIFS(Table91949698[Country],Tabela1[[#This Row],[Country]],Table91949698[Women''s Classification],"&gt;0")</f>
        <v>0</v>
      </c>
      <c r="HR72" s="6">
        <f>COUNTIFS(Table25[Country],Tabela1[[#This Row],[Country]],Table25[Mixed 470 Classification],"&gt;0")</f>
        <v>0</v>
      </c>
      <c r="HS72" s="6">
        <f>COUNTIFS(Table25[Country],Tabela1[[#This Row],[Country]],Table25[Men''s 49er Classification],"&gt;0")</f>
        <v>0</v>
      </c>
      <c r="HT72" s="6">
        <f>COUNTIFS(Table25[Country],Tabela1[[#This Row],[Country]],Table25[Women''s 49er FX Classification],"&gt;0")</f>
        <v>0</v>
      </c>
      <c r="HU72" s="6">
        <f>COUNTIFS(Table17[Country],Tabela1[[#This Row],[Country]],Table17[Formula Kite Classification],"&gt;0")</f>
        <v>0</v>
      </c>
      <c r="HV72" s="6">
        <f>COUNTIFS(Table18[Country],Tabela1[[#This Row],[Country]],Table18[Formula Kite Classification],"&gt;0")</f>
        <v>0</v>
      </c>
      <c r="HW72" s="6">
        <f>COUNTIFS(Table17[Country],Tabela1[[#This Row],[Country]],Table17[ILCA 7 Classification],"&gt;0")</f>
        <v>0</v>
      </c>
      <c r="HX72" s="6">
        <f>COUNTIFS(Table18[Country],Tabela1[[#This Row],[Country]],Table18[ILCA 6 Classification],"&gt;0")</f>
        <v>0</v>
      </c>
      <c r="HY72" s="6">
        <f>COUNTIFS(Table17[Country],Tabela1[[#This Row],[Country]],Table17[IQFoil Classification],"&gt;0")</f>
        <v>0</v>
      </c>
      <c r="HZ72" s="6">
        <f>COUNTIFS(Table18[Country],Tabela1[[#This Row],[Country]],Table18[IQFoil Classification],"&gt;0")</f>
        <v>0</v>
      </c>
      <c r="IA72" s="6">
        <f>COUNTIFS(Table25[Country],Tabela1[[#This Row],[Country]],Table25[Mixed Nacra 17 Classification],"&gt;0")</f>
        <v>0</v>
      </c>
      <c r="IB72" s="6">
        <f>COUNTIFS(Table53[Country],Tabela1[[#This Row],[Country]],Table53[10m Air Pistol Classification],"&gt;0")</f>
        <v>0</v>
      </c>
      <c r="IC72" s="6">
        <f>COUNTIFS(Table19[Country],Tabela1[[#This Row],[Country]],Table19[10m Air Pistol Classification],"&gt;0")</f>
        <v>0</v>
      </c>
      <c r="ID72" s="6">
        <f>COUNTIFS(Table54[Country],Tabela1[[#This Row],[Country]],Table54[Mixed 10m Air Pistol Team Classification],"&gt;0")</f>
        <v>0</v>
      </c>
      <c r="IE72" s="6">
        <f>COUNTIFS(Table53[Country],Tabela1[[#This Row],[Country]],Table53[10m Air Rifle Classification],"&gt;0")</f>
        <v>0</v>
      </c>
      <c r="IF72" s="6">
        <f>COUNTIFS(Table19[Country],Tabela1[[#This Row],[Country]],Table19[10m Air Rifle Classification],"&gt;0")</f>
        <v>0</v>
      </c>
      <c r="IG72" s="6">
        <f>COUNTIFS(Table54[Country],Tabela1[[#This Row],[Country]],Table54[Mixed 10m Air Rifle Team Classification],"&gt;0")</f>
        <v>0</v>
      </c>
      <c r="IH72" s="6">
        <f>COUNTIFS(Table53[Country],Tabela1[[#This Row],[Country]],Table53[25m Rapid Fire Pistol Classification],"&gt;0")</f>
        <v>0</v>
      </c>
      <c r="II72" s="6">
        <f>COUNTIFS(Table19[Country],Tabela1[[#This Row],[Country]],Table19[25m Pistol Classification],"&gt;0")</f>
        <v>0</v>
      </c>
      <c r="IJ72" s="6">
        <f>COUNTIFS(Table53[Country],Tabela1[[#This Row],[Country]],Table53[50m Rifle 3 Positions Classification],"&gt;0")</f>
        <v>0</v>
      </c>
      <c r="IK72" s="6">
        <f>COUNTIFS(Table19[Country],Tabela1[[#This Row],[Country]],Table19[50m Rifle 3 Positions Classification],"&gt;0")</f>
        <v>0</v>
      </c>
      <c r="IL72" s="6">
        <f>COUNTIFS(Table53[Country],Tabela1[[#This Row],[Country]],Table53[Skeet Classification],"&gt;0")</f>
        <v>0</v>
      </c>
      <c r="IM72" s="6">
        <f>COUNTIFS(Table19[Country],Tabela1[[#This Row],[Country]],Table19[Skeet Classification],"&gt;0")</f>
        <v>0</v>
      </c>
      <c r="IN72" s="6">
        <f>COUNTIFS(Table54[Country],Tabela1[[#This Row],[Country]],Table54[Mixed Skeet Team Classification],"&gt;0")</f>
        <v>0</v>
      </c>
      <c r="IO72" s="6">
        <f>COUNTIFS(Table53[Country],Tabela1[[#This Row],[Country]],Table53[Trap Classification],"&gt;0")</f>
        <v>0</v>
      </c>
      <c r="IP72" s="6">
        <f>COUNTIFS(Table19[Country],Tabela1[[#This Row],[Country]],Table19[Trap Classification],"&gt;0")</f>
        <v>0</v>
      </c>
      <c r="IQ72" s="6">
        <f>COUNTIFS(Table73[Country],Tabela1[[#This Row],[Country]],Table73[Park Classification],"&gt;0")</f>
        <v>0</v>
      </c>
      <c r="IR72" s="6">
        <f>COUNTIFS(Table74[Country],Tabela1[[#This Row],[Country]],Table74[Park Classification],"&gt;0")</f>
        <v>0</v>
      </c>
      <c r="IS72" s="6">
        <f>COUNTIFS(Table73[Country],Tabela1[[#This Row],[Country]],Table73[Street Classification],"&gt;0")</f>
        <v>0</v>
      </c>
      <c r="IT72" s="6">
        <f>COUNTIFS(Table74[Country],Tabela1[[#This Row],[Country]],Table74[Street Classification],"&gt;0")</f>
        <v>0</v>
      </c>
      <c r="IU72" s="6">
        <f>COUNTIFS(Table75[Country],Tabela1[[#This Row],[Country]],Table75[Boulder and Lead Classification],"&gt;0")</f>
        <v>0</v>
      </c>
      <c r="IV72" s="6">
        <f>COUNTIFS(Table76[Country],Tabela1[[#This Row],[Country]],Table76[Boulder and Lead Classification],"&gt;0")</f>
        <v>0</v>
      </c>
      <c r="IW72" s="6">
        <f>COUNTIFS(Table75[Country],Tabela1[[#This Row],[Country]],Table75[Speed Classification],"&gt;0")</f>
        <v>0</v>
      </c>
      <c r="IX72" s="6">
        <f>COUNTIFS(Table76[Country],Tabela1[[#This Row],[Country]],Table76[Speed Classification],"&gt;0")</f>
        <v>0</v>
      </c>
      <c r="IY72" s="6">
        <f>COUNTIFS(Table64[Country],Tabela1[[#This Row],[Country]],Table64[Shortboard Classification],"&gt;0")</f>
        <v>0</v>
      </c>
      <c r="IZ72" s="6">
        <f>COUNTIFS(Table77[Country],Tabela1[[#This Row],[Country]],Table77[Shortboard Classification],"&gt;0")</f>
        <v>0</v>
      </c>
      <c r="JA72" s="6">
        <f>COUNTIFS(Table20[Country],Tabela1[[#This Row],[Country]],Table20[50m Freestyle Classification],"&gt;0")</f>
        <v>0</v>
      </c>
      <c r="JB72" s="6">
        <f>COUNTIFS(Table21[Country],Tabela1[[#This Row],[Country]],Table21[50m Freestyle Classification],"&gt;0")</f>
        <v>0</v>
      </c>
      <c r="JC72" s="6">
        <f>COUNTIFS(Table20[Country],Tabela1[[#This Row],[Country]],Table20[100m Freestyle Classification],"&gt;0")</f>
        <v>0</v>
      </c>
      <c r="JD72" s="6">
        <f>COUNTIFS(Table21[Country],Tabela1[[#This Row],[Country]],Table21[100m Freestyle Classification],"&gt;0")</f>
        <v>0</v>
      </c>
      <c r="JE72" s="6">
        <f>COUNTIFS(Table20[Country],Tabela1[[#This Row],[Country]],Table20[200m Freestyle Classification],"&gt;0")</f>
        <v>0</v>
      </c>
      <c r="JF72" s="6">
        <f>COUNTIFS(Table21[Country],Tabela1[[#This Row],[Country]],Table21[200m Freestyle Classification],"&gt;0")</f>
        <v>0</v>
      </c>
      <c r="JG72" s="6">
        <f>COUNTIFS(Table20[Country],Tabela1[[#This Row],[Country]],Table20[400m Freestyle Classification],"&gt;0")</f>
        <v>0</v>
      </c>
      <c r="JH72" s="6">
        <f>COUNTIFS(Table21[Country],Tabela1[[#This Row],[Country]],Table21[400m Freestyle Classification],"&gt;0")</f>
        <v>0</v>
      </c>
      <c r="JI72" s="6">
        <f>COUNTIFS(Table20[Country],Tabela1[[#This Row],[Country]],Table20[800m Freestyle Classification],"&gt;0")</f>
        <v>0</v>
      </c>
      <c r="JJ72" s="6">
        <f>COUNTIFS(Table21[Country],Tabela1[[#This Row],[Country]],Table21[800m Freestyle Classification],"&gt;0")</f>
        <v>0</v>
      </c>
      <c r="JK72" s="6">
        <f>COUNTIFS(Table20[Country],Tabela1[[#This Row],[Country]],Table20[1500m Freestyle Classification],"&gt;0")</f>
        <v>0</v>
      </c>
      <c r="JL72" s="6">
        <f>COUNTIFS(Table21[Country],Tabela1[[#This Row],[Country]],Table21[1500m Freestyle Classification],"&gt;0")</f>
        <v>0</v>
      </c>
      <c r="JM72" s="6">
        <f>COUNTIFS(Table20[Country],Tabela1[[#This Row],[Country]],Table20[100m Backstroke Classification],"&gt;0")</f>
        <v>0</v>
      </c>
      <c r="JN72" s="6">
        <f>COUNTIFS(Table21[Country],Tabela1[[#This Row],[Country]],Table21[100m Backstroke Classification],"&gt;0")</f>
        <v>0</v>
      </c>
      <c r="JO72" s="6">
        <f>COUNTIFS(Table20[Country],Tabela1[[#This Row],[Country]],Table20[200m Backstroke Classification],"&gt;0")</f>
        <v>0</v>
      </c>
      <c r="JP72" s="6">
        <f>COUNTIFS(Table21[Country],Tabela1[[#This Row],[Country]],Table21[200m Backstroke Classification],"&gt;0")</f>
        <v>0</v>
      </c>
      <c r="JQ72" s="6">
        <f>COUNTIFS(Table20[Country],Tabela1[[#This Row],[Country]],Table20[100m Breaststroke Classification],"&gt;0")</f>
        <v>0</v>
      </c>
      <c r="JR72" s="6">
        <f>COUNTIFS(Table21[Country],Tabela1[[#This Row],[Country]],Table21[100m Breaststroke Classification],"&gt;0")</f>
        <v>0</v>
      </c>
      <c r="JS72" s="6">
        <f>COUNTIFS(Table20[Country],Tabela1[[#This Row],[Country]],Table20[200m Breaststroke Classification],"&gt;0")</f>
        <v>0</v>
      </c>
      <c r="JT72" s="6">
        <f>COUNTIFS(Table21[Country],Tabela1[[#This Row],[Country]],Table21[200m Breaststroke Classification],"&gt;0")</f>
        <v>0</v>
      </c>
      <c r="JU72" s="6">
        <f>COUNTIFS(Table20[Country],Tabela1[[#This Row],[Country]],Table20[100m Butterfly Classification],"&gt;0")</f>
        <v>0</v>
      </c>
      <c r="JV72" s="6">
        <f>COUNTIFS(Table21[Country],Tabela1[[#This Row],[Country]],Table21[100m Butterfly Classification],"&gt;0")</f>
        <v>0</v>
      </c>
      <c r="JW72" s="6">
        <f>COUNTIFS(Table20[Country],Tabela1[[#This Row],[Country]],Table20[200m Butterfly Classification],"&gt;0")</f>
        <v>0</v>
      </c>
      <c r="JX72" s="6">
        <f>COUNTIFS(Table21[Country],Tabela1[[#This Row],[Country]],Table21[200m Butterfly Classification],"&gt;0")</f>
        <v>0</v>
      </c>
      <c r="JY72" s="6">
        <f>COUNTIFS(Table20[Country],Tabela1[[#This Row],[Country]],Table20[200m Medley Classification],"&gt;0")</f>
        <v>0</v>
      </c>
      <c r="JZ72" s="6">
        <f>COUNTIFS(Table21[Country],Tabela1[[#This Row],[Country]],Table21[200m Medley Classification],"&gt;0")</f>
        <v>0</v>
      </c>
      <c r="KA72" s="6">
        <f>COUNTIFS(Table20[Country],Tabela1[[#This Row],[Country]],Table20[400m Medley Classification],"&gt;0")</f>
        <v>0</v>
      </c>
      <c r="KB72" s="6">
        <f>COUNTIFS(Table21[Country],Tabela1[[#This Row],[Country]],Table21[400m Medley Classification],"&gt;0")</f>
        <v>0</v>
      </c>
      <c r="KC72" s="6">
        <f>COUNTIFS(Table78[Country],Tabela1[[#This Row],[Country]],Table78[Men''s 4x100m Freestyle Relay Classification],"&gt;0")</f>
        <v>0</v>
      </c>
      <c r="KD72" s="6">
        <f>COUNTIFS(Table78[Country],Tabela1[[#This Row],[Country]],Table78[Women''s 4x100m Freestyle Relay Classification],"&gt;0")</f>
        <v>0</v>
      </c>
      <c r="KE72" s="6">
        <f>COUNTIFS(Table78[Country],Tabela1[[#This Row],[Country]],Table78[Men''s 4x200m Freestyle Relay Classification],"&gt;0")</f>
        <v>0</v>
      </c>
      <c r="KF72" s="6">
        <f>COUNTIFS(Table78[Country],Tabela1[[#This Row],[Country]],Table78[Women''s 4x200m Freestyle Relay Classification],"&gt;0")</f>
        <v>0</v>
      </c>
      <c r="KG72" s="6">
        <f>COUNTIFS(Table78[Country],Tabela1[[#This Row],[Country]],Table78[Men''s 4x100m Medley Relay Classification],"&gt;0")</f>
        <v>0</v>
      </c>
      <c r="KH72" s="6">
        <f>COUNTIFS(Table78[Country],Tabela1[[#This Row],[Country]],Table78[Women''s 4x100m Medley Relay Classification],"&gt;0")</f>
        <v>0</v>
      </c>
      <c r="KI72" s="6">
        <f>COUNTIFS(Table78[Country],Tabela1[[#This Row],[Country]],Table78[Mixed 4x100m Medley Relay Classification],"&gt;0")</f>
        <v>0</v>
      </c>
      <c r="KJ72" s="6">
        <f>COUNTIFS(Table20[Country],Tabela1[[#This Row],[Country]],Table20[10km Open Water Classification],"&gt;0")</f>
        <v>0</v>
      </c>
      <c r="KK72" s="6">
        <f>COUNTIFS(Table21[Country],Tabela1[[#This Row],[Country]],Table21[10km Open Water Classification],"&gt;0")</f>
        <v>0</v>
      </c>
      <c r="KL72" s="6">
        <f>COUNTIFS(Table22[Country],Tabela1[[#This Row],[Country]],Table22[Classification],"&gt;0")</f>
        <v>0</v>
      </c>
      <c r="KM72" s="6">
        <f>COUNTIFS(Table30[Country],Tabela1[[#This Row],[Country]],Table30[Classification],"&gt;0")</f>
        <v>0</v>
      </c>
      <c r="KN72" s="6">
        <f>COUNTIFS(Table55[Country],Tabela1[[#This Row],[Country]],Table55[Men''s Classification],"&gt;0")</f>
        <v>0</v>
      </c>
      <c r="KO72" s="6">
        <f>COUNTIFS(Table55[Country],Tabela1[[#This Row],[Country]],Table55[Women''s Classification],"&gt;0")</f>
        <v>0</v>
      </c>
      <c r="KP72" s="6">
        <f>COUNTIFS(Table56[Country],Tabela1[[#This Row],[Country]],Table56[Mixed Classification],"&gt;0")</f>
        <v>0</v>
      </c>
      <c r="KQ72" s="6">
        <f>COUNTIFS(Table29[Country],Tabela1[[#This Row],[Country]],Table29[58kg Classification],"&gt;0")</f>
        <v>0</v>
      </c>
      <c r="KR72" s="6">
        <f>COUNTIFS(Table29[Country],Tabela1[[#This Row],[Country]],Table29[68kg Classification],"&gt;0")</f>
        <v>0</v>
      </c>
      <c r="KS72" s="6">
        <f>COUNTIFS(Table29[Country],Tabela1[[#This Row],[Country]],Table29[80kg Classification],"&gt;0")</f>
        <v>0</v>
      </c>
      <c r="KT72" s="6">
        <f>COUNTIFS(Table29[Country],Tabela1[[#This Row],[Country]],Table29[Plus 80kg Classification],"&gt;0")</f>
        <v>0</v>
      </c>
      <c r="KU72" s="6">
        <f>COUNTIFS(Table34[Country],Tabela1[[#This Row],[Country]],Table34[49kg Classification],"&gt;0")</f>
        <v>0</v>
      </c>
      <c r="KV72" s="6">
        <f>COUNTIFS(Table34[Country],Tabela1[[#This Row],[Country]],Table34[57kg Classification],"&gt;0")</f>
        <v>0</v>
      </c>
      <c r="KW72" s="6">
        <f>COUNTIFS(Table34[Country],Tabela1[[#This Row],[Country]],Table34[67kg Classification],"&gt;0")</f>
        <v>0</v>
      </c>
      <c r="KX72" s="6">
        <f>COUNTIFS(Table34[Country],Tabela1[[#This Row],[Country]],Table34[Plus 67kg Classification],"&gt;0")</f>
        <v>0</v>
      </c>
      <c r="KY72" s="6">
        <f>COUNTIFS(Table57[Country],Tabela1[[#This Row],[Country]],Table57[Classification],"&gt;0")</f>
        <v>0</v>
      </c>
      <c r="KZ72" s="6">
        <f>COUNTIFS(Table58[Country],Tabela1[[#This Row],[Country]],Table58[Classification],"&gt;0")</f>
        <v>1</v>
      </c>
      <c r="LA72" s="6">
        <f>COUNTIFS(Table79[Country],Tabela1[[#This Row],[Country]],Table79[Men''s Classification],"&gt;0")</f>
        <v>0</v>
      </c>
      <c r="LB72" s="6">
        <f>COUNTIFS(Table79[Country],Tabela1[[#This Row],[Country]],Table79[Women''s Classification],"&gt;0")</f>
        <v>1</v>
      </c>
      <c r="LC72" s="6">
        <f>COUNTIFS(Table79[Country],Tabela1[[#This Row],[Country]],Table79[Mixed Classification],"&gt;0")</f>
        <v>1</v>
      </c>
      <c r="LD72" s="6">
        <f>COUNTIFS(Table65[Country],Tabela1[[#This Row],[Country]],Table65[Classification],"&gt;0")</f>
        <v>0</v>
      </c>
      <c r="LE72" s="6">
        <f>COUNTIFS(Table59[Country],Tabela1[[#This Row],[Country]],Table59[Classification],"&gt;0")</f>
        <v>0</v>
      </c>
      <c r="LF72" s="6">
        <f>COUNTIFS(Table87[Country],Tabela1[[#This Row],[Country]],Table87[Mixed Relay Classification],"&gt;0")</f>
        <v>0</v>
      </c>
      <c r="LG72" s="6">
        <f>COUNTIFS(Table91949698100[Country],Tabela1[[#This Row],[Country]],Table91949698100[Men''s Classification],"&gt;0")</f>
        <v>0</v>
      </c>
      <c r="LH72" s="6">
        <f>COUNTIFS(Table91949698100[Country],Tabela1[[#This Row],[Country]],Table91949698100[Women''s Classification],"&gt;0")</f>
        <v>0</v>
      </c>
      <c r="LI72" s="6">
        <f>COUNTIFS(Table91949698100102[Country],Tabela1[[#This Row],[Country]],Table91949698100102[Men''s Classification],"&gt;0")</f>
        <v>0</v>
      </c>
      <c r="LJ72" s="6">
        <f>COUNTIFS(Table91949698100102[Country],Tabela1[[#This Row],[Country]],Table91949698100102[Women''s Classification],"&gt;0")</f>
        <v>0</v>
      </c>
      <c r="LK72" s="6">
        <f>COUNTIFS(Table23[Country],Tabela1[[#This Row],[Country]],Table23[61kg Classification],"&gt;0")</f>
        <v>0</v>
      </c>
      <c r="LL72" s="6">
        <f>COUNTIFS(Table23[Country],Tabela1[[#This Row],[Country]],Table23[73kg Classification],"&gt;0")</f>
        <v>0</v>
      </c>
      <c r="LM72" s="6">
        <f>COUNTIFS(Table23[Country],Tabela1[[#This Row],[Country]],Table23[89kg Classification],"&gt;0")</f>
        <v>0</v>
      </c>
      <c r="LN72" s="6">
        <f>COUNTIFS(Table23[Country],Tabela1[[#This Row],[Country]],Table23[102kg Classification],"&gt;0")</f>
        <v>0</v>
      </c>
      <c r="LO72" s="6">
        <f>COUNTIFS(Table23[Country],Tabela1[[#This Row],[Country]],Table23[Plus 102kg Classification],"&gt;0")</f>
        <v>0</v>
      </c>
      <c r="LP72" s="6">
        <f>COUNTIFS(Table28[Country],Tabela1[[#This Row],[Country]],Table28[49kg Classification],"&gt;0")</f>
        <v>0</v>
      </c>
      <c r="LQ72" s="6">
        <f>COUNTIFS(Table28[Country],Tabela1[[#This Row],[Country]],Table28[59kg Classification],"&gt;0")</f>
        <v>0</v>
      </c>
      <c r="LR72" s="6">
        <f>COUNTIFS(Table28[Country],Tabela1[[#This Row],[Country]],Table28[71kg Classification],"&gt;0")</f>
        <v>0</v>
      </c>
      <c r="LS72" s="6">
        <f>COUNTIFS(Table28[Country],Tabela1[[#This Row],[Country]],Table28[81kg Classification],"&gt;0")</f>
        <v>0</v>
      </c>
      <c r="LT72" s="6">
        <f>COUNTIFS(Table28[Country],Tabela1[[#This Row],[Country]],Table28[Plus 81kg Classification],"&gt;0")</f>
        <v>0</v>
      </c>
      <c r="LU72" s="6">
        <f>COUNTIFS(Table24[Country],Tabela1[[#This Row],[Country]],Table24[Freestyle 57kg Classification],"&gt;0")</f>
        <v>0</v>
      </c>
      <c r="LV72" s="6">
        <f>COUNTIFS(Table24[Country],Tabela1[[#This Row],[Country]],Table24[Freestyle 65kg Classification],"&gt;0")</f>
        <v>0</v>
      </c>
      <c r="LW72" s="6">
        <f>COUNTIFS(Table24[Country],Tabela1[[#This Row],[Country]],Table24[Freestyle 74kg Classification],"&gt;0")</f>
        <v>0</v>
      </c>
      <c r="LX72" s="6">
        <f>COUNTIFS(Table24[Country],Tabela1[[#This Row],[Country]],Table24[Freestyle 86kg Classification],"&gt;0")</f>
        <v>0</v>
      </c>
      <c r="LY72" s="6">
        <f>COUNTIFS(Table24[Country],Tabela1[[#This Row],[Country]],Table24[Freestyle 97kg Classification],"&gt;0")</f>
        <v>0</v>
      </c>
      <c r="LZ72" s="6">
        <f>COUNTIFS(Table24[Country],Tabela1[[#This Row],[Country]],Table24[Freestyle 125kg Classification],"&gt;0")</f>
        <v>0</v>
      </c>
      <c r="MA72" s="6">
        <f>COUNTIFS(Table24[Country],Tabela1[[#This Row],[Country]],Table24[Greco-Roman 60kg Classification],"&gt;0")</f>
        <v>0</v>
      </c>
      <c r="MB72" s="6">
        <f>COUNTIFS(Table24[Country],Tabela1[[#This Row],[Country]],Table24[Greco-Roman 67kg Classification],"&gt;0")</f>
        <v>0</v>
      </c>
      <c r="MC72" s="6">
        <f>COUNTIFS(Table24[Country],Tabela1[[#This Row],[Country]],Table24[Greco-Roman 77kg Classification],"&gt;0")</f>
        <v>0</v>
      </c>
      <c r="MD72" s="6">
        <f>COUNTIFS(Table24[Country],Tabela1[[#This Row],[Country]],Table24[Greco-Roman 87kg Classification],"&gt;0")</f>
        <v>0</v>
      </c>
      <c r="ME72" s="6">
        <f>COUNTIFS(Table24[Country],Tabela1[[#This Row],[Country]],Table24[Greco-Roman 97kg Classification],"&gt;0")</f>
        <v>0</v>
      </c>
      <c r="MF72" s="6">
        <f>COUNTIFS(Table24[Country],Tabela1[[#This Row],[Country]],Table24[Greco-Roman 130kg Classification],"&gt;0")</f>
        <v>0</v>
      </c>
      <c r="MG72" s="6">
        <f>COUNTIFS(Table31[Country],Tabela1[[#This Row],[Country]],Table31[50kg Classification],"&gt;0")</f>
        <v>0</v>
      </c>
      <c r="MH72" s="6">
        <f>COUNTIFS(Table31[Country],Tabela1[[#This Row],[Country]],Table31[53kg Classification],"&gt;0")</f>
        <v>0</v>
      </c>
      <c r="MI72" s="6">
        <f>COUNTIFS(Table31[Country],Tabela1[[#This Row],[Country]],Table31[57kg Classification],"&gt;0")</f>
        <v>0</v>
      </c>
      <c r="MJ72" s="6">
        <f>COUNTIFS(Table31[Country],Tabela1[[#This Row],[Country]],Table31[62kg Classification],"&gt;0")</f>
        <v>0</v>
      </c>
      <c r="MK72" s="6">
        <f>COUNTIFS(Table31[Country],Tabela1[[#This Row],[Country]],Table31[68kg Classification],"&gt;0")</f>
        <v>0</v>
      </c>
      <c r="ML72" s="6">
        <f>COUNTIFS(Table31[Country],Tabela1[[#This Row],[Country]],Table31[76kg Classification],"&gt;0")</f>
        <v>0</v>
      </c>
      <c r="MM72" s="6">
        <f>COUNTIFS(Table102[Country],Tabela1[[#This Row],[Country]],Table102[Downhill Classification],"&gt;0")</f>
        <v>0</v>
      </c>
      <c r="MN72" s="6">
        <f>COUNTIFS(Table102105[Country],Tabela1[[#This Row],[Country]],Table102105[Downhill Classification],"&gt;0")</f>
        <v>0</v>
      </c>
      <c r="MO72" s="6">
        <f>COUNTIFS(Table102[Country],Tabela1[[#This Row],[Country]],Table102[Giant Slalom Classification],"&gt;0")</f>
        <v>0</v>
      </c>
      <c r="MP72" s="6">
        <f>COUNTIFS(Table102105[Country],Tabela1[[#This Row],[Country]],Table102105[Giant Slalom Classification],"&gt;0")</f>
        <v>0</v>
      </c>
      <c r="MQ72" s="6">
        <f>COUNTIFS(Table102[Country],Tabela1[[#This Row],[Country]],Table102[Slalom Classification],"&gt;0")</f>
        <v>0</v>
      </c>
      <c r="MR72" s="6">
        <f>COUNTIFS(Table102105[Country],Tabela1[[#This Row],[Country]],Table102105[Slalom Classification],"&gt;0")</f>
        <v>0</v>
      </c>
      <c r="MS72" s="6">
        <f>COUNTIFS(Table102[Country],Tabela1[[#This Row],[Country]],Table102[Super-G Classification],"&gt;0")</f>
        <v>0</v>
      </c>
      <c r="MT72" s="6">
        <f>COUNTIFS(Table102105[Country],Tabela1[[#This Row],[Country]],Table102105[Super-G Classification],"&gt;0")</f>
        <v>0</v>
      </c>
      <c r="MU72" s="6">
        <f>COUNTIFS(Table105[Country],Tabela1[[#This Row],[Country]],Table105[Men''s Combined Classification],"&gt;0")</f>
        <v>0</v>
      </c>
      <c r="MV72" s="6">
        <f>COUNTIFS(Table105[Country],Tabela1[[#This Row],[Country]],Table105[Women''s Combined Classification],"&gt;0")</f>
        <v>0</v>
      </c>
      <c r="MW72" s="6">
        <f>COUNTIFS(Table106[Country],Tabela1[[#This Row],[Country]],Table106[Individual Classification],"&gt;0")</f>
        <v>0</v>
      </c>
      <c r="MX72" s="6">
        <f>COUNTIFS(Table106109[Country],Tabela1[[#This Row],[Country]],Table106109[Individual Classification],"&gt;0")</f>
        <v>0</v>
      </c>
      <c r="MY72" s="6">
        <f>COUNTIFS(Table106[Country],Tabela1[[#This Row],[Country]],Table106[Mass Start Classification],"&gt;0")</f>
        <v>0</v>
      </c>
      <c r="MZ72" s="6">
        <f>COUNTIFS(Table106109[Country],Tabela1[[#This Row],[Country]],Table106109[Mass Start Classification],"&gt;0")</f>
        <v>0</v>
      </c>
      <c r="NA72" s="6">
        <f>COUNTIFS(Table106[Country],Tabela1[[#This Row],[Country]],Table106[Pursuit Classification],"&gt;0")</f>
        <v>0</v>
      </c>
      <c r="NB72" s="6">
        <f>COUNTIFS(Table106109[Country],Tabela1[[#This Row],[Country]],Table106109[Pursuit Classification],"&gt;0")</f>
        <v>0</v>
      </c>
      <c r="NC72" s="6">
        <f>COUNTIFS(Table106[Country],Tabela1[[#This Row],[Country]],Table106[Sprint Classification],"&gt;0")</f>
        <v>0</v>
      </c>
      <c r="ND72" s="6">
        <f>COUNTIFS(Table106109[Country],Tabela1[[#This Row],[Country]],Table106109[Sprint Classification],"&gt;0")</f>
        <v>0</v>
      </c>
      <c r="NE72" s="6">
        <f>COUNTIFS(Table109[Country],Tabela1[[#This Row],[Country]],Table109[Men''s Relay Classification],"&gt;0")</f>
        <v>0</v>
      </c>
      <c r="NF72" s="6">
        <f>COUNTIFS(Table109[Country],Tabela1[[#This Row],[Country]],Table109[Women''s Relay Classification],"&gt;0")</f>
        <v>0</v>
      </c>
      <c r="NG72" s="6">
        <f>COUNTIFS(Table109[Country],Tabela1[[#This Row],[Country]],Table109[Mixed Relay Classification],"&gt;0")</f>
        <v>0</v>
      </c>
      <c r="NH72" s="6">
        <f>COUNTIFS(Table110[Country],Tabela1[[#This Row],[Country]],Table110[Monobob Classification],"&gt;0")</f>
        <v>0</v>
      </c>
      <c r="NI72" s="6">
        <f>COUNTIFS(Table111[Country],Tabela1[[#This Row],[Country]],Table111[Men''s Classification],"&gt;0")</f>
        <v>0</v>
      </c>
      <c r="NJ72" s="6">
        <f>COUNTIFS(Table111[Country],Tabela1[[#This Row],[Country]],Table111[Women''s Classification],"&gt;0")</f>
        <v>0</v>
      </c>
      <c r="NK72" s="6">
        <f>COUNTIFS(Table112[Country],Tabela1[[#This Row],[Country]],Table112[Men''s Four Classification],"&gt;0")</f>
        <v>0</v>
      </c>
      <c r="NL72" s="6">
        <f>COUNTIFS(Table113[Country],Tabela1[[#This Row],[Country]],Table113[Classical Classification],"&gt;0")</f>
        <v>0</v>
      </c>
      <c r="NM72" s="6">
        <f>COUNTIFS(Table113116[Country],Tabela1[[#This Row],[Country]],Table113116[Classical Classification],"&gt;0")</f>
        <v>0</v>
      </c>
      <c r="NN72" s="6">
        <f>COUNTIFS(Table113[Country],Tabela1[[#This Row],[Country]],Table113[Freestyle Classification],"&gt;0")</f>
        <v>0</v>
      </c>
      <c r="NO72" s="6">
        <f>COUNTIFS(Table113116[Country],Tabela1[[#This Row],[Country]],Table113116[Freestyle Classification],"&gt;0")</f>
        <v>0</v>
      </c>
      <c r="NP72" s="6">
        <f>COUNTIFS(Table117[Country],Tabela1[[#This Row],[Country]],Table117[Men''s Relay Classification],"&gt;0")</f>
        <v>0</v>
      </c>
      <c r="NQ72" s="6">
        <f>COUNTIFS(Table117[Country],Tabela1[[#This Row],[Country]],Table117[Women''s Relay Classification],"&gt;0")</f>
        <v>0</v>
      </c>
      <c r="NR72" s="6">
        <f>COUNTIFS(Table113[Country],Tabela1[[#This Row],[Country]],Table113[Skiathlon Classification],"&gt;0")</f>
        <v>0</v>
      </c>
      <c r="NS72" s="6">
        <f>COUNTIFS(Table113116[Country],Tabela1[[#This Row],[Country]],Table113116[Skiathlon Classification],"&gt;0")</f>
        <v>0</v>
      </c>
      <c r="NT72" s="6">
        <f>COUNTIFS(Table113[Country],Tabela1[[#This Row],[Country]],Table113[Sprint Classification],"&gt;0")</f>
        <v>0</v>
      </c>
      <c r="NU72" s="6">
        <f>COUNTIFS(Table113116[Country],Tabela1[[#This Row],[Country]],Table113116[Sprint Classification],"&gt;0")</f>
        <v>0</v>
      </c>
      <c r="NV72" s="6">
        <f>COUNTIFS(Table116[Country],Tabela1[[#This Row],[Country]],Table116[Men''s Team Sprint Classification],"&gt;0")</f>
        <v>0</v>
      </c>
      <c r="NW72" s="6">
        <f>COUNTIFS(Table116[Country],Tabela1[[#This Row],[Country]],Table116[Women''s Team Sprint Classification],"&gt;0")</f>
        <v>0</v>
      </c>
      <c r="NX72" s="6">
        <f>COUNTIFS(Table119[Country],Tabela1[[#This Row],[Country]],Table119[Men''s Classification],"&gt;0")</f>
        <v>0</v>
      </c>
      <c r="NY72" s="6">
        <f>COUNTIFS(Table119[Country],Tabela1[[#This Row],[Country]],Table119[Women''s Classification],"&gt;0")</f>
        <v>0</v>
      </c>
      <c r="NZ72" s="6">
        <f>COUNTIFS(Table118[Country],Tabela1[[#This Row],[Country]],Table118[Mixed Classification],"&gt;0")</f>
        <v>0</v>
      </c>
      <c r="OA72" s="6">
        <f>COUNTIFS(Table120[Country],Tabela1[[#This Row],[Country]],Table120[Classification],"&gt;0")</f>
        <v>0</v>
      </c>
      <c r="OB72" s="6">
        <f>COUNTIFS(Table120123[Country],Tabela1[[#This Row],[Country]],Table120123[Classification],"&gt;0")</f>
        <v>0</v>
      </c>
      <c r="OC72" s="6">
        <f>COUNTIFS(Table123[Country],Tabela1[[#This Row],[Country]],Table123[Ice Dance Classification],"&gt;0")</f>
        <v>0</v>
      </c>
      <c r="OD72" s="6">
        <f>COUNTIFS(Table123[Country],Tabela1[[#This Row],[Country]],Table123[Pair Skating Classification],"&gt;0")</f>
        <v>0</v>
      </c>
      <c r="OE72" s="6">
        <f>COUNTIFS(Table124[Country],Tabela1[[#This Row],[Country]],Table124[Mixed Classification],"&gt;0")</f>
        <v>0</v>
      </c>
      <c r="OF72" s="6">
        <f>COUNTIFS(Table125[Country],Tabela1[[#This Row],[Country]],Table125[Aerials Classification],"&gt;0")</f>
        <v>0</v>
      </c>
      <c r="OG72" s="6">
        <f>COUNTIFS(Table125128[Country],Tabela1[[#This Row],[Country]],Table125128[Aerials Classification],"&gt;0")</f>
        <v>0</v>
      </c>
      <c r="OH72" s="6">
        <f>COUNTIFS(Table128[Country],Tabela1[[#This Row],[Country]],Table128[Mixed Aerials Classification],"&gt;0")</f>
        <v>0</v>
      </c>
      <c r="OI72" s="6">
        <f>COUNTIFS(Table125[Country],Tabela1[[#This Row],[Country]],Table125[Big Air Classification],"&gt;0")</f>
        <v>0</v>
      </c>
      <c r="OJ72" s="6">
        <f>COUNTIFS(Table125128[Country],Tabela1[[#This Row],[Country]],Table125128[Big Air Classification],"&gt;0")</f>
        <v>0</v>
      </c>
      <c r="OK72" s="6">
        <f>COUNTIFS(Table125[Country],Tabela1[[#This Row],[Country]],Table125[Dual Moguls Classification],"&gt;0")</f>
        <v>0</v>
      </c>
      <c r="OL72" s="6">
        <f>COUNTIFS(Table125128[Country],Tabela1[[#This Row],[Country]],Table125128[Dual Moguls Classification],"&gt;0")</f>
        <v>0</v>
      </c>
      <c r="OM72" s="6">
        <f>COUNTIFS(Table125[Country],Tabela1[[#This Row],[Country]],Table125[Halfpipe Classification],"&gt;0")</f>
        <v>0</v>
      </c>
      <c r="ON72" s="6">
        <f>COUNTIFS(Table125128[Country],Tabela1[[#This Row],[Country]],Table125128[Halfpipe Classification],"&gt;0")</f>
        <v>0</v>
      </c>
      <c r="OO72" s="6">
        <f>COUNTIFS(Table125[Country],Tabela1[[#This Row],[Country]],Table125[Moguls Classification],"&gt;0")</f>
        <v>0</v>
      </c>
      <c r="OP72" s="6">
        <f>COUNTIFS(Table125128[Country],Tabela1[[#This Row],[Country]],Table125128[Moguls Classification],"&gt;0")</f>
        <v>0</v>
      </c>
      <c r="OQ72" s="6">
        <f>COUNTIFS(Table125[Country],Tabela1[[#This Row],[Country]],Table125[Ski Cross Classification],"&gt;0")</f>
        <v>0</v>
      </c>
      <c r="OR72" s="6">
        <f>COUNTIFS(Table125128[Country],Tabela1[[#This Row],[Country]],Table125128[Ski Cross Classification],"&gt;0")</f>
        <v>0</v>
      </c>
      <c r="OS72" s="6">
        <f>COUNTIFS(Table125[Country],Tabela1[[#This Row],[Country]],Table125[Slopestyle Classification],"&gt;0")</f>
        <v>0</v>
      </c>
      <c r="OT72" s="6">
        <f>COUNTIFS(Table125128[Country],Tabela1[[#This Row],[Country]],Table125128[Slopestyle Classification],"&gt;0")</f>
        <v>0</v>
      </c>
      <c r="OU72" s="6">
        <f>COUNTIFS(Table119131[Country],Tabela1[[#This Row],[Country]],Table119131[Men''s Classification],"&gt;0")</f>
        <v>0</v>
      </c>
      <c r="OV72" s="6">
        <f>COUNTIFS(Table119131[Country],Tabela1[[#This Row],[Country]],Table119131[Women''s Classification],"&gt;0")</f>
        <v>0</v>
      </c>
      <c r="OW72" s="6">
        <f>COUNTIFS(Table131[Country],Tabela1[[#This Row],[Country]],Table131[Classification],"&gt;0")</f>
        <v>0</v>
      </c>
      <c r="OX72" s="6">
        <f>COUNTIFS(Table131134[Country],Tabela1[[#This Row],[Country]],Table131134[Classification],"&gt;0")</f>
        <v>0</v>
      </c>
      <c r="OY72" s="6">
        <f>COUNTIFS(Table134[Country],Tabela1[[#This Row],[Country]],Table134[Men''s Classification],"&gt;0")</f>
        <v>0</v>
      </c>
      <c r="OZ72" s="6">
        <f>COUNTIFS(Table134[Country],Tabela1[[#This Row],[Country]],Table134[Women''s Classification],"&gt;0")</f>
        <v>0</v>
      </c>
      <c r="PA72" s="6">
        <f>COUNTIFS(Table135[Country],Tabela1[[#This Row],[Country]],Table135[Mixed Relay Classification],"&gt;0")</f>
        <v>0</v>
      </c>
      <c r="PB72" s="6">
        <f>COUNTIFS(Table136[Country],Tabela1[[#This Row],[Country]],Table136[Individual Classification],"&gt;0")</f>
        <v>0</v>
      </c>
      <c r="PC72" s="6">
        <f>COUNTIFS(Table136[Country],Tabela1[[#This Row],[Country]],Table136[Sprint Classification],"&gt;0")</f>
        <v>0</v>
      </c>
      <c r="PD72" s="6">
        <f>COUNTIFS(Table137[Country],Tabela1[[#This Row],[Country]],Table137[Men''s Team Sprint Large Hill Classification],"&gt;0")</f>
        <v>0</v>
      </c>
      <c r="PE72" s="6">
        <f>COUNTIFS(Table138[Country],Tabela1[[#This Row],[Country]],Table138[500m Classification],"&gt;0")</f>
        <v>0</v>
      </c>
      <c r="PF72" s="6">
        <f>COUNTIFS(Table138141[Country],Tabela1[[#This Row],[Country]],Table138141[500m Classification],"&gt;0")</f>
        <v>1</v>
      </c>
      <c r="PG72" s="6">
        <f>COUNTIFS(Table138[Country],Tabela1[[#This Row],[Country]],Table138[1000m Classification],"&gt;0")</f>
        <v>0</v>
      </c>
      <c r="PH72" s="6">
        <f>COUNTIFS(Table138141[Country],Tabela1[[#This Row],[Country]],Table138141[1000m Classification],"&gt;0")</f>
        <v>1</v>
      </c>
      <c r="PI72" s="6">
        <f>COUNTIFS(Table138[Country],Tabela1[[#This Row],[Country]],Table138[1500m Classification],"&gt;0")</f>
        <v>0</v>
      </c>
      <c r="PJ72" s="6">
        <f>COUNTIFS(Table138141[Country],Tabela1[[#This Row],[Country]],Table138141[1500m Classification],"&gt;0")</f>
        <v>0</v>
      </c>
      <c r="PK72" s="6">
        <f>COUNTIFS(Table141[Country],Tabela1[[#This Row],[Country]],Table141[Men''s 5000m Relay Classification],"&gt;0")</f>
        <v>0</v>
      </c>
      <c r="PL72" s="6">
        <f>COUNTIFS(Table141[Country],Tabela1[[#This Row],[Country]],Table141[Women''s 3000m Relay Classification],"&gt;0")</f>
        <v>0</v>
      </c>
      <c r="PM72" s="6">
        <f>COUNTIFS(Table141[Country],Tabela1[[#This Row],[Country]],Table141[Mixed 2000m Relay Classification],"&gt;0")</f>
        <v>0</v>
      </c>
      <c r="PN72" s="6">
        <f>COUNTIFS(Table142[Country],Tabela1[[#This Row],[Country]],Table142[Classification],"&gt;0")</f>
        <v>0</v>
      </c>
      <c r="PO72" s="6">
        <f>COUNTIFS(Table142145[Country],Tabela1[[#This Row],[Country]],Table142145[Classification],"&gt;0")</f>
        <v>0</v>
      </c>
      <c r="PP72" s="6">
        <f>COUNTIFS(Tabela15[Country],Tabela1[[#This Row],[Country]],Tabela15[Mixed Team Classification],"&gt;0")</f>
        <v>0</v>
      </c>
      <c r="PQ72" s="6">
        <f>COUNTIFS(Table145[Country],Tabela1[[#This Row],[Country]],Table145[Large Hill Classification],"&gt;0")</f>
        <v>0</v>
      </c>
      <c r="PR72" s="6">
        <f>COUNTIFS(Table145[Country],Tabela1[[#This Row],[Country]],Table145[Normal Hill Classification],"&gt;0")</f>
        <v>0</v>
      </c>
      <c r="PS72" s="6">
        <f>COUNTIFS(Table145148[Country],Tabela1[[#This Row],[Country]],Table145148[Large Hill Classification],"&gt;0")</f>
        <v>0</v>
      </c>
      <c r="PT72" s="6">
        <f>COUNTIFS(Table145148[Country],Tabela1[[#This Row],[Country]],Table145148[Normal Hill Classification],"&gt;0")</f>
        <v>0</v>
      </c>
      <c r="PU72" s="6">
        <f>COUNTIFS(Table148[Country],Tabela1[[#This Row],[Country]],Table148[Men''s Super Team Classification],"&gt;0")</f>
        <v>0</v>
      </c>
      <c r="PV72" s="6">
        <f>COUNTIFS(Tabela114[Country],Tabela1[[#This Row],[Country]],Tabela114[Mixed Normal Hill Classification],"&gt;0")</f>
        <v>0</v>
      </c>
      <c r="PW72" s="6">
        <f>COUNTIFS(Tabela50[Country],Tabela1[[#This Row],[Country]],Tabela50[Sprint Classification],"&gt;0")</f>
        <v>0</v>
      </c>
      <c r="PX72" s="6">
        <f>COUNTIFS(Tabela50101[Country],Tabela1[[#This Row],[Country]],Tabela50101[Sprint Classification],"&gt;0")</f>
        <v>0</v>
      </c>
      <c r="PY72" s="6">
        <f>COUNTIFS(Tabela103[Country],Tabela1[[#This Row],[Country]],Tabela103[Mixed Relay Classification],"&gt;0")</f>
        <v>0</v>
      </c>
      <c r="PZ72" s="6">
        <f>COUNTIFS(Table149[Country],Tabela1[[#This Row],[Country]],Table149[Big Air Classification],"&gt;0")</f>
        <v>0</v>
      </c>
      <c r="QA72" s="6">
        <f>COUNTIFS(Table149152[Country],Tabela1[[#This Row],[Country]],Table149152[Big Air Classification],"&gt;0")</f>
        <v>0</v>
      </c>
      <c r="QB72" s="6">
        <f>COUNTIFS(Table149[Country],Tabela1[[#This Row],[Country]],Table149[Halfpipe Classification],"&gt;0")</f>
        <v>0</v>
      </c>
      <c r="QC72" s="6">
        <f>COUNTIFS(Table149152[Country],Tabela1[[#This Row],[Country]],Table149152[Halfpipe Classification],"&gt;0")</f>
        <v>0</v>
      </c>
      <c r="QD72" s="6">
        <f>COUNTIFS(Table149[Country],Tabela1[[#This Row],[Country]],Table149[Parallel Giant Slalom Classification],"&gt;0")</f>
        <v>0</v>
      </c>
      <c r="QE72" s="6">
        <f>COUNTIFS(Table149152[Country],Tabela1[[#This Row],[Country]],Table149152[Parallel Giant Slalom Classification],"&gt;0")</f>
        <v>0</v>
      </c>
      <c r="QF72" s="6">
        <f>COUNTIFS(Table149[Country],Tabela1[[#This Row],[Country]],Table149[Slopestyle Classification],"&gt;0")</f>
        <v>0</v>
      </c>
      <c r="QG72" s="6">
        <f>COUNTIFS(Table149152[Country],Tabela1[[#This Row],[Country]],Table149152[Slopestyle Classification],"&gt;0")</f>
        <v>0</v>
      </c>
      <c r="QH72" s="6">
        <f>COUNTIFS(Table149[Country],Tabela1[[#This Row],[Country]],Table149[Snowboard Cross Classification],"&gt;0")</f>
        <v>0</v>
      </c>
      <c r="QI72" s="6">
        <f>COUNTIFS(Table149152[Country],Tabela1[[#This Row],[Country]],Table149152[Snowboard Cross Classification],"&gt;0")</f>
        <v>0</v>
      </c>
      <c r="QJ72" s="6">
        <f>COUNTIFS(Table153[Country],Tabela1[[#This Row],[Country]],Table153[Mixed Team Snowboard Cross Classification],"&gt;0")</f>
        <v>0</v>
      </c>
      <c r="QK72" s="6">
        <f>COUNTIFS(Table154[Country],Tabela1[[#This Row],[Country]],Table154[500m Classification],"&gt;0")</f>
        <v>0</v>
      </c>
      <c r="QL72" s="6">
        <f>COUNTIFS(Table154157[Country],Tabela1[[#This Row],[Country]],Table154157[500m Classification],"&gt;0")</f>
        <v>0</v>
      </c>
      <c r="QM72" s="6">
        <f>COUNTIFS(Table154[Country],Tabela1[[#This Row],[Country]],Table154[1000m Classification],"&gt;0")</f>
        <v>0</v>
      </c>
      <c r="QN72" s="6">
        <f>COUNTIFS(Table154157[Country],Tabela1[[#This Row],[Country]],Table154157[1000m Classification],"&gt;0")</f>
        <v>0</v>
      </c>
      <c r="QO72" s="6">
        <f>COUNTIFS(Table154[Country],Tabela1[[#This Row],[Country]],Table154[1500m Classification],"&gt;0")</f>
        <v>0</v>
      </c>
      <c r="QP72" s="6">
        <f>COUNTIFS(Table154157[Country],Tabela1[[#This Row],[Country]],Table154157[1500m Classification],"&gt;0")</f>
        <v>0</v>
      </c>
      <c r="QQ72" s="6">
        <f>COUNTIFS(Table154157[Country],Tabela1[[#This Row],[Country]],Table154157[3000m Classification],"&gt;0")</f>
        <v>0</v>
      </c>
      <c r="QR72" s="6">
        <f>COUNTIFS(Table154[Country],Tabela1[[#This Row],[Country]],Table154[5000m Classification],"&gt;0")</f>
        <v>0</v>
      </c>
      <c r="QS72" s="6">
        <f>COUNTIFS(Table154157[Country],Tabela1[[#This Row],[Country]],Table154157[5000m Classification],"&gt;0")</f>
        <v>0</v>
      </c>
      <c r="QT72" s="6">
        <f>COUNTIFS(Table154[Country],Tabela1[[#This Row],[Country]],Table154[10000m Classification],"&gt;0")</f>
        <v>0</v>
      </c>
      <c r="QU72" s="6">
        <f>COUNTIFS(Table154[Country],Tabela1[[#This Row],[Country]],Table154[Mass Start Classification],"&gt;0")</f>
        <v>0</v>
      </c>
      <c r="QV72" s="6">
        <f>COUNTIFS(Table154157[Country],Tabela1[[#This Row],[Country]],Table154157[Mass Start Classification],"&gt;0")</f>
        <v>0</v>
      </c>
      <c r="QW72" s="6">
        <f>COUNTIFS(Table157[Country],Tabela1[[#This Row],[Country]],Table157[Men''s Pursuit Classification],"&gt;0")</f>
        <v>0</v>
      </c>
      <c r="QX72" s="6">
        <f>COUNTIFS(Table157[Country],Tabela1[[#This Row],[Country]],Table157[Women''s Pursuit Classification],"&gt;0")</f>
        <v>0</v>
      </c>
      <c r="QY72" s="3" t="s">
        <v>675</v>
      </c>
    </row>
    <row r="73" spans="1:467" x14ac:dyDescent="0.3">
      <c r="A73" s="6">
        <v>72</v>
      </c>
      <c r="B73" s="6" t="s">
        <v>560</v>
      </c>
      <c r="C73" t="e" vm="72">
        <f>IF(ISBLANK(Tabela1[[#This Row],[Image Link]]), "", _xlfn.IMAGE(Tabela1[[#This Row],[Image Link]],1,1))</f>
        <v>#VALUE!</v>
      </c>
      <c r="D73" s="6">
        <f>SUM(Tabela1[[#This Row],[Archery - Men''s Individual Recurve]:[Speed Skating - Women''s Team Pursuit]])</f>
        <v>7</v>
      </c>
      <c r="E73" s="6">
        <f>COUNTIF(Tabela1[[#This Row],[Archery - Men''s Individual Recurve]:[Speed Skating - Women''s Team Pursuit]],"&gt;0")</f>
        <v>7</v>
      </c>
      <c r="F73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73" s="6">
        <f>SUM(Tabela1[[#This Row],[Archery - Men''s Individual Recurve]:[Wrestling - Women''s Freestyle 76kg]])</f>
        <v>5</v>
      </c>
      <c r="H73" s="6">
        <f>SUM(Tabela1[[#This Row],[Alpine Skiing - Men''s Downhill]:[Speed Skating - Women''s Team Pursuit]])</f>
        <v>2</v>
      </c>
      <c r="I73" s="6">
        <f>Tabela1[[#This Row],[Summer Gold Medals]]+Tabela1[[#This Row],[Winter Gold Medals]]</f>
        <v>0</v>
      </c>
      <c r="J73" s="6">
        <f>Tabela1[[#This Row],[Summer Silver Medals]]+Tabela1[[#This Row],[Winter Silver Medals]]</f>
        <v>1</v>
      </c>
      <c r="K73" s="6">
        <f>Tabela1[[#This Row],[Summer Bronze Medals]]+Tabela1[[#This Row],[Winter Bronze Medals]]</f>
        <v>0</v>
      </c>
      <c r="L73" s="6">
        <f>SUM(Tabela1[[#This Row],[Total Gold Medals]:[Total Bronze Medals]])</f>
        <v>1</v>
      </c>
      <c r="M73" s="6"/>
      <c r="N73" s="6">
        <v>1</v>
      </c>
      <c r="O73" s="6"/>
      <c r="P73" s="6">
        <f>SUM(Tabela1[[#This Row],[Summer Gold Medals]:[Summer Bronze Medals]])</f>
        <v>1</v>
      </c>
      <c r="Q73" s="6"/>
      <c r="R73" s="6"/>
      <c r="S73" s="6"/>
      <c r="T73" s="6">
        <f>Tabela1[[#This Row],[Winter Gold Medals]]+Tabela1[[#This Row],[Winter Silver Medals]]+Tabela1[[#This Row],[Winter Bronze Medals]]</f>
        <v>0</v>
      </c>
      <c r="U73" s="7">
        <f>Tabela1[[#This Row],[Total Medals]]/Tabela1[[#This Row],[Total Quotas]]</f>
        <v>0.14285714285714285</v>
      </c>
      <c r="V73" s="6">
        <f>COUNTIFS(Table3[Country],Tabela1[[#This Row],[Country]],Table3[Recurve Classification],"&gt;0")</f>
        <v>0</v>
      </c>
      <c r="W73" s="6">
        <f>COUNTIFS(Table33[Country],Tabela1[[#This Row],[Country]],Table33[Recurve Classification],"&gt;0")</f>
        <v>0</v>
      </c>
      <c r="X73" s="6">
        <f>COUNTIFS(Table35[Country],Tabela1[[#This Row],[Country]],Table35[Men''s Team Recurve Classification],"&gt;0")</f>
        <v>0</v>
      </c>
      <c r="Y73" s="6">
        <f>COUNTIFS(Table35[Country],Tabela1[[#This Row],[Country]],Table35[Women''s Team Recurve Classification],"&gt;0")</f>
        <v>0</v>
      </c>
      <c r="Z73" s="6">
        <f>COUNTIFS(Tabela88[Country],Tabela1[[#This Row],[Country]],Tabela88[Mixed Team Recurve Classification],"&gt;0")</f>
        <v>0</v>
      </c>
      <c r="AA73" s="6">
        <f>COUNTIFS(Table36[Country],Tabela1[[#This Row],[Country]],Table36[Classification],"&gt;0")</f>
        <v>0</v>
      </c>
      <c r="AB73" s="6">
        <f>COUNTIFS(Table37[Country],Tabela1[[#This Row],[Country]],Table37[Classification],"&gt;0")</f>
        <v>0</v>
      </c>
      <c r="AC73" s="6">
        <f>COUNTIFS(Table4[Country],Tabela1[[#This Row],[Country]],Table4[100m Classification],"&gt;0")</f>
        <v>0</v>
      </c>
      <c r="AD73" s="6">
        <f>COUNTIFS(Table5[Country],Tabela1[[#This Row],[Country]],Table5[100m Classification],"&gt;0")</f>
        <v>0</v>
      </c>
      <c r="AE73" s="6">
        <f>COUNTIFS(Table4[Country],Tabela1[[#This Row],[Country]],Table4[200m Classification],"&gt;0")</f>
        <v>0</v>
      </c>
      <c r="AF73" s="6">
        <f>COUNTIFS(Table5[Country],Tabela1[[#This Row],[Country]],Table5[200m Classification],"&gt;0")</f>
        <v>0</v>
      </c>
      <c r="AG73" s="6">
        <f>COUNTIFS(Table4[Country],Tabela1[[#This Row],[Country]],Table4[400m Classification],"&gt;0")</f>
        <v>0</v>
      </c>
      <c r="AH73" s="6">
        <f>COUNTIFS(Table5[Country],Tabela1[[#This Row],[Country]],Table5[400m Classification],"&gt;0")</f>
        <v>0</v>
      </c>
      <c r="AI73" s="6">
        <f>COUNTIFS(Table4[Country],Tabela1[[#This Row],[Country]],Table4[800m Classification],"&gt;0")</f>
        <v>0</v>
      </c>
      <c r="AJ73" s="6">
        <f>COUNTIFS(Table5[Country],Tabela1[[#This Row],[Country]],Table5[800m Classification],"&gt;0")</f>
        <v>0</v>
      </c>
      <c r="AK73" s="6">
        <f>COUNTIFS(Table4[Country],Tabela1[[#This Row],[Country]],Table4[1500m Classification],"&gt;0")</f>
        <v>0</v>
      </c>
      <c r="AL73" s="6">
        <f>COUNTIFS(Table5[Country],Tabela1[[#This Row],[Country]],Table5[1500m Classification],"&gt;0")</f>
        <v>0</v>
      </c>
      <c r="AM73" s="6">
        <f>COUNTIFS(Table4[Country],Tabela1[[#This Row],[Country]],Table4[5000m Classification],"&gt;0")</f>
        <v>0</v>
      </c>
      <c r="AN73" s="6">
        <f>COUNTIFS(Table5[Country],Tabela1[[#This Row],[Country]],Table5[5000m Classification],"&gt;0")</f>
        <v>0</v>
      </c>
      <c r="AO73" s="6">
        <f>COUNTIFS(Table4[Country],Tabela1[[#This Row],[Country]],Table4[10000m Classification],"&gt;0")</f>
        <v>0</v>
      </c>
      <c r="AP73" s="6">
        <f>COUNTIFS(Table5[Country],Tabela1[[#This Row],[Country]],Table5[10000m Classification],"&gt;0")</f>
        <v>0</v>
      </c>
      <c r="AQ73" s="6">
        <f>COUNTIFS(Table4[Country],Tabela1[[#This Row],[Country]],Table4[110m Hurdles Classification],"&gt;0")</f>
        <v>1</v>
      </c>
      <c r="AR73" s="6">
        <f>COUNTIFS(Table5[Country],Tabela1[[#This Row],[Country]],Table5[100m Hurdles Classification],"&gt;0")</f>
        <v>0</v>
      </c>
      <c r="AS73" s="6">
        <f>COUNTIFS(Table4[Country],Tabela1[[#This Row],[Country]],Table4[400m Hurdles Classification],"&gt;0")</f>
        <v>0</v>
      </c>
      <c r="AT73" s="6">
        <f>COUNTIFS(Table5[Country],Tabela1[[#This Row],[Country]],Table5[400m Hurdles Classification],"&gt;0")</f>
        <v>0</v>
      </c>
      <c r="AU73" s="6">
        <f>COUNTIFS(Table4[Country],Tabela1[[#This Row],[Country]],Table4[3000m Steeplechase Classification],"&gt;0")</f>
        <v>0</v>
      </c>
      <c r="AV73" s="6">
        <f>COUNTIFS(Table5[Country],Tabela1[[#This Row],[Country]],Table5[3000m Steeplechase Classification],"&gt;0")</f>
        <v>0</v>
      </c>
      <c r="AW73" s="6">
        <f>COUNTIFS(Table27[Country],Tabela1[[#This Row],[Country]],Table27[Men''s 4x100m Relay Classification],"&gt;0")</f>
        <v>0</v>
      </c>
      <c r="AX73" s="6">
        <f>COUNTIFS(Table27[Country],Tabela1[[#This Row],[Country]],Table27[Women''s 4x100m Relay Classification],"&gt;0")</f>
        <v>0</v>
      </c>
      <c r="AY73" s="6">
        <f>COUNTIFS(Table27[Country],Tabela1[[#This Row],[Country]],Table27[Men''s 4x400m Relay Classification],"&gt;0")</f>
        <v>0</v>
      </c>
      <c r="AZ73" s="6">
        <f>COUNTIFS(Table27[Country],Tabela1[[#This Row],[Country]],Table27[Women''s 4x400m Relay Classification],"&gt;0")</f>
        <v>0</v>
      </c>
      <c r="BA73" s="6">
        <f>COUNTIFS(Table27[Country],Tabela1[[#This Row],[Country]],Table27[Mixed 4x400m Relay Classification],"&gt;0")</f>
        <v>0</v>
      </c>
      <c r="BB73" s="6">
        <f>COUNTIFS(Table4[Country],Tabela1[[#This Row],[Country]],Table4[Marathon Classification],"&gt;0")</f>
        <v>0</v>
      </c>
      <c r="BC73" s="6">
        <f>COUNTIFS(Table5[Country],Tabela1[[#This Row],[Country]],Table5[Marathon Classification],"&gt;0")</f>
        <v>0</v>
      </c>
      <c r="BD73" s="6">
        <f>COUNTIFS(Table4[Country],Tabela1[[#This Row],[Country]],Table4[20km Race Walk Classification],"&gt;0")</f>
        <v>0</v>
      </c>
      <c r="BE73" s="6">
        <f>COUNTIFS(Table5[Country],Tabela1[[#This Row],[Country]],Table5[20km Race Walk Classification],"&gt;0")</f>
        <v>0</v>
      </c>
      <c r="BF73" s="6">
        <f>COUNTIFS(Tabela96[Country],Tabela1[[#This Row],[Country]],Tabela96[Mixed Marathon Race Walk Relay Classification],"&gt;0")</f>
        <v>0</v>
      </c>
      <c r="BG73" s="6">
        <f>COUNTIFS(Table4[Country],Tabela1[[#This Row],[Country]],Table4[Discus Throw Classification],"&gt;0")</f>
        <v>0</v>
      </c>
      <c r="BH73" s="6">
        <f>COUNTIFS(Table5[Country],Tabela1[[#This Row],[Country]],Table5[Discus Throw Classification],"&gt;0")</f>
        <v>0</v>
      </c>
      <c r="BI73" s="6">
        <f>COUNTIFS(Table4[Country],Tabela1[[#This Row],[Country]],Table4[Hammer Throw Classification],"&gt;0")</f>
        <v>0</v>
      </c>
      <c r="BJ73" s="6">
        <f>COUNTIFS(Table5[Country],Tabela1[[#This Row],[Country]],Table5[Hammer Throw Classification],"&gt;0")</f>
        <v>0</v>
      </c>
      <c r="BK73" s="6">
        <f>COUNTIFS(Table4[Country],Tabela1[[#This Row],[Country]],Table4[High Jump Classification],"&gt;0")</f>
        <v>0</v>
      </c>
      <c r="BL73" s="6">
        <f>COUNTIFS(Table5[Country],Tabela1[[#This Row],[Country]],Table5[High Jump Classification],"&gt;0")</f>
        <v>0</v>
      </c>
      <c r="BM73" s="6">
        <f>COUNTIFS(Table4[Country],Tabela1[[#This Row],[Country]],Table4[Javelin Throw Classification],"&gt;0")</f>
        <v>0</v>
      </c>
      <c r="BN73" s="6">
        <f>COUNTIFS(Table5[Country],Tabela1[[#This Row],[Country]],Table5[Javelin Throw Classification],"&gt;0")</f>
        <v>0</v>
      </c>
      <c r="BO73" s="6">
        <f>COUNTIFS(Table4[Country],Tabela1[[#This Row],[Country]],Table4[Long Jump Classification],"&gt;0")</f>
        <v>0</v>
      </c>
      <c r="BP73" s="6">
        <f>COUNTIFS(Table5[Country],Tabela1[[#This Row],[Country]],Table5[Long Jump Classification],"&gt;0")</f>
        <v>0</v>
      </c>
      <c r="BQ73" s="6">
        <f>COUNTIFS(Table4[Country],Tabela1[[#This Row],[Country]],Table4[Pole Vault Classification],"&gt;0")</f>
        <v>0</v>
      </c>
      <c r="BR73" s="6">
        <f>COUNTIFS(Table5[Country],Tabela1[[#This Row],[Country]],Table5[Pole Vault Classification],"&gt;0")</f>
        <v>0</v>
      </c>
      <c r="BS73" s="6">
        <f>COUNTIFS(Table4[Country],Tabela1[[#This Row],[Country]],Table4[Shot Put Classification],"&gt;0")</f>
        <v>0</v>
      </c>
      <c r="BT73" s="6">
        <f>COUNTIFS(Table5[Country],Tabela1[[#This Row],[Country]],Table5[Shot Put Classification],"&gt;0")</f>
        <v>0</v>
      </c>
      <c r="BU73" s="6">
        <f>COUNTIFS(Table4[Country],Tabela1[[#This Row],[Country]],Table4[Triple Jump Classification],"&gt;0")</f>
        <v>0</v>
      </c>
      <c r="BV73" s="6">
        <f>COUNTIFS(Table5[Country],Tabela1[[#This Row],[Country]],Table5[Triple Jump Classification],"&gt;0")</f>
        <v>0</v>
      </c>
      <c r="BW73" s="6">
        <f>COUNTIFS(Table4[Country],Tabela1[[#This Row],[Country]],Table4[Decathlon Classification],"&gt;0")</f>
        <v>0</v>
      </c>
      <c r="BX73" s="6">
        <f>COUNTIFS(Table5[Country],Tabela1[[#This Row],[Country]],Table5[Heptathlon Classification],"&gt;0")</f>
        <v>0</v>
      </c>
      <c r="BY73" s="6">
        <f>COUNTIFS(Table61[Country],Tabela1[[#This Row],[Country]],Table61[Classification],"&gt;0")</f>
        <v>0</v>
      </c>
      <c r="BZ73" s="6">
        <f>COUNTIFS(Table38[Country],Tabela1[[#This Row],[Country]],Table38[Classification],"&gt;0")</f>
        <v>0</v>
      </c>
      <c r="CA73" s="6">
        <f>COUNTIFS(Table39[Country],Tabela1[[#This Row],[Country]],Table39[Men''s Classification],"&gt;0")</f>
        <v>0</v>
      </c>
      <c r="CB73" s="6">
        <f>COUNTIFS(Table39[Country],Tabela1[[#This Row],[Country]],Table39[Women''s Classification],"&gt;0")</f>
        <v>0</v>
      </c>
      <c r="CC73" s="6">
        <f>COUNTIFS(Table39[Country],Tabela1[[#This Row],[Country]],Table39[Mixed Classification],"&gt;0")</f>
        <v>0</v>
      </c>
      <c r="CD73" s="6">
        <f>COUNTIFS(Table89[Country],Tabela1[[#This Row],[Country]],Table89[Men''s Classification],"&gt;0")</f>
        <v>0</v>
      </c>
      <c r="CE73" s="6">
        <f>COUNTIFS(Table89[Country],Tabela1[[#This Row],[Country]],Table89[Women''s Classification],"&gt;0")</f>
        <v>0</v>
      </c>
      <c r="CF73" s="6">
        <f>COUNTIFS(Table90[Country],Tabela1[[#This Row],[Country]],Table90[Men''s Classification],"&gt;0")</f>
        <v>0</v>
      </c>
      <c r="CG73" s="6">
        <f>COUNTIFS(Table90[Country],Tabela1[[#This Row],[Country]],Table90[Women''s Classification],"&gt;0")</f>
        <v>0</v>
      </c>
      <c r="CH73" s="6">
        <f>COUNTIFS(Table60[Country],Tabela1[[#This Row],[Country]],Table60[Men''s Classification],"&gt;0")</f>
        <v>0</v>
      </c>
      <c r="CI73" s="6">
        <f>COUNTIFS(Table60[Country],Tabela1[[#This Row],[Country]],Table60[Women''s Classification],"&gt;0")</f>
        <v>0</v>
      </c>
      <c r="CJ73" s="6">
        <f>COUNTIFS(Table6[Country],Tabela1[[#This Row],[Country]],Table6[51kg Classification],"&gt;0")</f>
        <v>0</v>
      </c>
      <c r="CK73" s="6">
        <f>COUNTIFS(Table6[Country],Tabela1[[#This Row],[Country]],Table6[57kg Classification],"&gt;0")</f>
        <v>0</v>
      </c>
      <c r="CL73" s="6">
        <f>COUNTIFS(Table6[Country],Tabela1[[#This Row],[Country]],Table6[63.5kg Classification],"&gt;0")</f>
        <v>0</v>
      </c>
      <c r="CM73" s="6">
        <f>COUNTIFS(Table6[Country],Tabela1[[#This Row],[Country]],Table6[71kg Classification],"&gt;0")</f>
        <v>0</v>
      </c>
      <c r="CN73" s="6">
        <f>COUNTIFS(Table6[Country],Tabela1[[#This Row],[Country]],Table6[80kg Classification],"&gt;0")</f>
        <v>0</v>
      </c>
      <c r="CO73" s="6">
        <f>COUNTIFS(Table6[Country],Tabela1[[#This Row],[Country]],Table6[92kg Classification],"&gt;0")</f>
        <v>0</v>
      </c>
      <c r="CP73" s="6">
        <f>COUNTIFS(Table6[Country],Tabela1[[#This Row],[Country]],Table6[Plus 92kg Classification],"&gt;0")</f>
        <v>0</v>
      </c>
      <c r="CQ73" s="6">
        <f>COUNTIFS(Table7[Country],Tabela1[[#This Row],[Country]],Table7[50kg Classification],"&gt;0")</f>
        <v>0</v>
      </c>
      <c r="CR73" s="6">
        <f>COUNTIFS(Table7[Country],Tabela1[[#This Row],[Country]],Table7[54kg Classification],"&gt;0")</f>
        <v>0</v>
      </c>
      <c r="CS73" s="6">
        <f>COUNTIFS(Table7[Country],Tabela1[[#This Row],[Country]],Table7[57kg Classification],"&gt;0")</f>
        <v>0</v>
      </c>
      <c r="CT73" s="6">
        <f>COUNTIFS(Table7[Country],Tabela1[[#This Row],[Country]],Table7[60kg Classification],"&gt;0")</f>
        <v>0</v>
      </c>
      <c r="CU73" s="6">
        <f>COUNTIFS(Table7[Country],Tabela1[[#This Row],[Country]],Table7[66kg Classification],"&gt;0")</f>
        <v>0</v>
      </c>
      <c r="CV73" s="6">
        <f>COUNTIFS(Table7[Country],Tabela1[[#This Row],[Country]],Table7[75kg Classification],"&gt;0")</f>
        <v>0</v>
      </c>
      <c r="CW73" s="6">
        <f>COUNTIFS(Tabela94[Country],Tabela1[[#This Row],[Country]],Tabela94[Classification],"&gt;0")</f>
        <v>0</v>
      </c>
      <c r="CX73" s="6">
        <f>COUNTIFS(Tabela9499[Country],Tabela1[[#This Row],[Country]],Tabela9499[Classification],"&gt;0")</f>
        <v>0</v>
      </c>
      <c r="CY73" s="6">
        <f>COUNTIFS(Tabela107[Country],Tabela1[[#This Row],[Country]],Tabela107[C1 Slalom Classification],"&gt;0")</f>
        <v>0</v>
      </c>
      <c r="CZ73" s="6">
        <f>COUNTIFS(Tabela107122[Country],Tabela1[[#This Row],[Country]],Tabela107122[C1 Slalom Classification],"&gt;0")</f>
        <v>0</v>
      </c>
      <c r="DA73" s="6">
        <f>COUNTIFS(Tabela107[Country],Tabela1[[#This Row],[Country]],Tabela107[K1 Slalom Classification],"&gt;0")</f>
        <v>0</v>
      </c>
      <c r="DB73" s="6">
        <f>COUNTIFS(Tabela107122[Country],Tabela1[[#This Row],[Country]],Tabela107122[K1 Slalom Classification],"&gt;0")</f>
        <v>0</v>
      </c>
      <c r="DC73" s="6">
        <f>COUNTIFS(Tabela107[Country],Tabela1[[#This Row],[Country]],Tabela107[Kayak Cross Slalom Classification],"&gt;0")</f>
        <v>0</v>
      </c>
      <c r="DD73" s="6">
        <f>COUNTIFS(Tabela107122[Country],Tabela1[[#This Row],[Country]],Tabela107122[Kayak Cross Slalom Classification],"&gt;0")</f>
        <v>0</v>
      </c>
      <c r="DE73" s="6">
        <f>COUNTIFS(Table8[Country],Tabela1[[#This Row],[Country]],Table8[C1 200m Classification],"&gt;0")</f>
        <v>0</v>
      </c>
      <c r="DF73" s="6">
        <f>COUNTIFS(Table40[Country],Tabela1[[#This Row],[Country]],Table40[C1 1000m Classification],"&gt;0")</f>
        <v>0</v>
      </c>
      <c r="DG73" s="6">
        <f>COUNTIFS(Table68[Country],Tabela1[[#This Row],[Country]],Table68[Men''s C2 500m Classification],"&gt;0")</f>
        <v>0</v>
      </c>
      <c r="DH73" s="6">
        <f>COUNTIFS(Table68[Country],Tabela1[[#This Row],[Country]],Table68[Women''s C2 500m Classification],"&gt;0")</f>
        <v>0</v>
      </c>
      <c r="DI73" s="6">
        <f>COUNTIFS(Table8[Country],Tabela1[[#This Row],[Country]],Table8[K1 500m Classification],"&gt;0")</f>
        <v>0</v>
      </c>
      <c r="DJ73" s="6">
        <f>COUNTIFS(Table40[Country],Tabela1[[#This Row],[Country]],Table40[K1 1000m Classification],"&gt;0")</f>
        <v>0</v>
      </c>
      <c r="DK73" s="6">
        <f>COUNTIFS(Table68[Country],Tabela1[[#This Row],[Country]],Table68[Men''s K2 500m Classification],"&gt;0")</f>
        <v>0</v>
      </c>
      <c r="DL73" s="6">
        <f>COUNTIFS(Table68[Country],Tabela1[[#This Row],[Country]],Table68[Women''s K2 500m Classification],"&gt;0")</f>
        <v>0</v>
      </c>
      <c r="DM73" s="6">
        <f>COUNTIFS(Table83[Country],Tabela1[[#This Row],[Country]],Table83[Men''s K4 500m Classification],"&gt;0")</f>
        <v>0</v>
      </c>
      <c r="DN73" s="6">
        <f>COUNTIFS(Table83[Country],Tabela1[[#This Row],[Country]],Table83[Women''s K4 500m Classification],"&gt;0")</f>
        <v>0</v>
      </c>
      <c r="DO73" s="6">
        <f>COUNTIFS(Tabela126[Country],Tabela1[[#This Row],[Country]],Tabela126[Classification],"&gt;0")</f>
        <v>0</v>
      </c>
      <c r="DP73" s="6">
        <f>COUNTIFS(Tabela126130[Country],Tabela1[[#This Row],[Country]],Tabela126130[Classification],"&gt;0")</f>
        <v>0</v>
      </c>
      <c r="DQ73" s="6">
        <f>COUNTIFS(Table70[Country],Tabela1[[#This Row],[Country]],Table70[Classification],"&gt;0")</f>
        <v>0</v>
      </c>
      <c r="DR73" s="6">
        <f>COUNTIFS(Table80[Country],Tabela1[[#This Row],[Country]],Table80[Classification],"&gt;0")</f>
        <v>0</v>
      </c>
      <c r="DS73" s="6">
        <f>COUNTIFS(Table66[Country],Tabela1[[#This Row],[Country]],Table66[Classification],"&gt;0")</f>
        <v>0</v>
      </c>
      <c r="DT73" s="6">
        <f>COUNTIFS(Table67[Country],Tabela1[[#This Row],[Country]],Table67[Classification],"&gt;0")</f>
        <v>0</v>
      </c>
      <c r="DU73" s="6">
        <f>COUNTIFS(Table69[Country],Tabela1[[#This Row],[Country]],Table69[Keirin Classification],"&gt;0")</f>
        <v>0</v>
      </c>
      <c r="DV73" s="6">
        <f>COUNTIFS(Table41[Country],Tabela1[[#This Row],[Country]],Table41[Keirin Classification],"&gt;0")</f>
        <v>0</v>
      </c>
      <c r="DW73" s="6">
        <f>COUNTIFS(Table84[Country],Tabela1[[#This Row],[Country]],Table84[Men''s Madison Classification],"&gt;0")</f>
        <v>0</v>
      </c>
      <c r="DX73" s="6">
        <f>COUNTIFS(Table84[Country],Tabela1[[#This Row],[Country]],Table84[Women''s Madison Classification],"&gt;0")</f>
        <v>0</v>
      </c>
      <c r="DY73" s="6">
        <f>COUNTIFS(Table69[Country],Tabela1[[#This Row],[Country]],Table69[Omnium Classification],"&gt;0")</f>
        <v>0</v>
      </c>
      <c r="DZ73" s="6">
        <f>COUNTIFS(Table41[Country],Tabela1[[#This Row],[Country]],Table41[Omnium Classification],"&gt;0")</f>
        <v>0</v>
      </c>
      <c r="EA73" s="6">
        <f>COUNTIFS(Table9[Country],Tabela1[[#This Row],[Country]],Table9[Road Race Classification],"&gt;0")</f>
        <v>0</v>
      </c>
      <c r="EB73" s="6">
        <f>COUNTIFS(Table14[Country],Tabela1[[#This Row],[Country]],Table14[Road Race Classification],"&gt;0")</f>
        <v>1</v>
      </c>
      <c r="EC73" s="6">
        <f>COUNTIFS(Table69[Country],Tabela1[[#This Row],[Country]],Table69[Sprint Classification],"&gt;0")</f>
        <v>0</v>
      </c>
      <c r="ED73" s="6">
        <f>COUNTIFS(Table41[Country],Tabela1[[#This Row],[Country]],Table41[Sprint Classification],"&gt;0")</f>
        <v>0</v>
      </c>
      <c r="EE73" s="6">
        <f>COUNTIFS(Table85[Country],Tabela1[[#This Row],[Country]],Table85[Men''s Sprint Classification],"&gt;0")</f>
        <v>0</v>
      </c>
      <c r="EF73" s="6">
        <f>COUNTIFS(Table85[Country],Tabela1[[#This Row],[Country]],Table85[Women''s Sprint Classification],"&gt;0")</f>
        <v>0</v>
      </c>
      <c r="EG73" s="6">
        <f>COUNTIFS(Table85[Country],Tabela1[[#This Row],[Country]],Table85[Men''s Pursuit Classification],"&gt;0")</f>
        <v>0</v>
      </c>
      <c r="EH73" s="6">
        <f>COUNTIFS(Table85[Country],Tabela1[[#This Row],[Country]],Table85[Women''s Pursuit Classification],"&gt;0")</f>
        <v>0</v>
      </c>
      <c r="EI73" s="6">
        <f>COUNTIFS(Table9[Country],Tabela1[[#This Row],[Country]],Table9[Time-Trial Classification],"&gt;0")</f>
        <v>0</v>
      </c>
      <c r="EJ73" s="6">
        <f>COUNTIFS(Table14[Country],Tabela1[[#This Row],[Country]],Table14[Time-Trial Classification],"&gt;0")</f>
        <v>0</v>
      </c>
      <c r="EK73" s="6">
        <f>COUNTIFS(Table42[Country],Tabela1[[#This Row],[Country]],Table42[Springboard Classification],"&gt;0")</f>
        <v>0</v>
      </c>
      <c r="EL73" s="6">
        <f>COUNTIFS(Table43[Country],Tabela1[[#This Row],[Country]],Table43[Springboard Classification],"&gt;0")</f>
        <v>0</v>
      </c>
      <c r="EM73" s="6">
        <f>COUNTIFS(Table42[Country],Tabela1[[#This Row],[Country]],Table42[Platform Classification],"&gt;0")</f>
        <v>0</v>
      </c>
      <c r="EN73" s="6">
        <f>COUNTIFS(Table43[Country],Tabela1[[#This Row],[Country]],Table43[Platform Classification],"&gt;0")</f>
        <v>0</v>
      </c>
      <c r="EO73" s="6">
        <f>COUNTIFS(Table86[Country],Tabela1[[#This Row],[Country]],Table86[Men''s Synchronized Springboard Classification],"&gt;0")</f>
        <v>0</v>
      </c>
      <c r="EP73" s="6">
        <f>COUNTIFS(Table86[Country],Tabela1[[#This Row],[Country]],Table86[Women''s Synchronized Springboard Classification],"&gt;0")</f>
        <v>0</v>
      </c>
      <c r="EQ73" s="6">
        <f>COUNTIFS(Table86[Country],Tabela1[[#This Row],[Country]],Table86[Men''s Synchronized Platform Classification],"&gt;0")</f>
        <v>0</v>
      </c>
      <c r="ER73" s="6">
        <f>COUNTIFS(Table86[Country],Tabela1[[#This Row],[Country]],Table86[Women''s Synchronized Platform Classification],"&gt;0")</f>
        <v>0</v>
      </c>
      <c r="ES73" s="6">
        <f>COUNTIFS(Table44[Country],Tabela1[[#This Row],[Country]],Table44[Dressage Classification],"&gt;0")</f>
        <v>0</v>
      </c>
      <c r="ET73" s="6">
        <f>COUNTIFS(Table45[Country],Tabela1[[#This Row],[Country]],Table45[Dressage Classification],"&gt;0")</f>
        <v>0</v>
      </c>
      <c r="EU73" s="6">
        <f>COUNTIFS(Table44[Country],Tabela1[[#This Row],[Country]],Table44[Eventing Classification],"&gt;0")</f>
        <v>0</v>
      </c>
      <c r="EV73" s="6">
        <f>COUNTIFS(Table45[Country],Tabela1[[#This Row],[Country]],Table45[Eventing Classification],"&gt;0")</f>
        <v>0</v>
      </c>
      <c r="EW73" s="6">
        <f>COUNTIFS(Table44[Country],Tabela1[[#This Row],[Country]],Table44[Jumping Classification],"&gt;0")</f>
        <v>0</v>
      </c>
      <c r="EX73" s="6">
        <f>COUNTIFS(Table45[Country],Tabela1[[#This Row],[Country]],Table45[Jumping Classification],"&gt;0")</f>
        <v>0</v>
      </c>
      <c r="EY73" s="6">
        <f>COUNTIFS(Table10[Country],Tabela1[[#This Row],[Country]],Table10[Épée Classification],"&gt;0")</f>
        <v>0</v>
      </c>
      <c r="EZ73" s="6">
        <f>COUNTIFS(Table11[Country],Tabela1[[#This Row],[Country]],Table11[Épée Classification],"&gt;0")</f>
        <v>0</v>
      </c>
      <c r="FA73" s="6">
        <f>COUNTIFS(Table46[Country],Tabela1[[#This Row],[Country]],Table46[Men''s Épée Classification],"&gt;0")</f>
        <v>0</v>
      </c>
      <c r="FB73" s="6">
        <f>COUNTIFS(Table46[Country],Tabela1[[#This Row],[Country]],Table46[Women''s Épée Classification],"&gt;0")</f>
        <v>0</v>
      </c>
      <c r="FC73" s="6">
        <f>COUNTIFS(Table10[Country],Tabela1[[#This Row],[Country]],Table10[Foil Classification],"&gt;0")</f>
        <v>1</v>
      </c>
      <c r="FD73" s="6">
        <f>COUNTIFS(Table11[Country],Tabela1[[#This Row],[Country]],Table11[Foil Classification],"&gt;0")</f>
        <v>0</v>
      </c>
      <c r="FE73" s="6">
        <f>COUNTIFS(Table46[Country],Tabela1[[#This Row],[Country]],Table46[Men''s Foil Classification],"&gt;0")</f>
        <v>0</v>
      </c>
      <c r="FF73" s="6">
        <f>COUNTIFS(Table46[Country],Tabela1[[#This Row],[Country]],Table46[Women''s Foil Classification],"&gt;0")</f>
        <v>0</v>
      </c>
      <c r="FG73" s="6">
        <f>COUNTIFS(Table10[Country],Tabela1[[#This Row],[Country]],Table10[Sabre Classification],"&gt;0")</f>
        <v>0</v>
      </c>
      <c r="FH73" s="6">
        <f>COUNTIFS(Table11[Country],Tabela1[[#This Row],[Country]],Table11[Sabre Classification],"&gt;0")</f>
        <v>0</v>
      </c>
      <c r="FI73" s="6">
        <f>COUNTIFS(Table46[Country],Tabela1[[#This Row],[Country]],Table46[Men''s Sabre Classification],"&gt;0")</f>
        <v>0</v>
      </c>
      <c r="FJ73" s="6">
        <f>COUNTIFS(Table46[Country],Tabela1[[#This Row],[Country]],Table46[Women''s Sabre Classification],"&gt;0")</f>
        <v>0</v>
      </c>
      <c r="FK73" s="6">
        <f>COUNTIFS(Table91[Country],Tabela1[[#This Row],[Country]],Table91[Men''s Classification],"&gt;0")</f>
        <v>0</v>
      </c>
      <c r="FL73" s="6">
        <f>COUNTIFS(Table91[Country],Tabela1[[#This Row],[Country]],Table91[Women''s Classification],"&gt;0")</f>
        <v>0</v>
      </c>
      <c r="FM73" s="6">
        <f>COUNTIFS(Table9194[Country],Tabela1[[#This Row],[Country]],Table9194[Men''s Classification],"&gt;0")</f>
        <v>0</v>
      </c>
      <c r="FN73" s="6">
        <f>COUNTIFS(Table9194[Country],Tabela1[[#This Row],[Country]],Table9194[Women''s Classification],"&gt;0")</f>
        <v>0</v>
      </c>
      <c r="FO73" s="6">
        <f>COUNTIFS(Table71[Country],Tabela1[[#This Row],[Country]],Table71[Classification],"&gt;0")</f>
        <v>0</v>
      </c>
      <c r="FP73" s="6">
        <f>COUNTIFS(Table62[Country],Tabela1[[#This Row],[Country]],Table62[Classification],"&gt;0")</f>
        <v>0</v>
      </c>
      <c r="FQ73" s="6">
        <f>COUNTIFS(Table47[Country],Tabela1[[#This Row],[Country]],Table47[All-Around Classification],"&gt;0")</f>
        <v>0</v>
      </c>
      <c r="FR73" s="6">
        <f>COUNTIFS(Table48[Country],Tabela1[[#This Row],[Country]],Table48[All-Around Classification],"&gt;0")</f>
        <v>0</v>
      </c>
      <c r="FS73" s="6">
        <f>COUNTIFS(Table81[Country],Tabela1[[#This Row],[Country]],Table81[Men''s All-Around Classification],"&gt;0")</f>
        <v>0</v>
      </c>
      <c r="FT73" s="6">
        <f>COUNTIFS(Table81[Country],Tabela1[[#This Row],[Country]],Table81[Women''s All-Around Classification],"&gt;0")</f>
        <v>0</v>
      </c>
      <c r="FU73" s="6">
        <f>COUNTIFS(Table48[Country],Tabela1[[#This Row],[Country]],Table48[Balance Beam Classification],"&gt;0")</f>
        <v>0</v>
      </c>
      <c r="FV73" s="6">
        <f>COUNTIFS(Table47[Country],Tabela1[[#This Row],[Country]],Table47[Floor Exercise Classification],"&gt;0")</f>
        <v>0</v>
      </c>
      <c r="FW73" s="6">
        <f>COUNTIFS(Table48[Country],Tabela1[[#This Row],[Country]],Table48[Floor Exercise Classification],"&gt;0")</f>
        <v>0</v>
      </c>
      <c r="FX73" s="6">
        <f>COUNTIFS(Table47[Country],Tabela1[[#This Row],[Country]],Table47[Horizontal Bar Classification],"&gt;0")</f>
        <v>0</v>
      </c>
      <c r="FY73" s="6">
        <f>COUNTIFS(Table47[Country],Tabela1[[#This Row],[Country]],Table47[Parallel Bars Classification],"&gt;0")</f>
        <v>0</v>
      </c>
      <c r="FZ73" s="6">
        <f>COUNTIFS(Table47[Country],Tabela1[[#This Row],[Country]],Table47[Pommel Horse Classification],"&gt;0")</f>
        <v>0</v>
      </c>
      <c r="GA73" s="6">
        <f>COUNTIFS(Table47[Country],Tabela1[[#This Row],[Country]],Table47[Rings Classification],"&gt;0")</f>
        <v>0</v>
      </c>
      <c r="GB73" s="6">
        <f>COUNTIFS(Tabela132[Country],Tabela1[[#This Row],[Country]],Tabela132[Classification],"&gt;0")</f>
        <v>0</v>
      </c>
      <c r="GC73" s="6">
        <f>COUNTIFS(Tabela139[Country],Tabela1[[#This Row],[Country]],Tabela139[Classification],"&gt;0")</f>
        <v>0</v>
      </c>
      <c r="GD73" s="6">
        <f>COUNTIFS(Table48[Country],Tabela1[[#This Row],[Country]],Table48[Uneven Bars Classification],"&gt;0")</f>
        <v>0</v>
      </c>
      <c r="GE73" s="6">
        <f>COUNTIFS(Table47[Country],Tabela1[[#This Row],[Country]],Table47[Vault Classification],"&gt;0")</f>
        <v>0</v>
      </c>
      <c r="GF73" s="6">
        <f>COUNTIFS(Table48[Country],Tabela1[[#This Row],[Country]],Table48[Vault Classification],"&gt;0")</f>
        <v>0</v>
      </c>
      <c r="GG73" s="6">
        <f>COUNTIFS(Table919496[Country],Tabela1[[#This Row],[Country]],Table919496[Men''s Classification],"&gt;0")</f>
        <v>0</v>
      </c>
      <c r="GH73" s="6">
        <f>COUNTIFS(Table919496[Country],Tabela1[[#This Row],[Country]],Table919496[Women''s Classification],"&gt;0")</f>
        <v>0</v>
      </c>
      <c r="GI73" s="6">
        <f>COUNTIFS(Table12[Country],Tabela1[[#This Row],[Country]],Table12[60kg Classification],"&gt;0")</f>
        <v>0</v>
      </c>
      <c r="GJ73" s="6">
        <f>COUNTIFS(Table12[Country],Tabela1[[#This Row],[Country]],Table12[66kg Classification],"&gt;0")</f>
        <v>0</v>
      </c>
      <c r="GK73" s="6">
        <f>COUNTIFS(Table12[Country],Tabela1[[#This Row],[Country]],Table12[73kg Classification],"&gt;0")</f>
        <v>0</v>
      </c>
      <c r="GL73" s="6">
        <f>COUNTIFS(Table12[Country],Tabela1[[#This Row],[Country]],Table12[81kg Classification],"&gt;0")</f>
        <v>0</v>
      </c>
      <c r="GM73" s="6">
        <f>COUNTIFS(Table12[Country],Tabela1[[#This Row],[Country]],Table12[90kg Classification],"&gt;0")</f>
        <v>0</v>
      </c>
      <c r="GN73" s="6">
        <f>COUNTIFS(Table12[Country],Tabela1[[#This Row],[Country]],Table12[100kg Classification],"&gt;0")</f>
        <v>0</v>
      </c>
      <c r="GO73" s="6">
        <f>COUNTIFS(Table12[Country],Tabela1[[#This Row],[Country]],Table12[Plus 100kg Classification],"&gt;0")</f>
        <v>0</v>
      </c>
      <c r="GP73" s="6">
        <f>COUNTIFS(Table13[Country],Tabela1[[#This Row],[Country]],Table13[48kg Classification],"&gt;0")</f>
        <v>0</v>
      </c>
      <c r="GQ73" s="6">
        <f>COUNTIFS(Table13[Country],Tabela1[[#This Row],[Country]],Table13[52kg Classification],"&gt;0")</f>
        <v>0</v>
      </c>
      <c r="GR73" s="6">
        <f>COUNTIFS(Table13[Country],Tabela1[[#This Row],[Country]],Table13[57kg Classification],"&gt;0")</f>
        <v>0</v>
      </c>
      <c r="GS73" s="6">
        <f>COUNTIFS(Table13[Country],Tabela1[[#This Row],[Country]],Table13[63kg Classification],"&gt;0")</f>
        <v>0</v>
      </c>
      <c r="GT73" s="6">
        <f>COUNTIFS(Table13[Country],Tabela1[[#This Row],[Country]],Table13[70kg Classification],"&gt;0")</f>
        <v>0</v>
      </c>
      <c r="GU73" s="6">
        <f>COUNTIFS(Table13[Country],Tabela1[[#This Row],[Country]],Table13[78kg Classification],"&gt;0")</f>
        <v>0</v>
      </c>
      <c r="GV73" s="6">
        <f>COUNTIFS(Table13[Country],Tabela1[[#This Row],[Country]],Table13[Plus 78kg Classification],"&gt;0")</f>
        <v>0</v>
      </c>
      <c r="GW73" s="6">
        <f>COUNTIFS(Table82[Country],Tabela1[[#This Row],[Country]],Table82[Mixed Classification],"&gt;0")</f>
        <v>0</v>
      </c>
      <c r="GX73" s="6">
        <f>COUNTIFS(Table51[Country],Tabela1[[#This Row],[Country]],Table51[Classification],"&gt;0")</f>
        <v>0</v>
      </c>
      <c r="GY73" s="6">
        <f>COUNTIFS(Table52[Country],Tabela1[[#This Row],[Country]],Table52[Classification],"&gt;0")</f>
        <v>0</v>
      </c>
      <c r="GZ73" s="6">
        <f>COUNTIFS(Table32[Country],Tabela1[[#This Row],[Country]],Table32[All-Around Classification],"&gt;0")</f>
        <v>0</v>
      </c>
      <c r="HA73" s="6">
        <f>COUNTIFS(Table49[Country],Tabela1[[#This Row],[Country]],Table49[All-Around Classification],"&gt;0")</f>
        <v>0</v>
      </c>
      <c r="HB73" s="6">
        <f>COUNTIFS(Table26[Country],Tabela1[[#This Row],[Country]],Table26[Single Sculls Classification],"&gt;0")</f>
        <v>0</v>
      </c>
      <c r="HC73" s="6">
        <f>COUNTIFS(Table63[Country],Tabela1[[#This Row],[Country]],Table63[Single Sculls Classification],"&gt;0")</f>
        <v>0</v>
      </c>
      <c r="HD73" s="6">
        <f>COUNTIFS(Table16[Country],Tabela1[[#This Row],[Country]],Table16[Men''s Double Sculls Classification],"&gt;0")</f>
        <v>0</v>
      </c>
      <c r="HE73" s="6">
        <f>COUNTIFS(Table16[Country],Tabela1[[#This Row],[Country]],Table16[Women''s Double Sculls Classification],"&gt;0")</f>
        <v>0</v>
      </c>
      <c r="HF73" s="6">
        <f>COUNTIFS(Table72[Country],Tabela1[[#This Row],[Country]],Table72[Men''s Quadruple Sculls Classification],"&gt;0")</f>
        <v>0</v>
      </c>
      <c r="HG73" s="6">
        <f>COUNTIFS(Table72[Country],Tabela1[[#This Row],[Country]],Table72[Women''s Quadruple Sculls Classification],"&gt;0")</f>
        <v>0</v>
      </c>
      <c r="HH73" s="6">
        <f>COUNTIFS(Table16[Country],Tabela1[[#This Row],[Country]],Table16[Men''s Coxless Pairs Classification],"&gt;0")</f>
        <v>0</v>
      </c>
      <c r="HI73" s="6">
        <f>COUNTIFS(Table16[Country],Tabela1[[#This Row],[Country]],Table16[Women''s Coxless Pairs Classification],"&gt;0")</f>
        <v>0</v>
      </c>
      <c r="HJ73" s="6">
        <f>COUNTIFS(Table72[Country],Tabela1[[#This Row],[Country]],Table72[Men''s Coxless Fours Classification],"&gt;0")</f>
        <v>0</v>
      </c>
      <c r="HK73" s="6">
        <f>COUNTIFS(Table72[Country],Tabela1[[#This Row],[Country]],Table72[Women''s Coxless Fours Classification],"&gt;0")</f>
        <v>0</v>
      </c>
      <c r="HL73" s="6">
        <f>COUNTIFS(Table72[Country],Tabela1[[#This Row],[Country]],Table72[Men''s Eights Classification],"&gt;0")</f>
        <v>0</v>
      </c>
      <c r="HM73" s="6">
        <f>COUNTIFS(Table72[Country],Tabela1[[#This Row],[Country]],Table72[Women''s Eights Classification],"&gt;0")</f>
        <v>0</v>
      </c>
      <c r="HN73" s="6">
        <f>COUNTIFS(Table16[Country],Tabela1[[#This Row],[Country]],Table16[Men''s Lwt. Double Sculls Classification],"&gt;0")</f>
        <v>0</v>
      </c>
      <c r="HO73" s="6">
        <f>COUNTIFS(Table16[Country],Tabela1[[#This Row],[Country]],Table16[Women''s Lwt. Double Sculls Classification],"&gt;0")</f>
        <v>0</v>
      </c>
      <c r="HP73" s="6">
        <f>COUNTIFS(Table91949698[Country],Tabela1[[#This Row],[Country]],Table91949698[Men''s Classification],"&gt;0")</f>
        <v>0</v>
      </c>
      <c r="HQ73" s="6">
        <f>COUNTIFS(Table91949698[Country],Tabela1[[#This Row],[Country]],Table91949698[Women''s Classification],"&gt;0")</f>
        <v>0</v>
      </c>
      <c r="HR73" s="6">
        <f>COUNTIFS(Table25[Country],Tabela1[[#This Row],[Country]],Table25[Mixed 470 Classification],"&gt;0")</f>
        <v>0</v>
      </c>
      <c r="HS73" s="6">
        <f>COUNTIFS(Table25[Country],Tabela1[[#This Row],[Country]],Table25[Men''s 49er Classification],"&gt;0")</f>
        <v>0</v>
      </c>
      <c r="HT73" s="6">
        <f>COUNTIFS(Table25[Country],Tabela1[[#This Row],[Country]],Table25[Women''s 49er FX Classification],"&gt;0")</f>
        <v>0</v>
      </c>
      <c r="HU73" s="6">
        <f>COUNTIFS(Table17[Country],Tabela1[[#This Row],[Country]],Table17[Formula Kite Classification],"&gt;0")</f>
        <v>0</v>
      </c>
      <c r="HV73" s="6">
        <f>COUNTIFS(Table18[Country],Tabela1[[#This Row],[Country]],Table18[Formula Kite Classification],"&gt;0")</f>
        <v>0</v>
      </c>
      <c r="HW73" s="6">
        <f>COUNTIFS(Table17[Country],Tabela1[[#This Row],[Country]],Table17[ILCA 7 Classification],"&gt;0")</f>
        <v>0</v>
      </c>
      <c r="HX73" s="6">
        <f>COUNTIFS(Table18[Country],Tabela1[[#This Row],[Country]],Table18[ILCA 6 Classification],"&gt;0")</f>
        <v>0</v>
      </c>
      <c r="HY73" s="6">
        <f>COUNTIFS(Table17[Country],Tabela1[[#This Row],[Country]],Table17[IQFoil Classification],"&gt;0")</f>
        <v>0</v>
      </c>
      <c r="HZ73" s="6">
        <f>COUNTIFS(Table18[Country],Tabela1[[#This Row],[Country]],Table18[IQFoil Classification],"&gt;0")</f>
        <v>0</v>
      </c>
      <c r="IA73" s="6">
        <f>COUNTIFS(Table25[Country],Tabela1[[#This Row],[Country]],Table25[Mixed Nacra 17 Classification],"&gt;0")</f>
        <v>0</v>
      </c>
      <c r="IB73" s="6">
        <f>COUNTIFS(Table53[Country],Tabela1[[#This Row],[Country]],Table53[10m Air Pistol Classification],"&gt;0")</f>
        <v>0</v>
      </c>
      <c r="IC73" s="6">
        <f>COUNTIFS(Table19[Country],Tabela1[[#This Row],[Country]],Table19[10m Air Pistol Classification],"&gt;0")</f>
        <v>0</v>
      </c>
      <c r="ID73" s="6">
        <f>COUNTIFS(Table54[Country],Tabela1[[#This Row],[Country]],Table54[Mixed 10m Air Pistol Team Classification],"&gt;0")</f>
        <v>0</v>
      </c>
      <c r="IE73" s="6">
        <f>COUNTIFS(Table53[Country],Tabela1[[#This Row],[Country]],Table53[10m Air Rifle Classification],"&gt;0")</f>
        <v>0</v>
      </c>
      <c r="IF73" s="6">
        <f>COUNTIFS(Table19[Country],Tabela1[[#This Row],[Country]],Table19[10m Air Rifle Classification],"&gt;0")</f>
        <v>0</v>
      </c>
      <c r="IG73" s="6">
        <f>COUNTIFS(Table54[Country],Tabela1[[#This Row],[Country]],Table54[Mixed 10m Air Rifle Team Classification],"&gt;0")</f>
        <v>0</v>
      </c>
      <c r="IH73" s="6">
        <f>COUNTIFS(Table53[Country],Tabela1[[#This Row],[Country]],Table53[25m Rapid Fire Pistol Classification],"&gt;0")</f>
        <v>0</v>
      </c>
      <c r="II73" s="6">
        <f>COUNTIFS(Table19[Country],Tabela1[[#This Row],[Country]],Table19[25m Pistol Classification],"&gt;0")</f>
        <v>0</v>
      </c>
      <c r="IJ73" s="6">
        <f>COUNTIFS(Table53[Country],Tabela1[[#This Row],[Country]],Table53[50m Rifle 3 Positions Classification],"&gt;0")</f>
        <v>0</v>
      </c>
      <c r="IK73" s="6">
        <f>COUNTIFS(Table19[Country],Tabela1[[#This Row],[Country]],Table19[50m Rifle 3 Positions Classification],"&gt;0")</f>
        <v>0</v>
      </c>
      <c r="IL73" s="6">
        <f>COUNTIFS(Table53[Country],Tabela1[[#This Row],[Country]],Table53[Skeet Classification],"&gt;0")</f>
        <v>0</v>
      </c>
      <c r="IM73" s="6">
        <f>COUNTIFS(Table19[Country],Tabela1[[#This Row],[Country]],Table19[Skeet Classification],"&gt;0")</f>
        <v>1</v>
      </c>
      <c r="IN73" s="6">
        <f>COUNTIFS(Table54[Country],Tabela1[[#This Row],[Country]],Table54[Mixed Skeet Team Classification],"&gt;0")</f>
        <v>0</v>
      </c>
      <c r="IO73" s="6">
        <f>COUNTIFS(Table53[Country],Tabela1[[#This Row],[Country]],Table53[Trap Classification],"&gt;0")</f>
        <v>0</v>
      </c>
      <c r="IP73" s="6">
        <f>COUNTIFS(Table19[Country],Tabela1[[#This Row],[Country]],Table19[Trap Classification],"&gt;0")</f>
        <v>0</v>
      </c>
      <c r="IQ73" s="6">
        <f>COUNTIFS(Table73[Country],Tabela1[[#This Row],[Country]],Table73[Park Classification],"&gt;0")</f>
        <v>0</v>
      </c>
      <c r="IR73" s="6">
        <f>COUNTIFS(Table74[Country],Tabela1[[#This Row],[Country]],Table74[Park Classification],"&gt;0")</f>
        <v>0</v>
      </c>
      <c r="IS73" s="6">
        <f>COUNTIFS(Table73[Country],Tabela1[[#This Row],[Country]],Table73[Street Classification],"&gt;0")</f>
        <v>0</v>
      </c>
      <c r="IT73" s="6">
        <f>COUNTIFS(Table74[Country],Tabela1[[#This Row],[Country]],Table74[Street Classification],"&gt;0")</f>
        <v>0</v>
      </c>
      <c r="IU73" s="6">
        <f>COUNTIFS(Table75[Country],Tabela1[[#This Row],[Country]],Table75[Boulder and Lead Classification],"&gt;0")</f>
        <v>0</v>
      </c>
      <c r="IV73" s="6">
        <f>COUNTIFS(Table76[Country],Tabela1[[#This Row],[Country]],Table76[Boulder and Lead Classification],"&gt;0")</f>
        <v>0</v>
      </c>
      <c r="IW73" s="6">
        <f>COUNTIFS(Table75[Country],Tabela1[[#This Row],[Country]],Table75[Speed Classification],"&gt;0")</f>
        <v>0</v>
      </c>
      <c r="IX73" s="6">
        <f>COUNTIFS(Table76[Country],Tabela1[[#This Row],[Country]],Table76[Speed Classification],"&gt;0")</f>
        <v>0</v>
      </c>
      <c r="IY73" s="6">
        <f>COUNTIFS(Table64[Country],Tabela1[[#This Row],[Country]],Table64[Shortboard Classification],"&gt;0")</f>
        <v>0</v>
      </c>
      <c r="IZ73" s="6">
        <f>COUNTIFS(Table77[Country],Tabela1[[#This Row],[Country]],Table77[Shortboard Classification],"&gt;0")</f>
        <v>0</v>
      </c>
      <c r="JA73" s="6">
        <f>COUNTIFS(Table20[Country],Tabela1[[#This Row],[Country]],Table20[50m Freestyle Classification],"&gt;0")</f>
        <v>0</v>
      </c>
      <c r="JB73" s="6">
        <f>COUNTIFS(Table21[Country],Tabela1[[#This Row],[Country]],Table21[50m Freestyle Classification],"&gt;0")</f>
        <v>0</v>
      </c>
      <c r="JC73" s="6">
        <f>COUNTIFS(Table20[Country],Tabela1[[#This Row],[Country]],Table20[100m Freestyle Classification],"&gt;0")</f>
        <v>1</v>
      </c>
      <c r="JD73" s="6">
        <f>COUNTIFS(Table21[Country],Tabela1[[#This Row],[Country]],Table21[100m Freestyle Classification],"&gt;0")</f>
        <v>0</v>
      </c>
      <c r="JE73" s="6">
        <f>COUNTIFS(Table20[Country],Tabela1[[#This Row],[Country]],Table20[200m Freestyle Classification],"&gt;0")</f>
        <v>0</v>
      </c>
      <c r="JF73" s="6">
        <f>COUNTIFS(Table21[Country],Tabela1[[#This Row],[Country]],Table21[200m Freestyle Classification],"&gt;0")</f>
        <v>0</v>
      </c>
      <c r="JG73" s="6">
        <f>COUNTIFS(Table20[Country],Tabela1[[#This Row],[Country]],Table20[400m Freestyle Classification],"&gt;0")</f>
        <v>0</v>
      </c>
      <c r="JH73" s="6">
        <f>COUNTIFS(Table21[Country],Tabela1[[#This Row],[Country]],Table21[400m Freestyle Classification],"&gt;0")</f>
        <v>0</v>
      </c>
      <c r="JI73" s="6">
        <f>COUNTIFS(Table20[Country],Tabela1[[#This Row],[Country]],Table20[800m Freestyle Classification],"&gt;0")</f>
        <v>0</v>
      </c>
      <c r="JJ73" s="6">
        <f>COUNTIFS(Table21[Country],Tabela1[[#This Row],[Country]],Table21[800m Freestyle Classification],"&gt;0")</f>
        <v>0</v>
      </c>
      <c r="JK73" s="6">
        <f>COUNTIFS(Table20[Country],Tabela1[[#This Row],[Country]],Table20[1500m Freestyle Classification],"&gt;0")</f>
        <v>0</v>
      </c>
      <c r="JL73" s="6">
        <f>COUNTIFS(Table21[Country],Tabela1[[#This Row],[Country]],Table21[1500m Freestyle Classification],"&gt;0")</f>
        <v>0</v>
      </c>
      <c r="JM73" s="6">
        <f>COUNTIFS(Table20[Country],Tabela1[[#This Row],[Country]],Table20[100m Backstroke Classification],"&gt;0")</f>
        <v>0</v>
      </c>
      <c r="JN73" s="6">
        <f>COUNTIFS(Table21[Country],Tabela1[[#This Row],[Country]],Table21[100m Backstroke Classification],"&gt;0")</f>
        <v>0</v>
      </c>
      <c r="JO73" s="6">
        <f>COUNTIFS(Table20[Country],Tabela1[[#This Row],[Country]],Table20[200m Backstroke Classification],"&gt;0")</f>
        <v>0</v>
      </c>
      <c r="JP73" s="6">
        <f>COUNTIFS(Table21[Country],Tabela1[[#This Row],[Country]],Table21[200m Backstroke Classification],"&gt;0")</f>
        <v>0</v>
      </c>
      <c r="JQ73" s="6">
        <f>COUNTIFS(Table20[Country],Tabela1[[#This Row],[Country]],Table20[100m Breaststroke Classification],"&gt;0")</f>
        <v>0</v>
      </c>
      <c r="JR73" s="6">
        <f>COUNTIFS(Table21[Country],Tabela1[[#This Row],[Country]],Table21[100m Breaststroke Classification],"&gt;0")</f>
        <v>0</v>
      </c>
      <c r="JS73" s="6">
        <f>COUNTIFS(Table20[Country],Tabela1[[#This Row],[Country]],Table20[200m Breaststroke Classification],"&gt;0")</f>
        <v>0</v>
      </c>
      <c r="JT73" s="6">
        <f>COUNTIFS(Table21[Country],Tabela1[[#This Row],[Country]],Table21[200m Breaststroke Classification],"&gt;0")</f>
        <v>0</v>
      </c>
      <c r="JU73" s="6">
        <f>COUNTIFS(Table20[Country],Tabela1[[#This Row],[Country]],Table20[100m Butterfly Classification],"&gt;0")</f>
        <v>0</v>
      </c>
      <c r="JV73" s="6">
        <f>COUNTIFS(Table21[Country],Tabela1[[#This Row],[Country]],Table21[100m Butterfly Classification],"&gt;0")</f>
        <v>0</v>
      </c>
      <c r="JW73" s="6">
        <f>COUNTIFS(Table20[Country],Tabela1[[#This Row],[Country]],Table20[200m Butterfly Classification],"&gt;0")</f>
        <v>0</v>
      </c>
      <c r="JX73" s="6">
        <f>COUNTIFS(Table21[Country],Tabela1[[#This Row],[Country]],Table21[200m Butterfly Classification],"&gt;0")</f>
        <v>0</v>
      </c>
      <c r="JY73" s="6">
        <f>COUNTIFS(Table20[Country],Tabela1[[#This Row],[Country]],Table20[200m Medley Classification],"&gt;0")</f>
        <v>0</v>
      </c>
      <c r="JZ73" s="6">
        <f>COUNTIFS(Table21[Country],Tabela1[[#This Row],[Country]],Table21[200m Medley Classification],"&gt;0")</f>
        <v>0</v>
      </c>
      <c r="KA73" s="6">
        <f>COUNTIFS(Table20[Country],Tabela1[[#This Row],[Country]],Table20[400m Medley Classification],"&gt;0")</f>
        <v>0</v>
      </c>
      <c r="KB73" s="6">
        <f>COUNTIFS(Table21[Country],Tabela1[[#This Row],[Country]],Table21[400m Medley Classification],"&gt;0")</f>
        <v>0</v>
      </c>
      <c r="KC73" s="6">
        <f>COUNTIFS(Table78[Country],Tabela1[[#This Row],[Country]],Table78[Men''s 4x100m Freestyle Relay Classification],"&gt;0")</f>
        <v>0</v>
      </c>
      <c r="KD73" s="6">
        <f>COUNTIFS(Table78[Country],Tabela1[[#This Row],[Country]],Table78[Women''s 4x100m Freestyle Relay Classification],"&gt;0")</f>
        <v>0</v>
      </c>
      <c r="KE73" s="6">
        <f>COUNTIFS(Table78[Country],Tabela1[[#This Row],[Country]],Table78[Men''s 4x200m Freestyle Relay Classification],"&gt;0")</f>
        <v>0</v>
      </c>
      <c r="KF73" s="6">
        <f>COUNTIFS(Table78[Country],Tabela1[[#This Row],[Country]],Table78[Women''s 4x200m Freestyle Relay Classification],"&gt;0")</f>
        <v>0</v>
      </c>
      <c r="KG73" s="6">
        <f>COUNTIFS(Table78[Country],Tabela1[[#This Row],[Country]],Table78[Men''s 4x100m Medley Relay Classification],"&gt;0")</f>
        <v>0</v>
      </c>
      <c r="KH73" s="6">
        <f>COUNTIFS(Table78[Country],Tabela1[[#This Row],[Country]],Table78[Women''s 4x100m Medley Relay Classification],"&gt;0")</f>
        <v>0</v>
      </c>
      <c r="KI73" s="6">
        <f>COUNTIFS(Table78[Country],Tabela1[[#This Row],[Country]],Table78[Mixed 4x100m Medley Relay Classification],"&gt;0")</f>
        <v>0</v>
      </c>
      <c r="KJ73" s="6">
        <f>COUNTIFS(Table20[Country],Tabela1[[#This Row],[Country]],Table20[10km Open Water Classification],"&gt;0")</f>
        <v>0</v>
      </c>
      <c r="KK73" s="6">
        <f>COUNTIFS(Table21[Country],Tabela1[[#This Row],[Country]],Table21[10km Open Water Classification],"&gt;0")</f>
        <v>0</v>
      </c>
      <c r="KL73" s="6">
        <f>COUNTIFS(Table22[Country],Tabela1[[#This Row],[Country]],Table22[Classification],"&gt;0")</f>
        <v>0</v>
      </c>
      <c r="KM73" s="6">
        <f>COUNTIFS(Table30[Country],Tabela1[[#This Row],[Country]],Table30[Classification],"&gt;0")</f>
        <v>0</v>
      </c>
      <c r="KN73" s="6">
        <f>COUNTIFS(Table55[Country],Tabela1[[#This Row],[Country]],Table55[Men''s Classification],"&gt;0")</f>
        <v>0</v>
      </c>
      <c r="KO73" s="6">
        <f>COUNTIFS(Table55[Country],Tabela1[[#This Row],[Country]],Table55[Women''s Classification],"&gt;0")</f>
        <v>0</v>
      </c>
      <c r="KP73" s="6">
        <f>COUNTIFS(Table56[Country],Tabela1[[#This Row],[Country]],Table56[Mixed Classification],"&gt;0")</f>
        <v>0</v>
      </c>
      <c r="KQ73" s="6">
        <f>COUNTIFS(Table29[Country],Tabela1[[#This Row],[Country]],Table29[58kg Classification],"&gt;0")</f>
        <v>0</v>
      </c>
      <c r="KR73" s="6">
        <f>COUNTIFS(Table29[Country],Tabela1[[#This Row],[Country]],Table29[68kg Classification],"&gt;0")</f>
        <v>0</v>
      </c>
      <c r="KS73" s="6">
        <f>COUNTIFS(Table29[Country],Tabela1[[#This Row],[Country]],Table29[80kg Classification],"&gt;0")</f>
        <v>0</v>
      </c>
      <c r="KT73" s="6">
        <f>COUNTIFS(Table29[Country],Tabela1[[#This Row],[Country]],Table29[Plus 80kg Classification],"&gt;0")</f>
        <v>0</v>
      </c>
      <c r="KU73" s="6">
        <f>COUNTIFS(Table34[Country],Tabela1[[#This Row],[Country]],Table34[49kg Classification],"&gt;0")</f>
        <v>0</v>
      </c>
      <c r="KV73" s="6">
        <f>COUNTIFS(Table34[Country],Tabela1[[#This Row],[Country]],Table34[57kg Classification],"&gt;0")</f>
        <v>0</v>
      </c>
      <c r="KW73" s="6">
        <f>COUNTIFS(Table34[Country],Tabela1[[#This Row],[Country]],Table34[67kg Classification],"&gt;0")</f>
        <v>0</v>
      </c>
      <c r="KX73" s="6">
        <f>COUNTIFS(Table34[Country],Tabela1[[#This Row],[Country]],Table34[Plus 67kg Classification],"&gt;0")</f>
        <v>0</v>
      </c>
      <c r="KY73" s="6">
        <f>COUNTIFS(Table57[Country],Tabela1[[#This Row],[Country]],Table57[Classification],"&gt;0")</f>
        <v>0</v>
      </c>
      <c r="KZ73" s="6">
        <f>COUNTIFS(Table58[Country],Tabela1[[#This Row],[Country]],Table58[Classification],"&gt;0")</f>
        <v>0</v>
      </c>
      <c r="LA73" s="6">
        <f>COUNTIFS(Table79[Country],Tabela1[[#This Row],[Country]],Table79[Men''s Classification],"&gt;0")</f>
        <v>0</v>
      </c>
      <c r="LB73" s="6">
        <f>COUNTIFS(Table79[Country],Tabela1[[#This Row],[Country]],Table79[Women''s Classification],"&gt;0")</f>
        <v>0</v>
      </c>
      <c r="LC73" s="6">
        <f>COUNTIFS(Table79[Country],Tabela1[[#This Row],[Country]],Table79[Mixed Classification],"&gt;0")</f>
        <v>0</v>
      </c>
      <c r="LD73" s="6">
        <f>COUNTIFS(Table65[Country],Tabela1[[#This Row],[Country]],Table65[Classification],"&gt;0")</f>
        <v>0</v>
      </c>
      <c r="LE73" s="6">
        <f>COUNTIFS(Table59[Country],Tabela1[[#This Row],[Country]],Table59[Classification],"&gt;0")</f>
        <v>0</v>
      </c>
      <c r="LF73" s="6">
        <f>COUNTIFS(Table87[Country],Tabela1[[#This Row],[Country]],Table87[Mixed Relay Classification],"&gt;0")</f>
        <v>0</v>
      </c>
      <c r="LG73" s="6">
        <f>COUNTIFS(Table91949698100[Country],Tabela1[[#This Row],[Country]],Table91949698100[Men''s Classification],"&gt;0")</f>
        <v>0</v>
      </c>
      <c r="LH73" s="6">
        <f>COUNTIFS(Table91949698100[Country],Tabela1[[#This Row],[Country]],Table91949698100[Women''s Classification],"&gt;0")</f>
        <v>0</v>
      </c>
      <c r="LI73" s="6">
        <f>COUNTIFS(Table91949698100102[Country],Tabela1[[#This Row],[Country]],Table91949698100102[Men''s Classification],"&gt;0")</f>
        <v>0</v>
      </c>
      <c r="LJ73" s="6">
        <f>COUNTIFS(Table91949698100102[Country],Tabela1[[#This Row],[Country]],Table91949698100102[Women''s Classification],"&gt;0")</f>
        <v>0</v>
      </c>
      <c r="LK73" s="6">
        <f>COUNTIFS(Table23[Country],Tabela1[[#This Row],[Country]],Table23[61kg Classification],"&gt;0")</f>
        <v>0</v>
      </c>
      <c r="LL73" s="6">
        <f>COUNTIFS(Table23[Country],Tabela1[[#This Row],[Country]],Table23[73kg Classification],"&gt;0")</f>
        <v>0</v>
      </c>
      <c r="LM73" s="6">
        <f>COUNTIFS(Table23[Country],Tabela1[[#This Row],[Country]],Table23[89kg Classification],"&gt;0")</f>
        <v>0</v>
      </c>
      <c r="LN73" s="6">
        <f>COUNTIFS(Table23[Country],Tabela1[[#This Row],[Country]],Table23[102kg Classification],"&gt;0")</f>
        <v>0</v>
      </c>
      <c r="LO73" s="6">
        <f>COUNTIFS(Table23[Country],Tabela1[[#This Row],[Country]],Table23[Plus 102kg Classification],"&gt;0")</f>
        <v>0</v>
      </c>
      <c r="LP73" s="6">
        <f>COUNTIFS(Table28[Country],Tabela1[[#This Row],[Country]],Table28[49kg Classification],"&gt;0")</f>
        <v>0</v>
      </c>
      <c r="LQ73" s="6">
        <f>COUNTIFS(Table28[Country],Tabela1[[#This Row],[Country]],Table28[59kg Classification],"&gt;0")</f>
        <v>0</v>
      </c>
      <c r="LR73" s="6">
        <f>COUNTIFS(Table28[Country],Tabela1[[#This Row],[Country]],Table28[71kg Classification],"&gt;0")</f>
        <v>0</v>
      </c>
      <c r="LS73" s="6">
        <f>COUNTIFS(Table28[Country],Tabela1[[#This Row],[Country]],Table28[81kg Classification],"&gt;0")</f>
        <v>0</v>
      </c>
      <c r="LT73" s="6">
        <f>COUNTIFS(Table28[Country],Tabela1[[#This Row],[Country]],Table28[Plus 81kg Classification],"&gt;0")</f>
        <v>0</v>
      </c>
      <c r="LU73" s="6">
        <f>COUNTIFS(Table24[Country],Tabela1[[#This Row],[Country]],Table24[Freestyle 57kg Classification],"&gt;0")</f>
        <v>0</v>
      </c>
      <c r="LV73" s="6">
        <f>COUNTIFS(Table24[Country],Tabela1[[#This Row],[Country]],Table24[Freestyle 65kg Classification],"&gt;0")</f>
        <v>0</v>
      </c>
      <c r="LW73" s="6">
        <f>COUNTIFS(Table24[Country],Tabela1[[#This Row],[Country]],Table24[Freestyle 74kg Classification],"&gt;0")</f>
        <v>0</v>
      </c>
      <c r="LX73" s="6">
        <f>COUNTIFS(Table24[Country],Tabela1[[#This Row],[Country]],Table24[Freestyle 86kg Classification],"&gt;0")</f>
        <v>0</v>
      </c>
      <c r="LY73" s="6">
        <f>COUNTIFS(Table24[Country],Tabela1[[#This Row],[Country]],Table24[Freestyle 97kg Classification],"&gt;0")</f>
        <v>0</v>
      </c>
      <c r="LZ73" s="6">
        <f>COUNTIFS(Table24[Country],Tabela1[[#This Row],[Country]],Table24[Freestyle 125kg Classification],"&gt;0")</f>
        <v>0</v>
      </c>
      <c r="MA73" s="6">
        <f>COUNTIFS(Table24[Country],Tabela1[[#This Row],[Country]],Table24[Greco-Roman 60kg Classification],"&gt;0")</f>
        <v>0</v>
      </c>
      <c r="MB73" s="6">
        <f>COUNTIFS(Table24[Country],Tabela1[[#This Row],[Country]],Table24[Greco-Roman 67kg Classification],"&gt;0")</f>
        <v>0</v>
      </c>
      <c r="MC73" s="6">
        <f>COUNTIFS(Table24[Country],Tabela1[[#This Row],[Country]],Table24[Greco-Roman 77kg Classification],"&gt;0")</f>
        <v>0</v>
      </c>
      <c r="MD73" s="6">
        <f>COUNTIFS(Table24[Country],Tabela1[[#This Row],[Country]],Table24[Greco-Roman 87kg Classification],"&gt;0")</f>
        <v>0</v>
      </c>
      <c r="ME73" s="6">
        <f>COUNTIFS(Table24[Country],Tabela1[[#This Row],[Country]],Table24[Greco-Roman 97kg Classification],"&gt;0")</f>
        <v>0</v>
      </c>
      <c r="MF73" s="6">
        <f>COUNTIFS(Table24[Country],Tabela1[[#This Row],[Country]],Table24[Greco-Roman 130kg Classification],"&gt;0")</f>
        <v>0</v>
      </c>
      <c r="MG73" s="6">
        <f>COUNTIFS(Table31[Country],Tabela1[[#This Row],[Country]],Table31[50kg Classification],"&gt;0")</f>
        <v>0</v>
      </c>
      <c r="MH73" s="6">
        <f>COUNTIFS(Table31[Country],Tabela1[[#This Row],[Country]],Table31[53kg Classification],"&gt;0")</f>
        <v>0</v>
      </c>
      <c r="MI73" s="6">
        <f>COUNTIFS(Table31[Country],Tabela1[[#This Row],[Country]],Table31[57kg Classification],"&gt;0")</f>
        <v>0</v>
      </c>
      <c r="MJ73" s="6">
        <f>COUNTIFS(Table31[Country],Tabela1[[#This Row],[Country]],Table31[62kg Classification],"&gt;0")</f>
        <v>0</v>
      </c>
      <c r="MK73" s="6">
        <f>COUNTIFS(Table31[Country],Tabela1[[#This Row],[Country]],Table31[68kg Classification],"&gt;0")</f>
        <v>0</v>
      </c>
      <c r="ML73" s="6">
        <f>COUNTIFS(Table31[Country],Tabela1[[#This Row],[Country]],Table31[76kg Classification],"&gt;0")</f>
        <v>0</v>
      </c>
      <c r="MM73" s="6">
        <f>COUNTIFS(Table102[Country],Tabela1[[#This Row],[Country]],Table102[Downhill Classification],"&gt;0")</f>
        <v>0</v>
      </c>
      <c r="MN73" s="6">
        <f>COUNTIFS(Table102105[Country],Tabela1[[#This Row],[Country]],Table102105[Downhill Classification],"&gt;0")</f>
        <v>0</v>
      </c>
      <c r="MO73" s="6">
        <f>COUNTIFS(Table102[Country],Tabela1[[#This Row],[Country]],Table102[Giant Slalom Classification],"&gt;0")</f>
        <v>1</v>
      </c>
      <c r="MP73" s="6">
        <f>COUNTIFS(Table102105[Country],Tabela1[[#This Row],[Country]],Table102105[Giant Slalom Classification],"&gt;0")</f>
        <v>0</v>
      </c>
      <c r="MQ73" s="6">
        <f>COUNTIFS(Table102[Country],Tabela1[[#This Row],[Country]],Table102[Slalom Classification],"&gt;0")</f>
        <v>1</v>
      </c>
      <c r="MR73" s="6">
        <f>COUNTIFS(Table102105[Country],Tabela1[[#This Row],[Country]],Table102105[Slalom Classification],"&gt;0")</f>
        <v>0</v>
      </c>
      <c r="MS73" s="6">
        <f>COUNTIFS(Table102[Country],Tabela1[[#This Row],[Country]],Table102[Super-G Classification],"&gt;0")</f>
        <v>0</v>
      </c>
      <c r="MT73" s="6">
        <f>COUNTIFS(Table102105[Country],Tabela1[[#This Row],[Country]],Table102105[Super-G Classification],"&gt;0")</f>
        <v>0</v>
      </c>
      <c r="MU73" s="6">
        <f>COUNTIFS(Table105[Country],Tabela1[[#This Row],[Country]],Table105[Men''s Combined Classification],"&gt;0")</f>
        <v>0</v>
      </c>
      <c r="MV73" s="6">
        <f>COUNTIFS(Table105[Country],Tabela1[[#This Row],[Country]],Table105[Women''s Combined Classification],"&gt;0")</f>
        <v>0</v>
      </c>
      <c r="MW73" s="6">
        <f>COUNTIFS(Table106[Country],Tabela1[[#This Row],[Country]],Table106[Individual Classification],"&gt;0")</f>
        <v>0</v>
      </c>
      <c r="MX73" s="6">
        <f>COUNTIFS(Table106109[Country],Tabela1[[#This Row],[Country]],Table106109[Individual Classification],"&gt;0")</f>
        <v>0</v>
      </c>
      <c r="MY73" s="6">
        <f>COUNTIFS(Table106[Country],Tabela1[[#This Row],[Country]],Table106[Mass Start Classification],"&gt;0")</f>
        <v>0</v>
      </c>
      <c r="MZ73" s="6">
        <f>COUNTIFS(Table106109[Country],Tabela1[[#This Row],[Country]],Table106109[Mass Start Classification],"&gt;0")</f>
        <v>0</v>
      </c>
      <c r="NA73" s="6">
        <f>COUNTIFS(Table106[Country],Tabela1[[#This Row],[Country]],Table106[Pursuit Classification],"&gt;0")</f>
        <v>0</v>
      </c>
      <c r="NB73" s="6">
        <f>COUNTIFS(Table106109[Country],Tabela1[[#This Row],[Country]],Table106109[Pursuit Classification],"&gt;0")</f>
        <v>0</v>
      </c>
      <c r="NC73" s="6">
        <f>COUNTIFS(Table106[Country],Tabela1[[#This Row],[Country]],Table106[Sprint Classification],"&gt;0")</f>
        <v>0</v>
      </c>
      <c r="ND73" s="6">
        <f>COUNTIFS(Table106109[Country],Tabela1[[#This Row],[Country]],Table106109[Sprint Classification],"&gt;0")</f>
        <v>0</v>
      </c>
      <c r="NE73" s="6">
        <f>COUNTIFS(Table109[Country],Tabela1[[#This Row],[Country]],Table109[Men''s Relay Classification],"&gt;0")</f>
        <v>0</v>
      </c>
      <c r="NF73" s="6">
        <f>COUNTIFS(Table109[Country],Tabela1[[#This Row],[Country]],Table109[Women''s Relay Classification],"&gt;0")</f>
        <v>0</v>
      </c>
      <c r="NG73" s="6">
        <f>COUNTIFS(Table109[Country],Tabela1[[#This Row],[Country]],Table109[Mixed Relay Classification],"&gt;0")</f>
        <v>0</v>
      </c>
      <c r="NH73" s="6">
        <f>COUNTIFS(Table110[Country],Tabela1[[#This Row],[Country]],Table110[Monobob Classification],"&gt;0")</f>
        <v>0</v>
      </c>
      <c r="NI73" s="6">
        <f>COUNTIFS(Table111[Country],Tabela1[[#This Row],[Country]],Table111[Men''s Classification],"&gt;0")</f>
        <v>0</v>
      </c>
      <c r="NJ73" s="6">
        <f>COUNTIFS(Table111[Country],Tabela1[[#This Row],[Country]],Table111[Women''s Classification],"&gt;0")</f>
        <v>0</v>
      </c>
      <c r="NK73" s="6">
        <f>COUNTIFS(Table112[Country],Tabela1[[#This Row],[Country]],Table112[Men''s Four Classification],"&gt;0")</f>
        <v>0</v>
      </c>
      <c r="NL73" s="6">
        <f>COUNTIFS(Table113[Country],Tabela1[[#This Row],[Country]],Table113[Classical Classification],"&gt;0")</f>
        <v>0</v>
      </c>
      <c r="NM73" s="6">
        <f>COUNTIFS(Table113116[Country],Tabela1[[#This Row],[Country]],Table113116[Classical Classification],"&gt;0")</f>
        <v>0</v>
      </c>
      <c r="NN73" s="6">
        <f>COUNTIFS(Table113[Country],Tabela1[[#This Row],[Country]],Table113[Freestyle Classification],"&gt;0")</f>
        <v>0</v>
      </c>
      <c r="NO73" s="6">
        <f>COUNTIFS(Table113116[Country],Tabela1[[#This Row],[Country]],Table113116[Freestyle Classification],"&gt;0")</f>
        <v>0</v>
      </c>
      <c r="NP73" s="6">
        <f>COUNTIFS(Table117[Country],Tabela1[[#This Row],[Country]],Table117[Men''s Relay Classification],"&gt;0")</f>
        <v>0</v>
      </c>
      <c r="NQ73" s="6">
        <f>COUNTIFS(Table117[Country],Tabela1[[#This Row],[Country]],Table117[Women''s Relay Classification],"&gt;0")</f>
        <v>0</v>
      </c>
      <c r="NR73" s="6">
        <f>COUNTIFS(Table113[Country],Tabela1[[#This Row],[Country]],Table113[Skiathlon Classification],"&gt;0")</f>
        <v>0</v>
      </c>
      <c r="NS73" s="6">
        <f>COUNTIFS(Table113116[Country],Tabela1[[#This Row],[Country]],Table113116[Skiathlon Classification],"&gt;0")</f>
        <v>0</v>
      </c>
      <c r="NT73" s="6">
        <f>COUNTIFS(Table113[Country],Tabela1[[#This Row],[Country]],Table113[Sprint Classification],"&gt;0")</f>
        <v>0</v>
      </c>
      <c r="NU73" s="6">
        <f>COUNTIFS(Table113116[Country],Tabela1[[#This Row],[Country]],Table113116[Sprint Classification],"&gt;0")</f>
        <v>0</v>
      </c>
      <c r="NV73" s="6">
        <f>COUNTIFS(Table116[Country],Tabela1[[#This Row],[Country]],Table116[Men''s Team Sprint Classification],"&gt;0")</f>
        <v>0</v>
      </c>
      <c r="NW73" s="6">
        <f>COUNTIFS(Table116[Country],Tabela1[[#This Row],[Country]],Table116[Women''s Team Sprint Classification],"&gt;0")</f>
        <v>0</v>
      </c>
      <c r="NX73" s="6">
        <f>COUNTIFS(Table119[Country],Tabela1[[#This Row],[Country]],Table119[Men''s Classification],"&gt;0")</f>
        <v>0</v>
      </c>
      <c r="NY73" s="6">
        <f>COUNTIFS(Table119[Country],Tabela1[[#This Row],[Country]],Table119[Women''s Classification],"&gt;0")</f>
        <v>0</v>
      </c>
      <c r="NZ73" s="6">
        <f>COUNTIFS(Table118[Country],Tabela1[[#This Row],[Country]],Table118[Mixed Classification],"&gt;0")</f>
        <v>0</v>
      </c>
      <c r="OA73" s="6">
        <f>COUNTIFS(Table120[Country],Tabela1[[#This Row],[Country]],Table120[Classification],"&gt;0")</f>
        <v>0</v>
      </c>
      <c r="OB73" s="6">
        <f>COUNTIFS(Table120123[Country],Tabela1[[#This Row],[Country]],Table120123[Classification],"&gt;0")</f>
        <v>0</v>
      </c>
      <c r="OC73" s="6">
        <f>COUNTIFS(Table123[Country],Tabela1[[#This Row],[Country]],Table123[Ice Dance Classification],"&gt;0")</f>
        <v>0</v>
      </c>
      <c r="OD73" s="6">
        <f>COUNTIFS(Table123[Country],Tabela1[[#This Row],[Country]],Table123[Pair Skating Classification],"&gt;0")</f>
        <v>0</v>
      </c>
      <c r="OE73" s="6">
        <f>COUNTIFS(Table124[Country],Tabela1[[#This Row],[Country]],Table124[Mixed Classification],"&gt;0")</f>
        <v>0</v>
      </c>
      <c r="OF73" s="6">
        <f>COUNTIFS(Table125[Country],Tabela1[[#This Row],[Country]],Table125[Aerials Classification],"&gt;0")</f>
        <v>0</v>
      </c>
      <c r="OG73" s="6">
        <f>COUNTIFS(Table125128[Country],Tabela1[[#This Row],[Country]],Table125128[Aerials Classification],"&gt;0")</f>
        <v>0</v>
      </c>
      <c r="OH73" s="6">
        <f>COUNTIFS(Table128[Country],Tabela1[[#This Row],[Country]],Table128[Mixed Aerials Classification],"&gt;0")</f>
        <v>0</v>
      </c>
      <c r="OI73" s="6">
        <f>COUNTIFS(Table125[Country],Tabela1[[#This Row],[Country]],Table125[Big Air Classification],"&gt;0")</f>
        <v>0</v>
      </c>
      <c r="OJ73" s="6">
        <f>COUNTIFS(Table125128[Country],Tabela1[[#This Row],[Country]],Table125128[Big Air Classification],"&gt;0")</f>
        <v>0</v>
      </c>
      <c r="OK73" s="6">
        <f>COUNTIFS(Table125[Country],Tabela1[[#This Row],[Country]],Table125[Dual Moguls Classification],"&gt;0")</f>
        <v>0</v>
      </c>
      <c r="OL73" s="6">
        <f>COUNTIFS(Table125128[Country],Tabela1[[#This Row],[Country]],Table125128[Dual Moguls Classification],"&gt;0")</f>
        <v>0</v>
      </c>
      <c r="OM73" s="6">
        <f>COUNTIFS(Table125[Country],Tabela1[[#This Row],[Country]],Table125[Halfpipe Classification],"&gt;0")</f>
        <v>0</v>
      </c>
      <c r="ON73" s="6">
        <f>COUNTIFS(Table125128[Country],Tabela1[[#This Row],[Country]],Table125128[Halfpipe Classification],"&gt;0")</f>
        <v>0</v>
      </c>
      <c r="OO73" s="6">
        <f>COUNTIFS(Table125[Country],Tabela1[[#This Row],[Country]],Table125[Moguls Classification],"&gt;0")</f>
        <v>0</v>
      </c>
      <c r="OP73" s="6">
        <f>COUNTIFS(Table125128[Country],Tabela1[[#This Row],[Country]],Table125128[Moguls Classification],"&gt;0")</f>
        <v>0</v>
      </c>
      <c r="OQ73" s="6">
        <f>COUNTIFS(Table125[Country],Tabela1[[#This Row],[Country]],Table125[Ski Cross Classification],"&gt;0")</f>
        <v>0</v>
      </c>
      <c r="OR73" s="6">
        <f>COUNTIFS(Table125128[Country],Tabela1[[#This Row],[Country]],Table125128[Ski Cross Classification],"&gt;0")</f>
        <v>0</v>
      </c>
      <c r="OS73" s="6">
        <f>COUNTIFS(Table125[Country],Tabela1[[#This Row],[Country]],Table125[Slopestyle Classification],"&gt;0")</f>
        <v>0</v>
      </c>
      <c r="OT73" s="6">
        <f>COUNTIFS(Table125128[Country],Tabela1[[#This Row],[Country]],Table125128[Slopestyle Classification],"&gt;0")</f>
        <v>0</v>
      </c>
      <c r="OU73" s="6">
        <f>COUNTIFS(Table119131[Country],Tabela1[[#This Row],[Country]],Table119131[Men''s Classification],"&gt;0")</f>
        <v>0</v>
      </c>
      <c r="OV73" s="6">
        <f>COUNTIFS(Table119131[Country],Tabela1[[#This Row],[Country]],Table119131[Women''s Classification],"&gt;0")</f>
        <v>0</v>
      </c>
      <c r="OW73" s="6">
        <f>COUNTIFS(Table131[Country],Tabela1[[#This Row],[Country]],Table131[Classification],"&gt;0")</f>
        <v>0</v>
      </c>
      <c r="OX73" s="6">
        <f>COUNTIFS(Table131134[Country],Tabela1[[#This Row],[Country]],Table131134[Classification],"&gt;0")</f>
        <v>0</v>
      </c>
      <c r="OY73" s="6">
        <f>COUNTIFS(Table134[Country],Tabela1[[#This Row],[Country]],Table134[Men''s Classification],"&gt;0")</f>
        <v>0</v>
      </c>
      <c r="OZ73" s="6">
        <f>COUNTIFS(Table134[Country],Tabela1[[#This Row],[Country]],Table134[Women''s Classification],"&gt;0")</f>
        <v>0</v>
      </c>
      <c r="PA73" s="6">
        <f>COUNTIFS(Table135[Country],Tabela1[[#This Row],[Country]],Table135[Mixed Relay Classification],"&gt;0")</f>
        <v>0</v>
      </c>
      <c r="PB73" s="6">
        <f>COUNTIFS(Table136[Country],Tabela1[[#This Row],[Country]],Table136[Individual Classification],"&gt;0")</f>
        <v>0</v>
      </c>
      <c r="PC73" s="6">
        <f>COUNTIFS(Table136[Country],Tabela1[[#This Row],[Country]],Table136[Sprint Classification],"&gt;0")</f>
        <v>0</v>
      </c>
      <c r="PD73" s="6">
        <f>COUNTIFS(Table137[Country],Tabela1[[#This Row],[Country]],Table137[Men''s Team Sprint Large Hill Classification],"&gt;0")</f>
        <v>0</v>
      </c>
      <c r="PE73" s="6">
        <f>COUNTIFS(Table138[Country],Tabela1[[#This Row],[Country]],Table138[500m Classification],"&gt;0")</f>
        <v>0</v>
      </c>
      <c r="PF73" s="6">
        <f>COUNTIFS(Table138141[Country],Tabela1[[#This Row],[Country]],Table138141[500m Classification],"&gt;0")</f>
        <v>0</v>
      </c>
      <c r="PG73" s="6">
        <f>COUNTIFS(Table138[Country],Tabela1[[#This Row],[Country]],Table138[1000m Classification],"&gt;0")</f>
        <v>0</v>
      </c>
      <c r="PH73" s="6">
        <f>COUNTIFS(Table138141[Country],Tabela1[[#This Row],[Country]],Table138141[1000m Classification],"&gt;0")</f>
        <v>0</v>
      </c>
      <c r="PI73" s="6">
        <f>COUNTIFS(Table138[Country],Tabela1[[#This Row],[Country]],Table138[1500m Classification],"&gt;0")</f>
        <v>0</v>
      </c>
      <c r="PJ73" s="6">
        <f>COUNTIFS(Table138141[Country],Tabela1[[#This Row],[Country]],Table138141[1500m Classification],"&gt;0")</f>
        <v>0</v>
      </c>
      <c r="PK73" s="6">
        <f>COUNTIFS(Table141[Country],Tabela1[[#This Row],[Country]],Table141[Men''s 5000m Relay Classification],"&gt;0")</f>
        <v>0</v>
      </c>
      <c r="PL73" s="6">
        <f>COUNTIFS(Table141[Country],Tabela1[[#This Row],[Country]],Table141[Women''s 3000m Relay Classification],"&gt;0")</f>
        <v>0</v>
      </c>
      <c r="PM73" s="6">
        <f>COUNTIFS(Table141[Country],Tabela1[[#This Row],[Country]],Table141[Mixed 2000m Relay Classification],"&gt;0")</f>
        <v>0</v>
      </c>
      <c r="PN73" s="6">
        <f>COUNTIFS(Table142[Country],Tabela1[[#This Row],[Country]],Table142[Classification],"&gt;0")</f>
        <v>0</v>
      </c>
      <c r="PO73" s="6">
        <f>COUNTIFS(Table142145[Country],Tabela1[[#This Row],[Country]],Table142145[Classification],"&gt;0")</f>
        <v>0</v>
      </c>
      <c r="PP73" s="6">
        <f>COUNTIFS(Tabela15[Country],Tabela1[[#This Row],[Country]],Tabela15[Mixed Team Classification],"&gt;0")</f>
        <v>0</v>
      </c>
      <c r="PQ73" s="6">
        <f>COUNTIFS(Table145[Country],Tabela1[[#This Row],[Country]],Table145[Large Hill Classification],"&gt;0")</f>
        <v>0</v>
      </c>
      <c r="PR73" s="6">
        <f>COUNTIFS(Table145[Country],Tabela1[[#This Row],[Country]],Table145[Normal Hill Classification],"&gt;0")</f>
        <v>0</v>
      </c>
      <c r="PS73" s="6">
        <f>COUNTIFS(Table145148[Country],Tabela1[[#This Row],[Country]],Table145148[Large Hill Classification],"&gt;0")</f>
        <v>0</v>
      </c>
      <c r="PT73" s="6">
        <f>COUNTIFS(Table145148[Country],Tabela1[[#This Row],[Country]],Table145148[Normal Hill Classification],"&gt;0")</f>
        <v>0</v>
      </c>
      <c r="PU73" s="6">
        <f>COUNTIFS(Table148[Country],Tabela1[[#This Row],[Country]],Table148[Men''s Super Team Classification],"&gt;0")</f>
        <v>0</v>
      </c>
      <c r="PV73" s="6">
        <f>COUNTIFS(Tabela114[Country],Tabela1[[#This Row],[Country]],Tabela114[Mixed Normal Hill Classification],"&gt;0")</f>
        <v>0</v>
      </c>
      <c r="PW73" s="6">
        <f>COUNTIFS(Tabela50[Country],Tabela1[[#This Row],[Country]],Tabela50[Sprint Classification],"&gt;0")</f>
        <v>0</v>
      </c>
      <c r="PX73" s="6">
        <f>COUNTIFS(Tabela50101[Country],Tabela1[[#This Row],[Country]],Tabela50101[Sprint Classification],"&gt;0")</f>
        <v>0</v>
      </c>
      <c r="PY73" s="6">
        <f>COUNTIFS(Tabela103[Country],Tabela1[[#This Row],[Country]],Tabela103[Mixed Relay Classification],"&gt;0")</f>
        <v>0</v>
      </c>
      <c r="PZ73" s="6">
        <f>COUNTIFS(Table149[Country],Tabela1[[#This Row],[Country]],Table149[Big Air Classification],"&gt;0")</f>
        <v>0</v>
      </c>
      <c r="QA73" s="6">
        <f>COUNTIFS(Table149152[Country],Tabela1[[#This Row],[Country]],Table149152[Big Air Classification],"&gt;0")</f>
        <v>0</v>
      </c>
      <c r="QB73" s="6">
        <f>COUNTIFS(Table149[Country],Tabela1[[#This Row],[Country]],Table149[Halfpipe Classification],"&gt;0")</f>
        <v>0</v>
      </c>
      <c r="QC73" s="6">
        <f>COUNTIFS(Table149152[Country],Tabela1[[#This Row],[Country]],Table149152[Halfpipe Classification],"&gt;0")</f>
        <v>0</v>
      </c>
      <c r="QD73" s="6">
        <f>COUNTIFS(Table149[Country],Tabela1[[#This Row],[Country]],Table149[Parallel Giant Slalom Classification],"&gt;0")</f>
        <v>0</v>
      </c>
      <c r="QE73" s="6">
        <f>COUNTIFS(Table149152[Country],Tabela1[[#This Row],[Country]],Table149152[Parallel Giant Slalom Classification],"&gt;0")</f>
        <v>0</v>
      </c>
      <c r="QF73" s="6">
        <f>COUNTIFS(Table149[Country],Tabela1[[#This Row],[Country]],Table149[Slopestyle Classification],"&gt;0")</f>
        <v>0</v>
      </c>
      <c r="QG73" s="6">
        <f>COUNTIFS(Table149152[Country],Tabela1[[#This Row],[Country]],Table149152[Slopestyle Classification],"&gt;0")</f>
        <v>0</v>
      </c>
      <c r="QH73" s="6">
        <f>COUNTIFS(Table149[Country],Tabela1[[#This Row],[Country]],Table149[Snowboard Cross Classification],"&gt;0")</f>
        <v>0</v>
      </c>
      <c r="QI73" s="6">
        <f>COUNTIFS(Table149152[Country],Tabela1[[#This Row],[Country]],Table149152[Snowboard Cross Classification],"&gt;0")</f>
        <v>0</v>
      </c>
      <c r="QJ73" s="6">
        <f>COUNTIFS(Table153[Country],Tabela1[[#This Row],[Country]],Table153[Mixed Team Snowboard Cross Classification],"&gt;0")</f>
        <v>0</v>
      </c>
      <c r="QK73" s="6">
        <f>COUNTIFS(Table154[Country],Tabela1[[#This Row],[Country]],Table154[500m Classification],"&gt;0")</f>
        <v>0</v>
      </c>
      <c r="QL73" s="6">
        <f>COUNTIFS(Table154157[Country],Tabela1[[#This Row],[Country]],Table154157[500m Classification],"&gt;0")</f>
        <v>0</v>
      </c>
      <c r="QM73" s="6">
        <f>COUNTIFS(Table154[Country],Tabela1[[#This Row],[Country]],Table154[1000m Classification],"&gt;0")</f>
        <v>0</v>
      </c>
      <c r="QN73" s="6">
        <f>COUNTIFS(Table154157[Country],Tabela1[[#This Row],[Country]],Table154157[1000m Classification],"&gt;0")</f>
        <v>0</v>
      </c>
      <c r="QO73" s="6">
        <f>COUNTIFS(Table154[Country],Tabela1[[#This Row],[Country]],Table154[1500m Classification],"&gt;0")</f>
        <v>0</v>
      </c>
      <c r="QP73" s="6">
        <f>COUNTIFS(Table154157[Country],Tabela1[[#This Row],[Country]],Table154157[1500m Classification],"&gt;0")</f>
        <v>0</v>
      </c>
      <c r="QQ73" s="6">
        <f>COUNTIFS(Table154157[Country],Tabela1[[#This Row],[Country]],Table154157[3000m Classification],"&gt;0")</f>
        <v>0</v>
      </c>
      <c r="QR73" s="6">
        <f>COUNTIFS(Table154[Country],Tabela1[[#This Row],[Country]],Table154[5000m Classification],"&gt;0")</f>
        <v>0</v>
      </c>
      <c r="QS73" s="6">
        <f>COUNTIFS(Table154157[Country],Tabela1[[#This Row],[Country]],Table154157[5000m Classification],"&gt;0")</f>
        <v>0</v>
      </c>
      <c r="QT73" s="6">
        <f>COUNTIFS(Table154[Country],Tabela1[[#This Row],[Country]],Table154[10000m Classification],"&gt;0")</f>
        <v>0</v>
      </c>
      <c r="QU73" s="6">
        <f>COUNTIFS(Table154[Country],Tabela1[[#This Row],[Country]],Table154[Mass Start Classification],"&gt;0")</f>
        <v>0</v>
      </c>
      <c r="QV73" s="6">
        <f>COUNTIFS(Table154157[Country],Tabela1[[#This Row],[Country]],Table154157[Mass Start Classification],"&gt;0")</f>
        <v>0</v>
      </c>
      <c r="QW73" s="6">
        <f>COUNTIFS(Table157[Country],Tabela1[[#This Row],[Country]],Table157[Men''s Pursuit Classification],"&gt;0")</f>
        <v>0</v>
      </c>
      <c r="QX73" s="6">
        <f>COUNTIFS(Table157[Country],Tabela1[[#This Row],[Country]],Table157[Women''s Pursuit Classification],"&gt;0")</f>
        <v>0</v>
      </c>
      <c r="QY73" s="4" t="s">
        <v>561</v>
      </c>
    </row>
    <row r="74" spans="1:467" x14ac:dyDescent="0.3">
      <c r="A74" s="6">
        <v>73</v>
      </c>
      <c r="B74" s="6" t="s">
        <v>456</v>
      </c>
      <c r="C74" t="e" vm="73">
        <f>IF(ISBLANK(Tabela1[[#This Row],[Image Link]]), "", _xlfn.IMAGE(Tabela1[[#This Row],[Image Link]],1,1))</f>
        <v>#VALUE!</v>
      </c>
      <c r="D74" s="6">
        <f>SUM(Tabela1[[#This Row],[Archery - Men''s Individual Recurve]:[Speed Skating - Women''s Team Pursuit]])</f>
        <v>7</v>
      </c>
      <c r="E74" s="6">
        <f>COUNTIF(Tabela1[[#This Row],[Archery - Men''s Individual Recurve]:[Speed Skating - Women''s Team Pursuit]],"&gt;0")</f>
        <v>7</v>
      </c>
      <c r="F74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74" s="6">
        <f>SUM(Tabela1[[#This Row],[Archery - Men''s Individual Recurve]:[Wrestling - Women''s Freestyle 76kg]])</f>
        <v>7</v>
      </c>
      <c r="H74" s="6">
        <f>SUM(Tabela1[[#This Row],[Alpine Skiing - Men''s Downhill]:[Speed Skating - Women''s Team Pursuit]])</f>
        <v>0</v>
      </c>
      <c r="I74" s="6">
        <f>Tabela1[[#This Row],[Summer Gold Medals]]+Tabela1[[#This Row],[Winter Gold Medals]]</f>
        <v>2</v>
      </c>
      <c r="J74" s="6">
        <f>Tabela1[[#This Row],[Summer Silver Medals]]+Tabela1[[#This Row],[Winter Silver Medals]]</f>
        <v>2</v>
      </c>
      <c r="K74" s="6">
        <f>Tabela1[[#This Row],[Summer Bronze Medals]]+Tabela1[[#This Row],[Winter Bronze Medals]]</f>
        <v>3</v>
      </c>
      <c r="L74" s="6">
        <f>SUM(Tabela1[[#This Row],[Total Gold Medals]:[Total Bronze Medals]])</f>
        <v>7</v>
      </c>
      <c r="M74" s="6">
        <v>2</v>
      </c>
      <c r="N74" s="6">
        <v>2</v>
      </c>
      <c r="O74" s="6">
        <v>3</v>
      </c>
      <c r="P74" s="6">
        <f>SUM(Tabela1[[#This Row],[Summer Gold Medals]:[Summer Bronze Medals]])</f>
        <v>7</v>
      </c>
      <c r="Q74" s="6"/>
      <c r="R74" s="6"/>
      <c r="S74" s="6"/>
      <c r="T74" s="6">
        <f>Tabela1[[#This Row],[Winter Gold Medals]]+Tabela1[[#This Row],[Winter Silver Medals]]+Tabela1[[#This Row],[Winter Bronze Medals]]</f>
        <v>0</v>
      </c>
      <c r="U74" s="7">
        <f>Tabela1[[#This Row],[Total Medals]]/Tabela1[[#This Row],[Total Quotas]]</f>
        <v>1</v>
      </c>
      <c r="V74" s="6">
        <f>COUNTIFS(Table3[Country],Tabela1[[#This Row],[Country]],Table3[Recurve Classification],"&gt;0")</f>
        <v>0</v>
      </c>
      <c r="W74" s="6">
        <f>COUNTIFS(Table33[Country],Tabela1[[#This Row],[Country]],Table33[Recurve Classification],"&gt;0")</f>
        <v>0</v>
      </c>
      <c r="X74" s="6">
        <f>COUNTIFS(Table35[Country],Tabela1[[#This Row],[Country]],Table35[Men''s Team Recurve Classification],"&gt;0")</f>
        <v>0</v>
      </c>
      <c r="Y74" s="6">
        <f>COUNTIFS(Table35[Country],Tabela1[[#This Row],[Country]],Table35[Women''s Team Recurve Classification],"&gt;0")</f>
        <v>0</v>
      </c>
      <c r="Z74" s="6">
        <f>COUNTIFS(Tabela88[Country],Tabela1[[#This Row],[Country]],Tabela88[Mixed Team Recurve Classification],"&gt;0")</f>
        <v>0</v>
      </c>
      <c r="AA74" s="6">
        <f>COUNTIFS(Table36[Country],Tabela1[[#This Row],[Country]],Table36[Classification],"&gt;0")</f>
        <v>0</v>
      </c>
      <c r="AB74" s="6">
        <f>COUNTIFS(Table37[Country],Tabela1[[#This Row],[Country]],Table37[Classification],"&gt;0")</f>
        <v>0</v>
      </c>
      <c r="AC74" s="6">
        <f>COUNTIFS(Table4[Country],Tabela1[[#This Row],[Country]],Table4[100m Classification],"&gt;0")</f>
        <v>0</v>
      </c>
      <c r="AD74" s="6">
        <f>COUNTIFS(Table5[Country],Tabela1[[#This Row],[Country]],Table5[100m Classification],"&gt;0")</f>
        <v>0</v>
      </c>
      <c r="AE74" s="6">
        <f>COUNTIFS(Table4[Country],Tabela1[[#This Row],[Country]],Table4[200m Classification],"&gt;0")</f>
        <v>0</v>
      </c>
      <c r="AF74" s="6">
        <f>COUNTIFS(Table5[Country],Tabela1[[#This Row],[Country]],Table5[200m Classification],"&gt;0")</f>
        <v>0</v>
      </c>
      <c r="AG74" s="6">
        <f>COUNTIFS(Table4[Country],Tabela1[[#This Row],[Country]],Table4[400m Classification],"&gt;0")</f>
        <v>0</v>
      </c>
      <c r="AH74" s="6">
        <f>COUNTIFS(Table5[Country],Tabela1[[#This Row],[Country]],Table5[400m Classification],"&gt;0")</f>
        <v>0</v>
      </c>
      <c r="AI74" s="6">
        <f>COUNTIFS(Table4[Country],Tabela1[[#This Row],[Country]],Table4[800m Classification],"&gt;0")</f>
        <v>0</v>
      </c>
      <c r="AJ74" s="6">
        <f>COUNTIFS(Table5[Country],Tabela1[[#This Row],[Country]],Table5[800m Classification],"&gt;0")</f>
        <v>0</v>
      </c>
      <c r="AK74" s="6">
        <f>COUNTIFS(Table4[Country],Tabela1[[#This Row],[Country]],Table4[1500m Classification],"&gt;0")</f>
        <v>0</v>
      </c>
      <c r="AL74" s="6">
        <f>COUNTIFS(Table5[Country],Tabela1[[#This Row],[Country]],Table5[1500m Classification],"&gt;0")</f>
        <v>0</v>
      </c>
      <c r="AM74" s="6">
        <f>COUNTIFS(Table4[Country],Tabela1[[#This Row],[Country]],Table4[5000m Classification],"&gt;0")</f>
        <v>0</v>
      </c>
      <c r="AN74" s="6">
        <f>COUNTIFS(Table5[Country],Tabela1[[#This Row],[Country]],Table5[5000m Classification],"&gt;0")</f>
        <v>0</v>
      </c>
      <c r="AO74" s="6">
        <f>COUNTIFS(Table4[Country],Tabela1[[#This Row],[Country]],Table4[10000m Classification],"&gt;0")</f>
        <v>0</v>
      </c>
      <c r="AP74" s="6">
        <f>COUNTIFS(Table5[Country],Tabela1[[#This Row],[Country]],Table5[10000m Classification],"&gt;0")</f>
        <v>0</v>
      </c>
      <c r="AQ74" s="6">
        <f>COUNTIFS(Table4[Country],Tabela1[[#This Row],[Country]],Table4[110m Hurdles Classification],"&gt;0")</f>
        <v>0</v>
      </c>
      <c r="AR74" s="6">
        <f>COUNTIFS(Table5[Country],Tabela1[[#This Row],[Country]],Table5[100m Hurdles Classification],"&gt;0")</f>
        <v>0</v>
      </c>
      <c r="AS74" s="6">
        <f>COUNTIFS(Table4[Country],Tabela1[[#This Row],[Country]],Table4[400m Hurdles Classification],"&gt;0")</f>
        <v>0</v>
      </c>
      <c r="AT74" s="6">
        <f>COUNTIFS(Table5[Country],Tabela1[[#This Row],[Country]],Table5[400m Hurdles Classification],"&gt;0")</f>
        <v>0</v>
      </c>
      <c r="AU74" s="6">
        <f>COUNTIFS(Table4[Country],Tabela1[[#This Row],[Country]],Table4[3000m Steeplechase Classification],"&gt;0")</f>
        <v>0</v>
      </c>
      <c r="AV74" s="6">
        <f>COUNTIFS(Table5[Country],Tabela1[[#This Row],[Country]],Table5[3000m Steeplechase Classification],"&gt;0")</f>
        <v>0</v>
      </c>
      <c r="AW74" s="6">
        <f>COUNTIFS(Table27[Country],Tabela1[[#This Row],[Country]],Table27[Men''s 4x100m Relay Classification],"&gt;0")</f>
        <v>0</v>
      </c>
      <c r="AX74" s="6">
        <f>COUNTIFS(Table27[Country],Tabela1[[#This Row],[Country]],Table27[Women''s 4x100m Relay Classification],"&gt;0")</f>
        <v>0</v>
      </c>
      <c r="AY74" s="6">
        <f>COUNTIFS(Table27[Country],Tabela1[[#This Row],[Country]],Table27[Men''s 4x400m Relay Classification],"&gt;0")</f>
        <v>0</v>
      </c>
      <c r="AZ74" s="6">
        <f>COUNTIFS(Table27[Country],Tabela1[[#This Row],[Country]],Table27[Women''s 4x400m Relay Classification],"&gt;0")</f>
        <v>0</v>
      </c>
      <c r="BA74" s="6">
        <f>COUNTIFS(Table27[Country],Tabela1[[#This Row],[Country]],Table27[Mixed 4x400m Relay Classification],"&gt;0")</f>
        <v>0</v>
      </c>
      <c r="BB74" s="6">
        <f>COUNTIFS(Table4[Country],Tabela1[[#This Row],[Country]],Table4[Marathon Classification],"&gt;0")</f>
        <v>0</v>
      </c>
      <c r="BC74" s="6">
        <f>COUNTIFS(Table5[Country],Tabela1[[#This Row],[Country]],Table5[Marathon Classification],"&gt;0")</f>
        <v>0</v>
      </c>
      <c r="BD74" s="6">
        <f>COUNTIFS(Table4[Country],Tabela1[[#This Row],[Country]],Table4[20km Race Walk Classification],"&gt;0")</f>
        <v>0</v>
      </c>
      <c r="BE74" s="6">
        <f>COUNTIFS(Table5[Country],Tabela1[[#This Row],[Country]],Table5[20km Race Walk Classification],"&gt;0")</f>
        <v>0</v>
      </c>
      <c r="BF74" s="6">
        <f>COUNTIFS(Tabela96[Country],Tabela1[[#This Row],[Country]],Tabela96[Mixed Marathon Race Walk Relay Classification],"&gt;0")</f>
        <v>0</v>
      </c>
      <c r="BG74" s="6">
        <f>COUNTIFS(Table4[Country],Tabela1[[#This Row],[Country]],Table4[Discus Throw Classification],"&gt;0")</f>
        <v>0</v>
      </c>
      <c r="BH74" s="6">
        <f>COUNTIFS(Table5[Country],Tabela1[[#This Row],[Country]],Table5[Discus Throw Classification],"&gt;0")</f>
        <v>0</v>
      </c>
      <c r="BI74" s="6">
        <f>COUNTIFS(Table4[Country],Tabela1[[#This Row],[Country]],Table4[Hammer Throw Classification],"&gt;0")</f>
        <v>0</v>
      </c>
      <c r="BJ74" s="6">
        <f>COUNTIFS(Table5[Country],Tabela1[[#This Row],[Country]],Table5[Hammer Throw Classification],"&gt;0")</f>
        <v>1</v>
      </c>
      <c r="BK74" s="6">
        <f>COUNTIFS(Table4[Country],Tabela1[[#This Row],[Country]],Table4[High Jump Classification],"&gt;0")</f>
        <v>0</v>
      </c>
      <c r="BL74" s="6">
        <f>COUNTIFS(Table5[Country],Tabela1[[#This Row],[Country]],Table5[High Jump Classification],"&gt;0")</f>
        <v>0</v>
      </c>
      <c r="BM74" s="6">
        <f>COUNTIFS(Table4[Country],Tabela1[[#This Row],[Country]],Table4[Javelin Throw Classification],"&gt;0")</f>
        <v>0</v>
      </c>
      <c r="BN74" s="6">
        <f>COUNTIFS(Table5[Country],Tabela1[[#This Row],[Country]],Table5[Javelin Throw Classification],"&gt;0")</f>
        <v>0</v>
      </c>
      <c r="BO74" s="6">
        <f>COUNTIFS(Table4[Country],Tabela1[[#This Row],[Country]],Table4[Long Jump Classification],"&gt;0")</f>
        <v>0</v>
      </c>
      <c r="BP74" s="6">
        <f>COUNTIFS(Table5[Country],Tabela1[[#This Row],[Country]],Table5[Long Jump Classification],"&gt;0")</f>
        <v>0</v>
      </c>
      <c r="BQ74" s="6">
        <f>COUNTIFS(Table4[Country],Tabela1[[#This Row],[Country]],Table4[Pole Vault Classification],"&gt;0")</f>
        <v>0</v>
      </c>
      <c r="BR74" s="6">
        <f>COUNTIFS(Table5[Country],Tabela1[[#This Row],[Country]],Table5[Pole Vault Classification],"&gt;0")</f>
        <v>0</v>
      </c>
      <c r="BS74" s="6">
        <f>COUNTIFS(Table4[Country],Tabela1[[#This Row],[Country]],Table4[Shot Put Classification],"&gt;0")</f>
        <v>0</v>
      </c>
      <c r="BT74" s="6">
        <f>COUNTIFS(Table5[Country],Tabela1[[#This Row],[Country]],Table5[Shot Put Classification],"&gt;0")</f>
        <v>0</v>
      </c>
      <c r="BU74" s="6">
        <f>COUNTIFS(Table4[Country],Tabela1[[#This Row],[Country]],Table4[Triple Jump Classification],"&gt;0")</f>
        <v>0</v>
      </c>
      <c r="BV74" s="6">
        <f>COUNTIFS(Table5[Country],Tabela1[[#This Row],[Country]],Table5[Triple Jump Classification],"&gt;0")</f>
        <v>0</v>
      </c>
      <c r="BW74" s="6">
        <f>COUNTIFS(Table4[Country],Tabela1[[#This Row],[Country]],Table4[Decathlon Classification],"&gt;0")</f>
        <v>0</v>
      </c>
      <c r="BX74" s="6">
        <f>COUNTIFS(Table5[Country],Tabela1[[#This Row],[Country]],Table5[Heptathlon Classification],"&gt;0")</f>
        <v>0</v>
      </c>
      <c r="BY74" s="6">
        <f>COUNTIFS(Table61[Country],Tabela1[[#This Row],[Country]],Table61[Classification],"&gt;0")</f>
        <v>0</v>
      </c>
      <c r="BZ74" s="6">
        <f>COUNTIFS(Table38[Country],Tabela1[[#This Row],[Country]],Table38[Classification],"&gt;0")</f>
        <v>0</v>
      </c>
      <c r="CA74" s="6">
        <f>COUNTIFS(Table39[Country],Tabela1[[#This Row],[Country]],Table39[Men''s Classification],"&gt;0")</f>
        <v>0</v>
      </c>
      <c r="CB74" s="6">
        <f>COUNTIFS(Table39[Country],Tabela1[[#This Row],[Country]],Table39[Women''s Classification],"&gt;0")</f>
        <v>0</v>
      </c>
      <c r="CC74" s="6">
        <f>COUNTIFS(Table39[Country],Tabela1[[#This Row],[Country]],Table39[Mixed Classification],"&gt;0")</f>
        <v>0</v>
      </c>
      <c r="CD74" s="6">
        <f>COUNTIFS(Table89[Country],Tabela1[[#This Row],[Country]],Table89[Men''s Classification],"&gt;0")</f>
        <v>0</v>
      </c>
      <c r="CE74" s="6">
        <f>COUNTIFS(Table89[Country],Tabela1[[#This Row],[Country]],Table89[Women''s Classification],"&gt;0")</f>
        <v>0</v>
      </c>
      <c r="CF74" s="6">
        <f>COUNTIFS(Table90[Country],Tabela1[[#This Row],[Country]],Table90[Men''s Classification],"&gt;0")</f>
        <v>0</v>
      </c>
      <c r="CG74" s="6">
        <f>COUNTIFS(Table90[Country],Tabela1[[#This Row],[Country]],Table90[Women''s Classification],"&gt;0")</f>
        <v>1</v>
      </c>
      <c r="CH74" s="6">
        <f>COUNTIFS(Table60[Country],Tabela1[[#This Row],[Country]],Table60[Men''s Classification],"&gt;0")</f>
        <v>0</v>
      </c>
      <c r="CI74" s="6">
        <f>COUNTIFS(Table60[Country],Tabela1[[#This Row],[Country]],Table60[Women''s Classification],"&gt;0")</f>
        <v>0</v>
      </c>
      <c r="CJ74" s="6">
        <f>COUNTIFS(Table6[Country],Tabela1[[#This Row],[Country]],Table6[51kg Classification],"&gt;0")</f>
        <v>0</v>
      </c>
      <c r="CK74" s="6">
        <f>COUNTIFS(Table6[Country],Tabela1[[#This Row],[Country]],Table6[57kg Classification],"&gt;0")</f>
        <v>0</v>
      </c>
      <c r="CL74" s="6">
        <f>COUNTIFS(Table6[Country],Tabela1[[#This Row],[Country]],Table6[63.5kg Classification],"&gt;0")</f>
        <v>0</v>
      </c>
      <c r="CM74" s="6">
        <f>COUNTIFS(Table6[Country],Tabela1[[#This Row],[Country]],Table6[71kg Classification],"&gt;0")</f>
        <v>0</v>
      </c>
      <c r="CN74" s="6">
        <f>COUNTIFS(Table6[Country],Tabela1[[#This Row],[Country]],Table6[80kg Classification],"&gt;0")</f>
        <v>0</v>
      </c>
      <c r="CO74" s="6">
        <f>COUNTIFS(Table6[Country],Tabela1[[#This Row],[Country]],Table6[92kg Classification],"&gt;0")</f>
        <v>1</v>
      </c>
      <c r="CP74" s="6">
        <f>COUNTIFS(Table6[Country],Tabela1[[#This Row],[Country]],Table6[Plus 92kg Classification],"&gt;0")</f>
        <v>0</v>
      </c>
      <c r="CQ74" s="6">
        <f>COUNTIFS(Table7[Country],Tabela1[[#This Row],[Country]],Table7[50kg Classification],"&gt;0")</f>
        <v>0</v>
      </c>
      <c r="CR74" s="6">
        <f>COUNTIFS(Table7[Country],Tabela1[[#This Row],[Country]],Table7[54kg Classification],"&gt;0")</f>
        <v>0</v>
      </c>
      <c r="CS74" s="6">
        <f>COUNTIFS(Table7[Country],Tabela1[[#This Row],[Country]],Table7[57kg Classification],"&gt;0")</f>
        <v>0</v>
      </c>
      <c r="CT74" s="6">
        <f>COUNTIFS(Table7[Country],Tabela1[[#This Row],[Country]],Table7[60kg Classification],"&gt;0")</f>
        <v>0</v>
      </c>
      <c r="CU74" s="6">
        <f>COUNTIFS(Table7[Country],Tabela1[[#This Row],[Country]],Table7[66kg Classification],"&gt;0")</f>
        <v>0</v>
      </c>
      <c r="CV74" s="6">
        <f>COUNTIFS(Table7[Country],Tabela1[[#This Row],[Country]],Table7[75kg Classification],"&gt;0")</f>
        <v>0</v>
      </c>
      <c r="CW74" s="6">
        <f>COUNTIFS(Tabela94[Country],Tabela1[[#This Row],[Country]],Tabela94[Classification],"&gt;0")</f>
        <v>0</v>
      </c>
      <c r="CX74" s="6">
        <f>COUNTIFS(Tabela9499[Country],Tabela1[[#This Row],[Country]],Tabela9499[Classification],"&gt;0")</f>
        <v>0</v>
      </c>
      <c r="CY74" s="6">
        <f>COUNTIFS(Tabela107[Country],Tabela1[[#This Row],[Country]],Tabela107[C1 Slalom Classification],"&gt;0")</f>
        <v>0</v>
      </c>
      <c r="CZ74" s="6">
        <f>COUNTIFS(Tabela107122[Country],Tabela1[[#This Row],[Country]],Tabela107122[C1 Slalom Classification],"&gt;0")</f>
        <v>0</v>
      </c>
      <c r="DA74" s="6">
        <f>COUNTIFS(Tabela107[Country],Tabela1[[#This Row],[Country]],Tabela107[K1 Slalom Classification],"&gt;0")</f>
        <v>0</v>
      </c>
      <c r="DB74" s="6">
        <f>COUNTIFS(Tabela107122[Country],Tabela1[[#This Row],[Country]],Tabela107122[K1 Slalom Classification],"&gt;0")</f>
        <v>0</v>
      </c>
      <c r="DC74" s="6">
        <f>COUNTIFS(Tabela107[Country],Tabela1[[#This Row],[Country]],Tabela107[Kayak Cross Slalom Classification],"&gt;0")</f>
        <v>0</v>
      </c>
      <c r="DD74" s="6">
        <f>COUNTIFS(Tabela107122[Country],Tabela1[[#This Row],[Country]],Tabela107122[Kayak Cross Slalom Classification],"&gt;0")</f>
        <v>0</v>
      </c>
      <c r="DE74" s="6">
        <f>COUNTIFS(Table8[Country],Tabela1[[#This Row],[Country]],Table8[C1 200m Classification],"&gt;0")</f>
        <v>0</v>
      </c>
      <c r="DF74" s="6">
        <f>COUNTIFS(Table40[Country],Tabela1[[#This Row],[Country]],Table40[C1 1000m Classification],"&gt;0")</f>
        <v>0</v>
      </c>
      <c r="DG74" s="6">
        <f>COUNTIFS(Table68[Country],Tabela1[[#This Row],[Country]],Table68[Men''s C2 500m Classification],"&gt;0")</f>
        <v>0</v>
      </c>
      <c r="DH74" s="6">
        <f>COUNTIFS(Table68[Country],Tabela1[[#This Row],[Country]],Table68[Women''s C2 500m Classification],"&gt;0")</f>
        <v>0</v>
      </c>
      <c r="DI74" s="6">
        <f>COUNTIFS(Table8[Country],Tabela1[[#This Row],[Country]],Table8[K1 500m Classification],"&gt;0")</f>
        <v>0</v>
      </c>
      <c r="DJ74" s="6">
        <f>COUNTIFS(Table40[Country],Tabela1[[#This Row],[Country]],Table40[K1 1000m Classification],"&gt;0")</f>
        <v>0</v>
      </c>
      <c r="DK74" s="6">
        <f>COUNTIFS(Table68[Country],Tabela1[[#This Row],[Country]],Table68[Men''s K2 500m Classification],"&gt;0")</f>
        <v>0</v>
      </c>
      <c r="DL74" s="6">
        <f>COUNTIFS(Table68[Country],Tabela1[[#This Row],[Country]],Table68[Women''s K2 500m Classification],"&gt;0")</f>
        <v>0</v>
      </c>
      <c r="DM74" s="6">
        <f>COUNTIFS(Table83[Country],Tabela1[[#This Row],[Country]],Table83[Men''s K4 500m Classification],"&gt;0")</f>
        <v>0</v>
      </c>
      <c r="DN74" s="6">
        <f>COUNTIFS(Table83[Country],Tabela1[[#This Row],[Country]],Table83[Women''s K4 500m Classification],"&gt;0")</f>
        <v>0</v>
      </c>
      <c r="DO74" s="6">
        <f>COUNTIFS(Tabela126[Country],Tabela1[[#This Row],[Country]],Tabela126[Classification],"&gt;0")</f>
        <v>0</v>
      </c>
      <c r="DP74" s="6">
        <f>COUNTIFS(Tabela126130[Country],Tabela1[[#This Row],[Country]],Tabela126130[Classification],"&gt;0")</f>
        <v>0</v>
      </c>
      <c r="DQ74" s="6">
        <f>COUNTIFS(Table70[Country],Tabela1[[#This Row],[Country]],Table70[Classification],"&gt;0")</f>
        <v>0</v>
      </c>
      <c r="DR74" s="6">
        <f>COUNTIFS(Table80[Country],Tabela1[[#This Row],[Country]],Table80[Classification],"&gt;0")</f>
        <v>0</v>
      </c>
      <c r="DS74" s="6">
        <f>COUNTIFS(Table66[Country],Tabela1[[#This Row],[Country]],Table66[Classification],"&gt;0")</f>
        <v>0</v>
      </c>
      <c r="DT74" s="6">
        <f>COUNTIFS(Table67[Country],Tabela1[[#This Row],[Country]],Table67[Classification],"&gt;0")</f>
        <v>0</v>
      </c>
      <c r="DU74" s="6">
        <f>COUNTIFS(Table69[Country],Tabela1[[#This Row],[Country]],Table69[Keirin Classification],"&gt;0")</f>
        <v>0</v>
      </c>
      <c r="DV74" s="6">
        <f>COUNTIFS(Table41[Country],Tabela1[[#This Row],[Country]],Table41[Keirin Classification],"&gt;0")</f>
        <v>0</v>
      </c>
      <c r="DW74" s="6">
        <f>COUNTIFS(Table84[Country],Tabela1[[#This Row],[Country]],Table84[Men''s Madison Classification],"&gt;0")</f>
        <v>0</v>
      </c>
      <c r="DX74" s="6">
        <f>COUNTIFS(Table84[Country],Tabela1[[#This Row],[Country]],Table84[Women''s Madison Classification],"&gt;0")</f>
        <v>0</v>
      </c>
      <c r="DY74" s="6">
        <f>COUNTIFS(Table69[Country],Tabela1[[#This Row],[Country]],Table69[Omnium Classification],"&gt;0")</f>
        <v>0</v>
      </c>
      <c r="DZ74" s="6">
        <f>COUNTIFS(Table41[Country],Tabela1[[#This Row],[Country]],Table41[Omnium Classification],"&gt;0")</f>
        <v>0</v>
      </c>
      <c r="EA74" s="6">
        <f>COUNTIFS(Table9[Country],Tabela1[[#This Row],[Country]],Table9[Road Race Classification],"&gt;0")</f>
        <v>0</v>
      </c>
      <c r="EB74" s="6">
        <f>COUNTIFS(Table14[Country],Tabela1[[#This Row],[Country]],Table14[Road Race Classification],"&gt;0")</f>
        <v>0</v>
      </c>
      <c r="EC74" s="6">
        <f>COUNTIFS(Table69[Country],Tabela1[[#This Row],[Country]],Table69[Sprint Classification],"&gt;0")</f>
        <v>0</v>
      </c>
      <c r="ED74" s="6">
        <f>COUNTIFS(Table41[Country],Tabela1[[#This Row],[Country]],Table41[Sprint Classification],"&gt;0")</f>
        <v>0</v>
      </c>
      <c r="EE74" s="6">
        <f>COUNTIFS(Table85[Country],Tabela1[[#This Row],[Country]],Table85[Men''s Sprint Classification],"&gt;0")</f>
        <v>0</v>
      </c>
      <c r="EF74" s="6">
        <f>COUNTIFS(Table85[Country],Tabela1[[#This Row],[Country]],Table85[Women''s Sprint Classification],"&gt;0")</f>
        <v>0</v>
      </c>
      <c r="EG74" s="6">
        <f>COUNTIFS(Table85[Country],Tabela1[[#This Row],[Country]],Table85[Men''s Pursuit Classification],"&gt;0")</f>
        <v>0</v>
      </c>
      <c r="EH74" s="6">
        <f>COUNTIFS(Table85[Country],Tabela1[[#This Row],[Country]],Table85[Women''s Pursuit Classification],"&gt;0")</f>
        <v>0</v>
      </c>
      <c r="EI74" s="6">
        <f>COUNTIFS(Table9[Country],Tabela1[[#This Row],[Country]],Table9[Time-Trial Classification],"&gt;0")</f>
        <v>0</v>
      </c>
      <c r="EJ74" s="6">
        <f>COUNTIFS(Table14[Country],Tabela1[[#This Row],[Country]],Table14[Time-Trial Classification],"&gt;0")</f>
        <v>0</v>
      </c>
      <c r="EK74" s="6">
        <f>COUNTIFS(Table42[Country],Tabela1[[#This Row],[Country]],Table42[Springboard Classification],"&gt;0")</f>
        <v>0</v>
      </c>
      <c r="EL74" s="6">
        <f>COUNTIFS(Table43[Country],Tabela1[[#This Row],[Country]],Table43[Springboard Classification],"&gt;0")</f>
        <v>0</v>
      </c>
      <c r="EM74" s="6">
        <f>COUNTIFS(Table42[Country],Tabela1[[#This Row],[Country]],Table42[Platform Classification],"&gt;0")</f>
        <v>0</v>
      </c>
      <c r="EN74" s="6">
        <f>COUNTIFS(Table43[Country],Tabela1[[#This Row],[Country]],Table43[Platform Classification],"&gt;0")</f>
        <v>0</v>
      </c>
      <c r="EO74" s="6">
        <f>COUNTIFS(Table86[Country],Tabela1[[#This Row],[Country]],Table86[Men''s Synchronized Springboard Classification],"&gt;0")</f>
        <v>0</v>
      </c>
      <c r="EP74" s="6">
        <f>COUNTIFS(Table86[Country],Tabela1[[#This Row],[Country]],Table86[Women''s Synchronized Springboard Classification],"&gt;0")</f>
        <v>0</v>
      </c>
      <c r="EQ74" s="6">
        <f>COUNTIFS(Table86[Country],Tabela1[[#This Row],[Country]],Table86[Men''s Synchronized Platform Classification],"&gt;0")</f>
        <v>0</v>
      </c>
      <c r="ER74" s="6">
        <f>COUNTIFS(Table86[Country],Tabela1[[#This Row],[Country]],Table86[Women''s Synchronized Platform Classification],"&gt;0")</f>
        <v>0</v>
      </c>
      <c r="ES74" s="6">
        <f>COUNTIFS(Table44[Country],Tabela1[[#This Row],[Country]],Table44[Dressage Classification],"&gt;0")</f>
        <v>0</v>
      </c>
      <c r="ET74" s="6">
        <f>COUNTIFS(Table45[Country],Tabela1[[#This Row],[Country]],Table45[Dressage Classification],"&gt;0")</f>
        <v>0</v>
      </c>
      <c r="EU74" s="6">
        <f>COUNTIFS(Table44[Country],Tabela1[[#This Row],[Country]],Table44[Eventing Classification],"&gt;0")</f>
        <v>0</v>
      </c>
      <c r="EV74" s="6">
        <f>COUNTIFS(Table45[Country],Tabela1[[#This Row],[Country]],Table45[Eventing Classification],"&gt;0")</f>
        <v>0</v>
      </c>
      <c r="EW74" s="6">
        <f>COUNTIFS(Table44[Country],Tabela1[[#This Row],[Country]],Table44[Jumping Classification],"&gt;0")</f>
        <v>0</v>
      </c>
      <c r="EX74" s="6">
        <f>COUNTIFS(Table45[Country],Tabela1[[#This Row],[Country]],Table45[Jumping Classification],"&gt;0")</f>
        <v>0</v>
      </c>
      <c r="EY74" s="6">
        <f>COUNTIFS(Table10[Country],Tabela1[[#This Row],[Country]],Table10[Épée Classification],"&gt;0")</f>
        <v>0</v>
      </c>
      <c r="EZ74" s="6">
        <f>COUNTIFS(Table11[Country],Tabela1[[#This Row],[Country]],Table11[Épée Classification],"&gt;0")</f>
        <v>0</v>
      </c>
      <c r="FA74" s="6">
        <f>COUNTIFS(Table46[Country],Tabela1[[#This Row],[Country]],Table46[Men''s Épée Classification],"&gt;0")</f>
        <v>0</v>
      </c>
      <c r="FB74" s="6">
        <f>COUNTIFS(Table46[Country],Tabela1[[#This Row],[Country]],Table46[Women''s Épée Classification],"&gt;0")</f>
        <v>0</v>
      </c>
      <c r="FC74" s="6">
        <f>COUNTIFS(Table10[Country],Tabela1[[#This Row],[Country]],Table10[Foil Classification],"&gt;0")</f>
        <v>0</v>
      </c>
      <c r="FD74" s="6">
        <f>COUNTIFS(Table11[Country],Tabela1[[#This Row],[Country]],Table11[Foil Classification],"&gt;0")</f>
        <v>0</v>
      </c>
      <c r="FE74" s="6">
        <f>COUNTIFS(Table46[Country],Tabela1[[#This Row],[Country]],Table46[Men''s Foil Classification],"&gt;0")</f>
        <v>0</v>
      </c>
      <c r="FF74" s="6">
        <f>COUNTIFS(Table46[Country],Tabela1[[#This Row],[Country]],Table46[Women''s Foil Classification],"&gt;0")</f>
        <v>0</v>
      </c>
      <c r="FG74" s="6">
        <f>COUNTIFS(Table10[Country],Tabela1[[#This Row],[Country]],Table10[Sabre Classification],"&gt;0")</f>
        <v>0</v>
      </c>
      <c r="FH74" s="6">
        <f>COUNTIFS(Table11[Country],Tabela1[[#This Row],[Country]],Table11[Sabre Classification],"&gt;0")</f>
        <v>0</v>
      </c>
      <c r="FI74" s="6">
        <f>COUNTIFS(Table46[Country],Tabela1[[#This Row],[Country]],Table46[Men''s Sabre Classification],"&gt;0")</f>
        <v>0</v>
      </c>
      <c r="FJ74" s="6">
        <f>COUNTIFS(Table46[Country],Tabela1[[#This Row],[Country]],Table46[Women''s Sabre Classification],"&gt;0")</f>
        <v>0</v>
      </c>
      <c r="FK74" s="6">
        <f>COUNTIFS(Table91[Country],Tabela1[[#This Row],[Country]],Table91[Men''s Classification],"&gt;0")</f>
        <v>0</v>
      </c>
      <c r="FL74" s="6">
        <f>COUNTIFS(Table91[Country],Tabela1[[#This Row],[Country]],Table91[Women''s Classification],"&gt;0")</f>
        <v>0</v>
      </c>
      <c r="FM74" s="6">
        <f>COUNTIFS(Table9194[Country],Tabela1[[#This Row],[Country]],Table9194[Men''s Classification],"&gt;0")</f>
        <v>0</v>
      </c>
      <c r="FN74" s="6">
        <f>COUNTIFS(Table9194[Country],Tabela1[[#This Row],[Country]],Table9194[Women''s Classification],"&gt;0")</f>
        <v>0</v>
      </c>
      <c r="FO74" s="6">
        <f>COUNTIFS(Table71[Country],Tabela1[[#This Row],[Country]],Table71[Classification],"&gt;0")</f>
        <v>0</v>
      </c>
      <c r="FP74" s="6">
        <f>COUNTIFS(Table62[Country],Tabela1[[#This Row],[Country]],Table62[Classification],"&gt;0")</f>
        <v>0</v>
      </c>
      <c r="FQ74" s="6">
        <f>COUNTIFS(Table47[Country],Tabela1[[#This Row],[Country]],Table47[All-Around Classification],"&gt;0")</f>
        <v>0</v>
      </c>
      <c r="FR74" s="6">
        <f>COUNTIFS(Table48[Country],Tabela1[[#This Row],[Country]],Table48[All-Around Classification],"&gt;0")</f>
        <v>0</v>
      </c>
      <c r="FS74" s="6">
        <f>COUNTIFS(Table81[Country],Tabela1[[#This Row],[Country]],Table81[Men''s All-Around Classification],"&gt;0")</f>
        <v>0</v>
      </c>
      <c r="FT74" s="6">
        <f>COUNTIFS(Table81[Country],Tabela1[[#This Row],[Country]],Table81[Women''s All-Around Classification],"&gt;0")</f>
        <v>0</v>
      </c>
      <c r="FU74" s="6">
        <f>COUNTIFS(Table48[Country],Tabela1[[#This Row],[Country]],Table48[Balance Beam Classification],"&gt;0")</f>
        <v>0</v>
      </c>
      <c r="FV74" s="6">
        <f>COUNTIFS(Table47[Country],Tabela1[[#This Row],[Country]],Table47[Floor Exercise Classification],"&gt;0")</f>
        <v>0</v>
      </c>
      <c r="FW74" s="6">
        <f>COUNTIFS(Table48[Country],Tabela1[[#This Row],[Country]],Table48[Floor Exercise Classification],"&gt;0")</f>
        <v>0</v>
      </c>
      <c r="FX74" s="6">
        <f>COUNTIFS(Table47[Country],Tabela1[[#This Row],[Country]],Table47[Horizontal Bar Classification],"&gt;0")</f>
        <v>0</v>
      </c>
      <c r="FY74" s="6">
        <f>COUNTIFS(Table47[Country],Tabela1[[#This Row],[Country]],Table47[Parallel Bars Classification],"&gt;0")</f>
        <v>0</v>
      </c>
      <c r="FZ74" s="6">
        <f>COUNTIFS(Table47[Country],Tabela1[[#This Row],[Country]],Table47[Pommel Horse Classification],"&gt;0")</f>
        <v>0</v>
      </c>
      <c r="GA74" s="6">
        <f>COUNTIFS(Table47[Country],Tabela1[[#This Row],[Country]],Table47[Rings Classification],"&gt;0")</f>
        <v>0</v>
      </c>
      <c r="GB74" s="6">
        <f>COUNTIFS(Tabela132[Country],Tabela1[[#This Row],[Country]],Tabela132[Classification],"&gt;0")</f>
        <v>0</v>
      </c>
      <c r="GC74" s="6">
        <f>COUNTIFS(Tabela139[Country],Tabela1[[#This Row],[Country]],Tabela139[Classification],"&gt;0")</f>
        <v>0</v>
      </c>
      <c r="GD74" s="6">
        <f>COUNTIFS(Table48[Country],Tabela1[[#This Row],[Country]],Table48[Uneven Bars Classification],"&gt;0")</f>
        <v>0</v>
      </c>
      <c r="GE74" s="6">
        <f>COUNTIFS(Table47[Country],Tabela1[[#This Row],[Country]],Table47[Vault Classification],"&gt;0")</f>
        <v>0</v>
      </c>
      <c r="GF74" s="6">
        <f>COUNTIFS(Table48[Country],Tabela1[[#This Row],[Country]],Table48[Vault Classification],"&gt;0")</f>
        <v>0</v>
      </c>
      <c r="GG74" s="6">
        <f>COUNTIFS(Table919496[Country],Tabela1[[#This Row],[Country]],Table919496[Men''s Classification],"&gt;0")</f>
        <v>0</v>
      </c>
      <c r="GH74" s="6">
        <f>COUNTIFS(Table919496[Country],Tabela1[[#This Row],[Country]],Table919496[Women''s Classification],"&gt;0")</f>
        <v>0</v>
      </c>
      <c r="GI74" s="6">
        <f>COUNTIFS(Table12[Country],Tabela1[[#This Row],[Country]],Table12[60kg Classification],"&gt;0")</f>
        <v>0</v>
      </c>
      <c r="GJ74" s="6">
        <f>COUNTIFS(Table12[Country],Tabela1[[#This Row],[Country]],Table12[66kg Classification],"&gt;0")</f>
        <v>0</v>
      </c>
      <c r="GK74" s="6">
        <f>COUNTIFS(Table12[Country],Tabela1[[#This Row],[Country]],Table12[73kg Classification],"&gt;0")</f>
        <v>0</v>
      </c>
      <c r="GL74" s="6">
        <f>COUNTIFS(Table12[Country],Tabela1[[#This Row],[Country]],Table12[81kg Classification],"&gt;0")</f>
        <v>0</v>
      </c>
      <c r="GM74" s="6">
        <f>COUNTIFS(Table12[Country],Tabela1[[#This Row],[Country]],Table12[90kg Classification],"&gt;0")</f>
        <v>0</v>
      </c>
      <c r="GN74" s="6">
        <f>COUNTIFS(Table12[Country],Tabela1[[#This Row],[Country]],Table12[100kg Classification],"&gt;0")</f>
        <v>0</v>
      </c>
      <c r="GO74" s="6">
        <f>COUNTIFS(Table12[Country],Tabela1[[#This Row],[Country]],Table12[Plus 100kg Classification],"&gt;0")</f>
        <v>1</v>
      </c>
      <c r="GP74" s="6">
        <f>COUNTIFS(Table13[Country],Tabela1[[#This Row],[Country]],Table13[48kg Classification],"&gt;0")</f>
        <v>0</v>
      </c>
      <c r="GQ74" s="6">
        <f>COUNTIFS(Table13[Country],Tabela1[[#This Row],[Country]],Table13[52kg Classification],"&gt;0")</f>
        <v>0</v>
      </c>
      <c r="GR74" s="6">
        <f>COUNTIFS(Table13[Country],Tabela1[[#This Row],[Country]],Table13[57kg Classification],"&gt;0")</f>
        <v>0</v>
      </c>
      <c r="GS74" s="6">
        <f>COUNTIFS(Table13[Country],Tabela1[[#This Row],[Country]],Table13[63kg Classification],"&gt;0")</f>
        <v>0</v>
      </c>
      <c r="GT74" s="6">
        <f>COUNTIFS(Table13[Country],Tabela1[[#This Row],[Country]],Table13[70kg Classification],"&gt;0")</f>
        <v>0</v>
      </c>
      <c r="GU74" s="6">
        <f>COUNTIFS(Table13[Country],Tabela1[[#This Row],[Country]],Table13[78kg Classification],"&gt;0")</f>
        <v>0</v>
      </c>
      <c r="GV74" s="6">
        <f>COUNTIFS(Table13[Country],Tabela1[[#This Row],[Country]],Table13[Plus 78kg Classification],"&gt;0")</f>
        <v>0</v>
      </c>
      <c r="GW74" s="6">
        <f>COUNTIFS(Table82[Country],Tabela1[[#This Row],[Country]],Table82[Mixed Classification],"&gt;0")</f>
        <v>0</v>
      </c>
      <c r="GX74" s="6">
        <f>COUNTIFS(Table51[Country],Tabela1[[#This Row],[Country]],Table51[Classification],"&gt;0")</f>
        <v>0</v>
      </c>
      <c r="GY74" s="6">
        <f>COUNTIFS(Table52[Country],Tabela1[[#This Row],[Country]],Table52[Classification],"&gt;0")</f>
        <v>0</v>
      </c>
      <c r="GZ74" s="6">
        <f>COUNTIFS(Table32[Country],Tabela1[[#This Row],[Country]],Table32[All-Around Classification],"&gt;0")</f>
        <v>0</v>
      </c>
      <c r="HA74" s="6">
        <f>COUNTIFS(Table49[Country],Tabela1[[#This Row],[Country]],Table49[All-Around Classification],"&gt;0")</f>
        <v>1</v>
      </c>
      <c r="HB74" s="6">
        <f>COUNTIFS(Table26[Country],Tabela1[[#This Row],[Country]],Table26[Single Sculls Classification],"&gt;0")</f>
        <v>0</v>
      </c>
      <c r="HC74" s="6">
        <f>COUNTIFS(Table63[Country],Tabela1[[#This Row],[Country]],Table63[Single Sculls Classification],"&gt;0")</f>
        <v>1</v>
      </c>
      <c r="HD74" s="6">
        <f>COUNTIFS(Table16[Country],Tabela1[[#This Row],[Country]],Table16[Men''s Double Sculls Classification],"&gt;0")</f>
        <v>0</v>
      </c>
      <c r="HE74" s="6">
        <f>COUNTIFS(Table16[Country],Tabela1[[#This Row],[Country]],Table16[Women''s Double Sculls Classification],"&gt;0")</f>
        <v>0</v>
      </c>
      <c r="HF74" s="6">
        <f>COUNTIFS(Table72[Country],Tabela1[[#This Row],[Country]],Table72[Men''s Quadruple Sculls Classification],"&gt;0")</f>
        <v>0</v>
      </c>
      <c r="HG74" s="6">
        <f>COUNTIFS(Table72[Country],Tabela1[[#This Row],[Country]],Table72[Women''s Quadruple Sculls Classification],"&gt;0")</f>
        <v>0</v>
      </c>
      <c r="HH74" s="6">
        <f>COUNTIFS(Table16[Country],Tabela1[[#This Row],[Country]],Table16[Men''s Coxless Pairs Classification],"&gt;0")</f>
        <v>0</v>
      </c>
      <c r="HI74" s="6">
        <f>COUNTIFS(Table16[Country],Tabela1[[#This Row],[Country]],Table16[Women''s Coxless Pairs Classification],"&gt;0")</f>
        <v>0</v>
      </c>
      <c r="HJ74" s="6">
        <f>COUNTIFS(Table72[Country],Tabela1[[#This Row],[Country]],Table72[Men''s Coxless Fours Classification],"&gt;0")</f>
        <v>0</v>
      </c>
      <c r="HK74" s="6">
        <f>COUNTIFS(Table72[Country],Tabela1[[#This Row],[Country]],Table72[Women''s Coxless Fours Classification],"&gt;0")</f>
        <v>0</v>
      </c>
      <c r="HL74" s="6">
        <f>COUNTIFS(Table72[Country],Tabela1[[#This Row],[Country]],Table72[Men''s Eights Classification],"&gt;0")</f>
        <v>0</v>
      </c>
      <c r="HM74" s="6">
        <f>COUNTIFS(Table72[Country],Tabela1[[#This Row],[Country]],Table72[Women''s Eights Classification],"&gt;0")</f>
        <v>0</v>
      </c>
      <c r="HN74" s="6">
        <f>COUNTIFS(Table16[Country],Tabela1[[#This Row],[Country]],Table16[Men''s Lwt. Double Sculls Classification],"&gt;0")</f>
        <v>0</v>
      </c>
      <c r="HO74" s="6">
        <f>COUNTIFS(Table16[Country],Tabela1[[#This Row],[Country]],Table16[Women''s Lwt. Double Sculls Classification],"&gt;0")</f>
        <v>0</v>
      </c>
      <c r="HP74" s="6">
        <f>COUNTIFS(Table91949698[Country],Tabela1[[#This Row],[Country]],Table91949698[Men''s Classification],"&gt;0")</f>
        <v>0</v>
      </c>
      <c r="HQ74" s="6">
        <f>COUNTIFS(Table91949698[Country],Tabela1[[#This Row],[Country]],Table91949698[Women''s Classification],"&gt;0")</f>
        <v>0</v>
      </c>
      <c r="HR74" s="6">
        <f>COUNTIFS(Table25[Country],Tabela1[[#This Row],[Country]],Table25[Mixed 470 Classification],"&gt;0")</f>
        <v>0</v>
      </c>
      <c r="HS74" s="6">
        <f>COUNTIFS(Table25[Country],Tabela1[[#This Row],[Country]],Table25[Men''s 49er Classification],"&gt;0")</f>
        <v>0</v>
      </c>
      <c r="HT74" s="6">
        <f>COUNTIFS(Table25[Country],Tabela1[[#This Row],[Country]],Table25[Women''s 49er FX Classification],"&gt;0")</f>
        <v>0</v>
      </c>
      <c r="HU74" s="6">
        <f>COUNTIFS(Table17[Country],Tabela1[[#This Row],[Country]],Table17[Formula Kite Classification],"&gt;0")</f>
        <v>0</v>
      </c>
      <c r="HV74" s="6">
        <f>COUNTIFS(Table18[Country],Tabela1[[#This Row],[Country]],Table18[Formula Kite Classification],"&gt;0")</f>
        <v>0</v>
      </c>
      <c r="HW74" s="6">
        <f>COUNTIFS(Table17[Country],Tabela1[[#This Row],[Country]],Table17[ILCA 7 Classification],"&gt;0")</f>
        <v>0</v>
      </c>
      <c r="HX74" s="6">
        <f>COUNTIFS(Table18[Country],Tabela1[[#This Row],[Country]],Table18[ILCA 6 Classification],"&gt;0")</f>
        <v>0</v>
      </c>
      <c r="HY74" s="6">
        <f>COUNTIFS(Table17[Country],Tabela1[[#This Row],[Country]],Table17[IQFoil Classification],"&gt;0")</f>
        <v>0</v>
      </c>
      <c r="HZ74" s="6">
        <f>COUNTIFS(Table18[Country],Tabela1[[#This Row],[Country]],Table18[IQFoil Classification],"&gt;0")</f>
        <v>0</v>
      </c>
      <c r="IA74" s="6">
        <f>COUNTIFS(Table25[Country],Tabela1[[#This Row],[Country]],Table25[Mixed Nacra 17 Classification],"&gt;0")</f>
        <v>0</v>
      </c>
      <c r="IB74" s="6">
        <f>COUNTIFS(Table53[Country],Tabela1[[#This Row],[Country]],Table53[10m Air Pistol Classification],"&gt;0")</f>
        <v>0</v>
      </c>
      <c r="IC74" s="6">
        <f>COUNTIFS(Table19[Country],Tabela1[[#This Row],[Country]],Table19[10m Air Pistol Classification],"&gt;0")</f>
        <v>0</v>
      </c>
      <c r="ID74" s="6">
        <f>COUNTIFS(Table54[Country],Tabela1[[#This Row],[Country]],Table54[Mixed 10m Air Pistol Team Classification],"&gt;0")</f>
        <v>0</v>
      </c>
      <c r="IE74" s="6">
        <f>COUNTIFS(Table53[Country],Tabela1[[#This Row],[Country]],Table53[10m Air Rifle Classification],"&gt;0")</f>
        <v>0</v>
      </c>
      <c r="IF74" s="6">
        <f>COUNTIFS(Table19[Country],Tabela1[[#This Row],[Country]],Table19[10m Air Rifle Classification],"&gt;0")</f>
        <v>0</v>
      </c>
      <c r="IG74" s="6">
        <f>COUNTIFS(Table54[Country],Tabela1[[#This Row],[Country]],Table54[Mixed 10m Air Rifle Team Classification],"&gt;0")</f>
        <v>0</v>
      </c>
      <c r="IH74" s="6">
        <f>COUNTIFS(Table53[Country],Tabela1[[#This Row],[Country]],Table53[25m Rapid Fire Pistol Classification],"&gt;0")</f>
        <v>0</v>
      </c>
      <c r="II74" s="6">
        <f>COUNTIFS(Table19[Country],Tabela1[[#This Row],[Country]],Table19[25m Pistol Classification],"&gt;0")</f>
        <v>0</v>
      </c>
      <c r="IJ74" s="6">
        <f>COUNTIFS(Table53[Country],Tabela1[[#This Row],[Country]],Table53[50m Rifle 3 Positions Classification],"&gt;0")</f>
        <v>0</v>
      </c>
      <c r="IK74" s="6">
        <f>COUNTIFS(Table19[Country],Tabela1[[#This Row],[Country]],Table19[50m Rifle 3 Positions Classification],"&gt;0")</f>
        <v>0</v>
      </c>
      <c r="IL74" s="6">
        <f>COUNTIFS(Table53[Country],Tabela1[[#This Row],[Country]],Table53[Skeet Classification],"&gt;0")</f>
        <v>0</v>
      </c>
      <c r="IM74" s="6">
        <f>COUNTIFS(Table19[Country],Tabela1[[#This Row],[Country]],Table19[Skeet Classification],"&gt;0")</f>
        <v>0</v>
      </c>
      <c r="IN74" s="6">
        <f>COUNTIFS(Table54[Country],Tabela1[[#This Row],[Country]],Table54[Mixed Skeet Team Classification],"&gt;0")</f>
        <v>0</v>
      </c>
      <c r="IO74" s="6">
        <f>COUNTIFS(Table53[Country],Tabela1[[#This Row],[Country]],Table53[Trap Classification],"&gt;0")</f>
        <v>0</v>
      </c>
      <c r="IP74" s="6">
        <f>COUNTIFS(Table19[Country],Tabela1[[#This Row],[Country]],Table19[Trap Classification],"&gt;0")</f>
        <v>0</v>
      </c>
      <c r="IQ74" s="6">
        <f>COUNTIFS(Table73[Country],Tabela1[[#This Row],[Country]],Table73[Park Classification],"&gt;0")</f>
        <v>0</v>
      </c>
      <c r="IR74" s="6">
        <f>COUNTIFS(Table74[Country],Tabela1[[#This Row],[Country]],Table74[Park Classification],"&gt;0")</f>
        <v>0</v>
      </c>
      <c r="IS74" s="6">
        <f>COUNTIFS(Table73[Country],Tabela1[[#This Row],[Country]],Table73[Street Classification],"&gt;0")</f>
        <v>0</v>
      </c>
      <c r="IT74" s="6">
        <f>COUNTIFS(Table74[Country],Tabela1[[#This Row],[Country]],Table74[Street Classification],"&gt;0")</f>
        <v>0</v>
      </c>
      <c r="IU74" s="6">
        <f>COUNTIFS(Table75[Country],Tabela1[[#This Row],[Country]],Table75[Boulder and Lead Classification],"&gt;0")</f>
        <v>0</v>
      </c>
      <c r="IV74" s="6">
        <f>COUNTIFS(Table76[Country],Tabela1[[#This Row],[Country]],Table76[Boulder and Lead Classification],"&gt;0")</f>
        <v>0</v>
      </c>
      <c r="IW74" s="6">
        <f>COUNTIFS(Table75[Country],Tabela1[[#This Row],[Country]],Table75[Speed Classification],"&gt;0")</f>
        <v>0</v>
      </c>
      <c r="IX74" s="6">
        <f>COUNTIFS(Table76[Country],Tabela1[[#This Row],[Country]],Table76[Speed Classification],"&gt;0")</f>
        <v>0</v>
      </c>
      <c r="IY74" s="6">
        <f>COUNTIFS(Table64[Country],Tabela1[[#This Row],[Country]],Table64[Shortboard Classification],"&gt;0")</f>
        <v>0</v>
      </c>
      <c r="IZ74" s="6">
        <f>COUNTIFS(Table77[Country],Tabela1[[#This Row],[Country]],Table77[Shortboard Classification],"&gt;0")</f>
        <v>0</v>
      </c>
      <c r="JA74" s="6">
        <f>COUNTIFS(Table20[Country],Tabela1[[#This Row],[Country]],Table20[50m Freestyle Classification],"&gt;0")</f>
        <v>0</v>
      </c>
      <c r="JB74" s="6">
        <f>COUNTIFS(Table21[Country],Tabela1[[#This Row],[Country]],Table21[50m Freestyle Classification],"&gt;0")</f>
        <v>0</v>
      </c>
      <c r="JC74" s="6">
        <f>COUNTIFS(Table20[Country],Tabela1[[#This Row],[Country]],Table20[100m Freestyle Classification],"&gt;0")</f>
        <v>0</v>
      </c>
      <c r="JD74" s="6">
        <f>COUNTIFS(Table21[Country],Tabela1[[#This Row],[Country]],Table21[100m Freestyle Classification],"&gt;0")</f>
        <v>0</v>
      </c>
      <c r="JE74" s="6">
        <f>COUNTIFS(Table20[Country],Tabela1[[#This Row],[Country]],Table20[200m Freestyle Classification],"&gt;0")</f>
        <v>0</v>
      </c>
      <c r="JF74" s="6">
        <f>COUNTIFS(Table21[Country],Tabela1[[#This Row],[Country]],Table21[200m Freestyle Classification],"&gt;0")</f>
        <v>0</v>
      </c>
      <c r="JG74" s="6">
        <f>COUNTIFS(Table20[Country],Tabela1[[#This Row],[Country]],Table20[400m Freestyle Classification],"&gt;0")</f>
        <v>0</v>
      </c>
      <c r="JH74" s="6">
        <f>COUNTIFS(Table21[Country],Tabela1[[#This Row],[Country]],Table21[400m Freestyle Classification],"&gt;0")</f>
        <v>0</v>
      </c>
      <c r="JI74" s="6">
        <f>COUNTIFS(Table20[Country],Tabela1[[#This Row],[Country]],Table20[800m Freestyle Classification],"&gt;0")</f>
        <v>0</v>
      </c>
      <c r="JJ74" s="6">
        <f>COUNTIFS(Table21[Country],Tabela1[[#This Row],[Country]],Table21[800m Freestyle Classification],"&gt;0")</f>
        <v>0</v>
      </c>
      <c r="JK74" s="6">
        <f>COUNTIFS(Table20[Country],Tabela1[[#This Row],[Country]],Table20[1500m Freestyle Classification],"&gt;0")</f>
        <v>0</v>
      </c>
      <c r="JL74" s="6">
        <f>COUNTIFS(Table21[Country],Tabela1[[#This Row],[Country]],Table21[1500m Freestyle Classification],"&gt;0")</f>
        <v>0</v>
      </c>
      <c r="JM74" s="6">
        <f>COUNTIFS(Table20[Country],Tabela1[[#This Row],[Country]],Table20[100m Backstroke Classification],"&gt;0")</f>
        <v>0</v>
      </c>
      <c r="JN74" s="6">
        <f>COUNTIFS(Table21[Country],Tabela1[[#This Row],[Country]],Table21[100m Backstroke Classification],"&gt;0")</f>
        <v>0</v>
      </c>
      <c r="JO74" s="6">
        <f>COUNTIFS(Table20[Country],Tabela1[[#This Row],[Country]],Table20[200m Backstroke Classification],"&gt;0")</f>
        <v>0</v>
      </c>
      <c r="JP74" s="6">
        <f>COUNTIFS(Table21[Country],Tabela1[[#This Row],[Country]],Table21[200m Backstroke Classification],"&gt;0")</f>
        <v>0</v>
      </c>
      <c r="JQ74" s="6">
        <f>COUNTIFS(Table20[Country],Tabela1[[#This Row],[Country]],Table20[100m Breaststroke Classification],"&gt;0")</f>
        <v>0</v>
      </c>
      <c r="JR74" s="6">
        <f>COUNTIFS(Table21[Country],Tabela1[[#This Row],[Country]],Table21[100m Breaststroke Classification],"&gt;0")</f>
        <v>0</v>
      </c>
      <c r="JS74" s="6">
        <f>COUNTIFS(Table20[Country],Tabela1[[#This Row],[Country]],Table20[200m Breaststroke Classification],"&gt;0")</f>
        <v>0</v>
      </c>
      <c r="JT74" s="6">
        <f>COUNTIFS(Table21[Country],Tabela1[[#This Row],[Country]],Table21[200m Breaststroke Classification],"&gt;0")</f>
        <v>0</v>
      </c>
      <c r="JU74" s="6">
        <f>COUNTIFS(Table20[Country],Tabela1[[#This Row],[Country]],Table20[100m Butterfly Classification],"&gt;0")</f>
        <v>0</v>
      </c>
      <c r="JV74" s="6">
        <f>COUNTIFS(Table21[Country],Tabela1[[#This Row],[Country]],Table21[100m Butterfly Classification],"&gt;0")</f>
        <v>0</v>
      </c>
      <c r="JW74" s="6">
        <f>COUNTIFS(Table20[Country],Tabela1[[#This Row],[Country]],Table20[200m Butterfly Classification],"&gt;0")</f>
        <v>0</v>
      </c>
      <c r="JX74" s="6">
        <f>COUNTIFS(Table21[Country],Tabela1[[#This Row],[Country]],Table21[200m Butterfly Classification],"&gt;0")</f>
        <v>0</v>
      </c>
      <c r="JY74" s="6">
        <f>COUNTIFS(Table20[Country],Tabela1[[#This Row],[Country]],Table20[200m Medley Classification],"&gt;0")</f>
        <v>0</v>
      </c>
      <c r="JZ74" s="6">
        <f>COUNTIFS(Table21[Country],Tabela1[[#This Row],[Country]],Table21[200m Medley Classification],"&gt;0")</f>
        <v>0</v>
      </c>
      <c r="KA74" s="6">
        <f>COUNTIFS(Table20[Country],Tabela1[[#This Row],[Country]],Table20[400m Medley Classification],"&gt;0")</f>
        <v>0</v>
      </c>
      <c r="KB74" s="6">
        <f>COUNTIFS(Table21[Country],Tabela1[[#This Row],[Country]],Table21[400m Medley Classification],"&gt;0")</f>
        <v>0</v>
      </c>
      <c r="KC74" s="6">
        <f>COUNTIFS(Table78[Country],Tabela1[[#This Row],[Country]],Table78[Men''s 4x100m Freestyle Relay Classification],"&gt;0")</f>
        <v>0</v>
      </c>
      <c r="KD74" s="6">
        <f>COUNTIFS(Table78[Country],Tabela1[[#This Row],[Country]],Table78[Women''s 4x100m Freestyle Relay Classification],"&gt;0")</f>
        <v>0</v>
      </c>
      <c r="KE74" s="6">
        <f>COUNTIFS(Table78[Country],Tabela1[[#This Row],[Country]],Table78[Men''s 4x200m Freestyle Relay Classification],"&gt;0")</f>
        <v>0</v>
      </c>
      <c r="KF74" s="6">
        <f>COUNTIFS(Table78[Country],Tabela1[[#This Row],[Country]],Table78[Women''s 4x200m Freestyle Relay Classification],"&gt;0")</f>
        <v>0</v>
      </c>
      <c r="KG74" s="6">
        <f>COUNTIFS(Table78[Country],Tabela1[[#This Row],[Country]],Table78[Men''s 4x100m Medley Relay Classification],"&gt;0")</f>
        <v>0</v>
      </c>
      <c r="KH74" s="6">
        <f>COUNTIFS(Table78[Country],Tabela1[[#This Row],[Country]],Table78[Women''s 4x100m Medley Relay Classification],"&gt;0")</f>
        <v>0</v>
      </c>
      <c r="KI74" s="6">
        <f>COUNTIFS(Table78[Country],Tabela1[[#This Row],[Country]],Table78[Mixed 4x100m Medley Relay Classification],"&gt;0")</f>
        <v>0</v>
      </c>
      <c r="KJ74" s="6">
        <f>COUNTIFS(Table20[Country],Tabela1[[#This Row],[Country]],Table20[10km Open Water Classification],"&gt;0")</f>
        <v>0</v>
      </c>
      <c r="KK74" s="6">
        <f>COUNTIFS(Table21[Country],Tabela1[[#This Row],[Country]],Table21[10km Open Water Classification],"&gt;0")</f>
        <v>0</v>
      </c>
      <c r="KL74" s="6">
        <f>COUNTIFS(Table22[Country],Tabela1[[#This Row],[Country]],Table22[Classification],"&gt;0")</f>
        <v>0</v>
      </c>
      <c r="KM74" s="6">
        <f>COUNTIFS(Table30[Country],Tabela1[[#This Row],[Country]],Table30[Classification],"&gt;0")</f>
        <v>0</v>
      </c>
      <c r="KN74" s="6">
        <f>COUNTIFS(Table55[Country],Tabela1[[#This Row],[Country]],Table55[Men''s Classification],"&gt;0")</f>
        <v>0</v>
      </c>
      <c r="KO74" s="6">
        <f>COUNTIFS(Table55[Country],Tabela1[[#This Row],[Country]],Table55[Women''s Classification],"&gt;0")</f>
        <v>0</v>
      </c>
      <c r="KP74" s="6">
        <f>COUNTIFS(Table56[Country],Tabela1[[#This Row],[Country]],Table56[Mixed Classification],"&gt;0")</f>
        <v>0</v>
      </c>
      <c r="KQ74" s="6">
        <f>COUNTIFS(Table29[Country],Tabela1[[#This Row],[Country]],Table29[58kg Classification],"&gt;0")</f>
        <v>0</v>
      </c>
      <c r="KR74" s="6">
        <f>COUNTIFS(Table29[Country],Tabela1[[#This Row],[Country]],Table29[68kg Classification],"&gt;0")</f>
        <v>0</v>
      </c>
      <c r="KS74" s="6">
        <f>COUNTIFS(Table29[Country],Tabela1[[#This Row],[Country]],Table29[80kg Classification],"&gt;0")</f>
        <v>0</v>
      </c>
      <c r="KT74" s="6">
        <f>COUNTIFS(Table29[Country],Tabela1[[#This Row],[Country]],Table29[Plus 80kg Classification],"&gt;0")</f>
        <v>0</v>
      </c>
      <c r="KU74" s="6">
        <f>COUNTIFS(Table34[Country],Tabela1[[#This Row],[Country]],Table34[49kg Classification],"&gt;0")</f>
        <v>0</v>
      </c>
      <c r="KV74" s="6">
        <f>COUNTIFS(Table34[Country],Tabela1[[#This Row],[Country]],Table34[57kg Classification],"&gt;0")</f>
        <v>0</v>
      </c>
      <c r="KW74" s="6">
        <f>COUNTIFS(Table34[Country],Tabela1[[#This Row],[Country]],Table34[67kg Classification],"&gt;0")</f>
        <v>0</v>
      </c>
      <c r="KX74" s="6">
        <f>COUNTIFS(Table34[Country],Tabela1[[#This Row],[Country]],Table34[Plus 67kg Classification],"&gt;0")</f>
        <v>0</v>
      </c>
      <c r="KY74" s="6">
        <f>COUNTIFS(Table57[Country],Tabela1[[#This Row],[Country]],Table57[Classification],"&gt;0")</f>
        <v>0</v>
      </c>
      <c r="KZ74" s="6">
        <f>COUNTIFS(Table58[Country],Tabela1[[#This Row],[Country]],Table58[Classification],"&gt;0")</f>
        <v>0</v>
      </c>
      <c r="LA74" s="6">
        <f>COUNTIFS(Table79[Country],Tabela1[[#This Row],[Country]],Table79[Men''s Classification],"&gt;0")</f>
        <v>0</v>
      </c>
      <c r="LB74" s="6">
        <f>COUNTIFS(Table79[Country],Tabela1[[#This Row],[Country]],Table79[Women''s Classification],"&gt;0")</f>
        <v>0</v>
      </c>
      <c r="LC74" s="6">
        <f>COUNTIFS(Table79[Country],Tabela1[[#This Row],[Country]],Table79[Mixed Classification],"&gt;0")</f>
        <v>0</v>
      </c>
      <c r="LD74" s="6">
        <f>COUNTIFS(Table65[Country],Tabela1[[#This Row],[Country]],Table65[Classification],"&gt;0")</f>
        <v>0</v>
      </c>
      <c r="LE74" s="6">
        <f>COUNTIFS(Table59[Country],Tabela1[[#This Row],[Country]],Table59[Classification],"&gt;0")</f>
        <v>0</v>
      </c>
      <c r="LF74" s="6">
        <f>COUNTIFS(Table87[Country],Tabela1[[#This Row],[Country]],Table87[Mixed Relay Classification],"&gt;0")</f>
        <v>0</v>
      </c>
      <c r="LG74" s="6">
        <f>COUNTIFS(Table91949698100[Country],Tabela1[[#This Row],[Country]],Table91949698100[Men''s Classification],"&gt;0")</f>
        <v>0</v>
      </c>
      <c r="LH74" s="6">
        <f>COUNTIFS(Table91949698100[Country],Tabela1[[#This Row],[Country]],Table91949698100[Women''s Classification],"&gt;0")</f>
        <v>0</v>
      </c>
      <c r="LI74" s="6">
        <f>COUNTIFS(Table91949698100102[Country],Tabela1[[#This Row],[Country]],Table91949698100102[Men''s Classification],"&gt;0")</f>
        <v>0</v>
      </c>
      <c r="LJ74" s="6">
        <f>COUNTIFS(Table91949698100102[Country],Tabela1[[#This Row],[Country]],Table91949698100102[Women''s Classification],"&gt;0")</f>
        <v>0</v>
      </c>
      <c r="LK74" s="6">
        <f>COUNTIFS(Table23[Country],Tabela1[[#This Row],[Country]],Table23[61kg Classification],"&gt;0")</f>
        <v>0</v>
      </c>
      <c r="LL74" s="6">
        <f>COUNTIFS(Table23[Country],Tabela1[[#This Row],[Country]],Table23[73kg Classification],"&gt;0")</f>
        <v>0</v>
      </c>
      <c r="LM74" s="6">
        <f>COUNTIFS(Table23[Country],Tabela1[[#This Row],[Country]],Table23[89kg Classification],"&gt;0")</f>
        <v>0</v>
      </c>
      <c r="LN74" s="6">
        <f>COUNTIFS(Table23[Country],Tabela1[[#This Row],[Country]],Table23[102kg Classification],"&gt;0")</f>
        <v>0</v>
      </c>
      <c r="LO74" s="6">
        <f>COUNTIFS(Table23[Country],Tabela1[[#This Row],[Country]],Table23[Plus 102kg Classification],"&gt;0")</f>
        <v>0</v>
      </c>
      <c r="LP74" s="6">
        <f>COUNTIFS(Table28[Country],Tabela1[[#This Row],[Country]],Table28[49kg Classification],"&gt;0")</f>
        <v>0</v>
      </c>
      <c r="LQ74" s="6">
        <f>COUNTIFS(Table28[Country],Tabela1[[#This Row],[Country]],Table28[59kg Classification],"&gt;0")</f>
        <v>0</v>
      </c>
      <c r="LR74" s="6">
        <f>COUNTIFS(Table28[Country],Tabela1[[#This Row],[Country]],Table28[71kg Classification],"&gt;0")</f>
        <v>0</v>
      </c>
      <c r="LS74" s="6">
        <f>COUNTIFS(Table28[Country],Tabela1[[#This Row],[Country]],Table28[81kg Classification],"&gt;0")</f>
        <v>0</v>
      </c>
      <c r="LT74" s="6">
        <f>COUNTIFS(Table28[Country],Tabela1[[#This Row],[Country]],Table28[Plus 81kg Classification],"&gt;0")</f>
        <v>0</v>
      </c>
      <c r="LU74" s="6">
        <f>COUNTIFS(Table24[Country],Tabela1[[#This Row],[Country]],Table24[Freestyle 57kg Classification],"&gt;0")</f>
        <v>0</v>
      </c>
      <c r="LV74" s="6">
        <f>COUNTIFS(Table24[Country],Tabela1[[#This Row],[Country]],Table24[Freestyle 65kg Classification],"&gt;0")</f>
        <v>0</v>
      </c>
      <c r="LW74" s="6">
        <f>COUNTIFS(Table24[Country],Tabela1[[#This Row],[Country]],Table24[Freestyle 74kg Classification],"&gt;0")</f>
        <v>0</v>
      </c>
      <c r="LX74" s="6">
        <f>COUNTIFS(Table24[Country],Tabela1[[#This Row],[Country]],Table24[Freestyle 86kg Classification],"&gt;0")</f>
        <v>0</v>
      </c>
      <c r="LY74" s="6">
        <f>COUNTIFS(Table24[Country],Tabela1[[#This Row],[Country]],Table24[Freestyle 97kg Classification],"&gt;0")</f>
        <v>0</v>
      </c>
      <c r="LZ74" s="6">
        <f>COUNTIFS(Table24[Country],Tabela1[[#This Row],[Country]],Table24[Freestyle 125kg Classification],"&gt;0")</f>
        <v>0</v>
      </c>
      <c r="MA74" s="6">
        <f>COUNTIFS(Table24[Country],Tabela1[[#This Row],[Country]],Table24[Greco-Roman 60kg Classification],"&gt;0")</f>
        <v>0</v>
      </c>
      <c r="MB74" s="6">
        <f>COUNTIFS(Table24[Country],Tabela1[[#This Row],[Country]],Table24[Greco-Roman 67kg Classification],"&gt;0")</f>
        <v>0</v>
      </c>
      <c r="MC74" s="6">
        <f>COUNTIFS(Table24[Country],Tabela1[[#This Row],[Country]],Table24[Greco-Roman 77kg Classification],"&gt;0")</f>
        <v>0</v>
      </c>
      <c r="MD74" s="6">
        <f>COUNTIFS(Table24[Country],Tabela1[[#This Row],[Country]],Table24[Greco-Roman 87kg Classification],"&gt;0")</f>
        <v>0</v>
      </c>
      <c r="ME74" s="6">
        <f>COUNTIFS(Table24[Country],Tabela1[[#This Row],[Country]],Table24[Greco-Roman 97kg Classification],"&gt;0")</f>
        <v>0</v>
      </c>
      <c r="MF74" s="6">
        <f>COUNTIFS(Table24[Country],Tabela1[[#This Row],[Country]],Table24[Greco-Roman 130kg Classification],"&gt;0")</f>
        <v>1</v>
      </c>
      <c r="MG74" s="6">
        <f>COUNTIFS(Table31[Country],Tabela1[[#This Row],[Country]],Table31[50kg Classification],"&gt;0")</f>
        <v>0</v>
      </c>
      <c r="MH74" s="6">
        <f>COUNTIFS(Table31[Country],Tabela1[[#This Row],[Country]],Table31[53kg Classification],"&gt;0")</f>
        <v>0</v>
      </c>
      <c r="MI74" s="6">
        <f>COUNTIFS(Table31[Country],Tabela1[[#This Row],[Country]],Table31[57kg Classification],"&gt;0")</f>
        <v>0</v>
      </c>
      <c r="MJ74" s="6">
        <f>COUNTIFS(Table31[Country],Tabela1[[#This Row],[Country]],Table31[62kg Classification],"&gt;0")</f>
        <v>0</v>
      </c>
      <c r="MK74" s="6">
        <f>COUNTIFS(Table31[Country],Tabela1[[#This Row],[Country]],Table31[68kg Classification],"&gt;0")</f>
        <v>0</v>
      </c>
      <c r="ML74" s="6">
        <f>COUNTIFS(Table31[Country],Tabela1[[#This Row],[Country]],Table31[76kg Classification],"&gt;0")</f>
        <v>0</v>
      </c>
      <c r="MM74" s="6">
        <f>COUNTIFS(Table102[Country],Tabela1[[#This Row],[Country]],Table102[Downhill Classification],"&gt;0")</f>
        <v>0</v>
      </c>
      <c r="MN74" s="6">
        <f>COUNTIFS(Table102105[Country],Tabela1[[#This Row],[Country]],Table102105[Downhill Classification],"&gt;0")</f>
        <v>0</v>
      </c>
      <c r="MO74" s="6">
        <f>COUNTIFS(Table102[Country],Tabela1[[#This Row],[Country]],Table102[Giant Slalom Classification],"&gt;0")</f>
        <v>0</v>
      </c>
      <c r="MP74" s="6">
        <f>COUNTIFS(Table102105[Country],Tabela1[[#This Row],[Country]],Table102105[Giant Slalom Classification],"&gt;0")</f>
        <v>0</v>
      </c>
      <c r="MQ74" s="6">
        <f>COUNTIFS(Table102[Country],Tabela1[[#This Row],[Country]],Table102[Slalom Classification],"&gt;0")</f>
        <v>0</v>
      </c>
      <c r="MR74" s="6">
        <f>COUNTIFS(Table102105[Country],Tabela1[[#This Row],[Country]],Table102105[Slalom Classification],"&gt;0")</f>
        <v>0</v>
      </c>
      <c r="MS74" s="6">
        <f>COUNTIFS(Table102[Country],Tabela1[[#This Row],[Country]],Table102[Super-G Classification],"&gt;0")</f>
        <v>0</v>
      </c>
      <c r="MT74" s="6">
        <f>COUNTIFS(Table102105[Country],Tabela1[[#This Row],[Country]],Table102105[Super-G Classification],"&gt;0")</f>
        <v>0</v>
      </c>
      <c r="MU74" s="6">
        <f>COUNTIFS(Table105[Country],Tabela1[[#This Row],[Country]],Table105[Men''s Combined Classification],"&gt;0")</f>
        <v>0</v>
      </c>
      <c r="MV74" s="6">
        <f>COUNTIFS(Table105[Country],Tabela1[[#This Row],[Country]],Table105[Women''s Combined Classification],"&gt;0")</f>
        <v>0</v>
      </c>
      <c r="MW74" s="6">
        <f>COUNTIFS(Table106[Country],Tabela1[[#This Row],[Country]],Table106[Individual Classification],"&gt;0")</f>
        <v>0</v>
      </c>
      <c r="MX74" s="6">
        <f>COUNTIFS(Table106109[Country],Tabela1[[#This Row],[Country]],Table106109[Individual Classification],"&gt;0")</f>
        <v>0</v>
      </c>
      <c r="MY74" s="6">
        <f>COUNTIFS(Table106[Country],Tabela1[[#This Row],[Country]],Table106[Mass Start Classification],"&gt;0")</f>
        <v>0</v>
      </c>
      <c r="MZ74" s="6">
        <f>COUNTIFS(Table106109[Country],Tabela1[[#This Row],[Country]],Table106109[Mass Start Classification],"&gt;0")</f>
        <v>0</v>
      </c>
      <c r="NA74" s="6">
        <f>COUNTIFS(Table106[Country],Tabela1[[#This Row],[Country]],Table106[Pursuit Classification],"&gt;0")</f>
        <v>0</v>
      </c>
      <c r="NB74" s="6">
        <f>COUNTIFS(Table106109[Country],Tabela1[[#This Row],[Country]],Table106109[Pursuit Classification],"&gt;0")</f>
        <v>0</v>
      </c>
      <c r="NC74" s="6">
        <f>COUNTIFS(Table106[Country],Tabela1[[#This Row],[Country]],Table106[Sprint Classification],"&gt;0")</f>
        <v>0</v>
      </c>
      <c r="ND74" s="6">
        <f>COUNTIFS(Table106109[Country],Tabela1[[#This Row],[Country]],Table106109[Sprint Classification],"&gt;0")</f>
        <v>0</v>
      </c>
      <c r="NE74" s="6">
        <f>COUNTIFS(Table109[Country],Tabela1[[#This Row],[Country]],Table109[Men''s Relay Classification],"&gt;0")</f>
        <v>0</v>
      </c>
      <c r="NF74" s="6">
        <f>COUNTIFS(Table109[Country],Tabela1[[#This Row],[Country]],Table109[Women''s Relay Classification],"&gt;0")</f>
        <v>0</v>
      </c>
      <c r="NG74" s="6">
        <f>COUNTIFS(Table109[Country],Tabela1[[#This Row],[Country]],Table109[Mixed Relay Classification],"&gt;0")</f>
        <v>0</v>
      </c>
      <c r="NH74" s="6">
        <f>COUNTIFS(Table110[Country],Tabela1[[#This Row],[Country]],Table110[Monobob Classification],"&gt;0")</f>
        <v>0</v>
      </c>
      <c r="NI74" s="6">
        <f>COUNTIFS(Table111[Country],Tabela1[[#This Row],[Country]],Table111[Men''s Classification],"&gt;0")</f>
        <v>0</v>
      </c>
      <c r="NJ74" s="6">
        <f>COUNTIFS(Table111[Country],Tabela1[[#This Row],[Country]],Table111[Women''s Classification],"&gt;0")</f>
        <v>0</v>
      </c>
      <c r="NK74" s="6">
        <f>COUNTIFS(Table112[Country],Tabela1[[#This Row],[Country]],Table112[Men''s Four Classification],"&gt;0")</f>
        <v>0</v>
      </c>
      <c r="NL74" s="6">
        <f>COUNTIFS(Table113[Country],Tabela1[[#This Row],[Country]],Table113[Classical Classification],"&gt;0")</f>
        <v>0</v>
      </c>
      <c r="NM74" s="6">
        <f>COUNTIFS(Table113116[Country],Tabela1[[#This Row],[Country]],Table113116[Classical Classification],"&gt;0")</f>
        <v>0</v>
      </c>
      <c r="NN74" s="6">
        <f>COUNTIFS(Table113[Country],Tabela1[[#This Row],[Country]],Table113[Freestyle Classification],"&gt;0")</f>
        <v>0</v>
      </c>
      <c r="NO74" s="6">
        <f>COUNTIFS(Table113116[Country],Tabela1[[#This Row],[Country]],Table113116[Freestyle Classification],"&gt;0")</f>
        <v>0</v>
      </c>
      <c r="NP74" s="6">
        <f>COUNTIFS(Table117[Country],Tabela1[[#This Row],[Country]],Table117[Men''s Relay Classification],"&gt;0")</f>
        <v>0</v>
      </c>
      <c r="NQ74" s="6">
        <f>COUNTIFS(Table117[Country],Tabela1[[#This Row],[Country]],Table117[Women''s Relay Classification],"&gt;0")</f>
        <v>0</v>
      </c>
      <c r="NR74" s="6">
        <f>COUNTIFS(Table113[Country],Tabela1[[#This Row],[Country]],Table113[Skiathlon Classification],"&gt;0")</f>
        <v>0</v>
      </c>
      <c r="NS74" s="6">
        <f>COUNTIFS(Table113116[Country],Tabela1[[#This Row],[Country]],Table113116[Skiathlon Classification],"&gt;0")</f>
        <v>0</v>
      </c>
      <c r="NT74" s="6">
        <f>COUNTIFS(Table113[Country],Tabela1[[#This Row],[Country]],Table113[Sprint Classification],"&gt;0")</f>
        <v>0</v>
      </c>
      <c r="NU74" s="6">
        <f>COUNTIFS(Table113116[Country],Tabela1[[#This Row],[Country]],Table113116[Sprint Classification],"&gt;0")</f>
        <v>0</v>
      </c>
      <c r="NV74" s="6">
        <f>COUNTIFS(Table116[Country],Tabela1[[#This Row],[Country]],Table116[Men''s Team Sprint Classification],"&gt;0")</f>
        <v>0</v>
      </c>
      <c r="NW74" s="6">
        <f>COUNTIFS(Table116[Country],Tabela1[[#This Row],[Country]],Table116[Women''s Team Sprint Classification],"&gt;0")</f>
        <v>0</v>
      </c>
      <c r="NX74" s="6">
        <f>COUNTIFS(Table119[Country],Tabela1[[#This Row],[Country]],Table119[Men''s Classification],"&gt;0")</f>
        <v>0</v>
      </c>
      <c r="NY74" s="6">
        <f>COUNTIFS(Table119[Country],Tabela1[[#This Row],[Country]],Table119[Women''s Classification],"&gt;0")</f>
        <v>0</v>
      </c>
      <c r="NZ74" s="6">
        <f>COUNTIFS(Table118[Country],Tabela1[[#This Row],[Country]],Table118[Mixed Classification],"&gt;0")</f>
        <v>0</v>
      </c>
      <c r="OA74" s="6">
        <f>COUNTIFS(Table120[Country],Tabela1[[#This Row],[Country]],Table120[Classification],"&gt;0")</f>
        <v>0</v>
      </c>
      <c r="OB74" s="6">
        <f>COUNTIFS(Table120123[Country],Tabela1[[#This Row],[Country]],Table120123[Classification],"&gt;0")</f>
        <v>0</v>
      </c>
      <c r="OC74" s="6">
        <f>COUNTIFS(Table123[Country],Tabela1[[#This Row],[Country]],Table123[Ice Dance Classification],"&gt;0")</f>
        <v>0</v>
      </c>
      <c r="OD74" s="6">
        <f>COUNTIFS(Table123[Country],Tabela1[[#This Row],[Country]],Table123[Pair Skating Classification],"&gt;0")</f>
        <v>0</v>
      </c>
      <c r="OE74" s="6">
        <f>COUNTIFS(Table124[Country],Tabela1[[#This Row],[Country]],Table124[Mixed Classification],"&gt;0")</f>
        <v>0</v>
      </c>
      <c r="OF74" s="6">
        <f>COUNTIFS(Table125[Country],Tabela1[[#This Row],[Country]],Table125[Aerials Classification],"&gt;0")</f>
        <v>0</v>
      </c>
      <c r="OG74" s="6">
        <f>COUNTIFS(Table125128[Country],Tabela1[[#This Row],[Country]],Table125128[Aerials Classification],"&gt;0")</f>
        <v>0</v>
      </c>
      <c r="OH74" s="6">
        <f>COUNTIFS(Table128[Country],Tabela1[[#This Row],[Country]],Table128[Mixed Aerials Classification],"&gt;0")</f>
        <v>0</v>
      </c>
      <c r="OI74" s="6">
        <f>COUNTIFS(Table125[Country],Tabela1[[#This Row],[Country]],Table125[Big Air Classification],"&gt;0")</f>
        <v>0</v>
      </c>
      <c r="OJ74" s="6">
        <f>COUNTIFS(Table125128[Country],Tabela1[[#This Row],[Country]],Table125128[Big Air Classification],"&gt;0")</f>
        <v>0</v>
      </c>
      <c r="OK74" s="6">
        <f>COUNTIFS(Table125[Country],Tabela1[[#This Row],[Country]],Table125[Dual Moguls Classification],"&gt;0")</f>
        <v>0</v>
      </c>
      <c r="OL74" s="6">
        <f>COUNTIFS(Table125128[Country],Tabela1[[#This Row],[Country]],Table125128[Dual Moguls Classification],"&gt;0")</f>
        <v>0</v>
      </c>
      <c r="OM74" s="6">
        <f>COUNTIFS(Table125[Country],Tabela1[[#This Row],[Country]],Table125[Halfpipe Classification],"&gt;0")</f>
        <v>0</v>
      </c>
      <c r="ON74" s="6">
        <f>COUNTIFS(Table125128[Country],Tabela1[[#This Row],[Country]],Table125128[Halfpipe Classification],"&gt;0")</f>
        <v>0</v>
      </c>
      <c r="OO74" s="6">
        <f>COUNTIFS(Table125[Country],Tabela1[[#This Row],[Country]],Table125[Moguls Classification],"&gt;0")</f>
        <v>0</v>
      </c>
      <c r="OP74" s="6">
        <f>COUNTIFS(Table125128[Country],Tabela1[[#This Row],[Country]],Table125128[Moguls Classification],"&gt;0")</f>
        <v>0</v>
      </c>
      <c r="OQ74" s="6">
        <f>COUNTIFS(Table125[Country],Tabela1[[#This Row],[Country]],Table125[Ski Cross Classification],"&gt;0")</f>
        <v>0</v>
      </c>
      <c r="OR74" s="6">
        <f>COUNTIFS(Table125128[Country],Tabela1[[#This Row],[Country]],Table125128[Ski Cross Classification],"&gt;0")</f>
        <v>0</v>
      </c>
      <c r="OS74" s="6">
        <f>COUNTIFS(Table125[Country],Tabela1[[#This Row],[Country]],Table125[Slopestyle Classification],"&gt;0")</f>
        <v>0</v>
      </c>
      <c r="OT74" s="6">
        <f>COUNTIFS(Table125128[Country],Tabela1[[#This Row],[Country]],Table125128[Slopestyle Classification],"&gt;0")</f>
        <v>0</v>
      </c>
      <c r="OU74" s="6">
        <f>COUNTIFS(Table119131[Country],Tabela1[[#This Row],[Country]],Table119131[Men''s Classification],"&gt;0")</f>
        <v>0</v>
      </c>
      <c r="OV74" s="6">
        <f>COUNTIFS(Table119131[Country],Tabela1[[#This Row],[Country]],Table119131[Women''s Classification],"&gt;0")</f>
        <v>0</v>
      </c>
      <c r="OW74" s="6">
        <f>COUNTIFS(Table131[Country],Tabela1[[#This Row],[Country]],Table131[Classification],"&gt;0")</f>
        <v>0</v>
      </c>
      <c r="OX74" s="6">
        <f>COUNTIFS(Table131134[Country],Tabela1[[#This Row],[Country]],Table131134[Classification],"&gt;0")</f>
        <v>0</v>
      </c>
      <c r="OY74" s="6">
        <f>COUNTIFS(Table134[Country],Tabela1[[#This Row],[Country]],Table134[Men''s Classification],"&gt;0")</f>
        <v>0</v>
      </c>
      <c r="OZ74" s="6">
        <f>COUNTIFS(Table134[Country],Tabela1[[#This Row],[Country]],Table134[Women''s Classification],"&gt;0")</f>
        <v>0</v>
      </c>
      <c r="PA74" s="6">
        <f>COUNTIFS(Table135[Country],Tabela1[[#This Row],[Country]],Table135[Mixed Relay Classification],"&gt;0")</f>
        <v>0</v>
      </c>
      <c r="PB74" s="6">
        <f>COUNTIFS(Table136[Country],Tabela1[[#This Row],[Country]],Table136[Individual Classification],"&gt;0")</f>
        <v>0</v>
      </c>
      <c r="PC74" s="6">
        <f>COUNTIFS(Table136[Country],Tabela1[[#This Row],[Country]],Table136[Sprint Classification],"&gt;0")</f>
        <v>0</v>
      </c>
      <c r="PD74" s="6">
        <f>COUNTIFS(Table137[Country],Tabela1[[#This Row],[Country]],Table137[Men''s Team Sprint Large Hill Classification],"&gt;0")</f>
        <v>0</v>
      </c>
      <c r="PE74" s="6">
        <f>COUNTIFS(Table138[Country],Tabela1[[#This Row],[Country]],Table138[500m Classification],"&gt;0")</f>
        <v>0</v>
      </c>
      <c r="PF74" s="6">
        <f>COUNTIFS(Table138141[Country],Tabela1[[#This Row],[Country]],Table138141[500m Classification],"&gt;0")</f>
        <v>0</v>
      </c>
      <c r="PG74" s="6">
        <f>COUNTIFS(Table138[Country],Tabela1[[#This Row],[Country]],Table138[1000m Classification],"&gt;0")</f>
        <v>0</v>
      </c>
      <c r="PH74" s="6">
        <f>COUNTIFS(Table138141[Country],Tabela1[[#This Row],[Country]],Table138141[1000m Classification],"&gt;0")</f>
        <v>0</v>
      </c>
      <c r="PI74" s="6">
        <f>COUNTIFS(Table138[Country],Tabela1[[#This Row],[Country]],Table138[1500m Classification],"&gt;0")</f>
        <v>0</v>
      </c>
      <c r="PJ74" s="6">
        <f>COUNTIFS(Table138141[Country],Tabela1[[#This Row],[Country]],Table138141[1500m Classification],"&gt;0")</f>
        <v>0</v>
      </c>
      <c r="PK74" s="6">
        <f>COUNTIFS(Table141[Country],Tabela1[[#This Row],[Country]],Table141[Men''s 5000m Relay Classification],"&gt;0")</f>
        <v>0</v>
      </c>
      <c r="PL74" s="6">
        <f>COUNTIFS(Table141[Country],Tabela1[[#This Row],[Country]],Table141[Women''s 3000m Relay Classification],"&gt;0")</f>
        <v>0</v>
      </c>
      <c r="PM74" s="6">
        <f>COUNTIFS(Table141[Country],Tabela1[[#This Row],[Country]],Table141[Mixed 2000m Relay Classification],"&gt;0")</f>
        <v>0</v>
      </c>
      <c r="PN74" s="6">
        <f>COUNTIFS(Table142[Country],Tabela1[[#This Row],[Country]],Table142[Classification],"&gt;0")</f>
        <v>0</v>
      </c>
      <c r="PO74" s="6">
        <f>COUNTIFS(Table142145[Country],Tabela1[[#This Row],[Country]],Table142145[Classification],"&gt;0")</f>
        <v>0</v>
      </c>
      <c r="PP74" s="6">
        <f>COUNTIFS(Tabela15[Country],Tabela1[[#This Row],[Country]],Tabela15[Mixed Team Classification],"&gt;0")</f>
        <v>0</v>
      </c>
      <c r="PQ74" s="6">
        <f>COUNTIFS(Table145[Country],Tabela1[[#This Row],[Country]],Table145[Large Hill Classification],"&gt;0")</f>
        <v>0</v>
      </c>
      <c r="PR74" s="6">
        <f>COUNTIFS(Table145[Country],Tabela1[[#This Row],[Country]],Table145[Normal Hill Classification],"&gt;0")</f>
        <v>0</v>
      </c>
      <c r="PS74" s="6">
        <f>COUNTIFS(Table145148[Country],Tabela1[[#This Row],[Country]],Table145148[Large Hill Classification],"&gt;0")</f>
        <v>0</v>
      </c>
      <c r="PT74" s="6">
        <f>COUNTIFS(Table145148[Country],Tabela1[[#This Row],[Country]],Table145148[Normal Hill Classification],"&gt;0")</f>
        <v>0</v>
      </c>
      <c r="PU74" s="6">
        <f>COUNTIFS(Table148[Country],Tabela1[[#This Row],[Country]],Table148[Men''s Super Team Classification],"&gt;0")</f>
        <v>0</v>
      </c>
      <c r="PV74" s="6">
        <f>COUNTIFS(Tabela114[Country],Tabela1[[#This Row],[Country]],Tabela114[Mixed Normal Hill Classification],"&gt;0")</f>
        <v>0</v>
      </c>
      <c r="PW74" s="6">
        <f>COUNTIFS(Tabela50[Country],Tabela1[[#This Row],[Country]],Tabela50[Sprint Classification],"&gt;0")</f>
        <v>0</v>
      </c>
      <c r="PX74" s="6">
        <f>COUNTIFS(Tabela50101[Country],Tabela1[[#This Row],[Country]],Tabela50101[Sprint Classification],"&gt;0")</f>
        <v>0</v>
      </c>
      <c r="PY74" s="6">
        <f>COUNTIFS(Tabela103[Country],Tabela1[[#This Row],[Country]],Tabela103[Mixed Relay Classification],"&gt;0")</f>
        <v>0</v>
      </c>
      <c r="PZ74" s="6">
        <f>COUNTIFS(Table149[Country],Tabela1[[#This Row],[Country]],Table149[Big Air Classification],"&gt;0")</f>
        <v>0</v>
      </c>
      <c r="QA74" s="6">
        <f>COUNTIFS(Table149152[Country],Tabela1[[#This Row],[Country]],Table149152[Big Air Classification],"&gt;0")</f>
        <v>0</v>
      </c>
      <c r="QB74" s="6">
        <f>COUNTIFS(Table149[Country],Tabela1[[#This Row],[Country]],Table149[Halfpipe Classification],"&gt;0")</f>
        <v>0</v>
      </c>
      <c r="QC74" s="6">
        <f>COUNTIFS(Table149152[Country],Tabela1[[#This Row],[Country]],Table149152[Halfpipe Classification],"&gt;0")</f>
        <v>0</v>
      </c>
      <c r="QD74" s="6">
        <f>COUNTIFS(Table149[Country],Tabela1[[#This Row],[Country]],Table149[Parallel Giant Slalom Classification],"&gt;0")</f>
        <v>0</v>
      </c>
      <c r="QE74" s="6">
        <f>COUNTIFS(Table149152[Country],Tabela1[[#This Row],[Country]],Table149152[Parallel Giant Slalom Classification],"&gt;0")</f>
        <v>0</v>
      </c>
      <c r="QF74" s="6">
        <f>COUNTIFS(Table149[Country],Tabela1[[#This Row],[Country]],Table149[Slopestyle Classification],"&gt;0")</f>
        <v>0</v>
      </c>
      <c r="QG74" s="6">
        <f>COUNTIFS(Table149152[Country],Tabela1[[#This Row],[Country]],Table149152[Slopestyle Classification],"&gt;0")</f>
        <v>0</v>
      </c>
      <c r="QH74" s="6">
        <f>COUNTIFS(Table149[Country],Tabela1[[#This Row],[Country]],Table149[Snowboard Cross Classification],"&gt;0")</f>
        <v>0</v>
      </c>
      <c r="QI74" s="6">
        <f>COUNTIFS(Table149152[Country],Tabela1[[#This Row],[Country]],Table149152[Snowboard Cross Classification],"&gt;0")</f>
        <v>0</v>
      </c>
      <c r="QJ74" s="6">
        <f>COUNTIFS(Table153[Country],Tabela1[[#This Row],[Country]],Table153[Mixed Team Snowboard Cross Classification],"&gt;0")</f>
        <v>0</v>
      </c>
      <c r="QK74" s="6">
        <f>COUNTIFS(Table154[Country],Tabela1[[#This Row],[Country]],Table154[500m Classification],"&gt;0")</f>
        <v>0</v>
      </c>
      <c r="QL74" s="6">
        <f>COUNTIFS(Table154157[Country],Tabela1[[#This Row],[Country]],Table154157[500m Classification],"&gt;0")</f>
        <v>0</v>
      </c>
      <c r="QM74" s="6">
        <f>COUNTIFS(Table154[Country],Tabela1[[#This Row],[Country]],Table154[1000m Classification],"&gt;0")</f>
        <v>0</v>
      </c>
      <c r="QN74" s="6">
        <f>COUNTIFS(Table154157[Country],Tabela1[[#This Row],[Country]],Table154157[1000m Classification],"&gt;0")</f>
        <v>0</v>
      </c>
      <c r="QO74" s="6">
        <f>COUNTIFS(Table154[Country],Tabela1[[#This Row],[Country]],Table154[1500m Classification],"&gt;0")</f>
        <v>0</v>
      </c>
      <c r="QP74" s="6">
        <f>COUNTIFS(Table154157[Country],Tabela1[[#This Row],[Country]],Table154157[1500m Classification],"&gt;0")</f>
        <v>0</v>
      </c>
      <c r="QQ74" s="6">
        <f>COUNTIFS(Table154157[Country],Tabela1[[#This Row],[Country]],Table154157[3000m Classification],"&gt;0")</f>
        <v>0</v>
      </c>
      <c r="QR74" s="6">
        <f>COUNTIFS(Table154[Country],Tabela1[[#This Row],[Country]],Table154[5000m Classification],"&gt;0")</f>
        <v>0</v>
      </c>
      <c r="QS74" s="6">
        <f>COUNTIFS(Table154157[Country],Tabela1[[#This Row],[Country]],Table154157[5000m Classification],"&gt;0")</f>
        <v>0</v>
      </c>
      <c r="QT74" s="6">
        <f>COUNTIFS(Table154[Country],Tabela1[[#This Row],[Country]],Table154[10000m Classification],"&gt;0")</f>
        <v>0</v>
      </c>
      <c r="QU74" s="6">
        <f>COUNTIFS(Table154[Country],Tabela1[[#This Row],[Country]],Table154[Mass Start Classification],"&gt;0")</f>
        <v>0</v>
      </c>
      <c r="QV74" s="6">
        <f>COUNTIFS(Table154157[Country],Tabela1[[#This Row],[Country]],Table154157[Mass Start Classification],"&gt;0")</f>
        <v>0</v>
      </c>
      <c r="QW74" s="6">
        <f>COUNTIFS(Table157[Country],Tabela1[[#This Row],[Country]],Table157[Men''s Pursuit Classification],"&gt;0")</f>
        <v>0</v>
      </c>
      <c r="QX74" s="6">
        <f>COUNTIFS(Table157[Country],Tabela1[[#This Row],[Country]],Table157[Women''s Pursuit Classification],"&gt;0")</f>
        <v>0</v>
      </c>
      <c r="QY74" s="4" t="s">
        <v>457</v>
      </c>
    </row>
    <row r="75" spans="1:467" x14ac:dyDescent="0.3">
      <c r="A75" s="6">
        <v>74</v>
      </c>
      <c r="B75" s="6" t="s">
        <v>622</v>
      </c>
      <c r="C75" t="e" vm="74">
        <f>IF(ISBLANK(Tabela1[[#This Row],[Image Link]]), "", _xlfn.IMAGE(Tabela1[[#This Row],[Image Link]],1,1))</f>
        <v>#VALUE!</v>
      </c>
      <c r="D75" s="6">
        <f>SUM(Tabela1[[#This Row],[Archery - Men''s Individual Recurve]:[Speed Skating - Women''s Team Pursuit]])</f>
        <v>7</v>
      </c>
      <c r="E75" s="6">
        <f>COUNTIF(Tabela1[[#This Row],[Archery - Men''s Individual Recurve]:[Speed Skating - Women''s Team Pursuit]],"&gt;0")</f>
        <v>7</v>
      </c>
      <c r="F75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75" s="6">
        <f>SUM(Tabela1[[#This Row],[Archery - Men''s Individual Recurve]:[Wrestling - Women''s Freestyle 76kg]])</f>
        <v>5</v>
      </c>
      <c r="H75" s="6">
        <f>SUM(Tabela1[[#This Row],[Alpine Skiing - Men''s Downhill]:[Speed Skating - Women''s Team Pursuit]])</f>
        <v>2</v>
      </c>
      <c r="I75" s="6">
        <f>Tabela1[[#This Row],[Summer Gold Medals]]+Tabela1[[#This Row],[Winter Gold Medals]]</f>
        <v>0</v>
      </c>
      <c r="J75" s="6">
        <f>Tabela1[[#This Row],[Summer Silver Medals]]+Tabela1[[#This Row],[Winter Silver Medals]]</f>
        <v>0</v>
      </c>
      <c r="K75" s="6">
        <f>Tabela1[[#This Row],[Summer Bronze Medals]]+Tabela1[[#This Row],[Winter Bronze Medals]]</f>
        <v>0</v>
      </c>
      <c r="L75" s="6">
        <f>SUM(Tabela1[[#This Row],[Total Gold Medals]:[Total Bronze Medals]])</f>
        <v>0</v>
      </c>
      <c r="M75" s="6"/>
      <c r="N75" s="6"/>
      <c r="O75" s="6"/>
      <c r="P75" s="6">
        <f>SUM(Tabela1[[#This Row],[Summer Gold Medals]:[Summer Bronze Medals]])</f>
        <v>0</v>
      </c>
      <c r="Q75" s="6"/>
      <c r="R75" s="6"/>
      <c r="S75" s="6"/>
      <c r="T75" s="6">
        <f>Tabela1[[#This Row],[Winter Gold Medals]]+Tabela1[[#This Row],[Winter Silver Medals]]+Tabela1[[#This Row],[Winter Bronze Medals]]</f>
        <v>0</v>
      </c>
      <c r="U75" s="7">
        <f>Tabela1[[#This Row],[Total Medals]]/Tabela1[[#This Row],[Total Quotas]]</f>
        <v>0</v>
      </c>
      <c r="V75" s="6">
        <f>COUNTIFS(Table3[Country],Tabela1[[#This Row],[Country]],Table3[Recurve Classification],"&gt;0")</f>
        <v>1</v>
      </c>
      <c r="W75" s="6">
        <f>COUNTIFS(Table33[Country],Tabela1[[#This Row],[Country]],Table33[Recurve Classification],"&gt;0")</f>
        <v>0</v>
      </c>
      <c r="X75" s="6">
        <f>COUNTIFS(Table35[Country],Tabela1[[#This Row],[Country]],Table35[Men''s Team Recurve Classification],"&gt;0")</f>
        <v>0</v>
      </c>
      <c r="Y75" s="6">
        <f>COUNTIFS(Table35[Country],Tabela1[[#This Row],[Country]],Table35[Women''s Team Recurve Classification],"&gt;0")</f>
        <v>0</v>
      </c>
      <c r="Z75" s="6">
        <f>COUNTIFS(Tabela88[Country],Tabela1[[#This Row],[Country]],Tabela88[Mixed Team Recurve Classification],"&gt;0")</f>
        <v>0</v>
      </c>
      <c r="AA75" s="6">
        <f>COUNTIFS(Table36[Country],Tabela1[[#This Row],[Country]],Table36[Classification],"&gt;0")</f>
        <v>0</v>
      </c>
      <c r="AB75" s="6">
        <f>COUNTIFS(Table37[Country],Tabela1[[#This Row],[Country]],Table37[Classification],"&gt;0")</f>
        <v>0</v>
      </c>
      <c r="AC75" s="6">
        <f>COUNTIFS(Table4[Country],Tabela1[[#This Row],[Country]],Table4[100m Classification],"&gt;0")</f>
        <v>0</v>
      </c>
      <c r="AD75" s="6">
        <f>COUNTIFS(Table5[Country],Tabela1[[#This Row],[Country]],Table5[100m Classification],"&gt;0")</f>
        <v>0</v>
      </c>
      <c r="AE75" s="6">
        <f>COUNTIFS(Table4[Country],Tabela1[[#This Row],[Country]],Table4[200m Classification],"&gt;0")</f>
        <v>0</v>
      </c>
      <c r="AF75" s="6">
        <f>COUNTIFS(Table5[Country],Tabela1[[#This Row],[Country]],Table5[200m Classification],"&gt;0")</f>
        <v>0</v>
      </c>
      <c r="AG75" s="6">
        <f>COUNTIFS(Table4[Country],Tabela1[[#This Row],[Country]],Table4[400m Classification],"&gt;0")</f>
        <v>0</v>
      </c>
      <c r="AH75" s="6">
        <f>COUNTIFS(Table5[Country],Tabela1[[#This Row],[Country]],Table5[400m Classification],"&gt;0")</f>
        <v>0</v>
      </c>
      <c r="AI75" s="6">
        <f>COUNTIFS(Table4[Country],Tabela1[[#This Row],[Country]],Table4[800m Classification],"&gt;0")</f>
        <v>0</v>
      </c>
      <c r="AJ75" s="6">
        <f>COUNTIFS(Table5[Country],Tabela1[[#This Row],[Country]],Table5[800m Classification],"&gt;0")</f>
        <v>0</v>
      </c>
      <c r="AK75" s="6">
        <f>COUNTIFS(Table4[Country],Tabela1[[#This Row],[Country]],Table4[1500m Classification],"&gt;0")</f>
        <v>0</v>
      </c>
      <c r="AL75" s="6">
        <f>COUNTIFS(Table5[Country],Tabela1[[#This Row],[Country]],Table5[1500m Classification],"&gt;0")</f>
        <v>0</v>
      </c>
      <c r="AM75" s="6">
        <f>COUNTIFS(Table4[Country],Tabela1[[#This Row],[Country]],Table4[5000m Classification],"&gt;0")</f>
        <v>0</v>
      </c>
      <c r="AN75" s="6">
        <f>COUNTIFS(Table5[Country],Tabela1[[#This Row],[Country]],Table5[5000m Classification],"&gt;0")</f>
        <v>0</v>
      </c>
      <c r="AO75" s="6">
        <f>COUNTIFS(Table4[Country],Tabela1[[#This Row],[Country]],Table4[10000m Classification],"&gt;0")</f>
        <v>0</v>
      </c>
      <c r="AP75" s="6">
        <f>COUNTIFS(Table5[Country],Tabela1[[#This Row],[Country]],Table5[10000m Classification],"&gt;0")</f>
        <v>0</v>
      </c>
      <c r="AQ75" s="6">
        <f>COUNTIFS(Table4[Country],Tabela1[[#This Row],[Country]],Table4[110m Hurdles Classification],"&gt;0")</f>
        <v>0</v>
      </c>
      <c r="AR75" s="6">
        <f>COUNTIFS(Table5[Country],Tabela1[[#This Row],[Country]],Table5[100m Hurdles Classification],"&gt;0")</f>
        <v>0</v>
      </c>
      <c r="AS75" s="6">
        <f>COUNTIFS(Table4[Country],Tabela1[[#This Row],[Country]],Table4[400m Hurdles Classification],"&gt;0")</f>
        <v>0</v>
      </c>
      <c r="AT75" s="6">
        <f>COUNTIFS(Table5[Country],Tabela1[[#This Row],[Country]],Table5[400m Hurdles Classification],"&gt;0")</f>
        <v>0</v>
      </c>
      <c r="AU75" s="6">
        <f>COUNTIFS(Table4[Country],Tabela1[[#This Row],[Country]],Table4[3000m Steeplechase Classification],"&gt;0")</f>
        <v>0</v>
      </c>
      <c r="AV75" s="6">
        <f>COUNTIFS(Table5[Country],Tabela1[[#This Row],[Country]],Table5[3000m Steeplechase Classification],"&gt;0")</f>
        <v>0</v>
      </c>
      <c r="AW75" s="6">
        <f>COUNTIFS(Table27[Country],Tabela1[[#This Row],[Country]],Table27[Men''s 4x100m Relay Classification],"&gt;0")</f>
        <v>0</v>
      </c>
      <c r="AX75" s="6">
        <f>COUNTIFS(Table27[Country],Tabela1[[#This Row],[Country]],Table27[Women''s 4x100m Relay Classification],"&gt;0")</f>
        <v>0</v>
      </c>
      <c r="AY75" s="6">
        <f>COUNTIFS(Table27[Country],Tabela1[[#This Row],[Country]],Table27[Men''s 4x400m Relay Classification],"&gt;0")</f>
        <v>0</v>
      </c>
      <c r="AZ75" s="6">
        <f>COUNTIFS(Table27[Country],Tabela1[[#This Row],[Country]],Table27[Women''s 4x400m Relay Classification],"&gt;0")</f>
        <v>0</v>
      </c>
      <c r="BA75" s="6">
        <f>COUNTIFS(Table27[Country],Tabela1[[#This Row],[Country]],Table27[Mixed 4x400m Relay Classification],"&gt;0")</f>
        <v>0</v>
      </c>
      <c r="BB75" s="6">
        <f>COUNTIFS(Table4[Country],Tabela1[[#This Row],[Country]],Table4[Marathon Classification],"&gt;0")</f>
        <v>0</v>
      </c>
      <c r="BC75" s="6">
        <f>COUNTIFS(Table5[Country],Tabela1[[#This Row],[Country]],Table5[Marathon Classification],"&gt;0")</f>
        <v>0</v>
      </c>
      <c r="BD75" s="6">
        <f>COUNTIFS(Table4[Country],Tabela1[[#This Row],[Country]],Table4[20km Race Walk Classification],"&gt;0")</f>
        <v>0</v>
      </c>
      <c r="BE75" s="6">
        <f>COUNTIFS(Table5[Country],Tabela1[[#This Row],[Country]],Table5[20km Race Walk Classification],"&gt;0")</f>
        <v>0</v>
      </c>
      <c r="BF75" s="6">
        <f>COUNTIFS(Tabela96[Country],Tabela1[[#This Row],[Country]],Tabela96[Mixed Marathon Race Walk Relay Classification],"&gt;0")</f>
        <v>0</v>
      </c>
      <c r="BG75" s="6">
        <f>COUNTIFS(Table4[Country],Tabela1[[#This Row],[Country]],Table4[Discus Throw Classification],"&gt;0")</f>
        <v>0</v>
      </c>
      <c r="BH75" s="6">
        <f>COUNTIFS(Table5[Country],Tabela1[[#This Row],[Country]],Table5[Discus Throw Classification],"&gt;0")</f>
        <v>0</v>
      </c>
      <c r="BI75" s="6">
        <f>COUNTIFS(Table4[Country],Tabela1[[#This Row],[Country]],Table4[Hammer Throw Classification],"&gt;0")</f>
        <v>0</v>
      </c>
      <c r="BJ75" s="6">
        <f>COUNTIFS(Table5[Country],Tabela1[[#This Row],[Country]],Table5[Hammer Throw Classification],"&gt;0")</f>
        <v>0</v>
      </c>
      <c r="BK75" s="6">
        <f>COUNTIFS(Table4[Country],Tabela1[[#This Row],[Country]],Table4[High Jump Classification],"&gt;0")</f>
        <v>0</v>
      </c>
      <c r="BL75" s="6">
        <f>COUNTIFS(Table5[Country],Tabela1[[#This Row],[Country]],Table5[High Jump Classification],"&gt;0")</f>
        <v>0</v>
      </c>
      <c r="BM75" s="6">
        <f>COUNTIFS(Table4[Country],Tabela1[[#This Row],[Country]],Table4[Javelin Throw Classification],"&gt;0")</f>
        <v>0</v>
      </c>
      <c r="BN75" s="6">
        <f>COUNTIFS(Table5[Country],Tabela1[[#This Row],[Country]],Table5[Javelin Throw Classification],"&gt;0")</f>
        <v>0</v>
      </c>
      <c r="BO75" s="6">
        <f>COUNTIFS(Table4[Country],Tabela1[[#This Row],[Country]],Table4[Long Jump Classification],"&gt;0")</f>
        <v>0</v>
      </c>
      <c r="BP75" s="6">
        <f>COUNTIFS(Table5[Country],Tabela1[[#This Row],[Country]],Table5[Long Jump Classification],"&gt;0")</f>
        <v>0</v>
      </c>
      <c r="BQ75" s="6">
        <f>COUNTIFS(Table4[Country],Tabela1[[#This Row],[Country]],Table4[Pole Vault Classification],"&gt;0")</f>
        <v>0</v>
      </c>
      <c r="BR75" s="6">
        <f>COUNTIFS(Table5[Country],Tabela1[[#This Row],[Country]],Table5[Pole Vault Classification],"&gt;0")</f>
        <v>0</v>
      </c>
      <c r="BS75" s="6">
        <f>COUNTIFS(Table4[Country],Tabela1[[#This Row],[Country]],Table4[Shot Put Classification],"&gt;0")</f>
        <v>0</v>
      </c>
      <c r="BT75" s="6">
        <f>COUNTIFS(Table5[Country],Tabela1[[#This Row],[Country]],Table5[Shot Put Classification],"&gt;0")</f>
        <v>0</v>
      </c>
      <c r="BU75" s="6">
        <f>COUNTIFS(Table4[Country],Tabela1[[#This Row],[Country]],Table4[Triple Jump Classification],"&gt;0")</f>
        <v>0</v>
      </c>
      <c r="BV75" s="6">
        <f>COUNTIFS(Table5[Country],Tabela1[[#This Row],[Country]],Table5[Triple Jump Classification],"&gt;0")</f>
        <v>0</v>
      </c>
      <c r="BW75" s="6">
        <f>COUNTIFS(Table4[Country],Tabela1[[#This Row],[Country]],Table4[Decathlon Classification],"&gt;0")</f>
        <v>0</v>
      </c>
      <c r="BX75" s="6">
        <f>COUNTIFS(Table5[Country],Tabela1[[#This Row],[Country]],Table5[Heptathlon Classification],"&gt;0")</f>
        <v>0</v>
      </c>
      <c r="BY75" s="6">
        <f>COUNTIFS(Table61[Country],Tabela1[[#This Row],[Country]],Table61[Classification],"&gt;0")</f>
        <v>0</v>
      </c>
      <c r="BZ75" s="6">
        <f>COUNTIFS(Table38[Country],Tabela1[[#This Row],[Country]],Table38[Classification],"&gt;0")</f>
        <v>0</v>
      </c>
      <c r="CA75" s="6">
        <f>COUNTIFS(Table39[Country],Tabela1[[#This Row],[Country]],Table39[Men''s Classification],"&gt;0")</f>
        <v>0</v>
      </c>
      <c r="CB75" s="6">
        <f>COUNTIFS(Table39[Country],Tabela1[[#This Row],[Country]],Table39[Women''s Classification],"&gt;0")</f>
        <v>0</v>
      </c>
      <c r="CC75" s="6">
        <f>COUNTIFS(Table39[Country],Tabela1[[#This Row],[Country]],Table39[Mixed Classification],"&gt;0")</f>
        <v>0</v>
      </c>
      <c r="CD75" s="6">
        <f>COUNTIFS(Table89[Country],Tabela1[[#This Row],[Country]],Table89[Men''s Classification],"&gt;0")</f>
        <v>0</v>
      </c>
      <c r="CE75" s="6">
        <f>COUNTIFS(Table89[Country],Tabela1[[#This Row],[Country]],Table89[Women''s Classification],"&gt;0")</f>
        <v>0</v>
      </c>
      <c r="CF75" s="6">
        <f>COUNTIFS(Table90[Country],Tabela1[[#This Row],[Country]],Table90[Men''s Classification],"&gt;0")</f>
        <v>0</v>
      </c>
      <c r="CG75" s="6">
        <f>COUNTIFS(Table90[Country],Tabela1[[#This Row],[Country]],Table90[Women''s Classification],"&gt;0")</f>
        <v>0</v>
      </c>
      <c r="CH75" s="6">
        <f>COUNTIFS(Table60[Country],Tabela1[[#This Row],[Country]],Table60[Men''s Classification],"&gt;0")</f>
        <v>0</v>
      </c>
      <c r="CI75" s="6">
        <f>COUNTIFS(Table60[Country],Tabela1[[#This Row],[Country]],Table60[Women''s Classification],"&gt;0")</f>
        <v>0</v>
      </c>
      <c r="CJ75" s="6">
        <f>COUNTIFS(Table6[Country],Tabela1[[#This Row],[Country]],Table6[51kg Classification],"&gt;0")</f>
        <v>0</v>
      </c>
      <c r="CK75" s="6">
        <f>COUNTIFS(Table6[Country],Tabela1[[#This Row],[Country]],Table6[57kg Classification],"&gt;0")</f>
        <v>0</v>
      </c>
      <c r="CL75" s="6">
        <f>COUNTIFS(Table6[Country],Tabela1[[#This Row],[Country]],Table6[63.5kg Classification],"&gt;0")</f>
        <v>0</v>
      </c>
      <c r="CM75" s="6">
        <f>COUNTIFS(Table6[Country],Tabela1[[#This Row],[Country]],Table6[71kg Classification],"&gt;0")</f>
        <v>0</v>
      </c>
      <c r="CN75" s="6">
        <f>COUNTIFS(Table6[Country],Tabela1[[#This Row],[Country]],Table6[80kg Classification],"&gt;0")</f>
        <v>0</v>
      </c>
      <c r="CO75" s="6">
        <f>COUNTIFS(Table6[Country],Tabela1[[#This Row],[Country]],Table6[92kg Classification],"&gt;0")</f>
        <v>0</v>
      </c>
      <c r="CP75" s="6">
        <f>COUNTIFS(Table6[Country],Tabela1[[#This Row],[Country]],Table6[Plus 92kg Classification],"&gt;0")</f>
        <v>0</v>
      </c>
      <c r="CQ75" s="6">
        <f>COUNTIFS(Table7[Country],Tabela1[[#This Row],[Country]],Table7[50kg Classification],"&gt;0")</f>
        <v>0</v>
      </c>
      <c r="CR75" s="6">
        <f>COUNTIFS(Table7[Country],Tabela1[[#This Row],[Country]],Table7[54kg Classification],"&gt;0")</f>
        <v>0</v>
      </c>
      <c r="CS75" s="6">
        <f>COUNTIFS(Table7[Country],Tabela1[[#This Row],[Country]],Table7[57kg Classification],"&gt;0")</f>
        <v>0</v>
      </c>
      <c r="CT75" s="6">
        <f>COUNTIFS(Table7[Country],Tabela1[[#This Row],[Country]],Table7[60kg Classification],"&gt;0")</f>
        <v>0</v>
      </c>
      <c r="CU75" s="6">
        <f>COUNTIFS(Table7[Country],Tabela1[[#This Row],[Country]],Table7[66kg Classification],"&gt;0")</f>
        <v>0</v>
      </c>
      <c r="CV75" s="6">
        <f>COUNTIFS(Table7[Country],Tabela1[[#This Row],[Country]],Table7[75kg Classification],"&gt;0")</f>
        <v>0</v>
      </c>
      <c r="CW75" s="6">
        <f>COUNTIFS(Tabela94[Country],Tabela1[[#This Row],[Country]],Tabela94[Classification],"&gt;0")</f>
        <v>0</v>
      </c>
      <c r="CX75" s="6">
        <f>COUNTIFS(Tabela9499[Country],Tabela1[[#This Row],[Country]],Tabela9499[Classification],"&gt;0")</f>
        <v>0</v>
      </c>
      <c r="CY75" s="6">
        <f>COUNTIFS(Tabela107[Country],Tabela1[[#This Row],[Country]],Tabela107[C1 Slalom Classification],"&gt;0")</f>
        <v>0</v>
      </c>
      <c r="CZ75" s="6">
        <f>COUNTIFS(Tabela107122[Country],Tabela1[[#This Row],[Country]],Tabela107122[C1 Slalom Classification],"&gt;0")</f>
        <v>0</v>
      </c>
      <c r="DA75" s="6">
        <f>COUNTIFS(Tabela107[Country],Tabela1[[#This Row],[Country]],Tabela107[K1 Slalom Classification],"&gt;0")</f>
        <v>0</v>
      </c>
      <c r="DB75" s="6">
        <f>COUNTIFS(Tabela107122[Country],Tabela1[[#This Row],[Country]],Tabela107122[K1 Slalom Classification],"&gt;0")</f>
        <v>0</v>
      </c>
      <c r="DC75" s="6">
        <f>COUNTIFS(Tabela107[Country],Tabela1[[#This Row],[Country]],Tabela107[Kayak Cross Slalom Classification],"&gt;0")</f>
        <v>0</v>
      </c>
      <c r="DD75" s="6">
        <f>COUNTIFS(Tabela107122[Country],Tabela1[[#This Row],[Country]],Tabela107122[Kayak Cross Slalom Classification],"&gt;0")</f>
        <v>0</v>
      </c>
      <c r="DE75" s="6">
        <f>COUNTIFS(Table8[Country],Tabela1[[#This Row],[Country]],Table8[C1 200m Classification],"&gt;0")</f>
        <v>0</v>
      </c>
      <c r="DF75" s="6">
        <f>COUNTIFS(Table40[Country],Tabela1[[#This Row],[Country]],Table40[C1 1000m Classification],"&gt;0")</f>
        <v>0</v>
      </c>
      <c r="DG75" s="6">
        <f>COUNTIFS(Table68[Country],Tabela1[[#This Row],[Country]],Table68[Men''s C2 500m Classification],"&gt;0")</f>
        <v>0</v>
      </c>
      <c r="DH75" s="6">
        <f>COUNTIFS(Table68[Country],Tabela1[[#This Row],[Country]],Table68[Women''s C2 500m Classification],"&gt;0")</f>
        <v>0</v>
      </c>
      <c r="DI75" s="6">
        <f>COUNTIFS(Table8[Country],Tabela1[[#This Row],[Country]],Table8[K1 500m Classification],"&gt;0")</f>
        <v>0</v>
      </c>
      <c r="DJ75" s="6">
        <f>COUNTIFS(Table40[Country],Tabela1[[#This Row],[Country]],Table40[K1 1000m Classification],"&gt;0")</f>
        <v>0</v>
      </c>
      <c r="DK75" s="6">
        <f>COUNTIFS(Table68[Country],Tabela1[[#This Row],[Country]],Table68[Men''s K2 500m Classification],"&gt;0")</f>
        <v>0</v>
      </c>
      <c r="DL75" s="6">
        <f>COUNTIFS(Table68[Country],Tabela1[[#This Row],[Country]],Table68[Women''s K2 500m Classification],"&gt;0")</f>
        <v>0</v>
      </c>
      <c r="DM75" s="6">
        <f>COUNTIFS(Table83[Country],Tabela1[[#This Row],[Country]],Table83[Men''s K4 500m Classification],"&gt;0")</f>
        <v>0</v>
      </c>
      <c r="DN75" s="6">
        <f>COUNTIFS(Table83[Country],Tabela1[[#This Row],[Country]],Table83[Women''s K4 500m Classification],"&gt;0")</f>
        <v>0</v>
      </c>
      <c r="DO75" s="6">
        <f>COUNTIFS(Tabela126[Country],Tabela1[[#This Row],[Country]],Tabela126[Classification],"&gt;0")</f>
        <v>0</v>
      </c>
      <c r="DP75" s="6">
        <f>COUNTIFS(Tabela126130[Country],Tabela1[[#This Row],[Country]],Tabela126130[Classification],"&gt;0")</f>
        <v>0</v>
      </c>
      <c r="DQ75" s="6">
        <f>COUNTIFS(Table70[Country],Tabela1[[#This Row],[Country]],Table70[Classification],"&gt;0")</f>
        <v>0</v>
      </c>
      <c r="DR75" s="6">
        <f>COUNTIFS(Table80[Country],Tabela1[[#This Row],[Country]],Table80[Classification],"&gt;0")</f>
        <v>0</v>
      </c>
      <c r="DS75" s="6">
        <f>COUNTIFS(Table66[Country],Tabela1[[#This Row],[Country]],Table66[Classification],"&gt;0")</f>
        <v>0</v>
      </c>
      <c r="DT75" s="6">
        <f>COUNTIFS(Table67[Country],Tabela1[[#This Row],[Country]],Table67[Classification],"&gt;0")</f>
        <v>0</v>
      </c>
      <c r="DU75" s="6">
        <f>COUNTIFS(Table69[Country],Tabela1[[#This Row],[Country]],Table69[Keirin Classification],"&gt;0")</f>
        <v>0</v>
      </c>
      <c r="DV75" s="6">
        <f>COUNTIFS(Table41[Country],Tabela1[[#This Row],[Country]],Table41[Keirin Classification],"&gt;0")</f>
        <v>0</v>
      </c>
      <c r="DW75" s="6">
        <f>COUNTIFS(Table84[Country],Tabela1[[#This Row],[Country]],Table84[Men''s Madison Classification],"&gt;0")</f>
        <v>0</v>
      </c>
      <c r="DX75" s="6">
        <f>COUNTIFS(Table84[Country],Tabela1[[#This Row],[Country]],Table84[Women''s Madison Classification],"&gt;0")</f>
        <v>0</v>
      </c>
      <c r="DY75" s="6">
        <f>COUNTIFS(Table69[Country],Tabela1[[#This Row],[Country]],Table69[Omnium Classification],"&gt;0")</f>
        <v>0</v>
      </c>
      <c r="DZ75" s="6">
        <f>COUNTIFS(Table41[Country],Tabela1[[#This Row],[Country]],Table41[Omnium Classification],"&gt;0")</f>
        <v>0</v>
      </c>
      <c r="EA75" s="6">
        <f>COUNTIFS(Table9[Country],Tabela1[[#This Row],[Country]],Table9[Road Race Classification],"&gt;0")</f>
        <v>1</v>
      </c>
      <c r="EB75" s="6">
        <f>COUNTIFS(Table14[Country],Tabela1[[#This Row],[Country]],Table14[Road Race Classification],"&gt;0")</f>
        <v>1</v>
      </c>
      <c r="EC75" s="6">
        <f>COUNTIFS(Table69[Country],Tabela1[[#This Row],[Country]],Table69[Sprint Classification],"&gt;0")</f>
        <v>0</v>
      </c>
      <c r="ED75" s="6">
        <f>COUNTIFS(Table41[Country],Tabela1[[#This Row],[Country]],Table41[Sprint Classification],"&gt;0")</f>
        <v>0</v>
      </c>
      <c r="EE75" s="6">
        <f>COUNTIFS(Table85[Country],Tabela1[[#This Row],[Country]],Table85[Men''s Sprint Classification],"&gt;0")</f>
        <v>0</v>
      </c>
      <c r="EF75" s="6">
        <f>COUNTIFS(Table85[Country],Tabela1[[#This Row],[Country]],Table85[Women''s Sprint Classification],"&gt;0")</f>
        <v>0</v>
      </c>
      <c r="EG75" s="6">
        <f>COUNTIFS(Table85[Country],Tabela1[[#This Row],[Country]],Table85[Men''s Pursuit Classification],"&gt;0")</f>
        <v>0</v>
      </c>
      <c r="EH75" s="6">
        <f>COUNTIFS(Table85[Country],Tabela1[[#This Row],[Country]],Table85[Women''s Pursuit Classification],"&gt;0")</f>
        <v>0</v>
      </c>
      <c r="EI75" s="6">
        <f>COUNTIFS(Table9[Country],Tabela1[[#This Row],[Country]],Table9[Time-Trial Classification],"&gt;0")</f>
        <v>0</v>
      </c>
      <c r="EJ75" s="6">
        <f>COUNTIFS(Table14[Country],Tabela1[[#This Row],[Country]],Table14[Time-Trial Classification],"&gt;0")</f>
        <v>0</v>
      </c>
      <c r="EK75" s="6">
        <f>COUNTIFS(Table42[Country],Tabela1[[#This Row],[Country]],Table42[Springboard Classification],"&gt;0")</f>
        <v>0</v>
      </c>
      <c r="EL75" s="6">
        <f>COUNTIFS(Table43[Country],Tabela1[[#This Row],[Country]],Table43[Springboard Classification],"&gt;0")</f>
        <v>0</v>
      </c>
      <c r="EM75" s="6">
        <f>COUNTIFS(Table42[Country],Tabela1[[#This Row],[Country]],Table42[Platform Classification],"&gt;0")</f>
        <v>0</v>
      </c>
      <c r="EN75" s="6">
        <f>COUNTIFS(Table43[Country],Tabela1[[#This Row],[Country]],Table43[Platform Classification],"&gt;0")</f>
        <v>0</v>
      </c>
      <c r="EO75" s="6">
        <f>COUNTIFS(Table86[Country],Tabela1[[#This Row],[Country]],Table86[Men''s Synchronized Springboard Classification],"&gt;0")</f>
        <v>0</v>
      </c>
      <c r="EP75" s="6">
        <f>COUNTIFS(Table86[Country],Tabela1[[#This Row],[Country]],Table86[Women''s Synchronized Springboard Classification],"&gt;0")</f>
        <v>0</v>
      </c>
      <c r="EQ75" s="6">
        <f>COUNTIFS(Table86[Country],Tabela1[[#This Row],[Country]],Table86[Men''s Synchronized Platform Classification],"&gt;0")</f>
        <v>0</v>
      </c>
      <c r="ER75" s="6">
        <f>COUNTIFS(Table86[Country],Tabela1[[#This Row],[Country]],Table86[Women''s Synchronized Platform Classification],"&gt;0")</f>
        <v>0</v>
      </c>
      <c r="ES75" s="6">
        <f>COUNTIFS(Table44[Country],Tabela1[[#This Row],[Country]],Table44[Dressage Classification],"&gt;0")</f>
        <v>0</v>
      </c>
      <c r="ET75" s="6">
        <f>COUNTIFS(Table45[Country],Tabela1[[#This Row],[Country]],Table45[Dressage Classification],"&gt;0")</f>
        <v>0</v>
      </c>
      <c r="EU75" s="6">
        <f>COUNTIFS(Table44[Country],Tabela1[[#This Row],[Country]],Table44[Eventing Classification],"&gt;0")</f>
        <v>0</v>
      </c>
      <c r="EV75" s="6">
        <f>COUNTIFS(Table45[Country],Tabela1[[#This Row],[Country]],Table45[Eventing Classification],"&gt;0")</f>
        <v>0</v>
      </c>
      <c r="EW75" s="6">
        <f>COUNTIFS(Table44[Country],Tabela1[[#This Row],[Country]],Table44[Jumping Classification],"&gt;0")</f>
        <v>0</v>
      </c>
      <c r="EX75" s="6">
        <f>COUNTIFS(Table45[Country],Tabela1[[#This Row],[Country]],Table45[Jumping Classification],"&gt;0")</f>
        <v>0</v>
      </c>
      <c r="EY75" s="6">
        <f>COUNTIFS(Table10[Country],Tabela1[[#This Row],[Country]],Table10[Épée Classification],"&gt;0")</f>
        <v>0</v>
      </c>
      <c r="EZ75" s="6">
        <f>COUNTIFS(Table11[Country],Tabela1[[#This Row],[Country]],Table11[Épée Classification],"&gt;0")</f>
        <v>0</v>
      </c>
      <c r="FA75" s="6">
        <f>COUNTIFS(Table46[Country],Tabela1[[#This Row],[Country]],Table46[Men''s Épée Classification],"&gt;0")</f>
        <v>0</v>
      </c>
      <c r="FB75" s="6">
        <f>COUNTIFS(Table46[Country],Tabela1[[#This Row],[Country]],Table46[Women''s Épée Classification],"&gt;0")</f>
        <v>0</v>
      </c>
      <c r="FC75" s="6">
        <f>COUNTIFS(Table10[Country],Tabela1[[#This Row],[Country]],Table10[Foil Classification],"&gt;0")</f>
        <v>0</v>
      </c>
      <c r="FD75" s="6">
        <f>COUNTIFS(Table11[Country],Tabela1[[#This Row],[Country]],Table11[Foil Classification],"&gt;0")</f>
        <v>0</v>
      </c>
      <c r="FE75" s="6">
        <f>COUNTIFS(Table46[Country],Tabela1[[#This Row],[Country]],Table46[Men''s Foil Classification],"&gt;0")</f>
        <v>0</v>
      </c>
      <c r="FF75" s="6">
        <f>COUNTIFS(Table46[Country],Tabela1[[#This Row],[Country]],Table46[Women''s Foil Classification],"&gt;0")</f>
        <v>0</v>
      </c>
      <c r="FG75" s="6">
        <f>COUNTIFS(Table10[Country],Tabela1[[#This Row],[Country]],Table10[Sabre Classification],"&gt;0")</f>
        <v>0</v>
      </c>
      <c r="FH75" s="6">
        <f>COUNTIFS(Table11[Country],Tabela1[[#This Row],[Country]],Table11[Sabre Classification],"&gt;0")</f>
        <v>0</v>
      </c>
      <c r="FI75" s="6">
        <f>COUNTIFS(Table46[Country],Tabela1[[#This Row],[Country]],Table46[Men''s Sabre Classification],"&gt;0")</f>
        <v>0</v>
      </c>
      <c r="FJ75" s="6">
        <f>COUNTIFS(Table46[Country],Tabela1[[#This Row],[Country]],Table46[Women''s Sabre Classification],"&gt;0")</f>
        <v>0</v>
      </c>
      <c r="FK75" s="6">
        <f>COUNTIFS(Table91[Country],Tabela1[[#This Row],[Country]],Table91[Men''s Classification],"&gt;0")</f>
        <v>0</v>
      </c>
      <c r="FL75" s="6">
        <f>COUNTIFS(Table91[Country],Tabela1[[#This Row],[Country]],Table91[Women''s Classification],"&gt;0")</f>
        <v>0</v>
      </c>
      <c r="FM75" s="6">
        <f>COUNTIFS(Table9194[Country],Tabela1[[#This Row],[Country]],Table9194[Men''s Classification],"&gt;0")</f>
        <v>0</v>
      </c>
      <c r="FN75" s="6">
        <f>COUNTIFS(Table9194[Country],Tabela1[[#This Row],[Country]],Table9194[Women''s Classification],"&gt;0")</f>
        <v>0</v>
      </c>
      <c r="FO75" s="6">
        <f>COUNTIFS(Table71[Country],Tabela1[[#This Row],[Country]],Table71[Classification],"&gt;0")</f>
        <v>0</v>
      </c>
      <c r="FP75" s="6">
        <f>COUNTIFS(Table62[Country],Tabela1[[#This Row],[Country]],Table62[Classification],"&gt;0")</f>
        <v>0</v>
      </c>
      <c r="FQ75" s="6">
        <f>COUNTIFS(Table47[Country],Tabela1[[#This Row],[Country]],Table47[All-Around Classification],"&gt;0")</f>
        <v>0</v>
      </c>
      <c r="FR75" s="6">
        <f>COUNTIFS(Table48[Country],Tabela1[[#This Row],[Country]],Table48[All-Around Classification],"&gt;0")</f>
        <v>0</v>
      </c>
      <c r="FS75" s="6">
        <f>COUNTIFS(Table81[Country],Tabela1[[#This Row],[Country]],Table81[Men''s All-Around Classification],"&gt;0")</f>
        <v>0</v>
      </c>
      <c r="FT75" s="6">
        <f>COUNTIFS(Table81[Country],Tabela1[[#This Row],[Country]],Table81[Women''s All-Around Classification],"&gt;0")</f>
        <v>0</v>
      </c>
      <c r="FU75" s="6">
        <f>COUNTIFS(Table48[Country],Tabela1[[#This Row],[Country]],Table48[Balance Beam Classification],"&gt;0")</f>
        <v>0</v>
      </c>
      <c r="FV75" s="6">
        <f>COUNTIFS(Table47[Country],Tabela1[[#This Row],[Country]],Table47[Floor Exercise Classification],"&gt;0")</f>
        <v>0</v>
      </c>
      <c r="FW75" s="6">
        <f>COUNTIFS(Table48[Country],Tabela1[[#This Row],[Country]],Table48[Floor Exercise Classification],"&gt;0")</f>
        <v>0</v>
      </c>
      <c r="FX75" s="6">
        <f>COUNTIFS(Table47[Country],Tabela1[[#This Row],[Country]],Table47[Horizontal Bar Classification],"&gt;0")</f>
        <v>0</v>
      </c>
      <c r="FY75" s="6">
        <f>COUNTIFS(Table47[Country],Tabela1[[#This Row],[Country]],Table47[Parallel Bars Classification],"&gt;0")</f>
        <v>0</v>
      </c>
      <c r="FZ75" s="6">
        <f>COUNTIFS(Table47[Country],Tabela1[[#This Row],[Country]],Table47[Pommel Horse Classification],"&gt;0")</f>
        <v>0</v>
      </c>
      <c r="GA75" s="6">
        <f>COUNTIFS(Table47[Country],Tabela1[[#This Row],[Country]],Table47[Rings Classification],"&gt;0")</f>
        <v>0</v>
      </c>
      <c r="GB75" s="6">
        <f>COUNTIFS(Tabela132[Country],Tabela1[[#This Row],[Country]],Tabela132[Classification],"&gt;0")</f>
        <v>0</v>
      </c>
      <c r="GC75" s="6">
        <f>COUNTIFS(Tabela139[Country],Tabela1[[#This Row],[Country]],Tabela139[Classification],"&gt;0")</f>
        <v>0</v>
      </c>
      <c r="GD75" s="6">
        <f>COUNTIFS(Table48[Country],Tabela1[[#This Row],[Country]],Table48[Uneven Bars Classification],"&gt;0")</f>
        <v>0</v>
      </c>
      <c r="GE75" s="6">
        <f>COUNTIFS(Table47[Country],Tabela1[[#This Row],[Country]],Table47[Vault Classification],"&gt;0")</f>
        <v>0</v>
      </c>
      <c r="GF75" s="6">
        <f>COUNTIFS(Table48[Country],Tabela1[[#This Row],[Country]],Table48[Vault Classification],"&gt;0")</f>
        <v>0</v>
      </c>
      <c r="GG75" s="6">
        <f>COUNTIFS(Table919496[Country],Tabela1[[#This Row],[Country]],Table919496[Men''s Classification],"&gt;0")</f>
        <v>0</v>
      </c>
      <c r="GH75" s="6">
        <f>COUNTIFS(Table919496[Country],Tabela1[[#This Row],[Country]],Table919496[Women''s Classification],"&gt;0")</f>
        <v>0</v>
      </c>
      <c r="GI75" s="6">
        <f>COUNTIFS(Table12[Country],Tabela1[[#This Row],[Country]],Table12[60kg Classification],"&gt;0")</f>
        <v>0</v>
      </c>
      <c r="GJ75" s="6">
        <f>COUNTIFS(Table12[Country],Tabela1[[#This Row],[Country]],Table12[66kg Classification],"&gt;0")</f>
        <v>0</v>
      </c>
      <c r="GK75" s="6">
        <f>COUNTIFS(Table12[Country],Tabela1[[#This Row],[Country]],Table12[73kg Classification],"&gt;0")</f>
        <v>0</v>
      </c>
      <c r="GL75" s="6">
        <f>COUNTIFS(Table12[Country],Tabela1[[#This Row],[Country]],Table12[81kg Classification],"&gt;0")</f>
        <v>0</v>
      </c>
      <c r="GM75" s="6">
        <f>COUNTIFS(Table12[Country],Tabela1[[#This Row],[Country]],Table12[90kg Classification],"&gt;0")</f>
        <v>0</v>
      </c>
      <c r="GN75" s="6">
        <f>COUNTIFS(Table12[Country],Tabela1[[#This Row],[Country]],Table12[100kg Classification],"&gt;0")</f>
        <v>0</v>
      </c>
      <c r="GO75" s="6">
        <f>COUNTIFS(Table12[Country],Tabela1[[#This Row],[Country]],Table12[Plus 100kg Classification],"&gt;0")</f>
        <v>0</v>
      </c>
      <c r="GP75" s="6">
        <f>COUNTIFS(Table13[Country],Tabela1[[#This Row],[Country]],Table13[48kg Classification],"&gt;0")</f>
        <v>0</v>
      </c>
      <c r="GQ75" s="6">
        <f>COUNTIFS(Table13[Country],Tabela1[[#This Row],[Country]],Table13[52kg Classification],"&gt;0")</f>
        <v>0</v>
      </c>
      <c r="GR75" s="6">
        <f>COUNTIFS(Table13[Country],Tabela1[[#This Row],[Country]],Table13[57kg Classification],"&gt;0")</f>
        <v>0</v>
      </c>
      <c r="GS75" s="6">
        <f>COUNTIFS(Table13[Country],Tabela1[[#This Row],[Country]],Table13[63kg Classification],"&gt;0")</f>
        <v>0</v>
      </c>
      <c r="GT75" s="6">
        <f>COUNTIFS(Table13[Country],Tabela1[[#This Row],[Country]],Table13[70kg Classification],"&gt;0")</f>
        <v>0</v>
      </c>
      <c r="GU75" s="6">
        <f>COUNTIFS(Table13[Country],Tabela1[[#This Row],[Country]],Table13[78kg Classification],"&gt;0")</f>
        <v>0</v>
      </c>
      <c r="GV75" s="6">
        <f>COUNTIFS(Table13[Country],Tabela1[[#This Row],[Country]],Table13[Plus 78kg Classification],"&gt;0")</f>
        <v>0</v>
      </c>
      <c r="GW75" s="6">
        <f>COUNTIFS(Table82[Country],Tabela1[[#This Row],[Country]],Table82[Mixed Classification],"&gt;0")</f>
        <v>0</v>
      </c>
      <c r="GX75" s="6">
        <f>COUNTIFS(Table51[Country],Tabela1[[#This Row],[Country]],Table51[Classification],"&gt;0")</f>
        <v>0</v>
      </c>
      <c r="GY75" s="6">
        <f>COUNTIFS(Table52[Country],Tabela1[[#This Row],[Country]],Table52[Classification],"&gt;0")</f>
        <v>0</v>
      </c>
      <c r="GZ75" s="6">
        <f>COUNTIFS(Table32[Country],Tabela1[[#This Row],[Country]],Table32[All-Around Classification],"&gt;0")</f>
        <v>0</v>
      </c>
      <c r="HA75" s="6">
        <f>COUNTIFS(Table49[Country],Tabela1[[#This Row],[Country]],Table49[All-Around Classification],"&gt;0")</f>
        <v>0</v>
      </c>
      <c r="HB75" s="6">
        <f>COUNTIFS(Table26[Country],Tabela1[[#This Row],[Country]],Table26[Single Sculls Classification],"&gt;0")</f>
        <v>0</v>
      </c>
      <c r="HC75" s="6">
        <f>COUNTIFS(Table63[Country],Tabela1[[#This Row],[Country]],Table63[Single Sculls Classification],"&gt;0")</f>
        <v>0</v>
      </c>
      <c r="HD75" s="6">
        <f>COUNTIFS(Table16[Country],Tabela1[[#This Row],[Country]],Table16[Men''s Double Sculls Classification],"&gt;0")</f>
        <v>0</v>
      </c>
      <c r="HE75" s="6">
        <f>COUNTIFS(Table16[Country],Tabela1[[#This Row],[Country]],Table16[Women''s Double Sculls Classification],"&gt;0")</f>
        <v>0</v>
      </c>
      <c r="HF75" s="6">
        <f>COUNTIFS(Table72[Country],Tabela1[[#This Row],[Country]],Table72[Men''s Quadruple Sculls Classification],"&gt;0")</f>
        <v>0</v>
      </c>
      <c r="HG75" s="6">
        <f>COUNTIFS(Table72[Country],Tabela1[[#This Row],[Country]],Table72[Women''s Quadruple Sculls Classification],"&gt;0")</f>
        <v>0</v>
      </c>
      <c r="HH75" s="6">
        <f>COUNTIFS(Table16[Country],Tabela1[[#This Row],[Country]],Table16[Men''s Coxless Pairs Classification],"&gt;0")</f>
        <v>0</v>
      </c>
      <c r="HI75" s="6">
        <f>COUNTIFS(Table16[Country],Tabela1[[#This Row],[Country]],Table16[Women''s Coxless Pairs Classification],"&gt;0")</f>
        <v>0</v>
      </c>
      <c r="HJ75" s="6">
        <f>COUNTIFS(Table72[Country],Tabela1[[#This Row],[Country]],Table72[Men''s Coxless Fours Classification],"&gt;0")</f>
        <v>0</v>
      </c>
      <c r="HK75" s="6">
        <f>COUNTIFS(Table72[Country],Tabela1[[#This Row],[Country]],Table72[Women''s Coxless Fours Classification],"&gt;0")</f>
        <v>0</v>
      </c>
      <c r="HL75" s="6">
        <f>COUNTIFS(Table72[Country],Tabela1[[#This Row],[Country]],Table72[Men''s Eights Classification],"&gt;0")</f>
        <v>0</v>
      </c>
      <c r="HM75" s="6">
        <f>COUNTIFS(Table72[Country],Tabela1[[#This Row],[Country]],Table72[Women''s Eights Classification],"&gt;0")</f>
        <v>0</v>
      </c>
      <c r="HN75" s="6">
        <f>COUNTIFS(Table16[Country],Tabela1[[#This Row],[Country]],Table16[Men''s Lwt. Double Sculls Classification],"&gt;0")</f>
        <v>0</v>
      </c>
      <c r="HO75" s="6">
        <f>COUNTIFS(Table16[Country],Tabela1[[#This Row],[Country]],Table16[Women''s Lwt. Double Sculls Classification],"&gt;0")</f>
        <v>0</v>
      </c>
      <c r="HP75" s="6">
        <f>COUNTIFS(Table91949698[Country],Tabela1[[#This Row],[Country]],Table91949698[Men''s Classification],"&gt;0")</f>
        <v>0</v>
      </c>
      <c r="HQ75" s="6">
        <f>COUNTIFS(Table91949698[Country],Tabela1[[#This Row],[Country]],Table91949698[Women''s Classification],"&gt;0")</f>
        <v>0</v>
      </c>
      <c r="HR75" s="6">
        <f>COUNTIFS(Table25[Country],Tabela1[[#This Row],[Country]],Table25[Mixed 470 Classification],"&gt;0")</f>
        <v>0</v>
      </c>
      <c r="HS75" s="6">
        <f>COUNTIFS(Table25[Country],Tabela1[[#This Row],[Country]],Table25[Men''s 49er Classification],"&gt;0")</f>
        <v>0</v>
      </c>
      <c r="HT75" s="6">
        <f>COUNTIFS(Table25[Country],Tabela1[[#This Row],[Country]],Table25[Women''s 49er FX Classification],"&gt;0")</f>
        <v>0</v>
      </c>
      <c r="HU75" s="6">
        <f>COUNTIFS(Table17[Country],Tabela1[[#This Row],[Country]],Table17[Formula Kite Classification],"&gt;0")</f>
        <v>0</v>
      </c>
      <c r="HV75" s="6">
        <f>COUNTIFS(Table18[Country],Tabela1[[#This Row],[Country]],Table18[Formula Kite Classification],"&gt;0")</f>
        <v>0</v>
      </c>
      <c r="HW75" s="6">
        <f>COUNTIFS(Table17[Country],Tabela1[[#This Row],[Country]],Table17[ILCA 7 Classification],"&gt;0")</f>
        <v>0</v>
      </c>
      <c r="HX75" s="6">
        <f>COUNTIFS(Table18[Country],Tabela1[[#This Row],[Country]],Table18[ILCA 6 Classification],"&gt;0")</f>
        <v>0</v>
      </c>
      <c r="HY75" s="6">
        <f>COUNTIFS(Table17[Country],Tabela1[[#This Row],[Country]],Table17[IQFoil Classification],"&gt;0")</f>
        <v>0</v>
      </c>
      <c r="HZ75" s="6">
        <f>COUNTIFS(Table18[Country],Tabela1[[#This Row],[Country]],Table18[IQFoil Classification],"&gt;0")</f>
        <v>0</v>
      </c>
      <c r="IA75" s="6">
        <f>COUNTIFS(Table25[Country],Tabela1[[#This Row],[Country]],Table25[Mixed Nacra 17 Classification],"&gt;0")</f>
        <v>0</v>
      </c>
      <c r="IB75" s="6">
        <f>COUNTIFS(Table53[Country],Tabela1[[#This Row],[Country]],Table53[10m Air Pistol Classification],"&gt;0")</f>
        <v>0</v>
      </c>
      <c r="IC75" s="6">
        <f>COUNTIFS(Table19[Country],Tabela1[[#This Row],[Country]],Table19[10m Air Pistol Classification],"&gt;0")</f>
        <v>0</v>
      </c>
      <c r="ID75" s="6">
        <f>COUNTIFS(Table54[Country],Tabela1[[#This Row],[Country]],Table54[Mixed 10m Air Pistol Team Classification],"&gt;0")</f>
        <v>0</v>
      </c>
      <c r="IE75" s="6">
        <f>COUNTIFS(Table53[Country],Tabela1[[#This Row],[Country]],Table53[10m Air Rifle Classification],"&gt;0")</f>
        <v>0</v>
      </c>
      <c r="IF75" s="6">
        <f>COUNTIFS(Table19[Country],Tabela1[[#This Row],[Country]],Table19[10m Air Rifle Classification],"&gt;0")</f>
        <v>0</v>
      </c>
      <c r="IG75" s="6">
        <f>COUNTIFS(Table54[Country],Tabela1[[#This Row],[Country]],Table54[Mixed 10m Air Rifle Team Classification],"&gt;0")</f>
        <v>0</v>
      </c>
      <c r="IH75" s="6">
        <f>COUNTIFS(Table53[Country],Tabela1[[#This Row],[Country]],Table53[25m Rapid Fire Pistol Classification],"&gt;0")</f>
        <v>0</v>
      </c>
      <c r="II75" s="6">
        <f>COUNTIFS(Table19[Country],Tabela1[[#This Row],[Country]],Table19[25m Pistol Classification],"&gt;0")</f>
        <v>0</v>
      </c>
      <c r="IJ75" s="6">
        <f>COUNTIFS(Table53[Country],Tabela1[[#This Row],[Country]],Table53[50m Rifle 3 Positions Classification],"&gt;0")</f>
        <v>0</v>
      </c>
      <c r="IK75" s="6">
        <f>COUNTIFS(Table19[Country],Tabela1[[#This Row],[Country]],Table19[50m Rifle 3 Positions Classification],"&gt;0")</f>
        <v>0</v>
      </c>
      <c r="IL75" s="6">
        <f>COUNTIFS(Table53[Country],Tabela1[[#This Row],[Country]],Table53[Skeet Classification],"&gt;0")</f>
        <v>0</v>
      </c>
      <c r="IM75" s="6">
        <f>COUNTIFS(Table19[Country],Tabela1[[#This Row],[Country]],Table19[Skeet Classification],"&gt;0")</f>
        <v>0</v>
      </c>
      <c r="IN75" s="6">
        <f>COUNTIFS(Table54[Country],Tabela1[[#This Row],[Country]],Table54[Mixed Skeet Team Classification],"&gt;0")</f>
        <v>0</v>
      </c>
      <c r="IO75" s="6">
        <f>COUNTIFS(Table53[Country],Tabela1[[#This Row],[Country]],Table53[Trap Classification],"&gt;0")</f>
        <v>0</v>
      </c>
      <c r="IP75" s="6">
        <f>COUNTIFS(Table19[Country],Tabela1[[#This Row],[Country]],Table19[Trap Classification],"&gt;0")</f>
        <v>0</v>
      </c>
      <c r="IQ75" s="6">
        <f>COUNTIFS(Table73[Country],Tabela1[[#This Row],[Country]],Table73[Park Classification],"&gt;0")</f>
        <v>0</v>
      </c>
      <c r="IR75" s="6">
        <f>COUNTIFS(Table74[Country],Tabela1[[#This Row],[Country]],Table74[Park Classification],"&gt;0")</f>
        <v>0</v>
      </c>
      <c r="IS75" s="6">
        <f>COUNTIFS(Table73[Country],Tabela1[[#This Row],[Country]],Table73[Street Classification],"&gt;0")</f>
        <v>0</v>
      </c>
      <c r="IT75" s="6">
        <f>COUNTIFS(Table74[Country],Tabela1[[#This Row],[Country]],Table74[Street Classification],"&gt;0")</f>
        <v>0</v>
      </c>
      <c r="IU75" s="6">
        <f>COUNTIFS(Table75[Country],Tabela1[[#This Row],[Country]],Table75[Boulder and Lead Classification],"&gt;0")</f>
        <v>0</v>
      </c>
      <c r="IV75" s="6">
        <f>COUNTIFS(Table76[Country],Tabela1[[#This Row],[Country]],Table76[Boulder and Lead Classification],"&gt;0")</f>
        <v>0</v>
      </c>
      <c r="IW75" s="6">
        <f>COUNTIFS(Table75[Country],Tabela1[[#This Row],[Country]],Table75[Speed Classification],"&gt;0")</f>
        <v>0</v>
      </c>
      <c r="IX75" s="6">
        <f>COUNTIFS(Table76[Country],Tabela1[[#This Row],[Country]],Table76[Speed Classification],"&gt;0")</f>
        <v>0</v>
      </c>
      <c r="IY75" s="6">
        <f>COUNTIFS(Table64[Country],Tabela1[[#This Row],[Country]],Table64[Shortboard Classification],"&gt;0")</f>
        <v>0</v>
      </c>
      <c r="IZ75" s="6">
        <f>COUNTIFS(Table77[Country],Tabela1[[#This Row],[Country]],Table77[Shortboard Classification],"&gt;0")</f>
        <v>0</v>
      </c>
      <c r="JA75" s="6">
        <f>COUNTIFS(Table20[Country],Tabela1[[#This Row],[Country]],Table20[50m Freestyle Classification],"&gt;0")</f>
        <v>0</v>
      </c>
      <c r="JB75" s="6">
        <f>COUNTIFS(Table21[Country],Tabela1[[#This Row],[Country]],Table21[50m Freestyle Classification],"&gt;0")</f>
        <v>0</v>
      </c>
      <c r="JC75" s="6">
        <f>COUNTIFS(Table20[Country],Tabela1[[#This Row],[Country]],Table20[100m Freestyle Classification],"&gt;0")</f>
        <v>0</v>
      </c>
      <c r="JD75" s="6">
        <f>COUNTIFS(Table21[Country],Tabela1[[#This Row],[Country]],Table21[100m Freestyle Classification],"&gt;0")</f>
        <v>0</v>
      </c>
      <c r="JE75" s="6">
        <f>COUNTIFS(Table20[Country],Tabela1[[#This Row],[Country]],Table20[200m Freestyle Classification],"&gt;0")</f>
        <v>0</v>
      </c>
      <c r="JF75" s="6">
        <f>COUNTIFS(Table21[Country],Tabela1[[#This Row],[Country]],Table21[200m Freestyle Classification],"&gt;0")</f>
        <v>0</v>
      </c>
      <c r="JG75" s="6">
        <f>COUNTIFS(Table20[Country],Tabela1[[#This Row],[Country]],Table20[400m Freestyle Classification],"&gt;0")</f>
        <v>0</v>
      </c>
      <c r="JH75" s="6">
        <f>COUNTIFS(Table21[Country],Tabela1[[#This Row],[Country]],Table21[400m Freestyle Classification],"&gt;0")</f>
        <v>0</v>
      </c>
      <c r="JI75" s="6">
        <f>COUNTIFS(Table20[Country],Tabela1[[#This Row],[Country]],Table20[800m Freestyle Classification],"&gt;0")</f>
        <v>0</v>
      </c>
      <c r="JJ75" s="6">
        <f>COUNTIFS(Table21[Country],Tabela1[[#This Row],[Country]],Table21[800m Freestyle Classification],"&gt;0")</f>
        <v>0</v>
      </c>
      <c r="JK75" s="6">
        <f>COUNTIFS(Table20[Country],Tabela1[[#This Row],[Country]],Table20[1500m Freestyle Classification],"&gt;0")</f>
        <v>0</v>
      </c>
      <c r="JL75" s="6">
        <f>COUNTIFS(Table21[Country],Tabela1[[#This Row],[Country]],Table21[1500m Freestyle Classification],"&gt;0")</f>
        <v>0</v>
      </c>
      <c r="JM75" s="6">
        <f>COUNTIFS(Table20[Country],Tabela1[[#This Row],[Country]],Table20[100m Backstroke Classification],"&gt;0")</f>
        <v>0</v>
      </c>
      <c r="JN75" s="6">
        <f>COUNTIFS(Table21[Country],Tabela1[[#This Row],[Country]],Table21[100m Backstroke Classification],"&gt;0")</f>
        <v>0</v>
      </c>
      <c r="JO75" s="6">
        <f>COUNTIFS(Table20[Country],Tabela1[[#This Row],[Country]],Table20[200m Backstroke Classification],"&gt;0")</f>
        <v>0</v>
      </c>
      <c r="JP75" s="6">
        <f>COUNTIFS(Table21[Country],Tabela1[[#This Row],[Country]],Table21[200m Backstroke Classification],"&gt;0")</f>
        <v>0</v>
      </c>
      <c r="JQ75" s="6">
        <f>COUNTIFS(Table20[Country],Tabela1[[#This Row],[Country]],Table20[100m Breaststroke Classification],"&gt;0")</f>
        <v>0</v>
      </c>
      <c r="JR75" s="6">
        <f>COUNTIFS(Table21[Country],Tabela1[[#This Row],[Country]],Table21[100m Breaststroke Classification],"&gt;0")</f>
        <v>0</v>
      </c>
      <c r="JS75" s="6">
        <f>COUNTIFS(Table20[Country],Tabela1[[#This Row],[Country]],Table20[200m Breaststroke Classification],"&gt;0")</f>
        <v>0</v>
      </c>
      <c r="JT75" s="6">
        <f>COUNTIFS(Table21[Country],Tabela1[[#This Row],[Country]],Table21[200m Breaststroke Classification],"&gt;0")</f>
        <v>0</v>
      </c>
      <c r="JU75" s="6">
        <f>COUNTIFS(Table20[Country],Tabela1[[#This Row],[Country]],Table20[100m Butterfly Classification],"&gt;0")</f>
        <v>0</v>
      </c>
      <c r="JV75" s="6">
        <f>COUNTIFS(Table21[Country],Tabela1[[#This Row],[Country]],Table21[100m Butterfly Classification],"&gt;0")</f>
        <v>0</v>
      </c>
      <c r="JW75" s="6">
        <f>COUNTIFS(Table20[Country],Tabela1[[#This Row],[Country]],Table20[200m Butterfly Classification],"&gt;0")</f>
        <v>0</v>
      </c>
      <c r="JX75" s="6">
        <f>COUNTIFS(Table21[Country],Tabela1[[#This Row],[Country]],Table21[200m Butterfly Classification],"&gt;0")</f>
        <v>0</v>
      </c>
      <c r="JY75" s="6">
        <f>COUNTIFS(Table20[Country],Tabela1[[#This Row],[Country]],Table20[200m Medley Classification],"&gt;0")</f>
        <v>0</v>
      </c>
      <c r="JZ75" s="6">
        <f>COUNTIFS(Table21[Country],Tabela1[[#This Row],[Country]],Table21[200m Medley Classification],"&gt;0")</f>
        <v>0</v>
      </c>
      <c r="KA75" s="6">
        <f>COUNTIFS(Table20[Country],Tabela1[[#This Row],[Country]],Table20[400m Medley Classification],"&gt;0")</f>
        <v>0</v>
      </c>
      <c r="KB75" s="6">
        <f>COUNTIFS(Table21[Country],Tabela1[[#This Row],[Country]],Table21[400m Medley Classification],"&gt;0")</f>
        <v>0</v>
      </c>
      <c r="KC75" s="6">
        <f>COUNTIFS(Table78[Country],Tabela1[[#This Row],[Country]],Table78[Men''s 4x100m Freestyle Relay Classification],"&gt;0")</f>
        <v>0</v>
      </c>
      <c r="KD75" s="6">
        <f>COUNTIFS(Table78[Country],Tabela1[[#This Row],[Country]],Table78[Women''s 4x100m Freestyle Relay Classification],"&gt;0")</f>
        <v>0</v>
      </c>
      <c r="KE75" s="6">
        <f>COUNTIFS(Table78[Country],Tabela1[[#This Row],[Country]],Table78[Men''s 4x200m Freestyle Relay Classification],"&gt;0")</f>
        <v>0</v>
      </c>
      <c r="KF75" s="6">
        <f>COUNTIFS(Table78[Country],Tabela1[[#This Row],[Country]],Table78[Women''s 4x200m Freestyle Relay Classification],"&gt;0")</f>
        <v>0</v>
      </c>
      <c r="KG75" s="6">
        <f>COUNTIFS(Table78[Country],Tabela1[[#This Row],[Country]],Table78[Men''s 4x100m Medley Relay Classification],"&gt;0")</f>
        <v>0</v>
      </c>
      <c r="KH75" s="6">
        <f>COUNTIFS(Table78[Country],Tabela1[[#This Row],[Country]],Table78[Women''s 4x100m Medley Relay Classification],"&gt;0")</f>
        <v>0</v>
      </c>
      <c r="KI75" s="6">
        <f>COUNTIFS(Table78[Country],Tabela1[[#This Row],[Country]],Table78[Mixed 4x100m Medley Relay Classification],"&gt;0")</f>
        <v>0</v>
      </c>
      <c r="KJ75" s="6">
        <f>COUNTIFS(Table20[Country],Tabela1[[#This Row],[Country]],Table20[10km Open Water Classification],"&gt;0")</f>
        <v>0</v>
      </c>
      <c r="KK75" s="6">
        <f>COUNTIFS(Table21[Country],Tabela1[[#This Row],[Country]],Table21[10km Open Water Classification],"&gt;0")</f>
        <v>0</v>
      </c>
      <c r="KL75" s="6">
        <f>COUNTIFS(Table22[Country],Tabela1[[#This Row],[Country]],Table22[Classification],"&gt;0")</f>
        <v>1</v>
      </c>
      <c r="KM75" s="6">
        <f>COUNTIFS(Table30[Country],Tabela1[[#This Row],[Country]],Table30[Classification],"&gt;0")</f>
        <v>1</v>
      </c>
      <c r="KN75" s="6">
        <f>COUNTIFS(Table55[Country],Tabela1[[#This Row],[Country]],Table55[Men''s Classification],"&gt;0")</f>
        <v>0</v>
      </c>
      <c r="KO75" s="6">
        <f>COUNTIFS(Table55[Country],Tabela1[[#This Row],[Country]],Table55[Women''s Classification],"&gt;0")</f>
        <v>0</v>
      </c>
      <c r="KP75" s="6">
        <f>COUNTIFS(Table56[Country],Tabela1[[#This Row],[Country]],Table56[Mixed Classification],"&gt;0")</f>
        <v>0</v>
      </c>
      <c r="KQ75" s="6">
        <f>COUNTIFS(Table29[Country],Tabela1[[#This Row],[Country]],Table29[58kg Classification],"&gt;0")</f>
        <v>0</v>
      </c>
      <c r="KR75" s="6">
        <f>COUNTIFS(Table29[Country],Tabela1[[#This Row],[Country]],Table29[68kg Classification],"&gt;0")</f>
        <v>0</v>
      </c>
      <c r="KS75" s="6">
        <f>COUNTIFS(Table29[Country],Tabela1[[#This Row],[Country]],Table29[80kg Classification],"&gt;0")</f>
        <v>0</v>
      </c>
      <c r="KT75" s="6">
        <f>COUNTIFS(Table29[Country],Tabela1[[#This Row],[Country]],Table29[Plus 80kg Classification],"&gt;0")</f>
        <v>0</v>
      </c>
      <c r="KU75" s="6">
        <f>COUNTIFS(Table34[Country],Tabela1[[#This Row],[Country]],Table34[49kg Classification],"&gt;0")</f>
        <v>0</v>
      </c>
      <c r="KV75" s="6">
        <f>COUNTIFS(Table34[Country],Tabela1[[#This Row],[Country]],Table34[57kg Classification],"&gt;0")</f>
        <v>0</v>
      </c>
      <c r="KW75" s="6">
        <f>COUNTIFS(Table34[Country],Tabela1[[#This Row],[Country]],Table34[67kg Classification],"&gt;0")</f>
        <v>0</v>
      </c>
      <c r="KX75" s="6">
        <f>COUNTIFS(Table34[Country],Tabela1[[#This Row],[Country]],Table34[Plus 67kg Classification],"&gt;0")</f>
        <v>0</v>
      </c>
      <c r="KY75" s="6">
        <f>COUNTIFS(Table57[Country],Tabela1[[#This Row],[Country]],Table57[Classification],"&gt;0")</f>
        <v>0</v>
      </c>
      <c r="KZ75" s="6">
        <f>COUNTIFS(Table58[Country],Tabela1[[#This Row],[Country]],Table58[Classification],"&gt;0")</f>
        <v>0</v>
      </c>
      <c r="LA75" s="6">
        <f>COUNTIFS(Table79[Country],Tabela1[[#This Row],[Country]],Table79[Men''s Classification],"&gt;0")</f>
        <v>0</v>
      </c>
      <c r="LB75" s="6">
        <f>COUNTIFS(Table79[Country],Tabela1[[#This Row],[Country]],Table79[Women''s Classification],"&gt;0")</f>
        <v>0</v>
      </c>
      <c r="LC75" s="6">
        <f>COUNTIFS(Table79[Country],Tabela1[[#This Row],[Country]],Table79[Mixed Classification],"&gt;0")</f>
        <v>0</v>
      </c>
      <c r="LD75" s="6">
        <f>COUNTIFS(Table65[Country],Tabela1[[#This Row],[Country]],Table65[Classification],"&gt;0")</f>
        <v>0</v>
      </c>
      <c r="LE75" s="6">
        <f>COUNTIFS(Table59[Country],Tabela1[[#This Row],[Country]],Table59[Classification],"&gt;0")</f>
        <v>0</v>
      </c>
      <c r="LF75" s="6">
        <f>COUNTIFS(Table87[Country],Tabela1[[#This Row],[Country]],Table87[Mixed Relay Classification],"&gt;0")</f>
        <v>0</v>
      </c>
      <c r="LG75" s="6">
        <f>COUNTIFS(Table91949698100[Country],Tabela1[[#This Row],[Country]],Table91949698100[Men''s Classification],"&gt;0")</f>
        <v>0</v>
      </c>
      <c r="LH75" s="6">
        <f>COUNTIFS(Table91949698100[Country],Tabela1[[#This Row],[Country]],Table91949698100[Women''s Classification],"&gt;0")</f>
        <v>0</v>
      </c>
      <c r="LI75" s="6">
        <f>COUNTIFS(Table91949698100102[Country],Tabela1[[#This Row],[Country]],Table91949698100102[Men''s Classification],"&gt;0")</f>
        <v>0</v>
      </c>
      <c r="LJ75" s="6">
        <f>COUNTIFS(Table91949698100102[Country],Tabela1[[#This Row],[Country]],Table91949698100102[Women''s Classification],"&gt;0")</f>
        <v>0</v>
      </c>
      <c r="LK75" s="6">
        <f>COUNTIFS(Table23[Country],Tabela1[[#This Row],[Country]],Table23[61kg Classification],"&gt;0")</f>
        <v>0</v>
      </c>
      <c r="LL75" s="6">
        <f>COUNTIFS(Table23[Country],Tabela1[[#This Row],[Country]],Table23[73kg Classification],"&gt;0")</f>
        <v>0</v>
      </c>
      <c r="LM75" s="6">
        <f>COUNTIFS(Table23[Country],Tabela1[[#This Row],[Country]],Table23[89kg Classification],"&gt;0")</f>
        <v>0</v>
      </c>
      <c r="LN75" s="6">
        <f>COUNTIFS(Table23[Country],Tabela1[[#This Row],[Country]],Table23[102kg Classification],"&gt;0")</f>
        <v>0</v>
      </c>
      <c r="LO75" s="6">
        <f>COUNTIFS(Table23[Country],Tabela1[[#This Row],[Country]],Table23[Plus 102kg Classification],"&gt;0")</f>
        <v>0</v>
      </c>
      <c r="LP75" s="6">
        <f>COUNTIFS(Table28[Country],Tabela1[[#This Row],[Country]],Table28[49kg Classification],"&gt;0")</f>
        <v>0</v>
      </c>
      <c r="LQ75" s="6">
        <f>COUNTIFS(Table28[Country],Tabela1[[#This Row],[Country]],Table28[59kg Classification],"&gt;0")</f>
        <v>0</v>
      </c>
      <c r="LR75" s="6">
        <f>COUNTIFS(Table28[Country],Tabela1[[#This Row],[Country]],Table28[71kg Classification],"&gt;0")</f>
        <v>0</v>
      </c>
      <c r="LS75" s="6">
        <f>COUNTIFS(Table28[Country],Tabela1[[#This Row],[Country]],Table28[81kg Classification],"&gt;0")</f>
        <v>0</v>
      </c>
      <c r="LT75" s="6">
        <f>COUNTIFS(Table28[Country],Tabela1[[#This Row],[Country]],Table28[Plus 81kg Classification],"&gt;0")</f>
        <v>0</v>
      </c>
      <c r="LU75" s="6">
        <f>COUNTIFS(Table24[Country],Tabela1[[#This Row],[Country]],Table24[Freestyle 57kg Classification],"&gt;0")</f>
        <v>0</v>
      </c>
      <c r="LV75" s="6">
        <f>COUNTIFS(Table24[Country],Tabela1[[#This Row],[Country]],Table24[Freestyle 65kg Classification],"&gt;0")</f>
        <v>0</v>
      </c>
      <c r="LW75" s="6">
        <f>COUNTIFS(Table24[Country],Tabela1[[#This Row],[Country]],Table24[Freestyle 74kg Classification],"&gt;0")</f>
        <v>0</v>
      </c>
      <c r="LX75" s="6">
        <f>COUNTIFS(Table24[Country],Tabela1[[#This Row],[Country]],Table24[Freestyle 86kg Classification],"&gt;0")</f>
        <v>0</v>
      </c>
      <c r="LY75" s="6">
        <f>COUNTIFS(Table24[Country],Tabela1[[#This Row],[Country]],Table24[Freestyle 97kg Classification],"&gt;0")</f>
        <v>0</v>
      </c>
      <c r="LZ75" s="6">
        <f>COUNTIFS(Table24[Country],Tabela1[[#This Row],[Country]],Table24[Freestyle 125kg Classification],"&gt;0")</f>
        <v>0</v>
      </c>
      <c r="MA75" s="6">
        <f>COUNTIFS(Table24[Country],Tabela1[[#This Row],[Country]],Table24[Greco-Roman 60kg Classification],"&gt;0")</f>
        <v>0</v>
      </c>
      <c r="MB75" s="6">
        <f>COUNTIFS(Table24[Country],Tabela1[[#This Row],[Country]],Table24[Greco-Roman 67kg Classification],"&gt;0")</f>
        <v>0</v>
      </c>
      <c r="MC75" s="6">
        <f>COUNTIFS(Table24[Country],Tabela1[[#This Row],[Country]],Table24[Greco-Roman 77kg Classification],"&gt;0")</f>
        <v>0</v>
      </c>
      <c r="MD75" s="6">
        <f>COUNTIFS(Table24[Country],Tabela1[[#This Row],[Country]],Table24[Greco-Roman 87kg Classification],"&gt;0")</f>
        <v>0</v>
      </c>
      <c r="ME75" s="6">
        <f>COUNTIFS(Table24[Country],Tabela1[[#This Row],[Country]],Table24[Greco-Roman 97kg Classification],"&gt;0")</f>
        <v>0</v>
      </c>
      <c r="MF75" s="6">
        <f>COUNTIFS(Table24[Country],Tabela1[[#This Row],[Country]],Table24[Greco-Roman 130kg Classification],"&gt;0")</f>
        <v>0</v>
      </c>
      <c r="MG75" s="6">
        <f>COUNTIFS(Table31[Country],Tabela1[[#This Row],[Country]],Table31[50kg Classification],"&gt;0")</f>
        <v>0</v>
      </c>
      <c r="MH75" s="6">
        <f>COUNTIFS(Table31[Country],Tabela1[[#This Row],[Country]],Table31[53kg Classification],"&gt;0")</f>
        <v>0</v>
      </c>
      <c r="MI75" s="6">
        <f>COUNTIFS(Table31[Country],Tabela1[[#This Row],[Country]],Table31[57kg Classification],"&gt;0")</f>
        <v>0</v>
      </c>
      <c r="MJ75" s="6">
        <f>COUNTIFS(Table31[Country],Tabela1[[#This Row],[Country]],Table31[62kg Classification],"&gt;0")</f>
        <v>0</v>
      </c>
      <c r="MK75" s="6">
        <f>COUNTIFS(Table31[Country],Tabela1[[#This Row],[Country]],Table31[68kg Classification],"&gt;0")</f>
        <v>0</v>
      </c>
      <c r="ML75" s="6">
        <f>COUNTIFS(Table31[Country],Tabela1[[#This Row],[Country]],Table31[76kg Classification],"&gt;0")</f>
        <v>0</v>
      </c>
      <c r="MM75" s="6">
        <f>COUNTIFS(Table102[Country],Tabela1[[#This Row],[Country]],Table102[Downhill Classification],"&gt;0")</f>
        <v>0</v>
      </c>
      <c r="MN75" s="6">
        <f>COUNTIFS(Table102105[Country],Tabela1[[#This Row],[Country]],Table102105[Downhill Classification],"&gt;0")</f>
        <v>0</v>
      </c>
      <c r="MO75" s="6">
        <f>COUNTIFS(Table102[Country],Tabela1[[#This Row],[Country]],Table102[Giant Slalom Classification],"&gt;0")</f>
        <v>1</v>
      </c>
      <c r="MP75" s="6">
        <f>COUNTIFS(Table102105[Country],Tabela1[[#This Row],[Country]],Table102105[Giant Slalom Classification],"&gt;0")</f>
        <v>0</v>
      </c>
      <c r="MQ75" s="6">
        <f>COUNTIFS(Table102[Country],Tabela1[[#This Row],[Country]],Table102[Slalom Classification],"&gt;0")</f>
        <v>1</v>
      </c>
      <c r="MR75" s="6">
        <f>COUNTIFS(Table102105[Country],Tabela1[[#This Row],[Country]],Table102105[Slalom Classification],"&gt;0")</f>
        <v>0</v>
      </c>
      <c r="MS75" s="6">
        <f>COUNTIFS(Table102[Country],Tabela1[[#This Row],[Country]],Table102[Super-G Classification],"&gt;0")</f>
        <v>0</v>
      </c>
      <c r="MT75" s="6">
        <f>COUNTIFS(Table102105[Country],Tabela1[[#This Row],[Country]],Table102105[Super-G Classification],"&gt;0")</f>
        <v>0</v>
      </c>
      <c r="MU75" s="6">
        <f>COUNTIFS(Table105[Country],Tabela1[[#This Row],[Country]],Table105[Men''s Combined Classification],"&gt;0")</f>
        <v>0</v>
      </c>
      <c r="MV75" s="6">
        <f>COUNTIFS(Table105[Country],Tabela1[[#This Row],[Country]],Table105[Women''s Combined Classification],"&gt;0")</f>
        <v>0</v>
      </c>
      <c r="MW75" s="6">
        <f>COUNTIFS(Table106[Country],Tabela1[[#This Row],[Country]],Table106[Individual Classification],"&gt;0")</f>
        <v>0</v>
      </c>
      <c r="MX75" s="6">
        <f>COUNTIFS(Table106109[Country],Tabela1[[#This Row],[Country]],Table106109[Individual Classification],"&gt;0")</f>
        <v>0</v>
      </c>
      <c r="MY75" s="6">
        <f>COUNTIFS(Table106[Country],Tabela1[[#This Row],[Country]],Table106[Mass Start Classification],"&gt;0")</f>
        <v>0</v>
      </c>
      <c r="MZ75" s="6">
        <f>COUNTIFS(Table106109[Country],Tabela1[[#This Row],[Country]],Table106109[Mass Start Classification],"&gt;0")</f>
        <v>0</v>
      </c>
      <c r="NA75" s="6">
        <f>COUNTIFS(Table106[Country],Tabela1[[#This Row],[Country]],Table106[Pursuit Classification],"&gt;0")</f>
        <v>0</v>
      </c>
      <c r="NB75" s="6">
        <f>COUNTIFS(Table106109[Country],Tabela1[[#This Row],[Country]],Table106109[Pursuit Classification],"&gt;0")</f>
        <v>0</v>
      </c>
      <c r="NC75" s="6">
        <f>COUNTIFS(Table106[Country],Tabela1[[#This Row],[Country]],Table106[Sprint Classification],"&gt;0")</f>
        <v>0</v>
      </c>
      <c r="ND75" s="6">
        <f>COUNTIFS(Table106109[Country],Tabela1[[#This Row],[Country]],Table106109[Sprint Classification],"&gt;0")</f>
        <v>0</v>
      </c>
      <c r="NE75" s="6">
        <f>COUNTIFS(Table109[Country],Tabela1[[#This Row],[Country]],Table109[Men''s Relay Classification],"&gt;0")</f>
        <v>0</v>
      </c>
      <c r="NF75" s="6">
        <f>COUNTIFS(Table109[Country],Tabela1[[#This Row],[Country]],Table109[Women''s Relay Classification],"&gt;0")</f>
        <v>0</v>
      </c>
      <c r="NG75" s="6">
        <f>COUNTIFS(Table109[Country],Tabela1[[#This Row],[Country]],Table109[Mixed Relay Classification],"&gt;0")</f>
        <v>0</v>
      </c>
      <c r="NH75" s="6">
        <f>COUNTIFS(Table110[Country],Tabela1[[#This Row],[Country]],Table110[Monobob Classification],"&gt;0")</f>
        <v>0</v>
      </c>
      <c r="NI75" s="6">
        <f>COUNTIFS(Table111[Country],Tabela1[[#This Row],[Country]],Table111[Men''s Classification],"&gt;0")</f>
        <v>0</v>
      </c>
      <c r="NJ75" s="6">
        <f>COUNTIFS(Table111[Country],Tabela1[[#This Row],[Country]],Table111[Women''s Classification],"&gt;0")</f>
        <v>0</v>
      </c>
      <c r="NK75" s="6">
        <f>COUNTIFS(Table112[Country],Tabela1[[#This Row],[Country]],Table112[Men''s Four Classification],"&gt;0")</f>
        <v>0</v>
      </c>
      <c r="NL75" s="6">
        <f>COUNTIFS(Table113[Country],Tabela1[[#This Row],[Country]],Table113[Classical Classification],"&gt;0")</f>
        <v>0</v>
      </c>
      <c r="NM75" s="6">
        <f>COUNTIFS(Table113116[Country],Tabela1[[#This Row],[Country]],Table113116[Classical Classification],"&gt;0")</f>
        <v>0</v>
      </c>
      <c r="NN75" s="6">
        <f>COUNTIFS(Table113[Country],Tabela1[[#This Row],[Country]],Table113[Freestyle Classification],"&gt;0")</f>
        <v>0</v>
      </c>
      <c r="NO75" s="6">
        <f>COUNTIFS(Table113116[Country],Tabela1[[#This Row],[Country]],Table113116[Freestyle Classification],"&gt;0")</f>
        <v>0</v>
      </c>
      <c r="NP75" s="6">
        <f>COUNTIFS(Table117[Country],Tabela1[[#This Row],[Country]],Table117[Men''s Relay Classification],"&gt;0")</f>
        <v>0</v>
      </c>
      <c r="NQ75" s="6">
        <f>COUNTIFS(Table117[Country],Tabela1[[#This Row],[Country]],Table117[Women''s Relay Classification],"&gt;0")</f>
        <v>0</v>
      </c>
      <c r="NR75" s="6">
        <f>COUNTIFS(Table113[Country],Tabela1[[#This Row],[Country]],Table113[Skiathlon Classification],"&gt;0")</f>
        <v>0</v>
      </c>
      <c r="NS75" s="6">
        <f>COUNTIFS(Table113116[Country],Tabela1[[#This Row],[Country]],Table113116[Skiathlon Classification],"&gt;0")</f>
        <v>0</v>
      </c>
      <c r="NT75" s="6">
        <f>COUNTIFS(Table113[Country],Tabela1[[#This Row],[Country]],Table113[Sprint Classification],"&gt;0")</f>
        <v>0</v>
      </c>
      <c r="NU75" s="6">
        <f>COUNTIFS(Table113116[Country],Tabela1[[#This Row],[Country]],Table113116[Sprint Classification],"&gt;0")</f>
        <v>0</v>
      </c>
      <c r="NV75" s="6">
        <f>COUNTIFS(Table116[Country],Tabela1[[#This Row],[Country]],Table116[Men''s Team Sprint Classification],"&gt;0")</f>
        <v>0</v>
      </c>
      <c r="NW75" s="6">
        <f>COUNTIFS(Table116[Country],Tabela1[[#This Row],[Country]],Table116[Women''s Team Sprint Classification],"&gt;0")</f>
        <v>0</v>
      </c>
      <c r="NX75" s="6">
        <f>COUNTIFS(Table119[Country],Tabela1[[#This Row],[Country]],Table119[Men''s Classification],"&gt;0")</f>
        <v>0</v>
      </c>
      <c r="NY75" s="6">
        <f>COUNTIFS(Table119[Country],Tabela1[[#This Row],[Country]],Table119[Women''s Classification],"&gt;0")</f>
        <v>0</v>
      </c>
      <c r="NZ75" s="6">
        <f>COUNTIFS(Table118[Country],Tabela1[[#This Row],[Country]],Table118[Mixed Classification],"&gt;0")</f>
        <v>0</v>
      </c>
      <c r="OA75" s="6">
        <f>COUNTIFS(Table120[Country],Tabela1[[#This Row],[Country]],Table120[Classification],"&gt;0")</f>
        <v>0</v>
      </c>
      <c r="OB75" s="6">
        <f>COUNTIFS(Table120123[Country],Tabela1[[#This Row],[Country]],Table120123[Classification],"&gt;0")</f>
        <v>0</v>
      </c>
      <c r="OC75" s="6">
        <f>COUNTIFS(Table123[Country],Tabela1[[#This Row],[Country]],Table123[Ice Dance Classification],"&gt;0")</f>
        <v>0</v>
      </c>
      <c r="OD75" s="6">
        <f>COUNTIFS(Table123[Country],Tabela1[[#This Row],[Country]],Table123[Pair Skating Classification],"&gt;0")</f>
        <v>0</v>
      </c>
      <c r="OE75" s="6">
        <f>COUNTIFS(Table124[Country],Tabela1[[#This Row],[Country]],Table124[Mixed Classification],"&gt;0")</f>
        <v>0</v>
      </c>
      <c r="OF75" s="6">
        <f>COUNTIFS(Table125[Country],Tabela1[[#This Row],[Country]],Table125[Aerials Classification],"&gt;0")</f>
        <v>0</v>
      </c>
      <c r="OG75" s="6">
        <f>COUNTIFS(Table125128[Country],Tabela1[[#This Row],[Country]],Table125128[Aerials Classification],"&gt;0")</f>
        <v>0</v>
      </c>
      <c r="OH75" s="6">
        <f>COUNTIFS(Table128[Country],Tabela1[[#This Row],[Country]],Table128[Mixed Aerials Classification],"&gt;0")</f>
        <v>0</v>
      </c>
      <c r="OI75" s="6">
        <f>COUNTIFS(Table125[Country],Tabela1[[#This Row],[Country]],Table125[Big Air Classification],"&gt;0")</f>
        <v>0</v>
      </c>
      <c r="OJ75" s="6">
        <f>COUNTIFS(Table125128[Country],Tabela1[[#This Row],[Country]],Table125128[Big Air Classification],"&gt;0")</f>
        <v>0</v>
      </c>
      <c r="OK75" s="6">
        <f>COUNTIFS(Table125[Country],Tabela1[[#This Row],[Country]],Table125[Dual Moguls Classification],"&gt;0")</f>
        <v>0</v>
      </c>
      <c r="OL75" s="6">
        <f>COUNTIFS(Table125128[Country],Tabela1[[#This Row],[Country]],Table125128[Dual Moguls Classification],"&gt;0")</f>
        <v>0</v>
      </c>
      <c r="OM75" s="6">
        <f>COUNTIFS(Table125[Country],Tabela1[[#This Row],[Country]],Table125[Halfpipe Classification],"&gt;0")</f>
        <v>0</v>
      </c>
      <c r="ON75" s="6">
        <f>COUNTIFS(Table125128[Country],Tabela1[[#This Row],[Country]],Table125128[Halfpipe Classification],"&gt;0")</f>
        <v>0</v>
      </c>
      <c r="OO75" s="6">
        <f>COUNTIFS(Table125[Country],Tabela1[[#This Row],[Country]],Table125[Moguls Classification],"&gt;0")</f>
        <v>0</v>
      </c>
      <c r="OP75" s="6">
        <f>COUNTIFS(Table125128[Country],Tabela1[[#This Row],[Country]],Table125128[Moguls Classification],"&gt;0")</f>
        <v>0</v>
      </c>
      <c r="OQ75" s="6">
        <f>COUNTIFS(Table125[Country],Tabela1[[#This Row],[Country]],Table125[Ski Cross Classification],"&gt;0")</f>
        <v>0</v>
      </c>
      <c r="OR75" s="6">
        <f>COUNTIFS(Table125128[Country],Tabela1[[#This Row],[Country]],Table125128[Ski Cross Classification],"&gt;0")</f>
        <v>0</v>
      </c>
      <c r="OS75" s="6">
        <f>COUNTIFS(Table125[Country],Tabela1[[#This Row],[Country]],Table125[Slopestyle Classification],"&gt;0")</f>
        <v>0</v>
      </c>
      <c r="OT75" s="6">
        <f>COUNTIFS(Table125128[Country],Tabela1[[#This Row],[Country]],Table125128[Slopestyle Classification],"&gt;0")</f>
        <v>0</v>
      </c>
      <c r="OU75" s="6">
        <f>COUNTIFS(Table119131[Country],Tabela1[[#This Row],[Country]],Table119131[Men''s Classification],"&gt;0")</f>
        <v>0</v>
      </c>
      <c r="OV75" s="6">
        <f>COUNTIFS(Table119131[Country],Tabela1[[#This Row],[Country]],Table119131[Women''s Classification],"&gt;0")</f>
        <v>0</v>
      </c>
      <c r="OW75" s="6">
        <f>COUNTIFS(Table131[Country],Tabela1[[#This Row],[Country]],Table131[Classification],"&gt;0")</f>
        <v>0</v>
      </c>
      <c r="OX75" s="6">
        <f>COUNTIFS(Table131134[Country],Tabela1[[#This Row],[Country]],Table131134[Classification],"&gt;0")</f>
        <v>0</v>
      </c>
      <c r="OY75" s="6">
        <f>COUNTIFS(Table134[Country],Tabela1[[#This Row],[Country]],Table134[Men''s Classification],"&gt;0")</f>
        <v>0</v>
      </c>
      <c r="OZ75" s="6">
        <f>COUNTIFS(Table134[Country],Tabela1[[#This Row],[Country]],Table134[Women''s Classification],"&gt;0")</f>
        <v>0</v>
      </c>
      <c r="PA75" s="6">
        <f>COUNTIFS(Table135[Country],Tabela1[[#This Row],[Country]],Table135[Mixed Relay Classification],"&gt;0")</f>
        <v>0</v>
      </c>
      <c r="PB75" s="6">
        <f>COUNTIFS(Table136[Country],Tabela1[[#This Row],[Country]],Table136[Individual Classification],"&gt;0")</f>
        <v>0</v>
      </c>
      <c r="PC75" s="6">
        <f>COUNTIFS(Table136[Country],Tabela1[[#This Row],[Country]],Table136[Sprint Classification],"&gt;0")</f>
        <v>0</v>
      </c>
      <c r="PD75" s="6">
        <f>COUNTIFS(Table137[Country],Tabela1[[#This Row],[Country]],Table137[Men''s Team Sprint Large Hill Classification],"&gt;0")</f>
        <v>0</v>
      </c>
      <c r="PE75" s="6">
        <f>COUNTIFS(Table138[Country],Tabela1[[#This Row],[Country]],Table138[500m Classification],"&gt;0")</f>
        <v>0</v>
      </c>
      <c r="PF75" s="6">
        <f>COUNTIFS(Table138141[Country],Tabela1[[#This Row],[Country]],Table138141[500m Classification],"&gt;0")</f>
        <v>0</v>
      </c>
      <c r="PG75" s="6">
        <f>COUNTIFS(Table138[Country],Tabela1[[#This Row],[Country]],Table138[1000m Classification],"&gt;0")</f>
        <v>0</v>
      </c>
      <c r="PH75" s="6">
        <f>COUNTIFS(Table138141[Country],Tabela1[[#This Row],[Country]],Table138141[1000m Classification],"&gt;0")</f>
        <v>0</v>
      </c>
      <c r="PI75" s="6">
        <f>COUNTIFS(Table138[Country],Tabela1[[#This Row],[Country]],Table138[1500m Classification],"&gt;0")</f>
        <v>0</v>
      </c>
      <c r="PJ75" s="6">
        <f>COUNTIFS(Table138141[Country],Tabela1[[#This Row],[Country]],Table138141[1500m Classification],"&gt;0")</f>
        <v>0</v>
      </c>
      <c r="PK75" s="6">
        <f>COUNTIFS(Table141[Country],Tabela1[[#This Row],[Country]],Table141[Men''s 5000m Relay Classification],"&gt;0")</f>
        <v>0</v>
      </c>
      <c r="PL75" s="6">
        <f>COUNTIFS(Table141[Country],Tabela1[[#This Row],[Country]],Table141[Women''s 3000m Relay Classification],"&gt;0")</f>
        <v>0</v>
      </c>
      <c r="PM75" s="6">
        <f>COUNTIFS(Table141[Country],Tabela1[[#This Row],[Country]],Table141[Mixed 2000m Relay Classification],"&gt;0")</f>
        <v>0</v>
      </c>
      <c r="PN75" s="6">
        <f>COUNTIFS(Table142[Country],Tabela1[[#This Row],[Country]],Table142[Classification],"&gt;0")</f>
        <v>0</v>
      </c>
      <c r="PO75" s="6">
        <f>COUNTIFS(Table142145[Country],Tabela1[[#This Row],[Country]],Table142145[Classification],"&gt;0")</f>
        <v>0</v>
      </c>
      <c r="PP75" s="6">
        <f>COUNTIFS(Tabela15[Country],Tabela1[[#This Row],[Country]],Tabela15[Mixed Team Classification],"&gt;0")</f>
        <v>0</v>
      </c>
      <c r="PQ75" s="6">
        <f>COUNTIFS(Table145[Country],Tabela1[[#This Row],[Country]],Table145[Large Hill Classification],"&gt;0")</f>
        <v>0</v>
      </c>
      <c r="PR75" s="6">
        <f>COUNTIFS(Table145[Country],Tabela1[[#This Row],[Country]],Table145[Normal Hill Classification],"&gt;0")</f>
        <v>0</v>
      </c>
      <c r="PS75" s="6">
        <f>COUNTIFS(Table145148[Country],Tabela1[[#This Row],[Country]],Table145148[Large Hill Classification],"&gt;0")</f>
        <v>0</v>
      </c>
      <c r="PT75" s="6">
        <f>COUNTIFS(Table145148[Country],Tabela1[[#This Row],[Country]],Table145148[Normal Hill Classification],"&gt;0")</f>
        <v>0</v>
      </c>
      <c r="PU75" s="6">
        <f>COUNTIFS(Table148[Country],Tabela1[[#This Row],[Country]],Table148[Men''s Super Team Classification],"&gt;0")</f>
        <v>0</v>
      </c>
      <c r="PV75" s="6">
        <f>COUNTIFS(Tabela114[Country],Tabela1[[#This Row],[Country]],Tabela114[Mixed Normal Hill Classification],"&gt;0")</f>
        <v>0</v>
      </c>
      <c r="PW75" s="6">
        <f>COUNTIFS(Tabela50[Country],Tabela1[[#This Row],[Country]],Tabela50[Sprint Classification],"&gt;0")</f>
        <v>0</v>
      </c>
      <c r="PX75" s="6">
        <f>COUNTIFS(Tabela50101[Country],Tabela1[[#This Row],[Country]],Tabela50101[Sprint Classification],"&gt;0")</f>
        <v>0</v>
      </c>
      <c r="PY75" s="6">
        <f>COUNTIFS(Tabela103[Country],Tabela1[[#This Row],[Country]],Tabela103[Mixed Relay Classification],"&gt;0")</f>
        <v>0</v>
      </c>
      <c r="PZ75" s="6">
        <f>COUNTIFS(Table149[Country],Tabela1[[#This Row],[Country]],Table149[Big Air Classification],"&gt;0")</f>
        <v>0</v>
      </c>
      <c r="QA75" s="6">
        <f>COUNTIFS(Table149152[Country],Tabela1[[#This Row],[Country]],Table149152[Big Air Classification],"&gt;0")</f>
        <v>0</v>
      </c>
      <c r="QB75" s="6">
        <f>COUNTIFS(Table149[Country],Tabela1[[#This Row],[Country]],Table149[Halfpipe Classification],"&gt;0")</f>
        <v>0</v>
      </c>
      <c r="QC75" s="6">
        <f>COUNTIFS(Table149152[Country],Tabela1[[#This Row],[Country]],Table149152[Halfpipe Classification],"&gt;0")</f>
        <v>0</v>
      </c>
      <c r="QD75" s="6">
        <f>COUNTIFS(Table149[Country],Tabela1[[#This Row],[Country]],Table149[Parallel Giant Slalom Classification],"&gt;0")</f>
        <v>0</v>
      </c>
      <c r="QE75" s="6">
        <f>COUNTIFS(Table149152[Country],Tabela1[[#This Row],[Country]],Table149152[Parallel Giant Slalom Classification],"&gt;0")</f>
        <v>0</v>
      </c>
      <c r="QF75" s="6">
        <f>COUNTIFS(Table149[Country],Tabela1[[#This Row],[Country]],Table149[Slopestyle Classification],"&gt;0")</f>
        <v>0</v>
      </c>
      <c r="QG75" s="6">
        <f>COUNTIFS(Table149152[Country],Tabela1[[#This Row],[Country]],Table149152[Slopestyle Classification],"&gt;0")</f>
        <v>0</v>
      </c>
      <c r="QH75" s="6">
        <f>COUNTIFS(Table149[Country],Tabela1[[#This Row],[Country]],Table149[Snowboard Cross Classification],"&gt;0")</f>
        <v>0</v>
      </c>
      <c r="QI75" s="6">
        <f>COUNTIFS(Table149152[Country],Tabela1[[#This Row],[Country]],Table149152[Snowboard Cross Classification],"&gt;0")</f>
        <v>0</v>
      </c>
      <c r="QJ75" s="6">
        <f>COUNTIFS(Table153[Country],Tabela1[[#This Row],[Country]],Table153[Mixed Team Snowboard Cross Classification],"&gt;0")</f>
        <v>0</v>
      </c>
      <c r="QK75" s="6">
        <f>COUNTIFS(Table154[Country],Tabela1[[#This Row],[Country]],Table154[500m Classification],"&gt;0")</f>
        <v>0</v>
      </c>
      <c r="QL75" s="6">
        <f>COUNTIFS(Table154157[Country],Tabela1[[#This Row],[Country]],Table154157[500m Classification],"&gt;0")</f>
        <v>0</v>
      </c>
      <c r="QM75" s="6">
        <f>COUNTIFS(Table154[Country],Tabela1[[#This Row],[Country]],Table154[1000m Classification],"&gt;0")</f>
        <v>0</v>
      </c>
      <c r="QN75" s="6">
        <f>COUNTIFS(Table154157[Country],Tabela1[[#This Row],[Country]],Table154157[1000m Classification],"&gt;0")</f>
        <v>0</v>
      </c>
      <c r="QO75" s="6">
        <f>COUNTIFS(Table154[Country],Tabela1[[#This Row],[Country]],Table154[1500m Classification],"&gt;0")</f>
        <v>0</v>
      </c>
      <c r="QP75" s="6">
        <f>COUNTIFS(Table154157[Country],Tabela1[[#This Row],[Country]],Table154157[1500m Classification],"&gt;0")</f>
        <v>0</v>
      </c>
      <c r="QQ75" s="6">
        <f>COUNTIFS(Table154157[Country],Tabela1[[#This Row],[Country]],Table154157[3000m Classification],"&gt;0")</f>
        <v>0</v>
      </c>
      <c r="QR75" s="6">
        <f>COUNTIFS(Table154[Country],Tabela1[[#This Row],[Country]],Table154[5000m Classification],"&gt;0")</f>
        <v>0</v>
      </c>
      <c r="QS75" s="6">
        <f>COUNTIFS(Table154157[Country],Tabela1[[#This Row],[Country]],Table154157[5000m Classification],"&gt;0")</f>
        <v>0</v>
      </c>
      <c r="QT75" s="6">
        <f>COUNTIFS(Table154[Country],Tabela1[[#This Row],[Country]],Table154[10000m Classification],"&gt;0")</f>
        <v>0</v>
      </c>
      <c r="QU75" s="6">
        <f>COUNTIFS(Table154[Country],Tabela1[[#This Row],[Country]],Table154[Mass Start Classification],"&gt;0")</f>
        <v>0</v>
      </c>
      <c r="QV75" s="6">
        <f>COUNTIFS(Table154157[Country],Tabela1[[#This Row],[Country]],Table154157[Mass Start Classification],"&gt;0")</f>
        <v>0</v>
      </c>
      <c r="QW75" s="6">
        <f>COUNTIFS(Table157[Country],Tabela1[[#This Row],[Country]],Table157[Men''s Pursuit Classification],"&gt;0")</f>
        <v>0</v>
      </c>
      <c r="QX75" s="6">
        <f>COUNTIFS(Table157[Country],Tabela1[[#This Row],[Country]],Table157[Women''s Pursuit Classification],"&gt;0")</f>
        <v>0</v>
      </c>
      <c r="QY75" s="4" t="s">
        <v>623</v>
      </c>
    </row>
    <row r="76" spans="1:467" x14ac:dyDescent="0.3">
      <c r="A76" s="6">
        <v>75</v>
      </c>
      <c r="B76" s="6" t="s">
        <v>736</v>
      </c>
      <c r="C76" t="e" vm="75">
        <f>IF(ISBLANK(Tabela1[[#This Row],[Image Link]]), "", _xlfn.IMAGE(Tabela1[[#This Row],[Image Link]],1,1))</f>
        <v>#VALUE!</v>
      </c>
      <c r="D76" s="6">
        <f>SUM(Tabela1[[#This Row],[Archery - Men''s Individual Recurve]:[Speed Skating - Women''s Team Pursuit]])</f>
        <v>7</v>
      </c>
      <c r="E76" s="6">
        <f>COUNTIF(Tabela1[[#This Row],[Archery - Men''s Individual Recurve]:[Speed Skating - Women''s Team Pursuit]],"&gt;0")</f>
        <v>7</v>
      </c>
      <c r="F76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76" s="6">
        <f>SUM(Tabela1[[#This Row],[Archery - Men''s Individual Recurve]:[Wrestling - Women''s Freestyle 76kg]])</f>
        <v>7</v>
      </c>
      <c r="H76" s="6">
        <f>SUM(Tabela1[[#This Row],[Alpine Skiing - Men''s Downhill]:[Speed Skating - Women''s Team Pursuit]])</f>
        <v>0</v>
      </c>
      <c r="I76" s="6">
        <f>Tabela1[[#This Row],[Summer Gold Medals]]+Tabela1[[#This Row],[Winter Gold Medals]]</f>
        <v>0</v>
      </c>
      <c r="J76" s="6">
        <f>Tabela1[[#This Row],[Summer Silver Medals]]+Tabela1[[#This Row],[Winter Silver Medals]]</f>
        <v>0</v>
      </c>
      <c r="K76" s="6">
        <f>Tabela1[[#This Row],[Summer Bronze Medals]]+Tabela1[[#This Row],[Winter Bronze Medals]]</f>
        <v>1</v>
      </c>
      <c r="L76" s="6">
        <f>SUM(Tabela1[[#This Row],[Total Gold Medals]:[Total Bronze Medals]])</f>
        <v>1</v>
      </c>
      <c r="M76" s="6"/>
      <c r="N76" s="6"/>
      <c r="O76" s="6">
        <v>1</v>
      </c>
      <c r="P76" s="6">
        <f>SUM(Tabela1[[#This Row],[Summer Gold Medals]:[Summer Bronze Medals]])</f>
        <v>1</v>
      </c>
      <c r="Q76" s="6"/>
      <c r="R76" s="6"/>
      <c r="S76" s="6"/>
      <c r="T76" s="6">
        <f>Tabela1[[#This Row],[Winter Gold Medals]]+Tabela1[[#This Row],[Winter Silver Medals]]+Tabela1[[#This Row],[Winter Bronze Medals]]</f>
        <v>0</v>
      </c>
      <c r="U76" s="7">
        <f>Tabela1[[#This Row],[Total Medals]]/Tabela1[[#This Row],[Total Quotas]]</f>
        <v>0.14285714285714285</v>
      </c>
      <c r="V76" s="6">
        <f>COUNTIFS(Table3[Country],Tabela1[[#This Row],[Country]],Table3[Recurve Classification],"&gt;0")</f>
        <v>0</v>
      </c>
      <c r="W76" s="6">
        <f>COUNTIFS(Table33[Country],Tabela1[[#This Row],[Country]],Table33[Recurve Classification],"&gt;0")</f>
        <v>0</v>
      </c>
      <c r="X76" s="6">
        <f>COUNTIFS(Table35[Country],Tabela1[[#This Row],[Country]],Table35[Men''s Team Recurve Classification],"&gt;0")</f>
        <v>0</v>
      </c>
      <c r="Y76" s="6">
        <f>COUNTIFS(Table35[Country],Tabela1[[#This Row],[Country]],Table35[Women''s Team Recurve Classification],"&gt;0")</f>
        <v>0</v>
      </c>
      <c r="Z76" s="6">
        <f>COUNTIFS(Tabela88[Country],Tabela1[[#This Row],[Country]],Tabela88[Mixed Team Recurve Classification],"&gt;0")</f>
        <v>0</v>
      </c>
      <c r="AA76" s="6">
        <f>COUNTIFS(Table36[Country],Tabela1[[#This Row],[Country]],Table36[Classification],"&gt;0")</f>
        <v>0</v>
      </c>
      <c r="AB76" s="6">
        <f>COUNTIFS(Table37[Country],Tabela1[[#This Row],[Country]],Table37[Classification],"&gt;0")</f>
        <v>0</v>
      </c>
      <c r="AC76" s="6">
        <f>COUNTIFS(Table4[Country],Tabela1[[#This Row],[Country]],Table4[100m Classification],"&gt;0")</f>
        <v>0</v>
      </c>
      <c r="AD76" s="6">
        <f>COUNTIFS(Table5[Country],Tabela1[[#This Row],[Country]],Table5[100m Classification],"&gt;0")</f>
        <v>0</v>
      </c>
      <c r="AE76" s="6">
        <f>COUNTIFS(Table4[Country],Tabela1[[#This Row],[Country]],Table4[200m Classification],"&gt;0")</f>
        <v>0</v>
      </c>
      <c r="AF76" s="6">
        <f>COUNTIFS(Table5[Country],Tabela1[[#This Row],[Country]],Table5[200m Classification],"&gt;0")</f>
        <v>0</v>
      </c>
      <c r="AG76" s="6">
        <f>COUNTIFS(Table4[Country],Tabela1[[#This Row],[Country]],Table4[400m Classification],"&gt;0")</f>
        <v>1</v>
      </c>
      <c r="AH76" s="6">
        <f>COUNTIFS(Table5[Country],Tabela1[[#This Row],[Country]],Table5[400m Classification],"&gt;0")</f>
        <v>0</v>
      </c>
      <c r="AI76" s="6">
        <f>COUNTIFS(Table4[Country],Tabela1[[#This Row],[Country]],Table4[800m Classification],"&gt;0")</f>
        <v>0</v>
      </c>
      <c r="AJ76" s="6">
        <f>COUNTIFS(Table5[Country],Tabela1[[#This Row],[Country]],Table5[800m Classification],"&gt;0")</f>
        <v>0</v>
      </c>
      <c r="AK76" s="6">
        <f>COUNTIFS(Table4[Country],Tabela1[[#This Row],[Country]],Table4[1500m Classification],"&gt;0")</f>
        <v>0</v>
      </c>
      <c r="AL76" s="6">
        <f>COUNTIFS(Table5[Country],Tabela1[[#This Row],[Country]],Table5[1500m Classification],"&gt;0")</f>
        <v>0</v>
      </c>
      <c r="AM76" s="6">
        <f>COUNTIFS(Table4[Country],Tabela1[[#This Row],[Country]],Table4[5000m Classification],"&gt;0")</f>
        <v>0</v>
      </c>
      <c r="AN76" s="6">
        <f>COUNTIFS(Table5[Country],Tabela1[[#This Row],[Country]],Table5[5000m Classification],"&gt;0")</f>
        <v>0</v>
      </c>
      <c r="AO76" s="6">
        <f>COUNTIFS(Table4[Country],Tabela1[[#This Row],[Country]],Table4[10000m Classification],"&gt;0")</f>
        <v>0</v>
      </c>
      <c r="AP76" s="6">
        <f>COUNTIFS(Table5[Country],Tabela1[[#This Row],[Country]],Table5[10000m Classification],"&gt;0")</f>
        <v>0</v>
      </c>
      <c r="AQ76" s="6">
        <f>COUNTIFS(Table4[Country],Tabela1[[#This Row],[Country]],Table4[110m Hurdles Classification],"&gt;0")</f>
        <v>0</v>
      </c>
      <c r="AR76" s="6">
        <f>COUNTIFS(Table5[Country],Tabela1[[#This Row],[Country]],Table5[100m Hurdles Classification],"&gt;0")</f>
        <v>0</v>
      </c>
      <c r="AS76" s="6">
        <f>COUNTIFS(Table4[Country],Tabela1[[#This Row],[Country]],Table4[400m Hurdles Classification],"&gt;0")</f>
        <v>0</v>
      </c>
      <c r="AT76" s="6">
        <f>COUNTIFS(Table5[Country],Tabela1[[#This Row],[Country]],Table5[400m Hurdles Classification],"&gt;0")</f>
        <v>0</v>
      </c>
      <c r="AU76" s="6">
        <f>COUNTIFS(Table4[Country],Tabela1[[#This Row],[Country]],Table4[3000m Steeplechase Classification],"&gt;0")</f>
        <v>0</v>
      </c>
      <c r="AV76" s="6">
        <f>COUNTIFS(Table5[Country],Tabela1[[#This Row],[Country]],Table5[3000m Steeplechase Classification],"&gt;0")</f>
        <v>0</v>
      </c>
      <c r="AW76" s="6">
        <f>COUNTIFS(Table27[Country],Tabela1[[#This Row],[Country]],Table27[Men''s 4x100m Relay Classification],"&gt;0")</f>
        <v>0</v>
      </c>
      <c r="AX76" s="6">
        <f>COUNTIFS(Table27[Country],Tabela1[[#This Row],[Country]],Table27[Women''s 4x100m Relay Classification],"&gt;0")</f>
        <v>0</v>
      </c>
      <c r="AY76" s="6">
        <f>COUNTIFS(Table27[Country],Tabela1[[#This Row],[Country]],Table27[Men''s 4x400m Relay Classification],"&gt;0")</f>
        <v>1</v>
      </c>
      <c r="AZ76" s="6">
        <f>COUNTIFS(Table27[Country],Tabela1[[#This Row],[Country]],Table27[Women''s 4x400m Relay Classification],"&gt;0")</f>
        <v>0</v>
      </c>
      <c r="BA76" s="6">
        <f>COUNTIFS(Table27[Country],Tabela1[[#This Row],[Country]],Table27[Mixed 4x400m Relay Classification],"&gt;0")</f>
        <v>0</v>
      </c>
      <c r="BB76" s="6">
        <f>COUNTIFS(Table4[Country],Tabela1[[#This Row],[Country]],Table4[Marathon Classification],"&gt;0")</f>
        <v>0</v>
      </c>
      <c r="BC76" s="6">
        <f>COUNTIFS(Table5[Country],Tabela1[[#This Row],[Country]],Table5[Marathon Classification],"&gt;0")</f>
        <v>0</v>
      </c>
      <c r="BD76" s="6">
        <f>COUNTIFS(Table4[Country],Tabela1[[#This Row],[Country]],Table4[20km Race Walk Classification],"&gt;0")</f>
        <v>0</v>
      </c>
      <c r="BE76" s="6">
        <f>COUNTIFS(Table5[Country],Tabela1[[#This Row],[Country]],Table5[20km Race Walk Classification],"&gt;0")</f>
        <v>0</v>
      </c>
      <c r="BF76" s="6">
        <f>COUNTIFS(Tabela96[Country],Tabela1[[#This Row],[Country]],Tabela96[Mixed Marathon Race Walk Relay Classification],"&gt;0")</f>
        <v>0</v>
      </c>
      <c r="BG76" s="6">
        <f>COUNTIFS(Table4[Country],Tabela1[[#This Row],[Country]],Table4[Discus Throw Classification],"&gt;0")</f>
        <v>0</v>
      </c>
      <c r="BH76" s="6">
        <f>COUNTIFS(Table5[Country],Tabela1[[#This Row],[Country]],Table5[Discus Throw Classification],"&gt;0")</f>
        <v>0</v>
      </c>
      <c r="BI76" s="6">
        <f>COUNTIFS(Table4[Country],Tabela1[[#This Row],[Country]],Table4[Hammer Throw Classification],"&gt;0")</f>
        <v>0</v>
      </c>
      <c r="BJ76" s="6">
        <f>COUNTIFS(Table5[Country],Tabela1[[#This Row],[Country]],Table5[Hammer Throw Classification],"&gt;0")</f>
        <v>0</v>
      </c>
      <c r="BK76" s="6">
        <f>COUNTIFS(Table4[Country],Tabela1[[#This Row],[Country]],Table4[High Jump Classification],"&gt;0")</f>
        <v>0</v>
      </c>
      <c r="BL76" s="6">
        <f>COUNTIFS(Table5[Country],Tabela1[[#This Row],[Country]],Table5[High Jump Classification],"&gt;0")</f>
        <v>0</v>
      </c>
      <c r="BM76" s="6">
        <f>COUNTIFS(Table4[Country],Tabela1[[#This Row],[Country]],Table4[Javelin Throw Classification],"&gt;0")</f>
        <v>0</v>
      </c>
      <c r="BN76" s="6">
        <f>COUNTIFS(Table5[Country],Tabela1[[#This Row],[Country]],Table5[Javelin Throw Classification],"&gt;0")</f>
        <v>0</v>
      </c>
      <c r="BO76" s="6">
        <f>COUNTIFS(Table4[Country],Tabela1[[#This Row],[Country]],Table4[Long Jump Classification],"&gt;0")</f>
        <v>0</v>
      </c>
      <c r="BP76" s="6">
        <f>COUNTIFS(Table5[Country],Tabela1[[#This Row],[Country]],Table5[Long Jump Classification],"&gt;0")</f>
        <v>0</v>
      </c>
      <c r="BQ76" s="6">
        <f>COUNTIFS(Table4[Country],Tabela1[[#This Row],[Country]],Table4[Pole Vault Classification],"&gt;0")</f>
        <v>0</v>
      </c>
      <c r="BR76" s="6">
        <f>COUNTIFS(Table5[Country],Tabela1[[#This Row],[Country]],Table5[Pole Vault Classification],"&gt;0")</f>
        <v>0</v>
      </c>
      <c r="BS76" s="6">
        <f>COUNTIFS(Table4[Country],Tabela1[[#This Row],[Country]],Table4[Shot Put Classification],"&gt;0")</f>
        <v>0</v>
      </c>
      <c r="BT76" s="6">
        <f>COUNTIFS(Table5[Country],Tabela1[[#This Row],[Country]],Table5[Shot Put Classification],"&gt;0")</f>
        <v>0</v>
      </c>
      <c r="BU76" s="6">
        <f>COUNTIFS(Table4[Country],Tabela1[[#This Row],[Country]],Table4[Triple Jump Classification],"&gt;0")</f>
        <v>0</v>
      </c>
      <c r="BV76" s="6">
        <f>COUNTIFS(Table5[Country],Tabela1[[#This Row],[Country]],Table5[Triple Jump Classification],"&gt;0")</f>
        <v>0</v>
      </c>
      <c r="BW76" s="6">
        <f>COUNTIFS(Table4[Country],Tabela1[[#This Row],[Country]],Table4[Decathlon Classification],"&gt;0")</f>
        <v>0</v>
      </c>
      <c r="BX76" s="6">
        <f>COUNTIFS(Table5[Country],Tabela1[[#This Row],[Country]],Table5[Heptathlon Classification],"&gt;0")</f>
        <v>0</v>
      </c>
      <c r="BY76" s="6">
        <f>COUNTIFS(Table61[Country],Tabela1[[#This Row],[Country]],Table61[Classification],"&gt;0")</f>
        <v>0</v>
      </c>
      <c r="BZ76" s="6">
        <f>COUNTIFS(Table38[Country],Tabela1[[#This Row],[Country]],Table38[Classification],"&gt;0")</f>
        <v>0</v>
      </c>
      <c r="CA76" s="6">
        <f>COUNTIFS(Table39[Country],Tabela1[[#This Row],[Country]],Table39[Men''s Classification],"&gt;0")</f>
        <v>0</v>
      </c>
      <c r="CB76" s="6">
        <f>COUNTIFS(Table39[Country],Tabela1[[#This Row],[Country]],Table39[Women''s Classification],"&gt;0")</f>
        <v>0</v>
      </c>
      <c r="CC76" s="6">
        <f>COUNTIFS(Table39[Country],Tabela1[[#This Row],[Country]],Table39[Mixed Classification],"&gt;0")</f>
        <v>0</v>
      </c>
      <c r="CD76" s="6">
        <f>COUNTIFS(Table89[Country],Tabela1[[#This Row],[Country]],Table89[Men''s Classification],"&gt;0")</f>
        <v>0</v>
      </c>
      <c r="CE76" s="6">
        <f>COUNTIFS(Table89[Country],Tabela1[[#This Row],[Country]],Table89[Women''s Classification],"&gt;0")</f>
        <v>0</v>
      </c>
      <c r="CF76" s="6">
        <f>COUNTIFS(Table90[Country],Tabela1[[#This Row],[Country]],Table90[Men''s Classification],"&gt;0")</f>
        <v>0</v>
      </c>
      <c r="CG76" s="6">
        <f>COUNTIFS(Table90[Country],Tabela1[[#This Row],[Country]],Table90[Women''s Classification],"&gt;0")</f>
        <v>0</v>
      </c>
      <c r="CH76" s="6">
        <f>COUNTIFS(Table60[Country],Tabela1[[#This Row],[Country]],Table60[Men''s Classification],"&gt;0")</f>
        <v>0</v>
      </c>
      <c r="CI76" s="6">
        <f>COUNTIFS(Table60[Country],Tabela1[[#This Row],[Country]],Table60[Women''s Classification],"&gt;0")</f>
        <v>0</v>
      </c>
      <c r="CJ76" s="6">
        <f>COUNTIFS(Table6[Country],Tabela1[[#This Row],[Country]],Table6[51kg Classification],"&gt;0")</f>
        <v>1</v>
      </c>
      <c r="CK76" s="6">
        <f>COUNTIFS(Table6[Country],Tabela1[[#This Row],[Country]],Table6[57kg Classification],"&gt;0")</f>
        <v>0</v>
      </c>
      <c r="CL76" s="6">
        <f>COUNTIFS(Table6[Country],Tabela1[[#This Row],[Country]],Table6[63.5kg Classification],"&gt;0")</f>
        <v>0</v>
      </c>
      <c r="CM76" s="6">
        <f>COUNTIFS(Table6[Country],Tabela1[[#This Row],[Country]],Table6[71kg Classification],"&gt;0")</f>
        <v>0</v>
      </c>
      <c r="CN76" s="6">
        <f>COUNTIFS(Table6[Country],Tabela1[[#This Row],[Country]],Table6[80kg Classification],"&gt;0")</f>
        <v>0</v>
      </c>
      <c r="CO76" s="6">
        <f>COUNTIFS(Table6[Country],Tabela1[[#This Row],[Country]],Table6[92kg Classification],"&gt;0")</f>
        <v>0</v>
      </c>
      <c r="CP76" s="6">
        <f>COUNTIFS(Table6[Country],Tabela1[[#This Row],[Country]],Table6[Plus 92kg Classification],"&gt;0")</f>
        <v>0</v>
      </c>
      <c r="CQ76" s="6">
        <f>COUNTIFS(Table7[Country],Tabela1[[#This Row],[Country]],Table7[50kg Classification],"&gt;0")</f>
        <v>1</v>
      </c>
      <c r="CR76" s="6">
        <f>COUNTIFS(Table7[Country],Tabela1[[#This Row],[Country]],Table7[54kg Classification],"&gt;0")</f>
        <v>0</v>
      </c>
      <c r="CS76" s="6">
        <f>COUNTIFS(Table7[Country],Tabela1[[#This Row],[Country]],Table7[57kg Classification],"&gt;0")</f>
        <v>0</v>
      </c>
      <c r="CT76" s="6">
        <f>COUNTIFS(Table7[Country],Tabela1[[#This Row],[Country]],Table7[60kg Classification],"&gt;0")</f>
        <v>0</v>
      </c>
      <c r="CU76" s="6">
        <f>COUNTIFS(Table7[Country],Tabela1[[#This Row],[Country]],Table7[66kg Classification],"&gt;0")</f>
        <v>0</v>
      </c>
      <c r="CV76" s="6">
        <f>COUNTIFS(Table7[Country],Tabela1[[#This Row],[Country]],Table7[75kg Classification],"&gt;0")</f>
        <v>0</v>
      </c>
      <c r="CW76" s="6">
        <f>COUNTIFS(Tabela94[Country],Tabela1[[#This Row],[Country]],Tabela94[Classification],"&gt;0")</f>
        <v>0</v>
      </c>
      <c r="CX76" s="6">
        <f>COUNTIFS(Tabela9499[Country],Tabela1[[#This Row],[Country]],Tabela9499[Classification],"&gt;0")</f>
        <v>0</v>
      </c>
      <c r="CY76" s="6">
        <f>COUNTIFS(Tabela107[Country],Tabela1[[#This Row],[Country]],Tabela107[C1 Slalom Classification],"&gt;0")</f>
        <v>0</v>
      </c>
      <c r="CZ76" s="6">
        <f>COUNTIFS(Tabela107122[Country],Tabela1[[#This Row],[Country]],Tabela107122[C1 Slalom Classification],"&gt;0")</f>
        <v>0</v>
      </c>
      <c r="DA76" s="6">
        <f>COUNTIFS(Tabela107[Country],Tabela1[[#This Row],[Country]],Tabela107[K1 Slalom Classification],"&gt;0")</f>
        <v>0</v>
      </c>
      <c r="DB76" s="6">
        <f>COUNTIFS(Tabela107122[Country],Tabela1[[#This Row],[Country]],Tabela107122[K1 Slalom Classification],"&gt;0")</f>
        <v>0</v>
      </c>
      <c r="DC76" s="6">
        <f>COUNTIFS(Tabela107[Country],Tabela1[[#This Row],[Country]],Tabela107[Kayak Cross Slalom Classification],"&gt;0")</f>
        <v>0</v>
      </c>
      <c r="DD76" s="6">
        <f>COUNTIFS(Tabela107122[Country],Tabela1[[#This Row],[Country]],Tabela107122[Kayak Cross Slalom Classification],"&gt;0")</f>
        <v>0</v>
      </c>
      <c r="DE76" s="6">
        <f>COUNTIFS(Table8[Country],Tabela1[[#This Row],[Country]],Table8[C1 200m Classification],"&gt;0")</f>
        <v>0</v>
      </c>
      <c r="DF76" s="6">
        <f>COUNTIFS(Table40[Country],Tabela1[[#This Row],[Country]],Table40[C1 1000m Classification],"&gt;0")</f>
        <v>0</v>
      </c>
      <c r="DG76" s="6">
        <f>COUNTIFS(Table68[Country],Tabela1[[#This Row],[Country]],Table68[Men''s C2 500m Classification],"&gt;0")</f>
        <v>0</v>
      </c>
      <c r="DH76" s="6">
        <f>COUNTIFS(Table68[Country],Tabela1[[#This Row],[Country]],Table68[Women''s C2 500m Classification],"&gt;0")</f>
        <v>0</v>
      </c>
      <c r="DI76" s="6">
        <f>COUNTIFS(Table8[Country],Tabela1[[#This Row],[Country]],Table8[K1 500m Classification],"&gt;0")</f>
        <v>0</v>
      </c>
      <c r="DJ76" s="6">
        <f>COUNTIFS(Table40[Country],Tabela1[[#This Row],[Country]],Table40[K1 1000m Classification],"&gt;0")</f>
        <v>0</v>
      </c>
      <c r="DK76" s="6">
        <f>COUNTIFS(Table68[Country],Tabela1[[#This Row],[Country]],Table68[Men''s K2 500m Classification],"&gt;0")</f>
        <v>0</v>
      </c>
      <c r="DL76" s="6">
        <f>COUNTIFS(Table68[Country],Tabela1[[#This Row],[Country]],Table68[Women''s K2 500m Classification],"&gt;0")</f>
        <v>0</v>
      </c>
      <c r="DM76" s="6">
        <f>COUNTIFS(Table83[Country],Tabela1[[#This Row],[Country]],Table83[Men''s K4 500m Classification],"&gt;0")</f>
        <v>0</v>
      </c>
      <c r="DN76" s="6">
        <f>COUNTIFS(Table83[Country],Tabela1[[#This Row],[Country]],Table83[Women''s K4 500m Classification],"&gt;0")</f>
        <v>0</v>
      </c>
      <c r="DO76" s="6">
        <f>COUNTIFS(Tabela126[Country],Tabela1[[#This Row],[Country]],Tabela126[Classification],"&gt;0")</f>
        <v>0</v>
      </c>
      <c r="DP76" s="6">
        <f>COUNTIFS(Tabela126130[Country],Tabela1[[#This Row],[Country]],Tabela126130[Classification],"&gt;0")</f>
        <v>0</v>
      </c>
      <c r="DQ76" s="6">
        <f>COUNTIFS(Table70[Country],Tabela1[[#This Row],[Country]],Table70[Classification],"&gt;0")</f>
        <v>0</v>
      </c>
      <c r="DR76" s="6">
        <f>COUNTIFS(Table80[Country],Tabela1[[#This Row],[Country]],Table80[Classification],"&gt;0")</f>
        <v>0</v>
      </c>
      <c r="DS76" s="6">
        <f>COUNTIFS(Table66[Country],Tabela1[[#This Row],[Country]],Table66[Classification],"&gt;0")</f>
        <v>0</v>
      </c>
      <c r="DT76" s="6">
        <f>COUNTIFS(Table67[Country],Tabela1[[#This Row],[Country]],Table67[Classification],"&gt;0")</f>
        <v>0</v>
      </c>
      <c r="DU76" s="6">
        <f>COUNTIFS(Table69[Country],Tabela1[[#This Row],[Country]],Table69[Keirin Classification],"&gt;0")</f>
        <v>0</v>
      </c>
      <c r="DV76" s="6">
        <f>COUNTIFS(Table41[Country],Tabela1[[#This Row],[Country]],Table41[Keirin Classification],"&gt;0")</f>
        <v>0</v>
      </c>
      <c r="DW76" s="6">
        <f>COUNTIFS(Table84[Country],Tabela1[[#This Row],[Country]],Table84[Men''s Madison Classification],"&gt;0")</f>
        <v>0</v>
      </c>
      <c r="DX76" s="6">
        <f>COUNTIFS(Table84[Country],Tabela1[[#This Row],[Country]],Table84[Women''s Madison Classification],"&gt;0")</f>
        <v>0</v>
      </c>
      <c r="DY76" s="6">
        <f>COUNTIFS(Table69[Country],Tabela1[[#This Row],[Country]],Table69[Omnium Classification],"&gt;0")</f>
        <v>0</v>
      </c>
      <c r="DZ76" s="6">
        <f>COUNTIFS(Table41[Country],Tabela1[[#This Row],[Country]],Table41[Omnium Classification],"&gt;0")</f>
        <v>0</v>
      </c>
      <c r="EA76" s="6">
        <f>COUNTIFS(Table9[Country],Tabela1[[#This Row],[Country]],Table9[Road Race Classification],"&gt;0")</f>
        <v>0</v>
      </c>
      <c r="EB76" s="6">
        <f>COUNTIFS(Table14[Country],Tabela1[[#This Row],[Country]],Table14[Road Race Classification],"&gt;0")</f>
        <v>0</v>
      </c>
      <c r="EC76" s="6">
        <f>COUNTIFS(Table69[Country],Tabela1[[#This Row],[Country]],Table69[Sprint Classification],"&gt;0")</f>
        <v>0</v>
      </c>
      <c r="ED76" s="6">
        <f>COUNTIFS(Table41[Country],Tabela1[[#This Row],[Country]],Table41[Sprint Classification],"&gt;0")</f>
        <v>0</v>
      </c>
      <c r="EE76" s="6">
        <f>COUNTIFS(Table85[Country],Tabela1[[#This Row],[Country]],Table85[Men''s Sprint Classification],"&gt;0")</f>
        <v>0</v>
      </c>
      <c r="EF76" s="6">
        <f>COUNTIFS(Table85[Country],Tabela1[[#This Row],[Country]],Table85[Women''s Sprint Classification],"&gt;0")</f>
        <v>0</v>
      </c>
      <c r="EG76" s="6">
        <f>COUNTIFS(Table85[Country],Tabela1[[#This Row],[Country]],Table85[Men''s Pursuit Classification],"&gt;0")</f>
        <v>0</v>
      </c>
      <c r="EH76" s="6">
        <f>COUNTIFS(Table85[Country],Tabela1[[#This Row],[Country]],Table85[Women''s Pursuit Classification],"&gt;0")</f>
        <v>0</v>
      </c>
      <c r="EI76" s="6">
        <f>COUNTIFS(Table9[Country],Tabela1[[#This Row],[Country]],Table9[Time-Trial Classification],"&gt;0")</f>
        <v>0</v>
      </c>
      <c r="EJ76" s="6">
        <f>COUNTIFS(Table14[Country],Tabela1[[#This Row],[Country]],Table14[Time-Trial Classification],"&gt;0")</f>
        <v>0</v>
      </c>
      <c r="EK76" s="6">
        <f>COUNTIFS(Table42[Country],Tabela1[[#This Row],[Country]],Table42[Springboard Classification],"&gt;0")</f>
        <v>0</v>
      </c>
      <c r="EL76" s="6">
        <f>COUNTIFS(Table43[Country],Tabela1[[#This Row],[Country]],Table43[Springboard Classification],"&gt;0")</f>
        <v>0</v>
      </c>
      <c r="EM76" s="6">
        <f>COUNTIFS(Table42[Country],Tabela1[[#This Row],[Country]],Table42[Platform Classification],"&gt;0")</f>
        <v>0</v>
      </c>
      <c r="EN76" s="6">
        <f>COUNTIFS(Table43[Country],Tabela1[[#This Row],[Country]],Table43[Platform Classification],"&gt;0")</f>
        <v>0</v>
      </c>
      <c r="EO76" s="6">
        <f>COUNTIFS(Table86[Country],Tabela1[[#This Row],[Country]],Table86[Men''s Synchronized Springboard Classification],"&gt;0")</f>
        <v>0</v>
      </c>
      <c r="EP76" s="6">
        <f>COUNTIFS(Table86[Country],Tabela1[[#This Row],[Country]],Table86[Women''s Synchronized Springboard Classification],"&gt;0")</f>
        <v>0</v>
      </c>
      <c r="EQ76" s="6">
        <f>COUNTIFS(Table86[Country],Tabela1[[#This Row],[Country]],Table86[Men''s Synchronized Platform Classification],"&gt;0")</f>
        <v>0</v>
      </c>
      <c r="ER76" s="6">
        <f>COUNTIFS(Table86[Country],Tabela1[[#This Row],[Country]],Table86[Women''s Synchronized Platform Classification],"&gt;0")</f>
        <v>0</v>
      </c>
      <c r="ES76" s="6">
        <f>COUNTIFS(Table44[Country],Tabela1[[#This Row],[Country]],Table44[Dressage Classification],"&gt;0")</f>
        <v>0</v>
      </c>
      <c r="ET76" s="6">
        <f>COUNTIFS(Table45[Country],Tabela1[[#This Row],[Country]],Table45[Dressage Classification],"&gt;0")</f>
        <v>0</v>
      </c>
      <c r="EU76" s="6">
        <f>COUNTIFS(Table44[Country],Tabela1[[#This Row],[Country]],Table44[Eventing Classification],"&gt;0")</f>
        <v>0</v>
      </c>
      <c r="EV76" s="6">
        <f>COUNTIFS(Table45[Country],Tabela1[[#This Row],[Country]],Table45[Eventing Classification],"&gt;0")</f>
        <v>0</v>
      </c>
      <c r="EW76" s="6">
        <f>COUNTIFS(Table44[Country],Tabela1[[#This Row],[Country]],Table44[Jumping Classification],"&gt;0")</f>
        <v>0</v>
      </c>
      <c r="EX76" s="6">
        <f>COUNTIFS(Table45[Country],Tabela1[[#This Row],[Country]],Table45[Jumping Classification],"&gt;0")</f>
        <v>0</v>
      </c>
      <c r="EY76" s="6">
        <f>COUNTIFS(Table10[Country],Tabela1[[#This Row],[Country]],Table10[Épée Classification],"&gt;0")</f>
        <v>0</v>
      </c>
      <c r="EZ76" s="6">
        <f>COUNTIFS(Table11[Country],Tabela1[[#This Row],[Country]],Table11[Épée Classification],"&gt;0")</f>
        <v>0</v>
      </c>
      <c r="FA76" s="6">
        <f>COUNTIFS(Table46[Country],Tabela1[[#This Row],[Country]],Table46[Men''s Épée Classification],"&gt;0")</f>
        <v>0</v>
      </c>
      <c r="FB76" s="6">
        <f>COUNTIFS(Table46[Country],Tabela1[[#This Row],[Country]],Table46[Women''s Épée Classification],"&gt;0")</f>
        <v>0</v>
      </c>
      <c r="FC76" s="6">
        <f>COUNTIFS(Table10[Country],Tabela1[[#This Row],[Country]],Table10[Foil Classification],"&gt;0")</f>
        <v>0</v>
      </c>
      <c r="FD76" s="6">
        <f>COUNTIFS(Table11[Country],Tabela1[[#This Row],[Country]],Table11[Foil Classification],"&gt;0")</f>
        <v>0</v>
      </c>
      <c r="FE76" s="6">
        <f>COUNTIFS(Table46[Country],Tabela1[[#This Row],[Country]],Table46[Men''s Foil Classification],"&gt;0")</f>
        <v>0</v>
      </c>
      <c r="FF76" s="6">
        <f>COUNTIFS(Table46[Country],Tabela1[[#This Row],[Country]],Table46[Women''s Foil Classification],"&gt;0")</f>
        <v>0</v>
      </c>
      <c r="FG76" s="6">
        <f>COUNTIFS(Table10[Country],Tabela1[[#This Row],[Country]],Table10[Sabre Classification],"&gt;0")</f>
        <v>0</v>
      </c>
      <c r="FH76" s="6">
        <f>COUNTIFS(Table11[Country],Tabela1[[#This Row],[Country]],Table11[Sabre Classification],"&gt;0")</f>
        <v>0</v>
      </c>
      <c r="FI76" s="6">
        <f>COUNTIFS(Table46[Country],Tabela1[[#This Row],[Country]],Table46[Men''s Sabre Classification],"&gt;0")</f>
        <v>0</v>
      </c>
      <c r="FJ76" s="6">
        <f>COUNTIFS(Table46[Country],Tabela1[[#This Row],[Country]],Table46[Women''s Sabre Classification],"&gt;0")</f>
        <v>0</v>
      </c>
      <c r="FK76" s="6">
        <f>COUNTIFS(Table91[Country],Tabela1[[#This Row],[Country]],Table91[Men''s Classification],"&gt;0")</f>
        <v>0</v>
      </c>
      <c r="FL76" s="6">
        <f>COUNTIFS(Table91[Country],Tabela1[[#This Row],[Country]],Table91[Women''s Classification],"&gt;0")</f>
        <v>0</v>
      </c>
      <c r="FM76" s="6">
        <f>COUNTIFS(Table9194[Country],Tabela1[[#This Row],[Country]],Table9194[Men''s Classification],"&gt;0")</f>
        <v>0</v>
      </c>
      <c r="FN76" s="6">
        <f>COUNTIFS(Table9194[Country],Tabela1[[#This Row],[Country]],Table9194[Women''s Classification],"&gt;0")</f>
        <v>1</v>
      </c>
      <c r="FO76" s="6">
        <f>COUNTIFS(Table71[Country],Tabela1[[#This Row],[Country]],Table71[Classification],"&gt;0")</f>
        <v>0</v>
      </c>
      <c r="FP76" s="6">
        <f>COUNTIFS(Table62[Country],Tabela1[[#This Row],[Country]],Table62[Classification],"&gt;0")</f>
        <v>0</v>
      </c>
      <c r="FQ76" s="6">
        <f>COUNTIFS(Table47[Country],Tabela1[[#This Row],[Country]],Table47[All-Around Classification],"&gt;0")</f>
        <v>0</v>
      </c>
      <c r="FR76" s="6">
        <f>COUNTIFS(Table48[Country],Tabela1[[#This Row],[Country]],Table48[All-Around Classification],"&gt;0")</f>
        <v>0</v>
      </c>
      <c r="FS76" s="6">
        <f>COUNTIFS(Table81[Country],Tabela1[[#This Row],[Country]],Table81[Men''s All-Around Classification],"&gt;0")</f>
        <v>0</v>
      </c>
      <c r="FT76" s="6">
        <f>COUNTIFS(Table81[Country],Tabela1[[#This Row],[Country]],Table81[Women''s All-Around Classification],"&gt;0")</f>
        <v>0</v>
      </c>
      <c r="FU76" s="6">
        <f>COUNTIFS(Table48[Country],Tabela1[[#This Row],[Country]],Table48[Balance Beam Classification],"&gt;0")</f>
        <v>0</v>
      </c>
      <c r="FV76" s="6">
        <f>COUNTIFS(Table47[Country],Tabela1[[#This Row],[Country]],Table47[Floor Exercise Classification],"&gt;0")</f>
        <v>0</v>
      </c>
      <c r="FW76" s="6">
        <f>COUNTIFS(Table48[Country],Tabela1[[#This Row],[Country]],Table48[Floor Exercise Classification],"&gt;0")</f>
        <v>0</v>
      </c>
      <c r="FX76" s="6">
        <f>COUNTIFS(Table47[Country],Tabela1[[#This Row],[Country]],Table47[Horizontal Bar Classification],"&gt;0")</f>
        <v>0</v>
      </c>
      <c r="FY76" s="6">
        <f>COUNTIFS(Table47[Country],Tabela1[[#This Row],[Country]],Table47[Parallel Bars Classification],"&gt;0")</f>
        <v>0</v>
      </c>
      <c r="FZ76" s="6">
        <f>COUNTIFS(Table47[Country],Tabela1[[#This Row],[Country]],Table47[Pommel Horse Classification],"&gt;0")</f>
        <v>0</v>
      </c>
      <c r="GA76" s="6">
        <f>COUNTIFS(Table47[Country],Tabela1[[#This Row],[Country]],Table47[Rings Classification],"&gt;0")</f>
        <v>0</v>
      </c>
      <c r="GB76" s="6">
        <f>COUNTIFS(Tabela132[Country],Tabela1[[#This Row],[Country]],Tabela132[Classification],"&gt;0")</f>
        <v>0</v>
      </c>
      <c r="GC76" s="6">
        <f>COUNTIFS(Tabela139[Country],Tabela1[[#This Row],[Country]],Tabela139[Classification],"&gt;0")</f>
        <v>0</v>
      </c>
      <c r="GD76" s="6">
        <f>COUNTIFS(Table48[Country],Tabela1[[#This Row],[Country]],Table48[Uneven Bars Classification],"&gt;0")</f>
        <v>0</v>
      </c>
      <c r="GE76" s="6">
        <f>COUNTIFS(Table47[Country],Tabela1[[#This Row],[Country]],Table47[Vault Classification],"&gt;0")</f>
        <v>0</v>
      </c>
      <c r="GF76" s="6">
        <f>COUNTIFS(Table48[Country],Tabela1[[#This Row],[Country]],Table48[Vault Classification],"&gt;0")</f>
        <v>0</v>
      </c>
      <c r="GG76" s="6">
        <f>COUNTIFS(Table919496[Country],Tabela1[[#This Row],[Country]],Table919496[Men''s Classification],"&gt;0")</f>
        <v>0</v>
      </c>
      <c r="GH76" s="6">
        <f>COUNTIFS(Table919496[Country],Tabela1[[#This Row],[Country]],Table919496[Women''s Classification],"&gt;0")</f>
        <v>0</v>
      </c>
      <c r="GI76" s="6">
        <f>COUNTIFS(Table12[Country],Tabela1[[#This Row],[Country]],Table12[60kg Classification],"&gt;0")</f>
        <v>1</v>
      </c>
      <c r="GJ76" s="6">
        <f>COUNTIFS(Table12[Country],Tabela1[[#This Row],[Country]],Table12[66kg Classification],"&gt;0")</f>
        <v>0</v>
      </c>
      <c r="GK76" s="6">
        <f>COUNTIFS(Table12[Country],Tabela1[[#This Row],[Country]],Table12[73kg Classification],"&gt;0")</f>
        <v>0</v>
      </c>
      <c r="GL76" s="6">
        <f>COUNTIFS(Table12[Country],Tabela1[[#This Row],[Country]],Table12[81kg Classification],"&gt;0")</f>
        <v>0</v>
      </c>
      <c r="GM76" s="6">
        <f>COUNTIFS(Table12[Country],Tabela1[[#This Row],[Country]],Table12[90kg Classification],"&gt;0")</f>
        <v>0</v>
      </c>
      <c r="GN76" s="6">
        <f>COUNTIFS(Table12[Country],Tabela1[[#This Row],[Country]],Table12[100kg Classification],"&gt;0")</f>
        <v>0</v>
      </c>
      <c r="GO76" s="6">
        <f>COUNTIFS(Table12[Country],Tabela1[[#This Row],[Country]],Table12[Plus 100kg Classification],"&gt;0")</f>
        <v>0</v>
      </c>
      <c r="GP76" s="6">
        <f>COUNTIFS(Table13[Country],Tabela1[[#This Row],[Country]],Table13[48kg Classification],"&gt;0")</f>
        <v>0</v>
      </c>
      <c r="GQ76" s="6">
        <f>COUNTIFS(Table13[Country],Tabela1[[#This Row],[Country]],Table13[52kg Classification],"&gt;0")</f>
        <v>0</v>
      </c>
      <c r="GR76" s="6">
        <f>COUNTIFS(Table13[Country],Tabela1[[#This Row],[Country]],Table13[57kg Classification],"&gt;0")</f>
        <v>0</v>
      </c>
      <c r="GS76" s="6">
        <f>COUNTIFS(Table13[Country],Tabela1[[#This Row],[Country]],Table13[63kg Classification],"&gt;0")</f>
        <v>0</v>
      </c>
      <c r="GT76" s="6">
        <f>COUNTIFS(Table13[Country],Tabela1[[#This Row],[Country]],Table13[70kg Classification],"&gt;0")</f>
        <v>0</v>
      </c>
      <c r="GU76" s="6">
        <f>COUNTIFS(Table13[Country],Tabela1[[#This Row],[Country]],Table13[78kg Classification],"&gt;0")</f>
        <v>0</v>
      </c>
      <c r="GV76" s="6">
        <f>COUNTIFS(Table13[Country],Tabela1[[#This Row],[Country]],Table13[Plus 78kg Classification],"&gt;0")</f>
        <v>0</v>
      </c>
      <c r="GW76" s="6">
        <f>COUNTIFS(Table82[Country],Tabela1[[#This Row],[Country]],Table82[Mixed Classification],"&gt;0")</f>
        <v>0</v>
      </c>
      <c r="GX76" s="6">
        <f>COUNTIFS(Table51[Country],Tabela1[[#This Row],[Country]],Table51[Classification],"&gt;0")</f>
        <v>0</v>
      </c>
      <c r="GY76" s="6">
        <f>COUNTIFS(Table52[Country],Tabela1[[#This Row],[Country]],Table52[Classification],"&gt;0")</f>
        <v>0</v>
      </c>
      <c r="GZ76" s="6">
        <f>COUNTIFS(Table32[Country],Tabela1[[#This Row],[Country]],Table32[All-Around Classification],"&gt;0")</f>
        <v>0</v>
      </c>
      <c r="HA76" s="6">
        <f>COUNTIFS(Table49[Country],Tabela1[[#This Row],[Country]],Table49[All-Around Classification],"&gt;0")</f>
        <v>0</v>
      </c>
      <c r="HB76" s="6">
        <f>COUNTIFS(Table26[Country],Tabela1[[#This Row],[Country]],Table26[Single Sculls Classification],"&gt;0")</f>
        <v>0</v>
      </c>
      <c r="HC76" s="6">
        <f>COUNTIFS(Table63[Country],Tabela1[[#This Row],[Country]],Table63[Single Sculls Classification],"&gt;0")</f>
        <v>0</v>
      </c>
      <c r="HD76" s="6">
        <f>COUNTIFS(Table16[Country],Tabela1[[#This Row],[Country]],Table16[Men''s Double Sculls Classification],"&gt;0")</f>
        <v>0</v>
      </c>
      <c r="HE76" s="6">
        <f>COUNTIFS(Table16[Country],Tabela1[[#This Row],[Country]],Table16[Women''s Double Sculls Classification],"&gt;0")</f>
        <v>0</v>
      </c>
      <c r="HF76" s="6">
        <f>COUNTIFS(Table72[Country],Tabela1[[#This Row],[Country]],Table72[Men''s Quadruple Sculls Classification],"&gt;0")</f>
        <v>0</v>
      </c>
      <c r="HG76" s="6">
        <f>COUNTIFS(Table72[Country],Tabela1[[#This Row],[Country]],Table72[Women''s Quadruple Sculls Classification],"&gt;0")</f>
        <v>0</v>
      </c>
      <c r="HH76" s="6">
        <f>COUNTIFS(Table16[Country],Tabela1[[#This Row],[Country]],Table16[Men''s Coxless Pairs Classification],"&gt;0")</f>
        <v>0</v>
      </c>
      <c r="HI76" s="6">
        <f>COUNTIFS(Table16[Country],Tabela1[[#This Row],[Country]],Table16[Women''s Coxless Pairs Classification],"&gt;0")</f>
        <v>0</v>
      </c>
      <c r="HJ76" s="6">
        <f>COUNTIFS(Table72[Country],Tabela1[[#This Row],[Country]],Table72[Men''s Coxless Fours Classification],"&gt;0")</f>
        <v>0</v>
      </c>
      <c r="HK76" s="6">
        <f>COUNTIFS(Table72[Country],Tabela1[[#This Row],[Country]],Table72[Women''s Coxless Fours Classification],"&gt;0")</f>
        <v>0</v>
      </c>
      <c r="HL76" s="6">
        <f>COUNTIFS(Table72[Country],Tabela1[[#This Row],[Country]],Table72[Men''s Eights Classification],"&gt;0")</f>
        <v>0</v>
      </c>
      <c r="HM76" s="6">
        <f>COUNTIFS(Table72[Country],Tabela1[[#This Row],[Country]],Table72[Women''s Eights Classification],"&gt;0")</f>
        <v>0</v>
      </c>
      <c r="HN76" s="6">
        <f>COUNTIFS(Table16[Country],Tabela1[[#This Row],[Country]],Table16[Men''s Lwt. Double Sculls Classification],"&gt;0")</f>
        <v>0</v>
      </c>
      <c r="HO76" s="6">
        <f>COUNTIFS(Table16[Country],Tabela1[[#This Row],[Country]],Table16[Women''s Lwt. Double Sculls Classification],"&gt;0")</f>
        <v>0</v>
      </c>
      <c r="HP76" s="6">
        <f>COUNTIFS(Table91949698[Country],Tabela1[[#This Row],[Country]],Table91949698[Men''s Classification],"&gt;0")</f>
        <v>0</v>
      </c>
      <c r="HQ76" s="6">
        <f>COUNTIFS(Table91949698[Country],Tabela1[[#This Row],[Country]],Table91949698[Women''s Classification],"&gt;0")</f>
        <v>0</v>
      </c>
      <c r="HR76" s="6">
        <f>COUNTIFS(Table25[Country],Tabela1[[#This Row],[Country]],Table25[Mixed 470 Classification],"&gt;0")</f>
        <v>0</v>
      </c>
      <c r="HS76" s="6">
        <f>COUNTIFS(Table25[Country],Tabela1[[#This Row],[Country]],Table25[Men''s 49er Classification],"&gt;0")</f>
        <v>0</v>
      </c>
      <c r="HT76" s="6">
        <f>COUNTIFS(Table25[Country],Tabela1[[#This Row],[Country]],Table25[Women''s 49er FX Classification],"&gt;0")</f>
        <v>0</v>
      </c>
      <c r="HU76" s="6">
        <f>COUNTIFS(Table17[Country],Tabela1[[#This Row],[Country]],Table17[Formula Kite Classification],"&gt;0")</f>
        <v>0</v>
      </c>
      <c r="HV76" s="6">
        <f>COUNTIFS(Table18[Country],Tabela1[[#This Row],[Country]],Table18[Formula Kite Classification],"&gt;0")</f>
        <v>0</v>
      </c>
      <c r="HW76" s="6">
        <f>COUNTIFS(Table17[Country],Tabela1[[#This Row],[Country]],Table17[ILCA 7 Classification],"&gt;0")</f>
        <v>0</v>
      </c>
      <c r="HX76" s="6">
        <f>COUNTIFS(Table18[Country],Tabela1[[#This Row],[Country]],Table18[ILCA 6 Classification],"&gt;0")</f>
        <v>0</v>
      </c>
      <c r="HY76" s="6">
        <f>COUNTIFS(Table17[Country],Tabela1[[#This Row],[Country]],Table17[IQFoil Classification],"&gt;0")</f>
        <v>0</v>
      </c>
      <c r="HZ76" s="6">
        <f>COUNTIFS(Table18[Country],Tabela1[[#This Row],[Country]],Table18[IQFoil Classification],"&gt;0")</f>
        <v>0</v>
      </c>
      <c r="IA76" s="6">
        <f>COUNTIFS(Table25[Country],Tabela1[[#This Row],[Country]],Table25[Mixed Nacra 17 Classification],"&gt;0")</f>
        <v>0</v>
      </c>
      <c r="IB76" s="6">
        <f>COUNTIFS(Table53[Country],Tabela1[[#This Row],[Country]],Table53[10m Air Pistol Classification],"&gt;0")</f>
        <v>0</v>
      </c>
      <c r="IC76" s="6">
        <f>COUNTIFS(Table19[Country],Tabela1[[#This Row],[Country]],Table19[10m Air Pistol Classification],"&gt;0")</f>
        <v>0</v>
      </c>
      <c r="ID76" s="6">
        <f>COUNTIFS(Table54[Country],Tabela1[[#This Row],[Country]],Table54[Mixed 10m Air Pistol Team Classification],"&gt;0")</f>
        <v>0</v>
      </c>
      <c r="IE76" s="6">
        <f>COUNTIFS(Table53[Country],Tabela1[[#This Row],[Country]],Table53[10m Air Rifle Classification],"&gt;0")</f>
        <v>0</v>
      </c>
      <c r="IF76" s="6">
        <f>COUNTIFS(Table19[Country],Tabela1[[#This Row],[Country]],Table19[10m Air Rifle Classification],"&gt;0")</f>
        <v>0</v>
      </c>
      <c r="IG76" s="6">
        <f>COUNTIFS(Table54[Country],Tabela1[[#This Row],[Country]],Table54[Mixed 10m Air Rifle Team Classification],"&gt;0")</f>
        <v>0</v>
      </c>
      <c r="IH76" s="6">
        <f>COUNTIFS(Table53[Country],Tabela1[[#This Row],[Country]],Table53[25m Rapid Fire Pistol Classification],"&gt;0")</f>
        <v>0</v>
      </c>
      <c r="II76" s="6">
        <f>COUNTIFS(Table19[Country],Tabela1[[#This Row],[Country]],Table19[25m Pistol Classification],"&gt;0")</f>
        <v>0</v>
      </c>
      <c r="IJ76" s="6">
        <f>COUNTIFS(Table53[Country],Tabela1[[#This Row],[Country]],Table53[50m Rifle 3 Positions Classification],"&gt;0")</f>
        <v>0</v>
      </c>
      <c r="IK76" s="6">
        <f>COUNTIFS(Table19[Country],Tabela1[[#This Row],[Country]],Table19[50m Rifle 3 Positions Classification],"&gt;0")</f>
        <v>0</v>
      </c>
      <c r="IL76" s="6">
        <f>COUNTIFS(Table53[Country],Tabela1[[#This Row],[Country]],Table53[Skeet Classification],"&gt;0")</f>
        <v>0</v>
      </c>
      <c r="IM76" s="6">
        <f>COUNTIFS(Table19[Country],Tabela1[[#This Row],[Country]],Table19[Skeet Classification],"&gt;0")</f>
        <v>0</v>
      </c>
      <c r="IN76" s="6">
        <f>COUNTIFS(Table54[Country],Tabela1[[#This Row],[Country]],Table54[Mixed Skeet Team Classification],"&gt;0")</f>
        <v>0</v>
      </c>
      <c r="IO76" s="6">
        <f>COUNTIFS(Table53[Country],Tabela1[[#This Row],[Country]],Table53[Trap Classification],"&gt;0")</f>
        <v>0</v>
      </c>
      <c r="IP76" s="6">
        <f>COUNTIFS(Table19[Country],Tabela1[[#This Row],[Country]],Table19[Trap Classification],"&gt;0")</f>
        <v>0</v>
      </c>
      <c r="IQ76" s="6">
        <f>COUNTIFS(Table73[Country],Tabela1[[#This Row],[Country]],Table73[Park Classification],"&gt;0")</f>
        <v>0</v>
      </c>
      <c r="IR76" s="6">
        <f>COUNTIFS(Table74[Country],Tabela1[[#This Row],[Country]],Table74[Park Classification],"&gt;0")</f>
        <v>0</v>
      </c>
      <c r="IS76" s="6">
        <f>COUNTIFS(Table73[Country],Tabela1[[#This Row],[Country]],Table73[Street Classification],"&gt;0")</f>
        <v>0</v>
      </c>
      <c r="IT76" s="6">
        <f>COUNTIFS(Table74[Country],Tabela1[[#This Row],[Country]],Table74[Street Classification],"&gt;0")</f>
        <v>0</v>
      </c>
      <c r="IU76" s="6">
        <f>COUNTIFS(Table75[Country],Tabela1[[#This Row],[Country]],Table75[Boulder and Lead Classification],"&gt;0")</f>
        <v>0</v>
      </c>
      <c r="IV76" s="6">
        <f>COUNTIFS(Table76[Country],Tabela1[[#This Row],[Country]],Table76[Boulder and Lead Classification],"&gt;0")</f>
        <v>0</v>
      </c>
      <c r="IW76" s="6">
        <f>COUNTIFS(Table75[Country],Tabela1[[#This Row],[Country]],Table75[Speed Classification],"&gt;0")</f>
        <v>0</v>
      </c>
      <c r="IX76" s="6">
        <f>COUNTIFS(Table76[Country],Tabela1[[#This Row],[Country]],Table76[Speed Classification],"&gt;0")</f>
        <v>0</v>
      </c>
      <c r="IY76" s="6">
        <f>COUNTIFS(Table64[Country],Tabela1[[#This Row],[Country]],Table64[Shortboard Classification],"&gt;0")</f>
        <v>0</v>
      </c>
      <c r="IZ76" s="6">
        <f>COUNTIFS(Table77[Country],Tabela1[[#This Row],[Country]],Table77[Shortboard Classification],"&gt;0")</f>
        <v>0</v>
      </c>
      <c r="JA76" s="6">
        <f>COUNTIFS(Table20[Country],Tabela1[[#This Row],[Country]],Table20[50m Freestyle Classification],"&gt;0")</f>
        <v>1</v>
      </c>
      <c r="JB76" s="6">
        <f>COUNTIFS(Table21[Country],Tabela1[[#This Row],[Country]],Table21[50m Freestyle Classification],"&gt;0")</f>
        <v>0</v>
      </c>
      <c r="JC76" s="6">
        <f>COUNTIFS(Table20[Country],Tabela1[[#This Row],[Country]],Table20[100m Freestyle Classification],"&gt;0")</f>
        <v>0</v>
      </c>
      <c r="JD76" s="6">
        <f>COUNTIFS(Table21[Country],Tabela1[[#This Row],[Country]],Table21[100m Freestyle Classification],"&gt;0")</f>
        <v>0</v>
      </c>
      <c r="JE76" s="6">
        <f>COUNTIFS(Table20[Country],Tabela1[[#This Row],[Country]],Table20[200m Freestyle Classification],"&gt;0")</f>
        <v>0</v>
      </c>
      <c r="JF76" s="6">
        <f>COUNTIFS(Table21[Country],Tabela1[[#This Row],[Country]],Table21[200m Freestyle Classification],"&gt;0")</f>
        <v>0</v>
      </c>
      <c r="JG76" s="6">
        <f>COUNTIFS(Table20[Country],Tabela1[[#This Row],[Country]],Table20[400m Freestyle Classification],"&gt;0")</f>
        <v>0</v>
      </c>
      <c r="JH76" s="6">
        <f>COUNTIFS(Table21[Country],Tabela1[[#This Row],[Country]],Table21[400m Freestyle Classification],"&gt;0")</f>
        <v>0</v>
      </c>
      <c r="JI76" s="6">
        <f>COUNTIFS(Table20[Country],Tabela1[[#This Row],[Country]],Table20[800m Freestyle Classification],"&gt;0")</f>
        <v>0</v>
      </c>
      <c r="JJ76" s="6">
        <f>COUNTIFS(Table21[Country],Tabela1[[#This Row],[Country]],Table21[800m Freestyle Classification],"&gt;0")</f>
        <v>0</v>
      </c>
      <c r="JK76" s="6">
        <f>COUNTIFS(Table20[Country],Tabela1[[#This Row],[Country]],Table20[1500m Freestyle Classification],"&gt;0")</f>
        <v>0</v>
      </c>
      <c r="JL76" s="6">
        <f>COUNTIFS(Table21[Country],Tabela1[[#This Row],[Country]],Table21[1500m Freestyle Classification],"&gt;0")</f>
        <v>0</v>
      </c>
      <c r="JM76" s="6">
        <f>COUNTIFS(Table20[Country],Tabela1[[#This Row],[Country]],Table20[100m Backstroke Classification],"&gt;0")</f>
        <v>0</v>
      </c>
      <c r="JN76" s="6">
        <f>COUNTIFS(Table21[Country],Tabela1[[#This Row],[Country]],Table21[100m Backstroke Classification],"&gt;0")</f>
        <v>0</v>
      </c>
      <c r="JO76" s="6">
        <f>COUNTIFS(Table20[Country],Tabela1[[#This Row],[Country]],Table20[200m Backstroke Classification],"&gt;0")</f>
        <v>0</v>
      </c>
      <c r="JP76" s="6">
        <f>COUNTIFS(Table21[Country],Tabela1[[#This Row],[Country]],Table21[200m Backstroke Classification],"&gt;0")</f>
        <v>0</v>
      </c>
      <c r="JQ76" s="6">
        <f>COUNTIFS(Table20[Country],Tabela1[[#This Row],[Country]],Table20[100m Breaststroke Classification],"&gt;0")</f>
        <v>0</v>
      </c>
      <c r="JR76" s="6">
        <f>COUNTIFS(Table21[Country],Tabela1[[#This Row],[Country]],Table21[100m Breaststroke Classification],"&gt;0")</f>
        <v>0</v>
      </c>
      <c r="JS76" s="6">
        <f>COUNTIFS(Table20[Country],Tabela1[[#This Row],[Country]],Table20[200m Breaststroke Classification],"&gt;0")</f>
        <v>0</v>
      </c>
      <c r="JT76" s="6">
        <f>COUNTIFS(Table21[Country],Tabela1[[#This Row],[Country]],Table21[200m Breaststroke Classification],"&gt;0")</f>
        <v>0</v>
      </c>
      <c r="JU76" s="6">
        <f>COUNTIFS(Table20[Country],Tabela1[[#This Row],[Country]],Table20[100m Butterfly Classification],"&gt;0")</f>
        <v>0</v>
      </c>
      <c r="JV76" s="6">
        <f>COUNTIFS(Table21[Country],Tabela1[[#This Row],[Country]],Table21[100m Butterfly Classification],"&gt;0")</f>
        <v>0</v>
      </c>
      <c r="JW76" s="6">
        <f>COUNTIFS(Table20[Country],Tabela1[[#This Row],[Country]],Table20[200m Butterfly Classification],"&gt;0")</f>
        <v>0</v>
      </c>
      <c r="JX76" s="6">
        <f>COUNTIFS(Table21[Country],Tabela1[[#This Row],[Country]],Table21[200m Butterfly Classification],"&gt;0")</f>
        <v>0</v>
      </c>
      <c r="JY76" s="6">
        <f>COUNTIFS(Table20[Country],Tabela1[[#This Row],[Country]],Table20[200m Medley Classification],"&gt;0")</f>
        <v>0</v>
      </c>
      <c r="JZ76" s="6">
        <f>COUNTIFS(Table21[Country],Tabela1[[#This Row],[Country]],Table21[200m Medley Classification],"&gt;0")</f>
        <v>0</v>
      </c>
      <c r="KA76" s="6">
        <f>COUNTIFS(Table20[Country],Tabela1[[#This Row],[Country]],Table20[400m Medley Classification],"&gt;0")</f>
        <v>0</v>
      </c>
      <c r="KB76" s="6">
        <f>COUNTIFS(Table21[Country],Tabela1[[#This Row],[Country]],Table21[400m Medley Classification],"&gt;0")</f>
        <v>0</v>
      </c>
      <c r="KC76" s="6">
        <f>COUNTIFS(Table78[Country],Tabela1[[#This Row],[Country]],Table78[Men''s 4x100m Freestyle Relay Classification],"&gt;0")</f>
        <v>0</v>
      </c>
      <c r="KD76" s="6">
        <f>COUNTIFS(Table78[Country],Tabela1[[#This Row],[Country]],Table78[Women''s 4x100m Freestyle Relay Classification],"&gt;0")</f>
        <v>0</v>
      </c>
      <c r="KE76" s="6">
        <f>COUNTIFS(Table78[Country],Tabela1[[#This Row],[Country]],Table78[Men''s 4x200m Freestyle Relay Classification],"&gt;0")</f>
        <v>0</v>
      </c>
      <c r="KF76" s="6">
        <f>COUNTIFS(Table78[Country],Tabela1[[#This Row],[Country]],Table78[Women''s 4x200m Freestyle Relay Classification],"&gt;0")</f>
        <v>0</v>
      </c>
      <c r="KG76" s="6">
        <f>COUNTIFS(Table78[Country],Tabela1[[#This Row],[Country]],Table78[Men''s 4x100m Medley Relay Classification],"&gt;0")</f>
        <v>0</v>
      </c>
      <c r="KH76" s="6">
        <f>COUNTIFS(Table78[Country],Tabela1[[#This Row],[Country]],Table78[Women''s 4x100m Medley Relay Classification],"&gt;0")</f>
        <v>0</v>
      </c>
      <c r="KI76" s="6">
        <f>COUNTIFS(Table78[Country],Tabela1[[#This Row],[Country]],Table78[Mixed 4x100m Medley Relay Classification],"&gt;0")</f>
        <v>0</v>
      </c>
      <c r="KJ76" s="6">
        <f>COUNTIFS(Table20[Country],Tabela1[[#This Row],[Country]],Table20[10km Open Water Classification],"&gt;0")</f>
        <v>0</v>
      </c>
      <c r="KK76" s="6">
        <f>COUNTIFS(Table21[Country],Tabela1[[#This Row],[Country]],Table21[10km Open Water Classification],"&gt;0")</f>
        <v>0</v>
      </c>
      <c r="KL76" s="6">
        <f>COUNTIFS(Table22[Country],Tabela1[[#This Row],[Country]],Table22[Classification],"&gt;0")</f>
        <v>0</v>
      </c>
      <c r="KM76" s="6">
        <f>COUNTIFS(Table30[Country],Tabela1[[#This Row],[Country]],Table30[Classification],"&gt;0")</f>
        <v>0</v>
      </c>
      <c r="KN76" s="6">
        <f>COUNTIFS(Table55[Country],Tabela1[[#This Row],[Country]],Table55[Men''s Classification],"&gt;0")</f>
        <v>0</v>
      </c>
      <c r="KO76" s="6">
        <f>COUNTIFS(Table55[Country],Tabela1[[#This Row],[Country]],Table55[Women''s Classification],"&gt;0")</f>
        <v>0</v>
      </c>
      <c r="KP76" s="6">
        <f>COUNTIFS(Table56[Country],Tabela1[[#This Row],[Country]],Table56[Mixed Classification],"&gt;0")</f>
        <v>0</v>
      </c>
      <c r="KQ76" s="6">
        <f>COUNTIFS(Table29[Country],Tabela1[[#This Row],[Country]],Table29[58kg Classification],"&gt;0")</f>
        <v>0</v>
      </c>
      <c r="KR76" s="6">
        <f>COUNTIFS(Table29[Country],Tabela1[[#This Row],[Country]],Table29[68kg Classification],"&gt;0")</f>
        <v>0</v>
      </c>
      <c r="KS76" s="6">
        <f>COUNTIFS(Table29[Country],Tabela1[[#This Row],[Country]],Table29[80kg Classification],"&gt;0")</f>
        <v>0</v>
      </c>
      <c r="KT76" s="6">
        <f>COUNTIFS(Table29[Country],Tabela1[[#This Row],[Country]],Table29[Plus 80kg Classification],"&gt;0")</f>
        <v>0</v>
      </c>
      <c r="KU76" s="6">
        <f>COUNTIFS(Table34[Country],Tabela1[[#This Row],[Country]],Table34[49kg Classification],"&gt;0")</f>
        <v>0</v>
      </c>
      <c r="KV76" s="6">
        <f>COUNTIFS(Table34[Country],Tabela1[[#This Row],[Country]],Table34[57kg Classification],"&gt;0")</f>
        <v>0</v>
      </c>
      <c r="KW76" s="6">
        <f>COUNTIFS(Table34[Country],Tabela1[[#This Row],[Country]],Table34[67kg Classification],"&gt;0")</f>
        <v>0</v>
      </c>
      <c r="KX76" s="6">
        <f>COUNTIFS(Table34[Country],Tabela1[[#This Row],[Country]],Table34[Plus 67kg Classification],"&gt;0")</f>
        <v>0</v>
      </c>
      <c r="KY76" s="6">
        <f>COUNTIFS(Table57[Country],Tabela1[[#This Row],[Country]],Table57[Classification],"&gt;0")</f>
        <v>0</v>
      </c>
      <c r="KZ76" s="6">
        <f>COUNTIFS(Table58[Country],Tabela1[[#This Row],[Country]],Table58[Classification],"&gt;0")</f>
        <v>0</v>
      </c>
      <c r="LA76" s="6">
        <f>COUNTIFS(Table79[Country],Tabela1[[#This Row],[Country]],Table79[Men''s Classification],"&gt;0")</f>
        <v>0</v>
      </c>
      <c r="LB76" s="6">
        <f>COUNTIFS(Table79[Country],Tabela1[[#This Row],[Country]],Table79[Women''s Classification],"&gt;0")</f>
        <v>0</v>
      </c>
      <c r="LC76" s="6">
        <f>COUNTIFS(Table79[Country],Tabela1[[#This Row],[Country]],Table79[Mixed Classification],"&gt;0")</f>
        <v>0</v>
      </c>
      <c r="LD76" s="6">
        <f>COUNTIFS(Table65[Country],Tabela1[[#This Row],[Country]],Table65[Classification],"&gt;0")</f>
        <v>0</v>
      </c>
      <c r="LE76" s="6">
        <f>COUNTIFS(Table59[Country],Tabela1[[#This Row],[Country]],Table59[Classification],"&gt;0")</f>
        <v>0</v>
      </c>
      <c r="LF76" s="6">
        <f>COUNTIFS(Table87[Country],Tabela1[[#This Row],[Country]],Table87[Mixed Relay Classification],"&gt;0")</f>
        <v>0</v>
      </c>
      <c r="LG76" s="6">
        <f>COUNTIFS(Table91949698100[Country],Tabela1[[#This Row],[Country]],Table91949698100[Men''s Classification],"&gt;0")</f>
        <v>0</v>
      </c>
      <c r="LH76" s="6">
        <f>COUNTIFS(Table91949698100[Country],Tabela1[[#This Row],[Country]],Table91949698100[Women''s Classification],"&gt;0")</f>
        <v>0</v>
      </c>
      <c r="LI76" s="6">
        <f>COUNTIFS(Table91949698100102[Country],Tabela1[[#This Row],[Country]],Table91949698100102[Men''s Classification],"&gt;0")</f>
        <v>0</v>
      </c>
      <c r="LJ76" s="6">
        <f>COUNTIFS(Table91949698100102[Country],Tabela1[[#This Row],[Country]],Table91949698100102[Women''s Classification],"&gt;0")</f>
        <v>0</v>
      </c>
      <c r="LK76" s="6">
        <f>COUNTIFS(Table23[Country],Tabela1[[#This Row],[Country]],Table23[61kg Classification],"&gt;0")</f>
        <v>0</v>
      </c>
      <c r="LL76" s="6">
        <f>COUNTIFS(Table23[Country],Tabela1[[#This Row],[Country]],Table23[73kg Classification],"&gt;0")</f>
        <v>0</v>
      </c>
      <c r="LM76" s="6">
        <f>COUNTIFS(Table23[Country],Tabela1[[#This Row],[Country]],Table23[89kg Classification],"&gt;0")</f>
        <v>0</v>
      </c>
      <c r="LN76" s="6">
        <f>COUNTIFS(Table23[Country],Tabela1[[#This Row],[Country]],Table23[102kg Classification],"&gt;0")</f>
        <v>0</v>
      </c>
      <c r="LO76" s="6">
        <f>COUNTIFS(Table23[Country],Tabela1[[#This Row],[Country]],Table23[Plus 102kg Classification],"&gt;0")</f>
        <v>0</v>
      </c>
      <c r="LP76" s="6">
        <f>COUNTIFS(Table28[Country],Tabela1[[#This Row],[Country]],Table28[49kg Classification],"&gt;0")</f>
        <v>0</v>
      </c>
      <c r="LQ76" s="6">
        <f>COUNTIFS(Table28[Country],Tabela1[[#This Row],[Country]],Table28[59kg Classification],"&gt;0")</f>
        <v>0</v>
      </c>
      <c r="LR76" s="6">
        <f>COUNTIFS(Table28[Country],Tabela1[[#This Row],[Country]],Table28[71kg Classification],"&gt;0")</f>
        <v>0</v>
      </c>
      <c r="LS76" s="6">
        <f>COUNTIFS(Table28[Country],Tabela1[[#This Row],[Country]],Table28[81kg Classification],"&gt;0")</f>
        <v>0</v>
      </c>
      <c r="LT76" s="6">
        <f>COUNTIFS(Table28[Country],Tabela1[[#This Row],[Country]],Table28[Plus 81kg Classification],"&gt;0")</f>
        <v>0</v>
      </c>
      <c r="LU76" s="6">
        <f>COUNTIFS(Table24[Country],Tabela1[[#This Row],[Country]],Table24[Freestyle 57kg Classification],"&gt;0")</f>
        <v>0</v>
      </c>
      <c r="LV76" s="6">
        <f>COUNTIFS(Table24[Country],Tabela1[[#This Row],[Country]],Table24[Freestyle 65kg Classification],"&gt;0")</f>
        <v>0</v>
      </c>
      <c r="LW76" s="6">
        <f>COUNTIFS(Table24[Country],Tabela1[[#This Row],[Country]],Table24[Freestyle 74kg Classification],"&gt;0")</f>
        <v>0</v>
      </c>
      <c r="LX76" s="6">
        <f>COUNTIFS(Table24[Country],Tabela1[[#This Row],[Country]],Table24[Freestyle 86kg Classification],"&gt;0")</f>
        <v>0</v>
      </c>
      <c r="LY76" s="6">
        <f>COUNTIFS(Table24[Country],Tabela1[[#This Row],[Country]],Table24[Freestyle 97kg Classification],"&gt;0")</f>
        <v>0</v>
      </c>
      <c r="LZ76" s="6">
        <f>COUNTIFS(Table24[Country],Tabela1[[#This Row],[Country]],Table24[Freestyle 125kg Classification],"&gt;0")</f>
        <v>0</v>
      </c>
      <c r="MA76" s="6">
        <f>COUNTIFS(Table24[Country],Tabela1[[#This Row],[Country]],Table24[Greco-Roman 60kg Classification],"&gt;0")</f>
        <v>0</v>
      </c>
      <c r="MB76" s="6">
        <f>COUNTIFS(Table24[Country],Tabela1[[#This Row],[Country]],Table24[Greco-Roman 67kg Classification],"&gt;0")</f>
        <v>0</v>
      </c>
      <c r="MC76" s="6">
        <f>COUNTIFS(Table24[Country],Tabela1[[#This Row],[Country]],Table24[Greco-Roman 77kg Classification],"&gt;0")</f>
        <v>0</v>
      </c>
      <c r="MD76" s="6">
        <f>COUNTIFS(Table24[Country],Tabela1[[#This Row],[Country]],Table24[Greco-Roman 87kg Classification],"&gt;0")</f>
        <v>0</v>
      </c>
      <c r="ME76" s="6">
        <f>COUNTIFS(Table24[Country],Tabela1[[#This Row],[Country]],Table24[Greco-Roman 97kg Classification],"&gt;0")</f>
        <v>0</v>
      </c>
      <c r="MF76" s="6">
        <f>COUNTIFS(Table24[Country],Tabela1[[#This Row],[Country]],Table24[Greco-Roman 130kg Classification],"&gt;0")</f>
        <v>0</v>
      </c>
      <c r="MG76" s="6">
        <f>COUNTIFS(Table31[Country],Tabela1[[#This Row],[Country]],Table31[50kg Classification],"&gt;0")</f>
        <v>0</v>
      </c>
      <c r="MH76" s="6">
        <f>COUNTIFS(Table31[Country],Tabela1[[#This Row],[Country]],Table31[53kg Classification],"&gt;0")</f>
        <v>0</v>
      </c>
      <c r="MI76" s="6">
        <f>COUNTIFS(Table31[Country],Tabela1[[#This Row],[Country]],Table31[57kg Classification],"&gt;0")</f>
        <v>0</v>
      </c>
      <c r="MJ76" s="6">
        <f>COUNTIFS(Table31[Country],Tabela1[[#This Row],[Country]],Table31[62kg Classification],"&gt;0")</f>
        <v>0</v>
      </c>
      <c r="MK76" s="6">
        <f>COUNTIFS(Table31[Country],Tabela1[[#This Row],[Country]],Table31[68kg Classification],"&gt;0")</f>
        <v>0</v>
      </c>
      <c r="ML76" s="6">
        <f>COUNTIFS(Table31[Country],Tabela1[[#This Row],[Country]],Table31[76kg Classification],"&gt;0")</f>
        <v>0</v>
      </c>
      <c r="MM76" s="6">
        <f>COUNTIFS(Table102[Country],Tabela1[[#This Row],[Country]],Table102[Downhill Classification],"&gt;0")</f>
        <v>0</v>
      </c>
      <c r="MN76" s="6">
        <f>COUNTIFS(Table102105[Country],Tabela1[[#This Row],[Country]],Table102105[Downhill Classification],"&gt;0")</f>
        <v>0</v>
      </c>
      <c r="MO76" s="6">
        <f>COUNTIFS(Table102[Country],Tabela1[[#This Row],[Country]],Table102[Giant Slalom Classification],"&gt;0")</f>
        <v>0</v>
      </c>
      <c r="MP76" s="6">
        <f>COUNTIFS(Table102105[Country],Tabela1[[#This Row],[Country]],Table102105[Giant Slalom Classification],"&gt;0")</f>
        <v>0</v>
      </c>
      <c r="MQ76" s="6">
        <f>COUNTIFS(Table102[Country],Tabela1[[#This Row],[Country]],Table102[Slalom Classification],"&gt;0")</f>
        <v>0</v>
      </c>
      <c r="MR76" s="6">
        <f>COUNTIFS(Table102105[Country],Tabela1[[#This Row],[Country]],Table102105[Slalom Classification],"&gt;0")</f>
        <v>0</v>
      </c>
      <c r="MS76" s="6">
        <f>COUNTIFS(Table102[Country],Tabela1[[#This Row],[Country]],Table102[Super-G Classification],"&gt;0")</f>
        <v>0</v>
      </c>
      <c r="MT76" s="6">
        <f>COUNTIFS(Table102105[Country],Tabela1[[#This Row],[Country]],Table102105[Super-G Classification],"&gt;0")</f>
        <v>0</v>
      </c>
      <c r="MU76" s="6">
        <f>COUNTIFS(Table105[Country],Tabela1[[#This Row],[Country]],Table105[Men''s Combined Classification],"&gt;0")</f>
        <v>0</v>
      </c>
      <c r="MV76" s="6">
        <f>COUNTIFS(Table105[Country],Tabela1[[#This Row],[Country]],Table105[Women''s Combined Classification],"&gt;0")</f>
        <v>0</v>
      </c>
      <c r="MW76" s="6">
        <f>COUNTIFS(Table106[Country],Tabela1[[#This Row],[Country]],Table106[Individual Classification],"&gt;0")</f>
        <v>0</v>
      </c>
      <c r="MX76" s="6">
        <f>COUNTIFS(Table106109[Country],Tabela1[[#This Row],[Country]],Table106109[Individual Classification],"&gt;0")</f>
        <v>0</v>
      </c>
      <c r="MY76" s="6">
        <f>COUNTIFS(Table106[Country],Tabela1[[#This Row],[Country]],Table106[Mass Start Classification],"&gt;0")</f>
        <v>0</v>
      </c>
      <c r="MZ76" s="6">
        <f>COUNTIFS(Table106109[Country],Tabela1[[#This Row],[Country]],Table106109[Mass Start Classification],"&gt;0")</f>
        <v>0</v>
      </c>
      <c r="NA76" s="6">
        <f>COUNTIFS(Table106[Country],Tabela1[[#This Row],[Country]],Table106[Pursuit Classification],"&gt;0")</f>
        <v>0</v>
      </c>
      <c r="NB76" s="6">
        <f>COUNTIFS(Table106109[Country],Tabela1[[#This Row],[Country]],Table106109[Pursuit Classification],"&gt;0")</f>
        <v>0</v>
      </c>
      <c r="NC76" s="6">
        <f>COUNTIFS(Table106[Country],Tabela1[[#This Row],[Country]],Table106[Sprint Classification],"&gt;0")</f>
        <v>0</v>
      </c>
      <c r="ND76" s="6">
        <f>COUNTIFS(Table106109[Country],Tabela1[[#This Row],[Country]],Table106109[Sprint Classification],"&gt;0")</f>
        <v>0</v>
      </c>
      <c r="NE76" s="6">
        <f>COUNTIFS(Table109[Country],Tabela1[[#This Row],[Country]],Table109[Men''s Relay Classification],"&gt;0")</f>
        <v>0</v>
      </c>
      <c r="NF76" s="6">
        <f>COUNTIFS(Table109[Country],Tabela1[[#This Row],[Country]],Table109[Women''s Relay Classification],"&gt;0")</f>
        <v>0</v>
      </c>
      <c r="NG76" s="6">
        <f>COUNTIFS(Table109[Country],Tabela1[[#This Row],[Country]],Table109[Mixed Relay Classification],"&gt;0")</f>
        <v>0</v>
      </c>
      <c r="NH76" s="6">
        <f>COUNTIFS(Table110[Country],Tabela1[[#This Row],[Country]],Table110[Monobob Classification],"&gt;0")</f>
        <v>0</v>
      </c>
      <c r="NI76" s="6">
        <f>COUNTIFS(Table111[Country],Tabela1[[#This Row],[Country]],Table111[Men''s Classification],"&gt;0")</f>
        <v>0</v>
      </c>
      <c r="NJ76" s="6">
        <f>COUNTIFS(Table111[Country],Tabela1[[#This Row],[Country]],Table111[Women''s Classification],"&gt;0")</f>
        <v>0</v>
      </c>
      <c r="NK76" s="6">
        <f>COUNTIFS(Table112[Country],Tabela1[[#This Row],[Country]],Table112[Men''s Four Classification],"&gt;0")</f>
        <v>0</v>
      </c>
      <c r="NL76" s="6">
        <f>COUNTIFS(Table113[Country],Tabela1[[#This Row],[Country]],Table113[Classical Classification],"&gt;0")</f>
        <v>0</v>
      </c>
      <c r="NM76" s="6">
        <f>COUNTIFS(Table113116[Country],Tabela1[[#This Row],[Country]],Table113116[Classical Classification],"&gt;0")</f>
        <v>0</v>
      </c>
      <c r="NN76" s="6">
        <f>COUNTIFS(Table113[Country],Tabela1[[#This Row],[Country]],Table113[Freestyle Classification],"&gt;0")</f>
        <v>0</v>
      </c>
      <c r="NO76" s="6">
        <f>COUNTIFS(Table113116[Country],Tabela1[[#This Row],[Country]],Table113116[Freestyle Classification],"&gt;0")</f>
        <v>0</v>
      </c>
      <c r="NP76" s="6">
        <f>COUNTIFS(Table117[Country],Tabela1[[#This Row],[Country]],Table117[Men''s Relay Classification],"&gt;0")</f>
        <v>0</v>
      </c>
      <c r="NQ76" s="6">
        <f>COUNTIFS(Table117[Country],Tabela1[[#This Row],[Country]],Table117[Women''s Relay Classification],"&gt;0")</f>
        <v>0</v>
      </c>
      <c r="NR76" s="6">
        <f>COUNTIFS(Table113[Country],Tabela1[[#This Row],[Country]],Table113[Skiathlon Classification],"&gt;0")</f>
        <v>0</v>
      </c>
      <c r="NS76" s="6">
        <f>COUNTIFS(Table113116[Country],Tabela1[[#This Row],[Country]],Table113116[Skiathlon Classification],"&gt;0")</f>
        <v>0</v>
      </c>
      <c r="NT76" s="6">
        <f>COUNTIFS(Table113[Country],Tabela1[[#This Row],[Country]],Table113[Sprint Classification],"&gt;0")</f>
        <v>0</v>
      </c>
      <c r="NU76" s="6">
        <f>COUNTIFS(Table113116[Country],Tabela1[[#This Row],[Country]],Table113116[Sprint Classification],"&gt;0")</f>
        <v>0</v>
      </c>
      <c r="NV76" s="6">
        <f>COUNTIFS(Table116[Country],Tabela1[[#This Row],[Country]],Table116[Men''s Team Sprint Classification],"&gt;0")</f>
        <v>0</v>
      </c>
      <c r="NW76" s="6">
        <f>COUNTIFS(Table116[Country],Tabela1[[#This Row],[Country]],Table116[Women''s Team Sprint Classification],"&gt;0")</f>
        <v>0</v>
      </c>
      <c r="NX76" s="6">
        <f>COUNTIFS(Table119[Country],Tabela1[[#This Row],[Country]],Table119[Men''s Classification],"&gt;0")</f>
        <v>0</v>
      </c>
      <c r="NY76" s="6">
        <f>COUNTIFS(Table119[Country],Tabela1[[#This Row],[Country]],Table119[Women''s Classification],"&gt;0")</f>
        <v>0</v>
      </c>
      <c r="NZ76" s="6">
        <f>COUNTIFS(Table118[Country],Tabela1[[#This Row],[Country]],Table118[Mixed Classification],"&gt;0")</f>
        <v>0</v>
      </c>
      <c r="OA76" s="6">
        <f>COUNTIFS(Table120[Country],Tabela1[[#This Row],[Country]],Table120[Classification],"&gt;0")</f>
        <v>0</v>
      </c>
      <c r="OB76" s="6">
        <f>COUNTIFS(Table120123[Country],Tabela1[[#This Row],[Country]],Table120123[Classification],"&gt;0")</f>
        <v>0</v>
      </c>
      <c r="OC76" s="6">
        <f>COUNTIFS(Table123[Country],Tabela1[[#This Row],[Country]],Table123[Ice Dance Classification],"&gt;0")</f>
        <v>0</v>
      </c>
      <c r="OD76" s="6">
        <f>COUNTIFS(Table123[Country],Tabela1[[#This Row],[Country]],Table123[Pair Skating Classification],"&gt;0")</f>
        <v>0</v>
      </c>
      <c r="OE76" s="6">
        <f>COUNTIFS(Table124[Country],Tabela1[[#This Row],[Country]],Table124[Mixed Classification],"&gt;0")</f>
        <v>0</v>
      </c>
      <c r="OF76" s="6">
        <f>COUNTIFS(Table125[Country],Tabela1[[#This Row],[Country]],Table125[Aerials Classification],"&gt;0")</f>
        <v>0</v>
      </c>
      <c r="OG76" s="6">
        <f>COUNTIFS(Table125128[Country],Tabela1[[#This Row],[Country]],Table125128[Aerials Classification],"&gt;0")</f>
        <v>0</v>
      </c>
      <c r="OH76" s="6">
        <f>COUNTIFS(Table128[Country],Tabela1[[#This Row],[Country]],Table128[Mixed Aerials Classification],"&gt;0")</f>
        <v>0</v>
      </c>
      <c r="OI76" s="6">
        <f>COUNTIFS(Table125[Country],Tabela1[[#This Row],[Country]],Table125[Big Air Classification],"&gt;0")</f>
        <v>0</v>
      </c>
      <c r="OJ76" s="6">
        <f>COUNTIFS(Table125128[Country],Tabela1[[#This Row],[Country]],Table125128[Big Air Classification],"&gt;0")</f>
        <v>0</v>
      </c>
      <c r="OK76" s="6">
        <f>COUNTIFS(Table125[Country],Tabela1[[#This Row],[Country]],Table125[Dual Moguls Classification],"&gt;0")</f>
        <v>0</v>
      </c>
      <c r="OL76" s="6">
        <f>COUNTIFS(Table125128[Country],Tabela1[[#This Row],[Country]],Table125128[Dual Moguls Classification],"&gt;0")</f>
        <v>0</v>
      </c>
      <c r="OM76" s="6">
        <f>COUNTIFS(Table125[Country],Tabela1[[#This Row],[Country]],Table125[Halfpipe Classification],"&gt;0")</f>
        <v>0</v>
      </c>
      <c r="ON76" s="6">
        <f>COUNTIFS(Table125128[Country],Tabela1[[#This Row],[Country]],Table125128[Halfpipe Classification],"&gt;0")</f>
        <v>0</v>
      </c>
      <c r="OO76" s="6">
        <f>COUNTIFS(Table125[Country],Tabela1[[#This Row],[Country]],Table125[Moguls Classification],"&gt;0")</f>
        <v>0</v>
      </c>
      <c r="OP76" s="6">
        <f>COUNTIFS(Table125128[Country],Tabela1[[#This Row],[Country]],Table125128[Moguls Classification],"&gt;0")</f>
        <v>0</v>
      </c>
      <c r="OQ76" s="6">
        <f>COUNTIFS(Table125[Country],Tabela1[[#This Row],[Country]],Table125[Ski Cross Classification],"&gt;0")</f>
        <v>0</v>
      </c>
      <c r="OR76" s="6">
        <f>COUNTIFS(Table125128[Country],Tabela1[[#This Row],[Country]],Table125128[Ski Cross Classification],"&gt;0")</f>
        <v>0</v>
      </c>
      <c r="OS76" s="6">
        <f>COUNTIFS(Table125[Country],Tabela1[[#This Row],[Country]],Table125[Slopestyle Classification],"&gt;0")</f>
        <v>0</v>
      </c>
      <c r="OT76" s="6">
        <f>COUNTIFS(Table125128[Country],Tabela1[[#This Row],[Country]],Table125128[Slopestyle Classification],"&gt;0")</f>
        <v>0</v>
      </c>
      <c r="OU76" s="6">
        <f>COUNTIFS(Table119131[Country],Tabela1[[#This Row],[Country]],Table119131[Men''s Classification],"&gt;0")</f>
        <v>0</v>
      </c>
      <c r="OV76" s="6">
        <f>COUNTIFS(Table119131[Country],Tabela1[[#This Row],[Country]],Table119131[Women''s Classification],"&gt;0")</f>
        <v>0</v>
      </c>
      <c r="OW76" s="6">
        <f>COUNTIFS(Table131[Country],Tabela1[[#This Row],[Country]],Table131[Classification],"&gt;0")</f>
        <v>0</v>
      </c>
      <c r="OX76" s="6">
        <f>COUNTIFS(Table131134[Country],Tabela1[[#This Row],[Country]],Table131134[Classification],"&gt;0")</f>
        <v>0</v>
      </c>
      <c r="OY76" s="6">
        <f>COUNTIFS(Table134[Country],Tabela1[[#This Row],[Country]],Table134[Men''s Classification],"&gt;0")</f>
        <v>0</v>
      </c>
      <c r="OZ76" s="6">
        <f>COUNTIFS(Table134[Country],Tabela1[[#This Row],[Country]],Table134[Women''s Classification],"&gt;0")</f>
        <v>0</v>
      </c>
      <c r="PA76" s="6">
        <f>COUNTIFS(Table135[Country],Tabela1[[#This Row],[Country]],Table135[Mixed Relay Classification],"&gt;0")</f>
        <v>0</v>
      </c>
      <c r="PB76" s="6">
        <f>COUNTIFS(Table136[Country],Tabela1[[#This Row],[Country]],Table136[Individual Classification],"&gt;0")</f>
        <v>0</v>
      </c>
      <c r="PC76" s="6">
        <f>COUNTIFS(Table136[Country],Tabela1[[#This Row],[Country]],Table136[Sprint Classification],"&gt;0")</f>
        <v>0</v>
      </c>
      <c r="PD76" s="6">
        <f>COUNTIFS(Table137[Country],Tabela1[[#This Row],[Country]],Table137[Men''s Team Sprint Large Hill Classification],"&gt;0")</f>
        <v>0</v>
      </c>
      <c r="PE76" s="6">
        <f>COUNTIFS(Table138[Country],Tabela1[[#This Row],[Country]],Table138[500m Classification],"&gt;0")</f>
        <v>0</v>
      </c>
      <c r="PF76" s="6">
        <f>COUNTIFS(Table138141[Country],Tabela1[[#This Row],[Country]],Table138141[500m Classification],"&gt;0")</f>
        <v>0</v>
      </c>
      <c r="PG76" s="6">
        <f>COUNTIFS(Table138[Country],Tabela1[[#This Row],[Country]],Table138[1000m Classification],"&gt;0")</f>
        <v>0</v>
      </c>
      <c r="PH76" s="6">
        <f>COUNTIFS(Table138141[Country],Tabela1[[#This Row],[Country]],Table138141[1000m Classification],"&gt;0")</f>
        <v>0</v>
      </c>
      <c r="PI76" s="6">
        <f>COUNTIFS(Table138[Country],Tabela1[[#This Row],[Country]],Table138[1500m Classification],"&gt;0")</f>
        <v>0</v>
      </c>
      <c r="PJ76" s="6">
        <f>COUNTIFS(Table138141[Country],Tabela1[[#This Row],[Country]],Table138141[1500m Classification],"&gt;0")</f>
        <v>0</v>
      </c>
      <c r="PK76" s="6">
        <f>COUNTIFS(Table141[Country],Tabela1[[#This Row],[Country]],Table141[Men''s 5000m Relay Classification],"&gt;0")</f>
        <v>0</v>
      </c>
      <c r="PL76" s="6">
        <f>COUNTIFS(Table141[Country],Tabela1[[#This Row],[Country]],Table141[Women''s 3000m Relay Classification],"&gt;0")</f>
        <v>0</v>
      </c>
      <c r="PM76" s="6">
        <f>COUNTIFS(Table141[Country],Tabela1[[#This Row],[Country]],Table141[Mixed 2000m Relay Classification],"&gt;0")</f>
        <v>0</v>
      </c>
      <c r="PN76" s="6">
        <f>COUNTIFS(Table142[Country],Tabela1[[#This Row],[Country]],Table142[Classification],"&gt;0")</f>
        <v>0</v>
      </c>
      <c r="PO76" s="6">
        <f>COUNTIFS(Table142145[Country],Tabela1[[#This Row],[Country]],Table142145[Classification],"&gt;0")</f>
        <v>0</v>
      </c>
      <c r="PP76" s="6">
        <f>COUNTIFS(Tabela15[Country],Tabela1[[#This Row],[Country]],Tabela15[Mixed Team Classification],"&gt;0")</f>
        <v>0</v>
      </c>
      <c r="PQ76" s="6">
        <f>COUNTIFS(Table145[Country],Tabela1[[#This Row],[Country]],Table145[Large Hill Classification],"&gt;0")</f>
        <v>0</v>
      </c>
      <c r="PR76" s="6">
        <f>COUNTIFS(Table145[Country],Tabela1[[#This Row],[Country]],Table145[Normal Hill Classification],"&gt;0")</f>
        <v>0</v>
      </c>
      <c r="PS76" s="6">
        <f>COUNTIFS(Table145148[Country],Tabela1[[#This Row],[Country]],Table145148[Large Hill Classification],"&gt;0")</f>
        <v>0</v>
      </c>
      <c r="PT76" s="6">
        <f>COUNTIFS(Table145148[Country],Tabela1[[#This Row],[Country]],Table145148[Normal Hill Classification],"&gt;0")</f>
        <v>0</v>
      </c>
      <c r="PU76" s="6">
        <f>COUNTIFS(Table148[Country],Tabela1[[#This Row],[Country]],Table148[Men''s Super Team Classification],"&gt;0")</f>
        <v>0</v>
      </c>
      <c r="PV76" s="6">
        <f>COUNTIFS(Tabela114[Country],Tabela1[[#This Row],[Country]],Tabela114[Mixed Normal Hill Classification],"&gt;0")</f>
        <v>0</v>
      </c>
      <c r="PW76" s="6">
        <f>COUNTIFS(Tabela50[Country],Tabela1[[#This Row],[Country]],Tabela50[Sprint Classification],"&gt;0")</f>
        <v>0</v>
      </c>
      <c r="PX76" s="6">
        <f>COUNTIFS(Tabela50101[Country],Tabela1[[#This Row],[Country]],Tabela50101[Sprint Classification],"&gt;0")</f>
        <v>0</v>
      </c>
      <c r="PY76" s="6">
        <f>COUNTIFS(Tabela103[Country],Tabela1[[#This Row],[Country]],Tabela103[Mixed Relay Classification],"&gt;0")</f>
        <v>0</v>
      </c>
      <c r="PZ76" s="6">
        <f>COUNTIFS(Table149[Country],Tabela1[[#This Row],[Country]],Table149[Big Air Classification],"&gt;0")</f>
        <v>0</v>
      </c>
      <c r="QA76" s="6">
        <f>COUNTIFS(Table149152[Country],Tabela1[[#This Row],[Country]],Table149152[Big Air Classification],"&gt;0")</f>
        <v>0</v>
      </c>
      <c r="QB76" s="6">
        <f>COUNTIFS(Table149[Country],Tabela1[[#This Row],[Country]],Table149[Halfpipe Classification],"&gt;0")</f>
        <v>0</v>
      </c>
      <c r="QC76" s="6">
        <f>COUNTIFS(Table149152[Country],Tabela1[[#This Row],[Country]],Table149152[Halfpipe Classification],"&gt;0")</f>
        <v>0</v>
      </c>
      <c r="QD76" s="6">
        <f>COUNTIFS(Table149[Country],Tabela1[[#This Row],[Country]],Table149[Parallel Giant Slalom Classification],"&gt;0")</f>
        <v>0</v>
      </c>
      <c r="QE76" s="6">
        <f>COUNTIFS(Table149152[Country],Tabela1[[#This Row],[Country]],Table149152[Parallel Giant Slalom Classification],"&gt;0")</f>
        <v>0</v>
      </c>
      <c r="QF76" s="6">
        <f>COUNTIFS(Table149[Country],Tabela1[[#This Row],[Country]],Table149[Slopestyle Classification],"&gt;0")</f>
        <v>0</v>
      </c>
      <c r="QG76" s="6">
        <f>COUNTIFS(Table149152[Country],Tabela1[[#This Row],[Country]],Table149152[Slopestyle Classification],"&gt;0")</f>
        <v>0</v>
      </c>
      <c r="QH76" s="6">
        <f>COUNTIFS(Table149[Country],Tabela1[[#This Row],[Country]],Table149[Snowboard Cross Classification],"&gt;0")</f>
        <v>0</v>
      </c>
      <c r="QI76" s="6">
        <f>COUNTIFS(Table149152[Country],Tabela1[[#This Row],[Country]],Table149152[Snowboard Cross Classification],"&gt;0")</f>
        <v>0</v>
      </c>
      <c r="QJ76" s="6">
        <f>COUNTIFS(Table153[Country],Tabela1[[#This Row],[Country]],Table153[Mixed Team Snowboard Cross Classification],"&gt;0")</f>
        <v>0</v>
      </c>
      <c r="QK76" s="6">
        <f>COUNTIFS(Table154[Country],Tabela1[[#This Row],[Country]],Table154[500m Classification],"&gt;0")</f>
        <v>0</v>
      </c>
      <c r="QL76" s="6">
        <f>COUNTIFS(Table154157[Country],Tabela1[[#This Row],[Country]],Table154157[500m Classification],"&gt;0")</f>
        <v>0</v>
      </c>
      <c r="QM76" s="6">
        <f>COUNTIFS(Table154[Country],Tabela1[[#This Row],[Country]],Table154[1000m Classification],"&gt;0")</f>
        <v>0</v>
      </c>
      <c r="QN76" s="6">
        <f>COUNTIFS(Table154157[Country],Tabela1[[#This Row],[Country]],Table154157[1000m Classification],"&gt;0")</f>
        <v>0</v>
      </c>
      <c r="QO76" s="6">
        <f>COUNTIFS(Table154[Country],Tabela1[[#This Row],[Country]],Table154[1500m Classification],"&gt;0")</f>
        <v>0</v>
      </c>
      <c r="QP76" s="6">
        <f>COUNTIFS(Table154157[Country],Tabela1[[#This Row],[Country]],Table154157[1500m Classification],"&gt;0")</f>
        <v>0</v>
      </c>
      <c r="QQ76" s="6">
        <f>COUNTIFS(Table154157[Country],Tabela1[[#This Row],[Country]],Table154157[3000m Classification],"&gt;0")</f>
        <v>0</v>
      </c>
      <c r="QR76" s="6">
        <f>COUNTIFS(Table154[Country],Tabela1[[#This Row],[Country]],Table154[5000m Classification],"&gt;0")</f>
        <v>0</v>
      </c>
      <c r="QS76" s="6">
        <f>COUNTIFS(Table154157[Country],Tabela1[[#This Row],[Country]],Table154157[5000m Classification],"&gt;0")</f>
        <v>0</v>
      </c>
      <c r="QT76" s="6">
        <f>COUNTIFS(Table154[Country],Tabela1[[#This Row],[Country]],Table154[10000m Classification],"&gt;0")</f>
        <v>0</v>
      </c>
      <c r="QU76" s="6">
        <f>COUNTIFS(Table154[Country],Tabela1[[#This Row],[Country]],Table154[Mass Start Classification],"&gt;0")</f>
        <v>0</v>
      </c>
      <c r="QV76" s="6">
        <f>COUNTIFS(Table154157[Country],Tabela1[[#This Row],[Country]],Table154157[Mass Start Classification],"&gt;0")</f>
        <v>0</v>
      </c>
      <c r="QW76" s="6">
        <f>COUNTIFS(Table157[Country],Tabela1[[#This Row],[Country]],Table157[Men''s Pursuit Classification],"&gt;0")</f>
        <v>0</v>
      </c>
      <c r="QX76" s="6">
        <f>COUNTIFS(Table157[Country],Tabela1[[#This Row],[Country]],Table157[Women''s Pursuit Classification],"&gt;0")</f>
        <v>0</v>
      </c>
      <c r="QY76" s="4" t="s">
        <v>737</v>
      </c>
    </row>
    <row r="77" spans="1:467" x14ac:dyDescent="0.3">
      <c r="A77" s="6">
        <v>76</v>
      </c>
      <c r="B77" s="6" t="s">
        <v>594</v>
      </c>
      <c r="C77" t="e" vm="76">
        <f>IF(ISBLANK(Tabela1[[#This Row],[Image Link]]), "", _xlfn.IMAGE(Tabela1[[#This Row],[Image Link]],1,1))</f>
        <v>#VALUE!</v>
      </c>
      <c r="D77" s="6">
        <f>SUM(Tabela1[[#This Row],[Archery - Men''s Individual Recurve]:[Speed Skating - Women''s Team Pursuit]])</f>
        <v>6</v>
      </c>
      <c r="E77" s="6">
        <f>COUNTIF(Tabela1[[#This Row],[Archery - Men''s Individual Recurve]:[Speed Skating - Women''s Team Pursuit]],"&gt;0")</f>
        <v>6</v>
      </c>
      <c r="F77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77" s="6">
        <f>SUM(Tabela1[[#This Row],[Archery - Men''s Individual Recurve]:[Wrestling - Women''s Freestyle 76kg]])</f>
        <v>4</v>
      </c>
      <c r="H77" s="6">
        <f>SUM(Tabela1[[#This Row],[Alpine Skiing - Men''s Downhill]:[Speed Skating - Women''s Team Pursuit]])</f>
        <v>2</v>
      </c>
      <c r="I77" s="6">
        <f>Tabela1[[#This Row],[Summer Gold Medals]]+Tabela1[[#This Row],[Winter Gold Medals]]</f>
        <v>0</v>
      </c>
      <c r="J77" s="6">
        <f>Tabela1[[#This Row],[Summer Silver Medals]]+Tabela1[[#This Row],[Winter Silver Medals]]</f>
        <v>0</v>
      </c>
      <c r="K77" s="6">
        <f>Tabela1[[#This Row],[Summer Bronze Medals]]+Tabela1[[#This Row],[Winter Bronze Medals]]</f>
        <v>0</v>
      </c>
      <c r="L77" s="6">
        <f>SUM(Tabela1[[#This Row],[Total Gold Medals]:[Total Bronze Medals]])</f>
        <v>0</v>
      </c>
      <c r="M77" s="6"/>
      <c r="N77" s="6"/>
      <c r="O77" s="6"/>
      <c r="P77" s="6">
        <f>SUM(Tabela1[[#This Row],[Summer Gold Medals]:[Summer Bronze Medals]])</f>
        <v>0</v>
      </c>
      <c r="Q77" s="6"/>
      <c r="R77" s="6"/>
      <c r="S77" s="6"/>
      <c r="T77" s="6">
        <f>Tabela1[[#This Row],[Winter Gold Medals]]+Tabela1[[#This Row],[Winter Silver Medals]]+Tabela1[[#This Row],[Winter Bronze Medals]]</f>
        <v>0</v>
      </c>
      <c r="U77" s="7">
        <f>Tabela1[[#This Row],[Total Medals]]/Tabela1[[#This Row],[Total Quotas]]</f>
        <v>0</v>
      </c>
      <c r="V77" s="6">
        <f>COUNTIFS(Table3[Country],Tabela1[[#This Row],[Country]],Table3[Recurve Classification],"&gt;0")</f>
        <v>0</v>
      </c>
      <c r="W77" s="6">
        <f>COUNTIFS(Table33[Country],Tabela1[[#This Row],[Country]],Table33[Recurve Classification],"&gt;0")</f>
        <v>0</v>
      </c>
      <c r="X77" s="6">
        <f>COUNTIFS(Table35[Country],Tabela1[[#This Row],[Country]],Table35[Men''s Team Recurve Classification],"&gt;0")</f>
        <v>0</v>
      </c>
      <c r="Y77" s="6">
        <f>COUNTIFS(Table35[Country],Tabela1[[#This Row],[Country]],Table35[Women''s Team Recurve Classification],"&gt;0")</f>
        <v>0</v>
      </c>
      <c r="Z77" s="6">
        <f>COUNTIFS(Tabela88[Country],Tabela1[[#This Row],[Country]],Tabela88[Mixed Team Recurve Classification],"&gt;0")</f>
        <v>0</v>
      </c>
      <c r="AA77" s="6">
        <f>COUNTIFS(Table36[Country],Tabela1[[#This Row],[Country]],Table36[Classification],"&gt;0")</f>
        <v>0</v>
      </c>
      <c r="AB77" s="6">
        <f>COUNTIFS(Table37[Country],Tabela1[[#This Row],[Country]],Table37[Classification],"&gt;0")</f>
        <v>0</v>
      </c>
      <c r="AC77" s="6">
        <f>COUNTIFS(Table4[Country],Tabela1[[#This Row],[Country]],Table4[100m Classification],"&gt;0")</f>
        <v>0</v>
      </c>
      <c r="AD77" s="6">
        <f>COUNTIFS(Table5[Country],Tabela1[[#This Row],[Country]],Table5[100m Classification],"&gt;0")</f>
        <v>0</v>
      </c>
      <c r="AE77" s="6">
        <f>COUNTIFS(Table4[Country],Tabela1[[#This Row],[Country]],Table4[200m Classification],"&gt;0")</f>
        <v>0</v>
      </c>
      <c r="AF77" s="6">
        <f>COUNTIFS(Table5[Country],Tabela1[[#This Row],[Country]],Table5[200m Classification],"&gt;0")</f>
        <v>0</v>
      </c>
      <c r="AG77" s="6">
        <f>COUNTIFS(Table4[Country],Tabela1[[#This Row],[Country]],Table4[400m Classification],"&gt;0")</f>
        <v>0</v>
      </c>
      <c r="AH77" s="6">
        <f>COUNTIFS(Table5[Country],Tabela1[[#This Row],[Country]],Table5[400m Classification],"&gt;0")</f>
        <v>0</v>
      </c>
      <c r="AI77" s="6">
        <f>COUNTIFS(Table4[Country],Tabela1[[#This Row],[Country]],Table4[800m Classification],"&gt;0")</f>
        <v>0</v>
      </c>
      <c r="AJ77" s="6">
        <f>COUNTIFS(Table5[Country],Tabela1[[#This Row],[Country]],Table5[800m Classification],"&gt;0")</f>
        <v>0</v>
      </c>
      <c r="AK77" s="6">
        <f>COUNTIFS(Table4[Country],Tabela1[[#This Row],[Country]],Table4[1500m Classification],"&gt;0")</f>
        <v>0</v>
      </c>
      <c r="AL77" s="6">
        <f>COUNTIFS(Table5[Country],Tabela1[[#This Row],[Country]],Table5[1500m Classification],"&gt;0")</f>
        <v>0</v>
      </c>
      <c r="AM77" s="6">
        <f>COUNTIFS(Table4[Country],Tabela1[[#This Row],[Country]],Table4[5000m Classification],"&gt;0")</f>
        <v>0</v>
      </c>
      <c r="AN77" s="6">
        <f>COUNTIFS(Table5[Country],Tabela1[[#This Row],[Country]],Table5[5000m Classification],"&gt;0")</f>
        <v>0</v>
      </c>
      <c r="AO77" s="6">
        <f>COUNTIFS(Table4[Country],Tabela1[[#This Row],[Country]],Table4[10000m Classification],"&gt;0")</f>
        <v>0</v>
      </c>
      <c r="AP77" s="6">
        <f>COUNTIFS(Table5[Country],Tabela1[[#This Row],[Country]],Table5[10000m Classification],"&gt;0")</f>
        <v>0</v>
      </c>
      <c r="AQ77" s="6">
        <f>COUNTIFS(Table4[Country],Tabela1[[#This Row],[Country]],Table4[110m Hurdles Classification],"&gt;0")</f>
        <v>0</v>
      </c>
      <c r="AR77" s="6">
        <f>COUNTIFS(Table5[Country],Tabela1[[#This Row],[Country]],Table5[100m Hurdles Classification],"&gt;0")</f>
        <v>0</v>
      </c>
      <c r="AS77" s="6">
        <f>COUNTIFS(Table4[Country],Tabela1[[#This Row],[Country]],Table4[400m Hurdles Classification],"&gt;0")</f>
        <v>0</v>
      </c>
      <c r="AT77" s="6">
        <f>COUNTIFS(Table5[Country],Tabela1[[#This Row],[Country]],Table5[400m Hurdles Classification],"&gt;0")</f>
        <v>0</v>
      </c>
      <c r="AU77" s="6">
        <f>COUNTIFS(Table4[Country],Tabela1[[#This Row],[Country]],Table4[3000m Steeplechase Classification],"&gt;0")</f>
        <v>0</v>
      </c>
      <c r="AV77" s="6">
        <f>COUNTIFS(Table5[Country],Tabela1[[#This Row],[Country]],Table5[3000m Steeplechase Classification],"&gt;0")</f>
        <v>0</v>
      </c>
      <c r="AW77" s="6">
        <f>COUNTIFS(Table27[Country],Tabela1[[#This Row],[Country]],Table27[Men''s 4x100m Relay Classification],"&gt;0")</f>
        <v>0</v>
      </c>
      <c r="AX77" s="6">
        <f>COUNTIFS(Table27[Country],Tabela1[[#This Row],[Country]],Table27[Women''s 4x100m Relay Classification],"&gt;0")</f>
        <v>0</v>
      </c>
      <c r="AY77" s="6">
        <f>COUNTIFS(Table27[Country],Tabela1[[#This Row],[Country]],Table27[Men''s 4x400m Relay Classification],"&gt;0")</f>
        <v>0</v>
      </c>
      <c r="AZ77" s="6">
        <f>COUNTIFS(Table27[Country],Tabela1[[#This Row],[Country]],Table27[Women''s 4x400m Relay Classification],"&gt;0")</f>
        <v>0</v>
      </c>
      <c r="BA77" s="6">
        <f>COUNTIFS(Table27[Country],Tabela1[[#This Row],[Country]],Table27[Mixed 4x400m Relay Classification],"&gt;0")</f>
        <v>0</v>
      </c>
      <c r="BB77" s="6">
        <f>COUNTIFS(Table4[Country],Tabela1[[#This Row],[Country]],Table4[Marathon Classification],"&gt;0")</f>
        <v>0</v>
      </c>
      <c r="BC77" s="6">
        <f>COUNTIFS(Table5[Country],Tabela1[[#This Row],[Country]],Table5[Marathon Classification],"&gt;0")</f>
        <v>0</v>
      </c>
      <c r="BD77" s="6">
        <f>COUNTIFS(Table4[Country],Tabela1[[#This Row],[Country]],Table4[20km Race Walk Classification],"&gt;0")</f>
        <v>0</v>
      </c>
      <c r="BE77" s="6">
        <f>COUNTIFS(Table5[Country],Tabela1[[#This Row],[Country]],Table5[20km Race Walk Classification],"&gt;0")</f>
        <v>0</v>
      </c>
      <c r="BF77" s="6">
        <f>COUNTIFS(Tabela96[Country],Tabela1[[#This Row],[Country]],Tabela96[Mixed Marathon Race Walk Relay Classification],"&gt;0")</f>
        <v>0</v>
      </c>
      <c r="BG77" s="6">
        <f>COUNTIFS(Table4[Country],Tabela1[[#This Row],[Country]],Table4[Discus Throw Classification],"&gt;0")</f>
        <v>0</v>
      </c>
      <c r="BH77" s="6">
        <f>COUNTIFS(Table5[Country],Tabela1[[#This Row],[Country]],Table5[Discus Throw Classification],"&gt;0")</f>
        <v>0</v>
      </c>
      <c r="BI77" s="6">
        <f>COUNTIFS(Table4[Country],Tabela1[[#This Row],[Country]],Table4[Hammer Throw Classification],"&gt;0")</f>
        <v>0</v>
      </c>
      <c r="BJ77" s="6">
        <f>COUNTIFS(Table5[Country],Tabela1[[#This Row],[Country]],Table5[Hammer Throw Classification],"&gt;0")</f>
        <v>0</v>
      </c>
      <c r="BK77" s="6">
        <f>COUNTIFS(Table4[Country],Tabela1[[#This Row],[Country]],Table4[High Jump Classification],"&gt;0")</f>
        <v>0</v>
      </c>
      <c r="BL77" s="6">
        <f>COUNTIFS(Table5[Country],Tabela1[[#This Row],[Country]],Table5[High Jump Classification],"&gt;0")</f>
        <v>0</v>
      </c>
      <c r="BM77" s="6">
        <f>COUNTIFS(Table4[Country],Tabela1[[#This Row],[Country]],Table4[Javelin Throw Classification],"&gt;0")</f>
        <v>0</v>
      </c>
      <c r="BN77" s="6">
        <f>COUNTIFS(Table5[Country],Tabela1[[#This Row],[Country]],Table5[Javelin Throw Classification],"&gt;0")</f>
        <v>0</v>
      </c>
      <c r="BO77" s="6">
        <f>COUNTIFS(Table4[Country],Tabela1[[#This Row],[Country]],Table4[Long Jump Classification],"&gt;0")</f>
        <v>0</v>
      </c>
      <c r="BP77" s="6">
        <f>COUNTIFS(Table5[Country],Tabela1[[#This Row],[Country]],Table5[Long Jump Classification],"&gt;0")</f>
        <v>0</v>
      </c>
      <c r="BQ77" s="6">
        <f>COUNTIFS(Table4[Country],Tabela1[[#This Row],[Country]],Table4[Pole Vault Classification],"&gt;0")</f>
        <v>0</v>
      </c>
      <c r="BR77" s="6">
        <f>COUNTIFS(Table5[Country],Tabela1[[#This Row],[Country]],Table5[Pole Vault Classification],"&gt;0")</f>
        <v>0</v>
      </c>
      <c r="BS77" s="6">
        <f>COUNTIFS(Table4[Country],Tabela1[[#This Row],[Country]],Table4[Shot Put Classification],"&gt;0")</f>
        <v>0</v>
      </c>
      <c r="BT77" s="6">
        <f>COUNTIFS(Table5[Country],Tabela1[[#This Row],[Country]],Table5[Shot Put Classification],"&gt;0")</f>
        <v>1</v>
      </c>
      <c r="BU77" s="6">
        <f>COUNTIFS(Table4[Country],Tabela1[[#This Row],[Country]],Table4[Triple Jump Classification],"&gt;0")</f>
        <v>0</v>
      </c>
      <c r="BV77" s="6">
        <f>COUNTIFS(Table5[Country],Tabela1[[#This Row],[Country]],Table5[Triple Jump Classification],"&gt;0")</f>
        <v>0</v>
      </c>
      <c r="BW77" s="6">
        <f>COUNTIFS(Table4[Country],Tabela1[[#This Row],[Country]],Table4[Decathlon Classification],"&gt;0")</f>
        <v>0</v>
      </c>
      <c r="BX77" s="6">
        <f>COUNTIFS(Table5[Country],Tabela1[[#This Row],[Country]],Table5[Heptathlon Classification],"&gt;0")</f>
        <v>0</v>
      </c>
      <c r="BY77" s="6">
        <f>COUNTIFS(Table61[Country],Tabela1[[#This Row],[Country]],Table61[Classification],"&gt;0")</f>
        <v>0</v>
      </c>
      <c r="BZ77" s="6">
        <f>COUNTIFS(Table38[Country],Tabela1[[#This Row],[Country]],Table38[Classification],"&gt;0")</f>
        <v>0</v>
      </c>
      <c r="CA77" s="6">
        <f>COUNTIFS(Table39[Country],Tabela1[[#This Row],[Country]],Table39[Men''s Classification],"&gt;0")</f>
        <v>0</v>
      </c>
      <c r="CB77" s="6">
        <f>COUNTIFS(Table39[Country],Tabela1[[#This Row],[Country]],Table39[Women''s Classification],"&gt;0")</f>
        <v>0</v>
      </c>
      <c r="CC77" s="6">
        <f>COUNTIFS(Table39[Country],Tabela1[[#This Row],[Country]],Table39[Mixed Classification],"&gt;0")</f>
        <v>0</v>
      </c>
      <c r="CD77" s="6">
        <f>COUNTIFS(Table89[Country],Tabela1[[#This Row],[Country]],Table89[Men''s Classification],"&gt;0")</f>
        <v>0</v>
      </c>
      <c r="CE77" s="6">
        <f>COUNTIFS(Table89[Country],Tabela1[[#This Row],[Country]],Table89[Women''s Classification],"&gt;0")</f>
        <v>0</v>
      </c>
      <c r="CF77" s="6">
        <f>COUNTIFS(Table90[Country],Tabela1[[#This Row],[Country]],Table90[Men''s Classification],"&gt;0")</f>
        <v>0</v>
      </c>
      <c r="CG77" s="6">
        <f>COUNTIFS(Table90[Country],Tabela1[[#This Row],[Country]],Table90[Women''s Classification],"&gt;0")</f>
        <v>0</v>
      </c>
      <c r="CH77" s="6">
        <f>COUNTIFS(Table60[Country],Tabela1[[#This Row],[Country]],Table60[Men''s Classification],"&gt;0")</f>
        <v>0</v>
      </c>
      <c r="CI77" s="6">
        <f>COUNTIFS(Table60[Country],Tabela1[[#This Row],[Country]],Table60[Women''s Classification],"&gt;0")</f>
        <v>0</v>
      </c>
      <c r="CJ77" s="6">
        <f>COUNTIFS(Table6[Country],Tabela1[[#This Row],[Country]],Table6[51kg Classification],"&gt;0")</f>
        <v>0</v>
      </c>
      <c r="CK77" s="6">
        <f>COUNTIFS(Table6[Country],Tabela1[[#This Row],[Country]],Table6[57kg Classification],"&gt;0")</f>
        <v>0</v>
      </c>
      <c r="CL77" s="6">
        <f>COUNTIFS(Table6[Country],Tabela1[[#This Row],[Country]],Table6[63.5kg Classification],"&gt;0")</f>
        <v>0</v>
      </c>
      <c r="CM77" s="6">
        <f>COUNTIFS(Table6[Country],Tabela1[[#This Row],[Country]],Table6[71kg Classification],"&gt;0")</f>
        <v>0</v>
      </c>
      <c r="CN77" s="6">
        <f>COUNTIFS(Table6[Country],Tabela1[[#This Row],[Country]],Table6[80kg Classification],"&gt;0")</f>
        <v>0</v>
      </c>
      <c r="CO77" s="6">
        <f>COUNTIFS(Table6[Country],Tabela1[[#This Row],[Country]],Table6[92kg Classification],"&gt;0")</f>
        <v>0</v>
      </c>
      <c r="CP77" s="6">
        <f>COUNTIFS(Table6[Country],Tabela1[[#This Row],[Country]],Table6[Plus 92kg Classification],"&gt;0")</f>
        <v>0</v>
      </c>
      <c r="CQ77" s="6">
        <f>COUNTIFS(Table7[Country],Tabela1[[#This Row],[Country]],Table7[50kg Classification],"&gt;0")</f>
        <v>0</v>
      </c>
      <c r="CR77" s="6">
        <f>COUNTIFS(Table7[Country],Tabela1[[#This Row],[Country]],Table7[54kg Classification],"&gt;0")</f>
        <v>0</v>
      </c>
      <c r="CS77" s="6">
        <f>COUNTIFS(Table7[Country],Tabela1[[#This Row],[Country]],Table7[57kg Classification],"&gt;0")</f>
        <v>0</v>
      </c>
      <c r="CT77" s="6">
        <f>COUNTIFS(Table7[Country],Tabela1[[#This Row],[Country]],Table7[60kg Classification],"&gt;0")</f>
        <v>0</v>
      </c>
      <c r="CU77" s="6">
        <f>COUNTIFS(Table7[Country],Tabela1[[#This Row],[Country]],Table7[66kg Classification],"&gt;0")</f>
        <v>0</v>
      </c>
      <c r="CV77" s="6">
        <f>COUNTIFS(Table7[Country],Tabela1[[#This Row],[Country]],Table7[75kg Classification],"&gt;0")</f>
        <v>0</v>
      </c>
      <c r="CW77" s="6">
        <f>COUNTIFS(Tabela94[Country],Tabela1[[#This Row],[Country]],Tabela94[Classification],"&gt;0")</f>
        <v>0</v>
      </c>
      <c r="CX77" s="6">
        <f>COUNTIFS(Tabela9499[Country],Tabela1[[#This Row],[Country]],Tabela9499[Classification],"&gt;0")</f>
        <v>0</v>
      </c>
      <c r="CY77" s="6">
        <f>COUNTIFS(Tabela107[Country],Tabela1[[#This Row],[Country]],Tabela107[C1 Slalom Classification],"&gt;0")</f>
        <v>0</v>
      </c>
      <c r="CZ77" s="6">
        <f>COUNTIFS(Tabela107122[Country],Tabela1[[#This Row],[Country]],Tabela107122[C1 Slalom Classification],"&gt;0")</f>
        <v>0</v>
      </c>
      <c r="DA77" s="6">
        <f>COUNTIFS(Tabela107[Country],Tabela1[[#This Row],[Country]],Tabela107[K1 Slalom Classification],"&gt;0")</f>
        <v>0</v>
      </c>
      <c r="DB77" s="6">
        <f>COUNTIFS(Tabela107122[Country],Tabela1[[#This Row],[Country]],Tabela107122[K1 Slalom Classification],"&gt;0")</f>
        <v>0</v>
      </c>
      <c r="DC77" s="6">
        <f>COUNTIFS(Tabela107[Country],Tabela1[[#This Row],[Country]],Tabela107[Kayak Cross Slalom Classification],"&gt;0")</f>
        <v>0</v>
      </c>
      <c r="DD77" s="6">
        <f>COUNTIFS(Tabela107122[Country],Tabela1[[#This Row],[Country]],Tabela107122[Kayak Cross Slalom Classification],"&gt;0")</f>
        <v>0</v>
      </c>
      <c r="DE77" s="6">
        <f>COUNTIFS(Table8[Country],Tabela1[[#This Row],[Country]],Table8[C1 200m Classification],"&gt;0")</f>
        <v>0</v>
      </c>
      <c r="DF77" s="6">
        <f>COUNTIFS(Table40[Country],Tabela1[[#This Row],[Country]],Table40[C1 1000m Classification],"&gt;0")</f>
        <v>0</v>
      </c>
      <c r="DG77" s="6">
        <f>COUNTIFS(Table68[Country],Tabela1[[#This Row],[Country]],Table68[Men''s C2 500m Classification],"&gt;0")</f>
        <v>0</v>
      </c>
      <c r="DH77" s="6">
        <f>COUNTIFS(Table68[Country],Tabela1[[#This Row],[Country]],Table68[Women''s C2 500m Classification],"&gt;0")</f>
        <v>0</v>
      </c>
      <c r="DI77" s="6">
        <f>COUNTIFS(Table8[Country],Tabela1[[#This Row],[Country]],Table8[K1 500m Classification],"&gt;0")</f>
        <v>0</v>
      </c>
      <c r="DJ77" s="6">
        <f>COUNTIFS(Table40[Country],Tabela1[[#This Row],[Country]],Table40[K1 1000m Classification],"&gt;0")</f>
        <v>0</v>
      </c>
      <c r="DK77" s="6">
        <f>COUNTIFS(Table68[Country],Tabela1[[#This Row],[Country]],Table68[Men''s K2 500m Classification],"&gt;0")</f>
        <v>0</v>
      </c>
      <c r="DL77" s="6">
        <f>COUNTIFS(Table68[Country],Tabela1[[#This Row],[Country]],Table68[Women''s K2 500m Classification],"&gt;0")</f>
        <v>0</v>
      </c>
      <c r="DM77" s="6">
        <f>COUNTIFS(Table83[Country],Tabela1[[#This Row],[Country]],Table83[Men''s K4 500m Classification],"&gt;0")</f>
        <v>0</v>
      </c>
      <c r="DN77" s="6">
        <f>COUNTIFS(Table83[Country],Tabela1[[#This Row],[Country]],Table83[Women''s K4 500m Classification],"&gt;0")</f>
        <v>0</v>
      </c>
      <c r="DO77" s="6">
        <f>COUNTIFS(Tabela126[Country],Tabela1[[#This Row],[Country]],Tabela126[Classification],"&gt;0")</f>
        <v>0</v>
      </c>
      <c r="DP77" s="6">
        <f>COUNTIFS(Tabela126130[Country],Tabela1[[#This Row],[Country]],Tabela126130[Classification],"&gt;0")</f>
        <v>0</v>
      </c>
      <c r="DQ77" s="6">
        <f>COUNTIFS(Table70[Country],Tabela1[[#This Row],[Country]],Table70[Classification],"&gt;0")</f>
        <v>0</v>
      </c>
      <c r="DR77" s="6">
        <f>COUNTIFS(Table80[Country],Tabela1[[#This Row],[Country]],Table80[Classification],"&gt;0")</f>
        <v>0</v>
      </c>
      <c r="DS77" s="6">
        <f>COUNTIFS(Table66[Country],Tabela1[[#This Row],[Country]],Table66[Classification],"&gt;0")</f>
        <v>0</v>
      </c>
      <c r="DT77" s="6">
        <f>COUNTIFS(Table67[Country],Tabela1[[#This Row],[Country]],Table67[Classification],"&gt;0")</f>
        <v>0</v>
      </c>
      <c r="DU77" s="6">
        <f>COUNTIFS(Table69[Country],Tabela1[[#This Row],[Country]],Table69[Keirin Classification],"&gt;0")</f>
        <v>0</v>
      </c>
      <c r="DV77" s="6">
        <f>COUNTIFS(Table41[Country],Tabela1[[#This Row],[Country]],Table41[Keirin Classification],"&gt;0")</f>
        <v>0</v>
      </c>
      <c r="DW77" s="6">
        <f>COUNTIFS(Table84[Country],Tabela1[[#This Row],[Country]],Table84[Men''s Madison Classification],"&gt;0")</f>
        <v>0</v>
      </c>
      <c r="DX77" s="6">
        <f>COUNTIFS(Table84[Country],Tabela1[[#This Row],[Country]],Table84[Women''s Madison Classification],"&gt;0")</f>
        <v>0</v>
      </c>
      <c r="DY77" s="6">
        <f>COUNTIFS(Table69[Country],Tabela1[[#This Row],[Country]],Table69[Omnium Classification],"&gt;0")</f>
        <v>0</v>
      </c>
      <c r="DZ77" s="6">
        <f>COUNTIFS(Table41[Country],Tabela1[[#This Row],[Country]],Table41[Omnium Classification],"&gt;0")</f>
        <v>0</v>
      </c>
      <c r="EA77" s="6">
        <f>COUNTIFS(Table9[Country],Tabela1[[#This Row],[Country]],Table9[Road Race Classification],"&gt;0")</f>
        <v>0</v>
      </c>
      <c r="EB77" s="6">
        <f>COUNTIFS(Table14[Country],Tabela1[[#This Row],[Country]],Table14[Road Race Classification],"&gt;0")</f>
        <v>0</v>
      </c>
      <c r="EC77" s="6">
        <f>COUNTIFS(Table69[Country],Tabela1[[#This Row],[Country]],Table69[Sprint Classification],"&gt;0")</f>
        <v>0</v>
      </c>
      <c r="ED77" s="6">
        <f>COUNTIFS(Table41[Country],Tabela1[[#This Row],[Country]],Table41[Sprint Classification],"&gt;0")</f>
        <v>0</v>
      </c>
      <c r="EE77" s="6">
        <f>COUNTIFS(Table85[Country],Tabela1[[#This Row],[Country]],Table85[Men''s Sprint Classification],"&gt;0")</f>
        <v>0</v>
      </c>
      <c r="EF77" s="6">
        <f>COUNTIFS(Table85[Country],Tabela1[[#This Row],[Country]],Table85[Women''s Sprint Classification],"&gt;0")</f>
        <v>0</v>
      </c>
      <c r="EG77" s="6">
        <f>COUNTIFS(Table85[Country],Tabela1[[#This Row],[Country]],Table85[Men''s Pursuit Classification],"&gt;0")</f>
        <v>0</v>
      </c>
      <c r="EH77" s="6">
        <f>COUNTIFS(Table85[Country],Tabela1[[#This Row],[Country]],Table85[Women''s Pursuit Classification],"&gt;0")</f>
        <v>0</v>
      </c>
      <c r="EI77" s="6">
        <f>COUNTIFS(Table9[Country],Tabela1[[#This Row],[Country]],Table9[Time-Trial Classification],"&gt;0")</f>
        <v>0</v>
      </c>
      <c r="EJ77" s="6">
        <f>COUNTIFS(Table14[Country],Tabela1[[#This Row],[Country]],Table14[Time-Trial Classification],"&gt;0")</f>
        <v>0</v>
      </c>
      <c r="EK77" s="6">
        <f>COUNTIFS(Table42[Country],Tabela1[[#This Row],[Country]],Table42[Springboard Classification],"&gt;0")</f>
        <v>0</v>
      </c>
      <c r="EL77" s="6">
        <f>COUNTIFS(Table43[Country],Tabela1[[#This Row],[Country]],Table43[Springboard Classification],"&gt;0")</f>
        <v>0</v>
      </c>
      <c r="EM77" s="6">
        <f>COUNTIFS(Table42[Country],Tabela1[[#This Row],[Country]],Table42[Platform Classification],"&gt;0")</f>
        <v>0</v>
      </c>
      <c r="EN77" s="6">
        <f>COUNTIFS(Table43[Country],Tabela1[[#This Row],[Country]],Table43[Platform Classification],"&gt;0")</f>
        <v>0</v>
      </c>
      <c r="EO77" s="6">
        <f>COUNTIFS(Table86[Country],Tabela1[[#This Row],[Country]],Table86[Men''s Synchronized Springboard Classification],"&gt;0")</f>
        <v>0</v>
      </c>
      <c r="EP77" s="6">
        <f>COUNTIFS(Table86[Country],Tabela1[[#This Row],[Country]],Table86[Women''s Synchronized Springboard Classification],"&gt;0")</f>
        <v>0</v>
      </c>
      <c r="EQ77" s="6">
        <f>COUNTIFS(Table86[Country],Tabela1[[#This Row],[Country]],Table86[Men''s Synchronized Platform Classification],"&gt;0")</f>
        <v>0</v>
      </c>
      <c r="ER77" s="6">
        <f>COUNTIFS(Table86[Country],Tabela1[[#This Row],[Country]],Table86[Women''s Synchronized Platform Classification],"&gt;0")</f>
        <v>0</v>
      </c>
      <c r="ES77" s="6">
        <f>COUNTIFS(Table44[Country],Tabela1[[#This Row],[Country]],Table44[Dressage Classification],"&gt;0")</f>
        <v>0</v>
      </c>
      <c r="ET77" s="6">
        <f>COUNTIFS(Table45[Country],Tabela1[[#This Row],[Country]],Table45[Dressage Classification],"&gt;0")</f>
        <v>0</v>
      </c>
      <c r="EU77" s="6">
        <f>COUNTIFS(Table44[Country],Tabela1[[#This Row],[Country]],Table44[Eventing Classification],"&gt;0")</f>
        <v>0</v>
      </c>
      <c r="EV77" s="6">
        <f>COUNTIFS(Table45[Country],Tabela1[[#This Row],[Country]],Table45[Eventing Classification],"&gt;0")</f>
        <v>0</v>
      </c>
      <c r="EW77" s="6">
        <f>COUNTIFS(Table44[Country],Tabela1[[#This Row],[Country]],Table44[Jumping Classification],"&gt;0")</f>
        <v>0</v>
      </c>
      <c r="EX77" s="6">
        <f>COUNTIFS(Table45[Country],Tabela1[[#This Row],[Country]],Table45[Jumping Classification],"&gt;0")</f>
        <v>0</v>
      </c>
      <c r="EY77" s="6">
        <f>COUNTIFS(Table10[Country],Tabela1[[#This Row],[Country]],Table10[Épée Classification],"&gt;0")</f>
        <v>0</v>
      </c>
      <c r="EZ77" s="6">
        <f>COUNTIFS(Table11[Country],Tabela1[[#This Row],[Country]],Table11[Épée Classification],"&gt;0")</f>
        <v>0</v>
      </c>
      <c r="FA77" s="6">
        <f>COUNTIFS(Table46[Country],Tabela1[[#This Row],[Country]],Table46[Men''s Épée Classification],"&gt;0")</f>
        <v>0</v>
      </c>
      <c r="FB77" s="6">
        <f>COUNTIFS(Table46[Country],Tabela1[[#This Row],[Country]],Table46[Women''s Épée Classification],"&gt;0")</f>
        <v>0</v>
      </c>
      <c r="FC77" s="6">
        <f>COUNTIFS(Table10[Country],Tabela1[[#This Row],[Country]],Table10[Foil Classification],"&gt;0")</f>
        <v>0</v>
      </c>
      <c r="FD77" s="6">
        <f>COUNTIFS(Table11[Country],Tabela1[[#This Row],[Country]],Table11[Foil Classification],"&gt;0")</f>
        <v>0</v>
      </c>
      <c r="FE77" s="6">
        <f>COUNTIFS(Table46[Country],Tabela1[[#This Row],[Country]],Table46[Men''s Foil Classification],"&gt;0")</f>
        <v>0</v>
      </c>
      <c r="FF77" s="6">
        <f>COUNTIFS(Table46[Country],Tabela1[[#This Row],[Country]],Table46[Women''s Foil Classification],"&gt;0")</f>
        <v>0</v>
      </c>
      <c r="FG77" s="6">
        <f>COUNTIFS(Table10[Country],Tabela1[[#This Row],[Country]],Table10[Sabre Classification],"&gt;0")</f>
        <v>0</v>
      </c>
      <c r="FH77" s="6">
        <f>COUNTIFS(Table11[Country],Tabela1[[#This Row],[Country]],Table11[Sabre Classification],"&gt;0")</f>
        <v>0</v>
      </c>
      <c r="FI77" s="6">
        <f>COUNTIFS(Table46[Country],Tabela1[[#This Row],[Country]],Table46[Men''s Sabre Classification],"&gt;0")</f>
        <v>0</v>
      </c>
      <c r="FJ77" s="6">
        <f>COUNTIFS(Table46[Country],Tabela1[[#This Row],[Country]],Table46[Women''s Sabre Classification],"&gt;0")</f>
        <v>0</v>
      </c>
      <c r="FK77" s="6">
        <f>COUNTIFS(Table91[Country],Tabela1[[#This Row],[Country]],Table91[Men''s Classification],"&gt;0")</f>
        <v>0</v>
      </c>
      <c r="FL77" s="6">
        <f>COUNTIFS(Table91[Country],Tabela1[[#This Row],[Country]],Table91[Women''s Classification],"&gt;0")</f>
        <v>0</v>
      </c>
      <c r="FM77" s="6">
        <f>COUNTIFS(Table9194[Country],Tabela1[[#This Row],[Country]],Table9194[Men''s Classification],"&gt;0")</f>
        <v>0</v>
      </c>
      <c r="FN77" s="6">
        <f>COUNTIFS(Table9194[Country],Tabela1[[#This Row],[Country]],Table9194[Women''s Classification],"&gt;0")</f>
        <v>0</v>
      </c>
      <c r="FO77" s="6">
        <f>COUNTIFS(Table71[Country],Tabela1[[#This Row],[Country]],Table71[Classification],"&gt;0")</f>
        <v>0</v>
      </c>
      <c r="FP77" s="6">
        <f>COUNTIFS(Table62[Country],Tabela1[[#This Row],[Country]],Table62[Classification],"&gt;0")</f>
        <v>0</v>
      </c>
      <c r="FQ77" s="6">
        <f>COUNTIFS(Table47[Country],Tabela1[[#This Row],[Country]],Table47[All-Around Classification],"&gt;0")</f>
        <v>0</v>
      </c>
      <c r="FR77" s="6">
        <f>COUNTIFS(Table48[Country],Tabela1[[#This Row],[Country]],Table48[All-Around Classification],"&gt;0")</f>
        <v>0</v>
      </c>
      <c r="FS77" s="6">
        <f>COUNTIFS(Table81[Country],Tabela1[[#This Row],[Country]],Table81[Men''s All-Around Classification],"&gt;0")</f>
        <v>0</v>
      </c>
      <c r="FT77" s="6">
        <f>COUNTIFS(Table81[Country],Tabela1[[#This Row],[Country]],Table81[Women''s All-Around Classification],"&gt;0")</f>
        <v>0</v>
      </c>
      <c r="FU77" s="6">
        <f>COUNTIFS(Table48[Country],Tabela1[[#This Row],[Country]],Table48[Balance Beam Classification],"&gt;0")</f>
        <v>0</v>
      </c>
      <c r="FV77" s="6">
        <f>COUNTIFS(Table47[Country],Tabela1[[#This Row],[Country]],Table47[Floor Exercise Classification],"&gt;0")</f>
        <v>0</v>
      </c>
      <c r="FW77" s="6">
        <f>COUNTIFS(Table48[Country],Tabela1[[#This Row],[Country]],Table48[Floor Exercise Classification],"&gt;0")</f>
        <v>0</v>
      </c>
      <c r="FX77" s="6">
        <f>COUNTIFS(Table47[Country],Tabela1[[#This Row],[Country]],Table47[Horizontal Bar Classification],"&gt;0")</f>
        <v>0</v>
      </c>
      <c r="FY77" s="6">
        <f>COUNTIFS(Table47[Country],Tabela1[[#This Row],[Country]],Table47[Parallel Bars Classification],"&gt;0")</f>
        <v>0</v>
      </c>
      <c r="FZ77" s="6">
        <f>COUNTIFS(Table47[Country],Tabela1[[#This Row],[Country]],Table47[Pommel Horse Classification],"&gt;0")</f>
        <v>0</v>
      </c>
      <c r="GA77" s="6">
        <f>COUNTIFS(Table47[Country],Tabela1[[#This Row],[Country]],Table47[Rings Classification],"&gt;0")</f>
        <v>0</v>
      </c>
      <c r="GB77" s="6">
        <f>COUNTIFS(Tabela132[Country],Tabela1[[#This Row],[Country]],Tabela132[Classification],"&gt;0")</f>
        <v>0</v>
      </c>
      <c r="GC77" s="6">
        <f>COUNTIFS(Tabela139[Country],Tabela1[[#This Row],[Country]],Tabela139[Classification],"&gt;0")</f>
        <v>0</v>
      </c>
      <c r="GD77" s="6">
        <f>COUNTIFS(Table48[Country],Tabela1[[#This Row],[Country]],Table48[Uneven Bars Classification],"&gt;0")</f>
        <v>0</v>
      </c>
      <c r="GE77" s="6">
        <f>COUNTIFS(Table47[Country],Tabela1[[#This Row],[Country]],Table47[Vault Classification],"&gt;0")</f>
        <v>0</v>
      </c>
      <c r="GF77" s="6">
        <f>COUNTIFS(Table48[Country],Tabela1[[#This Row],[Country]],Table48[Vault Classification],"&gt;0")</f>
        <v>0</v>
      </c>
      <c r="GG77" s="6">
        <f>COUNTIFS(Table919496[Country],Tabela1[[#This Row],[Country]],Table919496[Men''s Classification],"&gt;0")</f>
        <v>0</v>
      </c>
      <c r="GH77" s="6">
        <f>COUNTIFS(Table919496[Country],Tabela1[[#This Row],[Country]],Table919496[Women''s Classification],"&gt;0")</f>
        <v>0</v>
      </c>
      <c r="GI77" s="6">
        <f>COUNTIFS(Table12[Country],Tabela1[[#This Row],[Country]],Table12[60kg Classification],"&gt;0")</f>
        <v>0</v>
      </c>
      <c r="GJ77" s="6">
        <f>COUNTIFS(Table12[Country],Tabela1[[#This Row],[Country]],Table12[66kg Classification],"&gt;0")</f>
        <v>0</v>
      </c>
      <c r="GK77" s="6">
        <f>COUNTIFS(Table12[Country],Tabela1[[#This Row],[Country]],Table12[73kg Classification],"&gt;0")</f>
        <v>0</v>
      </c>
      <c r="GL77" s="6">
        <f>COUNTIFS(Table12[Country],Tabela1[[#This Row],[Country]],Table12[81kg Classification],"&gt;0")</f>
        <v>0</v>
      </c>
      <c r="GM77" s="6">
        <f>COUNTIFS(Table12[Country],Tabela1[[#This Row],[Country]],Table12[90kg Classification],"&gt;0")</f>
        <v>0</v>
      </c>
      <c r="GN77" s="6">
        <f>COUNTIFS(Table12[Country],Tabela1[[#This Row],[Country]],Table12[100kg Classification],"&gt;0")</f>
        <v>0</v>
      </c>
      <c r="GO77" s="6">
        <f>COUNTIFS(Table12[Country],Tabela1[[#This Row],[Country]],Table12[Plus 100kg Classification],"&gt;0")</f>
        <v>0</v>
      </c>
      <c r="GP77" s="6">
        <f>COUNTIFS(Table13[Country],Tabela1[[#This Row],[Country]],Table13[48kg Classification],"&gt;0")</f>
        <v>0</v>
      </c>
      <c r="GQ77" s="6">
        <f>COUNTIFS(Table13[Country],Tabela1[[#This Row],[Country]],Table13[52kg Classification],"&gt;0")</f>
        <v>0</v>
      </c>
      <c r="GR77" s="6">
        <f>COUNTIFS(Table13[Country],Tabela1[[#This Row],[Country]],Table13[57kg Classification],"&gt;0")</f>
        <v>0</v>
      </c>
      <c r="GS77" s="6">
        <f>COUNTIFS(Table13[Country],Tabela1[[#This Row],[Country]],Table13[63kg Classification],"&gt;0")</f>
        <v>0</v>
      </c>
      <c r="GT77" s="6">
        <f>COUNTIFS(Table13[Country],Tabela1[[#This Row],[Country]],Table13[70kg Classification],"&gt;0")</f>
        <v>0</v>
      </c>
      <c r="GU77" s="6">
        <f>COUNTIFS(Table13[Country],Tabela1[[#This Row],[Country]],Table13[78kg Classification],"&gt;0")</f>
        <v>0</v>
      </c>
      <c r="GV77" s="6">
        <f>COUNTIFS(Table13[Country],Tabela1[[#This Row],[Country]],Table13[Plus 78kg Classification],"&gt;0")</f>
        <v>0</v>
      </c>
      <c r="GW77" s="6">
        <f>COUNTIFS(Table82[Country],Tabela1[[#This Row],[Country]],Table82[Mixed Classification],"&gt;0")</f>
        <v>0</v>
      </c>
      <c r="GX77" s="6">
        <f>COUNTIFS(Table51[Country],Tabela1[[#This Row],[Country]],Table51[Classification],"&gt;0")</f>
        <v>0</v>
      </c>
      <c r="GY77" s="6">
        <f>COUNTIFS(Table52[Country],Tabela1[[#This Row],[Country]],Table52[Classification],"&gt;0")</f>
        <v>0</v>
      </c>
      <c r="GZ77" s="6">
        <f>COUNTIFS(Table32[Country],Tabela1[[#This Row],[Country]],Table32[All-Around Classification],"&gt;0")</f>
        <v>0</v>
      </c>
      <c r="HA77" s="6">
        <f>COUNTIFS(Table49[Country],Tabela1[[#This Row],[Country]],Table49[All-Around Classification],"&gt;0")</f>
        <v>0</v>
      </c>
      <c r="HB77" s="6">
        <f>COUNTIFS(Table26[Country],Tabela1[[#This Row],[Country]],Table26[Single Sculls Classification],"&gt;0")</f>
        <v>0</v>
      </c>
      <c r="HC77" s="6">
        <f>COUNTIFS(Table63[Country],Tabela1[[#This Row],[Country]],Table63[Single Sculls Classification],"&gt;0")</f>
        <v>0</v>
      </c>
      <c r="HD77" s="6">
        <f>COUNTIFS(Table16[Country],Tabela1[[#This Row],[Country]],Table16[Men''s Double Sculls Classification],"&gt;0")</f>
        <v>0</v>
      </c>
      <c r="HE77" s="6">
        <f>COUNTIFS(Table16[Country],Tabela1[[#This Row],[Country]],Table16[Women''s Double Sculls Classification],"&gt;0")</f>
        <v>0</v>
      </c>
      <c r="HF77" s="6">
        <f>COUNTIFS(Table72[Country],Tabela1[[#This Row],[Country]],Table72[Men''s Quadruple Sculls Classification],"&gt;0")</f>
        <v>0</v>
      </c>
      <c r="HG77" s="6">
        <f>COUNTIFS(Table72[Country],Tabela1[[#This Row],[Country]],Table72[Women''s Quadruple Sculls Classification],"&gt;0")</f>
        <v>0</v>
      </c>
      <c r="HH77" s="6">
        <f>COUNTIFS(Table16[Country],Tabela1[[#This Row],[Country]],Table16[Men''s Coxless Pairs Classification],"&gt;0")</f>
        <v>0</v>
      </c>
      <c r="HI77" s="6">
        <f>COUNTIFS(Table16[Country],Tabela1[[#This Row],[Country]],Table16[Women''s Coxless Pairs Classification],"&gt;0")</f>
        <v>0</v>
      </c>
      <c r="HJ77" s="6">
        <f>COUNTIFS(Table72[Country],Tabela1[[#This Row],[Country]],Table72[Men''s Coxless Fours Classification],"&gt;0")</f>
        <v>0</v>
      </c>
      <c r="HK77" s="6">
        <f>COUNTIFS(Table72[Country],Tabela1[[#This Row],[Country]],Table72[Women''s Coxless Fours Classification],"&gt;0")</f>
        <v>0</v>
      </c>
      <c r="HL77" s="6">
        <f>COUNTIFS(Table72[Country],Tabela1[[#This Row],[Country]],Table72[Men''s Eights Classification],"&gt;0")</f>
        <v>0</v>
      </c>
      <c r="HM77" s="6">
        <f>COUNTIFS(Table72[Country],Tabela1[[#This Row],[Country]],Table72[Women''s Eights Classification],"&gt;0")</f>
        <v>0</v>
      </c>
      <c r="HN77" s="6">
        <f>COUNTIFS(Table16[Country],Tabela1[[#This Row],[Country]],Table16[Men''s Lwt. Double Sculls Classification],"&gt;0")</f>
        <v>0</v>
      </c>
      <c r="HO77" s="6">
        <f>COUNTIFS(Table16[Country],Tabela1[[#This Row],[Country]],Table16[Women''s Lwt. Double Sculls Classification],"&gt;0")</f>
        <v>0</v>
      </c>
      <c r="HP77" s="6">
        <f>COUNTIFS(Table91949698[Country],Tabela1[[#This Row],[Country]],Table91949698[Men''s Classification],"&gt;0")</f>
        <v>0</v>
      </c>
      <c r="HQ77" s="6">
        <f>COUNTIFS(Table91949698[Country],Tabela1[[#This Row],[Country]],Table91949698[Women''s Classification],"&gt;0")</f>
        <v>0</v>
      </c>
      <c r="HR77" s="6">
        <f>COUNTIFS(Table25[Country],Tabela1[[#This Row],[Country]],Table25[Mixed 470 Classification],"&gt;0")</f>
        <v>0</v>
      </c>
      <c r="HS77" s="6">
        <f>COUNTIFS(Table25[Country],Tabela1[[#This Row],[Country]],Table25[Men''s 49er Classification],"&gt;0")</f>
        <v>0</v>
      </c>
      <c r="HT77" s="6">
        <f>COUNTIFS(Table25[Country],Tabela1[[#This Row],[Country]],Table25[Women''s 49er FX Classification],"&gt;0")</f>
        <v>0</v>
      </c>
      <c r="HU77" s="6">
        <f>COUNTIFS(Table17[Country],Tabela1[[#This Row],[Country]],Table17[Formula Kite Classification],"&gt;0")</f>
        <v>0</v>
      </c>
      <c r="HV77" s="6">
        <f>COUNTIFS(Table18[Country],Tabela1[[#This Row],[Country]],Table18[Formula Kite Classification],"&gt;0")</f>
        <v>0</v>
      </c>
      <c r="HW77" s="6">
        <f>COUNTIFS(Table17[Country],Tabela1[[#This Row],[Country]],Table17[ILCA 7 Classification],"&gt;0")</f>
        <v>0</v>
      </c>
      <c r="HX77" s="6">
        <f>COUNTIFS(Table18[Country],Tabela1[[#This Row],[Country]],Table18[ILCA 6 Classification],"&gt;0")</f>
        <v>0</v>
      </c>
      <c r="HY77" s="6">
        <f>COUNTIFS(Table17[Country],Tabela1[[#This Row],[Country]],Table17[IQFoil Classification],"&gt;0")</f>
        <v>0</v>
      </c>
      <c r="HZ77" s="6">
        <f>COUNTIFS(Table18[Country],Tabela1[[#This Row],[Country]],Table18[IQFoil Classification],"&gt;0")</f>
        <v>0</v>
      </c>
      <c r="IA77" s="6">
        <f>COUNTIFS(Table25[Country],Tabela1[[#This Row],[Country]],Table25[Mixed Nacra 17 Classification],"&gt;0")</f>
        <v>0</v>
      </c>
      <c r="IB77" s="6">
        <f>COUNTIFS(Table53[Country],Tabela1[[#This Row],[Country]],Table53[10m Air Pistol Classification],"&gt;0")</f>
        <v>0</v>
      </c>
      <c r="IC77" s="6">
        <f>COUNTIFS(Table19[Country],Tabela1[[#This Row],[Country]],Table19[10m Air Pistol Classification],"&gt;0")</f>
        <v>0</v>
      </c>
      <c r="ID77" s="6">
        <f>COUNTIFS(Table54[Country],Tabela1[[#This Row],[Country]],Table54[Mixed 10m Air Pistol Team Classification],"&gt;0")</f>
        <v>0</v>
      </c>
      <c r="IE77" s="6">
        <f>COUNTIFS(Table53[Country],Tabela1[[#This Row],[Country]],Table53[10m Air Rifle Classification],"&gt;0")</f>
        <v>0</v>
      </c>
      <c r="IF77" s="6">
        <f>COUNTIFS(Table19[Country],Tabela1[[#This Row],[Country]],Table19[10m Air Rifle Classification],"&gt;0")</f>
        <v>0</v>
      </c>
      <c r="IG77" s="6">
        <f>COUNTIFS(Table54[Country],Tabela1[[#This Row],[Country]],Table54[Mixed 10m Air Rifle Team Classification],"&gt;0")</f>
        <v>0</v>
      </c>
      <c r="IH77" s="6">
        <f>COUNTIFS(Table53[Country],Tabela1[[#This Row],[Country]],Table53[25m Rapid Fire Pistol Classification],"&gt;0")</f>
        <v>0</v>
      </c>
      <c r="II77" s="6">
        <f>COUNTIFS(Table19[Country],Tabela1[[#This Row],[Country]],Table19[25m Pistol Classification],"&gt;0")</f>
        <v>0</v>
      </c>
      <c r="IJ77" s="6">
        <f>COUNTIFS(Table53[Country],Tabela1[[#This Row],[Country]],Table53[50m Rifle 3 Positions Classification],"&gt;0")</f>
        <v>0</v>
      </c>
      <c r="IK77" s="6">
        <f>COUNTIFS(Table19[Country],Tabela1[[#This Row],[Country]],Table19[50m Rifle 3 Positions Classification],"&gt;0")</f>
        <v>0</v>
      </c>
      <c r="IL77" s="6">
        <f>COUNTIFS(Table53[Country],Tabela1[[#This Row],[Country]],Table53[Skeet Classification],"&gt;0")</f>
        <v>0</v>
      </c>
      <c r="IM77" s="6">
        <f>COUNTIFS(Table19[Country],Tabela1[[#This Row],[Country]],Table19[Skeet Classification],"&gt;0")</f>
        <v>0</v>
      </c>
      <c r="IN77" s="6">
        <f>COUNTIFS(Table54[Country],Tabela1[[#This Row],[Country]],Table54[Mixed Skeet Team Classification],"&gt;0")</f>
        <v>0</v>
      </c>
      <c r="IO77" s="6">
        <f>COUNTIFS(Table53[Country],Tabela1[[#This Row],[Country]],Table53[Trap Classification],"&gt;0")</f>
        <v>0</v>
      </c>
      <c r="IP77" s="6">
        <f>COUNTIFS(Table19[Country],Tabela1[[#This Row],[Country]],Table19[Trap Classification],"&gt;0")</f>
        <v>0</v>
      </c>
      <c r="IQ77" s="6">
        <f>COUNTIFS(Table73[Country],Tabela1[[#This Row],[Country]],Table73[Park Classification],"&gt;0")</f>
        <v>0</v>
      </c>
      <c r="IR77" s="6">
        <f>COUNTIFS(Table74[Country],Tabela1[[#This Row],[Country]],Table74[Park Classification],"&gt;0")</f>
        <v>0</v>
      </c>
      <c r="IS77" s="6">
        <f>COUNTIFS(Table73[Country],Tabela1[[#This Row],[Country]],Table73[Street Classification],"&gt;0")</f>
        <v>0</v>
      </c>
      <c r="IT77" s="6">
        <f>COUNTIFS(Table74[Country],Tabela1[[#This Row],[Country]],Table74[Street Classification],"&gt;0")</f>
        <v>0</v>
      </c>
      <c r="IU77" s="6">
        <f>COUNTIFS(Table75[Country],Tabela1[[#This Row],[Country]],Table75[Boulder and Lead Classification],"&gt;0")</f>
        <v>0</v>
      </c>
      <c r="IV77" s="6">
        <f>COUNTIFS(Table76[Country],Tabela1[[#This Row],[Country]],Table76[Boulder and Lead Classification],"&gt;0")</f>
        <v>0</v>
      </c>
      <c r="IW77" s="6">
        <f>COUNTIFS(Table75[Country],Tabela1[[#This Row],[Country]],Table75[Speed Classification],"&gt;0")</f>
        <v>0</v>
      </c>
      <c r="IX77" s="6">
        <f>COUNTIFS(Table76[Country],Tabela1[[#This Row],[Country]],Table76[Speed Classification],"&gt;0")</f>
        <v>0</v>
      </c>
      <c r="IY77" s="6">
        <f>COUNTIFS(Table64[Country],Tabela1[[#This Row],[Country]],Table64[Shortboard Classification],"&gt;0")</f>
        <v>0</v>
      </c>
      <c r="IZ77" s="6">
        <f>COUNTIFS(Table77[Country],Tabela1[[#This Row],[Country]],Table77[Shortboard Classification],"&gt;0")</f>
        <v>0</v>
      </c>
      <c r="JA77" s="6">
        <f>COUNTIFS(Table20[Country],Tabela1[[#This Row],[Country]],Table20[50m Freestyle Classification],"&gt;0")</f>
        <v>0</v>
      </c>
      <c r="JB77" s="6">
        <f>COUNTIFS(Table21[Country],Tabela1[[#This Row],[Country]],Table21[50m Freestyle Classification],"&gt;0")</f>
        <v>0</v>
      </c>
      <c r="JC77" s="6">
        <f>COUNTIFS(Table20[Country],Tabela1[[#This Row],[Country]],Table20[100m Freestyle Classification],"&gt;0")</f>
        <v>0</v>
      </c>
      <c r="JD77" s="6">
        <f>COUNTIFS(Table21[Country],Tabela1[[#This Row],[Country]],Table21[100m Freestyle Classification],"&gt;0")</f>
        <v>0</v>
      </c>
      <c r="JE77" s="6">
        <f>COUNTIFS(Table20[Country],Tabela1[[#This Row],[Country]],Table20[200m Freestyle Classification],"&gt;0")</f>
        <v>0</v>
      </c>
      <c r="JF77" s="6">
        <f>COUNTIFS(Table21[Country],Tabela1[[#This Row],[Country]],Table21[200m Freestyle Classification],"&gt;0")</f>
        <v>0</v>
      </c>
      <c r="JG77" s="6">
        <f>COUNTIFS(Table20[Country],Tabela1[[#This Row],[Country]],Table20[400m Freestyle Classification],"&gt;0")</f>
        <v>0</v>
      </c>
      <c r="JH77" s="6">
        <f>COUNTIFS(Table21[Country],Tabela1[[#This Row],[Country]],Table21[400m Freestyle Classification],"&gt;0")</f>
        <v>0</v>
      </c>
      <c r="JI77" s="6">
        <f>COUNTIFS(Table20[Country],Tabela1[[#This Row],[Country]],Table20[800m Freestyle Classification],"&gt;0")</f>
        <v>0</v>
      </c>
      <c r="JJ77" s="6">
        <f>COUNTIFS(Table21[Country],Tabela1[[#This Row],[Country]],Table21[800m Freestyle Classification],"&gt;0")</f>
        <v>0</v>
      </c>
      <c r="JK77" s="6">
        <f>COUNTIFS(Table20[Country],Tabela1[[#This Row],[Country]],Table20[1500m Freestyle Classification],"&gt;0")</f>
        <v>0</v>
      </c>
      <c r="JL77" s="6">
        <f>COUNTIFS(Table21[Country],Tabela1[[#This Row],[Country]],Table21[1500m Freestyle Classification],"&gt;0")</f>
        <v>0</v>
      </c>
      <c r="JM77" s="6">
        <f>COUNTIFS(Table20[Country],Tabela1[[#This Row],[Country]],Table20[100m Backstroke Classification],"&gt;0")</f>
        <v>0</v>
      </c>
      <c r="JN77" s="6">
        <f>COUNTIFS(Table21[Country],Tabela1[[#This Row],[Country]],Table21[100m Backstroke Classification],"&gt;0")</f>
        <v>0</v>
      </c>
      <c r="JO77" s="6">
        <f>COUNTIFS(Table20[Country],Tabela1[[#This Row],[Country]],Table20[200m Backstroke Classification],"&gt;0")</f>
        <v>0</v>
      </c>
      <c r="JP77" s="6">
        <f>COUNTIFS(Table21[Country],Tabela1[[#This Row],[Country]],Table21[200m Backstroke Classification],"&gt;0")</f>
        <v>0</v>
      </c>
      <c r="JQ77" s="6">
        <f>COUNTIFS(Table20[Country],Tabela1[[#This Row],[Country]],Table20[100m Breaststroke Classification],"&gt;0")</f>
        <v>1</v>
      </c>
      <c r="JR77" s="6">
        <f>COUNTIFS(Table21[Country],Tabela1[[#This Row],[Country]],Table21[100m Breaststroke Classification],"&gt;0")</f>
        <v>0</v>
      </c>
      <c r="JS77" s="6">
        <f>COUNTIFS(Table20[Country],Tabela1[[#This Row],[Country]],Table20[200m Breaststroke Classification],"&gt;0")</f>
        <v>1</v>
      </c>
      <c r="JT77" s="6">
        <f>COUNTIFS(Table21[Country],Tabela1[[#This Row],[Country]],Table21[200m Breaststroke Classification],"&gt;0")</f>
        <v>0</v>
      </c>
      <c r="JU77" s="6">
        <f>COUNTIFS(Table20[Country],Tabela1[[#This Row],[Country]],Table20[100m Butterfly Classification],"&gt;0")</f>
        <v>0</v>
      </c>
      <c r="JV77" s="6">
        <f>COUNTIFS(Table21[Country],Tabela1[[#This Row],[Country]],Table21[100m Butterfly Classification],"&gt;0")</f>
        <v>0</v>
      </c>
      <c r="JW77" s="6">
        <f>COUNTIFS(Table20[Country],Tabela1[[#This Row],[Country]],Table20[200m Butterfly Classification],"&gt;0")</f>
        <v>0</v>
      </c>
      <c r="JX77" s="6">
        <f>COUNTIFS(Table21[Country],Tabela1[[#This Row],[Country]],Table21[200m Butterfly Classification],"&gt;0")</f>
        <v>0</v>
      </c>
      <c r="JY77" s="6">
        <f>COUNTIFS(Table20[Country],Tabela1[[#This Row],[Country]],Table20[200m Medley Classification],"&gt;0")</f>
        <v>0</v>
      </c>
      <c r="JZ77" s="6">
        <f>COUNTIFS(Table21[Country],Tabela1[[#This Row],[Country]],Table21[200m Medley Classification],"&gt;0")</f>
        <v>0</v>
      </c>
      <c r="KA77" s="6">
        <f>COUNTIFS(Table20[Country],Tabela1[[#This Row],[Country]],Table20[400m Medley Classification],"&gt;0")</f>
        <v>0</v>
      </c>
      <c r="KB77" s="6">
        <f>COUNTIFS(Table21[Country],Tabela1[[#This Row],[Country]],Table21[400m Medley Classification],"&gt;0")</f>
        <v>0</v>
      </c>
      <c r="KC77" s="6">
        <f>COUNTIFS(Table78[Country],Tabela1[[#This Row],[Country]],Table78[Men''s 4x100m Freestyle Relay Classification],"&gt;0")</f>
        <v>0</v>
      </c>
      <c r="KD77" s="6">
        <f>COUNTIFS(Table78[Country],Tabela1[[#This Row],[Country]],Table78[Women''s 4x100m Freestyle Relay Classification],"&gt;0")</f>
        <v>0</v>
      </c>
      <c r="KE77" s="6">
        <f>COUNTIFS(Table78[Country],Tabela1[[#This Row],[Country]],Table78[Men''s 4x200m Freestyle Relay Classification],"&gt;0")</f>
        <v>0</v>
      </c>
      <c r="KF77" s="6">
        <f>COUNTIFS(Table78[Country],Tabela1[[#This Row],[Country]],Table78[Women''s 4x200m Freestyle Relay Classification],"&gt;0")</f>
        <v>0</v>
      </c>
      <c r="KG77" s="6">
        <f>COUNTIFS(Table78[Country],Tabela1[[#This Row],[Country]],Table78[Men''s 4x100m Medley Relay Classification],"&gt;0")</f>
        <v>0</v>
      </c>
      <c r="KH77" s="6">
        <f>COUNTIFS(Table78[Country],Tabela1[[#This Row],[Country]],Table78[Women''s 4x100m Medley Relay Classification],"&gt;0")</f>
        <v>0</v>
      </c>
      <c r="KI77" s="6">
        <f>COUNTIFS(Table78[Country],Tabela1[[#This Row],[Country]],Table78[Mixed 4x100m Medley Relay Classification],"&gt;0")</f>
        <v>0</v>
      </c>
      <c r="KJ77" s="6">
        <f>COUNTIFS(Table20[Country],Tabela1[[#This Row],[Country]],Table20[10km Open Water Classification],"&gt;0")</f>
        <v>0</v>
      </c>
      <c r="KK77" s="6">
        <f>COUNTIFS(Table21[Country],Tabela1[[#This Row],[Country]],Table21[10km Open Water Classification],"&gt;0")</f>
        <v>0</v>
      </c>
      <c r="KL77" s="6">
        <f>COUNTIFS(Table22[Country],Tabela1[[#This Row],[Country]],Table22[Classification],"&gt;0")</f>
        <v>0</v>
      </c>
      <c r="KM77" s="6">
        <f>COUNTIFS(Table30[Country],Tabela1[[#This Row],[Country]],Table30[Classification],"&gt;0")</f>
        <v>0</v>
      </c>
      <c r="KN77" s="6">
        <f>COUNTIFS(Table55[Country],Tabela1[[#This Row],[Country]],Table55[Men''s Classification],"&gt;0")</f>
        <v>0</v>
      </c>
      <c r="KO77" s="6">
        <f>COUNTIFS(Table55[Country],Tabela1[[#This Row],[Country]],Table55[Women''s Classification],"&gt;0")</f>
        <v>0</v>
      </c>
      <c r="KP77" s="6">
        <f>COUNTIFS(Table56[Country],Tabela1[[#This Row],[Country]],Table56[Mixed Classification],"&gt;0")</f>
        <v>0</v>
      </c>
      <c r="KQ77" s="6">
        <f>COUNTIFS(Table29[Country],Tabela1[[#This Row],[Country]],Table29[58kg Classification],"&gt;0")</f>
        <v>0</v>
      </c>
      <c r="KR77" s="6">
        <f>COUNTIFS(Table29[Country],Tabela1[[#This Row],[Country]],Table29[68kg Classification],"&gt;0")</f>
        <v>0</v>
      </c>
      <c r="KS77" s="6">
        <f>COUNTIFS(Table29[Country],Tabela1[[#This Row],[Country]],Table29[80kg Classification],"&gt;0")</f>
        <v>0</v>
      </c>
      <c r="KT77" s="6">
        <f>COUNTIFS(Table29[Country],Tabela1[[#This Row],[Country]],Table29[Plus 80kg Classification],"&gt;0")</f>
        <v>0</v>
      </c>
      <c r="KU77" s="6">
        <f>COUNTIFS(Table34[Country],Tabela1[[#This Row],[Country]],Table34[49kg Classification],"&gt;0")</f>
        <v>0</v>
      </c>
      <c r="KV77" s="6">
        <f>COUNTIFS(Table34[Country],Tabela1[[#This Row],[Country]],Table34[57kg Classification],"&gt;0")</f>
        <v>0</v>
      </c>
      <c r="KW77" s="6">
        <f>COUNTIFS(Table34[Country],Tabela1[[#This Row],[Country]],Table34[67kg Classification],"&gt;0")</f>
        <v>0</v>
      </c>
      <c r="KX77" s="6">
        <f>COUNTIFS(Table34[Country],Tabela1[[#This Row],[Country]],Table34[Plus 67kg Classification],"&gt;0")</f>
        <v>0</v>
      </c>
      <c r="KY77" s="6">
        <f>COUNTIFS(Table57[Country],Tabela1[[#This Row],[Country]],Table57[Classification],"&gt;0")</f>
        <v>0</v>
      </c>
      <c r="KZ77" s="6">
        <f>COUNTIFS(Table58[Country],Tabela1[[#This Row],[Country]],Table58[Classification],"&gt;0")</f>
        <v>0</v>
      </c>
      <c r="LA77" s="6">
        <f>COUNTIFS(Table79[Country],Tabela1[[#This Row],[Country]],Table79[Men''s Classification],"&gt;0")</f>
        <v>0</v>
      </c>
      <c r="LB77" s="6">
        <f>COUNTIFS(Table79[Country],Tabela1[[#This Row],[Country]],Table79[Women''s Classification],"&gt;0")</f>
        <v>0</v>
      </c>
      <c r="LC77" s="6">
        <f>COUNTIFS(Table79[Country],Tabela1[[#This Row],[Country]],Table79[Mixed Classification],"&gt;0")</f>
        <v>0</v>
      </c>
      <c r="LD77" s="6">
        <f>COUNTIFS(Table65[Country],Tabela1[[#This Row],[Country]],Table65[Classification],"&gt;0")</f>
        <v>0</v>
      </c>
      <c r="LE77" s="6">
        <f>COUNTIFS(Table59[Country],Tabela1[[#This Row],[Country]],Table59[Classification],"&gt;0")</f>
        <v>1</v>
      </c>
      <c r="LF77" s="6">
        <f>COUNTIFS(Table87[Country],Tabela1[[#This Row],[Country]],Table87[Mixed Relay Classification],"&gt;0")</f>
        <v>0</v>
      </c>
      <c r="LG77" s="6">
        <f>COUNTIFS(Table91949698100[Country],Tabela1[[#This Row],[Country]],Table91949698100[Men''s Classification],"&gt;0")</f>
        <v>0</v>
      </c>
      <c r="LH77" s="6">
        <f>COUNTIFS(Table91949698100[Country],Tabela1[[#This Row],[Country]],Table91949698100[Women''s Classification],"&gt;0")</f>
        <v>0</v>
      </c>
      <c r="LI77" s="6">
        <f>COUNTIFS(Table91949698100102[Country],Tabela1[[#This Row],[Country]],Table91949698100102[Men''s Classification],"&gt;0")</f>
        <v>0</v>
      </c>
      <c r="LJ77" s="6">
        <f>COUNTIFS(Table91949698100102[Country],Tabela1[[#This Row],[Country]],Table91949698100102[Women''s Classification],"&gt;0")</f>
        <v>0</v>
      </c>
      <c r="LK77" s="6">
        <f>COUNTIFS(Table23[Country],Tabela1[[#This Row],[Country]],Table23[61kg Classification],"&gt;0")</f>
        <v>0</v>
      </c>
      <c r="LL77" s="6">
        <f>COUNTIFS(Table23[Country],Tabela1[[#This Row],[Country]],Table23[73kg Classification],"&gt;0")</f>
        <v>0</v>
      </c>
      <c r="LM77" s="6">
        <f>COUNTIFS(Table23[Country],Tabela1[[#This Row],[Country]],Table23[89kg Classification],"&gt;0")</f>
        <v>0</v>
      </c>
      <c r="LN77" s="6">
        <f>COUNTIFS(Table23[Country],Tabela1[[#This Row],[Country]],Table23[102kg Classification],"&gt;0")</f>
        <v>0</v>
      </c>
      <c r="LO77" s="6">
        <f>COUNTIFS(Table23[Country],Tabela1[[#This Row],[Country]],Table23[Plus 102kg Classification],"&gt;0")</f>
        <v>0</v>
      </c>
      <c r="LP77" s="6">
        <f>COUNTIFS(Table28[Country],Tabela1[[#This Row],[Country]],Table28[49kg Classification],"&gt;0")</f>
        <v>0</v>
      </c>
      <c r="LQ77" s="6">
        <f>COUNTIFS(Table28[Country],Tabela1[[#This Row],[Country]],Table28[59kg Classification],"&gt;0")</f>
        <v>0</v>
      </c>
      <c r="LR77" s="6">
        <f>COUNTIFS(Table28[Country],Tabela1[[#This Row],[Country]],Table28[71kg Classification],"&gt;0")</f>
        <v>0</v>
      </c>
      <c r="LS77" s="6">
        <f>COUNTIFS(Table28[Country],Tabela1[[#This Row],[Country]],Table28[81kg Classification],"&gt;0")</f>
        <v>0</v>
      </c>
      <c r="LT77" s="6">
        <f>COUNTIFS(Table28[Country],Tabela1[[#This Row],[Country]],Table28[Plus 81kg Classification],"&gt;0")</f>
        <v>0</v>
      </c>
      <c r="LU77" s="6">
        <f>COUNTIFS(Table24[Country],Tabela1[[#This Row],[Country]],Table24[Freestyle 57kg Classification],"&gt;0")</f>
        <v>0</v>
      </c>
      <c r="LV77" s="6">
        <f>COUNTIFS(Table24[Country],Tabela1[[#This Row],[Country]],Table24[Freestyle 65kg Classification],"&gt;0")</f>
        <v>0</v>
      </c>
      <c r="LW77" s="6">
        <f>COUNTIFS(Table24[Country],Tabela1[[#This Row],[Country]],Table24[Freestyle 74kg Classification],"&gt;0")</f>
        <v>0</v>
      </c>
      <c r="LX77" s="6">
        <f>COUNTIFS(Table24[Country],Tabela1[[#This Row],[Country]],Table24[Freestyle 86kg Classification],"&gt;0")</f>
        <v>0</v>
      </c>
      <c r="LY77" s="6">
        <f>COUNTIFS(Table24[Country],Tabela1[[#This Row],[Country]],Table24[Freestyle 97kg Classification],"&gt;0")</f>
        <v>0</v>
      </c>
      <c r="LZ77" s="6">
        <f>COUNTIFS(Table24[Country],Tabela1[[#This Row],[Country]],Table24[Freestyle 125kg Classification],"&gt;0")</f>
        <v>0</v>
      </c>
      <c r="MA77" s="6">
        <f>COUNTIFS(Table24[Country],Tabela1[[#This Row],[Country]],Table24[Greco-Roman 60kg Classification],"&gt;0")</f>
        <v>0</v>
      </c>
      <c r="MB77" s="6">
        <f>COUNTIFS(Table24[Country],Tabela1[[#This Row],[Country]],Table24[Greco-Roman 67kg Classification],"&gt;0")</f>
        <v>0</v>
      </c>
      <c r="MC77" s="6">
        <f>COUNTIFS(Table24[Country],Tabela1[[#This Row],[Country]],Table24[Greco-Roman 77kg Classification],"&gt;0")</f>
        <v>0</v>
      </c>
      <c r="MD77" s="6">
        <f>COUNTIFS(Table24[Country],Tabela1[[#This Row],[Country]],Table24[Greco-Roman 87kg Classification],"&gt;0")</f>
        <v>0</v>
      </c>
      <c r="ME77" s="6">
        <f>COUNTIFS(Table24[Country],Tabela1[[#This Row],[Country]],Table24[Greco-Roman 97kg Classification],"&gt;0")</f>
        <v>0</v>
      </c>
      <c r="MF77" s="6">
        <f>COUNTIFS(Table24[Country],Tabela1[[#This Row],[Country]],Table24[Greco-Roman 130kg Classification],"&gt;0")</f>
        <v>0</v>
      </c>
      <c r="MG77" s="6">
        <f>COUNTIFS(Table31[Country],Tabela1[[#This Row],[Country]],Table31[50kg Classification],"&gt;0")</f>
        <v>0</v>
      </c>
      <c r="MH77" s="6">
        <f>COUNTIFS(Table31[Country],Tabela1[[#This Row],[Country]],Table31[53kg Classification],"&gt;0")</f>
        <v>0</v>
      </c>
      <c r="MI77" s="6">
        <f>COUNTIFS(Table31[Country],Tabela1[[#This Row],[Country]],Table31[57kg Classification],"&gt;0")</f>
        <v>0</v>
      </c>
      <c r="MJ77" s="6">
        <f>COUNTIFS(Table31[Country],Tabela1[[#This Row],[Country]],Table31[62kg Classification],"&gt;0")</f>
        <v>0</v>
      </c>
      <c r="MK77" s="6">
        <f>COUNTIFS(Table31[Country],Tabela1[[#This Row],[Country]],Table31[68kg Classification],"&gt;0")</f>
        <v>0</v>
      </c>
      <c r="ML77" s="6">
        <f>COUNTIFS(Table31[Country],Tabela1[[#This Row],[Country]],Table31[76kg Classification],"&gt;0")</f>
        <v>0</v>
      </c>
      <c r="MM77" s="6">
        <f>COUNTIFS(Table102[Country],Tabela1[[#This Row],[Country]],Table102[Downhill Classification],"&gt;0")</f>
        <v>0</v>
      </c>
      <c r="MN77" s="6">
        <f>COUNTIFS(Table102105[Country],Tabela1[[#This Row],[Country]],Table102105[Downhill Classification],"&gt;0")</f>
        <v>0</v>
      </c>
      <c r="MO77" s="6">
        <f>COUNTIFS(Table102[Country],Tabela1[[#This Row],[Country]],Table102[Giant Slalom Classification],"&gt;0")</f>
        <v>0</v>
      </c>
      <c r="MP77" s="6">
        <f>COUNTIFS(Table102105[Country],Tabela1[[#This Row],[Country]],Table102105[Giant Slalom Classification],"&gt;0")</f>
        <v>0</v>
      </c>
      <c r="MQ77" s="6">
        <f>COUNTIFS(Table102[Country],Tabela1[[#This Row],[Country]],Table102[Slalom Classification],"&gt;0")</f>
        <v>0</v>
      </c>
      <c r="MR77" s="6">
        <f>COUNTIFS(Table102105[Country],Tabela1[[#This Row],[Country]],Table102105[Slalom Classification],"&gt;0")</f>
        <v>0</v>
      </c>
      <c r="MS77" s="6">
        <f>COUNTIFS(Table102[Country],Tabela1[[#This Row],[Country]],Table102[Super-G Classification],"&gt;0")</f>
        <v>0</v>
      </c>
      <c r="MT77" s="6">
        <f>COUNTIFS(Table102105[Country],Tabela1[[#This Row],[Country]],Table102105[Super-G Classification],"&gt;0")</f>
        <v>0</v>
      </c>
      <c r="MU77" s="6">
        <f>COUNTIFS(Table105[Country],Tabela1[[#This Row],[Country]],Table105[Men''s Combined Classification],"&gt;0")</f>
        <v>0</v>
      </c>
      <c r="MV77" s="6">
        <f>COUNTIFS(Table105[Country],Tabela1[[#This Row],[Country]],Table105[Women''s Combined Classification],"&gt;0")</f>
        <v>0</v>
      </c>
      <c r="MW77" s="6">
        <f>COUNTIFS(Table106[Country],Tabela1[[#This Row],[Country]],Table106[Individual Classification],"&gt;0")</f>
        <v>0</v>
      </c>
      <c r="MX77" s="6">
        <f>COUNTIFS(Table106109[Country],Tabela1[[#This Row],[Country]],Table106109[Individual Classification],"&gt;0")</f>
        <v>0</v>
      </c>
      <c r="MY77" s="6">
        <f>COUNTIFS(Table106[Country],Tabela1[[#This Row],[Country]],Table106[Mass Start Classification],"&gt;0")</f>
        <v>0</v>
      </c>
      <c r="MZ77" s="6">
        <f>COUNTIFS(Table106109[Country],Tabela1[[#This Row],[Country]],Table106109[Mass Start Classification],"&gt;0")</f>
        <v>0</v>
      </c>
      <c r="NA77" s="6">
        <f>COUNTIFS(Table106[Country],Tabela1[[#This Row],[Country]],Table106[Pursuit Classification],"&gt;0")</f>
        <v>0</v>
      </c>
      <c r="NB77" s="6">
        <f>COUNTIFS(Table106109[Country],Tabela1[[#This Row],[Country]],Table106109[Pursuit Classification],"&gt;0")</f>
        <v>0</v>
      </c>
      <c r="NC77" s="6">
        <f>COUNTIFS(Table106[Country],Tabela1[[#This Row],[Country]],Table106[Sprint Classification],"&gt;0")</f>
        <v>0</v>
      </c>
      <c r="ND77" s="6">
        <f>COUNTIFS(Table106109[Country],Tabela1[[#This Row],[Country]],Table106109[Sprint Classification],"&gt;0")</f>
        <v>0</v>
      </c>
      <c r="NE77" s="6">
        <f>COUNTIFS(Table109[Country],Tabela1[[#This Row],[Country]],Table109[Men''s Relay Classification],"&gt;0")</f>
        <v>0</v>
      </c>
      <c r="NF77" s="6">
        <f>COUNTIFS(Table109[Country],Tabela1[[#This Row],[Country]],Table109[Women''s Relay Classification],"&gt;0")</f>
        <v>0</v>
      </c>
      <c r="NG77" s="6">
        <f>COUNTIFS(Table109[Country],Tabela1[[#This Row],[Country]],Table109[Mixed Relay Classification],"&gt;0")</f>
        <v>0</v>
      </c>
      <c r="NH77" s="6">
        <f>COUNTIFS(Table110[Country],Tabela1[[#This Row],[Country]],Table110[Monobob Classification],"&gt;0")</f>
        <v>0</v>
      </c>
      <c r="NI77" s="6">
        <f>COUNTIFS(Table111[Country],Tabela1[[#This Row],[Country]],Table111[Men''s Classification],"&gt;0")</f>
        <v>0</v>
      </c>
      <c r="NJ77" s="6">
        <f>COUNTIFS(Table111[Country],Tabela1[[#This Row],[Country]],Table111[Women''s Classification],"&gt;0")</f>
        <v>0</v>
      </c>
      <c r="NK77" s="6">
        <f>COUNTIFS(Table112[Country],Tabela1[[#This Row],[Country]],Table112[Men''s Four Classification],"&gt;0")</f>
        <v>0</v>
      </c>
      <c r="NL77" s="6">
        <f>COUNTIFS(Table113[Country],Tabela1[[#This Row],[Country]],Table113[Classical Classification],"&gt;0")</f>
        <v>0</v>
      </c>
      <c r="NM77" s="6">
        <f>COUNTIFS(Table113116[Country],Tabela1[[#This Row],[Country]],Table113116[Classical Classification],"&gt;0")</f>
        <v>0</v>
      </c>
      <c r="NN77" s="6">
        <f>COUNTIFS(Table113[Country],Tabela1[[#This Row],[Country]],Table113[Freestyle Classification],"&gt;0")</f>
        <v>0</v>
      </c>
      <c r="NO77" s="6">
        <f>COUNTIFS(Table113116[Country],Tabela1[[#This Row],[Country]],Table113116[Freestyle Classification],"&gt;0")</f>
        <v>1</v>
      </c>
      <c r="NP77" s="6">
        <f>COUNTIFS(Table117[Country],Tabela1[[#This Row],[Country]],Table117[Men''s Relay Classification],"&gt;0")</f>
        <v>0</v>
      </c>
      <c r="NQ77" s="6">
        <f>COUNTIFS(Table117[Country],Tabela1[[#This Row],[Country]],Table117[Women''s Relay Classification],"&gt;0")</f>
        <v>0</v>
      </c>
      <c r="NR77" s="6">
        <f>COUNTIFS(Table113[Country],Tabela1[[#This Row],[Country]],Table113[Skiathlon Classification],"&gt;0")</f>
        <v>0</v>
      </c>
      <c r="NS77" s="6">
        <f>COUNTIFS(Table113116[Country],Tabela1[[#This Row],[Country]],Table113116[Skiathlon Classification],"&gt;0")</f>
        <v>0</v>
      </c>
      <c r="NT77" s="6">
        <f>COUNTIFS(Table113[Country],Tabela1[[#This Row],[Country]],Table113[Sprint Classification],"&gt;0")</f>
        <v>0</v>
      </c>
      <c r="NU77" s="6">
        <f>COUNTIFS(Table113116[Country],Tabela1[[#This Row],[Country]],Table113116[Sprint Classification],"&gt;0")</f>
        <v>1</v>
      </c>
      <c r="NV77" s="6">
        <f>COUNTIFS(Table116[Country],Tabela1[[#This Row],[Country]],Table116[Men''s Team Sprint Classification],"&gt;0")</f>
        <v>0</v>
      </c>
      <c r="NW77" s="6">
        <f>COUNTIFS(Table116[Country],Tabela1[[#This Row],[Country]],Table116[Women''s Team Sprint Classification],"&gt;0")</f>
        <v>0</v>
      </c>
      <c r="NX77" s="6">
        <f>COUNTIFS(Table119[Country],Tabela1[[#This Row],[Country]],Table119[Men''s Classification],"&gt;0")</f>
        <v>0</v>
      </c>
      <c r="NY77" s="6">
        <f>COUNTIFS(Table119[Country],Tabela1[[#This Row],[Country]],Table119[Women''s Classification],"&gt;0")</f>
        <v>0</v>
      </c>
      <c r="NZ77" s="6">
        <f>COUNTIFS(Table118[Country],Tabela1[[#This Row],[Country]],Table118[Mixed Classification],"&gt;0")</f>
        <v>0</v>
      </c>
      <c r="OA77" s="6">
        <f>COUNTIFS(Table120[Country],Tabela1[[#This Row],[Country]],Table120[Classification],"&gt;0")</f>
        <v>0</v>
      </c>
      <c r="OB77" s="6">
        <f>COUNTIFS(Table120123[Country],Tabela1[[#This Row],[Country]],Table120123[Classification],"&gt;0")</f>
        <v>0</v>
      </c>
      <c r="OC77" s="6">
        <f>COUNTIFS(Table123[Country],Tabela1[[#This Row],[Country]],Table123[Ice Dance Classification],"&gt;0")</f>
        <v>0</v>
      </c>
      <c r="OD77" s="6">
        <f>COUNTIFS(Table123[Country],Tabela1[[#This Row],[Country]],Table123[Pair Skating Classification],"&gt;0")</f>
        <v>0</v>
      </c>
      <c r="OE77" s="6">
        <f>COUNTIFS(Table124[Country],Tabela1[[#This Row],[Country]],Table124[Mixed Classification],"&gt;0")</f>
        <v>0</v>
      </c>
      <c r="OF77" s="6">
        <f>COUNTIFS(Table125[Country],Tabela1[[#This Row],[Country]],Table125[Aerials Classification],"&gt;0")</f>
        <v>0</v>
      </c>
      <c r="OG77" s="6">
        <f>COUNTIFS(Table125128[Country],Tabela1[[#This Row],[Country]],Table125128[Aerials Classification],"&gt;0")</f>
        <v>0</v>
      </c>
      <c r="OH77" s="6">
        <f>COUNTIFS(Table128[Country],Tabela1[[#This Row],[Country]],Table128[Mixed Aerials Classification],"&gt;0")</f>
        <v>0</v>
      </c>
      <c r="OI77" s="6">
        <f>COUNTIFS(Table125[Country],Tabela1[[#This Row],[Country]],Table125[Big Air Classification],"&gt;0")</f>
        <v>0</v>
      </c>
      <c r="OJ77" s="6">
        <f>COUNTIFS(Table125128[Country],Tabela1[[#This Row],[Country]],Table125128[Big Air Classification],"&gt;0")</f>
        <v>0</v>
      </c>
      <c r="OK77" s="6">
        <f>COUNTIFS(Table125[Country],Tabela1[[#This Row],[Country]],Table125[Dual Moguls Classification],"&gt;0")</f>
        <v>0</v>
      </c>
      <c r="OL77" s="6">
        <f>COUNTIFS(Table125128[Country],Tabela1[[#This Row],[Country]],Table125128[Dual Moguls Classification],"&gt;0")</f>
        <v>0</v>
      </c>
      <c r="OM77" s="6">
        <f>COUNTIFS(Table125[Country],Tabela1[[#This Row],[Country]],Table125[Halfpipe Classification],"&gt;0")</f>
        <v>0</v>
      </c>
      <c r="ON77" s="6">
        <f>COUNTIFS(Table125128[Country],Tabela1[[#This Row],[Country]],Table125128[Halfpipe Classification],"&gt;0")</f>
        <v>0</v>
      </c>
      <c r="OO77" s="6">
        <f>COUNTIFS(Table125[Country],Tabela1[[#This Row],[Country]],Table125[Moguls Classification],"&gt;0")</f>
        <v>0</v>
      </c>
      <c r="OP77" s="6">
        <f>COUNTIFS(Table125128[Country],Tabela1[[#This Row],[Country]],Table125128[Moguls Classification],"&gt;0")</f>
        <v>0</v>
      </c>
      <c r="OQ77" s="6">
        <f>COUNTIFS(Table125[Country],Tabela1[[#This Row],[Country]],Table125[Ski Cross Classification],"&gt;0")</f>
        <v>0</v>
      </c>
      <c r="OR77" s="6">
        <f>COUNTIFS(Table125128[Country],Tabela1[[#This Row],[Country]],Table125128[Ski Cross Classification],"&gt;0")</f>
        <v>0</v>
      </c>
      <c r="OS77" s="6">
        <f>COUNTIFS(Table125[Country],Tabela1[[#This Row],[Country]],Table125[Slopestyle Classification],"&gt;0")</f>
        <v>0</v>
      </c>
      <c r="OT77" s="6">
        <f>COUNTIFS(Table125128[Country],Tabela1[[#This Row],[Country]],Table125128[Slopestyle Classification],"&gt;0")</f>
        <v>0</v>
      </c>
      <c r="OU77" s="6">
        <f>COUNTIFS(Table119131[Country],Tabela1[[#This Row],[Country]],Table119131[Men''s Classification],"&gt;0")</f>
        <v>0</v>
      </c>
      <c r="OV77" s="6">
        <f>COUNTIFS(Table119131[Country],Tabela1[[#This Row],[Country]],Table119131[Women''s Classification],"&gt;0")</f>
        <v>0</v>
      </c>
      <c r="OW77" s="6">
        <f>COUNTIFS(Table131[Country],Tabela1[[#This Row],[Country]],Table131[Classification],"&gt;0")</f>
        <v>0</v>
      </c>
      <c r="OX77" s="6">
        <f>COUNTIFS(Table131134[Country],Tabela1[[#This Row],[Country]],Table131134[Classification],"&gt;0")</f>
        <v>0</v>
      </c>
      <c r="OY77" s="6">
        <f>COUNTIFS(Table134[Country],Tabela1[[#This Row],[Country]],Table134[Men''s Classification],"&gt;0")</f>
        <v>0</v>
      </c>
      <c r="OZ77" s="6">
        <f>COUNTIFS(Table134[Country],Tabela1[[#This Row],[Country]],Table134[Women''s Classification],"&gt;0")</f>
        <v>0</v>
      </c>
      <c r="PA77" s="6">
        <f>COUNTIFS(Table135[Country],Tabela1[[#This Row],[Country]],Table135[Mixed Relay Classification],"&gt;0")</f>
        <v>0</v>
      </c>
      <c r="PB77" s="6">
        <f>COUNTIFS(Table136[Country],Tabela1[[#This Row],[Country]],Table136[Individual Classification],"&gt;0")</f>
        <v>0</v>
      </c>
      <c r="PC77" s="6">
        <f>COUNTIFS(Table136[Country],Tabela1[[#This Row],[Country]],Table136[Sprint Classification],"&gt;0")</f>
        <v>0</v>
      </c>
      <c r="PD77" s="6">
        <f>COUNTIFS(Table137[Country],Tabela1[[#This Row],[Country]],Table137[Men''s Team Sprint Large Hill Classification],"&gt;0")</f>
        <v>0</v>
      </c>
      <c r="PE77" s="6">
        <f>COUNTIFS(Table138[Country],Tabela1[[#This Row],[Country]],Table138[500m Classification],"&gt;0")</f>
        <v>0</v>
      </c>
      <c r="PF77" s="6">
        <f>COUNTIFS(Table138141[Country],Tabela1[[#This Row],[Country]],Table138141[500m Classification],"&gt;0")</f>
        <v>0</v>
      </c>
      <c r="PG77" s="6">
        <f>COUNTIFS(Table138[Country],Tabela1[[#This Row],[Country]],Table138[1000m Classification],"&gt;0")</f>
        <v>0</v>
      </c>
      <c r="PH77" s="6">
        <f>COUNTIFS(Table138141[Country],Tabela1[[#This Row],[Country]],Table138141[1000m Classification],"&gt;0")</f>
        <v>0</v>
      </c>
      <c r="PI77" s="6">
        <f>COUNTIFS(Table138[Country],Tabela1[[#This Row],[Country]],Table138[1500m Classification],"&gt;0")</f>
        <v>0</v>
      </c>
      <c r="PJ77" s="6">
        <f>COUNTIFS(Table138141[Country],Tabela1[[#This Row],[Country]],Table138141[1500m Classification],"&gt;0")</f>
        <v>0</v>
      </c>
      <c r="PK77" s="6">
        <f>COUNTIFS(Table141[Country],Tabela1[[#This Row],[Country]],Table141[Men''s 5000m Relay Classification],"&gt;0")</f>
        <v>0</v>
      </c>
      <c r="PL77" s="6">
        <f>COUNTIFS(Table141[Country],Tabela1[[#This Row],[Country]],Table141[Women''s 3000m Relay Classification],"&gt;0")</f>
        <v>0</v>
      </c>
      <c r="PM77" s="6">
        <f>COUNTIFS(Table141[Country],Tabela1[[#This Row],[Country]],Table141[Mixed 2000m Relay Classification],"&gt;0")</f>
        <v>0</v>
      </c>
      <c r="PN77" s="6">
        <f>COUNTIFS(Table142[Country],Tabela1[[#This Row],[Country]],Table142[Classification],"&gt;0")</f>
        <v>0</v>
      </c>
      <c r="PO77" s="6">
        <f>COUNTIFS(Table142145[Country],Tabela1[[#This Row],[Country]],Table142145[Classification],"&gt;0")</f>
        <v>0</v>
      </c>
      <c r="PP77" s="6">
        <f>COUNTIFS(Tabela15[Country],Tabela1[[#This Row],[Country]],Tabela15[Mixed Team Classification],"&gt;0")</f>
        <v>0</v>
      </c>
      <c r="PQ77" s="6">
        <f>COUNTIFS(Table145[Country],Tabela1[[#This Row],[Country]],Table145[Large Hill Classification],"&gt;0")</f>
        <v>0</v>
      </c>
      <c r="PR77" s="6">
        <f>COUNTIFS(Table145[Country],Tabela1[[#This Row],[Country]],Table145[Normal Hill Classification],"&gt;0")</f>
        <v>0</v>
      </c>
      <c r="PS77" s="6">
        <f>COUNTIFS(Table145148[Country],Tabela1[[#This Row],[Country]],Table145148[Large Hill Classification],"&gt;0")</f>
        <v>0</v>
      </c>
      <c r="PT77" s="6">
        <f>COUNTIFS(Table145148[Country],Tabela1[[#This Row],[Country]],Table145148[Normal Hill Classification],"&gt;0")</f>
        <v>0</v>
      </c>
      <c r="PU77" s="6">
        <f>COUNTIFS(Table148[Country],Tabela1[[#This Row],[Country]],Table148[Men''s Super Team Classification],"&gt;0")</f>
        <v>0</v>
      </c>
      <c r="PV77" s="6">
        <f>COUNTIFS(Tabela114[Country],Tabela1[[#This Row],[Country]],Tabela114[Mixed Normal Hill Classification],"&gt;0")</f>
        <v>0</v>
      </c>
      <c r="PW77" s="6">
        <f>COUNTIFS(Tabela50[Country],Tabela1[[#This Row],[Country]],Tabela50[Sprint Classification],"&gt;0")</f>
        <v>0</v>
      </c>
      <c r="PX77" s="6">
        <f>COUNTIFS(Tabela50101[Country],Tabela1[[#This Row],[Country]],Tabela50101[Sprint Classification],"&gt;0")</f>
        <v>0</v>
      </c>
      <c r="PY77" s="6">
        <f>COUNTIFS(Tabela103[Country],Tabela1[[#This Row],[Country]],Tabela103[Mixed Relay Classification],"&gt;0")</f>
        <v>0</v>
      </c>
      <c r="PZ77" s="6">
        <f>COUNTIFS(Table149[Country],Tabela1[[#This Row],[Country]],Table149[Big Air Classification],"&gt;0")</f>
        <v>0</v>
      </c>
      <c r="QA77" s="6">
        <f>COUNTIFS(Table149152[Country],Tabela1[[#This Row],[Country]],Table149152[Big Air Classification],"&gt;0")</f>
        <v>0</v>
      </c>
      <c r="QB77" s="6">
        <f>COUNTIFS(Table149[Country],Tabela1[[#This Row],[Country]],Table149[Halfpipe Classification],"&gt;0")</f>
        <v>0</v>
      </c>
      <c r="QC77" s="6">
        <f>COUNTIFS(Table149152[Country],Tabela1[[#This Row],[Country]],Table149152[Halfpipe Classification],"&gt;0")</f>
        <v>0</v>
      </c>
      <c r="QD77" s="6">
        <f>COUNTIFS(Table149[Country],Tabela1[[#This Row],[Country]],Table149[Parallel Giant Slalom Classification],"&gt;0")</f>
        <v>0</v>
      </c>
      <c r="QE77" s="6">
        <f>COUNTIFS(Table149152[Country],Tabela1[[#This Row],[Country]],Table149152[Parallel Giant Slalom Classification],"&gt;0")</f>
        <v>0</v>
      </c>
      <c r="QF77" s="6">
        <f>COUNTIFS(Table149[Country],Tabela1[[#This Row],[Country]],Table149[Slopestyle Classification],"&gt;0")</f>
        <v>0</v>
      </c>
      <c r="QG77" s="6">
        <f>COUNTIFS(Table149152[Country],Tabela1[[#This Row],[Country]],Table149152[Slopestyle Classification],"&gt;0")</f>
        <v>0</v>
      </c>
      <c r="QH77" s="6">
        <f>COUNTIFS(Table149[Country],Tabela1[[#This Row],[Country]],Table149[Snowboard Cross Classification],"&gt;0")</f>
        <v>0</v>
      </c>
      <c r="QI77" s="6">
        <f>COUNTIFS(Table149152[Country],Tabela1[[#This Row],[Country]],Table149152[Snowboard Cross Classification],"&gt;0")</f>
        <v>0</v>
      </c>
      <c r="QJ77" s="6">
        <f>COUNTIFS(Table153[Country],Tabela1[[#This Row],[Country]],Table153[Mixed Team Snowboard Cross Classification],"&gt;0")</f>
        <v>0</v>
      </c>
      <c r="QK77" s="6">
        <f>COUNTIFS(Table154[Country],Tabela1[[#This Row],[Country]],Table154[500m Classification],"&gt;0")</f>
        <v>0</v>
      </c>
      <c r="QL77" s="6">
        <f>COUNTIFS(Table154157[Country],Tabela1[[#This Row],[Country]],Table154157[500m Classification],"&gt;0")</f>
        <v>0</v>
      </c>
      <c r="QM77" s="6">
        <f>COUNTIFS(Table154[Country],Tabela1[[#This Row],[Country]],Table154[1000m Classification],"&gt;0")</f>
        <v>0</v>
      </c>
      <c r="QN77" s="6">
        <f>COUNTIFS(Table154157[Country],Tabela1[[#This Row],[Country]],Table154157[1000m Classification],"&gt;0")</f>
        <v>0</v>
      </c>
      <c r="QO77" s="6">
        <f>COUNTIFS(Table154[Country],Tabela1[[#This Row],[Country]],Table154[1500m Classification],"&gt;0")</f>
        <v>0</v>
      </c>
      <c r="QP77" s="6">
        <f>COUNTIFS(Table154157[Country],Tabela1[[#This Row],[Country]],Table154157[1500m Classification],"&gt;0")</f>
        <v>0</v>
      </c>
      <c r="QQ77" s="6">
        <f>COUNTIFS(Table154157[Country],Tabela1[[#This Row],[Country]],Table154157[3000m Classification],"&gt;0")</f>
        <v>0</v>
      </c>
      <c r="QR77" s="6">
        <f>COUNTIFS(Table154[Country],Tabela1[[#This Row],[Country]],Table154[5000m Classification],"&gt;0")</f>
        <v>0</v>
      </c>
      <c r="QS77" s="6">
        <f>COUNTIFS(Table154157[Country],Tabela1[[#This Row],[Country]],Table154157[5000m Classification],"&gt;0")</f>
        <v>0</v>
      </c>
      <c r="QT77" s="6">
        <f>COUNTIFS(Table154[Country],Tabela1[[#This Row],[Country]],Table154[10000m Classification],"&gt;0")</f>
        <v>0</v>
      </c>
      <c r="QU77" s="6">
        <f>COUNTIFS(Table154[Country],Tabela1[[#This Row],[Country]],Table154[Mass Start Classification],"&gt;0")</f>
        <v>0</v>
      </c>
      <c r="QV77" s="6">
        <f>COUNTIFS(Table154157[Country],Tabela1[[#This Row],[Country]],Table154157[Mass Start Classification],"&gt;0")</f>
        <v>0</v>
      </c>
      <c r="QW77" s="6">
        <f>COUNTIFS(Table157[Country],Tabela1[[#This Row],[Country]],Table157[Men''s Pursuit Classification],"&gt;0")</f>
        <v>0</v>
      </c>
      <c r="QX77" s="6">
        <f>COUNTIFS(Table157[Country],Tabela1[[#This Row],[Country]],Table157[Women''s Pursuit Classification],"&gt;0")</f>
        <v>0</v>
      </c>
      <c r="QY77" s="4" t="s">
        <v>595</v>
      </c>
    </row>
    <row r="78" spans="1:467" x14ac:dyDescent="0.3">
      <c r="A78" s="6">
        <v>77</v>
      </c>
      <c r="B78" s="6" t="s">
        <v>558</v>
      </c>
      <c r="C78" t="e" vm="77">
        <f>IF(ISBLANK(Tabela1[[#This Row],[Image Link]]), "", _xlfn.IMAGE(Tabela1[[#This Row],[Image Link]],1,1))</f>
        <v>#VALUE!</v>
      </c>
      <c r="D78" s="6">
        <f>SUM(Tabela1[[#This Row],[Archery - Men''s Individual Recurve]:[Speed Skating - Women''s Team Pursuit]])</f>
        <v>6</v>
      </c>
      <c r="E78" s="6">
        <f>COUNTIF(Tabela1[[#This Row],[Archery - Men''s Individual Recurve]:[Speed Skating - Women''s Team Pursuit]],"&gt;0")</f>
        <v>6</v>
      </c>
      <c r="F78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78" s="6">
        <f>SUM(Tabela1[[#This Row],[Archery - Men''s Individual Recurve]:[Wrestling - Women''s Freestyle 76kg]])</f>
        <v>6</v>
      </c>
      <c r="H78" s="6">
        <f>SUM(Tabela1[[#This Row],[Alpine Skiing - Men''s Downhill]:[Speed Skating - Women''s Team Pursuit]])</f>
        <v>0</v>
      </c>
      <c r="I78" s="6">
        <f>Tabela1[[#This Row],[Summer Gold Medals]]+Tabela1[[#This Row],[Winter Gold Medals]]</f>
        <v>0</v>
      </c>
      <c r="J78" s="6">
        <f>Tabela1[[#This Row],[Summer Silver Medals]]+Tabela1[[#This Row],[Winter Silver Medals]]</f>
        <v>0</v>
      </c>
      <c r="K78" s="6">
        <f>Tabela1[[#This Row],[Summer Bronze Medals]]+Tabela1[[#This Row],[Winter Bronze Medals]]</f>
        <v>0</v>
      </c>
      <c r="L78" s="6">
        <f>SUM(Tabela1[[#This Row],[Total Gold Medals]:[Total Bronze Medals]])</f>
        <v>0</v>
      </c>
      <c r="M78" s="6"/>
      <c r="N78" s="6"/>
      <c r="O78" s="6"/>
      <c r="P78" s="6">
        <f>SUM(Tabela1[[#This Row],[Summer Gold Medals]:[Summer Bronze Medals]])</f>
        <v>0</v>
      </c>
      <c r="Q78" s="6"/>
      <c r="R78" s="6"/>
      <c r="S78" s="6"/>
      <c r="T78" s="6">
        <f>Tabela1[[#This Row],[Winter Gold Medals]]+Tabela1[[#This Row],[Winter Silver Medals]]+Tabela1[[#This Row],[Winter Bronze Medals]]</f>
        <v>0</v>
      </c>
      <c r="U78" s="7">
        <f>Tabela1[[#This Row],[Total Medals]]/Tabela1[[#This Row],[Total Quotas]]</f>
        <v>0</v>
      </c>
      <c r="V78" s="6">
        <f>COUNTIFS(Table3[Country],Tabela1[[#This Row],[Country]],Table3[Recurve Classification],"&gt;0")</f>
        <v>0</v>
      </c>
      <c r="W78" s="6">
        <f>COUNTIFS(Table33[Country],Tabela1[[#This Row],[Country]],Table33[Recurve Classification],"&gt;0")</f>
        <v>0</v>
      </c>
      <c r="X78" s="6">
        <f>COUNTIFS(Table35[Country],Tabela1[[#This Row],[Country]],Table35[Men''s Team Recurve Classification],"&gt;0")</f>
        <v>0</v>
      </c>
      <c r="Y78" s="6">
        <f>COUNTIFS(Table35[Country],Tabela1[[#This Row],[Country]],Table35[Women''s Team Recurve Classification],"&gt;0")</f>
        <v>0</v>
      </c>
      <c r="Z78" s="6">
        <f>COUNTIFS(Tabela88[Country],Tabela1[[#This Row],[Country]],Tabela88[Mixed Team Recurve Classification],"&gt;0")</f>
        <v>0</v>
      </c>
      <c r="AA78" s="6">
        <f>COUNTIFS(Table36[Country],Tabela1[[#This Row],[Country]],Table36[Classification],"&gt;0")</f>
        <v>0</v>
      </c>
      <c r="AB78" s="6">
        <f>COUNTIFS(Table37[Country],Tabela1[[#This Row],[Country]],Table37[Classification],"&gt;0")</f>
        <v>0</v>
      </c>
      <c r="AC78" s="6">
        <f>COUNTIFS(Table4[Country],Tabela1[[#This Row],[Country]],Table4[100m Classification],"&gt;0")</f>
        <v>0</v>
      </c>
      <c r="AD78" s="6">
        <f>COUNTIFS(Table5[Country],Tabela1[[#This Row],[Country]],Table5[100m Classification],"&gt;0")</f>
        <v>0</v>
      </c>
      <c r="AE78" s="6">
        <f>COUNTIFS(Table4[Country],Tabela1[[#This Row],[Country]],Table4[200m Classification],"&gt;0")</f>
        <v>0</v>
      </c>
      <c r="AF78" s="6">
        <f>COUNTIFS(Table5[Country],Tabela1[[#This Row],[Country]],Table5[200m Classification],"&gt;0")</f>
        <v>0</v>
      </c>
      <c r="AG78" s="6">
        <f>COUNTIFS(Table4[Country],Tabela1[[#This Row],[Country]],Table4[400m Classification],"&gt;0")</f>
        <v>0</v>
      </c>
      <c r="AH78" s="6">
        <f>COUNTIFS(Table5[Country],Tabela1[[#This Row],[Country]],Table5[400m Classification],"&gt;0")</f>
        <v>0</v>
      </c>
      <c r="AI78" s="6">
        <f>COUNTIFS(Table4[Country],Tabela1[[#This Row],[Country]],Table4[800m Classification],"&gt;0")</f>
        <v>0</v>
      </c>
      <c r="AJ78" s="6">
        <f>COUNTIFS(Table5[Country],Tabela1[[#This Row],[Country]],Table5[800m Classification],"&gt;0")</f>
        <v>0</v>
      </c>
      <c r="AK78" s="6">
        <f>COUNTIFS(Table4[Country],Tabela1[[#This Row],[Country]],Table4[1500m Classification],"&gt;0")</f>
        <v>0</v>
      </c>
      <c r="AL78" s="6">
        <f>COUNTIFS(Table5[Country],Tabela1[[#This Row],[Country]],Table5[1500m Classification],"&gt;0")</f>
        <v>0</v>
      </c>
      <c r="AM78" s="6">
        <f>COUNTIFS(Table4[Country],Tabela1[[#This Row],[Country]],Table4[5000m Classification],"&gt;0")</f>
        <v>0</v>
      </c>
      <c r="AN78" s="6">
        <f>COUNTIFS(Table5[Country],Tabela1[[#This Row],[Country]],Table5[5000m Classification],"&gt;0")</f>
        <v>0</v>
      </c>
      <c r="AO78" s="6">
        <f>COUNTIFS(Table4[Country],Tabela1[[#This Row],[Country]],Table4[10000m Classification],"&gt;0")</f>
        <v>0</v>
      </c>
      <c r="AP78" s="6">
        <f>COUNTIFS(Table5[Country],Tabela1[[#This Row],[Country]],Table5[10000m Classification],"&gt;0")</f>
        <v>0</v>
      </c>
      <c r="AQ78" s="6">
        <f>COUNTIFS(Table4[Country],Tabela1[[#This Row],[Country]],Table4[110m Hurdles Classification],"&gt;0")</f>
        <v>0</v>
      </c>
      <c r="AR78" s="6">
        <f>COUNTIFS(Table5[Country],Tabela1[[#This Row],[Country]],Table5[100m Hurdles Classification],"&gt;0")</f>
        <v>0</v>
      </c>
      <c r="AS78" s="6">
        <f>COUNTIFS(Table4[Country],Tabela1[[#This Row],[Country]],Table4[400m Hurdles Classification],"&gt;0")</f>
        <v>1</v>
      </c>
      <c r="AT78" s="6">
        <f>COUNTIFS(Table5[Country],Tabela1[[#This Row],[Country]],Table5[400m Hurdles Classification],"&gt;0")</f>
        <v>0</v>
      </c>
      <c r="AU78" s="6">
        <f>COUNTIFS(Table4[Country],Tabela1[[#This Row],[Country]],Table4[3000m Steeplechase Classification],"&gt;0")</f>
        <v>0</v>
      </c>
      <c r="AV78" s="6">
        <f>COUNTIFS(Table5[Country],Tabela1[[#This Row],[Country]],Table5[3000m Steeplechase Classification],"&gt;0")</f>
        <v>0</v>
      </c>
      <c r="AW78" s="6">
        <f>COUNTIFS(Table27[Country],Tabela1[[#This Row],[Country]],Table27[Men''s 4x100m Relay Classification],"&gt;0")</f>
        <v>0</v>
      </c>
      <c r="AX78" s="6">
        <f>COUNTIFS(Table27[Country],Tabela1[[#This Row],[Country]],Table27[Women''s 4x100m Relay Classification],"&gt;0")</f>
        <v>0</v>
      </c>
      <c r="AY78" s="6">
        <f>COUNTIFS(Table27[Country],Tabela1[[#This Row],[Country]],Table27[Men''s 4x400m Relay Classification],"&gt;0")</f>
        <v>0</v>
      </c>
      <c r="AZ78" s="6">
        <f>COUNTIFS(Table27[Country],Tabela1[[#This Row],[Country]],Table27[Women''s 4x400m Relay Classification],"&gt;0")</f>
        <v>0</v>
      </c>
      <c r="BA78" s="6">
        <f>COUNTIFS(Table27[Country],Tabela1[[#This Row],[Country]],Table27[Mixed 4x400m Relay Classification],"&gt;0")</f>
        <v>0</v>
      </c>
      <c r="BB78" s="6">
        <f>COUNTIFS(Table4[Country],Tabela1[[#This Row],[Country]],Table4[Marathon Classification],"&gt;0")</f>
        <v>0</v>
      </c>
      <c r="BC78" s="6">
        <f>COUNTIFS(Table5[Country],Tabela1[[#This Row],[Country]],Table5[Marathon Classification],"&gt;0")</f>
        <v>0</v>
      </c>
      <c r="BD78" s="6">
        <f>COUNTIFS(Table4[Country],Tabela1[[#This Row],[Country]],Table4[20km Race Walk Classification],"&gt;0")</f>
        <v>0</v>
      </c>
      <c r="BE78" s="6">
        <f>COUNTIFS(Table5[Country],Tabela1[[#This Row],[Country]],Table5[20km Race Walk Classification],"&gt;0")</f>
        <v>0</v>
      </c>
      <c r="BF78" s="6">
        <f>COUNTIFS(Tabela96[Country],Tabela1[[#This Row],[Country]],Tabela96[Mixed Marathon Race Walk Relay Classification],"&gt;0")</f>
        <v>0</v>
      </c>
      <c r="BG78" s="6">
        <f>COUNTIFS(Table4[Country],Tabela1[[#This Row],[Country]],Table4[Discus Throw Classification],"&gt;0")</f>
        <v>0</v>
      </c>
      <c r="BH78" s="6">
        <f>COUNTIFS(Table5[Country],Tabela1[[#This Row],[Country]],Table5[Discus Throw Classification],"&gt;0")</f>
        <v>0</v>
      </c>
      <c r="BI78" s="6">
        <f>COUNTIFS(Table4[Country],Tabela1[[#This Row],[Country]],Table4[Hammer Throw Classification],"&gt;0")</f>
        <v>0</v>
      </c>
      <c r="BJ78" s="6">
        <f>COUNTIFS(Table5[Country],Tabela1[[#This Row],[Country]],Table5[Hammer Throw Classification],"&gt;0")</f>
        <v>0</v>
      </c>
      <c r="BK78" s="6">
        <f>COUNTIFS(Table4[Country],Tabela1[[#This Row],[Country]],Table4[High Jump Classification],"&gt;0")</f>
        <v>0</v>
      </c>
      <c r="BL78" s="6">
        <f>COUNTIFS(Table5[Country],Tabela1[[#This Row],[Country]],Table5[High Jump Classification],"&gt;0")</f>
        <v>0</v>
      </c>
      <c r="BM78" s="6">
        <f>COUNTIFS(Table4[Country],Tabela1[[#This Row],[Country]],Table4[Javelin Throw Classification],"&gt;0")</f>
        <v>0</v>
      </c>
      <c r="BN78" s="6">
        <f>COUNTIFS(Table5[Country],Tabela1[[#This Row],[Country]],Table5[Javelin Throw Classification],"&gt;0")</f>
        <v>0</v>
      </c>
      <c r="BO78" s="6">
        <f>COUNTIFS(Table4[Country],Tabela1[[#This Row],[Country]],Table4[Long Jump Classification],"&gt;0")</f>
        <v>0</v>
      </c>
      <c r="BP78" s="6">
        <f>COUNTIFS(Table5[Country],Tabela1[[#This Row],[Country]],Table5[Long Jump Classification],"&gt;0")</f>
        <v>0</v>
      </c>
      <c r="BQ78" s="6">
        <f>COUNTIFS(Table4[Country],Tabela1[[#This Row],[Country]],Table4[Pole Vault Classification],"&gt;0")</f>
        <v>0</v>
      </c>
      <c r="BR78" s="6">
        <f>COUNTIFS(Table5[Country],Tabela1[[#This Row],[Country]],Table5[Pole Vault Classification],"&gt;0")</f>
        <v>0</v>
      </c>
      <c r="BS78" s="6">
        <f>COUNTIFS(Table4[Country],Tabela1[[#This Row],[Country]],Table4[Shot Put Classification],"&gt;0")</f>
        <v>0</v>
      </c>
      <c r="BT78" s="6">
        <f>COUNTIFS(Table5[Country],Tabela1[[#This Row],[Country]],Table5[Shot Put Classification],"&gt;0")</f>
        <v>0</v>
      </c>
      <c r="BU78" s="6">
        <f>COUNTIFS(Table4[Country],Tabela1[[#This Row],[Country]],Table4[Triple Jump Classification],"&gt;0")</f>
        <v>0</v>
      </c>
      <c r="BV78" s="6">
        <f>COUNTIFS(Table5[Country],Tabela1[[#This Row],[Country]],Table5[Triple Jump Classification],"&gt;0")</f>
        <v>0</v>
      </c>
      <c r="BW78" s="6">
        <f>COUNTIFS(Table4[Country],Tabela1[[#This Row],[Country]],Table4[Decathlon Classification],"&gt;0")</f>
        <v>0</v>
      </c>
      <c r="BX78" s="6">
        <f>COUNTIFS(Table5[Country],Tabela1[[#This Row],[Country]],Table5[Heptathlon Classification],"&gt;0")</f>
        <v>0</v>
      </c>
      <c r="BY78" s="6">
        <f>COUNTIFS(Table61[Country],Tabela1[[#This Row],[Country]],Table61[Classification],"&gt;0")</f>
        <v>0</v>
      </c>
      <c r="BZ78" s="6">
        <f>COUNTIFS(Table38[Country],Tabela1[[#This Row],[Country]],Table38[Classification],"&gt;0")</f>
        <v>0</v>
      </c>
      <c r="CA78" s="6">
        <f>COUNTIFS(Table39[Country],Tabela1[[#This Row],[Country]],Table39[Men''s Classification],"&gt;0")</f>
        <v>0</v>
      </c>
      <c r="CB78" s="6">
        <f>COUNTIFS(Table39[Country],Tabela1[[#This Row],[Country]],Table39[Women''s Classification],"&gt;0")</f>
        <v>0</v>
      </c>
      <c r="CC78" s="6">
        <f>COUNTIFS(Table39[Country],Tabela1[[#This Row],[Country]],Table39[Mixed Classification],"&gt;0")</f>
        <v>0</v>
      </c>
      <c r="CD78" s="6">
        <f>COUNTIFS(Table89[Country],Tabela1[[#This Row],[Country]],Table89[Men''s Classification],"&gt;0")</f>
        <v>0</v>
      </c>
      <c r="CE78" s="6">
        <f>COUNTIFS(Table89[Country],Tabela1[[#This Row],[Country]],Table89[Women''s Classification],"&gt;0")</f>
        <v>0</v>
      </c>
      <c r="CF78" s="6">
        <f>COUNTIFS(Table90[Country],Tabela1[[#This Row],[Country]],Table90[Men''s Classification],"&gt;0")</f>
        <v>0</v>
      </c>
      <c r="CG78" s="6">
        <f>COUNTIFS(Table90[Country],Tabela1[[#This Row],[Country]],Table90[Women''s Classification],"&gt;0")</f>
        <v>0</v>
      </c>
      <c r="CH78" s="6">
        <f>COUNTIFS(Table60[Country],Tabela1[[#This Row],[Country]],Table60[Men''s Classification],"&gt;0")</f>
        <v>0</v>
      </c>
      <c r="CI78" s="6">
        <f>COUNTIFS(Table60[Country],Tabela1[[#This Row],[Country]],Table60[Women''s Classification],"&gt;0")</f>
        <v>0</v>
      </c>
      <c r="CJ78" s="6">
        <f>COUNTIFS(Table6[Country],Tabela1[[#This Row],[Country]],Table6[51kg Classification],"&gt;0")</f>
        <v>0</v>
      </c>
      <c r="CK78" s="6">
        <f>COUNTIFS(Table6[Country],Tabela1[[#This Row],[Country]],Table6[57kg Classification],"&gt;0")</f>
        <v>0</v>
      </c>
      <c r="CL78" s="6">
        <f>COUNTIFS(Table6[Country],Tabela1[[#This Row],[Country]],Table6[63.5kg Classification],"&gt;0")</f>
        <v>0</v>
      </c>
      <c r="CM78" s="6">
        <f>COUNTIFS(Table6[Country],Tabela1[[#This Row],[Country]],Table6[71kg Classification],"&gt;0")</f>
        <v>0</v>
      </c>
      <c r="CN78" s="6">
        <f>COUNTIFS(Table6[Country],Tabela1[[#This Row],[Country]],Table6[80kg Classification],"&gt;0")</f>
        <v>0</v>
      </c>
      <c r="CO78" s="6">
        <f>COUNTIFS(Table6[Country],Tabela1[[#This Row],[Country]],Table6[92kg Classification],"&gt;0")</f>
        <v>0</v>
      </c>
      <c r="CP78" s="6">
        <f>COUNTIFS(Table6[Country],Tabela1[[#This Row],[Country]],Table6[Plus 92kg Classification],"&gt;0")</f>
        <v>0</v>
      </c>
      <c r="CQ78" s="6">
        <f>COUNTIFS(Table7[Country],Tabela1[[#This Row],[Country]],Table7[50kg Classification],"&gt;0")</f>
        <v>0</v>
      </c>
      <c r="CR78" s="6">
        <f>COUNTIFS(Table7[Country],Tabela1[[#This Row],[Country]],Table7[54kg Classification],"&gt;0")</f>
        <v>0</v>
      </c>
      <c r="CS78" s="6">
        <f>COUNTIFS(Table7[Country],Tabela1[[#This Row],[Country]],Table7[57kg Classification],"&gt;0")</f>
        <v>0</v>
      </c>
      <c r="CT78" s="6">
        <f>COUNTIFS(Table7[Country],Tabela1[[#This Row],[Country]],Table7[60kg Classification],"&gt;0")</f>
        <v>0</v>
      </c>
      <c r="CU78" s="6">
        <f>COUNTIFS(Table7[Country],Tabela1[[#This Row],[Country]],Table7[66kg Classification],"&gt;0")</f>
        <v>0</v>
      </c>
      <c r="CV78" s="6">
        <f>COUNTIFS(Table7[Country],Tabela1[[#This Row],[Country]],Table7[75kg Classification],"&gt;0")</f>
        <v>0</v>
      </c>
      <c r="CW78" s="6">
        <f>COUNTIFS(Tabela94[Country],Tabela1[[#This Row],[Country]],Tabela94[Classification],"&gt;0")</f>
        <v>0</v>
      </c>
      <c r="CX78" s="6">
        <f>COUNTIFS(Tabela9499[Country],Tabela1[[#This Row],[Country]],Tabela9499[Classification],"&gt;0")</f>
        <v>0</v>
      </c>
      <c r="CY78" s="6">
        <f>COUNTIFS(Tabela107[Country],Tabela1[[#This Row],[Country]],Tabela107[C1 Slalom Classification],"&gt;0")</f>
        <v>0</v>
      </c>
      <c r="CZ78" s="6">
        <f>COUNTIFS(Tabela107122[Country],Tabela1[[#This Row],[Country]],Tabela107122[C1 Slalom Classification],"&gt;0")</f>
        <v>0</v>
      </c>
      <c r="DA78" s="6">
        <f>COUNTIFS(Tabela107[Country],Tabela1[[#This Row],[Country]],Tabela107[K1 Slalom Classification],"&gt;0")</f>
        <v>0</v>
      </c>
      <c r="DB78" s="6">
        <f>COUNTIFS(Tabela107122[Country],Tabela1[[#This Row],[Country]],Tabela107122[K1 Slalom Classification],"&gt;0")</f>
        <v>0</v>
      </c>
      <c r="DC78" s="6">
        <f>COUNTIFS(Tabela107[Country],Tabela1[[#This Row],[Country]],Tabela107[Kayak Cross Slalom Classification],"&gt;0")</f>
        <v>0</v>
      </c>
      <c r="DD78" s="6">
        <f>COUNTIFS(Tabela107122[Country],Tabela1[[#This Row],[Country]],Tabela107122[Kayak Cross Slalom Classification],"&gt;0")</f>
        <v>0</v>
      </c>
      <c r="DE78" s="6">
        <f>COUNTIFS(Table8[Country],Tabela1[[#This Row],[Country]],Table8[C1 200m Classification],"&gt;0")</f>
        <v>0</v>
      </c>
      <c r="DF78" s="6">
        <f>COUNTIFS(Table40[Country],Tabela1[[#This Row],[Country]],Table40[C1 1000m Classification],"&gt;0")</f>
        <v>0</v>
      </c>
      <c r="DG78" s="6">
        <f>COUNTIFS(Table68[Country],Tabela1[[#This Row],[Country]],Table68[Men''s C2 500m Classification],"&gt;0")</f>
        <v>0</v>
      </c>
      <c r="DH78" s="6">
        <f>COUNTIFS(Table68[Country],Tabela1[[#This Row],[Country]],Table68[Women''s C2 500m Classification],"&gt;0")</f>
        <v>0</v>
      </c>
      <c r="DI78" s="6">
        <f>COUNTIFS(Table8[Country],Tabela1[[#This Row],[Country]],Table8[K1 500m Classification],"&gt;0")</f>
        <v>0</v>
      </c>
      <c r="DJ78" s="6">
        <f>COUNTIFS(Table40[Country],Tabela1[[#This Row],[Country]],Table40[K1 1000m Classification],"&gt;0")</f>
        <v>0</v>
      </c>
      <c r="DK78" s="6">
        <f>COUNTIFS(Table68[Country],Tabela1[[#This Row],[Country]],Table68[Men''s K2 500m Classification],"&gt;0")</f>
        <v>0</v>
      </c>
      <c r="DL78" s="6">
        <f>COUNTIFS(Table68[Country],Tabela1[[#This Row],[Country]],Table68[Women''s K2 500m Classification],"&gt;0")</f>
        <v>0</v>
      </c>
      <c r="DM78" s="6">
        <f>COUNTIFS(Table83[Country],Tabela1[[#This Row],[Country]],Table83[Men''s K4 500m Classification],"&gt;0")</f>
        <v>0</v>
      </c>
      <c r="DN78" s="6">
        <f>COUNTIFS(Table83[Country],Tabela1[[#This Row],[Country]],Table83[Women''s K4 500m Classification],"&gt;0")</f>
        <v>0</v>
      </c>
      <c r="DO78" s="6">
        <f>COUNTIFS(Tabela126[Country],Tabela1[[#This Row],[Country]],Tabela126[Classification],"&gt;0")</f>
        <v>0</v>
      </c>
      <c r="DP78" s="6">
        <f>COUNTIFS(Tabela126130[Country],Tabela1[[#This Row],[Country]],Tabela126130[Classification],"&gt;0")</f>
        <v>0</v>
      </c>
      <c r="DQ78" s="6">
        <f>COUNTIFS(Table70[Country],Tabela1[[#This Row],[Country]],Table70[Classification],"&gt;0")</f>
        <v>0</v>
      </c>
      <c r="DR78" s="6">
        <f>COUNTIFS(Table80[Country],Tabela1[[#This Row],[Country]],Table80[Classification],"&gt;0")</f>
        <v>0</v>
      </c>
      <c r="DS78" s="6">
        <f>COUNTIFS(Table66[Country],Tabela1[[#This Row],[Country]],Table66[Classification],"&gt;0")</f>
        <v>0</v>
      </c>
      <c r="DT78" s="6">
        <f>COUNTIFS(Table67[Country],Tabela1[[#This Row],[Country]],Table67[Classification],"&gt;0")</f>
        <v>0</v>
      </c>
      <c r="DU78" s="6">
        <f>COUNTIFS(Table69[Country],Tabela1[[#This Row],[Country]],Table69[Keirin Classification],"&gt;0")</f>
        <v>0</v>
      </c>
      <c r="DV78" s="6">
        <f>COUNTIFS(Table41[Country],Tabela1[[#This Row],[Country]],Table41[Keirin Classification],"&gt;0")</f>
        <v>0</v>
      </c>
      <c r="DW78" s="6">
        <f>COUNTIFS(Table84[Country],Tabela1[[#This Row],[Country]],Table84[Men''s Madison Classification],"&gt;0")</f>
        <v>0</v>
      </c>
      <c r="DX78" s="6">
        <f>COUNTIFS(Table84[Country],Tabela1[[#This Row],[Country]],Table84[Women''s Madison Classification],"&gt;0")</f>
        <v>0</v>
      </c>
      <c r="DY78" s="6">
        <f>COUNTIFS(Table69[Country],Tabela1[[#This Row],[Country]],Table69[Omnium Classification],"&gt;0")</f>
        <v>0</v>
      </c>
      <c r="DZ78" s="6">
        <f>COUNTIFS(Table41[Country],Tabela1[[#This Row],[Country]],Table41[Omnium Classification],"&gt;0")</f>
        <v>0</v>
      </c>
      <c r="EA78" s="6">
        <f>COUNTIFS(Table9[Country],Tabela1[[#This Row],[Country]],Table9[Road Race Classification],"&gt;0")</f>
        <v>0</v>
      </c>
      <c r="EB78" s="6">
        <f>COUNTIFS(Table14[Country],Tabela1[[#This Row],[Country]],Table14[Road Race Classification],"&gt;0")</f>
        <v>1</v>
      </c>
      <c r="EC78" s="6">
        <f>COUNTIFS(Table69[Country],Tabela1[[#This Row],[Country]],Table69[Sprint Classification],"&gt;0")</f>
        <v>0</v>
      </c>
      <c r="ED78" s="6">
        <f>COUNTIFS(Table41[Country],Tabela1[[#This Row],[Country]],Table41[Sprint Classification],"&gt;0")</f>
        <v>0</v>
      </c>
      <c r="EE78" s="6">
        <f>COUNTIFS(Table85[Country],Tabela1[[#This Row],[Country]],Table85[Men''s Sprint Classification],"&gt;0")</f>
        <v>0</v>
      </c>
      <c r="EF78" s="6">
        <f>COUNTIFS(Table85[Country],Tabela1[[#This Row],[Country]],Table85[Women''s Sprint Classification],"&gt;0")</f>
        <v>0</v>
      </c>
      <c r="EG78" s="6">
        <f>COUNTIFS(Table85[Country],Tabela1[[#This Row],[Country]],Table85[Men''s Pursuit Classification],"&gt;0")</f>
        <v>0</v>
      </c>
      <c r="EH78" s="6">
        <f>COUNTIFS(Table85[Country],Tabela1[[#This Row],[Country]],Table85[Women''s Pursuit Classification],"&gt;0")</f>
        <v>0</v>
      </c>
      <c r="EI78" s="6">
        <f>COUNTIFS(Table9[Country],Tabela1[[#This Row],[Country]],Table9[Time-Trial Classification],"&gt;0")</f>
        <v>0</v>
      </c>
      <c r="EJ78" s="6">
        <f>COUNTIFS(Table14[Country],Tabela1[[#This Row],[Country]],Table14[Time-Trial Classification],"&gt;0")</f>
        <v>0</v>
      </c>
      <c r="EK78" s="6">
        <f>COUNTIFS(Table42[Country],Tabela1[[#This Row],[Country]],Table42[Springboard Classification],"&gt;0")</f>
        <v>0</v>
      </c>
      <c r="EL78" s="6">
        <f>COUNTIFS(Table43[Country],Tabela1[[#This Row],[Country]],Table43[Springboard Classification],"&gt;0")</f>
        <v>0</v>
      </c>
      <c r="EM78" s="6">
        <f>COUNTIFS(Table42[Country],Tabela1[[#This Row],[Country]],Table42[Platform Classification],"&gt;0")</f>
        <v>0</v>
      </c>
      <c r="EN78" s="6">
        <f>COUNTIFS(Table43[Country],Tabela1[[#This Row],[Country]],Table43[Platform Classification],"&gt;0")</f>
        <v>0</v>
      </c>
      <c r="EO78" s="6">
        <f>COUNTIFS(Table86[Country],Tabela1[[#This Row],[Country]],Table86[Men''s Synchronized Springboard Classification],"&gt;0")</f>
        <v>0</v>
      </c>
      <c r="EP78" s="6">
        <f>COUNTIFS(Table86[Country],Tabela1[[#This Row],[Country]],Table86[Women''s Synchronized Springboard Classification],"&gt;0")</f>
        <v>0</v>
      </c>
      <c r="EQ78" s="6">
        <f>COUNTIFS(Table86[Country],Tabela1[[#This Row],[Country]],Table86[Men''s Synchronized Platform Classification],"&gt;0")</f>
        <v>0</v>
      </c>
      <c r="ER78" s="6">
        <f>COUNTIFS(Table86[Country],Tabela1[[#This Row],[Country]],Table86[Women''s Synchronized Platform Classification],"&gt;0")</f>
        <v>0</v>
      </c>
      <c r="ES78" s="6">
        <f>COUNTIFS(Table44[Country],Tabela1[[#This Row],[Country]],Table44[Dressage Classification],"&gt;0")</f>
        <v>0</v>
      </c>
      <c r="ET78" s="6">
        <f>COUNTIFS(Table45[Country],Tabela1[[#This Row],[Country]],Table45[Dressage Classification],"&gt;0")</f>
        <v>0</v>
      </c>
      <c r="EU78" s="6">
        <f>COUNTIFS(Table44[Country],Tabela1[[#This Row],[Country]],Table44[Eventing Classification],"&gt;0")</f>
        <v>0</v>
      </c>
      <c r="EV78" s="6">
        <f>COUNTIFS(Table45[Country],Tabela1[[#This Row],[Country]],Table45[Eventing Classification],"&gt;0")</f>
        <v>0</v>
      </c>
      <c r="EW78" s="6">
        <f>COUNTIFS(Table44[Country],Tabela1[[#This Row],[Country]],Table44[Jumping Classification],"&gt;0")</f>
        <v>0</v>
      </c>
      <c r="EX78" s="6">
        <f>COUNTIFS(Table45[Country],Tabela1[[#This Row],[Country]],Table45[Jumping Classification],"&gt;0")</f>
        <v>0</v>
      </c>
      <c r="EY78" s="6">
        <f>COUNTIFS(Table10[Country],Tabela1[[#This Row],[Country]],Table10[Épée Classification],"&gt;0")</f>
        <v>0</v>
      </c>
      <c r="EZ78" s="6">
        <f>COUNTIFS(Table11[Country],Tabela1[[#This Row],[Country]],Table11[Épée Classification],"&gt;0")</f>
        <v>0</v>
      </c>
      <c r="FA78" s="6">
        <f>COUNTIFS(Table46[Country],Tabela1[[#This Row],[Country]],Table46[Men''s Épée Classification],"&gt;0")</f>
        <v>0</v>
      </c>
      <c r="FB78" s="6">
        <f>COUNTIFS(Table46[Country],Tabela1[[#This Row],[Country]],Table46[Women''s Épée Classification],"&gt;0")</f>
        <v>0</v>
      </c>
      <c r="FC78" s="6">
        <f>COUNTIFS(Table10[Country],Tabela1[[#This Row],[Country]],Table10[Foil Classification],"&gt;0")</f>
        <v>0</v>
      </c>
      <c r="FD78" s="6">
        <f>COUNTIFS(Table11[Country],Tabela1[[#This Row],[Country]],Table11[Foil Classification],"&gt;0")</f>
        <v>0</v>
      </c>
      <c r="FE78" s="6">
        <f>COUNTIFS(Table46[Country],Tabela1[[#This Row],[Country]],Table46[Men''s Foil Classification],"&gt;0")</f>
        <v>0</v>
      </c>
      <c r="FF78" s="6">
        <f>COUNTIFS(Table46[Country],Tabela1[[#This Row],[Country]],Table46[Women''s Foil Classification],"&gt;0")</f>
        <v>0</v>
      </c>
      <c r="FG78" s="6">
        <f>COUNTIFS(Table10[Country],Tabela1[[#This Row],[Country]],Table10[Sabre Classification],"&gt;0")</f>
        <v>0</v>
      </c>
      <c r="FH78" s="6">
        <f>COUNTIFS(Table11[Country],Tabela1[[#This Row],[Country]],Table11[Sabre Classification],"&gt;0")</f>
        <v>0</v>
      </c>
      <c r="FI78" s="6">
        <f>COUNTIFS(Table46[Country],Tabela1[[#This Row],[Country]],Table46[Men''s Sabre Classification],"&gt;0")</f>
        <v>0</v>
      </c>
      <c r="FJ78" s="6">
        <f>COUNTIFS(Table46[Country],Tabela1[[#This Row],[Country]],Table46[Women''s Sabre Classification],"&gt;0")</f>
        <v>0</v>
      </c>
      <c r="FK78" s="6">
        <f>COUNTIFS(Table91[Country],Tabela1[[#This Row],[Country]],Table91[Men''s Classification],"&gt;0")</f>
        <v>0</v>
      </c>
      <c r="FL78" s="6">
        <f>COUNTIFS(Table91[Country],Tabela1[[#This Row],[Country]],Table91[Women''s Classification],"&gt;0")</f>
        <v>0</v>
      </c>
      <c r="FM78" s="6">
        <f>COUNTIFS(Table9194[Country],Tabela1[[#This Row],[Country]],Table9194[Men''s Classification],"&gt;0")</f>
        <v>0</v>
      </c>
      <c r="FN78" s="6">
        <f>COUNTIFS(Table9194[Country],Tabela1[[#This Row],[Country]],Table9194[Women''s Classification],"&gt;0")</f>
        <v>0</v>
      </c>
      <c r="FO78" s="6">
        <f>COUNTIFS(Table71[Country],Tabela1[[#This Row],[Country]],Table71[Classification],"&gt;0")</f>
        <v>0</v>
      </c>
      <c r="FP78" s="6">
        <f>COUNTIFS(Table62[Country],Tabela1[[#This Row],[Country]],Table62[Classification],"&gt;0")</f>
        <v>0</v>
      </c>
      <c r="FQ78" s="6">
        <f>COUNTIFS(Table47[Country],Tabela1[[#This Row],[Country]],Table47[All-Around Classification],"&gt;0")</f>
        <v>0</v>
      </c>
      <c r="FR78" s="6">
        <f>COUNTIFS(Table48[Country],Tabela1[[#This Row],[Country]],Table48[All-Around Classification],"&gt;0")</f>
        <v>0</v>
      </c>
      <c r="FS78" s="6">
        <f>COUNTIFS(Table81[Country],Tabela1[[#This Row],[Country]],Table81[Men''s All-Around Classification],"&gt;0")</f>
        <v>0</v>
      </c>
      <c r="FT78" s="6">
        <f>COUNTIFS(Table81[Country],Tabela1[[#This Row],[Country]],Table81[Women''s All-Around Classification],"&gt;0")</f>
        <v>0</v>
      </c>
      <c r="FU78" s="6">
        <f>COUNTIFS(Table48[Country],Tabela1[[#This Row],[Country]],Table48[Balance Beam Classification],"&gt;0")</f>
        <v>0</v>
      </c>
      <c r="FV78" s="6">
        <f>COUNTIFS(Table47[Country],Tabela1[[#This Row],[Country]],Table47[Floor Exercise Classification],"&gt;0")</f>
        <v>0</v>
      </c>
      <c r="FW78" s="6">
        <f>COUNTIFS(Table48[Country],Tabela1[[#This Row],[Country]],Table48[Floor Exercise Classification],"&gt;0")</f>
        <v>0</v>
      </c>
      <c r="FX78" s="6">
        <f>COUNTIFS(Table47[Country],Tabela1[[#This Row],[Country]],Table47[Horizontal Bar Classification],"&gt;0")</f>
        <v>0</v>
      </c>
      <c r="FY78" s="6">
        <f>COUNTIFS(Table47[Country],Tabela1[[#This Row],[Country]],Table47[Parallel Bars Classification],"&gt;0")</f>
        <v>0</v>
      </c>
      <c r="FZ78" s="6">
        <f>COUNTIFS(Table47[Country],Tabela1[[#This Row],[Country]],Table47[Pommel Horse Classification],"&gt;0")</f>
        <v>0</v>
      </c>
      <c r="GA78" s="6">
        <f>COUNTIFS(Table47[Country],Tabela1[[#This Row],[Country]],Table47[Rings Classification],"&gt;0")</f>
        <v>0</v>
      </c>
      <c r="GB78" s="6">
        <f>COUNTIFS(Tabela132[Country],Tabela1[[#This Row],[Country]],Tabela132[Classification],"&gt;0")</f>
        <v>0</v>
      </c>
      <c r="GC78" s="6">
        <f>COUNTIFS(Tabela139[Country],Tabela1[[#This Row],[Country]],Tabela139[Classification],"&gt;0")</f>
        <v>0</v>
      </c>
      <c r="GD78" s="6">
        <f>COUNTIFS(Table48[Country],Tabela1[[#This Row],[Country]],Table48[Uneven Bars Classification],"&gt;0")</f>
        <v>0</v>
      </c>
      <c r="GE78" s="6">
        <f>COUNTIFS(Table47[Country],Tabela1[[#This Row],[Country]],Table47[Vault Classification],"&gt;0")</f>
        <v>0</v>
      </c>
      <c r="GF78" s="6">
        <f>COUNTIFS(Table48[Country],Tabela1[[#This Row],[Country]],Table48[Vault Classification],"&gt;0")</f>
        <v>0</v>
      </c>
      <c r="GG78" s="6">
        <f>COUNTIFS(Table919496[Country],Tabela1[[#This Row],[Country]],Table919496[Men''s Classification],"&gt;0")</f>
        <v>0</v>
      </c>
      <c r="GH78" s="6">
        <f>COUNTIFS(Table919496[Country],Tabela1[[#This Row],[Country]],Table919496[Women''s Classification],"&gt;0")</f>
        <v>0</v>
      </c>
      <c r="GI78" s="6">
        <f>COUNTIFS(Table12[Country],Tabela1[[#This Row],[Country]],Table12[60kg Classification],"&gt;0")</f>
        <v>1</v>
      </c>
      <c r="GJ78" s="6">
        <f>COUNTIFS(Table12[Country],Tabela1[[#This Row],[Country]],Table12[66kg Classification],"&gt;0")</f>
        <v>0</v>
      </c>
      <c r="GK78" s="6">
        <f>COUNTIFS(Table12[Country],Tabela1[[#This Row],[Country]],Table12[73kg Classification],"&gt;0")</f>
        <v>0</v>
      </c>
      <c r="GL78" s="6">
        <f>COUNTIFS(Table12[Country],Tabela1[[#This Row],[Country]],Table12[81kg Classification],"&gt;0")</f>
        <v>0</v>
      </c>
      <c r="GM78" s="6">
        <f>COUNTIFS(Table12[Country],Tabela1[[#This Row],[Country]],Table12[90kg Classification],"&gt;0")</f>
        <v>0</v>
      </c>
      <c r="GN78" s="6">
        <f>COUNTIFS(Table12[Country],Tabela1[[#This Row],[Country]],Table12[100kg Classification],"&gt;0")</f>
        <v>0</v>
      </c>
      <c r="GO78" s="6">
        <f>COUNTIFS(Table12[Country],Tabela1[[#This Row],[Country]],Table12[Plus 100kg Classification],"&gt;0")</f>
        <v>0</v>
      </c>
      <c r="GP78" s="6">
        <f>COUNTIFS(Table13[Country],Tabela1[[#This Row],[Country]],Table13[48kg Classification],"&gt;0")</f>
        <v>0</v>
      </c>
      <c r="GQ78" s="6">
        <f>COUNTIFS(Table13[Country],Tabela1[[#This Row],[Country]],Table13[52kg Classification],"&gt;0")</f>
        <v>0</v>
      </c>
      <c r="GR78" s="6">
        <f>COUNTIFS(Table13[Country],Tabela1[[#This Row],[Country]],Table13[57kg Classification],"&gt;0")</f>
        <v>0</v>
      </c>
      <c r="GS78" s="6">
        <f>COUNTIFS(Table13[Country],Tabela1[[#This Row],[Country]],Table13[63kg Classification],"&gt;0")</f>
        <v>0</v>
      </c>
      <c r="GT78" s="6">
        <f>COUNTIFS(Table13[Country],Tabela1[[#This Row],[Country]],Table13[70kg Classification],"&gt;0")</f>
        <v>0</v>
      </c>
      <c r="GU78" s="6">
        <f>COUNTIFS(Table13[Country],Tabela1[[#This Row],[Country]],Table13[78kg Classification],"&gt;0")</f>
        <v>0</v>
      </c>
      <c r="GV78" s="6">
        <f>COUNTIFS(Table13[Country],Tabela1[[#This Row],[Country]],Table13[Plus 78kg Classification],"&gt;0")</f>
        <v>0</v>
      </c>
      <c r="GW78" s="6">
        <f>COUNTIFS(Table82[Country],Tabela1[[#This Row],[Country]],Table82[Mixed Classification],"&gt;0")</f>
        <v>0</v>
      </c>
      <c r="GX78" s="6">
        <f>COUNTIFS(Table51[Country],Tabela1[[#This Row],[Country]],Table51[Classification],"&gt;0")</f>
        <v>0</v>
      </c>
      <c r="GY78" s="6">
        <f>COUNTIFS(Table52[Country],Tabela1[[#This Row],[Country]],Table52[Classification],"&gt;0")</f>
        <v>0</v>
      </c>
      <c r="GZ78" s="6">
        <f>COUNTIFS(Table32[Country],Tabela1[[#This Row],[Country]],Table32[All-Around Classification],"&gt;0")</f>
        <v>0</v>
      </c>
      <c r="HA78" s="6">
        <f>COUNTIFS(Table49[Country],Tabela1[[#This Row],[Country]],Table49[All-Around Classification],"&gt;0")</f>
        <v>0</v>
      </c>
      <c r="HB78" s="6">
        <f>COUNTIFS(Table26[Country],Tabela1[[#This Row],[Country]],Table26[Single Sculls Classification],"&gt;0")</f>
        <v>0</v>
      </c>
      <c r="HC78" s="6">
        <f>COUNTIFS(Table63[Country],Tabela1[[#This Row],[Country]],Table63[Single Sculls Classification],"&gt;0")</f>
        <v>0</v>
      </c>
      <c r="HD78" s="6">
        <f>COUNTIFS(Table16[Country],Tabela1[[#This Row],[Country]],Table16[Men''s Double Sculls Classification],"&gt;0")</f>
        <v>0</v>
      </c>
      <c r="HE78" s="6">
        <f>COUNTIFS(Table16[Country],Tabela1[[#This Row],[Country]],Table16[Women''s Double Sculls Classification],"&gt;0")</f>
        <v>0</v>
      </c>
      <c r="HF78" s="6">
        <f>COUNTIFS(Table72[Country],Tabela1[[#This Row],[Country]],Table72[Men''s Quadruple Sculls Classification],"&gt;0")</f>
        <v>0</v>
      </c>
      <c r="HG78" s="6">
        <f>COUNTIFS(Table72[Country],Tabela1[[#This Row],[Country]],Table72[Women''s Quadruple Sculls Classification],"&gt;0")</f>
        <v>0</v>
      </c>
      <c r="HH78" s="6">
        <f>COUNTIFS(Table16[Country],Tabela1[[#This Row],[Country]],Table16[Men''s Coxless Pairs Classification],"&gt;0")</f>
        <v>0</v>
      </c>
      <c r="HI78" s="6">
        <f>COUNTIFS(Table16[Country],Tabela1[[#This Row],[Country]],Table16[Women''s Coxless Pairs Classification],"&gt;0")</f>
        <v>0</v>
      </c>
      <c r="HJ78" s="6">
        <f>COUNTIFS(Table72[Country],Tabela1[[#This Row],[Country]],Table72[Men''s Coxless Fours Classification],"&gt;0")</f>
        <v>0</v>
      </c>
      <c r="HK78" s="6">
        <f>COUNTIFS(Table72[Country],Tabela1[[#This Row],[Country]],Table72[Women''s Coxless Fours Classification],"&gt;0")</f>
        <v>0</v>
      </c>
      <c r="HL78" s="6">
        <f>COUNTIFS(Table72[Country],Tabela1[[#This Row],[Country]],Table72[Men''s Eights Classification],"&gt;0")</f>
        <v>0</v>
      </c>
      <c r="HM78" s="6">
        <f>COUNTIFS(Table72[Country],Tabela1[[#This Row],[Country]],Table72[Women''s Eights Classification],"&gt;0")</f>
        <v>0</v>
      </c>
      <c r="HN78" s="6">
        <f>COUNTIFS(Table16[Country],Tabela1[[#This Row],[Country]],Table16[Men''s Lwt. Double Sculls Classification],"&gt;0")</f>
        <v>0</v>
      </c>
      <c r="HO78" s="6">
        <f>COUNTIFS(Table16[Country],Tabela1[[#This Row],[Country]],Table16[Women''s Lwt. Double Sculls Classification],"&gt;0")</f>
        <v>0</v>
      </c>
      <c r="HP78" s="6">
        <f>COUNTIFS(Table91949698[Country],Tabela1[[#This Row],[Country]],Table91949698[Men''s Classification],"&gt;0")</f>
        <v>0</v>
      </c>
      <c r="HQ78" s="6">
        <f>COUNTIFS(Table91949698[Country],Tabela1[[#This Row],[Country]],Table91949698[Women''s Classification],"&gt;0")</f>
        <v>0</v>
      </c>
      <c r="HR78" s="6">
        <f>COUNTIFS(Table25[Country],Tabela1[[#This Row],[Country]],Table25[Mixed 470 Classification],"&gt;0")</f>
        <v>0</v>
      </c>
      <c r="HS78" s="6">
        <f>COUNTIFS(Table25[Country],Tabela1[[#This Row],[Country]],Table25[Men''s 49er Classification],"&gt;0")</f>
        <v>0</v>
      </c>
      <c r="HT78" s="6">
        <f>COUNTIFS(Table25[Country],Tabela1[[#This Row],[Country]],Table25[Women''s 49er FX Classification],"&gt;0")</f>
        <v>0</v>
      </c>
      <c r="HU78" s="6">
        <f>COUNTIFS(Table17[Country],Tabela1[[#This Row],[Country]],Table17[Formula Kite Classification],"&gt;0")</f>
        <v>0</v>
      </c>
      <c r="HV78" s="6">
        <f>COUNTIFS(Table18[Country],Tabela1[[#This Row],[Country]],Table18[Formula Kite Classification],"&gt;0")</f>
        <v>0</v>
      </c>
      <c r="HW78" s="6">
        <f>COUNTIFS(Table17[Country],Tabela1[[#This Row],[Country]],Table17[ILCA 7 Classification],"&gt;0")</f>
        <v>0</v>
      </c>
      <c r="HX78" s="6">
        <f>COUNTIFS(Table18[Country],Tabela1[[#This Row],[Country]],Table18[ILCA 6 Classification],"&gt;0")</f>
        <v>0</v>
      </c>
      <c r="HY78" s="6">
        <f>COUNTIFS(Table17[Country],Tabela1[[#This Row],[Country]],Table17[IQFoil Classification],"&gt;0")</f>
        <v>0</v>
      </c>
      <c r="HZ78" s="6">
        <f>COUNTIFS(Table18[Country],Tabela1[[#This Row],[Country]],Table18[IQFoil Classification],"&gt;0")</f>
        <v>0</v>
      </c>
      <c r="IA78" s="6">
        <f>COUNTIFS(Table25[Country],Tabela1[[#This Row],[Country]],Table25[Mixed Nacra 17 Classification],"&gt;0")</f>
        <v>0</v>
      </c>
      <c r="IB78" s="6">
        <f>COUNTIFS(Table53[Country],Tabela1[[#This Row],[Country]],Table53[10m Air Pistol Classification],"&gt;0")</f>
        <v>0</v>
      </c>
      <c r="IC78" s="6">
        <f>COUNTIFS(Table19[Country],Tabela1[[#This Row],[Country]],Table19[10m Air Pistol Classification],"&gt;0")</f>
        <v>0</v>
      </c>
      <c r="ID78" s="6">
        <f>COUNTIFS(Table54[Country],Tabela1[[#This Row],[Country]],Table54[Mixed 10m Air Pistol Team Classification],"&gt;0")</f>
        <v>0</v>
      </c>
      <c r="IE78" s="6">
        <f>COUNTIFS(Table53[Country],Tabela1[[#This Row],[Country]],Table53[10m Air Rifle Classification],"&gt;0")</f>
        <v>0</v>
      </c>
      <c r="IF78" s="6">
        <f>COUNTIFS(Table19[Country],Tabela1[[#This Row],[Country]],Table19[10m Air Rifle Classification],"&gt;0")</f>
        <v>0</v>
      </c>
      <c r="IG78" s="6">
        <f>COUNTIFS(Table54[Country],Tabela1[[#This Row],[Country]],Table54[Mixed 10m Air Rifle Team Classification],"&gt;0")</f>
        <v>0</v>
      </c>
      <c r="IH78" s="6">
        <f>COUNTIFS(Table53[Country],Tabela1[[#This Row],[Country]],Table53[25m Rapid Fire Pistol Classification],"&gt;0")</f>
        <v>0</v>
      </c>
      <c r="II78" s="6">
        <f>COUNTIFS(Table19[Country],Tabela1[[#This Row],[Country]],Table19[25m Pistol Classification],"&gt;0")</f>
        <v>0</v>
      </c>
      <c r="IJ78" s="6">
        <f>COUNTIFS(Table53[Country],Tabela1[[#This Row],[Country]],Table53[50m Rifle 3 Positions Classification],"&gt;0")</f>
        <v>0</v>
      </c>
      <c r="IK78" s="6">
        <f>COUNTIFS(Table19[Country],Tabela1[[#This Row],[Country]],Table19[50m Rifle 3 Positions Classification],"&gt;0")</f>
        <v>0</v>
      </c>
      <c r="IL78" s="6">
        <f>COUNTIFS(Table53[Country],Tabela1[[#This Row],[Country]],Table53[Skeet Classification],"&gt;0")</f>
        <v>0</v>
      </c>
      <c r="IM78" s="6">
        <f>COUNTIFS(Table19[Country],Tabela1[[#This Row],[Country]],Table19[Skeet Classification],"&gt;0")</f>
        <v>0</v>
      </c>
      <c r="IN78" s="6">
        <f>COUNTIFS(Table54[Country],Tabela1[[#This Row],[Country]],Table54[Mixed Skeet Team Classification],"&gt;0")</f>
        <v>0</v>
      </c>
      <c r="IO78" s="6">
        <f>COUNTIFS(Table53[Country],Tabela1[[#This Row],[Country]],Table53[Trap Classification],"&gt;0")</f>
        <v>0</v>
      </c>
      <c r="IP78" s="6">
        <f>COUNTIFS(Table19[Country],Tabela1[[#This Row],[Country]],Table19[Trap Classification],"&gt;0")</f>
        <v>0</v>
      </c>
      <c r="IQ78" s="6">
        <f>COUNTIFS(Table73[Country],Tabela1[[#This Row],[Country]],Table73[Park Classification],"&gt;0")</f>
        <v>0</v>
      </c>
      <c r="IR78" s="6">
        <f>COUNTIFS(Table74[Country],Tabela1[[#This Row],[Country]],Table74[Park Classification],"&gt;0")</f>
        <v>0</v>
      </c>
      <c r="IS78" s="6">
        <f>COUNTIFS(Table73[Country],Tabela1[[#This Row],[Country]],Table73[Street Classification],"&gt;0")</f>
        <v>0</v>
      </c>
      <c r="IT78" s="6">
        <f>COUNTIFS(Table74[Country],Tabela1[[#This Row],[Country]],Table74[Street Classification],"&gt;0")</f>
        <v>0</v>
      </c>
      <c r="IU78" s="6">
        <f>COUNTIFS(Table75[Country],Tabela1[[#This Row],[Country]],Table75[Boulder and Lead Classification],"&gt;0")</f>
        <v>0</v>
      </c>
      <c r="IV78" s="6">
        <f>COUNTIFS(Table76[Country],Tabela1[[#This Row],[Country]],Table76[Boulder and Lead Classification],"&gt;0")</f>
        <v>0</v>
      </c>
      <c r="IW78" s="6">
        <f>COUNTIFS(Table75[Country],Tabela1[[#This Row],[Country]],Table75[Speed Classification],"&gt;0")</f>
        <v>0</v>
      </c>
      <c r="IX78" s="6">
        <f>COUNTIFS(Table76[Country],Tabela1[[#This Row],[Country]],Table76[Speed Classification],"&gt;0")</f>
        <v>0</v>
      </c>
      <c r="IY78" s="6">
        <f>COUNTIFS(Table64[Country],Tabela1[[#This Row],[Country]],Table64[Shortboard Classification],"&gt;0")</f>
        <v>0</v>
      </c>
      <c r="IZ78" s="6">
        <f>COUNTIFS(Table77[Country],Tabela1[[#This Row],[Country]],Table77[Shortboard Classification],"&gt;0")</f>
        <v>1</v>
      </c>
      <c r="JA78" s="6">
        <f>COUNTIFS(Table20[Country],Tabela1[[#This Row],[Country]],Table20[50m Freestyle Classification],"&gt;0")</f>
        <v>0</v>
      </c>
      <c r="JB78" s="6">
        <f>COUNTIFS(Table21[Country],Tabela1[[#This Row],[Country]],Table21[50m Freestyle Classification],"&gt;0")</f>
        <v>0</v>
      </c>
      <c r="JC78" s="6">
        <f>COUNTIFS(Table20[Country],Tabela1[[#This Row],[Country]],Table20[100m Freestyle Classification],"&gt;0")</f>
        <v>0</v>
      </c>
      <c r="JD78" s="6">
        <f>COUNTIFS(Table21[Country],Tabela1[[#This Row],[Country]],Table21[100m Freestyle Classification],"&gt;0")</f>
        <v>0</v>
      </c>
      <c r="JE78" s="6">
        <f>COUNTIFS(Table20[Country],Tabela1[[#This Row],[Country]],Table20[200m Freestyle Classification],"&gt;0")</f>
        <v>0</v>
      </c>
      <c r="JF78" s="6">
        <f>COUNTIFS(Table21[Country],Tabela1[[#This Row],[Country]],Table21[200m Freestyle Classification],"&gt;0")</f>
        <v>0</v>
      </c>
      <c r="JG78" s="6">
        <f>COUNTIFS(Table20[Country],Tabela1[[#This Row],[Country]],Table20[400m Freestyle Classification],"&gt;0")</f>
        <v>1</v>
      </c>
      <c r="JH78" s="6">
        <f>COUNTIFS(Table21[Country],Tabela1[[#This Row],[Country]],Table21[400m Freestyle Classification],"&gt;0")</f>
        <v>0</v>
      </c>
      <c r="JI78" s="6">
        <f>COUNTIFS(Table20[Country],Tabela1[[#This Row],[Country]],Table20[800m Freestyle Classification],"&gt;0")</f>
        <v>0</v>
      </c>
      <c r="JJ78" s="6">
        <f>COUNTIFS(Table21[Country],Tabela1[[#This Row],[Country]],Table21[800m Freestyle Classification],"&gt;0")</f>
        <v>0</v>
      </c>
      <c r="JK78" s="6">
        <f>COUNTIFS(Table20[Country],Tabela1[[#This Row],[Country]],Table20[1500m Freestyle Classification],"&gt;0")</f>
        <v>0</v>
      </c>
      <c r="JL78" s="6">
        <f>COUNTIFS(Table21[Country],Tabela1[[#This Row],[Country]],Table21[1500m Freestyle Classification],"&gt;0")</f>
        <v>0</v>
      </c>
      <c r="JM78" s="6">
        <f>COUNTIFS(Table20[Country],Tabela1[[#This Row],[Country]],Table20[100m Backstroke Classification],"&gt;0")</f>
        <v>0</v>
      </c>
      <c r="JN78" s="6">
        <f>COUNTIFS(Table21[Country],Tabela1[[#This Row],[Country]],Table21[100m Backstroke Classification],"&gt;0")</f>
        <v>0</v>
      </c>
      <c r="JO78" s="6">
        <f>COUNTIFS(Table20[Country],Tabela1[[#This Row],[Country]],Table20[200m Backstroke Classification],"&gt;0")</f>
        <v>0</v>
      </c>
      <c r="JP78" s="6">
        <f>COUNTIFS(Table21[Country],Tabela1[[#This Row],[Country]],Table21[200m Backstroke Classification],"&gt;0")</f>
        <v>0</v>
      </c>
      <c r="JQ78" s="6">
        <f>COUNTIFS(Table20[Country],Tabela1[[#This Row],[Country]],Table20[100m Breaststroke Classification],"&gt;0")</f>
        <v>0</v>
      </c>
      <c r="JR78" s="6">
        <f>COUNTIFS(Table21[Country],Tabela1[[#This Row],[Country]],Table21[100m Breaststroke Classification],"&gt;0")</f>
        <v>0</v>
      </c>
      <c r="JS78" s="6">
        <f>COUNTIFS(Table20[Country],Tabela1[[#This Row],[Country]],Table20[200m Breaststroke Classification],"&gt;0")</f>
        <v>0</v>
      </c>
      <c r="JT78" s="6">
        <f>COUNTIFS(Table21[Country],Tabela1[[#This Row],[Country]],Table21[200m Breaststroke Classification],"&gt;0")</f>
        <v>0</v>
      </c>
      <c r="JU78" s="6">
        <f>COUNTIFS(Table20[Country],Tabela1[[#This Row],[Country]],Table20[100m Butterfly Classification],"&gt;0")</f>
        <v>0</v>
      </c>
      <c r="JV78" s="6">
        <f>COUNTIFS(Table21[Country],Tabela1[[#This Row],[Country]],Table21[100m Butterfly Classification],"&gt;0")</f>
        <v>0</v>
      </c>
      <c r="JW78" s="6">
        <f>COUNTIFS(Table20[Country],Tabela1[[#This Row],[Country]],Table20[200m Butterfly Classification],"&gt;0")</f>
        <v>0</v>
      </c>
      <c r="JX78" s="6">
        <f>COUNTIFS(Table21[Country],Tabela1[[#This Row],[Country]],Table21[200m Butterfly Classification],"&gt;0")</f>
        <v>1</v>
      </c>
      <c r="JY78" s="6">
        <f>COUNTIFS(Table20[Country],Tabela1[[#This Row],[Country]],Table20[200m Medley Classification],"&gt;0")</f>
        <v>0</v>
      </c>
      <c r="JZ78" s="6">
        <f>COUNTIFS(Table21[Country],Tabela1[[#This Row],[Country]],Table21[200m Medley Classification],"&gt;0")</f>
        <v>0</v>
      </c>
      <c r="KA78" s="6">
        <f>COUNTIFS(Table20[Country],Tabela1[[#This Row],[Country]],Table20[400m Medley Classification],"&gt;0")</f>
        <v>0</v>
      </c>
      <c r="KB78" s="6">
        <f>COUNTIFS(Table21[Country],Tabela1[[#This Row],[Country]],Table21[400m Medley Classification],"&gt;0")</f>
        <v>0</v>
      </c>
      <c r="KC78" s="6">
        <f>COUNTIFS(Table78[Country],Tabela1[[#This Row],[Country]],Table78[Men''s 4x100m Freestyle Relay Classification],"&gt;0")</f>
        <v>0</v>
      </c>
      <c r="KD78" s="6">
        <f>COUNTIFS(Table78[Country],Tabela1[[#This Row],[Country]],Table78[Women''s 4x100m Freestyle Relay Classification],"&gt;0")</f>
        <v>0</v>
      </c>
      <c r="KE78" s="6">
        <f>COUNTIFS(Table78[Country],Tabela1[[#This Row],[Country]],Table78[Men''s 4x200m Freestyle Relay Classification],"&gt;0")</f>
        <v>0</v>
      </c>
      <c r="KF78" s="6">
        <f>COUNTIFS(Table78[Country],Tabela1[[#This Row],[Country]],Table78[Women''s 4x200m Freestyle Relay Classification],"&gt;0")</f>
        <v>0</v>
      </c>
      <c r="KG78" s="6">
        <f>COUNTIFS(Table78[Country],Tabela1[[#This Row],[Country]],Table78[Men''s 4x100m Medley Relay Classification],"&gt;0")</f>
        <v>0</v>
      </c>
      <c r="KH78" s="6">
        <f>COUNTIFS(Table78[Country],Tabela1[[#This Row],[Country]],Table78[Women''s 4x100m Medley Relay Classification],"&gt;0")</f>
        <v>0</v>
      </c>
      <c r="KI78" s="6">
        <f>COUNTIFS(Table78[Country],Tabela1[[#This Row],[Country]],Table78[Mixed 4x100m Medley Relay Classification],"&gt;0")</f>
        <v>0</v>
      </c>
      <c r="KJ78" s="6">
        <f>COUNTIFS(Table20[Country],Tabela1[[#This Row],[Country]],Table20[10km Open Water Classification],"&gt;0")</f>
        <v>0</v>
      </c>
      <c r="KK78" s="6">
        <f>COUNTIFS(Table21[Country],Tabela1[[#This Row],[Country]],Table21[10km Open Water Classification],"&gt;0")</f>
        <v>0</v>
      </c>
      <c r="KL78" s="6">
        <f>COUNTIFS(Table22[Country],Tabela1[[#This Row],[Country]],Table22[Classification],"&gt;0")</f>
        <v>0</v>
      </c>
      <c r="KM78" s="6">
        <f>COUNTIFS(Table30[Country],Tabela1[[#This Row],[Country]],Table30[Classification],"&gt;0")</f>
        <v>0</v>
      </c>
      <c r="KN78" s="6">
        <f>COUNTIFS(Table55[Country],Tabela1[[#This Row],[Country]],Table55[Men''s Classification],"&gt;0")</f>
        <v>0</v>
      </c>
      <c r="KO78" s="6">
        <f>COUNTIFS(Table55[Country],Tabela1[[#This Row],[Country]],Table55[Women''s Classification],"&gt;0")</f>
        <v>0</v>
      </c>
      <c r="KP78" s="6">
        <f>COUNTIFS(Table56[Country],Tabela1[[#This Row],[Country]],Table56[Mixed Classification],"&gt;0")</f>
        <v>0</v>
      </c>
      <c r="KQ78" s="6">
        <f>COUNTIFS(Table29[Country],Tabela1[[#This Row],[Country]],Table29[58kg Classification],"&gt;0")</f>
        <v>0</v>
      </c>
      <c r="KR78" s="6">
        <f>COUNTIFS(Table29[Country],Tabela1[[#This Row],[Country]],Table29[68kg Classification],"&gt;0")</f>
        <v>0</v>
      </c>
      <c r="KS78" s="6">
        <f>COUNTIFS(Table29[Country],Tabela1[[#This Row],[Country]],Table29[80kg Classification],"&gt;0")</f>
        <v>0</v>
      </c>
      <c r="KT78" s="6">
        <f>COUNTIFS(Table29[Country],Tabela1[[#This Row],[Country]],Table29[Plus 80kg Classification],"&gt;0")</f>
        <v>0</v>
      </c>
      <c r="KU78" s="6">
        <f>COUNTIFS(Table34[Country],Tabela1[[#This Row],[Country]],Table34[49kg Classification],"&gt;0")</f>
        <v>0</v>
      </c>
      <c r="KV78" s="6">
        <f>COUNTIFS(Table34[Country],Tabela1[[#This Row],[Country]],Table34[57kg Classification],"&gt;0")</f>
        <v>0</v>
      </c>
      <c r="KW78" s="6">
        <f>COUNTIFS(Table34[Country],Tabela1[[#This Row],[Country]],Table34[67kg Classification],"&gt;0")</f>
        <v>0</v>
      </c>
      <c r="KX78" s="6">
        <f>COUNTIFS(Table34[Country],Tabela1[[#This Row],[Country]],Table34[Plus 67kg Classification],"&gt;0")</f>
        <v>0</v>
      </c>
      <c r="KY78" s="6">
        <f>COUNTIFS(Table57[Country],Tabela1[[#This Row],[Country]],Table57[Classification],"&gt;0")</f>
        <v>0</v>
      </c>
      <c r="KZ78" s="6">
        <f>COUNTIFS(Table58[Country],Tabela1[[#This Row],[Country]],Table58[Classification],"&gt;0")</f>
        <v>0</v>
      </c>
      <c r="LA78" s="6">
        <f>COUNTIFS(Table79[Country],Tabela1[[#This Row],[Country]],Table79[Men''s Classification],"&gt;0")</f>
        <v>0</v>
      </c>
      <c r="LB78" s="6">
        <f>COUNTIFS(Table79[Country],Tabela1[[#This Row],[Country]],Table79[Women''s Classification],"&gt;0")</f>
        <v>0</v>
      </c>
      <c r="LC78" s="6">
        <f>COUNTIFS(Table79[Country],Tabela1[[#This Row],[Country]],Table79[Mixed Classification],"&gt;0")</f>
        <v>0</v>
      </c>
      <c r="LD78" s="6">
        <f>COUNTIFS(Table65[Country],Tabela1[[#This Row],[Country]],Table65[Classification],"&gt;0")</f>
        <v>0</v>
      </c>
      <c r="LE78" s="6">
        <f>COUNTIFS(Table59[Country],Tabela1[[#This Row],[Country]],Table59[Classification],"&gt;0")</f>
        <v>0</v>
      </c>
      <c r="LF78" s="6">
        <f>COUNTIFS(Table87[Country],Tabela1[[#This Row],[Country]],Table87[Mixed Relay Classification],"&gt;0")</f>
        <v>0</v>
      </c>
      <c r="LG78" s="6">
        <f>COUNTIFS(Table91949698100[Country],Tabela1[[#This Row],[Country]],Table91949698100[Men''s Classification],"&gt;0")</f>
        <v>0</v>
      </c>
      <c r="LH78" s="6">
        <f>COUNTIFS(Table91949698100[Country],Tabela1[[#This Row],[Country]],Table91949698100[Women''s Classification],"&gt;0")</f>
        <v>0</v>
      </c>
      <c r="LI78" s="6">
        <f>COUNTIFS(Table91949698100102[Country],Tabela1[[#This Row],[Country]],Table91949698100102[Men''s Classification],"&gt;0")</f>
        <v>0</v>
      </c>
      <c r="LJ78" s="6">
        <f>COUNTIFS(Table91949698100102[Country],Tabela1[[#This Row],[Country]],Table91949698100102[Women''s Classification],"&gt;0")</f>
        <v>0</v>
      </c>
      <c r="LK78" s="6">
        <f>COUNTIFS(Table23[Country],Tabela1[[#This Row],[Country]],Table23[61kg Classification],"&gt;0")</f>
        <v>0</v>
      </c>
      <c r="LL78" s="6">
        <f>COUNTIFS(Table23[Country],Tabela1[[#This Row],[Country]],Table23[73kg Classification],"&gt;0")</f>
        <v>0</v>
      </c>
      <c r="LM78" s="6">
        <f>COUNTIFS(Table23[Country],Tabela1[[#This Row],[Country]],Table23[89kg Classification],"&gt;0")</f>
        <v>0</v>
      </c>
      <c r="LN78" s="6">
        <f>COUNTIFS(Table23[Country],Tabela1[[#This Row],[Country]],Table23[102kg Classification],"&gt;0")</f>
        <v>0</v>
      </c>
      <c r="LO78" s="6">
        <f>COUNTIFS(Table23[Country],Tabela1[[#This Row],[Country]],Table23[Plus 102kg Classification],"&gt;0")</f>
        <v>0</v>
      </c>
      <c r="LP78" s="6">
        <f>COUNTIFS(Table28[Country],Tabela1[[#This Row],[Country]],Table28[49kg Classification],"&gt;0")</f>
        <v>0</v>
      </c>
      <c r="LQ78" s="6">
        <f>COUNTIFS(Table28[Country],Tabela1[[#This Row],[Country]],Table28[59kg Classification],"&gt;0")</f>
        <v>0</v>
      </c>
      <c r="LR78" s="6">
        <f>COUNTIFS(Table28[Country],Tabela1[[#This Row],[Country]],Table28[71kg Classification],"&gt;0")</f>
        <v>0</v>
      </c>
      <c r="LS78" s="6">
        <f>COUNTIFS(Table28[Country],Tabela1[[#This Row],[Country]],Table28[81kg Classification],"&gt;0")</f>
        <v>0</v>
      </c>
      <c r="LT78" s="6">
        <f>COUNTIFS(Table28[Country],Tabela1[[#This Row],[Country]],Table28[Plus 81kg Classification],"&gt;0")</f>
        <v>0</v>
      </c>
      <c r="LU78" s="6">
        <f>COUNTIFS(Table24[Country],Tabela1[[#This Row],[Country]],Table24[Freestyle 57kg Classification],"&gt;0")</f>
        <v>0</v>
      </c>
      <c r="LV78" s="6">
        <f>COUNTIFS(Table24[Country],Tabela1[[#This Row],[Country]],Table24[Freestyle 65kg Classification],"&gt;0")</f>
        <v>0</v>
      </c>
      <c r="LW78" s="6">
        <f>COUNTIFS(Table24[Country],Tabela1[[#This Row],[Country]],Table24[Freestyle 74kg Classification],"&gt;0")</f>
        <v>0</v>
      </c>
      <c r="LX78" s="6">
        <f>COUNTIFS(Table24[Country],Tabela1[[#This Row],[Country]],Table24[Freestyle 86kg Classification],"&gt;0")</f>
        <v>0</v>
      </c>
      <c r="LY78" s="6">
        <f>COUNTIFS(Table24[Country],Tabela1[[#This Row],[Country]],Table24[Freestyle 97kg Classification],"&gt;0")</f>
        <v>0</v>
      </c>
      <c r="LZ78" s="6">
        <f>COUNTIFS(Table24[Country],Tabela1[[#This Row],[Country]],Table24[Freestyle 125kg Classification],"&gt;0")</f>
        <v>0</v>
      </c>
      <c r="MA78" s="6">
        <f>COUNTIFS(Table24[Country],Tabela1[[#This Row],[Country]],Table24[Greco-Roman 60kg Classification],"&gt;0")</f>
        <v>0</v>
      </c>
      <c r="MB78" s="6">
        <f>COUNTIFS(Table24[Country],Tabela1[[#This Row],[Country]],Table24[Greco-Roman 67kg Classification],"&gt;0")</f>
        <v>0</v>
      </c>
      <c r="MC78" s="6">
        <f>COUNTIFS(Table24[Country],Tabela1[[#This Row],[Country]],Table24[Greco-Roman 77kg Classification],"&gt;0")</f>
        <v>0</v>
      </c>
      <c r="MD78" s="6">
        <f>COUNTIFS(Table24[Country],Tabela1[[#This Row],[Country]],Table24[Greco-Roman 87kg Classification],"&gt;0")</f>
        <v>0</v>
      </c>
      <c r="ME78" s="6">
        <f>COUNTIFS(Table24[Country],Tabela1[[#This Row],[Country]],Table24[Greco-Roman 97kg Classification],"&gt;0")</f>
        <v>0</v>
      </c>
      <c r="MF78" s="6">
        <f>COUNTIFS(Table24[Country],Tabela1[[#This Row],[Country]],Table24[Greco-Roman 130kg Classification],"&gt;0")</f>
        <v>0</v>
      </c>
      <c r="MG78" s="6">
        <f>COUNTIFS(Table31[Country],Tabela1[[#This Row],[Country]],Table31[50kg Classification],"&gt;0")</f>
        <v>0</v>
      </c>
      <c r="MH78" s="6">
        <f>COUNTIFS(Table31[Country],Tabela1[[#This Row],[Country]],Table31[53kg Classification],"&gt;0")</f>
        <v>0</v>
      </c>
      <c r="MI78" s="6">
        <f>COUNTIFS(Table31[Country],Tabela1[[#This Row],[Country]],Table31[57kg Classification],"&gt;0")</f>
        <v>0</v>
      </c>
      <c r="MJ78" s="6">
        <f>COUNTIFS(Table31[Country],Tabela1[[#This Row],[Country]],Table31[62kg Classification],"&gt;0")</f>
        <v>0</v>
      </c>
      <c r="MK78" s="6">
        <f>COUNTIFS(Table31[Country],Tabela1[[#This Row],[Country]],Table31[68kg Classification],"&gt;0")</f>
        <v>0</v>
      </c>
      <c r="ML78" s="6">
        <f>COUNTIFS(Table31[Country],Tabela1[[#This Row],[Country]],Table31[76kg Classification],"&gt;0")</f>
        <v>0</v>
      </c>
      <c r="MM78" s="6">
        <f>COUNTIFS(Table102[Country],Tabela1[[#This Row],[Country]],Table102[Downhill Classification],"&gt;0")</f>
        <v>0</v>
      </c>
      <c r="MN78" s="6">
        <f>COUNTIFS(Table102105[Country],Tabela1[[#This Row],[Country]],Table102105[Downhill Classification],"&gt;0")</f>
        <v>0</v>
      </c>
      <c r="MO78" s="6">
        <f>COUNTIFS(Table102[Country],Tabela1[[#This Row],[Country]],Table102[Giant Slalom Classification],"&gt;0")</f>
        <v>0</v>
      </c>
      <c r="MP78" s="6">
        <f>COUNTIFS(Table102105[Country],Tabela1[[#This Row],[Country]],Table102105[Giant Slalom Classification],"&gt;0")</f>
        <v>0</v>
      </c>
      <c r="MQ78" s="6">
        <f>COUNTIFS(Table102[Country],Tabela1[[#This Row],[Country]],Table102[Slalom Classification],"&gt;0")</f>
        <v>0</v>
      </c>
      <c r="MR78" s="6">
        <f>COUNTIFS(Table102105[Country],Tabela1[[#This Row],[Country]],Table102105[Slalom Classification],"&gt;0")</f>
        <v>0</v>
      </c>
      <c r="MS78" s="6">
        <f>COUNTIFS(Table102[Country],Tabela1[[#This Row],[Country]],Table102[Super-G Classification],"&gt;0")</f>
        <v>0</v>
      </c>
      <c r="MT78" s="6">
        <f>COUNTIFS(Table102105[Country],Tabela1[[#This Row],[Country]],Table102105[Super-G Classification],"&gt;0")</f>
        <v>0</v>
      </c>
      <c r="MU78" s="6">
        <f>COUNTIFS(Table105[Country],Tabela1[[#This Row],[Country]],Table105[Men''s Combined Classification],"&gt;0")</f>
        <v>0</v>
      </c>
      <c r="MV78" s="6">
        <f>COUNTIFS(Table105[Country],Tabela1[[#This Row],[Country]],Table105[Women''s Combined Classification],"&gt;0")</f>
        <v>0</v>
      </c>
      <c r="MW78" s="6">
        <f>COUNTIFS(Table106[Country],Tabela1[[#This Row],[Country]],Table106[Individual Classification],"&gt;0")</f>
        <v>0</v>
      </c>
      <c r="MX78" s="6">
        <f>COUNTIFS(Table106109[Country],Tabela1[[#This Row],[Country]],Table106109[Individual Classification],"&gt;0")</f>
        <v>0</v>
      </c>
      <c r="MY78" s="6">
        <f>COUNTIFS(Table106[Country],Tabela1[[#This Row],[Country]],Table106[Mass Start Classification],"&gt;0")</f>
        <v>0</v>
      </c>
      <c r="MZ78" s="6">
        <f>COUNTIFS(Table106109[Country],Tabela1[[#This Row],[Country]],Table106109[Mass Start Classification],"&gt;0")</f>
        <v>0</v>
      </c>
      <c r="NA78" s="6">
        <f>COUNTIFS(Table106[Country],Tabela1[[#This Row],[Country]],Table106[Pursuit Classification],"&gt;0")</f>
        <v>0</v>
      </c>
      <c r="NB78" s="6">
        <f>COUNTIFS(Table106109[Country],Tabela1[[#This Row],[Country]],Table106109[Pursuit Classification],"&gt;0")</f>
        <v>0</v>
      </c>
      <c r="NC78" s="6">
        <f>COUNTIFS(Table106[Country],Tabela1[[#This Row],[Country]],Table106[Sprint Classification],"&gt;0")</f>
        <v>0</v>
      </c>
      <c r="ND78" s="6">
        <f>COUNTIFS(Table106109[Country],Tabela1[[#This Row],[Country]],Table106109[Sprint Classification],"&gt;0")</f>
        <v>0</v>
      </c>
      <c r="NE78" s="6">
        <f>COUNTIFS(Table109[Country],Tabela1[[#This Row],[Country]],Table109[Men''s Relay Classification],"&gt;0")</f>
        <v>0</v>
      </c>
      <c r="NF78" s="6">
        <f>COUNTIFS(Table109[Country],Tabela1[[#This Row],[Country]],Table109[Women''s Relay Classification],"&gt;0")</f>
        <v>0</v>
      </c>
      <c r="NG78" s="6">
        <f>COUNTIFS(Table109[Country],Tabela1[[#This Row],[Country]],Table109[Mixed Relay Classification],"&gt;0")</f>
        <v>0</v>
      </c>
      <c r="NH78" s="6">
        <f>COUNTIFS(Table110[Country],Tabela1[[#This Row],[Country]],Table110[Monobob Classification],"&gt;0")</f>
        <v>0</v>
      </c>
      <c r="NI78" s="6">
        <f>COUNTIFS(Table111[Country],Tabela1[[#This Row],[Country]],Table111[Men''s Classification],"&gt;0")</f>
        <v>0</v>
      </c>
      <c r="NJ78" s="6">
        <f>COUNTIFS(Table111[Country],Tabela1[[#This Row],[Country]],Table111[Women''s Classification],"&gt;0")</f>
        <v>0</v>
      </c>
      <c r="NK78" s="6">
        <f>COUNTIFS(Table112[Country],Tabela1[[#This Row],[Country]],Table112[Men''s Four Classification],"&gt;0")</f>
        <v>0</v>
      </c>
      <c r="NL78" s="6">
        <f>COUNTIFS(Table113[Country],Tabela1[[#This Row],[Country]],Table113[Classical Classification],"&gt;0")</f>
        <v>0</v>
      </c>
      <c r="NM78" s="6">
        <f>COUNTIFS(Table113116[Country],Tabela1[[#This Row],[Country]],Table113116[Classical Classification],"&gt;0")</f>
        <v>0</v>
      </c>
      <c r="NN78" s="6">
        <f>COUNTIFS(Table113[Country],Tabela1[[#This Row],[Country]],Table113[Freestyle Classification],"&gt;0")</f>
        <v>0</v>
      </c>
      <c r="NO78" s="6">
        <f>COUNTIFS(Table113116[Country],Tabela1[[#This Row],[Country]],Table113116[Freestyle Classification],"&gt;0")</f>
        <v>0</v>
      </c>
      <c r="NP78" s="6">
        <f>COUNTIFS(Table117[Country],Tabela1[[#This Row],[Country]],Table117[Men''s Relay Classification],"&gt;0")</f>
        <v>0</v>
      </c>
      <c r="NQ78" s="6">
        <f>COUNTIFS(Table117[Country],Tabela1[[#This Row],[Country]],Table117[Women''s Relay Classification],"&gt;0")</f>
        <v>0</v>
      </c>
      <c r="NR78" s="6">
        <f>COUNTIFS(Table113[Country],Tabela1[[#This Row],[Country]],Table113[Skiathlon Classification],"&gt;0")</f>
        <v>0</v>
      </c>
      <c r="NS78" s="6">
        <f>COUNTIFS(Table113116[Country],Tabela1[[#This Row],[Country]],Table113116[Skiathlon Classification],"&gt;0")</f>
        <v>0</v>
      </c>
      <c r="NT78" s="6">
        <f>COUNTIFS(Table113[Country],Tabela1[[#This Row],[Country]],Table113[Sprint Classification],"&gt;0")</f>
        <v>0</v>
      </c>
      <c r="NU78" s="6">
        <f>COUNTIFS(Table113116[Country],Tabela1[[#This Row],[Country]],Table113116[Sprint Classification],"&gt;0")</f>
        <v>0</v>
      </c>
      <c r="NV78" s="6">
        <f>COUNTIFS(Table116[Country],Tabela1[[#This Row],[Country]],Table116[Men''s Team Sprint Classification],"&gt;0")</f>
        <v>0</v>
      </c>
      <c r="NW78" s="6">
        <f>COUNTIFS(Table116[Country],Tabela1[[#This Row],[Country]],Table116[Women''s Team Sprint Classification],"&gt;0")</f>
        <v>0</v>
      </c>
      <c r="NX78" s="6">
        <f>COUNTIFS(Table119[Country],Tabela1[[#This Row],[Country]],Table119[Men''s Classification],"&gt;0")</f>
        <v>0</v>
      </c>
      <c r="NY78" s="6">
        <f>COUNTIFS(Table119[Country],Tabela1[[#This Row],[Country]],Table119[Women''s Classification],"&gt;0")</f>
        <v>0</v>
      </c>
      <c r="NZ78" s="6">
        <f>COUNTIFS(Table118[Country],Tabela1[[#This Row],[Country]],Table118[Mixed Classification],"&gt;0")</f>
        <v>0</v>
      </c>
      <c r="OA78" s="6">
        <f>COUNTIFS(Table120[Country],Tabela1[[#This Row],[Country]],Table120[Classification],"&gt;0")</f>
        <v>0</v>
      </c>
      <c r="OB78" s="6">
        <f>COUNTIFS(Table120123[Country],Tabela1[[#This Row],[Country]],Table120123[Classification],"&gt;0")</f>
        <v>0</v>
      </c>
      <c r="OC78" s="6">
        <f>COUNTIFS(Table123[Country],Tabela1[[#This Row],[Country]],Table123[Ice Dance Classification],"&gt;0")</f>
        <v>0</v>
      </c>
      <c r="OD78" s="6">
        <f>COUNTIFS(Table123[Country],Tabela1[[#This Row],[Country]],Table123[Pair Skating Classification],"&gt;0")</f>
        <v>0</v>
      </c>
      <c r="OE78" s="6">
        <f>COUNTIFS(Table124[Country],Tabela1[[#This Row],[Country]],Table124[Mixed Classification],"&gt;0")</f>
        <v>0</v>
      </c>
      <c r="OF78" s="6">
        <f>COUNTIFS(Table125[Country],Tabela1[[#This Row],[Country]],Table125[Aerials Classification],"&gt;0")</f>
        <v>0</v>
      </c>
      <c r="OG78" s="6">
        <f>COUNTIFS(Table125128[Country],Tabela1[[#This Row],[Country]],Table125128[Aerials Classification],"&gt;0")</f>
        <v>0</v>
      </c>
      <c r="OH78" s="6">
        <f>COUNTIFS(Table128[Country],Tabela1[[#This Row],[Country]],Table128[Mixed Aerials Classification],"&gt;0")</f>
        <v>0</v>
      </c>
      <c r="OI78" s="6">
        <f>COUNTIFS(Table125[Country],Tabela1[[#This Row],[Country]],Table125[Big Air Classification],"&gt;0")</f>
        <v>0</v>
      </c>
      <c r="OJ78" s="6">
        <f>COUNTIFS(Table125128[Country],Tabela1[[#This Row],[Country]],Table125128[Big Air Classification],"&gt;0")</f>
        <v>0</v>
      </c>
      <c r="OK78" s="6">
        <f>COUNTIFS(Table125[Country],Tabela1[[#This Row],[Country]],Table125[Dual Moguls Classification],"&gt;0")</f>
        <v>0</v>
      </c>
      <c r="OL78" s="6">
        <f>COUNTIFS(Table125128[Country],Tabela1[[#This Row],[Country]],Table125128[Dual Moguls Classification],"&gt;0")</f>
        <v>0</v>
      </c>
      <c r="OM78" s="6">
        <f>COUNTIFS(Table125[Country],Tabela1[[#This Row],[Country]],Table125[Halfpipe Classification],"&gt;0")</f>
        <v>0</v>
      </c>
      <c r="ON78" s="6">
        <f>COUNTIFS(Table125128[Country],Tabela1[[#This Row],[Country]],Table125128[Halfpipe Classification],"&gt;0")</f>
        <v>0</v>
      </c>
      <c r="OO78" s="6">
        <f>COUNTIFS(Table125[Country],Tabela1[[#This Row],[Country]],Table125[Moguls Classification],"&gt;0")</f>
        <v>0</v>
      </c>
      <c r="OP78" s="6">
        <f>COUNTIFS(Table125128[Country],Tabela1[[#This Row],[Country]],Table125128[Moguls Classification],"&gt;0")</f>
        <v>0</v>
      </c>
      <c r="OQ78" s="6">
        <f>COUNTIFS(Table125[Country],Tabela1[[#This Row],[Country]],Table125[Ski Cross Classification],"&gt;0")</f>
        <v>0</v>
      </c>
      <c r="OR78" s="6">
        <f>COUNTIFS(Table125128[Country],Tabela1[[#This Row],[Country]],Table125128[Ski Cross Classification],"&gt;0")</f>
        <v>0</v>
      </c>
      <c r="OS78" s="6">
        <f>COUNTIFS(Table125[Country],Tabela1[[#This Row],[Country]],Table125[Slopestyle Classification],"&gt;0")</f>
        <v>0</v>
      </c>
      <c r="OT78" s="6">
        <f>COUNTIFS(Table125128[Country],Tabela1[[#This Row],[Country]],Table125128[Slopestyle Classification],"&gt;0")</f>
        <v>0</v>
      </c>
      <c r="OU78" s="6">
        <f>COUNTIFS(Table119131[Country],Tabela1[[#This Row],[Country]],Table119131[Men''s Classification],"&gt;0")</f>
        <v>0</v>
      </c>
      <c r="OV78" s="6">
        <f>COUNTIFS(Table119131[Country],Tabela1[[#This Row],[Country]],Table119131[Women''s Classification],"&gt;0")</f>
        <v>0</v>
      </c>
      <c r="OW78" s="6">
        <f>COUNTIFS(Table131[Country],Tabela1[[#This Row],[Country]],Table131[Classification],"&gt;0")</f>
        <v>0</v>
      </c>
      <c r="OX78" s="6">
        <f>COUNTIFS(Table131134[Country],Tabela1[[#This Row],[Country]],Table131134[Classification],"&gt;0")</f>
        <v>0</v>
      </c>
      <c r="OY78" s="6">
        <f>COUNTIFS(Table134[Country],Tabela1[[#This Row],[Country]],Table134[Men''s Classification],"&gt;0")</f>
        <v>0</v>
      </c>
      <c r="OZ78" s="6">
        <f>COUNTIFS(Table134[Country],Tabela1[[#This Row],[Country]],Table134[Women''s Classification],"&gt;0")</f>
        <v>0</v>
      </c>
      <c r="PA78" s="6">
        <f>COUNTIFS(Table135[Country],Tabela1[[#This Row],[Country]],Table135[Mixed Relay Classification],"&gt;0")</f>
        <v>0</v>
      </c>
      <c r="PB78" s="6">
        <f>COUNTIFS(Table136[Country],Tabela1[[#This Row],[Country]],Table136[Individual Classification],"&gt;0")</f>
        <v>0</v>
      </c>
      <c r="PC78" s="6">
        <f>COUNTIFS(Table136[Country],Tabela1[[#This Row],[Country]],Table136[Sprint Classification],"&gt;0")</f>
        <v>0</v>
      </c>
      <c r="PD78" s="6">
        <f>COUNTIFS(Table137[Country],Tabela1[[#This Row],[Country]],Table137[Men''s Team Sprint Large Hill Classification],"&gt;0")</f>
        <v>0</v>
      </c>
      <c r="PE78" s="6">
        <f>COUNTIFS(Table138[Country],Tabela1[[#This Row],[Country]],Table138[500m Classification],"&gt;0")</f>
        <v>0</v>
      </c>
      <c r="PF78" s="6">
        <f>COUNTIFS(Table138141[Country],Tabela1[[#This Row],[Country]],Table138141[500m Classification],"&gt;0")</f>
        <v>0</v>
      </c>
      <c r="PG78" s="6">
        <f>COUNTIFS(Table138[Country],Tabela1[[#This Row],[Country]],Table138[1000m Classification],"&gt;0")</f>
        <v>0</v>
      </c>
      <c r="PH78" s="6">
        <f>COUNTIFS(Table138141[Country],Tabela1[[#This Row],[Country]],Table138141[1000m Classification],"&gt;0")</f>
        <v>0</v>
      </c>
      <c r="PI78" s="6">
        <f>COUNTIFS(Table138[Country],Tabela1[[#This Row],[Country]],Table138[1500m Classification],"&gt;0")</f>
        <v>0</v>
      </c>
      <c r="PJ78" s="6">
        <f>COUNTIFS(Table138141[Country],Tabela1[[#This Row],[Country]],Table138141[1500m Classification],"&gt;0")</f>
        <v>0</v>
      </c>
      <c r="PK78" s="6">
        <f>COUNTIFS(Table141[Country],Tabela1[[#This Row],[Country]],Table141[Men''s 5000m Relay Classification],"&gt;0")</f>
        <v>0</v>
      </c>
      <c r="PL78" s="6">
        <f>COUNTIFS(Table141[Country],Tabela1[[#This Row],[Country]],Table141[Women''s 3000m Relay Classification],"&gt;0")</f>
        <v>0</v>
      </c>
      <c r="PM78" s="6">
        <f>COUNTIFS(Table141[Country],Tabela1[[#This Row],[Country]],Table141[Mixed 2000m Relay Classification],"&gt;0")</f>
        <v>0</v>
      </c>
      <c r="PN78" s="6">
        <f>COUNTIFS(Table142[Country],Tabela1[[#This Row],[Country]],Table142[Classification],"&gt;0")</f>
        <v>0</v>
      </c>
      <c r="PO78" s="6">
        <f>COUNTIFS(Table142145[Country],Tabela1[[#This Row],[Country]],Table142145[Classification],"&gt;0")</f>
        <v>0</v>
      </c>
      <c r="PP78" s="6">
        <f>COUNTIFS(Tabela15[Country],Tabela1[[#This Row],[Country]],Tabela15[Mixed Team Classification],"&gt;0")</f>
        <v>0</v>
      </c>
      <c r="PQ78" s="6">
        <f>COUNTIFS(Table145[Country],Tabela1[[#This Row],[Country]],Table145[Large Hill Classification],"&gt;0")</f>
        <v>0</v>
      </c>
      <c r="PR78" s="6">
        <f>COUNTIFS(Table145[Country],Tabela1[[#This Row],[Country]],Table145[Normal Hill Classification],"&gt;0")</f>
        <v>0</v>
      </c>
      <c r="PS78" s="6">
        <f>COUNTIFS(Table145148[Country],Tabela1[[#This Row],[Country]],Table145148[Large Hill Classification],"&gt;0")</f>
        <v>0</v>
      </c>
      <c r="PT78" s="6">
        <f>COUNTIFS(Table145148[Country],Tabela1[[#This Row],[Country]],Table145148[Normal Hill Classification],"&gt;0")</f>
        <v>0</v>
      </c>
      <c r="PU78" s="6">
        <f>COUNTIFS(Table148[Country],Tabela1[[#This Row],[Country]],Table148[Men''s Super Team Classification],"&gt;0")</f>
        <v>0</v>
      </c>
      <c r="PV78" s="6">
        <f>COUNTIFS(Tabela114[Country],Tabela1[[#This Row],[Country]],Tabela114[Mixed Normal Hill Classification],"&gt;0")</f>
        <v>0</v>
      </c>
      <c r="PW78" s="6">
        <f>COUNTIFS(Tabela50[Country],Tabela1[[#This Row],[Country]],Tabela50[Sprint Classification],"&gt;0")</f>
        <v>0</v>
      </c>
      <c r="PX78" s="6">
        <f>COUNTIFS(Tabela50101[Country],Tabela1[[#This Row],[Country]],Tabela50101[Sprint Classification],"&gt;0")</f>
        <v>0</v>
      </c>
      <c r="PY78" s="6">
        <f>COUNTIFS(Tabela103[Country],Tabela1[[#This Row],[Country]],Tabela103[Mixed Relay Classification],"&gt;0")</f>
        <v>0</v>
      </c>
      <c r="PZ78" s="6">
        <f>COUNTIFS(Table149[Country],Tabela1[[#This Row],[Country]],Table149[Big Air Classification],"&gt;0")</f>
        <v>0</v>
      </c>
      <c r="QA78" s="6">
        <f>COUNTIFS(Table149152[Country],Tabela1[[#This Row],[Country]],Table149152[Big Air Classification],"&gt;0")</f>
        <v>0</v>
      </c>
      <c r="QB78" s="6">
        <f>COUNTIFS(Table149[Country],Tabela1[[#This Row],[Country]],Table149[Halfpipe Classification],"&gt;0")</f>
        <v>0</v>
      </c>
      <c r="QC78" s="6">
        <f>COUNTIFS(Table149152[Country],Tabela1[[#This Row],[Country]],Table149152[Halfpipe Classification],"&gt;0")</f>
        <v>0</v>
      </c>
      <c r="QD78" s="6">
        <f>COUNTIFS(Table149[Country],Tabela1[[#This Row],[Country]],Table149[Parallel Giant Slalom Classification],"&gt;0")</f>
        <v>0</v>
      </c>
      <c r="QE78" s="6">
        <f>COUNTIFS(Table149152[Country],Tabela1[[#This Row],[Country]],Table149152[Parallel Giant Slalom Classification],"&gt;0")</f>
        <v>0</v>
      </c>
      <c r="QF78" s="6">
        <f>COUNTIFS(Table149[Country],Tabela1[[#This Row],[Country]],Table149[Slopestyle Classification],"&gt;0")</f>
        <v>0</v>
      </c>
      <c r="QG78" s="6">
        <f>COUNTIFS(Table149152[Country],Tabela1[[#This Row],[Country]],Table149152[Slopestyle Classification],"&gt;0")</f>
        <v>0</v>
      </c>
      <c r="QH78" s="6">
        <f>COUNTIFS(Table149[Country],Tabela1[[#This Row],[Country]],Table149[Snowboard Cross Classification],"&gt;0")</f>
        <v>0</v>
      </c>
      <c r="QI78" s="6">
        <f>COUNTIFS(Table149152[Country],Tabela1[[#This Row],[Country]],Table149152[Snowboard Cross Classification],"&gt;0")</f>
        <v>0</v>
      </c>
      <c r="QJ78" s="6">
        <f>COUNTIFS(Table153[Country],Tabela1[[#This Row],[Country]],Table153[Mixed Team Snowboard Cross Classification],"&gt;0")</f>
        <v>0</v>
      </c>
      <c r="QK78" s="6">
        <f>COUNTIFS(Table154[Country],Tabela1[[#This Row],[Country]],Table154[500m Classification],"&gt;0")</f>
        <v>0</v>
      </c>
      <c r="QL78" s="6">
        <f>COUNTIFS(Table154157[Country],Tabela1[[#This Row],[Country]],Table154157[500m Classification],"&gt;0")</f>
        <v>0</v>
      </c>
      <c r="QM78" s="6">
        <f>COUNTIFS(Table154[Country],Tabela1[[#This Row],[Country]],Table154[1000m Classification],"&gt;0")</f>
        <v>0</v>
      </c>
      <c r="QN78" s="6">
        <f>COUNTIFS(Table154157[Country],Tabela1[[#This Row],[Country]],Table154157[1000m Classification],"&gt;0")</f>
        <v>0</v>
      </c>
      <c r="QO78" s="6">
        <f>COUNTIFS(Table154[Country],Tabela1[[#This Row],[Country]],Table154[1500m Classification],"&gt;0")</f>
        <v>0</v>
      </c>
      <c r="QP78" s="6">
        <f>COUNTIFS(Table154157[Country],Tabela1[[#This Row],[Country]],Table154157[1500m Classification],"&gt;0")</f>
        <v>0</v>
      </c>
      <c r="QQ78" s="6">
        <f>COUNTIFS(Table154157[Country],Tabela1[[#This Row],[Country]],Table154157[3000m Classification],"&gt;0")</f>
        <v>0</v>
      </c>
      <c r="QR78" s="6">
        <f>COUNTIFS(Table154[Country],Tabela1[[#This Row],[Country]],Table154[5000m Classification],"&gt;0")</f>
        <v>0</v>
      </c>
      <c r="QS78" s="6">
        <f>COUNTIFS(Table154157[Country],Tabela1[[#This Row],[Country]],Table154157[5000m Classification],"&gt;0")</f>
        <v>0</v>
      </c>
      <c r="QT78" s="6">
        <f>COUNTIFS(Table154[Country],Tabela1[[#This Row],[Country]],Table154[10000m Classification],"&gt;0")</f>
        <v>0</v>
      </c>
      <c r="QU78" s="6">
        <f>COUNTIFS(Table154[Country],Tabela1[[#This Row],[Country]],Table154[Mass Start Classification],"&gt;0")</f>
        <v>0</v>
      </c>
      <c r="QV78" s="6">
        <f>COUNTIFS(Table154157[Country],Tabela1[[#This Row],[Country]],Table154157[Mass Start Classification],"&gt;0")</f>
        <v>0</v>
      </c>
      <c r="QW78" s="6">
        <f>COUNTIFS(Table157[Country],Tabela1[[#This Row],[Country]],Table157[Men''s Pursuit Classification],"&gt;0")</f>
        <v>0</v>
      </c>
      <c r="QX78" s="6">
        <f>COUNTIFS(Table157[Country],Tabela1[[#This Row],[Country]],Table157[Women''s Pursuit Classification],"&gt;0")</f>
        <v>0</v>
      </c>
      <c r="QY78" s="3" t="s">
        <v>559</v>
      </c>
    </row>
    <row r="79" spans="1:467" x14ac:dyDescent="0.3">
      <c r="A79" s="6">
        <v>78</v>
      </c>
      <c r="B79" s="6" t="s">
        <v>434</v>
      </c>
      <c r="C79" t="e" vm="78">
        <f>IF(ISBLANK(Tabela1[[#This Row],[Image Link]]), "", _xlfn.IMAGE(Tabela1[[#This Row],[Image Link]],1,1))</f>
        <v>#VALUE!</v>
      </c>
      <c r="D79" s="6">
        <f>SUM(Tabela1[[#This Row],[Archery - Men''s Individual Recurve]:[Speed Skating - Women''s Team Pursuit]])</f>
        <v>6</v>
      </c>
      <c r="E79" s="6">
        <f>COUNTIF(Tabela1[[#This Row],[Archery - Men''s Individual Recurve]:[Speed Skating - Women''s Team Pursuit]],"&gt;0")</f>
        <v>6</v>
      </c>
      <c r="F79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79" s="6">
        <f>SUM(Tabela1[[#This Row],[Archery - Men''s Individual Recurve]:[Wrestling - Women''s Freestyle 76kg]])</f>
        <v>6</v>
      </c>
      <c r="H79" s="6">
        <f>SUM(Tabela1[[#This Row],[Alpine Skiing - Men''s Downhill]:[Speed Skating - Women''s Team Pursuit]])</f>
        <v>0</v>
      </c>
      <c r="I79" s="6">
        <f>Tabela1[[#This Row],[Summer Gold Medals]]+Tabela1[[#This Row],[Winter Gold Medals]]</f>
        <v>0</v>
      </c>
      <c r="J79" s="6">
        <f>Tabela1[[#This Row],[Summer Silver Medals]]+Tabela1[[#This Row],[Winter Silver Medals]]</f>
        <v>0</v>
      </c>
      <c r="K79" s="6">
        <f>Tabela1[[#This Row],[Summer Bronze Medals]]+Tabela1[[#This Row],[Winter Bronze Medals]]</f>
        <v>0</v>
      </c>
      <c r="L79" s="6">
        <f>SUM(Tabela1[[#This Row],[Total Gold Medals]:[Total Bronze Medals]])</f>
        <v>0</v>
      </c>
      <c r="M79" s="6"/>
      <c r="N79" s="6"/>
      <c r="O79" s="6"/>
      <c r="P79" s="6">
        <f>SUM(Tabela1[[#This Row],[Summer Gold Medals]:[Summer Bronze Medals]])</f>
        <v>0</v>
      </c>
      <c r="Q79" s="6"/>
      <c r="R79" s="6"/>
      <c r="S79" s="6"/>
      <c r="T79" s="6">
        <f>Tabela1[[#This Row],[Winter Gold Medals]]+Tabela1[[#This Row],[Winter Silver Medals]]+Tabela1[[#This Row],[Winter Bronze Medals]]</f>
        <v>0</v>
      </c>
      <c r="U79" s="7">
        <f>Tabela1[[#This Row],[Total Medals]]/Tabela1[[#This Row],[Total Quotas]]</f>
        <v>0</v>
      </c>
      <c r="V79" s="6">
        <f>COUNTIFS(Table3[Country],Tabela1[[#This Row],[Country]],Table3[Recurve Classification],"&gt;0")</f>
        <v>0</v>
      </c>
      <c r="W79" s="6">
        <f>COUNTIFS(Table33[Country],Tabela1[[#This Row],[Country]],Table33[Recurve Classification],"&gt;0")</f>
        <v>1</v>
      </c>
      <c r="X79" s="6">
        <f>COUNTIFS(Table35[Country],Tabela1[[#This Row],[Country]],Table35[Men''s Team Recurve Classification],"&gt;0")</f>
        <v>0</v>
      </c>
      <c r="Y79" s="6">
        <f>COUNTIFS(Table35[Country],Tabela1[[#This Row],[Country]],Table35[Women''s Team Recurve Classification],"&gt;0")</f>
        <v>0</v>
      </c>
      <c r="Z79" s="6">
        <f>COUNTIFS(Tabela88[Country],Tabela1[[#This Row],[Country]],Tabela88[Mixed Team Recurve Classification],"&gt;0")</f>
        <v>0</v>
      </c>
      <c r="AA79" s="6">
        <f>COUNTIFS(Table36[Country],Tabela1[[#This Row],[Country]],Table36[Classification],"&gt;0")</f>
        <v>0</v>
      </c>
      <c r="AB79" s="6">
        <f>COUNTIFS(Table37[Country],Tabela1[[#This Row],[Country]],Table37[Classification],"&gt;0")</f>
        <v>0</v>
      </c>
      <c r="AC79" s="6">
        <f>COUNTIFS(Table4[Country],Tabela1[[#This Row],[Country]],Table4[100m Classification],"&gt;0")</f>
        <v>0</v>
      </c>
      <c r="AD79" s="6">
        <f>COUNTIFS(Table5[Country],Tabela1[[#This Row],[Country]],Table5[100m Classification],"&gt;0")</f>
        <v>1</v>
      </c>
      <c r="AE79" s="6">
        <f>COUNTIFS(Table4[Country],Tabela1[[#This Row],[Country]],Table4[200m Classification],"&gt;0")</f>
        <v>0</v>
      </c>
      <c r="AF79" s="6">
        <f>COUNTIFS(Table5[Country],Tabela1[[#This Row],[Country]],Table5[200m Classification],"&gt;0")</f>
        <v>0</v>
      </c>
      <c r="AG79" s="6">
        <f>COUNTIFS(Table4[Country],Tabela1[[#This Row],[Country]],Table4[400m Classification],"&gt;0")</f>
        <v>0</v>
      </c>
      <c r="AH79" s="6">
        <f>COUNTIFS(Table5[Country],Tabela1[[#This Row],[Country]],Table5[400m Classification],"&gt;0")</f>
        <v>0</v>
      </c>
      <c r="AI79" s="6">
        <f>COUNTIFS(Table4[Country],Tabela1[[#This Row],[Country]],Table4[800m Classification],"&gt;0")</f>
        <v>0</v>
      </c>
      <c r="AJ79" s="6">
        <f>COUNTIFS(Table5[Country],Tabela1[[#This Row],[Country]],Table5[800m Classification],"&gt;0")</f>
        <v>0</v>
      </c>
      <c r="AK79" s="6">
        <f>COUNTIFS(Table4[Country],Tabela1[[#This Row],[Country]],Table4[1500m Classification],"&gt;0")</f>
        <v>0</v>
      </c>
      <c r="AL79" s="6">
        <f>COUNTIFS(Table5[Country],Tabela1[[#This Row],[Country]],Table5[1500m Classification],"&gt;0")</f>
        <v>0</v>
      </c>
      <c r="AM79" s="6">
        <f>COUNTIFS(Table4[Country],Tabela1[[#This Row],[Country]],Table4[5000m Classification],"&gt;0")</f>
        <v>0</v>
      </c>
      <c r="AN79" s="6">
        <f>COUNTIFS(Table5[Country],Tabela1[[#This Row],[Country]],Table5[5000m Classification],"&gt;0")</f>
        <v>0</v>
      </c>
      <c r="AO79" s="6">
        <f>COUNTIFS(Table4[Country],Tabela1[[#This Row],[Country]],Table4[10000m Classification],"&gt;0")</f>
        <v>0</v>
      </c>
      <c r="AP79" s="6">
        <f>COUNTIFS(Table5[Country],Tabela1[[#This Row],[Country]],Table5[10000m Classification],"&gt;0")</f>
        <v>0</v>
      </c>
      <c r="AQ79" s="6">
        <f>COUNTIFS(Table4[Country],Tabela1[[#This Row],[Country]],Table4[110m Hurdles Classification],"&gt;0")</f>
        <v>0</v>
      </c>
      <c r="AR79" s="6">
        <f>COUNTIFS(Table5[Country],Tabela1[[#This Row],[Country]],Table5[100m Hurdles Classification],"&gt;0")</f>
        <v>0</v>
      </c>
      <c r="AS79" s="6">
        <f>COUNTIFS(Table4[Country],Tabela1[[#This Row],[Country]],Table4[400m Hurdles Classification],"&gt;0")</f>
        <v>0</v>
      </c>
      <c r="AT79" s="6">
        <f>COUNTIFS(Table5[Country],Tabela1[[#This Row],[Country]],Table5[400m Hurdles Classification],"&gt;0")</f>
        <v>0</v>
      </c>
      <c r="AU79" s="6">
        <f>COUNTIFS(Table4[Country],Tabela1[[#This Row],[Country]],Table4[3000m Steeplechase Classification],"&gt;0")</f>
        <v>0</v>
      </c>
      <c r="AV79" s="6">
        <f>COUNTIFS(Table5[Country],Tabela1[[#This Row],[Country]],Table5[3000m Steeplechase Classification],"&gt;0")</f>
        <v>0</v>
      </c>
      <c r="AW79" s="6">
        <f>COUNTIFS(Table27[Country],Tabela1[[#This Row],[Country]],Table27[Men''s 4x100m Relay Classification],"&gt;0")</f>
        <v>0</v>
      </c>
      <c r="AX79" s="6">
        <f>COUNTIFS(Table27[Country],Tabela1[[#This Row],[Country]],Table27[Women''s 4x100m Relay Classification],"&gt;0")</f>
        <v>0</v>
      </c>
      <c r="AY79" s="6">
        <f>COUNTIFS(Table27[Country],Tabela1[[#This Row],[Country]],Table27[Men''s 4x400m Relay Classification],"&gt;0")</f>
        <v>0</v>
      </c>
      <c r="AZ79" s="6">
        <f>COUNTIFS(Table27[Country],Tabela1[[#This Row],[Country]],Table27[Women''s 4x400m Relay Classification],"&gt;0")</f>
        <v>0</v>
      </c>
      <c r="BA79" s="6">
        <f>COUNTIFS(Table27[Country],Tabela1[[#This Row],[Country]],Table27[Mixed 4x400m Relay Classification],"&gt;0")</f>
        <v>0</v>
      </c>
      <c r="BB79" s="6">
        <f>COUNTIFS(Table4[Country],Tabela1[[#This Row],[Country]],Table4[Marathon Classification],"&gt;0")</f>
        <v>0</v>
      </c>
      <c r="BC79" s="6">
        <f>COUNTIFS(Table5[Country],Tabela1[[#This Row],[Country]],Table5[Marathon Classification],"&gt;0")</f>
        <v>0</v>
      </c>
      <c r="BD79" s="6">
        <f>COUNTIFS(Table4[Country],Tabela1[[#This Row],[Country]],Table4[20km Race Walk Classification],"&gt;0")</f>
        <v>0</v>
      </c>
      <c r="BE79" s="6">
        <f>COUNTIFS(Table5[Country],Tabela1[[#This Row],[Country]],Table5[20km Race Walk Classification],"&gt;0")</f>
        <v>0</v>
      </c>
      <c r="BF79" s="6">
        <f>COUNTIFS(Tabela96[Country],Tabela1[[#This Row],[Country]],Tabela96[Mixed Marathon Race Walk Relay Classification],"&gt;0")</f>
        <v>0</v>
      </c>
      <c r="BG79" s="6">
        <f>COUNTIFS(Table4[Country],Tabela1[[#This Row],[Country]],Table4[Discus Throw Classification],"&gt;0")</f>
        <v>0</v>
      </c>
      <c r="BH79" s="6">
        <f>COUNTIFS(Table5[Country],Tabela1[[#This Row],[Country]],Table5[Discus Throw Classification],"&gt;0")</f>
        <v>0</v>
      </c>
      <c r="BI79" s="6">
        <f>COUNTIFS(Table4[Country],Tabela1[[#This Row],[Country]],Table4[Hammer Throw Classification],"&gt;0")</f>
        <v>0</v>
      </c>
      <c r="BJ79" s="6">
        <f>COUNTIFS(Table5[Country],Tabela1[[#This Row],[Country]],Table5[Hammer Throw Classification],"&gt;0")</f>
        <v>0</v>
      </c>
      <c r="BK79" s="6">
        <f>COUNTIFS(Table4[Country],Tabela1[[#This Row],[Country]],Table4[High Jump Classification],"&gt;0")</f>
        <v>0</v>
      </c>
      <c r="BL79" s="6">
        <f>COUNTIFS(Table5[Country],Tabela1[[#This Row],[Country]],Table5[High Jump Classification],"&gt;0")</f>
        <v>0</v>
      </c>
      <c r="BM79" s="6">
        <f>COUNTIFS(Table4[Country],Tabela1[[#This Row],[Country]],Table4[Javelin Throw Classification],"&gt;0")</f>
        <v>0</v>
      </c>
      <c r="BN79" s="6">
        <f>COUNTIFS(Table5[Country],Tabela1[[#This Row],[Country]],Table5[Javelin Throw Classification],"&gt;0")</f>
        <v>0</v>
      </c>
      <c r="BO79" s="6">
        <f>COUNTIFS(Table4[Country],Tabela1[[#This Row],[Country]],Table4[Long Jump Classification],"&gt;0")</f>
        <v>0</v>
      </c>
      <c r="BP79" s="6">
        <f>COUNTIFS(Table5[Country],Tabela1[[#This Row],[Country]],Table5[Long Jump Classification],"&gt;0")</f>
        <v>0</v>
      </c>
      <c r="BQ79" s="6">
        <f>COUNTIFS(Table4[Country],Tabela1[[#This Row],[Country]],Table4[Pole Vault Classification],"&gt;0")</f>
        <v>0</v>
      </c>
      <c r="BR79" s="6">
        <f>COUNTIFS(Table5[Country],Tabela1[[#This Row],[Country]],Table5[Pole Vault Classification],"&gt;0")</f>
        <v>0</v>
      </c>
      <c r="BS79" s="6">
        <f>COUNTIFS(Table4[Country],Tabela1[[#This Row],[Country]],Table4[Shot Put Classification],"&gt;0")</f>
        <v>0</v>
      </c>
      <c r="BT79" s="6">
        <f>COUNTIFS(Table5[Country],Tabela1[[#This Row],[Country]],Table5[Shot Put Classification],"&gt;0")</f>
        <v>0</v>
      </c>
      <c r="BU79" s="6">
        <f>COUNTIFS(Table4[Country],Tabela1[[#This Row],[Country]],Table4[Triple Jump Classification],"&gt;0")</f>
        <v>0</v>
      </c>
      <c r="BV79" s="6">
        <f>COUNTIFS(Table5[Country],Tabela1[[#This Row],[Country]],Table5[Triple Jump Classification],"&gt;0")</f>
        <v>0</v>
      </c>
      <c r="BW79" s="6">
        <f>COUNTIFS(Table4[Country],Tabela1[[#This Row],[Country]],Table4[Decathlon Classification],"&gt;0")</f>
        <v>0</v>
      </c>
      <c r="BX79" s="6">
        <f>COUNTIFS(Table5[Country],Tabela1[[#This Row],[Country]],Table5[Heptathlon Classification],"&gt;0")</f>
        <v>0</v>
      </c>
      <c r="BY79" s="6">
        <f>COUNTIFS(Table61[Country],Tabela1[[#This Row],[Country]],Table61[Classification],"&gt;0")</f>
        <v>0</v>
      </c>
      <c r="BZ79" s="6">
        <f>COUNTIFS(Table38[Country],Tabela1[[#This Row],[Country]],Table38[Classification],"&gt;0")</f>
        <v>0</v>
      </c>
      <c r="CA79" s="6">
        <f>COUNTIFS(Table39[Country],Tabela1[[#This Row],[Country]],Table39[Men''s Classification],"&gt;0")</f>
        <v>0</v>
      </c>
      <c r="CB79" s="6">
        <f>COUNTIFS(Table39[Country],Tabela1[[#This Row],[Country]],Table39[Women''s Classification],"&gt;0")</f>
        <v>0</v>
      </c>
      <c r="CC79" s="6">
        <f>COUNTIFS(Table39[Country],Tabela1[[#This Row],[Country]],Table39[Mixed Classification],"&gt;0")</f>
        <v>0</v>
      </c>
      <c r="CD79" s="6">
        <f>COUNTIFS(Table89[Country],Tabela1[[#This Row],[Country]],Table89[Men''s Classification],"&gt;0")</f>
        <v>0</v>
      </c>
      <c r="CE79" s="6">
        <f>COUNTIFS(Table89[Country],Tabela1[[#This Row],[Country]],Table89[Women''s Classification],"&gt;0")</f>
        <v>0</v>
      </c>
      <c r="CF79" s="6">
        <f>COUNTIFS(Table90[Country],Tabela1[[#This Row],[Country]],Table90[Men''s Classification],"&gt;0")</f>
        <v>0</v>
      </c>
      <c r="CG79" s="6">
        <f>COUNTIFS(Table90[Country],Tabela1[[#This Row],[Country]],Table90[Women''s Classification],"&gt;0")</f>
        <v>0</v>
      </c>
      <c r="CH79" s="6">
        <f>COUNTIFS(Table60[Country],Tabela1[[#This Row],[Country]],Table60[Men''s Classification],"&gt;0")</f>
        <v>0</v>
      </c>
      <c r="CI79" s="6">
        <f>COUNTIFS(Table60[Country],Tabela1[[#This Row],[Country]],Table60[Women''s Classification],"&gt;0")</f>
        <v>0</v>
      </c>
      <c r="CJ79" s="6">
        <f>COUNTIFS(Table6[Country],Tabela1[[#This Row],[Country]],Table6[51kg Classification],"&gt;0")</f>
        <v>0</v>
      </c>
      <c r="CK79" s="6">
        <f>COUNTIFS(Table6[Country],Tabela1[[#This Row],[Country]],Table6[57kg Classification],"&gt;0")</f>
        <v>0</v>
      </c>
      <c r="CL79" s="6">
        <f>COUNTIFS(Table6[Country],Tabela1[[#This Row],[Country]],Table6[63.5kg Classification],"&gt;0")</f>
        <v>0</v>
      </c>
      <c r="CM79" s="6">
        <f>COUNTIFS(Table6[Country],Tabela1[[#This Row],[Country]],Table6[71kg Classification],"&gt;0")</f>
        <v>0</v>
      </c>
      <c r="CN79" s="6">
        <f>COUNTIFS(Table6[Country],Tabela1[[#This Row],[Country]],Table6[80kg Classification],"&gt;0")</f>
        <v>0</v>
      </c>
      <c r="CO79" s="6">
        <f>COUNTIFS(Table6[Country],Tabela1[[#This Row],[Country]],Table6[92kg Classification],"&gt;0")</f>
        <v>0</v>
      </c>
      <c r="CP79" s="6">
        <f>COUNTIFS(Table6[Country],Tabela1[[#This Row],[Country]],Table6[Plus 92kg Classification],"&gt;0")</f>
        <v>0</v>
      </c>
      <c r="CQ79" s="6">
        <f>COUNTIFS(Table7[Country],Tabela1[[#This Row],[Country]],Table7[50kg Classification],"&gt;0")</f>
        <v>0</v>
      </c>
      <c r="CR79" s="6">
        <f>COUNTIFS(Table7[Country],Tabela1[[#This Row],[Country]],Table7[54kg Classification],"&gt;0")</f>
        <v>0</v>
      </c>
      <c r="CS79" s="6">
        <f>COUNTIFS(Table7[Country],Tabela1[[#This Row],[Country]],Table7[57kg Classification],"&gt;0")</f>
        <v>0</v>
      </c>
      <c r="CT79" s="6">
        <f>COUNTIFS(Table7[Country],Tabela1[[#This Row],[Country]],Table7[60kg Classification],"&gt;0")</f>
        <v>0</v>
      </c>
      <c r="CU79" s="6">
        <f>COUNTIFS(Table7[Country],Tabela1[[#This Row],[Country]],Table7[66kg Classification],"&gt;0")</f>
        <v>0</v>
      </c>
      <c r="CV79" s="6">
        <f>COUNTIFS(Table7[Country],Tabela1[[#This Row],[Country]],Table7[75kg Classification],"&gt;0")</f>
        <v>0</v>
      </c>
      <c r="CW79" s="6">
        <f>COUNTIFS(Tabela94[Country],Tabela1[[#This Row],[Country]],Tabela94[Classification],"&gt;0")</f>
        <v>0</v>
      </c>
      <c r="CX79" s="6">
        <f>COUNTIFS(Tabela9499[Country],Tabela1[[#This Row],[Country]],Tabela9499[Classification],"&gt;0")</f>
        <v>0</v>
      </c>
      <c r="CY79" s="6">
        <f>COUNTIFS(Tabela107[Country],Tabela1[[#This Row],[Country]],Tabela107[C1 Slalom Classification],"&gt;0")</f>
        <v>0</v>
      </c>
      <c r="CZ79" s="6">
        <f>COUNTIFS(Tabela107122[Country],Tabela1[[#This Row],[Country]],Tabela107122[C1 Slalom Classification],"&gt;0")</f>
        <v>0</v>
      </c>
      <c r="DA79" s="6">
        <f>COUNTIFS(Tabela107[Country],Tabela1[[#This Row],[Country]],Tabela107[K1 Slalom Classification],"&gt;0")</f>
        <v>0</v>
      </c>
      <c r="DB79" s="6">
        <f>COUNTIFS(Tabela107122[Country],Tabela1[[#This Row],[Country]],Tabela107122[K1 Slalom Classification],"&gt;0")</f>
        <v>0</v>
      </c>
      <c r="DC79" s="6">
        <f>COUNTIFS(Tabela107[Country],Tabela1[[#This Row],[Country]],Tabela107[Kayak Cross Slalom Classification],"&gt;0")</f>
        <v>0</v>
      </c>
      <c r="DD79" s="6">
        <f>COUNTIFS(Tabela107122[Country],Tabela1[[#This Row],[Country]],Tabela107122[Kayak Cross Slalom Classification],"&gt;0")</f>
        <v>0</v>
      </c>
      <c r="DE79" s="6">
        <f>COUNTIFS(Table8[Country],Tabela1[[#This Row],[Country]],Table8[C1 200m Classification],"&gt;0")</f>
        <v>0</v>
      </c>
      <c r="DF79" s="6">
        <f>COUNTIFS(Table40[Country],Tabela1[[#This Row],[Country]],Table40[C1 1000m Classification],"&gt;0")</f>
        <v>0</v>
      </c>
      <c r="DG79" s="6">
        <f>COUNTIFS(Table68[Country],Tabela1[[#This Row],[Country]],Table68[Men''s C2 500m Classification],"&gt;0")</f>
        <v>0</v>
      </c>
      <c r="DH79" s="6">
        <f>COUNTIFS(Table68[Country],Tabela1[[#This Row],[Country]],Table68[Women''s C2 500m Classification],"&gt;0")</f>
        <v>0</v>
      </c>
      <c r="DI79" s="6">
        <f>COUNTIFS(Table8[Country],Tabela1[[#This Row],[Country]],Table8[K1 500m Classification],"&gt;0")</f>
        <v>0</v>
      </c>
      <c r="DJ79" s="6">
        <f>COUNTIFS(Table40[Country],Tabela1[[#This Row],[Country]],Table40[K1 1000m Classification],"&gt;0")</f>
        <v>0</v>
      </c>
      <c r="DK79" s="6">
        <f>COUNTIFS(Table68[Country],Tabela1[[#This Row],[Country]],Table68[Men''s K2 500m Classification],"&gt;0")</f>
        <v>0</v>
      </c>
      <c r="DL79" s="6">
        <f>COUNTIFS(Table68[Country],Tabela1[[#This Row],[Country]],Table68[Women''s K2 500m Classification],"&gt;0")</f>
        <v>0</v>
      </c>
      <c r="DM79" s="6">
        <f>COUNTIFS(Table83[Country],Tabela1[[#This Row],[Country]],Table83[Men''s K4 500m Classification],"&gt;0")</f>
        <v>0</v>
      </c>
      <c r="DN79" s="6">
        <f>COUNTIFS(Table83[Country],Tabela1[[#This Row],[Country]],Table83[Women''s K4 500m Classification],"&gt;0")</f>
        <v>0</v>
      </c>
      <c r="DO79" s="6">
        <f>COUNTIFS(Tabela126[Country],Tabela1[[#This Row],[Country]],Tabela126[Classification],"&gt;0")</f>
        <v>0</v>
      </c>
      <c r="DP79" s="6">
        <f>COUNTIFS(Tabela126130[Country],Tabela1[[#This Row],[Country]],Tabela126130[Classification],"&gt;0")</f>
        <v>0</v>
      </c>
      <c r="DQ79" s="6">
        <f>COUNTIFS(Table70[Country],Tabela1[[#This Row],[Country]],Table70[Classification],"&gt;0")</f>
        <v>0</v>
      </c>
      <c r="DR79" s="6">
        <f>COUNTIFS(Table80[Country],Tabela1[[#This Row],[Country]],Table80[Classification],"&gt;0")</f>
        <v>0</v>
      </c>
      <c r="DS79" s="6">
        <f>COUNTIFS(Table66[Country],Tabela1[[#This Row],[Country]],Table66[Classification],"&gt;0")</f>
        <v>0</v>
      </c>
      <c r="DT79" s="6">
        <f>COUNTIFS(Table67[Country],Tabela1[[#This Row],[Country]],Table67[Classification],"&gt;0")</f>
        <v>0</v>
      </c>
      <c r="DU79" s="6">
        <f>COUNTIFS(Table69[Country],Tabela1[[#This Row],[Country]],Table69[Keirin Classification],"&gt;0")</f>
        <v>0</v>
      </c>
      <c r="DV79" s="6">
        <f>COUNTIFS(Table41[Country],Tabela1[[#This Row],[Country]],Table41[Keirin Classification],"&gt;0")</f>
        <v>0</v>
      </c>
      <c r="DW79" s="6">
        <f>COUNTIFS(Table84[Country],Tabela1[[#This Row],[Country]],Table84[Men''s Madison Classification],"&gt;0")</f>
        <v>0</v>
      </c>
      <c r="DX79" s="6">
        <f>COUNTIFS(Table84[Country],Tabela1[[#This Row],[Country]],Table84[Women''s Madison Classification],"&gt;0")</f>
        <v>0</v>
      </c>
      <c r="DY79" s="6">
        <f>COUNTIFS(Table69[Country],Tabela1[[#This Row],[Country]],Table69[Omnium Classification],"&gt;0")</f>
        <v>0</v>
      </c>
      <c r="DZ79" s="6">
        <f>COUNTIFS(Table41[Country],Tabela1[[#This Row],[Country]],Table41[Omnium Classification],"&gt;0")</f>
        <v>0</v>
      </c>
      <c r="EA79" s="6">
        <f>COUNTIFS(Table9[Country],Tabela1[[#This Row],[Country]],Table9[Road Race Classification],"&gt;0")</f>
        <v>0</v>
      </c>
      <c r="EB79" s="6">
        <f>COUNTIFS(Table14[Country],Tabela1[[#This Row],[Country]],Table14[Road Race Classification],"&gt;0")</f>
        <v>0</v>
      </c>
      <c r="EC79" s="6">
        <f>COUNTIFS(Table69[Country],Tabela1[[#This Row],[Country]],Table69[Sprint Classification],"&gt;0")</f>
        <v>0</v>
      </c>
      <c r="ED79" s="6">
        <f>COUNTIFS(Table41[Country],Tabela1[[#This Row],[Country]],Table41[Sprint Classification],"&gt;0")</f>
        <v>0</v>
      </c>
      <c r="EE79" s="6">
        <f>COUNTIFS(Table85[Country],Tabela1[[#This Row],[Country]],Table85[Men''s Sprint Classification],"&gt;0")</f>
        <v>0</v>
      </c>
      <c r="EF79" s="6">
        <f>COUNTIFS(Table85[Country],Tabela1[[#This Row],[Country]],Table85[Women''s Sprint Classification],"&gt;0")</f>
        <v>0</v>
      </c>
      <c r="EG79" s="6">
        <f>COUNTIFS(Table85[Country],Tabela1[[#This Row],[Country]],Table85[Men''s Pursuit Classification],"&gt;0")</f>
        <v>0</v>
      </c>
      <c r="EH79" s="6">
        <f>COUNTIFS(Table85[Country],Tabela1[[#This Row],[Country]],Table85[Women''s Pursuit Classification],"&gt;0")</f>
        <v>0</v>
      </c>
      <c r="EI79" s="6">
        <f>COUNTIFS(Table9[Country],Tabela1[[#This Row],[Country]],Table9[Time-Trial Classification],"&gt;0")</f>
        <v>0</v>
      </c>
      <c r="EJ79" s="6">
        <f>COUNTIFS(Table14[Country],Tabela1[[#This Row],[Country]],Table14[Time-Trial Classification],"&gt;0")</f>
        <v>0</v>
      </c>
      <c r="EK79" s="6">
        <f>COUNTIFS(Table42[Country],Tabela1[[#This Row],[Country]],Table42[Springboard Classification],"&gt;0")</f>
        <v>0</v>
      </c>
      <c r="EL79" s="6">
        <f>COUNTIFS(Table43[Country],Tabela1[[#This Row],[Country]],Table43[Springboard Classification],"&gt;0")</f>
        <v>0</v>
      </c>
      <c r="EM79" s="6">
        <f>COUNTIFS(Table42[Country],Tabela1[[#This Row],[Country]],Table42[Platform Classification],"&gt;0")</f>
        <v>0</v>
      </c>
      <c r="EN79" s="6">
        <f>COUNTIFS(Table43[Country],Tabela1[[#This Row],[Country]],Table43[Platform Classification],"&gt;0")</f>
        <v>0</v>
      </c>
      <c r="EO79" s="6">
        <f>COUNTIFS(Table86[Country],Tabela1[[#This Row],[Country]],Table86[Men''s Synchronized Springboard Classification],"&gt;0")</f>
        <v>0</v>
      </c>
      <c r="EP79" s="6">
        <f>COUNTIFS(Table86[Country],Tabela1[[#This Row],[Country]],Table86[Women''s Synchronized Springboard Classification],"&gt;0")</f>
        <v>0</v>
      </c>
      <c r="EQ79" s="6">
        <f>COUNTIFS(Table86[Country],Tabela1[[#This Row],[Country]],Table86[Men''s Synchronized Platform Classification],"&gt;0")</f>
        <v>0</v>
      </c>
      <c r="ER79" s="6">
        <f>COUNTIFS(Table86[Country],Tabela1[[#This Row],[Country]],Table86[Women''s Synchronized Platform Classification],"&gt;0")</f>
        <v>0</v>
      </c>
      <c r="ES79" s="6">
        <f>COUNTIFS(Table44[Country],Tabela1[[#This Row],[Country]],Table44[Dressage Classification],"&gt;0")</f>
        <v>0</v>
      </c>
      <c r="ET79" s="6">
        <f>COUNTIFS(Table45[Country],Tabela1[[#This Row],[Country]],Table45[Dressage Classification],"&gt;0")</f>
        <v>0</v>
      </c>
      <c r="EU79" s="6">
        <f>COUNTIFS(Table44[Country],Tabela1[[#This Row],[Country]],Table44[Eventing Classification],"&gt;0")</f>
        <v>0</v>
      </c>
      <c r="EV79" s="6">
        <f>COUNTIFS(Table45[Country],Tabela1[[#This Row],[Country]],Table45[Eventing Classification],"&gt;0")</f>
        <v>0</v>
      </c>
      <c r="EW79" s="6">
        <f>COUNTIFS(Table44[Country],Tabela1[[#This Row],[Country]],Table44[Jumping Classification],"&gt;0")</f>
        <v>0</v>
      </c>
      <c r="EX79" s="6">
        <f>COUNTIFS(Table45[Country],Tabela1[[#This Row],[Country]],Table45[Jumping Classification],"&gt;0")</f>
        <v>0</v>
      </c>
      <c r="EY79" s="6">
        <f>COUNTIFS(Table10[Country],Tabela1[[#This Row],[Country]],Table10[Épée Classification],"&gt;0")</f>
        <v>0</v>
      </c>
      <c r="EZ79" s="6">
        <f>COUNTIFS(Table11[Country],Tabela1[[#This Row],[Country]],Table11[Épée Classification],"&gt;0")</f>
        <v>0</v>
      </c>
      <c r="FA79" s="6">
        <f>COUNTIFS(Table46[Country],Tabela1[[#This Row],[Country]],Table46[Men''s Épée Classification],"&gt;0")</f>
        <v>0</v>
      </c>
      <c r="FB79" s="6">
        <f>COUNTIFS(Table46[Country],Tabela1[[#This Row],[Country]],Table46[Women''s Épée Classification],"&gt;0")</f>
        <v>0</v>
      </c>
      <c r="FC79" s="6">
        <f>COUNTIFS(Table10[Country],Tabela1[[#This Row],[Country]],Table10[Foil Classification],"&gt;0")</f>
        <v>0</v>
      </c>
      <c r="FD79" s="6">
        <f>COUNTIFS(Table11[Country],Tabela1[[#This Row],[Country]],Table11[Foil Classification],"&gt;0")</f>
        <v>0</v>
      </c>
      <c r="FE79" s="6">
        <f>COUNTIFS(Table46[Country],Tabela1[[#This Row],[Country]],Table46[Men''s Foil Classification],"&gt;0")</f>
        <v>0</v>
      </c>
      <c r="FF79" s="6">
        <f>COUNTIFS(Table46[Country],Tabela1[[#This Row],[Country]],Table46[Women''s Foil Classification],"&gt;0")</f>
        <v>0</v>
      </c>
      <c r="FG79" s="6">
        <f>COUNTIFS(Table10[Country],Tabela1[[#This Row],[Country]],Table10[Sabre Classification],"&gt;0")</f>
        <v>0</v>
      </c>
      <c r="FH79" s="6">
        <f>COUNTIFS(Table11[Country],Tabela1[[#This Row],[Country]],Table11[Sabre Classification],"&gt;0")</f>
        <v>0</v>
      </c>
      <c r="FI79" s="6">
        <f>COUNTIFS(Table46[Country],Tabela1[[#This Row],[Country]],Table46[Men''s Sabre Classification],"&gt;0")</f>
        <v>0</v>
      </c>
      <c r="FJ79" s="6">
        <f>COUNTIFS(Table46[Country],Tabela1[[#This Row],[Country]],Table46[Women''s Sabre Classification],"&gt;0")</f>
        <v>0</v>
      </c>
      <c r="FK79" s="6">
        <f>COUNTIFS(Table91[Country],Tabela1[[#This Row],[Country]],Table91[Men''s Classification],"&gt;0")</f>
        <v>0</v>
      </c>
      <c r="FL79" s="6">
        <f>COUNTIFS(Table91[Country],Tabela1[[#This Row],[Country]],Table91[Women''s Classification],"&gt;0")</f>
        <v>0</v>
      </c>
      <c r="FM79" s="6">
        <f>COUNTIFS(Table9194[Country],Tabela1[[#This Row],[Country]],Table9194[Men''s Classification],"&gt;0")</f>
        <v>1</v>
      </c>
      <c r="FN79" s="6">
        <f>COUNTIFS(Table9194[Country],Tabela1[[#This Row],[Country]],Table9194[Women''s Classification],"&gt;0")</f>
        <v>0</v>
      </c>
      <c r="FO79" s="6">
        <f>COUNTIFS(Table71[Country],Tabela1[[#This Row],[Country]],Table71[Classification],"&gt;0")</f>
        <v>0</v>
      </c>
      <c r="FP79" s="6">
        <f>COUNTIFS(Table62[Country],Tabela1[[#This Row],[Country]],Table62[Classification],"&gt;0")</f>
        <v>0</v>
      </c>
      <c r="FQ79" s="6">
        <f>COUNTIFS(Table47[Country],Tabela1[[#This Row],[Country]],Table47[All-Around Classification],"&gt;0")</f>
        <v>0</v>
      </c>
      <c r="FR79" s="6">
        <f>COUNTIFS(Table48[Country],Tabela1[[#This Row],[Country]],Table48[All-Around Classification],"&gt;0")</f>
        <v>0</v>
      </c>
      <c r="FS79" s="6">
        <f>COUNTIFS(Table81[Country],Tabela1[[#This Row],[Country]],Table81[Men''s All-Around Classification],"&gt;0")</f>
        <v>0</v>
      </c>
      <c r="FT79" s="6">
        <f>COUNTIFS(Table81[Country],Tabela1[[#This Row],[Country]],Table81[Women''s All-Around Classification],"&gt;0")</f>
        <v>0</v>
      </c>
      <c r="FU79" s="6">
        <f>COUNTIFS(Table48[Country],Tabela1[[#This Row],[Country]],Table48[Balance Beam Classification],"&gt;0")</f>
        <v>0</v>
      </c>
      <c r="FV79" s="6">
        <f>COUNTIFS(Table47[Country],Tabela1[[#This Row],[Country]],Table47[Floor Exercise Classification],"&gt;0")</f>
        <v>0</v>
      </c>
      <c r="FW79" s="6">
        <f>COUNTIFS(Table48[Country],Tabela1[[#This Row],[Country]],Table48[Floor Exercise Classification],"&gt;0")</f>
        <v>0</v>
      </c>
      <c r="FX79" s="6">
        <f>COUNTIFS(Table47[Country],Tabela1[[#This Row],[Country]],Table47[Horizontal Bar Classification],"&gt;0")</f>
        <v>0</v>
      </c>
      <c r="FY79" s="6">
        <f>COUNTIFS(Table47[Country],Tabela1[[#This Row],[Country]],Table47[Parallel Bars Classification],"&gt;0")</f>
        <v>0</v>
      </c>
      <c r="FZ79" s="6">
        <f>COUNTIFS(Table47[Country],Tabela1[[#This Row],[Country]],Table47[Pommel Horse Classification],"&gt;0")</f>
        <v>0</v>
      </c>
      <c r="GA79" s="6">
        <f>COUNTIFS(Table47[Country],Tabela1[[#This Row],[Country]],Table47[Rings Classification],"&gt;0")</f>
        <v>0</v>
      </c>
      <c r="GB79" s="6">
        <f>COUNTIFS(Tabela132[Country],Tabela1[[#This Row],[Country]],Tabela132[Classification],"&gt;0")</f>
        <v>0</v>
      </c>
      <c r="GC79" s="6">
        <f>COUNTIFS(Tabela139[Country],Tabela1[[#This Row],[Country]],Tabela139[Classification],"&gt;0")</f>
        <v>0</v>
      </c>
      <c r="GD79" s="6">
        <f>COUNTIFS(Table48[Country],Tabela1[[#This Row],[Country]],Table48[Uneven Bars Classification],"&gt;0")</f>
        <v>0</v>
      </c>
      <c r="GE79" s="6">
        <f>COUNTIFS(Table47[Country],Tabela1[[#This Row],[Country]],Table47[Vault Classification],"&gt;0")</f>
        <v>0</v>
      </c>
      <c r="GF79" s="6">
        <f>COUNTIFS(Table48[Country],Tabela1[[#This Row],[Country]],Table48[Vault Classification],"&gt;0")</f>
        <v>0</v>
      </c>
      <c r="GG79" s="6">
        <f>COUNTIFS(Table919496[Country],Tabela1[[#This Row],[Country]],Table919496[Men''s Classification],"&gt;0")</f>
        <v>0</v>
      </c>
      <c r="GH79" s="6">
        <f>COUNTIFS(Table919496[Country],Tabela1[[#This Row],[Country]],Table919496[Women''s Classification],"&gt;0")</f>
        <v>0</v>
      </c>
      <c r="GI79" s="6">
        <f>COUNTIFS(Table12[Country],Tabela1[[#This Row],[Country]],Table12[60kg Classification],"&gt;0")</f>
        <v>0</v>
      </c>
      <c r="GJ79" s="6">
        <f>COUNTIFS(Table12[Country],Tabela1[[#This Row],[Country]],Table12[66kg Classification],"&gt;0")</f>
        <v>0</v>
      </c>
      <c r="GK79" s="6">
        <f>COUNTIFS(Table12[Country],Tabela1[[#This Row],[Country]],Table12[73kg Classification],"&gt;0")</f>
        <v>0</v>
      </c>
      <c r="GL79" s="6">
        <f>COUNTIFS(Table12[Country],Tabela1[[#This Row],[Country]],Table12[81kg Classification],"&gt;0")</f>
        <v>0</v>
      </c>
      <c r="GM79" s="6">
        <f>COUNTIFS(Table12[Country],Tabela1[[#This Row],[Country]],Table12[90kg Classification],"&gt;0")</f>
        <v>0</v>
      </c>
      <c r="GN79" s="6">
        <f>COUNTIFS(Table12[Country],Tabela1[[#This Row],[Country]],Table12[100kg Classification],"&gt;0")</f>
        <v>0</v>
      </c>
      <c r="GO79" s="6">
        <f>COUNTIFS(Table12[Country],Tabela1[[#This Row],[Country]],Table12[Plus 100kg Classification],"&gt;0")</f>
        <v>0</v>
      </c>
      <c r="GP79" s="6">
        <f>COUNTIFS(Table13[Country],Tabela1[[#This Row],[Country]],Table13[48kg Classification],"&gt;0")</f>
        <v>0</v>
      </c>
      <c r="GQ79" s="6">
        <f>COUNTIFS(Table13[Country],Tabela1[[#This Row],[Country]],Table13[52kg Classification],"&gt;0")</f>
        <v>0</v>
      </c>
      <c r="GR79" s="6">
        <f>COUNTIFS(Table13[Country],Tabela1[[#This Row],[Country]],Table13[57kg Classification],"&gt;0")</f>
        <v>0</v>
      </c>
      <c r="GS79" s="6">
        <f>COUNTIFS(Table13[Country],Tabela1[[#This Row],[Country]],Table13[63kg Classification],"&gt;0")</f>
        <v>0</v>
      </c>
      <c r="GT79" s="6">
        <f>COUNTIFS(Table13[Country],Tabela1[[#This Row],[Country]],Table13[70kg Classification],"&gt;0")</f>
        <v>0</v>
      </c>
      <c r="GU79" s="6">
        <f>COUNTIFS(Table13[Country],Tabela1[[#This Row],[Country]],Table13[78kg Classification],"&gt;0")</f>
        <v>1</v>
      </c>
      <c r="GV79" s="6">
        <f>COUNTIFS(Table13[Country],Tabela1[[#This Row],[Country]],Table13[Plus 78kg Classification],"&gt;0")</f>
        <v>0</v>
      </c>
      <c r="GW79" s="6">
        <f>COUNTIFS(Table82[Country],Tabela1[[#This Row],[Country]],Table82[Mixed Classification],"&gt;0")</f>
        <v>0</v>
      </c>
      <c r="GX79" s="6">
        <f>COUNTIFS(Table51[Country],Tabela1[[#This Row],[Country]],Table51[Classification],"&gt;0")</f>
        <v>0</v>
      </c>
      <c r="GY79" s="6">
        <f>COUNTIFS(Table52[Country],Tabela1[[#This Row],[Country]],Table52[Classification],"&gt;0")</f>
        <v>0</v>
      </c>
      <c r="GZ79" s="6">
        <f>COUNTIFS(Table32[Country],Tabela1[[#This Row],[Country]],Table32[All-Around Classification],"&gt;0")</f>
        <v>0</v>
      </c>
      <c r="HA79" s="6">
        <f>COUNTIFS(Table49[Country],Tabela1[[#This Row],[Country]],Table49[All-Around Classification],"&gt;0")</f>
        <v>0</v>
      </c>
      <c r="HB79" s="6">
        <f>COUNTIFS(Table26[Country],Tabela1[[#This Row],[Country]],Table26[Single Sculls Classification],"&gt;0")</f>
        <v>0</v>
      </c>
      <c r="HC79" s="6">
        <f>COUNTIFS(Table63[Country],Tabela1[[#This Row],[Country]],Table63[Single Sculls Classification],"&gt;0")</f>
        <v>0</v>
      </c>
      <c r="HD79" s="6">
        <f>COUNTIFS(Table16[Country],Tabela1[[#This Row],[Country]],Table16[Men''s Double Sculls Classification],"&gt;0")</f>
        <v>0</v>
      </c>
      <c r="HE79" s="6">
        <f>COUNTIFS(Table16[Country],Tabela1[[#This Row],[Country]],Table16[Women''s Double Sculls Classification],"&gt;0")</f>
        <v>0</v>
      </c>
      <c r="HF79" s="6">
        <f>COUNTIFS(Table72[Country],Tabela1[[#This Row],[Country]],Table72[Men''s Quadruple Sculls Classification],"&gt;0")</f>
        <v>0</v>
      </c>
      <c r="HG79" s="6">
        <f>COUNTIFS(Table72[Country],Tabela1[[#This Row],[Country]],Table72[Women''s Quadruple Sculls Classification],"&gt;0")</f>
        <v>0</v>
      </c>
      <c r="HH79" s="6">
        <f>COUNTIFS(Table16[Country],Tabela1[[#This Row],[Country]],Table16[Men''s Coxless Pairs Classification],"&gt;0")</f>
        <v>0</v>
      </c>
      <c r="HI79" s="6">
        <f>COUNTIFS(Table16[Country],Tabela1[[#This Row],[Country]],Table16[Women''s Coxless Pairs Classification],"&gt;0")</f>
        <v>0</v>
      </c>
      <c r="HJ79" s="6">
        <f>COUNTIFS(Table72[Country],Tabela1[[#This Row],[Country]],Table72[Men''s Coxless Fours Classification],"&gt;0")</f>
        <v>0</v>
      </c>
      <c r="HK79" s="6">
        <f>COUNTIFS(Table72[Country],Tabela1[[#This Row],[Country]],Table72[Women''s Coxless Fours Classification],"&gt;0")</f>
        <v>0</v>
      </c>
      <c r="HL79" s="6">
        <f>COUNTIFS(Table72[Country],Tabela1[[#This Row],[Country]],Table72[Men''s Eights Classification],"&gt;0")</f>
        <v>0</v>
      </c>
      <c r="HM79" s="6">
        <f>COUNTIFS(Table72[Country],Tabela1[[#This Row],[Country]],Table72[Women''s Eights Classification],"&gt;0")</f>
        <v>0</v>
      </c>
      <c r="HN79" s="6">
        <f>COUNTIFS(Table16[Country],Tabela1[[#This Row],[Country]],Table16[Men''s Lwt. Double Sculls Classification],"&gt;0")</f>
        <v>0</v>
      </c>
      <c r="HO79" s="6">
        <f>COUNTIFS(Table16[Country],Tabela1[[#This Row],[Country]],Table16[Women''s Lwt. Double Sculls Classification],"&gt;0")</f>
        <v>0</v>
      </c>
      <c r="HP79" s="6">
        <f>COUNTIFS(Table91949698[Country],Tabela1[[#This Row],[Country]],Table91949698[Men''s Classification],"&gt;0")</f>
        <v>0</v>
      </c>
      <c r="HQ79" s="6">
        <f>COUNTIFS(Table91949698[Country],Tabela1[[#This Row],[Country]],Table91949698[Women''s Classification],"&gt;0")</f>
        <v>0</v>
      </c>
      <c r="HR79" s="6">
        <f>COUNTIFS(Table25[Country],Tabela1[[#This Row],[Country]],Table25[Mixed 470 Classification],"&gt;0")</f>
        <v>0</v>
      </c>
      <c r="HS79" s="6">
        <f>COUNTIFS(Table25[Country],Tabela1[[#This Row],[Country]],Table25[Men''s 49er Classification],"&gt;0")</f>
        <v>0</v>
      </c>
      <c r="HT79" s="6">
        <f>COUNTIFS(Table25[Country],Tabela1[[#This Row],[Country]],Table25[Women''s 49er FX Classification],"&gt;0")</f>
        <v>0</v>
      </c>
      <c r="HU79" s="6">
        <f>COUNTIFS(Table17[Country],Tabela1[[#This Row],[Country]],Table17[Formula Kite Classification],"&gt;0")</f>
        <v>0</v>
      </c>
      <c r="HV79" s="6">
        <f>COUNTIFS(Table18[Country],Tabela1[[#This Row],[Country]],Table18[Formula Kite Classification],"&gt;0")</f>
        <v>0</v>
      </c>
      <c r="HW79" s="6">
        <f>COUNTIFS(Table17[Country],Tabela1[[#This Row],[Country]],Table17[ILCA 7 Classification],"&gt;0")</f>
        <v>0</v>
      </c>
      <c r="HX79" s="6">
        <f>COUNTIFS(Table18[Country],Tabela1[[#This Row],[Country]],Table18[ILCA 6 Classification],"&gt;0")</f>
        <v>0</v>
      </c>
      <c r="HY79" s="6">
        <f>COUNTIFS(Table17[Country],Tabela1[[#This Row],[Country]],Table17[IQFoil Classification],"&gt;0")</f>
        <v>0</v>
      </c>
      <c r="HZ79" s="6">
        <f>COUNTIFS(Table18[Country],Tabela1[[#This Row],[Country]],Table18[IQFoil Classification],"&gt;0")</f>
        <v>0</v>
      </c>
      <c r="IA79" s="6">
        <f>COUNTIFS(Table25[Country],Tabela1[[#This Row],[Country]],Table25[Mixed Nacra 17 Classification],"&gt;0")</f>
        <v>0</v>
      </c>
      <c r="IB79" s="6">
        <f>COUNTIFS(Table53[Country],Tabela1[[#This Row],[Country]],Table53[10m Air Pistol Classification],"&gt;0")</f>
        <v>0</v>
      </c>
      <c r="IC79" s="6">
        <f>COUNTIFS(Table19[Country],Tabela1[[#This Row],[Country]],Table19[10m Air Pistol Classification],"&gt;0")</f>
        <v>0</v>
      </c>
      <c r="ID79" s="6">
        <f>COUNTIFS(Table54[Country],Tabela1[[#This Row],[Country]],Table54[Mixed 10m Air Pistol Team Classification],"&gt;0")</f>
        <v>0</v>
      </c>
      <c r="IE79" s="6">
        <f>COUNTIFS(Table53[Country],Tabela1[[#This Row],[Country]],Table53[10m Air Rifle Classification],"&gt;0")</f>
        <v>0</v>
      </c>
      <c r="IF79" s="6">
        <f>COUNTIFS(Table19[Country],Tabela1[[#This Row],[Country]],Table19[10m Air Rifle Classification],"&gt;0")</f>
        <v>0</v>
      </c>
      <c r="IG79" s="6">
        <f>COUNTIFS(Table54[Country],Tabela1[[#This Row],[Country]],Table54[Mixed 10m Air Rifle Team Classification],"&gt;0")</f>
        <v>0</v>
      </c>
      <c r="IH79" s="6">
        <f>COUNTIFS(Table53[Country],Tabela1[[#This Row],[Country]],Table53[25m Rapid Fire Pistol Classification],"&gt;0")</f>
        <v>0</v>
      </c>
      <c r="II79" s="6">
        <f>COUNTIFS(Table19[Country],Tabela1[[#This Row],[Country]],Table19[25m Pistol Classification],"&gt;0")</f>
        <v>0</v>
      </c>
      <c r="IJ79" s="6">
        <f>COUNTIFS(Table53[Country],Tabela1[[#This Row],[Country]],Table53[50m Rifle 3 Positions Classification],"&gt;0")</f>
        <v>0</v>
      </c>
      <c r="IK79" s="6">
        <f>COUNTIFS(Table19[Country],Tabela1[[#This Row],[Country]],Table19[50m Rifle 3 Positions Classification],"&gt;0")</f>
        <v>0</v>
      </c>
      <c r="IL79" s="6">
        <f>COUNTIFS(Table53[Country],Tabela1[[#This Row],[Country]],Table53[Skeet Classification],"&gt;0")</f>
        <v>0</v>
      </c>
      <c r="IM79" s="6">
        <f>COUNTIFS(Table19[Country],Tabela1[[#This Row],[Country]],Table19[Skeet Classification],"&gt;0")</f>
        <v>0</v>
      </c>
      <c r="IN79" s="6">
        <f>COUNTIFS(Table54[Country],Tabela1[[#This Row],[Country]],Table54[Mixed Skeet Team Classification],"&gt;0")</f>
        <v>0</v>
      </c>
      <c r="IO79" s="6">
        <f>COUNTIFS(Table53[Country],Tabela1[[#This Row],[Country]],Table53[Trap Classification],"&gt;0")</f>
        <v>0</v>
      </c>
      <c r="IP79" s="6">
        <f>COUNTIFS(Table19[Country],Tabela1[[#This Row],[Country]],Table19[Trap Classification],"&gt;0")</f>
        <v>0</v>
      </c>
      <c r="IQ79" s="6">
        <f>COUNTIFS(Table73[Country],Tabela1[[#This Row],[Country]],Table73[Park Classification],"&gt;0")</f>
        <v>0</v>
      </c>
      <c r="IR79" s="6">
        <f>COUNTIFS(Table74[Country],Tabela1[[#This Row],[Country]],Table74[Park Classification],"&gt;0")</f>
        <v>0</v>
      </c>
      <c r="IS79" s="6">
        <f>COUNTIFS(Table73[Country],Tabela1[[#This Row],[Country]],Table73[Street Classification],"&gt;0")</f>
        <v>0</v>
      </c>
      <c r="IT79" s="6">
        <f>COUNTIFS(Table74[Country],Tabela1[[#This Row],[Country]],Table74[Street Classification],"&gt;0")</f>
        <v>0</v>
      </c>
      <c r="IU79" s="6">
        <f>COUNTIFS(Table75[Country],Tabela1[[#This Row],[Country]],Table75[Boulder and Lead Classification],"&gt;0")</f>
        <v>0</v>
      </c>
      <c r="IV79" s="6">
        <f>COUNTIFS(Table76[Country],Tabela1[[#This Row],[Country]],Table76[Boulder and Lead Classification],"&gt;0")</f>
        <v>0</v>
      </c>
      <c r="IW79" s="6">
        <f>COUNTIFS(Table75[Country],Tabela1[[#This Row],[Country]],Table75[Speed Classification],"&gt;0")</f>
        <v>0</v>
      </c>
      <c r="IX79" s="6">
        <f>COUNTIFS(Table76[Country],Tabela1[[#This Row],[Country]],Table76[Speed Classification],"&gt;0")</f>
        <v>0</v>
      </c>
      <c r="IY79" s="6">
        <f>COUNTIFS(Table64[Country],Tabela1[[#This Row],[Country]],Table64[Shortboard Classification],"&gt;0")</f>
        <v>0</v>
      </c>
      <c r="IZ79" s="6">
        <f>COUNTIFS(Table77[Country],Tabela1[[#This Row],[Country]],Table77[Shortboard Classification],"&gt;0")</f>
        <v>0</v>
      </c>
      <c r="JA79" s="6">
        <f>COUNTIFS(Table20[Country],Tabela1[[#This Row],[Country]],Table20[50m Freestyle Classification],"&gt;0")</f>
        <v>1</v>
      </c>
      <c r="JB79" s="6">
        <f>COUNTIFS(Table21[Country],Tabela1[[#This Row],[Country]],Table21[50m Freestyle Classification],"&gt;0")</f>
        <v>1</v>
      </c>
      <c r="JC79" s="6">
        <f>COUNTIFS(Table20[Country],Tabela1[[#This Row],[Country]],Table20[100m Freestyle Classification],"&gt;0")</f>
        <v>0</v>
      </c>
      <c r="JD79" s="6">
        <f>COUNTIFS(Table21[Country],Tabela1[[#This Row],[Country]],Table21[100m Freestyle Classification],"&gt;0")</f>
        <v>0</v>
      </c>
      <c r="JE79" s="6">
        <f>COUNTIFS(Table20[Country],Tabela1[[#This Row],[Country]],Table20[200m Freestyle Classification],"&gt;0")</f>
        <v>0</v>
      </c>
      <c r="JF79" s="6">
        <f>COUNTIFS(Table21[Country],Tabela1[[#This Row],[Country]],Table21[200m Freestyle Classification],"&gt;0")</f>
        <v>0</v>
      </c>
      <c r="JG79" s="6">
        <f>COUNTIFS(Table20[Country],Tabela1[[#This Row],[Country]],Table20[400m Freestyle Classification],"&gt;0")</f>
        <v>0</v>
      </c>
      <c r="JH79" s="6">
        <f>COUNTIFS(Table21[Country],Tabela1[[#This Row],[Country]],Table21[400m Freestyle Classification],"&gt;0")</f>
        <v>0</v>
      </c>
      <c r="JI79" s="6">
        <f>COUNTIFS(Table20[Country],Tabela1[[#This Row],[Country]],Table20[800m Freestyle Classification],"&gt;0")</f>
        <v>0</v>
      </c>
      <c r="JJ79" s="6">
        <f>COUNTIFS(Table21[Country],Tabela1[[#This Row],[Country]],Table21[800m Freestyle Classification],"&gt;0")</f>
        <v>0</v>
      </c>
      <c r="JK79" s="6">
        <f>COUNTIFS(Table20[Country],Tabela1[[#This Row],[Country]],Table20[1500m Freestyle Classification],"&gt;0")</f>
        <v>0</v>
      </c>
      <c r="JL79" s="6">
        <f>COUNTIFS(Table21[Country],Tabela1[[#This Row],[Country]],Table21[1500m Freestyle Classification],"&gt;0")</f>
        <v>0</v>
      </c>
      <c r="JM79" s="6">
        <f>COUNTIFS(Table20[Country],Tabela1[[#This Row],[Country]],Table20[100m Backstroke Classification],"&gt;0")</f>
        <v>0</v>
      </c>
      <c r="JN79" s="6">
        <f>COUNTIFS(Table21[Country],Tabela1[[#This Row],[Country]],Table21[100m Backstroke Classification],"&gt;0")</f>
        <v>0</v>
      </c>
      <c r="JO79" s="6">
        <f>COUNTIFS(Table20[Country],Tabela1[[#This Row],[Country]],Table20[200m Backstroke Classification],"&gt;0")</f>
        <v>0</v>
      </c>
      <c r="JP79" s="6">
        <f>COUNTIFS(Table21[Country],Tabela1[[#This Row],[Country]],Table21[200m Backstroke Classification],"&gt;0")</f>
        <v>0</v>
      </c>
      <c r="JQ79" s="6">
        <f>COUNTIFS(Table20[Country],Tabela1[[#This Row],[Country]],Table20[100m Breaststroke Classification],"&gt;0")</f>
        <v>0</v>
      </c>
      <c r="JR79" s="6">
        <f>COUNTIFS(Table21[Country],Tabela1[[#This Row],[Country]],Table21[100m Breaststroke Classification],"&gt;0")</f>
        <v>0</v>
      </c>
      <c r="JS79" s="6">
        <f>COUNTIFS(Table20[Country],Tabela1[[#This Row],[Country]],Table20[200m Breaststroke Classification],"&gt;0")</f>
        <v>0</v>
      </c>
      <c r="JT79" s="6">
        <f>COUNTIFS(Table21[Country],Tabela1[[#This Row],[Country]],Table21[200m Breaststroke Classification],"&gt;0")</f>
        <v>0</v>
      </c>
      <c r="JU79" s="6">
        <f>COUNTIFS(Table20[Country],Tabela1[[#This Row],[Country]],Table20[100m Butterfly Classification],"&gt;0")</f>
        <v>0</v>
      </c>
      <c r="JV79" s="6">
        <f>COUNTIFS(Table21[Country],Tabela1[[#This Row],[Country]],Table21[100m Butterfly Classification],"&gt;0")</f>
        <v>0</v>
      </c>
      <c r="JW79" s="6">
        <f>COUNTIFS(Table20[Country],Tabela1[[#This Row],[Country]],Table20[200m Butterfly Classification],"&gt;0")</f>
        <v>0</v>
      </c>
      <c r="JX79" s="6">
        <f>COUNTIFS(Table21[Country],Tabela1[[#This Row],[Country]],Table21[200m Butterfly Classification],"&gt;0")</f>
        <v>0</v>
      </c>
      <c r="JY79" s="6">
        <f>COUNTIFS(Table20[Country],Tabela1[[#This Row],[Country]],Table20[200m Medley Classification],"&gt;0")</f>
        <v>0</v>
      </c>
      <c r="JZ79" s="6">
        <f>COUNTIFS(Table21[Country],Tabela1[[#This Row],[Country]],Table21[200m Medley Classification],"&gt;0")</f>
        <v>0</v>
      </c>
      <c r="KA79" s="6">
        <f>COUNTIFS(Table20[Country],Tabela1[[#This Row],[Country]],Table20[400m Medley Classification],"&gt;0")</f>
        <v>0</v>
      </c>
      <c r="KB79" s="6">
        <f>COUNTIFS(Table21[Country],Tabela1[[#This Row],[Country]],Table21[400m Medley Classification],"&gt;0")</f>
        <v>0</v>
      </c>
      <c r="KC79" s="6">
        <f>COUNTIFS(Table78[Country],Tabela1[[#This Row],[Country]],Table78[Men''s 4x100m Freestyle Relay Classification],"&gt;0")</f>
        <v>0</v>
      </c>
      <c r="KD79" s="6">
        <f>COUNTIFS(Table78[Country],Tabela1[[#This Row],[Country]],Table78[Women''s 4x100m Freestyle Relay Classification],"&gt;0")</f>
        <v>0</v>
      </c>
      <c r="KE79" s="6">
        <f>COUNTIFS(Table78[Country],Tabela1[[#This Row],[Country]],Table78[Men''s 4x200m Freestyle Relay Classification],"&gt;0")</f>
        <v>0</v>
      </c>
      <c r="KF79" s="6">
        <f>COUNTIFS(Table78[Country],Tabela1[[#This Row],[Country]],Table78[Women''s 4x200m Freestyle Relay Classification],"&gt;0")</f>
        <v>0</v>
      </c>
      <c r="KG79" s="6">
        <f>COUNTIFS(Table78[Country],Tabela1[[#This Row],[Country]],Table78[Men''s 4x100m Medley Relay Classification],"&gt;0")</f>
        <v>0</v>
      </c>
      <c r="KH79" s="6">
        <f>COUNTIFS(Table78[Country],Tabela1[[#This Row],[Country]],Table78[Women''s 4x100m Medley Relay Classification],"&gt;0")</f>
        <v>0</v>
      </c>
      <c r="KI79" s="6">
        <f>COUNTIFS(Table78[Country],Tabela1[[#This Row],[Country]],Table78[Mixed 4x100m Medley Relay Classification],"&gt;0")</f>
        <v>0</v>
      </c>
      <c r="KJ79" s="6">
        <f>COUNTIFS(Table20[Country],Tabela1[[#This Row],[Country]],Table20[10km Open Water Classification],"&gt;0")</f>
        <v>0</v>
      </c>
      <c r="KK79" s="6">
        <f>COUNTIFS(Table21[Country],Tabela1[[#This Row],[Country]],Table21[10km Open Water Classification],"&gt;0")</f>
        <v>0</v>
      </c>
      <c r="KL79" s="6">
        <f>COUNTIFS(Table22[Country],Tabela1[[#This Row],[Country]],Table22[Classification],"&gt;0")</f>
        <v>0</v>
      </c>
      <c r="KM79" s="6">
        <f>COUNTIFS(Table30[Country],Tabela1[[#This Row],[Country]],Table30[Classification],"&gt;0")</f>
        <v>0</v>
      </c>
      <c r="KN79" s="6">
        <f>COUNTIFS(Table55[Country],Tabela1[[#This Row],[Country]],Table55[Men''s Classification],"&gt;0")</f>
        <v>0</v>
      </c>
      <c r="KO79" s="6">
        <f>COUNTIFS(Table55[Country],Tabela1[[#This Row],[Country]],Table55[Women''s Classification],"&gt;0")</f>
        <v>0</v>
      </c>
      <c r="KP79" s="6">
        <f>COUNTIFS(Table56[Country],Tabela1[[#This Row],[Country]],Table56[Mixed Classification],"&gt;0")</f>
        <v>0</v>
      </c>
      <c r="KQ79" s="6">
        <f>COUNTIFS(Table29[Country],Tabela1[[#This Row],[Country]],Table29[58kg Classification],"&gt;0")</f>
        <v>0</v>
      </c>
      <c r="KR79" s="6">
        <f>COUNTIFS(Table29[Country],Tabela1[[#This Row],[Country]],Table29[68kg Classification],"&gt;0")</f>
        <v>0</v>
      </c>
      <c r="KS79" s="6">
        <f>COUNTIFS(Table29[Country],Tabela1[[#This Row],[Country]],Table29[80kg Classification],"&gt;0")</f>
        <v>0</v>
      </c>
      <c r="KT79" s="6">
        <f>COUNTIFS(Table29[Country],Tabela1[[#This Row],[Country]],Table29[Plus 80kg Classification],"&gt;0")</f>
        <v>0</v>
      </c>
      <c r="KU79" s="6">
        <f>COUNTIFS(Table34[Country],Tabela1[[#This Row],[Country]],Table34[49kg Classification],"&gt;0")</f>
        <v>0</v>
      </c>
      <c r="KV79" s="6">
        <f>COUNTIFS(Table34[Country],Tabela1[[#This Row],[Country]],Table34[57kg Classification],"&gt;0")</f>
        <v>0</v>
      </c>
      <c r="KW79" s="6">
        <f>COUNTIFS(Table34[Country],Tabela1[[#This Row],[Country]],Table34[67kg Classification],"&gt;0")</f>
        <v>0</v>
      </c>
      <c r="KX79" s="6">
        <f>COUNTIFS(Table34[Country],Tabela1[[#This Row],[Country]],Table34[Plus 67kg Classification],"&gt;0")</f>
        <v>0</v>
      </c>
      <c r="KY79" s="6">
        <f>COUNTIFS(Table57[Country],Tabela1[[#This Row],[Country]],Table57[Classification],"&gt;0")</f>
        <v>0</v>
      </c>
      <c r="KZ79" s="6">
        <f>COUNTIFS(Table58[Country],Tabela1[[#This Row],[Country]],Table58[Classification],"&gt;0")</f>
        <v>0</v>
      </c>
      <c r="LA79" s="6">
        <f>COUNTIFS(Table79[Country],Tabela1[[#This Row],[Country]],Table79[Men''s Classification],"&gt;0")</f>
        <v>0</v>
      </c>
      <c r="LB79" s="6">
        <f>COUNTIFS(Table79[Country],Tabela1[[#This Row],[Country]],Table79[Women''s Classification],"&gt;0")</f>
        <v>0</v>
      </c>
      <c r="LC79" s="6">
        <f>COUNTIFS(Table79[Country],Tabela1[[#This Row],[Country]],Table79[Mixed Classification],"&gt;0")</f>
        <v>0</v>
      </c>
      <c r="LD79" s="6">
        <f>COUNTIFS(Table65[Country],Tabela1[[#This Row],[Country]],Table65[Classification],"&gt;0")</f>
        <v>0</v>
      </c>
      <c r="LE79" s="6">
        <f>COUNTIFS(Table59[Country],Tabela1[[#This Row],[Country]],Table59[Classification],"&gt;0")</f>
        <v>0</v>
      </c>
      <c r="LF79" s="6">
        <f>COUNTIFS(Table87[Country],Tabela1[[#This Row],[Country]],Table87[Mixed Relay Classification],"&gt;0")</f>
        <v>0</v>
      </c>
      <c r="LG79" s="6">
        <f>COUNTIFS(Table91949698100[Country],Tabela1[[#This Row],[Country]],Table91949698100[Men''s Classification],"&gt;0")</f>
        <v>0</v>
      </c>
      <c r="LH79" s="6">
        <f>COUNTIFS(Table91949698100[Country],Tabela1[[#This Row],[Country]],Table91949698100[Women''s Classification],"&gt;0")</f>
        <v>0</v>
      </c>
      <c r="LI79" s="6">
        <f>COUNTIFS(Table91949698100102[Country],Tabela1[[#This Row],[Country]],Table91949698100102[Men''s Classification],"&gt;0")</f>
        <v>0</v>
      </c>
      <c r="LJ79" s="6">
        <f>COUNTIFS(Table91949698100102[Country],Tabela1[[#This Row],[Country]],Table91949698100102[Women''s Classification],"&gt;0")</f>
        <v>0</v>
      </c>
      <c r="LK79" s="6">
        <f>COUNTIFS(Table23[Country],Tabela1[[#This Row],[Country]],Table23[61kg Classification],"&gt;0")</f>
        <v>0</v>
      </c>
      <c r="LL79" s="6">
        <f>COUNTIFS(Table23[Country],Tabela1[[#This Row],[Country]],Table23[73kg Classification],"&gt;0")</f>
        <v>0</v>
      </c>
      <c r="LM79" s="6">
        <f>COUNTIFS(Table23[Country],Tabela1[[#This Row],[Country]],Table23[89kg Classification],"&gt;0")</f>
        <v>0</v>
      </c>
      <c r="LN79" s="6">
        <f>COUNTIFS(Table23[Country],Tabela1[[#This Row],[Country]],Table23[102kg Classification],"&gt;0")</f>
        <v>0</v>
      </c>
      <c r="LO79" s="6">
        <f>COUNTIFS(Table23[Country],Tabela1[[#This Row],[Country]],Table23[Plus 102kg Classification],"&gt;0")</f>
        <v>0</v>
      </c>
      <c r="LP79" s="6">
        <f>COUNTIFS(Table28[Country],Tabela1[[#This Row],[Country]],Table28[49kg Classification],"&gt;0")</f>
        <v>0</v>
      </c>
      <c r="LQ79" s="6">
        <f>COUNTIFS(Table28[Country],Tabela1[[#This Row],[Country]],Table28[59kg Classification],"&gt;0")</f>
        <v>0</v>
      </c>
      <c r="LR79" s="6">
        <f>COUNTIFS(Table28[Country],Tabela1[[#This Row],[Country]],Table28[71kg Classification],"&gt;0")</f>
        <v>0</v>
      </c>
      <c r="LS79" s="6">
        <f>COUNTIFS(Table28[Country],Tabela1[[#This Row],[Country]],Table28[81kg Classification],"&gt;0")</f>
        <v>0</v>
      </c>
      <c r="LT79" s="6">
        <f>COUNTIFS(Table28[Country],Tabela1[[#This Row],[Country]],Table28[Plus 81kg Classification],"&gt;0")</f>
        <v>0</v>
      </c>
      <c r="LU79" s="6">
        <f>COUNTIFS(Table24[Country],Tabela1[[#This Row],[Country]],Table24[Freestyle 57kg Classification],"&gt;0")</f>
        <v>0</v>
      </c>
      <c r="LV79" s="6">
        <f>COUNTIFS(Table24[Country],Tabela1[[#This Row],[Country]],Table24[Freestyle 65kg Classification],"&gt;0")</f>
        <v>0</v>
      </c>
      <c r="LW79" s="6">
        <f>COUNTIFS(Table24[Country],Tabela1[[#This Row],[Country]],Table24[Freestyle 74kg Classification],"&gt;0")</f>
        <v>0</v>
      </c>
      <c r="LX79" s="6">
        <f>COUNTIFS(Table24[Country],Tabela1[[#This Row],[Country]],Table24[Freestyle 86kg Classification],"&gt;0")</f>
        <v>0</v>
      </c>
      <c r="LY79" s="6">
        <f>COUNTIFS(Table24[Country],Tabela1[[#This Row],[Country]],Table24[Freestyle 97kg Classification],"&gt;0")</f>
        <v>0</v>
      </c>
      <c r="LZ79" s="6">
        <f>COUNTIFS(Table24[Country],Tabela1[[#This Row],[Country]],Table24[Freestyle 125kg Classification],"&gt;0")</f>
        <v>0</v>
      </c>
      <c r="MA79" s="6">
        <f>COUNTIFS(Table24[Country],Tabela1[[#This Row],[Country]],Table24[Greco-Roman 60kg Classification],"&gt;0")</f>
        <v>0</v>
      </c>
      <c r="MB79" s="6">
        <f>COUNTIFS(Table24[Country],Tabela1[[#This Row],[Country]],Table24[Greco-Roman 67kg Classification],"&gt;0")</f>
        <v>0</v>
      </c>
      <c r="MC79" s="6">
        <f>COUNTIFS(Table24[Country],Tabela1[[#This Row],[Country]],Table24[Greco-Roman 77kg Classification],"&gt;0")</f>
        <v>0</v>
      </c>
      <c r="MD79" s="6">
        <f>COUNTIFS(Table24[Country],Tabela1[[#This Row],[Country]],Table24[Greco-Roman 87kg Classification],"&gt;0")</f>
        <v>0</v>
      </c>
      <c r="ME79" s="6">
        <f>COUNTIFS(Table24[Country],Tabela1[[#This Row],[Country]],Table24[Greco-Roman 97kg Classification],"&gt;0")</f>
        <v>0</v>
      </c>
      <c r="MF79" s="6">
        <f>COUNTIFS(Table24[Country],Tabela1[[#This Row],[Country]],Table24[Greco-Roman 130kg Classification],"&gt;0")</f>
        <v>0</v>
      </c>
      <c r="MG79" s="6">
        <f>COUNTIFS(Table31[Country],Tabela1[[#This Row],[Country]],Table31[50kg Classification],"&gt;0")</f>
        <v>0</v>
      </c>
      <c r="MH79" s="6">
        <f>COUNTIFS(Table31[Country],Tabela1[[#This Row],[Country]],Table31[53kg Classification],"&gt;0")</f>
        <v>0</v>
      </c>
      <c r="MI79" s="6">
        <f>COUNTIFS(Table31[Country],Tabela1[[#This Row],[Country]],Table31[57kg Classification],"&gt;0")</f>
        <v>0</v>
      </c>
      <c r="MJ79" s="6">
        <f>COUNTIFS(Table31[Country],Tabela1[[#This Row],[Country]],Table31[62kg Classification],"&gt;0")</f>
        <v>0</v>
      </c>
      <c r="MK79" s="6">
        <f>COUNTIFS(Table31[Country],Tabela1[[#This Row],[Country]],Table31[68kg Classification],"&gt;0")</f>
        <v>0</v>
      </c>
      <c r="ML79" s="6">
        <f>COUNTIFS(Table31[Country],Tabela1[[#This Row],[Country]],Table31[76kg Classification],"&gt;0")</f>
        <v>0</v>
      </c>
      <c r="MM79" s="6">
        <f>COUNTIFS(Table102[Country],Tabela1[[#This Row],[Country]],Table102[Downhill Classification],"&gt;0")</f>
        <v>0</v>
      </c>
      <c r="MN79" s="6">
        <f>COUNTIFS(Table102105[Country],Tabela1[[#This Row],[Country]],Table102105[Downhill Classification],"&gt;0")</f>
        <v>0</v>
      </c>
      <c r="MO79" s="6">
        <f>COUNTIFS(Table102[Country],Tabela1[[#This Row],[Country]],Table102[Giant Slalom Classification],"&gt;0")</f>
        <v>0</v>
      </c>
      <c r="MP79" s="6">
        <f>COUNTIFS(Table102105[Country],Tabela1[[#This Row],[Country]],Table102105[Giant Slalom Classification],"&gt;0")</f>
        <v>0</v>
      </c>
      <c r="MQ79" s="6">
        <f>COUNTIFS(Table102[Country],Tabela1[[#This Row],[Country]],Table102[Slalom Classification],"&gt;0")</f>
        <v>0</v>
      </c>
      <c r="MR79" s="6">
        <f>COUNTIFS(Table102105[Country],Tabela1[[#This Row],[Country]],Table102105[Slalom Classification],"&gt;0")</f>
        <v>0</v>
      </c>
      <c r="MS79" s="6">
        <f>COUNTIFS(Table102[Country],Tabela1[[#This Row],[Country]],Table102[Super-G Classification],"&gt;0")</f>
        <v>0</v>
      </c>
      <c r="MT79" s="6">
        <f>COUNTIFS(Table102105[Country],Tabela1[[#This Row],[Country]],Table102105[Super-G Classification],"&gt;0")</f>
        <v>0</v>
      </c>
      <c r="MU79" s="6">
        <f>COUNTIFS(Table105[Country],Tabela1[[#This Row],[Country]],Table105[Men''s Combined Classification],"&gt;0")</f>
        <v>0</v>
      </c>
      <c r="MV79" s="6">
        <f>COUNTIFS(Table105[Country],Tabela1[[#This Row],[Country]],Table105[Women''s Combined Classification],"&gt;0")</f>
        <v>0</v>
      </c>
      <c r="MW79" s="6">
        <f>COUNTIFS(Table106[Country],Tabela1[[#This Row],[Country]],Table106[Individual Classification],"&gt;0")</f>
        <v>0</v>
      </c>
      <c r="MX79" s="6">
        <f>COUNTIFS(Table106109[Country],Tabela1[[#This Row],[Country]],Table106109[Individual Classification],"&gt;0")</f>
        <v>0</v>
      </c>
      <c r="MY79" s="6">
        <f>COUNTIFS(Table106[Country],Tabela1[[#This Row],[Country]],Table106[Mass Start Classification],"&gt;0")</f>
        <v>0</v>
      </c>
      <c r="MZ79" s="6">
        <f>COUNTIFS(Table106109[Country],Tabela1[[#This Row],[Country]],Table106109[Mass Start Classification],"&gt;0")</f>
        <v>0</v>
      </c>
      <c r="NA79" s="6">
        <f>COUNTIFS(Table106[Country],Tabela1[[#This Row],[Country]],Table106[Pursuit Classification],"&gt;0")</f>
        <v>0</v>
      </c>
      <c r="NB79" s="6">
        <f>COUNTIFS(Table106109[Country],Tabela1[[#This Row],[Country]],Table106109[Pursuit Classification],"&gt;0")</f>
        <v>0</v>
      </c>
      <c r="NC79" s="6">
        <f>COUNTIFS(Table106[Country],Tabela1[[#This Row],[Country]],Table106[Sprint Classification],"&gt;0")</f>
        <v>0</v>
      </c>
      <c r="ND79" s="6">
        <f>COUNTIFS(Table106109[Country],Tabela1[[#This Row],[Country]],Table106109[Sprint Classification],"&gt;0")</f>
        <v>0</v>
      </c>
      <c r="NE79" s="6">
        <f>COUNTIFS(Table109[Country],Tabela1[[#This Row],[Country]],Table109[Men''s Relay Classification],"&gt;0")</f>
        <v>0</v>
      </c>
      <c r="NF79" s="6">
        <f>COUNTIFS(Table109[Country],Tabela1[[#This Row],[Country]],Table109[Women''s Relay Classification],"&gt;0")</f>
        <v>0</v>
      </c>
      <c r="NG79" s="6">
        <f>COUNTIFS(Table109[Country],Tabela1[[#This Row],[Country]],Table109[Mixed Relay Classification],"&gt;0")</f>
        <v>0</v>
      </c>
      <c r="NH79" s="6">
        <f>COUNTIFS(Table110[Country],Tabela1[[#This Row],[Country]],Table110[Monobob Classification],"&gt;0")</f>
        <v>0</v>
      </c>
      <c r="NI79" s="6">
        <f>COUNTIFS(Table111[Country],Tabela1[[#This Row],[Country]],Table111[Men''s Classification],"&gt;0")</f>
        <v>0</v>
      </c>
      <c r="NJ79" s="6">
        <f>COUNTIFS(Table111[Country],Tabela1[[#This Row],[Country]],Table111[Women''s Classification],"&gt;0")</f>
        <v>0</v>
      </c>
      <c r="NK79" s="6">
        <f>COUNTIFS(Table112[Country],Tabela1[[#This Row],[Country]],Table112[Men''s Four Classification],"&gt;0")</f>
        <v>0</v>
      </c>
      <c r="NL79" s="6">
        <f>COUNTIFS(Table113[Country],Tabela1[[#This Row],[Country]],Table113[Classical Classification],"&gt;0")</f>
        <v>0</v>
      </c>
      <c r="NM79" s="6">
        <f>COUNTIFS(Table113116[Country],Tabela1[[#This Row],[Country]],Table113116[Classical Classification],"&gt;0")</f>
        <v>0</v>
      </c>
      <c r="NN79" s="6">
        <f>COUNTIFS(Table113[Country],Tabela1[[#This Row],[Country]],Table113[Freestyle Classification],"&gt;0")</f>
        <v>0</v>
      </c>
      <c r="NO79" s="6">
        <f>COUNTIFS(Table113116[Country],Tabela1[[#This Row],[Country]],Table113116[Freestyle Classification],"&gt;0")</f>
        <v>0</v>
      </c>
      <c r="NP79" s="6">
        <f>COUNTIFS(Table117[Country],Tabela1[[#This Row],[Country]],Table117[Men''s Relay Classification],"&gt;0")</f>
        <v>0</v>
      </c>
      <c r="NQ79" s="6">
        <f>COUNTIFS(Table117[Country],Tabela1[[#This Row],[Country]],Table117[Women''s Relay Classification],"&gt;0")</f>
        <v>0</v>
      </c>
      <c r="NR79" s="6">
        <f>COUNTIFS(Table113[Country],Tabela1[[#This Row],[Country]],Table113[Skiathlon Classification],"&gt;0")</f>
        <v>0</v>
      </c>
      <c r="NS79" s="6">
        <f>COUNTIFS(Table113116[Country],Tabela1[[#This Row],[Country]],Table113116[Skiathlon Classification],"&gt;0")</f>
        <v>0</v>
      </c>
      <c r="NT79" s="6">
        <f>COUNTIFS(Table113[Country],Tabela1[[#This Row],[Country]],Table113[Sprint Classification],"&gt;0")</f>
        <v>0</v>
      </c>
      <c r="NU79" s="6">
        <f>COUNTIFS(Table113116[Country],Tabela1[[#This Row],[Country]],Table113116[Sprint Classification],"&gt;0")</f>
        <v>0</v>
      </c>
      <c r="NV79" s="6">
        <f>COUNTIFS(Table116[Country],Tabela1[[#This Row],[Country]],Table116[Men''s Team Sprint Classification],"&gt;0")</f>
        <v>0</v>
      </c>
      <c r="NW79" s="6">
        <f>COUNTIFS(Table116[Country],Tabela1[[#This Row],[Country]],Table116[Women''s Team Sprint Classification],"&gt;0")</f>
        <v>0</v>
      </c>
      <c r="NX79" s="6">
        <f>COUNTIFS(Table119[Country],Tabela1[[#This Row],[Country]],Table119[Men''s Classification],"&gt;0")</f>
        <v>0</v>
      </c>
      <c r="NY79" s="6">
        <f>COUNTIFS(Table119[Country],Tabela1[[#This Row],[Country]],Table119[Women''s Classification],"&gt;0")</f>
        <v>0</v>
      </c>
      <c r="NZ79" s="6">
        <f>COUNTIFS(Table118[Country],Tabela1[[#This Row],[Country]],Table118[Mixed Classification],"&gt;0")</f>
        <v>0</v>
      </c>
      <c r="OA79" s="6">
        <f>COUNTIFS(Table120[Country],Tabela1[[#This Row],[Country]],Table120[Classification],"&gt;0")</f>
        <v>0</v>
      </c>
      <c r="OB79" s="6">
        <f>COUNTIFS(Table120123[Country],Tabela1[[#This Row],[Country]],Table120123[Classification],"&gt;0")</f>
        <v>0</v>
      </c>
      <c r="OC79" s="6">
        <f>COUNTIFS(Table123[Country],Tabela1[[#This Row],[Country]],Table123[Ice Dance Classification],"&gt;0")</f>
        <v>0</v>
      </c>
      <c r="OD79" s="6">
        <f>COUNTIFS(Table123[Country],Tabela1[[#This Row],[Country]],Table123[Pair Skating Classification],"&gt;0")</f>
        <v>0</v>
      </c>
      <c r="OE79" s="6">
        <f>COUNTIFS(Table124[Country],Tabela1[[#This Row],[Country]],Table124[Mixed Classification],"&gt;0")</f>
        <v>0</v>
      </c>
      <c r="OF79" s="6">
        <f>COUNTIFS(Table125[Country],Tabela1[[#This Row],[Country]],Table125[Aerials Classification],"&gt;0")</f>
        <v>0</v>
      </c>
      <c r="OG79" s="6">
        <f>COUNTIFS(Table125128[Country],Tabela1[[#This Row],[Country]],Table125128[Aerials Classification],"&gt;0")</f>
        <v>0</v>
      </c>
      <c r="OH79" s="6">
        <f>COUNTIFS(Table128[Country],Tabela1[[#This Row],[Country]],Table128[Mixed Aerials Classification],"&gt;0")</f>
        <v>0</v>
      </c>
      <c r="OI79" s="6">
        <f>COUNTIFS(Table125[Country],Tabela1[[#This Row],[Country]],Table125[Big Air Classification],"&gt;0")</f>
        <v>0</v>
      </c>
      <c r="OJ79" s="6">
        <f>COUNTIFS(Table125128[Country],Tabela1[[#This Row],[Country]],Table125128[Big Air Classification],"&gt;0")</f>
        <v>0</v>
      </c>
      <c r="OK79" s="6">
        <f>COUNTIFS(Table125[Country],Tabela1[[#This Row],[Country]],Table125[Dual Moguls Classification],"&gt;0")</f>
        <v>0</v>
      </c>
      <c r="OL79" s="6">
        <f>COUNTIFS(Table125128[Country],Tabela1[[#This Row],[Country]],Table125128[Dual Moguls Classification],"&gt;0")</f>
        <v>0</v>
      </c>
      <c r="OM79" s="6">
        <f>COUNTIFS(Table125[Country],Tabela1[[#This Row],[Country]],Table125[Halfpipe Classification],"&gt;0")</f>
        <v>0</v>
      </c>
      <c r="ON79" s="6">
        <f>COUNTIFS(Table125128[Country],Tabela1[[#This Row],[Country]],Table125128[Halfpipe Classification],"&gt;0")</f>
        <v>0</v>
      </c>
      <c r="OO79" s="6">
        <f>COUNTIFS(Table125[Country],Tabela1[[#This Row],[Country]],Table125[Moguls Classification],"&gt;0")</f>
        <v>0</v>
      </c>
      <c r="OP79" s="6">
        <f>COUNTIFS(Table125128[Country],Tabela1[[#This Row],[Country]],Table125128[Moguls Classification],"&gt;0")</f>
        <v>0</v>
      </c>
      <c r="OQ79" s="6">
        <f>COUNTIFS(Table125[Country],Tabela1[[#This Row],[Country]],Table125[Ski Cross Classification],"&gt;0")</f>
        <v>0</v>
      </c>
      <c r="OR79" s="6">
        <f>COUNTIFS(Table125128[Country],Tabela1[[#This Row],[Country]],Table125128[Ski Cross Classification],"&gt;0")</f>
        <v>0</v>
      </c>
      <c r="OS79" s="6">
        <f>COUNTIFS(Table125[Country],Tabela1[[#This Row],[Country]],Table125[Slopestyle Classification],"&gt;0")</f>
        <v>0</v>
      </c>
      <c r="OT79" s="6">
        <f>COUNTIFS(Table125128[Country],Tabela1[[#This Row],[Country]],Table125128[Slopestyle Classification],"&gt;0")</f>
        <v>0</v>
      </c>
      <c r="OU79" s="6">
        <f>COUNTIFS(Table119131[Country],Tabela1[[#This Row],[Country]],Table119131[Men''s Classification],"&gt;0")</f>
        <v>0</v>
      </c>
      <c r="OV79" s="6">
        <f>COUNTIFS(Table119131[Country],Tabela1[[#This Row],[Country]],Table119131[Women''s Classification],"&gt;0")</f>
        <v>0</v>
      </c>
      <c r="OW79" s="6">
        <f>COUNTIFS(Table131[Country],Tabela1[[#This Row],[Country]],Table131[Classification],"&gt;0")</f>
        <v>0</v>
      </c>
      <c r="OX79" s="6">
        <f>COUNTIFS(Table131134[Country],Tabela1[[#This Row],[Country]],Table131134[Classification],"&gt;0")</f>
        <v>0</v>
      </c>
      <c r="OY79" s="6">
        <f>COUNTIFS(Table134[Country],Tabela1[[#This Row],[Country]],Table134[Men''s Classification],"&gt;0")</f>
        <v>0</v>
      </c>
      <c r="OZ79" s="6">
        <f>COUNTIFS(Table134[Country],Tabela1[[#This Row],[Country]],Table134[Women''s Classification],"&gt;0")</f>
        <v>0</v>
      </c>
      <c r="PA79" s="6">
        <f>COUNTIFS(Table135[Country],Tabela1[[#This Row],[Country]],Table135[Mixed Relay Classification],"&gt;0")</f>
        <v>0</v>
      </c>
      <c r="PB79" s="6">
        <f>COUNTIFS(Table136[Country],Tabela1[[#This Row],[Country]],Table136[Individual Classification],"&gt;0")</f>
        <v>0</v>
      </c>
      <c r="PC79" s="6">
        <f>COUNTIFS(Table136[Country],Tabela1[[#This Row],[Country]],Table136[Sprint Classification],"&gt;0")</f>
        <v>0</v>
      </c>
      <c r="PD79" s="6">
        <f>COUNTIFS(Table137[Country],Tabela1[[#This Row],[Country]],Table137[Men''s Team Sprint Large Hill Classification],"&gt;0")</f>
        <v>0</v>
      </c>
      <c r="PE79" s="6">
        <f>COUNTIFS(Table138[Country],Tabela1[[#This Row],[Country]],Table138[500m Classification],"&gt;0")</f>
        <v>0</v>
      </c>
      <c r="PF79" s="6">
        <f>COUNTIFS(Table138141[Country],Tabela1[[#This Row],[Country]],Table138141[500m Classification],"&gt;0")</f>
        <v>0</v>
      </c>
      <c r="PG79" s="6">
        <f>COUNTIFS(Table138[Country],Tabela1[[#This Row],[Country]],Table138[1000m Classification],"&gt;0")</f>
        <v>0</v>
      </c>
      <c r="PH79" s="6">
        <f>COUNTIFS(Table138141[Country],Tabela1[[#This Row],[Country]],Table138141[1000m Classification],"&gt;0")</f>
        <v>0</v>
      </c>
      <c r="PI79" s="6">
        <f>COUNTIFS(Table138[Country],Tabela1[[#This Row],[Country]],Table138[1500m Classification],"&gt;0")</f>
        <v>0</v>
      </c>
      <c r="PJ79" s="6">
        <f>COUNTIFS(Table138141[Country],Tabela1[[#This Row],[Country]],Table138141[1500m Classification],"&gt;0")</f>
        <v>0</v>
      </c>
      <c r="PK79" s="6">
        <f>COUNTIFS(Table141[Country],Tabela1[[#This Row],[Country]],Table141[Men''s 5000m Relay Classification],"&gt;0")</f>
        <v>0</v>
      </c>
      <c r="PL79" s="6">
        <f>COUNTIFS(Table141[Country],Tabela1[[#This Row],[Country]],Table141[Women''s 3000m Relay Classification],"&gt;0")</f>
        <v>0</v>
      </c>
      <c r="PM79" s="6">
        <f>COUNTIFS(Table141[Country],Tabela1[[#This Row],[Country]],Table141[Mixed 2000m Relay Classification],"&gt;0")</f>
        <v>0</v>
      </c>
      <c r="PN79" s="6">
        <f>COUNTIFS(Table142[Country],Tabela1[[#This Row],[Country]],Table142[Classification],"&gt;0")</f>
        <v>0</v>
      </c>
      <c r="PO79" s="6">
        <f>COUNTIFS(Table142145[Country],Tabela1[[#This Row],[Country]],Table142145[Classification],"&gt;0")</f>
        <v>0</v>
      </c>
      <c r="PP79" s="6">
        <f>COUNTIFS(Tabela15[Country],Tabela1[[#This Row],[Country]],Tabela15[Mixed Team Classification],"&gt;0")</f>
        <v>0</v>
      </c>
      <c r="PQ79" s="6">
        <f>COUNTIFS(Table145[Country],Tabela1[[#This Row],[Country]],Table145[Large Hill Classification],"&gt;0")</f>
        <v>0</v>
      </c>
      <c r="PR79" s="6">
        <f>COUNTIFS(Table145[Country],Tabela1[[#This Row],[Country]],Table145[Normal Hill Classification],"&gt;0")</f>
        <v>0</v>
      </c>
      <c r="PS79" s="6">
        <f>COUNTIFS(Table145148[Country],Tabela1[[#This Row],[Country]],Table145148[Large Hill Classification],"&gt;0")</f>
        <v>0</v>
      </c>
      <c r="PT79" s="6">
        <f>COUNTIFS(Table145148[Country],Tabela1[[#This Row],[Country]],Table145148[Normal Hill Classification],"&gt;0")</f>
        <v>0</v>
      </c>
      <c r="PU79" s="6">
        <f>COUNTIFS(Table148[Country],Tabela1[[#This Row],[Country]],Table148[Men''s Super Team Classification],"&gt;0")</f>
        <v>0</v>
      </c>
      <c r="PV79" s="6">
        <f>COUNTIFS(Tabela114[Country],Tabela1[[#This Row],[Country]],Tabela114[Mixed Normal Hill Classification],"&gt;0")</f>
        <v>0</v>
      </c>
      <c r="PW79" s="6">
        <f>COUNTIFS(Tabela50[Country],Tabela1[[#This Row],[Country]],Tabela50[Sprint Classification],"&gt;0")</f>
        <v>0</v>
      </c>
      <c r="PX79" s="6">
        <f>COUNTIFS(Tabela50101[Country],Tabela1[[#This Row],[Country]],Tabela50101[Sprint Classification],"&gt;0")</f>
        <v>0</v>
      </c>
      <c r="PY79" s="6">
        <f>COUNTIFS(Tabela103[Country],Tabela1[[#This Row],[Country]],Tabela103[Mixed Relay Classification],"&gt;0")</f>
        <v>0</v>
      </c>
      <c r="PZ79" s="6">
        <f>COUNTIFS(Table149[Country],Tabela1[[#This Row],[Country]],Table149[Big Air Classification],"&gt;0")</f>
        <v>0</v>
      </c>
      <c r="QA79" s="6">
        <f>COUNTIFS(Table149152[Country],Tabela1[[#This Row],[Country]],Table149152[Big Air Classification],"&gt;0")</f>
        <v>0</v>
      </c>
      <c r="QB79" s="6">
        <f>COUNTIFS(Table149[Country],Tabela1[[#This Row],[Country]],Table149[Halfpipe Classification],"&gt;0")</f>
        <v>0</v>
      </c>
      <c r="QC79" s="6">
        <f>COUNTIFS(Table149152[Country],Tabela1[[#This Row],[Country]],Table149152[Halfpipe Classification],"&gt;0")</f>
        <v>0</v>
      </c>
      <c r="QD79" s="6">
        <f>COUNTIFS(Table149[Country],Tabela1[[#This Row],[Country]],Table149[Parallel Giant Slalom Classification],"&gt;0")</f>
        <v>0</v>
      </c>
      <c r="QE79" s="6">
        <f>COUNTIFS(Table149152[Country],Tabela1[[#This Row],[Country]],Table149152[Parallel Giant Slalom Classification],"&gt;0")</f>
        <v>0</v>
      </c>
      <c r="QF79" s="6">
        <f>COUNTIFS(Table149[Country],Tabela1[[#This Row],[Country]],Table149[Slopestyle Classification],"&gt;0")</f>
        <v>0</v>
      </c>
      <c r="QG79" s="6">
        <f>COUNTIFS(Table149152[Country],Tabela1[[#This Row],[Country]],Table149152[Slopestyle Classification],"&gt;0")</f>
        <v>0</v>
      </c>
      <c r="QH79" s="6">
        <f>COUNTIFS(Table149[Country],Tabela1[[#This Row],[Country]],Table149[Snowboard Cross Classification],"&gt;0")</f>
        <v>0</v>
      </c>
      <c r="QI79" s="6">
        <f>COUNTIFS(Table149152[Country],Tabela1[[#This Row],[Country]],Table149152[Snowboard Cross Classification],"&gt;0")</f>
        <v>0</v>
      </c>
      <c r="QJ79" s="6">
        <f>COUNTIFS(Table153[Country],Tabela1[[#This Row],[Country]],Table153[Mixed Team Snowboard Cross Classification],"&gt;0")</f>
        <v>0</v>
      </c>
      <c r="QK79" s="6">
        <f>COUNTIFS(Table154[Country],Tabela1[[#This Row],[Country]],Table154[500m Classification],"&gt;0")</f>
        <v>0</v>
      </c>
      <c r="QL79" s="6">
        <f>COUNTIFS(Table154157[Country],Tabela1[[#This Row],[Country]],Table154157[500m Classification],"&gt;0")</f>
        <v>0</v>
      </c>
      <c r="QM79" s="6">
        <f>COUNTIFS(Table154[Country],Tabela1[[#This Row],[Country]],Table154[1000m Classification],"&gt;0")</f>
        <v>0</v>
      </c>
      <c r="QN79" s="6">
        <f>COUNTIFS(Table154157[Country],Tabela1[[#This Row],[Country]],Table154157[1000m Classification],"&gt;0")</f>
        <v>0</v>
      </c>
      <c r="QO79" s="6">
        <f>COUNTIFS(Table154[Country],Tabela1[[#This Row],[Country]],Table154[1500m Classification],"&gt;0")</f>
        <v>0</v>
      </c>
      <c r="QP79" s="6">
        <f>COUNTIFS(Table154157[Country],Tabela1[[#This Row],[Country]],Table154157[1500m Classification],"&gt;0")</f>
        <v>0</v>
      </c>
      <c r="QQ79" s="6">
        <f>COUNTIFS(Table154157[Country],Tabela1[[#This Row],[Country]],Table154157[3000m Classification],"&gt;0")</f>
        <v>0</v>
      </c>
      <c r="QR79" s="6">
        <f>COUNTIFS(Table154[Country],Tabela1[[#This Row],[Country]],Table154[5000m Classification],"&gt;0")</f>
        <v>0</v>
      </c>
      <c r="QS79" s="6">
        <f>COUNTIFS(Table154157[Country],Tabela1[[#This Row],[Country]],Table154157[5000m Classification],"&gt;0")</f>
        <v>0</v>
      </c>
      <c r="QT79" s="6">
        <f>COUNTIFS(Table154[Country],Tabela1[[#This Row],[Country]],Table154[10000m Classification],"&gt;0")</f>
        <v>0</v>
      </c>
      <c r="QU79" s="6">
        <f>COUNTIFS(Table154[Country],Tabela1[[#This Row],[Country]],Table154[Mass Start Classification],"&gt;0")</f>
        <v>0</v>
      </c>
      <c r="QV79" s="6">
        <f>COUNTIFS(Table154157[Country],Tabela1[[#This Row],[Country]],Table154157[Mass Start Classification],"&gt;0")</f>
        <v>0</v>
      </c>
      <c r="QW79" s="6">
        <f>COUNTIFS(Table157[Country],Tabela1[[#This Row],[Country]],Table157[Men''s Pursuit Classification],"&gt;0")</f>
        <v>0</v>
      </c>
      <c r="QX79" s="6">
        <f>COUNTIFS(Table157[Country],Tabela1[[#This Row],[Country]],Table157[Women''s Pursuit Classification],"&gt;0")</f>
        <v>0</v>
      </c>
      <c r="QY79" s="4" t="s">
        <v>435</v>
      </c>
    </row>
    <row r="80" spans="1:467" x14ac:dyDescent="0.3">
      <c r="A80" s="6">
        <v>79</v>
      </c>
      <c r="B80" s="6" t="s">
        <v>422</v>
      </c>
      <c r="C80" t="e" vm="79">
        <f>IF(ISBLANK(Tabela1[[#This Row],[Image Link]]), "", _xlfn.IMAGE(Tabela1[[#This Row],[Image Link]],1,1))</f>
        <v>#VALUE!</v>
      </c>
      <c r="D80" s="6">
        <f>SUM(Tabela1[[#This Row],[Archery - Men''s Individual Recurve]:[Speed Skating - Women''s Team Pursuit]])</f>
        <v>6</v>
      </c>
      <c r="E80" s="6">
        <f>COUNTIF(Tabela1[[#This Row],[Archery - Men''s Individual Recurve]:[Speed Skating - Women''s Team Pursuit]],"&gt;0")</f>
        <v>6</v>
      </c>
      <c r="F80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Winter Olympics</v>
      </c>
      <c r="G80" s="6">
        <f>SUM(Tabela1[[#This Row],[Archery - Men''s Individual Recurve]:[Wrestling - Women''s Freestyle 76kg]])</f>
        <v>2</v>
      </c>
      <c r="H80" s="6">
        <f>SUM(Tabela1[[#This Row],[Alpine Skiing - Men''s Downhill]:[Speed Skating - Women''s Team Pursuit]])</f>
        <v>4</v>
      </c>
      <c r="I80" s="6">
        <f>Tabela1[[#This Row],[Summer Gold Medals]]+Tabela1[[#This Row],[Winter Gold Medals]]</f>
        <v>1</v>
      </c>
      <c r="J80" s="6">
        <f>Tabela1[[#This Row],[Summer Silver Medals]]+Tabela1[[#This Row],[Winter Silver Medals]]</f>
        <v>3</v>
      </c>
      <c r="K80" s="6">
        <f>Tabela1[[#This Row],[Summer Bronze Medals]]+Tabela1[[#This Row],[Winter Bronze Medals]]</f>
        <v>2</v>
      </c>
      <c r="L80" s="6">
        <f>SUM(Tabela1[[#This Row],[Total Gold Medals]:[Total Bronze Medals]])</f>
        <v>6</v>
      </c>
      <c r="M80" s="6">
        <v>1</v>
      </c>
      <c r="N80" s="6">
        <v>3</v>
      </c>
      <c r="O80" s="6">
        <v>2</v>
      </c>
      <c r="P80" s="6">
        <f>SUM(Tabela1[[#This Row],[Summer Gold Medals]:[Summer Bronze Medals]])</f>
        <v>6</v>
      </c>
      <c r="Q80" s="6"/>
      <c r="R80" s="6"/>
      <c r="S80" s="6"/>
      <c r="T80" s="6">
        <f>Tabela1[[#This Row],[Winter Gold Medals]]+Tabela1[[#This Row],[Winter Silver Medals]]+Tabela1[[#This Row],[Winter Bronze Medals]]</f>
        <v>0</v>
      </c>
      <c r="U80" s="7">
        <f>Tabela1[[#This Row],[Total Medals]]/Tabela1[[#This Row],[Total Quotas]]</f>
        <v>1</v>
      </c>
      <c r="V80" s="6">
        <f>COUNTIFS(Table3[Country],Tabela1[[#This Row],[Country]],Table3[Recurve Classification],"&gt;0")</f>
        <v>0</v>
      </c>
      <c r="W80" s="6">
        <f>COUNTIFS(Table33[Country],Tabela1[[#This Row],[Country]],Table33[Recurve Classification],"&gt;0")</f>
        <v>0</v>
      </c>
      <c r="X80" s="6">
        <f>COUNTIFS(Table35[Country],Tabela1[[#This Row],[Country]],Table35[Men''s Team Recurve Classification],"&gt;0")</f>
        <v>0</v>
      </c>
      <c r="Y80" s="6">
        <f>COUNTIFS(Table35[Country],Tabela1[[#This Row],[Country]],Table35[Women''s Team Recurve Classification],"&gt;0")</f>
        <v>0</v>
      </c>
      <c r="Z80" s="6">
        <f>COUNTIFS(Tabela88[Country],Tabela1[[#This Row],[Country]],Tabela88[Mixed Team Recurve Classification],"&gt;0")</f>
        <v>0</v>
      </c>
      <c r="AA80" s="6">
        <f>COUNTIFS(Table36[Country],Tabela1[[#This Row],[Country]],Table36[Classification],"&gt;0")</f>
        <v>0</v>
      </c>
      <c r="AB80" s="6">
        <f>COUNTIFS(Table37[Country],Tabela1[[#This Row],[Country]],Table37[Classification],"&gt;0")</f>
        <v>0</v>
      </c>
      <c r="AC80" s="6">
        <f>COUNTIFS(Table4[Country],Tabela1[[#This Row],[Country]],Table4[100m Classification],"&gt;0")</f>
        <v>0</v>
      </c>
      <c r="AD80" s="6">
        <f>COUNTIFS(Table5[Country],Tabela1[[#This Row],[Country]],Table5[100m Classification],"&gt;0")</f>
        <v>0</v>
      </c>
      <c r="AE80" s="6">
        <f>COUNTIFS(Table4[Country],Tabela1[[#This Row],[Country]],Table4[200m Classification],"&gt;0")</f>
        <v>0</v>
      </c>
      <c r="AF80" s="6">
        <f>COUNTIFS(Table5[Country],Tabela1[[#This Row],[Country]],Table5[200m Classification],"&gt;0")</f>
        <v>0</v>
      </c>
      <c r="AG80" s="6">
        <f>COUNTIFS(Table4[Country],Tabela1[[#This Row],[Country]],Table4[400m Classification],"&gt;0")</f>
        <v>0</v>
      </c>
      <c r="AH80" s="6">
        <f>COUNTIFS(Table5[Country],Tabela1[[#This Row],[Country]],Table5[400m Classification],"&gt;0")</f>
        <v>0</v>
      </c>
      <c r="AI80" s="6">
        <f>COUNTIFS(Table4[Country],Tabela1[[#This Row],[Country]],Table4[800m Classification],"&gt;0")</f>
        <v>0</v>
      </c>
      <c r="AJ80" s="6">
        <f>COUNTIFS(Table5[Country],Tabela1[[#This Row],[Country]],Table5[800m Classification],"&gt;0")</f>
        <v>0</v>
      </c>
      <c r="AK80" s="6">
        <f>COUNTIFS(Table4[Country],Tabela1[[#This Row],[Country]],Table4[1500m Classification],"&gt;0")</f>
        <v>0</v>
      </c>
      <c r="AL80" s="6">
        <f>COUNTIFS(Table5[Country],Tabela1[[#This Row],[Country]],Table5[1500m Classification],"&gt;0")</f>
        <v>0</v>
      </c>
      <c r="AM80" s="6">
        <f>COUNTIFS(Table4[Country],Tabela1[[#This Row],[Country]],Table4[5000m Classification],"&gt;0")</f>
        <v>0</v>
      </c>
      <c r="AN80" s="6">
        <f>COUNTIFS(Table5[Country],Tabela1[[#This Row],[Country]],Table5[5000m Classification],"&gt;0")</f>
        <v>0</v>
      </c>
      <c r="AO80" s="6">
        <f>COUNTIFS(Table4[Country],Tabela1[[#This Row],[Country]],Table4[10000m Classification],"&gt;0")</f>
        <v>0</v>
      </c>
      <c r="AP80" s="6">
        <f>COUNTIFS(Table5[Country],Tabela1[[#This Row],[Country]],Table5[10000m Classification],"&gt;0")</f>
        <v>0</v>
      </c>
      <c r="AQ80" s="6">
        <f>COUNTIFS(Table4[Country],Tabela1[[#This Row],[Country]],Table4[110m Hurdles Classification],"&gt;0")</f>
        <v>0</v>
      </c>
      <c r="AR80" s="6">
        <f>COUNTIFS(Table5[Country],Tabela1[[#This Row],[Country]],Table5[100m Hurdles Classification],"&gt;0")</f>
        <v>0</v>
      </c>
      <c r="AS80" s="6">
        <f>COUNTIFS(Table4[Country],Tabela1[[#This Row],[Country]],Table4[400m Hurdles Classification],"&gt;0")</f>
        <v>0</v>
      </c>
      <c r="AT80" s="6">
        <f>COUNTIFS(Table5[Country],Tabela1[[#This Row],[Country]],Table5[400m Hurdles Classification],"&gt;0")</f>
        <v>0</v>
      </c>
      <c r="AU80" s="6">
        <f>COUNTIFS(Table4[Country],Tabela1[[#This Row],[Country]],Table4[3000m Steeplechase Classification],"&gt;0")</f>
        <v>0</v>
      </c>
      <c r="AV80" s="6">
        <f>COUNTIFS(Table5[Country],Tabela1[[#This Row],[Country]],Table5[3000m Steeplechase Classification],"&gt;0")</f>
        <v>0</v>
      </c>
      <c r="AW80" s="6">
        <f>COUNTIFS(Table27[Country],Tabela1[[#This Row],[Country]],Table27[Men''s 4x100m Relay Classification],"&gt;0")</f>
        <v>0</v>
      </c>
      <c r="AX80" s="6">
        <f>COUNTIFS(Table27[Country],Tabela1[[#This Row],[Country]],Table27[Women''s 4x100m Relay Classification],"&gt;0")</f>
        <v>0</v>
      </c>
      <c r="AY80" s="6">
        <f>COUNTIFS(Table27[Country],Tabela1[[#This Row],[Country]],Table27[Men''s 4x400m Relay Classification],"&gt;0")</f>
        <v>0</v>
      </c>
      <c r="AZ80" s="6">
        <f>COUNTIFS(Table27[Country],Tabela1[[#This Row],[Country]],Table27[Women''s 4x400m Relay Classification],"&gt;0")</f>
        <v>0</v>
      </c>
      <c r="BA80" s="6">
        <f>COUNTIFS(Table27[Country],Tabela1[[#This Row],[Country]],Table27[Mixed 4x400m Relay Classification],"&gt;0")</f>
        <v>0</v>
      </c>
      <c r="BB80" s="6">
        <f>COUNTIFS(Table4[Country],Tabela1[[#This Row],[Country]],Table4[Marathon Classification],"&gt;0")</f>
        <v>0</v>
      </c>
      <c r="BC80" s="6">
        <f>COUNTIFS(Table5[Country],Tabela1[[#This Row],[Country]],Table5[Marathon Classification],"&gt;0")</f>
        <v>0</v>
      </c>
      <c r="BD80" s="6">
        <f>COUNTIFS(Table4[Country],Tabela1[[#This Row],[Country]],Table4[20km Race Walk Classification],"&gt;0")</f>
        <v>0</v>
      </c>
      <c r="BE80" s="6">
        <f>COUNTIFS(Table5[Country],Tabela1[[#This Row],[Country]],Table5[20km Race Walk Classification],"&gt;0")</f>
        <v>0</v>
      </c>
      <c r="BF80" s="6">
        <f>COUNTIFS(Tabela96[Country],Tabela1[[#This Row],[Country]],Tabela96[Mixed Marathon Race Walk Relay Classification],"&gt;0")</f>
        <v>0</v>
      </c>
      <c r="BG80" s="6">
        <f>COUNTIFS(Table4[Country],Tabela1[[#This Row],[Country]],Table4[Discus Throw Classification],"&gt;0")</f>
        <v>0</v>
      </c>
      <c r="BH80" s="6">
        <f>COUNTIFS(Table5[Country],Tabela1[[#This Row],[Country]],Table5[Discus Throw Classification],"&gt;0")</f>
        <v>0</v>
      </c>
      <c r="BI80" s="6">
        <f>COUNTIFS(Table4[Country],Tabela1[[#This Row],[Country]],Table4[Hammer Throw Classification],"&gt;0")</f>
        <v>0</v>
      </c>
      <c r="BJ80" s="6">
        <f>COUNTIFS(Table5[Country],Tabela1[[#This Row],[Country]],Table5[Hammer Throw Classification],"&gt;0")</f>
        <v>0</v>
      </c>
      <c r="BK80" s="6">
        <f>COUNTIFS(Table4[Country],Tabela1[[#This Row],[Country]],Table4[High Jump Classification],"&gt;0")</f>
        <v>0</v>
      </c>
      <c r="BL80" s="6">
        <f>COUNTIFS(Table5[Country],Tabela1[[#This Row],[Country]],Table5[High Jump Classification],"&gt;0")</f>
        <v>0</v>
      </c>
      <c r="BM80" s="6">
        <f>COUNTIFS(Table4[Country],Tabela1[[#This Row],[Country]],Table4[Javelin Throw Classification],"&gt;0")</f>
        <v>0</v>
      </c>
      <c r="BN80" s="6">
        <f>COUNTIFS(Table5[Country],Tabela1[[#This Row],[Country]],Table5[Javelin Throw Classification],"&gt;0")</f>
        <v>0</v>
      </c>
      <c r="BO80" s="6">
        <f>COUNTIFS(Table4[Country],Tabela1[[#This Row],[Country]],Table4[Long Jump Classification],"&gt;0")</f>
        <v>0</v>
      </c>
      <c r="BP80" s="6">
        <f>COUNTIFS(Table5[Country],Tabela1[[#This Row],[Country]],Table5[Long Jump Classification],"&gt;0")</f>
        <v>0</v>
      </c>
      <c r="BQ80" s="6">
        <f>COUNTIFS(Table4[Country],Tabela1[[#This Row],[Country]],Table4[Pole Vault Classification],"&gt;0")</f>
        <v>0</v>
      </c>
      <c r="BR80" s="6">
        <f>COUNTIFS(Table5[Country],Tabela1[[#This Row],[Country]],Table5[Pole Vault Classification],"&gt;0")</f>
        <v>0</v>
      </c>
      <c r="BS80" s="6">
        <f>COUNTIFS(Table4[Country],Tabela1[[#This Row],[Country]],Table4[Shot Put Classification],"&gt;0")</f>
        <v>0</v>
      </c>
      <c r="BT80" s="6">
        <f>COUNTIFS(Table5[Country],Tabela1[[#This Row],[Country]],Table5[Shot Put Classification],"&gt;0")</f>
        <v>0</v>
      </c>
      <c r="BU80" s="6">
        <f>COUNTIFS(Table4[Country],Tabela1[[#This Row],[Country]],Table4[Triple Jump Classification],"&gt;0")</f>
        <v>0</v>
      </c>
      <c r="BV80" s="6">
        <f>COUNTIFS(Table5[Country],Tabela1[[#This Row],[Country]],Table5[Triple Jump Classification],"&gt;0")</f>
        <v>0</v>
      </c>
      <c r="BW80" s="6">
        <f>COUNTIFS(Table4[Country],Tabela1[[#This Row],[Country]],Table4[Decathlon Classification],"&gt;0")</f>
        <v>0</v>
      </c>
      <c r="BX80" s="6">
        <f>COUNTIFS(Table5[Country],Tabela1[[#This Row],[Country]],Table5[Heptathlon Classification],"&gt;0")</f>
        <v>0</v>
      </c>
      <c r="BY80" s="6">
        <f>COUNTIFS(Table61[Country],Tabela1[[#This Row],[Country]],Table61[Classification],"&gt;0")</f>
        <v>0</v>
      </c>
      <c r="BZ80" s="6">
        <f>COUNTIFS(Table38[Country],Tabela1[[#This Row],[Country]],Table38[Classification],"&gt;0")</f>
        <v>0</v>
      </c>
      <c r="CA80" s="6">
        <f>COUNTIFS(Table39[Country],Tabela1[[#This Row],[Country]],Table39[Men''s Classification],"&gt;0")</f>
        <v>0</v>
      </c>
      <c r="CB80" s="6">
        <f>COUNTIFS(Table39[Country],Tabela1[[#This Row],[Country]],Table39[Women''s Classification],"&gt;0")</f>
        <v>0</v>
      </c>
      <c r="CC80" s="6">
        <f>COUNTIFS(Table39[Country],Tabela1[[#This Row],[Country]],Table39[Mixed Classification],"&gt;0")</f>
        <v>0</v>
      </c>
      <c r="CD80" s="6">
        <f>COUNTIFS(Table89[Country],Tabela1[[#This Row],[Country]],Table89[Men''s Classification],"&gt;0")</f>
        <v>0</v>
      </c>
      <c r="CE80" s="6">
        <f>COUNTIFS(Table89[Country],Tabela1[[#This Row],[Country]],Table89[Women''s Classification],"&gt;0")</f>
        <v>0</v>
      </c>
      <c r="CF80" s="6">
        <f>COUNTIFS(Table90[Country],Tabela1[[#This Row],[Country]],Table90[Men''s Classification],"&gt;0")</f>
        <v>0</v>
      </c>
      <c r="CG80" s="6">
        <f>COUNTIFS(Table90[Country],Tabela1[[#This Row],[Country]],Table90[Women''s Classification],"&gt;0")</f>
        <v>0</v>
      </c>
      <c r="CH80" s="6">
        <f>COUNTIFS(Table60[Country],Tabela1[[#This Row],[Country]],Table60[Men''s Classification],"&gt;0")</f>
        <v>0</v>
      </c>
      <c r="CI80" s="6">
        <f>COUNTIFS(Table60[Country],Tabela1[[#This Row],[Country]],Table60[Women''s Classification],"&gt;0")</f>
        <v>0</v>
      </c>
      <c r="CJ80" s="6">
        <f>COUNTIFS(Table6[Country],Tabela1[[#This Row],[Country]],Table6[51kg Classification],"&gt;0")</f>
        <v>0</v>
      </c>
      <c r="CK80" s="6">
        <f>COUNTIFS(Table6[Country],Tabela1[[#This Row],[Country]],Table6[57kg Classification],"&gt;0")</f>
        <v>0</v>
      </c>
      <c r="CL80" s="6">
        <f>COUNTIFS(Table6[Country],Tabela1[[#This Row],[Country]],Table6[63.5kg Classification],"&gt;0")</f>
        <v>0</v>
      </c>
      <c r="CM80" s="6">
        <f>COUNTIFS(Table6[Country],Tabela1[[#This Row],[Country]],Table6[71kg Classification],"&gt;0")</f>
        <v>0</v>
      </c>
      <c r="CN80" s="6">
        <f>COUNTIFS(Table6[Country],Tabela1[[#This Row],[Country]],Table6[80kg Classification],"&gt;0")</f>
        <v>0</v>
      </c>
      <c r="CO80" s="6">
        <f>COUNTIFS(Table6[Country],Tabela1[[#This Row],[Country]],Table6[92kg Classification],"&gt;0")</f>
        <v>0</v>
      </c>
      <c r="CP80" s="6">
        <f>COUNTIFS(Table6[Country],Tabela1[[#This Row],[Country]],Table6[Plus 92kg Classification],"&gt;0")</f>
        <v>0</v>
      </c>
      <c r="CQ80" s="6">
        <f>COUNTIFS(Table7[Country],Tabela1[[#This Row],[Country]],Table7[50kg Classification],"&gt;0")</f>
        <v>0</v>
      </c>
      <c r="CR80" s="6">
        <f>COUNTIFS(Table7[Country],Tabela1[[#This Row],[Country]],Table7[54kg Classification],"&gt;0")</f>
        <v>0</v>
      </c>
      <c r="CS80" s="6">
        <f>COUNTIFS(Table7[Country],Tabela1[[#This Row],[Country]],Table7[57kg Classification],"&gt;0")</f>
        <v>0</v>
      </c>
      <c r="CT80" s="6">
        <f>COUNTIFS(Table7[Country],Tabela1[[#This Row],[Country]],Table7[60kg Classification],"&gt;0")</f>
        <v>0</v>
      </c>
      <c r="CU80" s="6">
        <f>COUNTIFS(Table7[Country],Tabela1[[#This Row],[Country]],Table7[66kg Classification],"&gt;0")</f>
        <v>0</v>
      </c>
      <c r="CV80" s="6">
        <f>COUNTIFS(Table7[Country],Tabela1[[#This Row],[Country]],Table7[75kg Classification],"&gt;0")</f>
        <v>0</v>
      </c>
      <c r="CW80" s="6">
        <f>COUNTIFS(Tabela94[Country],Tabela1[[#This Row],[Country]],Tabela94[Classification],"&gt;0")</f>
        <v>0</v>
      </c>
      <c r="CX80" s="6">
        <f>COUNTIFS(Tabela9499[Country],Tabela1[[#This Row],[Country]],Tabela9499[Classification],"&gt;0")</f>
        <v>0</v>
      </c>
      <c r="CY80" s="6">
        <f>COUNTIFS(Tabela107[Country],Tabela1[[#This Row],[Country]],Tabela107[C1 Slalom Classification],"&gt;0")</f>
        <v>0</v>
      </c>
      <c r="CZ80" s="6">
        <f>COUNTIFS(Tabela107122[Country],Tabela1[[#This Row],[Country]],Tabela107122[C1 Slalom Classification],"&gt;0")</f>
        <v>0</v>
      </c>
      <c r="DA80" s="6">
        <f>COUNTIFS(Tabela107[Country],Tabela1[[#This Row],[Country]],Tabela107[K1 Slalom Classification],"&gt;0")</f>
        <v>0</v>
      </c>
      <c r="DB80" s="6">
        <f>COUNTIFS(Tabela107122[Country],Tabela1[[#This Row],[Country]],Tabela107122[K1 Slalom Classification],"&gt;0")</f>
        <v>0</v>
      </c>
      <c r="DC80" s="6">
        <f>COUNTIFS(Tabela107[Country],Tabela1[[#This Row],[Country]],Tabela107[Kayak Cross Slalom Classification],"&gt;0")</f>
        <v>0</v>
      </c>
      <c r="DD80" s="6">
        <f>COUNTIFS(Tabela107122[Country],Tabela1[[#This Row],[Country]],Tabela107122[Kayak Cross Slalom Classification],"&gt;0")</f>
        <v>0</v>
      </c>
      <c r="DE80" s="6">
        <f>COUNTIFS(Table8[Country],Tabela1[[#This Row],[Country]],Table8[C1 200m Classification],"&gt;0")</f>
        <v>0</v>
      </c>
      <c r="DF80" s="6">
        <f>COUNTIFS(Table40[Country],Tabela1[[#This Row],[Country]],Table40[C1 1000m Classification],"&gt;0")</f>
        <v>0</v>
      </c>
      <c r="DG80" s="6">
        <f>COUNTIFS(Table68[Country],Tabela1[[#This Row],[Country]],Table68[Men''s C2 500m Classification],"&gt;0")</f>
        <v>0</v>
      </c>
      <c r="DH80" s="6">
        <f>COUNTIFS(Table68[Country],Tabela1[[#This Row],[Country]],Table68[Women''s C2 500m Classification],"&gt;0")</f>
        <v>0</v>
      </c>
      <c r="DI80" s="6">
        <f>COUNTIFS(Table8[Country],Tabela1[[#This Row],[Country]],Table8[K1 500m Classification],"&gt;0")</f>
        <v>0</v>
      </c>
      <c r="DJ80" s="6">
        <f>COUNTIFS(Table40[Country],Tabela1[[#This Row],[Country]],Table40[K1 1000m Classification],"&gt;0")</f>
        <v>0</v>
      </c>
      <c r="DK80" s="6">
        <f>COUNTIFS(Table68[Country],Tabela1[[#This Row],[Country]],Table68[Men''s K2 500m Classification],"&gt;0")</f>
        <v>0</v>
      </c>
      <c r="DL80" s="6">
        <f>COUNTIFS(Table68[Country],Tabela1[[#This Row],[Country]],Table68[Women''s K2 500m Classification],"&gt;0")</f>
        <v>0</v>
      </c>
      <c r="DM80" s="6">
        <f>COUNTIFS(Table83[Country],Tabela1[[#This Row],[Country]],Table83[Men''s K4 500m Classification],"&gt;0")</f>
        <v>0</v>
      </c>
      <c r="DN80" s="6">
        <f>COUNTIFS(Table83[Country],Tabela1[[#This Row],[Country]],Table83[Women''s K4 500m Classification],"&gt;0")</f>
        <v>0</v>
      </c>
      <c r="DO80" s="6">
        <f>COUNTIFS(Tabela126[Country],Tabela1[[#This Row],[Country]],Tabela126[Classification],"&gt;0")</f>
        <v>0</v>
      </c>
      <c r="DP80" s="6">
        <f>COUNTIFS(Tabela126130[Country],Tabela1[[#This Row],[Country]],Tabela126130[Classification],"&gt;0")</f>
        <v>0</v>
      </c>
      <c r="DQ80" s="6">
        <f>COUNTIFS(Table70[Country],Tabela1[[#This Row],[Country]],Table70[Classification],"&gt;0")</f>
        <v>0</v>
      </c>
      <c r="DR80" s="6">
        <f>COUNTIFS(Table80[Country],Tabela1[[#This Row],[Country]],Table80[Classification],"&gt;0")</f>
        <v>0</v>
      </c>
      <c r="DS80" s="6">
        <f>COUNTIFS(Table66[Country],Tabela1[[#This Row],[Country]],Table66[Classification],"&gt;0")</f>
        <v>0</v>
      </c>
      <c r="DT80" s="6">
        <f>COUNTIFS(Table67[Country],Tabela1[[#This Row],[Country]],Table67[Classification],"&gt;0")</f>
        <v>0</v>
      </c>
      <c r="DU80" s="6">
        <f>COUNTIFS(Table69[Country],Tabela1[[#This Row],[Country]],Table69[Keirin Classification],"&gt;0")</f>
        <v>0</v>
      </c>
      <c r="DV80" s="6">
        <f>COUNTIFS(Table41[Country],Tabela1[[#This Row],[Country]],Table41[Keirin Classification],"&gt;0")</f>
        <v>0</v>
      </c>
      <c r="DW80" s="6">
        <f>COUNTIFS(Table84[Country],Tabela1[[#This Row],[Country]],Table84[Men''s Madison Classification],"&gt;0")</f>
        <v>0</v>
      </c>
      <c r="DX80" s="6">
        <f>COUNTIFS(Table84[Country],Tabela1[[#This Row],[Country]],Table84[Women''s Madison Classification],"&gt;0")</f>
        <v>0</v>
      </c>
      <c r="DY80" s="6">
        <f>COUNTIFS(Table69[Country],Tabela1[[#This Row],[Country]],Table69[Omnium Classification],"&gt;0")</f>
        <v>0</v>
      </c>
      <c r="DZ80" s="6">
        <f>COUNTIFS(Table41[Country],Tabela1[[#This Row],[Country]],Table41[Omnium Classification],"&gt;0")</f>
        <v>0</v>
      </c>
      <c r="EA80" s="6">
        <f>COUNTIFS(Table9[Country],Tabela1[[#This Row],[Country]],Table9[Road Race Classification],"&gt;0")</f>
        <v>0</v>
      </c>
      <c r="EB80" s="6">
        <f>COUNTIFS(Table14[Country],Tabela1[[#This Row],[Country]],Table14[Road Race Classification],"&gt;0")</f>
        <v>0</v>
      </c>
      <c r="EC80" s="6">
        <f>COUNTIFS(Table69[Country],Tabela1[[#This Row],[Country]],Table69[Sprint Classification],"&gt;0")</f>
        <v>0</v>
      </c>
      <c r="ED80" s="6">
        <f>COUNTIFS(Table41[Country],Tabela1[[#This Row],[Country]],Table41[Sprint Classification],"&gt;0")</f>
        <v>0</v>
      </c>
      <c r="EE80" s="6">
        <f>COUNTIFS(Table85[Country],Tabela1[[#This Row],[Country]],Table85[Men''s Sprint Classification],"&gt;0")</f>
        <v>0</v>
      </c>
      <c r="EF80" s="6">
        <f>COUNTIFS(Table85[Country],Tabela1[[#This Row],[Country]],Table85[Women''s Sprint Classification],"&gt;0")</f>
        <v>0</v>
      </c>
      <c r="EG80" s="6">
        <f>COUNTIFS(Table85[Country],Tabela1[[#This Row],[Country]],Table85[Men''s Pursuit Classification],"&gt;0")</f>
        <v>0</v>
      </c>
      <c r="EH80" s="6">
        <f>COUNTIFS(Table85[Country],Tabela1[[#This Row],[Country]],Table85[Women''s Pursuit Classification],"&gt;0")</f>
        <v>0</v>
      </c>
      <c r="EI80" s="6">
        <f>COUNTIFS(Table9[Country],Tabela1[[#This Row],[Country]],Table9[Time-Trial Classification],"&gt;0")</f>
        <v>0</v>
      </c>
      <c r="EJ80" s="6">
        <f>COUNTIFS(Table14[Country],Tabela1[[#This Row],[Country]],Table14[Time-Trial Classification],"&gt;0")</f>
        <v>0</v>
      </c>
      <c r="EK80" s="6">
        <f>COUNTIFS(Table42[Country],Tabela1[[#This Row],[Country]],Table42[Springboard Classification],"&gt;0")</f>
        <v>0</v>
      </c>
      <c r="EL80" s="6">
        <f>COUNTIFS(Table43[Country],Tabela1[[#This Row],[Country]],Table43[Springboard Classification],"&gt;0")</f>
        <v>0</v>
      </c>
      <c r="EM80" s="6">
        <f>COUNTIFS(Table42[Country],Tabela1[[#This Row],[Country]],Table42[Platform Classification],"&gt;0")</f>
        <v>0</v>
      </c>
      <c r="EN80" s="6">
        <f>COUNTIFS(Table43[Country],Tabela1[[#This Row],[Country]],Table43[Platform Classification],"&gt;0")</f>
        <v>0</v>
      </c>
      <c r="EO80" s="6">
        <f>COUNTIFS(Table86[Country],Tabela1[[#This Row],[Country]],Table86[Men''s Synchronized Springboard Classification],"&gt;0")</f>
        <v>0</v>
      </c>
      <c r="EP80" s="6">
        <f>COUNTIFS(Table86[Country],Tabela1[[#This Row],[Country]],Table86[Women''s Synchronized Springboard Classification],"&gt;0")</f>
        <v>0</v>
      </c>
      <c r="EQ80" s="6">
        <f>COUNTIFS(Table86[Country],Tabela1[[#This Row],[Country]],Table86[Men''s Synchronized Platform Classification],"&gt;0")</f>
        <v>0</v>
      </c>
      <c r="ER80" s="6">
        <f>COUNTIFS(Table86[Country],Tabela1[[#This Row],[Country]],Table86[Women''s Synchronized Platform Classification],"&gt;0")</f>
        <v>0</v>
      </c>
      <c r="ES80" s="6">
        <f>COUNTIFS(Table44[Country],Tabela1[[#This Row],[Country]],Table44[Dressage Classification],"&gt;0")</f>
        <v>0</v>
      </c>
      <c r="ET80" s="6">
        <f>COUNTIFS(Table45[Country],Tabela1[[#This Row],[Country]],Table45[Dressage Classification],"&gt;0")</f>
        <v>0</v>
      </c>
      <c r="EU80" s="6">
        <f>COUNTIFS(Table44[Country],Tabela1[[#This Row],[Country]],Table44[Eventing Classification],"&gt;0")</f>
        <v>0</v>
      </c>
      <c r="EV80" s="6">
        <f>COUNTIFS(Table45[Country],Tabela1[[#This Row],[Country]],Table45[Eventing Classification],"&gt;0")</f>
        <v>0</v>
      </c>
      <c r="EW80" s="6">
        <f>COUNTIFS(Table44[Country],Tabela1[[#This Row],[Country]],Table44[Jumping Classification],"&gt;0")</f>
        <v>0</v>
      </c>
      <c r="EX80" s="6">
        <f>COUNTIFS(Table45[Country],Tabela1[[#This Row],[Country]],Table45[Jumping Classification],"&gt;0")</f>
        <v>0</v>
      </c>
      <c r="EY80" s="6">
        <f>COUNTIFS(Table10[Country],Tabela1[[#This Row],[Country]],Table10[Épée Classification],"&gt;0")</f>
        <v>0</v>
      </c>
      <c r="EZ80" s="6">
        <f>COUNTIFS(Table11[Country],Tabela1[[#This Row],[Country]],Table11[Épée Classification],"&gt;0")</f>
        <v>0</v>
      </c>
      <c r="FA80" s="6">
        <f>COUNTIFS(Table46[Country],Tabela1[[#This Row],[Country]],Table46[Men''s Épée Classification],"&gt;0")</f>
        <v>0</v>
      </c>
      <c r="FB80" s="6">
        <f>COUNTIFS(Table46[Country],Tabela1[[#This Row],[Country]],Table46[Women''s Épée Classification],"&gt;0")</f>
        <v>0</v>
      </c>
      <c r="FC80" s="6">
        <f>COUNTIFS(Table10[Country],Tabela1[[#This Row],[Country]],Table10[Foil Classification],"&gt;0")</f>
        <v>0</v>
      </c>
      <c r="FD80" s="6">
        <f>COUNTIFS(Table11[Country],Tabela1[[#This Row],[Country]],Table11[Foil Classification],"&gt;0")</f>
        <v>0</v>
      </c>
      <c r="FE80" s="6">
        <f>COUNTIFS(Table46[Country],Tabela1[[#This Row],[Country]],Table46[Men''s Foil Classification],"&gt;0")</f>
        <v>0</v>
      </c>
      <c r="FF80" s="6">
        <f>COUNTIFS(Table46[Country],Tabela1[[#This Row],[Country]],Table46[Women''s Foil Classification],"&gt;0")</f>
        <v>0</v>
      </c>
      <c r="FG80" s="6">
        <f>COUNTIFS(Table10[Country],Tabela1[[#This Row],[Country]],Table10[Sabre Classification],"&gt;0")</f>
        <v>0</v>
      </c>
      <c r="FH80" s="6">
        <f>COUNTIFS(Table11[Country],Tabela1[[#This Row],[Country]],Table11[Sabre Classification],"&gt;0")</f>
        <v>0</v>
      </c>
      <c r="FI80" s="6">
        <f>COUNTIFS(Table46[Country],Tabela1[[#This Row],[Country]],Table46[Men''s Sabre Classification],"&gt;0")</f>
        <v>0</v>
      </c>
      <c r="FJ80" s="6">
        <f>COUNTIFS(Table46[Country],Tabela1[[#This Row],[Country]],Table46[Women''s Sabre Classification],"&gt;0")</f>
        <v>0</v>
      </c>
      <c r="FK80" s="6">
        <f>COUNTIFS(Table91[Country],Tabela1[[#This Row],[Country]],Table91[Men''s Classification],"&gt;0")</f>
        <v>0</v>
      </c>
      <c r="FL80" s="6">
        <f>COUNTIFS(Table91[Country],Tabela1[[#This Row],[Country]],Table91[Women''s Classification],"&gt;0")</f>
        <v>0</v>
      </c>
      <c r="FM80" s="6">
        <f>COUNTIFS(Table9194[Country],Tabela1[[#This Row],[Country]],Table9194[Men''s Classification],"&gt;0")</f>
        <v>0</v>
      </c>
      <c r="FN80" s="6">
        <f>COUNTIFS(Table9194[Country],Tabela1[[#This Row],[Country]],Table9194[Women''s Classification],"&gt;0")</f>
        <v>0</v>
      </c>
      <c r="FO80" s="6">
        <f>COUNTIFS(Table71[Country],Tabela1[[#This Row],[Country]],Table71[Classification],"&gt;0")</f>
        <v>1</v>
      </c>
      <c r="FP80" s="6">
        <f>COUNTIFS(Table62[Country],Tabela1[[#This Row],[Country]],Table62[Classification],"&gt;0")</f>
        <v>0</v>
      </c>
      <c r="FQ80" s="6">
        <f>COUNTIFS(Table47[Country],Tabela1[[#This Row],[Country]],Table47[All-Around Classification],"&gt;0")</f>
        <v>0</v>
      </c>
      <c r="FR80" s="6">
        <f>COUNTIFS(Table48[Country],Tabela1[[#This Row],[Country]],Table48[All-Around Classification],"&gt;0")</f>
        <v>0</v>
      </c>
      <c r="FS80" s="6">
        <f>COUNTIFS(Table81[Country],Tabela1[[#This Row],[Country]],Table81[Men''s All-Around Classification],"&gt;0")</f>
        <v>0</v>
      </c>
      <c r="FT80" s="6">
        <f>COUNTIFS(Table81[Country],Tabela1[[#This Row],[Country]],Table81[Women''s All-Around Classification],"&gt;0")</f>
        <v>0</v>
      </c>
      <c r="FU80" s="6">
        <f>COUNTIFS(Table48[Country],Tabela1[[#This Row],[Country]],Table48[Balance Beam Classification],"&gt;0")</f>
        <v>0</v>
      </c>
      <c r="FV80" s="6">
        <f>COUNTIFS(Table47[Country],Tabela1[[#This Row],[Country]],Table47[Floor Exercise Classification],"&gt;0")</f>
        <v>0</v>
      </c>
      <c r="FW80" s="6">
        <f>COUNTIFS(Table48[Country],Tabela1[[#This Row],[Country]],Table48[Floor Exercise Classification],"&gt;0")</f>
        <v>0</v>
      </c>
      <c r="FX80" s="6">
        <f>COUNTIFS(Table47[Country],Tabela1[[#This Row],[Country]],Table47[Horizontal Bar Classification],"&gt;0")</f>
        <v>0</v>
      </c>
      <c r="FY80" s="6">
        <f>COUNTIFS(Table47[Country],Tabela1[[#This Row],[Country]],Table47[Parallel Bars Classification],"&gt;0")</f>
        <v>0</v>
      </c>
      <c r="FZ80" s="6">
        <f>COUNTIFS(Table47[Country],Tabela1[[#This Row],[Country]],Table47[Pommel Horse Classification],"&gt;0")</f>
        <v>0</v>
      </c>
      <c r="GA80" s="6">
        <f>COUNTIFS(Table47[Country],Tabela1[[#This Row],[Country]],Table47[Rings Classification],"&gt;0")</f>
        <v>0</v>
      </c>
      <c r="GB80" s="6">
        <f>COUNTIFS(Tabela132[Country],Tabela1[[#This Row],[Country]],Tabela132[Classification],"&gt;0")</f>
        <v>0</v>
      </c>
      <c r="GC80" s="6">
        <f>COUNTIFS(Tabela139[Country],Tabela1[[#This Row],[Country]],Tabela139[Classification],"&gt;0")</f>
        <v>0</v>
      </c>
      <c r="GD80" s="6">
        <f>COUNTIFS(Table48[Country],Tabela1[[#This Row],[Country]],Table48[Uneven Bars Classification],"&gt;0")</f>
        <v>0</v>
      </c>
      <c r="GE80" s="6">
        <f>COUNTIFS(Table47[Country],Tabela1[[#This Row],[Country]],Table47[Vault Classification],"&gt;0")</f>
        <v>0</v>
      </c>
      <c r="GF80" s="6">
        <f>COUNTIFS(Table48[Country],Tabela1[[#This Row],[Country]],Table48[Vault Classification],"&gt;0")</f>
        <v>0</v>
      </c>
      <c r="GG80" s="6">
        <f>COUNTIFS(Table919496[Country],Tabela1[[#This Row],[Country]],Table919496[Men''s Classification],"&gt;0")</f>
        <v>0</v>
      </c>
      <c r="GH80" s="6">
        <f>COUNTIFS(Table919496[Country],Tabela1[[#This Row],[Country]],Table919496[Women''s Classification],"&gt;0")</f>
        <v>0</v>
      </c>
      <c r="GI80" s="6">
        <f>COUNTIFS(Table12[Country],Tabela1[[#This Row],[Country]],Table12[60kg Classification],"&gt;0")</f>
        <v>0</v>
      </c>
      <c r="GJ80" s="6">
        <f>COUNTIFS(Table12[Country],Tabela1[[#This Row],[Country]],Table12[66kg Classification],"&gt;0")</f>
        <v>0</v>
      </c>
      <c r="GK80" s="6">
        <f>COUNTIFS(Table12[Country],Tabela1[[#This Row],[Country]],Table12[73kg Classification],"&gt;0")</f>
        <v>0</v>
      </c>
      <c r="GL80" s="6">
        <f>COUNTIFS(Table12[Country],Tabela1[[#This Row],[Country]],Table12[81kg Classification],"&gt;0")</f>
        <v>0</v>
      </c>
      <c r="GM80" s="6">
        <f>COUNTIFS(Table12[Country],Tabela1[[#This Row],[Country]],Table12[90kg Classification],"&gt;0")</f>
        <v>0</v>
      </c>
      <c r="GN80" s="6">
        <f>COUNTIFS(Table12[Country],Tabela1[[#This Row],[Country]],Table12[100kg Classification],"&gt;0")</f>
        <v>0</v>
      </c>
      <c r="GO80" s="6">
        <f>COUNTIFS(Table12[Country],Tabela1[[#This Row],[Country]],Table12[Plus 100kg Classification],"&gt;0")</f>
        <v>0</v>
      </c>
      <c r="GP80" s="6">
        <f>COUNTIFS(Table13[Country],Tabela1[[#This Row],[Country]],Table13[48kg Classification],"&gt;0")</f>
        <v>0</v>
      </c>
      <c r="GQ80" s="6">
        <f>COUNTIFS(Table13[Country],Tabela1[[#This Row],[Country]],Table13[52kg Classification],"&gt;0")</f>
        <v>0</v>
      </c>
      <c r="GR80" s="6">
        <f>COUNTIFS(Table13[Country],Tabela1[[#This Row],[Country]],Table13[57kg Classification],"&gt;0")</f>
        <v>0</v>
      </c>
      <c r="GS80" s="6">
        <f>COUNTIFS(Table13[Country],Tabela1[[#This Row],[Country]],Table13[63kg Classification],"&gt;0")</f>
        <v>0</v>
      </c>
      <c r="GT80" s="6">
        <f>COUNTIFS(Table13[Country],Tabela1[[#This Row],[Country]],Table13[70kg Classification],"&gt;0")</f>
        <v>0</v>
      </c>
      <c r="GU80" s="6">
        <f>COUNTIFS(Table13[Country],Tabela1[[#This Row],[Country]],Table13[78kg Classification],"&gt;0")</f>
        <v>0</v>
      </c>
      <c r="GV80" s="6">
        <f>COUNTIFS(Table13[Country],Tabela1[[#This Row],[Country]],Table13[Plus 78kg Classification],"&gt;0")</f>
        <v>0</v>
      </c>
      <c r="GW80" s="6">
        <f>COUNTIFS(Table82[Country],Tabela1[[#This Row],[Country]],Table82[Mixed Classification],"&gt;0")</f>
        <v>0</v>
      </c>
      <c r="GX80" s="6">
        <f>COUNTIFS(Table51[Country],Tabela1[[#This Row],[Country]],Table51[Classification],"&gt;0")</f>
        <v>0</v>
      </c>
      <c r="GY80" s="6">
        <f>COUNTIFS(Table52[Country],Tabela1[[#This Row],[Country]],Table52[Classification],"&gt;0")</f>
        <v>0</v>
      </c>
      <c r="GZ80" s="6">
        <f>COUNTIFS(Table32[Country],Tabela1[[#This Row],[Country]],Table32[All-Around Classification],"&gt;0")</f>
        <v>0</v>
      </c>
      <c r="HA80" s="6">
        <f>COUNTIFS(Table49[Country],Tabela1[[#This Row],[Country]],Table49[All-Around Classification],"&gt;0")</f>
        <v>0</v>
      </c>
      <c r="HB80" s="6">
        <f>COUNTIFS(Table26[Country],Tabela1[[#This Row],[Country]],Table26[Single Sculls Classification],"&gt;0")</f>
        <v>0</v>
      </c>
      <c r="HC80" s="6">
        <f>COUNTIFS(Table63[Country],Tabela1[[#This Row],[Country]],Table63[Single Sculls Classification],"&gt;0")</f>
        <v>0</v>
      </c>
      <c r="HD80" s="6">
        <f>COUNTIFS(Table16[Country],Tabela1[[#This Row],[Country]],Table16[Men''s Double Sculls Classification],"&gt;0")</f>
        <v>0</v>
      </c>
      <c r="HE80" s="6">
        <f>COUNTIFS(Table16[Country],Tabela1[[#This Row],[Country]],Table16[Women''s Double Sculls Classification],"&gt;0")</f>
        <v>0</v>
      </c>
      <c r="HF80" s="6">
        <f>COUNTIFS(Table72[Country],Tabela1[[#This Row],[Country]],Table72[Men''s Quadruple Sculls Classification],"&gt;0")</f>
        <v>0</v>
      </c>
      <c r="HG80" s="6">
        <f>COUNTIFS(Table72[Country],Tabela1[[#This Row],[Country]],Table72[Women''s Quadruple Sculls Classification],"&gt;0")</f>
        <v>0</v>
      </c>
      <c r="HH80" s="6">
        <f>COUNTIFS(Table16[Country],Tabela1[[#This Row],[Country]],Table16[Men''s Coxless Pairs Classification],"&gt;0")</f>
        <v>0</v>
      </c>
      <c r="HI80" s="6">
        <f>COUNTIFS(Table16[Country],Tabela1[[#This Row],[Country]],Table16[Women''s Coxless Pairs Classification],"&gt;0")</f>
        <v>0</v>
      </c>
      <c r="HJ80" s="6">
        <f>COUNTIFS(Table72[Country],Tabela1[[#This Row],[Country]],Table72[Men''s Coxless Fours Classification],"&gt;0")</f>
        <v>0</v>
      </c>
      <c r="HK80" s="6">
        <f>COUNTIFS(Table72[Country],Tabela1[[#This Row],[Country]],Table72[Women''s Coxless Fours Classification],"&gt;0")</f>
        <v>0</v>
      </c>
      <c r="HL80" s="6">
        <f>COUNTIFS(Table72[Country],Tabela1[[#This Row],[Country]],Table72[Men''s Eights Classification],"&gt;0")</f>
        <v>0</v>
      </c>
      <c r="HM80" s="6">
        <f>COUNTIFS(Table72[Country],Tabela1[[#This Row],[Country]],Table72[Women''s Eights Classification],"&gt;0")</f>
        <v>0</v>
      </c>
      <c r="HN80" s="6">
        <f>COUNTIFS(Table16[Country],Tabela1[[#This Row],[Country]],Table16[Men''s Lwt. Double Sculls Classification],"&gt;0")</f>
        <v>0</v>
      </c>
      <c r="HO80" s="6">
        <f>COUNTIFS(Table16[Country],Tabela1[[#This Row],[Country]],Table16[Women''s Lwt. Double Sculls Classification],"&gt;0")</f>
        <v>0</v>
      </c>
      <c r="HP80" s="6">
        <f>COUNTIFS(Table91949698[Country],Tabela1[[#This Row],[Country]],Table91949698[Men''s Classification],"&gt;0")</f>
        <v>0</v>
      </c>
      <c r="HQ80" s="6">
        <f>COUNTIFS(Table91949698[Country],Tabela1[[#This Row],[Country]],Table91949698[Women''s Classification],"&gt;0")</f>
        <v>0</v>
      </c>
      <c r="HR80" s="6">
        <f>COUNTIFS(Table25[Country],Tabela1[[#This Row],[Country]],Table25[Mixed 470 Classification],"&gt;0")</f>
        <v>0</v>
      </c>
      <c r="HS80" s="6">
        <f>COUNTIFS(Table25[Country],Tabela1[[#This Row],[Country]],Table25[Men''s 49er Classification],"&gt;0")</f>
        <v>0</v>
      </c>
      <c r="HT80" s="6">
        <f>COUNTIFS(Table25[Country],Tabela1[[#This Row],[Country]],Table25[Women''s 49er FX Classification],"&gt;0")</f>
        <v>0</v>
      </c>
      <c r="HU80" s="6">
        <f>COUNTIFS(Table17[Country],Tabela1[[#This Row],[Country]],Table17[Formula Kite Classification],"&gt;0")</f>
        <v>0</v>
      </c>
      <c r="HV80" s="6">
        <f>COUNTIFS(Table18[Country],Tabela1[[#This Row],[Country]],Table18[Formula Kite Classification],"&gt;0")</f>
        <v>0</v>
      </c>
      <c r="HW80" s="6">
        <f>COUNTIFS(Table17[Country],Tabela1[[#This Row],[Country]],Table17[ILCA 7 Classification],"&gt;0")</f>
        <v>0</v>
      </c>
      <c r="HX80" s="6">
        <f>COUNTIFS(Table18[Country],Tabela1[[#This Row],[Country]],Table18[ILCA 6 Classification],"&gt;0")</f>
        <v>0</v>
      </c>
      <c r="HY80" s="6">
        <f>COUNTIFS(Table17[Country],Tabela1[[#This Row],[Country]],Table17[IQFoil Classification],"&gt;0")</f>
        <v>0</v>
      </c>
      <c r="HZ80" s="6">
        <f>COUNTIFS(Table18[Country],Tabela1[[#This Row],[Country]],Table18[IQFoil Classification],"&gt;0")</f>
        <v>0</v>
      </c>
      <c r="IA80" s="6">
        <f>COUNTIFS(Table25[Country],Tabela1[[#This Row],[Country]],Table25[Mixed Nacra 17 Classification],"&gt;0")</f>
        <v>0</v>
      </c>
      <c r="IB80" s="6">
        <f>COUNTIFS(Table53[Country],Tabela1[[#This Row],[Country]],Table53[10m Air Pistol Classification],"&gt;0")</f>
        <v>0</v>
      </c>
      <c r="IC80" s="6">
        <f>COUNTIFS(Table19[Country],Tabela1[[#This Row],[Country]],Table19[10m Air Pistol Classification],"&gt;0")</f>
        <v>0</v>
      </c>
      <c r="ID80" s="6">
        <f>COUNTIFS(Table54[Country],Tabela1[[#This Row],[Country]],Table54[Mixed 10m Air Pistol Team Classification],"&gt;0")</f>
        <v>0</v>
      </c>
      <c r="IE80" s="6">
        <f>COUNTIFS(Table53[Country],Tabela1[[#This Row],[Country]],Table53[10m Air Rifle Classification],"&gt;0")</f>
        <v>0</v>
      </c>
      <c r="IF80" s="6">
        <f>COUNTIFS(Table19[Country],Tabela1[[#This Row],[Country]],Table19[10m Air Rifle Classification],"&gt;0")</f>
        <v>0</v>
      </c>
      <c r="IG80" s="6">
        <f>COUNTIFS(Table54[Country],Tabela1[[#This Row],[Country]],Table54[Mixed 10m Air Rifle Team Classification],"&gt;0")</f>
        <v>0</v>
      </c>
      <c r="IH80" s="6">
        <f>COUNTIFS(Table53[Country],Tabela1[[#This Row],[Country]],Table53[25m Rapid Fire Pistol Classification],"&gt;0")</f>
        <v>0</v>
      </c>
      <c r="II80" s="6">
        <f>COUNTIFS(Table19[Country],Tabela1[[#This Row],[Country]],Table19[25m Pistol Classification],"&gt;0")</f>
        <v>0</v>
      </c>
      <c r="IJ80" s="6">
        <f>COUNTIFS(Table53[Country],Tabela1[[#This Row],[Country]],Table53[50m Rifle 3 Positions Classification],"&gt;0")</f>
        <v>0</v>
      </c>
      <c r="IK80" s="6">
        <f>COUNTIFS(Table19[Country],Tabela1[[#This Row],[Country]],Table19[50m Rifle 3 Positions Classification],"&gt;0")</f>
        <v>0</v>
      </c>
      <c r="IL80" s="6">
        <f>COUNTIFS(Table53[Country],Tabela1[[#This Row],[Country]],Table53[Skeet Classification],"&gt;0")</f>
        <v>0</v>
      </c>
      <c r="IM80" s="6">
        <f>COUNTIFS(Table19[Country],Tabela1[[#This Row],[Country]],Table19[Skeet Classification],"&gt;0")</f>
        <v>0</v>
      </c>
      <c r="IN80" s="6">
        <f>COUNTIFS(Table54[Country],Tabela1[[#This Row],[Country]],Table54[Mixed Skeet Team Classification],"&gt;0")</f>
        <v>0</v>
      </c>
      <c r="IO80" s="6">
        <f>COUNTIFS(Table53[Country],Tabela1[[#This Row],[Country]],Table53[Trap Classification],"&gt;0")</f>
        <v>0</v>
      </c>
      <c r="IP80" s="6">
        <f>COUNTIFS(Table19[Country],Tabela1[[#This Row],[Country]],Table19[Trap Classification],"&gt;0")</f>
        <v>0</v>
      </c>
      <c r="IQ80" s="6">
        <f>COUNTIFS(Table73[Country],Tabela1[[#This Row],[Country]],Table73[Park Classification],"&gt;0")</f>
        <v>0</v>
      </c>
      <c r="IR80" s="6">
        <f>COUNTIFS(Table74[Country],Tabela1[[#This Row],[Country]],Table74[Park Classification],"&gt;0")</f>
        <v>0</v>
      </c>
      <c r="IS80" s="6">
        <f>COUNTIFS(Table73[Country],Tabela1[[#This Row],[Country]],Table73[Street Classification],"&gt;0")</f>
        <v>0</v>
      </c>
      <c r="IT80" s="6">
        <f>COUNTIFS(Table74[Country],Tabela1[[#This Row],[Country]],Table74[Street Classification],"&gt;0")</f>
        <v>1</v>
      </c>
      <c r="IU80" s="6">
        <f>COUNTIFS(Table75[Country],Tabela1[[#This Row],[Country]],Table75[Boulder and Lead Classification],"&gt;0")</f>
        <v>0</v>
      </c>
      <c r="IV80" s="6">
        <f>COUNTIFS(Table76[Country],Tabela1[[#This Row],[Country]],Table76[Boulder and Lead Classification],"&gt;0")</f>
        <v>0</v>
      </c>
      <c r="IW80" s="6">
        <f>COUNTIFS(Table75[Country],Tabela1[[#This Row],[Country]],Table75[Speed Classification],"&gt;0")</f>
        <v>0</v>
      </c>
      <c r="IX80" s="6">
        <f>COUNTIFS(Table76[Country],Tabela1[[#This Row],[Country]],Table76[Speed Classification],"&gt;0")</f>
        <v>0</v>
      </c>
      <c r="IY80" s="6">
        <f>COUNTIFS(Table64[Country],Tabela1[[#This Row],[Country]],Table64[Shortboard Classification],"&gt;0")</f>
        <v>0</v>
      </c>
      <c r="IZ80" s="6">
        <f>COUNTIFS(Table77[Country],Tabela1[[#This Row],[Country]],Table77[Shortboard Classification],"&gt;0")</f>
        <v>0</v>
      </c>
      <c r="JA80" s="6">
        <f>COUNTIFS(Table20[Country],Tabela1[[#This Row],[Country]],Table20[50m Freestyle Classification],"&gt;0")</f>
        <v>0</v>
      </c>
      <c r="JB80" s="6">
        <f>COUNTIFS(Table21[Country],Tabela1[[#This Row],[Country]],Table21[50m Freestyle Classification],"&gt;0")</f>
        <v>0</v>
      </c>
      <c r="JC80" s="6">
        <f>COUNTIFS(Table20[Country],Tabela1[[#This Row],[Country]],Table20[100m Freestyle Classification],"&gt;0")</f>
        <v>0</v>
      </c>
      <c r="JD80" s="6">
        <f>COUNTIFS(Table21[Country],Tabela1[[#This Row],[Country]],Table21[100m Freestyle Classification],"&gt;0")</f>
        <v>0</v>
      </c>
      <c r="JE80" s="6">
        <f>COUNTIFS(Table20[Country],Tabela1[[#This Row],[Country]],Table20[200m Freestyle Classification],"&gt;0")</f>
        <v>0</v>
      </c>
      <c r="JF80" s="6">
        <f>COUNTIFS(Table21[Country],Tabela1[[#This Row],[Country]],Table21[200m Freestyle Classification],"&gt;0")</f>
        <v>0</v>
      </c>
      <c r="JG80" s="6">
        <f>COUNTIFS(Table20[Country],Tabela1[[#This Row],[Country]],Table20[400m Freestyle Classification],"&gt;0")</f>
        <v>0</v>
      </c>
      <c r="JH80" s="6">
        <f>COUNTIFS(Table21[Country],Tabela1[[#This Row],[Country]],Table21[400m Freestyle Classification],"&gt;0")</f>
        <v>0</v>
      </c>
      <c r="JI80" s="6">
        <f>COUNTIFS(Table20[Country],Tabela1[[#This Row],[Country]],Table20[800m Freestyle Classification],"&gt;0")</f>
        <v>0</v>
      </c>
      <c r="JJ80" s="6">
        <f>COUNTIFS(Table21[Country],Tabela1[[#This Row],[Country]],Table21[800m Freestyle Classification],"&gt;0")</f>
        <v>0</v>
      </c>
      <c r="JK80" s="6">
        <f>COUNTIFS(Table20[Country],Tabela1[[#This Row],[Country]],Table20[1500m Freestyle Classification],"&gt;0")</f>
        <v>0</v>
      </c>
      <c r="JL80" s="6">
        <f>COUNTIFS(Table21[Country],Tabela1[[#This Row],[Country]],Table21[1500m Freestyle Classification],"&gt;0")</f>
        <v>0</v>
      </c>
      <c r="JM80" s="6">
        <f>COUNTIFS(Table20[Country],Tabela1[[#This Row],[Country]],Table20[100m Backstroke Classification],"&gt;0")</f>
        <v>0</v>
      </c>
      <c r="JN80" s="6">
        <f>COUNTIFS(Table21[Country],Tabela1[[#This Row],[Country]],Table21[100m Backstroke Classification],"&gt;0")</f>
        <v>0</v>
      </c>
      <c r="JO80" s="6">
        <f>COUNTIFS(Table20[Country],Tabela1[[#This Row],[Country]],Table20[200m Backstroke Classification],"&gt;0")</f>
        <v>0</v>
      </c>
      <c r="JP80" s="6">
        <f>COUNTIFS(Table21[Country],Tabela1[[#This Row],[Country]],Table21[200m Backstroke Classification],"&gt;0")</f>
        <v>0</v>
      </c>
      <c r="JQ80" s="6">
        <f>COUNTIFS(Table20[Country],Tabela1[[#This Row],[Country]],Table20[100m Breaststroke Classification],"&gt;0")</f>
        <v>0</v>
      </c>
      <c r="JR80" s="6">
        <f>COUNTIFS(Table21[Country],Tabela1[[#This Row],[Country]],Table21[100m Breaststroke Classification],"&gt;0")</f>
        <v>0</v>
      </c>
      <c r="JS80" s="6">
        <f>COUNTIFS(Table20[Country],Tabela1[[#This Row],[Country]],Table20[200m Breaststroke Classification],"&gt;0")</f>
        <v>0</v>
      </c>
      <c r="JT80" s="6">
        <f>COUNTIFS(Table21[Country],Tabela1[[#This Row],[Country]],Table21[200m Breaststroke Classification],"&gt;0")</f>
        <v>0</v>
      </c>
      <c r="JU80" s="6">
        <f>COUNTIFS(Table20[Country],Tabela1[[#This Row],[Country]],Table20[100m Butterfly Classification],"&gt;0")</f>
        <v>0</v>
      </c>
      <c r="JV80" s="6">
        <f>COUNTIFS(Table21[Country],Tabela1[[#This Row],[Country]],Table21[100m Butterfly Classification],"&gt;0")</f>
        <v>0</v>
      </c>
      <c r="JW80" s="6">
        <f>COUNTIFS(Table20[Country],Tabela1[[#This Row],[Country]],Table20[200m Butterfly Classification],"&gt;0")</f>
        <v>0</v>
      </c>
      <c r="JX80" s="6">
        <f>COUNTIFS(Table21[Country],Tabela1[[#This Row],[Country]],Table21[200m Butterfly Classification],"&gt;0")</f>
        <v>0</v>
      </c>
      <c r="JY80" s="6">
        <f>COUNTIFS(Table20[Country],Tabela1[[#This Row],[Country]],Table20[200m Medley Classification],"&gt;0")</f>
        <v>0</v>
      </c>
      <c r="JZ80" s="6">
        <f>COUNTIFS(Table21[Country],Tabela1[[#This Row],[Country]],Table21[200m Medley Classification],"&gt;0")</f>
        <v>0</v>
      </c>
      <c r="KA80" s="6">
        <f>COUNTIFS(Table20[Country],Tabela1[[#This Row],[Country]],Table20[400m Medley Classification],"&gt;0")</f>
        <v>0</v>
      </c>
      <c r="KB80" s="6">
        <f>COUNTIFS(Table21[Country],Tabela1[[#This Row],[Country]],Table21[400m Medley Classification],"&gt;0")</f>
        <v>0</v>
      </c>
      <c r="KC80" s="6">
        <f>COUNTIFS(Table78[Country],Tabela1[[#This Row],[Country]],Table78[Men''s 4x100m Freestyle Relay Classification],"&gt;0")</f>
        <v>0</v>
      </c>
      <c r="KD80" s="6">
        <f>COUNTIFS(Table78[Country],Tabela1[[#This Row],[Country]],Table78[Women''s 4x100m Freestyle Relay Classification],"&gt;0")</f>
        <v>0</v>
      </c>
      <c r="KE80" s="6">
        <f>COUNTIFS(Table78[Country],Tabela1[[#This Row],[Country]],Table78[Men''s 4x200m Freestyle Relay Classification],"&gt;0")</f>
        <v>0</v>
      </c>
      <c r="KF80" s="6">
        <f>COUNTIFS(Table78[Country],Tabela1[[#This Row],[Country]],Table78[Women''s 4x200m Freestyle Relay Classification],"&gt;0")</f>
        <v>0</v>
      </c>
      <c r="KG80" s="6">
        <f>COUNTIFS(Table78[Country],Tabela1[[#This Row],[Country]],Table78[Men''s 4x100m Medley Relay Classification],"&gt;0")</f>
        <v>0</v>
      </c>
      <c r="KH80" s="6">
        <f>COUNTIFS(Table78[Country],Tabela1[[#This Row],[Country]],Table78[Women''s 4x100m Medley Relay Classification],"&gt;0")</f>
        <v>0</v>
      </c>
      <c r="KI80" s="6">
        <f>COUNTIFS(Table78[Country],Tabela1[[#This Row],[Country]],Table78[Mixed 4x100m Medley Relay Classification],"&gt;0")</f>
        <v>0</v>
      </c>
      <c r="KJ80" s="6">
        <f>COUNTIFS(Table20[Country],Tabela1[[#This Row],[Country]],Table20[10km Open Water Classification],"&gt;0")</f>
        <v>0</v>
      </c>
      <c r="KK80" s="6">
        <f>COUNTIFS(Table21[Country],Tabela1[[#This Row],[Country]],Table21[10km Open Water Classification],"&gt;0")</f>
        <v>0</v>
      </c>
      <c r="KL80" s="6">
        <f>COUNTIFS(Table22[Country],Tabela1[[#This Row],[Country]],Table22[Classification],"&gt;0")</f>
        <v>0</v>
      </c>
      <c r="KM80" s="6">
        <f>COUNTIFS(Table30[Country],Tabela1[[#This Row],[Country]],Table30[Classification],"&gt;0")</f>
        <v>0</v>
      </c>
      <c r="KN80" s="6">
        <f>COUNTIFS(Table55[Country],Tabela1[[#This Row],[Country]],Table55[Men''s Classification],"&gt;0")</f>
        <v>0</v>
      </c>
      <c r="KO80" s="6">
        <f>COUNTIFS(Table55[Country],Tabela1[[#This Row],[Country]],Table55[Women''s Classification],"&gt;0")</f>
        <v>0</v>
      </c>
      <c r="KP80" s="6">
        <f>COUNTIFS(Table56[Country],Tabela1[[#This Row],[Country]],Table56[Mixed Classification],"&gt;0")</f>
        <v>0</v>
      </c>
      <c r="KQ80" s="6">
        <f>COUNTIFS(Table29[Country],Tabela1[[#This Row],[Country]],Table29[58kg Classification],"&gt;0")</f>
        <v>0</v>
      </c>
      <c r="KR80" s="6">
        <f>COUNTIFS(Table29[Country],Tabela1[[#This Row],[Country]],Table29[68kg Classification],"&gt;0")</f>
        <v>0</v>
      </c>
      <c r="KS80" s="6">
        <f>COUNTIFS(Table29[Country],Tabela1[[#This Row],[Country]],Table29[80kg Classification],"&gt;0")</f>
        <v>0</v>
      </c>
      <c r="KT80" s="6">
        <f>COUNTIFS(Table29[Country],Tabela1[[#This Row],[Country]],Table29[Plus 80kg Classification],"&gt;0")</f>
        <v>0</v>
      </c>
      <c r="KU80" s="6">
        <f>COUNTIFS(Table34[Country],Tabela1[[#This Row],[Country]],Table34[49kg Classification],"&gt;0")</f>
        <v>0</v>
      </c>
      <c r="KV80" s="6">
        <f>COUNTIFS(Table34[Country],Tabela1[[#This Row],[Country]],Table34[57kg Classification],"&gt;0")</f>
        <v>0</v>
      </c>
      <c r="KW80" s="6">
        <f>COUNTIFS(Table34[Country],Tabela1[[#This Row],[Country]],Table34[67kg Classification],"&gt;0")</f>
        <v>0</v>
      </c>
      <c r="KX80" s="6">
        <f>COUNTIFS(Table34[Country],Tabela1[[#This Row],[Country]],Table34[Plus 67kg Classification],"&gt;0")</f>
        <v>0</v>
      </c>
      <c r="KY80" s="6">
        <f>COUNTIFS(Table57[Country],Tabela1[[#This Row],[Country]],Table57[Classification],"&gt;0")</f>
        <v>0</v>
      </c>
      <c r="KZ80" s="6">
        <f>COUNTIFS(Table58[Country],Tabela1[[#This Row],[Country]],Table58[Classification],"&gt;0")</f>
        <v>0</v>
      </c>
      <c r="LA80" s="6">
        <f>COUNTIFS(Table79[Country],Tabela1[[#This Row],[Country]],Table79[Men''s Classification],"&gt;0")</f>
        <v>0</v>
      </c>
      <c r="LB80" s="6">
        <f>COUNTIFS(Table79[Country],Tabela1[[#This Row],[Country]],Table79[Women''s Classification],"&gt;0")</f>
        <v>0</v>
      </c>
      <c r="LC80" s="6">
        <f>COUNTIFS(Table79[Country],Tabela1[[#This Row],[Country]],Table79[Mixed Classification],"&gt;0")</f>
        <v>0</v>
      </c>
      <c r="LD80" s="6">
        <f>COUNTIFS(Table65[Country],Tabela1[[#This Row],[Country]],Table65[Classification],"&gt;0")</f>
        <v>0</v>
      </c>
      <c r="LE80" s="6">
        <f>COUNTIFS(Table59[Country],Tabela1[[#This Row],[Country]],Table59[Classification],"&gt;0")</f>
        <v>0</v>
      </c>
      <c r="LF80" s="6">
        <f>COUNTIFS(Table87[Country],Tabela1[[#This Row],[Country]],Table87[Mixed Relay Classification],"&gt;0")</f>
        <v>0</v>
      </c>
      <c r="LG80" s="6">
        <f>COUNTIFS(Table91949698100[Country],Tabela1[[#This Row],[Country]],Table91949698100[Men''s Classification],"&gt;0")</f>
        <v>0</v>
      </c>
      <c r="LH80" s="6">
        <f>COUNTIFS(Table91949698100[Country],Tabela1[[#This Row],[Country]],Table91949698100[Women''s Classification],"&gt;0")</f>
        <v>0</v>
      </c>
      <c r="LI80" s="6">
        <f>COUNTIFS(Table91949698100102[Country],Tabela1[[#This Row],[Country]],Table91949698100102[Men''s Classification],"&gt;0")</f>
        <v>0</v>
      </c>
      <c r="LJ80" s="6">
        <f>COUNTIFS(Table91949698100102[Country],Tabela1[[#This Row],[Country]],Table91949698100102[Women''s Classification],"&gt;0")</f>
        <v>0</v>
      </c>
      <c r="LK80" s="6">
        <f>COUNTIFS(Table23[Country],Tabela1[[#This Row],[Country]],Table23[61kg Classification],"&gt;0")</f>
        <v>0</v>
      </c>
      <c r="LL80" s="6">
        <f>COUNTIFS(Table23[Country],Tabela1[[#This Row],[Country]],Table23[73kg Classification],"&gt;0")</f>
        <v>0</v>
      </c>
      <c r="LM80" s="6">
        <f>COUNTIFS(Table23[Country],Tabela1[[#This Row],[Country]],Table23[89kg Classification],"&gt;0")</f>
        <v>0</v>
      </c>
      <c r="LN80" s="6">
        <f>COUNTIFS(Table23[Country],Tabela1[[#This Row],[Country]],Table23[102kg Classification],"&gt;0")</f>
        <v>0</v>
      </c>
      <c r="LO80" s="6">
        <f>COUNTIFS(Table23[Country],Tabela1[[#This Row],[Country]],Table23[Plus 102kg Classification],"&gt;0")</f>
        <v>0</v>
      </c>
      <c r="LP80" s="6">
        <f>COUNTIFS(Table28[Country],Tabela1[[#This Row],[Country]],Table28[49kg Classification],"&gt;0")</f>
        <v>0</v>
      </c>
      <c r="LQ80" s="6">
        <f>COUNTIFS(Table28[Country],Tabela1[[#This Row],[Country]],Table28[59kg Classification],"&gt;0")</f>
        <v>0</v>
      </c>
      <c r="LR80" s="6">
        <f>COUNTIFS(Table28[Country],Tabela1[[#This Row],[Country]],Table28[71kg Classification],"&gt;0")</f>
        <v>0</v>
      </c>
      <c r="LS80" s="6">
        <f>COUNTIFS(Table28[Country],Tabela1[[#This Row],[Country]],Table28[81kg Classification],"&gt;0")</f>
        <v>0</v>
      </c>
      <c r="LT80" s="6">
        <f>COUNTIFS(Table28[Country],Tabela1[[#This Row],[Country]],Table28[Plus 81kg Classification],"&gt;0")</f>
        <v>0</v>
      </c>
      <c r="LU80" s="6">
        <f>COUNTIFS(Table24[Country],Tabela1[[#This Row],[Country]],Table24[Freestyle 57kg Classification],"&gt;0")</f>
        <v>0</v>
      </c>
      <c r="LV80" s="6">
        <f>COUNTIFS(Table24[Country],Tabela1[[#This Row],[Country]],Table24[Freestyle 65kg Classification],"&gt;0")</f>
        <v>0</v>
      </c>
      <c r="LW80" s="6">
        <f>COUNTIFS(Table24[Country],Tabela1[[#This Row],[Country]],Table24[Freestyle 74kg Classification],"&gt;0")</f>
        <v>0</v>
      </c>
      <c r="LX80" s="6">
        <f>COUNTIFS(Table24[Country],Tabela1[[#This Row],[Country]],Table24[Freestyle 86kg Classification],"&gt;0")</f>
        <v>0</v>
      </c>
      <c r="LY80" s="6">
        <f>COUNTIFS(Table24[Country],Tabela1[[#This Row],[Country]],Table24[Freestyle 97kg Classification],"&gt;0")</f>
        <v>0</v>
      </c>
      <c r="LZ80" s="6">
        <f>COUNTIFS(Table24[Country],Tabela1[[#This Row],[Country]],Table24[Freestyle 125kg Classification],"&gt;0")</f>
        <v>0</v>
      </c>
      <c r="MA80" s="6">
        <f>COUNTIFS(Table24[Country],Tabela1[[#This Row],[Country]],Table24[Greco-Roman 60kg Classification],"&gt;0")</f>
        <v>0</v>
      </c>
      <c r="MB80" s="6">
        <f>COUNTIFS(Table24[Country],Tabela1[[#This Row],[Country]],Table24[Greco-Roman 67kg Classification],"&gt;0")</f>
        <v>0</v>
      </c>
      <c r="MC80" s="6">
        <f>COUNTIFS(Table24[Country],Tabela1[[#This Row],[Country]],Table24[Greco-Roman 77kg Classification],"&gt;0")</f>
        <v>0</v>
      </c>
      <c r="MD80" s="6">
        <f>COUNTIFS(Table24[Country],Tabela1[[#This Row],[Country]],Table24[Greco-Roman 87kg Classification],"&gt;0")</f>
        <v>0</v>
      </c>
      <c r="ME80" s="6">
        <f>COUNTIFS(Table24[Country],Tabela1[[#This Row],[Country]],Table24[Greco-Roman 97kg Classification],"&gt;0")</f>
        <v>0</v>
      </c>
      <c r="MF80" s="6">
        <f>COUNTIFS(Table24[Country],Tabela1[[#This Row],[Country]],Table24[Greco-Roman 130kg Classification],"&gt;0")</f>
        <v>0</v>
      </c>
      <c r="MG80" s="6">
        <f>COUNTIFS(Table31[Country],Tabela1[[#This Row],[Country]],Table31[50kg Classification],"&gt;0")</f>
        <v>0</v>
      </c>
      <c r="MH80" s="6">
        <f>COUNTIFS(Table31[Country],Tabela1[[#This Row],[Country]],Table31[53kg Classification],"&gt;0")</f>
        <v>0</v>
      </c>
      <c r="MI80" s="6">
        <f>COUNTIFS(Table31[Country],Tabela1[[#This Row],[Country]],Table31[57kg Classification],"&gt;0")</f>
        <v>0</v>
      </c>
      <c r="MJ80" s="6">
        <f>COUNTIFS(Table31[Country],Tabela1[[#This Row],[Country]],Table31[62kg Classification],"&gt;0")</f>
        <v>0</v>
      </c>
      <c r="MK80" s="6">
        <f>COUNTIFS(Table31[Country],Tabela1[[#This Row],[Country]],Table31[68kg Classification],"&gt;0")</f>
        <v>0</v>
      </c>
      <c r="ML80" s="6">
        <f>COUNTIFS(Table31[Country],Tabela1[[#This Row],[Country]],Table31[76kg Classification],"&gt;0")</f>
        <v>0</v>
      </c>
      <c r="MM80" s="6">
        <f>COUNTIFS(Table102[Country],Tabela1[[#This Row],[Country]],Table102[Downhill Classification],"&gt;0")</f>
        <v>0</v>
      </c>
      <c r="MN80" s="6">
        <f>COUNTIFS(Table102105[Country],Tabela1[[#This Row],[Country]],Table102105[Downhill Classification],"&gt;0")</f>
        <v>0</v>
      </c>
      <c r="MO80" s="6">
        <f>COUNTIFS(Table102[Country],Tabela1[[#This Row],[Country]],Table102[Giant Slalom Classification],"&gt;0")</f>
        <v>1</v>
      </c>
      <c r="MP80" s="6">
        <f>COUNTIFS(Table102105[Country],Tabela1[[#This Row],[Country]],Table102105[Giant Slalom Classification],"&gt;0")</f>
        <v>0</v>
      </c>
      <c r="MQ80" s="6">
        <f>COUNTIFS(Table102[Country],Tabela1[[#This Row],[Country]],Table102[Slalom Classification],"&gt;0")</f>
        <v>1</v>
      </c>
      <c r="MR80" s="6">
        <f>COUNTIFS(Table102105[Country],Tabela1[[#This Row],[Country]],Table102105[Slalom Classification],"&gt;0")</f>
        <v>0</v>
      </c>
      <c r="MS80" s="6">
        <f>COUNTIFS(Table102[Country],Tabela1[[#This Row],[Country]],Table102[Super-G Classification],"&gt;0")</f>
        <v>0</v>
      </c>
      <c r="MT80" s="6">
        <f>COUNTIFS(Table102105[Country],Tabela1[[#This Row],[Country]],Table102105[Super-G Classification],"&gt;0")</f>
        <v>0</v>
      </c>
      <c r="MU80" s="6">
        <f>COUNTIFS(Table105[Country],Tabela1[[#This Row],[Country]],Table105[Men''s Combined Classification],"&gt;0")</f>
        <v>0</v>
      </c>
      <c r="MV80" s="6">
        <f>COUNTIFS(Table105[Country],Tabela1[[#This Row],[Country]],Table105[Women''s Combined Classification],"&gt;0")</f>
        <v>0</v>
      </c>
      <c r="MW80" s="6">
        <f>COUNTIFS(Table106[Country],Tabela1[[#This Row],[Country]],Table106[Individual Classification],"&gt;0")</f>
        <v>0</v>
      </c>
      <c r="MX80" s="6">
        <f>COUNTIFS(Table106109[Country],Tabela1[[#This Row],[Country]],Table106109[Individual Classification],"&gt;0")</f>
        <v>0</v>
      </c>
      <c r="MY80" s="6">
        <f>COUNTIFS(Table106[Country],Tabela1[[#This Row],[Country]],Table106[Mass Start Classification],"&gt;0")</f>
        <v>0</v>
      </c>
      <c r="MZ80" s="6">
        <f>COUNTIFS(Table106109[Country],Tabela1[[#This Row],[Country]],Table106109[Mass Start Classification],"&gt;0")</f>
        <v>0</v>
      </c>
      <c r="NA80" s="6">
        <f>COUNTIFS(Table106[Country],Tabela1[[#This Row],[Country]],Table106[Pursuit Classification],"&gt;0")</f>
        <v>0</v>
      </c>
      <c r="NB80" s="6">
        <f>COUNTIFS(Table106109[Country],Tabela1[[#This Row],[Country]],Table106109[Pursuit Classification],"&gt;0")</f>
        <v>0</v>
      </c>
      <c r="NC80" s="6">
        <f>COUNTIFS(Table106[Country],Tabela1[[#This Row],[Country]],Table106[Sprint Classification],"&gt;0")</f>
        <v>0</v>
      </c>
      <c r="ND80" s="6">
        <f>COUNTIFS(Table106109[Country],Tabela1[[#This Row],[Country]],Table106109[Sprint Classification],"&gt;0")</f>
        <v>0</v>
      </c>
      <c r="NE80" s="6">
        <f>COUNTIFS(Table109[Country],Tabela1[[#This Row],[Country]],Table109[Men''s Relay Classification],"&gt;0")</f>
        <v>0</v>
      </c>
      <c r="NF80" s="6">
        <f>COUNTIFS(Table109[Country],Tabela1[[#This Row],[Country]],Table109[Women''s Relay Classification],"&gt;0")</f>
        <v>0</v>
      </c>
      <c r="NG80" s="6">
        <f>COUNTIFS(Table109[Country],Tabela1[[#This Row],[Country]],Table109[Mixed Relay Classification],"&gt;0")</f>
        <v>0</v>
      </c>
      <c r="NH80" s="6">
        <f>COUNTIFS(Table110[Country],Tabela1[[#This Row],[Country]],Table110[Monobob Classification],"&gt;0")</f>
        <v>0</v>
      </c>
      <c r="NI80" s="6">
        <f>COUNTIFS(Table111[Country],Tabela1[[#This Row],[Country]],Table111[Men''s Classification],"&gt;0")</f>
        <v>0</v>
      </c>
      <c r="NJ80" s="6">
        <f>COUNTIFS(Table111[Country],Tabela1[[#This Row],[Country]],Table111[Women''s Classification],"&gt;0")</f>
        <v>0</v>
      </c>
      <c r="NK80" s="6">
        <f>COUNTIFS(Table112[Country],Tabela1[[#This Row],[Country]],Table112[Men''s Four Classification],"&gt;0")</f>
        <v>0</v>
      </c>
      <c r="NL80" s="6">
        <f>COUNTIFS(Table113[Country],Tabela1[[#This Row],[Country]],Table113[Classical Classification],"&gt;0")</f>
        <v>0</v>
      </c>
      <c r="NM80" s="6">
        <f>COUNTIFS(Table113116[Country],Tabela1[[#This Row],[Country]],Table113116[Classical Classification],"&gt;0")</f>
        <v>0</v>
      </c>
      <c r="NN80" s="6">
        <f>COUNTIFS(Table113[Country],Tabela1[[#This Row],[Country]],Table113[Freestyle Classification],"&gt;0")</f>
        <v>0</v>
      </c>
      <c r="NO80" s="6">
        <f>COUNTIFS(Table113116[Country],Tabela1[[#This Row],[Country]],Table113116[Freestyle Classification],"&gt;0")</f>
        <v>0</v>
      </c>
      <c r="NP80" s="6">
        <f>COUNTIFS(Table117[Country],Tabela1[[#This Row],[Country]],Table117[Men''s Relay Classification],"&gt;0")</f>
        <v>0</v>
      </c>
      <c r="NQ80" s="6">
        <f>COUNTIFS(Table117[Country],Tabela1[[#This Row],[Country]],Table117[Women''s Relay Classification],"&gt;0")</f>
        <v>0</v>
      </c>
      <c r="NR80" s="6">
        <f>COUNTIFS(Table113[Country],Tabela1[[#This Row],[Country]],Table113[Skiathlon Classification],"&gt;0")</f>
        <v>0</v>
      </c>
      <c r="NS80" s="6">
        <f>COUNTIFS(Table113116[Country],Tabela1[[#This Row],[Country]],Table113116[Skiathlon Classification],"&gt;0")</f>
        <v>0</v>
      </c>
      <c r="NT80" s="6">
        <f>COUNTIFS(Table113[Country],Tabela1[[#This Row],[Country]],Table113[Sprint Classification],"&gt;0")</f>
        <v>0</v>
      </c>
      <c r="NU80" s="6">
        <f>COUNTIFS(Table113116[Country],Tabela1[[#This Row],[Country]],Table113116[Sprint Classification],"&gt;0")</f>
        <v>0</v>
      </c>
      <c r="NV80" s="6">
        <f>COUNTIFS(Table116[Country],Tabela1[[#This Row],[Country]],Table116[Men''s Team Sprint Classification],"&gt;0")</f>
        <v>0</v>
      </c>
      <c r="NW80" s="6">
        <f>COUNTIFS(Table116[Country],Tabela1[[#This Row],[Country]],Table116[Women''s Team Sprint Classification],"&gt;0")</f>
        <v>0</v>
      </c>
      <c r="NX80" s="6">
        <f>COUNTIFS(Table119[Country],Tabela1[[#This Row],[Country]],Table119[Men''s Classification],"&gt;0")</f>
        <v>0</v>
      </c>
      <c r="NY80" s="6">
        <f>COUNTIFS(Table119[Country],Tabela1[[#This Row],[Country]],Table119[Women''s Classification],"&gt;0")</f>
        <v>0</v>
      </c>
      <c r="NZ80" s="6">
        <f>COUNTIFS(Table118[Country],Tabela1[[#This Row],[Country]],Table118[Mixed Classification],"&gt;0")</f>
        <v>0</v>
      </c>
      <c r="OA80" s="6">
        <f>COUNTIFS(Table120[Country],Tabela1[[#This Row],[Country]],Table120[Classification],"&gt;0")</f>
        <v>0</v>
      </c>
      <c r="OB80" s="6">
        <f>COUNTIFS(Table120123[Country],Tabela1[[#This Row],[Country]],Table120123[Classification],"&gt;0")</f>
        <v>0</v>
      </c>
      <c r="OC80" s="6">
        <f>COUNTIFS(Table123[Country],Tabela1[[#This Row],[Country]],Table123[Ice Dance Classification],"&gt;0")</f>
        <v>0</v>
      </c>
      <c r="OD80" s="6">
        <f>COUNTIFS(Table123[Country],Tabela1[[#This Row],[Country]],Table123[Pair Skating Classification],"&gt;0")</f>
        <v>0</v>
      </c>
      <c r="OE80" s="6">
        <f>COUNTIFS(Table124[Country],Tabela1[[#This Row],[Country]],Table124[Mixed Classification],"&gt;0")</f>
        <v>0</v>
      </c>
      <c r="OF80" s="6">
        <f>COUNTIFS(Table125[Country],Tabela1[[#This Row],[Country]],Table125[Aerials Classification],"&gt;0")</f>
        <v>0</v>
      </c>
      <c r="OG80" s="6">
        <f>COUNTIFS(Table125128[Country],Tabela1[[#This Row],[Country]],Table125128[Aerials Classification],"&gt;0")</f>
        <v>0</v>
      </c>
      <c r="OH80" s="6">
        <f>COUNTIFS(Table128[Country],Tabela1[[#This Row],[Country]],Table128[Mixed Aerials Classification],"&gt;0")</f>
        <v>0</v>
      </c>
      <c r="OI80" s="6">
        <f>COUNTIFS(Table125[Country],Tabela1[[#This Row],[Country]],Table125[Big Air Classification],"&gt;0")</f>
        <v>0</v>
      </c>
      <c r="OJ80" s="6">
        <f>COUNTIFS(Table125128[Country],Tabela1[[#This Row],[Country]],Table125128[Big Air Classification],"&gt;0")</f>
        <v>0</v>
      </c>
      <c r="OK80" s="6">
        <f>COUNTIFS(Table125[Country],Tabela1[[#This Row],[Country]],Table125[Dual Moguls Classification],"&gt;0")</f>
        <v>0</v>
      </c>
      <c r="OL80" s="6">
        <f>COUNTIFS(Table125128[Country],Tabela1[[#This Row],[Country]],Table125128[Dual Moguls Classification],"&gt;0")</f>
        <v>1</v>
      </c>
      <c r="OM80" s="6">
        <f>COUNTIFS(Table125[Country],Tabela1[[#This Row],[Country]],Table125[Halfpipe Classification],"&gt;0")</f>
        <v>0</v>
      </c>
      <c r="ON80" s="6">
        <f>COUNTIFS(Table125128[Country],Tabela1[[#This Row],[Country]],Table125128[Halfpipe Classification],"&gt;0")</f>
        <v>0</v>
      </c>
      <c r="OO80" s="6">
        <f>COUNTIFS(Table125[Country],Tabela1[[#This Row],[Country]],Table125[Moguls Classification],"&gt;0")</f>
        <v>0</v>
      </c>
      <c r="OP80" s="6">
        <f>COUNTIFS(Table125128[Country],Tabela1[[#This Row],[Country]],Table125128[Moguls Classification],"&gt;0")</f>
        <v>1</v>
      </c>
      <c r="OQ80" s="6">
        <f>COUNTIFS(Table125[Country],Tabela1[[#This Row],[Country]],Table125[Ski Cross Classification],"&gt;0")</f>
        <v>0</v>
      </c>
      <c r="OR80" s="6">
        <f>COUNTIFS(Table125128[Country],Tabela1[[#This Row],[Country]],Table125128[Ski Cross Classification],"&gt;0")</f>
        <v>0</v>
      </c>
      <c r="OS80" s="6">
        <f>COUNTIFS(Table125[Country],Tabela1[[#This Row],[Country]],Table125[Slopestyle Classification],"&gt;0")</f>
        <v>0</v>
      </c>
      <c r="OT80" s="6">
        <f>COUNTIFS(Table125128[Country],Tabela1[[#This Row],[Country]],Table125128[Slopestyle Classification],"&gt;0")</f>
        <v>0</v>
      </c>
      <c r="OU80" s="6">
        <f>COUNTIFS(Table119131[Country],Tabela1[[#This Row],[Country]],Table119131[Men''s Classification],"&gt;0")</f>
        <v>0</v>
      </c>
      <c r="OV80" s="6">
        <f>COUNTIFS(Table119131[Country],Tabela1[[#This Row],[Country]],Table119131[Women''s Classification],"&gt;0")</f>
        <v>0</v>
      </c>
      <c r="OW80" s="6">
        <f>COUNTIFS(Table131[Country],Tabela1[[#This Row],[Country]],Table131[Classification],"&gt;0")</f>
        <v>0</v>
      </c>
      <c r="OX80" s="6">
        <f>COUNTIFS(Table131134[Country],Tabela1[[#This Row],[Country]],Table131134[Classification],"&gt;0")</f>
        <v>0</v>
      </c>
      <c r="OY80" s="6">
        <f>COUNTIFS(Table134[Country],Tabela1[[#This Row],[Country]],Table134[Men''s Classification],"&gt;0")</f>
        <v>0</v>
      </c>
      <c r="OZ80" s="6">
        <f>COUNTIFS(Table134[Country],Tabela1[[#This Row],[Country]],Table134[Women''s Classification],"&gt;0")</f>
        <v>0</v>
      </c>
      <c r="PA80" s="6">
        <f>COUNTIFS(Table135[Country],Tabela1[[#This Row],[Country]],Table135[Mixed Relay Classification],"&gt;0")</f>
        <v>0</v>
      </c>
      <c r="PB80" s="6">
        <f>COUNTIFS(Table136[Country],Tabela1[[#This Row],[Country]],Table136[Individual Classification],"&gt;0")</f>
        <v>0</v>
      </c>
      <c r="PC80" s="6">
        <f>COUNTIFS(Table136[Country],Tabela1[[#This Row],[Country]],Table136[Sprint Classification],"&gt;0")</f>
        <v>0</v>
      </c>
      <c r="PD80" s="6">
        <f>COUNTIFS(Table137[Country],Tabela1[[#This Row],[Country]],Table137[Men''s Team Sprint Large Hill Classification],"&gt;0")</f>
        <v>0</v>
      </c>
      <c r="PE80" s="6">
        <f>COUNTIFS(Table138[Country],Tabela1[[#This Row],[Country]],Table138[500m Classification],"&gt;0")</f>
        <v>0</v>
      </c>
      <c r="PF80" s="6">
        <f>COUNTIFS(Table138141[Country],Tabela1[[#This Row],[Country]],Table138141[500m Classification],"&gt;0")</f>
        <v>0</v>
      </c>
      <c r="PG80" s="6">
        <f>COUNTIFS(Table138[Country],Tabela1[[#This Row],[Country]],Table138[1000m Classification],"&gt;0")</f>
        <v>0</v>
      </c>
      <c r="PH80" s="6">
        <f>COUNTIFS(Table138141[Country],Tabela1[[#This Row],[Country]],Table138141[1000m Classification],"&gt;0")</f>
        <v>0</v>
      </c>
      <c r="PI80" s="6">
        <f>COUNTIFS(Table138[Country],Tabela1[[#This Row],[Country]],Table138[1500m Classification],"&gt;0")</f>
        <v>0</v>
      </c>
      <c r="PJ80" s="6">
        <f>COUNTIFS(Table138141[Country],Tabela1[[#This Row],[Country]],Table138141[1500m Classification],"&gt;0")</f>
        <v>0</v>
      </c>
      <c r="PK80" s="6">
        <f>COUNTIFS(Table141[Country],Tabela1[[#This Row],[Country]],Table141[Men''s 5000m Relay Classification],"&gt;0")</f>
        <v>0</v>
      </c>
      <c r="PL80" s="6">
        <f>COUNTIFS(Table141[Country],Tabela1[[#This Row],[Country]],Table141[Women''s 3000m Relay Classification],"&gt;0")</f>
        <v>0</v>
      </c>
      <c r="PM80" s="6">
        <f>COUNTIFS(Table141[Country],Tabela1[[#This Row],[Country]],Table141[Mixed 2000m Relay Classification],"&gt;0")</f>
        <v>0</v>
      </c>
      <c r="PN80" s="6">
        <f>COUNTIFS(Table142[Country],Tabela1[[#This Row],[Country]],Table142[Classification],"&gt;0")</f>
        <v>0</v>
      </c>
      <c r="PO80" s="6">
        <f>COUNTIFS(Table142145[Country],Tabela1[[#This Row],[Country]],Table142145[Classification],"&gt;0")</f>
        <v>0</v>
      </c>
      <c r="PP80" s="6">
        <f>COUNTIFS(Tabela15[Country],Tabela1[[#This Row],[Country]],Tabela15[Mixed Team Classification],"&gt;0")</f>
        <v>0</v>
      </c>
      <c r="PQ80" s="6">
        <f>COUNTIFS(Table145[Country],Tabela1[[#This Row],[Country]],Table145[Large Hill Classification],"&gt;0")</f>
        <v>0</v>
      </c>
      <c r="PR80" s="6">
        <f>COUNTIFS(Table145[Country],Tabela1[[#This Row],[Country]],Table145[Normal Hill Classification],"&gt;0")</f>
        <v>0</v>
      </c>
      <c r="PS80" s="6">
        <f>COUNTIFS(Table145148[Country],Tabela1[[#This Row],[Country]],Table145148[Large Hill Classification],"&gt;0")</f>
        <v>0</v>
      </c>
      <c r="PT80" s="6">
        <f>COUNTIFS(Table145148[Country],Tabela1[[#This Row],[Country]],Table145148[Normal Hill Classification],"&gt;0")</f>
        <v>0</v>
      </c>
      <c r="PU80" s="6">
        <f>COUNTIFS(Table148[Country],Tabela1[[#This Row],[Country]],Table148[Men''s Super Team Classification],"&gt;0")</f>
        <v>0</v>
      </c>
      <c r="PV80" s="6">
        <f>COUNTIFS(Tabela114[Country],Tabela1[[#This Row],[Country]],Tabela114[Mixed Normal Hill Classification],"&gt;0")</f>
        <v>0</v>
      </c>
      <c r="PW80" s="6">
        <f>COUNTIFS(Tabela50[Country],Tabela1[[#This Row],[Country]],Tabela50[Sprint Classification],"&gt;0")</f>
        <v>0</v>
      </c>
      <c r="PX80" s="6">
        <f>COUNTIFS(Tabela50101[Country],Tabela1[[#This Row],[Country]],Tabela50101[Sprint Classification],"&gt;0")</f>
        <v>0</v>
      </c>
      <c r="PY80" s="6">
        <f>COUNTIFS(Tabela103[Country],Tabela1[[#This Row],[Country]],Tabela103[Mixed Relay Classification],"&gt;0")</f>
        <v>0</v>
      </c>
      <c r="PZ80" s="6">
        <f>COUNTIFS(Table149[Country],Tabela1[[#This Row],[Country]],Table149[Big Air Classification],"&gt;0")</f>
        <v>0</v>
      </c>
      <c r="QA80" s="6">
        <f>COUNTIFS(Table149152[Country],Tabela1[[#This Row],[Country]],Table149152[Big Air Classification],"&gt;0")</f>
        <v>0</v>
      </c>
      <c r="QB80" s="6">
        <f>COUNTIFS(Table149[Country],Tabela1[[#This Row],[Country]],Table149[Halfpipe Classification],"&gt;0")</f>
        <v>0</v>
      </c>
      <c r="QC80" s="6">
        <f>COUNTIFS(Table149152[Country],Tabela1[[#This Row],[Country]],Table149152[Halfpipe Classification],"&gt;0")</f>
        <v>0</v>
      </c>
      <c r="QD80" s="6">
        <f>COUNTIFS(Table149[Country],Tabela1[[#This Row],[Country]],Table149[Parallel Giant Slalom Classification],"&gt;0")</f>
        <v>0</v>
      </c>
      <c r="QE80" s="6">
        <f>COUNTIFS(Table149152[Country],Tabela1[[#This Row],[Country]],Table149152[Parallel Giant Slalom Classification],"&gt;0")</f>
        <v>0</v>
      </c>
      <c r="QF80" s="6">
        <f>COUNTIFS(Table149[Country],Tabela1[[#This Row],[Country]],Table149[Slopestyle Classification],"&gt;0")</f>
        <v>0</v>
      </c>
      <c r="QG80" s="6">
        <f>COUNTIFS(Table149152[Country],Tabela1[[#This Row],[Country]],Table149152[Slopestyle Classification],"&gt;0")</f>
        <v>0</v>
      </c>
      <c r="QH80" s="6">
        <f>COUNTIFS(Table149[Country],Tabela1[[#This Row],[Country]],Table149[Snowboard Cross Classification],"&gt;0")</f>
        <v>0</v>
      </c>
      <c r="QI80" s="6">
        <f>COUNTIFS(Table149152[Country],Tabela1[[#This Row],[Country]],Table149152[Snowboard Cross Classification],"&gt;0")</f>
        <v>0</v>
      </c>
      <c r="QJ80" s="6">
        <f>COUNTIFS(Table153[Country],Tabela1[[#This Row],[Country]],Table153[Mixed Team Snowboard Cross Classification],"&gt;0")</f>
        <v>0</v>
      </c>
      <c r="QK80" s="6">
        <f>COUNTIFS(Table154[Country],Tabela1[[#This Row],[Country]],Table154[500m Classification],"&gt;0")</f>
        <v>0</v>
      </c>
      <c r="QL80" s="6">
        <f>COUNTIFS(Table154157[Country],Tabela1[[#This Row],[Country]],Table154157[500m Classification],"&gt;0")</f>
        <v>0</v>
      </c>
      <c r="QM80" s="6">
        <f>COUNTIFS(Table154[Country],Tabela1[[#This Row],[Country]],Table154[1000m Classification],"&gt;0")</f>
        <v>0</v>
      </c>
      <c r="QN80" s="6">
        <f>COUNTIFS(Table154157[Country],Tabela1[[#This Row],[Country]],Table154157[1000m Classification],"&gt;0")</f>
        <v>0</v>
      </c>
      <c r="QO80" s="6">
        <f>COUNTIFS(Table154[Country],Tabela1[[#This Row],[Country]],Table154[1500m Classification],"&gt;0")</f>
        <v>0</v>
      </c>
      <c r="QP80" s="6">
        <f>COUNTIFS(Table154157[Country],Tabela1[[#This Row],[Country]],Table154157[1500m Classification],"&gt;0")</f>
        <v>0</v>
      </c>
      <c r="QQ80" s="6">
        <f>COUNTIFS(Table154157[Country],Tabela1[[#This Row],[Country]],Table154157[3000m Classification],"&gt;0")</f>
        <v>0</v>
      </c>
      <c r="QR80" s="6">
        <f>COUNTIFS(Table154[Country],Tabela1[[#This Row],[Country]],Table154[5000m Classification],"&gt;0")</f>
        <v>0</v>
      </c>
      <c r="QS80" s="6">
        <f>COUNTIFS(Table154157[Country],Tabela1[[#This Row],[Country]],Table154157[5000m Classification],"&gt;0")</f>
        <v>0</v>
      </c>
      <c r="QT80" s="6">
        <f>COUNTIFS(Table154[Country],Tabela1[[#This Row],[Country]],Table154[10000m Classification],"&gt;0")</f>
        <v>0</v>
      </c>
      <c r="QU80" s="6">
        <f>COUNTIFS(Table154[Country],Tabela1[[#This Row],[Country]],Table154[Mass Start Classification],"&gt;0")</f>
        <v>0</v>
      </c>
      <c r="QV80" s="6">
        <f>COUNTIFS(Table154157[Country],Tabela1[[#This Row],[Country]],Table154157[Mass Start Classification],"&gt;0")</f>
        <v>0</v>
      </c>
      <c r="QW80" s="6">
        <f>COUNTIFS(Table157[Country],Tabela1[[#This Row],[Country]],Table157[Men''s Pursuit Classification],"&gt;0")</f>
        <v>0</v>
      </c>
      <c r="QX80" s="6">
        <f>COUNTIFS(Table157[Country],Tabela1[[#This Row],[Country]],Table157[Women''s Pursuit Classification],"&gt;0")</f>
        <v>0</v>
      </c>
      <c r="QY80" s="4" t="s">
        <v>423</v>
      </c>
    </row>
    <row r="81" spans="1:467" x14ac:dyDescent="0.3">
      <c r="A81" s="6">
        <v>80</v>
      </c>
      <c r="B81" s="6" t="s">
        <v>508</v>
      </c>
      <c r="C81" t="e" vm="80">
        <f>IF(ISBLANK(Tabela1[[#This Row],[Image Link]]), "", _xlfn.IMAGE(Tabela1[[#This Row],[Image Link]],1,1))</f>
        <v>#VALUE!</v>
      </c>
      <c r="D81" s="6">
        <f>SUM(Tabela1[[#This Row],[Archery - Men''s Individual Recurve]:[Speed Skating - Women''s Team Pursuit]])</f>
        <v>5</v>
      </c>
      <c r="E81" s="6">
        <f>COUNTIF(Tabela1[[#This Row],[Archery - Men''s Individual Recurve]:[Speed Skating - Women''s Team Pursuit]],"&gt;0")</f>
        <v>5</v>
      </c>
      <c r="F81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81" s="6">
        <f>SUM(Tabela1[[#This Row],[Archery - Men''s Individual Recurve]:[Wrestling - Women''s Freestyle 76kg]])</f>
        <v>5</v>
      </c>
      <c r="H81" s="6">
        <f>SUM(Tabela1[[#This Row],[Alpine Skiing - Men''s Downhill]:[Speed Skating - Women''s Team Pursuit]])</f>
        <v>0</v>
      </c>
      <c r="I81" s="6">
        <f>Tabela1[[#This Row],[Summer Gold Medals]]+Tabela1[[#This Row],[Winter Gold Medals]]</f>
        <v>0</v>
      </c>
      <c r="J81" s="6">
        <f>Tabela1[[#This Row],[Summer Silver Medals]]+Tabela1[[#This Row],[Winter Silver Medals]]</f>
        <v>0</v>
      </c>
      <c r="K81" s="6">
        <f>Tabela1[[#This Row],[Summer Bronze Medals]]+Tabela1[[#This Row],[Winter Bronze Medals]]</f>
        <v>0</v>
      </c>
      <c r="L81" s="6">
        <f>SUM(Tabela1[[#This Row],[Total Gold Medals]:[Total Bronze Medals]])</f>
        <v>0</v>
      </c>
      <c r="M81" s="6"/>
      <c r="N81" s="6"/>
      <c r="O81" s="6"/>
      <c r="P81" s="6">
        <f>SUM(Tabela1[[#This Row],[Summer Gold Medals]:[Summer Bronze Medals]])</f>
        <v>0</v>
      </c>
      <c r="Q81" s="6"/>
      <c r="R81" s="6"/>
      <c r="S81" s="6"/>
      <c r="T81" s="6">
        <f>Tabela1[[#This Row],[Winter Gold Medals]]+Tabela1[[#This Row],[Winter Silver Medals]]+Tabela1[[#This Row],[Winter Bronze Medals]]</f>
        <v>0</v>
      </c>
      <c r="U81" s="7">
        <f>Tabela1[[#This Row],[Total Medals]]/Tabela1[[#This Row],[Total Quotas]]</f>
        <v>0</v>
      </c>
      <c r="V81" s="6">
        <f>COUNTIFS(Table3[Country],Tabela1[[#This Row],[Country]],Table3[Recurve Classification],"&gt;0")</f>
        <v>0</v>
      </c>
      <c r="W81" s="6">
        <f>COUNTIFS(Table33[Country],Tabela1[[#This Row],[Country]],Table33[Recurve Classification],"&gt;0")</f>
        <v>0</v>
      </c>
      <c r="X81" s="6">
        <f>COUNTIFS(Table35[Country],Tabela1[[#This Row],[Country]],Table35[Men''s Team Recurve Classification],"&gt;0")</f>
        <v>0</v>
      </c>
      <c r="Y81" s="6">
        <f>COUNTIFS(Table35[Country],Tabela1[[#This Row],[Country]],Table35[Women''s Team Recurve Classification],"&gt;0")</f>
        <v>0</v>
      </c>
      <c r="Z81" s="6">
        <f>COUNTIFS(Tabela88[Country],Tabela1[[#This Row],[Country]],Tabela88[Mixed Team Recurve Classification],"&gt;0")</f>
        <v>0</v>
      </c>
      <c r="AA81" s="6">
        <f>COUNTIFS(Table36[Country],Tabela1[[#This Row],[Country]],Table36[Classification],"&gt;0")</f>
        <v>0</v>
      </c>
      <c r="AB81" s="6">
        <f>COUNTIFS(Table37[Country],Tabela1[[#This Row],[Country]],Table37[Classification],"&gt;0")</f>
        <v>0</v>
      </c>
      <c r="AC81" s="6">
        <f>COUNTIFS(Table4[Country],Tabela1[[#This Row],[Country]],Table4[100m Classification],"&gt;0")</f>
        <v>0</v>
      </c>
      <c r="AD81" s="6">
        <f>COUNTIFS(Table5[Country],Tabela1[[#This Row],[Country]],Table5[100m Classification],"&gt;0")</f>
        <v>0</v>
      </c>
      <c r="AE81" s="6">
        <f>COUNTIFS(Table4[Country],Tabela1[[#This Row],[Country]],Table4[200m Classification],"&gt;0")</f>
        <v>0</v>
      </c>
      <c r="AF81" s="6">
        <f>COUNTIFS(Table5[Country],Tabela1[[#This Row],[Country]],Table5[200m Classification],"&gt;0")</f>
        <v>0</v>
      </c>
      <c r="AG81" s="6">
        <f>COUNTIFS(Table4[Country],Tabela1[[#This Row],[Country]],Table4[400m Classification],"&gt;0")</f>
        <v>0</v>
      </c>
      <c r="AH81" s="6">
        <f>COUNTIFS(Table5[Country],Tabela1[[#This Row],[Country]],Table5[400m Classification],"&gt;0")</f>
        <v>0</v>
      </c>
      <c r="AI81" s="6">
        <f>COUNTIFS(Table4[Country],Tabela1[[#This Row],[Country]],Table4[800m Classification],"&gt;0")</f>
        <v>0</v>
      </c>
      <c r="AJ81" s="6">
        <f>COUNTIFS(Table5[Country],Tabela1[[#This Row],[Country]],Table5[800m Classification],"&gt;0")</f>
        <v>0</v>
      </c>
      <c r="AK81" s="6">
        <f>COUNTIFS(Table4[Country],Tabela1[[#This Row],[Country]],Table4[1500m Classification],"&gt;0")</f>
        <v>0</v>
      </c>
      <c r="AL81" s="6">
        <f>COUNTIFS(Table5[Country],Tabela1[[#This Row],[Country]],Table5[1500m Classification],"&gt;0")</f>
        <v>0</v>
      </c>
      <c r="AM81" s="6">
        <f>COUNTIFS(Table4[Country],Tabela1[[#This Row],[Country]],Table4[5000m Classification],"&gt;0")</f>
        <v>0</v>
      </c>
      <c r="AN81" s="6">
        <f>COUNTIFS(Table5[Country],Tabela1[[#This Row],[Country]],Table5[5000m Classification],"&gt;0")</f>
        <v>0</v>
      </c>
      <c r="AO81" s="6">
        <f>COUNTIFS(Table4[Country],Tabela1[[#This Row],[Country]],Table4[10000m Classification],"&gt;0")</f>
        <v>0</v>
      </c>
      <c r="AP81" s="6">
        <f>COUNTIFS(Table5[Country],Tabela1[[#This Row],[Country]],Table5[10000m Classification],"&gt;0")</f>
        <v>0</v>
      </c>
      <c r="AQ81" s="6">
        <f>COUNTIFS(Table4[Country],Tabela1[[#This Row],[Country]],Table4[110m Hurdles Classification],"&gt;0")</f>
        <v>0</v>
      </c>
      <c r="AR81" s="6">
        <f>COUNTIFS(Table5[Country],Tabela1[[#This Row],[Country]],Table5[100m Hurdles Classification],"&gt;0")</f>
        <v>0</v>
      </c>
      <c r="AS81" s="6">
        <f>COUNTIFS(Table4[Country],Tabela1[[#This Row],[Country]],Table4[400m Hurdles Classification],"&gt;0")</f>
        <v>0</v>
      </c>
      <c r="AT81" s="6">
        <f>COUNTIFS(Table5[Country],Tabela1[[#This Row],[Country]],Table5[400m Hurdles Classification],"&gt;0")</f>
        <v>0</v>
      </c>
      <c r="AU81" s="6">
        <f>COUNTIFS(Table4[Country],Tabela1[[#This Row],[Country]],Table4[3000m Steeplechase Classification],"&gt;0")</f>
        <v>0</v>
      </c>
      <c r="AV81" s="6">
        <f>COUNTIFS(Table5[Country],Tabela1[[#This Row],[Country]],Table5[3000m Steeplechase Classification],"&gt;0")</f>
        <v>0</v>
      </c>
      <c r="AW81" s="6">
        <f>COUNTIFS(Table27[Country],Tabela1[[#This Row],[Country]],Table27[Men''s 4x100m Relay Classification],"&gt;0")</f>
        <v>0</v>
      </c>
      <c r="AX81" s="6">
        <f>COUNTIFS(Table27[Country],Tabela1[[#This Row],[Country]],Table27[Women''s 4x100m Relay Classification],"&gt;0")</f>
        <v>0</v>
      </c>
      <c r="AY81" s="6">
        <f>COUNTIFS(Table27[Country],Tabela1[[#This Row],[Country]],Table27[Men''s 4x400m Relay Classification],"&gt;0")</f>
        <v>0</v>
      </c>
      <c r="AZ81" s="6">
        <f>COUNTIFS(Table27[Country],Tabela1[[#This Row],[Country]],Table27[Women''s 4x400m Relay Classification],"&gt;0")</f>
        <v>0</v>
      </c>
      <c r="BA81" s="6">
        <f>COUNTIFS(Table27[Country],Tabela1[[#This Row],[Country]],Table27[Mixed 4x400m Relay Classification],"&gt;0")</f>
        <v>0</v>
      </c>
      <c r="BB81" s="6">
        <f>COUNTIFS(Table4[Country],Tabela1[[#This Row],[Country]],Table4[Marathon Classification],"&gt;0")</f>
        <v>0</v>
      </c>
      <c r="BC81" s="6">
        <f>COUNTIFS(Table5[Country],Tabela1[[#This Row],[Country]],Table5[Marathon Classification],"&gt;0")</f>
        <v>0</v>
      </c>
      <c r="BD81" s="6">
        <f>COUNTIFS(Table4[Country],Tabela1[[#This Row],[Country]],Table4[20km Race Walk Classification],"&gt;0")</f>
        <v>0</v>
      </c>
      <c r="BE81" s="6">
        <f>COUNTIFS(Table5[Country],Tabela1[[#This Row],[Country]],Table5[20km Race Walk Classification],"&gt;0")</f>
        <v>0</v>
      </c>
      <c r="BF81" s="6">
        <f>COUNTIFS(Tabela96[Country],Tabela1[[#This Row],[Country]],Tabela96[Mixed Marathon Race Walk Relay Classification],"&gt;0")</f>
        <v>0</v>
      </c>
      <c r="BG81" s="6">
        <f>COUNTIFS(Table4[Country],Tabela1[[#This Row],[Country]],Table4[Discus Throw Classification],"&gt;0")</f>
        <v>0</v>
      </c>
      <c r="BH81" s="6">
        <f>COUNTIFS(Table5[Country],Tabela1[[#This Row],[Country]],Table5[Discus Throw Classification],"&gt;0")</f>
        <v>0</v>
      </c>
      <c r="BI81" s="6">
        <f>COUNTIFS(Table4[Country],Tabela1[[#This Row],[Country]],Table4[Hammer Throw Classification],"&gt;0")</f>
        <v>0</v>
      </c>
      <c r="BJ81" s="6">
        <f>COUNTIFS(Table5[Country],Tabela1[[#This Row],[Country]],Table5[Hammer Throw Classification],"&gt;0")</f>
        <v>0</v>
      </c>
      <c r="BK81" s="6">
        <f>COUNTIFS(Table4[Country],Tabela1[[#This Row],[Country]],Table4[High Jump Classification],"&gt;0")</f>
        <v>0</v>
      </c>
      <c r="BL81" s="6">
        <f>COUNTIFS(Table5[Country],Tabela1[[#This Row],[Country]],Table5[High Jump Classification],"&gt;0")</f>
        <v>0</v>
      </c>
      <c r="BM81" s="6">
        <f>COUNTIFS(Table4[Country],Tabela1[[#This Row],[Country]],Table4[Javelin Throw Classification],"&gt;0")</f>
        <v>0</v>
      </c>
      <c r="BN81" s="6">
        <f>COUNTIFS(Table5[Country],Tabela1[[#This Row],[Country]],Table5[Javelin Throw Classification],"&gt;0")</f>
        <v>0</v>
      </c>
      <c r="BO81" s="6">
        <f>COUNTIFS(Table4[Country],Tabela1[[#This Row],[Country]],Table4[Long Jump Classification],"&gt;0")</f>
        <v>0</v>
      </c>
      <c r="BP81" s="6">
        <f>COUNTIFS(Table5[Country],Tabela1[[#This Row],[Country]],Table5[Long Jump Classification],"&gt;0")</f>
        <v>0</v>
      </c>
      <c r="BQ81" s="6">
        <f>COUNTIFS(Table4[Country],Tabela1[[#This Row],[Country]],Table4[Pole Vault Classification],"&gt;0")</f>
        <v>0</v>
      </c>
      <c r="BR81" s="6">
        <f>COUNTIFS(Table5[Country],Tabela1[[#This Row],[Country]],Table5[Pole Vault Classification],"&gt;0")</f>
        <v>0</v>
      </c>
      <c r="BS81" s="6">
        <f>COUNTIFS(Table4[Country],Tabela1[[#This Row],[Country]],Table4[Shot Put Classification],"&gt;0")</f>
        <v>0</v>
      </c>
      <c r="BT81" s="6">
        <f>COUNTIFS(Table5[Country],Tabela1[[#This Row],[Country]],Table5[Shot Put Classification],"&gt;0")</f>
        <v>0</v>
      </c>
      <c r="BU81" s="6">
        <f>COUNTIFS(Table4[Country],Tabela1[[#This Row],[Country]],Table4[Triple Jump Classification],"&gt;0")</f>
        <v>0</v>
      </c>
      <c r="BV81" s="6">
        <f>COUNTIFS(Table5[Country],Tabela1[[#This Row],[Country]],Table5[Triple Jump Classification],"&gt;0")</f>
        <v>0</v>
      </c>
      <c r="BW81" s="6">
        <f>COUNTIFS(Table4[Country],Tabela1[[#This Row],[Country]],Table4[Decathlon Classification],"&gt;0")</f>
        <v>0</v>
      </c>
      <c r="BX81" s="6">
        <f>COUNTIFS(Table5[Country],Tabela1[[#This Row],[Country]],Table5[Heptathlon Classification],"&gt;0")</f>
        <v>0</v>
      </c>
      <c r="BY81" s="6">
        <f>COUNTIFS(Table61[Country],Tabela1[[#This Row],[Country]],Table61[Classification],"&gt;0")</f>
        <v>0</v>
      </c>
      <c r="BZ81" s="6">
        <f>COUNTIFS(Table38[Country],Tabela1[[#This Row],[Country]],Table38[Classification],"&gt;0")</f>
        <v>0</v>
      </c>
      <c r="CA81" s="6">
        <f>COUNTIFS(Table39[Country],Tabela1[[#This Row],[Country]],Table39[Men''s Classification],"&gt;0")</f>
        <v>0</v>
      </c>
      <c r="CB81" s="6">
        <f>COUNTIFS(Table39[Country],Tabela1[[#This Row],[Country]],Table39[Women''s Classification],"&gt;0")</f>
        <v>0</v>
      </c>
      <c r="CC81" s="6">
        <f>COUNTIFS(Table39[Country],Tabela1[[#This Row],[Country]],Table39[Mixed Classification],"&gt;0")</f>
        <v>0</v>
      </c>
      <c r="CD81" s="6">
        <f>COUNTIFS(Table89[Country],Tabela1[[#This Row],[Country]],Table89[Men''s Classification],"&gt;0")</f>
        <v>0</v>
      </c>
      <c r="CE81" s="6">
        <f>COUNTIFS(Table89[Country],Tabela1[[#This Row],[Country]],Table89[Women''s Classification],"&gt;0")</f>
        <v>0</v>
      </c>
      <c r="CF81" s="6">
        <f>COUNTIFS(Table90[Country],Tabela1[[#This Row],[Country]],Table90[Men''s Classification],"&gt;0")</f>
        <v>0</v>
      </c>
      <c r="CG81" s="6">
        <f>COUNTIFS(Table90[Country],Tabela1[[#This Row],[Country]],Table90[Women''s Classification],"&gt;0")</f>
        <v>0</v>
      </c>
      <c r="CH81" s="6">
        <f>COUNTIFS(Table60[Country],Tabela1[[#This Row],[Country]],Table60[Men''s Classification],"&gt;0")</f>
        <v>0</v>
      </c>
      <c r="CI81" s="6">
        <f>COUNTIFS(Table60[Country],Tabela1[[#This Row],[Country]],Table60[Women''s Classification],"&gt;0")</f>
        <v>0</v>
      </c>
      <c r="CJ81" s="6">
        <f>COUNTIFS(Table6[Country],Tabela1[[#This Row],[Country]],Table6[51kg Classification],"&gt;0")</f>
        <v>0</v>
      </c>
      <c r="CK81" s="6">
        <f>COUNTIFS(Table6[Country],Tabela1[[#This Row],[Country]],Table6[57kg Classification],"&gt;0")</f>
        <v>0</v>
      </c>
      <c r="CL81" s="6">
        <f>COUNTIFS(Table6[Country],Tabela1[[#This Row],[Country]],Table6[63.5kg Classification],"&gt;0")</f>
        <v>0</v>
      </c>
      <c r="CM81" s="6">
        <f>COUNTIFS(Table6[Country],Tabela1[[#This Row],[Country]],Table6[71kg Classification],"&gt;0")</f>
        <v>0</v>
      </c>
      <c r="CN81" s="6">
        <f>COUNTIFS(Table6[Country],Tabela1[[#This Row],[Country]],Table6[80kg Classification],"&gt;0")</f>
        <v>0</v>
      </c>
      <c r="CO81" s="6">
        <f>COUNTIFS(Table6[Country],Tabela1[[#This Row],[Country]],Table6[92kg Classification],"&gt;0")</f>
        <v>0</v>
      </c>
      <c r="CP81" s="6">
        <f>COUNTIFS(Table6[Country],Tabela1[[#This Row],[Country]],Table6[Plus 92kg Classification],"&gt;0")</f>
        <v>0</v>
      </c>
      <c r="CQ81" s="6">
        <f>COUNTIFS(Table7[Country],Tabela1[[#This Row],[Country]],Table7[50kg Classification],"&gt;0")</f>
        <v>0</v>
      </c>
      <c r="CR81" s="6">
        <f>COUNTIFS(Table7[Country],Tabela1[[#This Row],[Country]],Table7[54kg Classification],"&gt;0")</f>
        <v>0</v>
      </c>
      <c r="CS81" s="6">
        <f>COUNTIFS(Table7[Country],Tabela1[[#This Row],[Country]],Table7[57kg Classification],"&gt;0")</f>
        <v>0</v>
      </c>
      <c r="CT81" s="6">
        <f>COUNTIFS(Table7[Country],Tabela1[[#This Row],[Country]],Table7[60kg Classification],"&gt;0")</f>
        <v>0</v>
      </c>
      <c r="CU81" s="6">
        <f>COUNTIFS(Table7[Country],Tabela1[[#This Row],[Country]],Table7[66kg Classification],"&gt;0")</f>
        <v>0</v>
      </c>
      <c r="CV81" s="6">
        <f>COUNTIFS(Table7[Country],Tabela1[[#This Row],[Country]],Table7[75kg Classification],"&gt;0")</f>
        <v>0</v>
      </c>
      <c r="CW81" s="6">
        <f>COUNTIFS(Tabela94[Country],Tabela1[[#This Row],[Country]],Tabela94[Classification],"&gt;0")</f>
        <v>0</v>
      </c>
      <c r="CX81" s="6">
        <f>COUNTIFS(Tabela9499[Country],Tabela1[[#This Row],[Country]],Tabela9499[Classification],"&gt;0")</f>
        <v>0</v>
      </c>
      <c r="CY81" s="6">
        <f>COUNTIFS(Tabela107[Country],Tabela1[[#This Row],[Country]],Tabela107[C1 Slalom Classification],"&gt;0")</f>
        <v>0</v>
      </c>
      <c r="CZ81" s="6">
        <f>COUNTIFS(Tabela107122[Country],Tabela1[[#This Row],[Country]],Tabela107122[C1 Slalom Classification],"&gt;0")</f>
        <v>0</v>
      </c>
      <c r="DA81" s="6">
        <f>COUNTIFS(Tabela107[Country],Tabela1[[#This Row],[Country]],Tabela107[K1 Slalom Classification],"&gt;0")</f>
        <v>0</v>
      </c>
      <c r="DB81" s="6">
        <f>COUNTIFS(Tabela107122[Country],Tabela1[[#This Row],[Country]],Tabela107122[K1 Slalom Classification],"&gt;0")</f>
        <v>0</v>
      </c>
      <c r="DC81" s="6">
        <f>COUNTIFS(Tabela107[Country],Tabela1[[#This Row],[Country]],Tabela107[Kayak Cross Slalom Classification],"&gt;0")</f>
        <v>0</v>
      </c>
      <c r="DD81" s="6">
        <f>COUNTIFS(Tabela107122[Country],Tabela1[[#This Row],[Country]],Tabela107122[Kayak Cross Slalom Classification],"&gt;0")</f>
        <v>0</v>
      </c>
      <c r="DE81" s="6">
        <f>COUNTIFS(Table8[Country],Tabela1[[#This Row],[Country]],Table8[C1 200m Classification],"&gt;0")</f>
        <v>0</v>
      </c>
      <c r="DF81" s="6">
        <f>COUNTIFS(Table40[Country],Tabela1[[#This Row],[Country]],Table40[C1 1000m Classification],"&gt;0")</f>
        <v>0</v>
      </c>
      <c r="DG81" s="6">
        <f>COUNTIFS(Table68[Country],Tabela1[[#This Row],[Country]],Table68[Men''s C2 500m Classification],"&gt;0")</f>
        <v>0</v>
      </c>
      <c r="DH81" s="6">
        <f>COUNTIFS(Table68[Country],Tabela1[[#This Row],[Country]],Table68[Women''s C2 500m Classification],"&gt;0")</f>
        <v>0</v>
      </c>
      <c r="DI81" s="6">
        <f>COUNTIFS(Table8[Country],Tabela1[[#This Row],[Country]],Table8[K1 500m Classification],"&gt;0")</f>
        <v>0</v>
      </c>
      <c r="DJ81" s="6">
        <f>COUNTIFS(Table40[Country],Tabela1[[#This Row],[Country]],Table40[K1 1000m Classification],"&gt;0")</f>
        <v>0</v>
      </c>
      <c r="DK81" s="6">
        <f>COUNTIFS(Table68[Country],Tabela1[[#This Row],[Country]],Table68[Men''s K2 500m Classification],"&gt;0")</f>
        <v>0</v>
      </c>
      <c r="DL81" s="6">
        <f>COUNTIFS(Table68[Country],Tabela1[[#This Row],[Country]],Table68[Women''s K2 500m Classification],"&gt;0")</f>
        <v>0</v>
      </c>
      <c r="DM81" s="6">
        <f>COUNTIFS(Table83[Country],Tabela1[[#This Row],[Country]],Table83[Men''s K4 500m Classification],"&gt;0")</f>
        <v>0</v>
      </c>
      <c r="DN81" s="6">
        <f>COUNTIFS(Table83[Country],Tabela1[[#This Row],[Country]],Table83[Women''s K4 500m Classification],"&gt;0")</f>
        <v>0</v>
      </c>
      <c r="DO81" s="6">
        <f>COUNTIFS(Tabela126[Country],Tabela1[[#This Row],[Country]],Tabela126[Classification],"&gt;0")</f>
        <v>0</v>
      </c>
      <c r="DP81" s="6">
        <f>COUNTIFS(Tabela126130[Country],Tabela1[[#This Row],[Country]],Tabela126130[Classification],"&gt;0")</f>
        <v>0</v>
      </c>
      <c r="DQ81" s="6">
        <f>COUNTIFS(Table70[Country],Tabela1[[#This Row],[Country]],Table70[Classification],"&gt;0")</f>
        <v>0</v>
      </c>
      <c r="DR81" s="6">
        <f>COUNTIFS(Table80[Country],Tabela1[[#This Row],[Country]],Table80[Classification],"&gt;0")</f>
        <v>1</v>
      </c>
      <c r="DS81" s="6">
        <f>COUNTIFS(Table66[Country],Tabela1[[#This Row],[Country]],Table66[Classification],"&gt;0")</f>
        <v>0</v>
      </c>
      <c r="DT81" s="6">
        <f>COUNTIFS(Table67[Country],Tabela1[[#This Row],[Country]],Table67[Classification],"&gt;0")</f>
        <v>0</v>
      </c>
      <c r="DU81" s="6">
        <f>COUNTIFS(Table69[Country],Tabela1[[#This Row],[Country]],Table69[Keirin Classification],"&gt;0")</f>
        <v>0</v>
      </c>
      <c r="DV81" s="6">
        <f>COUNTIFS(Table41[Country],Tabela1[[#This Row],[Country]],Table41[Keirin Classification],"&gt;0")</f>
        <v>0</v>
      </c>
      <c r="DW81" s="6">
        <f>COUNTIFS(Table84[Country],Tabela1[[#This Row],[Country]],Table84[Men''s Madison Classification],"&gt;0")</f>
        <v>0</v>
      </c>
      <c r="DX81" s="6">
        <f>COUNTIFS(Table84[Country],Tabela1[[#This Row],[Country]],Table84[Women''s Madison Classification],"&gt;0")</f>
        <v>0</v>
      </c>
      <c r="DY81" s="6">
        <f>COUNTIFS(Table69[Country],Tabela1[[#This Row],[Country]],Table69[Omnium Classification],"&gt;0")</f>
        <v>0</v>
      </c>
      <c r="DZ81" s="6">
        <f>COUNTIFS(Table41[Country],Tabela1[[#This Row],[Country]],Table41[Omnium Classification],"&gt;0")</f>
        <v>0</v>
      </c>
      <c r="EA81" s="6">
        <f>COUNTIFS(Table9[Country],Tabela1[[#This Row],[Country]],Table9[Road Race Classification],"&gt;0")</f>
        <v>0</v>
      </c>
      <c r="EB81" s="6">
        <f>COUNTIFS(Table14[Country],Tabela1[[#This Row],[Country]],Table14[Road Race Classification],"&gt;0")</f>
        <v>0</v>
      </c>
      <c r="EC81" s="6">
        <f>COUNTIFS(Table69[Country],Tabela1[[#This Row],[Country]],Table69[Sprint Classification],"&gt;0")</f>
        <v>0</v>
      </c>
      <c r="ED81" s="6">
        <f>COUNTIFS(Table41[Country],Tabela1[[#This Row],[Country]],Table41[Sprint Classification],"&gt;0")</f>
        <v>0</v>
      </c>
      <c r="EE81" s="6">
        <f>COUNTIFS(Table85[Country],Tabela1[[#This Row],[Country]],Table85[Men''s Sprint Classification],"&gt;0")</f>
        <v>0</v>
      </c>
      <c r="EF81" s="6">
        <f>COUNTIFS(Table85[Country],Tabela1[[#This Row],[Country]],Table85[Women''s Sprint Classification],"&gt;0")</f>
        <v>0</v>
      </c>
      <c r="EG81" s="6">
        <f>COUNTIFS(Table85[Country],Tabela1[[#This Row],[Country]],Table85[Men''s Pursuit Classification],"&gt;0")</f>
        <v>0</v>
      </c>
      <c r="EH81" s="6">
        <f>COUNTIFS(Table85[Country],Tabela1[[#This Row],[Country]],Table85[Women''s Pursuit Classification],"&gt;0")</f>
        <v>0</v>
      </c>
      <c r="EI81" s="6">
        <f>COUNTIFS(Table9[Country],Tabela1[[#This Row],[Country]],Table9[Time-Trial Classification],"&gt;0")</f>
        <v>0</v>
      </c>
      <c r="EJ81" s="6">
        <f>COUNTIFS(Table14[Country],Tabela1[[#This Row],[Country]],Table14[Time-Trial Classification],"&gt;0")</f>
        <v>0</v>
      </c>
      <c r="EK81" s="6">
        <f>COUNTIFS(Table42[Country],Tabela1[[#This Row],[Country]],Table42[Springboard Classification],"&gt;0")</f>
        <v>0</v>
      </c>
      <c r="EL81" s="6">
        <f>COUNTIFS(Table43[Country],Tabela1[[#This Row],[Country]],Table43[Springboard Classification],"&gt;0")</f>
        <v>0</v>
      </c>
      <c r="EM81" s="6">
        <f>COUNTIFS(Table42[Country],Tabela1[[#This Row],[Country]],Table42[Platform Classification],"&gt;0")</f>
        <v>0</v>
      </c>
      <c r="EN81" s="6">
        <f>COUNTIFS(Table43[Country],Tabela1[[#This Row],[Country]],Table43[Platform Classification],"&gt;0")</f>
        <v>0</v>
      </c>
      <c r="EO81" s="6">
        <f>COUNTIFS(Table86[Country],Tabela1[[#This Row],[Country]],Table86[Men''s Synchronized Springboard Classification],"&gt;0")</f>
        <v>0</v>
      </c>
      <c r="EP81" s="6">
        <f>COUNTIFS(Table86[Country],Tabela1[[#This Row],[Country]],Table86[Women''s Synchronized Springboard Classification],"&gt;0")</f>
        <v>0</v>
      </c>
      <c r="EQ81" s="6">
        <f>COUNTIFS(Table86[Country],Tabela1[[#This Row],[Country]],Table86[Men''s Synchronized Platform Classification],"&gt;0")</f>
        <v>0</v>
      </c>
      <c r="ER81" s="6">
        <f>COUNTIFS(Table86[Country],Tabela1[[#This Row],[Country]],Table86[Women''s Synchronized Platform Classification],"&gt;0")</f>
        <v>0</v>
      </c>
      <c r="ES81" s="6">
        <f>COUNTIFS(Table44[Country],Tabela1[[#This Row],[Country]],Table44[Dressage Classification],"&gt;0")</f>
        <v>0</v>
      </c>
      <c r="ET81" s="6">
        <f>COUNTIFS(Table45[Country],Tabela1[[#This Row],[Country]],Table45[Dressage Classification],"&gt;0")</f>
        <v>0</v>
      </c>
      <c r="EU81" s="6">
        <f>COUNTIFS(Table44[Country],Tabela1[[#This Row],[Country]],Table44[Eventing Classification],"&gt;0")</f>
        <v>0</v>
      </c>
      <c r="EV81" s="6">
        <f>COUNTIFS(Table45[Country],Tabela1[[#This Row],[Country]],Table45[Eventing Classification],"&gt;0")</f>
        <v>0</v>
      </c>
      <c r="EW81" s="6">
        <f>COUNTIFS(Table44[Country],Tabela1[[#This Row],[Country]],Table44[Jumping Classification],"&gt;0")</f>
        <v>0</v>
      </c>
      <c r="EX81" s="6">
        <f>COUNTIFS(Table45[Country],Tabela1[[#This Row],[Country]],Table45[Jumping Classification],"&gt;0")</f>
        <v>0</v>
      </c>
      <c r="EY81" s="6">
        <f>COUNTIFS(Table10[Country],Tabela1[[#This Row],[Country]],Table10[Épée Classification],"&gt;0")</f>
        <v>0</v>
      </c>
      <c r="EZ81" s="6">
        <f>COUNTIFS(Table11[Country],Tabela1[[#This Row],[Country]],Table11[Épée Classification],"&gt;0")</f>
        <v>0</v>
      </c>
      <c r="FA81" s="6">
        <f>COUNTIFS(Table46[Country],Tabela1[[#This Row],[Country]],Table46[Men''s Épée Classification],"&gt;0")</f>
        <v>0</v>
      </c>
      <c r="FB81" s="6">
        <f>COUNTIFS(Table46[Country],Tabela1[[#This Row],[Country]],Table46[Women''s Épée Classification],"&gt;0")</f>
        <v>0</v>
      </c>
      <c r="FC81" s="6">
        <f>COUNTIFS(Table10[Country],Tabela1[[#This Row],[Country]],Table10[Foil Classification],"&gt;0")</f>
        <v>0</v>
      </c>
      <c r="FD81" s="6">
        <f>COUNTIFS(Table11[Country],Tabela1[[#This Row],[Country]],Table11[Foil Classification],"&gt;0")</f>
        <v>0</v>
      </c>
      <c r="FE81" s="6">
        <f>COUNTIFS(Table46[Country],Tabela1[[#This Row],[Country]],Table46[Men''s Foil Classification],"&gt;0")</f>
        <v>0</v>
      </c>
      <c r="FF81" s="6">
        <f>COUNTIFS(Table46[Country],Tabela1[[#This Row],[Country]],Table46[Women''s Foil Classification],"&gt;0")</f>
        <v>0</v>
      </c>
      <c r="FG81" s="6">
        <f>COUNTIFS(Table10[Country],Tabela1[[#This Row],[Country]],Table10[Sabre Classification],"&gt;0")</f>
        <v>0</v>
      </c>
      <c r="FH81" s="6">
        <f>COUNTIFS(Table11[Country],Tabela1[[#This Row],[Country]],Table11[Sabre Classification],"&gt;0")</f>
        <v>0</v>
      </c>
      <c r="FI81" s="6">
        <f>COUNTIFS(Table46[Country],Tabela1[[#This Row],[Country]],Table46[Men''s Sabre Classification],"&gt;0")</f>
        <v>0</v>
      </c>
      <c r="FJ81" s="6">
        <f>COUNTIFS(Table46[Country],Tabela1[[#This Row],[Country]],Table46[Women''s Sabre Classification],"&gt;0")</f>
        <v>0</v>
      </c>
      <c r="FK81" s="6">
        <f>COUNTIFS(Table91[Country],Tabela1[[#This Row],[Country]],Table91[Men''s Classification],"&gt;0")</f>
        <v>0</v>
      </c>
      <c r="FL81" s="6">
        <f>COUNTIFS(Table91[Country],Tabela1[[#This Row],[Country]],Table91[Women''s Classification],"&gt;0")</f>
        <v>0</v>
      </c>
      <c r="FM81" s="6">
        <f>COUNTIFS(Table9194[Country],Tabela1[[#This Row],[Country]],Table9194[Men''s Classification],"&gt;0")</f>
        <v>0</v>
      </c>
      <c r="FN81" s="6">
        <f>COUNTIFS(Table9194[Country],Tabela1[[#This Row],[Country]],Table9194[Women''s Classification],"&gt;0")</f>
        <v>0</v>
      </c>
      <c r="FO81" s="6">
        <f>COUNTIFS(Table71[Country],Tabela1[[#This Row],[Country]],Table71[Classification],"&gt;0")</f>
        <v>0</v>
      </c>
      <c r="FP81" s="6">
        <f>COUNTIFS(Table62[Country],Tabela1[[#This Row],[Country]],Table62[Classification],"&gt;0")</f>
        <v>0</v>
      </c>
      <c r="FQ81" s="6">
        <f>COUNTIFS(Table47[Country],Tabela1[[#This Row],[Country]],Table47[All-Around Classification],"&gt;0")</f>
        <v>0</v>
      </c>
      <c r="FR81" s="6">
        <f>COUNTIFS(Table48[Country],Tabela1[[#This Row],[Country]],Table48[All-Around Classification],"&gt;0")</f>
        <v>0</v>
      </c>
      <c r="FS81" s="6">
        <f>COUNTIFS(Table81[Country],Tabela1[[#This Row],[Country]],Table81[Men''s All-Around Classification],"&gt;0")</f>
        <v>0</v>
      </c>
      <c r="FT81" s="6">
        <f>COUNTIFS(Table81[Country],Tabela1[[#This Row],[Country]],Table81[Women''s All-Around Classification],"&gt;0")</f>
        <v>0</v>
      </c>
      <c r="FU81" s="6">
        <f>COUNTIFS(Table48[Country],Tabela1[[#This Row],[Country]],Table48[Balance Beam Classification],"&gt;0")</f>
        <v>0</v>
      </c>
      <c r="FV81" s="6">
        <f>COUNTIFS(Table47[Country],Tabela1[[#This Row],[Country]],Table47[Floor Exercise Classification],"&gt;0")</f>
        <v>0</v>
      </c>
      <c r="FW81" s="6">
        <f>COUNTIFS(Table48[Country],Tabela1[[#This Row],[Country]],Table48[Floor Exercise Classification],"&gt;0")</f>
        <v>0</v>
      </c>
      <c r="FX81" s="6">
        <f>COUNTIFS(Table47[Country],Tabela1[[#This Row],[Country]],Table47[Horizontal Bar Classification],"&gt;0")</f>
        <v>0</v>
      </c>
      <c r="FY81" s="6">
        <f>COUNTIFS(Table47[Country],Tabela1[[#This Row],[Country]],Table47[Parallel Bars Classification],"&gt;0")</f>
        <v>0</v>
      </c>
      <c r="FZ81" s="6">
        <f>COUNTIFS(Table47[Country],Tabela1[[#This Row],[Country]],Table47[Pommel Horse Classification],"&gt;0")</f>
        <v>0</v>
      </c>
      <c r="GA81" s="6">
        <f>COUNTIFS(Table47[Country],Tabela1[[#This Row],[Country]],Table47[Rings Classification],"&gt;0")</f>
        <v>0</v>
      </c>
      <c r="GB81" s="6">
        <f>COUNTIFS(Tabela132[Country],Tabela1[[#This Row],[Country]],Tabela132[Classification],"&gt;0")</f>
        <v>0</v>
      </c>
      <c r="GC81" s="6">
        <f>COUNTIFS(Tabela139[Country],Tabela1[[#This Row],[Country]],Tabela139[Classification],"&gt;0")</f>
        <v>0</v>
      </c>
      <c r="GD81" s="6">
        <f>COUNTIFS(Table48[Country],Tabela1[[#This Row],[Country]],Table48[Uneven Bars Classification],"&gt;0")</f>
        <v>0</v>
      </c>
      <c r="GE81" s="6">
        <f>COUNTIFS(Table47[Country],Tabela1[[#This Row],[Country]],Table47[Vault Classification],"&gt;0")</f>
        <v>0</v>
      </c>
      <c r="GF81" s="6">
        <f>COUNTIFS(Table48[Country],Tabela1[[#This Row],[Country]],Table48[Vault Classification],"&gt;0")</f>
        <v>0</v>
      </c>
      <c r="GG81" s="6">
        <f>COUNTIFS(Table919496[Country],Tabela1[[#This Row],[Country]],Table919496[Men''s Classification],"&gt;0")</f>
        <v>0</v>
      </c>
      <c r="GH81" s="6">
        <f>COUNTIFS(Table919496[Country],Tabela1[[#This Row],[Country]],Table919496[Women''s Classification],"&gt;0")</f>
        <v>0</v>
      </c>
      <c r="GI81" s="6">
        <f>COUNTIFS(Table12[Country],Tabela1[[#This Row],[Country]],Table12[60kg Classification],"&gt;0")</f>
        <v>0</v>
      </c>
      <c r="GJ81" s="6">
        <f>COUNTIFS(Table12[Country],Tabela1[[#This Row],[Country]],Table12[66kg Classification],"&gt;0")</f>
        <v>0</v>
      </c>
      <c r="GK81" s="6">
        <f>COUNTIFS(Table12[Country],Tabela1[[#This Row],[Country]],Table12[73kg Classification],"&gt;0")</f>
        <v>0</v>
      </c>
      <c r="GL81" s="6">
        <f>COUNTIFS(Table12[Country],Tabela1[[#This Row],[Country]],Table12[81kg Classification],"&gt;0")</f>
        <v>0</v>
      </c>
      <c r="GM81" s="6">
        <f>COUNTIFS(Table12[Country],Tabela1[[#This Row],[Country]],Table12[90kg Classification],"&gt;0")</f>
        <v>0</v>
      </c>
      <c r="GN81" s="6">
        <f>COUNTIFS(Table12[Country],Tabela1[[#This Row],[Country]],Table12[100kg Classification],"&gt;0")</f>
        <v>0</v>
      </c>
      <c r="GO81" s="6">
        <f>COUNTIFS(Table12[Country],Tabela1[[#This Row],[Country]],Table12[Plus 100kg Classification],"&gt;0")</f>
        <v>0</v>
      </c>
      <c r="GP81" s="6">
        <f>COUNTIFS(Table13[Country],Tabela1[[#This Row],[Country]],Table13[48kg Classification],"&gt;0")</f>
        <v>0</v>
      </c>
      <c r="GQ81" s="6">
        <f>COUNTIFS(Table13[Country],Tabela1[[#This Row],[Country]],Table13[52kg Classification],"&gt;0")</f>
        <v>0</v>
      </c>
      <c r="GR81" s="6">
        <f>COUNTIFS(Table13[Country],Tabela1[[#This Row],[Country]],Table13[57kg Classification],"&gt;0")</f>
        <v>0</v>
      </c>
      <c r="GS81" s="6">
        <f>COUNTIFS(Table13[Country],Tabela1[[#This Row],[Country]],Table13[63kg Classification],"&gt;0")</f>
        <v>0</v>
      </c>
      <c r="GT81" s="6">
        <f>COUNTIFS(Table13[Country],Tabela1[[#This Row],[Country]],Table13[70kg Classification],"&gt;0")</f>
        <v>0</v>
      </c>
      <c r="GU81" s="6">
        <f>COUNTIFS(Table13[Country],Tabela1[[#This Row],[Country]],Table13[78kg Classification],"&gt;0")</f>
        <v>0</v>
      </c>
      <c r="GV81" s="6">
        <f>COUNTIFS(Table13[Country],Tabela1[[#This Row],[Country]],Table13[Plus 78kg Classification],"&gt;0")</f>
        <v>0</v>
      </c>
      <c r="GW81" s="6">
        <f>COUNTIFS(Table82[Country],Tabela1[[#This Row],[Country]],Table82[Mixed Classification],"&gt;0")</f>
        <v>0</v>
      </c>
      <c r="GX81" s="6">
        <f>COUNTIFS(Table51[Country],Tabela1[[#This Row],[Country]],Table51[Classification],"&gt;0")</f>
        <v>0</v>
      </c>
      <c r="GY81" s="6">
        <f>COUNTIFS(Table52[Country],Tabela1[[#This Row],[Country]],Table52[Classification],"&gt;0")</f>
        <v>0</v>
      </c>
      <c r="GZ81" s="6">
        <f>COUNTIFS(Table32[Country],Tabela1[[#This Row],[Country]],Table32[All-Around Classification],"&gt;0")</f>
        <v>0</v>
      </c>
      <c r="HA81" s="6">
        <f>COUNTIFS(Table49[Country],Tabela1[[#This Row],[Country]],Table49[All-Around Classification],"&gt;0")</f>
        <v>0</v>
      </c>
      <c r="HB81" s="6">
        <f>COUNTIFS(Table26[Country],Tabela1[[#This Row],[Country]],Table26[Single Sculls Classification],"&gt;0")</f>
        <v>0</v>
      </c>
      <c r="HC81" s="6">
        <f>COUNTIFS(Table63[Country],Tabela1[[#This Row],[Country]],Table63[Single Sculls Classification],"&gt;0")</f>
        <v>0</v>
      </c>
      <c r="HD81" s="6">
        <f>COUNTIFS(Table16[Country],Tabela1[[#This Row],[Country]],Table16[Men''s Double Sculls Classification],"&gt;0")</f>
        <v>0</v>
      </c>
      <c r="HE81" s="6">
        <f>COUNTIFS(Table16[Country],Tabela1[[#This Row],[Country]],Table16[Women''s Double Sculls Classification],"&gt;0")</f>
        <v>0</v>
      </c>
      <c r="HF81" s="6">
        <f>COUNTIFS(Table72[Country],Tabela1[[#This Row],[Country]],Table72[Men''s Quadruple Sculls Classification],"&gt;0")</f>
        <v>0</v>
      </c>
      <c r="HG81" s="6">
        <f>COUNTIFS(Table72[Country],Tabela1[[#This Row],[Country]],Table72[Women''s Quadruple Sculls Classification],"&gt;0")</f>
        <v>0</v>
      </c>
      <c r="HH81" s="6">
        <f>COUNTIFS(Table16[Country],Tabela1[[#This Row],[Country]],Table16[Men''s Coxless Pairs Classification],"&gt;0")</f>
        <v>0</v>
      </c>
      <c r="HI81" s="6">
        <f>COUNTIFS(Table16[Country],Tabela1[[#This Row],[Country]],Table16[Women''s Coxless Pairs Classification],"&gt;0")</f>
        <v>0</v>
      </c>
      <c r="HJ81" s="6">
        <f>COUNTIFS(Table72[Country],Tabela1[[#This Row],[Country]],Table72[Men''s Coxless Fours Classification],"&gt;0")</f>
        <v>0</v>
      </c>
      <c r="HK81" s="6">
        <f>COUNTIFS(Table72[Country],Tabela1[[#This Row],[Country]],Table72[Women''s Coxless Fours Classification],"&gt;0")</f>
        <v>0</v>
      </c>
      <c r="HL81" s="6">
        <f>COUNTIFS(Table72[Country],Tabela1[[#This Row],[Country]],Table72[Men''s Eights Classification],"&gt;0")</f>
        <v>0</v>
      </c>
      <c r="HM81" s="6">
        <f>COUNTIFS(Table72[Country],Tabela1[[#This Row],[Country]],Table72[Women''s Eights Classification],"&gt;0")</f>
        <v>0</v>
      </c>
      <c r="HN81" s="6">
        <f>COUNTIFS(Table16[Country],Tabela1[[#This Row],[Country]],Table16[Men''s Lwt. Double Sculls Classification],"&gt;0")</f>
        <v>0</v>
      </c>
      <c r="HO81" s="6">
        <f>COUNTIFS(Table16[Country],Tabela1[[#This Row],[Country]],Table16[Women''s Lwt. Double Sculls Classification],"&gt;0")</f>
        <v>0</v>
      </c>
      <c r="HP81" s="6">
        <f>COUNTIFS(Table91949698[Country],Tabela1[[#This Row],[Country]],Table91949698[Men''s Classification],"&gt;0")</f>
        <v>0</v>
      </c>
      <c r="HQ81" s="6">
        <f>COUNTIFS(Table91949698[Country],Tabela1[[#This Row],[Country]],Table91949698[Women''s Classification],"&gt;0")</f>
        <v>0</v>
      </c>
      <c r="HR81" s="6">
        <f>COUNTIFS(Table25[Country],Tabela1[[#This Row],[Country]],Table25[Mixed 470 Classification],"&gt;0")</f>
        <v>0</v>
      </c>
      <c r="HS81" s="6">
        <f>COUNTIFS(Table25[Country],Tabela1[[#This Row],[Country]],Table25[Men''s 49er Classification],"&gt;0")</f>
        <v>0</v>
      </c>
      <c r="HT81" s="6">
        <f>COUNTIFS(Table25[Country],Tabela1[[#This Row],[Country]],Table25[Women''s 49er FX Classification],"&gt;0")</f>
        <v>0</v>
      </c>
      <c r="HU81" s="6">
        <f>COUNTIFS(Table17[Country],Tabela1[[#This Row],[Country]],Table17[Formula Kite Classification],"&gt;0")</f>
        <v>0</v>
      </c>
      <c r="HV81" s="6">
        <f>COUNTIFS(Table18[Country],Tabela1[[#This Row],[Country]],Table18[Formula Kite Classification],"&gt;0")</f>
        <v>0</v>
      </c>
      <c r="HW81" s="6">
        <f>COUNTIFS(Table17[Country],Tabela1[[#This Row],[Country]],Table17[ILCA 7 Classification],"&gt;0")</f>
        <v>0</v>
      </c>
      <c r="HX81" s="6">
        <f>COUNTIFS(Table18[Country],Tabela1[[#This Row],[Country]],Table18[ILCA 6 Classification],"&gt;0")</f>
        <v>0</v>
      </c>
      <c r="HY81" s="6">
        <f>COUNTIFS(Table17[Country],Tabela1[[#This Row],[Country]],Table17[IQFoil Classification],"&gt;0")</f>
        <v>1</v>
      </c>
      <c r="HZ81" s="6">
        <f>COUNTIFS(Table18[Country],Tabela1[[#This Row],[Country]],Table18[IQFoil Classification],"&gt;0")</f>
        <v>0</v>
      </c>
      <c r="IA81" s="6">
        <f>COUNTIFS(Table25[Country],Tabela1[[#This Row],[Country]],Table25[Mixed Nacra 17 Classification],"&gt;0")</f>
        <v>0</v>
      </c>
      <c r="IB81" s="6">
        <f>COUNTIFS(Table53[Country],Tabela1[[#This Row],[Country]],Table53[10m Air Pistol Classification],"&gt;0")</f>
        <v>0</v>
      </c>
      <c r="IC81" s="6">
        <f>COUNTIFS(Table19[Country],Tabela1[[#This Row],[Country]],Table19[10m Air Pistol Classification],"&gt;0")</f>
        <v>0</v>
      </c>
      <c r="ID81" s="6">
        <f>COUNTIFS(Table54[Country],Tabela1[[#This Row],[Country]],Table54[Mixed 10m Air Pistol Team Classification],"&gt;0")</f>
        <v>0</v>
      </c>
      <c r="IE81" s="6">
        <f>COUNTIFS(Table53[Country],Tabela1[[#This Row],[Country]],Table53[10m Air Rifle Classification],"&gt;0")</f>
        <v>0</v>
      </c>
      <c r="IF81" s="6">
        <f>COUNTIFS(Table19[Country],Tabela1[[#This Row],[Country]],Table19[10m Air Rifle Classification],"&gt;0")</f>
        <v>0</v>
      </c>
      <c r="IG81" s="6">
        <f>COUNTIFS(Table54[Country],Tabela1[[#This Row],[Country]],Table54[Mixed 10m Air Rifle Team Classification],"&gt;0")</f>
        <v>0</v>
      </c>
      <c r="IH81" s="6">
        <f>COUNTIFS(Table53[Country],Tabela1[[#This Row],[Country]],Table53[25m Rapid Fire Pistol Classification],"&gt;0")</f>
        <v>0</v>
      </c>
      <c r="II81" s="6">
        <f>COUNTIFS(Table19[Country],Tabela1[[#This Row],[Country]],Table19[25m Pistol Classification],"&gt;0")</f>
        <v>0</v>
      </c>
      <c r="IJ81" s="6">
        <f>COUNTIFS(Table53[Country],Tabela1[[#This Row],[Country]],Table53[50m Rifle 3 Positions Classification],"&gt;0")</f>
        <v>0</v>
      </c>
      <c r="IK81" s="6">
        <f>COUNTIFS(Table19[Country],Tabela1[[#This Row],[Country]],Table19[50m Rifle 3 Positions Classification],"&gt;0")</f>
        <v>0</v>
      </c>
      <c r="IL81" s="6">
        <f>COUNTIFS(Table53[Country],Tabela1[[#This Row],[Country]],Table53[Skeet Classification],"&gt;0")</f>
        <v>0</v>
      </c>
      <c r="IM81" s="6">
        <f>COUNTIFS(Table19[Country],Tabela1[[#This Row],[Country]],Table19[Skeet Classification],"&gt;0")</f>
        <v>0</v>
      </c>
      <c r="IN81" s="6">
        <f>COUNTIFS(Table54[Country],Tabela1[[#This Row],[Country]],Table54[Mixed Skeet Team Classification],"&gt;0")</f>
        <v>0</v>
      </c>
      <c r="IO81" s="6">
        <f>COUNTIFS(Table53[Country],Tabela1[[#This Row],[Country]],Table53[Trap Classification],"&gt;0")</f>
        <v>0</v>
      </c>
      <c r="IP81" s="6">
        <f>COUNTIFS(Table19[Country],Tabela1[[#This Row],[Country]],Table19[Trap Classification],"&gt;0")</f>
        <v>0</v>
      </c>
      <c r="IQ81" s="6">
        <f>COUNTIFS(Table73[Country],Tabela1[[#This Row],[Country]],Table73[Park Classification],"&gt;0")</f>
        <v>0</v>
      </c>
      <c r="IR81" s="6">
        <f>COUNTIFS(Table74[Country],Tabela1[[#This Row],[Country]],Table74[Park Classification],"&gt;0")</f>
        <v>0</v>
      </c>
      <c r="IS81" s="6">
        <f>COUNTIFS(Table73[Country],Tabela1[[#This Row],[Country]],Table73[Street Classification],"&gt;0")</f>
        <v>0</v>
      </c>
      <c r="IT81" s="6">
        <f>COUNTIFS(Table74[Country],Tabela1[[#This Row],[Country]],Table74[Street Classification],"&gt;0")</f>
        <v>0</v>
      </c>
      <c r="IU81" s="6">
        <f>COUNTIFS(Table75[Country],Tabela1[[#This Row],[Country]],Table75[Boulder and Lead Classification],"&gt;0")</f>
        <v>0</v>
      </c>
      <c r="IV81" s="6">
        <f>COUNTIFS(Table76[Country],Tabela1[[#This Row],[Country]],Table76[Boulder and Lead Classification],"&gt;0")</f>
        <v>0</v>
      </c>
      <c r="IW81" s="6">
        <f>COUNTIFS(Table75[Country],Tabela1[[#This Row],[Country]],Table75[Speed Classification],"&gt;0")</f>
        <v>0</v>
      </c>
      <c r="IX81" s="6">
        <f>COUNTIFS(Table76[Country],Tabela1[[#This Row],[Country]],Table76[Speed Classification],"&gt;0")</f>
        <v>0</v>
      </c>
      <c r="IY81" s="6">
        <f>COUNTIFS(Table64[Country],Tabela1[[#This Row],[Country]],Table64[Shortboard Classification],"&gt;0")</f>
        <v>0</v>
      </c>
      <c r="IZ81" s="6">
        <f>COUNTIFS(Table77[Country],Tabela1[[#This Row],[Country]],Table77[Shortboard Classification],"&gt;0")</f>
        <v>0</v>
      </c>
      <c r="JA81" s="6">
        <f>COUNTIFS(Table20[Country],Tabela1[[#This Row],[Country]],Table20[50m Freestyle Classification],"&gt;0")</f>
        <v>1</v>
      </c>
      <c r="JB81" s="6">
        <f>COUNTIFS(Table21[Country],Tabela1[[#This Row],[Country]],Table21[50m Freestyle Classification],"&gt;0")</f>
        <v>1</v>
      </c>
      <c r="JC81" s="6">
        <f>COUNTIFS(Table20[Country],Tabela1[[#This Row],[Country]],Table20[100m Freestyle Classification],"&gt;0")</f>
        <v>1</v>
      </c>
      <c r="JD81" s="6">
        <f>COUNTIFS(Table21[Country],Tabela1[[#This Row],[Country]],Table21[100m Freestyle Classification],"&gt;0")</f>
        <v>0</v>
      </c>
      <c r="JE81" s="6">
        <f>COUNTIFS(Table20[Country],Tabela1[[#This Row],[Country]],Table20[200m Freestyle Classification],"&gt;0")</f>
        <v>0</v>
      </c>
      <c r="JF81" s="6">
        <f>COUNTIFS(Table21[Country],Tabela1[[#This Row],[Country]],Table21[200m Freestyle Classification],"&gt;0")</f>
        <v>0</v>
      </c>
      <c r="JG81" s="6">
        <f>COUNTIFS(Table20[Country],Tabela1[[#This Row],[Country]],Table20[400m Freestyle Classification],"&gt;0")</f>
        <v>0</v>
      </c>
      <c r="JH81" s="6">
        <f>COUNTIFS(Table21[Country],Tabela1[[#This Row],[Country]],Table21[400m Freestyle Classification],"&gt;0")</f>
        <v>0</v>
      </c>
      <c r="JI81" s="6">
        <f>COUNTIFS(Table20[Country],Tabela1[[#This Row],[Country]],Table20[800m Freestyle Classification],"&gt;0")</f>
        <v>0</v>
      </c>
      <c r="JJ81" s="6">
        <f>COUNTIFS(Table21[Country],Tabela1[[#This Row],[Country]],Table21[800m Freestyle Classification],"&gt;0")</f>
        <v>0</v>
      </c>
      <c r="JK81" s="6">
        <f>COUNTIFS(Table20[Country],Tabela1[[#This Row],[Country]],Table20[1500m Freestyle Classification],"&gt;0")</f>
        <v>0</v>
      </c>
      <c r="JL81" s="6">
        <f>COUNTIFS(Table21[Country],Tabela1[[#This Row],[Country]],Table21[1500m Freestyle Classification],"&gt;0")</f>
        <v>0</v>
      </c>
      <c r="JM81" s="6">
        <f>COUNTIFS(Table20[Country],Tabela1[[#This Row],[Country]],Table20[100m Backstroke Classification],"&gt;0")</f>
        <v>0</v>
      </c>
      <c r="JN81" s="6">
        <f>COUNTIFS(Table21[Country],Tabela1[[#This Row],[Country]],Table21[100m Backstroke Classification],"&gt;0")</f>
        <v>0</v>
      </c>
      <c r="JO81" s="6">
        <f>COUNTIFS(Table20[Country],Tabela1[[#This Row],[Country]],Table20[200m Backstroke Classification],"&gt;0")</f>
        <v>0</v>
      </c>
      <c r="JP81" s="6">
        <f>COUNTIFS(Table21[Country],Tabela1[[#This Row],[Country]],Table21[200m Backstroke Classification],"&gt;0")</f>
        <v>0</v>
      </c>
      <c r="JQ81" s="6">
        <f>COUNTIFS(Table20[Country],Tabela1[[#This Row],[Country]],Table20[100m Breaststroke Classification],"&gt;0")</f>
        <v>0</v>
      </c>
      <c r="JR81" s="6">
        <f>COUNTIFS(Table21[Country],Tabela1[[#This Row],[Country]],Table21[100m Breaststroke Classification],"&gt;0")</f>
        <v>0</v>
      </c>
      <c r="JS81" s="6">
        <f>COUNTIFS(Table20[Country],Tabela1[[#This Row],[Country]],Table20[200m Breaststroke Classification],"&gt;0")</f>
        <v>0</v>
      </c>
      <c r="JT81" s="6">
        <f>COUNTIFS(Table21[Country],Tabela1[[#This Row],[Country]],Table21[200m Breaststroke Classification],"&gt;0")</f>
        <v>0</v>
      </c>
      <c r="JU81" s="6">
        <f>COUNTIFS(Table20[Country],Tabela1[[#This Row],[Country]],Table20[100m Butterfly Classification],"&gt;0")</f>
        <v>0</v>
      </c>
      <c r="JV81" s="6">
        <f>COUNTIFS(Table21[Country],Tabela1[[#This Row],[Country]],Table21[100m Butterfly Classification],"&gt;0")</f>
        <v>0</v>
      </c>
      <c r="JW81" s="6">
        <f>COUNTIFS(Table20[Country],Tabela1[[#This Row],[Country]],Table20[200m Butterfly Classification],"&gt;0")</f>
        <v>0</v>
      </c>
      <c r="JX81" s="6">
        <f>COUNTIFS(Table21[Country],Tabela1[[#This Row],[Country]],Table21[200m Butterfly Classification],"&gt;0")</f>
        <v>0</v>
      </c>
      <c r="JY81" s="6">
        <f>COUNTIFS(Table20[Country],Tabela1[[#This Row],[Country]],Table20[200m Medley Classification],"&gt;0")</f>
        <v>0</v>
      </c>
      <c r="JZ81" s="6">
        <f>COUNTIFS(Table21[Country],Tabela1[[#This Row],[Country]],Table21[200m Medley Classification],"&gt;0")</f>
        <v>0</v>
      </c>
      <c r="KA81" s="6">
        <f>COUNTIFS(Table20[Country],Tabela1[[#This Row],[Country]],Table20[400m Medley Classification],"&gt;0")</f>
        <v>0</v>
      </c>
      <c r="KB81" s="6">
        <f>COUNTIFS(Table21[Country],Tabela1[[#This Row],[Country]],Table21[400m Medley Classification],"&gt;0")</f>
        <v>0</v>
      </c>
      <c r="KC81" s="6">
        <f>COUNTIFS(Table78[Country],Tabela1[[#This Row],[Country]],Table78[Men''s 4x100m Freestyle Relay Classification],"&gt;0")</f>
        <v>0</v>
      </c>
      <c r="KD81" s="6">
        <f>COUNTIFS(Table78[Country],Tabela1[[#This Row],[Country]],Table78[Women''s 4x100m Freestyle Relay Classification],"&gt;0")</f>
        <v>0</v>
      </c>
      <c r="KE81" s="6">
        <f>COUNTIFS(Table78[Country],Tabela1[[#This Row],[Country]],Table78[Men''s 4x200m Freestyle Relay Classification],"&gt;0")</f>
        <v>0</v>
      </c>
      <c r="KF81" s="6">
        <f>COUNTIFS(Table78[Country],Tabela1[[#This Row],[Country]],Table78[Women''s 4x200m Freestyle Relay Classification],"&gt;0")</f>
        <v>0</v>
      </c>
      <c r="KG81" s="6">
        <f>COUNTIFS(Table78[Country],Tabela1[[#This Row],[Country]],Table78[Men''s 4x100m Medley Relay Classification],"&gt;0")</f>
        <v>0</v>
      </c>
      <c r="KH81" s="6">
        <f>COUNTIFS(Table78[Country],Tabela1[[#This Row],[Country]],Table78[Women''s 4x100m Medley Relay Classification],"&gt;0")</f>
        <v>0</v>
      </c>
      <c r="KI81" s="6">
        <f>COUNTIFS(Table78[Country],Tabela1[[#This Row],[Country]],Table78[Mixed 4x100m Medley Relay Classification],"&gt;0")</f>
        <v>0</v>
      </c>
      <c r="KJ81" s="6">
        <f>COUNTIFS(Table20[Country],Tabela1[[#This Row],[Country]],Table20[10km Open Water Classification],"&gt;0")</f>
        <v>0</v>
      </c>
      <c r="KK81" s="6">
        <f>COUNTIFS(Table21[Country],Tabela1[[#This Row],[Country]],Table21[10km Open Water Classification],"&gt;0")</f>
        <v>0</v>
      </c>
      <c r="KL81" s="6">
        <f>COUNTIFS(Table22[Country],Tabela1[[#This Row],[Country]],Table22[Classification],"&gt;0")</f>
        <v>0</v>
      </c>
      <c r="KM81" s="6">
        <f>COUNTIFS(Table30[Country],Tabela1[[#This Row],[Country]],Table30[Classification],"&gt;0")</f>
        <v>0</v>
      </c>
      <c r="KN81" s="6">
        <f>COUNTIFS(Table55[Country],Tabela1[[#This Row],[Country]],Table55[Men''s Classification],"&gt;0")</f>
        <v>0</v>
      </c>
      <c r="KO81" s="6">
        <f>COUNTIFS(Table55[Country],Tabela1[[#This Row],[Country]],Table55[Women''s Classification],"&gt;0")</f>
        <v>0</v>
      </c>
      <c r="KP81" s="6">
        <f>COUNTIFS(Table56[Country],Tabela1[[#This Row],[Country]],Table56[Mixed Classification],"&gt;0")</f>
        <v>0</v>
      </c>
      <c r="KQ81" s="6">
        <f>COUNTIFS(Table29[Country],Tabela1[[#This Row],[Country]],Table29[58kg Classification],"&gt;0")</f>
        <v>0</v>
      </c>
      <c r="KR81" s="6">
        <f>COUNTIFS(Table29[Country],Tabela1[[#This Row],[Country]],Table29[68kg Classification],"&gt;0")</f>
        <v>0</v>
      </c>
      <c r="KS81" s="6">
        <f>COUNTIFS(Table29[Country],Tabela1[[#This Row],[Country]],Table29[80kg Classification],"&gt;0")</f>
        <v>0</v>
      </c>
      <c r="KT81" s="6">
        <f>COUNTIFS(Table29[Country],Tabela1[[#This Row],[Country]],Table29[Plus 80kg Classification],"&gt;0")</f>
        <v>0</v>
      </c>
      <c r="KU81" s="6">
        <f>COUNTIFS(Table34[Country],Tabela1[[#This Row],[Country]],Table34[49kg Classification],"&gt;0")</f>
        <v>0</v>
      </c>
      <c r="KV81" s="6">
        <f>COUNTIFS(Table34[Country],Tabela1[[#This Row],[Country]],Table34[57kg Classification],"&gt;0")</f>
        <v>0</v>
      </c>
      <c r="KW81" s="6">
        <f>COUNTIFS(Table34[Country],Tabela1[[#This Row],[Country]],Table34[67kg Classification],"&gt;0")</f>
        <v>0</v>
      </c>
      <c r="KX81" s="6">
        <f>COUNTIFS(Table34[Country],Tabela1[[#This Row],[Country]],Table34[Plus 67kg Classification],"&gt;0")</f>
        <v>0</v>
      </c>
      <c r="KY81" s="6">
        <f>COUNTIFS(Table57[Country],Tabela1[[#This Row],[Country]],Table57[Classification],"&gt;0")</f>
        <v>0</v>
      </c>
      <c r="KZ81" s="6">
        <f>COUNTIFS(Table58[Country],Tabela1[[#This Row],[Country]],Table58[Classification],"&gt;0")</f>
        <v>0</v>
      </c>
      <c r="LA81" s="6">
        <f>COUNTIFS(Table79[Country],Tabela1[[#This Row],[Country]],Table79[Men''s Classification],"&gt;0")</f>
        <v>0</v>
      </c>
      <c r="LB81" s="6">
        <f>COUNTIFS(Table79[Country],Tabela1[[#This Row],[Country]],Table79[Women''s Classification],"&gt;0")</f>
        <v>0</v>
      </c>
      <c r="LC81" s="6">
        <f>COUNTIFS(Table79[Country],Tabela1[[#This Row],[Country]],Table79[Mixed Classification],"&gt;0")</f>
        <v>0</v>
      </c>
      <c r="LD81" s="6">
        <f>COUNTIFS(Table65[Country],Tabela1[[#This Row],[Country]],Table65[Classification],"&gt;0")</f>
        <v>0</v>
      </c>
      <c r="LE81" s="6">
        <f>COUNTIFS(Table59[Country],Tabela1[[#This Row],[Country]],Table59[Classification],"&gt;0")</f>
        <v>0</v>
      </c>
      <c r="LF81" s="6">
        <f>COUNTIFS(Table87[Country],Tabela1[[#This Row],[Country]],Table87[Mixed Relay Classification],"&gt;0")</f>
        <v>0</v>
      </c>
      <c r="LG81" s="6">
        <f>COUNTIFS(Table91949698100[Country],Tabela1[[#This Row],[Country]],Table91949698100[Men''s Classification],"&gt;0")</f>
        <v>0</v>
      </c>
      <c r="LH81" s="6">
        <f>COUNTIFS(Table91949698100[Country],Tabela1[[#This Row],[Country]],Table91949698100[Women''s Classification],"&gt;0")</f>
        <v>0</v>
      </c>
      <c r="LI81" s="6">
        <f>COUNTIFS(Table91949698100102[Country],Tabela1[[#This Row],[Country]],Table91949698100102[Men''s Classification],"&gt;0")</f>
        <v>0</v>
      </c>
      <c r="LJ81" s="6">
        <f>COUNTIFS(Table91949698100102[Country],Tabela1[[#This Row],[Country]],Table91949698100102[Women''s Classification],"&gt;0")</f>
        <v>0</v>
      </c>
      <c r="LK81" s="6">
        <f>COUNTIFS(Table23[Country],Tabela1[[#This Row],[Country]],Table23[61kg Classification],"&gt;0")</f>
        <v>0</v>
      </c>
      <c r="LL81" s="6">
        <f>COUNTIFS(Table23[Country],Tabela1[[#This Row],[Country]],Table23[73kg Classification],"&gt;0")</f>
        <v>0</v>
      </c>
      <c r="LM81" s="6">
        <f>COUNTIFS(Table23[Country],Tabela1[[#This Row],[Country]],Table23[89kg Classification],"&gt;0")</f>
        <v>0</v>
      </c>
      <c r="LN81" s="6">
        <f>COUNTIFS(Table23[Country],Tabela1[[#This Row],[Country]],Table23[102kg Classification],"&gt;0")</f>
        <v>0</v>
      </c>
      <c r="LO81" s="6">
        <f>COUNTIFS(Table23[Country],Tabela1[[#This Row],[Country]],Table23[Plus 102kg Classification],"&gt;0")</f>
        <v>0</v>
      </c>
      <c r="LP81" s="6">
        <f>COUNTIFS(Table28[Country],Tabela1[[#This Row],[Country]],Table28[49kg Classification],"&gt;0")</f>
        <v>0</v>
      </c>
      <c r="LQ81" s="6">
        <f>COUNTIFS(Table28[Country],Tabela1[[#This Row],[Country]],Table28[59kg Classification],"&gt;0")</f>
        <v>0</v>
      </c>
      <c r="LR81" s="6">
        <f>COUNTIFS(Table28[Country],Tabela1[[#This Row],[Country]],Table28[71kg Classification],"&gt;0")</f>
        <v>0</v>
      </c>
      <c r="LS81" s="6">
        <f>COUNTIFS(Table28[Country],Tabela1[[#This Row],[Country]],Table28[81kg Classification],"&gt;0")</f>
        <v>0</v>
      </c>
      <c r="LT81" s="6">
        <f>COUNTIFS(Table28[Country],Tabela1[[#This Row],[Country]],Table28[Plus 81kg Classification],"&gt;0")</f>
        <v>0</v>
      </c>
      <c r="LU81" s="6">
        <f>COUNTIFS(Table24[Country],Tabela1[[#This Row],[Country]],Table24[Freestyle 57kg Classification],"&gt;0")</f>
        <v>0</v>
      </c>
      <c r="LV81" s="6">
        <f>COUNTIFS(Table24[Country],Tabela1[[#This Row],[Country]],Table24[Freestyle 65kg Classification],"&gt;0")</f>
        <v>0</v>
      </c>
      <c r="LW81" s="6">
        <f>COUNTIFS(Table24[Country],Tabela1[[#This Row],[Country]],Table24[Freestyle 74kg Classification],"&gt;0")</f>
        <v>0</v>
      </c>
      <c r="LX81" s="6">
        <f>COUNTIFS(Table24[Country],Tabela1[[#This Row],[Country]],Table24[Freestyle 86kg Classification],"&gt;0")</f>
        <v>0</v>
      </c>
      <c r="LY81" s="6">
        <f>COUNTIFS(Table24[Country],Tabela1[[#This Row],[Country]],Table24[Freestyle 97kg Classification],"&gt;0")</f>
        <v>0</v>
      </c>
      <c r="LZ81" s="6">
        <f>COUNTIFS(Table24[Country],Tabela1[[#This Row],[Country]],Table24[Freestyle 125kg Classification],"&gt;0")</f>
        <v>0</v>
      </c>
      <c r="MA81" s="6">
        <f>COUNTIFS(Table24[Country],Tabela1[[#This Row],[Country]],Table24[Greco-Roman 60kg Classification],"&gt;0")</f>
        <v>0</v>
      </c>
      <c r="MB81" s="6">
        <f>COUNTIFS(Table24[Country],Tabela1[[#This Row],[Country]],Table24[Greco-Roman 67kg Classification],"&gt;0")</f>
        <v>0</v>
      </c>
      <c r="MC81" s="6">
        <f>COUNTIFS(Table24[Country],Tabela1[[#This Row],[Country]],Table24[Greco-Roman 77kg Classification],"&gt;0")</f>
        <v>0</v>
      </c>
      <c r="MD81" s="6">
        <f>COUNTIFS(Table24[Country],Tabela1[[#This Row],[Country]],Table24[Greco-Roman 87kg Classification],"&gt;0")</f>
        <v>0</v>
      </c>
      <c r="ME81" s="6">
        <f>COUNTIFS(Table24[Country],Tabela1[[#This Row],[Country]],Table24[Greco-Roman 97kg Classification],"&gt;0")</f>
        <v>0</v>
      </c>
      <c r="MF81" s="6">
        <f>COUNTIFS(Table24[Country],Tabela1[[#This Row],[Country]],Table24[Greco-Roman 130kg Classification],"&gt;0")</f>
        <v>0</v>
      </c>
      <c r="MG81" s="6">
        <f>COUNTIFS(Table31[Country],Tabela1[[#This Row],[Country]],Table31[50kg Classification],"&gt;0")</f>
        <v>0</v>
      </c>
      <c r="MH81" s="6">
        <f>COUNTIFS(Table31[Country],Tabela1[[#This Row],[Country]],Table31[53kg Classification],"&gt;0")</f>
        <v>0</v>
      </c>
      <c r="MI81" s="6">
        <f>COUNTIFS(Table31[Country],Tabela1[[#This Row],[Country]],Table31[57kg Classification],"&gt;0")</f>
        <v>0</v>
      </c>
      <c r="MJ81" s="6">
        <f>COUNTIFS(Table31[Country],Tabela1[[#This Row],[Country]],Table31[62kg Classification],"&gt;0")</f>
        <v>0</v>
      </c>
      <c r="MK81" s="6">
        <f>COUNTIFS(Table31[Country],Tabela1[[#This Row],[Country]],Table31[68kg Classification],"&gt;0")</f>
        <v>0</v>
      </c>
      <c r="ML81" s="6">
        <f>COUNTIFS(Table31[Country],Tabela1[[#This Row],[Country]],Table31[76kg Classification],"&gt;0")</f>
        <v>0</v>
      </c>
      <c r="MM81" s="6">
        <f>COUNTIFS(Table102[Country],Tabela1[[#This Row],[Country]],Table102[Downhill Classification],"&gt;0")</f>
        <v>0</v>
      </c>
      <c r="MN81" s="6">
        <f>COUNTIFS(Table102105[Country],Tabela1[[#This Row],[Country]],Table102105[Downhill Classification],"&gt;0")</f>
        <v>0</v>
      </c>
      <c r="MO81" s="6">
        <f>COUNTIFS(Table102[Country],Tabela1[[#This Row],[Country]],Table102[Giant Slalom Classification],"&gt;0")</f>
        <v>0</v>
      </c>
      <c r="MP81" s="6">
        <f>COUNTIFS(Table102105[Country],Tabela1[[#This Row],[Country]],Table102105[Giant Slalom Classification],"&gt;0")</f>
        <v>0</v>
      </c>
      <c r="MQ81" s="6">
        <f>COUNTIFS(Table102[Country],Tabela1[[#This Row],[Country]],Table102[Slalom Classification],"&gt;0")</f>
        <v>0</v>
      </c>
      <c r="MR81" s="6">
        <f>COUNTIFS(Table102105[Country],Tabela1[[#This Row],[Country]],Table102105[Slalom Classification],"&gt;0")</f>
        <v>0</v>
      </c>
      <c r="MS81" s="6">
        <f>COUNTIFS(Table102[Country],Tabela1[[#This Row],[Country]],Table102[Super-G Classification],"&gt;0")</f>
        <v>0</v>
      </c>
      <c r="MT81" s="6">
        <f>COUNTIFS(Table102105[Country],Tabela1[[#This Row],[Country]],Table102105[Super-G Classification],"&gt;0")</f>
        <v>0</v>
      </c>
      <c r="MU81" s="6">
        <f>COUNTIFS(Table105[Country],Tabela1[[#This Row],[Country]],Table105[Men''s Combined Classification],"&gt;0")</f>
        <v>0</v>
      </c>
      <c r="MV81" s="6">
        <f>COUNTIFS(Table105[Country],Tabela1[[#This Row],[Country]],Table105[Women''s Combined Classification],"&gt;0")</f>
        <v>0</v>
      </c>
      <c r="MW81" s="6">
        <f>COUNTIFS(Table106[Country],Tabela1[[#This Row],[Country]],Table106[Individual Classification],"&gt;0")</f>
        <v>0</v>
      </c>
      <c r="MX81" s="6">
        <f>COUNTIFS(Table106109[Country],Tabela1[[#This Row],[Country]],Table106109[Individual Classification],"&gt;0")</f>
        <v>0</v>
      </c>
      <c r="MY81" s="6">
        <f>COUNTIFS(Table106[Country],Tabela1[[#This Row],[Country]],Table106[Mass Start Classification],"&gt;0")</f>
        <v>0</v>
      </c>
      <c r="MZ81" s="6">
        <f>COUNTIFS(Table106109[Country],Tabela1[[#This Row],[Country]],Table106109[Mass Start Classification],"&gt;0")</f>
        <v>0</v>
      </c>
      <c r="NA81" s="6">
        <f>COUNTIFS(Table106[Country],Tabela1[[#This Row],[Country]],Table106[Pursuit Classification],"&gt;0")</f>
        <v>0</v>
      </c>
      <c r="NB81" s="6">
        <f>COUNTIFS(Table106109[Country],Tabela1[[#This Row],[Country]],Table106109[Pursuit Classification],"&gt;0")</f>
        <v>0</v>
      </c>
      <c r="NC81" s="6">
        <f>COUNTIFS(Table106[Country],Tabela1[[#This Row],[Country]],Table106[Sprint Classification],"&gt;0")</f>
        <v>0</v>
      </c>
      <c r="ND81" s="6">
        <f>COUNTIFS(Table106109[Country],Tabela1[[#This Row],[Country]],Table106109[Sprint Classification],"&gt;0")</f>
        <v>0</v>
      </c>
      <c r="NE81" s="6">
        <f>COUNTIFS(Table109[Country],Tabela1[[#This Row],[Country]],Table109[Men''s Relay Classification],"&gt;0")</f>
        <v>0</v>
      </c>
      <c r="NF81" s="6">
        <f>COUNTIFS(Table109[Country],Tabela1[[#This Row],[Country]],Table109[Women''s Relay Classification],"&gt;0")</f>
        <v>0</v>
      </c>
      <c r="NG81" s="6">
        <f>COUNTIFS(Table109[Country],Tabela1[[#This Row],[Country]],Table109[Mixed Relay Classification],"&gt;0")</f>
        <v>0</v>
      </c>
      <c r="NH81" s="6">
        <f>COUNTIFS(Table110[Country],Tabela1[[#This Row],[Country]],Table110[Monobob Classification],"&gt;0")</f>
        <v>0</v>
      </c>
      <c r="NI81" s="6">
        <f>COUNTIFS(Table111[Country],Tabela1[[#This Row],[Country]],Table111[Men''s Classification],"&gt;0")</f>
        <v>0</v>
      </c>
      <c r="NJ81" s="6">
        <f>COUNTIFS(Table111[Country],Tabela1[[#This Row],[Country]],Table111[Women''s Classification],"&gt;0")</f>
        <v>0</v>
      </c>
      <c r="NK81" s="6">
        <f>COUNTIFS(Table112[Country],Tabela1[[#This Row],[Country]],Table112[Men''s Four Classification],"&gt;0")</f>
        <v>0</v>
      </c>
      <c r="NL81" s="6">
        <f>COUNTIFS(Table113[Country],Tabela1[[#This Row],[Country]],Table113[Classical Classification],"&gt;0")</f>
        <v>0</v>
      </c>
      <c r="NM81" s="6">
        <f>COUNTIFS(Table113116[Country],Tabela1[[#This Row],[Country]],Table113116[Classical Classification],"&gt;0")</f>
        <v>0</v>
      </c>
      <c r="NN81" s="6">
        <f>COUNTIFS(Table113[Country],Tabela1[[#This Row],[Country]],Table113[Freestyle Classification],"&gt;0")</f>
        <v>0</v>
      </c>
      <c r="NO81" s="6">
        <f>COUNTIFS(Table113116[Country],Tabela1[[#This Row],[Country]],Table113116[Freestyle Classification],"&gt;0")</f>
        <v>0</v>
      </c>
      <c r="NP81" s="6">
        <f>COUNTIFS(Table117[Country],Tabela1[[#This Row],[Country]],Table117[Men''s Relay Classification],"&gt;0")</f>
        <v>0</v>
      </c>
      <c r="NQ81" s="6">
        <f>COUNTIFS(Table117[Country],Tabela1[[#This Row],[Country]],Table117[Women''s Relay Classification],"&gt;0")</f>
        <v>0</v>
      </c>
      <c r="NR81" s="6">
        <f>COUNTIFS(Table113[Country],Tabela1[[#This Row],[Country]],Table113[Skiathlon Classification],"&gt;0")</f>
        <v>0</v>
      </c>
      <c r="NS81" s="6">
        <f>COUNTIFS(Table113116[Country],Tabela1[[#This Row],[Country]],Table113116[Skiathlon Classification],"&gt;0")</f>
        <v>0</v>
      </c>
      <c r="NT81" s="6">
        <f>COUNTIFS(Table113[Country],Tabela1[[#This Row],[Country]],Table113[Sprint Classification],"&gt;0")</f>
        <v>0</v>
      </c>
      <c r="NU81" s="6">
        <f>COUNTIFS(Table113116[Country],Tabela1[[#This Row],[Country]],Table113116[Sprint Classification],"&gt;0")</f>
        <v>0</v>
      </c>
      <c r="NV81" s="6">
        <f>COUNTIFS(Table116[Country],Tabela1[[#This Row],[Country]],Table116[Men''s Team Sprint Classification],"&gt;0")</f>
        <v>0</v>
      </c>
      <c r="NW81" s="6">
        <f>COUNTIFS(Table116[Country],Tabela1[[#This Row],[Country]],Table116[Women''s Team Sprint Classification],"&gt;0")</f>
        <v>0</v>
      </c>
      <c r="NX81" s="6">
        <f>COUNTIFS(Table119[Country],Tabela1[[#This Row],[Country]],Table119[Men''s Classification],"&gt;0")</f>
        <v>0</v>
      </c>
      <c r="NY81" s="6">
        <f>COUNTIFS(Table119[Country],Tabela1[[#This Row],[Country]],Table119[Women''s Classification],"&gt;0")</f>
        <v>0</v>
      </c>
      <c r="NZ81" s="6">
        <f>COUNTIFS(Table118[Country],Tabela1[[#This Row],[Country]],Table118[Mixed Classification],"&gt;0")</f>
        <v>0</v>
      </c>
      <c r="OA81" s="6">
        <f>COUNTIFS(Table120[Country],Tabela1[[#This Row],[Country]],Table120[Classification],"&gt;0")</f>
        <v>0</v>
      </c>
      <c r="OB81" s="6">
        <f>COUNTIFS(Table120123[Country],Tabela1[[#This Row],[Country]],Table120123[Classification],"&gt;0")</f>
        <v>0</v>
      </c>
      <c r="OC81" s="6">
        <f>COUNTIFS(Table123[Country],Tabela1[[#This Row],[Country]],Table123[Ice Dance Classification],"&gt;0")</f>
        <v>0</v>
      </c>
      <c r="OD81" s="6">
        <f>COUNTIFS(Table123[Country],Tabela1[[#This Row],[Country]],Table123[Pair Skating Classification],"&gt;0")</f>
        <v>0</v>
      </c>
      <c r="OE81" s="6">
        <f>COUNTIFS(Table124[Country],Tabela1[[#This Row],[Country]],Table124[Mixed Classification],"&gt;0")</f>
        <v>0</v>
      </c>
      <c r="OF81" s="6">
        <f>COUNTIFS(Table125[Country],Tabela1[[#This Row],[Country]],Table125[Aerials Classification],"&gt;0")</f>
        <v>0</v>
      </c>
      <c r="OG81" s="6">
        <f>COUNTIFS(Table125128[Country],Tabela1[[#This Row],[Country]],Table125128[Aerials Classification],"&gt;0")</f>
        <v>0</v>
      </c>
      <c r="OH81" s="6">
        <f>COUNTIFS(Table128[Country],Tabela1[[#This Row],[Country]],Table128[Mixed Aerials Classification],"&gt;0")</f>
        <v>0</v>
      </c>
      <c r="OI81" s="6">
        <f>COUNTIFS(Table125[Country],Tabela1[[#This Row],[Country]],Table125[Big Air Classification],"&gt;0")</f>
        <v>0</v>
      </c>
      <c r="OJ81" s="6">
        <f>COUNTIFS(Table125128[Country],Tabela1[[#This Row],[Country]],Table125128[Big Air Classification],"&gt;0")</f>
        <v>0</v>
      </c>
      <c r="OK81" s="6">
        <f>COUNTIFS(Table125[Country],Tabela1[[#This Row],[Country]],Table125[Dual Moguls Classification],"&gt;0")</f>
        <v>0</v>
      </c>
      <c r="OL81" s="6">
        <f>COUNTIFS(Table125128[Country],Tabela1[[#This Row],[Country]],Table125128[Dual Moguls Classification],"&gt;0")</f>
        <v>0</v>
      </c>
      <c r="OM81" s="6">
        <f>COUNTIFS(Table125[Country],Tabela1[[#This Row],[Country]],Table125[Halfpipe Classification],"&gt;0")</f>
        <v>0</v>
      </c>
      <c r="ON81" s="6">
        <f>COUNTIFS(Table125128[Country],Tabela1[[#This Row],[Country]],Table125128[Halfpipe Classification],"&gt;0")</f>
        <v>0</v>
      </c>
      <c r="OO81" s="6">
        <f>COUNTIFS(Table125[Country],Tabela1[[#This Row],[Country]],Table125[Moguls Classification],"&gt;0")</f>
        <v>0</v>
      </c>
      <c r="OP81" s="6">
        <f>COUNTIFS(Table125128[Country],Tabela1[[#This Row],[Country]],Table125128[Moguls Classification],"&gt;0")</f>
        <v>0</v>
      </c>
      <c r="OQ81" s="6">
        <f>COUNTIFS(Table125[Country],Tabela1[[#This Row],[Country]],Table125[Ski Cross Classification],"&gt;0")</f>
        <v>0</v>
      </c>
      <c r="OR81" s="6">
        <f>COUNTIFS(Table125128[Country],Tabela1[[#This Row],[Country]],Table125128[Ski Cross Classification],"&gt;0")</f>
        <v>0</v>
      </c>
      <c r="OS81" s="6">
        <f>COUNTIFS(Table125[Country],Tabela1[[#This Row],[Country]],Table125[Slopestyle Classification],"&gt;0")</f>
        <v>0</v>
      </c>
      <c r="OT81" s="6">
        <f>COUNTIFS(Table125128[Country],Tabela1[[#This Row],[Country]],Table125128[Slopestyle Classification],"&gt;0")</f>
        <v>0</v>
      </c>
      <c r="OU81" s="6">
        <f>COUNTIFS(Table119131[Country],Tabela1[[#This Row],[Country]],Table119131[Men''s Classification],"&gt;0")</f>
        <v>0</v>
      </c>
      <c r="OV81" s="6">
        <f>COUNTIFS(Table119131[Country],Tabela1[[#This Row],[Country]],Table119131[Women''s Classification],"&gt;0")</f>
        <v>0</v>
      </c>
      <c r="OW81" s="6">
        <f>COUNTIFS(Table131[Country],Tabela1[[#This Row],[Country]],Table131[Classification],"&gt;0")</f>
        <v>0</v>
      </c>
      <c r="OX81" s="6">
        <f>COUNTIFS(Table131134[Country],Tabela1[[#This Row],[Country]],Table131134[Classification],"&gt;0")</f>
        <v>0</v>
      </c>
      <c r="OY81" s="6">
        <f>COUNTIFS(Table134[Country],Tabela1[[#This Row],[Country]],Table134[Men''s Classification],"&gt;0")</f>
        <v>0</v>
      </c>
      <c r="OZ81" s="6">
        <f>COUNTIFS(Table134[Country],Tabela1[[#This Row],[Country]],Table134[Women''s Classification],"&gt;0")</f>
        <v>0</v>
      </c>
      <c r="PA81" s="6">
        <f>COUNTIFS(Table135[Country],Tabela1[[#This Row],[Country]],Table135[Mixed Relay Classification],"&gt;0")</f>
        <v>0</v>
      </c>
      <c r="PB81" s="6">
        <f>COUNTIFS(Table136[Country],Tabela1[[#This Row],[Country]],Table136[Individual Classification],"&gt;0")</f>
        <v>0</v>
      </c>
      <c r="PC81" s="6">
        <f>COUNTIFS(Table136[Country],Tabela1[[#This Row],[Country]],Table136[Sprint Classification],"&gt;0")</f>
        <v>0</v>
      </c>
      <c r="PD81" s="6">
        <f>COUNTIFS(Table137[Country],Tabela1[[#This Row],[Country]],Table137[Men''s Team Sprint Large Hill Classification],"&gt;0")</f>
        <v>0</v>
      </c>
      <c r="PE81" s="6">
        <f>COUNTIFS(Table138[Country],Tabela1[[#This Row],[Country]],Table138[500m Classification],"&gt;0")</f>
        <v>0</v>
      </c>
      <c r="PF81" s="6">
        <f>COUNTIFS(Table138141[Country],Tabela1[[#This Row],[Country]],Table138141[500m Classification],"&gt;0")</f>
        <v>0</v>
      </c>
      <c r="PG81" s="6">
        <f>COUNTIFS(Table138[Country],Tabela1[[#This Row],[Country]],Table138[1000m Classification],"&gt;0")</f>
        <v>0</v>
      </c>
      <c r="PH81" s="6">
        <f>COUNTIFS(Table138141[Country],Tabela1[[#This Row],[Country]],Table138141[1000m Classification],"&gt;0")</f>
        <v>0</v>
      </c>
      <c r="PI81" s="6">
        <f>COUNTIFS(Table138[Country],Tabela1[[#This Row],[Country]],Table138[1500m Classification],"&gt;0")</f>
        <v>0</v>
      </c>
      <c r="PJ81" s="6">
        <f>COUNTIFS(Table138141[Country],Tabela1[[#This Row],[Country]],Table138141[1500m Classification],"&gt;0")</f>
        <v>0</v>
      </c>
      <c r="PK81" s="6">
        <f>COUNTIFS(Table141[Country],Tabela1[[#This Row],[Country]],Table141[Men''s 5000m Relay Classification],"&gt;0")</f>
        <v>0</v>
      </c>
      <c r="PL81" s="6">
        <f>COUNTIFS(Table141[Country],Tabela1[[#This Row],[Country]],Table141[Women''s 3000m Relay Classification],"&gt;0")</f>
        <v>0</v>
      </c>
      <c r="PM81" s="6">
        <f>COUNTIFS(Table141[Country],Tabela1[[#This Row],[Country]],Table141[Mixed 2000m Relay Classification],"&gt;0")</f>
        <v>0</v>
      </c>
      <c r="PN81" s="6">
        <f>COUNTIFS(Table142[Country],Tabela1[[#This Row],[Country]],Table142[Classification],"&gt;0")</f>
        <v>0</v>
      </c>
      <c r="PO81" s="6">
        <f>COUNTIFS(Table142145[Country],Tabela1[[#This Row],[Country]],Table142145[Classification],"&gt;0")</f>
        <v>0</v>
      </c>
      <c r="PP81" s="6">
        <f>COUNTIFS(Tabela15[Country],Tabela1[[#This Row],[Country]],Tabela15[Mixed Team Classification],"&gt;0")</f>
        <v>0</v>
      </c>
      <c r="PQ81" s="6">
        <f>COUNTIFS(Table145[Country],Tabela1[[#This Row],[Country]],Table145[Large Hill Classification],"&gt;0")</f>
        <v>0</v>
      </c>
      <c r="PR81" s="6">
        <f>COUNTIFS(Table145[Country],Tabela1[[#This Row],[Country]],Table145[Normal Hill Classification],"&gt;0")</f>
        <v>0</v>
      </c>
      <c r="PS81" s="6">
        <f>COUNTIFS(Table145148[Country],Tabela1[[#This Row],[Country]],Table145148[Large Hill Classification],"&gt;0")</f>
        <v>0</v>
      </c>
      <c r="PT81" s="6">
        <f>COUNTIFS(Table145148[Country],Tabela1[[#This Row],[Country]],Table145148[Normal Hill Classification],"&gt;0")</f>
        <v>0</v>
      </c>
      <c r="PU81" s="6">
        <f>COUNTIFS(Table148[Country],Tabela1[[#This Row],[Country]],Table148[Men''s Super Team Classification],"&gt;0")</f>
        <v>0</v>
      </c>
      <c r="PV81" s="6">
        <f>COUNTIFS(Tabela114[Country],Tabela1[[#This Row],[Country]],Tabela114[Mixed Normal Hill Classification],"&gt;0")</f>
        <v>0</v>
      </c>
      <c r="PW81" s="6">
        <f>COUNTIFS(Tabela50[Country],Tabela1[[#This Row],[Country]],Tabela50[Sprint Classification],"&gt;0")</f>
        <v>0</v>
      </c>
      <c r="PX81" s="6">
        <f>COUNTIFS(Tabela50101[Country],Tabela1[[#This Row],[Country]],Tabela50101[Sprint Classification],"&gt;0")</f>
        <v>0</v>
      </c>
      <c r="PY81" s="6">
        <f>COUNTIFS(Tabela103[Country],Tabela1[[#This Row],[Country]],Tabela103[Mixed Relay Classification],"&gt;0")</f>
        <v>0</v>
      </c>
      <c r="PZ81" s="6">
        <f>COUNTIFS(Table149[Country],Tabela1[[#This Row],[Country]],Table149[Big Air Classification],"&gt;0")</f>
        <v>0</v>
      </c>
      <c r="QA81" s="6">
        <f>COUNTIFS(Table149152[Country],Tabela1[[#This Row],[Country]],Table149152[Big Air Classification],"&gt;0")</f>
        <v>0</v>
      </c>
      <c r="QB81" s="6">
        <f>COUNTIFS(Table149[Country],Tabela1[[#This Row],[Country]],Table149[Halfpipe Classification],"&gt;0")</f>
        <v>0</v>
      </c>
      <c r="QC81" s="6">
        <f>COUNTIFS(Table149152[Country],Tabela1[[#This Row],[Country]],Table149152[Halfpipe Classification],"&gt;0")</f>
        <v>0</v>
      </c>
      <c r="QD81" s="6">
        <f>COUNTIFS(Table149[Country],Tabela1[[#This Row],[Country]],Table149[Parallel Giant Slalom Classification],"&gt;0")</f>
        <v>0</v>
      </c>
      <c r="QE81" s="6">
        <f>COUNTIFS(Table149152[Country],Tabela1[[#This Row],[Country]],Table149152[Parallel Giant Slalom Classification],"&gt;0")</f>
        <v>0</v>
      </c>
      <c r="QF81" s="6">
        <f>COUNTIFS(Table149[Country],Tabela1[[#This Row],[Country]],Table149[Slopestyle Classification],"&gt;0")</f>
        <v>0</v>
      </c>
      <c r="QG81" s="6">
        <f>COUNTIFS(Table149152[Country],Tabela1[[#This Row],[Country]],Table149152[Slopestyle Classification],"&gt;0")</f>
        <v>0</v>
      </c>
      <c r="QH81" s="6">
        <f>COUNTIFS(Table149[Country],Tabela1[[#This Row],[Country]],Table149[Snowboard Cross Classification],"&gt;0")</f>
        <v>0</v>
      </c>
      <c r="QI81" s="6">
        <f>COUNTIFS(Table149152[Country],Tabela1[[#This Row],[Country]],Table149152[Snowboard Cross Classification],"&gt;0")</f>
        <v>0</v>
      </c>
      <c r="QJ81" s="6">
        <f>COUNTIFS(Table153[Country],Tabela1[[#This Row],[Country]],Table153[Mixed Team Snowboard Cross Classification],"&gt;0")</f>
        <v>0</v>
      </c>
      <c r="QK81" s="6">
        <f>COUNTIFS(Table154[Country],Tabela1[[#This Row],[Country]],Table154[500m Classification],"&gt;0")</f>
        <v>0</v>
      </c>
      <c r="QL81" s="6">
        <f>COUNTIFS(Table154157[Country],Tabela1[[#This Row],[Country]],Table154157[500m Classification],"&gt;0")</f>
        <v>0</v>
      </c>
      <c r="QM81" s="6">
        <f>COUNTIFS(Table154[Country],Tabela1[[#This Row],[Country]],Table154[1000m Classification],"&gt;0")</f>
        <v>0</v>
      </c>
      <c r="QN81" s="6">
        <f>COUNTIFS(Table154157[Country],Tabela1[[#This Row],[Country]],Table154157[1000m Classification],"&gt;0")</f>
        <v>0</v>
      </c>
      <c r="QO81" s="6">
        <f>COUNTIFS(Table154[Country],Tabela1[[#This Row],[Country]],Table154[1500m Classification],"&gt;0")</f>
        <v>0</v>
      </c>
      <c r="QP81" s="6">
        <f>COUNTIFS(Table154157[Country],Tabela1[[#This Row],[Country]],Table154157[1500m Classification],"&gt;0")</f>
        <v>0</v>
      </c>
      <c r="QQ81" s="6">
        <f>COUNTIFS(Table154157[Country],Tabela1[[#This Row],[Country]],Table154157[3000m Classification],"&gt;0")</f>
        <v>0</v>
      </c>
      <c r="QR81" s="6">
        <f>COUNTIFS(Table154[Country],Tabela1[[#This Row],[Country]],Table154[5000m Classification],"&gt;0")</f>
        <v>0</v>
      </c>
      <c r="QS81" s="6">
        <f>COUNTIFS(Table154157[Country],Tabela1[[#This Row],[Country]],Table154157[5000m Classification],"&gt;0")</f>
        <v>0</v>
      </c>
      <c r="QT81" s="6">
        <f>COUNTIFS(Table154[Country],Tabela1[[#This Row],[Country]],Table154[10000m Classification],"&gt;0")</f>
        <v>0</v>
      </c>
      <c r="QU81" s="6">
        <f>COUNTIFS(Table154[Country],Tabela1[[#This Row],[Country]],Table154[Mass Start Classification],"&gt;0")</f>
        <v>0</v>
      </c>
      <c r="QV81" s="6">
        <f>COUNTIFS(Table154157[Country],Tabela1[[#This Row],[Country]],Table154157[Mass Start Classification],"&gt;0")</f>
        <v>0</v>
      </c>
      <c r="QW81" s="6">
        <f>COUNTIFS(Table157[Country],Tabela1[[#This Row],[Country]],Table157[Men''s Pursuit Classification],"&gt;0")</f>
        <v>0</v>
      </c>
      <c r="QX81" s="6">
        <f>COUNTIFS(Table157[Country],Tabela1[[#This Row],[Country]],Table157[Women''s Pursuit Classification],"&gt;0")</f>
        <v>0</v>
      </c>
      <c r="QY81" s="3" t="s">
        <v>509</v>
      </c>
    </row>
    <row r="82" spans="1:467" x14ac:dyDescent="0.3">
      <c r="A82" s="6">
        <v>81</v>
      </c>
      <c r="B82" s="6" t="s">
        <v>440</v>
      </c>
      <c r="C82" t="e" vm="81">
        <f>IF(ISBLANK(Tabela1[[#This Row],[Image Link]]), "", _xlfn.IMAGE(Tabela1[[#This Row],[Image Link]],1,1))</f>
        <v>#VALUE!</v>
      </c>
      <c r="D82" s="6">
        <f>SUM(Tabela1[[#This Row],[Archery - Men''s Individual Recurve]:[Speed Skating - Women''s Team Pursuit]])</f>
        <v>5</v>
      </c>
      <c r="E82" s="6">
        <f>COUNTIF(Tabela1[[#This Row],[Archery - Men''s Individual Recurve]:[Speed Skating - Women''s Team Pursuit]],"&gt;0")</f>
        <v>5</v>
      </c>
      <c r="F82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82" s="6">
        <f>SUM(Tabela1[[#This Row],[Archery - Men''s Individual Recurve]:[Wrestling - Women''s Freestyle 76kg]])</f>
        <v>5</v>
      </c>
      <c r="H82" s="6">
        <f>SUM(Tabela1[[#This Row],[Alpine Skiing - Men''s Downhill]:[Speed Skating - Women''s Team Pursuit]])</f>
        <v>0</v>
      </c>
      <c r="I82" s="6">
        <f>Tabela1[[#This Row],[Summer Gold Medals]]+Tabela1[[#This Row],[Winter Gold Medals]]</f>
        <v>0</v>
      </c>
      <c r="J82" s="6">
        <f>Tabela1[[#This Row],[Summer Silver Medals]]+Tabela1[[#This Row],[Winter Silver Medals]]</f>
        <v>0</v>
      </c>
      <c r="K82" s="6">
        <f>Tabela1[[#This Row],[Summer Bronze Medals]]+Tabela1[[#This Row],[Winter Bronze Medals]]</f>
        <v>0</v>
      </c>
      <c r="L82" s="6">
        <f>SUM(Tabela1[[#This Row],[Total Gold Medals]:[Total Bronze Medals]])</f>
        <v>0</v>
      </c>
      <c r="M82" s="6"/>
      <c r="N82" s="6"/>
      <c r="O82" s="6"/>
      <c r="P82" s="6">
        <f>SUM(Tabela1[[#This Row],[Summer Gold Medals]:[Summer Bronze Medals]])</f>
        <v>0</v>
      </c>
      <c r="Q82" s="6"/>
      <c r="R82" s="6"/>
      <c r="S82" s="6"/>
      <c r="T82" s="6">
        <f>Tabela1[[#This Row],[Winter Gold Medals]]+Tabela1[[#This Row],[Winter Silver Medals]]+Tabela1[[#This Row],[Winter Bronze Medals]]</f>
        <v>0</v>
      </c>
      <c r="U82" s="7">
        <f>Tabela1[[#This Row],[Total Medals]]/Tabela1[[#This Row],[Total Quotas]]</f>
        <v>0</v>
      </c>
      <c r="V82" s="6">
        <f>COUNTIFS(Table3[Country],Tabela1[[#This Row],[Country]],Table3[Recurve Classification],"&gt;0")</f>
        <v>0</v>
      </c>
      <c r="W82" s="6">
        <f>COUNTIFS(Table33[Country],Tabela1[[#This Row],[Country]],Table33[Recurve Classification],"&gt;0")</f>
        <v>0</v>
      </c>
      <c r="X82" s="6">
        <f>COUNTIFS(Table35[Country],Tabela1[[#This Row],[Country]],Table35[Men''s Team Recurve Classification],"&gt;0")</f>
        <v>0</v>
      </c>
      <c r="Y82" s="6">
        <f>COUNTIFS(Table35[Country],Tabela1[[#This Row],[Country]],Table35[Women''s Team Recurve Classification],"&gt;0")</f>
        <v>0</v>
      </c>
      <c r="Z82" s="6">
        <f>COUNTIFS(Tabela88[Country],Tabela1[[#This Row],[Country]],Tabela88[Mixed Team Recurve Classification],"&gt;0")</f>
        <v>0</v>
      </c>
      <c r="AA82" s="6">
        <f>COUNTIFS(Table36[Country],Tabela1[[#This Row],[Country]],Table36[Classification],"&gt;0")</f>
        <v>0</v>
      </c>
      <c r="AB82" s="6">
        <f>COUNTIFS(Table37[Country],Tabela1[[#This Row],[Country]],Table37[Classification],"&gt;0")</f>
        <v>0</v>
      </c>
      <c r="AC82" s="6">
        <f>COUNTIFS(Table4[Country],Tabela1[[#This Row],[Country]],Table4[100m Classification],"&gt;0")</f>
        <v>0</v>
      </c>
      <c r="AD82" s="6">
        <f>COUNTIFS(Table5[Country],Tabela1[[#This Row],[Country]],Table5[100m Classification],"&gt;0")</f>
        <v>0</v>
      </c>
      <c r="AE82" s="6">
        <f>COUNTIFS(Table4[Country],Tabela1[[#This Row],[Country]],Table4[200m Classification],"&gt;0")</f>
        <v>0</v>
      </c>
      <c r="AF82" s="6">
        <f>COUNTIFS(Table5[Country],Tabela1[[#This Row],[Country]],Table5[200m Classification],"&gt;0")</f>
        <v>0</v>
      </c>
      <c r="AG82" s="6">
        <f>COUNTIFS(Table4[Country],Tabela1[[#This Row],[Country]],Table4[400m Classification],"&gt;0")</f>
        <v>0</v>
      </c>
      <c r="AH82" s="6">
        <f>COUNTIFS(Table5[Country],Tabela1[[#This Row],[Country]],Table5[400m Classification],"&gt;0")</f>
        <v>0</v>
      </c>
      <c r="AI82" s="6">
        <f>COUNTIFS(Table4[Country],Tabela1[[#This Row],[Country]],Table4[800m Classification],"&gt;0")</f>
        <v>0</v>
      </c>
      <c r="AJ82" s="6">
        <f>COUNTIFS(Table5[Country],Tabela1[[#This Row],[Country]],Table5[800m Classification],"&gt;0")</f>
        <v>0</v>
      </c>
      <c r="AK82" s="6">
        <f>COUNTIFS(Table4[Country],Tabela1[[#This Row],[Country]],Table4[1500m Classification],"&gt;0")</f>
        <v>0</v>
      </c>
      <c r="AL82" s="6">
        <f>COUNTIFS(Table5[Country],Tabela1[[#This Row],[Country]],Table5[1500m Classification],"&gt;0")</f>
        <v>0</v>
      </c>
      <c r="AM82" s="6">
        <f>COUNTIFS(Table4[Country],Tabela1[[#This Row],[Country]],Table4[5000m Classification],"&gt;0")</f>
        <v>0</v>
      </c>
      <c r="AN82" s="6">
        <f>COUNTIFS(Table5[Country],Tabela1[[#This Row],[Country]],Table5[5000m Classification],"&gt;0")</f>
        <v>0</v>
      </c>
      <c r="AO82" s="6">
        <f>COUNTIFS(Table4[Country],Tabela1[[#This Row],[Country]],Table4[10000m Classification],"&gt;0")</f>
        <v>0</v>
      </c>
      <c r="AP82" s="6">
        <f>COUNTIFS(Table5[Country],Tabela1[[#This Row],[Country]],Table5[10000m Classification],"&gt;0")</f>
        <v>0</v>
      </c>
      <c r="AQ82" s="6">
        <f>COUNTIFS(Table4[Country],Tabela1[[#This Row],[Country]],Table4[110m Hurdles Classification],"&gt;0")</f>
        <v>0</v>
      </c>
      <c r="AR82" s="6">
        <f>COUNTIFS(Table5[Country],Tabela1[[#This Row],[Country]],Table5[100m Hurdles Classification],"&gt;0")</f>
        <v>0</v>
      </c>
      <c r="AS82" s="6">
        <f>COUNTIFS(Table4[Country],Tabela1[[#This Row],[Country]],Table4[400m Hurdles Classification],"&gt;0")</f>
        <v>0</v>
      </c>
      <c r="AT82" s="6">
        <f>COUNTIFS(Table5[Country],Tabela1[[#This Row],[Country]],Table5[400m Hurdles Classification],"&gt;0")</f>
        <v>0</v>
      </c>
      <c r="AU82" s="6">
        <f>COUNTIFS(Table4[Country],Tabela1[[#This Row],[Country]],Table4[3000m Steeplechase Classification],"&gt;0")</f>
        <v>0</v>
      </c>
      <c r="AV82" s="6">
        <f>COUNTIFS(Table5[Country],Tabela1[[#This Row],[Country]],Table5[3000m Steeplechase Classification],"&gt;0")</f>
        <v>0</v>
      </c>
      <c r="AW82" s="6">
        <f>COUNTIFS(Table27[Country],Tabela1[[#This Row],[Country]],Table27[Men''s 4x100m Relay Classification],"&gt;0")</f>
        <v>0</v>
      </c>
      <c r="AX82" s="6">
        <f>COUNTIFS(Table27[Country],Tabela1[[#This Row],[Country]],Table27[Women''s 4x100m Relay Classification],"&gt;0")</f>
        <v>0</v>
      </c>
      <c r="AY82" s="6">
        <f>COUNTIFS(Table27[Country],Tabela1[[#This Row],[Country]],Table27[Men''s 4x400m Relay Classification],"&gt;0")</f>
        <v>0</v>
      </c>
      <c r="AZ82" s="6">
        <f>COUNTIFS(Table27[Country],Tabela1[[#This Row],[Country]],Table27[Women''s 4x400m Relay Classification],"&gt;0")</f>
        <v>0</v>
      </c>
      <c r="BA82" s="6">
        <f>COUNTIFS(Table27[Country],Tabela1[[#This Row],[Country]],Table27[Mixed 4x400m Relay Classification],"&gt;0")</f>
        <v>1</v>
      </c>
      <c r="BB82" s="6">
        <f>COUNTIFS(Table4[Country],Tabela1[[#This Row],[Country]],Table4[Marathon Classification],"&gt;0")</f>
        <v>0</v>
      </c>
      <c r="BC82" s="6">
        <f>COUNTIFS(Table5[Country],Tabela1[[#This Row],[Country]],Table5[Marathon Classification],"&gt;0")</f>
        <v>0</v>
      </c>
      <c r="BD82" s="6">
        <f>COUNTIFS(Table4[Country],Tabela1[[#This Row],[Country]],Table4[20km Race Walk Classification],"&gt;0")</f>
        <v>0</v>
      </c>
      <c r="BE82" s="6">
        <f>COUNTIFS(Table5[Country],Tabela1[[#This Row],[Country]],Table5[20km Race Walk Classification],"&gt;0")</f>
        <v>0</v>
      </c>
      <c r="BF82" s="6">
        <f>COUNTIFS(Tabela96[Country],Tabela1[[#This Row],[Country]],Tabela96[Mixed Marathon Race Walk Relay Classification],"&gt;0")</f>
        <v>0</v>
      </c>
      <c r="BG82" s="6">
        <f>COUNTIFS(Table4[Country],Tabela1[[#This Row],[Country]],Table4[Discus Throw Classification],"&gt;0")</f>
        <v>0</v>
      </c>
      <c r="BH82" s="6">
        <f>COUNTIFS(Table5[Country],Tabela1[[#This Row],[Country]],Table5[Discus Throw Classification],"&gt;0")</f>
        <v>0</v>
      </c>
      <c r="BI82" s="6">
        <f>COUNTIFS(Table4[Country],Tabela1[[#This Row],[Country]],Table4[Hammer Throw Classification],"&gt;0")</f>
        <v>0</v>
      </c>
      <c r="BJ82" s="6">
        <f>COUNTIFS(Table5[Country],Tabela1[[#This Row],[Country]],Table5[Hammer Throw Classification],"&gt;0")</f>
        <v>0</v>
      </c>
      <c r="BK82" s="6">
        <f>COUNTIFS(Table4[Country],Tabela1[[#This Row],[Country]],Table4[High Jump Classification],"&gt;0")</f>
        <v>0</v>
      </c>
      <c r="BL82" s="6">
        <f>COUNTIFS(Table5[Country],Tabela1[[#This Row],[Country]],Table5[High Jump Classification],"&gt;0")</f>
        <v>0</v>
      </c>
      <c r="BM82" s="6">
        <f>COUNTIFS(Table4[Country],Tabela1[[#This Row],[Country]],Table4[Javelin Throw Classification],"&gt;0")</f>
        <v>0</v>
      </c>
      <c r="BN82" s="6">
        <f>COUNTIFS(Table5[Country],Tabela1[[#This Row],[Country]],Table5[Javelin Throw Classification],"&gt;0")</f>
        <v>0</v>
      </c>
      <c r="BO82" s="6">
        <f>COUNTIFS(Table4[Country],Tabela1[[#This Row],[Country]],Table4[Long Jump Classification],"&gt;0")</f>
        <v>0</v>
      </c>
      <c r="BP82" s="6">
        <f>COUNTIFS(Table5[Country],Tabela1[[#This Row],[Country]],Table5[Long Jump Classification],"&gt;0")</f>
        <v>1</v>
      </c>
      <c r="BQ82" s="6">
        <f>COUNTIFS(Table4[Country],Tabela1[[#This Row],[Country]],Table4[Pole Vault Classification],"&gt;0")</f>
        <v>0</v>
      </c>
      <c r="BR82" s="6">
        <f>COUNTIFS(Table5[Country],Tabela1[[#This Row],[Country]],Table5[Pole Vault Classification],"&gt;0")</f>
        <v>0</v>
      </c>
      <c r="BS82" s="6">
        <f>COUNTIFS(Table4[Country],Tabela1[[#This Row],[Country]],Table4[Shot Put Classification],"&gt;0")</f>
        <v>0</v>
      </c>
      <c r="BT82" s="6">
        <f>COUNTIFS(Table5[Country],Tabela1[[#This Row],[Country]],Table5[Shot Put Classification],"&gt;0")</f>
        <v>0</v>
      </c>
      <c r="BU82" s="6">
        <f>COUNTIFS(Table4[Country],Tabela1[[#This Row],[Country]],Table4[Triple Jump Classification],"&gt;0")</f>
        <v>0</v>
      </c>
      <c r="BV82" s="6">
        <f>COUNTIFS(Table5[Country],Tabela1[[#This Row],[Country]],Table5[Triple Jump Classification],"&gt;0")</f>
        <v>0</v>
      </c>
      <c r="BW82" s="6">
        <f>COUNTIFS(Table4[Country],Tabela1[[#This Row],[Country]],Table4[Decathlon Classification],"&gt;0")</f>
        <v>0</v>
      </c>
      <c r="BX82" s="6">
        <f>COUNTIFS(Table5[Country],Tabela1[[#This Row],[Country]],Table5[Heptathlon Classification],"&gt;0")</f>
        <v>0</v>
      </c>
      <c r="BY82" s="6">
        <f>COUNTIFS(Table61[Country],Tabela1[[#This Row],[Country]],Table61[Classification],"&gt;0")</f>
        <v>0</v>
      </c>
      <c r="BZ82" s="6">
        <f>COUNTIFS(Table38[Country],Tabela1[[#This Row],[Country]],Table38[Classification],"&gt;0")</f>
        <v>0</v>
      </c>
      <c r="CA82" s="6">
        <f>COUNTIFS(Table39[Country],Tabela1[[#This Row],[Country]],Table39[Men''s Classification],"&gt;0")</f>
        <v>0</v>
      </c>
      <c r="CB82" s="6">
        <f>COUNTIFS(Table39[Country],Tabela1[[#This Row],[Country]],Table39[Women''s Classification],"&gt;0")</f>
        <v>0</v>
      </c>
      <c r="CC82" s="6">
        <f>COUNTIFS(Table39[Country],Tabela1[[#This Row],[Country]],Table39[Mixed Classification],"&gt;0")</f>
        <v>0</v>
      </c>
      <c r="CD82" s="6">
        <f>COUNTIFS(Table89[Country],Tabela1[[#This Row],[Country]],Table89[Men''s Classification],"&gt;0")</f>
        <v>0</v>
      </c>
      <c r="CE82" s="6">
        <f>COUNTIFS(Table89[Country],Tabela1[[#This Row],[Country]],Table89[Women''s Classification],"&gt;0")</f>
        <v>0</v>
      </c>
      <c r="CF82" s="6">
        <f>COUNTIFS(Table90[Country],Tabela1[[#This Row],[Country]],Table90[Men''s Classification],"&gt;0")</f>
        <v>0</v>
      </c>
      <c r="CG82" s="6">
        <f>COUNTIFS(Table90[Country],Tabela1[[#This Row],[Country]],Table90[Women''s Classification],"&gt;0")</f>
        <v>0</v>
      </c>
      <c r="CH82" s="6">
        <f>COUNTIFS(Table60[Country],Tabela1[[#This Row],[Country]],Table60[Men''s Classification],"&gt;0")</f>
        <v>0</v>
      </c>
      <c r="CI82" s="6">
        <f>COUNTIFS(Table60[Country],Tabela1[[#This Row],[Country]],Table60[Women''s Classification],"&gt;0")</f>
        <v>0</v>
      </c>
      <c r="CJ82" s="6">
        <f>COUNTIFS(Table6[Country],Tabela1[[#This Row],[Country]],Table6[51kg Classification],"&gt;0")</f>
        <v>0</v>
      </c>
      <c r="CK82" s="6">
        <f>COUNTIFS(Table6[Country],Tabela1[[#This Row],[Country]],Table6[57kg Classification],"&gt;0")</f>
        <v>0</v>
      </c>
      <c r="CL82" s="6">
        <f>COUNTIFS(Table6[Country],Tabela1[[#This Row],[Country]],Table6[63.5kg Classification],"&gt;0")</f>
        <v>0</v>
      </c>
      <c r="CM82" s="6">
        <f>COUNTIFS(Table6[Country],Tabela1[[#This Row],[Country]],Table6[71kg Classification],"&gt;0")</f>
        <v>0</v>
      </c>
      <c r="CN82" s="6">
        <f>COUNTIFS(Table6[Country],Tabela1[[#This Row],[Country]],Table6[80kg Classification],"&gt;0")</f>
        <v>0</v>
      </c>
      <c r="CO82" s="6">
        <f>COUNTIFS(Table6[Country],Tabela1[[#This Row],[Country]],Table6[92kg Classification],"&gt;0")</f>
        <v>0</v>
      </c>
      <c r="CP82" s="6">
        <f>COUNTIFS(Table6[Country],Tabela1[[#This Row],[Country]],Table6[Plus 92kg Classification],"&gt;0")</f>
        <v>0</v>
      </c>
      <c r="CQ82" s="6">
        <f>COUNTIFS(Table7[Country],Tabela1[[#This Row],[Country]],Table7[50kg Classification],"&gt;0")</f>
        <v>0</v>
      </c>
      <c r="CR82" s="6">
        <f>COUNTIFS(Table7[Country],Tabela1[[#This Row],[Country]],Table7[54kg Classification],"&gt;0")</f>
        <v>0</v>
      </c>
      <c r="CS82" s="6">
        <f>COUNTIFS(Table7[Country],Tabela1[[#This Row],[Country]],Table7[57kg Classification],"&gt;0")</f>
        <v>0</v>
      </c>
      <c r="CT82" s="6">
        <f>COUNTIFS(Table7[Country],Tabela1[[#This Row],[Country]],Table7[60kg Classification],"&gt;0")</f>
        <v>0</v>
      </c>
      <c r="CU82" s="6">
        <f>COUNTIFS(Table7[Country],Tabela1[[#This Row],[Country]],Table7[66kg Classification],"&gt;0")</f>
        <v>0</v>
      </c>
      <c r="CV82" s="6">
        <f>COUNTIFS(Table7[Country],Tabela1[[#This Row],[Country]],Table7[75kg Classification],"&gt;0")</f>
        <v>0</v>
      </c>
      <c r="CW82" s="6">
        <f>COUNTIFS(Tabela94[Country],Tabela1[[#This Row],[Country]],Tabela94[Classification],"&gt;0")</f>
        <v>0</v>
      </c>
      <c r="CX82" s="6">
        <f>COUNTIFS(Tabela9499[Country],Tabela1[[#This Row],[Country]],Tabela9499[Classification],"&gt;0")</f>
        <v>0</v>
      </c>
      <c r="CY82" s="6">
        <f>COUNTIFS(Tabela107[Country],Tabela1[[#This Row],[Country]],Tabela107[C1 Slalom Classification],"&gt;0")</f>
        <v>0</v>
      </c>
      <c r="CZ82" s="6">
        <f>COUNTIFS(Tabela107122[Country],Tabela1[[#This Row],[Country]],Tabela107122[C1 Slalom Classification],"&gt;0")</f>
        <v>0</v>
      </c>
      <c r="DA82" s="6">
        <f>COUNTIFS(Tabela107[Country],Tabela1[[#This Row],[Country]],Tabela107[K1 Slalom Classification],"&gt;0")</f>
        <v>0</v>
      </c>
      <c r="DB82" s="6">
        <f>COUNTIFS(Tabela107122[Country],Tabela1[[#This Row],[Country]],Tabela107122[K1 Slalom Classification],"&gt;0")</f>
        <v>0</v>
      </c>
      <c r="DC82" s="6">
        <f>COUNTIFS(Tabela107[Country],Tabela1[[#This Row],[Country]],Tabela107[Kayak Cross Slalom Classification],"&gt;0")</f>
        <v>0</v>
      </c>
      <c r="DD82" s="6">
        <f>COUNTIFS(Tabela107122[Country],Tabela1[[#This Row],[Country]],Tabela107122[Kayak Cross Slalom Classification],"&gt;0")</f>
        <v>0</v>
      </c>
      <c r="DE82" s="6">
        <f>COUNTIFS(Table8[Country],Tabela1[[#This Row],[Country]],Table8[C1 200m Classification],"&gt;0")</f>
        <v>0</v>
      </c>
      <c r="DF82" s="6">
        <f>COUNTIFS(Table40[Country],Tabela1[[#This Row],[Country]],Table40[C1 1000m Classification],"&gt;0")</f>
        <v>0</v>
      </c>
      <c r="DG82" s="6">
        <f>COUNTIFS(Table68[Country],Tabela1[[#This Row],[Country]],Table68[Men''s C2 500m Classification],"&gt;0")</f>
        <v>0</v>
      </c>
      <c r="DH82" s="6">
        <f>COUNTIFS(Table68[Country],Tabela1[[#This Row],[Country]],Table68[Women''s C2 500m Classification],"&gt;0")</f>
        <v>0</v>
      </c>
      <c r="DI82" s="6">
        <f>COUNTIFS(Table8[Country],Tabela1[[#This Row],[Country]],Table8[K1 500m Classification],"&gt;0")</f>
        <v>0</v>
      </c>
      <c r="DJ82" s="6">
        <f>COUNTIFS(Table40[Country],Tabela1[[#This Row],[Country]],Table40[K1 1000m Classification],"&gt;0")</f>
        <v>0</v>
      </c>
      <c r="DK82" s="6">
        <f>COUNTIFS(Table68[Country],Tabela1[[#This Row],[Country]],Table68[Men''s K2 500m Classification],"&gt;0")</f>
        <v>0</v>
      </c>
      <c r="DL82" s="6">
        <f>COUNTIFS(Table68[Country],Tabela1[[#This Row],[Country]],Table68[Women''s K2 500m Classification],"&gt;0")</f>
        <v>0</v>
      </c>
      <c r="DM82" s="6">
        <f>COUNTIFS(Table83[Country],Tabela1[[#This Row],[Country]],Table83[Men''s K4 500m Classification],"&gt;0")</f>
        <v>0</v>
      </c>
      <c r="DN82" s="6">
        <f>COUNTIFS(Table83[Country],Tabela1[[#This Row],[Country]],Table83[Women''s K4 500m Classification],"&gt;0")</f>
        <v>0</v>
      </c>
      <c r="DO82" s="6">
        <f>COUNTIFS(Tabela126[Country],Tabela1[[#This Row],[Country]],Tabela126[Classification],"&gt;0")</f>
        <v>0</v>
      </c>
      <c r="DP82" s="6">
        <f>COUNTIFS(Tabela126130[Country],Tabela1[[#This Row],[Country]],Tabela126130[Classification],"&gt;0")</f>
        <v>0</v>
      </c>
      <c r="DQ82" s="6">
        <f>COUNTIFS(Table70[Country],Tabela1[[#This Row],[Country]],Table70[Classification],"&gt;0")</f>
        <v>0</v>
      </c>
      <c r="DR82" s="6">
        <f>COUNTIFS(Table80[Country],Tabela1[[#This Row],[Country]],Table80[Classification],"&gt;0")</f>
        <v>0</v>
      </c>
      <c r="DS82" s="6">
        <f>COUNTIFS(Table66[Country],Tabela1[[#This Row],[Country]],Table66[Classification],"&gt;0")</f>
        <v>0</v>
      </c>
      <c r="DT82" s="6">
        <f>COUNTIFS(Table67[Country],Tabela1[[#This Row],[Country]],Table67[Classification],"&gt;0")</f>
        <v>0</v>
      </c>
      <c r="DU82" s="6">
        <f>COUNTIFS(Table69[Country],Tabela1[[#This Row],[Country]],Table69[Keirin Classification],"&gt;0")</f>
        <v>0</v>
      </c>
      <c r="DV82" s="6">
        <f>COUNTIFS(Table41[Country],Tabela1[[#This Row],[Country]],Table41[Keirin Classification],"&gt;0")</f>
        <v>0</v>
      </c>
      <c r="DW82" s="6">
        <f>COUNTIFS(Table84[Country],Tabela1[[#This Row],[Country]],Table84[Men''s Madison Classification],"&gt;0")</f>
        <v>0</v>
      </c>
      <c r="DX82" s="6">
        <f>COUNTIFS(Table84[Country],Tabela1[[#This Row],[Country]],Table84[Women''s Madison Classification],"&gt;0")</f>
        <v>0</v>
      </c>
      <c r="DY82" s="6">
        <f>COUNTIFS(Table69[Country],Tabela1[[#This Row],[Country]],Table69[Omnium Classification],"&gt;0")</f>
        <v>0</v>
      </c>
      <c r="DZ82" s="6">
        <f>COUNTIFS(Table41[Country],Tabela1[[#This Row],[Country]],Table41[Omnium Classification],"&gt;0")</f>
        <v>0</v>
      </c>
      <c r="EA82" s="6">
        <f>COUNTIFS(Table9[Country],Tabela1[[#This Row],[Country]],Table9[Road Race Classification],"&gt;0")</f>
        <v>0</v>
      </c>
      <c r="EB82" s="6">
        <f>COUNTIFS(Table14[Country],Tabela1[[#This Row],[Country]],Table14[Road Race Classification],"&gt;0")</f>
        <v>0</v>
      </c>
      <c r="EC82" s="6">
        <f>COUNTIFS(Table69[Country],Tabela1[[#This Row],[Country]],Table69[Sprint Classification],"&gt;0")</f>
        <v>0</v>
      </c>
      <c r="ED82" s="6">
        <f>COUNTIFS(Table41[Country],Tabela1[[#This Row],[Country]],Table41[Sprint Classification],"&gt;0")</f>
        <v>0</v>
      </c>
      <c r="EE82" s="6">
        <f>COUNTIFS(Table85[Country],Tabela1[[#This Row],[Country]],Table85[Men''s Sprint Classification],"&gt;0")</f>
        <v>0</v>
      </c>
      <c r="EF82" s="6">
        <f>COUNTIFS(Table85[Country],Tabela1[[#This Row],[Country]],Table85[Women''s Sprint Classification],"&gt;0")</f>
        <v>0</v>
      </c>
      <c r="EG82" s="6">
        <f>COUNTIFS(Table85[Country],Tabela1[[#This Row],[Country]],Table85[Men''s Pursuit Classification],"&gt;0")</f>
        <v>0</v>
      </c>
      <c r="EH82" s="6">
        <f>COUNTIFS(Table85[Country],Tabela1[[#This Row],[Country]],Table85[Women''s Pursuit Classification],"&gt;0")</f>
        <v>0</v>
      </c>
      <c r="EI82" s="6">
        <f>COUNTIFS(Table9[Country],Tabela1[[#This Row],[Country]],Table9[Time-Trial Classification],"&gt;0")</f>
        <v>0</v>
      </c>
      <c r="EJ82" s="6">
        <f>COUNTIFS(Table14[Country],Tabela1[[#This Row],[Country]],Table14[Time-Trial Classification],"&gt;0")</f>
        <v>0</v>
      </c>
      <c r="EK82" s="6">
        <f>COUNTIFS(Table42[Country],Tabela1[[#This Row],[Country]],Table42[Springboard Classification],"&gt;0")</f>
        <v>0</v>
      </c>
      <c r="EL82" s="6">
        <f>COUNTIFS(Table43[Country],Tabela1[[#This Row],[Country]],Table43[Springboard Classification],"&gt;0")</f>
        <v>0</v>
      </c>
      <c r="EM82" s="6">
        <f>COUNTIFS(Table42[Country],Tabela1[[#This Row],[Country]],Table42[Platform Classification],"&gt;0")</f>
        <v>0</v>
      </c>
      <c r="EN82" s="6">
        <f>COUNTIFS(Table43[Country],Tabela1[[#This Row],[Country]],Table43[Platform Classification],"&gt;0")</f>
        <v>0</v>
      </c>
      <c r="EO82" s="6">
        <f>COUNTIFS(Table86[Country],Tabela1[[#This Row],[Country]],Table86[Men''s Synchronized Springboard Classification],"&gt;0")</f>
        <v>0</v>
      </c>
      <c r="EP82" s="6">
        <f>COUNTIFS(Table86[Country],Tabela1[[#This Row],[Country]],Table86[Women''s Synchronized Springboard Classification],"&gt;0")</f>
        <v>0</v>
      </c>
      <c r="EQ82" s="6">
        <f>COUNTIFS(Table86[Country],Tabela1[[#This Row],[Country]],Table86[Men''s Synchronized Platform Classification],"&gt;0")</f>
        <v>0</v>
      </c>
      <c r="ER82" s="6">
        <f>COUNTIFS(Table86[Country],Tabela1[[#This Row],[Country]],Table86[Women''s Synchronized Platform Classification],"&gt;0")</f>
        <v>0</v>
      </c>
      <c r="ES82" s="6">
        <f>COUNTIFS(Table44[Country],Tabela1[[#This Row],[Country]],Table44[Dressage Classification],"&gt;0")</f>
        <v>0</v>
      </c>
      <c r="ET82" s="6">
        <f>COUNTIFS(Table45[Country],Tabela1[[#This Row],[Country]],Table45[Dressage Classification],"&gt;0")</f>
        <v>0</v>
      </c>
      <c r="EU82" s="6">
        <f>COUNTIFS(Table44[Country],Tabela1[[#This Row],[Country]],Table44[Eventing Classification],"&gt;0")</f>
        <v>0</v>
      </c>
      <c r="EV82" s="6">
        <f>COUNTIFS(Table45[Country],Tabela1[[#This Row],[Country]],Table45[Eventing Classification],"&gt;0")</f>
        <v>0</v>
      </c>
      <c r="EW82" s="6">
        <f>COUNTIFS(Table44[Country],Tabela1[[#This Row],[Country]],Table44[Jumping Classification],"&gt;0")</f>
        <v>0</v>
      </c>
      <c r="EX82" s="6">
        <f>COUNTIFS(Table45[Country],Tabela1[[#This Row],[Country]],Table45[Jumping Classification],"&gt;0")</f>
        <v>0</v>
      </c>
      <c r="EY82" s="6">
        <f>COUNTIFS(Table10[Country],Tabela1[[#This Row],[Country]],Table10[Épée Classification],"&gt;0")</f>
        <v>0</v>
      </c>
      <c r="EZ82" s="6">
        <f>COUNTIFS(Table11[Country],Tabela1[[#This Row],[Country]],Table11[Épée Classification],"&gt;0")</f>
        <v>0</v>
      </c>
      <c r="FA82" s="6">
        <f>COUNTIFS(Table46[Country],Tabela1[[#This Row],[Country]],Table46[Men''s Épée Classification],"&gt;0")</f>
        <v>0</v>
      </c>
      <c r="FB82" s="6">
        <f>COUNTIFS(Table46[Country],Tabela1[[#This Row],[Country]],Table46[Women''s Épée Classification],"&gt;0")</f>
        <v>0</v>
      </c>
      <c r="FC82" s="6">
        <f>COUNTIFS(Table10[Country],Tabela1[[#This Row],[Country]],Table10[Foil Classification],"&gt;0")</f>
        <v>0</v>
      </c>
      <c r="FD82" s="6">
        <f>COUNTIFS(Table11[Country],Tabela1[[#This Row],[Country]],Table11[Foil Classification],"&gt;0")</f>
        <v>0</v>
      </c>
      <c r="FE82" s="6">
        <f>COUNTIFS(Table46[Country],Tabela1[[#This Row],[Country]],Table46[Men''s Foil Classification],"&gt;0")</f>
        <v>0</v>
      </c>
      <c r="FF82" s="6">
        <f>COUNTIFS(Table46[Country],Tabela1[[#This Row],[Country]],Table46[Women''s Foil Classification],"&gt;0")</f>
        <v>0</v>
      </c>
      <c r="FG82" s="6">
        <f>COUNTIFS(Table10[Country],Tabela1[[#This Row],[Country]],Table10[Sabre Classification],"&gt;0")</f>
        <v>0</v>
      </c>
      <c r="FH82" s="6">
        <f>COUNTIFS(Table11[Country],Tabela1[[#This Row],[Country]],Table11[Sabre Classification],"&gt;0")</f>
        <v>0</v>
      </c>
      <c r="FI82" s="6">
        <f>COUNTIFS(Table46[Country],Tabela1[[#This Row],[Country]],Table46[Men''s Sabre Classification],"&gt;0")</f>
        <v>0</v>
      </c>
      <c r="FJ82" s="6">
        <f>COUNTIFS(Table46[Country],Tabela1[[#This Row],[Country]],Table46[Women''s Sabre Classification],"&gt;0")</f>
        <v>0</v>
      </c>
      <c r="FK82" s="6">
        <f>COUNTIFS(Table91[Country],Tabela1[[#This Row],[Country]],Table91[Men''s Classification],"&gt;0")</f>
        <v>0</v>
      </c>
      <c r="FL82" s="6">
        <f>COUNTIFS(Table91[Country],Tabela1[[#This Row],[Country]],Table91[Women''s Classification],"&gt;0")</f>
        <v>0</v>
      </c>
      <c r="FM82" s="6">
        <f>COUNTIFS(Table9194[Country],Tabela1[[#This Row],[Country]],Table9194[Men''s Classification],"&gt;0")</f>
        <v>0</v>
      </c>
      <c r="FN82" s="6">
        <f>COUNTIFS(Table9194[Country],Tabela1[[#This Row],[Country]],Table9194[Women''s Classification],"&gt;0")</f>
        <v>1</v>
      </c>
      <c r="FO82" s="6">
        <f>COUNTIFS(Table71[Country],Tabela1[[#This Row],[Country]],Table71[Classification],"&gt;0")</f>
        <v>0</v>
      </c>
      <c r="FP82" s="6">
        <f>COUNTIFS(Table62[Country],Tabela1[[#This Row],[Country]],Table62[Classification],"&gt;0")</f>
        <v>0</v>
      </c>
      <c r="FQ82" s="6">
        <f>COUNTIFS(Table47[Country],Tabela1[[#This Row],[Country]],Table47[All-Around Classification],"&gt;0")</f>
        <v>0</v>
      </c>
      <c r="FR82" s="6">
        <f>COUNTIFS(Table48[Country],Tabela1[[#This Row],[Country]],Table48[All-Around Classification],"&gt;0")</f>
        <v>0</v>
      </c>
      <c r="FS82" s="6">
        <f>COUNTIFS(Table81[Country],Tabela1[[#This Row],[Country]],Table81[Men''s All-Around Classification],"&gt;0")</f>
        <v>0</v>
      </c>
      <c r="FT82" s="6">
        <f>COUNTIFS(Table81[Country],Tabela1[[#This Row],[Country]],Table81[Women''s All-Around Classification],"&gt;0")</f>
        <v>0</v>
      </c>
      <c r="FU82" s="6">
        <f>COUNTIFS(Table48[Country],Tabela1[[#This Row],[Country]],Table48[Balance Beam Classification],"&gt;0")</f>
        <v>0</v>
      </c>
      <c r="FV82" s="6">
        <f>COUNTIFS(Table47[Country],Tabela1[[#This Row],[Country]],Table47[Floor Exercise Classification],"&gt;0")</f>
        <v>0</v>
      </c>
      <c r="FW82" s="6">
        <f>COUNTIFS(Table48[Country],Tabela1[[#This Row],[Country]],Table48[Floor Exercise Classification],"&gt;0")</f>
        <v>0</v>
      </c>
      <c r="FX82" s="6">
        <f>COUNTIFS(Table47[Country],Tabela1[[#This Row],[Country]],Table47[Horizontal Bar Classification],"&gt;0")</f>
        <v>0</v>
      </c>
      <c r="FY82" s="6">
        <f>COUNTIFS(Table47[Country],Tabela1[[#This Row],[Country]],Table47[Parallel Bars Classification],"&gt;0")</f>
        <v>0</v>
      </c>
      <c r="FZ82" s="6">
        <f>COUNTIFS(Table47[Country],Tabela1[[#This Row],[Country]],Table47[Pommel Horse Classification],"&gt;0")</f>
        <v>0</v>
      </c>
      <c r="GA82" s="6">
        <f>COUNTIFS(Table47[Country],Tabela1[[#This Row],[Country]],Table47[Rings Classification],"&gt;0")</f>
        <v>0</v>
      </c>
      <c r="GB82" s="6">
        <f>COUNTIFS(Tabela132[Country],Tabela1[[#This Row],[Country]],Tabela132[Classification],"&gt;0")</f>
        <v>0</v>
      </c>
      <c r="GC82" s="6">
        <f>COUNTIFS(Tabela139[Country],Tabela1[[#This Row],[Country]],Tabela139[Classification],"&gt;0")</f>
        <v>0</v>
      </c>
      <c r="GD82" s="6">
        <f>COUNTIFS(Table48[Country],Tabela1[[#This Row],[Country]],Table48[Uneven Bars Classification],"&gt;0")</f>
        <v>0</v>
      </c>
      <c r="GE82" s="6">
        <f>COUNTIFS(Table47[Country],Tabela1[[#This Row],[Country]],Table47[Vault Classification],"&gt;0")</f>
        <v>0</v>
      </c>
      <c r="GF82" s="6">
        <f>COUNTIFS(Table48[Country],Tabela1[[#This Row],[Country]],Table48[Vault Classification],"&gt;0")</f>
        <v>0</v>
      </c>
      <c r="GG82" s="6">
        <f>COUNTIFS(Table919496[Country],Tabela1[[#This Row],[Country]],Table919496[Men''s Classification],"&gt;0")</f>
        <v>0</v>
      </c>
      <c r="GH82" s="6">
        <f>COUNTIFS(Table919496[Country],Tabela1[[#This Row],[Country]],Table919496[Women''s Classification],"&gt;0")</f>
        <v>0</v>
      </c>
      <c r="GI82" s="6">
        <f>COUNTIFS(Table12[Country],Tabela1[[#This Row],[Country]],Table12[60kg Classification],"&gt;0")</f>
        <v>0</v>
      </c>
      <c r="GJ82" s="6">
        <f>COUNTIFS(Table12[Country],Tabela1[[#This Row],[Country]],Table12[66kg Classification],"&gt;0")</f>
        <v>0</v>
      </c>
      <c r="GK82" s="6">
        <f>COUNTIFS(Table12[Country],Tabela1[[#This Row],[Country]],Table12[73kg Classification],"&gt;0")</f>
        <v>0</v>
      </c>
      <c r="GL82" s="6">
        <f>COUNTIFS(Table12[Country],Tabela1[[#This Row],[Country]],Table12[81kg Classification],"&gt;0")</f>
        <v>0</v>
      </c>
      <c r="GM82" s="6">
        <f>COUNTIFS(Table12[Country],Tabela1[[#This Row],[Country]],Table12[90kg Classification],"&gt;0")</f>
        <v>0</v>
      </c>
      <c r="GN82" s="6">
        <f>COUNTIFS(Table12[Country],Tabela1[[#This Row],[Country]],Table12[100kg Classification],"&gt;0")</f>
        <v>0</v>
      </c>
      <c r="GO82" s="6">
        <f>COUNTIFS(Table12[Country],Tabela1[[#This Row],[Country]],Table12[Plus 100kg Classification],"&gt;0")</f>
        <v>0</v>
      </c>
      <c r="GP82" s="6">
        <f>COUNTIFS(Table13[Country],Tabela1[[#This Row],[Country]],Table13[48kg Classification],"&gt;0")</f>
        <v>0</v>
      </c>
      <c r="GQ82" s="6">
        <f>COUNTIFS(Table13[Country],Tabela1[[#This Row],[Country]],Table13[52kg Classification],"&gt;0")</f>
        <v>0</v>
      </c>
      <c r="GR82" s="6">
        <f>COUNTIFS(Table13[Country],Tabela1[[#This Row],[Country]],Table13[57kg Classification],"&gt;0")</f>
        <v>0</v>
      </c>
      <c r="GS82" s="6">
        <f>COUNTIFS(Table13[Country],Tabela1[[#This Row],[Country]],Table13[63kg Classification],"&gt;0")</f>
        <v>0</v>
      </c>
      <c r="GT82" s="6">
        <f>COUNTIFS(Table13[Country],Tabela1[[#This Row],[Country]],Table13[70kg Classification],"&gt;0")</f>
        <v>0</v>
      </c>
      <c r="GU82" s="6">
        <f>COUNTIFS(Table13[Country],Tabela1[[#This Row],[Country]],Table13[78kg Classification],"&gt;0")</f>
        <v>0</v>
      </c>
      <c r="GV82" s="6">
        <f>COUNTIFS(Table13[Country],Tabela1[[#This Row],[Country]],Table13[Plus 78kg Classification],"&gt;0")</f>
        <v>0</v>
      </c>
      <c r="GW82" s="6">
        <f>COUNTIFS(Table82[Country],Tabela1[[#This Row],[Country]],Table82[Mixed Classification],"&gt;0")</f>
        <v>0</v>
      </c>
      <c r="GX82" s="6">
        <f>COUNTIFS(Table51[Country],Tabela1[[#This Row],[Country]],Table51[Classification],"&gt;0")</f>
        <v>0</v>
      </c>
      <c r="GY82" s="6">
        <f>COUNTIFS(Table52[Country],Tabela1[[#This Row],[Country]],Table52[Classification],"&gt;0")</f>
        <v>0</v>
      </c>
      <c r="GZ82" s="6">
        <f>COUNTIFS(Table32[Country],Tabela1[[#This Row],[Country]],Table32[All-Around Classification],"&gt;0")</f>
        <v>0</v>
      </c>
      <c r="HA82" s="6">
        <f>COUNTIFS(Table49[Country],Tabela1[[#This Row],[Country]],Table49[All-Around Classification],"&gt;0")</f>
        <v>0</v>
      </c>
      <c r="HB82" s="6">
        <f>COUNTIFS(Table26[Country],Tabela1[[#This Row],[Country]],Table26[Single Sculls Classification],"&gt;0")</f>
        <v>0</v>
      </c>
      <c r="HC82" s="6">
        <f>COUNTIFS(Table63[Country],Tabela1[[#This Row],[Country]],Table63[Single Sculls Classification],"&gt;0")</f>
        <v>0</v>
      </c>
      <c r="HD82" s="6">
        <f>COUNTIFS(Table16[Country],Tabela1[[#This Row],[Country]],Table16[Men''s Double Sculls Classification],"&gt;0")</f>
        <v>0</v>
      </c>
      <c r="HE82" s="6">
        <f>COUNTIFS(Table16[Country],Tabela1[[#This Row],[Country]],Table16[Women''s Double Sculls Classification],"&gt;0")</f>
        <v>0</v>
      </c>
      <c r="HF82" s="6">
        <f>COUNTIFS(Table72[Country],Tabela1[[#This Row],[Country]],Table72[Men''s Quadruple Sculls Classification],"&gt;0")</f>
        <v>0</v>
      </c>
      <c r="HG82" s="6">
        <f>COUNTIFS(Table72[Country],Tabela1[[#This Row],[Country]],Table72[Women''s Quadruple Sculls Classification],"&gt;0")</f>
        <v>0</v>
      </c>
      <c r="HH82" s="6">
        <f>COUNTIFS(Table16[Country],Tabela1[[#This Row],[Country]],Table16[Men''s Coxless Pairs Classification],"&gt;0")</f>
        <v>0</v>
      </c>
      <c r="HI82" s="6">
        <f>COUNTIFS(Table16[Country],Tabela1[[#This Row],[Country]],Table16[Women''s Coxless Pairs Classification],"&gt;0")</f>
        <v>0</v>
      </c>
      <c r="HJ82" s="6">
        <f>COUNTIFS(Table72[Country],Tabela1[[#This Row],[Country]],Table72[Men''s Coxless Fours Classification],"&gt;0")</f>
        <v>0</v>
      </c>
      <c r="HK82" s="6">
        <f>COUNTIFS(Table72[Country],Tabela1[[#This Row],[Country]],Table72[Women''s Coxless Fours Classification],"&gt;0")</f>
        <v>0</v>
      </c>
      <c r="HL82" s="6">
        <f>COUNTIFS(Table72[Country],Tabela1[[#This Row],[Country]],Table72[Men''s Eights Classification],"&gt;0")</f>
        <v>0</v>
      </c>
      <c r="HM82" s="6">
        <f>COUNTIFS(Table72[Country],Tabela1[[#This Row],[Country]],Table72[Women''s Eights Classification],"&gt;0")</f>
        <v>0</v>
      </c>
      <c r="HN82" s="6">
        <f>COUNTIFS(Table16[Country],Tabela1[[#This Row],[Country]],Table16[Men''s Lwt. Double Sculls Classification],"&gt;0")</f>
        <v>0</v>
      </c>
      <c r="HO82" s="6">
        <f>COUNTIFS(Table16[Country],Tabela1[[#This Row],[Country]],Table16[Women''s Lwt. Double Sculls Classification],"&gt;0")</f>
        <v>0</v>
      </c>
      <c r="HP82" s="6">
        <f>COUNTIFS(Table91949698[Country],Tabela1[[#This Row],[Country]],Table91949698[Men''s Classification],"&gt;0")</f>
        <v>0</v>
      </c>
      <c r="HQ82" s="6">
        <f>COUNTIFS(Table91949698[Country],Tabela1[[#This Row],[Country]],Table91949698[Women''s Classification],"&gt;0")</f>
        <v>0</v>
      </c>
      <c r="HR82" s="6">
        <f>COUNTIFS(Table25[Country],Tabela1[[#This Row],[Country]],Table25[Mixed 470 Classification],"&gt;0")</f>
        <v>0</v>
      </c>
      <c r="HS82" s="6">
        <f>COUNTIFS(Table25[Country],Tabela1[[#This Row],[Country]],Table25[Men''s 49er Classification],"&gt;0")</f>
        <v>0</v>
      </c>
      <c r="HT82" s="6">
        <f>COUNTIFS(Table25[Country],Tabela1[[#This Row],[Country]],Table25[Women''s 49er FX Classification],"&gt;0")</f>
        <v>0</v>
      </c>
      <c r="HU82" s="6">
        <f>COUNTIFS(Table17[Country],Tabela1[[#This Row],[Country]],Table17[Formula Kite Classification],"&gt;0")</f>
        <v>0</v>
      </c>
      <c r="HV82" s="6">
        <f>COUNTIFS(Table18[Country],Tabela1[[#This Row],[Country]],Table18[Formula Kite Classification],"&gt;0")</f>
        <v>0</v>
      </c>
      <c r="HW82" s="6">
        <f>COUNTIFS(Table17[Country],Tabela1[[#This Row],[Country]],Table17[ILCA 7 Classification],"&gt;0")</f>
        <v>0</v>
      </c>
      <c r="HX82" s="6">
        <f>COUNTIFS(Table18[Country],Tabela1[[#This Row],[Country]],Table18[ILCA 6 Classification],"&gt;0")</f>
        <v>0</v>
      </c>
      <c r="HY82" s="6">
        <f>COUNTIFS(Table17[Country],Tabela1[[#This Row],[Country]],Table17[IQFoil Classification],"&gt;0")</f>
        <v>0</v>
      </c>
      <c r="HZ82" s="6">
        <f>COUNTIFS(Table18[Country],Tabela1[[#This Row],[Country]],Table18[IQFoil Classification],"&gt;0")</f>
        <v>0</v>
      </c>
      <c r="IA82" s="6">
        <f>COUNTIFS(Table25[Country],Tabela1[[#This Row],[Country]],Table25[Mixed Nacra 17 Classification],"&gt;0")</f>
        <v>0</v>
      </c>
      <c r="IB82" s="6">
        <f>COUNTIFS(Table53[Country],Tabela1[[#This Row],[Country]],Table53[10m Air Pistol Classification],"&gt;0")</f>
        <v>0</v>
      </c>
      <c r="IC82" s="6">
        <f>COUNTIFS(Table19[Country],Tabela1[[#This Row],[Country]],Table19[10m Air Pistol Classification],"&gt;0")</f>
        <v>0</v>
      </c>
      <c r="ID82" s="6">
        <f>COUNTIFS(Table54[Country],Tabela1[[#This Row],[Country]],Table54[Mixed 10m Air Pistol Team Classification],"&gt;0")</f>
        <v>0</v>
      </c>
      <c r="IE82" s="6">
        <f>COUNTIFS(Table53[Country],Tabela1[[#This Row],[Country]],Table53[10m Air Rifle Classification],"&gt;0")</f>
        <v>0</v>
      </c>
      <c r="IF82" s="6">
        <f>COUNTIFS(Table19[Country],Tabela1[[#This Row],[Country]],Table19[10m Air Rifle Classification],"&gt;0")</f>
        <v>0</v>
      </c>
      <c r="IG82" s="6">
        <f>COUNTIFS(Table54[Country],Tabela1[[#This Row],[Country]],Table54[Mixed 10m Air Rifle Team Classification],"&gt;0")</f>
        <v>0</v>
      </c>
      <c r="IH82" s="6">
        <f>COUNTIFS(Table53[Country],Tabela1[[#This Row],[Country]],Table53[25m Rapid Fire Pistol Classification],"&gt;0")</f>
        <v>0</v>
      </c>
      <c r="II82" s="6">
        <f>COUNTIFS(Table19[Country],Tabela1[[#This Row],[Country]],Table19[25m Pistol Classification],"&gt;0")</f>
        <v>0</v>
      </c>
      <c r="IJ82" s="6">
        <f>COUNTIFS(Table53[Country],Tabela1[[#This Row],[Country]],Table53[50m Rifle 3 Positions Classification],"&gt;0")</f>
        <v>0</v>
      </c>
      <c r="IK82" s="6">
        <f>COUNTIFS(Table19[Country],Tabela1[[#This Row],[Country]],Table19[50m Rifle 3 Positions Classification],"&gt;0")</f>
        <v>0</v>
      </c>
      <c r="IL82" s="6">
        <f>COUNTIFS(Table53[Country],Tabela1[[#This Row],[Country]],Table53[Skeet Classification],"&gt;0")</f>
        <v>0</v>
      </c>
      <c r="IM82" s="6">
        <f>COUNTIFS(Table19[Country],Tabela1[[#This Row],[Country]],Table19[Skeet Classification],"&gt;0")</f>
        <v>0</v>
      </c>
      <c r="IN82" s="6">
        <f>COUNTIFS(Table54[Country],Tabela1[[#This Row],[Country]],Table54[Mixed Skeet Team Classification],"&gt;0")</f>
        <v>0</v>
      </c>
      <c r="IO82" s="6">
        <f>COUNTIFS(Table53[Country],Tabela1[[#This Row],[Country]],Table53[Trap Classification],"&gt;0")</f>
        <v>0</v>
      </c>
      <c r="IP82" s="6">
        <f>COUNTIFS(Table19[Country],Tabela1[[#This Row],[Country]],Table19[Trap Classification],"&gt;0")</f>
        <v>0</v>
      </c>
      <c r="IQ82" s="6">
        <f>COUNTIFS(Table73[Country],Tabela1[[#This Row],[Country]],Table73[Park Classification],"&gt;0")</f>
        <v>0</v>
      </c>
      <c r="IR82" s="6">
        <f>COUNTIFS(Table74[Country],Tabela1[[#This Row],[Country]],Table74[Park Classification],"&gt;0")</f>
        <v>0</v>
      </c>
      <c r="IS82" s="6">
        <f>COUNTIFS(Table73[Country],Tabela1[[#This Row],[Country]],Table73[Street Classification],"&gt;0")</f>
        <v>0</v>
      </c>
      <c r="IT82" s="6">
        <f>COUNTIFS(Table74[Country],Tabela1[[#This Row],[Country]],Table74[Street Classification],"&gt;0")</f>
        <v>0</v>
      </c>
      <c r="IU82" s="6">
        <f>COUNTIFS(Table75[Country],Tabela1[[#This Row],[Country]],Table75[Boulder and Lead Classification],"&gt;0")</f>
        <v>0</v>
      </c>
      <c r="IV82" s="6">
        <f>COUNTIFS(Table76[Country],Tabela1[[#This Row],[Country]],Table76[Boulder and Lead Classification],"&gt;0")</f>
        <v>0</v>
      </c>
      <c r="IW82" s="6">
        <f>COUNTIFS(Table75[Country],Tabela1[[#This Row],[Country]],Table75[Speed Classification],"&gt;0")</f>
        <v>0</v>
      </c>
      <c r="IX82" s="6">
        <f>COUNTIFS(Table76[Country],Tabela1[[#This Row],[Country]],Table76[Speed Classification],"&gt;0")</f>
        <v>0</v>
      </c>
      <c r="IY82" s="6">
        <f>COUNTIFS(Table64[Country],Tabela1[[#This Row],[Country]],Table64[Shortboard Classification],"&gt;0")</f>
        <v>0</v>
      </c>
      <c r="IZ82" s="6">
        <f>COUNTIFS(Table77[Country],Tabela1[[#This Row],[Country]],Table77[Shortboard Classification],"&gt;0")</f>
        <v>0</v>
      </c>
      <c r="JA82" s="6">
        <f>COUNTIFS(Table20[Country],Tabela1[[#This Row],[Country]],Table20[50m Freestyle Classification],"&gt;0")</f>
        <v>0</v>
      </c>
      <c r="JB82" s="6">
        <f>COUNTIFS(Table21[Country],Tabela1[[#This Row],[Country]],Table21[50m Freestyle Classification],"&gt;0")</f>
        <v>0</v>
      </c>
      <c r="JC82" s="6">
        <f>COUNTIFS(Table20[Country],Tabela1[[#This Row],[Country]],Table20[100m Freestyle Classification],"&gt;0")</f>
        <v>0</v>
      </c>
      <c r="JD82" s="6">
        <f>COUNTIFS(Table21[Country],Tabela1[[#This Row],[Country]],Table21[100m Freestyle Classification],"&gt;0")</f>
        <v>0</v>
      </c>
      <c r="JE82" s="6">
        <f>COUNTIFS(Table20[Country],Tabela1[[#This Row],[Country]],Table20[200m Freestyle Classification],"&gt;0")</f>
        <v>0</v>
      </c>
      <c r="JF82" s="6">
        <f>COUNTIFS(Table21[Country],Tabela1[[#This Row],[Country]],Table21[200m Freestyle Classification],"&gt;0")</f>
        <v>0</v>
      </c>
      <c r="JG82" s="6">
        <f>COUNTIFS(Table20[Country],Tabela1[[#This Row],[Country]],Table20[400m Freestyle Classification],"&gt;0")</f>
        <v>0</v>
      </c>
      <c r="JH82" s="6">
        <f>COUNTIFS(Table21[Country],Tabela1[[#This Row],[Country]],Table21[400m Freestyle Classification],"&gt;0")</f>
        <v>0</v>
      </c>
      <c r="JI82" s="6">
        <f>COUNTIFS(Table20[Country],Tabela1[[#This Row],[Country]],Table20[800m Freestyle Classification],"&gt;0")</f>
        <v>0</v>
      </c>
      <c r="JJ82" s="6">
        <f>COUNTIFS(Table21[Country],Tabela1[[#This Row],[Country]],Table21[800m Freestyle Classification],"&gt;0")</f>
        <v>0</v>
      </c>
      <c r="JK82" s="6">
        <f>COUNTIFS(Table20[Country],Tabela1[[#This Row],[Country]],Table20[1500m Freestyle Classification],"&gt;0")</f>
        <v>0</v>
      </c>
      <c r="JL82" s="6">
        <f>COUNTIFS(Table21[Country],Tabela1[[#This Row],[Country]],Table21[1500m Freestyle Classification],"&gt;0")</f>
        <v>0</v>
      </c>
      <c r="JM82" s="6">
        <f>COUNTIFS(Table20[Country],Tabela1[[#This Row],[Country]],Table20[100m Backstroke Classification],"&gt;0")</f>
        <v>0</v>
      </c>
      <c r="JN82" s="6">
        <f>COUNTIFS(Table21[Country],Tabela1[[#This Row],[Country]],Table21[100m Backstroke Classification],"&gt;0")</f>
        <v>0</v>
      </c>
      <c r="JO82" s="6">
        <f>COUNTIFS(Table20[Country],Tabela1[[#This Row],[Country]],Table20[200m Backstroke Classification],"&gt;0")</f>
        <v>0</v>
      </c>
      <c r="JP82" s="6">
        <f>COUNTIFS(Table21[Country],Tabela1[[#This Row],[Country]],Table21[200m Backstroke Classification],"&gt;0")</f>
        <v>0</v>
      </c>
      <c r="JQ82" s="6">
        <f>COUNTIFS(Table20[Country],Tabela1[[#This Row],[Country]],Table20[100m Breaststroke Classification],"&gt;0")</f>
        <v>0</v>
      </c>
      <c r="JR82" s="6">
        <f>COUNTIFS(Table21[Country],Tabela1[[#This Row],[Country]],Table21[100m Breaststroke Classification],"&gt;0")</f>
        <v>0</v>
      </c>
      <c r="JS82" s="6">
        <f>COUNTIFS(Table20[Country],Tabela1[[#This Row],[Country]],Table20[200m Breaststroke Classification],"&gt;0")</f>
        <v>0</v>
      </c>
      <c r="JT82" s="6">
        <f>COUNTIFS(Table21[Country],Tabela1[[#This Row],[Country]],Table21[200m Breaststroke Classification],"&gt;0")</f>
        <v>0</v>
      </c>
      <c r="JU82" s="6">
        <f>COUNTIFS(Table20[Country],Tabela1[[#This Row],[Country]],Table20[100m Butterfly Classification],"&gt;0")</f>
        <v>0</v>
      </c>
      <c r="JV82" s="6">
        <f>COUNTIFS(Table21[Country],Tabela1[[#This Row],[Country]],Table21[100m Butterfly Classification],"&gt;0")</f>
        <v>0</v>
      </c>
      <c r="JW82" s="6">
        <f>COUNTIFS(Table20[Country],Tabela1[[#This Row],[Country]],Table20[200m Butterfly Classification],"&gt;0")</f>
        <v>0</v>
      </c>
      <c r="JX82" s="6">
        <f>COUNTIFS(Table21[Country],Tabela1[[#This Row],[Country]],Table21[200m Butterfly Classification],"&gt;0")</f>
        <v>0</v>
      </c>
      <c r="JY82" s="6">
        <f>COUNTIFS(Table20[Country],Tabela1[[#This Row],[Country]],Table20[200m Medley Classification],"&gt;0")</f>
        <v>0</v>
      </c>
      <c r="JZ82" s="6">
        <f>COUNTIFS(Table21[Country],Tabela1[[#This Row],[Country]],Table21[200m Medley Classification],"&gt;0")</f>
        <v>0</v>
      </c>
      <c r="KA82" s="6">
        <f>COUNTIFS(Table20[Country],Tabela1[[#This Row],[Country]],Table20[400m Medley Classification],"&gt;0")</f>
        <v>0</v>
      </c>
      <c r="KB82" s="6">
        <f>COUNTIFS(Table21[Country],Tabela1[[#This Row],[Country]],Table21[400m Medley Classification],"&gt;0")</f>
        <v>0</v>
      </c>
      <c r="KC82" s="6">
        <f>COUNTIFS(Table78[Country],Tabela1[[#This Row],[Country]],Table78[Men''s 4x100m Freestyle Relay Classification],"&gt;0")</f>
        <v>0</v>
      </c>
      <c r="KD82" s="6">
        <f>COUNTIFS(Table78[Country],Tabela1[[#This Row],[Country]],Table78[Women''s 4x100m Freestyle Relay Classification],"&gt;0")</f>
        <v>0</v>
      </c>
      <c r="KE82" s="6">
        <f>COUNTIFS(Table78[Country],Tabela1[[#This Row],[Country]],Table78[Men''s 4x200m Freestyle Relay Classification],"&gt;0")</f>
        <v>0</v>
      </c>
      <c r="KF82" s="6">
        <f>COUNTIFS(Table78[Country],Tabela1[[#This Row],[Country]],Table78[Women''s 4x200m Freestyle Relay Classification],"&gt;0")</f>
        <v>0</v>
      </c>
      <c r="KG82" s="6">
        <f>COUNTIFS(Table78[Country],Tabela1[[#This Row],[Country]],Table78[Men''s 4x100m Medley Relay Classification],"&gt;0")</f>
        <v>0</v>
      </c>
      <c r="KH82" s="6">
        <f>COUNTIFS(Table78[Country],Tabela1[[#This Row],[Country]],Table78[Women''s 4x100m Medley Relay Classification],"&gt;0")</f>
        <v>0</v>
      </c>
      <c r="KI82" s="6">
        <f>COUNTIFS(Table78[Country],Tabela1[[#This Row],[Country]],Table78[Mixed 4x100m Medley Relay Classification],"&gt;0")</f>
        <v>0</v>
      </c>
      <c r="KJ82" s="6">
        <f>COUNTIFS(Table20[Country],Tabela1[[#This Row],[Country]],Table20[10km Open Water Classification],"&gt;0")</f>
        <v>0</v>
      </c>
      <c r="KK82" s="6">
        <f>COUNTIFS(Table21[Country],Tabela1[[#This Row],[Country]],Table21[10km Open Water Classification],"&gt;0")</f>
        <v>0</v>
      </c>
      <c r="KL82" s="6">
        <f>COUNTIFS(Table22[Country],Tabela1[[#This Row],[Country]],Table22[Classification],"&gt;0")</f>
        <v>0</v>
      </c>
      <c r="KM82" s="6">
        <f>COUNTIFS(Table30[Country],Tabela1[[#This Row],[Country]],Table30[Classification],"&gt;0")</f>
        <v>1</v>
      </c>
      <c r="KN82" s="6">
        <f>COUNTIFS(Table55[Country],Tabela1[[#This Row],[Country]],Table55[Men''s Classification],"&gt;0")</f>
        <v>0</v>
      </c>
      <c r="KO82" s="6">
        <f>COUNTIFS(Table55[Country],Tabela1[[#This Row],[Country]],Table55[Women''s Classification],"&gt;0")</f>
        <v>0</v>
      </c>
      <c r="KP82" s="6">
        <f>COUNTIFS(Table56[Country],Tabela1[[#This Row],[Country]],Table56[Mixed Classification],"&gt;0")</f>
        <v>0</v>
      </c>
      <c r="KQ82" s="6">
        <f>COUNTIFS(Table29[Country],Tabela1[[#This Row],[Country]],Table29[58kg Classification],"&gt;0")</f>
        <v>0</v>
      </c>
      <c r="KR82" s="6">
        <f>COUNTIFS(Table29[Country],Tabela1[[#This Row],[Country]],Table29[68kg Classification],"&gt;0")</f>
        <v>0</v>
      </c>
      <c r="KS82" s="6">
        <f>COUNTIFS(Table29[Country],Tabela1[[#This Row],[Country]],Table29[80kg Classification],"&gt;0")</f>
        <v>0</v>
      </c>
      <c r="KT82" s="6">
        <f>COUNTIFS(Table29[Country],Tabela1[[#This Row],[Country]],Table29[Plus 80kg Classification],"&gt;0")</f>
        <v>0</v>
      </c>
      <c r="KU82" s="6">
        <f>COUNTIFS(Table34[Country],Tabela1[[#This Row],[Country]],Table34[49kg Classification],"&gt;0")</f>
        <v>0</v>
      </c>
      <c r="KV82" s="6">
        <f>COUNTIFS(Table34[Country],Tabela1[[#This Row],[Country]],Table34[57kg Classification],"&gt;0")</f>
        <v>0</v>
      </c>
      <c r="KW82" s="6">
        <f>COUNTIFS(Table34[Country],Tabela1[[#This Row],[Country]],Table34[67kg Classification],"&gt;0")</f>
        <v>0</v>
      </c>
      <c r="KX82" s="6">
        <f>COUNTIFS(Table34[Country],Tabela1[[#This Row],[Country]],Table34[Plus 67kg Classification],"&gt;0")</f>
        <v>0</v>
      </c>
      <c r="KY82" s="6">
        <f>COUNTIFS(Table57[Country],Tabela1[[#This Row],[Country]],Table57[Classification],"&gt;0")</f>
        <v>0</v>
      </c>
      <c r="KZ82" s="6">
        <f>COUNTIFS(Table58[Country],Tabela1[[#This Row],[Country]],Table58[Classification],"&gt;0")</f>
        <v>0</v>
      </c>
      <c r="LA82" s="6">
        <f>COUNTIFS(Table79[Country],Tabela1[[#This Row],[Country]],Table79[Men''s Classification],"&gt;0")</f>
        <v>0</v>
      </c>
      <c r="LB82" s="6">
        <f>COUNTIFS(Table79[Country],Tabela1[[#This Row],[Country]],Table79[Women''s Classification],"&gt;0")</f>
        <v>0</v>
      </c>
      <c r="LC82" s="6">
        <f>COUNTIFS(Table79[Country],Tabela1[[#This Row],[Country]],Table79[Mixed Classification],"&gt;0")</f>
        <v>0</v>
      </c>
      <c r="LD82" s="6">
        <f>COUNTIFS(Table65[Country],Tabela1[[#This Row],[Country]],Table65[Classification],"&gt;0")</f>
        <v>0</v>
      </c>
      <c r="LE82" s="6">
        <f>COUNTIFS(Table59[Country],Tabela1[[#This Row],[Country]],Table59[Classification],"&gt;0")</f>
        <v>0</v>
      </c>
      <c r="LF82" s="6">
        <f>COUNTIFS(Table87[Country],Tabela1[[#This Row],[Country]],Table87[Mixed Relay Classification],"&gt;0")</f>
        <v>0</v>
      </c>
      <c r="LG82" s="6">
        <f>COUNTIFS(Table91949698100[Country],Tabela1[[#This Row],[Country]],Table91949698100[Men''s Classification],"&gt;0")</f>
        <v>0</v>
      </c>
      <c r="LH82" s="6">
        <f>COUNTIFS(Table91949698100[Country],Tabela1[[#This Row],[Country]],Table91949698100[Women''s Classification],"&gt;0")</f>
        <v>0</v>
      </c>
      <c r="LI82" s="6">
        <f>COUNTIFS(Table91949698100102[Country],Tabela1[[#This Row],[Country]],Table91949698100102[Men''s Classification],"&gt;0")</f>
        <v>0</v>
      </c>
      <c r="LJ82" s="6">
        <f>COUNTIFS(Table91949698100102[Country],Tabela1[[#This Row],[Country]],Table91949698100102[Women''s Classification],"&gt;0")</f>
        <v>0</v>
      </c>
      <c r="LK82" s="6">
        <f>COUNTIFS(Table23[Country],Tabela1[[#This Row],[Country]],Table23[61kg Classification],"&gt;0")</f>
        <v>0</v>
      </c>
      <c r="LL82" s="6">
        <f>COUNTIFS(Table23[Country],Tabela1[[#This Row],[Country]],Table23[73kg Classification],"&gt;0")</f>
        <v>0</v>
      </c>
      <c r="LM82" s="6">
        <f>COUNTIFS(Table23[Country],Tabela1[[#This Row],[Country]],Table23[89kg Classification],"&gt;0")</f>
        <v>0</v>
      </c>
      <c r="LN82" s="6">
        <f>COUNTIFS(Table23[Country],Tabela1[[#This Row],[Country]],Table23[102kg Classification],"&gt;0")</f>
        <v>0</v>
      </c>
      <c r="LO82" s="6">
        <f>COUNTIFS(Table23[Country],Tabela1[[#This Row],[Country]],Table23[Plus 102kg Classification],"&gt;0")</f>
        <v>0</v>
      </c>
      <c r="LP82" s="6">
        <f>COUNTIFS(Table28[Country],Tabela1[[#This Row],[Country]],Table28[49kg Classification],"&gt;0")</f>
        <v>0</v>
      </c>
      <c r="LQ82" s="6">
        <f>COUNTIFS(Table28[Country],Tabela1[[#This Row],[Country]],Table28[59kg Classification],"&gt;0")</f>
        <v>0</v>
      </c>
      <c r="LR82" s="6">
        <f>COUNTIFS(Table28[Country],Tabela1[[#This Row],[Country]],Table28[71kg Classification],"&gt;0")</f>
        <v>0</v>
      </c>
      <c r="LS82" s="6">
        <f>COUNTIFS(Table28[Country],Tabela1[[#This Row],[Country]],Table28[81kg Classification],"&gt;0")</f>
        <v>0</v>
      </c>
      <c r="LT82" s="6">
        <f>COUNTIFS(Table28[Country],Tabela1[[#This Row],[Country]],Table28[Plus 81kg Classification],"&gt;0")</f>
        <v>0</v>
      </c>
      <c r="LU82" s="6">
        <f>COUNTIFS(Table24[Country],Tabela1[[#This Row],[Country]],Table24[Freestyle 57kg Classification],"&gt;0")</f>
        <v>0</v>
      </c>
      <c r="LV82" s="6">
        <f>COUNTIFS(Table24[Country],Tabela1[[#This Row],[Country]],Table24[Freestyle 65kg Classification],"&gt;0")</f>
        <v>0</v>
      </c>
      <c r="LW82" s="6">
        <f>COUNTIFS(Table24[Country],Tabela1[[#This Row],[Country]],Table24[Freestyle 74kg Classification],"&gt;0")</f>
        <v>0</v>
      </c>
      <c r="LX82" s="6">
        <f>COUNTIFS(Table24[Country],Tabela1[[#This Row],[Country]],Table24[Freestyle 86kg Classification],"&gt;0")</f>
        <v>0</v>
      </c>
      <c r="LY82" s="6">
        <f>COUNTIFS(Table24[Country],Tabela1[[#This Row],[Country]],Table24[Freestyle 97kg Classification],"&gt;0")</f>
        <v>0</v>
      </c>
      <c r="LZ82" s="6">
        <f>COUNTIFS(Table24[Country],Tabela1[[#This Row],[Country]],Table24[Freestyle 125kg Classification],"&gt;0")</f>
        <v>0</v>
      </c>
      <c r="MA82" s="6">
        <f>COUNTIFS(Table24[Country],Tabela1[[#This Row],[Country]],Table24[Greco-Roman 60kg Classification],"&gt;0")</f>
        <v>0</v>
      </c>
      <c r="MB82" s="6">
        <f>COUNTIFS(Table24[Country],Tabela1[[#This Row],[Country]],Table24[Greco-Roman 67kg Classification],"&gt;0")</f>
        <v>0</v>
      </c>
      <c r="MC82" s="6">
        <f>COUNTIFS(Table24[Country],Tabela1[[#This Row],[Country]],Table24[Greco-Roman 77kg Classification],"&gt;0")</f>
        <v>0</v>
      </c>
      <c r="MD82" s="6">
        <f>COUNTIFS(Table24[Country],Tabela1[[#This Row],[Country]],Table24[Greco-Roman 87kg Classification],"&gt;0")</f>
        <v>0</v>
      </c>
      <c r="ME82" s="6">
        <f>COUNTIFS(Table24[Country],Tabela1[[#This Row],[Country]],Table24[Greco-Roman 97kg Classification],"&gt;0")</f>
        <v>0</v>
      </c>
      <c r="MF82" s="6">
        <f>COUNTIFS(Table24[Country],Tabela1[[#This Row],[Country]],Table24[Greco-Roman 130kg Classification],"&gt;0")</f>
        <v>0</v>
      </c>
      <c r="MG82" s="6">
        <f>COUNTIFS(Table31[Country],Tabela1[[#This Row],[Country]],Table31[50kg Classification],"&gt;0")</f>
        <v>0</v>
      </c>
      <c r="MH82" s="6">
        <f>COUNTIFS(Table31[Country],Tabela1[[#This Row],[Country]],Table31[53kg Classification],"&gt;0")</f>
        <v>0</v>
      </c>
      <c r="MI82" s="6">
        <f>COUNTIFS(Table31[Country],Tabela1[[#This Row],[Country]],Table31[57kg Classification],"&gt;0")</f>
        <v>0</v>
      </c>
      <c r="MJ82" s="6">
        <f>COUNTIFS(Table31[Country],Tabela1[[#This Row],[Country]],Table31[62kg Classification],"&gt;0")</f>
        <v>0</v>
      </c>
      <c r="MK82" s="6">
        <f>COUNTIFS(Table31[Country],Tabela1[[#This Row],[Country]],Table31[68kg Classification],"&gt;0")</f>
        <v>0</v>
      </c>
      <c r="ML82" s="6">
        <f>COUNTIFS(Table31[Country],Tabela1[[#This Row],[Country]],Table31[76kg Classification],"&gt;0")</f>
        <v>1</v>
      </c>
      <c r="MM82" s="6">
        <f>COUNTIFS(Table102[Country],Tabela1[[#This Row],[Country]],Table102[Downhill Classification],"&gt;0")</f>
        <v>0</v>
      </c>
      <c r="MN82" s="6">
        <f>COUNTIFS(Table102105[Country],Tabela1[[#This Row],[Country]],Table102105[Downhill Classification],"&gt;0")</f>
        <v>0</v>
      </c>
      <c r="MO82" s="6">
        <f>COUNTIFS(Table102[Country],Tabela1[[#This Row],[Country]],Table102[Giant Slalom Classification],"&gt;0")</f>
        <v>0</v>
      </c>
      <c r="MP82" s="6">
        <f>COUNTIFS(Table102105[Country],Tabela1[[#This Row],[Country]],Table102105[Giant Slalom Classification],"&gt;0")</f>
        <v>0</v>
      </c>
      <c r="MQ82" s="6">
        <f>COUNTIFS(Table102[Country],Tabela1[[#This Row],[Country]],Table102[Slalom Classification],"&gt;0")</f>
        <v>0</v>
      </c>
      <c r="MR82" s="6">
        <f>COUNTIFS(Table102105[Country],Tabela1[[#This Row],[Country]],Table102105[Slalom Classification],"&gt;0")</f>
        <v>0</v>
      </c>
      <c r="MS82" s="6">
        <f>COUNTIFS(Table102[Country],Tabela1[[#This Row],[Country]],Table102[Super-G Classification],"&gt;0")</f>
        <v>0</v>
      </c>
      <c r="MT82" s="6">
        <f>COUNTIFS(Table102105[Country],Tabela1[[#This Row],[Country]],Table102105[Super-G Classification],"&gt;0")</f>
        <v>0</v>
      </c>
      <c r="MU82" s="6">
        <f>COUNTIFS(Table105[Country],Tabela1[[#This Row],[Country]],Table105[Men''s Combined Classification],"&gt;0")</f>
        <v>0</v>
      </c>
      <c r="MV82" s="6">
        <f>COUNTIFS(Table105[Country],Tabela1[[#This Row],[Country]],Table105[Women''s Combined Classification],"&gt;0")</f>
        <v>0</v>
      </c>
      <c r="MW82" s="6">
        <f>COUNTIFS(Table106[Country],Tabela1[[#This Row],[Country]],Table106[Individual Classification],"&gt;0")</f>
        <v>0</v>
      </c>
      <c r="MX82" s="6">
        <f>COUNTIFS(Table106109[Country],Tabela1[[#This Row],[Country]],Table106109[Individual Classification],"&gt;0")</f>
        <v>0</v>
      </c>
      <c r="MY82" s="6">
        <f>COUNTIFS(Table106[Country],Tabela1[[#This Row],[Country]],Table106[Mass Start Classification],"&gt;0")</f>
        <v>0</v>
      </c>
      <c r="MZ82" s="6">
        <f>COUNTIFS(Table106109[Country],Tabela1[[#This Row],[Country]],Table106109[Mass Start Classification],"&gt;0")</f>
        <v>0</v>
      </c>
      <c r="NA82" s="6">
        <f>COUNTIFS(Table106[Country],Tabela1[[#This Row],[Country]],Table106[Pursuit Classification],"&gt;0")</f>
        <v>0</v>
      </c>
      <c r="NB82" s="6">
        <f>COUNTIFS(Table106109[Country],Tabela1[[#This Row],[Country]],Table106109[Pursuit Classification],"&gt;0")</f>
        <v>0</v>
      </c>
      <c r="NC82" s="6">
        <f>COUNTIFS(Table106[Country],Tabela1[[#This Row],[Country]],Table106[Sprint Classification],"&gt;0")</f>
        <v>0</v>
      </c>
      <c r="ND82" s="6">
        <f>COUNTIFS(Table106109[Country],Tabela1[[#This Row],[Country]],Table106109[Sprint Classification],"&gt;0")</f>
        <v>0</v>
      </c>
      <c r="NE82" s="6">
        <f>COUNTIFS(Table109[Country],Tabela1[[#This Row],[Country]],Table109[Men''s Relay Classification],"&gt;0")</f>
        <v>0</v>
      </c>
      <c r="NF82" s="6">
        <f>COUNTIFS(Table109[Country],Tabela1[[#This Row],[Country]],Table109[Women''s Relay Classification],"&gt;0")</f>
        <v>0</v>
      </c>
      <c r="NG82" s="6">
        <f>COUNTIFS(Table109[Country],Tabela1[[#This Row],[Country]],Table109[Mixed Relay Classification],"&gt;0")</f>
        <v>0</v>
      </c>
      <c r="NH82" s="6">
        <f>COUNTIFS(Table110[Country],Tabela1[[#This Row],[Country]],Table110[Monobob Classification],"&gt;0")</f>
        <v>0</v>
      </c>
      <c r="NI82" s="6">
        <f>COUNTIFS(Table111[Country],Tabela1[[#This Row],[Country]],Table111[Men''s Classification],"&gt;0")</f>
        <v>0</v>
      </c>
      <c r="NJ82" s="6">
        <f>COUNTIFS(Table111[Country],Tabela1[[#This Row],[Country]],Table111[Women''s Classification],"&gt;0")</f>
        <v>0</v>
      </c>
      <c r="NK82" s="6">
        <f>COUNTIFS(Table112[Country],Tabela1[[#This Row],[Country]],Table112[Men''s Four Classification],"&gt;0")</f>
        <v>0</v>
      </c>
      <c r="NL82" s="6">
        <f>COUNTIFS(Table113[Country],Tabela1[[#This Row],[Country]],Table113[Classical Classification],"&gt;0")</f>
        <v>0</v>
      </c>
      <c r="NM82" s="6">
        <f>COUNTIFS(Table113116[Country],Tabela1[[#This Row],[Country]],Table113116[Classical Classification],"&gt;0")</f>
        <v>0</v>
      </c>
      <c r="NN82" s="6">
        <f>COUNTIFS(Table113[Country],Tabela1[[#This Row],[Country]],Table113[Freestyle Classification],"&gt;0")</f>
        <v>0</v>
      </c>
      <c r="NO82" s="6">
        <f>COUNTIFS(Table113116[Country],Tabela1[[#This Row],[Country]],Table113116[Freestyle Classification],"&gt;0")</f>
        <v>0</v>
      </c>
      <c r="NP82" s="6">
        <f>COUNTIFS(Table117[Country],Tabela1[[#This Row],[Country]],Table117[Men''s Relay Classification],"&gt;0")</f>
        <v>0</v>
      </c>
      <c r="NQ82" s="6">
        <f>COUNTIFS(Table117[Country],Tabela1[[#This Row],[Country]],Table117[Women''s Relay Classification],"&gt;0")</f>
        <v>0</v>
      </c>
      <c r="NR82" s="6">
        <f>COUNTIFS(Table113[Country],Tabela1[[#This Row],[Country]],Table113[Skiathlon Classification],"&gt;0")</f>
        <v>0</v>
      </c>
      <c r="NS82" s="6">
        <f>COUNTIFS(Table113116[Country],Tabela1[[#This Row],[Country]],Table113116[Skiathlon Classification],"&gt;0")</f>
        <v>0</v>
      </c>
      <c r="NT82" s="6">
        <f>COUNTIFS(Table113[Country],Tabela1[[#This Row],[Country]],Table113[Sprint Classification],"&gt;0")</f>
        <v>0</v>
      </c>
      <c r="NU82" s="6">
        <f>COUNTIFS(Table113116[Country],Tabela1[[#This Row],[Country]],Table113116[Sprint Classification],"&gt;0")</f>
        <v>0</v>
      </c>
      <c r="NV82" s="6">
        <f>COUNTIFS(Table116[Country],Tabela1[[#This Row],[Country]],Table116[Men''s Team Sprint Classification],"&gt;0")</f>
        <v>0</v>
      </c>
      <c r="NW82" s="6">
        <f>COUNTIFS(Table116[Country],Tabela1[[#This Row],[Country]],Table116[Women''s Team Sprint Classification],"&gt;0")</f>
        <v>0</v>
      </c>
      <c r="NX82" s="6">
        <f>COUNTIFS(Table119[Country],Tabela1[[#This Row],[Country]],Table119[Men''s Classification],"&gt;0")</f>
        <v>0</v>
      </c>
      <c r="NY82" s="6">
        <f>COUNTIFS(Table119[Country],Tabela1[[#This Row],[Country]],Table119[Women''s Classification],"&gt;0")</f>
        <v>0</v>
      </c>
      <c r="NZ82" s="6">
        <f>COUNTIFS(Table118[Country],Tabela1[[#This Row],[Country]],Table118[Mixed Classification],"&gt;0")</f>
        <v>0</v>
      </c>
      <c r="OA82" s="6">
        <f>COUNTIFS(Table120[Country],Tabela1[[#This Row],[Country]],Table120[Classification],"&gt;0")</f>
        <v>0</v>
      </c>
      <c r="OB82" s="6">
        <f>COUNTIFS(Table120123[Country],Tabela1[[#This Row],[Country]],Table120123[Classification],"&gt;0")</f>
        <v>0</v>
      </c>
      <c r="OC82" s="6">
        <f>COUNTIFS(Table123[Country],Tabela1[[#This Row],[Country]],Table123[Ice Dance Classification],"&gt;0")</f>
        <v>0</v>
      </c>
      <c r="OD82" s="6">
        <f>COUNTIFS(Table123[Country],Tabela1[[#This Row],[Country]],Table123[Pair Skating Classification],"&gt;0")</f>
        <v>0</v>
      </c>
      <c r="OE82" s="6">
        <f>COUNTIFS(Table124[Country],Tabela1[[#This Row],[Country]],Table124[Mixed Classification],"&gt;0")</f>
        <v>0</v>
      </c>
      <c r="OF82" s="6">
        <f>COUNTIFS(Table125[Country],Tabela1[[#This Row],[Country]],Table125[Aerials Classification],"&gt;0")</f>
        <v>0</v>
      </c>
      <c r="OG82" s="6">
        <f>COUNTIFS(Table125128[Country],Tabela1[[#This Row],[Country]],Table125128[Aerials Classification],"&gt;0")</f>
        <v>0</v>
      </c>
      <c r="OH82" s="6">
        <f>COUNTIFS(Table128[Country],Tabela1[[#This Row],[Country]],Table128[Mixed Aerials Classification],"&gt;0")</f>
        <v>0</v>
      </c>
      <c r="OI82" s="6">
        <f>COUNTIFS(Table125[Country],Tabela1[[#This Row],[Country]],Table125[Big Air Classification],"&gt;0")</f>
        <v>0</v>
      </c>
      <c r="OJ82" s="6">
        <f>COUNTIFS(Table125128[Country],Tabela1[[#This Row],[Country]],Table125128[Big Air Classification],"&gt;0")</f>
        <v>0</v>
      </c>
      <c r="OK82" s="6">
        <f>COUNTIFS(Table125[Country],Tabela1[[#This Row],[Country]],Table125[Dual Moguls Classification],"&gt;0")</f>
        <v>0</v>
      </c>
      <c r="OL82" s="6">
        <f>COUNTIFS(Table125128[Country],Tabela1[[#This Row],[Country]],Table125128[Dual Moguls Classification],"&gt;0")</f>
        <v>0</v>
      </c>
      <c r="OM82" s="6">
        <f>COUNTIFS(Table125[Country],Tabela1[[#This Row],[Country]],Table125[Halfpipe Classification],"&gt;0")</f>
        <v>0</v>
      </c>
      <c r="ON82" s="6">
        <f>COUNTIFS(Table125128[Country],Tabela1[[#This Row],[Country]],Table125128[Halfpipe Classification],"&gt;0")</f>
        <v>0</v>
      </c>
      <c r="OO82" s="6">
        <f>COUNTIFS(Table125[Country],Tabela1[[#This Row],[Country]],Table125[Moguls Classification],"&gt;0")</f>
        <v>0</v>
      </c>
      <c r="OP82" s="6">
        <f>COUNTIFS(Table125128[Country],Tabela1[[#This Row],[Country]],Table125128[Moguls Classification],"&gt;0")</f>
        <v>0</v>
      </c>
      <c r="OQ82" s="6">
        <f>COUNTIFS(Table125[Country],Tabela1[[#This Row],[Country]],Table125[Ski Cross Classification],"&gt;0")</f>
        <v>0</v>
      </c>
      <c r="OR82" s="6">
        <f>COUNTIFS(Table125128[Country],Tabela1[[#This Row],[Country]],Table125128[Ski Cross Classification],"&gt;0")</f>
        <v>0</v>
      </c>
      <c r="OS82" s="6">
        <f>COUNTIFS(Table125[Country],Tabela1[[#This Row],[Country]],Table125[Slopestyle Classification],"&gt;0")</f>
        <v>0</v>
      </c>
      <c r="OT82" s="6">
        <f>COUNTIFS(Table125128[Country],Tabela1[[#This Row],[Country]],Table125128[Slopestyle Classification],"&gt;0")</f>
        <v>0</v>
      </c>
      <c r="OU82" s="6">
        <f>COUNTIFS(Table119131[Country],Tabela1[[#This Row],[Country]],Table119131[Men''s Classification],"&gt;0")</f>
        <v>0</v>
      </c>
      <c r="OV82" s="6">
        <f>COUNTIFS(Table119131[Country],Tabela1[[#This Row],[Country]],Table119131[Women''s Classification],"&gt;0")</f>
        <v>0</v>
      </c>
      <c r="OW82" s="6">
        <f>COUNTIFS(Table131[Country],Tabela1[[#This Row],[Country]],Table131[Classification],"&gt;0")</f>
        <v>0</v>
      </c>
      <c r="OX82" s="6">
        <f>COUNTIFS(Table131134[Country],Tabela1[[#This Row],[Country]],Table131134[Classification],"&gt;0")</f>
        <v>0</v>
      </c>
      <c r="OY82" s="6">
        <f>COUNTIFS(Table134[Country],Tabela1[[#This Row],[Country]],Table134[Men''s Classification],"&gt;0")</f>
        <v>0</v>
      </c>
      <c r="OZ82" s="6">
        <f>COUNTIFS(Table134[Country],Tabela1[[#This Row],[Country]],Table134[Women''s Classification],"&gt;0")</f>
        <v>0</v>
      </c>
      <c r="PA82" s="6">
        <f>COUNTIFS(Table135[Country],Tabela1[[#This Row],[Country]],Table135[Mixed Relay Classification],"&gt;0")</f>
        <v>0</v>
      </c>
      <c r="PB82" s="6">
        <f>COUNTIFS(Table136[Country],Tabela1[[#This Row],[Country]],Table136[Individual Classification],"&gt;0")</f>
        <v>0</v>
      </c>
      <c r="PC82" s="6">
        <f>COUNTIFS(Table136[Country],Tabela1[[#This Row],[Country]],Table136[Sprint Classification],"&gt;0")</f>
        <v>0</v>
      </c>
      <c r="PD82" s="6">
        <f>COUNTIFS(Table137[Country],Tabela1[[#This Row],[Country]],Table137[Men''s Team Sprint Large Hill Classification],"&gt;0")</f>
        <v>0</v>
      </c>
      <c r="PE82" s="6">
        <f>COUNTIFS(Table138[Country],Tabela1[[#This Row],[Country]],Table138[500m Classification],"&gt;0")</f>
        <v>0</v>
      </c>
      <c r="PF82" s="6">
        <f>COUNTIFS(Table138141[Country],Tabela1[[#This Row],[Country]],Table138141[500m Classification],"&gt;0")</f>
        <v>0</v>
      </c>
      <c r="PG82" s="6">
        <f>COUNTIFS(Table138[Country],Tabela1[[#This Row],[Country]],Table138[1000m Classification],"&gt;0")</f>
        <v>0</v>
      </c>
      <c r="PH82" s="6">
        <f>COUNTIFS(Table138141[Country],Tabela1[[#This Row],[Country]],Table138141[1000m Classification],"&gt;0")</f>
        <v>0</v>
      </c>
      <c r="PI82" s="6">
        <f>COUNTIFS(Table138[Country],Tabela1[[#This Row],[Country]],Table138[1500m Classification],"&gt;0")</f>
        <v>0</v>
      </c>
      <c r="PJ82" s="6">
        <f>COUNTIFS(Table138141[Country],Tabela1[[#This Row],[Country]],Table138141[1500m Classification],"&gt;0")</f>
        <v>0</v>
      </c>
      <c r="PK82" s="6">
        <f>COUNTIFS(Table141[Country],Tabela1[[#This Row],[Country]],Table141[Men''s 5000m Relay Classification],"&gt;0")</f>
        <v>0</v>
      </c>
      <c r="PL82" s="6">
        <f>COUNTIFS(Table141[Country],Tabela1[[#This Row],[Country]],Table141[Women''s 3000m Relay Classification],"&gt;0")</f>
        <v>0</v>
      </c>
      <c r="PM82" s="6">
        <f>COUNTIFS(Table141[Country],Tabela1[[#This Row],[Country]],Table141[Mixed 2000m Relay Classification],"&gt;0")</f>
        <v>0</v>
      </c>
      <c r="PN82" s="6">
        <f>COUNTIFS(Table142[Country],Tabela1[[#This Row],[Country]],Table142[Classification],"&gt;0")</f>
        <v>0</v>
      </c>
      <c r="PO82" s="6">
        <f>COUNTIFS(Table142145[Country],Tabela1[[#This Row],[Country]],Table142145[Classification],"&gt;0")</f>
        <v>0</v>
      </c>
      <c r="PP82" s="6">
        <f>COUNTIFS(Tabela15[Country],Tabela1[[#This Row],[Country]],Tabela15[Mixed Team Classification],"&gt;0")</f>
        <v>0</v>
      </c>
      <c r="PQ82" s="6">
        <f>COUNTIFS(Table145[Country],Tabela1[[#This Row],[Country]],Table145[Large Hill Classification],"&gt;0")</f>
        <v>0</v>
      </c>
      <c r="PR82" s="6">
        <f>COUNTIFS(Table145[Country],Tabela1[[#This Row],[Country]],Table145[Normal Hill Classification],"&gt;0")</f>
        <v>0</v>
      </c>
      <c r="PS82" s="6">
        <f>COUNTIFS(Table145148[Country],Tabela1[[#This Row],[Country]],Table145148[Large Hill Classification],"&gt;0")</f>
        <v>0</v>
      </c>
      <c r="PT82" s="6">
        <f>COUNTIFS(Table145148[Country],Tabela1[[#This Row],[Country]],Table145148[Normal Hill Classification],"&gt;0")</f>
        <v>0</v>
      </c>
      <c r="PU82" s="6">
        <f>COUNTIFS(Table148[Country],Tabela1[[#This Row],[Country]],Table148[Men''s Super Team Classification],"&gt;0")</f>
        <v>0</v>
      </c>
      <c r="PV82" s="6">
        <f>COUNTIFS(Tabela114[Country],Tabela1[[#This Row],[Country]],Tabela114[Mixed Normal Hill Classification],"&gt;0")</f>
        <v>0</v>
      </c>
      <c r="PW82" s="6">
        <f>COUNTIFS(Tabela50[Country],Tabela1[[#This Row],[Country]],Tabela50[Sprint Classification],"&gt;0")</f>
        <v>0</v>
      </c>
      <c r="PX82" s="6">
        <f>COUNTIFS(Tabela50101[Country],Tabela1[[#This Row],[Country]],Tabela50101[Sprint Classification],"&gt;0")</f>
        <v>0</v>
      </c>
      <c r="PY82" s="6">
        <f>COUNTIFS(Tabela103[Country],Tabela1[[#This Row],[Country]],Tabela103[Mixed Relay Classification],"&gt;0")</f>
        <v>0</v>
      </c>
      <c r="PZ82" s="6">
        <f>COUNTIFS(Table149[Country],Tabela1[[#This Row],[Country]],Table149[Big Air Classification],"&gt;0")</f>
        <v>0</v>
      </c>
      <c r="QA82" s="6">
        <f>COUNTIFS(Table149152[Country],Tabela1[[#This Row],[Country]],Table149152[Big Air Classification],"&gt;0")</f>
        <v>0</v>
      </c>
      <c r="QB82" s="6">
        <f>COUNTIFS(Table149[Country],Tabela1[[#This Row],[Country]],Table149[Halfpipe Classification],"&gt;0")</f>
        <v>0</v>
      </c>
      <c r="QC82" s="6">
        <f>COUNTIFS(Table149152[Country],Tabela1[[#This Row],[Country]],Table149152[Halfpipe Classification],"&gt;0")</f>
        <v>0</v>
      </c>
      <c r="QD82" s="6">
        <f>COUNTIFS(Table149[Country],Tabela1[[#This Row],[Country]],Table149[Parallel Giant Slalom Classification],"&gt;0")</f>
        <v>0</v>
      </c>
      <c r="QE82" s="6">
        <f>COUNTIFS(Table149152[Country],Tabela1[[#This Row],[Country]],Table149152[Parallel Giant Slalom Classification],"&gt;0")</f>
        <v>0</v>
      </c>
      <c r="QF82" s="6">
        <f>COUNTIFS(Table149[Country],Tabela1[[#This Row],[Country]],Table149[Slopestyle Classification],"&gt;0")</f>
        <v>0</v>
      </c>
      <c r="QG82" s="6">
        <f>COUNTIFS(Table149152[Country],Tabela1[[#This Row],[Country]],Table149152[Slopestyle Classification],"&gt;0")</f>
        <v>0</v>
      </c>
      <c r="QH82" s="6">
        <f>COUNTIFS(Table149[Country],Tabela1[[#This Row],[Country]],Table149[Snowboard Cross Classification],"&gt;0")</f>
        <v>0</v>
      </c>
      <c r="QI82" s="6">
        <f>COUNTIFS(Table149152[Country],Tabela1[[#This Row],[Country]],Table149152[Snowboard Cross Classification],"&gt;0")</f>
        <v>0</v>
      </c>
      <c r="QJ82" s="6">
        <f>COUNTIFS(Table153[Country],Tabela1[[#This Row],[Country]],Table153[Mixed Team Snowboard Cross Classification],"&gt;0")</f>
        <v>0</v>
      </c>
      <c r="QK82" s="6">
        <f>COUNTIFS(Table154[Country],Tabela1[[#This Row],[Country]],Table154[500m Classification],"&gt;0")</f>
        <v>0</v>
      </c>
      <c r="QL82" s="6">
        <f>COUNTIFS(Table154157[Country],Tabela1[[#This Row],[Country]],Table154157[500m Classification],"&gt;0")</f>
        <v>0</v>
      </c>
      <c r="QM82" s="6">
        <f>COUNTIFS(Table154[Country],Tabela1[[#This Row],[Country]],Table154[1000m Classification],"&gt;0")</f>
        <v>0</v>
      </c>
      <c r="QN82" s="6">
        <f>COUNTIFS(Table154157[Country],Tabela1[[#This Row],[Country]],Table154157[1000m Classification],"&gt;0")</f>
        <v>0</v>
      </c>
      <c r="QO82" s="6">
        <f>COUNTIFS(Table154[Country],Tabela1[[#This Row],[Country]],Table154[1500m Classification],"&gt;0")</f>
        <v>0</v>
      </c>
      <c r="QP82" s="6">
        <f>COUNTIFS(Table154157[Country],Tabela1[[#This Row],[Country]],Table154157[1500m Classification],"&gt;0")</f>
        <v>0</v>
      </c>
      <c r="QQ82" s="6">
        <f>COUNTIFS(Table154157[Country],Tabela1[[#This Row],[Country]],Table154157[3000m Classification],"&gt;0")</f>
        <v>0</v>
      </c>
      <c r="QR82" s="6">
        <f>COUNTIFS(Table154[Country],Tabela1[[#This Row],[Country]],Table154[5000m Classification],"&gt;0")</f>
        <v>0</v>
      </c>
      <c r="QS82" s="6">
        <f>COUNTIFS(Table154157[Country],Tabela1[[#This Row],[Country]],Table154157[5000m Classification],"&gt;0")</f>
        <v>0</v>
      </c>
      <c r="QT82" s="6">
        <f>COUNTIFS(Table154[Country],Tabela1[[#This Row],[Country]],Table154[10000m Classification],"&gt;0")</f>
        <v>0</v>
      </c>
      <c r="QU82" s="6">
        <f>COUNTIFS(Table154[Country],Tabela1[[#This Row],[Country]],Table154[Mass Start Classification],"&gt;0")</f>
        <v>0</v>
      </c>
      <c r="QV82" s="6">
        <f>COUNTIFS(Table154157[Country],Tabela1[[#This Row],[Country]],Table154157[Mass Start Classification],"&gt;0")</f>
        <v>0</v>
      </c>
      <c r="QW82" s="6">
        <f>COUNTIFS(Table157[Country],Tabela1[[#This Row],[Country]],Table157[Men''s Pursuit Classification],"&gt;0")</f>
        <v>0</v>
      </c>
      <c r="QX82" s="6">
        <f>COUNTIFS(Table157[Country],Tabela1[[#This Row],[Country]],Table157[Women''s Pursuit Classification],"&gt;0")</f>
        <v>0</v>
      </c>
      <c r="QY82" s="3" t="s">
        <v>441</v>
      </c>
    </row>
    <row r="83" spans="1:467" x14ac:dyDescent="0.3">
      <c r="A83" s="6">
        <v>82</v>
      </c>
      <c r="B83" s="6" t="s">
        <v>490</v>
      </c>
      <c r="C83" t="e" vm="82">
        <f>IF(ISBLANK(Tabela1[[#This Row],[Image Link]]), "", _xlfn.IMAGE(Tabela1[[#This Row],[Image Link]],1,1))</f>
        <v>#VALUE!</v>
      </c>
      <c r="D83" s="6">
        <f>SUM(Tabela1[[#This Row],[Archery - Men''s Individual Recurve]:[Speed Skating - Women''s Team Pursuit]])</f>
        <v>5</v>
      </c>
      <c r="E83" s="6">
        <f>COUNTIF(Tabela1[[#This Row],[Archery - Men''s Individual Recurve]:[Speed Skating - Women''s Team Pursuit]],"&gt;0")</f>
        <v>5</v>
      </c>
      <c r="F83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Winter Olympics</v>
      </c>
      <c r="G83" s="6">
        <f>SUM(Tabela1[[#This Row],[Archery - Men''s Individual Recurve]:[Wrestling - Women''s Freestyle 76kg]])</f>
        <v>2</v>
      </c>
      <c r="H83" s="6">
        <f>SUM(Tabela1[[#This Row],[Alpine Skiing - Men''s Downhill]:[Speed Skating - Women''s Team Pursuit]])</f>
        <v>3</v>
      </c>
      <c r="I83" s="6">
        <f>Tabela1[[#This Row],[Summer Gold Medals]]+Tabela1[[#This Row],[Winter Gold Medals]]</f>
        <v>0</v>
      </c>
      <c r="J83" s="6">
        <f>Tabela1[[#This Row],[Summer Silver Medals]]+Tabela1[[#This Row],[Winter Silver Medals]]</f>
        <v>0</v>
      </c>
      <c r="K83" s="6">
        <f>Tabela1[[#This Row],[Summer Bronze Medals]]+Tabela1[[#This Row],[Winter Bronze Medals]]</f>
        <v>0</v>
      </c>
      <c r="L83" s="6">
        <f>SUM(Tabela1[[#This Row],[Total Gold Medals]:[Total Bronze Medals]])</f>
        <v>0</v>
      </c>
      <c r="M83" s="6"/>
      <c r="N83" s="6"/>
      <c r="O83" s="6"/>
      <c r="P83" s="6">
        <f>SUM(Tabela1[[#This Row],[Summer Gold Medals]:[Summer Bronze Medals]])</f>
        <v>0</v>
      </c>
      <c r="Q83" s="6"/>
      <c r="R83" s="6"/>
      <c r="S83" s="6"/>
      <c r="T83" s="6">
        <f>Tabela1[[#This Row],[Winter Gold Medals]]+Tabela1[[#This Row],[Winter Silver Medals]]+Tabela1[[#This Row],[Winter Bronze Medals]]</f>
        <v>0</v>
      </c>
      <c r="U83" s="7">
        <f>Tabela1[[#This Row],[Total Medals]]/Tabela1[[#This Row],[Total Quotas]]</f>
        <v>0</v>
      </c>
      <c r="V83" s="6">
        <f>COUNTIFS(Table3[Country],Tabela1[[#This Row],[Country]],Table3[Recurve Classification],"&gt;0")</f>
        <v>0</v>
      </c>
      <c r="W83" s="6">
        <f>COUNTIFS(Table33[Country],Tabela1[[#This Row],[Country]],Table33[Recurve Classification],"&gt;0")</f>
        <v>0</v>
      </c>
      <c r="X83" s="6">
        <f>COUNTIFS(Table35[Country],Tabela1[[#This Row],[Country]],Table35[Men''s Team Recurve Classification],"&gt;0")</f>
        <v>0</v>
      </c>
      <c r="Y83" s="6">
        <f>COUNTIFS(Table35[Country],Tabela1[[#This Row],[Country]],Table35[Women''s Team Recurve Classification],"&gt;0")</f>
        <v>0</v>
      </c>
      <c r="Z83" s="6">
        <f>COUNTIFS(Tabela88[Country],Tabela1[[#This Row],[Country]],Tabela88[Mixed Team Recurve Classification],"&gt;0")</f>
        <v>0</v>
      </c>
      <c r="AA83" s="6">
        <f>COUNTIFS(Table36[Country],Tabela1[[#This Row],[Country]],Table36[Classification],"&gt;0")</f>
        <v>0</v>
      </c>
      <c r="AB83" s="6">
        <f>COUNTIFS(Table37[Country],Tabela1[[#This Row],[Country]],Table37[Classification],"&gt;0")</f>
        <v>0</v>
      </c>
      <c r="AC83" s="6">
        <f>COUNTIFS(Table4[Country],Tabela1[[#This Row],[Country]],Table4[100m Classification],"&gt;0")</f>
        <v>0</v>
      </c>
      <c r="AD83" s="6">
        <f>COUNTIFS(Table5[Country],Tabela1[[#This Row],[Country]],Table5[100m Classification],"&gt;0")</f>
        <v>0</v>
      </c>
      <c r="AE83" s="6">
        <f>COUNTIFS(Table4[Country],Tabela1[[#This Row],[Country]],Table4[200m Classification],"&gt;0")</f>
        <v>0</v>
      </c>
      <c r="AF83" s="6">
        <f>COUNTIFS(Table5[Country],Tabela1[[#This Row],[Country]],Table5[200m Classification],"&gt;0")</f>
        <v>0</v>
      </c>
      <c r="AG83" s="6">
        <f>COUNTIFS(Table4[Country],Tabela1[[#This Row],[Country]],Table4[400m Classification],"&gt;0")</f>
        <v>0</v>
      </c>
      <c r="AH83" s="6">
        <f>COUNTIFS(Table5[Country],Tabela1[[#This Row],[Country]],Table5[400m Classification],"&gt;0")</f>
        <v>0</v>
      </c>
      <c r="AI83" s="6">
        <f>COUNTIFS(Table4[Country],Tabela1[[#This Row],[Country]],Table4[800m Classification],"&gt;0")</f>
        <v>0</v>
      </c>
      <c r="AJ83" s="6">
        <f>COUNTIFS(Table5[Country],Tabela1[[#This Row],[Country]],Table5[800m Classification],"&gt;0")</f>
        <v>0</v>
      </c>
      <c r="AK83" s="6">
        <f>COUNTIFS(Table4[Country],Tabela1[[#This Row],[Country]],Table4[1500m Classification],"&gt;0")</f>
        <v>0</v>
      </c>
      <c r="AL83" s="6">
        <f>COUNTIFS(Table5[Country],Tabela1[[#This Row],[Country]],Table5[1500m Classification],"&gt;0")</f>
        <v>0</v>
      </c>
      <c r="AM83" s="6">
        <f>COUNTIFS(Table4[Country],Tabela1[[#This Row],[Country]],Table4[5000m Classification],"&gt;0")</f>
        <v>0</v>
      </c>
      <c r="AN83" s="6">
        <f>COUNTIFS(Table5[Country],Tabela1[[#This Row],[Country]],Table5[5000m Classification],"&gt;0")</f>
        <v>0</v>
      </c>
      <c r="AO83" s="6">
        <f>COUNTIFS(Table4[Country],Tabela1[[#This Row],[Country]],Table4[10000m Classification],"&gt;0")</f>
        <v>0</v>
      </c>
      <c r="AP83" s="6">
        <f>COUNTIFS(Table5[Country],Tabela1[[#This Row],[Country]],Table5[10000m Classification],"&gt;0")</f>
        <v>0</v>
      </c>
      <c r="AQ83" s="6">
        <f>COUNTIFS(Table4[Country],Tabela1[[#This Row],[Country]],Table4[110m Hurdles Classification],"&gt;0")</f>
        <v>0</v>
      </c>
      <c r="AR83" s="6">
        <f>COUNTIFS(Table5[Country],Tabela1[[#This Row],[Country]],Table5[100m Hurdles Classification],"&gt;0")</f>
        <v>0</v>
      </c>
      <c r="AS83" s="6">
        <f>COUNTIFS(Table4[Country],Tabela1[[#This Row],[Country]],Table4[400m Hurdles Classification],"&gt;0")</f>
        <v>0</v>
      </c>
      <c r="AT83" s="6">
        <f>COUNTIFS(Table5[Country],Tabela1[[#This Row],[Country]],Table5[400m Hurdles Classification],"&gt;0")</f>
        <v>0</v>
      </c>
      <c r="AU83" s="6">
        <f>COUNTIFS(Table4[Country],Tabela1[[#This Row],[Country]],Table4[3000m Steeplechase Classification],"&gt;0")</f>
        <v>0</v>
      </c>
      <c r="AV83" s="6">
        <f>COUNTIFS(Table5[Country],Tabela1[[#This Row],[Country]],Table5[3000m Steeplechase Classification],"&gt;0")</f>
        <v>0</v>
      </c>
      <c r="AW83" s="6">
        <f>COUNTIFS(Table27[Country],Tabela1[[#This Row],[Country]],Table27[Men''s 4x100m Relay Classification],"&gt;0")</f>
        <v>0</v>
      </c>
      <c r="AX83" s="6">
        <f>COUNTIFS(Table27[Country],Tabela1[[#This Row],[Country]],Table27[Women''s 4x100m Relay Classification],"&gt;0")</f>
        <v>0</v>
      </c>
      <c r="AY83" s="6">
        <f>COUNTIFS(Table27[Country],Tabela1[[#This Row],[Country]],Table27[Men''s 4x400m Relay Classification],"&gt;0")</f>
        <v>0</v>
      </c>
      <c r="AZ83" s="6">
        <f>COUNTIFS(Table27[Country],Tabela1[[#This Row],[Country]],Table27[Women''s 4x400m Relay Classification],"&gt;0")</f>
        <v>0</v>
      </c>
      <c r="BA83" s="6">
        <f>COUNTIFS(Table27[Country],Tabela1[[#This Row],[Country]],Table27[Mixed 4x400m Relay Classification],"&gt;0")</f>
        <v>0</v>
      </c>
      <c r="BB83" s="6">
        <f>COUNTIFS(Table4[Country],Tabela1[[#This Row],[Country]],Table4[Marathon Classification],"&gt;0")</f>
        <v>0</v>
      </c>
      <c r="BC83" s="6">
        <f>COUNTIFS(Table5[Country],Tabela1[[#This Row],[Country]],Table5[Marathon Classification],"&gt;0")</f>
        <v>0</v>
      </c>
      <c r="BD83" s="6">
        <f>COUNTIFS(Table4[Country],Tabela1[[#This Row],[Country]],Table4[20km Race Walk Classification],"&gt;0")</f>
        <v>0</v>
      </c>
      <c r="BE83" s="6">
        <f>COUNTIFS(Table5[Country],Tabela1[[#This Row],[Country]],Table5[20km Race Walk Classification],"&gt;0")</f>
        <v>0</v>
      </c>
      <c r="BF83" s="6">
        <f>COUNTIFS(Tabela96[Country],Tabela1[[#This Row],[Country]],Tabela96[Mixed Marathon Race Walk Relay Classification],"&gt;0")</f>
        <v>0</v>
      </c>
      <c r="BG83" s="6">
        <f>COUNTIFS(Table4[Country],Tabela1[[#This Row],[Country]],Table4[Discus Throw Classification],"&gt;0")</f>
        <v>0</v>
      </c>
      <c r="BH83" s="6">
        <f>COUNTIFS(Table5[Country],Tabela1[[#This Row],[Country]],Table5[Discus Throw Classification],"&gt;0")</f>
        <v>0</v>
      </c>
      <c r="BI83" s="6">
        <f>COUNTIFS(Table4[Country],Tabela1[[#This Row],[Country]],Table4[Hammer Throw Classification],"&gt;0")</f>
        <v>0</v>
      </c>
      <c r="BJ83" s="6">
        <f>COUNTIFS(Table5[Country],Tabela1[[#This Row],[Country]],Table5[Hammer Throw Classification],"&gt;0")</f>
        <v>0</v>
      </c>
      <c r="BK83" s="6">
        <f>COUNTIFS(Table4[Country],Tabela1[[#This Row],[Country]],Table4[High Jump Classification],"&gt;0")</f>
        <v>0</v>
      </c>
      <c r="BL83" s="6">
        <f>COUNTIFS(Table5[Country],Tabela1[[#This Row],[Country]],Table5[High Jump Classification],"&gt;0")</f>
        <v>0</v>
      </c>
      <c r="BM83" s="6">
        <f>COUNTIFS(Table4[Country],Tabela1[[#This Row],[Country]],Table4[Javelin Throw Classification],"&gt;0")</f>
        <v>0</v>
      </c>
      <c r="BN83" s="6">
        <f>COUNTIFS(Table5[Country],Tabela1[[#This Row],[Country]],Table5[Javelin Throw Classification],"&gt;0")</f>
        <v>0</v>
      </c>
      <c r="BO83" s="6">
        <f>COUNTIFS(Table4[Country],Tabela1[[#This Row],[Country]],Table4[Long Jump Classification],"&gt;0")</f>
        <v>0</v>
      </c>
      <c r="BP83" s="6">
        <f>COUNTIFS(Table5[Country],Tabela1[[#This Row],[Country]],Table5[Long Jump Classification],"&gt;0")</f>
        <v>0</v>
      </c>
      <c r="BQ83" s="6">
        <f>COUNTIFS(Table4[Country],Tabela1[[#This Row],[Country]],Table4[Pole Vault Classification],"&gt;0")</f>
        <v>1</v>
      </c>
      <c r="BR83" s="6">
        <f>COUNTIFS(Table5[Country],Tabela1[[#This Row],[Country]],Table5[Pole Vault Classification],"&gt;0")</f>
        <v>0</v>
      </c>
      <c r="BS83" s="6">
        <f>COUNTIFS(Table4[Country],Tabela1[[#This Row],[Country]],Table4[Shot Put Classification],"&gt;0")</f>
        <v>0</v>
      </c>
      <c r="BT83" s="6">
        <f>COUNTIFS(Table5[Country],Tabela1[[#This Row],[Country]],Table5[Shot Put Classification],"&gt;0")</f>
        <v>0</v>
      </c>
      <c r="BU83" s="6">
        <f>COUNTIFS(Table4[Country],Tabela1[[#This Row],[Country]],Table4[Triple Jump Classification],"&gt;0")</f>
        <v>0</v>
      </c>
      <c r="BV83" s="6">
        <f>COUNTIFS(Table5[Country],Tabela1[[#This Row],[Country]],Table5[Triple Jump Classification],"&gt;0")</f>
        <v>0</v>
      </c>
      <c r="BW83" s="6">
        <f>COUNTIFS(Table4[Country],Tabela1[[#This Row],[Country]],Table4[Decathlon Classification],"&gt;0")</f>
        <v>0</v>
      </c>
      <c r="BX83" s="6">
        <f>COUNTIFS(Table5[Country],Tabela1[[#This Row],[Country]],Table5[Heptathlon Classification],"&gt;0")</f>
        <v>0</v>
      </c>
      <c r="BY83" s="6">
        <f>COUNTIFS(Table61[Country],Tabela1[[#This Row],[Country]],Table61[Classification],"&gt;0")</f>
        <v>0</v>
      </c>
      <c r="BZ83" s="6">
        <f>COUNTIFS(Table38[Country],Tabela1[[#This Row],[Country]],Table38[Classification],"&gt;0")</f>
        <v>0</v>
      </c>
      <c r="CA83" s="6">
        <f>COUNTIFS(Table39[Country],Tabela1[[#This Row],[Country]],Table39[Men''s Classification],"&gt;0")</f>
        <v>0</v>
      </c>
      <c r="CB83" s="6">
        <f>COUNTIFS(Table39[Country],Tabela1[[#This Row],[Country]],Table39[Women''s Classification],"&gt;0")</f>
        <v>0</v>
      </c>
      <c r="CC83" s="6">
        <f>COUNTIFS(Table39[Country],Tabela1[[#This Row],[Country]],Table39[Mixed Classification],"&gt;0")</f>
        <v>0</v>
      </c>
      <c r="CD83" s="6">
        <f>COUNTIFS(Table89[Country],Tabela1[[#This Row],[Country]],Table89[Men''s Classification],"&gt;0")</f>
        <v>0</v>
      </c>
      <c r="CE83" s="6">
        <f>COUNTIFS(Table89[Country],Tabela1[[#This Row],[Country]],Table89[Women''s Classification],"&gt;0")</f>
        <v>0</v>
      </c>
      <c r="CF83" s="6">
        <f>COUNTIFS(Table90[Country],Tabela1[[#This Row],[Country]],Table90[Men''s Classification],"&gt;0")</f>
        <v>0</v>
      </c>
      <c r="CG83" s="6">
        <f>COUNTIFS(Table90[Country],Tabela1[[#This Row],[Country]],Table90[Women''s Classification],"&gt;0")</f>
        <v>0</v>
      </c>
      <c r="CH83" s="6">
        <f>COUNTIFS(Table60[Country],Tabela1[[#This Row],[Country]],Table60[Men''s Classification],"&gt;0")</f>
        <v>0</v>
      </c>
      <c r="CI83" s="6">
        <f>COUNTIFS(Table60[Country],Tabela1[[#This Row],[Country]],Table60[Women''s Classification],"&gt;0")</f>
        <v>0</v>
      </c>
      <c r="CJ83" s="6">
        <f>COUNTIFS(Table6[Country],Tabela1[[#This Row],[Country]],Table6[51kg Classification],"&gt;0")</f>
        <v>0</v>
      </c>
      <c r="CK83" s="6">
        <f>COUNTIFS(Table6[Country],Tabela1[[#This Row],[Country]],Table6[57kg Classification],"&gt;0")</f>
        <v>0</v>
      </c>
      <c r="CL83" s="6">
        <f>COUNTIFS(Table6[Country],Tabela1[[#This Row],[Country]],Table6[63.5kg Classification],"&gt;0")</f>
        <v>0</v>
      </c>
      <c r="CM83" s="6">
        <f>COUNTIFS(Table6[Country],Tabela1[[#This Row],[Country]],Table6[71kg Classification],"&gt;0")</f>
        <v>0</v>
      </c>
      <c r="CN83" s="6">
        <f>COUNTIFS(Table6[Country],Tabela1[[#This Row],[Country]],Table6[80kg Classification],"&gt;0")</f>
        <v>0</v>
      </c>
      <c r="CO83" s="6">
        <f>COUNTIFS(Table6[Country],Tabela1[[#This Row],[Country]],Table6[92kg Classification],"&gt;0")</f>
        <v>0</v>
      </c>
      <c r="CP83" s="6">
        <f>COUNTIFS(Table6[Country],Tabela1[[#This Row],[Country]],Table6[Plus 92kg Classification],"&gt;0")</f>
        <v>0</v>
      </c>
      <c r="CQ83" s="6">
        <f>COUNTIFS(Table7[Country],Tabela1[[#This Row],[Country]],Table7[50kg Classification],"&gt;0")</f>
        <v>0</v>
      </c>
      <c r="CR83" s="6">
        <f>COUNTIFS(Table7[Country],Tabela1[[#This Row],[Country]],Table7[54kg Classification],"&gt;0")</f>
        <v>0</v>
      </c>
      <c r="CS83" s="6">
        <f>COUNTIFS(Table7[Country],Tabela1[[#This Row],[Country]],Table7[57kg Classification],"&gt;0")</f>
        <v>0</v>
      </c>
      <c r="CT83" s="6">
        <f>COUNTIFS(Table7[Country],Tabela1[[#This Row],[Country]],Table7[60kg Classification],"&gt;0")</f>
        <v>0</v>
      </c>
      <c r="CU83" s="6">
        <f>COUNTIFS(Table7[Country],Tabela1[[#This Row],[Country]],Table7[66kg Classification],"&gt;0")</f>
        <v>0</v>
      </c>
      <c r="CV83" s="6">
        <f>COUNTIFS(Table7[Country],Tabela1[[#This Row],[Country]],Table7[75kg Classification],"&gt;0")</f>
        <v>0</v>
      </c>
      <c r="CW83" s="6">
        <f>COUNTIFS(Tabela94[Country],Tabela1[[#This Row],[Country]],Tabela94[Classification],"&gt;0")</f>
        <v>0</v>
      </c>
      <c r="CX83" s="6">
        <f>COUNTIFS(Tabela9499[Country],Tabela1[[#This Row],[Country]],Tabela9499[Classification],"&gt;0")</f>
        <v>0</v>
      </c>
      <c r="CY83" s="6">
        <f>COUNTIFS(Tabela107[Country],Tabela1[[#This Row],[Country]],Tabela107[C1 Slalom Classification],"&gt;0")</f>
        <v>0</v>
      </c>
      <c r="CZ83" s="6">
        <f>COUNTIFS(Tabela107122[Country],Tabela1[[#This Row],[Country]],Tabela107122[C1 Slalom Classification],"&gt;0")</f>
        <v>0</v>
      </c>
      <c r="DA83" s="6">
        <f>COUNTIFS(Tabela107[Country],Tabela1[[#This Row],[Country]],Tabela107[K1 Slalom Classification],"&gt;0")</f>
        <v>0</v>
      </c>
      <c r="DB83" s="6">
        <f>COUNTIFS(Tabela107122[Country],Tabela1[[#This Row],[Country]],Tabela107122[K1 Slalom Classification],"&gt;0")</f>
        <v>0</v>
      </c>
      <c r="DC83" s="6">
        <f>COUNTIFS(Tabela107[Country],Tabela1[[#This Row],[Country]],Tabela107[Kayak Cross Slalom Classification],"&gt;0")</f>
        <v>0</v>
      </c>
      <c r="DD83" s="6">
        <f>COUNTIFS(Tabela107122[Country],Tabela1[[#This Row],[Country]],Tabela107122[Kayak Cross Slalom Classification],"&gt;0")</f>
        <v>0</v>
      </c>
      <c r="DE83" s="6">
        <f>COUNTIFS(Table8[Country],Tabela1[[#This Row],[Country]],Table8[C1 200m Classification],"&gt;0")</f>
        <v>0</v>
      </c>
      <c r="DF83" s="6">
        <f>COUNTIFS(Table40[Country],Tabela1[[#This Row],[Country]],Table40[C1 1000m Classification],"&gt;0")</f>
        <v>0</v>
      </c>
      <c r="DG83" s="6">
        <f>COUNTIFS(Table68[Country],Tabela1[[#This Row],[Country]],Table68[Men''s C2 500m Classification],"&gt;0")</f>
        <v>0</v>
      </c>
      <c r="DH83" s="6">
        <f>COUNTIFS(Table68[Country],Tabela1[[#This Row],[Country]],Table68[Women''s C2 500m Classification],"&gt;0")</f>
        <v>0</v>
      </c>
      <c r="DI83" s="6">
        <f>COUNTIFS(Table8[Country],Tabela1[[#This Row],[Country]],Table8[K1 500m Classification],"&gt;0")</f>
        <v>0</v>
      </c>
      <c r="DJ83" s="6">
        <f>COUNTIFS(Table40[Country],Tabela1[[#This Row],[Country]],Table40[K1 1000m Classification],"&gt;0")</f>
        <v>0</v>
      </c>
      <c r="DK83" s="6">
        <f>COUNTIFS(Table68[Country],Tabela1[[#This Row],[Country]],Table68[Men''s K2 500m Classification],"&gt;0")</f>
        <v>0</v>
      </c>
      <c r="DL83" s="6">
        <f>COUNTIFS(Table68[Country],Tabela1[[#This Row],[Country]],Table68[Women''s K2 500m Classification],"&gt;0")</f>
        <v>0</v>
      </c>
      <c r="DM83" s="6">
        <f>COUNTIFS(Table83[Country],Tabela1[[#This Row],[Country]],Table83[Men''s K4 500m Classification],"&gt;0")</f>
        <v>0</v>
      </c>
      <c r="DN83" s="6">
        <f>COUNTIFS(Table83[Country],Tabela1[[#This Row],[Country]],Table83[Women''s K4 500m Classification],"&gt;0")</f>
        <v>0</v>
      </c>
      <c r="DO83" s="6">
        <f>COUNTIFS(Tabela126[Country],Tabela1[[#This Row],[Country]],Tabela126[Classification],"&gt;0")</f>
        <v>0</v>
      </c>
      <c r="DP83" s="6">
        <f>COUNTIFS(Tabela126130[Country],Tabela1[[#This Row],[Country]],Tabela126130[Classification],"&gt;0")</f>
        <v>0</v>
      </c>
      <c r="DQ83" s="6">
        <f>COUNTIFS(Table70[Country],Tabela1[[#This Row],[Country]],Table70[Classification],"&gt;0")</f>
        <v>0</v>
      </c>
      <c r="DR83" s="6">
        <f>COUNTIFS(Table80[Country],Tabela1[[#This Row],[Country]],Table80[Classification],"&gt;0")</f>
        <v>0</v>
      </c>
      <c r="DS83" s="6">
        <f>COUNTIFS(Table66[Country],Tabela1[[#This Row],[Country]],Table66[Classification],"&gt;0")</f>
        <v>0</v>
      </c>
      <c r="DT83" s="6">
        <f>COUNTIFS(Table67[Country],Tabela1[[#This Row],[Country]],Table67[Classification],"&gt;0")</f>
        <v>0</v>
      </c>
      <c r="DU83" s="6">
        <f>COUNTIFS(Table69[Country],Tabela1[[#This Row],[Country]],Table69[Keirin Classification],"&gt;0")</f>
        <v>0</v>
      </c>
      <c r="DV83" s="6">
        <f>COUNTIFS(Table41[Country],Tabela1[[#This Row],[Country]],Table41[Keirin Classification],"&gt;0")</f>
        <v>0</v>
      </c>
      <c r="DW83" s="6">
        <f>COUNTIFS(Table84[Country],Tabela1[[#This Row],[Country]],Table84[Men''s Madison Classification],"&gt;0")</f>
        <v>0</v>
      </c>
      <c r="DX83" s="6">
        <f>COUNTIFS(Table84[Country],Tabela1[[#This Row],[Country]],Table84[Women''s Madison Classification],"&gt;0")</f>
        <v>0</v>
      </c>
      <c r="DY83" s="6">
        <f>COUNTIFS(Table69[Country],Tabela1[[#This Row],[Country]],Table69[Omnium Classification],"&gt;0")</f>
        <v>0</v>
      </c>
      <c r="DZ83" s="6">
        <f>COUNTIFS(Table41[Country],Tabela1[[#This Row],[Country]],Table41[Omnium Classification],"&gt;0")</f>
        <v>0</v>
      </c>
      <c r="EA83" s="6">
        <f>COUNTIFS(Table9[Country],Tabela1[[#This Row],[Country]],Table9[Road Race Classification],"&gt;0")</f>
        <v>0</v>
      </c>
      <c r="EB83" s="6">
        <f>COUNTIFS(Table14[Country],Tabela1[[#This Row],[Country]],Table14[Road Race Classification],"&gt;0")</f>
        <v>0</v>
      </c>
      <c r="EC83" s="6">
        <f>COUNTIFS(Table69[Country],Tabela1[[#This Row],[Country]],Table69[Sprint Classification],"&gt;0")</f>
        <v>0</v>
      </c>
      <c r="ED83" s="6">
        <f>COUNTIFS(Table41[Country],Tabela1[[#This Row],[Country]],Table41[Sprint Classification],"&gt;0")</f>
        <v>0</v>
      </c>
      <c r="EE83" s="6">
        <f>COUNTIFS(Table85[Country],Tabela1[[#This Row],[Country]],Table85[Men''s Sprint Classification],"&gt;0")</f>
        <v>0</v>
      </c>
      <c r="EF83" s="6">
        <f>COUNTIFS(Table85[Country],Tabela1[[#This Row],[Country]],Table85[Women''s Sprint Classification],"&gt;0")</f>
        <v>0</v>
      </c>
      <c r="EG83" s="6">
        <f>COUNTIFS(Table85[Country],Tabela1[[#This Row],[Country]],Table85[Men''s Pursuit Classification],"&gt;0")</f>
        <v>0</v>
      </c>
      <c r="EH83" s="6">
        <f>COUNTIFS(Table85[Country],Tabela1[[#This Row],[Country]],Table85[Women''s Pursuit Classification],"&gt;0")</f>
        <v>0</v>
      </c>
      <c r="EI83" s="6">
        <f>COUNTIFS(Table9[Country],Tabela1[[#This Row],[Country]],Table9[Time-Trial Classification],"&gt;0")</f>
        <v>0</v>
      </c>
      <c r="EJ83" s="6">
        <f>COUNTIFS(Table14[Country],Tabela1[[#This Row],[Country]],Table14[Time-Trial Classification],"&gt;0")</f>
        <v>0</v>
      </c>
      <c r="EK83" s="6">
        <f>COUNTIFS(Table42[Country],Tabela1[[#This Row],[Country]],Table42[Springboard Classification],"&gt;0")</f>
        <v>0</v>
      </c>
      <c r="EL83" s="6">
        <f>COUNTIFS(Table43[Country],Tabela1[[#This Row],[Country]],Table43[Springboard Classification],"&gt;0")</f>
        <v>0</v>
      </c>
      <c r="EM83" s="6">
        <f>COUNTIFS(Table42[Country],Tabela1[[#This Row],[Country]],Table42[Platform Classification],"&gt;0")</f>
        <v>0</v>
      </c>
      <c r="EN83" s="6">
        <f>COUNTIFS(Table43[Country],Tabela1[[#This Row],[Country]],Table43[Platform Classification],"&gt;0")</f>
        <v>0</v>
      </c>
      <c r="EO83" s="6">
        <f>COUNTIFS(Table86[Country],Tabela1[[#This Row],[Country]],Table86[Men''s Synchronized Springboard Classification],"&gt;0")</f>
        <v>0</v>
      </c>
      <c r="EP83" s="6">
        <f>COUNTIFS(Table86[Country],Tabela1[[#This Row],[Country]],Table86[Women''s Synchronized Springboard Classification],"&gt;0")</f>
        <v>0</v>
      </c>
      <c r="EQ83" s="6">
        <f>COUNTIFS(Table86[Country],Tabela1[[#This Row],[Country]],Table86[Men''s Synchronized Platform Classification],"&gt;0")</f>
        <v>0</v>
      </c>
      <c r="ER83" s="6">
        <f>COUNTIFS(Table86[Country],Tabela1[[#This Row],[Country]],Table86[Women''s Synchronized Platform Classification],"&gt;0")</f>
        <v>0</v>
      </c>
      <c r="ES83" s="6">
        <f>COUNTIFS(Table44[Country],Tabela1[[#This Row],[Country]],Table44[Dressage Classification],"&gt;0")</f>
        <v>0</v>
      </c>
      <c r="ET83" s="6">
        <f>COUNTIFS(Table45[Country],Tabela1[[#This Row],[Country]],Table45[Dressage Classification],"&gt;0")</f>
        <v>0</v>
      </c>
      <c r="EU83" s="6">
        <f>COUNTIFS(Table44[Country],Tabela1[[#This Row],[Country]],Table44[Eventing Classification],"&gt;0")</f>
        <v>0</v>
      </c>
      <c r="EV83" s="6">
        <f>COUNTIFS(Table45[Country],Tabela1[[#This Row],[Country]],Table45[Eventing Classification],"&gt;0")</f>
        <v>0</v>
      </c>
      <c r="EW83" s="6">
        <f>COUNTIFS(Table44[Country],Tabela1[[#This Row],[Country]],Table44[Jumping Classification],"&gt;0")</f>
        <v>0</v>
      </c>
      <c r="EX83" s="6">
        <f>COUNTIFS(Table45[Country],Tabela1[[#This Row],[Country]],Table45[Jumping Classification],"&gt;0")</f>
        <v>0</v>
      </c>
      <c r="EY83" s="6">
        <f>COUNTIFS(Table10[Country],Tabela1[[#This Row],[Country]],Table10[Épée Classification],"&gt;0")</f>
        <v>0</v>
      </c>
      <c r="EZ83" s="6">
        <f>COUNTIFS(Table11[Country],Tabela1[[#This Row],[Country]],Table11[Épée Classification],"&gt;0")</f>
        <v>0</v>
      </c>
      <c r="FA83" s="6">
        <f>COUNTIFS(Table46[Country],Tabela1[[#This Row],[Country]],Table46[Men''s Épée Classification],"&gt;0")</f>
        <v>0</v>
      </c>
      <c r="FB83" s="6">
        <f>COUNTIFS(Table46[Country],Tabela1[[#This Row],[Country]],Table46[Women''s Épée Classification],"&gt;0")</f>
        <v>0</v>
      </c>
      <c r="FC83" s="6">
        <f>COUNTIFS(Table10[Country],Tabela1[[#This Row],[Country]],Table10[Foil Classification],"&gt;0")</f>
        <v>0</v>
      </c>
      <c r="FD83" s="6">
        <f>COUNTIFS(Table11[Country],Tabela1[[#This Row],[Country]],Table11[Foil Classification],"&gt;0")</f>
        <v>0</v>
      </c>
      <c r="FE83" s="6">
        <f>COUNTIFS(Table46[Country],Tabela1[[#This Row],[Country]],Table46[Men''s Foil Classification],"&gt;0")</f>
        <v>0</v>
      </c>
      <c r="FF83" s="6">
        <f>COUNTIFS(Table46[Country],Tabela1[[#This Row],[Country]],Table46[Women''s Foil Classification],"&gt;0")</f>
        <v>0</v>
      </c>
      <c r="FG83" s="6">
        <f>COUNTIFS(Table10[Country],Tabela1[[#This Row],[Country]],Table10[Sabre Classification],"&gt;0")</f>
        <v>0</v>
      </c>
      <c r="FH83" s="6">
        <f>COUNTIFS(Table11[Country],Tabela1[[#This Row],[Country]],Table11[Sabre Classification],"&gt;0")</f>
        <v>0</v>
      </c>
      <c r="FI83" s="6">
        <f>COUNTIFS(Table46[Country],Tabela1[[#This Row],[Country]],Table46[Men''s Sabre Classification],"&gt;0")</f>
        <v>0</v>
      </c>
      <c r="FJ83" s="6">
        <f>COUNTIFS(Table46[Country],Tabela1[[#This Row],[Country]],Table46[Women''s Sabre Classification],"&gt;0")</f>
        <v>0</v>
      </c>
      <c r="FK83" s="6">
        <f>COUNTIFS(Table91[Country],Tabela1[[#This Row],[Country]],Table91[Men''s Classification],"&gt;0")</f>
        <v>0</v>
      </c>
      <c r="FL83" s="6">
        <f>COUNTIFS(Table91[Country],Tabela1[[#This Row],[Country]],Table91[Women''s Classification],"&gt;0")</f>
        <v>0</v>
      </c>
      <c r="FM83" s="6">
        <f>COUNTIFS(Table9194[Country],Tabela1[[#This Row],[Country]],Table9194[Men''s Classification],"&gt;0")</f>
        <v>0</v>
      </c>
      <c r="FN83" s="6">
        <f>COUNTIFS(Table9194[Country],Tabela1[[#This Row],[Country]],Table9194[Women''s Classification],"&gt;0")</f>
        <v>0</v>
      </c>
      <c r="FO83" s="6">
        <f>COUNTIFS(Table71[Country],Tabela1[[#This Row],[Country]],Table71[Classification],"&gt;0")</f>
        <v>0</v>
      </c>
      <c r="FP83" s="6">
        <f>COUNTIFS(Table62[Country],Tabela1[[#This Row],[Country]],Table62[Classification],"&gt;0")</f>
        <v>0</v>
      </c>
      <c r="FQ83" s="6">
        <f>COUNTIFS(Table47[Country],Tabela1[[#This Row],[Country]],Table47[All-Around Classification],"&gt;0")</f>
        <v>0</v>
      </c>
      <c r="FR83" s="6">
        <f>COUNTIFS(Table48[Country],Tabela1[[#This Row],[Country]],Table48[All-Around Classification],"&gt;0")</f>
        <v>0</v>
      </c>
      <c r="FS83" s="6">
        <f>COUNTIFS(Table81[Country],Tabela1[[#This Row],[Country]],Table81[Men''s All-Around Classification],"&gt;0")</f>
        <v>0</v>
      </c>
      <c r="FT83" s="6">
        <f>COUNTIFS(Table81[Country],Tabela1[[#This Row],[Country]],Table81[Women''s All-Around Classification],"&gt;0")</f>
        <v>0</v>
      </c>
      <c r="FU83" s="6">
        <f>COUNTIFS(Table48[Country],Tabela1[[#This Row],[Country]],Table48[Balance Beam Classification],"&gt;0")</f>
        <v>0</v>
      </c>
      <c r="FV83" s="6">
        <f>COUNTIFS(Table47[Country],Tabela1[[#This Row],[Country]],Table47[Floor Exercise Classification],"&gt;0")</f>
        <v>0</v>
      </c>
      <c r="FW83" s="6">
        <f>COUNTIFS(Table48[Country],Tabela1[[#This Row],[Country]],Table48[Floor Exercise Classification],"&gt;0")</f>
        <v>0</v>
      </c>
      <c r="FX83" s="6">
        <f>COUNTIFS(Table47[Country],Tabela1[[#This Row],[Country]],Table47[Horizontal Bar Classification],"&gt;0")</f>
        <v>0</v>
      </c>
      <c r="FY83" s="6">
        <f>COUNTIFS(Table47[Country],Tabela1[[#This Row],[Country]],Table47[Parallel Bars Classification],"&gt;0")</f>
        <v>0</v>
      </c>
      <c r="FZ83" s="6">
        <f>COUNTIFS(Table47[Country],Tabela1[[#This Row],[Country]],Table47[Pommel Horse Classification],"&gt;0")</f>
        <v>0</v>
      </c>
      <c r="GA83" s="6">
        <f>COUNTIFS(Table47[Country],Tabela1[[#This Row],[Country]],Table47[Rings Classification],"&gt;0")</f>
        <v>0</v>
      </c>
      <c r="GB83" s="6">
        <f>COUNTIFS(Tabela132[Country],Tabela1[[#This Row],[Country]],Tabela132[Classification],"&gt;0")</f>
        <v>0</v>
      </c>
      <c r="GC83" s="6">
        <f>COUNTIFS(Tabela139[Country],Tabela1[[#This Row],[Country]],Tabela139[Classification],"&gt;0")</f>
        <v>0</v>
      </c>
      <c r="GD83" s="6">
        <f>COUNTIFS(Table48[Country],Tabela1[[#This Row],[Country]],Table48[Uneven Bars Classification],"&gt;0")</f>
        <v>0</v>
      </c>
      <c r="GE83" s="6">
        <f>COUNTIFS(Table47[Country],Tabela1[[#This Row],[Country]],Table47[Vault Classification],"&gt;0")</f>
        <v>0</v>
      </c>
      <c r="GF83" s="6">
        <f>COUNTIFS(Table48[Country],Tabela1[[#This Row],[Country]],Table48[Vault Classification],"&gt;0")</f>
        <v>0</v>
      </c>
      <c r="GG83" s="6">
        <f>COUNTIFS(Table919496[Country],Tabela1[[#This Row],[Country]],Table919496[Men''s Classification],"&gt;0")</f>
        <v>0</v>
      </c>
      <c r="GH83" s="6">
        <f>COUNTIFS(Table919496[Country],Tabela1[[#This Row],[Country]],Table919496[Women''s Classification],"&gt;0")</f>
        <v>0</v>
      </c>
      <c r="GI83" s="6">
        <f>COUNTIFS(Table12[Country],Tabela1[[#This Row],[Country]],Table12[60kg Classification],"&gt;0")</f>
        <v>0</v>
      </c>
      <c r="GJ83" s="6">
        <f>COUNTIFS(Table12[Country],Tabela1[[#This Row],[Country]],Table12[66kg Classification],"&gt;0")</f>
        <v>0</v>
      </c>
      <c r="GK83" s="6">
        <f>COUNTIFS(Table12[Country],Tabela1[[#This Row],[Country]],Table12[73kg Classification],"&gt;0")</f>
        <v>0</v>
      </c>
      <c r="GL83" s="6">
        <f>COUNTIFS(Table12[Country],Tabela1[[#This Row],[Country]],Table12[81kg Classification],"&gt;0")</f>
        <v>0</v>
      </c>
      <c r="GM83" s="6">
        <f>COUNTIFS(Table12[Country],Tabela1[[#This Row],[Country]],Table12[90kg Classification],"&gt;0")</f>
        <v>0</v>
      </c>
      <c r="GN83" s="6">
        <f>COUNTIFS(Table12[Country],Tabela1[[#This Row],[Country]],Table12[100kg Classification],"&gt;0")</f>
        <v>0</v>
      </c>
      <c r="GO83" s="6">
        <f>COUNTIFS(Table12[Country],Tabela1[[#This Row],[Country]],Table12[Plus 100kg Classification],"&gt;0")</f>
        <v>0</v>
      </c>
      <c r="GP83" s="6">
        <f>COUNTIFS(Table13[Country],Tabela1[[#This Row],[Country]],Table13[48kg Classification],"&gt;0")</f>
        <v>0</v>
      </c>
      <c r="GQ83" s="6">
        <f>COUNTIFS(Table13[Country],Tabela1[[#This Row],[Country]],Table13[52kg Classification],"&gt;0")</f>
        <v>0</v>
      </c>
      <c r="GR83" s="6">
        <f>COUNTIFS(Table13[Country],Tabela1[[#This Row],[Country]],Table13[57kg Classification],"&gt;0")</f>
        <v>0</v>
      </c>
      <c r="GS83" s="6">
        <f>COUNTIFS(Table13[Country],Tabela1[[#This Row],[Country]],Table13[63kg Classification],"&gt;0")</f>
        <v>0</v>
      </c>
      <c r="GT83" s="6">
        <f>COUNTIFS(Table13[Country],Tabela1[[#This Row],[Country]],Table13[70kg Classification],"&gt;0")</f>
        <v>0</v>
      </c>
      <c r="GU83" s="6">
        <f>COUNTIFS(Table13[Country],Tabela1[[#This Row],[Country]],Table13[78kg Classification],"&gt;0")</f>
        <v>0</v>
      </c>
      <c r="GV83" s="6">
        <f>COUNTIFS(Table13[Country],Tabela1[[#This Row],[Country]],Table13[Plus 78kg Classification],"&gt;0")</f>
        <v>0</v>
      </c>
      <c r="GW83" s="6">
        <f>COUNTIFS(Table82[Country],Tabela1[[#This Row],[Country]],Table82[Mixed Classification],"&gt;0")</f>
        <v>0</v>
      </c>
      <c r="GX83" s="6">
        <f>COUNTIFS(Table51[Country],Tabela1[[#This Row],[Country]],Table51[Classification],"&gt;0")</f>
        <v>0</v>
      </c>
      <c r="GY83" s="6">
        <f>COUNTIFS(Table52[Country],Tabela1[[#This Row],[Country]],Table52[Classification],"&gt;0")</f>
        <v>0</v>
      </c>
      <c r="GZ83" s="6">
        <f>COUNTIFS(Table32[Country],Tabela1[[#This Row],[Country]],Table32[All-Around Classification],"&gt;0")</f>
        <v>0</v>
      </c>
      <c r="HA83" s="6">
        <f>COUNTIFS(Table49[Country],Tabela1[[#This Row],[Country]],Table49[All-Around Classification],"&gt;0")</f>
        <v>0</v>
      </c>
      <c r="HB83" s="6">
        <f>COUNTIFS(Table26[Country],Tabela1[[#This Row],[Country]],Table26[Single Sculls Classification],"&gt;0")</f>
        <v>0</v>
      </c>
      <c r="HC83" s="6">
        <f>COUNTIFS(Table63[Country],Tabela1[[#This Row],[Country]],Table63[Single Sculls Classification],"&gt;0")</f>
        <v>0</v>
      </c>
      <c r="HD83" s="6">
        <f>COUNTIFS(Table16[Country],Tabela1[[#This Row],[Country]],Table16[Men''s Double Sculls Classification],"&gt;0")</f>
        <v>0</v>
      </c>
      <c r="HE83" s="6">
        <f>COUNTIFS(Table16[Country],Tabela1[[#This Row],[Country]],Table16[Women''s Double Sculls Classification],"&gt;0")</f>
        <v>0</v>
      </c>
      <c r="HF83" s="6">
        <f>COUNTIFS(Table72[Country],Tabela1[[#This Row],[Country]],Table72[Men''s Quadruple Sculls Classification],"&gt;0")</f>
        <v>0</v>
      </c>
      <c r="HG83" s="6">
        <f>COUNTIFS(Table72[Country],Tabela1[[#This Row],[Country]],Table72[Women''s Quadruple Sculls Classification],"&gt;0")</f>
        <v>0</v>
      </c>
      <c r="HH83" s="6">
        <f>COUNTIFS(Table16[Country],Tabela1[[#This Row],[Country]],Table16[Men''s Coxless Pairs Classification],"&gt;0")</f>
        <v>0</v>
      </c>
      <c r="HI83" s="6">
        <f>COUNTIFS(Table16[Country],Tabela1[[#This Row],[Country]],Table16[Women''s Coxless Pairs Classification],"&gt;0")</f>
        <v>0</v>
      </c>
      <c r="HJ83" s="6">
        <f>COUNTIFS(Table72[Country],Tabela1[[#This Row],[Country]],Table72[Men''s Coxless Fours Classification],"&gt;0")</f>
        <v>0</v>
      </c>
      <c r="HK83" s="6">
        <f>COUNTIFS(Table72[Country],Tabela1[[#This Row],[Country]],Table72[Women''s Coxless Fours Classification],"&gt;0")</f>
        <v>0</v>
      </c>
      <c r="HL83" s="6">
        <f>COUNTIFS(Table72[Country],Tabela1[[#This Row],[Country]],Table72[Men''s Eights Classification],"&gt;0")</f>
        <v>0</v>
      </c>
      <c r="HM83" s="6">
        <f>COUNTIFS(Table72[Country],Tabela1[[#This Row],[Country]],Table72[Women''s Eights Classification],"&gt;0")</f>
        <v>0</v>
      </c>
      <c r="HN83" s="6">
        <f>COUNTIFS(Table16[Country],Tabela1[[#This Row],[Country]],Table16[Men''s Lwt. Double Sculls Classification],"&gt;0")</f>
        <v>0</v>
      </c>
      <c r="HO83" s="6">
        <f>COUNTIFS(Table16[Country],Tabela1[[#This Row],[Country]],Table16[Women''s Lwt. Double Sculls Classification],"&gt;0")</f>
        <v>0</v>
      </c>
      <c r="HP83" s="6">
        <f>COUNTIFS(Table91949698[Country],Tabela1[[#This Row],[Country]],Table91949698[Men''s Classification],"&gt;0")</f>
        <v>0</v>
      </c>
      <c r="HQ83" s="6">
        <f>COUNTIFS(Table91949698[Country],Tabela1[[#This Row],[Country]],Table91949698[Women''s Classification],"&gt;0")</f>
        <v>0</v>
      </c>
      <c r="HR83" s="6">
        <f>COUNTIFS(Table25[Country],Tabela1[[#This Row],[Country]],Table25[Mixed 470 Classification],"&gt;0")</f>
        <v>0</v>
      </c>
      <c r="HS83" s="6">
        <f>COUNTIFS(Table25[Country],Tabela1[[#This Row],[Country]],Table25[Men''s 49er Classification],"&gt;0")</f>
        <v>0</v>
      </c>
      <c r="HT83" s="6">
        <f>COUNTIFS(Table25[Country],Tabela1[[#This Row],[Country]],Table25[Women''s 49er FX Classification],"&gt;0")</f>
        <v>0</v>
      </c>
      <c r="HU83" s="6">
        <f>COUNTIFS(Table17[Country],Tabela1[[#This Row],[Country]],Table17[Formula Kite Classification],"&gt;0")</f>
        <v>0</v>
      </c>
      <c r="HV83" s="6">
        <f>COUNTIFS(Table18[Country],Tabela1[[#This Row],[Country]],Table18[Formula Kite Classification],"&gt;0")</f>
        <v>0</v>
      </c>
      <c r="HW83" s="6">
        <f>COUNTIFS(Table17[Country],Tabela1[[#This Row],[Country]],Table17[ILCA 7 Classification],"&gt;0")</f>
        <v>0</v>
      </c>
      <c r="HX83" s="6">
        <f>COUNTIFS(Table18[Country],Tabela1[[#This Row],[Country]],Table18[ILCA 6 Classification],"&gt;0")</f>
        <v>0</v>
      </c>
      <c r="HY83" s="6">
        <f>COUNTIFS(Table17[Country],Tabela1[[#This Row],[Country]],Table17[IQFoil Classification],"&gt;0")</f>
        <v>0</v>
      </c>
      <c r="HZ83" s="6">
        <f>COUNTIFS(Table18[Country],Tabela1[[#This Row],[Country]],Table18[IQFoil Classification],"&gt;0")</f>
        <v>0</v>
      </c>
      <c r="IA83" s="6">
        <f>COUNTIFS(Table25[Country],Tabela1[[#This Row],[Country]],Table25[Mixed Nacra 17 Classification],"&gt;0")</f>
        <v>0</v>
      </c>
      <c r="IB83" s="6">
        <f>COUNTIFS(Table53[Country],Tabela1[[#This Row],[Country]],Table53[10m Air Pistol Classification],"&gt;0")</f>
        <v>0</v>
      </c>
      <c r="IC83" s="6">
        <f>COUNTIFS(Table19[Country],Tabela1[[#This Row],[Country]],Table19[10m Air Pistol Classification],"&gt;0")</f>
        <v>0</v>
      </c>
      <c r="ID83" s="6">
        <f>COUNTIFS(Table54[Country],Tabela1[[#This Row],[Country]],Table54[Mixed 10m Air Pistol Team Classification],"&gt;0")</f>
        <v>0</v>
      </c>
      <c r="IE83" s="6">
        <f>COUNTIFS(Table53[Country],Tabela1[[#This Row],[Country]],Table53[10m Air Rifle Classification],"&gt;0")</f>
        <v>0</v>
      </c>
      <c r="IF83" s="6">
        <f>COUNTIFS(Table19[Country],Tabela1[[#This Row],[Country]],Table19[10m Air Rifle Classification],"&gt;0")</f>
        <v>0</v>
      </c>
      <c r="IG83" s="6">
        <f>COUNTIFS(Table54[Country],Tabela1[[#This Row],[Country]],Table54[Mixed 10m Air Rifle Team Classification],"&gt;0")</f>
        <v>0</v>
      </c>
      <c r="IH83" s="6">
        <f>COUNTIFS(Table53[Country],Tabela1[[#This Row],[Country]],Table53[25m Rapid Fire Pistol Classification],"&gt;0")</f>
        <v>0</v>
      </c>
      <c r="II83" s="6">
        <f>COUNTIFS(Table19[Country],Tabela1[[#This Row],[Country]],Table19[25m Pistol Classification],"&gt;0")</f>
        <v>0</v>
      </c>
      <c r="IJ83" s="6">
        <f>COUNTIFS(Table53[Country],Tabela1[[#This Row],[Country]],Table53[50m Rifle 3 Positions Classification],"&gt;0")</f>
        <v>0</v>
      </c>
      <c r="IK83" s="6">
        <f>COUNTIFS(Table19[Country],Tabela1[[#This Row],[Country]],Table19[50m Rifle 3 Positions Classification],"&gt;0")</f>
        <v>0</v>
      </c>
      <c r="IL83" s="6">
        <f>COUNTIFS(Table53[Country],Tabela1[[#This Row],[Country]],Table53[Skeet Classification],"&gt;0")</f>
        <v>0</v>
      </c>
      <c r="IM83" s="6">
        <f>COUNTIFS(Table19[Country],Tabela1[[#This Row],[Country]],Table19[Skeet Classification],"&gt;0")</f>
        <v>0</v>
      </c>
      <c r="IN83" s="6">
        <f>COUNTIFS(Table54[Country],Tabela1[[#This Row],[Country]],Table54[Mixed Skeet Team Classification],"&gt;0")</f>
        <v>0</v>
      </c>
      <c r="IO83" s="6">
        <f>COUNTIFS(Table53[Country],Tabela1[[#This Row],[Country]],Table53[Trap Classification],"&gt;0")</f>
        <v>0</v>
      </c>
      <c r="IP83" s="6">
        <f>COUNTIFS(Table19[Country],Tabela1[[#This Row],[Country]],Table19[Trap Classification],"&gt;0")</f>
        <v>0</v>
      </c>
      <c r="IQ83" s="6">
        <f>COUNTIFS(Table73[Country],Tabela1[[#This Row],[Country]],Table73[Park Classification],"&gt;0")</f>
        <v>0</v>
      </c>
      <c r="IR83" s="6">
        <f>COUNTIFS(Table74[Country],Tabela1[[#This Row],[Country]],Table74[Park Classification],"&gt;0")</f>
        <v>0</v>
      </c>
      <c r="IS83" s="6">
        <f>COUNTIFS(Table73[Country],Tabela1[[#This Row],[Country]],Table73[Street Classification],"&gt;0")</f>
        <v>0</v>
      </c>
      <c r="IT83" s="6">
        <f>COUNTIFS(Table74[Country],Tabela1[[#This Row],[Country]],Table74[Street Classification],"&gt;0")</f>
        <v>0</v>
      </c>
      <c r="IU83" s="6">
        <f>COUNTIFS(Table75[Country],Tabela1[[#This Row],[Country]],Table75[Boulder and Lead Classification],"&gt;0")</f>
        <v>0</v>
      </c>
      <c r="IV83" s="6">
        <f>COUNTIFS(Table76[Country],Tabela1[[#This Row],[Country]],Table76[Boulder and Lead Classification],"&gt;0")</f>
        <v>0</v>
      </c>
      <c r="IW83" s="6">
        <f>COUNTIFS(Table75[Country],Tabela1[[#This Row],[Country]],Table75[Speed Classification],"&gt;0")</f>
        <v>0</v>
      </c>
      <c r="IX83" s="6">
        <f>COUNTIFS(Table76[Country],Tabela1[[#This Row],[Country]],Table76[Speed Classification],"&gt;0")</f>
        <v>0</v>
      </c>
      <c r="IY83" s="6">
        <f>COUNTIFS(Table64[Country],Tabela1[[#This Row],[Country]],Table64[Shortboard Classification],"&gt;0")</f>
        <v>0</v>
      </c>
      <c r="IZ83" s="6">
        <f>COUNTIFS(Table77[Country],Tabela1[[#This Row],[Country]],Table77[Shortboard Classification],"&gt;0")</f>
        <v>0</v>
      </c>
      <c r="JA83" s="6">
        <f>COUNTIFS(Table20[Country],Tabela1[[#This Row],[Country]],Table20[50m Freestyle Classification],"&gt;0")</f>
        <v>0</v>
      </c>
      <c r="JB83" s="6">
        <f>COUNTIFS(Table21[Country],Tabela1[[#This Row],[Country]],Table21[50m Freestyle Classification],"&gt;0")</f>
        <v>0</v>
      </c>
      <c r="JC83" s="6">
        <f>COUNTIFS(Table20[Country],Tabela1[[#This Row],[Country]],Table20[100m Freestyle Classification],"&gt;0")</f>
        <v>0</v>
      </c>
      <c r="JD83" s="6">
        <f>COUNTIFS(Table21[Country],Tabela1[[#This Row],[Country]],Table21[100m Freestyle Classification],"&gt;0")</f>
        <v>0</v>
      </c>
      <c r="JE83" s="6">
        <f>COUNTIFS(Table20[Country],Tabela1[[#This Row],[Country]],Table20[200m Freestyle Classification],"&gt;0")</f>
        <v>0</v>
      </c>
      <c r="JF83" s="6">
        <f>COUNTIFS(Table21[Country],Tabela1[[#This Row],[Country]],Table21[200m Freestyle Classification],"&gt;0")</f>
        <v>1</v>
      </c>
      <c r="JG83" s="6">
        <f>COUNTIFS(Table20[Country],Tabela1[[#This Row],[Country]],Table20[400m Freestyle Classification],"&gt;0")</f>
        <v>0</v>
      </c>
      <c r="JH83" s="6">
        <f>COUNTIFS(Table21[Country],Tabela1[[#This Row],[Country]],Table21[400m Freestyle Classification],"&gt;0")</f>
        <v>0</v>
      </c>
      <c r="JI83" s="6">
        <f>COUNTIFS(Table20[Country],Tabela1[[#This Row],[Country]],Table20[800m Freestyle Classification],"&gt;0")</f>
        <v>0</v>
      </c>
      <c r="JJ83" s="6">
        <f>COUNTIFS(Table21[Country],Tabela1[[#This Row],[Country]],Table21[800m Freestyle Classification],"&gt;0")</f>
        <v>0</v>
      </c>
      <c r="JK83" s="6">
        <f>COUNTIFS(Table20[Country],Tabela1[[#This Row],[Country]],Table20[1500m Freestyle Classification],"&gt;0")</f>
        <v>0</v>
      </c>
      <c r="JL83" s="6">
        <f>COUNTIFS(Table21[Country],Tabela1[[#This Row],[Country]],Table21[1500m Freestyle Classification],"&gt;0")</f>
        <v>0</v>
      </c>
      <c r="JM83" s="6">
        <f>COUNTIFS(Table20[Country],Tabela1[[#This Row],[Country]],Table20[100m Backstroke Classification],"&gt;0")</f>
        <v>0</v>
      </c>
      <c r="JN83" s="6">
        <f>COUNTIFS(Table21[Country],Tabela1[[#This Row],[Country]],Table21[100m Backstroke Classification],"&gt;0")</f>
        <v>0</v>
      </c>
      <c r="JO83" s="6">
        <f>COUNTIFS(Table20[Country],Tabela1[[#This Row],[Country]],Table20[200m Backstroke Classification],"&gt;0")</f>
        <v>0</v>
      </c>
      <c r="JP83" s="6">
        <f>COUNTIFS(Table21[Country],Tabela1[[#This Row],[Country]],Table21[200m Backstroke Classification],"&gt;0")</f>
        <v>0</v>
      </c>
      <c r="JQ83" s="6">
        <f>COUNTIFS(Table20[Country],Tabela1[[#This Row],[Country]],Table20[100m Breaststroke Classification],"&gt;0")</f>
        <v>0</v>
      </c>
      <c r="JR83" s="6">
        <f>COUNTIFS(Table21[Country],Tabela1[[#This Row],[Country]],Table21[100m Breaststroke Classification],"&gt;0")</f>
        <v>0</v>
      </c>
      <c r="JS83" s="6">
        <f>COUNTIFS(Table20[Country],Tabela1[[#This Row],[Country]],Table20[200m Breaststroke Classification],"&gt;0")</f>
        <v>0</v>
      </c>
      <c r="JT83" s="6">
        <f>COUNTIFS(Table21[Country],Tabela1[[#This Row],[Country]],Table21[200m Breaststroke Classification],"&gt;0")</f>
        <v>0</v>
      </c>
      <c r="JU83" s="6">
        <f>COUNTIFS(Table20[Country],Tabela1[[#This Row],[Country]],Table20[100m Butterfly Classification],"&gt;0")</f>
        <v>0</v>
      </c>
      <c r="JV83" s="6">
        <f>COUNTIFS(Table21[Country],Tabela1[[#This Row],[Country]],Table21[100m Butterfly Classification],"&gt;0")</f>
        <v>0</v>
      </c>
      <c r="JW83" s="6">
        <f>COUNTIFS(Table20[Country],Tabela1[[#This Row],[Country]],Table20[200m Butterfly Classification],"&gt;0")</f>
        <v>0</v>
      </c>
      <c r="JX83" s="6">
        <f>COUNTIFS(Table21[Country],Tabela1[[#This Row],[Country]],Table21[200m Butterfly Classification],"&gt;0")</f>
        <v>0</v>
      </c>
      <c r="JY83" s="6">
        <f>COUNTIFS(Table20[Country],Tabela1[[#This Row],[Country]],Table20[200m Medley Classification],"&gt;0")</f>
        <v>0</v>
      </c>
      <c r="JZ83" s="6">
        <f>COUNTIFS(Table21[Country],Tabela1[[#This Row],[Country]],Table21[200m Medley Classification],"&gt;0")</f>
        <v>0</v>
      </c>
      <c r="KA83" s="6">
        <f>COUNTIFS(Table20[Country],Tabela1[[#This Row],[Country]],Table20[400m Medley Classification],"&gt;0")</f>
        <v>0</v>
      </c>
      <c r="KB83" s="6">
        <f>COUNTIFS(Table21[Country],Tabela1[[#This Row],[Country]],Table21[400m Medley Classification],"&gt;0")</f>
        <v>0</v>
      </c>
      <c r="KC83" s="6">
        <f>COUNTIFS(Table78[Country],Tabela1[[#This Row],[Country]],Table78[Men''s 4x100m Freestyle Relay Classification],"&gt;0")</f>
        <v>0</v>
      </c>
      <c r="KD83" s="6">
        <f>COUNTIFS(Table78[Country],Tabela1[[#This Row],[Country]],Table78[Women''s 4x100m Freestyle Relay Classification],"&gt;0")</f>
        <v>0</v>
      </c>
      <c r="KE83" s="6">
        <f>COUNTIFS(Table78[Country],Tabela1[[#This Row],[Country]],Table78[Men''s 4x200m Freestyle Relay Classification],"&gt;0")</f>
        <v>0</v>
      </c>
      <c r="KF83" s="6">
        <f>COUNTIFS(Table78[Country],Tabela1[[#This Row],[Country]],Table78[Women''s 4x200m Freestyle Relay Classification],"&gt;0")</f>
        <v>0</v>
      </c>
      <c r="KG83" s="6">
        <f>COUNTIFS(Table78[Country],Tabela1[[#This Row],[Country]],Table78[Men''s 4x100m Medley Relay Classification],"&gt;0")</f>
        <v>0</v>
      </c>
      <c r="KH83" s="6">
        <f>COUNTIFS(Table78[Country],Tabela1[[#This Row],[Country]],Table78[Women''s 4x100m Medley Relay Classification],"&gt;0")</f>
        <v>0</v>
      </c>
      <c r="KI83" s="6">
        <f>COUNTIFS(Table78[Country],Tabela1[[#This Row],[Country]],Table78[Mixed 4x100m Medley Relay Classification],"&gt;0")</f>
        <v>0</v>
      </c>
      <c r="KJ83" s="6">
        <f>COUNTIFS(Table20[Country],Tabela1[[#This Row],[Country]],Table20[10km Open Water Classification],"&gt;0")</f>
        <v>0</v>
      </c>
      <c r="KK83" s="6">
        <f>COUNTIFS(Table21[Country],Tabela1[[#This Row],[Country]],Table21[10km Open Water Classification],"&gt;0")</f>
        <v>0</v>
      </c>
      <c r="KL83" s="6">
        <f>COUNTIFS(Table22[Country],Tabela1[[#This Row],[Country]],Table22[Classification],"&gt;0")</f>
        <v>0</v>
      </c>
      <c r="KM83" s="6">
        <f>COUNTIFS(Table30[Country],Tabela1[[#This Row],[Country]],Table30[Classification],"&gt;0")</f>
        <v>0</v>
      </c>
      <c r="KN83" s="6">
        <f>COUNTIFS(Table55[Country],Tabela1[[#This Row],[Country]],Table55[Men''s Classification],"&gt;0")</f>
        <v>0</v>
      </c>
      <c r="KO83" s="6">
        <f>COUNTIFS(Table55[Country],Tabela1[[#This Row],[Country]],Table55[Women''s Classification],"&gt;0")</f>
        <v>0</v>
      </c>
      <c r="KP83" s="6">
        <f>COUNTIFS(Table56[Country],Tabela1[[#This Row],[Country]],Table56[Mixed Classification],"&gt;0")</f>
        <v>0</v>
      </c>
      <c r="KQ83" s="6">
        <f>COUNTIFS(Table29[Country],Tabela1[[#This Row],[Country]],Table29[58kg Classification],"&gt;0")</f>
        <v>0</v>
      </c>
      <c r="KR83" s="6">
        <f>COUNTIFS(Table29[Country],Tabela1[[#This Row],[Country]],Table29[68kg Classification],"&gt;0")</f>
        <v>0</v>
      </c>
      <c r="KS83" s="6">
        <f>COUNTIFS(Table29[Country],Tabela1[[#This Row],[Country]],Table29[80kg Classification],"&gt;0")</f>
        <v>0</v>
      </c>
      <c r="KT83" s="6">
        <f>COUNTIFS(Table29[Country],Tabela1[[#This Row],[Country]],Table29[Plus 80kg Classification],"&gt;0")</f>
        <v>0</v>
      </c>
      <c r="KU83" s="6">
        <f>COUNTIFS(Table34[Country],Tabela1[[#This Row],[Country]],Table34[49kg Classification],"&gt;0")</f>
        <v>0</v>
      </c>
      <c r="KV83" s="6">
        <f>COUNTIFS(Table34[Country],Tabela1[[#This Row],[Country]],Table34[57kg Classification],"&gt;0")</f>
        <v>0</v>
      </c>
      <c r="KW83" s="6">
        <f>COUNTIFS(Table34[Country],Tabela1[[#This Row],[Country]],Table34[67kg Classification],"&gt;0")</f>
        <v>0</v>
      </c>
      <c r="KX83" s="6">
        <f>COUNTIFS(Table34[Country],Tabela1[[#This Row],[Country]],Table34[Plus 67kg Classification],"&gt;0")</f>
        <v>0</v>
      </c>
      <c r="KY83" s="6">
        <f>COUNTIFS(Table57[Country],Tabela1[[#This Row],[Country]],Table57[Classification],"&gt;0")</f>
        <v>0</v>
      </c>
      <c r="KZ83" s="6">
        <f>COUNTIFS(Table58[Country],Tabela1[[#This Row],[Country]],Table58[Classification],"&gt;0")</f>
        <v>0</v>
      </c>
      <c r="LA83" s="6">
        <f>COUNTIFS(Table79[Country],Tabela1[[#This Row],[Country]],Table79[Men''s Classification],"&gt;0")</f>
        <v>0</v>
      </c>
      <c r="LB83" s="6">
        <f>COUNTIFS(Table79[Country],Tabela1[[#This Row],[Country]],Table79[Women''s Classification],"&gt;0")</f>
        <v>0</v>
      </c>
      <c r="LC83" s="6">
        <f>COUNTIFS(Table79[Country],Tabela1[[#This Row],[Country]],Table79[Mixed Classification],"&gt;0")</f>
        <v>0</v>
      </c>
      <c r="LD83" s="6">
        <f>COUNTIFS(Table65[Country],Tabela1[[#This Row],[Country]],Table65[Classification],"&gt;0")</f>
        <v>0</v>
      </c>
      <c r="LE83" s="6">
        <f>COUNTIFS(Table59[Country],Tabela1[[#This Row],[Country]],Table59[Classification],"&gt;0")</f>
        <v>0</v>
      </c>
      <c r="LF83" s="6">
        <f>COUNTIFS(Table87[Country],Tabela1[[#This Row],[Country]],Table87[Mixed Relay Classification],"&gt;0")</f>
        <v>0</v>
      </c>
      <c r="LG83" s="6">
        <f>COUNTIFS(Table91949698100[Country],Tabela1[[#This Row],[Country]],Table91949698100[Men''s Classification],"&gt;0")</f>
        <v>0</v>
      </c>
      <c r="LH83" s="6">
        <f>COUNTIFS(Table91949698100[Country],Tabela1[[#This Row],[Country]],Table91949698100[Women''s Classification],"&gt;0")</f>
        <v>0</v>
      </c>
      <c r="LI83" s="6">
        <f>COUNTIFS(Table91949698100102[Country],Tabela1[[#This Row],[Country]],Table91949698100102[Men''s Classification],"&gt;0")</f>
        <v>0</v>
      </c>
      <c r="LJ83" s="6">
        <f>COUNTIFS(Table91949698100102[Country],Tabela1[[#This Row],[Country]],Table91949698100102[Women''s Classification],"&gt;0")</f>
        <v>0</v>
      </c>
      <c r="LK83" s="6">
        <f>COUNTIFS(Table23[Country],Tabela1[[#This Row],[Country]],Table23[61kg Classification],"&gt;0")</f>
        <v>0</v>
      </c>
      <c r="LL83" s="6">
        <f>COUNTIFS(Table23[Country],Tabela1[[#This Row],[Country]],Table23[73kg Classification],"&gt;0")</f>
        <v>0</v>
      </c>
      <c r="LM83" s="6">
        <f>COUNTIFS(Table23[Country],Tabela1[[#This Row],[Country]],Table23[89kg Classification],"&gt;0")</f>
        <v>0</v>
      </c>
      <c r="LN83" s="6">
        <f>COUNTIFS(Table23[Country],Tabela1[[#This Row],[Country]],Table23[102kg Classification],"&gt;0")</f>
        <v>0</v>
      </c>
      <c r="LO83" s="6">
        <f>COUNTIFS(Table23[Country],Tabela1[[#This Row],[Country]],Table23[Plus 102kg Classification],"&gt;0")</f>
        <v>0</v>
      </c>
      <c r="LP83" s="6">
        <f>COUNTIFS(Table28[Country],Tabela1[[#This Row],[Country]],Table28[49kg Classification],"&gt;0")</f>
        <v>0</v>
      </c>
      <c r="LQ83" s="6">
        <f>COUNTIFS(Table28[Country],Tabela1[[#This Row],[Country]],Table28[59kg Classification],"&gt;0")</f>
        <v>0</v>
      </c>
      <c r="LR83" s="6">
        <f>COUNTIFS(Table28[Country],Tabela1[[#This Row],[Country]],Table28[71kg Classification],"&gt;0")</f>
        <v>0</v>
      </c>
      <c r="LS83" s="6">
        <f>COUNTIFS(Table28[Country],Tabela1[[#This Row],[Country]],Table28[81kg Classification],"&gt;0")</f>
        <v>0</v>
      </c>
      <c r="LT83" s="6">
        <f>COUNTIFS(Table28[Country],Tabela1[[#This Row],[Country]],Table28[Plus 81kg Classification],"&gt;0")</f>
        <v>0</v>
      </c>
      <c r="LU83" s="6">
        <f>COUNTIFS(Table24[Country],Tabela1[[#This Row],[Country]],Table24[Freestyle 57kg Classification],"&gt;0")</f>
        <v>0</v>
      </c>
      <c r="LV83" s="6">
        <f>COUNTIFS(Table24[Country],Tabela1[[#This Row],[Country]],Table24[Freestyle 65kg Classification],"&gt;0")</f>
        <v>0</v>
      </c>
      <c r="LW83" s="6">
        <f>COUNTIFS(Table24[Country],Tabela1[[#This Row],[Country]],Table24[Freestyle 74kg Classification],"&gt;0")</f>
        <v>0</v>
      </c>
      <c r="LX83" s="6">
        <f>COUNTIFS(Table24[Country],Tabela1[[#This Row],[Country]],Table24[Freestyle 86kg Classification],"&gt;0")</f>
        <v>0</v>
      </c>
      <c r="LY83" s="6">
        <f>COUNTIFS(Table24[Country],Tabela1[[#This Row],[Country]],Table24[Freestyle 97kg Classification],"&gt;0")</f>
        <v>0</v>
      </c>
      <c r="LZ83" s="6">
        <f>COUNTIFS(Table24[Country],Tabela1[[#This Row],[Country]],Table24[Freestyle 125kg Classification],"&gt;0")</f>
        <v>0</v>
      </c>
      <c r="MA83" s="6">
        <f>COUNTIFS(Table24[Country],Tabela1[[#This Row],[Country]],Table24[Greco-Roman 60kg Classification],"&gt;0")</f>
        <v>0</v>
      </c>
      <c r="MB83" s="6">
        <f>COUNTIFS(Table24[Country],Tabela1[[#This Row],[Country]],Table24[Greco-Roman 67kg Classification],"&gt;0")</f>
        <v>0</v>
      </c>
      <c r="MC83" s="6">
        <f>COUNTIFS(Table24[Country],Tabela1[[#This Row],[Country]],Table24[Greco-Roman 77kg Classification],"&gt;0")</f>
        <v>0</v>
      </c>
      <c r="MD83" s="6">
        <f>COUNTIFS(Table24[Country],Tabela1[[#This Row],[Country]],Table24[Greco-Roman 87kg Classification],"&gt;0")</f>
        <v>0</v>
      </c>
      <c r="ME83" s="6">
        <f>COUNTIFS(Table24[Country],Tabela1[[#This Row],[Country]],Table24[Greco-Roman 97kg Classification],"&gt;0")</f>
        <v>0</v>
      </c>
      <c r="MF83" s="6">
        <f>COUNTIFS(Table24[Country],Tabela1[[#This Row],[Country]],Table24[Greco-Roman 130kg Classification],"&gt;0")</f>
        <v>0</v>
      </c>
      <c r="MG83" s="6">
        <f>COUNTIFS(Table31[Country],Tabela1[[#This Row],[Country]],Table31[50kg Classification],"&gt;0")</f>
        <v>0</v>
      </c>
      <c r="MH83" s="6">
        <f>COUNTIFS(Table31[Country],Tabela1[[#This Row],[Country]],Table31[53kg Classification],"&gt;0")</f>
        <v>0</v>
      </c>
      <c r="MI83" s="6">
        <f>COUNTIFS(Table31[Country],Tabela1[[#This Row],[Country]],Table31[57kg Classification],"&gt;0")</f>
        <v>0</v>
      </c>
      <c r="MJ83" s="6">
        <f>COUNTIFS(Table31[Country],Tabela1[[#This Row],[Country]],Table31[62kg Classification],"&gt;0")</f>
        <v>0</v>
      </c>
      <c r="MK83" s="6">
        <f>COUNTIFS(Table31[Country],Tabela1[[#This Row],[Country]],Table31[68kg Classification],"&gt;0")</f>
        <v>0</v>
      </c>
      <c r="ML83" s="6">
        <f>COUNTIFS(Table31[Country],Tabela1[[#This Row],[Country]],Table31[76kg Classification],"&gt;0")</f>
        <v>0</v>
      </c>
      <c r="MM83" s="6">
        <f>COUNTIFS(Table102[Country],Tabela1[[#This Row],[Country]],Table102[Downhill Classification],"&gt;0")</f>
        <v>0</v>
      </c>
      <c r="MN83" s="6">
        <f>COUNTIFS(Table102105[Country],Tabela1[[#This Row],[Country]],Table102105[Downhill Classification],"&gt;0")</f>
        <v>0</v>
      </c>
      <c r="MO83" s="6">
        <f>COUNTIFS(Table102[Country],Tabela1[[#This Row],[Country]],Table102[Giant Slalom Classification],"&gt;0")</f>
        <v>1</v>
      </c>
      <c r="MP83" s="6">
        <f>COUNTIFS(Table102105[Country],Tabela1[[#This Row],[Country]],Table102105[Giant Slalom Classification],"&gt;0")</f>
        <v>0</v>
      </c>
      <c r="MQ83" s="6">
        <f>COUNTIFS(Table102[Country],Tabela1[[#This Row],[Country]],Table102[Slalom Classification],"&gt;0")</f>
        <v>1</v>
      </c>
      <c r="MR83" s="6">
        <f>COUNTIFS(Table102105[Country],Tabela1[[#This Row],[Country]],Table102105[Slalom Classification],"&gt;0")</f>
        <v>0</v>
      </c>
      <c r="MS83" s="6">
        <f>COUNTIFS(Table102[Country],Tabela1[[#This Row],[Country]],Table102[Super-G Classification],"&gt;0")</f>
        <v>0</v>
      </c>
      <c r="MT83" s="6">
        <f>COUNTIFS(Table102105[Country],Tabela1[[#This Row],[Country]],Table102105[Super-G Classification],"&gt;0")</f>
        <v>0</v>
      </c>
      <c r="MU83" s="6">
        <f>COUNTIFS(Table105[Country],Tabela1[[#This Row],[Country]],Table105[Men''s Combined Classification],"&gt;0")</f>
        <v>0</v>
      </c>
      <c r="MV83" s="6">
        <f>COUNTIFS(Table105[Country],Tabela1[[#This Row],[Country]],Table105[Women''s Combined Classification],"&gt;0")</f>
        <v>0</v>
      </c>
      <c r="MW83" s="6">
        <f>COUNTIFS(Table106[Country],Tabela1[[#This Row],[Country]],Table106[Individual Classification],"&gt;0")</f>
        <v>0</v>
      </c>
      <c r="MX83" s="6">
        <f>COUNTIFS(Table106109[Country],Tabela1[[#This Row],[Country]],Table106109[Individual Classification],"&gt;0")</f>
        <v>0</v>
      </c>
      <c r="MY83" s="6">
        <f>COUNTIFS(Table106[Country],Tabela1[[#This Row],[Country]],Table106[Mass Start Classification],"&gt;0")</f>
        <v>0</v>
      </c>
      <c r="MZ83" s="6">
        <f>COUNTIFS(Table106109[Country],Tabela1[[#This Row],[Country]],Table106109[Mass Start Classification],"&gt;0")</f>
        <v>0</v>
      </c>
      <c r="NA83" s="6">
        <f>COUNTIFS(Table106[Country],Tabela1[[#This Row],[Country]],Table106[Pursuit Classification],"&gt;0")</f>
        <v>0</v>
      </c>
      <c r="NB83" s="6">
        <f>COUNTIFS(Table106109[Country],Tabela1[[#This Row],[Country]],Table106109[Pursuit Classification],"&gt;0")</f>
        <v>0</v>
      </c>
      <c r="NC83" s="6">
        <f>COUNTIFS(Table106[Country],Tabela1[[#This Row],[Country]],Table106[Sprint Classification],"&gt;0")</f>
        <v>0</v>
      </c>
      <c r="ND83" s="6">
        <f>COUNTIFS(Table106109[Country],Tabela1[[#This Row],[Country]],Table106109[Sprint Classification],"&gt;0")</f>
        <v>0</v>
      </c>
      <c r="NE83" s="6">
        <f>COUNTIFS(Table109[Country],Tabela1[[#This Row],[Country]],Table109[Men''s Relay Classification],"&gt;0")</f>
        <v>0</v>
      </c>
      <c r="NF83" s="6">
        <f>COUNTIFS(Table109[Country],Tabela1[[#This Row],[Country]],Table109[Women''s Relay Classification],"&gt;0")</f>
        <v>0</v>
      </c>
      <c r="NG83" s="6">
        <f>COUNTIFS(Table109[Country],Tabela1[[#This Row],[Country]],Table109[Mixed Relay Classification],"&gt;0")</f>
        <v>0</v>
      </c>
      <c r="NH83" s="6">
        <f>COUNTIFS(Table110[Country],Tabela1[[#This Row],[Country]],Table110[Monobob Classification],"&gt;0")</f>
        <v>0</v>
      </c>
      <c r="NI83" s="6">
        <f>COUNTIFS(Table111[Country],Tabela1[[#This Row],[Country]],Table111[Men''s Classification],"&gt;0")</f>
        <v>0</v>
      </c>
      <c r="NJ83" s="6">
        <f>COUNTIFS(Table111[Country],Tabela1[[#This Row],[Country]],Table111[Women''s Classification],"&gt;0")</f>
        <v>0</v>
      </c>
      <c r="NK83" s="6">
        <f>COUNTIFS(Table112[Country],Tabela1[[#This Row],[Country]],Table112[Men''s Four Classification],"&gt;0")</f>
        <v>0</v>
      </c>
      <c r="NL83" s="6">
        <f>COUNTIFS(Table113[Country],Tabela1[[#This Row],[Country]],Table113[Classical Classification],"&gt;0")</f>
        <v>0</v>
      </c>
      <c r="NM83" s="6">
        <f>COUNTIFS(Table113116[Country],Tabela1[[#This Row],[Country]],Table113116[Classical Classification],"&gt;0")</f>
        <v>0</v>
      </c>
      <c r="NN83" s="6">
        <f>COUNTIFS(Table113[Country],Tabela1[[#This Row],[Country]],Table113[Freestyle Classification],"&gt;0")</f>
        <v>1</v>
      </c>
      <c r="NO83" s="6">
        <f>COUNTIFS(Table113116[Country],Tabela1[[#This Row],[Country]],Table113116[Freestyle Classification],"&gt;0")</f>
        <v>0</v>
      </c>
      <c r="NP83" s="6">
        <f>COUNTIFS(Table117[Country],Tabela1[[#This Row],[Country]],Table117[Men''s Relay Classification],"&gt;0")</f>
        <v>0</v>
      </c>
      <c r="NQ83" s="6">
        <f>COUNTIFS(Table117[Country],Tabela1[[#This Row],[Country]],Table117[Women''s Relay Classification],"&gt;0")</f>
        <v>0</v>
      </c>
      <c r="NR83" s="6">
        <f>COUNTIFS(Table113[Country],Tabela1[[#This Row],[Country]],Table113[Skiathlon Classification],"&gt;0")</f>
        <v>0</v>
      </c>
      <c r="NS83" s="6">
        <f>COUNTIFS(Table113116[Country],Tabela1[[#This Row],[Country]],Table113116[Skiathlon Classification],"&gt;0")</f>
        <v>0</v>
      </c>
      <c r="NT83" s="6">
        <f>COUNTIFS(Table113[Country],Tabela1[[#This Row],[Country]],Table113[Sprint Classification],"&gt;0")</f>
        <v>0</v>
      </c>
      <c r="NU83" s="6">
        <f>COUNTIFS(Table113116[Country],Tabela1[[#This Row],[Country]],Table113116[Sprint Classification],"&gt;0")</f>
        <v>0</v>
      </c>
      <c r="NV83" s="6">
        <f>COUNTIFS(Table116[Country],Tabela1[[#This Row],[Country]],Table116[Men''s Team Sprint Classification],"&gt;0")</f>
        <v>0</v>
      </c>
      <c r="NW83" s="6">
        <f>COUNTIFS(Table116[Country],Tabela1[[#This Row],[Country]],Table116[Women''s Team Sprint Classification],"&gt;0")</f>
        <v>0</v>
      </c>
      <c r="NX83" s="6">
        <f>COUNTIFS(Table119[Country],Tabela1[[#This Row],[Country]],Table119[Men''s Classification],"&gt;0")</f>
        <v>0</v>
      </c>
      <c r="NY83" s="6">
        <f>COUNTIFS(Table119[Country],Tabela1[[#This Row],[Country]],Table119[Women''s Classification],"&gt;0")</f>
        <v>0</v>
      </c>
      <c r="NZ83" s="6">
        <f>COUNTIFS(Table118[Country],Tabela1[[#This Row],[Country]],Table118[Mixed Classification],"&gt;0")</f>
        <v>0</v>
      </c>
      <c r="OA83" s="6">
        <f>COUNTIFS(Table120[Country],Tabela1[[#This Row],[Country]],Table120[Classification],"&gt;0")</f>
        <v>0</v>
      </c>
      <c r="OB83" s="6">
        <f>COUNTIFS(Table120123[Country],Tabela1[[#This Row],[Country]],Table120123[Classification],"&gt;0")</f>
        <v>0</v>
      </c>
      <c r="OC83" s="6">
        <f>COUNTIFS(Table123[Country],Tabela1[[#This Row],[Country]],Table123[Ice Dance Classification],"&gt;0")</f>
        <v>0</v>
      </c>
      <c r="OD83" s="6">
        <f>COUNTIFS(Table123[Country],Tabela1[[#This Row],[Country]],Table123[Pair Skating Classification],"&gt;0")</f>
        <v>0</v>
      </c>
      <c r="OE83" s="6">
        <f>COUNTIFS(Table124[Country],Tabela1[[#This Row],[Country]],Table124[Mixed Classification],"&gt;0")</f>
        <v>0</v>
      </c>
      <c r="OF83" s="6">
        <f>COUNTIFS(Table125[Country],Tabela1[[#This Row],[Country]],Table125[Aerials Classification],"&gt;0")</f>
        <v>0</v>
      </c>
      <c r="OG83" s="6">
        <f>COUNTIFS(Table125128[Country],Tabela1[[#This Row],[Country]],Table125128[Aerials Classification],"&gt;0")</f>
        <v>0</v>
      </c>
      <c r="OH83" s="6">
        <f>COUNTIFS(Table128[Country],Tabela1[[#This Row],[Country]],Table128[Mixed Aerials Classification],"&gt;0")</f>
        <v>0</v>
      </c>
      <c r="OI83" s="6">
        <f>COUNTIFS(Table125[Country],Tabela1[[#This Row],[Country]],Table125[Big Air Classification],"&gt;0")</f>
        <v>0</v>
      </c>
      <c r="OJ83" s="6">
        <f>COUNTIFS(Table125128[Country],Tabela1[[#This Row],[Country]],Table125128[Big Air Classification],"&gt;0")</f>
        <v>0</v>
      </c>
      <c r="OK83" s="6">
        <f>COUNTIFS(Table125[Country],Tabela1[[#This Row],[Country]],Table125[Dual Moguls Classification],"&gt;0")</f>
        <v>0</v>
      </c>
      <c r="OL83" s="6">
        <f>COUNTIFS(Table125128[Country],Tabela1[[#This Row],[Country]],Table125128[Dual Moguls Classification],"&gt;0")</f>
        <v>0</v>
      </c>
      <c r="OM83" s="6">
        <f>COUNTIFS(Table125[Country],Tabela1[[#This Row],[Country]],Table125[Halfpipe Classification],"&gt;0")</f>
        <v>0</v>
      </c>
      <c r="ON83" s="6">
        <f>COUNTIFS(Table125128[Country],Tabela1[[#This Row],[Country]],Table125128[Halfpipe Classification],"&gt;0")</f>
        <v>0</v>
      </c>
      <c r="OO83" s="6">
        <f>COUNTIFS(Table125[Country],Tabela1[[#This Row],[Country]],Table125[Moguls Classification],"&gt;0")</f>
        <v>0</v>
      </c>
      <c r="OP83" s="6">
        <f>COUNTIFS(Table125128[Country],Tabela1[[#This Row],[Country]],Table125128[Moguls Classification],"&gt;0")</f>
        <v>0</v>
      </c>
      <c r="OQ83" s="6">
        <f>COUNTIFS(Table125[Country],Tabela1[[#This Row],[Country]],Table125[Ski Cross Classification],"&gt;0")</f>
        <v>0</v>
      </c>
      <c r="OR83" s="6">
        <f>COUNTIFS(Table125128[Country],Tabela1[[#This Row],[Country]],Table125128[Ski Cross Classification],"&gt;0")</f>
        <v>0</v>
      </c>
      <c r="OS83" s="6">
        <f>COUNTIFS(Table125[Country],Tabela1[[#This Row],[Country]],Table125[Slopestyle Classification],"&gt;0")</f>
        <v>0</v>
      </c>
      <c r="OT83" s="6">
        <f>COUNTIFS(Table125128[Country],Tabela1[[#This Row],[Country]],Table125128[Slopestyle Classification],"&gt;0")</f>
        <v>0</v>
      </c>
      <c r="OU83" s="6">
        <f>COUNTIFS(Table119131[Country],Tabela1[[#This Row],[Country]],Table119131[Men''s Classification],"&gt;0")</f>
        <v>0</v>
      </c>
      <c r="OV83" s="6">
        <f>COUNTIFS(Table119131[Country],Tabela1[[#This Row],[Country]],Table119131[Women''s Classification],"&gt;0")</f>
        <v>0</v>
      </c>
      <c r="OW83" s="6">
        <f>COUNTIFS(Table131[Country],Tabela1[[#This Row],[Country]],Table131[Classification],"&gt;0")</f>
        <v>0</v>
      </c>
      <c r="OX83" s="6">
        <f>COUNTIFS(Table131134[Country],Tabela1[[#This Row],[Country]],Table131134[Classification],"&gt;0")</f>
        <v>0</v>
      </c>
      <c r="OY83" s="6">
        <f>COUNTIFS(Table134[Country],Tabela1[[#This Row],[Country]],Table134[Men''s Classification],"&gt;0")</f>
        <v>0</v>
      </c>
      <c r="OZ83" s="6">
        <f>COUNTIFS(Table134[Country],Tabela1[[#This Row],[Country]],Table134[Women''s Classification],"&gt;0")</f>
        <v>0</v>
      </c>
      <c r="PA83" s="6">
        <f>COUNTIFS(Table135[Country],Tabela1[[#This Row],[Country]],Table135[Mixed Relay Classification],"&gt;0")</f>
        <v>0</v>
      </c>
      <c r="PB83" s="6">
        <f>COUNTIFS(Table136[Country],Tabela1[[#This Row],[Country]],Table136[Individual Classification],"&gt;0")</f>
        <v>0</v>
      </c>
      <c r="PC83" s="6">
        <f>COUNTIFS(Table136[Country],Tabela1[[#This Row],[Country]],Table136[Sprint Classification],"&gt;0")</f>
        <v>0</v>
      </c>
      <c r="PD83" s="6">
        <f>COUNTIFS(Table137[Country],Tabela1[[#This Row],[Country]],Table137[Men''s Team Sprint Large Hill Classification],"&gt;0")</f>
        <v>0</v>
      </c>
      <c r="PE83" s="6">
        <f>COUNTIFS(Table138[Country],Tabela1[[#This Row],[Country]],Table138[500m Classification],"&gt;0")</f>
        <v>0</v>
      </c>
      <c r="PF83" s="6">
        <f>COUNTIFS(Table138141[Country],Tabela1[[#This Row],[Country]],Table138141[500m Classification],"&gt;0")</f>
        <v>0</v>
      </c>
      <c r="PG83" s="6">
        <f>COUNTIFS(Table138[Country],Tabela1[[#This Row],[Country]],Table138[1000m Classification],"&gt;0")</f>
        <v>0</v>
      </c>
      <c r="PH83" s="6">
        <f>COUNTIFS(Table138141[Country],Tabela1[[#This Row],[Country]],Table138141[1000m Classification],"&gt;0")</f>
        <v>0</v>
      </c>
      <c r="PI83" s="6">
        <f>COUNTIFS(Table138[Country],Tabela1[[#This Row],[Country]],Table138[1500m Classification],"&gt;0")</f>
        <v>0</v>
      </c>
      <c r="PJ83" s="6">
        <f>COUNTIFS(Table138141[Country],Tabela1[[#This Row],[Country]],Table138141[1500m Classification],"&gt;0")</f>
        <v>0</v>
      </c>
      <c r="PK83" s="6">
        <f>COUNTIFS(Table141[Country],Tabela1[[#This Row],[Country]],Table141[Men''s 5000m Relay Classification],"&gt;0")</f>
        <v>0</v>
      </c>
      <c r="PL83" s="6">
        <f>COUNTIFS(Table141[Country],Tabela1[[#This Row],[Country]],Table141[Women''s 3000m Relay Classification],"&gt;0")</f>
        <v>0</v>
      </c>
      <c r="PM83" s="6">
        <f>COUNTIFS(Table141[Country],Tabela1[[#This Row],[Country]],Table141[Mixed 2000m Relay Classification],"&gt;0")</f>
        <v>0</v>
      </c>
      <c r="PN83" s="6">
        <f>COUNTIFS(Table142[Country],Tabela1[[#This Row],[Country]],Table142[Classification],"&gt;0")</f>
        <v>0</v>
      </c>
      <c r="PO83" s="6">
        <f>COUNTIFS(Table142145[Country],Tabela1[[#This Row],[Country]],Table142145[Classification],"&gt;0")</f>
        <v>0</v>
      </c>
      <c r="PP83" s="6">
        <f>COUNTIFS(Tabela15[Country],Tabela1[[#This Row],[Country]],Tabela15[Mixed Team Classification],"&gt;0")</f>
        <v>0</v>
      </c>
      <c r="PQ83" s="6">
        <f>COUNTIFS(Table145[Country],Tabela1[[#This Row],[Country]],Table145[Large Hill Classification],"&gt;0")</f>
        <v>0</v>
      </c>
      <c r="PR83" s="6">
        <f>COUNTIFS(Table145[Country],Tabela1[[#This Row],[Country]],Table145[Normal Hill Classification],"&gt;0")</f>
        <v>0</v>
      </c>
      <c r="PS83" s="6">
        <f>COUNTIFS(Table145148[Country],Tabela1[[#This Row],[Country]],Table145148[Large Hill Classification],"&gt;0")</f>
        <v>0</v>
      </c>
      <c r="PT83" s="6">
        <f>COUNTIFS(Table145148[Country],Tabela1[[#This Row],[Country]],Table145148[Normal Hill Classification],"&gt;0")</f>
        <v>0</v>
      </c>
      <c r="PU83" s="6">
        <f>COUNTIFS(Table148[Country],Tabela1[[#This Row],[Country]],Table148[Men''s Super Team Classification],"&gt;0")</f>
        <v>0</v>
      </c>
      <c r="PV83" s="6">
        <f>COUNTIFS(Tabela114[Country],Tabela1[[#This Row],[Country]],Tabela114[Mixed Normal Hill Classification],"&gt;0")</f>
        <v>0</v>
      </c>
      <c r="PW83" s="6">
        <f>COUNTIFS(Tabela50[Country],Tabela1[[#This Row],[Country]],Tabela50[Sprint Classification],"&gt;0")</f>
        <v>0</v>
      </c>
      <c r="PX83" s="6">
        <f>COUNTIFS(Tabela50101[Country],Tabela1[[#This Row],[Country]],Tabela50101[Sprint Classification],"&gt;0")</f>
        <v>0</v>
      </c>
      <c r="PY83" s="6">
        <f>COUNTIFS(Tabela103[Country],Tabela1[[#This Row],[Country]],Tabela103[Mixed Relay Classification],"&gt;0")</f>
        <v>0</v>
      </c>
      <c r="PZ83" s="6">
        <f>COUNTIFS(Table149[Country],Tabela1[[#This Row],[Country]],Table149[Big Air Classification],"&gt;0")</f>
        <v>0</v>
      </c>
      <c r="QA83" s="6">
        <f>COUNTIFS(Table149152[Country],Tabela1[[#This Row],[Country]],Table149152[Big Air Classification],"&gt;0")</f>
        <v>0</v>
      </c>
      <c r="QB83" s="6">
        <f>COUNTIFS(Table149[Country],Tabela1[[#This Row],[Country]],Table149[Halfpipe Classification],"&gt;0")</f>
        <v>0</v>
      </c>
      <c r="QC83" s="6">
        <f>COUNTIFS(Table149152[Country],Tabela1[[#This Row],[Country]],Table149152[Halfpipe Classification],"&gt;0")</f>
        <v>0</v>
      </c>
      <c r="QD83" s="6">
        <f>COUNTIFS(Table149[Country],Tabela1[[#This Row],[Country]],Table149[Parallel Giant Slalom Classification],"&gt;0")</f>
        <v>0</v>
      </c>
      <c r="QE83" s="6">
        <f>COUNTIFS(Table149152[Country],Tabela1[[#This Row],[Country]],Table149152[Parallel Giant Slalom Classification],"&gt;0")</f>
        <v>0</v>
      </c>
      <c r="QF83" s="6">
        <f>COUNTIFS(Table149[Country],Tabela1[[#This Row],[Country]],Table149[Slopestyle Classification],"&gt;0")</f>
        <v>0</v>
      </c>
      <c r="QG83" s="6">
        <f>COUNTIFS(Table149152[Country],Tabela1[[#This Row],[Country]],Table149152[Slopestyle Classification],"&gt;0")</f>
        <v>0</v>
      </c>
      <c r="QH83" s="6">
        <f>COUNTIFS(Table149[Country],Tabela1[[#This Row],[Country]],Table149[Snowboard Cross Classification],"&gt;0")</f>
        <v>0</v>
      </c>
      <c r="QI83" s="6">
        <f>COUNTIFS(Table149152[Country],Tabela1[[#This Row],[Country]],Table149152[Snowboard Cross Classification],"&gt;0")</f>
        <v>0</v>
      </c>
      <c r="QJ83" s="6">
        <f>COUNTIFS(Table153[Country],Tabela1[[#This Row],[Country]],Table153[Mixed Team Snowboard Cross Classification],"&gt;0")</f>
        <v>0</v>
      </c>
      <c r="QK83" s="6">
        <f>COUNTIFS(Table154[Country],Tabela1[[#This Row],[Country]],Table154[500m Classification],"&gt;0")</f>
        <v>0</v>
      </c>
      <c r="QL83" s="6">
        <f>COUNTIFS(Table154157[Country],Tabela1[[#This Row],[Country]],Table154157[500m Classification],"&gt;0")</f>
        <v>0</v>
      </c>
      <c r="QM83" s="6">
        <f>COUNTIFS(Table154[Country],Tabela1[[#This Row],[Country]],Table154[1000m Classification],"&gt;0")</f>
        <v>0</v>
      </c>
      <c r="QN83" s="6">
        <f>COUNTIFS(Table154157[Country],Tabela1[[#This Row],[Country]],Table154157[1000m Classification],"&gt;0")</f>
        <v>0</v>
      </c>
      <c r="QO83" s="6">
        <f>COUNTIFS(Table154[Country],Tabela1[[#This Row],[Country]],Table154[1500m Classification],"&gt;0")</f>
        <v>0</v>
      </c>
      <c r="QP83" s="6">
        <f>COUNTIFS(Table154157[Country],Tabela1[[#This Row],[Country]],Table154157[1500m Classification],"&gt;0")</f>
        <v>0</v>
      </c>
      <c r="QQ83" s="6">
        <f>COUNTIFS(Table154157[Country],Tabela1[[#This Row],[Country]],Table154157[3000m Classification],"&gt;0")</f>
        <v>0</v>
      </c>
      <c r="QR83" s="6">
        <f>COUNTIFS(Table154[Country],Tabela1[[#This Row],[Country]],Table154[5000m Classification],"&gt;0")</f>
        <v>0</v>
      </c>
      <c r="QS83" s="6">
        <f>COUNTIFS(Table154157[Country],Tabela1[[#This Row],[Country]],Table154157[5000m Classification],"&gt;0")</f>
        <v>0</v>
      </c>
      <c r="QT83" s="6">
        <f>COUNTIFS(Table154[Country],Tabela1[[#This Row],[Country]],Table154[10000m Classification],"&gt;0")</f>
        <v>0</v>
      </c>
      <c r="QU83" s="6">
        <f>COUNTIFS(Table154[Country],Tabela1[[#This Row],[Country]],Table154[Mass Start Classification],"&gt;0")</f>
        <v>0</v>
      </c>
      <c r="QV83" s="6">
        <f>COUNTIFS(Table154157[Country],Tabela1[[#This Row],[Country]],Table154157[Mass Start Classification],"&gt;0")</f>
        <v>0</v>
      </c>
      <c r="QW83" s="6">
        <f>COUNTIFS(Table157[Country],Tabela1[[#This Row],[Country]],Table157[Men''s Pursuit Classification],"&gt;0")</f>
        <v>0</v>
      </c>
      <c r="QX83" s="6">
        <f>COUNTIFS(Table157[Country],Tabela1[[#This Row],[Country]],Table157[Women''s Pursuit Classification],"&gt;0")</f>
        <v>0</v>
      </c>
      <c r="QY83" s="3" t="s">
        <v>491</v>
      </c>
    </row>
    <row r="84" spans="1:467" x14ac:dyDescent="0.3">
      <c r="A84" s="6">
        <v>83</v>
      </c>
      <c r="B84" s="6" t="s">
        <v>382</v>
      </c>
      <c r="C84" t="e" vm="83">
        <f>IF(ISBLANK(Tabela1[[#This Row],[Image Link]]), "", _xlfn.IMAGE(Tabela1[[#This Row],[Image Link]],1,1))</f>
        <v>#VALUE!</v>
      </c>
      <c r="D84" s="6">
        <f>SUM(Tabela1[[#This Row],[Archery - Men''s Individual Recurve]:[Speed Skating - Women''s Team Pursuit]])</f>
        <v>5</v>
      </c>
      <c r="E84" s="6">
        <f>COUNTIF(Tabela1[[#This Row],[Archery - Men''s Individual Recurve]:[Speed Skating - Women''s Team Pursuit]],"&gt;0")</f>
        <v>5</v>
      </c>
      <c r="F84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84" s="6">
        <f>SUM(Tabela1[[#This Row],[Archery - Men''s Individual Recurve]:[Wrestling - Women''s Freestyle 76kg]])</f>
        <v>5</v>
      </c>
      <c r="H84" s="6">
        <f>SUM(Tabela1[[#This Row],[Alpine Skiing - Men''s Downhill]:[Speed Skating - Women''s Team Pursuit]])</f>
        <v>0</v>
      </c>
      <c r="I84" s="6">
        <f>Tabela1[[#This Row],[Summer Gold Medals]]+Tabela1[[#This Row],[Winter Gold Medals]]</f>
        <v>0</v>
      </c>
      <c r="J84" s="6">
        <f>Tabela1[[#This Row],[Summer Silver Medals]]+Tabela1[[#This Row],[Winter Silver Medals]]</f>
        <v>0</v>
      </c>
      <c r="K84" s="6">
        <f>Tabela1[[#This Row],[Summer Bronze Medals]]+Tabela1[[#This Row],[Winter Bronze Medals]]</f>
        <v>2</v>
      </c>
      <c r="L84" s="6">
        <f>SUM(Tabela1[[#This Row],[Total Gold Medals]:[Total Bronze Medals]])</f>
        <v>2</v>
      </c>
      <c r="M84" s="6"/>
      <c r="N84" s="6"/>
      <c r="O84" s="6">
        <v>2</v>
      </c>
      <c r="P84" s="6">
        <f>SUM(Tabela1[[#This Row],[Summer Gold Medals]:[Summer Bronze Medals]])</f>
        <v>2</v>
      </c>
      <c r="Q84" s="6"/>
      <c r="R84" s="6"/>
      <c r="S84" s="6"/>
      <c r="T84" s="6">
        <f>Tabela1[[#This Row],[Winter Gold Medals]]+Tabela1[[#This Row],[Winter Silver Medals]]+Tabela1[[#This Row],[Winter Bronze Medals]]</f>
        <v>0</v>
      </c>
      <c r="U84" s="7">
        <f>Tabela1[[#This Row],[Total Medals]]/Tabela1[[#This Row],[Total Quotas]]</f>
        <v>0.4</v>
      </c>
      <c r="V84" s="6">
        <f>COUNTIFS(Table3[Country],Tabela1[[#This Row],[Country]],Table3[Recurve Classification],"&gt;0")</f>
        <v>0</v>
      </c>
      <c r="W84" s="6">
        <f>COUNTIFS(Table33[Country],Tabela1[[#This Row],[Country]],Table33[Recurve Classification],"&gt;0")</f>
        <v>0</v>
      </c>
      <c r="X84" s="6">
        <f>COUNTIFS(Table35[Country],Tabela1[[#This Row],[Country]],Table35[Men''s Team Recurve Classification],"&gt;0")</f>
        <v>0</v>
      </c>
      <c r="Y84" s="6">
        <f>COUNTIFS(Table35[Country],Tabela1[[#This Row],[Country]],Table35[Women''s Team Recurve Classification],"&gt;0")</f>
        <v>0</v>
      </c>
      <c r="Z84" s="6">
        <f>COUNTIFS(Tabela88[Country],Tabela1[[#This Row],[Country]],Tabela88[Mixed Team Recurve Classification],"&gt;0")</f>
        <v>0</v>
      </c>
      <c r="AA84" s="6">
        <f>COUNTIFS(Table36[Country],Tabela1[[#This Row],[Country]],Table36[Classification],"&gt;0")</f>
        <v>0</v>
      </c>
      <c r="AB84" s="6">
        <f>COUNTIFS(Table37[Country],Tabela1[[#This Row],[Country]],Table37[Classification],"&gt;0")</f>
        <v>0</v>
      </c>
      <c r="AC84" s="6">
        <f>COUNTIFS(Table4[Country],Tabela1[[#This Row],[Country]],Table4[100m Classification],"&gt;0")</f>
        <v>0</v>
      </c>
      <c r="AD84" s="6">
        <f>COUNTIFS(Table5[Country],Tabela1[[#This Row],[Country]],Table5[100m Classification],"&gt;0")</f>
        <v>0</v>
      </c>
      <c r="AE84" s="6">
        <f>COUNTIFS(Table4[Country],Tabela1[[#This Row],[Country]],Table4[200m Classification],"&gt;0")</f>
        <v>0</v>
      </c>
      <c r="AF84" s="6">
        <f>COUNTIFS(Table5[Country],Tabela1[[#This Row],[Country]],Table5[200m Classification],"&gt;0")</f>
        <v>0</v>
      </c>
      <c r="AG84" s="6">
        <f>COUNTIFS(Table4[Country],Tabela1[[#This Row],[Country]],Table4[400m Classification],"&gt;0")</f>
        <v>0</v>
      </c>
      <c r="AH84" s="6">
        <f>COUNTIFS(Table5[Country],Tabela1[[#This Row],[Country]],Table5[400m Classification],"&gt;0")</f>
        <v>0</v>
      </c>
      <c r="AI84" s="6">
        <f>COUNTIFS(Table4[Country],Tabela1[[#This Row],[Country]],Table4[800m Classification],"&gt;0")</f>
        <v>0</v>
      </c>
      <c r="AJ84" s="6">
        <f>COUNTIFS(Table5[Country],Tabela1[[#This Row],[Country]],Table5[800m Classification],"&gt;0")</f>
        <v>0</v>
      </c>
      <c r="AK84" s="6">
        <f>COUNTIFS(Table4[Country],Tabela1[[#This Row],[Country]],Table4[1500m Classification],"&gt;0")</f>
        <v>0</v>
      </c>
      <c r="AL84" s="6">
        <f>COUNTIFS(Table5[Country],Tabela1[[#This Row],[Country]],Table5[1500m Classification],"&gt;0")</f>
        <v>0</v>
      </c>
      <c r="AM84" s="6">
        <f>COUNTIFS(Table4[Country],Tabela1[[#This Row],[Country]],Table4[5000m Classification],"&gt;0")</f>
        <v>0</v>
      </c>
      <c r="AN84" s="6">
        <f>COUNTIFS(Table5[Country],Tabela1[[#This Row],[Country]],Table5[5000m Classification],"&gt;0")</f>
        <v>0</v>
      </c>
      <c r="AO84" s="6">
        <f>COUNTIFS(Table4[Country],Tabela1[[#This Row],[Country]],Table4[10000m Classification],"&gt;0")</f>
        <v>0</v>
      </c>
      <c r="AP84" s="6">
        <f>COUNTIFS(Table5[Country],Tabela1[[#This Row],[Country]],Table5[10000m Classification],"&gt;0")</f>
        <v>0</v>
      </c>
      <c r="AQ84" s="6">
        <f>COUNTIFS(Table4[Country],Tabela1[[#This Row],[Country]],Table4[110m Hurdles Classification],"&gt;0")</f>
        <v>0</v>
      </c>
      <c r="AR84" s="6">
        <f>COUNTIFS(Table5[Country],Tabela1[[#This Row],[Country]],Table5[100m Hurdles Classification],"&gt;0")</f>
        <v>0</v>
      </c>
      <c r="AS84" s="6">
        <f>COUNTIFS(Table4[Country],Tabela1[[#This Row],[Country]],Table4[400m Hurdles Classification],"&gt;0")</f>
        <v>0</v>
      </c>
      <c r="AT84" s="6">
        <f>COUNTIFS(Table5[Country],Tabela1[[#This Row],[Country]],Table5[400m Hurdles Classification],"&gt;0")</f>
        <v>0</v>
      </c>
      <c r="AU84" s="6">
        <f>COUNTIFS(Table4[Country],Tabela1[[#This Row],[Country]],Table4[3000m Steeplechase Classification],"&gt;0")</f>
        <v>0</v>
      </c>
      <c r="AV84" s="6">
        <f>COUNTIFS(Table5[Country],Tabela1[[#This Row],[Country]],Table5[3000m Steeplechase Classification],"&gt;0")</f>
        <v>0</v>
      </c>
      <c r="AW84" s="6">
        <f>COUNTIFS(Table27[Country],Tabela1[[#This Row],[Country]],Table27[Men''s 4x100m Relay Classification],"&gt;0")</f>
        <v>0</v>
      </c>
      <c r="AX84" s="6">
        <f>COUNTIFS(Table27[Country],Tabela1[[#This Row],[Country]],Table27[Women''s 4x100m Relay Classification],"&gt;0")</f>
        <v>0</v>
      </c>
      <c r="AY84" s="6">
        <f>COUNTIFS(Table27[Country],Tabela1[[#This Row],[Country]],Table27[Men''s 4x400m Relay Classification],"&gt;0")</f>
        <v>0</v>
      </c>
      <c r="AZ84" s="6">
        <f>COUNTIFS(Table27[Country],Tabela1[[#This Row],[Country]],Table27[Women''s 4x400m Relay Classification],"&gt;0")</f>
        <v>0</v>
      </c>
      <c r="BA84" s="6">
        <f>COUNTIFS(Table27[Country],Tabela1[[#This Row],[Country]],Table27[Mixed 4x400m Relay Classification],"&gt;0")</f>
        <v>0</v>
      </c>
      <c r="BB84" s="6">
        <f>COUNTIFS(Table4[Country],Tabela1[[#This Row],[Country]],Table4[Marathon Classification],"&gt;0")</f>
        <v>0</v>
      </c>
      <c r="BC84" s="6">
        <f>COUNTIFS(Table5[Country],Tabela1[[#This Row],[Country]],Table5[Marathon Classification],"&gt;0")</f>
        <v>0</v>
      </c>
      <c r="BD84" s="6">
        <f>COUNTIFS(Table4[Country],Tabela1[[#This Row],[Country]],Table4[20km Race Walk Classification],"&gt;0")</f>
        <v>0</v>
      </c>
      <c r="BE84" s="6">
        <f>COUNTIFS(Table5[Country],Tabela1[[#This Row],[Country]],Table5[20km Race Walk Classification],"&gt;0")</f>
        <v>0</v>
      </c>
      <c r="BF84" s="6">
        <f>COUNTIFS(Tabela96[Country],Tabela1[[#This Row],[Country]],Tabela96[Mixed Marathon Race Walk Relay Classification],"&gt;0")</f>
        <v>0</v>
      </c>
      <c r="BG84" s="6">
        <f>COUNTIFS(Table4[Country],Tabela1[[#This Row],[Country]],Table4[Discus Throw Classification],"&gt;0")</f>
        <v>0</v>
      </c>
      <c r="BH84" s="6">
        <f>COUNTIFS(Table5[Country],Tabela1[[#This Row],[Country]],Table5[Discus Throw Classification],"&gt;0")</f>
        <v>0</v>
      </c>
      <c r="BI84" s="6">
        <f>COUNTIFS(Table4[Country],Tabela1[[#This Row],[Country]],Table4[Hammer Throw Classification],"&gt;0")</f>
        <v>0</v>
      </c>
      <c r="BJ84" s="6">
        <f>COUNTIFS(Table5[Country],Tabela1[[#This Row],[Country]],Table5[Hammer Throw Classification],"&gt;0")</f>
        <v>0</v>
      </c>
      <c r="BK84" s="6">
        <f>COUNTIFS(Table4[Country],Tabela1[[#This Row],[Country]],Table4[High Jump Classification],"&gt;0")</f>
        <v>0</v>
      </c>
      <c r="BL84" s="6">
        <f>COUNTIFS(Table5[Country],Tabela1[[#This Row],[Country]],Table5[High Jump Classification],"&gt;0")</f>
        <v>0</v>
      </c>
      <c r="BM84" s="6">
        <f>COUNTIFS(Table4[Country],Tabela1[[#This Row],[Country]],Table4[Javelin Throw Classification],"&gt;0")</f>
        <v>0</v>
      </c>
      <c r="BN84" s="6">
        <f>COUNTIFS(Table5[Country],Tabela1[[#This Row],[Country]],Table5[Javelin Throw Classification],"&gt;0")</f>
        <v>0</v>
      </c>
      <c r="BO84" s="6">
        <f>COUNTIFS(Table4[Country],Tabela1[[#This Row],[Country]],Table4[Long Jump Classification],"&gt;0")</f>
        <v>0</v>
      </c>
      <c r="BP84" s="6">
        <f>COUNTIFS(Table5[Country],Tabela1[[#This Row],[Country]],Table5[Long Jump Classification],"&gt;0")</f>
        <v>0</v>
      </c>
      <c r="BQ84" s="6">
        <f>COUNTIFS(Table4[Country],Tabela1[[#This Row],[Country]],Table4[Pole Vault Classification],"&gt;0")</f>
        <v>0</v>
      </c>
      <c r="BR84" s="6">
        <f>COUNTIFS(Table5[Country],Tabela1[[#This Row],[Country]],Table5[Pole Vault Classification],"&gt;0")</f>
        <v>0</v>
      </c>
      <c r="BS84" s="6">
        <f>COUNTIFS(Table4[Country],Tabela1[[#This Row],[Country]],Table4[Shot Put Classification],"&gt;0")</f>
        <v>0</v>
      </c>
      <c r="BT84" s="6">
        <f>COUNTIFS(Table5[Country],Tabela1[[#This Row],[Country]],Table5[Shot Put Classification],"&gt;0")</f>
        <v>0</v>
      </c>
      <c r="BU84" s="6">
        <f>COUNTIFS(Table4[Country],Tabela1[[#This Row],[Country]],Table4[Triple Jump Classification],"&gt;0")</f>
        <v>0</v>
      </c>
      <c r="BV84" s="6">
        <f>COUNTIFS(Table5[Country],Tabela1[[#This Row],[Country]],Table5[Triple Jump Classification],"&gt;0")</f>
        <v>0</v>
      </c>
      <c r="BW84" s="6">
        <f>COUNTIFS(Table4[Country],Tabela1[[#This Row],[Country]],Table4[Decathlon Classification],"&gt;0")</f>
        <v>0</v>
      </c>
      <c r="BX84" s="6">
        <f>COUNTIFS(Table5[Country],Tabela1[[#This Row],[Country]],Table5[Heptathlon Classification],"&gt;0")</f>
        <v>0</v>
      </c>
      <c r="BY84" s="6">
        <f>COUNTIFS(Table61[Country],Tabela1[[#This Row],[Country]],Table61[Classification],"&gt;0")</f>
        <v>0</v>
      </c>
      <c r="BZ84" s="6">
        <f>COUNTIFS(Table38[Country],Tabela1[[#This Row],[Country]],Table38[Classification],"&gt;0")</f>
        <v>0</v>
      </c>
      <c r="CA84" s="6">
        <f>COUNTIFS(Table39[Country],Tabela1[[#This Row],[Country]],Table39[Men''s Classification],"&gt;0")</f>
        <v>0</v>
      </c>
      <c r="CB84" s="6">
        <f>COUNTIFS(Table39[Country],Tabela1[[#This Row],[Country]],Table39[Women''s Classification],"&gt;0")</f>
        <v>0</v>
      </c>
      <c r="CC84" s="6">
        <f>COUNTIFS(Table39[Country],Tabela1[[#This Row],[Country]],Table39[Mixed Classification],"&gt;0")</f>
        <v>0</v>
      </c>
      <c r="CD84" s="6">
        <f>COUNTIFS(Table89[Country],Tabela1[[#This Row],[Country]],Table89[Men''s Classification],"&gt;0")</f>
        <v>0</v>
      </c>
      <c r="CE84" s="6">
        <f>COUNTIFS(Table89[Country],Tabela1[[#This Row],[Country]],Table89[Women''s Classification],"&gt;0")</f>
        <v>0</v>
      </c>
      <c r="CF84" s="6">
        <f>COUNTIFS(Table90[Country],Tabela1[[#This Row],[Country]],Table90[Men''s Classification],"&gt;0")</f>
        <v>0</v>
      </c>
      <c r="CG84" s="6">
        <f>COUNTIFS(Table90[Country],Tabela1[[#This Row],[Country]],Table90[Women''s Classification],"&gt;0")</f>
        <v>0</v>
      </c>
      <c r="CH84" s="6">
        <f>COUNTIFS(Table60[Country],Tabela1[[#This Row],[Country]],Table60[Men''s Classification],"&gt;0")</f>
        <v>0</v>
      </c>
      <c r="CI84" s="6">
        <f>COUNTIFS(Table60[Country],Tabela1[[#This Row],[Country]],Table60[Women''s Classification],"&gt;0")</f>
        <v>0</v>
      </c>
      <c r="CJ84" s="6">
        <f>COUNTIFS(Table6[Country],Tabela1[[#This Row],[Country]],Table6[51kg Classification],"&gt;0")</f>
        <v>0</v>
      </c>
      <c r="CK84" s="6">
        <f>COUNTIFS(Table6[Country],Tabela1[[#This Row],[Country]],Table6[57kg Classification],"&gt;0")</f>
        <v>0</v>
      </c>
      <c r="CL84" s="6">
        <f>COUNTIFS(Table6[Country],Tabela1[[#This Row],[Country]],Table6[63.5kg Classification],"&gt;0")</f>
        <v>0</v>
      </c>
      <c r="CM84" s="6">
        <f>COUNTIFS(Table6[Country],Tabela1[[#This Row],[Country]],Table6[71kg Classification],"&gt;0")</f>
        <v>0</v>
      </c>
      <c r="CN84" s="6">
        <f>COUNTIFS(Table6[Country],Tabela1[[#This Row],[Country]],Table6[80kg Classification],"&gt;0")</f>
        <v>0</v>
      </c>
      <c r="CO84" s="6">
        <f>COUNTIFS(Table6[Country],Tabela1[[#This Row],[Country]],Table6[92kg Classification],"&gt;0")</f>
        <v>0</v>
      </c>
      <c r="CP84" s="6">
        <f>COUNTIFS(Table6[Country],Tabela1[[#This Row],[Country]],Table6[Plus 92kg Classification],"&gt;0")</f>
        <v>0</v>
      </c>
      <c r="CQ84" s="6">
        <f>COUNTIFS(Table7[Country],Tabela1[[#This Row],[Country]],Table7[50kg Classification],"&gt;0")</f>
        <v>0</v>
      </c>
      <c r="CR84" s="6">
        <f>COUNTIFS(Table7[Country],Tabela1[[#This Row],[Country]],Table7[54kg Classification],"&gt;0")</f>
        <v>0</v>
      </c>
      <c r="CS84" s="6">
        <f>COUNTIFS(Table7[Country],Tabela1[[#This Row],[Country]],Table7[57kg Classification],"&gt;0")</f>
        <v>0</v>
      </c>
      <c r="CT84" s="6">
        <f>COUNTIFS(Table7[Country],Tabela1[[#This Row],[Country]],Table7[60kg Classification],"&gt;0")</f>
        <v>0</v>
      </c>
      <c r="CU84" s="6">
        <f>COUNTIFS(Table7[Country],Tabela1[[#This Row],[Country]],Table7[66kg Classification],"&gt;0")</f>
        <v>0</v>
      </c>
      <c r="CV84" s="6">
        <f>COUNTIFS(Table7[Country],Tabela1[[#This Row],[Country]],Table7[75kg Classification],"&gt;0")</f>
        <v>0</v>
      </c>
      <c r="CW84" s="6">
        <f>COUNTIFS(Tabela94[Country],Tabela1[[#This Row],[Country]],Tabela94[Classification],"&gt;0")</f>
        <v>0</v>
      </c>
      <c r="CX84" s="6">
        <f>COUNTIFS(Tabela9499[Country],Tabela1[[#This Row],[Country]],Tabela9499[Classification],"&gt;0")</f>
        <v>0</v>
      </c>
      <c r="CY84" s="6">
        <f>COUNTIFS(Tabela107[Country],Tabela1[[#This Row],[Country]],Tabela107[C1 Slalom Classification],"&gt;0")</f>
        <v>0</v>
      </c>
      <c r="CZ84" s="6">
        <f>COUNTIFS(Tabela107122[Country],Tabela1[[#This Row],[Country]],Tabela107122[C1 Slalom Classification],"&gt;0")</f>
        <v>0</v>
      </c>
      <c r="DA84" s="6">
        <f>COUNTIFS(Tabela107[Country],Tabela1[[#This Row],[Country]],Tabela107[K1 Slalom Classification],"&gt;0")</f>
        <v>0</v>
      </c>
      <c r="DB84" s="6">
        <f>COUNTIFS(Tabela107122[Country],Tabela1[[#This Row],[Country]],Tabela107122[K1 Slalom Classification],"&gt;0")</f>
        <v>0</v>
      </c>
      <c r="DC84" s="6">
        <f>COUNTIFS(Tabela107[Country],Tabela1[[#This Row],[Country]],Tabela107[Kayak Cross Slalom Classification],"&gt;0")</f>
        <v>0</v>
      </c>
      <c r="DD84" s="6">
        <f>COUNTIFS(Tabela107122[Country],Tabela1[[#This Row],[Country]],Tabela107122[Kayak Cross Slalom Classification],"&gt;0")</f>
        <v>0</v>
      </c>
      <c r="DE84" s="6">
        <f>COUNTIFS(Table8[Country],Tabela1[[#This Row],[Country]],Table8[C1 200m Classification],"&gt;0")</f>
        <v>0</v>
      </c>
      <c r="DF84" s="6">
        <f>COUNTIFS(Table40[Country],Tabela1[[#This Row],[Country]],Table40[C1 1000m Classification],"&gt;0")</f>
        <v>0</v>
      </c>
      <c r="DG84" s="6">
        <f>COUNTIFS(Table68[Country],Tabela1[[#This Row],[Country]],Table68[Men''s C2 500m Classification],"&gt;0")</f>
        <v>0</v>
      </c>
      <c r="DH84" s="6">
        <f>COUNTIFS(Table68[Country],Tabela1[[#This Row],[Country]],Table68[Women''s C2 500m Classification],"&gt;0")</f>
        <v>0</v>
      </c>
      <c r="DI84" s="6">
        <f>COUNTIFS(Table8[Country],Tabela1[[#This Row],[Country]],Table8[K1 500m Classification],"&gt;0")</f>
        <v>0</v>
      </c>
      <c r="DJ84" s="6">
        <f>COUNTIFS(Table40[Country],Tabela1[[#This Row],[Country]],Table40[K1 1000m Classification],"&gt;0")</f>
        <v>0</v>
      </c>
      <c r="DK84" s="6">
        <f>COUNTIFS(Table68[Country],Tabela1[[#This Row],[Country]],Table68[Men''s K2 500m Classification],"&gt;0")</f>
        <v>0</v>
      </c>
      <c r="DL84" s="6">
        <f>COUNTIFS(Table68[Country],Tabela1[[#This Row],[Country]],Table68[Women''s K2 500m Classification],"&gt;0")</f>
        <v>0</v>
      </c>
      <c r="DM84" s="6">
        <f>COUNTIFS(Table83[Country],Tabela1[[#This Row],[Country]],Table83[Men''s K4 500m Classification],"&gt;0")</f>
        <v>0</v>
      </c>
      <c r="DN84" s="6">
        <f>COUNTIFS(Table83[Country],Tabela1[[#This Row],[Country]],Table83[Women''s K4 500m Classification],"&gt;0")</f>
        <v>0</v>
      </c>
      <c r="DO84" s="6">
        <f>COUNTIFS(Tabela126[Country],Tabela1[[#This Row],[Country]],Tabela126[Classification],"&gt;0")</f>
        <v>0</v>
      </c>
      <c r="DP84" s="6">
        <f>COUNTIFS(Tabela126130[Country],Tabela1[[#This Row],[Country]],Tabela126130[Classification],"&gt;0")</f>
        <v>0</v>
      </c>
      <c r="DQ84" s="6">
        <f>COUNTIFS(Table70[Country],Tabela1[[#This Row],[Country]],Table70[Classification],"&gt;0")</f>
        <v>0</v>
      </c>
      <c r="DR84" s="6">
        <f>COUNTIFS(Table80[Country],Tabela1[[#This Row],[Country]],Table80[Classification],"&gt;0")</f>
        <v>0</v>
      </c>
      <c r="DS84" s="6">
        <f>COUNTIFS(Table66[Country],Tabela1[[#This Row],[Country]],Table66[Classification],"&gt;0")</f>
        <v>0</v>
      </c>
      <c r="DT84" s="6">
        <f>COUNTIFS(Table67[Country],Tabela1[[#This Row],[Country]],Table67[Classification],"&gt;0")</f>
        <v>0</v>
      </c>
      <c r="DU84" s="6">
        <f>COUNTIFS(Table69[Country],Tabela1[[#This Row],[Country]],Table69[Keirin Classification],"&gt;0")</f>
        <v>1</v>
      </c>
      <c r="DV84" s="6">
        <f>COUNTIFS(Table41[Country],Tabela1[[#This Row],[Country]],Table41[Keirin Classification],"&gt;0")</f>
        <v>1</v>
      </c>
      <c r="DW84" s="6">
        <f>COUNTIFS(Table84[Country],Tabela1[[#This Row],[Country]],Table84[Men''s Madison Classification],"&gt;0")</f>
        <v>0</v>
      </c>
      <c r="DX84" s="6">
        <f>COUNTIFS(Table84[Country],Tabela1[[#This Row],[Country]],Table84[Women''s Madison Classification],"&gt;0")</f>
        <v>0</v>
      </c>
      <c r="DY84" s="6">
        <f>COUNTIFS(Table69[Country],Tabela1[[#This Row],[Country]],Table69[Omnium Classification],"&gt;0")</f>
        <v>0</v>
      </c>
      <c r="DZ84" s="6">
        <f>COUNTIFS(Table41[Country],Tabela1[[#This Row],[Country]],Table41[Omnium Classification],"&gt;0")</f>
        <v>0</v>
      </c>
      <c r="EA84" s="6">
        <f>COUNTIFS(Table9[Country],Tabela1[[#This Row],[Country]],Table9[Road Race Classification],"&gt;0")</f>
        <v>0</v>
      </c>
      <c r="EB84" s="6">
        <f>COUNTIFS(Table14[Country],Tabela1[[#This Row],[Country]],Table14[Road Race Classification],"&gt;0")</f>
        <v>0</v>
      </c>
      <c r="EC84" s="6">
        <f>COUNTIFS(Table69[Country],Tabela1[[#This Row],[Country]],Table69[Sprint Classification],"&gt;0")</f>
        <v>1</v>
      </c>
      <c r="ED84" s="6">
        <f>COUNTIFS(Table41[Country],Tabela1[[#This Row],[Country]],Table41[Sprint Classification],"&gt;0")</f>
        <v>1</v>
      </c>
      <c r="EE84" s="6">
        <f>COUNTIFS(Table85[Country],Tabela1[[#This Row],[Country]],Table85[Men''s Sprint Classification],"&gt;0")</f>
        <v>0</v>
      </c>
      <c r="EF84" s="6">
        <f>COUNTIFS(Table85[Country],Tabela1[[#This Row],[Country]],Table85[Women''s Sprint Classification],"&gt;0")</f>
        <v>0</v>
      </c>
      <c r="EG84" s="6">
        <f>COUNTIFS(Table85[Country],Tabela1[[#This Row],[Country]],Table85[Men''s Pursuit Classification],"&gt;0")</f>
        <v>0</v>
      </c>
      <c r="EH84" s="6">
        <f>COUNTIFS(Table85[Country],Tabela1[[#This Row],[Country]],Table85[Women''s Pursuit Classification],"&gt;0")</f>
        <v>0</v>
      </c>
      <c r="EI84" s="6">
        <f>COUNTIFS(Table9[Country],Tabela1[[#This Row],[Country]],Table9[Time-Trial Classification],"&gt;0")</f>
        <v>0</v>
      </c>
      <c r="EJ84" s="6">
        <f>COUNTIFS(Table14[Country],Tabela1[[#This Row],[Country]],Table14[Time-Trial Classification],"&gt;0")</f>
        <v>0</v>
      </c>
      <c r="EK84" s="6">
        <f>COUNTIFS(Table42[Country],Tabela1[[#This Row],[Country]],Table42[Springboard Classification],"&gt;0")</f>
        <v>0</v>
      </c>
      <c r="EL84" s="6">
        <f>COUNTIFS(Table43[Country],Tabela1[[#This Row],[Country]],Table43[Springboard Classification],"&gt;0")</f>
        <v>0</v>
      </c>
      <c r="EM84" s="6">
        <f>COUNTIFS(Table42[Country],Tabela1[[#This Row],[Country]],Table42[Platform Classification],"&gt;0")</f>
        <v>0</v>
      </c>
      <c r="EN84" s="6">
        <f>COUNTIFS(Table43[Country],Tabela1[[#This Row],[Country]],Table43[Platform Classification],"&gt;0")</f>
        <v>0</v>
      </c>
      <c r="EO84" s="6">
        <f>COUNTIFS(Table86[Country],Tabela1[[#This Row],[Country]],Table86[Men''s Synchronized Springboard Classification],"&gt;0")</f>
        <v>0</v>
      </c>
      <c r="EP84" s="6">
        <f>COUNTIFS(Table86[Country],Tabela1[[#This Row],[Country]],Table86[Women''s Synchronized Springboard Classification],"&gt;0")</f>
        <v>0</v>
      </c>
      <c r="EQ84" s="6">
        <f>COUNTIFS(Table86[Country],Tabela1[[#This Row],[Country]],Table86[Men''s Synchronized Platform Classification],"&gt;0")</f>
        <v>0</v>
      </c>
      <c r="ER84" s="6">
        <f>COUNTIFS(Table86[Country],Tabela1[[#This Row],[Country]],Table86[Women''s Synchronized Platform Classification],"&gt;0")</f>
        <v>0</v>
      </c>
      <c r="ES84" s="6">
        <f>COUNTIFS(Table44[Country],Tabela1[[#This Row],[Country]],Table44[Dressage Classification],"&gt;0")</f>
        <v>0</v>
      </c>
      <c r="ET84" s="6">
        <f>COUNTIFS(Table45[Country],Tabela1[[#This Row],[Country]],Table45[Dressage Classification],"&gt;0")</f>
        <v>0</v>
      </c>
      <c r="EU84" s="6">
        <f>COUNTIFS(Table44[Country],Tabela1[[#This Row],[Country]],Table44[Eventing Classification],"&gt;0")</f>
        <v>0</v>
      </c>
      <c r="EV84" s="6">
        <f>COUNTIFS(Table45[Country],Tabela1[[#This Row],[Country]],Table45[Eventing Classification],"&gt;0")</f>
        <v>0</v>
      </c>
      <c r="EW84" s="6">
        <f>COUNTIFS(Table44[Country],Tabela1[[#This Row],[Country]],Table44[Jumping Classification],"&gt;0")</f>
        <v>0</v>
      </c>
      <c r="EX84" s="6">
        <f>COUNTIFS(Table45[Country],Tabela1[[#This Row],[Country]],Table45[Jumping Classification],"&gt;0")</f>
        <v>0</v>
      </c>
      <c r="EY84" s="6">
        <f>COUNTIFS(Table10[Country],Tabela1[[#This Row],[Country]],Table10[Épée Classification],"&gt;0")</f>
        <v>0</v>
      </c>
      <c r="EZ84" s="6">
        <f>COUNTIFS(Table11[Country],Tabela1[[#This Row],[Country]],Table11[Épée Classification],"&gt;0")</f>
        <v>0</v>
      </c>
      <c r="FA84" s="6">
        <f>COUNTIFS(Table46[Country],Tabela1[[#This Row],[Country]],Table46[Men''s Épée Classification],"&gt;0")</f>
        <v>0</v>
      </c>
      <c r="FB84" s="6">
        <f>COUNTIFS(Table46[Country],Tabela1[[#This Row],[Country]],Table46[Women''s Épée Classification],"&gt;0")</f>
        <v>0</v>
      </c>
      <c r="FC84" s="6">
        <f>COUNTIFS(Table10[Country],Tabela1[[#This Row],[Country]],Table10[Foil Classification],"&gt;0")</f>
        <v>0</v>
      </c>
      <c r="FD84" s="6">
        <f>COUNTIFS(Table11[Country],Tabela1[[#This Row],[Country]],Table11[Foil Classification],"&gt;0")</f>
        <v>0</v>
      </c>
      <c r="FE84" s="6">
        <f>COUNTIFS(Table46[Country],Tabela1[[#This Row],[Country]],Table46[Men''s Foil Classification],"&gt;0")</f>
        <v>0</v>
      </c>
      <c r="FF84" s="6">
        <f>COUNTIFS(Table46[Country],Tabela1[[#This Row],[Country]],Table46[Women''s Foil Classification],"&gt;0")</f>
        <v>0</v>
      </c>
      <c r="FG84" s="6">
        <f>COUNTIFS(Table10[Country],Tabela1[[#This Row],[Country]],Table10[Sabre Classification],"&gt;0")</f>
        <v>0</v>
      </c>
      <c r="FH84" s="6">
        <f>COUNTIFS(Table11[Country],Tabela1[[#This Row],[Country]],Table11[Sabre Classification],"&gt;0")</f>
        <v>0</v>
      </c>
      <c r="FI84" s="6">
        <f>COUNTIFS(Table46[Country],Tabela1[[#This Row],[Country]],Table46[Men''s Sabre Classification],"&gt;0")</f>
        <v>0</v>
      </c>
      <c r="FJ84" s="6">
        <f>COUNTIFS(Table46[Country],Tabela1[[#This Row],[Country]],Table46[Women''s Sabre Classification],"&gt;0")</f>
        <v>0</v>
      </c>
      <c r="FK84" s="6">
        <f>COUNTIFS(Table91[Country],Tabela1[[#This Row],[Country]],Table91[Men''s Classification],"&gt;0")</f>
        <v>0</v>
      </c>
      <c r="FL84" s="6">
        <f>COUNTIFS(Table91[Country],Tabela1[[#This Row],[Country]],Table91[Women''s Classification],"&gt;0")</f>
        <v>0</v>
      </c>
      <c r="FM84" s="6">
        <f>COUNTIFS(Table9194[Country],Tabela1[[#This Row],[Country]],Table9194[Men''s Classification],"&gt;0")</f>
        <v>0</v>
      </c>
      <c r="FN84" s="6">
        <f>COUNTIFS(Table9194[Country],Tabela1[[#This Row],[Country]],Table9194[Women''s Classification],"&gt;0")</f>
        <v>0</v>
      </c>
      <c r="FO84" s="6">
        <f>COUNTIFS(Table71[Country],Tabela1[[#This Row],[Country]],Table71[Classification],"&gt;0")</f>
        <v>0</v>
      </c>
      <c r="FP84" s="6">
        <f>COUNTIFS(Table62[Country],Tabela1[[#This Row],[Country]],Table62[Classification],"&gt;0")</f>
        <v>0</v>
      </c>
      <c r="FQ84" s="6">
        <f>COUNTIFS(Table47[Country],Tabela1[[#This Row],[Country]],Table47[All-Around Classification],"&gt;0")</f>
        <v>0</v>
      </c>
      <c r="FR84" s="6">
        <f>COUNTIFS(Table48[Country],Tabela1[[#This Row],[Country]],Table48[All-Around Classification],"&gt;0")</f>
        <v>0</v>
      </c>
      <c r="FS84" s="6">
        <f>COUNTIFS(Table81[Country],Tabela1[[#This Row],[Country]],Table81[Men''s All-Around Classification],"&gt;0")</f>
        <v>0</v>
      </c>
      <c r="FT84" s="6">
        <f>COUNTIFS(Table81[Country],Tabela1[[#This Row],[Country]],Table81[Women''s All-Around Classification],"&gt;0")</f>
        <v>0</v>
      </c>
      <c r="FU84" s="6">
        <f>COUNTIFS(Table48[Country],Tabela1[[#This Row],[Country]],Table48[Balance Beam Classification],"&gt;0")</f>
        <v>0</v>
      </c>
      <c r="FV84" s="6">
        <f>COUNTIFS(Table47[Country],Tabela1[[#This Row],[Country]],Table47[Floor Exercise Classification],"&gt;0")</f>
        <v>0</v>
      </c>
      <c r="FW84" s="6">
        <f>COUNTIFS(Table48[Country],Tabela1[[#This Row],[Country]],Table48[Floor Exercise Classification],"&gt;0")</f>
        <v>0</v>
      </c>
      <c r="FX84" s="6">
        <f>COUNTIFS(Table47[Country],Tabela1[[#This Row],[Country]],Table47[Horizontal Bar Classification],"&gt;0")</f>
        <v>0</v>
      </c>
      <c r="FY84" s="6">
        <f>COUNTIFS(Table47[Country],Tabela1[[#This Row],[Country]],Table47[Parallel Bars Classification],"&gt;0")</f>
        <v>0</v>
      </c>
      <c r="FZ84" s="6">
        <f>COUNTIFS(Table47[Country],Tabela1[[#This Row],[Country]],Table47[Pommel Horse Classification],"&gt;0")</f>
        <v>0</v>
      </c>
      <c r="GA84" s="6">
        <f>COUNTIFS(Table47[Country],Tabela1[[#This Row],[Country]],Table47[Rings Classification],"&gt;0")</f>
        <v>0</v>
      </c>
      <c r="GB84" s="6">
        <f>COUNTIFS(Tabela132[Country],Tabela1[[#This Row],[Country]],Tabela132[Classification],"&gt;0")</f>
        <v>0</v>
      </c>
      <c r="GC84" s="6">
        <f>COUNTIFS(Tabela139[Country],Tabela1[[#This Row],[Country]],Tabela139[Classification],"&gt;0")</f>
        <v>0</v>
      </c>
      <c r="GD84" s="6">
        <f>COUNTIFS(Table48[Country],Tabela1[[#This Row],[Country]],Table48[Uneven Bars Classification],"&gt;0")</f>
        <v>0</v>
      </c>
      <c r="GE84" s="6">
        <f>COUNTIFS(Table47[Country],Tabela1[[#This Row],[Country]],Table47[Vault Classification],"&gt;0")</f>
        <v>0</v>
      </c>
      <c r="GF84" s="6">
        <f>COUNTIFS(Table48[Country],Tabela1[[#This Row],[Country]],Table48[Vault Classification],"&gt;0")</f>
        <v>0</v>
      </c>
      <c r="GG84" s="6">
        <f>COUNTIFS(Table919496[Country],Tabela1[[#This Row],[Country]],Table919496[Men''s Classification],"&gt;0")</f>
        <v>0</v>
      </c>
      <c r="GH84" s="6">
        <f>COUNTIFS(Table919496[Country],Tabela1[[#This Row],[Country]],Table919496[Women''s Classification],"&gt;0")</f>
        <v>0</v>
      </c>
      <c r="GI84" s="6">
        <f>COUNTIFS(Table12[Country],Tabela1[[#This Row],[Country]],Table12[60kg Classification],"&gt;0")</f>
        <v>0</v>
      </c>
      <c r="GJ84" s="6">
        <f>COUNTIFS(Table12[Country],Tabela1[[#This Row],[Country]],Table12[66kg Classification],"&gt;0")</f>
        <v>0</v>
      </c>
      <c r="GK84" s="6">
        <f>COUNTIFS(Table12[Country],Tabela1[[#This Row],[Country]],Table12[73kg Classification],"&gt;0")</f>
        <v>0</v>
      </c>
      <c r="GL84" s="6">
        <f>COUNTIFS(Table12[Country],Tabela1[[#This Row],[Country]],Table12[81kg Classification],"&gt;0")</f>
        <v>0</v>
      </c>
      <c r="GM84" s="6">
        <f>COUNTIFS(Table12[Country],Tabela1[[#This Row],[Country]],Table12[90kg Classification],"&gt;0")</f>
        <v>0</v>
      </c>
      <c r="GN84" s="6">
        <f>COUNTIFS(Table12[Country],Tabela1[[#This Row],[Country]],Table12[100kg Classification],"&gt;0")</f>
        <v>0</v>
      </c>
      <c r="GO84" s="6">
        <f>COUNTIFS(Table12[Country],Tabela1[[#This Row],[Country]],Table12[Plus 100kg Classification],"&gt;0")</f>
        <v>0</v>
      </c>
      <c r="GP84" s="6">
        <f>COUNTIFS(Table13[Country],Tabela1[[#This Row],[Country]],Table13[48kg Classification],"&gt;0")</f>
        <v>0</v>
      </c>
      <c r="GQ84" s="6">
        <f>COUNTIFS(Table13[Country],Tabela1[[#This Row],[Country]],Table13[52kg Classification],"&gt;0")</f>
        <v>0</v>
      </c>
      <c r="GR84" s="6">
        <f>COUNTIFS(Table13[Country],Tabela1[[#This Row],[Country]],Table13[57kg Classification],"&gt;0")</f>
        <v>0</v>
      </c>
      <c r="GS84" s="6">
        <f>COUNTIFS(Table13[Country],Tabela1[[#This Row],[Country]],Table13[63kg Classification],"&gt;0")</f>
        <v>0</v>
      </c>
      <c r="GT84" s="6">
        <f>COUNTIFS(Table13[Country],Tabela1[[#This Row],[Country]],Table13[70kg Classification],"&gt;0")</f>
        <v>0</v>
      </c>
      <c r="GU84" s="6">
        <f>COUNTIFS(Table13[Country],Tabela1[[#This Row],[Country]],Table13[78kg Classification],"&gt;0")</f>
        <v>0</v>
      </c>
      <c r="GV84" s="6">
        <f>COUNTIFS(Table13[Country],Tabela1[[#This Row],[Country]],Table13[Plus 78kg Classification],"&gt;0")</f>
        <v>0</v>
      </c>
      <c r="GW84" s="6">
        <f>COUNTIFS(Table82[Country],Tabela1[[#This Row],[Country]],Table82[Mixed Classification],"&gt;0")</f>
        <v>0</v>
      </c>
      <c r="GX84" s="6">
        <f>COUNTIFS(Table51[Country],Tabela1[[#This Row],[Country]],Table51[Classification],"&gt;0")</f>
        <v>0</v>
      </c>
      <c r="GY84" s="6">
        <f>COUNTIFS(Table52[Country],Tabela1[[#This Row],[Country]],Table52[Classification],"&gt;0")</f>
        <v>0</v>
      </c>
      <c r="GZ84" s="6">
        <f>COUNTIFS(Table32[Country],Tabela1[[#This Row],[Country]],Table32[All-Around Classification],"&gt;0")</f>
        <v>0</v>
      </c>
      <c r="HA84" s="6">
        <f>COUNTIFS(Table49[Country],Tabela1[[#This Row],[Country]],Table49[All-Around Classification],"&gt;0")</f>
        <v>0</v>
      </c>
      <c r="HB84" s="6">
        <f>COUNTIFS(Table26[Country],Tabela1[[#This Row],[Country]],Table26[Single Sculls Classification],"&gt;0")</f>
        <v>0</v>
      </c>
      <c r="HC84" s="6">
        <f>COUNTIFS(Table63[Country],Tabela1[[#This Row],[Country]],Table63[Single Sculls Classification],"&gt;0")</f>
        <v>0</v>
      </c>
      <c r="HD84" s="6">
        <f>COUNTIFS(Table16[Country],Tabela1[[#This Row],[Country]],Table16[Men''s Double Sculls Classification],"&gt;0")</f>
        <v>0</v>
      </c>
      <c r="HE84" s="6">
        <f>COUNTIFS(Table16[Country],Tabela1[[#This Row],[Country]],Table16[Women''s Double Sculls Classification],"&gt;0")</f>
        <v>0</v>
      </c>
      <c r="HF84" s="6">
        <f>COUNTIFS(Table72[Country],Tabela1[[#This Row],[Country]],Table72[Men''s Quadruple Sculls Classification],"&gt;0")</f>
        <v>0</v>
      </c>
      <c r="HG84" s="6">
        <f>COUNTIFS(Table72[Country],Tabela1[[#This Row],[Country]],Table72[Women''s Quadruple Sculls Classification],"&gt;0")</f>
        <v>0</v>
      </c>
      <c r="HH84" s="6">
        <f>COUNTIFS(Table16[Country],Tabela1[[#This Row],[Country]],Table16[Men''s Coxless Pairs Classification],"&gt;0")</f>
        <v>0</v>
      </c>
      <c r="HI84" s="6">
        <f>COUNTIFS(Table16[Country],Tabela1[[#This Row],[Country]],Table16[Women''s Coxless Pairs Classification],"&gt;0")</f>
        <v>0</v>
      </c>
      <c r="HJ84" s="6">
        <f>COUNTIFS(Table72[Country],Tabela1[[#This Row],[Country]],Table72[Men''s Coxless Fours Classification],"&gt;0")</f>
        <v>0</v>
      </c>
      <c r="HK84" s="6">
        <f>COUNTIFS(Table72[Country],Tabela1[[#This Row],[Country]],Table72[Women''s Coxless Fours Classification],"&gt;0")</f>
        <v>0</v>
      </c>
      <c r="HL84" s="6">
        <f>COUNTIFS(Table72[Country],Tabela1[[#This Row],[Country]],Table72[Men''s Eights Classification],"&gt;0")</f>
        <v>0</v>
      </c>
      <c r="HM84" s="6">
        <f>COUNTIFS(Table72[Country],Tabela1[[#This Row],[Country]],Table72[Women''s Eights Classification],"&gt;0")</f>
        <v>0</v>
      </c>
      <c r="HN84" s="6">
        <f>COUNTIFS(Table16[Country],Tabela1[[#This Row],[Country]],Table16[Men''s Lwt. Double Sculls Classification],"&gt;0")</f>
        <v>0</v>
      </c>
      <c r="HO84" s="6">
        <f>COUNTIFS(Table16[Country],Tabela1[[#This Row],[Country]],Table16[Women''s Lwt. Double Sculls Classification],"&gt;0")</f>
        <v>0</v>
      </c>
      <c r="HP84" s="6">
        <f>COUNTIFS(Table91949698[Country],Tabela1[[#This Row],[Country]],Table91949698[Men''s Classification],"&gt;0")</f>
        <v>0</v>
      </c>
      <c r="HQ84" s="6">
        <f>COUNTIFS(Table91949698[Country],Tabela1[[#This Row],[Country]],Table91949698[Women''s Classification],"&gt;0")</f>
        <v>0</v>
      </c>
      <c r="HR84" s="6">
        <f>COUNTIFS(Table25[Country],Tabela1[[#This Row],[Country]],Table25[Mixed 470 Classification],"&gt;0")</f>
        <v>0</v>
      </c>
      <c r="HS84" s="6">
        <f>COUNTIFS(Table25[Country],Tabela1[[#This Row],[Country]],Table25[Men''s 49er Classification],"&gt;0")</f>
        <v>0</v>
      </c>
      <c r="HT84" s="6">
        <f>COUNTIFS(Table25[Country],Tabela1[[#This Row],[Country]],Table25[Women''s 49er FX Classification],"&gt;0")</f>
        <v>0</v>
      </c>
      <c r="HU84" s="6">
        <f>COUNTIFS(Table17[Country],Tabela1[[#This Row],[Country]],Table17[Formula Kite Classification],"&gt;0")</f>
        <v>0</v>
      </c>
      <c r="HV84" s="6">
        <f>COUNTIFS(Table18[Country],Tabela1[[#This Row],[Country]],Table18[Formula Kite Classification],"&gt;0")</f>
        <v>0</v>
      </c>
      <c r="HW84" s="6">
        <f>COUNTIFS(Table17[Country],Tabela1[[#This Row],[Country]],Table17[ILCA 7 Classification],"&gt;0")</f>
        <v>1</v>
      </c>
      <c r="HX84" s="6">
        <f>COUNTIFS(Table18[Country],Tabela1[[#This Row],[Country]],Table18[ILCA 6 Classification],"&gt;0")</f>
        <v>0</v>
      </c>
      <c r="HY84" s="6">
        <f>COUNTIFS(Table17[Country],Tabela1[[#This Row],[Country]],Table17[IQFoil Classification],"&gt;0")</f>
        <v>0</v>
      </c>
      <c r="HZ84" s="6">
        <f>COUNTIFS(Table18[Country],Tabela1[[#This Row],[Country]],Table18[IQFoil Classification],"&gt;0")</f>
        <v>0</v>
      </c>
      <c r="IA84" s="6">
        <f>COUNTIFS(Table25[Country],Tabela1[[#This Row],[Country]],Table25[Mixed Nacra 17 Classification],"&gt;0")</f>
        <v>0</v>
      </c>
      <c r="IB84" s="6">
        <f>COUNTIFS(Table53[Country],Tabela1[[#This Row],[Country]],Table53[10m Air Pistol Classification],"&gt;0")</f>
        <v>0</v>
      </c>
      <c r="IC84" s="6">
        <f>COUNTIFS(Table19[Country],Tabela1[[#This Row],[Country]],Table19[10m Air Pistol Classification],"&gt;0")</f>
        <v>0</v>
      </c>
      <c r="ID84" s="6">
        <f>COUNTIFS(Table54[Country],Tabela1[[#This Row],[Country]],Table54[Mixed 10m Air Pistol Team Classification],"&gt;0")</f>
        <v>0</v>
      </c>
      <c r="IE84" s="6">
        <f>COUNTIFS(Table53[Country],Tabela1[[#This Row],[Country]],Table53[10m Air Rifle Classification],"&gt;0")</f>
        <v>0</v>
      </c>
      <c r="IF84" s="6">
        <f>COUNTIFS(Table19[Country],Tabela1[[#This Row],[Country]],Table19[10m Air Rifle Classification],"&gt;0")</f>
        <v>0</v>
      </c>
      <c r="IG84" s="6">
        <f>COUNTIFS(Table54[Country],Tabela1[[#This Row],[Country]],Table54[Mixed 10m Air Rifle Team Classification],"&gt;0")</f>
        <v>0</v>
      </c>
      <c r="IH84" s="6">
        <f>COUNTIFS(Table53[Country],Tabela1[[#This Row],[Country]],Table53[25m Rapid Fire Pistol Classification],"&gt;0")</f>
        <v>0</v>
      </c>
      <c r="II84" s="6">
        <f>COUNTIFS(Table19[Country],Tabela1[[#This Row],[Country]],Table19[25m Pistol Classification],"&gt;0")</f>
        <v>0</v>
      </c>
      <c r="IJ84" s="6">
        <f>COUNTIFS(Table53[Country],Tabela1[[#This Row],[Country]],Table53[50m Rifle 3 Positions Classification],"&gt;0")</f>
        <v>0</v>
      </c>
      <c r="IK84" s="6">
        <f>COUNTIFS(Table19[Country],Tabela1[[#This Row],[Country]],Table19[50m Rifle 3 Positions Classification],"&gt;0")</f>
        <v>0</v>
      </c>
      <c r="IL84" s="6">
        <f>COUNTIFS(Table53[Country],Tabela1[[#This Row],[Country]],Table53[Skeet Classification],"&gt;0")</f>
        <v>0</v>
      </c>
      <c r="IM84" s="6">
        <f>COUNTIFS(Table19[Country],Tabela1[[#This Row],[Country]],Table19[Skeet Classification],"&gt;0")</f>
        <v>0</v>
      </c>
      <c r="IN84" s="6">
        <f>COUNTIFS(Table54[Country],Tabela1[[#This Row],[Country]],Table54[Mixed Skeet Team Classification],"&gt;0")</f>
        <v>0</v>
      </c>
      <c r="IO84" s="6">
        <f>COUNTIFS(Table53[Country],Tabela1[[#This Row],[Country]],Table53[Trap Classification],"&gt;0")</f>
        <v>0</v>
      </c>
      <c r="IP84" s="6">
        <f>COUNTIFS(Table19[Country],Tabela1[[#This Row],[Country]],Table19[Trap Classification],"&gt;0")</f>
        <v>0</v>
      </c>
      <c r="IQ84" s="6">
        <f>COUNTIFS(Table73[Country],Tabela1[[#This Row],[Country]],Table73[Park Classification],"&gt;0")</f>
        <v>0</v>
      </c>
      <c r="IR84" s="6">
        <f>COUNTIFS(Table74[Country],Tabela1[[#This Row],[Country]],Table74[Park Classification],"&gt;0")</f>
        <v>0</v>
      </c>
      <c r="IS84" s="6">
        <f>COUNTIFS(Table73[Country],Tabela1[[#This Row],[Country]],Table73[Street Classification],"&gt;0")</f>
        <v>0</v>
      </c>
      <c r="IT84" s="6">
        <f>COUNTIFS(Table74[Country],Tabela1[[#This Row],[Country]],Table74[Street Classification],"&gt;0")</f>
        <v>0</v>
      </c>
      <c r="IU84" s="6">
        <f>COUNTIFS(Table75[Country],Tabela1[[#This Row],[Country]],Table75[Boulder and Lead Classification],"&gt;0")</f>
        <v>0</v>
      </c>
      <c r="IV84" s="6">
        <f>COUNTIFS(Table76[Country],Tabela1[[#This Row],[Country]],Table76[Boulder and Lead Classification],"&gt;0")</f>
        <v>0</v>
      </c>
      <c r="IW84" s="6">
        <f>COUNTIFS(Table75[Country],Tabela1[[#This Row],[Country]],Table75[Speed Classification],"&gt;0")</f>
        <v>0</v>
      </c>
      <c r="IX84" s="6">
        <f>COUNTIFS(Table76[Country],Tabela1[[#This Row],[Country]],Table76[Speed Classification],"&gt;0")</f>
        <v>0</v>
      </c>
      <c r="IY84" s="6">
        <f>COUNTIFS(Table64[Country],Tabela1[[#This Row],[Country]],Table64[Shortboard Classification],"&gt;0")</f>
        <v>0</v>
      </c>
      <c r="IZ84" s="6">
        <f>COUNTIFS(Table77[Country],Tabela1[[#This Row],[Country]],Table77[Shortboard Classification],"&gt;0")</f>
        <v>0</v>
      </c>
      <c r="JA84" s="6">
        <f>COUNTIFS(Table20[Country],Tabela1[[#This Row],[Country]],Table20[50m Freestyle Classification],"&gt;0")</f>
        <v>0</v>
      </c>
      <c r="JB84" s="6">
        <f>COUNTIFS(Table21[Country],Tabela1[[#This Row],[Country]],Table21[50m Freestyle Classification],"&gt;0")</f>
        <v>0</v>
      </c>
      <c r="JC84" s="6">
        <f>COUNTIFS(Table20[Country],Tabela1[[#This Row],[Country]],Table20[100m Freestyle Classification],"&gt;0")</f>
        <v>0</v>
      </c>
      <c r="JD84" s="6">
        <f>COUNTIFS(Table21[Country],Tabela1[[#This Row],[Country]],Table21[100m Freestyle Classification],"&gt;0")</f>
        <v>0</v>
      </c>
      <c r="JE84" s="6">
        <f>COUNTIFS(Table20[Country],Tabela1[[#This Row],[Country]],Table20[200m Freestyle Classification],"&gt;0")</f>
        <v>0</v>
      </c>
      <c r="JF84" s="6">
        <f>COUNTIFS(Table21[Country],Tabela1[[#This Row],[Country]],Table21[200m Freestyle Classification],"&gt;0")</f>
        <v>0</v>
      </c>
      <c r="JG84" s="6">
        <f>COUNTIFS(Table20[Country],Tabela1[[#This Row],[Country]],Table20[400m Freestyle Classification],"&gt;0")</f>
        <v>0</v>
      </c>
      <c r="JH84" s="6">
        <f>COUNTIFS(Table21[Country],Tabela1[[#This Row],[Country]],Table21[400m Freestyle Classification],"&gt;0")</f>
        <v>0</v>
      </c>
      <c r="JI84" s="6">
        <f>COUNTIFS(Table20[Country],Tabela1[[#This Row],[Country]],Table20[800m Freestyle Classification],"&gt;0")</f>
        <v>0</v>
      </c>
      <c r="JJ84" s="6">
        <f>COUNTIFS(Table21[Country],Tabela1[[#This Row],[Country]],Table21[800m Freestyle Classification],"&gt;0")</f>
        <v>0</v>
      </c>
      <c r="JK84" s="6">
        <f>COUNTIFS(Table20[Country],Tabela1[[#This Row],[Country]],Table20[1500m Freestyle Classification],"&gt;0")</f>
        <v>0</v>
      </c>
      <c r="JL84" s="6">
        <f>COUNTIFS(Table21[Country],Tabela1[[#This Row],[Country]],Table21[1500m Freestyle Classification],"&gt;0")</f>
        <v>0</v>
      </c>
      <c r="JM84" s="6">
        <f>COUNTIFS(Table20[Country],Tabela1[[#This Row],[Country]],Table20[100m Backstroke Classification],"&gt;0")</f>
        <v>0</v>
      </c>
      <c r="JN84" s="6">
        <f>COUNTIFS(Table21[Country],Tabela1[[#This Row],[Country]],Table21[100m Backstroke Classification],"&gt;0")</f>
        <v>0</v>
      </c>
      <c r="JO84" s="6">
        <f>COUNTIFS(Table20[Country],Tabela1[[#This Row],[Country]],Table20[200m Backstroke Classification],"&gt;0")</f>
        <v>0</v>
      </c>
      <c r="JP84" s="6">
        <f>COUNTIFS(Table21[Country],Tabela1[[#This Row],[Country]],Table21[200m Backstroke Classification],"&gt;0")</f>
        <v>0</v>
      </c>
      <c r="JQ84" s="6">
        <f>COUNTIFS(Table20[Country],Tabela1[[#This Row],[Country]],Table20[100m Breaststroke Classification],"&gt;0")</f>
        <v>0</v>
      </c>
      <c r="JR84" s="6">
        <f>COUNTIFS(Table21[Country],Tabela1[[#This Row],[Country]],Table21[100m Breaststroke Classification],"&gt;0")</f>
        <v>0</v>
      </c>
      <c r="JS84" s="6">
        <f>COUNTIFS(Table20[Country],Tabela1[[#This Row],[Country]],Table20[200m Breaststroke Classification],"&gt;0")</f>
        <v>0</v>
      </c>
      <c r="JT84" s="6">
        <f>COUNTIFS(Table21[Country],Tabela1[[#This Row],[Country]],Table21[200m Breaststroke Classification],"&gt;0")</f>
        <v>0</v>
      </c>
      <c r="JU84" s="6">
        <f>COUNTIFS(Table20[Country],Tabela1[[#This Row],[Country]],Table20[100m Butterfly Classification],"&gt;0")</f>
        <v>0</v>
      </c>
      <c r="JV84" s="6">
        <f>COUNTIFS(Table21[Country],Tabela1[[#This Row],[Country]],Table21[100m Butterfly Classification],"&gt;0")</f>
        <v>0</v>
      </c>
      <c r="JW84" s="6">
        <f>COUNTIFS(Table20[Country],Tabela1[[#This Row],[Country]],Table20[200m Butterfly Classification],"&gt;0")</f>
        <v>0</v>
      </c>
      <c r="JX84" s="6">
        <f>COUNTIFS(Table21[Country],Tabela1[[#This Row],[Country]],Table21[200m Butterfly Classification],"&gt;0")</f>
        <v>0</v>
      </c>
      <c r="JY84" s="6">
        <f>COUNTIFS(Table20[Country],Tabela1[[#This Row],[Country]],Table20[200m Medley Classification],"&gt;0")</f>
        <v>0</v>
      </c>
      <c r="JZ84" s="6">
        <f>COUNTIFS(Table21[Country],Tabela1[[#This Row],[Country]],Table21[200m Medley Classification],"&gt;0")</f>
        <v>0</v>
      </c>
      <c r="KA84" s="6">
        <f>COUNTIFS(Table20[Country],Tabela1[[#This Row],[Country]],Table20[400m Medley Classification],"&gt;0")</f>
        <v>0</v>
      </c>
      <c r="KB84" s="6">
        <f>COUNTIFS(Table21[Country],Tabela1[[#This Row],[Country]],Table21[400m Medley Classification],"&gt;0")</f>
        <v>0</v>
      </c>
      <c r="KC84" s="6">
        <f>COUNTIFS(Table78[Country],Tabela1[[#This Row],[Country]],Table78[Men''s 4x100m Freestyle Relay Classification],"&gt;0")</f>
        <v>0</v>
      </c>
      <c r="KD84" s="6">
        <f>COUNTIFS(Table78[Country],Tabela1[[#This Row],[Country]],Table78[Women''s 4x100m Freestyle Relay Classification],"&gt;0")</f>
        <v>0</v>
      </c>
      <c r="KE84" s="6">
        <f>COUNTIFS(Table78[Country],Tabela1[[#This Row],[Country]],Table78[Men''s 4x200m Freestyle Relay Classification],"&gt;0")</f>
        <v>0</v>
      </c>
      <c r="KF84" s="6">
        <f>COUNTIFS(Table78[Country],Tabela1[[#This Row],[Country]],Table78[Women''s 4x200m Freestyle Relay Classification],"&gt;0")</f>
        <v>0</v>
      </c>
      <c r="KG84" s="6">
        <f>COUNTIFS(Table78[Country],Tabela1[[#This Row],[Country]],Table78[Men''s 4x100m Medley Relay Classification],"&gt;0")</f>
        <v>0</v>
      </c>
      <c r="KH84" s="6">
        <f>COUNTIFS(Table78[Country],Tabela1[[#This Row],[Country]],Table78[Women''s 4x100m Medley Relay Classification],"&gt;0")</f>
        <v>0</v>
      </c>
      <c r="KI84" s="6">
        <f>COUNTIFS(Table78[Country],Tabela1[[#This Row],[Country]],Table78[Mixed 4x100m Medley Relay Classification],"&gt;0")</f>
        <v>0</v>
      </c>
      <c r="KJ84" s="6">
        <f>COUNTIFS(Table20[Country],Tabela1[[#This Row],[Country]],Table20[10km Open Water Classification],"&gt;0")</f>
        <v>0</v>
      </c>
      <c r="KK84" s="6">
        <f>COUNTIFS(Table21[Country],Tabela1[[#This Row],[Country]],Table21[10km Open Water Classification],"&gt;0")</f>
        <v>0</v>
      </c>
      <c r="KL84" s="6">
        <f>COUNTIFS(Table22[Country],Tabela1[[#This Row],[Country]],Table22[Classification],"&gt;0")</f>
        <v>0</v>
      </c>
      <c r="KM84" s="6">
        <f>COUNTIFS(Table30[Country],Tabela1[[#This Row],[Country]],Table30[Classification],"&gt;0")</f>
        <v>0</v>
      </c>
      <c r="KN84" s="6">
        <f>COUNTIFS(Table55[Country],Tabela1[[#This Row],[Country]],Table55[Men''s Classification],"&gt;0")</f>
        <v>0</v>
      </c>
      <c r="KO84" s="6">
        <f>COUNTIFS(Table55[Country],Tabela1[[#This Row],[Country]],Table55[Women''s Classification],"&gt;0")</f>
        <v>0</v>
      </c>
      <c r="KP84" s="6">
        <f>COUNTIFS(Table56[Country],Tabela1[[#This Row],[Country]],Table56[Mixed Classification],"&gt;0")</f>
        <v>0</v>
      </c>
      <c r="KQ84" s="6">
        <f>COUNTIFS(Table29[Country],Tabela1[[#This Row],[Country]],Table29[58kg Classification],"&gt;0")</f>
        <v>0</v>
      </c>
      <c r="KR84" s="6">
        <f>COUNTIFS(Table29[Country],Tabela1[[#This Row],[Country]],Table29[68kg Classification],"&gt;0")</f>
        <v>0</v>
      </c>
      <c r="KS84" s="6">
        <f>COUNTIFS(Table29[Country],Tabela1[[#This Row],[Country]],Table29[80kg Classification],"&gt;0")</f>
        <v>0</v>
      </c>
      <c r="KT84" s="6">
        <f>COUNTIFS(Table29[Country],Tabela1[[#This Row],[Country]],Table29[Plus 80kg Classification],"&gt;0")</f>
        <v>0</v>
      </c>
      <c r="KU84" s="6">
        <f>COUNTIFS(Table34[Country],Tabela1[[#This Row],[Country]],Table34[49kg Classification],"&gt;0")</f>
        <v>0</v>
      </c>
      <c r="KV84" s="6">
        <f>COUNTIFS(Table34[Country],Tabela1[[#This Row],[Country]],Table34[57kg Classification],"&gt;0")</f>
        <v>0</v>
      </c>
      <c r="KW84" s="6">
        <f>COUNTIFS(Table34[Country],Tabela1[[#This Row],[Country]],Table34[67kg Classification],"&gt;0")</f>
        <v>0</v>
      </c>
      <c r="KX84" s="6">
        <f>COUNTIFS(Table34[Country],Tabela1[[#This Row],[Country]],Table34[Plus 67kg Classification],"&gt;0")</f>
        <v>0</v>
      </c>
      <c r="KY84" s="6">
        <f>COUNTIFS(Table57[Country],Tabela1[[#This Row],[Country]],Table57[Classification],"&gt;0")</f>
        <v>0</v>
      </c>
      <c r="KZ84" s="6">
        <f>COUNTIFS(Table58[Country],Tabela1[[#This Row],[Country]],Table58[Classification],"&gt;0")</f>
        <v>0</v>
      </c>
      <c r="LA84" s="6">
        <f>COUNTIFS(Table79[Country],Tabela1[[#This Row],[Country]],Table79[Men''s Classification],"&gt;0")</f>
        <v>0</v>
      </c>
      <c r="LB84" s="6">
        <f>COUNTIFS(Table79[Country],Tabela1[[#This Row],[Country]],Table79[Women''s Classification],"&gt;0")</f>
        <v>0</v>
      </c>
      <c r="LC84" s="6">
        <f>COUNTIFS(Table79[Country],Tabela1[[#This Row],[Country]],Table79[Mixed Classification],"&gt;0")</f>
        <v>0</v>
      </c>
      <c r="LD84" s="6">
        <f>COUNTIFS(Table65[Country],Tabela1[[#This Row],[Country]],Table65[Classification],"&gt;0")</f>
        <v>0</v>
      </c>
      <c r="LE84" s="6">
        <f>COUNTIFS(Table59[Country],Tabela1[[#This Row],[Country]],Table59[Classification],"&gt;0")</f>
        <v>0</v>
      </c>
      <c r="LF84" s="6">
        <f>COUNTIFS(Table87[Country],Tabela1[[#This Row],[Country]],Table87[Mixed Relay Classification],"&gt;0")</f>
        <v>0</v>
      </c>
      <c r="LG84" s="6">
        <f>COUNTIFS(Table91949698100[Country],Tabela1[[#This Row],[Country]],Table91949698100[Men''s Classification],"&gt;0")</f>
        <v>0</v>
      </c>
      <c r="LH84" s="6">
        <f>COUNTIFS(Table91949698100[Country],Tabela1[[#This Row],[Country]],Table91949698100[Women''s Classification],"&gt;0")</f>
        <v>0</v>
      </c>
      <c r="LI84" s="6">
        <f>COUNTIFS(Table91949698100102[Country],Tabela1[[#This Row],[Country]],Table91949698100102[Men''s Classification],"&gt;0")</f>
        <v>0</v>
      </c>
      <c r="LJ84" s="6">
        <f>COUNTIFS(Table91949698100102[Country],Tabela1[[#This Row],[Country]],Table91949698100102[Women''s Classification],"&gt;0")</f>
        <v>0</v>
      </c>
      <c r="LK84" s="6">
        <f>COUNTIFS(Table23[Country],Tabela1[[#This Row],[Country]],Table23[61kg Classification],"&gt;0")</f>
        <v>0</v>
      </c>
      <c r="LL84" s="6">
        <f>COUNTIFS(Table23[Country],Tabela1[[#This Row],[Country]],Table23[73kg Classification],"&gt;0")</f>
        <v>0</v>
      </c>
      <c r="LM84" s="6">
        <f>COUNTIFS(Table23[Country],Tabela1[[#This Row],[Country]],Table23[89kg Classification],"&gt;0")</f>
        <v>0</v>
      </c>
      <c r="LN84" s="6">
        <f>COUNTIFS(Table23[Country],Tabela1[[#This Row],[Country]],Table23[102kg Classification],"&gt;0")</f>
        <v>0</v>
      </c>
      <c r="LO84" s="6">
        <f>COUNTIFS(Table23[Country],Tabela1[[#This Row],[Country]],Table23[Plus 102kg Classification],"&gt;0")</f>
        <v>0</v>
      </c>
      <c r="LP84" s="6">
        <f>COUNTIFS(Table28[Country],Tabela1[[#This Row],[Country]],Table28[49kg Classification],"&gt;0")</f>
        <v>0</v>
      </c>
      <c r="LQ84" s="6">
        <f>COUNTIFS(Table28[Country],Tabela1[[#This Row],[Country]],Table28[59kg Classification],"&gt;0")</f>
        <v>0</v>
      </c>
      <c r="LR84" s="6">
        <f>COUNTIFS(Table28[Country],Tabela1[[#This Row],[Country]],Table28[71kg Classification],"&gt;0")</f>
        <v>0</v>
      </c>
      <c r="LS84" s="6">
        <f>COUNTIFS(Table28[Country],Tabela1[[#This Row],[Country]],Table28[81kg Classification],"&gt;0")</f>
        <v>0</v>
      </c>
      <c r="LT84" s="6">
        <f>COUNTIFS(Table28[Country],Tabela1[[#This Row],[Country]],Table28[Plus 81kg Classification],"&gt;0")</f>
        <v>0</v>
      </c>
      <c r="LU84" s="6">
        <f>COUNTIFS(Table24[Country],Tabela1[[#This Row],[Country]],Table24[Freestyle 57kg Classification],"&gt;0")</f>
        <v>0</v>
      </c>
      <c r="LV84" s="6">
        <f>COUNTIFS(Table24[Country],Tabela1[[#This Row],[Country]],Table24[Freestyle 65kg Classification],"&gt;0")</f>
        <v>0</v>
      </c>
      <c r="LW84" s="6">
        <f>COUNTIFS(Table24[Country],Tabela1[[#This Row],[Country]],Table24[Freestyle 74kg Classification],"&gt;0")</f>
        <v>0</v>
      </c>
      <c r="LX84" s="6">
        <f>COUNTIFS(Table24[Country],Tabela1[[#This Row],[Country]],Table24[Freestyle 86kg Classification],"&gt;0")</f>
        <v>0</v>
      </c>
      <c r="LY84" s="6">
        <f>COUNTIFS(Table24[Country],Tabela1[[#This Row],[Country]],Table24[Freestyle 97kg Classification],"&gt;0")</f>
        <v>0</v>
      </c>
      <c r="LZ84" s="6">
        <f>COUNTIFS(Table24[Country],Tabela1[[#This Row],[Country]],Table24[Freestyle 125kg Classification],"&gt;0")</f>
        <v>0</v>
      </c>
      <c r="MA84" s="6">
        <f>COUNTIFS(Table24[Country],Tabela1[[#This Row],[Country]],Table24[Greco-Roman 60kg Classification],"&gt;0")</f>
        <v>0</v>
      </c>
      <c r="MB84" s="6">
        <f>COUNTIFS(Table24[Country],Tabela1[[#This Row],[Country]],Table24[Greco-Roman 67kg Classification],"&gt;0")</f>
        <v>0</v>
      </c>
      <c r="MC84" s="6">
        <f>COUNTIFS(Table24[Country],Tabela1[[#This Row],[Country]],Table24[Greco-Roman 77kg Classification],"&gt;0")</f>
        <v>0</v>
      </c>
      <c r="MD84" s="6">
        <f>COUNTIFS(Table24[Country],Tabela1[[#This Row],[Country]],Table24[Greco-Roman 87kg Classification],"&gt;0")</f>
        <v>0</v>
      </c>
      <c r="ME84" s="6">
        <f>COUNTIFS(Table24[Country],Tabela1[[#This Row],[Country]],Table24[Greco-Roman 97kg Classification],"&gt;0")</f>
        <v>0</v>
      </c>
      <c r="MF84" s="6">
        <f>COUNTIFS(Table24[Country],Tabela1[[#This Row],[Country]],Table24[Greco-Roman 130kg Classification],"&gt;0")</f>
        <v>0</v>
      </c>
      <c r="MG84" s="6">
        <f>COUNTIFS(Table31[Country],Tabela1[[#This Row],[Country]],Table31[50kg Classification],"&gt;0")</f>
        <v>0</v>
      </c>
      <c r="MH84" s="6">
        <f>COUNTIFS(Table31[Country],Tabela1[[#This Row],[Country]],Table31[53kg Classification],"&gt;0")</f>
        <v>0</v>
      </c>
      <c r="MI84" s="6">
        <f>COUNTIFS(Table31[Country],Tabela1[[#This Row],[Country]],Table31[57kg Classification],"&gt;0")</f>
        <v>0</v>
      </c>
      <c r="MJ84" s="6">
        <f>COUNTIFS(Table31[Country],Tabela1[[#This Row],[Country]],Table31[62kg Classification],"&gt;0")</f>
        <v>0</v>
      </c>
      <c r="MK84" s="6">
        <f>COUNTIFS(Table31[Country],Tabela1[[#This Row],[Country]],Table31[68kg Classification],"&gt;0")</f>
        <v>0</v>
      </c>
      <c r="ML84" s="6">
        <f>COUNTIFS(Table31[Country],Tabela1[[#This Row],[Country]],Table31[76kg Classification],"&gt;0")</f>
        <v>0</v>
      </c>
      <c r="MM84" s="6">
        <f>COUNTIFS(Table102[Country],Tabela1[[#This Row],[Country]],Table102[Downhill Classification],"&gt;0")</f>
        <v>0</v>
      </c>
      <c r="MN84" s="6">
        <f>COUNTIFS(Table102105[Country],Tabela1[[#This Row],[Country]],Table102105[Downhill Classification],"&gt;0")</f>
        <v>0</v>
      </c>
      <c r="MO84" s="6">
        <f>COUNTIFS(Table102[Country],Tabela1[[#This Row],[Country]],Table102[Giant Slalom Classification],"&gt;0")</f>
        <v>0</v>
      </c>
      <c r="MP84" s="6">
        <f>COUNTIFS(Table102105[Country],Tabela1[[#This Row],[Country]],Table102105[Giant Slalom Classification],"&gt;0")</f>
        <v>0</v>
      </c>
      <c r="MQ84" s="6">
        <f>COUNTIFS(Table102[Country],Tabela1[[#This Row],[Country]],Table102[Slalom Classification],"&gt;0")</f>
        <v>0</v>
      </c>
      <c r="MR84" s="6">
        <f>COUNTIFS(Table102105[Country],Tabela1[[#This Row],[Country]],Table102105[Slalom Classification],"&gt;0")</f>
        <v>0</v>
      </c>
      <c r="MS84" s="6">
        <f>COUNTIFS(Table102[Country],Tabela1[[#This Row],[Country]],Table102[Super-G Classification],"&gt;0")</f>
        <v>0</v>
      </c>
      <c r="MT84" s="6">
        <f>COUNTIFS(Table102105[Country],Tabela1[[#This Row],[Country]],Table102105[Super-G Classification],"&gt;0")</f>
        <v>0</v>
      </c>
      <c r="MU84" s="6">
        <f>COUNTIFS(Table105[Country],Tabela1[[#This Row],[Country]],Table105[Men''s Combined Classification],"&gt;0")</f>
        <v>0</v>
      </c>
      <c r="MV84" s="6">
        <f>COUNTIFS(Table105[Country],Tabela1[[#This Row],[Country]],Table105[Women''s Combined Classification],"&gt;0")</f>
        <v>0</v>
      </c>
      <c r="MW84" s="6">
        <f>COUNTIFS(Table106[Country],Tabela1[[#This Row],[Country]],Table106[Individual Classification],"&gt;0")</f>
        <v>0</v>
      </c>
      <c r="MX84" s="6">
        <f>COUNTIFS(Table106109[Country],Tabela1[[#This Row],[Country]],Table106109[Individual Classification],"&gt;0")</f>
        <v>0</v>
      </c>
      <c r="MY84" s="6">
        <f>COUNTIFS(Table106[Country],Tabela1[[#This Row],[Country]],Table106[Mass Start Classification],"&gt;0")</f>
        <v>0</v>
      </c>
      <c r="MZ84" s="6">
        <f>COUNTIFS(Table106109[Country],Tabela1[[#This Row],[Country]],Table106109[Mass Start Classification],"&gt;0")</f>
        <v>0</v>
      </c>
      <c r="NA84" s="6">
        <f>COUNTIFS(Table106[Country],Tabela1[[#This Row],[Country]],Table106[Pursuit Classification],"&gt;0")</f>
        <v>0</v>
      </c>
      <c r="NB84" s="6">
        <f>COUNTIFS(Table106109[Country],Tabela1[[#This Row],[Country]],Table106109[Pursuit Classification],"&gt;0")</f>
        <v>0</v>
      </c>
      <c r="NC84" s="6">
        <f>COUNTIFS(Table106[Country],Tabela1[[#This Row],[Country]],Table106[Sprint Classification],"&gt;0")</f>
        <v>0</v>
      </c>
      <c r="ND84" s="6">
        <f>COUNTIFS(Table106109[Country],Tabela1[[#This Row],[Country]],Table106109[Sprint Classification],"&gt;0")</f>
        <v>0</v>
      </c>
      <c r="NE84" s="6">
        <f>COUNTIFS(Table109[Country],Tabela1[[#This Row],[Country]],Table109[Men''s Relay Classification],"&gt;0")</f>
        <v>0</v>
      </c>
      <c r="NF84" s="6">
        <f>COUNTIFS(Table109[Country],Tabela1[[#This Row],[Country]],Table109[Women''s Relay Classification],"&gt;0")</f>
        <v>0</v>
      </c>
      <c r="NG84" s="6">
        <f>COUNTIFS(Table109[Country],Tabela1[[#This Row],[Country]],Table109[Mixed Relay Classification],"&gt;0")</f>
        <v>0</v>
      </c>
      <c r="NH84" s="6">
        <f>COUNTIFS(Table110[Country],Tabela1[[#This Row],[Country]],Table110[Monobob Classification],"&gt;0")</f>
        <v>0</v>
      </c>
      <c r="NI84" s="6">
        <f>COUNTIFS(Table111[Country],Tabela1[[#This Row],[Country]],Table111[Men''s Classification],"&gt;0")</f>
        <v>0</v>
      </c>
      <c r="NJ84" s="6">
        <f>COUNTIFS(Table111[Country],Tabela1[[#This Row],[Country]],Table111[Women''s Classification],"&gt;0")</f>
        <v>0</v>
      </c>
      <c r="NK84" s="6">
        <f>COUNTIFS(Table112[Country],Tabela1[[#This Row],[Country]],Table112[Men''s Four Classification],"&gt;0")</f>
        <v>0</v>
      </c>
      <c r="NL84" s="6">
        <f>COUNTIFS(Table113[Country],Tabela1[[#This Row],[Country]],Table113[Classical Classification],"&gt;0")</f>
        <v>0</v>
      </c>
      <c r="NM84" s="6">
        <f>COUNTIFS(Table113116[Country],Tabela1[[#This Row],[Country]],Table113116[Classical Classification],"&gt;0")</f>
        <v>0</v>
      </c>
      <c r="NN84" s="6">
        <f>COUNTIFS(Table113[Country],Tabela1[[#This Row],[Country]],Table113[Freestyle Classification],"&gt;0")</f>
        <v>0</v>
      </c>
      <c r="NO84" s="6">
        <f>COUNTIFS(Table113116[Country],Tabela1[[#This Row],[Country]],Table113116[Freestyle Classification],"&gt;0")</f>
        <v>0</v>
      </c>
      <c r="NP84" s="6">
        <f>COUNTIFS(Table117[Country],Tabela1[[#This Row],[Country]],Table117[Men''s Relay Classification],"&gt;0")</f>
        <v>0</v>
      </c>
      <c r="NQ84" s="6">
        <f>COUNTIFS(Table117[Country],Tabela1[[#This Row],[Country]],Table117[Women''s Relay Classification],"&gt;0")</f>
        <v>0</v>
      </c>
      <c r="NR84" s="6">
        <f>COUNTIFS(Table113[Country],Tabela1[[#This Row],[Country]],Table113[Skiathlon Classification],"&gt;0")</f>
        <v>0</v>
      </c>
      <c r="NS84" s="6">
        <f>COUNTIFS(Table113116[Country],Tabela1[[#This Row],[Country]],Table113116[Skiathlon Classification],"&gt;0")</f>
        <v>0</v>
      </c>
      <c r="NT84" s="6">
        <f>COUNTIFS(Table113[Country],Tabela1[[#This Row],[Country]],Table113[Sprint Classification],"&gt;0")</f>
        <v>0</v>
      </c>
      <c r="NU84" s="6">
        <f>COUNTIFS(Table113116[Country],Tabela1[[#This Row],[Country]],Table113116[Sprint Classification],"&gt;0")</f>
        <v>0</v>
      </c>
      <c r="NV84" s="6">
        <f>COUNTIFS(Table116[Country],Tabela1[[#This Row],[Country]],Table116[Men''s Team Sprint Classification],"&gt;0")</f>
        <v>0</v>
      </c>
      <c r="NW84" s="6">
        <f>COUNTIFS(Table116[Country],Tabela1[[#This Row],[Country]],Table116[Women''s Team Sprint Classification],"&gt;0")</f>
        <v>0</v>
      </c>
      <c r="NX84" s="6">
        <f>COUNTIFS(Table119[Country],Tabela1[[#This Row],[Country]],Table119[Men''s Classification],"&gt;0")</f>
        <v>0</v>
      </c>
      <c r="NY84" s="6">
        <f>COUNTIFS(Table119[Country],Tabela1[[#This Row],[Country]],Table119[Women''s Classification],"&gt;0")</f>
        <v>0</v>
      </c>
      <c r="NZ84" s="6">
        <f>COUNTIFS(Table118[Country],Tabela1[[#This Row],[Country]],Table118[Mixed Classification],"&gt;0")</f>
        <v>0</v>
      </c>
      <c r="OA84" s="6">
        <f>COUNTIFS(Table120[Country],Tabela1[[#This Row],[Country]],Table120[Classification],"&gt;0")</f>
        <v>0</v>
      </c>
      <c r="OB84" s="6">
        <f>COUNTIFS(Table120123[Country],Tabela1[[#This Row],[Country]],Table120123[Classification],"&gt;0")</f>
        <v>0</v>
      </c>
      <c r="OC84" s="6">
        <f>COUNTIFS(Table123[Country],Tabela1[[#This Row],[Country]],Table123[Ice Dance Classification],"&gt;0")</f>
        <v>0</v>
      </c>
      <c r="OD84" s="6">
        <f>COUNTIFS(Table123[Country],Tabela1[[#This Row],[Country]],Table123[Pair Skating Classification],"&gt;0")</f>
        <v>0</v>
      </c>
      <c r="OE84" s="6">
        <f>COUNTIFS(Table124[Country],Tabela1[[#This Row],[Country]],Table124[Mixed Classification],"&gt;0")</f>
        <v>0</v>
      </c>
      <c r="OF84" s="6">
        <f>COUNTIFS(Table125[Country],Tabela1[[#This Row],[Country]],Table125[Aerials Classification],"&gt;0")</f>
        <v>0</v>
      </c>
      <c r="OG84" s="6">
        <f>COUNTIFS(Table125128[Country],Tabela1[[#This Row],[Country]],Table125128[Aerials Classification],"&gt;0")</f>
        <v>0</v>
      </c>
      <c r="OH84" s="6">
        <f>COUNTIFS(Table128[Country],Tabela1[[#This Row],[Country]],Table128[Mixed Aerials Classification],"&gt;0")</f>
        <v>0</v>
      </c>
      <c r="OI84" s="6">
        <f>COUNTIFS(Table125[Country],Tabela1[[#This Row],[Country]],Table125[Big Air Classification],"&gt;0")</f>
        <v>0</v>
      </c>
      <c r="OJ84" s="6">
        <f>COUNTIFS(Table125128[Country],Tabela1[[#This Row],[Country]],Table125128[Big Air Classification],"&gt;0")</f>
        <v>0</v>
      </c>
      <c r="OK84" s="6">
        <f>COUNTIFS(Table125[Country],Tabela1[[#This Row],[Country]],Table125[Dual Moguls Classification],"&gt;0")</f>
        <v>0</v>
      </c>
      <c r="OL84" s="6">
        <f>COUNTIFS(Table125128[Country],Tabela1[[#This Row],[Country]],Table125128[Dual Moguls Classification],"&gt;0")</f>
        <v>0</v>
      </c>
      <c r="OM84" s="6">
        <f>COUNTIFS(Table125[Country],Tabela1[[#This Row],[Country]],Table125[Halfpipe Classification],"&gt;0")</f>
        <v>0</v>
      </c>
      <c r="ON84" s="6">
        <f>COUNTIFS(Table125128[Country],Tabela1[[#This Row],[Country]],Table125128[Halfpipe Classification],"&gt;0")</f>
        <v>0</v>
      </c>
      <c r="OO84" s="6">
        <f>COUNTIFS(Table125[Country],Tabela1[[#This Row],[Country]],Table125[Moguls Classification],"&gt;0")</f>
        <v>0</v>
      </c>
      <c r="OP84" s="6">
        <f>COUNTIFS(Table125128[Country],Tabela1[[#This Row],[Country]],Table125128[Moguls Classification],"&gt;0")</f>
        <v>0</v>
      </c>
      <c r="OQ84" s="6">
        <f>COUNTIFS(Table125[Country],Tabela1[[#This Row],[Country]],Table125[Ski Cross Classification],"&gt;0")</f>
        <v>0</v>
      </c>
      <c r="OR84" s="6">
        <f>COUNTIFS(Table125128[Country],Tabela1[[#This Row],[Country]],Table125128[Ski Cross Classification],"&gt;0")</f>
        <v>0</v>
      </c>
      <c r="OS84" s="6">
        <f>COUNTIFS(Table125[Country],Tabela1[[#This Row],[Country]],Table125[Slopestyle Classification],"&gt;0")</f>
        <v>0</v>
      </c>
      <c r="OT84" s="6">
        <f>COUNTIFS(Table125128[Country],Tabela1[[#This Row],[Country]],Table125128[Slopestyle Classification],"&gt;0")</f>
        <v>0</v>
      </c>
      <c r="OU84" s="6">
        <f>COUNTIFS(Table119131[Country],Tabela1[[#This Row],[Country]],Table119131[Men''s Classification],"&gt;0")</f>
        <v>0</v>
      </c>
      <c r="OV84" s="6">
        <f>COUNTIFS(Table119131[Country],Tabela1[[#This Row],[Country]],Table119131[Women''s Classification],"&gt;0")</f>
        <v>0</v>
      </c>
      <c r="OW84" s="6">
        <f>COUNTIFS(Table131[Country],Tabela1[[#This Row],[Country]],Table131[Classification],"&gt;0")</f>
        <v>0</v>
      </c>
      <c r="OX84" s="6">
        <f>COUNTIFS(Table131134[Country],Tabela1[[#This Row],[Country]],Table131134[Classification],"&gt;0")</f>
        <v>0</v>
      </c>
      <c r="OY84" s="6">
        <f>COUNTIFS(Table134[Country],Tabela1[[#This Row],[Country]],Table134[Men''s Classification],"&gt;0")</f>
        <v>0</v>
      </c>
      <c r="OZ84" s="6">
        <f>COUNTIFS(Table134[Country],Tabela1[[#This Row],[Country]],Table134[Women''s Classification],"&gt;0")</f>
        <v>0</v>
      </c>
      <c r="PA84" s="6">
        <f>COUNTIFS(Table135[Country],Tabela1[[#This Row],[Country]],Table135[Mixed Relay Classification],"&gt;0")</f>
        <v>0</v>
      </c>
      <c r="PB84" s="6">
        <f>COUNTIFS(Table136[Country],Tabela1[[#This Row],[Country]],Table136[Individual Classification],"&gt;0")</f>
        <v>0</v>
      </c>
      <c r="PC84" s="6">
        <f>COUNTIFS(Table136[Country],Tabela1[[#This Row],[Country]],Table136[Sprint Classification],"&gt;0")</f>
        <v>0</v>
      </c>
      <c r="PD84" s="6">
        <f>COUNTIFS(Table137[Country],Tabela1[[#This Row],[Country]],Table137[Men''s Team Sprint Large Hill Classification],"&gt;0")</f>
        <v>0</v>
      </c>
      <c r="PE84" s="6">
        <f>COUNTIFS(Table138[Country],Tabela1[[#This Row],[Country]],Table138[500m Classification],"&gt;0")</f>
        <v>0</v>
      </c>
      <c r="PF84" s="6">
        <f>COUNTIFS(Table138141[Country],Tabela1[[#This Row],[Country]],Table138141[500m Classification],"&gt;0")</f>
        <v>0</v>
      </c>
      <c r="PG84" s="6">
        <f>COUNTIFS(Table138[Country],Tabela1[[#This Row],[Country]],Table138[1000m Classification],"&gt;0")</f>
        <v>0</v>
      </c>
      <c r="PH84" s="6">
        <f>COUNTIFS(Table138141[Country],Tabela1[[#This Row],[Country]],Table138141[1000m Classification],"&gt;0")</f>
        <v>0</v>
      </c>
      <c r="PI84" s="6">
        <f>COUNTIFS(Table138[Country],Tabela1[[#This Row],[Country]],Table138[1500m Classification],"&gt;0")</f>
        <v>0</v>
      </c>
      <c r="PJ84" s="6">
        <f>COUNTIFS(Table138141[Country],Tabela1[[#This Row],[Country]],Table138141[1500m Classification],"&gt;0")</f>
        <v>0</v>
      </c>
      <c r="PK84" s="6">
        <f>COUNTIFS(Table141[Country],Tabela1[[#This Row],[Country]],Table141[Men''s 5000m Relay Classification],"&gt;0")</f>
        <v>0</v>
      </c>
      <c r="PL84" s="6">
        <f>COUNTIFS(Table141[Country],Tabela1[[#This Row],[Country]],Table141[Women''s 3000m Relay Classification],"&gt;0")</f>
        <v>0</v>
      </c>
      <c r="PM84" s="6">
        <f>COUNTIFS(Table141[Country],Tabela1[[#This Row],[Country]],Table141[Mixed 2000m Relay Classification],"&gt;0")</f>
        <v>0</v>
      </c>
      <c r="PN84" s="6">
        <f>COUNTIFS(Table142[Country],Tabela1[[#This Row],[Country]],Table142[Classification],"&gt;0")</f>
        <v>0</v>
      </c>
      <c r="PO84" s="6">
        <f>COUNTIFS(Table142145[Country],Tabela1[[#This Row],[Country]],Table142145[Classification],"&gt;0")</f>
        <v>0</v>
      </c>
      <c r="PP84" s="6">
        <f>COUNTIFS(Tabela15[Country],Tabela1[[#This Row],[Country]],Tabela15[Mixed Team Classification],"&gt;0")</f>
        <v>0</v>
      </c>
      <c r="PQ84" s="6">
        <f>COUNTIFS(Table145[Country],Tabela1[[#This Row],[Country]],Table145[Large Hill Classification],"&gt;0")</f>
        <v>0</v>
      </c>
      <c r="PR84" s="6">
        <f>COUNTIFS(Table145[Country],Tabela1[[#This Row],[Country]],Table145[Normal Hill Classification],"&gt;0")</f>
        <v>0</v>
      </c>
      <c r="PS84" s="6">
        <f>COUNTIFS(Table145148[Country],Tabela1[[#This Row],[Country]],Table145148[Large Hill Classification],"&gt;0")</f>
        <v>0</v>
      </c>
      <c r="PT84" s="6">
        <f>COUNTIFS(Table145148[Country],Tabela1[[#This Row],[Country]],Table145148[Normal Hill Classification],"&gt;0")</f>
        <v>0</v>
      </c>
      <c r="PU84" s="6">
        <f>COUNTIFS(Table148[Country],Tabela1[[#This Row],[Country]],Table148[Men''s Super Team Classification],"&gt;0")</f>
        <v>0</v>
      </c>
      <c r="PV84" s="6">
        <f>COUNTIFS(Tabela114[Country],Tabela1[[#This Row],[Country]],Tabela114[Mixed Normal Hill Classification],"&gt;0")</f>
        <v>0</v>
      </c>
      <c r="PW84" s="6">
        <f>COUNTIFS(Tabela50[Country],Tabela1[[#This Row],[Country]],Tabela50[Sprint Classification],"&gt;0")</f>
        <v>0</v>
      </c>
      <c r="PX84" s="6">
        <f>COUNTIFS(Tabela50101[Country],Tabela1[[#This Row],[Country]],Tabela50101[Sprint Classification],"&gt;0")</f>
        <v>0</v>
      </c>
      <c r="PY84" s="6">
        <f>COUNTIFS(Tabela103[Country],Tabela1[[#This Row],[Country]],Tabela103[Mixed Relay Classification],"&gt;0")</f>
        <v>0</v>
      </c>
      <c r="PZ84" s="6">
        <f>COUNTIFS(Table149[Country],Tabela1[[#This Row],[Country]],Table149[Big Air Classification],"&gt;0")</f>
        <v>0</v>
      </c>
      <c r="QA84" s="6">
        <f>COUNTIFS(Table149152[Country],Tabela1[[#This Row],[Country]],Table149152[Big Air Classification],"&gt;0")</f>
        <v>0</v>
      </c>
      <c r="QB84" s="6">
        <f>COUNTIFS(Table149[Country],Tabela1[[#This Row],[Country]],Table149[Halfpipe Classification],"&gt;0")</f>
        <v>0</v>
      </c>
      <c r="QC84" s="6">
        <f>COUNTIFS(Table149152[Country],Tabela1[[#This Row],[Country]],Table149152[Halfpipe Classification],"&gt;0")</f>
        <v>0</v>
      </c>
      <c r="QD84" s="6">
        <f>COUNTIFS(Table149[Country],Tabela1[[#This Row],[Country]],Table149[Parallel Giant Slalom Classification],"&gt;0")</f>
        <v>0</v>
      </c>
      <c r="QE84" s="6">
        <f>COUNTIFS(Table149152[Country],Tabela1[[#This Row],[Country]],Table149152[Parallel Giant Slalom Classification],"&gt;0")</f>
        <v>0</v>
      </c>
      <c r="QF84" s="6">
        <f>COUNTIFS(Table149[Country],Tabela1[[#This Row],[Country]],Table149[Slopestyle Classification],"&gt;0")</f>
        <v>0</v>
      </c>
      <c r="QG84" s="6">
        <f>COUNTIFS(Table149152[Country],Tabela1[[#This Row],[Country]],Table149152[Slopestyle Classification],"&gt;0")</f>
        <v>0</v>
      </c>
      <c r="QH84" s="6">
        <f>COUNTIFS(Table149[Country],Tabela1[[#This Row],[Country]],Table149[Snowboard Cross Classification],"&gt;0")</f>
        <v>0</v>
      </c>
      <c r="QI84" s="6">
        <f>COUNTIFS(Table149152[Country],Tabela1[[#This Row],[Country]],Table149152[Snowboard Cross Classification],"&gt;0")</f>
        <v>0</v>
      </c>
      <c r="QJ84" s="6">
        <f>COUNTIFS(Table153[Country],Tabela1[[#This Row],[Country]],Table153[Mixed Team Snowboard Cross Classification],"&gt;0")</f>
        <v>0</v>
      </c>
      <c r="QK84" s="6">
        <f>COUNTIFS(Table154[Country],Tabela1[[#This Row],[Country]],Table154[500m Classification],"&gt;0")</f>
        <v>0</v>
      </c>
      <c r="QL84" s="6">
        <f>COUNTIFS(Table154157[Country],Tabela1[[#This Row],[Country]],Table154157[500m Classification],"&gt;0")</f>
        <v>0</v>
      </c>
      <c r="QM84" s="6">
        <f>COUNTIFS(Table154[Country],Tabela1[[#This Row],[Country]],Table154[1000m Classification],"&gt;0")</f>
        <v>0</v>
      </c>
      <c r="QN84" s="6">
        <f>COUNTIFS(Table154157[Country],Tabela1[[#This Row],[Country]],Table154157[1000m Classification],"&gt;0")</f>
        <v>0</v>
      </c>
      <c r="QO84" s="6">
        <f>COUNTIFS(Table154[Country],Tabela1[[#This Row],[Country]],Table154[1500m Classification],"&gt;0")</f>
        <v>0</v>
      </c>
      <c r="QP84" s="6">
        <f>COUNTIFS(Table154157[Country],Tabela1[[#This Row],[Country]],Table154157[1500m Classification],"&gt;0")</f>
        <v>0</v>
      </c>
      <c r="QQ84" s="6">
        <f>COUNTIFS(Table154157[Country],Tabela1[[#This Row],[Country]],Table154157[3000m Classification],"&gt;0")</f>
        <v>0</v>
      </c>
      <c r="QR84" s="6">
        <f>COUNTIFS(Table154[Country],Tabela1[[#This Row],[Country]],Table154[5000m Classification],"&gt;0")</f>
        <v>0</v>
      </c>
      <c r="QS84" s="6">
        <f>COUNTIFS(Table154157[Country],Tabela1[[#This Row],[Country]],Table154157[5000m Classification],"&gt;0")</f>
        <v>0</v>
      </c>
      <c r="QT84" s="6">
        <f>COUNTIFS(Table154[Country],Tabela1[[#This Row],[Country]],Table154[10000m Classification],"&gt;0")</f>
        <v>0</v>
      </c>
      <c r="QU84" s="6">
        <f>COUNTIFS(Table154[Country],Tabela1[[#This Row],[Country]],Table154[Mass Start Classification],"&gt;0")</f>
        <v>0</v>
      </c>
      <c r="QV84" s="6">
        <f>COUNTIFS(Table154157[Country],Tabela1[[#This Row],[Country]],Table154157[Mass Start Classification],"&gt;0")</f>
        <v>0</v>
      </c>
      <c r="QW84" s="6">
        <f>COUNTIFS(Table157[Country],Tabela1[[#This Row],[Country]],Table157[Men''s Pursuit Classification],"&gt;0")</f>
        <v>0</v>
      </c>
      <c r="QX84" s="6">
        <f>COUNTIFS(Table157[Country],Tabela1[[#This Row],[Country]],Table157[Women''s Pursuit Classification],"&gt;0")</f>
        <v>0</v>
      </c>
      <c r="QY84" s="4" t="s">
        <v>383</v>
      </c>
    </row>
    <row r="85" spans="1:467" x14ac:dyDescent="0.3">
      <c r="A85" s="6">
        <v>84</v>
      </c>
      <c r="B85" s="6" t="s">
        <v>460</v>
      </c>
      <c r="C85" t="e" vm="84">
        <f>IF(ISBLANK(Tabela1[[#This Row],[Image Link]]), "", _xlfn.IMAGE(Tabela1[[#This Row],[Image Link]],1,1))</f>
        <v>#VALUE!</v>
      </c>
      <c r="D85" s="6">
        <f>SUM(Tabela1[[#This Row],[Archery - Men''s Individual Recurve]:[Speed Skating - Women''s Team Pursuit]])</f>
        <v>5</v>
      </c>
      <c r="E85" s="6">
        <f>COUNTIF(Tabela1[[#This Row],[Archery - Men''s Individual Recurve]:[Speed Skating - Women''s Team Pursuit]],"&gt;0")</f>
        <v>5</v>
      </c>
      <c r="F85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85" s="6">
        <f>SUM(Tabela1[[#This Row],[Archery - Men''s Individual Recurve]:[Wrestling - Women''s Freestyle 76kg]])</f>
        <v>4</v>
      </c>
      <c r="H85" s="6">
        <f>SUM(Tabela1[[#This Row],[Alpine Skiing - Men''s Downhill]:[Speed Skating - Women''s Team Pursuit]])</f>
        <v>1</v>
      </c>
      <c r="I85" s="6">
        <f>Tabela1[[#This Row],[Summer Gold Medals]]+Tabela1[[#This Row],[Winter Gold Medals]]</f>
        <v>0</v>
      </c>
      <c r="J85" s="6">
        <f>Tabela1[[#This Row],[Summer Silver Medals]]+Tabela1[[#This Row],[Winter Silver Medals]]</f>
        <v>0</v>
      </c>
      <c r="K85" s="6">
        <f>Tabela1[[#This Row],[Summer Bronze Medals]]+Tabela1[[#This Row],[Winter Bronze Medals]]</f>
        <v>0</v>
      </c>
      <c r="L85" s="6">
        <f>SUM(Tabela1[[#This Row],[Total Gold Medals]:[Total Bronze Medals]])</f>
        <v>0</v>
      </c>
      <c r="M85" s="6"/>
      <c r="N85" s="6"/>
      <c r="O85" s="6"/>
      <c r="P85" s="6">
        <f>SUM(Tabela1[[#This Row],[Summer Gold Medals]:[Summer Bronze Medals]])</f>
        <v>0</v>
      </c>
      <c r="Q85" s="6"/>
      <c r="R85" s="6"/>
      <c r="S85" s="6"/>
      <c r="T85" s="6">
        <f>Tabela1[[#This Row],[Winter Gold Medals]]+Tabela1[[#This Row],[Winter Silver Medals]]+Tabela1[[#This Row],[Winter Bronze Medals]]</f>
        <v>0</v>
      </c>
      <c r="U85" s="7">
        <f>Tabela1[[#This Row],[Total Medals]]/Tabela1[[#This Row],[Total Quotas]]</f>
        <v>0</v>
      </c>
      <c r="V85" s="6">
        <f>COUNTIFS(Table3[Country],Tabela1[[#This Row],[Country]],Table3[Recurve Classification],"&gt;0")</f>
        <v>0</v>
      </c>
      <c r="W85" s="6">
        <f>COUNTIFS(Table33[Country],Tabela1[[#This Row],[Country]],Table33[Recurve Classification],"&gt;0")</f>
        <v>0</v>
      </c>
      <c r="X85" s="6">
        <f>COUNTIFS(Table35[Country],Tabela1[[#This Row],[Country]],Table35[Men''s Team Recurve Classification],"&gt;0")</f>
        <v>0</v>
      </c>
      <c r="Y85" s="6">
        <f>COUNTIFS(Table35[Country],Tabela1[[#This Row],[Country]],Table35[Women''s Team Recurve Classification],"&gt;0")</f>
        <v>0</v>
      </c>
      <c r="Z85" s="6">
        <f>COUNTIFS(Tabela88[Country],Tabela1[[#This Row],[Country]],Tabela88[Mixed Team Recurve Classification],"&gt;0")</f>
        <v>0</v>
      </c>
      <c r="AA85" s="6">
        <f>COUNTIFS(Table36[Country],Tabela1[[#This Row],[Country]],Table36[Classification],"&gt;0")</f>
        <v>0</v>
      </c>
      <c r="AB85" s="6">
        <f>COUNTIFS(Table37[Country],Tabela1[[#This Row],[Country]],Table37[Classification],"&gt;0")</f>
        <v>0</v>
      </c>
      <c r="AC85" s="6">
        <f>COUNTIFS(Table4[Country],Tabela1[[#This Row],[Country]],Table4[100m Classification],"&gt;0")</f>
        <v>0</v>
      </c>
      <c r="AD85" s="6">
        <f>COUNTIFS(Table5[Country],Tabela1[[#This Row],[Country]],Table5[100m Classification],"&gt;0")</f>
        <v>0</v>
      </c>
      <c r="AE85" s="6">
        <f>COUNTIFS(Table4[Country],Tabela1[[#This Row],[Country]],Table4[200m Classification],"&gt;0")</f>
        <v>0</v>
      </c>
      <c r="AF85" s="6">
        <f>COUNTIFS(Table5[Country],Tabela1[[#This Row],[Country]],Table5[200m Classification],"&gt;0")</f>
        <v>0</v>
      </c>
      <c r="AG85" s="6">
        <f>COUNTIFS(Table4[Country],Tabela1[[#This Row],[Country]],Table4[400m Classification],"&gt;0")</f>
        <v>0</v>
      </c>
      <c r="AH85" s="6">
        <f>COUNTIFS(Table5[Country],Tabela1[[#This Row],[Country]],Table5[400m Classification],"&gt;0")</f>
        <v>0</v>
      </c>
      <c r="AI85" s="6">
        <f>COUNTIFS(Table4[Country],Tabela1[[#This Row],[Country]],Table4[800m Classification],"&gt;0")</f>
        <v>0</v>
      </c>
      <c r="AJ85" s="6">
        <f>COUNTIFS(Table5[Country],Tabela1[[#This Row],[Country]],Table5[800m Classification],"&gt;0")</f>
        <v>0</v>
      </c>
      <c r="AK85" s="6">
        <f>COUNTIFS(Table4[Country],Tabela1[[#This Row],[Country]],Table4[1500m Classification],"&gt;0")</f>
        <v>0</v>
      </c>
      <c r="AL85" s="6">
        <f>COUNTIFS(Table5[Country],Tabela1[[#This Row],[Country]],Table5[1500m Classification],"&gt;0")</f>
        <v>0</v>
      </c>
      <c r="AM85" s="6">
        <f>COUNTIFS(Table4[Country],Tabela1[[#This Row],[Country]],Table4[5000m Classification],"&gt;0")</f>
        <v>0</v>
      </c>
      <c r="AN85" s="6">
        <f>COUNTIFS(Table5[Country],Tabela1[[#This Row],[Country]],Table5[5000m Classification],"&gt;0")</f>
        <v>0</v>
      </c>
      <c r="AO85" s="6">
        <f>COUNTIFS(Table4[Country],Tabela1[[#This Row],[Country]],Table4[10000m Classification],"&gt;0")</f>
        <v>0</v>
      </c>
      <c r="AP85" s="6">
        <f>COUNTIFS(Table5[Country],Tabela1[[#This Row],[Country]],Table5[10000m Classification],"&gt;0")</f>
        <v>0</v>
      </c>
      <c r="AQ85" s="6">
        <f>COUNTIFS(Table4[Country],Tabela1[[#This Row],[Country]],Table4[110m Hurdles Classification],"&gt;0")</f>
        <v>0</v>
      </c>
      <c r="AR85" s="6">
        <f>COUNTIFS(Table5[Country],Tabela1[[#This Row],[Country]],Table5[100m Hurdles Classification],"&gt;0")</f>
        <v>0</v>
      </c>
      <c r="AS85" s="6">
        <f>COUNTIFS(Table4[Country],Tabela1[[#This Row],[Country]],Table4[400m Hurdles Classification],"&gt;0")</f>
        <v>0</v>
      </c>
      <c r="AT85" s="6">
        <f>COUNTIFS(Table5[Country],Tabela1[[#This Row],[Country]],Table5[400m Hurdles Classification],"&gt;0")</f>
        <v>0</v>
      </c>
      <c r="AU85" s="6">
        <f>COUNTIFS(Table4[Country],Tabela1[[#This Row],[Country]],Table4[3000m Steeplechase Classification],"&gt;0")</f>
        <v>0</v>
      </c>
      <c r="AV85" s="6">
        <f>COUNTIFS(Table5[Country],Tabela1[[#This Row],[Country]],Table5[3000m Steeplechase Classification],"&gt;0")</f>
        <v>0</v>
      </c>
      <c r="AW85" s="6">
        <f>COUNTIFS(Table27[Country],Tabela1[[#This Row],[Country]],Table27[Men''s 4x100m Relay Classification],"&gt;0")</f>
        <v>0</v>
      </c>
      <c r="AX85" s="6">
        <f>COUNTIFS(Table27[Country],Tabela1[[#This Row],[Country]],Table27[Women''s 4x100m Relay Classification],"&gt;0")</f>
        <v>0</v>
      </c>
      <c r="AY85" s="6">
        <f>COUNTIFS(Table27[Country],Tabela1[[#This Row],[Country]],Table27[Men''s 4x400m Relay Classification],"&gt;0")</f>
        <v>0</v>
      </c>
      <c r="AZ85" s="6">
        <f>COUNTIFS(Table27[Country],Tabela1[[#This Row],[Country]],Table27[Women''s 4x400m Relay Classification],"&gt;0")</f>
        <v>0</v>
      </c>
      <c r="BA85" s="6">
        <f>COUNTIFS(Table27[Country],Tabela1[[#This Row],[Country]],Table27[Mixed 4x400m Relay Classification],"&gt;0")</f>
        <v>0</v>
      </c>
      <c r="BB85" s="6">
        <f>COUNTIFS(Table4[Country],Tabela1[[#This Row],[Country]],Table4[Marathon Classification],"&gt;0")</f>
        <v>0</v>
      </c>
      <c r="BC85" s="6">
        <f>COUNTIFS(Table5[Country],Tabela1[[#This Row],[Country]],Table5[Marathon Classification],"&gt;0")</f>
        <v>0</v>
      </c>
      <c r="BD85" s="6">
        <f>COUNTIFS(Table4[Country],Tabela1[[#This Row],[Country]],Table4[20km Race Walk Classification],"&gt;0")</f>
        <v>0</v>
      </c>
      <c r="BE85" s="6">
        <f>COUNTIFS(Table5[Country],Tabela1[[#This Row],[Country]],Table5[20km Race Walk Classification],"&gt;0")</f>
        <v>0</v>
      </c>
      <c r="BF85" s="6">
        <f>COUNTIFS(Tabela96[Country],Tabela1[[#This Row],[Country]],Tabela96[Mixed Marathon Race Walk Relay Classification],"&gt;0")</f>
        <v>0</v>
      </c>
      <c r="BG85" s="6">
        <f>COUNTIFS(Table4[Country],Tabela1[[#This Row],[Country]],Table4[Discus Throw Classification],"&gt;0")</f>
        <v>0</v>
      </c>
      <c r="BH85" s="6">
        <f>COUNTIFS(Table5[Country],Tabela1[[#This Row],[Country]],Table5[Discus Throw Classification],"&gt;0")</f>
        <v>0</v>
      </c>
      <c r="BI85" s="6">
        <f>COUNTIFS(Table4[Country],Tabela1[[#This Row],[Country]],Table4[Hammer Throw Classification],"&gt;0")</f>
        <v>0</v>
      </c>
      <c r="BJ85" s="6">
        <f>COUNTIFS(Table5[Country],Tabela1[[#This Row],[Country]],Table5[Hammer Throw Classification],"&gt;0")</f>
        <v>0</v>
      </c>
      <c r="BK85" s="6">
        <f>COUNTIFS(Table4[Country],Tabela1[[#This Row],[Country]],Table4[High Jump Classification],"&gt;0")</f>
        <v>0</v>
      </c>
      <c r="BL85" s="6">
        <f>COUNTIFS(Table5[Country],Tabela1[[#This Row],[Country]],Table5[High Jump Classification],"&gt;0")</f>
        <v>0</v>
      </c>
      <c r="BM85" s="6">
        <f>COUNTIFS(Table4[Country],Tabela1[[#This Row],[Country]],Table4[Javelin Throw Classification],"&gt;0")</f>
        <v>0</v>
      </c>
      <c r="BN85" s="6">
        <f>COUNTIFS(Table5[Country],Tabela1[[#This Row],[Country]],Table5[Javelin Throw Classification],"&gt;0")</f>
        <v>0</v>
      </c>
      <c r="BO85" s="6">
        <f>COUNTIFS(Table4[Country],Tabela1[[#This Row],[Country]],Table4[Long Jump Classification],"&gt;0")</f>
        <v>0</v>
      </c>
      <c r="BP85" s="6">
        <f>COUNTIFS(Table5[Country],Tabela1[[#This Row],[Country]],Table5[Long Jump Classification],"&gt;0")</f>
        <v>0</v>
      </c>
      <c r="BQ85" s="6">
        <f>COUNTIFS(Table4[Country],Tabela1[[#This Row],[Country]],Table4[Pole Vault Classification],"&gt;0")</f>
        <v>0</v>
      </c>
      <c r="BR85" s="6">
        <f>COUNTIFS(Table5[Country],Tabela1[[#This Row],[Country]],Table5[Pole Vault Classification],"&gt;0")</f>
        <v>0</v>
      </c>
      <c r="BS85" s="6">
        <f>COUNTIFS(Table4[Country],Tabela1[[#This Row],[Country]],Table4[Shot Put Classification],"&gt;0")</f>
        <v>0</v>
      </c>
      <c r="BT85" s="6">
        <f>COUNTIFS(Table5[Country],Tabela1[[#This Row],[Country]],Table5[Shot Put Classification],"&gt;0")</f>
        <v>0</v>
      </c>
      <c r="BU85" s="6">
        <f>COUNTIFS(Table4[Country],Tabela1[[#This Row],[Country]],Table4[Triple Jump Classification],"&gt;0")</f>
        <v>0</v>
      </c>
      <c r="BV85" s="6">
        <f>COUNTIFS(Table5[Country],Tabela1[[#This Row],[Country]],Table5[Triple Jump Classification],"&gt;0")</f>
        <v>0</v>
      </c>
      <c r="BW85" s="6">
        <f>COUNTIFS(Table4[Country],Tabela1[[#This Row],[Country]],Table4[Decathlon Classification],"&gt;0")</f>
        <v>0</v>
      </c>
      <c r="BX85" s="6">
        <f>COUNTIFS(Table5[Country],Tabela1[[#This Row],[Country]],Table5[Heptathlon Classification],"&gt;0")</f>
        <v>0</v>
      </c>
      <c r="BY85" s="6">
        <f>COUNTIFS(Table61[Country],Tabela1[[#This Row],[Country]],Table61[Classification],"&gt;0")</f>
        <v>0</v>
      </c>
      <c r="BZ85" s="6">
        <f>COUNTIFS(Table38[Country],Tabela1[[#This Row],[Country]],Table38[Classification],"&gt;0")</f>
        <v>0</v>
      </c>
      <c r="CA85" s="6">
        <f>COUNTIFS(Table39[Country],Tabela1[[#This Row],[Country]],Table39[Men''s Classification],"&gt;0")</f>
        <v>0</v>
      </c>
      <c r="CB85" s="6">
        <f>COUNTIFS(Table39[Country],Tabela1[[#This Row],[Country]],Table39[Women''s Classification],"&gt;0")</f>
        <v>0</v>
      </c>
      <c r="CC85" s="6">
        <f>COUNTIFS(Table39[Country],Tabela1[[#This Row],[Country]],Table39[Mixed Classification],"&gt;0")</f>
        <v>0</v>
      </c>
      <c r="CD85" s="6">
        <f>COUNTIFS(Table89[Country],Tabela1[[#This Row],[Country]],Table89[Men''s Classification],"&gt;0")</f>
        <v>0</v>
      </c>
      <c r="CE85" s="6">
        <f>COUNTIFS(Table89[Country],Tabela1[[#This Row],[Country]],Table89[Women''s Classification],"&gt;0")</f>
        <v>0</v>
      </c>
      <c r="CF85" s="6">
        <f>COUNTIFS(Table90[Country],Tabela1[[#This Row],[Country]],Table90[Men''s Classification],"&gt;0")</f>
        <v>0</v>
      </c>
      <c r="CG85" s="6">
        <f>COUNTIFS(Table90[Country],Tabela1[[#This Row],[Country]],Table90[Women''s Classification],"&gt;0")</f>
        <v>0</v>
      </c>
      <c r="CH85" s="6">
        <f>COUNTIFS(Table60[Country],Tabela1[[#This Row],[Country]],Table60[Men''s Classification],"&gt;0")</f>
        <v>0</v>
      </c>
      <c r="CI85" s="6">
        <f>COUNTIFS(Table60[Country],Tabela1[[#This Row],[Country]],Table60[Women''s Classification],"&gt;0")</f>
        <v>0</v>
      </c>
      <c r="CJ85" s="6">
        <f>COUNTIFS(Table6[Country],Tabela1[[#This Row],[Country]],Table6[51kg Classification],"&gt;0")</f>
        <v>0</v>
      </c>
      <c r="CK85" s="6">
        <f>COUNTIFS(Table6[Country],Tabela1[[#This Row],[Country]],Table6[57kg Classification],"&gt;0")</f>
        <v>0</v>
      </c>
      <c r="CL85" s="6">
        <f>COUNTIFS(Table6[Country],Tabela1[[#This Row],[Country]],Table6[63.5kg Classification],"&gt;0")</f>
        <v>0</v>
      </c>
      <c r="CM85" s="6">
        <f>COUNTIFS(Table6[Country],Tabela1[[#This Row],[Country]],Table6[71kg Classification],"&gt;0")</f>
        <v>0</v>
      </c>
      <c r="CN85" s="6">
        <f>COUNTIFS(Table6[Country],Tabela1[[#This Row],[Country]],Table6[80kg Classification],"&gt;0")</f>
        <v>0</v>
      </c>
      <c r="CO85" s="6">
        <f>COUNTIFS(Table6[Country],Tabela1[[#This Row],[Country]],Table6[92kg Classification],"&gt;0")</f>
        <v>0</v>
      </c>
      <c r="CP85" s="6">
        <f>COUNTIFS(Table6[Country],Tabela1[[#This Row],[Country]],Table6[Plus 92kg Classification],"&gt;0")</f>
        <v>0</v>
      </c>
      <c r="CQ85" s="6">
        <f>COUNTIFS(Table7[Country],Tabela1[[#This Row],[Country]],Table7[50kg Classification],"&gt;0")</f>
        <v>0</v>
      </c>
      <c r="CR85" s="6">
        <f>COUNTIFS(Table7[Country],Tabela1[[#This Row],[Country]],Table7[54kg Classification],"&gt;0")</f>
        <v>0</v>
      </c>
      <c r="CS85" s="6">
        <f>COUNTIFS(Table7[Country],Tabela1[[#This Row],[Country]],Table7[57kg Classification],"&gt;0")</f>
        <v>0</v>
      </c>
      <c r="CT85" s="6">
        <f>COUNTIFS(Table7[Country],Tabela1[[#This Row],[Country]],Table7[60kg Classification],"&gt;0")</f>
        <v>0</v>
      </c>
      <c r="CU85" s="6">
        <f>COUNTIFS(Table7[Country],Tabela1[[#This Row],[Country]],Table7[66kg Classification],"&gt;0")</f>
        <v>0</v>
      </c>
      <c r="CV85" s="6">
        <f>COUNTIFS(Table7[Country],Tabela1[[#This Row],[Country]],Table7[75kg Classification],"&gt;0")</f>
        <v>0</v>
      </c>
      <c r="CW85" s="6">
        <f>COUNTIFS(Tabela94[Country],Tabela1[[#This Row],[Country]],Tabela94[Classification],"&gt;0")</f>
        <v>0</v>
      </c>
      <c r="CX85" s="6">
        <f>COUNTIFS(Tabela9499[Country],Tabela1[[#This Row],[Country]],Tabela9499[Classification],"&gt;0")</f>
        <v>0</v>
      </c>
      <c r="CY85" s="6">
        <f>COUNTIFS(Tabela107[Country],Tabela1[[#This Row],[Country]],Tabela107[C1 Slalom Classification],"&gt;0")</f>
        <v>0</v>
      </c>
      <c r="CZ85" s="6">
        <f>COUNTIFS(Tabela107122[Country],Tabela1[[#This Row],[Country]],Tabela107122[C1 Slalom Classification],"&gt;0")</f>
        <v>0</v>
      </c>
      <c r="DA85" s="6">
        <f>COUNTIFS(Tabela107[Country],Tabela1[[#This Row],[Country]],Tabela107[K1 Slalom Classification],"&gt;0")</f>
        <v>0</v>
      </c>
      <c r="DB85" s="6">
        <f>COUNTIFS(Tabela107122[Country],Tabela1[[#This Row],[Country]],Tabela107122[K1 Slalom Classification],"&gt;0")</f>
        <v>0</v>
      </c>
      <c r="DC85" s="6">
        <f>COUNTIFS(Tabela107[Country],Tabela1[[#This Row],[Country]],Tabela107[Kayak Cross Slalom Classification],"&gt;0")</f>
        <v>0</v>
      </c>
      <c r="DD85" s="6">
        <f>COUNTIFS(Tabela107122[Country],Tabela1[[#This Row],[Country]],Tabela107122[Kayak Cross Slalom Classification],"&gt;0")</f>
        <v>0</v>
      </c>
      <c r="DE85" s="6">
        <f>COUNTIFS(Table8[Country],Tabela1[[#This Row],[Country]],Table8[C1 200m Classification],"&gt;0")</f>
        <v>0</v>
      </c>
      <c r="DF85" s="6">
        <f>COUNTIFS(Table40[Country],Tabela1[[#This Row],[Country]],Table40[C1 1000m Classification],"&gt;0")</f>
        <v>0</v>
      </c>
      <c r="DG85" s="6">
        <f>COUNTIFS(Table68[Country],Tabela1[[#This Row],[Country]],Table68[Men''s C2 500m Classification],"&gt;0")</f>
        <v>0</v>
      </c>
      <c r="DH85" s="6">
        <f>COUNTIFS(Table68[Country],Tabela1[[#This Row],[Country]],Table68[Women''s C2 500m Classification],"&gt;0")</f>
        <v>0</v>
      </c>
      <c r="DI85" s="6">
        <f>COUNTIFS(Table8[Country],Tabela1[[#This Row],[Country]],Table8[K1 500m Classification],"&gt;0")</f>
        <v>0</v>
      </c>
      <c r="DJ85" s="6">
        <f>COUNTIFS(Table40[Country],Tabela1[[#This Row],[Country]],Table40[K1 1000m Classification],"&gt;0")</f>
        <v>0</v>
      </c>
      <c r="DK85" s="6">
        <f>COUNTIFS(Table68[Country],Tabela1[[#This Row],[Country]],Table68[Men''s K2 500m Classification],"&gt;0")</f>
        <v>0</v>
      </c>
      <c r="DL85" s="6">
        <f>COUNTIFS(Table68[Country],Tabela1[[#This Row],[Country]],Table68[Women''s K2 500m Classification],"&gt;0")</f>
        <v>0</v>
      </c>
      <c r="DM85" s="6">
        <f>COUNTIFS(Table83[Country],Tabela1[[#This Row],[Country]],Table83[Men''s K4 500m Classification],"&gt;0")</f>
        <v>0</v>
      </c>
      <c r="DN85" s="6">
        <f>COUNTIFS(Table83[Country],Tabela1[[#This Row],[Country]],Table83[Women''s K4 500m Classification],"&gt;0")</f>
        <v>0</v>
      </c>
      <c r="DO85" s="6">
        <f>COUNTIFS(Tabela126[Country],Tabela1[[#This Row],[Country]],Tabela126[Classification],"&gt;0")</f>
        <v>0</v>
      </c>
      <c r="DP85" s="6">
        <f>COUNTIFS(Tabela126130[Country],Tabela1[[#This Row],[Country]],Tabela126130[Classification],"&gt;0")</f>
        <v>0</v>
      </c>
      <c r="DQ85" s="6">
        <f>COUNTIFS(Table70[Country],Tabela1[[#This Row],[Country]],Table70[Classification],"&gt;0")</f>
        <v>0</v>
      </c>
      <c r="DR85" s="6">
        <f>COUNTIFS(Table80[Country],Tabela1[[#This Row],[Country]],Table80[Classification],"&gt;0")</f>
        <v>0</v>
      </c>
      <c r="DS85" s="6">
        <f>COUNTIFS(Table66[Country],Tabela1[[#This Row],[Country]],Table66[Classification],"&gt;0")</f>
        <v>0</v>
      </c>
      <c r="DT85" s="6">
        <f>COUNTIFS(Table67[Country],Tabela1[[#This Row],[Country]],Table67[Classification],"&gt;0")</f>
        <v>0</v>
      </c>
      <c r="DU85" s="6">
        <f>COUNTIFS(Table69[Country],Tabela1[[#This Row],[Country]],Table69[Keirin Classification],"&gt;0")</f>
        <v>0</v>
      </c>
      <c r="DV85" s="6">
        <f>COUNTIFS(Table41[Country],Tabela1[[#This Row],[Country]],Table41[Keirin Classification],"&gt;0")</f>
        <v>0</v>
      </c>
      <c r="DW85" s="6">
        <f>COUNTIFS(Table84[Country],Tabela1[[#This Row],[Country]],Table84[Men''s Madison Classification],"&gt;0")</f>
        <v>0</v>
      </c>
      <c r="DX85" s="6">
        <f>COUNTIFS(Table84[Country],Tabela1[[#This Row],[Country]],Table84[Women''s Madison Classification],"&gt;0")</f>
        <v>0</v>
      </c>
      <c r="DY85" s="6">
        <f>COUNTIFS(Table69[Country],Tabela1[[#This Row],[Country]],Table69[Omnium Classification],"&gt;0")</f>
        <v>0</v>
      </c>
      <c r="DZ85" s="6">
        <f>COUNTIFS(Table41[Country],Tabela1[[#This Row],[Country]],Table41[Omnium Classification],"&gt;0")</f>
        <v>0</v>
      </c>
      <c r="EA85" s="6">
        <f>COUNTIFS(Table9[Country],Tabela1[[#This Row],[Country]],Table9[Road Race Classification],"&gt;0")</f>
        <v>0</v>
      </c>
      <c r="EB85" s="6">
        <f>COUNTIFS(Table14[Country],Tabela1[[#This Row],[Country]],Table14[Road Race Classification],"&gt;0")</f>
        <v>0</v>
      </c>
      <c r="EC85" s="6">
        <f>COUNTIFS(Table69[Country],Tabela1[[#This Row],[Country]],Table69[Sprint Classification],"&gt;0")</f>
        <v>0</v>
      </c>
      <c r="ED85" s="6">
        <f>COUNTIFS(Table41[Country],Tabela1[[#This Row],[Country]],Table41[Sprint Classification],"&gt;0")</f>
        <v>0</v>
      </c>
      <c r="EE85" s="6">
        <f>COUNTIFS(Table85[Country],Tabela1[[#This Row],[Country]],Table85[Men''s Sprint Classification],"&gt;0")</f>
        <v>0</v>
      </c>
      <c r="EF85" s="6">
        <f>COUNTIFS(Table85[Country],Tabela1[[#This Row],[Country]],Table85[Women''s Sprint Classification],"&gt;0")</f>
        <v>0</v>
      </c>
      <c r="EG85" s="6">
        <f>COUNTIFS(Table85[Country],Tabela1[[#This Row],[Country]],Table85[Men''s Pursuit Classification],"&gt;0")</f>
        <v>0</v>
      </c>
      <c r="EH85" s="6">
        <f>COUNTIFS(Table85[Country],Tabela1[[#This Row],[Country]],Table85[Women''s Pursuit Classification],"&gt;0")</f>
        <v>0</v>
      </c>
      <c r="EI85" s="6">
        <f>COUNTIFS(Table9[Country],Tabela1[[#This Row],[Country]],Table9[Time-Trial Classification],"&gt;0")</f>
        <v>0</v>
      </c>
      <c r="EJ85" s="6">
        <f>COUNTIFS(Table14[Country],Tabela1[[#This Row],[Country]],Table14[Time-Trial Classification],"&gt;0")</f>
        <v>0</v>
      </c>
      <c r="EK85" s="6">
        <f>COUNTIFS(Table42[Country],Tabela1[[#This Row],[Country]],Table42[Springboard Classification],"&gt;0")</f>
        <v>0</v>
      </c>
      <c r="EL85" s="6">
        <f>COUNTIFS(Table43[Country],Tabela1[[#This Row],[Country]],Table43[Springboard Classification],"&gt;0")</f>
        <v>0</v>
      </c>
      <c r="EM85" s="6">
        <f>COUNTIFS(Table42[Country],Tabela1[[#This Row],[Country]],Table42[Platform Classification],"&gt;0")</f>
        <v>0</v>
      </c>
      <c r="EN85" s="6">
        <f>COUNTIFS(Table43[Country],Tabela1[[#This Row],[Country]],Table43[Platform Classification],"&gt;0")</f>
        <v>0</v>
      </c>
      <c r="EO85" s="6">
        <f>COUNTIFS(Table86[Country],Tabela1[[#This Row],[Country]],Table86[Men''s Synchronized Springboard Classification],"&gt;0")</f>
        <v>0</v>
      </c>
      <c r="EP85" s="6">
        <f>COUNTIFS(Table86[Country],Tabela1[[#This Row],[Country]],Table86[Women''s Synchronized Springboard Classification],"&gt;0")</f>
        <v>0</v>
      </c>
      <c r="EQ85" s="6">
        <f>COUNTIFS(Table86[Country],Tabela1[[#This Row],[Country]],Table86[Men''s Synchronized Platform Classification],"&gt;0")</f>
        <v>0</v>
      </c>
      <c r="ER85" s="6">
        <f>COUNTIFS(Table86[Country],Tabela1[[#This Row],[Country]],Table86[Women''s Synchronized Platform Classification],"&gt;0")</f>
        <v>0</v>
      </c>
      <c r="ES85" s="6">
        <f>COUNTIFS(Table44[Country],Tabela1[[#This Row],[Country]],Table44[Dressage Classification],"&gt;0")</f>
        <v>0</v>
      </c>
      <c r="ET85" s="6">
        <f>COUNTIFS(Table45[Country],Tabela1[[#This Row],[Country]],Table45[Dressage Classification],"&gt;0")</f>
        <v>0</v>
      </c>
      <c r="EU85" s="6">
        <f>COUNTIFS(Table44[Country],Tabela1[[#This Row],[Country]],Table44[Eventing Classification],"&gt;0")</f>
        <v>0</v>
      </c>
      <c r="EV85" s="6">
        <f>COUNTIFS(Table45[Country],Tabela1[[#This Row],[Country]],Table45[Eventing Classification],"&gt;0")</f>
        <v>0</v>
      </c>
      <c r="EW85" s="6">
        <f>COUNTIFS(Table44[Country],Tabela1[[#This Row],[Country]],Table44[Jumping Classification],"&gt;0")</f>
        <v>0</v>
      </c>
      <c r="EX85" s="6">
        <f>COUNTIFS(Table45[Country],Tabela1[[#This Row],[Country]],Table45[Jumping Classification],"&gt;0")</f>
        <v>0</v>
      </c>
      <c r="EY85" s="6">
        <f>COUNTIFS(Table10[Country],Tabela1[[#This Row],[Country]],Table10[Épée Classification],"&gt;0")</f>
        <v>0</v>
      </c>
      <c r="EZ85" s="6">
        <f>COUNTIFS(Table11[Country],Tabela1[[#This Row],[Country]],Table11[Épée Classification],"&gt;0")</f>
        <v>0</v>
      </c>
      <c r="FA85" s="6">
        <f>COUNTIFS(Table46[Country],Tabela1[[#This Row],[Country]],Table46[Men''s Épée Classification],"&gt;0")</f>
        <v>0</v>
      </c>
      <c r="FB85" s="6">
        <f>COUNTIFS(Table46[Country],Tabela1[[#This Row],[Country]],Table46[Women''s Épée Classification],"&gt;0")</f>
        <v>0</v>
      </c>
      <c r="FC85" s="6">
        <f>COUNTIFS(Table10[Country],Tabela1[[#This Row],[Country]],Table10[Foil Classification],"&gt;0")</f>
        <v>0</v>
      </c>
      <c r="FD85" s="6">
        <f>COUNTIFS(Table11[Country],Tabela1[[#This Row],[Country]],Table11[Foil Classification],"&gt;0")</f>
        <v>0</v>
      </c>
      <c r="FE85" s="6">
        <f>COUNTIFS(Table46[Country],Tabela1[[#This Row],[Country]],Table46[Men''s Foil Classification],"&gt;0")</f>
        <v>0</v>
      </c>
      <c r="FF85" s="6">
        <f>COUNTIFS(Table46[Country],Tabela1[[#This Row],[Country]],Table46[Women''s Foil Classification],"&gt;0")</f>
        <v>0</v>
      </c>
      <c r="FG85" s="6">
        <f>COUNTIFS(Table10[Country],Tabela1[[#This Row],[Country]],Table10[Sabre Classification],"&gt;0")</f>
        <v>0</v>
      </c>
      <c r="FH85" s="6">
        <f>COUNTIFS(Table11[Country],Tabela1[[#This Row],[Country]],Table11[Sabre Classification],"&gt;0")</f>
        <v>0</v>
      </c>
      <c r="FI85" s="6">
        <f>COUNTIFS(Table46[Country],Tabela1[[#This Row],[Country]],Table46[Men''s Sabre Classification],"&gt;0")</f>
        <v>0</v>
      </c>
      <c r="FJ85" s="6">
        <f>COUNTIFS(Table46[Country],Tabela1[[#This Row],[Country]],Table46[Women''s Sabre Classification],"&gt;0")</f>
        <v>0</v>
      </c>
      <c r="FK85" s="6">
        <f>COUNTIFS(Table91[Country],Tabela1[[#This Row],[Country]],Table91[Men''s Classification],"&gt;0")</f>
        <v>0</v>
      </c>
      <c r="FL85" s="6">
        <f>COUNTIFS(Table91[Country],Tabela1[[#This Row],[Country]],Table91[Women''s Classification],"&gt;0")</f>
        <v>0</v>
      </c>
      <c r="FM85" s="6">
        <f>COUNTIFS(Table9194[Country],Tabela1[[#This Row],[Country]],Table9194[Men''s Classification],"&gt;0")</f>
        <v>0</v>
      </c>
      <c r="FN85" s="6">
        <f>COUNTIFS(Table9194[Country],Tabela1[[#This Row],[Country]],Table9194[Women''s Classification],"&gt;0")</f>
        <v>0</v>
      </c>
      <c r="FO85" s="6">
        <f>COUNTIFS(Table71[Country],Tabela1[[#This Row],[Country]],Table71[Classification],"&gt;0")</f>
        <v>0</v>
      </c>
      <c r="FP85" s="6">
        <f>COUNTIFS(Table62[Country],Tabela1[[#This Row],[Country]],Table62[Classification],"&gt;0")</f>
        <v>0</v>
      </c>
      <c r="FQ85" s="6">
        <f>COUNTIFS(Table47[Country],Tabela1[[#This Row],[Country]],Table47[All-Around Classification],"&gt;0")</f>
        <v>0</v>
      </c>
      <c r="FR85" s="6">
        <f>COUNTIFS(Table48[Country],Tabela1[[#This Row],[Country]],Table48[All-Around Classification],"&gt;0")</f>
        <v>0</v>
      </c>
      <c r="FS85" s="6">
        <f>COUNTIFS(Table81[Country],Tabela1[[#This Row],[Country]],Table81[Men''s All-Around Classification],"&gt;0")</f>
        <v>0</v>
      </c>
      <c r="FT85" s="6">
        <f>COUNTIFS(Table81[Country],Tabela1[[#This Row],[Country]],Table81[Women''s All-Around Classification],"&gt;0")</f>
        <v>0</v>
      </c>
      <c r="FU85" s="6">
        <f>COUNTIFS(Table48[Country],Tabela1[[#This Row],[Country]],Table48[Balance Beam Classification],"&gt;0")</f>
        <v>0</v>
      </c>
      <c r="FV85" s="6">
        <f>COUNTIFS(Table47[Country],Tabela1[[#This Row],[Country]],Table47[Floor Exercise Classification],"&gt;0")</f>
        <v>0</v>
      </c>
      <c r="FW85" s="6">
        <f>COUNTIFS(Table48[Country],Tabela1[[#This Row],[Country]],Table48[Floor Exercise Classification],"&gt;0")</f>
        <v>0</v>
      </c>
      <c r="FX85" s="6">
        <f>COUNTIFS(Table47[Country],Tabela1[[#This Row],[Country]],Table47[Horizontal Bar Classification],"&gt;0")</f>
        <v>0</v>
      </c>
      <c r="FY85" s="6">
        <f>COUNTIFS(Table47[Country],Tabela1[[#This Row],[Country]],Table47[Parallel Bars Classification],"&gt;0")</f>
        <v>0</v>
      </c>
      <c r="FZ85" s="6">
        <f>COUNTIFS(Table47[Country],Tabela1[[#This Row],[Country]],Table47[Pommel Horse Classification],"&gt;0")</f>
        <v>0</v>
      </c>
      <c r="GA85" s="6">
        <f>COUNTIFS(Table47[Country],Tabela1[[#This Row],[Country]],Table47[Rings Classification],"&gt;0")</f>
        <v>0</v>
      </c>
      <c r="GB85" s="6">
        <f>COUNTIFS(Tabela132[Country],Tabela1[[#This Row],[Country]],Tabela132[Classification],"&gt;0")</f>
        <v>0</v>
      </c>
      <c r="GC85" s="6">
        <f>COUNTIFS(Tabela139[Country],Tabela1[[#This Row],[Country]],Tabela139[Classification],"&gt;0")</f>
        <v>0</v>
      </c>
      <c r="GD85" s="6">
        <f>COUNTIFS(Table48[Country],Tabela1[[#This Row],[Country]],Table48[Uneven Bars Classification],"&gt;0")</f>
        <v>0</v>
      </c>
      <c r="GE85" s="6">
        <f>COUNTIFS(Table47[Country],Tabela1[[#This Row],[Country]],Table47[Vault Classification],"&gt;0")</f>
        <v>0</v>
      </c>
      <c r="GF85" s="6">
        <f>COUNTIFS(Table48[Country],Tabela1[[#This Row],[Country]],Table48[Vault Classification],"&gt;0")</f>
        <v>0</v>
      </c>
      <c r="GG85" s="6">
        <f>COUNTIFS(Table919496[Country],Tabela1[[#This Row],[Country]],Table919496[Men''s Classification],"&gt;0")</f>
        <v>0</v>
      </c>
      <c r="GH85" s="6">
        <f>COUNTIFS(Table919496[Country],Tabela1[[#This Row],[Country]],Table919496[Women''s Classification],"&gt;0")</f>
        <v>0</v>
      </c>
      <c r="GI85" s="6">
        <f>COUNTIFS(Table12[Country],Tabela1[[#This Row],[Country]],Table12[60kg Classification],"&gt;0")</f>
        <v>0</v>
      </c>
      <c r="GJ85" s="6">
        <f>COUNTIFS(Table12[Country],Tabela1[[#This Row],[Country]],Table12[66kg Classification],"&gt;0")</f>
        <v>0</v>
      </c>
      <c r="GK85" s="6">
        <f>COUNTIFS(Table12[Country],Tabela1[[#This Row],[Country]],Table12[73kg Classification],"&gt;0")</f>
        <v>0</v>
      </c>
      <c r="GL85" s="6">
        <f>COUNTIFS(Table12[Country],Tabela1[[#This Row],[Country]],Table12[81kg Classification],"&gt;0")</f>
        <v>0</v>
      </c>
      <c r="GM85" s="6">
        <f>COUNTIFS(Table12[Country],Tabela1[[#This Row],[Country]],Table12[90kg Classification],"&gt;0")</f>
        <v>0</v>
      </c>
      <c r="GN85" s="6">
        <f>COUNTIFS(Table12[Country],Tabela1[[#This Row],[Country]],Table12[100kg Classification],"&gt;0")</f>
        <v>0</v>
      </c>
      <c r="GO85" s="6">
        <f>COUNTIFS(Table12[Country],Tabela1[[#This Row],[Country]],Table12[Plus 100kg Classification],"&gt;0")</f>
        <v>0</v>
      </c>
      <c r="GP85" s="6">
        <f>COUNTIFS(Table13[Country],Tabela1[[#This Row],[Country]],Table13[48kg Classification],"&gt;0")</f>
        <v>0</v>
      </c>
      <c r="GQ85" s="6">
        <f>COUNTIFS(Table13[Country],Tabela1[[#This Row],[Country]],Table13[52kg Classification],"&gt;0")</f>
        <v>0</v>
      </c>
      <c r="GR85" s="6">
        <f>COUNTIFS(Table13[Country],Tabela1[[#This Row],[Country]],Table13[57kg Classification],"&gt;0")</f>
        <v>0</v>
      </c>
      <c r="GS85" s="6">
        <f>COUNTIFS(Table13[Country],Tabela1[[#This Row],[Country]],Table13[63kg Classification],"&gt;0")</f>
        <v>0</v>
      </c>
      <c r="GT85" s="6">
        <f>COUNTIFS(Table13[Country],Tabela1[[#This Row],[Country]],Table13[70kg Classification],"&gt;0")</f>
        <v>0</v>
      </c>
      <c r="GU85" s="6">
        <f>COUNTIFS(Table13[Country],Tabela1[[#This Row],[Country]],Table13[78kg Classification],"&gt;0")</f>
        <v>0</v>
      </c>
      <c r="GV85" s="6">
        <f>COUNTIFS(Table13[Country],Tabela1[[#This Row],[Country]],Table13[Plus 78kg Classification],"&gt;0")</f>
        <v>0</v>
      </c>
      <c r="GW85" s="6">
        <f>COUNTIFS(Table82[Country],Tabela1[[#This Row],[Country]],Table82[Mixed Classification],"&gt;0")</f>
        <v>0</v>
      </c>
      <c r="GX85" s="6">
        <f>COUNTIFS(Table51[Country],Tabela1[[#This Row],[Country]],Table51[Classification],"&gt;0")</f>
        <v>0</v>
      </c>
      <c r="GY85" s="6">
        <f>COUNTIFS(Table52[Country],Tabela1[[#This Row],[Country]],Table52[Classification],"&gt;0")</f>
        <v>0</v>
      </c>
      <c r="GZ85" s="6">
        <f>COUNTIFS(Table32[Country],Tabela1[[#This Row],[Country]],Table32[All-Around Classification],"&gt;0")</f>
        <v>0</v>
      </c>
      <c r="HA85" s="6">
        <f>COUNTIFS(Table49[Country],Tabela1[[#This Row],[Country]],Table49[All-Around Classification],"&gt;0")</f>
        <v>0</v>
      </c>
      <c r="HB85" s="6">
        <f>COUNTIFS(Table26[Country],Tabela1[[#This Row],[Country]],Table26[Single Sculls Classification],"&gt;0")</f>
        <v>0</v>
      </c>
      <c r="HC85" s="6">
        <f>COUNTIFS(Table63[Country],Tabela1[[#This Row],[Country]],Table63[Single Sculls Classification],"&gt;0")</f>
        <v>0</v>
      </c>
      <c r="HD85" s="6">
        <f>COUNTIFS(Table16[Country],Tabela1[[#This Row],[Country]],Table16[Men''s Double Sculls Classification],"&gt;0")</f>
        <v>0</v>
      </c>
      <c r="HE85" s="6">
        <f>COUNTIFS(Table16[Country],Tabela1[[#This Row],[Country]],Table16[Women''s Double Sculls Classification],"&gt;0")</f>
        <v>0</v>
      </c>
      <c r="HF85" s="6">
        <f>COUNTIFS(Table72[Country],Tabela1[[#This Row],[Country]],Table72[Men''s Quadruple Sculls Classification],"&gt;0")</f>
        <v>0</v>
      </c>
      <c r="HG85" s="6">
        <f>COUNTIFS(Table72[Country],Tabela1[[#This Row],[Country]],Table72[Women''s Quadruple Sculls Classification],"&gt;0")</f>
        <v>0</v>
      </c>
      <c r="HH85" s="6">
        <f>COUNTIFS(Table16[Country],Tabela1[[#This Row],[Country]],Table16[Men''s Coxless Pairs Classification],"&gt;0")</f>
        <v>0</v>
      </c>
      <c r="HI85" s="6">
        <f>COUNTIFS(Table16[Country],Tabela1[[#This Row],[Country]],Table16[Women''s Coxless Pairs Classification],"&gt;0")</f>
        <v>0</v>
      </c>
      <c r="HJ85" s="6">
        <f>COUNTIFS(Table72[Country],Tabela1[[#This Row],[Country]],Table72[Men''s Coxless Fours Classification],"&gt;0")</f>
        <v>0</v>
      </c>
      <c r="HK85" s="6">
        <f>COUNTIFS(Table72[Country],Tabela1[[#This Row],[Country]],Table72[Women''s Coxless Fours Classification],"&gt;0")</f>
        <v>0</v>
      </c>
      <c r="HL85" s="6">
        <f>COUNTIFS(Table72[Country],Tabela1[[#This Row],[Country]],Table72[Men''s Eights Classification],"&gt;0")</f>
        <v>0</v>
      </c>
      <c r="HM85" s="6">
        <f>COUNTIFS(Table72[Country],Tabela1[[#This Row],[Country]],Table72[Women''s Eights Classification],"&gt;0")</f>
        <v>0</v>
      </c>
      <c r="HN85" s="6">
        <f>COUNTIFS(Table16[Country],Tabela1[[#This Row],[Country]],Table16[Men''s Lwt. Double Sculls Classification],"&gt;0")</f>
        <v>0</v>
      </c>
      <c r="HO85" s="6">
        <f>COUNTIFS(Table16[Country],Tabela1[[#This Row],[Country]],Table16[Women''s Lwt. Double Sculls Classification],"&gt;0")</f>
        <v>0</v>
      </c>
      <c r="HP85" s="6">
        <f>COUNTIFS(Table91949698[Country],Tabela1[[#This Row],[Country]],Table91949698[Men''s Classification],"&gt;0")</f>
        <v>0</v>
      </c>
      <c r="HQ85" s="6">
        <f>COUNTIFS(Table91949698[Country],Tabela1[[#This Row],[Country]],Table91949698[Women''s Classification],"&gt;0")</f>
        <v>0</v>
      </c>
      <c r="HR85" s="6">
        <f>COUNTIFS(Table25[Country],Tabela1[[#This Row],[Country]],Table25[Mixed 470 Classification],"&gt;0")</f>
        <v>0</v>
      </c>
      <c r="HS85" s="6">
        <f>COUNTIFS(Table25[Country],Tabela1[[#This Row],[Country]],Table25[Men''s 49er Classification],"&gt;0")</f>
        <v>0</v>
      </c>
      <c r="HT85" s="6">
        <f>COUNTIFS(Table25[Country],Tabela1[[#This Row],[Country]],Table25[Women''s 49er FX Classification],"&gt;0")</f>
        <v>0</v>
      </c>
      <c r="HU85" s="6">
        <f>COUNTIFS(Table17[Country],Tabela1[[#This Row],[Country]],Table17[Formula Kite Classification],"&gt;0")</f>
        <v>0</v>
      </c>
      <c r="HV85" s="6">
        <f>COUNTIFS(Table18[Country],Tabela1[[#This Row],[Country]],Table18[Formula Kite Classification],"&gt;0")</f>
        <v>0</v>
      </c>
      <c r="HW85" s="6">
        <f>COUNTIFS(Table17[Country],Tabela1[[#This Row],[Country]],Table17[ILCA 7 Classification],"&gt;0")</f>
        <v>0</v>
      </c>
      <c r="HX85" s="6">
        <f>COUNTIFS(Table18[Country],Tabela1[[#This Row],[Country]],Table18[ILCA 6 Classification],"&gt;0")</f>
        <v>0</v>
      </c>
      <c r="HY85" s="6">
        <f>COUNTIFS(Table17[Country],Tabela1[[#This Row],[Country]],Table17[IQFoil Classification],"&gt;0")</f>
        <v>0</v>
      </c>
      <c r="HZ85" s="6">
        <f>COUNTIFS(Table18[Country],Tabela1[[#This Row],[Country]],Table18[IQFoil Classification],"&gt;0")</f>
        <v>0</v>
      </c>
      <c r="IA85" s="6">
        <f>COUNTIFS(Table25[Country],Tabela1[[#This Row],[Country]],Table25[Mixed Nacra 17 Classification],"&gt;0")</f>
        <v>0</v>
      </c>
      <c r="IB85" s="6">
        <f>COUNTIFS(Table53[Country],Tabela1[[#This Row],[Country]],Table53[10m Air Pistol Classification],"&gt;0")</f>
        <v>0</v>
      </c>
      <c r="IC85" s="6">
        <f>COUNTIFS(Table19[Country],Tabela1[[#This Row],[Country]],Table19[10m Air Pistol Classification],"&gt;0")</f>
        <v>0</v>
      </c>
      <c r="ID85" s="6">
        <f>COUNTIFS(Table54[Country],Tabela1[[#This Row],[Country]],Table54[Mixed 10m Air Pistol Team Classification],"&gt;0")</f>
        <v>0</v>
      </c>
      <c r="IE85" s="6">
        <f>COUNTIFS(Table53[Country],Tabela1[[#This Row],[Country]],Table53[10m Air Rifle Classification],"&gt;0")</f>
        <v>0</v>
      </c>
      <c r="IF85" s="6">
        <f>COUNTIFS(Table19[Country],Tabela1[[#This Row],[Country]],Table19[10m Air Rifle Classification],"&gt;0")</f>
        <v>0</v>
      </c>
      <c r="IG85" s="6">
        <f>COUNTIFS(Table54[Country],Tabela1[[#This Row],[Country]],Table54[Mixed 10m Air Rifle Team Classification],"&gt;0")</f>
        <v>0</v>
      </c>
      <c r="IH85" s="6">
        <f>COUNTIFS(Table53[Country],Tabela1[[#This Row],[Country]],Table53[25m Rapid Fire Pistol Classification],"&gt;0")</f>
        <v>0</v>
      </c>
      <c r="II85" s="6">
        <f>COUNTIFS(Table19[Country],Tabela1[[#This Row],[Country]],Table19[25m Pistol Classification],"&gt;0")</f>
        <v>0</v>
      </c>
      <c r="IJ85" s="6">
        <f>COUNTIFS(Table53[Country],Tabela1[[#This Row],[Country]],Table53[50m Rifle 3 Positions Classification],"&gt;0")</f>
        <v>0</v>
      </c>
      <c r="IK85" s="6">
        <f>COUNTIFS(Table19[Country],Tabela1[[#This Row],[Country]],Table19[50m Rifle 3 Positions Classification],"&gt;0")</f>
        <v>0</v>
      </c>
      <c r="IL85" s="6">
        <f>COUNTIFS(Table53[Country],Tabela1[[#This Row],[Country]],Table53[Skeet Classification],"&gt;0")</f>
        <v>0</v>
      </c>
      <c r="IM85" s="6">
        <f>COUNTIFS(Table19[Country],Tabela1[[#This Row],[Country]],Table19[Skeet Classification],"&gt;0")</f>
        <v>0</v>
      </c>
      <c r="IN85" s="6">
        <f>COUNTIFS(Table54[Country],Tabela1[[#This Row],[Country]],Table54[Mixed Skeet Team Classification],"&gt;0")</f>
        <v>0</v>
      </c>
      <c r="IO85" s="6">
        <f>COUNTIFS(Table53[Country],Tabela1[[#This Row],[Country]],Table53[Trap Classification],"&gt;0")</f>
        <v>0</v>
      </c>
      <c r="IP85" s="6">
        <f>COUNTIFS(Table19[Country],Tabela1[[#This Row],[Country]],Table19[Trap Classification],"&gt;0")</f>
        <v>0</v>
      </c>
      <c r="IQ85" s="6">
        <f>COUNTIFS(Table73[Country],Tabela1[[#This Row],[Country]],Table73[Park Classification],"&gt;0")</f>
        <v>0</v>
      </c>
      <c r="IR85" s="6">
        <f>COUNTIFS(Table74[Country],Tabela1[[#This Row],[Country]],Table74[Park Classification],"&gt;0")</f>
        <v>0</v>
      </c>
      <c r="IS85" s="6">
        <f>COUNTIFS(Table73[Country],Tabela1[[#This Row],[Country]],Table73[Street Classification],"&gt;0")</f>
        <v>0</v>
      </c>
      <c r="IT85" s="6">
        <f>COUNTIFS(Table74[Country],Tabela1[[#This Row],[Country]],Table74[Street Classification],"&gt;0")</f>
        <v>0</v>
      </c>
      <c r="IU85" s="6">
        <f>COUNTIFS(Table75[Country],Tabela1[[#This Row],[Country]],Table75[Boulder and Lead Classification],"&gt;0")</f>
        <v>0</v>
      </c>
      <c r="IV85" s="6">
        <f>COUNTIFS(Table76[Country],Tabela1[[#This Row],[Country]],Table76[Boulder and Lead Classification],"&gt;0")</f>
        <v>0</v>
      </c>
      <c r="IW85" s="6">
        <f>COUNTIFS(Table75[Country],Tabela1[[#This Row],[Country]],Table75[Speed Classification],"&gt;0")</f>
        <v>0</v>
      </c>
      <c r="IX85" s="6">
        <f>COUNTIFS(Table76[Country],Tabela1[[#This Row],[Country]],Table76[Speed Classification],"&gt;0")</f>
        <v>0</v>
      </c>
      <c r="IY85" s="6">
        <f>COUNTIFS(Table64[Country],Tabela1[[#This Row],[Country]],Table64[Shortboard Classification],"&gt;0")</f>
        <v>0</v>
      </c>
      <c r="IZ85" s="6">
        <f>COUNTIFS(Table77[Country],Tabela1[[#This Row],[Country]],Table77[Shortboard Classification],"&gt;0")</f>
        <v>0</v>
      </c>
      <c r="JA85" s="6">
        <f>COUNTIFS(Table20[Country],Tabela1[[#This Row],[Country]],Table20[50m Freestyle Classification],"&gt;0")</f>
        <v>0</v>
      </c>
      <c r="JB85" s="6">
        <f>COUNTIFS(Table21[Country],Tabela1[[#This Row],[Country]],Table21[50m Freestyle Classification],"&gt;0")</f>
        <v>0</v>
      </c>
      <c r="JC85" s="6">
        <f>COUNTIFS(Table20[Country],Tabela1[[#This Row],[Country]],Table20[100m Freestyle Classification],"&gt;0")</f>
        <v>1</v>
      </c>
      <c r="JD85" s="6">
        <f>COUNTIFS(Table21[Country],Tabela1[[#This Row],[Country]],Table21[100m Freestyle Classification],"&gt;0")</f>
        <v>0</v>
      </c>
      <c r="JE85" s="6">
        <f>COUNTIFS(Table20[Country],Tabela1[[#This Row],[Country]],Table20[200m Freestyle Classification],"&gt;0")</f>
        <v>0</v>
      </c>
      <c r="JF85" s="6">
        <f>COUNTIFS(Table21[Country],Tabela1[[#This Row],[Country]],Table21[200m Freestyle Classification],"&gt;0")</f>
        <v>0</v>
      </c>
      <c r="JG85" s="6">
        <f>COUNTIFS(Table20[Country],Tabela1[[#This Row],[Country]],Table20[400m Freestyle Classification],"&gt;0")</f>
        <v>0</v>
      </c>
      <c r="JH85" s="6">
        <f>COUNTIFS(Table21[Country],Tabela1[[#This Row],[Country]],Table21[400m Freestyle Classification],"&gt;0")</f>
        <v>0</v>
      </c>
      <c r="JI85" s="6">
        <f>COUNTIFS(Table20[Country],Tabela1[[#This Row],[Country]],Table20[800m Freestyle Classification],"&gt;0")</f>
        <v>0</v>
      </c>
      <c r="JJ85" s="6">
        <f>COUNTIFS(Table21[Country],Tabela1[[#This Row],[Country]],Table21[800m Freestyle Classification],"&gt;0")</f>
        <v>0</v>
      </c>
      <c r="JK85" s="6">
        <f>COUNTIFS(Table20[Country],Tabela1[[#This Row],[Country]],Table20[1500m Freestyle Classification],"&gt;0")</f>
        <v>0</v>
      </c>
      <c r="JL85" s="6">
        <f>COUNTIFS(Table21[Country],Tabela1[[#This Row],[Country]],Table21[1500m Freestyle Classification],"&gt;0")</f>
        <v>0</v>
      </c>
      <c r="JM85" s="6">
        <f>COUNTIFS(Table20[Country],Tabela1[[#This Row],[Country]],Table20[100m Backstroke Classification],"&gt;0")</f>
        <v>0</v>
      </c>
      <c r="JN85" s="6">
        <f>COUNTIFS(Table21[Country],Tabela1[[#This Row],[Country]],Table21[100m Backstroke Classification],"&gt;0")</f>
        <v>0</v>
      </c>
      <c r="JO85" s="6">
        <f>COUNTIFS(Table20[Country],Tabela1[[#This Row],[Country]],Table20[200m Backstroke Classification],"&gt;0")</f>
        <v>0</v>
      </c>
      <c r="JP85" s="6">
        <f>COUNTIFS(Table21[Country],Tabela1[[#This Row],[Country]],Table21[200m Backstroke Classification],"&gt;0")</f>
        <v>0</v>
      </c>
      <c r="JQ85" s="6">
        <f>COUNTIFS(Table20[Country],Tabela1[[#This Row],[Country]],Table20[100m Breaststroke Classification],"&gt;0")</f>
        <v>0</v>
      </c>
      <c r="JR85" s="6">
        <f>COUNTIFS(Table21[Country],Tabela1[[#This Row],[Country]],Table21[100m Breaststroke Classification],"&gt;0")</f>
        <v>0</v>
      </c>
      <c r="JS85" s="6">
        <f>COUNTIFS(Table20[Country],Tabela1[[#This Row],[Country]],Table20[200m Breaststroke Classification],"&gt;0")</f>
        <v>0</v>
      </c>
      <c r="JT85" s="6">
        <f>COUNTIFS(Table21[Country],Tabela1[[#This Row],[Country]],Table21[200m Breaststroke Classification],"&gt;0")</f>
        <v>0</v>
      </c>
      <c r="JU85" s="6">
        <f>COUNTIFS(Table20[Country],Tabela1[[#This Row],[Country]],Table20[100m Butterfly Classification],"&gt;0")</f>
        <v>0</v>
      </c>
      <c r="JV85" s="6">
        <f>COUNTIFS(Table21[Country],Tabela1[[#This Row],[Country]],Table21[100m Butterfly Classification],"&gt;0")</f>
        <v>0</v>
      </c>
      <c r="JW85" s="6">
        <f>COUNTIFS(Table20[Country],Tabela1[[#This Row],[Country]],Table20[200m Butterfly Classification],"&gt;0")</f>
        <v>0</v>
      </c>
      <c r="JX85" s="6">
        <f>COUNTIFS(Table21[Country],Tabela1[[#This Row],[Country]],Table21[200m Butterfly Classification],"&gt;0")</f>
        <v>0</v>
      </c>
      <c r="JY85" s="6">
        <f>COUNTIFS(Table20[Country],Tabela1[[#This Row],[Country]],Table20[200m Medley Classification],"&gt;0")</f>
        <v>0</v>
      </c>
      <c r="JZ85" s="6">
        <f>COUNTIFS(Table21[Country],Tabela1[[#This Row],[Country]],Table21[200m Medley Classification],"&gt;0")</f>
        <v>0</v>
      </c>
      <c r="KA85" s="6">
        <f>COUNTIFS(Table20[Country],Tabela1[[#This Row],[Country]],Table20[400m Medley Classification],"&gt;0")</f>
        <v>0</v>
      </c>
      <c r="KB85" s="6">
        <f>COUNTIFS(Table21[Country],Tabela1[[#This Row],[Country]],Table21[400m Medley Classification],"&gt;0")</f>
        <v>0</v>
      </c>
      <c r="KC85" s="6">
        <f>COUNTIFS(Table78[Country],Tabela1[[#This Row],[Country]],Table78[Men''s 4x100m Freestyle Relay Classification],"&gt;0")</f>
        <v>0</v>
      </c>
      <c r="KD85" s="6">
        <f>COUNTIFS(Table78[Country],Tabela1[[#This Row],[Country]],Table78[Women''s 4x100m Freestyle Relay Classification],"&gt;0")</f>
        <v>0</v>
      </c>
      <c r="KE85" s="6">
        <f>COUNTIFS(Table78[Country],Tabela1[[#This Row],[Country]],Table78[Men''s 4x200m Freestyle Relay Classification],"&gt;0")</f>
        <v>0</v>
      </c>
      <c r="KF85" s="6">
        <f>COUNTIFS(Table78[Country],Tabela1[[#This Row],[Country]],Table78[Women''s 4x200m Freestyle Relay Classification],"&gt;0")</f>
        <v>0</v>
      </c>
      <c r="KG85" s="6">
        <f>COUNTIFS(Table78[Country],Tabela1[[#This Row],[Country]],Table78[Men''s 4x100m Medley Relay Classification],"&gt;0")</f>
        <v>0</v>
      </c>
      <c r="KH85" s="6">
        <f>COUNTIFS(Table78[Country],Tabela1[[#This Row],[Country]],Table78[Women''s 4x100m Medley Relay Classification],"&gt;0")</f>
        <v>0</v>
      </c>
      <c r="KI85" s="6">
        <f>COUNTIFS(Table78[Country],Tabela1[[#This Row],[Country]],Table78[Mixed 4x100m Medley Relay Classification],"&gt;0")</f>
        <v>0</v>
      </c>
      <c r="KJ85" s="6">
        <f>COUNTIFS(Table20[Country],Tabela1[[#This Row],[Country]],Table20[10km Open Water Classification],"&gt;0")</f>
        <v>0</v>
      </c>
      <c r="KK85" s="6">
        <f>COUNTIFS(Table21[Country],Tabela1[[#This Row],[Country]],Table21[10km Open Water Classification],"&gt;0")</f>
        <v>0</v>
      </c>
      <c r="KL85" s="6">
        <f>COUNTIFS(Table22[Country],Tabela1[[#This Row],[Country]],Table22[Classification],"&gt;0")</f>
        <v>0</v>
      </c>
      <c r="KM85" s="6">
        <f>COUNTIFS(Table30[Country],Tabela1[[#This Row],[Country]],Table30[Classification],"&gt;0")</f>
        <v>0</v>
      </c>
      <c r="KN85" s="6">
        <f>COUNTIFS(Table55[Country],Tabela1[[#This Row],[Country]],Table55[Men''s Classification],"&gt;0")</f>
        <v>0</v>
      </c>
      <c r="KO85" s="6">
        <f>COUNTIFS(Table55[Country],Tabela1[[#This Row],[Country]],Table55[Women''s Classification],"&gt;0")</f>
        <v>0</v>
      </c>
      <c r="KP85" s="6">
        <f>COUNTIFS(Table56[Country],Tabela1[[#This Row],[Country]],Table56[Mixed Classification],"&gt;0")</f>
        <v>0</v>
      </c>
      <c r="KQ85" s="6">
        <f>COUNTIFS(Table29[Country],Tabela1[[#This Row],[Country]],Table29[58kg Classification],"&gt;0")</f>
        <v>0</v>
      </c>
      <c r="KR85" s="6">
        <f>COUNTIFS(Table29[Country],Tabela1[[#This Row],[Country]],Table29[68kg Classification],"&gt;0")</f>
        <v>0</v>
      </c>
      <c r="KS85" s="6">
        <f>COUNTIFS(Table29[Country],Tabela1[[#This Row],[Country]],Table29[80kg Classification],"&gt;0")</f>
        <v>0</v>
      </c>
      <c r="KT85" s="6">
        <f>COUNTIFS(Table29[Country],Tabela1[[#This Row],[Country]],Table29[Plus 80kg Classification],"&gt;0")</f>
        <v>0</v>
      </c>
      <c r="KU85" s="6">
        <f>COUNTIFS(Table34[Country],Tabela1[[#This Row],[Country]],Table34[49kg Classification],"&gt;0")</f>
        <v>0</v>
      </c>
      <c r="KV85" s="6">
        <f>COUNTIFS(Table34[Country],Tabela1[[#This Row],[Country]],Table34[57kg Classification],"&gt;0")</f>
        <v>1</v>
      </c>
      <c r="KW85" s="6">
        <f>COUNTIFS(Table34[Country],Tabela1[[#This Row],[Country]],Table34[67kg Classification],"&gt;0")</f>
        <v>0</v>
      </c>
      <c r="KX85" s="6">
        <f>COUNTIFS(Table34[Country],Tabela1[[#This Row],[Country]],Table34[Plus 67kg Classification],"&gt;0")</f>
        <v>0</v>
      </c>
      <c r="KY85" s="6">
        <f>COUNTIFS(Table57[Country],Tabela1[[#This Row],[Country]],Table57[Classification],"&gt;0")</f>
        <v>1</v>
      </c>
      <c r="KZ85" s="6">
        <f>COUNTIFS(Table58[Country],Tabela1[[#This Row],[Country]],Table58[Classification],"&gt;0")</f>
        <v>0</v>
      </c>
      <c r="LA85" s="6">
        <f>COUNTIFS(Table79[Country],Tabela1[[#This Row],[Country]],Table79[Men''s Classification],"&gt;0")</f>
        <v>1</v>
      </c>
      <c r="LB85" s="6">
        <f>COUNTIFS(Table79[Country],Tabela1[[#This Row],[Country]],Table79[Women''s Classification],"&gt;0")</f>
        <v>0</v>
      </c>
      <c r="LC85" s="6">
        <f>COUNTIFS(Table79[Country],Tabela1[[#This Row],[Country]],Table79[Mixed Classification],"&gt;0")</f>
        <v>0</v>
      </c>
      <c r="LD85" s="6">
        <f>COUNTIFS(Table65[Country],Tabela1[[#This Row],[Country]],Table65[Classification],"&gt;0")</f>
        <v>0</v>
      </c>
      <c r="LE85" s="6">
        <f>COUNTIFS(Table59[Country],Tabela1[[#This Row],[Country]],Table59[Classification],"&gt;0")</f>
        <v>0</v>
      </c>
      <c r="LF85" s="6">
        <f>COUNTIFS(Table87[Country],Tabela1[[#This Row],[Country]],Table87[Mixed Relay Classification],"&gt;0")</f>
        <v>0</v>
      </c>
      <c r="LG85" s="6">
        <f>COUNTIFS(Table91949698100[Country],Tabela1[[#This Row],[Country]],Table91949698100[Men''s Classification],"&gt;0")</f>
        <v>0</v>
      </c>
      <c r="LH85" s="6">
        <f>COUNTIFS(Table91949698100[Country],Tabela1[[#This Row],[Country]],Table91949698100[Women''s Classification],"&gt;0")</f>
        <v>0</v>
      </c>
      <c r="LI85" s="6">
        <f>COUNTIFS(Table91949698100102[Country],Tabela1[[#This Row],[Country]],Table91949698100102[Men''s Classification],"&gt;0")</f>
        <v>0</v>
      </c>
      <c r="LJ85" s="6">
        <f>COUNTIFS(Table91949698100102[Country],Tabela1[[#This Row],[Country]],Table91949698100102[Women''s Classification],"&gt;0")</f>
        <v>0</v>
      </c>
      <c r="LK85" s="6">
        <f>COUNTIFS(Table23[Country],Tabela1[[#This Row],[Country]],Table23[61kg Classification],"&gt;0")</f>
        <v>0</v>
      </c>
      <c r="LL85" s="6">
        <f>COUNTIFS(Table23[Country],Tabela1[[#This Row],[Country]],Table23[73kg Classification],"&gt;0")</f>
        <v>0</v>
      </c>
      <c r="LM85" s="6">
        <f>COUNTIFS(Table23[Country],Tabela1[[#This Row],[Country]],Table23[89kg Classification],"&gt;0")</f>
        <v>0</v>
      </c>
      <c r="LN85" s="6">
        <f>COUNTIFS(Table23[Country],Tabela1[[#This Row],[Country]],Table23[102kg Classification],"&gt;0")</f>
        <v>0</v>
      </c>
      <c r="LO85" s="6">
        <f>COUNTIFS(Table23[Country],Tabela1[[#This Row],[Country]],Table23[Plus 102kg Classification],"&gt;0")</f>
        <v>0</v>
      </c>
      <c r="LP85" s="6">
        <f>COUNTIFS(Table28[Country],Tabela1[[#This Row],[Country]],Table28[49kg Classification],"&gt;0")</f>
        <v>0</v>
      </c>
      <c r="LQ85" s="6">
        <f>COUNTIFS(Table28[Country],Tabela1[[#This Row],[Country]],Table28[59kg Classification],"&gt;0")</f>
        <v>0</v>
      </c>
      <c r="LR85" s="6">
        <f>COUNTIFS(Table28[Country],Tabela1[[#This Row],[Country]],Table28[71kg Classification],"&gt;0")</f>
        <v>0</v>
      </c>
      <c r="LS85" s="6">
        <f>COUNTIFS(Table28[Country],Tabela1[[#This Row],[Country]],Table28[81kg Classification],"&gt;0")</f>
        <v>0</v>
      </c>
      <c r="LT85" s="6">
        <f>COUNTIFS(Table28[Country],Tabela1[[#This Row],[Country]],Table28[Plus 81kg Classification],"&gt;0")</f>
        <v>0</v>
      </c>
      <c r="LU85" s="6">
        <f>COUNTIFS(Table24[Country],Tabela1[[#This Row],[Country]],Table24[Freestyle 57kg Classification],"&gt;0")</f>
        <v>0</v>
      </c>
      <c r="LV85" s="6">
        <f>COUNTIFS(Table24[Country],Tabela1[[#This Row],[Country]],Table24[Freestyle 65kg Classification],"&gt;0")</f>
        <v>0</v>
      </c>
      <c r="LW85" s="6">
        <f>COUNTIFS(Table24[Country],Tabela1[[#This Row],[Country]],Table24[Freestyle 74kg Classification],"&gt;0")</f>
        <v>0</v>
      </c>
      <c r="LX85" s="6">
        <f>COUNTIFS(Table24[Country],Tabela1[[#This Row],[Country]],Table24[Freestyle 86kg Classification],"&gt;0")</f>
        <v>0</v>
      </c>
      <c r="LY85" s="6">
        <f>COUNTIFS(Table24[Country],Tabela1[[#This Row],[Country]],Table24[Freestyle 97kg Classification],"&gt;0")</f>
        <v>0</v>
      </c>
      <c r="LZ85" s="6">
        <f>COUNTIFS(Table24[Country],Tabela1[[#This Row],[Country]],Table24[Freestyle 125kg Classification],"&gt;0")</f>
        <v>0</v>
      </c>
      <c r="MA85" s="6">
        <f>COUNTIFS(Table24[Country],Tabela1[[#This Row],[Country]],Table24[Greco-Roman 60kg Classification],"&gt;0")</f>
        <v>0</v>
      </c>
      <c r="MB85" s="6">
        <f>COUNTIFS(Table24[Country],Tabela1[[#This Row],[Country]],Table24[Greco-Roman 67kg Classification],"&gt;0")</f>
        <v>0</v>
      </c>
      <c r="MC85" s="6">
        <f>COUNTIFS(Table24[Country],Tabela1[[#This Row],[Country]],Table24[Greco-Roman 77kg Classification],"&gt;0")</f>
        <v>0</v>
      </c>
      <c r="MD85" s="6">
        <f>COUNTIFS(Table24[Country],Tabela1[[#This Row],[Country]],Table24[Greco-Roman 87kg Classification],"&gt;0")</f>
        <v>0</v>
      </c>
      <c r="ME85" s="6">
        <f>COUNTIFS(Table24[Country],Tabela1[[#This Row],[Country]],Table24[Greco-Roman 97kg Classification],"&gt;0")</f>
        <v>0</v>
      </c>
      <c r="MF85" s="6">
        <f>COUNTIFS(Table24[Country],Tabela1[[#This Row],[Country]],Table24[Greco-Roman 130kg Classification],"&gt;0")</f>
        <v>0</v>
      </c>
      <c r="MG85" s="6">
        <f>COUNTIFS(Table31[Country],Tabela1[[#This Row],[Country]],Table31[50kg Classification],"&gt;0")</f>
        <v>0</v>
      </c>
      <c r="MH85" s="6">
        <f>COUNTIFS(Table31[Country],Tabela1[[#This Row],[Country]],Table31[53kg Classification],"&gt;0")</f>
        <v>0</v>
      </c>
      <c r="MI85" s="6">
        <f>COUNTIFS(Table31[Country],Tabela1[[#This Row],[Country]],Table31[57kg Classification],"&gt;0")</f>
        <v>0</v>
      </c>
      <c r="MJ85" s="6">
        <f>COUNTIFS(Table31[Country],Tabela1[[#This Row],[Country]],Table31[62kg Classification],"&gt;0")</f>
        <v>0</v>
      </c>
      <c r="MK85" s="6">
        <f>COUNTIFS(Table31[Country],Tabela1[[#This Row],[Country]],Table31[68kg Classification],"&gt;0")</f>
        <v>0</v>
      </c>
      <c r="ML85" s="6">
        <f>COUNTIFS(Table31[Country],Tabela1[[#This Row],[Country]],Table31[76kg Classification],"&gt;0")</f>
        <v>0</v>
      </c>
      <c r="MM85" s="6">
        <f>COUNTIFS(Table102[Country],Tabela1[[#This Row],[Country]],Table102[Downhill Classification],"&gt;0")</f>
        <v>0</v>
      </c>
      <c r="MN85" s="6">
        <f>COUNTIFS(Table102105[Country],Tabela1[[#This Row],[Country]],Table102105[Downhill Classification],"&gt;0")</f>
        <v>0</v>
      </c>
      <c r="MO85" s="6">
        <f>COUNTIFS(Table102[Country],Tabela1[[#This Row],[Country]],Table102[Giant Slalom Classification],"&gt;0")</f>
        <v>0</v>
      </c>
      <c r="MP85" s="6">
        <f>COUNTIFS(Table102105[Country],Tabela1[[#This Row],[Country]],Table102105[Giant Slalom Classification],"&gt;0")</f>
        <v>0</v>
      </c>
      <c r="MQ85" s="6">
        <f>COUNTIFS(Table102[Country],Tabela1[[#This Row],[Country]],Table102[Slalom Classification],"&gt;0")</f>
        <v>0</v>
      </c>
      <c r="MR85" s="6">
        <f>COUNTIFS(Table102105[Country],Tabela1[[#This Row],[Country]],Table102105[Slalom Classification],"&gt;0")</f>
        <v>0</v>
      </c>
      <c r="MS85" s="6">
        <f>COUNTIFS(Table102[Country],Tabela1[[#This Row],[Country]],Table102[Super-G Classification],"&gt;0")</f>
        <v>0</v>
      </c>
      <c r="MT85" s="6">
        <f>COUNTIFS(Table102105[Country],Tabela1[[#This Row],[Country]],Table102105[Super-G Classification],"&gt;0")</f>
        <v>0</v>
      </c>
      <c r="MU85" s="6">
        <f>COUNTIFS(Table105[Country],Tabela1[[#This Row],[Country]],Table105[Men''s Combined Classification],"&gt;0")</f>
        <v>0</v>
      </c>
      <c r="MV85" s="6">
        <f>COUNTIFS(Table105[Country],Tabela1[[#This Row],[Country]],Table105[Women''s Combined Classification],"&gt;0")</f>
        <v>0</v>
      </c>
      <c r="MW85" s="6">
        <f>COUNTIFS(Table106[Country],Tabela1[[#This Row],[Country]],Table106[Individual Classification],"&gt;0")</f>
        <v>0</v>
      </c>
      <c r="MX85" s="6">
        <f>COUNTIFS(Table106109[Country],Tabela1[[#This Row],[Country]],Table106109[Individual Classification],"&gt;0")</f>
        <v>0</v>
      </c>
      <c r="MY85" s="6">
        <f>COUNTIFS(Table106[Country],Tabela1[[#This Row],[Country]],Table106[Mass Start Classification],"&gt;0")</f>
        <v>0</v>
      </c>
      <c r="MZ85" s="6">
        <f>COUNTIFS(Table106109[Country],Tabela1[[#This Row],[Country]],Table106109[Mass Start Classification],"&gt;0")</f>
        <v>0</v>
      </c>
      <c r="NA85" s="6">
        <f>COUNTIFS(Table106[Country],Tabela1[[#This Row],[Country]],Table106[Pursuit Classification],"&gt;0")</f>
        <v>0</v>
      </c>
      <c r="NB85" s="6">
        <f>COUNTIFS(Table106109[Country],Tabela1[[#This Row],[Country]],Table106109[Pursuit Classification],"&gt;0")</f>
        <v>0</v>
      </c>
      <c r="NC85" s="6">
        <f>COUNTIFS(Table106[Country],Tabela1[[#This Row],[Country]],Table106[Sprint Classification],"&gt;0")</f>
        <v>0</v>
      </c>
      <c r="ND85" s="6">
        <f>COUNTIFS(Table106109[Country],Tabela1[[#This Row],[Country]],Table106109[Sprint Classification],"&gt;0")</f>
        <v>0</v>
      </c>
      <c r="NE85" s="6">
        <f>COUNTIFS(Table109[Country],Tabela1[[#This Row],[Country]],Table109[Men''s Relay Classification],"&gt;0")</f>
        <v>0</v>
      </c>
      <c r="NF85" s="6">
        <f>COUNTIFS(Table109[Country],Tabela1[[#This Row],[Country]],Table109[Women''s Relay Classification],"&gt;0")</f>
        <v>0</v>
      </c>
      <c r="NG85" s="6">
        <f>COUNTIFS(Table109[Country],Tabela1[[#This Row],[Country]],Table109[Mixed Relay Classification],"&gt;0")</f>
        <v>0</v>
      </c>
      <c r="NH85" s="6">
        <f>COUNTIFS(Table110[Country],Tabela1[[#This Row],[Country]],Table110[Monobob Classification],"&gt;0")</f>
        <v>0</v>
      </c>
      <c r="NI85" s="6">
        <f>COUNTIFS(Table111[Country],Tabela1[[#This Row],[Country]],Table111[Men''s Classification],"&gt;0")</f>
        <v>0</v>
      </c>
      <c r="NJ85" s="6">
        <f>COUNTIFS(Table111[Country],Tabela1[[#This Row],[Country]],Table111[Women''s Classification],"&gt;0")</f>
        <v>0</v>
      </c>
      <c r="NK85" s="6">
        <f>COUNTIFS(Table112[Country],Tabela1[[#This Row],[Country]],Table112[Men''s Four Classification],"&gt;0")</f>
        <v>0</v>
      </c>
      <c r="NL85" s="6">
        <f>COUNTIFS(Table113[Country],Tabela1[[#This Row],[Country]],Table113[Classical Classification],"&gt;0")</f>
        <v>0</v>
      </c>
      <c r="NM85" s="6">
        <f>COUNTIFS(Table113116[Country],Tabela1[[#This Row],[Country]],Table113116[Classical Classification],"&gt;0")</f>
        <v>0</v>
      </c>
      <c r="NN85" s="6">
        <f>COUNTIFS(Table113[Country],Tabela1[[#This Row],[Country]],Table113[Freestyle Classification],"&gt;0")</f>
        <v>1</v>
      </c>
      <c r="NO85" s="6">
        <f>COUNTIFS(Table113116[Country],Tabela1[[#This Row],[Country]],Table113116[Freestyle Classification],"&gt;0")</f>
        <v>0</v>
      </c>
      <c r="NP85" s="6">
        <f>COUNTIFS(Table117[Country],Tabela1[[#This Row],[Country]],Table117[Men''s Relay Classification],"&gt;0")</f>
        <v>0</v>
      </c>
      <c r="NQ85" s="6">
        <f>COUNTIFS(Table117[Country],Tabela1[[#This Row],[Country]],Table117[Women''s Relay Classification],"&gt;0")</f>
        <v>0</v>
      </c>
      <c r="NR85" s="6">
        <f>COUNTIFS(Table113[Country],Tabela1[[#This Row],[Country]],Table113[Skiathlon Classification],"&gt;0")</f>
        <v>0</v>
      </c>
      <c r="NS85" s="6">
        <f>COUNTIFS(Table113116[Country],Tabela1[[#This Row],[Country]],Table113116[Skiathlon Classification],"&gt;0")</f>
        <v>0</v>
      </c>
      <c r="NT85" s="6">
        <f>COUNTIFS(Table113[Country],Tabela1[[#This Row],[Country]],Table113[Sprint Classification],"&gt;0")</f>
        <v>0</v>
      </c>
      <c r="NU85" s="6">
        <f>COUNTIFS(Table113116[Country],Tabela1[[#This Row],[Country]],Table113116[Sprint Classification],"&gt;0")</f>
        <v>0</v>
      </c>
      <c r="NV85" s="6">
        <f>COUNTIFS(Table116[Country],Tabela1[[#This Row],[Country]],Table116[Men''s Team Sprint Classification],"&gt;0")</f>
        <v>0</v>
      </c>
      <c r="NW85" s="6">
        <f>COUNTIFS(Table116[Country],Tabela1[[#This Row],[Country]],Table116[Women''s Team Sprint Classification],"&gt;0")</f>
        <v>0</v>
      </c>
      <c r="NX85" s="6">
        <f>COUNTIFS(Table119[Country],Tabela1[[#This Row],[Country]],Table119[Men''s Classification],"&gt;0")</f>
        <v>0</v>
      </c>
      <c r="NY85" s="6">
        <f>COUNTIFS(Table119[Country],Tabela1[[#This Row],[Country]],Table119[Women''s Classification],"&gt;0")</f>
        <v>0</v>
      </c>
      <c r="NZ85" s="6">
        <f>COUNTIFS(Table118[Country],Tabela1[[#This Row],[Country]],Table118[Mixed Classification],"&gt;0")</f>
        <v>0</v>
      </c>
      <c r="OA85" s="6">
        <f>COUNTIFS(Table120[Country],Tabela1[[#This Row],[Country]],Table120[Classification],"&gt;0")</f>
        <v>0</v>
      </c>
      <c r="OB85" s="6">
        <f>COUNTIFS(Table120123[Country],Tabela1[[#This Row],[Country]],Table120123[Classification],"&gt;0")</f>
        <v>0</v>
      </c>
      <c r="OC85" s="6">
        <f>COUNTIFS(Table123[Country],Tabela1[[#This Row],[Country]],Table123[Ice Dance Classification],"&gt;0")</f>
        <v>0</v>
      </c>
      <c r="OD85" s="6">
        <f>COUNTIFS(Table123[Country],Tabela1[[#This Row],[Country]],Table123[Pair Skating Classification],"&gt;0")</f>
        <v>0</v>
      </c>
      <c r="OE85" s="6">
        <f>COUNTIFS(Table124[Country],Tabela1[[#This Row],[Country]],Table124[Mixed Classification],"&gt;0")</f>
        <v>0</v>
      </c>
      <c r="OF85" s="6">
        <f>COUNTIFS(Table125[Country],Tabela1[[#This Row],[Country]],Table125[Aerials Classification],"&gt;0")</f>
        <v>0</v>
      </c>
      <c r="OG85" s="6">
        <f>COUNTIFS(Table125128[Country],Tabela1[[#This Row],[Country]],Table125128[Aerials Classification],"&gt;0")</f>
        <v>0</v>
      </c>
      <c r="OH85" s="6">
        <f>COUNTIFS(Table128[Country],Tabela1[[#This Row],[Country]],Table128[Mixed Aerials Classification],"&gt;0")</f>
        <v>0</v>
      </c>
      <c r="OI85" s="6">
        <f>COUNTIFS(Table125[Country],Tabela1[[#This Row],[Country]],Table125[Big Air Classification],"&gt;0")</f>
        <v>0</v>
      </c>
      <c r="OJ85" s="6">
        <f>COUNTIFS(Table125128[Country],Tabela1[[#This Row],[Country]],Table125128[Big Air Classification],"&gt;0")</f>
        <v>0</v>
      </c>
      <c r="OK85" s="6">
        <f>COUNTIFS(Table125[Country],Tabela1[[#This Row],[Country]],Table125[Dual Moguls Classification],"&gt;0")</f>
        <v>0</v>
      </c>
      <c r="OL85" s="6">
        <f>COUNTIFS(Table125128[Country],Tabela1[[#This Row],[Country]],Table125128[Dual Moguls Classification],"&gt;0")</f>
        <v>0</v>
      </c>
      <c r="OM85" s="6">
        <f>COUNTIFS(Table125[Country],Tabela1[[#This Row],[Country]],Table125[Halfpipe Classification],"&gt;0")</f>
        <v>0</v>
      </c>
      <c r="ON85" s="6">
        <f>COUNTIFS(Table125128[Country],Tabela1[[#This Row],[Country]],Table125128[Halfpipe Classification],"&gt;0")</f>
        <v>0</v>
      </c>
      <c r="OO85" s="6">
        <f>COUNTIFS(Table125[Country],Tabela1[[#This Row],[Country]],Table125[Moguls Classification],"&gt;0")</f>
        <v>0</v>
      </c>
      <c r="OP85" s="6">
        <f>COUNTIFS(Table125128[Country],Tabela1[[#This Row],[Country]],Table125128[Moguls Classification],"&gt;0")</f>
        <v>0</v>
      </c>
      <c r="OQ85" s="6">
        <f>COUNTIFS(Table125[Country],Tabela1[[#This Row],[Country]],Table125[Ski Cross Classification],"&gt;0")</f>
        <v>0</v>
      </c>
      <c r="OR85" s="6">
        <f>COUNTIFS(Table125128[Country],Tabela1[[#This Row],[Country]],Table125128[Ski Cross Classification],"&gt;0")</f>
        <v>0</v>
      </c>
      <c r="OS85" s="6">
        <f>COUNTIFS(Table125[Country],Tabela1[[#This Row],[Country]],Table125[Slopestyle Classification],"&gt;0")</f>
        <v>0</v>
      </c>
      <c r="OT85" s="6">
        <f>COUNTIFS(Table125128[Country],Tabela1[[#This Row],[Country]],Table125128[Slopestyle Classification],"&gt;0")</f>
        <v>0</v>
      </c>
      <c r="OU85" s="6">
        <f>COUNTIFS(Table119131[Country],Tabela1[[#This Row],[Country]],Table119131[Men''s Classification],"&gt;0")</f>
        <v>0</v>
      </c>
      <c r="OV85" s="6">
        <f>COUNTIFS(Table119131[Country],Tabela1[[#This Row],[Country]],Table119131[Women''s Classification],"&gt;0")</f>
        <v>0</v>
      </c>
      <c r="OW85" s="6">
        <f>COUNTIFS(Table131[Country],Tabela1[[#This Row],[Country]],Table131[Classification],"&gt;0")</f>
        <v>0</v>
      </c>
      <c r="OX85" s="6">
        <f>COUNTIFS(Table131134[Country],Tabela1[[#This Row],[Country]],Table131134[Classification],"&gt;0")</f>
        <v>0</v>
      </c>
      <c r="OY85" s="6">
        <f>COUNTIFS(Table134[Country],Tabela1[[#This Row],[Country]],Table134[Men''s Classification],"&gt;0")</f>
        <v>0</v>
      </c>
      <c r="OZ85" s="6">
        <f>COUNTIFS(Table134[Country],Tabela1[[#This Row],[Country]],Table134[Women''s Classification],"&gt;0")</f>
        <v>0</v>
      </c>
      <c r="PA85" s="6">
        <f>COUNTIFS(Table135[Country],Tabela1[[#This Row],[Country]],Table135[Mixed Relay Classification],"&gt;0")</f>
        <v>0</v>
      </c>
      <c r="PB85" s="6">
        <f>COUNTIFS(Table136[Country],Tabela1[[#This Row],[Country]],Table136[Individual Classification],"&gt;0")</f>
        <v>0</v>
      </c>
      <c r="PC85" s="6">
        <f>COUNTIFS(Table136[Country],Tabela1[[#This Row],[Country]],Table136[Sprint Classification],"&gt;0")</f>
        <v>0</v>
      </c>
      <c r="PD85" s="6">
        <f>COUNTIFS(Table137[Country],Tabela1[[#This Row],[Country]],Table137[Men''s Team Sprint Large Hill Classification],"&gt;0")</f>
        <v>0</v>
      </c>
      <c r="PE85" s="6">
        <f>COUNTIFS(Table138[Country],Tabela1[[#This Row],[Country]],Table138[500m Classification],"&gt;0")</f>
        <v>0</v>
      </c>
      <c r="PF85" s="6">
        <f>COUNTIFS(Table138141[Country],Tabela1[[#This Row],[Country]],Table138141[500m Classification],"&gt;0")</f>
        <v>0</v>
      </c>
      <c r="PG85" s="6">
        <f>COUNTIFS(Table138[Country],Tabela1[[#This Row],[Country]],Table138[1000m Classification],"&gt;0")</f>
        <v>0</v>
      </c>
      <c r="PH85" s="6">
        <f>COUNTIFS(Table138141[Country],Tabela1[[#This Row],[Country]],Table138141[1000m Classification],"&gt;0")</f>
        <v>0</v>
      </c>
      <c r="PI85" s="6">
        <f>COUNTIFS(Table138[Country],Tabela1[[#This Row],[Country]],Table138[1500m Classification],"&gt;0")</f>
        <v>0</v>
      </c>
      <c r="PJ85" s="6">
        <f>COUNTIFS(Table138141[Country],Tabela1[[#This Row],[Country]],Table138141[1500m Classification],"&gt;0")</f>
        <v>0</v>
      </c>
      <c r="PK85" s="6">
        <f>COUNTIFS(Table141[Country],Tabela1[[#This Row],[Country]],Table141[Men''s 5000m Relay Classification],"&gt;0")</f>
        <v>0</v>
      </c>
      <c r="PL85" s="6">
        <f>COUNTIFS(Table141[Country],Tabela1[[#This Row],[Country]],Table141[Women''s 3000m Relay Classification],"&gt;0")</f>
        <v>0</v>
      </c>
      <c r="PM85" s="6">
        <f>COUNTIFS(Table141[Country],Tabela1[[#This Row],[Country]],Table141[Mixed 2000m Relay Classification],"&gt;0")</f>
        <v>0</v>
      </c>
      <c r="PN85" s="6">
        <f>COUNTIFS(Table142[Country],Tabela1[[#This Row],[Country]],Table142[Classification],"&gt;0")</f>
        <v>0</v>
      </c>
      <c r="PO85" s="6">
        <f>COUNTIFS(Table142145[Country],Tabela1[[#This Row],[Country]],Table142145[Classification],"&gt;0")</f>
        <v>0</v>
      </c>
      <c r="PP85" s="6">
        <f>COUNTIFS(Tabela15[Country],Tabela1[[#This Row],[Country]],Tabela15[Mixed Team Classification],"&gt;0")</f>
        <v>0</v>
      </c>
      <c r="PQ85" s="6">
        <f>COUNTIFS(Table145[Country],Tabela1[[#This Row],[Country]],Table145[Large Hill Classification],"&gt;0")</f>
        <v>0</v>
      </c>
      <c r="PR85" s="6">
        <f>COUNTIFS(Table145[Country],Tabela1[[#This Row],[Country]],Table145[Normal Hill Classification],"&gt;0")</f>
        <v>0</v>
      </c>
      <c r="PS85" s="6">
        <f>COUNTIFS(Table145148[Country],Tabela1[[#This Row],[Country]],Table145148[Large Hill Classification],"&gt;0")</f>
        <v>0</v>
      </c>
      <c r="PT85" s="6">
        <f>COUNTIFS(Table145148[Country],Tabela1[[#This Row],[Country]],Table145148[Normal Hill Classification],"&gt;0")</f>
        <v>0</v>
      </c>
      <c r="PU85" s="6">
        <f>COUNTIFS(Table148[Country],Tabela1[[#This Row],[Country]],Table148[Men''s Super Team Classification],"&gt;0")</f>
        <v>0</v>
      </c>
      <c r="PV85" s="6">
        <f>COUNTIFS(Tabela114[Country],Tabela1[[#This Row],[Country]],Tabela114[Mixed Normal Hill Classification],"&gt;0")</f>
        <v>0</v>
      </c>
      <c r="PW85" s="6">
        <f>COUNTIFS(Tabela50[Country],Tabela1[[#This Row],[Country]],Tabela50[Sprint Classification],"&gt;0")</f>
        <v>0</v>
      </c>
      <c r="PX85" s="6">
        <f>COUNTIFS(Tabela50101[Country],Tabela1[[#This Row],[Country]],Tabela50101[Sprint Classification],"&gt;0")</f>
        <v>0</v>
      </c>
      <c r="PY85" s="6">
        <f>COUNTIFS(Tabela103[Country],Tabela1[[#This Row],[Country]],Tabela103[Mixed Relay Classification],"&gt;0")</f>
        <v>0</v>
      </c>
      <c r="PZ85" s="6">
        <f>COUNTIFS(Table149[Country],Tabela1[[#This Row],[Country]],Table149[Big Air Classification],"&gt;0")</f>
        <v>0</v>
      </c>
      <c r="QA85" s="6">
        <f>COUNTIFS(Table149152[Country],Tabela1[[#This Row],[Country]],Table149152[Big Air Classification],"&gt;0")</f>
        <v>0</v>
      </c>
      <c r="QB85" s="6">
        <f>COUNTIFS(Table149[Country],Tabela1[[#This Row],[Country]],Table149[Halfpipe Classification],"&gt;0")</f>
        <v>0</v>
      </c>
      <c r="QC85" s="6">
        <f>COUNTIFS(Table149152[Country],Tabela1[[#This Row],[Country]],Table149152[Halfpipe Classification],"&gt;0")</f>
        <v>0</v>
      </c>
      <c r="QD85" s="6">
        <f>COUNTIFS(Table149[Country],Tabela1[[#This Row],[Country]],Table149[Parallel Giant Slalom Classification],"&gt;0")</f>
        <v>0</v>
      </c>
      <c r="QE85" s="6">
        <f>COUNTIFS(Table149152[Country],Tabela1[[#This Row],[Country]],Table149152[Parallel Giant Slalom Classification],"&gt;0")</f>
        <v>0</v>
      </c>
      <c r="QF85" s="6">
        <f>COUNTIFS(Table149[Country],Tabela1[[#This Row],[Country]],Table149[Slopestyle Classification],"&gt;0")</f>
        <v>0</v>
      </c>
      <c r="QG85" s="6">
        <f>COUNTIFS(Table149152[Country],Tabela1[[#This Row],[Country]],Table149152[Slopestyle Classification],"&gt;0")</f>
        <v>0</v>
      </c>
      <c r="QH85" s="6">
        <f>COUNTIFS(Table149[Country],Tabela1[[#This Row],[Country]],Table149[Snowboard Cross Classification],"&gt;0")</f>
        <v>0</v>
      </c>
      <c r="QI85" s="6">
        <f>COUNTIFS(Table149152[Country],Tabela1[[#This Row],[Country]],Table149152[Snowboard Cross Classification],"&gt;0")</f>
        <v>0</v>
      </c>
      <c r="QJ85" s="6">
        <f>COUNTIFS(Table153[Country],Tabela1[[#This Row],[Country]],Table153[Mixed Team Snowboard Cross Classification],"&gt;0")</f>
        <v>0</v>
      </c>
      <c r="QK85" s="6">
        <f>COUNTIFS(Table154[Country],Tabela1[[#This Row],[Country]],Table154[500m Classification],"&gt;0")</f>
        <v>0</v>
      </c>
      <c r="QL85" s="6">
        <f>COUNTIFS(Table154157[Country],Tabela1[[#This Row],[Country]],Table154157[500m Classification],"&gt;0")</f>
        <v>0</v>
      </c>
      <c r="QM85" s="6">
        <f>COUNTIFS(Table154[Country],Tabela1[[#This Row],[Country]],Table154[1000m Classification],"&gt;0")</f>
        <v>0</v>
      </c>
      <c r="QN85" s="6">
        <f>COUNTIFS(Table154157[Country],Tabela1[[#This Row],[Country]],Table154157[1000m Classification],"&gt;0")</f>
        <v>0</v>
      </c>
      <c r="QO85" s="6">
        <f>COUNTIFS(Table154[Country],Tabela1[[#This Row],[Country]],Table154[1500m Classification],"&gt;0")</f>
        <v>0</v>
      </c>
      <c r="QP85" s="6">
        <f>COUNTIFS(Table154157[Country],Tabela1[[#This Row],[Country]],Table154157[1500m Classification],"&gt;0")</f>
        <v>0</v>
      </c>
      <c r="QQ85" s="6">
        <f>COUNTIFS(Table154157[Country],Tabela1[[#This Row],[Country]],Table154157[3000m Classification],"&gt;0")</f>
        <v>0</v>
      </c>
      <c r="QR85" s="6">
        <f>COUNTIFS(Table154[Country],Tabela1[[#This Row],[Country]],Table154[5000m Classification],"&gt;0")</f>
        <v>0</v>
      </c>
      <c r="QS85" s="6">
        <f>COUNTIFS(Table154157[Country],Tabela1[[#This Row],[Country]],Table154157[5000m Classification],"&gt;0")</f>
        <v>0</v>
      </c>
      <c r="QT85" s="6">
        <f>COUNTIFS(Table154[Country],Tabela1[[#This Row],[Country]],Table154[10000m Classification],"&gt;0")</f>
        <v>0</v>
      </c>
      <c r="QU85" s="6">
        <f>COUNTIFS(Table154[Country],Tabela1[[#This Row],[Country]],Table154[Mass Start Classification],"&gt;0")</f>
        <v>0</v>
      </c>
      <c r="QV85" s="6">
        <f>COUNTIFS(Table154157[Country],Tabela1[[#This Row],[Country]],Table154157[Mass Start Classification],"&gt;0")</f>
        <v>0</v>
      </c>
      <c r="QW85" s="6">
        <f>COUNTIFS(Table157[Country],Tabela1[[#This Row],[Country]],Table157[Men''s Pursuit Classification],"&gt;0")</f>
        <v>0</v>
      </c>
      <c r="QX85" s="6">
        <f>COUNTIFS(Table157[Country],Tabela1[[#This Row],[Country]],Table157[Women''s Pursuit Classification],"&gt;0")</f>
        <v>0</v>
      </c>
      <c r="QY85" s="4" t="s">
        <v>461</v>
      </c>
    </row>
    <row r="86" spans="1:467" x14ac:dyDescent="0.3">
      <c r="A86" s="6">
        <v>85</v>
      </c>
      <c r="B86" s="6" t="s">
        <v>646</v>
      </c>
      <c r="C86" t="e" vm="85">
        <f>IF(ISBLANK(Tabela1[[#This Row],[Image Link]]), "", _xlfn.IMAGE(Tabela1[[#This Row],[Image Link]],1,1))</f>
        <v>#VALUE!</v>
      </c>
      <c r="D86" s="6">
        <f>SUM(Tabela1[[#This Row],[Archery - Men''s Individual Recurve]:[Speed Skating - Women''s Team Pursuit]])</f>
        <v>5</v>
      </c>
      <c r="E86" s="6">
        <f>COUNTIF(Tabela1[[#This Row],[Archery - Men''s Individual Recurve]:[Speed Skating - Women''s Team Pursuit]],"&gt;0")</f>
        <v>5</v>
      </c>
      <c r="F86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86" s="6">
        <f>SUM(Tabela1[[#This Row],[Archery - Men''s Individual Recurve]:[Wrestling - Women''s Freestyle 76kg]])</f>
        <v>5</v>
      </c>
      <c r="H86" s="6">
        <f>SUM(Tabela1[[#This Row],[Alpine Skiing - Men''s Downhill]:[Speed Skating - Women''s Team Pursuit]])</f>
        <v>0</v>
      </c>
      <c r="I86" s="6">
        <f>Tabela1[[#This Row],[Summer Gold Medals]]+Tabela1[[#This Row],[Winter Gold Medals]]</f>
        <v>0</v>
      </c>
      <c r="J86" s="6">
        <f>Tabela1[[#This Row],[Summer Silver Medals]]+Tabela1[[#This Row],[Winter Silver Medals]]</f>
        <v>0</v>
      </c>
      <c r="K86" s="6">
        <f>Tabela1[[#This Row],[Summer Bronze Medals]]+Tabela1[[#This Row],[Winter Bronze Medals]]</f>
        <v>0</v>
      </c>
      <c r="L86" s="6">
        <f>SUM(Tabela1[[#This Row],[Total Gold Medals]:[Total Bronze Medals]])</f>
        <v>0</v>
      </c>
      <c r="M86" s="6"/>
      <c r="N86" s="6"/>
      <c r="O86" s="6"/>
      <c r="P86" s="6">
        <f>SUM(Tabela1[[#This Row],[Summer Gold Medals]:[Summer Bronze Medals]])</f>
        <v>0</v>
      </c>
      <c r="Q86" s="6"/>
      <c r="R86" s="6"/>
      <c r="S86" s="6"/>
      <c r="T86" s="6">
        <f>Tabela1[[#This Row],[Winter Gold Medals]]+Tabela1[[#This Row],[Winter Silver Medals]]+Tabela1[[#This Row],[Winter Bronze Medals]]</f>
        <v>0</v>
      </c>
      <c r="U86" s="7">
        <f>Tabela1[[#This Row],[Total Medals]]/Tabela1[[#This Row],[Total Quotas]]</f>
        <v>0</v>
      </c>
      <c r="V86" s="6">
        <f>COUNTIFS(Table3[Country],Tabela1[[#This Row],[Country]],Table3[Recurve Classification],"&gt;0")</f>
        <v>0</v>
      </c>
      <c r="W86" s="6">
        <f>COUNTIFS(Table33[Country],Tabela1[[#This Row],[Country]],Table33[Recurve Classification],"&gt;0")</f>
        <v>0</v>
      </c>
      <c r="X86" s="6">
        <f>COUNTIFS(Table35[Country],Tabela1[[#This Row],[Country]],Table35[Men''s Team Recurve Classification],"&gt;0")</f>
        <v>0</v>
      </c>
      <c r="Y86" s="6">
        <f>COUNTIFS(Table35[Country],Tabela1[[#This Row],[Country]],Table35[Women''s Team Recurve Classification],"&gt;0")</f>
        <v>0</v>
      </c>
      <c r="Z86" s="6">
        <f>COUNTIFS(Tabela88[Country],Tabela1[[#This Row],[Country]],Tabela88[Mixed Team Recurve Classification],"&gt;0")</f>
        <v>0</v>
      </c>
      <c r="AA86" s="6">
        <f>COUNTIFS(Table36[Country],Tabela1[[#This Row],[Country]],Table36[Classification],"&gt;0")</f>
        <v>0</v>
      </c>
      <c r="AB86" s="6">
        <f>COUNTIFS(Table37[Country],Tabela1[[#This Row],[Country]],Table37[Classification],"&gt;0")</f>
        <v>0</v>
      </c>
      <c r="AC86" s="6">
        <f>COUNTIFS(Table4[Country],Tabela1[[#This Row],[Country]],Table4[100m Classification],"&gt;0")</f>
        <v>0</v>
      </c>
      <c r="AD86" s="6">
        <f>COUNTIFS(Table5[Country],Tabela1[[#This Row],[Country]],Table5[100m Classification],"&gt;0")</f>
        <v>0</v>
      </c>
      <c r="AE86" s="6">
        <f>COUNTIFS(Table4[Country],Tabela1[[#This Row],[Country]],Table4[200m Classification],"&gt;0")</f>
        <v>0</v>
      </c>
      <c r="AF86" s="6">
        <f>COUNTIFS(Table5[Country],Tabela1[[#This Row],[Country]],Table5[200m Classification],"&gt;0")</f>
        <v>0</v>
      </c>
      <c r="AG86" s="6">
        <f>COUNTIFS(Table4[Country],Tabela1[[#This Row],[Country]],Table4[400m Classification],"&gt;0")</f>
        <v>0</v>
      </c>
      <c r="AH86" s="6">
        <f>COUNTIFS(Table5[Country],Tabela1[[#This Row],[Country]],Table5[400m Classification],"&gt;0")</f>
        <v>0</v>
      </c>
      <c r="AI86" s="6">
        <f>COUNTIFS(Table4[Country],Tabela1[[#This Row],[Country]],Table4[800m Classification],"&gt;0")</f>
        <v>0</v>
      </c>
      <c r="AJ86" s="6">
        <f>COUNTIFS(Table5[Country],Tabela1[[#This Row],[Country]],Table5[800m Classification],"&gt;0")</f>
        <v>0</v>
      </c>
      <c r="AK86" s="6">
        <f>COUNTIFS(Table4[Country],Tabela1[[#This Row],[Country]],Table4[1500m Classification],"&gt;0")</f>
        <v>0</v>
      </c>
      <c r="AL86" s="6">
        <f>COUNTIFS(Table5[Country],Tabela1[[#This Row],[Country]],Table5[1500m Classification],"&gt;0")</f>
        <v>0</v>
      </c>
      <c r="AM86" s="6">
        <f>COUNTIFS(Table4[Country],Tabela1[[#This Row],[Country]],Table4[5000m Classification],"&gt;0")</f>
        <v>0</v>
      </c>
      <c r="AN86" s="6">
        <f>COUNTIFS(Table5[Country],Tabela1[[#This Row],[Country]],Table5[5000m Classification],"&gt;0")</f>
        <v>0</v>
      </c>
      <c r="AO86" s="6">
        <f>COUNTIFS(Table4[Country],Tabela1[[#This Row],[Country]],Table4[10000m Classification],"&gt;0")</f>
        <v>0</v>
      </c>
      <c r="AP86" s="6">
        <f>COUNTIFS(Table5[Country],Tabela1[[#This Row],[Country]],Table5[10000m Classification],"&gt;0")</f>
        <v>0</v>
      </c>
      <c r="AQ86" s="6">
        <f>COUNTIFS(Table4[Country],Tabela1[[#This Row],[Country]],Table4[110m Hurdles Classification],"&gt;0")</f>
        <v>0</v>
      </c>
      <c r="AR86" s="6">
        <f>COUNTIFS(Table5[Country],Tabela1[[#This Row],[Country]],Table5[100m Hurdles Classification],"&gt;0")</f>
        <v>0</v>
      </c>
      <c r="AS86" s="6">
        <f>COUNTIFS(Table4[Country],Tabela1[[#This Row],[Country]],Table4[400m Hurdles Classification],"&gt;0")</f>
        <v>0</v>
      </c>
      <c r="AT86" s="6">
        <f>COUNTIFS(Table5[Country],Tabela1[[#This Row],[Country]],Table5[400m Hurdles Classification],"&gt;0")</f>
        <v>0</v>
      </c>
      <c r="AU86" s="6">
        <f>COUNTIFS(Table4[Country],Tabela1[[#This Row],[Country]],Table4[3000m Steeplechase Classification],"&gt;0")</f>
        <v>0</v>
      </c>
      <c r="AV86" s="6">
        <f>COUNTIFS(Table5[Country],Tabela1[[#This Row],[Country]],Table5[3000m Steeplechase Classification],"&gt;0")</f>
        <v>0</v>
      </c>
      <c r="AW86" s="6">
        <f>COUNTIFS(Table27[Country],Tabela1[[#This Row],[Country]],Table27[Men''s 4x100m Relay Classification],"&gt;0")</f>
        <v>0</v>
      </c>
      <c r="AX86" s="6">
        <f>COUNTIFS(Table27[Country],Tabela1[[#This Row],[Country]],Table27[Women''s 4x100m Relay Classification],"&gt;0")</f>
        <v>0</v>
      </c>
      <c r="AY86" s="6">
        <f>COUNTIFS(Table27[Country],Tabela1[[#This Row],[Country]],Table27[Men''s 4x400m Relay Classification],"&gt;0")</f>
        <v>0</v>
      </c>
      <c r="AZ86" s="6">
        <f>COUNTIFS(Table27[Country],Tabela1[[#This Row],[Country]],Table27[Women''s 4x400m Relay Classification],"&gt;0")</f>
        <v>0</v>
      </c>
      <c r="BA86" s="6">
        <f>COUNTIFS(Table27[Country],Tabela1[[#This Row],[Country]],Table27[Mixed 4x400m Relay Classification],"&gt;0")</f>
        <v>0</v>
      </c>
      <c r="BB86" s="6">
        <f>COUNTIFS(Table4[Country],Tabela1[[#This Row],[Country]],Table4[Marathon Classification],"&gt;0")</f>
        <v>0</v>
      </c>
      <c r="BC86" s="6">
        <f>COUNTIFS(Table5[Country],Tabela1[[#This Row],[Country]],Table5[Marathon Classification],"&gt;0")</f>
        <v>0</v>
      </c>
      <c r="BD86" s="6">
        <f>COUNTIFS(Table4[Country],Tabela1[[#This Row],[Country]],Table4[20km Race Walk Classification],"&gt;0")</f>
        <v>0</v>
      </c>
      <c r="BE86" s="6">
        <f>COUNTIFS(Table5[Country],Tabela1[[#This Row],[Country]],Table5[20km Race Walk Classification],"&gt;0")</f>
        <v>0</v>
      </c>
      <c r="BF86" s="6">
        <f>COUNTIFS(Tabela96[Country],Tabela1[[#This Row],[Country]],Tabela96[Mixed Marathon Race Walk Relay Classification],"&gt;0")</f>
        <v>0</v>
      </c>
      <c r="BG86" s="6">
        <f>COUNTIFS(Table4[Country],Tabela1[[#This Row],[Country]],Table4[Discus Throw Classification],"&gt;0")</f>
        <v>0</v>
      </c>
      <c r="BH86" s="6">
        <f>COUNTIFS(Table5[Country],Tabela1[[#This Row],[Country]],Table5[Discus Throw Classification],"&gt;0")</f>
        <v>0</v>
      </c>
      <c r="BI86" s="6">
        <f>COUNTIFS(Table4[Country],Tabela1[[#This Row],[Country]],Table4[Hammer Throw Classification],"&gt;0")</f>
        <v>0</v>
      </c>
      <c r="BJ86" s="6">
        <f>COUNTIFS(Table5[Country],Tabela1[[#This Row],[Country]],Table5[Hammer Throw Classification],"&gt;0")</f>
        <v>0</v>
      </c>
      <c r="BK86" s="6">
        <f>COUNTIFS(Table4[Country],Tabela1[[#This Row],[Country]],Table4[High Jump Classification],"&gt;0")</f>
        <v>0</v>
      </c>
      <c r="BL86" s="6">
        <f>COUNTIFS(Table5[Country],Tabela1[[#This Row],[Country]],Table5[High Jump Classification],"&gt;0")</f>
        <v>0</v>
      </c>
      <c r="BM86" s="6">
        <f>COUNTIFS(Table4[Country],Tabela1[[#This Row],[Country]],Table4[Javelin Throw Classification],"&gt;0")</f>
        <v>0</v>
      </c>
      <c r="BN86" s="6">
        <f>COUNTIFS(Table5[Country],Tabela1[[#This Row],[Country]],Table5[Javelin Throw Classification],"&gt;0")</f>
        <v>0</v>
      </c>
      <c r="BO86" s="6">
        <f>COUNTIFS(Table4[Country],Tabela1[[#This Row],[Country]],Table4[Long Jump Classification],"&gt;0")</f>
        <v>0</v>
      </c>
      <c r="BP86" s="6">
        <f>COUNTIFS(Table5[Country],Tabela1[[#This Row],[Country]],Table5[Long Jump Classification],"&gt;0")</f>
        <v>0</v>
      </c>
      <c r="BQ86" s="6">
        <f>COUNTIFS(Table4[Country],Tabela1[[#This Row],[Country]],Table4[Pole Vault Classification],"&gt;0")</f>
        <v>0</v>
      </c>
      <c r="BR86" s="6">
        <f>COUNTIFS(Table5[Country],Tabela1[[#This Row],[Country]],Table5[Pole Vault Classification],"&gt;0")</f>
        <v>0</v>
      </c>
      <c r="BS86" s="6">
        <f>COUNTIFS(Table4[Country],Tabela1[[#This Row],[Country]],Table4[Shot Put Classification],"&gt;0")</f>
        <v>0</v>
      </c>
      <c r="BT86" s="6">
        <f>COUNTIFS(Table5[Country],Tabela1[[#This Row],[Country]],Table5[Shot Put Classification],"&gt;0")</f>
        <v>0</v>
      </c>
      <c r="BU86" s="6">
        <f>COUNTIFS(Table4[Country],Tabela1[[#This Row],[Country]],Table4[Triple Jump Classification],"&gt;0")</f>
        <v>0</v>
      </c>
      <c r="BV86" s="6">
        <f>COUNTIFS(Table5[Country],Tabela1[[#This Row],[Country]],Table5[Triple Jump Classification],"&gt;0")</f>
        <v>0</v>
      </c>
      <c r="BW86" s="6">
        <f>COUNTIFS(Table4[Country],Tabela1[[#This Row],[Country]],Table4[Decathlon Classification],"&gt;0")</f>
        <v>0</v>
      </c>
      <c r="BX86" s="6">
        <f>COUNTIFS(Table5[Country],Tabela1[[#This Row],[Country]],Table5[Heptathlon Classification],"&gt;0")</f>
        <v>0</v>
      </c>
      <c r="BY86" s="6">
        <f>COUNTIFS(Table61[Country],Tabela1[[#This Row],[Country]],Table61[Classification],"&gt;0")</f>
        <v>0</v>
      </c>
      <c r="BZ86" s="6">
        <f>COUNTIFS(Table38[Country],Tabela1[[#This Row],[Country]],Table38[Classification],"&gt;0")</f>
        <v>0</v>
      </c>
      <c r="CA86" s="6">
        <f>COUNTIFS(Table39[Country],Tabela1[[#This Row],[Country]],Table39[Men''s Classification],"&gt;0")</f>
        <v>0</v>
      </c>
      <c r="CB86" s="6">
        <f>COUNTIFS(Table39[Country],Tabela1[[#This Row],[Country]],Table39[Women''s Classification],"&gt;0")</f>
        <v>0</v>
      </c>
      <c r="CC86" s="6">
        <f>COUNTIFS(Table39[Country],Tabela1[[#This Row],[Country]],Table39[Mixed Classification],"&gt;0")</f>
        <v>0</v>
      </c>
      <c r="CD86" s="6">
        <f>COUNTIFS(Table89[Country],Tabela1[[#This Row],[Country]],Table89[Men''s Classification],"&gt;0")</f>
        <v>0</v>
      </c>
      <c r="CE86" s="6">
        <f>COUNTIFS(Table89[Country],Tabela1[[#This Row],[Country]],Table89[Women''s Classification],"&gt;0")</f>
        <v>0</v>
      </c>
      <c r="CF86" s="6">
        <f>COUNTIFS(Table90[Country],Tabela1[[#This Row],[Country]],Table90[Men''s Classification],"&gt;0")</f>
        <v>0</v>
      </c>
      <c r="CG86" s="6">
        <f>COUNTIFS(Table90[Country],Tabela1[[#This Row],[Country]],Table90[Women''s Classification],"&gt;0")</f>
        <v>0</v>
      </c>
      <c r="CH86" s="6">
        <f>COUNTIFS(Table60[Country],Tabela1[[#This Row],[Country]],Table60[Men''s Classification],"&gt;0")</f>
        <v>0</v>
      </c>
      <c r="CI86" s="6">
        <f>COUNTIFS(Table60[Country],Tabela1[[#This Row],[Country]],Table60[Women''s Classification],"&gt;0")</f>
        <v>0</v>
      </c>
      <c r="CJ86" s="6">
        <f>COUNTIFS(Table6[Country],Tabela1[[#This Row],[Country]],Table6[51kg Classification],"&gt;0")</f>
        <v>0</v>
      </c>
      <c r="CK86" s="6">
        <f>COUNTIFS(Table6[Country],Tabela1[[#This Row],[Country]],Table6[57kg Classification],"&gt;0")</f>
        <v>0</v>
      </c>
      <c r="CL86" s="6">
        <f>COUNTIFS(Table6[Country],Tabela1[[#This Row],[Country]],Table6[63.5kg Classification],"&gt;0")</f>
        <v>0</v>
      </c>
      <c r="CM86" s="6">
        <f>COUNTIFS(Table6[Country],Tabela1[[#This Row],[Country]],Table6[71kg Classification],"&gt;0")</f>
        <v>1</v>
      </c>
      <c r="CN86" s="6">
        <f>COUNTIFS(Table6[Country],Tabela1[[#This Row],[Country]],Table6[80kg Classification],"&gt;0")</f>
        <v>0</v>
      </c>
      <c r="CO86" s="6">
        <f>COUNTIFS(Table6[Country],Tabela1[[#This Row],[Country]],Table6[92kg Classification],"&gt;0")</f>
        <v>0</v>
      </c>
      <c r="CP86" s="6">
        <f>COUNTIFS(Table6[Country],Tabela1[[#This Row],[Country]],Table6[Plus 92kg Classification],"&gt;0")</f>
        <v>0</v>
      </c>
      <c r="CQ86" s="6">
        <f>COUNTIFS(Table7[Country],Tabela1[[#This Row],[Country]],Table7[50kg Classification],"&gt;0")</f>
        <v>0</v>
      </c>
      <c r="CR86" s="6">
        <f>COUNTIFS(Table7[Country],Tabela1[[#This Row],[Country]],Table7[54kg Classification],"&gt;0")</f>
        <v>0</v>
      </c>
      <c r="CS86" s="6">
        <f>COUNTIFS(Table7[Country],Tabela1[[#This Row],[Country]],Table7[57kg Classification],"&gt;0")</f>
        <v>0</v>
      </c>
      <c r="CT86" s="6">
        <f>COUNTIFS(Table7[Country],Tabela1[[#This Row],[Country]],Table7[60kg Classification],"&gt;0")</f>
        <v>0</v>
      </c>
      <c r="CU86" s="6">
        <f>COUNTIFS(Table7[Country],Tabela1[[#This Row],[Country]],Table7[66kg Classification],"&gt;0")</f>
        <v>1</v>
      </c>
      <c r="CV86" s="6">
        <f>COUNTIFS(Table7[Country],Tabela1[[#This Row],[Country]],Table7[75kg Classification],"&gt;0")</f>
        <v>0</v>
      </c>
      <c r="CW86" s="6">
        <f>COUNTIFS(Tabela94[Country],Tabela1[[#This Row],[Country]],Tabela94[Classification],"&gt;0")</f>
        <v>0</v>
      </c>
      <c r="CX86" s="6">
        <f>COUNTIFS(Tabela9499[Country],Tabela1[[#This Row],[Country]],Tabela9499[Classification],"&gt;0")</f>
        <v>0</v>
      </c>
      <c r="CY86" s="6">
        <f>COUNTIFS(Tabela107[Country],Tabela1[[#This Row],[Country]],Tabela107[C1 Slalom Classification],"&gt;0")</f>
        <v>0</v>
      </c>
      <c r="CZ86" s="6">
        <f>COUNTIFS(Tabela107122[Country],Tabela1[[#This Row],[Country]],Tabela107122[C1 Slalom Classification],"&gt;0")</f>
        <v>0</v>
      </c>
      <c r="DA86" s="6">
        <f>COUNTIFS(Tabela107[Country],Tabela1[[#This Row],[Country]],Tabela107[K1 Slalom Classification],"&gt;0")</f>
        <v>0</v>
      </c>
      <c r="DB86" s="6">
        <f>COUNTIFS(Tabela107122[Country],Tabela1[[#This Row],[Country]],Tabela107122[K1 Slalom Classification],"&gt;0")</f>
        <v>0</v>
      </c>
      <c r="DC86" s="6">
        <f>COUNTIFS(Tabela107[Country],Tabela1[[#This Row],[Country]],Tabela107[Kayak Cross Slalom Classification],"&gt;0")</f>
        <v>0</v>
      </c>
      <c r="DD86" s="6">
        <f>COUNTIFS(Tabela107122[Country],Tabela1[[#This Row],[Country]],Tabela107122[Kayak Cross Slalom Classification],"&gt;0")</f>
        <v>0</v>
      </c>
      <c r="DE86" s="6">
        <f>COUNTIFS(Table8[Country],Tabela1[[#This Row],[Country]],Table8[C1 200m Classification],"&gt;0")</f>
        <v>0</v>
      </c>
      <c r="DF86" s="6">
        <f>COUNTIFS(Table40[Country],Tabela1[[#This Row],[Country]],Table40[C1 1000m Classification],"&gt;0")</f>
        <v>0</v>
      </c>
      <c r="DG86" s="6">
        <f>COUNTIFS(Table68[Country],Tabela1[[#This Row],[Country]],Table68[Men''s C2 500m Classification],"&gt;0")</f>
        <v>0</v>
      </c>
      <c r="DH86" s="6">
        <f>COUNTIFS(Table68[Country],Tabela1[[#This Row],[Country]],Table68[Women''s C2 500m Classification],"&gt;0")</f>
        <v>0</v>
      </c>
      <c r="DI86" s="6">
        <f>COUNTIFS(Table8[Country],Tabela1[[#This Row],[Country]],Table8[K1 500m Classification],"&gt;0")</f>
        <v>0</v>
      </c>
      <c r="DJ86" s="6">
        <f>COUNTIFS(Table40[Country],Tabela1[[#This Row],[Country]],Table40[K1 1000m Classification],"&gt;0")</f>
        <v>0</v>
      </c>
      <c r="DK86" s="6">
        <f>COUNTIFS(Table68[Country],Tabela1[[#This Row],[Country]],Table68[Men''s K2 500m Classification],"&gt;0")</f>
        <v>0</v>
      </c>
      <c r="DL86" s="6">
        <f>COUNTIFS(Table68[Country],Tabela1[[#This Row],[Country]],Table68[Women''s K2 500m Classification],"&gt;0")</f>
        <v>0</v>
      </c>
      <c r="DM86" s="6">
        <f>COUNTIFS(Table83[Country],Tabela1[[#This Row],[Country]],Table83[Men''s K4 500m Classification],"&gt;0")</f>
        <v>0</v>
      </c>
      <c r="DN86" s="6">
        <f>COUNTIFS(Table83[Country],Tabela1[[#This Row],[Country]],Table83[Women''s K4 500m Classification],"&gt;0")</f>
        <v>0</v>
      </c>
      <c r="DO86" s="6">
        <f>COUNTIFS(Tabela126[Country],Tabela1[[#This Row],[Country]],Tabela126[Classification],"&gt;0")</f>
        <v>0</v>
      </c>
      <c r="DP86" s="6">
        <f>COUNTIFS(Tabela126130[Country],Tabela1[[#This Row],[Country]],Tabela126130[Classification],"&gt;0")</f>
        <v>0</v>
      </c>
      <c r="DQ86" s="6">
        <f>COUNTIFS(Table70[Country],Tabela1[[#This Row],[Country]],Table70[Classification],"&gt;0")</f>
        <v>0</v>
      </c>
      <c r="DR86" s="6">
        <f>COUNTIFS(Table80[Country],Tabela1[[#This Row],[Country]],Table80[Classification],"&gt;0")</f>
        <v>0</v>
      </c>
      <c r="DS86" s="6">
        <f>COUNTIFS(Table66[Country],Tabela1[[#This Row],[Country]],Table66[Classification],"&gt;0")</f>
        <v>0</v>
      </c>
      <c r="DT86" s="6">
        <f>COUNTIFS(Table67[Country],Tabela1[[#This Row],[Country]],Table67[Classification],"&gt;0")</f>
        <v>0</v>
      </c>
      <c r="DU86" s="6">
        <f>COUNTIFS(Table69[Country],Tabela1[[#This Row],[Country]],Table69[Keirin Classification],"&gt;0")</f>
        <v>0</v>
      </c>
      <c r="DV86" s="6">
        <f>COUNTIFS(Table41[Country],Tabela1[[#This Row],[Country]],Table41[Keirin Classification],"&gt;0")</f>
        <v>0</v>
      </c>
      <c r="DW86" s="6">
        <f>COUNTIFS(Table84[Country],Tabela1[[#This Row],[Country]],Table84[Men''s Madison Classification],"&gt;0")</f>
        <v>0</v>
      </c>
      <c r="DX86" s="6">
        <f>COUNTIFS(Table84[Country],Tabela1[[#This Row],[Country]],Table84[Women''s Madison Classification],"&gt;0")</f>
        <v>0</v>
      </c>
      <c r="DY86" s="6">
        <f>COUNTIFS(Table69[Country],Tabela1[[#This Row],[Country]],Table69[Omnium Classification],"&gt;0")</f>
        <v>0</v>
      </c>
      <c r="DZ86" s="6">
        <f>COUNTIFS(Table41[Country],Tabela1[[#This Row],[Country]],Table41[Omnium Classification],"&gt;0")</f>
        <v>0</v>
      </c>
      <c r="EA86" s="6">
        <f>COUNTIFS(Table9[Country],Tabela1[[#This Row],[Country]],Table9[Road Race Classification],"&gt;0")</f>
        <v>0</v>
      </c>
      <c r="EB86" s="6">
        <f>COUNTIFS(Table14[Country],Tabela1[[#This Row],[Country]],Table14[Road Race Classification],"&gt;0")</f>
        <v>0</v>
      </c>
      <c r="EC86" s="6">
        <f>COUNTIFS(Table69[Country],Tabela1[[#This Row],[Country]],Table69[Sprint Classification],"&gt;0")</f>
        <v>0</v>
      </c>
      <c r="ED86" s="6">
        <f>COUNTIFS(Table41[Country],Tabela1[[#This Row],[Country]],Table41[Sprint Classification],"&gt;0")</f>
        <v>0</v>
      </c>
      <c r="EE86" s="6">
        <f>COUNTIFS(Table85[Country],Tabela1[[#This Row],[Country]],Table85[Men''s Sprint Classification],"&gt;0")</f>
        <v>0</v>
      </c>
      <c r="EF86" s="6">
        <f>COUNTIFS(Table85[Country],Tabela1[[#This Row],[Country]],Table85[Women''s Sprint Classification],"&gt;0")</f>
        <v>0</v>
      </c>
      <c r="EG86" s="6">
        <f>COUNTIFS(Table85[Country],Tabela1[[#This Row],[Country]],Table85[Men''s Pursuit Classification],"&gt;0")</f>
        <v>0</v>
      </c>
      <c r="EH86" s="6">
        <f>COUNTIFS(Table85[Country],Tabela1[[#This Row],[Country]],Table85[Women''s Pursuit Classification],"&gt;0")</f>
        <v>0</v>
      </c>
      <c r="EI86" s="6">
        <f>COUNTIFS(Table9[Country],Tabela1[[#This Row],[Country]],Table9[Time-Trial Classification],"&gt;0")</f>
        <v>0</v>
      </c>
      <c r="EJ86" s="6">
        <f>COUNTIFS(Table14[Country],Tabela1[[#This Row],[Country]],Table14[Time-Trial Classification],"&gt;0")</f>
        <v>0</v>
      </c>
      <c r="EK86" s="6">
        <f>COUNTIFS(Table42[Country],Tabela1[[#This Row],[Country]],Table42[Springboard Classification],"&gt;0")</f>
        <v>0</v>
      </c>
      <c r="EL86" s="6">
        <f>COUNTIFS(Table43[Country],Tabela1[[#This Row],[Country]],Table43[Springboard Classification],"&gt;0")</f>
        <v>0</v>
      </c>
      <c r="EM86" s="6">
        <f>COUNTIFS(Table42[Country],Tabela1[[#This Row],[Country]],Table42[Platform Classification],"&gt;0")</f>
        <v>0</v>
      </c>
      <c r="EN86" s="6">
        <f>COUNTIFS(Table43[Country],Tabela1[[#This Row],[Country]],Table43[Platform Classification],"&gt;0")</f>
        <v>0</v>
      </c>
      <c r="EO86" s="6">
        <f>COUNTIFS(Table86[Country],Tabela1[[#This Row],[Country]],Table86[Men''s Synchronized Springboard Classification],"&gt;0")</f>
        <v>0</v>
      </c>
      <c r="EP86" s="6">
        <f>COUNTIFS(Table86[Country],Tabela1[[#This Row],[Country]],Table86[Women''s Synchronized Springboard Classification],"&gt;0")</f>
        <v>0</v>
      </c>
      <c r="EQ86" s="6">
        <f>COUNTIFS(Table86[Country],Tabela1[[#This Row],[Country]],Table86[Men''s Synchronized Platform Classification],"&gt;0")</f>
        <v>0</v>
      </c>
      <c r="ER86" s="6">
        <f>COUNTIFS(Table86[Country],Tabela1[[#This Row],[Country]],Table86[Women''s Synchronized Platform Classification],"&gt;0")</f>
        <v>0</v>
      </c>
      <c r="ES86" s="6">
        <f>COUNTIFS(Table44[Country],Tabela1[[#This Row],[Country]],Table44[Dressage Classification],"&gt;0")</f>
        <v>0</v>
      </c>
      <c r="ET86" s="6">
        <f>COUNTIFS(Table45[Country],Tabela1[[#This Row],[Country]],Table45[Dressage Classification],"&gt;0")</f>
        <v>0</v>
      </c>
      <c r="EU86" s="6">
        <f>COUNTIFS(Table44[Country],Tabela1[[#This Row],[Country]],Table44[Eventing Classification],"&gt;0")</f>
        <v>0</v>
      </c>
      <c r="EV86" s="6">
        <f>COUNTIFS(Table45[Country],Tabela1[[#This Row],[Country]],Table45[Eventing Classification],"&gt;0")</f>
        <v>0</v>
      </c>
      <c r="EW86" s="6">
        <f>COUNTIFS(Table44[Country],Tabela1[[#This Row],[Country]],Table44[Jumping Classification],"&gt;0")</f>
        <v>0</v>
      </c>
      <c r="EX86" s="6">
        <f>COUNTIFS(Table45[Country],Tabela1[[#This Row],[Country]],Table45[Jumping Classification],"&gt;0")</f>
        <v>0</v>
      </c>
      <c r="EY86" s="6">
        <f>COUNTIFS(Table10[Country],Tabela1[[#This Row],[Country]],Table10[Épée Classification],"&gt;0")</f>
        <v>0</v>
      </c>
      <c r="EZ86" s="6">
        <f>COUNTIFS(Table11[Country],Tabela1[[#This Row],[Country]],Table11[Épée Classification],"&gt;0")</f>
        <v>0</v>
      </c>
      <c r="FA86" s="6">
        <f>COUNTIFS(Table46[Country],Tabela1[[#This Row],[Country]],Table46[Men''s Épée Classification],"&gt;0")</f>
        <v>0</v>
      </c>
      <c r="FB86" s="6">
        <f>COUNTIFS(Table46[Country],Tabela1[[#This Row],[Country]],Table46[Women''s Épée Classification],"&gt;0")</f>
        <v>0</v>
      </c>
      <c r="FC86" s="6">
        <f>COUNTIFS(Table10[Country],Tabela1[[#This Row],[Country]],Table10[Foil Classification],"&gt;0")</f>
        <v>0</v>
      </c>
      <c r="FD86" s="6">
        <f>COUNTIFS(Table11[Country],Tabela1[[#This Row],[Country]],Table11[Foil Classification],"&gt;0")</f>
        <v>0</v>
      </c>
      <c r="FE86" s="6">
        <f>COUNTIFS(Table46[Country],Tabela1[[#This Row],[Country]],Table46[Men''s Foil Classification],"&gt;0")</f>
        <v>0</v>
      </c>
      <c r="FF86" s="6">
        <f>COUNTIFS(Table46[Country],Tabela1[[#This Row],[Country]],Table46[Women''s Foil Classification],"&gt;0")</f>
        <v>0</v>
      </c>
      <c r="FG86" s="6">
        <f>COUNTIFS(Table10[Country],Tabela1[[#This Row],[Country]],Table10[Sabre Classification],"&gt;0")</f>
        <v>0</v>
      </c>
      <c r="FH86" s="6">
        <f>COUNTIFS(Table11[Country],Tabela1[[#This Row],[Country]],Table11[Sabre Classification],"&gt;0")</f>
        <v>0</v>
      </c>
      <c r="FI86" s="6">
        <f>COUNTIFS(Table46[Country],Tabela1[[#This Row],[Country]],Table46[Men''s Sabre Classification],"&gt;0")</f>
        <v>0</v>
      </c>
      <c r="FJ86" s="6">
        <f>COUNTIFS(Table46[Country],Tabela1[[#This Row],[Country]],Table46[Women''s Sabre Classification],"&gt;0")</f>
        <v>0</v>
      </c>
      <c r="FK86" s="6">
        <f>COUNTIFS(Table91[Country],Tabela1[[#This Row],[Country]],Table91[Men''s Classification],"&gt;0")</f>
        <v>0</v>
      </c>
      <c r="FL86" s="6">
        <f>COUNTIFS(Table91[Country],Tabela1[[#This Row],[Country]],Table91[Women''s Classification],"&gt;0")</f>
        <v>0</v>
      </c>
      <c r="FM86" s="6">
        <f>COUNTIFS(Table9194[Country],Tabela1[[#This Row],[Country]],Table9194[Men''s Classification],"&gt;0")</f>
        <v>0</v>
      </c>
      <c r="FN86" s="6">
        <f>COUNTIFS(Table9194[Country],Tabela1[[#This Row],[Country]],Table9194[Women''s Classification],"&gt;0")</f>
        <v>0</v>
      </c>
      <c r="FO86" s="6">
        <f>COUNTIFS(Table71[Country],Tabela1[[#This Row],[Country]],Table71[Classification],"&gt;0")</f>
        <v>0</v>
      </c>
      <c r="FP86" s="6">
        <f>COUNTIFS(Table62[Country],Tabela1[[#This Row],[Country]],Table62[Classification],"&gt;0")</f>
        <v>0</v>
      </c>
      <c r="FQ86" s="6">
        <f>COUNTIFS(Table47[Country],Tabela1[[#This Row],[Country]],Table47[All-Around Classification],"&gt;0")</f>
        <v>0</v>
      </c>
      <c r="FR86" s="6">
        <f>COUNTIFS(Table48[Country],Tabela1[[#This Row],[Country]],Table48[All-Around Classification],"&gt;0")</f>
        <v>0</v>
      </c>
      <c r="FS86" s="6">
        <f>COUNTIFS(Table81[Country],Tabela1[[#This Row],[Country]],Table81[Men''s All-Around Classification],"&gt;0")</f>
        <v>0</v>
      </c>
      <c r="FT86" s="6">
        <f>COUNTIFS(Table81[Country],Tabela1[[#This Row],[Country]],Table81[Women''s All-Around Classification],"&gt;0")</f>
        <v>0</v>
      </c>
      <c r="FU86" s="6">
        <f>COUNTIFS(Table48[Country],Tabela1[[#This Row],[Country]],Table48[Balance Beam Classification],"&gt;0")</f>
        <v>0</v>
      </c>
      <c r="FV86" s="6">
        <f>COUNTIFS(Table47[Country],Tabela1[[#This Row],[Country]],Table47[Floor Exercise Classification],"&gt;0")</f>
        <v>0</v>
      </c>
      <c r="FW86" s="6">
        <f>COUNTIFS(Table48[Country],Tabela1[[#This Row],[Country]],Table48[Floor Exercise Classification],"&gt;0")</f>
        <v>0</v>
      </c>
      <c r="FX86" s="6">
        <f>COUNTIFS(Table47[Country],Tabela1[[#This Row],[Country]],Table47[Horizontal Bar Classification],"&gt;0")</f>
        <v>0</v>
      </c>
      <c r="FY86" s="6">
        <f>COUNTIFS(Table47[Country],Tabela1[[#This Row],[Country]],Table47[Parallel Bars Classification],"&gt;0")</f>
        <v>0</v>
      </c>
      <c r="FZ86" s="6">
        <f>COUNTIFS(Table47[Country],Tabela1[[#This Row],[Country]],Table47[Pommel Horse Classification],"&gt;0")</f>
        <v>0</v>
      </c>
      <c r="GA86" s="6">
        <f>COUNTIFS(Table47[Country],Tabela1[[#This Row],[Country]],Table47[Rings Classification],"&gt;0")</f>
        <v>0</v>
      </c>
      <c r="GB86" s="6">
        <f>COUNTIFS(Tabela132[Country],Tabela1[[#This Row],[Country]],Tabela132[Classification],"&gt;0")</f>
        <v>0</v>
      </c>
      <c r="GC86" s="6">
        <f>COUNTIFS(Tabela139[Country],Tabela1[[#This Row],[Country]],Tabela139[Classification],"&gt;0")</f>
        <v>0</v>
      </c>
      <c r="GD86" s="6">
        <f>COUNTIFS(Table48[Country],Tabela1[[#This Row],[Country]],Table48[Uneven Bars Classification],"&gt;0")</f>
        <v>0</v>
      </c>
      <c r="GE86" s="6">
        <f>COUNTIFS(Table47[Country],Tabela1[[#This Row],[Country]],Table47[Vault Classification],"&gt;0")</f>
        <v>0</v>
      </c>
      <c r="GF86" s="6">
        <f>COUNTIFS(Table48[Country],Tabela1[[#This Row],[Country]],Table48[Vault Classification],"&gt;0")</f>
        <v>0</v>
      </c>
      <c r="GG86" s="6">
        <f>COUNTIFS(Table919496[Country],Tabela1[[#This Row],[Country]],Table919496[Men''s Classification],"&gt;0")</f>
        <v>0</v>
      </c>
      <c r="GH86" s="6">
        <f>COUNTIFS(Table919496[Country],Tabela1[[#This Row],[Country]],Table919496[Women''s Classification],"&gt;0")</f>
        <v>0</v>
      </c>
      <c r="GI86" s="6">
        <f>COUNTIFS(Table12[Country],Tabela1[[#This Row],[Country]],Table12[60kg Classification],"&gt;0")</f>
        <v>0</v>
      </c>
      <c r="GJ86" s="6">
        <f>COUNTIFS(Table12[Country],Tabela1[[#This Row],[Country]],Table12[66kg Classification],"&gt;0")</f>
        <v>0</v>
      </c>
      <c r="GK86" s="6">
        <f>COUNTIFS(Table12[Country],Tabela1[[#This Row],[Country]],Table12[73kg Classification],"&gt;0")</f>
        <v>0</v>
      </c>
      <c r="GL86" s="6">
        <f>COUNTIFS(Table12[Country],Tabela1[[#This Row],[Country]],Table12[81kg Classification],"&gt;0")</f>
        <v>0</v>
      </c>
      <c r="GM86" s="6">
        <f>COUNTIFS(Table12[Country],Tabela1[[#This Row],[Country]],Table12[90kg Classification],"&gt;0")</f>
        <v>0</v>
      </c>
      <c r="GN86" s="6">
        <f>COUNTIFS(Table12[Country],Tabela1[[#This Row],[Country]],Table12[100kg Classification],"&gt;0")</f>
        <v>0</v>
      </c>
      <c r="GO86" s="6">
        <f>COUNTIFS(Table12[Country],Tabela1[[#This Row],[Country]],Table12[Plus 100kg Classification],"&gt;0")</f>
        <v>0</v>
      </c>
      <c r="GP86" s="6">
        <f>COUNTIFS(Table13[Country],Tabela1[[#This Row],[Country]],Table13[48kg Classification],"&gt;0")</f>
        <v>0</v>
      </c>
      <c r="GQ86" s="6">
        <f>COUNTIFS(Table13[Country],Tabela1[[#This Row],[Country]],Table13[52kg Classification],"&gt;0")</f>
        <v>1</v>
      </c>
      <c r="GR86" s="6">
        <f>COUNTIFS(Table13[Country],Tabela1[[#This Row],[Country]],Table13[57kg Classification],"&gt;0")</f>
        <v>0</v>
      </c>
      <c r="GS86" s="6">
        <f>COUNTIFS(Table13[Country],Tabela1[[#This Row],[Country]],Table13[63kg Classification],"&gt;0")</f>
        <v>0</v>
      </c>
      <c r="GT86" s="6">
        <f>COUNTIFS(Table13[Country],Tabela1[[#This Row],[Country]],Table13[70kg Classification],"&gt;0")</f>
        <v>0</v>
      </c>
      <c r="GU86" s="6">
        <f>COUNTIFS(Table13[Country],Tabela1[[#This Row],[Country]],Table13[78kg Classification],"&gt;0")</f>
        <v>0</v>
      </c>
      <c r="GV86" s="6">
        <f>COUNTIFS(Table13[Country],Tabela1[[#This Row],[Country]],Table13[Plus 78kg Classification],"&gt;0")</f>
        <v>0</v>
      </c>
      <c r="GW86" s="6">
        <f>COUNTIFS(Table82[Country],Tabela1[[#This Row],[Country]],Table82[Mixed Classification],"&gt;0")</f>
        <v>0</v>
      </c>
      <c r="GX86" s="6">
        <f>COUNTIFS(Table51[Country],Tabela1[[#This Row],[Country]],Table51[Classification],"&gt;0")</f>
        <v>0</v>
      </c>
      <c r="GY86" s="6">
        <f>COUNTIFS(Table52[Country],Tabela1[[#This Row],[Country]],Table52[Classification],"&gt;0")</f>
        <v>0</v>
      </c>
      <c r="GZ86" s="6">
        <f>COUNTIFS(Table32[Country],Tabela1[[#This Row],[Country]],Table32[All-Around Classification],"&gt;0")</f>
        <v>0</v>
      </c>
      <c r="HA86" s="6">
        <f>COUNTIFS(Table49[Country],Tabela1[[#This Row],[Country]],Table49[All-Around Classification],"&gt;0")</f>
        <v>0</v>
      </c>
      <c r="HB86" s="6">
        <f>COUNTIFS(Table26[Country],Tabela1[[#This Row],[Country]],Table26[Single Sculls Classification],"&gt;0")</f>
        <v>0</v>
      </c>
      <c r="HC86" s="6">
        <f>COUNTIFS(Table63[Country],Tabela1[[#This Row],[Country]],Table63[Single Sculls Classification],"&gt;0")</f>
        <v>0</v>
      </c>
      <c r="HD86" s="6">
        <f>COUNTIFS(Table16[Country],Tabela1[[#This Row],[Country]],Table16[Men''s Double Sculls Classification],"&gt;0")</f>
        <v>0</v>
      </c>
      <c r="HE86" s="6">
        <f>COUNTIFS(Table16[Country],Tabela1[[#This Row],[Country]],Table16[Women''s Double Sculls Classification],"&gt;0")</f>
        <v>0</v>
      </c>
      <c r="HF86" s="6">
        <f>COUNTIFS(Table72[Country],Tabela1[[#This Row],[Country]],Table72[Men''s Quadruple Sculls Classification],"&gt;0")</f>
        <v>0</v>
      </c>
      <c r="HG86" s="6">
        <f>COUNTIFS(Table72[Country],Tabela1[[#This Row],[Country]],Table72[Women''s Quadruple Sculls Classification],"&gt;0")</f>
        <v>0</v>
      </c>
      <c r="HH86" s="6">
        <f>COUNTIFS(Table16[Country],Tabela1[[#This Row],[Country]],Table16[Men''s Coxless Pairs Classification],"&gt;0")</f>
        <v>0</v>
      </c>
      <c r="HI86" s="6">
        <f>COUNTIFS(Table16[Country],Tabela1[[#This Row],[Country]],Table16[Women''s Coxless Pairs Classification],"&gt;0")</f>
        <v>0</v>
      </c>
      <c r="HJ86" s="6">
        <f>COUNTIFS(Table72[Country],Tabela1[[#This Row],[Country]],Table72[Men''s Coxless Fours Classification],"&gt;0")</f>
        <v>0</v>
      </c>
      <c r="HK86" s="6">
        <f>COUNTIFS(Table72[Country],Tabela1[[#This Row],[Country]],Table72[Women''s Coxless Fours Classification],"&gt;0")</f>
        <v>0</v>
      </c>
      <c r="HL86" s="6">
        <f>COUNTIFS(Table72[Country],Tabela1[[#This Row],[Country]],Table72[Men''s Eights Classification],"&gt;0")</f>
        <v>0</v>
      </c>
      <c r="HM86" s="6">
        <f>COUNTIFS(Table72[Country],Tabela1[[#This Row],[Country]],Table72[Women''s Eights Classification],"&gt;0")</f>
        <v>0</v>
      </c>
      <c r="HN86" s="6">
        <f>COUNTIFS(Table16[Country],Tabela1[[#This Row],[Country]],Table16[Men''s Lwt. Double Sculls Classification],"&gt;0")</f>
        <v>0</v>
      </c>
      <c r="HO86" s="6">
        <f>COUNTIFS(Table16[Country],Tabela1[[#This Row],[Country]],Table16[Women''s Lwt. Double Sculls Classification],"&gt;0")</f>
        <v>0</v>
      </c>
      <c r="HP86" s="6">
        <f>COUNTIFS(Table91949698[Country],Tabela1[[#This Row],[Country]],Table91949698[Men''s Classification],"&gt;0")</f>
        <v>0</v>
      </c>
      <c r="HQ86" s="6">
        <f>COUNTIFS(Table91949698[Country],Tabela1[[#This Row],[Country]],Table91949698[Women''s Classification],"&gt;0")</f>
        <v>0</v>
      </c>
      <c r="HR86" s="6">
        <f>COUNTIFS(Table25[Country],Tabela1[[#This Row],[Country]],Table25[Mixed 470 Classification],"&gt;0")</f>
        <v>0</v>
      </c>
      <c r="HS86" s="6">
        <f>COUNTIFS(Table25[Country],Tabela1[[#This Row],[Country]],Table25[Men''s 49er Classification],"&gt;0")</f>
        <v>0</v>
      </c>
      <c r="HT86" s="6">
        <f>COUNTIFS(Table25[Country],Tabela1[[#This Row],[Country]],Table25[Women''s 49er FX Classification],"&gt;0")</f>
        <v>0</v>
      </c>
      <c r="HU86" s="6">
        <f>COUNTIFS(Table17[Country],Tabela1[[#This Row],[Country]],Table17[Formula Kite Classification],"&gt;0")</f>
        <v>0</v>
      </c>
      <c r="HV86" s="6">
        <f>COUNTIFS(Table18[Country],Tabela1[[#This Row],[Country]],Table18[Formula Kite Classification],"&gt;0")</f>
        <v>0</v>
      </c>
      <c r="HW86" s="6">
        <f>COUNTIFS(Table17[Country],Tabela1[[#This Row],[Country]],Table17[ILCA 7 Classification],"&gt;0")</f>
        <v>0</v>
      </c>
      <c r="HX86" s="6">
        <f>COUNTIFS(Table18[Country],Tabela1[[#This Row],[Country]],Table18[ILCA 6 Classification],"&gt;0")</f>
        <v>1</v>
      </c>
      <c r="HY86" s="6">
        <f>COUNTIFS(Table17[Country],Tabela1[[#This Row],[Country]],Table17[IQFoil Classification],"&gt;0")</f>
        <v>0</v>
      </c>
      <c r="HZ86" s="6">
        <f>COUNTIFS(Table18[Country],Tabela1[[#This Row],[Country]],Table18[IQFoil Classification],"&gt;0")</f>
        <v>0</v>
      </c>
      <c r="IA86" s="6">
        <f>COUNTIFS(Table25[Country],Tabela1[[#This Row],[Country]],Table25[Mixed Nacra 17 Classification],"&gt;0")</f>
        <v>0</v>
      </c>
      <c r="IB86" s="6">
        <f>COUNTIFS(Table53[Country],Tabela1[[#This Row],[Country]],Table53[10m Air Pistol Classification],"&gt;0")</f>
        <v>0</v>
      </c>
      <c r="IC86" s="6">
        <f>COUNTIFS(Table19[Country],Tabela1[[#This Row],[Country]],Table19[10m Air Pistol Classification],"&gt;0")</f>
        <v>0</v>
      </c>
      <c r="ID86" s="6">
        <f>COUNTIFS(Table54[Country],Tabela1[[#This Row],[Country]],Table54[Mixed 10m Air Pistol Team Classification],"&gt;0")</f>
        <v>0</v>
      </c>
      <c r="IE86" s="6">
        <f>COUNTIFS(Table53[Country],Tabela1[[#This Row],[Country]],Table53[10m Air Rifle Classification],"&gt;0")</f>
        <v>0</v>
      </c>
      <c r="IF86" s="6">
        <f>COUNTIFS(Table19[Country],Tabela1[[#This Row],[Country]],Table19[10m Air Rifle Classification],"&gt;0")</f>
        <v>0</v>
      </c>
      <c r="IG86" s="6">
        <f>COUNTIFS(Table54[Country],Tabela1[[#This Row],[Country]],Table54[Mixed 10m Air Rifle Team Classification],"&gt;0")</f>
        <v>0</v>
      </c>
      <c r="IH86" s="6">
        <f>COUNTIFS(Table53[Country],Tabela1[[#This Row],[Country]],Table53[25m Rapid Fire Pistol Classification],"&gt;0")</f>
        <v>0</v>
      </c>
      <c r="II86" s="6">
        <f>COUNTIFS(Table19[Country],Tabela1[[#This Row],[Country]],Table19[25m Pistol Classification],"&gt;0")</f>
        <v>0</v>
      </c>
      <c r="IJ86" s="6">
        <f>COUNTIFS(Table53[Country],Tabela1[[#This Row],[Country]],Table53[50m Rifle 3 Positions Classification],"&gt;0")</f>
        <v>0</v>
      </c>
      <c r="IK86" s="6">
        <f>COUNTIFS(Table19[Country],Tabela1[[#This Row],[Country]],Table19[50m Rifle 3 Positions Classification],"&gt;0")</f>
        <v>0</v>
      </c>
      <c r="IL86" s="6">
        <f>COUNTIFS(Table53[Country],Tabela1[[#This Row],[Country]],Table53[Skeet Classification],"&gt;0")</f>
        <v>0</v>
      </c>
      <c r="IM86" s="6">
        <f>COUNTIFS(Table19[Country],Tabela1[[#This Row],[Country]],Table19[Skeet Classification],"&gt;0")</f>
        <v>0</v>
      </c>
      <c r="IN86" s="6">
        <f>COUNTIFS(Table54[Country],Tabela1[[#This Row],[Country]],Table54[Mixed Skeet Team Classification],"&gt;0")</f>
        <v>0</v>
      </c>
      <c r="IO86" s="6">
        <f>COUNTIFS(Table53[Country],Tabela1[[#This Row],[Country]],Table53[Trap Classification],"&gt;0")</f>
        <v>0</v>
      </c>
      <c r="IP86" s="6">
        <f>COUNTIFS(Table19[Country],Tabela1[[#This Row],[Country]],Table19[Trap Classification],"&gt;0")</f>
        <v>0</v>
      </c>
      <c r="IQ86" s="6">
        <f>COUNTIFS(Table73[Country],Tabela1[[#This Row],[Country]],Table73[Park Classification],"&gt;0")</f>
        <v>0</v>
      </c>
      <c r="IR86" s="6">
        <f>COUNTIFS(Table74[Country],Tabela1[[#This Row],[Country]],Table74[Park Classification],"&gt;0")</f>
        <v>0</v>
      </c>
      <c r="IS86" s="6">
        <f>COUNTIFS(Table73[Country],Tabela1[[#This Row],[Country]],Table73[Street Classification],"&gt;0")</f>
        <v>0</v>
      </c>
      <c r="IT86" s="6">
        <f>COUNTIFS(Table74[Country],Tabela1[[#This Row],[Country]],Table74[Street Classification],"&gt;0")</f>
        <v>0</v>
      </c>
      <c r="IU86" s="6">
        <f>COUNTIFS(Table75[Country],Tabela1[[#This Row],[Country]],Table75[Boulder and Lead Classification],"&gt;0")</f>
        <v>0</v>
      </c>
      <c r="IV86" s="6">
        <f>COUNTIFS(Table76[Country],Tabela1[[#This Row],[Country]],Table76[Boulder and Lead Classification],"&gt;0")</f>
        <v>0</v>
      </c>
      <c r="IW86" s="6">
        <f>COUNTIFS(Table75[Country],Tabela1[[#This Row],[Country]],Table75[Speed Classification],"&gt;0")</f>
        <v>0</v>
      </c>
      <c r="IX86" s="6">
        <f>COUNTIFS(Table76[Country],Tabela1[[#This Row],[Country]],Table76[Speed Classification],"&gt;0")</f>
        <v>0</v>
      </c>
      <c r="IY86" s="6">
        <f>COUNTIFS(Table64[Country],Tabela1[[#This Row],[Country]],Table64[Shortboard Classification],"&gt;0")</f>
        <v>0</v>
      </c>
      <c r="IZ86" s="6">
        <f>COUNTIFS(Table77[Country],Tabela1[[#This Row],[Country]],Table77[Shortboard Classification],"&gt;0")</f>
        <v>0</v>
      </c>
      <c r="JA86" s="6">
        <f>COUNTIFS(Table20[Country],Tabela1[[#This Row],[Country]],Table20[50m Freestyle Classification],"&gt;0")</f>
        <v>0</v>
      </c>
      <c r="JB86" s="6">
        <f>COUNTIFS(Table21[Country],Tabela1[[#This Row],[Country]],Table21[50m Freestyle Classification],"&gt;0")</f>
        <v>0</v>
      </c>
      <c r="JC86" s="6">
        <f>COUNTIFS(Table20[Country],Tabela1[[#This Row],[Country]],Table20[100m Freestyle Classification],"&gt;0")</f>
        <v>0</v>
      </c>
      <c r="JD86" s="6">
        <f>COUNTIFS(Table21[Country],Tabela1[[#This Row],[Country]],Table21[100m Freestyle Classification],"&gt;0")</f>
        <v>0</v>
      </c>
      <c r="JE86" s="6">
        <f>COUNTIFS(Table20[Country],Tabela1[[#This Row],[Country]],Table20[200m Freestyle Classification],"&gt;0")</f>
        <v>0</v>
      </c>
      <c r="JF86" s="6">
        <f>COUNTIFS(Table21[Country],Tabela1[[#This Row],[Country]],Table21[200m Freestyle Classification],"&gt;0")</f>
        <v>0</v>
      </c>
      <c r="JG86" s="6">
        <f>COUNTIFS(Table20[Country],Tabela1[[#This Row],[Country]],Table20[400m Freestyle Classification],"&gt;0")</f>
        <v>0</v>
      </c>
      <c r="JH86" s="6">
        <f>COUNTIFS(Table21[Country],Tabela1[[#This Row],[Country]],Table21[400m Freestyle Classification],"&gt;0")</f>
        <v>0</v>
      </c>
      <c r="JI86" s="6">
        <f>COUNTIFS(Table20[Country],Tabela1[[#This Row],[Country]],Table20[800m Freestyle Classification],"&gt;0")</f>
        <v>0</v>
      </c>
      <c r="JJ86" s="6">
        <f>COUNTIFS(Table21[Country],Tabela1[[#This Row],[Country]],Table21[800m Freestyle Classification],"&gt;0")</f>
        <v>0</v>
      </c>
      <c r="JK86" s="6">
        <f>COUNTIFS(Table20[Country],Tabela1[[#This Row],[Country]],Table20[1500m Freestyle Classification],"&gt;0")</f>
        <v>0</v>
      </c>
      <c r="JL86" s="6">
        <f>COUNTIFS(Table21[Country],Tabela1[[#This Row],[Country]],Table21[1500m Freestyle Classification],"&gt;0")</f>
        <v>0</v>
      </c>
      <c r="JM86" s="6">
        <f>COUNTIFS(Table20[Country],Tabela1[[#This Row],[Country]],Table20[100m Backstroke Classification],"&gt;0")</f>
        <v>0</v>
      </c>
      <c r="JN86" s="6">
        <f>COUNTIFS(Table21[Country],Tabela1[[#This Row],[Country]],Table21[100m Backstroke Classification],"&gt;0")</f>
        <v>1</v>
      </c>
      <c r="JO86" s="6">
        <f>COUNTIFS(Table20[Country],Tabela1[[#This Row],[Country]],Table20[200m Backstroke Classification],"&gt;0")</f>
        <v>0</v>
      </c>
      <c r="JP86" s="6">
        <f>COUNTIFS(Table21[Country],Tabela1[[#This Row],[Country]],Table21[200m Backstroke Classification],"&gt;0")</f>
        <v>0</v>
      </c>
      <c r="JQ86" s="6">
        <f>COUNTIFS(Table20[Country],Tabela1[[#This Row],[Country]],Table20[100m Breaststroke Classification],"&gt;0")</f>
        <v>0</v>
      </c>
      <c r="JR86" s="6">
        <f>COUNTIFS(Table21[Country],Tabela1[[#This Row],[Country]],Table21[100m Breaststroke Classification],"&gt;0")</f>
        <v>0</v>
      </c>
      <c r="JS86" s="6">
        <f>COUNTIFS(Table20[Country],Tabela1[[#This Row],[Country]],Table20[200m Breaststroke Classification],"&gt;0")</f>
        <v>0</v>
      </c>
      <c r="JT86" s="6">
        <f>COUNTIFS(Table21[Country],Tabela1[[#This Row],[Country]],Table21[200m Breaststroke Classification],"&gt;0")</f>
        <v>0</v>
      </c>
      <c r="JU86" s="6">
        <f>COUNTIFS(Table20[Country],Tabela1[[#This Row],[Country]],Table20[100m Butterfly Classification],"&gt;0")</f>
        <v>0</v>
      </c>
      <c r="JV86" s="6">
        <f>COUNTIFS(Table21[Country],Tabela1[[#This Row],[Country]],Table21[100m Butterfly Classification],"&gt;0")</f>
        <v>0</v>
      </c>
      <c r="JW86" s="6">
        <f>COUNTIFS(Table20[Country],Tabela1[[#This Row],[Country]],Table20[200m Butterfly Classification],"&gt;0")</f>
        <v>0</v>
      </c>
      <c r="JX86" s="6">
        <f>COUNTIFS(Table21[Country],Tabela1[[#This Row],[Country]],Table21[200m Butterfly Classification],"&gt;0")</f>
        <v>0</v>
      </c>
      <c r="JY86" s="6">
        <f>COUNTIFS(Table20[Country],Tabela1[[#This Row],[Country]],Table20[200m Medley Classification],"&gt;0")</f>
        <v>0</v>
      </c>
      <c r="JZ86" s="6">
        <f>COUNTIFS(Table21[Country],Tabela1[[#This Row],[Country]],Table21[200m Medley Classification],"&gt;0")</f>
        <v>0</v>
      </c>
      <c r="KA86" s="6">
        <f>COUNTIFS(Table20[Country],Tabela1[[#This Row],[Country]],Table20[400m Medley Classification],"&gt;0")</f>
        <v>0</v>
      </c>
      <c r="KB86" s="6">
        <f>COUNTIFS(Table21[Country],Tabela1[[#This Row],[Country]],Table21[400m Medley Classification],"&gt;0")</f>
        <v>0</v>
      </c>
      <c r="KC86" s="6">
        <f>COUNTIFS(Table78[Country],Tabela1[[#This Row],[Country]],Table78[Men''s 4x100m Freestyle Relay Classification],"&gt;0")</f>
        <v>0</v>
      </c>
      <c r="KD86" s="6">
        <f>COUNTIFS(Table78[Country],Tabela1[[#This Row],[Country]],Table78[Women''s 4x100m Freestyle Relay Classification],"&gt;0")</f>
        <v>0</v>
      </c>
      <c r="KE86" s="6">
        <f>COUNTIFS(Table78[Country],Tabela1[[#This Row],[Country]],Table78[Men''s 4x200m Freestyle Relay Classification],"&gt;0")</f>
        <v>0</v>
      </c>
      <c r="KF86" s="6">
        <f>COUNTIFS(Table78[Country],Tabela1[[#This Row],[Country]],Table78[Women''s 4x200m Freestyle Relay Classification],"&gt;0")</f>
        <v>0</v>
      </c>
      <c r="KG86" s="6">
        <f>COUNTIFS(Table78[Country],Tabela1[[#This Row],[Country]],Table78[Men''s 4x100m Medley Relay Classification],"&gt;0")</f>
        <v>0</v>
      </c>
      <c r="KH86" s="6">
        <f>COUNTIFS(Table78[Country],Tabela1[[#This Row],[Country]],Table78[Women''s 4x100m Medley Relay Classification],"&gt;0")</f>
        <v>0</v>
      </c>
      <c r="KI86" s="6">
        <f>COUNTIFS(Table78[Country],Tabela1[[#This Row],[Country]],Table78[Mixed 4x100m Medley Relay Classification],"&gt;0")</f>
        <v>0</v>
      </c>
      <c r="KJ86" s="6">
        <f>COUNTIFS(Table20[Country],Tabela1[[#This Row],[Country]],Table20[10km Open Water Classification],"&gt;0")</f>
        <v>0</v>
      </c>
      <c r="KK86" s="6">
        <f>COUNTIFS(Table21[Country],Tabela1[[#This Row],[Country]],Table21[10km Open Water Classification],"&gt;0")</f>
        <v>0</v>
      </c>
      <c r="KL86" s="6">
        <f>COUNTIFS(Table22[Country],Tabela1[[#This Row],[Country]],Table22[Classification],"&gt;0")</f>
        <v>0</v>
      </c>
      <c r="KM86" s="6">
        <f>COUNTIFS(Table30[Country],Tabela1[[#This Row],[Country]],Table30[Classification],"&gt;0")</f>
        <v>0</v>
      </c>
      <c r="KN86" s="6">
        <f>COUNTIFS(Table55[Country],Tabela1[[#This Row],[Country]],Table55[Men''s Classification],"&gt;0")</f>
        <v>0</v>
      </c>
      <c r="KO86" s="6">
        <f>COUNTIFS(Table55[Country],Tabela1[[#This Row],[Country]],Table55[Women''s Classification],"&gt;0")</f>
        <v>0</v>
      </c>
      <c r="KP86" s="6">
        <f>COUNTIFS(Table56[Country],Tabela1[[#This Row],[Country]],Table56[Mixed Classification],"&gt;0")</f>
        <v>0</v>
      </c>
      <c r="KQ86" s="6">
        <f>COUNTIFS(Table29[Country],Tabela1[[#This Row],[Country]],Table29[58kg Classification],"&gt;0")</f>
        <v>0</v>
      </c>
      <c r="KR86" s="6">
        <f>COUNTIFS(Table29[Country],Tabela1[[#This Row],[Country]],Table29[68kg Classification],"&gt;0")</f>
        <v>0</v>
      </c>
      <c r="KS86" s="6">
        <f>COUNTIFS(Table29[Country],Tabela1[[#This Row],[Country]],Table29[80kg Classification],"&gt;0")</f>
        <v>0</v>
      </c>
      <c r="KT86" s="6">
        <f>COUNTIFS(Table29[Country],Tabela1[[#This Row],[Country]],Table29[Plus 80kg Classification],"&gt;0")</f>
        <v>0</v>
      </c>
      <c r="KU86" s="6">
        <f>COUNTIFS(Table34[Country],Tabela1[[#This Row],[Country]],Table34[49kg Classification],"&gt;0")</f>
        <v>0</v>
      </c>
      <c r="KV86" s="6">
        <f>COUNTIFS(Table34[Country],Tabela1[[#This Row],[Country]],Table34[57kg Classification],"&gt;0")</f>
        <v>0</v>
      </c>
      <c r="KW86" s="6">
        <f>COUNTIFS(Table34[Country],Tabela1[[#This Row],[Country]],Table34[67kg Classification],"&gt;0")</f>
        <v>0</v>
      </c>
      <c r="KX86" s="6">
        <f>COUNTIFS(Table34[Country],Tabela1[[#This Row],[Country]],Table34[Plus 67kg Classification],"&gt;0")</f>
        <v>0</v>
      </c>
      <c r="KY86" s="6">
        <f>COUNTIFS(Table57[Country],Tabela1[[#This Row],[Country]],Table57[Classification],"&gt;0")</f>
        <v>0</v>
      </c>
      <c r="KZ86" s="6">
        <f>COUNTIFS(Table58[Country],Tabela1[[#This Row],[Country]],Table58[Classification],"&gt;0")</f>
        <v>0</v>
      </c>
      <c r="LA86" s="6">
        <f>COUNTIFS(Table79[Country],Tabela1[[#This Row],[Country]],Table79[Men''s Classification],"&gt;0")</f>
        <v>0</v>
      </c>
      <c r="LB86" s="6">
        <f>COUNTIFS(Table79[Country],Tabela1[[#This Row],[Country]],Table79[Women''s Classification],"&gt;0")</f>
        <v>0</v>
      </c>
      <c r="LC86" s="6">
        <f>COUNTIFS(Table79[Country],Tabela1[[#This Row],[Country]],Table79[Mixed Classification],"&gt;0")</f>
        <v>0</v>
      </c>
      <c r="LD86" s="6">
        <f>COUNTIFS(Table65[Country],Tabela1[[#This Row],[Country]],Table65[Classification],"&gt;0")</f>
        <v>0</v>
      </c>
      <c r="LE86" s="6">
        <f>COUNTIFS(Table59[Country],Tabela1[[#This Row],[Country]],Table59[Classification],"&gt;0")</f>
        <v>0</v>
      </c>
      <c r="LF86" s="6">
        <f>COUNTIFS(Table87[Country],Tabela1[[#This Row],[Country]],Table87[Mixed Relay Classification],"&gt;0")</f>
        <v>0</v>
      </c>
      <c r="LG86" s="6">
        <f>COUNTIFS(Table91949698100[Country],Tabela1[[#This Row],[Country]],Table91949698100[Men''s Classification],"&gt;0")</f>
        <v>0</v>
      </c>
      <c r="LH86" s="6">
        <f>COUNTIFS(Table91949698100[Country],Tabela1[[#This Row],[Country]],Table91949698100[Women''s Classification],"&gt;0")</f>
        <v>0</v>
      </c>
      <c r="LI86" s="6">
        <f>COUNTIFS(Table91949698100102[Country],Tabela1[[#This Row],[Country]],Table91949698100102[Men''s Classification],"&gt;0")</f>
        <v>0</v>
      </c>
      <c r="LJ86" s="6">
        <f>COUNTIFS(Table91949698100102[Country],Tabela1[[#This Row],[Country]],Table91949698100102[Women''s Classification],"&gt;0")</f>
        <v>0</v>
      </c>
      <c r="LK86" s="6">
        <f>COUNTIFS(Table23[Country],Tabela1[[#This Row],[Country]],Table23[61kg Classification],"&gt;0")</f>
        <v>0</v>
      </c>
      <c r="LL86" s="6">
        <f>COUNTIFS(Table23[Country],Tabela1[[#This Row],[Country]],Table23[73kg Classification],"&gt;0")</f>
        <v>0</v>
      </c>
      <c r="LM86" s="6">
        <f>COUNTIFS(Table23[Country],Tabela1[[#This Row],[Country]],Table23[89kg Classification],"&gt;0")</f>
        <v>0</v>
      </c>
      <c r="LN86" s="6">
        <f>COUNTIFS(Table23[Country],Tabela1[[#This Row],[Country]],Table23[102kg Classification],"&gt;0")</f>
        <v>0</v>
      </c>
      <c r="LO86" s="6">
        <f>COUNTIFS(Table23[Country],Tabela1[[#This Row],[Country]],Table23[Plus 102kg Classification],"&gt;0")</f>
        <v>0</v>
      </c>
      <c r="LP86" s="6">
        <f>COUNTIFS(Table28[Country],Tabela1[[#This Row],[Country]],Table28[49kg Classification],"&gt;0")</f>
        <v>0</v>
      </c>
      <c r="LQ86" s="6">
        <f>COUNTIFS(Table28[Country],Tabela1[[#This Row],[Country]],Table28[59kg Classification],"&gt;0")</f>
        <v>0</v>
      </c>
      <c r="LR86" s="6">
        <f>COUNTIFS(Table28[Country],Tabela1[[#This Row],[Country]],Table28[71kg Classification],"&gt;0")</f>
        <v>0</v>
      </c>
      <c r="LS86" s="6">
        <f>COUNTIFS(Table28[Country],Tabela1[[#This Row],[Country]],Table28[81kg Classification],"&gt;0")</f>
        <v>0</v>
      </c>
      <c r="LT86" s="6">
        <f>COUNTIFS(Table28[Country],Tabela1[[#This Row],[Country]],Table28[Plus 81kg Classification],"&gt;0")</f>
        <v>0</v>
      </c>
      <c r="LU86" s="6">
        <f>COUNTIFS(Table24[Country],Tabela1[[#This Row],[Country]],Table24[Freestyle 57kg Classification],"&gt;0")</f>
        <v>0</v>
      </c>
      <c r="LV86" s="6">
        <f>COUNTIFS(Table24[Country],Tabela1[[#This Row],[Country]],Table24[Freestyle 65kg Classification],"&gt;0")</f>
        <v>0</v>
      </c>
      <c r="LW86" s="6">
        <f>COUNTIFS(Table24[Country],Tabela1[[#This Row],[Country]],Table24[Freestyle 74kg Classification],"&gt;0")</f>
        <v>0</v>
      </c>
      <c r="LX86" s="6">
        <f>COUNTIFS(Table24[Country],Tabela1[[#This Row],[Country]],Table24[Freestyle 86kg Classification],"&gt;0")</f>
        <v>0</v>
      </c>
      <c r="LY86" s="6">
        <f>COUNTIFS(Table24[Country],Tabela1[[#This Row],[Country]],Table24[Freestyle 97kg Classification],"&gt;0")</f>
        <v>0</v>
      </c>
      <c r="LZ86" s="6">
        <f>COUNTIFS(Table24[Country],Tabela1[[#This Row],[Country]],Table24[Freestyle 125kg Classification],"&gt;0")</f>
        <v>0</v>
      </c>
      <c r="MA86" s="6">
        <f>COUNTIFS(Table24[Country],Tabela1[[#This Row],[Country]],Table24[Greco-Roman 60kg Classification],"&gt;0")</f>
        <v>0</v>
      </c>
      <c r="MB86" s="6">
        <f>COUNTIFS(Table24[Country],Tabela1[[#This Row],[Country]],Table24[Greco-Roman 67kg Classification],"&gt;0")</f>
        <v>0</v>
      </c>
      <c r="MC86" s="6">
        <f>COUNTIFS(Table24[Country],Tabela1[[#This Row],[Country]],Table24[Greco-Roman 77kg Classification],"&gt;0")</f>
        <v>0</v>
      </c>
      <c r="MD86" s="6">
        <f>COUNTIFS(Table24[Country],Tabela1[[#This Row],[Country]],Table24[Greco-Roman 87kg Classification],"&gt;0")</f>
        <v>0</v>
      </c>
      <c r="ME86" s="6">
        <f>COUNTIFS(Table24[Country],Tabela1[[#This Row],[Country]],Table24[Greco-Roman 97kg Classification],"&gt;0")</f>
        <v>0</v>
      </c>
      <c r="MF86" s="6">
        <f>COUNTIFS(Table24[Country],Tabela1[[#This Row],[Country]],Table24[Greco-Roman 130kg Classification],"&gt;0")</f>
        <v>0</v>
      </c>
      <c r="MG86" s="6">
        <f>COUNTIFS(Table31[Country],Tabela1[[#This Row],[Country]],Table31[50kg Classification],"&gt;0")</f>
        <v>0</v>
      </c>
      <c r="MH86" s="6">
        <f>COUNTIFS(Table31[Country],Tabela1[[#This Row],[Country]],Table31[53kg Classification],"&gt;0")</f>
        <v>0</v>
      </c>
      <c r="MI86" s="6">
        <f>COUNTIFS(Table31[Country],Tabela1[[#This Row],[Country]],Table31[57kg Classification],"&gt;0")</f>
        <v>0</v>
      </c>
      <c r="MJ86" s="6">
        <f>COUNTIFS(Table31[Country],Tabela1[[#This Row],[Country]],Table31[62kg Classification],"&gt;0")</f>
        <v>0</v>
      </c>
      <c r="MK86" s="6">
        <f>COUNTIFS(Table31[Country],Tabela1[[#This Row],[Country]],Table31[68kg Classification],"&gt;0")</f>
        <v>0</v>
      </c>
      <c r="ML86" s="6">
        <f>COUNTIFS(Table31[Country],Tabela1[[#This Row],[Country]],Table31[76kg Classification],"&gt;0")</f>
        <v>0</v>
      </c>
      <c r="MM86" s="6">
        <f>COUNTIFS(Table102[Country],Tabela1[[#This Row],[Country]],Table102[Downhill Classification],"&gt;0")</f>
        <v>0</v>
      </c>
      <c r="MN86" s="6">
        <f>COUNTIFS(Table102105[Country],Tabela1[[#This Row],[Country]],Table102105[Downhill Classification],"&gt;0")</f>
        <v>0</v>
      </c>
      <c r="MO86" s="6">
        <f>COUNTIFS(Table102[Country],Tabela1[[#This Row],[Country]],Table102[Giant Slalom Classification],"&gt;0")</f>
        <v>0</v>
      </c>
      <c r="MP86" s="6">
        <f>COUNTIFS(Table102105[Country],Tabela1[[#This Row],[Country]],Table102105[Giant Slalom Classification],"&gt;0")</f>
        <v>0</v>
      </c>
      <c r="MQ86" s="6">
        <f>COUNTIFS(Table102[Country],Tabela1[[#This Row],[Country]],Table102[Slalom Classification],"&gt;0")</f>
        <v>0</v>
      </c>
      <c r="MR86" s="6">
        <f>COUNTIFS(Table102105[Country],Tabela1[[#This Row],[Country]],Table102105[Slalom Classification],"&gt;0")</f>
        <v>0</v>
      </c>
      <c r="MS86" s="6">
        <f>COUNTIFS(Table102[Country],Tabela1[[#This Row],[Country]],Table102[Super-G Classification],"&gt;0")</f>
        <v>0</v>
      </c>
      <c r="MT86" s="6">
        <f>COUNTIFS(Table102105[Country],Tabela1[[#This Row],[Country]],Table102105[Super-G Classification],"&gt;0")</f>
        <v>0</v>
      </c>
      <c r="MU86" s="6">
        <f>COUNTIFS(Table105[Country],Tabela1[[#This Row],[Country]],Table105[Men''s Combined Classification],"&gt;0")</f>
        <v>0</v>
      </c>
      <c r="MV86" s="6">
        <f>COUNTIFS(Table105[Country],Tabela1[[#This Row],[Country]],Table105[Women''s Combined Classification],"&gt;0")</f>
        <v>0</v>
      </c>
      <c r="MW86" s="6">
        <f>COUNTIFS(Table106[Country],Tabela1[[#This Row],[Country]],Table106[Individual Classification],"&gt;0")</f>
        <v>0</v>
      </c>
      <c r="MX86" s="6">
        <f>COUNTIFS(Table106109[Country],Tabela1[[#This Row],[Country]],Table106109[Individual Classification],"&gt;0")</f>
        <v>0</v>
      </c>
      <c r="MY86" s="6">
        <f>COUNTIFS(Table106[Country],Tabela1[[#This Row],[Country]],Table106[Mass Start Classification],"&gt;0")</f>
        <v>0</v>
      </c>
      <c r="MZ86" s="6">
        <f>COUNTIFS(Table106109[Country],Tabela1[[#This Row],[Country]],Table106109[Mass Start Classification],"&gt;0")</f>
        <v>0</v>
      </c>
      <c r="NA86" s="6">
        <f>COUNTIFS(Table106[Country],Tabela1[[#This Row],[Country]],Table106[Pursuit Classification],"&gt;0")</f>
        <v>0</v>
      </c>
      <c r="NB86" s="6">
        <f>COUNTIFS(Table106109[Country],Tabela1[[#This Row],[Country]],Table106109[Pursuit Classification],"&gt;0")</f>
        <v>0</v>
      </c>
      <c r="NC86" s="6">
        <f>COUNTIFS(Table106[Country],Tabela1[[#This Row],[Country]],Table106[Sprint Classification],"&gt;0")</f>
        <v>0</v>
      </c>
      <c r="ND86" s="6">
        <f>COUNTIFS(Table106109[Country],Tabela1[[#This Row],[Country]],Table106109[Sprint Classification],"&gt;0")</f>
        <v>0</v>
      </c>
      <c r="NE86" s="6">
        <f>COUNTIFS(Table109[Country],Tabela1[[#This Row],[Country]],Table109[Men''s Relay Classification],"&gt;0")</f>
        <v>0</v>
      </c>
      <c r="NF86" s="6">
        <f>COUNTIFS(Table109[Country],Tabela1[[#This Row],[Country]],Table109[Women''s Relay Classification],"&gt;0")</f>
        <v>0</v>
      </c>
      <c r="NG86" s="6">
        <f>COUNTIFS(Table109[Country],Tabela1[[#This Row],[Country]],Table109[Mixed Relay Classification],"&gt;0")</f>
        <v>0</v>
      </c>
      <c r="NH86" s="6">
        <f>COUNTIFS(Table110[Country],Tabela1[[#This Row],[Country]],Table110[Monobob Classification],"&gt;0")</f>
        <v>0</v>
      </c>
      <c r="NI86" s="6">
        <f>COUNTIFS(Table111[Country],Tabela1[[#This Row],[Country]],Table111[Men''s Classification],"&gt;0")</f>
        <v>0</v>
      </c>
      <c r="NJ86" s="6">
        <f>COUNTIFS(Table111[Country],Tabela1[[#This Row],[Country]],Table111[Women''s Classification],"&gt;0")</f>
        <v>0</v>
      </c>
      <c r="NK86" s="6">
        <f>COUNTIFS(Table112[Country],Tabela1[[#This Row],[Country]],Table112[Men''s Four Classification],"&gt;0")</f>
        <v>0</v>
      </c>
      <c r="NL86" s="6">
        <f>COUNTIFS(Table113[Country],Tabela1[[#This Row],[Country]],Table113[Classical Classification],"&gt;0")</f>
        <v>0</v>
      </c>
      <c r="NM86" s="6">
        <f>COUNTIFS(Table113116[Country],Tabela1[[#This Row],[Country]],Table113116[Classical Classification],"&gt;0")</f>
        <v>0</v>
      </c>
      <c r="NN86" s="6">
        <f>COUNTIFS(Table113[Country],Tabela1[[#This Row],[Country]],Table113[Freestyle Classification],"&gt;0")</f>
        <v>0</v>
      </c>
      <c r="NO86" s="6">
        <f>COUNTIFS(Table113116[Country],Tabela1[[#This Row],[Country]],Table113116[Freestyle Classification],"&gt;0")</f>
        <v>0</v>
      </c>
      <c r="NP86" s="6">
        <f>COUNTIFS(Table117[Country],Tabela1[[#This Row],[Country]],Table117[Men''s Relay Classification],"&gt;0")</f>
        <v>0</v>
      </c>
      <c r="NQ86" s="6">
        <f>COUNTIFS(Table117[Country],Tabela1[[#This Row],[Country]],Table117[Women''s Relay Classification],"&gt;0")</f>
        <v>0</v>
      </c>
      <c r="NR86" s="6">
        <f>COUNTIFS(Table113[Country],Tabela1[[#This Row],[Country]],Table113[Skiathlon Classification],"&gt;0")</f>
        <v>0</v>
      </c>
      <c r="NS86" s="6">
        <f>COUNTIFS(Table113116[Country],Tabela1[[#This Row],[Country]],Table113116[Skiathlon Classification],"&gt;0")</f>
        <v>0</v>
      </c>
      <c r="NT86" s="6">
        <f>COUNTIFS(Table113[Country],Tabela1[[#This Row],[Country]],Table113[Sprint Classification],"&gt;0")</f>
        <v>0</v>
      </c>
      <c r="NU86" s="6">
        <f>COUNTIFS(Table113116[Country],Tabela1[[#This Row],[Country]],Table113116[Sprint Classification],"&gt;0")</f>
        <v>0</v>
      </c>
      <c r="NV86" s="6">
        <f>COUNTIFS(Table116[Country],Tabela1[[#This Row],[Country]],Table116[Men''s Team Sprint Classification],"&gt;0")</f>
        <v>0</v>
      </c>
      <c r="NW86" s="6">
        <f>COUNTIFS(Table116[Country],Tabela1[[#This Row],[Country]],Table116[Women''s Team Sprint Classification],"&gt;0")</f>
        <v>0</v>
      </c>
      <c r="NX86" s="6">
        <f>COUNTIFS(Table119[Country],Tabela1[[#This Row],[Country]],Table119[Men''s Classification],"&gt;0")</f>
        <v>0</v>
      </c>
      <c r="NY86" s="6">
        <f>COUNTIFS(Table119[Country],Tabela1[[#This Row],[Country]],Table119[Women''s Classification],"&gt;0")</f>
        <v>0</v>
      </c>
      <c r="NZ86" s="6">
        <f>COUNTIFS(Table118[Country],Tabela1[[#This Row],[Country]],Table118[Mixed Classification],"&gt;0")</f>
        <v>0</v>
      </c>
      <c r="OA86" s="6">
        <f>COUNTIFS(Table120[Country],Tabela1[[#This Row],[Country]],Table120[Classification],"&gt;0")</f>
        <v>0</v>
      </c>
      <c r="OB86" s="6">
        <f>COUNTIFS(Table120123[Country],Tabela1[[#This Row],[Country]],Table120123[Classification],"&gt;0")</f>
        <v>0</v>
      </c>
      <c r="OC86" s="6">
        <f>COUNTIFS(Table123[Country],Tabela1[[#This Row],[Country]],Table123[Ice Dance Classification],"&gt;0")</f>
        <v>0</v>
      </c>
      <c r="OD86" s="6">
        <f>COUNTIFS(Table123[Country],Tabela1[[#This Row],[Country]],Table123[Pair Skating Classification],"&gt;0")</f>
        <v>0</v>
      </c>
      <c r="OE86" s="6">
        <f>COUNTIFS(Table124[Country],Tabela1[[#This Row],[Country]],Table124[Mixed Classification],"&gt;0")</f>
        <v>0</v>
      </c>
      <c r="OF86" s="6">
        <f>COUNTIFS(Table125[Country],Tabela1[[#This Row],[Country]],Table125[Aerials Classification],"&gt;0")</f>
        <v>0</v>
      </c>
      <c r="OG86" s="6">
        <f>COUNTIFS(Table125128[Country],Tabela1[[#This Row],[Country]],Table125128[Aerials Classification],"&gt;0")</f>
        <v>0</v>
      </c>
      <c r="OH86" s="6">
        <f>COUNTIFS(Table128[Country],Tabela1[[#This Row],[Country]],Table128[Mixed Aerials Classification],"&gt;0")</f>
        <v>0</v>
      </c>
      <c r="OI86" s="6">
        <f>COUNTIFS(Table125[Country],Tabela1[[#This Row],[Country]],Table125[Big Air Classification],"&gt;0")</f>
        <v>0</v>
      </c>
      <c r="OJ86" s="6">
        <f>COUNTIFS(Table125128[Country],Tabela1[[#This Row],[Country]],Table125128[Big Air Classification],"&gt;0")</f>
        <v>0</v>
      </c>
      <c r="OK86" s="6">
        <f>COUNTIFS(Table125[Country],Tabela1[[#This Row],[Country]],Table125[Dual Moguls Classification],"&gt;0")</f>
        <v>0</v>
      </c>
      <c r="OL86" s="6">
        <f>COUNTIFS(Table125128[Country],Tabela1[[#This Row],[Country]],Table125128[Dual Moguls Classification],"&gt;0")</f>
        <v>0</v>
      </c>
      <c r="OM86" s="6">
        <f>COUNTIFS(Table125[Country],Tabela1[[#This Row],[Country]],Table125[Halfpipe Classification],"&gt;0")</f>
        <v>0</v>
      </c>
      <c r="ON86" s="6">
        <f>COUNTIFS(Table125128[Country],Tabela1[[#This Row],[Country]],Table125128[Halfpipe Classification],"&gt;0")</f>
        <v>0</v>
      </c>
      <c r="OO86" s="6">
        <f>COUNTIFS(Table125[Country],Tabela1[[#This Row],[Country]],Table125[Moguls Classification],"&gt;0")</f>
        <v>0</v>
      </c>
      <c r="OP86" s="6">
        <f>COUNTIFS(Table125128[Country],Tabela1[[#This Row],[Country]],Table125128[Moguls Classification],"&gt;0")</f>
        <v>0</v>
      </c>
      <c r="OQ86" s="6">
        <f>COUNTIFS(Table125[Country],Tabela1[[#This Row],[Country]],Table125[Ski Cross Classification],"&gt;0")</f>
        <v>0</v>
      </c>
      <c r="OR86" s="6">
        <f>COUNTIFS(Table125128[Country],Tabela1[[#This Row],[Country]],Table125128[Ski Cross Classification],"&gt;0")</f>
        <v>0</v>
      </c>
      <c r="OS86" s="6">
        <f>COUNTIFS(Table125[Country],Tabela1[[#This Row],[Country]],Table125[Slopestyle Classification],"&gt;0")</f>
        <v>0</v>
      </c>
      <c r="OT86" s="6">
        <f>COUNTIFS(Table125128[Country],Tabela1[[#This Row],[Country]],Table125128[Slopestyle Classification],"&gt;0")</f>
        <v>0</v>
      </c>
      <c r="OU86" s="6">
        <f>COUNTIFS(Table119131[Country],Tabela1[[#This Row],[Country]],Table119131[Men''s Classification],"&gt;0")</f>
        <v>0</v>
      </c>
      <c r="OV86" s="6">
        <f>COUNTIFS(Table119131[Country],Tabela1[[#This Row],[Country]],Table119131[Women''s Classification],"&gt;0")</f>
        <v>0</v>
      </c>
      <c r="OW86" s="6">
        <f>COUNTIFS(Table131[Country],Tabela1[[#This Row],[Country]],Table131[Classification],"&gt;0")</f>
        <v>0</v>
      </c>
      <c r="OX86" s="6">
        <f>COUNTIFS(Table131134[Country],Tabela1[[#This Row],[Country]],Table131134[Classification],"&gt;0")</f>
        <v>0</v>
      </c>
      <c r="OY86" s="6">
        <f>COUNTIFS(Table134[Country],Tabela1[[#This Row],[Country]],Table134[Men''s Classification],"&gt;0")</f>
        <v>0</v>
      </c>
      <c r="OZ86" s="6">
        <f>COUNTIFS(Table134[Country],Tabela1[[#This Row],[Country]],Table134[Women''s Classification],"&gt;0")</f>
        <v>0</v>
      </c>
      <c r="PA86" s="6">
        <f>COUNTIFS(Table135[Country],Tabela1[[#This Row],[Country]],Table135[Mixed Relay Classification],"&gt;0")</f>
        <v>0</v>
      </c>
      <c r="PB86" s="6">
        <f>COUNTIFS(Table136[Country],Tabela1[[#This Row],[Country]],Table136[Individual Classification],"&gt;0")</f>
        <v>0</v>
      </c>
      <c r="PC86" s="6">
        <f>COUNTIFS(Table136[Country],Tabela1[[#This Row],[Country]],Table136[Sprint Classification],"&gt;0")</f>
        <v>0</v>
      </c>
      <c r="PD86" s="6">
        <f>COUNTIFS(Table137[Country],Tabela1[[#This Row],[Country]],Table137[Men''s Team Sprint Large Hill Classification],"&gt;0")</f>
        <v>0</v>
      </c>
      <c r="PE86" s="6">
        <f>COUNTIFS(Table138[Country],Tabela1[[#This Row],[Country]],Table138[500m Classification],"&gt;0")</f>
        <v>0</v>
      </c>
      <c r="PF86" s="6">
        <f>COUNTIFS(Table138141[Country],Tabela1[[#This Row],[Country]],Table138141[500m Classification],"&gt;0")</f>
        <v>0</v>
      </c>
      <c r="PG86" s="6">
        <f>COUNTIFS(Table138[Country],Tabela1[[#This Row],[Country]],Table138[1000m Classification],"&gt;0")</f>
        <v>0</v>
      </c>
      <c r="PH86" s="6">
        <f>COUNTIFS(Table138141[Country],Tabela1[[#This Row],[Country]],Table138141[1000m Classification],"&gt;0")</f>
        <v>0</v>
      </c>
      <c r="PI86" s="6">
        <f>COUNTIFS(Table138[Country],Tabela1[[#This Row],[Country]],Table138[1500m Classification],"&gt;0")</f>
        <v>0</v>
      </c>
      <c r="PJ86" s="6">
        <f>COUNTIFS(Table138141[Country],Tabela1[[#This Row],[Country]],Table138141[1500m Classification],"&gt;0")</f>
        <v>0</v>
      </c>
      <c r="PK86" s="6">
        <f>COUNTIFS(Table141[Country],Tabela1[[#This Row],[Country]],Table141[Men''s 5000m Relay Classification],"&gt;0")</f>
        <v>0</v>
      </c>
      <c r="PL86" s="6">
        <f>COUNTIFS(Table141[Country],Tabela1[[#This Row],[Country]],Table141[Women''s 3000m Relay Classification],"&gt;0")</f>
        <v>0</v>
      </c>
      <c r="PM86" s="6">
        <f>COUNTIFS(Table141[Country],Tabela1[[#This Row],[Country]],Table141[Mixed 2000m Relay Classification],"&gt;0")</f>
        <v>0</v>
      </c>
      <c r="PN86" s="6">
        <f>COUNTIFS(Table142[Country],Tabela1[[#This Row],[Country]],Table142[Classification],"&gt;0")</f>
        <v>0</v>
      </c>
      <c r="PO86" s="6">
        <f>COUNTIFS(Table142145[Country],Tabela1[[#This Row],[Country]],Table142145[Classification],"&gt;0")</f>
        <v>0</v>
      </c>
      <c r="PP86" s="6">
        <f>COUNTIFS(Tabela15[Country],Tabela1[[#This Row],[Country]],Tabela15[Mixed Team Classification],"&gt;0")</f>
        <v>0</v>
      </c>
      <c r="PQ86" s="6">
        <f>COUNTIFS(Table145[Country],Tabela1[[#This Row],[Country]],Table145[Large Hill Classification],"&gt;0")</f>
        <v>0</v>
      </c>
      <c r="PR86" s="6">
        <f>COUNTIFS(Table145[Country],Tabela1[[#This Row],[Country]],Table145[Normal Hill Classification],"&gt;0")</f>
        <v>0</v>
      </c>
      <c r="PS86" s="6">
        <f>COUNTIFS(Table145148[Country],Tabela1[[#This Row],[Country]],Table145148[Large Hill Classification],"&gt;0")</f>
        <v>0</v>
      </c>
      <c r="PT86" s="6">
        <f>COUNTIFS(Table145148[Country],Tabela1[[#This Row],[Country]],Table145148[Normal Hill Classification],"&gt;0")</f>
        <v>0</v>
      </c>
      <c r="PU86" s="6">
        <f>COUNTIFS(Table148[Country],Tabela1[[#This Row],[Country]],Table148[Men''s Super Team Classification],"&gt;0")</f>
        <v>0</v>
      </c>
      <c r="PV86" s="6">
        <f>COUNTIFS(Tabela114[Country],Tabela1[[#This Row],[Country]],Tabela114[Mixed Normal Hill Classification],"&gt;0")</f>
        <v>0</v>
      </c>
      <c r="PW86" s="6">
        <f>COUNTIFS(Tabela50[Country],Tabela1[[#This Row],[Country]],Tabela50[Sprint Classification],"&gt;0")</f>
        <v>0</v>
      </c>
      <c r="PX86" s="6">
        <f>COUNTIFS(Tabela50101[Country],Tabela1[[#This Row],[Country]],Tabela50101[Sprint Classification],"&gt;0")</f>
        <v>0</v>
      </c>
      <c r="PY86" s="6">
        <f>COUNTIFS(Tabela103[Country],Tabela1[[#This Row],[Country]],Tabela103[Mixed Relay Classification],"&gt;0")</f>
        <v>0</v>
      </c>
      <c r="PZ86" s="6">
        <f>COUNTIFS(Table149[Country],Tabela1[[#This Row],[Country]],Table149[Big Air Classification],"&gt;0")</f>
        <v>0</v>
      </c>
      <c r="QA86" s="6">
        <f>COUNTIFS(Table149152[Country],Tabela1[[#This Row],[Country]],Table149152[Big Air Classification],"&gt;0")</f>
        <v>0</v>
      </c>
      <c r="QB86" s="6">
        <f>COUNTIFS(Table149[Country],Tabela1[[#This Row],[Country]],Table149[Halfpipe Classification],"&gt;0")</f>
        <v>0</v>
      </c>
      <c r="QC86" s="6">
        <f>COUNTIFS(Table149152[Country],Tabela1[[#This Row],[Country]],Table149152[Halfpipe Classification],"&gt;0")</f>
        <v>0</v>
      </c>
      <c r="QD86" s="6">
        <f>COUNTIFS(Table149[Country],Tabela1[[#This Row],[Country]],Table149[Parallel Giant Slalom Classification],"&gt;0")</f>
        <v>0</v>
      </c>
      <c r="QE86" s="6">
        <f>COUNTIFS(Table149152[Country],Tabela1[[#This Row],[Country]],Table149152[Parallel Giant Slalom Classification],"&gt;0")</f>
        <v>0</v>
      </c>
      <c r="QF86" s="6">
        <f>COUNTIFS(Table149[Country],Tabela1[[#This Row],[Country]],Table149[Slopestyle Classification],"&gt;0")</f>
        <v>0</v>
      </c>
      <c r="QG86" s="6">
        <f>COUNTIFS(Table149152[Country],Tabela1[[#This Row],[Country]],Table149152[Slopestyle Classification],"&gt;0")</f>
        <v>0</v>
      </c>
      <c r="QH86" s="6">
        <f>COUNTIFS(Table149[Country],Tabela1[[#This Row],[Country]],Table149[Snowboard Cross Classification],"&gt;0")</f>
        <v>0</v>
      </c>
      <c r="QI86" s="6">
        <f>COUNTIFS(Table149152[Country],Tabela1[[#This Row],[Country]],Table149152[Snowboard Cross Classification],"&gt;0")</f>
        <v>0</v>
      </c>
      <c r="QJ86" s="6">
        <f>COUNTIFS(Table153[Country],Tabela1[[#This Row],[Country]],Table153[Mixed Team Snowboard Cross Classification],"&gt;0")</f>
        <v>0</v>
      </c>
      <c r="QK86" s="6">
        <f>COUNTIFS(Table154[Country],Tabela1[[#This Row],[Country]],Table154[500m Classification],"&gt;0")</f>
        <v>0</v>
      </c>
      <c r="QL86" s="6">
        <f>COUNTIFS(Table154157[Country],Tabela1[[#This Row],[Country]],Table154157[500m Classification],"&gt;0")</f>
        <v>0</v>
      </c>
      <c r="QM86" s="6">
        <f>COUNTIFS(Table154[Country],Tabela1[[#This Row],[Country]],Table154[1000m Classification],"&gt;0")</f>
        <v>0</v>
      </c>
      <c r="QN86" s="6">
        <f>COUNTIFS(Table154157[Country],Tabela1[[#This Row],[Country]],Table154157[1000m Classification],"&gt;0")</f>
        <v>0</v>
      </c>
      <c r="QO86" s="6">
        <f>COUNTIFS(Table154[Country],Tabela1[[#This Row],[Country]],Table154[1500m Classification],"&gt;0")</f>
        <v>0</v>
      </c>
      <c r="QP86" s="6">
        <f>COUNTIFS(Table154157[Country],Tabela1[[#This Row],[Country]],Table154157[1500m Classification],"&gt;0")</f>
        <v>0</v>
      </c>
      <c r="QQ86" s="6">
        <f>COUNTIFS(Table154157[Country],Tabela1[[#This Row],[Country]],Table154157[3000m Classification],"&gt;0")</f>
        <v>0</v>
      </c>
      <c r="QR86" s="6">
        <f>COUNTIFS(Table154[Country],Tabela1[[#This Row],[Country]],Table154[5000m Classification],"&gt;0")</f>
        <v>0</v>
      </c>
      <c r="QS86" s="6">
        <f>COUNTIFS(Table154157[Country],Tabela1[[#This Row],[Country]],Table154157[5000m Classification],"&gt;0")</f>
        <v>0</v>
      </c>
      <c r="QT86" s="6">
        <f>COUNTIFS(Table154[Country],Tabela1[[#This Row],[Country]],Table154[10000m Classification],"&gt;0")</f>
        <v>0</v>
      </c>
      <c r="QU86" s="6">
        <f>COUNTIFS(Table154[Country],Tabela1[[#This Row],[Country]],Table154[Mass Start Classification],"&gt;0")</f>
        <v>0</v>
      </c>
      <c r="QV86" s="6">
        <f>COUNTIFS(Table154157[Country],Tabela1[[#This Row],[Country]],Table154157[Mass Start Classification],"&gt;0")</f>
        <v>0</v>
      </c>
      <c r="QW86" s="6">
        <f>COUNTIFS(Table157[Country],Tabela1[[#This Row],[Country]],Table157[Men''s Pursuit Classification],"&gt;0")</f>
        <v>0</v>
      </c>
      <c r="QX86" s="6">
        <f>COUNTIFS(Table157[Country],Tabela1[[#This Row],[Country]],Table157[Women''s Pursuit Classification],"&gt;0")</f>
        <v>0</v>
      </c>
      <c r="QY86" s="4" t="s">
        <v>647</v>
      </c>
    </row>
    <row r="87" spans="1:467" x14ac:dyDescent="0.3">
      <c r="A87" s="6">
        <v>86</v>
      </c>
      <c r="B87" s="6" t="s">
        <v>392</v>
      </c>
      <c r="C87" t="e" vm="86">
        <f>IF(ISBLANK(Tabela1[[#This Row],[Image Link]]), "", _xlfn.IMAGE(Tabela1[[#This Row],[Image Link]],1,1))</f>
        <v>#VALUE!</v>
      </c>
      <c r="D87" s="6">
        <f>SUM(Tabela1[[#This Row],[Archery - Men''s Individual Recurve]:[Speed Skating - Women''s Team Pursuit]])</f>
        <v>5</v>
      </c>
      <c r="E87" s="6">
        <f>COUNTIF(Tabela1[[#This Row],[Archery - Men''s Individual Recurve]:[Speed Skating - Women''s Team Pursuit]],"&gt;0")</f>
        <v>5</v>
      </c>
      <c r="F87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87" s="6">
        <f>SUM(Tabela1[[#This Row],[Archery - Men''s Individual Recurve]:[Wrestling - Women''s Freestyle 76kg]])</f>
        <v>5</v>
      </c>
      <c r="H87" s="6">
        <f>SUM(Tabela1[[#This Row],[Alpine Skiing - Men''s Downhill]:[Speed Skating - Women''s Team Pursuit]])</f>
        <v>0</v>
      </c>
      <c r="I87" s="6">
        <f>Tabela1[[#This Row],[Summer Gold Medals]]+Tabela1[[#This Row],[Winter Gold Medals]]</f>
        <v>0</v>
      </c>
      <c r="J87" s="6">
        <f>Tabela1[[#This Row],[Summer Silver Medals]]+Tabela1[[#This Row],[Winter Silver Medals]]</f>
        <v>0</v>
      </c>
      <c r="K87" s="6">
        <f>Tabela1[[#This Row],[Summer Bronze Medals]]+Tabela1[[#This Row],[Winter Bronze Medals]]</f>
        <v>1</v>
      </c>
      <c r="L87" s="6">
        <f>SUM(Tabela1[[#This Row],[Total Gold Medals]:[Total Bronze Medals]])</f>
        <v>1</v>
      </c>
      <c r="M87" s="6"/>
      <c r="N87" s="6"/>
      <c r="O87" s="6">
        <v>1</v>
      </c>
      <c r="P87" s="6">
        <f>SUM(Tabela1[[#This Row],[Summer Gold Medals]:[Summer Bronze Medals]])</f>
        <v>1</v>
      </c>
      <c r="Q87" s="6"/>
      <c r="R87" s="6"/>
      <c r="S87" s="6"/>
      <c r="T87" s="6">
        <f>Tabela1[[#This Row],[Winter Gold Medals]]+Tabela1[[#This Row],[Winter Silver Medals]]+Tabela1[[#This Row],[Winter Bronze Medals]]</f>
        <v>0</v>
      </c>
      <c r="U87" s="7">
        <f>Tabela1[[#This Row],[Total Medals]]/Tabela1[[#This Row],[Total Quotas]]</f>
        <v>0.2</v>
      </c>
      <c r="V87" s="6">
        <f>COUNTIFS(Table3[Country],Tabela1[[#This Row],[Country]],Table3[Recurve Classification],"&gt;0")</f>
        <v>0</v>
      </c>
      <c r="W87" s="6">
        <f>COUNTIFS(Table33[Country],Tabela1[[#This Row],[Country]],Table33[Recurve Classification],"&gt;0")</f>
        <v>0</v>
      </c>
      <c r="X87" s="6">
        <f>COUNTIFS(Table35[Country],Tabela1[[#This Row],[Country]],Table35[Men''s Team Recurve Classification],"&gt;0")</f>
        <v>0</v>
      </c>
      <c r="Y87" s="6">
        <f>COUNTIFS(Table35[Country],Tabela1[[#This Row],[Country]],Table35[Women''s Team Recurve Classification],"&gt;0")</f>
        <v>0</v>
      </c>
      <c r="Z87" s="6">
        <f>COUNTIFS(Tabela88[Country],Tabela1[[#This Row],[Country]],Tabela88[Mixed Team Recurve Classification],"&gt;0")</f>
        <v>0</v>
      </c>
      <c r="AA87" s="6">
        <f>COUNTIFS(Table36[Country],Tabela1[[#This Row],[Country]],Table36[Classification],"&gt;0")</f>
        <v>0</v>
      </c>
      <c r="AB87" s="6">
        <f>COUNTIFS(Table37[Country],Tabela1[[#This Row],[Country]],Table37[Classification],"&gt;0")</f>
        <v>0</v>
      </c>
      <c r="AC87" s="6">
        <f>COUNTIFS(Table4[Country],Tabela1[[#This Row],[Country]],Table4[100m Classification],"&gt;0")</f>
        <v>0</v>
      </c>
      <c r="AD87" s="6">
        <f>COUNTIFS(Table5[Country],Tabela1[[#This Row],[Country]],Table5[100m Classification],"&gt;0")</f>
        <v>0</v>
      </c>
      <c r="AE87" s="6">
        <f>COUNTIFS(Table4[Country],Tabela1[[#This Row],[Country]],Table4[200m Classification],"&gt;0")</f>
        <v>0</v>
      </c>
      <c r="AF87" s="6">
        <f>COUNTIFS(Table5[Country],Tabela1[[#This Row],[Country]],Table5[200m Classification],"&gt;0")</f>
        <v>0</v>
      </c>
      <c r="AG87" s="6">
        <f>COUNTIFS(Table4[Country],Tabela1[[#This Row],[Country]],Table4[400m Classification],"&gt;0")</f>
        <v>0</v>
      </c>
      <c r="AH87" s="6">
        <f>COUNTIFS(Table5[Country],Tabela1[[#This Row],[Country]],Table5[400m Classification],"&gt;0")</f>
        <v>0</v>
      </c>
      <c r="AI87" s="6">
        <f>COUNTIFS(Table4[Country],Tabela1[[#This Row],[Country]],Table4[800m Classification],"&gt;0")</f>
        <v>0</v>
      </c>
      <c r="AJ87" s="6">
        <f>COUNTIFS(Table5[Country],Tabela1[[#This Row],[Country]],Table5[800m Classification],"&gt;0")</f>
        <v>0</v>
      </c>
      <c r="AK87" s="6">
        <f>COUNTIFS(Table4[Country],Tabela1[[#This Row],[Country]],Table4[1500m Classification],"&gt;0")</f>
        <v>0</v>
      </c>
      <c r="AL87" s="6">
        <f>COUNTIFS(Table5[Country],Tabela1[[#This Row],[Country]],Table5[1500m Classification],"&gt;0")</f>
        <v>0</v>
      </c>
      <c r="AM87" s="6">
        <f>COUNTIFS(Table4[Country],Tabela1[[#This Row],[Country]],Table4[5000m Classification],"&gt;0")</f>
        <v>0</v>
      </c>
      <c r="AN87" s="6">
        <f>COUNTIFS(Table5[Country],Tabela1[[#This Row],[Country]],Table5[5000m Classification],"&gt;0")</f>
        <v>0</v>
      </c>
      <c r="AO87" s="6">
        <f>COUNTIFS(Table4[Country],Tabela1[[#This Row],[Country]],Table4[10000m Classification],"&gt;0")</f>
        <v>0</v>
      </c>
      <c r="AP87" s="6">
        <f>COUNTIFS(Table5[Country],Tabela1[[#This Row],[Country]],Table5[10000m Classification],"&gt;0")</f>
        <v>0</v>
      </c>
      <c r="AQ87" s="6">
        <f>COUNTIFS(Table4[Country],Tabela1[[#This Row],[Country]],Table4[110m Hurdles Classification],"&gt;0")</f>
        <v>0</v>
      </c>
      <c r="AR87" s="6">
        <f>COUNTIFS(Table5[Country],Tabela1[[#This Row],[Country]],Table5[100m Hurdles Classification],"&gt;0")</f>
        <v>0</v>
      </c>
      <c r="AS87" s="6">
        <f>COUNTIFS(Table4[Country],Tabela1[[#This Row],[Country]],Table4[400m Hurdles Classification],"&gt;0")</f>
        <v>0</v>
      </c>
      <c r="AT87" s="6">
        <f>COUNTIFS(Table5[Country],Tabela1[[#This Row],[Country]],Table5[400m Hurdles Classification],"&gt;0")</f>
        <v>0</v>
      </c>
      <c r="AU87" s="6">
        <f>COUNTIFS(Table4[Country],Tabela1[[#This Row],[Country]],Table4[3000m Steeplechase Classification],"&gt;0")</f>
        <v>0</v>
      </c>
      <c r="AV87" s="6">
        <f>COUNTIFS(Table5[Country],Tabela1[[#This Row],[Country]],Table5[3000m Steeplechase Classification],"&gt;0")</f>
        <v>0</v>
      </c>
      <c r="AW87" s="6">
        <f>COUNTIFS(Table27[Country],Tabela1[[#This Row],[Country]],Table27[Men''s 4x100m Relay Classification],"&gt;0")</f>
        <v>0</v>
      </c>
      <c r="AX87" s="6">
        <f>COUNTIFS(Table27[Country],Tabela1[[#This Row],[Country]],Table27[Women''s 4x100m Relay Classification],"&gt;0")</f>
        <v>0</v>
      </c>
      <c r="AY87" s="6">
        <f>COUNTIFS(Table27[Country],Tabela1[[#This Row],[Country]],Table27[Men''s 4x400m Relay Classification],"&gt;0")</f>
        <v>0</v>
      </c>
      <c r="AZ87" s="6">
        <f>COUNTIFS(Table27[Country],Tabela1[[#This Row],[Country]],Table27[Women''s 4x400m Relay Classification],"&gt;0")</f>
        <v>0</v>
      </c>
      <c r="BA87" s="6">
        <f>COUNTIFS(Table27[Country],Tabela1[[#This Row],[Country]],Table27[Mixed 4x400m Relay Classification],"&gt;0")</f>
        <v>0</v>
      </c>
      <c r="BB87" s="6">
        <f>COUNTIFS(Table4[Country],Tabela1[[#This Row],[Country]],Table4[Marathon Classification],"&gt;0")</f>
        <v>0</v>
      </c>
      <c r="BC87" s="6">
        <f>COUNTIFS(Table5[Country],Tabela1[[#This Row],[Country]],Table5[Marathon Classification],"&gt;0")</f>
        <v>0</v>
      </c>
      <c r="BD87" s="6">
        <f>COUNTIFS(Table4[Country],Tabela1[[#This Row],[Country]],Table4[20km Race Walk Classification],"&gt;0")</f>
        <v>1</v>
      </c>
      <c r="BE87" s="6">
        <f>COUNTIFS(Table5[Country],Tabela1[[#This Row],[Country]],Table5[20km Race Walk Classification],"&gt;0")</f>
        <v>1</v>
      </c>
      <c r="BF87" s="6">
        <f>COUNTIFS(Tabela96[Country],Tabela1[[#This Row],[Country]],Tabela96[Mixed Marathon Race Walk Relay Classification],"&gt;0")</f>
        <v>0</v>
      </c>
      <c r="BG87" s="6">
        <f>COUNTIFS(Table4[Country],Tabela1[[#This Row],[Country]],Table4[Discus Throw Classification],"&gt;0")</f>
        <v>0</v>
      </c>
      <c r="BH87" s="6">
        <f>COUNTIFS(Table5[Country],Tabela1[[#This Row],[Country]],Table5[Discus Throw Classification],"&gt;0")</f>
        <v>0</v>
      </c>
      <c r="BI87" s="6">
        <f>COUNTIFS(Table4[Country],Tabela1[[#This Row],[Country]],Table4[Hammer Throw Classification],"&gt;0")</f>
        <v>0</v>
      </c>
      <c r="BJ87" s="6">
        <f>COUNTIFS(Table5[Country],Tabela1[[#This Row],[Country]],Table5[Hammer Throw Classification],"&gt;0")</f>
        <v>0</v>
      </c>
      <c r="BK87" s="6">
        <f>COUNTIFS(Table4[Country],Tabela1[[#This Row],[Country]],Table4[High Jump Classification],"&gt;0")</f>
        <v>0</v>
      </c>
      <c r="BL87" s="6">
        <f>COUNTIFS(Table5[Country],Tabela1[[#This Row],[Country]],Table5[High Jump Classification],"&gt;0")</f>
        <v>0</v>
      </c>
      <c r="BM87" s="6">
        <f>COUNTIFS(Table4[Country],Tabela1[[#This Row],[Country]],Table4[Javelin Throw Classification],"&gt;0")</f>
        <v>0</v>
      </c>
      <c r="BN87" s="6">
        <f>COUNTIFS(Table5[Country],Tabela1[[#This Row],[Country]],Table5[Javelin Throw Classification],"&gt;0")</f>
        <v>0</v>
      </c>
      <c r="BO87" s="6">
        <f>COUNTIFS(Table4[Country],Tabela1[[#This Row],[Country]],Table4[Long Jump Classification],"&gt;0")</f>
        <v>0</v>
      </c>
      <c r="BP87" s="6">
        <f>COUNTIFS(Table5[Country],Tabela1[[#This Row],[Country]],Table5[Long Jump Classification],"&gt;0")</f>
        <v>0</v>
      </c>
      <c r="BQ87" s="6">
        <f>COUNTIFS(Table4[Country],Tabela1[[#This Row],[Country]],Table4[Pole Vault Classification],"&gt;0")</f>
        <v>0</v>
      </c>
      <c r="BR87" s="6">
        <f>COUNTIFS(Table5[Country],Tabela1[[#This Row],[Country]],Table5[Pole Vault Classification],"&gt;0")</f>
        <v>0</v>
      </c>
      <c r="BS87" s="6">
        <f>COUNTIFS(Table4[Country],Tabela1[[#This Row],[Country]],Table4[Shot Put Classification],"&gt;0")</f>
        <v>0</v>
      </c>
      <c r="BT87" s="6">
        <f>COUNTIFS(Table5[Country],Tabela1[[#This Row],[Country]],Table5[Shot Put Classification],"&gt;0")</f>
        <v>0</v>
      </c>
      <c r="BU87" s="6">
        <f>COUNTIFS(Table4[Country],Tabela1[[#This Row],[Country]],Table4[Triple Jump Classification],"&gt;0")</f>
        <v>0</v>
      </c>
      <c r="BV87" s="6">
        <f>COUNTIFS(Table5[Country],Tabela1[[#This Row],[Country]],Table5[Triple Jump Classification],"&gt;0")</f>
        <v>0</v>
      </c>
      <c r="BW87" s="6">
        <f>COUNTIFS(Table4[Country],Tabela1[[#This Row],[Country]],Table4[Decathlon Classification],"&gt;0")</f>
        <v>0</v>
      </c>
      <c r="BX87" s="6">
        <f>COUNTIFS(Table5[Country],Tabela1[[#This Row],[Country]],Table5[Heptathlon Classification],"&gt;0")</f>
        <v>0</v>
      </c>
      <c r="BY87" s="6">
        <f>COUNTIFS(Table61[Country],Tabela1[[#This Row],[Country]],Table61[Classification],"&gt;0")</f>
        <v>0</v>
      </c>
      <c r="BZ87" s="6">
        <f>COUNTIFS(Table38[Country],Tabela1[[#This Row],[Country]],Table38[Classification],"&gt;0")</f>
        <v>1</v>
      </c>
      <c r="CA87" s="6">
        <f>COUNTIFS(Table39[Country],Tabela1[[#This Row],[Country]],Table39[Men''s Classification],"&gt;0")</f>
        <v>0</v>
      </c>
      <c r="CB87" s="6">
        <f>COUNTIFS(Table39[Country],Tabela1[[#This Row],[Country]],Table39[Women''s Classification],"&gt;0")</f>
        <v>0</v>
      </c>
      <c r="CC87" s="6">
        <f>COUNTIFS(Table39[Country],Tabela1[[#This Row],[Country]],Table39[Mixed Classification],"&gt;0")</f>
        <v>0</v>
      </c>
      <c r="CD87" s="6">
        <f>COUNTIFS(Table89[Country],Tabela1[[#This Row],[Country]],Table89[Men''s Classification],"&gt;0")</f>
        <v>0</v>
      </c>
      <c r="CE87" s="6">
        <f>COUNTIFS(Table89[Country],Tabela1[[#This Row],[Country]],Table89[Women''s Classification],"&gt;0")</f>
        <v>0</v>
      </c>
      <c r="CF87" s="6">
        <f>COUNTIFS(Table90[Country],Tabela1[[#This Row],[Country]],Table90[Men''s Classification],"&gt;0")</f>
        <v>0</v>
      </c>
      <c r="CG87" s="6">
        <f>COUNTIFS(Table90[Country],Tabela1[[#This Row],[Country]],Table90[Women''s Classification],"&gt;0")</f>
        <v>0</v>
      </c>
      <c r="CH87" s="6">
        <f>COUNTIFS(Table60[Country],Tabela1[[#This Row],[Country]],Table60[Men''s Classification],"&gt;0")</f>
        <v>0</v>
      </c>
      <c r="CI87" s="6">
        <f>COUNTIFS(Table60[Country],Tabela1[[#This Row],[Country]],Table60[Women''s Classification],"&gt;0")</f>
        <v>0</v>
      </c>
      <c r="CJ87" s="6">
        <f>COUNTIFS(Table6[Country],Tabela1[[#This Row],[Country]],Table6[51kg Classification],"&gt;0")</f>
        <v>0</v>
      </c>
      <c r="CK87" s="6">
        <f>COUNTIFS(Table6[Country],Tabela1[[#This Row],[Country]],Table6[57kg Classification],"&gt;0")</f>
        <v>0</v>
      </c>
      <c r="CL87" s="6">
        <f>COUNTIFS(Table6[Country],Tabela1[[#This Row],[Country]],Table6[63.5kg Classification],"&gt;0")</f>
        <v>0</v>
      </c>
      <c r="CM87" s="6">
        <f>COUNTIFS(Table6[Country],Tabela1[[#This Row],[Country]],Table6[71kg Classification],"&gt;0")</f>
        <v>0</v>
      </c>
      <c r="CN87" s="6">
        <f>COUNTIFS(Table6[Country],Tabela1[[#This Row],[Country]],Table6[80kg Classification],"&gt;0")</f>
        <v>0</v>
      </c>
      <c r="CO87" s="6">
        <f>COUNTIFS(Table6[Country],Tabela1[[#This Row],[Country]],Table6[92kg Classification],"&gt;0")</f>
        <v>0</v>
      </c>
      <c r="CP87" s="6">
        <f>COUNTIFS(Table6[Country],Tabela1[[#This Row],[Country]],Table6[Plus 92kg Classification],"&gt;0")</f>
        <v>0</v>
      </c>
      <c r="CQ87" s="6">
        <f>COUNTIFS(Table7[Country],Tabela1[[#This Row],[Country]],Table7[50kg Classification],"&gt;0")</f>
        <v>0</v>
      </c>
      <c r="CR87" s="6">
        <f>COUNTIFS(Table7[Country],Tabela1[[#This Row],[Country]],Table7[54kg Classification],"&gt;0")</f>
        <v>0</v>
      </c>
      <c r="CS87" s="6">
        <f>COUNTIFS(Table7[Country],Tabela1[[#This Row],[Country]],Table7[57kg Classification],"&gt;0")</f>
        <v>0</v>
      </c>
      <c r="CT87" s="6">
        <f>COUNTIFS(Table7[Country],Tabela1[[#This Row],[Country]],Table7[60kg Classification],"&gt;0")</f>
        <v>0</v>
      </c>
      <c r="CU87" s="6">
        <f>COUNTIFS(Table7[Country],Tabela1[[#This Row],[Country]],Table7[66kg Classification],"&gt;0")</f>
        <v>0</v>
      </c>
      <c r="CV87" s="6">
        <f>COUNTIFS(Table7[Country],Tabela1[[#This Row],[Country]],Table7[75kg Classification],"&gt;0")</f>
        <v>0</v>
      </c>
      <c r="CW87" s="6">
        <f>COUNTIFS(Tabela94[Country],Tabela1[[#This Row],[Country]],Tabela94[Classification],"&gt;0")</f>
        <v>0</v>
      </c>
      <c r="CX87" s="6">
        <f>COUNTIFS(Tabela9499[Country],Tabela1[[#This Row],[Country]],Tabela9499[Classification],"&gt;0")</f>
        <v>0</v>
      </c>
      <c r="CY87" s="6">
        <f>COUNTIFS(Tabela107[Country],Tabela1[[#This Row],[Country]],Tabela107[C1 Slalom Classification],"&gt;0")</f>
        <v>0</v>
      </c>
      <c r="CZ87" s="6">
        <f>COUNTIFS(Tabela107122[Country],Tabela1[[#This Row],[Country]],Tabela107122[C1 Slalom Classification],"&gt;0")</f>
        <v>0</v>
      </c>
      <c r="DA87" s="6">
        <f>COUNTIFS(Tabela107[Country],Tabela1[[#This Row],[Country]],Tabela107[K1 Slalom Classification],"&gt;0")</f>
        <v>0</v>
      </c>
      <c r="DB87" s="6">
        <f>COUNTIFS(Tabela107122[Country],Tabela1[[#This Row],[Country]],Tabela107122[K1 Slalom Classification],"&gt;0")</f>
        <v>0</v>
      </c>
      <c r="DC87" s="6">
        <f>COUNTIFS(Tabela107[Country],Tabela1[[#This Row],[Country]],Tabela107[Kayak Cross Slalom Classification],"&gt;0")</f>
        <v>0</v>
      </c>
      <c r="DD87" s="6">
        <f>COUNTIFS(Tabela107122[Country],Tabela1[[#This Row],[Country]],Tabela107122[Kayak Cross Slalom Classification],"&gt;0")</f>
        <v>0</v>
      </c>
      <c r="DE87" s="6">
        <f>COUNTIFS(Table8[Country],Tabela1[[#This Row],[Country]],Table8[C1 200m Classification],"&gt;0")</f>
        <v>0</v>
      </c>
      <c r="DF87" s="6">
        <f>COUNTIFS(Table40[Country],Tabela1[[#This Row],[Country]],Table40[C1 1000m Classification],"&gt;0")</f>
        <v>0</v>
      </c>
      <c r="DG87" s="6">
        <f>COUNTIFS(Table68[Country],Tabela1[[#This Row],[Country]],Table68[Men''s C2 500m Classification],"&gt;0")</f>
        <v>0</v>
      </c>
      <c r="DH87" s="6">
        <f>COUNTIFS(Table68[Country],Tabela1[[#This Row],[Country]],Table68[Women''s C2 500m Classification],"&gt;0")</f>
        <v>0</v>
      </c>
      <c r="DI87" s="6">
        <f>COUNTIFS(Table8[Country],Tabela1[[#This Row],[Country]],Table8[K1 500m Classification],"&gt;0")</f>
        <v>0</v>
      </c>
      <c r="DJ87" s="6">
        <f>COUNTIFS(Table40[Country],Tabela1[[#This Row],[Country]],Table40[K1 1000m Classification],"&gt;0")</f>
        <v>0</v>
      </c>
      <c r="DK87" s="6">
        <f>COUNTIFS(Table68[Country],Tabela1[[#This Row],[Country]],Table68[Men''s K2 500m Classification],"&gt;0")</f>
        <v>0</v>
      </c>
      <c r="DL87" s="6">
        <f>COUNTIFS(Table68[Country],Tabela1[[#This Row],[Country]],Table68[Women''s K2 500m Classification],"&gt;0")</f>
        <v>0</v>
      </c>
      <c r="DM87" s="6">
        <f>COUNTIFS(Table83[Country],Tabela1[[#This Row],[Country]],Table83[Men''s K4 500m Classification],"&gt;0")</f>
        <v>0</v>
      </c>
      <c r="DN87" s="6">
        <f>COUNTIFS(Table83[Country],Tabela1[[#This Row],[Country]],Table83[Women''s K4 500m Classification],"&gt;0")</f>
        <v>0</v>
      </c>
      <c r="DO87" s="6">
        <f>COUNTIFS(Tabela126[Country],Tabela1[[#This Row],[Country]],Tabela126[Classification],"&gt;0")</f>
        <v>0</v>
      </c>
      <c r="DP87" s="6">
        <f>COUNTIFS(Tabela126130[Country],Tabela1[[#This Row],[Country]],Tabela126130[Classification],"&gt;0")</f>
        <v>0</v>
      </c>
      <c r="DQ87" s="6">
        <f>COUNTIFS(Table70[Country],Tabela1[[#This Row],[Country]],Table70[Classification],"&gt;0")</f>
        <v>0</v>
      </c>
      <c r="DR87" s="6">
        <f>COUNTIFS(Table80[Country],Tabela1[[#This Row],[Country]],Table80[Classification],"&gt;0")</f>
        <v>0</v>
      </c>
      <c r="DS87" s="6">
        <f>COUNTIFS(Table66[Country],Tabela1[[#This Row],[Country]],Table66[Classification],"&gt;0")</f>
        <v>0</v>
      </c>
      <c r="DT87" s="6">
        <f>COUNTIFS(Table67[Country],Tabela1[[#This Row],[Country]],Table67[Classification],"&gt;0")</f>
        <v>0</v>
      </c>
      <c r="DU87" s="6">
        <f>COUNTIFS(Table69[Country],Tabela1[[#This Row],[Country]],Table69[Keirin Classification],"&gt;0")</f>
        <v>0</v>
      </c>
      <c r="DV87" s="6">
        <f>COUNTIFS(Table41[Country],Tabela1[[#This Row],[Country]],Table41[Keirin Classification],"&gt;0")</f>
        <v>0</v>
      </c>
      <c r="DW87" s="6">
        <f>COUNTIFS(Table84[Country],Tabela1[[#This Row],[Country]],Table84[Men''s Madison Classification],"&gt;0")</f>
        <v>0</v>
      </c>
      <c r="DX87" s="6">
        <f>COUNTIFS(Table84[Country],Tabela1[[#This Row],[Country]],Table84[Women''s Madison Classification],"&gt;0")</f>
        <v>0</v>
      </c>
      <c r="DY87" s="6">
        <f>COUNTIFS(Table69[Country],Tabela1[[#This Row],[Country]],Table69[Omnium Classification],"&gt;0")</f>
        <v>0</v>
      </c>
      <c r="DZ87" s="6">
        <f>COUNTIFS(Table41[Country],Tabela1[[#This Row],[Country]],Table41[Omnium Classification],"&gt;0")</f>
        <v>0</v>
      </c>
      <c r="EA87" s="6">
        <f>COUNTIFS(Table9[Country],Tabela1[[#This Row],[Country]],Table9[Road Race Classification],"&gt;0")</f>
        <v>0</v>
      </c>
      <c r="EB87" s="6">
        <f>COUNTIFS(Table14[Country],Tabela1[[#This Row],[Country]],Table14[Road Race Classification],"&gt;0")</f>
        <v>0</v>
      </c>
      <c r="EC87" s="6">
        <f>COUNTIFS(Table69[Country],Tabela1[[#This Row],[Country]],Table69[Sprint Classification],"&gt;0")</f>
        <v>0</v>
      </c>
      <c r="ED87" s="6">
        <f>COUNTIFS(Table41[Country],Tabela1[[#This Row],[Country]],Table41[Sprint Classification],"&gt;0")</f>
        <v>0</v>
      </c>
      <c r="EE87" s="6">
        <f>COUNTIFS(Table85[Country],Tabela1[[#This Row],[Country]],Table85[Men''s Sprint Classification],"&gt;0")</f>
        <v>0</v>
      </c>
      <c r="EF87" s="6">
        <f>COUNTIFS(Table85[Country],Tabela1[[#This Row],[Country]],Table85[Women''s Sprint Classification],"&gt;0")</f>
        <v>0</v>
      </c>
      <c r="EG87" s="6">
        <f>COUNTIFS(Table85[Country],Tabela1[[#This Row],[Country]],Table85[Men''s Pursuit Classification],"&gt;0")</f>
        <v>0</v>
      </c>
      <c r="EH87" s="6">
        <f>COUNTIFS(Table85[Country],Tabela1[[#This Row],[Country]],Table85[Women''s Pursuit Classification],"&gt;0")</f>
        <v>0</v>
      </c>
      <c r="EI87" s="6">
        <f>COUNTIFS(Table9[Country],Tabela1[[#This Row],[Country]],Table9[Time-Trial Classification],"&gt;0")</f>
        <v>0</v>
      </c>
      <c r="EJ87" s="6">
        <f>COUNTIFS(Table14[Country],Tabela1[[#This Row],[Country]],Table14[Time-Trial Classification],"&gt;0")</f>
        <v>0</v>
      </c>
      <c r="EK87" s="6">
        <f>COUNTIFS(Table42[Country],Tabela1[[#This Row],[Country]],Table42[Springboard Classification],"&gt;0")</f>
        <v>0</v>
      </c>
      <c r="EL87" s="6">
        <f>COUNTIFS(Table43[Country],Tabela1[[#This Row],[Country]],Table43[Springboard Classification],"&gt;0")</f>
        <v>0</v>
      </c>
      <c r="EM87" s="6">
        <f>COUNTIFS(Table42[Country],Tabela1[[#This Row],[Country]],Table42[Platform Classification],"&gt;0")</f>
        <v>0</v>
      </c>
      <c r="EN87" s="6">
        <f>COUNTIFS(Table43[Country],Tabela1[[#This Row],[Country]],Table43[Platform Classification],"&gt;0")</f>
        <v>0</v>
      </c>
      <c r="EO87" s="6">
        <f>COUNTIFS(Table86[Country],Tabela1[[#This Row],[Country]],Table86[Men''s Synchronized Springboard Classification],"&gt;0")</f>
        <v>0</v>
      </c>
      <c r="EP87" s="6">
        <f>COUNTIFS(Table86[Country],Tabela1[[#This Row],[Country]],Table86[Women''s Synchronized Springboard Classification],"&gt;0")</f>
        <v>0</v>
      </c>
      <c r="EQ87" s="6">
        <f>COUNTIFS(Table86[Country],Tabela1[[#This Row],[Country]],Table86[Men''s Synchronized Platform Classification],"&gt;0")</f>
        <v>0</v>
      </c>
      <c r="ER87" s="6">
        <f>COUNTIFS(Table86[Country],Tabela1[[#This Row],[Country]],Table86[Women''s Synchronized Platform Classification],"&gt;0")</f>
        <v>0</v>
      </c>
      <c r="ES87" s="6">
        <f>COUNTIFS(Table44[Country],Tabela1[[#This Row],[Country]],Table44[Dressage Classification],"&gt;0")</f>
        <v>0</v>
      </c>
      <c r="ET87" s="6">
        <f>COUNTIFS(Table45[Country],Tabela1[[#This Row],[Country]],Table45[Dressage Classification],"&gt;0")</f>
        <v>0</v>
      </c>
      <c r="EU87" s="6">
        <f>COUNTIFS(Table44[Country],Tabela1[[#This Row],[Country]],Table44[Eventing Classification],"&gt;0")</f>
        <v>0</v>
      </c>
      <c r="EV87" s="6">
        <f>COUNTIFS(Table45[Country],Tabela1[[#This Row],[Country]],Table45[Eventing Classification],"&gt;0")</f>
        <v>0</v>
      </c>
      <c r="EW87" s="6">
        <f>COUNTIFS(Table44[Country],Tabela1[[#This Row],[Country]],Table44[Jumping Classification],"&gt;0")</f>
        <v>0</v>
      </c>
      <c r="EX87" s="6">
        <f>COUNTIFS(Table45[Country],Tabela1[[#This Row],[Country]],Table45[Jumping Classification],"&gt;0")</f>
        <v>0</v>
      </c>
      <c r="EY87" s="6">
        <f>COUNTIFS(Table10[Country],Tabela1[[#This Row],[Country]],Table10[Épée Classification],"&gt;0")</f>
        <v>0</v>
      </c>
      <c r="EZ87" s="6">
        <f>COUNTIFS(Table11[Country],Tabela1[[#This Row],[Country]],Table11[Épée Classification],"&gt;0")</f>
        <v>0</v>
      </c>
      <c r="FA87" s="6">
        <f>COUNTIFS(Table46[Country],Tabela1[[#This Row],[Country]],Table46[Men''s Épée Classification],"&gt;0")</f>
        <v>0</v>
      </c>
      <c r="FB87" s="6">
        <f>COUNTIFS(Table46[Country],Tabela1[[#This Row],[Country]],Table46[Women''s Épée Classification],"&gt;0")</f>
        <v>0</v>
      </c>
      <c r="FC87" s="6">
        <f>COUNTIFS(Table10[Country],Tabela1[[#This Row],[Country]],Table10[Foil Classification],"&gt;0")</f>
        <v>0</v>
      </c>
      <c r="FD87" s="6">
        <f>COUNTIFS(Table11[Country],Tabela1[[#This Row],[Country]],Table11[Foil Classification],"&gt;0")</f>
        <v>0</v>
      </c>
      <c r="FE87" s="6">
        <f>COUNTIFS(Table46[Country],Tabela1[[#This Row],[Country]],Table46[Men''s Foil Classification],"&gt;0")</f>
        <v>0</v>
      </c>
      <c r="FF87" s="6">
        <f>COUNTIFS(Table46[Country],Tabela1[[#This Row],[Country]],Table46[Women''s Foil Classification],"&gt;0")</f>
        <v>0</v>
      </c>
      <c r="FG87" s="6">
        <f>COUNTIFS(Table10[Country],Tabela1[[#This Row],[Country]],Table10[Sabre Classification],"&gt;0")</f>
        <v>0</v>
      </c>
      <c r="FH87" s="6">
        <f>COUNTIFS(Table11[Country],Tabela1[[#This Row],[Country]],Table11[Sabre Classification],"&gt;0")</f>
        <v>0</v>
      </c>
      <c r="FI87" s="6">
        <f>COUNTIFS(Table46[Country],Tabela1[[#This Row],[Country]],Table46[Men''s Sabre Classification],"&gt;0")</f>
        <v>0</v>
      </c>
      <c r="FJ87" s="6">
        <f>COUNTIFS(Table46[Country],Tabela1[[#This Row],[Country]],Table46[Women''s Sabre Classification],"&gt;0")</f>
        <v>0</v>
      </c>
      <c r="FK87" s="6">
        <f>COUNTIFS(Table91[Country],Tabela1[[#This Row],[Country]],Table91[Men''s Classification],"&gt;0")</f>
        <v>0</v>
      </c>
      <c r="FL87" s="6">
        <f>COUNTIFS(Table91[Country],Tabela1[[#This Row],[Country]],Table91[Women''s Classification],"&gt;0")</f>
        <v>0</v>
      </c>
      <c r="FM87" s="6">
        <f>COUNTIFS(Table9194[Country],Tabela1[[#This Row],[Country]],Table9194[Men''s Classification],"&gt;0")</f>
        <v>0</v>
      </c>
      <c r="FN87" s="6">
        <f>COUNTIFS(Table9194[Country],Tabela1[[#This Row],[Country]],Table9194[Women''s Classification],"&gt;0")</f>
        <v>0</v>
      </c>
      <c r="FO87" s="6">
        <f>COUNTIFS(Table71[Country],Tabela1[[#This Row],[Country]],Table71[Classification],"&gt;0")</f>
        <v>0</v>
      </c>
      <c r="FP87" s="6">
        <f>COUNTIFS(Table62[Country],Tabela1[[#This Row],[Country]],Table62[Classification],"&gt;0")</f>
        <v>0</v>
      </c>
      <c r="FQ87" s="6">
        <f>COUNTIFS(Table47[Country],Tabela1[[#This Row],[Country]],Table47[All-Around Classification],"&gt;0")</f>
        <v>0</v>
      </c>
      <c r="FR87" s="6">
        <f>COUNTIFS(Table48[Country],Tabela1[[#This Row],[Country]],Table48[All-Around Classification],"&gt;0")</f>
        <v>0</v>
      </c>
      <c r="FS87" s="6">
        <f>COUNTIFS(Table81[Country],Tabela1[[#This Row],[Country]],Table81[Men''s All-Around Classification],"&gt;0")</f>
        <v>0</v>
      </c>
      <c r="FT87" s="6">
        <f>COUNTIFS(Table81[Country],Tabela1[[#This Row],[Country]],Table81[Women''s All-Around Classification],"&gt;0")</f>
        <v>0</v>
      </c>
      <c r="FU87" s="6">
        <f>COUNTIFS(Table48[Country],Tabela1[[#This Row],[Country]],Table48[Balance Beam Classification],"&gt;0")</f>
        <v>0</v>
      </c>
      <c r="FV87" s="6">
        <f>COUNTIFS(Table47[Country],Tabela1[[#This Row],[Country]],Table47[Floor Exercise Classification],"&gt;0")</f>
        <v>0</v>
      </c>
      <c r="FW87" s="6">
        <f>COUNTIFS(Table48[Country],Tabela1[[#This Row],[Country]],Table48[Floor Exercise Classification],"&gt;0")</f>
        <v>0</v>
      </c>
      <c r="FX87" s="6">
        <f>COUNTIFS(Table47[Country],Tabela1[[#This Row],[Country]],Table47[Horizontal Bar Classification],"&gt;0")</f>
        <v>0</v>
      </c>
      <c r="FY87" s="6">
        <f>COUNTIFS(Table47[Country],Tabela1[[#This Row],[Country]],Table47[Parallel Bars Classification],"&gt;0")</f>
        <v>0</v>
      </c>
      <c r="FZ87" s="6">
        <f>COUNTIFS(Table47[Country],Tabela1[[#This Row],[Country]],Table47[Pommel Horse Classification],"&gt;0")</f>
        <v>0</v>
      </c>
      <c r="GA87" s="6">
        <f>COUNTIFS(Table47[Country],Tabela1[[#This Row],[Country]],Table47[Rings Classification],"&gt;0")</f>
        <v>0</v>
      </c>
      <c r="GB87" s="6">
        <f>COUNTIFS(Tabela132[Country],Tabela1[[#This Row],[Country]],Tabela132[Classification],"&gt;0")</f>
        <v>0</v>
      </c>
      <c r="GC87" s="6">
        <f>COUNTIFS(Tabela139[Country],Tabela1[[#This Row],[Country]],Tabela139[Classification],"&gt;0")</f>
        <v>0</v>
      </c>
      <c r="GD87" s="6">
        <f>COUNTIFS(Table48[Country],Tabela1[[#This Row],[Country]],Table48[Uneven Bars Classification],"&gt;0")</f>
        <v>0</v>
      </c>
      <c r="GE87" s="6">
        <f>COUNTIFS(Table47[Country],Tabela1[[#This Row],[Country]],Table47[Vault Classification],"&gt;0")</f>
        <v>0</v>
      </c>
      <c r="GF87" s="6">
        <f>COUNTIFS(Table48[Country],Tabela1[[#This Row],[Country]],Table48[Vault Classification],"&gt;0")</f>
        <v>0</v>
      </c>
      <c r="GG87" s="6">
        <f>COUNTIFS(Table919496[Country],Tabela1[[#This Row],[Country]],Table919496[Men''s Classification],"&gt;0")</f>
        <v>0</v>
      </c>
      <c r="GH87" s="6">
        <f>COUNTIFS(Table919496[Country],Tabela1[[#This Row],[Country]],Table919496[Women''s Classification],"&gt;0")</f>
        <v>0</v>
      </c>
      <c r="GI87" s="6">
        <f>COUNTIFS(Table12[Country],Tabela1[[#This Row],[Country]],Table12[60kg Classification],"&gt;0")</f>
        <v>0</v>
      </c>
      <c r="GJ87" s="6">
        <f>COUNTIFS(Table12[Country],Tabela1[[#This Row],[Country]],Table12[66kg Classification],"&gt;0")</f>
        <v>0</v>
      </c>
      <c r="GK87" s="6">
        <f>COUNTIFS(Table12[Country],Tabela1[[#This Row],[Country]],Table12[73kg Classification],"&gt;0")</f>
        <v>0</v>
      </c>
      <c r="GL87" s="6">
        <f>COUNTIFS(Table12[Country],Tabela1[[#This Row],[Country]],Table12[81kg Classification],"&gt;0")</f>
        <v>0</v>
      </c>
      <c r="GM87" s="6">
        <f>COUNTIFS(Table12[Country],Tabela1[[#This Row],[Country]],Table12[90kg Classification],"&gt;0")</f>
        <v>0</v>
      </c>
      <c r="GN87" s="6">
        <f>COUNTIFS(Table12[Country],Tabela1[[#This Row],[Country]],Table12[100kg Classification],"&gt;0")</f>
        <v>0</v>
      </c>
      <c r="GO87" s="6">
        <f>COUNTIFS(Table12[Country],Tabela1[[#This Row],[Country]],Table12[Plus 100kg Classification],"&gt;0")</f>
        <v>0</v>
      </c>
      <c r="GP87" s="6">
        <f>COUNTIFS(Table13[Country],Tabela1[[#This Row],[Country]],Table13[48kg Classification],"&gt;0")</f>
        <v>0</v>
      </c>
      <c r="GQ87" s="6">
        <f>COUNTIFS(Table13[Country],Tabela1[[#This Row],[Country]],Table13[52kg Classification],"&gt;0")</f>
        <v>0</v>
      </c>
      <c r="GR87" s="6">
        <f>COUNTIFS(Table13[Country],Tabela1[[#This Row],[Country]],Table13[57kg Classification],"&gt;0")</f>
        <v>0</v>
      </c>
      <c r="GS87" s="6">
        <f>COUNTIFS(Table13[Country],Tabela1[[#This Row],[Country]],Table13[63kg Classification],"&gt;0")</f>
        <v>0</v>
      </c>
      <c r="GT87" s="6">
        <f>COUNTIFS(Table13[Country],Tabela1[[#This Row],[Country]],Table13[70kg Classification],"&gt;0")</f>
        <v>0</v>
      </c>
      <c r="GU87" s="6">
        <f>COUNTIFS(Table13[Country],Tabela1[[#This Row],[Country]],Table13[78kg Classification],"&gt;0")</f>
        <v>0</v>
      </c>
      <c r="GV87" s="6">
        <f>COUNTIFS(Table13[Country],Tabela1[[#This Row],[Country]],Table13[Plus 78kg Classification],"&gt;0")</f>
        <v>0</v>
      </c>
      <c r="GW87" s="6">
        <f>COUNTIFS(Table82[Country],Tabela1[[#This Row],[Country]],Table82[Mixed Classification],"&gt;0")</f>
        <v>0</v>
      </c>
      <c r="GX87" s="6">
        <f>COUNTIFS(Table51[Country],Tabela1[[#This Row],[Country]],Table51[Classification],"&gt;0")</f>
        <v>0</v>
      </c>
      <c r="GY87" s="6">
        <f>COUNTIFS(Table52[Country],Tabela1[[#This Row],[Country]],Table52[Classification],"&gt;0")</f>
        <v>0</v>
      </c>
      <c r="GZ87" s="6">
        <f>COUNTIFS(Table32[Country],Tabela1[[#This Row],[Country]],Table32[All-Around Classification],"&gt;0")</f>
        <v>0</v>
      </c>
      <c r="HA87" s="6">
        <f>COUNTIFS(Table49[Country],Tabela1[[#This Row],[Country]],Table49[All-Around Classification],"&gt;0")</f>
        <v>0</v>
      </c>
      <c r="HB87" s="6">
        <f>COUNTIFS(Table26[Country],Tabela1[[#This Row],[Country]],Table26[Single Sculls Classification],"&gt;0")</f>
        <v>0</v>
      </c>
      <c r="HC87" s="6">
        <f>COUNTIFS(Table63[Country],Tabela1[[#This Row],[Country]],Table63[Single Sculls Classification],"&gt;0")</f>
        <v>0</v>
      </c>
      <c r="HD87" s="6">
        <f>COUNTIFS(Table16[Country],Tabela1[[#This Row],[Country]],Table16[Men''s Double Sculls Classification],"&gt;0")</f>
        <v>0</v>
      </c>
      <c r="HE87" s="6">
        <f>COUNTIFS(Table16[Country],Tabela1[[#This Row],[Country]],Table16[Women''s Double Sculls Classification],"&gt;0")</f>
        <v>0</v>
      </c>
      <c r="HF87" s="6">
        <f>COUNTIFS(Table72[Country],Tabela1[[#This Row],[Country]],Table72[Men''s Quadruple Sculls Classification],"&gt;0")</f>
        <v>0</v>
      </c>
      <c r="HG87" s="6">
        <f>COUNTIFS(Table72[Country],Tabela1[[#This Row],[Country]],Table72[Women''s Quadruple Sculls Classification],"&gt;0")</f>
        <v>0</v>
      </c>
      <c r="HH87" s="6">
        <f>COUNTIFS(Table16[Country],Tabela1[[#This Row],[Country]],Table16[Men''s Coxless Pairs Classification],"&gt;0")</f>
        <v>0</v>
      </c>
      <c r="HI87" s="6">
        <f>COUNTIFS(Table16[Country],Tabela1[[#This Row],[Country]],Table16[Women''s Coxless Pairs Classification],"&gt;0")</f>
        <v>0</v>
      </c>
      <c r="HJ87" s="6">
        <f>COUNTIFS(Table72[Country],Tabela1[[#This Row],[Country]],Table72[Men''s Coxless Fours Classification],"&gt;0")</f>
        <v>0</v>
      </c>
      <c r="HK87" s="6">
        <f>COUNTIFS(Table72[Country],Tabela1[[#This Row],[Country]],Table72[Women''s Coxless Fours Classification],"&gt;0")</f>
        <v>0</v>
      </c>
      <c r="HL87" s="6">
        <f>COUNTIFS(Table72[Country],Tabela1[[#This Row],[Country]],Table72[Men''s Eights Classification],"&gt;0")</f>
        <v>0</v>
      </c>
      <c r="HM87" s="6">
        <f>COUNTIFS(Table72[Country],Tabela1[[#This Row],[Country]],Table72[Women''s Eights Classification],"&gt;0")</f>
        <v>0</v>
      </c>
      <c r="HN87" s="6">
        <f>COUNTIFS(Table16[Country],Tabela1[[#This Row],[Country]],Table16[Men''s Lwt. Double Sculls Classification],"&gt;0")</f>
        <v>0</v>
      </c>
      <c r="HO87" s="6">
        <f>COUNTIFS(Table16[Country],Tabela1[[#This Row],[Country]],Table16[Women''s Lwt. Double Sculls Classification],"&gt;0")</f>
        <v>0</v>
      </c>
      <c r="HP87" s="6">
        <f>COUNTIFS(Table91949698[Country],Tabela1[[#This Row],[Country]],Table91949698[Men''s Classification],"&gt;0")</f>
        <v>0</v>
      </c>
      <c r="HQ87" s="6">
        <f>COUNTIFS(Table91949698[Country],Tabela1[[#This Row],[Country]],Table91949698[Women''s Classification],"&gt;0")</f>
        <v>0</v>
      </c>
      <c r="HR87" s="6">
        <f>COUNTIFS(Table25[Country],Tabela1[[#This Row],[Country]],Table25[Mixed 470 Classification],"&gt;0")</f>
        <v>0</v>
      </c>
      <c r="HS87" s="6">
        <f>COUNTIFS(Table25[Country],Tabela1[[#This Row],[Country]],Table25[Men''s 49er Classification],"&gt;0")</f>
        <v>0</v>
      </c>
      <c r="HT87" s="6">
        <f>COUNTIFS(Table25[Country],Tabela1[[#This Row],[Country]],Table25[Women''s 49er FX Classification],"&gt;0")</f>
        <v>0</v>
      </c>
      <c r="HU87" s="6">
        <f>COUNTIFS(Table17[Country],Tabela1[[#This Row],[Country]],Table17[Formula Kite Classification],"&gt;0")</f>
        <v>0</v>
      </c>
      <c r="HV87" s="6">
        <f>COUNTIFS(Table18[Country],Tabela1[[#This Row],[Country]],Table18[Formula Kite Classification],"&gt;0")</f>
        <v>0</v>
      </c>
      <c r="HW87" s="6">
        <f>COUNTIFS(Table17[Country],Tabela1[[#This Row],[Country]],Table17[ILCA 7 Classification],"&gt;0")</f>
        <v>0</v>
      </c>
      <c r="HX87" s="6">
        <f>COUNTIFS(Table18[Country],Tabela1[[#This Row],[Country]],Table18[ILCA 6 Classification],"&gt;0")</f>
        <v>0</v>
      </c>
      <c r="HY87" s="6">
        <f>COUNTIFS(Table17[Country],Tabela1[[#This Row],[Country]],Table17[IQFoil Classification],"&gt;0")</f>
        <v>0</v>
      </c>
      <c r="HZ87" s="6">
        <f>COUNTIFS(Table18[Country],Tabela1[[#This Row],[Country]],Table18[IQFoil Classification],"&gt;0")</f>
        <v>0</v>
      </c>
      <c r="IA87" s="6">
        <f>COUNTIFS(Table25[Country],Tabela1[[#This Row],[Country]],Table25[Mixed Nacra 17 Classification],"&gt;0")</f>
        <v>0</v>
      </c>
      <c r="IB87" s="6">
        <f>COUNTIFS(Table53[Country],Tabela1[[#This Row],[Country]],Table53[10m Air Pistol Classification],"&gt;0")</f>
        <v>0</v>
      </c>
      <c r="IC87" s="6">
        <f>COUNTIFS(Table19[Country],Tabela1[[#This Row],[Country]],Table19[10m Air Pistol Classification],"&gt;0")</f>
        <v>0</v>
      </c>
      <c r="ID87" s="6">
        <f>COUNTIFS(Table54[Country],Tabela1[[#This Row],[Country]],Table54[Mixed 10m Air Pistol Team Classification],"&gt;0")</f>
        <v>0</v>
      </c>
      <c r="IE87" s="6">
        <f>COUNTIFS(Table53[Country],Tabela1[[#This Row],[Country]],Table53[10m Air Rifle Classification],"&gt;0")</f>
        <v>0</v>
      </c>
      <c r="IF87" s="6">
        <f>COUNTIFS(Table19[Country],Tabela1[[#This Row],[Country]],Table19[10m Air Rifle Classification],"&gt;0")</f>
        <v>0</v>
      </c>
      <c r="IG87" s="6">
        <f>COUNTIFS(Table54[Country],Tabela1[[#This Row],[Country]],Table54[Mixed 10m Air Rifle Team Classification],"&gt;0")</f>
        <v>0</v>
      </c>
      <c r="IH87" s="6">
        <f>COUNTIFS(Table53[Country],Tabela1[[#This Row],[Country]],Table53[25m Rapid Fire Pistol Classification],"&gt;0")</f>
        <v>0</v>
      </c>
      <c r="II87" s="6">
        <f>COUNTIFS(Table19[Country],Tabela1[[#This Row],[Country]],Table19[25m Pistol Classification],"&gt;0")</f>
        <v>0</v>
      </c>
      <c r="IJ87" s="6">
        <f>COUNTIFS(Table53[Country],Tabela1[[#This Row],[Country]],Table53[50m Rifle 3 Positions Classification],"&gt;0")</f>
        <v>0</v>
      </c>
      <c r="IK87" s="6">
        <f>COUNTIFS(Table19[Country],Tabela1[[#This Row],[Country]],Table19[50m Rifle 3 Positions Classification],"&gt;0")</f>
        <v>0</v>
      </c>
      <c r="IL87" s="6">
        <f>COUNTIFS(Table53[Country],Tabela1[[#This Row],[Country]],Table53[Skeet Classification],"&gt;0")</f>
        <v>0</v>
      </c>
      <c r="IM87" s="6">
        <f>COUNTIFS(Table19[Country],Tabela1[[#This Row],[Country]],Table19[Skeet Classification],"&gt;0")</f>
        <v>0</v>
      </c>
      <c r="IN87" s="6">
        <f>COUNTIFS(Table54[Country],Tabela1[[#This Row],[Country]],Table54[Mixed Skeet Team Classification],"&gt;0")</f>
        <v>0</v>
      </c>
      <c r="IO87" s="6">
        <f>COUNTIFS(Table53[Country],Tabela1[[#This Row],[Country]],Table53[Trap Classification],"&gt;0")</f>
        <v>0</v>
      </c>
      <c r="IP87" s="6">
        <f>COUNTIFS(Table19[Country],Tabela1[[#This Row],[Country]],Table19[Trap Classification],"&gt;0")</f>
        <v>0</v>
      </c>
      <c r="IQ87" s="6">
        <f>COUNTIFS(Table73[Country],Tabela1[[#This Row],[Country]],Table73[Park Classification],"&gt;0")</f>
        <v>0</v>
      </c>
      <c r="IR87" s="6">
        <f>COUNTIFS(Table74[Country],Tabela1[[#This Row],[Country]],Table74[Park Classification],"&gt;0")</f>
        <v>0</v>
      </c>
      <c r="IS87" s="6">
        <f>COUNTIFS(Table73[Country],Tabela1[[#This Row],[Country]],Table73[Street Classification],"&gt;0")</f>
        <v>0</v>
      </c>
      <c r="IT87" s="6">
        <f>COUNTIFS(Table74[Country],Tabela1[[#This Row],[Country]],Table74[Street Classification],"&gt;0")</f>
        <v>0</v>
      </c>
      <c r="IU87" s="6">
        <f>COUNTIFS(Table75[Country],Tabela1[[#This Row],[Country]],Table75[Boulder and Lead Classification],"&gt;0")</f>
        <v>0</v>
      </c>
      <c r="IV87" s="6">
        <f>COUNTIFS(Table76[Country],Tabela1[[#This Row],[Country]],Table76[Boulder and Lead Classification],"&gt;0")</f>
        <v>0</v>
      </c>
      <c r="IW87" s="6">
        <f>COUNTIFS(Table75[Country],Tabela1[[#This Row],[Country]],Table75[Speed Classification],"&gt;0")</f>
        <v>0</v>
      </c>
      <c r="IX87" s="6">
        <f>COUNTIFS(Table76[Country],Tabela1[[#This Row],[Country]],Table76[Speed Classification],"&gt;0")</f>
        <v>0</v>
      </c>
      <c r="IY87" s="6">
        <f>COUNTIFS(Table64[Country],Tabela1[[#This Row],[Country]],Table64[Shortboard Classification],"&gt;0")</f>
        <v>0</v>
      </c>
      <c r="IZ87" s="6">
        <f>COUNTIFS(Table77[Country],Tabela1[[#This Row],[Country]],Table77[Shortboard Classification],"&gt;0")</f>
        <v>0</v>
      </c>
      <c r="JA87" s="6">
        <f>COUNTIFS(Table20[Country],Tabela1[[#This Row],[Country]],Table20[50m Freestyle Classification],"&gt;0")</f>
        <v>0</v>
      </c>
      <c r="JB87" s="6">
        <f>COUNTIFS(Table21[Country],Tabela1[[#This Row],[Country]],Table21[50m Freestyle Classification],"&gt;0")</f>
        <v>0</v>
      </c>
      <c r="JC87" s="6">
        <f>COUNTIFS(Table20[Country],Tabela1[[#This Row],[Country]],Table20[100m Freestyle Classification],"&gt;0")</f>
        <v>0</v>
      </c>
      <c r="JD87" s="6">
        <f>COUNTIFS(Table21[Country],Tabela1[[#This Row],[Country]],Table21[100m Freestyle Classification],"&gt;0")</f>
        <v>0</v>
      </c>
      <c r="JE87" s="6">
        <f>COUNTIFS(Table20[Country],Tabela1[[#This Row],[Country]],Table20[200m Freestyle Classification],"&gt;0")</f>
        <v>0</v>
      </c>
      <c r="JF87" s="6">
        <f>COUNTIFS(Table21[Country],Tabela1[[#This Row],[Country]],Table21[200m Freestyle Classification],"&gt;0")</f>
        <v>0</v>
      </c>
      <c r="JG87" s="6">
        <f>COUNTIFS(Table20[Country],Tabela1[[#This Row],[Country]],Table20[400m Freestyle Classification],"&gt;0")</f>
        <v>1</v>
      </c>
      <c r="JH87" s="6">
        <f>COUNTIFS(Table21[Country],Tabela1[[#This Row],[Country]],Table21[400m Freestyle Classification],"&gt;0")</f>
        <v>0</v>
      </c>
      <c r="JI87" s="6">
        <f>COUNTIFS(Table20[Country],Tabela1[[#This Row],[Country]],Table20[800m Freestyle Classification],"&gt;0")</f>
        <v>0</v>
      </c>
      <c r="JJ87" s="6">
        <f>COUNTIFS(Table21[Country],Tabela1[[#This Row],[Country]],Table21[800m Freestyle Classification],"&gt;0")</f>
        <v>0</v>
      </c>
      <c r="JK87" s="6">
        <f>COUNTIFS(Table20[Country],Tabela1[[#This Row],[Country]],Table20[1500m Freestyle Classification],"&gt;0")</f>
        <v>0</v>
      </c>
      <c r="JL87" s="6">
        <f>COUNTIFS(Table21[Country],Tabela1[[#This Row],[Country]],Table21[1500m Freestyle Classification],"&gt;0")</f>
        <v>0</v>
      </c>
      <c r="JM87" s="6">
        <f>COUNTIFS(Table20[Country],Tabela1[[#This Row],[Country]],Table20[100m Backstroke Classification],"&gt;0")</f>
        <v>0</v>
      </c>
      <c r="JN87" s="6">
        <f>COUNTIFS(Table21[Country],Tabela1[[#This Row],[Country]],Table21[100m Backstroke Classification],"&gt;0")</f>
        <v>0</v>
      </c>
      <c r="JO87" s="6">
        <f>COUNTIFS(Table20[Country],Tabela1[[#This Row],[Country]],Table20[200m Backstroke Classification],"&gt;0")</f>
        <v>0</v>
      </c>
      <c r="JP87" s="6">
        <f>COUNTIFS(Table21[Country],Tabela1[[#This Row],[Country]],Table21[200m Backstroke Classification],"&gt;0")</f>
        <v>0</v>
      </c>
      <c r="JQ87" s="6">
        <f>COUNTIFS(Table20[Country],Tabela1[[#This Row],[Country]],Table20[100m Breaststroke Classification],"&gt;0")</f>
        <v>0</v>
      </c>
      <c r="JR87" s="6">
        <f>COUNTIFS(Table21[Country],Tabela1[[#This Row],[Country]],Table21[100m Breaststroke Classification],"&gt;0")</f>
        <v>0</v>
      </c>
      <c r="JS87" s="6">
        <f>COUNTIFS(Table20[Country],Tabela1[[#This Row],[Country]],Table20[200m Breaststroke Classification],"&gt;0")</f>
        <v>0</v>
      </c>
      <c r="JT87" s="6">
        <f>COUNTIFS(Table21[Country],Tabela1[[#This Row],[Country]],Table21[200m Breaststroke Classification],"&gt;0")</f>
        <v>0</v>
      </c>
      <c r="JU87" s="6">
        <f>COUNTIFS(Table20[Country],Tabela1[[#This Row],[Country]],Table20[100m Butterfly Classification],"&gt;0")</f>
        <v>0</v>
      </c>
      <c r="JV87" s="6">
        <f>COUNTIFS(Table21[Country],Tabela1[[#This Row],[Country]],Table21[100m Butterfly Classification],"&gt;0")</f>
        <v>0</v>
      </c>
      <c r="JW87" s="6">
        <f>COUNTIFS(Table20[Country],Tabela1[[#This Row],[Country]],Table20[200m Butterfly Classification],"&gt;0")</f>
        <v>0</v>
      </c>
      <c r="JX87" s="6">
        <f>COUNTIFS(Table21[Country],Tabela1[[#This Row],[Country]],Table21[200m Butterfly Classification],"&gt;0")</f>
        <v>0</v>
      </c>
      <c r="JY87" s="6">
        <f>COUNTIFS(Table20[Country],Tabela1[[#This Row],[Country]],Table20[200m Medley Classification],"&gt;0")</f>
        <v>0</v>
      </c>
      <c r="JZ87" s="6">
        <f>COUNTIFS(Table21[Country],Tabela1[[#This Row],[Country]],Table21[200m Medley Classification],"&gt;0")</f>
        <v>1</v>
      </c>
      <c r="KA87" s="6">
        <f>COUNTIFS(Table20[Country],Tabela1[[#This Row],[Country]],Table20[400m Medley Classification],"&gt;0")</f>
        <v>0</v>
      </c>
      <c r="KB87" s="6">
        <f>COUNTIFS(Table21[Country],Tabela1[[#This Row],[Country]],Table21[400m Medley Classification],"&gt;0")</f>
        <v>0</v>
      </c>
      <c r="KC87" s="6">
        <f>COUNTIFS(Table78[Country],Tabela1[[#This Row],[Country]],Table78[Men''s 4x100m Freestyle Relay Classification],"&gt;0")</f>
        <v>0</v>
      </c>
      <c r="KD87" s="6">
        <f>COUNTIFS(Table78[Country],Tabela1[[#This Row],[Country]],Table78[Women''s 4x100m Freestyle Relay Classification],"&gt;0")</f>
        <v>0</v>
      </c>
      <c r="KE87" s="6">
        <f>COUNTIFS(Table78[Country],Tabela1[[#This Row],[Country]],Table78[Men''s 4x200m Freestyle Relay Classification],"&gt;0")</f>
        <v>0</v>
      </c>
      <c r="KF87" s="6">
        <f>COUNTIFS(Table78[Country],Tabela1[[#This Row],[Country]],Table78[Women''s 4x200m Freestyle Relay Classification],"&gt;0")</f>
        <v>0</v>
      </c>
      <c r="KG87" s="6">
        <f>COUNTIFS(Table78[Country],Tabela1[[#This Row],[Country]],Table78[Men''s 4x100m Medley Relay Classification],"&gt;0")</f>
        <v>0</v>
      </c>
      <c r="KH87" s="6">
        <f>COUNTIFS(Table78[Country],Tabela1[[#This Row],[Country]],Table78[Women''s 4x100m Medley Relay Classification],"&gt;0")</f>
        <v>0</v>
      </c>
      <c r="KI87" s="6">
        <f>COUNTIFS(Table78[Country],Tabela1[[#This Row],[Country]],Table78[Mixed 4x100m Medley Relay Classification],"&gt;0")</f>
        <v>0</v>
      </c>
      <c r="KJ87" s="6">
        <f>COUNTIFS(Table20[Country],Tabela1[[#This Row],[Country]],Table20[10km Open Water Classification],"&gt;0")</f>
        <v>0</v>
      </c>
      <c r="KK87" s="6">
        <f>COUNTIFS(Table21[Country],Tabela1[[#This Row],[Country]],Table21[10km Open Water Classification],"&gt;0")</f>
        <v>0</v>
      </c>
      <c r="KL87" s="6">
        <f>COUNTIFS(Table22[Country],Tabela1[[#This Row],[Country]],Table22[Classification],"&gt;0")</f>
        <v>0</v>
      </c>
      <c r="KM87" s="6">
        <f>COUNTIFS(Table30[Country],Tabela1[[#This Row],[Country]],Table30[Classification],"&gt;0")</f>
        <v>0</v>
      </c>
      <c r="KN87" s="6">
        <f>COUNTIFS(Table55[Country],Tabela1[[#This Row],[Country]],Table55[Men''s Classification],"&gt;0")</f>
        <v>0</v>
      </c>
      <c r="KO87" s="6">
        <f>COUNTIFS(Table55[Country],Tabela1[[#This Row],[Country]],Table55[Women''s Classification],"&gt;0")</f>
        <v>0</v>
      </c>
      <c r="KP87" s="6">
        <f>COUNTIFS(Table56[Country],Tabela1[[#This Row],[Country]],Table56[Mixed Classification],"&gt;0")</f>
        <v>0</v>
      </c>
      <c r="KQ87" s="6">
        <f>COUNTIFS(Table29[Country],Tabela1[[#This Row],[Country]],Table29[58kg Classification],"&gt;0")</f>
        <v>0</v>
      </c>
      <c r="KR87" s="6">
        <f>COUNTIFS(Table29[Country],Tabela1[[#This Row],[Country]],Table29[68kg Classification],"&gt;0")</f>
        <v>0</v>
      </c>
      <c r="KS87" s="6">
        <f>COUNTIFS(Table29[Country],Tabela1[[#This Row],[Country]],Table29[80kg Classification],"&gt;0")</f>
        <v>0</v>
      </c>
      <c r="KT87" s="6">
        <f>COUNTIFS(Table29[Country],Tabela1[[#This Row],[Country]],Table29[Plus 80kg Classification],"&gt;0")</f>
        <v>0</v>
      </c>
      <c r="KU87" s="6">
        <f>COUNTIFS(Table34[Country],Tabela1[[#This Row],[Country]],Table34[49kg Classification],"&gt;0")</f>
        <v>0</v>
      </c>
      <c r="KV87" s="6">
        <f>COUNTIFS(Table34[Country],Tabela1[[#This Row],[Country]],Table34[57kg Classification],"&gt;0")</f>
        <v>0</v>
      </c>
      <c r="KW87" s="6">
        <f>COUNTIFS(Table34[Country],Tabela1[[#This Row],[Country]],Table34[67kg Classification],"&gt;0")</f>
        <v>0</v>
      </c>
      <c r="KX87" s="6">
        <f>COUNTIFS(Table34[Country],Tabela1[[#This Row],[Country]],Table34[Plus 67kg Classification],"&gt;0")</f>
        <v>0</v>
      </c>
      <c r="KY87" s="6">
        <f>COUNTIFS(Table57[Country],Tabela1[[#This Row],[Country]],Table57[Classification],"&gt;0")</f>
        <v>0</v>
      </c>
      <c r="KZ87" s="6">
        <f>COUNTIFS(Table58[Country],Tabela1[[#This Row],[Country]],Table58[Classification],"&gt;0")</f>
        <v>0</v>
      </c>
      <c r="LA87" s="6">
        <f>COUNTIFS(Table79[Country],Tabela1[[#This Row],[Country]],Table79[Men''s Classification],"&gt;0")</f>
        <v>0</v>
      </c>
      <c r="LB87" s="6">
        <f>COUNTIFS(Table79[Country],Tabela1[[#This Row],[Country]],Table79[Women''s Classification],"&gt;0")</f>
        <v>0</v>
      </c>
      <c r="LC87" s="6">
        <f>COUNTIFS(Table79[Country],Tabela1[[#This Row],[Country]],Table79[Mixed Classification],"&gt;0")</f>
        <v>0</v>
      </c>
      <c r="LD87" s="6">
        <f>COUNTIFS(Table65[Country],Tabela1[[#This Row],[Country]],Table65[Classification],"&gt;0")</f>
        <v>0</v>
      </c>
      <c r="LE87" s="6">
        <f>COUNTIFS(Table59[Country],Tabela1[[#This Row],[Country]],Table59[Classification],"&gt;0")</f>
        <v>0</v>
      </c>
      <c r="LF87" s="6">
        <f>COUNTIFS(Table87[Country],Tabela1[[#This Row],[Country]],Table87[Mixed Relay Classification],"&gt;0")</f>
        <v>0</v>
      </c>
      <c r="LG87" s="6">
        <f>COUNTIFS(Table91949698100[Country],Tabela1[[#This Row],[Country]],Table91949698100[Men''s Classification],"&gt;0")</f>
        <v>0</v>
      </c>
      <c r="LH87" s="6">
        <f>COUNTIFS(Table91949698100[Country],Tabela1[[#This Row],[Country]],Table91949698100[Women''s Classification],"&gt;0")</f>
        <v>0</v>
      </c>
      <c r="LI87" s="6">
        <f>COUNTIFS(Table91949698100102[Country],Tabela1[[#This Row],[Country]],Table91949698100102[Men''s Classification],"&gt;0")</f>
        <v>0</v>
      </c>
      <c r="LJ87" s="6">
        <f>COUNTIFS(Table91949698100102[Country],Tabela1[[#This Row],[Country]],Table91949698100102[Women''s Classification],"&gt;0")</f>
        <v>0</v>
      </c>
      <c r="LK87" s="6">
        <f>COUNTIFS(Table23[Country],Tabela1[[#This Row],[Country]],Table23[61kg Classification],"&gt;0")</f>
        <v>0</v>
      </c>
      <c r="LL87" s="6">
        <f>COUNTIFS(Table23[Country],Tabela1[[#This Row],[Country]],Table23[73kg Classification],"&gt;0")</f>
        <v>0</v>
      </c>
      <c r="LM87" s="6">
        <f>COUNTIFS(Table23[Country],Tabela1[[#This Row],[Country]],Table23[89kg Classification],"&gt;0")</f>
        <v>0</v>
      </c>
      <c r="LN87" s="6">
        <f>COUNTIFS(Table23[Country],Tabela1[[#This Row],[Country]],Table23[102kg Classification],"&gt;0")</f>
        <v>0</v>
      </c>
      <c r="LO87" s="6">
        <f>COUNTIFS(Table23[Country],Tabela1[[#This Row],[Country]],Table23[Plus 102kg Classification],"&gt;0")</f>
        <v>0</v>
      </c>
      <c r="LP87" s="6">
        <f>COUNTIFS(Table28[Country],Tabela1[[#This Row],[Country]],Table28[49kg Classification],"&gt;0")</f>
        <v>0</v>
      </c>
      <c r="LQ87" s="6">
        <f>COUNTIFS(Table28[Country],Tabela1[[#This Row],[Country]],Table28[59kg Classification],"&gt;0")</f>
        <v>0</v>
      </c>
      <c r="LR87" s="6">
        <f>COUNTIFS(Table28[Country],Tabela1[[#This Row],[Country]],Table28[71kg Classification],"&gt;0")</f>
        <v>0</v>
      </c>
      <c r="LS87" s="6">
        <f>COUNTIFS(Table28[Country],Tabela1[[#This Row],[Country]],Table28[81kg Classification],"&gt;0")</f>
        <v>0</v>
      </c>
      <c r="LT87" s="6">
        <f>COUNTIFS(Table28[Country],Tabela1[[#This Row],[Country]],Table28[Plus 81kg Classification],"&gt;0")</f>
        <v>0</v>
      </c>
      <c r="LU87" s="6">
        <f>COUNTIFS(Table24[Country],Tabela1[[#This Row],[Country]],Table24[Freestyle 57kg Classification],"&gt;0")</f>
        <v>0</v>
      </c>
      <c r="LV87" s="6">
        <f>COUNTIFS(Table24[Country],Tabela1[[#This Row],[Country]],Table24[Freestyle 65kg Classification],"&gt;0")</f>
        <v>0</v>
      </c>
      <c r="LW87" s="6">
        <f>COUNTIFS(Table24[Country],Tabela1[[#This Row],[Country]],Table24[Freestyle 74kg Classification],"&gt;0")</f>
        <v>0</v>
      </c>
      <c r="LX87" s="6">
        <f>COUNTIFS(Table24[Country],Tabela1[[#This Row],[Country]],Table24[Freestyle 86kg Classification],"&gt;0")</f>
        <v>0</v>
      </c>
      <c r="LY87" s="6">
        <f>COUNTIFS(Table24[Country],Tabela1[[#This Row],[Country]],Table24[Freestyle 97kg Classification],"&gt;0")</f>
        <v>0</v>
      </c>
      <c r="LZ87" s="6">
        <f>COUNTIFS(Table24[Country],Tabela1[[#This Row],[Country]],Table24[Freestyle 125kg Classification],"&gt;0")</f>
        <v>0</v>
      </c>
      <c r="MA87" s="6">
        <f>COUNTIFS(Table24[Country],Tabela1[[#This Row],[Country]],Table24[Greco-Roman 60kg Classification],"&gt;0")</f>
        <v>0</v>
      </c>
      <c r="MB87" s="6">
        <f>COUNTIFS(Table24[Country],Tabela1[[#This Row],[Country]],Table24[Greco-Roman 67kg Classification],"&gt;0")</f>
        <v>0</v>
      </c>
      <c r="MC87" s="6">
        <f>COUNTIFS(Table24[Country],Tabela1[[#This Row],[Country]],Table24[Greco-Roman 77kg Classification],"&gt;0")</f>
        <v>0</v>
      </c>
      <c r="MD87" s="6">
        <f>COUNTIFS(Table24[Country],Tabela1[[#This Row],[Country]],Table24[Greco-Roman 87kg Classification],"&gt;0")</f>
        <v>0</v>
      </c>
      <c r="ME87" s="6">
        <f>COUNTIFS(Table24[Country],Tabela1[[#This Row],[Country]],Table24[Greco-Roman 97kg Classification],"&gt;0")</f>
        <v>0</v>
      </c>
      <c r="MF87" s="6">
        <f>COUNTIFS(Table24[Country],Tabela1[[#This Row],[Country]],Table24[Greco-Roman 130kg Classification],"&gt;0")</f>
        <v>0</v>
      </c>
      <c r="MG87" s="6">
        <f>COUNTIFS(Table31[Country],Tabela1[[#This Row],[Country]],Table31[50kg Classification],"&gt;0")</f>
        <v>0</v>
      </c>
      <c r="MH87" s="6">
        <f>COUNTIFS(Table31[Country],Tabela1[[#This Row],[Country]],Table31[53kg Classification],"&gt;0")</f>
        <v>0</v>
      </c>
      <c r="MI87" s="6">
        <f>COUNTIFS(Table31[Country],Tabela1[[#This Row],[Country]],Table31[57kg Classification],"&gt;0")</f>
        <v>0</v>
      </c>
      <c r="MJ87" s="6">
        <f>COUNTIFS(Table31[Country],Tabela1[[#This Row],[Country]],Table31[62kg Classification],"&gt;0")</f>
        <v>0</v>
      </c>
      <c r="MK87" s="6">
        <f>COUNTIFS(Table31[Country],Tabela1[[#This Row],[Country]],Table31[68kg Classification],"&gt;0")</f>
        <v>0</v>
      </c>
      <c r="ML87" s="6">
        <f>COUNTIFS(Table31[Country],Tabela1[[#This Row],[Country]],Table31[76kg Classification],"&gt;0")</f>
        <v>0</v>
      </c>
      <c r="MM87" s="6">
        <f>COUNTIFS(Table102[Country],Tabela1[[#This Row],[Country]],Table102[Downhill Classification],"&gt;0")</f>
        <v>0</v>
      </c>
      <c r="MN87" s="6">
        <f>COUNTIFS(Table102105[Country],Tabela1[[#This Row],[Country]],Table102105[Downhill Classification],"&gt;0")</f>
        <v>0</v>
      </c>
      <c r="MO87" s="6">
        <f>COUNTIFS(Table102[Country],Tabela1[[#This Row],[Country]],Table102[Giant Slalom Classification],"&gt;0")</f>
        <v>0</v>
      </c>
      <c r="MP87" s="6">
        <f>COUNTIFS(Table102105[Country],Tabela1[[#This Row],[Country]],Table102105[Giant Slalom Classification],"&gt;0")</f>
        <v>0</v>
      </c>
      <c r="MQ87" s="6">
        <f>COUNTIFS(Table102[Country],Tabela1[[#This Row],[Country]],Table102[Slalom Classification],"&gt;0")</f>
        <v>0</v>
      </c>
      <c r="MR87" s="6">
        <f>COUNTIFS(Table102105[Country],Tabela1[[#This Row],[Country]],Table102105[Slalom Classification],"&gt;0")</f>
        <v>0</v>
      </c>
      <c r="MS87" s="6">
        <f>COUNTIFS(Table102[Country],Tabela1[[#This Row],[Country]],Table102[Super-G Classification],"&gt;0")</f>
        <v>0</v>
      </c>
      <c r="MT87" s="6">
        <f>COUNTIFS(Table102105[Country],Tabela1[[#This Row],[Country]],Table102105[Super-G Classification],"&gt;0")</f>
        <v>0</v>
      </c>
      <c r="MU87" s="6">
        <f>COUNTIFS(Table105[Country],Tabela1[[#This Row],[Country]],Table105[Men''s Combined Classification],"&gt;0")</f>
        <v>0</v>
      </c>
      <c r="MV87" s="6">
        <f>COUNTIFS(Table105[Country],Tabela1[[#This Row],[Country]],Table105[Women''s Combined Classification],"&gt;0")</f>
        <v>0</v>
      </c>
      <c r="MW87" s="6">
        <f>COUNTIFS(Table106[Country],Tabela1[[#This Row],[Country]],Table106[Individual Classification],"&gt;0")</f>
        <v>0</v>
      </c>
      <c r="MX87" s="6">
        <f>COUNTIFS(Table106109[Country],Tabela1[[#This Row],[Country]],Table106109[Individual Classification],"&gt;0")</f>
        <v>0</v>
      </c>
      <c r="MY87" s="6">
        <f>COUNTIFS(Table106[Country],Tabela1[[#This Row],[Country]],Table106[Mass Start Classification],"&gt;0")</f>
        <v>0</v>
      </c>
      <c r="MZ87" s="6">
        <f>COUNTIFS(Table106109[Country],Tabela1[[#This Row],[Country]],Table106109[Mass Start Classification],"&gt;0")</f>
        <v>0</v>
      </c>
      <c r="NA87" s="6">
        <f>COUNTIFS(Table106[Country],Tabela1[[#This Row],[Country]],Table106[Pursuit Classification],"&gt;0")</f>
        <v>0</v>
      </c>
      <c r="NB87" s="6">
        <f>COUNTIFS(Table106109[Country],Tabela1[[#This Row],[Country]],Table106109[Pursuit Classification],"&gt;0")</f>
        <v>0</v>
      </c>
      <c r="NC87" s="6">
        <f>COUNTIFS(Table106[Country],Tabela1[[#This Row],[Country]],Table106[Sprint Classification],"&gt;0")</f>
        <v>0</v>
      </c>
      <c r="ND87" s="6">
        <f>COUNTIFS(Table106109[Country],Tabela1[[#This Row],[Country]],Table106109[Sprint Classification],"&gt;0")</f>
        <v>0</v>
      </c>
      <c r="NE87" s="6">
        <f>COUNTIFS(Table109[Country],Tabela1[[#This Row],[Country]],Table109[Men''s Relay Classification],"&gt;0")</f>
        <v>0</v>
      </c>
      <c r="NF87" s="6">
        <f>COUNTIFS(Table109[Country],Tabela1[[#This Row],[Country]],Table109[Women''s Relay Classification],"&gt;0")</f>
        <v>0</v>
      </c>
      <c r="NG87" s="6">
        <f>COUNTIFS(Table109[Country],Tabela1[[#This Row],[Country]],Table109[Mixed Relay Classification],"&gt;0")</f>
        <v>0</v>
      </c>
      <c r="NH87" s="6">
        <f>COUNTIFS(Table110[Country],Tabela1[[#This Row],[Country]],Table110[Monobob Classification],"&gt;0")</f>
        <v>0</v>
      </c>
      <c r="NI87" s="6">
        <f>COUNTIFS(Table111[Country],Tabela1[[#This Row],[Country]],Table111[Men''s Classification],"&gt;0")</f>
        <v>0</v>
      </c>
      <c r="NJ87" s="6">
        <f>COUNTIFS(Table111[Country],Tabela1[[#This Row],[Country]],Table111[Women''s Classification],"&gt;0")</f>
        <v>0</v>
      </c>
      <c r="NK87" s="6">
        <f>COUNTIFS(Table112[Country],Tabela1[[#This Row],[Country]],Table112[Men''s Four Classification],"&gt;0")</f>
        <v>0</v>
      </c>
      <c r="NL87" s="6">
        <f>COUNTIFS(Table113[Country],Tabela1[[#This Row],[Country]],Table113[Classical Classification],"&gt;0")</f>
        <v>0</v>
      </c>
      <c r="NM87" s="6">
        <f>COUNTIFS(Table113116[Country],Tabela1[[#This Row],[Country]],Table113116[Classical Classification],"&gt;0")</f>
        <v>0</v>
      </c>
      <c r="NN87" s="6">
        <f>COUNTIFS(Table113[Country],Tabela1[[#This Row],[Country]],Table113[Freestyle Classification],"&gt;0")</f>
        <v>0</v>
      </c>
      <c r="NO87" s="6">
        <f>COUNTIFS(Table113116[Country],Tabela1[[#This Row],[Country]],Table113116[Freestyle Classification],"&gt;0")</f>
        <v>0</v>
      </c>
      <c r="NP87" s="6">
        <f>COUNTIFS(Table117[Country],Tabela1[[#This Row],[Country]],Table117[Men''s Relay Classification],"&gt;0")</f>
        <v>0</v>
      </c>
      <c r="NQ87" s="6">
        <f>COUNTIFS(Table117[Country],Tabela1[[#This Row],[Country]],Table117[Women''s Relay Classification],"&gt;0")</f>
        <v>0</v>
      </c>
      <c r="NR87" s="6">
        <f>COUNTIFS(Table113[Country],Tabela1[[#This Row],[Country]],Table113[Skiathlon Classification],"&gt;0")</f>
        <v>0</v>
      </c>
      <c r="NS87" s="6">
        <f>COUNTIFS(Table113116[Country],Tabela1[[#This Row],[Country]],Table113116[Skiathlon Classification],"&gt;0")</f>
        <v>0</v>
      </c>
      <c r="NT87" s="6">
        <f>COUNTIFS(Table113[Country],Tabela1[[#This Row],[Country]],Table113[Sprint Classification],"&gt;0")</f>
        <v>0</v>
      </c>
      <c r="NU87" s="6">
        <f>COUNTIFS(Table113116[Country],Tabela1[[#This Row],[Country]],Table113116[Sprint Classification],"&gt;0")</f>
        <v>0</v>
      </c>
      <c r="NV87" s="6">
        <f>COUNTIFS(Table116[Country],Tabela1[[#This Row],[Country]],Table116[Men''s Team Sprint Classification],"&gt;0")</f>
        <v>0</v>
      </c>
      <c r="NW87" s="6">
        <f>COUNTIFS(Table116[Country],Tabela1[[#This Row],[Country]],Table116[Women''s Team Sprint Classification],"&gt;0")</f>
        <v>0</v>
      </c>
      <c r="NX87" s="6">
        <f>COUNTIFS(Table119[Country],Tabela1[[#This Row],[Country]],Table119[Men''s Classification],"&gt;0")</f>
        <v>0</v>
      </c>
      <c r="NY87" s="6">
        <f>COUNTIFS(Table119[Country],Tabela1[[#This Row],[Country]],Table119[Women''s Classification],"&gt;0")</f>
        <v>0</v>
      </c>
      <c r="NZ87" s="6">
        <f>COUNTIFS(Table118[Country],Tabela1[[#This Row],[Country]],Table118[Mixed Classification],"&gt;0")</f>
        <v>0</v>
      </c>
      <c r="OA87" s="6">
        <f>COUNTIFS(Table120[Country],Tabela1[[#This Row],[Country]],Table120[Classification],"&gt;0")</f>
        <v>0</v>
      </c>
      <c r="OB87" s="6">
        <f>COUNTIFS(Table120123[Country],Tabela1[[#This Row],[Country]],Table120123[Classification],"&gt;0")</f>
        <v>0</v>
      </c>
      <c r="OC87" s="6">
        <f>COUNTIFS(Table123[Country],Tabela1[[#This Row],[Country]],Table123[Ice Dance Classification],"&gt;0")</f>
        <v>0</v>
      </c>
      <c r="OD87" s="6">
        <f>COUNTIFS(Table123[Country],Tabela1[[#This Row],[Country]],Table123[Pair Skating Classification],"&gt;0")</f>
        <v>0</v>
      </c>
      <c r="OE87" s="6">
        <f>COUNTIFS(Table124[Country],Tabela1[[#This Row],[Country]],Table124[Mixed Classification],"&gt;0")</f>
        <v>0</v>
      </c>
      <c r="OF87" s="6">
        <f>COUNTIFS(Table125[Country],Tabela1[[#This Row],[Country]],Table125[Aerials Classification],"&gt;0")</f>
        <v>0</v>
      </c>
      <c r="OG87" s="6">
        <f>COUNTIFS(Table125128[Country],Tabela1[[#This Row],[Country]],Table125128[Aerials Classification],"&gt;0")</f>
        <v>0</v>
      </c>
      <c r="OH87" s="6">
        <f>COUNTIFS(Table128[Country],Tabela1[[#This Row],[Country]],Table128[Mixed Aerials Classification],"&gt;0")</f>
        <v>0</v>
      </c>
      <c r="OI87" s="6">
        <f>COUNTIFS(Table125[Country],Tabela1[[#This Row],[Country]],Table125[Big Air Classification],"&gt;0")</f>
        <v>0</v>
      </c>
      <c r="OJ87" s="6">
        <f>COUNTIFS(Table125128[Country],Tabela1[[#This Row],[Country]],Table125128[Big Air Classification],"&gt;0")</f>
        <v>0</v>
      </c>
      <c r="OK87" s="6">
        <f>COUNTIFS(Table125[Country],Tabela1[[#This Row],[Country]],Table125[Dual Moguls Classification],"&gt;0")</f>
        <v>0</v>
      </c>
      <c r="OL87" s="6">
        <f>COUNTIFS(Table125128[Country],Tabela1[[#This Row],[Country]],Table125128[Dual Moguls Classification],"&gt;0")</f>
        <v>0</v>
      </c>
      <c r="OM87" s="6">
        <f>COUNTIFS(Table125[Country],Tabela1[[#This Row],[Country]],Table125[Halfpipe Classification],"&gt;0")</f>
        <v>0</v>
      </c>
      <c r="ON87" s="6">
        <f>COUNTIFS(Table125128[Country],Tabela1[[#This Row],[Country]],Table125128[Halfpipe Classification],"&gt;0")</f>
        <v>0</v>
      </c>
      <c r="OO87" s="6">
        <f>COUNTIFS(Table125[Country],Tabela1[[#This Row],[Country]],Table125[Moguls Classification],"&gt;0")</f>
        <v>0</v>
      </c>
      <c r="OP87" s="6">
        <f>COUNTIFS(Table125128[Country],Tabela1[[#This Row],[Country]],Table125128[Moguls Classification],"&gt;0")</f>
        <v>0</v>
      </c>
      <c r="OQ87" s="6">
        <f>COUNTIFS(Table125[Country],Tabela1[[#This Row],[Country]],Table125[Ski Cross Classification],"&gt;0")</f>
        <v>0</v>
      </c>
      <c r="OR87" s="6">
        <f>COUNTIFS(Table125128[Country],Tabela1[[#This Row],[Country]],Table125128[Ski Cross Classification],"&gt;0")</f>
        <v>0</v>
      </c>
      <c r="OS87" s="6">
        <f>COUNTIFS(Table125[Country],Tabela1[[#This Row],[Country]],Table125[Slopestyle Classification],"&gt;0")</f>
        <v>0</v>
      </c>
      <c r="OT87" s="6">
        <f>COUNTIFS(Table125128[Country],Tabela1[[#This Row],[Country]],Table125128[Slopestyle Classification],"&gt;0")</f>
        <v>0</v>
      </c>
      <c r="OU87" s="6">
        <f>COUNTIFS(Table119131[Country],Tabela1[[#This Row],[Country]],Table119131[Men''s Classification],"&gt;0")</f>
        <v>0</v>
      </c>
      <c r="OV87" s="6">
        <f>COUNTIFS(Table119131[Country],Tabela1[[#This Row],[Country]],Table119131[Women''s Classification],"&gt;0")</f>
        <v>0</v>
      </c>
      <c r="OW87" s="6">
        <f>COUNTIFS(Table131[Country],Tabela1[[#This Row],[Country]],Table131[Classification],"&gt;0")</f>
        <v>0</v>
      </c>
      <c r="OX87" s="6">
        <f>COUNTIFS(Table131134[Country],Tabela1[[#This Row],[Country]],Table131134[Classification],"&gt;0")</f>
        <v>0</v>
      </c>
      <c r="OY87" s="6">
        <f>COUNTIFS(Table134[Country],Tabela1[[#This Row],[Country]],Table134[Men''s Classification],"&gt;0")</f>
        <v>0</v>
      </c>
      <c r="OZ87" s="6">
        <f>COUNTIFS(Table134[Country],Tabela1[[#This Row],[Country]],Table134[Women''s Classification],"&gt;0")</f>
        <v>0</v>
      </c>
      <c r="PA87" s="6">
        <f>COUNTIFS(Table135[Country],Tabela1[[#This Row],[Country]],Table135[Mixed Relay Classification],"&gt;0")</f>
        <v>0</v>
      </c>
      <c r="PB87" s="6">
        <f>COUNTIFS(Table136[Country],Tabela1[[#This Row],[Country]],Table136[Individual Classification],"&gt;0")</f>
        <v>0</v>
      </c>
      <c r="PC87" s="6">
        <f>COUNTIFS(Table136[Country],Tabela1[[#This Row],[Country]],Table136[Sprint Classification],"&gt;0")</f>
        <v>0</v>
      </c>
      <c r="PD87" s="6">
        <f>COUNTIFS(Table137[Country],Tabela1[[#This Row],[Country]],Table137[Men''s Team Sprint Large Hill Classification],"&gt;0")</f>
        <v>0</v>
      </c>
      <c r="PE87" s="6">
        <f>COUNTIFS(Table138[Country],Tabela1[[#This Row],[Country]],Table138[500m Classification],"&gt;0")</f>
        <v>0</v>
      </c>
      <c r="PF87" s="6">
        <f>COUNTIFS(Table138141[Country],Tabela1[[#This Row],[Country]],Table138141[500m Classification],"&gt;0")</f>
        <v>0</v>
      </c>
      <c r="PG87" s="6">
        <f>COUNTIFS(Table138[Country],Tabela1[[#This Row],[Country]],Table138[1000m Classification],"&gt;0")</f>
        <v>0</v>
      </c>
      <c r="PH87" s="6">
        <f>COUNTIFS(Table138141[Country],Tabela1[[#This Row],[Country]],Table138141[1000m Classification],"&gt;0")</f>
        <v>0</v>
      </c>
      <c r="PI87" s="6">
        <f>COUNTIFS(Table138[Country],Tabela1[[#This Row],[Country]],Table138[1500m Classification],"&gt;0")</f>
        <v>0</v>
      </c>
      <c r="PJ87" s="6">
        <f>COUNTIFS(Table138141[Country],Tabela1[[#This Row],[Country]],Table138141[1500m Classification],"&gt;0")</f>
        <v>0</v>
      </c>
      <c r="PK87" s="6">
        <f>COUNTIFS(Table141[Country],Tabela1[[#This Row],[Country]],Table141[Men''s 5000m Relay Classification],"&gt;0")</f>
        <v>0</v>
      </c>
      <c r="PL87" s="6">
        <f>COUNTIFS(Table141[Country],Tabela1[[#This Row],[Country]],Table141[Women''s 3000m Relay Classification],"&gt;0")</f>
        <v>0</v>
      </c>
      <c r="PM87" s="6">
        <f>COUNTIFS(Table141[Country],Tabela1[[#This Row],[Country]],Table141[Mixed 2000m Relay Classification],"&gt;0")</f>
        <v>0</v>
      </c>
      <c r="PN87" s="6">
        <f>COUNTIFS(Table142[Country],Tabela1[[#This Row],[Country]],Table142[Classification],"&gt;0")</f>
        <v>0</v>
      </c>
      <c r="PO87" s="6">
        <f>COUNTIFS(Table142145[Country],Tabela1[[#This Row],[Country]],Table142145[Classification],"&gt;0")</f>
        <v>0</v>
      </c>
      <c r="PP87" s="6">
        <f>COUNTIFS(Tabela15[Country],Tabela1[[#This Row],[Country]],Tabela15[Mixed Team Classification],"&gt;0")</f>
        <v>0</v>
      </c>
      <c r="PQ87" s="6">
        <f>COUNTIFS(Table145[Country],Tabela1[[#This Row],[Country]],Table145[Large Hill Classification],"&gt;0")</f>
        <v>0</v>
      </c>
      <c r="PR87" s="6">
        <f>COUNTIFS(Table145[Country],Tabela1[[#This Row],[Country]],Table145[Normal Hill Classification],"&gt;0")</f>
        <v>0</v>
      </c>
      <c r="PS87" s="6">
        <f>COUNTIFS(Table145148[Country],Tabela1[[#This Row],[Country]],Table145148[Large Hill Classification],"&gt;0")</f>
        <v>0</v>
      </c>
      <c r="PT87" s="6">
        <f>COUNTIFS(Table145148[Country],Tabela1[[#This Row],[Country]],Table145148[Normal Hill Classification],"&gt;0")</f>
        <v>0</v>
      </c>
      <c r="PU87" s="6">
        <f>COUNTIFS(Table148[Country],Tabela1[[#This Row],[Country]],Table148[Men''s Super Team Classification],"&gt;0")</f>
        <v>0</v>
      </c>
      <c r="PV87" s="6">
        <f>COUNTIFS(Tabela114[Country],Tabela1[[#This Row],[Country]],Tabela114[Mixed Normal Hill Classification],"&gt;0")</f>
        <v>0</v>
      </c>
      <c r="PW87" s="6">
        <f>COUNTIFS(Tabela50[Country],Tabela1[[#This Row],[Country]],Tabela50[Sprint Classification],"&gt;0")</f>
        <v>0</v>
      </c>
      <c r="PX87" s="6">
        <f>COUNTIFS(Tabela50101[Country],Tabela1[[#This Row],[Country]],Tabela50101[Sprint Classification],"&gt;0")</f>
        <v>0</v>
      </c>
      <c r="PY87" s="6">
        <f>COUNTIFS(Tabela103[Country],Tabela1[[#This Row],[Country]],Tabela103[Mixed Relay Classification],"&gt;0")</f>
        <v>0</v>
      </c>
      <c r="PZ87" s="6">
        <f>COUNTIFS(Table149[Country],Tabela1[[#This Row],[Country]],Table149[Big Air Classification],"&gt;0")</f>
        <v>0</v>
      </c>
      <c r="QA87" s="6">
        <f>COUNTIFS(Table149152[Country],Tabela1[[#This Row],[Country]],Table149152[Big Air Classification],"&gt;0")</f>
        <v>0</v>
      </c>
      <c r="QB87" s="6">
        <f>COUNTIFS(Table149[Country],Tabela1[[#This Row],[Country]],Table149[Halfpipe Classification],"&gt;0")</f>
        <v>0</v>
      </c>
      <c r="QC87" s="6">
        <f>COUNTIFS(Table149152[Country],Tabela1[[#This Row],[Country]],Table149152[Halfpipe Classification],"&gt;0")</f>
        <v>0</v>
      </c>
      <c r="QD87" s="6">
        <f>COUNTIFS(Table149[Country],Tabela1[[#This Row],[Country]],Table149[Parallel Giant Slalom Classification],"&gt;0")</f>
        <v>0</v>
      </c>
      <c r="QE87" s="6">
        <f>COUNTIFS(Table149152[Country],Tabela1[[#This Row],[Country]],Table149152[Parallel Giant Slalom Classification],"&gt;0")</f>
        <v>0</v>
      </c>
      <c r="QF87" s="6">
        <f>COUNTIFS(Table149[Country],Tabela1[[#This Row],[Country]],Table149[Slopestyle Classification],"&gt;0")</f>
        <v>0</v>
      </c>
      <c r="QG87" s="6">
        <f>COUNTIFS(Table149152[Country],Tabela1[[#This Row],[Country]],Table149152[Slopestyle Classification],"&gt;0")</f>
        <v>0</v>
      </c>
      <c r="QH87" s="6">
        <f>COUNTIFS(Table149[Country],Tabela1[[#This Row],[Country]],Table149[Snowboard Cross Classification],"&gt;0")</f>
        <v>0</v>
      </c>
      <c r="QI87" s="6">
        <f>COUNTIFS(Table149152[Country],Tabela1[[#This Row],[Country]],Table149152[Snowboard Cross Classification],"&gt;0")</f>
        <v>0</v>
      </c>
      <c r="QJ87" s="6">
        <f>COUNTIFS(Table153[Country],Tabela1[[#This Row],[Country]],Table153[Mixed Team Snowboard Cross Classification],"&gt;0")</f>
        <v>0</v>
      </c>
      <c r="QK87" s="6">
        <f>COUNTIFS(Table154[Country],Tabela1[[#This Row],[Country]],Table154[500m Classification],"&gt;0")</f>
        <v>0</v>
      </c>
      <c r="QL87" s="6">
        <f>COUNTIFS(Table154157[Country],Tabela1[[#This Row],[Country]],Table154157[500m Classification],"&gt;0")</f>
        <v>0</v>
      </c>
      <c r="QM87" s="6">
        <f>COUNTIFS(Table154[Country],Tabela1[[#This Row],[Country]],Table154[1000m Classification],"&gt;0")</f>
        <v>0</v>
      </c>
      <c r="QN87" s="6">
        <f>COUNTIFS(Table154157[Country],Tabela1[[#This Row],[Country]],Table154157[1000m Classification],"&gt;0")</f>
        <v>0</v>
      </c>
      <c r="QO87" s="6">
        <f>COUNTIFS(Table154[Country],Tabela1[[#This Row],[Country]],Table154[1500m Classification],"&gt;0")</f>
        <v>0</v>
      </c>
      <c r="QP87" s="6">
        <f>COUNTIFS(Table154157[Country],Tabela1[[#This Row],[Country]],Table154157[1500m Classification],"&gt;0")</f>
        <v>0</v>
      </c>
      <c r="QQ87" s="6">
        <f>COUNTIFS(Table154157[Country],Tabela1[[#This Row],[Country]],Table154157[3000m Classification],"&gt;0")</f>
        <v>0</v>
      </c>
      <c r="QR87" s="6">
        <f>COUNTIFS(Table154[Country],Tabela1[[#This Row],[Country]],Table154[5000m Classification],"&gt;0")</f>
        <v>0</v>
      </c>
      <c r="QS87" s="6">
        <f>COUNTIFS(Table154157[Country],Tabela1[[#This Row],[Country]],Table154157[5000m Classification],"&gt;0")</f>
        <v>0</v>
      </c>
      <c r="QT87" s="6">
        <f>COUNTIFS(Table154[Country],Tabela1[[#This Row],[Country]],Table154[10000m Classification],"&gt;0")</f>
        <v>0</v>
      </c>
      <c r="QU87" s="6">
        <f>COUNTIFS(Table154[Country],Tabela1[[#This Row],[Country]],Table154[Mass Start Classification],"&gt;0")</f>
        <v>0</v>
      </c>
      <c r="QV87" s="6">
        <f>COUNTIFS(Table154157[Country],Tabela1[[#This Row],[Country]],Table154157[Mass Start Classification],"&gt;0")</f>
        <v>0</v>
      </c>
      <c r="QW87" s="6">
        <f>COUNTIFS(Table157[Country],Tabela1[[#This Row],[Country]],Table157[Men''s Pursuit Classification],"&gt;0")</f>
        <v>0</v>
      </c>
      <c r="QX87" s="6">
        <f>COUNTIFS(Table157[Country],Tabela1[[#This Row],[Country]],Table157[Women''s Pursuit Classification],"&gt;0")</f>
        <v>0</v>
      </c>
      <c r="QY87" s="3" t="s">
        <v>393</v>
      </c>
    </row>
    <row r="88" spans="1:467" x14ac:dyDescent="0.3">
      <c r="A88" s="6">
        <v>87</v>
      </c>
      <c r="B88" s="6" t="s">
        <v>670</v>
      </c>
      <c r="C88" t="e" vm="87">
        <f>IF(ISBLANK(Tabela1[[#This Row],[Image Link]]), "", _xlfn.IMAGE(Tabela1[[#This Row],[Image Link]],1,1))</f>
        <v>#VALUE!</v>
      </c>
      <c r="D88" s="6">
        <f>SUM(Tabela1[[#This Row],[Archery - Men''s Individual Recurve]:[Speed Skating - Women''s Team Pursuit]])</f>
        <v>4</v>
      </c>
      <c r="E88" s="6">
        <f>COUNTIF(Tabela1[[#This Row],[Archery - Men''s Individual Recurve]:[Speed Skating - Women''s Team Pursuit]],"&gt;0")</f>
        <v>4</v>
      </c>
      <c r="F88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88" s="6">
        <f>SUM(Tabela1[[#This Row],[Archery - Men''s Individual Recurve]:[Wrestling - Women''s Freestyle 76kg]])</f>
        <v>4</v>
      </c>
      <c r="H88" s="6">
        <f>SUM(Tabela1[[#This Row],[Alpine Skiing - Men''s Downhill]:[Speed Skating - Women''s Team Pursuit]])</f>
        <v>0</v>
      </c>
      <c r="I88" s="6">
        <f>Tabela1[[#This Row],[Summer Gold Medals]]+Tabela1[[#This Row],[Winter Gold Medals]]</f>
        <v>2</v>
      </c>
      <c r="J88" s="6">
        <f>Tabela1[[#This Row],[Summer Silver Medals]]+Tabela1[[#This Row],[Winter Silver Medals]]</f>
        <v>0</v>
      </c>
      <c r="K88" s="6">
        <f>Tabela1[[#This Row],[Summer Bronze Medals]]+Tabela1[[#This Row],[Winter Bronze Medals]]</f>
        <v>2</v>
      </c>
      <c r="L88" s="6">
        <f>SUM(Tabela1[[#This Row],[Total Gold Medals]:[Total Bronze Medals]])</f>
        <v>4</v>
      </c>
      <c r="M88" s="6">
        <v>2</v>
      </c>
      <c r="N88" s="6"/>
      <c r="O88" s="6">
        <v>2</v>
      </c>
      <c r="P88" s="6">
        <f>SUM(Tabela1[[#This Row],[Summer Gold Medals]:[Summer Bronze Medals]])</f>
        <v>4</v>
      </c>
      <c r="Q88" s="6"/>
      <c r="R88" s="6"/>
      <c r="S88" s="6"/>
      <c r="T88" s="6">
        <f>Tabela1[[#This Row],[Winter Gold Medals]]+Tabela1[[#This Row],[Winter Silver Medals]]+Tabela1[[#This Row],[Winter Bronze Medals]]</f>
        <v>0</v>
      </c>
      <c r="U88" s="7">
        <f>Tabela1[[#This Row],[Total Medals]]/Tabela1[[#This Row],[Total Quotas]]</f>
        <v>1</v>
      </c>
      <c r="V88" s="6">
        <f>COUNTIFS(Table3[Country],Tabela1[[#This Row],[Country]],Table3[Recurve Classification],"&gt;0")</f>
        <v>0</v>
      </c>
      <c r="W88" s="6">
        <f>COUNTIFS(Table33[Country],Tabela1[[#This Row],[Country]],Table33[Recurve Classification],"&gt;0")</f>
        <v>0</v>
      </c>
      <c r="X88" s="6">
        <f>COUNTIFS(Table35[Country],Tabela1[[#This Row],[Country]],Table35[Men''s Team Recurve Classification],"&gt;0")</f>
        <v>0</v>
      </c>
      <c r="Y88" s="6">
        <f>COUNTIFS(Table35[Country],Tabela1[[#This Row],[Country]],Table35[Women''s Team Recurve Classification],"&gt;0")</f>
        <v>0</v>
      </c>
      <c r="Z88" s="6">
        <f>COUNTIFS(Tabela88[Country],Tabela1[[#This Row],[Country]],Tabela88[Mixed Team Recurve Classification],"&gt;0")</f>
        <v>0</v>
      </c>
      <c r="AA88" s="6">
        <f>COUNTIFS(Table36[Country],Tabela1[[#This Row],[Country]],Table36[Classification],"&gt;0")</f>
        <v>0</v>
      </c>
      <c r="AB88" s="6">
        <f>COUNTIFS(Table37[Country],Tabela1[[#This Row],[Country]],Table37[Classification],"&gt;0")</f>
        <v>0</v>
      </c>
      <c r="AC88" s="6">
        <f>COUNTIFS(Table4[Country],Tabela1[[#This Row],[Country]],Table4[100m Classification],"&gt;0")</f>
        <v>0</v>
      </c>
      <c r="AD88" s="6">
        <f>COUNTIFS(Table5[Country],Tabela1[[#This Row],[Country]],Table5[100m Classification],"&gt;0")</f>
        <v>0</v>
      </c>
      <c r="AE88" s="6">
        <f>COUNTIFS(Table4[Country],Tabela1[[#This Row],[Country]],Table4[200m Classification],"&gt;0")</f>
        <v>0</v>
      </c>
      <c r="AF88" s="6">
        <f>COUNTIFS(Table5[Country],Tabela1[[#This Row],[Country]],Table5[200m Classification],"&gt;0")</f>
        <v>0</v>
      </c>
      <c r="AG88" s="6">
        <f>COUNTIFS(Table4[Country],Tabela1[[#This Row],[Country]],Table4[400m Classification],"&gt;0")</f>
        <v>0</v>
      </c>
      <c r="AH88" s="6">
        <f>COUNTIFS(Table5[Country],Tabela1[[#This Row],[Country]],Table5[400m Classification],"&gt;0")</f>
        <v>0</v>
      </c>
      <c r="AI88" s="6">
        <f>COUNTIFS(Table4[Country],Tabela1[[#This Row],[Country]],Table4[800m Classification],"&gt;0")</f>
        <v>0</v>
      </c>
      <c r="AJ88" s="6">
        <f>COUNTIFS(Table5[Country],Tabela1[[#This Row],[Country]],Table5[800m Classification],"&gt;0")</f>
        <v>0</v>
      </c>
      <c r="AK88" s="6">
        <f>COUNTIFS(Table4[Country],Tabela1[[#This Row],[Country]],Table4[1500m Classification],"&gt;0")</f>
        <v>0</v>
      </c>
      <c r="AL88" s="6">
        <f>COUNTIFS(Table5[Country],Tabela1[[#This Row],[Country]],Table5[1500m Classification],"&gt;0")</f>
        <v>0</v>
      </c>
      <c r="AM88" s="6">
        <f>COUNTIFS(Table4[Country],Tabela1[[#This Row],[Country]],Table4[5000m Classification],"&gt;0")</f>
        <v>0</v>
      </c>
      <c r="AN88" s="6">
        <f>COUNTIFS(Table5[Country],Tabela1[[#This Row],[Country]],Table5[5000m Classification],"&gt;0")</f>
        <v>0</v>
      </c>
      <c r="AO88" s="6">
        <f>COUNTIFS(Table4[Country],Tabela1[[#This Row],[Country]],Table4[10000m Classification],"&gt;0")</f>
        <v>0</v>
      </c>
      <c r="AP88" s="6">
        <f>COUNTIFS(Table5[Country],Tabela1[[#This Row],[Country]],Table5[10000m Classification],"&gt;0")</f>
        <v>0</v>
      </c>
      <c r="AQ88" s="6">
        <f>COUNTIFS(Table4[Country],Tabela1[[#This Row],[Country]],Table4[110m Hurdles Classification],"&gt;0")</f>
        <v>0</v>
      </c>
      <c r="AR88" s="6">
        <f>COUNTIFS(Table5[Country],Tabela1[[#This Row],[Country]],Table5[100m Hurdles Classification],"&gt;0")</f>
        <v>0</v>
      </c>
      <c r="AS88" s="6">
        <f>COUNTIFS(Table4[Country],Tabela1[[#This Row],[Country]],Table4[400m Hurdles Classification],"&gt;0")</f>
        <v>0</v>
      </c>
      <c r="AT88" s="6">
        <f>COUNTIFS(Table5[Country],Tabela1[[#This Row],[Country]],Table5[400m Hurdles Classification],"&gt;0")</f>
        <v>0</v>
      </c>
      <c r="AU88" s="6">
        <f>COUNTIFS(Table4[Country],Tabela1[[#This Row],[Country]],Table4[3000m Steeplechase Classification],"&gt;0")</f>
        <v>0</v>
      </c>
      <c r="AV88" s="6">
        <f>COUNTIFS(Table5[Country],Tabela1[[#This Row],[Country]],Table5[3000m Steeplechase Classification],"&gt;0")</f>
        <v>0</v>
      </c>
      <c r="AW88" s="6">
        <f>COUNTIFS(Table27[Country],Tabela1[[#This Row],[Country]],Table27[Men''s 4x100m Relay Classification],"&gt;0")</f>
        <v>0</v>
      </c>
      <c r="AX88" s="6">
        <f>COUNTIFS(Table27[Country],Tabela1[[#This Row],[Country]],Table27[Women''s 4x100m Relay Classification],"&gt;0")</f>
        <v>0</v>
      </c>
      <c r="AY88" s="6">
        <f>COUNTIFS(Table27[Country],Tabela1[[#This Row],[Country]],Table27[Men''s 4x400m Relay Classification],"&gt;0")</f>
        <v>0</v>
      </c>
      <c r="AZ88" s="6">
        <f>COUNTIFS(Table27[Country],Tabela1[[#This Row],[Country]],Table27[Women''s 4x400m Relay Classification],"&gt;0")</f>
        <v>0</v>
      </c>
      <c r="BA88" s="6">
        <f>COUNTIFS(Table27[Country],Tabela1[[#This Row],[Country]],Table27[Mixed 4x400m Relay Classification],"&gt;0")</f>
        <v>0</v>
      </c>
      <c r="BB88" s="6">
        <f>COUNTIFS(Table4[Country],Tabela1[[#This Row],[Country]],Table4[Marathon Classification],"&gt;0")</f>
        <v>0</v>
      </c>
      <c r="BC88" s="6">
        <f>COUNTIFS(Table5[Country],Tabela1[[#This Row],[Country]],Table5[Marathon Classification],"&gt;0")</f>
        <v>0</v>
      </c>
      <c r="BD88" s="6">
        <f>COUNTIFS(Table4[Country],Tabela1[[#This Row],[Country]],Table4[20km Race Walk Classification],"&gt;0")</f>
        <v>0</v>
      </c>
      <c r="BE88" s="6">
        <f>COUNTIFS(Table5[Country],Tabela1[[#This Row],[Country]],Table5[20km Race Walk Classification],"&gt;0")</f>
        <v>0</v>
      </c>
      <c r="BF88" s="6">
        <f>COUNTIFS(Tabela96[Country],Tabela1[[#This Row],[Country]],Tabela96[Mixed Marathon Race Walk Relay Classification],"&gt;0")</f>
        <v>0</v>
      </c>
      <c r="BG88" s="6">
        <f>COUNTIFS(Table4[Country],Tabela1[[#This Row],[Country]],Table4[Discus Throw Classification],"&gt;0")</f>
        <v>0</v>
      </c>
      <c r="BH88" s="6">
        <f>COUNTIFS(Table5[Country],Tabela1[[#This Row],[Country]],Table5[Discus Throw Classification],"&gt;0")</f>
        <v>0</v>
      </c>
      <c r="BI88" s="6">
        <f>COUNTIFS(Table4[Country],Tabela1[[#This Row],[Country]],Table4[Hammer Throw Classification],"&gt;0")</f>
        <v>0</v>
      </c>
      <c r="BJ88" s="6">
        <f>COUNTIFS(Table5[Country],Tabela1[[#This Row],[Country]],Table5[Hammer Throw Classification],"&gt;0")</f>
        <v>0</v>
      </c>
      <c r="BK88" s="6">
        <f>COUNTIFS(Table4[Country],Tabela1[[#This Row],[Country]],Table4[High Jump Classification],"&gt;0")</f>
        <v>0</v>
      </c>
      <c r="BL88" s="6">
        <f>COUNTIFS(Table5[Country],Tabela1[[#This Row],[Country]],Table5[High Jump Classification],"&gt;0")</f>
        <v>0</v>
      </c>
      <c r="BM88" s="6">
        <f>COUNTIFS(Table4[Country],Tabela1[[#This Row],[Country]],Table4[Javelin Throw Classification],"&gt;0")</f>
        <v>0</v>
      </c>
      <c r="BN88" s="6">
        <f>COUNTIFS(Table5[Country],Tabela1[[#This Row],[Country]],Table5[Javelin Throw Classification],"&gt;0")</f>
        <v>0</v>
      </c>
      <c r="BO88" s="6">
        <f>COUNTIFS(Table4[Country],Tabela1[[#This Row],[Country]],Table4[Long Jump Classification],"&gt;0")</f>
        <v>0</v>
      </c>
      <c r="BP88" s="6">
        <f>COUNTIFS(Table5[Country],Tabela1[[#This Row],[Country]],Table5[Long Jump Classification],"&gt;0")</f>
        <v>0</v>
      </c>
      <c r="BQ88" s="6">
        <f>COUNTIFS(Table4[Country],Tabela1[[#This Row],[Country]],Table4[Pole Vault Classification],"&gt;0")</f>
        <v>0</v>
      </c>
      <c r="BR88" s="6">
        <f>COUNTIFS(Table5[Country],Tabela1[[#This Row],[Country]],Table5[Pole Vault Classification],"&gt;0")</f>
        <v>0</v>
      </c>
      <c r="BS88" s="6">
        <f>COUNTIFS(Table4[Country],Tabela1[[#This Row],[Country]],Table4[Shot Put Classification],"&gt;0")</f>
        <v>0</v>
      </c>
      <c r="BT88" s="6">
        <f>COUNTIFS(Table5[Country],Tabela1[[#This Row],[Country]],Table5[Shot Put Classification],"&gt;0")</f>
        <v>0</v>
      </c>
      <c r="BU88" s="6">
        <f>COUNTIFS(Table4[Country],Tabela1[[#This Row],[Country]],Table4[Triple Jump Classification],"&gt;0")</f>
        <v>0</v>
      </c>
      <c r="BV88" s="6">
        <f>COUNTIFS(Table5[Country],Tabela1[[#This Row],[Country]],Table5[Triple Jump Classification],"&gt;0")</f>
        <v>0</v>
      </c>
      <c r="BW88" s="6">
        <f>COUNTIFS(Table4[Country],Tabela1[[#This Row],[Country]],Table4[Decathlon Classification],"&gt;0")</f>
        <v>0</v>
      </c>
      <c r="BX88" s="6">
        <f>COUNTIFS(Table5[Country],Tabela1[[#This Row],[Country]],Table5[Heptathlon Classification],"&gt;0")</f>
        <v>0</v>
      </c>
      <c r="BY88" s="6">
        <f>COUNTIFS(Table61[Country],Tabela1[[#This Row],[Country]],Table61[Classification],"&gt;0")</f>
        <v>0</v>
      </c>
      <c r="BZ88" s="6">
        <f>COUNTIFS(Table38[Country],Tabela1[[#This Row],[Country]],Table38[Classification],"&gt;0")</f>
        <v>0</v>
      </c>
      <c r="CA88" s="6">
        <f>COUNTIFS(Table39[Country],Tabela1[[#This Row],[Country]],Table39[Men''s Classification],"&gt;0")</f>
        <v>0</v>
      </c>
      <c r="CB88" s="6">
        <f>COUNTIFS(Table39[Country],Tabela1[[#This Row],[Country]],Table39[Women''s Classification],"&gt;0")</f>
        <v>0</v>
      </c>
      <c r="CC88" s="6">
        <f>COUNTIFS(Table39[Country],Tabela1[[#This Row],[Country]],Table39[Mixed Classification],"&gt;0")</f>
        <v>0</v>
      </c>
      <c r="CD88" s="6">
        <f>COUNTIFS(Table89[Country],Tabela1[[#This Row],[Country]],Table89[Men''s Classification],"&gt;0")</f>
        <v>0</v>
      </c>
      <c r="CE88" s="6">
        <f>COUNTIFS(Table89[Country],Tabela1[[#This Row],[Country]],Table89[Women''s Classification],"&gt;0")</f>
        <v>0</v>
      </c>
      <c r="CF88" s="6">
        <f>COUNTIFS(Table90[Country],Tabela1[[#This Row],[Country]],Table90[Men''s Classification],"&gt;0")</f>
        <v>0</v>
      </c>
      <c r="CG88" s="6">
        <f>COUNTIFS(Table90[Country],Tabela1[[#This Row],[Country]],Table90[Women''s Classification],"&gt;0")</f>
        <v>0</v>
      </c>
      <c r="CH88" s="6">
        <f>COUNTIFS(Table60[Country],Tabela1[[#This Row],[Country]],Table60[Men''s Classification],"&gt;0")</f>
        <v>0</v>
      </c>
      <c r="CI88" s="6">
        <f>COUNTIFS(Table60[Country],Tabela1[[#This Row],[Country]],Table60[Women''s Classification],"&gt;0")</f>
        <v>0</v>
      </c>
      <c r="CJ88" s="6">
        <f>COUNTIFS(Table6[Country],Tabela1[[#This Row],[Country]],Table6[51kg Classification],"&gt;0")</f>
        <v>0</v>
      </c>
      <c r="CK88" s="6">
        <f>COUNTIFS(Table6[Country],Tabela1[[#This Row],[Country]],Table6[57kg Classification],"&gt;0")</f>
        <v>0</v>
      </c>
      <c r="CL88" s="6">
        <f>COUNTIFS(Table6[Country],Tabela1[[#This Row],[Country]],Table6[63.5kg Classification],"&gt;0")</f>
        <v>0</v>
      </c>
      <c r="CM88" s="6">
        <f>COUNTIFS(Table6[Country],Tabela1[[#This Row],[Country]],Table6[71kg Classification],"&gt;0")</f>
        <v>0</v>
      </c>
      <c r="CN88" s="6">
        <f>COUNTIFS(Table6[Country],Tabela1[[#This Row],[Country]],Table6[80kg Classification],"&gt;0")</f>
        <v>0</v>
      </c>
      <c r="CO88" s="6">
        <f>COUNTIFS(Table6[Country],Tabela1[[#This Row],[Country]],Table6[92kg Classification],"&gt;0")</f>
        <v>0</v>
      </c>
      <c r="CP88" s="6">
        <f>COUNTIFS(Table6[Country],Tabela1[[#This Row],[Country]],Table6[Plus 92kg Classification],"&gt;0")</f>
        <v>0</v>
      </c>
      <c r="CQ88" s="6">
        <f>COUNTIFS(Table7[Country],Tabela1[[#This Row],[Country]],Table7[50kg Classification],"&gt;0")</f>
        <v>0</v>
      </c>
      <c r="CR88" s="6">
        <f>COUNTIFS(Table7[Country],Tabela1[[#This Row],[Country]],Table7[54kg Classification],"&gt;0")</f>
        <v>0</v>
      </c>
      <c r="CS88" s="6">
        <f>COUNTIFS(Table7[Country],Tabela1[[#This Row],[Country]],Table7[57kg Classification],"&gt;0")</f>
        <v>0</v>
      </c>
      <c r="CT88" s="6">
        <f>COUNTIFS(Table7[Country],Tabela1[[#This Row],[Country]],Table7[60kg Classification],"&gt;0")</f>
        <v>0</v>
      </c>
      <c r="CU88" s="6">
        <f>COUNTIFS(Table7[Country],Tabela1[[#This Row],[Country]],Table7[66kg Classification],"&gt;0")</f>
        <v>0</v>
      </c>
      <c r="CV88" s="6">
        <f>COUNTIFS(Table7[Country],Tabela1[[#This Row],[Country]],Table7[75kg Classification],"&gt;0")</f>
        <v>0</v>
      </c>
      <c r="CW88" s="6">
        <f>COUNTIFS(Tabela94[Country],Tabela1[[#This Row],[Country]],Tabela94[Classification],"&gt;0")</f>
        <v>0</v>
      </c>
      <c r="CX88" s="6">
        <f>COUNTIFS(Tabela9499[Country],Tabela1[[#This Row],[Country]],Tabela9499[Classification],"&gt;0")</f>
        <v>0</v>
      </c>
      <c r="CY88" s="6">
        <f>COUNTIFS(Tabela107[Country],Tabela1[[#This Row],[Country]],Tabela107[C1 Slalom Classification],"&gt;0")</f>
        <v>0</v>
      </c>
      <c r="CZ88" s="6">
        <f>COUNTIFS(Tabela107122[Country],Tabela1[[#This Row],[Country]],Tabela107122[C1 Slalom Classification],"&gt;0")</f>
        <v>0</v>
      </c>
      <c r="DA88" s="6">
        <f>COUNTIFS(Tabela107[Country],Tabela1[[#This Row],[Country]],Tabela107[K1 Slalom Classification],"&gt;0")</f>
        <v>0</v>
      </c>
      <c r="DB88" s="6">
        <f>COUNTIFS(Tabela107122[Country],Tabela1[[#This Row],[Country]],Tabela107122[K1 Slalom Classification],"&gt;0")</f>
        <v>0</v>
      </c>
      <c r="DC88" s="6">
        <f>COUNTIFS(Tabela107[Country],Tabela1[[#This Row],[Country]],Tabela107[Kayak Cross Slalom Classification],"&gt;0")</f>
        <v>0</v>
      </c>
      <c r="DD88" s="6">
        <f>COUNTIFS(Tabela107122[Country],Tabela1[[#This Row],[Country]],Tabela107122[Kayak Cross Slalom Classification],"&gt;0")</f>
        <v>0</v>
      </c>
      <c r="DE88" s="6">
        <f>COUNTIFS(Table8[Country],Tabela1[[#This Row],[Country]],Table8[C1 200m Classification],"&gt;0")</f>
        <v>0</v>
      </c>
      <c r="DF88" s="6">
        <f>COUNTIFS(Table40[Country],Tabela1[[#This Row],[Country]],Table40[C1 1000m Classification],"&gt;0")</f>
        <v>0</v>
      </c>
      <c r="DG88" s="6">
        <f>COUNTIFS(Table68[Country],Tabela1[[#This Row],[Country]],Table68[Men''s C2 500m Classification],"&gt;0")</f>
        <v>0</v>
      </c>
      <c r="DH88" s="6">
        <f>COUNTIFS(Table68[Country],Tabela1[[#This Row],[Country]],Table68[Women''s C2 500m Classification],"&gt;0")</f>
        <v>0</v>
      </c>
      <c r="DI88" s="6">
        <f>COUNTIFS(Table8[Country],Tabela1[[#This Row],[Country]],Table8[K1 500m Classification],"&gt;0")</f>
        <v>0</v>
      </c>
      <c r="DJ88" s="6">
        <f>COUNTIFS(Table40[Country],Tabela1[[#This Row],[Country]],Table40[K1 1000m Classification],"&gt;0")</f>
        <v>0</v>
      </c>
      <c r="DK88" s="6">
        <f>COUNTIFS(Table68[Country],Tabela1[[#This Row],[Country]],Table68[Men''s K2 500m Classification],"&gt;0")</f>
        <v>0</v>
      </c>
      <c r="DL88" s="6">
        <f>COUNTIFS(Table68[Country],Tabela1[[#This Row],[Country]],Table68[Women''s K2 500m Classification],"&gt;0")</f>
        <v>0</v>
      </c>
      <c r="DM88" s="6">
        <f>COUNTIFS(Table83[Country],Tabela1[[#This Row],[Country]],Table83[Men''s K4 500m Classification],"&gt;0")</f>
        <v>0</v>
      </c>
      <c r="DN88" s="6">
        <f>COUNTIFS(Table83[Country],Tabela1[[#This Row],[Country]],Table83[Women''s K4 500m Classification],"&gt;0")</f>
        <v>0</v>
      </c>
      <c r="DO88" s="6">
        <f>COUNTIFS(Tabela126[Country],Tabela1[[#This Row],[Country]],Tabela126[Classification],"&gt;0")</f>
        <v>0</v>
      </c>
      <c r="DP88" s="6">
        <f>COUNTIFS(Tabela126130[Country],Tabela1[[#This Row],[Country]],Tabela126130[Classification],"&gt;0")</f>
        <v>0</v>
      </c>
      <c r="DQ88" s="6">
        <f>COUNTIFS(Table70[Country],Tabela1[[#This Row],[Country]],Table70[Classification],"&gt;0")</f>
        <v>0</v>
      </c>
      <c r="DR88" s="6">
        <f>COUNTIFS(Table80[Country],Tabela1[[#This Row],[Country]],Table80[Classification],"&gt;0")</f>
        <v>0</v>
      </c>
      <c r="DS88" s="6">
        <f>COUNTIFS(Table66[Country],Tabela1[[#This Row],[Country]],Table66[Classification],"&gt;0")</f>
        <v>0</v>
      </c>
      <c r="DT88" s="6">
        <f>COUNTIFS(Table67[Country],Tabela1[[#This Row],[Country]],Table67[Classification],"&gt;0")</f>
        <v>0</v>
      </c>
      <c r="DU88" s="6">
        <f>COUNTIFS(Table69[Country],Tabela1[[#This Row],[Country]],Table69[Keirin Classification],"&gt;0")</f>
        <v>0</v>
      </c>
      <c r="DV88" s="6">
        <f>COUNTIFS(Table41[Country],Tabela1[[#This Row],[Country]],Table41[Keirin Classification],"&gt;0")</f>
        <v>0</v>
      </c>
      <c r="DW88" s="6">
        <f>COUNTIFS(Table84[Country],Tabela1[[#This Row],[Country]],Table84[Men''s Madison Classification],"&gt;0")</f>
        <v>0</v>
      </c>
      <c r="DX88" s="6">
        <f>COUNTIFS(Table84[Country],Tabela1[[#This Row],[Country]],Table84[Women''s Madison Classification],"&gt;0")</f>
        <v>0</v>
      </c>
      <c r="DY88" s="6">
        <f>COUNTIFS(Table69[Country],Tabela1[[#This Row],[Country]],Table69[Omnium Classification],"&gt;0")</f>
        <v>0</v>
      </c>
      <c r="DZ88" s="6">
        <f>COUNTIFS(Table41[Country],Tabela1[[#This Row],[Country]],Table41[Omnium Classification],"&gt;0")</f>
        <v>0</v>
      </c>
      <c r="EA88" s="6">
        <f>COUNTIFS(Table9[Country],Tabela1[[#This Row],[Country]],Table9[Road Race Classification],"&gt;0")</f>
        <v>0</v>
      </c>
      <c r="EB88" s="6">
        <f>COUNTIFS(Table14[Country],Tabela1[[#This Row],[Country]],Table14[Road Race Classification],"&gt;0")</f>
        <v>0</v>
      </c>
      <c r="EC88" s="6">
        <f>COUNTIFS(Table69[Country],Tabela1[[#This Row],[Country]],Table69[Sprint Classification],"&gt;0")</f>
        <v>0</v>
      </c>
      <c r="ED88" s="6">
        <f>COUNTIFS(Table41[Country],Tabela1[[#This Row],[Country]],Table41[Sprint Classification],"&gt;0")</f>
        <v>0</v>
      </c>
      <c r="EE88" s="6">
        <f>COUNTIFS(Table85[Country],Tabela1[[#This Row],[Country]],Table85[Men''s Sprint Classification],"&gt;0")</f>
        <v>0</v>
      </c>
      <c r="EF88" s="6">
        <f>COUNTIFS(Table85[Country],Tabela1[[#This Row],[Country]],Table85[Women''s Sprint Classification],"&gt;0")</f>
        <v>0</v>
      </c>
      <c r="EG88" s="6">
        <f>COUNTIFS(Table85[Country],Tabela1[[#This Row],[Country]],Table85[Men''s Pursuit Classification],"&gt;0")</f>
        <v>0</v>
      </c>
      <c r="EH88" s="6">
        <f>COUNTIFS(Table85[Country],Tabela1[[#This Row],[Country]],Table85[Women''s Pursuit Classification],"&gt;0")</f>
        <v>0</v>
      </c>
      <c r="EI88" s="6">
        <f>COUNTIFS(Table9[Country],Tabela1[[#This Row],[Country]],Table9[Time-Trial Classification],"&gt;0")</f>
        <v>0</v>
      </c>
      <c r="EJ88" s="6">
        <f>COUNTIFS(Table14[Country],Tabela1[[#This Row],[Country]],Table14[Time-Trial Classification],"&gt;0")</f>
        <v>0</v>
      </c>
      <c r="EK88" s="6">
        <f>COUNTIFS(Table42[Country],Tabela1[[#This Row],[Country]],Table42[Springboard Classification],"&gt;0")</f>
        <v>0</v>
      </c>
      <c r="EL88" s="6">
        <f>COUNTIFS(Table43[Country],Tabela1[[#This Row],[Country]],Table43[Springboard Classification],"&gt;0")</f>
        <v>0</v>
      </c>
      <c r="EM88" s="6">
        <f>COUNTIFS(Table42[Country],Tabela1[[#This Row],[Country]],Table42[Platform Classification],"&gt;0")</f>
        <v>0</v>
      </c>
      <c r="EN88" s="6">
        <f>COUNTIFS(Table43[Country],Tabela1[[#This Row],[Country]],Table43[Platform Classification],"&gt;0")</f>
        <v>0</v>
      </c>
      <c r="EO88" s="6">
        <f>COUNTIFS(Table86[Country],Tabela1[[#This Row],[Country]],Table86[Men''s Synchronized Springboard Classification],"&gt;0")</f>
        <v>0</v>
      </c>
      <c r="EP88" s="6">
        <f>COUNTIFS(Table86[Country],Tabela1[[#This Row],[Country]],Table86[Women''s Synchronized Springboard Classification],"&gt;0")</f>
        <v>0</v>
      </c>
      <c r="EQ88" s="6">
        <f>COUNTIFS(Table86[Country],Tabela1[[#This Row],[Country]],Table86[Men''s Synchronized Platform Classification],"&gt;0")</f>
        <v>0</v>
      </c>
      <c r="ER88" s="6">
        <f>COUNTIFS(Table86[Country],Tabela1[[#This Row],[Country]],Table86[Women''s Synchronized Platform Classification],"&gt;0")</f>
        <v>0</v>
      </c>
      <c r="ES88" s="6">
        <f>COUNTIFS(Table44[Country],Tabela1[[#This Row],[Country]],Table44[Dressage Classification],"&gt;0")</f>
        <v>0</v>
      </c>
      <c r="ET88" s="6">
        <f>COUNTIFS(Table45[Country],Tabela1[[#This Row],[Country]],Table45[Dressage Classification],"&gt;0")</f>
        <v>0</v>
      </c>
      <c r="EU88" s="6">
        <f>COUNTIFS(Table44[Country],Tabela1[[#This Row],[Country]],Table44[Eventing Classification],"&gt;0")</f>
        <v>0</v>
      </c>
      <c r="EV88" s="6">
        <f>COUNTIFS(Table45[Country],Tabela1[[#This Row],[Country]],Table45[Eventing Classification],"&gt;0")</f>
        <v>0</v>
      </c>
      <c r="EW88" s="6">
        <f>COUNTIFS(Table44[Country],Tabela1[[#This Row],[Country]],Table44[Jumping Classification],"&gt;0")</f>
        <v>0</v>
      </c>
      <c r="EX88" s="6">
        <f>COUNTIFS(Table45[Country],Tabela1[[#This Row],[Country]],Table45[Jumping Classification],"&gt;0")</f>
        <v>0</v>
      </c>
      <c r="EY88" s="6">
        <f>COUNTIFS(Table10[Country],Tabela1[[#This Row],[Country]],Table10[Épée Classification],"&gt;0")</f>
        <v>0</v>
      </c>
      <c r="EZ88" s="6">
        <f>COUNTIFS(Table11[Country],Tabela1[[#This Row],[Country]],Table11[Épée Classification],"&gt;0")</f>
        <v>0</v>
      </c>
      <c r="FA88" s="6">
        <f>COUNTIFS(Table46[Country],Tabela1[[#This Row],[Country]],Table46[Men''s Épée Classification],"&gt;0")</f>
        <v>0</v>
      </c>
      <c r="FB88" s="6">
        <f>COUNTIFS(Table46[Country],Tabela1[[#This Row],[Country]],Table46[Women''s Épée Classification],"&gt;0")</f>
        <v>0</v>
      </c>
      <c r="FC88" s="6">
        <f>COUNTIFS(Table10[Country],Tabela1[[#This Row],[Country]],Table10[Foil Classification],"&gt;0")</f>
        <v>0</v>
      </c>
      <c r="FD88" s="6">
        <f>COUNTIFS(Table11[Country],Tabela1[[#This Row],[Country]],Table11[Foil Classification],"&gt;0")</f>
        <v>0</v>
      </c>
      <c r="FE88" s="6">
        <f>COUNTIFS(Table46[Country],Tabela1[[#This Row],[Country]],Table46[Men''s Foil Classification],"&gt;0")</f>
        <v>0</v>
      </c>
      <c r="FF88" s="6">
        <f>COUNTIFS(Table46[Country],Tabela1[[#This Row],[Country]],Table46[Women''s Foil Classification],"&gt;0")</f>
        <v>0</v>
      </c>
      <c r="FG88" s="6">
        <f>COUNTIFS(Table10[Country],Tabela1[[#This Row],[Country]],Table10[Sabre Classification],"&gt;0")</f>
        <v>0</v>
      </c>
      <c r="FH88" s="6">
        <f>COUNTIFS(Table11[Country],Tabela1[[#This Row],[Country]],Table11[Sabre Classification],"&gt;0")</f>
        <v>0</v>
      </c>
      <c r="FI88" s="6">
        <f>COUNTIFS(Table46[Country],Tabela1[[#This Row],[Country]],Table46[Men''s Sabre Classification],"&gt;0")</f>
        <v>0</v>
      </c>
      <c r="FJ88" s="6">
        <f>COUNTIFS(Table46[Country],Tabela1[[#This Row],[Country]],Table46[Women''s Sabre Classification],"&gt;0")</f>
        <v>0</v>
      </c>
      <c r="FK88" s="6">
        <f>COUNTIFS(Table91[Country],Tabela1[[#This Row],[Country]],Table91[Men''s Classification],"&gt;0")</f>
        <v>0</v>
      </c>
      <c r="FL88" s="6">
        <f>COUNTIFS(Table91[Country],Tabela1[[#This Row],[Country]],Table91[Women''s Classification],"&gt;0")</f>
        <v>0</v>
      </c>
      <c r="FM88" s="6">
        <f>COUNTIFS(Table9194[Country],Tabela1[[#This Row],[Country]],Table9194[Men''s Classification],"&gt;0")</f>
        <v>0</v>
      </c>
      <c r="FN88" s="6">
        <f>COUNTIFS(Table9194[Country],Tabela1[[#This Row],[Country]],Table9194[Women''s Classification],"&gt;0")</f>
        <v>0</v>
      </c>
      <c r="FO88" s="6">
        <f>COUNTIFS(Table71[Country],Tabela1[[#This Row],[Country]],Table71[Classification],"&gt;0")</f>
        <v>0</v>
      </c>
      <c r="FP88" s="6">
        <f>COUNTIFS(Table62[Country],Tabela1[[#This Row],[Country]],Table62[Classification],"&gt;0")</f>
        <v>0</v>
      </c>
      <c r="FQ88" s="6">
        <f>COUNTIFS(Table47[Country],Tabela1[[#This Row],[Country]],Table47[All-Around Classification],"&gt;0")</f>
        <v>0</v>
      </c>
      <c r="FR88" s="6">
        <f>COUNTIFS(Table48[Country],Tabela1[[#This Row],[Country]],Table48[All-Around Classification],"&gt;0")</f>
        <v>1</v>
      </c>
      <c r="FS88" s="6">
        <f>COUNTIFS(Table81[Country],Tabela1[[#This Row],[Country]],Table81[Men''s All-Around Classification],"&gt;0")</f>
        <v>0</v>
      </c>
      <c r="FT88" s="6">
        <f>COUNTIFS(Table81[Country],Tabela1[[#This Row],[Country]],Table81[Women''s All-Around Classification],"&gt;0")</f>
        <v>0</v>
      </c>
      <c r="FU88" s="6">
        <f>COUNTIFS(Table48[Country],Tabela1[[#This Row],[Country]],Table48[Balance Beam Classification],"&gt;0")</f>
        <v>1</v>
      </c>
      <c r="FV88" s="6">
        <f>COUNTIFS(Table47[Country],Tabela1[[#This Row],[Country]],Table47[Floor Exercise Classification],"&gt;0")</f>
        <v>0</v>
      </c>
      <c r="FW88" s="6">
        <f>COUNTIFS(Table48[Country],Tabela1[[#This Row],[Country]],Table48[Floor Exercise Classification],"&gt;0")</f>
        <v>1</v>
      </c>
      <c r="FX88" s="6">
        <f>COUNTIFS(Table47[Country],Tabela1[[#This Row],[Country]],Table47[Horizontal Bar Classification],"&gt;0")</f>
        <v>0</v>
      </c>
      <c r="FY88" s="6">
        <f>COUNTIFS(Table47[Country],Tabela1[[#This Row],[Country]],Table47[Parallel Bars Classification],"&gt;0")</f>
        <v>0</v>
      </c>
      <c r="FZ88" s="6">
        <f>COUNTIFS(Table47[Country],Tabela1[[#This Row],[Country]],Table47[Pommel Horse Classification],"&gt;0")</f>
        <v>0</v>
      </c>
      <c r="GA88" s="6">
        <f>COUNTIFS(Table47[Country],Tabela1[[#This Row],[Country]],Table47[Rings Classification],"&gt;0")</f>
        <v>0</v>
      </c>
      <c r="GB88" s="6">
        <f>COUNTIFS(Tabela132[Country],Tabela1[[#This Row],[Country]],Tabela132[Classification],"&gt;0")</f>
        <v>0</v>
      </c>
      <c r="GC88" s="6">
        <f>COUNTIFS(Tabela139[Country],Tabela1[[#This Row],[Country]],Tabela139[Classification],"&gt;0")</f>
        <v>0</v>
      </c>
      <c r="GD88" s="6">
        <f>COUNTIFS(Table48[Country],Tabela1[[#This Row],[Country]],Table48[Uneven Bars Classification],"&gt;0")</f>
        <v>1</v>
      </c>
      <c r="GE88" s="6">
        <f>COUNTIFS(Table47[Country],Tabela1[[#This Row],[Country]],Table47[Vault Classification],"&gt;0")</f>
        <v>0</v>
      </c>
      <c r="GF88" s="6">
        <f>COUNTIFS(Table48[Country],Tabela1[[#This Row],[Country]],Table48[Vault Classification],"&gt;0")</f>
        <v>0</v>
      </c>
      <c r="GG88" s="6">
        <f>COUNTIFS(Table919496[Country],Tabela1[[#This Row],[Country]],Table919496[Men''s Classification],"&gt;0")</f>
        <v>0</v>
      </c>
      <c r="GH88" s="6">
        <f>COUNTIFS(Table919496[Country],Tabela1[[#This Row],[Country]],Table919496[Women''s Classification],"&gt;0")</f>
        <v>0</v>
      </c>
      <c r="GI88" s="6">
        <f>COUNTIFS(Table12[Country],Tabela1[[#This Row],[Country]],Table12[60kg Classification],"&gt;0")</f>
        <v>0</v>
      </c>
      <c r="GJ88" s="6">
        <f>COUNTIFS(Table12[Country],Tabela1[[#This Row],[Country]],Table12[66kg Classification],"&gt;0")</f>
        <v>0</v>
      </c>
      <c r="GK88" s="6">
        <f>COUNTIFS(Table12[Country],Tabela1[[#This Row],[Country]],Table12[73kg Classification],"&gt;0")</f>
        <v>0</v>
      </c>
      <c r="GL88" s="6">
        <f>COUNTIFS(Table12[Country],Tabela1[[#This Row],[Country]],Table12[81kg Classification],"&gt;0")</f>
        <v>0</v>
      </c>
      <c r="GM88" s="6">
        <f>COUNTIFS(Table12[Country],Tabela1[[#This Row],[Country]],Table12[90kg Classification],"&gt;0")</f>
        <v>0</v>
      </c>
      <c r="GN88" s="6">
        <f>COUNTIFS(Table12[Country],Tabela1[[#This Row],[Country]],Table12[100kg Classification],"&gt;0")</f>
        <v>0</v>
      </c>
      <c r="GO88" s="6">
        <f>COUNTIFS(Table12[Country],Tabela1[[#This Row],[Country]],Table12[Plus 100kg Classification],"&gt;0")</f>
        <v>0</v>
      </c>
      <c r="GP88" s="6">
        <f>COUNTIFS(Table13[Country],Tabela1[[#This Row],[Country]],Table13[48kg Classification],"&gt;0")</f>
        <v>0</v>
      </c>
      <c r="GQ88" s="6">
        <f>COUNTIFS(Table13[Country],Tabela1[[#This Row],[Country]],Table13[52kg Classification],"&gt;0")</f>
        <v>0</v>
      </c>
      <c r="GR88" s="6">
        <f>COUNTIFS(Table13[Country],Tabela1[[#This Row],[Country]],Table13[57kg Classification],"&gt;0")</f>
        <v>0</v>
      </c>
      <c r="GS88" s="6">
        <f>COUNTIFS(Table13[Country],Tabela1[[#This Row],[Country]],Table13[63kg Classification],"&gt;0")</f>
        <v>0</v>
      </c>
      <c r="GT88" s="6">
        <f>COUNTIFS(Table13[Country],Tabela1[[#This Row],[Country]],Table13[70kg Classification],"&gt;0")</f>
        <v>0</v>
      </c>
      <c r="GU88" s="6">
        <f>COUNTIFS(Table13[Country],Tabela1[[#This Row],[Country]],Table13[78kg Classification],"&gt;0")</f>
        <v>0</v>
      </c>
      <c r="GV88" s="6">
        <f>COUNTIFS(Table13[Country],Tabela1[[#This Row],[Country]],Table13[Plus 78kg Classification],"&gt;0")</f>
        <v>0</v>
      </c>
      <c r="GW88" s="6">
        <f>COUNTIFS(Table82[Country],Tabela1[[#This Row],[Country]],Table82[Mixed Classification],"&gt;0")</f>
        <v>0</v>
      </c>
      <c r="GX88" s="6">
        <f>COUNTIFS(Table51[Country],Tabela1[[#This Row],[Country]],Table51[Classification],"&gt;0")</f>
        <v>0</v>
      </c>
      <c r="GY88" s="6">
        <f>COUNTIFS(Table52[Country],Tabela1[[#This Row],[Country]],Table52[Classification],"&gt;0")</f>
        <v>0</v>
      </c>
      <c r="GZ88" s="6">
        <f>COUNTIFS(Table32[Country],Tabela1[[#This Row],[Country]],Table32[All-Around Classification],"&gt;0")</f>
        <v>0</v>
      </c>
      <c r="HA88" s="6">
        <f>COUNTIFS(Table49[Country],Tabela1[[#This Row],[Country]],Table49[All-Around Classification],"&gt;0")</f>
        <v>0</v>
      </c>
      <c r="HB88" s="6">
        <f>COUNTIFS(Table26[Country],Tabela1[[#This Row],[Country]],Table26[Single Sculls Classification],"&gt;0")</f>
        <v>0</v>
      </c>
      <c r="HC88" s="6">
        <f>COUNTIFS(Table63[Country],Tabela1[[#This Row],[Country]],Table63[Single Sculls Classification],"&gt;0")</f>
        <v>0</v>
      </c>
      <c r="HD88" s="6">
        <f>COUNTIFS(Table16[Country],Tabela1[[#This Row],[Country]],Table16[Men''s Double Sculls Classification],"&gt;0")</f>
        <v>0</v>
      </c>
      <c r="HE88" s="6">
        <f>COUNTIFS(Table16[Country],Tabela1[[#This Row],[Country]],Table16[Women''s Double Sculls Classification],"&gt;0")</f>
        <v>0</v>
      </c>
      <c r="HF88" s="6">
        <f>COUNTIFS(Table72[Country],Tabela1[[#This Row],[Country]],Table72[Men''s Quadruple Sculls Classification],"&gt;0")</f>
        <v>0</v>
      </c>
      <c r="HG88" s="6">
        <f>COUNTIFS(Table72[Country],Tabela1[[#This Row],[Country]],Table72[Women''s Quadruple Sculls Classification],"&gt;0")</f>
        <v>0</v>
      </c>
      <c r="HH88" s="6">
        <f>COUNTIFS(Table16[Country],Tabela1[[#This Row],[Country]],Table16[Men''s Coxless Pairs Classification],"&gt;0")</f>
        <v>0</v>
      </c>
      <c r="HI88" s="6">
        <f>COUNTIFS(Table16[Country],Tabela1[[#This Row],[Country]],Table16[Women''s Coxless Pairs Classification],"&gt;0")</f>
        <v>0</v>
      </c>
      <c r="HJ88" s="6">
        <f>COUNTIFS(Table72[Country],Tabela1[[#This Row],[Country]],Table72[Men''s Coxless Fours Classification],"&gt;0")</f>
        <v>0</v>
      </c>
      <c r="HK88" s="6">
        <f>COUNTIFS(Table72[Country],Tabela1[[#This Row],[Country]],Table72[Women''s Coxless Fours Classification],"&gt;0")</f>
        <v>0</v>
      </c>
      <c r="HL88" s="6">
        <f>COUNTIFS(Table72[Country],Tabela1[[#This Row],[Country]],Table72[Men''s Eights Classification],"&gt;0")</f>
        <v>0</v>
      </c>
      <c r="HM88" s="6">
        <f>COUNTIFS(Table72[Country],Tabela1[[#This Row],[Country]],Table72[Women''s Eights Classification],"&gt;0")</f>
        <v>0</v>
      </c>
      <c r="HN88" s="6">
        <f>COUNTIFS(Table16[Country],Tabela1[[#This Row],[Country]],Table16[Men''s Lwt. Double Sculls Classification],"&gt;0")</f>
        <v>0</v>
      </c>
      <c r="HO88" s="6">
        <f>COUNTIFS(Table16[Country],Tabela1[[#This Row],[Country]],Table16[Women''s Lwt. Double Sculls Classification],"&gt;0")</f>
        <v>0</v>
      </c>
      <c r="HP88" s="6">
        <f>COUNTIFS(Table91949698[Country],Tabela1[[#This Row],[Country]],Table91949698[Men''s Classification],"&gt;0")</f>
        <v>0</v>
      </c>
      <c r="HQ88" s="6">
        <f>COUNTIFS(Table91949698[Country],Tabela1[[#This Row],[Country]],Table91949698[Women''s Classification],"&gt;0")</f>
        <v>0</v>
      </c>
      <c r="HR88" s="6">
        <f>COUNTIFS(Table25[Country],Tabela1[[#This Row],[Country]],Table25[Mixed 470 Classification],"&gt;0")</f>
        <v>0</v>
      </c>
      <c r="HS88" s="6">
        <f>COUNTIFS(Table25[Country],Tabela1[[#This Row],[Country]],Table25[Men''s 49er Classification],"&gt;0")</f>
        <v>0</v>
      </c>
      <c r="HT88" s="6">
        <f>COUNTIFS(Table25[Country],Tabela1[[#This Row],[Country]],Table25[Women''s 49er FX Classification],"&gt;0")</f>
        <v>0</v>
      </c>
      <c r="HU88" s="6">
        <f>COUNTIFS(Table17[Country],Tabela1[[#This Row],[Country]],Table17[Formula Kite Classification],"&gt;0")</f>
        <v>0</v>
      </c>
      <c r="HV88" s="6">
        <f>COUNTIFS(Table18[Country],Tabela1[[#This Row],[Country]],Table18[Formula Kite Classification],"&gt;0")</f>
        <v>0</v>
      </c>
      <c r="HW88" s="6">
        <f>COUNTIFS(Table17[Country],Tabela1[[#This Row],[Country]],Table17[ILCA 7 Classification],"&gt;0")</f>
        <v>0</v>
      </c>
      <c r="HX88" s="6">
        <f>COUNTIFS(Table18[Country],Tabela1[[#This Row],[Country]],Table18[ILCA 6 Classification],"&gt;0")</f>
        <v>0</v>
      </c>
      <c r="HY88" s="6">
        <f>COUNTIFS(Table17[Country],Tabela1[[#This Row],[Country]],Table17[IQFoil Classification],"&gt;0")</f>
        <v>0</v>
      </c>
      <c r="HZ88" s="6">
        <f>COUNTIFS(Table18[Country],Tabela1[[#This Row],[Country]],Table18[IQFoil Classification],"&gt;0")</f>
        <v>0</v>
      </c>
      <c r="IA88" s="6">
        <f>COUNTIFS(Table25[Country],Tabela1[[#This Row],[Country]],Table25[Mixed Nacra 17 Classification],"&gt;0")</f>
        <v>0</v>
      </c>
      <c r="IB88" s="6">
        <f>COUNTIFS(Table53[Country],Tabela1[[#This Row],[Country]],Table53[10m Air Pistol Classification],"&gt;0")</f>
        <v>0</v>
      </c>
      <c r="IC88" s="6">
        <f>COUNTIFS(Table19[Country],Tabela1[[#This Row],[Country]],Table19[10m Air Pistol Classification],"&gt;0")</f>
        <v>0</v>
      </c>
      <c r="ID88" s="6">
        <f>COUNTIFS(Table54[Country],Tabela1[[#This Row],[Country]],Table54[Mixed 10m Air Pistol Team Classification],"&gt;0")</f>
        <v>0</v>
      </c>
      <c r="IE88" s="6">
        <f>COUNTIFS(Table53[Country],Tabela1[[#This Row],[Country]],Table53[10m Air Rifle Classification],"&gt;0")</f>
        <v>0</v>
      </c>
      <c r="IF88" s="6">
        <f>COUNTIFS(Table19[Country],Tabela1[[#This Row],[Country]],Table19[10m Air Rifle Classification],"&gt;0")</f>
        <v>0</v>
      </c>
      <c r="IG88" s="6">
        <f>COUNTIFS(Table54[Country],Tabela1[[#This Row],[Country]],Table54[Mixed 10m Air Rifle Team Classification],"&gt;0")</f>
        <v>0</v>
      </c>
      <c r="IH88" s="6">
        <f>COUNTIFS(Table53[Country],Tabela1[[#This Row],[Country]],Table53[25m Rapid Fire Pistol Classification],"&gt;0")</f>
        <v>0</v>
      </c>
      <c r="II88" s="6">
        <f>COUNTIFS(Table19[Country],Tabela1[[#This Row],[Country]],Table19[25m Pistol Classification],"&gt;0")</f>
        <v>0</v>
      </c>
      <c r="IJ88" s="6">
        <f>COUNTIFS(Table53[Country],Tabela1[[#This Row],[Country]],Table53[50m Rifle 3 Positions Classification],"&gt;0")</f>
        <v>0</v>
      </c>
      <c r="IK88" s="6">
        <f>COUNTIFS(Table19[Country],Tabela1[[#This Row],[Country]],Table19[50m Rifle 3 Positions Classification],"&gt;0")</f>
        <v>0</v>
      </c>
      <c r="IL88" s="6">
        <f>COUNTIFS(Table53[Country],Tabela1[[#This Row],[Country]],Table53[Skeet Classification],"&gt;0")</f>
        <v>0</v>
      </c>
      <c r="IM88" s="6">
        <f>COUNTIFS(Table19[Country],Tabela1[[#This Row],[Country]],Table19[Skeet Classification],"&gt;0")</f>
        <v>0</v>
      </c>
      <c r="IN88" s="6">
        <f>COUNTIFS(Table54[Country],Tabela1[[#This Row],[Country]],Table54[Mixed Skeet Team Classification],"&gt;0")</f>
        <v>0</v>
      </c>
      <c r="IO88" s="6">
        <f>COUNTIFS(Table53[Country],Tabela1[[#This Row],[Country]],Table53[Trap Classification],"&gt;0")</f>
        <v>0</v>
      </c>
      <c r="IP88" s="6">
        <f>COUNTIFS(Table19[Country],Tabela1[[#This Row],[Country]],Table19[Trap Classification],"&gt;0")</f>
        <v>0</v>
      </c>
      <c r="IQ88" s="6">
        <f>COUNTIFS(Table73[Country],Tabela1[[#This Row],[Country]],Table73[Park Classification],"&gt;0")</f>
        <v>0</v>
      </c>
      <c r="IR88" s="6">
        <f>COUNTIFS(Table74[Country],Tabela1[[#This Row],[Country]],Table74[Park Classification],"&gt;0")</f>
        <v>0</v>
      </c>
      <c r="IS88" s="6">
        <f>COUNTIFS(Table73[Country],Tabela1[[#This Row],[Country]],Table73[Street Classification],"&gt;0")</f>
        <v>0</v>
      </c>
      <c r="IT88" s="6">
        <f>COUNTIFS(Table74[Country],Tabela1[[#This Row],[Country]],Table74[Street Classification],"&gt;0")</f>
        <v>0</v>
      </c>
      <c r="IU88" s="6">
        <f>COUNTIFS(Table75[Country],Tabela1[[#This Row],[Country]],Table75[Boulder and Lead Classification],"&gt;0")</f>
        <v>0</v>
      </c>
      <c r="IV88" s="6">
        <f>COUNTIFS(Table76[Country],Tabela1[[#This Row],[Country]],Table76[Boulder and Lead Classification],"&gt;0")</f>
        <v>0</v>
      </c>
      <c r="IW88" s="6">
        <f>COUNTIFS(Table75[Country],Tabela1[[#This Row],[Country]],Table75[Speed Classification],"&gt;0")</f>
        <v>0</v>
      </c>
      <c r="IX88" s="6">
        <f>COUNTIFS(Table76[Country],Tabela1[[#This Row],[Country]],Table76[Speed Classification],"&gt;0")</f>
        <v>0</v>
      </c>
      <c r="IY88" s="6">
        <f>COUNTIFS(Table64[Country],Tabela1[[#This Row],[Country]],Table64[Shortboard Classification],"&gt;0")</f>
        <v>0</v>
      </c>
      <c r="IZ88" s="6">
        <f>COUNTIFS(Table77[Country],Tabela1[[#This Row],[Country]],Table77[Shortboard Classification],"&gt;0")</f>
        <v>0</v>
      </c>
      <c r="JA88" s="6">
        <f>COUNTIFS(Table20[Country],Tabela1[[#This Row],[Country]],Table20[50m Freestyle Classification],"&gt;0")</f>
        <v>0</v>
      </c>
      <c r="JB88" s="6">
        <f>COUNTIFS(Table21[Country],Tabela1[[#This Row],[Country]],Table21[50m Freestyle Classification],"&gt;0")</f>
        <v>0</v>
      </c>
      <c r="JC88" s="6">
        <f>COUNTIFS(Table20[Country],Tabela1[[#This Row],[Country]],Table20[100m Freestyle Classification],"&gt;0")</f>
        <v>0</v>
      </c>
      <c r="JD88" s="6">
        <f>COUNTIFS(Table21[Country],Tabela1[[#This Row],[Country]],Table21[100m Freestyle Classification],"&gt;0")</f>
        <v>0</v>
      </c>
      <c r="JE88" s="6">
        <f>COUNTIFS(Table20[Country],Tabela1[[#This Row],[Country]],Table20[200m Freestyle Classification],"&gt;0")</f>
        <v>0</v>
      </c>
      <c r="JF88" s="6">
        <f>COUNTIFS(Table21[Country],Tabela1[[#This Row],[Country]],Table21[200m Freestyle Classification],"&gt;0")</f>
        <v>0</v>
      </c>
      <c r="JG88" s="6">
        <f>COUNTIFS(Table20[Country],Tabela1[[#This Row],[Country]],Table20[400m Freestyle Classification],"&gt;0")</f>
        <v>0</v>
      </c>
      <c r="JH88" s="6">
        <f>COUNTIFS(Table21[Country],Tabela1[[#This Row],[Country]],Table21[400m Freestyle Classification],"&gt;0")</f>
        <v>0</v>
      </c>
      <c r="JI88" s="6">
        <f>COUNTIFS(Table20[Country],Tabela1[[#This Row],[Country]],Table20[800m Freestyle Classification],"&gt;0")</f>
        <v>0</v>
      </c>
      <c r="JJ88" s="6">
        <f>COUNTIFS(Table21[Country],Tabela1[[#This Row],[Country]],Table21[800m Freestyle Classification],"&gt;0")</f>
        <v>0</v>
      </c>
      <c r="JK88" s="6">
        <f>COUNTIFS(Table20[Country],Tabela1[[#This Row],[Country]],Table20[1500m Freestyle Classification],"&gt;0")</f>
        <v>0</v>
      </c>
      <c r="JL88" s="6">
        <f>COUNTIFS(Table21[Country],Tabela1[[#This Row],[Country]],Table21[1500m Freestyle Classification],"&gt;0")</f>
        <v>0</v>
      </c>
      <c r="JM88" s="6">
        <f>COUNTIFS(Table20[Country],Tabela1[[#This Row],[Country]],Table20[100m Backstroke Classification],"&gt;0")</f>
        <v>0</v>
      </c>
      <c r="JN88" s="6">
        <f>COUNTIFS(Table21[Country],Tabela1[[#This Row],[Country]],Table21[100m Backstroke Classification],"&gt;0")</f>
        <v>0</v>
      </c>
      <c r="JO88" s="6">
        <f>COUNTIFS(Table20[Country],Tabela1[[#This Row],[Country]],Table20[200m Backstroke Classification],"&gt;0")</f>
        <v>0</v>
      </c>
      <c r="JP88" s="6">
        <f>COUNTIFS(Table21[Country],Tabela1[[#This Row],[Country]],Table21[200m Backstroke Classification],"&gt;0")</f>
        <v>0</v>
      </c>
      <c r="JQ88" s="6">
        <f>COUNTIFS(Table20[Country],Tabela1[[#This Row],[Country]],Table20[100m Breaststroke Classification],"&gt;0")</f>
        <v>0</v>
      </c>
      <c r="JR88" s="6">
        <f>COUNTIFS(Table21[Country],Tabela1[[#This Row],[Country]],Table21[100m Breaststroke Classification],"&gt;0")</f>
        <v>0</v>
      </c>
      <c r="JS88" s="6">
        <f>COUNTIFS(Table20[Country],Tabela1[[#This Row],[Country]],Table20[200m Breaststroke Classification],"&gt;0")</f>
        <v>0</v>
      </c>
      <c r="JT88" s="6">
        <f>COUNTIFS(Table21[Country],Tabela1[[#This Row],[Country]],Table21[200m Breaststroke Classification],"&gt;0")</f>
        <v>0</v>
      </c>
      <c r="JU88" s="6">
        <f>COUNTIFS(Table20[Country],Tabela1[[#This Row],[Country]],Table20[100m Butterfly Classification],"&gt;0")</f>
        <v>0</v>
      </c>
      <c r="JV88" s="6">
        <f>COUNTIFS(Table21[Country],Tabela1[[#This Row],[Country]],Table21[100m Butterfly Classification],"&gt;0")</f>
        <v>0</v>
      </c>
      <c r="JW88" s="6">
        <f>COUNTIFS(Table20[Country],Tabela1[[#This Row],[Country]],Table20[200m Butterfly Classification],"&gt;0")</f>
        <v>0</v>
      </c>
      <c r="JX88" s="6">
        <f>COUNTIFS(Table21[Country],Tabela1[[#This Row],[Country]],Table21[200m Butterfly Classification],"&gt;0")</f>
        <v>0</v>
      </c>
      <c r="JY88" s="6">
        <f>COUNTIFS(Table20[Country],Tabela1[[#This Row],[Country]],Table20[200m Medley Classification],"&gt;0")</f>
        <v>0</v>
      </c>
      <c r="JZ88" s="6">
        <f>COUNTIFS(Table21[Country],Tabela1[[#This Row],[Country]],Table21[200m Medley Classification],"&gt;0")</f>
        <v>0</v>
      </c>
      <c r="KA88" s="6">
        <f>COUNTIFS(Table20[Country],Tabela1[[#This Row],[Country]],Table20[400m Medley Classification],"&gt;0")</f>
        <v>0</v>
      </c>
      <c r="KB88" s="6">
        <f>COUNTIFS(Table21[Country],Tabela1[[#This Row],[Country]],Table21[400m Medley Classification],"&gt;0")</f>
        <v>0</v>
      </c>
      <c r="KC88" s="6">
        <f>COUNTIFS(Table78[Country],Tabela1[[#This Row],[Country]],Table78[Men''s 4x100m Freestyle Relay Classification],"&gt;0")</f>
        <v>0</v>
      </c>
      <c r="KD88" s="6">
        <f>COUNTIFS(Table78[Country],Tabela1[[#This Row],[Country]],Table78[Women''s 4x100m Freestyle Relay Classification],"&gt;0")</f>
        <v>0</v>
      </c>
      <c r="KE88" s="6">
        <f>COUNTIFS(Table78[Country],Tabela1[[#This Row],[Country]],Table78[Men''s 4x200m Freestyle Relay Classification],"&gt;0")</f>
        <v>0</v>
      </c>
      <c r="KF88" s="6">
        <f>COUNTIFS(Table78[Country],Tabela1[[#This Row],[Country]],Table78[Women''s 4x200m Freestyle Relay Classification],"&gt;0")</f>
        <v>0</v>
      </c>
      <c r="KG88" s="6">
        <f>COUNTIFS(Table78[Country],Tabela1[[#This Row],[Country]],Table78[Men''s 4x100m Medley Relay Classification],"&gt;0")</f>
        <v>0</v>
      </c>
      <c r="KH88" s="6">
        <f>COUNTIFS(Table78[Country],Tabela1[[#This Row],[Country]],Table78[Women''s 4x100m Medley Relay Classification],"&gt;0")</f>
        <v>0</v>
      </c>
      <c r="KI88" s="6">
        <f>COUNTIFS(Table78[Country],Tabela1[[#This Row],[Country]],Table78[Mixed 4x100m Medley Relay Classification],"&gt;0")</f>
        <v>0</v>
      </c>
      <c r="KJ88" s="6">
        <f>COUNTIFS(Table20[Country],Tabela1[[#This Row],[Country]],Table20[10km Open Water Classification],"&gt;0")</f>
        <v>0</v>
      </c>
      <c r="KK88" s="6">
        <f>COUNTIFS(Table21[Country],Tabela1[[#This Row],[Country]],Table21[10km Open Water Classification],"&gt;0")</f>
        <v>0</v>
      </c>
      <c r="KL88" s="6">
        <f>COUNTIFS(Table22[Country],Tabela1[[#This Row],[Country]],Table22[Classification],"&gt;0")</f>
        <v>0</v>
      </c>
      <c r="KM88" s="6">
        <f>COUNTIFS(Table30[Country],Tabela1[[#This Row],[Country]],Table30[Classification],"&gt;0")</f>
        <v>0</v>
      </c>
      <c r="KN88" s="6">
        <f>COUNTIFS(Table55[Country],Tabela1[[#This Row],[Country]],Table55[Men''s Classification],"&gt;0")</f>
        <v>0</v>
      </c>
      <c r="KO88" s="6">
        <f>COUNTIFS(Table55[Country],Tabela1[[#This Row],[Country]],Table55[Women''s Classification],"&gt;0")</f>
        <v>0</v>
      </c>
      <c r="KP88" s="6">
        <f>COUNTIFS(Table56[Country],Tabela1[[#This Row],[Country]],Table56[Mixed Classification],"&gt;0")</f>
        <v>0</v>
      </c>
      <c r="KQ88" s="6">
        <f>COUNTIFS(Table29[Country],Tabela1[[#This Row],[Country]],Table29[58kg Classification],"&gt;0")</f>
        <v>0</v>
      </c>
      <c r="KR88" s="6">
        <f>COUNTIFS(Table29[Country],Tabela1[[#This Row],[Country]],Table29[68kg Classification],"&gt;0")</f>
        <v>0</v>
      </c>
      <c r="KS88" s="6">
        <f>COUNTIFS(Table29[Country],Tabela1[[#This Row],[Country]],Table29[80kg Classification],"&gt;0")</f>
        <v>0</v>
      </c>
      <c r="KT88" s="6">
        <f>COUNTIFS(Table29[Country],Tabela1[[#This Row],[Country]],Table29[Plus 80kg Classification],"&gt;0")</f>
        <v>0</v>
      </c>
      <c r="KU88" s="6">
        <f>COUNTIFS(Table34[Country],Tabela1[[#This Row],[Country]],Table34[49kg Classification],"&gt;0")</f>
        <v>0</v>
      </c>
      <c r="KV88" s="6">
        <f>COUNTIFS(Table34[Country],Tabela1[[#This Row],[Country]],Table34[57kg Classification],"&gt;0")</f>
        <v>0</v>
      </c>
      <c r="KW88" s="6">
        <f>COUNTIFS(Table34[Country],Tabela1[[#This Row],[Country]],Table34[67kg Classification],"&gt;0")</f>
        <v>0</v>
      </c>
      <c r="KX88" s="6">
        <f>COUNTIFS(Table34[Country],Tabela1[[#This Row],[Country]],Table34[Plus 67kg Classification],"&gt;0")</f>
        <v>0</v>
      </c>
      <c r="KY88" s="6">
        <f>COUNTIFS(Table57[Country],Tabela1[[#This Row],[Country]],Table57[Classification],"&gt;0")</f>
        <v>0</v>
      </c>
      <c r="KZ88" s="6">
        <f>COUNTIFS(Table58[Country],Tabela1[[#This Row],[Country]],Table58[Classification],"&gt;0")</f>
        <v>0</v>
      </c>
      <c r="LA88" s="6">
        <f>COUNTIFS(Table79[Country],Tabela1[[#This Row],[Country]],Table79[Men''s Classification],"&gt;0")</f>
        <v>0</v>
      </c>
      <c r="LB88" s="6">
        <f>COUNTIFS(Table79[Country],Tabela1[[#This Row],[Country]],Table79[Women''s Classification],"&gt;0")</f>
        <v>0</v>
      </c>
      <c r="LC88" s="6">
        <f>COUNTIFS(Table79[Country],Tabela1[[#This Row],[Country]],Table79[Mixed Classification],"&gt;0")</f>
        <v>0</v>
      </c>
      <c r="LD88" s="6">
        <f>COUNTIFS(Table65[Country],Tabela1[[#This Row],[Country]],Table65[Classification],"&gt;0")</f>
        <v>0</v>
      </c>
      <c r="LE88" s="6">
        <f>COUNTIFS(Table59[Country],Tabela1[[#This Row],[Country]],Table59[Classification],"&gt;0")</f>
        <v>0</v>
      </c>
      <c r="LF88" s="6">
        <f>COUNTIFS(Table87[Country],Tabela1[[#This Row],[Country]],Table87[Mixed Relay Classification],"&gt;0")</f>
        <v>0</v>
      </c>
      <c r="LG88" s="6">
        <f>COUNTIFS(Table91949698100[Country],Tabela1[[#This Row],[Country]],Table91949698100[Men''s Classification],"&gt;0")</f>
        <v>0</v>
      </c>
      <c r="LH88" s="6">
        <f>COUNTIFS(Table91949698100[Country],Tabela1[[#This Row],[Country]],Table91949698100[Women''s Classification],"&gt;0")</f>
        <v>0</v>
      </c>
      <c r="LI88" s="6">
        <f>COUNTIFS(Table91949698100102[Country],Tabela1[[#This Row],[Country]],Table91949698100102[Men''s Classification],"&gt;0")</f>
        <v>0</v>
      </c>
      <c r="LJ88" s="6">
        <f>COUNTIFS(Table91949698100102[Country],Tabela1[[#This Row],[Country]],Table91949698100102[Women''s Classification],"&gt;0")</f>
        <v>0</v>
      </c>
      <c r="LK88" s="6">
        <f>COUNTIFS(Table23[Country],Tabela1[[#This Row],[Country]],Table23[61kg Classification],"&gt;0")</f>
        <v>0</v>
      </c>
      <c r="LL88" s="6">
        <f>COUNTIFS(Table23[Country],Tabela1[[#This Row],[Country]],Table23[73kg Classification],"&gt;0")</f>
        <v>0</v>
      </c>
      <c r="LM88" s="6">
        <f>COUNTIFS(Table23[Country],Tabela1[[#This Row],[Country]],Table23[89kg Classification],"&gt;0")</f>
        <v>0</v>
      </c>
      <c r="LN88" s="6">
        <f>COUNTIFS(Table23[Country],Tabela1[[#This Row],[Country]],Table23[102kg Classification],"&gt;0")</f>
        <v>0</v>
      </c>
      <c r="LO88" s="6">
        <f>COUNTIFS(Table23[Country],Tabela1[[#This Row],[Country]],Table23[Plus 102kg Classification],"&gt;0")</f>
        <v>0</v>
      </c>
      <c r="LP88" s="6">
        <f>COUNTIFS(Table28[Country],Tabela1[[#This Row],[Country]],Table28[49kg Classification],"&gt;0")</f>
        <v>0</v>
      </c>
      <c r="LQ88" s="6">
        <f>COUNTIFS(Table28[Country],Tabela1[[#This Row],[Country]],Table28[59kg Classification],"&gt;0")</f>
        <v>0</v>
      </c>
      <c r="LR88" s="6">
        <f>COUNTIFS(Table28[Country],Tabela1[[#This Row],[Country]],Table28[71kg Classification],"&gt;0")</f>
        <v>0</v>
      </c>
      <c r="LS88" s="6">
        <f>COUNTIFS(Table28[Country],Tabela1[[#This Row],[Country]],Table28[81kg Classification],"&gt;0")</f>
        <v>0</v>
      </c>
      <c r="LT88" s="6">
        <f>COUNTIFS(Table28[Country],Tabela1[[#This Row],[Country]],Table28[Plus 81kg Classification],"&gt;0")</f>
        <v>0</v>
      </c>
      <c r="LU88" s="6">
        <f>COUNTIFS(Table24[Country],Tabela1[[#This Row],[Country]],Table24[Freestyle 57kg Classification],"&gt;0")</f>
        <v>0</v>
      </c>
      <c r="LV88" s="6">
        <f>COUNTIFS(Table24[Country],Tabela1[[#This Row],[Country]],Table24[Freestyle 65kg Classification],"&gt;0")</f>
        <v>0</v>
      </c>
      <c r="LW88" s="6">
        <f>COUNTIFS(Table24[Country],Tabela1[[#This Row],[Country]],Table24[Freestyle 74kg Classification],"&gt;0")</f>
        <v>0</v>
      </c>
      <c r="LX88" s="6">
        <f>COUNTIFS(Table24[Country],Tabela1[[#This Row],[Country]],Table24[Freestyle 86kg Classification],"&gt;0")</f>
        <v>0</v>
      </c>
      <c r="LY88" s="6">
        <f>COUNTIFS(Table24[Country],Tabela1[[#This Row],[Country]],Table24[Freestyle 97kg Classification],"&gt;0")</f>
        <v>0</v>
      </c>
      <c r="LZ88" s="6">
        <f>COUNTIFS(Table24[Country],Tabela1[[#This Row],[Country]],Table24[Freestyle 125kg Classification],"&gt;0")</f>
        <v>0</v>
      </c>
      <c r="MA88" s="6">
        <f>COUNTIFS(Table24[Country],Tabela1[[#This Row],[Country]],Table24[Greco-Roman 60kg Classification],"&gt;0")</f>
        <v>0</v>
      </c>
      <c r="MB88" s="6">
        <f>COUNTIFS(Table24[Country],Tabela1[[#This Row],[Country]],Table24[Greco-Roman 67kg Classification],"&gt;0")</f>
        <v>0</v>
      </c>
      <c r="MC88" s="6">
        <f>COUNTIFS(Table24[Country],Tabela1[[#This Row],[Country]],Table24[Greco-Roman 77kg Classification],"&gt;0")</f>
        <v>0</v>
      </c>
      <c r="MD88" s="6">
        <f>COUNTIFS(Table24[Country],Tabela1[[#This Row],[Country]],Table24[Greco-Roman 87kg Classification],"&gt;0")</f>
        <v>0</v>
      </c>
      <c r="ME88" s="6">
        <f>COUNTIFS(Table24[Country],Tabela1[[#This Row],[Country]],Table24[Greco-Roman 97kg Classification],"&gt;0")</f>
        <v>0</v>
      </c>
      <c r="MF88" s="6">
        <f>COUNTIFS(Table24[Country],Tabela1[[#This Row],[Country]],Table24[Greco-Roman 130kg Classification],"&gt;0")</f>
        <v>0</v>
      </c>
      <c r="MG88" s="6">
        <f>COUNTIFS(Table31[Country],Tabela1[[#This Row],[Country]],Table31[50kg Classification],"&gt;0")</f>
        <v>0</v>
      </c>
      <c r="MH88" s="6">
        <f>COUNTIFS(Table31[Country],Tabela1[[#This Row],[Country]],Table31[53kg Classification],"&gt;0")</f>
        <v>0</v>
      </c>
      <c r="MI88" s="6">
        <f>COUNTIFS(Table31[Country],Tabela1[[#This Row],[Country]],Table31[57kg Classification],"&gt;0")</f>
        <v>0</v>
      </c>
      <c r="MJ88" s="6">
        <f>COUNTIFS(Table31[Country],Tabela1[[#This Row],[Country]],Table31[62kg Classification],"&gt;0")</f>
        <v>0</v>
      </c>
      <c r="MK88" s="6">
        <f>COUNTIFS(Table31[Country],Tabela1[[#This Row],[Country]],Table31[68kg Classification],"&gt;0")</f>
        <v>0</v>
      </c>
      <c r="ML88" s="6">
        <f>COUNTIFS(Table31[Country],Tabela1[[#This Row],[Country]],Table31[76kg Classification],"&gt;0")</f>
        <v>0</v>
      </c>
      <c r="MM88" s="6">
        <f>COUNTIFS(Table102[Country],Tabela1[[#This Row],[Country]],Table102[Downhill Classification],"&gt;0")</f>
        <v>0</v>
      </c>
      <c r="MN88" s="6">
        <f>COUNTIFS(Table102105[Country],Tabela1[[#This Row],[Country]],Table102105[Downhill Classification],"&gt;0")</f>
        <v>0</v>
      </c>
      <c r="MO88" s="6">
        <f>COUNTIFS(Table102[Country],Tabela1[[#This Row],[Country]],Table102[Giant Slalom Classification],"&gt;0")</f>
        <v>0</v>
      </c>
      <c r="MP88" s="6">
        <f>COUNTIFS(Table102105[Country],Tabela1[[#This Row],[Country]],Table102105[Giant Slalom Classification],"&gt;0")</f>
        <v>0</v>
      </c>
      <c r="MQ88" s="6">
        <f>COUNTIFS(Table102[Country],Tabela1[[#This Row],[Country]],Table102[Slalom Classification],"&gt;0")</f>
        <v>0</v>
      </c>
      <c r="MR88" s="6">
        <f>COUNTIFS(Table102105[Country],Tabela1[[#This Row],[Country]],Table102105[Slalom Classification],"&gt;0")</f>
        <v>0</v>
      </c>
      <c r="MS88" s="6">
        <f>COUNTIFS(Table102[Country],Tabela1[[#This Row],[Country]],Table102[Super-G Classification],"&gt;0")</f>
        <v>0</v>
      </c>
      <c r="MT88" s="6">
        <f>COUNTIFS(Table102105[Country],Tabela1[[#This Row],[Country]],Table102105[Super-G Classification],"&gt;0")</f>
        <v>0</v>
      </c>
      <c r="MU88" s="6">
        <f>COUNTIFS(Table105[Country],Tabela1[[#This Row],[Country]],Table105[Men''s Combined Classification],"&gt;0")</f>
        <v>0</v>
      </c>
      <c r="MV88" s="6">
        <f>COUNTIFS(Table105[Country],Tabela1[[#This Row],[Country]],Table105[Women''s Combined Classification],"&gt;0")</f>
        <v>0</v>
      </c>
      <c r="MW88" s="6">
        <f>COUNTIFS(Table106[Country],Tabela1[[#This Row],[Country]],Table106[Individual Classification],"&gt;0")</f>
        <v>0</v>
      </c>
      <c r="MX88" s="6">
        <f>COUNTIFS(Table106109[Country],Tabela1[[#This Row],[Country]],Table106109[Individual Classification],"&gt;0")</f>
        <v>0</v>
      </c>
      <c r="MY88" s="6">
        <f>COUNTIFS(Table106[Country],Tabela1[[#This Row],[Country]],Table106[Mass Start Classification],"&gt;0")</f>
        <v>0</v>
      </c>
      <c r="MZ88" s="6">
        <f>COUNTIFS(Table106109[Country],Tabela1[[#This Row],[Country]],Table106109[Mass Start Classification],"&gt;0")</f>
        <v>0</v>
      </c>
      <c r="NA88" s="6">
        <f>COUNTIFS(Table106[Country],Tabela1[[#This Row],[Country]],Table106[Pursuit Classification],"&gt;0")</f>
        <v>0</v>
      </c>
      <c r="NB88" s="6">
        <f>COUNTIFS(Table106109[Country],Tabela1[[#This Row],[Country]],Table106109[Pursuit Classification],"&gt;0")</f>
        <v>0</v>
      </c>
      <c r="NC88" s="6">
        <f>COUNTIFS(Table106[Country],Tabela1[[#This Row],[Country]],Table106[Sprint Classification],"&gt;0")</f>
        <v>0</v>
      </c>
      <c r="ND88" s="6">
        <f>COUNTIFS(Table106109[Country],Tabela1[[#This Row],[Country]],Table106109[Sprint Classification],"&gt;0")</f>
        <v>0</v>
      </c>
      <c r="NE88" s="6">
        <f>COUNTIFS(Table109[Country],Tabela1[[#This Row],[Country]],Table109[Men''s Relay Classification],"&gt;0")</f>
        <v>0</v>
      </c>
      <c r="NF88" s="6">
        <f>COUNTIFS(Table109[Country],Tabela1[[#This Row],[Country]],Table109[Women''s Relay Classification],"&gt;0")</f>
        <v>0</v>
      </c>
      <c r="NG88" s="6">
        <f>COUNTIFS(Table109[Country],Tabela1[[#This Row],[Country]],Table109[Mixed Relay Classification],"&gt;0")</f>
        <v>0</v>
      </c>
      <c r="NH88" s="6">
        <f>COUNTIFS(Table110[Country],Tabela1[[#This Row],[Country]],Table110[Monobob Classification],"&gt;0")</f>
        <v>0</v>
      </c>
      <c r="NI88" s="6">
        <f>COUNTIFS(Table111[Country],Tabela1[[#This Row],[Country]],Table111[Men''s Classification],"&gt;0")</f>
        <v>0</v>
      </c>
      <c r="NJ88" s="6">
        <f>COUNTIFS(Table111[Country],Tabela1[[#This Row],[Country]],Table111[Women''s Classification],"&gt;0")</f>
        <v>0</v>
      </c>
      <c r="NK88" s="6">
        <f>COUNTIFS(Table112[Country],Tabela1[[#This Row],[Country]],Table112[Men''s Four Classification],"&gt;0")</f>
        <v>0</v>
      </c>
      <c r="NL88" s="6">
        <f>COUNTIFS(Table113[Country],Tabela1[[#This Row],[Country]],Table113[Classical Classification],"&gt;0")</f>
        <v>0</v>
      </c>
      <c r="NM88" s="6">
        <f>COUNTIFS(Table113116[Country],Tabela1[[#This Row],[Country]],Table113116[Classical Classification],"&gt;0")</f>
        <v>0</v>
      </c>
      <c r="NN88" s="6">
        <f>COUNTIFS(Table113[Country],Tabela1[[#This Row],[Country]],Table113[Freestyle Classification],"&gt;0")</f>
        <v>0</v>
      </c>
      <c r="NO88" s="6">
        <f>COUNTIFS(Table113116[Country],Tabela1[[#This Row],[Country]],Table113116[Freestyle Classification],"&gt;0")</f>
        <v>0</v>
      </c>
      <c r="NP88" s="6">
        <f>COUNTIFS(Table117[Country],Tabela1[[#This Row],[Country]],Table117[Men''s Relay Classification],"&gt;0")</f>
        <v>0</v>
      </c>
      <c r="NQ88" s="6">
        <f>COUNTIFS(Table117[Country],Tabela1[[#This Row],[Country]],Table117[Women''s Relay Classification],"&gt;0")</f>
        <v>0</v>
      </c>
      <c r="NR88" s="6">
        <f>COUNTIFS(Table113[Country],Tabela1[[#This Row],[Country]],Table113[Skiathlon Classification],"&gt;0")</f>
        <v>0</v>
      </c>
      <c r="NS88" s="6">
        <f>COUNTIFS(Table113116[Country],Tabela1[[#This Row],[Country]],Table113116[Skiathlon Classification],"&gt;0")</f>
        <v>0</v>
      </c>
      <c r="NT88" s="6">
        <f>COUNTIFS(Table113[Country],Tabela1[[#This Row],[Country]],Table113[Sprint Classification],"&gt;0")</f>
        <v>0</v>
      </c>
      <c r="NU88" s="6">
        <f>COUNTIFS(Table113116[Country],Tabela1[[#This Row],[Country]],Table113116[Sprint Classification],"&gt;0")</f>
        <v>0</v>
      </c>
      <c r="NV88" s="6">
        <f>COUNTIFS(Table116[Country],Tabela1[[#This Row],[Country]],Table116[Men''s Team Sprint Classification],"&gt;0")</f>
        <v>0</v>
      </c>
      <c r="NW88" s="6">
        <f>COUNTIFS(Table116[Country],Tabela1[[#This Row],[Country]],Table116[Women''s Team Sprint Classification],"&gt;0")</f>
        <v>0</v>
      </c>
      <c r="NX88" s="6">
        <f>COUNTIFS(Table119[Country],Tabela1[[#This Row],[Country]],Table119[Men''s Classification],"&gt;0")</f>
        <v>0</v>
      </c>
      <c r="NY88" s="6">
        <f>COUNTIFS(Table119[Country],Tabela1[[#This Row],[Country]],Table119[Women''s Classification],"&gt;0")</f>
        <v>0</v>
      </c>
      <c r="NZ88" s="6">
        <f>COUNTIFS(Table118[Country],Tabela1[[#This Row],[Country]],Table118[Mixed Classification],"&gt;0")</f>
        <v>0</v>
      </c>
      <c r="OA88" s="6">
        <f>COUNTIFS(Table120[Country],Tabela1[[#This Row],[Country]],Table120[Classification],"&gt;0")</f>
        <v>0</v>
      </c>
      <c r="OB88" s="6">
        <f>COUNTIFS(Table120123[Country],Tabela1[[#This Row],[Country]],Table120123[Classification],"&gt;0")</f>
        <v>0</v>
      </c>
      <c r="OC88" s="6">
        <f>COUNTIFS(Table123[Country],Tabela1[[#This Row],[Country]],Table123[Ice Dance Classification],"&gt;0")</f>
        <v>0</v>
      </c>
      <c r="OD88" s="6">
        <f>COUNTIFS(Table123[Country],Tabela1[[#This Row],[Country]],Table123[Pair Skating Classification],"&gt;0")</f>
        <v>0</v>
      </c>
      <c r="OE88" s="6">
        <f>COUNTIFS(Table124[Country],Tabela1[[#This Row],[Country]],Table124[Mixed Classification],"&gt;0")</f>
        <v>0</v>
      </c>
      <c r="OF88" s="6">
        <f>COUNTIFS(Table125[Country],Tabela1[[#This Row],[Country]],Table125[Aerials Classification],"&gt;0")</f>
        <v>0</v>
      </c>
      <c r="OG88" s="6">
        <f>COUNTIFS(Table125128[Country],Tabela1[[#This Row],[Country]],Table125128[Aerials Classification],"&gt;0")</f>
        <v>0</v>
      </c>
      <c r="OH88" s="6">
        <f>COUNTIFS(Table128[Country],Tabela1[[#This Row],[Country]],Table128[Mixed Aerials Classification],"&gt;0")</f>
        <v>0</v>
      </c>
      <c r="OI88" s="6">
        <f>COUNTIFS(Table125[Country],Tabela1[[#This Row],[Country]],Table125[Big Air Classification],"&gt;0")</f>
        <v>0</v>
      </c>
      <c r="OJ88" s="6">
        <f>COUNTIFS(Table125128[Country],Tabela1[[#This Row],[Country]],Table125128[Big Air Classification],"&gt;0")</f>
        <v>0</v>
      </c>
      <c r="OK88" s="6">
        <f>COUNTIFS(Table125[Country],Tabela1[[#This Row],[Country]],Table125[Dual Moguls Classification],"&gt;0")</f>
        <v>0</v>
      </c>
      <c r="OL88" s="6">
        <f>COUNTIFS(Table125128[Country],Tabela1[[#This Row],[Country]],Table125128[Dual Moguls Classification],"&gt;0")</f>
        <v>0</v>
      </c>
      <c r="OM88" s="6">
        <f>COUNTIFS(Table125[Country],Tabela1[[#This Row],[Country]],Table125[Halfpipe Classification],"&gt;0")</f>
        <v>0</v>
      </c>
      <c r="ON88" s="6">
        <f>COUNTIFS(Table125128[Country],Tabela1[[#This Row],[Country]],Table125128[Halfpipe Classification],"&gt;0")</f>
        <v>0</v>
      </c>
      <c r="OO88" s="6">
        <f>COUNTIFS(Table125[Country],Tabela1[[#This Row],[Country]],Table125[Moguls Classification],"&gt;0")</f>
        <v>0</v>
      </c>
      <c r="OP88" s="6">
        <f>COUNTIFS(Table125128[Country],Tabela1[[#This Row],[Country]],Table125128[Moguls Classification],"&gt;0")</f>
        <v>0</v>
      </c>
      <c r="OQ88" s="6">
        <f>COUNTIFS(Table125[Country],Tabela1[[#This Row],[Country]],Table125[Ski Cross Classification],"&gt;0")</f>
        <v>0</v>
      </c>
      <c r="OR88" s="6">
        <f>COUNTIFS(Table125128[Country],Tabela1[[#This Row],[Country]],Table125128[Ski Cross Classification],"&gt;0")</f>
        <v>0</v>
      </c>
      <c r="OS88" s="6">
        <f>COUNTIFS(Table125[Country],Tabela1[[#This Row],[Country]],Table125[Slopestyle Classification],"&gt;0")</f>
        <v>0</v>
      </c>
      <c r="OT88" s="6">
        <f>COUNTIFS(Table125128[Country],Tabela1[[#This Row],[Country]],Table125128[Slopestyle Classification],"&gt;0")</f>
        <v>0</v>
      </c>
      <c r="OU88" s="6">
        <f>COUNTIFS(Table119131[Country],Tabela1[[#This Row],[Country]],Table119131[Men''s Classification],"&gt;0")</f>
        <v>0</v>
      </c>
      <c r="OV88" s="6">
        <f>COUNTIFS(Table119131[Country],Tabela1[[#This Row],[Country]],Table119131[Women''s Classification],"&gt;0")</f>
        <v>0</v>
      </c>
      <c r="OW88" s="6">
        <f>COUNTIFS(Table131[Country],Tabela1[[#This Row],[Country]],Table131[Classification],"&gt;0")</f>
        <v>0</v>
      </c>
      <c r="OX88" s="6">
        <f>COUNTIFS(Table131134[Country],Tabela1[[#This Row],[Country]],Table131134[Classification],"&gt;0")</f>
        <v>0</v>
      </c>
      <c r="OY88" s="6">
        <f>COUNTIFS(Table134[Country],Tabela1[[#This Row],[Country]],Table134[Men''s Classification],"&gt;0")</f>
        <v>0</v>
      </c>
      <c r="OZ88" s="6">
        <f>COUNTIFS(Table134[Country],Tabela1[[#This Row],[Country]],Table134[Women''s Classification],"&gt;0")</f>
        <v>0</v>
      </c>
      <c r="PA88" s="6">
        <f>COUNTIFS(Table135[Country],Tabela1[[#This Row],[Country]],Table135[Mixed Relay Classification],"&gt;0")</f>
        <v>0</v>
      </c>
      <c r="PB88" s="6">
        <f>COUNTIFS(Table136[Country],Tabela1[[#This Row],[Country]],Table136[Individual Classification],"&gt;0")</f>
        <v>0</v>
      </c>
      <c r="PC88" s="6">
        <f>COUNTIFS(Table136[Country],Tabela1[[#This Row],[Country]],Table136[Sprint Classification],"&gt;0")</f>
        <v>0</v>
      </c>
      <c r="PD88" s="6">
        <f>COUNTIFS(Table137[Country],Tabela1[[#This Row],[Country]],Table137[Men''s Team Sprint Large Hill Classification],"&gt;0")</f>
        <v>0</v>
      </c>
      <c r="PE88" s="6">
        <f>COUNTIFS(Table138[Country],Tabela1[[#This Row],[Country]],Table138[500m Classification],"&gt;0")</f>
        <v>0</v>
      </c>
      <c r="PF88" s="6">
        <f>COUNTIFS(Table138141[Country],Tabela1[[#This Row],[Country]],Table138141[500m Classification],"&gt;0")</f>
        <v>0</v>
      </c>
      <c r="PG88" s="6">
        <f>COUNTIFS(Table138[Country],Tabela1[[#This Row],[Country]],Table138[1000m Classification],"&gt;0")</f>
        <v>0</v>
      </c>
      <c r="PH88" s="6">
        <f>COUNTIFS(Table138141[Country],Tabela1[[#This Row],[Country]],Table138141[1000m Classification],"&gt;0")</f>
        <v>0</v>
      </c>
      <c r="PI88" s="6">
        <f>COUNTIFS(Table138[Country],Tabela1[[#This Row],[Country]],Table138[1500m Classification],"&gt;0")</f>
        <v>0</v>
      </c>
      <c r="PJ88" s="6">
        <f>COUNTIFS(Table138141[Country],Tabela1[[#This Row],[Country]],Table138141[1500m Classification],"&gt;0")</f>
        <v>0</v>
      </c>
      <c r="PK88" s="6">
        <f>COUNTIFS(Table141[Country],Tabela1[[#This Row],[Country]],Table141[Men''s 5000m Relay Classification],"&gt;0")</f>
        <v>0</v>
      </c>
      <c r="PL88" s="6">
        <f>COUNTIFS(Table141[Country],Tabela1[[#This Row],[Country]],Table141[Women''s 3000m Relay Classification],"&gt;0")</f>
        <v>0</v>
      </c>
      <c r="PM88" s="6">
        <f>COUNTIFS(Table141[Country],Tabela1[[#This Row],[Country]],Table141[Mixed 2000m Relay Classification],"&gt;0")</f>
        <v>0</v>
      </c>
      <c r="PN88" s="6">
        <f>COUNTIFS(Table142[Country],Tabela1[[#This Row],[Country]],Table142[Classification],"&gt;0")</f>
        <v>0</v>
      </c>
      <c r="PO88" s="6">
        <f>COUNTIFS(Table142145[Country],Tabela1[[#This Row],[Country]],Table142145[Classification],"&gt;0")</f>
        <v>0</v>
      </c>
      <c r="PP88" s="6">
        <f>COUNTIFS(Tabela15[Country],Tabela1[[#This Row],[Country]],Tabela15[Mixed Team Classification],"&gt;0")</f>
        <v>0</v>
      </c>
      <c r="PQ88" s="6">
        <f>COUNTIFS(Table145[Country],Tabela1[[#This Row],[Country]],Table145[Large Hill Classification],"&gt;0")</f>
        <v>0</v>
      </c>
      <c r="PR88" s="6">
        <f>COUNTIFS(Table145[Country],Tabela1[[#This Row],[Country]],Table145[Normal Hill Classification],"&gt;0")</f>
        <v>0</v>
      </c>
      <c r="PS88" s="6">
        <f>COUNTIFS(Table145148[Country],Tabela1[[#This Row],[Country]],Table145148[Large Hill Classification],"&gt;0")</f>
        <v>0</v>
      </c>
      <c r="PT88" s="6">
        <f>COUNTIFS(Table145148[Country],Tabela1[[#This Row],[Country]],Table145148[Normal Hill Classification],"&gt;0")</f>
        <v>0</v>
      </c>
      <c r="PU88" s="6">
        <f>COUNTIFS(Table148[Country],Tabela1[[#This Row],[Country]],Table148[Men''s Super Team Classification],"&gt;0")</f>
        <v>0</v>
      </c>
      <c r="PV88" s="6">
        <f>COUNTIFS(Tabela114[Country],Tabela1[[#This Row],[Country]],Tabela114[Mixed Normal Hill Classification],"&gt;0")</f>
        <v>0</v>
      </c>
      <c r="PW88" s="6">
        <f>COUNTIFS(Tabela50[Country],Tabela1[[#This Row],[Country]],Tabela50[Sprint Classification],"&gt;0")</f>
        <v>0</v>
      </c>
      <c r="PX88" s="6">
        <f>COUNTIFS(Tabela50101[Country],Tabela1[[#This Row],[Country]],Tabela50101[Sprint Classification],"&gt;0")</f>
        <v>0</v>
      </c>
      <c r="PY88" s="6">
        <f>COUNTIFS(Tabela103[Country],Tabela1[[#This Row],[Country]],Tabela103[Mixed Relay Classification],"&gt;0")</f>
        <v>0</v>
      </c>
      <c r="PZ88" s="6">
        <f>COUNTIFS(Table149[Country],Tabela1[[#This Row],[Country]],Table149[Big Air Classification],"&gt;0")</f>
        <v>0</v>
      </c>
      <c r="QA88" s="6">
        <f>COUNTIFS(Table149152[Country],Tabela1[[#This Row],[Country]],Table149152[Big Air Classification],"&gt;0")</f>
        <v>0</v>
      </c>
      <c r="QB88" s="6">
        <f>COUNTIFS(Table149[Country],Tabela1[[#This Row],[Country]],Table149[Halfpipe Classification],"&gt;0")</f>
        <v>0</v>
      </c>
      <c r="QC88" s="6">
        <f>COUNTIFS(Table149152[Country],Tabela1[[#This Row],[Country]],Table149152[Halfpipe Classification],"&gt;0")</f>
        <v>0</v>
      </c>
      <c r="QD88" s="6">
        <f>COUNTIFS(Table149[Country],Tabela1[[#This Row],[Country]],Table149[Parallel Giant Slalom Classification],"&gt;0")</f>
        <v>0</v>
      </c>
      <c r="QE88" s="6">
        <f>COUNTIFS(Table149152[Country],Tabela1[[#This Row],[Country]],Table149152[Parallel Giant Slalom Classification],"&gt;0")</f>
        <v>0</v>
      </c>
      <c r="QF88" s="6">
        <f>COUNTIFS(Table149[Country],Tabela1[[#This Row],[Country]],Table149[Slopestyle Classification],"&gt;0")</f>
        <v>0</v>
      </c>
      <c r="QG88" s="6">
        <f>COUNTIFS(Table149152[Country],Tabela1[[#This Row],[Country]],Table149152[Slopestyle Classification],"&gt;0")</f>
        <v>0</v>
      </c>
      <c r="QH88" s="6">
        <f>COUNTIFS(Table149[Country],Tabela1[[#This Row],[Country]],Table149[Snowboard Cross Classification],"&gt;0")</f>
        <v>0</v>
      </c>
      <c r="QI88" s="6">
        <f>COUNTIFS(Table149152[Country],Tabela1[[#This Row],[Country]],Table149152[Snowboard Cross Classification],"&gt;0")</f>
        <v>0</v>
      </c>
      <c r="QJ88" s="6">
        <f>COUNTIFS(Table153[Country],Tabela1[[#This Row],[Country]],Table153[Mixed Team Snowboard Cross Classification],"&gt;0")</f>
        <v>0</v>
      </c>
      <c r="QK88" s="6">
        <f>COUNTIFS(Table154[Country],Tabela1[[#This Row],[Country]],Table154[500m Classification],"&gt;0")</f>
        <v>0</v>
      </c>
      <c r="QL88" s="6">
        <f>COUNTIFS(Table154157[Country],Tabela1[[#This Row],[Country]],Table154157[500m Classification],"&gt;0")</f>
        <v>0</v>
      </c>
      <c r="QM88" s="6">
        <f>COUNTIFS(Table154[Country],Tabela1[[#This Row],[Country]],Table154[1000m Classification],"&gt;0")</f>
        <v>0</v>
      </c>
      <c r="QN88" s="6">
        <f>COUNTIFS(Table154157[Country],Tabela1[[#This Row],[Country]],Table154157[1000m Classification],"&gt;0")</f>
        <v>0</v>
      </c>
      <c r="QO88" s="6">
        <f>COUNTIFS(Table154[Country],Tabela1[[#This Row],[Country]],Table154[1500m Classification],"&gt;0")</f>
        <v>0</v>
      </c>
      <c r="QP88" s="6">
        <f>COUNTIFS(Table154157[Country],Tabela1[[#This Row],[Country]],Table154157[1500m Classification],"&gt;0")</f>
        <v>0</v>
      </c>
      <c r="QQ88" s="6">
        <f>COUNTIFS(Table154157[Country],Tabela1[[#This Row],[Country]],Table154157[3000m Classification],"&gt;0")</f>
        <v>0</v>
      </c>
      <c r="QR88" s="6">
        <f>COUNTIFS(Table154[Country],Tabela1[[#This Row],[Country]],Table154[5000m Classification],"&gt;0")</f>
        <v>0</v>
      </c>
      <c r="QS88" s="6">
        <f>COUNTIFS(Table154157[Country],Tabela1[[#This Row],[Country]],Table154157[5000m Classification],"&gt;0")</f>
        <v>0</v>
      </c>
      <c r="QT88" s="6">
        <f>COUNTIFS(Table154[Country],Tabela1[[#This Row],[Country]],Table154[10000m Classification],"&gt;0")</f>
        <v>0</v>
      </c>
      <c r="QU88" s="6">
        <f>COUNTIFS(Table154[Country],Tabela1[[#This Row],[Country]],Table154[Mass Start Classification],"&gt;0")</f>
        <v>0</v>
      </c>
      <c r="QV88" s="6">
        <f>COUNTIFS(Table154157[Country],Tabela1[[#This Row],[Country]],Table154157[Mass Start Classification],"&gt;0")</f>
        <v>0</v>
      </c>
      <c r="QW88" s="6">
        <f>COUNTIFS(Table157[Country],Tabela1[[#This Row],[Country]],Table157[Men''s Pursuit Classification],"&gt;0")</f>
        <v>0</v>
      </c>
      <c r="QX88" s="6">
        <f>COUNTIFS(Table157[Country],Tabela1[[#This Row],[Country]],Table157[Women''s Pursuit Classification],"&gt;0")</f>
        <v>0</v>
      </c>
      <c r="QY88" s="3" t="s">
        <v>671</v>
      </c>
    </row>
    <row r="89" spans="1:467" x14ac:dyDescent="0.3">
      <c r="A89" s="6">
        <v>88</v>
      </c>
      <c r="B89" s="6" t="s">
        <v>458</v>
      </c>
      <c r="C89" t="e" vm="88">
        <f>IF(ISBLANK(Tabela1[[#This Row],[Image Link]]), "", _xlfn.IMAGE(Tabela1[[#This Row],[Image Link]],1,1))</f>
        <v>#VALUE!</v>
      </c>
      <c r="D89" s="6">
        <f>SUM(Tabela1[[#This Row],[Archery - Men''s Individual Recurve]:[Speed Skating - Women''s Team Pursuit]])</f>
        <v>4</v>
      </c>
      <c r="E89" s="6">
        <f>COUNTIF(Tabela1[[#This Row],[Archery - Men''s Individual Recurve]:[Speed Skating - Women''s Team Pursuit]],"&gt;0")</f>
        <v>4</v>
      </c>
      <c r="F89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Winter Olympics</v>
      </c>
      <c r="G89" s="6">
        <f>SUM(Tabela1[[#This Row],[Archery - Men''s Individual Recurve]:[Wrestling - Women''s Freestyle 76kg]])</f>
        <v>0</v>
      </c>
      <c r="H89" s="6">
        <f>SUM(Tabela1[[#This Row],[Alpine Skiing - Men''s Downhill]:[Speed Skating - Women''s Team Pursuit]])</f>
        <v>4</v>
      </c>
      <c r="I89" s="6">
        <f>Tabela1[[#This Row],[Summer Gold Medals]]+Tabela1[[#This Row],[Winter Gold Medals]]</f>
        <v>0</v>
      </c>
      <c r="J89" s="6">
        <f>Tabela1[[#This Row],[Summer Silver Medals]]+Tabela1[[#This Row],[Winter Silver Medals]]</f>
        <v>0</v>
      </c>
      <c r="K89" s="6">
        <f>Tabela1[[#This Row],[Summer Bronze Medals]]+Tabela1[[#This Row],[Winter Bronze Medals]]</f>
        <v>0</v>
      </c>
      <c r="L89" s="6">
        <f>SUM(Tabela1[[#This Row],[Total Gold Medals]:[Total Bronze Medals]])</f>
        <v>0</v>
      </c>
      <c r="M89" s="6"/>
      <c r="N89" s="6"/>
      <c r="O89" s="6"/>
      <c r="P89" s="6">
        <f>SUM(Tabela1[[#This Row],[Summer Gold Medals]:[Summer Bronze Medals]])</f>
        <v>0</v>
      </c>
      <c r="Q89" s="6"/>
      <c r="R89" s="6"/>
      <c r="S89" s="6"/>
      <c r="T89" s="6">
        <f>Tabela1[[#This Row],[Winter Gold Medals]]+Tabela1[[#This Row],[Winter Silver Medals]]+Tabela1[[#This Row],[Winter Bronze Medals]]</f>
        <v>0</v>
      </c>
      <c r="U89" s="7">
        <f>Tabela1[[#This Row],[Total Medals]]/Tabela1[[#This Row],[Total Quotas]]</f>
        <v>0</v>
      </c>
      <c r="V89" s="6">
        <f>COUNTIFS(Table3[Country],Tabela1[[#This Row],[Country]],Table3[Recurve Classification],"&gt;0")</f>
        <v>0</v>
      </c>
      <c r="W89" s="6">
        <f>COUNTIFS(Table33[Country],Tabela1[[#This Row],[Country]],Table33[Recurve Classification],"&gt;0")</f>
        <v>0</v>
      </c>
      <c r="X89" s="6">
        <f>COUNTIFS(Table35[Country],Tabela1[[#This Row],[Country]],Table35[Men''s Team Recurve Classification],"&gt;0")</f>
        <v>0</v>
      </c>
      <c r="Y89" s="6">
        <f>COUNTIFS(Table35[Country],Tabela1[[#This Row],[Country]],Table35[Women''s Team Recurve Classification],"&gt;0")</f>
        <v>0</v>
      </c>
      <c r="Z89" s="6">
        <f>COUNTIFS(Tabela88[Country],Tabela1[[#This Row],[Country]],Tabela88[Mixed Team Recurve Classification],"&gt;0")</f>
        <v>0</v>
      </c>
      <c r="AA89" s="6">
        <f>COUNTIFS(Table36[Country],Tabela1[[#This Row],[Country]],Table36[Classification],"&gt;0")</f>
        <v>0</v>
      </c>
      <c r="AB89" s="6">
        <f>COUNTIFS(Table37[Country],Tabela1[[#This Row],[Country]],Table37[Classification],"&gt;0")</f>
        <v>0</v>
      </c>
      <c r="AC89" s="6">
        <f>COUNTIFS(Table4[Country],Tabela1[[#This Row],[Country]],Table4[100m Classification],"&gt;0")</f>
        <v>0</v>
      </c>
      <c r="AD89" s="6">
        <f>COUNTIFS(Table5[Country],Tabela1[[#This Row],[Country]],Table5[100m Classification],"&gt;0")</f>
        <v>0</v>
      </c>
      <c r="AE89" s="6">
        <f>COUNTIFS(Table4[Country],Tabela1[[#This Row],[Country]],Table4[200m Classification],"&gt;0")</f>
        <v>0</v>
      </c>
      <c r="AF89" s="6">
        <f>COUNTIFS(Table5[Country],Tabela1[[#This Row],[Country]],Table5[200m Classification],"&gt;0")</f>
        <v>0</v>
      </c>
      <c r="AG89" s="6">
        <f>COUNTIFS(Table4[Country],Tabela1[[#This Row],[Country]],Table4[400m Classification],"&gt;0")</f>
        <v>0</v>
      </c>
      <c r="AH89" s="6">
        <f>COUNTIFS(Table5[Country],Tabela1[[#This Row],[Country]],Table5[400m Classification],"&gt;0")</f>
        <v>0</v>
      </c>
      <c r="AI89" s="6">
        <f>COUNTIFS(Table4[Country],Tabela1[[#This Row],[Country]],Table4[800m Classification],"&gt;0")</f>
        <v>0</v>
      </c>
      <c r="AJ89" s="6">
        <f>COUNTIFS(Table5[Country],Tabela1[[#This Row],[Country]],Table5[800m Classification],"&gt;0")</f>
        <v>0</v>
      </c>
      <c r="AK89" s="6">
        <f>COUNTIFS(Table4[Country],Tabela1[[#This Row],[Country]],Table4[1500m Classification],"&gt;0")</f>
        <v>0</v>
      </c>
      <c r="AL89" s="6">
        <f>COUNTIFS(Table5[Country],Tabela1[[#This Row],[Country]],Table5[1500m Classification],"&gt;0")</f>
        <v>0</v>
      </c>
      <c r="AM89" s="6">
        <f>COUNTIFS(Table4[Country],Tabela1[[#This Row],[Country]],Table4[5000m Classification],"&gt;0")</f>
        <v>0</v>
      </c>
      <c r="AN89" s="6">
        <f>COUNTIFS(Table5[Country],Tabela1[[#This Row],[Country]],Table5[5000m Classification],"&gt;0")</f>
        <v>0</v>
      </c>
      <c r="AO89" s="6">
        <f>COUNTIFS(Table4[Country],Tabela1[[#This Row],[Country]],Table4[10000m Classification],"&gt;0")</f>
        <v>0</v>
      </c>
      <c r="AP89" s="6">
        <f>COUNTIFS(Table5[Country],Tabela1[[#This Row],[Country]],Table5[10000m Classification],"&gt;0")</f>
        <v>0</v>
      </c>
      <c r="AQ89" s="6">
        <f>COUNTIFS(Table4[Country],Tabela1[[#This Row],[Country]],Table4[110m Hurdles Classification],"&gt;0")</f>
        <v>0</v>
      </c>
      <c r="AR89" s="6">
        <f>COUNTIFS(Table5[Country],Tabela1[[#This Row],[Country]],Table5[100m Hurdles Classification],"&gt;0")</f>
        <v>0</v>
      </c>
      <c r="AS89" s="6">
        <f>COUNTIFS(Table4[Country],Tabela1[[#This Row],[Country]],Table4[400m Hurdles Classification],"&gt;0")</f>
        <v>0</v>
      </c>
      <c r="AT89" s="6">
        <f>COUNTIFS(Table5[Country],Tabela1[[#This Row],[Country]],Table5[400m Hurdles Classification],"&gt;0")</f>
        <v>0</v>
      </c>
      <c r="AU89" s="6">
        <f>COUNTIFS(Table4[Country],Tabela1[[#This Row],[Country]],Table4[3000m Steeplechase Classification],"&gt;0")</f>
        <v>0</v>
      </c>
      <c r="AV89" s="6">
        <f>COUNTIFS(Table5[Country],Tabela1[[#This Row],[Country]],Table5[3000m Steeplechase Classification],"&gt;0")</f>
        <v>0</v>
      </c>
      <c r="AW89" s="6">
        <f>COUNTIFS(Table27[Country],Tabela1[[#This Row],[Country]],Table27[Men''s 4x100m Relay Classification],"&gt;0")</f>
        <v>0</v>
      </c>
      <c r="AX89" s="6">
        <f>COUNTIFS(Table27[Country],Tabela1[[#This Row],[Country]],Table27[Women''s 4x100m Relay Classification],"&gt;0")</f>
        <v>0</v>
      </c>
      <c r="AY89" s="6">
        <f>COUNTIFS(Table27[Country],Tabela1[[#This Row],[Country]],Table27[Men''s 4x400m Relay Classification],"&gt;0")</f>
        <v>0</v>
      </c>
      <c r="AZ89" s="6">
        <f>COUNTIFS(Table27[Country],Tabela1[[#This Row],[Country]],Table27[Women''s 4x400m Relay Classification],"&gt;0")</f>
        <v>0</v>
      </c>
      <c r="BA89" s="6">
        <f>COUNTIFS(Table27[Country],Tabela1[[#This Row],[Country]],Table27[Mixed 4x400m Relay Classification],"&gt;0")</f>
        <v>0</v>
      </c>
      <c r="BB89" s="6">
        <f>COUNTIFS(Table4[Country],Tabela1[[#This Row],[Country]],Table4[Marathon Classification],"&gt;0")</f>
        <v>0</v>
      </c>
      <c r="BC89" s="6">
        <f>COUNTIFS(Table5[Country],Tabela1[[#This Row],[Country]],Table5[Marathon Classification],"&gt;0")</f>
        <v>0</v>
      </c>
      <c r="BD89" s="6">
        <f>COUNTIFS(Table4[Country],Tabela1[[#This Row],[Country]],Table4[20km Race Walk Classification],"&gt;0")</f>
        <v>0</v>
      </c>
      <c r="BE89" s="6">
        <f>COUNTIFS(Table5[Country],Tabela1[[#This Row],[Country]],Table5[20km Race Walk Classification],"&gt;0")</f>
        <v>0</v>
      </c>
      <c r="BF89" s="6">
        <f>COUNTIFS(Tabela96[Country],Tabela1[[#This Row],[Country]],Tabela96[Mixed Marathon Race Walk Relay Classification],"&gt;0")</f>
        <v>0</v>
      </c>
      <c r="BG89" s="6">
        <f>COUNTIFS(Table4[Country],Tabela1[[#This Row],[Country]],Table4[Discus Throw Classification],"&gt;0")</f>
        <v>0</v>
      </c>
      <c r="BH89" s="6">
        <f>COUNTIFS(Table5[Country],Tabela1[[#This Row],[Country]],Table5[Discus Throw Classification],"&gt;0")</f>
        <v>0</v>
      </c>
      <c r="BI89" s="6">
        <f>COUNTIFS(Table4[Country],Tabela1[[#This Row],[Country]],Table4[Hammer Throw Classification],"&gt;0")</f>
        <v>0</v>
      </c>
      <c r="BJ89" s="6">
        <f>COUNTIFS(Table5[Country],Tabela1[[#This Row],[Country]],Table5[Hammer Throw Classification],"&gt;0")</f>
        <v>0</v>
      </c>
      <c r="BK89" s="6">
        <f>COUNTIFS(Table4[Country],Tabela1[[#This Row],[Country]],Table4[High Jump Classification],"&gt;0")</f>
        <v>0</v>
      </c>
      <c r="BL89" s="6">
        <f>COUNTIFS(Table5[Country],Tabela1[[#This Row],[Country]],Table5[High Jump Classification],"&gt;0")</f>
        <v>0</v>
      </c>
      <c r="BM89" s="6">
        <f>COUNTIFS(Table4[Country],Tabela1[[#This Row],[Country]],Table4[Javelin Throw Classification],"&gt;0")</f>
        <v>0</v>
      </c>
      <c r="BN89" s="6">
        <f>COUNTIFS(Table5[Country],Tabela1[[#This Row],[Country]],Table5[Javelin Throw Classification],"&gt;0")</f>
        <v>0</v>
      </c>
      <c r="BO89" s="6">
        <f>COUNTIFS(Table4[Country],Tabela1[[#This Row],[Country]],Table4[Long Jump Classification],"&gt;0")</f>
        <v>0</v>
      </c>
      <c r="BP89" s="6">
        <f>COUNTIFS(Table5[Country],Tabela1[[#This Row],[Country]],Table5[Long Jump Classification],"&gt;0")</f>
        <v>0</v>
      </c>
      <c r="BQ89" s="6">
        <f>COUNTIFS(Table4[Country],Tabela1[[#This Row],[Country]],Table4[Pole Vault Classification],"&gt;0")</f>
        <v>0</v>
      </c>
      <c r="BR89" s="6">
        <f>COUNTIFS(Table5[Country],Tabela1[[#This Row],[Country]],Table5[Pole Vault Classification],"&gt;0")</f>
        <v>0</v>
      </c>
      <c r="BS89" s="6">
        <f>COUNTIFS(Table4[Country],Tabela1[[#This Row],[Country]],Table4[Shot Put Classification],"&gt;0")</f>
        <v>0</v>
      </c>
      <c r="BT89" s="6">
        <f>COUNTIFS(Table5[Country],Tabela1[[#This Row],[Country]],Table5[Shot Put Classification],"&gt;0")</f>
        <v>0</v>
      </c>
      <c r="BU89" s="6">
        <f>COUNTIFS(Table4[Country],Tabela1[[#This Row],[Country]],Table4[Triple Jump Classification],"&gt;0")</f>
        <v>0</v>
      </c>
      <c r="BV89" s="6">
        <f>COUNTIFS(Table5[Country],Tabela1[[#This Row],[Country]],Table5[Triple Jump Classification],"&gt;0")</f>
        <v>0</v>
      </c>
      <c r="BW89" s="6">
        <f>COUNTIFS(Table4[Country],Tabela1[[#This Row],[Country]],Table4[Decathlon Classification],"&gt;0")</f>
        <v>0</v>
      </c>
      <c r="BX89" s="6">
        <f>COUNTIFS(Table5[Country],Tabela1[[#This Row],[Country]],Table5[Heptathlon Classification],"&gt;0")</f>
        <v>0</v>
      </c>
      <c r="BY89" s="6">
        <f>COUNTIFS(Table61[Country],Tabela1[[#This Row],[Country]],Table61[Classification],"&gt;0")</f>
        <v>0</v>
      </c>
      <c r="BZ89" s="6">
        <f>COUNTIFS(Table38[Country],Tabela1[[#This Row],[Country]],Table38[Classification],"&gt;0")</f>
        <v>0</v>
      </c>
      <c r="CA89" s="6">
        <f>COUNTIFS(Table39[Country],Tabela1[[#This Row],[Country]],Table39[Men''s Classification],"&gt;0")</f>
        <v>0</v>
      </c>
      <c r="CB89" s="6">
        <f>COUNTIFS(Table39[Country],Tabela1[[#This Row],[Country]],Table39[Women''s Classification],"&gt;0")</f>
        <v>0</v>
      </c>
      <c r="CC89" s="6">
        <f>COUNTIFS(Table39[Country],Tabela1[[#This Row],[Country]],Table39[Mixed Classification],"&gt;0")</f>
        <v>0</v>
      </c>
      <c r="CD89" s="6">
        <f>COUNTIFS(Table89[Country],Tabela1[[#This Row],[Country]],Table89[Men''s Classification],"&gt;0")</f>
        <v>0</v>
      </c>
      <c r="CE89" s="6">
        <f>COUNTIFS(Table89[Country],Tabela1[[#This Row],[Country]],Table89[Women''s Classification],"&gt;0")</f>
        <v>0</v>
      </c>
      <c r="CF89" s="6">
        <f>COUNTIFS(Table90[Country],Tabela1[[#This Row],[Country]],Table90[Men''s Classification],"&gt;0")</f>
        <v>0</v>
      </c>
      <c r="CG89" s="6">
        <f>COUNTIFS(Table90[Country],Tabela1[[#This Row],[Country]],Table90[Women''s Classification],"&gt;0")</f>
        <v>0</v>
      </c>
      <c r="CH89" s="6">
        <f>COUNTIFS(Table60[Country],Tabela1[[#This Row],[Country]],Table60[Men''s Classification],"&gt;0")</f>
        <v>0</v>
      </c>
      <c r="CI89" s="6">
        <f>COUNTIFS(Table60[Country],Tabela1[[#This Row],[Country]],Table60[Women''s Classification],"&gt;0")</f>
        <v>0</v>
      </c>
      <c r="CJ89" s="6">
        <f>COUNTIFS(Table6[Country],Tabela1[[#This Row],[Country]],Table6[51kg Classification],"&gt;0")</f>
        <v>0</v>
      </c>
      <c r="CK89" s="6">
        <f>COUNTIFS(Table6[Country],Tabela1[[#This Row],[Country]],Table6[57kg Classification],"&gt;0")</f>
        <v>0</v>
      </c>
      <c r="CL89" s="6">
        <f>COUNTIFS(Table6[Country],Tabela1[[#This Row],[Country]],Table6[63.5kg Classification],"&gt;0")</f>
        <v>0</v>
      </c>
      <c r="CM89" s="6">
        <f>COUNTIFS(Table6[Country],Tabela1[[#This Row],[Country]],Table6[71kg Classification],"&gt;0")</f>
        <v>0</v>
      </c>
      <c r="CN89" s="6">
        <f>COUNTIFS(Table6[Country],Tabela1[[#This Row],[Country]],Table6[80kg Classification],"&gt;0")</f>
        <v>0</v>
      </c>
      <c r="CO89" s="6">
        <f>COUNTIFS(Table6[Country],Tabela1[[#This Row],[Country]],Table6[92kg Classification],"&gt;0")</f>
        <v>0</v>
      </c>
      <c r="CP89" s="6">
        <f>COUNTIFS(Table6[Country],Tabela1[[#This Row],[Country]],Table6[Plus 92kg Classification],"&gt;0")</f>
        <v>0</v>
      </c>
      <c r="CQ89" s="6">
        <f>COUNTIFS(Table7[Country],Tabela1[[#This Row],[Country]],Table7[50kg Classification],"&gt;0")</f>
        <v>0</v>
      </c>
      <c r="CR89" s="6">
        <f>COUNTIFS(Table7[Country],Tabela1[[#This Row],[Country]],Table7[54kg Classification],"&gt;0")</f>
        <v>0</v>
      </c>
      <c r="CS89" s="6">
        <f>COUNTIFS(Table7[Country],Tabela1[[#This Row],[Country]],Table7[57kg Classification],"&gt;0")</f>
        <v>0</v>
      </c>
      <c r="CT89" s="6">
        <f>COUNTIFS(Table7[Country],Tabela1[[#This Row],[Country]],Table7[60kg Classification],"&gt;0")</f>
        <v>0</v>
      </c>
      <c r="CU89" s="6">
        <f>COUNTIFS(Table7[Country],Tabela1[[#This Row],[Country]],Table7[66kg Classification],"&gt;0")</f>
        <v>0</v>
      </c>
      <c r="CV89" s="6">
        <f>COUNTIFS(Table7[Country],Tabela1[[#This Row],[Country]],Table7[75kg Classification],"&gt;0")</f>
        <v>0</v>
      </c>
      <c r="CW89" s="6">
        <f>COUNTIFS(Tabela94[Country],Tabela1[[#This Row],[Country]],Tabela94[Classification],"&gt;0")</f>
        <v>0</v>
      </c>
      <c r="CX89" s="6">
        <f>COUNTIFS(Tabela9499[Country],Tabela1[[#This Row],[Country]],Tabela9499[Classification],"&gt;0")</f>
        <v>0</v>
      </c>
      <c r="CY89" s="6">
        <f>COUNTIFS(Tabela107[Country],Tabela1[[#This Row],[Country]],Tabela107[C1 Slalom Classification],"&gt;0")</f>
        <v>0</v>
      </c>
      <c r="CZ89" s="6">
        <f>COUNTIFS(Tabela107122[Country],Tabela1[[#This Row],[Country]],Tabela107122[C1 Slalom Classification],"&gt;0")</f>
        <v>0</v>
      </c>
      <c r="DA89" s="6">
        <f>COUNTIFS(Tabela107[Country],Tabela1[[#This Row],[Country]],Tabela107[K1 Slalom Classification],"&gt;0")</f>
        <v>0</v>
      </c>
      <c r="DB89" s="6">
        <f>COUNTIFS(Tabela107122[Country],Tabela1[[#This Row],[Country]],Tabela107122[K1 Slalom Classification],"&gt;0")</f>
        <v>0</v>
      </c>
      <c r="DC89" s="6">
        <f>COUNTIFS(Tabela107[Country],Tabela1[[#This Row],[Country]],Tabela107[Kayak Cross Slalom Classification],"&gt;0")</f>
        <v>0</v>
      </c>
      <c r="DD89" s="6">
        <f>COUNTIFS(Tabela107122[Country],Tabela1[[#This Row],[Country]],Tabela107122[Kayak Cross Slalom Classification],"&gt;0")</f>
        <v>0</v>
      </c>
      <c r="DE89" s="6">
        <f>COUNTIFS(Table8[Country],Tabela1[[#This Row],[Country]],Table8[C1 200m Classification],"&gt;0")</f>
        <v>0</v>
      </c>
      <c r="DF89" s="6">
        <f>COUNTIFS(Table40[Country],Tabela1[[#This Row],[Country]],Table40[C1 1000m Classification],"&gt;0")</f>
        <v>0</v>
      </c>
      <c r="DG89" s="6">
        <f>COUNTIFS(Table68[Country],Tabela1[[#This Row],[Country]],Table68[Men''s C2 500m Classification],"&gt;0")</f>
        <v>0</v>
      </c>
      <c r="DH89" s="6">
        <f>COUNTIFS(Table68[Country],Tabela1[[#This Row],[Country]],Table68[Women''s C2 500m Classification],"&gt;0")</f>
        <v>0</v>
      </c>
      <c r="DI89" s="6">
        <f>COUNTIFS(Table8[Country],Tabela1[[#This Row],[Country]],Table8[K1 500m Classification],"&gt;0")</f>
        <v>0</v>
      </c>
      <c r="DJ89" s="6">
        <f>COUNTIFS(Table40[Country],Tabela1[[#This Row],[Country]],Table40[K1 1000m Classification],"&gt;0")</f>
        <v>0</v>
      </c>
      <c r="DK89" s="6">
        <f>COUNTIFS(Table68[Country],Tabela1[[#This Row],[Country]],Table68[Men''s K2 500m Classification],"&gt;0")</f>
        <v>0</v>
      </c>
      <c r="DL89" s="6">
        <f>COUNTIFS(Table68[Country],Tabela1[[#This Row],[Country]],Table68[Women''s K2 500m Classification],"&gt;0")</f>
        <v>0</v>
      </c>
      <c r="DM89" s="6">
        <f>COUNTIFS(Table83[Country],Tabela1[[#This Row],[Country]],Table83[Men''s K4 500m Classification],"&gt;0")</f>
        <v>0</v>
      </c>
      <c r="DN89" s="6">
        <f>COUNTIFS(Table83[Country],Tabela1[[#This Row],[Country]],Table83[Women''s K4 500m Classification],"&gt;0")</f>
        <v>0</v>
      </c>
      <c r="DO89" s="6">
        <f>COUNTIFS(Tabela126[Country],Tabela1[[#This Row],[Country]],Tabela126[Classification],"&gt;0")</f>
        <v>0</v>
      </c>
      <c r="DP89" s="6">
        <f>COUNTIFS(Tabela126130[Country],Tabela1[[#This Row],[Country]],Tabela126130[Classification],"&gt;0")</f>
        <v>0</v>
      </c>
      <c r="DQ89" s="6">
        <f>COUNTIFS(Table70[Country],Tabela1[[#This Row],[Country]],Table70[Classification],"&gt;0")</f>
        <v>0</v>
      </c>
      <c r="DR89" s="6">
        <f>COUNTIFS(Table80[Country],Tabela1[[#This Row],[Country]],Table80[Classification],"&gt;0")</f>
        <v>0</v>
      </c>
      <c r="DS89" s="6">
        <f>COUNTIFS(Table66[Country],Tabela1[[#This Row],[Country]],Table66[Classification],"&gt;0")</f>
        <v>0</v>
      </c>
      <c r="DT89" s="6">
        <f>COUNTIFS(Table67[Country],Tabela1[[#This Row],[Country]],Table67[Classification],"&gt;0")</f>
        <v>0</v>
      </c>
      <c r="DU89" s="6">
        <f>COUNTIFS(Table69[Country],Tabela1[[#This Row],[Country]],Table69[Keirin Classification],"&gt;0")</f>
        <v>0</v>
      </c>
      <c r="DV89" s="6">
        <f>COUNTIFS(Table41[Country],Tabela1[[#This Row],[Country]],Table41[Keirin Classification],"&gt;0")</f>
        <v>0</v>
      </c>
      <c r="DW89" s="6">
        <f>COUNTIFS(Table84[Country],Tabela1[[#This Row],[Country]],Table84[Men''s Madison Classification],"&gt;0")</f>
        <v>0</v>
      </c>
      <c r="DX89" s="6">
        <f>COUNTIFS(Table84[Country],Tabela1[[#This Row],[Country]],Table84[Women''s Madison Classification],"&gt;0")</f>
        <v>0</v>
      </c>
      <c r="DY89" s="6">
        <f>COUNTIFS(Table69[Country],Tabela1[[#This Row],[Country]],Table69[Omnium Classification],"&gt;0")</f>
        <v>0</v>
      </c>
      <c r="DZ89" s="6">
        <f>COUNTIFS(Table41[Country],Tabela1[[#This Row],[Country]],Table41[Omnium Classification],"&gt;0")</f>
        <v>0</v>
      </c>
      <c r="EA89" s="6">
        <f>COUNTIFS(Table9[Country],Tabela1[[#This Row],[Country]],Table9[Road Race Classification],"&gt;0")</f>
        <v>0</v>
      </c>
      <c r="EB89" s="6">
        <f>COUNTIFS(Table14[Country],Tabela1[[#This Row],[Country]],Table14[Road Race Classification],"&gt;0")</f>
        <v>0</v>
      </c>
      <c r="EC89" s="6">
        <f>COUNTIFS(Table69[Country],Tabela1[[#This Row],[Country]],Table69[Sprint Classification],"&gt;0")</f>
        <v>0</v>
      </c>
      <c r="ED89" s="6">
        <f>COUNTIFS(Table41[Country],Tabela1[[#This Row],[Country]],Table41[Sprint Classification],"&gt;0")</f>
        <v>0</v>
      </c>
      <c r="EE89" s="6">
        <f>COUNTIFS(Table85[Country],Tabela1[[#This Row],[Country]],Table85[Men''s Sprint Classification],"&gt;0")</f>
        <v>0</v>
      </c>
      <c r="EF89" s="6">
        <f>COUNTIFS(Table85[Country],Tabela1[[#This Row],[Country]],Table85[Women''s Sprint Classification],"&gt;0")</f>
        <v>0</v>
      </c>
      <c r="EG89" s="6">
        <f>COUNTIFS(Table85[Country],Tabela1[[#This Row],[Country]],Table85[Men''s Pursuit Classification],"&gt;0")</f>
        <v>0</v>
      </c>
      <c r="EH89" s="6">
        <f>COUNTIFS(Table85[Country],Tabela1[[#This Row],[Country]],Table85[Women''s Pursuit Classification],"&gt;0")</f>
        <v>0</v>
      </c>
      <c r="EI89" s="6">
        <f>COUNTIFS(Table9[Country],Tabela1[[#This Row],[Country]],Table9[Time-Trial Classification],"&gt;0")</f>
        <v>0</v>
      </c>
      <c r="EJ89" s="6">
        <f>COUNTIFS(Table14[Country],Tabela1[[#This Row],[Country]],Table14[Time-Trial Classification],"&gt;0")</f>
        <v>0</v>
      </c>
      <c r="EK89" s="6">
        <f>COUNTIFS(Table42[Country],Tabela1[[#This Row],[Country]],Table42[Springboard Classification],"&gt;0")</f>
        <v>0</v>
      </c>
      <c r="EL89" s="6">
        <f>COUNTIFS(Table43[Country],Tabela1[[#This Row],[Country]],Table43[Springboard Classification],"&gt;0")</f>
        <v>0</v>
      </c>
      <c r="EM89" s="6">
        <f>COUNTIFS(Table42[Country],Tabela1[[#This Row],[Country]],Table42[Platform Classification],"&gt;0")</f>
        <v>0</v>
      </c>
      <c r="EN89" s="6">
        <f>COUNTIFS(Table43[Country],Tabela1[[#This Row],[Country]],Table43[Platform Classification],"&gt;0")</f>
        <v>0</v>
      </c>
      <c r="EO89" s="6">
        <f>COUNTIFS(Table86[Country],Tabela1[[#This Row],[Country]],Table86[Men''s Synchronized Springboard Classification],"&gt;0")</f>
        <v>0</v>
      </c>
      <c r="EP89" s="6">
        <f>COUNTIFS(Table86[Country],Tabela1[[#This Row],[Country]],Table86[Women''s Synchronized Springboard Classification],"&gt;0")</f>
        <v>0</v>
      </c>
      <c r="EQ89" s="6">
        <f>COUNTIFS(Table86[Country],Tabela1[[#This Row],[Country]],Table86[Men''s Synchronized Platform Classification],"&gt;0")</f>
        <v>0</v>
      </c>
      <c r="ER89" s="6">
        <f>COUNTIFS(Table86[Country],Tabela1[[#This Row],[Country]],Table86[Women''s Synchronized Platform Classification],"&gt;0")</f>
        <v>0</v>
      </c>
      <c r="ES89" s="6">
        <f>COUNTIFS(Table44[Country],Tabela1[[#This Row],[Country]],Table44[Dressage Classification],"&gt;0")</f>
        <v>0</v>
      </c>
      <c r="ET89" s="6">
        <f>COUNTIFS(Table45[Country],Tabela1[[#This Row],[Country]],Table45[Dressage Classification],"&gt;0")</f>
        <v>0</v>
      </c>
      <c r="EU89" s="6">
        <f>COUNTIFS(Table44[Country],Tabela1[[#This Row],[Country]],Table44[Eventing Classification],"&gt;0")</f>
        <v>0</v>
      </c>
      <c r="EV89" s="6">
        <f>COUNTIFS(Table45[Country],Tabela1[[#This Row],[Country]],Table45[Eventing Classification],"&gt;0")</f>
        <v>0</v>
      </c>
      <c r="EW89" s="6">
        <f>COUNTIFS(Table44[Country],Tabela1[[#This Row],[Country]],Table44[Jumping Classification],"&gt;0")</f>
        <v>0</v>
      </c>
      <c r="EX89" s="6">
        <f>COUNTIFS(Table45[Country],Tabela1[[#This Row],[Country]],Table45[Jumping Classification],"&gt;0")</f>
        <v>0</v>
      </c>
      <c r="EY89" s="6">
        <f>COUNTIFS(Table10[Country],Tabela1[[#This Row],[Country]],Table10[Épée Classification],"&gt;0")</f>
        <v>0</v>
      </c>
      <c r="EZ89" s="6">
        <f>COUNTIFS(Table11[Country],Tabela1[[#This Row],[Country]],Table11[Épée Classification],"&gt;0")</f>
        <v>0</v>
      </c>
      <c r="FA89" s="6">
        <f>COUNTIFS(Table46[Country],Tabela1[[#This Row],[Country]],Table46[Men''s Épée Classification],"&gt;0")</f>
        <v>0</v>
      </c>
      <c r="FB89" s="6">
        <f>COUNTIFS(Table46[Country],Tabela1[[#This Row],[Country]],Table46[Women''s Épée Classification],"&gt;0")</f>
        <v>0</v>
      </c>
      <c r="FC89" s="6">
        <f>COUNTIFS(Table10[Country],Tabela1[[#This Row],[Country]],Table10[Foil Classification],"&gt;0")</f>
        <v>0</v>
      </c>
      <c r="FD89" s="6">
        <f>COUNTIFS(Table11[Country],Tabela1[[#This Row],[Country]],Table11[Foil Classification],"&gt;0")</f>
        <v>0</v>
      </c>
      <c r="FE89" s="6">
        <f>COUNTIFS(Table46[Country],Tabela1[[#This Row],[Country]],Table46[Men''s Foil Classification],"&gt;0")</f>
        <v>0</v>
      </c>
      <c r="FF89" s="6">
        <f>COUNTIFS(Table46[Country],Tabela1[[#This Row],[Country]],Table46[Women''s Foil Classification],"&gt;0")</f>
        <v>0</v>
      </c>
      <c r="FG89" s="6">
        <f>COUNTIFS(Table10[Country],Tabela1[[#This Row],[Country]],Table10[Sabre Classification],"&gt;0")</f>
        <v>0</v>
      </c>
      <c r="FH89" s="6">
        <f>COUNTIFS(Table11[Country],Tabela1[[#This Row],[Country]],Table11[Sabre Classification],"&gt;0")</f>
        <v>0</v>
      </c>
      <c r="FI89" s="6">
        <f>COUNTIFS(Table46[Country],Tabela1[[#This Row],[Country]],Table46[Men''s Sabre Classification],"&gt;0")</f>
        <v>0</v>
      </c>
      <c r="FJ89" s="6">
        <f>COUNTIFS(Table46[Country],Tabela1[[#This Row],[Country]],Table46[Women''s Sabre Classification],"&gt;0")</f>
        <v>0</v>
      </c>
      <c r="FK89" s="6">
        <f>COUNTIFS(Table91[Country],Tabela1[[#This Row],[Country]],Table91[Men''s Classification],"&gt;0")</f>
        <v>0</v>
      </c>
      <c r="FL89" s="6">
        <f>COUNTIFS(Table91[Country],Tabela1[[#This Row],[Country]],Table91[Women''s Classification],"&gt;0")</f>
        <v>0</v>
      </c>
      <c r="FM89" s="6">
        <f>COUNTIFS(Table9194[Country],Tabela1[[#This Row],[Country]],Table9194[Men''s Classification],"&gt;0")</f>
        <v>0</v>
      </c>
      <c r="FN89" s="6">
        <f>COUNTIFS(Table9194[Country],Tabela1[[#This Row],[Country]],Table9194[Women''s Classification],"&gt;0")</f>
        <v>0</v>
      </c>
      <c r="FO89" s="6">
        <f>COUNTIFS(Table71[Country],Tabela1[[#This Row],[Country]],Table71[Classification],"&gt;0")</f>
        <v>0</v>
      </c>
      <c r="FP89" s="6">
        <f>COUNTIFS(Table62[Country],Tabela1[[#This Row],[Country]],Table62[Classification],"&gt;0")</f>
        <v>0</v>
      </c>
      <c r="FQ89" s="6">
        <f>COUNTIFS(Table47[Country],Tabela1[[#This Row],[Country]],Table47[All-Around Classification],"&gt;0")</f>
        <v>0</v>
      </c>
      <c r="FR89" s="6">
        <f>COUNTIFS(Table48[Country],Tabela1[[#This Row],[Country]],Table48[All-Around Classification],"&gt;0")</f>
        <v>0</v>
      </c>
      <c r="FS89" s="6">
        <f>COUNTIFS(Table81[Country],Tabela1[[#This Row],[Country]],Table81[Men''s All-Around Classification],"&gt;0")</f>
        <v>0</v>
      </c>
      <c r="FT89" s="6">
        <f>COUNTIFS(Table81[Country],Tabela1[[#This Row],[Country]],Table81[Women''s All-Around Classification],"&gt;0")</f>
        <v>0</v>
      </c>
      <c r="FU89" s="6">
        <f>COUNTIFS(Table48[Country],Tabela1[[#This Row],[Country]],Table48[Balance Beam Classification],"&gt;0")</f>
        <v>0</v>
      </c>
      <c r="FV89" s="6">
        <f>COUNTIFS(Table47[Country],Tabela1[[#This Row],[Country]],Table47[Floor Exercise Classification],"&gt;0")</f>
        <v>0</v>
      </c>
      <c r="FW89" s="6">
        <f>COUNTIFS(Table48[Country],Tabela1[[#This Row],[Country]],Table48[Floor Exercise Classification],"&gt;0")</f>
        <v>0</v>
      </c>
      <c r="FX89" s="6">
        <f>COUNTIFS(Table47[Country],Tabela1[[#This Row],[Country]],Table47[Horizontal Bar Classification],"&gt;0")</f>
        <v>0</v>
      </c>
      <c r="FY89" s="6">
        <f>COUNTIFS(Table47[Country],Tabela1[[#This Row],[Country]],Table47[Parallel Bars Classification],"&gt;0")</f>
        <v>0</v>
      </c>
      <c r="FZ89" s="6">
        <f>COUNTIFS(Table47[Country],Tabela1[[#This Row],[Country]],Table47[Pommel Horse Classification],"&gt;0")</f>
        <v>0</v>
      </c>
      <c r="GA89" s="6">
        <f>COUNTIFS(Table47[Country],Tabela1[[#This Row],[Country]],Table47[Rings Classification],"&gt;0")</f>
        <v>0</v>
      </c>
      <c r="GB89" s="6">
        <f>COUNTIFS(Tabela132[Country],Tabela1[[#This Row],[Country]],Tabela132[Classification],"&gt;0")</f>
        <v>0</v>
      </c>
      <c r="GC89" s="6">
        <f>COUNTIFS(Tabela139[Country],Tabela1[[#This Row],[Country]],Tabela139[Classification],"&gt;0")</f>
        <v>0</v>
      </c>
      <c r="GD89" s="6">
        <f>COUNTIFS(Table48[Country],Tabela1[[#This Row],[Country]],Table48[Uneven Bars Classification],"&gt;0")</f>
        <v>0</v>
      </c>
      <c r="GE89" s="6">
        <f>COUNTIFS(Table47[Country],Tabela1[[#This Row],[Country]],Table47[Vault Classification],"&gt;0")</f>
        <v>0</v>
      </c>
      <c r="GF89" s="6">
        <f>COUNTIFS(Table48[Country],Tabela1[[#This Row],[Country]],Table48[Vault Classification],"&gt;0")</f>
        <v>0</v>
      </c>
      <c r="GG89" s="6">
        <f>COUNTIFS(Table919496[Country],Tabela1[[#This Row],[Country]],Table919496[Men''s Classification],"&gt;0")</f>
        <v>0</v>
      </c>
      <c r="GH89" s="6">
        <f>COUNTIFS(Table919496[Country],Tabela1[[#This Row],[Country]],Table919496[Women''s Classification],"&gt;0")</f>
        <v>0</v>
      </c>
      <c r="GI89" s="6">
        <f>COUNTIFS(Table12[Country],Tabela1[[#This Row],[Country]],Table12[60kg Classification],"&gt;0")</f>
        <v>0</v>
      </c>
      <c r="GJ89" s="6">
        <f>COUNTIFS(Table12[Country],Tabela1[[#This Row],[Country]],Table12[66kg Classification],"&gt;0")</f>
        <v>0</v>
      </c>
      <c r="GK89" s="6">
        <f>COUNTIFS(Table12[Country],Tabela1[[#This Row],[Country]],Table12[73kg Classification],"&gt;0")</f>
        <v>0</v>
      </c>
      <c r="GL89" s="6">
        <f>COUNTIFS(Table12[Country],Tabela1[[#This Row],[Country]],Table12[81kg Classification],"&gt;0")</f>
        <v>0</v>
      </c>
      <c r="GM89" s="6">
        <f>COUNTIFS(Table12[Country],Tabela1[[#This Row],[Country]],Table12[90kg Classification],"&gt;0")</f>
        <v>0</v>
      </c>
      <c r="GN89" s="6">
        <f>COUNTIFS(Table12[Country],Tabela1[[#This Row],[Country]],Table12[100kg Classification],"&gt;0")</f>
        <v>0</v>
      </c>
      <c r="GO89" s="6">
        <f>COUNTIFS(Table12[Country],Tabela1[[#This Row],[Country]],Table12[Plus 100kg Classification],"&gt;0")</f>
        <v>0</v>
      </c>
      <c r="GP89" s="6">
        <f>COUNTIFS(Table13[Country],Tabela1[[#This Row],[Country]],Table13[48kg Classification],"&gt;0")</f>
        <v>0</v>
      </c>
      <c r="GQ89" s="6">
        <f>COUNTIFS(Table13[Country],Tabela1[[#This Row],[Country]],Table13[52kg Classification],"&gt;0")</f>
        <v>0</v>
      </c>
      <c r="GR89" s="6">
        <f>COUNTIFS(Table13[Country],Tabela1[[#This Row],[Country]],Table13[57kg Classification],"&gt;0")</f>
        <v>0</v>
      </c>
      <c r="GS89" s="6">
        <f>COUNTIFS(Table13[Country],Tabela1[[#This Row],[Country]],Table13[63kg Classification],"&gt;0")</f>
        <v>0</v>
      </c>
      <c r="GT89" s="6">
        <f>COUNTIFS(Table13[Country],Tabela1[[#This Row],[Country]],Table13[70kg Classification],"&gt;0")</f>
        <v>0</v>
      </c>
      <c r="GU89" s="6">
        <f>COUNTIFS(Table13[Country],Tabela1[[#This Row],[Country]],Table13[78kg Classification],"&gt;0")</f>
        <v>0</v>
      </c>
      <c r="GV89" s="6">
        <f>COUNTIFS(Table13[Country],Tabela1[[#This Row],[Country]],Table13[Plus 78kg Classification],"&gt;0")</f>
        <v>0</v>
      </c>
      <c r="GW89" s="6">
        <f>COUNTIFS(Table82[Country],Tabela1[[#This Row],[Country]],Table82[Mixed Classification],"&gt;0")</f>
        <v>0</v>
      </c>
      <c r="GX89" s="6">
        <f>COUNTIFS(Table51[Country],Tabela1[[#This Row],[Country]],Table51[Classification],"&gt;0")</f>
        <v>0</v>
      </c>
      <c r="GY89" s="6">
        <f>COUNTIFS(Table52[Country],Tabela1[[#This Row],[Country]],Table52[Classification],"&gt;0")</f>
        <v>0</v>
      </c>
      <c r="GZ89" s="6">
        <f>COUNTIFS(Table32[Country],Tabela1[[#This Row],[Country]],Table32[All-Around Classification],"&gt;0")</f>
        <v>0</v>
      </c>
      <c r="HA89" s="6">
        <f>COUNTIFS(Table49[Country],Tabela1[[#This Row],[Country]],Table49[All-Around Classification],"&gt;0")</f>
        <v>0</v>
      </c>
      <c r="HB89" s="6">
        <f>COUNTIFS(Table26[Country],Tabela1[[#This Row],[Country]],Table26[Single Sculls Classification],"&gt;0")</f>
        <v>0</v>
      </c>
      <c r="HC89" s="6">
        <f>COUNTIFS(Table63[Country],Tabela1[[#This Row],[Country]],Table63[Single Sculls Classification],"&gt;0")</f>
        <v>0</v>
      </c>
      <c r="HD89" s="6">
        <f>COUNTIFS(Table16[Country],Tabela1[[#This Row],[Country]],Table16[Men''s Double Sculls Classification],"&gt;0")</f>
        <v>0</v>
      </c>
      <c r="HE89" s="6">
        <f>COUNTIFS(Table16[Country],Tabela1[[#This Row],[Country]],Table16[Women''s Double Sculls Classification],"&gt;0")</f>
        <v>0</v>
      </c>
      <c r="HF89" s="6">
        <f>COUNTIFS(Table72[Country],Tabela1[[#This Row],[Country]],Table72[Men''s Quadruple Sculls Classification],"&gt;0")</f>
        <v>0</v>
      </c>
      <c r="HG89" s="6">
        <f>COUNTIFS(Table72[Country],Tabela1[[#This Row],[Country]],Table72[Women''s Quadruple Sculls Classification],"&gt;0")</f>
        <v>0</v>
      </c>
      <c r="HH89" s="6">
        <f>COUNTIFS(Table16[Country],Tabela1[[#This Row],[Country]],Table16[Men''s Coxless Pairs Classification],"&gt;0")</f>
        <v>0</v>
      </c>
      <c r="HI89" s="6">
        <f>COUNTIFS(Table16[Country],Tabela1[[#This Row],[Country]],Table16[Women''s Coxless Pairs Classification],"&gt;0")</f>
        <v>0</v>
      </c>
      <c r="HJ89" s="6">
        <f>COUNTIFS(Table72[Country],Tabela1[[#This Row],[Country]],Table72[Men''s Coxless Fours Classification],"&gt;0")</f>
        <v>0</v>
      </c>
      <c r="HK89" s="6">
        <f>COUNTIFS(Table72[Country],Tabela1[[#This Row],[Country]],Table72[Women''s Coxless Fours Classification],"&gt;0")</f>
        <v>0</v>
      </c>
      <c r="HL89" s="6">
        <f>COUNTIFS(Table72[Country],Tabela1[[#This Row],[Country]],Table72[Men''s Eights Classification],"&gt;0")</f>
        <v>0</v>
      </c>
      <c r="HM89" s="6">
        <f>COUNTIFS(Table72[Country],Tabela1[[#This Row],[Country]],Table72[Women''s Eights Classification],"&gt;0")</f>
        <v>0</v>
      </c>
      <c r="HN89" s="6">
        <f>COUNTIFS(Table16[Country],Tabela1[[#This Row],[Country]],Table16[Men''s Lwt. Double Sculls Classification],"&gt;0")</f>
        <v>0</v>
      </c>
      <c r="HO89" s="6">
        <f>COUNTIFS(Table16[Country],Tabela1[[#This Row],[Country]],Table16[Women''s Lwt. Double Sculls Classification],"&gt;0")</f>
        <v>0</v>
      </c>
      <c r="HP89" s="6">
        <f>COUNTIFS(Table91949698[Country],Tabela1[[#This Row],[Country]],Table91949698[Men''s Classification],"&gt;0")</f>
        <v>0</v>
      </c>
      <c r="HQ89" s="6">
        <f>COUNTIFS(Table91949698[Country],Tabela1[[#This Row],[Country]],Table91949698[Women''s Classification],"&gt;0")</f>
        <v>0</v>
      </c>
      <c r="HR89" s="6">
        <f>COUNTIFS(Table25[Country],Tabela1[[#This Row],[Country]],Table25[Mixed 470 Classification],"&gt;0")</f>
        <v>0</v>
      </c>
      <c r="HS89" s="6">
        <f>COUNTIFS(Table25[Country],Tabela1[[#This Row],[Country]],Table25[Men''s 49er Classification],"&gt;0")</f>
        <v>0</v>
      </c>
      <c r="HT89" s="6">
        <f>COUNTIFS(Table25[Country],Tabela1[[#This Row],[Country]],Table25[Women''s 49er FX Classification],"&gt;0")</f>
        <v>0</v>
      </c>
      <c r="HU89" s="6">
        <f>COUNTIFS(Table17[Country],Tabela1[[#This Row],[Country]],Table17[Formula Kite Classification],"&gt;0")</f>
        <v>0</v>
      </c>
      <c r="HV89" s="6">
        <f>COUNTIFS(Table18[Country],Tabela1[[#This Row],[Country]],Table18[Formula Kite Classification],"&gt;0")</f>
        <v>0</v>
      </c>
      <c r="HW89" s="6">
        <f>COUNTIFS(Table17[Country],Tabela1[[#This Row],[Country]],Table17[ILCA 7 Classification],"&gt;0")</f>
        <v>0</v>
      </c>
      <c r="HX89" s="6">
        <f>COUNTIFS(Table18[Country],Tabela1[[#This Row],[Country]],Table18[ILCA 6 Classification],"&gt;0")</f>
        <v>0</v>
      </c>
      <c r="HY89" s="6">
        <f>COUNTIFS(Table17[Country],Tabela1[[#This Row],[Country]],Table17[IQFoil Classification],"&gt;0")</f>
        <v>0</v>
      </c>
      <c r="HZ89" s="6">
        <f>COUNTIFS(Table18[Country],Tabela1[[#This Row],[Country]],Table18[IQFoil Classification],"&gt;0")</f>
        <v>0</v>
      </c>
      <c r="IA89" s="6">
        <f>COUNTIFS(Table25[Country],Tabela1[[#This Row],[Country]],Table25[Mixed Nacra 17 Classification],"&gt;0")</f>
        <v>0</v>
      </c>
      <c r="IB89" s="6">
        <f>COUNTIFS(Table53[Country],Tabela1[[#This Row],[Country]],Table53[10m Air Pistol Classification],"&gt;0")</f>
        <v>0</v>
      </c>
      <c r="IC89" s="6">
        <f>COUNTIFS(Table19[Country],Tabela1[[#This Row],[Country]],Table19[10m Air Pistol Classification],"&gt;0")</f>
        <v>0</v>
      </c>
      <c r="ID89" s="6">
        <f>COUNTIFS(Table54[Country],Tabela1[[#This Row],[Country]],Table54[Mixed 10m Air Pistol Team Classification],"&gt;0")</f>
        <v>0</v>
      </c>
      <c r="IE89" s="6">
        <f>COUNTIFS(Table53[Country],Tabela1[[#This Row],[Country]],Table53[10m Air Rifle Classification],"&gt;0")</f>
        <v>0</v>
      </c>
      <c r="IF89" s="6">
        <f>COUNTIFS(Table19[Country],Tabela1[[#This Row],[Country]],Table19[10m Air Rifle Classification],"&gt;0")</f>
        <v>0</v>
      </c>
      <c r="IG89" s="6">
        <f>COUNTIFS(Table54[Country],Tabela1[[#This Row],[Country]],Table54[Mixed 10m Air Rifle Team Classification],"&gt;0")</f>
        <v>0</v>
      </c>
      <c r="IH89" s="6">
        <f>COUNTIFS(Table53[Country],Tabela1[[#This Row],[Country]],Table53[25m Rapid Fire Pistol Classification],"&gt;0")</f>
        <v>0</v>
      </c>
      <c r="II89" s="6">
        <f>COUNTIFS(Table19[Country],Tabela1[[#This Row],[Country]],Table19[25m Pistol Classification],"&gt;0")</f>
        <v>0</v>
      </c>
      <c r="IJ89" s="6">
        <f>COUNTIFS(Table53[Country],Tabela1[[#This Row],[Country]],Table53[50m Rifle 3 Positions Classification],"&gt;0")</f>
        <v>0</v>
      </c>
      <c r="IK89" s="6">
        <f>COUNTIFS(Table19[Country],Tabela1[[#This Row],[Country]],Table19[50m Rifle 3 Positions Classification],"&gt;0")</f>
        <v>0</v>
      </c>
      <c r="IL89" s="6">
        <f>COUNTIFS(Table53[Country],Tabela1[[#This Row],[Country]],Table53[Skeet Classification],"&gt;0")</f>
        <v>0</v>
      </c>
      <c r="IM89" s="6">
        <f>COUNTIFS(Table19[Country],Tabela1[[#This Row],[Country]],Table19[Skeet Classification],"&gt;0")</f>
        <v>0</v>
      </c>
      <c r="IN89" s="6">
        <f>COUNTIFS(Table54[Country],Tabela1[[#This Row],[Country]],Table54[Mixed Skeet Team Classification],"&gt;0")</f>
        <v>0</v>
      </c>
      <c r="IO89" s="6">
        <f>COUNTIFS(Table53[Country],Tabela1[[#This Row],[Country]],Table53[Trap Classification],"&gt;0")</f>
        <v>0</v>
      </c>
      <c r="IP89" s="6">
        <f>COUNTIFS(Table19[Country],Tabela1[[#This Row],[Country]],Table19[Trap Classification],"&gt;0")</f>
        <v>0</v>
      </c>
      <c r="IQ89" s="6">
        <f>COUNTIFS(Table73[Country],Tabela1[[#This Row],[Country]],Table73[Park Classification],"&gt;0")</f>
        <v>0</v>
      </c>
      <c r="IR89" s="6">
        <f>COUNTIFS(Table74[Country],Tabela1[[#This Row],[Country]],Table74[Park Classification],"&gt;0")</f>
        <v>0</v>
      </c>
      <c r="IS89" s="6">
        <f>COUNTIFS(Table73[Country],Tabela1[[#This Row],[Country]],Table73[Street Classification],"&gt;0")</f>
        <v>0</v>
      </c>
      <c r="IT89" s="6">
        <f>COUNTIFS(Table74[Country],Tabela1[[#This Row],[Country]],Table74[Street Classification],"&gt;0")</f>
        <v>0</v>
      </c>
      <c r="IU89" s="6">
        <f>COUNTIFS(Table75[Country],Tabela1[[#This Row],[Country]],Table75[Boulder and Lead Classification],"&gt;0")</f>
        <v>0</v>
      </c>
      <c r="IV89" s="6">
        <f>COUNTIFS(Table76[Country],Tabela1[[#This Row],[Country]],Table76[Boulder and Lead Classification],"&gt;0")</f>
        <v>0</v>
      </c>
      <c r="IW89" s="6">
        <f>COUNTIFS(Table75[Country],Tabela1[[#This Row],[Country]],Table75[Speed Classification],"&gt;0")</f>
        <v>0</v>
      </c>
      <c r="IX89" s="6">
        <f>COUNTIFS(Table76[Country],Tabela1[[#This Row],[Country]],Table76[Speed Classification],"&gt;0")</f>
        <v>0</v>
      </c>
      <c r="IY89" s="6">
        <f>COUNTIFS(Table64[Country],Tabela1[[#This Row],[Country]],Table64[Shortboard Classification],"&gt;0")</f>
        <v>0</v>
      </c>
      <c r="IZ89" s="6">
        <f>COUNTIFS(Table77[Country],Tabela1[[#This Row],[Country]],Table77[Shortboard Classification],"&gt;0")</f>
        <v>0</v>
      </c>
      <c r="JA89" s="6">
        <f>COUNTIFS(Table20[Country],Tabela1[[#This Row],[Country]],Table20[50m Freestyle Classification],"&gt;0")</f>
        <v>0</v>
      </c>
      <c r="JB89" s="6">
        <f>COUNTIFS(Table21[Country],Tabela1[[#This Row],[Country]],Table21[50m Freestyle Classification],"&gt;0")</f>
        <v>0</v>
      </c>
      <c r="JC89" s="6">
        <f>COUNTIFS(Table20[Country],Tabela1[[#This Row],[Country]],Table20[100m Freestyle Classification],"&gt;0")</f>
        <v>0</v>
      </c>
      <c r="JD89" s="6">
        <f>COUNTIFS(Table21[Country],Tabela1[[#This Row],[Country]],Table21[100m Freestyle Classification],"&gt;0")</f>
        <v>0</v>
      </c>
      <c r="JE89" s="6">
        <f>COUNTIFS(Table20[Country],Tabela1[[#This Row],[Country]],Table20[200m Freestyle Classification],"&gt;0")</f>
        <v>0</v>
      </c>
      <c r="JF89" s="6">
        <f>COUNTIFS(Table21[Country],Tabela1[[#This Row],[Country]],Table21[200m Freestyle Classification],"&gt;0")</f>
        <v>0</v>
      </c>
      <c r="JG89" s="6">
        <f>COUNTIFS(Table20[Country],Tabela1[[#This Row],[Country]],Table20[400m Freestyle Classification],"&gt;0")</f>
        <v>0</v>
      </c>
      <c r="JH89" s="6">
        <f>COUNTIFS(Table21[Country],Tabela1[[#This Row],[Country]],Table21[400m Freestyle Classification],"&gt;0")</f>
        <v>0</v>
      </c>
      <c r="JI89" s="6">
        <f>COUNTIFS(Table20[Country],Tabela1[[#This Row],[Country]],Table20[800m Freestyle Classification],"&gt;0")</f>
        <v>0</v>
      </c>
      <c r="JJ89" s="6">
        <f>COUNTIFS(Table21[Country],Tabela1[[#This Row],[Country]],Table21[800m Freestyle Classification],"&gt;0")</f>
        <v>0</v>
      </c>
      <c r="JK89" s="6">
        <f>COUNTIFS(Table20[Country],Tabela1[[#This Row],[Country]],Table20[1500m Freestyle Classification],"&gt;0")</f>
        <v>0</v>
      </c>
      <c r="JL89" s="6">
        <f>COUNTIFS(Table21[Country],Tabela1[[#This Row],[Country]],Table21[1500m Freestyle Classification],"&gt;0")</f>
        <v>0</v>
      </c>
      <c r="JM89" s="6">
        <f>COUNTIFS(Table20[Country],Tabela1[[#This Row],[Country]],Table20[100m Backstroke Classification],"&gt;0")</f>
        <v>0</v>
      </c>
      <c r="JN89" s="6">
        <f>COUNTIFS(Table21[Country],Tabela1[[#This Row],[Country]],Table21[100m Backstroke Classification],"&gt;0")</f>
        <v>0</v>
      </c>
      <c r="JO89" s="6">
        <f>COUNTIFS(Table20[Country],Tabela1[[#This Row],[Country]],Table20[200m Backstroke Classification],"&gt;0")</f>
        <v>0</v>
      </c>
      <c r="JP89" s="6">
        <f>COUNTIFS(Table21[Country],Tabela1[[#This Row],[Country]],Table21[200m Backstroke Classification],"&gt;0")</f>
        <v>0</v>
      </c>
      <c r="JQ89" s="6">
        <f>COUNTIFS(Table20[Country],Tabela1[[#This Row],[Country]],Table20[100m Breaststroke Classification],"&gt;0")</f>
        <v>0</v>
      </c>
      <c r="JR89" s="6">
        <f>COUNTIFS(Table21[Country],Tabela1[[#This Row],[Country]],Table21[100m Breaststroke Classification],"&gt;0")</f>
        <v>0</v>
      </c>
      <c r="JS89" s="6">
        <f>COUNTIFS(Table20[Country],Tabela1[[#This Row],[Country]],Table20[200m Breaststroke Classification],"&gt;0")</f>
        <v>0</v>
      </c>
      <c r="JT89" s="6">
        <f>COUNTIFS(Table21[Country],Tabela1[[#This Row],[Country]],Table21[200m Breaststroke Classification],"&gt;0")</f>
        <v>0</v>
      </c>
      <c r="JU89" s="6">
        <f>COUNTIFS(Table20[Country],Tabela1[[#This Row],[Country]],Table20[100m Butterfly Classification],"&gt;0")</f>
        <v>0</v>
      </c>
      <c r="JV89" s="6">
        <f>COUNTIFS(Table21[Country],Tabela1[[#This Row],[Country]],Table21[100m Butterfly Classification],"&gt;0")</f>
        <v>0</v>
      </c>
      <c r="JW89" s="6">
        <f>COUNTIFS(Table20[Country],Tabela1[[#This Row],[Country]],Table20[200m Butterfly Classification],"&gt;0")</f>
        <v>0</v>
      </c>
      <c r="JX89" s="6">
        <f>COUNTIFS(Table21[Country],Tabela1[[#This Row],[Country]],Table21[200m Butterfly Classification],"&gt;0")</f>
        <v>0</v>
      </c>
      <c r="JY89" s="6">
        <f>COUNTIFS(Table20[Country],Tabela1[[#This Row],[Country]],Table20[200m Medley Classification],"&gt;0")</f>
        <v>0</v>
      </c>
      <c r="JZ89" s="6">
        <f>COUNTIFS(Table21[Country],Tabela1[[#This Row],[Country]],Table21[200m Medley Classification],"&gt;0")</f>
        <v>0</v>
      </c>
      <c r="KA89" s="6">
        <f>COUNTIFS(Table20[Country],Tabela1[[#This Row],[Country]],Table20[400m Medley Classification],"&gt;0")</f>
        <v>0</v>
      </c>
      <c r="KB89" s="6">
        <f>COUNTIFS(Table21[Country],Tabela1[[#This Row],[Country]],Table21[400m Medley Classification],"&gt;0")</f>
        <v>0</v>
      </c>
      <c r="KC89" s="6">
        <f>COUNTIFS(Table78[Country],Tabela1[[#This Row],[Country]],Table78[Men''s 4x100m Freestyle Relay Classification],"&gt;0")</f>
        <v>0</v>
      </c>
      <c r="KD89" s="6">
        <f>COUNTIFS(Table78[Country],Tabela1[[#This Row],[Country]],Table78[Women''s 4x100m Freestyle Relay Classification],"&gt;0")</f>
        <v>0</v>
      </c>
      <c r="KE89" s="6">
        <f>COUNTIFS(Table78[Country],Tabela1[[#This Row],[Country]],Table78[Men''s 4x200m Freestyle Relay Classification],"&gt;0")</f>
        <v>0</v>
      </c>
      <c r="KF89" s="6">
        <f>COUNTIFS(Table78[Country],Tabela1[[#This Row],[Country]],Table78[Women''s 4x200m Freestyle Relay Classification],"&gt;0")</f>
        <v>0</v>
      </c>
      <c r="KG89" s="6">
        <f>COUNTIFS(Table78[Country],Tabela1[[#This Row],[Country]],Table78[Men''s 4x100m Medley Relay Classification],"&gt;0")</f>
        <v>0</v>
      </c>
      <c r="KH89" s="6">
        <f>COUNTIFS(Table78[Country],Tabela1[[#This Row],[Country]],Table78[Women''s 4x100m Medley Relay Classification],"&gt;0")</f>
        <v>0</v>
      </c>
      <c r="KI89" s="6">
        <f>COUNTIFS(Table78[Country],Tabela1[[#This Row],[Country]],Table78[Mixed 4x100m Medley Relay Classification],"&gt;0")</f>
        <v>0</v>
      </c>
      <c r="KJ89" s="6">
        <f>COUNTIFS(Table20[Country],Tabela1[[#This Row],[Country]],Table20[10km Open Water Classification],"&gt;0")</f>
        <v>0</v>
      </c>
      <c r="KK89" s="6">
        <f>COUNTIFS(Table21[Country],Tabela1[[#This Row],[Country]],Table21[10km Open Water Classification],"&gt;0")</f>
        <v>0</v>
      </c>
      <c r="KL89" s="6">
        <f>COUNTIFS(Table22[Country],Tabela1[[#This Row],[Country]],Table22[Classification],"&gt;0")</f>
        <v>0</v>
      </c>
      <c r="KM89" s="6">
        <f>COUNTIFS(Table30[Country],Tabela1[[#This Row],[Country]],Table30[Classification],"&gt;0")</f>
        <v>0</v>
      </c>
      <c r="KN89" s="6">
        <f>COUNTIFS(Table55[Country],Tabela1[[#This Row],[Country]],Table55[Men''s Classification],"&gt;0")</f>
        <v>0</v>
      </c>
      <c r="KO89" s="6">
        <f>COUNTIFS(Table55[Country],Tabela1[[#This Row],[Country]],Table55[Women''s Classification],"&gt;0")</f>
        <v>0</v>
      </c>
      <c r="KP89" s="6">
        <f>COUNTIFS(Table56[Country],Tabela1[[#This Row],[Country]],Table56[Mixed Classification],"&gt;0")</f>
        <v>0</v>
      </c>
      <c r="KQ89" s="6">
        <f>COUNTIFS(Table29[Country],Tabela1[[#This Row],[Country]],Table29[58kg Classification],"&gt;0")</f>
        <v>0</v>
      </c>
      <c r="KR89" s="6">
        <f>COUNTIFS(Table29[Country],Tabela1[[#This Row],[Country]],Table29[68kg Classification],"&gt;0")</f>
        <v>0</v>
      </c>
      <c r="KS89" s="6">
        <f>COUNTIFS(Table29[Country],Tabela1[[#This Row],[Country]],Table29[80kg Classification],"&gt;0")</f>
        <v>0</v>
      </c>
      <c r="KT89" s="6">
        <f>COUNTIFS(Table29[Country],Tabela1[[#This Row],[Country]],Table29[Plus 80kg Classification],"&gt;0")</f>
        <v>0</v>
      </c>
      <c r="KU89" s="6">
        <f>COUNTIFS(Table34[Country],Tabela1[[#This Row],[Country]],Table34[49kg Classification],"&gt;0")</f>
        <v>0</v>
      </c>
      <c r="KV89" s="6">
        <f>COUNTIFS(Table34[Country],Tabela1[[#This Row],[Country]],Table34[57kg Classification],"&gt;0")</f>
        <v>0</v>
      </c>
      <c r="KW89" s="6">
        <f>COUNTIFS(Table34[Country],Tabela1[[#This Row],[Country]],Table34[67kg Classification],"&gt;0")</f>
        <v>0</v>
      </c>
      <c r="KX89" s="6">
        <f>COUNTIFS(Table34[Country],Tabela1[[#This Row],[Country]],Table34[Plus 67kg Classification],"&gt;0")</f>
        <v>0</v>
      </c>
      <c r="KY89" s="6">
        <f>COUNTIFS(Table57[Country],Tabela1[[#This Row],[Country]],Table57[Classification],"&gt;0")</f>
        <v>0</v>
      </c>
      <c r="KZ89" s="6">
        <f>COUNTIFS(Table58[Country],Tabela1[[#This Row],[Country]],Table58[Classification],"&gt;0")</f>
        <v>0</v>
      </c>
      <c r="LA89" s="6">
        <f>COUNTIFS(Table79[Country],Tabela1[[#This Row],[Country]],Table79[Men''s Classification],"&gt;0")</f>
        <v>0</v>
      </c>
      <c r="LB89" s="6">
        <f>COUNTIFS(Table79[Country],Tabela1[[#This Row],[Country]],Table79[Women''s Classification],"&gt;0")</f>
        <v>0</v>
      </c>
      <c r="LC89" s="6">
        <f>COUNTIFS(Table79[Country],Tabela1[[#This Row],[Country]],Table79[Mixed Classification],"&gt;0")</f>
        <v>0</v>
      </c>
      <c r="LD89" s="6">
        <f>COUNTIFS(Table65[Country],Tabela1[[#This Row],[Country]],Table65[Classification],"&gt;0")</f>
        <v>0</v>
      </c>
      <c r="LE89" s="6">
        <f>COUNTIFS(Table59[Country],Tabela1[[#This Row],[Country]],Table59[Classification],"&gt;0")</f>
        <v>0</v>
      </c>
      <c r="LF89" s="6">
        <f>COUNTIFS(Table87[Country],Tabela1[[#This Row],[Country]],Table87[Mixed Relay Classification],"&gt;0")</f>
        <v>0</v>
      </c>
      <c r="LG89" s="6">
        <f>COUNTIFS(Table91949698100[Country],Tabela1[[#This Row],[Country]],Table91949698100[Men''s Classification],"&gt;0")</f>
        <v>0</v>
      </c>
      <c r="LH89" s="6">
        <f>COUNTIFS(Table91949698100[Country],Tabela1[[#This Row],[Country]],Table91949698100[Women''s Classification],"&gt;0")</f>
        <v>0</v>
      </c>
      <c r="LI89" s="6">
        <f>COUNTIFS(Table91949698100102[Country],Tabela1[[#This Row],[Country]],Table91949698100102[Men''s Classification],"&gt;0")</f>
        <v>0</v>
      </c>
      <c r="LJ89" s="6">
        <f>COUNTIFS(Table91949698100102[Country],Tabela1[[#This Row],[Country]],Table91949698100102[Women''s Classification],"&gt;0")</f>
        <v>0</v>
      </c>
      <c r="LK89" s="6">
        <f>COUNTIFS(Table23[Country],Tabela1[[#This Row],[Country]],Table23[61kg Classification],"&gt;0")</f>
        <v>0</v>
      </c>
      <c r="LL89" s="6">
        <f>COUNTIFS(Table23[Country],Tabela1[[#This Row],[Country]],Table23[73kg Classification],"&gt;0")</f>
        <v>0</v>
      </c>
      <c r="LM89" s="6">
        <f>COUNTIFS(Table23[Country],Tabela1[[#This Row],[Country]],Table23[89kg Classification],"&gt;0")</f>
        <v>0</v>
      </c>
      <c r="LN89" s="6">
        <f>COUNTIFS(Table23[Country],Tabela1[[#This Row],[Country]],Table23[102kg Classification],"&gt;0")</f>
        <v>0</v>
      </c>
      <c r="LO89" s="6">
        <f>COUNTIFS(Table23[Country],Tabela1[[#This Row],[Country]],Table23[Plus 102kg Classification],"&gt;0")</f>
        <v>0</v>
      </c>
      <c r="LP89" s="6">
        <f>COUNTIFS(Table28[Country],Tabela1[[#This Row],[Country]],Table28[49kg Classification],"&gt;0")</f>
        <v>0</v>
      </c>
      <c r="LQ89" s="6">
        <f>COUNTIFS(Table28[Country],Tabela1[[#This Row],[Country]],Table28[59kg Classification],"&gt;0")</f>
        <v>0</v>
      </c>
      <c r="LR89" s="6">
        <f>COUNTIFS(Table28[Country],Tabela1[[#This Row],[Country]],Table28[71kg Classification],"&gt;0")</f>
        <v>0</v>
      </c>
      <c r="LS89" s="6">
        <f>COUNTIFS(Table28[Country],Tabela1[[#This Row],[Country]],Table28[81kg Classification],"&gt;0")</f>
        <v>0</v>
      </c>
      <c r="LT89" s="6">
        <f>COUNTIFS(Table28[Country],Tabela1[[#This Row],[Country]],Table28[Plus 81kg Classification],"&gt;0")</f>
        <v>0</v>
      </c>
      <c r="LU89" s="6">
        <f>COUNTIFS(Table24[Country],Tabela1[[#This Row],[Country]],Table24[Freestyle 57kg Classification],"&gt;0")</f>
        <v>0</v>
      </c>
      <c r="LV89" s="6">
        <f>COUNTIFS(Table24[Country],Tabela1[[#This Row],[Country]],Table24[Freestyle 65kg Classification],"&gt;0")</f>
        <v>0</v>
      </c>
      <c r="LW89" s="6">
        <f>COUNTIFS(Table24[Country],Tabela1[[#This Row],[Country]],Table24[Freestyle 74kg Classification],"&gt;0")</f>
        <v>0</v>
      </c>
      <c r="LX89" s="6">
        <f>COUNTIFS(Table24[Country],Tabela1[[#This Row],[Country]],Table24[Freestyle 86kg Classification],"&gt;0")</f>
        <v>0</v>
      </c>
      <c r="LY89" s="6">
        <f>COUNTIFS(Table24[Country],Tabela1[[#This Row],[Country]],Table24[Freestyle 97kg Classification],"&gt;0")</f>
        <v>0</v>
      </c>
      <c r="LZ89" s="6">
        <f>COUNTIFS(Table24[Country],Tabela1[[#This Row],[Country]],Table24[Freestyle 125kg Classification],"&gt;0")</f>
        <v>0</v>
      </c>
      <c r="MA89" s="6">
        <f>COUNTIFS(Table24[Country],Tabela1[[#This Row],[Country]],Table24[Greco-Roman 60kg Classification],"&gt;0")</f>
        <v>0</v>
      </c>
      <c r="MB89" s="6">
        <f>COUNTIFS(Table24[Country],Tabela1[[#This Row],[Country]],Table24[Greco-Roman 67kg Classification],"&gt;0")</f>
        <v>0</v>
      </c>
      <c r="MC89" s="6">
        <f>COUNTIFS(Table24[Country],Tabela1[[#This Row],[Country]],Table24[Greco-Roman 77kg Classification],"&gt;0")</f>
        <v>0</v>
      </c>
      <c r="MD89" s="6">
        <f>COUNTIFS(Table24[Country],Tabela1[[#This Row],[Country]],Table24[Greco-Roman 87kg Classification],"&gt;0")</f>
        <v>0</v>
      </c>
      <c r="ME89" s="6">
        <f>COUNTIFS(Table24[Country],Tabela1[[#This Row],[Country]],Table24[Greco-Roman 97kg Classification],"&gt;0")</f>
        <v>0</v>
      </c>
      <c r="MF89" s="6">
        <f>COUNTIFS(Table24[Country],Tabela1[[#This Row],[Country]],Table24[Greco-Roman 130kg Classification],"&gt;0")</f>
        <v>0</v>
      </c>
      <c r="MG89" s="6">
        <f>COUNTIFS(Table31[Country],Tabela1[[#This Row],[Country]],Table31[50kg Classification],"&gt;0")</f>
        <v>0</v>
      </c>
      <c r="MH89" s="6">
        <f>COUNTIFS(Table31[Country],Tabela1[[#This Row],[Country]],Table31[53kg Classification],"&gt;0")</f>
        <v>0</v>
      </c>
      <c r="MI89" s="6">
        <f>COUNTIFS(Table31[Country],Tabela1[[#This Row],[Country]],Table31[57kg Classification],"&gt;0")</f>
        <v>0</v>
      </c>
      <c r="MJ89" s="6">
        <f>COUNTIFS(Table31[Country],Tabela1[[#This Row],[Country]],Table31[62kg Classification],"&gt;0")</f>
        <v>0</v>
      </c>
      <c r="MK89" s="6">
        <f>COUNTIFS(Table31[Country],Tabela1[[#This Row],[Country]],Table31[68kg Classification],"&gt;0")</f>
        <v>0</v>
      </c>
      <c r="ML89" s="6">
        <f>COUNTIFS(Table31[Country],Tabela1[[#This Row],[Country]],Table31[76kg Classification],"&gt;0")</f>
        <v>0</v>
      </c>
      <c r="MM89" s="6">
        <f>COUNTIFS(Table102[Country],Tabela1[[#This Row],[Country]],Table102[Downhill Classification],"&gt;0")</f>
        <v>0</v>
      </c>
      <c r="MN89" s="6">
        <f>COUNTIFS(Table102105[Country],Tabela1[[#This Row],[Country]],Table102105[Downhill Classification],"&gt;0")</f>
        <v>0</v>
      </c>
      <c r="MO89" s="6">
        <f>COUNTIFS(Table102[Country],Tabela1[[#This Row],[Country]],Table102[Giant Slalom Classification],"&gt;0")</f>
        <v>0</v>
      </c>
      <c r="MP89" s="6">
        <f>COUNTIFS(Table102105[Country],Tabela1[[#This Row],[Country]],Table102105[Giant Slalom Classification],"&gt;0")</f>
        <v>0</v>
      </c>
      <c r="MQ89" s="6">
        <f>COUNTIFS(Table102[Country],Tabela1[[#This Row],[Country]],Table102[Slalom Classification],"&gt;0")</f>
        <v>0</v>
      </c>
      <c r="MR89" s="6">
        <f>COUNTIFS(Table102105[Country],Tabela1[[#This Row],[Country]],Table102105[Slalom Classification],"&gt;0")</f>
        <v>0</v>
      </c>
      <c r="MS89" s="6">
        <f>COUNTIFS(Table102[Country],Tabela1[[#This Row],[Country]],Table102[Super-G Classification],"&gt;0")</f>
        <v>0</v>
      </c>
      <c r="MT89" s="6">
        <f>COUNTIFS(Table102105[Country],Tabela1[[#This Row],[Country]],Table102105[Super-G Classification],"&gt;0")</f>
        <v>0</v>
      </c>
      <c r="MU89" s="6">
        <f>COUNTIFS(Table105[Country],Tabela1[[#This Row],[Country]],Table105[Men''s Combined Classification],"&gt;0")</f>
        <v>0</v>
      </c>
      <c r="MV89" s="6">
        <f>COUNTIFS(Table105[Country],Tabela1[[#This Row],[Country]],Table105[Women''s Combined Classification],"&gt;0")</f>
        <v>0</v>
      </c>
      <c r="MW89" s="6">
        <f>COUNTIFS(Table106[Country],Tabela1[[#This Row],[Country]],Table106[Individual Classification],"&gt;0")</f>
        <v>0</v>
      </c>
      <c r="MX89" s="6">
        <f>COUNTIFS(Table106109[Country],Tabela1[[#This Row],[Country]],Table106109[Individual Classification],"&gt;0")</f>
        <v>0</v>
      </c>
      <c r="MY89" s="6">
        <f>COUNTIFS(Table106[Country],Tabela1[[#This Row],[Country]],Table106[Mass Start Classification],"&gt;0")</f>
        <v>0</v>
      </c>
      <c r="MZ89" s="6">
        <f>COUNTIFS(Table106109[Country],Tabela1[[#This Row],[Country]],Table106109[Mass Start Classification],"&gt;0")</f>
        <v>0</v>
      </c>
      <c r="NA89" s="6">
        <f>COUNTIFS(Table106[Country],Tabela1[[#This Row],[Country]],Table106[Pursuit Classification],"&gt;0")</f>
        <v>0</v>
      </c>
      <c r="NB89" s="6">
        <f>COUNTIFS(Table106109[Country],Tabela1[[#This Row],[Country]],Table106109[Pursuit Classification],"&gt;0")</f>
        <v>0</v>
      </c>
      <c r="NC89" s="6">
        <f>COUNTIFS(Table106[Country],Tabela1[[#This Row],[Country]],Table106[Sprint Classification],"&gt;0")</f>
        <v>0</v>
      </c>
      <c r="ND89" s="6">
        <f>COUNTIFS(Table106109[Country],Tabela1[[#This Row],[Country]],Table106109[Sprint Classification],"&gt;0")</f>
        <v>0</v>
      </c>
      <c r="NE89" s="6">
        <f>COUNTIFS(Table109[Country],Tabela1[[#This Row],[Country]],Table109[Men''s Relay Classification],"&gt;0")</f>
        <v>0</v>
      </c>
      <c r="NF89" s="6">
        <f>COUNTIFS(Table109[Country],Tabela1[[#This Row],[Country]],Table109[Women''s Relay Classification],"&gt;0")</f>
        <v>0</v>
      </c>
      <c r="NG89" s="6">
        <f>COUNTIFS(Table109[Country],Tabela1[[#This Row],[Country]],Table109[Mixed Relay Classification],"&gt;0")</f>
        <v>0</v>
      </c>
      <c r="NH89" s="6">
        <f>COUNTIFS(Table110[Country],Tabela1[[#This Row],[Country]],Table110[Monobob Classification],"&gt;0")</f>
        <v>0</v>
      </c>
      <c r="NI89" s="6">
        <f>COUNTIFS(Table111[Country],Tabela1[[#This Row],[Country]],Table111[Men''s Classification],"&gt;0")</f>
        <v>0</v>
      </c>
      <c r="NJ89" s="6">
        <f>COUNTIFS(Table111[Country],Tabela1[[#This Row],[Country]],Table111[Women''s Classification],"&gt;0")</f>
        <v>0</v>
      </c>
      <c r="NK89" s="6">
        <f>COUNTIFS(Table112[Country],Tabela1[[#This Row],[Country]],Table112[Men''s Four Classification],"&gt;0")</f>
        <v>0</v>
      </c>
      <c r="NL89" s="6">
        <f>COUNTIFS(Table113[Country],Tabela1[[#This Row],[Country]],Table113[Classical Classification],"&gt;0")</f>
        <v>1</v>
      </c>
      <c r="NM89" s="6">
        <f>COUNTIFS(Table113116[Country],Tabela1[[#This Row],[Country]],Table113116[Classical Classification],"&gt;0")</f>
        <v>0</v>
      </c>
      <c r="NN89" s="6">
        <f>COUNTIFS(Table113[Country],Tabela1[[#This Row],[Country]],Table113[Freestyle Classification],"&gt;0")</f>
        <v>1</v>
      </c>
      <c r="NO89" s="6">
        <f>COUNTIFS(Table113116[Country],Tabela1[[#This Row],[Country]],Table113116[Freestyle Classification],"&gt;0")</f>
        <v>0</v>
      </c>
      <c r="NP89" s="6">
        <f>COUNTIFS(Table117[Country],Tabela1[[#This Row],[Country]],Table117[Men''s Relay Classification],"&gt;0")</f>
        <v>0</v>
      </c>
      <c r="NQ89" s="6">
        <f>COUNTIFS(Table117[Country],Tabela1[[#This Row],[Country]],Table117[Women''s Relay Classification],"&gt;0")</f>
        <v>0</v>
      </c>
      <c r="NR89" s="6">
        <f>COUNTIFS(Table113[Country],Tabela1[[#This Row],[Country]],Table113[Skiathlon Classification],"&gt;0")</f>
        <v>1</v>
      </c>
      <c r="NS89" s="6">
        <f>COUNTIFS(Table113116[Country],Tabela1[[#This Row],[Country]],Table113116[Skiathlon Classification],"&gt;0")</f>
        <v>0</v>
      </c>
      <c r="NT89" s="6">
        <f>COUNTIFS(Table113[Country],Tabela1[[#This Row],[Country]],Table113[Sprint Classification],"&gt;0")</f>
        <v>1</v>
      </c>
      <c r="NU89" s="6">
        <f>COUNTIFS(Table113116[Country],Tabela1[[#This Row],[Country]],Table113116[Sprint Classification],"&gt;0")</f>
        <v>0</v>
      </c>
      <c r="NV89" s="6">
        <f>COUNTIFS(Table116[Country],Tabela1[[#This Row],[Country]],Table116[Men''s Team Sprint Classification],"&gt;0")</f>
        <v>0</v>
      </c>
      <c r="NW89" s="6">
        <f>COUNTIFS(Table116[Country],Tabela1[[#This Row],[Country]],Table116[Women''s Team Sprint Classification],"&gt;0")</f>
        <v>0</v>
      </c>
      <c r="NX89" s="6">
        <f>COUNTIFS(Table119[Country],Tabela1[[#This Row],[Country]],Table119[Men''s Classification],"&gt;0")</f>
        <v>0</v>
      </c>
      <c r="NY89" s="6">
        <f>COUNTIFS(Table119[Country],Tabela1[[#This Row],[Country]],Table119[Women''s Classification],"&gt;0")</f>
        <v>0</v>
      </c>
      <c r="NZ89" s="6">
        <f>COUNTIFS(Table118[Country],Tabela1[[#This Row],[Country]],Table118[Mixed Classification],"&gt;0")</f>
        <v>0</v>
      </c>
      <c r="OA89" s="6">
        <f>COUNTIFS(Table120[Country],Tabela1[[#This Row],[Country]],Table120[Classification],"&gt;0")</f>
        <v>0</v>
      </c>
      <c r="OB89" s="6">
        <f>COUNTIFS(Table120123[Country],Tabela1[[#This Row],[Country]],Table120123[Classification],"&gt;0")</f>
        <v>0</v>
      </c>
      <c r="OC89" s="6">
        <f>COUNTIFS(Table123[Country],Tabela1[[#This Row],[Country]],Table123[Ice Dance Classification],"&gt;0")</f>
        <v>0</v>
      </c>
      <c r="OD89" s="6">
        <f>COUNTIFS(Table123[Country],Tabela1[[#This Row],[Country]],Table123[Pair Skating Classification],"&gt;0")</f>
        <v>0</v>
      </c>
      <c r="OE89" s="6">
        <f>COUNTIFS(Table124[Country],Tabela1[[#This Row],[Country]],Table124[Mixed Classification],"&gt;0")</f>
        <v>0</v>
      </c>
      <c r="OF89" s="6">
        <f>COUNTIFS(Table125[Country],Tabela1[[#This Row],[Country]],Table125[Aerials Classification],"&gt;0")</f>
        <v>0</v>
      </c>
      <c r="OG89" s="6">
        <f>COUNTIFS(Table125128[Country],Tabela1[[#This Row],[Country]],Table125128[Aerials Classification],"&gt;0")</f>
        <v>0</v>
      </c>
      <c r="OH89" s="6">
        <f>COUNTIFS(Table128[Country],Tabela1[[#This Row],[Country]],Table128[Mixed Aerials Classification],"&gt;0")</f>
        <v>0</v>
      </c>
      <c r="OI89" s="6">
        <f>COUNTIFS(Table125[Country],Tabela1[[#This Row],[Country]],Table125[Big Air Classification],"&gt;0")</f>
        <v>0</v>
      </c>
      <c r="OJ89" s="6">
        <f>COUNTIFS(Table125128[Country],Tabela1[[#This Row],[Country]],Table125128[Big Air Classification],"&gt;0")</f>
        <v>0</v>
      </c>
      <c r="OK89" s="6">
        <f>COUNTIFS(Table125[Country],Tabela1[[#This Row],[Country]],Table125[Dual Moguls Classification],"&gt;0")</f>
        <v>0</v>
      </c>
      <c r="OL89" s="6">
        <f>COUNTIFS(Table125128[Country],Tabela1[[#This Row],[Country]],Table125128[Dual Moguls Classification],"&gt;0")</f>
        <v>0</v>
      </c>
      <c r="OM89" s="6">
        <f>COUNTIFS(Table125[Country],Tabela1[[#This Row],[Country]],Table125[Halfpipe Classification],"&gt;0")</f>
        <v>0</v>
      </c>
      <c r="ON89" s="6">
        <f>COUNTIFS(Table125128[Country],Tabela1[[#This Row],[Country]],Table125128[Halfpipe Classification],"&gt;0")</f>
        <v>0</v>
      </c>
      <c r="OO89" s="6">
        <f>COUNTIFS(Table125[Country],Tabela1[[#This Row],[Country]],Table125[Moguls Classification],"&gt;0")</f>
        <v>0</v>
      </c>
      <c r="OP89" s="6">
        <f>COUNTIFS(Table125128[Country],Tabela1[[#This Row],[Country]],Table125128[Moguls Classification],"&gt;0")</f>
        <v>0</v>
      </c>
      <c r="OQ89" s="6">
        <f>COUNTIFS(Table125[Country],Tabela1[[#This Row],[Country]],Table125[Ski Cross Classification],"&gt;0")</f>
        <v>0</v>
      </c>
      <c r="OR89" s="6">
        <f>COUNTIFS(Table125128[Country],Tabela1[[#This Row],[Country]],Table125128[Ski Cross Classification],"&gt;0")</f>
        <v>0</v>
      </c>
      <c r="OS89" s="6">
        <f>COUNTIFS(Table125[Country],Tabela1[[#This Row],[Country]],Table125[Slopestyle Classification],"&gt;0")</f>
        <v>0</v>
      </c>
      <c r="OT89" s="6">
        <f>COUNTIFS(Table125128[Country],Tabela1[[#This Row],[Country]],Table125128[Slopestyle Classification],"&gt;0")</f>
        <v>0</v>
      </c>
      <c r="OU89" s="6">
        <f>COUNTIFS(Table119131[Country],Tabela1[[#This Row],[Country]],Table119131[Men''s Classification],"&gt;0")</f>
        <v>0</v>
      </c>
      <c r="OV89" s="6">
        <f>COUNTIFS(Table119131[Country],Tabela1[[#This Row],[Country]],Table119131[Women''s Classification],"&gt;0")</f>
        <v>0</v>
      </c>
      <c r="OW89" s="6">
        <f>COUNTIFS(Table131[Country],Tabela1[[#This Row],[Country]],Table131[Classification],"&gt;0")</f>
        <v>0</v>
      </c>
      <c r="OX89" s="6">
        <f>COUNTIFS(Table131134[Country],Tabela1[[#This Row],[Country]],Table131134[Classification],"&gt;0")</f>
        <v>0</v>
      </c>
      <c r="OY89" s="6">
        <f>COUNTIFS(Table134[Country],Tabela1[[#This Row],[Country]],Table134[Men''s Classification],"&gt;0")</f>
        <v>0</v>
      </c>
      <c r="OZ89" s="6">
        <f>COUNTIFS(Table134[Country],Tabela1[[#This Row],[Country]],Table134[Women''s Classification],"&gt;0")</f>
        <v>0</v>
      </c>
      <c r="PA89" s="6">
        <f>COUNTIFS(Table135[Country],Tabela1[[#This Row],[Country]],Table135[Mixed Relay Classification],"&gt;0")</f>
        <v>0</v>
      </c>
      <c r="PB89" s="6">
        <f>COUNTIFS(Table136[Country],Tabela1[[#This Row],[Country]],Table136[Individual Classification],"&gt;0")</f>
        <v>0</v>
      </c>
      <c r="PC89" s="6">
        <f>COUNTIFS(Table136[Country],Tabela1[[#This Row],[Country]],Table136[Sprint Classification],"&gt;0")</f>
        <v>0</v>
      </c>
      <c r="PD89" s="6">
        <f>COUNTIFS(Table137[Country],Tabela1[[#This Row],[Country]],Table137[Men''s Team Sprint Large Hill Classification],"&gt;0")</f>
        <v>0</v>
      </c>
      <c r="PE89" s="6">
        <f>COUNTIFS(Table138[Country],Tabela1[[#This Row],[Country]],Table138[500m Classification],"&gt;0")</f>
        <v>0</v>
      </c>
      <c r="PF89" s="6">
        <f>COUNTIFS(Table138141[Country],Tabela1[[#This Row],[Country]],Table138141[500m Classification],"&gt;0")</f>
        <v>0</v>
      </c>
      <c r="PG89" s="6">
        <f>COUNTIFS(Table138[Country],Tabela1[[#This Row],[Country]],Table138[1000m Classification],"&gt;0")</f>
        <v>0</v>
      </c>
      <c r="PH89" s="6">
        <f>COUNTIFS(Table138141[Country],Tabela1[[#This Row],[Country]],Table138141[1000m Classification],"&gt;0")</f>
        <v>0</v>
      </c>
      <c r="PI89" s="6">
        <f>COUNTIFS(Table138[Country],Tabela1[[#This Row],[Country]],Table138[1500m Classification],"&gt;0")</f>
        <v>0</v>
      </c>
      <c r="PJ89" s="6">
        <f>COUNTIFS(Table138141[Country],Tabela1[[#This Row],[Country]],Table138141[1500m Classification],"&gt;0")</f>
        <v>0</v>
      </c>
      <c r="PK89" s="6">
        <f>COUNTIFS(Table141[Country],Tabela1[[#This Row],[Country]],Table141[Men''s 5000m Relay Classification],"&gt;0")</f>
        <v>0</v>
      </c>
      <c r="PL89" s="6">
        <f>COUNTIFS(Table141[Country],Tabela1[[#This Row],[Country]],Table141[Women''s 3000m Relay Classification],"&gt;0")</f>
        <v>0</v>
      </c>
      <c r="PM89" s="6">
        <f>COUNTIFS(Table141[Country],Tabela1[[#This Row],[Country]],Table141[Mixed 2000m Relay Classification],"&gt;0")</f>
        <v>0</v>
      </c>
      <c r="PN89" s="6">
        <f>COUNTIFS(Table142[Country],Tabela1[[#This Row],[Country]],Table142[Classification],"&gt;0")</f>
        <v>0</v>
      </c>
      <c r="PO89" s="6">
        <f>COUNTIFS(Table142145[Country],Tabela1[[#This Row],[Country]],Table142145[Classification],"&gt;0")</f>
        <v>0</v>
      </c>
      <c r="PP89" s="6">
        <f>COUNTIFS(Tabela15[Country],Tabela1[[#This Row],[Country]],Tabela15[Mixed Team Classification],"&gt;0")</f>
        <v>0</v>
      </c>
      <c r="PQ89" s="6">
        <f>COUNTIFS(Table145[Country],Tabela1[[#This Row],[Country]],Table145[Large Hill Classification],"&gt;0")</f>
        <v>0</v>
      </c>
      <c r="PR89" s="6">
        <f>COUNTIFS(Table145[Country],Tabela1[[#This Row],[Country]],Table145[Normal Hill Classification],"&gt;0")</f>
        <v>0</v>
      </c>
      <c r="PS89" s="6">
        <f>COUNTIFS(Table145148[Country],Tabela1[[#This Row],[Country]],Table145148[Large Hill Classification],"&gt;0")</f>
        <v>0</v>
      </c>
      <c r="PT89" s="6">
        <f>COUNTIFS(Table145148[Country],Tabela1[[#This Row],[Country]],Table145148[Normal Hill Classification],"&gt;0")</f>
        <v>0</v>
      </c>
      <c r="PU89" s="6">
        <f>COUNTIFS(Table148[Country],Tabela1[[#This Row],[Country]],Table148[Men''s Super Team Classification],"&gt;0")</f>
        <v>0</v>
      </c>
      <c r="PV89" s="6">
        <f>COUNTIFS(Tabela114[Country],Tabela1[[#This Row],[Country]],Tabela114[Mixed Normal Hill Classification],"&gt;0")</f>
        <v>0</v>
      </c>
      <c r="PW89" s="6">
        <f>COUNTIFS(Tabela50[Country],Tabela1[[#This Row],[Country]],Tabela50[Sprint Classification],"&gt;0")</f>
        <v>0</v>
      </c>
      <c r="PX89" s="6">
        <f>COUNTIFS(Tabela50101[Country],Tabela1[[#This Row],[Country]],Tabela50101[Sprint Classification],"&gt;0")</f>
        <v>0</v>
      </c>
      <c r="PY89" s="6">
        <f>COUNTIFS(Tabela103[Country],Tabela1[[#This Row],[Country]],Tabela103[Mixed Relay Classification],"&gt;0")</f>
        <v>0</v>
      </c>
      <c r="PZ89" s="6">
        <f>COUNTIFS(Table149[Country],Tabela1[[#This Row],[Country]],Table149[Big Air Classification],"&gt;0")</f>
        <v>0</v>
      </c>
      <c r="QA89" s="6">
        <f>COUNTIFS(Table149152[Country],Tabela1[[#This Row],[Country]],Table149152[Big Air Classification],"&gt;0")</f>
        <v>0</v>
      </c>
      <c r="QB89" s="6">
        <f>COUNTIFS(Table149[Country],Tabela1[[#This Row],[Country]],Table149[Halfpipe Classification],"&gt;0")</f>
        <v>0</v>
      </c>
      <c r="QC89" s="6">
        <f>COUNTIFS(Table149152[Country],Tabela1[[#This Row],[Country]],Table149152[Halfpipe Classification],"&gt;0")</f>
        <v>0</v>
      </c>
      <c r="QD89" s="6">
        <f>COUNTIFS(Table149[Country],Tabela1[[#This Row],[Country]],Table149[Parallel Giant Slalom Classification],"&gt;0")</f>
        <v>0</v>
      </c>
      <c r="QE89" s="6">
        <f>COUNTIFS(Table149152[Country],Tabela1[[#This Row],[Country]],Table149152[Parallel Giant Slalom Classification],"&gt;0")</f>
        <v>0</v>
      </c>
      <c r="QF89" s="6">
        <f>COUNTIFS(Table149[Country],Tabela1[[#This Row],[Country]],Table149[Slopestyle Classification],"&gt;0")</f>
        <v>0</v>
      </c>
      <c r="QG89" s="6">
        <f>COUNTIFS(Table149152[Country],Tabela1[[#This Row],[Country]],Table149152[Slopestyle Classification],"&gt;0")</f>
        <v>0</v>
      </c>
      <c r="QH89" s="6">
        <f>COUNTIFS(Table149[Country],Tabela1[[#This Row],[Country]],Table149[Snowboard Cross Classification],"&gt;0")</f>
        <v>0</v>
      </c>
      <c r="QI89" s="6">
        <f>COUNTIFS(Table149152[Country],Tabela1[[#This Row],[Country]],Table149152[Snowboard Cross Classification],"&gt;0")</f>
        <v>0</v>
      </c>
      <c r="QJ89" s="6">
        <f>COUNTIFS(Table153[Country],Tabela1[[#This Row],[Country]],Table153[Mixed Team Snowboard Cross Classification],"&gt;0")</f>
        <v>0</v>
      </c>
      <c r="QK89" s="6">
        <f>COUNTIFS(Table154[Country],Tabela1[[#This Row],[Country]],Table154[500m Classification],"&gt;0")</f>
        <v>0</v>
      </c>
      <c r="QL89" s="6">
        <f>COUNTIFS(Table154157[Country],Tabela1[[#This Row],[Country]],Table154157[500m Classification],"&gt;0")</f>
        <v>0</v>
      </c>
      <c r="QM89" s="6">
        <f>COUNTIFS(Table154[Country],Tabela1[[#This Row],[Country]],Table154[1000m Classification],"&gt;0")</f>
        <v>0</v>
      </c>
      <c r="QN89" s="6">
        <f>COUNTIFS(Table154157[Country],Tabela1[[#This Row],[Country]],Table154157[1000m Classification],"&gt;0")</f>
        <v>0</v>
      </c>
      <c r="QO89" s="6">
        <f>COUNTIFS(Table154[Country],Tabela1[[#This Row],[Country]],Table154[1500m Classification],"&gt;0")</f>
        <v>0</v>
      </c>
      <c r="QP89" s="6">
        <f>COUNTIFS(Table154157[Country],Tabela1[[#This Row],[Country]],Table154157[1500m Classification],"&gt;0")</f>
        <v>0</v>
      </c>
      <c r="QQ89" s="6">
        <f>COUNTIFS(Table154157[Country],Tabela1[[#This Row],[Country]],Table154157[3000m Classification],"&gt;0")</f>
        <v>0</v>
      </c>
      <c r="QR89" s="6">
        <f>COUNTIFS(Table154[Country],Tabela1[[#This Row],[Country]],Table154[5000m Classification],"&gt;0")</f>
        <v>0</v>
      </c>
      <c r="QS89" s="6">
        <f>COUNTIFS(Table154157[Country],Tabela1[[#This Row],[Country]],Table154157[5000m Classification],"&gt;0")</f>
        <v>0</v>
      </c>
      <c r="QT89" s="6">
        <f>COUNTIFS(Table154[Country],Tabela1[[#This Row],[Country]],Table154[10000m Classification],"&gt;0")</f>
        <v>0</v>
      </c>
      <c r="QU89" s="6">
        <f>COUNTIFS(Table154[Country],Tabela1[[#This Row],[Country]],Table154[Mass Start Classification],"&gt;0")</f>
        <v>0</v>
      </c>
      <c r="QV89" s="6">
        <f>COUNTIFS(Table154157[Country],Tabela1[[#This Row],[Country]],Table154157[Mass Start Classification],"&gt;0")</f>
        <v>0</v>
      </c>
      <c r="QW89" s="6">
        <f>COUNTIFS(Table157[Country],Tabela1[[#This Row],[Country]],Table157[Men''s Pursuit Classification],"&gt;0")</f>
        <v>0</v>
      </c>
      <c r="QX89" s="6">
        <f>COUNTIFS(Table157[Country],Tabela1[[#This Row],[Country]],Table157[Women''s Pursuit Classification],"&gt;0")</f>
        <v>0</v>
      </c>
      <c r="QY89" s="3" t="s">
        <v>459</v>
      </c>
    </row>
    <row r="90" spans="1:467" x14ac:dyDescent="0.3">
      <c r="A90" s="6">
        <v>89</v>
      </c>
      <c r="B90" s="6" t="s">
        <v>636</v>
      </c>
      <c r="C90" t="e" vm="89">
        <f>IF(ISBLANK(Tabela1[[#This Row],[Image Link]]), "", _xlfn.IMAGE(Tabela1[[#This Row],[Image Link]],1,1))</f>
        <v>#VALUE!</v>
      </c>
      <c r="D90" s="6">
        <f>SUM(Tabela1[[#This Row],[Archery - Men''s Individual Recurve]:[Speed Skating - Women''s Team Pursuit]])</f>
        <v>4</v>
      </c>
      <c r="E90" s="6">
        <f>COUNTIF(Tabela1[[#This Row],[Archery - Men''s Individual Recurve]:[Speed Skating - Women''s Team Pursuit]],"&gt;0")</f>
        <v>4</v>
      </c>
      <c r="F90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90" s="6">
        <f>SUM(Tabela1[[#This Row],[Archery - Men''s Individual Recurve]:[Wrestling - Women''s Freestyle 76kg]])</f>
        <v>4</v>
      </c>
      <c r="H90" s="6">
        <f>SUM(Tabela1[[#This Row],[Alpine Skiing - Men''s Downhill]:[Speed Skating - Women''s Team Pursuit]])</f>
        <v>0</v>
      </c>
      <c r="I90" s="6">
        <f>Tabela1[[#This Row],[Summer Gold Medals]]+Tabela1[[#This Row],[Winter Gold Medals]]</f>
        <v>0</v>
      </c>
      <c r="J90" s="6">
        <f>Tabela1[[#This Row],[Summer Silver Medals]]+Tabela1[[#This Row],[Winter Silver Medals]]</f>
        <v>0</v>
      </c>
      <c r="K90" s="6">
        <f>Tabela1[[#This Row],[Summer Bronze Medals]]+Tabela1[[#This Row],[Winter Bronze Medals]]</f>
        <v>0</v>
      </c>
      <c r="L90" s="6">
        <f>SUM(Tabela1[[#This Row],[Total Gold Medals]:[Total Bronze Medals]])</f>
        <v>0</v>
      </c>
      <c r="M90" s="6"/>
      <c r="N90" s="6"/>
      <c r="O90" s="6"/>
      <c r="P90" s="6">
        <f>SUM(Tabela1[[#This Row],[Summer Gold Medals]:[Summer Bronze Medals]])</f>
        <v>0</v>
      </c>
      <c r="Q90" s="6"/>
      <c r="R90" s="6"/>
      <c r="S90" s="6"/>
      <c r="T90" s="6">
        <f>Tabela1[[#This Row],[Winter Gold Medals]]+Tabela1[[#This Row],[Winter Silver Medals]]+Tabela1[[#This Row],[Winter Bronze Medals]]</f>
        <v>0</v>
      </c>
      <c r="U90" s="7">
        <f>Tabela1[[#This Row],[Total Medals]]/Tabela1[[#This Row],[Total Quotas]]</f>
        <v>0</v>
      </c>
      <c r="V90" s="6">
        <f>COUNTIFS(Table3[Country],Tabela1[[#This Row],[Country]],Table3[Recurve Classification],"&gt;0")</f>
        <v>0</v>
      </c>
      <c r="W90" s="6">
        <f>COUNTIFS(Table33[Country],Tabela1[[#This Row],[Country]],Table33[Recurve Classification],"&gt;0")</f>
        <v>0</v>
      </c>
      <c r="X90" s="6">
        <f>COUNTIFS(Table35[Country],Tabela1[[#This Row],[Country]],Table35[Men''s Team Recurve Classification],"&gt;0")</f>
        <v>0</v>
      </c>
      <c r="Y90" s="6">
        <f>COUNTIFS(Table35[Country],Tabela1[[#This Row],[Country]],Table35[Women''s Team Recurve Classification],"&gt;0")</f>
        <v>0</v>
      </c>
      <c r="Z90" s="6">
        <f>COUNTIFS(Tabela88[Country],Tabela1[[#This Row],[Country]],Tabela88[Mixed Team Recurve Classification],"&gt;0")</f>
        <v>0</v>
      </c>
      <c r="AA90" s="6">
        <f>COUNTIFS(Table36[Country],Tabela1[[#This Row],[Country]],Table36[Classification],"&gt;0")</f>
        <v>0</v>
      </c>
      <c r="AB90" s="6">
        <f>COUNTIFS(Table37[Country],Tabela1[[#This Row],[Country]],Table37[Classification],"&gt;0")</f>
        <v>0</v>
      </c>
      <c r="AC90" s="6">
        <f>COUNTIFS(Table4[Country],Tabela1[[#This Row],[Country]],Table4[100m Classification],"&gt;0")</f>
        <v>0</v>
      </c>
      <c r="AD90" s="6">
        <f>COUNTIFS(Table5[Country],Tabela1[[#This Row],[Country]],Table5[100m Classification],"&gt;0")</f>
        <v>0</v>
      </c>
      <c r="AE90" s="6">
        <f>COUNTIFS(Table4[Country],Tabela1[[#This Row],[Country]],Table4[200m Classification],"&gt;0")</f>
        <v>0</v>
      </c>
      <c r="AF90" s="6">
        <f>COUNTIFS(Table5[Country],Tabela1[[#This Row],[Country]],Table5[200m Classification],"&gt;0")</f>
        <v>0</v>
      </c>
      <c r="AG90" s="6">
        <f>COUNTIFS(Table4[Country],Tabela1[[#This Row],[Country]],Table4[400m Classification],"&gt;0")</f>
        <v>0</v>
      </c>
      <c r="AH90" s="6">
        <f>COUNTIFS(Table5[Country],Tabela1[[#This Row],[Country]],Table5[400m Classification],"&gt;0")</f>
        <v>0</v>
      </c>
      <c r="AI90" s="6">
        <f>COUNTIFS(Table4[Country],Tabela1[[#This Row],[Country]],Table4[800m Classification],"&gt;0")</f>
        <v>0</v>
      </c>
      <c r="AJ90" s="6">
        <f>COUNTIFS(Table5[Country],Tabela1[[#This Row],[Country]],Table5[800m Classification],"&gt;0")</f>
        <v>0</v>
      </c>
      <c r="AK90" s="6">
        <f>COUNTIFS(Table4[Country],Tabela1[[#This Row],[Country]],Table4[1500m Classification],"&gt;0")</f>
        <v>0</v>
      </c>
      <c r="AL90" s="6">
        <f>COUNTIFS(Table5[Country],Tabela1[[#This Row],[Country]],Table5[1500m Classification],"&gt;0")</f>
        <v>0</v>
      </c>
      <c r="AM90" s="6">
        <f>COUNTIFS(Table4[Country],Tabela1[[#This Row],[Country]],Table4[5000m Classification],"&gt;0")</f>
        <v>0</v>
      </c>
      <c r="AN90" s="6">
        <f>COUNTIFS(Table5[Country],Tabela1[[#This Row],[Country]],Table5[5000m Classification],"&gt;0")</f>
        <v>0</v>
      </c>
      <c r="AO90" s="6">
        <f>COUNTIFS(Table4[Country],Tabela1[[#This Row],[Country]],Table4[10000m Classification],"&gt;0")</f>
        <v>0</v>
      </c>
      <c r="AP90" s="6">
        <f>COUNTIFS(Table5[Country],Tabela1[[#This Row],[Country]],Table5[10000m Classification],"&gt;0")</f>
        <v>0</v>
      </c>
      <c r="AQ90" s="6">
        <f>COUNTIFS(Table4[Country],Tabela1[[#This Row],[Country]],Table4[110m Hurdles Classification],"&gt;0")</f>
        <v>0</v>
      </c>
      <c r="AR90" s="6">
        <f>COUNTIFS(Table5[Country],Tabela1[[#This Row],[Country]],Table5[100m Hurdles Classification],"&gt;0")</f>
        <v>0</v>
      </c>
      <c r="AS90" s="6">
        <f>COUNTIFS(Table4[Country],Tabela1[[#This Row],[Country]],Table4[400m Hurdles Classification],"&gt;0")</f>
        <v>0</v>
      </c>
      <c r="AT90" s="6">
        <f>COUNTIFS(Table5[Country],Tabela1[[#This Row],[Country]],Table5[400m Hurdles Classification],"&gt;0")</f>
        <v>0</v>
      </c>
      <c r="AU90" s="6">
        <f>COUNTIFS(Table4[Country],Tabela1[[#This Row],[Country]],Table4[3000m Steeplechase Classification],"&gt;0")</f>
        <v>0</v>
      </c>
      <c r="AV90" s="6">
        <f>COUNTIFS(Table5[Country],Tabela1[[#This Row],[Country]],Table5[3000m Steeplechase Classification],"&gt;0")</f>
        <v>0</v>
      </c>
      <c r="AW90" s="6">
        <f>COUNTIFS(Table27[Country],Tabela1[[#This Row],[Country]],Table27[Men''s 4x100m Relay Classification],"&gt;0")</f>
        <v>0</v>
      </c>
      <c r="AX90" s="6">
        <f>COUNTIFS(Table27[Country],Tabela1[[#This Row],[Country]],Table27[Women''s 4x100m Relay Classification],"&gt;0")</f>
        <v>0</v>
      </c>
      <c r="AY90" s="6">
        <f>COUNTIFS(Table27[Country],Tabela1[[#This Row],[Country]],Table27[Men''s 4x400m Relay Classification],"&gt;0")</f>
        <v>0</v>
      </c>
      <c r="AZ90" s="6">
        <f>COUNTIFS(Table27[Country],Tabela1[[#This Row],[Country]],Table27[Women''s 4x400m Relay Classification],"&gt;0")</f>
        <v>0</v>
      </c>
      <c r="BA90" s="6">
        <f>COUNTIFS(Table27[Country],Tabela1[[#This Row],[Country]],Table27[Mixed 4x400m Relay Classification],"&gt;0")</f>
        <v>0</v>
      </c>
      <c r="BB90" s="6">
        <f>COUNTIFS(Table4[Country],Tabela1[[#This Row],[Country]],Table4[Marathon Classification],"&gt;0")</f>
        <v>0</v>
      </c>
      <c r="BC90" s="6">
        <f>COUNTIFS(Table5[Country],Tabela1[[#This Row],[Country]],Table5[Marathon Classification],"&gt;0")</f>
        <v>0</v>
      </c>
      <c r="BD90" s="6">
        <f>COUNTIFS(Table4[Country],Tabela1[[#This Row],[Country]],Table4[20km Race Walk Classification],"&gt;0")</f>
        <v>0</v>
      </c>
      <c r="BE90" s="6">
        <f>COUNTIFS(Table5[Country],Tabela1[[#This Row],[Country]],Table5[20km Race Walk Classification],"&gt;0")</f>
        <v>0</v>
      </c>
      <c r="BF90" s="6">
        <f>COUNTIFS(Tabela96[Country],Tabela1[[#This Row],[Country]],Tabela96[Mixed Marathon Race Walk Relay Classification],"&gt;0")</f>
        <v>0</v>
      </c>
      <c r="BG90" s="6">
        <f>COUNTIFS(Table4[Country],Tabela1[[#This Row],[Country]],Table4[Discus Throw Classification],"&gt;0")</f>
        <v>0</v>
      </c>
      <c r="BH90" s="6">
        <f>COUNTIFS(Table5[Country],Tabela1[[#This Row],[Country]],Table5[Discus Throw Classification],"&gt;0")</f>
        <v>0</v>
      </c>
      <c r="BI90" s="6">
        <f>COUNTIFS(Table4[Country],Tabela1[[#This Row],[Country]],Table4[Hammer Throw Classification],"&gt;0")</f>
        <v>0</v>
      </c>
      <c r="BJ90" s="6">
        <f>COUNTIFS(Table5[Country],Tabela1[[#This Row],[Country]],Table5[Hammer Throw Classification],"&gt;0")</f>
        <v>0</v>
      </c>
      <c r="BK90" s="6">
        <f>COUNTIFS(Table4[Country],Tabela1[[#This Row],[Country]],Table4[High Jump Classification],"&gt;0")</f>
        <v>0</v>
      </c>
      <c r="BL90" s="6">
        <f>COUNTIFS(Table5[Country],Tabela1[[#This Row],[Country]],Table5[High Jump Classification],"&gt;0")</f>
        <v>0</v>
      </c>
      <c r="BM90" s="6">
        <f>COUNTIFS(Table4[Country],Tabela1[[#This Row],[Country]],Table4[Javelin Throw Classification],"&gt;0")</f>
        <v>0</v>
      </c>
      <c r="BN90" s="6">
        <f>COUNTIFS(Table5[Country],Tabela1[[#This Row],[Country]],Table5[Javelin Throw Classification],"&gt;0")</f>
        <v>0</v>
      </c>
      <c r="BO90" s="6">
        <f>COUNTIFS(Table4[Country],Tabela1[[#This Row],[Country]],Table4[Long Jump Classification],"&gt;0")</f>
        <v>0</v>
      </c>
      <c r="BP90" s="6">
        <f>COUNTIFS(Table5[Country],Tabela1[[#This Row],[Country]],Table5[Long Jump Classification],"&gt;0")</f>
        <v>0</v>
      </c>
      <c r="BQ90" s="6">
        <f>COUNTIFS(Table4[Country],Tabela1[[#This Row],[Country]],Table4[Pole Vault Classification],"&gt;0")</f>
        <v>0</v>
      </c>
      <c r="BR90" s="6">
        <f>COUNTIFS(Table5[Country],Tabela1[[#This Row],[Country]],Table5[Pole Vault Classification],"&gt;0")</f>
        <v>0</v>
      </c>
      <c r="BS90" s="6">
        <f>COUNTIFS(Table4[Country],Tabela1[[#This Row],[Country]],Table4[Shot Put Classification],"&gt;0")</f>
        <v>0</v>
      </c>
      <c r="BT90" s="6">
        <f>COUNTIFS(Table5[Country],Tabela1[[#This Row],[Country]],Table5[Shot Put Classification],"&gt;0")</f>
        <v>0</v>
      </c>
      <c r="BU90" s="6">
        <f>COUNTIFS(Table4[Country],Tabela1[[#This Row],[Country]],Table4[Triple Jump Classification],"&gt;0")</f>
        <v>0</v>
      </c>
      <c r="BV90" s="6">
        <f>COUNTIFS(Table5[Country],Tabela1[[#This Row],[Country]],Table5[Triple Jump Classification],"&gt;0")</f>
        <v>0</v>
      </c>
      <c r="BW90" s="6">
        <f>COUNTIFS(Table4[Country],Tabela1[[#This Row],[Country]],Table4[Decathlon Classification],"&gt;0")</f>
        <v>0</v>
      </c>
      <c r="BX90" s="6">
        <f>COUNTIFS(Table5[Country],Tabela1[[#This Row],[Country]],Table5[Heptathlon Classification],"&gt;0")</f>
        <v>0</v>
      </c>
      <c r="BY90" s="6">
        <f>COUNTIFS(Table61[Country],Tabela1[[#This Row],[Country]],Table61[Classification],"&gt;0")</f>
        <v>0</v>
      </c>
      <c r="BZ90" s="6">
        <f>COUNTIFS(Table38[Country],Tabela1[[#This Row],[Country]],Table38[Classification],"&gt;0")</f>
        <v>1</v>
      </c>
      <c r="CA90" s="6">
        <f>COUNTIFS(Table39[Country],Tabela1[[#This Row],[Country]],Table39[Men''s Classification],"&gt;0")</f>
        <v>0</v>
      </c>
      <c r="CB90" s="6">
        <f>COUNTIFS(Table39[Country],Tabela1[[#This Row],[Country]],Table39[Women''s Classification],"&gt;0")</f>
        <v>0</v>
      </c>
      <c r="CC90" s="6">
        <f>COUNTIFS(Table39[Country],Tabela1[[#This Row],[Country]],Table39[Mixed Classification],"&gt;0")</f>
        <v>0</v>
      </c>
      <c r="CD90" s="6">
        <f>COUNTIFS(Table89[Country],Tabela1[[#This Row],[Country]],Table89[Men''s Classification],"&gt;0")</f>
        <v>0</v>
      </c>
      <c r="CE90" s="6">
        <f>COUNTIFS(Table89[Country],Tabela1[[#This Row],[Country]],Table89[Women''s Classification],"&gt;0")</f>
        <v>0</v>
      </c>
      <c r="CF90" s="6">
        <f>COUNTIFS(Table90[Country],Tabela1[[#This Row],[Country]],Table90[Men''s Classification],"&gt;0")</f>
        <v>0</v>
      </c>
      <c r="CG90" s="6">
        <f>COUNTIFS(Table90[Country],Tabela1[[#This Row],[Country]],Table90[Women''s Classification],"&gt;0")</f>
        <v>0</v>
      </c>
      <c r="CH90" s="6">
        <f>COUNTIFS(Table60[Country],Tabela1[[#This Row],[Country]],Table60[Men''s Classification],"&gt;0")</f>
        <v>0</v>
      </c>
      <c r="CI90" s="6">
        <f>COUNTIFS(Table60[Country],Tabela1[[#This Row],[Country]],Table60[Women''s Classification],"&gt;0")</f>
        <v>0</v>
      </c>
      <c r="CJ90" s="6">
        <f>COUNTIFS(Table6[Country],Tabela1[[#This Row],[Country]],Table6[51kg Classification],"&gt;0")</f>
        <v>0</v>
      </c>
      <c r="CK90" s="6">
        <f>COUNTIFS(Table6[Country],Tabela1[[#This Row],[Country]],Table6[57kg Classification],"&gt;0")</f>
        <v>0</v>
      </c>
      <c r="CL90" s="6">
        <f>COUNTIFS(Table6[Country],Tabela1[[#This Row],[Country]],Table6[63.5kg Classification],"&gt;0")</f>
        <v>0</v>
      </c>
      <c r="CM90" s="6">
        <f>COUNTIFS(Table6[Country],Tabela1[[#This Row],[Country]],Table6[71kg Classification],"&gt;0")</f>
        <v>0</v>
      </c>
      <c r="CN90" s="6">
        <f>COUNTIFS(Table6[Country],Tabela1[[#This Row],[Country]],Table6[80kg Classification],"&gt;0")</f>
        <v>0</v>
      </c>
      <c r="CO90" s="6">
        <f>COUNTIFS(Table6[Country],Tabela1[[#This Row],[Country]],Table6[92kg Classification],"&gt;0")</f>
        <v>0</v>
      </c>
      <c r="CP90" s="6">
        <f>COUNTIFS(Table6[Country],Tabela1[[#This Row],[Country]],Table6[Plus 92kg Classification],"&gt;0")</f>
        <v>0</v>
      </c>
      <c r="CQ90" s="6">
        <f>COUNTIFS(Table7[Country],Tabela1[[#This Row],[Country]],Table7[50kg Classification],"&gt;0")</f>
        <v>0</v>
      </c>
      <c r="CR90" s="6">
        <f>COUNTIFS(Table7[Country],Tabela1[[#This Row],[Country]],Table7[54kg Classification],"&gt;0")</f>
        <v>0</v>
      </c>
      <c r="CS90" s="6">
        <f>COUNTIFS(Table7[Country],Tabela1[[#This Row],[Country]],Table7[57kg Classification],"&gt;0")</f>
        <v>0</v>
      </c>
      <c r="CT90" s="6">
        <f>COUNTIFS(Table7[Country],Tabela1[[#This Row],[Country]],Table7[60kg Classification],"&gt;0")</f>
        <v>0</v>
      </c>
      <c r="CU90" s="6">
        <f>COUNTIFS(Table7[Country],Tabela1[[#This Row],[Country]],Table7[66kg Classification],"&gt;0")</f>
        <v>0</v>
      </c>
      <c r="CV90" s="6">
        <f>COUNTIFS(Table7[Country],Tabela1[[#This Row],[Country]],Table7[75kg Classification],"&gt;0")</f>
        <v>0</v>
      </c>
      <c r="CW90" s="6">
        <f>COUNTIFS(Tabela94[Country],Tabela1[[#This Row],[Country]],Tabela94[Classification],"&gt;0")</f>
        <v>0</v>
      </c>
      <c r="CX90" s="6">
        <f>COUNTIFS(Tabela9499[Country],Tabela1[[#This Row],[Country]],Tabela9499[Classification],"&gt;0")</f>
        <v>0</v>
      </c>
      <c r="CY90" s="6">
        <f>COUNTIFS(Tabela107[Country],Tabela1[[#This Row],[Country]],Tabela107[C1 Slalom Classification],"&gt;0")</f>
        <v>0</v>
      </c>
      <c r="CZ90" s="6">
        <f>COUNTIFS(Tabela107122[Country],Tabela1[[#This Row],[Country]],Tabela107122[C1 Slalom Classification],"&gt;0")</f>
        <v>0</v>
      </c>
      <c r="DA90" s="6">
        <f>COUNTIFS(Tabela107[Country],Tabela1[[#This Row],[Country]],Tabela107[K1 Slalom Classification],"&gt;0")</f>
        <v>0</v>
      </c>
      <c r="DB90" s="6">
        <f>COUNTIFS(Tabela107122[Country],Tabela1[[#This Row],[Country]],Tabela107122[K1 Slalom Classification],"&gt;0")</f>
        <v>0</v>
      </c>
      <c r="DC90" s="6">
        <f>COUNTIFS(Tabela107[Country],Tabela1[[#This Row],[Country]],Tabela107[Kayak Cross Slalom Classification],"&gt;0")</f>
        <v>0</v>
      </c>
      <c r="DD90" s="6">
        <f>COUNTIFS(Tabela107122[Country],Tabela1[[#This Row],[Country]],Tabela107122[Kayak Cross Slalom Classification],"&gt;0")</f>
        <v>0</v>
      </c>
      <c r="DE90" s="6">
        <f>COUNTIFS(Table8[Country],Tabela1[[#This Row],[Country]],Table8[C1 200m Classification],"&gt;0")</f>
        <v>0</v>
      </c>
      <c r="DF90" s="6">
        <f>COUNTIFS(Table40[Country],Tabela1[[#This Row],[Country]],Table40[C1 1000m Classification],"&gt;0")</f>
        <v>0</v>
      </c>
      <c r="DG90" s="6">
        <f>COUNTIFS(Table68[Country],Tabela1[[#This Row],[Country]],Table68[Men''s C2 500m Classification],"&gt;0")</f>
        <v>0</v>
      </c>
      <c r="DH90" s="6">
        <f>COUNTIFS(Table68[Country],Tabela1[[#This Row],[Country]],Table68[Women''s C2 500m Classification],"&gt;0")</f>
        <v>0</v>
      </c>
      <c r="DI90" s="6">
        <f>COUNTIFS(Table8[Country],Tabela1[[#This Row],[Country]],Table8[K1 500m Classification],"&gt;0")</f>
        <v>0</v>
      </c>
      <c r="DJ90" s="6">
        <f>COUNTIFS(Table40[Country],Tabela1[[#This Row],[Country]],Table40[K1 1000m Classification],"&gt;0")</f>
        <v>0</v>
      </c>
      <c r="DK90" s="6">
        <f>COUNTIFS(Table68[Country],Tabela1[[#This Row],[Country]],Table68[Men''s K2 500m Classification],"&gt;0")</f>
        <v>0</v>
      </c>
      <c r="DL90" s="6">
        <f>COUNTIFS(Table68[Country],Tabela1[[#This Row],[Country]],Table68[Women''s K2 500m Classification],"&gt;0")</f>
        <v>0</v>
      </c>
      <c r="DM90" s="6">
        <f>COUNTIFS(Table83[Country],Tabela1[[#This Row],[Country]],Table83[Men''s K4 500m Classification],"&gt;0")</f>
        <v>0</v>
      </c>
      <c r="DN90" s="6">
        <f>COUNTIFS(Table83[Country],Tabela1[[#This Row],[Country]],Table83[Women''s K4 500m Classification],"&gt;0")</f>
        <v>0</v>
      </c>
      <c r="DO90" s="6">
        <f>COUNTIFS(Tabela126[Country],Tabela1[[#This Row],[Country]],Tabela126[Classification],"&gt;0")</f>
        <v>0</v>
      </c>
      <c r="DP90" s="6">
        <f>COUNTIFS(Tabela126130[Country],Tabela1[[#This Row],[Country]],Tabela126130[Classification],"&gt;0")</f>
        <v>0</v>
      </c>
      <c r="DQ90" s="6">
        <f>COUNTIFS(Table70[Country],Tabela1[[#This Row],[Country]],Table70[Classification],"&gt;0")</f>
        <v>0</v>
      </c>
      <c r="DR90" s="6">
        <f>COUNTIFS(Table80[Country],Tabela1[[#This Row],[Country]],Table80[Classification],"&gt;0")</f>
        <v>0</v>
      </c>
      <c r="DS90" s="6">
        <f>COUNTIFS(Table66[Country],Tabela1[[#This Row],[Country]],Table66[Classification],"&gt;0")</f>
        <v>0</v>
      </c>
      <c r="DT90" s="6">
        <f>COUNTIFS(Table67[Country],Tabela1[[#This Row],[Country]],Table67[Classification],"&gt;0")</f>
        <v>1</v>
      </c>
      <c r="DU90" s="6">
        <f>COUNTIFS(Table69[Country],Tabela1[[#This Row],[Country]],Table69[Keirin Classification],"&gt;0")</f>
        <v>0</v>
      </c>
      <c r="DV90" s="6">
        <f>COUNTIFS(Table41[Country],Tabela1[[#This Row],[Country]],Table41[Keirin Classification],"&gt;0")</f>
        <v>0</v>
      </c>
      <c r="DW90" s="6">
        <f>COUNTIFS(Table84[Country],Tabela1[[#This Row],[Country]],Table84[Men''s Madison Classification],"&gt;0")</f>
        <v>0</v>
      </c>
      <c r="DX90" s="6">
        <f>COUNTIFS(Table84[Country],Tabela1[[#This Row],[Country]],Table84[Women''s Madison Classification],"&gt;0")</f>
        <v>0</v>
      </c>
      <c r="DY90" s="6">
        <f>COUNTIFS(Table69[Country],Tabela1[[#This Row],[Country]],Table69[Omnium Classification],"&gt;0")</f>
        <v>0</v>
      </c>
      <c r="DZ90" s="6">
        <f>COUNTIFS(Table41[Country],Tabela1[[#This Row],[Country]],Table41[Omnium Classification],"&gt;0")</f>
        <v>0</v>
      </c>
      <c r="EA90" s="6">
        <f>COUNTIFS(Table9[Country],Tabela1[[#This Row],[Country]],Table9[Road Race Classification],"&gt;0")</f>
        <v>1</v>
      </c>
      <c r="EB90" s="6">
        <f>COUNTIFS(Table14[Country],Tabela1[[#This Row],[Country]],Table14[Road Race Classification],"&gt;0")</f>
        <v>1</v>
      </c>
      <c r="EC90" s="6">
        <f>COUNTIFS(Table69[Country],Tabela1[[#This Row],[Country]],Table69[Sprint Classification],"&gt;0")</f>
        <v>0</v>
      </c>
      <c r="ED90" s="6">
        <f>COUNTIFS(Table41[Country],Tabela1[[#This Row],[Country]],Table41[Sprint Classification],"&gt;0")</f>
        <v>0</v>
      </c>
      <c r="EE90" s="6">
        <f>COUNTIFS(Table85[Country],Tabela1[[#This Row],[Country]],Table85[Men''s Sprint Classification],"&gt;0")</f>
        <v>0</v>
      </c>
      <c r="EF90" s="6">
        <f>COUNTIFS(Table85[Country],Tabela1[[#This Row],[Country]],Table85[Women''s Sprint Classification],"&gt;0")</f>
        <v>0</v>
      </c>
      <c r="EG90" s="6">
        <f>COUNTIFS(Table85[Country],Tabela1[[#This Row],[Country]],Table85[Men''s Pursuit Classification],"&gt;0")</f>
        <v>0</v>
      </c>
      <c r="EH90" s="6">
        <f>COUNTIFS(Table85[Country],Tabela1[[#This Row],[Country]],Table85[Women''s Pursuit Classification],"&gt;0")</f>
        <v>0</v>
      </c>
      <c r="EI90" s="6">
        <f>COUNTIFS(Table9[Country],Tabela1[[#This Row],[Country]],Table9[Time-Trial Classification],"&gt;0")</f>
        <v>0</v>
      </c>
      <c r="EJ90" s="6">
        <f>COUNTIFS(Table14[Country],Tabela1[[#This Row],[Country]],Table14[Time-Trial Classification],"&gt;0")</f>
        <v>0</v>
      </c>
      <c r="EK90" s="6">
        <f>COUNTIFS(Table42[Country],Tabela1[[#This Row],[Country]],Table42[Springboard Classification],"&gt;0")</f>
        <v>0</v>
      </c>
      <c r="EL90" s="6">
        <f>COUNTIFS(Table43[Country],Tabela1[[#This Row],[Country]],Table43[Springboard Classification],"&gt;0")</f>
        <v>0</v>
      </c>
      <c r="EM90" s="6">
        <f>COUNTIFS(Table42[Country],Tabela1[[#This Row],[Country]],Table42[Platform Classification],"&gt;0")</f>
        <v>0</v>
      </c>
      <c r="EN90" s="6">
        <f>COUNTIFS(Table43[Country],Tabela1[[#This Row],[Country]],Table43[Platform Classification],"&gt;0")</f>
        <v>0</v>
      </c>
      <c r="EO90" s="6">
        <f>COUNTIFS(Table86[Country],Tabela1[[#This Row],[Country]],Table86[Men''s Synchronized Springboard Classification],"&gt;0")</f>
        <v>0</v>
      </c>
      <c r="EP90" s="6">
        <f>COUNTIFS(Table86[Country],Tabela1[[#This Row],[Country]],Table86[Women''s Synchronized Springboard Classification],"&gt;0")</f>
        <v>0</v>
      </c>
      <c r="EQ90" s="6">
        <f>COUNTIFS(Table86[Country],Tabela1[[#This Row],[Country]],Table86[Men''s Synchronized Platform Classification],"&gt;0")</f>
        <v>0</v>
      </c>
      <c r="ER90" s="6">
        <f>COUNTIFS(Table86[Country],Tabela1[[#This Row],[Country]],Table86[Women''s Synchronized Platform Classification],"&gt;0")</f>
        <v>0</v>
      </c>
      <c r="ES90" s="6">
        <f>COUNTIFS(Table44[Country],Tabela1[[#This Row],[Country]],Table44[Dressage Classification],"&gt;0")</f>
        <v>0</v>
      </c>
      <c r="ET90" s="6">
        <f>COUNTIFS(Table45[Country],Tabela1[[#This Row],[Country]],Table45[Dressage Classification],"&gt;0")</f>
        <v>0</v>
      </c>
      <c r="EU90" s="6">
        <f>COUNTIFS(Table44[Country],Tabela1[[#This Row],[Country]],Table44[Eventing Classification],"&gt;0")</f>
        <v>0</v>
      </c>
      <c r="EV90" s="6">
        <f>COUNTIFS(Table45[Country],Tabela1[[#This Row],[Country]],Table45[Eventing Classification],"&gt;0")</f>
        <v>0</v>
      </c>
      <c r="EW90" s="6">
        <f>COUNTIFS(Table44[Country],Tabela1[[#This Row],[Country]],Table44[Jumping Classification],"&gt;0")</f>
        <v>0</v>
      </c>
      <c r="EX90" s="6">
        <f>COUNTIFS(Table45[Country],Tabela1[[#This Row],[Country]],Table45[Jumping Classification],"&gt;0")</f>
        <v>0</v>
      </c>
      <c r="EY90" s="6">
        <f>COUNTIFS(Table10[Country],Tabela1[[#This Row],[Country]],Table10[Épée Classification],"&gt;0")</f>
        <v>0</v>
      </c>
      <c r="EZ90" s="6">
        <f>COUNTIFS(Table11[Country],Tabela1[[#This Row],[Country]],Table11[Épée Classification],"&gt;0")</f>
        <v>0</v>
      </c>
      <c r="FA90" s="6">
        <f>COUNTIFS(Table46[Country],Tabela1[[#This Row],[Country]],Table46[Men''s Épée Classification],"&gt;0")</f>
        <v>0</v>
      </c>
      <c r="FB90" s="6">
        <f>COUNTIFS(Table46[Country],Tabela1[[#This Row],[Country]],Table46[Women''s Épée Classification],"&gt;0")</f>
        <v>0</v>
      </c>
      <c r="FC90" s="6">
        <f>COUNTIFS(Table10[Country],Tabela1[[#This Row],[Country]],Table10[Foil Classification],"&gt;0")</f>
        <v>0</v>
      </c>
      <c r="FD90" s="6">
        <f>COUNTIFS(Table11[Country],Tabela1[[#This Row],[Country]],Table11[Foil Classification],"&gt;0")</f>
        <v>0</v>
      </c>
      <c r="FE90" s="6">
        <f>COUNTIFS(Table46[Country],Tabela1[[#This Row],[Country]],Table46[Men''s Foil Classification],"&gt;0")</f>
        <v>0</v>
      </c>
      <c r="FF90" s="6">
        <f>COUNTIFS(Table46[Country],Tabela1[[#This Row],[Country]],Table46[Women''s Foil Classification],"&gt;0")</f>
        <v>0</v>
      </c>
      <c r="FG90" s="6">
        <f>COUNTIFS(Table10[Country],Tabela1[[#This Row],[Country]],Table10[Sabre Classification],"&gt;0")</f>
        <v>0</v>
      </c>
      <c r="FH90" s="6">
        <f>COUNTIFS(Table11[Country],Tabela1[[#This Row],[Country]],Table11[Sabre Classification],"&gt;0")</f>
        <v>0</v>
      </c>
      <c r="FI90" s="6">
        <f>COUNTIFS(Table46[Country],Tabela1[[#This Row],[Country]],Table46[Men''s Sabre Classification],"&gt;0")</f>
        <v>0</v>
      </c>
      <c r="FJ90" s="6">
        <f>COUNTIFS(Table46[Country],Tabela1[[#This Row],[Country]],Table46[Women''s Sabre Classification],"&gt;0")</f>
        <v>0</v>
      </c>
      <c r="FK90" s="6">
        <f>COUNTIFS(Table91[Country],Tabela1[[#This Row],[Country]],Table91[Men''s Classification],"&gt;0")</f>
        <v>0</v>
      </c>
      <c r="FL90" s="6">
        <f>COUNTIFS(Table91[Country],Tabela1[[#This Row],[Country]],Table91[Women''s Classification],"&gt;0")</f>
        <v>0</v>
      </c>
      <c r="FM90" s="6">
        <f>COUNTIFS(Table9194[Country],Tabela1[[#This Row],[Country]],Table9194[Men''s Classification],"&gt;0")</f>
        <v>0</v>
      </c>
      <c r="FN90" s="6">
        <f>COUNTIFS(Table9194[Country],Tabela1[[#This Row],[Country]],Table9194[Women''s Classification],"&gt;0")</f>
        <v>0</v>
      </c>
      <c r="FO90" s="6">
        <f>COUNTIFS(Table71[Country],Tabela1[[#This Row],[Country]],Table71[Classification],"&gt;0")</f>
        <v>0</v>
      </c>
      <c r="FP90" s="6">
        <f>COUNTIFS(Table62[Country],Tabela1[[#This Row],[Country]],Table62[Classification],"&gt;0")</f>
        <v>0</v>
      </c>
      <c r="FQ90" s="6">
        <f>COUNTIFS(Table47[Country],Tabela1[[#This Row],[Country]],Table47[All-Around Classification],"&gt;0")</f>
        <v>0</v>
      </c>
      <c r="FR90" s="6">
        <f>COUNTIFS(Table48[Country],Tabela1[[#This Row],[Country]],Table48[All-Around Classification],"&gt;0")</f>
        <v>0</v>
      </c>
      <c r="FS90" s="6">
        <f>COUNTIFS(Table81[Country],Tabela1[[#This Row],[Country]],Table81[Men''s All-Around Classification],"&gt;0")</f>
        <v>0</v>
      </c>
      <c r="FT90" s="6">
        <f>COUNTIFS(Table81[Country],Tabela1[[#This Row],[Country]],Table81[Women''s All-Around Classification],"&gt;0")</f>
        <v>0</v>
      </c>
      <c r="FU90" s="6">
        <f>COUNTIFS(Table48[Country],Tabela1[[#This Row],[Country]],Table48[Balance Beam Classification],"&gt;0")</f>
        <v>0</v>
      </c>
      <c r="FV90" s="6">
        <f>COUNTIFS(Table47[Country],Tabela1[[#This Row],[Country]],Table47[Floor Exercise Classification],"&gt;0")</f>
        <v>0</v>
      </c>
      <c r="FW90" s="6">
        <f>COUNTIFS(Table48[Country],Tabela1[[#This Row],[Country]],Table48[Floor Exercise Classification],"&gt;0")</f>
        <v>0</v>
      </c>
      <c r="FX90" s="6">
        <f>COUNTIFS(Table47[Country],Tabela1[[#This Row],[Country]],Table47[Horizontal Bar Classification],"&gt;0")</f>
        <v>0</v>
      </c>
      <c r="FY90" s="6">
        <f>COUNTIFS(Table47[Country],Tabela1[[#This Row],[Country]],Table47[Parallel Bars Classification],"&gt;0")</f>
        <v>0</v>
      </c>
      <c r="FZ90" s="6">
        <f>COUNTIFS(Table47[Country],Tabela1[[#This Row],[Country]],Table47[Pommel Horse Classification],"&gt;0")</f>
        <v>0</v>
      </c>
      <c r="GA90" s="6">
        <f>COUNTIFS(Table47[Country],Tabela1[[#This Row],[Country]],Table47[Rings Classification],"&gt;0")</f>
        <v>0</v>
      </c>
      <c r="GB90" s="6">
        <f>COUNTIFS(Tabela132[Country],Tabela1[[#This Row],[Country]],Tabela132[Classification],"&gt;0")</f>
        <v>0</v>
      </c>
      <c r="GC90" s="6">
        <f>COUNTIFS(Tabela139[Country],Tabela1[[#This Row],[Country]],Tabela139[Classification],"&gt;0")</f>
        <v>0</v>
      </c>
      <c r="GD90" s="6">
        <f>COUNTIFS(Table48[Country],Tabela1[[#This Row],[Country]],Table48[Uneven Bars Classification],"&gt;0")</f>
        <v>0</v>
      </c>
      <c r="GE90" s="6">
        <f>COUNTIFS(Table47[Country],Tabela1[[#This Row],[Country]],Table47[Vault Classification],"&gt;0")</f>
        <v>0</v>
      </c>
      <c r="GF90" s="6">
        <f>COUNTIFS(Table48[Country],Tabela1[[#This Row],[Country]],Table48[Vault Classification],"&gt;0")</f>
        <v>0</v>
      </c>
      <c r="GG90" s="6">
        <f>COUNTIFS(Table919496[Country],Tabela1[[#This Row],[Country]],Table919496[Men''s Classification],"&gt;0")</f>
        <v>0</v>
      </c>
      <c r="GH90" s="6">
        <f>COUNTIFS(Table919496[Country],Tabela1[[#This Row],[Country]],Table919496[Women''s Classification],"&gt;0")</f>
        <v>0</v>
      </c>
      <c r="GI90" s="6">
        <f>COUNTIFS(Table12[Country],Tabela1[[#This Row],[Country]],Table12[60kg Classification],"&gt;0")</f>
        <v>0</v>
      </c>
      <c r="GJ90" s="6">
        <f>COUNTIFS(Table12[Country],Tabela1[[#This Row],[Country]],Table12[66kg Classification],"&gt;0")</f>
        <v>0</v>
      </c>
      <c r="GK90" s="6">
        <f>COUNTIFS(Table12[Country],Tabela1[[#This Row],[Country]],Table12[73kg Classification],"&gt;0")</f>
        <v>0</v>
      </c>
      <c r="GL90" s="6">
        <f>COUNTIFS(Table12[Country],Tabela1[[#This Row],[Country]],Table12[81kg Classification],"&gt;0")</f>
        <v>0</v>
      </c>
      <c r="GM90" s="6">
        <f>COUNTIFS(Table12[Country],Tabela1[[#This Row],[Country]],Table12[90kg Classification],"&gt;0")</f>
        <v>0</v>
      </c>
      <c r="GN90" s="6">
        <f>COUNTIFS(Table12[Country],Tabela1[[#This Row],[Country]],Table12[100kg Classification],"&gt;0")</f>
        <v>0</v>
      </c>
      <c r="GO90" s="6">
        <f>COUNTIFS(Table12[Country],Tabela1[[#This Row],[Country]],Table12[Plus 100kg Classification],"&gt;0")</f>
        <v>0</v>
      </c>
      <c r="GP90" s="6">
        <f>COUNTIFS(Table13[Country],Tabela1[[#This Row],[Country]],Table13[48kg Classification],"&gt;0")</f>
        <v>0</v>
      </c>
      <c r="GQ90" s="6">
        <f>COUNTIFS(Table13[Country],Tabela1[[#This Row],[Country]],Table13[52kg Classification],"&gt;0")</f>
        <v>0</v>
      </c>
      <c r="GR90" s="6">
        <f>COUNTIFS(Table13[Country],Tabela1[[#This Row],[Country]],Table13[57kg Classification],"&gt;0")</f>
        <v>0</v>
      </c>
      <c r="GS90" s="6">
        <f>COUNTIFS(Table13[Country],Tabela1[[#This Row],[Country]],Table13[63kg Classification],"&gt;0")</f>
        <v>0</v>
      </c>
      <c r="GT90" s="6">
        <f>COUNTIFS(Table13[Country],Tabela1[[#This Row],[Country]],Table13[70kg Classification],"&gt;0")</f>
        <v>0</v>
      </c>
      <c r="GU90" s="6">
        <f>COUNTIFS(Table13[Country],Tabela1[[#This Row],[Country]],Table13[78kg Classification],"&gt;0")</f>
        <v>0</v>
      </c>
      <c r="GV90" s="6">
        <f>COUNTIFS(Table13[Country],Tabela1[[#This Row],[Country]],Table13[Plus 78kg Classification],"&gt;0")</f>
        <v>0</v>
      </c>
      <c r="GW90" s="6">
        <f>COUNTIFS(Table82[Country],Tabela1[[#This Row],[Country]],Table82[Mixed Classification],"&gt;0")</f>
        <v>0</v>
      </c>
      <c r="GX90" s="6">
        <f>COUNTIFS(Table51[Country],Tabela1[[#This Row],[Country]],Table51[Classification],"&gt;0")</f>
        <v>0</v>
      </c>
      <c r="GY90" s="6">
        <f>COUNTIFS(Table52[Country],Tabela1[[#This Row],[Country]],Table52[Classification],"&gt;0")</f>
        <v>0</v>
      </c>
      <c r="GZ90" s="6">
        <f>COUNTIFS(Table32[Country],Tabela1[[#This Row],[Country]],Table32[All-Around Classification],"&gt;0")</f>
        <v>0</v>
      </c>
      <c r="HA90" s="6">
        <f>COUNTIFS(Table49[Country],Tabela1[[#This Row],[Country]],Table49[All-Around Classification],"&gt;0")</f>
        <v>0</v>
      </c>
      <c r="HB90" s="6">
        <f>COUNTIFS(Table26[Country],Tabela1[[#This Row],[Country]],Table26[Single Sculls Classification],"&gt;0")</f>
        <v>0</v>
      </c>
      <c r="HC90" s="6">
        <f>COUNTIFS(Table63[Country],Tabela1[[#This Row],[Country]],Table63[Single Sculls Classification],"&gt;0")</f>
        <v>0</v>
      </c>
      <c r="HD90" s="6">
        <f>COUNTIFS(Table16[Country],Tabela1[[#This Row],[Country]],Table16[Men''s Double Sculls Classification],"&gt;0")</f>
        <v>0</v>
      </c>
      <c r="HE90" s="6">
        <f>COUNTIFS(Table16[Country],Tabela1[[#This Row],[Country]],Table16[Women''s Double Sculls Classification],"&gt;0")</f>
        <v>0</v>
      </c>
      <c r="HF90" s="6">
        <f>COUNTIFS(Table72[Country],Tabela1[[#This Row],[Country]],Table72[Men''s Quadruple Sculls Classification],"&gt;0")</f>
        <v>0</v>
      </c>
      <c r="HG90" s="6">
        <f>COUNTIFS(Table72[Country],Tabela1[[#This Row],[Country]],Table72[Women''s Quadruple Sculls Classification],"&gt;0")</f>
        <v>0</v>
      </c>
      <c r="HH90" s="6">
        <f>COUNTIFS(Table16[Country],Tabela1[[#This Row],[Country]],Table16[Men''s Coxless Pairs Classification],"&gt;0")</f>
        <v>0</v>
      </c>
      <c r="HI90" s="6">
        <f>COUNTIFS(Table16[Country],Tabela1[[#This Row],[Country]],Table16[Women''s Coxless Pairs Classification],"&gt;0")</f>
        <v>0</v>
      </c>
      <c r="HJ90" s="6">
        <f>COUNTIFS(Table72[Country],Tabela1[[#This Row],[Country]],Table72[Men''s Coxless Fours Classification],"&gt;0")</f>
        <v>0</v>
      </c>
      <c r="HK90" s="6">
        <f>COUNTIFS(Table72[Country],Tabela1[[#This Row],[Country]],Table72[Women''s Coxless Fours Classification],"&gt;0")</f>
        <v>0</v>
      </c>
      <c r="HL90" s="6">
        <f>COUNTIFS(Table72[Country],Tabela1[[#This Row],[Country]],Table72[Men''s Eights Classification],"&gt;0")</f>
        <v>0</v>
      </c>
      <c r="HM90" s="6">
        <f>COUNTIFS(Table72[Country],Tabela1[[#This Row],[Country]],Table72[Women''s Eights Classification],"&gt;0")</f>
        <v>0</v>
      </c>
      <c r="HN90" s="6">
        <f>COUNTIFS(Table16[Country],Tabela1[[#This Row],[Country]],Table16[Men''s Lwt. Double Sculls Classification],"&gt;0")</f>
        <v>0</v>
      </c>
      <c r="HO90" s="6">
        <f>COUNTIFS(Table16[Country],Tabela1[[#This Row],[Country]],Table16[Women''s Lwt. Double Sculls Classification],"&gt;0")</f>
        <v>0</v>
      </c>
      <c r="HP90" s="6">
        <f>COUNTIFS(Table91949698[Country],Tabela1[[#This Row],[Country]],Table91949698[Men''s Classification],"&gt;0")</f>
        <v>0</v>
      </c>
      <c r="HQ90" s="6">
        <f>COUNTIFS(Table91949698[Country],Tabela1[[#This Row],[Country]],Table91949698[Women''s Classification],"&gt;0")</f>
        <v>0</v>
      </c>
      <c r="HR90" s="6">
        <f>COUNTIFS(Table25[Country],Tabela1[[#This Row],[Country]],Table25[Mixed 470 Classification],"&gt;0")</f>
        <v>0</v>
      </c>
      <c r="HS90" s="6">
        <f>COUNTIFS(Table25[Country],Tabela1[[#This Row],[Country]],Table25[Men''s 49er Classification],"&gt;0")</f>
        <v>0</v>
      </c>
      <c r="HT90" s="6">
        <f>COUNTIFS(Table25[Country],Tabela1[[#This Row],[Country]],Table25[Women''s 49er FX Classification],"&gt;0")</f>
        <v>0</v>
      </c>
      <c r="HU90" s="6">
        <f>COUNTIFS(Table17[Country],Tabela1[[#This Row],[Country]],Table17[Formula Kite Classification],"&gt;0")</f>
        <v>0</v>
      </c>
      <c r="HV90" s="6">
        <f>COUNTIFS(Table18[Country],Tabela1[[#This Row],[Country]],Table18[Formula Kite Classification],"&gt;0")</f>
        <v>0</v>
      </c>
      <c r="HW90" s="6">
        <f>COUNTIFS(Table17[Country],Tabela1[[#This Row],[Country]],Table17[ILCA 7 Classification],"&gt;0")</f>
        <v>0</v>
      </c>
      <c r="HX90" s="6">
        <f>COUNTIFS(Table18[Country],Tabela1[[#This Row],[Country]],Table18[ILCA 6 Classification],"&gt;0")</f>
        <v>0</v>
      </c>
      <c r="HY90" s="6">
        <f>COUNTIFS(Table17[Country],Tabela1[[#This Row],[Country]],Table17[IQFoil Classification],"&gt;0")</f>
        <v>0</v>
      </c>
      <c r="HZ90" s="6">
        <f>COUNTIFS(Table18[Country],Tabela1[[#This Row],[Country]],Table18[IQFoil Classification],"&gt;0")</f>
        <v>0</v>
      </c>
      <c r="IA90" s="6">
        <f>COUNTIFS(Table25[Country],Tabela1[[#This Row],[Country]],Table25[Mixed Nacra 17 Classification],"&gt;0")</f>
        <v>0</v>
      </c>
      <c r="IB90" s="6">
        <f>COUNTIFS(Table53[Country],Tabela1[[#This Row],[Country]],Table53[10m Air Pistol Classification],"&gt;0")</f>
        <v>0</v>
      </c>
      <c r="IC90" s="6">
        <f>COUNTIFS(Table19[Country],Tabela1[[#This Row],[Country]],Table19[10m Air Pistol Classification],"&gt;0")</f>
        <v>0</v>
      </c>
      <c r="ID90" s="6">
        <f>COUNTIFS(Table54[Country],Tabela1[[#This Row],[Country]],Table54[Mixed 10m Air Pistol Team Classification],"&gt;0")</f>
        <v>0</v>
      </c>
      <c r="IE90" s="6">
        <f>COUNTIFS(Table53[Country],Tabela1[[#This Row],[Country]],Table53[10m Air Rifle Classification],"&gt;0")</f>
        <v>0</v>
      </c>
      <c r="IF90" s="6">
        <f>COUNTIFS(Table19[Country],Tabela1[[#This Row],[Country]],Table19[10m Air Rifle Classification],"&gt;0")</f>
        <v>0</v>
      </c>
      <c r="IG90" s="6">
        <f>COUNTIFS(Table54[Country],Tabela1[[#This Row],[Country]],Table54[Mixed 10m Air Rifle Team Classification],"&gt;0")</f>
        <v>0</v>
      </c>
      <c r="IH90" s="6">
        <f>COUNTIFS(Table53[Country],Tabela1[[#This Row],[Country]],Table53[25m Rapid Fire Pistol Classification],"&gt;0")</f>
        <v>0</v>
      </c>
      <c r="II90" s="6">
        <f>COUNTIFS(Table19[Country],Tabela1[[#This Row],[Country]],Table19[25m Pistol Classification],"&gt;0")</f>
        <v>0</v>
      </c>
      <c r="IJ90" s="6">
        <f>COUNTIFS(Table53[Country],Tabela1[[#This Row],[Country]],Table53[50m Rifle 3 Positions Classification],"&gt;0")</f>
        <v>0</v>
      </c>
      <c r="IK90" s="6">
        <f>COUNTIFS(Table19[Country],Tabela1[[#This Row],[Country]],Table19[50m Rifle 3 Positions Classification],"&gt;0")</f>
        <v>0</v>
      </c>
      <c r="IL90" s="6">
        <f>COUNTIFS(Table53[Country],Tabela1[[#This Row],[Country]],Table53[Skeet Classification],"&gt;0")</f>
        <v>0</v>
      </c>
      <c r="IM90" s="6">
        <f>COUNTIFS(Table19[Country],Tabela1[[#This Row],[Country]],Table19[Skeet Classification],"&gt;0")</f>
        <v>0</v>
      </c>
      <c r="IN90" s="6">
        <f>COUNTIFS(Table54[Country],Tabela1[[#This Row],[Country]],Table54[Mixed Skeet Team Classification],"&gt;0")</f>
        <v>0</v>
      </c>
      <c r="IO90" s="6">
        <f>COUNTIFS(Table53[Country],Tabela1[[#This Row],[Country]],Table53[Trap Classification],"&gt;0")</f>
        <v>0</v>
      </c>
      <c r="IP90" s="6">
        <f>COUNTIFS(Table19[Country],Tabela1[[#This Row],[Country]],Table19[Trap Classification],"&gt;0")</f>
        <v>0</v>
      </c>
      <c r="IQ90" s="6">
        <f>COUNTIFS(Table73[Country],Tabela1[[#This Row],[Country]],Table73[Park Classification],"&gt;0")</f>
        <v>0</v>
      </c>
      <c r="IR90" s="6">
        <f>COUNTIFS(Table74[Country],Tabela1[[#This Row],[Country]],Table74[Park Classification],"&gt;0")</f>
        <v>0</v>
      </c>
      <c r="IS90" s="6">
        <f>COUNTIFS(Table73[Country],Tabela1[[#This Row],[Country]],Table73[Street Classification],"&gt;0")</f>
        <v>0</v>
      </c>
      <c r="IT90" s="6">
        <f>COUNTIFS(Table74[Country],Tabela1[[#This Row],[Country]],Table74[Street Classification],"&gt;0")</f>
        <v>0</v>
      </c>
      <c r="IU90" s="6">
        <f>COUNTIFS(Table75[Country],Tabela1[[#This Row],[Country]],Table75[Boulder and Lead Classification],"&gt;0")</f>
        <v>0</v>
      </c>
      <c r="IV90" s="6">
        <f>COUNTIFS(Table76[Country],Tabela1[[#This Row],[Country]],Table76[Boulder and Lead Classification],"&gt;0")</f>
        <v>0</v>
      </c>
      <c r="IW90" s="6">
        <f>COUNTIFS(Table75[Country],Tabela1[[#This Row],[Country]],Table75[Speed Classification],"&gt;0")</f>
        <v>0</v>
      </c>
      <c r="IX90" s="6">
        <f>COUNTIFS(Table76[Country],Tabela1[[#This Row],[Country]],Table76[Speed Classification],"&gt;0")</f>
        <v>0</v>
      </c>
      <c r="IY90" s="6">
        <f>COUNTIFS(Table64[Country],Tabela1[[#This Row],[Country]],Table64[Shortboard Classification],"&gt;0")</f>
        <v>0</v>
      </c>
      <c r="IZ90" s="6">
        <f>COUNTIFS(Table77[Country],Tabela1[[#This Row],[Country]],Table77[Shortboard Classification],"&gt;0")</f>
        <v>0</v>
      </c>
      <c r="JA90" s="6">
        <f>COUNTIFS(Table20[Country],Tabela1[[#This Row],[Country]],Table20[50m Freestyle Classification],"&gt;0")</f>
        <v>0</v>
      </c>
      <c r="JB90" s="6">
        <f>COUNTIFS(Table21[Country],Tabela1[[#This Row],[Country]],Table21[50m Freestyle Classification],"&gt;0")</f>
        <v>0</v>
      </c>
      <c r="JC90" s="6">
        <f>COUNTIFS(Table20[Country],Tabela1[[#This Row],[Country]],Table20[100m Freestyle Classification],"&gt;0")</f>
        <v>0</v>
      </c>
      <c r="JD90" s="6">
        <f>COUNTIFS(Table21[Country],Tabela1[[#This Row],[Country]],Table21[100m Freestyle Classification],"&gt;0")</f>
        <v>0</v>
      </c>
      <c r="JE90" s="6">
        <f>COUNTIFS(Table20[Country],Tabela1[[#This Row],[Country]],Table20[200m Freestyle Classification],"&gt;0")</f>
        <v>0</v>
      </c>
      <c r="JF90" s="6">
        <f>COUNTIFS(Table21[Country],Tabela1[[#This Row],[Country]],Table21[200m Freestyle Classification],"&gt;0")</f>
        <v>0</v>
      </c>
      <c r="JG90" s="6">
        <f>COUNTIFS(Table20[Country],Tabela1[[#This Row],[Country]],Table20[400m Freestyle Classification],"&gt;0")</f>
        <v>0</v>
      </c>
      <c r="JH90" s="6">
        <f>COUNTIFS(Table21[Country],Tabela1[[#This Row],[Country]],Table21[400m Freestyle Classification],"&gt;0")</f>
        <v>0</v>
      </c>
      <c r="JI90" s="6">
        <f>COUNTIFS(Table20[Country],Tabela1[[#This Row],[Country]],Table20[800m Freestyle Classification],"&gt;0")</f>
        <v>0</v>
      </c>
      <c r="JJ90" s="6">
        <f>COUNTIFS(Table21[Country],Tabela1[[#This Row],[Country]],Table21[800m Freestyle Classification],"&gt;0")</f>
        <v>0</v>
      </c>
      <c r="JK90" s="6">
        <f>COUNTIFS(Table20[Country],Tabela1[[#This Row],[Country]],Table20[1500m Freestyle Classification],"&gt;0")</f>
        <v>0</v>
      </c>
      <c r="JL90" s="6">
        <f>COUNTIFS(Table21[Country],Tabela1[[#This Row],[Country]],Table21[1500m Freestyle Classification],"&gt;0")</f>
        <v>0</v>
      </c>
      <c r="JM90" s="6">
        <f>COUNTIFS(Table20[Country],Tabela1[[#This Row],[Country]],Table20[100m Backstroke Classification],"&gt;0")</f>
        <v>0</v>
      </c>
      <c r="JN90" s="6">
        <f>COUNTIFS(Table21[Country],Tabela1[[#This Row],[Country]],Table21[100m Backstroke Classification],"&gt;0")</f>
        <v>0</v>
      </c>
      <c r="JO90" s="6">
        <f>COUNTIFS(Table20[Country],Tabela1[[#This Row],[Country]],Table20[200m Backstroke Classification],"&gt;0")</f>
        <v>0</v>
      </c>
      <c r="JP90" s="6">
        <f>COUNTIFS(Table21[Country],Tabela1[[#This Row],[Country]],Table21[200m Backstroke Classification],"&gt;0")</f>
        <v>0</v>
      </c>
      <c r="JQ90" s="6">
        <f>COUNTIFS(Table20[Country],Tabela1[[#This Row],[Country]],Table20[100m Breaststroke Classification],"&gt;0")</f>
        <v>0</v>
      </c>
      <c r="JR90" s="6">
        <f>COUNTIFS(Table21[Country],Tabela1[[#This Row],[Country]],Table21[100m Breaststroke Classification],"&gt;0")</f>
        <v>0</v>
      </c>
      <c r="JS90" s="6">
        <f>COUNTIFS(Table20[Country],Tabela1[[#This Row],[Country]],Table20[200m Breaststroke Classification],"&gt;0")</f>
        <v>0</v>
      </c>
      <c r="JT90" s="6">
        <f>COUNTIFS(Table21[Country],Tabela1[[#This Row],[Country]],Table21[200m Breaststroke Classification],"&gt;0")</f>
        <v>0</v>
      </c>
      <c r="JU90" s="6">
        <f>COUNTIFS(Table20[Country],Tabela1[[#This Row],[Country]],Table20[100m Butterfly Classification],"&gt;0")</f>
        <v>0</v>
      </c>
      <c r="JV90" s="6">
        <f>COUNTIFS(Table21[Country],Tabela1[[#This Row],[Country]],Table21[100m Butterfly Classification],"&gt;0")</f>
        <v>0</v>
      </c>
      <c r="JW90" s="6">
        <f>COUNTIFS(Table20[Country],Tabela1[[#This Row],[Country]],Table20[200m Butterfly Classification],"&gt;0")</f>
        <v>0</v>
      </c>
      <c r="JX90" s="6">
        <f>COUNTIFS(Table21[Country],Tabela1[[#This Row],[Country]],Table21[200m Butterfly Classification],"&gt;0")</f>
        <v>0</v>
      </c>
      <c r="JY90" s="6">
        <f>COUNTIFS(Table20[Country],Tabela1[[#This Row],[Country]],Table20[200m Medley Classification],"&gt;0")</f>
        <v>0</v>
      </c>
      <c r="JZ90" s="6">
        <f>COUNTIFS(Table21[Country],Tabela1[[#This Row],[Country]],Table21[200m Medley Classification],"&gt;0")</f>
        <v>0</v>
      </c>
      <c r="KA90" s="6">
        <f>COUNTIFS(Table20[Country],Tabela1[[#This Row],[Country]],Table20[400m Medley Classification],"&gt;0")</f>
        <v>0</v>
      </c>
      <c r="KB90" s="6">
        <f>COUNTIFS(Table21[Country],Tabela1[[#This Row],[Country]],Table21[400m Medley Classification],"&gt;0")</f>
        <v>0</v>
      </c>
      <c r="KC90" s="6">
        <f>COUNTIFS(Table78[Country],Tabela1[[#This Row],[Country]],Table78[Men''s 4x100m Freestyle Relay Classification],"&gt;0")</f>
        <v>0</v>
      </c>
      <c r="KD90" s="6">
        <f>COUNTIFS(Table78[Country],Tabela1[[#This Row],[Country]],Table78[Women''s 4x100m Freestyle Relay Classification],"&gt;0")</f>
        <v>0</v>
      </c>
      <c r="KE90" s="6">
        <f>COUNTIFS(Table78[Country],Tabela1[[#This Row],[Country]],Table78[Men''s 4x200m Freestyle Relay Classification],"&gt;0")</f>
        <v>0</v>
      </c>
      <c r="KF90" s="6">
        <f>COUNTIFS(Table78[Country],Tabela1[[#This Row],[Country]],Table78[Women''s 4x200m Freestyle Relay Classification],"&gt;0")</f>
        <v>0</v>
      </c>
      <c r="KG90" s="6">
        <f>COUNTIFS(Table78[Country],Tabela1[[#This Row],[Country]],Table78[Men''s 4x100m Medley Relay Classification],"&gt;0")</f>
        <v>0</v>
      </c>
      <c r="KH90" s="6">
        <f>COUNTIFS(Table78[Country],Tabela1[[#This Row],[Country]],Table78[Women''s 4x100m Medley Relay Classification],"&gt;0")</f>
        <v>0</v>
      </c>
      <c r="KI90" s="6">
        <f>COUNTIFS(Table78[Country],Tabela1[[#This Row],[Country]],Table78[Mixed 4x100m Medley Relay Classification],"&gt;0")</f>
        <v>0</v>
      </c>
      <c r="KJ90" s="6">
        <f>COUNTIFS(Table20[Country],Tabela1[[#This Row],[Country]],Table20[10km Open Water Classification],"&gt;0")</f>
        <v>0</v>
      </c>
      <c r="KK90" s="6">
        <f>COUNTIFS(Table21[Country],Tabela1[[#This Row],[Country]],Table21[10km Open Water Classification],"&gt;0")</f>
        <v>0</v>
      </c>
      <c r="KL90" s="6">
        <f>COUNTIFS(Table22[Country],Tabela1[[#This Row],[Country]],Table22[Classification],"&gt;0")</f>
        <v>0</v>
      </c>
      <c r="KM90" s="6">
        <f>COUNTIFS(Table30[Country],Tabela1[[#This Row],[Country]],Table30[Classification],"&gt;0")</f>
        <v>0</v>
      </c>
      <c r="KN90" s="6">
        <f>COUNTIFS(Table55[Country],Tabela1[[#This Row],[Country]],Table55[Men''s Classification],"&gt;0")</f>
        <v>0</v>
      </c>
      <c r="KO90" s="6">
        <f>COUNTIFS(Table55[Country],Tabela1[[#This Row],[Country]],Table55[Women''s Classification],"&gt;0")</f>
        <v>0</v>
      </c>
      <c r="KP90" s="6">
        <f>COUNTIFS(Table56[Country],Tabela1[[#This Row],[Country]],Table56[Mixed Classification],"&gt;0")</f>
        <v>0</v>
      </c>
      <c r="KQ90" s="6">
        <f>COUNTIFS(Table29[Country],Tabela1[[#This Row],[Country]],Table29[58kg Classification],"&gt;0")</f>
        <v>0</v>
      </c>
      <c r="KR90" s="6">
        <f>COUNTIFS(Table29[Country],Tabela1[[#This Row],[Country]],Table29[68kg Classification],"&gt;0")</f>
        <v>0</v>
      </c>
      <c r="KS90" s="6">
        <f>COUNTIFS(Table29[Country],Tabela1[[#This Row],[Country]],Table29[80kg Classification],"&gt;0")</f>
        <v>0</v>
      </c>
      <c r="KT90" s="6">
        <f>COUNTIFS(Table29[Country],Tabela1[[#This Row],[Country]],Table29[Plus 80kg Classification],"&gt;0")</f>
        <v>0</v>
      </c>
      <c r="KU90" s="6">
        <f>COUNTIFS(Table34[Country],Tabela1[[#This Row],[Country]],Table34[49kg Classification],"&gt;0")</f>
        <v>0</v>
      </c>
      <c r="KV90" s="6">
        <f>COUNTIFS(Table34[Country],Tabela1[[#This Row],[Country]],Table34[57kg Classification],"&gt;0")</f>
        <v>0</v>
      </c>
      <c r="KW90" s="6">
        <f>COUNTIFS(Table34[Country],Tabela1[[#This Row],[Country]],Table34[67kg Classification],"&gt;0")</f>
        <v>0</v>
      </c>
      <c r="KX90" s="6">
        <f>COUNTIFS(Table34[Country],Tabela1[[#This Row],[Country]],Table34[Plus 67kg Classification],"&gt;0")</f>
        <v>0</v>
      </c>
      <c r="KY90" s="6">
        <f>COUNTIFS(Table57[Country],Tabela1[[#This Row],[Country]],Table57[Classification],"&gt;0")</f>
        <v>0</v>
      </c>
      <c r="KZ90" s="6">
        <f>COUNTIFS(Table58[Country],Tabela1[[#This Row],[Country]],Table58[Classification],"&gt;0")</f>
        <v>0</v>
      </c>
      <c r="LA90" s="6">
        <f>COUNTIFS(Table79[Country],Tabela1[[#This Row],[Country]],Table79[Men''s Classification],"&gt;0")</f>
        <v>0</v>
      </c>
      <c r="LB90" s="6">
        <f>COUNTIFS(Table79[Country],Tabela1[[#This Row],[Country]],Table79[Women''s Classification],"&gt;0")</f>
        <v>0</v>
      </c>
      <c r="LC90" s="6">
        <f>COUNTIFS(Table79[Country],Tabela1[[#This Row],[Country]],Table79[Mixed Classification],"&gt;0")</f>
        <v>0</v>
      </c>
      <c r="LD90" s="6">
        <f>COUNTIFS(Table65[Country],Tabela1[[#This Row],[Country]],Table65[Classification],"&gt;0")</f>
        <v>0</v>
      </c>
      <c r="LE90" s="6">
        <f>COUNTIFS(Table59[Country],Tabela1[[#This Row],[Country]],Table59[Classification],"&gt;0")</f>
        <v>0</v>
      </c>
      <c r="LF90" s="6">
        <f>COUNTIFS(Table87[Country],Tabela1[[#This Row],[Country]],Table87[Mixed Relay Classification],"&gt;0")</f>
        <v>0</v>
      </c>
      <c r="LG90" s="6">
        <f>COUNTIFS(Table91949698100[Country],Tabela1[[#This Row],[Country]],Table91949698100[Men''s Classification],"&gt;0")</f>
        <v>0</v>
      </c>
      <c r="LH90" s="6">
        <f>COUNTIFS(Table91949698100[Country],Tabela1[[#This Row],[Country]],Table91949698100[Women''s Classification],"&gt;0")</f>
        <v>0</v>
      </c>
      <c r="LI90" s="6">
        <f>COUNTIFS(Table91949698100102[Country],Tabela1[[#This Row],[Country]],Table91949698100102[Men''s Classification],"&gt;0")</f>
        <v>0</v>
      </c>
      <c r="LJ90" s="6">
        <f>COUNTIFS(Table91949698100102[Country],Tabela1[[#This Row],[Country]],Table91949698100102[Women''s Classification],"&gt;0")</f>
        <v>0</v>
      </c>
      <c r="LK90" s="6">
        <f>COUNTIFS(Table23[Country],Tabela1[[#This Row],[Country]],Table23[61kg Classification],"&gt;0")</f>
        <v>0</v>
      </c>
      <c r="LL90" s="6">
        <f>COUNTIFS(Table23[Country],Tabela1[[#This Row],[Country]],Table23[73kg Classification],"&gt;0")</f>
        <v>0</v>
      </c>
      <c r="LM90" s="6">
        <f>COUNTIFS(Table23[Country],Tabela1[[#This Row],[Country]],Table23[89kg Classification],"&gt;0")</f>
        <v>0</v>
      </c>
      <c r="LN90" s="6">
        <f>COUNTIFS(Table23[Country],Tabela1[[#This Row],[Country]],Table23[102kg Classification],"&gt;0")</f>
        <v>0</v>
      </c>
      <c r="LO90" s="6">
        <f>COUNTIFS(Table23[Country],Tabela1[[#This Row],[Country]],Table23[Plus 102kg Classification],"&gt;0")</f>
        <v>0</v>
      </c>
      <c r="LP90" s="6">
        <f>COUNTIFS(Table28[Country],Tabela1[[#This Row],[Country]],Table28[49kg Classification],"&gt;0")</f>
        <v>0</v>
      </c>
      <c r="LQ90" s="6">
        <f>COUNTIFS(Table28[Country],Tabela1[[#This Row],[Country]],Table28[59kg Classification],"&gt;0")</f>
        <v>0</v>
      </c>
      <c r="LR90" s="6">
        <f>COUNTIFS(Table28[Country],Tabela1[[#This Row],[Country]],Table28[71kg Classification],"&gt;0")</f>
        <v>0</v>
      </c>
      <c r="LS90" s="6">
        <f>COUNTIFS(Table28[Country],Tabela1[[#This Row],[Country]],Table28[81kg Classification],"&gt;0")</f>
        <v>0</v>
      </c>
      <c r="LT90" s="6">
        <f>COUNTIFS(Table28[Country],Tabela1[[#This Row],[Country]],Table28[Plus 81kg Classification],"&gt;0")</f>
        <v>0</v>
      </c>
      <c r="LU90" s="6">
        <f>COUNTIFS(Table24[Country],Tabela1[[#This Row],[Country]],Table24[Freestyle 57kg Classification],"&gt;0")</f>
        <v>0</v>
      </c>
      <c r="LV90" s="6">
        <f>COUNTIFS(Table24[Country],Tabela1[[#This Row],[Country]],Table24[Freestyle 65kg Classification],"&gt;0")</f>
        <v>0</v>
      </c>
      <c r="LW90" s="6">
        <f>COUNTIFS(Table24[Country],Tabela1[[#This Row],[Country]],Table24[Freestyle 74kg Classification],"&gt;0")</f>
        <v>0</v>
      </c>
      <c r="LX90" s="6">
        <f>COUNTIFS(Table24[Country],Tabela1[[#This Row],[Country]],Table24[Freestyle 86kg Classification],"&gt;0")</f>
        <v>0</v>
      </c>
      <c r="LY90" s="6">
        <f>COUNTIFS(Table24[Country],Tabela1[[#This Row],[Country]],Table24[Freestyle 97kg Classification],"&gt;0")</f>
        <v>0</v>
      </c>
      <c r="LZ90" s="6">
        <f>COUNTIFS(Table24[Country],Tabela1[[#This Row],[Country]],Table24[Freestyle 125kg Classification],"&gt;0")</f>
        <v>0</v>
      </c>
      <c r="MA90" s="6">
        <f>COUNTIFS(Table24[Country],Tabela1[[#This Row],[Country]],Table24[Greco-Roman 60kg Classification],"&gt;0")</f>
        <v>0</v>
      </c>
      <c r="MB90" s="6">
        <f>COUNTIFS(Table24[Country],Tabela1[[#This Row],[Country]],Table24[Greco-Roman 67kg Classification],"&gt;0")</f>
        <v>0</v>
      </c>
      <c r="MC90" s="6">
        <f>COUNTIFS(Table24[Country],Tabela1[[#This Row],[Country]],Table24[Greco-Roman 77kg Classification],"&gt;0")</f>
        <v>0</v>
      </c>
      <c r="MD90" s="6">
        <f>COUNTIFS(Table24[Country],Tabela1[[#This Row],[Country]],Table24[Greco-Roman 87kg Classification],"&gt;0")</f>
        <v>0</v>
      </c>
      <c r="ME90" s="6">
        <f>COUNTIFS(Table24[Country],Tabela1[[#This Row],[Country]],Table24[Greco-Roman 97kg Classification],"&gt;0")</f>
        <v>0</v>
      </c>
      <c r="MF90" s="6">
        <f>COUNTIFS(Table24[Country],Tabela1[[#This Row],[Country]],Table24[Greco-Roman 130kg Classification],"&gt;0")</f>
        <v>0</v>
      </c>
      <c r="MG90" s="6">
        <f>COUNTIFS(Table31[Country],Tabela1[[#This Row],[Country]],Table31[50kg Classification],"&gt;0")</f>
        <v>0</v>
      </c>
      <c r="MH90" s="6">
        <f>COUNTIFS(Table31[Country],Tabela1[[#This Row],[Country]],Table31[53kg Classification],"&gt;0")</f>
        <v>0</v>
      </c>
      <c r="MI90" s="6">
        <f>COUNTIFS(Table31[Country],Tabela1[[#This Row],[Country]],Table31[57kg Classification],"&gt;0")</f>
        <v>0</v>
      </c>
      <c r="MJ90" s="6">
        <f>COUNTIFS(Table31[Country],Tabela1[[#This Row],[Country]],Table31[62kg Classification],"&gt;0")</f>
        <v>0</v>
      </c>
      <c r="MK90" s="6">
        <f>COUNTIFS(Table31[Country],Tabela1[[#This Row],[Country]],Table31[68kg Classification],"&gt;0")</f>
        <v>0</v>
      </c>
      <c r="ML90" s="6">
        <f>COUNTIFS(Table31[Country],Tabela1[[#This Row],[Country]],Table31[76kg Classification],"&gt;0")</f>
        <v>0</v>
      </c>
      <c r="MM90" s="6">
        <f>COUNTIFS(Table102[Country],Tabela1[[#This Row],[Country]],Table102[Downhill Classification],"&gt;0")</f>
        <v>0</v>
      </c>
      <c r="MN90" s="6">
        <f>COUNTIFS(Table102105[Country],Tabela1[[#This Row],[Country]],Table102105[Downhill Classification],"&gt;0")</f>
        <v>0</v>
      </c>
      <c r="MO90" s="6">
        <f>COUNTIFS(Table102[Country],Tabela1[[#This Row],[Country]],Table102[Giant Slalom Classification],"&gt;0")</f>
        <v>0</v>
      </c>
      <c r="MP90" s="6">
        <f>COUNTIFS(Table102105[Country],Tabela1[[#This Row],[Country]],Table102105[Giant Slalom Classification],"&gt;0")</f>
        <v>0</v>
      </c>
      <c r="MQ90" s="6">
        <f>COUNTIFS(Table102[Country],Tabela1[[#This Row],[Country]],Table102[Slalom Classification],"&gt;0")</f>
        <v>0</v>
      </c>
      <c r="MR90" s="6">
        <f>COUNTIFS(Table102105[Country],Tabela1[[#This Row],[Country]],Table102105[Slalom Classification],"&gt;0")</f>
        <v>0</v>
      </c>
      <c r="MS90" s="6">
        <f>COUNTIFS(Table102[Country],Tabela1[[#This Row],[Country]],Table102[Super-G Classification],"&gt;0")</f>
        <v>0</v>
      </c>
      <c r="MT90" s="6">
        <f>COUNTIFS(Table102105[Country],Tabela1[[#This Row],[Country]],Table102105[Super-G Classification],"&gt;0")</f>
        <v>0</v>
      </c>
      <c r="MU90" s="6">
        <f>COUNTIFS(Table105[Country],Tabela1[[#This Row],[Country]],Table105[Men''s Combined Classification],"&gt;0")</f>
        <v>0</v>
      </c>
      <c r="MV90" s="6">
        <f>COUNTIFS(Table105[Country],Tabela1[[#This Row],[Country]],Table105[Women''s Combined Classification],"&gt;0")</f>
        <v>0</v>
      </c>
      <c r="MW90" s="6">
        <f>COUNTIFS(Table106[Country],Tabela1[[#This Row],[Country]],Table106[Individual Classification],"&gt;0")</f>
        <v>0</v>
      </c>
      <c r="MX90" s="6">
        <f>COUNTIFS(Table106109[Country],Tabela1[[#This Row],[Country]],Table106109[Individual Classification],"&gt;0")</f>
        <v>0</v>
      </c>
      <c r="MY90" s="6">
        <f>COUNTIFS(Table106[Country],Tabela1[[#This Row],[Country]],Table106[Mass Start Classification],"&gt;0")</f>
        <v>0</v>
      </c>
      <c r="MZ90" s="6">
        <f>COUNTIFS(Table106109[Country],Tabela1[[#This Row],[Country]],Table106109[Mass Start Classification],"&gt;0")</f>
        <v>0</v>
      </c>
      <c r="NA90" s="6">
        <f>COUNTIFS(Table106[Country],Tabela1[[#This Row],[Country]],Table106[Pursuit Classification],"&gt;0")</f>
        <v>0</v>
      </c>
      <c r="NB90" s="6">
        <f>COUNTIFS(Table106109[Country],Tabela1[[#This Row],[Country]],Table106109[Pursuit Classification],"&gt;0")</f>
        <v>0</v>
      </c>
      <c r="NC90" s="6">
        <f>COUNTIFS(Table106[Country],Tabela1[[#This Row],[Country]],Table106[Sprint Classification],"&gt;0")</f>
        <v>0</v>
      </c>
      <c r="ND90" s="6">
        <f>COUNTIFS(Table106109[Country],Tabela1[[#This Row],[Country]],Table106109[Sprint Classification],"&gt;0")</f>
        <v>0</v>
      </c>
      <c r="NE90" s="6">
        <f>COUNTIFS(Table109[Country],Tabela1[[#This Row],[Country]],Table109[Men''s Relay Classification],"&gt;0")</f>
        <v>0</v>
      </c>
      <c r="NF90" s="6">
        <f>COUNTIFS(Table109[Country],Tabela1[[#This Row],[Country]],Table109[Women''s Relay Classification],"&gt;0")</f>
        <v>0</v>
      </c>
      <c r="NG90" s="6">
        <f>COUNTIFS(Table109[Country],Tabela1[[#This Row],[Country]],Table109[Mixed Relay Classification],"&gt;0")</f>
        <v>0</v>
      </c>
      <c r="NH90" s="6">
        <f>COUNTIFS(Table110[Country],Tabela1[[#This Row],[Country]],Table110[Monobob Classification],"&gt;0")</f>
        <v>0</v>
      </c>
      <c r="NI90" s="6">
        <f>COUNTIFS(Table111[Country],Tabela1[[#This Row],[Country]],Table111[Men''s Classification],"&gt;0")</f>
        <v>0</v>
      </c>
      <c r="NJ90" s="6">
        <f>COUNTIFS(Table111[Country],Tabela1[[#This Row],[Country]],Table111[Women''s Classification],"&gt;0")</f>
        <v>0</v>
      </c>
      <c r="NK90" s="6">
        <f>COUNTIFS(Table112[Country],Tabela1[[#This Row],[Country]],Table112[Men''s Four Classification],"&gt;0")</f>
        <v>0</v>
      </c>
      <c r="NL90" s="6">
        <f>COUNTIFS(Table113[Country],Tabela1[[#This Row],[Country]],Table113[Classical Classification],"&gt;0")</f>
        <v>0</v>
      </c>
      <c r="NM90" s="6">
        <f>COUNTIFS(Table113116[Country],Tabela1[[#This Row],[Country]],Table113116[Classical Classification],"&gt;0")</f>
        <v>0</v>
      </c>
      <c r="NN90" s="6">
        <f>COUNTIFS(Table113[Country],Tabela1[[#This Row],[Country]],Table113[Freestyle Classification],"&gt;0")</f>
        <v>0</v>
      </c>
      <c r="NO90" s="6">
        <f>COUNTIFS(Table113116[Country],Tabela1[[#This Row],[Country]],Table113116[Freestyle Classification],"&gt;0")</f>
        <v>0</v>
      </c>
      <c r="NP90" s="6">
        <f>COUNTIFS(Table117[Country],Tabela1[[#This Row],[Country]],Table117[Men''s Relay Classification],"&gt;0")</f>
        <v>0</v>
      </c>
      <c r="NQ90" s="6">
        <f>COUNTIFS(Table117[Country],Tabela1[[#This Row],[Country]],Table117[Women''s Relay Classification],"&gt;0")</f>
        <v>0</v>
      </c>
      <c r="NR90" s="6">
        <f>COUNTIFS(Table113[Country],Tabela1[[#This Row],[Country]],Table113[Skiathlon Classification],"&gt;0")</f>
        <v>0</v>
      </c>
      <c r="NS90" s="6">
        <f>COUNTIFS(Table113116[Country],Tabela1[[#This Row],[Country]],Table113116[Skiathlon Classification],"&gt;0")</f>
        <v>0</v>
      </c>
      <c r="NT90" s="6">
        <f>COUNTIFS(Table113[Country],Tabela1[[#This Row],[Country]],Table113[Sprint Classification],"&gt;0")</f>
        <v>0</v>
      </c>
      <c r="NU90" s="6">
        <f>COUNTIFS(Table113116[Country],Tabela1[[#This Row],[Country]],Table113116[Sprint Classification],"&gt;0")</f>
        <v>0</v>
      </c>
      <c r="NV90" s="6">
        <f>COUNTIFS(Table116[Country],Tabela1[[#This Row],[Country]],Table116[Men''s Team Sprint Classification],"&gt;0")</f>
        <v>0</v>
      </c>
      <c r="NW90" s="6">
        <f>COUNTIFS(Table116[Country],Tabela1[[#This Row],[Country]],Table116[Women''s Team Sprint Classification],"&gt;0")</f>
        <v>0</v>
      </c>
      <c r="NX90" s="6">
        <f>COUNTIFS(Table119[Country],Tabela1[[#This Row],[Country]],Table119[Men''s Classification],"&gt;0")</f>
        <v>0</v>
      </c>
      <c r="NY90" s="6">
        <f>COUNTIFS(Table119[Country],Tabela1[[#This Row],[Country]],Table119[Women''s Classification],"&gt;0")</f>
        <v>0</v>
      </c>
      <c r="NZ90" s="6">
        <f>COUNTIFS(Table118[Country],Tabela1[[#This Row],[Country]],Table118[Mixed Classification],"&gt;0")</f>
        <v>0</v>
      </c>
      <c r="OA90" s="6">
        <f>COUNTIFS(Table120[Country],Tabela1[[#This Row],[Country]],Table120[Classification],"&gt;0")</f>
        <v>0</v>
      </c>
      <c r="OB90" s="6">
        <f>COUNTIFS(Table120123[Country],Tabela1[[#This Row],[Country]],Table120123[Classification],"&gt;0")</f>
        <v>0</v>
      </c>
      <c r="OC90" s="6">
        <f>COUNTIFS(Table123[Country],Tabela1[[#This Row],[Country]],Table123[Ice Dance Classification],"&gt;0")</f>
        <v>0</v>
      </c>
      <c r="OD90" s="6">
        <f>COUNTIFS(Table123[Country],Tabela1[[#This Row],[Country]],Table123[Pair Skating Classification],"&gt;0")</f>
        <v>0</v>
      </c>
      <c r="OE90" s="6">
        <f>COUNTIFS(Table124[Country],Tabela1[[#This Row],[Country]],Table124[Mixed Classification],"&gt;0")</f>
        <v>0</v>
      </c>
      <c r="OF90" s="6">
        <f>COUNTIFS(Table125[Country],Tabela1[[#This Row],[Country]],Table125[Aerials Classification],"&gt;0")</f>
        <v>0</v>
      </c>
      <c r="OG90" s="6">
        <f>COUNTIFS(Table125128[Country],Tabela1[[#This Row],[Country]],Table125128[Aerials Classification],"&gt;0")</f>
        <v>0</v>
      </c>
      <c r="OH90" s="6">
        <f>COUNTIFS(Table128[Country],Tabela1[[#This Row],[Country]],Table128[Mixed Aerials Classification],"&gt;0")</f>
        <v>0</v>
      </c>
      <c r="OI90" s="6">
        <f>COUNTIFS(Table125[Country],Tabela1[[#This Row],[Country]],Table125[Big Air Classification],"&gt;0")</f>
        <v>0</v>
      </c>
      <c r="OJ90" s="6">
        <f>COUNTIFS(Table125128[Country],Tabela1[[#This Row],[Country]],Table125128[Big Air Classification],"&gt;0")</f>
        <v>0</v>
      </c>
      <c r="OK90" s="6">
        <f>COUNTIFS(Table125[Country],Tabela1[[#This Row],[Country]],Table125[Dual Moguls Classification],"&gt;0")</f>
        <v>0</v>
      </c>
      <c r="OL90" s="6">
        <f>COUNTIFS(Table125128[Country],Tabela1[[#This Row],[Country]],Table125128[Dual Moguls Classification],"&gt;0")</f>
        <v>0</v>
      </c>
      <c r="OM90" s="6">
        <f>COUNTIFS(Table125[Country],Tabela1[[#This Row],[Country]],Table125[Halfpipe Classification],"&gt;0")</f>
        <v>0</v>
      </c>
      <c r="ON90" s="6">
        <f>COUNTIFS(Table125128[Country],Tabela1[[#This Row],[Country]],Table125128[Halfpipe Classification],"&gt;0")</f>
        <v>0</v>
      </c>
      <c r="OO90" s="6">
        <f>COUNTIFS(Table125[Country],Tabela1[[#This Row],[Country]],Table125[Moguls Classification],"&gt;0")</f>
        <v>0</v>
      </c>
      <c r="OP90" s="6">
        <f>COUNTIFS(Table125128[Country],Tabela1[[#This Row],[Country]],Table125128[Moguls Classification],"&gt;0")</f>
        <v>0</v>
      </c>
      <c r="OQ90" s="6">
        <f>COUNTIFS(Table125[Country],Tabela1[[#This Row],[Country]],Table125[Ski Cross Classification],"&gt;0")</f>
        <v>0</v>
      </c>
      <c r="OR90" s="6">
        <f>COUNTIFS(Table125128[Country],Tabela1[[#This Row],[Country]],Table125128[Ski Cross Classification],"&gt;0")</f>
        <v>0</v>
      </c>
      <c r="OS90" s="6">
        <f>COUNTIFS(Table125[Country],Tabela1[[#This Row],[Country]],Table125[Slopestyle Classification],"&gt;0")</f>
        <v>0</v>
      </c>
      <c r="OT90" s="6">
        <f>COUNTIFS(Table125128[Country],Tabela1[[#This Row],[Country]],Table125128[Slopestyle Classification],"&gt;0")</f>
        <v>0</v>
      </c>
      <c r="OU90" s="6">
        <f>COUNTIFS(Table119131[Country],Tabela1[[#This Row],[Country]],Table119131[Men''s Classification],"&gt;0")</f>
        <v>0</v>
      </c>
      <c r="OV90" s="6">
        <f>COUNTIFS(Table119131[Country],Tabela1[[#This Row],[Country]],Table119131[Women''s Classification],"&gt;0")</f>
        <v>0</v>
      </c>
      <c r="OW90" s="6">
        <f>COUNTIFS(Table131[Country],Tabela1[[#This Row],[Country]],Table131[Classification],"&gt;0")</f>
        <v>0</v>
      </c>
      <c r="OX90" s="6">
        <f>COUNTIFS(Table131134[Country],Tabela1[[#This Row],[Country]],Table131134[Classification],"&gt;0")</f>
        <v>0</v>
      </c>
      <c r="OY90" s="6">
        <f>COUNTIFS(Table134[Country],Tabela1[[#This Row],[Country]],Table134[Men''s Classification],"&gt;0")</f>
        <v>0</v>
      </c>
      <c r="OZ90" s="6">
        <f>COUNTIFS(Table134[Country],Tabela1[[#This Row],[Country]],Table134[Women''s Classification],"&gt;0")</f>
        <v>0</v>
      </c>
      <c r="PA90" s="6">
        <f>COUNTIFS(Table135[Country],Tabela1[[#This Row],[Country]],Table135[Mixed Relay Classification],"&gt;0")</f>
        <v>0</v>
      </c>
      <c r="PB90" s="6">
        <f>COUNTIFS(Table136[Country],Tabela1[[#This Row],[Country]],Table136[Individual Classification],"&gt;0")</f>
        <v>0</v>
      </c>
      <c r="PC90" s="6">
        <f>COUNTIFS(Table136[Country],Tabela1[[#This Row],[Country]],Table136[Sprint Classification],"&gt;0")</f>
        <v>0</v>
      </c>
      <c r="PD90" s="6">
        <f>COUNTIFS(Table137[Country],Tabela1[[#This Row],[Country]],Table137[Men''s Team Sprint Large Hill Classification],"&gt;0")</f>
        <v>0</v>
      </c>
      <c r="PE90" s="6">
        <f>COUNTIFS(Table138[Country],Tabela1[[#This Row],[Country]],Table138[500m Classification],"&gt;0")</f>
        <v>0</v>
      </c>
      <c r="PF90" s="6">
        <f>COUNTIFS(Table138141[Country],Tabela1[[#This Row],[Country]],Table138141[500m Classification],"&gt;0")</f>
        <v>0</v>
      </c>
      <c r="PG90" s="6">
        <f>COUNTIFS(Table138[Country],Tabela1[[#This Row],[Country]],Table138[1000m Classification],"&gt;0")</f>
        <v>0</v>
      </c>
      <c r="PH90" s="6">
        <f>COUNTIFS(Table138141[Country],Tabela1[[#This Row],[Country]],Table138141[1000m Classification],"&gt;0")</f>
        <v>0</v>
      </c>
      <c r="PI90" s="6">
        <f>COUNTIFS(Table138[Country],Tabela1[[#This Row],[Country]],Table138[1500m Classification],"&gt;0")</f>
        <v>0</v>
      </c>
      <c r="PJ90" s="6">
        <f>COUNTIFS(Table138141[Country],Tabela1[[#This Row],[Country]],Table138141[1500m Classification],"&gt;0")</f>
        <v>0</v>
      </c>
      <c r="PK90" s="6">
        <f>COUNTIFS(Table141[Country],Tabela1[[#This Row],[Country]],Table141[Men''s 5000m Relay Classification],"&gt;0")</f>
        <v>0</v>
      </c>
      <c r="PL90" s="6">
        <f>COUNTIFS(Table141[Country],Tabela1[[#This Row],[Country]],Table141[Women''s 3000m Relay Classification],"&gt;0")</f>
        <v>0</v>
      </c>
      <c r="PM90" s="6">
        <f>COUNTIFS(Table141[Country],Tabela1[[#This Row],[Country]],Table141[Mixed 2000m Relay Classification],"&gt;0")</f>
        <v>0</v>
      </c>
      <c r="PN90" s="6">
        <f>COUNTIFS(Table142[Country],Tabela1[[#This Row],[Country]],Table142[Classification],"&gt;0")</f>
        <v>0</v>
      </c>
      <c r="PO90" s="6">
        <f>COUNTIFS(Table142145[Country],Tabela1[[#This Row],[Country]],Table142145[Classification],"&gt;0")</f>
        <v>0</v>
      </c>
      <c r="PP90" s="6">
        <f>COUNTIFS(Tabela15[Country],Tabela1[[#This Row],[Country]],Tabela15[Mixed Team Classification],"&gt;0")</f>
        <v>0</v>
      </c>
      <c r="PQ90" s="6">
        <f>COUNTIFS(Table145[Country],Tabela1[[#This Row],[Country]],Table145[Large Hill Classification],"&gt;0")</f>
        <v>0</v>
      </c>
      <c r="PR90" s="6">
        <f>COUNTIFS(Table145[Country],Tabela1[[#This Row],[Country]],Table145[Normal Hill Classification],"&gt;0")</f>
        <v>0</v>
      </c>
      <c r="PS90" s="6">
        <f>COUNTIFS(Table145148[Country],Tabela1[[#This Row],[Country]],Table145148[Large Hill Classification],"&gt;0")</f>
        <v>0</v>
      </c>
      <c r="PT90" s="6">
        <f>COUNTIFS(Table145148[Country],Tabela1[[#This Row],[Country]],Table145148[Normal Hill Classification],"&gt;0")</f>
        <v>0</v>
      </c>
      <c r="PU90" s="6">
        <f>COUNTIFS(Table148[Country],Tabela1[[#This Row],[Country]],Table148[Men''s Super Team Classification],"&gt;0")</f>
        <v>0</v>
      </c>
      <c r="PV90" s="6">
        <f>COUNTIFS(Tabela114[Country],Tabela1[[#This Row],[Country]],Tabela114[Mixed Normal Hill Classification],"&gt;0")</f>
        <v>0</v>
      </c>
      <c r="PW90" s="6">
        <f>COUNTIFS(Tabela50[Country],Tabela1[[#This Row],[Country]],Tabela50[Sprint Classification],"&gt;0")</f>
        <v>0</v>
      </c>
      <c r="PX90" s="6">
        <f>COUNTIFS(Tabela50101[Country],Tabela1[[#This Row],[Country]],Tabela50101[Sprint Classification],"&gt;0")</f>
        <v>0</v>
      </c>
      <c r="PY90" s="6">
        <f>COUNTIFS(Tabela103[Country],Tabela1[[#This Row],[Country]],Tabela103[Mixed Relay Classification],"&gt;0")</f>
        <v>0</v>
      </c>
      <c r="PZ90" s="6">
        <f>COUNTIFS(Table149[Country],Tabela1[[#This Row],[Country]],Table149[Big Air Classification],"&gt;0")</f>
        <v>0</v>
      </c>
      <c r="QA90" s="6">
        <f>COUNTIFS(Table149152[Country],Tabela1[[#This Row],[Country]],Table149152[Big Air Classification],"&gt;0")</f>
        <v>0</v>
      </c>
      <c r="QB90" s="6">
        <f>COUNTIFS(Table149[Country],Tabela1[[#This Row],[Country]],Table149[Halfpipe Classification],"&gt;0")</f>
        <v>0</v>
      </c>
      <c r="QC90" s="6">
        <f>COUNTIFS(Table149152[Country],Tabela1[[#This Row],[Country]],Table149152[Halfpipe Classification],"&gt;0")</f>
        <v>0</v>
      </c>
      <c r="QD90" s="6">
        <f>COUNTIFS(Table149[Country],Tabela1[[#This Row],[Country]],Table149[Parallel Giant Slalom Classification],"&gt;0")</f>
        <v>0</v>
      </c>
      <c r="QE90" s="6">
        <f>COUNTIFS(Table149152[Country],Tabela1[[#This Row],[Country]],Table149152[Parallel Giant Slalom Classification],"&gt;0")</f>
        <v>0</v>
      </c>
      <c r="QF90" s="6">
        <f>COUNTIFS(Table149[Country],Tabela1[[#This Row],[Country]],Table149[Slopestyle Classification],"&gt;0")</f>
        <v>0</v>
      </c>
      <c r="QG90" s="6">
        <f>COUNTIFS(Table149152[Country],Tabela1[[#This Row],[Country]],Table149152[Slopestyle Classification],"&gt;0")</f>
        <v>0</v>
      </c>
      <c r="QH90" s="6">
        <f>COUNTIFS(Table149[Country],Tabela1[[#This Row],[Country]],Table149[Snowboard Cross Classification],"&gt;0")</f>
        <v>0</v>
      </c>
      <c r="QI90" s="6">
        <f>COUNTIFS(Table149152[Country],Tabela1[[#This Row],[Country]],Table149152[Snowboard Cross Classification],"&gt;0")</f>
        <v>0</v>
      </c>
      <c r="QJ90" s="6">
        <f>COUNTIFS(Table153[Country],Tabela1[[#This Row],[Country]],Table153[Mixed Team Snowboard Cross Classification],"&gt;0")</f>
        <v>0</v>
      </c>
      <c r="QK90" s="6">
        <f>COUNTIFS(Table154[Country],Tabela1[[#This Row],[Country]],Table154[500m Classification],"&gt;0")</f>
        <v>0</v>
      </c>
      <c r="QL90" s="6">
        <f>COUNTIFS(Table154157[Country],Tabela1[[#This Row],[Country]],Table154157[500m Classification],"&gt;0")</f>
        <v>0</v>
      </c>
      <c r="QM90" s="6">
        <f>COUNTIFS(Table154[Country],Tabela1[[#This Row],[Country]],Table154[1000m Classification],"&gt;0")</f>
        <v>0</v>
      </c>
      <c r="QN90" s="6">
        <f>COUNTIFS(Table154157[Country],Tabela1[[#This Row],[Country]],Table154157[1000m Classification],"&gt;0")</f>
        <v>0</v>
      </c>
      <c r="QO90" s="6">
        <f>COUNTIFS(Table154[Country],Tabela1[[#This Row],[Country]],Table154[1500m Classification],"&gt;0")</f>
        <v>0</v>
      </c>
      <c r="QP90" s="6">
        <f>COUNTIFS(Table154157[Country],Tabela1[[#This Row],[Country]],Table154157[1500m Classification],"&gt;0")</f>
        <v>0</v>
      </c>
      <c r="QQ90" s="6">
        <f>COUNTIFS(Table154157[Country],Tabela1[[#This Row],[Country]],Table154157[3000m Classification],"&gt;0")</f>
        <v>0</v>
      </c>
      <c r="QR90" s="6">
        <f>COUNTIFS(Table154[Country],Tabela1[[#This Row],[Country]],Table154[5000m Classification],"&gt;0")</f>
        <v>0</v>
      </c>
      <c r="QS90" s="6">
        <f>COUNTIFS(Table154157[Country],Tabela1[[#This Row],[Country]],Table154157[5000m Classification],"&gt;0")</f>
        <v>0</v>
      </c>
      <c r="QT90" s="6">
        <f>COUNTIFS(Table154[Country],Tabela1[[#This Row],[Country]],Table154[10000m Classification],"&gt;0")</f>
        <v>0</v>
      </c>
      <c r="QU90" s="6">
        <f>COUNTIFS(Table154[Country],Tabela1[[#This Row],[Country]],Table154[Mass Start Classification],"&gt;0")</f>
        <v>0</v>
      </c>
      <c r="QV90" s="6">
        <f>COUNTIFS(Table154157[Country],Tabela1[[#This Row],[Country]],Table154157[Mass Start Classification],"&gt;0")</f>
        <v>0</v>
      </c>
      <c r="QW90" s="6">
        <f>COUNTIFS(Table157[Country],Tabela1[[#This Row],[Country]],Table157[Men''s Pursuit Classification],"&gt;0")</f>
        <v>0</v>
      </c>
      <c r="QX90" s="6">
        <f>COUNTIFS(Table157[Country],Tabela1[[#This Row],[Country]],Table157[Women''s Pursuit Classification],"&gt;0")</f>
        <v>0</v>
      </c>
      <c r="QY90" s="4" t="s">
        <v>637</v>
      </c>
    </row>
    <row r="91" spans="1:467" x14ac:dyDescent="0.3">
      <c r="A91" s="6">
        <v>90</v>
      </c>
      <c r="B91" s="6" t="s">
        <v>480</v>
      </c>
      <c r="C91" t="e" vm="90">
        <f>IF(ISBLANK(Tabela1[[#This Row],[Image Link]]), "", _xlfn.IMAGE(Tabela1[[#This Row],[Image Link]],1,1))</f>
        <v>#VALUE!</v>
      </c>
      <c r="D91" s="6">
        <f>SUM(Tabela1[[#This Row],[Archery - Men''s Individual Recurve]:[Speed Skating - Women''s Team Pursuit]])</f>
        <v>4</v>
      </c>
      <c r="E91" s="6">
        <f>COUNTIF(Tabela1[[#This Row],[Archery - Men''s Individual Recurve]:[Speed Skating - Women''s Team Pursuit]],"&gt;0")</f>
        <v>4</v>
      </c>
      <c r="F91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91" s="6">
        <f>SUM(Tabela1[[#This Row],[Archery - Men''s Individual Recurve]:[Wrestling - Women''s Freestyle 76kg]])</f>
        <v>2</v>
      </c>
      <c r="H91" s="6">
        <f>SUM(Tabela1[[#This Row],[Alpine Skiing - Men''s Downhill]:[Speed Skating - Women''s Team Pursuit]])</f>
        <v>2</v>
      </c>
      <c r="I91" s="6">
        <f>Tabela1[[#This Row],[Summer Gold Medals]]+Tabela1[[#This Row],[Winter Gold Medals]]</f>
        <v>0</v>
      </c>
      <c r="J91" s="6">
        <f>Tabela1[[#This Row],[Summer Silver Medals]]+Tabela1[[#This Row],[Winter Silver Medals]]</f>
        <v>0</v>
      </c>
      <c r="K91" s="6">
        <f>Tabela1[[#This Row],[Summer Bronze Medals]]+Tabela1[[#This Row],[Winter Bronze Medals]]</f>
        <v>0</v>
      </c>
      <c r="L91" s="6">
        <f>SUM(Tabela1[[#This Row],[Total Gold Medals]:[Total Bronze Medals]])</f>
        <v>0</v>
      </c>
      <c r="M91" s="6"/>
      <c r="N91" s="6"/>
      <c r="O91" s="6"/>
      <c r="P91" s="6">
        <f>SUM(Tabela1[[#This Row],[Summer Gold Medals]:[Summer Bronze Medals]])</f>
        <v>0</v>
      </c>
      <c r="Q91" s="6"/>
      <c r="R91" s="6"/>
      <c r="S91" s="6"/>
      <c r="T91" s="6">
        <f>Tabela1[[#This Row],[Winter Gold Medals]]+Tabela1[[#This Row],[Winter Silver Medals]]+Tabela1[[#This Row],[Winter Bronze Medals]]</f>
        <v>0</v>
      </c>
      <c r="U91" s="7">
        <f>Tabela1[[#This Row],[Total Medals]]/Tabela1[[#This Row],[Total Quotas]]</f>
        <v>0</v>
      </c>
      <c r="V91" s="6">
        <f>COUNTIFS(Table3[Country],Tabela1[[#This Row],[Country]],Table3[Recurve Classification],"&gt;0")</f>
        <v>0</v>
      </c>
      <c r="W91" s="6">
        <f>COUNTIFS(Table33[Country],Tabela1[[#This Row],[Country]],Table33[Recurve Classification],"&gt;0")</f>
        <v>0</v>
      </c>
      <c r="X91" s="6">
        <f>COUNTIFS(Table35[Country],Tabela1[[#This Row],[Country]],Table35[Men''s Team Recurve Classification],"&gt;0")</f>
        <v>0</v>
      </c>
      <c r="Y91" s="6">
        <f>COUNTIFS(Table35[Country],Tabela1[[#This Row],[Country]],Table35[Women''s Team Recurve Classification],"&gt;0")</f>
        <v>0</v>
      </c>
      <c r="Z91" s="6">
        <f>COUNTIFS(Tabela88[Country],Tabela1[[#This Row],[Country]],Tabela88[Mixed Team Recurve Classification],"&gt;0")</f>
        <v>0</v>
      </c>
      <c r="AA91" s="6">
        <f>COUNTIFS(Table36[Country],Tabela1[[#This Row],[Country]],Table36[Classification],"&gt;0")</f>
        <v>0</v>
      </c>
      <c r="AB91" s="6">
        <f>COUNTIFS(Table37[Country],Tabela1[[#This Row],[Country]],Table37[Classification],"&gt;0")</f>
        <v>0</v>
      </c>
      <c r="AC91" s="6">
        <f>COUNTIFS(Table4[Country],Tabela1[[#This Row],[Country]],Table4[100m Classification],"&gt;0")</f>
        <v>0</v>
      </c>
      <c r="AD91" s="6">
        <f>COUNTIFS(Table5[Country],Tabela1[[#This Row],[Country]],Table5[100m Classification],"&gt;0")</f>
        <v>0</v>
      </c>
      <c r="AE91" s="6">
        <f>COUNTIFS(Table4[Country],Tabela1[[#This Row],[Country]],Table4[200m Classification],"&gt;0")</f>
        <v>0</v>
      </c>
      <c r="AF91" s="6">
        <f>COUNTIFS(Table5[Country],Tabela1[[#This Row],[Country]],Table5[200m Classification],"&gt;0")</f>
        <v>0</v>
      </c>
      <c r="AG91" s="6">
        <f>COUNTIFS(Table4[Country],Tabela1[[#This Row],[Country]],Table4[400m Classification],"&gt;0")</f>
        <v>0</v>
      </c>
      <c r="AH91" s="6">
        <f>COUNTIFS(Table5[Country],Tabela1[[#This Row],[Country]],Table5[400m Classification],"&gt;0")</f>
        <v>0</v>
      </c>
      <c r="AI91" s="6">
        <f>COUNTIFS(Table4[Country],Tabela1[[#This Row],[Country]],Table4[800m Classification],"&gt;0")</f>
        <v>0</v>
      </c>
      <c r="AJ91" s="6">
        <f>COUNTIFS(Table5[Country],Tabela1[[#This Row],[Country]],Table5[800m Classification],"&gt;0")</f>
        <v>0</v>
      </c>
      <c r="AK91" s="6">
        <f>COUNTIFS(Table4[Country],Tabela1[[#This Row],[Country]],Table4[1500m Classification],"&gt;0")</f>
        <v>0</v>
      </c>
      <c r="AL91" s="6">
        <f>COUNTIFS(Table5[Country],Tabela1[[#This Row],[Country]],Table5[1500m Classification],"&gt;0")</f>
        <v>0</v>
      </c>
      <c r="AM91" s="6">
        <f>COUNTIFS(Table4[Country],Tabela1[[#This Row],[Country]],Table4[5000m Classification],"&gt;0")</f>
        <v>0</v>
      </c>
      <c r="AN91" s="6">
        <f>COUNTIFS(Table5[Country],Tabela1[[#This Row],[Country]],Table5[5000m Classification],"&gt;0")</f>
        <v>0</v>
      </c>
      <c r="AO91" s="6">
        <f>COUNTIFS(Table4[Country],Tabela1[[#This Row],[Country]],Table4[10000m Classification],"&gt;0")</f>
        <v>0</v>
      </c>
      <c r="AP91" s="6">
        <f>COUNTIFS(Table5[Country],Tabela1[[#This Row],[Country]],Table5[10000m Classification],"&gt;0")</f>
        <v>0</v>
      </c>
      <c r="AQ91" s="6">
        <f>COUNTIFS(Table4[Country],Tabela1[[#This Row],[Country]],Table4[110m Hurdles Classification],"&gt;0")</f>
        <v>0</v>
      </c>
      <c r="AR91" s="6">
        <f>COUNTIFS(Table5[Country],Tabela1[[#This Row],[Country]],Table5[100m Hurdles Classification],"&gt;0")</f>
        <v>0</v>
      </c>
      <c r="AS91" s="6">
        <f>COUNTIFS(Table4[Country],Tabela1[[#This Row],[Country]],Table4[400m Hurdles Classification],"&gt;0")</f>
        <v>0</v>
      </c>
      <c r="AT91" s="6">
        <f>COUNTIFS(Table5[Country],Tabela1[[#This Row],[Country]],Table5[400m Hurdles Classification],"&gt;0")</f>
        <v>0</v>
      </c>
      <c r="AU91" s="6">
        <f>COUNTIFS(Table4[Country],Tabela1[[#This Row],[Country]],Table4[3000m Steeplechase Classification],"&gt;0")</f>
        <v>0</v>
      </c>
      <c r="AV91" s="6">
        <f>COUNTIFS(Table5[Country],Tabela1[[#This Row],[Country]],Table5[3000m Steeplechase Classification],"&gt;0")</f>
        <v>0</v>
      </c>
      <c r="AW91" s="6">
        <f>COUNTIFS(Table27[Country],Tabela1[[#This Row],[Country]],Table27[Men''s 4x100m Relay Classification],"&gt;0")</f>
        <v>0</v>
      </c>
      <c r="AX91" s="6">
        <f>COUNTIFS(Table27[Country],Tabela1[[#This Row],[Country]],Table27[Women''s 4x100m Relay Classification],"&gt;0")</f>
        <v>0</v>
      </c>
      <c r="AY91" s="6">
        <f>COUNTIFS(Table27[Country],Tabela1[[#This Row],[Country]],Table27[Men''s 4x400m Relay Classification],"&gt;0")</f>
        <v>0</v>
      </c>
      <c r="AZ91" s="6">
        <f>COUNTIFS(Table27[Country],Tabela1[[#This Row],[Country]],Table27[Women''s 4x400m Relay Classification],"&gt;0")</f>
        <v>0</v>
      </c>
      <c r="BA91" s="6">
        <f>COUNTIFS(Table27[Country],Tabela1[[#This Row],[Country]],Table27[Mixed 4x400m Relay Classification],"&gt;0")</f>
        <v>0</v>
      </c>
      <c r="BB91" s="6">
        <f>COUNTIFS(Table4[Country],Tabela1[[#This Row],[Country]],Table4[Marathon Classification],"&gt;0")</f>
        <v>0</v>
      </c>
      <c r="BC91" s="6">
        <f>COUNTIFS(Table5[Country],Tabela1[[#This Row],[Country]],Table5[Marathon Classification],"&gt;0")</f>
        <v>0</v>
      </c>
      <c r="BD91" s="6">
        <f>COUNTIFS(Table4[Country],Tabela1[[#This Row],[Country]],Table4[20km Race Walk Classification],"&gt;0")</f>
        <v>0</v>
      </c>
      <c r="BE91" s="6">
        <f>COUNTIFS(Table5[Country],Tabela1[[#This Row],[Country]],Table5[20km Race Walk Classification],"&gt;0")</f>
        <v>0</v>
      </c>
      <c r="BF91" s="6">
        <f>COUNTIFS(Tabela96[Country],Tabela1[[#This Row],[Country]],Tabela96[Mixed Marathon Race Walk Relay Classification],"&gt;0")</f>
        <v>0</v>
      </c>
      <c r="BG91" s="6">
        <f>COUNTIFS(Table4[Country],Tabela1[[#This Row],[Country]],Table4[Discus Throw Classification],"&gt;0")</f>
        <v>0</v>
      </c>
      <c r="BH91" s="6">
        <f>COUNTIFS(Table5[Country],Tabela1[[#This Row],[Country]],Table5[Discus Throw Classification],"&gt;0")</f>
        <v>0</v>
      </c>
      <c r="BI91" s="6">
        <f>COUNTIFS(Table4[Country],Tabela1[[#This Row],[Country]],Table4[Hammer Throw Classification],"&gt;0")</f>
        <v>0</v>
      </c>
      <c r="BJ91" s="6">
        <f>COUNTIFS(Table5[Country],Tabela1[[#This Row],[Country]],Table5[Hammer Throw Classification],"&gt;0")</f>
        <v>0</v>
      </c>
      <c r="BK91" s="6">
        <f>COUNTIFS(Table4[Country],Tabela1[[#This Row],[Country]],Table4[High Jump Classification],"&gt;0")</f>
        <v>0</v>
      </c>
      <c r="BL91" s="6">
        <f>COUNTIFS(Table5[Country],Tabela1[[#This Row],[Country]],Table5[High Jump Classification],"&gt;0")</f>
        <v>0</v>
      </c>
      <c r="BM91" s="6">
        <f>COUNTIFS(Table4[Country],Tabela1[[#This Row],[Country]],Table4[Javelin Throw Classification],"&gt;0")</f>
        <v>0</v>
      </c>
      <c r="BN91" s="6">
        <f>COUNTIFS(Table5[Country],Tabela1[[#This Row],[Country]],Table5[Javelin Throw Classification],"&gt;0")</f>
        <v>0</v>
      </c>
      <c r="BO91" s="6">
        <f>COUNTIFS(Table4[Country],Tabela1[[#This Row],[Country]],Table4[Long Jump Classification],"&gt;0")</f>
        <v>0</v>
      </c>
      <c r="BP91" s="6">
        <f>COUNTIFS(Table5[Country],Tabela1[[#This Row],[Country]],Table5[Long Jump Classification],"&gt;0")</f>
        <v>0</v>
      </c>
      <c r="BQ91" s="6">
        <f>COUNTIFS(Table4[Country],Tabela1[[#This Row],[Country]],Table4[Pole Vault Classification],"&gt;0")</f>
        <v>0</v>
      </c>
      <c r="BR91" s="6">
        <f>COUNTIFS(Table5[Country],Tabela1[[#This Row],[Country]],Table5[Pole Vault Classification],"&gt;0")</f>
        <v>0</v>
      </c>
      <c r="BS91" s="6">
        <f>COUNTIFS(Table4[Country],Tabela1[[#This Row],[Country]],Table4[Shot Put Classification],"&gt;0")</f>
        <v>0</v>
      </c>
      <c r="BT91" s="6">
        <f>COUNTIFS(Table5[Country],Tabela1[[#This Row],[Country]],Table5[Shot Put Classification],"&gt;0")</f>
        <v>0</v>
      </c>
      <c r="BU91" s="6">
        <f>COUNTIFS(Table4[Country],Tabela1[[#This Row],[Country]],Table4[Triple Jump Classification],"&gt;0")</f>
        <v>0</v>
      </c>
      <c r="BV91" s="6">
        <f>COUNTIFS(Table5[Country],Tabela1[[#This Row],[Country]],Table5[Triple Jump Classification],"&gt;0")</f>
        <v>0</v>
      </c>
      <c r="BW91" s="6">
        <f>COUNTIFS(Table4[Country],Tabela1[[#This Row],[Country]],Table4[Decathlon Classification],"&gt;0")</f>
        <v>0</v>
      </c>
      <c r="BX91" s="6">
        <f>COUNTIFS(Table5[Country],Tabela1[[#This Row],[Country]],Table5[Heptathlon Classification],"&gt;0")</f>
        <v>0</v>
      </c>
      <c r="BY91" s="6">
        <f>COUNTIFS(Table61[Country],Tabela1[[#This Row],[Country]],Table61[Classification],"&gt;0")</f>
        <v>0</v>
      </c>
      <c r="BZ91" s="6">
        <f>COUNTIFS(Table38[Country],Tabela1[[#This Row],[Country]],Table38[Classification],"&gt;0")</f>
        <v>0</v>
      </c>
      <c r="CA91" s="6">
        <f>COUNTIFS(Table39[Country],Tabela1[[#This Row],[Country]],Table39[Men''s Classification],"&gt;0")</f>
        <v>0</v>
      </c>
      <c r="CB91" s="6">
        <f>COUNTIFS(Table39[Country],Tabela1[[#This Row],[Country]],Table39[Women''s Classification],"&gt;0")</f>
        <v>0</v>
      </c>
      <c r="CC91" s="6">
        <f>COUNTIFS(Table39[Country],Tabela1[[#This Row],[Country]],Table39[Mixed Classification],"&gt;0")</f>
        <v>0</v>
      </c>
      <c r="CD91" s="6">
        <f>COUNTIFS(Table89[Country],Tabela1[[#This Row],[Country]],Table89[Men''s Classification],"&gt;0")</f>
        <v>0</v>
      </c>
      <c r="CE91" s="6">
        <f>COUNTIFS(Table89[Country],Tabela1[[#This Row],[Country]],Table89[Women''s Classification],"&gt;0")</f>
        <v>0</v>
      </c>
      <c r="CF91" s="6">
        <f>COUNTIFS(Table90[Country],Tabela1[[#This Row],[Country]],Table90[Men''s Classification],"&gt;0")</f>
        <v>0</v>
      </c>
      <c r="CG91" s="6">
        <f>COUNTIFS(Table90[Country],Tabela1[[#This Row],[Country]],Table90[Women''s Classification],"&gt;0")</f>
        <v>0</v>
      </c>
      <c r="CH91" s="6">
        <f>COUNTIFS(Table60[Country],Tabela1[[#This Row],[Country]],Table60[Men''s Classification],"&gt;0")</f>
        <v>0</v>
      </c>
      <c r="CI91" s="6">
        <f>COUNTIFS(Table60[Country],Tabela1[[#This Row],[Country]],Table60[Women''s Classification],"&gt;0")</f>
        <v>0</v>
      </c>
      <c r="CJ91" s="6">
        <f>COUNTIFS(Table6[Country],Tabela1[[#This Row],[Country]],Table6[51kg Classification],"&gt;0")</f>
        <v>0</v>
      </c>
      <c r="CK91" s="6">
        <f>COUNTIFS(Table6[Country],Tabela1[[#This Row],[Country]],Table6[57kg Classification],"&gt;0")</f>
        <v>0</v>
      </c>
      <c r="CL91" s="6">
        <f>COUNTIFS(Table6[Country],Tabela1[[#This Row],[Country]],Table6[63.5kg Classification],"&gt;0")</f>
        <v>0</v>
      </c>
      <c r="CM91" s="6">
        <f>COUNTIFS(Table6[Country],Tabela1[[#This Row],[Country]],Table6[71kg Classification],"&gt;0")</f>
        <v>0</v>
      </c>
      <c r="CN91" s="6">
        <f>COUNTIFS(Table6[Country],Tabela1[[#This Row],[Country]],Table6[80kg Classification],"&gt;0")</f>
        <v>0</v>
      </c>
      <c r="CO91" s="6">
        <f>COUNTIFS(Table6[Country],Tabela1[[#This Row],[Country]],Table6[92kg Classification],"&gt;0")</f>
        <v>0</v>
      </c>
      <c r="CP91" s="6">
        <f>COUNTIFS(Table6[Country],Tabela1[[#This Row],[Country]],Table6[Plus 92kg Classification],"&gt;0")</f>
        <v>0</v>
      </c>
      <c r="CQ91" s="6">
        <f>COUNTIFS(Table7[Country],Tabela1[[#This Row],[Country]],Table7[50kg Classification],"&gt;0")</f>
        <v>0</v>
      </c>
      <c r="CR91" s="6">
        <f>COUNTIFS(Table7[Country],Tabela1[[#This Row],[Country]],Table7[54kg Classification],"&gt;0")</f>
        <v>0</v>
      </c>
      <c r="CS91" s="6">
        <f>COUNTIFS(Table7[Country],Tabela1[[#This Row],[Country]],Table7[57kg Classification],"&gt;0")</f>
        <v>0</v>
      </c>
      <c r="CT91" s="6">
        <f>COUNTIFS(Table7[Country],Tabela1[[#This Row],[Country]],Table7[60kg Classification],"&gt;0")</f>
        <v>0</v>
      </c>
      <c r="CU91" s="6">
        <f>COUNTIFS(Table7[Country],Tabela1[[#This Row],[Country]],Table7[66kg Classification],"&gt;0")</f>
        <v>0</v>
      </c>
      <c r="CV91" s="6">
        <f>COUNTIFS(Table7[Country],Tabela1[[#This Row],[Country]],Table7[75kg Classification],"&gt;0")</f>
        <v>0</v>
      </c>
      <c r="CW91" s="6">
        <f>COUNTIFS(Tabela94[Country],Tabela1[[#This Row],[Country]],Tabela94[Classification],"&gt;0")</f>
        <v>0</v>
      </c>
      <c r="CX91" s="6">
        <f>COUNTIFS(Tabela9499[Country],Tabela1[[#This Row],[Country]],Tabela9499[Classification],"&gt;0")</f>
        <v>0</v>
      </c>
      <c r="CY91" s="6">
        <f>COUNTIFS(Tabela107[Country],Tabela1[[#This Row],[Country]],Tabela107[C1 Slalom Classification],"&gt;0")</f>
        <v>0</v>
      </c>
      <c r="CZ91" s="6">
        <f>COUNTIFS(Tabela107122[Country],Tabela1[[#This Row],[Country]],Tabela107122[C1 Slalom Classification],"&gt;0")</f>
        <v>0</v>
      </c>
      <c r="DA91" s="6">
        <f>COUNTIFS(Tabela107[Country],Tabela1[[#This Row],[Country]],Tabela107[K1 Slalom Classification],"&gt;0")</f>
        <v>0</v>
      </c>
      <c r="DB91" s="6">
        <f>COUNTIFS(Tabela107122[Country],Tabela1[[#This Row],[Country]],Tabela107122[K1 Slalom Classification],"&gt;0")</f>
        <v>0</v>
      </c>
      <c r="DC91" s="6">
        <f>COUNTIFS(Tabela107[Country],Tabela1[[#This Row],[Country]],Tabela107[Kayak Cross Slalom Classification],"&gt;0")</f>
        <v>0</v>
      </c>
      <c r="DD91" s="6">
        <f>COUNTIFS(Tabela107122[Country],Tabela1[[#This Row],[Country]],Tabela107122[Kayak Cross Slalom Classification],"&gt;0")</f>
        <v>0</v>
      </c>
      <c r="DE91" s="6">
        <f>COUNTIFS(Table8[Country],Tabela1[[#This Row],[Country]],Table8[C1 200m Classification],"&gt;0")</f>
        <v>0</v>
      </c>
      <c r="DF91" s="6">
        <f>COUNTIFS(Table40[Country],Tabela1[[#This Row],[Country]],Table40[C1 1000m Classification],"&gt;0")</f>
        <v>0</v>
      </c>
      <c r="DG91" s="6">
        <f>COUNTIFS(Table68[Country],Tabela1[[#This Row],[Country]],Table68[Men''s C2 500m Classification],"&gt;0")</f>
        <v>0</v>
      </c>
      <c r="DH91" s="6">
        <f>COUNTIFS(Table68[Country],Tabela1[[#This Row],[Country]],Table68[Women''s C2 500m Classification],"&gt;0")</f>
        <v>0</v>
      </c>
      <c r="DI91" s="6">
        <f>COUNTIFS(Table8[Country],Tabela1[[#This Row],[Country]],Table8[K1 500m Classification],"&gt;0")</f>
        <v>0</v>
      </c>
      <c r="DJ91" s="6">
        <f>COUNTIFS(Table40[Country],Tabela1[[#This Row],[Country]],Table40[K1 1000m Classification],"&gt;0")</f>
        <v>0</v>
      </c>
      <c r="DK91" s="6">
        <f>COUNTIFS(Table68[Country],Tabela1[[#This Row],[Country]],Table68[Men''s K2 500m Classification],"&gt;0")</f>
        <v>0</v>
      </c>
      <c r="DL91" s="6">
        <f>COUNTIFS(Table68[Country],Tabela1[[#This Row],[Country]],Table68[Women''s K2 500m Classification],"&gt;0")</f>
        <v>0</v>
      </c>
      <c r="DM91" s="6">
        <f>COUNTIFS(Table83[Country],Tabela1[[#This Row],[Country]],Table83[Men''s K4 500m Classification],"&gt;0")</f>
        <v>0</v>
      </c>
      <c r="DN91" s="6">
        <f>COUNTIFS(Table83[Country],Tabela1[[#This Row],[Country]],Table83[Women''s K4 500m Classification],"&gt;0")</f>
        <v>0</v>
      </c>
      <c r="DO91" s="6">
        <f>COUNTIFS(Tabela126[Country],Tabela1[[#This Row],[Country]],Tabela126[Classification],"&gt;0")</f>
        <v>0</v>
      </c>
      <c r="DP91" s="6">
        <f>COUNTIFS(Tabela126130[Country],Tabela1[[#This Row],[Country]],Tabela126130[Classification],"&gt;0")</f>
        <v>0</v>
      </c>
      <c r="DQ91" s="6">
        <f>COUNTIFS(Table70[Country],Tabela1[[#This Row],[Country]],Table70[Classification],"&gt;0")</f>
        <v>0</v>
      </c>
      <c r="DR91" s="6">
        <f>COUNTIFS(Table80[Country],Tabela1[[#This Row],[Country]],Table80[Classification],"&gt;0")</f>
        <v>0</v>
      </c>
      <c r="DS91" s="6">
        <f>COUNTIFS(Table66[Country],Tabela1[[#This Row],[Country]],Table66[Classification],"&gt;0")</f>
        <v>0</v>
      </c>
      <c r="DT91" s="6">
        <f>COUNTIFS(Table67[Country],Tabela1[[#This Row],[Country]],Table67[Classification],"&gt;0")</f>
        <v>0</v>
      </c>
      <c r="DU91" s="6">
        <f>COUNTIFS(Table69[Country],Tabela1[[#This Row],[Country]],Table69[Keirin Classification],"&gt;0")</f>
        <v>0</v>
      </c>
      <c r="DV91" s="6">
        <f>COUNTIFS(Table41[Country],Tabela1[[#This Row],[Country]],Table41[Keirin Classification],"&gt;0")</f>
        <v>0</v>
      </c>
      <c r="DW91" s="6">
        <f>COUNTIFS(Table84[Country],Tabela1[[#This Row],[Country]],Table84[Men''s Madison Classification],"&gt;0")</f>
        <v>0</v>
      </c>
      <c r="DX91" s="6">
        <f>COUNTIFS(Table84[Country],Tabela1[[#This Row],[Country]],Table84[Women''s Madison Classification],"&gt;0")</f>
        <v>0</v>
      </c>
      <c r="DY91" s="6">
        <f>COUNTIFS(Table69[Country],Tabela1[[#This Row],[Country]],Table69[Omnium Classification],"&gt;0")</f>
        <v>0</v>
      </c>
      <c r="DZ91" s="6">
        <f>COUNTIFS(Table41[Country],Tabela1[[#This Row],[Country]],Table41[Omnium Classification],"&gt;0")</f>
        <v>0</v>
      </c>
      <c r="EA91" s="6">
        <f>COUNTIFS(Table9[Country],Tabela1[[#This Row],[Country]],Table9[Road Race Classification],"&gt;0")</f>
        <v>0</v>
      </c>
      <c r="EB91" s="6">
        <f>COUNTIFS(Table14[Country],Tabela1[[#This Row],[Country]],Table14[Road Race Classification],"&gt;0")</f>
        <v>0</v>
      </c>
      <c r="EC91" s="6">
        <f>COUNTIFS(Table69[Country],Tabela1[[#This Row],[Country]],Table69[Sprint Classification],"&gt;0")</f>
        <v>0</v>
      </c>
      <c r="ED91" s="6">
        <f>COUNTIFS(Table41[Country],Tabela1[[#This Row],[Country]],Table41[Sprint Classification],"&gt;0")</f>
        <v>0</v>
      </c>
      <c r="EE91" s="6">
        <f>COUNTIFS(Table85[Country],Tabela1[[#This Row],[Country]],Table85[Men''s Sprint Classification],"&gt;0")</f>
        <v>0</v>
      </c>
      <c r="EF91" s="6">
        <f>COUNTIFS(Table85[Country],Tabela1[[#This Row],[Country]],Table85[Women''s Sprint Classification],"&gt;0")</f>
        <v>0</v>
      </c>
      <c r="EG91" s="6">
        <f>COUNTIFS(Table85[Country],Tabela1[[#This Row],[Country]],Table85[Men''s Pursuit Classification],"&gt;0")</f>
        <v>0</v>
      </c>
      <c r="EH91" s="6">
        <f>COUNTIFS(Table85[Country],Tabela1[[#This Row],[Country]],Table85[Women''s Pursuit Classification],"&gt;0")</f>
        <v>0</v>
      </c>
      <c r="EI91" s="6">
        <f>COUNTIFS(Table9[Country],Tabela1[[#This Row],[Country]],Table9[Time-Trial Classification],"&gt;0")</f>
        <v>0</v>
      </c>
      <c r="EJ91" s="6">
        <f>COUNTIFS(Table14[Country],Tabela1[[#This Row],[Country]],Table14[Time-Trial Classification],"&gt;0")</f>
        <v>0</v>
      </c>
      <c r="EK91" s="6">
        <f>COUNTIFS(Table42[Country],Tabela1[[#This Row],[Country]],Table42[Springboard Classification],"&gt;0")</f>
        <v>0</v>
      </c>
      <c r="EL91" s="6">
        <f>COUNTIFS(Table43[Country],Tabela1[[#This Row],[Country]],Table43[Springboard Classification],"&gt;0")</f>
        <v>0</v>
      </c>
      <c r="EM91" s="6">
        <f>COUNTIFS(Table42[Country],Tabela1[[#This Row],[Country]],Table42[Platform Classification],"&gt;0")</f>
        <v>0</v>
      </c>
      <c r="EN91" s="6">
        <f>COUNTIFS(Table43[Country],Tabela1[[#This Row],[Country]],Table43[Platform Classification],"&gt;0")</f>
        <v>0</v>
      </c>
      <c r="EO91" s="6">
        <f>COUNTIFS(Table86[Country],Tabela1[[#This Row],[Country]],Table86[Men''s Synchronized Springboard Classification],"&gt;0")</f>
        <v>0</v>
      </c>
      <c r="EP91" s="6">
        <f>COUNTIFS(Table86[Country],Tabela1[[#This Row],[Country]],Table86[Women''s Synchronized Springboard Classification],"&gt;0")</f>
        <v>0</v>
      </c>
      <c r="EQ91" s="6">
        <f>COUNTIFS(Table86[Country],Tabela1[[#This Row],[Country]],Table86[Men''s Synchronized Platform Classification],"&gt;0")</f>
        <v>0</v>
      </c>
      <c r="ER91" s="6">
        <f>COUNTIFS(Table86[Country],Tabela1[[#This Row],[Country]],Table86[Women''s Synchronized Platform Classification],"&gt;0")</f>
        <v>0</v>
      </c>
      <c r="ES91" s="6">
        <f>COUNTIFS(Table44[Country],Tabela1[[#This Row],[Country]],Table44[Dressage Classification],"&gt;0")</f>
        <v>0</v>
      </c>
      <c r="ET91" s="6">
        <f>COUNTIFS(Table45[Country],Tabela1[[#This Row],[Country]],Table45[Dressage Classification],"&gt;0")</f>
        <v>0</v>
      </c>
      <c r="EU91" s="6">
        <f>COUNTIFS(Table44[Country],Tabela1[[#This Row],[Country]],Table44[Eventing Classification],"&gt;0")</f>
        <v>0</v>
      </c>
      <c r="EV91" s="6">
        <f>COUNTIFS(Table45[Country],Tabela1[[#This Row],[Country]],Table45[Eventing Classification],"&gt;0")</f>
        <v>0</v>
      </c>
      <c r="EW91" s="6">
        <f>COUNTIFS(Table44[Country],Tabela1[[#This Row],[Country]],Table44[Jumping Classification],"&gt;0")</f>
        <v>0</v>
      </c>
      <c r="EX91" s="6">
        <f>COUNTIFS(Table45[Country],Tabela1[[#This Row],[Country]],Table45[Jumping Classification],"&gt;0")</f>
        <v>0</v>
      </c>
      <c r="EY91" s="6">
        <f>COUNTIFS(Table10[Country],Tabela1[[#This Row],[Country]],Table10[Épée Classification],"&gt;0")</f>
        <v>0</v>
      </c>
      <c r="EZ91" s="6">
        <f>COUNTIFS(Table11[Country],Tabela1[[#This Row],[Country]],Table11[Épée Classification],"&gt;0")</f>
        <v>0</v>
      </c>
      <c r="FA91" s="6">
        <f>COUNTIFS(Table46[Country],Tabela1[[#This Row],[Country]],Table46[Men''s Épée Classification],"&gt;0")</f>
        <v>0</v>
      </c>
      <c r="FB91" s="6">
        <f>COUNTIFS(Table46[Country],Tabela1[[#This Row],[Country]],Table46[Women''s Épée Classification],"&gt;0")</f>
        <v>0</v>
      </c>
      <c r="FC91" s="6">
        <f>COUNTIFS(Table10[Country],Tabela1[[#This Row],[Country]],Table10[Foil Classification],"&gt;0")</f>
        <v>0</v>
      </c>
      <c r="FD91" s="6">
        <f>COUNTIFS(Table11[Country],Tabela1[[#This Row],[Country]],Table11[Foil Classification],"&gt;0")</f>
        <v>0</v>
      </c>
      <c r="FE91" s="6">
        <f>COUNTIFS(Table46[Country],Tabela1[[#This Row],[Country]],Table46[Men''s Foil Classification],"&gt;0")</f>
        <v>0</v>
      </c>
      <c r="FF91" s="6">
        <f>COUNTIFS(Table46[Country],Tabela1[[#This Row],[Country]],Table46[Women''s Foil Classification],"&gt;0")</f>
        <v>0</v>
      </c>
      <c r="FG91" s="6">
        <f>COUNTIFS(Table10[Country],Tabela1[[#This Row],[Country]],Table10[Sabre Classification],"&gt;0")</f>
        <v>0</v>
      </c>
      <c r="FH91" s="6">
        <f>COUNTIFS(Table11[Country],Tabela1[[#This Row],[Country]],Table11[Sabre Classification],"&gt;0")</f>
        <v>0</v>
      </c>
      <c r="FI91" s="6">
        <f>COUNTIFS(Table46[Country],Tabela1[[#This Row],[Country]],Table46[Men''s Sabre Classification],"&gt;0")</f>
        <v>0</v>
      </c>
      <c r="FJ91" s="6">
        <f>COUNTIFS(Table46[Country],Tabela1[[#This Row],[Country]],Table46[Women''s Sabre Classification],"&gt;0")</f>
        <v>0</v>
      </c>
      <c r="FK91" s="6">
        <f>COUNTIFS(Table91[Country],Tabela1[[#This Row],[Country]],Table91[Men''s Classification],"&gt;0")</f>
        <v>0</v>
      </c>
      <c r="FL91" s="6">
        <f>COUNTIFS(Table91[Country],Tabela1[[#This Row],[Country]],Table91[Women''s Classification],"&gt;0")</f>
        <v>0</v>
      </c>
      <c r="FM91" s="6">
        <f>COUNTIFS(Table9194[Country],Tabela1[[#This Row],[Country]],Table9194[Men''s Classification],"&gt;0")</f>
        <v>0</v>
      </c>
      <c r="FN91" s="6">
        <f>COUNTIFS(Table9194[Country],Tabela1[[#This Row],[Country]],Table9194[Women''s Classification],"&gt;0")</f>
        <v>0</v>
      </c>
      <c r="FO91" s="6">
        <f>COUNTIFS(Table71[Country],Tabela1[[#This Row],[Country]],Table71[Classification],"&gt;0")</f>
        <v>0</v>
      </c>
      <c r="FP91" s="6">
        <f>COUNTIFS(Table62[Country],Tabela1[[#This Row],[Country]],Table62[Classification],"&gt;0")</f>
        <v>0</v>
      </c>
      <c r="FQ91" s="6">
        <f>COUNTIFS(Table47[Country],Tabela1[[#This Row],[Country]],Table47[All-Around Classification],"&gt;0")</f>
        <v>0</v>
      </c>
      <c r="FR91" s="6">
        <f>COUNTIFS(Table48[Country],Tabela1[[#This Row],[Country]],Table48[All-Around Classification],"&gt;0")</f>
        <v>0</v>
      </c>
      <c r="FS91" s="6">
        <f>COUNTIFS(Table81[Country],Tabela1[[#This Row],[Country]],Table81[Men''s All-Around Classification],"&gt;0")</f>
        <v>0</v>
      </c>
      <c r="FT91" s="6">
        <f>COUNTIFS(Table81[Country],Tabela1[[#This Row],[Country]],Table81[Women''s All-Around Classification],"&gt;0")</f>
        <v>0</v>
      </c>
      <c r="FU91" s="6">
        <f>COUNTIFS(Table48[Country],Tabela1[[#This Row],[Country]],Table48[Balance Beam Classification],"&gt;0")</f>
        <v>0</v>
      </c>
      <c r="FV91" s="6">
        <f>COUNTIFS(Table47[Country],Tabela1[[#This Row],[Country]],Table47[Floor Exercise Classification],"&gt;0")</f>
        <v>0</v>
      </c>
      <c r="FW91" s="6">
        <f>COUNTIFS(Table48[Country],Tabela1[[#This Row],[Country]],Table48[Floor Exercise Classification],"&gt;0")</f>
        <v>0</v>
      </c>
      <c r="FX91" s="6">
        <f>COUNTIFS(Table47[Country],Tabela1[[#This Row],[Country]],Table47[Horizontal Bar Classification],"&gt;0")</f>
        <v>0</v>
      </c>
      <c r="FY91" s="6">
        <f>COUNTIFS(Table47[Country],Tabela1[[#This Row],[Country]],Table47[Parallel Bars Classification],"&gt;0")</f>
        <v>0</v>
      </c>
      <c r="FZ91" s="6">
        <f>COUNTIFS(Table47[Country],Tabela1[[#This Row],[Country]],Table47[Pommel Horse Classification],"&gt;0")</f>
        <v>0</v>
      </c>
      <c r="GA91" s="6">
        <f>COUNTIFS(Table47[Country],Tabela1[[#This Row],[Country]],Table47[Rings Classification],"&gt;0")</f>
        <v>0</v>
      </c>
      <c r="GB91" s="6">
        <f>COUNTIFS(Tabela132[Country],Tabela1[[#This Row],[Country]],Tabela132[Classification],"&gt;0")</f>
        <v>0</v>
      </c>
      <c r="GC91" s="6">
        <f>COUNTIFS(Tabela139[Country],Tabela1[[#This Row],[Country]],Tabela139[Classification],"&gt;0")</f>
        <v>0</v>
      </c>
      <c r="GD91" s="6">
        <f>COUNTIFS(Table48[Country],Tabela1[[#This Row],[Country]],Table48[Uneven Bars Classification],"&gt;0")</f>
        <v>0</v>
      </c>
      <c r="GE91" s="6">
        <f>COUNTIFS(Table47[Country],Tabela1[[#This Row],[Country]],Table47[Vault Classification],"&gt;0")</f>
        <v>0</v>
      </c>
      <c r="GF91" s="6">
        <f>COUNTIFS(Table48[Country],Tabela1[[#This Row],[Country]],Table48[Vault Classification],"&gt;0")</f>
        <v>0</v>
      </c>
      <c r="GG91" s="6">
        <f>COUNTIFS(Table919496[Country],Tabela1[[#This Row],[Country]],Table919496[Men''s Classification],"&gt;0")</f>
        <v>0</v>
      </c>
      <c r="GH91" s="6">
        <f>COUNTIFS(Table919496[Country],Tabela1[[#This Row],[Country]],Table919496[Women''s Classification],"&gt;0")</f>
        <v>0</v>
      </c>
      <c r="GI91" s="6">
        <f>COUNTIFS(Table12[Country],Tabela1[[#This Row],[Country]],Table12[60kg Classification],"&gt;0")</f>
        <v>0</v>
      </c>
      <c r="GJ91" s="6">
        <f>COUNTIFS(Table12[Country],Tabela1[[#This Row],[Country]],Table12[66kg Classification],"&gt;0")</f>
        <v>0</v>
      </c>
      <c r="GK91" s="6">
        <f>COUNTIFS(Table12[Country],Tabela1[[#This Row],[Country]],Table12[73kg Classification],"&gt;0")</f>
        <v>0</v>
      </c>
      <c r="GL91" s="6">
        <f>COUNTIFS(Table12[Country],Tabela1[[#This Row],[Country]],Table12[81kg Classification],"&gt;0")</f>
        <v>0</v>
      </c>
      <c r="GM91" s="6">
        <f>COUNTIFS(Table12[Country],Tabela1[[#This Row],[Country]],Table12[90kg Classification],"&gt;0")</f>
        <v>0</v>
      </c>
      <c r="GN91" s="6">
        <f>COUNTIFS(Table12[Country],Tabela1[[#This Row],[Country]],Table12[100kg Classification],"&gt;0")</f>
        <v>0</v>
      </c>
      <c r="GO91" s="6">
        <f>COUNTIFS(Table12[Country],Tabela1[[#This Row],[Country]],Table12[Plus 100kg Classification],"&gt;0")</f>
        <v>0</v>
      </c>
      <c r="GP91" s="6">
        <f>COUNTIFS(Table13[Country],Tabela1[[#This Row],[Country]],Table13[48kg Classification],"&gt;0")</f>
        <v>0</v>
      </c>
      <c r="GQ91" s="6">
        <f>COUNTIFS(Table13[Country],Tabela1[[#This Row],[Country]],Table13[52kg Classification],"&gt;0")</f>
        <v>0</v>
      </c>
      <c r="GR91" s="6">
        <f>COUNTIFS(Table13[Country],Tabela1[[#This Row],[Country]],Table13[57kg Classification],"&gt;0")</f>
        <v>0</v>
      </c>
      <c r="GS91" s="6">
        <f>COUNTIFS(Table13[Country],Tabela1[[#This Row],[Country]],Table13[63kg Classification],"&gt;0")</f>
        <v>0</v>
      </c>
      <c r="GT91" s="6">
        <f>COUNTIFS(Table13[Country],Tabela1[[#This Row],[Country]],Table13[70kg Classification],"&gt;0")</f>
        <v>0</v>
      </c>
      <c r="GU91" s="6">
        <f>COUNTIFS(Table13[Country],Tabela1[[#This Row],[Country]],Table13[78kg Classification],"&gt;0")</f>
        <v>0</v>
      </c>
      <c r="GV91" s="6">
        <f>COUNTIFS(Table13[Country],Tabela1[[#This Row],[Country]],Table13[Plus 78kg Classification],"&gt;0")</f>
        <v>0</v>
      </c>
      <c r="GW91" s="6">
        <f>COUNTIFS(Table82[Country],Tabela1[[#This Row],[Country]],Table82[Mixed Classification],"&gt;0")</f>
        <v>0</v>
      </c>
      <c r="GX91" s="6">
        <f>COUNTIFS(Table51[Country],Tabela1[[#This Row],[Country]],Table51[Classification],"&gt;0")</f>
        <v>0</v>
      </c>
      <c r="GY91" s="6">
        <f>COUNTIFS(Table52[Country],Tabela1[[#This Row],[Country]],Table52[Classification],"&gt;0")</f>
        <v>0</v>
      </c>
      <c r="GZ91" s="6">
        <f>COUNTIFS(Table32[Country],Tabela1[[#This Row],[Country]],Table32[All-Around Classification],"&gt;0")</f>
        <v>0</v>
      </c>
      <c r="HA91" s="6">
        <f>COUNTIFS(Table49[Country],Tabela1[[#This Row],[Country]],Table49[All-Around Classification],"&gt;0")</f>
        <v>0</v>
      </c>
      <c r="HB91" s="6">
        <f>COUNTIFS(Table26[Country],Tabela1[[#This Row],[Country]],Table26[Single Sculls Classification],"&gt;0")</f>
        <v>0</v>
      </c>
      <c r="HC91" s="6">
        <f>COUNTIFS(Table63[Country],Tabela1[[#This Row],[Country]],Table63[Single Sculls Classification],"&gt;0")</f>
        <v>0</v>
      </c>
      <c r="HD91" s="6">
        <f>COUNTIFS(Table16[Country],Tabela1[[#This Row],[Country]],Table16[Men''s Double Sculls Classification],"&gt;0")</f>
        <v>0</v>
      </c>
      <c r="HE91" s="6">
        <f>COUNTIFS(Table16[Country],Tabela1[[#This Row],[Country]],Table16[Women''s Double Sculls Classification],"&gt;0")</f>
        <v>0</v>
      </c>
      <c r="HF91" s="6">
        <f>COUNTIFS(Table72[Country],Tabela1[[#This Row],[Country]],Table72[Men''s Quadruple Sculls Classification],"&gt;0")</f>
        <v>0</v>
      </c>
      <c r="HG91" s="6">
        <f>COUNTIFS(Table72[Country],Tabela1[[#This Row],[Country]],Table72[Women''s Quadruple Sculls Classification],"&gt;0")</f>
        <v>0</v>
      </c>
      <c r="HH91" s="6">
        <f>COUNTIFS(Table16[Country],Tabela1[[#This Row],[Country]],Table16[Men''s Coxless Pairs Classification],"&gt;0")</f>
        <v>0</v>
      </c>
      <c r="HI91" s="6">
        <f>COUNTIFS(Table16[Country],Tabela1[[#This Row],[Country]],Table16[Women''s Coxless Pairs Classification],"&gt;0")</f>
        <v>0</v>
      </c>
      <c r="HJ91" s="6">
        <f>COUNTIFS(Table72[Country],Tabela1[[#This Row],[Country]],Table72[Men''s Coxless Fours Classification],"&gt;0")</f>
        <v>0</v>
      </c>
      <c r="HK91" s="6">
        <f>COUNTIFS(Table72[Country],Tabela1[[#This Row],[Country]],Table72[Women''s Coxless Fours Classification],"&gt;0")</f>
        <v>0</v>
      </c>
      <c r="HL91" s="6">
        <f>COUNTIFS(Table72[Country],Tabela1[[#This Row],[Country]],Table72[Men''s Eights Classification],"&gt;0")</f>
        <v>0</v>
      </c>
      <c r="HM91" s="6">
        <f>COUNTIFS(Table72[Country],Tabela1[[#This Row],[Country]],Table72[Women''s Eights Classification],"&gt;0")</f>
        <v>0</v>
      </c>
      <c r="HN91" s="6">
        <f>COUNTIFS(Table16[Country],Tabela1[[#This Row],[Country]],Table16[Men''s Lwt. Double Sculls Classification],"&gt;0")</f>
        <v>0</v>
      </c>
      <c r="HO91" s="6">
        <f>COUNTIFS(Table16[Country],Tabela1[[#This Row],[Country]],Table16[Women''s Lwt. Double Sculls Classification],"&gt;0")</f>
        <v>0</v>
      </c>
      <c r="HP91" s="6">
        <f>COUNTIFS(Table91949698[Country],Tabela1[[#This Row],[Country]],Table91949698[Men''s Classification],"&gt;0")</f>
        <v>0</v>
      </c>
      <c r="HQ91" s="6">
        <f>COUNTIFS(Table91949698[Country],Tabela1[[#This Row],[Country]],Table91949698[Women''s Classification],"&gt;0")</f>
        <v>0</v>
      </c>
      <c r="HR91" s="6">
        <f>COUNTIFS(Table25[Country],Tabela1[[#This Row],[Country]],Table25[Mixed 470 Classification],"&gt;0")</f>
        <v>0</v>
      </c>
      <c r="HS91" s="6">
        <f>COUNTIFS(Table25[Country],Tabela1[[#This Row],[Country]],Table25[Men''s 49er Classification],"&gt;0")</f>
        <v>0</v>
      </c>
      <c r="HT91" s="6">
        <f>COUNTIFS(Table25[Country],Tabela1[[#This Row],[Country]],Table25[Women''s 49er FX Classification],"&gt;0")</f>
        <v>0</v>
      </c>
      <c r="HU91" s="6">
        <f>COUNTIFS(Table17[Country],Tabela1[[#This Row],[Country]],Table17[Formula Kite Classification],"&gt;0")</f>
        <v>0</v>
      </c>
      <c r="HV91" s="6">
        <f>COUNTIFS(Table18[Country],Tabela1[[#This Row],[Country]],Table18[Formula Kite Classification],"&gt;0")</f>
        <v>0</v>
      </c>
      <c r="HW91" s="6">
        <f>COUNTIFS(Table17[Country],Tabela1[[#This Row],[Country]],Table17[ILCA 7 Classification],"&gt;0")</f>
        <v>0</v>
      </c>
      <c r="HX91" s="6">
        <f>COUNTIFS(Table18[Country],Tabela1[[#This Row],[Country]],Table18[ILCA 6 Classification],"&gt;0")</f>
        <v>0</v>
      </c>
      <c r="HY91" s="6">
        <f>COUNTIFS(Table17[Country],Tabela1[[#This Row],[Country]],Table17[IQFoil Classification],"&gt;0")</f>
        <v>0</v>
      </c>
      <c r="HZ91" s="6">
        <f>COUNTIFS(Table18[Country],Tabela1[[#This Row],[Country]],Table18[IQFoil Classification],"&gt;0")</f>
        <v>0</v>
      </c>
      <c r="IA91" s="6">
        <f>COUNTIFS(Table25[Country],Tabela1[[#This Row],[Country]],Table25[Mixed Nacra 17 Classification],"&gt;0")</f>
        <v>0</v>
      </c>
      <c r="IB91" s="6">
        <f>COUNTIFS(Table53[Country],Tabela1[[#This Row],[Country]],Table53[10m Air Pistol Classification],"&gt;0")</f>
        <v>0</v>
      </c>
      <c r="IC91" s="6">
        <f>COUNTIFS(Table19[Country],Tabela1[[#This Row],[Country]],Table19[10m Air Pistol Classification],"&gt;0")</f>
        <v>0</v>
      </c>
      <c r="ID91" s="6">
        <f>COUNTIFS(Table54[Country],Tabela1[[#This Row],[Country]],Table54[Mixed 10m Air Pistol Team Classification],"&gt;0")</f>
        <v>0</v>
      </c>
      <c r="IE91" s="6">
        <f>COUNTIFS(Table53[Country],Tabela1[[#This Row],[Country]],Table53[10m Air Rifle Classification],"&gt;0")</f>
        <v>0</v>
      </c>
      <c r="IF91" s="6">
        <f>COUNTIFS(Table19[Country],Tabela1[[#This Row],[Country]],Table19[10m Air Rifle Classification],"&gt;0")</f>
        <v>0</v>
      </c>
      <c r="IG91" s="6">
        <f>COUNTIFS(Table54[Country],Tabela1[[#This Row],[Country]],Table54[Mixed 10m Air Rifle Team Classification],"&gt;0")</f>
        <v>0</v>
      </c>
      <c r="IH91" s="6">
        <f>COUNTIFS(Table53[Country],Tabela1[[#This Row],[Country]],Table53[25m Rapid Fire Pistol Classification],"&gt;0")</f>
        <v>0</v>
      </c>
      <c r="II91" s="6">
        <f>COUNTIFS(Table19[Country],Tabela1[[#This Row],[Country]],Table19[25m Pistol Classification],"&gt;0")</f>
        <v>0</v>
      </c>
      <c r="IJ91" s="6">
        <f>COUNTIFS(Table53[Country],Tabela1[[#This Row],[Country]],Table53[50m Rifle 3 Positions Classification],"&gt;0")</f>
        <v>0</v>
      </c>
      <c r="IK91" s="6">
        <f>COUNTIFS(Table19[Country],Tabela1[[#This Row],[Country]],Table19[50m Rifle 3 Positions Classification],"&gt;0")</f>
        <v>0</v>
      </c>
      <c r="IL91" s="6">
        <f>COUNTIFS(Table53[Country],Tabela1[[#This Row],[Country]],Table53[Skeet Classification],"&gt;0")</f>
        <v>0</v>
      </c>
      <c r="IM91" s="6">
        <f>COUNTIFS(Table19[Country],Tabela1[[#This Row],[Country]],Table19[Skeet Classification],"&gt;0")</f>
        <v>0</v>
      </c>
      <c r="IN91" s="6">
        <f>COUNTIFS(Table54[Country],Tabela1[[#This Row],[Country]],Table54[Mixed Skeet Team Classification],"&gt;0")</f>
        <v>0</v>
      </c>
      <c r="IO91" s="6">
        <f>COUNTIFS(Table53[Country],Tabela1[[#This Row],[Country]],Table53[Trap Classification],"&gt;0")</f>
        <v>0</v>
      </c>
      <c r="IP91" s="6">
        <f>COUNTIFS(Table19[Country],Tabela1[[#This Row],[Country]],Table19[Trap Classification],"&gt;0")</f>
        <v>0</v>
      </c>
      <c r="IQ91" s="6">
        <f>COUNTIFS(Table73[Country],Tabela1[[#This Row],[Country]],Table73[Park Classification],"&gt;0")</f>
        <v>0</v>
      </c>
      <c r="IR91" s="6">
        <f>COUNTIFS(Table74[Country],Tabela1[[#This Row],[Country]],Table74[Park Classification],"&gt;0")</f>
        <v>0</v>
      </c>
      <c r="IS91" s="6">
        <f>COUNTIFS(Table73[Country],Tabela1[[#This Row],[Country]],Table73[Street Classification],"&gt;0")</f>
        <v>0</v>
      </c>
      <c r="IT91" s="6">
        <f>COUNTIFS(Table74[Country],Tabela1[[#This Row],[Country]],Table74[Street Classification],"&gt;0")</f>
        <v>0</v>
      </c>
      <c r="IU91" s="6">
        <f>COUNTIFS(Table75[Country],Tabela1[[#This Row],[Country]],Table75[Boulder and Lead Classification],"&gt;0")</f>
        <v>0</v>
      </c>
      <c r="IV91" s="6">
        <f>COUNTIFS(Table76[Country],Tabela1[[#This Row],[Country]],Table76[Boulder and Lead Classification],"&gt;0")</f>
        <v>0</v>
      </c>
      <c r="IW91" s="6">
        <f>COUNTIFS(Table75[Country],Tabela1[[#This Row],[Country]],Table75[Speed Classification],"&gt;0")</f>
        <v>0</v>
      </c>
      <c r="IX91" s="6">
        <f>COUNTIFS(Table76[Country],Tabela1[[#This Row],[Country]],Table76[Speed Classification],"&gt;0")</f>
        <v>0</v>
      </c>
      <c r="IY91" s="6">
        <f>COUNTIFS(Table64[Country],Tabela1[[#This Row],[Country]],Table64[Shortboard Classification],"&gt;0")</f>
        <v>0</v>
      </c>
      <c r="IZ91" s="6">
        <f>COUNTIFS(Table77[Country],Tabela1[[#This Row],[Country]],Table77[Shortboard Classification],"&gt;0")</f>
        <v>0</v>
      </c>
      <c r="JA91" s="6">
        <f>COUNTIFS(Table20[Country],Tabela1[[#This Row],[Country]],Table20[50m Freestyle Classification],"&gt;0")</f>
        <v>1</v>
      </c>
      <c r="JB91" s="6">
        <f>COUNTIFS(Table21[Country],Tabela1[[#This Row],[Country]],Table21[50m Freestyle Classification],"&gt;0")</f>
        <v>0</v>
      </c>
      <c r="JC91" s="6">
        <f>COUNTIFS(Table20[Country],Tabela1[[#This Row],[Country]],Table20[100m Freestyle Classification],"&gt;0")</f>
        <v>1</v>
      </c>
      <c r="JD91" s="6">
        <f>COUNTIFS(Table21[Country],Tabela1[[#This Row],[Country]],Table21[100m Freestyle Classification],"&gt;0")</f>
        <v>0</v>
      </c>
      <c r="JE91" s="6">
        <f>COUNTIFS(Table20[Country],Tabela1[[#This Row],[Country]],Table20[200m Freestyle Classification],"&gt;0")</f>
        <v>0</v>
      </c>
      <c r="JF91" s="6">
        <f>COUNTIFS(Table21[Country],Tabela1[[#This Row],[Country]],Table21[200m Freestyle Classification],"&gt;0")</f>
        <v>0</v>
      </c>
      <c r="JG91" s="6">
        <f>COUNTIFS(Table20[Country],Tabela1[[#This Row],[Country]],Table20[400m Freestyle Classification],"&gt;0")</f>
        <v>0</v>
      </c>
      <c r="JH91" s="6">
        <f>COUNTIFS(Table21[Country],Tabela1[[#This Row],[Country]],Table21[400m Freestyle Classification],"&gt;0")</f>
        <v>0</v>
      </c>
      <c r="JI91" s="6">
        <f>COUNTIFS(Table20[Country],Tabela1[[#This Row],[Country]],Table20[800m Freestyle Classification],"&gt;0")</f>
        <v>0</v>
      </c>
      <c r="JJ91" s="6">
        <f>COUNTIFS(Table21[Country],Tabela1[[#This Row],[Country]],Table21[800m Freestyle Classification],"&gt;0")</f>
        <v>0</v>
      </c>
      <c r="JK91" s="6">
        <f>COUNTIFS(Table20[Country],Tabela1[[#This Row],[Country]],Table20[1500m Freestyle Classification],"&gt;0")</f>
        <v>0</v>
      </c>
      <c r="JL91" s="6">
        <f>COUNTIFS(Table21[Country],Tabela1[[#This Row],[Country]],Table21[1500m Freestyle Classification],"&gt;0")</f>
        <v>0</v>
      </c>
      <c r="JM91" s="6">
        <f>COUNTIFS(Table20[Country],Tabela1[[#This Row],[Country]],Table20[100m Backstroke Classification],"&gt;0")</f>
        <v>0</v>
      </c>
      <c r="JN91" s="6">
        <f>COUNTIFS(Table21[Country],Tabela1[[#This Row],[Country]],Table21[100m Backstroke Classification],"&gt;0")</f>
        <v>0</v>
      </c>
      <c r="JO91" s="6">
        <f>COUNTIFS(Table20[Country],Tabela1[[#This Row],[Country]],Table20[200m Backstroke Classification],"&gt;0")</f>
        <v>0</v>
      </c>
      <c r="JP91" s="6">
        <f>COUNTIFS(Table21[Country],Tabela1[[#This Row],[Country]],Table21[200m Backstroke Classification],"&gt;0")</f>
        <v>0</v>
      </c>
      <c r="JQ91" s="6">
        <f>COUNTIFS(Table20[Country],Tabela1[[#This Row],[Country]],Table20[100m Breaststroke Classification],"&gt;0")</f>
        <v>0</v>
      </c>
      <c r="JR91" s="6">
        <f>COUNTIFS(Table21[Country],Tabela1[[#This Row],[Country]],Table21[100m Breaststroke Classification],"&gt;0")</f>
        <v>0</v>
      </c>
      <c r="JS91" s="6">
        <f>COUNTIFS(Table20[Country],Tabela1[[#This Row],[Country]],Table20[200m Breaststroke Classification],"&gt;0")</f>
        <v>0</v>
      </c>
      <c r="JT91" s="6">
        <f>COUNTIFS(Table21[Country],Tabela1[[#This Row],[Country]],Table21[200m Breaststroke Classification],"&gt;0")</f>
        <v>0</v>
      </c>
      <c r="JU91" s="6">
        <f>COUNTIFS(Table20[Country],Tabela1[[#This Row],[Country]],Table20[100m Butterfly Classification],"&gt;0")</f>
        <v>0</v>
      </c>
      <c r="JV91" s="6">
        <f>COUNTIFS(Table21[Country],Tabela1[[#This Row],[Country]],Table21[100m Butterfly Classification],"&gt;0")</f>
        <v>0</v>
      </c>
      <c r="JW91" s="6">
        <f>COUNTIFS(Table20[Country],Tabela1[[#This Row],[Country]],Table20[200m Butterfly Classification],"&gt;0")</f>
        <v>0</v>
      </c>
      <c r="JX91" s="6">
        <f>COUNTIFS(Table21[Country],Tabela1[[#This Row],[Country]],Table21[200m Butterfly Classification],"&gt;0")</f>
        <v>0</v>
      </c>
      <c r="JY91" s="6">
        <f>COUNTIFS(Table20[Country],Tabela1[[#This Row],[Country]],Table20[200m Medley Classification],"&gt;0")</f>
        <v>0</v>
      </c>
      <c r="JZ91" s="6">
        <f>COUNTIFS(Table21[Country],Tabela1[[#This Row],[Country]],Table21[200m Medley Classification],"&gt;0")</f>
        <v>0</v>
      </c>
      <c r="KA91" s="6">
        <f>COUNTIFS(Table20[Country],Tabela1[[#This Row],[Country]],Table20[400m Medley Classification],"&gt;0")</f>
        <v>0</v>
      </c>
      <c r="KB91" s="6">
        <f>COUNTIFS(Table21[Country],Tabela1[[#This Row],[Country]],Table21[400m Medley Classification],"&gt;0")</f>
        <v>0</v>
      </c>
      <c r="KC91" s="6">
        <f>COUNTIFS(Table78[Country],Tabela1[[#This Row],[Country]],Table78[Men''s 4x100m Freestyle Relay Classification],"&gt;0")</f>
        <v>0</v>
      </c>
      <c r="KD91" s="6">
        <f>COUNTIFS(Table78[Country],Tabela1[[#This Row],[Country]],Table78[Women''s 4x100m Freestyle Relay Classification],"&gt;0")</f>
        <v>0</v>
      </c>
      <c r="KE91" s="6">
        <f>COUNTIFS(Table78[Country],Tabela1[[#This Row],[Country]],Table78[Men''s 4x200m Freestyle Relay Classification],"&gt;0")</f>
        <v>0</v>
      </c>
      <c r="KF91" s="6">
        <f>COUNTIFS(Table78[Country],Tabela1[[#This Row],[Country]],Table78[Women''s 4x200m Freestyle Relay Classification],"&gt;0")</f>
        <v>0</v>
      </c>
      <c r="KG91" s="6">
        <f>COUNTIFS(Table78[Country],Tabela1[[#This Row],[Country]],Table78[Men''s 4x100m Medley Relay Classification],"&gt;0")</f>
        <v>0</v>
      </c>
      <c r="KH91" s="6">
        <f>COUNTIFS(Table78[Country],Tabela1[[#This Row],[Country]],Table78[Women''s 4x100m Medley Relay Classification],"&gt;0")</f>
        <v>0</v>
      </c>
      <c r="KI91" s="6">
        <f>COUNTIFS(Table78[Country],Tabela1[[#This Row],[Country]],Table78[Mixed 4x100m Medley Relay Classification],"&gt;0")</f>
        <v>0</v>
      </c>
      <c r="KJ91" s="6">
        <f>COUNTIFS(Table20[Country],Tabela1[[#This Row],[Country]],Table20[10km Open Water Classification],"&gt;0")</f>
        <v>0</v>
      </c>
      <c r="KK91" s="6">
        <f>COUNTIFS(Table21[Country],Tabela1[[#This Row],[Country]],Table21[10km Open Water Classification],"&gt;0")</f>
        <v>0</v>
      </c>
      <c r="KL91" s="6">
        <f>COUNTIFS(Table22[Country],Tabela1[[#This Row],[Country]],Table22[Classification],"&gt;0")</f>
        <v>0</v>
      </c>
      <c r="KM91" s="6">
        <f>COUNTIFS(Table30[Country],Tabela1[[#This Row],[Country]],Table30[Classification],"&gt;0")</f>
        <v>0</v>
      </c>
      <c r="KN91" s="6">
        <f>COUNTIFS(Table55[Country],Tabela1[[#This Row],[Country]],Table55[Men''s Classification],"&gt;0")</f>
        <v>0</v>
      </c>
      <c r="KO91" s="6">
        <f>COUNTIFS(Table55[Country],Tabela1[[#This Row],[Country]],Table55[Women''s Classification],"&gt;0")</f>
        <v>0</v>
      </c>
      <c r="KP91" s="6">
        <f>COUNTIFS(Table56[Country],Tabela1[[#This Row],[Country]],Table56[Mixed Classification],"&gt;0")</f>
        <v>0</v>
      </c>
      <c r="KQ91" s="6">
        <f>COUNTIFS(Table29[Country],Tabela1[[#This Row],[Country]],Table29[58kg Classification],"&gt;0")</f>
        <v>0</v>
      </c>
      <c r="KR91" s="6">
        <f>COUNTIFS(Table29[Country],Tabela1[[#This Row],[Country]],Table29[68kg Classification],"&gt;0")</f>
        <v>0</v>
      </c>
      <c r="KS91" s="6">
        <f>COUNTIFS(Table29[Country],Tabela1[[#This Row],[Country]],Table29[80kg Classification],"&gt;0")</f>
        <v>0</v>
      </c>
      <c r="KT91" s="6">
        <f>COUNTIFS(Table29[Country],Tabela1[[#This Row],[Country]],Table29[Plus 80kg Classification],"&gt;0")</f>
        <v>0</v>
      </c>
      <c r="KU91" s="6">
        <f>COUNTIFS(Table34[Country],Tabela1[[#This Row],[Country]],Table34[49kg Classification],"&gt;0")</f>
        <v>0</v>
      </c>
      <c r="KV91" s="6">
        <f>COUNTIFS(Table34[Country],Tabela1[[#This Row],[Country]],Table34[57kg Classification],"&gt;0")</f>
        <v>0</v>
      </c>
      <c r="KW91" s="6">
        <f>COUNTIFS(Table34[Country],Tabela1[[#This Row],[Country]],Table34[67kg Classification],"&gt;0")</f>
        <v>0</v>
      </c>
      <c r="KX91" s="6">
        <f>COUNTIFS(Table34[Country],Tabela1[[#This Row],[Country]],Table34[Plus 67kg Classification],"&gt;0")</f>
        <v>0</v>
      </c>
      <c r="KY91" s="6">
        <f>COUNTIFS(Table57[Country],Tabela1[[#This Row],[Country]],Table57[Classification],"&gt;0")</f>
        <v>0</v>
      </c>
      <c r="KZ91" s="6">
        <f>COUNTIFS(Table58[Country],Tabela1[[#This Row],[Country]],Table58[Classification],"&gt;0")</f>
        <v>0</v>
      </c>
      <c r="LA91" s="6">
        <f>COUNTIFS(Table79[Country],Tabela1[[#This Row],[Country]],Table79[Men''s Classification],"&gt;0")</f>
        <v>0</v>
      </c>
      <c r="LB91" s="6">
        <f>COUNTIFS(Table79[Country],Tabela1[[#This Row],[Country]],Table79[Women''s Classification],"&gt;0")</f>
        <v>0</v>
      </c>
      <c r="LC91" s="6">
        <f>COUNTIFS(Table79[Country],Tabela1[[#This Row],[Country]],Table79[Mixed Classification],"&gt;0")</f>
        <v>0</v>
      </c>
      <c r="LD91" s="6">
        <f>COUNTIFS(Table65[Country],Tabela1[[#This Row],[Country]],Table65[Classification],"&gt;0")</f>
        <v>0</v>
      </c>
      <c r="LE91" s="6">
        <f>COUNTIFS(Table59[Country],Tabela1[[#This Row],[Country]],Table59[Classification],"&gt;0")</f>
        <v>0</v>
      </c>
      <c r="LF91" s="6">
        <f>COUNTIFS(Table87[Country],Tabela1[[#This Row],[Country]],Table87[Mixed Relay Classification],"&gt;0")</f>
        <v>0</v>
      </c>
      <c r="LG91" s="6">
        <f>COUNTIFS(Table91949698100[Country],Tabela1[[#This Row],[Country]],Table91949698100[Men''s Classification],"&gt;0")</f>
        <v>0</v>
      </c>
      <c r="LH91" s="6">
        <f>COUNTIFS(Table91949698100[Country],Tabela1[[#This Row],[Country]],Table91949698100[Women''s Classification],"&gt;0")</f>
        <v>0</v>
      </c>
      <c r="LI91" s="6">
        <f>COUNTIFS(Table91949698100102[Country],Tabela1[[#This Row],[Country]],Table91949698100102[Men''s Classification],"&gt;0")</f>
        <v>0</v>
      </c>
      <c r="LJ91" s="6">
        <f>COUNTIFS(Table91949698100102[Country],Tabela1[[#This Row],[Country]],Table91949698100102[Women''s Classification],"&gt;0")</f>
        <v>0</v>
      </c>
      <c r="LK91" s="6">
        <f>COUNTIFS(Table23[Country],Tabela1[[#This Row],[Country]],Table23[61kg Classification],"&gt;0")</f>
        <v>0</v>
      </c>
      <c r="LL91" s="6">
        <f>COUNTIFS(Table23[Country],Tabela1[[#This Row],[Country]],Table23[73kg Classification],"&gt;0")</f>
        <v>0</v>
      </c>
      <c r="LM91" s="6">
        <f>COUNTIFS(Table23[Country],Tabela1[[#This Row],[Country]],Table23[89kg Classification],"&gt;0")</f>
        <v>0</v>
      </c>
      <c r="LN91" s="6">
        <f>COUNTIFS(Table23[Country],Tabela1[[#This Row],[Country]],Table23[102kg Classification],"&gt;0")</f>
        <v>0</v>
      </c>
      <c r="LO91" s="6">
        <f>COUNTIFS(Table23[Country],Tabela1[[#This Row],[Country]],Table23[Plus 102kg Classification],"&gt;0")</f>
        <v>0</v>
      </c>
      <c r="LP91" s="6">
        <f>COUNTIFS(Table28[Country],Tabela1[[#This Row],[Country]],Table28[49kg Classification],"&gt;0")</f>
        <v>0</v>
      </c>
      <c r="LQ91" s="6">
        <f>COUNTIFS(Table28[Country],Tabela1[[#This Row],[Country]],Table28[59kg Classification],"&gt;0")</f>
        <v>0</v>
      </c>
      <c r="LR91" s="6">
        <f>COUNTIFS(Table28[Country],Tabela1[[#This Row],[Country]],Table28[71kg Classification],"&gt;0")</f>
        <v>0</v>
      </c>
      <c r="LS91" s="6">
        <f>COUNTIFS(Table28[Country],Tabela1[[#This Row],[Country]],Table28[81kg Classification],"&gt;0")</f>
        <v>0</v>
      </c>
      <c r="LT91" s="6">
        <f>COUNTIFS(Table28[Country],Tabela1[[#This Row],[Country]],Table28[Plus 81kg Classification],"&gt;0")</f>
        <v>0</v>
      </c>
      <c r="LU91" s="6">
        <f>COUNTIFS(Table24[Country],Tabela1[[#This Row],[Country]],Table24[Freestyle 57kg Classification],"&gt;0")</f>
        <v>0</v>
      </c>
      <c r="LV91" s="6">
        <f>COUNTIFS(Table24[Country],Tabela1[[#This Row],[Country]],Table24[Freestyle 65kg Classification],"&gt;0")</f>
        <v>0</v>
      </c>
      <c r="LW91" s="6">
        <f>COUNTIFS(Table24[Country],Tabela1[[#This Row],[Country]],Table24[Freestyle 74kg Classification],"&gt;0")</f>
        <v>0</v>
      </c>
      <c r="LX91" s="6">
        <f>COUNTIFS(Table24[Country],Tabela1[[#This Row],[Country]],Table24[Freestyle 86kg Classification],"&gt;0")</f>
        <v>0</v>
      </c>
      <c r="LY91" s="6">
        <f>COUNTIFS(Table24[Country],Tabela1[[#This Row],[Country]],Table24[Freestyle 97kg Classification],"&gt;0")</f>
        <v>0</v>
      </c>
      <c r="LZ91" s="6">
        <f>COUNTIFS(Table24[Country],Tabela1[[#This Row],[Country]],Table24[Freestyle 125kg Classification],"&gt;0")</f>
        <v>0</v>
      </c>
      <c r="MA91" s="6">
        <f>COUNTIFS(Table24[Country],Tabela1[[#This Row],[Country]],Table24[Greco-Roman 60kg Classification],"&gt;0")</f>
        <v>0</v>
      </c>
      <c r="MB91" s="6">
        <f>COUNTIFS(Table24[Country],Tabela1[[#This Row],[Country]],Table24[Greco-Roman 67kg Classification],"&gt;0")</f>
        <v>0</v>
      </c>
      <c r="MC91" s="6">
        <f>COUNTIFS(Table24[Country],Tabela1[[#This Row],[Country]],Table24[Greco-Roman 77kg Classification],"&gt;0")</f>
        <v>0</v>
      </c>
      <c r="MD91" s="6">
        <f>COUNTIFS(Table24[Country],Tabela1[[#This Row],[Country]],Table24[Greco-Roman 87kg Classification],"&gt;0")</f>
        <v>0</v>
      </c>
      <c r="ME91" s="6">
        <f>COUNTIFS(Table24[Country],Tabela1[[#This Row],[Country]],Table24[Greco-Roman 97kg Classification],"&gt;0")</f>
        <v>0</v>
      </c>
      <c r="MF91" s="6">
        <f>COUNTIFS(Table24[Country],Tabela1[[#This Row],[Country]],Table24[Greco-Roman 130kg Classification],"&gt;0")</f>
        <v>0</v>
      </c>
      <c r="MG91" s="6">
        <f>COUNTIFS(Table31[Country],Tabela1[[#This Row],[Country]],Table31[50kg Classification],"&gt;0")</f>
        <v>0</v>
      </c>
      <c r="MH91" s="6">
        <f>COUNTIFS(Table31[Country],Tabela1[[#This Row],[Country]],Table31[53kg Classification],"&gt;0")</f>
        <v>0</v>
      </c>
      <c r="MI91" s="6">
        <f>COUNTIFS(Table31[Country],Tabela1[[#This Row],[Country]],Table31[57kg Classification],"&gt;0")</f>
        <v>0</v>
      </c>
      <c r="MJ91" s="6">
        <f>COUNTIFS(Table31[Country],Tabela1[[#This Row],[Country]],Table31[62kg Classification],"&gt;0")</f>
        <v>0</v>
      </c>
      <c r="MK91" s="6">
        <f>COUNTIFS(Table31[Country],Tabela1[[#This Row],[Country]],Table31[68kg Classification],"&gt;0")</f>
        <v>0</v>
      </c>
      <c r="ML91" s="6">
        <f>COUNTIFS(Table31[Country],Tabela1[[#This Row],[Country]],Table31[76kg Classification],"&gt;0")</f>
        <v>0</v>
      </c>
      <c r="MM91" s="6">
        <f>COUNTIFS(Table102[Country],Tabela1[[#This Row],[Country]],Table102[Downhill Classification],"&gt;0")</f>
        <v>0</v>
      </c>
      <c r="MN91" s="6">
        <f>COUNTIFS(Table102105[Country],Tabela1[[#This Row],[Country]],Table102105[Downhill Classification],"&gt;0")</f>
        <v>0</v>
      </c>
      <c r="MO91" s="6">
        <f>COUNTIFS(Table102[Country],Tabela1[[#This Row],[Country]],Table102[Giant Slalom Classification],"&gt;0")</f>
        <v>1</v>
      </c>
      <c r="MP91" s="6">
        <f>COUNTIFS(Table102105[Country],Tabela1[[#This Row],[Country]],Table102105[Giant Slalom Classification],"&gt;0")</f>
        <v>0</v>
      </c>
      <c r="MQ91" s="6">
        <f>COUNTIFS(Table102[Country],Tabela1[[#This Row],[Country]],Table102[Slalom Classification],"&gt;0")</f>
        <v>1</v>
      </c>
      <c r="MR91" s="6">
        <f>COUNTIFS(Table102105[Country],Tabela1[[#This Row],[Country]],Table102105[Slalom Classification],"&gt;0")</f>
        <v>0</v>
      </c>
      <c r="MS91" s="6">
        <f>COUNTIFS(Table102[Country],Tabela1[[#This Row],[Country]],Table102[Super-G Classification],"&gt;0")</f>
        <v>0</v>
      </c>
      <c r="MT91" s="6">
        <f>COUNTIFS(Table102105[Country],Tabela1[[#This Row],[Country]],Table102105[Super-G Classification],"&gt;0")</f>
        <v>0</v>
      </c>
      <c r="MU91" s="6">
        <f>COUNTIFS(Table105[Country],Tabela1[[#This Row],[Country]],Table105[Men''s Combined Classification],"&gt;0")</f>
        <v>0</v>
      </c>
      <c r="MV91" s="6">
        <f>COUNTIFS(Table105[Country],Tabela1[[#This Row],[Country]],Table105[Women''s Combined Classification],"&gt;0")</f>
        <v>0</v>
      </c>
      <c r="MW91" s="6">
        <f>COUNTIFS(Table106[Country],Tabela1[[#This Row],[Country]],Table106[Individual Classification],"&gt;0")</f>
        <v>0</v>
      </c>
      <c r="MX91" s="6">
        <f>COUNTIFS(Table106109[Country],Tabela1[[#This Row],[Country]],Table106109[Individual Classification],"&gt;0")</f>
        <v>0</v>
      </c>
      <c r="MY91" s="6">
        <f>COUNTIFS(Table106[Country],Tabela1[[#This Row],[Country]],Table106[Mass Start Classification],"&gt;0")</f>
        <v>0</v>
      </c>
      <c r="MZ91" s="6">
        <f>COUNTIFS(Table106109[Country],Tabela1[[#This Row],[Country]],Table106109[Mass Start Classification],"&gt;0")</f>
        <v>0</v>
      </c>
      <c r="NA91" s="6">
        <f>COUNTIFS(Table106[Country],Tabela1[[#This Row],[Country]],Table106[Pursuit Classification],"&gt;0")</f>
        <v>0</v>
      </c>
      <c r="NB91" s="6">
        <f>COUNTIFS(Table106109[Country],Tabela1[[#This Row],[Country]],Table106109[Pursuit Classification],"&gt;0")</f>
        <v>0</v>
      </c>
      <c r="NC91" s="6">
        <f>COUNTIFS(Table106[Country],Tabela1[[#This Row],[Country]],Table106[Sprint Classification],"&gt;0")</f>
        <v>0</v>
      </c>
      <c r="ND91" s="6">
        <f>COUNTIFS(Table106109[Country],Tabela1[[#This Row],[Country]],Table106109[Sprint Classification],"&gt;0")</f>
        <v>0</v>
      </c>
      <c r="NE91" s="6">
        <f>COUNTIFS(Table109[Country],Tabela1[[#This Row],[Country]],Table109[Men''s Relay Classification],"&gt;0")</f>
        <v>0</v>
      </c>
      <c r="NF91" s="6">
        <f>COUNTIFS(Table109[Country],Tabela1[[#This Row],[Country]],Table109[Women''s Relay Classification],"&gt;0")</f>
        <v>0</v>
      </c>
      <c r="NG91" s="6">
        <f>COUNTIFS(Table109[Country],Tabela1[[#This Row],[Country]],Table109[Mixed Relay Classification],"&gt;0")</f>
        <v>0</v>
      </c>
      <c r="NH91" s="6">
        <f>COUNTIFS(Table110[Country],Tabela1[[#This Row],[Country]],Table110[Monobob Classification],"&gt;0")</f>
        <v>0</v>
      </c>
      <c r="NI91" s="6">
        <f>COUNTIFS(Table111[Country],Tabela1[[#This Row],[Country]],Table111[Men''s Classification],"&gt;0")</f>
        <v>0</v>
      </c>
      <c r="NJ91" s="6">
        <f>COUNTIFS(Table111[Country],Tabela1[[#This Row],[Country]],Table111[Women''s Classification],"&gt;0")</f>
        <v>0</v>
      </c>
      <c r="NK91" s="6">
        <f>COUNTIFS(Table112[Country],Tabela1[[#This Row],[Country]],Table112[Men''s Four Classification],"&gt;0")</f>
        <v>0</v>
      </c>
      <c r="NL91" s="6">
        <f>COUNTIFS(Table113[Country],Tabela1[[#This Row],[Country]],Table113[Classical Classification],"&gt;0")</f>
        <v>0</v>
      </c>
      <c r="NM91" s="6">
        <f>COUNTIFS(Table113116[Country],Tabela1[[#This Row],[Country]],Table113116[Classical Classification],"&gt;0")</f>
        <v>0</v>
      </c>
      <c r="NN91" s="6">
        <f>COUNTIFS(Table113[Country],Tabela1[[#This Row],[Country]],Table113[Freestyle Classification],"&gt;0")</f>
        <v>0</v>
      </c>
      <c r="NO91" s="6">
        <f>COUNTIFS(Table113116[Country],Tabela1[[#This Row],[Country]],Table113116[Freestyle Classification],"&gt;0")</f>
        <v>0</v>
      </c>
      <c r="NP91" s="6">
        <f>COUNTIFS(Table117[Country],Tabela1[[#This Row],[Country]],Table117[Men''s Relay Classification],"&gt;0")</f>
        <v>0</v>
      </c>
      <c r="NQ91" s="6">
        <f>COUNTIFS(Table117[Country],Tabela1[[#This Row],[Country]],Table117[Women''s Relay Classification],"&gt;0")</f>
        <v>0</v>
      </c>
      <c r="NR91" s="6">
        <f>COUNTIFS(Table113[Country],Tabela1[[#This Row],[Country]],Table113[Skiathlon Classification],"&gt;0")</f>
        <v>0</v>
      </c>
      <c r="NS91" s="6">
        <f>COUNTIFS(Table113116[Country],Tabela1[[#This Row],[Country]],Table113116[Skiathlon Classification],"&gt;0")</f>
        <v>0</v>
      </c>
      <c r="NT91" s="6">
        <f>COUNTIFS(Table113[Country],Tabela1[[#This Row],[Country]],Table113[Sprint Classification],"&gt;0")</f>
        <v>0</v>
      </c>
      <c r="NU91" s="6">
        <f>COUNTIFS(Table113116[Country],Tabela1[[#This Row],[Country]],Table113116[Sprint Classification],"&gt;0")</f>
        <v>0</v>
      </c>
      <c r="NV91" s="6">
        <f>COUNTIFS(Table116[Country],Tabela1[[#This Row],[Country]],Table116[Men''s Team Sprint Classification],"&gt;0")</f>
        <v>0</v>
      </c>
      <c r="NW91" s="6">
        <f>COUNTIFS(Table116[Country],Tabela1[[#This Row],[Country]],Table116[Women''s Team Sprint Classification],"&gt;0")</f>
        <v>0</v>
      </c>
      <c r="NX91" s="6">
        <f>COUNTIFS(Table119[Country],Tabela1[[#This Row],[Country]],Table119[Men''s Classification],"&gt;0")</f>
        <v>0</v>
      </c>
      <c r="NY91" s="6">
        <f>COUNTIFS(Table119[Country],Tabela1[[#This Row],[Country]],Table119[Women''s Classification],"&gt;0")</f>
        <v>0</v>
      </c>
      <c r="NZ91" s="6">
        <f>COUNTIFS(Table118[Country],Tabela1[[#This Row],[Country]],Table118[Mixed Classification],"&gt;0")</f>
        <v>0</v>
      </c>
      <c r="OA91" s="6">
        <f>COUNTIFS(Table120[Country],Tabela1[[#This Row],[Country]],Table120[Classification],"&gt;0")</f>
        <v>0</v>
      </c>
      <c r="OB91" s="6">
        <f>COUNTIFS(Table120123[Country],Tabela1[[#This Row],[Country]],Table120123[Classification],"&gt;0")</f>
        <v>0</v>
      </c>
      <c r="OC91" s="6">
        <f>COUNTIFS(Table123[Country],Tabela1[[#This Row],[Country]],Table123[Ice Dance Classification],"&gt;0")</f>
        <v>0</v>
      </c>
      <c r="OD91" s="6">
        <f>COUNTIFS(Table123[Country],Tabela1[[#This Row],[Country]],Table123[Pair Skating Classification],"&gt;0")</f>
        <v>0</v>
      </c>
      <c r="OE91" s="6">
        <f>COUNTIFS(Table124[Country],Tabela1[[#This Row],[Country]],Table124[Mixed Classification],"&gt;0")</f>
        <v>0</v>
      </c>
      <c r="OF91" s="6">
        <f>COUNTIFS(Table125[Country],Tabela1[[#This Row],[Country]],Table125[Aerials Classification],"&gt;0")</f>
        <v>0</v>
      </c>
      <c r="OG91" s="6">
        <f>COUNTIFS(Table125128[Country],Tabela1[[#This Row],[Country]],Table125128[Aerials Classification],"&gt;0")</f>
        <v>0</v>
      </c>
      <c r="OH91" s="6">
        <f>COUNTIFS(Table128[Country],Tabela1[[#This Row],[Country]],Table128[Mixed Aerials Classification],"&gt;0")</f>
        <v>0</v>
      </c>
      <c r="OI91" s="6">
        <f>COUNTIFS(Table125[Country],Tabela1[[#This Row],[Country]],Table125[Big Air Classification],"&gt;0")</f>
        <v>0</v>
      </c>
      <c r="OJ91" s="6">
        <f>COUNTIFS(Table125128[Country],Tabela1[[#This Row],[Country]],Table125128[Big Air Classification],"&gt;0")</f>
        <v>0</v>
      </c>
      <c r="OK91" s="6">
        <f>COUNTIFS(Table125[Country],Tabela1[[#This Row],[Country]],Table125[Dual Moguls Classification],"&gt;0")</f>
        <v>0</v>
      </c>
      <c r="OL91" s="6">
        <f>COUNTIFS(Table125128[Country],Tabela1[[#This Row],[Country]],Table125128[Dual Moguls Classification],"&gt;0")</f>
        <v>0</v>
      </c>
      <c r="OM91" s="6">
        <f>COUNTIFS(Table125[Country],Tabela1[[#This Row],[Country]],Table125[Halfpipe Classification],"&gt;0")</f>
        <v>0</v>
      </c>
      <c r="ON91" s="6">
        <f>COUNTIFS(Table125128[Country],Tabela1[[#This Row],[Country]],Table125128[Halfpipe Classification],"&gt;0")</f>
        <v>0</v>
      </c>
      <c r="OO91" s="6">
        <f>COUNTIFS(Table125[Country],Tabela1[[#This Row],[Country]],Table125[Moguls Classification],"&gt;0")</f>
        <v>0</v>
      </c>
      <c r="OP91" s="6">
        <f>COUNTIFS(Table125128[Country],Tabela1[[#This Row],[Country]],Table125128[Moguls Classification],"&gt;0")</f>
        <v>0</v>
      </c>
      <c r="OQ91" s="6">
        <f>COUNTIFS(Table125[Country],Tabela1[[#This Row],[Country]],Table125[Ski Cross Classification],"&gt;0")</f>
        <v>0</v>
      </c>
      <c r="OR91" s="6">
        <f>COUNTIFS(Table125128[Country],Tabela1[[#This Row],[Country]],Table125128[Ski Cross Classification],"&gt;0")</f>
        <v>0</v>
      </c>
      <c r="OS91" s="6">
        <f>COUNTIFS(Table125[Country],Tabela1[[#This Row],[Country]],Table125[Slopestyle Classification],"&gt;0")</f>
        <v>0</v>
      </c>
      <c r="OT91" s="6">
        <f>COUNTIFS(Table125128[Country],Tabela1[[#This Row],[Country]],Table125128[Slopestyle Classification],"&gt;0")</f>
        <v>0</v>
      </c>
      <c r="OU91" s="6">
        <f>COUNTIFS(Table119131[Country],Tabela1[[#This Row],[Country]],Table119131[Men''s Classification],"&gt;0")</f>
        <v>0</v>
      </c>
      <c r="OV91" s="6">
        <f>COUNTIFS(Table119131[Country],Tabela1[[#This Row],[Country]],Table119131[Women''s Classification],"&gt;0")</f>
        <v>0</v>
      </c>
      <c r="OW91" s="6">
        <f>COUNTIFS(Table131[Country],Tabela1[[#This Row],[Country]],Table131[Classification],"&gt;0")</f>
        <v>0</v>
      </c>
      <c r="OX91" s="6">
        <f>COUNTIFS(Table131134[Country],Tabela1[[#This Row],[Country]],Table131134[Classification],"&gt;0")</f>
        <v>0</v>
      </c>
      <c r="OY91" s="6">
        <f>COUNTIFS(Table134[Country],Tabela1[[#This Row],[Country]],Table134[Men''s Classification],"&gt;0")</f>
        <v>0</v>
      </c>
      <c r="OZ91" s="6">
        <f>COUNTIFS(Table134[Country],Tabela1[[#This Row],[Country]],Table134[Women''s Classification],"&gt;0")</f>
        <v>0</v>
      </c>
      <c r="PA91" s="6">
        <f>COUNTIFS(Table135[Country],Tabela1[[#This Row],[Country]],Table135[Mixed Relay Classification],"&gt;0")</f>
        <v>0</v>
      </c>
      <c r="PB91" s="6">
        <f>COUNTIFS(Table136[Country],Tabela1[[#This Row],[Country]],Table136[Individual Classification],"&gt;0")</f>
        <v>0</v>
      </c>
      <c r="PC91" s="6">
        <f>COUNTIFS(Table136[Country],Tabela1[[#This Row],[Country]],Table136[Sprint Classification],"&gt;0")</f>
        <v>0</v>
      </c>
      <c r="PD91" s="6">
        <f>COUNTIFS(Table137[Country],Tabela1[[#This Row],[Country]],Table137[Men''s Team Sprint Large Hill Classification],"&gt;0")</f>
        <v>0</v>
      </c>
      <c r="PE91" s="6">
        <f>COUNTIFS(Table138[Country],Tabela1[[#This Row],[Country]],Table138[500m Classification],"&gt;0")</f>
        <v>0</v>
      </c>
      <c r="PF91" s="6">
        <f>COUNTIFS(Table138141[Country],Tabela1[[#This Row],[Country]],Table138141[500m Classification],"&gt;0")</f>
        <v>0</v>
      </c>
      <c r="PG91" s="6">
        <f>COUNTIFS(Table138[Country],Tabela1[[#This Row],[Country]],Table138[1000m Classification],"&gt;0")</f>
        <v>0</v>
      </c>
      <c r="PH91" s="6">
        <f>COUNTIFS(Table138141[Country],Tabela1[[#This Row],[Country]],Table138141[1000m Classification],"&gt;0")</f>
        <v>0</v>
      </c>
      <c r="PI91" s="6">
        <f>COUNTIFS(Table138[Country],Tabela1[[#This Row],[Country]],Table138[1500m Classification],"&gt;0")</f>
        <v>0</v>
      </c>
      <c r="PJ91" s="6">
        <f>COUNTIFS(Table138141[Country],Tabela1[[#This Row],[Country]],Table138141[1500m Classification],"&gt;0")</f>
        <v>0</v>
      </c>
      <c r="PK91" s="6">
        <f>COUNTIFS(Table141[Country],Tabela1[[#This Row],[Country]],Table141[Men''s 5000m Relay Classification],"&gt;0")</f>
        <v>0</v>
      </c>
      <c r="PL91" s="6">
        <f>COUNTIFS(Table141[Country],Tabela1[[#This Row],[Country]],Table141[Women''s 3000m Relay Classification],"&gt;0")</f>
        <v>0</v>
      </c>
      <c r="PM91" s="6">
        <f>COUNTIFS(Table141[Country],Tabela1[[#This Row],[Country]],Table141[Mixed 2000m Relay Classification],"&gt;0")</f>
        <v>0</v>
      </c>
      <c r="PN91" s="6">
        <f>COUNTIFS(Table142[Country],Tabela1[[#This Row],[Country]],Table142[Classification],"&gt;0")</f>
        <v>0</v>
      </c>
      <c r="PO91" s="6">
        <f>COUNTIFS(Table142145[Country],Tabela1[[#This Row],[Country]],Table142145[Classification],"&gt;0")</f>
        <v>0</v>
      </c>
      <c r="PP91" s="6">
        <f>COUNTIFS(Tabela15[Country],Tabela1[[#This Row],[Country]],Tabela15[Mixed Team Classification],"&gt;0")</f>
        <v>0</v>
      </c>
      <c r="PQ91" s="6">
        <f>COUNTIFS(Table145[Country],Tabela1[[#This Row],[Country]],Table145[Large Hill Classification],"&gt;0")</f>
        <v>0</v>
      </c>
      <c r="PR91" s="6">
        <f>COUNTIFS(Table145[Country],Tabela1[[#This Row],[Country]],Table145[Normal Hill Classification],"&gt;0")</f>
        <v>0</v>
      </c>
      <c r="PS91" s="6">
        <f>COUNTIFS(Table145148[Country],Tabela1[[#This Row],[Country]],Table145148[Large Hill Classification],"&gt;0")</f>
        <v>0</v>
      </c>
      <c r="PT91" s="6">
        <f>COUNTIFS(Table145148[Country],Tabela1[[#This Row],[Country]],Table145148[Normal Hill Classification],"&gt;0")</f>
        <v>0</v>
      </c>
      <c r="PU91" s="6">
        <f>COUNTIFS(Table148[Country],Tabela1[[#This Row],[Country]],Table148[Men''s Super Team Classification],"&gt;0")</f>
        <v>0</v>
      </c>
      <c r="PV91" s="6">
        <f>COUNTIFS(Tabela114[Country],Tabela1[[#This Row],[Country]],Tabela114[Mixed Normal Hill Classification],"&gt;0")</f>
        <v>0</v>
      </c>
      <c r="PW91" s="6">
        <f>COUNTIFS(Tabela50[Country],Tabela1[[#This Row],[Country]],Tabela50[Sprint Classification],"&gt;0")</f>
        <v>0</v>
      </c>
      <c r="PX91" s="6">
        <f>COUNTIFS(Tabela50101[Country],Tabela1[[#This Row],[Country]],Tabela50101[Sprint Classification],"&gt;0")</f>
        <v>0</v>
      </c>
      <c r="PY91" s="6">
        <f>COUNTIFS(Tabela103[Country],Tabela1[[#This Row],[Country]],Tabela103[Mixed Relay Classification],"&gt;0")</f>
        <v>0</v>
      </c>
      <c r="PZ91" s="6">
        <f>COUNTIFS(Table149[Country],Tabela1[[#This Row],[Country]],Table149[Big Air Classification],"&gt;0")</f>
        <v>0</v>
      </c>
      <c r="QA91" s="6">
        <f>COUNTIFS(Table149152[Country],Tabela1[[#This Row],[Country]],Table149152[Big Air Classification],"&gt;0")</f>
        <v>0</v>
      </c>
      <c r="QB91" s="6">
        <f>COUNTIFS(Table149[Country],Tabela1[[#This Row],[Country]],Table149[Halfpipe Classification],"&gt;0")</f>
        <v>0</v>
      </c>
      <c r="QC91" s="6">
        <f>COUNTIFS(Table149152[Country],Tabela1[[#This Row],[Country]],Table149152[Halfpipe Classification],"&gt;0")</f>
        <v>0</v>
      </c>
      <c r="QD91" s="6">
        <f>COUNTIFS(Table149[Country],Tabela1[[#This Row],[Country]],Table149[Parallel Giant Slalom Classification],"&gt;0")</f>
        <v>0</v>
      </c>
      <c r="QE91" s="6">
        <f>COUNTIFS(Table149152[Country],Tabela1[[#This Row],[Country]],Table149152[Parallel Giant Slalom Classification],"&gt;0")</f>
        <v>0</v>
      </c>
      <c r="QF91" s="6">
        <f>COUNTIFS(Table149[Country],Tabela1[[#This Row],[Country]],Table149[Slopestyle Classification],"&gt;0")</f>
        <v>0</v>
      </c>
      <c r="QG91" s="6">
        <f>COUNTIFS(Table149152[Country],Tabela1[[#This Row],[Country]],Table149152[Slopestyle Classification],"&gt;0")</f>
        <v>0</v>
      </c>
      <c r="QH91" s="6">
        <f>COUNTIFS(Table149[Country],Tabela1[[#This Row],[Country]],Table149[Snowboard Cross Classification],"&gt;0")</f>
        <v>0</v>
      </c>
      <c r="QI91" s="6">
        <f>COUNTIFS(Table149152[Country],Tabela1[[#This Row],[Country]],Table149152[Snowboard Cross Classification],"&gt;0")</f>
        <v>0</v>
      </c>
      <c r="QJ91" s="6">
        <f>COUNTIFS(Table153[Country],Tabela1[[#This Row],[Country]],Table153[Mixed Team Snowboard Cross Classification],"&gt;0")</f>
        <v>0</v>
      </c>
      <c r="QK91" s="6">
        <f>COUNTIFS(Table154[Country],Tabela1[[#This Row],[Country]],Table154[500m Classification],"&gt;0")</f>
        <v>0</v>
      </c>
      <c r="QL91" s="6">
        <f>COUNTIFS(Table154157[Country],Tabela1[[#This Row],[Country]],Table154157[500m Classification],"&gt;0")</f>
        <v>0</v>
      </c>
      <c r="QM91" s="6">
        <f>COUNTIFS(Table154[Country],Tabela1[[#This Row],[Country]],Table154[1000m Classification],"&gt;0")</f>
        <v>0</v>
      </c>
      <c r="QN91" s="6">
        <f>COUNTIFS(Table154157[Country],Tabela1[[#This Row],[Country]],Table154157[1000m Classification],"&gt;0")</f>
        <v>0</v>
      </c>
      <c r="QO91" s="6">
        <f>COUNTIFS(Table154[Country],Tabela1[[#This Row],[Country]],Table154[1500m Classification],"&gt;0")</f>
        <v>0</v>
      </c>
      <c r="QP91" s="6">
        <f>COUNTIFS(Table154157[Country],Tabela1[[#This Row],[Country]],Table154157[1500m Classification],"&gt;0")</f>
        <v>0</v>
      </c>
      <c r="QQ91" s="6">
        <f>COUNTIFS(Table154157[Country],Tabela1[[#This Row],[Country]],Table154157[3000m Classification],"&gt;0")</f>
        <v>0</v>
      </c>
      <c r="QR91" s="6">
        <f>COUNTIFS(Table154[Country],Tabela1[[#This Row],[Country]],Table154[5000m Classification],"&gt;0")</f>
        <v>0</v>
      </c>
      <c r="QS91" s="6">
        <f>COUNTIFS(Table154157[Country],Tabela1[[#This Row],[Country]],Table154157[5000m Classification],"&gt;0")</f>
        <v>0</v>
      </c>
      <c r="QT91" s="6">
        <f>COUNTIFS(Table154[Country],Tabela1[[#This Row],[Country]],Table154[10000m Classification],"&gt;0")</f>
        <v>0</v>
      </c>
      <c r="QU91" s="6">
        <f>COUNTIFS(Table154[Country],Tabela1[[#This Row],[Country]],Table154[Mass Start Classification],"&gt;0")</f>
        <v>0</v>
      </c>
      <c r="QV91" s="6">
        <f>COUNTIFS(Table154157[Country],Tabela1[[#This Row],[Country]],Table154157[Mass Start Classification],"&gt;0")</f>
        <v>0</v>
      </c>
      <c r="QW91" s="6">
        <f>COUNTIFS(Table157[Country],Tabela1[[#This Row],[Country]],Table157[Men''s Pursuit Classification],"&gt;0")</f>
        <v>0</v>
      </c>
      <c r="QX91" s="6">
        <f>COUNTIFS(Table157[Country],Tabela1[[#This Row],[Country]],Table157[Women''s Pursuit Classification],"&gt;0")</f>
        <v>0</v>
      </c>
      <c r="QY91" s="3" t="s">
        <v>481</v>
      </c>
    </row>
    <row r="92" spans="1:467" x14ac:dyDescent="0.3">
      <c r="A92" s="6">
        <v>91</v>
      </c>
      <c r="B92" s="6" t="s">
        <v>420</v>
      </c>
      <c r="C92" t="e" vm="91">
        <f>IF(ISBLANK(Tabela1[[#This Row],[Image Link]]), "", _xlfn.IMAGE(Tabela1[[#This Row],[Image Link]],1,1))</f>
        <v>#VALUE!</v>
      </c>
      <c r="D92" s="6">
        <f>SUM(Tabela1[[#This Row],[Archery - Men''s Individual Recurve]:[Speed Skating - Women''s Team Pursuit]])</f>
        <v>4</v>
      </c>
      <c r="E92" s="6">
        <f>COUNTIF(Tabela1[[#This Row],[Archery - Men''s Individual Recurve]:[Speed Skating - Women''s Team Pursuit]],"&gt;0")</f>
        <v>4</v>
      </c>
      <c r="F92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92" s="6">
        <f>SUM(Tabela1[[#This Row],[Archery - Men''s Individual Recurve]:[Wrestling - Women''s Freestyle 76kg]])</f>
        <v>4</v>
      </c>
      <c r="H92" s="6">
        <f>SUM(Tabela1[[#This Row],[Alpine Skiing - Men''s Downhill]:[Speed Skating - Women''s Team Pursuit]])</f>
        <v>0</v>
      </c>
      <c r="I92" s="6">
        <f>Tabela1[[#This Row],[Summer Gold Medals]]+Tabela1[[#This Row],[Winter Gold Medals]]</f>
        <v>0</v>
      </c>
      <c r="J92" s="6">
        <f>Tabela1[[#This Row],[Summer Silver Medals]]+Tabela1[[#This Row],[Winter Silver Medals]]</f>
        <v>1</v>
      </c>
      <c r="K92" s="6">
        <f>Tabela1[[#This Row],[Summer Bronze Medals]]+Tabela1[[#This Row],[Winter Bronze Medals]]</f>
        <v>0</v>
      </c>
      <c r="L92" s="6">
        <f>SUM(Tabela1[[#This Row],[Total Gold Medals]:[Total Bronze Medals]])</f>
        <v>1</v>
      </c>
      <c r="M92" s="6"/>
      <c r="N92" s="6">
        <v>1</v>
      </c>
      <c r="O92" s="6"/>
      <c r="P92" s="6">
        <f>SUM(Tabela1[[#This Row],[Summer Gold Medals]:[Summer Bronze Medals]])</f>
        <v>1</v>
      </c>
      <c r="Q92" s="6"/>
      <c r="R92" s="6"/>
      <c r="S92" s="6"/>
      <c r="T92" s="6">
        <f>Tabela1[[#This Row],[Winter Gold Medals]]+Tabela1[[#This Row],[Winter Silver Medals]]+Tabela1[[#This Row],[Winter Bronze Medals]]</f>
        <v>0</v>
      </c>
      <c r="U92" s="7">
        <f>Tabela1[[#This Row],[Total Medals]]/Tabela1[[#This Row],[Total Quotas]]</f>
        <v>0.25</v>
      </c>
      <c r="V92" s="6">
        <f>COUNTIFS(Table3[Country],Tabela1[[#This Row],[Country]],Table3[Recurve Classification],"&gt;0")</f>
        <v>0</v>
      </c>
      <c r="W92" s="6">
        <f>COUNTIFS(Table33[Country],Tabela1[[#This Row],[Country]],Table33[Recurve Classification],"&gt;0")</f>
        <v>0</v>
      </c>
      <c r="X92" s="6">
        <f>COUNTIFS(Table35[Country],Tabela1[[#This Row],[Country]],Table35[Men''s Team Recurve Classification],"&gt;0")</f>
        <v>0</v>
      </c>
      <c r="Y92" s="6">
        <f>COUNTIFS(Table35[Country],Tabela1[[#This Row],[Country]],Table35[Women''s Team Recurve Classification],"&gt;0")</f>
        <v>0</v>
      </c>
      <c r="Z92" s="6">
        <f>COUNTIFS(Tabela88[Country],Tabela1[[#This Row],[Country]],Tabela88[Mixed Team Recurve Classification],"&gt;0")</f>
        <v>0</v>
      </c>
      <c r="AA92" s="6">
        <f>COUNTIFS(Table36[Country],Tabela1[[#This Row],[Country]],Table36[Classification],"&gt;0")</f>
        <v>0</v>
      </c>
      <c r="AB92" s="6">
        <f>COUNTIFS(Table37[Country],Tabela1[[#This Row],[Country]],Table37[Classification],"&gt;0")</f>
        <v>0</v>
      </c>
      <c r="AC92" s="6">
        <f>COUNTIFS(Table4[Country],Tabela1[[#This Row],[Country]],Table4[100m Classification],"&gt;0")</f>
        <v>0</v>
      </c>
      <c r="AD92" s="6">
        <f>COUNTIFS(Table5[Country],Tabela1[[#This Row],[Country]],Table5[100m Classification],"&gt;0")</f>
        <v>0</v>
      </c>
      <c r="AE92" s="6">
        <f>COUNTIFS(Table4[Country],Tabela1[[#This Row],[Country]],Table4[200m Classification],"&gt;0")</f>
        <v>0</v>
      </c>
      <c r="AF92" s="6">
        <f>COUNTIFS(Table5[Country],Tabela1[[#This Row],[Country]],Table5[200m Classification],"&gt;0")</f>
        <v>0</v>
      </c>
      <c r="AG92" s="6">
        <f>COUNTIFS(Table4[Country],Tabela1[[#This Row],[Country]],Table4[400m Classification],"&gt;0")</f>
        <v>0</v>
      </c>
      <c r="AH92" s="6">
        <f>COUNTIFS(Table5[Country],Tabela1[[#This Row],[Country]],Table5[400m Classification],"&gt;0")</f>
        <v>0</v>
      </c>
      <c r="AI92" s="6">
        <f>COUNTIFS(Table4[Country],Tabela1[[#This Row],[Country]],Table4[800m Classification],"&gt;0")</f>
        <v>0</v>
      </c>
      <c r="AJ92" s="6">
        <f>COUNTIFS(Table5[Country],Tabela1[[#This Row],[Country]],Table5[800m Classification],"&gt;0")</f>
        <v>0</v>
      </c>
      <c r="AK92" s="6">
        <f>COUNTIFS(Table4[Country],Tabela1[[#This Row],[Country]],Table4[1500m Classification],"&gt;0")</f>
        <v>0</v>
      </c>
      <c r="AL92" s="6">
        <f>COUNTIFS(Table5[Country],Tabela1[[#This Row],[Country]],Table5[1500m Classification],"&gt;0")</f>
        <v>0</v>
      </c>
      <c r="AM92" s="6">
        <f>COUNTIFS(Table4[Country],Tabela1[[#This Row],[Country]],Table4[5000m Classification],"&gt;0")</f>
        <v>0</v>
      </c>
      <c r="AN92" s="6">
        <f>COUNTIFS(Table5[Country],Tabela1[[#This Row],[Country]],Table5[5000m Classification],"&gt;0")</f>
        <v>0</v>
      </c>
      <c r="AO92" s="6">
        <f>COUNTIFS(Table4[Country],Tabela1[[#This Row],[Country]],Table4[10000m Classification],"&gt;0")</f>
        <v>0</v>
      </c>
      <c r="AP92" s="6">
        <f>COUNTIFS(Table5[Country],Tabela1[[#This Row],[Country]],Table5[10000m Classification],"&gt;0")</f>
        <v>0</v>
      </c>
      <c r="AQ92" s="6">
        <f>COUNTIFS(Table4[Country],Tabela1[[#This Row],[Country]],Table4[110m Hurdles Classification],"&gt;0")</f>
        <v>0</v>
      </c>
      <c r="AR92" s="6">
        <f>COUNTIFS(Table5[Country],Tabela1[[#This Row],[Country]],Table5[100m Hurdles Classification],"&gt;0")</f>
        <v>0</v>
      </c>
      <c r="AS92" s="6">
        <f>COUNTIFS(Table4[Country],Tabela1[[#This Row],[Country]],Table4[400m Hurdles Classification],"&gt;0")</f>
        <v>0</v>
      </c>
      <c r="AT92" s="6">
        <f>COUNTIFS(Table5[Country],Tabela1[[#This Row],[Country]],Table5[400m Hurdles Classification],"&gt;0")</f>
        <v>0</v>
      </c>
      <c r="AU92" s="6">
        <f>COUNTIFS(Table4[Country],Tabela1[[#This Row],[Country]],Table4[3000m Steeplechase Classification],"&gt;0")</f>
        <v>0</v>
      </c>
      <c r="AV92" s="6">
        <f>COUNTIFS(Table5[Country],Tabela1[[#This Row],[Country]],Table5[3000m Steeplechase Classification],"&gt;0")</f>
        <v>0</v>
      </c>
      <c r="AW92" s="6">
        <f>COUNTIFS(Table27[Country],Tabela1[[#This Row],[Country]],Table27[Men''s 4x100m Relay Classification],"&gt;0")</f>
        <v>0</v>
      </c>
      <c r="AX92" s="6">
        <f>COUNTIFS(Table27[Country],Tabela1[[#This Row],[Country]],Table27[Women''s 4x100m Relay Classification],"&gt;0")</f>
        <v>0</v>
      </c>
      <c r="AY92" s="6">
        <f>COUNTIFS(Table27[Country],Tabela1[[#This Row],[Country]],Table27[Men''s 4x400m Relay Classification],"&gt;0")</f>
        <v>0</v>
      </c>
      <c r="AZ92" s="6">
        <f>COUNTIFS(Table27[Country],Tabela1[[#This Row],[Country]],Table27[Women''s 4x400m Relay Classification],"&gt;0")</f>
        <v>0</v>
      </c>
      <c r="BA92" s="6">
        <f>COUNTIFS(Table27[Country],Tabela1[[#This Row],[Country]],Table27[Mixed 4x400m Relay Classification],"&gt;0")</f>
        <v>0</v>
      </c>
      <c r="BB92" s="6">
        <f>COUNTIFS(Table4[Country],Tabela1[[#This Row],[Country]],Table4[Marathon Classification],"&gt;0")</f>
        <v>0</v>
      </c>
      <c r="BC92" s="6">
        <f>COUNTIFS(Table5[Country],Tabela1[[#This Row],[Country]],Table5[Marathon Classification],"&gt;0")</f>
        <v>0</v>
      </c>
      <c r="BD92" s="6">
        <f>COUNTIFS(Table4[Country],Tabela1[[#This Row],[Country]],Table4[20km Race Walk Classification],"&gt;0")</f>
        <v>0</v>
      </c>
      <c r="BE92" s="6">
        <f>COUNTIFS(Table5[Country],Tabela1[[#This Row],[Country]],Table5[20km Race Walk Classification],"&gt;0")</f>
        <v>0</v>
      </c>
      <c r="BF92" s="6">
        <f>COUNTIFS(Tabela96[Country],Tabela1[[#This Row],[Country]],Tabela96[Mixed Marathon Race Walk Relay Classification],"&gt;0")</f>
        <v>0</v>
      </c>
      <c r="BG92" s="6">
        <f>COUNTIFS(Table4[Country],Tabela1[[#This Row],[Country]],Table4[Discus Throw Classification],"&gt;0")</f>
        <v>0</v>
      </c>
      <c r="BH92" s="6">
        <f>COUNTIFS(Table5[Country],Tabela1[[#This Row],[Country]],Table5[Discus Throw Classification],"&gt;0")</f>
        <v>0</v>
      </c>
      <c r="BI92" s="6">
        <f>COUNTIFS(Table4[Country],Tabela1[[#This Row],[Country]],Table4[Hammer Throw Classification],"&gt;0")</f>
        <v>0</v>
      </c>
      <c r="BJ92" s="6">
        <f>COUNTIFS(Table5[Country],Tabela1[[#This Row],[Country]],Table5[Hammer Throw Classification],"&gt;0")</f>
        <v>0</v>
      </c>
      <c r="BK92" s="6">
        <f>COUNTIFS(Table4[Country],Tabela1[[#This Row],[Country]],Table4[High Jump Classification],"&gt;0")</f>
        <v>0</v>
      </c>
      <c r="BL92" s="6">
        <f>COUNTIFS(Table5[Country],Tabela1[[#This Row],[Country]],Table5[High Jump Classification],"&gt;0")</f>
        <v>0</v>
      </c>
      <c r="BM92" s="6">
        <f>COUNTIFS(Table4[Country],Tabela1[[#This Row],[Country]],Table4[Javelin Throw Classification],"&gt;0")</f>
        <v>0</v>
      </c>
      <c r="BN92" s="6">
        <f>COUNTIFS(Table5[Country],Tabela1[[#This Row],[Country]],Table5[Javelin Throw Classification],"&gt;0")</f>
        <v>0</v>
      </c>
      <c r="BO92" s="6">
        <f>COUNTIFS(Table4[Country],Tabela1[[#This Row],[Country]],Table4[Long Jump Classification],"&gt;0")</f>
        <v>0</v>
      </c>
      <c r="BP92" s="6">
        <f>COUNTIFS(Table5[Country],Tabela1[[#This Row],[Country]],Table5[Long Jump Classification],"&gt;0")</f>
        <v>0</v>
      </c>
      <c r="BQ92" s="6">
        <f>COUNTIFS(Table4[Country],Tabela1[[#This Row],[Country]],Table4[Pole Vault Classification],"&gt;0")</f>
        <v>0</v>
      </c>
      <c r="BR92" s="6">
        <f>COUNTIFS(Table5[Country],Tabela1[[#This Row],[Country]],Table5[Pole Vault Classification],"&gt;0")</f>
        <v>0</v>
      </c>
      <c r="BS92" s="6">
        <f>COUNTIFS(Table4[Country],Tabela1[[#This Row],[Country]],Table4[Shot Put Classification],"&gt;0")</f>
        <v>0</v>
      </c>
      <c r="BT92" s="6">
        <f>COUNTIFS(Table5[Country],Tabela1[[#This Row],[Country]],Table5[Shot Put Classification],"&gt;0")</f>
        <v>0</v>
      </c>
      <c r="BU92" s="6">
        <f>COUNTIFS(Table4[Country],Tabela1[[#This Row],[Country]],Table4[Triple Jump Classification],"&gt;0")</f>
        <v>0</v>
      </c>
      <c r="BV92" s="6">
        <f>COUNTIFS(Table5[Country],Tabela1[[#This Row],[Country]],Table5[Triple Jump Classification],"&gt;0")</f>
        <v>0</v>
      </c>
      <c r="BW92" s="6">
        <f>COUNTIFS(Table4[Country],Tabela1[[#This Row],[Country]],Table4[Decathlon Classification],"&gt;0")</f>
        <v>0</v>
      </c>
      <c r="BX92" s="6">
        <f>COUNTIFS(Table5[Country],Tabela1[[#This Row],[Country]],Table5[Heptathlon Classification],"&gt;0")</f>
        <v>0</v>
      </c>
      <c r="BY92" s="6">
        <f>COUNTIFS(Table61[Country],Tabela1[[#This Row],[Country]],Table61[Classification],"&gt;0")</f>
        <v>0</v>
      </c>
      <c r="BZ92" s="6">
        <f>COUNTIFS(Table38[Country],Tabela1[[#This Row],[Country]],Table38[Classification],"&gt;0")</f>
        <v>0</v>
      </c>
      <c r="CA92" s="6">
        <f>COUNTIFS(Table39[Country],Tabela1[[#This Row],[Country]],Table39[Men''s Classification],"&gt;0")</f>
        <v>0</v>
      </c>
      <c r="CB92" s="6">
        <f>COUNTIFS(Table39[Country],Tabela1[[#This Row],[Country]],Table39[Women''s Classification],"&gt;0")</f>
        <v>0</v>
      </c>
      <c r="CC92" s="6">
        <f>COUNTIFS(Table39[Country],Tabela1[[#This Row],[Country]],Table39[Mixed Classification],"&gt;0")</f>
        <v>0</v>
      </c>
      <c r="CD92" s="6">
        <f>COUNTIFS(Table89[Country],Tabela1[[#This Row],[Country]],Table89[Men''s Classification],"&gt;0")</f>
        <v>0</v>
      </c>
      <c r="CE92" s="6">
        <f>COUNTIFS(Table89[Country],Tabela1[[#This Row],[Country]],Table89[Women''s Classification],"&gt;0")</f>
        <v>0</v>
      </c>
      <c r="CF92" s="6">
        <f>COUNTIFS(Table90[Country],Tabela1[[#This Row],[Country]],Table90[Men''s Classification],"&gt;0")</f>
        <v>0</v>
      </c>
      <c r="CG92" s="6">
        <f>COUNTIFS(Table90[Country],Tabela1[[#This Row],[Country]],Table90[Women''s Classification],"&gt;0")</f>
        <v>0</v>
      </c>
      <c r="CH92" s="6">
        <f>COUNTIFS(Table60[Country],Tabela1[[#This Row],[Country]],Table60[Men''s Classification],"&gt;0")</f>
        <v>0</v>
      </c>
      <c r="CI92" s="6">
        <f>COUNTIFS(Table60[Country],Tabela1[[#This Row],[Country]],Table60[Women''s Classification],"&gt;0")</f>
        <v>0</v>
      </c>
      <c r="CJ92" s="6">
        <f>COUNTIFS(Table6[Country],Tabela1[[#This Row],[Country]],Table6[51kg Classification],"&gt;0")</f>
        <v>0</v>
      </c>
      <c r="CK92" s="6">
        <f>COUNTIFS(Table6[Country],Tabela1[[#This Row],[Country]],Table6[57kg Classification],"&gt;0")</f>
        <v>0</v>
      </c>
      <c r="CL92" s="6">
        <f>COUNTIFS(Table6[Country],Tabela1[[#This Row],[Country]],Table6[63.5kg Classification],"&gt;0")</f>
        <v>0</v>
      </c>
      <c r="CM92" s="6">
        <f>COUNTIFS(Table6[Country],Tabela1[[#This Row],[Country]],Table6[71kg Classification],"&gt;0")</f>
        <v>0</v>
      </c>
      <c r="CN92" s="6">
        <f>COUNTIFS(Table6[Country],Tabela1[[#This Row],[Country]],Table6[80kg Classification],"&gt;0")</f>
        <v>0</v>
      </c>
      <c r="CO92" s="6">
        <f>COUNTIFS(Table6[Country],Tabela1[[#This Row],[Country]],Table6[92kg Classification],"&gt;0")</f>
        <v>0</v>
      </c>
      <c r="CP92" s="6">
        <f>COUNTIFS(Table6[Country],Tabela1[[#This Row],[Country]],Table6[Plus 92kg Classification],"&gt;0")</f>
        <v>0</v>
      </c>
      <c r="CQ92" s="6">
        <f>COUNTIFS(Table7[Country],Tabela1[[#This Row],[Country]],Table7[50kg Classification],"&gt;0")</f>
        <v>0</v>
      </c>
      <c r="CR92" s="6">
        <f>COUNTIFS(Table7[Country],Tabela1[[#This Row],[Country]],Table7[54kg Classification],"&gt;0")</f>
        <v>0</v>
      </c>
      <c r="CS92" s="6">
        <f>COUNTIFS(Table7[Country],Tabela1[[#This Row],[Country]],Table7[57kg Classification],"&gt;0")</f>
        <v>0</v>
      </c>
      <c r="CT92" s="6">
        <f>COUNTIFS(Table7[Country],Tabela1[[#This Row],[Country]],Table7[60kg Classification],"&gt;0")</f>
        <v>0</v>
      </c>
      <c r="CU92" s="6">
        <f>COUNTIFS(Table7[Country],Tabela1[[#This Row],[Country]],Table7[66kg Classification],"&gt;0")</f>
        <v>0</v>
      </c>
      <c r="CV92" s="6">
        <f>COUNTIFS(Table7[Country],Tabela1[[#This Row],[Country]],Table7[75kg Classification],"&gt;0")</f>
        <v>0</v>
      </c>
      <c r="CW92" s="6">
        <f>COUNTIFS(Tabela94[Country],Tabela1[[#This Row],[Country]],Tabela94[Classification],"&gt;0")</f>
        <v>0</v>
      </c>
      <c r="CX92" s="6">
        <f>COUNTIFS(Tabela9499[Country],Tabela1[[#This Row],[Country]],Tabela9499[Classification],"&gt;0")</f>
        <v>0</v>
      </c>
      <c r="CY92" s="6">
        <f>COUNTIFS(Tabela107[Country],Tabela1[[#This Row],[Country]],Tabela107[C1 Slalom Classification],"&gt;0")</f>
        <v>0</v>
      </c>
      <c r="CZ92" s="6">
        <f>COUNTIFS(Tabela107122[Country],Tabela1[[#This Row],[Country]],Tabela107122[C1 Slalom Classification],"&gt;0")</f>
        <v>0</v>
      </c>
      <c r="DA92" s="6">
        <f>COUNTIFS(Tabela107[Country],Tabela1[[#This Row],[Country]],Tabela107[K1 Slalom Classification],"&gt;0")</f>
        <v>0</v>
      </c>
      <c r="DB92" s="6">
        <f>COUNTIFS(Tabela107122[Country],Tabela1[[#This Row],[Country]],Tabela107122[K1 Slalom Classification],"&gt;0")</f>
        <v>0</v>
      </c>
      <c r="DC92" s="6">
        <f>COUNTIFS(Tabela107[Country],Tabela1[[#This Row],[Country]],Tabela107[Kayak Cross Slalom Classification],"&gt;0")</f>
        <v>0</v>
      </c>
      <c r="DD92" s="6">
        <f>COUNTIFS(Tabela107122[Country],Tabela1[[#This Row],[Country]],Tabela107122[Kayak Cross Slalom Classification],"&gt;0")</f>
        <v>0</v>
      </c>
      <c r="DE92" s="6">
        <f>COUNTIFS(Table8[Country],Tabela1[[#This Row],[Country]],Table8[C1 200m Classification],"&gt;0")</f>
        <v>0</v>
      </c>
      <c r="DF92" s="6">
        <f>COUNTIFS(Table40[Country],Tabela1[[#This Row],[Country]],Table40[C1 1000m Classification],"&gt;0")</f>
        <v>0</v>
      </c>
      <c r="DG92" s="6">
        <f>COUNTIFS(Table68[Country],Tabela1[[#This Row],[Country]],Table68[Men''s C2 500m Classification],"&gt;0")</f>
        <v>0</v>
      </c>
      <c r="DH92" s="6">
        <f>COUNTIFS(Table68[Country],Tabela1[[#This Row],[Country]],Table68[Women''s C2 500m Classification],"&gt;0")</f>
        <v>0</v>
      </c>
      <c r="DI92" s="6">
        <f>COUNTIFS(Table8[Country],Tabela1[[#This Row],[Country]],Table8[K1 500m Classification],"&gt;0")</f>
        <v>0</v>
      </c>
      <c r="DJ92" s="6">
        <f>COUNTIFS(Table40[Country],Tabela1[[#This Row],[Country]],Table40[K1 1000m Classification],"&gt;0")</f>
        <v>0</v>
      </c>
      <c r="DK92" s="6">
        <f>COUNTIFS(Table68[Country],Tabela1[[#This Row],[Country]],Table68[Men''s K2 500m Classification],"&gt;0")</f>
        <v>0</v>
      </c>
      <c r="DL92" s="6">
        <f>COUNTIFS(Table68[Country],Tabela1[[#This Row],[Country]],Table68[Women''s K2 500m Classification],"&gt;0")</f>
        <v>0</v>
      </c>
      <c r="DM92" s="6">
        <f>COUNTIFS(Table83[Country],Tabela1[[#This Row],[Country]],Table83[Men''s K4 500m Classification],"&gt;0")</f>
        <v>0</v>
      </c>
      <c r="DN92" s="6">
        <f>COUNTIFS(Table83[Country],Tabela1[[#This Row],[Country]],Table83[Women''s K4 500m Classification],"&gt;0")</f>
        <v>0</v>
      </c>
      <c r="DO92" s="6">
        <f>COUNTIFS(Tabela126[Country],Tabela1[[#This Row],[Country]],Tabela126[Classification],"&gt;0")</f>
        <v>0</v>
      </c>
      <c r="DP92" s="6">
        <f>COUNTIFS(Tabela126130[Country],Tabela1[[#This Row],[Country]],Tabela126130[Classification],"&gt;0")</f>
        <v>0</v>
      </c>
      <c r="DQ92" s="6">
        <f>COUNTIFS(Table70[Country],Tabela1[[#This Row],[Country]],Table70[Classification],"&gt;0")</f>
        <v>0</v>
      </c>
      <c r="DR92" s="6">
        <f>COUNTIFS(Table80[Country],Tabela1[[#This Row],[Country]],Table80[Classification],"&gt;0")</f>
        <v>0</v>
      </c>
      <c r="DS92" s="6">
        <f>COUNTIFS(Table66[Country],Tabela1[[#This Row],[Country]],Table66[Classification],"&gt;0")</f>
        <v>0</v>
      </c>
      <c r="DT92" s="6">
        <f>COUNTIFS(Table67[Country],Tabela1[[#This Row],[Country]],Table67[Classification],"&gt;0")</f>
        <v>0</v>
      </c>
      <c r="DU92" s="6">
        <f>COUNTIFS(Table69[Country],Tabela1[[#This Row],[Country]],Table69[Keirin Classification],"&gt;0")</f>
        <v>0</v>
      </c>
      <c r="DV92" s="6">
        <f>COUNTIFS(Table41[Country],Tabela1[[#This Row],[Country]],Table41[Keirin Classification],"&gt;0")</f>
        <v>0</v>
      </c>
      <c r="DW92" s="6">
        <f>COUNTIFS(Table84[Country],Tabela1[[#This Row],[Country]],Table84[Men''s Madison Classification],"&gt;0")</f>
        <v>0</v>
      </c>
      <c r="DX92" s="6">
        <f>COUNTIFS(Table84[Country],Tabela1[[#This Row],[Country]],Table84[Women''s Madison Classification],"&gt;0")</f>
        <v>0</v>
      </c>
      <c r="DY92" s="6">
        <f>COUNTIFS(Table69[Country],Tabela1[[#This Row],[Country]],Table69[Omnium Classification],"&gt;0")</f>
        <v>0</v>
      </c>
      <c r="DZ92" s="6">
        <f>COUNTIFS(Table41[Country],Tabela1[[#This Row],[Country]],Table41[Omnium Classification],"&gt;0")</f>
        <v>0</v>
      </c>
      <c r="EA92" s="6">
        <f>COUNTIFS(Table9[Country],Tabela1[[#This Row],[Country]],Table9[Road Race Classification],"&gt;0")</f>
        <v>0</v>
      </c>
      <c r="EB92" s="6">
        <f>COUNTIFS(Table14[Country],Tabela1[[#This Row],[Country]],Table14[Road Race Classification],"&gt;0")</f>
        <v>0</v>
      </c>
      <c r="EC92" s="6">
        <f>COUNTIFS(Table69[Country],Tabela1[[#This Row],[Country]],Table69[Sprint Classification],"&gt;0")</f>
        <v>0</v>
      </c>
      <c r="ED92" s="6">
        <f>COUNTIFS(Table41[Country],Tabela1[[#This Row],[Country]],Table41[Sprint Classification],"&gt;0")</f>
        <v>0</v>
      </c>
      <c r="EE92" s="6">
        <f>COUNTIFS(Table85[Country],Tabela1[[#This Row],[Country]],Table85[Men''s Sprint Classification],"&gt;0")</f>
        <v>0</v>
      </c>
      <c r="EF92" s="6">
        <f>COUNTIFS(Table85[Country],Tabela1[[#This Row],[Country]],Table85[Women''s Sprint Classification],"&gt;0")</f>
        <v>0</v>
      </c>
      <c r="EG92" s="6">
        <f>COUNTIFS(Table85[Country],Tabela1[[#This Row],[Country]],Table85[Men''s Pursuit Classification],"&gt;0")</f>
        <v>0</v>
      </c>
      <c r="EH92" s="6">
        <f>COUNTIFS(Table85[Country],Tabela1[[#This Row],[Country]],Table85[Women''s Pursuit Classification],"&gt;0")</f>
        <v>0</v>
      </c>
      <c r="EI92" s="6">
        <f>COUNTIFS(Table9[Country],Tabela1[[#This Row],[Country]],Table9[Time-Trial Classification],"&gt;0")</f>
        <v>0</v>
      </c>
      <c r="EJ92" s="6">
        <f>COUNTIFS(Table14[Country],Tabela1[[#This Row],[Country]],Table14[Time-Trial Classification],"&gt;0")</f>
        <v>0</v>
      </c>
      <c r="EK92" s="6">
        <f>COUNTIFS(Table42[Country],Tabela1[[#This Row],[Country]],Table42[Springboard Classification],"&gt;0")</f>
        <v>0</v>
      </c>
      <c r="EL92" s="6">
        <f>COUNTIFS(Table43[Country],Tabela1[[#This Row],[Country]],Table43[Springboard Classification],"&gt;0")</f>
        <v>0</v>
      </c>
      <c r="EM92" s="6">
        <f>COUNTIFS(Table42[Country],Tabela1[[#This Row],[Country]],Table42[Platform Classification],"&gt;0")</f>
        <v>0</v>
      </c>
      <c r="EN92" s="6">
        <f>COUNTIFS(Table43[Country],Tabela1[[#This Row],[Country]],Table43[Platform Classification],"&gt;0")</f>
        <v>0</v>
      </c>
      <c r="EO92" s="6">
        <f>COUNTIFS(Table86[Country],Tabela1[[#This Row],[Country]],Table86[Men''s Synchronized Springboard Classification],"&gt;0")</f>
        <v>0</v>
      </c>
      <c r="EP92" s="6">
        <f>COUNTIFS(Table86[Country],Tabela1[[#This Row],[Country]],Table86[Women''s Synchronized Springboard Classification],"&gt;0")</f>
        <v>0</v>
      </c>
      <c r="EQ92" s="6">
        <f>COUNTIFS(Table86[Country],Tabela1[[#This Row],[Country]],Table86[Men''s Synchronized Platform Classification],"&gt;0")</f>
        <v>0</v>
      </c>
      <c r="ER92" s="6">
        <f>COUNTIFS(Table86[Country],Tabela1[[#This Row],[Country]],Table86[Women''s Synchronized Platform Classification],"&gt;0")</f>
        <v>0</v>
      </c>
      <c r="ES92" s="6">
        <f>COUNTIFS(Table44[Country],Tabela1[[#This Row],[Country]],Table44[Dressage Classification],"&gt;0")</f>
        <v>0</v>
      </c>
      <c r="ET92" s="6">
        <f>COUNTIFS(Table45[Country],Tabela1[[#This Row],[Country]],Table45[Dressage Classification],"&gt;0")</f>
        <v>0</v>
      </c>
      <c r="EU92" s="6">
        <f>COUNTIFS(Table44[Country],Tabela1[[#This Row],[Country]],Table44[Eventing Classification],"&gt;0")</f>
        <v>0</v>
      </c>
      <c r="EV92" s="6">
        <f>COUNTIFS(Table45[Country],Tabela1[[#This Row],[Country]],Table45[Eventing Classification],"&gt;0")</f>
        <v>0</v>
      </c>
      <c r="EW92" s="6">
        <f>COUNTIFS(Table44[Country],Tabela1[[#This Row],[Country]],Table44[Jumping Classification],"&gt;0")</f>
        <v>0</v>
      </c>
      <c r="EX92" s="6">
        <f>COUNTIFS(Table45[Country],Tabela1[[#This Row],[Country]],Table45[Jumping Classification],"&gt;0")</f>
        <v>0</v>
      </c>
      <c r="EY92" s="6">
        <f>COUNTIFS(Table10[Country],Tabela1[[#This Row],[Country]],Table10[Épée Classification],"&gt;0")</f>
        <v>0</v>
      </c>
      <c r="EZ92" s="6">
        <f>COUNTIFS(Table11[Country],Tabela1[[#This Row],[Country]],Table11[Épée Classification],"&gt;0")</f>
        <v>0</v>
      </c>
      <c r="FA92" s="6">
        <f>COUNTIFS(Table46[Country],Tabela1[[#This Row],[Country]],Table46[Men''s Épée Classification],"&gt;0")</f>
        <v>0</v>
      </c>
      <c r="FB92" s="6">
        <f>COUNTIFS(Table46[Country],Tabela1[[#This Row],[Country]],Table46[Women''s Épée Classification],"&gt;0")</f>
        <v>0</v>
      </c>
      <c r="FC92" s="6">
        <f>COUNTIFS(Table10[Country],Tabela1[[#This Row],[Country]],Table10[Foil Classification],"&gt;0")</f>
        <v>0</v>
      </c>
      <c r="FD92" s="6">
        <f>COUNTIFS(Table11[Country],Tabela1[[#This Row],[Country]],Table11[Foil Classification],"&gt;0")</f>
        <v>0</v>
      </c>
      <c r="FE92" s="6">
        <f>COUNTIFS(Table46[Country],Tabela1[[#This Row],[Country]],Table46[Men''s Foil Classification],"&gt;0")</f>
        <v>0</v>
      </c>
      <c r="FF92" s="6">
        <f>COUNTIFS(Table46[Country],Tabela1[[#This Row],[Country]],Table46[Women''s Foil Classification],"&gt;0")</f>
        <v>0</v>
      </c>
      <c r="FG92" s="6">
        <f>COUNTIFS(Table10[Country],Tabela1[[#This Row],[Country]],Table10[Sabre Classification],"&gt;0")</f>
        <v>0</v>
      </c>
      <c r="FH92" s="6">
        <f>COUNTIFS(Table11[Country],Tabela1[[#This Row],[Country]],Table11[Sabre Classification],"&gt;0")</f>
        <v>0</v>
      </c>
      <c r="FI92" s="6">
        <f>COUNTIFS(Table46[Country],Tabela1[[#This Row],[Country]],Table46[Men''s Sabre Classification],"&gt;0")</f>
        <v>0</v>
      </c>
      <c r="FJ92" s="6">
        <f>COUNTIFS(Table46[Country],Tabela1[[#This Row],[Country]],Table46[Women''s Sabre Classification],"&gt;0")</f>
        <v>0</v>
      </c>
      <c r="FK92" s="6">
        <f>COUNTIFS(Table91[Country],Tabela1[[#This Row],[Country]],Table91[Men''s Classification],"&gt;0")</f>
        <v>0</v>
      </c>
      <c r="FL92" s="6">
        <f>COUNTIFS(Table91[Country],Tabela1[[#This Row],[Country]],Table91[Women''s Classification],"&gt;0")</f>
        <v>0</v>
      </c>
      <c r="FM92" s="6">
        <f>COUNTIFS(Table9194[Country],Tabela1[[#This Row],[Country]],Table9194[Men''s Classification],"&gt;0")</f>
        <v>0</v>
      </c>
      <c r="FN92" s="6">
        <f>COUNTIFS(Table9194[Country],Tabela1[[#This Row],[Country]],Table9194[Women''s Classification],"&gt;0")</f>
        <v>0</v>
      </c>
      <c r="FO92" s="6">
        <f>COUNTIFS(Table71[Country],Tabela1[[#This Row],[Country]],Table71[Classification],"&gt;0")</f>
        <v>0</v>
      </c>
      <c r="FP92" s="6">
        <f>COUNTIFS(Table62[Country],Tabela1[[#This Row],[Country]],Table62[Classification],"&gt;0")</f>
        <v>0</v>
      </c>
      <c r="FQ92" s="6">
        <f>COUNTIFS(Table47[Country],Tabela1[[#This Row],[Country]],Table47[All-Around Classification],"&gt;0")</f>
        <v>0</v>
      </c>
      <c r="FR92" s="6">
        <f>COUNTIFS(Table48[Country],Tabela1[[#This Row],[Country]],Table48[All-Around Classification],"&gt;0")</f>
        <v>0</v>
      </c>
      <c r="FS92" s="6">
        <f>COUNTIFS(Table81[Country],Tabela1[[#This Row],[Country]],Table81[Men''s All-Around Classification],"&gt;0")</f>
        <v>0</v>
      </c>
      <c r="FT92" s="6">
        <f>COUNTIFS(Table81[Country],Tabela1[[#This Row],[Country]],Table81[Women''s All-Around Classification],"&gt;0")</f>
        <v>0</v>
      </c>
      <c r="FU92" s="6">
        <f>COUNTIFS(Table48[Country],Tabela1[[#This Row],[Country]],Table48[Balance Beam Classification],"&gt;0")</f>
        <v>0</v>
      </c>
      <c r="FV92" s="6">
        <f>COUNTIFS(Table47[Country],Tabela1[[#This Row],[Country]],Table47[Floor Exercise Classification],"&gt;0")</f>
        <v>0</v>
      </c>
      <c r="FW92" s="6">
        <f>COUNTIFS(Table48[Country],Tabela1[[#This Row],[Country]],Table48[Floor Exercise Classification],"&gt;0")</f>
        <v>0</v>
      </c>
      <c r="FX92" s="6">
        <f>COUNTIFS(Table47[Country],Tabela1[[#This Row],[Country]],Table47[Horizontal Bar Classification],"&gt;0")</f>
        <v>0</v>
      </c>
      <c r="FY92" s="6">
        <f>COUNTIFS(Table47[Country],Tabela1[[#This Row],[Country]],Table47[Parallel Bars Classification],"&gt;0")</f>
        <v>0</v>
      </c>
      <c r="FZ92" s="6">
        <f>COUNTIFS(Table47[Country],Tabela1[[#This Row],[Country]],Table47[Pommel Horse Classification],"&gt;0")</f>
        <v>0</v>
      </c>
      <c r="GA92" s="6">
        <f>COUNTIFS(Table47[Country],Tabela1[[#This Row],[Country]],Table47[Rings Classification],"&gt;0")</f>
        <v>0</v>
      </c>
      <c r="GB92" s="6">
        <f>COUNTIFS(Tabela132[Country],Tabela1[[#This Row],[Country]],Tabela132[Classification],"&gt;0")</f>
        <v>0</v>
      </c>
      <c r="GC92" s="6">
        <f>COUNTIFS(Tabela139[Country],Tabela1[[#This Row],[Country]],Tabela139[Classification],"&gt;0")</f>
        <v>0</v>
      </c>
      <c r="GD92" s="6">
        <f>COUNTIFS(Table48[Country],Tabela1[[#This Row],[Country]],Table48[Uneven Bars Classification],"&gt;0")</f>
        <v>0</v>
      </c>
      <c r="GE92" s="6">
        <f>COUNTIFS(Table47[Country],Tabela1[[#This Row],[Country]],Table47[Vault Classification],"&gt;0")</f>
        <v>0</v>
      </c>
      <c r="GF92" s="6">
        <f>COUNTIFS(Table48[Country],Tabela1[[#This Row],[Country]],Table48[Vault Classification],"&gt;0")</f>
        <v>0</v>
      </c>
      <c r="GG92" s="6">
        <f>COUNTIFS(Table919496[Country],Tabela1[[#This Row],[Country]],Table919496[Men''s Classification],"&gt;0")</f>
        <v>0</v>
      </c>
      <c r="GH92" s="6">
        <f>COUNTIFS(Table919496[Country],Tabela1[[#This Row],[Country]],Table919496[Women''s Classification],"&gt;0")</f>
        <v>0</v>
      </c>
      <c r="GI92" s="6">
        <f>COUNTIFS(Table12[Country],Tabela1[[#This Row],[Country]],Table12[60kg Classification],"&gt;0")</f>
        <v>0</v>
      </c>
      <c r="GJ92" s="6">
        <f>COUNTIFS(Table12[Country],Tabela1[[#This Row],[Country]],Table12[66kg Classification],"&gt;0")</f>
        <v>0</v>
      </c>
      <c r="GK92" s="6">
        <f>COUNTIFS(Table12[Country],Tabela1[[#This Row],[Country]],Table12[73kg Classification],"&gt;0")</f>
        <v>0</v>
      </c>
      <c r="GL92" s="6">
        <f>COUNTIFS(Table12[Country],Tabela1[[#This Row],[Country]],Table12[81kg Classification],"&gt;0")</f>
        <v>0</v>
      </c>
      <c r="GM92" s="6">
        <f>COUNTIFS(Table12[Country],Tabela1[[#This Row],[Country]],Table12[90kg Classification],"&gt;0")</f>
        <v>0</v>
      </c>
      <c r="GN92" s="6">
        <f>COUNTIFS(Table12[Country],Tabela1[[#This Row],[Country]],Table12[100kg Classification],"&gt;0")</f>
        <v>0</v>
      </c>
      <c r="GO92" s="6">
        <f>COUNTIFS(Table12[Country],Tabela1[[#This Row],[Country]],Table12[Plus 100kg Classification],"&gt;0")</f>
        <v>0</v>
      </c>
      <c r="GP92" s="6">
        <f>COUNTIFS(Table13[Country],Tabela1[[#This Row],[Country]],Table13[48kg Classification],"&gt;0")</f>
        <v>0</v>
      </c>
      <c r="GQ92" s="6">
        <f>COUNTIFS(Table13[Country],Tabela1[[#This Row],[Country]],Table13[52kg Classification],"&gt;0")</f>
        <v>0</v>
      </c>
      <c r="GR92" s="6">
        <f>COUNTIFS(Table13[Country],Tabela1[[#This Row],[Country]],Table13[57kg Classification],"&gt;0")</f>
        <v>0</v>
      </c>
      <c r="GS92" s="6">
        <f>COUNTIFS(Table13[Country],Tabela1[[#This Row],[Country]],Table13[63kg Classification],"&gt;0")</f>
        <v>0</v>
      </c>
      <c r="GT92" s="6">
        <f>COUNTIFS(Table13[Country],Tabela1[[#This Row],[Country]],Table13[70kg Classification],"&gt;0")</f>
        <v>0</v>
      </c>
      <c r="GU92" s="6">
        <f>COUNTIFS(Table13[Country],Tabela1[[#This Row],[Country]],Table13[78kg Classification],"&gt;0")</f>
        <v>0</v>
      </c>
      <c r="GV92" s="6">
        <f>COUNTIFS(Table13[Country],Tabela1[[#This Row],[Country]],Table13[Plus 78kg Classification],"&gt;0")</f>
        <v>0</v>
      </c>
      <c r="GW92" s="6">
        <f>COUNTIFS(Table82[Country],Tabela1[[#This Row],[Country]],Table82[Mixed Classification],"&gt;0")</f>
        <v>0</v>
      </c>
      <c r="GX92" s="6">
        <f>COUNTIFS(Table51[Country],Tabela1[[#This Row],[Country]],Table51[Classification],"&gt;0")</f>
        <v>0</v>
      </c>
      <c r="GY92" s="6">
        <f>COUNTIFS(Table52[Country],Tabela1[[#This Row],[Country]],Table52[Classification],"&gt;0")</f>
        <v>0</v>
      </c>
      <c r="GZ92" s="6">
        <f>COUNTIFS(Table32[Country],Tabela1[[#This Row],[Country]],Table32[All-Around Classification],"&gt;0")</f>
        <v>0</v>
      </c>
      <c r="HA92" s="6">
        <f>COUNTIFS(Table49[Country],Tabela1[[#This Row],[Country]],Table49[All-Around Classification],"&gt;0")</f>
        <v>0</v>
      </c>
      <c r="HB92" s="6">
        <f>COUNTIFS(Table26[Country],Tabela1[[#This Row],[Country]],Table26[Single Sculls Classification],"&gt;0")</f>
        <v>0</v>
      </c>
      <c r="HC92" s="6">
        <f>COUNTIFS(Table63[Country],Tabela1[[#This Row],[Country]],Table63[Single Sculls Classification],"&gt;0")</f>
        <v>0</v>
      </c>
      <c r="HD92" s="6">
        <f>COUNTIFS(Table16[Country],Tabela1[[#This Row],[Country]],Table16[Men''s Double Sculls Classification],"&gt;0")</f>
        <v>0</v>
      </c>
      <c r="HE92" s="6">
        <f>COUNTIFS(Table16[Country],Tabela1[[#This Row],[Country]],Table16[Women''s Double Sculls Classification],"&gt;0")</f>
        <v>0</v>
      </c>
      <c r="HF92" s="6">
        <f>COUNTIFS(Table72[Country],Tabela1[[#This Row],[Country]],Table72[Men''s Quadruple Sculls Classification],"&gt;0")</f>
        <v>0</v>
      </c>
      <c r="HG92" s="6">
        <f>COUNTIFS(Table72[Country],Tabela1[[#This Row],[Country]],Table72[Women''s Quadruple Sculls Classification],"&gt;0")</f>
        <v>0</v>
      </c>
      <c r="HH92" s="6">
        <f>COUNTIFS(Table16[Country],Tabela1[[#This Row],[Country]],Table16[Men''s Coxless Pairs Classification],"&gt;0")</f>
        <v>0</v>
      </c>
      <c r="HI92" s="6">
        <f>COUNTIFS(Table16[Country],Tabela1[[#This Row],[Country]],Table16[Women''s Coxless Pairs Classification],"&gt;0")</f>
        <v>0</v>
      </c>
      <c r="HJ92" s="6">
        <f>COUNTIFS(Table72[Country],Tabela1[[#This Row],[Country]],Table72[Men''s Coxless Fours Classification],"&gt;0")</f>
        <v>0</v>
      </c>
      <c r="HK92" s="6">
        <f>COUNTIFS(Table72[Country],Tabela1[[#This Row],[Country]],Table72[Women''s Coxless Fours Classification],"&gt;0")</f>
        <v>0</v>
      </c>
      <c r="HL92" s="6">
        <f>COUNTIFS(Table72[Country],Tabela1[[#This Row],[Country]],Table72[Men''s Eights Classification],"&gt;0")</f>
        <v>0</v>
      </c>
      <c r="HM92" s="6">
        <f>COUNTIFS(Table72[Country],Tabela1[[#This Row],[Country]],Table72[Women''s Eights Classification],"&gt;0")</f>
        <v>0</v>
      </c>
      <c r="HN92" s="6">
        <f>COUNTIFS(Table16[Country],Tabela1[[#This Row],[Country]],Table16[Men''s Lwt. Double Sculls Classification],"&gt;0")</f>
        <v>0</v>
      </c>
      <c r="HO92" s="6">
        <f>COUNTIFS(Table16[Country],Tabela1[[#This Row],[Country]],Table16[Women''s Lwt. Double Sculls Classification],"&gt;0")</f>
        <v>0</v>
      </c>
      <c r="HP92" s="6">
        <f>COUNTIFS(Table91949698[Country],Tabela1[[#This Row],[Country]],Table91949698[Men''s Classification],"&gt;0")</f>
        <v>1</v>
      </c>
      <c r="HQ92" s="6">
        <f>COUNTIFS(Table91949698[Country],Tabela1[[#This Row],[Country]],Table91949698[Women''s Classification],"&gt;0")</f>
        <v>1</v>
      </c>
      <c r="HR92" s="6">
        <f>COUNTIFS(Table25[Country],Tabela1[[#This Row],[Country]],Table25[Mixed 470 Classification],"&gt;0")</f>
        <v>0</v>
      </c>
      <c r="HS92" s="6">
        <f>COUNTIFS(Table25[Country],Tabela1[[#This Row],[Country]],Table25[Men''s 49er Classification],"&gt;0")</f>
        <v>0</v>
      </c>
      <c r="HT92" s="6">
        <f>COUNTIFS(Table25[Country],Tabela1[[#This Row],[Country]],Table25[Women''s 49er FX Classification],"&gt;0")</f>
        <v>0</v>
      </c>
      <c r="HU92" s="6">
        <f>COUNTIFS(Table17[Country],Tabela1[[#This Row],[Country]],Table17[Formula Kite Classification],"&gt;0")</f>
        <v>0</v>
      </c>
      <c r="HV92" s="6">
        <f>COUNTIFS(Table18[Country],Tabela1[[#This Row],[Country]],Table18[Formula Kite Classification],"&gt;0")</f>
        <v>0</v>
      </c>
      <c r="HW92" s="6">
        <f>COUNTIFS(Table17[Country],Tabela1[[#This Row],[Country]],Table17[ILCA 7 Classification],"&gt;0")</f>
        <v>0</v>
      </c>
      <c r="HX92" s="6">
        <f>COUNTIFS(Table18[Country],Tabela1[[#This Row],[Country]],Table18[ILCA 6 Classification],"&gt;0")</f>
        <v>0</v>
      </c>
      <c r="HY92" s="6">
        <f>COUNTIFS(Table17[Country],Tabela1[[#This Row],[Country]],Table17[IQFoil Classification],"&gt;0")</f>
        <v>0</v>
      </c>
      <c r="HZ92" s="6">
        <f>COUNTIFS(Table18[Country],Tabela1[[#This Row],[Country]],Table18[IQFoil Classification],"&gt;0")</f>
        <v>0</v>
      </c>
      <c r="IA92" s="6">
        <f>COUNTIFS(Table25[Country],Tabela1[[#This Row],[Country]],Table25[Mixed Nacra 17 Classification],"&gt;0")</f>
        <v>0</v>
      </c>
      <c r="IB92" s="6">
        <f>COUNTIFS(Table53[Country],Tabela1[[#This Row],[Country]],Table53[10m Air Pistol Classification],"&gt;0")</f>
        <v>0</v>
      </c>
      <c r="IC92" s="6">
        <f>COUNTIFS(Table19[Country],Tabela1[[#This Row],[Country]],Table19[10m Air Pistol Classification],"&gt;0")</f>
        <v>0</v>
      </c>
      <c r="ID92" s="6">
        <f>COUNTIFS(Table54[Country],Tabela1[[#This Row],[Country]],Table54[Mixed 10m Air Pistol Team Classification],"&gt;0")</f>
        <v>0</v>
      </c>
      <c r="IE92" s="6">
        <f>COUNTIFS(Table53[Country],Tabela1[[#This Row],[Country]],Table53[10m Air Rifle Classification],"&gt;0")</f>
        <v>0</v>
      </c>
      <c r="IF92" s="6">
        <f>COUNTIFS(Table19[Country],Tabela1[[#This Row],[Country]],Table19[10m Air Rifle Classification],"&gt;0")</f>
        <v>0</v>
      </c>
      <c r="IG92" s="6">
        <f>COUNTIFS(Table54[Country],Tabela1[[#This Row],[Country]],Table54[Mixed 10m Air Rifle Team Classification],"&gt;0")</f>
        <v>0</v>
      </c>
      <c r="IH92" s="6">
        <f>COUNTIFS(Table53[Country],Tabela1[[#This Row],[Country]],Table53[25m Rapid Fire Pistol Classification],"&gt;0")</f>
        <v>0</v>
      </c>
      <c r="II92" s="6">
        <f>COUNTIFS(Table19[Country],Tabela1[[#This Row],[Country]],Table19[25m Pistol Classification],"&gt;0")</f>
        <v>0</v>
      </c>
      <c r="IJ92" s="6">
        <f>COUNTIFS(Table53[Country],Tabela1[[#This Row],[Country]],Table53[50m Rifle 3 Positions Classification],"&gt;0")</f>
        <v>0</v>
      </c>
      <c r="IK92" s="6">
        <f>COUNTIFS(Table19[Country],Tabela1[[#This Row],[Country]],Table19[50m Rifle 3 Positions Classification],"&gt;0")</f>
        <v>0</v>
      </c>
      <c r="IL92" s="6">
        <f>COUNTIFS(Table53[Country],Tabela1[[#This Row],[Country]],Table53[Skeet Classification],"&gt;0")</f>
        <v>0</v>
      </c>
      <c r="IM92" s="6">
        <f>COUNTIFS(Table19[Country],Tabela1[[#This Row],[Country]],Table19[Skeet Classification],"&gt;0")</f>
        <v>0</v>
      </c>
      <c r="IN92" s="6">
        <f>COUNTIFS(Table54[Country],Tabela1[[#This Row],[Country]],Table54[Mixed Skeet Team Classification],"&gt;0")</f>
        <v>0</v>
      </c>
      <c r="IO92" s="6">
        <f>COUNTIFS(Table53[Country],Tabela1[[#This Row],[Country]],Table53[Trap Classification],"&gt;0")</f>
        <v>0</v>
      </c>
      <c r="IP92" s="6">
        <f>COUNTIFS(Table19[Country],Tabela1[[#This Row],[Country]],Table19[Trap Classification],"&gt;0")</f>
        <v>0</v>
      </c>
      <c r="IQ92" s="6">
        <f>COUNTIFS(Table73[Country],Tabela1[[#This Row],[Country]],Table73[Park Classification],"&gt;0")</f>
        <v>0</v>
      </c>
      <c r="IR92" s="6">
        <f>COUNTIFS(Table74[Country],Tabela1[[#This Row],[Country]],Table74[Park Classification],"&gt;0")</f>
        <v>0</v>
      </c>
      <c r="IS92" s="6">
        <f>COUNTIFS(Table73[Country],Tabela1[[#This Row],[Country]],Table73[Street Classification],"&gt;0")</f>
        <v>0</v>
      </c>
      <c r="IT92" s="6">
        <f>COUNTIFS(Table74[Country],Tabela1[[#This Row],[Country]],Table74[Street Classification],"&gt;0")</f>
        <v>0</v>
      </c>
      <c r="IU92" s="6">
        <f>COUNTIFS(Table75[Country],Tabela1[[#This Row],[Country]],Table75[Boulder and Lead Classification],"&gt;0")</f>
        <v>0</v>
      </c>
      <c r="IV92" s="6">
        <f>COUNTIFS(Table76[Country],Tabela1[[#This Row],[Country]],Table76[Boulder and Lead Classification],"&gt;0")</f>
        <v>0</v>
      </c>
      <c r="IW92" s="6">
        <f>COUNTIFS(Table75[Country],Tabela1[[#This Row],[Country]],Table75[Speed Classification],"&gt;0")</f>
        <v>0</v>
      </c>
      <c r="IX92" s="6">
        <f>COUNTIFS(Table76[Country],Tabela1[[#This Row],[Country]],Table76[Speed Classification],"&gt;0")</f>
        <v>0</v>
      </c>
      <c r="IY92" s="6">
        <f>COUNTIFS(Table64[Country],Tabela1[[#This Row],[Country]],Table64[Shortboard Classification],"&gt;0")</f>
        <v>0</v>
      </c>
      <c r="IZ92" s="6">
        <f>COUNTIFS(Table77[Country],Tabela1[[#This Row],[Country]],Table77[Shortboard Classification],"&gt;0")</f>
        <v>0</v>
      </c>
      <c r="JA92" s="6">
        <f>COUNTIFS(Table20[Country],Tabela1[[#This Row],[Country]],Table20[50m Freestyle Classification],"&gt;0")</f>
        <v>1</v>
      </c>
      <c r="JB92" s="6">
        <f>COUNTIFS(Table21[Country],Tabela1[[#This Row],[Country]],Table21[50m Freestyle Classification],"&gt;0")</f>
        <v>1</v>
      </c>
      <c r="JC92" s="6">
        <f>COUNTIFS(Table20[Country],Tabela1[[#This Row],[Country]],Table20[100m Freestyle Classification],"&gt;0")</f>
        <v>0</v>
      </c>
      <c r="JD92" s="6">
        <f>COUNTIFS(Table21[Country],Tabela1[[#This Row],[Country]],Table21[100m Freestyle Classification],"&gt;0")</f>
        <v>0</v>
      </c>
      <c r="JE92" s="6">
        <f>COUNTIFS(Table20[Country],Tabela1[[#This Row],[Country]],Table20[200m Freestyle Classification],"&gt;0")</f>
        <v>0</v>
      </c>
      <c r="JF92" s="6">
        <f>COUNTIFS(Table21[Country],Tabela1[[#This Row],[Country]],Table21[200m Freestyle Classification],"&gt;0")</f>
        <v>0</v>
      </c>
      <c r="JG92" s="6">
        <f>COUNTIFS(Table20[Country],Tabela1[[#This Row],[Country]],Table20[400m Freestyle Classification],"&gt;0")</f>
        <v>0</v>
      </c>
      <c r="JH92" s="6">
        <f>COUNTIFS(Table21[Country],Tabela1[[#This Row],[Country]],Table21[400m Freestyle Classification],"&gt;0")</f>
        <v>0</v>
      </c>
      <c r="JI92" s="6">
        <f>COUNTIFS(Table20[Country],Tabela1[[#This Row],[Country]],Table20[800m Freestyle Classification],"&gt;0")</f>
        <v>0</v>
      </c>
      <c r="JJ92" s="6">
        <f>COUNTIFS(Table21[Country],Tabela1[[#This Row],[Country]],Table21[800m Freestyle Classification],"&gt;0")</f>
        <v>0</v>
      </c>
      <c r="JK92" s="6">
        <f>COUNTIFS(Table20[Country],Tabela1[[#This Row],[Country]],Table20[1500m Freestyle Classification],"&gt;0")</f>
        <v>0</v>
      </c>
      <c r="JL92" s="6">
        <f>COUNTIFS(Table21[Country],Tabela1[[#This Row],[Country]],Table21[1500m Freestyle Classification],"&gt;0")</f>
        <v>0</v>
      </c>
      <c r="JM92" s="6">
        <f>COUNTIFS(Table20[Country],Tabela1[[#This Row],[Country]],Table20[100m Backstroke Classification],"&gt;0")</f>
        <v>0</v>
      </c>
      <c r="JN92" s="6">
        <f>COUNTIFS(Table21[Country],Tabela1[[#This Row],[Country]],Table21[100m Backstroke Classification],"&gt;0")</f>
        <v>0</v>
      </c>
      <c r="JO92" s="6">
        <f>COUNTIFS(Table20[Country],Tabela1[[#This Row],[Country]],Table20[200m Backstroke Classification],"&gt;0")</f>
        <v>0</v>
      </c>
      <c r="JP92" s="6">
        <f>COUNTIFS(Table21[Country],Tabela1[[#This Row],[Country]],Table21[200m Backstroke Classification],"&gt;0")</f>
        <v>0</v>
      </c>
      <c r="JQ92" s="6">
        <f>COUNTIFS(Table20[Country],Tabela1[[#This Row],[Country]],Table20[100m Breaststroke Classification],"&gt;0")</f>
        <v>0</v>
      </c>
      <c r="JR92" s="6">
        <f>COUNTIFS(Table21[Country],Tabela1[[#This Row],[Country]],Table21[100m Breaststroke Classification],"&gt;0")</f>
        <v>0</v>
      </c>
      <c r="JS92" s="6">
        <f>COUNTIFS(Table20[Country],Tabela1[[#This Row],[Country]],Table20[200m Breaststroke Classification],"&gt;0")</f>
        <v>0</v>
      </c>
      <c r="JT92" s="6">
        <f>COUNTIFS(Table21[Country],Tabela1[[#This Row],[Country]],Table21[200m Breaststroke Classification],"&gt;0")</f>
        <v>0</v>
      </c>
      <c r="JU92" s="6">
        <f>COUNTIFS(Table20[Country],Tabela1[[#This Row],[Country]],Table20[100m Butterfly Classification],"&gt;0")</f>
        <v>0</v>
      </c>
      <c r="JV92" s="6">
        <f>COUNTIFS(Table21[Country],Tabela1[[#This Row],[Country]],Table21[100m Butterfly Classification],"&gt;0")</f>
        <v>0</v>
      </c>
      <c r="JW92" s="6">
        <f>COUNTIFS(Table20[Country],Tabela1[[#This Row],[Country]],Table20[200m Butterfly Classification],"&gt;0")</f>
        <v>0</v>
      </c>
      <c r="JX92" s="6">
        <f>COUNTIFS(Table21[Country],Tabela1[[#This Row],[Country]],Table21[200m Butterfly Classification],"&gt;0")</f>
        <v>0</v>
      </c>
      <c r="JY92" s="6">
        <f>COUNTIFS(Table20[Country],Tabela1[[#This Row],[Country]],Table20[200m Medley Classification],"&gt;0")</f>
        <v>0</v>
      </c>
      <c r="JZ92" s="6">
        <f>COUNTIFS(Table21[Country],Tabela1[[#This Row],[Country]],Table21[200m Medley Classification],"&gt;0")</f>
        <v>0</v>
      </c>
      <c r="KA92" s="6">
        <f>COUNTIFS(Table20[Country],Tabela1[[#This Row],[Country]],Table20[400m Medley Classification],"&gt;0")</f>
        <v>0</v>
      </c>
      <c r="KB92" s="6">
        <f>COUNTIFS(Table21[Country],Tabela1[[#This Row],[Country]],Table21[400m Medley Classification],"&gt;0")</f>
        <v>0</v>
      </c>
      <c r="KC92" s="6">
        <f>COUNTIFS(Table78[Country],Tabela1[[#This Row],[Country]],Table78[Men''s 4x100m Freestyle Relay Classification],"&gt;0")</f>
        <v>0</v>
      </c>
      <c r="KD92" s="6">
        <f>COUNTIFS(Table78[Country],Tabela1[[#This Row],[Country]],Table78[Women''s 4x100m Freestyle Relay Classification],"&gt;0")</f>
        <v>0</v>
      </c>
      <c r="KE92" s="6">
        <f>COUNTIFS(Table78[Country],Tabela1[[#This Row],[Country]],Table78[Men''s 4x200m Freestyle Relay Classification],"&gt;0")</f>
        <v>0</v>
      </c>
      <c r="KF92" s="6">
        <f>COUNTIFS(Table78[Country],Tabela1[[#This Row],[Country]],Table78[Women''s 4x200m Freestyle Relay Classification],"&gt;0")</f>
        <v>0</v>
      </c>
      <c r="KG92" s="6">
        <f>COUNTIFS(Table78[Country],Tabela1[[#This Row],[Country]],Table78[Men''s 4x100m Medley Relay Classification],"&gt;0")</f>
        <v>0</v>
      </c>
      <c r="KH92" s="6">
        <f>COUNTIFS(Table78[Country],Tabela1[[#This Row],[Country]],Table78[Women''s 4x100m Medley Relay Classification],"&gt;0")</f>
        <v>0</v>
      </c>
      <c r="KI92" s="6">
        <f>COUNTIFS(Table78[Country],Tabela1[[#This Row],[Country]],Table78[Mixed 4x100m Medley Relay Classification],"&gt;0")</f>
        <v>0</v>
      </c>
      <c r="KJ92" s="6">
        <f>COUNTIFS(Table20[Country],Tabela1[[#This Row],[Country]],Table20[10km Open Water Classification],"&gt;0")</f>
        <v>0</v>
      </c>
      <c r="KK92" s="6">
        <f>COUNTIFS(Table21[Country],Tabela1[[#This Row],[Country]],Table21[10km Open Water Classification],"&gt;0")</f>
        <v>0</v>
      </c>
      <c r="KL92" s="6">
        <f>COUNTIFS(Table22[Country],Tabela1[[#This Row],[Country]],Table22[Classification],"&gt;0")</f>
        <v>0</v>
      </c>
      <c r="KM92" s="6">
        <f>COUNTIFS(Table30[Country],Tabela1[[#This Row],[Country]],Table30[Classification],"&gt;0")</f>
        <v>0</v>
      </c>
      <c r="KN92" s="6">
        <f>COUNTIFS(Table55[Country],Tabela1[[#This Row],[Country]],Table55[Men''s Classification],"&gt;0")</f>
        <v>0</v>
      </c>
      <c r="KO92" s="6">
        <f>COUNTIFS(Table55[Country],Tabela1[[#This Row],[Country]],Table55[Women''s Classification],"&gt;0")</f>
        <v>0</v>
      </c>
      <c r="KP92" s="6">
        <f>COUNTIFS(Table56[Country],Tabela1[[#This Row],[Country]],Table56[Mixed Classification],"&gt;0")</f>
        <v>0</v>
      </c>
      <c r="KQ92" s="6">
        <f>COUNTIFS(Table29[Country],Tabela1[[#This Row],[Country]],Table29[58kg Classification],"&gt;0")</f>
        <v>0</v>
      </c>
      <c r="KR92" s="6">
        <f>COUNTIFS(Table29[Country],Tabela1[[#This Row],[Country]],Table29[68kg Classification],"&gt;0")</f>
        <v>0</v>
      </c>
      <c r="KS92" s="6">
        <f>COUNTIFS(Table29[Country],Tabela1[[#This Row],[Country]],Table29[80kg Classification],"&gt;0")</f>
        <v>0</v>
      </c>
      <c r="KT92" s="6">
        <f>COUNTIFS(Table29[Country],Tabela1[[#This Row],[Country]],Table29[Plus 80kg Classification],"&gt;0")</f>
        <v>0</v>
      </c>
      <c r="KU92" s="6">
        <f>COUNTIFS(Table34[Country],Tabela1[[#This Row],[Country]],Table34[49kg Classification],"&gt;0")</f>
        <v>0</v>
      </c>
      <c r="KV92" s="6">
        <f>COUNTIFS(Table34[Country],Tabela1[[#This Row],[Country]],Table34[57kg Classification],"&gt;0")</f>
        <v>0</v>
      </c>
      <c r="KW92" s="6">
        <f>COUNTIFS(Table34[Country],Tabela1[[#This Row],[Country]],Table34[67kg Classification],"&gt;0")</f>
        <v>0</v>
      </c>
      <c r="KX92" s="6">
        <f>COUNTIFS(Table34[Country],Tabela1[[#This Row],[Country]],Table34[Plus 67kg Classification],"&gt;0")</f>
        <v>0</v>
      </c>
      <c r="KY92" s="6">
        <f>COUNTIFS(Table57[Country],Tabela1[[#This Row],[Country]],Table57[Classification],"&gt;0")</f>
        <v>0</v>
      </c>
      <c r="KZ92" s="6">
        <f>COUNTIFS(Table58[Country],Tabela1[[#This Row],[Country]],Table58[Classification],"&gt;0")</f>
        <v>0</v>
      </c>
      <c r="LA92" s="6">
        <f>COUNTIFS(Table79[Country],Tabela1[[#This Row],[Country]],Table79[Men''s Classification],"&gt;0")</f>
        <v>0</v>
      </c>
      <c r="LB92" s="6">
        <f>COUNTIFS(Table79[Country],Tabela1[[#This Row],[Country]],Table79[Women''s Classification],"&gt;0")</f>
        <v>0</v>
      </c>
      <c r="LC92" s="6">
        <f>COUNTIFS(Table79[Country],Tabela1[[#This Row],[Country]],Table79[Mixed Classification],"&gt;0")</f>
        <v>0</v>
      </c>
      <c r="LD92" s="6">
        <f>COUNTIFS(Table65[Country],Tabela1[[#This Row],[Country]],Table65[Classification],"&gt;0")</f>
        <v>0</v>
      </c>
      <c r="LE92" s="6">
        <f>COUNTIFS(Table59[Country],Tabela1[[#This Row],[Country]],Table59[Classification],"&gt;0")</f>
        <v>0</v>
      </c>
      <c r="LF92" s="6">
        <f>COUNTIFS(Table87[Country],Tabela1[[#This Row],[Country]],Table87[Mixed Relay Classification],"&gt;0")</f>
        <v>0</v>
      </c>
      <c r="LG92" s="6">
        <f>COUNTIFS(Table91949698100[Country],Tabela1[[#This Row],[Country]],Table91949698100[Men''s Classification],"&gt;0")</f>
        <v>0</v>
      </c>
      <c r="LH92" s="6">
        <f>COUNTIFS(Table91949698100[Country],Tabela1[[#This Row],[Country]],Table91949698100[Women''s Classification],"&gt;0")</f>
        <v>0</v>
      </c>
      <c r="LI92" s="6">
        <f>COUNTIFS(Table91949698100102[Country],Tabela1[[#This Row],[Country]],Table91949698100102[Men''s Classification],"&gt;0")</f>
        <v>0</v>
      </c>
      <c r="LJ92" s="6">
        <f>COUNTIFS(Table91949698100102[Country],Tabela1[[#This Row],[Country]],Table91949698100102[Women''s Classification],"&gt;0")</f>
        <v>0</v>
      </c>
      <c r="LK92" s="6">
        <f>COUNTIFS(Table23[Country],Tabela1[[#This Row],[Country]],Table23[61kg Classification],"&gt;0")</f>
        <v>0</v>
      </c>
      <c r="LL92" s="6">
        <f>COUNTIFS(Table23[Country],Tabela1[[#This Row],[Country]],Table23[73kg Classification],"&gt;0")</f>
        <v>0</v>
      </c>
      <c r="LM92" s="6">
        <f>COUNTIFS(Table23[Country],Tabela1[[#This Row],[Country]],Table23[89kg Classification],"&gt;0")</f>
        <v>0</v>
      </c>
      <c r="LN92" s="6">
        <f>COUNTIFS(Table23[Country],Tabela1[[#This Row],[Country]],Table23[102kg Classification],"&gt;0")</f>
        <v>0</v>
      </c>
      <c r="LO92" s="6">
        <f>COUNTIFS(Table23[Country],Tabela1[[#This Row],[Country]],Table23[Plus 102kg Classification],"&gt;0")</f>
        <v>0</v>
      </c>
      <c r="LP92" s="6">
        <f>COUNTIFS(Table28[Country],Tabela1[[#This Row],[Country]],Table28[49kg Classification],"&gt;0")</f>
        <v>0</v>
      </c>
      <c r="LQ92" s="6">
        <f>COUNTIFS(Table28[Country],Tabela1[[#This Row],[Country]],Table28[59kg Classification],"&gt;0")</f>
        <v>0</v>
      </c>
      <c r="LR92" s="6">
        <f>COUNTIFS(Table28[Country],Tabela1[[#This Row],[Country]],Table28[71kg Classification],"&gt;0")</f>
        <v>0</v>
      </c>
      <c r="LS92" s="6">
        <f>COUNTIFS(Table28[Country],Tabela1[[#This Row],[Country]],Table28[81kg Classification],"&gt;0")</f>
        <v>0</v>
      </c>
      <c r="LT92" s="6">
        <f>COUNTIFS(Table28[Country],Tabela1[[#This Row],[Country]],Table28[Plus 81kg Classification],"&gt;0")</f>
        <v>0</v>
      </c>
      <c r="LU92" s="6">
        <f>COUNTIFS(Table24[Country],Tabela1[[#This Row],[Country]],Table24[Freestyle 57kg Classification],"&gt;0")</f>
        <v>0</v>
      </c>
      <c r="LV92" s="6">
        <f>COUNTIFS(Table24[Country],Tabela1[[#This Row],[Country]],Table24[Freestyle 65kg Classification],"&gt;0")</f>
        <v>0</v>
      </c>
      <c r="LW92" s="6">
        <f>COUNTIFS(Table24[Country],Tabela1[[#This Row],[Country]],Table24[Freestyle 74kg Classification],"&gt;0")</f>
        <v>0</v>
      </c>
      <c r="LX92" s="6">
        <f>COUNTIFS(Table24[Country],Tabela1[[#This Row],[Country]],Table24[Freestyle 86kg Classification],"&gt;0")</f>
        <v>0</v>
      </c>
      <c r="LY92" s="6">
        <f>COUNTIFS(Table24[Country],Tabela1[[#This Row],[Country]],Table24[Freestyle 97kg Classification],"&gt;0")</f>
        <v>0</v>
      </c>
      <c r="LZ92" s="6">
        <f>COUNTIFS(Table24[Country],Tabela1[[#This Row],[Country]],Table24[Freestyle 125kg Classification],"&gt;0")</f>
        <v>0</v>
      </c>
      <c r="MA92" s="6">
        <f>COUNTIFS(Table24[Country],Tabela1[[#This Row],[Country]],Table24[Greco-Roman 60kg Classification],"&gt;0")</f>
        <v>0</v>
      </c>
      <c r="MB92" s="6">
        <f>COUNTIFS(Table24[Country],Tabela1[[#This Row],[Country]],Table24[Greco-Roman 67kg Classification],"&gt;0")</f>
        <v>0</v>
      </c>
      <c r="MC92" s="6">
        <f>COUNTIFS(Table24[Country],Tabela1[[#This Row],[Country]],Table24[Greco-Roman 77kg Classification],"&gt;0")</f>
        <v>0</v>
      </c>
      <c r="MD92" s="6">
        <f>COUNTIFS(Table24[Country],Tabela1[[#This Row],[Country]],Table24[Greco-Roman 87kg Classification],"&gt;0")</f>
        <v>0</v>
      </c>
      <c r="ME92" s="6">
        <f>COUNTIFS(Table24[Country],Tabela1[[#This Row],[Country]],Table24[Greco-Roman 97kg Classification],"&gt;0")</f>
        <v>0</v>
      </c>
      <c r="MF92" s="6">
        <f>COUNTIFS(Table24[Country],Tabela1[[#This Row],[Country]],Table24[Greco-Roman 130kg Classification],"&gt;0")</f>
        <v>0</v>
      </c>
      <c r="MG92" s="6">
        <f>COUNTIFS(Table31[Country],Tabela1[[#This Row],[Country]],Table31[50kg Classification],"&gt;0")</f>
        <v>0</v>
      </c>
      <c r="MH92" s="6">
        <f>COUNTIFS(Table31[Country],Tabela1[[#This Row],[Country]],Table31[53kg Classification],"&gt;0")</f>
        <v>0</v>
      </c>
      <c r="MI92" s="6">
        <f>COUNTIFS(Table31[Country],Tabela1[[#This Row],[Country]],Table31[57kg Classification],"&gt;0")</f>
        <v>0</v>
      </c>
      <c r="MJ92" s="6">
        <f>COUNTIFS(Table31[Country],Tabela1[[#This Row],[Country]],Table31[62kg Classification],"&gt;0")</f>
        <v>0</v>
      </c>
      <c r="MK92" s="6">
        <f>COUNTIFS(Table31[Country],Tabela1[[#This Row],[Country]],Table31[68kg Classification],"&gt;0")</f>
        <v>0</v>
      </c>
      <c r="ML92" s="6">
        <f>COUNTIFS(Table31[Country],Tabela1[[#This Row],[Country]],Table31[76kg Classification],"&gt;0")</f>
        <v>0</v>
      </c>
      <c r="MM92" s="6">
        <f>COUNTIFS(Table102[Country],Tabela1[[#This Row],[Country]],Table102[Downhill Classification],"&gt;0")</f>
        <v>0</v>
      </c>
      <c r="MN92" s="6">
        <f>COUNTIFS(Table102105[Country],Tabela1[[#This Row],[Country]],Table102105[Downhill Classification],"&gt;0")</f>
        <v>0</v>
      </c>
      <c r="MO92" s="6">
        <f>COUNTIFS(Table102[Country],Tabela1[[#This Row],[Country]],Table102[Giant Slalom Classification],"&gt;0")</f>
        <v>0</v>
      </c>
      <c r="MP92" s="6">
        <f>COUNTIFS(Table102105[Country],Tabela1[[#This Row],[Country]],Table102105[Giant Slalom Classification],"&gt;0")</f>
        <v>0</v>
      </c>
      <c r="MQ92" s="6">
        <f>COUNTIFS(Table102[Country],Tabela1[[#This Row],[Country]],Table102[Slalom Classification],"&gt;0")</f>
        <v>0</v>
      </c>
      <c r="MR92" s="6">
        <f>COUNTIFS(Table102105[Country],Tabela1[[#This Row],[Country]],Table102105[Slalom Classification],"&gt;0")</f>
        <v>0</v>
      </c>
      <c r="MS92" s="6">
        <f>COUNTIFS(Table102[Country],Tabela1[[#This Row],[Country]],Table102[Super-G Classification],"&gt;0")</f>
        <v>0</v>
      </c>
      <c r="MT92" s="6">
        <f>COUNTIFS(Table102105[Country],Tabela1[[#This Row],[Country]],Table102105[Super-G Classification],"&gt;0")</f>
        <v>0</v>
      </c>
      <c r="MU92" s="6">
        <f>COUNTIFS(Table105[Country],Tabela1[[#This Row],[Country]],Table105[Men''s Combined Classification],"&gt;0")</f>
        <v>0</v>
      </c>
      <c r="MV92" s="6">
        <f>COUNTIFS(Table105[Country],Tabela1[[#This Row],[Country]],Table105[Women''s Combined Classification],"&gt;0")</f>
        <v>0</v>
      </c>
      <c r="MW92" s="6">
        <f>COUNTIFS(Table106[Country],Tabela1[[#This Row],[Country]],Table106[Individual Classification],"&gt;0")</f>
        <v>0</v>
      </c>
      <c r="MX92" s="6">
        <f>COUNTIFS(Table106109[Country],Tabela1[[#This Row],[Country]],Table106109[Individual Classification],"&gt;0")</f>
        <v>0</v>
      </c>
      <c r="MY92" s="6">
        <f>COUNTIFS(Table106[Country],Tabela1[[#This Row],[Country]],Table106[Mass Start Classification],"&gt;0")</f>
        <v>0</v>
      </c>
      <c r="MZ92" s="6">
        <f>COUNTIFS(Table106109[Country],Tabela1[[#This Row],[Country]],Table106109[Mass Start Classification],"&gt;0")</f>
        <v>0</v>
      </c>
      <c r="NA92" s="6">
        <f>COUNTIFS(Table106[Country],Tabela1[[#This Row],[Country]],Table106[Pursuit Classification],"&gt;0")</f>
        <v>0</v>
      </c>
      <c r="NB92" s="6">
        <f>COUNTIFS(Table106109[Country],Tabela1[[#This Row],[Country]],Table106109[Pursuit Classification],"&gt;0")</f>
        <v>0</v>
      </c>
      <c r="NC92" s="6">
        <f>COUNTIFS(Table106[Country],Tabela1[[#This Row],[Country]],Table106[Sprint Classification],"&gt;0")</f>
        <v>0</v>
      </c>
      <c r="ND92" s="6">
        <f>COUNTIFS(Table106109[Country],Tabela1[[#This Row],[Country]],Table106109[Sprint Classification],"&gt;0")</f>
        <v>0</v>
      </c>
      <c r="NE92" s="6">
        <f>COUNTIFS(Table109[Country],Tabela1[[#This Row],[Country]],Table109[Men''s Relay Classification],"&gt;0")</f>
        <v>0</v>
      </c>
      <c r="NF92" s="6">
        <f>COUNTIFS(Table109[Country],Tabela1[[#This Row],[Country]],Table109[Women''s Relay Classification],"&gt;0")</f>
        <v>0</v>
      </c>
      <c r="NG92" s="6">
        <f>COUNTIFS(Table109[Country],Tabela1[[#This Row],[Country]],Table109[Mixed Relay Classification],"&gt;0")</f>
        <v>0</v>
      </c>
      <c r="NH92" s="6">
        <f>COUNTIFS(Table110[Country],Tabela1[[#This Row],[Country]],Table110[Monobob Classification],"&gt;0")</f>
        <v>0</v>
      </c>
      <c r="NI92" s="6">
        <f>COUNTIFS(Table111[Country],Tabela1[[#This Row],[Country]],Table111[Men''s Classification],"&gt;0")</f>
        <v>0</v>
      </c>
      <c r="NJ92" s="6">
        <f>COUNTIFS(Table111[Country],Tabela1[[#This Row],[Country]],Table111[Women''s Classification],"&gt;0")</f>
        <v>0</v>
      </c>
      <c r="NK92" s="6">
        <f>COUNTIFS(Table112[Country],Tabela1[[#This Row],[Country]],Table112[Men''s Four Classification],"&gt;0")</f>
        <v>0</v>
      </c>
      <c r="NL92" s="6">
        <f>COUNTIFS(Table113[Country],Tabela1[[#This Row],[Country]],Table113[Classical Classification],"&gt;0")</f>
        <v>0</v>
      </c>
      <c r="NM92" s="6">
        <f>COUNTIFS(Table113116[Country],Tabela1[[#This Row],[Country]],Table113116[Classical Classification],"&gt;0")</f>
        <v>0</v>
      </c>
      <c r="NN92" s="6">
        <f>COUNTIFS(Table113[Country],Tabela1[[#This Row],[Country]],Table113[Freestyle Classification],"&gt;0")</f>
        <v>0</v>
      </c>
      <c r="NO92" s="6">
        <f>COUNTIFS(Table113116[Country],Tabela1[[#This Row],[Country]],Table113116[Freestyle Classification],"&gt;0")</f>
        <v>0</v>
      </c>
      <c r="NP92" s="6">
        <f>COUNTIFS(Table117[Country],Tabela1[[#This Row],[Country]],Table117[Men''s Relay Classification],"&gt;0")</f>
        <v>0</v>
      </c>
      <c r="NQ92" s="6">
        <f>COUNTIFS(Table117[Country],Tabela1[[#This Row],[Country]],Table117[Women''s Relay Classification],"&gt;0")</f>
        <v>0</v>
      </c>
      <c r="NR92" s="6">
        <f>COUNTIFS(Table113[Country],Tabela1[[#This Row],[Country]],Table113[Skiathlon Classification],"&gt;0")</f>
        <v>0</v>
      </c>
      <c r="NS92" s="6">
        <f>COUNTIFS(Table113116[Country],Tabela1[[#This Row],[Country]],Table113116[Skiathlon Classification],"&gt;0")</f>
        <v>0</v>
      </c>
      <c r="NT92" s="6">
        <f>COUNTIFS(Table113[Country],Tabela1[[#This Row],[Country]],Table113[Sprint Classification],"&gt;0")</f>
        <v>0</v>
      </c>
      <c r="NU92" s="6">
        <f>COUNTIFS(Table113116[Country],Tabela1[[#This Row],[Country]],Table113116[Sprint Classification],"&gt;0")</f>
        <v>0</v>
      </c>
      <c r="NV92" s="6">
        <f>COUNTIFS(Table116[Country],Tabela1[[#This Row],[Country]],Table116[Men''s Team Sprint Classification],"&gt;0")</f>
        <v>0</v>
      </c>
      <c r="NW92" s="6">
        <f>COUNTIFS(Table116[Country],Tabela1[[#This Row],[Country]],Table116[Women''s Team Sprint Classification],"&gt;0")</f>
        <v>0</v>
      </c>
      <c r="NX92" s="6">
        <f>COUNTIFS(Table119[Country],Tabela1[[#This Row],[Country]],Table119[Men''s Classification],"&gt;0")</f>
        <v>0</v>
      </c>
      <c r="NY92" s="6">
        <f>COUNTIFS(Table119[Country],Tabela1[[#This Row],[Country]],Table119[Women''s Classification],"&gt;0")</f>
        <v>0</v>
      </c>
      <c r="NZ92" s="6">
        <f>COUNTIFS(Table118[Country],Tabela1[[#This Row],[Country]],Table118[Mixed Classification],"&gt;0")</f>
        <v>0</v>
      </c>
      <c r="OA92" s="6">
        <f>COUNTIFS(Table120[Country],Tabela1[[#This Row],[Country]],Table120[Classification],"&gt;0")</f>
        <v>0</v>
      </c>
      <c r="OB92" s="6">
        <f>COUNTIFS(Table120123[Country],Tabela1[[#This Row],[Country]],Table120123[Classification],"&gt;0")</f>
        <v>0</v>
      </c>
      <c r="OC92" s="6">
        <f>COUNTIFS(Table123[Country],Tabela1[[#This Row],[Country]],Table123[Ice Dance Classification],"&gt;0")</f>
        <v>0</v>
      </c>
      <c r="OD92" s="6">
        <f>COUNTIFS(Table123[Country],Tabela1[[#This Row],[Country]],Table123[Pair Skating Classification],"&gt;0")</f>
        <v>0</v>
      </c>
      <c r="OE92" s="6">
        <f>COUNTIFS(Table124[Country],Tabela1[[#This Row],[Country]],Table124[Mixed Classification],"&gt;0")</f>
        <v>0</v>
      </c>
      <c r="OF92" s="6">
        <f>COUNTIFS(Table125[Country],Tabela1[[#This Row],[Country]],Table125[Aerials Classification],"&gt;0")</f>
        <v>0</v>
      </c>
      <c r="OG92" s="6">
        <f>COUNTIFS(Table125128[Country],Tabela1[[#This Row],[Country]],Table125128[Aerials Classification],"&gt;0")</f>
        <v>0</v>
      </c>
      <c r="OH92" s="6">
        <f>COUNTIFS(Table128[Country],Tabela1[[#This Row],[Country]],Table128[Mixed Aerials Classification],"&gt;0")</f>
        <v>0</v>
      </c>
      <c r="OI92" s="6">
        <f>COUNTIFS(Table125[Country],Tabela1[[#This Row],[Country]],Table125[Big Air Classification],"&gt;0")</f>
        <v>0</v>
      </c>
      <c r="OJ92" s="6">
        <f>COUNTIFS(Table125128[Country],Tabela1[[#This Row],[Country]],Table125128[Big Air Classification],"&gt;0")</f>
        <v>0</v>
      </c>
      <c r="OK92" s="6">
        <f>COUNTIFS(Table125[Country],Tabela1[[#This Row],[Country]],Table125[Dual Moguls Classification],"&gt;0")</f>
        <v>0</v>
      </c>
      <c r="OL92" s="6">
        <f>COUNTIFS(Table125128[Country],Tabela1[[#This Row],[Country]],Table125128[Dual Moguls Classification],"&gt;0")</f>
        <v>0</v>
      </c>
      <c r="OM92" s="6">
        <f>COUNTIFS(Table125[Country],Tabela1[[#This Row],[Country]],Table125[Halfpipe Classification],"&gt;0")</f>
        <v>0</v>
      </c>
      <c r="ON92" s="6">
        <f>COUNTIFS(Table125128[Country],Tabela1[[#This Row],[Country]],Table125128[Halfpipe Classification],"&gt;0")</f>
        <v>0</v>
      </c>
      <c r="OO92" s="6">
        <f>COUNTIFS(Table125[Country],Tabela1[[#This Row],[Country]],Table125[Moguls Classification],"&gt;0")</f>
        <v>0</v>
      </c>
      <c r="OP92" s="6">
        <f>COUNTIFS(Table125128[Country],Tabela1[[#This Row],[Country]],Table125128[Moguls Classification],"&gt;0")</f>
        <v>0</v>
      </c>
      <c r="OQ92" s="6">
        <f>COUNTIFS(Table125[Country],Tabela1[[#This Row],[Country]],Table125[Ski Cross Classification],"&gt;0")</f>
        <v>0</v>
      </c>
      <c r="OR92" s="6">
        <f>COUNTIFS(Table125128[Country],Tabela1[[#This Row],[Country]],Table125128[Ski Cross Classification],"&gt;0")</f>
        <v>0</v>
      </c>
      <c r="OS92" s="6">
        <f>COUNTIFS(Table125[Country],Tabela1[[#This Row],[Country]],Table125[Slopestyle Classification],"&gt;0")</f>
        <v>0</v>
      </c>
      <c r="OT92" s="6">
        <f>COUNTIFS(Table125128[Country],Tabela1[[#This Row],[Country]],Table125128[Slopestyle Classification],"&gt;0")</f>
        <v>0</v>
      </c>
      <c r="OU92" s="6">
        <f>COUNTIFS(Table119131[Country],Tabela1[[#This Row],[Country]],Table119131[Men''s Classification],"&gt;0")</f>
        <v>0</v>
      </c>
      <c r="OV92" s="6">
        <f>COUNTIFS(Table119131[Country],Tabela1[[#This Row],[Country]],Table119131[Women''s Classification],"&gt;0")</f>
        <v>0</v>
      </c>
      <c r="OW92" s="6">
        <f>COUNTIFS(Table131[Country],Tabela1[[#This Row],[Country]],Table131[Classification],"&gt;0")</f>
        <v>0</v>
      </c>
      <c r="OX92" s="6">
        <f>COUNTIFS(Table131134[Country],Tabela1[[#This Row],[Country]],Table131134[Classification],"&gt;0")</f>
        <v>0</v>
      </c>
      <c r="OY92" s="6">
        <f>COUNTIFS(Table134[Country],Tabela1[[#This Row],[Country]],Table134[Men''s Classification],"&gt;0")</f>
        <v>0</v>
      </c>
      <c r="OZ92" s="6">
        <f>COUNTIFS(Table134[Country],Tabela1[[#This Row],[Country]],Table134[Women''s Classification],"&gt;0")</f>
        <v>0</v>
      </c>
      <c r="PA92" s="6">
        <f>COUNTIFS(Table135[Country],Tabela1[[#This Row],[Country]],Table135[Mixed Relay Classification],"&gt;0")</f>
        <v>0</v>
      </c>
      <c r="PB92" s="6">
        <f>COUNTIFS(Table136[Country],Tabela1[[#This Row],[Country]],Table136[Individual Classification],"&gt;0")</f>
        <v>0</v>
      </c>
      <c r="PC92" s="6">
        <f>COUNTIFS(Table136[Country],Tabela1[[#This Row],[Country]],Table136[Sprint Classification],"&gt;0")</f>
        <v>0</v>
      </c>
      <c r="PD92" s="6">
        <f>COUNTIFS(Table137[Country],Tabela1[[#This Row],[Country]],Table137[Men''s Team Sprint Large Hill Classification],"&gt;0")</f>
        <v>0</v>
      </c>
      <c r="PE92" s="6">
        <f>COUNTIFS(Table138[Country],Tabela1[[#This Row],[Country]],Table138[500m Classification],"&gt;0")</f>
        <v>0</v>
      </c>
      <c r="PF92" s="6">
        <f>COUNTIFS(Table138141[Country],Tabela1[[#This Row],[Country]],Table138141[500m Classification],"&gt;0")</f>
        <v>0</v>
      </c>
      <c r="PG92" s="6">
        <f>COUNTIFS(Table138[Country],Tabela1[[#This Row],[Country]],Table138[1000m Classification],"&gt;0")</f>
        <v>0</v>
      </c>
      <c r="PH92" s="6">
        <f>COUNTIFS(Table138141[Country],Tabela1[[#This Row],[Country]],Table138141[1000m Classification],"&gt;0")</f>
        <v>0</v>
      </c>
      <c r="PI92" s="6">
        <f>COUNTIFS(Table138[Country],Tabela1[[#This Row],[Country]],Table138[1500m Classification],"&gt;0")</f>
        <v>0</v>
      </c>
      <c r="PJ92" s="6">
        <f>COUNTIFS(Table138141[Country],Tabela1[[#This Row],[Country]],Table138141[1500m Classification],"&gt;0")</f>
        <v>0</v>
      </c>
      <c r="PK92" s="6">
        <f>COUNTIFS(Table141[Country],Tabela1[[#This Row],[Country]],Table141[Men''s 5000m Relay Classification],"&gt;0")</f>
        <v>0</v>
      </c>
      <c r="PL92" s="6">
        <f>COUNTIFS(Table141[Country],Tabela1[[#This Row],[Country]],Table141[Women''s 3000m Relay Classification],"&gt;0")</f>
        <v>0</v>
      </c>
      <c r="PM92" s="6">
        <f>COUNTIFS(Table141[Country],Tabela1[[#This Row],[Country]],Table141[Mixed 2000m Relay Classification],"&gt;0")</f>
        <v>0</v>
      </c>
      <c r="PN92" s="6">
        <f>COUNTIFS(Table142[Country],Tabela1[[#This Row],[Country]],Table142[Classification],"&gt;0")</f>
        <v>0</v>
      </c>
      <c r="PO92" s="6">
        <f>COUNTIFS(Table142145[Country],Tabela1[[#This Row],[Country]],Table142145[Classification],"&gt;0")</f>
        <v>0</v>
      </c>
      <c r="PP92" s="6">
        <f>COUNTIFS(Tabela15[Country],Tabela1[[#This Row],[Country]],Tabela15[Mixed Team Classification],"&gt;0")</f>
        <v>0</v>
      </c>
      <c r="PQ92" s="6">
        <f>COUNTIFS(Table145[Country],Tabela1[[#This Row],[Country]],Table145[Large Hill Classification],"&gt;0")</f>
        <v>0</v>
      </c>
      <c r="PR92" s="6">
        <f>COUNTIFS(Table145[Country],Tabela1[[#This Row],[Country]],Table145[Normal Hill Classification],"&gt;0")</f>
        <v>0</v>
      </c>
      <c r="PS92" s="6">
        <f>COUNTIFS(Table145148[Country],Tabela1[[#This Row],[Country]],Table145148[Large Hill Classification],"&gt;0")</f>
        <v>0</v>
      </c>
      <c r="PT92" s="6">
        <f>COUNTIFS(Table145148[Country],Tabela1[[#This Row],[Country]],Table145148[Normal Hill Classification],"&gt;0")</f>
        <v>0</v>
      </c>
      <c r="PU92" s="6">
        <f>COUNTIFS(Table148[Country],Tabela1[[#This Row],[Country]],Table148[Men''s Super Team Classification],"&gt;0")</f>
        <v>0</v>
      </c>
      <c r="PV92" s="6">
        <f>COUNTIFS(Tabela114[Country],Tabela1[[#This Row],[Country]],Tabela114[Mixed Normal Hill Classification],"&gt;0")</f>
        <v>0</v>
      </c>
      <c r="PW92" s="6">
        <f>COUNTIFS(Tabela50[Country],Tabela1[[#This Row],[Country]],Tabela50[Sprint Classification],"&gt;0")</f>
        <v>0</v>
      </c>
      <c r="PX92" s="6">
        <f>COUNTIFS(Tabela50101[Country],Tabela1[[#This Row],[Country]],Tabela50101[Sprint Classification],"&gt;0")</f>
        <v>0</v>
      </c>
      <c r="PY92" s="6">
        <f>COUNTIFS(Tabela103[Country],Tabela1[[#This Row],[Country]],Tabela103[Mixed Relay Classification],"&gt;0")</f>
        <v>0</v>
      </c>
      <c r="PZ92" s="6">
        <f>COUNTIFS(Table149[Country],Tabela1[[#This Row],[Country]],Table149[Big Air Classification],"&gt;0")</f>
        <v>0</v>
      </c>
      <c r="QA92" s="6">
        <f>COUNTIFS(Table149152[Country],Tabela1[[#This Row],[Country]],Table149152[Big Air Classification],"&gt;0")</f>
        <v>0</v>
      </c>
      <c r="QB92" s="6">
        <f>COUNTIFS(Table149[Country],Tabela1[[#This Row],[Country]],Table149[Halfpipe Classification],"&gt;0")</f>
        <v>0</v>
      </c>
      <c r="QC92" s="6">
        <f>COUNTIFS(Table149152[Country],Tabela1[[#This Row],[Country]],Table149152[Halfpipe Classification],"&gt;0")</f>
        <v>0</v>
      </c>
      <c r="QD92" s="6">
        <f>COUNTIFS(Table149[Country],Tabela1[[#This Row],[Country]],Table149[Parallel Giant Slalom Classification],"&gt;0")</f>
        <v>0</v>
      </c>
      <c r="QE92" s="6">
        <f>COUNTIFS(Table149152[Country],Tabela1[[#This Row],[Country]],Table149152[Parallel Giant Slalom Classification],"&gt;0")</f>
        <v>0</v>
      </c>
      <c r="QF92" s="6">
        <f>COUNTIFS(Table149[Country],Tabela1[[#This Row],[Country]],Table149[Slopestyle Classification],"&gt;0")</f>
        <v>0</v>
      </c>
      <c r="QG92" s="6">
        <f>COUNTIFS(Table149152[Country],Tabela1[[#This Row],[Country]],Table149152[Slopestyle Classification],"&gt;0")</f>
        <v>0</v>
      </c>
      <c r="QH92" s="6">
        <f>COUNTIFS(Table149[Country],Tabela1[[#This Row],[Country]],Table149[Snowboard Cross Classification],"&gt;0")</f>
        <v>0</v>
      </c>
      <c r="QI92" s="6">
        <f>COUNTIFS(Table149152[Country],Tabela1[[#This Row],[Country]],Table149152[Snowboard Cross Classification],"&gt;0")</f>
        <v>0</v>
      </c>
      <c r="QJ92" s="6">
        <f>COUNTIFS(Table153[Country],Tabela1[[#This Row],[Country]],Table153[Mixed Team Snowboard Cross Classification],"&gt;0")</f>
        <v>0</v>
      </c>
      <c r="QK92" s="6">
        <f>COUNTIFS(Table154[Country],Tabela1[[#This Row],[Country]],Table154[500m Classification],"&gt;0")</f>
        <v>0</v>
      </c>
      <c r="QL92" s="6">
        <f>COUNTIFS(Table154157[Country],Tabela1[[#This Row],[Country]],Table154157[500m Classification],"&gt;0")</f>
        <v>0</v>
      </c>
      <c r="QM92" s="6">
        <f>COUNTIFS(Table154[Country],Tabela1[[#This Row],[Country]],Table154[1000m Classification],"&gt;0")</f>
        <v>0</v>
      </c>
      <c r="QN92" s="6">
        <f>COUNTIFS(Table154157[Country],Tabela1[[#This Row],[Country]],Table154157[1000m Classification],"&gt;0")</f>
        <v>0</v>
      </c>
      <c r="QO92" s="6">
        <f>COUNTIFS(Table154[Country],Tabela1[[#This Row],[Country]],Table154[1500m Classification],"&gt;0")</f>
        <v>0</v>
      </c>
      <c r="QP92" s="6">
        <f>COUNTIFS(Table154157[Country],Tabela1[[#This Row],[Country]],Table154157[1500m Classification],"&gt;0")</f>
        <v>0</v>
      </c>
      <c r="QQ92" s="6">
        <f>COUNTIFS(Table154157[Country],Tabela1[[#This Row],[Country]],Table154157[3000m Classification],"&gt;0")</f>
        <v>0</v>
      </c>
      <c r="QR92" s="6">
        <f>COUNTIFS(Table154[Country],Tabela1[[#This Row],[Country]],Table154[5000m Classification],"&gt;0")</f>
        <v>0</v>
      </c>
      <c r="QS92" s="6">
        <f>COUNTIFS(Table154157[Country],Tabela1[[#This Row],[Country]],Table154157[5000m Classification],"&gt;0")</f>
        <v>0</v>
      </c>
      <c r="QT92" s="6">
        <f>COUNTIFS(Table154[Country],Tabela1[[#This Row],[Country]],Table154[10000m Classification],"&gt;0")</f>
        <v>0</v>
      </c>
      <c r="QU92" s="6">
        <f>COUNTIFS(Table154[Country],Tabela1[[#This Row],[Country]],Table154[Mass Start Classification],"&gt;0")</f>
        <v>0</v>
      </c>
      <c r="QV92" s="6">
        <f>COUNTIFS(Table154157[Country],Tabela1[[#This Row],[Country]],Table154157[Mass Start Classification],"&gt;0")</f>
        <v>0</v>
      </c>
      <c r="QW92" s="6">
        <f>COUNTIFS(Table157[Country],Tabela1[[#This Row],[Country]],Table157[Men''s Pursuit Classification],"&gt;0")</f>
        <v>0</v>
      </c>
      <c r="QX92" s="6">
        <f>COUNTIFS(Table157[Country],Tabela1[[#This Row],[Country]],Table157[Women''s Pursuit Classification],"&gt;0")</f>
        <v>0</v>
      </c>
      <c r="QY92" s="3" t="s">
        <v>421</v>
      </c>
    </row>
    <row r="93" spans="1:467" x14ac:dyDescent="0.3">
      <c r="A93" s="6">
        <v>92</v>
      </c>
      <c r="B93" s="6" t="s">
        <v>608</v>
      </c>
      <c r="C93" t="e" vm="92">
        <f>IF(ISBLANK(Tabela1[[#This Row],[Image Link]]), "", _xlfn.IMAGE(Tabela1[[#This Row],[Image Link]],1,1))</f>
        <v>#VALUE!</v>
      </c>
      <c r="D93" s="6">
        <f>SUM(Tabela1[[#This Row],[Archery - Men''s Individual Recurve]:[Speed Skating - Women''s Team Pursuit]])</f>
        <v>4</v>
      </c>
      <c r="E93" s="6">
        <f>COUNTIF(Tabela1[[#This Row],[Archery - Men''s Individual Recurve]:[Speed Skating - Women''s Team Pursuit]],"&gt;0")</f>
        <v>4</v>
      </c>
      <c r="F93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93" s="6">
        <f>SUM(Tabela1[[#This Row],[Archery - Men''s Individual Recurve]:[Wrestling - Women''s Freestyle 76kg]])</f>
        <v>4</v>
      </c>
      <c r="H93" s="6">
        <f>SUM(Tabela1[[#This Row],[Alpine Skiing - Men''s Downhill]:[Speed Skating - Women''s Team Pursuit]])</f>
        <v>0</v>
      </c>
      <c r="I93" s="6">
        <f>Tabela1[[#This Row],[Summer Gold Medals]]+Tabela1[[#This Row],[Winter Gold Medals]]</f>
        <v>0</v>
      </c>
      <c r="J93" s="6">
        <f>Tabela1[[#This Row],[Summer Silver Medals]]+Tabela1[[#This Row],[Winter Silver Medals]]</f>
        <v>1</v>
      </c>
      <c r="K93" s="6">
        <f>Tabela1[[#This Row],[Summer Bronze Medals]]+Tabela1[[#This Row],[Winter Bronze Medals]]</f>
        <v>1</v>
      </c>
      <c r="L93" s="6">
        <f>SUM(Tabela1[[#This Row],[Total Gold Medals]:[Total Bronze Medals]])</f>
        <v>2</v>
      </c>
      <c r="M93" s="6"/>
      <c r="N93" s="6">
        <v>1</v>
      </c>
      <c r="O93" s="6">
        <v>1</v>
      </c>
      <c r="P93" s="6">
        <f>SUM(Tabela1[[#This Row],[Summer Gold Medals]:[Summer Bronze Medals]])</f>
        <v>2</v>
      </c>
      <c r="Q93" s="6"/>
      <c r="R93" s="6"/>
      <c r="S93" s="6"/>
      <c r="T93" s="6">
        <f>Tabela1[[#This Row],[Winter Gold Medals]]+Tabela1[[#This Row],[Winter Silver Medals]]+Tabela1[[#This Row],[Winter Bronze Medals]]</f>
        <v>0</v>
      </c>
      <c r="U93" s="7">
        <f>Tabela1[[#This Row],[Total Medals]]/Tabela1[[#This Row],[Total Quotas]]</f>
        <v>0.5</v>
      </c>
      <c r="V93" s="6">
        <f>COUNTIFS(Table3[Country],Tabela1[[#This Row],[Country]],Table3[Recurve Classification],"&gt;0")</f>
        <v>0</v>
      </c>
      <c r="W93" s="6">
        <f>COUNTIFS(Table33[Country],Tabela1[[#This Row],[Country]],Table33[Recurve Classification],"&gt;0")</f>
        <v>0</v>
      </c>
      <c r="X93" s="6">
        <f>COUNTIFS(Table35[Country],Tabela1[[#This Row],[Country]],Table35[Men''s Team Recurve Classification],"&gt;0")</f>
        <v>0</v>
      </c>
      <c r="Y93" s="6">
        <f>COUNTIFS(Table35[Country],Tabela1[[#This Row],[Country]],Table35[Women''s Team Recurve Classification],"&gt;0")</f>
        <v>0</v>
      </c>
      <c r="Z93" s="6">
        <f>COUNTIFS(Tabela88[Country],Tabela1[[#This Row],[Country]],Tabela88[Mixed Team Recurve Classification],"&gt;0")</f>
        <v>0</v>
      </c>
      <c r="AA93" s="6">
        <f>COUNTIFS(Table36[Country],Tabela1[[#This Row],[Country]],Table36[Classification],"&gt;0")</f>
        <v>0</v>
      </c>
      <c r="AB93" s="6">
        <f>COUNTIFS(Table37[Country],Tabela1[[#This Row],[Country]],Table37[Classification],"&gt;0")</f>
        <v>0</v>
      </c>
      <c r="AC93" s="6">
        <f>COUNTIFS(Table4[Country],Tabela1[[#This Row],[Country]],Table4[100m Classification],"&gt;0")</f>
        <v>0</v>
      </c>
      <c r="AD93" s="6">
        <f>COUNTIFS(Table5[Country],Tabela1[[#This Row],[Country]],Table5[100m Classification],"&gt;0")</f>
        <v>0</v>
      </c>
      <c r="AE93" s="6">
        <f>COUNTIFS(Table4[Country],Tabela1[[#This Row],[Country]],Table4[200m Classification],"&gt;0")</f>
        <v>0</v>
      </c>
      <c r="AF93" s="6">
        <f>COUNTIFS(Table5[Country],Tabela1[[#This Row],[Country]],Table5[200m Classification],"&gt;0")</f>
        <v>0</v>
      </c>
      <c r="AG93" s="6">
        <f>COUNTIFS(Table4[Country],Tabela1[[#This Row],[Country]],Table4[400m Classification],"&gt;0")</f>
        <v>0</v>
      </c>
      <c r="AH93" s="6">
        <f>COUNTIFS(Table5[Country],Tabela1[[#This Row],[Country]],Table5[400m Classification],"&gt;0")</f>
        <v>0</v>
      </c>
      <c r="AI93" s="6">
        <f>COUNTIFS(Table4[Country],Tabela1[[#This Row],[Country]],Table4[800m Classification],"&gt;0")</f>
        <v>0</v>
      </c>
      <c r="AJ93" s="6">
        <f>COUNTIFS(Table5[Country],Tabela1[[#This Row],[Country]],Table5[800m Classification],"&gt;0")</f>
        <v>0</v>
      </c>
      <c r="AK93" s="6">
        <f>COUNTIFS(Table4[Country],Tabela1[[#This Row],[Country]],Table4[1500m Classification],"&gt;0")</f>
        <v>0</v>
      </c>
      <c r="AL93" s="6">
        <f>COUNTIFS(Table5[Country],Tabela1[[#This Row],[Country]],Table5[1500m Classification],"&gt;0")</f>
        <v>0</v>
      </c>
      <c r="AM93" s="6">
        <f>COUNTIFS(Table4[Country],Tabela1[[#This Row],[Country]],Table4[5000m Classification],"&gt;0")</f>
        <v>0</v>
      </c>
      <c r="AN93" s="6">
        <f>COUNTIFS(Table5[Country],Tabela1[[#This Row],[Country]],Table5[5000m Classification],"&gt;0")</f>
        <v>0</v>
      </c>
      <c r="AO93" s="6">
        <f>COUNTIFS(Table4[Country],Tabela1[[#This Row],[Country]],Table4[10000m Classification],"&gt;0")</f>
        <v>0</v>
      </c>
      <c r="AP93" s="6">
        <f>COUNTIFS(Table5[Country],Tabela1[[#This Row],[Country]],Table5[10000m Classification],"&gt;0")</f>
        <v>0</v>
      </c>
      <c r="AQ93" s="6">
        <f>COUNTIFS(Table4[Country],Tabela1[[#This Row],[Country]],Table4[110m Hurdles Classification],"&gt;0")</f>
        <v>0</v>
      </c>
      <c r="AR93" s="6">
        <f>COUNTIFS(Table5[Country],Tabela1[[#This Row],[Country]],Table5[100m Hurdles Classification],"&gt;0")</f>
        <v>0</v>
      </c>
      <c r="AS93" s="6">
        <f>COUNTIFS(Table4[Country],Tabela1[[#This Row],[Country]],Table4[400m Hurdles Classification],"&gt;0")</f>
        <v>0</v>
      </c>
      <c r="AT93" s="6">
        <f>COUNTIFS(Table5[Country],Tabela1[[#This Row],[Country]],Table5[400m Hurdles Classification],"&gt;0")</f>
        <v>0</v>
      </c>
      <c r="AU93" s="6">
        <f>COUNTIFS(Table4[Country],Tabela1[[#This Row],[Country]],Table4[3000m Steeplechase Classification],"&gt;0")</f>
        <v>0</v>
      </c>
      <c r="AV93" s="6">
        <f>COUNTIFS(Table5[Country],Tabela1[[#This Row],[Country]],Table5[3000m Steeplechase Classification],"&gt;0")</f>
        <v>0</v>
      </c>
      <c r="AW93" s="6">
        <f>COUNTIFS(Table27[Country],Tabela1[[#This Row],[Country]],Table27[Men''s 4x100m Relay Classification],"&gt;0")</f>
        <v>0</v>
      </c>
      <c r="AX93" s="6">
        <f>COUNTIFS(Table27[Country],Tabela1[[#This Row],[Country]],Table27[Women''s 4x100m Relay Classification],"&gt;0")</f>
        <v>0</v>
      </c>
      <c r="AY93" s="6">
        <f>COUNTIFS(Table27[Country],Tabela1[[#This Row],[Country]],Table27[Men''s 4x400m Relay Classification],"&gt;0")</f>
        <v>0</v>
      </c>
      <c r="AZ93" s="6">
        <f>COUNTIFS(Table27[Country],Tabela1[[#This Row],[Country]],Table27[Women''s 4x400m Relay Classification],"&gt;0")</f>
        <v>0</v>
      </c>
      <c r="BA93" s="6">
        <f>COUNTIFS(Table27[Country],Tabela1[[#This Row],[Country]],Table27[Mixed 4x400m Relay Classification],"&gt;0")</f>
        <v>0</v>
      </c>
      <c r="BB93" s="6">
        <f>COUNTIFS(Table4[Country],Tabela1[[#This Row],[Country]],Table4[Marathon Classification],"&gt;0")</f>
        <v>0</v>
      </c>
      <c r="BC93" s="6">
        <f>COUNTIFS(Table5[Country],Tabela1[[#This Row],[Country]],Table5[Marathon Classification],"&gt;0")</f>
        <v>0</v>
      </c>
      <c r="BD93" s="6">
        <f>COUNTIFS(Table4[Country],Tabela1[[#This Row],[Country]],Table4[20km Race Walk Classification],"&gt;0")</f>
        <v>0</v>
      </c>
      <c r="BE93" s="6">
        <f>COUNTIFS(Table5[Country],Tabela1[[#This Row],[Country]],Table5[20km Race Walk Classification],"&gt;0")</f>
        <v>0</v>
      </c>
      <c r="BF93" s="6">
        <f>COUNTIFS(Tabela96[Country],Tabela1[[#This Row],[Country]],Tabela96[Mixed Marathon Race Walk Relay Classification],"&gt;0")</f>
        <v>0</v>
      </c>
      <c r="BG93" s="6">
        <f>COUNTIFS(Table4[Country],Tabela1[[#This Row],[Country]],Table4[Discus Throw Classification],"&gt;0")</f>
        <v>0</v>
      </c>
      <c r="BH93" s="6">
        <f>COUNTIFS(Table5[Country],Tabela1[[#This Row],[Country]],Table5[Discus Throw Classification],"&gt;0")</f>
        <v>0</v>
      </c>
      <c r="BI93" s="6">
        <f>COUNTIFS(Table4[Country],Tabela1[[#This Row],[Country]],Table4[Hammer Throw Classification],"&gt;0")</f>
        <v>0</v>
      </c>
      <c r="BJ93" s="6">
        <f>COUNTIFS(Table5[Country],Tabela1[[#This Row],[Country]],Table5[Hammer Throw Classification],"&gt;0")</f>
        <v>0</v>
      </c>
      <c r="BK93" s="6">
        <f>COUNTIFS(Table4[Country],Tabela1[[#This Row],[Country]],Table4[High Jump Classification],"&gt;0")</f>
        <v>0</v>
      </c>
      <c r="BL93" s="6">
        <f>COUNTIFS(Table5[Country],Tabela1[[#This Row],[Country]],Table5[High Jump Classification],"&gt;0")</f>
        <v>0</v>
      </c>
      <c r="BM93" s="6">
        <f>COUNTIFS(Table4[Country],Tabela1[[#This Row],[Country]],Table4[Javelin Throw Classification],"&gt;0")</f>
        <v>0</v>
      </c>
      <c r="BN93" s="6">
        <f>COUNTIFS(Table5[Country],Tabela1[[#This Row],[Country]],Table5[Javelin Throw Classification],"&gt;0")</f>
        <v>0</v>
      </c>
      <c r="BO93" s="6">
        <f>COUNTIFS(Table4[Country],Tabela1[[#This Row],[Country]],Table4[Long Jump Classification],"&gt;0")</f>
        <v>0</v>
      </c>
      <c r="BP93" s="6">
        <f>COUNTIFS(Table5[Country],Tabela1[[#This Row],[Country]],Table5[Long Jump Classification],"&gt;0")</f>
        <v>0</v>
      </c>
      <c r="BQ93" s="6">
        <f>COUNTIFS(Table4[Country],Tabela1[[#This Row],[Country]],Table4[Pole Vault Classification],"&gt;0")</f>
        <v>0</v>
      </c>
      <c r="BR93" s="6">
        <f>COUNTIFS(Table5[Country],Tabela1[[#This Row],[Country]],Table5[Pole Vault Classification],"&gt;0")</f>
        <v>0</v>
      </c>
      <c r="BS93" s="6">
        <f>COUNTIFS(Table4[Country],Tabela1[[#This Row],[Country]],Table4[Shot Put Classification],"&gt;0")</f>
        <v>0</v>
      </c>
      <c r="BT93" s="6">
        <f>COUNTIFS(Table5[Country],Tabela1[[#This Row],[Country]],Table5[Shot Put Classification],"&gt;0")</f>
        <v>0</v>
      </c>
      <c r="BU93" s="6">
        <f>COUNTIFS(Table4[Country],Tabela1[[#This Row],[Country]],Table4[Triple Jump Classification],"&gt;0")</f>
        <v>0</v>
      </c>
      <c r="BV93" s="6">
        <f>COUNTIFS(Table5[Country],Tabela1[[#This Row],[Country]],Table5[Triple Jump Classification],"&gt;0")</f>
        <v>0</v>
      </c>
      <c r="BW93" s="6">
        <f>COUNTIFS(Table4[Country],Tabela1[[#This Row],[Country]],Table4[Decathlon Classification],"&gt;0")</f>
        <v>0</v>
      </c>
      <c r="BX93" s="6">
        <f>COUNTIFS(Table5[Country],Tabela1[[#This Row],[Country]],Table5[Heptathlon Classification],"&gt;0")</f>
        <v>0</v>
      </c>
      <c r="BY93" s="6">
        <f>COUNTIFS(Table61[Country],Tabela1[[#This Row],[Country]],Table61[Classification],"&gt;0")</f>
        <v>0</v>
      </c>
      <c r="BZ93" s="6">
        <f>COUNTIFS(Table38[Country],Tabela1[[#This Row],[Country]],Table38[Classification],"&gt;0")</f>
        <v>0</v>
      </c>
      <c r="CA93" s="6">
        <f>COUNTIFS(Table39[Country],Tabela1[[#This Row],[Country]],Table39[Men''s Classification],"&gt;0")</f>
        <v>0</v>
      </c>
      <c r="CB93" s="6">
        <f>COUNTIFS(Table39[Country],Tabela1[[#This Row],[Country]],Table39[Women''s Classification],"&gt;0")</f>
        <v>0</v>
      </c>
      <c r="CC93" s="6">
        <f>COUNTIFS(Table39[Country],Tabela1[[#This Row],[Country]],Table39[Mixed Classification],"&gt;0")</f>
        <v>0</v>
      </c>
      <c r="CD93" s="6">
        <f>COUNTIFS(Table89[Country],Tabela1[[#This Row],[Country]],Table89[Men''s Classification],"&gt;0")</f>
        <v>0</v>
      </c>
      <c r="CE93" s="6">
        <f>COUNTIFS(Table89[Country],Tabela1[[#This Row],[Country]],Table89[Women''s Classification],"&gt;0")</f>
        <v>0</v>
      </c>
      <c r="CF93" s="6">
        <f>COUNTIFS(Table90[Country],Tabela1[[#This Row],[Country]],Table90[Men''s Classification],"&gt;0")</f>
        <v>0</v>
      </c>
      <c r="CG93" s="6">
        <f>COUNTIFS(Table90[Country],Tabela1[[#This Row],[Country]],Table90[Women''s Classification],"&gt;0")</f>
        <v>0</v>
      </c>
      <c r="CH93" s="6">
        <f>COUNTIFS(Table60[Country],Tabela1[[#This Row],[Country]],Table60[Men''s Classification],"&gt;0")</f>
        <v>0</v>
      </c>
      <c r="CI93" s="6">
        <f>COUNTIFS(Table60[Country],Tabela1[[#This Row],[Country]],Table60[Women''s Classification],"&gt;0")</f>
        <v>0</v>
      </c>
      <c r="CJ93" s="6">
        <f>COUNTIFS(Table6[Country],Tabela1[[#This Row],[Country]],Table6[51kg Classification],"&gt;0")</f>
        <v>0</v>
      </c>
      <c r="CK93" s="6">
        <f>COUNTIFS(Table6[Country],Tabela1[[#This Row],[Country]],Table6[57kg Classification],"&gt;0")</f>
        <v>0</v>
      </c>
      <c r="CL93" s="6">
        <f>COUNTIFS(Table6[Country],Tabela1[[#This Row],[Country]],Table6[63.5kg Classification],"&gt;0")</f>
        <v>0</v>
      </c>
      <c r="CM93" s="6">
        <f>COUNTIFS(Table6[Country],Tabela1[[#This Row],[Country]],Table6[71kg Classification],"&gt;0")</f>
        <v>0</v>
      </c>
      <c r="CN93" s="6">
        <f>COUNTIFS(Table6[Country],Tabela1[[#This Row],[Country]],Table6[80kg Classification],"&gt;0")</f>
        <v>0</v>
      </c>
      <c r="CO93" s="6">
        <f>COUNTIFS(Table6[Country],Tabela1[[#This Row],[Country]],Table6[92kg Classification],"&gt;0")</f>
        <v>0</v>
      </c>
      <c r="CP93" s="6">
        <f>COUNTIFS(Table6[Country],Tabela1[[#This Row],[Country]],Table6[Plus 92kg Classification],"&gt;0")</f>
        <v>0</v>
      </c>
      <c r="CQ93" s="6">
        <f>COUNTIFS(Table7[Country],Tabela1[[#This Row],[Country]],Table7[50kg Classification],"&gt;0")</f>
        <v>0</v>
      </c>
      <c r="CR93" s="6">
        <f>COUNTIFS(Table7[Country],Tabela1[[#This Row],[Country]],Table7[54kg Classification],"&gt;0")</f>
        <v>0</v>
      </c>
      <c r="CS93" s="6">
        <f>COUNTIFS(Table7[Country],Tabela1[[#This Row],[Country]],Table7[57kg Classification],"&gt;0")</f>
        <v>0</v>
      </c>
      <c r="CT93" s="6">
        <f>COUNTIFS(Table7[Country],Tabela1[[#This Row],[Country]],Table7[60kg Classification],"&gt;0")</f>
        <v>0</v>
      </c>
      <c r="CU93" s="6">
        <f>COUNTIFS(Table7[Country],Tabela1[[#This Row],[Country]],Table7[66kg Classification],"&gt;0")</f>
        <v>0</v>
      </c>
      <c r="CV93" s="6">
        <f>COUNTIFS(Table7[Country],Tabela1[[#This Row],[Country]],Table7[75kg Classification],"&gt;0")</f>
        <v>0</v>
      </c>
      <c r="CW93" s="6">
        <f>COUNTIFS(Tabela94[Country],Tabela1[[#This Row],[Country]],Tabela94[Classification],"&gt;0")</f>
        <v>0</v>
      </c>
      <c r="CX93" s="6">
        <f>COUNTIFS(Tabela9499[Country],Tabela1[[#This Row],[Country]],Tabela9499[Classification],"&gt;0")</f>
        <v>0</v>
      </c>
      <c r="CY93" s="6">
        <f>COUNTIFS(Tabela107[Country],Tabela1[[#This Row],[Country]],Tabela107[C1 Slalom Classification],"&gt;0")</f>
        <v>0</v>
      </c>
      <c r="CZ93" s="6">
        <f>COUNTIFS(Tabela107122[Country],Tabela1[[#This Row],[Country]],Tabela107122[C1 Slalom Classification],"&gt;0")</f>
        <v>0</v>
      </c>
      <c r="DA93" s="6">
        <f>COUNTIFS(Tabela107[Country],Tabela1[[#This Row],[Country]],Tabela107[K1 Slalom Classification],"&gt;0")</f>
        <v>0</v>
      </c>
      <c r="DB93" s="6">
        <f>COUNTIFS(Tabela107122[Country],Tabela1[[#This Row],[Country]],Tabela107122[K1 Slalom Classification],"&gt;0")</f>
        <v>0</v>
      </c>
      <c r="DC93" s="6">
        <f>COUNTIFS(Tabela107[Country],Tabela1[[#This Row],[Country]],Tabela107[Kayak Cross Slalom Classification],"&gt;0")</f>
        <v>0</v>
      </c>
      <c r="DD93" s="6">
        <f>COUNTIFS(Tabela107122[Country],Tabela1[[#This Row],[Country]],Tabela107122[Kayak Cross Slalom Classification],"&gt;0")</f>
        <v>0</v>
      </c>
      <c r="DE93" s="6">
        <f>COUNTIFS(Table8[Country],Tabela1[[#This Row],[Country]],Table8[C1 200m Classification],"&gt;0")</f>
        <v>0</v>
      </c>
      <c r="DF93" s="6">
        <f>COUNTIFS(Table40[Country],Tabela1[[#This Row],[Country]],Table40[C1 1000m Classification],"&gt;0")</f>
        <v>0</v>
      </c>
      <c r="DG93" s="6">
        <f>COUNTIFS(Table68[Country],Tabela1[[#This Row],[Country]],Table68[Men''s C2 500m Classification],"&gt;0")</f>
        <v>0</v>
      </c>
      <c r="DH93" s="6">
        <f>COUNTIFS(Table68[Country],Tabela1[[#This Row],[Country]],Table68[Women''s C2 500m Classification],"&gt;0")</f>
        <v>0</v>
      </c>
      <c r="DI93" s="6">
        <f>COUNTIFS(Table8[Country],Tabela1[[#This Row],[Country]],Table8[K1 500m Classification],"&gt;0")</f>
        <v>0</v>
      </c>
      <c r="DJ93" s="6">
        <f>COUNTIFS(Table40[Country],Tabela1[[#This Row],[Country]],Table40[K1 1000m Classification],"&gt;0")</f>
        <v>0</v>
      </c>
      <c r="DK93" s="6">
        <f>COUNTIFS(Table68[Country],Tabela1[[#This Row],[Country]],Table68[Men''s K2 500m Classification],"&gt;0")</f>
        <v>0</v>
      </c>
      <c r="DL93" s="6">
        <f>COUNTIFS(Table68[Country],Tabela1[[#This Row],[Country]],Table68[Women''s K2 500m Classification],"&gt;0")</f>
        <v>0</v>
      </c>
      <c r="DM93" s="6">
        <f>COUNTIFS(Table83[Country],Tabela1[[#This Row],[Country]],Table83[Men''s K4 500m Classification],"&gt;0")</f>
        <v>0</v>
      </c>
      <c r="DN93" s="6">
        <f>COUNTIFS(Table83[Country],Tabela1[[#This Row],[Country]],Table83[Women''s K4 500m Classification],"&gt;0")</f>
        <v>0</v>
      </c>
      <c r="DO93" s="6">
        <f>COUNTIFS(Tabela126[Country],Tabela1[[#This Row],[Country]],Tabela126[Classification],"&gt;0")</f>
        <v>0</v>
      </c>
      <c r="DP93" s="6">
        <f>COUNTIFS(Tabela126130[Country],Tabela1[[#This Row],[Country]],Tabela126130[Classification],"&gt;0")</f>
        <v>0</v>
      </c>
      <c r="DQ93" s="6">
        <f>COUNTIFS(Table70[Country],Tabela1[[#This Row],[Country]],Table70[Classification],"&gt;0")</f>
        <v>0</v>
      </c>
      <c r="DR93" s="6">
        <f>COUNTIFS(Table80[Country],Tabela1[[#This Row],[Country]],Table80[Classification],"&gt;0")</f>
        <v>0</v>
      </c>
      <c r="DS93" s="6">
        <f>COUNTIFS(Table66[Country],Tabela1[[#This Row],[Country]],Table66[Classification],"&gt;0")</f>
        <v>0</v>
      </c>
      <c r="DT93" s="6">
        <f>COUNTIFS(Table67[Country],Tabela1[[#This Row],[Country]],Table67[Classification],"&gt;0")</f>
        <v>0</v>
      </c>
      <c r="DU93" s="6">
        <f>COUNTIFS(Table69[Country],Tabela1[[#This Row],[Country]],Table69[Keirin Classification],"&gt;0")</f>
        <v>0</v>
      </c>
      <c r="DV93" s="6">
        <f>COUNTIFS(Table41[Country],Tabela1[[#This Row],[Country]],Table41[Keirin Classification],"&gt;0")</f>
        <v>0</v>
      </c>
      <c r="DW93" s="6">
        <f>COUNTIFS(Table84[Country],Tabela1[[#This Row],[Country]],Table84[Men''s Madison Classification],"&gt;0")</f>
        <v>0</v>
      </c>
      <c r="DX93" s="6">
        <f>COUNTIFS(Table84[Country],Tabela1[[#This Row],[Country]],Table84[Women''s Madison Classification],"&gt;0")</f>
        <v>0</v>
      </c>
      <c r="DY93" s="6">
        <f>COUNTIFS(Table69[Country],Tabela1[[#This Row],[Country]],Table69[Omnium Classification],"&gt;0")</f>
        <v>0</v>
      </c>
      <c r="DZ93" s="6">
        <f>COUNTIFS(Table41[Country],Tabela1[[#This Row],[Country]],Table41[Omnium Classification],"&gt;0")</f>
        <v>0</v>
      </c>
      <c r="EA93" s="6">
        <f>COUNTIFS(Table9[Country],Tabela1[[#This Row],[Country]],Table9[Road Race Classification],"&gt;0")</f>
        <v>0</v>
      </c>
      <c r="EB93" s="6">
        <f>COUNTIFS(Table14[Country],Tabela1[[#This Row],[Country]],Table14[Road Race Classification],"&gt;0")</f>
        <v>0</v>
      </c>
      <c r="EC93" s="6">
        <f>COUNTIFS(Table69[Country],Tabela1[[#This Row],[Country]],Table69[Sprint Classification],"&gt;0")</f>
        <v>0</v>
      </c>
      <c r="ED93" s="6">
        <f>COUNTIFS(Table41[Country],Tabela1[[#This Row],[Country]],Table41[Sprint Classification],"&gt;0")</f>
        <v>0</v>
      </c>
      <c r="EE93" s="6">
        <f>COUNTIFS(Table85[Country],Tabela1[[#This Row],[Country]],Table85[Men''s Sprint Classification],"&gt;0")</f>
        <v>0</v>
      </c>
      <c r="EF93" s="6">
        <f>COUNTIFS(Table85[Country],Tabela1[[#This Row],[Country]],Table85[Women''s Sprint Classification],"&gt;0")</f>
        <v>0</v>
      </c>
      <c r="EG93" s="6">
        <f>COUNTIFS(Table85[Country],Tabela1[[#This Row],[Country]],Table85[Men''s Pursuit Classification],"&gt;0")</f>
        <v>0</v>
      </c>
      <c r="EH93" s="6">
        <f>COUNTIFS(Table85[Country],Tabela1[[#This Row],[Country]],Table85[Women''s Pursuit Classification],"&gt;0")</f>
        <v>0</v>
      </c>
      <c r="EI93" s="6">
        <f>COUNTIFS(Table9[Country],Tabela1[[#This Row],[Country]],Table9[Time-Trial Classification],"&gt;0")</f>
        <v>0</v>
      </c>
      <c r="EJ93" s="6">
        <f>COUNTIFS(Table14[Country],Tabela1[[#This Row],[Country]],Table14[Time-Trial Classification],"&gt;0")</f>
        <v>0</v>
      </c>
      <c r="EK93" s="6">
        <f>COUNTIFS(Table42[Country],Tabela1[[#This Row],[Country]],Table42[Springboard Classification],"&gt;0")</f>
        <v>0</v>
      </c>
      <c r="EL93" s="6">
        <f>COUNTIFS(Table43[Country],Tabela1[[#This Row],[Country]],Table43[Springboard Classification],"&gt;0")</f>
        <v>0</v>
      </c>
      <c r="EM93" s="6">
        <f>COUNTIFS(Table42[Country],Tabela1[[#This Row],[Country]],Table42[Platform Classification],"&gt;0")</f>
        <v>0</v>
      </c>
      <c r="EN93" s="6">
        <f>COUNTIFS(Table43[Country],Tabela1[[#This Row],[Country]],Table43[Platform Classification],"&gt;0")</f>
        <v>0</v>
      </c>
      <c r="EO93" s="6">
        <f>COUNTIFS(Table86[Country],Tabela1[[#This Row],[Country]],Table86[Men''s Synchronized Springboard Classification],"&gt;0")</f>
        <v>0</v>
      </c>
      <c r="EP93" s="6">
        <f>COUNTIFS(Table86[Country],Tabela1[[#This Row],[Country]],Table86[Women''s Synchronized Springboard Classification],"&gt;0")</f>
        <v>0</v>
      </c>
      <c r="EQ93" s="6">
        <f>COUNTIFS(Table86[Country],Tabela1[[#This Row],[Country]],Table86[Men''s Synchronized Platform Classification],"&gt;0")</f>
        <v>0</v>
      </c>
      <c r="ER93" s="6">
        <f>COUNTIFS(Table86[Country],Tabela1[[#This Row],[Country]],Table86[Women''s Synchronized Platform Classification],"&gt;0")</f>
        <v>0</v>
      </c>
      <c r="ES93" s="6">
        <f>COUNTIFS(Table44[Country],Tabela1[[#This Row],[Country]],Table44[Dressage Classification],"&gt;0")</f>
        <v>0</v>
      </c>
      <c r="ET93" s="6">
        <f>COUNTIFS(Table45[Country],Tabela1[[#This Row],[Country]],Table45[Dressage Classification],"&gt;0")</f>
        <v>0</v>
      </c>
      <c r="EU93" s="6">
        <f>COUNTIFS(Table44[Country],Tabela1[[#This Row],[Country]],Table44[Eventing Classification],"&gt;0")</f>
        <v>0</v>
      </c>
      <c r="EV93" s="6">
        <f>COUNTIFS(Table45[Country],Tabela1[[#This Row],[Country]],Table45[Eventing Classification],"&gt;0")</f>
        <v>0</v>
      </c>
      <c r="EW93" s="6">
        <f>COUNTIFS(Table44[Country],Tabela1[[#This Row],[Country]],Table44[Jumping Classification],"&gt;0")</f>
        <v>0</v>
      </c>
      <c r="EX93" s="6">
        <f>COUNTIFS(Table45[Country],Tabela1[[#This Row],[Country]],Table45[Jumping Classification],"&gt;0")</f>
        <v>0</v>
      </c>
      <c r="EY93" s="6">
        <f>COUNTIFS(Table10[Country],Tabela1[[#This Row],[Country]],Table10[Épée Classification],"&gt;0")</f>
        <v>0</v>
      </c>
      <c r="EZ93" s="6">
        <f>COUNTIFS(Table11[Country],Tabela1[[#This Row],[Country]],Table11[Épée Classification],"&gt;0")</f>
        <v>0</v>
      </c>
      <c r="FA93" s="6">
        <f>COUNTIFS(Table46[Country],Tabela1[[#This Row],[Country]],Table46[Men''s Épée Classification],"&gt;0")</f>
        <v>0</v>
      </c>
      <c r="FB93" s="6">
        <f>COUNTIFS(Table46[Country],Tabela1[[#This Row],[Country]],Table46[Women''s Épée Classification],"&gt;0")</f>
        <v>0</v>
      </c>
      <c r="FC93" s="6">
        <f>COUNTIFS(Table10[Country],Tabela1[[#This Row],[Country]],Table10[Foil Classification],"&gt;0")</f>
        <v>0</v>
      </c>
      <c r="FD93" s="6">
        <f>COUNTIFS(Table11[Country],Tabela1[[#This Row],[Country]],Table11[Foil Classification],"&gt;0")</f>
        <v>0</v>
      </c>
      <c r="FE93" s="6">
        <f>COUNTIFS(Table46[Country],Tabela1[[#This Row],[Country]],Table46[Men''s Foil Classification],"&gt;0")</f>
        <v>0</v>
      </c>
      <c r="FF93" s="6">
        <f>COUNTIFS(Table46[Country],Tabela1[[#This Row],[Country]],Table46[Women''s Foil Classification],"&gt;0")</f>
        <v>0</v>
      </c>
      <c r="FG93" s="6">
        <f>COUNTIFS(Table10[Country],Tabela1[[#This Row],[Country]],Table10[Sabre Classification],"&gt;0")</f>
        <v>0</v>
      </c>
      <c r="FH93" s="6">
        <f>COUNTIFS(Table11[Country],Tabela1[[#This Row],[Country]],Table11[Sabre Classification],"&gt;0")</f>
        <v>0</v>
      </c>
      <c r="FI93" s="6">
        <f>COUNTIFS(Table46[Country],Tabela1[[#This Row],[Country]],Table46[Men''s Sabre Classification],"&gt;0")</f>
        <v>0</v>
      </c>
      <c r="FJ93" s="6">
        <f>COUNTIFS(Table46[Country],Tabela1[[#This Row],[Country]],Table46[Women''s Sabre Classification],"&gt;0")</f>
        <v>0</v>
      </c>
      <c r="FK93" s="6">
        <f>COUNTIFS(Table91[Country],Tabela1[[#This Row],[Country]],Table91[Men''s Classification],"&gt;0")</f>
        <v>0</v>
      </c>
      <c r="FL93" s="6">
        <f>COUNTIFS(Table91[Country],Tabela1[[#This Row],[Country]],Table91[Women''s Classification],"&gt;0")</f>
        <v>0</v>
      </c>
      <c r="FM93" s="6">
        <f>COUNTIFS(Table9194[Country],Tabela1[[#This Row],[Country]],Table9194[Men''s Classification],"&gt;0")</f>
        <v>0</v>
      </c>
      <c r="FN93" s="6">
        <f>COUNTIFS(Table9194[Country],Tabela1[[#This Row],[Country]],Table9194[Women''s Classification],"&gt;0")</f>
        <v>0</v>
      </c>
      <c r="FO93" s="6">
        <f>COUNTIFS(Table71[Country],Tabela1[[#This Row],[Country]],Table71[Classification],"&gt;0")</f>
        <v>0</v>
      </c>
      <c r="FP93" s="6">
        <f>COUNTIFS(Table62[Country],Tabela1[[#This Row],[Country]],Table62[Classification],"&gt;0")</f>
        <v>0</v>
      </c>
      <c r="FQ93" s="6">
        <f>COUNTIFS(Table47[Country],Tabela1[[#This Row],[Country]],Table47[All-Around Classification],"&gt;0")</f>
        <v>0</v>
      </c>
      <c r="FR93" s="6">
        <f>COUNTIFS(Table48[Country],Tabela1[[#This Row],[Country]],Table48[All-Around Classification],"&gt;0")</f>
        <v>0</v>
      </c>
      <c r="FS93" s="6">
        <f>COUNTIFS(Table81[Country],Tabela1[[#This Row],[Country]],Table81[Men''s All-Around Classification],"&gt;0")</f>
        <v>0</v>
      </c>
      <c r="FT93" s="6">
        <f>COUNTIFS(Table81[Country],Tabela1[[#This Row],[Country]],Table81[Women''s All-Around Classification],"&gt;0")</f>
        <v>0</v>
      </c>
      <c r="FU93" s="6">
        <f>COUNTIFS(Table48[Country],Tabela1[[#This Row],[Country]],Table48[Balance Beam Classification],"&gt;0")</f>
        <v>0</v>
      </c>
      <c r="FV93" s="6">
        <f>COUNTIFS(Table47[Country],Tabela1[[#This Row],[Country]],Table47[Floor Exercise Classification],"&gt;0")</f>
        <v>0</v>
      </c>
      <c r="FW93" s="6">
        <f>COUNTIFS(Table48[Country],Tabela1[[#This Row],[Country]],Table48[Floor Exercise Classification],"&gt;0")</f>
        <v>0</v>
      </c>
      <c r="FX93" s="6">
        <f>COUNTIFS(Table47[Country],Tabela1[[#This Row],[Country]],Table47[Horizontal Bar Classification],"&gt;0")</f>
        <v>0</v>
      </c>
      <c r="FY93" s="6">
        <f>COUNTIFS(Table47[Country],Tabela1[[#This Row],[Country]],Table47[Parallel Bars Classification],"&gt;0")</f>
        <v>0</v>
      </c>
      <c r="FZ93" s="6">
        <f>COUNTIFS(Table47[Country],Tabela1[[#This Row],[Country]],Table47[Pommel Horse Classification],"&gt;0")</f>
        <v>0</v>
      </c>
      <c r="GA93" s="6">
        <f>COUNTIFS(Table47[Country],Tabela1[[#This Row],[Country]],Table47[Rings Classification],"&gt;0")</f>
        <v>0</v>
      </c>
      <c r="GB93" s="6">
        <f>COUNTIFS(Tabela132[Country],Tabela1[[#This Row],[Country]],Tabela132[Classification],"&gt;0")</f>
        <v>0</v>
      </c>
      <c r="GC93" s="6">
        <f>COUNTIFS(Tabela139[Country],Tabela1[[#This Row],[Country]],Tabela139[Classification],"&gt;0")</f>
        <v>0</v>
      </c>
      <c r="GD93" s="6">
        <f>COUNTIFS(Table48[Country],Tabela1[[#This Row],[Country]],Table48[Uneven Bars Classification],"&gt;0")</f>
        <v>0</v>
      </c>
      <c r="GE93" s="6">
        <f>COUNTIFS(Table47[Country],Tabela1[[#This Row],[Country]],Table47[Vault Classification],"&gt;0")</f>
        <v>0</v>
      </c>
      <c r="GF93" s="6">
        <f>COUNTIFS(Table48[Country],Tabela1[[#This Row],[Country]],Table48[Vault Classification],"&gt;0")</f>
        <v>0</v>
      </c>
      <c r="GG93" s="6">
        <f>COUNTIFS(Table919496[Country],Tabela1[[#This Row],[Country]],Table919496[Men''s Classification],"&gt;0")</f>
        <v>0</v>
      </c>
      <c r="GH93" s="6">
        <f>COUNTIFS(Table919496[Country],Tabela1[[#This Row],[Country]],Table919496[Women''s Classification],"&gt;0")</f>
        <v>0</v>
      </c>
      <c r="GI93" s="6">
        <f>COUNTIFS(Table12[Country],Tabela1[[#This Row],[Country]],Table12[60kg Classification],"&gt;0")</f>
        <v>0</v>
      </c>
      <c r="GJ93" s="6">
        <f>COUNTIFS(Table12[Country],Tabela1[[#This Row],[Country]],Table12[66kg Classification],"&gt;0")</f>
        <v>0</v>
      </c>
      <c r="GK93" s="6">
        <f>COUNTIFS(Table12[Country],Tabela1[[#This Row],[Country]],Table12[73kg Classification],"&gt;0")</f>
        <v>1</v>
      </c>
      <c r="GL93" s="6">
        <f>COUNTIFS(Table12[Country],Tabela1[[#This Row],[Country]],Table12[81kg Classification],"&gt;0")</f>
        <v>0</v>
      </c>
      <c r="GM93" s="6">
        <f>COUNTIFS(Table12[Country],Tabela1[[#This Row],[Country]],Table12[90kg Classification],"&gt;0")</f>
        <v>0</v>
      </c>
      <c r="GN93" s="6">
        <f>COUNTIFS(Table12[Country],Tabela1[[#This Row],[Country]],Table12[100kg Classification],"&gt;0")</f>
        <v>0</v>
      </c>
      <c r="GO93" s="6">
        <f>COUNTIFS(Table12[Country],Tabela1[[#This Row],[Country]],Table12[Plus 100kg Classification],"&gt;0")</f>
        <v>0</v>
      </c>
      <c r="GP93" s="6">
        <f>COUNTIFS(Table13[Country],Tabela1[[#This Row],[Country]],Table13[48kg Classification],"&gt;0")</f>
        <v>0</v>
      </c>
      <c r="GQ93" s="6">
        <f>COUNTIFS(Table13[Country],Tabela1[[#This Row],[Country]],Table13[52kg Classification],"&gt;0")</f>
        <v>1</v>
      </c>
      <c r="GR93" s="6">
        <f>COUNTIFS(Table13[Country],Tabela1[[#This Row],[Country]],Table13[57kg Classification],"&gt;0")</f>
        <v>1</v>
      </c>
      <c r="GS93" s="6">
        <f>COUNTIFS(Table13[Country],Tabela1[[#This Row],[Country]],Table13[63kg Classification],"&gt;0")</f>
        <v>0</v>
      </c>
      <c r="GT93" s="6">
        <f>COUNTIFS(Table13[Country],Tabela1[[#This Row],[Country]],Table13[70kg Classification],"&gt;0")</f>
        <v>0</v>
      </c>
      <c r="GU93" s="6">
        <f>COUNTIFS(Table13[Country],Tabela1[[#This Row],[Country]],Table13[78kg Classification],"&gt;0")</f>
        <v>1</v>
      </c>
      <c r="GV93" s="6">
        <f>COUNTIFS(Table13[Country],Tabela1[[#This Row],[Country]],Table13[Plus 78kg Classification],"&gt;0")</f>
        <v>0</v>
      </c>
      <c r="GW93" s="6">
        <f>COUNTIFS(Table82[Country],Tabela1[[#This Row],[Country]],Table82[Mixed Classification],"&gt;0")</f>
        <v>0</v>
      </c>
      <c r="GX93" s="6">
        <f>COUNTIFS(Table51[Country],Tabela1[[#This Row],[Country]],Table51[Classification],"&gt;0")</f>
        <v>0</v>
      </c>
      <c r="GY93" s="6">
        <f>COUNTIFS(Table52[Country],Tabela1[[#This Row],[Country]],Table52[Classification],"&gt;0")</f>
        <v>0</v>
      </c>
      <c r="GZ93" s="6">
        <f>COUNTIFS(Table32[Country],Tabela1[[#This Row],[Country]],Table32[All-Around Classification],"&gt;0")</f>
        <v>0</v>
      </c>
      <c r="HA93" s="6">
        <f>COUNTIFS(Table49[Country],Tabela1[[#This Row],[Country]],Table49[All-Around Classification],"&gt;0")</f>
        <v>0</v>
      </c>
      <c r="HB93" s="6">
        <f>COUNTIFS(Table26[Country],Tabela1[[#This Row],[Country]],Table26[Single Sculls Classification],"&gt;0")</f>
        <v>0</v>
      </c>
      <c r="HC93" s="6">
        <f>COUNTIFS(Table63[Country],Tabela1[[#This Row],[Country]],Table63[Single Sculls Classification],"&gt;0")</f>
        <v>0</v>
      </c>
      <c r="HD93" s="6">
        <f>COUNTIFS(Table16[Country],Tabela1[[#This Row],[Country]],Table16[Men''s Double Sculls Classification],"&gt;0")</f>
        <v>0</v>
      </c>
      <c r="HE93" s="6">
        <f>COUNTIFS(Table16[Country],Tabela1[[#This Row],[Country]],Table16[Women''s Double Sculls Classification],"&gt;0")</f>
        <v>0</v>
      </c>
      <c r="HF93" s="6">
        <f>COUNTIFS(Table72[Country],Tabela1[[#This Row],[Country]],Table72[Men''s Quadruple Sculls Classification],"&gt;0")</f>
        <v>0</v>
      </c>
      <c r="HG93" s="6">
        <f>COUNTIFS(Table72[Country],Tabela1[[#This Row],[Country]],Table72[Women''s Quadruple Sculls Classification],"&gt;0")</f>
        <v>0</v>
      </c>
      <c r="HH93" s="6">
        <f>COUNTIFS(Table16[Country],Tabela1[[#This Row],[Country]],Table16[Men''s Coxless Pairs Classification],"&gt;0")</f>
        <v>0</v>
      </c>
      <c r="HI93" s="6">
        <f>COUNTIFS(Table16[Country],Tabela1[[#This Row],[Country]],Table16[Women''s Coxless Pairs Classification],"&gt;0")</f>
        <v>0</v>
      </c>
      <c r="HJ93" s="6">
        <f>COUNTIFS(Table72[Country],Tabela1[[#This Row],[Country]],Table72[Men''s Coxless Fours Classification],"&gt;0")</f>
        <v>0</v>
      </c>
      <c r="HK93" s="6">
        <f>COUNTIFS(Table72[Country],Tabela1[[#This Row],[Country]],Table72[Women''s Coxless Fours Classification],"&gt;0")</f>
        <v>0</v>
      </c>
      <c r="HL93" s="6">
        <f>COUNTIFS(Table72[Country],Tabela1[[#This Row],[Country]],Table72[Men''s Eights Classification],"&gt;0")</f>
        <v>0</v>
      </c>
      <c r="HM93" s="6">
        <f>COUNTIFS(Table72[Country],Tabela1[[#This Row],[Country]],Table72[Women''s Eights Classification],"&gt;0")</f>
        <v>0</v>
      </c>
      <c r="HN93" s="6">
        <f>COUNTIFS(Table16[Country],Tabela1[[#This Row],[Country]],Table16[Men''s Lwt. Double Sculls Classification],"&gt;0")</f>
        <v>0</v>
      </c>
      <c r="HO93" s="6">
        <f>COUNTIFS(Table16[Country],Tabela1[[#This Row],[Country]],Table16[Women''s Lwt. Double Sculls Classification],"&gt;0")</f>
        <v>0</v>
      </c>
      <c r="HP93" s="6">
        <f>COUNTIFS(Table91949698[Country],Tabela1[[#This Row],[Country]],Table91949698[Men''s Classification],"&gt;0")</f>
        <v>0</v>
      </c>
      <c r="HQ93" s="6">
        <f>COUNTIFS(Table91949698[Country],Tabela1[[#This Row],[Country]],Table91949698[Women''s Classification],"&gt;0")</f>
        <v>0</v>
      </c>
      <c r="HR93" s="6">
        <f>COUNTIFS(Table25[Country],Tabela1[[#This Row],[Country]],Table25[Mixed 470 Classification],"&gt;0")</f>
        <v>0</v>
      </c>
      <c r="HS93" s="6">
        <f>COUNTIFS(Table25[Country],Tabela1[[#This Row],[Country]],Table25[Men''s 49er Classification],"&gt;0")</f>
        <v>0</v>
      </c>
      <c r="HT93" s="6">
        <f>COUNTIFS(Table25[Country],Tabela1[[#This Row],[Country]],Table25[Women''s 49er FX Classification],"&gt;0")</f>
        <v>0</v>
      </c>
      <c r="HU93" s="6">
        <f>COUNTIFS(Table17[Country],Tabela1[[#This Row],[Country]],Table17[Formula Kite Classification],"&gt;0")</f>
        <v>0</v>
      </c>
      <c r="HV93" s="6">
        <f>COUNTIFS(Table18[Country],Tabela1[[#This Row],[Country]],Table18[Formula Kite Classification],"&gt;0")</f>
        <v>0</v>
      </c>
      <c r="HW93" s="6">
        <f>COUNTIFS(Table17[Country],Tabela1[[#This Row],[Country]],Table17[ILCA 7 Classification],"&gt;0")</f>
        <v>0</v>
      </c>
      <c r="HX93" s="6">
        <f>COUNTIFS(Table18[Country],Tabela1[[#This Row],[Country]],Table18[ILCA 6 Classification],"&gt;0")</f>
        <v>0</v>
      </c>
      <c r="HY93" s="6">
        <f>COUNTIFS(Table17[Country],Tabela1[[#This Row],[Country]],Table17[IQFoil Classification],"&gt;0")</f>
        <v>0</v>
      </c>
      <c r="HZ93" s="6">
        <f>COUNTIFS(Table18[Country],Tabela1[[#This Row],[Country]],Table18[IQFoil Classification],"&gt;0")</f>
        <v>0</v>
      </c>
      <c r="IA93" s="6">
        <f>COUNTIFS(Table25[Country],Tabela1[[#This Row],[Country]],Table25[Mixed Nacra 17 Classification],"&gt;0")</f>
        <v>0</v>
      </c>
      <c r="IB93" s="6">
        <f>COUNTIFS(Table53[Country],Tabela1[[#This Row],[Country]],Table53[10m Air Pistol Classification],"&gt;0")</f>
        <v>0</v>
      </c>
      <c r="IC93" s="6">
        <f>COUNTIFS(Table19[Country],Tabela1[[#This Row],[Country]],Table19[10m Air Pistol Classification],"&gt;0")</f>
        <v>0</v>
      </c>
      <c r="ID93" s="6">
        <f>COUNTIFS(Table54[Country],Tabela1[[#This Row],[Country]],Table54[Mixed 10m Air Pistol Team Classification],"&gt;0")</f>
        <v>0</v>
      </c>
      <c r="IE93" s="6">
        <f>COUNTIFS(Table53[Country],Tabela1[[#This Row],[Country]],Table53[10m Air Rifle Classification],"&gt;0")</f>
        <v>0</v>
      </c>
      <c r="IF93" s="6">
        <f>COUNTIFS(Table19[Country],Tabela1[[#This Row],[Country]],Table19[10m Air Rifle Classification],"&gt;0")</f>
        <v>0</v>
      </c>
      <c r="IG93" s="6">
        <f>COUNTIFS(Table54[Country],Tabela1[[#This Row],[Country]],Table54[Mixed 10m Air Rifle Team Classification],"&gt;0")</f>
        <v>0</v>
      </c>
      <c r="IH93" s="6">
        <f>COUNTIFS(Table53[Country],Tabela1[[#This Row],[Country]],Table53[25m Rapid Fire Pistol Classification],"&gt;0")</f>
        <v>0</v>
      </c>
      <c r="II93" s="6">
        <f>COUNTIFS(Table19[Country],Tabela1[[#This Row],[Country]],Table19[25m Pistol Classification],"&gt;0")</f>
        <v>0</v>
      </c>
      <c r="IJ93" s="6">
        <f>COUNTIFS(Table53[Country],Tabela1[[#This Row],[Country]],Table53[50m Rifle 3 Positions Classification],"&gt;0")</f>
        <v>0</v>
      </c>
      <c r="IK93" s="6">
        <f>COUNTIFS(Table19[Country],Tabela1[[#This Row],[Country]],Table19[50m Rifle 3 Positions Classification],"&gt;0")</f>
        <v>0</v>
      </c>
      <c r="IL93" s="6">
        <f>COUNTIFS(Table53[Country],Tabela1[[#This Row],[Country]],Table53[Skeet Classification],"&gt;0")</f>
        <v>0</v>
      </c>
      <c r="IM93" s="6">
        <f>COUNTIFS(Table19[Country],Tabela1[[#This Row],[Country]],Table19[Skeet Classification],"&gt;0")</f>
        <v>0</v>
      </c>
      <c r="IN93" s="6">
        <f>COUNTIFS(Table54[Country],Tabela1[[#This Row],[Country]],Table54[Mixed Skeet Team Classification],"&gt;0")</f>
        <v>0</v>
      </c>
      <c r="IO93" s="6">
        <f>COUNTIFS(Table53[Country],Tabela1[[#This Row],[Country]],Table53[Trap Classification],"&gt;0")</f>
        <v>0</v>
      </c>
      <c r="IP93" s="6">
        <f>COUNTIFS(Table19[Country],Tabela1[[#This Row],[Country]],Table19[Trap Classification],"&gt;0")</f>
        <v>0</v>
      </c>
      <c r="IQ93" s="6">
        <f>COUNTIFS(Table73[Country],Tabela1[[#This Row],[Country]],Table73[Park Classification],"&gt;0")</f>
        <v>0</v>
      </c>
      <c r="IR93" s="6">
        <f>COUNTIFS(Table74[Country],Tabela1[[#This Row],[Country]],Table74[Park Classification],"&gt;0")</f>
        <v>0</v>
      </c>
      <c r="IS93" s="6">
        <f>COUNTIFS(Table73[Country],Tabela1[[#This Row],[Country]],Table73[Street Classification],"&gt;0")</f>
        <v>0</v>
      </c>
      <c r="IT93" s="6">
        <f>COUNTIFS(Table74[Country],Tabela1[[#This Row],[Country]],Table74[Street Classification],"&gt;0")</f>
        <v>0</v>
      </c>
      <c r="IU93" s="6">
        <f>COUNTIFS(Table75[Country],Tabela1[[#This Row],[Country]],Table75[Boulder and Lead Classification],"&gt;0")</f>
        <v>0</v>
      </c>
      <c r="IV93" s="6">
        <f>COUNTIFS(Table76[Country],Tabela1[[#This Row],[Country]],Table76[Boulder and Lead Classification],"&gt;0")</f>
        <v>0</v>
      </c>
      <c r="IW93" s="6">
        <f>COUNTIFS(Table75[Country],Tabela1[[#This Row],[Country]],Table75[Speed Classification],"&gt;0")</f>
        <v>0</v>
      </c>
      <c r="IX93" s="6">
        <f>COUNTIFS(Table76[Country],Tabela1[[#This Row],[Country]],Table76[Speed Classification],"&gt;0")</f>
        <v>0</v>
      </c>
      <c r="IY93" s="6">
        <f>COUNTIFS(Table64[Country],Tabela1[[#This Row],[Country]],Table64[Shortboard Classification],"&gt;0")</f>
        <v>0</v>
      </c>
      <c r="IZ93" s="6">
        <f>COUNTIFS(Table77[Country],Tabela1[[#This Row],[Country]],Table77[Shortboard Classification],"&gt;0")</f>
        <v>0</v>
      </c>
      <c r="JA93" s="6">
        <f>COUNTIFS(Table20[Country],Tabela1[[#This Row],[Country]],Table20[50m Freestyle Classification],"&gt;0")</f>
        <v>0</v>
      </c>
      <c r="JB93" s="6">
        <f>COUNTIFS(Table21[Country],Tabela1[[#This Row],[Country]],Table21[50m Freestyle Classification],"&gt;0")</f>
        <v>0</v>
      </c>
      <c r="JC93" s="6">
        <f>COUNTIFS(Table20[Country],Tabela1[[#This Row],[Country]],Table20[100m Freestyle Classification],"&gt;0")</f>
        <v>0</v>
      </c>
      <c r="JD93" s="6">
        <f>COUNTIFS(Table21[Country],Tabela1[[#This Row],[Country]],Table21[100m Freestyle Classification],"&gt;0")</f>
        <v>0</v>
      </c>
      <c r="JE93" s="6">
        <f>COUNTIFS(Table20[Country],Tabela1[[#This Row],[Country]],Table20[200m Freestyle Classification],"&gt;0")</f>
        <v>0</v>
      </c>
      <c r="JF93" s="6">
        <f>COUNTIFS(Table21[Country],Tabela1[[#This Row],[Country]],Table21[200m Freestyle Classification],"&gt;0")</f>
        <v>0</v>
      </c>
      <c r="JG93" s="6">
        <f>COUNTIFS(Table20[Country],Tabela1[[#This Row],[Country]],Table20[400m Freestyle Classification],"&gt;0")</f>
        <v>0</v>
      </c>
      <c r="JH93" s="6">
        <f>COUNTIFS(Table21[Country],Tabela1[[#This Row],[Country]],Table21[400m Freestyle Classification],"&gt;0")</f>
        <v>0</v>
      </c>
      <c r="JI93" s="6">
        <f>COUNTIFS(Table20[Country],Tabela1[[#This Row],[Country]],Table20[800m Freestyle Classification],"&gt;0")</f>
        <v>0</v>
      </c>
      <c r="JJ93" s="6">
        <f>COUNTIFS(Table21[Country],Tabela1[[#This Row],[Country]],Table21[800m Freestyle Classification],"&gt;0")</f>
        <v>0</v>
      </c>
      <c r="JK93" s="6">
        <f>COUNTIFS(Table20[Country],Tabela1[[#This Row],[Country]],Table20[1500m Freestyle Classification],"&gt;0")</f>
        <v>0</v>
      </c>
      <c r="JL93" s="6">
        <f>COUNTIFS(Table21[Country],Tabela1[[#This Row],[Country]],Table21[1500m Freestyle Classification],"&gt;0")</f>
        <v>0</v>
      </c>
      <c r="JM93" s="6">
        <f>COUNTIFS(Table20[Country],Tabela1[[#This Row],[Country]],Table20[100m Backstroke Classification],"&gt;0")</f>
        <v>0</v>
      </c>
      <c r="JN93" s="6">
        <f>COUNTIFS(Table21[Country],Tabela1[[#This Row],[Country]],Table21[100m Backstroke Classification],"&gt;0")</f>
        <v>0</v>
      </c>
      <c r="JO93" s="6">
        <f>COUNTIFS(Table20[Country],Tabela1[[#This Row],[Country]],Table20[200m Backstroke Classification],"&gt;0")</f>
        <v>0</v>
      </c>
      <c r="JP93" s="6">
        <f>COUNTIFS(Table21[Country],Tabela1[[#This Row],[Country]],Table21[200m Backstroke Classification],"&gt;0")</f>
        <v>0</v>
      </c>
      <c r="JQ93" s="6">
        <f>COUNTIFS(Table20[Country],Tabela1[[#This Row],[Country]],Table20[100m Breaststroke Classification],"&gt;0")</f>
        <v>0</v>
      </c>
      <c r="JR93" s="6">
        <f>COUNTIFS(Table21[Country],Tabela1[[#This Row],[Country]],Table21[100m Breaststroke Classification],"&gt;0")</f>
        <v>0</v>
      </c>
      <c r="JS93" s="6">
        <f>COUNTIFS(Table20[Country],Tabela1[[#This Row],[Country]],Table20[200m Breaststroke Classification],"&gt;0")</f>
        <v>0</v>
      </c>
      <c r="JT93" s="6">
        <f>COUNTIFS(Table21[Country],Tabela1[[#This Row],[Country]],Table21[200m Breaststroke Classification],"&gt;0")</f>
        <v>0</v>
      </c>
      <c r="JU93" s="6">
        <f>COUNTIFS(Table20[Country],Tabela1[[#This Row],[Country]],Table20[100m Butterfly Classification],"&gt;0")</f>
        <v>0</v>
      </c>
      <c r="JV93" s="6">
        <f>COUNTIFS(Table21[Country],Tabela1[[#This Row],[Country]],Table21[100m Butterfly Classification],"&gt;0")</f>
        <v>0</v>
      </c>
      <c r="JW93" s="6">
        <f>COUNTIFS(Table20[Country],Tabela1[[#This Row],[Country]],Table20[200m Butterfly Classification],"&gt;0")</f>
        <v>0</v>
      </c>
      <c r="JX93" s="6">
        <f>COUNTIFS(Table21[Country],Tabela1[[#This Row],[Country]],Table21[200m Butterfly Classification],"&gt;0")</f>
        <v>0</v>
      </c>
      <c r="JY93" s="6">
        <f>COUNTIFS(Table20[Country],Tabela1[[#This Row],[Country]],Table20[200m Medley Classification],"&gt;0")</f>
        <v>0</v>
      </c>
      <c r="JZ93" s="6">
        <f>COUNTIFS(Table21[Country],Tabela1[[#This Row],[Country]],Table21[200m Medley Classification],"&gt;0")</f>
        <v>0</v>
      </c>
      <c r="KA93" s="6">
        <f>COUNTIFS(Table20[Country],Tabela1[[#This Row],[Country]],Table20[400m Medley Classification],"&gt;0")</f>
        <v>0</v>
      </c>
      <c r="KB93" s="6">
        <f>COUNTIFS(Table21[Country],Tabela1[[#This Row],[Country]],Table21[400m Medley Classification],"&gt;0")</f>
        <v>0</v>
      </c>
      <c r="KC93" s="6">
        <f>COUNTIFS(Table78[Country],Tabela1[[#This Row],[Country]],Table78[Men''s 4x100m Freestyle Relay Classification],"&gt;0")</f>
        <v>0</v>
      </c>
      <c r="KD93" s="6">
        <f>COUNTIFS(Table78[Country],Tabela1[[#This Row],[Country]],Table78[Women''s 4x100m Freestyle Relay Classification],"&gt;0")</f>
        <v>0</v>
      </c>
      <c r="KE93" s="6">
        <f>COUNTIFS(Table78[Country],Tabela1[[#This Row],[Country]],Table78[Men''s 4x200m Freestyle Relay Classification],"&gt;0")</f>
        <v>0</v>
      </c>
      <c r="KF93" s="6">
        <f>COUNTIFS(Table78[Country],Tabela1[[#This Row],[Country]],Table78[Women''s 4x200m Freestyle Relay Classification],"&gt;0")</f>
        <v>0</v>
      </c>
      <c r="KG93" s="6">
        <f>COUNTIFS(Table78[Country],Tabela1[[#This Row],[Country]],Table78[Men''s 4x100m Medley Relay Classification],"&gt;0")</f>
        <v>0</v>
      </c>
      <c r="KH93" s="6">
        <f>COUNTIFS(Table78[Country],Tabela1[[#This Row],[Country]],Table78[Women''s 4x100m Medley Relay Classification],"&gt;0")</f>
        <v>0</v>
      </c>
      <c r="KI93" s="6">
        <f>COUNTIFS(Table78[Country],Tabela1[[#This Row],[Country]],Table78[Mixed 4x100m Medley Relay Classification],"&gt;0")</f>
        <v>0</v>
      </c>
      <c r="KJ93" s="6">
        <f>COUNTIFS(Table20[Country],Tabela1[[#This Row],[Country]],Table20[10km Open Water Classification],"&gt;0")</f>
        <v>0</v>
      </c>
      <c r="KK93" s="6">
        <f>COUNTIFS(Table21[Country],Tabela1[[#This Row],[Country]],Table21[10km Open Water Classification],"&gt;0")</f>
        <v>0</v>
      </c>
      <c r="KL93" s="6">
        <f>COUNTIFS(Table22[Country],Tabela1[[#This Row],[Country]],Table22[Classification],"&gt;0")</f>
        <v>0</v>
      </c>
      <c r="KM93" s="6">
        <f>COUNTIFS(Table30[Country],Tabela1[[#This Row],[Country]],Table30[Classification],"&gt;0")</f>
        <v>0</v>
      </c>
      <c r="KN93" s="6">
        <f>COUNTIFS(Table55[Country],Tabela1[[#This Row],[Country]],Table55[Men''s Classification],"&gt;0")</f>
        <v>0</v>
      </c>
      <c r="KO93" s="6">
        <f>COUNTIFS(Table55[Country],Tabela1[[#This Row],[Country]],Table55[Women''s Classification],"&gt;0")</f>
        <v>0</v>
      </c>
      <c r="KP93" s="6">
        <f>COUNTIFS(Table56[Country],Tabela1[[#This Row],[Country]],Table56[Mixed Classification],"&gt;0")</f>
        <v>0</v>
      </c>
      <c r="KQ93" s="6">
        <f>COUNTIFS(Table29[Country],Tabela1[[#This Row],[Country]],Table29[58kg Classification],"&gt;0")</f>
        <v>0</v>
      </c>
      <c r="KR93" s="6">
        <f>COUNTIFS(Table29[Country],Tabela1[[#This Row],[Country]],Table29[68kg Classification],"&gt;0")</f>
        <v>0</v>
      </c>
      <c r="KS93" s="6">
        <f>COUNTIFS(Table29[Country],Tabela1[[#This Row],[Country]],Table29[80kg Classification],"&gt;0")</f>
        <v>0</v>
      </c>
      <c r="KT93" s="6">
        <f>COUNTIFS(Table29[Country],Tabela1[[#This Row],[Country]],Table29[Plus 80kg Classification],"&gt;0")</f>
        <v>0</v>
      </c>
      <c r="KU93" s="6">
        <f>COUNTIFS(Table34[Country],Tabela1[[#This Row],[Country]],Table34[49kg Classification],"&gt;0")</f>
        <v>0</v>
      </c>
      <c r="KV93" s="6">
        <f>COUNTIFS(Table34[Country],Tabela1[[#This Row],[Country]],Table34[57kg Classification],"&gt;0")</f>
        <v>0</v>
      </c>
      <c r="KW93" s="6">
        <f>COUNTIFS(Table34[Country],Tabela1[[#This Row],[Country]],Table34[67kg Classification],"&gt;0")</f>
        <v>0</v>
      </c>
      <c r="KX93" s="6">
        <f>COUNTIFS(Table34[Country],Tabela1[[#This Row],[Country]],Table34[Plus 67kg Classification],"&gt;0")</f>
        <v>0</v>
      </c>
      <c r="KY93" s="6">
        <f>COUNTIFS(Table57[Country],Tabela1[[#This Row],[Country]],Table57[Classification],"&gt;0")</f>
        <v>0</v>
      </c>
      <c r="KZ93" s="6">
        <f>COUNTIFS(Table58[Country],Tabela1[[#This Row],[Country]],Table58[Classification],"&gt;0")</f>
        <v>0</v>
      </c>
      <c r="LA93" s="6">
        <f>COUNTIFS(Table79[Country],Tabela1[[#This Row],[Country]],Table79[Men''s Classification],"&gt;0")</f>
        <v>0</v>
      </c>
      <c r="LB93" s="6">
        <f>COUNTIFS(Table79[Country],Tabela1[[#This Row],[Country]],Table79[Women''s Classification],"&gt;0")</f>
        <v>0</v>
      </c>
      <c r="LC93" s="6">
        <f>COUNTIFS(Table79[Country],Tabela1[[#This Row],[Country]],Table79[Mixed Classification],"&gt;0")</f>
        <v>0</v>
      </c>
      <c r="LD93" s="6">
        <f>COUNTIFS(Table65[Country],Tabela1[[#This Row],[Country]],Table65[Classification],"&gt;0")</f>
        <v>0</v>
      </c>
      <c r="LE93" s="6">
        <f>COUNTIFS(Table59[Country],Tabela1[[#This Row],[Country]],Table59[Classification],"&gt;0")</f>
        <v>0</v>
      </c>
      <c r="LF93" s="6">
        <f>COUNTIFS(Table87[Country],Tabela1[[#This Row],[Country]],Table87[Mixed Relay Classification],"&gt;0")</f>
        <v>0</v>
      </c>
      <c r="LG93" s="6">
        <f>COUNTIFS(Table91949698100[Country],Tabela1[[#This Row],[Country]],Table91949698100[Men''s Classification],"&gt;0")</f>
        <v>0</v>
      </c>
      <c r="LH93" s="6">
        <f>COUNTIFS(Table91949698100[Country],Tabela1[[#This Row],[Country]],Table91949698100[Women''s Classification],"&gt;0")</f>
        <v>0</v>
      </c>
      <c r="LI93" s="6">
        <f>COUNTIFS(Table91949698100102[Country],Tabela1[[#This Row],[Country]],Table91949698100102[Men''s Classification],"&gt;0")</f>
        <v>0</v>
      </c>
      <c r="LJ93" s="6">
        <f>COUNTIFS(Table91949698100102[Country],Tabela1[[#This Row],[Country]],Table91949698100102[Women''s Classification],"&gt;0")</f>
        <v>0</v>
      </c>
      <c r="LK93" s="6">
        <f>COUNTIFS(Table23[Country],Tabela1[[#This Row],[Country]],Table23[61kg Classification],"&gt;0")</f>
        <v>0</v>
      </c>
      <c r="LL93" s="6">
        <f>COUNTIFS(Table23[Country],Tabela1[[#This Row],[Country]],Table23[73kg Classification],"&gt;0")</f>
        <v>0</v>
      </c>
      <c r="LM93" s="6">
        <f>COUNTIFS(Table23[Country],Tabela1[[#This Row],[Country]],Table23[89kg Classification],"&gt;0")</f>
        <v>0</v>
      </c>
      <c r="LN93" s="6">
        <f>COUNTIFS(Table23[Country],Tabela1[[#This Row],[Country]],Table23[102kg Classification],"&gt;0")</f>
        <v>0</v>
      </c>
      <c r="LO93" s="6">
        <f>COUNTIFS(Table23[Country],Tabela1[[#This Row],[Country]],Table23[Plus 102kg Classification],"&gt;0")</f>
        <v>0</v>
      </c>
      <c r="LP93" s="6">
        <f>COUNTIFS(Table28[Country],Tabela1[[#This Row],[Country]],Table28[49kg Classification],"&gt;0")</f>
        <v>0</v>
      </c>
      <c r="LQ93" s="6">
        <f>COUNTIFS(Table28[Country],Tabela1[[#This Row],[Country]],Table28[59kg Classification],"&gt;0")</f>
        <v>0</v>
      </c>
      <c r="LR93" s="6">
        <f>COUNTIFS(Table28[Country],Tabela1[[#This Row],[Country]],Table28[71kg Classification],"&gt;0")</f>
        <v>0</v>
      </c>
      <c r="LS93" s="6">
        <f>COUNTIFS(Table28[Country],Tabela1[[#This Row],[Country]],Table28[81kg Classification],"&gt;0")</f>
        <v>0</v>
      </c>
      <c r="LT93" s="6">
        <f>COUNTIFS(Table28[Country],Tabela1[[#This Row],[Country]],Table28[Plus 81kg Classification],"&gt;0")</f>
        <v>0</v>
      </c>
      <c r="LU93" s="6">
        <f>COUNTIFS(Table24[Country],Tabela1[[#This Row],[Country]],Table24[Freestyle 57kg Classification],"&gt;0")</f>
        <v>0</v>
      </c>
      <c r="LV93" s="6">
        <f>COUNTIFS(Table24[Country],Tabela1[[#This Row],[Country]],Table24[Freestyle 65kg Classification],"&gt;0")</f>
        <v>0</v>
      </c>
      <c r="LW93" s="6">
        <f>COUNTIFS(Table24[Country],Tabela1[[#This Row],[Country]],Table24[Freestyle 74kg Classification],"&gt;0")</f>
        <v>0</v>
      </c>
      <c r="LX93" s="6">
        <f>COUNTIFS(Table24[Country],Tabela1[[#This Row],[Country]],Table24[Freestyle 86kg Classification],"&gt;0")</f>
        <v>0</v>
      </c>
      <c r="LY93" s="6">
        <f>COUNTIFS(Table24[Country],Tabela1[[#This Row],[Country]],Table24[Freestyle 97kg Classification],"&gt;0")</f>
        <v>0</v>
      </c>
      <c r="LZ93" s="6">
        <f>COUNTIFS(Table24[Country],Tabela1[[#This Row],[Country]],Table24[Freestyle 125kg Classification],"&gt;0")</f>
        <v>0</v>
      </c>
      <c r="MA93" s="6">
        <f>COUNTIFS(Table24[Country],Tabela1[[#This Row],[Country]],Table24[Greco-Roman 60kg Classification],"&gt;0")</f>
        <v>0</v>
      </c>
      <c r="MB93" s="6">
        <f>COUNTIFS(Table24[Country],Tabela1[[#This Row],[Country]],Table24[Greco-Roman 67kg Classification],"&gt;0")</f>
        <v>0</v>
      </c>
      <c r="MC93" s="6">
        <f>COUNTIFS(Table24[Country],Tabela1[[#This Row],[Country]],Table24[Greco-Roman 77kg Classification],"&gt;0")</f>
        <v>0</v>
      </c>
      <c r="MD93" s="6">
        <f>COUNTIFS(Table24[Country],Tabela1[[#This Row],[Country]],Table24[Greco-Roman 87kg Classification],"&gt;0")</f>
        <v>0</v>
      </c>
      <c r="ME93" s="6">
        <f>COUNTIFS(Table24[Country],Tabela1[[#This Row],[Country]],Table24[Greco-Roman 97kg Classification],"&gt;0")</f>
        <v>0</v>
      </c>
      <c r="MF93" s="6">
        <f>COUNTIFS(Table24[Country],Tabela1[[#This Row],[Country]],Table24[Greco-Roman 130kg Classification],"&gt;0")</f>
        <v>0</v>
      </c>
      <c r="MG93" s="6">
        <f>COUNTIFS(Table31[Country],Tabela1[[#This Row],[Country]],Table31[50kg Classification],"&gt;0")</f>
        <v>0</v>
      </c>
      <c r="MH93" s="6">
        <f>COUNTIFS(Table31[Country],Tabela1[[#This Row],[Country]],Table31[53kg Classification],"&gt;0")</f>
        <v>0</v>
      </c>
      <c r="MI93" s="6">
        <f>COUNTIFS(Table31[Country],Tabela1[[#This Row],[Country]],Table31[57kg Classification],"&gt;0")</f>
        <v>0</v>
      </c>
      <c r="MJ93" s="6">
        <f>COUNTIFS(Table31[Country],Tabela1[[#This Row],[Country]],Table31[62kg Classification],"&gt;0")</f>
        <v>0</v>
      </c>
      <c r="MK93" s="6">
        <f>COUNTIFS(Table31[Country],Tabela1[[#This Row],[Country]],Table31[68kg Classification],"&gt;0")</f>
        <v>0</v>
      </c>
      <c r="ML93" s="6">
        <f>COUNTIFS(Table31[Country],Tabela1[[#This Row],[Country]],Table31[76kg Classification],"&gt;0")</f>
        <v>0</v>
      </c>
      <c r="MM93" s="6">
        <f>COUNTIFS(Table102[Country],Tabela1[[#This Row],[Country]],Table102[Downhill Classification],"&gt;0")</f>
        <v>0</v>
      </c>
      <c r="MN93" s="6">
        <f>COUNTIFS(Table102105[Country],Tabela1[[#This Row],[Country]],Table102105[Downhill Classification],"&gt;0")</f>
        <v>0</v>
      </c>
      <c r="MO93" s="6">
        <f>COUNTIFS(Table102[Country],Tabela1[[#This Row],[Country]],Table102[Giant Slalom Classification],"&gt;0")</f>
        <v>0</v>
      </c>
      <c r="MP93" s="6">
        <f>COUNTIFS(Table102105[Country],Tabela1[[#This Row],[Country]],Table102105[Giant Slalom Classification],"&gt;0")</f>
        <v>0</v>
      </c>
      <c r="MQ93" s="6">
        <f>COUNTIFS(Table102[Country],Tabela1[[#This Row],[Country]],Table102[Slalom Classification],"&gt;0")</f>
        <v>0</v>
      </c>
      <c r="MR93" s="6">
        <f>COUNTIFS(Table102105[Country],Tabela1[[#This Row],[Country]],Table102105[Slalom Classification],"&gt;0")</f>
        <v>0</v>
      </c>
      <c r="MS93" s="6">
        <f>COUNTIFS(Table102[Country],Tabela1[[#This Row],[Country]],Table102[Super-G Classification],"&gt;0")</f>
        <v>0</v>
      </c>
      <c r="MT93" s="6">
        <f>COUNTIFS(Table102105[Country],Tabela1[[#This Row],[Country]],Table102105[Super-G Classification],"&gt;0")</f>
        <v>0</v>
      </c>
      <c r="MU93" s="6">
        <f>COUNTIFS(Table105[Country],Tabela1[[#This Row],[Country]],Table105[Men''s Combined Classification],"&gt;0")</f>
        <v>0</v>
      </c>
      <c r="MV93" s="6">
        <f>COUNTIFS(Table105[Country],Tabela1[[#This Row],[Country]],Table105[Women''s Combined Classification],"&gt;0")</f>
        <v>0</v>
      </c>
      <c r="MW93" s="6">
        <f>COUNTIFS(Table106[Country],Tabela1[[#This Row],[Country]],Table106[Individual Classification],"&gt;0")</f>
        <v>0</v>
      </c>
      <c r="MX93" s="6">
        <f>COUNTIFS(Table106109[Country],Tabela1[[#This Row],[Country]],Table106109[Individual Classification],"&gt;0")</f>
        <v>0</v>
      </c>
      <c r="MY93" s="6">
        <f>COUNTIFS(Table106[Country],Tabela1[[#This Row],[Country]],Table106[Mass Start Classification],"&gt;0")</f>
        <v>0</v>
      </c>
      <c r="MZ93" s="6">
        <f>COUNTIFS(Table106109[Country],Tabela1[[#This Row],[Country]],Table106109[Mass Start Classification],"&gt;0")</f>
        <v>0</v>
      </c>
      <c r="NA93" s="6">
        <f>COUNTIFS(Table106[Country],Tabela1[[#This Row],[Country]],Table106[Pursuit Classification],"&gt;0")</f>
        <v>0</v>
      </c>
      <c r="NB93" s="6">
        <f>COUNTIFS(Table106109[Country],Tabela1[[#This Row],[Country]],Table106109[Pursuit Classification],"&gt;0")</f>
        <v>0</v>
      </c>
      <c r="NC93" s="6">
        <f>COUNTIFS(Table106[Country],Tabela1[[#This Row],[Country]],Table106[Sprint Classification],"&gt;0")</f>
        <v>0</v>
      </c>
      <c r="ND93" s="6">
        <f>COUNTIFS(Table106109[Country],Tabela1[[#This Row],[Country]],Table106109[Sprint Classification],"&gt;0")</f>
        <v>0</v>
      </c>
      <c r="NE93" s="6">
        <f>COUNTIFS(Table109[Country],Tabela1[[#This Row],[Country]],Table109[Men''s Relay Classification],"&gt;0")</f>
        <v>0</v>
      </c>
      <c r="NF93" s="6">
        <f>COUNTIFS(Table109[Country],Tabela1[[#This Row],[Country]],Table109[Women''s Relay Classification],"&gt;0")</f>
        <v>0</v>
      </c>
      <c r="NG93" s="6">
        <f>COUNTIFS(Table109[Country],Tabela1[[#This Row],[Country]],Table109[Mixed Relay Classification],"&gt;0")</f>
        <v>0</v>
      </c>
      <c r="NH93" s="6">
        <f>COUNTIFS(Table110[Country],Tabela1[[#This Row],[Country]],Table110[Monobob Classification],"&gt;0")</f>
        <v>0</v>
      </c>
      <c r="NI93" s="6">
        <f>COUNTIFS(Table111[Country],Tabela1[[#This Row],[Country]],Table111[Men''s Classification],"&gt;0")</f>
        <v>0</v>
      </c>
      <c r="NJ93" s="6">
        <f>COUNTIFS(Table111[Country],Tabela1[[#This Row],[Country]],Table111[Women''s Classification],"&gt;0")</f>
        <v>0</v>
      </c>
      <c r="NK93" s="6">
        <f>COUNTIFS(Table112[Country],Tabela1[[#This Row],[Country]],Table112[Men''s Four Classification],"&gt;0")</f>
        <v>0</v>
      </c>
      <c r="NL93" s="6">
        <f>COUNTIFS(Table113[Country],Tabela1[[#This Row],[Country]],Table113[Classical Classification],"&gt;0")</f>
        <v>0</v>
      </c>
      <c r="NM93" s="6">
        <f>COUNTIFS(Table113116[Country],Tabela1[[#This Row],[Country]],Table113116[Classical Classification],"&gt;0")</f>
        <v>0</v>
      </c>
      <c r="NN93" s="6">
        <f>COUNTIFS(Table113[Country],Tabela1[[#This Row],[Country]],Table113[Freestyle Classification],"&gt;0")</f>
        <v>0</v>
      </c>
      <c r="NO93" s="6">
        <f>COUNTIFS(Table113116[Country],Tabela1[[#This Row],[Country]],Table113116[Freestyle Classification],"&gt;0")</f>
        <v>0</v>
      </c>
      <c r="NP93" s="6">
        <f>COUNTIFS(Table117[Country],Tabela1[[#This Row],[Country]],Table117[Men''s Relay Classification],"&gt;0")</f>
        <v>0</v>
      </c>
      <c r="NQ93" s="6">
        <f>COUNTIFS(Table117[Country],Tabela1[[#This Row],[Country]],Table117[Women''s Relay Classification],"&gt;0")</f>
        <v>0</v>
      </c>
      <c r="NR93" s="6">
        <f>COUNTIFS(Table113[Country],Tabela1[[#This Row],[Country]],Table113[Skiathlon Classification],"&gt;0")</f>
        <v>0</v>
      </c>
      <c r="NS93" s="6">
        <f>COUNTIFS(Table113116[Country],Tabela1[[#This Row],[Country]],Table113116[Skiathlon Classification],"&gt;0")</f>
        <v>0</v>
      </c>
      <c r="NT93" s="6">
        <f>COUNTIFS(Table113[Country],Tabela1[[#This Row],[Country]],Table113[Sprint Classification],"&gt;0")</f>
        <v>0</v>
      </c>
      <c r="NU93" s="6">
        <f>COUNTIFS(Table113116[Country],Tabela1[[#This Row],[Country]],Table113116[Sprint Classification],"&gt;0")</f>
        <v>0</v>
      </c>
      <c r="NV93" s="6">
        <f>COUNTIFS(Table116[Country],Tabela1[[#This Row],[Country]],Table116[Men''s Team Sprint Classification],"&gt;0")</f>
        <v>0</v>
      </c>
      <c r="NW93" s="6">
        <f>COUNTIFS(Table116[Country],Tabela1[[#This Row],[Country]],Table116[Women''s Team Sprint Classification],"&gt;0")</f>
        <v>0</v>
      </c>
      <c r="NX93" s="6">
        <f>COUNTIFS(Table119[Country],Tabela1[[#This Row],[Country]],Table119[Men''s Classification],"&gt;0")</f>
        <v>0</v>
      </c>
      <c r="NY93" s="6">
        <f>COUNTIFS(Table119[Country],Tabela1[[#This Row],[Country]],Table119[Women''s Classification],"&gt;0")</f>
        <v>0</v>
      </c>
      <c r="NZ93" s="6">
        <f>COUNTIFS(Table118[Country],Tabela1[[#This Row],[Country]],Table118[Mixed Classification],"&gt;0")</f>
        <v>0</v>
      </c>
      <c r="OA93" s="6">
        <f>COUNTIFS(Table120[Country],Tabela1[[#This Row],[Country]],Table120[Classification],"&gt;0")</f>
        <v>0</v>
      </c>
      <c r="OB93" s="6">
        <f>COUNTIFS(Table120123[Country],Tabela1[[#This Row],[Country]],Table120123[Classification],"&gt;0")</f>
        <v>0</v>
      </c>
      <c r="OC93" s="6">
        <f>COUNTIFS(Table123[Country],Tabela1[[#This Row],[Country]],Table123[Ice Dance Classification],"&gt;0")</f>
        <v>0</v>
      </c>
      <c r="OD93" s="6">
        <f>COUNTIFS(Table123[Country],Tabela1[[#This Row],[Country]],Table123[Pair Skating Classification],"&gt;0")</f>
        <v>0</v>
      </c>
      <c r="OE93" s="6">
        <f>COUNTIFS(Table124[Country],Tabela1[[#This Row],[Country]],Table124[Mixed Classification],"&gt;0")</f>
        <v>0</v>
      </c>
      <c r="OF93" s="6">
        <f>COUNTIFS(Table125[Country],Tabela1[[#This Row],[Country]],Table125[Aerials Classification],"&gt;0")</f>
        <v>0</v>
      </c>
      <c r="OG93" s="6">
        <f>COUNTIFS(Table125128[Country],Tabela1[[#This Row],[Country]],Table125128[Aerials Classification],"&gt;0")</f>
        <v>0</v>
      </c>
      <c r="OH93" s="6">
        <f>COUNTIFS(Table128[Country],Tabela1[[#This Row],[Country]],Table128[Mixed Aerials Classification],"&gt;0")</f>
        <v>0</v>
      </c>
      <c r="OI93" s="6">
        <f>COUNTIFS(Table125[Country],Tabela1[[#This Row],[Country]],Table125[Big Air Classification],"&gt;0")</f>
        <v>0</v>
      </c>
      <c r="OJ93" s="6">
        <f>COUNTIFS(Table125128[Country],Tabela1[[#This Row],[Country]],Table125128[Big Air Classification],"&gt;0")</f>
        <v>0</v>
      </c>
      <c r="OK93" s="6">
        <f>COUNTIFS(Table125[Country],Tabela1[[#This Row],[Country]],Table125[Dual Moguls Classification],"&gt;0")</f>
        <v>0</v>
      </c>
      <c r="OL93" s="6">
        <f>COUNTIFS(Table125128[Country],Tabela1[[#This Row],[Country]],Table125128[Dual Moguls Classification],"&gt;0")</f>
        <v>0</v>
      </c>
      <c r="OM93" s="6">
        <f>COUNTIFS(Table125[Country],Tabela1[[#This Row],[Country]],Table125[Halfpipe Classification],"&gt;0")</f>
        <v>0</v>
      </c>
      <c r="ON93" s="6">
        <f>COUNTIFS(Table125128[Country],Tabela1[[#This Row],[Country]],Table125128[Halfpipe Classification],"&gt;0")</f>
        <v>0</v>
      </c>
      <c r="OO93" s="6">
        <f>COUNTIFS(Table125[Country],Tabela1[[#This Row],[Country]],Table125[Moguls Classification],"&gt;0")</f>
        <v>0</v>
      </c>
      <c r="OP93" s="6">
        <f>COUNTIFS(Table125128[Country],Tabela1[[#This Row],[Country]],Table125128[Moguls Classification],"&gt;0")</f>
        <v>0</v>
      </c>
      <c r="OQ93" s="6">
        <f>COUNTIFS(Table125[Country],Tabela1[[#This Row],[Country]],Table125[Ski Cross Classification],"&gt;0")</f>
        <v>0</v>
      </c>
      <c r="OR93" s="6">
        <f>COUNTIFS(Table125128[Country],Tabela1[[#This Row],[Country]],Table125128[Ski Cross Classification],"&gt;0")</f>
        <v>0</v>
      </c>
      <c r="OS93" s="6">
        <f>COUNTIFS(Table125[Country],Tabela1[[#This Row],[Country]],Table125[Slopestyle Classification],"&gt;0")</f>
        <v>0</v>
      </c>
      <c r="OT93" s="6">
        <f>COUNTIFS(Table125128[Country],Tabela1[[#This Row],[Country]],Table125128[Slopestyle Classification],"&gt;0")</f>
        <v>0</v>
      </c>
      <c r="OU93" s="6">
        <f>COUNTIFS(Table119131[Country],Tabela1[[#This Row],[Country]],Table119131[Men''s Classification],"&gt;0")</f>
        <v>0</v>
      </c>
      <c r="OV93" s="6">
        <f>COUNTIFS(Table119131[Country],Tabela1[[#This Row],[Country]],Table119131[Women''s Classification],"&gt;0")</f>
        <v>0</v>
      </c>
      <c r="OW93" s="6">
        <f>COUNTIFS(Table131[Country],Tabela1[[#This Row],[Country]],Table131[Classification],"&gt;0")</f>
        <v>0</v>
      </c>
      <c r="OX93" s="6">
        <f>COUNTIFS(Table131134[Country],Tabela1[[#This Row],[Country]],Table131134[Classification],"&gt;0")</f>
        <v>0</v>
      </c>
      <c r="OY93" s="6">
        <f>COUNTIFS(Table134[Country],Tabela1[[#This Row],[Country]],Table134[Men''s Classification],"&gt;0")</f>
        <v>0</v>
      </c>
      <c r="OZ93" s="6">
        <f>COUNTIFS(Table134[Country],Tabela1[[#This Row],[Country]],Table134[Women''s Classification],"&gt;0")</f>
        <v>0</v>
      </c>
      <c r="PA93" s="6">
        <f>COUNTIFS(Table135[Country],Tabela1[[#This Row],[Country]],Table135[Mixed Relay Classification],"&gt;0")</f>
        <v>0</v>
      </c>
      <c r="PB93" s="6">
        <f>COUNTIFS(Table136[Country],Tabela1[[#This Row],[Country]],Table136[Individual Classification],"&gt;0")</f>
        <v>0</v>
      </c>
      <c r="PC93" s="6">
        <f>COUNTIFS(Table136[Country],Tabela1[[#This Row],[Country]],Table136[Sprint Classification],"&gt;0")</f>
        <v>0</v>
      </c>
      <c r="PD93" s="6">
        <f>COUNTIFS(Table137[Country],Tabela1[[#This Row],[Country]],Table137[Men''s Team Sprint Large Hill Classification],"&gt;0")</f>
        <v>0</v>
      </c>
      <c r="PE93" s="6">
        <f>COUNTIFS(Table138[Country],Tabela1[[#This Row],[Country]],Table138[500m Classification],"&gt;0")</f>
        <v>0</v>
      </c>
      <c r="PF93" s="6">
        <f>COUNTIFS(Table138141[Country],Tabela1[[#This Row],[Country]],Table138141[500m Classification],"&gt;0")</f>
        <v>0</v>
      </c>
      <c r="PG93" s="6">
        <f>COUNTIFS(Table138[Country],Tabela1[[#This Row],[Country]],Table138[1000m Classification],"&gt;0")</f>
        <v>0</v>
      </c>
      <c r="PH93" s="6">
        <f>COUNTIFS(Table138141[Country],Tabela1[[#This Row],[Country]],Table138141[1000m Classification],"&gt;0")</f>
        <v>0</v>
      </c>
      <c r="PI93" s="6">
        <f>COUNTIFS(Table138[Country],Tabela1[[#This Row],[Country]],Table138[1500m Classification],"&gt;0")</f>
        <v>0</v>
      </c>
      <c r="PJ93" s="6">
        <f>COUNTIFS(Table138141[Country],Tabela1[[#This Row],[Country]],Table138141[1500m Classification],"&gt;0")</f>
        <v>0</v>
      </c>
      <c r="PK93" s="6">
        <f>COUNTIFS(Table141[Country],Tabela1[[#This Row],[Country]],Table141[Men''s 5000m Relay Classification],"&gt;0")</f>
        <v>0</v>
      </c>
      <c r="PL93" s="6">
        <f>COUNTIFS(Table141[Country],Tabela1[[#This Row],[Country]],Table141[Women''s 3000m Relay Classification],"&gt;0")</f>
        <v>0</v>
      </c>
      <c r="PM93" s="6">
        <f>COUNTIFS(Table141[Country],Tabela1[[#This Row],[Country]],Table141[Mixed 2000m Relay Classification],"&gt;0")</f>
        <v>0</v>
      </c>
      <c r="PN93" s="6">
        <f>COUNTIFS(Table142[Country],Tabela1[[#This Row],[Country]],Table142[Classification],"&gt;0")</f>
        <v>0</v>
      </c>
      <c r="PO93" s="6">
        <f>COUNTIFS(Table142145[Country],Tabela1[[#This Row],[Country]],Table142145[Classification],"&gt;0")</f>
        <v>0</v>
      </c>
      <c r="PP93" s="6">
        <f>COUNTIFS(Tabela15[Country],Tabela1[[#This Row],[Country]],Tabela15[Mixed Team Classification],"&gt;0")</f>
        <v>0</v>
      </c>
      <c r="PQ93" s="6">
        <f>COUNTIFS(Table145[Country],Tabela1[[#This Row],[Country]],Table145[Large Hill Classification],"&gt;0")</f>
        <v>0</v>
      </c>
      <c r="PR93" s="6">
        <f>COUNTIFS(Table145[Country],Tabela1[[#This Row],[Country]],Table145[Normal Hill Classification],"&gt;0")</f>
        <v>0</v>
      </c>
      <c r="PS93" s="6">
        <f>COUNTIFS(Table145148[Country],Tabela1[[#This Row],[Country]],Table145148[Large Hill Classification],"&gt;0")</f>
        <v>0</v>
      </c>
      <c r="PT93" s="6">
        <f>COUNTIFS(Table145148[Country],Tabela1[[#This Row],[Country]],Table145148[Normal Hill Classification],"&gt;0")</f>
        <v>0</v>
      </c>
      <c r="PU93" s="6">
        <f>COUNTIFS(Table148[Country],Tabela1[[#This Row],[Country]],Table148[Men''s Super Team Classification],"&gt;0")</f>
        <v>0</v>
      </c>
      <c r="PV93" s="6">
        <f>COUNTIFS(Tabela114[Country],Tabela1[[#This Row],[Country]],Tabela114[Mixed Normal Hill Classification],"&gt;0")</f>
        <v>0</v>
      </c>
      <c r="PW93" s="6">
        <f>COUNTIFS(Tabela50[Country],Tabela1[[#This Row],[Country]],Tabela50[Sprint Classification],"&gt;0")</f>
        <v>0</v>
      </c>
      <c r="PX93" s="6">
        <f>COUNTIFS(Tabela50101[Country],Tabela1[[#This Row],[Country]],Tabela50101[Sprint Classification],"&gt;0")</f>
        <v>0</v>
      </c>
      <c r="PY93" s="6">
        <f>COUNTIFS(Tabela103[Country],Tabela1[[#This Row],[Country]],Tabela103[Mixed Relay Classification],"&gt;0")</f>
        <v>0</v>
      </c>
      <c r="PZ93" s="6">
        <f>COUNTIFS(Table149[Country],Tabela1[[#This Row],[Country]],Table149[Big Air Classification],"&gt;0")</f>
        <v>0</v>
      </c>
      <c r="QA93" s="6">
        <f>COUNTIFS(Table149152[Country],Tabela1[[#This Row],[Country]],Table149152[Big Air Classification],"&gt;0")</f>
        <v>0</v>
      </c>
      <c r="QB93" s="6">
        <f>COUNTIFS(Table149[Country],Tabela1[[#This Row],[Country]],Table149[Halfpipe Classification],"&gt;0")</f>
        <v>0</v>
      </c>
      <c r="QC93" s="6">
        <f>COUNTIFS(Table149152[Country],Tabela1[[#This Row],[Country]],Table149152[Halfpipe Classification],"&gt;0")</f>
        <v>0</v>
      </c>
      <c r="QD93" s="6">
        <f>COUNTIFS(Table149[Country],Tabela1[[#This Row],[Country]],Table149[Parallel Giant Slalom Classification],"&gt;0")</f>
        <v>0</v>
      </c>
      <c r="QE93" s="6">
        <f>COUNTIFS(Table149152[Country],Tabela1[[#This Row],[Country]],Table149152[Parallel Giant Slalom Classification],"&gt;0")</f>
        <v>0</v>
      </c>
      <c r="QF93" s="6">
        <f>COUNTIFS(Table149[Country],Tabela1[[#This Row],[Country]],Table149[Slopestyle Classification],"&gt;0")</f>
        <v>0</v>
      </c>
      <c r="QG93" s="6">
        <f>COUNTIFS(Table149152[Country],Tabela1[[#This Row],[Country]],Table149152[Slopestyle Classification],"&gt;0")</f>
        <v>0</v>
      </c>
      <c r="QH93" s="6">
        <f>COUNTIFS(Table149[Country],Tabela1[[#This Row],[Country]],Table149[Snowboard Cross Classification],"&gt;0")</f>
        <v>0</v>
      </c>
      <c r="QI93" s="6">
        <f>COUNTIFS(Table149152[Country],Tabela1[[#This Row],[Country]],Table149152[Snowboard Cross Classification],"&gt;0")</f>
        <v>0</v>
      </c>
      <c r="QJ93" s="6">
        <f>COUNTIFS(Table153[Country],Tabela1[[#This Row],[Country]],Table153[Mixed Team Snowboard Cross Classification],"&gt;0")</f>
        <v>0</v>
      </c>
      <c r="QK93" s="6">
        <f>COUNTIFS(Table154[Country],Tabela1[[#This Row],[Country]],Table154[500m Classification],"&gt;0")</f>
        <v>0</v>
      </c>
      <c r="QL93" s="6">
        <f>COUNTIFS(Table154157[Country],Tabela1[[#This Row],[Country]],Table154157[500m Classification],"&gt;0")</f>
        <v>0</v>
      </c>
      <c r="QM93" s="6">
        <f>COUNTIFS(Table154[Country],Tabela1[[#This Row],[Country]],Table154[1000m Classification],"&gt;0")</f>
        <v>0</v>
      </c>
      <c r="QN93" s="6">
        <f>COUNTIFS(Table154157[Country],Tabela1[[#This Row],[Country]],Table154157[1000m Classification],"&gt;0")</f>
        <v>0</v>
      </c>
      <c r="QO93" s="6">
        <f>COUNTIFS(Table154[Country],Tabela1[[#This Row],[Country]],Table154[1500m Classification],"&gt;0")</f>
        <v>0</v>
      </c>
      <c r="QP93" s="6">
        <f>COUNTIFS(Table154157[Country],Tabela1[[#This Row],[Country]],Table154157[1500m Classification],"&gt;0")</f>
        <v>0</v>
      </c>
      <c r="QQ93" s="6">
        <f>COUNTIFS(Table154157[Country],Tabela1[[#This Row],[Country]],Table154157[3000m Classification],"&gt;0")</f>
        <v>0</v>
      </c>
      <c r="QR93" s="6">
        <f>COUNTIFS(Table154[Country],Tabela1[[#This Row],[Country]],Table154[5000m Classification],"&gt;0")</f>
        <v>0</v>
      </c>
      <c r="QS93" s="6">
        <f>COUNTIFS(Table154157[Country],Tabela1[[#This Row],[Country]],Table154157[5000m Classification],"&gt;0")</f>
        <v>0</v>
      </c>
      <c r="QT93" s="6">
        <f>COUNTIFS(Table154[Country],Tabela1[[#This Row],[Country]],Table154[10000m Classification],"&gt;0")</f>
        <v>0</v>
      </c>
      <c r="QU93" s="6">
        <f>COUNTIFS(Table154[Country],Tabela1[[#This Row],[Country]],Table154[Mass Start Classification],"&gt;0")</f>
        <v>0</v>
      </c>
      <c r="QV93" s="6">
        <f>COUNTIFS(Table154157[Country],Tabela1[[#This Row],[Country]],Table154157[Mass Start Classification],"&gt;0")</f>
        <v>0</v>
      </c>
      <c r="QW93" s="6">
        <f>COUNTIFS(Table157[Country],Tabela1[[#This Row],[Country]],Table157[Men''s Pursuit Classification],"&gt;0")</f>
        <v>0</v>
      </c>
      <c r="QX93" s="6">
        <f>COUNTIFS(Table157[Country],Tabela1[[#This Row],[Country]],Table157[Women''s Pursuit Classification],"&gt;0")</f>
        <v>0</v>
      </c>
      <c r="QY93" s="3" t="s">
        <v>609</v>
      </c>
    </row>
    <row r="94" spans="1:467" x14ac:dyDescent="0.3">
      <c r="A94" s="6">
        <v>93</v>
      </c>
      <c r="B94" s="6" t="s">
        <v>410</v>
      </c>
      <c r="C94" t="e" vm="93">
        <f>IF(ISBLANK(Tabela1[[#This Row],[Image Link]]), "", _xlfn.IMAGE(Tabela1[[#This Row],[Image Link]],1,1))</f>
        <v>#VALUE!</v>
      </c>
      <c r="D94" s="6">
        <f>SUM(Tabela1[[#This Row],[Archery - Men''s Individual Recurve]:[Speed Skating - Women''s Team Pursuit]])</f>
        <v>4</v>
      </c>
      <c r="E94" s="6">
        <f>COUNTIF(Tabela1[[#This Row],[Archery - Men''s Individual Recurve]:[Speed Skating - Women''s Team Pursuit]],"&gt;0")</f>
        <v>4</v>
      </c>
      <c r="F94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94" s="6">
        <f>SUM(Tabela1[[#This Row],[Archery - Men''s Individual Recurve]:[Wrestling - Women''s Freestyle 76kg]])</f>
        <v>2</v>
      </c>
      <c r="H94" s="6">
        <f>SUM(Tabela1[[#This Row],[Alpine Skiing - Men''s Downhill]:[Speed Skating - Women''s Team Pursuit]])</f>
        <v>2</v>
      </c>
      <c r="I94" s="6">
        <f>Tabela1[[#This Row],[Summer Gold Medals]]+Tabela1[[#This Row],[Winter Gold Medals]]</f>
        <v>0</v>
      </c>
      <c r="J94" s="6">
        <f>Tabela1[[#This Row],[Summer Silver Medals]]+Tabela1[[#This Row],[Winter Silver Medals]]</f>
        <v>0</v>
      </c>
      <c r="K94" s="6">
        <f>Tabela1[[#This Row],[Summer Bronze Medals]]+Tabela1[[#This Row],[Winter Bronze Medals]]</f>
        <v>0</v>
      </c>
      <c r="L94" s="6">
        <f>SUM(Tabela1[[#This Row],[Total Gold Medals]:[Total Bronze Medals]])</f>
        <v>0</v>
      </c>
      <c r="M94" s="6"/>
      <c r="N94" s="6"/>
      <c r="O94" s="6"/>
      <c r="P94" s="6">
        <f>SUM(Tabela1[[#This Row],[Summer Gold Medals]:[Summer Bronze Medals]])</f>
        <v>0</v>
      </c>
      <c r="Q94" s="6"/>
      <c r="R94" s="6"/>
      <c r="S94" s="6"/>
      <c r="T94" s="6">
        <f>Tabela1[[#This Row],[Winter Gold Medals]]+Tabela1[[#This Row],[Winter Silver Medals]]+Tabela1[[#This Row],[Winter Bronze Medals]]</f>
        <v>0</v>
      </c>
      <c r="U94" s="7">
        <f>Tabela1[[#This Row],[Total Medals]]/Tabela1[[#This Row],[Total Quotas]]</f>
        <v>0</v>
      </c>
      <c r="V94" s="6">
        <f>COUNTIFS(Table3[Country],Tabela1[[#This Row],[Country]],Table3[Recurve Classification],"&gt;0")</f>
        <v>0</v>
      </c>
      <c r="W94" s="6">
        <f>COUNTIFS(Table33[Country],Tabela1[[#This Row],[Country]],Table33[Recurve Classification],"&gt;0")</f>
        <v>0</v>
      </c>
      <c r="X94" s="6">
        <f>COUNTIFS(Table35[Country],Tabela1[[#This Row],[Country]],Table35[Men''s Team Recurve Classification],"&gt;0")</f>
        <v>0</v>
      </c>
      <c r="Y94" s="6">
        <f>COUNTIFS(Table35[Country],Tabela1[[#This Row],[Country]],Table35[Women''s Team Recurve Classification],"&gt;0")</f>
        <v>0</v>
      </c>
      <c r="Z94" s="6">
        <f>COUNTIFS(Tabela88[Country],Tabela1[[#This Row],[Country]],Tabela88[Mixed Team Recurve Classification],"&gt;0")</f>
        <v>0</v>
      </c>
      <c r="AA94" s="6">
        <f>COUNTIFS(Table36[Country],Tabela1[[#This Row],[Country]],Table36[Classification],"&gt;0")</f>
        <v>0</v>
      </c>
      <c r="AB94" s="6">
        <f>COUNTIFS(Table37[Country],Tabela1[[#This Row],[Country]],Table37[Classification],"&gt;0")</f>
        <v>0</v>
      </c>
      <c r="AC94" s="6">
        <f>COUNTIFS(Table4[Country],Tabela1[[#This Row],[Country]],Table4[100m Classification],"&gt;0")</f>
        <v>0</v>
      </c>
      <c r="AD94" s="6">
        <f>COUNTIFS(Table5[Country],Tabela1[[#This Row],[Country]],Table5[100m Classification],"&gt;0")</f>
        <v>0</v>
      </c>
      <c r="AE94" s="6">
        <f>COUNTIFS(Table4[Country],Tabela1[[#This Row],[Country]],Table4[200m Classification],"&gt;0")</f>
        <v>0</v>
      </c>
      <c r="AF94" s="6">
        <f>COUNTIFS(Table5[Country],Tabela1[[#This Row],[Country]],Table5[200m Classification],"&gt;0")</f>
        <v>0</v>
      </c>
      <c r="AG94" s="6">
        <f>COUNTIFS(Table4[Country],Tabela1[[#This Row],[Country]],Table4[400m Classification],"&gt;0")</f>
        <v>0</v>
      </c>
      <c r="AH94" s="6">
        <f>COUNTIFS(Table5[Country],Tabela1[[#This Row],[Country]],Table5[400m Classification],"&gt;0")</f>
        <v>0</v>
      </c>
      <c r="AI94" s="6">
        <f>COUNTIFS(Table4[Country],Tabela1[[#This Row],[Country]],Table4[800m Classification],"&gt;0")</f>
        <v>0</v>
      </c>
      <c r="AJ94" s="6">
        <f>COUNTIFS(Table5[Country],Tabela1[[#This Row],[Country]],Table5[800m Classification],"&gt;0")</f>
        <v>0</v>
      </c>
      <c r="AK94" s="6">
        <f>COUNTIFS(Table4[Country],Tabela1[[#This Row],[Country]],Table4[1500m Classification],"&gt;0")</f>
        <v>0</v>
      </c>
      <c r="AL94" s="6">
        <f>COUNTIFS(Table5[Country],Tabela1[[#This Row],[Country]],Table5[1500m Classification],"&gt;0")</f>
        <v>0</v>
      </c>
      <c r="AM94" s="6">
        <f>COUNTIFS(Table4[Country],Tabela1[[#This Row],[Country]],Table4[5000m Classification],"&gt;0")</f>
        <v>0</v>
      </c>
      <c r="AN94" s="6">
        <f>COUNTIFS(Table5[Country],Tabela1[[#This Row],[Country]],Table5[5000m Classification],"&gt;0")</f>
        <v>0</v>
      </c>
      <c r="AO94" s="6">
        <f>COUNTIFS(Table4[Country],Tabela1[[#This Row],[Country]],Table4[10000m Classification],"&gt;0")</f>
        <v>0</v>
      </c>
      <c r="AP94" s="6">
        <f>COUNTIFS(Table5[Country],Tabela1[[#This Row],[Country]],Table5[10000m Classification],"&gt;0")</f>
        <v>0</v>
      </c>
      <c r="AQ94" s="6">
        <f>COUNTIFS(Table4[Country],Tabela1[[#This Row],[Country]],Table4[110m Hurdles Classification],"&gt;0")</f>
        <v>0</v>
      </c>
      <c r="AR94" s="6">
        <f>COUNTIFS(Table5[Country],Tabela1[[#This Row],[Country]],Table5[100m Hurdles Classification],"&gt;0")</f>
        <v>0</v>
      </c>
      <c r="AS94" s="6">
        <f>COUNTIFS(Table4[Country],Tabela1[[#This Row],[Country]],Table4[400m Hurdles Classification],"&gt;0")</f>
        <v>0</v>
      </c>
      <c r="AT94" s="6">
        <f>COUNTIFS(Table5[Country],Tabela1[[#This Row],[Country]],Table5[400m Hurdles Classification],"&gt;0")</f>
        <v>0</v>
      </c>
      <c r="AU94" s="6">
        <f>COUNTIFS(Table4[Country],Tabela1[[#This Row],[Country]],Table4[3000m Steeplechase Classification],"&gt;0")</f>
        <v>0</v>
      </c>
      <c r="AV94" s="6">
        <f>COUNTIFS(Table5[Country],Tabela1[[#This Row],[Country]],Table5[3000m Steeplechase Classification],"&gt;0")</f>
        <v>0</v>
      </c>
      <c r="AW94" s="6">
        <f>COUNTIFS(Table27[Country],Tabela1[[#This Row],[Country]],Table27[Men''s 4x100m Relay Classification],"&gt;0")</f>
        <v>0</v>
      </c>
      <c r="AX94" s="6">
        <f>COUNTIFS(Table27[Country],Tabela1[[#This Row],[Country]],Table27[Women''s 4x100m Relay Classification],"&gt;0")</f>
        <v>0</v>
      </c>
      <c r="AY94" s="6">
        <f>COUNTIFS(Table27[Country],Tabela1[[#This Row],[Country]],Table27[Men''s 4x400m Relay Classification],"&gt;0")</f>
        <v>0</v>
      </c>
      <c r="AZ94" s="6">
        <f>COUNTIFS(Table27[Country],Tabela1[[#This Row],[Country]],Table27[Women''s 4x400m Relay Classification],"&gt;0")</f>
        <v>0</v>
      </c>
      <c r="BA94" s="6">
        <f>COUNTIFS(Table27[Country],Tabela1[[#This Row],[Country]],Table27[Mixed 4x400m Relay Classification],"&gt;0")</f>
        <v>0</v>
      </c>
      <c r="BB94" s="6">
        <f>COUNTIFS(Table4[Country],Tabela1[[#This Row],[Country]],Table4[Marathon Classification],"&gt;0")</f>
        <v>0</v>
      </c>
      <c r="BC94" s="6">
        <f>COUNTIFS(Table5[Country],Tabela1[[#This Row],[Country]],Table5[Marathon Classification],"&gt;0")</f>
        <v>0</v>
      </c>
      <c r="BD94" s="6">
        <f>COUNTIFS(Table4[Country],Tabela1[[#This Row],[Country]],Table4[20km Race Walk Classification],"&gt;0")</f>
        <v>0</v>
      </c>
      <c r="BE94" s="6">
        <f>COUNTIFS(Table5[Country],Tabela1[[#This Row],[Country]],Table5[20km Race Walk Classification],"&gt;0")</f>
        <v>0</v>
      </c>
      <c r="BF94" s="6">
        <f>COUNTIFS(Tabela96[Country],Tabela1[[#This Row],[Country]],Tabela96[Mixed Marathon Race Walk Relay Classification],"&gt;0")</f>
        <v>0</v>
      </c>
      <c r="BG94" s="6">
        <f>COUNTIFS(Table4[Country],Tabela1[[#This Row],[Country]],Table4[Discus Throw Classification],"&gt;0")</f>
        <v>0</v>
      </c>
      <c r="BH94" s="6">
        <f>COUNTIFS(Table5[Country],Tabela1[[#This Row],[Country]],Table5[Discus Throw Classification],"&gt;0")</f>
        <v>0</v>
      </c>
      <c r="BI94" s="6">
        <f>COUNTIFS(Table4[Country],Tabela1[[#This Row],[Country]],Table4[Hammer Throw Classification],"&gt;0")</f>
        <v>0</v>
      </c>
      <c r="BJ94" s="6">
        <f>COUNTIFS(Table5[Country],Tabela1[[#This Row],[Country]],Table5[Hammer Throw Classification],"&gt;0")</f>
        <v>0</v>
      </c>
      <c r="BK94" s="6">
        <f>COUNTIFS(Table4[Country],Tabela1[[#This Row],[Country]],Table4[High Jump Classification],"&gt;0")</f>
        <v>0</v>
      </c>
      <c r="BL94" s="6">
        <f>COUNTIFS(Table5[Country],Tabela1[[#This Row],[Country]],Table5[High Jump Classification],"&gt;0")</f>
        <v>0</v>
      </c>
      <c r="BM94" s="6">
        <f>COUNTIFS(Table4[Country],Tabela1[[#This Row],[Country]],Table4[Javelin Throw Classification],"&gt;0")</f>
        <v>0</v>
      </c>
      <c r="BN94" s="6">
        <f>COUNTIFS(Table5[Country],Tabela1[[#This Row],[Country]],Table5[Javelin Throw Classification],"&gt;0")</f>
        <v>0</v>
      </c>
      <c r="BO94" s="6">
        <f>COUNTIFS(Table4[Country],Tabela1[[#This Row],[Country]],Table4[Long Jump Classification],"&gt;0")</f>
        <v>0</v>
      </c>
      <c r="BP94" s="6">
        <f>COUNTIFS(Table5[Country],Tabela1[[#This Row],[Country]],Table5[Long Jump Classification],"&gt;0")</f>
        <v>0</v>
      </c>
      <c r="BQ94" s="6">
        <f>COUNTIFS(Table4[Country],Tabela1[[#This Row],[Country]],Table4[Pole Vault Classification],"&gt;0")</f>
        <v>0</v>
      </c>
      <c r="BR94" s="6">
        <f>COUNTIFS(Table5[Country],Tabela1[[#This Row],[Country]],Table5[Pole Vault Classification],"&gt;0")</f>
        <v>0</v>
      </c>
      <c r="BS94" s="6">
        <f>COUNTIFS(Table4[Country],Tabela1[[#This Row],[Country]],Table4[Shot Put Classification],"&gt;0")</f>
        <v>0</v>
      </c>
      <c r="BT94" s="6">
        <f>COUNTIFS(Table5[Country],Tabela1[[#This Row],[Country]],Table5[Shot Put Classification],"&gt;0")</f>
        <v>0</v>
      </c>
      <c r="BU94" s="6">
        <f>COUNTIFS(Table4[Country],Tabela1[[#This Row],[Country]],Table4[Triple Jump Classification],"&gt;0")</f>
        <v>0</v>
      </c>
      <c r="BV94" s="6">
        <f>COUNTIFS(Table5[Country],Tabela1[[#This Row],[Country]],Table5[Triple Jump Classification],"&gt;0")</f>
        <v>0</v>
      </c>
      <c r="BW94" s="6">
        <f>COUNTIFS(Table4[Country],Tabela1[[#This Row],[Country]],Table4[Decathlon Classification],"&gt;0")</f>
        <v>0</v>
      </c>
      <c r="BX94" s="6">
        <f>COUNTIFS(Table5[Country],Tabela1[[#This Row],[Country]],Table5[Heptathlon Classification],"&gt;0")</f>
        <v>0</v>
      </c>
      <c r="BY94" s="6">
        <f>COUNTIFS(Table61[Country],Tabela1[[#This Row],[Country]],Table61[Classification],"&gt;0")</f>
        <v>0</v>
      </c>
      <c r="BZ94" s="6">
        <f>COUNTIFS(Table38[Country],Tabela1[[#This Row],[Country]],Table38[Classification],"&gt;0")</f>
        <v>0</v>
      </c>
      <c r="CA94" s="6">
        <f>COUNTIFS(Table39[Country],Tabela1[[#This Row],[Country]],Table39[Men''s Classification],"&gt;0")</f>
        <v>0</v>
      </c>
      <c r="CB94" s="6">
        <f>COUNTIFS(Table39[Country],Tabela1[[#This Row],[Country]],Table39[Women''s Classification],"&gt;0")</f>
        <v>0</v>
      </c>
      <c r="CC94" s="6">
        <f>COUNTIFS(Table39[Country],Tabela1[[#This Row],[Country]],Table39[Mixed Classification],"&gt;0")</f>
        <v>0</v>
      </c>
      <c r="CD94" s="6">
        <f>COUNTIFS(Table89[Country],Tabela1[[#This Row],[Country]],Table89[Men''s Classification],"&gt;0")</f>
        <v>0</v>
      </c>
      <c r="CE94" s="6">
        <f>COUNTIFS(Table89[Country],Tabela1[[#This Row],[Country]],Table89[Women''s Classification],"&gt;0")</f>
        <v>0</v>
      </c>
      <c r="CF94" s="6">
        <f>COUNTIFS(Table90[Country],Tabela1[[#This Row],[Country]],Table90[Men''s Classification],"&gt;0")</f>
        <v>0</v>
      </c>
      <c r="CG94" s="6">
        <f>COUNTIFS(Table90[Country],Tabela1[[#This Row],[Country]],Table90[Women''s Classification],"&gt;0")</f>
        <v>0</v>
      </c>
      <c r="CH94" s="6">
        <f>COUNTIFS(Table60[Country],Tabela1[[#This Row],[Country]],Table60[Men''s Classification],"&gt;0")</f>
        <v>0</v>
      </c>
      <c r="CI94" s="6">
        <f>COUNTIFS(Table60[Country],Tabela1[[#This Row],[Country]],Table60[Women''s Classification],"&gt;0")</f>
        <v>0</v>
      </c>
      <c r="CJ94" s="6">
        <f>COUNTIFS(Table6[Country],Tabela1[[#This Row],[Country]],Table6[51kg Classification],"&gt;0")</f>
        <v>0</v>
      </c>
      <c r="CK94" s="6">
        <f>COUNTIFS(Table6[Country],Tabela1[[#This Row],[Country]],Table6[57kg Classification],"&gt;0")</f>
        <v>0</v>
      </c>
      <c r="CL94" s="6">
        <f>COUNTIFS(Table6[Country],Tabela1[[#This Row],[Country]],Table6[63.5kg Classification],"&gt;0")</f>
        <v>0</v>
      </c>
      <c r="CM94" s="6">
        <f>COUNTIFS(Table6[Country],Tabela1[[#This Row],[Country]],Table6[71kg Classification],"&gt;0")</f>
        <v>0</v>
      </c>
      <c r="CN94" s="6">
        <f>COUNTIFS(Table6[Country],Tabela1[[#This Row],[Country]],Table6[80kg Classification],"&gt;0")</f>
        <v>0</v>
      </c>
      <c r="CO94" s="6">
        <f>COUNTIFS(Table6[Country],Tabela1[[#This Row],[Country]],Table6[92kg Classification],"&gt;0")</f>
        <v>0</v>
      </c>
      <c r="CP94" s="6">
        <f>COUNTIFS(Table6[Country],Tabela1[[#This Row],[Country]],Table6[Plus 92kg Classification],"&gt;0")</f>
        <v>0</v>
      </c>
      <c r="CQ94" s="6">
        <f>COUNTIFS(Table7[Country],Tabela1[[#This Row],[Country]],Table7[50kg Classification],"&gt;0")</f>
        <v>0</v>
      </c>
      <c r="CR94" s="6">
        <f>COUNTIFS(Table7[Country],Tabela1[[#This Row],[Country]],Table7[54kg Classification],"&gt;0")</f>
        <v>0</v>
      </c>
      <c r="CS94" s="6">
        <f>COUNTIFS(Table7[Country],Tabela1[[#This Row],[Country]],Table7[57kg Classification],"&gt;0")</f>
        <v>0</v>
      </c>
      <c r="CT94" s="6">
        <f>COUNTIFS(Table7[Country],Tabela1[[#This Row],[Country]],Table7[60kg Classification],"&gt;0")</f>
        <v>0</v>
      </c>
      <c r="CU94" s="6">
        <f>COUNTIFS(Table7[Country],Tabela1[[#This Row],[Country]],Table7[66kg Classification],"&gt;0")</f>
        <v>0</v>
      </c>
      <c r="CV94" s="6">
        <f>COUNTIFS(Table7[Country],Tabela1[[#This Row],[Country]],Table7[75kg Classification],"&gt;0")</f>
        <v>0</v>
      </c>
      <c r="CW94" s="6">
        <f>COUNTIFS(Tabela94[Country],Tabela1[[#This Row],[Country]],Tabela94[Classification],"&gt;0")</f>
        <v>0</v>
      </c>
      <c r="CX94" s="6">
        <f>COUNTIFS(Tabela9499[Country],Tabela1[[#This Row],[Country]],Tabela9499[Classification],"&gt;0")</f>
        <v>0</v>
      </c>
      <c r="CY94" s="6">
        <f>COUNTIFS(Tabela107[Country],Tabela1[[#This Row],[Country]],Tabela107[C1 Slalom Classification],"&gt;0")</f>
        <v>0</v>
      </c>
      <c r="CZ94" s="6">
        <f>COUNTIFS(Tabela107122[Country],Tabela1[[#This Row],[Country]],Tabela107122[C1 Slalom Classification],"&gt;0")</f>
        <v>0</v>
      </c>
      <c r="DA94" s="6">
        <f>COUNTIFS(Tabela107[Country],Tabela1[[#This Row],[Country]],Tabela107[K1 Slalom Classification],"&gt;0")</f>
        <v>0</v>
      </c>
      <c r="DB94" s="6">
        <f>COUNTIFS(Tabela107122[Country],Tabela1[[#This Row],[Country]],Tabela107122[K1 Slalom Classification],"&gt;0")</f>
        <v>0</v>
      </c>
      <c r="DC94" s="6">
        <f>COUNTIFS(Tabela107[Country],Tabela1[[#This Row],[Country]],Tabela107[Kayak Cross Slalom Classification],"&gt;0")</f>
        <v>0</v>
      </c>
      <c r="DD94" s="6">
        <f>COUNTIFS(Tabela107122[Country],Tabela1[[#This Row],[Country]],Tabela107122[Kayak Cross Slalom Classification],"&gt;0")</f>
        <v>0</v>
      </c>
      <c r="DE94" s="6">
        <f>COUNTIFS(Table8[Country],Tabela1[[#This Row],[Country]],Table8[C1 200m Classification],"&gt;0")</f>
        <v>0</v>
      </c>
      <c r="DF94" s="6">
        <f>COUNTIFS(Table40[Country],Tabela1[[#This Row],[Country]],Table40[C1 1000m Classification],"&gt;0")</f>
        <v>0</v>
      </c>
      <c r="DG94" s="6">
        <f>COUNTIFS(Table68[Country],Tabela1[[#This Row],[Country]],Table68[Men''s C2 500m Classification],"&gt;0")</f>
        <v>0</v>
      </c>
      <c r="DH94" s="6">
        <f>COUNTIFS(Table68[Country],Tabela1[[#This Row],[Country]],Table68[Women''s C2 500m Classification],"&gt;0")</f>
        <v>0</v>
      </c>
      <c r="DI94" s="6">
        <f>COUNTIFS(Table8[Country],Tabela1[[#This Row],[Country]],Table8[K1 500m Classification],"&gt;0")</f>
        <v>0</v>
      </c>
      <c r="DJ94" s="6">
        <f>COUNTIFS(Table40[Country],Tabela1[[#This Row],[Country]],Table40[K1 1000m Classification],"&gt;0")</f>
        <v>0</v>
      </c>
      <c r="DK94" s="6">
        <f>COUNTIFS(Table68[Country],Tabela1[[#This Row],[Country]],Table68[Men''s K2 500m Classification],"&gt;0")</f>
        <v>0</v>
      </c>
      <c r="DL94" s="6">
        <f>COUNTIFS(Table68[Country],Tabela1[[#This Row],[Country]],Table68[Women''s K2 500m Classification],"&gt;0")</f>
        <v>0</v>
      </c>
      <c r="DM94" s="6">
        <f>COUNTIFS(Table83[Country],Tabela1[[#This Row],[Country]],Table83[Men''s K4 500m Classification],"&gt;0")</f>
        <v>0</v>
      </c>
      <c r="DN94" s="6">
        <f>COUNTIFS(Table83[Country],Tabela1[[#This Row],[Country]],Table83[Women''s K4 500m Classification],"&gt;0")</f>
        <v>0</v>
      </c>
      <c r="DO94" s="6">
        <f>COUNTIFS(Tabela126[Country],Tabela1[[#This Row],[Country]],Tabela126[Classification],"&gt;0")</f>
        <v>0</v>
      </c>
      <c r="DP94" s="6">
        <f>COUNTIFS(Tabela126130[Country],Tabela1[[#This Row],[Country]],Tabela126130[Classification],"&gt;0")</f>
        <v>0</v>
      </c>
      <c r="DQ94" s="6">
        <f>COUNTIFS(Table70[Country],Tabela1[[#This Row],[Country]],Table70[Classification],"&gt;0")</f>
        <v>0</v>
      </c>
      <c r="DR94" s="6">
        <f>COUNTIFS(Table80[Country],Tabela1[[#This Row],[Country]],Table80[Classification],"&gt;0")</f>
        <v>0</v>
      </c>
      <c r="DS94" s="6">
        <f>COUNTIFS(Table66[Country],Tabela1[[#This Row],[Country]],Table66[Classification],"&gt;0")</f>
        <v>0</v>
      </c>
      <c r="DT94" s="6">
        <f>COUNTIFS(Table67[Country],Tabela1[[#This Row],[Country]],Table67[Classification],"&gt;0")</f>
        <v>0</v>
      </c>
      <c r="DU94" s="6">
        <f>COUNTIFS(Table69[Country],Tabela1[[#This Row],[Country]],Table69[Keirin Classification],"&gt;0")</f>
        <v>0</v>
      </c>
      <c r="DV94" s="6">
        <f>COUNTIFS(Table41[Country],Tabela1[[#This Row],[Country]],Table41[Keirin Classification],"&gt;0")</f>
        <v>0</v>
      </c>
      <c r="DW94" s="6">
        <f>COUNTIFS(Table84[Country],Tabela1[[#This Row],[Country]],Table84[Men''s Madison Classification],"&gt;0")</f>
        <v>0</v>
      </c>
      <c r="DX94" s="6">
        <f>COUNTIFS(Table84[Country],Tabela1[[#This Row],[Country]],Table84[Women''s Madison Classification],"&gt;0")</f>
        <v>0</v>
      </c>
      <c r="DY94" s="6">
        <f>COUNTIFS(Table69[Country],Tabela1[[#This Row],[Country]],Table69[Omnium Classification],"&gt;0")</f>
        <v>0</v>
      </c>
      <c r="DZ94" s="6">
        <f>COUNTIFS(Table41[Country],Tabela1[[#This Row],[Country]],Table41[Omnium Classification],"&gt;0")</f>
        <v>0</v>
      </c>
      <c r="EA94" s="6">
        <f>COUNTIFS(Table9[Country],Tabela1[[#This Row],[Country]],Table9[Road Race Classification],"&gt;0")</f>
        <v>0</v>
      </c>
      <c r="EB94" s="6">
        <f>COUNTIFS(Table14[Country],Tabela1[[#This Row],[Country]],Table14[Road Race Classification],"&gt;0")</f>
        <v>0</v>
      </c>
      <c r="EC94" s="6">
        <f>COUNTIFS(Table69[Country],Tabela1[[#This Row],[Country]],Table69[Sprint Classification],"&gt;0")</f>
        <v>0</v>
      </c>
      <c r="ED94" s="6">
        <f>COUNTIFS(Table41[Country],Tabela1[[#This Row],[Country]],Table41[Sprint Classification],"&gt;0")</f>
        <v>0</v>
      </c>
      <c r="EE94" s="6">
        <f>COUNTIFS(Table85[Country],Tabela1[[#This Row],[Country]],Table85[Men''s Sprint Classification],"&gt;0")</f>
        <v>0</v>
      </c>
      <c r="EF94" s="6">
        <f>COUNTIFS(Table85[Country],Tabela1[[#This Row],[Country]],Table85[Women''s Sprint Classification],"&gt;0")</f>
        <v>0</v>
      </c>
      <c r="EG94" s="6">
        <f>COUNTIFS(Table85[Country],Tabela1[[#This Row],[Country]],Table85[Men''s Pursuit Classification],"&gt;0")</f>
        <v>0</v>
      </c>
      <c r="EH94" s="6">
        <f>COUNTIFS(Table85[Country],Tabela1[[#This Row],[Country]],Table85[Women''s Pursuit Classification],"&gt;0")</f>
        <v>0</v>
      </c>
      <c r="EI94" s="6">
        <f>COUNTIFS(Table9[Country],Tabela1[[#This Row],[Country]],Table9[Time-Trial Classification],"&gt;0")</f>
        <v>0</v>
      </c>
      <c r="EJ94" s="6">
        <f>COUNTIFS(Table14[Country],Tabela1[[#This Row],[Country]],Table14[Time-Trial Classification],"&gt;0")</f>
        <v>0</v>
      </c>
      <c r="EK94" s="6">
        <f>COUNTIFS(Table42[Country],Tabela1[[#This Row],[Country]],Table42[Springboard Classification],"&gt;0")</f>
        <v>0</v>
      </c>
      <c r="EL94" s="6">
        <f>COUNTIFS(Table43[Country],Tabela1[[#This Row],[Country]],Table43[Springboard Classification],"&gt;0")</f>
        <v>0</v>
      </c>
      <c r="EM94" s="6">
        <f>COUNTIFS(Table42[Country],Tabela1[[#This Row],[Country]],Table42[Platform Classification],"&gt;0")</f>
        <v>0</v>
      </c>
      <c r="EN94" s="6">
        <f>COUNTIFS(Table43[Country],Tabela1[[#This Row],[Country]],Table43[Platform Classification],"&gt;0")</f>
        <v>0</v>
      </c>
      <c r="EO94" s="6">
        <f>COUNTIFS(Table86[Country],Tabela1[[#This Row],[Country]],Table86[Men''s Synchronized Springboard Classification],"&gt;0")</f>
        <v>0</v>
      </c>
      <c r="EP94" s="6">
        <f>COUNTIFS(Table86[Country],Tabela1[[#This Row],[Country]],Table86[Women''s Synchronized Springboard Classification],"&gt;0")</f>
        <v>0</v>
      </c>
      <c r="EQ94" s="6">
        <f>COUNTIFS(Table86[Country],Tabela1[[#This Row],[Country]],Table86[Men''s Synchronized Platform Classification],"&gt;0")</f>
        <v>0</v>
      </c>
      <c r="ER94" s="6">
        <f>COUNTIFS(Table86[Country],Tabela1[[#This Row],[Country]],Table86[Women''s Synchronized Platform Classification],"&gt;0")</f>
        <v>0</v>
      </c>
      <c r="ES94" s="6">
        <f>COUNTIFS(Table44[Country],Tabela1[[#This Row],[Country]],Table44[Dressage Classification],"&gt;0")</f>
        <v>0</v>
      </c>
      <c r="ET94" s="6">
        <f>COUNTIFS(Table45[Country],Tabela1[[#This Row],[Country]],Table45[Dressage Classification],"&gt;0")</f>
        <v>0</v>
      </c>
      <c r="EU94" s="6">
        <f>COUNTIFS(Table44[Country],Tabela1[[#This Row],[Country]],Table44[Eventing Classification],"&gt;0")</f>
        <v>0</v>
      </c>
      <c r="EV94" s="6">
        <f>COUNTIFS(Table45[Country],Tabela1[[#This Row],[Country]],Table45[Eventing Classification],"&gt;0")</f>
        <v>0</v>
      </c>
      <c r="EW94" s="6">
        <f>COUNTIFS(Table44[Country],Tabela1[[#This Row],[Country]],Table44[Jumping Classification],"&gt;0")</f>
        <v>0</v>
      </c>
      <c r="EX94" s="6">
        <f>COUNTIFS(Table45[Country],Tabela1[[#This Row],[Country]],Table45[Jumping Classification],"&gt;0")</f>
        <v>0</v>
      </c>
      <c r="EY94" s="6">
        <f>COUNTIFS(Table10[Country],Tabela1[[#This Row],[Country]],Table10[Épée Classification],"&gt;0")</f>
        <v>0</v>
      </c>
      <c r="EZ94" s="6">
        <f>COUNTIFS(Table11[Country],Tabela1[[#This Row],[Country]],Table11[Épée Classification],"&gt;0")</f>
        <v>0</v>
      </c>
      <c r="FA94" s="6">
        <f>COUNTIFS(Table46[Country],Tabela1[[#This Row],[Country]],Table46[Men''s Épée Classification],"&gt;0")</f>
        <v>0</v>
      </c>
      <c r="FB94" s="6">
        <f>COUNTIFS(Table46[Country],Tabela1[[#This Row],[Country]],Table46[Women''s Épée Classification],"&gt;0")</f>
        <v>0</v>
      </c>
      <c r="FC94" s="6">
        <f>COUNTIFS(Table10[Country],Tabela1[[#This Row],[Country]],Table10[Foil Classification],"&gt;0")</f>
        <v>0</v>
      </c>
      <c r="FD94" s="6">
        <f>COUNTIFS(Table11[Country],Tabela1[[#This Row],[Country]],Table11[Foil Classification],"&gt;0")</f>
        <v>0</v>
      </c>
      <c r="FE94" s="6">
        <f>COUNTIFS(Table46[Country],Tabela1[[#This Row],[Country]],Table46[Men''s Foil Classification],"&gt;0")</f>
        <v>0</v>
      </c>
      <c r="FF94" s="6">
        <f>COUNTIFS(Table46[Country],Tabela1[[#This Row],[Country]],Table46[Women''s Foil Classification],"&gt;0")</f>
        <v>0</v>
      </c>
      <c r="FG94" s="6">
        <f>COUNTIFS(Table10[Country],Tabela1[[#This Row],[Country]],Table10[Sabre Classification],"&gt;0")</f>
        <v>0</v>
      </c>
      <c r="FH94" s="6">
        <f>COUNTIFS(Table11[Country],Tabela1[[#This Row],[Country]],Table11[Sabre Classification],"&gt;0")</f>
        <v>0</v>
      </c>
      <c r="FI94" s="6">
        <f>COUNTIFS(Table46[Country],Tabela1[[#This Row],[Country]],Table46[Men''s Sabre Classification],"&gt;0")</f>
        <v>0</v>
      </c>
      <c r="FJ94" s="6">
        <f>COUNTIFS(Table46[Country],Tabela1[[#This Row],[Country]],Table46[Women''s Sabre Classification],"&gt;0")</f>
        <v>0</v>
      </c>
      <c r="FK94" s="6">
        <f>COUNTIFS(Table91[Country],Tabela1[[#This Row],[Country]],Table91[Men''s Classification],"&gt;0")</f>
        <v>0</v>
      </c>
      <c r="FL94" s="6">
        <f>COUNTIFS(Table91[Country],Tabela1[[#This Row],[Country]],Table91[Women''s Classification],"&gt;0")</f>
        <v>0</v>
      </c>
      <c r="FM94" s="6">
        <f>COUNTIFS(Table9194[Country],Tabela1[[#This Row],[Country]],Table9194[Men''s Classification],"&gt;0")</f>
        <v>0</v>
      </c>
      <c r="FN94" s="6">
        <f>COUNTIFS(Table9194[Country],Tabela1[[#This Row],[Country]],Table9194[Women''s Classification],"&gt;0")</f>
        <v>0</v>
      </c>
      <c r="FO94" s="6">
        <f>COUNTIFS(Table71[Country],Tabela1[[#This Row],[Country]],Table71[Classification],"&gt;0")</f>
        <v>0</v>
      </c>
      <c r="FP94" s="6">
        <f>COUNTIFS(Table62[Country],Tabela1[[#This Row],[Country]],Table62[Classification],"&gt;0")</f>
        <v>0</v>
      </c>
      <c r="FQ94" s="6">
        <f>COUNTIFS(Table47[Country],Tabela1[[#This Row],[Country]],Table47[All-Around Classification],"&gt;0")</f>
        <v>0</v>
      </c>
      <c r="FR94" s="6">
        <f>COUNTIFS(Table48[Country],Tabela1[[#This Row],[Country]],Table48[All-Around Classification],"&gt;0")</f>
        <v>0</v>
      </c>
      <c r="FS94" s="6">
        <f>COUNTIFS(Table81[Country],Tabela1[[#This Row],[Country]],Table81[Men''s All-Around Classification],"&gt;0")</f>
        <v>0</v>
      </c>
      <c r="FT94" s="6">
        <f>COUNTIFS(Table81[Country],Tabela1[[#This Row],[Country]],Table81[Women''s All-Around Classification],"&gt;0")</f>
        <v>0</v>
      </c>
      <c r="FU94" s="6">
        <f>COUNTIFS(Table48[Country],Tabela1[[#This Row],[Country]],Table48[Balance Beam Classification],"&gt;0")</f>
        <v>0</v>
      </c>
      <c r="FV94" s="6">
        <f>COUNTIFS(Table47[Country],Tabela1[[#This Row],[Country]],Table47[Floor Exercise Classification],"&gt;0")</f>
        <v>0</v>
      </c>
      <c r="FW94" s="6">
        <f>COUNTIFS(Table48[Country],Tabela1[[#This Row],[Country]],Table48[Floor Exercise Classification],"&gt;0")</f>
        <v>0</v>
      </c>
      <c r="FX94" s="6">
        <f>COUNTIFS(Table47[Country],Tabela1[[#This Row],[Country]],Table47[Horizontal Bar Classification],"&gt;0")</f>
        <v>0</v>
      </c>
      <c r="FY94" s="6">
        <f>COUNTIFS(Table47[Country],Tabela1[[#This Row],[Country]],Table47[Parallel Bars Classification],"&gt;0")</f>
        <v>0</v>
      </c>
      <c r="FZ94" s="6">
        <f>COUNTIFS(Table47[Country],Tabela1[[#This Row],[Country]],Table47[Pommel Horse Classification],"&gt;0")</f>
        <v>0</v>
      </c>
      <c r="GA94" s="6">
        <f>COUNTIFS(Table47[Country],Tabela1[[#This Row],[Country]],Table47[Rings Classification],"&gt;0")</f>
        <v>0</v>
      </c>
      <c r="GB94" s="6">
        <f>COUNTIFS(Tabela132[Country],Tabela1[[#This Row],[Country]],Tabela132[Classification],"&gt;0")</f>
        <v>0</v>
      </c>
      <c r="GC94" s="6">
        <f>COUNTIFS(Tabela139[Country],Tabela1[[#This Row],[Country]],Tabela139[Classification],"&gt;0")</f>
        <v>0</v>
      </c>
      <c r="GD94" s="6">
        <f>COUNTIFS(Table48[Country],Tabela1[[#This Row],[Country]],Table48[Uneven Bars Classification],"&gt;0")</f>
        <v>0</v>
      </c>
      <c r="GE94" s="6">
        <f>COUNTIFS(Table47[Country],Tabela1[[#This Row],[Country]],Table47[Vault Classification],"&gt;0")</f>
        <v>0</v>
      </c>
      <c r="GF94" s="6">
        <f>COUNTIFS(Table48[Country],Tabela1[[#This Row],[Country]],Table48[Vault Classification],"&gt;0")</f>
        <v>0</v>
      </c>
      <c r="GG94" s="6">
        <f>COUNTIFS(Table919496[Country],Tabela1[[#This Row],[Country]],Table919496[Men''s Classification],"&gt;0")</f>
        <v>0</v>
      </c>
      <c r="GH94" s="6">
        <f>COUNTIFS(Table919496[Country],Tabela1[[#This Row],[Country]],Table919496[Women''s Classification],"&gt;0")</f>
        <v>0</v>
      </c>
      <c r="GI94" s="6">
        <f>COUNTIFS(Table12[Country],Tabela1[[#This Row],[Country]],Table12[60kg Classification],"&gt;0")</f>
        <v>0</v>
      </c>
      <c r="GJ94" s="6">
        <f>COUNTIFS(Table12[Country],Tabela1[[#This Row],[Country]],Table12[66kg Classification],"&gt;0")</f>
        <v>0</v>
      </c>
      <c r="GK94" s="6">
        <f>COUNTIFS(Table12[Country],Tabela1[[#This Row],[Country]],Table12[73kg Classification],"&gt;0")</f>
        <v>0</v>
      </c>
      <c r="GL94" s="6">
        <f>COUNTIFS(Table12[Country],Tabela1[[#This Row],[Country]],Table12[81kg Classification],"&gt;0")</f>
        <v>0</v>
      </c>
      <c r="GM94" s="6">
        <f>COUNTIFS(Table12[Country],Tabela1[[#This Row],[Country]],Table12[90kg Classification],"&gt;0")</f>
        <v>0</v>
      </c>
      <c r="GN94" s="6">
        <f>COUNTIFS(Table12[Country],Tabela1[[#This Row],[Country]],Table12[100kg Classification],"&gt;0")</f>
        <v>0</v>
      </c>
      <c r="GO94" s="6">
        <f>COUNTIFS(Table12[Country],Tabela1[[#This Row],[Country]],Table12[Plus 100kg Classification],"&gt;0")</f>
        <v>0</v>
      </c>
      <c r="GP94" s="6">
        <f>COUNTIFS(Table13[Country],Tabela1[[#This Row],[Country]],Table13[48kg Classification],"&gt;0")</f>
        <v>0</v>
      </c>
      <c r="GQ94" s="6">
        <f>COUNTIFS(Table13[Country],Tabela1[[#This Row],[Country]],Table13[52kg Classification],"&gt;0")</f>
        <v>0</v>
      </c>
      <c r="GR94" s="6">
        <f>COUNTIFS(Table13[Country],Tabela1[[#This Row],[Country]],Table13[57kg Classification],"&gt;0")</f>
        <v>0</v>
      </c>
      <c r="GS94" s="6">
        <f>COUNTIFS(Table13[Country],Tabela1[[#This Row],[Country]],Table13[63kg Classification],"&gt;0")</f>
        <v>0</v>
      </c>
      <c r="GT94" s="6">
        <f>COUNTIFS(Table13[Country],Tabela1[[#This Row],[Country]],Table13[70kg Classification],"&gt;0")</f>
        <v>0</v>
      </c>
      <c r="GU94" s="6">
        <f>COUNTIFS(Table13[Country],Tabela1[[#This Row],[Country]],Table13[78kg Classification],"&gt;0")</f>
        <v>0</v>
      </c>
      <c r="GV94" s="6">
        <f>COUNTIFS(Table13[Country],Tabela1[[#This Row],[Country]],Table13[Plus 78kg Classification],"&gt;0")</f>
        <v>0</v>
      </c>
      <c r="GW94" s="6">
        <f>COUNTIFS(Table82[Country],Tabela1[[#This Row],[Country]],Table82[Mixed Classification],"&gt;0")</f>
        <v>0</v>
      </c>
      <c r="GX94" s="6">
        <f>COUNTIFS(Table51[Country],Tabela1[[#This Row],[Country]],Table51[Classification],"&gt;0")</f>
        <v>0</v>
      </c>
      <c r="GY94" s="6">
        <f>COUNTIFS(Table52[Country],Tabela1[[#This Row],[Country]],Table52[Classification],"&gt;0")</f>
        <v>0</v>
      </c>
      <c r="GZ94" s="6">
        <f>COUNTIFS(Table32[Country],Tabela1[[#This Row],[Country]],Table32[All-Around Classification],"&gt;0")</f>
        <v>0</v>
      </c>
      <c r="HA94" s="6">
        <f>COUNTIFS(Table49[Country],Tabela1[[#This Row],[Country]],Table49[All-Around Classification],"&gt;0")</f>
        <v>0</v>
      </c>
      <c r="HB94" s="6">
        <f>COUNTIFS(Table26[Country],Tabela1[[#This Row],[Country]],Table26[Single Sculls Classification],"&gt;0")</f>
        <v>0</v>
      </c>
      <c r="HC94" s="6">
        <f>COUNTIFS(Table63[Country],Tabela1[[#This Row],[Country]],Table63[Single Sculls Classification],"&gt;0")</f>
        <v>0</v>
      </c>
      <c r="HD94" s="6">
        <f>COUNTIFS(Table16[Country],Tabela1[[#This Row],[Country]],Table16[Men''s Double Sculls Classification],"&gt;0")</f>
        <v>0</v>
      </c>
      <c r="HE94" s="6">
        <f>COUNTIFS(Table16[Country],Tabela1[[#This Row],[Country]],Table16[Women''s Double Sculls Classification],"&gt;0")</f>
        <v>0</v>
      </c>
      <c r="HF94" s="6">
        <f>COUNTIFS(Table72[Country],Tabela1[[#This Row],[Country]],Table72[Men''s Quadruple Sculls Classification],"&gt;0")</f>
        <v>0</v>
      </c>
      <c r="HG94" s="6">
        <f>COUNTIFS(Table72[Country],Tabela1[[#This Row],[Country]],Table72[Women''s Quadruple Sculls Classification],"&gt;0")</f>
        <v>0</v>
      </c>
      <c r="HH94" s="6">
        <f>COUNTIFS(Table16[Country],Tabela1[[#This Row],[Country]],Table16[Men''s Coxless Pairs Classification],"&gt;0")</f>
        <v>0</v>
      </c>
      <c r="HI94" s="6">
        <f>COUNTIFS(Table16[Country],Tabela1[[#This Row],[Country]],Table16[Women''s Coxless Pairs Classification],"&gt;0")</f>
        <v>0</v>
      </c>
      <c r="HJ94" s="6">
        <f>COUNTIFS(Table72[Country],Tabela1[[#This Row],[Country]],Table72[Men''s Coxless Fours Classification],"&gt;0")</f>
        <v>0</v>
      </c>
      <c r="HK94" s="6">
        <f>COUNTIFS(Table72[Country],Tabela1[[#This Row],[Country]],Table72[Women''s Coxless Fours Classification],"&gt;0")</f>
        <v>0</v>
      </c>
      <c r="HL94" s="6">
        <f>COUNTIFS(Table72[Country],Tabela1[[#This Row],[Country]],Table72[Men''s Eights Classification],"&gt;0")</f>
        <v>0</v>
      </c>
      <c r="HM94" s="6">
        <f>COUNTIFS(Table72[Country],Tabela1[[#This Row],[Country]],Table72[Women''s Eights Classification],"&gt;0")</f>
        <v>0</v>
      </c>
      <c r="HN94" s="6">
        <f>COUNTIFS(Table16[Country],Tabela1[[#This Row],[Country]],Table16[Men''s Lwt. Double Sculls Classification],"&gt;0")</f>
        <v>0</v>
      </c>
      <c r="HO94" s="6">
        <f>COUNTIFS(Table16[Country],Tabela1[[#This Row],[Country]],Table16[Women''s Lwt. Double Sculls Classification],"&gt;0")</f>
        <v>0</v>
      </c>
      <c r="HP94" s="6">
        <f>COUNTIFS(Table91949698[Country],Tabela1[[#This Row],[Country]],Table91949698[Men''s Classification],"&gt;0")</f>
        <v>1</v>
      </c>
      <c r="HQ94" s="6">
        <f>COUNTIFS(Table91949698[Country],Tabela1[[#This Row],[Country]],Table91949698[Women''s Classification],"&gt;0")</f>
        <v>0</v>
      </c>
      <c r="HR94" s="6">
        <f>COUNTIFS(Table25[Country],Tabela1[[#This Row],[Country]],Table25[Mixed 470 Classification],"&gt;0")</f>
        <v>0</v>
      </c>
      <c r="HS94" s="6">
        <f>COUNTIFS(Table25[Country],Tabela1[[#This Row],[Country]],Table25[Men''s 49er Classification],"&gt;0")</f>
        <v>0</v>
      </c>
      <c r="HT94" s="6">
        <f>COUNTIFS(Table25[Country],Tabela1[[#This Row],[Country]],Table25[Women''s 49er FX Classification],"&gt;0")</f>
        <v>0</v>
      </c>
      <c r="HU94" s="6">
        <f>COUNTIFS(Table17[Country],Tabela1[[#This Row],[Country]],Table17[Formula Kite Classification],"&gt;0")</f>
        <v>0</v>
      </c>
      <c r="HV94" s="6">
        <f>COUNTIFS(Table18[Country],Tabela1[[#This Row],[Country]],Table18[Formula Kite Classification],"&gt;0")</f>
        <v>0</v>
      </c>
      <c r="HW94" s="6">
        <f>COUNTIFS(Table17[Country],Tabela1[[#This Row],[Country]],Table17[ILCA 7 Classification],"&gt;0")</f>
        <v>0</v>
      </c>
      <c r="HX94" s="6">
        <f>COUNTIFS(Table18[Country],Tabela1[[#This Row],[Country]],Table18[ILCA 6 Classification],"&gt;0")</f>
        <v>1</v>
      </c>
      <c r="HY94" s="6">
        <f>COUNTIFS(Table17[Country],Tabela1[[#This Row],[Country]],Table17[IQFoil Classification],"&gt;0")</f>
        <v>0</v>
      </c>
      <c r="HZ94" s="6">
        <f>COUNTIFS(Table18[Country],Tabela1[[#This Row],[Country]],Table18[IQFoil Classification],"&gt;0")</f>
        <v>0</v>
      </c>
      <c r="IA94" s="6">
        <f>COUNTIFS(Table25[Country],Tabela1[[#This Row],[Country]],Table25[Mixed Nacra 17 Classification],"&gt;0")</f>
        <v>0</v>
      </c>
      <c r="IB94" s="6">
        <f>COUNTIFS(Table53[Country],Tabela1[[#This Row],[Country]],Table53[10m Air Pistol Classification],"&gt;0")</f>
        <v>0</v>
      </c>
      <c r="IC94" s="6">
        <f>COUNTIFS(Table19[Country],Tabela1[[#This Row],[Country]],Table19[10m Air Pistol Classification],"&gt;0")</f>
        <v>0</v>
      </c>
      <c r="ID94" s="6">
        <f>COUNTIFS(Table54[Country],Tabela1[[#This Row],[Country]],Table54[Mixed 10m Air Pistol Team Classification],"&gt;0")</f>
        <v>0</v>
      </c>
      <c r="IE94" s="6">
        <f>COUNTIFS(Table53[Country],Tabela1[[#This Row],[Country]],Table53[10m Air Rifle Classification],"&gt;0")</f>
        <v>0</v>
      </c>
      <c r="IF94" s="6">
        <f>COUNTIFS(Table19[Country],Tabela1[[#This Row],[Country]],Table19[10m Air Rifle Classification],"&gt;0")</f>
        <v>0</v>
      </c>
      <c r="IG94" s="6">
        <f>COUNTIFS(Table54[Country],Tabela1[[#This Row],[Country]],Table54[Mixed 10m Air Rifle Team Classification],"&gt;0")</f>
        <v>0</v>
      </c>
      <c r="IH94" s="6">
        <f>COUNTIFS(Table53[Country],Tabela1[[#This Row],[Country]],Table53[25m Rapid Fire Pistol Classification],"&gt;0")</f>
        <v>0</v>
      </c>
      <c r="II94" s="6">
        <f>COUNTIFS(Table19[Country],Tabela1[[#This Row],[Country]],Table19[25m Pistol Classification],"&gt;0")</f>
        <v>0</v>
      </c>
      <c r="IJ94" s="6">
        <f>COUNTIFS(Table53[Country],Tabela1[[#This Row],[Country]],Table53[50m Rifle 3 Positions Classification],"&gt;0")</f>
        <v>0</v>
      </c>
      <c r="IK94" s="6">
        <f>COUNTIFS(Table19[Country],Tabela1[[#This Row],[Country]],Table19[50m Rifle 3 Positions Classification],"&gt;0")</f>
        <v>0</v>
      </c>
      <c r="IL94" s="6">
        <f>COUNTIFS(Table53[Country],Tabela1[[#This Row],[Country]],Table53[Skeet Classification],"&gt;0")</f>
        <v>0</v>
      </c>
      <c r="IM94" s="6">
        <f>COUNTIFS(Table19[Country],Tabela1[[#This Row],[Country]],Table19[Skeet Classification],"&gt;0")</f>
        <v>0</v>
      </c>
      <c r="IN94" s="6">
        <f>COUNTIFS(Table54[Country],Tabela1[[#This Row],[Country]],Table54[Mixed Skeet Team Classification],"&gt;0")</f>
        <v>0</v>
      </c>
      <c r="IO94" s="6">
        <f>COUNTIFS(Table53[Country],Tabela1[[#This Row],[Country]],Table53[Trap Classification],"&gt;0")</f>
        <v>0</v>
      </c>
      <c r="IP94" s="6">
        <f>COUNTIFS(Table19[Country],Tabela1[[#This Row],[Country]],Table19[Trap Classification],"&gt;0")</f>
        <v>0</v>
      </c>
      <c r="IQ94" s="6">
        <f>COUNTIFS(Table73[Country],Tabela1[[#This Row],[Country]],Table73[Park Classification],"&gt;0")</f>
        <v>0</v>
      </c>
      <c r="IR94" s="6">
        <f>COUNTIFS(Table74[Country],Tabela1[[#This Row],[Country]],Table74[Park Classification],"&gt;0")</f>
        <v>0</v>
      </c>
      <c r="IS94" s="6">
        <f>COUNTIFS(Table73[Country],Tabela1[[#This Row],[Country]],Table73[Street Classification],"&gt;0")</f>
        <v>0</v>
      </c>
      <c r="IT94" s="6">
        <f>COUNTIFS(Table74[Country],Tabela1[[#This Row],[Country]],Table74[Street Classification],"&gt;0")</f>
        <v>0</v>
      </c>
      <c r="IU94" s="6">
        <f>COUNTIFS(Table75[Country],Tabela1[[#This Row],[Country]],Table75[Boulder and Lead Classification],"&gt;0")</f>
        <v>0</v>
      </c>
      <c r="IV94" s="6">
        <f>COUNTIFS(Table76[Country],Tabela1[[#This Row],[Country]],Table76[Boulder and Lead Classification],"&gt;0")</f>
        <v>0</v>
      </c>
      <c r="IW94" s="6">
        <f>COUNTIFS(Table75[Country],Tabela1[[#This Row],[Country]],Table75[Speed Classification],"&gt;0")</f>
        <v>0</v>
      </c>
      <c r="IX94" s="6">
        <f>COUNTIFS(Table76[Country],Tabela1[[#This Row],[Country]],Table76[Speed Classification],"&gt;0")</f>
        <v>0</v>
      </c>
      <c r="IY94" s="6">
        <f>COUNTIFS(Table64[Country],Tabela1[[#This Row],[Country]],Table64[Shortboard Classification],"&gt;0")</f>
        <v>0</v>
      </c>
      <c r="IZ94" s="6">
        <f>COUNTIFS(Table77[Country],Tabela1[[#This Row],[Country]],Table77[Shortboard Classification],"&gt;0")</f>
        <v>0</v>
      </c>
      <c r="JA94" s="6">
        <f>COUNTIFS(Table20[Country],Tabela1[[#This Row],[Country]],Table20[50m Freestyle Classification],"&gt;0")</f>
        <v>0</v>
      </c>
      <c r="JB94" s="6">
        <f>COUNTIFS(Table21[Country],Tabela1[[#This Row],[Country]],Table21[50m Freestyle Classification],"&gt;0")</f>
        <v>0</v>
      </c>
      <c r="JC94" s="6">
        <f>COUNTIFS(Table20[Country],Tabela1[[#This Row],[Country]],Table20[100m Freestyle Classification],"&gt;0")</f>
        <v>0</v>
      </c>
      <c r="JD94" s="6">
        <f>COUNTIFS(Table21[Country],Tabela1[[#This Row],[Country]],Table21[100m Freestyle Classification],"&gt;0")</f>
        <v>0</v>
      </c>
      <c r="JE94" s="6">
        <f>COUNTIFS(Table20[Country],Tabela1[[#This Row],[Country]],Table20[200m Freestyle Classification],"&gt;0")</f>
        <v>0</v>
      </c>
      <c r="JF94" s="6">
        <f>COUNTIFS(Table21[Country],Tabela1[[#This Row],[Country]],Table21[200m Freestyle Classification],"&gt;0")</f>
        <v>0</v>
      </c>
      <c r="JG94" s="6">
        <f>COUNTIFS(Table20[Country],Tabela1[[#This Row],[Country]],Table20[400m Freestyle Classification],"&gt;0")</f>
        <v>0</v>
      </c>
      <c r="JH94" s="6">
        <f>COUNTIFS(Table21[Country],Tabela1[[#This Row],[Country]],Table21[400m Freestyle Classification],"&gt;0")</f>
        <v>0</v>
      </c>
      <c r="JI94" s="6">
        <f>COUNTIFS(Table20[Country],Tabela1[[#This Row],[Country]],Table20[800m Freestyle Classification],"&gt;0")</f>
        <v>0</v>
      </c>
      <c r="JJ94" s="6">
        <f>COUNTIFS(Table21[Country],Tabela1[[#This Row],[Country]],Table21[800m Freestyle Classification],"&gt;0")</f>
        <v>0</v>
      </c>
      <c r="JK94" s="6">
        <f>COUNTIFS(Table20[Country],Tabela1[[#This Row],[Country]],Table20[1500m Freestyle Classification],"&gt;0")</f>
        <v>0</v>
      </c>
      <c r="JL94" s="6">
        <f>COUNTIFS(Table21[Country],Tabela1[[#This Row],[Country]],Table21[1500m Freestyle Classification],"&gt;0")</f>
        <v>0</v>
      </c>
      <c r="JM94" s="6">
        <f>COUNTIFS(Table20[Country],Tabela1[[#This Row],[Country]],Table20[100m Backstroke Classification],"&gt;0")</f>
        <v>0</v>
      </c>
      <c r="JN94" s="6">
        <f>COUNTIFS(Table21[Country],Tabela1[[#This Row],[Country]],Table21[100m Backstroke Classification],"&gt;0")</f>
        <v>0</v>
      </c>
      <c r="JO94" s="6">
        <f>COUNTIFS(Table20[Country],Tabela1[[#This Row],[Country]],Table20[200m Backstroke Classification],"&gt;0")</f>
        <v>0</v>
      </c>
      <c r="JP94" s="6">
        <f>COUNTIFS(Table21[Country],Tabela1[[#This Row],[Country]],Table21[200m Backstroke Classification],"&gt;0")</f>
        <v>0</v>
      </c>
      <c r="JQ94" s="6">
        <f>COUNTIFS(Table20[Country],Tabela1[[#This Row],[Country]],Table20[100m Breaststroke Classification],"&gt;0")</f>
        <v>0</v>
      </c>
      <c r="JR94" s="6">
        <f>COUNTIFS(Table21[Country],Tabela1[[#This Row],[Country]],Table21[100m Breaststroke Classification],"&gt;0")</f>
        <v>0</v>
      </c>
      <c r="JS94" s="6">
        <f>COUNTIFS(Table20[Country],Tabela1[[#This Row],[Country]],Table20[200m Breaststroke Classification],"&gt;0")</f>
        <v>0</v>
      </c>
      <c r="JT94" s="6">
        <f>COUNTIFS(Table21[Country],Tabela1[[#This Row],[Country]],Table21[200m Breaststroke Classification],"&gt;0")</f>
        <v>0</v>
      </c>
      <c r="JU94" s="6">
        <f>COUNTIFS(Table20[Country],Tabela1[[#This Row],[Country]],Table20[100m Butterfly Classification],"&gt;0")</f>
        <v>0</v>
      </c>
      <c r="JV94" s="6">
        <f>COUNTIFS(Table21[Country],Tabela1[[#This Row],[Country]],Table21[100m Butterfly Classification],"&gt;0")</f>
        <v>0</v>
      </c>
      <c r="JW94" s="6">
        <f>COUNTIFS(Table20[Country],Tabela1[[#This Row],[Country]],Table20[200m Butterfly Classification],"&gt;0")</f>
        <v>0</v>
      </c>
      <c r="JX94" s="6">
        <f>COUNTIFS(Table21[Country],Tabela1[[#This Row],[Country]],Table21[200m Butterfly Classification],"&gt;0")</f>
        <v>0</v>
      </c>
      <c r="JY94" s="6">
        <f>COUNTIFS(Table20[Country],Tabela1[[#This Row],[Country]],Table20[200m Medley Classification],"&gt;0")</f>
        <v>0</v>
      </c>
      <c r="JZ94" s="6">
        <f>COUNTIFS(Table21[Country],Tabela1[[#This Row],[Country]],Table21[200m Medley Classification],"&gt;0")</f>
        <v>0</v>
      </c>
      <c r="KA94" s="6">
        <f>COUNTIFS(Table20[Country],Tabela1[[#This Row],[Country]],Table20[400m Medley Classification],"&gt;0")</f>
        <v>0</v>
      </c>
      <c r="KB94" s="6">
        <f>COUNTIFS(Table21[Country],Tabela1[[#This Row],[Country]],Table21[400m Medley Classification],"&gt;0")</f>
        <v>0</v>
      </c>
      <c r="KC94" s="6">
        <f>COUNTIFS(Table78[Country],Tabela1[[#This Row],[Country]],Table78[Men''s 4x100m Freestyle Relay Classification],"&gt;0")</f>
        <v>0</v>
      </c>
      <c r="KD94" s="6">
        <f>COUNTIFS(Table78[Country],Tabela1[[#This Row],[Country]],Table78[Women''s 4x100m Freestyle Relay Classification],"&gt;0")</f>
        <v>0</v>
      </c>
      <c r="KE94" s="6">
        <f>COUNTIFS(Table78[Country],Tabela1[[#This Row],[Country]],Table78[Men''s 4x200m Freestyle Relay Classification],"&gt;0")</f>
        <v>0</v>
      </c>
      <c r="KF94" s="6">
        <f>COUNTIFS(Table78[Country],Tabela1[[#This Row],[Country]],Table78[Women''s 4x200m Freestyle Relay Classification],"&gt;0")</f>
        <v>0</v>
      </c>
      <c r="KG94" s="6">
        <f>COUNTIFS(Table78[Country],Tabela1[[#This Row],[Country]],Table78[Men''s 4x100m Medley Relay Classification],"&gt;0")</f>
        <v>0</v>
      </c>
      <c r="KH94" s="6">
        <f>COUNTIFS(Table78[Country],Tabela1[[#This Row],[Country]],Table78[Women''s 4x100m Medley Relay Classification],"&gt;0")</f>
        <v>0</v>
      </c>
      <c r="KI94" s="6">
        <f>COUNTIFS(Table78[Country],Tabela1[[#This Row],[Country]],Table78[Mixed 4x100m Medley Relay Classification],"&gt;0")</f>
        <v>0</v>
      </c>
      <c r="KJ94" s="6">
        <f>COUNTIFS(Table20[Country],Tabela1[[#This Row],[Country]],Table20[10km Open Water Classification],"&gt;0")</f>
        <v>0</v>
      </c>
      <c r="KK94" s="6">
        <f>COUNTIFS(Table21[Country],Tabela1[[#This Row],[Country]],Table21[10km Open Water Classification],"&gt;0")</f>
        <v>0</v>
      </c>
      <c r="KL94" s="6">
        <f>COUNTIFS(Table22[Country],Tabela1[[#This Row],[Country]],Table22[Classification],"&gt;0")</f>
        <v>0</v>
      </c>
      <c r="KM94" s="6">
        <f>COUNTIFS(Table30[Country],Tabela1[[#This Row],[Country]],Table30[Classification],"&gt;0")</f>
        <v>0</v>
      </c>
      <c r="KN94" s="6">
        <f>COUNTIFS(Table55[Country],Tabela1[[#This Row],[Country]],Table55[Men''s Classification],"&gt;0")</f>
        <v>0</v>
      </c>
      <c r="KO94" s="6">
        <f>COUNTIFS(Table55[Country],Tabela1[[#This Row],[Country]],Table55[Women''s Classification],"&gt;0")</f>
        <v>0</v>
      </c>
      <c r="KP94" s="6">
        <f>COUNTIFS(Table56[Country],Tabela1[[#This Row],[Country]],Table56[Mixed Classification],"&gt;0")</f>
        <v>0</v>
      </c>
      <c r="KQ94" s="6">
        <f>COUNTIFS(Table29[Country],Tabela1[[#This Row],[Country]],Table29[58kg Classification],"&gt;0")</f>
        <v>0</v>
      </c>
      <c r="KR94" s="6">
        <f>COUNTIFS(Table29[Country],Tabela1[[#This Row],[Country]],Table29[68kg Classification],"&gt;0")</f>
        <v>0</v>
      </c>
      <c r="KS94" s="6">
        <f>COUNTIFS(Table29[Country],Tabela1[[#This Row],[Country]],Table29[80kg Classification],"&gt;0")</f>
        <v>0</v>
      </c>
      <c r="KT94" s="6">
        <f>COUNTIFS(Table29[Country],Tabela1[[#This Row],[Country]],Table29[Plus 80kg Classification],"&gt;0")</f>
        <v>0</v>
      </c>
      <c r="KU94" s="6">
        <f>COUNTIFS(Table34[Country],Tabela1[[#This Row],[Country]],Table34[49kg Classification],"&gt;0")</f>
        <v>0</v>
      </c>
      <c r="KV94" s="6">
        <f>COUNTIFS(Table34[Country],Tabela1[[#This Row],[Country]],Table34[57kg Classification],"&gt;0")</f>
        <v>0</v>
      </c>
      <c r="KW94" s="6">
        <f>COUNTIFS(Table34[Country],Tabela1[[#This Row],[Country]],Table34[67kg Classification],"&gt;0")</f>
        <v>0</v>
      </c>
      <c r="KX94" s="6">
        <f>COUNTIFS(Table34[Country],Tabela1[[#This Row],[Country]],Table34[Plus 67kg Classification],"&gt;0")</f>
        <v>0</v>
      </c>
      <c r="KY94" s="6">
        <f>COUNTIFS(Table57[Country],Tabela1[[#This Row],[Country]],Table57[Classification],"&gt;0")</f>
        <v>0</v>
      </c>
      <c r="KZ94" s="6">
        <f>COUNTIFS(Table58[Country],Tabela1[[#This Row],[Country]],Table58[Classification],"&gt;0")</f>
        <v>0</v>
      </c>
      <c r="LA94" s="6">
        <f>COUNTIFS(Table79[Country],Tabela1[[#This Row],[Country]],Table79[Men''s Classification],"&gt;0")</f>
        <v>0</v>
      </c>
      <c r="LB94" s="6">
        <f>COUNTIFS(Table79[Country],Tabela1[[#This Row],[Country]],Table79[Women''s Classification],"&gt;0")</f>
        <v>0</v>
      </c>
      <c r="LC94" s="6">
        <f>COUNTIFS(Table79[Country],Tabela1[[#This Row],[Country]],Table79[Mixed Classification],"&gt;0")</f>
        <v>0</v>
      </c>
      <c r="LD94" s="6">
        <f>COUNTIFS(Table65[Country],Tabela1[[#This Row],[Country]],Table65[Classification],"&gt;0")</f>
        <v>0</v>
      </c>
      <c r="LE94" s="6">
        <f>COUNTIFS(Table59[Country],Tabela1[[#This Row],[Country]],Table59[Classification],"&gt;0")</f>
        <v>0</v>
      </c>
      <c r="LF94" s="6">
        <f>COUNTIFS(Table87[Country],Tabela1[[#This Row],[Country]],Table87[Mixed Relay Classification],"&gt;0")</f>
        <v>0</v>
      </c>
      <c r="LG94" s="6">
        <f>COUNTIFS(Table91949698100[Country],Tabela1[[#This Row],[Country]],Table91949698100[Men''s Classification],"&gt;0")</f>
        <v>0</v>
      </c>
      <c r="LH94" s="6">
        <f>COUNTIFS(Table91949698100[Country],Tabela1[[#This Row],[Country]],Table91949698100[Women''s Classification],"&gt;0")</f>
        <v>0</v>
      </c>
      <c r="LI94" s="6">
        <f>COUNTIFS(Table91949698100102[Country],Tabela1[[#This Row],[Country]],Table91949698100102[Men''s Classification],"&gt;0")</f>
        <v>0</v>
      </c>
      <c r="LJ94" s="6">
        <f>COUNTIFS(Table91949698100102[Country],Tabela1[[#This Row],[Country]],Table91949698100102[Women''s Classification],"&gt;0")</f>
        <v>0</v>
      </c>
      <c r="LK94" s="6">
        <f>COUNTIFS(Table23[Country],Tabela1[[#This Row],[Country]],Table23[61kg Classification],"&gt;0")</f>
        <v>0</v>
      </c>
      <c r="LL94" s="6">
        <f>COUNTIFS(Table23[Country],Tabela1[[#This Row],[Country]],Table23[73kg Classification],"&gt;0")</f>
        <v>0</v>
      </c>
      <c r="LM94" s="6">
        <f>COUNTIFS(Table23[Country],Tabela1[[#This Row],[Country]],Table23[89kg Classification],"&gt;0")</f>
        <v>0</v>
      </c>
      <c r="LN94" s="6">
        <f>COUNTIFS(Table23[Country],Tabela1[[#This Row],[Country]],Table23[102kg Classification],"&gt;0")</f>
        <v>0</v>
      </c>
      <c r="LO94" s="6">
        <f>COUNTIFS(Table23[Country],Tabela1[[#This Row],[Country]],Table23[Plus 102kg Classification],"&gt;0")</f>
        <v>0</v>
      </c>
      <c r="LP94" s="6">
        <f>COUNTIFS(Table28[Country],Tabela1[[#This Row],[Country]],Table28[49kg Classification],"&gt;0")</f>
        <v>0</v>
      </c>
      <c r="LQ94" s="6">
        <f>COUNTIFS(Table28[Country],Tabela1[[#This Row],[Country]],Table28[59kg Classification],"&gt;0")</f>
        <v>0</v>
      </c>
      <c r="LR94" s="6">
        <f>COUNTIFS(Table28[Country],Tabela1[[#This Row],[Country]],Table28[71kg Classification],"&gt;0")</f>
        <v>0</v>
      </c>
      <c r="LS94" s="6">
        <f>COUNTIFS(Table28[Country],Tabela1[[#This Row],[Country]],Table28[81kg Classification],"&gt;0")</f>
        <v>0</v>
      </c>
      <c r="LT94" s="6">
        <f>COUNTIFS(Table28[Country],Tabela1[[#This Row],[Country]],Table28[Plus 81kg Classification],"&gt;0")</f>
        <v>0</v>
      </c>
      <c r="LU94" s="6">
        <f>COUNTIFS(Table24[Country],Tabela1[[#This Row],[Country]],Table24[Freestyle 57kg Classification],"&gt;0")</f>
        <v>0</v>
      </c>
      <c r="LV94" s="6">
        <f>COUNTIFS(Table24[Country],Tabela1[[#This Row],[Country]],Table24[Freestyle 65kg Classification],"&gt;0")</f>
        <v>0</v>
      </c>
      <c r="LW94" s="6">
        <f>COUNTIFS(Table24[Country],Tabela1[[#This Row],[Country]],Table24[Freestyle 74kg Classification],"&gt;0")</f>
        <v>0</v>
      </c>
      <c r="LX94" s="6">
        <f>COUNTIFS(Table24[Country],Tabela1[[#This Row],[Country]],Table24[Freestyle 86kg Classification],"&gt;0")</f>
        <v>0</v>
      </c>
      <c r="LY94" s="6">
        <f>COUNTIFS(Table24[Country],Tabela1[[#This Row],[Country]],Table24[Freestyle 97kg Classification],"&gt;0")</f>
        <v>0</v>
      </c>
      <c r="LZ94" s="6">
        <f>COUNTIFS(Table24[Country],Tabela1[[#This Row],[Country]],Table24[Freestyle 125kg Classification],"&gt;0")</f>
        <v>0</v>
      </c>
      <c r="MA94" s="6">
        <f>COUNTIFS(Table24[Country],Tabela1[[#This Row],[Country]],Table24[Greco-Roman 60kg Classification],"&gt;0")</f>
        <v>0</v>
      </c>
      <c r="MB94" s="6">
        <f>COUNTIFS(Table24[Country],Tabela1[[#This Row],[Country]],Table24[Greco-Roman 67kg Classification],"&gt;0")</f>
        <v>0</v>
      </c>
      <c r="MC94" s="6">
        <f>COUNTIFS(Table24[Country],Tabela1[[#This Row],[Country]],Table24[Greco-Roman 77kg Classification],"&gt;0")</f>
        <v>0</v>
      </c>
      <c r="MD94" s="6">
        <f>COUNTIFS(Table24[Country],Tabela1[[#This Row],[Country]],Table24[Greco-Roman 87kg Classification],"&gt;0")</f>
        <v>0</v>
      </c>
      <c r="ME94" s="6">
        <f>COUNTIFS(Table24[Country],Tabela1[[#This Row],[Country]],Table24[Greco-Roman 97kg Classification],"&gt;0")</f>
        <v>0</v>
      </c>
      <c r="MF94" s="6">
        <f>COUNTIFS(Table24[Country],Tabela1[[#This Row],[Country]],Table24[Greco-Roman 130kg Classification],"&gt;0")</f>
        <v>0</v>
      </c>
      <c r="MG94" s="6">
        <f>COUNTIFS(Table31[Country],Tabela1[[#This Row],[Country]],Table31[50kg Classification],"&gt;0")</f>
        <v>0</v>
      </c>
      <c r="MH94" s="6">
        <f>COUNTIFS(Table31[Country],Tabela1[[#This Row],[Country]],Table31[53kg Classification],"&gt;0")</f>
        <v>0</v>
      </c>
      <c r="MI94" s="6">
        <f>COUNTIFS(Table31[Country],Tabela1[[#This Row],[Country]],Table31[57kg Classification],"&gt;0")</f>
        <v>0</v>
      </c>
      <c r="MJ94" s="6">
        <f>COUNTIFS(Table31[Country],Tabela1[[#This Row],[Country]],Table31[62kg Classification],"&gt;0")</f>
        <v>0</v>
      </c>
      <c r="MK94" s="6">
        <f>COUNTIFS(Table31[Country],Tabela1[[#This Row],[Country]],Table31[68kg Classification],"&gt;0")</f>
        <v>0</v>
      </c>
      <c r="ML94" s="6">
        <f>COUNTIFS(Table31[Country],Tabela1[[#This Row],[Country]],Table31[76kg Classification],"&gt;0")</f>
        <v>0</v>
      </c>
      <c r="MM94" s="6">
        <f>COUNTIFS(Table102[Country],Tabela1[[#This Row],[Country]],Table102[Downhill Classification],"&gt;0")</f>
        <v>0</v>
      </c>
      <c r="MN94" s="6">
        <f>COUNTIFS(Table102105[Country],Tabela1[[#This Row],[Country]],Table102105[Downhill Classification],"&gt;0")</f>
        <v>0</v>
      </c>
      <c r="MO94" s="6">
        <f>COUNTIFS(Table102[Country],Tabela1[[#This Row],[Country]],Table102[Giant Slalom Classification],"&gt;0")</f>
        <v>1</v>
      </c>
      <c r="MP94" s="6">
        <f>COUNTIFS(Table102105[Country],Tabela1[[#This Row],[Country]],Table102105[Giant Slalom Classification],"&gt;0")</f>
        <v>0</v>
      </c>
      <c r="MQ94" s="6">
        <f>COUNTIFS(Table102[Country],Tabela1[[#This Row],[Country]],Table102[Slalom Classification],"&gt;0")</f>
        <v>1</v>
      </c>
      <c r="MR94" s="6">
        <f>COUNTIFS(Table102105[Country],Tabela1[[#This Row],[Country]],Table102105[Slalom Classification],"&gt;0")</f>
        <v>0</v>
      </c>
      <c r="MS94" s="6">
        <f>COUNTIFS(Table102[Country],Tabela1[[#This Row],[Country]],Table102[Super-G Classification],"&gt;0")</f>
        <v>0</v>
      </c>
      <c r="MT94" s="6">
        <f>COUNTIFS(Table102105[Country],Tabela1[[#This Row],[Country]],Table102105[Super-G Classification],"&gt;0")</f>
        <v>0</v>
      </c>
      <c r="MU94" s="6">
        <f>COUNTIFS(Table105[Country],Tabela1[[#This Row],[Country]],Table105[Men''s Combined Classification],"&gt;0")</f>
        <v>0</v>
      </c>
      <c r="MV94" s="6">
        <f>COUNTIFS(Table105[Country],Tabela1[[#This Row],[Country]],Table105[Women''s Combined Classification],"&gt;0")</f>
        <v>0</v>
      </c>
      <c r="MW94" s="6">
        <f>COUNTIFS(Table106[Country],Tabela1[[#This Row],[Country]],Table106[Individual Classification],"&gt;0")</f>
        <v>0</v>
      </c>
      <c r="MX94" s="6">
        <f>COUNTIFS(Table106109[Country],Tabela1[[#This Row],[Country]],Table106109[Individual Classification],"&gt;0")</f>
        <v>0</v>
      </c>
      <c r="MY94" s="6">
        <f>COUNTIFS(Table106[Country],Tabela1[[#This Row],[Country]],Table106[Mass Start Classification],"&gt;0")</f>
        <v>0</v>
      </c>
      <c r="MZ94" s="6">
        <f>COUNTIFS(Table106109[Country],Tabela1[[#This Row],[Country]],Table106109[Mass Start Classification],"&gt;0")</f>
        <v>0</v>
      </c>
      <c r="NA94" s="6">
        <f>COUNTIFS(Table106[Country],Tabela1[[#This Row],[Country]],Table106[Pursuit Classification],"&gt;0")</f>
        <v>0</v>
      </c>
      <c r="NB94" s="6">
        <f>COUNTIFS(Table106109[Country],Tabela1[[#This Row],[Country]],Table106109[Pursuit Classification],"&gt;0")</f>
        <v>0</v>
      </c>
      <c r="NC94" s="6">
        <f>COUNTIFS(Table106[Country],Tabela1[[#This Row],[Country]],Table106[Sprint Classification],"&gt;0")</f>
        <v>0</v>
      </c>
      <c r="ND94" s="6">
        <f>COUNTIFS(Table106109[Country],Tabela1[[#This Row],[Country]],Table106109[Sprint Classification],"&gt;0")</f>
        <v>0</v>
      </c>
      <c r="NE94" s="6">
        <f>COUNTIFS(Table109[Country],Tabela1[[#This Row],[Country]],Table109[Men''s Relay Classification],"&gt;0")</f>
        <v>0</v>
      </c>
      <c r="NF94" s="6">
        <f>COUNTIFS(Table109[Country],Tabela1[[#This Row],[Country]],Table109[Women''s Relay Classification],"&gt;0")</f>
        <v>0</v>
      </c>
      <c r="NG94" s="6">
        <f>COUNTIFS(Table109[Country],Tabela1[[#This Row],[Country]],Table109[Mixed Relay Classification],"&gt;0")</f>
        <v>0</v>
      </c>
      <c r="NH94" s="6">
        <f>COUNTIFS(Table110[Country],Tabela1[[#This Row],[Country]],Table110[Monobob Classification],"&gt;0")</f>
        <v>0</v>
      </c>
      <c r="NI94" s="6">
        <f>COUNTIFS(Table111[Country],Tabela1[[#This Row],[Country]],Table111[Men''s Classification],"&gt;0")</f>
        <v>0</v>
      </c>
      <c r="NJ94" s="6">
        <f>COUNTIFS(Table111[Country],Tabela1[[#This Row],[Country]],Table111[Women''s Classification],"&gt;0")</f>
        <v>0</v>
      </c>
      <c r="NK94" s="6">
        <f>COUNTIFS(Table112[Country],Tabela1[[#This Row],[Country]],Table112[Men''s Four Classification],"&gt;0")</f>
        <v>0</v>
      </c>
      <c r="NL94" s="6">
        <f>COUNTIFS(Table113[Country],Tabela1[[#This Row],[Country]],Table113[Classical Classification],"&gt;0")</f>
        <v>0</v>
      </c>
      <c r="NM94" s="6">
        <f>COUNTIFS(Table113116[Country],Tabela1[[#This Row],[Country]],Table113116[Classical Classification],"&gt;0")</f>
        <v>0</v>
      </c>
      <c r="NN94" s="6">
        <f>COUNTIFS(Table113[Country],Tabela1[[#This Row],[Country]],Table113[Freestyle Classification],"&gt;0")</f>
        <v>0</v>
      </c>
      <c r="NO94" s="6">
        <f>COUNTIFS(Table113116[Country],Tabela1[[#This Row],[Country]],Table113116[Freestyle Classification],"&gt;0")</f>
        <v>0</v>
      </c>
      <c r="NP94" s="6">
        <f>COUNTIFS(Table117[Country],Tabela1[[#This Row],[Country]],Table117[Men''s Relay Classification],"&gt;0")</f>
        <v>0</v>
      </c>
      <c r="NQ94" s="6">
        <f>COUNTIFS(Table117[Country],Tabela1[[#This Row],[Country]],Table117[Women''s Relay Classification],"&gt;0")</f>
        <v>0</v>
      </c>
      <c r="NR94" s="6">
        <f>COUNTIFS(Table113[Country],Tabela1[[#This Row],[Country]],Table113[Skiathlon Classification],"&gt;0")</f>
        <v>0</v>
      </c>
      <c r="NS94" s="6">
        <f>COUNTIFS(Table113116[Country],Tabela1[[#This Row],[Country]],Table113116[Skiathlon Classification],"&gt;0")</f>
        <v>0</v>
      </c>
      <c r="NT94" s="6">
        <f>COUNTIFS(Table113[Country],Tabela1[[#This Row],[Country]],Table113[Sprint Classification],"&gt;0")</f>
        <v>0</v>
      </c>
      <c r="NU94" s="6">
        <f>COUNTIFS(Table113116[Country],Tabela1[[#This Row],[Country]],Table113116[Sprint Classification],"&gt;0")</f>
        <v>0</v>
      </c>
      <c r="NV94" s="6">
        <f>COUNTIFS(Table116[Country],Tabela1[[#This Row],[Country]],Table116[Men''s Team Sprint Classification],"&gt;0")</f>
        <v>0</v>
      </c>
      <c r="NW94" s="6">
        <f>COUNTIFS(Table116[Country],Tabela1[[#This Row],[Country]],Table116[Women''s Team Sprint Classification],"&gt;0")</f>
        <v>0</v>
      </c>
      <c r="NX94" s="6">
        <f>COUNTIFS(Table119[Country],Tabela1[[#This Row],[Country]],Table119[Men''s Classification],"&gt;0")</f>
        <v>0</v>
      </c>
      <c r="NY94" s="6">
        <f>COUNTIFS(Table119[Country],Tabela1[[#This Row],[Country]],Table119[Women''s Classification],"&gt;0")</f>
        <v>0</v>
      </c>
      <c r="NZ94" s="6">
        <f>COUNTIFS(Table118[Country],Tabela1[[#This Row],[Country]],Table118[Mixed Classification],"&gt;0")</f>
        <v>0</v>
      </c>
      <c r="OA94" s="6">
        <f>COUNTIFS(Table120[Country],Tabela1[[#This Row],[Country]],Table120[Classification],"&gt;0")</f>
        <v>0</v>
      </c>
      <c r="OB94" s="6">
        <f>COUNTIFS(Table120123[Country],Tabela1[[#This Row],[Country]],Table120123[Classification],"&gt;0")</f>
        <v>0</v>
      </c>
      <c r="OC94" s="6">
        <f>COUNTIFS(Table123[Country],Tabela1[[#This Row],[Country]],Table123[Ice Dance Classification],"&gt;0")</f>
        <v>0</v>
      </c>
      <c r="OD94" s="6">
        <f>COUNTIFS(Table123[Country],Tabela1[[#This Row],[Country]],Table123[Pair Skating Classification],"&gt;0")</f>
        <v>0</v>
      </c>
      <c r="OE94" s="6">
        <f>COUNTIFS(Table124[Country],Tabela1[[#This Row],[Country]],Table124[Mixed Classification],"&gt;0")</f>
        <v>0</v>
      </c>
      <c r="OF94" s="6">
        <f>COUNTIFS(Table125[Country],Tabela1[[#This Row],[Country]],Table125[Aerials Classification],"&gt;0")</f>
        <v>0</v>
      </c>
      <c r="OG94" s="6">
        <f>COUNTIFS(Table125128[Country],Tabela1[[#This Row],[Country]],Table125128[Aerials Classification],"&gt;0")</f>
        <v>0</v>
      </c>
      <c r="OH94" s="6">
        <f>COUNTIFS(Table128[Country],Tabela1[[#This Row],[Country]],Table128[Mixed Aerials Classification],"&gt;0")</f>
        <v>0</v>
      </c>
      <c r="OI94" s="6">
        <f>COUNTIFS(Table125[Country],Tabela1[[#This Row],[Country]],Table125[Big Air Classification],"&gt;0")</f>
        <v>0</v>
      </c>
      <c r="OJ94" s="6">
        <f>COUNTIFS(Table125128[Country],Tabela1[[#This Row],[Country]],Table125128[Big Air Classification],"&gt;0")</f>
        <v>0</v>
      </c>
      <c r="OK94" s="6">
        <f>COUNTIFS(Table125[Country],Tabela1[[#This Row],[Country]],Table125[Dual Moguls Classification],"&gt;0")</f>
        <v>0</v>
      </c>
      <c r="OL94" s="6">
        <f>COUNTIFS(Table125128[Country],Tabela1[[#This Row],[Country]],Table125128[Dual Moguls Classification],"&gt;0")</f>
        <v>0</v>
      </c>
      <c r="OM94" s="6">
        <f>COUNTIFS(Table125[Country],Tabela1[[#This Row],[Country]],Table125[Halfpipe Classification],"&gt;0")</f>
        <v>0</v>
      </c>
      <c r="ON94" s="6">
        <f>COUNTIFS(Table125128[Country],Tabela1[[#This Row],[Country]],Table125128[Halfpipe Classification],"&gt;0")</f>
        <v>0</v>
      </c>
      <c r="OO94" s="6">
        <f>COUNTIFS(Table125[Country],Tabela1[[#This Row],[Country]],Table125[Moguls Classification],"&gt;0")</f>
        <v>0</v>
      </c>
      <c r="OP94" s="6">
        <f>COUNTIFS(Table125128[Country],Tabela1[[#This Row],[Country]],Table125128[Moguls Classification],"&gt;0")</f>
        <v>0</v>
      </c>
      <c r="OQ94" s="6">
        <f>COUNTIFS(Table125[Country],Tabela1[[#This Row],[Country]],Table125[Ski Cross Classification],"&gt;0")</f>
        <v>0</v>
      </c>
      <c r="OR94" s="6">
        <f>COUNTIFS(Table125128[Country],Tabela1[[#This Row],[Country]],Table125128[Ski Cross Classification],"&gt;0")</f>
        <v>0</v>
      </c>
      <c r="OS94" s="6">
        <f>COUNTIFS(Table125[Country],Tabela1[[#This Row],[Country]],Table125[Slopestyle Classification],"&gt;0")</f>
        <v>0</v>
      </c>
      <c r="OT94" s="6">
        <f>COUNTIFS(Table125128[Country],Tabela1[[#This Row],[Country]],Table125128[Slopestyle Classification],"&gt;0")</f>
        <v>0</v>
      </c>
      <c r="OU94" s="6">
        <f>COUNTIFS(Table119131[Country],Tabela1[[#This Row],[Country]],Table119131[Men''s Classification],"&gt;0")</f>
        <v>0</v>
      </c>
      <c r="OV94" s="6">
        <f>COUNTIFS(Table119131[Country],Tabela1[[#This Row],[Country]],Table119131[Women''s Classification],"&gt;0")</f>
        <v>0</v>
      </c>
      <c r="OW94" s="6">
        <f>COUNTIFS(Table131[Country],Tabela1[[#This Row],[Country]],Table131[Classification],"&gt;0")</f>
        <v>0</v>
      </c>
      <c r="OX94" s="6">
        <f>COUNTIFS(Table131134[Country],Tabela1[[#This Row],[Country]],Table131134[Classification],"&gt;0")</f>
        <v>0</v>
      </c>
      <c r="OY94" s="6">
        <f>COUNTIFS(Table134[Country],Tabela1[[#This Row],[Country]],Table134[Men''s Classification],"&gt;0")</f>
        <v>0</v>
      </c>
      <c r="OZ94" s="6">
        <f>COUNTIFS(Table134[Country],Tabela1[[#This Row],[Country]],Table134[Women''s Classification],"&gt;0")</f>
        <v>0</v>
      </c>
      <c r="PA94" s="6">
        <f>COUNTIFS(Table135[Country],Tabela1[[#This Row],[Country]],Table135[Mixed Relay Classification],"&gt;0")</f>
        <v>0</v>
      </c>
      <c r="PB94" s="6">
        <f>COUNTIFS(Table136[Country],Tabela1[[#This Row],[Country]],Table136[Individual Classification],"&gt;0")</f>
        <v>0</v>
      </c>
      <c r="PC94" s="6">
        <f>COUNTIFS(Table136[Country],Tabela1[[#This Row],[Country]],Table136[Sprint Classification],"&gt;0")</f>
        <v>0</v>
      </c>
      <c r="PD94" s="6">
        <f>COUNTIFS(Table137[Country],Tabela1[[#This Row],[Country]],Table137[Men''s Team Sprint Large Hill Classification],"&gt;0")</f>
        <v>0</v>
      </c>
      <c r="PE94" s="6">
        <f>COUNTIFS(Table138[Country],Tabela1[[#This Row],[Country]],Table138[500m Classification],"&gt;0")</f>
        <v>0</v>
      </c>
      <c r="PF94" s="6">
        <f>COUNTIFS(Table138141[Country],Tabela1[[#This Row],[Country]],Table138141[500m Classification],"&gt;0")</f>
        <v>0</v>
      </c>
      <c r="PG94" s="6">
        <f>COUNTIFS(Table138[Country],Tabela1[[#This Row],[Country]],Table138[1000m Classification],"&gt;0")</f>
        <v>0</v>
      </c>
      <c r="PH94" s="6">
        <f>COUNTIFS(Table138141[Country],Tabela1[[#This Row],[Country]],Table138141[1000m Classification],"&gt;0")</f>
        <v>0</v>
      </c>
      <c r="PI94" s="6">
        <f>COUNTIFS(Table138[Country],Tabela1[[#This Row],[Country]],Table138[1500m Classification],"&gt;0")</f>
        <v>0</v>
      </c>
      <c r="PJ94" s="6">
        <f>COUNTIFS(Table138141[Country],Tabela1[[#This Row],[Country]],Table138141[1500m Classification],"&gt;0")</f>
        <v>0</v>
      </c>
      <c r="PK94" s="6">
        <f>COUNTIFS(Table141[Country],Tabela1[[#This Row],[Country]],Table141[Men''s 5000m Relay Classification],"&gt;0")</f>
        <v>0</v>
      </c>
      <c r="PL94" s="6">
        <f>COUNTIFS(Table141[Country],Tabela1[[#This Row],[Country]],Table141[Women''s 3000m Relay Classification],"&gt;0")</f>
        <v>0</v>
      </c>
      <c r="PM94" s="6">
        <f>COUNTIFS(Table141[Country],Tabela1[[#This Row],[Country]],Table141[Mixed 2000m Relay Classification],"&gt;0")</f>
        <v>0</v>
      </c>
      <c r="PN94" s="6">
        <f>COUNTIFS(Table142[Country],Tabela1[[#This Row],[Country]],Table142[Classification],"&gt;0")</f>
        <v>0</v>
      </c>
      <c r="PO94" s="6">
        <f>COUNTIFS(Table142145[Country],Tabela1[[#This Row],[Country]],Table142145[Classification],"&gt;0")</f>
        <v>0</v>
      </c>
      <c r="PP94" s="6">
        <f>COUNTIFS(Tabela15[Country],Tabela1[[#This Row],[Country]],Tabela15[Mixed Team Classification],"&gt;0")</f>
        <v>0</v>
      </c>
      <c r="PQ94" s="6">
        <f>COUNTIFS(Table145[Country],Tabela1[[#This Row],[Country]],Table145[Large Hill Classification],"&gt;0")</f>
        <v>0</v>
      </c>
      <c r="PR94" s="6">
        <f>COUNTIFS(Table145[Country],Tabela1[[#This Row],[Country]],Table145[Normal Hill Classification],"&gt;0")</f>
        <v>0</v>
      </c>
      <c r="PS94" s="6">
        <f>COUNTIFS(Table145148[Country],Tabela1[[#This Row],[Country]],Table145148[Large Hill Classification],"&gt;0")</f>
        <v>0</v>
      </c>
      <c r="PT94" s="6">
        <f>COUNTIFS(Table145148[Country],Tabela1[[#This Row],[Country]],Table145148[Normal Hill Classification],"&gt;0")</f>
        <v>0</v>
      </c>
      <c r="PU94" s="6">
        <f>COUNTIFS(Table148[Country],Tabela1[[#This Row],[Country]],Table148[Men''s Super Team Classification],"&gt;0")</f>
        <v>0</v>
      </c>
      <c r="PV94" s="6">
        <f>COUNTIFS(Tabela114[Country],Tabela1[[#This Row],[Country]],Tabela114[Mixed Normal Hill Classification],"&gt;0")</f>
        <v>0</v>
      </c>
      <c r="PW94" s="6">
        <f>COUNTIFS(Tabela50[Country],Tabela1[[#This Row],[Country]],Tabela50[Sprint Classification],"&gt;0")</f>
        <v>0</v>
      </c>
      <c r="PX94" s="6">
        <f>COUNTIFS(Tabela50101[Country],Tabela1[[#This Row],[Country]],Tabela50101[Sprint Classification],"&gt;0")</f>
        <v>0</v>
      </c>
      <c r="PY94" s="6">
        <f>COUNTIFS(Tabela103[Country],Tabela1[[#This Row],[Country]],Tabela103[Mixed Relay Classification],"&gt;0")</f>
        <v>0</v>
      </c>
      <c r="PZ94" s="6">
        <f>COUNTIFS(Table149[Country],Tabela1[[#This Row],[Country]],Table149[Big Air Classification],"&gt;0")</f>
        <v>0</v>
      </c>
      <c r="QA94" s="6">
        <f>COUNTIFS(Table149152[Country],Tabela1[[#This Row],[Country]],Table149152[Big Air Classification],"&gt;0")</f>
        <v>0</v>
      </c>
      <c r="QB94" s="6">
        <f>COUNTIFS(Table149[Country],Tabela1[[#This Row],[Country]],Table149[Halfpipe Classification],"&gt;0")</f>
        <v>0</v>
      </c>
      <c r="QC94" s="6">
        <f>COUNTIFS(Table149152[Country],Tabela1[[#This Row],[Country]],Table149152[Halfpipe Classification],"&gt;0")</f>
        <v>0</v>
      </c>
      <c r="QD94" s="6">
        <f>COUNTIFS(Table149[Country],Tabela1[[#This Row],[Country]],Table149[Parallel Giant Slalom Classification],"&gt;0")</f>
        <v>0</v>
      </c>
      <c r="QE94" s="6">
        <f>COUNTIFS(Table149152[Country],Tabela1[[#This Row],[Country]],Table149152[Parallel Giant Slalom Classification],"&gt;0")</f>
        <v>0</v>
      </c>
      <c r="QF94" s="6">
        <f>COUNTIFS(Table149[Country],Tabela1[[#This Row],[Country]],Table149[Slopestyle Classification],"&gt;0")</f>
        <v>0</v>
      </c>
      <c r="QG94" s="6">
        <f>COUNTIFS(Table149152[Country],Tabela1[[#This Row],[Country]],Table149152[Slopestyle Classification],"&gt;0")</f>
        <v>0</v>
      </c>
      <c r="QH94" s="6">
        <f>COUNTIFS(Table149[Country],Tabela1[[#This Row],[Country]],Table149[Snowboard Cross Classification],"&gt;0")</f>
        <v>0</v>
      </c>
      <c r="QI94" s="6">
        <f>COUNTIFS(Table149152[Country],Tabela1[[#This Row],[Country]],Table149152[Snowboard Cross Classification],"&gt;0")</f>
        <v>0</v>
      </c>
      <c r="QJ94" s="6">
        <f>COUNTIFS(Table153[Country],Tabela1[[#This Row],[Country]],Table153[Mixed Team Snowboard Cross Classification],"&gt;0")</f>
        <v>0</v>
      </c>
      <c r="QK94" s="6">
        <f>COUNTIFS(Table154[Country],Tabela1[[#This Row],[Country]],Table154[500m Classification],"&gt;0")</f>
        <v>0</v>
      </c>
      <c r="QL94" s="6">
        <f>COUNTIFS(Table154157[Country],Tabela1[[#This Row],[Country]],Table154157[500m Classification],"&gt;0")</f>
        <v>0</v>
      </c>
      <c r="QM94" s="6">
        <f>COUNTIFS(Table154[Country],Tabela1[[#This Row],[Country]],Table154[1000m Classification],"&gt;0")</f>
        <v>0</v>
      </c>
      <c r="QN94" s="6">
        <f>COUNTIFS(Table154157[Country],Tabela1[[#This Row],[Country]],Table154157[1000m Classification],"&gt;0")</f>
        <v>0</v>
      </c>
      <c r="QO94" s="6">
        <f>COUNTIFS(Table154[Country],Tabela1[[#This Row],[Country]],Table154[1500m Classification],"&gt;0")</f>
        <v>0</v>
      </c>
      <c r="QP94" s="6">
        <f>COUNTIFS(Table154157[Country],Tabela1[[#This Row],[Country]],Table154157[1500m Classification],"&gt;0")</f>
        <v>0</v>
      </c>
      <c r="QQ94" s="6">
        <f>COUNTIFS(Table154157[Country],Tabela1[[#This Row],[Country]],Table154157[3000m Classification],"&gt;0")</f>
        <v>0</v>
      </c>
      <c r="QR94" s="6">
        <f>COUNTIFS(Table154[Country],Tabela1[[#This Row],[Country]],Table154[5000m Classification],"&gt;0")</f>
        <v>0</v>
      </c>
      <c r="QS94" s="6">
        <f>COUNTIFS(Table154157[Country],Tabela1[[#This Row],[Country]],Table154157[5000m Classification],"&gt;0")</f>
        <v>0</v>
      </c>
      <c r="QT94" s="6">
        <f>COUNTIFS(Table154[Country],Tabela1[[#This Row],[Country]],Table154[10000m Classification],"&gt;0")</f>
        <v>0</v>
      </c>
      <c r="QU94" s="6">
        <f>COUNTIFS(Table154[Country],Tabela1[[#This Row],[Country]],Table154[Mass Start Classification],"&gt;0")</f>
        <v>0</v>
      </c>
      <c r="QV94" s="6">
        <f>COUNTIFS(Table154157[Country],Tabela1[[#This Row],[Country]],Table154157[Mass Start Classification],"&gt;0")</f>
        <v>0</v>
      </c>
      <c r="QW94" s="6">
        <f>COUNTIFS(Table157[Country],Tabela1[[#This Row],[Country]],Table157[Men''s Pursuit Classification],"&gt;0")</f>
        <v>0</v>
      </c>
      <c r="QX94" s="6">
        <f>COUNTIFS(Table157[Country],Tabela1[[#This Row],[Country]],Table157[Women''s Pursuit Classification],"&gt;0")</f>
        <v>0</v>
      </c>
      <c r="QY94" s="4" t="s">
        <v>411</v>
      </c>
    </row>
    <row r="95" spans="1:467" x14ac:dyDescent="0.3">
      <c r="A95" s="6">
        <v>94</v>
      </c>
      <c r="B95" s="6" t="s">
        <v>426</v>
      </c>
      <c r="C95" t="e" vm="94">
        <f>IF(ISBLANK(Tabela1[[#This Row],[Image Link]]), "", _xlfn.IMAGE(Tabela1[[#This Row],[Image Link]],1,1))</f>
        <v>#VALUE!</v>
      </c>
      <c r="D95" s="6">
        <f>SUM(Tabela1[[#This Row],[Archery - Men''s Individual Recurve]:[Speed Skating - Women''s Team Pursuit]])</f>
        <v>4</v>
      </c>
      <c r="E95" s="6">
        <f>COUNTIF(Tabela1[[#This Row],[Archery - Men''s Individual Recurve]:[Speed Skating - Women''s Team Pursuit]],"&gt;0")</f>
        <v>4</v>
      </c>
      <c r="F95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95" s="6">
        <f>SUM(Tabela1[[#This Row],[Archery - Men''s Individual Recurve]:[Wrestling - Women''s Freestyle 76kg]])</f>
        <v>4</v>
      </c>
      <c r="H95" s="6">
        <f>SUM(Tabela1[[#This Row],[Alpine Skiing - Men''s Downhill]:[Speed Skating - Women''s Team Pursuit]])</f>
        <v>0</v>
      </c>
      <c r="I95" s="6">
        <f>Tabela1[[#This Row],[Summer Gold Medals]]+Tabela1[[#This Row],[Winter Gold Medals]]</f>
        <v>0</v>
      </c>
      <c r="J95" s="6">
        <f>Tabela1[[#This Row],[Summer Silver Medals]]+Tabela1[[#This Row],[Winter Silver Medals]]</f>
        <v>0</v>
      </c>
      <c r="K95" s="6">
        <f>Tabela1[[#This Row],[Summer Bronze Medals]]+Tabela1[[#This Row],[Winter Bronze Medals]]</f>
        <v>1</v>
      </c>
      <c r="L95" s="6">
        <f>SUM(Tabela1[[#This Row],[Total Gold Medals]:[Total Bronze Medals]])</f>
        <v>1</v>
      </c>
      <c r="M95" s="6"/>
      <c r="N95" s="6"/>
      <c r="O95" s="6">
        <v>1</v>
      </c>
      <c r="P95" s="6">
        <f>SUM(Tabela1[[#This Row],[Summer Gold Medals]:[Summer Bronze Medals]])</f>
        <v>1</v>
      </c>
      <c r="Q95" s="6"/>
      <c r="R95" s="6"/>
      <c r="S95" s="6"/>
      <c r="T95" s="6">
        <f>Tabela1[[#This Row],[Winter Gold Medals]]+Tabela1[[#This Row],[Winter Silver Medals]]+Tabela1[[#This Row],[Winter Bronze Medals]]</f>
        <v>0</v>
      </c>
      <c r="U95" s="7">
        <f>Tabela1[[#This Row],[Total Medals]]/Tabela1[[#This Row],[Total Quotas]]</f>
        <v>0.25</v>
      </c>
      <c r="V95" s="6">
        <f>COUNTIFS(Table3[Country],Tabela1[[#This Row],[Country]],Table3[Recurve Classification],"&gt;0")</f>
        <v>0</v>
      </c>
      <c r="W95" s="6">
        <f>COUNTIFS(Table33[Country],Tabela1[[#This Row],[Country]],Table33[Recurve Classification],"&gt;0")</f>
        <v>0</v>
      </c>
      <c r="X95" s="6">
        <f>COUNTIFS(Table35[Country],Tabela1[[#This Row],[Country]],Table35[Men''s Team Recurve Classification],"&gt;0")</f>
        <v>0</v>
      </c>
      <c r="Y95" s="6">
        <f>COUNTIFS(Table35[Country],Tabela1[[#This Row],[Country]],Table35[Women''s Team Recurve Classification],"&gt;0")</f>
        <v>0</v>
      </c>
      <c r="Z95" s="6">
        <f>COUNTIFS(Tabela88[Country],Tabela1[[#This Row],[Country]],Tabela88[Mixed Team Recurve Classification],"&gt;0")</f>
        <v>0</v>
      </c>
      <c r="AA95" s="6">
        <f>COUNTIFS(Table36[Country],Tabela1[[#This Row],[Country]],Table36[Classification],"&gt;0")</f>
        <v>0</v>
      </c>
      <c r="AB95" s="6">
        <f>COUNTIFS(Table37[Country],Tabela1[[#This Row],[Country]],Table37[Classification],"&gt;0")</f>
        <v>0</v>
      </c>
      <c r="AC95" s="6">
        <f>COUNTIFS(Table4[Country],Tabela1[[#This Row],[Country]],Table4[100m Classification],"&gt;0")</f>
        <v>0</v>
      </c>
      <c r="AD95" s="6">
        <f>COUNTIFS(Table5[Country],Tabela1[[#This Row],[Country]],Table5[100m Classification],"&gt;0")</f>
        <v>1</v>
      </c>
      <c r="AE95" s="6">
        <f>COUNTIFS(Table4[Country],Tabela1[[#This Row],[Country]],Table4[200m Classification],"&gt;0")</f>
        <v>0</v>
      </c>
      <c r="AF95" s="6">
        <f>COUNTIFS(Table5[Country],Tabela1[[#This Row],[Country]],Table5[200m Classification],"&gt;0")</f>
        <v>1</v>
      </c>
      <c r="AG95" s="6">
        <f>COUNTIFS(Table4[Country],Tabela1[[#This Row],[Country]],Table4[400m Classification],"&gt;0")</f>
        <v>0</v>
      </c>
      <c r="AH95" s="6">
        <f>COUNTIFS(Table5[Country],Tabela1[[#This Row],[Country]],Table5[400m Classification],"&gt;0")</f>
        <v>0</v>
      </c>
      <c r="AI95" s="6">
        <f>COUNTIFS(Table4[Country],Tabela1[[#This Row],[Country]],Table4[800m Classification],"&gt;0")</f>
        <v>0</v>
      </c>
      <c r="AJ95" s="6">
        <f>COUNTIFS(Table5[Country],Tabela1[[#This Row],[Country]],Table5[800m Classification],"&gt;0")</f>
        <v>0</v>
      </c>
      <c r="AK95" s="6">
        <f>COUNTIFS(Table4[Country],Tabela1[[#This Row],[Country]],Table4[1500m Classification],"&gt;0")</f>
        <v>0</v>
      </c>
      <c r="AL95" s="6">
        <f>COUNTIFS(Table5[Country],Tabela1[[#This Row],[Country]],Table5[1500m Classification],"&gt;0")</f>
        <v>0</v>
      </c>
      <c r="AM95" s="6">
        <f>COUNTIFS(Table4[Country],Tabela1[[#This Row],[Country]],Table4[5000m Classification],"&gt;0")</f>
        <v>0</v>
      </c>
      <c r="AN95" s="6">
        <f>COUNTIFS(Table5[Country],Tabela1[[#This Row],[Country]],Table5[5000m Classification],"&gt;0")</f>
        <v>0</v>
      </c>
      <c r="AO95" s="6">
        <f>COUNTIFS(Table4[Country],Tabela1[[#This Row],[Country]],Table4[10000m Classification],"&gt;0")</f>
        <v>0</v>
      </c>
      <c r="AP95" s="6">
        <f>COUNTIFS(Table5[Country],Tabela1[[#This Row],[Country]],Table5[10000m Classification],"&gt;0")</f>
        <v>0</v>
      </c>
      <c r="AQ95" s="6">
        <f>COUNTIFS(Table4[Country],Tabela1[[#This Row],[Country]],Table4[110m Hurdles Classification],"&gt;0")</f>
        <v>0</v>
      </c>
      <c r="AR95" s="6">
        <f>COUNTIFS(Table5[Country],Tabela1[[#This Row],[Country]],Table5[100m Hurdles Classification],"&gt;0")</f>
        <v>0</v>
      </c>
      <c r="AS95" s="6">
        <f>COUNTIFS(Table4[Country],Tabela1[[#This Row],[Country]],Table4[400m Hurdles Classification],"&gt;0")</f>
        <v>0</v>
      </c>
      <c r="AT95" s="6">
        <f>COUNTIFS(Table5[Country],Tabela1[[#This Row],[Country]],Table5[400m Hurdles Classification],"&gt;0")</f>
        <v>0</v>
      </c>
      <c r="AU95" s="6">
        <f>COUNTIFS(Table4[Country],Tabela1[[#This Row],[Country]],Table4[3000m Steeplechase Classification],"&gt;0")</f>
        <v>0</v>
      </c>
      <c r="AV95" s="6">
        <f>COUNTIFS(Table5[Country],Tabela1[[#This Row],[Country]],Table5[3000m Steeplechase Classification],"&gt;0")</f>
        <v>0</v>
      </c>
      <c r="AW95" s="6">
        <f>COUNTIFS(Table27[Country],Tabela1[[#This Row],[Country]],Table27[Men''s 4x100m Relay Classification],"&gt;0")</f>
        <v>0</v>
      </c>
      <c r="AX95" s="6">
        <f>COUNTIFS(Table27[Country],Tabela1[[#This Row],[Country]],Table27[Women''s 4x100m Relay Classification],"&gt;0")</f>
        <v>1</v>
      </c>
      <c r="AY95" s="6">
        <f>COUNTIFS(Table27[Country],Tabela1[[#This Row],[Country]],Table27[Men''s 4x400m Relay Classification],"&gt;0")</f>
        <v>0</v>
      </c>
      <c r="AZ95" s="6">
        <f>COUNTIFS(Table27[Country],Tabela1[[#This Row],[Country]],Table27[Women''s 4x400m Relay Classification],"&gt;0")</f>
        <v>0</v>
      </c>
      <c r="BA95" s="6">
        <f>COUNTIFS(Table27[Country],Tabela1[[#This Row],[Country]],Table27[Mixed 4x400m Relay Classification],"&gt;0")</f>
        <v>0</v>
      </c>
      <c r="BB95" s="6">
        <f>COUNTIFS(Table4[Country],Tabela1[[#This Row],[Country]],Table4[Marathon Classification],"&gt;0")</f>
        <v>0</v>
      </c>
      <c r="BC95" s="6">
        <f>COUNTIFS(Table5[Country],Tabela1[[#This Row],[Country]],Table5[Marathon Classification],"&gt;0")</f>
        <v>0</v>
      </c>
      <c r="BD95" s="6">
        <f>COUNTIFS(Table4[Country],Tabela1[[#This Row],[Country]],Table4[20km Race Walk Classification],"&gt;0")</f>
        <v>0</v>
      </c>
      <c r="BE95" s="6">
        <f>COUNTIFS(Table5[Country],Tabela1[[#This Row],[Country]],Table5[20km Race Walk Classification],"&gt;0")</f>
        <v>0</v>
      </c>
      <c r="BF95" s="6">
        <f>COUNTIFS(Tabela96[Country],Tabela1[[#This Row],[Country]],Tabela96[Mixed Marathon Race Walk Relay Classification],"&gt;0")</f>
        <v>0</v>
      </c>
      <c r="BG95" s="6">
        <f>COUNTIFS(Table4[Country],Tabela1[[#This Row],[Country]],Table4[Discus Throw Classification],"&gt;0")</f>
        <v>0</v>
      </c>
      <c r="BH95" s="6">
        <f>COUNTIFS(Table5[Country],Tabela1[[#This Row],[Country]],Table5[Discus Throw Classification],"&gt;0")</f>
        <v>0</v>
      </c>
      <c r="BI95" s="6">
        <f>COUNTIFS(Table4[Country],Tabela1[[#This Row],[Country]],Table4[Hammer Throw Classification],"&gt;0")</f>
        <v>0</v>
      </c>
      <c r="BJ95" s="6">
        <f>COUNTIFS(Table5[Country],Tabela1[[#This Row],[Country]],Table5[Hammer Throw Classification],"&gt;0")</f>
        <v>0</v>
      </c>
      <c r="BK95" s="6">
        <f>COUNTIFS(Table4[Country],Tabela1[[#This Row],[Country]],Table4[High Jump Classification],"&gt;0")</f>
        <v>0</v>
      </c>
      <c r="BL95" s="6">
        <f>COUNTIFS(Table5[Country],Tabela1[[#This Row],[Country]],Table5[High Jump Classification],"&gt;0")</f>
        <v>0</v>
      </c>
      <c r="BM95" s="6">
        <f>COUNTIFS(Table4[Country],Tabela1[[#This Row],[Country]],Table4[Javelin Throw Classification],"&gt;0")</f>
        <v>0</v>
      </c>
      <c r="BN95" s="6">
        <f>COUNTIFS(Table5[Country],Tabela1[[#This Row],[Country]],Table5[Javelin Throw Classification],"&gt;0")</f>
        <v>0</v>
      </c>
      <c r="BO95" s="6">
        <f>COUNTIFS(Table4[Country],Tabela1[[#This Row],[Country]],Table4[Long Jump Classification],"&gt;0")</f>
        <v>0</v>
      </c>
      <c r="BP95" s="6">
        <f>COUNTIFS(Table5[Country],Tabela1[[#This Row],[Country]],Table5[Long Jump Classification],"&gt;0")</f>
        <v>0</v>
      </c>
      <c r="BQ95" s="6">
        <f>COUNTIFS(Table4[Country],Tabela1[[#This Row],[Country]],Table4[Pole Vault Classification],"&gt;0")</f>
        <v>0</v>
      </c>
      <c r="BR95" s="6">
        <f>COUNTIFS(Table5[Country],Tabela1[[#This Row],[Country]],Table5[Pole Vault Classification],"&gt;0")</f>
        <v>0</v>
      </c>
      <c r="BS95" s="6">
        <f>COUNTIFS(Table4[Country],Tabela1[[#This Row],[Country]],Table4[Shot Put Classification],"&gt;0")</f>
        <v>0</v>
      </c>
      <c r="BT95" s="6">
        <f>COUNTIFS(Table5[Country],Tabela1[[#This Row],[Country]],Table5[Shot Put Classification],"&gt;0")</f>
        <v>0</v>
      </c>
      <c r="BU95" s="6">
        <f>COUNTIFS(Table4[Country],Tabela1[[#This Row],[Country]],Table4[Triple Jump Classification],"&gt;0")</f>
        <v>0</v>
      </c>
      <c r="BV95" s="6">
        <f>COUNTIFS(Table5[Country],Tabela1[[#This Row],[Country]],Table5[Triple Jump Classification],"&gt;0")</f>
        <v>0</v>
      </c>
      <c r="BW95" s="6">
        <f>COUNTIFS(Table4[Country],Tabela1[[#This Row],[Country]],Table4[Decathlon Classification],"&gt;0")</f>
        <v>0</v>
      </c>
      <c r="BX95" s="6">
        <f>COUNTIFS(Table5[Country],Tabela1[[#This Row],[Country]],Table5[Heptathlon Classification],"&gt;0")</f>
        <v>0</v>
      </c>
      <c r="BY95" s="6">
        <f>COUNTIFS(Table61[Country],Tabela1[[#This Row],[Country]],Table61[Classification],"&gt;0")</f>
        <v>0</v>
      </c>
      <c r="BZ95" s="6">
        <f>COUNTIFS(Table38[Country],Tabela1[[#This Row],[Country]],Table38[Classification],"&gt;0")</f>
        <v>0</v>
      </c>
      <c r="CA95" s="6">
        <f>COUNTIFS(Table39[Country],Tabela1[[#This Row],[Country]],Table39[Men''s Classification],"&gt;0")</f>
        <v>0</v>
      </c>
      <c r="CB95" s="6">
        <f>COUNTIFS(Table39[Country],Tabela1[[#This Row],[Country]],Table39[Women''s Classification],"&gt;0")</f>
        <v>0</v>
      </c>
      <c r="CC95" s="6">
        <f>COUNTIFS(Table39[Country],Tabela1[[#This Row],[Country]],Table39[Mixed Classification],"&gt;0")</f>
        <v>0</v>
      </c>
      <c r="CD95" s="6">
        <f>COUNTIFS(Table89[Country],Tabela1[[#This Row],[Country]],Table89[Men''s Classification],"&gt;0")</f>
        <v>0</v>
      </c>
      <c r="CE95" s="6">
        <f>COUNTIFS(Table89[Country],Tabela1[[#This Row],[Country]],Table89[Women''s Classification],"&gt;0")</f>
        <v>0</v>
      </c>
      <c r="CF95" s="6">
        <f>COUNTIFS(Table90[Country],Tabela1[[#This Row],[Country]],Table90[Men''s Classification],"&gt;0")</f>
        <v>0</v>
      </c>
      <c r="CG95" s="6">
        <f>COUNTIFS(Table90[Country],Tabela1[[#This Row],[Country]],Table90[Women''s Classification],"&gt;0")</f>
        <v>0</v>
      </c>
      <c r="CH95" s="6">
        <f>COUNTIFS(Table60[Country],Tabela1[[#This Row],[Country]],Table60[Men''s Classification],"&gt;0")</f>
        <v>0</v>
      </c>
      <c r="CI95" s="6">
        <f>COUNTIFS(Table60[Country],Tabela1[[#This Row],[Country]],Table60[Women''s Classification],"&gt;0")</f>
        <v>0</v>
      </c>
      <c r="CJ95" s="6">
        <f>COUNTIFS(Table6[Country],Tabela1[[#This Row],[Country]],Table6[51kg Classification],"&gt;0")</f>
        <v>0</v>
      </c>
      <c r="CK95" s="6">
        <f>COUNTIFS(Table6[Country],Tabela1[[#This Row],[Country]],Table6[57kg Classification],"&gt;0")</f>
        <v>0</v>
      </c>
      <c r="CL95" s="6">
        <f>COUNTIFS(Table6[Country],Tabela1[[#This Row],[Country]],Table6[63.5kg Classification],"&gt;0")</f>
        <v>0</v>
      </c>
      <c r="CM95" s="6">
        <f>COUNTIFS(Table6[Country],Tabela1[[#This Row],[Country]],Table6[71kg Classification],"&gt;0")</f>
        <v>0</v>
      </c>
      <c r="CN95" s="6">
        <f>COUNTIFS(Table6[Country],Tabela1[[#This Row],[Country]],Table6[80kg Classification],"&gt;0")</f>
        <v>0</v>
      </c>
      <c r="CO95" s="6">
        <f>COUNTIFS(Table6[Country],Tabela1[[#This Row],[Country]],Table6[92kg Classification],"&gt;0")</f>
        <v>0</v>
      </c>
      <c r="CP95" s="6">
        <f>COUNTIFS(Table6[Country],Tabela1[[#This Row],[Country]],Table6[Plus 92kg Classification],"&gt;0")</f>
        <v>0</v>
      </c>
      <c r="CQ95" s="6">
        <f>COUNTIFS(Table7[Country],Tabela1[[#This Row],[Country]],Table7[50kg Classification],"&gt;0")</f>
        <v>0</v>
      </c>
      <c r="CR95" s="6">
        <f>COUNTIFS(Table7[Country],Tabela1[[#This Row],[Country]],Table7[54kg Classification],"&gt;0")</f>
        <v>0</v>
      </c>
      <c r="CS95" s="6">
        <f>COUNTIFS(Table7[Country],Tabela1[[#This Row],[Country]],Table7[57kg Classification],"&gt;0")</f>
        <v>0</v>
      </c>
      <c r="CT95" s="6">
        <f>COUNTIFS(Table7[Country],Tabela1[[#This Row],[Country]],Table7[60kg Classification],"&gt;0")</f>
        <v>0</v>
      </c>
      <c r="CU95" s="6">
        <f>COUNTIFS(Table7[Country],Tabela1[[#This Row],[Country]],Table7[66kg Classification],"&gt;0")</f>
        <v>0</v>
      </c>
      <c r="CV95" s="6">
        <f>COUNTIFS(Table7[Country],Tabela1[[#This Row],[Country]],Table7[75kg Classification],"&gt;0")</f>
        <v>0</v>
      </c>
      <c r="CW95" s="6">
        <f>COUNTIFS(Tabela94[Country],Tabela1[[#This Row],[Country]],Tabela94[Classification],"&gt;0")</f>
        <v>0</v>
      </c>
      <c r="CX95" s="6">
        <f>COUNTIFS(Tabela9499[Country],Tabela1[[#This Row],[Country]],Tabela9499[Classification],"&gt;0")</f>
        <v>0</v>
      </c>
      <c r="CY95" s="6">
        <f>COUNTIFS(Tabela107[Country],Tabela1[[#This Row],[Country]],Tabela107[C1 Slalom Classification],"&gt;0")</f>
        <v>0</v>
      </c>
      <c r="CZ95" s="6">
        <f>COUNTIFS(Tabela107122[Country],Tabela1[[#This Row],[Country]],Tabela107122[C1 Slalom Classification],"&gt;0")</f>
        <v>0</v>
      </c>
      <c r="DA95" s="6">
        <f>COUNTIFS(Tabela107[Country],Tabela1[[#This Row],[Country]],Tabela107[K1 Slalom Classification],"&gt;0")</f>
        <v>0</v>
      </c>
      <c r="DB95" s="6">
        <f>COUNTIFS(Tabela107122[Country],Tabela1[[#This Row],[Country]],Tabela107122[K1 Slalom Classification],"&gt;0")</f>
        <v>0</v>
      </c>
      <c r="DC95" s="6">
        <f>COUNTIFS(Tabela107[Country],Tabela1[[#This Row],[Country]],Tabela107[Kayak Cross Slalom Classification],"&gt;0")</f>
        <v>0</v>
      </c>
      <c r="DD95" s="6">
        <f>COUNTIFS(Tabela107122[Country],Tabela1[[#This Row],[Country]],Tabela107122[Kayak Cross Slalom Classification],"&gt;0")</f>
        <v>0</v>
      </c>
      <c r="DE95" s="6">
        <f>COUNTIFS(Table8[Country],Tabela1[[#This Row],[Country]],Table8[C1 200m Classification],"&gt;0")</f>
        <v>0</v>
      </c>
      <c r="DF95" s="6">
        <f>COUNTIFS(Table40[Country],Tabela1[[#This Row],[Country]],Table40[C1 1000m Classification],"&gt;0")</f>
        <v>0</v>
      </c>
      <c r="DG95" s="6">
        <f>COUNTIFS(Table68[Country],Tabela1[[#This Row],[Country]],Table68[Men''s C2 500m Classification],"&gt;0")</f>
        <v>0</v>
      </c>
      <c r="DH95" s="6">
        <f>COUNTIFS(Table68[Country],Tabela1[[#This Row],[Country]],Table68[Women''s C2 500m Classification],"&gt;0")</f>
        <v>0</v>
      </c>
      <c r="DI95" s="6">
        <f>COUNTIFS(Table8[Country],Tabela1[[#This Row],[Country]],Table8[K1 500m Classification],"&gt;0")</f>
        <v>0</v>
      </c>
      <c r="DJ95" s="6">
        <f>COUNTIFS(Table40[Country],Tabela1[[#This Row],[Country]],Table40[K1 1000m Classification],"&gt;0")</f>
        <v>0</v>
      </c>
      <c r="DK95" s="6">
        <f>COUNTIFS(Table68[Country],Tabela1[[#This Row],[Country]],Table68[Men''s K2 500m Classification],"&gt;0")</f>
        <v>0</v>
      </c>
      <c r="DL95" s="6">
        <f>COUNTIFS(Table68[Country],Tabela1[[#This Row],[Country]],Table68[Women''s K2 500m Classification],"&gt;0")</f>
        <v>0</v>
      </c>
      <c r="DM95" s="6">
        <f>COUNTIFS(Table83[Country],Tabela1[[#This Row],[Country]],Table83[Men''s K4 500m Classification],"&gt;0")</f>
        <v>0</v>
      </c>
      <c r="DN95" s="6">
        <f>COUNTIFS(Table83[Country],Tabela1[[#This Row],[Country]],Table83[Women''s K4 500m Classification],"&gt;0")</f>
        <v>0</v>
      </c>
      <c r="DO95" s="6">
        <f>COUNTIFS(Tabela126[Country],Tabela1[[#This Row],[Country]],Tabela126[Classification],"&gt;0")</f>
        <v>0</v>
      </c>
      <c r="DP95" s="6">
        <f>COUNTIFS(Tabela126130[Country],Tabela1[[#This Row],[Country]],Tabela126130[Classification],"&gt;0")</f>
        <v>0</v>
      </c>
      <c r="DQ95" s="6">
        <f>COUNTIFS(Table70[Country],Tabela1[[#This Row],[Country]],Table70[Classification],"&gt;0")</f>
        <v>0</v>
      </c>
      <c r="DR95" s="6">
        <f>COUNTIFS(Table80[Country],Tabela1[[#This Row],[Country]],Table80[Classification],"&gt;0")</f>
        <v>0</v>
      </c>
      <c r="DS95" s="6">
        <f>COUNTIFS(Table66[Country],Tabela1[[#This Row],[Country]],Table66[Classification],"&gt;0")</f>
        <v>0</v>
      </c>
      <c r="DT95" s="6">
        <f>COUNTIFS(Table67[Country],Tabela1[[#This Row],[Country]],Table67[Classification],"&gt;0")</f>
        <v>0</v>
      </c>
      <c r="DU95" s="6">
        <f>COUNTIFS(Table69[Country],Tabela1[[#This Row],[Country]],Table69[Keirin Classification],"&gt;0")</f>
        <v>0</v>
      </c>
      <c r="DV95" s="6">
        <f>COUNTIFS(Table41[Country],Tabela1[[#This Row],[Country]],Table41[Keirin Classification],"&gt;0")</f>
        <v>0</v>
      </c>
      <c r="DW95" s="6">
        <f>COUNTIFS(Table84[Country],Tabela1[[#This Row],[Country]],Table84[Men''s Madison Classification],"&gt;0")</f>
        <v>0</v>
      </c>
      <c r="DX95" s="6">
        <f>COUNTIFS(Table84[Country],Tabela1[[#This Row],[Country]],Table84[Women''s Madison Classification],"&gt;0")</f>
        <v>0</v>
      </c>
      <c r="DY95" s="6">
        <f>COUNTIFS(Table69[Country],Tabela1[[#This Row],[Country]],Table69[Omnium Classification],"&gt;0")</f>
        <v>0</v>
      </c>
      <c r="DZ95" s="6">
        <f>COUNTIFS(Table41[Country],Tabela1[[#This Row],[Country]],Table41[Omnium Classification],"&gt;0")</f>
        <v>0</v>
      </c>
      <c r="EA95" s="6">
        <f>COUNTIFS(Table9[Country],Tabela1[[#This Row],[Country]],Table9[Road Race Classification],"&gt;0")</f>
        <v>0</v>
      </c>
      <c r="EB95" s="6">
        <f>COUNTIFS(Table14[Country],Tabela1[[#This Row],[Country]],Table14[Road Race Classification],"&gt;0")</f>
        <v>0</v>
      </c>
      <c r="EC95" s="6">
        <f>COUNTIFS(Table69[Country],Tabela1[[#This Row],[Country]],Table69[Sprint Classification],"&gt;0")</f>
        <v>0</v>
      </c>
      <c r="ED95" s="6">
        <f>COUNTIFS(Table41[Country],Tabela1[[#This Row],[Country]],Table41[Sprint Classification],"&gt;0")</f>
        <v>0</v>
      </c>
      <c r="EE95" s="6">
        <f>COUNTIFS(Table85[Country],Tabela1[[#This Row],[Country]],Table85[Men''s Sprint Classification],"&gt;0")</f>
        <v>0</v>
      </c>
      <c r="EF95" s="6">
        <f>COUNTIFS(Table85[Country],Tabela1[[#This Row],[Country]],Table85[Women''s Sprint Classification],"&gt;0")</f>
        <v>0</v>
      </c>
      <c r="EG95" s="6">
        <f>COUNTIFS(Table85[Country],Tabela1[[#This Row],[Country]],Table85[Men''s Pursuit Classification],"&gt;0")</f>
        <v>0</v>
      </c>
      <c r="EH95" s="6">
        <f>COUNTIFS(Table85[Country],Tabela1[[#This Row],[Country]],Table85[Women''s Pursuit Classification],"&gt;0")</f>
        <v>0</v>
      </c>
      <c r="EI95" s="6">
        <f>COUNTIFS(Table9[Country],Tabela1[[#This Row],[Country]],Table9[Time-Trial Classification],"&gt;0")</f>
        <v>0</v>
      </c>
      <c r="EJ95" s="6">
        <f>COUNTIFS(Table14[Country],Tabela1[[#This Row],[Country]],Table14[Time-Trial Classification],"&gt;0")</f>
        <v>0</v>
      </c>
      <c r="EK95" s="6">
        <f>COUNTIFS(Table42[Country],Tabela1[[#This Row],[Country]],Table42[Springboard Classification],"&gt;0")</f>
        <v>0</v>
      </c>
      <c r="EL95" s="6">
        <f>COUNTIFS(Table43[Country],Tabela1[[#This Row],[Country]],Table43[Springboard Classification],"&gt;0")</f>
        <v>0</v>
      </c>
      <c r="EM95" s="6">
        <f>COUNTIFS(Table42[Country],Tabela1[[#This Row],[Country]],Table42[Platform Classification],"&gt;0")</f>
        <v>0</v>
      </c>
      <c r="EN95" s="6">
        <f>COUNTIFS(Table43[Country],Tabela1[[#This Row],[Country]],Table43[Platform Classification],"&gt;0")</f>
        <v>0</v>
      </c>
      <c r="EO95" s="6">
        <f>COUNTIFS(Table86[Country],Tabela1[[#This Row],[Country]],Table86[Men''s Synchronized Springboard Classification],"&gt;0")</f>
        <v>0</v>
      </c>
      <c r="EP95" s="6">
        <f>COUNTIFS(Table86[Country],Tabela1[[#This Row],[Country]],Table86[Women''s Synchronized Springboard Classification],"&gt;0")</f>
        <v>0</v>
      </c>
      <c r="EQ95" s="6">
        <f>COUNTIFS(Table86[Country],Tabela1[[#This Row],[Country]],Table86[Men''s Synchronized Platform Classification],"&gt;0")</f>
        <v>0</v>
      </c>
      <c r="ER95" s="6">
        <f>COUNTIFS(Table86[Country],Tabela1[[#This Row],[Country]],Table86[Women''s Synchronized Platform Classification],"&gt;0")</f>
        <v>0</v>
      </c>
      <c r="ES95" s="6">
        <f>COUNTIFS(Table44[Country],Tabela1[[#This Row],[Country]],Table44[Dressage Classification],"&gt;0")</f>
        <v>0</v>
      </c>
      <c r="ET95" s="6">
        <f>COUNTIFS(Table45[Country],Tabela1[[#This Row],[Country]],Table45[Dressage Classification],"&gt;0")</f>
        <v>0</v>
      </c>
      <c r="EU95" s="6">
        <f>COUNTIFS(Table44[Country],Tabela1[[#This Row],[Country]],Table44[Eventing Classification],"&gt;0")</f>
        <v>0</v>
      </c>
      <c r="EV95" s="6">
        <f>COUNTIFS(Table45[Country],Tabela1[[#This Row],[Country]],Table45[Eventing Classification],"&gt;0")</f>
        <v>0</v>
      </c>
      <c r="EW95" s="6">
        <f>COUNTIFS(Table44[Country],Tabela1[[#This Row],[Country]],Table44[Jumping Classification],"&gt;0")</f>
        <v>0</v>
      </c>
      <c r="EX95" s="6">
        <f>COUNTIFS(Table45[Country],Tabela1[[#This Row],[Country]],Table45[Jumping Classification],"&gt;0")</f>
        <v>0</v>
      </c>
      <c r="EY95" s="6">
        <f>COUNTIFS(Table10[Country],Tabela1[[#This Row],[Country]],Table10[Épée Classification],"&gt;0")</f>
        <v>0</v>
      </c>
      <c r="EZ95" s="6">
        <f>COUNTIFS(Table11[Country],Tabela1[[#This Row],[Country]],Table11[Épée Classification],"&gt;0")</f>
        <v>0</v>
      </c>
      <c r="FA95" s="6">
        <f>COUNTIFS(Table46[Country],Tabela1[[#This Row],[Country]],Table46[Men''s Épée Classification],"&gt;0")</f>
        <v>0</v>
      </c>
      <c r="FB95" s="6">
        <f>COUNTIFS(Table46[Country],Tabela1[[#This Row],[Country]],Table46[Women''s Épée Classification],"&gt;0")</f>
        <v>0</v>
      </c>
      <c r="FC95" s="6">
        <f>COUNTIFS(Table10[Country],Tabela1[[#This Row],[Country]],Table10[Foil Classification],"&gt;0")</f>
        <v>0</v>
      </c>
      <c r="FD95" s="6">
        <f>COUNTIFS(Table11[Country],Tabela1[[#This Row],[Country]],Table11[Foil Classification],"&gt;0")</f>
        <v>0</v>
      </c>
      <c r="FE95" s="6">
        <f>COUNTIFS(Table46[Country],Tabela1[[#This Row],[Country]],Table46[Men''s Foil Classification],"&gt;0")</f>
        <v>0</v>
      </c>
      <c r="FF95" s="6">
        <f>COUNTIFS(Table46[Country],Tabela1[[#This Row],[Country]],Table46[Women''s Foil Classification],"&gt;0")</f>
        <v>0</v>
      </c>
      <c r="FG95" s="6">
        <f>COUNTIFS(Table10[Country],Tabela1[[#This Row],[Country]],Table10[Sabre Classification],"&gt;0")</f>
        <v>0</v>
      </c>
      <c r="FH95" s="6">
        <f>COUNTIFS(Table11[Country],Tabela1[[#This Row],[Country]],Table11[Sabre Classification],"&gt;0")</f>
        <v>0</v>
      </c>
      <c r="FI95" s="6">
        <f>COUNTIFS(Table46[Country],Tabela1[[#This Row],[Country]],Table46[Men''s Sabre Classification],"&gt;0")</f>
        <v>0</v>
      </c>
      <c r="FJ95" s="6">
        <f>COUNTIFS(Table46[Country],Tabela1[[#This Row],[Country]],Table46[Women''s Sabre Classification],"&gt;0")</f>
        <v>0</v>
      </c>
      <c r="FK95" s="6">
        <f>COUNTIFS(Table91[Country],Tabela1[[#This Row],[Country]],Table91[Men''s Classification],"&gt;0")</f>
        <v>0</v>
      </c>
      <c r="FL95" s="6">
        <f>COUNTIFS(Table91[Country],Tabela1[[#This Row],[Country]],Table91[Women''s Classification],"&gt;0")</f>
        <v>0</v>
      </c>
      <c r="FM95" s="6">
        <f>COUNTIFS(Table9194[Country],Tabela1[[#This Row],[Country]],Table9194[Men''s Classification],"&gt;0")</f>
        <v>0</v>
      </c>
      <c r="FN95" s="6">
        <f>COUNTIFS(Table9194[Country],Tabela1[[#This Row],[Country]],Table9194[Women''s Classification],"&gt;0")</f>
        <v>0</v>
      </c>
      <c r="FO95" s="6">
        <f>COUNTIFS(Table71[Country],Tabela1[[#This Row],[Country]],Table71[Classification],"&gt;0")</f>
        <v>0</v>
      </c>
      <c r="FP95" s="6">
        <f>COUNTIFS(Table62[Country],Tabela1[[#This Row],[Country]],Table62[Classification],"&gt;0")</f>
        <v>0</v>
      </c>
      <c r="FQ95" s="6">
        <f>COUNTIFS(Table47[Country],Tabela1[[#This Row],[Country]],Table47[All-Around Classification],"&gt;0")</f>
        <v>0</v>
      </c>
      <c r="FR95" s="6">
        <f>COUNTIFS(Table48[Country],Tabela1[[#This Row],[Country]],Table48[All-Around Classification],"&gt;0")</f>
        <v>0</v>
      </c>
      <c r="FS95" s="6">
        <f>COUNTIFS(Table81[Country],Tabela1[[#This Row],[Country]],Table81[Men''s All-Around Classification],"&gt;0")</f>
        <v>0</v>
      </c>
      <c r="FT95" s="6">
        <f>COUNTIFS(Table81[Country],Tabela1[[#This Row],[Country]],Table81[Women''s All-Around Classification],"&gt;0")</f>
        <v>0</v>
      </c>
      <c r="FU95" s="6">
        <f>COUNTIFS(Table48[Country],Tabela1[[#This Row],[Country]],Table48[Balance Beam Classification],"&gt;0")</f>
        <v>0</v>
      </c>
      <c r="FV95" s="6">
        <f>COUNTIFS(Table47[Country],Tabela1[[#This Row],[Country]],Table47[Floor Exercise Classification],"&gt;0")</f>
        <v>0</v>
      </c>
      <c r="FW95" s="6">
        <f>COUNTIFS(Table48[Country],Tabela1[[#This Row],[Country]],Table48[Floor Exercise Classification],"&gt;0")</f>
        <v>0</v>
      </c>
      <c r="FX95" s="6">
        <f>COUNTIFS(Table47[Country],Tabela1[[#This Row],[Country]],Table47[Horizontal Bar Classification],"&gt;0")</f>
        <v>0</v>
      </c>
      <c r="FY95" s="6">
        <f>COUNTIFS(Table47[Country],Tabela1[[#This Row],[Country]],Table47[Parallel Bars Classification],"&gt;0")</f>
        <v>0</v>
      </c>
      <c r="FZ95" s="6">
        <f>COUNTIFS(Table47[Country],Tabela1[[#This Row],[Country]],Table47[Pommel Horse Classification],"&gt;0")</f>
        <v>0</v>
      </c>
      <c r="GA95" s="6">
        <f>COUNTIFS(Table47[Country],Tabela1[[#This Row],[Country]],Table47[Rings Classification],"&gt;0")</f>
        <v>0</v>
      </c>
      <c r="GB95" s="6">
        <f>COUNTIFS(Tabela132[Country],Tabela1[[#This Row],[Country]],Tabela132[Classification],"&gt;0")</f>
        <v>0</v>
      </c>
      <c r="GC95" s="6">
        <f>COUNTIFS(Tabela139[Country],Tabela1[[#This Row],[Country]],Tabela139[Classification],"&gt;0")</f>
        <v>0</v>
      </c>
      <c r="GD95" s="6">
        <f>COUNTIFS(Table48[Country],Tabela1[[#This Row],[Country]],Table48[Uneven Bars Classification],"&gt;0")</f>
        <v>0</v>
      </c>
      <c r="GE95" s="6">
        <f>COUNTIFS(Table47[Country],Tabela1[[#This Row],[Country]],Table47[Vault Classification],"&gt;0")</f>
        <v>0</v>
      </c>
      <c r="GF95" s="6">
        <f>COUNTIFS(Table48[Country],Tabela1[[#This Row],[Country]],Table48[Vault Classification],"&gt;0")</f>
        <v>0</v>
      </c>
      <c r="GG95" s="6">
        <f>COUNTIFS(Table919496[Country],Tabela1[[#This Row],[Country]],Table919496[Men''s Classification],"&gt;0")</f>
        <v>0</v>
      </c>
      <c r="GH95" s="6">
        <f>COUNTIFS(Table919496[Country],Tabela1[[#This Row],[Country]],Table919496[Women''s Classification],"&gt;0")</f>
        <v>0</v>
      </c>
      <c r="GI95" s="6">
        <f>COUNTIFS(Table12[Country],Tabela1[[#This Row],[Country]],Table12[60kg Classification],"&gt;0")</f>
        <v>0</v>
      </c>
      <c r="GJ95" s="6">
        <f>COUNTIFS(Table12[Country],Tabela1[[#This Row],[Country]],Table12[66kg Classification],"&gt;0")</f>
        <v>0</v>
      </c>
      <c r="GK95" s="6">
        <f>COUNTIFS(Table12[Country],Tabela1[[#This Row],[Country]],Table12[73kg Classification],"&gt;0")</f>
        <v>0</v>
      </c>
      <c r="GL95" s="6">
        <f>COUNTIFS(Table12[Country],Tabela1[[#This Row],[Country]],Table12[81kg Classification],"&gt;0")</f>
        <v>0</v>
      </c>
      <c r="GM95" s="6">
        <f>COUNTIFS(Table12[Country],Tabela1[[#This Row],[Country]],Table12[90kg Classification],"&gt;0")</f>
        <v>0</v>
      </c>
      <c r="GN95" s="6">
        <f>COUNTIFS(Table12[Country],Tabela1[[#This Row],[Country]],Table12[100kg Classification],"&gt;0")</f>
        <v>0</v>
      </c>
      <c r="GO95" s="6">
        <f>COUNTIFS(Table12[Country],Tabela1[[#This Row],[Country]],Table12[Plus 100kg Classification],"&gt;0")</f>
        <v>0</v>
      </c>
      <c r="GP95" s="6">
        <f>COUNTIFS(Table13[Country],Tabela1[[#This Row],[Country]],Table13[48kg Classification],"&gt;0")</f>
        <v>0</v>
      </c>
      <c r="GQ95" s="6">
        <f>COUNTIFS(Table13[Country],Tabela1[[#This Row],[Country]],Table13[52kg Classification],"&gt;0")</f>
        <v>0</v>
      </c>
      <c r="GR95" s="6">
        <f>COUNTIFS(Table13[Country],Tabela1[[#This Row],[Country]],Table13[57kg Classification],"&gt;0")</f>
        <v>0</v>
      </c>
      <c r="GS95" s="6">
        <f>COUNTIFS(Table13[Country],Tabela1[[#This Row],[Country]],Table13[63kg Classification],"&gt;0")</f>
        <v>0</v>
      </c>
      <c r="GT95" s="6">
        <f>COUNTIFS(Table13[Country],Tabela1[[#This Row],[Country]],Table13[70kg Classification],"&gt;0")</f>
        <v>0</v>
      </c>
      <c r="GU95" s="6">
        <f>COUNTIFS(Table13[Country],Tabela1[[#This Row],[Country]],Table13[78kg Classification],"&gt;0")</f>
        <v>0</v>
      </c>
      <c r="GV95" s="6">
        <f>COUNTIFS(Table13[Country],Tabela1[[#This Row],[Country]],Table13[Plus 78kg Classification],"&gt;0")</f>
        <v>0</v>
      </c>
      <c r="GW95" s="6">
        <f>COUNTIFS(Table82[Country],Tabela1[[#This Row],[Country]],Table82[Mixed Classification],"&gt;0")</f>
        <v>0</v>
      </c>
      <c r="GX95" s="6">
        <f>COUNTIFS(Table51[Country],Tabela1[[#This Row],[Country]],Table51[Classification],"&gt;0")</f>
        <v>0</v>
      </c>
      <c r="GY95" s="6">
        <f>COUNTIFS(Table52[Country],Tabela1[[#This Row],[Country]],Table52[Classification],"&gt;0")</f>
        <v>0</v>
      </c>
      <c r="GZ95" s="6">
        <f>COUNTIFS(Table32[Country],Tabela1[[#This Row],[Country]],Table32[All-Around Classification],"&gt;0")</f>
        <v>0</v>
      </c>
      <c r="HA95" s="6">
        <f>COUNTIFS(Table49[Country],Tabela1[[#This Row],[Country]],Table49[All-Around Classification],"&gt;0")</f>
        <v>0</v>
      </c>
      <c r="HB95" s="6">
        <f>COUNTIFS(Table26[Country],Tabela1[[#This Row],[Country]],Table26[Single Sculls Classification],"&gt;0")</f>
        <v>0</v>
      </c>
      <c r="HC95" s="6">
        <f>COUNTIFS(Table63[Country],Tabela1[[#This Row],[Country]],Table63[Single Sculls Classification],"&gt;0")</f>
        <v>0</v>
      </c>
      <c r="HD95" s="6">
        <f>COUNTIFS(Table16[Country],Tabela1[[#This Row],[Country]],Table16[Men''s Double Sculls Classification],"&gt;0")</f>
        <v>0</v>
      </c>
      <c r="HE95" s="6">
        <f>COUNTIFS(Table16[Country],Tabela1[[#This Row],[Country]],Table16[Women''s Double Sculls Classification],"&gt;0")</f>
        <v>0</v>
      </c>
      <c r="HF95" s="6">
        <f>COUNTIFS(Table72[Country],Tabela1[[#This Row],[Country]],Table72[Men''s Quadruple Sculls Classification],"&gt;0")</f>
        <v>0</v>
      </c>
      <c r="HG95" s="6">
        <f>COUNTIFS(Table72[Country],Tabela1[[#This Row],[Country]],Table72[Women''s Quadruple Sculls Classification],"&gt;0")</f>
        <v>0</v>
      </c>
      <c r="HH95" s="6">
        <f>COUNTIFS(Table16[Country],Tabela1[[#This Row],[Country]],Table16[Men''s Coxless Pairs Classification],"&gt;0")</f>
        <v>0</v>
      </c>
      <c r="HI95" s="6">
        <f>COUNTIFS(Table16[Country],Tabela1[[#This Row],[Country]],Table16[Women''s Coxless Pairs Classification],"&gt;0")</f>
        <v>0</v>
      </c>
      <c r="HJ95" s="6">
        <f>COUNTIFS(Table72[Country],Tabela1[[#This Row],[Country]],Table72[Men''s Coxless Fours Classification],"&gt;0")</f>
        <v>0</v>
      </c>
      <c r="HK95" s="6">
        <f>COUNTIFS(Table72[Country],Tabela1[[#This Row],[Country]],Table72[Women''s Coxless Fours Classification],"&gt;0")</f>
        <v>0</v>
      </c>
      <c r="HL95" s="6">
        <f>COUNTIFS(Table72[Country],Tabela1[[#This Row],[Country]],Table72[Men''s Eights Classification],"&gt;0")</f>
        <v>0</v>
      </c>
      <c r="HM95" s="6">
        <f>COUNTIFS(Table72[Country],Tabela1[[#This Row],[Country]],Table72[Women''s Eights Classification],"&gt;0")</f>
        <v>0</v>
      </c>
      <c r="HN95" s="6">
        <f>COUNTIFS(Table16[Country],Tabela1[[#This Row],[Country]],Table16[Men''s Lwt. Double Sculls Classification],"&gt;0")</f>
        <v>0</v>
      </c>
      <c r="HO95" s="6">
        <f>COUNTIFS(Table16[Country],Tabela1[[#This Row],[Country]],Table16[Women''s Lwt. Double Sculls Classification],"&gt;0")</f>
        <v>0</v>
      </c>
      <c r="HP95" s="6">
        <f>COUNTIFS(Table91949698[Country],Tabela1[[#This Row],[Country]],Table91949698[Men''s Classification],"&gt;0")</f>
        <v>0</v>
      </c>
      <c r="HQ95" s="6">
        <f>COUNTIFS(Table91949698[Country],Tabela1[[#This Row],[Country]],Table91949698[Women''s Classification],"&gt;0")</f>
        <v>0</v>
      </c>
      <c r="HR95" s="6">
        <f>COUNTIFS(Table25[Country],Tabela1[[#This Row],[Country]],Table25[Mixed 470 Classification],"&gt;0")</f>
        <v>0</v>
      </c>
      <c r="HS95" s="6">
        <f>COUNTIFS(Table25[Country],Tabela1[[#This Row],[Country]],Table25[Men''s 49er Classification],"&gt;0")</f>
        <v>0</v>
      </c>
      <c r="HT95" s="6">
        <f>COUNTIFS(Table25[Country],Tabela1[[#This Row],[Country]],Table25[Women''s 49er FX Classification],"&gt;0")</f>
        <v>0</v>
      </c>
      <c r="HU95" s="6">
        <f>COUNTIFS(Table17[Country],Tabela1[[#This Row],[Country]],Table17[Formula Kite Classification],"&gt;0")</f>
        <v>0</v>
      </c>
      <c r="HV95" s="6">
        <f>COUNTIFS(Table18[Country],Tabela1[[#This Row],[Country]],Table18[Formula Kite Classification],"&gt;0")</f>
        <v>0</v>
      </c>
      <c r="HW95" s="6">
        <f>COUNTIFS(Table17[Country],Tabela1[[#This Row],[Country]],Table17[ILCA 7 Classification],"&gt;0")</f>
        <v>0</v>
      </c>
      <c r="HX95" s="6">
        <f>COUNTIFS(Table18[Country],Tabela1[[#This Row],[Country]],Table18[ILCA 6 Classification],"&gt;0")</f>
        <v>0</v>
      </c>
      <c r="HY95" s="6">
        <f>COUNTIFS(Table17[Country],Tabela1[[#This Row],[Country]],Table17[IQFoil Classification],"&gt;0")</f>
        <v>0</v>
      </c>
      <c r="HZ95" s="6">
        <f>COUNTIFS(Table18[Country],Tabela1[[#This Row],[Country]],Table18[IQFoil Classification],"&gt;0")</f>
        <v>0</v>
      </c>
      <c r="IA95" s="6">
        <f>COUNTIFS(Table25[Country],Tabela1[[#This Row],[Country]],Table25[Mixed Nacra 17 Classification],"&gt;0")</f>
        <v>0</v>
      </c>
      <c r="IB95" s="6">
        <f>COUNTIFS(Table53[Country],Tabela1[[#This Row],[Country]],Table53[10m Air Pistol Classification],"&gt;0")</f>
        <v>0</v>
      </c>
      <c r="IC95" s="6">
        <f>COUNTIFS(Table19[Country],Tabela1[[#This Row],[Country]],Table19[10m Air Pistol Classification],"&gt;0")</f>
        <v>0</v>
      </c>
      <c r="ID95" s="6">
        <f>COUNTIFS(Table54[Country],Tabela1[[#This Row],[Country]],Table54[Mixed 10m Air Pistol Team Classification],"&gt;0")</f>
        <v>0</v>
      </c>
      <c r="IE95" s="6">
        <f>COUNTIFS(Table53[Country],Tabela1[[#This Row],[Country]],Table53[10m Air Rifle Classification],"&gt;0")</f>
        <v>0</v>
      </c>
      <c r="IF95" s="6">
        <f>COUNTIFS(Table19[Country],Tabela1[[#This Row],[Country]],Table19[10m Air Rifle Classification],"&gt;0")</f>
        <v>0</v>
      </c>
      <c r="IG95" s="6">
        <f>COUNTIFS(Table54[Country],Tabela1[[#This Row],[Country]],Table54[Mixed 10m Air Rifle Team Classification],"&gt;0")</f>
        <v>0</v>
      </c>
      <c r="IH95" s="6">
        <f>COUNTIFS(Table53[Country],Tabela1[[#This Row],[Country]],Table53[25m Rapid Fire Pistol Classification],"&gt;0")</f>
        <v>0</v>
      </c>
      <c r="II95" s="6">
        <f>COUNTIFS(Table19[Country],Tabela1[[#This Row],[Country]],Table19[25m Pistol Classification],"&gt;0")</f>
        <v>0</v>
      </c>
      <c r="IJ95" s="6">
        <f>COUNTIFS(Table53[Country],Tabela1[[#This Row],[Country]],Table53[50m Rifle 3 Positions Classification],"&gt;0")</f>
        <v>0</v>
      </c>
      <c r="IK95" s="6">
        <f>COUNTIFS(Table19[Country],Tabela1[[#This Row],[Country]],Table19[50m Rifle 3 Positions Classification],"&gt;0")</f>
        <v>0</v>
      </c>
      <c r="IL95" s="6">
        <f>COUNTIFS(Table53[Country],Tabela1[[#This Row],[Country]],Table53[Skeet Classification],"&gt;0")</f>
        <v>0</v>
      </c>
      <c r="IM95" s="6">
        <f>COUNTIFS(Table19[Country],Tabela1[[#This Row],[Country]],Table19[Skeet Classification],"&gt;0")</f>
        <v>0</v>
      </c>
      <c r="IN95" s="6">
        <f>COUNTIFS(Table54[Country],Tabela1[[#This Row],[Country]],Table54[Mixed Skeet Team Classification],"&gt;0")</f>
        <v>0</v>
      </c>
      <c r="IO95" s="6">
        <f>COUNTIFS(Table53[Country],Tabela1[[#This Row],[Country]],Table53[Trap Classification],"&gt;0")</f>
        <v>0</v>
      </c>
      <c r="IP95" s="6">
        <f>COUNTIFS(Table19[Country],Tabela1[[#This Row],[Country]],Table19[Trap Classification],"&gt;0")</f>
        <v>0</v>
      </c>
      <c r="IQ95" s="6">
        <f>COUNTIFS(Table73[Country],Tabela1[[#This Row],[Country]],Table73[Park Classification],"&gt;0")</f>
        <v>0</v>
      </c>
      <c r="IR95" s="6">
        <f>COUNTIFS(Table74[Country],Tabela1[[#This Row],[Country]],Table74[Park Classification],"&gt;0")</f>
        <v>0</v>
      </c>
      <c r="IS95" s="6">
        <f>COUNTIFS(Table73[Country],Tabela1[[#This Row],[Country]],Table73[Street Classification],"&gt;0")</f>
        <v>0</v>
      </c>
      <c r="IT95" s="6">
        <f>COUNTIFS(Table74[Country],Tabela1[[#This Row],[Country]],Table74[Street Classification],"&gt;0")</f>
        <v>0</v>
      </c>
      <c r="IU95" s="6">
        <f>COUNTIFS(Table75[Country],Tabela1[[#This Row],[Country]],Table75[Boulder and Lead Classification],"&gt;0")</f>
        <v>0</v>
      </c>
      <c r="IV95" s="6">
        <f>COUNTIFS(Table76[Country],Tabela1[[#This Row],[Country]],Table76[Boulder and Lead Classification],"&gt;0")</f>
        <v>0</v>
      </c>
      <c r="IW95" s="6">
        <f>COUNTIFS(Table75[Country],Tabela1[[#This Row],[Country]],Table75[Speed Classification],"&gt;0")</f>
        <v>0</v>
      </c>
      <c r="IX95" s="6">
        <f>COUNTIFS(Table76[Country],Tabela1[[#This Row],[Country]],Table76[Speed Classification],"&gt;0")</f>
        <v>0</v>
      </c>
      <c r="IY95" s="6">
        <f>COUNTIFS(Table64[Country],Tabela1[[#This Row],[Country]],Table64[Shortboard Classification],"&gt;0")</f>
        <v>0</v>
      </c>
      <c r="IZ95" s="6">
        <f>COUNTIFS(Table77[Country],Tabela1[[#This Row],[Country]],Table77[Shortboard Classification],"&gt;0")</f>
        <v>0</v>
      </c>
      <c r="JA95" s="6">
        <f>COUNTIFS(Table20[Country],Tabela1[[#This Row],[Country]],Table20[50m Freestyle Classification],"&gt;0")</f>
        <v>0</v>
      </c>
      <c r="JB95" s="6">
        <f>COUNTIFS(Table21[Country],Tabela1[[#This Row],[Country]],Table21[50m Freestyle Classification],"&gt;0")</f>
        <v>0</v>
      </c>
      <c r="JC95" s="6">
        <f>COUNTIFS(Table20[Country],Tabela1[[#This Row],[Country]],Table20[100m Freestyle Classification],"&gt;0")</f>
        <v>0</v>
      </c>
      <c r="JD95" s="6">
        <f>COUNTIFS(Table21[Country],Tabela1[[#This Row],[Country]],Table21[100m Freestyle Classification],"&gt;0")</f>
        <v>0</v>
      </c>
      <c r="JE95" s="6">
        <f>COUNTIFS(Table20[Country],Tabela1[[#This Row],[Country]],Table20[200m Freestyle Classification],"&gt;0")</f>
        <v>0</v>
      </c>
      <c r="JF95" s="6">
        <f>COUNTIFS(Table21[Country],Tabela1[[#This Row],[Country]],Table21[200m Freestyle Classification],"&gt;0")</f>
        <v>0</v>
      </c>
      <c r="JG95" s="6">
        <f>COUNTIFS(Table20[Country],Tabela1[[#This Row],[Country]],Table20[400m Freestyle Classification],"&gt;0")</f>
        <v>0</v>
      </c>
      <c r="JH95" s="6">
        <f>COUNTIFS(Table21[Country],Tabela1[[#This Row],[Country]],Table21[400m Freestyle Classification],"&gt;0")</f>
        <v>0</v>
      </c>
      <c r="JI95" s="6">
        <f>COUNTIFS(Table20[Country],Tabela1[[#This Row],[Country]],Table20[800m Freestyle Classification],"&gt;0")</f>
        <v>0</v>
      </c>
      <c r="JJ95" s="6">
        <f>COUNTIFS(Table21[Country],Tabela1[[#This Row],[Country]],Table21[800m Freestyle Classification],"&gt;0")</f>
        <v>0</v>
      </c>
      <c r="JK95" s="6">
        <f>COUNTIFS(Table20[Country],Tabela1[[#This Row],[Country]],Table20[1500m Freestyle Classification],"&gt;0")</f>
        <v>0</v>
      </c>
      <c r="JL95" s="6">
        <f>COUNTIFS(Table21[Country],Tabela1[[#This Row],[Country]],Table21[1500m Freestyle Classification],"&gt;0")</f>
        <v>0</v>
      </c>
      <c r="JM95" s="6">
        <f>COUNTIFS(Table20[Country],Tabela1[[#This Row],[Country]],Table20[100m Backstroke Classification],"&gt;0")</f>
        <v>0</v>
      </c>
      <c r="JN95" s="6">
        <f>COUNTIFS(Table21[Country],Tabela1[[#This Row],[Country]],Table21[100m Backstroke Classification],"&gt;0")</f>
        <v>0</v>
      </c>
      <c r="JO95" s="6">
        <f>COUNTIFS(Table20[Country],Tabela1[[#This Row],[Country]],Table20[200m Backstroke Classification],"&gt;0")</f>
        <v>0</v>
      </c>
      <c r="JP95" s="6">
        <f>COUNTIFS(Table21[Country],Tabela1[[#This Row],[Country]],Table21[200m Backstroke Classification],"&gt;0")</f>
        <v>0</v>
      </c>
      <c r="JQ95" s="6">
        <f>COUNTIFS(Table20[Country],Tabela1[[#This Row],[Country]],Table20[100m Breaststroke Classification],"&gt;0")</f>
        <v>0</v>
      </c>
      <c r="JR95" s="6">
        <f>COUNTIFS(Table21[Country],Tabela1[[#This Row],[Country]],Table21[100m Breaststroke Classification],"&gt;0")</f>
        <v>0</v>
      </c>
      <c r="JS95" s="6">
        <f>COUNTIFS(Table20[Country],Tabela1[[#This Row],[Country]],Table20[200m Breaststroke Classification],"&gt;0")</f>
        <v>0</v>
      </c>
      <c r="JT95" s="6">
        <f>COUNTIFS(Table21[Country],Tabela1[[#This Row],[Country]],Table21[200m Breaststroke Classification],"&gt;0")</f>
        <v>0</v>
      </c>
      <c r="JU95" s="6">
        <f>COUNTIFS(Table20[Country],Tabela1[[#This Row],[Country]],Table20[100m Butterfly Classification],"&gt;0")</f>
        <v>0</v>
      </c>
      <c r="JV95" s="6">
        <f>COUNTIFS(Table21[Country],Tabela1[[#This Row],[Country]],Table21[100m Butterfly Classification],"&gt;0")</f>
        <v>0</v>
      </c>
      <c r="JW95" s="6">
        <f>COUNTIFS(Table20[Country],Tabela1[[#This Row],[Country]],Table20[200m Butterfly Classification],"&gt;0")</f>
        <v>0</v>
      </c>
      <c r="JX95" s="6">
        <f>COUNTIFS(Table21[Country],Tabela1[[#This Row],[Country]],Table21[200m Butterfly Classification],"&gt;0")</f>
        <v>0</v>
      </c>
      <c r="JY95" s="6">
        <f>COUNTIFS(Table20[Country],Tabela1[[#This Row],[Country]],Table20[200m Medley Classification],"&gt;0")</f>
        <v>0</v>
      </c>
      <c r="JZ95" s="6">
        <f>COUNTIFS(Table21[Country],Tabela1[[#This Row],[Country]],Table21[200m Medley Classification],"&gt;0")</f>
        <v>0</v>
      </c>
      <c r="KA95" s="6">
        <f>COUNTIFS(Table20[Country],Tabela1[[#This Row],[Country]],Table20[400m Medley Classification],"&gt;0")</f>
        <v>0</v>
      </c>
      <c r="KB95" s="6">
        <f>COUNTIFS(Table21[Country],Tabela1[[#This Row],[Country]],Table21[400m Medley Classification],"&gt;0")</f>
        <v>0</v>
      </c>
      <c r="KC95" s="6">
        <f>COUNTIFS(Table78[Country],Tabela1[[#This Row],[Country]],Table78[Men''s 4x100m Freestyle Relay Classification],"&gt;0")</f>
        <v>0</v>
      </c>
      <c r="KD95" s="6">
        <f>COUNTIFS(Table78[Country],Tabela1[[#This Row],[Country]],Table78[Women''s 4x100m Freestyle Relay Classification],"&gt;0")</f>
        <v>0</v>
      </c>
      <c r="KE95" s="6">
        <f>COUNTIFS(Table78[Country],Tabela1[[#This Row],[Country]],Table78[Men''s 4x200m Freestyle Relay Classification],"&gt;0")</f>
        <v>0</v>
      </c>
      <c r="KF95" s="6">
        <f>COUNTIFS(Table78[Country],Tabela1[[#This Row],[Country]],Table78[Women''s 4x200m Freestyle Relay Classification],"&gt;0")</f>
        <v>0</v>
      </c>
      <c r="KG95" s="6">
        <f>COUNTIFS(Table78[Country],Tabela1[[#This Row],[Country]],Table78[Men''s 4x100m Medley Relay Classification],"&gt;0")</f>
        <v>0</v>
      </c>
      <c r="KH95" s="6">
        <f>COUNTIFS(Table78[Country],Tabela1[[#This Row],[Country]],Table78[Women''s 4x100m Medley Relay Classification],"&gt;0")</f>
        <v>0</v>
      </c>
      <c r="KI95" s="6">
        <f>COUNTIFS(Table78[Country],Tabela1[[#This Row],[Country]],Table78[Mixed 4x100m Medley Relay Classification],"&gt;0")</f>
        <v>0</v>
      </c>
      <c r="KJ95" s="6">
        <f>COUNTIFS(Table20[Country],Tabela1[[#This Row],[Country]],Table20[10km Open Water Classification],"&gt;0")</f>
        <v>0</v>
      </c>
      <c r="KK95" s="6">
        <f>COUNTIFS(Table21[Country],Tabela1[[#This Row],[Country]],Table21[10km Open Water Classification],"&gt;0")</f>
        <v>0</v>
      </c>
      <c r="KL95" s="6">
        <f>COUNTIFS(Table22[Country],Tabela1[[#This Row],[Country]],Table22[Classification],"&gt;0")</f>
        <v>0</v>
      </c>
      <c r="KM95" s="6">
        <f>COUNTIFS(Table30[Country],Tabela1[[#This Row],[Country]],Table30[Classification],"&gt;0")</f>
        <v>0</v>
      </c>
      <c r="KN95" s="6">
        <f>COUNTIFS(Table55[Country],Tabela1[[#This Row],[Country]],Table55[Men''s Classification],"&gt;0")</f>
        <v>0</v>
      </c>
      <c r="KO95" s="6">
        <f>COUNTIFS(Table55[Country],Tabela1[[#This Row],[Country]],Table55[Women''s Classification],"&gt;0")</f>
        <v>0</v>
      </c>
      <c r="KP95" s="6">
        <f>COUNTIFS(Table56[Country],Tabela1[[#This Row],[Country]],Table56[Mixed Classification],"&gt;0")</f>
        <v>0</v>
      </c>
      <c r="KQ95" s="6">
        <f>COUNTIFS(Table29[Country],Tabela1[[#This Row],[Country]],Table29[58kg Classification],"&gt;0")</f>
        <v>0</v>
      </c>
      <c r="KR95" s="6">
        <f>COUNTIFS(Table29[Country],Tabela1[[#This Row],[Country]],Table29[68kg Classification],"&gt;0")</f>
        <v>0</v>
      </c>
      <c r="KS95" s="6">
        <f>COUNTIFS(Table29[Country],Tabela1[[#This Row],[Country]],Table29[80kg Classification],"&gt;0")</f>
        <v>0</v>
      </c>
      <c r="KT95" s="6">
        <f>COUNTIFS(Table29[Country],Tabela1[[#This Row],[Country]],Table29[Plus 80kg Classification],"&gt;0")</f>
        <v>0</v>
      </c>
      <c r="KU95" s="6">
        <f>COUNTIFS(Table34[Country],Tabela1[[#This Row],[Country]],Table34[49kg Classification],"&gt;0")</f>
        <v>0</v>
      </c>
      <c r="KV95" s="6">
        <f>COUNTIFS(Table34[Country],Tabela1[[#This Row],[Country]],Table34[57kg Classification],"&gt;0")</f>
        <v>0</v>
      </c>
      <c r="KW95" s="6">
        <f>COUNTIFS(Table34[Country],Tabela1[[#This Row],[Country]],Table34[67kg Classification],"&gt;0")</f>
        <v>0</v>
      </c>
      <c r="KX95" s="6">
        <f>COUNTIFS(Table34[Country],Tabela1[[#This Row],[Country]],Table34[Plus 67kg Classification],"&gt;0")</f>
        <v>1</v>
      </c>
      <c r="KY95" s="6">
        <f>COUNTIFS(Table57[Country],Tabela1[[#This Row],[Country]],Table57[Classification],"&gt;0")</f>
        <v>0</v>
      </c>
      <c r="KZ95" s="6">
        <f>COUNTIFS(Table58[Country],Tabela1[[#This Row],[Country]],Table58[Classification],"&gt;0")</f>
        <v>0</v>
      </c>
      <c r="LA95" s="6">
        <f>COUNTIFS(Table79[Country],Tabela1[[#This Row],[Country]],Table79[Men''s Classification],"&gt;0")</f>
        <v>0</v>
      </c>
      <c r="LB95" s="6">
        <f>COUNTIFS(Table79[Country],Tabela1[[#This Row],[Country]],Table79[Women''s Classification],"&gt;0")</f>
        <v>0</v>
      </c>
      <c r="LC95" s="6">
        <f>COUNTIFS(Table79[Country],Tabela1[[#This Row],[Country]],Table79[Mixed Classification],"&gt;0")</f>
        <v>0</v>
      </c>
      <c r="LD95" s="6">
        <f>COUNTIFS(Table65[Country],Tabela1[[#This Row],[Country]],Table65[Classification],"&gt;0")</f>
        <v>0</v>
      </c>
      <c r="LE95" s="6">
        <f>COUNTIFS(Table59[Country],Tabela1[[#This Row],[Country]],Table59[Classification],"&gt;0")</f>
        <v>0</v>
      </c>
      <c r="LF95" s="6">
        <f>COUNTIFS(Table87[Country],Tabela1[[#This Row],[Country]],Table87[Mixed Relay Classification],"&gt;0")</f>
        <v>0</v>
      </c>
      <c r="LG95" s="6">
        <f>COUNTIFS(Table91949698100[Country],Tabela1[[#This Row],[Country]],Table91949698100[Men''s Classification],"&gt;0")</f>
        <v>0</v>
      </c>
      <c r="LH95" s="6">
        <f>COUNTIFS(Table91949698100[Country],Tabela1[[#This Row],[Country]],Table91949698100[Women''s Classification],"&gt;0")</f>
        <v>0</v>
      </c>
      <c r="LI95" s="6">
        <f>COUNTIFS(Table91949698100102[Country],Tabela1[[#This Row],[Country]],Table91949698100102[Men''s Classification],"&gt;0")</f>
        <v>0</v>
      </c>
      <c r="LJ95" s="6">
        <f>COUNTIFS(Table91949698100102[Country],Tabela1[[#This Row],[Country]],Table91949698100102[Women''s Classification],"&gt;0")</f>
        <v>0</v>
      </c>
      <c r="LK95" s="6">
        <f>COUNTIFS(Table23[Country],Tabela1[[#This Row],[Country]],Table23[61kg Classification],"&gt;0")</f>
        <v>0</v>
      </c>
      <c r="LL95" s="6">
        <f>COUNTIFS(Table23[Country],Tabela1[[#This Row],[Country]],Table23[73kg Classification],"&gt;0")</f>
        <v>0</v>
      </c>
      <c r="LM95" s="6">
        <f>COUNTIFS(Table23[Country],Tabela1[[#This Row],[Country]],Table23[89kg Classification],"&gt;0")</f>
        <v>0</v>
      </c>
      <c r="LN95" s="6">
        <f>COUNTIFS(Table23[Country],Tabela1[[#This Row],[Country]],Table23[102kg Classification],"&gt;0")</f>
        <v>0</v>
      </c>
      <c r="LO95" s="6">
        <f>COUNTIFS(Table23[Country],Tabela1[[#This Row],[Country]],Table23[Plus 102kg Classification],"&gt;0")</f>
        <v>0</v>
      </c>
      <c r="LP95" s="6">
        <f>COUNTIFS(Table28[Country],Tabela1[[#This Row],[Country]],Table28[49kg Classification],"&gt;0")</f>
        <v>0</v>
      </c>
      <c r="LQ95" s="6">
        <f>COUNTIFS(Table28[Country],Tabela1[[#This Row],[Country]],Table28[59kg Classification],"&gt;0")</f>
        <v>0</v>
      </c>
      <c r="LR95" s="6">
        <f>COUNTIFS(Table28[Country],Tabela1[[#This Row],[Country]],Table28[71kg Classification],"&gt;0")</f>
        <v>0</v>
      </c>
      <c r="LS95" s="6">
        <f>COUNTIFS(Table28[Country],Tabela1[[#This Row],[Country]],Table28[81kg Classification],"&gt;0")</f>
        <v>0</v>
      </c>
      <c r="LT95" s="6">
        <f>COUNTIFS(Table28[Country],Tabela1[[#This Row],[Country]],Table28[Plus 81kg Classification],"&gt;0")</f>
        <v>0</v>
      </c>
      <c r="LU95" s="6">
        <f>COUNTIFS(Table24[Country],Tabela1[[#This Row],[Country]],Table24[Freestyle 57kg Classification],"&gt;0")</f>
        <v>0</v>
      </c>
      <c r="LV95" s="6">
        <f>COUNTIFS(Table24[Country],Tabela1[[#This Row],[Country]],Table24[Freestyle 65kg Classification],"&gt;0")</f>
        <v>0</v>
      </c>
      <c r="LW95" s="6">
        <f>COUNTIFS(Table24[Country],Tabela1[[#This Row],[Country]],Table24[Freestyle 74kg Classification],"&gt;0")</f>
        <v>0</v>
      </c>
      <c r="LX95" s="6">
        <f>COUNTIFS(Table24[Country],Tabela1[[#This Row],[Country]],Table24[Freestyle 86kg Classification],"&gt;0")</f>
        <v>0</v>
      </c>
      <c r="LY95" s="6">
        <f>COUNTIFS(Table24[Country],Tabela1[[#This Row],[Country]],Table24[Freestyle 97kg Classification],"&gt;0")</f>
        <v>0</v>
      </c>
      <c r="LZ95" s="6">
        <f>COUNTIFS(Table24[Country],Tabela1[[#This Row],[Country]],Table24[Freestyle 125kg Classification],"&gt;0")</f>
        <v>0</v>
      </c>
      <c r="MA95" s="6">
        <f>COUNTIFS(Table24[Country],Tabela1[[#This Row],[Country]],Table24[Greco-Roman 60kg Classification],"&gt;0")</f>
        <v>0</v>
      </c>
      <c r="MB95" s="6">
        <f>COUNTIFS(Table24[Country],Tabela1[[#This Row],[Country]],Table24[Greco-Roman 67kg Classification],"&gt;0")</f>
        <v>0</v>
      </c>
      <c r="MC95" s="6">
        <f>COUNTIFS(Table24[Country],Tabela1[[#This Row],[Country]],Table24[Greco-Roman 77kg Classification],"&gt;0")</f>
        <v>0</v>
      </c>
      <c r="MD95" s="6">
        <f>COUNTIFS(Table24[Country],Tabela1[[#This Row],[Country]],Table24[Greco-Roman 87kg Classification],"&gt;0")</f>
        <v>0</v>
      </c>
      <c r="ME95" s="6">
        <f>COUNTIFS(Table24[Country],Tabela1[[#This Row],[Country]],Table24[Greco-Roman 97kg Classification],"&gt;0")</f>
        <v>0</v>
      </c>
      <c r="MF95" s="6">
        <f>COUNTIFS(Table24[Country],Tabela1[[#This Row],[Country]],Table24[Greco-Roman 130kg Classification],"&gt;0")</f>
        <v>0</v>
      </c>
      <c r="MG95" s="6">
        <f>COUNTIFS(Table31[Country],Tabela1[[#This Row],[Country]],Table31[50kg Classification],"&gt;0")</f>
        <v>0</v>
      </c>
      <c r="MH95" s="6">
        <f>COUNTIFS(Table31[Country],Tabela1[[#This Row],[Country]],Table31[53kg Classification],"&gt;0")</f>
        <v>0</v>
      </c>
      <c r="MI95" s="6">
        <f>COUNTIFS(Table31[Country],Tabela1[[#This Row],[Country]],Table31[57kg Classification],"&gt;0")</f>
        <v>0</v>
      </c>
      <c r="MJ95" s="6">
        <f>COUNTIFS(Table31[Country],Tabela1[[#This Row],[Country]],Table31[62kg Classification],"&gt;0")</f>
        <v>0</v>
      </c>
      <c r="MK95" s="6">
        <f>COUNTIFS(Table31[Country],Tabela1[[#This Row],[Country]],Table31[68kg Classification],"&gt;0")</f>
        <v>0</v>
      </c>
      <c r="ML95" s="6">
        <f>COUNTIFS(Table31[Country],Tabela1[[#This Row],[Country]],Table31[76kg Classification],"&gt;0")</f>
        <v>0</v>
      </c>
      <c r="MM95" s="6">
        <f>COUNTIFS(Table102[Country],Tabela1[[#This Row],[Country]],Table102[Downhill Classification],"&gt;0")</f>
        <v>0</v>
      </c>
      <c r="MN95" s="6">
        <f>COUNTIFS(Table102105[Country],Tabela1[[#This Row],[Country]],Table102105[Downhill Classification],"&gt;0")</f>
        <v>0</v>
      </c>
      <c r="MO95" s="6">
        <f>COUNTIFS(Table102[Country],Tabela1[[#This Row],[Country]],Table102[Giant Slalom Classification],"&gt;0")</f>
        <v>0</v>
      </c>
      <c r="MP95" s="6">
        <f>COUNTIFS(Table102105[Country],Tabela1[[#This Row],[Country]],Table102105[Giant Slalom Classification],"&gt;0")</f>
        <v>0</v>
      </c>
      <c r="MQ95" s="6">
        <f>COUNTIFS(Table102[Country],Tabela1[[#This Row],[Country]],Table102[Slalom Classification],"&gt;0")</f>
        <v>0</v>
      </c>
      <c r="MR95" s="6">
        <f>COUNTIFS(Table102105[Country],Tabela1[[#This Row],[Country]],Table102105[Slalom Classification],"&gt;0")</f>
        <v>0</v>
      </c>
      <c r="MS95" s="6">
        <f>COUNTIFS(Table102[Country],Tabela1[[#This Row],[Country]],Table102[Super-G Classification],"&gt;0")</f>
        <v>0</v>
      </c>
      <c r="MT95" s="6">
        <f>COUNTIFS(Table102105[Country],Tabela1[[#This Row],[Country]],Table102105[Super-G Classification],"&gt;0")</f>
        <v>0</v>
      </c>
      <c r="MU95" s="6">
        <f>COUNTIFS(Table105[Country],Tabela1[[#This Row],[Country]],Table105[Men''s Combined Classification],"&gt;0")</f>
        <v>0</v>
      </c>
      <c r="MV95" s="6">
        <f>COUNTIFS(Table105[Country],Tabela1[[#This Row],[Country]],Table105[Women''s Combined Classification],"&gt;0")</f>
        <v>0</v>
      </c>
      <c r="MW95" s="6">
        <f>COUNTIFS(Table106[Country],Tabela1[[#This Row],[Country]],Table106[Individual Classification],"&gt;0")</f>
        <v>0</v>
      </c>
      <c r="MX95" s="6">
        <f>COUNTIFS(Table106109[Country],Tabela1[[#This Row],[Country]],Table106109[Individual Classification],"&gt;0")</f>
        <v>0</v>
      </c>
      <c r="MY95" s="6">
        <f>COUNTIFS(Table106[Country],Tabela1[[#This Row],[Country]],Table106[Mass Start Classification],"&gt;0")</f>
        <v>0</v>
      </c>
      <c r="MZ95" s="6">
        <f>COUNTIFS(Table106109[Country],Tabela1[[#This Row],[Country]],Table106109[Mass Start Classification],"&gt;0")</f>
        <v>0</v>
      </c>
      <c r="NA95" s="6">
        <f>COUNTIFS(Table106[Country],Tabela1[[#This Row],[Country]],Table106[Pursuit Classification],"&gt;0")</f>
        <v>0</v>
      </c>
      <c r="NB95" s="6">
        <f>COUNTIFS(Table106109[Country],Tabela1[[#This Row],[Country]],Table106109[Pursuit Classification],"&gt;0")</f>
        <v>0</v>
      </c>
      <c r="NC95" s="6">
        <f>COUNTIFS(Table106[Country],Tabela1[[#This Row],[Country]],Table106[Sprint Classification],"&gt;0")</f>
        <v>0</v>
      </c>
      <c r="ND95" s="6">
        <f>COUNTIFS(Table106109[Country],Tabela1[[#This Row],[Country]],Table106109[Sprint Classification],"&gt;0")</f>
        <v>0</v>
      </c>
      <c r="NE95" s="6">
        <f>COUNTIFS(Table109[Country],Tabela1[[#This Row],[Country]],Table109[Men''s Relay Classification],"&gt;0")</f>
        <v>0</v>
      </c>
      <c r="NF95" s="6">
        <f>COUNTIFS(Table109[Country],Tabela1[[#This Row],[Country]],Table109[Women''s Relay Classification],"&gt;0")</f>
        <v>0</v>
      </c>
      <c r="NG95" s="6">
        <f>COUNTIFS(Table109[Country],Tabela1[[#This Row],[Country]],Table109[Mixed Relay Classification],"&gt;0")</f>
        <v>0</v>
      </c>
      <c r="NH95" s="6">
        <f>COUNTIFS(Table110[Country],Tabela1[[#This Row],[Country]],Table110[Monobob Classification],"&gt;0")</f>
        <v>0</v>
      </c>
      <c r="NI95" s="6">
        <f>COUNTIFS(Table111[Country],Tabela1[[#This Row],[Country]],Table111[Men''s Classification],"&gt;0")</f>
        <v>0</v>
      </c>
      <c r="NJ95" s="6">
        <f>COUNTIFS(Table111[Country],Tabela1[[#This Row],[Country]],Table111[Women''s Classification],"&gt;0")</f>
        <v>0</v>
      </c>
      <c r="NK95" s="6">
        <f>COUNTIFS(Table112[Country],Tabela1[[#This Row],[Country]],Table112[Men''s Four Classification],"&gt;0")</f>
        <v>0</v>
      </c>
      <c r="NL95" s="6">
        <f>COUNTIFS(Table113[Country],Tabela1[[#This Row],[Country]],Table113[Classical Classification],"&gt;0")</f>
        <v>0</v>
      </c>
      <c r="NM95" s="6">
        <f>COUNTIFS(Table113116[Country],Tabela1[[#This Row],[Country]],Table113116[Classical Classification],"&gt;0")</f>
        <v>0</v>
      </c>
      <c r="NN95" s="6">
        <f>COUNTIFS(Table113[Country],Tabela1[[#This Row],[Country]],Table113[Freestyle Classification],"&gt;0")</f>
        <v>0</v>
      </c>
      <c r="NO95" s="6">
        <f>COUNTIFS(Table113116[Country],Tabela1[[#This Row],[Country]],Table113116[Freestyle Classification],"&gt;0")</f>
        <v>0</v>
      </c>
      <c r="NP95" s="6">
        <f>COUNTIFS(Table117[Country],Tabela1[[#This Row],[Country]],Table117[Men''s Relay Classification],"&gt;0")</f>
        <v>0</v>
      </c>
      <c r="NQ95" s="6">
        <f>COUNTIFS(Table117[Country],Tabela1[[#This Row],[Country]],Table117[Women''s Relay Classification],"&gt;0")</f>
        <v>0</v>
      </c>
      <c r="NR95" s="6">
        <f>COUNTIFS(Table113[Country],Tabela1[[#This Row],[Country]],Table113[Skiathlon Classification],"&gt;0")</f>
        <v>0</v>
      </c>
      <c r="NS95" s="6">
        <f>COUNTIFS(Table113116[Country],Tabela1[[#This Row],[Country]],Table113116[Skiathlon Classification],"&gt;0")</f>
        <v>0</v>
      </c>
      <c r="NT95" s="6">
        <f>COUNTIFS(Table113[Country],Tabela1[[#This Row],[Country]],Table113[Sprint Classification],"&gt;0")</f>
        <v>0</v>
      </c>
      <c r="NU95" s="6">
        <f>COUNTIFS(Table113116[Country],Tabela1[[#This Row],[Country]],Table113116[Sprint Classification],"&gt;0")</f>
        <v>0</v>
      </c>
      <c r="NV95" s="6">
        <f>COUNTIFS(Table116[Country],Tabela1[[#This Row],[Country]],Table116[Men''s Team Sprint Classification],"&gt;0")</f>
        <v>0</v>
      </c>
      <c r="NW95" s="6">
        <f>COUNTIFS(Table116[Country],Tabela1[[#This Row],[Country]],Table116[Women''s Team Sprint Classification],"&gt;0")</f>
        <v>0</v>
      </c>
      <c r="NX95" s="6">
        <f>COUNTIFS(Table119[Country],Tabela1[[#This Row],[Country]],Table119[Men''s Classification],"&gt;0")</f>
        <v>0</v>
      </c>
      <c r="NY95" s="6">
        <f>COUNTIFS(Table119[Country],Tabela1[[#This Row],[Country]],Table119[Women''s Classification],"&gt;0")</f>
        <v>0</v>
      </c>
      <c r="NZ95" s="6">
        <f>COUNTIFS(Table118[Country],Tabela1[[#This Row],[Country]],Table118[Mixed Classification],"&gt;0")</f>
        <v>0</v>
      </c>
      <c r="OA95" s="6">
        <f>COUNTIFS(Table120[Country],Tabela1[[#This Row],[Country]],Table120[Classification],"&gt;0")</f>
        <v>0</v>
      </c>
      <c r="OB95" s="6">
        <f>COUNTIFS(Table120123[Country],Tabela1[[#This Row],[Country]],Table120123[Classification],"&gt;0")</f>
        <v>0</v>
      </c>
      <c r="OC95" s="6">
        <f>COUNTIFS(Table123[Country],Tabela1[[#This Row],[Country]],Table123[Ice Dance Classification],"&gt;0")</f>
        <v>0</v>
      </c>
      <c r="OD95" s="6">
        <f>COUNTIFS(Table123[Country],Tabela1[[#This Row],[Country]],Table123[Pair Skating Classification],"&gt;0")</f>
        <v>0</v>
      </c>
      <c r="OE95" s="6">
        <f>COUNTIFS(Table124[Country],Tabela1[[#This Row],[Country]],Table124[Mixed Classification],"&gt;0")</f>
        <v>0</v>
      </c>
      <c r="OF95" s="6">
        <f>COUNTIFS(Table125[Country],Tabela1[[#This Row],[Country]],Table125[Aerials Classification],"&gt;0")</f>
        <v>0</v>
      </c>
      <c r="OG95" s="6">
        <f>COUNTIFS(Table125128[Country],Tabela1[[#This Row],[Country]],Table125128[Aerials Classification],"&gt;0")</f>
        <v>0</v>
      </c>
      <c r="OH95" s="6">
        <f>COUNTIFS(Table128[Country],Tabela1[[#This Row],[Country]],Table128[Mixed Aerials Classification],"&gt;0")</f>
        <v>0</v>
      </c>
      <c r="OI95" s="6">
        <f>COUNTIFS(Table125[Country],Tabela1[[#This Row],[Country]],Table125[Big Air Classification],"&gt;0")</f>
        <v>0</v>
      </c>
      <c r="OJ95" s="6">
        <f>COUNTIFS(Table125128[Country],Tabela1[[#This Row],[Country]],Table125128[Big Air Classification],"&gt;0")</f>
        <v>0</v>
      </c>
      <c r="OK95" s="6">
        <f>COUNTIFS(Table125[Country],Tabela1[[#This Row],[Country]],Table125[Dual Moguls Classification],"&gt;0")</f>
        <v>0</v>
      </c>
      <c r="OL95" s="6">
        <f>COUNTIFS(Table125128[Country],Tabela1[[#This Row],[Country]],Table125128[Dual Moguls Classification],"&gt;0")</f>
        <v>0</v>
      </c>
      <c r="OM95" s="6">
        <f>COUNTIFS(Table125[Country],Tabela1[[#This Row],[Country]],Table125[Halfpipe Classification],"&gt;0")</f>
        <v>0</v>
      </c>
      <c r="ON95" s="6">
        <f>COUNTIFS(Table125128[Country],Tabela1[[#This Row],[Country]],Table125128[Halfpipe Classification],"&gt;0")</f>
        <v>0</v>
      </c>
      <c r="OO95" s="6">
        <f>COUNTIFS(Table125[Country],Tabela1[[#This Row],[Country]],Table125[Moguls Classification],"&gt;0")</f>
        <v>0</v>
      </c>
      <c r="OP95" s="6">
        <f>COUNTIFS(Table125128[Country],Tabela1[[#This Row],[Country]],Table125128[Moguls Classification],"&gt;0")</f>
        <v>0</v>
      </c>
      <c r="OQ95" s="6">
        <f>COUNTIFS(Table125[Country],Tabela1[[#This Row],[Country]],Table125[Ski Cross Classification],"&gt;0")</f>
        <v>0</v>
      </c>
      <c r="OR95" s="6">
        <f>COUNTIFS(Table125128[Country],Tabela1[[#This Row],[Country]],Table125128[Ski Cross Classification],"&gt;0")</f>
        <v>0</v>
      </c>
      <c r="OS95" s="6">
        <f>COUNTIFS(Table125[Country],Tabela1[[#This Row],[Country]],Table125[Slopestyle Classification],"&gt;0")</f>
        <v>0</v>
      </c>
      <c r="OT95" s="6">
        <f>COUNTIFS(Table125128[Country],Tabela1[[#This Row],[Country]],Table125128[Slopestyle Classification],"&gt;0")</f>
        <v>0</v>
      </c>
      <c r="OU95" s="6">
        <f>COUNTIFS(Table119131[Country],Tabela1[[#This Row],[Country]],Table119131[Men''s Classification],"&gt;0")</f>
        <v>0</v>
      </c>
      <c r="OV95" s="6">
        <f>COUNTIFS(Table119131[Country],Tabela1[[#This Row],[Country]],Table119131[Women''s Classification],"&gt;0")</f>
        <v>0</v>
      </c>
      <c r="OW95" s="6">
        <f>COUNTIFS(Table131[Country],Tabela1[[#This Row],[Country]],Table131[Classification],"&gt;0")</f>
        <v>0</v>
      </c>
      <c r="OX95" s="6">
        <f>COUNTIFS(Table131134[Country],Tabela1[[#This Row],[Country]],Table131134[Classification],"&gt;0")</f>
        <v>0</v>
      </c>
      <c r="OY95" s="6">
        <f>COUNTIFS(Table134[Country],Tabela1[[#This Row],[Country]],Table134[Men''s Classification],"&gt;0")</f>
        <v>0</v>
      </c>
      <c r="OZ95" s="6">
        <f>COUNTIFS(Table134[Country],Tabela1[[#This Row],[Country]],Table134[Women''s Classification],"&gt;0")</f>
        <v>0</v>
      </c>
      <c r="PA95" s="6">
        <f>COUNTIFS(Table135[Country],Tabela1[[#This Row],[Country]],Table135[Mixed Relay Classification],"&gt;0")</f>
        <v>0</v>
      </c>
      <c r="PB95" s="6">
        <f>COUNTIFS(Table136[Country],Tabela1[[#This Row],[Country]],Table136[Individual Classification],"&gt;0")</f>
        <v>0</v>
      </c>
      <c r="PC95" s="6">
        <f>COUNTIFS(Table136[Country],Tabela1[[#This Row],[Country]],Table136[Sprint Classification],"&gt;0")</f>
        <v>0</v>
      </c>
      <c r="PD95" s="6">
        <f>COUNTIFS(Table137[Country],Tabela1[[#This Row],[Country]],Table137[Men''s Team Sprint Large Hill Classification],"&gt;0")</f>
        <v>0</v>
      </c>
      <c r="PE95" s="6">
        <f>COUNTIFS(Table138[Country],Tabela1[[#This Row],[Country]],Table138[500m Classification],"&gt;0")</f>
        <v>0</v>
      </c>
      <c r="PF95" s="6">
        <f>COUNTIFS(Table138141[Country],Tabela1[[#This Row],[Country]],Table138141[500m Classification],"&gt;0")</f>
        <v>0</v>
      </c>
      <c r="PG95" s="6">
        <f>COUNTIFS(Table138[Country],Tabela1[[#This Row],[Country]],Table138[1000m Classification],"&gt;0")</f>
        <v>0</v>
      </c>
      <c r="PH95" s="6">
        <f>COUNTIFS(Table138141[Country],Tabela1[[#This Row],[Country]],Table138141[1000m Classification],"&gt;0")</f>
        <v>0</v>
      </c>
      <c r="PI95" s="6">
        <f>COUNTIFS(Table138[Country],Tabela1[[#This Row],[Country]],Table138[1500m Classification],"&gt;0")</f>
        <v>0</v>
      </c>
      <c r="PJ95" s="6">
        <f>COUNTIFS(Table138141[Country],Tabela1[[#This Row],[Country]],Table138141[1500m Classification],"&gt;0")</f>
        <v>0</v>
      </c>
      <c r="PK95" s="6">
        <f>COUNTIFS(Table141[Country],Tabela1[[#This Row],[Country]],Table141[Men''s 5000m Relay Classification],"&gt;0")</f>
        <v>0</v>
      </c>
      <c r="PL95" s="6">
        <f>COUNTIFS(Table141[Country],Tabela1[[#This Row],[Country]],Table141[Women''s 3000m Relay Classification],"&gt;0")</f>
        <v>0</v>
      </c>
      <c r="PM95" s="6">
        <f>COUNTIFS(Table141[Country],Tabela1[[#This Row],[Country]],Table141[Mixed 2000m Relay Classification],"&gt;0")</f>
        <v>0</v>
      </c>
      <c r="PN95" s="6">
        <f>COUNTIFS(Table142[Country],Tabela1[[#This Row],[Country]],Table142[Classification],"&gt;0")</f>
        <v>0</v>
      </c>
      <c r="PO95" s="6">
        <f>COUNTIFS(Table142145[Country],Tabela1[[#This Row],[Country]],Table142145[Classification],"&gt;0")</f>
        <v>0</v>
      </c>
      <c r="PP95" s="6">
        <f>COUNTIFS(Tabela15[Country],Tabela1[[#This Row],[Country]],Tabela15[Mixed Team Classification],"&gt;0")</f>
        <v>0</v>
      </c>
      <c r="PQ95" s="6">
        <f>COUNTIFS(Table145[Country],Tabela1[[#This Row],[Country]],Table145[Large Hill Classification],"&gt;0")</f>
        <v>0</v>
      </c>
      <c r="PR95" s="6">
        <f>COUNTIFS(Table145[Country],Tabela1[[#This Row],[Country]],Table145[Normal Hill Classification],"&gt;0")</f>
        <v>0</v>
      </c>
      <c r="PS95" s="6">
        <f>COUNTIFS(Table145148[Country],Tabela1[[#This Row],[Country]],Table145148[Large Hill Classification],"&gt;0")</f>
        <v>0</v>
      </c>
      <c r="PT95" s="6">
        <f>COUNTIFS(Table145148[Country],Tabela1[[#This Row],[Country]],Table145148[Normal Hill Classification],"&gt;0")</f>
        <v>0</v>
      </c>
      <c r="PU95" s="6">
        <f>COUNTIFS(Table148[Country],Tabela1[[#This Row],[Country]],Table148[Men''s Super Team Classification],"&gt;0")</f>
        <v>0</v>
      </c>
      <c r="PV95" s="6">
        <f>COUNTIFS(Tabela114[Country],Tabela1[[#This Row],[Country]],Tabela114[Mixed Normal Hill Classification],"&gt;0")</f>
        <v>0</v>
      </c>
      <c r="PW95" s="6">
        <f>COUNTIFS(Tabela50[Country],Tabela1[[#This Row],[Country]],Tabela50[Sprint Classification],"&gt;0")</f>
        <v>0</v>
      </c>
      <c r="PX95" s="6">
        <f>COUNTIFS(Tabela50101[Country],Tabela1[[#This Row],[Country]],Tabela50101[Sprint Classification],"&gt;0")</f>
        <v>0</v>
      </c>
      <c r="PY95" s="6">
        <f>COUNTIFS(Tabela103[Country],Tabela1[[#This Row],[Country]],Tabela103[Mixed Relay Classification],"&gt;0")</f>
        <v>0</v>
      </c>
      <c r="PZ95" s="6">
        <f>COUNTIFS(Table149[Country],Tabela1[[#This Row],[Country]],Table149[Big Air Classification],"&gt;0")</f>
        <v>0</v>
      </c>
      <c r="QA95" s="6">
        <f>COUNTIFS(Table149152[Country],Tabela1[[#This Row],[Country]],Table149152[Big Air Classification],"&gt;0")</f>
        <v>0</v>
      </c>
      <c r="QB95" s="6">
        <f>COUNTIFS(Table149[Country],Tabela1[[#This Row],[Country]],Table149[Halfpipe Classification],"&gt;0")</f>
        <v>0</v>
      </c>
      <c r="QC95" s="6">
        <f>COUNTIFS(Table149152[Country],Tabela1[[#This Row],[Country]],Table149152[Halfpipe Classification],"&gt;0")</f>
        <v>0</v>
      </c>
      <c r="QD95" s="6">
        <f>COUNTIFS(Table149[Country],Tabela1[[#This Row],[Country]],Table149[Parallel Giant Slalom Classification],"&gt;0")</f>
        <v>0</v>
      </c>
      <c r="QE95" s="6">
        <f>COUNTIFS(Table149152[Country],Tabela1[[#This Row],[Country]],Table149152[Parallel Giant Slalom Classification],"&gt;0")</f>
        <v>0</v>
      </c>
      <c r="QF95" s="6">
        <f>COUNTIFS(Table149[Country],Tabela1[[#This Row],[Country]],Table149[Slopestyle Classification],"&gt;0")</f>
        <v>0</v>
      </c>
      <c r="QG95" s="6">
        <f>COUNTIFS(Table149152[Country],Tabela1[[#This Row],[Country]],Table149152[Slopestyle Classification],"&gt;0")</f>
        <v>0</v>
      </c>
      <c r="QH95" s="6">
        <f>COUNTIFS(Table149[Country],Tabela1[[#This Row],[Country]],Table149[Snowboard Cross Classification],"&gt;0")</f>
        <v>0</v>
      </c>
      <c r="QI95" s="6">
        <f>COUNTIFS(Table149152[Country],Tabela1[[#This Row],[Country]],Table149152[Snowboard Cross Classification],"&gt;0")</f>
        <v>0</v>
      </c>
      <c r="QJ95" s="6">
        <f>COUNTIFS(Table153[Country],Tabela1[[#This Row],[Country]],Table153[Mixed Team Snowboard Cross Classification],"&gt;0")</f>
        <v>0</v>
      </c>
      <c r="QK95" s="6">
        <f>COUNTIFS(Table154[Country],Tabela1[[#This Row],[Country]],Table154[500m Classification],"&gt;0")</f>
        <v>0</v>
      </c>
      <c r="QL95" s="6">
        <f>COUNTIFS(Table154157[Country],Tabela1[[#This Row],[Country]],Table154157[500m Classification],"&gt;0")</f>
        <v>0</v>
      </c>
      <c r="QM95" s="6">
        <f>COUNTIFS(Table154[Country],Tabela1[[#This Row],[Country]],Table154[1000m Classification],"&gt;0")</f>
        <v>0</v>
      </c>
      <c r="QN95" s="6">
        <f>COUNTIFS(Table154157[Country],Tabela1[[#This Row],[Country]],Table154157[1000m Classification],"&gt;0")</f>
        <v>0</v>
      </c>
      <c r="QO95" s="6">
        <f>COUNTIFS(Table154[Country],Tabela1[[#This Row],[Country]],Table154[1500m Classification],"&gt;0")</f>
        <v>0</v>
      </c>
      <c r="QP95" s="6">
        <f>COUNTIFS(Table154157[Country],Tabela1[[#This Row],[Country]],Table154157[1500m Classification],"&gt;0")</f>
        <v>0</v>
      </c>
      <c r="QQ95" s="6">
        <f>COUNTIFS(Table154157[Country],Tabela1[[#This Row],[Country]],Table154157[3000m Classification],"&gt;0")</f>
        <v>0</v>
      </c>
      <c r="QR95" s="6">
        <f>COUNTIFS(Table154[Country],Tabela1[[#This Row],[Country]],Table154[5000m Classification],"&gt;0")</f>
        <v>0</v>
      </c>
      <c r="QS95" s="6">
        <f>COUNTIFS(Table154157[Country],Tabela1[[#This Row],[Country]],Table154157[5000m Classification],"&gt;0")</f>
        <v>0</v>
      </c>
      <c r="QT95" s="6">
        <f>COUNTIFS(Table154[Country],Tabela1[[#This Row],[Country]],Table154[10000m Classification],"&gt;0")</f>
        <v>0</v>
      </c>
      <c r="QU95" s="6">
        <f>COUNTIFS(Table154[Country],Tabela1[[#This Row],[Country]],Table154[Mass Start Classification],"&gt;0")</f>
        <v>0</v>
      </c>
      <c r="QV95" s="6">
        <f>COUNTIFS(Table154157[Country],Tabela1[[#This Row],[Country]],Table154157[Mass Start Classification],"&gt;0")</f>
        <v>0</v>
      </c>
      <c r="QW95" s="6">
        <f>COUNTIFS(Table157[Country],Tabela1[[#This Row],[Country]],Table157[Men''s Pursuit Classification],"&gt;0")</f>
        <v>0</v>
      </c>
      <c r="QX95" s="6">
        <f>COUNTIFS(Table157[Country],Tabela1[[#This Row],[Country]],Table157[Women''s Pursuit Classification],"&gt;0")</f>
        <v>0</v>
      </c>
      <c r="QY95" s="4" t="s">
        <v>427</v>
      </c>
    </row>
    <row r="96" spans="1:467" x14ac:dyDescent="0.3">
      <c r="A96" s="6">
        <v>95</v>
      </c>
      <c r="B96" s="6" t="s">
        <v>544</v>
      </c>
      <c r="C96" t="e" vm="95">
        <f>IF(ISBLANK(Tabela1[[#This Row],[Image Link]]), "", _xlfn.IMAGE(Tabela1[[#This Row],[Image Link]],1,1))</f>
        <v>#VALUE!</v>
      </c>
      <c r="D96" s="6">
        <f>SUM(Tabela1[[#This Row],[Archery - Men''s Individual Recurve]:[Speed Skating - Women''s Team Pursuit]])</f>
        <v>4</v>
      </c>
      <c r="E96" s="6">
        <f>COUNTIF(Tabela1[[#This Row],[Archery - Men''s Individual Recurve]:[Speed Skating - Women''s Team Pursuit]],"&gt;0")</f>
        <v>4</v>
      </c>
      <c r="F96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96" s="6">
        <f>SUM(Tabela1[[#This Row],[Archery - Men''s Individual Recurve]:[Wrestling - Women''s Freestyle 76kg]])</f>
        <v>4</v>
      </c>
      <c r="H96" s="6">
        <f>SUM(Tabela1[[#This Row],[Alpine Skiing - Men''s Downhill]:[Speed Skating - Women''s Team Pursuit]])</f>
        <v>0</v>
      </c>
      <c r="I96" s="6">
        <f>Tabela1[[#This Row],[Summer Gold Medals]]+Tabela1[[#This Row],[Winter Gold Medals]]</f>
        <v>0</v>
      </c>
      <c r="J96" s="6">
        <f>Tabela1[[#This Row],[Summer Silver Medals]]+Tabela1[[#This Row],[Winter Silver Medals]]</f>
        <v>0</v>
      </c>
      <c r="K96" s="6">
        <f>Tabela1[[#This Row],[Summer Bronze Medals]]+Tabela1[[#This Row],[Winter Bronze Medals]]</f>
        <v>0</v>
      </c>
      <c r="L96" s="6">
        <f>SUM(Tabela1[[#This Row],[Total Gold Medals]:[Total Bronze Medals]])</f>
        <v>0</v>
      </c>
      <c r="M96" s="6"/>
      <c r="N96" s="6"/>
      <c r="O96" s="6"/>
      <c r="P96" s="6">
        <f>SUM(Tabela1[[#This Row],[Summer Gold Medals]:[Summer Bronze Medals]])</f>
        <v>0</v>
      </c>
      <c r="Q96" s="6"/>
      <c r="R96" s="6"/>
      <c r="S96" s="6"/>
      <c r="T96" s="6">
        <f>Tabela1[[#This Row],[Winter Gold Medals]]+Tabela1[[#This Row],[Winter Silver Medals]]+Tabela1[[#This Row],[Winter Bronze Medals]]</f>
        <v>0</v>
      </c>
      <c r="U96" s="7">
        <f>Tabela1[[#This Row],[Total Medals]]/Tabela1[[#This Row],[Total Quotas]]</f>
        <v>0</v>
      </c>
      <c r="V96" s="6">
        <f>COUNTIFS(Table3[Country],Tabela1[[#This Row],[Country]],Table3[Recurve Classification],"&gt;0")</f>
        <v>0</v>
      </c>
      <c r="W96" s="6">
        <f>COUNTIFS(Table33[Country],Tabela1[[#This Row],[Country]],Table33[Recurve Classification],"&gt;0")</f>
        <v>0</v>
      </c>
      <c r="X96" s="6">
        <f>COUNTIFS(Table35[Country],Tabela1[[#This Row],[Country]],Table35[Men''s Team Recurve Classification],"&gt;0")</f>
        <v>0</v>
      </c>
      <c r="Y96" s="6">
        <f>COUNTIFS(Table35[Country],Tabela1[[#This Row],[Country]],Table35[Women''s Team Recurve Classification],"&gt;0")</f>
        <v>0</v>
      </c>
      <c r="Z96" s="6">
        <f>COUNTIFS(Tabela88[Country],Tabela1[[#This Row],[Country]],Tabela88[Mixed Team Recurve Classification],"&gt;0")</f>
        <v>0</v>
      </c>
      <c r="AA96" s="6">
        <f>COUNTIFS(Table36[Country],Tabela1[[#This Row],[Country]],Table36[Classification],"&gt;0")</f>
        <v>0</v>
      </c>
      <c r="AB96" s="6">
        <f>COUNTIFS(Table37[Country],Tabela1[[#This Row],[Country]],Table37[Classification],"&gt;0")</f>
        <v>0</v>
      </c>
      <c r="AC96" s="6">
        <f>COUNTIFS(Table4[Country],Tabela1[[#This Row],[Country]],Table4[100m Classification],"&gt;0")</f>
        <v>0</v>
      </c>
      <c r="AD96" s="6">
        <f>COUNTIFS(Table5[Country],Tabela1[[#This Row],[Country]],Table5[100m Classification],"&gt;0")</f>
        <v>0</v>
      </c>
      <c r="AE96" s="6">
        <f>COUNTIFS(Table4[Country],Tabela1[[#This Row],[Country]],Table4[200m Classification],"&gt;0")</f>
        <v>0</v>
      </c>
      <c r="AF96" s="6">
        <f>COUNTIFS(Table5[Country],Tabela1[[#This Row],[Country]],Table5[200m Classification],"&gt;0")</f>
        <v>0</v>
      </c>
      <c r="AG96" s="6">
        <f>COUNTIFS(Table4[Country],Tabela1[[#This Row],[Country]],Table4[400m Classification],"&gt;0")</f>
        <v>0</v>
      </c>
      <c r="AH96" s="6">
        <f>COUNTIFS(Table5[Country],Tabela1[[#This Row],[Country]],Table5[400m Classification],"&gt;0")</f>
        <v>0</v>
      </c>
      <c r="AI96" s="6">
        <f>COUNTIFS(Table4[Country],Tabela1[[#This Row],[Country]],Table4[800m Classification],"&gt;0")</f>
        <v>0</v>
      </c>
      <c r="AJ96" s="6">
        <f>COUNTIFS(Table5[Country],Tabela1[[#This Row],[Country]],Table5[800m Classification],"&gt;0")</f>
        <v>0</v>
      </c>
      <c r="AK96" s="6">
        <f>COUNTIFS(Table4[Country],Tabela1[[#This Row],[Country]],Table4[1500m Classification],"&gt;0")</f>
        <v>0</v>
      </c>
      <c r="AL96" s="6">
        <f>COUNTIFS(Table5[Country],Tabela1[[#This Row],[Country]],Table5[1500m Classification],"&gt;0")</f>
        <v>0</v>
      </c>
      <c r="AM96" s="6">
        <f>COUNTIFS(Table4[Country],Tabela1[[#This Row],[Country]],Table4[5000m Classification],"&gt;0")</f>
        <v>0</v>
      </c>
      <c r="AN96" s="6">
        <f>COUNTIFS(Table5[Country],Tabela1[[#This Row],[Country]],Table5[5000m Classification],"&gt;0")</f>
        <v>0</v>
      </c>
      <c r="AO96" s="6">
        <f>COUNTIFS(Table4[Country],Tabela1[[#This Row],[Country]],Table4[10000m Classification],"&gt;0")</f>
        <v>0</v>
      </c>
      <c r="AP96" s="6">
        <f>COUNTIFS(Table5[Country],Tabela1[[#This Row],[Country]],Table5[10000m Classification],"&gt;0")</f>
        <v>0</v>
      </c>
      <c r="AQ96" s="6">
        <f>COUNTIFS(Table4[Country],Tabela1[[#This Row],[Country]],Table4[110m Hurdles Classification],"&gt;0")</f>
        <v>0</v>
      </c>
      <c r="AR96" s="6">
        <f>COUNTIFS(Table5[Country],Tabela1[[#This Row],[Country]],Table5[100m Hurdles Classification],"&gt;0")</f>
        <v>0</v>
      </c>
      <c r="AS96" s="6">
        <f>COUNTIFS(Table4[Country],Tabela1[[#This Row],[Country]],Table4[400m Hurdles Classification],"&gt;0")</f>
        <v>0</v>
      </c>
      <c r="AT96" s="6">
        <f>COUNTIFS(Table5[Country],Tabela1[[#This Row],[Country]],Table5[400m Hurdles Classification],"&gt;0")</f>
        <v>1</v>
      </c>
      <c r="AU96" s="6">
        <f>COUNTIFS(Table4[Country],Tabela1[[#This Row],[Country]],Table4[3000m Steeplechase Classification],"&gt;0")</f>
        <v>0</v>
      </c>
      <c r="AV96" s="6">
        <f>COUNTIFS(Table5[Country],Tabela1[[#This Row],[Country]],Table5[3000m Steeplechase Classification],"&gt;0")</f>
        <v>0</v>
      </c>
      <c r="AW96" s="6">
        <f>COUNTIFS(Table27[Country],Tabela1[[#This Row],[Country]],Table27[Men''s 4x100m Relay Classification],"&gt;0")</f>
        <v>0</v>
      </c>
      <c r="AX96" s="6">
        <f>COUNTIFS(Table27[Country],Tabela1[[#This Row],[Country]],Table27[Women''s 4x100m Relay Classification],"&gt;0")</f>
        <v>0</v>
      </c>
      <c r="AY96" s="6">
        <f>COUNTIFS(Table27[Country],Tabela1[[#This Row],[Country]],Table27[Men''s 4x400m Relay Classification],"&gt;0")</f>
        <v>0</v>
      </c>
      <c r="AZ96" s="6">
        <f>COUNTIFS(Table27[Country],Tabela1[[#This Row],[Country]],Table27[Women''s 4x400m Relay Classification],"&gt;0")</f>
        <v>0</v>
      </c>
      <c r="BA96" s="6">
        <f>COUNTIFS(Table27[Country],Tabela1[[#This Row],[Country]],Table27[Mixed 4x400m Relay Classification],"&gt;0")</f>
        <v>0</v>
      </c>
      <c r="BB96" s="6">
        <f>COUNTIFS(Table4[Country],Tabela1[[#This Row],[Country]],Table4[Marathon Classification],"&gt;0")</f>
        <v>0</v>
      </c>
      <c r="BC96" s="6">
        <f>COUNTIFS(Table5[Country],Tabela1[[#This Row],[Country]],Table5[Marathon Classification],"&gt;0")</f>
        <v>0</v>
      </c>
      <c r="BD96" s="6">
        <f>COUNTIFS(Table4[Country],Tabela1[[#This Row],[Country]],Table4[20km Race Walk Classification],"&gt;0")</f>
        <v>0</v>
      </c>
      <c r="BE96" s="6">
        <f>COUNTIFS(Table5[Country],Tabela1[[#This Row],[Country]],Table5[20km Race Walk Classification],"&gt;0")</f>
        <v>0</v>
      </c>
      <c r="BF96" s="6">
        <f>COUNTIFS(Tabela96[Country],Tabela1[[#This Row],[Country]],Tabela96[Mixed Marathon Race Walk Relay Classification],"&gt;0")</f>
        <v>0</v>
      </c>
      <c r="BG96" s="6">
        <f>COUNTIFS(Table4[Country],Tabela1[[#This Row],[Country]],Table4[Discus Throw Classification],"&gt;0")</f>
        <v>0</v>
      </c>
      <c r="BH96" s="6">
        <f>COUNTIFS(Table5[Country],Tabela1[[#This Row],[Country]],Table5[Discus Throw Classification],"&gt;0")</f>
        <v>0</v>
      </c>
      <c r="BI96" s="6">
        <f>COUNTIFS(Table4[Country],Tabela1[[#This Row],[Country]],Table4[Hammer Throw Classification],"&gt;0")</f>
        <v>0</v>
      </c>
      <c r="BJ96" s="6">
        <f>COUNTIFS(Table5[Country],Tabela1[[#This Row],[Country]],Table5[Hammer Throw Classification],"&gt;0")</f>
        <v>0</v>
      </c>
      <c r="BK96" s="6">
        <f>COUNTIFS(Table4[Country],Tabela1[[#This Row],[Country]],Table4[High Jump Classification],"&gt;0")</f>
        <v>0</v>
      </c>
      <c r="BL96" s="6">
        <f>COUNTIFS(Table5[Country],Tabela1[[#This Row],[Country]],Table5[High Jump Classification],"&gt;0")</f>
        <v>0</v>
      </c>
      <c r="BM96" s="6">
        <f>COUNTIFS(Table4[Country],Tabela1[[#This Row],[Country]],Table4[Javelin Throw Classification],"&gt;0")</f>
        <v>0</v>
      </c>
      <c r="BN96" s="6">
        <f>COUNTIFS(Table5[Country],Tabela1[[#This Row],[Country]],Table5[Javelin Throw Classification],"&gt;0")</f>
        <v>0</v>
      </c>
      <c r="BO96" s="6">
        <f>COUNTIFS(Table4[Country],Tabela1[[#This Row],[Country]],Table4[Long Jump Classification],"&gt;0")</f>
        <v>0</v>
      </c>
      <c r="BP96" s="6">
        <f>COUNTIFS(Table5[Country],Tabela1[[#This Row],[Country]],Table5[Long Jump Classification],"&gt;0")</f>
        <v>0</v>
      </c>
      <c r="BQ96" s="6">
        <f>COUNTIFS(Table4[Country],Tabela1[[#This Row],[Country]],Table4[Pole Vault Classification],"&gt;0")</f>
        <v>0</v>
      </c>
      <c r="BR96" s="6">
        <f>COUNTIFS(Table5[Country],Tabela1[[#This Row],[Country]],Table5[Pole Vault Classification],"&gt;0")</f>
        <v>0</v>
      </c>
      <c r="BS96" s="6">
        <f>COUNTIFS(Table4[Country],Tabela1[[#This Row],[Country]],Table4[Shot Put Classification],"&gt;0")</f>
        <v>0</v>
      </c>
      <c r="BT96" s="6">
        <f>COUNTIFS(Table5[Country],Tabela1[[#This Row],[Country]],Table5[Shot Put Classification],"&gt;0")</f>
        <v>0</v>
      </c>
      <c r="BU96" s="6">
        <f>COUNTIFS(Table4[Country],Tabela1[[#This Row],[Country]],Table4[Triple Jump Classification],"&gt;0")</f>
        <v>0</v>
      </c>
      <c r="BV96" s="6">
        <f>COUNTIFS(Table5[Country],Tabela1[[#This Row],[Country]],Table5[Triple Jump Classification],"&gt;0")</f>
        <v>0</v>
      </c>
      <c r="BW96" s="6">
        <f>COUNTIFS(Table4[Country],Tabela1[[#This Row],[Country]],Table4[Decathlon Classification],"&gt;0")</f>
        <v>0</v>
      </c>
      <c r="BX96" s="6">
        <f>COUNTIFS(Table5[Country],Tabela1[[#This Row],[Country]],Table5[Heptathlon Classification],"&gt;0")</f>
        <v>0</v>
      </c>
      <c r="BY96" s="6">
        <f>COUNTIFS(Table61[Country],Tabela1[[#This Row],[Country]],Table61[Classification],"&gt;0")</f>
        <v>0</v>
      </c>
      <c r="BZ96" s="6">
        <f>COUNTIFS(Table38[Country],Tabela1[[#This Row],[Country]],Table38[Classification],"&gt;0")</f>
        <v>0</v>
      </c>
      <c r="CA96" s="6">
        <f>COUNTIFS(Table39[Country],Tabela1[[#This Row],[Country]],Table39[Men''s Classification],"&gt;0")</f>
        <v>0</v>
      </c>
      <c r="CB96" s="6">
        <f>COUNTIFS(Table39[Country],Tabela1[[#This Row],[Country]],Table39[Women''s Classification],"&gt;0")</f>
        <v>0</v>
      </c>
      <c r="CC96" s="6">
        <f>COUNTIFS(Table39[Country],Tabela1[[#This Row],[Country]],Table39[Mixed Classification],"&gt;0")</f>
        <v>0</v>
      </c>
      <c r="CD96" s="6">
        <f>COUNTIFS(Table89[Country],Tabela1[[#This Row],[Country]],Table89[Men''s Classification],"&gt;0")</f>
        <v>0</v>
      </c>
      <c r="CE96" s="6">
        <f>COUNTIFS(Table89[Country],Tabela1[[#This Row],[Country]],Table89[Women''s Classification],"&gt;0")</f>
        <v>0</v>
      </c>
      <c r="CF96" s="6">
        <f>COUNTIFS(Table90[Country],Tabela1[[#This Row],[Country]],Table90[Men''s Classification],"&gt;0")</f>
        <v>0</v>
      </c>
      <c r="CG96" s="6">
        <f>COUNTIFS(Table90[Country],Tabela1[[#This Row],[Country]],Table90[Women''s Classification],"&gt;0")</f>
        <v>0</v>
      </c>
      <c r="CH96" s="6">
        <f>COUNTIFS(Table60[Country],Tabela1[[#This Row],[Country]],Table60[Men''s Classification],"&gt;0")</f>
        <v>0</v>
      </c>
      <c r="CI96" s="6">
        <f>COUNTIFS(Table60[Country],Tabela1[[#This Row],[Country]],Table60[Women''s Classification],"&gt;0")</f>
        <v>0</v>
      </c>
      <c r="CJ96" s="6">
        <f>COUNTIFS(Table6[Country],Tabela1[[#This Row],[Country]],Table6[51kg Classification],"&gt;0")</f>
        <v>0</v>
      </c>
      <c r="CK96" s="6">
        <f>COUNTIFS(Table6[Country],Tabela1[[#This Row],[Country]],Table6[57kg Classification],"&gt;0")</f>
        <v>0</v>
      </c>
      <c r="CL96" s="6">
        <f>COUNTIFS(Table6[Country],Tabela1[[#This Row],[Country]],Table6[63.5kg Classification],"&gt;0")</f>
        <v>0</v>
      </c>
      <c r="CM96" s="6">
        <f>COUNTIFS(Table6[Country],Tabela1[[#This Row],[Country]],Table6[71kg Classification],"&gt;0")</f>
        <v>0</v>
      </c>
      <c r="CN96" s="6">
        <f>COUNTIFS(Table6[Country],Tabela1[[#This Row],[Country]],Table6[80kg Classification],"&gt;0")</f>
        <v>0</v>
      </c>
      <c r="CO96" s="6">
        <f>COUNTIFS(Table6[Country],Tabela1[[#This Row],[Country]],Table6[92kg Classification],"&gt;0")</f>
        <v>0</v>
      </c>
      <c r="CP96" s="6">
        <f>COUNTIFS(Table6[Country],Tabela1[[#This Row],[Country]],Table6[Plus 92kg Classification],"&gt;0")</f>
        <v>0</v>
      </c>
      <c r="CQ96" s="6">
        <f>COUNTIFS(Table7[Country],Tabela1[[#This Row],[Country]],Table7[50kg Classification],"&gt;0")</f>
        <v>0</v>
      </c>
      <c r="CR96" s="6">
        <f>COUNTIFS(Table7[Country],Tabela1[[#This Row],[Country]],Table7[54kg Classification],"&gt;0")</f>
        <v>0</v>
      </c>
      <c r="CS96" s="6">
        <f>COUNTIFS(Table7[Country],Tabela1[[#This Row],[Country]],Table7[57kg Classification],"&gt;0")</f>
        <v>0</v>
      </c>
      <c r="CT96" s="6">
        <f>COUNTIFS(Table7[Country],Tabela1[[#This Row],[Country]],Table7[60kg Classification],"&gt;0")</f>
        <v>0</v>
      </c>
      <c r="CU96" s="6">
        <f>COUNTIFS(Table7[Country],Tabela1[[#This Row],[Country]],Table7[66kg Classification],"&gt;0")</f>
        <v>0</v>
      </c>
      <c r="CV96" s="6">
        <f>COUNTIFS(Table7[Country],Tabela1[[#This Row],[Country]],Table7[75kg Classification],"&gt;0")</f>
        <v>0</v>
      </c>
      <c r="CW96" s="6">
        <f>COUNTIFS(Tabela94[Country],Tabela1[[#This Row],[Country]],Tabela94[Classification],"&gt;0")</f>
        <v>0</v>
      </c>
      <c r="CX96" s="6">
        <f>COUNTIFS(Tabela9499[Country],Tabela1[[#This Row],[Country]],Tabela9499[Classification],"&gt;0")</f>
        <v>0</v>
      </c>
      <c r="CY96" s="6">
        <f>COUNTIFS(Tabela107[Country],Tabela1[[#This Row],[Country]],Tabela107[C1 Slalom Classification],"&gt;0")</f>
        <v>0</v>
      </c>
      <c r="CZ96" s="6">
        <f>COUNTIFS(Tabela107122[Country],Tabela1[[#This Row],[Country]],Tabela107122[C1 Slalom Classification],"&gt;0")</f>
        <v>0</v>
      </c>
      <c r="DA96" s="6">
        <f>COUNTIFS(Tabela107[Country],Tabela1[[#This Row],[Country]],Tabela107[K1 Slalom Classification],"&gt;0")</f>
        <v>0</v>
      </c>
      <c r="DB96" s="6">
        <f>COUNTIFS(Tabela107122[Country],Tabela1[[#This Row],[Country]],Tabela107122[K1 Slalom Classification],"&gt;0")</f>
        <v>0</v>
      </c>
      <c r="DC96" s="6">
        <f>COUNTIFS(Tabela107[Country],Tabela1[[#This Row],[Country]],Tabela107[Kayak Cross Slalom Classification],"&gt;0")</f>
        <v>0</v>
      </c>
      <c r="DD96" s="6">
        <f>COUNTIFS(Tabela107122[Country],Tabela1[[#This Row],[Country]],Tabela107122[Kayak Cross Slalom Classification],"&gt;0")</f>
        <v>0</v>
      </c>
      <c r="DE96" s="6">
        <f>COUNTIFS(Table8[Country],Tabela1[[#This Row],[Country]],Table8[C1 200m Classification],"&gt;0")</f>
        <v>0</v>
      </c>
      <c r="DF96" s="6">
        <f>COUNTIFS(Table40[Country],Tabela1[[#This Row],[Country]],Table40[C1 1000m Classification],"&gt;0")</f>
        <v>0</v>
      </c>
      <c r="DG96" s="6">
        <f>COUNTIFS(Table68[Country],Tabela1[[#This Row],[Country]],Table68[Men''s C2 500m Classification],"&gt;0")</f>
        <v>0</v>
      </c>
      <c r="DH96" s="6">
        <f>COUNTIFS(Table68[Country],Tabela1[[#This Row],[Country]],Table68[Women''s C2 500m Classification],"&gt;0")</f>
        <v>0</v>
      </c>
      <c r="DI96" s="6">
        <f>COUNTIFS(Table8[Country],Tabela1[[#This Row],[Country]],Table8[K1 500m Classification],"&gt;0")</f>
        <v>0</v>
      </c>
      <c r="DJ96" s="6">
        <f>COUNTIFS(Table40[Country],Tabela1[[#This Row],[Country]],Table40[K1 1000m Classification],"&gt;0")</f>
        <v>0</v>
      </c>
      <c r="DK96" s="6">
        <f>COUNTIFS(Table68[Country],Tabela1[[#This Row],[Country]],Table68[Men''s K2 500m Classification],"&gt;0")</f>
        <v>0</v>
      </c>
      <c r="DL96" s="6">
        <f>COUNTIFS(Table68[Country],Tabela1[[#This Row],[Country]],Table68[Women''s K2 500m Classification],"&gt;0")</f>
        <v>0</v>
      </c>
      <c r="DM96" s="6">
        <f>COUNTIFS(Table83[Country],Tabela1[[#This Row],[Country]],Table83[Men''s K4 500m Classification],"&gt;0")</f>
        <v>0</v>
      </c>
      <c r="DN96" s="6">
        <f>COUNTIFS(Table83[Country],Tabela1[[#This Row],[Country]],Table83[Women''s K4 500m Classification],"&gt;0")</f>
        <v>0</v>
      </c>
      <c r="DO96" s="6">
        <f>COUNTIFS(Tabela126[Country],Tabela1[[#This Row],[Country]],Tabela126[Classification],"&gt;0")</f>
        <v>0</v>
      </c>
      <c r="DP96" s="6">
        <f>COUNTIFS(Tabela126130[Country],Tabela1[[#This Row],[Country]],Tabela126130[Classification],"&gt;0")</f>
        <v>0</v>
      </c>
      <c r="DQ96" s="6">
        <f>COUNTIFS(Table70[Country],Tabela1[[#This Row],[Country]],Table70[Classification],"&gt;0")</f>
        <v>0</v>
      </c>
      <c r="DR96" s="6">
        <f>COUNTIFS(Table80[Country],Tabela1[[#This Row],[Country]],Table80[Classification],"&gt;0")</f>
        <v>0</v>
      </c>
      <c r="DS96" s="6">
        <f>COUNTIFS(Table66[Country],Tabela1[[#This Row],[Country]],Table66[Classification],"&gt;0")</f>
        <v>0</v>
      </c>
      <c r="DT96" s="6">
        <f>COUNTIFS(Table67[Country],Tabela1[[#This Row],[Country]],Table67[Classification],"&gt;0")</f>
        <v>0</v>
      </c>
      <c r="DU96" s="6">
        <f>COUNTIFS(Table69[Country],Tabela1[[#This Row],[Country]],Table69[Keirin Classification],"&gt;0")</f>
        <v>0</v>
      </c>
      <c r="DV96" s="6">
        <f>COUNTIFS(Table41[Country],Tabela1[[#This Row],[Country]],Table41[Keirin Classification],"&gt;0")</f>
        <v>0</v>
      </c>
      <c r="DW96" s="6">
        <f>COUNTIFS(Table84[Country],Tabela1[[#This Row],[Country]],Table84[Men''s Madison Classification],"&gt;0")</f>
        <v>0</v>
      </c>
      <c r="DX96" s="6">
        <f>COUNTIFS(Table84[Country],Tabela1[[#This Row],[Country]],Table84[Women''s Madison Classification],"&gt;0")</f>
        <v>0</v>
      </c>
      <c r="DY96" s="6">
        <f>COUNTIFS(Table69[Country],Tabela1[[#This Row],[Country]],Table69[Omnium Classification],"&gt;0")</f>
        <v>0</v>
      </c>
      <c r="DZ96" s="6">
        <f>COUNTIFS(Table41[Country],Tabela1[[#This Row],[Country]],Table41[Omnium Classification],"&gt;0")</f>
        <v>0</v>
      </c>
      <c r="EA96" s="6">
        <f>COUNTIFS(Table9[Country],Tabela1[[#This Row],[Country]],Table9[Road Race Classification],"&gt;0")</f>
        <v>0</v>
      </c>
      <c r="EB96" s="6">
        <f>COUNTIFS(Table14[Country],Tabela1[[#This Row],[Country]],Table14[Road Race Classification],"&gt;0")</f>
        <v>0</v>
      </c>
      <c r="EC96" s="6">
        <f>COUNTIFS(Table69[Country],Tabela1[[#This Row],[Country]],Table69[Sprint Classification],"&gt;0")</f>
        <v>0</v>
      </c>
      <c r="ED96" s="6">
        <f>COUNTIFS(Table41[Country],Tabela1[[#This Row],[Country]],Table41[Sprint Classification],"&gt;0")</f>
        <v>0</v>
      </c>
      <c r="EE96" s="6">
        <f>COUNTIFS(Table85[Country],Tabela1[[#This Row],[Country]],Table85[Men''s Sprint Classification],"&gt;0")</f>
        <v>0</v>
      </c>
      <c r="EF96" s="6">
        <f>COUNTIFS(Table85[Country],Tabela1[[#This Row],[Country]],Table85[Women''s Sprint Classification],"&gt;0")</f>
        <v>0</v>
      </c>
      <c r="EG96" s="6">
        <f>COUNTIFS(Table85[Country],Tabela1[[#This Row],[Country]],Table85[Men''s Pursuit Classification],"&gt;0")</f>
        <v>0</v>
      </c>
      <c r="EH96" s="6">
        <f>COUNTIFS(Table85[Country],Tabela1[[#This Row],[Country]],Table85[Women''s Pursuit Classification],"&gt;0")</f>
        <v>0</v>
      </c>
      <c r="EI96" s="6">
        <f>COUNTIFS(Table9[Country],Tabela1[[#This Row],[Country]],Table9[Time-Trial Classification],"&gt;0")</f>
        <v>0</v>
      </c>
      <c r="EJ96" s="6">
        <f>COUNTIFS(Table14[Country],Tabela1[[#This Row],[Country]],Table14[Time-Trial Classification],"&gt;0")</f>
        <v>0</v>
      </c>
      <c r="EK96" s="6">
        <f>COUNTIFS(Table42[Country],Tabela1[[#This Row],[Country]],Table42[Springboard Classification],"&gt;0")</f>
        <v>0</v>
      </c>
      <c r="EL96" s="6">
        <f>COUNTIFS(Table43[Country],Tabela1[[#This Row],[Country]],Table43[Springboard Classification],"&gt;0")</f>
        <v>0</v>
      </c>
      <c r="EM96" s="6">
        <f>COUNTIFS(Table42[Country],Tabela1[[#This Row],[Country]],Table42[Platform Classification],"&gt;0")</f>
        <v>0</v>
      </c>
      <c r="EN96" s="6">
        <f>COUNTIFS(Table43[Country],Tabela1[[#This Row],[Country]],Table43[Platform Classification],"&gt;0")</f>
        <v>0</v>
      </c>
      <c r="EO96" s="6">
        <f>COUNTIFS(Table86[Country],Tabela1[[#This Row],[Country]],Table86[Men''s Synchronized Springboard Classification],"&gt;0")</f>
        <v>0</v>
      </c>
      <c r="EP96" s="6">
        <f>COUNTIFS(Table86[Country],Tabela1[[#This Row],[Country]],Table86[Women''s Synchronized Springboard Classification],"&gt;0")</f>
        <v>0</v>
      </c>
      <c r="EQ96" s="6">
        <f>COUNTIFS(Table86[Country],Tabela1[[#This Row],[Country]],Table86[Men''s Synchronized Platform Classification],"&gt;0")</f>
        <v>0</v>
      </c>
      <c r="ER96" s="6">
        <f>COUNTIFS(Table86[Country],Tabela1[[#This Row],[Country]],Table86[Women''s Synchronized Platform Classification],"&gt;0")</f>
        <v>0</v>
      </c>
      <c r="ES96" s="6">
        <f>COUNTIFS(Table44[Country],Tabela1[[#This Row],[Country]],Table44[Dressage Classification],"&gt;0")</f>
        <v>0</v>
      </c>
      <c r="ET96" s="6">
        <f>COUNTIFS(Table45[Country],Tabela1[[#This Row],[Country]],Table45[Dressage Classification],"&gt;0")</f>
        <v>0</v>
      </c>
      <c r="EU96" s="6">
        <f>COUNTIFS(Table44[Country],Tabela1[[#This Row],[Country]],Table44[Eventing Classification],"&gt;0")</f>
        <v>0</v>
      </c>
      <c r="EV96" s="6">
        <f>COUNTIFS(Table45[Country],Tabela1[[#This Row],[Country]],Table45[Eventing Classification],"&gt;0")</f>
        <v>0</v>
      </c>
      <c r="EW96" s="6">
        <f>COUNTIFS(Table44[Country],Tabela1[[#This Row],[Country]],Table44[Jumping Classification],"&gt;0")</f>
        <v>0</v>
      </c>
      <c r="EX96" s="6">
        <f>COUNTIFS(Table45[Country],Tabela1[[#This Row],[Country]],Table45[Jumping Classification],"&gt;0")</f>
        <v>0</v>
      </c>
      <c r="EY96" s="6">
        <f>COUNTIFS(Table10[Country],Tabela1[[#This Row],[Country]],Table10[Épée Classification],"&gt;0")</f>
        <v>0</v>
      </c>
      <c r="EZ96" s="6">
        <f>COUNTIFS(Table11[Country],Tabela1[[#This Row],[Country]],Table11[Épée Classification],"&gt;0")</f>
        <v>0</v>
      </c>
      <c r="FA96" s="6">
        <f>COUNTIFS(Table46[Country],Tabela1[[#This Row],[Country]],Table46[Men''s Épée Classification],"&gt;0")</f>
        <v>0</v>
      </c>
      <c r="FB96" s="6">
        <f>COUNTIFS(Table46[Country],Tabela1[[#This Row],[Country]],Table46[Women''s Épée Classification],"&gt;0")</f>
        <v>0</v>
      </c>
      <c r="FC96" s="6">
        <f>COUNTIFS(Table10[Country],Tabela1[[#This Row],[Country]],Table10[Foil Classification],"&gt;0")</f>
        <v>0</v>
      </c>
      <c r="FD96" s="6">
        <f>COUNTIFS(Table11[Country],Tabela1[[#This Row],[Country]],Table11[Foil Classification],"&gt;0")</f>
        <v>0</v>
      </c>
      <c r="FE96" s="6">
        <f>COUNTIFS(Table46[Country],Tabela1[[#This Row],[Country]],Table46[Men''s Foil Classification],"&gt;0")</f>
        <v>0</v>
      </c>
      <c r="FF96" s="6">
        <f>COUNTIFS(Table46[Country],Tabela1[[#This Row],[Country]],Table46[Women''s Foil Classification],"&gt;0")</f>
        <v>0</v>
      </c>
      <c r="FG96" s="6">
        <f>COUNTIFS(Table10[Country],Tabela1[[#This Row],[Country]],Table10[Sabre Classification],"&gt;0")</f>
        <v>0</v>
      </c>
      <c r="FH96" s="6">
        <f>COUNTIFS(Table11[Country],Tabela1[[#This Row],[Country]],Table11[Sabre Classification],"&gt;0")</f>
        <v>0</v>
      </c>
      <c r="FI96" s="6">
        <f>COUNTIFS(Table46[Country],Tabela1[[#This Row],[Country]],Table46[Men''s Sabre Classification],"&gt;0")</f>
        <v>0</v>
      </c>
      <c r="FJ96" s="6">
        <f>COUNTIFS(Table46[Country],Tabela1[[#This Row],[Country]],Table46[Women''s Sabre Classification],"&gt;0")</f>
        <v>0</v>
      </c>
      <c r="FK96" s="6">
        <f>COUNTIFS(Table91[Country],Tabela1[[#This Row],[Country]],Table91[Men''s Classification],"&gt;0")</f>
        <v>0</v>
      </c>
      <c r="FL96" s="6">
        <f>COUNTIFS(Table91[Country],Tabela1[[#This Row],[Country]],Table91[Women''s Classification],"&gt;0")</f>
        <v>0</v>
      </c>
      <c r="FM96" s="6">
        <f>COUNTIFS(Table9194[Country],Tabela1[[#This Row],[Country]],Table9194[Men''s Classification],"&gt;0")</f>
        <v>0</v>
      </c>
      <c r="FN96" s="6">
        <f>COUNTIFS(Table9194[Country],Tabela1[[#This Row],[Country]],Table9194[Women''s Classification],"&gt;0")</f>
        <v>0</v>
      </c>
      <c r="FO96" s="6">
        <f>COUNTIFS(Table71[Country],Tabela1[[#This Row],[Country]],Table71[Classification],"&gt;0")</f>
        <v>0</v>
      </c>
      <c r="FP96" s="6">
        <f>COUNTIFS(Table62[Country],Tabela1[[#This Row],[Country]],Table62[Classification],"&gt;0")</f>
        <v>0</v>
      </c>
      <c r="FQ96" s="6">
        <f>COUNTIFS(Table47[Country],Tabela1[[#This Row],[Country]],Table47[All-Around Classification],"&gt;0")</f>
        <v>0</v>
      </c>
      <c r="FR96" s="6">
        <f>COUNTIFS(Table48[Country],Tabela1[[#This Row],[Country]],Table48[All-Around Classification],"&gt;0")</f>
        <v>0</v>
      </c>
      <c r="FS96" s="6">
        <f>COUNTIFS(Table81[Country],Tabela1[[#This Row],[Country]],Table81[Men''s All-Around Classification],"&gt;0")</f>
        <v>0</v>
      </c>
      <c r="FT96" s="6">
        <f>COUNTIFS(Table81[Country],Tabela1[[#This Row],[Country]],Table81[Women''s All-Around Classification],"&gt;0")</f>
        <v>0</v>
      </c>
      <c r="FU96" s="6">
        <f>COUNTIFS(Table48[Country],Tabela1[[#This Row],[Country]],Table48[Balance Beam Classification],"&gt;0")</f>
        <v>0</v>
      </c>
      <c r="FV96" s="6">
        <f>COUNTIFS(Table47[Country],Tabela1[[#This Row],[Country]],Table47[Floor Exercise Classification],"&gt;0")</f>
        <v>0</v>
      </c>
      <c r="FW96" s="6">
        <f>COUNTIFS(Table48[Country],Tabela1[[#This Row],[Country]],Table48[Floor Exercise Classification],"&gt;0")</f>
        <v>0</v>
      </c>
      <c r="FX96" s="6">
        <f>COUNTIFS(Table47[Country],Tabela1[[#This Row],[Country]],Table47[Horizontal Bar Classification],"&gt;0")</f>
        <v>0</v>
      </c>
      <c r="FY96" s="6">
        <f>COUNTIFS(Table47[Country],Tabela1[[#This Row],[Country]],Table47[Parallel Bars Classification],"&gt;0")</f>
        <v>0</v>
      </c>
      <c r="FZ96" s="6">
        <f>COUNTIFS(Table47[Country],Tabela1[[#This Row],[Country]],Table47[Pommel Horse Classification],"&gt;0")</f>
        <v>0</v>
      </c>
      <c r="GA96" s="6">
        <f>COUNTIFS(Table47[Country],Tabela1[[#This Row],[Country]],Table47[Rings Classification],"&gt;0")</f>
        <v>0</v>
      </c>
      <c r="GB96" s="6">
        <f>COUNTIFS(Tabela132[Country],Tabela1[[#This Row],[Country]],Tabela132[Classification],"&gt;0")</f>
        <v>0</v>
      </c>
      <c r="GC96" s="6">
        <f>COUNTIFS(Tabela139[Country],Tabela1[[#This Row],[Country]],Tabela139[Classification],"&gt;0")</f>
        <v>0</v>
      </c>
      <c r="GD96" s="6">
        <f>COUNTIFS(Table48[Country],Tabela1[[#This Row],[Country]],Table48[Uneven Bars Classification],"&gt;0")</f>
        <v>0</v>
      </c>
      <c r="GE96" s="6">
        <f>COUNTIFS(Table47[Country],Tabela1[[#This Row],[Country]],Table47[Vault Classification],"&gt;0")</f>
        <v>0</v>
      </c>
      <c r="GF96" s="6">
        <f>COUNTIFS(Table48[Country],Tabela1[[#This Row],[Country]],Table48[Vault Classification],"&gt;0")</f>
        <v>0</v>
      </c>
      <c r="GG96" s="6">
        <f>COUNTIFS(Table919496[Country],Tabela1[[#This Row],[Country]],Table919496[Men''s Classification],"&gt;0")</f>
        <v>0</v>
      </c>
      <c r="GH96" s="6">
        <f>COUNTIFS(Table919496[Country],Tabela1[[#This Row],[Country]],Table919496[Women''s Classification],"&gt;0")</f>
        <v>0</v>
      </c>
      <c r="GI96" s="6">
        <f>COUNTIFS(Table12[Country],Tabela1[[#This Row],[Country]],Table12[60kg Classification],"&gt;0")</f>
        <v>0</v>
      </c>
      <c r="GJ96" s="6">
        <f>COUNTIFS(Table12[Country],Tabela1[[#This Row],[Country]],Table12[66kg Classification],"&gt;0")</f>
        <v>0</v>
      </c>
      <c r="GK96" s="6">
        <f>COUNTIFS(Table12[Country],Tabela1[[#This Row],[Country]],Table12[73kg Classification],"&gt;0")</f>
        <v>0</v>
      </c>
      <c r="GL96" s="6">
        <f>COUNTIFS(Table12[Country],Tabela1[[#This Row],[Country]],Table12[81kg Classification],"&gt;0")</f>
        <v>0</v>
      </c>
      <c r="GM96" s="6">
        <f>COUNTIFS(Table12[Country],Tabela1[[#This Row],[Country]],Table12[90kg Classification],"&gt;0")</f>
        <v>0</v>
      </c>
      <c r="GN96" s="6">
        <f>COUNTIFS(Table12[Country],Tabela1[[#This Row],[Country]],Table12[100kg Classification],"&gt;0")</f>
        <v>0</v>
      </c>
      <c r="GO96" s="6">
        <f>COUNTIFS(Table12[Country],Tabela1[[#This Row],[Country]],Table12[Plus 100kg Classification],"&gt;0")</f>
        <v>0</v>
      </c>
      <c r="GP96" s="6">
        <f>COUNTIFS(Table13[Country],Tabela1[[#This Row],[Country]],Table13[48kg Classification],"&gt;0")</f>
        <v>0</v>
      </c>
      <c r="GQ96" s="6">
        <f>COUNTIFS(Table13[Country],Tabela1[[#This Row],[Country]],Table13[52kg Classification],"&gt;0")</f>
        <v>0</v>
      </c>
      <c r="GR96" s="6">
        <f>COUNTIFS(Table13[Country],Tabela1[[#This Row],[Country]],Table13[57kg Classification],"&gt;0")</f>
        <v>0</v>
      </c>
      <c r="GS96" s="6">
        <f>COUNTIFS(Table13[Country],Tabela1[[#This Row],[Country]],Table13[63kg Classification],"&gt;0")</f>
        <v>0</v>
      </c>
      <c r="GT96" s="6">
        <f>COUNTIFS(Table13[Country],Tabela1[[#This Row],[Country]],Table13[70kg Classification],"&gt;0")</f>
        <v>0</v>
      </c>
      <c r="GU96" s="6">
        <f>COUNTIFS(Table13[Country],Tabela1[[#This Row],[Country]],Table13[78kg Classification],"&gt;0")</f>
        <v>0</v>
      </c>
      <c r="GV96" s="6">
        <f>COUNTIFS(Table13[Country],Tabela1[[#This Row],[Country]],Table13[Plus 78kg Classification],"&gt;0")</f>
        <v>1</v>
      </c>
      <c r="GW96" s="6">
        <f>COUNTIFS(Table82[Country],Tabela1[[#This Row],[Country]],Table82[Mixed Classification],"&gt;0")</f>
        <v>0</v>
      </c>
      <c r="GX96" s="6">
        <f>COUNTIFS(Table51[Country],Tabela1[[#This Row],[Country]],Table51[Classification],"&gt;0")</f>
        <v>0</v>
      </c>
      <c r="GY96" s="6">
        <f>COUNTIFS(Table52[Country],Tabela1[[#This Row],[Country]],Table52[Classification],"&gt;0")</f>
        <v>0</v>
      </c>
      <c r="GZ96" s="6">
        <f>COUNTIFS(Table32[Country],Tabela1[[#This Row],[Country]],Table32[All-Around Classification],"&gt;0")</f>
        <v>0</v>
      </c>
      <c r="HA96" s="6">
        <f>COUNTIFS(Table49[Country],Tabela1[[#This Row],[Country]],Table49[All-Around Classification],"&gt;0")</f>
        <v>0</v>
      </c>
      <c r="HB96" s="6">
        <f>COUNTIFS(Table26[Country],Tabela1[[#This Row],[Country]],Table26[Single Sculls Classification],"&gt;0")</f>
        <v>0</v>
      </c>
      <c r="HC96" s="6">
        <f>COUNTIFS(Table63[Country],Tabela1[[#This Row],[Country]],Table63[Single Sculls Classification],"&gt;0")</f>
        <v>0</v>
      </c>
      <c r="HD96" s="6">
        <f>COUNTIFS(Table16[Country],Tabela1[[#This Row],[Country]],Table16[Men''s Double Sculls Classification],"&gt;0")</f>
        <v>0</v>
      </c>
      <c r="HE96" s="6">
        <f>COUNTIFS(Table16[Country],Tabela1[[#This Row],[Country]],Table16[Women''s Double Sculls Classification],"&gt;0")</f>
        <v>0</v>
      </c>
      <c r="HF96" s="6">
        <f>COUNTIFS(Table72[Country],Tabela1[[#This Row],[Country]],Table72[Men''s Quadruple Sculls Classification],"&gt;0")</f>
        <v>0</v>
      </c>
      <c r="HG96" s="6">
        <f>COUNTIFS(Table72[Country],Tabela1[[#This Row],[Country]],Table72[Women''s Quadruple Sculls Classification],"&gt;0")</f>
        <v>0</v>
      </c>
      <c r="HH96" s="6">
        <f>COUNTIFS(Table16[Country],Tabela1[[#This Row],[Country]],Table16[Men''s Coxless Pairs Classification],"&gt;0")</f>
        <v>0</v>
      </c>
      <c r="HI96" s="6">
        <f>COUNTIFS(Table16[Country],Tabela1[[#This Row],[Country]],Table16[Women''s Coxless Pairs Classification],"&gt;0")</f>
        <v>0</v>
      </c>
      <c r="HJ96" s="6">
        <f>COUNTIFS(Table72[Country],Tabela1[[#This Row],[Country]],Table72[Men''s Coxless Fours Classification],"&gt;0")</f>
        <v>0</v>
      </c>
      <c r="HK96" s="6">
        <f>COUNTIFS(Table72[Country],Tabela1[[#This Row],[Country]],Table72[Women''s Coxless Fours Classification],"&gt;0")</f>
        <v>0</v>
      </c>
      <c r="HL96" s="6">
        <f>COUNTIFS(Table72[Country],Tabela1[[#This Row],[Country]],Table72[Men''s Eights Classification],"&gt;0")</f>
        <v>0</v>
      </c>
      <c r="HM96" s="6">
        <f>COUNTIFS(Table72[Country],Tabela1[[#This Row],[Country]],Table72[Women''s Eights Classification],"&gt;0")</f>
        <v>0</v>
      </c>
      <c r="HN96" s="6">
        <f>COUNTIFS(Table16[Country],Tabela1[[#This Row],[Country]],Table16[Men''s Lwt. Double Sculls Classification],"&gt;0")</f>
        <v>0</v>
      </c>
      <c r="HO96" s="6">
        <f>COUNTIFS(Table16[Country],Tabela1[[#This Row],[Country]],Table16[Women''s Lwt. Double Sculls Classification],"&gt;0")</f>
        <v>0</v>
      </c>
      <c r="HP96" s="6">
        <f>COUNTIFS(Table91949698[Country],Tabela1[[#This Row],[Country]],Table91949698[Men''s Classification],"&gt;0")</f>
        <v>0</v>
      </c>
      <c r="HQ96" s="6">
        <f>COUNTIFS(Table91949698[Country],Tabela1[[#This Row],[Country]],Table91949698[Women''s Classification],"&gt;0")</f>
        <v>0</v>
      </c>
      <c r="HR96" s="6">
        <f>COUNTIFS(Table25[Country],Tabela1[[#This Row],[Country]],Table25[Mixed 470 Classification],"&gt;0")</f>
        <v>0</v>
      </c>
      <c r="HS96" s="6">
        <f>COUNTIFS(Table25[Country],Tabela1[[#This Row],[Country]],Table25[Men''s 49er Classification],"&gt;0")</f>
        <v>0</v>
      </c>
      <c r="HT96" s="6">
        <f>COUNTIFS(Table25[Country],Tabela1[[#This Row],[Country]],Table25[Women''s 49er FX Classification],"&gt;0")</f>
        <v>0</v>
      </c>
      <c r="HU96" s="6">
        <f>COUNTIFS(Table17[Country],Tabela1[[#This Row],[Country]],Table17[Formula Kite Classification],"&gt;0")</f>
        <v>0</v>
      </c>
      <c r="HV96" s="6">
        <f>COUNTIFS(Table18[Country],Tabela1[[#This Row],[Country]],Table18[Formula Kite Classification],"&gt;0")</f>
        <v>0</v>
      </c>
      <c r="HW96" s="6">
        <f>COUNTIFS(Table17[Country],Tabela1[[#This Row],[Country]],Table17[ILCA 7 Classification],"&gt;0")</f>
        <v>0</v>
      </c>
      <c r="HX96" s="6">
        <f>COUNTIFS(Table18[Country],Tabela1[[#This Row],[Country]],Table18[ILCA 6 Classification],"&gt;0")</f>
        <v>0</v>
      </c>
      <c r="HY96" s="6">
        <f>COUNTIFS(Table17[Country],Tabela1[[#This Row],[Country]],Table17[IQFoil Classification],"&gt;0")</f>
        <v>0</v>
      </c>
      <c r="HZ96" s="6">
        <f>COUNTIFS(Table18[Country],Tabela1[[#This Row],[Country]],Table18[IQFoil Classification],"&gt;0")</f>
        <v>0</v>
      </c>
      <c r="IA96" s="6">
        <f>COUNTIFS(Table25[Country],Tabela1[[#This Row],[Country]],Table25[Mixed Nacra 17 Classification],"&gt;0")</f>
        <v>0</v>
      </c>
      <c r="IB96" s="6">
        <f>COUNTIFS(Table53[Country],Tabela1[[#This Row],[Country]],Table53[10m Air Pistol Classification],"&gt;0")</f>
        <v>0</v>
      </c>
      <c r="IC96" s="6">
        <f>COUNTIFS(Table19[Country],Tabela1[[#This Row],[Country]],Table19[10m Air Pistol Classification],"&gt;0")</f>
        <v>0</v>
      </c>
      <c r="ID96" s="6">
        <f>COUNTIFS(Table54[Country],Tabela1[[#This Row],[Country]],Table54[Mixed 10m Air Pistol Team Classification],"&gt;0")</f>
        <v>0</v>
      </c>
      <c r="IE96" s="6">
        <f>COUNTIFS(Table53[Country],Tabela1[[#This Row],[Country]],Table53[10m Air Rifle Classification],"&gt;0")</f>
        <v>0</v>
      </c>
      <c r="IF96" s="6">
        <f>COUNTIFS(Table19[Country],Tabela1[[#This Row],[Country]],Table19[10m Air Rifle Classification],"&gt;0")</f>
        <v>0</v>
      </c>
      <c r="IG96" s="6">
        <f>COUNTIFS(Table54[Country],Tabela1[[#This Row],[Country]],Table54[Mixed 10m Air Rifle Team Classification],"&gt;0")</f>
        <v>0</v>
      </c>
      <c r="IH96" s="6">
        <f>COUNTIFS(Table53[Country],Tabela1[[#This Row],[Country]],Table53[25m Rapid Fire Pistol Classification],"&gt;0")</f>
        <v>0</v>
      </c>
      <c r="II96" s="6">
        <f>COUNTIFS(Table19[Country],Tabela1[[#This Row],[Country]],Table19[25m Pistol Classification],"&gt;0")</f>
        <v>0</v>
      </c>
      <c r="IJ96" s="6">
        <f>COUNTIFS(Table53[Country],Tabela1[[#This Row],[Country]],Table53[50m Rifle 3 Positions Classification],"&gt;0")</f>
        <v>0</v>
      </c>
      <c r="IK96" s="6">
        <f>COUNTIFS(Table19[Country],Tabela1[[#This Row],[Country]],Table19[50m Rifle 3 Positions Classification],"&gt;0")</f>
        <v>0</v>
      </c>
      <c r="IL96" s="6">
        <f>COUNTIFS(Table53[Country],Tabela1[[#This Row],[Country]],Table53[Skeet Classification],"&gt;0")</f>
        <v>0</v>
      </c>
      <c r="IM96" s="6">
        <f>COUNTIFS(Table19[Country],Tabela1[[#This Row],[Country]],Table19[Skeet Classification],"&gt;0")</f>
        <v>0</v>
      </c>
      <c r="IN96" s="6">
        <f>COUNTIFS(Table54[Country],Tabela1[[#This Row],[Country]],Table54[Mixed Skeet Team Classification],"&gt;0")</f>
        <v>0</v>
      </c>
      <c r="IO96" s="6">
        <f>COUNTIFS(Table53[Country],Tabela1[[#This Row],[Country]],Table53[Trap Classification],"&gt;0")</f>
        <v>0</v>
      </c>
      <c r="IP96" s="6">
        <f>COUNTIFS(Table19[Country],Tabela1[[#This Row],[Country]],Table19[Trap Classification],"&gt;0")</f>
        <v>0</v>
      </c>
      <c r="IQ96" s="6">
        <f>COUNTIFS(Table73[Country],Tabela1[[#This Row],[Country]],Table73[Park Classification],"&gt;0")</f>
        <v>0</v>
      </c>
      <c r="IR96" s="6">
        <f>COUNTIFS(Table74[Country],Tabela1[[#This Row],[Country]],Table74[Park Classification],"&gt;0")</f>
        <v>0</v>
      </c>
      <c r="IS96" s="6">
        <f>COUNTIFS(Table73[Country],Tabela1[[#This Row],[Country]],Table73[Street Classification],"&gt;0")</f>
        <v>0</v>
      </c>
      <c r="IT96" s="6">
        <f>COUNTIFS(Table74[Country],Tabela1[[#This Row],[Country]],Table74[Street Classification],"&gt;0")</f>
        <v>0</v>
      </c>
      <c r="IU96" s="6">
        <f>COUNTIFS(Table75[Country],Tabela1[[#This Row],[Country]],Table75[Boulder and Lead Classification],"&gt;0")</f>
        <v>0</v>
      </c>
      <c r="IV96" s="6">
        <f>COUNTIFS(Table76[Country],Tabela1[[#This Row],[Country]],Table76[Boulder and Lead Classification],"&gt;0")</f>
        <v>0</v>
      </c>
      <c r="IW96" s="6">
        <f>COUNTIFS(Table75[Country],Tabela1[[#This Row],[Country]],Table75[Speed Classification],"&gt;0")</f>
        <v>0</v>
      </c>
      <c r="IX96" s="6">
        <f>COUNTIFS(Table76[Country],Tabela1[[#This Row],[Country]],Table76[Speed Classification],"&gt;0")</f>
        <v>0</v>
      </c>
      <c r="IY96" s="6">
        <f>COUNTIFS(Table64[Country],Tabela1[[#This Row],[Country]],Table64[Shortboard Classification],"&gt;0")</f>
        <v>0</v>
      </c>
      <c r="IZ96" s="6">
        <f>COUNTIFS(Table77[Country],Tabela1[[#This Row],[Country]],Table77[Shortboard Classification],"&gt;0")</f>
        <v>0</v>
      </c>
      <c r="JA96" s="6">
        <f>COUNTIFS(Table20[Country],Tabela1[[#This Row],[Country]],Table20[50m Freestyle Classification],"&gt;0")</f>
        <v>0</v>
      </c>
      <c r="JB96" s="6">
        <f>COUNTIFS(Table21[Country],Tabela1[[#This Row],[Country]],Table21[50m Freestyle Classification],"&gt;0")</f>
        <v>1</v>
      </c>
      <c r="JC96" s="6">
        <f>COUNTIFS(Table20[Country],Tabela1[[#This Row],[Country]],Table20[100m Freestyle Classification],"&gt;0")</f>
        <v>0</v>
      </c>
      <c r="JD96" s="6">
        <f>COUNTIFS(Table21[Country],Tabela1[[#This Row],[Country]],Table21[100m Freestyle Classification],"&gt;0")</f>
        <v>0</v>
      </c>
      <c r="JE96" s="6">
        <f>COUNTIFS(Table20[Country],Tabela1[[#This Row],[Country]],Table20[200m Freestyle Classification],"&gt;0")</f>
        <v>0</v>
      </c>
      <c r="JF96" s="6">
        <f>COUNTIFS(Table21[Country],Tabela1[[#This Row],[Country]],Table21[200m Freestyle Classification],"&gt;0")</f>
        <v>0</v>
      </c>
      <c r="JG96" s="6">
        <f>COUNTIFS(Table20[Country],Tabela1[[#This Row],[Country]],Table20[400m Freestyle Classification],"&gt;0")</f>
        <v>0</v>
      </c>
      <c r="JH96" s="6">
        <f>COUNTIFS(Table21[Country],Tabela1[[#This Row],[Country]],Table21[400m Freestyle Classification],"&gt;0")</f>
        <v>0</v>
      </c>
      <c r="JI96" s="6">
        <f>COUNTIFS(Table20[Country],Tabela1[[#This Row],[Country]],Table20[800m Freestyle Classification],"&gt;0")</f>
        <v>0</v>
      </c>
      <c r="JJ96" s="6">
        <f>COUNTIFS(Table21[Country],Tabela1[[#This Row],[Country]],Table21[800m Freestyle Classification],"&gt;0")</f>
        <v>0</v>
      </c>
      <c r="JK96" s="6">
        <f>COUNTIFS(Table20[Country],Tabela1[[#This Row],[Country]],Table20[1500m Freestyle Classification],"&gt;0")</f>
        <v>0</v>
      </c>
      <c r="JL96" s="6">
        <f>COUNTIFS(Table21[Country],Tabela1[[#This Row],[Country]],Table21[1500m Freestyle Classification],"&gt;0")</f>
        <v>0</v>
      </c>
      <c r="JM96" s="6">
        <f>COUNTIFS(Table20[Country],Tabela1[[#This Row],[Country]],Table20[100m Backstroke Classification],"&gt;0")</f>
        <v>0</v>
      </c>
      <c r="JN96" s="6">
        <f>COUNTIFS(Table21[Country],Tabela1[[#This Row],[Country]],Table21[100m Backstroke Classification],"&gt;0")</f>
        <v>0</v>
      </c>
      <c r="JO96" s="6">
        <f>COUNTIFS(Table20[Country],Tabela1[[#This Row],[Country]],Table20[200m Backstroke Classification],"&gt;0")</f>
        <v>0</v>
      </c>
      <c r="JP96" s="6">
        <f>COUNTIFS(Table21[Country],Tabela1[[#This Row],[Country]],Table21[200m Backstroke Classification],"&gt;0")</f>
        <v>0</v>
      </c>
      <c r="JQ96" s="6">
        <f>COUNTIFS(Table20[Country],Tabela1[[#This Row],[Country]],Table20[100m Breaststroke Classification],"&gt;0")</f>
        <v>0</v>
      </c>
      <c r="JR96" s="6">
        <f>COUNTIFS(Table21[Country],Tabela1[[#This Row],[Country]],Table21[100m Breaststroke Classification],"&gt;0")</f>
        <v>0</v>
      </c>
      <c r="JS96" s="6">
        <f>COUNTIFS(Table20[Country],Tabela1[[#This Row],[Country]],Table20[200m Breaststroke Classification],"&gt;0")</f>
        <v>0</v>
      </c>
      <c r="JT96" s="6">
        <f>COUNTIFS(Table21[Country],Tabela1[[#This Row],[Country]],Table21[200m Breaststroke Classification],"&gt;0")</f>
        <v>0</v>
      </c>
      <c r="JU96" s="6">
        <f>COUNTIFS(Table20[Country],Tabela1[[#This Row],[Country]],Table20[100m Butterfly Classification],"&gt;0")</f>
        <v>0</v>
      </c>
      <c r="JV96" s="6">
        <f>COUNTIFS(Table21[Country],Tabela1[[#This Row],[Country]],Table21[100m Butterfly Classification],"&gt;0")</f>
        <v>0</v>
      </c>
      <c r="JW96" s="6">
        <f>COUNTIFS(Table20[Country],Tabela1[[#This Row],[Country]],Table20[200m Butterfly Classification],"&gt;0")</f>
        <v>0</v>
      </c>
      <c r="JX96" s="6">
        <f>COUNTIFS(Table21[Country],Tabela1[[#This Row],[Country]],Table21[200m Butterfly Classification],"&gt;0")</f>
        <v>0</v>
      </c>
      <c r="JY96" s="6">
        <f>COUNTIFS(Table20[Country],Tabela1[[#This Row],[Country]],Table20[200m Medley Classification],"&gt;0")</f>
        <v>0</v>
      </c>
      <c r="JZ96" s="6">
        <f>COUNTIFS(Table21[Country],Tabela1[[#This Row],[Country]],Table21[200m Medley Classification],"&gt;0")</f>
        <v>0</v>
      </c>
      <c r="KA96" s="6">
        <f>COUNTIFS(Table20[Country],Tabela1[[#This Row],[Country]],Table20[400m Medley Classification],"&gt;0")</f>
        <v>0</v>
      </c>
      <c r="KB96" s="6">
        <f>COUNTIFS(Table21[Country],Tabela1[[#This Row],[Country]],Table21[400m Medley Classification],"&gt;0")</f>
        <v>0</v>
      </c>
      <c r="KC96" s="6">
        <f>COUNTIFS(Table78[Country],Tabela1[[#This Row],[Country]],Table78[Men''s 4x100m Freestyle Relay Classification],"&gt;0")</f>
        <v>0</v>
      </c>
      <c r="KD96" s="6">
        <f>COUNTIFS(Table78[Country],Tabela1[[#This Row],[Country]],Table78[Women''s 4x100m Freestyle Relay Classification],"&gt;0")</f>
        <v>0</v>
      </c>
      <c r="KE96" s="6">
        <f>COUNTIFS(Table78[Country],Tabela1[[#This Row],[Country]],Table78[Men''s 4x200m Freestyle Relay Classification],"&gt;0")</f>
        <v>0</v>
      </c>
      <c r="KF96" s="6">
        <f>COUNTIFS(Table78[Country],Tabela1[[#This Row],[Country]],Table78[Women''s 4x200m Freestyle Relay Classification],"&gt;0")</f>
        <v>0</v>
      </c>
      <c r="KG96" s="6">
        <f>COUNTIFS(Table78[Country],Tabela1[[#This Row],[Country]],Table78[Men''s 4x100m Medley Relay Classification],"&gt;0")</f>
        <v>0</v>
      </c>
      <c r="KH96" s="6">
        <f>COUNTIFS(Table78[Country],Tabela1[[#This Row],[Country]],Table78[Women''s 4x100m Medley Relay Classification],"&gt;0")</f>
        <v>0</v>
      </c>
      <c r="KI96" s="6">
        <f>COUNTIFS(Table78[Country],Tabela1[[#This Row],[Country]],Table78[Mixed 4x100m Medley Relay Classification],"&gt;0")</f>
        <v>0</v>
      </c>
      <c r="KJ96" s="6">
        <f>COUNTIFS(Table20[Country],Tabela1[[#This Row],[Country]],Table20[10km Open Water Classification],"&gt;0")</f>
        <v>0</v>
      </c>
      <c r="KK96" s="6">
        <f>COUNTIFS(Table21[Country],Tabela1[[#This Row],[Country]],Table21[10km Open Water Classification],"&gt;0")</f>
        <v>0</v>
      </c>
      <c r="KL96" s="6">
        <f>COUNTIFS(Table22[Country],Tabela1[[#This Row],[Country]],Table22[Classification],"&gt;0")</f>
        <v>0</v>
      </c>
      <c r="KM96" s="6">
        <f>COUNTIFS(Table30[Country],Tabela1[[#This Row],[Country]],Table30[Classification],"&gt;0")</f>
        <v>1</v>
      </c>
      <c r="KN96" s="6">
        <f>COUNTIFS(Table55[Country],Tabela1[[#This Row],[Country]],Table55[Men''s Classification],"&gt;0")</f>
        <v>0</v>
      </c>
      <c r="KO96" s="6">
        <f>COUNTIFS(Table55[Country],Tabela1[[#This Row],[Country]],Table55[Women''s Classification],"&gt;0")</f>
        <v>0</v>
      </c>
      <c r="KP96" s="6">
        <f>COUNTIFS(Table56[Country],Tabela1[[#This Row],[Country]],Table56[Mixed Classification],"&gt;0")</f>
        <v>0</v>
      </c>
      <c r="KQ96" s="6">
        <f>COUNTIFS(Table29[Country],Tabela1[[#This Row],[Country]],Table29[58kg Classification],"&gt;0")</f>
        <v>0</v>
      </c>
      <c r="KR96" s="6">
        <f>COUNTIFS(Table29[Country],Tabela1[[#This Row],[Country]],Table29[68kg Classification],"&gt;0")</f>
        <v>0</v>
      </c>
      <c r="KS96" s="6">
        <f>COUNTIFS(Table29[Country],Tabela1[[#This Row],[Country]],Table29[80kg Classification],"&gt;0")</f>
        <v>0</v>
      </c>
      <c r="KT96" s="6">
        <f>COUNTIFS(Table29[Country],Tabela1[[#This Row],[Country]],Table29[Plus 80kg Classification],"&gt;0")</f>
        <v>0</v>
      </c>
      <c r="KU96" s="6">
        <f>COUNTIFS(Table34[Country],Tabela1[[#This Row],[Country]],Table34[49kg Classification],"&gt;0")</f>
        <v>0</v>
      </c>
      <c r="KV96" s="6">
        <f>COUNTIFS(Table34[Country],Tabela1[[#This Row],[Country]],Table34[57kg Classification],"&gt;0")</f>
        <v>0</v>
      </c>
      <c r="KW96" s="6">
        <f>COUNTIFS(Table34[Country],Tabela1[[#This Row],[Country]],Table34[67kg Classification],"&gt;0")</f>
        <v>0</v>
      </c>
      <c r="KX96" s="6">
        <f>COUNTIFS(Table34[Country],Tabela1[[#This Row],[Country]],Table34[Plus 67kg Classification],"&gt;0")</f>
        <v>0</v>
      </c>
      <c r="KY96" s="6">
        <f>COUNTIFS(Table57[Country],Tabela1[[#This Row],[Country]],Table57[Classification],"&gt;0")</f>
        <v>0</v>
      </c>
      <c r="KZ96" s="6">
        <f>COUNTIFS(Table58[Country],Tabela1[[#This Row],[Country]],Table58[Classification],"&gt;0")</f>
        <v>0</v>
      </c>
      <c r="LA96" s="6">
        <f>COUNTIFS(Table79[Country],Tabela1[[#This Row],[Country]],Table79[Men''s Classification],"&gt;0")</f>
        <v>0</v>
      </c>
      <c r="LB96" s="6">
        <f>COUNTIFS(Table79[Country],Tabela1[[#This Row],[Country]],Table79[Women''s Classification],"&gt;0")</f>
        <v>0</v>
      </c>
      <c r="LC96" s="6">
        <f>COUNTIFS(Table79[Country],Tabela1[[#This Row],[Country]],Table79[Mixed Classification],"&gt;0")</f>
        <v>0</v>
      </c>
      <c r="LD96" s="6">
        <f>COUNTIFS(Table65[Country],Tabela1[[#This Row],[Country]],Table65[Classification],"&gt;0")</f>
        <v>0</v>
      </c>
      <c r="LE96" s="6">
        <f>COUNTIFS(Table59[Country],Tabela1[[#This Row],[Country]],Table59[Classification],"&gt;0")</f>
        <v>0</v>
      </c>
      <c r="LF96" s="6">
        <f>COUNTIFS(Table87[Country],Tabela1[[#This Row],[Country]],Table87[Mixed Relay Classification],"&gt;0")</f>
        <v>0</v>
      </c>
      <c r="LG96" s="6">
        <f>COUNTIFS(Table91949698100[Country],Tabela1[[#This Row],[Country]],Table91949698100[Men''s Classification],"&gt;0")</f>
        <v>0</v>
      </c>
      <c r="LH96" s="6">
        <f>COUNTIFS(Table91949698100[Country],Tabela1[[#This Row],[Country]],Table91949698100[Women''s Classification],"&gt;0")</f>
        <v>0</v>
      </c>
      <c r="LI96" s="6">
        <f>COUNTIFS(Table91949698100102[Country],Tabela1[[#This Row],[Country]],Table91949698100102[Men''s Classification],"&gt;0")</f>
        <v>0</v>
      </c>
      <c r="LJ96" s="6">
        <f>COUNTIFS(Table91949698100102[Country],Tabela1[[#This Row],[Country]],Table91949698100102[Women''s Classification],"&gt;0")</f>
        <v>0</v>
      </c>
      <c r="LK96" s="6">
        <f>COUNTIFS(Table23[Country],Tabela1[[#This Row],[Country]],Table23[61kg Classification],"&gt;0")</f>
        <v>0</v>
      </c>
      <c r="LL96" s="6">
        <f>COUNTIFS(Table23[Country],Tabela1[[#This Row],[Country]],Table23[73kg Classification],"&gt;0")</f>
        <v>0</v>
      </c>
      <c r="LM96" s="6">
        <f>COUNTIFS(Table23[Country],Tabela1[[#This Row],[Country]],Table23[89kg Classification],"&gt;0")</f>
        <v>0</v>
      </c>
      <c r="LN96" s="6">
        <f>COUNTIFS(Table23[Country],Tabela1[[#This Row],[Country]],Table23[102kg Classification],"&gt;0")</f>
        <v>0</v>
      </c>
      <c r="LO96" s="6">
        <f>COUNTIFS(Table23[Country],Tabela1[[#This Row],[Country]],Table23[Plus 102kg Classification],"&gt;0")</f>
        <v>0</v>
      </c>
      <c r="LP96" s="6">
        <f>COUNTIFS(Table28[Country],Tabela1[[#This Row],[Country]],Table28[49kg Classification],"&gt;0")</f>
        <v>0</v>
      </c>
      <c r="LQ96" s="6">
        <f>COUNTIFS(Table28[Country],Tabela1[[#This Row],[Country]],Table28[59kg Classification],"&gt;0")</f>
        <v>0</v>
      </c>
      <c r="LR96" s="6">
        <f>COUNTIFS(Table28[Country],Tabela1[[#This Row],[Country]],Table28[71kg Classification],"&gt;0")</f>
        <v>0</v>
      </c>
      <c r="LS96" s="6">
        <f>COUNTIFS(Table28[Country],Tabela1[[#This Row],[Country]],Table28[81kg Classification],"&gt;0")</f>
        <v>0</v>
      </c>
      <c r="LT96" s="6">
        <f>COUNTIFS(Table28[Country],Tabela1[[#This Row],[Country]],Table28[Plus 81kg Classification],"&gt;0")</f>
        <v>0</v>
      </c>
      <c r="LU96" s="6">
        <f>COUNTIFS(Table24[Country],Tabela1[[#This Row],[Country]],Table24[Freestyle 57kg Classification],"&gt;0")</f>
        <v>0</v>
      </c>
      <c r="LV96" s="6">
        <f>COUNTIFS(Table24[Country],Tabela1[[#This Row],[Country]],Table24[Freestyle 65kg Classification],"&gt;0")</f>
        <v>0</v>
      </c>
      <c r="LW96" s="6">
        <f>COUNTIFS(Table24[Country],Tabela1[[#This Row],[Country]],Table24[Freestyle 74kg Classification],"&gt;0")</f>
        <v>0</v>
      </c>
      <c r="LX96" s="6">
        <f>COUNTIFS(Table24[Country],Tabela1[[#This Row],[Country]],Table24[Freestyle 86kg Classification],"&gt;0")</f>
        <v>0</v>
      </c>
      <c r="LY96" s="6">
        <f>COUNTIFS(Table24[Country],Tabela1[[#This Row],[Country]],Table24[Freestyle 97kg Classification],"&gt;0")</f>
        <v>0</v>
      </c>
      <c r="LZ96" s="6">
        <f>COUNTIFS(Table24[Country],Tabela1[[#This Row],[Country]],Table24[Freestyle 125kg Classification],"&gt;0")</f>
        <v>0</v>
      </c>
      <c r="MA96" s="6">
        <f>COUNTIFS(Table24[Country],Tabela1[[#This Row],[Country]],Table24[Greco-Roman 60kg Classification],"&gt;0")</f>
        <v>0</v>
      </c>
      <c r="MB96" s="6">
        <f>COUNTIFS(Table24[Country],Tabela1[[#This Row],[Country]],Table24[Greco-Roman 67kg Classification],"&gt;0")</f>
        <v>0</v>
      </c>
      <c r="MC96" s="6">
        <f>COUNTIFS(Table24[Country],Tabela1[[#This Row],[Country]],Table24[Greco-Roman 77kg Classification],"&gt;0")</f>
        <v>0</v>
      </c>
      <c r="MD96" s="6">
        <f>COUNTIFS(Table24[Country],Tabela1[[#This Row],[Country]],Table24[Greco-Roman 87kg Classification],"&gt;0")</f>
        <v>0</v>
      </c>
      <c r="ME96" s="6">
        <f>COUNTIFS(Table24[Country],Tabela1[[#This Row],[Country]],Table24[Greco-Roman 97kg Classification],"&gt;0")</f>
        <v>0</v>
      </c>
      <c r="MF96" s="6">
        <f>COUNTIFS(Table24[Country],Tabela1[[#This Row],[Country]],Table24[Greco-Roman 130kg Classification],"&gt;0")</f>
        <v>0</v>
      </c>
      <c r="MG96" s="6">
        <f>COUNTIFS(Table31[Country],Tabela1[[#This Row],[Country]],Table31[50kg Classification],"&gt;0")</f>
        <v>0</v>
      </c>
      <c r="MH96" s="6">
        <f>COUNTIFS(Table31[Country],Tabela1[[#This Row],[Country]],Table31[53kg Classification],"&gt;0")</f>
        <v>0</v>
      </c>
      <c r="MI96" s="6">
        <f>COUNTIFS(Table31[Country],Tabela1[[#This Row],[Country]],Table31[57kg Classification],"&gt;0")</f>
        <v>0</v>
      </c>
      <c r="MJ96" s="6">
        <f>COUNTIFS(Table31[Country],Tabela1[[#This Row],[Country]],Table31[62kg Classification],"&gt;0")</f>
        <v>0</v>
      </c>
      <c r="MK96" s="6">
        <f>COUNTIFS(Table31[Country],Tabela1[[#This Row],[Country]],Table31[68kg Classification],"&gt;0")</f>
        <v>0</v>
      </c>
      <c r="ML96" s="6">
        <f>COUNTIFS(Table31[Country],Tabela1[[#This Row],[Country]],Table31[76kg Classification],"&gt;0")</f>
        <v>0</v>
      </c>
      <c r="MM96" s="6">
        <f>COUNTIFS(Table102[Country],Tabela1[[#This Row],[Country]],Table102[Downhill Classification],"&gt;0")</f>
        <v>0</v>
      </c>
      <c r="MN96" s="6">
        <f>COUNTIFS(Table102105[Country],Tabela1[[#This Row],[Country]],Table102105[Downhill Classification],"&gt;0")</f>
        <v>0</v>
      </c>
      <c r="MO96" s="6">
        <f>COUNTIFS(Table102[Country],Tabela1[[#This Row],[Country]],Table102[Giant Slalom Classification],"&gt;0")</f>
        <v>0</v>
      </c>
      <c r="MP96" s="6">
        <f>COUNTIFS(Table102105[Country],Tabela1[[#This Row],[Country]],Table102105[Giant Slalom Classification],"&gt;0")</f>
        <v>0</v>
      </c>
      <c r="MQ96" s="6">
        <f>COUNTIFS(Table102[Country],Tabela1[[#This Row],[Country]],Table102[Slalom Classification],"&gt;0")</f>
        <v>0</v>
      </c>
      <c r="MR96" s="6">
        <f>COUNTIFS(Table102105[Country],Tabela1[[#This Row],[Country]],Table102105[Slalom Classification],"&gt;0")</f>
        <v>0</v>
      </c>
      <c r="MS96" s="6">
        <f>COUNTIFS(Table102[Country],Tabela1[[#This Row],[Country]],Table102[Super-G Classification],"&gt;0")</f>
        <v>0</v>
      </c>
      <c r="MT96" s="6">
        <f>COUNTIFS(Table102105[Country],Tabela1[[#This Row],[Country]],Table102105[Super-G Classification],"&gt;0")</f>
        <v>0</v>
      </c>
      <c r="MU96" s="6">
        <f>COUNTIFS(Table105[Country],Tabela1[[#This Row],[Country]],Table105[Men''s Combined Classification],"&gt;0")</f>
        <v>0</v>
      </c>
      <c r="MV96" s="6">
        <f>COUNTIFS(Table105[Country],Tabela1[[#This Row],[Country]],Table105[Women''s Combined Classification],"&gt;0")</f>
        <v>0</v>
      </c>
      <c r="MW96" s="6">
        <f>COUNTIFS(Table106[Country],Tabela1[[#This Row],[Country]],Table106[Individual Classification],"&gt;0")</f>
        <v>0</v>
      </c>
      <c r="MX96" s="6">
        <f>COUNTIFS(Table106109[Country],Tabela1[[#This Row],[Country]],Table106109[Individual Classification],"&gt;0")</f>
        <v>0</v>
      </c>
      <c r="MY96" s="6">
        <f>COUNTIFS(Table106[Country],Tabela1[[#This Row],[Country]],Table106[Mass Start Classification],"&gt;0")</f>
        <v>0</v>
      </c>
      <c r="MZ96" s="6">
        <f>COUNTIFS(Table106109[Country],Tabela1[[#This Row],[Country]],Table106109[Mass Start Classification],"&gt;0")</f>
        <v>0</v>
      </c>
      <c r="NA96" s="6">
        <f>COUNTIFS(Table106[Country],Tabela1[[#This Row],[Country]],Table106[Pursuit Classification],"&gt;0")</f>
        <v>0</v>
      </c>
      <c r="NB96" s="6">
        <f>COUNTIFS(Table106109[Country],Tabela1[[#This Row],[Country]],Table106109[Pursuit Classification],"&gt;0")</f>
        <v>0</v>
      </c>
      <c r="NC96" s="6">
        <f>COUNTIFS(Table106[Country],Tabela1[[#This Row],[Country]],Table106[Sprint Classification],"&gt;0")</f>
        <v>0</v>
      </c>
      <c r="ND96" s="6">
        <f>COUNTIFS(Table106109[Country],Tabela1[[#This Row],[Country]],Table106109[Sprint Classification],"&gt;0")</f>
        <v>0</v>
      </c>
      <c r="NE96" s="6">
        <f>COUNTIFS(Table109[Country],Tabela1[[#This Row],[Country]],Table109[Men''s Relay Classification],"&gt;0")</f>
        <v>0</v>
      </c>
      <c r="NF96" s="6">
        <f>COUNTIFS(Table109[Country],Tabela1[[#This Row],[Country]],Table109[Women''s Relay Classification],"&gt;0")</f>
        <v>0</v>
      </c>
      <c r="NG96" s="6">
        <f>COUNTIFS(Table109[Country],Tabela1[[#This Row],[Country]],Table109[Mixed Relay Classification],"&gt;0")</f>
        <v>0</v>
      </c>
      <c r="NH96" s="6">
        <f>COUNTIFS(Table110[Country],Tabela1[[#This Row],[Country]],Table110[Monobob Classification],"&gt;0")</f>
        <v>0</v>
      </c>
      <c r="NI96" s="6">
        <f>COUNTIFS(Table111[Country],Tabela1[[#This Row],[Country]],Table111[Men''s Classification],"&gt;0")</f>
        <v>0</v>
      </c>
      <c r="NJ96" s="6">
        <f>COUNTIFS(Table111[Country],Tabela1[[#This Row],[Country]],Table111[Women''s Classification],"&gt;0")</f>
        <v>0</v>
      </c>
      <c r="NK96" s="6">
        <f>COUNTIFS(Table112[Country],Tabela1[[#This Row],[Country]],Table112[Men''s Four Classification],"&gt;0")</f>
        <v>0</v>
      </c>
      <c r="NL96" s="6">
        <f>COUNTIFS(Table113[Country],Tabela1[[#This Row],[Country]],Table113[Classical Classification],"&gt;0")</f>
        <v>0</v>
      </c>
      <c r="NM96" s="6">
        <f>COUNTIFS(Table113116[Country],Tabela1[[#This Row],[Country]],Table113116[Classical Classification],"&gt;0")</f>
        <v>0</v>
      </c>
      <c r="NN96" s="6">
        <f>COUNTIFS(Table113[Country],Tabela1[[#This Row],[Country]],Table113[Freestyle Classification],"&gt;0")</f>
        <v>0</v>
      </c>
      <c r="NO96" s="6">
        <f>COUNTIFS(Table113116[Country],Tabela1[[#This Row],[Country]],Table113116[Freestyle Classification],"&gt;0")</f>
        <v>0</v>
      </c>
      <c r="NP96" s="6">
        <f>COUNTIFS(Table117[Country],Tabela1[[#This Row],[Country]],Table117[Men''s Relay Classification],"&gt;0")</f>
        <v>0</v>
      </c>
      <c r="NQ96" s="6">
        <f>COUNTIFS(Table117[Country],Tabela1[[#This Row],[Country]],Table117[Women''s Relay Classification],"&gt;0")</f>
        <v>0</v>
      </c>
      <c r="NR96" s="6">
        <f>COUNTIFS(Table113[Country],Tabela1[[#This Row],[Country]],Table113[Skiathlon Classification],"&gt;0")</f>
        <v>0</v>
      </c>
      <c r="NS96" s="6">
        <f>COUNTIFS(Table113116[Country],Tabela1[[#This Row],[Country]],Table113116[Skiathlon Classification],"&gt;0")</f>
        <v>0</v>
      </c>
      <c r="NT96" s="6">
        <f>COUNTIFS(Table113[Country],Tabela1[[#This Row],[Country]],Table113[Sprint Classification],"&gt;0")</f>
        <v>0</v>
      </c>
      <c r="NU96" s="6">
        <f>COUNTIFS(Table113116[Country],Tabela1[[#This Row],[Country]],Table113116[Sprint Classification],"&gt;0")</f>
        <v>0</v>
      </c>
      <c r="NV96" s="6">
        <f>COUNTIFS(Table116[Country],Tabela1[[#This Row],[Country]],Table116[Men''s Team Sprint Classification],"&gt;0")</f>
        <v>0</v>
      </c>
      <c r="NW96" s="6">
        <f>COUNTIFS(Table116[Country],Tabela1[[#This Row],[Country]],Table116[Women''s Team Sprint Classification],"&gt;0")</f>
        <v>0</v>
      </c>
      <c r="NX96" s="6">
        <f>COUNTIFS(Table119[Country],Tabela1[[#This Row],[Country]],Table119[Men''s Classification],"&gt;0")</f>
        <v>0</v>
      </c>
      <c r="NY96" s="6">
        <f>COUNTIFS(Table119[Country],Tabela1[[#This Row],[Country]],Table119[Women''s Classification],"&gt;0")</f>
        <v>0</v>
      </c>
      <c r="NZ96" s="6">
        <f>COUNTIFS(Table118[Country],Tabela1[[#This Row],[Country]],Table118[Mixed Classification],"&gt;0")</f>
        <v>0</v>
      </c>
      <c r="OA96" s="6">
        <f>COUNTIFS(Table120[Country],Tabela1[[#This Row],[Country]],Table120[Classification],"&gt;0")</f>
        <v>0</v>
      </c>
      <c r="OB96" s="6">
        <f>COUNTIFS(Table120123[Country],Tabela1[[#This Row],[Country]],Table120123[Classification],"&gt;0")</f>
        <v>0</v>
      </c>
      <c r="OC96" s="6">
        <f>COUNTIFS(Table123[Country],Tabela1[[#This Row],[Country]],Table123[Ice Dance Classification],"&gt;0")</f>
        <v>0</v>
      </c>
      <c r="OD96" s="6">
        <f>COUNTIFS(Table123[Country],Tabela1[[#This Row],[Country]],Table123[Pair Skating Classification],"&gt;0")</f>
        <v>0</v>
      </c>
      <c r="OE96" s="6">
        <f>COUNTIFS(Table124[Country],Tabela1[[#This Row],[Country]],Table124[Mixed Classification],"&gt;0")</f>
        <v>0</v>
      </c>
      <c r="OF96" s="6">
        <f>COUNTIFS(Table125[Country],Tabela1[[#This Row],[Country]],Table125[Aerials Classification],"&gt;0")</f>
        <v>0</v>
      </c>
      <c r="OG96" s="6">
        <f>COUNTIFS(Table125128[Country],Tabela1[[#This Row],[Country]],Table125128[Aerials Classification],"&gt;0")</f>
        <v>0</v>
      </c>
      <c r="OH96" s="6">
        <f>COUNTIFS(Table128[Country],Tabela1[[#This Row],[Country]],Table128[Mixed Aerials Classification],"&gt;0")</f>
        <v>0</v>
      </c>
      <c r="OI96" s="6">
        <f>COUNTIFS(Table125[Country],Tabela1[[#This Row],[Country]],Table125[Big Air Classification],"&gt;0")</f>
        <v>0</v>
      </c>
      <c r="OJ96" s="6">
        <f>COUNTIFS(Table125128[Country],Tabela1[[#This Row],[Country]],Table125128[Big Air Classification],"&gt;0")</f>
        <v>0</v>
      </c>
      <c r="OK96" s="6">
        <f>COUNTIFS(Table125[Country],Tabela1[[#This Row],[Country]],Table125[Dual Moguls Classification],"&gt;0")</f>
        <v>0</v>
      </c>
      <c r="OL96" s="6">
        <f>COUNTIFS(Table125128[Country],Tabela1[[#This Row],[Country]],Table125128[Dual Moguls Classification],"&gt;0")</f>
        <v>0</v>
      </c>
      <c r="OM96" s="6">
        <f>COUNTIFS(Table125[Country],Tabela1[[#This Row],[Country]],Table125[Halfpipe Classification],"&gt;0")</f>
        <v>0</v>
      </c>
      <c r="ON96" s="6">
        <f>COUNTIFS(Table125128[Country],Tabela1[[#This Row],[Country]],Table125128[Halfpipe Classification],"&gt;0")</f>
        <v>0</v>
      </c>
      <c r="OO96" s="6">
        <f>COUNTIFS(Table125[Country],Tabela1[[#This Row],[Country]],Table125[Moguls Classification],"&gt;0")</f>
        <v>0</v>
      </c>
      <c r="OP96" s="6">
        <f>COUNTIFS(Table125128[Country],Tabela1[[#This Row],[Country]],Table125128[Moguls Classification],"&gt;0")</f>
        <v>0</v>
      </c>
      <c r="OQ96" s="6">
        <f>COUNTIFS(Table125[Country],Tabela1[[#This Row],[Country]],Table125[Ski Cross Classification],"&gt;0")</f>
        <v>0</v>
      </c>
      <c r="OR96" s="6">
        <f>COUNTIFS(Table125128[Country],Tabela1[[#This Row],[Country]],Table125128[Ski Cross Classification],"&gt;0")</f>
        <v>0</v>
      </c>
      <c r="OS96" s="6">
        <f>COUNTIFS(Table125[Country],Tabela1[[#This Row],[Country]],Table125[Slopestyle Classification],"&gt;0")</f>
        <v>0</v>
      </c>
      <c r="OT96" s="6">
        <f>COUNTIFS(Table125128[Country],Tabela1[[#This Row],[Country]],Table125128[Slopestyle Classification],"&gt;0")</f>
        <v>0</v>
      </c>
      <c r="OU96" s="6">
        <f>COUNTIFS(Table119131[Country],Tabela1[[#This Row],[Country]],Table119131[Men''s Classification],"&gt;0")</f>
        <v>0</v>
      </c>
      <c r="OV96" s="6">
        <f>COUNTIFS(Table119131[Country],Tabela1[[#This Row],[Country]],Table119131[Women''s Classification],"&gt;0")</f>
        <v>0</v>
      </c>
      <c r="OW96" s="6">
        <f>COUNTIFS(Table131[Country],Tabela1[[#This Row],[Country]],Table131[Classification],"&gt;0")</f>
        <v>0</v>
      </c>
      <c r="OX96" s="6">
        <f>COUNTIFS(Table131134[Country],Tabela1[[#This Row],[Country]],Table131134[Classification],"&gt;0")</f>
        <v>0</v>
      </c>
      <c r="OY96" s="6">
        <f>COUNTIFS(Table134[Country],Tabela1[[#This Row],[Country]],Table134[Men''s Classification],"&gt;0")</f>
        <v>0</v>
      </c>
      <c r="OZ96" s="6">
        <f>COUNTIFS(Table134[Country],Tabela1[[#This Row],[Country]],Table134[Women''s Classification],"&gt;0")</f>
        <v>0</v>
      </c>
      <c r="PA96" s="6">
        <f>COUNTIFS(Table135[Country],Tabela1[[#This Row],[Country]],Table135[Mixed Relay Classification],"&gt;0")</f>
        <v>0</v>
      </c>
      <c r="PB96" s="6">
        <f>COUNTIFS(Table136[Country],Tabela1[[#This Row],[Country]],Table136[Individual Classification],"&gt;0")</f>
        <v>0</v>
      </c>
      <c r="PC96" s="6">
        <f>COUNTIFS(Table136[Country],Tabela1[[#This Row],[Country]],Table136[Sprint Classification],"&gt;0")</f>
        <v>0</v>
      </c>
      <c r="PD96" s="6">
        <f>COUNTIFS(Table137[Country],Tabela1[[#This Row],[Country]],Table137[Men''s Team Sprint Large Hill Classification],"&gt;0")</f>
        <v>0</v>
      </c>
      <c r="PE96" s="6">
        <f>COUNTIFS(Table138[Country],Tabela1[[#This Row],[Country]],Table138[500m Classification],"&gt;0")</f>
        <v>0</v>
      </c>
      <c r="PF96" s="6">
        <f>COUNTIFS(Table138141[Country],Tabela1[[#This Row],[Country]],Table138141[500m Classification],"&gt;0")</f>
        <v>0</v>
      </c>
      <c r="PG96" s="6">
        <f>COUNTIFS(Table138[Country],Tabela1[[#This Row],[Country]],Table138[1000m Classification],"&gt;0")</f>
        <v>0</v>
      </c>
      <c r="PH96" s="6">
        <f>COUNTIFS(Table138141[Country],Tabela1[[#This Row],[Country]],Table138141[1000m Classification],"&gt;0")</f>
        <v>0</v>
      </c>
      <c r="PI96" s="6">
        <f>COUNTIFS(Table138[Country],Tabela1[[#This Row],[Country]],Table138[1500m Classification],"&gt;0")</f>
        <v>0</v>
      </c>
      <c r="PJ96" s="6">
        <f>COUNTIFS(Table138141[Country],Tabela1[[#This Row],[Country]],Table138141[1500m Classification],"&gt;0")</f>
        <v>0</v>
      </c>
      <c r="PK96" s="6">
        <f>COUNTIFS(Table141[Country],Tabela1[[#This Row],[Country]],Table141[Men''s 5000m Relay Classification],"&gt;0")</f>
        <v>0</v>
      </c>
      <c r="PL96" s="6">
        <f>COUNTIFS(Table141[Country],Tabela1[[#This Row],[Country]],Table141[Women''s 3000m Relay Classification],"&gt;0")</f>
        <v>0</v>
      </c>
      <c r="PM96" s="6">
        <f>COUNTIFS(Table141[Country],Tabela1[[#This Row],[Country]],Table141[Mixed 2000m Relay Classification],"&gt;0")</f>
        <v>0</v>
      </c>
      <c r="PN96" s="6">
        <f>COUNTIFS(Table142[Country],Tabela1[[#This Row],[Country]],Table142[Classification],"&gt;0")</f>
        <v>0</v>
      </c>
      <c r="PO96" s="6">
        <f>COUNTIFS(Table142145[Country],Tabela1[[#This Row],[Country]],Table142145[Classification],"&gt;0")</f>
        <v>0</v>
      </c>
      <c r="PP96" s="6">
        <f>COUNTIFS(Tabela15[Country],Tabela1[[#This Row],[Country]],Tabela15[Mixed Team Classification],"&gt;0")</f>
        <v>0</v>
      </c>
      <c r="PQ96" s="6">
        <f>COUNTIFS(Table145[Country],Tabela1[[#This Row],[Country]],Table145[Large Hill Classification],"&gt;0")</f>
        <v>0</v>
      </c>
      <c r="PR96" s="6">
        <f>COUNTIFS(Table145[Country],Tabela1[[#This Row],[Country]],Table145[Normal Hill Classification],"&gt;0")</f>
        <v>0</v>
      </c>
      <c r="PS96" s="6">
        <f>COUNTIFS(Table145148[Country],Tabela1[[#This Row],[Country]],Table145148[Large Hill Classification],"&gt;0")</f>
        <v>0</v>
      </c>
      <c r="PT96" s="6">
        <f>COUNTIFS(Table145148[Country],Tabela1[[#This Row],[Country]],Table145148[Normal Hill Classification],"&gt;0")</f>
        <v>0</v>
      </c>
      <c r="PU96" s="6">
        <f>COUNTIFS(Table148[Country],Tabela1[[#This Row],[Country]],Table148[Men''s Super Team Classification],"&gt;0")</f>
        <v>0</v>
      </c>
      <c r="PV96" s="6">
        <f>COUNTIFS(Tabela114[Country],Tabela1[[#This Row],[Country]],Tabela114[Mixed Normal Hill Classification],"&gt;0")</f>
        <v>0</v>
      </c>
      <c r="PW96" s="6">
        <f>COUNTIFS(Tabela50[Country],Tabela1[[#This Row],[Country]],Tabela50[Sprint Classification],"&gt;0")</f>
        <v>0</v>
      </c>
      <c r="PX96" s="6">
        <f>COUNTIFS(Tabela50101[Country],Tabela1[[#This Row],[Country]],Tabela50101[Sprint Classification],"&gt;0")</f>
        <v>0</v>
      </c>
      <c r="PY96" s="6">
        <f>COUNTIFS(Tabela103[Country],Tabela1[[#This Row],[Country]],Tabela103[Mixed Relay Classification],"&gt;0")</f>
        <v>0</v>
      </c>
      <c r="PZ96" s="6">
        <f>COUNTIFS(Table149[Country],Tabela1[[#This Row],[Country]],Table149[Big Air Classification],"&gt;0")</f>
        <v>0</v>
      </c>
      <c r="QA96" s="6">
        <f>COUNTIFS(Table149152[Country],Tabela1[[#This Row],[Country]],Table149152[Big Air Classification],"&gt;0")</f>
        <v>0</v>
      </c>
      <c r="QB96" s="6">
        <f>COUNTIFS(Table149[Country],Tabela1[[#This Row],[Country]],Table149[Halfpipe Classification],"&gt;0")</f>
        <v>0</v>
      </c>
      <c r="QC96" s="6">
        <f>COUNTIFS(Table149152[Country],Tabela1[[#This Row],[Country]],Table149152[Halfpipe Classification],"&gt;0")</f>
        <v>0</v>
      </c>
      <c r="QD96" s="6">
        <f>COUNTIFS(Table149[Country],Tabela1[[#This Row],[Country]],Table149[Parallel Giant Slalom Classification],"&gt;0")</f>
        <v>0</v>
      </c>
      <c r="QE96" s="6">
        <f>COUNTIFS(Table149152[Country],Tabela1[[#This Row],[Country]],Table149152[Parallel Giant Slalom Classification],"&gt;0")</f>
        <v>0</v>
      </c>
      <c r="QF96" s="6">
        <f>COUNTIFS(Table149[Country],Tabela1[[#This Row],[Country]],Table149[Slopestyle Classification],"&gt;0")</f>
        <v>0</v>
      </c>
      <c r="QG96" s="6">
        <f>COUNTIFS(Table149152[Country],Tabela1[[#This Row],[Country]],Table149152[Slopestyle Classification],"&gt;0")</f>
        <v>0</v>
      </c>
      <c r="QH96" s="6">
        <f>COUNTIFS(Table149[Country],Tabela1[[#This Row],[Country]],Table149[Snowboard Cross Classification],"&gt;0")</f>
        <v>0</v>
      </c>
      <c r="QI96" s="6">
        <f>COUNTIFS(Table149152[Country],Tabela1[[#This Row],[Country]],Table149152[Snowboard Cross Classification],"&gt;0")</f>
        <v>0</v>
      </c>
      <c r="QJ96" s="6">
        <f>COUNTIFS(Table153[Country],Tabela1[[#This Row],[Country]],Table153[Mixed Team Snowboard Cross Classification],"&gt;0")</f>
        <v>0</v>
      </c>
      <c r="QK96" s="6">
        <f>COUNTIFS(Table154[Country],Tabela1[[#This Row],[Country]],Table154[500m Classification],"&gt;0")</f>
        <v>0</v>
      </c>
      <c r="QL96" s="6">
        <f>COUNTIFS(Table154157[Country],Tabela1[[#This Row],[Country]],Table154157[500m Classification],"&gt;0")</f>
        <v>0</v>
      </c>
      <c r="QM96" s="6">
        <f>COUNTIFS(Table154[Country],Tabela1[[#This Row],[Country]],Table154[1000m Classification],"&gt;0")</f>
        <v>0</v>
      </c>
      <c r="QN96" s="6">
        <f>COUNTIFS(Table154157[Country],Tabela1[[#This Row],[Country]],Table154157[1000m Classification],"&gt;0")</f>
        <v>0</v>
      </c>
      <c r="QO96" s="6">
        <f>COUNTIFS(Table154[Country],Tabela1[[#This Row],[Country]],Table154[1500m Classification],"&gt;0")</f>
        <v>0</v>
      </c>
      <c r="QP96" s="6">
        <f>COUNTIFS(Table154157[Country],Tabela1[[#This Row],[Country]],Table154157[1500m Classification],"&gt;0")</f>
        <v>0</v>
      </c>
      <c r="QQ96" s="6">
        <f>COUNTIFS(Table154157[Country],Tabela1[[#This Row],[Country]],Table154157[3000m Classification],"&gt;0")</f>
        <v>0</v>
      </c>
      <c r="QR96" s="6">
        <f>COUNTIFS(Table154[Country],Tabela1[[#This Row],[Country]],Table154[5000m Classification],"&gt;0")</f>
        <v>0</v>
      </c>
      <c r="QS96" s="6">
        <f>COUNTIFS(Table154157[Country],Tabela1[[#This Row],[Country]],Table154157[5000m Classification],"&gt;0")</f>
        <v>0</v>
      </c>
      <c r="QT96" s="6">
        <f>COUNTIFS(Table154[Country],Tabela1[[#This Row],[Country]],Table154[10000m Classification],"&gt;0")</f>
        <v>0</v>
      </c>
      <c r="QU96" s="6">
        <f>COUNTIFS(Table154[Country],Tabela1[[#This Row],[Country]],Table154[Mass Start Classification],"&gt;0")</f>
        <v>0</v>
      </c>
      <c r="QV96" s="6">
        <f>COUNTIFS(Table154157[Country],Tabela1[[#This Row],[Country]],Table154157[Mass Start Classification],"&gt;0")</f>
        <v>0</v>
      </c>
      <c r="QW96" s="6">
        <f>COUNTIFS(Table157[Country],Tabela1[[#This Row],[Country]],Table157[Men''s Pursuit Classification],"&gt;0")</f>
        <v>0</v>
      </c>
      <c r="QX96" s="6">
        <f>COUNTIFS(Table157[Country],Tabela1[[#This Row],[Country]],Table157[Women''s Pursuit Classification],"&gt;0")</f>
        <v>0</v>
      </c>
      <c r="QY96" s="3" t="s">
        <v>545</v>
      </c>
    </row>
    <row r="97" spans="1:467" x14ac:dyDescent="0.3">
      <c r="A97" s="6">
        <v>96</v>
      </c>
      <c r="B97" s="6" t="s">
        <v>668</v>
      </c>
      <c r="C97" t="e" vm="96">
        <f>IF(ISBLANK(Tabela1[[#This Row],[Image Link]]), "", _xlfn.IMAGE(Tabela1[[#This Row],[Image Link]],1,1))</f>
        <v>#VALUE!</v>
      </c>
      <c r="D97" s="6">
        <f>SUM(Tabela1[[#This Row],[Archery - Men''s Individual Recurve]:[Speed Skating - Women''s Team Pursuit]])</f>
        <v>4</v>
      </c>
      <c r="E97" s="6">
        <f>COUNTIF(Tabela1[[#This Row],[Archery - Men''s Individual Recurve]:[Speed Skating - Women''s Team Pursuit]],"&gt;0")</f>
        <v>4</v>
      </c>
      <c r="F97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97" s="6">
        <f>SUM(Tabela1[[#This Row],[Archery - Men''s Individual Recurve]:[Wrestling - Women''s Freestyle 76kg]])</f>
        <v>4</v>
      </c>
      <c r="H97" s="6">
        <f>SUM(Tabela1[[#This Row],[Alpine Skiing - Men''s Downhill]:[Speed Skating - Women''s Team Pursuit]])</f>
        <v>0</v>
      </c>
      <c r="I97" s="6">
        <f>Tabela1[[#This Row],[Summer Gold Medals]]+Tabela1[[#This Row],[Winter Gold Medals]]</f>
        <v>0</v>
      </c>
      <c r="J97" s="6">
        <f>Tabela1[[#This Row],[Summer Silver Medals]]+Tabela1[[#This Row],[Winter Silver Medals]]</f>
        <v>0</v>
      </c>
      <c r="K97" s="6">
        <f>Tabela1[[#This Row],[Summer Bronze Medals]]+Tabela1[[#This Row],[Winter Bronze Medals]]</f>
        <v>0</v>
      </c>
      <c r="L97" s="6">
        <f>SUM(Tabela1[[#This Row],[Total Gold Medals]:[Total Bronze Medals]])</f>
        <v>0</v>
      </c>
      <c r="M97" s="6"/>
      <c r="N97" s="6"/>
      <c r="O97" s="6"/>
      <c r="P97" s="6">
        <f>SUM(Tabela1[[#This Row],[Summer Gold Medals]:[Summer Bronze Medals]])</f>
        <v>0</v>
      </c>
      <c r="Q97" s="6"/>
      <c r="R97" s="6"/>
      <c r="S97" s="6"/>
      <c r="T97" s="6">
        <f>Tabela1[[#This Row],[Winter Gold Medals]]+Tabela1[[#This Row],[Winter Silver Medals]]+Tabela1[[#This Row],[Winter Bronze Medals]]</f>
        <v>0</v>
      </c>
      <c r="U97" s="7">
        <f>Tabela1[[#This Row],[Total Medals]]/Tabela1[[#This Row],[Total Quotas]]</f>
        <v>0</v>
      </c>
      <c r="V97" s="6">
        <f>COUNTIFS(Table3[Country],Tabela1[[#This Row],[Country]],Table3[Recurve Classification],"&gt;0")</f>
        <v>0</v>
      </c>
      <c r="W97" s="6">
        <f>COUNTIFS(Table33[Country],Tabela1[[#This Row],[Country]],Table33[Recurve Classification],"&gt;0")</f>
        <v>0</v>
      </c>
      <c r="X97" s="6">
        <f>COUNTIFS(Table35[Country],Tabela1[[#This Row],[Country]],Table35[Men''s Team Recurve Classification],"&gt;0")</f>
        <v>0</v>
      </c>
      <c r="Y97" s="6">
        <f>COUNTIFS(Table35[Country],Tabela1[[#This Row],[Country]],Table35[Women''s Team Recurve Classification],"&gt;0")</f>
        <v>0</v>
      </c>
      <c r="Z97" s="6">
        <f>COUNTIFS(Tabela88[Country],Tabela1[[#This Row],[Country]],Tabela88[Mixed Team Recurve Classification],"&gt;0")</f>
        <v>0</v>
      </c>
      <c r="AA97" s="6">
        <f>COUNTIFS(Table36[Country],Tabela1[[#This Row],[Country]],Table36[Classification],"&gt;0")</f>
        <v>0</v>
      </c>
      <c r="AB97" s="6">
        <f>COUNTIFS(Table37[Country],Tabela1[[#This Row],[Country]],Table37[Classification],"&gt;0")</f>
        <v>0</v>
      </c>
      <c r="AC97" s="6">
        <f>COUNTIFS(Table4[Country],Tabela1[[#This Row],[Country]],Table4[100m Classification],"&gt;0")</f>
        <v>0</v>
      </c>
      <c r="AD97" s="6">
        <f>COUNTIFS(Table5[Country],Tabela1[[#This Row],[Country]],Table5[100m Classification],"&gt;0")</f>
        <v>0</v>
      </c>
      <c r="AE97" s="6">
        <f>COUNTIFS(Table4[Country],Tabela1[[#This Row],[Country]],Table4[200m Classification],"&gt;0")</f>
        <v>0</v>
      </c>
      <c r="AF97" s="6">
        <f>COUNTIFS(Table5[Country],Tabela1[[#This Row],[Country]],Table5[200m Classification],"&gt;0")</f>
        <v>0</v>
      </c>
      <c r="AG97" s="6">
        <f>COUNTIFS(Table4[Country],Tabela1[[#This Row],[Country]],Table4[400m Classification],"&gt;0")</f>
        <v>0</v>
      </c>
      <c r="AH97" s="6">
        <f>COUNTIFS(Table5[Country],Tabela1[[#This Row],[Country]],Table5[400m Classification],"&gt;0")</f>
        <v>0</v>
      </c>
      <c r="AI97" s="6">
        <f>COUNTIFS(Table4[Country],Tabela1[[#This Row],[Country]],Table4[800m Classification],"&gt;0")</f>
        <v>0</v>
      </c>
      <c r="AJ97" s="6">
        <f>COUNTIFS(Table5[Country],Tabela1[[#This Row],[Country]],Table5[800m Classification],"&gt;0")</f>
        <v>0</v>
      </c>
      <c r="AK97" s="6">
        <f>COUNTIFS(Table4[Country],Tabela1[[#This Row],[Country]],Table4[1500m Classification],"&gt;0")</f>
        <v>0</v>
      </c>
      <c r="AL97" s="6">
        <f>COUNTIFS(Table5[Country],Tabela1[[#This Row],[Country]],Table5[1500m Classification],"&gt;0")</f>
        <v>0</v>
      </c>
      <c r="AM97" s="6">
        <f>COUNTIFS(Table4[Country],Tabela1[[#This Row],[Country]],Table4[5000m Classification],"&gt;0")</f>
        <v>0</v>
      </c>
      <c r="AN97" s="6">
        <f>COUNTIFS(Table5[Country],Tabela1[[#This Row],[Country]],Table5[5000m Classification],"&gt;0")</f>
        <v>0</v>
      </c>
      <c r="AO97" s="6">
        <f>COUNTIFS(Table4[Country],Tabela1[[#This Row],[Country]],Table4[10000m Classification],"&gt;0")</f>
        <v>0</v>
      </c>
      <c r="AP97" s="6">
        <f>COUNTIFS(Table5[Country],Tabela1[[#This Row],[Country]],Table5[10000m Classification],"&gt;0")</f>
        <v>0</v>
      </c>
      <c r="AQ97" s="6">
        <f>COUNTIFS(Table4[Country],Tabela1[[#This Row],[Country]],Table4[110m Hurdles Classification],"&gt;0")</f>
        <v>0</v>
      </c>
      <c r="AR97" s="6">
        <f>COUNTIFS(Table5[Country],Tabela1[[#This Row],[Country]],Table5[100m Hurdles Classification],"&gt;0")</f>
        <v>0</v>
      </c>
      <c r="AS97" s="6">
        <f>COUNTIFS(Table4[Country],Tabela1[[#This Row],[Country]],Table4[400m Hurdles Classification],"&gt;0")</f>
        <v>0</v>
      </c>
      <c r="AT97" s="6">
        <f>COUNTIFS(Table5[Country],Tabela1[[#This Row],[Country]],Table5[400m Hurdles Classification],"&gt;0")</f>
        <v>0</v>
      </c>
      <c r="AU97" s="6">
        <f>COUNTIFS(Table4[Country],Tabela1[[#This Row],[Country]],Table4[3000m Steeplechase Classification],"&gt;0")</f>
        <v>0</v>
      </c>
      <c r="AV97" s="6">
        <f>COUNTIFS(Table5[Country],Tabela1[[#This Row],[Country]],Table5[3000m Steeplechase Classification],"&gt;0")</f>
        <v>0</v>
      </c>
      <c r="AW97" s="6">
        <f>COUNTIFS(Table27[Country],Tabela1[[#This Row],[Country]],Table27[Men''s 4x100m Relay Classification],"&gt;0")</f>
        <v>0</v>
      </c>
      <c r="AX97" s="6">
        <f>COUNTIFS(Table27[Country],Tabela1[[#This Row],[Country]],Table27[Women''s 4x100m Relay Classification],"&gt;0")</f>
        <v>0</v>
      </c>
      <c r="AY97" s="6">
        <f>COUNTIFS(Table27[Country],Tabela1[[#This Row],[Country]],Table27[Men''s 4x400m Relay Classification],"&gt;0")</f>
        <v>0</v>
      </c>
      <c r="AZ97" s="6">
        <f>COUNTIFS(Table27[Country],Tabela1[[#This Row],[Country]],Table27[Women''s 4x400m Relay Classification],"&gt;0")</f>
        <v>0</v>
      </c>
      <c r="BA97" s="6">
        <f>COUNTIFS(Table27[Country],Tabela1[[#This Row],[Country]],Table27[Mixed 4x400m Relay Classification],"&gt;0")</f>
        <v>0</v>
      </c>
      <c r="BB97" s="6">
        <f>COUNTIFS(Table4[Country],Tabela1[[#This Row],[Country]],Table4[Marathon Classification],"&gt;0")</f>
        <v>0</v>
      </c>
      <c r="BC97" s="6">
        <f>COUNTIFS(Table5[Country],Tabela1[[#This Row],[Country]],Table5[Marathon Classification],"&gt;0")</f>
        <v>0</v>
      </c>
      <c r="BD97" s="6">
        <f>COUNTIFS(Table4[Country],Tabela1[[#This Row],[Country]],Table4[20km Race Walk Classification],"&gt;0")</f>
        <v>0</v>
      </c>
      <c r="BE97" s="6">
        <f>COUNTIFS(Table5[Country],Tabela1[[#This Row],[Country]],Table5[20km Race Walk Classification],"&gt;0")</f>
        <v>0</v>
      </c>
      <c r="BF97" s="6">
        <f>COUNTIFS(Tabela96[Country],Tabela1[[#This Row],[Country]],Tabela96[Mixed Marathon Race Walk Relay Classification],"&gt;0")</f>
        <v>0</v>
      </c>
      <c r="BG97" s="6">
        <f>COUNTIFS(Table4[Country],Tabela1[[#This Row],[Country]],Table4[Discus Throw Classification],"&gt;0")</f>
        <v>0</v>
      </c>
      <c r="BH97" s="6">
        <f>COUNTIFS(Table5[Country],Tabela1[[#This Row],[Country]],Table5[Discus Throw Classification],"&gt;0")</f>
        <v>0</v>
      </c>
      <c r="BI97" s="6">
        <f>COUNTIFS(Table4[Country],Tabela1[[#This Row],[Country]],Table4[Hammer Throw Classification],"&gt;0")</f>
        <v>0</v>
      </c>
      <c r="BJ97" s="6">
        <f>COUNTIFS(Table5[Country],Tabela1[[#This Row],[Country]],Table5[Hammer Throw Classification],"&gt;0")</f>
        <v>0</v>
      </c>
      <c r="BK97" s="6">
        <f>COUNTIFS(Table4[Country],Tabela1[[#This Row],[Country]],Table4[High Jump Classification],"&gt;0")</f>
        <v>0</v>
      </c>
      <c r="BL97" s="6">
        <f>COUNTIFS(Table5[Country],Tabela1[[#This Row],[Country]],Table5[High Jump Classification],"&gt;0")</f>
        <v>0</v>
      </c>
      <c r="BM97" s="6">
        <f>COUNTIFS(Table4[Country],Tabela1[[#This Row],[Country]],Table4[Javelin Throw Classification],"&gt;0")</f>
        <v>0</v>
      </c>
      <c r="BN97" s="6">
        <f>COUNTIFS(Table5[Country],Tabela1[[#This Row],[Country]],Table5[Javelin Throw Classification],"&gt;0")</f>
        <v>0</v>
      </c>
      <c r="BO97" s="6">
        <f>COUNTIFS(Table4[Country],Tabela1[[#This Row],[Country]],Table4[Long Jump Classification],"&gt;0")</f>
        <v>0</v>
      </c>
      <c r="BP97" s="6">
        <f>COUNTIFS(Table5[Country],Tabela1[[#This Row],[Country]],Table5[Long Jump Classification],"&gt;0")</f>
        <v>0</v>
      </c>
      <c r="BQ97" s="6">
        <f>COUNTIFS(Table4[Country],Tabela1[[#This Row],[Country]],Table4[Pole Vault Classification],"&gt;0")</f>
        <v>0</v>
      </c>
      <c r="BR97" s="6">
        <f>COUNTIFS(Table5[Country],Tabela1[[#This Row],[Country]],Table5[Pole Vault Classification],"&gt;0")</f>
        <v>0</v>
      </c>
      <c r="BS97" s="6">
        <f>COUNTIFS(Table4[Country],Tabela1[[#This Row],[Country]],Table4[Shot Put Classification],"&gt;0")</f>
        <v>0</v>
      </c>
      <c r="BT97" s="6">
        <f>COUNTIFS(Table5[Country],Tabela1[[#This Row],[Country]],Table5[Shot Put Classification],"&gt;0")</f>
        <v>0</v>
      </c>
      <c r="BU97" s="6">
        <f>COUNTIFS(Table4[Country],Tabela1[[#This Row],[Country]],Table4[Triple Jump Classification],"&gt;0")</f>
        <v>0</v>
      </c>
      <c r="BV97" s="6">
        <f>COUNTIFS(Table5[Country],Tabela1[[#This Row],[Country]],Table5[Triple Jump Classification],"&gt;0")</f>
        <v>0</v>
      </c>
      <c r="BW97" s="6">
        <f>COUNTIFS(Table4[Country],Tabela1[[#This Row],[Country]],Table4[Decathlon Classification],"&gt;0")</f>
        <v>0</v>
      </c>
      <c r="BX97" s="6">
        <f>COUNTIFS(Table5[Country],Tabela1[[#This Row],[Country]],Table5[Heptathlon Classification],"&gt;0")</f>
        <v>0</v>
      </c>
      <c r="BY97" s="6">
        <f>COUNTIFS(Table61[Country],Tabela1[[#This Row],[Country]],Table61[Classification],"&gt;0")</f>
        <v>0</v>
      </c>
      <c r="BZ97" s="6">
        <f>COUNTIFS(Table38[Country],Tabela1[[#This Row],[Country]],Table38[Classification],"&gt;0")</f>
        <v>0</v>
      </c>
      <c r="CA97" s="6">
        <f>COUNTIFS(Table39[Country],Tabela1[[#This Row],[Country]],Table39[Men''s Classification],"&gt;0")</f>
        <v>0</v>
      </c>
      <c r="CB97" s="6">
        <f>COUNTIFS(Table39[Country],Tabela1[[#This Row],[Country]],Table39[Women''s Classification],"&gt;0")</f>
        <v>0</v>
      </c>
      <c r="CC97" s="6">
        <f>COUNTIFS(Table39[Country],Tabela1[[#This Row],[Country]],Table39[Mixed Classification],"&gt;0")</f>
        <v>0</v>
      </c>
      <c r="CD97" s="6">
        <f>COUNTIFS(Table89[Country],Tabela1[[#This Row],[Country]],Table89[Men''s Classification],"&gt;0")</f>
        <v>0</v>
      </c>
      <c r="CE97" s="6">
        <f>COUNTIFS(Table89[Country],Tabela1[[#This Row],[Country]],Table89[Women''s Classification],"&gt;0")</f>
        <v>0</v>
      </c>
      <c r="CF97" s="6">
        <f>COUNTIFS(Table90[Country],Tabela1[[#This Row],[Country]],Table90[Men''s Classification],"&gt;0")</f>
        <v>0</v>
      </c>
      <c r="CG97" s="6">
        <f>COUNTIFS(Table90[Country],Tabela1[[#This Row],[Country]],Table90[Women''s Classification],"&gt;0")</f>
        <v>0</v>
      </c>
      <c r="CH97" s="6">
        <f>COUNTIFS(Table60[Country],Tabela1[[#This Row],[Country]],Table60[Men''s Classification],"&gt;0")</f>
        <v>0</v>
      </c>
      <c r="CI97" s="6">
        <f>COUNTIFS(Table60[Country],Tabela1[[#This Row],[Country]],Table60[Women''s Classification],"&gt;0")</f>
        <v>0</v>
      </c>
      <c r="CJ97" s="6">
        <f>COUNTIFS(Table6[Country],Tabela1[[#This Row],[Country]],Table6[51kg Classification],"&gt;0")</f>
        <v>0</v>
      </c>
      <c r="CK97" s="6">
        <f>COUNTIFS(Table6[Country],Tabela1[[#This Row],[Country]],Table6[57kg Classification],"&gt;0")</f>
        <v>0</v>
      </c>
      <c r="CL97" s="6">
        <f>COUNTIFS(Table6[Country],Tabela1[[#This Row],[Country]],Table6[63.5kg Classification],"&gt;0")</f>
        <v>0</v>
      </c>
      <c r="CM97" s="6">
        <f>COUNTIFS(Table6[Country],Tabela1[[#This Row],[Country]],Table6[71kg Classification],"&gt;0")</f>
        <v>0</v>
      </c>
      <c r="CN97" s="6">
        <f>COUNTIFS(Table6[Country],Tabela1[[#This Row],[Country]],Table6[80kg Classification],"&gt;0")</f>
        <v>0</v>
      </c>
      <c r="CO97" s="6">
        <f>COUNTIFS(Table6[Country],Tabela1[[#This Row],[Country]],Table6[92kg Classification],"&gt;0")</f>
        <v>0</v>
      </c>
      <c r="CP97" s="6">
        <f>COUNTIFS(Table6[Country],Tabela1[[#This Row],[Country]],Table6[Plus 92kg Classification],"&gt;0")</f>
        <v>0</v>
      </c>
      <c r="CQ97" s="6">
        <f>COUNTIFS(Table7[Country],Tabela1[[#This Row],[Country]],Table7[50kg Classification],"&gt;0")</f>
        <v>0</v>
      </c>
      <c r="CR97" s="6">
        <f>COUNTIFS(Table7[Country],Tabela1[[#This Row],[Country]],Table7[54kg Classification],"&gt;0")</f>
        <v>0</v>
      </c>
      <c r="CS97" s="6">
        <f>COUNTIFS(Table7[Country],Tabela1[[#This Row],[Country]],Table7[57kg Classification],"&gt;0")</f>
        <v>0</v>
      </c>
      <c r="CT97" s="6">
        <f>COUNTIFS(Table7[Country],Tabela1[[#This Row],[Country]],Table7[60kg Classification],"&gt;0")</f>
        <v>0</v>
      </c>
      <c r="CU97" s="6">
        <f>COUNTIFS(Table7[Country],Tabela1[[#This Row],[Country]],Table7[66kg Classification],"&gt;0")</f>
        <v>0</v>
      </c>
      <c r="CV97" s="6">
        <f>COUNTIFS(Table7[Country],Tabela1[[#This Row],[Country]],Table7[75kg Classification],"&gt;0")</f>
        <v>0</v>
      </c>
      <c r="CW97" s="6">
        <f>COUNTIFS(Tabela94[Country],Tabela1[[#This Row],[Country]],Tabela94[Classification],"&gt;0")</f>
        <v>0</v>
      </c>
      <c r="CX97" s="6">
        <f>COUNTIFS(Tabela9499[Country],Tabela1[[#This Row],[Country]],Tabela9499[Classification],"&gt;0")</f>
        <v>0</v>
      </c>
      <c r="CY97" s="6">
        <f>COUNTIFS(Tabela107[Country],Tabela1[[#This Row],[Country]],Tabela107[C1 Slalom Classification],"&gt;0")</f>
        <v>0</v>
      </c>
      <c r="CZ97" s="6">
        <f>COUNTIFS(Tabela107122[Country],Tabela1[[#This Row],[Country]],Tabela107122[C1 Slalom Classification],"&gt;0")</f>
        <v>0</v>
      </c>
      <c r="DA97" s="6">
        <f>COUNTIFS(Tabela107[Country],Tabela1[[#This Row],[Country]],Tabela107[K1 Slalom Classification],"&gt;0")</f>
        <v>0</v>
      </c>
      <c r="DB97" s="6">
        <f>COUNTIFS(Tabela107122[Country],Tabela1[[#This Row],[Country]],Tabela107122[K1 Slalom Classification],"&gt;0")</f>
        <v>0</v>
      </c>
      <c r="DC97" s="6">
        <f>COUNTIFS(Tabela107[Country],Tabela1[[#This Row],[Country]],Tabela107[Kayak Cross Slalom Classification],"&gt;0")</f>
        <v>0</v>
      </c>
      <c r="DD97" s="6">
        <f>COUNTIFS(Tabela107122[Country],Tabela1[[#This Row],[Country]],Tabela107122[Kayak Cross Slalom Classification],"&gt;0")</f>
        <v>0</v>
      </c>
      <c r="DE97" s="6">
        <f>COUNTIFS(Table8[Country],Tabela1[[#This Row],[Country]],Table8[C1 200m Classification],"&gt;0")</f>
        <v>0</v>
      </c>
      <c r="DF97" s="6">
        <f>COUNTIFS(Table40[Country],Tabela1[[#This Row],[Country]],Table40[C1 1000m Classification],"&gt;0")</f>
        <v>0</v>
      </c>
      <c r="DG97" s="6">
        <f>COUNTIFS(Table68[Country],Tabela1[[#This Row],[Country]],Table68[Men''s C2 500m Classification],"&gt;0")</f>
        <v>0</v>
      </c>
      <c r="DH97" s="6">
        <f>COUNTIFS(Table68[Country],Tabela1[[#This Row],[Country]],Table68[Women''s C2 500m Classification],"&gt;0")</f>
        <v>0</v>
      </c>
      <c r="DI97" s="6">
        <f>COUNTIFS(Table8[Country],Tabela1[[#This Row],[Country]],Table8[K1 500m Classification],"&gt;0")</f>
        <v>0</v>
      </c>
      <c r="DJ97" s="6">
        <f>COUNTIFS(Table40[Country],Tabela1[[#This Row],[Country]],Table40[K1 1000m Classification],"&gt;0")</f>
        <v>0</v>
      </c>
      <c r="DK97" s="6">
        <f>COUNTIFS(Table68[Country],Tabela1[[#This Row],[Country]],Table68[Men''s K2 500m Classification],"&gt;0")</f>
        <v>0</v>
      </c>
      <c r="DL97" s="6">
        <f>COUNTIFS(Table68[Country],Tabela1[[#This Row],[Country]],Table68[Women''s K2 500m Classification],"&gt;0")</f>
        <v>0</v>
      </c>
      <c r="DM97" s="6">
        <f>COUNTIFS(Table83[Country],Tabela1[[#This Row],[Country]],Table83[Men''s K4 500m Classification],"&gt;0")</f>
        <v>0</v>
      </c>
      <c r="DN97" s="6">
        <f>COUNTIFS(Table83[Country],Tabela1[[#This Row],[Country]],Table83[Women''s K4 500m Classification],"&gt;0")</f>
        <v>0</v>
      </c>
      <c r="DO97" s="6">
        <f>COUNTIFS(Tabela126[Country],Tabela1[[#This Row],[Country]],Tabela126[Classification],"&gt;0")</f>
        <v>0</v>
      </c>
      <c r="DP97" s="6">
        <f>COUNTIFS(Tabela126130[Country],Tabela1[[#This Row],[Country]],Tabela126130[Classification],"&gt;0")</f>
        <v>0</v>
      </c>
      <c r="DQ97" s="6">
        <f>COUNTIFS(Table70[Country],Tabela1[[#This Row],[Country]],Table70[Classification],"&gt;0")</f>
        <v>0</v>
      </c>
      <c r="DR97" s="6">
        <f>COUNTIFS(Table80[Country],Tabela1[[#This Row],[Country]],Table80[Classification],"&gt;0")</f>
        <v>0</v>
      </c>
      <c r="DS97" s="6">
        <f>COUNTIFS(Table66[Country],Tabela1[[#This Row],[Country]],Table66[Classification],"&gt;0")</f>
        <v>0</v>
      </c>
      <c r="DT97" s="6">
        <f>COUNTIFS(Table67[Country],Tabela1[[#This Row],[Country]],Table67[Classification],"&gt;0")</f>
        <v>0</v>
      </c>
      <c r="DU97" s="6">
        <f>COUNTIFS(Table69[Country],Tabela1[[#This Row],[Country]],Table69[Keirin Classification],"&gt;0")</f>
        <v>0</v>
      </c>
      <c r="DV97" s="6">
        <f>COUNTIFS(Table41[Country],Tabela1[[#This Row],[Country]],Table41[Keirin Classification],"&gt;0")</f>
        <v>0</v>
      </c>
      <c r="DW97" s="6">
        <f>COUNTIFS(Table84[Country],Tabela1[[#This Row],[Country]],Table84[Men''s Madison Classification],"&gt;0")</f>
        <v>0</v>
      </c>
      <c r="DX97" s="6">
        <f>COUNTIFS(Table84[Country],Tabela1[[#This Row],[Country]],Table84[Women''s Madison Classification],"&gt;0")</f>
        <v>0</v>
      </c>
      <c r="DY97" s="6">
        <f>COUNTIFS(Table69[Country],Tabela1[[#This Row],[Country]],Table69[Omnium Classification],"&gt;0")</f>
        <v>0</v>
      </c>
      <c r="DZ97" s="6">
        <f>COUNTIFS(Table41[Country],Tabela1[[#This Row],[Country]],Table41[Omnium Classification],"&gt;0")</f>
        <v>0</v>
      </c>
      <c r="EA97" s="6">
        <f>COUNTIFS(Table9[Country],Tabela1[[#This Row],[Country]],Table9[Road Race Classification],"&gt;0")</f>
        <v>0</v>
      </c>
      <c r="EB97" s="6">
        <f>COUNTIFS(Table14[Country],Tabela1[[#This Row],[Country]],Table14[Road Race Classification],"&gt;0")</f>
        <v>0</v>
      </c>
      <c r="EC97" s="6">
        <f>COUNTIFS(Table69[Country],Tabela1[[#This Row],[Country]],Table69[Sprint Classification],"&gt;0")</f>
        <v>0</v>
      </c>
      <c r="ED97" s="6">
        <f>COUNTIFS(Table41[Country],Tabela1[[#This Row],[Country]],Table41[Sprint Classification],"&gt;0")</f>
        <v>0</v>
      </c>
      <c r="EE97" s="6">
        <f>COUNTIFS(Table85[Country],Tabela1[[#This Row],[Country]],Table85[Men''s Sprint Classification],"&gt;0")</f>
        <v>0</v>
      </c>
      <c r="EF97" s="6">
        <f>COUNTIFS(Table85[Country],Tabela1[[#This Row],[Country]],Table85[Women''s Sprint Classification],"&gt;0")</f>
        <v>0</v>
      </c>
      <c r="EG97" s="6">
        <f>COUNTIFS(Table85[Country],Tabela1[[#This Row],[Country]],Table85[Men''s Pursuit Classification],"&gt;0")</f>
        <v>0</v>
      </c>
      <c r="EH97" s="6">
        <f>COUNTIFS(Table85[Country],Tabela1[[#This Row],[Country]],Table85[Women''s Pursuit Classification],"&gt;0")</f>
        <v>0</v>
      </c>
      <c r="EI97" s="6">
        <f>COUNTIFS(Table9[Country],Tabela1[[#This Row],[Country]],Table9[Time-Trial Classification],"&gt;0")</f>
        <v>0</v>
      </c>
      <c r="EJ97" s="6">
        <f>COUNTIFS(Table14[Country],Tabela1[[#This Row],[Country]],Table14[Time-Trial Classification],"&gt;0")</f>
        <v>0</v>
      </c>
      <c r="EK97" s="6">
        <f>COUNTIFS(Table42[Country],Tabela1[[#This Row],[Country]],Table42[Springboard Classification],"&gt;0")</f>
        <v>0</v>
      </c>
      <c r="EL97" s="6">
        <f>COUNTIFS(Table43[Country],Tabela1[[#This Row],[Country]],Table43[Springboard Classification],"&gt;0")</f>
        <v>0</v>
      </c>
      <c r="EM97" s="6">
        <f>COUNTIFS(Table42[Country],Tabela1[[#This Row],[Country]],Table42[Platform Classification],"&gt;0")</f>
        <v>0</v>
      </c>
      <c r="EN97" s="6">
        <f>COUNTIFS(Table43[Country],Tabela1[[#This Row],[Country]],Table43[Platform Classification],"&gt;0")</f>
        <v>0</v>
      </c>
      <c r="EO97" s="6">
        <f>COUNTIFS(Table86[Country],Tabela1[[#This Row],[Country]],Table86[Men''s Synchronized Springboard Classification],"&gt;0")</f>
        <v>0</v>
      </c>
      <c r="EP97" s="6">
        <f>COUNTIFS(Table86[Country],Tabela1[[#This Row],[Country]],Table86[Women''s Synchronized Springboard Classification],"&gt;0")</f>
        <v>0</v>
      </c>
      <c r="EQ97" s="6">
        <f>COUNTIFS(Table86[Country],Tabela1[[#This Row],[Country]],Table86[Men''s Synchronized Platform Classification],"&gt;0")</f>
        <v>0</v>
      </c>
      <c r="ER97" s="6">
        <f>COUNTIFS(Table86[Country],Tabela1[[#This Row],[Country]],Table86[Women''s Synchronized Platform Classification],"&gt;0")</f>
        <v>0</v>
      </c>
      <c r="ES97" s="6">
        <f>COUNTIFS(Table44[Country],Tabela1[[#This Row],[Country]],Table44[Dressage Classification],"&gt;0")</f>
        <v>0</v>
      </c>
      <c r="ET97" s="6">
        <f>COUNTIFS(Table45[Country],Tabela1[[#This Row],[Country]],Table45[Dressage Classification],"&gt;0")</f>
        <v>0</v>
      </c>
      <c r="EU97" s="6">
        <f>COUNTIFS(Table44[Country],Tabela1[[#This Row],[Country]],Table44[Eventing Classification],"&gt;0")</f>
        <v>0</v>
      </c>
      <c r="EV97" s="6">
        <f>COUNTIFS(Table45[Country],Tabela1[[#This Row],[Country]],Table45[Eventing Classification],"&gt;0")</f>
        <v>0</v>
      </c>
      <c r="EW97" s="6">
        <f>COUNTIFS(Table44[Country],Tabela1[[#This Row],[Country]],Table44[Jumping Classification],"&gt;0")</f>
        <v>0</v>
      </c>
      <c r="EX97" s="6">
        <f>COUNTIFS(Table45[Country],Tabela1[[#This Row],[Country]],Table45[Jumping Classification],"&gt;0")</f>
        <v>0</v>
      </c>
      <c r="EY97" s="6">
        <f>COUNTIFS(Table10[Country],Tabela1[[#This Row],[Country]],Table10[Épée Classification],"&gt;0")</f>
        <v>0</v>
      </c>
      <c r="EZ97" s="6">
        <f>COUNTIFS(Table11[Country],Tabela1[[#This Row],[Country]],Table11[Épée Classification],"&gt;0")</f>
        <v>0</v>
      </c>
      <c r="FA97" s="6">
        <f>COUNTIFS(Table46[Country],Tabela1[[#This Row],[Country]],Table46[Men''s Épée Classification],"&gt;0")</f>
        <v>0</v>
      </c>
      <c r="FB97" s="6">
        <f>COUNTIFS(Table46[Country],Tabela1[[#This Row],[Country]],Table46[Women''s Épée Classification],"&gt;0")</f>
        <v>0</v>
      </c>
      <c r="FC97" s="6">
        <f>COUNTIFS(Table10[Country],Tabela1[[#This Row],[Country]],Table10[Foil Classification],"&gt;0")</f>
        <v>0</v>
      </c>
      <c r="FD97" s="6">
        <f>COUNTIFS(Table11[Country],Tabela1[[#This Row],[Country]],Table11[Foil Classification],"&gt;0")</f>
        <v>0</v>
      </c>
      <c r="FE97" s="6">
        <f>COUNTIFS(Table46[Country],Tabela1[[#This Row],[Country]],Table46[Men''s Foil Classification],"&gt;0")</f>
        <v>0</v>
      </c>
      <c r="FF97" s="6">
        <f>COUNTIFS(Table46[Country],Tabela1[[#This Row],[Country]],Table46[Women''s Foil Classification],"&gt;0")</f>
        <v>0</v>
      </c>
      <c r="FG97" s="6">
        <f>COUNTIFS(Table10[Country],Tabela1[[#This Row],[Country]],Table10[Sabre Classification],"&gt;0")</f>
        <v>0</v>
      </c>
      <c r="FH97" s="6">
        <f>COUNTIFS(Table11[Country],Tabela1[[#This Row],[Country]],Table11[Sabre Classification],"&gt;0")</f>
        <v>0</v>
      </c>
      <c r="FI97" s="6">
        <f>COUNTIFS(Table46[Country],Tabela1[[#This Row],[Country]],Table46[Men''s Sabre Classification],"&gt;0")</f>
        <v>0</v>
      </c>
      <c r="FJ97" s="6">
        <f>COUNTIFS(Table46[Country],Tabela1[[#This Row],[Country]],Table46[Women''s Sabre Classification],"&gt;0")</f>
        <v>0</v>
      </c>
      <c r="FK97" s="6">
        <f>COUNTIFS(Table91[Country],Tabela1[[#This Row],[Country]],Table91[Men''s Classification],"&gt;0")</f>
        <v>0</v>
      </c>
      <c r="FL97" s="6">
        <f>COUNTIFS(Table91[Country],Tabela1[[#This Row],[Country]],Table91[Women''s Classification],"&gt;0")</f>
        <v>0</v>
      </c>
      <c r="FM97" s="6">
        <f>COUNTIFS(Table9194[Country],Tabela1[[#This Row],[Country]],Table9194[Men''s Classification],"&gt;0")</f>
        <v>1</v>
      </c>
      <c r="FN97" s="6">
        <f>COUNTIFS(Table9194[Country],Tabela1[[#This Row],[Country]],Table9194[Women''s Classification],"&gt;0")</f>
        <v>0</v>
      </c>
      <c r="FO97" s="6">
        <f>COUNTIFS(Table71[Country],Tabela1[[#This Row],[Country]],Table71[Classification],"&gt;0")</f>
        <v>1</v>
      </c>
      <c r="FP97" s="6">
        <f>COUNTIFS(Table62[Country],Tabela1[[#This Row],[Country]],Table62[Classification],"&gt;0")</f>
        <v>0</v>
      </c>
      <c r="FQ97" s="6">
        <f>COUNTIFS(Table47[Country],Tabela1[[#This Row],[Country]],Table47[All-Around Classification],"&gt;0")</f>
        <v>0</v>
      </c>
      <c r="FR97" s="6">
        <f>COUNTIFS(Table48[Country],Tabela1[[#This Row],[Country]],Table48[All-Around Classification],"&gt;0")</f>
        <v>0</v>
      </c>
      <c r="FS97" s="6">
        <f>COUNTIFS(Table81[Country],Tabela1[[#This Row],[Country]],Table81[Men''s All-Around Classification],"&gt;0")</f>
        <v>0</v>
      </c>
      <c r="FT97" s="6">
        <f>COUNTIFS(Table81[Country],Tabela1[[#This Row],[Country]],Table81[Women''s All-Around Classification],"&gt;0")</f>
        <v>0</v>
      </c>
      <c r="FU97" s="6">
        <f>COUNTIFS(Table48[Country],Tabela1[[#This Row],[Country]],Table48[Balance Beam Classification],"&gt;0")</f>
        <v>0</v>
      </c>
      <c r="FV97" s="6">
        <f>COUNTIFS(Table47[Country],Tabela1[[#This Row],[Country]],Table47[Floor Exercise Classification],"&gt;0")</f>
        <v>0</v>
      </c>
      <c r="FW97" s="6">
        <f>COUNTIFS(Table48[Country],Tabela1[[#This Row],[Country]],Table48[Floor Exercise Classification],"&gt;0")</f>
        <v>0</v>
      </c>
      <c r="FX97" s="6">
        <f>COUNTIFS(Table47[Country],Tabela1[[#This Row],[Country]],Table47[Horizontal Bar Classification],"&gt;0")</f>
        <v>0</v>
      </c>
      <c r="FY97" s="6">
        <f>COUNTIFS(Table47[Country],Tabela1[[#This Row],[Country]],Table47[Parallel Bars Classification],"&gt;0")</f>
        <v>0</v>
      </c>
      <c r="FZ97" s="6">
        <f>COUNTIFS(Table47[Country],Tabela1[[#This Row],[Country]],Table47[Pommel Horse Classification],"&gt;0")</f>
        <v>0</v>
      </c>
      <c r="GA97" s="6">
        <f>COUNTIFS(Table47[Country],Tabela1[[#This Row],[Country]],Table47[Rings Classification],"&gt;0")</f>
        <v>0</v>
      </c>
      <c r="GB97" s="6">
        <f>COUNTIFS(Tabela132[Country],Tabela1[[#This Row],[Country]],Tabela132[Classification],"&gt;0")</f>
        <v>0</v>
      </c>
      <c r="GC97" s="6">
        <f>COUNTIFS(Tabela139[Country],Tabela1[[#This Row],[Country]],Tabela139[Classification],"&gt;0")</f>
        <v>0</v>
      </c>
      <c r="GD97" s="6">
        <f>COUNTIFS(Table48[Country],Tabela1[[#This Row],[Country]],Table48[Uneven Bars Classification],"&gt;0")</f>
        <v>0</v>
      </c>
      <c r="GE97" s="6">
        <f>COUNTIFS(Table47[Country],Tabela1[[#This Row],[Country]],Table47[Vault Classification],"&gt;0")</f>
        <v>0</v>
      </c>
      <c r="GF97" s="6">
        <f>COUNTIFS(Table48[Country],Tabela1[[#This Row],[Country]],Table48[Vault Classification],"&gt;0")</f>
        <v>0</v>
      </c>
      <c r="GG97" s="6">
        <f>COUNTIFS(Table919496[Country],Tabela1[[#This Row],[Country]],Table919496[Men''s Classification],"&gt;0")</f>
        <v>0</v>
      </c>
      <c r="GH97" s="6">
        <f>COUNTIFS(Table919496[Country],Tabela1[[#This Row],[Country]],Table919496[Women''s Classification],"&gt;0")</f>
        <v>0</v>
      </c>
      <c r="GI97" s="6">
        <f>COUNTIFS(Table12[Country],Tabela1[[#This Row],[Country]],Table12[60kg Classification],"&gt;0")</f>
        <v>0</v>
      </c>
      <c r="GJ97" s="6">
        <f>COUNTIFS(Table12[Country],Tabela1[[#This Row],[Country]],Table12[66kg Classification],"&gt;0")</f>
        <v>0</v>
      </c>
      <c r="GK97" s="6">
        <f>COUNTIFS(Table12[Country],Tabela1[[#This Row],[Country]],Table12[73kg Classification],"&gt;0")</f>
        <v>0</v>
      </c>
      <c r="GL97" s="6">
        <f>COUNTIFS(Table12[Country],Tabela1[[#This Row],[Country]],Table12[81kg Classification],"&gt;0")</f>
        <v>0</v>
      </c>
      <c r="GM97" s="6">
        <f>COUNTIFS(Table12[Country],Tabela1[[#This Row],[Country]],Table12[90kg Classification],"&gt;0")</f>
        <v>0</v>
      </c>
      <c r="GN97" s="6">
        <f>COUNTIFS(Table12[Country],Tabela1[[#This Row],[Country]],Table12[100kg Classification],"&gt;0")</f>
        <v>0</v>
      </c>
      <c r="GO97" s="6">
        <f>COUNTIFS(Table12[Country],Tabela1[[#This Row],[Country]],Table12[Plus 100kg Classification],"&gt;0")</f>
        <v>0</v>
      </c>
      <c r="GP97" s="6">
        <f>COUNTIFS(Table13[Country],Tabela1[[#This Row],[Country]],Table13[48kg Classification],"&gt;0")</f>
        <v>1</v>
      </c>
      <c r="GQ97" s="6">
        <f>COUNTIFS(Table13[Country],Tabela1[[#This Row],[Country]],Table13[52kg Classification],"&gt;0")</f>
        <v>0</v>
      </c>
      <c r="GR97" s="6">
        <f>COUNTIFS(Table13[Country],Tabela1[[#This Row],[Country]],Table13[57kg Classification],"&gt;0")</f>
        <v>0</v>
      </c>
      <c r="GS97" s="6">
        <f>COUNTIFS(Table13[Country],Tabela1[[#This Row],[Country]],Table13[63kg Classification],"&gt;0")</f>
        <v>0</v>
      </c>
      <c r="GT97" s="6">
        <f>COUNTIFS(Table13[Country],Tabela1[[#This Row],[Country]],Table13[70kg Classification],"&gt;0")</f>
        <v>0</v>
      </c>
      <c r="GU97" s="6">
        <f>COUNTIFS(Table13[Country],Tabela1[[#This Row],[Country]],Table13[78kg Classification],"&gt;0")</f>
        <v>0</v>
      </c>
      <c r="GV97" s="6">
        <f>COUNTIFS(Table13[Country],Tabela1[[#This Row],[Country]],Table13[Plus 78kg Classification],"&gt;0")</f>
        <v>0</v>
      </c>
      <c r="GW97" s="6">
        <f>COUNTIFS(Table82[Country],Tabela1[[#This Row],[Country]],Table82[Mixed Classification],"&gt;0")</f>
        <v>0</v>
      </c>
      <c r="GX97" s="6">
        <f>COUNTIFS(Table51[Country],Tabela1[[#This Row],[Country]],Table51[Classification],"&gt;0")</f>
        <v>0</v>
      </c>
      <c r="GY97" s="6">
        <f>COUNTIFS(Table52[Country],Tabela1[[#This Row],[Country]],Table52[Classification],"&gt;0")</f>
        <v>0</v>
      </c>
      <c r="GZ97" s="6">
        <f>COUNTIFS(Table32[Country],Tabela1[[#This Row],[Country]],Table32[All-Around Classification],"&gt;0")</f>
        <v>0</v>
      </c>
      <c r="HA97" s="6">
        <f>COUNTIFS(Table49[Country],Tabela1[[#This Row],[Country]],Table49[All-Around Classification],"&gt;0")</f>
        <v>0</v>
      </c>
      <c r="HB97" s="6">
        <f>COUNTIFS(Table26[Country],Tabela1[[#This Row],[Country]],Table26[Single Sculls Classification],"&gt;0")</f>
        <v>0</v>
      </c>
      <c r="HC97" s="6">
        <f>COUNTIFS(Table63[Country],Tabela1[[#This Row],[Country]],Table63[Single Sculls Classification],"&gt;0")</f>
        <v>1</v>
      </c>
      <c r="HD97" s="6">
        <f>COUNTIFS(Table16[Country],Tabela1[[#This Row],[Country]],Table16[Men''s Double Sculls Classification],"&gt;0")</f>
        <v>0</v>
      </c>
      <c r="HE97" s="6">
        <f>COUNTIFS(Table16[Country],Tabela1[[#This Row],[Country]],Table16[Women''s Double Sculls Classification],"&gt;0")</f>
        <v>0</v>
      </c>
      <c r="HF97" s="6">
        <f>COUNTIFS(Table72[Country],Tabela1[[#This Row],[Country]],Table72[Men''s Quadruple Sculls Classification],"&gt;0")</f>
        <v>0</v>
      </c>
      <c r="HG97" s="6">
        <f>COUNTIFS(Table72[Country],Tabela1[[#This Row],[Country]],Table72[Women''s Quadruple Sculls Classification],"&gt;0")</f>
        <v>0</v>
      </c>
      <c r="HH97" s="6">
        <f>COUNTIFS(Table16[Country],Tabela1[[#This Row],[Country]],Table16[Men''s Coxless Pairs Classification],"&gt;0")</f>
        <v>0</v>
      </c>
      <c r="HI97" s="6">
        <f>COUNTIFS(Table16[Country],Tabela1[[#This Row],[Country]],Table16[Women''s Coxless Pairs Classification],"&gt;0")</f>
        <v>0</v>
      </c>
      <c r="HJ97" s="6">
        <f>COUNTIFS(Table72[Country],Tabela1[[#This Row],[Country]],Table72[Men''s Coxless Fours Classification],"&gt;0")</f>
        <v>0</v>
      </c>
      <c r="HK97" s="6">
        <f>COUNTIFS(Table72[Country],Tabela1[[#This Row],[Country]],Table72[Women''s Coxless Fours Classification],"&gt;0")</f>
        <v>0</v>
      </c>
      <c r="HL97" s="6">
        <f>COUNTIFS(Table72[Country],Tabela1[[#This Row],[Country]],Table72[Men''s Eights Classification],"&gt;0")</f>
        <v>0</v>
      </c>
      <c r="HM97" s="6">
        <f>COUNTIFS(Table72[Country],Tabela1[[#This Row],[Country]],Table72[Women''s Eights Classification],"&gt;0")</f>
        <v>0</v>
      </c>
      <c r="HN97" s="6">
        <f>COUNTIFS(Table16[Country],Tabela1[[#This Row],[Country]],Table16[Men''s Lwt. Double Sculls Classification],"&gt;0")</f>
        <v>0</v>
      </c>
      <c r="HO97" s="6">
        <f>COUNTIFS(Table16[Country],Tabela1[[#This Row],[Country]],Table16[Women''s Lwt. Double Sculls Classification],"&gt;0")</f>
        <v>0</v>
      </c>
      <c r="HP97" s="6">
        <f>COUNTIFS(Table91949698[Country],Tabela1[[#This Row],[Country]],Table91949698[Men''s Classification],"&gt;0")</f>
        <v>0</v>
      </c>
      <c r="HQ97" s="6">
        <f>COUNTIFS(Table91949698[Country],Tabela1[[#This Row],[Country]],Table91949698[Women''s Classification],"&gt;0")</f>
        <v>0</v>
      </c>
      <c r="HR97" s="6">
        <f>COUNTIFS(Table25[Country],Tabela1[[#This Row],[Country]],Table25[Mixed 470 Classification],"&gt;0")</f>
        <v>0</v>
      </c>
      <c r="HS97" s="6">
        <f>COUNTIFS(Table25[Country],Tabela1[[#This Row],[Country]],Table25[Men''s 49er Classification],"&gt;0")</f>
        <v>0</v>
      </c>
      <c r="HT97" s="6">
        <f>COUNTIFS(Table25[Country],Tabela1[[#This Row],[Country]],Table25[Women''s 49er FX Classification],"&gt;0")</f>
        <v>0</v>
      </c>
      <c r="HU97" s="6">
        <f>COUNTIFS(Table17[Country],Tabela1[[#This Row],[Country]],Table17[Formula Kite Classification],"&gt;0")</f>
        <v>0</v>
      </c>
      <c r="HV97" s="6">
        <f>COUNTIFS(Table18[Country],Tabela1[[#This Row],[Country]],Table18[Formula Kite Classification],"&gt;0")</f>
        <v>0</v>
      </c>
      <c r="HW97" s="6">
        <f>COUNTIFS(Table17[Country],Tabela1[[#This Row],[Country]],Table17[ILCA 7 Classification],"&gt;0")</f>
        <v>0</v>
      </c>
      <c r="HX97" s="6">
        <f>COUNTIFS(Table18[Country],Tabela1[[#This Row],[Country]],Table18[ILCA 6 Classification],"&gt;0")</f>
        <v>0</v>
      </c>
      <c r="HY97" s="6">
        <f>COUNTIFS(Table17[Country],Tabela1[[#This Row],[Country]],Table17[IQFoil Classification],"&gt;0")</f>
        <v>0</v>
      </c>
      <c r="HZ97" s="6">
        <f>COUNTIFS(Table18[Country],Tabela1[[#This Row],[Country]],Table18[IQFoil Classification],"&gt;0")</f>
        <v>0</v>
      </c>
      <c r="IA97" s="6">
        <f>COUNTIFS(Table25[Country],Tabela1[[#This Row],[Country]],Table25[Mixed Nacra 17 Classification],"&gt;0")</f>
        <v>0</v>
      </c>
      <c r="IB97" s="6">
        <f>COUNTIFS(Table53[Country],Tabela1[[#This Row],[Country]],Table53[10m Air Pistol Classification],"&gt;0")</f>
        <v>0</v>
      </c>
      <c r="IC97" s="6">
        <f>COUNTIFS(Table19[Country],Tabela1[[#This Row],[Country]],Table19[10m Air Pistol Classification],"&gt;0")</f>
        <v>0</v>
      </c>
      <c r="ID97" s="6">
        <f>COUNTIFS(Table54[Country],Tabela1[[#This Row],[Country]],Table54[Mixed 10m Air Pistol Team Classification],"&gt;0")</f>
        <v>0</v>
      </c>
      <c r="IE97" s="6">
        <f>COUNTIFS(Table53[Country],Tabela1[[#This Row],[Country]],Table53[10m Air Rifle Classification],"&gt;0")</f>
        <v>0</v>
      </c>
      <c r="IF97" s="6">
        <f>COUNTIFS(Table19[Country],Tabela1[[#This Row],[Country]],Table19[10m Air Rifle Classification],"&gt;0")</f>
        <v>0</v>
      </c>
      <c r="IG97" s="6">
        <f>COUNTIFS(Table54[Country],Tabela1[[#This Row],[Country]],Table54[Mixed 10m Air Rifle Team Classification],"&gt;0")</f>
        <v>0</v>
      </c>
      <c r="IH97" s="6">
        <f>COUNTIFS(Table53[Country],Tabela1[[#This Row],[Country]],Table53[25m Rapid Fire Pistol Classification],"&gt;0")</f>
        <v>0</v>
      </c>
      <c r="II97" s="6">
        <f>COUNTIFS(Table19[Country],Tabela1[[#This Row],[Country]],Table19[25m Pistol Classification],"&gt;0")</f>
        <v>0</v>
      </c>
      <c r="IJ97" s="6">
        <f>COUNTIFS(Table53[Country],Tabela1[[#This Row],[Country]],Table53[50m Rifle 3 Positions Classification],"&gt;0")</f>
        <v>0</v>
      </c>
      <c r="IK97" s="6">
        <f>COUNTIFS(Table19[Country],Tabela1[[#This Row],[Country]],Table19[50m Rifle 3 Positions Classification],"&gt;0")</f>
        <v>0</v>
      </c>
      <c r="IL97" s="6">
        <f>COUNTIFS(Table53[Country],Tabela1[[#This Row],[Country]],Table53[Skeet Classification],"&gt;0")</f>
        <v>0</v>
      </c>
      <c r="IM97" s="6">
        <f>COUNTIFS(Table19[Country],Tabela1[[#This Row],[Country]],Table19[Skeet Classification],"&gt;0")</f>
        <v>0</v>
      </c>
      <c r="IN97" s="6">
        <f>COUNTIFS(Table54[Country],Tabela1[[#This Row],[Country]],Table54[Mixed Skeet Team Classification],"&gt;0")</f>
        <v>0</v>
      </c>
      <c r="IO97" s="6">
        <f>COUNTIFS(Table53[Country],Tabela1[[#This Row],[Country]],Table53[Trap Classification],"&gt;0")</f>
        <v>0</v>
      </c>
      <c r="IP97" s="6">
        <f>COUNTIFS(Table19[Country],Tabela1[[#This Row],[Country]],Table19[Trap Classification],"&gt;0")</f>
        <v>0</v>
      </c>
      <c r="IQ97" s="6">
        <f>COUNTIFS(Table73[Country],Tabela1[[#This Row],[Country]],Table73[Park Classification],"&gt;0")</f>
        <v>0</v>
      </c>
      <c r="IR97" s="6">
        <f>COUNTIFS(Table74[Country],Tabela1[[#This Row],[Country]],Table74[Park Classification],"&gt;0")</f>
        <v>0</v>
      </c>
      <c r="IS97" s="6">
        <f>COUNTIFS(Table73[Country],Tabela1[[#This Row],[Country]],Table73[Street Classification],"&gt;0")</f>
        <v>0</v>
      </c>
      <c r="IT97" s="6">
        <f>COUNTIFS(Table74[Country],Tabela1[[#This Row],[Country]],Table74[Street Classification],"&gt;0")</f>
        <v>0</v>
      </c>
      <c r="IU97" s="6">
        <f>COUNTIFS(Table75[Country],Tabela1[[#This Row],[Country]],Table75[Boulder and Lead Classification],"&gt;0")</f>
        <v>0</v>
      </c>
      <c r="IV97" s="6">
        <f>COUNTIFS(Table76[Country],Tabela1[[#This Row],[Country]],Table76[Boulder and Lead Classification],"&gt;0")</f>
        <v>0</v>
      </c>
      <c r="IW97" s="6">
        <f>COUNTIFS(Table75[Country],Tabela1[[#This Row],[Country]],Table75[Speed Classification],"&gt;0")</f>
        <v>0</v>
      </c>
      <c r="IX97" s="6">
        <f>COUNTIFS(Table76[Country],Tabela1[[#This Row],[Country]],Table76[Speed Classification],"&gt;0")</f>
        <v>0</v>
      </c>
      <c r="IY97" s="6">
        <f>COUNTIFS(Table64[Country],Tabela1[[#This Row],[Country]],Table64[Shortboard Classification],"&gt;0")</f>
        <v>0</v>
      </c>
      <c r="IZ97" s="6">
        <f>COUNTIFS(Table77[Country],Tabela1[[#This Row],[Country]],Table77[Shortboard Classification],"&gt;0")</f>
        <v>0</v>
      </c>
      <c r="JA97" s="6">
        <f>COUNTIFS(Table20[Country],Tabela1[[#This Row],[Country]],Table20[50m Freestyle Classification],"&gt;0")</f>
        <v>0</v>
      </c>
      <c r="JB97" s="6">
        <f>COUNTIFS(Table21[Country],Tabela1[[#This Row],[Country]],Table21[50m Freestyle Classification],"&gt;0")</f>
        <v>0</v>
      </c>
      <c r="JC97" s="6">
        <f>COUNTIFS(Table20[Country],Tabela1[[#This Row],[Country]],Table20[100m Freestyle Classification],"&gt;0")</f>
        <v>0</v>
      </c>
      <c r="JD97" s="6">
        <f>COUNTIFS(Table21[Country],Tabela1[[#This Row],[Country]],Table21[100m Freestyle Classification],"&gt;0")</f>
        <v>0</v>
      </c>
      <c r="JE97" s="6">
        <f>COUNTIFS(Table20[Country],Tabela1[[#This Row],[Country]],Table20[200m Freestyle Classification],"&gt;0")</f>
        <v>0</v>
      </c>
      <c r="JF97" s="6">
        <f>COUNTIFS(Table21[Country],Tabela1[[#This Row],[Country]],Table21[200m Freestyle Classification],"&gt;0")</f>
        <v>0</v>
      </c>
      <c r="JG97" s="6">
        <f>COUNTIFS(Table20[Country],Tabela1[[#This Row],[Country]],Table20[400m Freestyle Classification],"&gt;0")</f>
        <v>0</v>
      </c>
      <c r="JH97" s="6">
        <f>COUNTIFS(Table21[Country],Tabela1[[#This Row],[Country]],Table21[400m Freestyle Classification],"&gt;0")</f>
        <v>0</v>
      </c>
      <c r="JI97" s="6">
        <f>COUNTIFS(Table20[Country],Tabela1[[#This Row],[Country]],Table20[800m Freestyle Classification],"&gt;0")</f>
        <v>0</v>
      </c>
      <c r="JJ97" s="6">
        <f>COUNTIFS(Table21[Country],Tabela1[[#This Row],[Country]],Table21[800m Freestyle Classification],"&gt;0")</f>
        <v>0</v>
      </c>
      <c r="JK97" s="6">
        <f>COUNTIFS(Table20[Country],Tabela1[[#This Row],[Country]],Table20[1500m Freestyle Classification],"&gt;0")</f>
        <v>0</v>
      </c>
      <c r="JL97" s="6">
        <f>COUNTIFS(Table21[Country],Tabela1[[#This Row],[Country]],Table21[1500m Freestyle Classification],"&gt;0")</f>
        <v>0</v>
      </c>
      <c r="JM97" s="6">
        <f>COUNTIFS(Table20[Country],Tabela1[[#This Row],[Country]],Table20[100m Backstroke Classification],"&gt;0")</f>
        <v>0</v>
      </c>
      <c r="JN97" s="6">
        <f>COUNTIFS(Table21[Country],Tabela1[[#This Row],[Country]],Table21[100m Backstroke Classification],"&gt;0")</f>
        <v>0</v>
      </c>
      <c r="JO97" s="6">
        <f>COUNTIFS(Table20[Country],Tabela1[[#This Row],[Country]],Table20[200m Backstroke Classification],"&gt;0")</f>
        <v>0</v>
      </c>
      <c r="JP97" s="6">
        <f>COUNTIFS(Table21[Country],Tabela1[[#This Row],[Country]],Table21[200m Backstroke Classification],"&gt;0")</f>
        <v>0</v>
      </c>
      <c r="JQ97" s="6">
        <f>COUNTIFS(Table20[Country],Tabela1[[#This Row],[Country]],Table20[100m Breaststroke Classification],"&gt;0")</f>
        <v>0</v>
      </c>
      <c r="JR97" s="6">
        <f>COUNTIFS(Table21[Country],Tabela1[[#This Row],[Country]],Table21[100m Breaststroke Classification],"&gt;0")</f>
        <v>0</v>
      </c>
      <c r="JS97" s="6">
        <f>COUNTIFS(Table20[Country],Tabela1[[#This Row],[Country]],Table20[200m Breaststroke Classification],"&gt;0")</f>
        <v>0</v>
      </c>
      <c r="JT97" s="6">
        <f>COUNTIFS(Table21[Country],Tabela1[[#This Row],[Country]],Table21[200m Breaststroke Classification],"&gt;0")</f>
        <v>0</v>
      </c>
      <c r="JU97" s="6">
        <f>COUNTIFS(Table20[Country],Tabela1[[#This Row],[Country]],Table20[100m Butterfly Classification],"&gt;0")</f>
        <v>0</v>
      </c>
      <c r="JV97" s="6">
        <f>COUNTIFS(Table21[Country],Tabela1[[#This Row],[Country]],Table21[100m Butterfly Classification],"&gt;0")</f>
        <v>0</v>
      </c>
      <c r="JW97" s="6">
        <f>COUNTIFS(Table20[Country],Tabela1[[#This Row],[Country]],Table20[200m Butterfly Classification],"&gt;0")</f>
        <v>0</v>
      </c>
      <c r="JX97" s="6">
        <f>COUNTIFS(Table21[Country],Tabela1[[#This Row],[Country]],Table21[200m Butterfly Classification],"&gt;0")</f>
        <v>0</v>
      </c>
      <c r="JY97" s="6">
        <f>COUNTIFS(Table20[Country],Tabela1[[#This Row],[Country]],Table20[200m Medley Classification],"&gt;0")</f>
        <v>0</v>
      </c>
      <c r="JZ97" s="6">
        <f>COUNTIFS(Table21[Country],Tabela1[[#This Row],[Country]],Table21[200m Medley Classification],"&gt;0")</f>
        <v>0</v>
      </c>
      <c r="KA97" s="6">
        <f>COUNTIFS(Table20[Country],Tabela1[[#This Row],[Country]],Table20[400m Medley Classification],"&gt;0")</f>
        <v>0</v>
      </c>
      <c r="KB97" s="6">
        <f>COUNTIFS(Table21[Country],Tabela1[[#This Row],[Country]],Table21[400m Medley Classification],"&gt;0")</f>
        <v>0</v>
      </c>
      <c r="KC97" s="6">
        <f>COUNTIFS(Table78[Country],Tabela1[[#This Row],[Country]],Table78[Men''s 4x100m Freestyle Relay Classification],"&gt;0")</f>
        <v>0</v>
      </c>
      <c r="KD97" s="6">
        <f>COUNTIFS(Table78[Country],Tabela1[[#This Row],[Country]],Table78[Women''s 4x100m Freestyle Relay Classification],"&gt;0")</f>
        <v>0</v>
      </c>
      <c r="KE97" s="6">
        <f>COUNTIFS(Table78[Country],Tabela1[[#This Row],[Country]],Table78[Men''s 4x200m Freestyle Relay Classification],"&gt;0")</f>
        <v>0</v>
      </c>
      <c r="KF97" s="6">
        <f>COUNTIFS(Table78[Country],Tabela1[[#This Row],[Country]],Table78[Women''s 4x200m Freestyle Relay Classification],"&gt;0")</f>
        <v>0</v>
      </c>
      <c r="KG97" s="6">
        <f>COUNTIFS(Table78[Country],Tabela1[[#This Row],[Country]],Table78[Men''s 4x100m Medley Relay Classification],"&gt;0")</f>
        <v>0</v>
      </c>
      <c r="KH97" s="6">
        <f>COUNTIFS(Table78[Country],Tabela1[[#This Row],[Country]],Table78[Women''s 4x100m Medley Relay Classification],"&gt;0")</f>
        <v>0</v>
      </c>
      <c r="KI97" s="6">
        <f>COUNTIFS(Table78[Country],Tabela1[[#This Row],[Country]],Table78[Mixed 4x100m Medley Relay Classification],"&gt;0")</f>
        <v>0</v>
      </c>
      <c r="KJ97" s="6">
        <f>COUNTIFS(Table20[Country],Tabela1[[#This Row],[Country]],Table20[10km Open Water Classification],"&gt;0")</f>
        <v>0</v>
      </c>
      <c r="KK97" s="6">
        <f>COUNTIFS(Table21[Country],Tabela1[[#This Row],[Country]],Table21[10km Open Water Classification],"&gt;0")</f>
        <v>0</v>
      </c>
      <c r="KL97" s="6">
        <f>COUNTIFS(Table22[Country],Tabela1[[#This Row],[Country]],Table22[Classification],"&gt;0")</f>
        <v>0</v>
      </c>
      <c r="KM97" s="6">
        <f>COUNTIFS(Table30[Country],Tabela1[[#This Row],[Country]],Table30[Classification],"&gt;0")</f>
        <v>0</v>
      </c>
      <c r="KN97" s="6">
        <f>COUNTIFS(Table55[Country],Tabela1[[#This Row],[Country]],Table55[Men''s Classification],"&gt;0")</f>
        <v>0</v>
      </c>
      <c r="KO97" s="6">
        <f>COUNTIFS(Table55[Country],Tabela1[[#This Row],[Country]],Table55[Women''s Classification],"&gt;0")</f>
        <v>0</v>
      </c>
      <c r="KP97" s="6">
        <f>COUNTIFS(Table56[Country],Tabela1[[#This Row],[Country]],Table56[Mixed Classification],"&gt;0")</f>
        <v>0</v>
      </c>
      <c r="KQ97" s="6">
        <f>COUNTIFS(Table29[Country],Tabela1[[#This Row],[Country]],Table29[58kg Classification],"&gt;0")</f>
        <v>0</v>
      </c>
      <c r="KR97" s="6">
        <f>COUNTIFS(Table29[Country],Tabela1[[#This Row],[Country]],Table29[68kg Classification],"&gt;0")</f>
        <v>0</v>
      </c>
      <c r="KS97" s="6">
        <f>COUNTIFS(Table29[Country],Tabela1[[#This Row],[Country]],Table29[80kg Classification],"&gt;0")</f>
        <v>0</v>
      </c>
      <c r="KT97" s="6">
        <f>COUNTIFS(Table29[Country],Tabela1[[#This Row],[Country]],Table29[Plus 80kg Classification],"&gt;0")</f>
        <v>0</v>
      </c>
      <c r="KU97" s="6">
        <f>COUNTIFS(Table34[Country],Tabela1[[#This Row],[Country]],Table34[49kg Classification],"&gt;0")</f>
        <v>0</v>
      </c>
      <c r="KV97" s="6">
        <f>COUNTIFS(Table34[Country],Tabela1[[#This Row],[Country]],Table34[57kg Classification],"&gt;0")</f>
        <v>0</v>
      </c>
      <c r="KW97" s="6">
        <f>COUNTIFS(Table34[Country],Tabela1[[#This Row],[Country]],Table34[67kg Classification],"&gt;0")</f>
        <v>0</v>
      </c>
      <c r="KX97" s="6">
        <f>COUNTIFS(Table34[Country],Tabela1[[#This Row],[Country]],Table34[Plus 67kg Classification],"&gt;0")</f>
        <v>0</v>
      </c>
      <c r="KY97" s="6">
        <f>COUNTIFS(Table57[Country],Tabela1[[#This Row],[Country]],Table57[Classification],"&gt;0")</f>
        <v>0</v>
      </c>
      <c r="KZ97" s="6">
        <f>COUNTIFS(Table58[Country],Tabela1[[#This Row],[Country]],Table58[Classification],"&gt;0")</f>
        <v>0</v>
      </c>
      <c r="LA97" s="6">
        <f>COUNTIFS(Table79[Country],Tabela1[[#This Row],[Country]],Table79[Men''s Classification],"&gt;0")</f>
        <v>0</v>
      </c>
      <c r="LB97" s="6">
        <f>COUNTIFS(Table79[Country],Tabela1[[#This Row],[Country]],Table79[Women''s Classification],"&gt;0")</f>
        <v>0</v>
      </c>
      <c r="LC97" s="6">
        <f>COUNTIFS(Table79[Country],Tabela1[[#This Row],[Country]],Table79[Mixed Classification],"&gt;0")</f>
        <v>0</v>
      </c>
      <c r="LD97" s="6">
        <f>COUNTIFS(Table65[Country],Tabela1[[#This Row],[Country]],Table65[Classification],"&gt;0")</f>
        <v>0</v>
      </c>
      <c r="LE97" s="6">
        <f>COUNTIFS(Table59[Country],Tabela1[[#This Row],[Country]],Table59[Classification],"&gt;0")</f>
        <v>0</v>
      </c>
      <c r="LF97" s="6">
        <f>COUNTIFS(Table87[Country],Tabela1[[#This Row],[Country]],Table87[Mixed Relay Classification],"&gt;0")</f>
        <v>0</v>
      </c>
      <c r="LG97" s="6">
        <f>COUNTIFS(Table91949698100[Country],Tabela1[[#This Row],[Country]],Table91949698100[Men''s Classification],"&gt;0")</f>
        <v>0</v>
      </c>
      <c r="LH97" s="6">
        <f>COUNTIFS(Table91949698100[Country],Tabela1[[#This Row],[Country]],Table91949698100[Women''s Classification],"&gt;0")</f>
        <v>0</v>
      </c>
      <c r="LI97" s="6">
        <f>COUNTIFS(Table91949698100102[Country],Tabela1[[#This Row],[Country]],Table91949698100102[Men''s Classification],"&gt;0")</f>
        <v>0</v>
      </c>
      <c r="LJ97" s="6">
        <f>COUNTIFS(Table91949698100102[Country],Tabela1[[#This Row],[Country]],Table91949698100102[Women''s Classification],"&gt;0")</f>
        <v>0</v>
      </c>
      <c r="LK97" s="6">
        <f>COUNTIFS(Table23[Country],Tabela1[[#This Row],[Country]],Table23[61kg Classification],"&gt;0")</f>
        <v>0</v>
      </c>
      <c r="LL97" s="6">
        <f>COUNTIFS(Table23[Country],Tabela1[[#This Row],[Country]],Table23[73kg Classification],"&gt;0")</f>
        <v>0</v>
      </c>
      <c r="LM97" s="6">
        <f>COUNTIFS(Table23[Country],Tabela1[[#This Row],[Country]],Table23[89kg Classification],"&gt;0")</f>
        <v>0</v>
      </c>
      <c r="LN97" s="6">
        <f>COUNTIFS(Table23[Country],Tabela1[[#This Row],[Country]],Table23[102kg Classification],"&gt;0")</f>
        <v>0</v>
      </c>
      <c r="LO97" s="6">
        <f>COUNTIFS(Table23[Country],Tabela1[[#This Row],[Country]],Table23[Plus 102kg Classification],"&gt;0")</f>
        <v>0</v>
      </c>
      <c r="LP97" s="6">
        <f>COUNTIFS(Table28[Country],Tabela1[[#This Row],[Country]],Table28[49kg Classification],"&gt;0")</f>
        <v>0</v>
      </c>
      <c r="LQ97" s="6">
        <f>COUNTIFS(Table28[Country],Tabela1[[#This Row],[Country]],Table28[59kg Classification],"&gt;0")</f>
        <v>0</v>
      </c>
      <c r="LR97" s="6">
        <f>COUNTIFS(Table28[Country],Tabela1[[#This Row],[Country]],Table28[71kg Classification],"&gt;0")</f>
        <v>0</v>
      </c>
      <c r="LS97" s="6">
        <f>COUNTIFS(Table28[Country],Tabela1[[#This Row],[Country]],Table28[81kg Classification],"&gt;0")</f>
        <v>0</v>
      </c>
      <c r="LT97" s="6">
        <f>COUNTIFS(Table28[Country],Tabela1[[#This Row],[Country]],Table28[Plus 81kg Classification],"&gt;0")</f>
        <v>0</v>
      </c>
      <c r="LU97" s="6">
        <f>COUNTIFS(Table24[Country],Tabela1[[#This Row],[Country]],Table24[Freestyle 57kg Classification],"&gt;0")</f>
        <v>0</v>
      </c>
      <c r="LV97" s="6">
        <f>COUNTIFS(Table24[Country],Tabela1[[#This Row],[Country]],Table24[Freestyle 65kg Classification],"&gt;0")</f>
        <v>0</v>
      </c>
      <c r="LW97" s="6">
        <f>COUNTIFS(Table24[Country],Tabela1[[#This Row],[Country]],Table24[Freestyle 74kg Classification],"&gt;0")</f>
        <v>0</v>
      </c>
      <c r="LX97" s="6">
        <f>COUNTIFS(Table24[Country],Tabela1[[#This Row],[Country]],Table24[Freestyle 86kg Classification],"&gt;0")</f>
        <v>0</v>
      </c>
      <c r="LY97" s="6">
        <f>COUNTIFS(Table24[Country],Tabela1[[#This Row],[Country]],Table24[Freestyle 97kg Classification],"&gt;0")</f>
        <v>0</v>
      </c>
      <c r="LZ97" s="6">
        <f>COUNTIFS(Table24[Country],Tabela1[[#This Row],[Country]],Table24[Freestyle 125kg Classification],"&gt;0")</f>
        <v>0</v>
      </c>
      <c r="MA97" s="6">
        <f>COUNTIFS(Table24[Country],Tabela1[[#This Row],[Country]],Table24[Greco-Roman 60kg Classification],"&gt;0")</f>
        <v>0</v>
      </c>
      <c r="MB97" s="6">
        <f>COUNTIFS(Table24[Country],Tabela1[[#This Row],[Country]],Table24[Greco-Roman 67kg Classification],"&gt;0")</f>
        <v>0</v>
      </c>
      <c r="MC97" s="6">
        <f>COUNTIFS(Table24[Country],Tabela1[[#This Row],[Country]],Table24[Greco-Roman 77kg Classification],"&gt;0")</f>
        <v>0</v>
      </c>
      <c r="MD97" s="6">
        <f>COUNTIFS(Table24[Country],Tabela1[[#This Row],[Country]],Table24[Greco-Roman 87kg Classification],"&gt;0")</f>
        <v>0</v>
      </c>
      <c r="ME97" s="6">
        <f>COUNTIFS(Table24[Country],Tabela1[[#This Row],[Country]],Table24[Greco-Roman 97kg Classification],"&gt;0")</f>
        <v>0</v>
      </c>
      <c r="MF97" s="6">
        <f>COUNTIFS(Table24[Country],Tabela1[[#This Row],[Country]],Table24[Greco-Roman 130kg Classification],"&gt;0")</f>
        <v>0</v>
      </c>
      <c r="MG97" s="6">
        <f>COUNTIFS(Table31[Country],Tabela1[[#This Row],[Country]],Table31[50kg Classification],"&gt;0")</f>
        <v>0</v>
      </c>
      <c r="MH97" s="6">
        <f>COUNTIFS(Table31[Country],Tabela1[[#This Row],[Country]],Table31[53kg Classification],"&gt;0")</f>
        <v>0</v>
      </c>
      <c r="MI97" s="6">
        <f>COUNTIFS(Table31[Country],Tabela1[[#This Row],[Country]],Table31[57kg Classification],"&gt;0")</f>
        <v>0</v>
      </c>
      <c r="MJ97" s="6">
        <f>COUNTIFS(Table31[Country],Tabela1[[#This Row],[Country]],Table31[62kg Classification],"&gt;0")</f>
        <v>0</v>
      </c>
      <c r="MK97" s="6">
        <f>COUNTIFS(Table31[Country],Tabela1[[#This Row],[Country]],Table31[68kg Classification],"&gt;0")</f>
        <v>0</v>
      </c>
      <c r="ML97" s="6">
        <f>COUNTIFS(Table31[Country],Tabela1[[#This Row],[Country]],Table31[76kg Classification],"&gt;0")</f>
        <v>0</v>
      </c>
      <c r="MM97" s="6">
        <f>COUNTIFS(Table102[Country],Tabela1[[#This Row],[Country]],Table102[Downhill Classification],"&gt;0")</f>
        <v>0</v>
      </c>
      <c r="MN97" s="6">
        <f>COUNTIFS(Table102105[Country],Tabela1[[#This Row],[Country]],Table102105[Downhill Classification],"&gt;0")</f>
        <v>0</v>
      </c>
      <c r="MO97" s="6">
        <f>COUNTIFS(Table102[Country],Tabela1[[#This Row],[Country]],Table102[Giant Slalom Classification],"&gt;0")</f>
        <v>0</v>
      </c>
      <c r="MP97" s="6">
        <f>COUNTIFS(Table102105[Country],Tabela1[[#This Row],[Country]],Table102105[Giant Slalom Classification],"&gt;0")</f>
        <v>0</v>
      </c>
      <c r="MQ97" s="6">
        <f>COUNTIFS(Table102[Country],Tabela1[[#This Row],[Country]],Table102[Slalom Classification],"&gt;0")</f>
        <v>0</v>
      </c>
      <c r="MR97" s="6">
        <f>COUNTIFS(Table102105[Country],Tabela1[[#This Row],[Country]],Table102105[Slalom Classification],"&gt;0")</f>
        <v>0</v>
      </c>
      <c r="MS97" s="6">
        <f>COUNTIFS(Table102[Country],Tabela1[[#This Row],[Country]],Table102[Super-G Classification],"&gt;0")</f>
        <v>0</v>
      </c>
      <c r="MT97" s="6">
        <f>COUNTIFS(Table102105[Country],Tabela1[[#This Row],[Country]],Table102105[Super-G Classification],"&gt;0")</f>
        <v>0</v>
      </c>
      <c r="MU97" s="6">
        <f>COUNTIFS(Table105[Country],Tabela1[[#This Row],[Country]],Table105[Men''s Combined Classification],"&gt;0")</f>
        <v>0</v>
      </c>
      <c r="MV97" s="6">
        <f>COUNTIFS(Table105[Country],Tabela1[[#This Row],[Country]],Table105[Women''s Combined Classification],"&gt;0")</f>
        <v>0</v>
      </c>
      <c r="MW97" s="6">
        <f>COUNTIFS(Table106[Country],Tabela1[[#This Row],[Country]],Table106[Individual Classification],"&gt;0")</f>
        <v>0</v>
      </c>
      <c r="MX97" s="6">
        <f>COUNTIFS(Table106109[Country],Tabela1[[#This Row],[Country]],Table106109[Individual Classification],"&gt;0")</f>
        <v>0</v>
      </c>
      <c r="MY97" s="6">
        <f>COUNTIFS(Table106[Country],Tabela1[[#This Row],[Country]],Table106[Mass Start Classification],"&gt;0")</f>
        <v>0</v>
      </c>
      <c r="MZ97" s="6">
        <f>COUNTIFS(Table106109[Country],Tabela1[[#This Row],[Country]],Table106109[Mass Start Classification],"&gt;0")</f>
        <v>0</v>
      </c>
      <c r="NA97" s="6">
        <f>COUNTIFS(Table106[Country],Tabela1[[#This Row],[Country]],Table106[Pursuit Classification],"&gt;0")</f>
        <v>0</v>
      </c>
      <c r="NB97" s="6">
        <f>COUNTIFS(Table106109[Country],Tabela1[[#This Row],[Country]],Table106109[Pursuit Classification],"&gt;0")</f>
        <v>0</v>
      </c>
      <c r="NC97" s="6">
        <f>COUNTIFS(Table106[Country],Tabela1[[#This Row],[Country]],Table106[Sprint Classification],"&gt;0")</f>
        <v>0</v>
      </c>
      <c r="ND97" s="6">
        <f>COUNTIFS(Table106109[Country],Tabela1[[#This Row],[Country]],Table106109[Sprint Classification],"&gt;0")</f>
        <v>0</v>
      </c>
      <c r="NE97" s="6">
        <f>COUNTIFS(Table109[Country],Tabela1[[#This Row],[Country]],Table109[Men''s Relay Classification],"&gt;0")</f>
        <v>0</v>
      </c>
      <c r="NF97" s="6">
        <f>COUNTIFS(Table109[Country],Tabela1[[#This Row],[Country]],Table109[Women''s Relay Classification],"&gt;0")</f>
        <v>0</v>
      </c>
      <c r="NG97" s="6">
        <f>COUNTIFS(Table109[Country],Tabela1[[#This Row],[Country]],Table109[Mixed Relay Classification],"&gt;0")</f>
        <v>0</v>
      </c>
      <c r="NH97" s="6">
        <f>COUNTIFS(Table110[Country],Tabela1[[#This Row],[Country]],Table110[Monobob Classification],"&gt;0")</f>
        <v>0</v>
      </c>
      <c r="NI97" s="6">
        <f>COUNTIFS(Table111[Country],Tabela1[[#This Row],[Country]],Table111[Men''s Classification],"&gt;0")</f>
        <v>0</v>
      </c>
      <c r="NJ97" s="6">
        <f>COUNTIFS(Table111[Country],Tabela1[[#This Row],[Country]],Table111[Women''s Classification],"&gt;0")</f>
        <v>0</v>
      </c>
      <c r="NK97" s="6">
        <f>COUNTIFS(Table112[Country],Tabela1[[#This Row],[Country]],Table112[Men''s Four Classification],"&gt;0")</f>
        <v>0</v>
      </c>
      <c r="NL97" s="6">
        <f>COUNTIFS(Table113[Country],Tabela1[[#This Row],[Country]],Table113[Classical Classification],"&gt;0")</f>
        <v>0</v>
      </c>
      <c r="NM97" s="6">
        <f>COUNTIFS(Table113116[Country],Tabela1[[#This Row],[Country]],Table113116[Classical Classification],"&gt;0")</f>
        <v>0</v>
      </c>
      <c r="NN97" s="6">
        <f>COUNTIFS(Table113[Country],Tabela1[[#This Row],[Country]],Table113[Freestyle Classification],"&gt;0")</f>
        <v>0</v>
      </c>
      <c r="NO97" s="6">
        <f>COUNTIFS(Table113116[Country],Tabela1[[#This Row],[Country]],Table113116[Freestyle Classification],"&gt;0")</f>
        <v>0</v>
      </c>
      <c r="NP97" s="6">
        <f>COUNTIFS(Table117[Country],Tabela1[[#This Row],[Country]],Table117[Men''s Relay Classification],"&gt;0")</f>
        <v>0</v>
      </c>
      <c r="NQ97" s="6">
        <f>COUNTIFS(Table117[Country],Tabela1[[#This Row],[Country]],Table117[Women''s Relay Classification],"&gt;0")</f>
        <v>0</v>
      </c>
      <c r="NR97" s="6">
        <f>COUNTIFS(Table113[Country],Tabela1[[#This Row],[Country]],Table113[Skiathlon Classification],"&gt;0")</f>
        <v>0</v>
      </c>
      <c r="NS97" s="6">
        <f>COUNTIFS(Table113116[Country],Tabela1[[#This Row],[Country]],Table113116[Skiathlon Classification],"&gt;0")</f>
        <v>0</v>
      </c>
      <c r="NT97" s="6">
        <f>COUNTIFS(Table113[Country],Tabela1[[#This Row],[Country]],Table113[Sprint Classification],"&gt;0")</f>
        <v>0</v>
      </c>
      <c r="NU97" s="6">
        <f>COUNTIFS(Table113116[Country],Tabela1[[#This Row],[Country]],Table113116[Sprint Classification],"&gt;0")</f>
        <v>0</v>
      </c>
      <c r="NV97" s="6">
        <f>COUNTIFS(Table116[Country],Tabela1[[#This Row],[Country]],Table116[Men''s Team Sprint Classification],"&gt;0")</f>
        <v>0</v>
      </c>
      <c r="NW97" s="6">
        <f>COUNTIFS(Table116[Country],Tabela1[[#This Row],[Country]],Table116[Women''s Team Sprint Classification],"&gt;0")</f>
        <v>0</v>
      </c>
      <c r="NX97" s="6">
        <f>COUNTIFS(Table119[Country],Tabela1[[#This Row],[Country]],Table119[Men''s Classification],"&gt;0")</f>
        <v>0</v>
      </c>
      <c r="NY97" s="6">
        <f>COUNTIFS(Table119[Country],Tabela1[[#This Row],[Country]],Table119[Women''s Classification],"&gt;0")</f>
        <v>0</v>
      </c>
      <c r="NZ97" s="6">
        <f>COUNTIFS(Table118[Country],Tabela1[[#This Row],[Country]],Table118[Mixed Classification],"&gt;0")</f>
        <v>0</v>
      </c>
      <c r="OA97" s="6">
        <f>COUNTIFS(Table120[Country],Tabela1[[#This Row],[Country]],Table120[Classification],"&gt;0")</f>
        <v>0</v>
      </c>
      <c r="OB97" s="6">
        <f>COUNTIFS(Table120123[Country],Tabela1[[#This Row],[Country]],Table120123[Classification],"&gt;0")</f>
        <v>0</v>
      </c>
      <c r="OC97" s="6">
        <f>COUNTIFS(Table123[Country],Tabela1[[#This Row],[Country]],Table123[Ice Dance Classification],"&gt;0")</f>
        <v>0</v>
      </c>
      <c r="OD97" s="6">
        <f>COUNTIFS(Table123[Country],Tabela1[[#This Row],[Country]],Table123[Pair Skating Classification],"&gt;0")</f>
        <v>0</v>
      </c>
      <c r="OE97" s="6">
        <f>COUNTIFS(Table124[Country],Tabela1[[#This Row],[Country]],Table124[Mixed Classification],"&gt;0")</f>
        <v>0</v>
      </c>
      <c r="OF97" s="6">
        <f>COUNTIFS(Table125[Country],Tabela1[[#This Row],[Country]],Table125[Aerials Classification],"&gt;0")</f>
        <v>0</v>
      </c>
      <c r="OG97" s="6">
        <f>COUNTIFS(Table125128[Country],Tabela1[[#This Row],[Country]],Table125128[Aerials Classification],"&gt;0")</f>
        <v>0</v>
      </c>
      <c r="OH97" s="6">
        <f>COUNTIFS(Table128[Country],Tabela1[[#This Row],[Country]],Table128[Mixed Aerials Classification],"&gt;0")</f>
        <v>0</v>
      </c>
      <c r="OI97" s="6">
        <f>COUNTIFS(Table125[Country],Tabela1[[#This Row],[Country]],Table125[Big Air Classification],"&gt;0")</f>
        <v>0</v>
      </c>
      <c r="OJ97" s="6">
        <f>COUNTIFS(Table125128[Country],Tabela1[[#This Row],[Country]],Table125128[Big Air Classification],"&gt;0")</f>
        <v>0</v>
      </c>
      <c r="OK97" s="6">
        <f>COUNTIFS(Table125[Country],Tabela1[[#This Row],[Country]],Table125[Dual Moguls Classification],"&gt;0")</f>
        <v>0</v>
      </c>
      <c r="OL97" s="6">
        <f>COUNTIFS(Table125128[Country],Tabela1[[#This Row],[Country]],Table125128[Dual Moguls Classification],"&gt;0")</f>
        <v>0</v>
      </c>
      <c r="OM97" s="6">
        <f>COUNTIFS(Table125[Country],Tabela1[[#This Row],[Country]],Table125[Halfpipe Classification],"&gt;0")</f>
        <v>0</v>
      </c>
      <c r="ON97" s="6">
        <f>COUNTIFS(Table125128[Country],Tabela1[[#This Row],[Country]],Table125128[Halfpipe Classification],"&gt;0")</f>
        <v>0</v>
      </c>
      <c r="OO97" s="6">
        <f>COUNTIFS(Table125[Country],Tabela1[[#This Row],[Country]],Table125[Moguls Classification],"&gt;0")</f>
        <v>0</v>
      </c>
      <c r="OP97" s="6">
        <f>COUNTIFS(Table125128[Country],Tabela1[[#This Row],[Country]],Table125128[Moguls Classification],"&gt;0")</f>
        <v>0</v>
      </c>
      <c r="OQ97" s="6">
        <f>COUNTIFS(Table125[Country],Tabela1[[#This Row],[Country]],Table125[Ski Cross Classification],"&gt;0")</f>
        <v>0</v>
      </c>
      <c r="OR97" s="6">
        <f>COUNTIFS(Table125128[Country],Tabela1[[#This Row],[Country]],Table125128[Ski Cross Classification],"&gt;0")</f>
        <v>0</v>
      </c>
      <c r="OS97" s="6">
        <f>COUNTIFS(Table125[Country],Tabela1[[#This Row],[Country]],Table125[Slopestyle Classification],"&gt;0")</f>
        <v>0</v>
      </c>
      <c r="OT97" s="6">
        <f>COUNTIFS(Table125128[Country],Tabela1[[#This Row],[Country]],Table125128[Slopestyle Classification],"&gt;0")</f>
        <v>0</v>
      </c>
      <c r="OU97" s="6">
        <f>COUNTIFS(Table119131[Country],Tabela1[[#This Row],[Country]],Table119131[Men''s Classification],"&gt;0")</f>
        <v>0</v>
      </c>
      <c r="OV97" s="6">
        <f>COUNTIFS(Table119131[Country],Tabela1[[#This Row],[Country]],Table119131[Women''s Classification],"&gt;0")</f>
        <v>0</v>
      </c>
      <c r="OW97" s="6">
        <f>COUNTIFS(Table131[Country],Tabela1[[#This Row],[Country]],Table131[Classification],"&gt;0")</f>
        <v>0</v>
      </c>
      <c r="OX97" s="6">
        <f>COUNTIFS(Table131134[Country],Tabela1[[#This Row],[Country]],Table131134[Classification],"&gt;0")</f>
        <v>0</v>
      </c>
      <c r="OY97" s="6">
        <f>COUNTIFS(Table134[Country],Tabela1[[#This Row],[Country]],Table134[Men''s Classification],"&gt;0")</f>
        <v>0</v>
      </c>
      <c r="OZ97" s="6">
        <f>COUNTIFS(Table134[Country],Tabela1[[#This Row],[Country]],Table134[Women''s Classification],"&gt;0")</f>
        <v>0</v>
      </c>
      <c r="PA97" s="6">
        <f>COUNTIFS(Table135[Country],Tabela1[[#This Row],[Country]],Table135[Mixed Relay Classification],"&gt;0")</f>
        <v>0</v>
      </c>
      <c r="PB97" s="6">
        <f>COUNTIFS(Table136[Country],Tabela1[[#This Row],[Country]],Table136[Individual Classification],"&gt;0")</f>
        <v>0</v>
      </c>
      <c r="PC97" s="6">
        <f>COUNTIFS(Table136[Country],Tabela1[[#This Row],[Country]],Table136[Sprint Classification],"&gt;0")</f>
        <v>0</v>
      </c>
      <c r="PD97" s="6">
        <f>COUNTIFS(Table137[Country],Tabela1[[#This Row],[Country]],Table137[Men''s Team Sprint Large Hill Classification],"&gt;0")</f>
        <v>0</v>
      </c>
      <c r="PE97" s="6">
        <f>COUNTIFS(Table138[Country],Tabela1[[#This Row],[Country]],Table138[500m Classification],"&gt;0")</f>
        <v>0</v>
      </c>
      <c r="PF97" s="6">
        <f>COUNTIFS(Table138141[Country],Tabela1[[#This Row],[Country]],Table138141[500m Classification],"&gt;0")</f>
        <v>0</v>
      </c>
      <c r="PG97" s="6">
        <f>COUNTIFS(Table138[Country],Tabela1[[#This Row],[Country]],Table138[1000m Classification],"&gt;0")</f>
        <v>0</v>
      </c>
      <c r="PH97" s="6">
        <f>COUNTIFS(Table138141[Country],Tabela1[[#This Row],[Country]],Table138141[1000m Classification],"&gt;0")</f>
        <v>0</v>
      </c>
      <c r="PI97" s="6">
        <f>COUNTIFS(Table138[Country],Tabela1[[#This Row],[Country]],Table138[1500m Classification],"&gt;0")</f>
        <v>0</v>
      </c>
      <c r="PJ97" s="6">
        <f>COUNTIFS(Table138141[Country],Tabela1[[#This Row],[Country]],Table138141[1500m Classification],"&gt;0")</f>
        <v>0</v>
      </c>
      <c r="PK97" s="6">
        <f>COUNTIFS(Table141[Country],Tabela1[[#This Row],[Country]],Table141[Men''s 5000m Relay Classification],"&gt;0")</f>
        <v>0</v>
      </c>
      <c r="PL97" s="6">
        <f>COUNTIFS(Table141[Country],Tabela1[[#This Row],[Country]],Table141[Women''s 3000m Relay Classification],"&gt;0")</f>
        <v>0</v>
      </c>
      <c r="PM97" s="6">
        <f>COUNTIFS(Table141[Country],Tabela1[[#This Row],[Country]],Table141[Mixed 2000m Relay Classification],"&gt;0")</f>
        <v>0</v>
      </c>
      <c r="PN97" s="6">
        <f>COUNTIFS(Table142[Country],Tabela1[[#This Row],[Country]],Table142[Classification],"&gt;0")</f>
        <v>0</v>
      </c>
      <c r="PO97" s="6">
        <f>COUNTIFS(Table142145[Country],Tabela1[[#This Row],[Country]],Table142145[Classification],"&gt;0")</f>
        <v>0</v>
      </c>
      <c r="PP97" s="6">
        <f>COUNTIFS(Tabela15[Country],Tabela1[[#This Row],[Country]],Tabela15[Mixed Team Classification],"&gt;0")</f>
        <v>0</v>
      </c>
      <c r="PQ97" s="6">
        <f>COUNTIFS(Table145[Country],Tabela1[[#This Row],[Country]],Table145[Large Hill Classification],"&gt;0")</f>
        <v>0</v>
      </c>
      <c r="PR97" s="6">
        <f>COUNTIFS(Table145[Country],Tabela1[[#This Row],[Country]],Table145[Normal Hill Classification],"&gt;0")</f>
        <v>0</v>
      </c>
      <c r="PS97" s="6">
        <f>COUNTIFS(Table145148[Country],Tabela1[[#This Row],[Country]],Table145148[Large Hill Classification],"&gt;0")</f>
        <v>0</v>
      </c>
      <c r="PT97" s="6">
        <f>COUNTIFS(Table145148[Country],Tabela1[[#This Row],[Country]],Table145148[Normal Hill Classification],"&gt;0")</f>
        <v>0</v>
      </c>
      <c r="PU97" s="6">
        <f>COUNTIFS(Table148[Country],Tabela1[[#This Row],[Country]],Table148[Men''s Super Team Classification],"&gt;0")</f>
        <v>0</v>
      </c>
      <c r="PV97" s="6">
        <f>COUNTIFS(Tabela114[Country],Tabela1[[#This Row],[Country]],Tabela114[Mixed Normal Hill Classification],"&gt;0")</f>
        <v>0</v>
      </c>
      <c r="PW97" s="6">
        <f>COUNTIFS(Tabela50[Country],Tabela1[[#This Row],[Country]],Tabela50[Sprint Classification],"&gt;0")</f>
        <v>0</v>
      </c>
      <c r="PX97" s="6">
        <f>COUNTIFS(Tabela50101[Country],Tabela1[[#This Row],[Country]],Tabela50101[Sprint Classification],"&gt;0")</f>
        <v>0</v>
      </c>
      <c r="PY97" s="6">
        <f>COUNTIFS(Tabela103[Country],Tabela1[[#This Row],[Country]],Tabela103[Mixed Relay Classification],"&gt;0")</f>
        <v>0</v>
      </c>
      <c r="PZ97" s="6">
        <f>COUNTIFS(Table149[Country],Tabela1[[#This Row],[Country]],Table149[Big Air Classification],"&gt;0")</f>
        <v>0</v>
      </c>
      <c r="QA97" s="6">
        <f>COUNTIFS(Table149152[Country],Tabela1[[#This Row],[Country]],Table149152[Big Air Classification],"&gt;0")</f>
        <v>0</v>
      </c>
      <c r="QB97" s="6">
        <f>COUNTIFS(Table149[Country],Tabela1[[#This Row],[Country]],Table149[Halfpipe Classification],"&gt;0")</f>
        <v>0</v>
      </c>
      <c r="QC97" s="6">
        <f>COUNTIFS(Table149152[Country],Tabela1[[#This Row],[Country]],Table149152[Halfpipe Classification],"&gt;0")</f>
        <v>0</v>
      </c>
      <c r="QD97" s="6">
        <f>COUNTIFS(Table149[Country],Tabela1[[#This Row],[Country]],Table149[Parallel Giant Slalom Classification],"&gt;0")</f>
        <v>0</v>
      </c>
      <c r="QE97" s="6">
        <f>COUNTIFS(Table149152[Country],Tabela1[[#This Row],[Country]],Table149152[Parallel Giant Slalom Classification],"&gt;0")</f>
        <v>0</v>
      </c>
      <c r="QF97" s="6">
        <f>COUNTIFS(Table149[Country],Tabela1[[#This Row],[Country]],Table149[Slopestyle Classification],"&gt;0")</f>
        <v>0</v>
      </c>
      <c r="QG97" s="6">
        <f>COUNTIFS(Table149152[Country],Tabela1[[#This Row],[Country]],Table149152[Slopestyle Classification],"&gt;0")</f>
        <v>0</v>
      </c>
      <c r="QH97" s="6">
        <f>COUNTIFS(Table149[Country],Tabela1[[#This Row],[Country]],Table149[Snowboard Cross Classification],"&gt;0")</f>
        <v>0</v>
      </c>
      <c r="QI97" s="6">
        <f>COUNTIFS(Table149152[Country],Tabela1[[#This Row],[Country]],Table149152[Snowboard Cross Classification],"&gt;0")</f>
        <v>0</v>
      </c>
      <c r="QJ97" s="6">
        <f>COUNTIFS(Table153[Country],Tabela1[[#This Row],[Country]],Table153[Mixed Team Snowboard Cross Classification],"&gt;0")</f>
        <v>0</v>
      </c>
      <c r="QK97" s="6">
        <f>COUNTIFS(Table154[Country],Tabela1[[#This Row],[Country]],Table154[500m Classification],"&gt;0")</f>
        <v>0</v>
      </c>
      <c r="QL97" s="6">
        <f>COUNTIFS(Table154157[Country],Tabela1[[#This Row],[Country]],Table154157[500m Classification],"&gt;0")</f>
        <v>0</v>
      </c>
      <c r="QM97" s="6">
        <f>COUNTIFS(Table154[Country],Tabela1[[#This Row],[Country]],Table154[1000m Classification],"&gt;0")</f>
        <v>0</v>
      </c>
      <c r="QN97" s="6">
        <f>COUNTIFS(Table154157[Country],Tabela1[[#This Row],[Country]],Table154157[1000m Classification],"&gt;0")</f>
        <v>0</v>
      </c>
      <c r="QO97" s="6">
        <f>COUNTIFS(Table154[Country],Tabela1[[#This Row],[Country]],Table154[1500m Classification],"&gt;0")</f>
        <v>0</v>
      </c>
      <c r="QP97" s="6">
        <f>COUNTIFS(Table154157[Country],Tabela1[[#This Row],[Country]],Table154157[1500m Classification],"&gt;0")</f>
        <v>0</v>
      </c>
      <c r="QQ97" s="6">
        <f>COUNTIFS(Table154157[Country],Tabela1[[#This Row],[Country]],Table154157[3000m Classification],"&gt;0")</f>
        <v>0</v>
      </c>
      <c r="QR97" s="6">
        <f>COUNTIFS(Table154[Country],Tabela1[[#This Row],[Country]],Table154[5000m Classification],"&gt;0")</f>
        <v>0</v>
      </c>
      <c r="QS97" s="6">
        <f>COUNTIFS(Table154157[Country],Tabela1[[#This Row],[Country]],Table154157[5000m Classification],"&gt;0")</f>
        <v>0</v>
      </c>
      <c r="QT97" s="6">
        <f>COUNTIFS(Table154[Country],Tabela1[[#This Row],[Country]],Table154[10000m Classification],"&gt;0")</f>
        <v>0</v>
      </c>
      <c r="QU97" s="6">
        <f>COUNTIFS(Table154[Country],Tabela1[[#This Row],[Country]],Table154[Mass Start Classification],"&gt;0")</f>
        <v>0</v>
      </c>
      <c r="QV97" s="6">
        <f>COUNTIFS(Table154157[Country],Tabela1[[#This Row],[Country]],Table154157[Mass Start Classification],"&gt;0")</f>
        <v>0</v>
      </c>
      <c r="QW97" s="6">
        <f>COUNTIFS(Table157[Country],Tabela1[[#This Row],[Country]],Table157[Men''s Pursuit Classification],"&gt;0")</f>
        <v>0</v>
      </c>
      <c r="QX97" s="6">
        <f>COUNTIFS(Table157[Country],Tabela1[[#This Row],[Country]],Table157[Women''s Pursuit Classification],"&gt;0")</f>
        <v>0</v>
      </c>
      <c r="QY97" s="4" t="s">
        <v>669</v>
      </c>
    </row>
    <row r="98" spans="1:467" x14ac:dyDescent="0.3">
      <c r="A98" s="6">
        <v>97</v>
      </c>
      <c r="B98" s="6" t="s">
        <v>640</v>
      </c>
      <c r="C98" t="e" vm="97">
        <f>IF(ISBLANK(Tabela1[[#This Row],[Image Link]]), "", _xlfn.IMAGE(Tabela1[[#This Row],[Image Link]],1,1))</f>
        <v>#VALUE!</v>
      </c>
      <c r="D98" s="6">
        <f>SUM(Tabela1[[#This Row],[Archery - Men''s Individual Recurve]:[Speed Skating - Women''s Team Pursuit]])</f>
        <v>4</v>
      </c>
      <c r="E98" s="6">
        <f>COUNTIF(Tabela1[[#This Row],[Archery - Men''s Individual Recurve]:[Speed Skating - Women''s Team Pursuit]],"&gt;0")</f>
        <v>4</v>
      </c>
      <c r="F98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98" s="6">
        <f>SUM(Tabela1[[#This Row],[Archery - Men''s Individual Recurve]:[Wrestling - Women''s Freestyle 76kg]])</f>
        <v>2</v>
      </c>
      <c r="H98" s="6">
        <f>SUM(Tabela1[[#This Row],[Alpine Skiing - Men''s Downhill]:[Speed Skating - Women''s Team Pursuit]])</f>
        <v>2</v>
      </c>
      <c r="I98" s="6">
        <f>Tabela1[[#This Row],[Summer Gold Medals]]+Tabela1[[#This Row],[Winter Gold Medals]]</f>
        <v>0</v>
      </c>
      <c r="J98" s="6">
        <f>Tabela1[[#This Row],[Summer Silver Medals]]+Tabela1[[#This Row],[Winter Silver Medals]]</f>
        <v>0</v>
      </c>
      <c r="K98" s="6">
        <f>Tabela1[[#This Row],[Summer Bronze Medals]]+Tabela1[[#This Row],[Winter Bronze Medals]]</f>
        <v>0</v>
      </c>
      <c r="L98" s="6">
        <f>SUM(Tabela1[[#This Row],[Total Gold Medals]:[Total Bronze Medals]])</f>
        <v>0</v>
      </c>
      <c r="M98" s="6"/>
      <c r="N98" s="6"/>
      <c r="O98" s="6"/>
      <c r="P98" s="6">
        <f>SUM(Tabela1[[#This Row],[Summer Gold Medals]:[Summer Bronze Medals]])</f>
        <v>0</v>
      </c>
      <c r="Q98" s="6"/>
      <c r="R98" s="6"/>
      <c r="S98" s="6"/>
      <c r="T98" s="6">
        <f>Tabela1[[#This Row],[Winter Gold Medals]]+Tabela1[[#This Row],[Winter Silver Medals]]+Tabela1[[#This Row],[Winter Bronze Medals]]</f>
        <v>0</v>
      </c>
      <c r="U98" s="7">
        <f>Tabela1[[#This Row],[Total Medals]]/Tabela1[[#This Row],[Total Quotas]]</f>
        <v>0</v>
      </c>
      <c r="V98" s="6">
        <f>COUNTIFS(Table3[Country],Tabela1[[#This Row],[Country]],Table3[Recurve Classification],"&gt;0")</f>
        <v>0</v>
      </c>
      <c r="W98" s="6">
        <f>COUNTIFS(Table33[Country],Tabela1[[#This Row],[Country]],Table33[Recurve Classification],"&gt;0")</f>
        <v>0</v>
      </c>
      <c r="X98" s="6">
        <f>COUNTIFS(Table35[Country],Tabela1[[#This Row],[Country]],Table35[Men''s Team Recurve Classification],"&gt;0")</f>
        <v>0</v>
      </c>
      <c r="Y98" s="6">
        <f>COUNTIFS(Table35[Country],Tabela1[[#This Row],[Country]],Table35[Women''s Team Recurve Classification],"&gt;0")</f>
        <v>0</v>
      </c>
      <c r="Z98" s="6">
        <f>COUNTIFS(Tabela88[Country],Tabela1[[#This Row],[Country]],Tabela88[Mixed Team Recurve Classification],"&gt;0")</f>
        <v>0</v>
      </c>
      <c r="AA98" s="6">
        <f>COUNTIFS(Table36[Country],Tabela1[[#This Row],[Country]],Table36[Classification],"&gt;0")</f>
        <v>0</v>
      </c>
      <c r="AB98" s="6">
        <f>COUNTIFS(Table37[Country],Tabela1[[#This Row],[Country]],Table37[Classification],"&gt;0")</f>
        <v>0</v>
      </c>
      <c r="AC98" s="6">
        <f>COUNTIFS(Table4[Country],Tabela1[[#This Row],[Country]],Table4[100m Classification],"&gt;0")</f>
        <v>0</v>
      </c>
      <c r="AD98" s="6">
        <f>COUNTIFS(Table5[Country],Tabela1[[#This Row],[Country]],Table5[100m Classification],"&gt;0")</f>
        <v>0</v>
      </c>
      <c r="AE98" s="6">
        <f>COUNTIFS(Table4[Country],Tabela1[[#This Row],[Country]],Table4[200m Classification],"&gt;0")</f>
        <v>0</v>
      </c>
      <c r="AF98" s="6">
        <f>COUNTIFS(Table5[Country],Tabela1[[#This Row],[Country]],Table5[200m Classification],"&gt;0")</f>
        <v>0</v>
      </c>
      <c r="AG98" s="6">
        <f>COUNTIFS(Table4[Country],Tabela1[[#This Row],[Country]],Table4[400m Classification],"&gt;0")</f>
        <v>0</v>
      </c>
      <c r="AH98" s="6">
        <f>COUNTIFS(Table5[Country],Tabela1[[#This Row],[Country]],Table5[400m Classification],"&gt;0")</f>
        <v>0</v>
      </c>
      <c r="AI98" s="6">
        <f>COUNTIFS(Table4[Country],Tabela1[[#This Row],[Country]],Table4[800m Classification],"&gt;0")</f>
        <v>0</v>
      </c>
      <c r="AJ98" s="6">
        <f>COUNTIFS(Table5[Country],Tabela1[[#This Row],[Country]],Table5[800m Classification],"&gt;0")</f>
        <v>0</v>
      </c>
      <c r="AK98" s="6">
        <f>COUNTIFS(Table4[Country],Tabela1[[#This Row],[Country]],Table4[1500m Classification],"&gt;0")</f>
        <v>0</v>
      </c>
      <c r="AL98" s="6">
        <f>COUNTIFS(Table5[Country],Tabela1[[#This Row],[Country]],Table5[1500m Classification],"&gt;0")</f>
        <v>0</v>
      </c>
      <c r="AM98" s="6">
        <f>COUNTIFS(Table4[Country],Tabela1[[#This Row],[Country]],Table4[5000m Classification],"&gt;0")</f>
        <v>0</v>
      </c>
      <c r="AN98" s="6">
        <f>COUNTIFS(Table5[Country],Tabela1[[#This Row],[Country]],Table5[5000m Classification],"&gt;0")</f>
        <v>0</v>
      </c>
      <c r="AO98" s="6">
        <f>COUNTIFS(Table4[Country],Tabela1[[#This Row],[Country]],Table4[10000m Classification],"&gt;0")</f>
        <v>0</v>
      </c>
      <c r="AP98" s="6">
        <f>COUNTIFS(Table5[Country],Tabela1[[#This Row],[Country]],Table5[10000m Classification],"&gt;0")</f>
        <v>0</v>
      </c>
      <c r="AQ98" s="6">
        <f>COUNTIFS(Table4[Country],Tabela1[[#This Row],[Country]],Table4[110m Hurdles Classification],"&gt;0")</f>
        <v>0</v>
      </c>
      <c r="AR98" s="6">
        <f>COUNTIFS(Table5[Country],Tabela1[[#This Row],[Country]],Table5[100m Hurdles Classification],"&gt;0")</f>
        <v>0</v>
      </c>
      <c r="AS98" s="6">
        <f>COUNTIFS(Table4[Country],Tabela1[[#This Row],[Country]],Table4[400m Hurdles Classification],"&gt;0")</f>
        <v>0</v>
      </c>
      <c r="AT98" s="6">
        <f>COUNTIFS(Table5[Country],Tabela1[[#This Row],[Country]],Table5[400m Hurdles Classification],"&gt;0")</f>
        <v>0</v>
      </c>
      <c r="AU98" s="6">
        <f>COUNTIFS(Table4[Country],Tabela1[[#This Row],[Country]],Table4[3000m Steeplechase Classification],"&gt;0")</f>
        <v>0</v>
      </c>
      <c r="AV98" s="6">
        <f>COUNTIFS(Table5[Country],Tabela1[[#This Row],[Country]],Table5[3000m Steeplechase Classification],"&gt;0")</f>
        <v>0</v>
      </c>
      <c r="AW98" s="6">
        <f>COUNTIFS(Table27[Country],Tabela1[[#This Row],[Country]],Table27[Men''s 4x100m Relay Classification],"&gt;0")</f>
        <v>0</v>
      </c>
      <c r="AX98" s="6">
        <f>COUNTIFS(Table27[Country],Tabela1[[#This Row],[Country]],Table27[Women''s 4x100m Relay Classification],"&gt;0")</f>
        <v>0</v>
      </c>
      <c r="AY98" s="6">
        <f>COUNTIFS(Table27[Country],Tabela1[[#This Row],[Country]],Table27[Men''s 4x400m Relay Classification],"&gt;0")</f>
        <v>0</v>
      </c>
      <c r="AZ98" s="6">
        <f>COUNTIFS(Table27[Country],Tabela1[[#This Row],[Country]],Table27[Women''s 4x400m Relay Classification],"&gt;0")</f>
        <v>0</v>
      </c>
      <c r="BA98" s="6">
        <f>COUNTIFS(Table27[Country],Tabela1[[#This Row],[Country]],Table27[Mixed 4x400m Relay Classification],"&gt;0")</f>
        <v>0</v>
      </c>
      <c r="BB98" s="6">
        <f>COUNTIFS(Table4[Country],Tabela1[[#This Row],[Country]],Table4[Marathon Classification],"&gt;0")</f>
        <v>0</v>
      </c>
      <c r="BC98" s="6">
        <f>COUNTIFS(Table5[Country],Tabela1[[#This Row],[Country]],Table5[Marathon Classification],"&gt;0")</f>
        <v>0</v>
      </c>
      <c r="BD98" s="6">
        <f>COUNTIFS(Table4[Country],Tabela1[[#This Row],[Country]],Table4[20km Race Walk Classification],"&gt;0")</f>
        <v>0</v>
      </c>
      <c r="BE98" s="6">
        <f>COUNTIFS(Table5[Country],Tabela1[[#This Row],[Country]],Table5[20km Race Walk Classification],"&gt;0")</f>
        <v>0</v>
      </c>
      <c r="BF98" s="6">
        <f>COUNTIFS(Tabela96[Country],Tabela1[[#This Row],[Country]],Tabela96[Mixed Marathon Race Walk Relay Classification],"&gt;0")</f>
        <v>0</v>
      </c>
      <c r="BG98" s="6">
        <f>COUNTIFS(Table4[Country],Tabela1[[#This Row],[Country]],Table4[Discus Throw Classification],"&gt;0")</f>
        <v>0</v>
      </c>
      <c r="BH98" s="6">
        <f>COUNTIFS(Table5[Country],Tabela1[[#This Row],[Country]],Table5[Discus Throw Classification],"&gt;0")</f>
        <v>0</v>
      </c>
      <c r="BI98" s="6">
        <f>COUNTIFS(Table4[Country],Tabela1[[#This Row],[Country]],Table4[Hammer Throw Classification],"&gt;0")</f>
        <v>0</v>
      </c>
      <c r="BJ98" s="6">
        <f>COUNTIFS(Table5[Country],Tabela1[[#This Row],[Country]],Table5[Hammer Throw Classification],"&gt;0")</f>
        <v>0</v>
      </c>
      <c r="BK98" s="6">
        <f>COUNTIFS(Table4[Country],Tabela1[[#This Row],[Country]],Table4[High Jump Classification],"&gt;0")</f>
        <v>0</v>
      </c>
      <c r="BL98" s="6">
        <f>COUNTIFS(Table5[Country],Tabela1[[#This Row],[Country]],Table5[High Jump Classification],"&gt;0")</f>
        <v>0</v>
      </c>
      <c r="BM98" s="6">
        <f>COUNTIFS(Table4[Country],Tabela1[[#This Row],[Country]],Table4[Javelin Throw Classification],"&gt;0")</f>
        <v>0</v>
      </c>
      <c r="BN98" s="6">
        <f>COUNTIFS(Table5[Country],Tabela1[[#This Row],[Country]],Table5[Javelin Throw Classification],"&gt;0")</f>
        <v>0</v>
      </c>
      <c r="BO98" s="6">
        <f>COUNTIFS(Table4[Country],Tabela1[[#This Row],[Country]],Table4[Long Jump Classification],"&gt;0")</f>
        <v>0</v>
      </c>
      <c r="BP98" s="6">
        <f>COUNTIFS(Table5[Country],Tabela1[[#This Row],[Country]],Table5[Long Jump Classification],"&gt;0")</f>
        <v>0</v>
      </c>
      <c r="BQ98" s="6">
        <f>COUNTIFS(Table4[Country],Tabela1[[#This Row],[Country]],Table4[Pole Vault Classification],"&gt;0")</f>
        <v>0</v>
      </c>
      <c r="BR98" s="6">
        <f>COUNTIFS(Table5[Country],Tabela1[[#This Row],[Country]],Table5[Pole Vault Classification],"&gt;0")</f>
        <v>0</v>
      </c>
      <c r="BS98" s="6">
        <f>COUNTIFS(Table4[Country],Tabela1[[#This Row],[Country]],Table4[Shot Put Classification],"&gt;0")</f>
        <v>0</v>
      </c>
      <c r="BT98" s="6">
        <f>COUNTIFS(Table5[Country],Tabela1[[#This Row],[Country]],Table5[Shot Put Classification],"&gt;0")</f>
        <v>0</v>
      </c>
      <c r="BU98" s="6">
        <f>COUNTIFS(Table4[Country],Tabela1[[#This Row],[Country]],Table4[Triple Jump Classification],"&gt;0")</f>
        <v>0</v>
      </c>
      <c r="BV98" s="6">
        <f>COUNTIFS(Table5[Country],Tabela1[[#This Row],[Country]],Table5[Triple Jump Classification],"&gt;0")</f>
        <v>0</v>
      </c>
      <c r="BW98" s="6">
        <f>COUNTIFS(Table4[Country],Tabela1[[#This Row],[Country]],Table4[Decathlon Classification],"&gt;0")</f>
        <v>0</v>
      </c>
      <c r="BX98" s="6">
        <f>COUNTIFS(Table5[Country],Tabela1[[#This Row],[Country]],Table5[Heptathlon Classification],"&gt;0")</f>
        <v>0</v>
      </c>
      <c r="BY98" s="6">
        <f>COUNTIFS(Table61[Country],Tabela1[[#This Row],[Country]],Table61[Classification],"&gt;0")</f>
        <v>0</v>
      </c>
      <c r="BZ98" s="6">
        <f>COUNTIFS(Table38[Country],Tabela1[[#This Row],[Country]],Table38[Classification],"&gt;0")</f>
        <v>0</v>
      </c>
      <c r="CA98" s="6">
        <f>COUNTIFS(Table39[Country],Tabela1[[#This Row],[Country]],Table39[Men''s Classification],"&gt;0")</f>
        <v>0</v>
      </c>
      <c r="CB98" s="6">
        <f>COUNTIFS(Table39[Country],Tabela1[[#This Row],[Country]],Table39[Women''s Classification],"&gt;0")</f>
        <v>0</v>
      </c>
      <c r="CC98" s="6">
        <f>COUNTIFS(Table39[Country],Tabela1[[#This Row],[Country]],Table39[Mixed Classification],"&gt;0")</f>
        <v>0</v>
      </c>
      <c r="CD98" s="6">
        <f>COUNTIFS(Table89[Country],Tabela1[[#This Row],[Country]],Table89[Men''s Classification],"&gt;0")</f>
        <v>0</v>
      </c>
      <c r="CE98" s="6">
        <f>COUNTIFS(Table89[Country],Tabela1[[#This Row],[Country]],Table89[Women''s Classification],"&gt;0")</f>
        <v>0</v>
      </c>
      <c r="CF98" s="6">
        <f>COUNTIFS(Table90[Country],Tabela1[[#This Row],[Country]],Table90[Men''s Classification],"&gt;0")</f>
        <v>0</v>
      </c>
      <c r="CG98" s="6">
        <f>COUNTIFS(Table90[Country],Tabela1[[#This Row],[Country]],Table90[Women''s Classification],"&gt;0")</f>
        <v>0</v>
      </c>
      <c r="CH98" s="6">
        <f>COUNTIFS(Table60[Country],Tabela1[[#This Row],[Country]],Table60[Men''s Classification],"&gt;0")</f>
        <v>0</v>
      </c>
      <c r="CI98" s="6">
        <f>COUNTIFS(Table60[Country],Tabela1[[#This Row],[Country]],Table60[Women''s Classification],"&gt;0")</f>
        <v>0</v>
      </c>
      <c r="CJ98" s="6">
        <f>COUNTIFS(Table6[Country],Tabela1[[#This Row],[Country]],Table6[51kg Classification],"&gt;0")</f>
        <v>0</v>
      </c>
      <c r="CK98" s="6">
        <f>COUNTIFS(Table6[Country],Tabela1[[#This Row],[Country]],Table6[57kg Classification],"&gt;0")</f>
        <v>0</v>
      </c>
      <c r="CL98" s="6">
        <f>COUNTIFS(Table6[Country],Tabela1[[#This Row],[Country]],Table6[63.5kg Classification],"&gt;0")</f>
        <v>0</v>
      </c>
      <c r="CM98" s="6">
        <f>COUNTIFS(Table6[Country],Tabela1[[#This Row],[Country]],Table6[71kg Classification],"&gt;0")</f>
        <v>0</v>
      </c>
      <c r="CN98" s="6">
        <f>COUNTIFS(Table6[Country],Tabela1[[#This Row],[Country]],Table6[80kg Classification],"&gt;0")</f>
        <v>0</v>
      </c>
      <c r="CO98" s="6">
        <f>COUNTIFS(Table6[Country],Tabela1[[#This Row],[Country]],Table6[92kg Classification],"&gt;0")</f>
        <v>0</v>
      </c>
      <c r="CP98" s="6">
        <f>COUNTIFS(Table6[Country],Tabela1[[#This Row],[Country]],Table6[Plus 92kg Classification],"&gt;0")</f>
        <v>0</v>
      </c>
      <c r="CQ98" s="6">
        <f>COUNTIFS(Table7[Country],Tabela1[[#This Row],[Country]],Table7[50kg Classification],"&gt;0")</f>
        <v>0</v>
      </c>
      <c r="CR98" s="6">
        <f>COUNTIFS(Table7[Country],Tabela1[[#This Row],[Country]],Table7[54kg Classification],"&gt;0")</f>
        <v>0</v>
      </c>
      <c r="CS98" s="6">
        <f>COUNTIFS(Table7[Country],Tabela1[[#This Row],[Country]],Table7[57kg Classification],"&gt;0")</f>
        <v>0</v>
      </c>
      <c r="CT98" s="6">
        <f>COUNTIFS(Table7[Country],Tabela1[[#This Row],[Country]],Table7[60kg Classification],"&gt;0")</f>
        <v>0</v>
      </c>
      <c r="CU98" s="6">
        <f>COUNTIFS(Table7[Country],Tabela1[[#This Row],[Country]],Table7[66kg Classification],"&gt;0")</f>
        <v>0</v>
      </c>
      <c r="CV98" s="6">
        <f>COUNTIFS(Table7[Country],Tabela1[[#This Row],[Country]],Table7[75kg Classification],"&gt;0")</f>
        <v>0</v>
      </c>
      <c r="CW98" s="6">
        <f>COUNTIFS(Tabela94[Country],Tabela1[[#This Row],[Country]],Tabela94[Classification],"&gt;0")</f>
        <v>0</v>
      </c>
      <c r="CX98" s="6">
        <f>COUNTIFS(Tabela9499[Country],Tabela1[[#This Row],[Country]],Tabela9499[Classification],"&gt;0")</f>
        <v>0</v>
      </c>
      <c r="CY98" s="6">
        <f>COUNTIFS(Tabela107[Country],Tabela1[[#This Row],[Country]],Tabela107[C1 Slalom Classification],"&gt;0")</f>
        <v>0</v>
      </c>
      <c r="CZ98" s="6">
        <f>COUNTIFS(Tabela107122[Country],Tabela1[[#This Row],[Country]],Tabela107122[C1 Slalom Classification],"&gt;0")</f>
        <v>0</v>
      </c>
      <c r="DA98" s="6">
        <f>COUNTIFS(Tabela107[Country],Tabela1[[#This Row],[Country]],Tabela107[K1 Slalom Classification],"&gt;0")</f>
        <v>0</v>
      </c>
      <c r="DB98" s="6">
        <f>COUNTIFS(Tabela107122[Country],Tabela1[[#This Row],[Country]],Tabela107122[K1 Slalom Classification],"&gt;0")</f>
        <v>0</v>
      </c>
      <c r="DC98" s="6">
        <f>COUNTIFS(Tabela107[Country],Tabela1[[#This Row],[Country]],Tabela107[Kayak Cross Slalom Classification],"&gt;0")</f>
        <v>0</v>
      </c>
      <c r="DD98" s="6">
        <f>COUNTIFS(Tabela107122[Country],Tabela1[[#This Row],[Country]],Tabela107122[Kayak Cross Slalom Classification],"&gt;0")</f>
        <v>0</v>
      </c>
      <c r="DE98" s="6">
        <f>COUNTIFS(Table8[Country],Tabela1[[#This Row],[Country]],Table8[C1 200m Classification],"&gt;0")</f>
        <v>0</v>
      </c>
      <c r="DF98" s="6">
        <f>COUNTIFS(Table40[Country],Tabela1[[#This Row],[Country]],Table40[C1 1000m Classification],"&gt;0")</f>
        <v>0</v>
      </c>
      <c r="DG98" s="6">
        <f>COUNTIFS(Table68[Country],Tabela1[[#This Row],[Country]],Table68[Men''s C2 500m Classification],"&gt;0")</f>
        <v>0</v>
      </c>
      <c r="DH98" s="6">
        <f>COUNTIFS(Table68[Country],Tabela1[[#This Row],[Country]],Table68[Women''s C2 500m Classification],"&gt;0")</f>
        <v>0</v>
      </c>
      <c r="DI98" s="6">
        <f>COUNTIFS(Table8[Country],Tabela1[[#This Row],[Country]],Table8[K1 500m Classification],"&gt;0")</f>
        <v>0</v>
      </c>
      <c r="DJ98" s="6">
        <f>COUNTIFS(Table40[Country],Tabela1[[#This Row],[Country]],Table40[K1 1000m Classification],"&gt;0")</f>
        <v>0</v>
      </c>
      <c r="DK98" s="6">
        <f>COUNTIFS(Table68[Country],Tabela1[[#This Row],[Country]],Table68[Men''s K2 500m Classification],"&gt;0")</f>
        <v>0</v>
      </c>
      <c r="DL98" s="6">
        <f>COUNTIFS(Table68[Country],Tabela1[[#This Row],[Country]],Table68[Women''s K2 500m Classification],"&gt;0")</f>
        <v>0</v>
      </c>
      <c r="DM98" s="6">
        <f>COUNTIFS(Table83[Country],Tabela1[[#This Row],[Country]],Table83[Men''s K4 500m Classification],"&gt;0")</f>
        <v>0</v>
      </c>
      <c r="DN98" s="6">
        <f>COUNTIFS(Table83[Country],Tabela1[[#This Row],[Country]],Table83[Women''s K4 500m Classification],"&gt;0")</f>
        <v>0</v>
      </c>
      <c r="DO98" s="6">
        <f>COUNTIFS(Tabela126[Country],Tabela1[[#This Row],[Country]],Tabela126[Classification],"&gt;0")</f>
        <v>0</v>
      </c>
      <c r="DP98" s="6">
        <f>COUNTIFS(Tabela126130[Country],Tabela1[[#This Row],[Country]],Tabela126130[Classification],"&gt;0")</f>
        <v>0</v>
      </c>
      <c r="DQ98" s="6">
        <f>COUNTIFS(Table70[Country],Tabela1[[#This Row],[Country]],Table70[Classification],"&gt;0")</f>
        <v>0</v>
      </c>
      <c r="DR98" s="6">
        <f>COUNTIFS(Table80[Country],Tabela1[[#This Row],[Country]],Table80[Classification],"&gt;0")</f>
        <v>0</v>
      </c>
      <c r="DS98" s="6">
        <f>COUNTIFS(Table66[Country],Tabela1[[#This Row],[Country]],Table66[Classification],"&gt;0")</f>
        <v>0</v>
      </c>
      <c r="DT98" s="6">
        <f>COUNTIFS(Table67[Country],Tabela1[[#This Row],[Country]],Table67[Classification],"&gt;0")</f>
        <v>0</v>
      </c>
      <c r="DU98" s="6">
        <f>COUNTIFS(Table69[Country],Tabela1[[#This Row],[Country]],Table69[Keirin Classification],"&gt;0")</f>
        <v>0</v>
      </c>
      <c r="DV98" s="6">
        <f>COUNTIFS(Table41[Country],Tabela1[[#This Row],[Country]],Table41[Keirin Classification],"&gt;0")</f>
        <v>0</v>
      </c>
      <c r="DW98" s="6">
        <f>COUNTIFS(Table84[Country],Tabela1[[#This Row],[Country]],Table84[Men''s Madison Classification],"&gt;0")</f>
        <v>0</v>
      </c>
      <c r="DX98" s="6">
        <f>COUNTIFS(Table84[Country],Tabela1[[#This Row],[Country]],Table84[Women''s Madison Classification],"&gt;0")</f>
        <v>0</v>
      </c>
      <c r="DY98" s="6">
        <f>COUNTIFS(Table69[Country],Tabela1[[#This Row],[Country]],Table69[Omnium Classification],"&gt;0")</f>
        <v>0</v>
      </c>
      <c r="DZ98" s="6">
        <f>COUNTIFS(Table41[Country],Tabela1[[#This Row],[Country]],Table41[Omnium Classification],"&gt;0")</f>
        <v>0</v>
      </c>
      <c r="EA98" s="6">
        <f>COUNTIFS(Table9[Country],Tabela1[[#This Row],[Country]],Table9[Road Race Classification],"&gt;0")</f>
        <v>0</v>
      </c>
      <c r="EB98" s="6">
        <f>COUNTIFS(Table14[Country],Tabela1[[#This Row],[Country]],Table14[Road Race Classification],"&gt;0")</f>
        <v>0</v>
      </c>
      <c r="EC98" s="6">
        <f>COUNTIFS(Table69[Country],Tabela1[[#This Row],[Country]],Table69[Sprint Classification],"&gt;0")</f>
        <v>0</v>
      </c>
      <c r="ED98" s="6">
        <f>COUNTIFS(Table41[Country],Tabela1[[#This Row],[Country]],Table41[Sprint Classification],"&gt;0")</f>
        <v>0</v>
      </c>
      <c r="EE98" s="6">
        <f>COUNTIFS(Table85[Country],Tabela1[[#This Row],[Country]],Table85[Men''s Sprint Classification],"&gt;0")</f>
        <v>0</v>
      </c>
      <c r="EF98" s="6">
        <f>COUNTIFS(Table85[Country],Tabela1[[#This Row],[Country]],Table85[Women''s Sprint Classification],"&gt;0")</f>
        <v>0</v>
      </c>
      <c r="EG98" s="6">
        <f>COUNTIFS(Table85[Country],Tabela1[[#This Row],[Country]],Table85[Men''s Pursuit Classification],"&gt;0")</f>
        <v>0</v>
      </c>
      <c r="EH98" s="6">
        <f>COUNTIFS(Table85[Country],Tabela1[[#This Row],[Country]],Table85[Women''s Pursuit Classification],"&gt;0")</f>
        <v>0</v>
      </c>
      <c r="EI98" s="6">
        <f>COUNTIFS(Table9[Country],Tabela1[[#This Row],[Country]],Table9[Time-Trial Classification],"&gt;0")</f>
        <v>0</v>
      </c>
      <c r="EJ98" s="6">
        <f>COUNTIFS(Table14[Country],Tabela1[[#This Row],[Country]],Table14[Time-Trial Classification],"&gt;0")</f>
        <v>0</v>
      </c>
      <c r="EK98" s="6">
        <f>COUNTIFS(Table42[Country],Tabela1[[#This Row],[Country]],Table42[Springboard Classification],"&gt;0")</f>
        <v>0</v>
      </c>
      <c r="EL98" s="6">
        <f>COUNTIFS(Table43[Country],Tabela1[[#This Row],[Country]],Table43[Springboard Classification],"&gt;0")</f>
        <v>0</v>
      </c>
      <c r="EM98" s="6">
        <f>COUNTIFS(Table42[Country],Tabela1[[#This Row],[Country]],Table42[Platform Classification],"&gt;0")</f>
        <v>0</v>
      </c>
      <c r="EN98" s="6">
        <f>COUNTIFS(Table43[Country],Tabela1[[#This Row],[Country]],Table43[Platform Classification],"&gt;0")</f>
        <v>0</v>
      </c>
      <c r="EO98" s="6">
        <f>COUNTIFS(Table86[Country],Tabela1[[#This Row],[Country]],Table86[Men''s Synchronized Springboard Classification],"&gt;0")</f>
        <v>0</v>
      </c>
      <c r="EP98" s="6">
        <f>COUNTIFS(Table86[Country],Tabela1[[#This Row],[Country]],Table86[Women''s Synchronized Springboard Classification],"&gt;0")</f>
        <v>0</v>
      </c>
      <c r="EQ98" s="6">
        <f>COUNTIFS(Table86[Country],Tabela1[[#This Row],[Country]],Table86[Men''s Synchronized Platform Classification],"&gt;0")</f>
        <v>0</v>
      </c>
      <c r="ER98" s="6">
        <f>COUNTIFS(Table86[Country],Tabela1[[#This Row],[Country]],Table86[Women''s Synchronized Platform Classification],"&gt;0")</f>
        <v>0</v>
      </c>
      <c r="ES98" s="6">
        <f>COUNTIFS(Table44[Country],Tabela1[[#This Row],[Country]],Table44[Dressage Classification],"&gt;0")</f>
        <v>0</v>
      </c>
      <c r="ET98" s="6">
        <f>COUNTIFS(Table45[Country],Tabela1[[#This Row],[Country]],Table45[Dressage Classification],"&gt;0")</f>
        <v>0</v>
      </c>
      <c r="EU98" s="6">
        <f>COUNTIFS(Table44[Country],Tabela1[[#This Row],[Country]],Table44[Eventing Classification],"&gt;0")</f>
        <v>0</v>
      </c>
      <c r="EV98" s="6">
        <f>COUNTIFS(Table45[Country],Tabela1[[#This Row],[Country]],Table45[Eventing Classification],"&gt;0")</f>
        <v>0</v>
      </c>
      <c r="EW98" s="6">
        <f>COUNTIFS(Table44[Country],Tabela1[[#This Row],[Country]],Table44[Jumping Classification],"&gt;0")</f>
        <v>0</v>
      </c>
      <c r="EX98" s="6">
        <f>COUNTIFS(Table45[Country],Tabela1[[#This Row],[Country]],Table45[Jumping Classification],"&gt;0")</f>
        <v>0</v>
      </c>
      <c r="EY98" s="6">
        <f>COUNTIFS(Table10[Country],Tabela1[[#This Row],[Country]],Table10[Épée Classification],"&gt;0")</f>
        <v>0</v>
      </c>
      <c r="EZ98" s="6">
        <f>COUNTIFS(Table11[Country],Tabela1[[#This Row],[Country]],Table11[Épée Classification],"&gt;0")</f>
        <v>0</v>
      </c>
      <c r="FA98" s="6">
        <f>COUNTIFS(Table46[Country],Tabela1[[#This Row],[Country]],Table46[Men''s Épée Classification],"&gt;0")</f>
        <v>0</v>
      </c>
      <c r="FB98" s="6">
        <f>COUNTIFS(Table46[Country],Tabela1[[#This Row],[Country]],Table46[Women''s Épée Classification],"&gt;0")</f>
        <v>0</v>
      </c>
      <c r="FC98" s="6">
        <f>COUNTIFS(Table10[Country],Tabela1[[#This Row],[Country]],Table10[Foil Classification],"&gt;0")</f>
        <v>0</v>
      </c>
      <c r="FD98" s="6">
        <f>COUNTIFS(Table11[Country],Tabela1[[#This Row],[Country]],Table11[Foil Classification],"&gt;0")</f>
        <v>0</v>
      </c>
      <c r="FE98" s="6">
        <f>COUNTIFS(Table46[Country],Tabela1[[#This Row],[Country]],Table46[Men''s Foil Classification],"&gt;0")</f>
        <v>0</v>
      </c>
      <c r="FF98" s="6">
        <f>COUNTIFS(Table46[Country],Tabela1[[#This Row],[Country]],Table46[Women''s Foil Classification],"&gt;0")</f>
        <v>0</v>
      </c>
      <c r="FG98" s="6">
        <f>COUNTIFS(Table10[Country],Tabela1[[#This Row],[Country]],Table10[Sabre Classification],"&gt;0")</f>
        <v>0</v>
      </c>
      <c r="FH98" s="6">
        <f>COUNTIFS(Table11[Country],Tabela1[[#This Row],[Country]],Table11[Sabre Classification],"&gt;0")</f>
        <v>0</v>
      </c>
      <c r="FI98" s="6">
        <f>COUNTIFS(Table46[Country],Tabela1[[#This Row],[Country]],Table46[Men''s Sabre Classification],"&gt;0")</f>
        <v>0</v>
      </c>
      <c r="FJ98" s="6">
        <f>COUNTIFS(Table46[Country],Tabela1[[#This Row],[Country]],Table46[Women''s Sabre Classification],"&gt;0")</f>
        <v>0</v>
      </c>
      <c r="FK98" s="6">
        <f>COUNTIFS(Table91[Country],Tabela1[[#This Row],[Country]],Table91[Men''s Classification],"&gt;0")</f>
        <v>0</v>
      </c>
      <c r="FL98" s="6">
        <f>COUNTIFS(Table91[Country],Tabela1[[#This Row],[Country]],Table91[Women''s Classification],"&gt;0")</f>
        <v>0</v>
      </c>
      <c r="FM98" s="6">
        <f>COUNTIFS(Table9194[Country],Tabela1[[#This Row],[Country]],Table9194[Men''s Classification],"&gt;0")</f>
        <v>0</v>
      </c>
      <c r="FN98" s="6">
        <f>COUNTIFS(Table9194[Country],Tabela1[[#This Row],[Country]],Table9194[Women''s Classification],"&gt;0")</f>
        <v>0</v>
      </c>
      <c r="FO98" s="6">
        <f>COUNTIFS(Table71[Country],Tabela1[[#This Row],[Country]],Table71[Classification],"&gt;0")</f>
        <v>0</v>
      </c>
      <c r="FP98" s="6">
        <f>COUNTIFS(Table62[Country],Tabela1[[#This Row],[Country]],Table62[Classification],"&gt;0")</f>
        <v>0</v>
      </c>
      <c r="FQ98" s="6">
        <f>COUNTIFS(Table47[Country],Tabela1[[#This Row],[Country]],Table47[All-Around Classification],"&gt;0")</f>
        <v>0</v>
      </c>
      <c r="FR98" s="6">
        <f>COUNTIFS(Table48[Country],Tabela1[[#This Row],[Country]],Table48[All-Around Classification],"&gt;0")</f>
        <v>0</v>
      </c>
      <c r="FS98" s="6">
        <f>COUNTIFS(Table81[Country],Tabela1[[#This Row],[Country]],Table81[Men''s All-Around Classification],"&gt;0")</f>
        <v>0</v>
      </c>
      <c r="FT98" s="6">
        <f>COUNTIFS(Table81[Country],Tabela1[[#This Row],[Country]],Table81[Women''s All-Around Classification],"&gt;0")</f>
        <v>0</v>
      </c>
      <c r="FU98" s="6">
        <f>COUNTIFS(Table48[Country],Tabela1[[#This Row],[Country]],Table48[Balance Beam Classification],"&gt;0")</f>
        <v>0</v>
      </c>
      <c r="FV98" s="6">
        <f>COUNTIFS(Table47[Country],Tabela1[[#This Row],[Country]],Table47[Floor Exercise Classification],"&gt;0")</f>
        <v>0</v>
      </c>
      <c r="FW98" s="6">
        <f>COUNTIFS(Table48[Country],Tabela1[[#This Row],[Country]],Table48[Floor Exercise Classification],"&gt;0")</f>
        <v>0</v>
      </c>
      <c r="FX98" s="6">
        <f>COUNTIFS(Table47[Country],Tabela1[[#This Row],[Country]],Table47[Horizontal Bar Classification],"&gt;0")</f>
        <v>0</v>
      </c>
      <c r="FY98" s="6">
        <f>COUNTIFS(Table47[Country],Tabela1[[#This Row],[Country]],Table47[Parallel Bars Classification],"&gt;0")</f>
        <v>0</v>
      </c>
      <c r="FZ98" s="6">
        <f>COUNTIFS(Table47[Country],Tabela1[[#This Row],[Country]],Table47[Pommel Horse Classification],"&gt;0")</f>
        <v>0</v>
      </c>
      <c r="GA98" s="6">
        <f>COUNTIFS(Table47[Country],Tabela1[[#This Row],[Country]],Table47[Rings Classification],"&gt;0")</f>
        <v>0</v>
      </c>
      <c r="GB98" s="6">
        <f>COUNTIFS(Tabela132[Country],Tabela1[[#This Row],[Country]],Tabela132[Classification],"&gt;0")</f>
        <v>0</v>
      </c>
      <c r="GC98" s="6">
        <f>COUNTIFS(Tabela139[Country],Tabela1[[#This Row],[Country]],Tabela139[Classification],"&gt;0")</f>
        <v>0</v>
      </c>
      <c r="GD98" s="6">
        <f>COUNTIFS(Table48[Country],Tabela1[[#This Row],[Country]],Table48[Uneven Bars Classification],"&gt;0")</f>
        <v>0</v>
      </c>
      <c r="GE98" s="6">
        <f>COUNTIFS(Table47[Country],Tabela1[[#This Row],[Country]],Table47[Vault Classification],"&gt;0")</f>
        <v>0</v>
      </c>
      <c r="GF98" s="6">
        <f>COUNTIFS(Table48[Country],Tabela1[[#This Row],[Country]],Table48[Vault Classification],"&gt;0")</f>
        <v>0</v>
      </c>
      <c r="GG98" s="6">
        <f>COUNTIFS(Table919496[Country],Tabela1[[#This Row],[Country]],Table919496[Men''s Classification],"&gt;0")</f>
        <v>0</v>
      </c>
      <c r="GH98" s="6">
        <f>COUNTIFS(Table919496[Country],Tabela1[[#This Row],[Country]],Table919496[Women''s Classification],"&gt;0")</f>
        <v>0</v>
      </c>
      <c r="GI98" s="6">
        <f>COUNTIFS(Table12[Country],Tabela1[[#This Row],[Country]],Table12[60kg Classification],"&gt;0")</f>
        <v>0</v>
      </c>
      <c r="GJ98" s="6">
        <f>COUNTIFS(Table12[Country],Tabela1[[#This Row],[Country]],Table12[66kg Classification],"&gt;0")</f>
        <v>0</v>
      </c>
      <c r="GK98" s="6">
        <f>COUNTIFS(Table12[Country],Tabela1[[#This Row],[Country]],Table12[73kg Classification],"&gt;0")</f>
        <v>0</v>
      </c>
      <c r="GL98" s="6">
        <f>COUNTIFS(Table12[Country],Tabela1[[#This Row],[Country]],Table12[81kg Classification],"&gt;0")</f>
        <v>0</v>
      </c>
      <c r="GM98" s="6">
        <f>COUNTIFS(Table12[Country],Tabela1[[#This Row],[Country]],Table12[90kg Classification],"&gt;0")</f>
        <v>0</v>
      </c>
      <c r="GN98" s="6">
        <f>COUNTIFS(Table12[Country],Tabela1[[#This Row],[Country]],Table12[100kg Classification],"&gt;0")</f>
        <v>0</v>
      </c>
      <c r="GO98" s="6">
        <f>COUNTIFS(Table12[Country],Tabela1[[#This Row],[Country]],Table12[Plus 100kg Classification],"&gt;0")</f>
        <v>0</v>
      </c>
      <c r="GP98" s="6">
        <f>COUNTIFS(Table13[Country],Tabela1[[#This Row],[Country]],Table13[48kg Classification],"&gt;0")</f>
        <v>0</v>
      </c>
      <c r="GQ98" s="6">
        <f>COUNTIFS(Table13[Country],Tabela1[[#This Row],[Country]],Table13[52kg Classification],"&gt;0")</f>
        <v>0</v>
      </c>
      <c r="GR98" s="6">
        <f>COUNTIFS(Table13[Country],Tabela1[[#This Row],[Country]],Table13[57kg Classification],"&gt;0")</f>
        <v>0</v>
      </c>
      <c r="GS98" s="6">
        <f>COUNTIFS(Table13[Country],Tabela1[[#This Row],[Country]],Table13[63kg Classification],"&gt;0")</f>
        <v>0</v>
      </c>
      <c r="GT98" s="6">
        <f>COUNTIFS(Table13[Country],Tabela1[[#This Row],[Country]],Table13[70kg Classification],"&gt;0")</f>
        <v>0</v>
      </c>
      <c r="GU98" s="6">
        <f>COUNTIFS(Table13[Country],Tabela1[[#This Row],[Country]],Table13[78kg Classification],"&gt;0")</f>
        <v>0</v>
      </c>
      <c r="GV98" s="6">
        <f>COUNTIFS(Table13[Country],Tabela1[[#This Row],[Country]],Table13[Plus 78kg Classification],"&gt;0")</f>
        <v>0</v>
      </c>
      <c r="GW98" s="6">
        <f>COUNTIFS(Table82[Country],Tabela1[[#This Row],[Country]],Table82[Mixed Classification],"&gt;0")</f>
        <v>0</v>
      </c>
      <c r="GX98" s="6">
        <f>COUNTIFS(Table51[Country],Tabela1[[#This Row],[Country]],Table51[Classification],"&gt;0")</f>
        <v>0</v>
      </c>
      <c r="GY98" s="6">
        <f>COUNTIFS(Table52[Country],Tabela1[[#This Row],[Country]],Table52[Classification],"&gt;0")</f>
        <v>0</v>
      </c>
      <c r="GZ98" s="6">
        <f>COUNTIFS(Table32[Country],Tabela1[[#This Row],[Country]],Table32[All-Around Classification],"&gt;0")</f>
        <v>0</v>
      </c>
      <c r="HA98" s="6">
        <f>COUNTIFS(Table49[Country],Tabela1[[#This Row],[Country]],Table49[All-Around Classification],"&gt;0")</f>
        <v>0</v>
      </c>
      <c r="HB98" s="6">
        <f>COUNTIFS(Table26[Country],Tabela1[[#This Row],[Country]],Table26[Single Sculls Classification],"&gt;0")</f>
        <v>1</v>
      </c>
      <c r="HC98" s="6">
        <f>COUNTIFS(Table63[Country],Tabela1[[#This Row],[Country]],Table63[Single Sculls Classification],"&gt;0")</f>
        <v>0</v>
      </c>
      <c r="HD98" s="6">
        <f>COUNTIFS(Table16[Country],Tabela1[[#This Row],[Country]],Table16[Men''s Double Sculls Classification],"&gt;0")</f>
        <v>0</v>
      </c>
      <c r="HE98" s="6">
        <f>COUNTIFS(Table16[Country],Tabela1[[#This Row],[Country]],Table16[Women''s Double Sculls Classification],"&gt;0")</f>
        <v>0</v>
      </c>
      <c r="HF98" s="6">
        <f>COUNTIFS(Table72[Country],Tabela1[[#This Row],[Country]],Table72[Men''s Quadruple Sculls Classification],"&gt;0")</f>
        <v>0</v>
      </c>
      <c r="HG98" s="6">
        <f>COUNTIFS(Table72[Country],Tabela1[[#This Row],[Country]],Table72[Women''s Quadruple Sculls Classification],"&gt;0")</f>
        <v>0</v>
      </c>
      <c r="HH98" s="6">
        <f>COUNTIFS(Table16[Country],Tabela1[[#This Row],[Country]],Table16[Men''s Coxless Pairs Classification],"&gt;0")</f>
        <v>0</v>
      </c>
      <c r="HI98" s="6">
        <f>COUNTIFS(Table16[Country],Tabela1[[#This Row],[Country]],Table16[Women''s Coxless Pairs Classification],"&gt;0")</f>
        <v>0</v>
      </c>
      <c r="HJ98" s="6">
        <f>COUNTIFS(Table72[Country],Tabela1[[#This Row],[Country]],Table72[Men''s Coxless Fours Classification],"&gt;0")</f>
        <v>0</v>
      </c>
      <c r="HK98" s="6">
        <f>COUNTIFS(Table72[Country],Tabela1[[#This Row],[Country]],Table72[Women''s Coxless Fours Classification],"&gt;0")</f>
        <v>0</v>
      </c>
      <c r="HL98" s="6">
        <f>COUNTIFS(Table72[Country],Tabela1[[#This Row],[Country]],Table72[Men''s Eights Classification],"&gt;0")</f>
        <v>0</v>
      </c>
      <c r="HM98" s="6">
        <f>COUNTIFS(Table72[Country],Tabela1[[#This Row],[Country]],Table72[Women''s Eights Classification],"&gt;0")</f>
        <v>0</v>
      </c>
      <c r="HN98" s="6">
        <f>COUNTIFS(Table16[Country],Tabela1[[#This Row],[Country]],Table16[Men''s Lwt. Double Sculls Classification],"&gt;0")</f>
        <v>0</v>
      </c>
      <c r="HO98" s="6">
        <f>COUNTIFS(Table16[Country],Tabela1[[#This Row],[Country]],Table16[Women''s Lwt. Double Sculls Classification],"&gt;0")</f>
        <v>0</v>
      </c>
      <c r="HP98" s="6">
        <f>COUNTIFS(Table91949698[Country],Tabela1[[#This Row],[Country]],Table91949698[Men''s Classification],"&gt;0")</f>
        <v>0</v>
      </c>
      <c r="HQ98" s="6">
        <f>COUNTIFS(Table91949698[Country],Tabela1[[#This Row],[Country]],Table91949698[Women''s Classification],"&gt;0")</f>
        <v>0</v>
      </c>
      <c r="HR98" s="6">
        <f>COUNTIFS(Table25[Country],Tabela1[[#This Row],[Country]],Table25[Mixed 470 Classification],"&gt;0")</f>
        <v>0</v>
      </c>
      <c r="HS98" s="6">
        <f>COUNTIFS(Table25[Country],Tabela1[[#This Row],[Country]],Table25[Men''s 49er Classification],"&gt;0")</f>
        <v>0</v>
      </c>
      <c r="HT98" s="6">
        <f>COUNTIFS(Table25[Country],Tabela1[[#This Row],[Country]],Table25[Women''s 49er FX Classification],"&gt;0")</f>
        <v>0</v>
      </c>
      <c r="HU98" s="6">
        <f>COUNTIFS(Table17[Country],Tabela1[[#This Row],[Country]],Table17[Formula Kite Classification],"&gt;0")</f>
        <v>0</v>
      </c>
      <c r="HV98" s="6">
        <f>COUNTIFS(Table18[Country],Tabela1[[#This Row],[Country]],Table18[Formula Kite Classification],"&gt;0")</f>
        <v>0</v>
      </c>
      <c r="HW98" s="6">
        <f>COUNTIFS(Table17[Country],Tabela1[[#This Row],[Country]],Table17[ILCA 7 Classification],"&gt;0")</f>
        <v>0</v>
      </c>
      <c r="HX98" s="6">
        <f>COUNTIFS(Table18[Country],Tabela1[[#This Row],[Country]],Table18[ILCA 6 Classification],"&gt;0")</f>
        <v>0</v>
      </c>
      <c r="HY98" s="6">
        <f>COUNTIFS(Table17[Country],Tabela1[[#This Row],[Country]],Table17[IQFoil Classification],"&gt;0")</f>
        <v>0</v>
      </c>
      <c r="HZ98" s="6">
        <f>COUNTIFS(Table18[Country],Tabela1[[#This Row],[Country]],Table18[IQFoil Classification],"&gt;0")</f>
        <v>0</v>
      </c>
      <c r="IA98" s="6">
        <f>COUNTIFS(Table25[Country],Tabela1[[#This Row],[Country]],Table25[Mixed Nacra 17 Classification],"&gt;0")</f>
        <v>0</v>
      </c>
      <c r="IB98" s="6">
        <f>COUNTIFS(Table53[Country],Tabela1[[#This Row],[Country]],Table53[10m Air Pistol Classification],"&gt;0")</f>
        <v>0</v>
      </c>
      <c r="IC98" s="6">
        <f>COUNTIFS(Table19[Country],Tabela1[[#This Row],[Country]],Table19[10m Air Pistol Classification],"&gt;0")</f>
        <v>0</v>
      </c>
      <c r="ID98" s="6">
        <f>COUNTIFS(Table54[Country],Tabela1[[#This Row],[Country]],Table54[Mixed 10m Air Pistol Team Classification],"&gt;0")</f>
        <v>0</v>
      </c>
      <c r="IE98" s="6">
        <f>COUNTIFS(Table53[Country],Tabela1[[#This Row],[Country]],Table53[10m Air Rifle Classification],"&gt;0")</f>
        <v>0</v>
      </c>
      <c r="IF98" s="6">
        <f>COUNTIFS(Table19[Country],Tabela1[[#This Row],[Country]],Table19[10m Air Rifle Classification],"&gt;0")</f>
        <v>0</v>
      </c>
      <c r="IG98" s="6">
        <f>COUNTIFS(Table54[Country],Tabela1[[#This Row],[Country]],Table54[Mixed 10m Air Rifle Team Classification],"&gt;0")</f>
        <v>0</v>
      </c>
      <c r="IH98" s="6">
        <f>COUNTIFS(Table53[Country],Tabela1[[#This Row],[Country]],Table53[25m Rapid Fire Pistol Classification],"&gt;0")</f>
        <v>0</v>
      </c>
      <c r="II98" s="6">
        <f>COUNTIFS(Table19[Country],Tabela1[[#This Row],[Country]],Table19[25m Pistol Classification],"&gt;0")</f>
        <v>0</v>
      </c>
      <c r="IJ98" s="6">
        <f>COUNTIFS(Table53[Country],Tabela1[[#This Row],[Country]],Table53[50m Rifle 3 Positions Classification],"&gt;0")</f>
        <v>0</v>
      </c>
      <c r="IK98" s="6">
        <f>COUNTIFS(Table19[Country],Tabela1[[#This Row],[Country]],Table19[50m Rifle 3 Positions Classification],"&gt;0")</f>
        <v>0</v>
      </c>
      <c r="IL98" s="6">
        <f>COUNTIFS(Table53[Country],Tabela1[[#This Row],[Country]],Table53[Skeet Classification],"&gt;0")</f>
        <v>0</v>
      </c>
      <c r="IM98" s="6">
        <f>COUNTIFS(Table19[Country],Tabela1[[#This Row],[Country]],Table19[Skeet Classification],"&gt;0")</f>
        <v>0</v>
      </c>
      <c r="IN98" s="6">
        <f>COUNTIFS(Table54[Country],Tabela1[[#This Row],[Country]],Table54[Mixed Skeet Team Classification],"&gt;0")</f>
        <v>0</v>
      </c>
      <c r="IO98" s="6">
        <f>COUNTIFS(Table53[Country],Tabela1[[#This Row],[Country]],Table53[Trap Classification],"&gt;0")</f>
        <v>0</v>
      </c>
      <c r="IP98" s="6">
        <f>COUNTIFS(Table19[Country],Tabela1[[#This Row],[Country]],Table19[Trap Classification],"&gt;0")</f>
        <v>0</v>
      </c>
      <c r="IQ98" s="6">
        <f>COUNTIFS(Table73[Country],Tabela1[[#This Row],[Country]],Table73[Park Classification],"&gt;0")</f>
        <v>0</v>
      </c>
      <c r="IR98" s="6">
        <f>COUNTIFS(Table74[Country],Tabela1[[#This Row],[Country]],Table74[Park Classification],"&gt;0")</f>
        <v>0</v>
      </c>
      <c r="IS98" s="6">
        <f>COUNTIFS(Table73[Country],Tabela1[[#This Row],[Country]],Table73[Street Classification],"&gt;0")</f>
        <v>0</v>
      </c>
      <c r="IT98" s="6">
        <f>COUNTIFS(Table74[Country],Tabela1[[#This Row],[Country]],Table74[Street Classification],"&gt;0")</f>
        <v>0</v>
      </c>
      <c r="IU98" s="6">
        <f>COUNTIFS(Table75[Country],Tabela1[[#This Row],[Country]],Table75[Boulder and Lead Classification],"&gt;0")</f>
        <v>0</v>
      </c>
      <c r="IV98" s="6">
        <f>COUNTIFS(Table76[Country],Tabela1[[#This Row],[Country]],Table76[Boulder and Lead Classification],"&gt;0")</f>
        <v>0</v>
      </c>
      <c r="IW98" s="6">
        <f>COUNTIFS(Table75[Country],Tabela1[[#This Row],[Country]],Table75[Speed Classification],"&gt;0")</f>
        <v>0</v>
      </c>
      <c r="IX98" s="6">
        <f>COUNTIFS(Table76[Country],Tabela1[[#This Row],[Country]],Table76[Speed Classification],"&gt;0")</f>
        <v>0</v>
      </c>
      <c r="IY98" s="6">
        <f>COUNTIFS(Table64[Country],Tabela1[[#This Row],[Country]],Table64[Shortboard Classification],"&gt;0")</f>
        <v>0</v>
      </c>
      <c r="IZ98" s="6">
        <f>COUNTIFS(Table77[Country],Tabela1[[#This Row],[Country]],Table77[Shortboard Classification],"&gt;0")</f>
        <v>0</v>
      </c>
      <c r="JA98" s="6">
        <f>COUNTIFS(Table20[Country],Tabela1[[#This Row],[Country]],Table20[50m Freestyle Classification],"&gt;0")</f>
        <v>0</v>
      </c>
      <c r="JB98" s="6">
        <f>COUNTIFS(Table21[Country],Tabela1[[#This Row],[Country]],Table21[50m Freestyle Classification],"&gt;0")</f>
        <v>0</v>
      </c>
      <c r="JC98" s="6">
        <f>COUNTIFS(Table20[Country],Tabela1[[#This Row],[Country]],Table20[100m Freestyle Classification],"&gt;0")</f>
        <v>0</v>
      </c>
      <c r="JD98" s="6">
        <f>COUNTIFS(Table21[Country],Tabela1[[#This Row],[Country]],Table21[100m Freestyle Classification],"&gt;0")</f>
        <v>0</v>
      </c>
      <c r="JE98" s="6">
        <f>COUNTIFS(Table20[Country],Tabela1[[#This Row],[Country]],Table20[200m Freestyle Classification],"&gt;0")</f>
        <v>0</v>
      </c>
      <c r="JF98" s="6">
        <f>COUNTIFS(Table21[Country],Tabela1[[#This Row],[Country]],Table21[200m Freestyle Classification],"&gt;0")</f>
        <v>0</v>
      </c>
      <c r="JG98" s="6">
        <f>COUNTIFS(Table20[Country],Tabela1[[#This Row],[Country]],Table20[400m Freestyle Classification],"&gt;0")</f>
        <v>0</v>
      </c>
      <c r="JH98" s="6">
        <f>COUNTIFS(Table21[Country],Tabela1[[#This Row],[Country]],Table21[400m Freestyle Classification],"&gt;0")</f>
        <v>0</v>
      </c>
      <c r="JI98" s="6">
        <f>COUNTIFS(Table20[Country],Tabela1[[#This Row],[Country]],Table20[800m Freestyle Classification],"&gt;0")</f>
        <v>0</v>
      </c>
      <c r="JJ98" s="6">
        <f>COUNTIFS(Table21[Country],Tabela1[[#This Row],[Country]],Table21[800m Freestyle Classification],"&gt;0")</f>
        <v>0</v>
      </c>
      <c r="JK98" s="6">
        <f>COUNTIFS(Table20[Country],Tabela1[[#This Row],[Country]],Table20[1500m Freestyle Classification],"&gt;0")</f>
        <v>0</v>
      </c>
      <c r="JL98" s="6">
        <f>COUNTIFS(Table21[Country],Tabela1[[#This Row],[Country]],Table21[1500m Freestyle Classification],"&gt;0")</f>
        <v>0</v>
      </c>
      <c r="JM98" s="6">
        <f>COUNTIFS(Table20[Country],Tabela1[[#This Row],[Country]],Table20[100m Backstroke Classification],"&gt;0")</f>
        <v>0</v>
      </c>
      <c r="JN98" s="6">
        <f>COUNTIFS(Table21[Country],Tabela1[[#This Row],[Country]],Table21[100m Backstroke Classification],"&gt;0")</f>
        <v>0</v>
      </c>
      <c r="JO98" s="6">
        <f>COUNTIFS(Table20[Country],Tabela1[[#This Row],[Country]],Table20[200m Backstroke Classification],"&gt;0")</f>
        <v>0</v>
      </c>
      <c r="JP98" s="6">
        <f>COUNTIFS(Table21[Country],Tabela1[[#This Row],[Country]],Table21[200m Backstroke Classification],"&gt;0")</f>
        <v>0</v>
      </c>
      <c r="JQ98" s="6">
        <f>COUNTIFS(Table20[Country],Tabela1[[#This Row],[Country]],Table20[100m Breaststroke Classification],"&gt;0")</f>
        <v>0</v>
      </c>
      <c r="JR98" s="6">
        <f>COUNTIFS(Table21[Country],Tabela1[[#This Row],[Country]],Table21[100m Breaststroke Classification],"&gt;0")</f>
        <v>0</v>
      </c>
      <c r="JS98" s="6">
        <f>COUNTIFS(Table20[Country],Tabela1[[#This Row],[Country]],Table20[200m Breaststroke Classification],"&gt;0")</f>
        <v>0</v>
      </c>
      <c r="JT98" s="6">
        <f>COUNTIFS(Table21[Country],Tabela1[[#This Row],[Country]],Table21[200m Breaststroke Classification],"&gt;0")</f>
        <v>0</v>
      </c>
      <c r="JU98" s="6">
        <f>COUNTIFS(Table20[Country],Tabela1[[#This Row],[Country]],Table20[100m Butterfly Classification],"&gt;0")</f>
        <v>0</v>
      </c>
      <c r="JV98" s="6">
        <f>COUNTIFS(Table21[Country],Tabela1[[#This Row],[Country]],Table21[100m Butterfly Classification],"&gt;0")</f>
        <v>0</v>
      </c>
      <c r="JW98" s="6">
        <f>COUNTIFS(Table20[Country],Tabela1[[#This Row],[Country]],Table20[200m Butterfly Classification],"&gt;0")</f>
        <v>0</v>
      </c>
      <c r="JX98" s="6">
        <f>COUNTIFS(Table21[Country],Tabela1[[#This Row],[Country]],Table21[200m Butterfly Classification],"&gt;0")</f>
        <v>0</v>
      </c>
      <c r="JY98" s="6">
        <f>COUNTIFS(Table20[Country],Tabela1[[#This Row],[Country]],Table20[200m Medley Classification],"&gt;0")</f>
        <v>0</v>
      </c>
      <c r="JZ98" s="6">
        <f>COUNTIFS(Table21[Country],Tabela1[[#This Row],[Country]],Table21[200m Medley Classification],"&gt;0")</f>
        <v>0</v>
      </c>
      <c r="KA98" s="6">
        <f>COUNTIFS(Table20[Country],Tabela1[[#This Row],[Country]],Table20[400m Medley Classification],"&gt;0")</f>
        <v>0</v>
      </c>
      <c r="KB98" s="6">
        <f>COUNTIFS(Table21[Country],Tabela1[[#This Row],[Country]],Table21[400m Medley Classification],"&gt;0")</f>
        <v>0</v>
      </c>
      <c r="KC98" s="6">
        <f>COUNTIFS(Table78[Country],Tabela1[[#This Row],[Country]],Table78[Men''s 4x100m Freestyle Relay Classification],"&gt;0")</f>
        <v>0</v>
      </c>
      <c r="KD98" s="6">
        <f>COUNTIFS(Table78[Country],Tabela1[[#This Row],[Country]],Table78[Women''s 4x100m Freestyle Relay Classification],"&gt;0")</f>
        <v>0</v>
      </c>
      <c r="KE98" s="6">
        <f>COUNTIFS(Table78[Country],Tabela1[[#This Row],[Country]],Table78[Men''s 4x200m Freestyle Relay Classification],"&gt;0")</f>
        <v>0</v>
      </c>
      <c r="KF98" s="6">
        <f>COUNTIFS(Table78[Country],Tabela1[[#This Row],[Country]],Table78[Women''s 4x200m Freestyle Relay Classification],"&gt;0")</f>
        <v>0</v>
      </c>
      <c r="KG98" s="6">
        <f>COUNTIFS(Table78[Country],Tabela1[[#This Row],[Country]],Table78[Men''s 4x100m Medley Relay Classification],"&gt;0")</f>
        <v>0</v>
      </c>
      <c r="KH98" s="6">
        <f>COUNTIFS(Table78[Country],Tabela1[[#This Row],[Country]],Table78[Women''s 4x100m Medley Relay Classification],"&gt;0")</f>
        <v>0</v>
      </c>
      <c r="KI98" s="6">
        <f>COUNTIFS(Table78[Country],Tabela1[[#This Row],[Country]],Table78[Mixed 4x100m Medley Relay Classification],"&gt;0")</f>
        <v>0</v>
      </c>
      <c r="KJ98" s="6">
        <f>COUNTIFS(Table20[Country],Tabela1[[#This Row],[Country]],Table20[10km Open Water Classification],"&gt;0")</f>
        <v>0</v>
      </c>
      <c r="KK98" s="6">
        <f>COUNTIFS(Table21[Country],Tabela1[[#This Row],[Country]],Table21[10km Open Water Classification],"&gt;0")</f>
        <v>1</v>
      </c>
      <c r="KL98" s="6">
        <f>COUNTIFS(Table22[Country],Tabela1[[#This Row],[Country]],Table22[Classification],"&gt;0")</f>
        <v>0</v>
      </c>
      <c r="KM98" s="6">
        <f>COUNTIFS(Table30[Country],Tabela1[[#This Row],[Country]],Table30[Classification],"&gt;0")</f>
        <v>0</v>
      </c>
      <c r="KN98" s="6">
        <f>COUNTIFS(Table55[Country],Tabela1[[#This Row],[Country]],Table55[Men''s Classification],"&gt;0")</f>
        <v>0</v>
      </c>
      <c r="KO98" s="6">
        <f>COUNTIFS(Table55[Country],Tabela1[[#This Row],[Country]],Table55[Women''s Classification],"&gt;0")</f>
        <v>0</v>
      </c>
      <c r="KP98" s="6">
        <f>COUNTIFS(Table56[Country],Tabela1[[#This Row],[Country]],Table56[Mixed Classification],"&gt;0")</f>
        <v>0</v>
      </c>
      <c r="KQ98" s="6">
        <f>COUNTIFS(Table29[Country],Tabela1[[#This Row],[Country]],Table29[58kg Classification],"&gt;0")</f>
        <v>0</v>
      </c>
      <c r="KR98" s="6">
        <f>COUNTIFS(Table29[Country],Tabela1[[#This Row],[Country]],Table29[68kg Classification],"&gt;0")</f>
        <v>0</v>
      </c>
      <c r="KS98" s="6">
        <f>COUNTIFS(Table29[Country],Tabela1[[#This Row],[Country]],Table29[80kg Classification],"&gt;0")</f>
        <v>0</v>
      </c>
      <c r="KT98" s="6">
        <f>COUNTIFS(Table29[Country],Tabela1[[#This Row],[Country]],Table29[Plus 80kg Classification],"&gt;0")</f>
        <v>0</v>
      </c>
      <c r="KU98" s="6">
        <f>COUNTIFS(Table34[Country],Tabela1[[#This Row],[Country]],Table34[49kg Classification],"&gt;0")</f>
        <v>0</v>
      </c>
      <c r="KV98" s="6">
        <f>COUNTIFS(Table34[Country],Tabela1[[#This Row],[Country]],Table34[57kg Classification],"&gt;0")</f>
        <v>0</v>
      </c>
      <c r="KW98" s="6">
        <f>COUNTIFS(Table34[Country],Tabela1[[#This Row],[Country]],Table34[67kg Classification],"&gt;0")</f>
        <v>0</v>
      </c>
      <c r="KX98" s="6">
        <f>COUNTIFS(Table34[Country],Tabela1[[#This Row],[Country]],Table34[Plus 67kg Classification],"&gt;0")</f>
        <v>0</v>
      </c>
      <c r="KY98" s="6">
        <f>COUNTIFS(Table57[Country],Tabela1[[#This Row],[Country]],Table57[Classification],"&gt;0")</f>
        <v>0</v>
      </c>
      <c r="KZ98" s="6">
        <f>COUNTIFS(Table58[Country],Tabela1[[#This Row],[Country]],Table58[Classification],"&gt;0")</f>
        <v>0</v>
      </c>
      <c r="LA98" s="6">
        <f>COUNTIFS(Table79[Country],Tabela1[[#This Row],[Country]],Table79[Men''s Classification],"&gt;0")</f>
        <v>0</v>
      </c>
      <c r="LB98" s="6">
        <f>COUNTIFS(Table79[Country],Tabela1[[#This Row],[Country]],Table79[Women''s Classification],"&gt;0")</f>
        <v>0</v>
      </c>
      <c r="LC98" s="6">
        <f>COUNTIFS(Table79[Country],Tabela1[[#This Row],[Country]],Table79[Mixed Classification],"&gt;0")</f>
        <v>0</v>
      </c>
      <c r="LD98" s="6">
        <f>COUNTIFS(Table65[Country],Tabela1[[#This Row],[Country]],Table65[Classification],"&gt;0")</f>
        <v>0</v>
      </c>
      <c r="LE98" s="6">
        <f>COUNTIFS(Table59[Country],Tabela1[[#This Row],[Country]],Table59[Classification],"&gt;0")</f>
        <v>0</v>
      </c>
      <c r="LF98" s="6">
        <f>COUNTIFS(Table87[Country],Tabela1[[#This Row],[Country]],Table87[Mixed Relay Classification],"&gt;0")</f>
        <v>0</v>
      </c>
      <c r="LG98" s="6">
        <f>COUNTIFS(Table91949698100[Country],Tabela1[[#This Row],[Country]],Table91949698100[Men''s Classification],"&gt;0")</f>
        <v>0</v>
      </c>
      <c r="LH98" s="6">
        <f>COUNTIFS(Table91949698100[Country],Tabela1[[#This Row],[Country]],Table91949698100[Women''s Classification],"&gt;0")</f>
        <v>0</v>
      </c>
      <c r="LI98" s="6">
        <f>COUNTIFS(Table91949698100102[Country],Tabela1[[#This Row],[Country]],Table91949698100102[Men''s Classification],"&gt;0")</f>
        <v>0</v>
      </c>
      <c r="LJ98" s="6">
        <f>COUNTIFS(Table91949698100102[Country],Tabela1[[#This Row],[Country]],Table91949698100102[Women''s Classification],"&gt;0")</f>
        <v>0</v>
      </c>
      <c r="LK98" s="6">
        <f>COUNTIFS(Table23[Country],Tabela1[[#This Row],[Country]],Table23[61kg Classification],"&gt;0")</f>
        <v>0</v>
      </c>
      <c r="LL98" s="6">
        <f>COUNTIFS(Table23[Country],Tabela1[[#This Row],[Country]],Table23[73kg Classification],"&gt;0")</f>
        <v>0</v>
      </c>
      <c r="LM98" s="6">
        <f>COUNTIFS(Table23[Country],Tabela1[[#This Row],[Country]],Table23[89kg Classification],"&gt;0")</f>
        <v>0</v>
      </c>
      <c r="LN98" s="6">
        <f>COUNTIFS(Table23[Country],Tabela1[[#This Row],[Country]],Table23[102kg Classification],"&gt;0")</f>
        <v>0</v>
      </c>
      <c r="LO98" s="6">
        <f>COUNTIFS(Table23[Country],Tabela1[[#This Row],[Country]],Table23[Plus 102kg Classification],"&gt;0")</f>
        <v>0</v>
      </c>
      <c r="LP98" s="6">
        <f>COUNTIFS(Table28[Country],Tabela1[[#This Row],[Country]],Table28[49kg Classification],"&gt;0")</f>
        <v>0</v>
      </c>
      <c r="LQ98" s="6">
        <f>COUNTIFS(Table28[Country],Tabela1[[#This Row],[Country]],Table28[59kg Classification],"&gt;0")</f>
        <v>0</v>
      </c>
      <c r="LR98" s="6">
        <f>COUNTIFS(Table28[Country],Tabela1[[#This Row],[Country]],Table28[71kg Classification],"&gt;0")</f>
        <v>0</v>
      </c>
      <c r="LS98" s="6">
        <f>COUNTIFS(Table28[Country],Tabela1[[#This Row],[Country]],Table28[81kg Classification],"&gt;0")</f>
        <v>0</v>
      </c>
      <c r="LT98" s="6">
        <f>COUNTIFS(Table28[Country],Tabela1[[#This Row],[Country]],Table28[Plus 81kg Classification],"&gt;0")</f>
        <v>0</v>
      </c>
      <c r="LU98" s="6">
        <f>COUNTIFS(Table24[Country],Tabela1[[#This Row],[Country]],Table24[Freestyle 57kg Classification],"&gt;0")</f>
        <v>0</v>
      </c>
      <c r="LV98" s="6">
        <f>COUNTIFS(Table24[Country],Tabela1[[#This Row],[Country]],Table24[Freestyle 65kg Classification],"&gt;0")</f>
        <v>0</v>
      </c>
      <c r="LW98" s="6">
        <f>COUNTIFS(Table24[Country],Tabela1[[#This Row],[Country]],Table24[Freestyle 74kg Classification],"&gt;0")</f>
        <v>0</v>
      </c>
      <c r="LX98" s="6">
        <f>COUNTIFS(Table24[Country],Tabela1[[#This Row],[Country]],Table24[Freestyle 86kg Classification],"&gt;0")</f>
        <v>0</v>
      </c>
      <c r="LY98" s="6">
        <f>COUNTIFS(Table24[Country],Tabela1[[#This Row],[Country]],Table24[Freestyle 97kg Classification],"&gt;0")</f>
        <v>0</v>
      </c>
      <c r="LZ98" s="6">
        <f>COUNTIFS(Table24[Country],Tabela1[[#This Row],[Country]],Table24[Freestyle 125kg Classification],"&gt;0")</f>
        <v>0</v>
      </c>
      <c r="MA98" s="6">
        <f>COUNTIFS(Table24[Country],Tabela1[[#This Row],[Country]],Table24[Greco-Roman 60kg Classification],"&gt;0")</f>
        <v>0</v>
      </c>
      <c r="MB98" s="6">
        <f>COUNTIFS(Table24[Country],Tabela1[[#This Row],[Country]],Table24[Greco-Roman 67kg Classification],"&gt;0")</f>
        <v>0</v>
      </c>
      <c r="MC98" s="6">
        <f>COUNTIFS(Table24[Country],Tabela1[[#This Row],[Country]],Table24[Greco-Roman 77kg Classification],"&gt;0")</f>
        <v>0</v>
      </c>
      <c r="MD98" s="6">
        <f>COUNTIFS(Table24[Country],Tabela1[[#This Row],[Country]],Table24[Greco-Roman 87kg Classification],"&gt;0")</f>
        <v>0</v>
      </c>
      <c r="ME98" s="6">
        <f>COUNTIFS(Table24[Country],Tabela1[[#This Row],[Country]],Table24[Greco-Roman 97kg Classification],"&gt;0")</f>
        <v>0</v>
      </c>
      <c r="MF98" s="6">
        <f>COUNTIFS(Table24[Country],Tabela1[[#This Row],[Country]],Table24[Greco-Roman 130kg Classification],"&gt;0")</f>
        <v>0</v>
      </c>
      <c r="MG98" s="6">
        <f>COUNTIFS(Table31[Country],Tabela1[[#This Row],[Country]],Table31[50kg Classification],"&gt;0")</f>
        <v>0</v>
      </c>
      <c r="MH98" s="6">
        <f>COUNTIFS(Table31[Country],Tabela1[[#This Row],[Country]],Table31[53kg Classification],"&gt;0")</f>
        <v>0</v>
      </c>
      <c r="MI98" s="6">
        <f>COUNTIFS(Table31[Country],Tabela1[[#This Row],[Country]],Table31[57kg Classification],"&gt;0")</f>
        <v>0</v>
      </c>
      <c r="MJ98" s="6">
        <f>COUNTIFS(Table31[Country],Tabela1[[#This Row],[Country]],Table31[62kg Classification],"&gt;0")</f>
        <v>0</v>
      </c>
      <c r="MK98" s="6">
        <f>COUNTIFS(Table31[Country],Tabela1[[#This Row],[Country]],Table31[68kg Classification],"&gt;0")</f>
        <v>0</v>
      </c>
      <c r="ML98" s="6">
        <f>COUNTIFS(Table31[Country],Tabela1[[#This Row],[Country]],Table31[76kg Classification],"&gt;0")</f>
        <v>0</v>
      </c>
      <c r="MM98" s="6">
        <f>COUNTIFS(Table102[Country],Tabela1[[#This Row],[Country]],Table102[Downhill Classification],"&gt;0")</f>
        <v>1</v>
      </c>
      <c r="MN98" s="6">
        <f>COUNTIFS(Table102105[Country],Tabela1[[#This Row],[Country]],Table102105[Downhill Classification],"&gt;0")</f>
        <v>0</v>
      </c>
      <c r="MO98" s="6">
        <f>COUNTIFS(Table102[Country],Tabela1[[#This Row],[Country]],Table102[Giant Slalom Classification],"&gt;0")</f>
        <v>0</v>
      </c>
      <c r="MP98" s="6">
        <f>COUNTIFS(Table102105[Country],Tabela1[[#This Row],[Country]],Table102105[Giant Slalom Classification],"&gt;0")</f>
        <v>0</v>
      </c>
      <c r="MQ98" s="6">
        <f>COUNTIFS(Table102[Country],Tabela1[[#This Row],[Country]],Table102[Slalom Classification],"&gt;0")</f>
        <v>0</v>
      </c>
      <c r="MR98" s="6">
        <f>COUNTIFS(Table102105[Country],Tabela1[[#This Row],[Country]],Table102105[Slalom Classification],"&gt;0")</f>
        <v>0</v>
      </c>
      <c r="MS98" s="6">
        <f>COUNTIFS(Table102[Country],Tabela1[[#This Row],[Country]],Table102[Super-G Classification],"&gt;0")</f>
        <v>1</v>
      </c>
      <c r="MT98" s="6">
        <f>COUNTIFS(Table102105[Country],Tabela1[[#This Row],[Country]],Table102105[Super-G Classification],"&gt;0")</f>
        <v>0</v>
      </c>
      <c r="MU98" s="6">
        <f>COUNTIFS(Table105[Country],Tabela1[[#This Row],[Country]],Table105[Men''s Combined Classification],"&gt;0")</f>
        <v>0</v>
      </c>
      <c r="MV98" s="6">
        <f>COUNTIFS(Table105[Country],Tabela1[[#This Row],[Country]],Table105[Women''s Combined Classification],"&gt;0")</f>
        <v>0</v>
      </c>
      <c r="MW98" s="6">
        <f>COUNTIFS(Table106[Country],Tabela1[[#This Row],[Country]],Table106[Individual Classification],"&gt;0")</f>
        <v>0</v>
      </c>
      <c r="MX98" s="6">
        <f>COUNTIFS(Table106109[Country],Tabela1[[#This Row],[Country]],Table106109[Individual Classification],"&gt;0")</f>
        <v>0</v>
      </c>
      <c r="MY98" s="6">
        <f>COUNTIFS(Table106[Country],Tabela1[[#This Row],[Country]],Table106[Mass Start Classification],"&gt;0")</f>
        <v>0</v>
      </c>
      <c r="MZ98" s="6">
        <f>COUNTIFS(Table106109[Country],Tabela1[[#This Row],[Country]],Table106109[Mass Start Classification],"&gt;0")</f>
        <v>0</v>
      </c>
      <c r="NA98" s="6">
        <f>COUNTIFS(Table106[Country],Tabela1[[#This Row],[Country]],Table106[Pursuit Classification],"&gt;0")</f>
        <v>0</v>
      </c>
      <c r="NB98" s="6">
        <f>COUNTIFS(Table106109[Country],Tabela1[[#This Row],[Country]],Table106109[Pursuit Classification],"&gt;0")</f>
        <v>0</v>
      </c>
      <c r="NC98" s="6">
        <f>COUNTIFS(Table106[Country],Tabela1[[#This Row],[Country]],Table106[Sprint Classification],"&gt;0")</f>
        <v>0</v>
      </c>
      <c r="ND98" s="6">
        <f>COUNTIFS(Table106109[Country],Tabela1[[#This Row],[Country]],Table106109[Sprint Classification],"&gt;0")</f>
        <v>0</v>
      </c>
      <c r="NE98" s="6">
        <f>COUNTIFS(Table109[Country],Tabela1[[#This Row],[Country]],Table109[Men''s Relay Classification],"&gt;0")</f>
        <v>0</v>
      </c>
      <c r="NF98" s="6">
        <f>COUNTIFS(Table109[Country],Tabela1[[#This Row],[Country]],Table109[Women''s Relay Classification],"&gt;0")</f>
        <v>0</v>
      </c>
      <c r="NG98" s="6">
        <f>COUNTIFS(Table109[Country],Tabela1[[#This Row],[Country]],Table109[Mixed Relay Classification],"&gt;0")</f>
        <v>0</v>
      </c>
      <c r="NH98" s="6">
        <f>COUNTIFS(Table110[Country],Tabela1[[#This Row],[Country]],Table110[Monobob Classification],"&gt;0")</f>
        <v>0</v>
      </c>
      <c r="NI98" s="6">
        <f>COUNTIFS(Table111[Country],Tabela1[[#This Row],[Country]],Table111[Men''s Classification],"&gt;0")</f>
        <v>0</v>
      </c>
      <c r="NJ98" s="6">
        <f>COUNTIFS(Table111[Country],Tabela1[[#This Row],[Country]],Table111[Women''s Classification],"&gt;0")</f>
        <v>0</v>
      </c>
      <c r="NK98" s="6">
        <f>COUNTIFS(Table112[Country],Tabela1[[#This Row],[Country]],Table112[Men''s Four Classification],"&gt;0")</f>
        <v>0</v>
      </c>
      <c r="NL98" s="6">
        <f>COUNTIFS(Table113[Country],Tabela1[[#This Row],[Country]],Table113[Classical Classification],"&gt;0")</f>
        <v>0</v>
      </c>
      <c r="NM98" s="6">
        <f>COUNTIFS(Table113116[Country],Tabela1[[#This Row],[Country]],Table113116[Classical Classification],"&gt;0")</f>
        <v>0</v>
      </c>
      <c r="NN98" s="6">
        <f>COUNTIFS(Table113[Country],Tabela1[[#This Row],[Country]],Table113[Freestyle Classification],"&gt;0")</f>
        <v>0</v>
      </c>
      <c r="NO98" s="6">
        <f>COUNTIFS(Table113116[Country],Tabela1[[#This Row],[Country]],Table113116[Freestyle Classification],"&gt;0")</f>
        <v>0</v>
      </c>
      <c r="NP98" s="6">
        <f>COUNTIFS(Table117[Country],Tabela1[[#This Row],[Country]],Table117[Men''s Relay Classification],"&gt;0")</f>
        <v>0</v>
      </c>
      <c r="NQ98" s="6">
        <f>COUNTIFS(Table117[Country],Tabela1[[#This Row],[Country]],Table117[Women''s Relay Classification],"&gt;0")</f>
        <v>0</v>
      </c>
      <c r="NR98" s="6">
        <f>COUNTIFS(Table113[Country],Tabela1[[#This Row],[Country]],Table113[Skiathlon Classification],"&gt;0")</f>
        <v>0</v>
      </c>
      <c r="NS98" s="6">
        <f>COUNTIFS(Table113116[Country],Tabela1[[#This Row],[Country]],Table113116[Skiathlon Classification],"&gt;0")</f>
        <v>0</v>
      </c>
      <c r="NT98" s="6">
        <f>COUNTIFS(Table113[Country],Tabela1[[#This Row],[Country]],Table113[Sprint Classification],"&gt;0")</f>
        <v>0</v>
      </c>
      <c r="NU98" s="6">
        <f>COUNTIFS(Table113116[Country],Tabela1[[#This Row],[Country]],Table113116[Sprint Classification],"&gt;0")</f>
        <v>0</v>
      </c>
      <c r="NV98" s="6">
        <f>COUNTIFS(Table116[Country],Tabela1[[#This Row],[Country]],Table116[Men''s Team Sprint Classification],"&gt;0")</f>
        <v>0</v>
      </c>
      <c r="NW98" s="6">
        <f>COUNTIFS(Table116[Country],Tabela1[[#This Row],[Country]],Table116[Women''s Team Sprint Classification],"&gt;0")</f>
        <v>0</v>
      </c>
      <c r="NX98" s="6">
        <f>COUNTIFS(Table119[Country],Tabela1[[#This Row],[Country]],Table119[Men''s Classification],"&gt;0")</f>
        <v>0</v>
      </c>
      <c r="NY98" s="6">
        <f>COUNTIFS(Table119[Country],Tabela1[[#This Row],[Country]],Table119[Women''s Classification],"&gt;0")</f>
        <v>0</v>
      </c>
      <c r="NZ98" s="6">
        <f>COUNTIFS(Table118[Country],Tabela1[[#This Row],[Country]],Table118[Mixed Classification],"&gt;0")</f>
        <v>0</v>
      </c>
      <c r="OA98" s="6">
        <f>COUNTIFS(Table120[Country],Tabela1[[#This Row],[Country]],Table120[Classification],"&gt;0")</f>
        <v>0</v>
      </c>
      <c r="OB98" s="6">
        <f>COUNTIFS(Table120123[Country],Tabela1[[#This Row],[Country]],Table120123[Classification],"&gt;0")</f>
        <v>0</v>
      </c>
      <c r="OC98" s="6">
        <f>COUNTIFS(Table123[Country],Tabela1[[#This Row],[Country]],Table123[Ice Dance Classification],"&gt;0")</f>
        <v>0</v>
      </c>
      <c r="OD98" s="6">
        <f>COUNTIFS(Table123[Country],Tabela1[[#This Row],[Country]],Table123[Pair Skating Classification],"&gt;0")</f>
        <v>0</v>
      </c>
      <c r="OE98" s="6">
        <f>COUNTIFS(Table124[Country],Tabela1[[#This Row],[Country]],Table124[Mixed Classification],"&gt;0")</f>
        <v>0</v>
      </c>
      <c r="OF98" s="6">
        <f>COUNTIFS(Table125[Country],Tabela1[[#This Row],[Country]],Table125[Aerials Classification],"&gt;0")</f>
        <v>0</v>
      </c>
      <c r="OG98" s="6">
        <f>COUNTIFS(Table125128[Country],Tabela1[[#This Row],[Country]],Table125128[Aerials Classification],"&gt;0")</f>
        <v>0</v>
      </c>
      <c r="OH98" s="6">
        <f>COUNTIFS(Table128[Country],Tabela1[[#This Row],[Country]],Table128[Mixed Aerials Classification],"&gt;0")</f>
        <v>0</v>
      </c>
      <c r="OI98" s="6">
        <f>COUNTIFS(Table125[Country],Tabela1[[#This Row],[Country]],Table125[Big Air Classification],"&gt;0")</f>
        <v>0</v>
      </c>
      <c r="OJ98" s="6">
        <f>COUNTIFS(Table125128[Country],Tabela1[[#This Row],[Country]],Table125128[Big Air Classification],"&gt;0")</f>
        <v>0</v>
      </c>
      <c r="OK98" s="6">
        <f>COUNTIFS(Table125[Country],Tabela1[[#This Row],[Country]],Table125[Dual Moguls Classification],"&gt;0")</f>
        <v>0</v>
      </c>
      <c r="OL98" s="6">
        <f>COUNTIFS(Table125128[Country],Tabela1[[#This Row],[Country]],Table125128[Dual Moguls Classification],"&gt;0")</f>
        <v>0</v>
      </c>
      <c r="OM98" s="6">
        <f>COUNTIFS(Table125[Country],Tabela1[[#This Row],[Country]],Table125[Halfpipe Classification],"&gt;0")</f>
        <v>0</v>
      </c>
      <c r="ON98" s="6">
        <f>COUNTIFS(Table125128[Country],Tabela1[[#This Row],[Country]],Table125128[Halfpipe Classification],"&gt;0")</f>
        <v>0</v>
      </c>
      <c r="OO98" s="6">
        <f>COUNTIFS(Table125[Country],Tabela1[[#This Row],[Country]],Table125[Moguls Classification],"&gt;0")</f>
        <v>0</v>
      </c>
      <c r="OP98" s="6">
        <f>COUNTIFS(Table125128[Country],Tabela1[[#This Row],[Country]],Table125128[Moguls Classification],"&gt;0")</f>
        <v>0</v>
      </c>
      <c r="OQ98" s="6">
        <f>COUNTIFS(Table125[Country],Tabela1[[#This Row],[Country]],Table125[Ski Cross Classification],"&gt;0")</f>
        <v>0</v>
      </c>
      <c r="OR98" s="6">
        <f>COUNTIFS(Table125128[Country],Tabela1[[#This Row],[Country]],Table125128[Ski Cross Classification],"&gt;0")</f>
        <v>0</v>
      </c>
      <c r="OS98" s="6">
        <f>COUNTIFS(Table125[Country],Tabela1[[#This Row],[Country]],Table125[Slopestyle Classification],"&gt;0")</f>
        <v>0</v>
      </c>
      <c r="OT98" s="6">
        <f>COUNTIFS(Table125128[Country],Tabela1[[#This Row],[Country]],Table125128[Slopestyle Classification],"&gt;0")</f>
        <v>0</v>
      </c>
      <c r="OU98" s="6">
        <f>COUNTIFS(Table119131[Country],Tabela1[[#This Row],[Country]],Table119131[Men''s Classification],"&gt;0")</f>
        <v>0</v>
      </c>
      <c r="OV98" s="6">
        <f>COUNTIFS(Table119131[Country],Tabela1[[#This Row],[Country]],Table119131[Women''s Classification],"&gt;0")</f>
        <v>0</v>
      </c>
      <c r="OW98" s="6">
        <f>COUNTIFS(Table131[Country],Tabela1[[#This Row],[Country]],Table131[Classification],"&gt;0")</f>
        <v>0</v>
      </c>
      <c r="OX98" s="6">
        <f>COUNTIFS(Table131134[Country],Tabela1[[#This Row],[Country]],Table131134[Classification],"&gt;0")</f>
        <v>0</v>
      </c>
      <c r="OY98" s="6">
        <f>COUNTIFS(Table134[Country],Tabela1[[#This Row],[Country]],Table134[Men''s Classification],"&gt;0")</f>
        <v>0</v>
      </c>
      <c r="OZ98" s="6">
        <f>COUNTIFS(Table134[Country],Tabela1[[#This Row],[Country]],Table134[Women''s Classification],"&gt;0")</f>
        <v>0</v>
      </c>
      <c r="PA98" s="6">
        <f>COUNTIFS(Table135[Country],Tabela1[[#This Row],[Country]],Table135[Mixed Relay Classification],"&gt;0")</f>
        <v>0</v>
      </c>
      <c r="PB98" s="6">
        <f>COUNTIFS(Table136[Country],Tabela1[[#This Row],[Country]],Table136[Individual Classification],"&gt;0")</f>
        <v>0</v>
      </c>
      <c r="PC98" s="6">
        <f>COUNTIFS(Table136[Country],Tabela1[[#This Row],[Country]],Table136[Sprint Classification],"&gt;0")</f>
        <v>0</v>
      </c>
      <c r="PD98" s="6">
        <f>COUNTIFS(Table137[Country],Tabela1[[#This Row],[Country]],Table137[Men''s Team Sprint Large Hill Classification],"&gt;0")</f>
        <v>0</v>
      </c>
      <c r="PE98" s="6">
        <f>COUNTIFS(Table138[Country],Tabela1[[#This Row],[Country]],Table138[500m Classification],"&gt;0")</f>
        <v>0</v>
      </c>
      <c r="PF98" s="6">
        <f>COUNTIFS(Table138141[Country],Tabela1[[#This Row],[Country]],Table138141[500m Classification],"&gt;0")</f>
        <v>0</v>
      </c>
      <c r="PG98" s="6">
        <f>COUNTIFS(Table138[Country],Tabela1[[#This Row],[Country]],Table138[1000m Classification],"&gt;0")</f>
        <v>0</v>
      </c>
      <c r="PH98" s="6">
        <f>COUNTIFS(Table138141[Country],Tabela1[[#This Row],[Country]],Table138141[1000m Classification],"&gt;0")</f>
        <v>0</v>
      </c>
      <c r="PI98" s="6">
        <f>COUNTIFS(Table138[Country],Tabela1[[#This Row],[Country]],Table138[1500m Classification],"&gt;0")</f>
        <v>0</v>
      </c>
      <c r="PJ98" s="6">
        <f>COUNTIFS(Table138141[Country],Tabela1[[#This Row],[Country]],Table138141[1500m Classification],"&gt;0")</f>
        <v>0</v>
      </c>
      <c r="PK98" s="6">
        <f>COUNTIFS(Table141[Country],Tabela1[[#This Row],[Country]],Table141[Men''s 5000m Relay Classification],"&gt;0")</f>
        <v>0</v>
      </c>
      <c r="PL98" s="6">
        <f>COUNTIFS(Table141[Country],Tabela1[[#This Row],[Country]],Table141[Women''s 3000m Relay Classification],"&gt;0")</f>
        <v>0</v>
      </c>
      <c r="PM98" s="6">
        <f>COUNTIFS(Table141[Country],Tabela1[[#This Row],[Country]],Table141[Mixed 2000m Relay Classification],"&gt;0")</f>
        <v>0</v>
      </c>
      <c r="PN98" s="6">
        <f>COUNTIFS(Table142[Country],Tabela1[[#This Row],[Country]],Table142[Classification],"&gt;0")</f>
        <v>0</v>
      </c>
      <c r="PO98" s="6">
        <f>COUNTIFS(Table142145[Country],Tabela1[[#This Row],[Country]],Table142145[Classification],"&gt;0")</f>
        <v>0</v>
      </c>
      <c r="PP98" s="6">
        <f>COUNTIFS(Tabela15[Country],Tabela1[[#This Row],[Country]],Tabela15[Mixed Team Classification],"&gt;0")</f>
        <v>0</v>
      </c>
      <c r="PQ98" s="6">
        <f>COUNTIFS(Table145[Country],Tabela1[[#This Row],[Country]],Table145[Large Hill Classification],"&gt;0")</f>
        <v>0</v>
      </c>
      <c r="PR98" s="6">
        <f>COUNTIFS(Table145[Country],Tabela1[[#This Row],[Country]],Table145[Normal Hill Classification],"&gt;0")</f>
        <v>0</v>
      </c>
      <c r="PS98" s="6">
        <f>COUNTIFS(Table145148[Country],Tabela1[[#This Row],[Country]],Table145148[Large Hill Classification],"&gt;0")</f>
        <v>0</v>
      </c>
      <c r="PT98" s="6">
        <f>COUNTIFS(Table145148[Country],Tabela1[[#This Row],[Country]],Table145148[Normal Hill Classification],"&gt;0")</f>
        <v>0</v>
      </c>
      <c r="PU98" s="6">
        <f>COUNTIFS(Table148[Country],Tabela1[[#This Row],[Country]],Table148[Men''s Super Team Classification],"&gt;0")</f>
        <v>0</v>
      </c>
      <c r="PV98" s="6">
        <f>COUNTIFS(Tabela114[Country],Tabela1[[#This Row],[Country]],Tabela114[Mixed Normal Hill Classification],"&gt;0")</f>
        <v>0</v>
      </c>
      <c r="PW98" s="6">
        <f>COUNTIFS(Tabela50[Country],Tabela1[[#This Row],[Country]],Tabela50[Sprint Classification],"&gt;0")</f>
        <v>0</v>
      </c>
      <c r="PX98" s="6">
        <f>COUNTIFS(Tabela50101[Country],Tabela1[[#This Row],[Country]],Tabela50101[Sprint Classification],"&gt;0")</f>
        <v>0</v>
      </c>
      <c r="PY98" s="6">
        <f>COUNTIFS(Tabela103[Country],Tabela1[[#This Row],[Country]],Tabela103[Mixed Relay Classification],"&gt;0")</f>
        <v>0</v>
      </c>
      <c r="PZ98" s="6">
        <f>COUNTIFS(Table149[Country],Tabela1[[#This Row],[Country]],Table149[Big Air Classification],"&gt;0")</f>
        <v>0</v>
      </c>
      <c r="QA98" s="6">
        <f>COUNTIFS(Table149152[Country],Tabela1[[#This Row],[Country]],Table149152[Big Air Classification],"&gt;0")</f>
        <v>0</v>
      </c>
      <c r="QB98" s="6">
        <f>COUNTIFS(Table149[Country],Tabela1[[#This Row],[Country]],Table149[Halfpipe Classification],"&gt;0")</f>
        <v>0</v>
      </c>
      <c r="QC98" s="6">
        <f>COUNTIFS(Table149152[Country],Tabela1[[#This Row],[Country]],Table149152[Halfpipe Classification],"&gt;0")</f>
        <v>0</v>
      </c>
      <c r="QD98" s="6">
        <f>COUNTIFS(Table149[Country],Tabela1[[#This Row],[Country]],Table149[Parallel Giant Slalom Classification],"&gt;0")</f>
        <v>0</v>
      </c>
      <c r="QE98" s="6">
        <f>COUNTIFS(Table149152[Country],Tabela1[[#This Row],[Country]],Table149152[Parallel Giant Slalom Classification],"&gt;0")</f>
        <v>0</v>
      </c>
      <c r="QF98" s="6">
        <f>COUNTIFS(Table149[Country],Tabela1[[#This Row],[Country]],Table149[Slopestyle Classification],"&gt;0")</f>
        <v>0</v>
      </c>
      <c r="QG98" s="6">
        <f>COUNTIFS(Table149152[Country],Tabela1[[#This Row],[Country]],Table149152[Slopestyle Classification],"&gt;0")</f>
        <v>0</v>
      </c>
      <c r="QH98" s="6">
        <f>COUNTIFS(Table149[Country],Tabela1[[#This Row],[Country]],Table149[Snowboard Cross Classification],"&gt;0")</f>
        <v>0</v>
      </c>
      <c r="QI98" s="6">
        <f>COUNTIFS(Table149152[Country],Tabela1[[#This Row],[Country]],Table149152[Snowboard Cross Classification],"&gt;0")</f>
        <v>0</v>
      </c>
      <c r="QJ98" s="6">
        <f>COUNTIFS(Table153[Country],Tabela1[[#This Row],[Country]],Table153[Mixed Team Snowboard Cross Classification],"&gt;0")</f>
        <v>0</v>
      </c>
      <c r="QK98" s="6">
        <f>COUNTIFS(Table154[Country],Tabela1[[#This Row],[Country]],Table154[500m Classification],"&gt;0")</f>
        <v>0</v>
      </c>
      <c r="QL98" s="6">
        <f>COUNTIFS(Table154157[Country],Tabela1[[#This Row],[Country]],Table154157[500m Classification],"&gt;0")</f>
        <v>0</v>
      </c>
      <c r="QM98" s="6">
        <f>COUNTIFS(Table154[Country],Tabela1[[#This Row],[Country]],Table154[1000m Classification],"&gt;0")</f>
        <v>0</v>
      </c>
      <c r="QN98" s="6">
        <f>COUNTIFS(Table154157[Country],Tabela1[[#This Row],[Country]],Table154157[1000m Classification],"&gt;0")</f>
        <v>0</v>
      </c>
      <c r="QO98" s="6">
        <f>COUNTIFS(Table154[Country],Tabela1[[#This Row],[Country]],Table154[1500m Classification],"&gt;0")</f>
        <v>0</v>
      </c>
      <c r="QP98" s="6">
        <f>COUNTIFS(Table154157[Country],Tabela1[[#This Row],[Country]],Table154157[1500m Classification],"&gt;0")</f>
        <v>0</v>
      </c>
      <c r="QQ98" s="6">
        <f>COUNTIFS(Table154157[Country],Tabela1[[#This Row],[Country]],Table154157[3000m Classification],"&gt;0")</f>
        <v>0</v>
      </c>
      <c r="QR98" s="6">
        <f>COUNTIFS(Table154[Country],Tabela1[[#This Row],[Country]],Table154[5000m Classification],"&gt;0")</f>
        <v>0</v>
      </c>
      <c r="QS98" s="6">
        <f>COUNTIFS(Table154157[Country],Tabela1[[#This Row],[Country]],Table154157[5000m Classification],"&gt;0")</f>
        <v>0</v>
      </c>
      <c r="QT98" s="6">
        <f>COUNTIFS(Table154[Country],Tabela1[[#This Row],[Country]],Table154[10000m Classification],"&gt;0")</f>
        <v>0</v>
      </c>
      <c r="QU98" s="6">
        <f>COUNTIFS(Table154[Country],Tabela1[[#This Row],[Country]],Table154[Mass Start Classification],"&gt;0")</f>
        <v>0</v>
      </c>
      <c r="QV98" s="6">
        <f>COUNTIFS(Table154157[Country],Tabela1[[#This Row],[Country]],Table154157[Mass Start Classification],"&gt;0")</f>
        <v>0</v>
      </c>
      <c r="QW98" s="6">
        <f>COUNTIFS(Table157[Country],Tabela1[[#This Row],[Country]],Table157[Men''s Pursuit Classification],"&gt;0")</f>
        <v>0</v>
      </c>
      <c r="QX98" s="6">
        <f>COUNTIFS(Table157[Country],Tabela1[[#This Row],[Country]],Table157[Women''s Pursuit Classification],"&gt;0")</f>
        <v>0</v>
      </c>
      <c r="QY98" s="4" t="s">
        <v>641</v>
      </c>
    </row>
    <row r="99" spans="1:467" x14ac:dyDescent="0.3">
      <c r="A99" s="6">
        <v>98</v>
      </c>
      <c r="B99" s="6" t="s">
        <v>538</v>
      </c>
      <c r="C99" t="e" vm="98">
        <f>IF(ISBLANK(Tabela1[[#This Row],[Image Link]]), "", _xlfn.IMAGE(Tabela1[[#This Row],[Image Link]],1,1))</f>
        <v>#VALUE!</v>
      </c>
      <c r="D99" s="6">
        <f>SUM(Tabela1[[#This Row],[Archery - Men''s Individual Recurve]:[Speed Skating - Women''s Team Pursuit]])</f>
        <v>3</v>
      </c>
      <c r="E99" s="6">
        <f>COUNTIF(Tabela1[[#This Row],[Archery - Men''s Individual Recurve]:[Speed Skating - Women''s Team Pursuit]],"&gt;0")</f>
        <v>3</v>
      </c>
      <c r="F99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99" s="6">
        <f>SUM(Tabela1[[#This Row],[Archery - Men''s Individual Recurve]:[Wrestling - Women''s Freestyle 76kg]])</f>
        <v>3</v>
      </c>
      <c r="H99" s="6">
        <f>SUM(Tabela1[[#This Row],[Alpine Skiing - Men''s Downhill]:[Speed Skating - Women''s Team Pursuit]])</f>
        <v>0</v>
      </c>
      <c r="I99" s="6">
        <f>Tabela1[[#This Row],[Summer Gold Medals]]+Tabela1[[#This Row],[Winter Gold Medals]]</f>
        <v>0</v>
      </c>
      <c r="J99" s="6">
        <f>Tabela1[[#This Row],[Summer Silver Medals]]+Tabela1[[#This Row],[Winter Silver Medals]]</f>
        <v>0</v>
      </c>
      <c r="K99" s="6">
        <f>Tabela1[[#This Row],[Summer Bronze Medals]]+Tabela1[[#This Row],[Winter Bronze Medals]]</f>
        <v>0</v>
      </c>
      <c r="L99" s="6">
        <f>SUM(Tabela1[[#This Row],[Total Gold Medals]:[Total Bronze Medals]])</f>
        <v>0</v>
      </c>
      <c r="M99" s="6"/>
      <c r="N99" s="6"/>
      <c r="O99" s="6"/>
      <c r="P99" s="6">
        <f>SUM(Tabela1[[#This Row],[Summer Gold Medals]:[Summer Bronze Medals]])</f>
        <v>0</v>
      </c>
      <c r="Q99" s="6"/>
      <c r="R99" s="6"/>
      <c r="S99" s="6"/>
      <c r="T99" s="6">
        <f>Tabela1[[#This Row],[Winter Gold Medals]]+Tabela1[[#This Row],[Winter Silver Medals]]+Tabela1[[#This Row],[Winter Bronze Medals]]</f>
        <v>0</v>
      </c>
      <c r="U99" s="7">
        <f>Tabela1[[#This Row],[Total Medals]]/Tabela1[[#This Row],[Total Quotas]]</f>
        <v>0</v>
      </c>
      <c r="V99" s="6">
        <f>COUNTIFS(Table3[Country],Tabela1[[#This Row],[Country]],Table3[Recurve Classification],"&gt;0")</f>
        <v>0</v>
      </c>
      <c r="W99" s="6">
        <f>COUNTIFS(Table33[Country],Tabela1[[#This Row],[Country]],Table33[Recurve Classification],"&gt;0")</f>
        <v>0</v>
      </c>
      <c r="X99" s="6">
        <f>COUNTIFS(Table35[Country],Tabela1[[#This Row],[Country]],Table35[Men''s Team Recurve Classification],"&gt;0")</f>
        <v>0</v>
      </c>
      <c r="Y99" s="6">
        <f>COUNTIFS(Table35[Country],Tabela1[[#This Row],[Country]],Table35[Women''s Team Recurve Classification],"&gt;0")</f>
        <v>0</v>
      </c>
      <c r="Z99" s="6">
        <f>COUNTIFS(Tabela88[Country],Tabela1[[#This Row],[Country]],Tabela88[Mixed Team Recurve Classification],"&gt;0")</f>
        <v>0</v>
      </c>
      <c r="AA99" s="6">
        <f>COUNTIFS(Table36[Country],Tabela1[[#This Row],[Country]],Table36[Classification],"&gt;0")</f>
        <v>0</v>
      </c>
      <c r="AB99" s="6">
        <f>COUNTIFS(Table37[Country],Tabela1[[#This Row],[Country]],Table37[Classification],"&gt;0")</f>
        <v>0</v>
      </c>
      <c r="AC99" s="6">
        <f>COUNTIFS(Table4[Country],Tabela1[[#This Row],[Country]],Table4[100m Classification],"&gt;0")</f>
        <v>0</v>
      </c>
      <c r="AD99" s="6">
        <f>COUNTIFS(Table5[Country],Tabela1[[#This Row],[Country]],Table5[100m Classification],"&gt;0")</f>
        <v>0</v>
      </c>
      <c r="AE99" s="6">
        <f>COUNTIFS(Table4[Country],Tabela1[[#This Row],[Country]],Table4[200m Classification],"&gt;0")</f>
        <v>0</v>
      </c>
      <c r="AF99" s="6">
        <f>COUNTIFS(Table5[Country],Tabela1[[#This Row],[Country]],Table5[200m Classification],"&gt;0")</f>
        <v>0</v>
      </c>
      <c r="AG99" s="6">
        <f>COUNTIFS(Table4[Country],Tabela1[[#This Row],[Country]],Table4[400m Classification],"&gt;0")</f>
        <v>0</v>
      </c>
      <c r="AH99" s="6">
        <f>COUNTIFS(Table5[Country],Tabela1[[#This Row],[Country]],Table5[400m Classification],"&gt;0")</f>
        <v>0</v>
      </c>
      <c r="AI99" s="6">
        <f>COUNTIFS(Table4[Country],Tabela1[[#This Row],[Country]],Table4[800m Classification],"&gt;0")</f>
        <v>0</v>
      </c>
      <c r="AJ99" s="6">
        <f>COUNTIFS(Table5[Country],Tabela1[[#This Row],[Country]],Table5[800m Classification],"&gt;0")</f>
        <v>0</v>
      </c>
      <c r="AK99" s="6">
        <f>COUNTIFS(Table4[Country],Tabela1[[#This Row],[Country]],Table4[1500m Classification],"&gt;0")</f>
        <v>0</v>
      </c>
      <c r="AL99" s="6">
        <f>COUNTIFS(Table5[Country],Tabela1[[#This Row],[Country]],Table5[1500m Classification],"&gt;0")</f>
        <v>0</v>
      </c>
      <c r="AM99" s="6">
        <f>COUNTIFS(Table4[Country],Tabela1[[#This Row],[Country]],Table4[5000m Classification],"&gt;0")</f>
        <v>0</v>
      </c>
      <c r="AN99" s="6">
        <f>COUNTIFS(Table5[Country],Tabela1[[#This Row],[Country]],Table5[5000m Classification],"&gt;0")</f>
        <v>0</v>
      </c>
      <c r="AO99" s="6">
        <f>COUNTIFS(Table4[Country],Tabela1[[#This Row],[Country]],Table4[10000m Classification],"&gt;0")</f>
        <v>0</v>
      </c>
      <c r="AP99" s="6">
        <f>COUNTIFS(Table5[Country],Tabela1[[#This Row],[Country]],Table5[10000m Classification],"&gt;0")</f>
        <v>0</v>
      </c>
      <c r="AQ99" s="6">
        <f>COUNTIFS(Table4[Country],Tabela1[[#This Row],[Country]],Table4[110m Hurdles Classification],"&gt;0")</f>
        <v>0</v>
      </c>
      <c r="AR99" s="6">
        <f>COUNTIFS(Table5[Country],Tabela1[[#This Row],[Country]],Table5[100m Hurdles Classification],"&gt;0")</f>
        <v>0</v>
      </c>
      <c r="AS99" s="6">
        <f>COUNTIFS(Table4[Country],Tabela1[[#This Row],[Country]],Table4[400m Hurdles Classification],"&gt;0")</f>
        <v>0</v>
      </c>
      <c r="AT99" s="6">
        <f>COUNTIFS(Table5[Country],Tabela1[[#This Row],[Country]],Table5[400m Hurdles Classification],"&gt;0")</f>
        <v>0</v>
      </c>
      <c r="AU99" s="6">
        <f>COUNTIFS(Table4[Country],Tabela1[[#This Row],[Country]],Table4[3000m Steeplechase Classification],"&gt;0")</f>
        <v>0</v>
      </c>
      <c r="AV99" s="6">
        <f>COUNTIFS(Table5[Country],Tabela1[[#This Row],[Country]],Table5[3000m Steeplechase Classification],"&gt;0")</f>
        <v>0</v>
      </c>
      <c r="AW99" s="6">
        <f>COUNTIFS(Table27[Country],Tabela1[[#This Row],[Country]],Table27[Men''s 4x100m Relay Classification],"&gt;0")</f>
        <v>0</v>
      </c>
      <c r="AX99" s="6">
        <f>COUNTIFS(Table27[Country],Tabela1[[#This Row],[Country]],Table27[Women''s 4x100m Relay Classification],"&gt;0")</f>
        <v>0</v>
      </c>
      <c r="AY99" s="6">
        <f>COUNTIFS(Table27[Country],Tabela1[[#This Row],[Country]],Table27[Men''s 4x400m Relay Classification],"&gt;0")</f>
        <v>0</v>
      </c>
      <c r="AZ99" s="6">
        <f>COUNTIFS(Table27[Country],Tabela1[[#This Row],[Country]],Table27[Women''s 4x400m Relay Classification],"&gt;0")</f>
        <v>0</v>
      </c>
      <c r="BA99" s="6">
        <f>COUNTIFS(Table27[Country],Tabela1[[#This Row],[Country]],Table27[Mixed 4x400m Relay Classification],"&gt;0")</f>
        <v>0</v>
      </c>
      <c r="BB99" s="6">
        <f>COUNTIFS(Table4[Country],Tabela1[[#This Row],[Country]],Table4[Marathon Classification],"&gt;0")</f>
        <v>0</v>
      </c>
      <c r="BC99" s="6">
        <f>COUNTIFS(Table5[Country],Tabela1[[#This Row],[Country]],Table5[Marathon Classification],"&gt;0")</f>
        <v>0</v>
      </c>
      <c r="BD99" s="6">
        <f>COUNTIFS(Table4[Country],Tabela1[[#This Row],[Country]],Table4[20km Race Walk Classification],"&gt;0")</f>
        <v>0</v>
      </c>
      <c r="BE99" s="6">
        <f>COUNTIFS(Table5[Country],Tabela1[[#This Row],[Country]],Table5[20km Race Walk Classification],"&gt;0")</f>
        <v>0</v>
      </c>
      <c r="BF99" s="6">
        <f>COUNTIFS(Tabela96[Country],Tabela1[[#This Row],[Country]],Tabela96[Mixed Marathon Race Walk Relay Classification],"&gt;0")</f>
        <v>0</v>
      </c>
      <c r="BG99" s="6">
        <f>COUNTIFS(Table4[Country],Tabela1[[#This Row],[Country]],Table4[Discus Throw Classification],"&gt;0")</f>
        <v>0</v>
      </c>
      <c r="BH99" s="6">
        <f>COUNTIFS(Table5[Country],Tabela1[[#This Row],[Country]],Table5[Discus Throw Classification],"&gt;0")</f>
        <v>0</v>
      </c>
      <c r="BI99" s="6">
        <f>COUNTIFS(Table4[Country],Tabela1[[#This Row],[Country]],Table4[Hammer Throw Classification],"&gt;0")</f>
        <v>0</v>
      </c>
      <c r="BJ99" s="6">
        <f>COUNTIFS(Table5[Country],Tabela1[[#This Row],[Country]],Table5[Hammer Throw Classification],"&gt;0")</f>
        <v>0</v>
      </c>
      <c r="BK99" s="6">
        <f>COUNTIFS(Table4[Country],Tabela1[[#This Row],[Country]],Table4[High Jump Classification],"&gt;0")</f>
        <v>0</v>
      </c>
      <c r="BL99" s="6">
        <f>COUNTIFS(Table5[Country],Tabela1[[#This Row],[Country]],Table5[High Jump Classification],"&gt;0")</f>
        <v>0</v>
      </c>
      <c r="BM99" s="6">
        <f>COUNTIFS(Table4[Country],Tabela1[[#This Row],[Country]],Table4[Javelin Throw Classification],"&gt;0")</f>
        <v>0</v>
      </c>
      <c r="BN99" s="6">
        <f>COUNTIFS(Table5[Country],Tabela1[[#This Row],[Country]],Table5[Javelin Throw Classification],"&gt;0")</f>
        <v>0</v>
      </c>
      <c r="BO99" s="6">
        <f>COUNTIFS(Table4[Country],Tabela1[[#This Row],[Country]],Table4[Long Jump Classification],"&gt;0")</f>
        <v>0</v>
      </c>
      <c r="BP99" s="6">
        <f>COUNTIFS(Table5[Country],Tabela1[[#This Row],[Country]],Table5[Long Jump Classification],"&gt;0")</f>
        <v>0</v>
      </c>
      <c r="BQ99" s="6">
        <f>COUNTIFS(Table4[Country],Tabela1[[#This Row],[Country]],Table4[Pole Vault Classification],"&gt;0")</f>
        <v>0</v>
      </c>
      <c r="BR99" s="6">
        <f>COUNTIFS(Table5[Country],Tabela1[[#This Row],[Country]],Table5[Pole Vault Classification],"&gt;0")</f>
        <v>0</v>
      </c>
      <c r="BS99" s="6">
        <f>COUNTIFS(Table4[Country],Tabela1[[#This Row],[Country]],Table4[Shot Put Classification],"&gt;0")</f>
        <v>0</v>
      </c>
      <c r="BT99" s="6">
        <f>COUNTIFS(Table5[Country],Tabela1[[#This Row],[Country]],Table5[Shot Put Classification],"&gt;0")</f>
        <v>0</v>
      </c>
      <c r="BU99" s="6">
        <f>COUNTIFS(Table4[Country],Tabela1[[#This Row],[Country]],Table4[Triple Jump Classification],"&gt;0")</f>
        <v>1</v>
      </c>
      <c r="BV99" s="6">
        <f>COUNTIFS(Table5[Country],Tabela1[[#This Row],[Country]],Table5[Triple Jump Classification],"&gt;0")</f>
        <v>0</v>
      </c>
      <c r="BW99" s="6">
        <f>COUNTIFS(Table4[Country],Tabela1[[#This Row],[Country]],Table4[Decathlon Classification],"&gt;0")</f>
        <v>0</v>
      </c>
      <c r="BX99" s="6">
        <f>COUNTIFS(Table5[Country],Tabela1[[#This Row],[Country]],Table5[Heptathlon Classification],"&gt;0")</f>
        <v>0</v>
      </c>
      <c r="BY99" s="6">
        <f>COUNTIFS(Table61[Country],Tabela1[[#This Row],[Country]],Table61[Classification],"&gt;0")</f>
        <v>0</v>
      </c>
      <c r="BZ99" s="6">
        <f>COUNTIFS(Table38[Country],Tabela1[[#This Row],[Country]],Table38[Classification],"&gt;0")</f>
        <v>0</v>
      </c>
      <c r="CA99" s="6">
        <f>COUNTIFS(Table39[Country],Tabela1[[#This Row],[Country]],Table39[Men''s Classification],"&gt;0")</f>
        <v>0</v>
      </c>
      <c r="CB99" s="6">
        <f>COUNTIFS(Table39[Country],Tabela1[[#This Row],[Country]],Table39[Women''s Classification],"&gt;0")</f>
        <v>0</v>
      </c>
      <c r="CC99" s="6">
        <f>COUNTIFS(Table39[Country],Tabela1[[#This Row],[Country]],Table39[Mixed Classification],"&gt;0")</f>
        <v>0</v>
      </c>
      <c r="CD99" s="6">
        <f>COUNTIFS(Table89[Country],Tabela1[[#This Row],[Country]],Table89[Men''s Classification],"&gt;0")</f>
        <v>0</v>
      </c>
      <c r="CE99" s="6">
        <f>COUNTIFS(Table89[Country],Tabela1[[#This Row],[Country]],Table89[Women''s Classification],"&gt;0")</f>
        <v>0</v>
      </c>
      <c r="CF99" s="6">
        <f>COUNTIFS(Table90[Country],Tabela1[[#This Row],[Country]],Table90[Men''s Classification],"&gt;0")</f>
        <v>0</v>
      </c>
      <c r="CG99" s="6">
        <f>COUNTIFS(Table90[Country],Tabela1[[#This Row],[Country]],Table90[Women''s Classification],"&gt;0")</f>
        <v>0</v>
      </c>
      <c r="CH99" s="6">
        <f>COUNTIFS(Table60[Country],Tabela1[[#This Row],[Country]],Table60[Men''s Classification],"&gt;0")</f>
        <v>0</v>
      </c>
      <c r="CI99" s="6">
        <f>COUNTIFS(Table60[Country],Tabela1[[#This Row],[Country]],Table60[Women''s Classification],"&gt;0")</f>
        <v>0</v>
      </c>
      <c r="CJ99" s="6">
        <f>COUNTIFS(Table6[Country],Tabela1[[#This Row],[Country]],Table6[51kg Classification],"&gt;0")</f>
        <v>0</v>
      </c>
      <c r="CK99" s="6">
        <f>COUNTIFS(Table6[Country],Tabela1[[#This Row],[Country]],Table6[57kg Classification],"&gt;0")</f>
        <v>0</v>
      </c>
      <c r="CL99" s="6">
        <f>COUNTIFS(Table6[Country],Tabela1[[#This Row],[Country]],Table6[63.5kg Classification],"&gt;0")</f>
        <v>0</v>
      </c>
      <c r="CM99" s="6">
        <f>COUNTIFS(Table6[Country],Tabela1[[#This Row],[Country]],Table6[71kg Classification],"&gt;0")</f>
        <v>0</v>
      </c>
      <c r="CN99" s="6">
        <f>COUNTIFS(Table6[Country],Tabela1[[#This Row],[Country]],Table6[80kg Classification],"&gt;0")</f>
        <v>0</v>
      </c>
      <c r="CO99" s="6">
        <f>COUNTIFS(Table6[Country],Tabela1[[#This Row],[Country]],Table6[92kg Classification],"&gt;0")</f>
        <v>0</v>
      </c>
      <c r="CP99" s="6">
        <f>COUNTIFS(Table6[Country],Tabela1[[#This Row],[Country]],Table6[Plus 92kg Classification],"&gt;0")</f>
        <v>0</v>
      </c>
      <c r="CQ99" s="6">
        <f>COUNTIFS(Table7[Country],Tabela1[[#This Row],[Country]],Table7[50kg Classification],"&gt;0")</f>
        <v>0</v>
      </c>
      <c r="CR99" s="6">
        <f>COUNTIFS(Table7[Country],Tabela1[[#This Row],[Country]],Table7[54kg Classification],"&gt;0")</f>
        <v>0</v>
      </c>
      <c r="CS99" s="6">
        <f>COUNTIFS(Table7[Country],Tabela1[[#This Row],[Country]],Table7[57kg Classification],"&gt;0")</f>
        <v>0</v>
      </c>
      <c r="CT99" s="6">
        <f>COUNTIFS(Table7[Country],Tabela1[[#This Row],[Country]],Table7[60kg Classification],"&gt;0")</f>
        <v>0</v>
      </c>
      <c r="CU99" s="6">
        <f>COUNTIFS(Table7[Country],Tabela1[[#This Row],[Country]],Table7[66kg Classification],"&gt;0")</f>
        <v>0</v>
      </c>
      <c r="CV99" s="6">
        <f>COUNTIFS(Table7[Country],Tabela1[[#This Row],[Country]],Table7[75kg Classification],"&gt;0")</f>
        <v>0</v>
      </c>
      <c r="CW99" s="6">
        <f>COUNTIFS(Tabela94[Country],Tabela1[[#This Row],[Country]],Tabela94[Classification],"&gt;0")</f>
        <v>0</v>
      </c>
      <c r="CX99" s="6">
        <f>COUNTIFS(Tabela9499[Country],Tabela1[[#This Row],[Country]],Tabela9499[Classification],"&gt;0")</f>
        <v>0</v>
      </c>
      <c r="CY99" s="6">
        <f>COUNTIFS(Tabela107[Country],Tabela1[[#This Row],[Country]],Tabela107[C1 Slalom Classification],"&gt;0")</f>
        <v>0</v>
      </c>
      <c r="CZ99" s="6">
        <f>COUNTIFS(Tabela107122[Country],Tabela1[[#This Row],[Country]],Tabela107122[C1 Slalom Classification],"&gt;0")</f>
        <v>0</v>
      </c>
      <c r="DA99" s="6">
        <f>COUNTIFS(Tabela107[Country],Tabela1[[#This Row],[Country]],Tabela107[K1 Slalom Classification],"&gt;0")</f>
        <v>0</v>
      </c>
      <c r="DB99" s="6">
        <f>COUNTIFS(Tabela107122[Country],Tabela1[[#This Row],[Country]],Tabela107122[K1 Slalom Classification],"&gt;0")</f>
        <v>0</v>
      </c>
      <c r="DC99" s="6">
        <f>COUNTIFS(Tabela107[Country],Tabela1[[#This Row],[Country]],Tabela107[Kayak Cross Slalom Classification],"&gt;0")</f>
        <v>0</v>
      </c>
      <c r="DD99" s="6">
        <f>COUNTIFS(Tabela107122[Country],Tabela1[[#This Row],[Country]],Tabela107122[Kayak Cross Slalom Classification],"&gt;0")</f>
        <v>0</v>
      </c>
      <c r="DE99" s="6">
        <f>COUNTIFS(Table8[Country],Tabela1[[#This Row],[Country]],Table8[C1 200m Classification],"&gt;0")</f>
        <v>0</v>
      </c>
      <c r="DF99" s="6">
        <f>COUNTIFS(Table40[Country],Tabela1[[#This Row],[Country]],Table40[C1 1000m Classification],"&gt;0")</f>
        <v>0</v>
      </c>
      <c r="DG99" s="6">
        <f>COUNTIFS(Table68[Country],Tabela1[[#This Row],[Country]],Table68[Men''s C2 500m Classification],"&gt;0")</f>
        <v>0</v>
      </c>
      <c r="DH99" s="6">
        <f>COUNTIFS(Table68[Country],Tabela1[[#This Row],[Country]],Table68[Women''s C2 500m Classification],"&gt;0")</f>
        <v>0</v>
      </c>
      <c r="DI99" s="6">
        <f>COUNTIFS(Table8[Country],Tabela1[[#This Row],[Country]],Table8[K1 500m Classification],"&gt;0")</f>
        <v>0</v>
      </c>
      <c r="DJ99" s="6">
        <f>COUNTIFS(Table40[Country],Tabela1[[#This Row],[Country]],Table40[K1 1000m Classification],"&gt;0")</f>
        <v>0</v>
      </c>
      <c r="DK99" s="6">
        <f>COUNTIFS(Table68[Country],Tabela1[[#This Row],[Country]],Table68[Men''s K2 500m Classification],"&gt;0")</f>
        <v>0</v>
      </c>
      <c r="DL99" s="6">
        <f>COUNTIFS(Table68[Country],Tabela1[[#This Row],[Country]],Table68[Women''s K2 500m Classification],"&gt;0")</f>
        <v>0</v>
      </c>
      <c r="DM99" s="6">
        <f>COUNTIFS(Table83[Country],Tabela1[[#This Row],[Country]],Table83[Men''s K4 500m Classification],"&gt;0")</f>
        <v>0</v>
      </c>
      <c r="DN99" s="6">
        <f>COUNTIFS(Table83[Country],Tabela1[[#This Row],[Country]],Table83[Women''s K4 500m Classification],"&gt;0")</f>
        <v>0</v>
      </c>
      <c r="DO99" s="6">
        <f>COUNTIFS(Tabela126[Country],Tabela1[[#This Row],[Country]],Tabela126[Classification],"&gt;0")</f>
        <v>0</v>
      </c>
      <c r="DP99" s="6">
        <f>COUNTIFS(Tabela126130[Country],Tabela1[[#This Row],[Country]],Tabela126130[Classification],"&gt;0")</f>
        <v>0</v>
      </c>
      <c r="DQ99" s="6">
        <f>COUNTIFS(Table70[Country],Tabela1[[#This Row],[Country]],Table70[Classification],"&gt;0")</f>
        <v>0</v>
      </c>
      <c r="DR99" s="6">
        <f>COUNTIFS(Table80[Country],Tabela1[[#This Row],[Country]],Table80[Classification],"&gt;0")</f>
        <v>0</v>
      </c>
      <c r="DS99" s="6">
        <f>COUNTIFS(Table66[Country],Tabela1[[#This Row],[Country]],Table66[Classification],"&gt;0")</f>
        <v>0</v>
      </c>
      <c r="DT99" s="6">
        <f>COUNTIFS(Table67[Country],Tabela1[[#This Row],[Country]],Table67[Classification],"&gt;0")</f>
        <v>0</v>
      </c>
      <c r="DU99" s="6">
        <f>COUNTIFS(Table69[Country],Tabela1[[#This Row],[Country]],Table69[Keirin Classification],"&gt;0")</f>
        <v>0</v>
      </c>
      <c r="DV99" s="6">
        <f>COUNTIFS(Table41[Country],Tabela1[[#This Row],[Country]],Table41[Keirin Classification],"&gt;0")</f>
        <v>0</v>
      </c>
      <c r="DW99" s="6">
        <f>COUNTIFS(Table84[Country],Tabela1[[#This Row],[Country]],Table84[Men''s Madison Classification],"&gt;0")</f>
        <v>0</v>
      </c>
      <c r="DX99" s="6">
        <f>COUNTIFS(Table84[Country],Tabela1[[#This Row],[Country]],Table84[Women''s Madison Classification],"&gt;0")</f>
        <v>0</v>
      </c>
      <c r="DY99" s="6">
        <f>COUNTIFS(Table69[Country],Tabela1[[#This Row],[Country]],Table69[Omnium Classification],"&gt;0")</f>
        <v>0</v>
      </c>
      <c r="DZ99" s="6">
        <f>COUNTIFS(Table41[Country],Tabela1[[#This Row],[Country]],Table41[Omnium Classification],"&gt;0")</f>
        <v>0</v>
      </c>
      <c r="EA99" s="6">
        <f>COUNTIFS(Table9[Country],Tabela1[[#This Row],[Country]],Table9[Road Race Classification],"&gt;0")</f>
        <v>0</v>
      </c>
      <c r="EB99" s="6">
        <f>COUNTIFS(Table14[Country],Tabela1[[#This Row],[Country]],Table14[Road Race Classification],"&gt;0")</f>
        <v>0</v>
      </c>
      <c r="EC99" s="6">
        <f>COUNTIFS(Table69[Country],Tabela1[[#This Row],[Country]],Table69[Sprint Classification],"&gt;0")</f>
        <v>0</v>
      </c>
      <c r="ED99" s="6">
        <f>COUNTIFS(Table41[Country],Tabela1[[#This Row],[Country]],Table41[Sprint Classification],"&gt;0")</f>
        <v>0</v>
      </c>
      <c r="EE99" s="6">
        <f>COUNTIFS(Table85[Country],Tabela1[[#This Row],[Country]],Table85[Men''s Sprint Classification],"&gt;0")</f>
        <v>0</v>
      </c>
      <c r="EF99" s="6">
        <f>COUNTIFS(Table85[Country],Tabela1[[#This Row],[Country]],Table85[Women''s Sprint Classification],"&gt;0")</f>
        <v>0</v>
      </c>
      <c r="EG99" s="6">
        <f>COUNTIFS(Table85[Country],Tabela1[[#This Row],[Country]],Table85[Men''s Pursuit Classification],"&gt;0")</f>
        <v>0</v>
      </c>
      <c r="EH99" s="6">
        <f>COUNTIFS(Table85[Country],Tabela1[[#This Row],[Country]],Table85[Women''s Pursuit Classification],"&gt;0")</f>
        <v>0</v>
      </c>
      <c r="EI99" s="6">
        <f>COUNTIFS(Table9[Country],Tabela1[[#This Row],[Country]],Table9[Time-Trial Classification],"&gt;0")</f>
        <v>0</v>
      </c>
      <c r="EJ99" s="6">
        <f>COUNTIFS(Table14[Country],Tabela1[[#This Row],[Country]],Table14[Time-Trial Classification],"&gt;0")</f>
        <v>0</v>
      </c>
      <c r="EK99" s="6">
        <f>COUNTIFS(Table42[Country],Tabela1[[#This Row],[Country]],Table42[Springboard Classification],"&gt;0")</f>
        <v>0</v>
      </c>
      <c r="EL99" s="6">
        <f>COUNTIFS(Table43[Country],Tabela1[[#This Row],[Country]],Table43[Springboard Classification],"&gt;0")</f>
        <v>0</v>
      </c>
      <c r="EM99" s="6">
        <f>COUNTIFS(Table42[Country],Tabela1[[#This Row],[Country]],Table42[Platform Classification],"&gt;0")</f>
        <v>0</v>
      </c>
      <c r="EN99" s="6">
        <f>COUNTIFS(Table43[Country],Tabela1[[#This Row],[Country]],Table43[Platform Classification],"&gt;0")</f>
        <v>0</v>
      </c>
      <c r="EO99" s="6">
        <f>COUNTIFS(Table86[Country],Tabela1[[#This Row],[Country]],Table86[Men''s Synchronized Springboard Classification],"&gt;0")</f>
        <v>0</v>
      </c>
      <c r="EP99" s="6">
        <f>COUNTIFS(Table86[Country],Tabela1[[#This Row],[Country]],Table86[Women''s Synchronized Springboard Classification],"&gt;0")</f>
        <v>0</v>
      </c>
      <c r="EQ99" s="6">
        <f>COUNTIFS(Table86[Country],Tabela1[[#This Row],[Country]],Table86[Men''s Synchronized Platform Classification],"&gt;0")</f>
        <v>0</v>
      </c>
      <c r="ER99" s="6">
        <f>COUNTIFS(Table86[Country],Tabela1[[#This Row],[Country]],Table86[Women''s Synchronized Platform Classification],"&gt;0")</f>
        <v>0</v>
      </c>
      <c r="ES99" s="6">
        <f>COUNTIFS(Table44[Country],Tabela1[[#This Row],[Country]],Table44[Dressage Classification],"&gt;0")</f>
        <v>0</v>
      </c>
      <c r="ET99" s="6">
        <f>COUNTIFS(Table45[Country],Tabela1[[#This Row],[Country]],Table45[Dressage Classification],"&gt;0")</f>
        <v>0</v>
      </c>
      <c r="EU99" s="6">
        <f>COUNTIFS(Table44[Country],Tabela1[[#This Row],[Country]],Table44[Eventing Classification],"&gt;0")</f>
        <v>0</v>
      </c>
      <c r="EV99" s="6">
        <f>COUNTIFS(Table45[Country],Tabela1[[#This Row],[Country]],Table45[Eventing Classification],"&gt;0")</f>
        <v>0</v>
      </c>
      <c r="EW99" s="6">
        <f>COUNTIFS(Table44[Country],Tabela1[[#This Row],[Country]],Table44[Jumping Classification],"&gt;0")</f>
        <v>0</v>
      </c>
      <c r="EX99" s="6">
        <f>COUNTIFS(Table45[Country],Tabela1[[#This Row],[Country]],Table45[Jumping Classification],"&gt;0")</f>
        <v>0</v>
      </c>
      <c r="EY99" s="6">
        <f>COUNTIFS(Table10[Country],Tabela1[[#This Row],[Country]],Table10[Épée Classification],"&gt;0")</f>
        <v>0</v>
      </c>
      <c r="EZ99" s="6">
        <f>COUNTIFS(Table11[Country],Tabela1[[#This Row],[Country]],Table11[Épée Classification],"&gt;0")</f>
        <v>0</v>
      </c>
      <c r="FA99" s="6">
        <f>COUNTIFS(Table46[Country],Tabela1[[#This Row],[Country]],Table46[Men''s Épée Classification],"&gt;0")</f>
        <v>0</v>
      </c>
      <c r="FB99" s="6">
        <f>COUNTIFS(Table46[Country],Tabela1[[#This Row],[Country]],Table46[Women''s Épée Classification],"&gt;0")</f>
        <v>0</v>
      </c>
      <c r="FC99" s="6">
        <f>COUNTIFS(Table10[Country],Tabela1[[#This Row],[Country]],Table10[Foil Classification],"&gt;0")</f>
        <v>0</v>
      </c>
      <c r="FD99" s="6">
        <f>COUNTIFS(Table11[Country],Tabela1[[#This Row],[Country]],Table11[Foil Classification],"&gt;0")</f>
        <v>0</v>
      </c>
      <c r="FE99" s="6">
        <f>COUNTIFS(Table46[Country],Tabela1[[#This Row],[Country]],Table46[Men''s Foil Classification],"&gt;0")</f>
        <v>0</v>
      </c>
      <c r="FF99" s="6">
        <f>COUNTIFS(Table46[Country],Tabela1[[#This Row],[Country]],Table46[Women''s Foil Classification],"&gt;0")</f>
        <v>0</v>
      </c>
      <c r="FG99" s="6">
        <f>COUNTIFS(Table10[Country],Tabela1[[#This Row],[Country]],Table10[Sabre Classification],"&gt;0")</f>
        <v>0</v>
      </c>
      <c r="FH99" s="6">
        <f>COUNTIFS(Table11[Country],Tabela1[[#This Row],[Country]],Table11[Sabre Classification],"&gt;0")</f>
        <v>0</v>
      </c>
      <c r="FI99" s="6">
        <f>COUNTIFS(Table46[Country],Tabela1[[#This Row],[Country]],Table46[Men''s Sabre Classification],"&gt;0")</f>
        <v>0</v>
      </c>
      <c r="FJ99" s="6">
        <f>COUNTIFS(Table46[Country],Tabela1[[#This Row],[Country]],Table46[Women''s Sabre Classification],"&gt;0")</f>
        <v>0</v>
      </c>
      <c r="FK99" s="6">
        <f>COUNTIFS(Table91[Country],Tabela1[[#This Row],[Country]],Table91[Men''s Classification],"&gt;0")</f>
        <v>0</v>
      </c>
      <c r="FL99" s="6">
        <f>COUNTIFS(Table91[Country],Tabela1[[#This Row],[Country]],Table91[Women''s Classification],"&gt;0")</f>
        <v>0</v>
      </c>
      <c r="FM99" s="6">
        <f>COUNTIFS(Table9194[Country],Tabela1[[#This Row],[Country]],Table9194[Men''s Classification],"&gt;0")</f>
        <v>0</v>
      </c>
      <c r="FN99" s="6">
        <f>COUNTIFS(Table9194[Country],Tabela1[[#This Row],[Country]],Table9194[Women''s Classification],"&gt;0")</f>
        <v>0</v>
      </c>
      <c r="FO99" s="6">
        <f>COUNTIFS(Table71[Country],Tabela1[[#This Row],[Country]],Table71[Classification],"&gt;0")</f>
        <v>0</v>
      </c>
      <c r="FP99" s="6">
        <f>COUNTIFS(Table62[Country],Tabela1[[#This Row],[Country]],Table62[Classification],"&gt;0")</f>
        <v>0</v>
      </c>
      <c r="FQ99" s="6">
        <f>COUNTIFS(Table47[Country],Tabela1[[#This Row],[Country]],Table47[All-Around Classification],"&gt;0")</f>
        <v>0</v>
      </c>
      <c r="FR99" s="6">
        <f>COUNTIFS(Table48[Country],Tabela1[[#This Row],[Country]],Table48[All-Around Classification],"&gt;0")</f>
        <v>0</v>
      </c>
      <c r="FS99" s="6">
        <f>COUNTIFS(Table81[Country],Tabela1[[#This Row],[Country]],Table81[Men''s All-Around Classification],"&gt;0")</f>
        <v>0</v>
      </c>
      <c r="FT99" s="6">
        <f>COUNTIFS(Table81[Country],Tabela1[[#This Row],[Country]],Table81[Women''s All-Around Classification],"&gt;0")</f>
        <v>0</v>
      </c>
      <c r="FU99" s="6">
        <f>COUNTIFS(Table48[Country],Tabela1[[#This Row],[Country]],Table48[Balance Beam Classification],"&gt;0")</f>
        <v>0</v>
      </c>
      <c r="FV99" s="6">
        <f>COUNTIFS(Table47[Country],Tabela1[[#This Row],[Country]],Table47[Floor Exercise Classification],"&gt;0")</f>
        <v>0</v>
      </c>
      <c r="FW99" s="6">
        <f>COUNTIFS(Table48[Country],Tabela1[[#This Row],[Country]],Table48[Floor Exercise Classification],"&gt;0")</f>
        <v>0</v>
      </c>
      <c r="FX99" s="6">
        <f>COUNTIFS(Table47[Country],Tabela1[[#This Row],[Country]],Table47[Horizontal Bar Classification],"&gt;0")</f>
        <v>0</v>
      </c>
      <c r="FY99" s="6">
        <f>COUNTIFS(Table47[Country],Tabela1[[#This Row],[Country]],Table47[Parallel Bars Classification],"&gt;0")</f>
        <v>0</v>
      </c>
      <c r="FZ99" s="6">
        <f>COUNTIFS(Table47[Country],Tabela1[[#This Row],[Country]],Table47[Pommel Horse Classification],"&gt;0")</f>
        <v>0</v>
      </c>
      <c r="GA99" s="6">
        <f>COUNTIFS(Table47[Country],Tabela1[[#This Row],[Country]],Table47[Rings Classification],"&gt;0")</f>
        <v>0</v>
      </c>
      <c r="GB99" s="6">
        <f>COUNTIFS(Tabela132[Country],Tabela1[[#This Row],[Country]],Tabela132[Classification],"&gt;0")</f>
        <v>0</v>
      </c>
      <c r="GC99" s="6">
        <f>COUNTIFS(Tabela139[Country],Tabela1[[#This Row],[Country]],Tabela139[Classification],"&gt;0")</f>
        <v>0</v>
      </c>
      <c r="GD99" s="6">
        <f>COUNTIFS(Table48[Country],Tabela1[[#This Row],[Country]],Table48[Uneven Bars Classification],"&gt;0")</f>
        <v>0</v>
      </c>
      <c r="GE99" s="6">
        <f>COUNTIFS(Table47[Country],Tabela1[[#This Row],[Country]],Table47[Vault Classification],"&gt;0")</f>
        <v>0</v>
      </c>
      <c r="GF99" s="6">
        <f>COUNTIFS(Table48[Country],Tabela1[[#This Row],[Country]],Table48[Vault Classification],"&gt;0")</f>
        <v>0</v>
      </c>
      <c r="GG99" s="6">
        <f>COUNTIFS(Table919496[Country],Tabela1[[#This Row],[Country]],Table919496[Men''s Classification],"&gt;0")</f>
        <v>0</v>
      </c>
      <c r="GH99" s="6">
        <f>COUNTIFS(Table919496[Country],Tabela1[[#This Row],[Country]],Table919496[Women''s Classification],"&gt;0")</f>
        <v>0</v>
      </c>
      <c r="GI99" s="6">
        <f>COUNTIFS(Table12[Country],Tabela1[[#This Row],[Country]],Table12[60kg Classification],"&gt;0")</f>
        <v>0</v>
      </c>
      <c r="GJ99" s="6">
        <f>COUNTIFS(Table12[Country],Tabela1[[#This Row],[Country]],Table12[66kg Classification],"&gt;0")</f>
        <v>0</v>
      </c>
      <c r="GK99" s="6">
        <f>COUNTIFS(Table12[Country],Tabela1[[#This Row],[Country]],Table12[73kg Classification],"&gt;0")</f>
        <v>0</v>
      </c>
      <c r="GL99" s="6">
        <f>COUNTIFS(Table12[Country],Tabela1[[#This Row],[Country]],Table12[81kg Classification],"&gt;0")</f>
        <v>0</v>
      </c>
      <c r="GM99" s="6">
        <f>COUNTIFS(Table12[Country],Tabela1[[#This Row],[Country]],Table12[90kg Classification],"&gt;0")</f>
        <v>0</v>
      </c>
      <c r="GN99" s="6">
        <f>COUNTIFS(Table12[Country],Tabela1[[#This Row],[Country]],Table12[100kg Classification],"&gt;0")</f>
        <v>0</v>
      </c>
      <c r="GO99" s="6">
        <f>COUNTIFS(Table12[Country],Tabela1[[#This Row],[Country]],Table12[Plus 100kg Classification],"&gt;0")</f>
        <v>0</v>
      </c>
      <c r="GP99" s="6">
        <f>COUNTIFS(Table13[Country],Tabela1[[#This Row],[Country]],Table13[48kg Classification],"&gt;0")</f>
        <v>0</v>
      </c>
      <c r="GQ99" s="6">
        <f>COUNTIFS(Table13[Country],Tabela1[[#This Row],[Country]],Table13[52kg Classification],"&gt;0")</f>
        <v>0</v>
      </c>
      <c r="GR99" s="6">
        <f>COUNTIFS(Table13[Country],Tabela1[[#This Row],[Country]],Table13[57kg Classification],"&gt;0")</f>
        <v>0</v>
      </c>
      <c r="GS99" s="6">
        <f>COUNTIFS(Table13[Country],Tabela1[[#This Row],[Country]],Table13[63kg Classification],"&gt;0")</f>
        <v>0</v>
      </c>
      <c r="GT99" s="6">
        <f>COUNTIFS(Table13[Country],Tabela1[[#This Row],[Country]],Table13[70kg Classification],"&gt;0")</f>
        <v>0</v>
      </c>
      <c r="GU99" s="6">
        <f>COUNTIFS(Table13[Country],Tabela1[[#This Row],[Country]],Table13[78kg Classification],"&gt;0")</f>
        <v>0</v>
      </c>
      <c r="GV99" s="6">
        <f>COUNTIFS(Table13[Country],Tabela1[[#This Row],[Country]],Table13[Plus 78kg Classification],"&gt;0")</f>
        <v>0</v>
      </c>
      <c r="GW99" s="6">
        <f>COUNTIFS(Table82[Country],Tabela1[[#This Row],[Country]],Table82[Mixed Classification],"&gt;0")</f>
        <v>0</v>
      </c>
      <c r="GX99" s="6">
        <f>COUNTIFS(Table51[Country],Tabela1[[#This Row],[Country]],Table51[Classification],"&gt;0")</f>
        <v>0</v>
      </c>
      <c r="GY99" s="6">
        <f>COUNTIFS(Table52[Country],Tabela1[[#This Row],[Country]],Table52[Classification],"&gt;0")</f>
        <v>0</v>
      </c>
      <c r="GZ99" s="6">
        <f>COUNTIFS(Table32[Country],Tabela1[[#This Row],[Country]],Table32[All-Around Classification],"&gt;0")</f>
        <v>0</v>
      </c>
      <c r="HA99" s="6">
        <f>COUNTIFS(Table49[Country],Tabela1[[#This Row],[Country]],Table49[All-Around Classification],"&gt;0")</f>
        <v>0</v>
      </c>
      <c r="HB99" s="6">
        <f>COUNTIFS(Table26[Country],Tabela1[[#This Row],[Country]],Table26[Single Sculls Classification],"&gt;0")</f>
        <v>0</v>
      </c>
      <c r="HC99" s="6">
        <f>COUNTIFS(Table63[Country],Tabela1[[#This Row],[Country]],Table63[Single Sculls Classification],"&gt;0")</f>
        <v>0</v>
      </c>
      <c r="HD99" s="6">
        <f>COUNTIFS(Table16[Country],Tabela1[[#This Row],[Country]],Table16[Men''s Double Sculls Classification],"&gt;0")</f>
        <v>0</v>
      </c>
      <c r="HE99" s="6">
        <f>COUNTIFS(Table16[Country],Tabela1[[#This Row],[Country]],Table16[Women''s Double Sculls Classification],"&gt;0")</f>
        <v>0</v>
      </c>
      <c r="HF99" s="6">
        <f>COUNTIFS(Table72[Country],Tabela1[[#This Row],[Country]],Table72[Men''s Quadruple Sculls Classification],"&gt;0")</f>
        <v>0</v>
      </c>
      <c r="HG99" s="6">
        <f>COUNTIFS(Table72[Country],Tabela1[[#This Row],[Country]],Table72[Women''s Quadruple Sculls Classification],"&gt;0")</f>
        <v>0</v>
      </c>
      <c r="HH99" s="6">
        <f>COUNTIFS(Table16[Country],Tabela1[[#This Row],[Country]],Table16[Men''s Coxless Pairs Classification],"&gt;0")</f>
        <v>0</v>
      </c>
      <c r="HI99" s="6">
        <f>COUNTIFS(Table16[Country],Tabela1[[#This Row],[Country]],Table16[Women''s Coxless Pairs Classification],"&gt;0")</f>
        <v>0</v>
      </c>
      <c r="HJ99" s="6">
        <f>COUNTIFS(Table72[Country],Tabela1[[#This Row],[Country]],Table72[Men''s Coxless Fours Classification],"&gt;0")</f>
        <v>0</v>
      </c>
      <c r="HK99" s="6">
        <f>COUNTIFS(Table72[Country],Tabela1[[#This Row],[Country]],Table72[Women''s Coxless Fours Classification],"&gt;0")</f>
        <v>0</v>
      </c>
      <c r="HL99" s="6">
        <f>COUNTIFS(Table72[Country],Tabela1[[#This Row],[Country]],Table72[Men''s Eights Classification],"&gt;0")</f>
        <v>0</v>
      </c>
      <c r="HM99" s="6">
        <f>COUNTIFS(Table72[Country],Tabela1[[#This Row],[Country]],Table72[Women''s Eights Classification],"&gt;0")</f>
        <v>0</v>
      </c>
      <c r="HN99" s="6">
        <f>COUNTIFS(Table16[Country],Tabela1[[#This Row],[Country]],Table16[Men''s Lwt. Double Sculls Classification],"&gt;0")</f>
        <v>0</v>
      </c>
      <c r="HO99" s="6">
        <f>COUNTIFS(Table16[Country],Tabela1[[#This Row],[Country]],Table16[Women''s Lwt. Double Sculls Classification],"&gt;0")</f>
        <v>0</v>
      </c>
      <c r="HP99" s="6">
        <f>COUNTIFS(Table91949698[Country],Tabela1[[#This Row],[Country]],Table91949698[Men''s Classification],"&gt;0")</f>
        <v>0</v>
      </c>
      <c r="HQ99" s="6">
        <f>COUNTIFS(Table91949698[Country],Tabela1[[#This Row],[Country]],Table91949698[Women''s Classification],"&gt;0")</f>
        <v>0</v>
      </c>
      <c r="HR99" s="6">
        <f>COUNTIFS(Table25[Country],Tabela1[[#This Row],[Country]],Table25[Mixed 470 Classification],"&gt;0")</f>
        <v>0</v>
      </c>
      <c r="HS99" s="6">
        <f>COUNTIFS(Table25[Country],Tabela1[[#This Row],[Country]],Table25[Men''s 49er Classification],"&gt;0")</f>
        <v>0</v>
      </c>
      <c r="HT99" s="6">
        <f>COUNTIFS(Table25[Country],Tabela1[[#This Row],[Country]],Table25[Women''s 49er FX Classification],"&gt;0")</f>
        <v>0</v>
      </c>
      <c r="HU99" s="6">
        <f>COUNTIFS(Table17[Country],Tabela1[[#This Row],[Country]],Table17[Formula Kite Classification],"&gt;0")</f>
        <v>0</v>
      </c>
      <c r="HV99" s="6">
        <f>COUNTIFS(Table18[Country],Tabela1[[#This Row],[Country]],Table18[Formula Kite Classification],"&gt;0")</f>
        <v>0</v>
      </c>
      <c r="HW99" s="6">
        <f>COUNTIFS(Table17[Country],Tabela1[[#This Row],[Country]],Table17[ILCA 7 Classification],"&gt;0")</f>
        <v>0</v>
      </c>
      <c r="HX99" s="6">
        <f>COUNTIFS(Table18[Country],Tabela1[[#This Row],[Country]],Table18[ILCA 6 Classification],"&gt;0")</f>
        <v>0</v>
      </c>
      <c r="HY99" s="6">
        <f>COUNTIFS(Table17[Country],Tabela1[[#This Row],[Country]],Table17[IQFoil Classification],"&gt;0")</f>
        <v>0</v>
      </c>
      <c r="HZ99" s="6">
        <f>COUNTIFS(Table18[Country],Tabela1[[#This Row],[Country]],Table18[IQFoil Classification],"&gt;0")</f>
        <v>0</v>
      </c>
      <c r="IA99" s="6">
        <f>COUNTIFS(Table25[Country],Tabela1[[#This Row],[Country]],Table25[Mixed Nacra 17 Classification],"&gt;0")</f>
        <v>0</v>
      </c>
      <c r="IB99" s="6">
        <f>COUNTIFS(Table53[Country],Tabela1[[#This Row],[Country]],Table53[10m Air Pistol Classification],"&gt;0")</f>
        <v>0</v>
      </c>
      <c r="IC99" s="6">
        <f>COUNTIFS(Table19[Country],Tabela1[[#This Row],[Country]],Table19[10m Air Pistol Classification],"&gt;0")</f>
        <v>0</v>
      </c>
      <c r="ID99" s="6">
        <f>COUNTIFS(Table54[Country],Tabela1[[#This Row],[Country]],Table54[Mixed 10m Air Pistol Team Classification],"&gt;0")</f>
        <v>0</v>
      </c>
      <c r="IE99" s="6">
        <f>COUNTIFS(Table53[Country],Tabela1[[#This Row],[Country]],Table53[10m Air Rifle Classification],"&gt;0")</f>
        <v>0</v>
      </c>
      <c r="IF99" s="6">
        <f>COUNTIFS(Table19[Country],Tabela1[[#This Row],[Country]],Table19[10m Air Rifle Classification],"&gt;0")</f>
        <v>0</v>
      </c>
      <c r="IG99" s="6">
        <f>COUNTIFS(Table54[Country],Tabela1[[#This Row],[Country]],Table54[Mixed 10m Air Rifle Team Classification],"&gt;0")</f>
        <v>0</v>
      </c>
      <c r="IH99" s="6">
        <f>COUNTIFS(Table53[Country],Tabela1[[#This Row],[Country]],Table53[25m Rapid Fire Pistol Classification],"&gt;0")</f>
        <v>0</v>
      </c>
      <c r="II99" s="6">
        <f>COUNTIFS(Table19[Country],Tabela1[[#This Row],[Country]],Table19[25m Pistol Classification],"&gt;0")</f>
        <v>0</v>
      </c>
      <c r="IJ99" s="6">
        <f>COUNTIFS(Table53[Country],Tabela1[[#This Row],[Country]],Table53[50m Rifle 3 Positions Classification],"&gt;0")</f>
        <v>0</v>
      </c>
      <c r="IK99" s="6">
        <f>COUNTIFS(Table19[Country],Tabela1[[#This Row],[Country]],Table19[50m Rifle 3 Positions Classification],"&gt;0")</f>
        <v>0</v>
      </c>
      <c r="IL99" s="6">
        <f>COUNTIFS(Table53[Country],Tabela1[[#This Row],[Country]],Table53[Skeet Classification],"&gt;0")</f>
        <v>0</v>
      </c>
      <c r="IM99" s="6">
        <f>COUNTIFS(Table19[Country],Tabela1[[#This Row],[Country]],Table19[Skeet Classification],"&gt;0")</f>
        <v>0</v>
      </c>
      <c r="IN99" s="6">
        <f>COUNTIFS(Table54[Country],Tabela1[[#This Row],[Country]],Table54[Mixed Skeet Team Classification],"&gt;0")</f>
        <v>0</v>
      </c>
      <c r="IO99" s="6">
        <f>COUNTIFS(Table53[Country],Tabela1[[#This Row],[Country]],Table53[Trap Classification],"&gt;0")</f>
        <v>0</v>
      </c>
      <c r="IP99" s="6">
        <f>COUNTIFS(Table19[Country],Tabela1[[#This Row],[Country]],Table19[Trap Classification],"&gt;0")</f>
        <v>0</v>
      </c>
      <c r="IQ99" s="6">
        <f>COUNTIFS(Table73[Country],Tabela1[[#This Row],[Country]],Table73[Park Classification],"&gt;0")</f>
        <v>0</v>
      </c>
      <c r="IR99" s="6">
        <f>COUNTIFS(Table74[Country],Tabela1[[#This Row],[Country]],Table74[Park Classification],"&gt;0")</f>
        <v>0</v>
      </c>
      <c r="IS99" s="6">
        <f>COUNTIFS(Table73[Country],Tabela1[[#This Row],[Country]],Table73[Street Classification],"&gt;0")</f>
        <v>0</v>
      </c>
      <c r="IT99" s="6">
        <f>COUNTIFS(Table74[Country],Tabela1[[#This Row],[Country]],Table74[Street Classification],"&gt;0")</f>
        <v>0</v>
      </c>
      <c r="IU99" s="6">
        <f>COUNTIFS(Table75[Country],Tabela1[[#This Row],[Country]],Table75[Boulder and Lead Classification],"&gt;0")</f>
        <v>0</v>
      </c>
      <c r="IV99" s="6">
        <f>COUNTIFS(Table76[Country],Tabela1[[#This Row],[Country]],Table76[Boulder and Lead Classification],"&gt;0")</f>
        <v>0</v>
      </c>
      <c r="IW99" s="6">
        <f>COUNTIFS(Table75[Country],Tabela1[[#This Row],[Country]],Table75[Speed Classification],"&gt;0")</f>
        <v>0</v>
      </c>
      <c r="IX99" s="6">
        <f>COUNTIFS(Table76[Country],Tabela1[[#This Row],[Country]],Table76[Speed Classification],"&gt;0")</f>
        <v>0</v>
      </c>
      <c r="IY99" s="6">
        <f>COUNTIFS(Table64[Country],Tabela1[[#This Row],[Country]],Table64[Shortboard Classification],"&gt;0")</f>
        <v>0</v>
      </c>
      <c r="IZ99" s="6">
        <f>COUNTIFS(Table77[Country],Tabela1[[#This Row],[Country]],Table77[Shortboard Classification],"&gt;0")</f>
        <v>0</v>
      </c>
      <c r="JA99" s="6">
        <f>COUNTIFS(Table20[Country],Tabela1[[#This Row],[Country]],Table20[50m Freestyle Classification],"&gt;0")</f>
        <v>0</v>
      </c>
      <c r="JB99" s="6">
        <f>COUNTIFS(Table21[Country],Tabela1[[#This Row],[Country]],Table21[50m Freestyle Classification],"&gt;0")</f>
        <v>1</v>
      </c>
      <c r="JC99" s="6">
        <f>COUNTIFS(Table20[Country],Tabela1[[#This Row],[Country]],Table20[100m Freestyle Classification],"&gt;0")</f>
        <v>0</v>
      </c>
      <c r="JD99" s="6">
        <f>COUNTIFS(Table21[Country],Tabela1[[#This Row],[Country]],Table21[100m Freestyle Classification],"&gt;0")</f>
        <v>0</v>
      </c>
      <c r="JE99" s="6">
        <f>COUNTIFS(Table20[Country],Tabela1[[#This Row],[Country]],Table20[200m Freestyle Classification],"&gt;0")</f>
        <v>0</v>
      </c>
      <c r="JF99" s="6">
        <f>COUNTIFS(Table21[Country],Tabela1[[#This Row],[Country]],Table21[200m Freestyle Classification],"&gt;0")</f>
        <v>0</v>
      </c>
      <c r="JG99" s="6">
        <f>COUNTIFS(Table20[Country],Tabela1[[#This Row],[Country]],Table20[400m Freestyle Classification],"&gt;0")</f>
        <v>0</v>
      </c>
      <c r="JH99" s="6">
        <f>COUNTIFS(Table21[Country],Tabela1[[#This Row],[Country]],Table21[400m Freestyle Classification],"&gt;0")</f>
        <v>0</v>
      </c>
      <c r="JI99" s="6">
        <f>COUNTIFS(Table20[Country],Tabela1[[#This Row],[Country]],Table20[800m Freestyle Classification],"&gt;0")</f>
        <v>0</v>
      </c>
      <c r="JJ99" s="6">
        <f>COUNTIFS(Table21[Country],Tabela1[[#This Row],[Country]],Table21[800m Freestyle Classification],"&gt;0")</f>
        <v>0</v>
      </c>
      <c r="JK99" s="6">
        <f>COUNTIFS(Table20[Country],Tabela1[[#This Row],[Country]],Table20[1500m Freestyle Classification],"&gt;0")</f>
        <v>0</v>
      </c>
      <c r="JL99" s="6">
        <f>COUNTIFS(Table21[Country],Tabela1[[#This Row],[Country]],Table21[1500m Freestyle Classification],"&gt;0")</f>
        <v>0</v>
      </c>
      <c r="JM99" s="6">
        <f>COUNTIFS(Table20[Country],Tabela1[[#This Row],[Country]],Table20[100m Backstroke Classification],"&gt;0")</f>
        <v>0</v>
      </c>
      <c r="JN99" s="6">
        <f>COUNTIFS(Table21[Country],Tabela1[[#This Row],[Country]],Table21[100m Backstroke Classification],"&gt;0")</f>
        <v>0</v>
      </c>
      <c r="JO99" s="6">
        <f>COUNTIFS(Table20[Country],Tabela1[[#This Row],[Country]],Table20[200m Backstroke Classification],"&gt;0")</f>
        <v>0</v>
      </c>
      <c r="JP99" s="6">
        <f>COUNTIFS(Table21[Country],Tabela1[[#This Row],[Country]],Table21[200m Backstroke Classification],"&gt;0")</f>
        <v>0</v>
      </c>
      <c r="JQ99" s="6">
        <f>COUNTIFS(Table20[Country],Tabela1[[#This Row],[Country]],Table20[100m Breaststroke Classification],"&gt;0")</f>
        <v>0</v>
      </c>
      <c r="JR99" s="6">
        <f>COUNTIFS(Table21[Country],Tabela1[[#This Row],[Country]],Table21[100m Breaststroke Classification],"&gt;0")</f>
        <v>0</v>
      </c>
      <c r="JS99" s="6">
        <f>COUNTIFS(Table20[Country],Tabela1[[#This Row],[Country]],Table20[200m Breaststroke Classification],"&gt;0")</f>
        <v>0</v>
      </c>
      <c r="JT99" s="6">
        <f>COUNTIFS(Table21[Country],Tabela1[[#This Row],[Country]],Table21[200m Breaststroke Classification],"&gt;0")</f>
        <v>0</v>
      </c>
      <c r="JU99" s="6">
        <f>COUNTIFS(Table20[Country],Tabela1[[#This Row],[Country]],Table20[100m Butterfly Classification],"&gt;0")</f>
        <v>0</v>
      </c>
      <c r="JV99" s="6">
        <f>COUNTIFS(Table21[Country],Tabela1[[#This Row],[Country]],Table21[100m Butterfly Classification],"&gt;0")</f>
        <v>0</v>
      </c>
      <c r="JW99" s="6">
        <f>COUNTIFS(Table20[Country],Tabela1[[#This Row],[Country]],Table20[200m Butterfly Classification],"&gt;0")</f>
        <v>0</v>
      </c>
      <c r="JX99" s="6">
        <f>COUNTIFS(Table21[Country],Tabela1[[#This Row],[Country]],Table21[200m Butterfly Classification],"&gt;0")</f>
        <v>0</v>
      </c>
      <c r="JY99" s="6">
        <f>COUNTIFS(Table20[Country],Tabela1[[#This Row],[Country]],Table20[200m Medley Classification],"&gt;0")</f>
        <v>0</v>
      </c>
      <c r="JZ99" s="6">
        <f>COUNTIFS(Table21[Country],Tabela1[[#This Row],[Country]],Table21[200m Medley Classification],"&gt;0")</f>
        <v>0</v>
      </c>
      <c r="KA99" s="6">
        <f>COUNTIFS(Table20[Country],Tabela1[[#This Row],[Country]],Table20[400m Medley Classification],"&gt;0")</f>
        <v>0</v>
      </c>
      <c r="KB99" s="6">
        <f>COUNTIFS(Table21[Country],Tabela1[[#This Row],[Country]],Table21[400m Medley Classification],"&gt;0")</f>
        <v>0</v>
      </c>
      <c r="KC99" s="6">
        <f>COUNTIFS(Table78[Country],Tabela1[[#This Row],[Country]],Table78[Men''s 4x100m Freestyle Relay Classification],"&gt;0")</f>
        <v>0</v>
      </c>
      <c r="KD99" s="6">
        <f>COUNTIFS(Table78[Country],Tabela1[[#This Row],[Country]],Table78[Women''s 4x100m Freestyle Relay Classification],"&gt;0")</f>
        <v>0</v>
      </c>
      <c r="KE99" s="6">
        <f>COUNTIFS(Table78[Country],Tabela1[[#This Row],[Country]],Table78[Men''s 4x200m Freestyle Relay Classification],"&gt;0")</f>
        <v>0</v>
      </c>
      <c r="KF99" s="6">
        <f>COUNTIFS(Table78[Country],Tabela1[[#This Row],[Country]],Table78[Women''s 4x200m Freestyle Relay Classification],"&gt;0")</f>
        <v>0</v>
      </c>
      <c r="KG99" s="6">
        <f>COUNTIFS(Table78[Country],Tabela1[[#This Row],[Country]],Table78[Men''s 4x100m Medley Relay Classification],"&gt;0")</f>
        <v>0</v>
      </c>
      <c r="KH99" s="6">
        <f>COUNTIFS(Table78[Country],Tabela1[[#This Row],[Country]],Table78[Women''s 4x100m Medley Relay Classification],"&gt;0")</f>
        <v>0</v>
      </c>
      <c r="KI99" s="6">
        <f>COUNTIFS(Table78[Country],Tabela1[[#This Row],[Country]],Table78[Mixed 4x100m Medley Relay Classification],"&gt;0")</f>
        <v>0</v>
      </c>
      <c r="KJ99" s="6">
        <f>COUNTIFS(Table20[Country],Tabela1[[#This Row],[Country]],Table20[10km Open Water Classification],"&gt;0")</f>
        <v>0</v>
      </c>
      <c r="KK99" s="6">
        <f>COUNTIFS(Table21[Country],Tabela1[[#This Row],[Country]],Table21[10km Open Water Classification],"&gt;0")</f>
        <v>0</v>
      </c>
      <c r="KL99" s="6">
        <f>COUNTIFS(Table22[Country],Tabela1[[#This Row],[Country]],Table22[Classification],"&gt;0")</f>
        <v>0</v>
      </c>
      <c r="KM99" s="6">
        <f>COUNTIFS(Table30[Country],Tabela1[[#This Row],[Country]],Table30[Classification],"&gt;0")</f>
        <v>0</v>
      </c>
      <c r="KN99" s="6">
        <f>COUNTIFS(Table55[Country],Tabela1[[#This Row],[Country]],Table55[Men''s Classification],"&gt;0")</f>
        <v>0</v>
      </c>
      <c r="KO99" s="6">
        <f>COUNTIFS(Table55[Country],Tabela1[[#This Row],[Country]],Table55[Women''s Classification],"&gt;0")</f>
        <v>0</v>
      </c>
      <c r="KP99" s="6">
        <f>COUNTIFS(Table56[Country],Tabela1[[#This Row],[Country]],Table56[Mixed Classification],"&gt;0")</f>
        <v>0</v>
      </c>
      <c r="KQ99" s="6">
        <f>COUNTIFS(Table29[Country],Tabela1[[#This Row],[Country]],Table29[58kg Classification],"&gt;0")</f>
        <v>0</v>
      </c>
      <c r="KR99" s="6">
        <f>COUNTIFS(Table29[Country],Tabela1[[#This Row],[Country]],Table29[68kg Classification],"&gt;0")</f>
        <v>0</v>
      </c>
      <c r="KS99" s="6">
        <f>COUNTIFS(Table29[Country],Tabela1[[#This Row],[Country]],Table29[80kg Classification],"&gt;0")</f>
        <v>1</v>
      </c>
      <c r="KT99" s="6">
        <f>COUNTIFS(Table29[Country],Tabela1[[#This Row],[Country]],Table29[Plus 80kg Classification],"&gt;0")</f>
        <v>0</v>
      </c>
      <c r="KU99" s="6">
        <f>COUNTIFS(Table34[Country],Tabela1[[#This Row],[Country]],Table34[49kg Classification],"&gt;0")</f>
        <v>0</v>
      </c>
      <c r="KV99" s="6">
        <f>COUNTIFS(Table34[Country],Tabela1[[#This Row],[Country]],Table34[57kg Classification],"&gt;0")</f>
        <v>0</v>
      </c>
      <c r="KW99" s="6">
        <f>COUNTIFS(Table34[Country],Tabela1[[#This Row],[Country]],Table34[67kg Classification],"&gt;0")</f>
        <v>0</v>
      </c>
      <c r="KX99" s="6">
        <f>COUNTIFS(Table34[Country],Tabela1[[#This Row],[Country]],Table34[Plus 67kg Classification],"&gt;0")</f>
        <v>0</v>
      </c>
      <c r="KY99" s="6">
        <f>COUNTIFS(Table57[Country],Tabela1[[#This Row],[Country]],Table57[Classification],"&gt;0")</f>
        <v>0</v>
      </c>
      <c r="KZ99" s="6">
        <f>COUNTIFS(Table58[Country],Tabela1[[#This Row],[Country]],Table58[Classification],"&gt;0")</f>
        <v>0</v>
      </c>
      <c r="LA99" s="6">
        <f>COUNTIFS(Table79[Country],Tabela1[[#This Row],[Country]],Table79[Men''s Classification],"&gt;0")</f>
        <v>0</v>
      </c>
      <c r="LB99" s="6">
        <f>COUNTIFS(Table79[Country],Tabela1[[#This Row],[Country]],Table79[Women''s Classification],"&gt;0")</f>
        <v>0</v>
      </c>
      <c r="LC99" s="6">
        <f>COUNTIFS(Table79[Country],Tabela1[[#This Row],[Country]],Table79[Mixed Classification],"&gt;0")</f>
        <v>0</v>
      </c>
      <c r="LD99" s="6">
        <f>COUNTIFS(Table65[Country],Tabela1[[#This Row],[Country]],Table65[Classification],"&gt;0")</f>
        <v>0</v>
      </c>
      <c r="LE99" s="6">
        <f>COUNTIFS(Table59[Country],Tabela1[[#This Row],[Country]],Table59[Classification],"&gt;0")</f>
        <v>0</v>
      </c>
      <c r="LF99" s="6">
        <f>COUNTIFS(Table87[Country],Tabela1[[#This Row],[Country]],Table87[Mixed Relay Classification],"&gt;0")</f>
        <v>0</v>
      </c>
      <c r="LG99" s="6">
        <f>COUNTIFS(Table91949698100[Country],Tabela1[[#This Row],[Country]],Table91949698100[Men''s Classification],"&gt;0")</f>
        <v>0</v>
      </c>
      <c r="LH99" s="6">
        <f>COUNTIFS(Table91949698100[Country],Tabela1[[#This Row],[Country]],Table91949698100[Women''s Classification],"&gt;0")</f>
        <v>0</v>
      </c>
      <c r="LI99" s="6">
        <f>COUNTIFS(Table91949698100102[Country],Tabela1[[#This Row],[Country]],Table91949698100102[Men''s Classification],"&gt;0")</f>
        <v>0</v>
      </c>
      <c r="LJ99" s="6">
        <f>COUNTIFS(Table91949698100102[Country],Tabela1[[#This Row],[Country]],Table91949698100102[Women''s Classification],"&gt;0")</f>
        <v>0</v>
      </c>
      <c r="LK99" s="6">
        <f>COUNTIFS(Table23[Country],Tabela1[[#This Row],[Country]],Table23[61kg Classification],"&gt;0")</f>
        <v>0</v>
      </c>
      <c r="LL99" s="6">
        <f>COUNTIFS(Table23[Country],Tabela1[[#This Row],[Country]],Table23[73kg Classification],"&gt;0")</f>
        <v>0</v>
      </c>
      <c r="LM99" s="6">
        <f>COUNTIFS(Table23[Country],Tabela1[[#This Row],[Country]],Table23[89kg Classification],"&gt;0")</f>
        <v>0</v>
      </c>
      <c r="LN99" s="6">
        <f>COUNTIFS(Table23[Country],Tabela1[[#This Row],[Country]],Table23[102kg Classification],"&gt;0")</f>
        <v>0</v>
      </c>
      <c r="LO99" s="6">
        <f>COUNTIFS(Table23[Country],Tabela1[[#This Row],[Country]],Table23[Plus 102kg Classification],"&gt;0")</f>
        <v>0</v>
      </c>
      <c r="LP99" s="6">
        <f>COUNTIFS(Table28[Country],Tabela1[[#This Row],[Country]],Table28[49kg Classification],"&gt;0")</f>
        <v>0</v>
      </c>
      <c r="LQ99" s="6">
        <f>COUNTIFS(Table28[Country],Tabela1[[#This Row],[Country]],Table28[59kg Classification],"&gt;0")</f>
        <v>0</v>
      </c>
      <c r="LR99" s="6">
        <f>COUNTIFS(Table28[Country],Tabela1[[#This Row],[Country]],Table28[71kg Classification],"&gt;0")</f>
        <v>0</v>
      </c>
      <c r="LS99" s="6">
        <f>COUNTIFS(Table28[Country],Tabela1[[#This Row],[Country]],Table28[81kg Classification],"&gt;0")</f>
        <v>0</v>
      </c>
      <c r="LT99" s="6">
        <f>COUNTIFS(Table28[Country],Tabela1[[#This Row],[Country]],Table28[Plus 81kg Classification],"&gt;0")</f>
        <v>0</v>
      </c>
      <c r="LU99" s="6">
        <f>COUNTIFS(Table24[Country],Tabela1[[#This Row],[Country]],Table24[Freestyle 57kg Classification],"&gt;0")</f>
        <v>0</v>
      </c>
      <c r="LV99" s="6">
        <f>COUNTIFS(Table24[Country],Tabela1[[#This Row],[Country]],Table24[Freestyle 65kg Classification],"&gt;0")</f>
        <v>0</v>
      </c>
      <c r="LW99" s="6">
        <f>COUNTIFS(Table24[Country],Tabela1[[#This Row],[Country]],Table24[Freestyle 74kg Classification],"&gt;0")</f>
        <v>0</v>
      </c>
      <c r="LX99" s="6">
        <f>COUNTIFS(Table24[Country],Tabela1[[#This Row],[Country]],Table24[Freestyle 86kg Classification],"&gt;0")</f>
        <v>0</v>
      </c>
      <c r="LY99" s="6">
        <f>COUNTIFS(Table24[Country],Tabela1[[#This Row],[Country]],Table24[Freestyle 97kg Classification],"&gt;0")</f>
        <v>0</v>
      </c>
      <c r="LZ99" s="6">
        <f>COUNTIFS(Table24[Country],Tabela1[[#This Row],[Country]],Table24[Freestyle 125kg Classification],"&gt;0")</f>
        <v>0</v>
      </c>
      <c r="MA99" s="6">
        <f>COUNTIFS(Table24[Country],Tabela1[[#This Row],[Country]],Table24[Greco-Roman 60kg Classification],"&gt;0")</f>
        <v>0</v>
      </c>
      <c r="MB99" s="6">
        <f>COUNTIFS(Table24[Country],Tabela1[[#This Row],[Country]],Table24[Greco-Roman 67kg Classification],"&gt;0")</f>
        <v>0</v>
      </c>
      <c r="MC99" s="6">
        <f>COUNTIFS(Table24[Country],Tabela1[[#This Row],[Country]],Table24[Greco-Roman 77kg Classification],"&gt;0")</f>
        <v>0</v>
      </c>
      <c r="MD99" s="6">
        <f>COUNTIFS(Table24[Country],Tabela1[[#This Row],[Country]],Table24[Greco-Roman 87kg Classification],"&gt;0")</f>
        <v>0</v>
      </c>
      <c r="ME99" s="6">
        <f>COUNTIFS(Table24[Country],Tabela1[[#This Row],[Country]],Table24[Greco-Roman 97kg Classification],"&gt;0")</f>
        <v>0</v>
      </c>
      <c r="MF99" s="6">
        <f>COUNTIFS(Table24[Country],Tabela1[[#This Row],[Country]],Table24[Greco-Roman 130kg Classification],"&gt;0")</f>
        <v>0</v>
      </c>
      <c r="MG99" s="6">
        <f>COUNTIFS(Table31[Country],Tabela1[[#This Row],[Country]],Table31[50kg Classification],"&gt;0")</f>
        <v>0</v>
      </c>
      <c r="MH99" s="6">
        <f>COUNTIFS(Table31[Country],Tabela1[[#This Row],[Country]],Table31[53kg Classification],"&gt;0")</f>
        <v>0</v>
      </c>
      <c r="MI99" s="6">
        <f>COUNTIFS(Table31[Country],Tabela1[[#This Row],[Country]],Table31[57kg Classification],"&gt;0")</f>
        <v>0</v>
      </c>
      <c r="MJ99" s="6">
        <f>COUNTIFS(Table31[Country],Tabela1[[#This Row],[Country]],Table31[62kg Classification],"&gt;0")</f>
        <v>0</v>
      </c>
      <c r="MK99" s="6">
        <f>COUNTIFS(Table31[Country],Tabela1[[#This Row],[Country]],Table31[68kg Classification],"&gt;0")</f>
        <v>0</v>
      </c>
      <c r="ML99" s="6">
        <f>COUNTIFS(Table31[Country],Tabela1[[#This Row],[Country]],Table31[76kg Classification],"&gt;0")</f>
        <v>0</v>
      </c>
      <c r="MM99" s="6">
        <f>COUNTIFS(Table102[Country],Tabela1[[#This Row],[Country]],Table102[Downhill Classification],"&gt;0")</f>
        <v>0</v>
      </c>
      <c r="MN99" s="6">
        <f>COUNTIFS(Table102105[Country],Tabela1[[#This Row],[Country]],Table102105[Downhill Classification],"&gt;0")</f>
        <v>0</v>
      </c>
      <c r="MO99" s="6">
        <f>COUNTIFS(Table102[Country],Tabela1[[#This Row],[Country]],Table102[Giant Slalom Classification],"&gt;0")</f>
        <v>0</v>
      </c>
      <c r="MP99" s="6">
        <f>COUNTIFS(Table102105[Country],Tabela1[[#This Row],[Country]],Table102105[Giant Slalom Classification],"&gt;0")</f>
        <v>0</v>
      </c>
      <c r="MQ99" s="6">
        <f>COUNTIFS(Table102[Country],Tabela1[[#This Row],[Country]],Table102[Slalom Classification],"&gt;0")</f>
        <v>0</v>
      </c>
      <c r="MR99" s="6">
        <f>COUNTIFS(Table102105[Country],Tabela1[[#This Row],[Country]],Table102105[Slalom Classification],"&gt;0")</f>
        <v>0</v>
      </c>
      <c r="MS99" s="6">
        <f>COUNTIFS(Table102[Country],Tabela1[[#This Row],[Country]],Table102[Super-G Classification],"&gt;0")</f>
        <v>0</v>
      </c>
      <c r="MT99" s="6">
        <f>COUNTIFS(Table102105[Country],Tabela1[[#This Row],[Country]],Table102105[Super-G Classification],"&gt;0")</f>
        <v>0</v>
      </c>
      <c r="MU99" s="6">
        <f>COUNTIFS(Table105[Country],Tabela1[[#This Row],[Country]],Table105[Men''s Combined Classification],"&gt;0")</f>
        <v>0</v>
      </c>
      <c r="MV99" s="6">
        <f>COUNTIFS(Table105[Country],Tabela1[[#This Row],[Country]],Table105[Women''s Combined Classification],"&gt;0")</f>
        <v>0</v>
      </c>
      <c r="MW99" s="6">
        <f>COUNTIFS(Table106[Country],Tabela1[[#This Row],[Country]],Table106[Individual Classification],"&gt;0")</f>
        <v>0</v>
      </c>
      <c r="MX99" s="6">
        <f>COUNTIFS(Table106109[Country],Tabela1[[#This Row],[Country]],Table106109[Individual Classification],"&gt;0")</f>
        <v>0</v>
      </c>
      <c r="MY99" s="6">
        <f>COUNTIFS(Table106[Country],Tabela1[[#This Row],[Country]],Table106[Mass Start Classification],"&gt;0")</f>
        <v>0</v>
      </c>
      <c r="MZ99" s="6">
        <f>COUNTIFS(Table106109[Country],Tabela1[[#This Row],[Country]],Table106109[Mass Start Classification],"&gt;0")</f>
        <v>0</v>
      </c>
      <c r="NA99" s="6">
        <f>COUNTIFS(Table106[Country],Tabela1[[#This Row],[Country]],Table106[Pursuit Classification],"&gt;0")</f>
        <v>0</v>
      </c>
      <c r="NB99" s="6">
        <f>COUNTIFS(Table106109[Country],Tabela1[[#This Row],[Country]],Table106109[Pursuit Classification],"&gt;0")</f>
        <v>0</v>
      </c>
      <c r="NC99" s="6">
        <f>COUNTIFS(Table106[Country],Tabela1[[#This Row],[Country]],Table106[Sprint Classification],"&gt;0")</f>
        <v>0</v>
      </c>
      <c r="ND99" s="6">
        <f>COUNTIFS(Table106109[Country],Tabela1[[#This Row],[Country]],Table106109[Sprint Classification],"&gt;0")</f>
        <v>0</v>
      </c>
      <c r="NE99" s="6">
        <f>COUNTIFS(Table109[Country],Tabela1[[#This Row],[Country]],Table109[Men''s Relay Classification],"&gt;0")</f>
        <v>0</v>
      </c>
      <c r="NF99" s="6">
        <f>COUNTIFS(Table109[Country],Tabela1[[#This Row],[Country]],Table109[Women''s Relay Classification],"&gt;0")</f>
        <v>0</v>
      </c>
      <c r="NG99" s="6">
        <f>COUNTIFS(Table109[Country],Tabela1[[#This Row],[Country]],Table109[Mixed Relay Classification],"&gt;0")</f>
        <v>0</v>
      </c>
      <c r="NH99" s="6">
        <f>COUNTIFS(Table110[Country],Tabela1[[#This Row],[Country]],Table110[Monobob Classification],"&gt;0")</f>
        <v>0</v>
      </c>
      <c r="NI99" s="6">
        <f>COUNTIFS(Table111[Country],Tabela1[[#This Row],[Country]],Table111[Men''s Classification],"&gt;0")</f>
        <v>0</v>
      </c>
      <c r="NJ99" s="6">
        <f>COUNTIFS(Table111[Country],Tabela1[[#This Row],[Country]],Table111[Women''s Classification],"&gt;0")</f>
        <v>0</v>
      </c>
      <c r="NK99" s="6">
        <f>COUNTIFS(Table112[Country],Tabela1[[#This Row],[Country]],Table112[Men''s Four Classification],"&gt;0")</f>
        <v>0</v>
      </c>
      <c r="NL99" s="6">
        <f>COUNTIFS(Table113[Country],Tabela1[[#This Row],[Country]],Table113[Classical Classification],"&gt;0")</f>
        <v>0</v>
      </c>
      <c r="NM99" s="6">
        <f>COUNTIFS(Table113116[Country],Tabela1[[#This Row],[Country]],Table113116[Classical Classification],"&gt;0")</f>
        <v>0</v>
      </c>
      <c r="NN99" s="6">
        <f>COUNTIFS(Table113[Country],Tabela1[[#This Row],[Country]],Table113[Freestyle Classification],"&gt;0")</f>
        <v>0</v>
      </c>
      <c r="NO99" s="6">
        <f>COUNTIFS(Table113116[Country],Tabela1[[#This Row],[Country]],Table113116[Freestyle Classification],"&gt;0")</f>
        <v>0</v>
      </c>
      <c r="NP99" s="6">
        <f>COUNTIFS(Table117[Country],Tabela1[[#This Row],[Country]],Table117[Men''s Relay Classification],"&gt;0")</f>
        <v>0</v>
      </c>
      <c r="NQ99" s="6">
        <f>COUNTIFS(Table117[Country],Tabela1[[#This Row],[Country]],Table117[Women''s Relay Classification],"&gt;0")</f>
        <v>0</v>
      </c>
      <c r="NR99" s="6">
        <f>COUNTIFS(Table113[Country],Tabela1[[#This Row],[Country]],Table113[Skiathlon Classification],"&gt;0")</f>
        <v>0</v>
      </c>
      <c r="NS99" s="6">
        <f>COUNTIFS(Table113116[Country],Tabela1[[#This Row],[Country]],Table113116[Skiathlon Classification],"&gt;0")</f>
        <v>0</v>
      </c>
      <c r="NT99" s="6">
        <f>COUNTIFS(Table113[Country],Tabela1[[#This Row],[Country]],Table113[Sprint Classification],"&gt;0")</f>
        <v>0</v>
      </c>
      <c r="NU99" s="6">
        <f>COUNTIFS(Table113116[Country],Tabela1[[#This Row],[Country]],Table113116[Sprint Classification],"&gt;0")</f>
        <v>0</v>
      </c>
      <c r="NV99" s="6">
        <f>COUNTIFS(Table116[Country],Tabela1[[#This Row],[Country]],Table116[Men''s Team Sprint Classification],"&gt;0")</f>
        <v>0</v>
      </c>
      <c r="NW99" s="6">
        <f>COUNTIFS(Table116[Country],Tabela1[[#This Row],[Country]],Table116[Women''s Team Sprint Classification],"&gt;0")</f>
        <v>0</v>
      </c>
      <c r="NX99" s="6">
        <f>COUNTIFS(Table119[Country],Tabela1[[#This Row],[Country]],Table119[Men''s Classification],"&gt;0")</f>
        <v>0</v>
      </c>
      <c r="NY99" s="6">
        <f>COUNTIFS(Table119[Country],Tabela1[[#This Row],[Country]],Table119[Women''s Classification],"&gt;0")</f>
        <v>0</v>
      </c>
      <c r="NZ99" s="6">
        <f>COUNTIFS(Table118[Country],Tabela1[[#This Row],[Country]],Table118[Mixed Classification],"&gt;0")</f>
        <v>0</v>
      </c>
      <c r="OA99" s="6">
        <f>COUNTIFS(Table120[Country],Tabela1[[#This Row],[Country]],Table120[Classification],"&gt;0")</f>
        <v>0</v>
      </c>
      <c r="OB99" s="6">
        <f>COUNTIFS(Table120123[Country],Tabela1[[#This Row],[Country]],Table120123[Classification],"&gt;0")</f>
        <v>0</v>
      </c>
      <c r="OC99" s="6">
        <f>COUNTIFS(Table123[Country],Tabela1[[#This Row],[Country]],Table123[Ice Dance Classification],"&gt;0")</f>
        <v>0</v>
      </c>
      <c r="OD99" s="6">
        <f>COUNTIFS(Table123[Country],Tabela1[[#This Row],[Country]],Table123[Pair Skating Classification],"&gt;0")</f>
        <v>0</v>
      </c>
      <c r="OE99" s="6">
        <f>COUNTIFS(Table124[Country],Tabela1[[#This Row],[Country]],Table124[Mixed Classification],"&gt;0")</f>
        <v>0</v>
      </c>
      <c r="OF99" s="6">
        <f>COUNTIFS(Table125[Country],Tabela1[[#This Row],[Country]],Table125[Aerials Classification],"&gt;0")</f>
        <v>0</v>
      </c>
      <c r="OG99" s="6">
        <f>COUNTIFS(Table125128[Country],Tabela1[[#This Row],[Country]],Table125128[Aerials Classification],"&gt;0")</f>
        <v>0</v>
      </c>
      <c r="OH99" s="6">
        <f>COUNTIFS(Table128[Country],Tabela1[[#This Row],[Country]],Table128[Mixed Aerials Classification],"&gt;0")</f>
        <v>0</v>
      </c>
      <c r="OI99" s="6">
        <f>COUNTIFS(Table125[Country],Tabela1[[#This Row],[Country]],Table125[Big Air Classification],"&gt;0")</f>
        <v>0</v>
      </c>
      <c r="OJ99" s="6">
        <f>COUNTIFS(Table125128[Country],Tabela1[[#This Row],[Country]],Table125128[Big Air Classification],"&gt;0")</f>
        <v>0</v>
      </c>
      <c r="OK99" s="6">
        <f>COUNTIFS(Table125[Country],Tabela1[[#This Row],[Country]],Table125[Dual Moguls Classification],"&gt;0")</f>
        <v>0</v>
      </c>
      <c r="OL99" s="6">
        <f>COUNTIFS(Table125128[Country],Tabela1[[#This Row],[Country]],Table125128[Dual Moguls Classification],"&gt;0")</f>
        <v>0</v>
      </c>
      <c r="OM99" s="6">
        <f>COUNTIFS(Table125[Country],Tabela1[[#This Row],[Country]],Table125[Halfpipe Classification],"&gt;0")</f>
        <v>0</v>
      </c>
      <c r="ON99" s="6">
        <f>COUNTIFS(Table125128[Country],Tabela1[[#This Row],[Country]],Table125128[Halfpipe Classification],"&gt;0")</f>
        <v>0</v>
      </c>
      <c r="OO99" s="6">
        <f>COUNTIFS(Table125[Country],Tabela1[[#This Row],[Country]],Table125[Moguls Classification],"&gt;0")</f>
        <v>0</v>
      </c>
      <c r="OP99" s="6">
        <f>COUNTIFS(Table125128[Country],Tabela1[[#This Row],[Country]],Table125128[Moguls Classification],"&gt;0")</f>
        <v>0</v>
      </c>
      <c r="OQ99" s="6">
        <f>COUNTIFS(Table125[Country],Tabela1[[#This Row],[Country]],Table125[Ski Cross Classification],"&gt;0")</f>
        <v>0</v>
      </c>
      <c r="OR99" s="6">
        <f>COUNTIFS(Table125128[Country],Tabela1[[#This Row],[Country]],Table125128[Ski Cross Classification],"&gt;0")</f>
        <v>0</v>
      </c>
      <c r="OS99" s="6">
        <f>COUNTIFS(Table125[Country],Tabela1[[#This Row],[Country]],Table125[Slopestyle Classification],"&gt;0")</f>
        <v>0</v>
      </c>
      <c r="OT99" s="6">
        <f>COUNTIFS(Table125128[Country],Tabela1[[#This Row],[Country]],Table125128[Slopestyle Classification],"&gt;0")</f>
        <v>0</v>
      </c>
      <c r="OU99" s="6">
        <f>COUNTIFS(Table119131[Country],Tabela1[[#This Row],[Country]],Table119131[Men''s Classification],"&gt;0")</f>
        <v>0</v>
      </c>
      <c r="OV99" s="6">
        <f>COUNTIFS(Table119131[Country],Tabela1[[#This Row],[Country]],Table119131[Women''s Classification],"&gt;0")</f>
        <v>0</v>
      </c>
      <c r="OW99" s="6">
        <f>COUNTIFS(Table131[Country],Tabela1[[#This Row],[Country]],Table131[Classification],"&gt;0")</f>
        <v>0</v>
      </c>
      <c r="OX99" s="6">
        <f>COUNTIFS(Table131134[Country],Tabela1[[#This Row],[Country]],Table131134[Classification],"&gt;0")</f>
        <v>0</v>
      </c>
      <c r="OY99" s="6">
        <f>COUNTIFS(Table134[Country],Tabela1[[#This Row],[Country]],Table134[Men''s Classification],"&gt;0")</f>
        <v>0</v>
      </c>
      <c r="OZ99" s="6">
        <f>COUNTIFS(Table134[Country],Tabela1[[#This Row],[Country]],Table134[Women''s Classification],"&gt;0")</f>
        <v>0</v>
      </c>
      <c r="PA99" s="6">
        <f>COUNTIFS(Table135[Country],Tabela1[[#This Row],[Country]],Table135[Mixed Relay Classification],"&gt;0")</f>
        <v>0</v>
      </c>
      <c r="PB99" s="6">
        <f>COUNTIFS(Table136[Country],Tabela1[[#This Row],[Country]],Table136[Individual Classification],"&gt;0")</f>
        <v>0</v>
      </c>
      <c r="PC99" s="6">
        <f>COUNTIFS(Table136[Country],Tabela1[[#This Row],[Country]],Table136[Sprint Classification],"&gt;0")</f>
        <v>0</v>
      </c>
      <c r="PD99" s="6">
        <f>COUNTIFS(Table137[Country],Tabela1[[#This Row],[Country]],Table137[Men''s Team Sprint Large Hill Classification],"&gt;0")</f>
        <v>0</v>
      </c>
      <c r="PE99" s="6">
        <f>COUNTIFS(Table138[Country],Tabela1[[#This Row],[Country]],Table138[500m Classification],"&gt;0")</f>
        <v>0</v>
      </c>
      <c r="PF99" s="6">
        <f>COUNTIFS(Table138141[Country],Tabela1[[#This Row],[Country]],Table138141[500m Classification],"&gt;0")</f>
        <v>0</v>
      </c>
      <c r="PG99" s="6">
        <f>COUNTIFS(Table138[Country],Tabela1[[#This Row],[Country]],Table138[1000m Classification],"&gt;0")</f>
        <v>0</v>
      </c>
      <c r="PH99" s="6">
        <f>COUNTIFS(Table138141[Country],Tabela1[[#This Row],[Country]],Table138141[1000m Classification],"&gt;0")</f>
        <v>0</v>
      </c>
      <c r="PI99" s="6">
        <f>COUNTIFS(Table138[Country],Tabela1[[#This Row],[Country]],Table138[1500m Classification],"&gt;0")</f>
        <v>0</v>
      </c>
      <c r="PJ99" s="6">
        <f>COUNTIFS(Table138141[Country],Tabela1[[#This Row],[Country]],Table138141[1500m Classification],"&gt;0")</f>
        <v>0</v>
      </c>
      <c r="PK99" s="6">
        <f>COUNTIFS(Table141[Country],Tabela1[[#This Row],[Country]],Table141[Men''s 5000m Relay Classification],"&gt;0")</f>
        <v>0</v>
      </c>
      <c r="PL99" s="6">
        <f>COUNTIFS(Table141[Country],Tabela1[[#This Row],[Country]],Table141[Women''s 3000m Relay Classification],"&gt;0")</f>
        <v>0</v>
      </c>
      <c r="PM99" s="6">
        <f>COUNTIFS(Table141[Country],Tabela1[[#This Row],[Country]],Table141[Mixed 2000m Relay Classification],"&gt;0")</f>
        <v>0</v>
      </c>
      <c r="PN99" s="6">
        <f>COUNTIFS(Table142[Country],Tabela1[[#This Row],[Country]],Table142[Classification],"&gt;0")</f>
        <v>0</v>
      </c>
      <c r="PO99" s="6">
        <f>COUNTIFS(Table142145[Country],Tabela1[[#This Row],[Country]],Table142145[Classification],"&gt;0")</f>
        <v>0</v>
      </c>
      <c r="PP99" s="6">
        <f>COUNTIFS(Tabela15[Country],Tabela1[[#This Row],[Country]],Tabela15[Mixed Team Classification],"&gt;0")</f>
        <v>0</v>
      </c>
      <c r="PQ99" s="6">
        <f>COUNTIFS(Table145[Country],Tabela1[[#This Row],[Country]],Table145[Large Hill Classification],"&gt;0")</f>
        <v>0</v>
      </c>
      <c r="PR99" s="6">
        <f>COUNTIFS(Table145[Country],Tabela1[[#This Row],[Country]],Table145[Normal Hill Classification],"&gt;0")</f>
        <v>0</v>
      </c>
      <c r="PS99" s="6">
        <f>COUNTIFS(Table145148[Country],Tabela1[[#This Row],[Country]],Table145148[Large Hill Classification],"&gt;0")</f>
        <v>0</v>
      </c>
      <c r="PT99" s="6">
        <f>COUNTIFS(Table145148[Country],Tabela1[[#This Row],[Country]],Table145148[Normal Hill Classification],"&gt;0")</f>
        <v>0</v>
      </c>
      <c r="PU99" s="6">
        <f>COUNTIFS(Table148[Country],Tabela1[[#This Row],[Country]],Table148[Men''s Super Team Classification],"&gt;0")</f>
        <v>0</v>
      </c>
      <c r="PV99" s="6">
        <f>COUNTIFS(Tabela114[Country],Tabela1[[#This Row],[Country]],Tabela114[Mixed Normal Hill Classification],"&gt;0")</f>
        <v>0</v>
      </c>
      <c r="PW99" s="6">
        <f>COUNTIFS(Tabela50[Country],Tabela1[[#This Row],[Country]],Tabela50[Sprint Classification],"&gt;0")</f>
        <v>0</v>
      </c>
      <c r="PX99" s="6">
        <f>COUNTIFS(Tabela50101[Country],Tabela1[[#This Row],[Country]],Tabela50101[Sprint Classification],"&gt;0")</f>
        <v>0</v>
      </c>
      <c r="PY99" s="6">
        <f>COUNTIFS(Tabela103[Country],Tabela1[[#This Row],[Country]],Tabela103[Mixed Relay Classification],"&gt;0")</f>
        <v>0</v>
      </c>
      <c r="PZ99" s="6">
        <f>COUNTIFS(Table149[Country],Tabela1[[#This Row],[Country]],Table149[Big Air Classification],"&gt;0")</f>
        <v>0</v>
      </c>
      <c r="QA99" s="6">
        <f>COUNTIFS(Table149152[Country],Tabela1[[#This Row],[Country]],Table149152[Big Air Classification],"&gt;0")</f>
        <v>0</v>
      </c>
      <c r="QB99" s="6">
        <f>COUNTIFS(Table149[Country],Tabela1[[#This Row],[Country]],Table149[Halfpipe Classification],"&gt;0")</f>
        <v>0</v>
      </c>
      <c r="QC99" s="6">
        <f>COUNTIFS(Table149152[Country],Tabela1[[#This Row],[Country]],Table149152[Halfpipe Classification],"&gt;0")</f>
        <v>0</v>
      </c>
      <c r="QD99" s="6">
        <f>COUNTIFS(Table149[Country],Tabela1[[#This Row],[Country]],Table149[Parallel Giant Slalom Classification],"&gt;0")</f>
        <v>0</v>
      </c>
      <c r="QE99" s="6">
        <f>COUNTIFS(Table149152[Country],Tabela1[[#This Row],[Country]],Table149152[Parallel Giant Slalom Classification],"&gt;0")</f>
        <v>0</v>
      </c>
      <c r="QF99" s="6">
        <f>COUNTIFS(Table149[Country],Tabela1[[#This Row],[Country]],Table149[Slopestyle Classification],"&gt;0")</f>
        <v>0</v>
      </c>
      <c r="QG99" s="6">
        <f>COUNTIFS(Table149152[Country],Tabela1[[#This Row],[Country]],Table149152[Slopestyle Classification],"&gt;0")</f>
        <v>0</v>
      </c>
      <c r="QH99" s="6">
        <f>COUNTIFS(Table149[Country],Tabela1[[#This Row],[Country]],Table149[Snowboard Cross Classification],"&gt;0")</f>
        <v>0</v>
      </c>
      <c r="QI99" s="6">
        <f>COUNTIFS(Table149152[Country],Tabela1[[#This Row],[Country]],Table149152[Snowboard Cross Classification],"&gt;0")</f>
        <v>0</v>
      </c>
      <c r="QJ99" s="6">
        <f>COUNTIFS(Table153[Country],Tabela1[[#This Row],[Country]],Table153[Mixed Team Snowboard Cross Classification],"&gt;0")</f>
        <v>0</v>
      </c>
      <c r="QK99" s="6">
        <f>COUNTIFS(Table154[Country],Tabela1[[#This Row],[Country]],Table154[500m Classification],"&gt;0")</f>
        <v>0</v>
      </c>
      <c r="QL99" s="6">
        <f>COUNTIFS(Table154157[Country],Tabela1[[#This Row],[Country]],Table154157[500m Classification],"&gt;0")</f>
        <v>0</v>
      </c>
      <c r="QM99" s="6">
        <f>COUNTIFS(Table154[Country],Tabela1[[#This Row],[Country]],Table154[1000m Classification],"&gt;0")</f>
        <v>0</v>
      </c>
      <c r="QN99" s="6">
        <f>COUNTIFS(Table154157[Country],Tabela1[[#This Row],[Country]],Table154157[1000m Classification],"&gt;0")</f>
        <v>0</v>
      </c>
      <c r="QO99" s="6">
        <f>COUNTIFS(Table154[Country],Tabela1[[#This Row],[Country]],Table154[1500m Classification],"&gt;0")</f>
        <v>0</v>
      </c>
      <c r="QP99" s="6">
        <f>COUNTIFS(Table154157[Country],Tabela1[[#This Row],[Country]],Table154157[1500m Classification],"&gt;0")</f>
        <v>0</v>
      </c>
      <c r="QQ99" s="6">
        <f>COUNTIFS(Table154157[Country],Tabela1[[#This Row],[Country]],Table154157[3000m Classification],"&gt;0")</f>
        <v>0</v>
      </c>
      <c r="QR99" s="6">
        <f>COUNTIFS(Table154[Country],Tabela1[[#This Row],[Country]],Table154[5000m Classification],"&gt;0")</f>
        <v>0</v>
      </c>
      <c r="QS99" s="6">
        <f>COUNTIFS(Table154157[Country],Tabela1[[#This Row],[Country]],Table154157[5000m Classification],"&gt;0")</f>
        <v>0</v>
      </c>
      <c r="QT99" s="6">
        <f>COUNTIFS(Table154[Country],Tabela1[[#This Row],[Country]],Table154[10000m Classification],"&gt;0")</f>
        <v>0</v>
      </c>
      <c r="QU99" s="6">
        <f>COUNTIFS(Table154[Country],Tabela1[[#This Row],[Country]],Table154[Mass Start Classification],"&gt;0")</f>
        <v>0</v>
      </c>
      <c r="QV99" s="6">
        <f>COUNTIFS(Table154157[Country],Tabela1[[#This Row],[Country]],Table154157[Mass Start Classification],"&gt;0")</f>
        <v>0</v>
      </c>
      <c r="QW99" s="6">
        <f>COUNTIFS(Table157[Country],Tabela1[[#This Row],[Country]],Table157[Men''s Pursuit Classification],"&gt;0")</f>
        <v>0</v>
      </c>
      <c r="QX99" s="6">
        <f>COUNTIFS(Table157[Country],Tabela1[[#This Row],[Country]],Table157[Women''s Pursuit Classification],"&gt;0")</f>
        <v>0</v>
      </c>
      <c r="QY99" s="4" t="s">
        <v>539</v>
      </c>
    </row>
    <row r="100" spans="1:467" x14ac:dyDescent="0.3">
      <c r="A100" s="6">
        <v>99</v>
      </c>
      <c r="B100" s="6" t="s">
        <v>706</v>
      </c>
      <c r="C100" t="e" vm="99">
        <f>IF(ISBLANK(Tabela1[[#This Row],[Image Link]]), "", _xlfn.IMAGE(Tabela1[[#This Row],[Image Link]],1,1))</f>
        <v>#VALUE!</v>
      </c>
      <c r="D100" s="6">
        <f>SUM(Tabela1[[#This Row],[Archery - Men''s Individual Recurve]:[Speed Skating - Women''s Team Pursuit]])</f>
        <v>3</v>
      </c>
      <c r="E100" s="6">
        <f>COUNTIF(Tabela1[[#This Row],[Archery - Men''s Individual Recurve]:[Speed Skating - Women''s Team Pursuit]],"&gt;0")</f>
        <v>3</v>
      </c>
      <c r="F100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00" s="6">
        <f>SUM(Tabela1[[#This Row],[Archery - Men''s Individual Recurve]:[Wrestling - Women''s Freestyle 76kg]])</f>
        <v>3</v>
      </c>
      <c r="H100" s="6">
        <f>SUM(Tabela1[[#This Row],[Alpine Skiing - Men''s Downhill]:[Speed Skating - Women''s Team Pursuit]])</f>
        <v>0</v>
      </c>
      <c r="I100" s="6">
        <f>Tabela1[[#This Row],[Summer Gold Medals]]+Tabela1[[#This Row],[Winter Gold Medals]]</f>
        <v>0</v>
      </c>
      <c r="J100" s="6">
        <f>Tabela1[[#This Row],[Summer Silver Medals]]+Tabela1[[#This Row],[Winter Silver Medals]]</f>
        <v>0</v>
      </c>
      <c r="K100" s="6">
        <f>Tabela1[[#This Row],[Summer Bronze Medals]]+Tabela1[[#This Row],[Winter Bronze Medals]]</f>
        <v>0</v>
      </c>
      <c r="L100" s="6">
        <f>SUM(Tabela1[[#This Row],[Total Gold Medals]:[Total Bronze Medals]])</f>
        <v>0</v>
      </c>
      <c r="M100" s="6"/>
      <c r="N100" s="6"/>
      <c r="O100" s="6"/>
      <c r="P100" s="6">
        <f>SUM(Tabela1[[#This Row],[Summer Gold Medals]:[Summer Bronze Medals]])</f>
        <v>0</v>
      </c>
      <c r="Q100" s="6"/>
      <c r="R100" s="6"/>
      <c r="S100" s="6"/>
      <c r="T100" s="6">
        <f>Tabela1[[#This Row],[Winter Gold Medals]]+Tabela1[[#This Row],[Winter Silver Medals]]+Tabela1[[#This Row],[Winter Bronze Medals]]</f>
        <v>0</v>
      </c>
      <c r="U100" s="7">
        <f>Tabela1[[#This Row],[Total Medals]]/Tabela1[[#This Row],[Total Quotas]]</f>
        <v>0</v>
      </c>
      <c r="V100" s="6">
        <f>COUNTIFS(Table3[Country],Tabela1[[#This Row],[Country]],Table3[Recurve Classification],"&gt;0")</f>
        <v>0</v>
      </c>
      <c r="W100" s="6">
        <f>COUNTIFS(Table33[Country],Tabela1[[#This Row],[Country]],Table33[Recurve Classification],"&gt;0")</f>
        <v>0</v>
      </c>
      <c r="X100" s="6">
        <f>COUNTIFS(Table35[Country],Tabela1[[#This Row],[Country]],Table35[Men''s Team Recurve Classification],"&gt;0")</f>
        <v>0</v>
      </c>
      <c r="Y100" s="6">
        <f>COUNTIFS(Table35[Country],Tabela1[[#This Row],[Country]],Table35[Women''s Team Recurve Classification],"&gt;0")</f>
        <v>0</v>
      </c>
      <c r="Z100" s="6">
        <f>COUNTIFS(Tabela88[Country],Tabela1[[#This Row],[Country]],Tabela88[Mixed Team Recurve Classification],"&gt;0")</f>
        <v>0</v>
      </c>
      <c r="AA100" s="6">
        <f>COUNTIFS(Table36[Country],Tabela1[[#This Row],[Country]],Table36[Classification],"&gt;0")</f>
        <v>0</v>
      </c>
      <c r="AB100" s="6">
        <f>COUNTIFS(Table37[Country],Tabela1[[#This Row],[Country]],Table37[Classification],"&gt;0")</f>
        <v>0</v>
      </c>
      <c r="AC100" s="6">
        <f>COUNTIFS(Table4[Country],Tabela1[[#This Row],[Country]],Table4[100m Classification],"&gt;0")</f>
        <v>0</v>
      </c>
      <c r="AD100" s="6">
        <f>COUNTIFS(Table5[Country],Tabela1[[#This Row],[Country]],Table5[100m Classification],"&gt;0")</f>
        <v>0</v>
      </c>
      <c r="AE100" s="6">
        <f>COUNTIFS(Table4[Country],Tabela1[[#This Row],[Country]],Table4[200m Classification],"&gt;0")</f>
        <v>0</v>
      </c>
      <c r="AF100" s="6">
        <f>COUNTIFS(Table5[Country],Tabela1[[#This Row],[Country]],Table5[200m Classification],"&gt;0")</f>
        <v>0</v>
      </c>
      <c r="AG100" s="6">
        <f>COUNTIFS(Table4[Country],Tabela1[[#This Row],[Country]],Table4[400m Classification],"&gt;0")</f>
        <v>0</v>
      </c>
      <c r="AH100" s="6">
        <f>COUNTIFS(Table5[Country],Tabela1[[#This Row],[Country]],Table5[400m Classification],"&gt;0")</f>
        <v>0</v>
      </c>
      <c r="AI100" s="6">
        <f>COUNTIFS(Table4[Country],Tabela1[[#This Row],[Country]],Table4[800m Classification],"&gt;0")</f>
        <v>0</v>
      </c>
      <c r="AJ100" s="6">
        <f>COUNTIFS(Table5[Country],Tabela1[[#This Row],[Country]],Table5[800m Classification],"&gt;0")</f>
        <v>0</v>
      </c>
      <c r="AK100" s="6">
        <f>COUNTIFS(Table4[Country],Tabela1[[#This Row],[Country]],Table4[1500m Classification],"&gt;0")</f>
        <v>0</v>
      </c>
      <c r="AL100" s="6">
        <f>COUNTIFS(Table5[Country],Tabela1[[#This Row],[Country]],Table5[1500m Classification],"&gt;0")</f>
        <v>0</v>
      </c>
      <c r="AM100" s="6">
        <f>COUNTIFS(Table4[Country],Tabela1[[#This Row],[Country]],Table4[5000m Classification],"&gt;0")</f>
        <v>0</v>
      </c>
      <c r="AN100" s="6">
        <f>COUNTIFS(Table5[Country],Tabela1[[#This Row],[Country]],Table5[5000m Classification],"&gt;0")</f>
        <v>0</v>
      </c>
      <c r="AO100" s="6">
        <f>COUNTIFS(Table4[Country],Tabela1[[#This Row],[Country]],Table4[10000m Classification],"&gt;0")</f>
        <v>0</v>
      </c>
      <c r="AP100" s="6">
        <f>COUNTIFS(Table5[Country],Tabela1[[#This Row],[Country]],Table5[10000m Classification],"&gt;0")</f>
        <v>0</v>
      </c>
      <c r="AQ100" s="6">
        <f>COUNTIFS(Table4[Country],Tabela1[[#This Row],[Country]],Table4[110m Hurdles Classification],"&gt;0")</f>
        <v>0</v>
      </c>
      <c r="AR100" s="6">
        <f>COUNTIFS(Table5[Country],Tabela1[[#This Row],[Country]],Table5[100m Hurdles Classification],"&gt;0")</f>
        <v>0</v>
      </c>
      <c r="AS100" s="6">
        <f>COUNTIFS(Table4[Country],Tabela1[[#This Row],[Country]],Table4[400m Hurdles Classification],"&gt;0")</f>
        <v>0</v>
      </c>
      <c r="AT100" s="6">
        <f>COUNTIFS(Table5[Country],Tabela1[[#This Row],[Country]],Table5[400m Hurdles Classification],"&gt;0")</f>
        <v>0</v>
      </c>
      <c r="AU100" s="6">
        <f>COUNTIFS(Table4[Country],Tabela1[[#This Row],[Country]],Table4[3000m Steeplechase Classification],"&gt;0")</f>
        <v>0</v>
      </c>
      <c r="AV100" s="6">
        <f>COUNTIFS(Table5[Country],Tabela1[[#This Row],[Country]],Table5[3000m Steeplechase Classification],"&gt;0")</f>
        <v>0</v>
      </c>
      <c r="AW100" s="6">
        <f>COUNTIFS(Table27[Country],Tabela1[[#This Row],[Country]],Table27[Men''s 4x100m Relay Classification],"&gt;0")</f>
        <v>0</v>
      </c>
      <c r="AX100" s="6">
        <f>COUNTIFS(Table27[Country],Tabela1[[#This Row],[Country]],Table27[Women''s 4x100m Relay Classification],"&gt;0")</f>
        <v>0</v>
      </c>
      <c r="AY100" s="6">
        <f>COUNTIFS(Table27[Country],Tabela1[[#This Row],[Country]],Table27[Men''s 4x400m Relay Classification],"&gt;0")</f>
        <v>0</v>
      </c>
      <c r="AZ100" s="6">
        <f>COUNTIFS(Table27[Country],Tabela1[[#This Row],[Country]],Table27[Women''s 4x400m Relay Classification],"&gt;0")</f>
        <v>0</v>
      </c>
      <c r="BA100" s="6">
        <f>COUNTIFS(Table27[Country],Tabela1[[#This Row],[Country]],Table27[Mixed 4x400m Relay Classification],"&gt;0")</f>
        <v>0</v>
      </c>
      <c r="BB100" s="6">
        <f>COUNTIFS(Table4[Country],Tabela1[[#This Row],[Country]],Table4[Marathon Classification],"&gt;0")</f>
        <v>0</v>
      </c>
      <c r="BC100" s="6">
        <f>COUNTIFS(Table5[Country],Tabela1[[#This Row],[Country]],Table5[Marathon Classification],"&gt;0")</f>
        <v>0</v>
      </c>
      <c r="BD100" s="6">
        <f>COUNTIFS(Table4[Country],Tabela1[[#This Row],[Country]],Table4[20km Race Walk Classification],"&gt;0")</f>
        <v>0</v>
      </c>
      <c r="BE100" s="6">
        <f>COUNTIFS(Table5[Country],Tabela1[[#This Row],[Country]],Table5[20km Race Walk Classification],"&gt;0")</f>
        <v>0</v>
      </c>
      <c r="BF100" s="6">
        <f>COUNTIFS(Tabela96[Country],Tabela1[[#This Row],[Country]],Tabela96[Mixed Marathon Race Walk Relay Classification],"&gt;0")</f>
        <v>0</v>
      </c>
      <c r="BG100" s="6">
        <f>COUNTIFS(Table4[Country],Tabela1[[#This Row],[Country]],Table4[Discus Throw Classification],"&gt;0")</f>
        <v>0</v>
      </c>
      <c r="BH100" s="6">
        <f>COUNTIFS(Table5[Country],Tabela1[[#This Row],[Country]],Table5[Discus Throw Classification],"&gt;0")</f>
        <v>0</v>
      </c>
      <c r="BI100" s="6">
        <f>COUNTIFS(Table4[Country],Tabela1[[#This Row],[Country]],Table4[Hammer Throw Classification],"&gt;0")</f>
        <v>0</v>
      </c>
      <c r="BJ100" s="6">
        <f>COUNTIFS(Table5[Country],Tabela1[[#This Row],[Country]],Table5[Hammer Throw Classification],"&gt;0")</f>
        <v>0</v>
      </c>
      <c r="BK100" s="6">
        <f>COUNTIFS(Table4[Country],Tabela1[[#This Row],[Country]],Table4[High Jump Classification],"&gt;0")</f>
        <v>0</v>
      </c>
      <c r="BL100" s="6">
        <f>COUNTIFS(Table5[Country],Tabela1[[#This Row],[Country]],Table5[High Jump Classification],"&gt;0")</f>
        <v>0</v>
      </c>
      <c r="BM100" s="6">
        <f>COUNTIFS(Table4[Country],Tabela1[[#This Row],[Country]],Table4[Javelin Throw Classification],"&gt;0")</f>
        <v>0</v>
      </c>
      <c r="BN100" s="6">
        <f>COUNTIFS(Table5[Country],Tabela1[[#This Row],[Country]],Table5[Javelin Throw Classification],"&gt;0")</f>
        <v>0</v>
      </c>
      <c r="BO100" s="6">
        <f>COUNTIFS(Table4[Country],Tabela1[[#This Row],[Country]],Table4[Long Jump Classification],"&gt;0")</f>
        <v>0</v>
      </c>
      <c r="BP100" s="6">
        <f>COUNTIFS(Table5[Country],Tabela1[[#This Row],[Country]],Table5[Long Jump Classification],"&gt;0")</f>
        <v>0</v>
      </c>
      <c r="BQ100" s="6">
        <f>COUNTIFS(Table4[Country],Tabela1[[#This Row],[Country]],Table4[Pole Vault Classification],"&gt;0")</f>
        <v>0</v>
      </c>
      <c r="BR100" s="6">
        <f>COUNTIFS(Table5[Country],Tabela1[[#This Row],[Country]],Table5[Pole Vault Classification],"&gt;0")</f>
        <v>0</v>
      </c>
      <c r="BS100" s="6">
        <f>COUNTIFS(Table4[Country],Tabela1[[#This Row],[Country]],Table4[Shot Put Classification],"&gt;0")</f>
        <v>0</v>
      </c>
      <c r="BT100" s="6">
        <f>COUNTIFS(Table5[Country],Tabela1[[#This Row],[Country]],Table5[Shot Put Classification],"&gt;0")</f>
        <v>0</v>
      </c>
      <c r="BU100" s="6">
        <f>COUNTIFS(Table4[Country],Tabela1[[#This Row],[Country]],Table4[Triple Jump Classification],"&gt;0")</f>
        <v>0</v>
      </c>
      <c r="BV100" s="6">
        <f>COUNTIFS(Table5[Country],Tabela1[[#This Row],[Country]],Table5[Triple Jump Classification],"&gt;0")</f>
        <v>0</v>
      </c>
      <c r="BW100" s="6">
        <f>COUNTIFS(Table4[Country],Tabela1[[#This Row],[Country]],Table4[Decathlon Classification],"&gt;0")</f>
        <v>0</v>
      </c>
      <c r="BX100" s="6">
        <f>COUNTIFS(Table5[Country],Tabela1[[#This Row],[Country]],Table5[Heptathlon Classification],"&gt;0")</f>
        <v>0</v>
      </c>
      <c r="BY100" s="6">
        <f>COUNTIFS(Table61[Country],Tabela1[[#This Row],[Country]],Table61[Classification],"&gt;0")</f>
        <v>1</v>
      </c>
      <c r="BZ100" s="6">
        <f>COUNTIFS(Table38[Country],Tabela1[[#This Row],[Country]],Table38[Classification],"&gt;0")</f>
        <v>0</v>
      </c>
      <c r="CA100" s="6">
        <f>COUNTIFS(Table39[Country],Tabela1[[#This Row],[Country]],Table39[Men''s Classification],"&gt;0")</f>
        <v>0</v>
      </c>
      <c r="CB100" s="6">
        <f>COUNTIFS(Table39[Country],Tabela1[[#This Row],[Country]],Table39[Women''s Classification],"&gt;0")</f>
        <v>0</v>
      </c>
      <c r="CC100" s="6">
        <f>COUNTIFS(Table39[Country],Tabela1[[#This Row],[Country]],Table39[Mixed Classification],"&gt;0")</f>
        <v>0</v>
      </c>
      <c r="CD100" s="6">
        <f>COUNTIFS(Table89[Country],Tabela1[[#This Row],[Country]],Table89[Men''s Classification],"&gt;0")</f>
        <v>0</v>
      </c>
      <c r="CE100" s="6">
        <f>COUNTIFS(Table89[Country],Tabela1[[#This Row],[Country]],Table89[Women''s Classification],"&gt;0")</f>
        <v>0</v>
      </c>
      <c r="CF100" s="6">
        <f>COUNTIFS(Table90[Country],Tabela1[[#This Row],[Country]],Table90[Men''s Classification],"&gt;0")</f>
        <v>0</v>
      </c>
      <c r="CG100" s="6">
        <f>COUNTIFS(Table90[Country],Tabela1[[#This Row],[Country]],Table90[Women''s Classification],"&gt;0")</f>
        <v>0</v>
      </c>
      <c r="CH100" s="6">
        <f>COUNTIFS(Table60[Country],Tabela1[[#This Row],[Country]],Table60[Men''s Classification],"&gt;0")</f>
        <v>0</v>
      </c>
      <c r="CI100" s="6">
        <f>COUNTIFS(Table60[Country],Tabela1[[#This Row],[Country]],Table60[Women''s Classification],"&gt;0")</f>
        <v>0</v>
      </c>
      <c r="CJ100" s="6">
        <f>COUNTIFS(Table6[Country],Tabela1[[#This Row],[Country]],Table6[51kg Classification],"&gt;0")</f>
        <v>0</v>
      </c>
      <c r="CK100" s="6">
        <f>COUNTIFS(Table6[Country],Tabela1[[#This Row],[Country]],Table6[57kg Classification],"&gt;0")</f>
        <v>0</v>
      </c>
      <c r="CL100" s="6">
        <f>COUNTIFS(Table6[Country],Tabela1[[#This Row],[Country]],Table6[63.5kg Classification],"&gt;0")</f>
        <v>0</v>
      </c>
      <c r="CM100" s="6">
        <f>COUNTIFS(Table6[Country],Tabela1[[#This Row],[Country]],Table6[71kg Classification],"&gt;0")</f>
        <v>0</v>
      </c>
      <c r="CN100" s="6">
        <f>COUNTIFS(Table6[Country],Tabela1[[#This Row],[Country]],Table6[80kg Classification],"&gt;0")</f>
        <v>0</v>
      </c>
      <c r="CO100" s="6">
        <f>COUNTIFS(Table6[Country],Tabela1[[#This Row],[Country]],Table6[92kg Classification],"&gt;0")</f>
        <v>0</v>
      </c>
      <c r="CP100" s="6">
        <f>COUNTIFS(Table6[Country],Tabela1[[#This Row],[Country]],Table6[Plus 92kg Classification],"&gt;0")</f>
        <v>0</v>
      </c>
      <c r="CQ100" s="6">
        <f>COUNTIFS(Table7[Country],Tabela1[[#This Row],[Country]],Table7[50kg Classification],"&gt;0")</f>
        <v>0</v>
      </c>
      <c r="CR100" s="6">
        <f>COUNTIFS(Table7[Country],Tabela1[[#This Row],[Country]],Table7[54kg Classification],"&gt;0")</f>
        <v>0</v>
      </c>
      <c r="CS100" s="6">
        <f>COUNTIFS(Table7[Country],Tabela1[[#This Row],[Country]],Table7[57kg Classification],"&gt;0")</f>
        <v>0</v>
      </c>
      <c r="CT100" s="6">
        <f>COUNTIFS(Table7[Country],Tabela1[[#This Row],[Country]],Table7[60kg Classification],"&gt;0")</f>
        <v>0</v>
      </c>
      <c r="CU100" s="6">
        <f>COUNTIFS(Table7[Country],Tabela1[[#This Row],[Country]],Table7[66kg Classification],"&gt;0")</f>
        <v>0</v>
      </c>
      <c r="CV100" s="6">
        <f>COUNTIFS(Table7[Country],Tabela1[[#This Row],[Country]],Table7[75kg Classification],"&gt;0")</f>
        <v>0</v>
      </c>
      <c r="CW100" s="6">
        <f>COUNTIFS(Tabela94[Country],Tabela1[[#This Row],[Country]],Tabela94[Classification],"&gt;0")</f>
        <v>0</v>
      </c>
      <c r="CX100" s="6">
        <f>COUNTIFS(Tabela9499[Country],Tabela1[[#This Row],[Country]],Tabela9499[Classification],"&gt;0")</f>
        <v>0</v>
      </c>
      <c r="CY100" s="6">
        <f>COUNTIFS(Tabela107[Country],Tabela1[[#This Row],[Country]],Tabela107[C1 Slalom Classification],"&gt;0")</f>
        <v>0</v>
      </c>
      <c r="CZ100" s="6">
        <f>COUNTIFS(Tabela107122[Country],Tabela1[[#This Row],[Country]],Tabela107122[C1 Slalom Classification],"&gt;0")</f>
        <v>0</v>
      </c>
      <c r="DA100" s="6">
        <f>COUNTIFS(Tabela107[Country],Tabela1[[#This Row],[Country]],Tabela107[K1 Slalom Classification],"&gt;0")</f>
        <v>0</v>
      </c>
      <c r="DB100" s="6">
        <f>COUNTIFS(Tabela107122[Country],Tabela1[[#This Row],[Country]],Tabela107122[K1 Slalom Classification],"&gt;0")</f>
        <v>0</v>
      </c>
      <c r="DC100" s="6">
        <f>COUNTIFS(Tabela107[Country],Tabela1[[#This Row],[Country]],Tabela107[Kayak Cross Slalom Classification],"&gt;0")</f>
        <v>0</v>
      </c>
      <c r="DD100" s="6">
        <f>COUNTIFS(Tabela107122[Country],Tabela1[[#This Row],[Country]],Tabela107122[Kayak Cross Slalom Classification],"&gt;0")</f>
        <v>0</v>
      </c>
      <c r="DE100" s="6">
        <f>COUNTIFS(Table8[Country],Tabela1[[#This Row],[Country]],Table8[C1 200m Classification],"&gt;0")</f>
        <v>0</v>
      </c>
      <c r="DF100" s="6">
        <f>COUNTIFS(Table40[Country],Tabela1[[#This Row],[Country]],Table40[C1 1000m Classification],"&gt;0")</f>
        <v>0</v>
      </c>
      <c r="DG100" s="6">
        <f>COUNTIFS(Table68[Country],Tabela1[[#This Row],[Country]],Table68[Men''s C2 500m Classification],"&gt;0")</f>
        <v>0</v>
      </c>
      <c r="DH100" s="6">
        <f>COUNTIFS(Table68[Country],Tabela1[[#This Row],[Country]],Table68[Women''s C2 500m Classification],"&gt;0")</f>
        <v>0</v>
      </c>
      <c r="DI100" s="6">
        <f>COUNTIFS(Table8[Country],Tabela1[[#This Row],[Country]],Table8[K1 500m Classification],"&gt;0")</f>
        <v>0</v>
      </c>
      <c r="DJ100" s="6">
        <f>COUNTIFS(Table40[Country],Tabela1[[#This Row],[Country]],Table40[K1 1000m Classification],"&gt;0")</f>
        <v>0</v>
      </c>
      <c r="DK100" s="6">
        <f>COUNTIFS(Table68[Country],Tabela1[[#This Row],[Country]],Table68[Men''s K2 500m Classification],"&gt;0")</f>
        <v>0</v>
      </c>
      <c r="DL100" s="6">
        <f>COUNTIFS(Table68[Country],Tabela1[[#This Row],[Country]],Table68[Women''s K2 500m Classification],"&gt;0")</f>
        <v>0</v>
      </c>
      <c r="DM100" s="6">
        <f>COUNTIFS(Table83[Country],Tabela1[[#This Row],[Country]],Table83[Men''s K4 500m Classification],"&gt;0")</f>
        <v>0</v>
      </c>
      <c r="DN100" s="6">
        <f>COUNTIFS(Table83[Country],Tabela1[[#This Row],[Country]],Table83[Women''s K4 500m Classification],"&gt;0")</f>
        <v>0</v>
      </c>
      <c r="DO100" s="6">
        <f>COUNTIFS(Tabela126[Country],Tabela1[[#This Row],[Country]],Tabela126[Classification],"&gt;0")</f>
        <v>0</v>
      </c>
      <c r="DP100" s="6">
        <f>COUNTIFS(Tabela126130[Country],Tabela1[[#This Row],[Country]],Tabela126130[Classification],"&gt;0")</f>
        <v>0</v>
      </c>
      <c r="DQ100" s="6">
        <f>COUNTIFS(Table70[Country],Tabela1[[#This Row],[Country]],Table70[Classification],"&gt;0")</f>
        <v>0</v>
      </c>
      <c r="DR100" s="6">
        <f>COUNTIFS(Table80[Country],Tabela1[[#This Row],[Country]],Table80[Classification],"&gt;0")</f>
        <v>0</v>
      </c>
      <c r="DS100" s="6">
        <f>COUNTIFS(Table66[Country],Tabela1[[#This Row],[Country]],Table66[Classification],"&gt;0")</f>
        <v>0</v>
      </c>
      <c r="DT100" s="6">
        <f>COUNTIFS(Table67[Country],Tabela1[[#This Row],[Country]],Table67[Classification],"&gt;0")</f>
        <v>0</v>
      </c>
      <c r="DU100" s="6">
        <f>COUNTIFS(Table69[Country],Tabela1[[#This Row],[Country]],Table69[Keirin Classification],"&gt;0")</f>
        <v>1</v>
      </c>
      <c r="DV100" s="6">
        <f>COUNTIFS(Table41[Country],Tabela1[[#This Row],[Country]],Table41[Keirin Classification],"&gt;0")</f>
        <v>0</v>
      </c>
      <c r="DW100" s="6">
        <f>COUNTIFS(Table84[Country],Tabela1[[#This Row],[Country]],Table84[Men''s Madison Classification],"&gt;0")</f>
        <v>0</v>
      </c>
      <c r="DX100" s="6">
        <f>COUNTIFS(Table84[Country],Tabela1[[#This Row],[Country]],Table84[Women''s Madison Classification],"&gt;0")</f>
        <v>0</v>
      </c>
      <c r="DY100" s="6">
        <f>COUNTIFS(Table69[Country],Tabela1[[#This Row],[Country]],Table69[Omnium Classification],"&gt;0")</f>
        <v>0</v>
      </c>
      <c r="DZ100" s="6">
        <f>COUNTIFS(Table41[Country],Tabela1[[#This Row],[Country]],Table41[Omnium Classification],"&gt;0")</f>
        <v>0</v>
      </c>
      <c r="EA100" s="6">
        <f>COUNTIFS(Table9[Country],Tabela1[[#This Row],[Country]],Table9[Road Race Classification],"&gt;0")</f>
        <v>0</v>
      </c>
      <c r="EB100" s="6">
        <f>COUNTIFS(Table14[Country],Tabela1[[#This Row],[Country]],Table14[Road Race Classification],"&gt;0")</f>
        <v>0</v>
      </c>
      <c r="EC100" s="6">
        <f>COUNTIFS(Table69[Country],Tabela1[[#This Row],[Country]],Table69[Sprint Classification],"&gt;0")</f>
        <v>1</v>
      </c>
      <c r="ED100" s="6">
        <f>COUNTIFS(Table41[Country],Tabela1[[#This Row],[Country]],Table41[Sprint Classification],"&gt;0")</f>
        <v>0</v>
      </c>
      <c r="EE100" s="6">
        <f>COUNTIFS(Table85[Country],Tabela1[[#This Row],[Country]],Table85[Men''s Sprint Classification],"&gt;0")</f>
        <v>0</v>
      </c>
      <c r="EF100" s="6">
        <f>COUNTIFS(Table85[Country],Tabela1[[#This Row],[Country]],Table85[Women''s Sprint Classification],"&gt;0")</f>
        <v>0</v>
      </c>
      <c r="EG100" s="6">
        <f>COUNTIFS(Table85[Country],Tabela1[[#This Row],[Country]],Table85[Men''s Pursuit Classification],"&gt;0")</f>
        <v>0</v>
      </c>
      <c r="EH100" s="6">
        <f>COUNTIFS(Table85[Country],Tabela1[[#This Row],[Country]],Table85[Women''s Pursuit Classification],"&gt;0")</f>
        <v>0</v>
      </c>
      <c r="EI100" s="6">
        <f>COUNTIFS(Table9[Country],Tabela1[[#This Row],[Country]],Table9[Time-Trial Classification],"&gt;0")</f>
        <v>0</v>
      </c>
      <c r="EJ100" s="6">
        <f>COUNTIFS(Table14[Country],Tabela1[[#This Row],[Country]],Table14[Time-Trial Classification],"&gt;0")</f>
        <v>0</v>
      </c>
      <c r="EK100" s="6">
        <f>COUNTIFS(Table42[Country],Tabela1[[#This Row],[Country]],Table42[Springboard Classification],"&gt;0")</f>
        <v>0</v>
      </c>
      <c r="EL100" s="6">
        <f>COUNTIFS(Table43[Country],Tabela1[[#This Row],[Country]],Table43[Springboard Classification],"&gt;0")</f>
        <v>0</v>
      </c>
      <c r="EM100" s="6">
        <f>COUNTIFS(Table42[Country],Tabela1[[#This Row],[Country]],Table42[Platform Classification],"&gt;0")</f>
        <v>0</v>
      </c>
      <c r="EN100" s="6">
        <f>COUNTIFS(Table43[Country],Tabela1[[#This Row],[Country]],Table43[Platform Classification],"&gt;0")</f>
        <v>0</v>
      </c>
      <c r="EO100" s="6">
        <f>COUNTIFS(Table86[Country],Tabela1[[#This Row],[Country]],Table86[Men''s Synchronized Springboard Classification],"&gt;0")</f>
        <v>0</v>
      </c>
      <c r="EP100" s="6">
        <f>COUNTIFS(Table86[Country],Tabela1[[#This Row],[Country]],Table86[Women''s Synchronized Springboard Classification],"&gt;0")</f>
        <v>0</v>
      </c>
      <c r="EQ100" s="6">
        <f>COUNTIFS(Table86[Country],Tabela1[[#This Row],[Country]],Table86[Men''s Synchronized Platform Classification],"&gt;0")</f>
        <v>0</v>
      </c>
      <c r="ER100" s="6">
        <f>COUNTIFS(Table86[Country],Tabela1[[#This Row],[Country]],Table86[Women''s Synchronized Platform Classification],"&gt;0")</f>
        <v>0</v>
      </c>
      <c r="ES100" s="6">
        <f>COUNTIFS(Table44[Country],Tabela1[[#This Row],[Country]],Table44[Dressage Classification],"&gt;0")</f>
        <v>0</v>
      </c>
      <c r="ET100" s="6">
        <f>COUNTIFS(Table45[Country],Tabela1[[#This Row],[Country]],Table45[Dressage Classification],"&gt;0")</f>
        <v>0</v>
      </c>
      <c r="EU100" s="6">
        <f>COUNTIFS(Table44[Country],Tabela1[[#This Row],[Country]],Table44[Eventing Classification],"&gt;0")</f>
        <v>0</v>
      </c>
      <c r="EV100" s="6">
        <f>COUNTIFS(Table45[Country],Tabela1[[#This Row],[Country]],Table45[Eventing Classification],"&gt;0")</f>
        <v>0</v>
      </c>
      <c r="EW100" s="6">
        <f>COUNTIFS(Table44[Country],Tabela1[[#This Row],[Country]],Table44[Jumping Classification],"&gt;0")</f>
        <v>0</v>
      </c>
      <c r="EX100" s="6">
        <f>COUNTIFS(Table45[Country],Tabela1[[#This Row],[Country]],Table45[Jumping Classification],"&gt;0")</f>
        <v>0</v>
      </c>
      <c r="EY100" s="6">
        <f>COUNTIFS(Table10[Country],Tabela1[[#This Row],[Country]],Table10[Épée Classification],"&gt;0")</f>
        <v>0</v>
      </c>
      <c r="EZ100" s="6">
        <f>COUNTIFS(Table11[Country],Tabela1[[#This Row],[Country]],Table11[Épée Classification],"&gt;0")</f>
        <v>0</v>
      </c>
      <c r="FA100" s="6">
        <f>COUNTIFS(Table46[Country],Tabela1[[#This Row],[Country]],Table46[Men''s Épée Classification],"&gt;0")</f>
        <v>0</v>
      </c>
      <c r="FB100" s="6">
        <f>COUNTIFS(Table46[Country],Tabela1[[#This Row],[Country]],Table46[Women''s Épée Classification],"&gt;0")</f>
        <v>0</v>
      </c>
      <c r="FC100" s="6">
        <f>COUNTIFS(Table10[Country],Tabela1[[#This Row],[Country]],Table10[Foil Classification],"&gt;0")</f>
        <v>0</v>
      </c>
      <c r="FD100" s="6">
        <f>COUNTIFS(Table11[Country],Tabela1[[#This Row],[Country]],Table11[Foil Classification],"&gt;0")</f>
        <v>0</v>
      </c>
      <c r="FE100" s="6">
        <f>COUNTIFS(Table46[Country],Tabela1[[#This Row],[Country]],Table46[Men''s Foil Classification],"&gt;0")</f>
        <v>0</v>
      </c>
      <c r="FF100" s="6">
        <f>COUNTIFS(Table46[Country],Tabela1[[#This Row],[Country]],Table46[Women''s Foil Classification],"&gt;0")</f>
        <v>0</v>
      </c>
      <c r="FG100" s="6">
        <f>COUNTIFS(Table10[Country],Tabela1[[#This Row],[Country]],Table10[Sabre Classification],"&gt;0")</f>
        <v>0</v>
      </c>
      <c r="FH100" s="6">
        <f>COUNTIFS(Table11[Country],Tabela1[[#This Row],[Country]],Table11[Sabre Classification],"&gt;0")</f>
        <v>0</v>
      </c>
      <c r="FI100" s="6">
        <f>COUNTIFS(Table46[Country],Tabela1[[#This Row],[Country]],Table46[Men''s Sabre Classification],"&gt;0")</f>
        <v>0</v>
      </c>
      <c r="FJ100" s="6">
        <f>COUNTIFS(Table46[Country],Tabela1[[#This Row],[Country]],Table46[Women''s Sabre Classification],"&gt;0")</f>
        <v>0</v>
      </c>
      <c r="FK100" s="6">
        <f>COUNTIFS(Table91[Country],Tabela1[[#This Row],[Country]],Table91[Men''s Classification],"&gt;0")</f>
        <v>0</v>
      </c>
      <c r="FL100" s="6">
        <f>COUNTIFS(Table91[Country],Tabela1[[#This Row],[Country]],Table91[Women''s Classification],"&gt;0")</f>
        <v>0</v>
      </c>
      <c r="FM100" s="6">
        <f>COUNTIFS(Table9194[Country],Tabela1[[#This Row],[Country]],Table9194[Men''s Classification],"&gt;0")</f>
        <v>0</v>
      </c>
      <c r="FN100" s="6">
        <f>COUNTIFS(Table9194[Country],Tabela1[[#This Row],[Country]],Table9194[Women''s Classification],"&gt;0")</f>
        <v>0</v>
      </c>
      <c r="FO100" s="6">
        <f>COUNTIFS(Table71[Country],Tabela1[[#This Row],[Country]],Table71[Classification],"&gt;0")</f>
        <v>0</v>
      </c>
      <c r="FP100" s="6">
        <f>COUNTIFS(Table62[Country],Tabela1[[#This Row],[Country]],Table62[Classification],"&gt;0")</f>
        <v>0</v>
      </c>
      <c r="FQ100" s="6">
        <f>COUNTIFS(Table47[Country],Tabela1[[#This Row],[Country]],Table47[All-Around Classification],"&gt;0")</f>
        <v>0</v>
      </c>
      <c r="FR100" s="6">
        <f>COUNTIFS(Table48[Country],Tabela1[[#This Row],[Country]],Table48[All-Around Classification],"&gt;0")</f>
        <v>0</v>
      </c>
      <c r="FS100" s="6">
        <f>COUNTIFS(Table81[Country],Tabela1[[#This Row],[Country]],Table81[Men''s All-Around Classification],"&gt;0")</f>
        <v>0</v>
      </c>
      <c r="FT100" s="6">
        <f>COUNTIFS(Table81[Country],Tabela1[[#This Row],[Country]],Table81[Women''s All-Around Classification],"&gt;0")</f>
        <v>0</v>
      </c>
      <c r="FU100" s="6">
        <f>COUNTIFS(Table48[Country],Tabela1[[#This Row],[Country]],Table48[Balance Beam Classification],"&gt;0")</f>
        <v>0</v>
      </c>
      <c r="FV100" s="6">
        <f>COUNTIFS(Table47[Country],Tabela1[[#This Row],[Country]],Table47[Floor Exercise Classification],"&gt;0")</f>
        <v>0</v>
      </c>
      <c r="FW100" s="6">
        <f>COUNTIFS(Table48[Country],Tabela1[[#This Row],[Country]],Table48[Floor Exercise Classification],"&gt;0")</f>
        <v>0</v>
      </c>
      <c r="FX100" s="6">
        <f>COUNTIFS(Table47[Country],Tabela1[[#This Row],[Country]],Table47[Horizontal Bar Classification],"&gt;0")</f>
        <v>0</v>
      </c>
      <c r="FY100" s="6">
        <f>COUNTIFS(Table47[Country],Tabela1[[#This Row],[Country]],Table47[Parallel Bars Classification],"&gt;0")</f>
        <v>0</v>
      </c>
      <c r="FZ100" s="6">
        <f>COUNTIFS(Table47[Country],Tabela1[[#This Row],[Country]],Table47[Pommel Horse Classification],"&gt;0")</f>
        <v>0</v>
      </c>
      <c r="GA100" s="6">
        <f>COUNTIFS(Table47[Country],Tabela1[[#This Row],[Country]],Table47[Rings Classification],"&gt;0")</f>
        <v>0</v>
      </c>
      <c r="GB100" s="6">
        <f>COUNTIFS(Tabela132[Country],Tabela1[[#This Row],[Country]],Tabela132[Classification],"&gt;0")</f>
        <v>0</v>
      </c>
      <c r="GC100" s="6">
        <f>COUNTIFS(Tabela139[Country],Tabela1[[#This Row],[Country]],Tabela139[Classification],"&gt;0")</f>
        <v>0</v>
      </c>
      <c r="GD100" s="6">
        <f>COUNTIFS(Table48[Country],Tabela1[[#This Row],[Country]],Table48[Uneven Bars Classification],"&gt;0")</f>
        <v>0</v>
      </c>
      <c r="GE100" s="6">
        <f>COUNTIFS(Table47[Country],Tabela1[[#This Row],[Country]],Table47[Vault Classification],"&gt;0")</f>
        <v>0</v>
      </c>
      <c r="GF100" s="6">
        <f>COUNTIFS(Table48[Country],Tabela1[[#This Row],[Country]],Table48[Vault Classification],"&gt;0")</f>
        <v>0</v>
      </c>
      <c r="GG100" s="6">
        <f>COUNTIFS(Table919496[Country],Tabela1[[#This Row],[Country]],Table919496[Men''s Classification],"&gt;0")</f>
        <v>0</v>
      </c>
      <c r="GH100" s="6">
        <f>COUNTIFS(Table919496[Country],Tabela1[[#This Row],[Country]],Table919496[Women''s Classification],"&gt;0")</f>
        <v>0</v>
      </c>
      <c r="GI100" s="6">
        <f>COUNTIFS(Table12[Country],Tabela1[[#This Row],[Country]],Table12[60kg Classification],"&gt;0")</f>
        <v>0</v>
      </c>
      <c r="GJ100" s="6">
        <f>COUNTIFS(Table12[Country],Tabela1[[#This Row],[Country]],Table12[66kg Classification],"&gt;0")</f>
        <v>0</v>
      </c>
      <c r="GK100" s="6">
        <f>COUNTIFS(Table12[Country],Tabela1[[#This Row],[Country]],Table12[73kg Classification],"&gt;0")</f>
        <v>0</v>
      </c>
      <c r="GL100" s="6">
        <f>COUNTIFS(Table12[Country],Tabela1[[#This Row],[Country]],Table12[81kg Classification],"&gt;0")</f>
        <v>0</v>
      </c>
      <c r="GM100" s="6">
        <f>COUNTIFS(Table12[Country],Tabela1[[#This Row],[Country]],Table12[90kg Classification],"&gt;0")</f>
        <v>0</v>
      </c>
      <c r="GN100" s="6">
        <f>COUNTIFS(Table12[Country],Tabela1[[#This Row],[Country]],Table12[100kg Classification],"&gt;0")</f>
        <v>0</v>
      </c>
      <c r="GO100" s="6">
        <f>COUNTIFS(Table12[Country],Tabela1[[#This Row],[Country]],Table12[Plus 100kg Classification],"&gt;0")</f>
        <v>0</v>
      </c>
      <c r="GP100" s="6">
        <f>COUNTIFS(Table13[Country],Tabela1[[#This Row],[Country]],Table13[48kg Classification],"&gt;0")</f>
        <v>0</v>
      </c>
      <c r="GQ100" s="6">
        <f>COUNTIFS(Table13[Country],Tabela1[[#This Row],[Country]],Table13[52kg Classification],"&gt;0")</f>
        <v>0</v>
      </c>
      <c r="GR100" s="6">
        <f>COUNTIFS(Table13[Country],Tabela1[[#This Row],[Country]],Table13[57kg Classification],"&gt;0")</f>
        <v>0</v>
      </c>
      <c r="GS100" s="6">
        <f>COUNTIFS(Table13[Country],Tabela1[[#This Row],[Country]],Table13[63kg Classification],"&gt;0")</f>
        <v>0</v>
      </c>
      <c r="GT100" s="6">
        <f>COUNTIFS(Table13[Country],Tabela1[[#This Row],[Country]],Table13[70kg Classification],"&gt;0")</f>
        <v>0</v>
      </c>
      <c r="GU100" s="6">
        <f>COUNTIFS(Table13[Country],Tabela1[[#This Row],[Country]],Table13[78kg Classification],"&gt;0")</f>
        <v>0</v>
      </c>
      <c r="GV100" s="6">
        <f>COUNTIFS(Table13[Country],Tabela1[[#This Row],[Country]],Table13[Plus 78kg Classification],"&gt;0")</f>
        <v>0</v>
      </c>
      <c r="GW100" s="6">
        <f>COUNTIFS(Table82[Country],Tabela1[[#This Row],[Country]],Table82[Mixed Classification],"&gt;0")</f>
        <v>0</v>
      </c>
      <c r="GX100" s="6">
        <f>COUNTIFS(Table51[Country],Tabela1[[#This Row],[Country]],Table51[Classification],"&gt;0")</f>
        <v>0</v>
      </c>
      <c r="GY100" s="6">
        <f>COUNTIFS(Table52[Country],Tabela1[[#This Row],[Country]],Table52[Classification],"&gt;0")</f>
        <v>0</v>
      </c>
      <c r="GZ100" s="6">
        <f>COUNTIFS(Table32[Country],Tabela1[[#This Row],[Country]],Table32[All-Around Classification],"&gt;0")</f>
        <v>0</v>
      </c>
      <c r="HA100" s="6">
        <f>COUNTIFS(Table49[Country],Tabela1[[#This Row],[Country]],Table49[All-Around Classification],"&gt;0")</f>
        <v>0</v>
      </c>
      <c r="HB100" s="6">
        <f>COUNTIFS(Table26[Country],Tabela1[[#This Row],[Country]],Table26[Single Sculls Classification],"&gt;0")</f>
        <v>0</v>
      </c>
      <c r="HC100" s="6">
        <f>COUNTIFS(Table63[Country],Tabela1[[#This Row],[Country]],Table63[Single Sculls Classification],"&gt;0")</f>
        <v>0</v>
      </c>
      <c r="HD100" s="6">
        <f>COUNTIFS(Table16[Country],Tabela1[[#This Row],[Country]],Table16[Men''s Double Sculls Classification],"&gt;0")</f>
        <v>0</v>
      </c>
      <c r="HE100" s="6">
        <f>COUNTIFS(Table16[Country],Tabela1[[#This Row],[Country]],Table16[Women''s Double Sculls Classification],"&gt;0")</f>
        <v>0</v>
      </c>
      <c r="HF100" s="6">
        <f>COUNTIFS(Table72[Country],Tabela1[[#This Row],[Country]],Table72[Men''s Quadruple Sculls Classification],"&gt;0")</f>
        <v>0</v>
      </c>
      <c r="HG100" s="6">
        <f>COUNTIFS(Table72[Country],Tabela1[[#This Row],[Country]],Table72[Women''s Quadruple Sculls Classification],"&gt;0")</f>
        <v>0</v>
      </c>
      <c r="HH100" s="6">
        <f>COUNTIFS(Table16[Country],Tabela1[[#This Row],[Country]],Table16[Men''s Coxless Pairs Classification],"&gt;0")</f>
        <v>0</v>
      </c>
      <c r="HI100" s="6">
        <f>COUNTIFS(Table16[Country],Tabela1[[#This Row],[Country]],Table16[Women''s Coxless Pairs Classification],"&gt;0")</f>
        <v>0</v>
      </c>
      <c r="HJ100" s="6">
        <f>COUNTIFS(Table72[Country],Tabela1[[#This Row],[Country]],Table72[Men''s Coxless Fours Classification],"&gt;0")</f>
        <v>0</v>
      </c>
      <c r="HK100" s="6">
        <f>COUNTIFS(Table72[Country],Tabela1[[#This Row],[Country]],Table72[Women''s Coxless Fours Classification],"&gt;0")</f>
        <v>0</v>
      </c>
      <c r="HL100" s="6">
        <f>COUNTIFS(Table72[Country],Tabela1[[#This Row],[Country]],Table72[Men''s Eights Classification],"&gt;0")</f>
        <v>0</v>
      </c>
      <c r="HM100" s="6">
        <f>COUNTIFS(Table72[Country],Tabela1[[#This Row],[Country]],Table72[Women''s Eights Classification],"&gt;0")</f>
        <v>0</v>
      </c>
      <c r="HN100" s="6">
        <f>COUNTIFS(Table16[Country],Tabela1[[#This Row],[Country]],Table16[Men''s Lwt. Double Sculls Classification],"&gt;0")</f>
        <v>0</v>
      </c>
      <c r="HO100" s="6">
        <f>COUNTIFS(Table16[Country],Tabela1[[#This Row],[Country]],Table16[Women''s Lwt. Double Sculls Classification],"&gt;0")</f>
        <v>0</v>
      </c>
      <c r="HP100" s="6">
        <f>COUNTIFS(Table91949698[Country],Tabela1[[#This Row],[Country]],Table91949698[Men''s Classification],"&gt;0")</f>
        <v>0</v>
      </c>
      <c r="HQ100" s="6">
        <f>COUNTIFS(Table91949698[Country],Tabela1[[#This Row],[Country]],Table91949698[Women''s Classification],"&gt;0")</f>
        <v>0</v>
      </c>
      <c r="HR100" s="6">
        <f>COUNTIFS(Table25[Country],Tabela1[[#This Row],[Country]],Table25[Mixed 470 Classification],"&gt;0")</f>
        <v>0</v>
      </c>
      <c r="HS100" s="6">
        <f>COUNTIFS(Table25[Country],Tabela1[[#This Row],[Country]],Table25[Men''s 49er Classification],"&gt;0")</f>
        <v>0</v>
      </c>
      <c r="HT100" s="6">
        <f>COUNTIFS(Table25[Country],Tabela1[[#This Row],[Country]],Table25[Women''s 49er FX Classification],"&gt;0")</f>
        <v>0</v>
      </c>
      <c r="HU100" s="6">
        <f>COUNTIFS(Table17[Country],Tabela1[[#This Row],[Country]],Table17[Formula Kite Classification],"&gt;0")</f>
        <v>0</v>
      </c>
      <c r="HV100" s="6">
        <f>COUNTIFS(Table18[Country],Tabela1[[#This Row],[Country]],Table18[Formula Kite Classification],"&gt;0")</f>
        <v>0</v>
      </c>
      <c r="HW100" s="6">
        <f>COUNTIFS(Table17[Country],Tabela1[[#This Row],[Country]],Table17[ILCA 7 Classification],"&gt;0")</f>
        <v>0</v>
      </c>
      <c r="HX100" s="6">
        <f>COUNTIFS(Table18[Country],Tabela1[[#This Row],[Country]],Table18[ILCA 6 Classification],"&gt;0")</f>
        <v>0</v>
      </c>
      <c r="HY100" s="6">
        <f>COUNTIFS(Table17[Country],Tabela1[[#This Row],[Country]],Table17[IQFoil Classification],"&gt;0")</f>
        <v>0</v>
      </c>
      <c r="HZ100" s="6">
        <f>COUNTIFS(Table18[Country],Tabela1[[#This Row],[Country]],Table18[IQFoil Classification],"&gt;0")</f>
        <v>0</v>
      </c>
      <c r="IA100" s="6">
        <f>COUNTIFS(Table25[Country],Tabela1[[#This Row],[Country]],Table25[Mixed Nacra 17 Classification],"&gt;0")</f>
        <v>0</v>
      </c>
      <c r="IB100" s="6">
        <f>COUNTIFS(Table53[Country],Tabela1[[#This Row],[Country]],Table53[10m Air Pistol Classification],"&gt;0")</f>
        <v>0</v>
      </c>
      <c r="IC100" s="6">
        <f>COUNTIFS(Table19[Country],Tabela1[[#This Row],[Country]],Table19[10m Air Pistol Classification],"&gt;0")</f>
        <v>0</v>
      </c>
      <c r="ID100" s="6">
        <f>COUNTIFS(Table54[Country],Tabela1[[#This Row],[Country]],Table54[Mixed 10m Air Pistol Team Classification],"&gt;0")</f>
        <v>0</v>
      </c>
      <c r="IE100" s="6">
        <f>COUNTIFS(Table53[Country],Tabela1[[#This Row],[Country]],Table53[10m Air Rifle Classification],"&gt;0")</f>
        <v>0</v>
      </c>
      <c r="IF100" s="6">
        <f>COUNTIFS(Table19[Country],Tabela1[[#This Row],[Country]],Table19[10m Air Rifle Classification],"&gt;0")</f>
        <v>0</v>
      </c>
      <c r="IG100" s="6">
        <f>COUNTIFS(Table54[Country],Tabela1[[#This Row],[Country]],Table54[Mixed 10m Air Rifle Team Classification],"&gt;0")</f>
        <v>0</v>
      </c>
      <c r="IH100" s="6">
        <f>COUNTIFS(Table53[Country],Tabela1[[#This Row],[Country]],Table53[25m Rapid Fire Pistol Classification],"&gt;0")</f>
        <v>0</v>
      </c>
      <c r="II100" s="6">
        <f>COUNTIFS(Table19[Country],Tabela1[[#This Row],[Country]],Table19[25m Pistol Classification],"&gt;0")</f>
        <v>0</v>
      </c>
      <c r="IJ100" s="6">
        <f>COUNTIFS(Table53[Country],Tabela1[[#This Row],[Country]],Table53[50m Rifle 3 Positions Classification],"&gt;0")</f>
        <v>0</v>
      </c>
      <c r="IK100" s="6">
        <f>COUNTIFS(Table19[Country],Tabela1[[#This Row],[Country]],Table19[50m Rifle 3 Positions Classification],"&gt;0")</f>
        <v>0</v>
      </c>
      <c r="IL100" s="6">
        <f>COUNTIFS(Table53[Country],Tabela1[[#This Row],[Country]],Table53[Skeet Classification],"&gt;0")</f>
        <v>0</v>
      </c>
      <c r="IM100" s="6">
        <f>COUNTIFS(Table19[Country],Tabela1[[#This Row],[Country]],Table19[Skeet Classification],"&gt;0")</f>
        <v>0</v>
      </c>
      <c r="IN100" s="6">
        <f>COUNTIFS(Table54[Country],Tabela1[[#This Row],[Country]],Table54[Mixed Skeet Team Classification],"&gt;0")</f>
        <v>0</v>
      </c>
      <c r="IO100" s="6">
        <f>COUNTIFS(Table53[Country],Tabela1[[#This Row],[Country]],Table53[Trap Classification],"&gt;0")</f>
        <v>0</v>
      </c>
      <c r="IP100" s="6">
        <f>COUNTIFS(Table19[Country],Tabela1[[#This Row],[Country]],Table19[Trap Classification],"&gt;0")</f>
        <v>0</v>
      </c>
      <c r="IQ100" s="6">
        <f>COUNTIFS(Table73[Country],Tabela1[[#This Row],[Country]],Table73[Park Classification],"&gt;0")</f>
        <v>0</v>
      </c>
      <c r="IR100" s="6">
        <f>COUNTIFS(Table74[Country],Tabela1[[#This Row],[Country]],Table74[Park Classification],"&gt;0")</f>
        <v>0</v>
      </c>
      <c r="IS100" s="6">
        <f>COUNTIFS(Table73[Country],Tabela1[[#This Row],[Country]],Table73[Street Classification],"&gt;0")</f>
        <v>0</v>
      </c>
      <c r="IT100" s="6">
        <f>COUNTIFS(Table74[Country],Tabela1[[#This Row],[Country]],Table74[Street Classification],"&gt;0")</f>
        <v>0</v>
      </c>
      <c r="IU100" s="6">
        <f>COUNTIFS(Table75[Country],Tabela1[[#This Row],[Country]],Table75[Boulder and Lead Classification],"&gt;0")</f>
        <v>0</v>
      </c>
      <c r="IV100" s="6">
        <f>COUNTIFS(Table76[Country],Tabela1[[#This Row],[Country]],Table76[Boulder and Lead Classification],"&gt;0")</f>
        <v>0</v>
      </c>
      <c r="IW100" s="6">
        <f>COUNTIFS(Table75[Country],Tabela1[[#This Row],[Country]],Table75[Speed Classification],"&gt;0")</f>
        <v>0</v>
      </c>
      <c r="IX100" s="6">
        <f>COUNTIFS(Table76[Country],Tabela1[[#This Row],[Country]],Table76[Speed Classification],"&gt;0")</f>
        <v>0</v>
      </c>
      <c r="IY100" s="6">
        <f>COUNTIFS(Table64[Country],Tabela1[[#This Row],[Country]],Table64[Shortboard Classification],"&gt;0")</f>
        <v>0</v>
      </c>
      <c r="IZ100" s="6">
        <f>COUNTIFS(Table77[Country],Tabela1[[#This Row],[Country]],Table77[Shortboard Classification],"&gt;0")</f>
        <v>0</v>
      </c>
      <c r="JA100" s="6">
        <f>COUNTIFS(Table20[Country],Tabela1[[#This Row],[Country]],Table20[50m Freestyle Classification],"&gt;0")</f>
        <v>0</v>
      </c>
      <c r="JB100" s="6">
        <f>COUNTIFS(Table21[Country],Tabela1[[#This Row],[Country]],Table21[50m Freestyle Classification],"&gt;0")</f>
        <v>0</v>
      </c>
      <c r="JC100" s="6">
        <f>COUNTIFS(Table20[Country],Tabela1[[#This Row],[Country]],Table20[100m Freestyle Classification],"&gt;0")</f>
        <v>0</v>
      </c>
      <c r="JD100" s="6">
        <f>COUNTIFS(Table21[Country],Tabela1[[#This Row],[Country]],Table21[100m Freestyle Classification],"&gt;0")</f>
        <v>0</v>
      </c>
      <c r="JE100" s="6">
        <f>COUNTIFS(Table20[Country],Tabela1[[#This Row],[Country]],Table20[200m Freestyle Classification],"&gt;0")</f>
        <v>0</v>
      </c>
      <c r="JF100" s="6">
        <f>COUNTIFS(Table21[Country],Tabela1[[#This Row],[Country]],Table21[200m Freestyle Classification],"&gt;0")</f>
        <v>0</v>
      </c>
      <c r="JG100" s="6">
        <f>COUNTIFS(Table20[Country],Tabela1[[#This Row],[Country]],Table20[400m Freestyle Classification],"&gt;0")</f>
        <v>0</v>
      </c>
      <c r="JH100" s="6">
        <f>COUNTIFS(Table21[Country],Tabela1[[#This Row],[Country]],Table21[400m Freestyle Classification],"&gt;0")</f>
        <v>0</v>
      </c>
      <c r="JI100" s="6">
        <f>COUNTIFS(Table20[Country],Tabela1[[#This Row],[Country]],Table20[800m Freestyle Classification],"&gt;0")</f>
        <v>0</v>
      </c>
      <c r="JJ100" s="6">
        <f>COUNTIFS(Table21[Country],Tabela1[[#This Row],[Country]],Table21[800m Freestyle Classification],"&gt;0")</f>
        <v>0</v>
      </c>
      <c r="JK100" s="6">
        <f>COUNTIFS(Table20[Country],Tabela1[[#This Row],[Country]],Table20[1500m Freestyle Classification],"&gt;0")</f>
        <v>0</v>
      </c>
      <c r="JL100" s="6">
        <f>COUNTIFS(Table21[Country],Tabela1[[#This Row],[Country]],Table21[1500m Freestyle Classification],"&gt;0")</f>
        <v>0</v>
      </c>
      <c r="JM100" s="6">
        <f>COUNTIFS(Table20[Country],Tabela1[[#This Row],[Country]],Table20[100m Backstroke Classification],"&gt;0")</f>
        <v>0</v>
      </c>
      <c r="JN100" s="6">
        <f>COUNTIFS(Table21[Country],Tabela1[[#This Row],[Country]],Table21[100m Backstroke Classification],"&gt;0")</f>
        <v>0</v>
      </c>
      <c r="JO100" s="6">
        <f>COUNTIFS(Table20[Country],Tabela1[[#This Row],[Country]],Table20[200m Backstroke Classification],"&gt;0")</f>
        <v>0</v>
      </c>
      <c r="JP100" s="6">
        <f>COUNTIFS(Table21[Country],Tabela1[[#This Row],[Country]],Table21[200m Backstroke Classification],"&gt;0")</f>
        <v>0</v>
      </c>
      <c r="JQ100" s="6">
        <f>COUNTIFS(Table20[Country],Tabela1[[#This Row],[Country]],Table20[100m Breaststroke Classification],"&gt;0")</f>
        <v>0</v>
      </c>
      <c r="JR100" s="6">
        <f>COUNTIFS(Table21[Country],Tabela1[[#This Row],[Country]],Table21[100m Breaststroke Classification],"&gt;0")</f>
        <v>0</v>
      </c>
      <c r="JS100" s="6">
        <f>COUNTIFS(Table20[Country],Tabela1[[#This Row],[Country]],Table20[200m Breaststroke Classification],"&gt;0")</f>
        <v>0</v>
      </c>
      <c r="JT100" s="6">
        <f>COUNTIFS(Table21[Country],Tabela1[[#This Row],[Country]],Table21[200m Breaststroke Classification],"&gt;0")</f>
        <v>0</v>
      </c>
      <c r="JU100" s="6">
        <f>COUNTIFS(Table20[Country],Tabela1[[#This Row],[Country]],Table20[100m Butterfly Classification],"&gt;0")</f>
        <v>0</v>
      </c>
      <c r="JV100" s="6">
        <f>COUNTIFS(Table21[Country],Tabela1[[#This Row],[Country]],Table21[100m Butterfly Classification],"&gt;0")</f>
        <v>0</v>
      </c>
      <c r="JW100" s="6">
        <f>COUNTIFS(Table20[Country],Tabela1[[#This Row],[Country]],Table20[200m Butterfly Classification],"&gt;0")</f>
        <v>0</v>
      </c>
      <c r="JX100" s="6">
        <f>COUNTIFS(Table21[Country],Tabela1[[#This Row],[Country]],Table21[200m Butterfly Classification],"&gt;0")</f>
        <v>0</v>
      </c>
      <c r="JY100" s="6">
        <f>COUNTIFS(Table20[Country],Tabela1[[#This Row],[Country]],Table20[200m Medley Classification],"&gt;0")</f>
        <v>0</v>
      </c>
      <c r="JZ100" s="6">
        <f>COUNTIFS(Table21[Country],Tabela1[[#This Row],[Country]],Table21[200m Medley Classification],"&gt;0")</f>
        <v>0</v>
      </c>
      <c r="KA100" s="6">
        <f>COUNTIFS(Table20[Country],Tabela1[[#This Row],[Country]],Table20[400m Medley Classification],"&gt;0")</f>
        <v>0</v>
      </c>
      <c r="KB100" s="6">
        <f>COUNTIFS(Table21[Country],Tabela1[[#This Row],[Country]],Table21[400m Medley Classification],"&gt;0")</f>
        <v>0</v>
      </c>
      <c r="KC100" s="6">
        <f>COUNTIFS(Table78[Country],Tabela1[[#This Row],[Country]],Table78[Men''s 4x100m Freestyle Relay Classification],"&gt;0")</f>
        <v>0</v>
      </c>
      <c r="KD100" s="6">
        <f>COUNTIFS(Table78[Country],Tabela1[[#This Row],[Country]],Table78[Women''s 4x100m Freestyle Relay Classification],"&gt;0")</f>
        <v>0</v>
      </c>
      <c r="KE100" s="6">
        <f>COUNTIFS(Table78[Country],Tabela1[[#This Row],[Country]],Table78[Men''s 4x200m Freestyle Relay Classification],"&gt;0")</f>
        <v>0</v>
      </c>
      <c r="KF100" s="6">
        <f>COUNTIFS(Table78[Country],Tabela1[[#This Row],[Country]],Table78[Women''s 4x200m Freestyle Relay Classification],"&gt;0")</f>
        <v>0</v>
      </c>
      <c r="KG100" s="6">
        <f>COUNTIFS(Table78[Country],Tabela1[[#This Row],[Country]],Table78[Men''s 4x100m Medley Relay Classification],"&gt;0")</f>
        <v>0</v>
      </c>
      <c r="KH100" s="6">
        <f>COUNTIFS(Table78[Country],Tabela1[[#This Row],[Country]],Table78[Women''s 4x100m Medley Relay Classification],"&gt;0")</f>
        <v>0</v>
      </c>
      <c r="KI100" s="6">
        <f>COUNTIFS(Table78[Country],Tabela1[[#This Row],[Country]],Table78[Mixed 4x100m Medley Relay Classification],"&gt;0")</f>
        <v>0</v>
      </c>
      <c r="KJ100" s="6">
        <f>COUNTIFS(Table20[Country],Tabela1[[#This Row],[Country]],Table20[10km Open Water Classification],"&gt;0")</f>
        <v>0</v>
      </c>
      <c r="KK100" s="6">
        <f>COUNTIFS(Table21[Country],Tabela1[[#This Row],[Country]],Table21[10km Open Water Classification],"&gt;0")</f>
        <v>0</v>
      </c>
      <c r="KL100" s="6">
        <f>COUNTIFS(Table22[Country],Tabela1[[#This Row],[Country]],Table22[Classification],"&gt;0")</f>
        <v>0</v>
      </c>
      <c r="KM100" s="6">
        <f>COUNTIFS(Table30[Country],Tabela1[[#This Row],[Country]],Table30[Classification],"&gt;0")</f>
        <v>0</v>
      </c>
      <c r="KN100" s="6">
        <f>COUNTIFS(Table55[Country],Tabela1[[#This Row],[Country]],Table55[Men''s Classification],"&gt;0")</f>
        <v>0</v>
      </c>
      <c r="KO100" s="6">
        <f>COUNTIFS(Table55[Country],Tabela1[[#This Row],[Country]],Table55[Women''s Classification],"&gt;0")</f>
        <v>0</v>
      </c>
      <c r="KP100" s="6">
        <f>COUNTIFS(Table56[Country],Tabela1[[#This Row],[Country]],Table56[Mixed Classification],"&gt;0")</f>
        <v>0</v>
      </c>
      <c r="KQ100" s="6">
        <f>COUNTIFS(Table29[Country],Tabela1[[#This Row],[Country]],Table29[58kg Classification],"&gt;0")</f>
        <v>0</v>
      </c>
      <c r="KR100" s="6">
        <f>COUNTIFS(Table29[Country],Tabela1[[#This Row],[Country]],Table29[68kg Classification],"&gt;0")</f>
        <v>0</v>
      </c>
      <c r="KS100" s="6">
        <f>COUNTIFS(Table29[Country],Tabela1[[#This Row],[Country]],Table29[80kg Classification],"&gt;0")</f>
        <v>0</v>
      </c>
      <c r="KT100" s="6">
        <f>COUNTIFS(Table29[Country],Tabela1[[#This Row],[Country]],Table29[Plus 80kg Classification],"&gt;0")</f>
        <v>0</v>
      </c>
      <c r="KU100" s="6">
        <f>COUNTIFS(Table34[Country],Tabela1[[#This Row],[Country]],Table34[49kg Classification],"&gt;0")</f>
        <v>0</v>
      </c>
      <c r="KV100" s="6">
        <f>COUNTIFS(Table34[Country],Tabela1[[#This Row],[Country]],Table34[57kg Classification],"&gt;0")</f>
        <v>0</v>
      </c>
      <c r="KW100" s="6">
        <f>COUNTIFS(Table34[Country],Tabela1[[#This Row],[Country]],Table34[67kg Classification],"&gt;0")</f>
        <v>0</v>
      </c>
      <c r="KX100" s="6">
        <f>COUNTIFS(Table34[Country],Tabela1[[#This Row],[Country]],Table34[Plus 67kg Classification],"&gt;0")</f>
        <v>0</v>
      </c>
      <c r="KY100" s="6">
        <f>COUNTIFS(Table57[Country],Tabela1[[#This Row],[Country]],Table57[Classification],"&gt;0")</f>
        <v>0</v>
      </c>
      <c r="KZ100" s="6">
        <f>COUNTIFS(Table58[Country],Tabela1[[#This Row],[Country]],Table58[Classification],"&gt;0")</f>
        <v>0</v>
      </c>
      <c r="LA100" s="6">
        <f>COUNTIFS(Table79[Country],Tabela1[[#This Row],[Country]],Table79[Men''s Classification],"&gt;0")</f>
        <v>0</v>
      </c>
      <c r="LB100" s="6">
        <f>COUNTIFS(Table79[Country],Tabela1[[#This Row],[Country]],Table79[Women''s Classification],"&gt;0")</f>
        <v>0</v>
      </c>
      <c r="LC100" s="6">
        <f>COUNTIFS(Table79[Country],Tabela1[[#This Row],[Country]],Table79[Mixed Classification],"&gt;0")</f>
        <v>0</v>
      </c>
      <c r="LD100" s="6">
        <f>COUNTIFS(Table65[Country],Tabela1[[#This Row],[Country]],Table65[Classification],"&gt;0")</f>
        <v>0</v>
      </c>
      <c r="LE100" s="6">
        <f>COUNTIFS(Table59[Country],Tabela1[[#This Row],[Country]],Table59[Classification],"&gt;0")</f>
        <v>0</v>
      </c>
      <c r="LF100" s="6">
        <f>COUNTIFS(Table87[Country],Tabela1[[#This Row],[Country]],Table87[Mixed Relay Classification],"&gt;0")</f>
        <v>0</v>
      </c>
      <c r="LG100" s="6">
        <f>COUNTIFS(Table91949698100[Country],Tabela1[[#This Row],[Country]],Table91949698100[Men''s Classification],"&gt;0")</f>
        <v>0</v>
      </c>
      <c r="LH100" s="6">
        <f>COUNTIFS(Table91949698100[Country],Tabela1[[#This Row],[Country]],Table91949698100[Women''s Classification],"&gt;0")</f>
        <v>0</v>
      </c>
      <c r="LI100" s="6">
        <f>COUNTIFS(Table91949698100102[Country],Tabela1[[#This Row],[Country]],Table91949698100102[Men''s Classification],"&gt;0")</f>
        <v>0</v>
      </c>
      <c r="LJ100" s="6">
        <f>COUNTIFS(Table91949698100102[Country],Tabela1[[#This Row],[Country]],Table91949698100102[Women''s Classification],"&gt;0")</f>
        <v>0</v>
      </c>
      <c r="LK100" s="6">
        <f>COUNTIFS(Table23[Country],Tabela1[[#This Row],[Country]],Table23[61kg Classification],"&gt;0")</f>
        <v>0</v>
      </c>
      <c r="LL100" s="6">
        <f>COUNTIFS(Table23[Country],Tabela1[[#This Row],[Country]],Table23[73kg Classification],"&gt;0")</f>
        <v>0</v>
      </c>
      <c r="LM100" s="6">
        <f>COUNTIFS(Table23[Country],Tabela1[[#This Row],[Country]],Table23[89kg Classification],"&gt;0")</f>
        <v>0</v>
      </c>
      <c r="LN100" s="6">
        <f>COUNTIFS(Table23[Country],Tabela1[[#This Row],[Country]],Table23[102kg Classification],"&gt;0")</f>
        <v>0</v>
      </c>
      <c r="LO100" s="6">
        <f>COUNTIFS(Table23[Country],Tabela1[[#This Row],[Country]],Table23[Plus 102kg Classification],"&gt;0")</f>
        <v>0</v>
      </c>
      <c r="LP100" s="6">
        <f>COUNTIFS(Table28[Country],Tabela1[[#This Row],[Country]],Table28[49kg Classification],"&gt;0")</f>
        <v>0</v>
      </c>
      <c r="LQ100" s="6">
        <f>COUNTIFS(Table28[Country],Tabela1[[#This Row],[Country]],Table28[59kg Classification],"&gt;0")</f>
        <v>0</v>
      </c>
      <c r="LR100" s="6">
        <f>COUNTIFS(Table28[Country],Tabela1[[#This Row],[Country]],Table28[71kg Classification],"&gt;0")</f>
        <v>0</v>
      </c>
      <c r="LS100" s="6">
        <f>COUNTIFS(Table28[Country],Tabela1[[#This Row],[Country]],Table28[81kg Classification],"&gt;0")</f>
        <v>0</v>
      </c>
      <c r="LT100" s="6">
        <f>COUNTIFS(Table28[Country],Tabela1[[#This Row],[Country]],Table28[Plus 81kg Classification],"&gt;0")</f>
        <v>0</v>
      </c>
      <c r="LU100" s="6">
        <f>COUNTIFS(Table24[Country],Tabela1[[#This Row],[Country]],Table24[Freestyle 57kg Classification],"&gt;0")</f>
        <v>0</v>
      </c>
      <c r="LV100" s="6">
        <f>COUNTIFS(Table24[Country],Tabela1[[#This Row],[Country]],Table24[Freestyle 65kg Classification],"&gt;0")</f>
        <v>0</v>
      </c>
      <c r="LW100" s="6">
        <f>COUNTIFS(Table24[Country],Tabela1[[#This Row],[Country]],Table24[Freestyle 74kg Classification],"&gt;0")</f>
        <v>0</v>
      </c>
      <c r="LX100" s="6">
        <f>COUNTIFS(Table24[Country],Tabela1[[#This Row],[Country]],Table24[Freestyle 86kg Classification],"&gt;0")</f>
        <v>0</v>
      </c>
      <c r="LY100" s="6">
        <f>COUNTIFS(Table24[Country],Tabela1[[#This Row],[Country]],Table24[Freestyle 97kg Classification],"&gt;0")</f>
        <v>0</v>
      </c>
      <c r="LZ100" s="6">
        <f>COUNTIFS(Table24[Country],Tabela1[[#This Row],[Country]],Table24[Freestyle 125kg Classification],"&gt;0")</f>
        <v>0</v>
      </c>
      <c r="MA100" s="6">
        <f>COUNTIFS(Table24[Country],Tabela1[[#This Row],[Country]],Table24[Greco-Roman 60kg Classification],"&gt;0")</f>
        <v>0</v>
      </c>
      <c r="MB100" s="6">
        <f>COUNTIFS(Table24[Country],Tabela1[[#This Row],[Country]],Table24[Greco-Roman 67kg Classification],"&gt;0")</f>
        <v>0</v>
      </c>
      <c r="MC100" s="6">
        <f>COUNTIFS(Table24[Country],Tabela1[[#This Row],[Country]],Table24[Greco-Roman 77kg Classification],"&gt;0")</f>
        <v>0</v>
      </c>
      <c r="MD100" s="6">
        <f>COUNTIFS(Table24[Country],Tabela1[[#This Row],[Country]],Table24[Greco-Roman 87kg Classification],"&gt;0")</f>
        <v>0</v>
      </c>
      <c r="ME100" s="6">
        <f>COUNTIFS(Table24[Country],Tabela1[[#This Row],[Country]],Table24[Greco-Roman 97kg Classification],"&gt;0")</f>
        <v>0</v>
      </c>
      <c r="MF100" s="6">
        <f>COUNTIFS(Table24[Country],Tabela1[[#This Row],[Country]],Table24[Greco-Roman 130kg Classification],"&gt;0")</f>
        <v>0</v>
      </c>
      <c r="MG100" s="6">
        <f>COUNTIFS(Table31[Country],Tabela1[[#This Row],[Country]],Table31[50kg Classification],"&gt;0")</f>
        <v>0</v>
      </c>
      <c r="MH100" s="6">
        <f>COUNTIFS(Table31[Country],Tabela1[[#This Row],[Country]],Table31[53kg Classification],"&gt;0")</f>
        <v>0</v>
      </c>
      <c r="MI100" s="6">
        <f>COUNTIFS(Table31[Country],Tabela1[[#This Row],[Country]],Table31[57kg Classification],"&gt;0")</f>
        <v>0</v>
      </c>
      <c r="MJ100" s="6">
        <f>COUNTIFS(Table31[Country],Tabela1[[#This Row],[Country]],Table31[62kg Classification],"&gt;0")</f>
        <v>0</v>
      </c>
      <c r="MK100" s="6">
        <f>COUNTIFS(Table31[Country],Tabela1[[#This Row],[Country]],Table31[68kg Classification],"&gt;0")</f>
        <v>0</v>
      </c>
      <c r="ML100" s="6">
        <f>COUNTIFS(Table31[Country],Tabela1[[#This Row],[Country]],Table31[76kg Classification],"&gt;0")</f>
        <v>0</v>
      </c>
      <c r="MM100" s="6">
        <f>COUNTIFS(Table102[Country],Tabela1[[#This Row],[Country]],Table102[Downhill Classification],"&gt;0")</f>
        <v>0</v>
      </c>
      <c r="MN100" s="6">
        <f>COUNTIFS(Table102105[Country],Tabela1[[#This Row],[Country]],Table102105[Downhill Classification],"&gt;0")</f>
        <v>0</v>
      </c>
      <c r="MO100" s="6">
        <f>COUNTIFS(Table102[Country],Tabela1[[#This Row],[Country]],Table102[Giant Slalom Classification],"&gt;0")</f>
        <v>0</v>
      </c>
      <c r="MP100" s="6">
        <f>COUNTIFS(Table102105[Country],Tabela1[[#This Row],[Country]],Table102105[Giant Slalom Classification],"&gt;0")</f>
        <v>0</v>
      </c>
      <c r="MQ100" s="6">
        <f>COUNTIFS(Table102[Country],Tabela1[[#This Row],[Country]],Table102[Slalom Classification],"&gt;0")</f>
        <v>0</v>
      </c>
      <c r="MR100" s="6">
        <f>COUNTIFS(Table102105[Country],Tabela1[[#This Row],[Country]],Table102105[Slalom Classification],"&gt;0")</f>
        <v>0</v>
      </c>
      <c r="MS100" s="6">
        <f>COUNTIFS(Table102[Country],Tabela1[[#This Row],[Country]],Table102[Super-G Classification],"&gt;0")</f>
        <v>0</v>
      </c>
      <c r="MT100" s="6">
        <f>COUNTIFS(Table102105[Country],Tabela1[[#This Row],[Country]],Table102105[Super-G Classification],"&gt;0")</f>
        <v>0</v>
      </c>
      <c r="MU100" s="6">
        <f>COUNTIFS(Table105[Country],Tabela1[[#This Row],[Country]],Table105[Men''s Combined Classification],"&gt;0")</f>
        <v>0</v>
      </c>
      <c r="MV100" s="6">
        <f>COUNTIFS(Table105[Country],Tabela1[[#This Row],[Country]],Table105[Women''s Combined Classification],"&gt;0")</f>
        <v>0</v>
      </c>
      <c r="MW100" s="6">
        <f>COUNTIFS(Table106[Country],Tabela1[[#This Row],[Country]],Table106[Individual Classification],"&gt;0")</f>
        <v>0</v>
      </c>
      <c r="MX100" s="6">
        <f>COUNTIFS(Table106109[Country],Tabela1[[#This Row],[Country]],Table106109[Individual Classification],"&gt;0")</f>
        <v>0</v>
      </c>
      <c r="MY100" s="6">
        <f>COUNTIFS(Table106[Country],Tabela1[[#This Row],[Country]],Table106[Mass Start Classification],"&gt;0")</f>
        <v>0</v>
      </c>
      <c r="MZ100" s="6">
        <f>COUNTIFS(Table106109[Country],Tabela1[[#This Row],[Country]],Table106109[Mass Start Classification],"&gt;0")</f>
        <v>0</v>
      </c>
      <c r="NA100" s="6">
        <f>COUNTIFS(Table106[Country],Tabela1[[#This Row],[Country]],Table106[Pursuit Classification],"&gt;0")</f>
        <v>0</v>
      </c>
      <c r="NB100" s="6">
        <f>COUNTIFS(Table106109[Country],Tabela1[[#This Row],[Country]],Table106109[Pursuit Classification],"&gt;0")</f>
        <v>0</v>
      </c>
      <c r="NC100" s="6">
        <f>COUNTIFS(Table106[Country],Tabela1[[#This Row],[Country]],Table106[Sprint Classification],"&gt;0")</f>
        <v>0</v>
      </c>
      <c r="ND100" s="6">
        <f>COUNTIFS(Table106109[Country],Tabela1[[#This Row],[Country]],Table106109[Sprint Classification],"&gt;0")</f>
        <v>0</v>
      </c>
      <c r="NE100" s="6">
        <f>COUNTIFS(Table109[Country],Tabela1[[#This Row],[Country]],Table109[Men''s Relay Classification],"&gt;0")</f>
        <v>0</v>
      </c>
      <c r="NF100" s="6">
        <f>COUNTIFS(Table109[Country],Tabela1[[#This Row],[Country]],Table109[Women''s Relay Classification],"&gt;0")</f>
        <v>0</v>
      </c>
      <c r="NG100" s="6">
        <f>COUNTIFS(Table109[Country],Tabela1[[#This Row],[Country]],Table109[Mixed Relay Classification],"&gt;0")</f>
        <v>0</v>
      </c>
      <c r="NH100" s="6">
        <f>COUNTIFS(Table110[Country],Tabela1[[#This Row],[Country]],Table110[Monobob Classification],"&gt;0")</f>
        <v>0</v>
      </c>
      <c r="NI100" s="6">
        <f>COUNTIFS(Table111[Country],Tabela1[[#This Row],[Country]],Table111[Men''s Classification],"&gt;0")</f>
        <v>0</v>
      </c>
      <c r="NJ100" s="6">
        <f>COUNTIFS(Table111[Country],Tabela1[[#This Row],[Country]],Table111[Women''s Classification],"&gt;0")</f>
        <v>0</v>
      </c>
      <c r="NK100" s="6">
        <f>COUNTIFS(Table112[Country],Tabela1[[#This Row],[Country]],Table112[Men''s Four Classification],"&gt;0")</f>
        <v>0</v>
      </c>
      <c r="NL100" s="6">
        <f>COUNTIFS(Table113[Country],Tabela1[[#This Row],[Country]],Table113[Classical Classification],"&gt;0")</f>
        <v>0</v>
      </c>
      <c r="NM100" s="6">
        <f>COUNTIFS(Table113116[Country],Tabela1[[#This Row],[Country]],Table113116[Classical Classification],"&gt;0")</f>
        <v>0</v>
      </c>
      <c r="NN100" s="6">
        <f>COUNTIFS(Table113[Country],Tabela1[[#This Row],[Country]],Table113[Freestyle Classification],"&gt;0")</f>
        <v>0</v>
      </c>
      <c r="NO100" s="6">
        <f>COUNTIFS(Table113116[Country],Tabela1[[#This Row],[Country]],Table113116[Freestyle Classification],"&gt;0")</f>
        <v>0</v>
      </c>
      <c r="NP100" s="6">
        <f>COUNTIFS(Table117[Country],Tabela1[[#This Row],[Country]],Table117[Men''s Relay Classification],"&gt;0")</f>
        <v>0</v>
      </c>
      <c r="NQ100" s="6">
        <f>COUNTIFS(Table117[Country],Tabela1[[#This Row],[Country]],Table117[Women''s Relay Classification],"&gt;0")</f>
        <v>0</v>
      </c>
      <c r="NR100" s="6">
        <f>COUNTIFS(Table113[Country],Tabela1[[#This Row],[Country]],Table113[Skiathlon Classification],"&gt;0")</f>
        <v>0</v>
      </c>
      <c r="NS100" s="6">
        <f>COUNTIFS(Table113116[Country],Tabela1[[#This Row],[Country]],Table113116[Skiathlon Classification],"&gt;0")</f>
        <v>0</v>
      </c>
      <c r="NT100" s="6">
        <f>COUNTIFS(Table113[Country],Tabela1[[#This Row],[Country]],Table113[Sprint Classification],"&gt;0")</f>
        <v>0</v>
      </c>
      <c r="NU100" s="6">
        <f>COUNTIFS(Table113116[Country],Tabela1[[#This Row],[Country]],Table113116[Sprint Classification],"&gt;0")</f>
        <v>0</v>
      </c>
      <c r="NV100" s="6">
        <f>COUNTIFS(Table116[Country],Tabela1[[#This Row],[Country]],Table116[Men''s Team Sprint Classification],"&gt;0")</f>
        <v>0</v>
      </c>
      <c r="NW100" s="6">
        <f>COUNTIFS(Table116[Country],Tabela1[[#This Row],[Country]],Table116[Women''s Team Sprint Classification],"&gt;0")</f>
        <v>0</v>
      </c>
      <c r="NX100" s="6">
        <f>COUNTIFS(Table119[Country],Tabela1[[#This Row],[Country]],Table119[Men''s Classification],"&gt;0")</f>
        <v>0</v>
      </c>
      <c r="NY100" s="6">
        <f>COUNTIFS(Table119[Country],Tabela1[[#This Row],[Country]],Table119[Women''s Classification],"&gt;0")</f>
        <v>0</v>
      </c>
      <c r="NZ100" s="6">
        <f>COUNTIFS(Table118[Country],Tabela1[[#This Row],[Country]],Table118[Mixed Classification],"&gt;0")</f>
        <v>0</v>
      </c>
      <c r="OA100" s="6">
        <f>COUNTIFS(Table120[Country],Tabela1[[#This Row],[Country]],Table120[Classification],"&gt;0")</f>
        <v>0</v>
      </c>
      <c r="OB100" s="6">
        <f>COUNTIFS(Table120123[Country],Tabela1[[#This Row],[Country]],Table120123[Classification],"&gt;0")</f>
        <v>0</v>
      </c>
      <c r="OC100" s="6">
        <f>COUNTIFS(Table123[Country],Tabela1[[#This Row],[Country]],Table123[Ice Dance Classification],"&gt;0")</f>
        <v>0</v>
      </c>
      <c r="OD100" s="6">
        <f>COUNTIFS(Table123[Country],Tabela1[[#This Row],[Country]],Table123[Pair Skating Classification],"&gt;0")</f>
        <v>0</v>
      </c>
      <c r="OE100" s="6">
        <f>COUNTIFS(Table124[Country],Tabela1[[#This Row],[Country]],Table124[Mixed Classification],"&gt;0")</f>
        <v>0</v>
      </c>
      <c r="OF100" s="6">
        <f>COUNTIFS(Table125[Country],Tabela1[[#This Row],[Country]],Table125[Aerials Classification],"&gt;0")</f>
        <v>0</v>
      </c>
      <c r="OG100" s="6">
        <f>COUNTIFS(Table125128[Country],Tabela1[[#This Row],[Country]],Table125128[Aerials Classification],"&gt;0")</f>
        <v>0</v>
      </c>
      <c r="OH100" s="6">
        <f>COUNTIFS(Table128[Country],Tabela1[[#This Row],[Country]],Table128[Mixed Aerials Classification],"&gt;0")</f>
        <v>0</v>
      </c>
      <c r="OI100" s="6">
        <f>COUNTIFS(Table125[Country],Tabela1[[#This Row],[Country]],Table125[Big Air Classification],"&gt;0")</f>
        <v>0</v>
      </c>
      <c r="OJ100" s="6">
        <f>COUNTIFS(Table125128[Country],Tabela1[[#This Row],[Country]],Table125128[Big Air Classification],"&gt;0")</f>
        <v>0</v>
      </c>
      <c r="OK100" s="6">
        <f>COUNTIFS(Table125[Country],Tabela1[[#This Row],[Country]],Table125[Dual Moguls Classification],"&gt;0")</f>
        <v>0</v>
      </c>
      <c r="OL100" s="6">
        <f>COUNTIFS(Table125128[Country],Tabela1[[#This Row],[Country]],Table125128[Dual Moguls Classification],"&gt;0")</f>
        <v>0</v>
      </c>
      <c r="OM100" s="6">
        <f>COUNTIFS(Table125[Country],Tabela1[[#This Row],[Country]],Table125[Halfpipe Classification],"&gt;0")</f>
        <v>0</v>
      </c>
      <c r="ON100" s="6">
        <f>COUNTIFS(Table125128[Country],Tabela1[[#This Row],[Country]],Table125128[Halfpipe Classification],"&gt;0")</f>
        <v>0</v>
      </c>
      <c r="OO100" s="6">
        <f>COUNTIFS(Table125[Country],Tabela1[[#This Row],[Country]],Table125[Moguls Classification],"&gt;0")</f>
        <v>0</v>
      </c>
      <c r="OP100" s="6">
        <f>COUNTIFS(Table125128[Country],Tabela1[[#This Row],[Country]],Table125128[Moguls Classification],"&gt;0")</f>
        <v>0</v>
      </c>
      <c r="OQ100" s="6">
        <f>COUNTIFS(Table125[Country],Tabela1[[#This Row],[Country]],Table125[Ski Cross Classification],"&gt;0")</f>
        <v>0</v>
      </c>
      <c r="OR100" s="6">
        <f>COUNTIFS(Table125128[Country],Tabela1[[#This Row],[Country]],Table125128[Ski Cross Classification],"&gt;0")</f>
        <v>0</v>
      </c>
      <c r="OS100" s="6">
        <f>COUNTIFS(Table125[Country],Tabela1[[#This Row],[Country]],Table125[Slopestyle Classification],"&gt;0")</f>
        <v>0</v>
      </c>
      <c r="OT100" s="6">
        <f>COUNTIFS(Table125128[Country],Tabela1[[#This Row],[Country]],Table125128[Slopestyle Classification],"&gt;0")</f>
        <v>0</v>
      </c>
      <c r="OU100" s="6">
        <f>COUNTIFS(Table119131[Country],Tabela1[[#This Row],[Country]],Table119131[Men''s Classification],"&gt;0")</f>
        <v>0</v>
      </c>
      <c r="OV100" s="6">
        <f>COUNTIFS(Table119131[Country],Tabela1[[#This Row],[Country]],Table119131[Women''s Classification],"&gt;0")</f>
        <v>0</v>
      </c>
      <c r="OW100" s="6">
        <f>COUNTIFS(Table131[Country],Tabela1[[#This Row],[Country]],Table131[Classification],"&gt;0")</f>
        <v>0</v>
      </c>
      <c r="OX100" s="6">
        <f>COUNTIFS(Table131134[Country],Tabela1[[#This Row],[Country]],Table131134[Classification],"&gt;0")</f>
        <v>0</v>
      </c>
      <c r="OY100" s="6">
        <f>COUNTIFS(Table134[Country],Tabela1[[#This Row],[Country]],Table134[Men''s Classification],"&gt;0")</f>
        <v>0</v>
      </c>
      <c r="OZ100" s="6">
        <f>COUNTIFS(Table134[Country],Tabela1[[#This Row],[Country]],Table134[Women''s Classification],"&gt;0")</f>
        <v>0</v>
      </c>
      <c r="PA100" s="6">
        <f>COUNTIFS(Table135[Country],Tabela1[[#This Row],[Country]],Table135[Mixed Relay Classification],"&gt;0")</f>
        <v>0</v>
      </c>
      <c r="PB100" s="6">
        <f>COUNTIFS(Table136[Country],Tabela1[[#This Row],[Country]],Table136[Individual Classification],"&gt;0")</f>
        <v>0</v>
      </c>
      <c r="PC100" s="6">
        <f>COUNTIFS(Table136[Country],Tabela1[[#This Row],[Country]],Table136[Sprint Classification],"&gt;0")</f>
        <v>0</v>
      </c>
      <c r="PD100" s="6">
        <f>COUNTIFS(Table137[Country],Tabela1[[#This Row],[Country]],Table137[Men''s Team Sprint Large Hill Classification],"&gt;0")</f>
        <v>0</v>
      </c>
      <c r="PE100" s="6">
        <f>COUNTIFS(Table138[Country],Tabela1[[#This Row],[Country]],Table138[500m Classification],"&gt;0")</f>
        <v>0</v>
      </c>
      <c r="PF100" s="6">
        <f>COUNTIFS(Table138141[Country],Tabela1[[#This Row],[Country]],Table138141[500m Classification],"&gt;0")</f>
        <v>0</v>
      </c>
      <c r="PG100" s="6">
        <f>COUNTIFS(Table138[Country],Tabela1[[#This Row],[Country]],Table138[1000m Classification],"&gt;0")</f>
        <v>0</v>
      </c>
      <c r="PH100" s="6">
        <f>COUNTIFS(Table138141[Country],Tabela1[[#This Row],[Country]],Table138141[1000m Classification],"&gt;0")</f>
        <v>0</v>
      </c>
      <c r="PI100" s="6">
        <f>COUNTIFS(Table138[Country],Tabela1[[#This Row],[Country]],Table138[1500m Classification],"&gt;0")</f>
        <v>0</v>
      </c>
      <c r="PJ100" s="6">
        <f>COUNTIFS(Table138141[Country],Tabela1[[#This Row],[Country]],Table138141[1500m Classification],"&gt;0")</f>
        <v>0</v>
      </c>
      <c r="PK100" s="6">
        <f>COUNTIFS(Table141[Country],Tabela1[[#This Row],[Country]],Table141[Men''s 5000m Relay Classification],"&gt;0")</f>
        <v>0</v>
      </c>
      <c r="PL100" s="6">
        <f>COUNTIFS(Table141[Country],Tabela1[[#This Row],[Country]],Table141[Women''s 3000m Relay Classification],"&gt;0")</f>
        <v>0</v>
      </c>
      <c r="PM100" s="6">
        <f>COUNTIFS(Table141[Country],Tabela1[[#This Row],[Country]],Table141[Mixed 2000m Relay Classification],"&gt;0")</f>
        <v>0</v>
      </c>
      <c r="PN100" s="6">
        <f>COUNTIFS(Table142[Country],Tabela1[[#This Row],[Country]],Table142[Classification],"&gt;0")</f>
        <v>0</v>
      </c>
      <c r="PO100" s="6">
        <f>COUNTIFS(Table142145[Country],Tabela1[[#This Row],[Country]],Table142145[Classification],"&gt;0")</f>
        <v>0</v>
      </c>
      <c r="PP100" s="6">
        <f>COUNTIFS(Tabela15[Country],Tabela1[[#This Row],[Country]],Tabela15[Mixed Team Classification],"&gt;0")</f>
        <v>0</v>
      </c>
      <c r="PQ100" s="6">
        <f>COUNTIFS(Table145[Country],Tabela1[[#This Row],[Country]],Table145[Large Hill Classification],"&gt;0")</f>
        <v>0</v>
      </c>
      <c r="PR100" s="6">
        <f>COUNTIFS(Table145[Country],Tabela1[[#This Row],[Country]],Table145[Normal Hill Classification],"&gt;0")</f>
        <v>0</v>
      </c>
      <c r="PS100" s="6">
        <f>COUNTIFS(Table145148[Country],Tabela1[[#This Row],[Country]],Table145148[Large Hill Classification],"&gt;0")</f>
        <v>0</v>
      </c>
      <c r="PT100" s="6">
        <f>COUNTIFS(Table145148[Country],Tabela1[[#This Row],[Country]],Table145148[Normal Hill Classification],"&gt;0")</f>
        <v>0</v>
      </c>
      <c r="PU100" s="6">
        <f>COUNTIFS(Table148[Country],Tabela1[[#This Row],[Country]],Table148[Men''s Super Team Classification],"&gt;0")</f>
        <v>0</v>
      </c>
      <c r="PV100" s="6">
        <f>COUNTIFS(Tabela114[Country],Tabela1[[#This Row],[Country]],Tabela114[Mixed Normal Hill Classification],"&gt;0")</f>
        <v>0</v>
      </c>
      <c r="PW100" s="6">
        <f>COUNTIFS(Tabela50[Country],Tabela1[[#This Row],[Country]],Tabela50[Sprint Classification],"&gt;0")</f>
        <v>0</v>
      </c>
      <c r="PX100" s="6">
        <f>COUNTIFS(Tabela50101[Country],Tabela1[[#This Row],[Country]],Tabela50101[Sprint Classification],"&gt;0")</f>
        <v>0</v>
      </c>
      <c r="PY100" s="6">
        <f>COUNTIFS(Tabela103[Country],Tabela1[[#This Row],[Country]],Tabela103[Mixed Relay Classification],"&gt;0")</f>
        <v>0</v>
      </c>
      <c r="PZ100" s="6">
        <f>COUNTIFS(Table149[Country],Tabela1[[#This Row],[Country]],Table149[Big Air Classification],"&gt;0")</f>
        <v>0</v>
      </c>
      <c r="QA100" s="6">
        <f>COUNTIFS(Table149152[Country],Tabela1[[#This Row],[Country]],Table149152[Big Air Classification],"&gt;0")</f>
        <v>0</v>
      </c>
      <c r="QB100" s="6">
        <f>COUNTIFS(Table149[Country],Tabela1[[#This Row],[Country]],Table149[Halfpipe Classification],"&gt;0")</f>
        <v>0</v>
      </c>
      <c r="QC100" s="6">
        <f>COUNTIFS(Table149152[Country],Tabela1[[#This Row],[Country]],Table149152[Halfpipe Classification],"&gt;0")</f>
        <v>0</v>
      </c>
      <c r="QD100" s="6">
        <f>COUNTIFS(Table149[Country],Tabela1[[#This Row],[Country]],Table149[Parallel Giant Slalom Classification],"&gt;0")</f>
        <v>0</v>
      </c>
      <c r="QE100" s="6">
        <f>COUNTIFS(Table149152[Country],Tabela1[[#This Row],[Country]],Table149152[Parallel Giant Slalom Classification],"&gt;0")</f>
        <v>0</v>
      </c>
      <c r="QF100" s="6">
        <f>COUNTIFS(Table149[Country],Tabela1[[#This Row],[Country]],Table149[Slopestyle Classification],"&gt;0")</f>
        <v>0</v>
      </c>
      <c r="QG100" s="6">
        <f>COUNTIFS(Table149152[Country],Tabela1[[#This Row],[Country]],Table149152[Slopestyle Classification],"&gt;0")</f>
        <v>0</v>
      </c>
      <c r="QH100" s="6">
        <f>COUNTIFS(Table149[Country],Tabela1[[#This Row],[Country]],Table149[Snowboard Cross Classification],"&gt;0")</f>
        <v>0</v>
      </c>
      <c r="QI100" s="6">
        <f>COUNTIFS(Table149152[Country],Tabela1[[#This Row],[Country]],Table149152[Snowboard Cross Classification],"&gt;0")</f>
        <v>0</v>
      </c>
      <c r="QJ100" s="6">
        <f>COUNTIFS(Table153[Country],Tabela1[[#This Row],[Country]],Table153[Mixed Team Snowboard Cross Classification],"&gt;0")</f>
        <v>0</v>
      </c>
      <c r="QK100" s="6">
        <f>COUNTIFS(Table154[Country],Tabela1[[#This Row],[Country]],Table154[500m Classification],"&gt;0")</f>
        <v>0</v>
      </c>
      <c r="QL100" s="6">
        <f>COUNTIFS(Table154157[Country],Tabela1[[#This Row],[Country]],Table154157[500m Classification],"&gt;0")</f>
        <v>0</v>
      </c>
      <c r="QM100" s="6">
        <f>COUNTIFS(Table154[Country],Tabela1[[#This Row],[Country]],Table154[1000m Classification],"&gt;0")</f>
        <v>0</v>
      </c>
      <c r="QN100" s="6">
        <f>COUNTIFS(Table154157[Country],Tabela1[[#This Row],[Country]],Table154157[1000m Classification],"&gt;0")</f>
        <v>0</v>
      </c>
      <c r="QO100" s="6">
        <f>COUNTIFS(Table154[Country],Tabela1[[#This Row],[Country]],Table154[1500m Classification],"&gt;0")</f>
        <v>0</v>
      </c>
      <c r="QP100" s="6">
        <f>COUNTIFS(Table154157[Country],Tabela1[[#This Row],[Country]],Table154157[1500m Classification],"&gt;0")</f>
        <v>0</v>
      </c>
      <c r="QQ100" s="6">
        <f>COUNTIFS(Table154157[Country],Tabela1[[#This Row],[Country]],Table154157[3000m Classification],"&gt;0")</f>
        <v>0</v>
      </c>
      <c r="QR100" s="6">
        <f>COUNTIFS(Table154[Country],Tabela1[[#This Row],[Country]],Table154[5000m Classification],"&gt;0")</f>
        <v>0</v>
      </c>
      <c r="QS100" s="6">
        <f>COUNTIFS(Table154157[Country],Tabela1[[#This Row],[Country]],Table154157[5000m Classification],"&gt;0")</f>
        <v>0</v>
      </c>
      <c r="QT100" s="6">
        <f>COUNTIFS(Table154[Country],Tabela1[[#This Row],[Country]],Table154[10000m Classification],"&gt;0")</f>
        <v>0</v>
      </c>
      <c r="QU100" s="6">
        <f>COUNTIFS(Table154[Country],Tabela1[[#This Row],[Country]],Table154[Mass Start Classification],"&gt;0")</f>
        <v>0</v>
      </c>
      <c r="QV100" s="6">
        <f>COUNTIFS(Table154157[Country],Tabela1[[#This Row],[Country]],Table154157[Mass Start Classification],"&gt;0")</f>
        <v>0</v>
      </c>
      <c r="QW100" s="6">
        <f>COUNTIFS(Table157[Country],Tabela1[[#This Row],[Country]],Table157[Men''s Pursuit Classification],"&gt;0")</f>
        <v>0</v>
      </c>
      <c r="QX100" s="6">
        <f>COUNTIFS(Table157[Country],Tabela1[[#This Row],[Country]],Table157[Women''s Pursuit Classification],"&gt;0")</f>
        <v>0</v>
      </c>
      <c r="QY100" s="4" t="s">
        <v>707</v>
      </c>
    </row>
    <row r="101" spans="1:467" x14ac:dyDescent="0.3">
      <c r="A101" s="6">
        <v>100</v>
      </c>
      <c r="B101" s="6" t="s">
        <v>732</v>
      </c>
      <c r="C101" t="e" vm="100">
        <f>IF(ISBLANK(Tabela1[[#This Row],[Image Link]]), "", _xlfn.IMAGE(Tabela1[[#This Row],[Image Link]],1,1))</f>
        <v>#VALUE!</v>
      </c>
      <c r="D101" s="6">
        <f>SUM(Tabela1[[#This Row],[Archery - Men''s Individual Recurve]:[Speed Skating - Women''s Team Pursuit]])</f>
        <v>3</v>
      </c>
      <c r="E101" s="6">
        <f>COUNTIF(Tabela1[[#This Row],[Archery - Men''s Individual Recurve]:[Speed Skating - Women''s Team Pursuit]],"&gt;0")</f>
        <v>3</v>
      </c>
      <c r="F101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01" s="6">
        <f>SUM(Tabela1[[#This Row],[Archery - Men''s Individual Recurve]:[Wrestling - Women''s Freestyle 76kg]])</f>
        <v>3</v>
      </c>
      <c r="H101" s="6">
        <f>SUM(Tabela1[[#This Row],[Alpine Skiing - Men''s Downhill]:[Speed Skating - Women''s Team Pursuit]])</f>
        <v>0</v>
      </c>
      <c r="I101" s="6">
        <f>Tabela1[[#This Row],[Summer Gold Medals]]+Tabela1[[#This Row],[Winter Gold Medals]]</f>
        <v>0</v>
      </c>
      <c r="J101" s="6">
        <f>Tabela1[[#This Row],[Summer Silver Medals]]+Tabela1[[#This Row],[Winter Silver Medals]]</f>
        <v>0</v>
      </c>
      <c r="K101" s="6">
        <f>Tabela1[[#This Row],[Summer Bronze Medals]]+Tabela1[[#This Row],[Winter Bronze Medals]]</f>
        <v>0</v>
      </c>
      <c r="L101" s="6">
        <f>SUM(Tabela1[[#This Row],[Total Gold Medals]:[Total Bronze Medals]])</f>
        <v>0</v>
      </c>
      <c r="M101" s="6"/>
      <c r="N101" s="6"/>
      <c r="O101" s="6"/>
      <c r="P101" s="6">
        <f>SUM(Tabela1[[#This Row],[Summer Gold Medals]:[Summer Bronze Medals]])</f>
        <v>0</v>
      </c>
      <c r="Q101" s="6"/>
      <c r="R101" s="6"/>
      <c r="S101" s="6"/>
      <c r="T101" s="6">
        <f>Tabela1[[#This Row],[Winter Gold Medals]]+Tabela1[[#This Row],[Winter Silver Medals]]+Tabela1[[#This Row],[Winter Bronze Medals]]</f>
        <v>0</v>
      </c>
      <c r="U101" s="7">
        <f>Tabela1[[#This Row],[Total Medals]]/Tabela1[[#This Row],[Total Quotas]]</f>
        <v>0</v>
      </c>
      <c r="V101" s="6">
        <f>COUNTIFS(Table3[Country],Tabela1[[#This Row],[Country]],Table3[Recurve Classification],"&gt;0")</f>
        <v>1</v>
      </c>
      <c r="W101" s="6">
        <f>COUNTIFS(Table33[Country],Tabela1[[#This Row],[Country]],Table33[Recurve Classification],"&gt;0")</f>
        <v>0</v>
      </c>
      <c r="X101" s="6">
        <f>COUNTIFS(Table35[Country],Tabela1[[#This Row],[Country]],Table35[Men''s Team Recurve Classification],"&gt;0")</f>
        <v>0</v>
      </c>
      <c r="Y101" s="6">
        <f>COUNTIFS(Table35[Country],Tabela1[[#This Row],[Country]],Table35[Women''s Team Recurve Classification],"&gt;0")</f>
        <v>0</v>
      </c>
      <c r="Z101" s="6">
        <f>COUNTIFS(Tabela88[Country],Tabela1[[#This Row],[Country]],Tabela88[Mixed Team Recurve Classification],"&gt;0")</f>
        <v>0</v>
      </c>
      <c r="AA101" s="6">
        <f>COUNTIFS(Table36[Country],Tabela1[[#This Row],[Country]],Table36[Classification],"&gt;0")</f>
        <v>0</v>
      </c>
      <c r="AB101" s="6">
        <f>COUNTIFS(Table37[Country],Tabela1[[#This Row],[Country]],Table37[Classification],"&gt;0")</f>
        <v>0</v>
      </c>
      <c r="AC101" s="6">
        <f>COUNTIFS(Table4[Country],Tabela1[[#This Row],[Country]],Table4[100m Classification],"&gt;0")</f>
        <v>0</v>
      </c>
      <c r="AD101" s="6">
        <f>COUNTIFS(Table5[Country],Tabela1[[#This Row],[Country]],Table5[100m Classification],"&gt;0")</f>
        <v>0</v>
      </c>
      <c r="AE101" s="6">
        <f>COUNTIFS(Table4[Country],Tabela1[[#This Row],[Country]],Table4[200m Classification],"&gt;0")</f>
        <v>0</v>
      </c>
      <c r="AF101" s="6">
        <f>COUNTIFS(Table5[Country],Tabela1[[#This Row],[Country]],Table5[200m Classification],"&gt;0")</f>
        <v>0</v>
      </c>
      <c r="AG101" s="6">
        <f>COUNTIFS(Table4[Country],Tabela1[[#This Row],[Country]],Table4[400m Classification],"&gt;0")</f>
        <v>0</v>
      </c>
      <c r="AH101" s="6">
        <f>COUNTIFS(Table5[Country],Tabela1[[#This Row],[Country]],Table5[400m Classification],"&gt;0")</f>
        <v>0</v>
      </c>
      <c r="AI101" s="6">
        <f>COUNTIFS(Table4[Country],Tabela1[[#This Row],[Country]],Table4[800m Classification],"&gt;0")</f>
        <v>0</v>
      </c>
      <c r="AJ101" s="6">
        <f>COUNTIFS(Table5[Country],Tabela1[[#This Row],[Country]],Table5[800m Classification],"&gt;0")</f>
        <v>0</v>
      </c>
      <c r="AK101" s="6">
        <f>COUNTIFS(Table4[Country],Tabela1[[#This Row],[Country]],Table4[1500m Classification],"&gt;0")</f>
        <v>0</v>
      </c>
      <c r="AL101" s="6">
        <f>COUNTIFS(Table5[Country],Tabela1[[#This Row],[Country]],Table5[1500m Classification],"&gt;0")</f>
        <v>0</v>
      </c>
      <c r="AM101" s="6">
        <f>COUNTIFS(Table4[Country],Tabela1[[#This Row],[Country]],Table4[5000m Classification],"&gt;0")</f>
        <v>0</v>
      </c>
      <c r="AN101" s="6">
        <f>COUNTIFS(Table5[Country],Tabela1[[#This Row],[Country]],Table5[5000m Classification],"&gt;0")</f>
        <v>0</v>
      </c>
      <c r="AO101" s="6">
        <f>COUNTIFS(Table4[Country],Tabela1[[#This Row],[Country]],Table4[10000m Classification],"&gt;0")</f>
        <v>0</v>
      </c>
      <c r="AP101" s="6">
        <f>COUNTIFS(Table5[Country],Tabela1[[#This Row],[Country]],Table5[10000m Classification],"&gt;0")</f>
        <v>0</v>
      </c>
      <c r="AQ101" s="6">
        <f>COUNTIFS(Table4[Country],Tabela1[[#This Row],[Country]],Table4[110m Hurdles Classification],"&gt;0")</f>
        <v>0</v>
      </c>
      <c r="AR101" s="6">
        <f>COUNTIFS(Table5[Country],Tabela1[[#This Row],[Country]],Table5[100m Hurdles Classification],"&gt;0")</f>
        <v>0</v>
      </c>
      <c r="AS101" s="6">
        <f>COUNTIFS(Table4[Country],Tabela1[[#This Row],[Country]],Table4[400m Hurdles Classification],"&gt;0")</f>
        <v>0</v>
      </c>
      <c r="AT101" s="6">
        <f>COUNTIFS(Table5[Country],Tabela1[[#This Row],[Country]],Table5[400m Hurdles Classification],"&gt;0")</f>
        <v>0</v>
      </c>
      <c r="AU101" s="6">
        <f>COUNTIFS(Table4[Country],Tabela1[[#This Row],[Country]],Table4[3000m Steeplechase Classification],"&gt;0")</f>
        <v>0</v>
      </c>
      <c r="AV101" s="6">
        <f>COUNTIFS(Table5[Country],Tabela1[[#This Row],[Country]],Table5[3000m Steeplechase Classification],"&gt;0")</f>
        <v>0</v>
      </c>
      <c r="AW101" s="6">
        <f>COUNTIFS(Table27[Country],Tabela1[[#This Row],[Country]],Table27[Men''s 4x100m Relay Classification],"&gt;0")</f>
        <v>0</v>
      </c>
      <c r="AX101" s="6">
        <f>COUNTIFS(Table27[Country],Tabela1[[#This Row],[Country]],Table27[Women''s 4x100m Relay Classification],"&gt;0")</f>
        <v>0</v>
      </c>
      <c r="AY101" s="6">
        <f>COUNTIFS(Table27[Country],Tabela1[[#This Row],[Country]],Table27[Men''s 4x400m Relay Classification],"&gt;0")</f>
        <v>0</v>
      </c>
      <c r="AZ101" s="6">
        <f>COUNTIFS(Table27[Country],Tabela1[[#This Row],[Country]],Table27[Women''s 4x400m Relay Classification],"&gt;0")</f>
        <v>0</v>
      </c>
      <c r="BA101" s="6">
        <f>COUNTIFS(Table27[Country],Tabela1[[#This Row],[Country]],Table27[Mixed 4x400m Relay Classification],"&gt;0")</f>
        <v>0</v>
      </c>
      <c r="BB101" s="6">
        <f>COUNTIFS(Table4[Country],Tabela1[[#This Row],[Country]],Table4[Marathon Classification],"&gt;0")</f>
        <v>1</v>
      </c>
      <c r="BC101" s="6">
        <f>COUNTIFS(Table5[Country],Tabela1[[#This Row],[Country]],Table5[Marathon Classification],"&gt;0")</f>
        <v>0</v>
      </c>
      <c r="BD101" s="6">
        <f>COUNTIFS(Table4[Country],Tabela1[[#This Row],[Country]],Table4[20km Race Walk Classification],"&gt;0")</f>
        <v>0</v>
      </c>
      <c r="BE101" s="6">
        <f>COUNTIFS(Table5[Country],Tabela1[[#This Row],[Country]],Table5[20km Race Walk Classification],"&gt;0")</f>
        <v>0</v>
      </c>
      <c r="BF101" s="6">
        <f>COUNTIFS(Tabela96[Country],Tabela1[[#This Row],[Country]],Tabela96[Mixed Marathon Race Walk Relay Classification],"&gt;0")</f>
        <v>0</v>
      </c>
      <c r="BG101" s="6">
        <f>COUNTIFS(Table4[Country],Tabela1[[#This Row],[Country]],Table4[Discus Throw Classification],"&gt;0")</f>
        <v>0</v>
      </c>
      <c r="BH101" s="6">
        <f>COUNTIFS(Table5[Country],Tabela1[[#This Row],[Country]],Table5[Discus Throw Classification],"&gt;0")</f>
        <v>0</v>
      </c>
      <c r="BI101" s="6">
        <f>COUNTIFS(Table4[Country],Tabela1[[#This Row],[Country]],Table4[Hammer Throw Classification],"&gt;0")</f>
        <v>0</v>
      </c>
      <c r="BJ101" s="6">
        <f>COUNTIFS(Table5[Country],Tabela1[[#This Row],[Country]],Table5[Hammer Throw Classification],"&gt;0")</f>
        <v>0</v>
      </c>
      <c r="BK101" s="6">
        <f>COUNTIFS(Table4[Country],Tabela1[[#This Row],[Country]],Table4[High Jump Classification],"&gt;0")</f>
        <v>0</v>
      </c>
      <c r="BL101" s="6">
        <f>COUNTIFS(Table5[Country],Tabela1[[#This Row],[Country]],Table5[High Jump Classification],"&gt;0")</f>
        <v>0</v>
      </c>
      <c r="BM101" s="6">
        <f>COUNTIFS(Table4[Country],Tabela1[[#This Row],[Country]],Table4[Javelin Throw Classification],"&gt;0")</f>
        <v>0</v>
      </c>
      <c r="BN101" s="6">
        <f>COUNTIFS(Table5[Country],Tabela1[[#This Row],[Country]],Table5[Javelin Throw Classification],"&gt;0")</f>
        <v>0</v>
      </c>
      <c r="BO101" s="6">
        <f>COUNTIFS(Table4[Country],Tabela1[[#This Row],[Country]],Table4[Long Jump Classification],"&gt;0")</f>
        <v>0</v>
      </c>
      <c r="BP101" s="6">
        <f>COUNTIFS(Table5[Country],Tabela1[[#This Row],[Country]],Table5[Long Jump Classification],"&gt;0")</f>
        <v>0</v>
      </c>
      <c r="BQ101" s="6">
        <f>COUNTIFS(Table4[Country],Tabela1[[#This Row],[Country]],Table4[Pole Vault Classification],"&gt;0")</f>
        <v>0</v>
      </c>
      <c r="BR101" s="6">
        <f>COUNTIFS(Table5[Country],Tabela1[[#This Row],[Country]],Table5[Pole Vault Classification],"&gt;0")</f>
        <v>0</v>
      </c>
      <c r="BS101" s="6">
        <f>COUNTIFS(Table4[Country],Tabela1[[#This Row],[Country]],Table4[Shot Put Classification],"&gt;0")</f>
        <v>0</v>
      </c>
      <c r="BT101" s="6">
        <f>COUNTIFS(Table5[Country],Tabela1[[#This Row],[Country]],Table5[Shot Put Classification],"&gt;0")</f>
        <v>0</v>
      </c>
      <c r="BU101" s="6">
        <f>COUNTIFS(Table4[Country],Tabela1[[#This Row],[Country]],Table4[Triple Jump Classification],"&gt;0")</f>
        <v>0</v>
      </c>
      <c r="BV101" s="6">
        <f>COUNTIFS(Table5[Country],Tabela1[[#This Row],[Country]],Table5[Triple Jump Classification],"&gt;0")</f>
        <v>0</v>
      </c>
      <c r="BW101" s="6">
        <f>COUNTIFS(Table4[Country],Tabela1[[#This Row],[Country]],Table4[Decathlon Classification],"&gt;0")</f>
        <v>0</v>
      </c>
      <c r="BX101" s="6">
        <f>COUNTIFS(Table5[Country],Tabela1[[#This Row],[Country]],Table5[Heptathlon Classification],"&gt;0")</f>
        <v>0</v>
      </c>
      <c r="BY101" s="6">
        <f>COUNTIFS(Table61[Country],Tabela1[[#This Row],[Country]],Table61[Classification],"&gt;0")</f>
        <v>0</v>
      </c>
      <c r="BZ101" s="6">
        <f>COUNTIFS(Table38[Country],Tabela1[[#This Row],[Country]],Table38[Classification],"&gt;0")</f>
        <v>0</v>
      </c>
      <c r="CA101" s="6">
        <f>COUNTIFS(Table39[Country],Tabela1[[#This Row],[Country]],Table39[Men''s Classification],"&gt;0")</f>
        <v>0</v>
      </c>
      <c r="CB101" s="6">
        <f>COUNTIFS(Table39[Country],Tabela1[[#This Row],[Country]],Table39[Women''s Classification],"&gt;0")</f>
        <v>0</v>
      </c>
      <c r="CC101" s="6">
        <f>COUNTIFS(Table39[Country],Tabela1[[#This Row],[Country]],Table39[Mixed Classification],"&gt;0")</f>
        <v>0</v>
      </c>
      <c r="CD101" s="6">
        <f>COUNTIFS(Table89[Country],Tabela1[[#This Row],[Country]],Table89[Men''s Classification],"&gt;0")</f>
        <v>0</v>
      </c>
      <c r="CE101" s="6">
        <f>COUNTIFS(Table89[Country],Tabela1[[#This Row],[Country]],Table89[Women''s Classification],"&gt;0")</f>
        <v>0</v>
      </c>
      <c r="CF101" s="6">
        <f>COUNTIFS(Table90[Country],Tabela1[[#This Row],[Country]],Table90[Men''s Classification],"&gt;0")</f>
        <v>0</v>
      </c>
      <c r="CG101" s="6">
        <f>COUNTIFS(Table90[Country],Tabela1[[#This Row],[Country]],Table90[Women''s Classification],"&gt;0")</f>
        <v>0</v>
      </c>
      <c r="CH101" s="6">
        <f>COUNTIFS(Table60[Country],Tabela1[[#This Row],[Country]],Table60[Men''s Classification],"&gt;0")</f>
        <v>0</v>
      </c>
      <c r="CI101" s="6">
        <f>COUNTIFS(Table60[Country],Tabela1[[#This Row],[Country]],Table60[Women''s Classification],"&gt;0")</f>
        <v>0</v>
      </c>
      <c r="CJ101" s="6">
        <f>COUNTIFS(Table6[Country],Tabela1[[#This Row],[Country]],Table6[51kg Classification],"&gt;0")</f>
        <v>0</v>
      </c>
      <c r="CK101" s="6">
        <f>COUNTIFS(Table6[Country],Tabela1[[#This Row],[Country]],Table6[57kg Classification],"&gt;0")</f>
        <v>0</v>
      </c>
      <c r="CL101" s="6">
        <f>COUNTIFS(Table6[Country],Tabela1[[#This Row],[Country]],Table6[63.5kg Classification],"&gt;0")</f>
        <v>0</v>
      </c>
      <c r="CM101" s="6">
        <f>COUNTIFS(Table6[Country],Tabela1[[#This Row],[Country]],Table6[71kg Classification],"&gt;0")</f>
        <v>0</v>
      </c>
      <c r="CN101" s="6">
        <f>COUNTIFS(Table6[Country],Tabela1[[#This Row],[Country]],Table6[80kg Classification],"&gt;0")</f>
        <v>0</v>
      </c>
      <c r="CO101" s="6">
        <f>COUNTIFS(Table6[Country],Tabela1[[#This Row],[Country]],Table6[92kg Classification],"&gt;0")</f>
        <v>0</v>
      </c>
      <c r="CP101" s="6">
        <f>COUNTIFS(Table6[Country],Tabela1[[#This Row],[Country]],Table6[Plus 92kg Classification],"&gt;0")</f>
        <v>0</v>
      </c>
      <c r="CQ101" s="6">
        <f>COUNTIFS(Table7[Country],Tabela1[[#This Row],[Country]],Table7[50kg Classification],"&gt;0")</f>
        <v>0</v>
      </c>
      <c r="CR101" s="6">
        <f>COUNTIFS(Table7[Country],Tabela1[[#This Row],[Country]],Table7[54kg Classification],"&gt;0")</f>
        <v>0</v>
      </c>
      <c r="CS101" s="6">
        <f>COUNTIFS(Table7[Country],Tabela1[[#This Row],[Country]],Table7[57kg Classification],"&gt;0")</f>
        <v>0</v>
      </c>
      <c r="CT101" s="6">
        <f>COUNTIFS(Table7[Country],Tabela1[[#This Row],[Country]],Table7[60kg Classification],"&gt;0")</f>
        <v>0</v>
      </c>
      <c r="CU101" s="6">
        <f>COUNTIFS(Table7[Country],Tabela1[[#This Row],[Country]],Table7[66kg Classification],"&gt;0")</f>
        <v>0</v>
      </c>
      <c r="CV101" s="6">
        <f>COUNTIFS(Table7[Country],Tabela1[[#This Row],[Country]],Table7[75kg Classification],"&gt;0")</f>
        <v>0</v>
      </c>
      <c r="CW101" s="6">
        <f>COUNTIFS(Tabela94[Country],Tabela1[[#This Row],[Country]],Tabela94[Classification],"&gt;0")</f>
        <v>0</v>
      </c>
      <c r="CX101" s="6">
        <f>COUNTIFS(Tabela9499[Country],Tabela1[[#This Row],[Country]],Tabela9499[Classification],"&gt;0")</f>
        <v>0</v>
      </c>
      <c r="CY101" s="6">
        <f>COUNTIFS(Tabela107[Country],Tabela1[[#This Row],[Country]],Tabela107[C1 Slalom Classification],"&gt;0")</f>
        <v>0</v>
      </c>
      <c r="CZ101" s="6">
        <f>COUNTIFS(Tabela107122[Country],Tabela1[[#This Row],[Country]],Tabela107122[C1 Slalom Classification],"&gt;0")</f>
        <v>0</v>
      </c>
      <c r="DA101" s="6">
        <f>COUNTIFS(Tabela107[Country],Tabela1[[#This Row],[Country]],Tabela107[K1 Slalom Classification],"&gt;0")</f>
        <v>0</v>
      </c>
      <c r="DB101" s="6">
        <f>COUNTIFS(Tabela107122[Country],Tabela1[[#This Row],[Country]],Tabela107122[K1 Slalom Classification],"&gt;0")</f>
        <v>0</v>
      </c>
      <c r="DC101" s="6">
        <f>COUNTIFS(Tabela107[Country],Tabela1[[#This Row],[Country]],Tabela107[Kayak Cross Slalom Classification],"&gt;0")</f>
        <v>0</v>
      </c>
      <c r="DD101" s="6">
        <f>COUNTIFS(Tabela107122[Country],Tabela1[[#This Row],[Country]],Tabela107122[Kayak Cross Slalom Classification],"&gt;0")</f>
        <v>0</v>
      </c>
      <c r="DE101" s="6">
        <f>COUNTIFS(Table8[Country],Tabela1[[#This Row],[Country]],Table8[C1 200m Classification],"&gt;0")</f>
        <v>0</v>
      </c>
      <c r="DF101" s="6">
        <f>COUNTIFS(Table40[Country],Tabela1[[#This Row],[Country]],Table40[C1 1000m Classification],"&gt;0")</f>
        <v>0</v>
      </c>
      <c r="DG101" s="6">
        <f>COUNTIFS(Table68[Country],Tabela1[[#This Row],[Country]],Table68[Men''s C2 500m Classification],"&gt;0")</f>
        <v>0</v>
      </c>
      <c r="DH101" s="6">
        <f>COUNTIFS(Table68[Country],Tabela1[[#This Row],[Country]],Table68[Women''s C2 500m Classification],"&gt;0")</f>
        <v>0</v>
      </c>
      <c r="DI101" s="6">
        <f>COUNTIFS(Table8[Country],Tabela1[[#This Row],[Country]],Table8[K1 500m Classification],"&gt;0")</f>
        <v>0</v>
      </c>
      <c r="DJ101" s="6">
        <f>COUNTIFS(Table40[Country],Tabela1[[#This Row],[Country]],Table40[K1 1000m Classification],"&gt;0")</f>
        <v>0</v>
      </c>
      <c r="DK101" s="6">
        <f>COUNTIFS(Table68[Country],Tabela1[[#This Row],[Country]],Table68[Men''s K2 500m Classification],"&gt;0")</f>
        <v>0</v>
      </c>
      <c r="DL101" s="6">
        <f>COUNTIFS(Table68[Country],Tabela1[[#This Row],[Country]],Table68[Women''s K2 500m Classification],"&gt;0")</f>
        <v>0</v>
      </c>
      <c r="DM101" s="6">
        <f>COUNTIFS(Table83[Country],Tabela1[[#This Row],[Country]],Table83[Men''s K4 500m Classification],"&gt;0")</f>
        <v>0</v>
      </c>
      <c r="DN101" s="6">
        <f>COUNTIFS(Table83[Country],Tabela1[[#This Row],[Country]],Table83[Women''s K4 500m Classification],"&gt;0")</f>
        <v>0</v>
      </c>
      <c r="DO101" s="6">
        <f>COUNTIFS(Tabela126[Country],Tabela1[[#This Row],[Country]],Tabela126[Classification],"&gt;0")</f>
        <v>0</v>
      </c>
      <c r="DP101" s="6">
        <f>COUNTIFS(Tabela126130[Country],Tabela1[[#This Row],[Country]],Tabela126130[Classification],"&gt;0")</f>
        <v>0</v>
      </c>
      <c r="DQ101" s="6">
        <f>COUNTIFS(Table70[Country],Tabela1[[#This Row],[Country]],Table70[Classification],"&gt;0")</f>
        <v>0</v>
      </c>
      <c r="DR101" s="6">
        <f>COUNTIFS(Table80[Country],Tabela1[[#This Row],[Country]],Table80[Classification],"&gt;0")</f>
        <v>0</v>
      </c>
      <c r="DS101" s="6">
        <f>COUNTIFS(Table66[Country],Tabela1[[#This Row],[Country]],Table66[Classification],"&gt;0")</f>
        <v>0</v>
      </c>
      <c r="DT101" s="6">
        <f>COUNTIFS(Table67[Country],Tabela1[[#This Row],[Country]],Table67[Classification],"&gt;0")</f>
        <v>0</v>
      </c>
      <c r="DU101" s="6">
        <f>COUNTIFS(Table69[Country],Tabela1[[#This Row],[Country]],Table69[Keirin Classification],"&gt;0")</f>
        <v>0</v>
      </c>
      <c r="DV101" s="6">
        <f>COUNTIFS(Table41[Country],Tabela1[[#This Row],[Country]],Table41[Keirin Classification],"&gt;0")</f>
        <v>0</v>
      </c>
      <c r="DW101" s="6">
        <f>COUNTIFS(Table84[Country],Tabela1[[#This Row],[Country]],Table84[Men''s Madison Classification],"&gt;0")</f>
        <v>0</v>
      </c>
      <c r="DX101" s="6">
        <f>COUNTIFS(Table84[Country],Tabela1[[#This Row],[Country]],Table84[Women''s Madison Classification],"&gt;0")</f>
        <v>0</v>
      </c>
      <c r="DY101" s="6">
        <f>COUNTIFS(Table69[Country],Tabela1[[#This Row],[Country]],Table69[Omnium Classification],"&gt;0")</f>
        <v>0</v>
      </c>
      <c r="DZ101" s="6">
        <f>COUNTIFS(Table41[Country],Tabela1[[#This Row],[Country]],Table41[Omnium Classification],"&gt;0")</f>
        <v>0</v>
      </c>
      <c r="EA101" s="6">
        <f>COUNTIFS(Table9[Country],Tabela1[[#This Row],[Country]],Table9[Road Race Classification],"&gt;0")</f>
        <v>0</v>
      </c>
      <c r="EB101" s="6">
        <f>COUNTIFS(Table14[Country],Tabela1[[#This Row],[Country]],Table14[Road Race Classification],"&gt;0")</f>
        <v>0</v>
      </c>
      <c r="EC101" s="6">
        <f>COUNTIFS(Table69[Country],Tabela1[[#This Row],[Country]],Table69[Sprint Classification],"&gt;0")</f>
        <v>0</v>
      </c>
      <c r="ED101" s="6">
        <f>COUNTIFS(Table41[Country],Tabela1[[#This Row],[Country]],Table41[Sprint Classification],"&gt;0")</f>
        <v>0</v>
      </c>
      <c r="EE101" s="6">
        <f>COUNTIFS(Table85[Country],Tabela1[[#This Row],[Country]],Table85[Men''s Sprint Classification],"&gt;0")</f>
        <v>0</v>
      </c>
      <c r="EF101" s="6">
        <f>COUNTIFS(Table85[Country],Tabela1[[#This Row],[Country]],Table85[Women''s Sprint Classification],"&gt;0")</f>
        <v>0</v>
      </c>
      <c r="EG101" s="6">
        <f>COUNTIFS(Table85[Country],Tabela1[[#This Row],[Country]],Table85[Men''s Pursuit Classification],"&gt;0")</f>
        <v>0</v>
      </c>
      <c r="EH101" s="6">
        <f>COUNTIFS(Table85[Country],Tabela1[[#This Row],[Country]],Table85[Women''s Pursuit Classification],"&gt;0")</f>
        <v>0</v>
      </c>
      <c r="EI101" s="6">
        <f>COUNTIFS(Table9[Country],Tabela1[[#This Row],[Country]],Table9[Time-Trial Classification],"&gt;0")</f>
        <v>0</v>
      </c>
      <c r="EJ101" s="6">
        <f>COUNTIFS(Table14[Country],Tabela1[[#This Row],[Country]],Table14[Time-Trial Classification],"&gt;0")</f>
        <v>0</v>
      </c>
      <c r="EK101" s="6">
        <f>COUNTIFS(Table42[Country],Tabela1[[#This Row],[Country]],Table42[Springboard Classification],"&gt;0")</f>
        <v>0</v>
      </c>
      <c r="EL101" s="6">
        <f>COUNTIFS(Table43[Country],Tabela1[[#This Row],[Country]],Table43[Springboard Classification],"&gt;0")</f>
        <v>0</v>
      </c>
      <c r="EM101" s="6">
        <f>COUNTIFS(Table42[Country],Tabela1[[#This Row],[Country]],Table42[Platform Classification],"&gt;0")</f>
        <v>0</v>
      </c>
      <c r="EN101" s="6">
        <f>COUNTIFS(Table43[Country],Tabela1[[#This Row],[Country]],Table43[Platform Classification],"&gt;0")</f>
        <v>0</v>
      </c>
      <c r="EO101" s="6">
        <f>COUNTIFS(Table86[Country],Tabela1[[#This Row],[Country]],Table86[Men''s Synchronized Springboard Classification],"&gt;0")</f>
        <v>0</v>
      </c>
      <c r="EP101" s="6">
        <f>COUNTIFS(Table86[Country],Tabela1[[#This Row],[Country]],Table86[Women''s Synchronized Springboard Classification],"&gt;0")</f>
        <v>0</v>
      </c>
      <c r="EQ101" s="6">
        <f>COUNTIFS(Table86[Country],Tabela1[[#This Row],[Country]],Table86[Men''s Synchronized Platform Classification],"&gt;0")</f>
        <v>0</v>
      </c>
      <c r="ER101" s="6">
        <f>COUNTIFS(Table86[Country],Tabela1[[#This Row],[Country]],Table86[Women''s Synchronized Platform Classification],"&gt;0")</f>
        <v>0</v>
      </c>
      <c r="ES101" s="6">
        <f>COUNTIFS(Table44[Country],Tabela1[[#This Row],[Country]],Table44[Dressage Classification],"&gt;0")</f>
        <v>0</v>
      </c>
      <c r="ET101" s="6">
        <f>COUNTIFS(Table45[Country],Tabela1[[#This Row],[Country]],Table45[Dressage Classification],"&gt;0")</f>
        <v>0</v>
      </c>
      <c r="EU101" s="6">
        <f>COUNTIFS(Table44[Country],Tabela1[[#This Row],[Country]],Table44[Eventing Classification],"&gt;0")</f>
        <v>0</v>
      </c>
      <c r="EV101" s="6">
        <f>COUNTIFS(Table45[Country],Tabela1[[#This Row],[Country]],Table45[Eventing Classification],"&gt;0")</f>
        <v>0</v>
      </c>
      <c r="EW101" s="6">
        <f>COUNTIFS(Table44[Country],Tabela1[[#This Row],[Country]],Table44[Jumping Classification],"&gt;0")</f>
        <v>0</v>
      </c>
      <c r="EX101" s="6">
        <f>COUNTIFS(Table45[Country],Tabela1[[#This Row],[Country]],Table45[Jumping Classification],"&gt;0")</f>
        <v>0</v>
      </c>
      <c r="EY101" s="6">
        <f>COUNTIFS(Table10[Country],Tabela1[[#This Row],[Country]],Table10[Épée Classification],"&gt;0")</f>
        <v>0</v>
      </c>
      <c r="EZ101" s="6">
        <f>COUNTIFS(Table11[Country],Tabela1[[#This Row],[Country]],Table11[Épée Classification],"&gt;0")</f>
        <v>0</v>
      </c>
      <c r="FA101" s="6">
        <f>COUNTIFS(Table46[Country],Tabela1[[#This Row],[Country]],Table46[Men''s Épée Classification],"&gt;0")</f>
        <v>0</v>
      </c>
      <c r="FB101" s="6">
        <f>COUNTIFS(Table46[Country],Tabela1[[#This Row],[Country]],Table46[Women''s Épée Classification],"&gt;0")</f>
        <v>0</v>
      </c>
      <c r="FC101" s="6">
        <f>COUNTIFS(Table10[Country],Tabela1[[#This Row],[Country]],Table10[Foil Classification],"&gt;0")</f>
        <v>0</v>
      </c>
      <c r="FD101" s="6">
        <f>COUNTIFS(Table11[Country],Tabela1[[#This Row],[Country]],Table11[Foil Classification],"&gt;0")</f>
        <v>0</v>
      </c>
      <c r="FE101" s="6">
        <f>COUNTIFS(Table46[Country],Tabela1[[#This Row],[Country]],Table46[Men''s Foil Classification],"&gt;0")</f>
        <v>0</v>
      </c>
      <c r="FF101" s="6">
        <f>COUNTIFS(Table46[Country],Tabela1[[#This Row],[Country]],Table46[Women''s Foil Classification],"&gt;0")</f>
        <v>0</v>
      </c>
      <c r="FG101" s="6">
        <f>COUNTIFS(Table10[Country],Tabela1[[#This Row],[Country]],Table10[Sabre Classification],"&gt;0")</f>
        <v>0</v>
      </c>
      <c r="FH101" s="6">
        <f>COUNTIFS(Table11[Country],Tabela1[[#This Row],[Country]],Table11[Sabre Classification],"&gt;0")</f>
        <v>0</v>
      </c>
      <c r="FI101" s="6">
        <f>COUNTIFS(Table46[Country],Tabela1[[#This Row],[Country]],Table46[Men''s Sabre Classification],"&gt;0")</f>
        <v>0</v>
      </c>
      <c r="FJ101" s="6">
        <f>COUNTIFS(Table46[Country],Tabela1[[#This Row],[Country]],Table46[Women''s Sabre Classification],"&gt;0")</f>
        <v>0</v>
      </c>
      <c r="FK101" s="6">
        <f>COUNTIFS(Table91[Country],Tabela1[[#This Row],[Country]],Table91[Men''s Classification],"&gt;0")</f>
        <v>0</v>
      </c>
      <c r="FL101" s="6">
        <f>COUNTIFS(Table91[Country],Tabela1[[#This Row],[Country]],Table91[Women''s Classification],"&gt;0")</f>
        <v>0</v>
      </c>
      <c r="FM101" s="6">
        <f>COUNTIFS(Table9194[Country],Tabela1[[#This Row],[Country]],Table9194[Men''s Classification],"&gt;0")</f>
        <v>0</v>
      </c>
      <c r="FN101" s="6">
        <f>COUNTIFS(Table9194[Country],Tabela1[[#This Row],[Country]],Table9194[Women''s Classification],"&gt;0")</f>
        <v>0</v>
      </c>
      <c r="FO101" s="6">
        <f>COUNTIFS(Table71[Country],Tabela1[[#This Row],[Country]],Table71[Classification],"&gt;0")</f>
        <v>0</v>
      </c>
      <c r="FP101" s="6">
        <f>COUNTIFS(Table62[Country],Tabela1[[#This Row],[Country]],Table62[Classification],"&gt;0")</f>
        <v>0</v>
      </c>
      <c r="FQ101" s="6">
        <f>COUNTIFS(Table47[Country],Tabela1[[#This Row],[Country]],Table47[All-Around Classification],"&gt;0")</f>
        <v>0</v>
      </c>
      <c r="FR101" s="6">
        <f>COUNTIFS(Table48[Country],Tabela1[[#This Row],[Country]],Table48[All-Around Classification],"&gt;0")</f>
        <v>0</v>
      </c>
      <c r="FS101" s="6">
        <f>COUNTIFS(Table81[Country],Tabela1[[#This Row],[Country]],Table81[Men''s All-Around Classification],"&gt;0")</f>
        <v>0</v>
      </c>
      <c r="FT101" s="6">
        <f>COUNTIFS(Table81[Country],Tabela1[[#This Row],[Country]],Table81[Women''s All-Around Classification],"&gt;0")</f>
        <v>0</v>
      </c>
      <c r="FU101" s="6">
        <f>COUNTIFS(Table48[Country],Tabela1[[#This Row],[Country]],Table48[Balance Beam Classification],"&gt;0")</f>
        <v>0</v>
      </c>
      <c r="FV101" s="6">
        <f>COUNTIFS(Table47[Country],Tabela1[[#This Row],[Country]],Table47[Floor Exercise Classification],"&gt;0")</f>
        <v>0</v>
      </c>
      <c r="FW101" s="6">
        <f>COUNTIFS(Table48[Country],Tabela1[[#This Row],[Country]],Table48[Floor Exercise Classification],"&gt;0")</f>
        <v>0</v>
      </c>
      <c r="FX101" s="6">
        <f>COUNTIFS(Table47[Country],Tabela1[[#This Row],[Country]],Table47[Horizontal Bar Classification],"&gt;0")</f>
        <v>0</v>
      </c>
      <c r="FY101" s="6">
        <f>COUNTIFS(Table47[Country],Tabela1[[#This Row],[Country]],Table47[Parallel Bars Classification],"&gt;0")</f>
        <v>0</v>
      </c>
      <c r="FZ101" s="6">
        <f>COUNTIFS(Table47[Country],Tabela1[[#This Row],[Country]],Table47[Pommel Horse Classification],"&gt;0")</f>
        <v>0</v>
      </c>
      <c r="GA101" s="6">
        <f>COUNTIFS(Table47[Country],Tabela1[[#This Row],[Country]],Table47[Rings Classification],"&gt;0")</f>
        <v>0</v>
      </c>
      <c r="GB101" s="6">
        <f>COUNTIFS(Tabela132[Country],Tabela1[[#This Row],[Country]],Tabela132[Classification],"&gt;0")</f>
        <v>0</v>
      </c>
      <c r="GC101" s="6">
        <f>COUNTIFS(Tabela139[Country],Tabela1[[#This Row],[Country]],Tabela139[Classification],"&gt;0")</f>
        <v>0</v>
      </c>
      <c r="GD101" s="6">
        <f>COUNTIFS(Table48[Country],Tabela1[[#This Row],[Country]],Table48[Uneven Bars Classification],"&gt;0")</f>
        <v>0</v>
      </c>
      <c r="GE101" s="6">
        <f>COUNTIFS(Table47[Country],Tabela1[[#This Row],[Country]],Table47[Vault Classification],"&gt;0")</f>
        <v>0</v>
      </c>
      <c r="GF101" s="6">
        <f>COUNTIFS(Table48[Country],Tabela1[[#This Row],[Country]],Table48[Vault Classification],"&gt;0")</f>
        <v>0</v>
      </c>
      <c r="GG101" s="6">
        <f>COUNTIFS(Table919496[Country],Tabela1[[#This Row],[Country]],Table919496[Men''s Classification],"&gt;0")</f>
        <v>0</v>
      </c>
      <c r="GH101" s="6">
        <f>COUNTIFS(Table919496[Country],Tabela1[[#This Row],[Country]],Table919496[Women''s Classification],"&gt;0")</f>
        <v>0</v>
      </c>
      <c r="GI101" s="6">
        <f>COUNTIFS(Table12[Country],Tabela1[[#This Row],[Country]],Table12[60kg Classification],"&gt;0")</f>
        <v>0</v>
      </c>
      <c r="GJ101" s="6">
        <f>COUNTIFS(Table12[Country],Tabela1[[#This Row],[Country]],Table12[66kg Classification],"&gt;0")</f>
        <v>0</v>
      </c>
      <c r="GK101" s="6">
        <f>COUNTIFS(Table12[Country],Tabela1[[#This Row],[Country]],Table12[73kg Classification],"&gt;0")</f>
        <v>0</v>
      </c>
      <c r="GL101" s="6">
        <f>COUNTIFS(Table12[Country],Tabela1[[#This Row],[Country]],Table12[81kg Classification],"&gt;0")</f>
        <v>0</v>
      </c>
      <c r="GM101" s="6">
        <f>COUNTIFS(Table12[Country],Tabela1[[#This Row],[Country]],Table12[90kg Classification],"&gt;0")</f>
        <v>0</v>
      </c>
      <c r="GN101" s="6">
        <f>COUNTIFS(Table12[Country],Tabela1[[#This Row],[Country]],Table12[100kg Classification],"&gt;0")</f>
        <v>0</v>
      </c>
      <c r="GO101" s="6">
        <f>COUNTIFS(Table12[Country],Tabela1[[#This Row],[Country]],Table12[Plus 100kg Classification],"&gt;0")</f>
        <v>0</v>
      </c>
      <c r="GP101" s="6">
        <f>COUNTIFS(Table13[Country],Tabela1[[#This Row],[Country]],Table13[48kg Classification],"&gt;0")</f>
        <v>0</v>
      </c>
      <c r="GQ101" s="6">
        <f>COUNTIFS(Table13[Country],Tabela1[[#This Row],[Country]],Table13[52kg Classification],"&gt;0")</f>
        <v>0</v>
      </c>
      <c r="GR101" s="6">
        <f>COUNTIFS(Table13[Country],Tabela1[[#This Row],[Country]],Table13[57kg Classification],"&gt;0")</f>
        <v>0</v>
      </c>
      <c r="GS101" s="6">
        <f>COUNTIFS(Table13[Country],Tabela1[[#This Row],[Country]],Table13[63kg Classification],"&gt;0")</f>
        <v>0</v>
      </c>
      <c r="GT101" s="6">
        <f>COUNTIFS(Table13[Country],Tabela1[[#This Row],[Country]],Table13[70kg Classification],"&gt;0")</f>
        <v>0</v>
      </c>
      <c r="GU101" s="6">
        <f>COUNTIFS(Table13[Country],Tabela1[[#This Row],[Country]],Table13[78kg Classification],"&gt;0")</f>
        <v>0</v>
      </c>
      <c r="GV101" s="6">
        <f>COUNTIFS(Table13[Country],Tabela1[[#This Row],[Country]],Table13[Plus 78kg Classification],"&gt;0")</f>
        <v>0</v>
      </c>
      <c r="GW101" s="6">
        <f>COUNTIFS(Table82[Country],Tabela1[[#This Row],[Country]],Table82[Mixed Classification],"&gt;0")</f>
        <v>0</v>
      </c>
      <c r="GX101" s="6">
        <f>COUNTIFS(Table51[Country],Tabela1[[#This Row],[Country]],Table51[Classification],"&gt;0")</f>
        <v>0</v>
      </c>
      <c r="GY101" s="6">
        <f>COUNTIFS(Table52[Country],Tabela1[[#This Row],[Country]],Table52[Classification],"&gt;0")</f>
        <v>0</v>
      </c>
      <c r="GZ101" s="6">
        <f>COUNTIFS(Table32[Country],Tabela1[[#This Row],[Country]],Table32[All-Around Classification],"&gt;0")</f>
        <v>0</v>
      </c>
      <c r="HA101" s="6">
        <f>COUNTIFS(Table49[Country],Tabela1[[#This Row],[Country]],Table49[All-Around Classification],"&gt;0")</f>
        <v>0</v>
      </c>
      <c r="HB101" s="6">
        <f>COUNTIFS(Table26[Country],Tabela1[[#This Row],[Country]],Table26[Single Sculls Classification],"&gt;0")</f>
        <v>0</v>
      </c>
      <c r="HC101" s="6">
        <f>COUNTIFS(Table63[Country],Tabela1[[#This Row],[Country]],Table63[Single Sculls Classification],"&gt;0")</f>
        <v>0</v>
      </c>
      <c r="HD101" s="6">
        <f>COUNTIFS(Table16[Country],Tabela1[[#This Row],[Country]],Table16[Men''s Double Sculls Classification],"&gt;0")</f>
        <v>0</v>
      </c>
      <c r="HE101" s="6">
        <f>COUNTIFS(Table16[Country],Tabela1[[#This Row],[Country]],Table16[Women''s Double Sculls Classification],"&gt;0")</f>
        <v>0</v>
      </c>
      <c r="HF101" s="6">
        <f>COUNTIFS(Table72[Country],Tabela1[[#This Row],[Country]],Table72[Men''s Quadruple Sculls Classification],"&gt;0")</f>
        <v>0</v>
      </c>
      <c r="HG101" s="6">
        <f>COUNTIFS(Table72[Country],Tabela1[[#This Row],[Country]],Table72[Women''s Quadruple Sculls Classification],"&gt;0")</f>
        <v>0</v>
      </c>
      <c r="HH101" s="6">
        <f>COUNTIFS(Table16[Country],Tabela1[[#This Row],[Country]],Table16[Men''s Coxless Pairs Classification],"&gt;0")</f>
        <v>0</v>
      </c>
      <c r="HI101" s="6">
        <f>COUNTIFS(Table16[Country],Tabela1[[#This Row],[Country]],Table16[Women''s Coxless Pairs Classification],"&gt;0")</f>
        <v>0</v>
      </c>
      <c r="HJ101" s="6">
        <f>COUNTIFS(Table72[Country],Tabela1[[#This Row],[Country]],Table72[Men''s Coxless Fours Classification],"&gt;0")</f>
        <v>0</v>
      </c>
      <c r="HK101" s="6">
        <f>COUNTIFS(Table72[Country],Tabela1[[#This Row],[Country]],Table72[Women''s Coxless Fours Classification],"&gt;0")</f>
        <v>0</v>
      </c>
      <c r="HL101" s="6">
        <f>COUNTIFS(Table72[Country],Tabela1[[#This Row],[Country]],Table72[Men''s Eights Classification],"&gt;0")</f>
        <v>0</v>
      </c>
      <c r="HM101" s="6">
        <f>COUNTIFS(Table72[Country],Tabela1[[#This Row],[Country]],Table72[Women''s Eights Classification],"&gt;0")</f>
        <v>0</v>
      </c>
      <c r="HN101" s="6">
        <f>COUNTIFS(Table16[Country],Tabela1[[#This Row],[Country]],Table16[Men''s Lwt. Double Sculls Classification],"&gt;0")</f>
        <v>0</v>
      </c>
      <c r="HO101" s="6">
        <f>COUNTIFS(Table16[Country],Tabela1[[#This Row],[Country]],Table16[Women''s Lwt. Double Sculls Classification],"&gt;0")</f>
        <v>0</v>
      </c>
      <c r="HP101" s="6">
        <f>COUNTIFS(Table91949698[Country],Tabela1[[#This Row],[Country]],Table91949698[Men''s Classification],"&gt;0")</f>
        <v>0</v>
      </c>
      <c r="HQ101" s="6">
        <f>COUNTIFS(Table91949698[Country],Tabela1[[#This Row],[Country]],Table91949698[Women''s Classification],"&gt;0")</f>
        <v>0</v>
      </c>
      <c r="HR101" s="6">
        <f>COUNTIFS(Table25[Country],Tabela1[[#This Row],[Country]],Table25[Mixed 470 Classification],"&gt;0")</f>
        <v>0</v>
      </c>
      <c r="HS101" s="6">
        <f>COUNTIFS(Table25[Country],Tabela1[[#This Row],[Country]],Table25[Men''s 49er Classification],"&gt;0")</f>
        <v>0</v>
      </c>
      <c r="HT101" s="6">
        <f>COUNTIFS(Table25[Country],Tabela1[[#This Row],[Country]],Table25[Women''s 49er FX Classification],"&gt;0")</f>
        <v>0</v>
      </c>
      <c r="HU101" s="6">
        <f>COUNTIFS(Table17[Country],Tabela1[[#This Row],[Country]],Table17[Formula Kite Classification],"&gt;0")</f>
        <v>0</v>
      </c>
      <c r="HV101" s="6">
        <f>COUNTIFS(Table18[Country],Tabela1[[#This Row],[Country]],Table18[Formula Kite Classification],"&gt;0")</f>
        <v>0</v>
      </c>
      <c r="HW101" s="6">
        <f>COUNTIFS(Table17[Country],Tabela1[[#This Row],[Country]],Table17[ILCA 7 Classification],"&gt;0")</f>
        <v>0</v>
      </c>
      <c r="HX101" s="6">
        <f>COUNTIFS(Table18[Country],Tabela1[[#This Row],[Country]],Table18[ILCA 6 Classification],"&gt;0")</f>
        <v>0</v>
      </c>
      <c r="HY101" s="6">
        <f>COUNTIFS(Table17[Country],Tabela1[[#This Row],[Country]],Table17[IQFoil Classification],"&gt;0")</f>
        <v>0</v>
      </c>
      <c r="HZ101" s="6">
        <f>COUNTIFS(Table18[Country],Tabela1[[#This Row],[Country]],Table18[IQFoil Classification],"&gt;0")</f>
        <v>0</v>
      </c>
      <c r="IA101" s="6">
        <f>COUNTIFS(Table25[Country],Tabela1[[#This Row],[Country]],Table25[Mixed Nacra 17 Classification],"&gt;0")</f>
        <v>0</v>
      </c>
      <c r="IB101" s="6">
        <f>COUNTIFS(Table53[Country],Tabela1[[#This Row],[Country]],Table53[10m Air Pistol Classification],"&gt;0")</f>
        <v>0</v>
      </c>
      <c r="IC101" s="6">
        <f>COUNTIFS(Table19[Country],Tabela1[[#This Row],[Country]],Table19[10m Air Pistol Classification],"&gt;0")</f>
        <v>0</v>
      </c>
      <c r="ID101" s="6">
        <f>COUNTIFS(Table54[Country],Tabela1[[#This Row],[Country]],Table54[Mixed 10m Air Pistol Team Classification],"&gt;0")</f>
        <v>0</v>
      </c>
      <c r="IE101" s="6">
        <f>COUNTIFS(Table53[Country],Tabela1[[#This Row],[Country]],Table53[10m Air Rifle Classification],"&gt;0")</f>
        <v>0</v>
      </c>
      <c r="IF101" s="6">
        <f>COUNTIFS(Table19[Country],Tabela1[[#This Row],[Country]],Table19[10m Air Rifle Classification],"&gt;0")</f>
        <v>0</v>
      </c>
      <c r="IG101" s="6">
        <f>COUNTIFS(Table54[Country],Tabela1[[#This Row],[Country]],Table54[Mixed 10m Air Rifle Team Classification],"&gt;0")</f>
        <v>0</v>
      </c>
      <c r="IH101" s="6">
        <f>COUNTIFS(Table53[Country],Tabela1[[#This Row],[Country]],Table53[25m Rapid Fire Pistol Classification],"&gt;0")</f>
        <v>0</v>
      </c>
      <c r="II101" s="6">
        <f>COUNTIFS(Table19[Country],Tabela1[[#This Row],[Country]],Table19[25m Pistol Classification],"&gt;0")</f>
        <v>0</v>
      </c>
      <c r="IJ101" s="6">
        <f>COUNTIFS(Table53[Country],Tabela1[[#This Row],[Country]],Table53[50m Rifle 3 Positions Classification],"&gt;0")</f>
        <v>0</v>
      </c>
      <c r="IK101" s="6">
        <f>COUNTIFS(Table19[Country],Tabela1[[#This Row],[Country]],Table19[50m Rifle 3 Positions Classification],"&gt;0")</f>
        <v>0</v>
      </c>
      <c r="IL101" s="6">
        <f>COUNTIFS(Table53[Country],Tabela1[[#This Row],[Country]],Table53[Skeet Classification],"&gt;0")</f>
        <v>0</v>
      </c>
      <c r="IM101" s="6">
        <f>COUNTIFS(Table19[Country],Tabela1[[#This Row],[Country]],Table19[Skeet Classification],"&gt;0")</f>
        <v>0</v>
      </c>
      <c r="IN101" s="6">
        <f>COUNTIFS(Table54[Country],Tabela1[[#This Row],[Country]],Table54[Mixed Skeet Team Classification],"&gt;0")</f>
        <v>0</v>
      </c>
      <c r="IO101" s="6">
        <f>COUNTIFS(Table53[Country],Tabela1[[#This Row],[Country]],Table53[Trap Classification],"&gt;0")</f>
        <v>0</v>
      </c>
      <c r="IP101" s="6">
        <f>COUNTIFS(Table19[Country],Tabela1[[#This Row],[Country]],Table19[Trap Classification],"&gt;0")</f>
        <v>0</v>
      </c>
      <c r="IQ101" s="6">
        <f>COUNTIFS(Table73[Country],Tabela1[[#This Row],[Country]],Table73[Park Classification],"&gt;0")</f>
        <v>0</v>
      </c>
      <c r="IR101" s="6">
        <f>COUNTIFS(Table74[Country],Tabela1[[#This Row],[Country]],Table74[Park Classification],"&gt;0")</f>
        <v>0</v>
      </c>
      <c r="IS101" s="6">
        <f>COUNTIFS(Table73[Country],Tabela1[[#This Row],[Country]],Table73[Street Classification],"&gt;0")</f>
        <v>0</v>
      </c>
      <c r="IT101" s="6">
        <f>COUNTIFS(Table74[Country],Tabela1[[#This Row],[Country]],Table74[Street Classification],"&gt;0")</f>
        <v>0</v>
      </c>
      <c r="IU101" s="6">
        <f>COUNTIFS(Table75[Country],Tabela1[[#This Row],[Country]],Table75[Boulder and Lead Classification],"&gt;0")</f>
        <v>0</v>
      </c>
      <c r="IV101" s="6">
        <f>COUNTIFS(Table76[Country],Tabela1[[#This Row],[Country]],Table76[Boulder and Lead Classification],"&gt;0")</f>
        <v>0</v>
      </c>
      <c r="IW101" s="6">
        <f>COUNTIFS(Table75[Country],Tabela1[[#This Row],[Country]],Table75[Speed Classification],"&gt;0")</f>
        <v>0</v>
      </c>
      <c r="IX101" s="6">
        <f>COUNTIFS(Table76[Country],Tabela1[[#This Row],[Country]],Table76[Speed Classification],"&gt;0")</f>
        <v>0</v>
      </c>
      <c r="IY101" s="6">
        <f>COUNTIFS(Table64[Country],Tabela1[[#This Row],[Country]],Table64[Shortboard Classification],"&gt;0")</f>
        <v>0</v>
      </c>
      <c r="IZ101" s="6">
        <f>COUNTIFS(Table77[Country],Tabela1[[#This Row],[Country]],Table77[Shortboard Classification],"&gt;0")</f>
        <v>0</v>
      </c>
      <c r="JA101" s="6">
        <f>COUNTIFS(Table20[Country],Tabela1[[#This Row],[Country]],Table20[50m Freestyle Classification],"&gt;0")</f>
        <v>0</v>
      </c>
      <c r="JB101" s="6">
        <f>COUNTIFS(Table21[Country],Tabela1[[#This Row],[Country]],Table21[50m Freestyle Classification],"&gt;0")</f>
        <v>0</v>
      </c>
      <c r="JC101" s="6">
        <f>COUNTIFS(Table20[Country],Tabela1[[#This Row],[Country]],Table20[100m Freestyle Classification],"&gt;0")</f>
        <v>0</v>
      </c>
      <c r="JD101" s="6">
        <f>COUNTIFS(Table21[Country],Tabela1[[#This Row],[Country]],Table21[100m Freestyle Classification],"&gt;0")</f>
        <v>0</v>
      </c>
      <c r="JE101" s="6">
        <f>COUNTIFS(Table20[Country],Tabela1[[#This Row],[Country]],Table20[200m Freestyle Classification],"&gt;0")</f>
        <v>0</v>
      </c>
      <c r="JF101" s="6">
        <f>COUNTIFS(Table21[Country],Tabela1[[#This Row],[Country]],Table21[200m Freestyle Classification],"&gt;0")</f>
        <v>0</v>
      </c>
      <c r="JG101" s="6">
        <f>COUNTIFS(Table20[Country],Tabela1[[#This Row],[Country]],Table20[400m Freestyle Classification],"&gt;0")</f>
        <v>0</v>
      </c>
      <c r="JH101" s="6">
        <f>COUNTIFS(Table21[Country],Tabela1[[#This Row],[Country]],Table21[400m Freestyle Classification],"&gt;0")</f>
        <v>1</v>
      </c>
      <c r="JI101" s="6">
        <f>COUNTIFS(Table20[Country],Tabela1[[#This Row],[Country]],Table20[800m Freestyle Classification],"&gt;0")</f>
        <v>0</v>
      </c>
      <c r="JJ101" s="6">
        <f>COUNTIFS(Table21[Country],Tabela1[[#This Row],[Country]],Table21[800m Freestyle Classification],"&gt;0")</f>
        <v>0</v>
      </c>
      <c r="JK101" s="6">
        <f>COUNTIFS(Table20[Country],Tabela1[[#This Row],[Country]],Table20[1500m Freestyle Classification],"&gt;0")</f>
        <v>0</v>
      </c>
      <c r="JL101" s="6">
        <f>COUNTIFS(Table21[Country],Tabela1[[#This Row],[Country]],Table21[1500m Freestyle Classification],"&gt;0")</f>
        <v>0</v>
      </c>
      <c r="JM101" s="6">
        <f>COUNTIFS(Table20[Country],Tabela1[[#This Row],[Country]],Table20[100m Backstroke Classification],"&gt;0")</f>
        <v>0</v>
      </c>
      <c r="JN101" s="6">
        <f>COUNTIFS(Table21[Country],Tabela1[[#This Row],[Country]],Table21[100m Backstroke Classification],"&gt;0")</f>
        <v>0</v>
      </c>
      <c r="JO101" s="6">
        <f>COUNTIFS(Table20[Country],Tabela1[[#This Row],[Country]],Table20[200m Backstroke Classification],"&gt;0")</f>
        <v>0</v>
      </c>
      <c r="JP101" s="6">
        <f>COUNTIFS(Table21[Country],Tabela1[[#This Row],[Country]],Table21[200m Backstroke Classification],"&gt;0")</f>
        <v>0</v>
      </c>
      <c r="JQ101" s="6">
        <f>COUNTIFS(Table20[Country],Tabela1[[#This Row],[Country]],Table20[100m Breaststroke Classification],"&gt;0")</f>
        <v>0</v>
      </c>
      <c r="JR101" s="6">
        <f>COUNTIFS(Table21[Country],Tabela1[[#This Row],[Country]],Table21[100m Breaststroke Classification],"&gt;0")</f>
        <v>0</v>
      </c>
      <c r="JS101" s="6">
        <f>COUNTIFS(Table20[Country],Tabela1[[#This Row],[Country]],Table20[200m Breaststroke Classification],"&gt;0")</f>
        <v>0</v>
      </c>
      <c r="JT101" s="6">
        <f>COUNTIFS(Table21[Country],Tabela1[[#This Row],[Country]],Table21[200m Breaststroke Classification],"&gt;0")</f>
        <v>0</v>
      </c>
      <c r="JU101" s="6">
        <f>COUNTIFS(Table20[Country],Tabela1[[#This Row],[Country]],Table20[100m Butterfly Classification],"&gt;0")</f>
        <v>0</v>
      </c>
      <c r="JV101" s="6">
        <f>COUNTIFS(Table21[Country],Tabela1[[#This Row],[Country]],Table21[100m Butterfly Classification],"&gt;0")</f>
        <v>0</v>
      </c>
      <c r="JW101" s="6">
        <f>COUNTIFS(Table20[Country],Tabela1[[#This Row],[Country]],Table20[200m Butterfly Classification],"&gt;0")</f>
        <v>0</v>
      </c>
      <c r="JX101" s="6">
        <f>COUNTIFS(Table21[Country],Tabela1[[#This Row],[Country]],Table21[200m Butterfly Classification],"&gt;0")</f>
        <v>0</v>
      </c>
      <c r="JY101" s="6">
        <f>COUNTIFS(Table20[Country],Tabela1[[#This Row],[Country]],Table20[200m Medley Classification],"&gt;0")</f>
        <v>0</v>
      </c>
      <c r="JZ101" s="6">
        <f>COUNTIFS(Table21[Country],Tabela1[[#This Row],[Country]],Table21[200m Medley Classification],"&gt;0")</f>
        <v>0</v>
      </c>
      <c r="KA101" s="6">
        <f>COUNTIFS(Table20[Country],Tabela1[[#This Row],[Country]],Table20[400m Medley Classification],"&gt;0")</f>
        <v>0</v>
      </c>
      <c r="KB101" s="6">
        <f>COUNTIFS(Table21[Country],Tabela1[[#This Row],[Country]],Table21[400m Medley Classification],"&gt;0")</f>
        <v>0</v>
      </c>
      <c r="KC101" s="6">
        <f>COUNTIFS(Table78[Country],Tabela1[[#This Row],[Country]],Table78[Men''s 4x100m Freestyle Relay Classification],"&gt;0")</f>
        <v>0</v>
      </c>
      <c r="KD101" s="6">
        <f>COUNTIFS(Table78[Country],Tabela1[[#This Row],[Country]],Table78[Women''s 4x100m Freestyle Relay Classification],"&gt;0")</f>
        <v>0</v>
      </c>
      <c r="KE101" s="6">
        <f>COUNTIFS(Table78[Country],Tabela1[[#This Row],[Country]],Table78[Men''s 4x200m Freestyle Relay Classification],"&gt;0")</f>
        <v>0</v>
      </c>
      <c r="KF101" s="6">
        <f>COUNTIFS(Table78[Country],Tabela1[[#This Row],[Country]],Table78[Women''s 4x200m Freestyle Relay Classification],"&gt;0")</f>
        <v>0</v>
      </c>
      <c r="KG101" s="6">
        <f>COUNTIFS(Table78[Country],Tabela1[[#This Row],[Country]],Table78[Men''s 4x100m Medley Relay Classification],"&gt;0")</f>
        <v>0</v>
      </c>
      <c r="KH101" s="6">
        <f>COUNTIFS(Table78[Country],Tabela1[[#This Row],[Country]],Table78[Women''s 4x100m Medley Relay Classification],"&gt;0")</f>
        <v>0</v>
      </c>
      <c r="KI101" s="6">
        <f>COUNTIFS(Table78[Country],Tabela1[[#This Row],[Country]],Table78[Mixed 4x100m Medley Relay Classification],"&gt;0")</f>
        <v>0</v>
      </c>
      <c r="KJ101" s="6">
        <f>COUNTIFS(Table20[Country],Tabela1[[#This Row],[Country]],Table20[10km Open Water Classification],"&gt;0")</f>
        <v>0</v>
      </c>
      <c r="KK101" s="6">
        <f>COUNTIFS(Table21[Country],Tabela1[[#This Row],[Country]],Table21[10km Open Water Classification],"&gt;0")</f>
        <v>0</v>
      </c>
      <c r="KL101" s="6">
        <f>COUNTIFS(Table22[Country],Tabela1[[#This Row],[Country]],Table22[Classification],"&gt;0")</f>
        <v>0</v>
      </c>
      <c r="KM101" s="6">
        <f>COUNTIFS(Table30[Country],Tabela1[[#This Row],[Country]],Table30[Classification],"&gt;0")</f>
        <v>0</v>
      </c>
      <c r="KN101" s="6">
        <f>COUNTIFS(Table55[Country],Tabela1[[#This Row],[Country]],Table55[Men''s Classification],"&gt;0")</f>
        <v>0</v>
      </c>
      <c r="KO101" s="6">
        <f>COUNTIFS(Table55[Country],Tabela1[[#This Row],[Country]],Table55[Women''s Classification],"&gt;0")</f>
        <v>0</v>
      </c>
      <c r="KP101" s="6">
        <f>COUNTIFS(Table56[Country],Tabela1[[#This Row],[Country]],Table56[Mixed Classification],"&gt;0")</f>
        <v>0</v>
      </c>
      <c r="KQ101" s="6">
        <f>COUNTIFS(Table29[Country],Tabela1[[#This Row],[Country]],Table29[58kg Classification],"&gt;0")</f>
        <v>0</v>
      </c>
      <c r="KR101" s="6">
        <f>COUNTIFS(Table29[Country],Tabela1[[#This Row],[Country]],Table29[68kg Classification],"&gt;0")</f>
        <v>0</v>
      </c>
      <c r="KS101" s="6">
        <f>COUNTIFS(Table29[Country],Tabela1[[#This Row],[Country]],Table29[80kg Classification],"&gt;0")</f>
        <v>0</v>
      </c>
      <c r="KT101" s="6">
        <f>COUNTIFS(Table29[Country],Tabela1[[#This Row],[Country]],Table29[Plus 80kg Classification],"&gt;0")</f>
        <v>0</v>
      </c>
      <c r="KU101" s="6">
        <f>COUNTIFS(Table34[Country],Tabela1[[#This Row],[Country]],Table34[49kg Classification],"&gt;0")</f>
        <v>0</v>
      </c>
      <c r="KV101" s="6">
        <f>COUNTIFS(Table34[Country],Tabela1[[#This Row],[Country]],Table34[57kg Classification],"&gt;0")</f>
        <v>0</v>
      </c>
      <c r="KW101" s="6">
        <f>COUNTIFS(Table34[Country],Tabela1[[#This Row],[Country]],Table34[67kg Classification],"&gt;0")</f>
        <v>0</v>
      </c>
      <c r="KX101" s="6">
        <f>COUNTIFS(Table34[Country],Tabela1[[#This Row],[Country]],Table34[Plus 67kg Classification],"&gt;0")</f>
        <v>0</v>
      </c>
      <c r="KY101" s="6">
        <f>COUNTIFS(Table57[Country],Tabela1[[#This Row],[Country]],Table57[Classification],"&gt;0")</f>
        <v>0</v>
      </c>
      <c r="KZ101" s="6">
        <f>COUNTIFS(Table58[Country],Tabela1[[#This Row],[Country]],Table58[Classification],"&gt;0")</f>
        <v>0</v>
      </c>
      <c r="LA101" s="6">
        <f>COUNTIFS(Table79[Country],Tabela1[[#This Row],[Country]],Table79[Men''s Classification],"&gt;0")</f>
        <v>0</v>
      </c>
      <c r="LB101" s="6">
        <f>COUNTIFS(Table79[Country],Tabela1[[#This Row],[Country]],Table79[Women''s Classification],"&gt;0")</f>
        <v>0</v>
      </c>
      <c r="LC101" s="6">
        <f>COUNTIFS(Table79[Country],Tabela1[[#This Row],[Country]],Table79[Mixed Classification],"&gt;0")</f>
        <v>0</v>
      </c>
      <c r="LD101" s="6">
        <f>COUNTIFS(Table65[Country],Tabela1[[#This Row],[Country]],Table65[Classification],"&gt;0")</f>
        <v>0</v>
      </c>
      <c r="LE101" s="6">
        <f>COUNTIFS(Table59[Country],Tabela1[[#This Row],[Country]],Table59[Classification],"&gt;0")</f>
        <v>0</v>
      </c>
      <c r="LF101" s="6">
        <f>COUNTIFS(Table87[Country],Tabela1[[#This Row],[Country]],Table87[Mixed Relay Classification],"&gt;0")</f>
        <v>0</v>
      </c>
      <c r="LG101" s="6">
        <f>COUNTIFS(Table91949698100[Country],Tabela1[[#This Row],[Country]],Table91949698100[Men''s Classification],"&gt;0")</f>
        <v>0</v>
      </c>
      <c r="LH101" s="6">
        <f>COUNTIFS(Table91949698100[Country],Tabela1[[#This Row],[Country]],Table91949698100[Women''s Classification],"&gt;0")</f>
        <v>0</v>
      </c>
      <c r="LI101" s="6">
        <f>COUNTIFS(Table91949698100102[Country],Tabela1[[#This Row],[Country]],Table91949698100102[Men''s Classification],"&gt;0")</f>
        <v>0</v>
      </c>
      <c r="LJ101" s="6">
        <f>COUNTIFS(Table91949698100102[Country],Tabela1[[#This Row],[Country]],Table91949698100102[Women''s Classification],"&gt;0")</f>
        <v>0</v>
      </c>
      <c r="LK101" s="6">
        <f>COUNTIFS(Table23[Country],Tabela1[[#This Row],[Country]],Table23[61kg Classification],"&gt;0")</f>
        <v>0</v>
      </c>
      <c r="LL101" s="6">
        <f>COUNTIFS(Table23[Country],Tabela1[[#This Row],[Country]],Table23[73kg Classification],"&gt;0")</f>
        <v>0</v>
      </c>
      <c r="LM101" s="6">
        <f>COUNTIFS(Table23[Country],Tabela1[[#This Row],[Country]],Table23[89kg Classification],"&gt;0")</f>
        <v>0</v>
      </c>
      <c r="LN101" s="6">
        <f>COUNTIFS(Table23[Country],Tabela1[[#This Row],[Country]],Table23[102kg Classification],"&gt;0")</f>
        <v>0</v>
      </c>
      <c r="LO101" s="6">
        <f>COUNTIFS(Table23[Country],Tabela1[[#This Row],[Country]],Table23[Plus 102kg Classification],"&gt;0")</f>
        <v>0</v>
      </c>
      <c r="LP101" s="6">
        <f>COUNTIFS(Table28[Country],Tabela1[[#This Row],[Country]],Table28[49kg Classification],"&gt;0")</f>
        <v>0</v>
      </c>
      <c r="LQ101" s="6">
        <f>COUNTIFS(Table28[Country],Tabela1[[#This Row],[Country]],Table28[59kg Classification],"&gt;0")</f>
        <v>0</v>
      </c>
      <c r="LR101" s="6">
        <f>COUNTIFS(Table28[Country],Tabela1[[#This Row],[Country]],Table28[71kg Classification],"&gt;0")</f>
        <v>0</v>
      </c>
      <c r="LS101" s="6">
        <f>COUNTIFS(Table28[Country],Tabela1[[#This Row],[Country]],Table28[81kg Classification],"&gt;0")</f>
        <v>0</v>
      </c>
      <c r="LT101" s="6">
        <f>COUNTIFS(Table28[Country],Tabela1[[#This Row],[Country]],Table28[Plus 81kg Classification],"&gt;0")</f>
        <v>0</v>
      </c>
      <c r="LU101" s="6">
        <f>COUNTIFS(Table24[Country],Tabela1[[#This Row],[Country]],Table24[Freestyle 57kg Classification],"&gt;0")</f>
        <v>0</v>
      </c>
      <c r="LV101" s="6">
        <f>COUNTIFS(Table24[Country],Tabela1[[#This Row],[Country]],Table24[Freestyle 65kg Classification],"&gt;0")</f>
        <v>0</v>
      </c>
      <c r="LW101" s="6">
        <f>COUNTIFS(Table24[Country],Tabela1[[#This Row],[Country]],Table24[Freestyle 74kg Classification],"&gt;0")</f>
        <v>0</v>
      </c>
      <c r="LX101" s="6">
        <f>COUNTIFS(Table24[Country],Tabela1[[#This Row],[Country]],Table24[Freestyle 86kg Classification],"&gt;0")</f>
        <v>0</v>
      </c>
      <c r="LY101" s="6">
        <f>COUNTIFS(Table24[Country],Tabela1[[#This Row],[Country]],Table24[Freestyle 97kg Classification],"&gt;0")</f>
        <v>0</v>
      </c>
      <c r="LZ101" s="6">
        <f>COUNTIFS(Table24[Country],Tabela1[[#This Row],[Country]],Table24[Freestyle 125kg Classification],"&gt;0")</f>
        <v>0</v>
      </c>
      <c r="MA101" s="6">
        <f>COUNTIFS(Table24[Country],Tabela1[[#This Row],[Country]],Table24[Greco-Roman 60kg Classification],"&gt;0")</f>
        <v>0</v>
      </c>
      <c r="MB101" s="6">
        <f>COUNTIFS(Table24[Country],Tabela1[[#This Row],[Country]],Table24[Greco-Roman 67kg Classification],"&gt;0")</f>
        <v>0</v>
      </c>
      <c r="MC101" s="6">
        <f>COUNTIFS(Table24[Country],Tabela1[[#This Row],[Country]],Table24[Greco-Roman 77kg Classification],"&gt;0")</f>
        <v>0</v>
      </c>
      <c r="MD101" s="6">
        <f>COUNTIFS(Table24[Country],Tabela1[[#This Row],[Country]],Table24[Greco-Roman 87kg Classification],"&gt;0")</f>
        <v>0</v>
      </c>
      <c r="ME101" s="6">
        <f>COUNTIFS(Table24[Country],Tabela1[[#This Row],[Country]],Table24[Greco-Roman 97kg Classification],"&gt;0")</f>
        <v>0</v>
      </c>
      <c r="MF101" s="6">
        <f>COUNTIFS(Table24[Country],Tabela1[[#This Row],[Country]],Table24[Greco-Roman 130kg Classification],"&gt;0")</f>
        <v>0</v>
      </c>
      <c r="MG101" s="6">
        <f>COUNTIFS(Table31[Country],Tabela1[[#This Row],[Country]],Table31[50kg Classification],"&gt;0")</f>
        <v>0</v>
      </c>
      <c r="MH101" s="6">
        <f>COUNTIFS(Table31[Country],Tabela1[[#This Row],[Country]],Table31[53kg Classification],"&gt;0")</f>
        <v>0</v>
      </c>
      <c r="MI101" s="6">
        <f>COUNTIFS(Table31[Country],Tabela1[[#This Row],[Country]],Table31[57kg Classification],"&gt;0")</f>
        <v>0</v>
      </c>
      <c r="MJ101" s="6">
        <f>COUNTIFS(Table31[Country],Tabela1[[#This Row],[Country]],Table31[62kg Classification],"&gt;0")</f>
        <v>0</v>
      </c>
      <c r="MK101" s="6">
        <f>COUNTIFS(Table31[Country],Tabela1[[#This Row],[Country]],Table31[68kg Classification],"&gt;0")</f>
        <v>0</v>
      </c>
      <c r="ML101" s="6">
        <f>COUNTIFS(Table31[Country],Tabela1[[#This Row],[Country]],Table31[76kg Classification],"&gt;0")</f>
        <v>0</v>
      </c>
      <c r="MM101" s="6">
        <f>COUNTIFS(Table102[Country],Tabela1[[#This Row],[Country]],Table102[Downhill Classification],"&gt;0")</f>
        <v>0</v>
      </c>
      <c r="MN101" s="6">
        <f>COUNTIFS(Table102105[Country],Tabela1[[#This Row],[Country]],Table102105[Downhill Classification],"&gt;0")</f>
        <v>0</v>
      </c>
      <c r="MO101" s="6">
        <f>COUNTIFS(Table102[Country],Tabela1[[#This Row],[Country]],Table102[Giant Slalom Classification],"&gt;0")</f>
        <v>0</v>
      </c>
      <c r="MP101" s="6">
        <f>COUNTIFS(Table102105[Country],Tabela1[[#This Row],[Country]],Table102105[Giant Slalom Classification],"&gt;0")</f>
        <v>0</v>
      </c>
      <c r="MQ101" s="6">
        <f>COUNTIFS(Table102[Country],Tabela1[[#This Row],[Country]],Table102[Slalom Classification],"&gt;0")</f>
        <v>0</v>
      </c>
      <c r="MR101" s="6">
        <f>COUNTIFS(Table102105[Country],Tabela1[[#This Row],[Country]],Table102105[Slalom Classification],"&gt;0")</f>
        <v>0</v>
      </c>
      <c r="MS101" s="6">
        <f>COUNTIFS(Table102[Country],Tabela1[[#This Row],[Country]],Table102[Super-G Classification],"&gt;0")</f>
        <v>0</v>
      </c>
      <c r="MT101" s="6">
        <f>COUNTIFS(Table102105[Country],Tabela1[[#This Row],[Country]],Table102105[Super-G Classification],"&gt;0")</f>
        <v>0</v>
      </c>
      <c r="MU101" s="6">
        <f>COUNTIFS(Table105[Country],Tabela1[[#This Row],[Country]],Table105[Men''s Combined Classification],"&gt;0")</f>
        <v>0</v>
      </c>
      <c r="MV101" s="6">
        <f>COUNTIFS(Table105[Country],Tabela1[[#This Row],[Country]],Table105[Women''s Combined Classification],"&gt;0")</f>
        <v>0</v>
      </c>
      <c r="MW101" s="6">
        <f>COUNTIFS(Table106[Country],Tabela1[[#This Row],[Country]],Table106[Individual Classification],"&gt;0")</f>
        <v>0</v>
      </c>
      <c r="MX101" s="6">
        <f>COUNTIFS(Table106109[Country],Tabela1[[#This Row],[Country]],Table106109[Individual Classification],"&gt;0")</f>
        <v>0</v>
      </c>
      <c r="MY101" s="6">
        <f>COUNTIFS(Table106[Country],Tabela1[[#This Row],[Country]],Table106[Mass Start Classification],"&gt;0")</f>
        <v>0</v>
      </c>
      <c r="MZ101" s="6">
        <f>COUNTIFS(Table106109[Country],Tabela1[[#This Row],[Country]],Table106109[Mass Start Classification],"&gt;0")</f>
        <v>0</v>
      </c>
      <c r="NA101" s="6">
        <f>COUNTIFS(Table106[Country],Tabela1[[#This Row],[Country]],Table106[Pursuit Classification],"&gt;0")</f>
        <v>0</v>
      </c>
      <c r="NB101" s="6">
        <f>COUNTIFS(Table106109[Country],Tabela1[[#This Row],[Country]],Table106109[Pursuit Classification],"&gt;0")</f>
        <v>0</v>
      </c>
      <c r="NC101" s="6">
        <f>COUNTIFS(Table106[Country],Tabela1[[#This Row],[Country]],Table106[Sprint Classification],"&gt;0")</f>
        <v>0</v>
      </c>
      <c r="ND101" s="6">
        <f>COUNTIFS(Table106109[Country],Tabela1[[#This Row],[Country]],Table106109[Sprint Classification],"&gt;0")</f>
        <v>0</v>
      </c>
      <c r="NE101" s="6">
        <f>COUNTIFS(Table109[Country],Tabela1[[#This Row],[Country]],Table109[Men''s Relay Classification],"&gt;0")</f>
        <v>0</v>
      </c>
      <c r="NF101" s="6">
        <f>COUNTIFS(Table109[Country],Tabela1[[#This Row],[Country]],Table109[Women''s Relay Classification],"&gt;0")</f>
        <v>0</v>
      </c>
      <c r="NG101" s="6">
        <f>COUNTIFS(Table109[Country],Tabela1[[#This Row],[Country]],Table109[Mixed Relay Classification],"&gt;0")</f>
        <v>0</v>
      </c>
      <c r="NH101" s="6">
        <f>COUNTIFS(Table110[Country],Tabela1[[#This Row],[Country]],Table110[Monobob Classification],"&gt;0")</f>
        <v>0</v>
      </c>
      <c r="NI101" s="6">
        <f>COUNTIFS(Table111[Country],Tabela1[[#This Row],[Country]],Table111[Men''s Classification],"&gt;0")</f>
        <v>0</v>
      </c>
      <c r="NJ101" s="6">
        <f>COUNTIFS(Table111[Country],Tabela1[[#This Row],[Country]],Table111[Women''s Classification],"&gt;0")</f>
        <v>0</v>
      </c>
      <c r="NK101" s="6">
        <f>COUNTIFS(Table112[Country],Tabela1[[#This Row],[Country]],Table112[Men''s Four Classification],"&gt;0")</f>
        <v>0</v>
      </c>
      <c r="NL101" s="6">
        <f>COUNTIFS(Table113[Country],Tabela1[[#This Row],[Country]],Table113[Classical Classification],"&gt;0")</f>
        <v>0</v>
      </c>
      <c r="NM101" s="6">
        <f>COUNTIFS(Table113116[Country],Tabela1[[#This Row],[Country]],Table113116[Classical Classification],"&gt;0")</f>
        <v>0</v>
      </c>
      <c r="NN101" s="6">
        <f>COUNTIFS(Table113[Country],Tabela1[[#This Row],[Country]],Table113[Freestyle Classification],"&gt;0")</f>
        <v>0</v>
      </c>
      <c r="NO101" s="6">
        <f>COUNTIFS(Table113116[Country],Tabela1[[#This Row],[Country]],Table113116[Freestyle Classification],"&gt;0")</f>
        <v>0</v>
      </c>
      <c r="NP101" s="6">
        <f>COUNTIFS(Table117[Country],Tabela1[[#This Row],[Country]],Table117[Men''s Relay Classification],"&gt;0")</f>
        <v>0</v>
      </c>
      <c r="NQ101" s="6">
        <f>COUNTIFS(Table117[Country],Tabela1[[#This Row],[Country]],Table117[Women''s Relay Classification],"&gt;0")</f>
        <v>0</v>
      </c>
      <c r="NR101" s="6">
        <f>COUNTIFS(Table113[Country],Tabela1[[#This Row],[Country]],Table113[Skiathlon Classification],"&gt;0")</f>
        <v>0</v>
      </c>
      <c r="NS101" s="6">
        <f>COUNTIFS(Table113116[Country],Tabela1[[#This Row],[Country]],Table113116[Skiathlon Classification],"&gt;0")</f>
        <v>0</v>
      </c>
      <c r="NT101" s="6">
        <f>COUNTIFS(Table113[Country],Tabela1[[#This Row],[Country]],Table113[Sprint Classification],"&gt;0")</f>
        <v>0</v>
      </c>
      <c r="NU101" s="6">
        <f>COUNTIFS(Table113116[Country],Tabela1[[#This Row],[Country]],Table113116[Sprint Classification],"&gt;0")</f>
        <v>0</v>
      </c>
      <c r="NV101" s="6">
        <f>COUNTIFS(Table116[Country],Tabela1[[#This Row],[Country]],Table116[Men''s Team Sprint Classification],"&gt;0")</f>
        <v>0</v>
      </c>
      <c r="NW101" s="6">
        <f>COUNTIFS(Table116[Country],Tabela1[[#This Row],[Country]],Table116[Women''s Team Sprint Classification],"&gt;0")</f>
        <v>0</v>
      </c>
      <c r="NX101" s="6">
        <f>COUNTIFS(Table119[Country],Tabela1[[#This Row],[Country]],Table119[Men''s Classification],"&gt;0")</f>
        <v>0</v>
      </c>
      <c r="NY101" s="6">
        <f>COUNTIFS(Table119[Country],Tabela1[[#This Row],[Country]],Table119[Women''s Classification],"&gt;0")</f>
        <v>0</v>
      </c>
      <c r="NZ101" s="6">
        <f>COUNTIFS(Table118[Country],Tabela1[[#This Row],[Country]],Table118[Mixed Classification],"&gt;0")</f>
        <v>0</v>
      </c>
      <c r="OA101" s="6">
        <f>COUNTIFS(Table120[Country],Tabela1[[#This Row],[Country]],Table120[Classification],"&gt;0")</f>
        <v>0</v>
      </c>
      <c r="OB101" s="6">
        <f>COUNTIFS(Table120123[Country],Tabela1[[#This Row],[Country]],Table120123[Classification],"&gt;0")</f>
        <v>0</v>
      </c>
      <c r="OC101" s="6">
        <f>COUNTIFS(Table123[Country],Tabela1[[#This Row],[Country]],Table123[Ice Dance Classification],"&gt;0")</f>
        <v>0</v>
      </c>
      <c r="OD101" s="6">
        <f>COUNTIFS(Table123[Country],Tabela1[[#This Row],[Country]],Table123[Pair Skating Classification],"&gt;0")</f>
        <v>0</v>
      </c>
      <c r="OE101" s="6">
        <f>COUNTIFS(Table124[Country],Tabela1[[#This Row],[Country]],Table124[Mixed Classification],"&gt;0")</f>
        <v>0</v>
      </c>
      <c r="OF101" s="6">
        <f>COUNTIFS(Table125[Country],Tabela1[[#This Row],[Country]],Table125[Aerials Classification],"&gt;0")</f>
        <v>0</v>
      </c>
      <c r="OG101" s="6">
        <f>COUNTIFS(Table125128[Country],Tabela1[[#This Row],[Country]],Table125128[Aerials Classification],"&gt;0")</f>
        <v>0</v>
      </c>
      <c r="OH101" s="6">
        <f>COUNTIFS(Table128[Country],Tabela1[[#This Row],[Country]],Table128[Mixed Aerials Classification],"&gt;0")</f>
        <v>0</v>
      </c>
      <c r="OI101" s="6">
        <f>COUNTIFS(Table125[Country],Tabela1[[#This Row],[Country]],Table125[Big Air Classification],"&gt;0")</f>
        <v>0</v>
      </c>
      <c r="OJ101" s="6">
        <f>COUNTIFS(Table125128[Country],Tabela1[[#This Row],[Country]],Table125128[Big Air Classification],"&gt;0")</f>
        <v>0</v>
      </c>
      <c r="OK101" s="6">
        <f>COUNTIFS(Table125[Country],Tabela1[[#This Row],[Country]],Table125[Dual Moguls Classification],"&gt;0")</f>
        <v>0</v>
      </c>
      <c r="OL101" s="6">
        <f>COUNTIFS(Table125128[Country],Tabela1[[#This Row],[Country]],Table125128[Dual Moguls Classification],"&gt;0")</f>
        <v>0</v>
      </c>
      <c r="OM101" s="6">
        <f>COUNTIFS(Table125[Country],Tabela1[[#This Row],[Country]],Table125[Halfpipe Classification],"&gt;0")</f>
        <v>0</v>
      </c>
      <c r="ON101" s="6">
        <f>COUNTIFS(Table125128[Country],Tabela1[[#This Row],[Country]],Table125128[Halfpipe Classification],"&gt;0")</f>
        <v>0</v>
      </c>
      <c r="OO101" s="6">
        <f>COUNTIFS(Table125[Country],Tabela1[[#This Row],[Country]],Table125[Moguls Classification],"&gt;0")</f>
        <v>0</v>
      </c>
      <c r="OP101" s="6">
        <f>COUNTIFS(Table125128[Country],Tabela1[[#This Row],[Country]],Table125128[Moguls Classification],"&gt;0")</f>
        <v>0</v>
      </c>
      <c r="OQ101" s="6">
        <f>COUNTIFS(Table125[Country],Tabela1[[#This Row],[Country]],Table125[Ski Cross Classification],"&gt;0")</f>
        <v>0</v>
      </c>
      <c r="OR101" s="6">
        <f>COUNTIFS(Table125128[Country],Tabela1[[#This Row],[Country]],Table125128[Ski Cross Classification],"&gt;0")</f>
        <v>0</v>
      </c>
      <c r="OS101" s="6">
        <f>COUNTIFS(Table125[Country],Tabela1[[#This Row],[Country]],Table125[Slopestyle Classification],"&gt;0")</f>
        <v>0</v>
      </c>
      <c r="OT101" s="6">
        <f>COUNTIFS(Table125128[Country],Tabela1[[#This Row],[Country]],Table125128[Slopestyle Classification],"&gt;0")</f>
        <v>0</v>
      </c>
      <c r="OU101" s="6">
        <f>COUNTIFS(Table119131[Country],Tabela1[[#This Row],[Country]],Table119131[Men''s Classification],"&gt;0")</f>
        <v>0</v>
      </c>
      <c r="OV101" s="6">
        <f>COUNTIFS(Table119131[Country],Tabela1[[#This Row],[Country]],Table119131[Women''s Classification],"&gt;0")</f>
        <v>0</v>
      </c>
      <c r="OW101" s="6">
        <f>COUNTIFS(Table131[Country],Tabela1[[#This Row],[Country]],Table131[Classification],"&gt;0")</f>
        <v>0</v>
      </c>
      <c r="OX101" s="6">
        <f>COUNTIFS(Table131134[Country],Tabela1[[#This Row],[Country]],Table131134[Classification],"&gt;0")</f>
        <v>0</v>
      </c>
      <c r="OY101" s="6">
        <f>COUNTIFS(Table134[Country],Tabela1[[#This Row],[Country]],Table134[Men''s Classification],"&gt;0")</f>
        <v>0</v>
      </c>
      <c r="OZ101" s="6">
        <f>COUNTIFS(Table134[Country],Tabela1[[#This Row],[Country]],Table134[Women''s Classification],"&gt;0")</f>
        <v>0</v>
      </c>
      <c r="PA101" s="6">
        <f>COUNTIFS(Table135[Country],Tabela1[[#This Row],[Country]],Table135[Mixed Relay Classification],"&gt;0")</f>
        <v>0</v>
      </c>
      <c r="PB101" s="6">
        <f>COUNTIFS(Table136[Country],Tabela1[[#This Row],[Country]],Table136[Individual Classification],"&gt;0")</f>
        <v>0</v>
      </c>
      <c r="PC101" s="6">
        <f>COUNTIFS(Table136[Country],Tabela1[[#This Row],[Country]],Table136[Sprint Classification],"&gt;0")</f>
        <v>0</v>
      </c>
      <c r="PD101" s="6">
        <f>COUNTIFS(Table137[Country],Tabela1[[#This Row],[Country]],Table137[Men''s Team Sprint Large Hill Classification],"&gt;0")</f>
        <v>0</v>
      </c>
      <c r="PE101" s="6">
        <f>COUNTIFS(Table138[Country],Tabela1[[#This Row],[Country]],Table138[500m Classification],"&gt;0")</f>
        <v>0</v>
      </c>
      <c r="PF101" s="6">
        <f>COUNTIFS(Table138141[Country],Tabela1[[#This Row],[Country]],Table138141[500m Classification],"&gt;0")</f>
        <v>0</v>
      </c>
      <c r="PG101" s="6">
        <f>COUNTIFS(Table138[Country],Tabela1[[#This Row],[Country]],Table138[1000m Classification],"&gt;0")</f>
        <v>0</v>
      </c>
      <c r="PH101" s="6">
        <f>COUNTIFS(Table138141[Country],Tabela1[[#This Row],[Country]],Table138141[1000m Classification],"&gt;0")</f>
        <v>0</v>
      </c>
      <c r="PI101" s="6">
        <f>COUNTIFS(Table138[Country],Tabela1[[#This Row],[Country]],Table138[1500m Classification],"&gt;0")</f>
        <v>0</v>
      </c>
      <c r="PJ101" s="6">
        <f>COUNTIFS(Table138141[Country],Tabela1[[#This Row],[Country]],Table138141[1500m Classification],"&gt;0")</f>
        <v>0</v>
      </c>
      <c r="PK101" s="6">
        <f>COUNTIFS(Table141[Country],Tabela1[[#This Row],[Country]],Table141[Men''s 5000m Relay Classification],"&gt;0")</f>
        <v>0</v>
      </c>
      <c r="PL101" s="6">
        <f>COUNTIFS(Table141[Country],Tabela1[[#This Row],[Country]],Table141[Women''s 3000m Relay Classification],"&gt;0")</f>
        <v>0</v>
      </c>
      <c r="PM101" s="6">
        <f>COUNTIFS(Table141[Country],Tabela1[[#This Row],[Country]],Table141[Mixed 2000m Relay Classification],"&gt;0")</f>
        <v>0</v>
      </c>
      <c r="PN101" s="6">
        <f>COUNTIFS(Table142[Country],Tabela1[[#This Row],[Country]],Table142[Classification],"&gt;0")</f>
        <v>0</v>
      </c>
      <c r="PO101" s="6">
        <f>COUNTIFS(Table142145[Country],Tabela1[[#This Row],[Country]],Table142145[Classification],"&gt;0")</f>
        <v>0</v>
      </c>
      <c r="PP101" s="6">
        <f>COUNTIFS(Tabela15[Country],Tabela1[[#This Row],[Country]],Tabela15[Mixed Team Classification],"&gt;0")</f>
        <v>0</v>
      </c>
      <c r="PQ101" s="6">
        <f>COUNTIFS(Table145[Country],Tabela1[[#This Row],[Country]],Table145[Large Hill Classification],"&gt;0")</f>
        <v>0</v>
      </c>
      <c r="PR101" s="6">
        <f>COUNTIFS(Table145[Country],Tabela1[[#This Row],[Country]],Table145[Normal Hill Classification],"&gt;0")</f>
        <v>0</v>
      </c>
      <c r="PS101" s="6">
        <f>COUNTIFS(Table145148[Country],Tabela1[[#This Row],[Country]],Table145148[Large Hill Classification],"&gt;0")</f>
        <v>0</v>
      </c>
      <c r="PT101" s="6">
        <f>COUNTIFS(Table145148[Country],Tabela1[[#This Row],[Country]],Table145148[Normal Hill Classification],"&gt;0")</f>
        <v>0</v>
      </c>
      <c r="PU101" s="6">
        <f>COUNTIFS(Table148[Country],Tabela1[[#This Row],[Country]],Table148[Men''s Super Team Classification],"&gt;0")</f>
        <v>0</v>
      </c>
      <c r="PV101" s="6">
        <f>COUNTIFS(Tabela114[Country],Tabela1[[#This Row],[Country]],Tabela114[Mixed Normal Hill Classification],"&gt;0")</f>
        <v>0</v>
      </c>
      <c r="PW101" s="6">
        <f>COUNTIFS(Tabela50[Country],Tabela1[[#This Row],[Country]],Tabela50[Sprint Classification],"&gt;0")</f>
        <v>0</v>
      </c>
      <c r="PX101" s="6">
        <f>COUNTIFS(Tabela50101[Country],Tabela1[[#This Row],[Country]],Tabela50101[Sprint Classification],"&gt;0")</f>
        <v>0</v>
      </c>
      <c r="PY101" s="6">
        <f>COUNTIFS(Tabela103[Country],Tabela1[[#This Row],[Country]],Tabela103[Mixed Relay Classification],"&gt;0")</f>
        <v>0</v>
      </c>
      <c r="PZ101" s="6">
        <f>COUNTIFS(Table149[Country],Tabela1[[#This Row],[Country]],Table149[Big Air Classification],"&gt;0")</f>
        <v>0</v>
      </c>
      <c r="QA101" s="6">
        <f>COUNTIFS(Table149152[Country],Tabela1[[#This Row],[Country]],Table149152[Big Air Classification],"&gt;0")</f>
        <v>0</v>
      </c>
      <c r="QB101" s="6">
        <f>COUNTIFS(Table149[Country],Tabela1[[#This Row],[Country]],Table149[Halfpipe Classification],"&gt;0")</f>
        <v>0</v>
      </c>
      <c r="QC101" s="6">
        <f>COUNTIFS(Table149152[Country],Tabela1[[#This Row],[Country]],Table149152[Halfpipe Classification],"&gt;0")</f>
        <v>0</v>
      </c>
      <c r="QD101" s="6">
        <f>COUNTIFS(Table149[Country],Tabela1[[#This Row],[Country]],Table149[Parallel Giant Slalom Classification],"&gt;0")</f>
        <v>0</v>
      </c>
      <c r="QE101" s="6">
        <f>COUNTIFS(Table149152[Country],Tabela1[[#This Row],[Country]],Table149152[Parallel Giant Slalom Classification],"&gt;0")</f>
        <v>0</v>
      </c>
      <c r="QF101" s="6">
        <f>COUNTIFS(Table149[Country],Tabela1[[#This Row],[Country]],Table149[Slopestyle Classification],"&gt;0")</f>
        <v>0</v>
      </c>
      <c r="QG101" s="6">
        <f>COUNTIFS(Table149152[Country],Tabela1[[#This Row],[Country]],Table149152[Slopestyle Classification],"&gt;0")</f>
        <v>0</v>
      </c>
      <c r="QH101" s="6">
        <f>COUNTIFS(Table149[Country],Tabela1[[#This Row],[Country]],Table149[Snowboard Cross Classification],"&gt;0")</f>
        <v>0</v>
      </c>
      <c r="QI101" s="6">
        <f>COUNTIFS(Table149152[Country],Tabela1[[#This Row],[Country]],Table149152[Snowboard Cross Classification],"&gt;0")</f>
        <v>0</v>
      </c>
      <c r="QJ101" s="6">
        <f>COUNTIFS(Table153[Country],Tabela1[[#This Row],[Country]],Table153[Mixed Team Snowboard Cross Classification],"&gt;0")</f>
        <v>0</v>
      </c>
      <c r="QK101" s="6">
        <f>COUNTIFS(Table154[Country],Tabela1[[#This Row],[Country]],Table154[500m Classification],"&gt;0")</f>
        <v>0</v>
      </c>
      <c r="QL101" s="6">
        <f>COUNTIFS(Table154157[Country],Tabela1[[#This Row],[Country]],Table154157[500m Classification],"&gt;0")</f>
        <v>0</v>
      </c>
      <c r="QM101" s="6">
        <f>COUNTIFS(Table154[Country],Tabela1[[#This Row],[Country]],Table154[1000m Classification],"&gt;0")</f>
        <v>0</v>
      </c>
      <c r="QN101" s="6">
        <f>COUNTIFS(Table154157[Country],Tabela1[[#This Row],[Country]],Table154157[1000m Classification],"&gt;0")</f>
        <v>0</v>
      </c>
      <c r="QO101" s="6">
        <f>COUNTIFS(Table154[Country],Tabela1[[#This Row],[Country]],Table154[1500m Classification],"&gt;0")</f>
        <v>0</v>
      </c>
      <c r="QP101" s="6">
        <f>COUNTIFS(Table154157[Country],Tabela1[[#This Row],[Country]],Table154157[1500m Classification],"&gt;0")</f>
        <v>0</v>
      </c>
      <c r="QQ101" s="6">
        <f>COUNTIFS(Table154157[Country],Tabela1[[#This Row],[Country]],Table154157[3000m Classification],"&gt;0")</f>
        <v>0</v>
      </c>
      <c r="QR101" s="6">
        <f>COUNTIFS(Table154[Country],Tabela1[[#This Row],[Country]],Table154[5000m Classification],"&gt;0")</f>
        <v>0</v>
      </c>
      <c r="QS101" s="6">
        <f>COUNTIFS(Table154157[Country],Tabela1[[#This Row],[Country]],Table154157[5000m Classification],"&gt;0")</f>
        <v>0</v>
      </c>
      <c r="QT101" s="6">
        <f>COUNTIFS(Table154[Country],Tabela1[[#This Row],[Country]],Table154[10000m Classification],"&gt;0")</f>
        <v>0</v>
      </c>
      <c r="QU101" s="6">
        <f>COUNTIFS(Table154[Country],Tabela1[[#This Row],[Country]],Table154[Mass Start Classification],"&gt;0")</f>
        <v>0</v>
      </c>
      <c r="QV101" s="6">
        <f>COUNTIFS(Table154157[Country],Tabela1[[#This Row],[Country]],Table154157[Mass Start Classification],"&gt;0")</f>
        <v>0</v>
      </c>
      <c r="QW101" s="6">
        <f>COUNTIFS(Table157[Country],Tabela1[[#This Row],[Country]],Table157[Men''s Pursuit Classification],"&gt;0")</f>
        <v>0</v>
      </c>
      <c r="QX101" s="6">
        <f>COUNTIFS(Table157[Country],Tabela1[[#This Row],[Country]],Table157[Women''s Pursuit Classification],"&gt;0")</f>
        <v>0</v>
      </c>
      <c r="QY101" s="4" t="s">
        <v>733</v>
      </c>
    </row>
    <row r="102" spans="1:467" x14ac:dyDescent="0.3">
      <c r="A102" s="6">
        <v>101</v>
      </c>
      <c r="B102" s="6" t="s">
        <v>540</v>
      </c>
      <c r="C102" t="e" vm="101">
        <f>IF(ISBLANK(Tabela1[[#This Row],[Image Link]]), "", _xlfn.IMAGE(Tabela1[[#This Row],[Image Link]],1,1))</f>
        <v>#VALUE!</v>
      </c>
      <c r="D102" s="6">
        <f>SUM(Tabela1[[#This Row],[Archery - Men''s Individual Recurve]:[Speed Skating - Women''s Team Pursuit]])</f>
        <v>3</v>
      </c>
      <c r="E102" s="6">
        <f>COUNTIF(Tabela1[[#This Row],[Archery - Men''s Individual Recurve]:[Speed Skating - Women''s Team Pursuit]],"&gt;0")</f>
        <v>3</v>
      </c>
      <c r="F102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02" s="6">
        <f>SUM(Tabela1[[#This Row],[Archery - Men''s Individual Recurve]:[Wrestling - Women''s Freestyle 76kg]])</f>
        <v>3</v>
      </c>
      <c r="H102" s="6">
        <f>SUM(Tabela1[[#This Row],[Alpine Skiing - Men''s Downhill]:[Speed Skating - Women''s Team Pursuit]])</f>
        <v>0</v>
      </c>
      <c r="I102" s="6">
        <f>Tabela1[[#This Row],[Summer Gold Medals]]+Tabela1[[#This Row],[Winter Gold Medals]]</f>
        <v>0</v>
      </c>
      <c r="J102" s="6">
        <f>Tabela1[[#This Row],[Summer Silver Medals]]+Tabela1[[#This Row],[Winter Silver Medals]]</f>
        <v>0</v>
      </c>
      <c r="K102" s="6">
        <f>Tabela1[[#This Row],[Summer Bronze Medals]]+Tabela1[[#This Row],[Winter Bronze Medals]]</f>
        <v>0</v>
      </c>
      <c r="L102" s="6">
        <f>SUM(Tabela1[[#This Row],[Total Gold Medals]:[Total Bronze Medals]])</f>
        <v>0</v>
      </c>
      <c r="M102" s="6"/>
      <c r="N102" s="6"/>
      <c r="O102" s="6"/>
      <c r="P102" s="6">
        <f>SUM(Tabela1[[#This Row],[Summer Gold Medals]:[Summer Bronze Medals]])</f>
        <v>0</v>
      </c>
      <c r="Q102" s="6"/>
      <c r="R102" s="6"/>
      <c r="S102" s="6"/>
      <c r="T102" s="6">
        <f>Tabela1[[#This Row],[Winter Gold Medals]]+Tabela1[[#This Row],[Winter Silver Medals]]+Tabela1[[#This Row],[Winter Bronze Medals]]</f>
        <v>0</v>
      </c>
      <c r="U102" s="7">
        <f>Tabela1[[#This Row],[Total Medals]]/Tabela1[[#This Row],[Total Quotas]]</f>
        <v>0</v>
      </c>
      <c r="V102" s="6">
        <f>COUNTIFS(Table3[Country],Tabela1[[#This Row],[Country]],Table3[Recurve Classification],"&gt;0")</f>
        <v>0</v>
      </c>
      <c r="W102" s="6">
        <f>COUNTIFS(Table33[Country],Tabela1[[#This Row],[Country]],Table33[Recurve Classification],"&gt;0")</f>
        <v>0</v>
      </c>
      <c r="X102" s="6">
        <f>COUNTIFS(Table35[Country],Tabela1[[#This Row],[Country]],Table35[Men''s Team Recurve Classification],"&gt;0")</f>
        <v>0</v>
      </c>
      <c r="Y102" s="6">
        <f>COUNTIFS(Table35[Country],Tabela1[[#This Row],[Country]],Table35[Women''s Team Recurve Classification],"&gt;0")</f>
        <v>0</v>
      </c>
      <c r="Z102" s="6">
        <f>COUNTIFS(Tabela88[Country],Tabela1[[#This Row],[Country]],Tabela88[Mixed Team Recurve Classification],"&gt;0")</f>
        <v>0</v>
      </c>
      <c r="AA102" s="6">
        <f>COUNTIFS(Table36[Country],Tabela1[[#This Row],[Country]],Table36[Classification],"&gt;0")</f>
        <v>0</v>
      </c>
      <c r="AB102" s="6">
        <f>COUNTIFS(Table37[Country],Tabela1[[#This Row],[Country]],Table37[Classification],"&gt;0")</f>
        <v>0</v>
      </c>
      <c r="AC102" s="6">
        <f>COUNTIFS(Table4[Country],Tabela1[[#This Row],[Country]],Table4[100m Classification],"&gt;0")</f>
        <v>0</v>
      </c>
      <c r="AD102" s="6">
        <f>COUNTIFS(Table5[Country],Tabela1[[#This Row],[Country]],Table5[100m Classification],"&gt;0")</f>
        <v>0</v>
      </c>
      <c r="AE102" s="6">
        <f>COUNTIFS(Table4[Country],Tabela1[[#This Row],[Country]],Table4[200m Classification],"&gt;0")</f>
        <v>0</v>
      </c>
      <c r="AF102" s="6">
        <f>COUNTIFS(Table5[Country],Tabela1[[#This Row],[Country]],Table5[200m Classification],"&gt;0")</f>
        <v>0</v>
      </c>
      <c r="AG102" s="6">
        <f>COUNTIFS(Table4[Country],Tabela1[[#This Row],[Country]],Table4[400m Classification],"&gt;0")</f>
        <v>0</v>
      </c>
      <c r="AH102" s="6">
        <f>COUNTIFS(Table5[Country],Tabela1[[#This Row],[Country]],Table5[400m Classification],"&gt;0")</f>
        <v>0</v>
      </c>
      <c r="AI102" s="6">
        <f>COUNTIFS(Table4[Country],Tabela1[[#This Row],[Country]],Table4[800m Classification],"&gt;0")</f>
        <v>0</v>
      </c>
      <c r="AJ102" s="6">
        <f>COUNTIFS(Table5[Country],Tabela1[[#This Row],[Country]],Table5[800m Classification],"&gt;0")</f>
        <v>0</v>
      </c>
      <c r="AK102" s="6">
        <f>COUNTIFS(Table4[Country],Tabela1[[#This Row],[Country]],Table4[1500m Classification],"&gt;0")</f>
        <v>0</v>
      </c>
      <c r="AL102" s="6">
        <f>COUNTIFS(Table5[Country],Tabela1[[#This Row],[Country]],Table5[1500m Classification],"&gt;0")</f>
        <v>0</v>
      </c>
      <c r="AM102" s="6">
        <f>COUNTIFS(Table4[Country],Tabela1[[#This Row],[Country]],Table4[5000m Classification],"&gt;0")</f>
        <v>0</v>
      </c>
      <c r="AN102" s="6">
        <f>COUNTIFS(Table5[Country],Tabela1[[#This Row],[Country]],Table5[5000m Classification],"&gt;0")</f>
        <v>0</v>
      </c>
      <c r="AO102" s="6">
        <f>COUNTIFS(Table4[Country],Tabela1[[#This Row],[Country]],Table4[10000m Classification],"&gt;0")</f>
        <v>0</v>
      </c>
      <c r="AP102" s="6">
        <f>COUNTIFS(Table5[Country],Tabela1[[#This Row],[Country]],Table5[10000m Classification],"&gt;0")</f>
        <v>0</v>
      </c>
      <c r="AQ102" s="6">
        <f>COUNTIFS(Table4[Country],Tabela1[[#This Row],[Country]],Table4[110m Hurdles Classification],"&gt;0")</f>
        <v>0</v>
      </c>
      <c r="AR102" s="6">
        <f>COUNTIFS(Table5[Country],Tabela1[[#This Row],[Country]],Table5[100m Hurdles Classification],"&gt;0")</f>
        <v>0</v>
      </c>
      <c r="AS102" s="6">
        <f>COUNTIFS(Table4[Country],Tabela1[[#This Row],[Country]],Table4[400m Hurdles Classification],"&gt;0")</f>
        <v>0</v>
      </c>
      <c r="AT102" s="6">
        <f>COUNTIFS(Table5[Country],Tabela1[[#This Row],[Country]],Table5[400m Hurdles Classification],"&gt;0")</f>
        <v>0</v>
      </c>
      <c r="AU102" s="6">
        <f>COUNTIFS(Table4[Country],Tabela1[[#This Row],[Country]],Table4[3000m Steeplechase Classification],"&gt;0")</f>
        <v>0</v>
      </c>
      <c r="AV102" s="6">
        <f>COUNTIFS(Table5[Country],Tabela1[[#This Row],[Country]],Table5[3000m Steeplechase Classification],"&gt;0")</f>
        <v>0</v>
      </c>
      <c r="AW102" s="6">
        <f>COUNTIFS(Table27[Country],Tabela1[[#This Row],[Country]],Table27[Men''s 4x100m Relay Classification],"&gt;0")</f>
        <v>0</v>
      </c>
      <c r="AX102" s="6">
        <f>COUNTIFS(Table27[Country],Tabela1[[#This Row],[Country]],Table27[Women''s 4x100m Relay Classification],"&gt;0")</f>
        <v>0</v>
      </c>
      <c r="AY102" s="6">
        <f>COUNTIFS(Table27[Country],Tabela1[[#This Row],[Country]],Table27[Men''s 4x400m Relay Classification],"&gt;0")</f>
        <v>0</v>
      </c>
      <c r="AZ102" s="6">
        <f>COUNTIFS(Table27[Country],Tabela1[[#This Row],[Country]],Table27[Women''s 4x400m Relay Classification],"&gt;0")</f>
        <v>0</v>
      </c>
      <c r="BA102" s="6">
        <f>COUNTIFS(Table27[Country],Tabela1[[#This Row],[Country]],Table27[Mixed 4x400m Relay Classification],"&gt;0")</f>
        <v>0</v>
      </c>
      <c r="BB102" s="6">
        <f>COUNTIFS(Table4[Country],Tabela1[[#This Row],[Country]],Table4[Marathon Classification],"&gt;0")</f>
        <v>0</v>
      </c>
      <c r="BC102" s="6">
        <f>COUNTIFS(Table5[Country],Tabela1[[#This Row],[Country]],Table5[Marathon Classification],"&gt;0")</f>
        <v>0</v>
      </c>
      <c r="BD102" s="6">
        <f>COUNTIFS(Table4[Country],Tabela1[[#This Row],[Country]],Table4[20km Race Walk Classification],"&gt;0")</f>
        <v>0</v>
      </c>
      <c r="BE102" s="6">
        <f>COUNTIFS(Table5[Country],Tabela1[[#This Row],[Country]],Table5[20km Race Walk Classification],"&gt;0")</f>
        <v>0</v>
      </c>
      <c r="BF102" s="6">
        <f>COUNTIFS(Tabela96[Country],Tabela1[[#This Row],[Country]],Tabela96[Mixed Marathon Race Walk Relay Classification],"&gt;0")</f>
        <v>0</v>
      </c>
      <c r="BG102" s="6">
        <f>COUNTIFS(Table4[Country],Tabela1[[#This Row],[Country]],Table4[Discus Throw Classification],"&gt;0")</f>
        <v>0</v>
      </c>
      <c r="BH102" s="6">
        <f>COUNTIFS(Table5[Country],Tabela1[[#This Row],[Country]],Table5[Discus Throw Classification],"&gt;0")</f>
        <v>0</v>
      </c>
      <c r="BI102" s="6">
        <f>COUNTIFS(Table4[Country],Tabela1[[#This Row],[Country]],Table4[Hammer Throw Classification],"&gt;0")</f>
        <v>0</v>
      </c>
      <c r="BJ102" s="6">
        <f>COUNTIFS(Table5[Country],Tabela1[[#This Row],[Country]],Table5[Hammer Throw Classification],"&gt;0")</f>
        <v>0</v>
      </c>
      <c r="BK102" s="6">
        <f>COUNTIFS(Table4[Country],Tabela1[[#This Row],[Country]],Table4[High Jump Classification],"&gt;0")</f>
        <v>0</v>
      </c>
      <c r="BL102" s="6">
        <f>COUNTIFS(Table5[Country],Tabela1[[#This Row],[Country]],Table5[High Jump Classification],"&gt;0")</f>
        <v>0</v>
      </c>
      <c r="BM102" s="6">
        <f>COUNTIFS(Table4[Country],Tabela1[[#This Row],[Country]],Table4[Javelin Throw Classification],"&gt;0")</f>
        <v>0</v>
      </c>
      <c r="BN102" s="6">
        <f>COUNTIFS(Table5[Country],Tabela1[[#This Row],[Country]],Table5[Javelin Throw Classification],"&gt;0")</f>
        <v>0</v>
      </c>
      <c r="BO102" s="6">
        <f>COUNTIFS(Table4[Country],Tabela1[[#This Row],[Country]],Table4[Long Jump Classification],"&gt;0")</f>
        <v>0</v>
      </c>
      <c r="BP102" s="6">
        <f>COUNTIFS(Table5[Country],Tabela1[[#This Row],[Country]],Table5[Long Jump Classification],"&gt;0")</f>
        <v>0</v>
      </c>
      <c r="BQ102" s="6">
        <f>COUNTIFS(Table4[Country],Tabela1[[#This Row],[Country]],Table4[Pole Vault Classification],"&gt;0")</f>
        <v>0</v>
      </c>
      <c r="BR102" s="6">
        <f>COUNTIFS(Table5[Country],Tabela1[[#This Row],[Country]],Table5[Pole Vault Classification],"&gt;0")</f>
        <v>0</v>
      </c>
      <c r="BS102" s="6">
        <f>COUNTIFS(Table4[Country],Tabela1[[#This Row],[Country]],Table4[Shot Put Classification],"&gt;0")</f>
        <v>0</v>
      </c>
      <c r="BT102" s="6">
        <f>COUNTIFS(Table5[Country],Tabela1[[#This Row],[Country]],Table5[Shot Put Classification],"&gt;0")</f>
        <v>0</v>
      </c>
      <c r="BU102" s="6">
        <f>COUNTIFS(Table4[Country],Tabela1[[#This Row],[Country]],Table4[Triple Jump Classification],"&gt;0")</f>
        <v>0</v>
      </c>
      <c r="BV102" s="6">
        <f>COUNTIFS(Table5[Country],Tabela1[[#This Row],[Country]],Table5[Triple Jump Classification],"&gt;0")</f>
        <v>0</v>
      </c>
      <c r="BW102" s="6">
        <f>COUNTIFS(Table4[Country],Tabela1[[#This Row],[Country]],Table4[Decathlon Classification],"&gt;0")</f>
        <v>0</v>
      </c>
      <c r="BX102" s="6">
        <f>COUNTIFS(Table5[Country],Tabela1[[#This Row],[Country]],Table5[Heptathlon Classification],"&gt;0")</f>
        <v>0</v>
      </c>
      <c r="BY102" s="6">
        <f>COUNTIFS(Table61[Country],Tabela1[[#This Row],[Country]],Table61[Classification],"&gt;0")</f>
        <v>0</v>
      </c>
      <c r="BZ102" s="6">
        <f>COUNTIFS(Table38[Country],Tabela1[[#This Row],[Country]],Table38[Classification],"&gt;0")</f>
        <v>0</v>
      </c>
      <c r="CA102" s="6">
        <f>COUNTIFS(Table39[Country],Tabela1[[#This Row],[Country]],Table39[Men''s Classification],"&gt;0")</f>
        <v>0</v>
      </c>
      <c r="CB102" s="6">
        <f>COUNTIFS(Table39[Country],Tabela1[[#This Row],[Country]],Table39[Women''s Classification],"&gt;0")</f>
        <v>0</v>
      </c>
      <c r="CC102" s="6">
        <f>COUNTIFS(Table39[Country],Tabela1[[#This Row],[Country]],Table39[Mixed Classification],"&gt;0")</f>
        <v>0</v>
      </c>
      <c r="CD102" s="6">
        <f>COUNTIFS(Table89[Country],Tabela1[[#This Row],[Country]],Table89[Men''s Classification],"&gt;0")</f>
        <v>0</v>
      </c>
      <c r="CE102" s="6">
        <f>COUNTIFS(Table89[Country],Tabela1[[#This Row],[Country]],Table89[Women''s Classification],"&gt;0")</f>
        <v>0</v>
      </c>
      <c r="CF102" s="6">
        <f>COUNTIFS(Table90[Country],Tabela1[[#This Row],[Country]],Table90[Men''s Classification],"&gt;0")</f>
        <v>0</v>
      </c>
      <c r="CG102" s="6">
        <f>COUNTIFS(Table90[Country],Tabela1[[#This Row],[Country]],Table90[Women''s Classification],"&gt;0")</f>
        <v>0</v>
      </c>
      <c r="CH102" s="6">
        <f>COUNTIFS(Table60[Country],Tabela1[[#This Row],[Country]],Table60[Men''s Classification],"&gt;0")</f>
        <v>0</v>
      </c>
      <c r="CI102" s="6">
        <f>COUNTIFS(Table60[Country],Tabela1[[#This Row],[Country]],Table60[Women''s Classification],"&gt;0")</f>
        <v>0</v>
      </c>
      <c r="CJ102" s="6">
        <f>COUNTIFS(Table6[Country],Tabela1[[#This Row],[Country]],Table6[51kg Classification],"&gt;0")</f>
        <v>0</v>
      </c>
      <c r="CK102" s="6">
        <f>COUNTIFS(Table6[Country],Tabela1[[#This Row],[Country]],Table6[57kg Classification],"&gt;0")</f>
        <v>0</v>
      </c>
      <c r="CL102" s="6">
        <f>COUNTIFS(Table6[Country],Tabela1[[#This Row],[Country]],Table6[63.5kg Classification],"&gt;0")</f>
        <v>0</v>
      </c>
      <c r="CM102" s="6">
        <f>COUNTIFS(Table6[Country],Tabela1[[#This Row],[Country]],Table6[71kg Classification],"&gt;0")</f>
        <v>0</v>
      </c>
      <c r="CN102" s="6">
        <f>COUNTIFS(Table6[Country],Tabela1[[#This Row],[Country]],Table6[80kg Classification],"&gt;0")</f>
        <v>0</v>
      </c>
      <c r="CO102" s="6">
        <f>COUNTIFS(Table6[Country],Tabela1[[#This Row],[Country]],Table6[92kg Classification],"&gt;0")</f>
        <v>0</v>
      </c>
      <c r="CP102" s="6">
        <f>COUNTIFS(Table6[Country],Tabela1[[#This Row],[Country]],Table6[Plus 92kg Classification],"&gt;0")</f>
        <v>0</v>
      </c>
      <c r="CQ102" s="6">
        <f>COUNTIFS(Table7[Country],Tabela1[[#This Row],[Country]],Table7[50kg Classification],"&gt;0")</f>
        <v>0</v>
      </c>
      <c r="CR102" s="6">
        <f>COUNTIFS(Table7[Country],Tabela1[[#This Row],[Country]],Table7[54kg Classification],"&gt;0")</f>
        <v>0</v>
      </c>
      <c r="CS102" s="6">
        <f>COUNTIFS(Table7[Country],Tabela1[[#This Row],[Country]],Table7[57kg Classification],"&gt;0")</f>
        <v>0</v>
      </c>
      <c r="CT102" s="6">
        <f>COUNTIFS(Table7[Country],Tabela1[[#This Row],[Country]],Table7[60kg Classification],"&gt;0")</f>
        <v>0</v>
      </c>
      <c r="CU102" s="6">
        <f>COUNTIFS(Table7[Country],Tabela1[[#This Row],[Country]],Table7[66kg Classification],"&gt;0")</f>
        <v>0</v>
      </c>
      <c r="CV102" s="6">
        <f>COUNTIFS(Table7[Country],Tabela1[[#This Row],[Country]],Table7[75kg Classification],"&gt;0")</f>
        <v>0</v>
      </c>
      <c r="CW102" s="6">
        <f>COUNTIFS(Tabela94[Country],Tabela1[[#This Row],[Country]],Tabela94[Classification],"&gt;0")</f>
        <v>0</v>
      </c>
      <c r="CX102" s="6">
        <f>COUNTIFS(Tabela9499[Country],Tabela1[[#This Row],[Country]],Tabela9499[Classification],"&gt;0")</f>
        <v>0</v>
      </c>
      <c r="CY102" s="6">
        <f>COUNTIFS(Tabela107[Country],Tabela1[[#This Row],[Country]],Tabela107[C1 Slalom Classification],"&gt;0")</f>
        <v>0</v>
      </c>
      <c r="CZ102" s="6">
        <f>COUNTIFS(Tabela107122[Country],Tabela1[[#This Row],[Country]],Tabela107122[C1 Slalom Classification],"&gt;0")</f>
        <v>0</v>
      </c>
      <c r="DA102" s="6">
        <f>COUNTIFS(Tabela107[Country],Tabela1[[#This Row],[Country]],Tabela107[K1 Slalom Classification],"&gt;0")</f>
        <v>0</v>
      </c>
      <c r="DB102" s="6">
        <f>COUNTIFS(Tabela107122[Country],Tabela1[[#This Row],[Country]],Tabela107122[K1 Slalom Classification],"&gt;0")</f>
        <v>0</v>
      </c>
      <c r="DC102" s="6">
        <f>COUNTIFS(Tabela107[Country],Tabela1[[#This Row],[Country]],Tabela107[Kayak Cross Slalom Classification],"&gt;0")</f>
        <v>0</v>
      </c>
      <c r="DD102" s="6">
        <f>COUNTIFS(Tabela107122[Country],Tabela1[[#This Row],[Country]],Tabela107122[Kayak Cross Slalom Classification],"&gt;0")</f>
        <v>0</v>
      </c>
      <c r="DE102" s="6">
        <f>COUNTIFS(Table8[Country],Tabela1[[#This Row],[Country]],Table8[C1 200m Classification],"&gt;0")</f>
        <v>0</v>
      </c>
      <c r="DF102" s="6">
        <f>COUNTIFS(Table40[Country],Tabela1[[#This Row],[Country]],Table40[C1 1000m Classification],"&gt;0")</f>
        <v>0</v>
      </c>
      <c r="DG102" s="6">
        <f>COUNTIFS(Table68[Country],Tabela1[[#This Row],[Country]],Table68[Men''s C2 500m Classification],"&gt;0")</f>
        <v>0</v>
      </c>
      <c r="DH102" s="6">
        <f>COUNTIFS(Table68[Country],Tabela1[[#This Row],[Country]],Table68[Women''s C2 500m Classification],"&gt;0")</f>
        <v>0</v>
      </c>
      <c r="DI102" s="6">
        <f>COUNTIFS(Table8[Country],Tabela1[[#This Row],[Country]],Table8[K1 500m Classification],"&gt;0")</f>
        <v>0</v>
      </c>
      <c r="DJ102" s="6">
        <f>COUNTIFS(Table40[Country],Tabela1[[#This Row],[Country]],Table40[K1 1000m Classification],"&gt;0")</f>
        <v>0</v>
      </c>
      <c r="DK102" s="6">
        <f>COUNTIFS(Table68[Country],Tabela1[[#This Row],[Country]],Table68[Men''s K2 500m Classification],"&gt;0")</f>
        <v>0</v>
      </c>
      <c r="DL102" s="6">
        <f>COUNTIFS(Table68[Country],Tabela1[[#This Row],[Country]],Table68[Women''s K2 500m Classification],"&gt;0")</f>
        <v>0</v>
      </c>
      <c r="DM102" s="6">
        <f>COUNTIFS(Table83[Country],Tabela1[[#This Row],[Country]],Table83[Men''s K4 500m Classification],"&gt;0")</f>
        <v>0</v>
      </c>
      <c r="DN102" s="6">
        <f>COUNTIFS(Table83[Country],Tabela1[[#This Row],[Country]],Table83[Women''s K4 500m Classification],"&gt;0")</f>
        <v>0</v>
      </c>
      <c r="DO102" s="6">
        <f>COUNTIFS(Tabela126[Country],Tabela1[[#This Row],[Country]],Tabela126[Classification],"&gt;0")</f>
        <v>0</v>
      </c>
      <c r="DP102" s="6">
        <f>COUNTIFS(Tabela126130[Country],Tabela1[[#This Row],[Country]],Tabela126130[Classification],"&gt;0")</f>
        <v>0</v>
      </c>
      <c r="DQ102" s="6">
        <f>COUNTIFS(Table70[Country],Tabela1[[#This Row],[Country]],Table70[Classification],"&gt;0")</f>
        <v>0</v>
      </c>
      <c r="DR102" s="6">
        <f>COUNTIFS(Table80[Country],Tabela1[[#This Row],[Country]],Table80[Classification],"&gt;0")</f>
        <v>0</v>
      </c>
      <c r="DS102" s="6">
        <f>COUNTIFS(Table66[Country],Tabela1[[#This Row],[Country]],Table66[Classification],"&gt;0")</f>
        <v>0</v>
      </c>
      <c r="DT102" s="6">
        <f>COUNTIFS(Table67[Country],Tabela1[[#This Row],[Country]],Table67[Classification],"&gt;0")</f>
        <v>0</v>
      </c>
      <c r="DU102" s="6">
        <f>COUNTIFS(Table69[Country],Tabela1[[#This Row],[Country]],Table69[Keirin Classification],"&gt;0")</f>
        <v>0</v>
      </c>
      <c r="DV102" s="6">
        <f>COUNTIFS(Table41[Country],Tabela1[[#This Row],[Country]],Table41[Keirin Classification],"&gt;0")</f>
        <v>0</v>
      </c>
      <c r="DW102" s="6">
        <f>COUNTIFS(Table84[Country],Tabela1[[#This Row],[Country]],Table84[Men''s Madison Classification],"&gt;0")</f>
        <v>0</v>
      </c>
      <c r="DX102" s="6">
        <f>COUNTIFS(Table84[Country],Tabela1[[#This Row],[Country]],Table84[Women''s Madison Classification],"&gt;0")</f>
        <v>0</v>
      </c>
      <c r="DY102" s="6">
        <f>COUNTIFS(Table69[Country],Tabela1[[#This Row],[Country]],Table69[Omnium Classification],"&gt;0")</f>
        <v>0</v>
      </c>
      <c r="DZ102" s="6">
        <f>COUNTIFS(Table41[Country],Tabela1[[#This Row],[Country]],Table41[Omnium Classification],"&gt;0")</f>
        <v>0</v>
      </c>
      <c r="EA102" s="6">
        <f>COUNTIFS(Table9[Country],Tabela1[[#This Row],[Country]],Table9[Road Race Classification],"&gt;0")</f>
        <v>0</v>
      </c>
      <c r="EB102" s="6">
        <f>COUNTIFS(Table14[Country],Tabela1[[#This Row],[Country]],Table14[Road Race Classification],"&gt;0")</f>
        <v>0</v>
      </c>
      <c r="EC102" s="6">
        <f>COUNTIFS(Table69[Country],Tabela1[[#This Row],[Country]],Table69[Sprint Classification],"&gt;0")</f>
        <v>0</v>
      </c>
      <c r="ED102" s="6">
        <f>COUNTIFS(Table41[Country],Tabela1[[#This Row],[Country]],Table41[Sprint Classification],"&gt;0")</f>
        <v>0</v>
      </c>
      <c r="EE102" s="6">
        <f>COUNTIFS(Table85[Country],Tabela1[[#This Row],[Country]],Table85[Men''s Sprint Classification],"&gt;0")</f>
        <v>0</v>
      </c>
      <c r="EF102" s="6">
        <f>COUNTIFS(Table85[Country],Tabela1[[#This Row],[Country]],Table85[Women''s Sprint Classification],"&gt;0")</f>
        <v>0</v>
      </c>
      <c r="EG102" s="6">
        <f>COUNTIFS(Table85[Country],Tabela1[[#This Row],[Country]],Table85[Men''s Pursuit Classification],"&gt;0")</f>
        <v>0</v>
      </c>
      <c r="EH102" s="6">
        <f>COUNTIFS(Table85[Country],Tabela1[[#This Row],[Country]],Table85[Women''s Pursuit Classification],"&gt;0")</f>
        <v>0</v>
      </c>
      <c r="EI102" s="6">
        <f>COUNTIFS(Table9[Country],Tabela1[[#This Row],[Country]],Table9[Time-Trial Classification],"&gt;0")</f>
        <v>0</v>
      </c>
      <c r="EJ102" s="6">
        <f>COUNTIFS(Table14[Country],Tabela1[[#This Row],[Country]],Table14[Time-Trial Classification],"&gt;0")</f>
        <v>0</v>
      </c>
      <c r="EK102" s="6">
        <f>COUNTIFS(Table42[Country],Tabela1[[#This Row],[Country]],Table42[Springboard Classification],"&gt;0")</f>
        <v>0</v>
      </c>
      <c r="EL102" s="6">
        <f>COUNTIFS(Table43[Country],Tabela1[[#This Row],[Country]],Table43[Springboard Classification],"&gt;0")</f>
        <v>0</v>
      </c>
      <c r="EM102" s="6">
        <f>COUNTIFS(Table42[Country],Tabela1[[#This Row],[Country]],Table42[Platform Classification],"&gt;0")</f>
        <v>0</v>
      </c>
      <c r="EN102" s="6">
        <f>COUNTIFS(Table43[Country],Tabela1[[#This Row],[Country]],Table43[Platform Classification],"&gt;0")</f>
        <v>0</v>
      </c>
      <c r="EO102" s="6">
        <f>COUNTIFS(Table86[Country],Tabela1[[#This Row],[Country]],Table86[Men''s Synchronized Springboard Classification],"&gt;0")</f>
        <v>0</v>
      </c>
      <c r="EP102" s="6">
        <f>COUNTIFS(Table86[Country],Tabela1[[#This Row],[Country]],Table86[Women''s Synchronized Springboard Classification],"&gt;0")</f>
        <v>0</v>
      </c>
      <c r="EQ102" s="6">
        <f>COUNTIFS(Table86[Country],Tabela1[[#This Row],[Country]],Table86[Men''s Synchronized Platform Classification],"&gt;0")</f>
        <v>0</v>
      </c>
      <c r="ER102" s="6">
        <f>COUNTIFS(Table86[Country],Tabela1[[#This Row],[Country]],Table86[Women''s Synchronized Platform Classification],"&gt;0")</f>
        <v>0</v>
      </c>
      <c r="ES102" s="6">
        <f>COUNTIFS(Table44[Country],Tabela1[[#This Row],[Country]],Table44[Dressage Classification],"&gt;0")</f>
        <v>0</v>
      </c>
      <c r="ET102" s="6">
        <f>COUNTIFS(Table45[Country],Tabela1[[#This Row],[Country]],Table45[Dressage Classification],"&gt;0")</f>
        <v>0</v>
      </c>
      <c r="EU102" s="6">
        <f>COUNTIFS(Table44[Country],Tabela1[[#This Row],[Country]],Table44[Eventing Classification],"&gt;0")</f>
        <v>0</v>
      </c>
      <c r="EV102" s="6">
        <f>COUNTIFS(Table45[Country],Tabela1[[#This Row],[Country]],Table45[Eventing Classification],"&gt;0")</f>
        <v>0</v>
      </c>
      <c r="EW102" s="6">
        <f>COUNTIFS(Table44[Country],Tabela1[[#This Row],[Country]],Table44[Jumping Classification],"&gt;0")</f>
        <v>0</v>
      </c>
      <c r="EX102" s="6">
        <f>COUNTIFS(Table45[Country],Tabela1[[#This Row],[Country]],Table45[Jumping Classification],"&gt;0")</f>
        <v>0</v>
      </c>
      <c r="EY102" s="6">
        <f>COUNTIFS(Table10[Country],Tabela1[[#This Row],[Country]],Table10[Épée Classification],"&gt;0")</f>
        <v>0</v>
      </c>
      <c r="EZ102" s="6">
        <f>COUNTIFS(Table11[Country],Tabela1[[#This Row],[Country]],Table11[Épée Classification],"&gt;0")</f>
        <v>0</v>
      </c>
      <c r="FA102" s="6">
        <f>COUNTIFS(Table46[Country],Tabela1[[#This Row],[Country]],Table46[Men''s Épée Classification],"&gt;0")</f>
        <v>0</v>
      </c>
      <c r="FB102" s="6">
        <f>COUNTIFS(Table46[Country],Tabela1[[#This Row],[Country]],Table46[Women''s Épée Classification],"&gt;0")</f>
        <v>0</v>
      </c>
      <c r="FC102" s="6">
        <f>COUNTIFS(Table10[Country],Tabela1[[#This Row],[Country]],Table10[Foil Classification],"&gt;0")</f>
        <v>0</v>
      </c>
      <c r="FD102" s="6">
        <f>COUNTIFS(Table11[Country],Tabela1[[#This Row],[Country]],Table11[Foil Classification],"&gt;0")</f>
        <v>0</v>
      </c>
      <c r="FE102" s="6">
        <f>COUNTIFS(Table46[Country],Tabela1[[#This Row],[Country]],Table46[Men''s Foil Classification],"&gt;0")</f>
        <v>0</v>
      </c>
      <c r="FF102" s="6">
        <f>COUNTIFS(Table46[Country],Tabela1[[#This Row],[Country]],Table46[Women''s Foil Classification],"&gt;0")</f>
        <v>0</v>
      </c>
      <c r="FG102" s="6">
        <f>COUNTIFS(Table10[Country],Tabela1[[#This Row],[Country]],Table10[Sabre Classification],"&gt;0")</f>
        <v>0</v>
      </c>
      <c r="FH102" s="6">
        <f>COUNTIFS(Table11[Country],Tabela1[[#This Row],[Country]],Table11[Sabre Classification],"&gt;0")</f>
        <v>0</v>
      </c>
      <c r="FI102" s="6">
        <f>COUNTIFS(Table46[Country],Tabela1[[#This Row],[Country]],Table46[Men''s Sabre Classification],"&gt;0")</f>
        <v>0</v>
      </c>
      <c r="FJ102" s="6">
        <f>COUNTIFS(Table46[Country],Tabela1[[#This Row],[Country]],Table46[Women''s Sabre Classification],"&gt;0")</f>
        <v>0</v>
      </c>
      <c r="FK102" s="6">
        <f>COUNTIFS(Table91[Country],Tabela1[[#This Row],[Country]],Table91[Men''s Classification],"&gt;0")</f>
        <v>0</v>
      </c>
      <c r="FL102" s="6">
        <f>COUNTIFS(Table91[Country],Tabela1[[#This Row],[Country]],Table91[Women''s Classification],"&gt;0")</f>
        <v>0</v>
      </c>
      <c r="FM102" s="6">
        <f>COUNTIFS(Table9194[Country],Tabela1[[#This Row],[Country]],Table9194[Men''s Classification],"&gt;0")</f>
        <v>0</v>
      </c>
      <c r="FN102" s="6">
        <f>COUNTIFS(Table9194[Country],Tabela1[[#This Row],[Country]],Table9194[Women''s Classification],"&gt;0")</f>
        <v>0</v>
      </c>
      <c r="FO102" s="6">
        <f>COUNTIFS(Table71[Country],Tabela1[[#This Row],[Country]],Table71[Classification],"&gt;0")</f>
        <v>0</v>
      </c>
      <c r="FP102" s="6">
        <f>COUNTIFS(Table62[Country],Tabela1[[#This Row],[Country]],Table62[Classification],"&gt;0")</f>
        <v>0</v>
      </c>
      <c r="FQ102" s="6">
        <f>COUNTIFS(Table47[Country],Tabela1[[#This Row],[Country]],Table47[All-Around Classification],"&gt;0")</f>
        <v>0</v>
      </c>
      <c r="FR102" s="6">
        <f>COUNTIFS(Table48[Country],Tabela1[[#This Row],[Country]],Table48[All-Around Classification],"&gt;0")</f>
        <v>0</v>
      </c>
      <c r="FS102" s="6">
        <f>COUNTIFS(Table81[Country],Tabela1[[#This Row],[Country]],Table81[Men''s All-Around Classification],"&gt;0")</f>
        <v>0</v>
      </c>
      <c r="FT102" s="6">
        <f>COUNTIFS(Table81[Country],Tabela1[[#This Row],[Country]],Table81[Women''s All-Around Classification],"&gt;0")</f>
        <v>0</v>
      </c>
      <c r="FU102" s="6">
        <f>COUNTIFS(Table48[Country],Tabela1[[#This Row],[Country]],Table48[Balance Beam Classification],"&gt;0")</f>
        <v>0</v>
      </c>
      <c r="FV102" s="6">
        <f>COUNTIFS(Table47[Country],Tabela1[[#This Row],[Country]],Table47[Floor Exercise Classification],"&gt;0")</f>
        <v>0</v>
      </c>
      <c r="FW102" s="6">
        <f>COUNTIFS(Table48[Country],Tabela1[[#This Row],[Country]],Table48[Floor Exercise Classification],"&gt;0")</f>
        <v>0</v>
      </c>
      <c r="FX102" s="6">
        <f>COUNTIFS(Table47[Country],Tabela1[[#This Row],[Country]],Table47[Horizontal Bar Classification],"&gt;0")</f>
        <v>0</v>
      </c>
      <c r="FY102" s="6">
        <f>COUNTIFS(Table47[Country],Tabela1[[#This Row],[Country]],Table47[Parallel Bars Classification],"&gt;0")</f>
        <v>0</v>
      </c>
      <c r="FZ102" s="6">
        <f>COUNTIFS(Table47[Country],Tabela1[[#This Row],[Country]],Table47[Pommel Horse Classification],"&gt;0")</f>
        <v>0</v>
      </c>
      <c r="GA102" s="6">
        <f>COUNTIFS(Table47[Country],Tabela1[[#This Row],[Country]],Table47[Rings Classification],"&gt;0")</f>
        <v>0</v>
      </c>
      <c r="GB102" s="6">
        <f>COUNTIFS(Tabela132[Country],Tabela1[[#This Row],[Country]],Tabela132[Classification],"&gt;0")</f>
        <v>0</v>
      </c>
      <c r="GC102" s="6">
        <f>COUNTIFS(Tabela139[Country],Tabela1[[#This Row],[Country]],Tabela139[Classification],"&gt;0")</f>
        <v>0</v>
      </c>
      <c r="GD102" s="6">
        <f>COUNTIFS(Table48[Country],Tabela1[[#This Row],[Country]],Table48[Uneven Bars Classification],"&gt;0")</f>
        <v>0</v>
      </c>
      <c r="GE102" s="6">
        <f>COUNTIFS(Table47[Country],Tabela1[[#This Row],[Country]],Table47[Vault Classification],"&gt;0")</f>
        <v>0</v>
      </c>
      <c r="GF102" s="6">
        <f>COUNTIFS(Table48[Country],Tabela1[[#This Row],[Country]],Table48[Vault Classification],"&gt;0")</f>
        <v>0</v>
      </c>
      <c r="GG102" s="6">
        <f>COUNTIFS(Table919496[Country],Tabela1[[#This Row],[Country]],Table919496[Men''s Classification],"&gt;0")</f>
        <v>0</v>
      </c>
      <c r="GH102" s="6">
        <f>COUNTIFS(Table919496[Country],Tabela1[[#This Row],[Country]],Table919496[Women''s Classification],"&gt;0")</f>
        <v>0</v>
      </c>
      <c r="GI102" s="6">
        <f>COUNTIFS(Table12[Country],Tabela1[[#This Row],[Country]],Table12[60kg Classification],"&gt;0")</f>
        <v>0</v>
      </c>
      <c r="GJ102" s="6">
        <f>COUNTIFS(Table12[Country],Tabela1[[#This Row],[Country]],Table12[66kg Classification],"&gt;0")</f>
        <v>0</v>
      </c>
      <c r="GK102" s="6">
        <f>COUNTIFS(Table12[Country],Tabela1[[#This Row],[Country]],Table12[73kg Classification],"&gt;0")</f>
        <v>0</v>
      </c>
      <c r="GL102" s="6">
        <f>COUNTIFS(Table12[Country],Tabela1[[#This Row],[Country]],Table12[81kg Classification],"&gt;0")</f>
        <v>0</v>
      </c>
      <c r="GM102" s="6">
        <f>COUNTIFS(Table12[Country],Tabela1[[#This Row],[Country]],Table12[90kg Classification],"&gt;0")</f>
        <v>0</v>
      </c>
      <c r="GN102" s="6">
        <f>COUNTIFS(Table12[Country],Tabela1[[#This Row],[Country]],Table12[100kg Classification],"&gt;0")</f>
        <v>0</v>
      </c>
      <c r="GO102" s="6">
        <f>COUNTIFS(Table12[Country],Tabela1[[#This Row],[Country]],Table12[Plus 100kg Classification],"&gt;0")</f>
        <v>0</v>
      </c>
      <c r="GP102" s="6">
        <f>COUNTIFS(Table13[Country],Tabela1[[#This Row],[Country]],Table13[48kg Classification],"&gt;0")</f>
        <v>0</v>
      </c>
      <c r="GQ102" s="6">
        <f>COUNTIFS(Table13[Country],Tabela1[[#This Row],[Country]],Table13[52kg Classification],"&gt;0")</f>
        <v>0</v>
      </c>
      <c r="GR102" s="6">
        <f>COUNTIFS(Table13[Country],Tabela1[[#This Row],[Country]],Table13[57kg Classification],"&gt;0")</f>
        <v>0</v>
      </c>
      <c r="GS102" s="6">
        <f>COUNTIFS(Table13[Country],Tabela1[[#This Row],[Country]],Table13[63kg Classification],"&gt;0")</f>
        <v>0</v>
      </c>
      <c r="GT102" s="6">
        <f>COUNTIFS(Table13[Country],Tabela1[[#This Row],[Country]],Table13[70kg Classification],"&gt;0")</f>
        <v>0</v>
      </c>
      <c r="GU102" s="6">
        <f>COUNTIFS(Table13[Country],Tabela1[[#This Row],[Country]],Table13[78kg Classification],"&gt;0")</f>
        <v>1</v>
      </c>
      <c r="GV102" s="6">
        <f>COUNTIFS(Table13[Country],Tabela1[[#This Row],[Country]],Table13[Plus 78kg Classification],"&gt;0")</f>
        <v>0</v>
      </c>
      <c r="GW102" s="6">
        <f>COUNTIFS(Table82[Country],Tabela1[[#This Row],[Country]],Table82[Mixed Classification],"&gt;0")</f>
        <v>0</v>
      </c>
      <c r="GX102" s="6">
        <f>COUNTIFS(Table51[Country],Tabela1[[#This Row],[Country]],Table51[Classification],"&gt;0")</f>
        <v>0</v>
      </c>
      <c r="GY102" s="6">
        <f>COUNTIFS(Table52[Country],Tabela1[[#This Row],[Country]],Table52[Classification],"&gt;0")</f>
        <v>0</v>
      </c>
      <c r="GZ102" s="6">
        <f>COUNTIFS(Table32[Country],Tabela1[[#This Row],[Country]],Table32[All-Around Classification],"&gt;0")</f>
        <v>0</v>
      </c>
      <c r="HA102" s="6">
        <f>COUNTIFS(Table49[Country],Tabela1[[#This Row],[Country]],Table49[All-Around Classification],"&gt;0")</f>
        <v>0</v>
      </c>
      <c r="HB102" s="6">
        <f>COUNTIFS(Table26[Country],Tabela1[[#This Row],[Country]],Table26[Single Sculls Classification],"&gt;0")</f>
        <v>0</v>
      </c>
      <c r="HC102" s="6">
        <f>COUNTIFS(Table63[Country],Tabela1[[#This Row],[Country]],Table63[Single Sculls Classification],"&gt;0")</f>
        <v>0</v>
      </c>
      <c r="HD102" s="6">
        <f>COUNTIFS(Table16[Country],Tabela1[[#This Row],[Country]],Table16[Men''s Double Sculls Classification],"&gt;0")</f>
        <v>0</v>
      </c>
      <c r="HE102" s="6">
        <f>COUNTIFS(Table16[Country],Tabela1[[#This Row],[Country]],Table16[Women''s Double Sculls Classification],"&gt;0")</f>
        <v>0</v>
      </c>
      <c r="HF102" s="6">
        <f>COUNTIFS(Table72[Country],Tabela1[[#This Row],[Country]],Table72[Men''s Quadruple Sculls Classification],"&gt;0")</f>
        <v>0</v>
      </c>
      <c r="HG102" s="6">
        <f>COUNTIFS(Table72[Country],Tabela1[[#This Row],[Country]],Table72[Women''s Quadruple Sculls Classification],"&gt;0")</f>
        <v>0</v>
      </c>
      <c r="HH102" s="6">
        <f>COUNTIFS(Table16[Country],Tabela1[[#This Row],[Country]],Table16[Men''s Coxless Pairs Classification],"&gt;0")</f>
        <v>0</v>
      </c>
      <c r="HI102" s="6">
        <f>COUNTIFS(Table16[Country],Tabela1[[#This Row],[Country]],Table16[Women''s Coxless Pairs Classification],"&gt;0")</f>
        <v>0</v>
      </c>
      <c r="HJ102" s="6">
        <f>COUNTIFS(Table72[Country],Tabela1[[#This Row],[Country]],Table72[Men''s Coxless Fours Classification],"&gt;0")</f>
        <v>0</v>
      </c>
      <c r="HK102" s="6">
        <f>COUNTIFS(Table72[Country],Tabela1[[#This Row],[Country]],Table72[Women''s Coxless Fours Classification],"&gt;0")</f>
        <v>0</v>
      </c>
      <c r="HL102" s="6">
        <f>COUNTIFS(Table72[Country],Tabela1[[#This Row],[Country]],Table72[Men''s Eights Classification],"&gt;0")</f>
        <v>0</v>
      </c>
      <c r="HM102" s="6">
        <f>COUNTIFS(Table72[Country],Tabela1[[#This Row],[Country]],Table72[Women''s Eights Classification],"&gt;0")</f>
        <v>0</v>
      </c>
      <c r="HN102" s="6">
        <f>COUNTIFS(Table16[Country],Tabela1[[#This Row],[Country]],Table16[Men''s Lwt. Double Sculls Classification],"&gt;0")</f>
        <v>0</v>
      </c>
      <c r="HO102" s="6">
        <f>COUNTIFS(Table16[Country],Tabela1[[#This Row],[Country]],Table16[Women''s Lwt. Double Sculls Classification],"&gt;0")</f>
        <v>0</v>
      </c>
      <c r="HP102" s="6">
        <f>COUNTIFS(Table91949698[Country],Tabela1[[#This Row],[Country]],Table91949698[Men''s Classification],"&gt;0")</f>
        <v>0</v>
      </c>
      <c r="HQ102" s="6">
        <f>COUNTIFS(Table91949698[Country],Tabela1[[#This Row],[Country]],Table91949698[Women''s Classification],"&gt;0")</f>
        <v>0</v>
      </c>
      <c r="HR102" s="6">
        <f>COUNTIFS(Table25[Country],Tabela1[[#This Row],[Country]],Table25[Mixed 470 Classification],"&gt;0")</f>
        <v>0</v>
      </c>
      <c r="HS102" s="6">
        <f>COUNTIFS(Table25[Country],Tabela1[[#This Row],[Country]],Table25[Men''s 49er Classification],"&gt;0")</f>
        <v>0</v>
      </c>
      <c r="HT102" s="6">
        <f>COUNTIFS(Table25[Country],Tabela1[[#This Row],[Country]],Table25[Women''s 49er FX Classification],"&gt;0")</f>
        <v>0</v>
      </c>
      <c r="HU102" s="6">
        <f>COUNTIFS(Table17[Country],Tabela1[[#This Row],[Country]],Table17[Formula Kite Classification],"&gt;0")</f>
        <v>0</v>
      </c>
      <c r="HV102" s="6">
        <f>COUNTIFS(Table18[Country],Tabela1[[#This Row],[Country]],Table18[Formula Kite Classification],"&gt;0")</f>
        <v>0</v>
      </c>
      <c r="HW102" s="6">
        <f>COUNTIFS(Table17[Country],Tabela1[[#This Row],[Country]],Table17[ILCA 7 Classification],"&gt;0")</f>
        <v>0</v>
      </c>
      <c r="HX102" s="6">
        <f>COUNTIFS(Table18[Country],Tabela1[[#This Row],[Country]],Table18[ILCA 6 Classification],"&gt;0")</f>
        <v>0</v>
      </c>
      <c r="HY102" s="6">
        <f>COUNTIFS(Table17[Country],Tabela1[[#This Row],[Country]],Table17[IQFoil Classification],"&gt;0")</f>
        <v>0</v>
      </c>
      <c r="HZ102" s="6">
        <f>COUNTIFS(Table18[Country],Tabela1[[#This Row],[Country]],Table18[IQFoil Classification],"&gt;0")</f>
        <v>0</v>
      </c>
      <c r="IA102" s="6">
        <f>COUNTIFS(Table25[Country],Tabela1[[#This Row],[Country]],Table25[Mixed Nacra 17 Classification],"&gt;0")</f>
        <v>0</v>
      </c>
      <c r="IB102" s="6">
        <f>COUNTIFS(Table53[Country],Tabela1[[#This Row],[Country]],Table53[10m Air Pistol Classification],"&gt;0")</f>
        <v>0</v>
      </c>
      <c r="IC102" s="6">
        <f>COUNTIFS(Table19[Country],Tabela1[[#This Row],[Country]],Table19[10m Air Pistol Classification],"&gt;0")</f>
        <v>0</v>
      </c>
      <c r="ID102" s="6">
        <f>COUNTIFS(Table54[Country],Tabela1[[#This Row],[Country]],Table54[Mixed 10m Air Pistol Team Classification],"&gt;0")</f>
        <v>0</v>
      </c>
      <c r="IE102" s="6">
        <f>COUNTIFS(Table53[Country],Tabela1[[#This Row],[Country]],Table53[10m Air Rifle Classification],"&gt;0")</f>
        <v>0</v>
      </c>
      <c r="IF102" s="6">
        <f>COUNTIFS(Table19[Country],Tabela1[[#This Row],[Country]],Table19[10m Air Rifle Classification],"&gt;0")</f>
        <v>0</v>
      </c>
      <c r="IG102" s="6">
        <f>COUNTIFS(Table54[Country],Tabela1[[#This Row],[Country]],Table54[Mixed 10m Air Rifle Team Classification],"&gt;0")</f>
        <v>0</v>
      </c>
      <c r="IH102" s="6">
        <f>COUNTIFS(Table53[Country],Tabela1[[#This Row],[Country]],Table53[25m Rapid Fire Pistol Classification],"&gt;0")</f>
        <v>0</v>
      </c>
      <c r="II102" s="6">
        <f>COUNTIFS(Table19[Country],Tabela1[[#This Row],[Country]],Table19[25m Pistol Classification],"&gt;0")</f>
        <v>0</v>
      </c>
      <c r="IJ102" s="6">
        <f>COUNTIFS(Table53[Country],Tabela1[[#This Row],[Country]],Table53[50m Rifle 3 Positions Classification],"&gt;0")</f>
        <v>0</v>
      </c>
      <c r="IK102" s="6">
        <f>COUNTIFS(Table19[Country],Tabela1[[#This Row],[Country]],Table19[50m Rifle 3 Positions Classification],"&gt;0")</f>
        <v>0</v>
      </c>
      <c r="IL102" s="6">
        <f>COUNTIFS(Table53[Country],Tabela1[[#This Row],[Country]],Table53[Skeet Classification],"&gt;0")</f>
        <v>0</v>
      </c>
      <c r="IM102" s="6">
        <f>COUNTIFS(Table19[Country],Tabela1[[#This Row],[Country]],Table19[Skeet Classification],"&gt;0")</f>
        <v>0</v>
      </c>
      <c r="IN102" s="6">
        <f>COUNTIFS(Table54[Country],Tabela1[[#This Row],[Country]],Table54[Mixed Skeet Team Classification],"&gt;0")</f>
        <v>0</v>
      </c>
      <c r="IO102" s="6">
        <f>COUNTIFS(Table53[Country],Tabela1[[#This Row],[Country]],Table53[Trap Classification],"&gt;0")</f>
        <v>0</v>
      </c>
      <c r="IP102" s="6">
        <f>COUNTIFS(Table19[Country],Tabela1[[#This Row],[Country]],Table19[Trap Classification],"&gt;0")</f>
        <v>0</v>
      </c>
      <c r="IQ102" s="6">
        <f>COUNTIFS(Table73[Country],Tabela1[[#This Row],[Country]],Table73[Park Classification],"&gt;0")</f>
        <v>0</v>
      </c>
      <c r="IR102" s="6">
        <f>COUNTIFS(Table74[Country],Tabela1[[#This Row],[Country]],Table74[Park Classification],"&gt;0")</f>
        <v>0</v>
      </c>
      <c r="IS102" s="6">
        <f>COUNTIFS(Table73[Country],Tabela1[[#This Row],[Country]],Table73[Street Classification],"&gt;0")</f>
        <v>0</v>
      </c>
      <c r="IT102" s="6">
        <f>COUNTIFS(Table74[Country],Tabela1[[#This Row],[Country]],Table74[Street Classification],"&gt;0")</f>
        <v>0</v>
      </c>
      <c r="IU102" s="6">
        <f>COUNTIFS(Table75[Country],Tabela1[[#This Row],[Country]],Table75[Boulder and Lead Classification],"&gt;0")</f>
        <v>0</v>
      </c>
      <c r="IV102" s="6">
        <f>COUNTIFS(Table76[Country],Tabela1[[#This Row],[Country]],Table76[Boulder and Lead Classification],"&gt;0")</f>
        <v>0</v>
      </c>
      <c r="IW102" s="6">
        <f>COUNTIFS(Table75[Country],Tabela1[[#This Row],[Country]],Table75[Speed Classification],"&gt;0")</f>
        <v>0</v>
      </c>
      <c r="IX102" s="6">
        <f>COUNTIFS(Table76[Country],Tabela1[[#This Row],[Country]],Table76[Speed Classification],"&gt;0")</f>
        <v>0</v>
      </c>
      <c r="IY102" s="6">
        <f>COUNTIFS(Table64[Country],Tabela1[[#This Row],[Country]],Table64[Shortboard Classification],"&gt;0")</f>
        <v>0</v>
      </c>
      <c r="IZ102" s="6">
        <f>COUNTIFS(Table77[Country],Tabela1[[#This Row],[Country]],Table77[Shortboard Classification],"&gt;0")</f>
        <v>0</v>
      </c>
      <c r="JA102" s="6">
        <f>COUNTIFS(Table20[Country],Tabela1[[#This Row],[Country]],Table20[50m Freestyle Classification],"&gt;0")</f>
        <v>1</v>
      </c>
      <c r="JB102" s="6">
        <f>COUNTIFS(Table21[Country],Tabela1[[#This Row],[Country]],Table21[50m Freestyle Classification],"&gt;0")</f>
        <v>1</v>
      </c>
      <c r="JC102" s="6">
        <f>COUNTIFS(Table20[Country],Tabela1[[#This Row],[Country]],Table20[100m Freestyle Classification],"&gt;0")</f>
        <v>0</v>
      </c>
      <c r="JD102" s="6">
        <f>COUNTIFS(Table21[Country],Tabela1[[#This Row],[Country]],Table21[100m Freestyle Classification],"&gt;0")</f>
        <v>0</v>
      </c>
      <c r="JE102" s="6">
        <f>COUNTIFS(Table20[Country],Tabela1[[#This Row],[Country]],Table20[200m Freestyle Classification],"&gt;0")</f>
        <v>0</v>
      </c>
      <c r="JF102" s="6">
        <f>COUNTIFS(Table21[Country],Tabela1[[#This Row],[Country]],Table21[200m Freestyle Classification],"&gt;0")</f>
        <v>0</v>
      </c>
      <c r="JG102" s="6">
        <f>COUNTIFS(Table20[Country],Tabela1[[#This Row],[Country]],Table20[400m Freestyle Classification],"&gt;0")</f>
        <v>0</v>
      </c>
      <c r="JH102" s="6">
        <f>COUNTIFS(Table21[Country],Tabela1[[#This Row],[Country]],Table21[400m Freestyle Classification],"&gt;0")</f>
        <v>0</v>
      </c>
      <c r="JI102" s="6">
        <f>COUNTIFS(Table20[Country],Tabela1[[#This Row],[Country]],Table20[800m Freestyle Classification],"&gt;0")</f>
        <v>0</v>
      </c>
      <c r="JJ102" s="6">
        <f>COUNTIFS(Table21[Country],Tabela1[[#This Row],[Country]],Table21[800m Freestyle Classification],"&gt;0")</f>
        <v>0</v>
      </c>
      <c r="JK102" s="6">
        <f>COUNTIFS(Table20[Country],Tabela1[[#This Row],[Country]],Table20[1500m Freestyle Classification],"&gt;0")</f>
        <v>0</v>
      </c>
      <c r="JL102" s="6">
        <f>COUNTIFS(Table21[Country],Tabela1[[#This Row],[Country]],Table21[1500m Freestyle Classification],"&gt;0")</f>
        <v>0</v>
      </c>
      <c r="JM102" s="6">
        <f>COUNTIFS(Table20[Country],Tabela1[[#This Row],[Country]],Table20[100m Backstroke Classification],"&gt;0")</f>
        <v>0</v>
      </c>
      <c r="JN102" s="6">
        <f>COUNTIFS(Table21[Country],Tabela1[[#This Row],[Country]],Table21[100m Backstroke Classification],"&gt;0")</f>
        <v>0</v>
      </c>
      <c r="JO102" s="6">
        <f>COUNTIFS(Table20[Country],Tabela1[[#This Row],[Country]],Table20[200m Backstroke Classification],"&gt;0")</f>
        <v>0</v>
      </c>
      <c r="JP102" s="6">
        <f>COUNTIFS(Table21[Country],Tabela1[[#This Row],[Country]],Table21[200m Backstroke Classification],"&gt;0")</f>
        <v>0</v>
      </c>
      <c r="JQ102" s="6">
        <f>COUNTIFS(Table20[Country],Tabela1[[#This Row],[Country]],Table20[100m Breaststroke Classification],"&gt;0")</f>
        <v>0</v>
      </c>
      <c r="JR102" s="6">
        <f>COUNTIFS(Table21[Country],Tabela1[[#This Row],[Country]],Table21[100m Breaststroke Classification],"&gt;0")</f>
        <v>0</v>
      </c>
      <c r="JS102" s="6">
        <f>COUNTIFS(Table20[Country],Tabela1[[#This Row],[Country]],Table20[200m Breaststroke Classification],"&gt;0")</f>
        <v>0</v>
      </c>
      <c r="JT102" s="6">
        <f>COUNTIFS(Table21[Country],Tabela1[[#This Row],[Country]],Table21[200m Breaststroke Classification],"&gt;0")</f>
        <v>0</v>
      </c>
      <c r="JU102" s="6">
        <f>COUNTIFS(Table20[Country],Tabela1[[#This Row],[Country]],Table20[100m Butterfly Classification],"&gt;0")</f>
        <v>0</v>
      </c>
      <c r="JV102" s="6">
        <f>COUNTIFS(Table21[Country],Tabela1[[#This Row],[Country]],Table21[100m Butterfly Classification],"&gt;0")</f>
        <v>0</v>
      </c>
      <c r="JW102" s="6">
        <f>COUNTIFS(Table20[Country],Tabela1[[#This Row],[Country]],Table20[200m Butterfly Classification],"&gt;0")</f>
        <v>0</v>
      </c>
      <c r="JX102" s="6">
        <f>COUNTIFS(Table21[Country],Tabela1[[#This Row],[Country]],Table21[200m Butterfly Classification],"&gt;0")</f>
        <v>0</v>
      </c>
      <c r="JY102" s="6">
        <f>COUNTIFS(Table20[Country],Tabela1[[#This Row],[Country]],Table20[200m Medley Classification],"&gt;0")</f>
        <v>0</v>
      </c>
      <c r="JZ102" s="6">
        <f>COUNTIFS(Table21[Country],Tabela1[[#This Row],[Country]],Table21[200m Medley Classification],"&gt;0")</f>
        <v>0</v>
      </c>
      <c r="KA102" s="6">
        <f>COUNTIFS(Table20[Country],Tabela1[[#This Row],[Country]],Table20[400m Medley Classification],"&gt;0")</f>
        <v>0</v>
      </c>
      <c r="KB102" s="6">
        <f>COUNTIFS(Table21[Country],Tabela1[[#This Row],[Country]],Table21[400m Medley Classification],"&gt;0")</f>
        <v>0</v>
      </c>
      <c r="KC102" s="6">
        <f>COUNTIFS(Table78[Country],Tabela1[[#This Row],[Country]],Table78[Men''s 4x100m Freestyle Relay Classification],"&gt;0")</f>
        <v>0</v>
      </c>
      <c r="KD102" s="6">
        <f>COUNTIFS(Table78[Country],Tabela1[[#This Row],[Country]],Table78[Women''s 4x100m Freestyle Relay Classification],"&gt;0")</f>
        <v>0</v>
      </c>
      <c r="KE102" s="6">
        <f>COUNTIFS(Table78[Country],Tabela1[[#This Row],[Country]],Table78[Men''s 4x200m Freestyle Relay Classification],"&gt;0")</f>
        <v>0</v>
      </c>
      <c r="KF102" s="6">
        <f>COUNTIFS(Table78[Country],Tabela1[[#This Row],[Country]],Table78[Women''s 4x200m Freestyle Relay Classification],"&gt;0")</f>
        <v>0</v>
      </c>
      <c r="KG102" s="6">
        <f>COUNTIFS(Table78[Country],Tabela1[[#This Row],[Country]],Table78[Men''s 4x100m Medley Relay Classification],"&gt;0")</f>
        <v>0</v>
      </c>
      <c r="KH102" s="6">
        <f>COUNTIFS(Table78[Country],Tabela1[[#This Row],[Country]],Table78[Women''s 4x100m Medley Relay Classification],"&gt;0")</f>
        <v>0</v>
      </c>
      <c r="KI102" s="6">
        <f>COUNTIFS(Table78[Country],Tabela1[[#This Row],[Country]],Table78[Mixed 4x100m Medley Relay Classification],"&gt;0")</f>
        <v>0</v>
      </c>
      <c r="KJ102" s="6">
        <f>COUNTIFS(Table20[Country],Tabela1[[#This Row],[Country]],Table20[10km Open Water Classification],"&gt;0")</f>
        <v>0</v>
      </c>
      <c r="KK102" s="6">
        <f>COUNTIFS(Table21[Country],Tabela1[[#This Row],[Country]],Table21[10km Open Water Classification],"&gt;0")</f>
        <v>0</v>
      </c>
      <c r="KL102" s="6">
        <f>COUNTIFS(Table22[Country],Tabela1[[#This Row],[Country]],Table22[Classification],"&gt;0")</f>
        <v>0</v>
      </c>
      <c r="KM102" s="6">
        <f>COUNTIFS(Table30[Country],Tabela1[[#This Row],[Country]],Table30[Classification],"&gt;0")</f>
        <v>0</v>
      </c>
      <c r="KN102" s="6">
        <f>COUNTIFS(Table55[Country],Tabela1[[#This Row],[Country]],Table55[Men''s Classification],"&gt;0")</f>
        <v>0</v>
      </c>
      <c r="KO102" s="6">
        <f>COUNTIFS(Table55[Country],Tabela1[[#This Row],[Country]],Table55[Women''s Classification],"&gt;0")</f>
        <v>0</v>
      </c>
      <c r="KP102" s="6">
        <f>COUNTIFS(Table56[Country],Tabela1[[#This Row],[Country]],Table56[Mixed Classification],"&gt;0")</f>
        <v>0</v>
      </c>
      <c r="KQ102" s="6">
        <f>COUNTIFS(Table29[Country],Tabela1[[#This Row],[Country]],Table29[58kg Classification],"&gt;0")</f>
        <v>0</v>
      </c>
      <c r="KR102" s="6">
        <f>COUNTIFS(Table29[Country],Tabela1[[#This Row],[Country]],Table29[68kg Classification],"&gt;0")</f>
        <v>0</v>
      </c>
      <c r="KS102" s="6">
        <f>COUNTIFS(Table29[Country],Tabela1[[#This Row],[Country]],Table29[80kg Classification],"&gt;0")</f>
        <v>0</v>
      </c>
      <c r="KT102" s="6">
        <f>COUNTIFS(Table29[Country],Tabela1[[#This Row],[Country]],Table29[Plus 80kg Classification],"&gt;0")</f>
        <v>0</v>
      </c>
      <c r="KU102" s="6">
        <f>COUNTIFS(Table34[Country],Tabela1[[#This Row],[Country]],Table34[49kg Classification],"&gt;0")</f>
        <v>0</v>
      </c>
      <c r="KV102" s="6">
        <f>COUNTIFS(Table34[Country],Tabela1[[#This Row],[Country]],Table34[57kg Classification],"&gt;0")</f>
        <v>0</v>
      </c>
      <c r="KW102" s="6">
        <f>COUNTIFS(Table34[Country],Tabela1[[#This Row],[Country]],Table34[67kg Classification],"&gt;0")</f>
        <v>0</v>
      </c>
      <c r="KX102" s="6">
        <f>COUNTIFS(Table34[Country],Tabela1[[#This Row],[Country]],Table34[Plus 67kg Classification],"&gt;0")</f>
        <v>0</v>
      </c>
      <c r="KY102" s="6">
        <f>COUNTIFS(Table57[Country],Tabela1[[#This Row],[Country]],Table57[Classification],"&gt;0")</f>
        <v>0</v>
      </c>
      <c r="KZ102" s="6">
        <f>COUNTIFS(Table58[Country],Tabela1[[#This Row],[Country]],Table58[Classification],"&gt;0")</f>
        <v>0</v>
      </c>
      <c r="LA102" s="6">
        <f>COUNTIFS(Table79[Country],Tabela1[[#This Row],[Country]],Table79[Men''s Classification],"&gt;0")</f>
        <v>0</v>
      </c>
      <c r="LB102" s="6">
        <f>COUNTIFS(Table79[Country],Tabela1[[#This Row],[Country]],Table79[Women''s Classification],"&gt;0")</f>
        <v>0</v>
      </c>
      <c r="LC102" s="6">
        <f>COUNTIFS(Table79[Country],Tabela1[[#This Row],[Country]],Table79[Mixed Classification],"&gt;0")</f>
        <v>0</v>
      </c>
      <c r="LD102" s="6">
        <f>COUNTIFS(Table65[Country],Tabela1[[#This Row],[Country]],Table65[Classification],"&gt;0")</f>
        <v>0</v>
      </c>
      <c r="LE102" s="6">
        <f>COUNTIFS(Table59[Country],Tabela1[[#This Row],[Country]],Table59[Classification],"&gt;0")</f>
        <v>0</v>
      </c>
      <c r="LF102" s="6">
        <f>COUNTIFS(Table87[Country],Tabela1[[#This Row],[Country]],Table87[Mixed Relay Classification],"&gt;0")</f>
        <v>0</v>
      </c>
      <c r="LG102" s="6">
        <f>COUNTIFS(Table91949698100[Country],Tabela1[[#This Row],[Country]],Table91949698100[Men''s Classification],"&gt;0")</f>
        <v>0</v>
      </c>
      <c r="LH102" s="6">
        <f>COUNTIFS(Table91949698100[Country],Tabela1[[#This Row],[Country]],Table91949698100[Women''s Classification],"&gt;0")</f>
        <v>0</v>
      </c>
      <c r="LI102" s="6">
        <f>COUNTIFS(Table91949698100102[Country],Tabela1[[#This Row],[Country]],Table91949698100102[Men''s Classification],"&gt;0")</f>
        <v>0</v>
      </c>
      <c r="LJ102" s="6">
        <f>COUNTIFS(Table91949698100102[Country],Tabela1[[#This Row],[Country]],Table91949698100102[Women''s Classification],"&gt;0")</f>
        <v>0</v>
      </c>
      <c r="LK102" s="6">
        <f>COUNTIFS(Table23[Country],Tabela1[[#This Row],[Country]],Table23[61kg Classification],"&gt;0")</f>
        <v>0</v>
      </c>
      <c r="LL102" s="6">
        <f>COUNTIFS(Table23[Country],Tabela1[[#This Row],[Country]],Table23[73kg Classification],"&gt;0")</f>
        <v>0</v>
      </c>
      <c r="LM102" s="6">
        <f>COUNTIFS(Table23[Country],Tabela1[[#This Row],[Country]],Table23[89kg Classification],"&gt;0")</f>
        <v>0</v>
      </c>
      <c r="LN102" s="6">
        <f>COUNTIFS(Table23[Country],Tabela1[[#This Row],[Country]],Table23[102kg Classification],"&gt;0")</f>
        <v>0</v>
      </c>
      <c r="LO102" s="6">
        <f>COUNTIFS(Table23[Country],Tabela1[[#This Row],[Country]],Table23[Plus 102kg Classification],"&gt;0")</f>
        <v>0</v>
      </c>
      <c r="LP102" s="6">
        <f>COUNTIFS(Table28[Country],Tabela1[[#This Row],[Country]],Table28[49kg Classification],"&gt;0")</f>
        <v>0</v>
      </c>
      <c r="LQ102" s="6">
        <f>COUNTIFS(Table28[Country],Tabela1[[#This Row],[Country]],Table28[59kg Classification],"&gt;0")</f>
        <v>0</v>
      </c>
      <c r="LR102" s="6">
        <f>COUNTIFS(Table28[Country],Tabela1[[#This Row],[Country]],Table28[71kg Classification],"&gt;0")</f>
        <v>0</v>
      </c>
      <c r="LS102" s="6">
        <f>COUNTIFS(Table28[Country],Tabela1[[#This Row],[Country]],Table28[81kg Classification],"&gt;0")</f>
        <v>0</v>
      </c>
      <c r="LT102" s="6">
        <f>COUNTIFS(Table28[Country],Tabela1[[#This Row],[Country]],Table28[Plus 81kg Classification],"&gt;0")</f>
        <v>0</v>
      </c>
      <c r="LU102" s="6">
        <f>COUNTIFS(Table24[Country],Tabela1[[#This Row],[Country]],Table24[Freestyle 57kg Classification],"&gt;0")</f>
        <v>0</v>
      </c>
      <c r="LV102" s="6">
        <f>COUNTIFS(Table24[Country],Tabela1[[#This Row],[Country]],Table24[Freestyle 65kg Classification],"&gt;0")</f>
        <v>0</v>
      </c>
      <c r="LW102" s="6">
        <f>COUNTIFS(Table24[Country],Tabela1[[#This Row],[Country]],Table24[Freestyle 74kg Classification],"&gt;0")</f>
        <v>0</v>
      </c>
      <c r="LX102" s="6">
        <f>COUNTIFS(Table24[Country],Tabela1[[#This Row],[Country]],Table24[Freestyle 86kg Classification],"&gt;0")</f>
        <v>0</v>
      </c>
      <c r="LY102" s="6">
        <f>COUNTIFS(Table24[Country],Tabela1[[#This Row],[Country]],Table24[Freestyle 97kg Classification],"&gt;0")</f>
        <v>0</v>
      </c>
      <c r="LZ102" s="6">
        <f>COUNTIFS(Table24[Country],Tabela1[[#This Row],[Country]],Table24[Freestyle 125kg Classification],"&gt;0")</f>
        <v>0</v>
      </c>
      <c r="MA102" s="6">
        <f>COUNTIFS(Table24[Country],Tabela1[[#This Row],[Country]],Table24[Greco-Roman 60kg Classification],"&gt;0")</f>
        <v>0</v>
      </c>
      <c r="MB102" s="6">
        <f>COUNTIFS(Table24[Country],Tabela1[[#This Row],[Country]],Table24[Greco-Roman 67kg Classification],"&gt;0")</f>
        <v>0</v>
      </c>
      <c r="MC102" s="6">
        <f>COUNTIFS(Table24[Country],Tabela1[[#This Row],[Country]],Table24[Greco-Roman 77kg Classification],"&gt;0")</f>
        <v>0</v>
      </c>
      <c r="MD102" s="6">
        <f>COUNTIFS(Table24[Country],Tabela1[[#This Row],[Country]],Table24[Greco-Roman 87kg Classification],"&gt;0")</f>
        <v>0</v>
      </c>
      <c r="ME102" s="6">
        <f>COUNTIFS(Table24[Country],Tabela1[[#This Row],[Country]],Table24[Greco-Roman 97kg Classification],"&gt;0")</f>
        <v>0</v>
      </c>
      <c r="MF102" s="6">
        <f>COUNTIFS(Table24[Country],Tabela1[[#This Row],[Country]],Table24[Greco-Roman 130kg Classification],"&gt;0")</f>
        <v>0</v>
      </c>
      <c r="MG102" s="6">
        <f>COUNTIFS(Table31[Country],Tabela1[[#This Row],[Country]],Table31[50kg Classification],"&gt;0")</f>
        <v>0</v>
      </c>
      <c r="MH102" s="6">
        <f>COUNTIFS(Table31[Country],Tabela1[[#This Row],[Country]],Table31[53kg Classification],"&gt;0")</f>
        <v>0</v>
      </c>
      <c r="MI102" s="6">
        <f>COUNTIFS(Table31[Country],Tabela1[[#This Row],[Country]],Table31[57kg Classification],"&gt;0")</f>
        <v>0</v>
      </c>
      <c r="MJ102" s="6">
        <f>COUNTIFS(Table31[Country],Tabela1[[#This Row],[Country]],Table31[62kg Classification],"&gt;0")</f>
        <v>0</v>
      </c>
      <c r="MK102" s="6">
        <f>COUNTIFS(Table31[Country],Tabela1[[#This Row],[Country]],Table31[68kg Classification],"&gt;0")</f>
        <v>0</v>
      </c>
      <c r="ML102" s="6">
        <f>COUNTIFS(Table31[Country],Tabela1[[#This Row],[Country]],Table31[76kg Classification],"&gt;0")</f>
        <v>0</v>
      </c>
      <c r="MM102" s="6">
        <f>COUNTIFS(Table102[Country],Tabela1[[#This Row],[Country]],Table102[Downhill Classification],"&gt;0")</f>
        <v>0</v>
      </c>
      <c r="MN102" s="6">
        <f>COUNTIFS(Table102105[Country],Tabela1[[#This Row],[Country]],Table102105[Downhill Classification],"&gt;0")</f>
        <v>0</v>
      </c>
      <c r="MO102" s="6">
        <f>COUNTIFS(Table102[Country],Tabela1[[#This Row],[Country]],Table102[Giant Slalom Classification],"&gt;0")</f>
        <v>0</v>
      </c>
      <c r="MP102" s="6">
        <f>COUNTIFS(Table102105[Country],Tabela1[[#This Row],[Country]],Table102105[Giant Slalom Classification],"&gt;0")</f>
        <v>0</v>
      </c>
      <c r="MQ102" s="6">
        <f>COUNTIFS(Table102[Country],Tabela1[[#This Row],[Country]],Table102[Slalom Classification],"&gt;0")</f>
        <v>0</v>
      </c>
      <c r="MR102" s="6">
        <f>COUNTIFS(Table102105[Country],Tabela1[[#This Row],[Country]],Table102105[Slalom Classification],"&gt;0")</f>
        <v>0</v>
      </c>
      <c r="MS102" s="6">
        <f>COUNTIFS(Table102[Country],Tabela1[[#This Row],[Country]],Table102[Super-G Classification],"&gt;0")</f>
        <v>0</v>
      </c>
      <c r="MT102" s="6">
        <f>COUNTIFS(Table102105[Country],Tabela1[[#This Row],[Country]],Table102105[Super-G Classification],"&gt;0")</f>
        <v>0</v>
      </c>
      <c r="MU102" s="6">
        <f>COUNTIFS(Table105[Country],Tabela1[[#This Row],[Country]],Table105[Men''s Combined Classification],"&gt;0")</f>
        <v>0</v>
      </c>
      <c r="MV102" s="6">
        <f>COUNTIFS(Table105[Country],Tabela1[[#This Row],[Country]],Table105[Women''s Combined Classification],"&gt;0")</f>
        <v>0</v>
      </c>
      <c r="MW102" s="6">
        <f>COUNTIFS(Table106[Country],Tabela1[[#This Row],[Country]],Table106[Individual Classification],"&gt;0")</f>
        <v>0</v>
      </c>
      <c r="MX102" s="6">
        <f>COUNTIFS(Table106109[Country],Tabela1[[#This Row],[Country]],Table106109[Individual Classification],"&gt;0")</f>
        <v>0</v>
      </c>
      <c r="MY102" s="6">
        <f>COUNTIFS(Table106[Country],Tabela1[[#This Row],[Country]],Table106[Mass Start Classification],"&gt;0")</f>
        <v>0</v>
      </c>
      <c r="MZ102" s="6">
        <f>COUNTIFS(Table106109[Country],Tabela1[[#This Row],[Country]],Table106109[Mass Start Classification],"&gt;0")</f>
        <v>0</v>
      </c>
      <c r="NA102" s="6">
        <f>COUNTIFS(Table106[Country],Tabela1[[#This Row],[Country]],Table106[Pursuit Classification],"&gt;0")</f>
        <v>0</v>
      </c>
      <c r="NB102" s="6">
        <f>COUNTIFS(Table106109[Country],Tabela1[[#This Row],[Country]],Table106109[Pursuit Classification],"&gt;0")</f>
        <v>0</v>
      </c>
      <c r="NC102" s="6">
        <f>COUNTIFS(Table106[Country],Tabela1[[#This Row],[Country]],Table106[Sprint Classification],"&gt;0")</f>
        <v>0</v>
      </c>
      <c r="ND102" s="6">
        <f>COUNTIFS(Table106109[Country],Tabela1[[#This Row],[Country]],Table106109[Sprint Classification],"&gt;0")</f>
        <v>0</v>
      </c>
      <c r="NE102" s="6">
        <f>COUNTIFS(Table109[Country],Tabela1[[#This Row],[Country]],Table109[Men''s Relay Classification],"&gt;0")</f>
        <v>0</v>
      </c>
      <c r="NF102" s="6">
        <f>COUNTIFS(Table109[Country],Tabela1[[#This Row],[Country]],Table109[Women''s Relay Classification],"&gt;0")</f>
        <v>0</v>
      </c>
      <c r="NG102" s="6">
        <f>COUNTIFS(Table109[Country],Tabela1[[#This Row],[Country]],Table109[Mixed Relay Classification],"&gt;0")</f>
        <v>0</v>
      </c>
      <c r="NH102" s="6">
        <f>COUNTIFS(Table110[Country],Tabela1[[#This Row],[Country]],Table110[Monobob Classification],"&gt;0")</f>
        <v>0</v>
      </c>
      <c r="NI102" s="6">
        <f>COUNTIFS(Table111[Country],Tabela1[[#This Row],[Country]],Table111[Men''s Classification],"&gt;0")</f>
        <v>0</v>
      </c>
      <c r="NJ102" s="6">
        <f>COUNTIFS(Table111[Country],Tabela1[[#This Row],[Country]],Table111[Women''s Classification],"&gt;0")</f>
        <v>0</v>
      </c>
      <c r="NK102" s="6">
        <f>COUNTIFS(Table112[Country],Tabela1[[#This Row],[Country]],Table112[Men''s Four Classification],"&gt;0")</f>
        <v>0</v>
      </c>
      <c r="NL102" s="6">
        <f>COUNTIFS(Table113[Country],Tabela1[[#This Row],[Country]],Table113[Classical Classification],"&gt;0")</f>
        <v>0</v>
      </c>
      <c r="NM102" s="6">
        <f>COUNTIFS(Table113116[Country],Tabela1[[#This Row],[Country]],Table113116[Classical Classification],"&gt;0")</f>
        <v>0</v>
      </c>
      <c r="NN102" s="6">
        <f>COUNTIFS(Table113[Country],Tabela1[[#This Row],[Country]],Table113[Freestyle Classification],"&gt;0")</f>
        <v>0</v>
      </c>
      <c r="NO102" s="6">
        <f>COUNTIFS(Table113116[Country],Tabela1[[#This Row],[Country]],Table113116[Freestyle Classification],"&gt;0")</f>
        <v>0</v>
      </c>
      <c r="NP102" s="6">
        <f>COUNTIFS(Table117[Country],Tabela1[[#This Row],[Country]],Table117[Men''s Relay Classification],"&gt;0")</f>
        <v>0</v>
      </c>
      <c r="NQ102" s="6">
        <f>COUNTIFS(Table117[Country],Tabela1[[#This Row],[Country]],Table117[Women''s Relay Classification],"&gt;0")</f>
        <v>0</v>
      </c>
      <c r="NR102" s="6">
        <f>COUNTIFS(Table113[Country],Tabela1[[#This Row],[Country]],Table113[Skiathlon Classification],"&gt;0")</f>
        <v>0</v>
      </c>
      <c r="NS102" s="6">
        <f>COUNTIFS(Table113116[Country],Tabela1[[#This Row],[Country]],Table113116[Skiathlon Classification],"&gt;0")</f>
        <v>0</v>
      </c>
      <c r="NT102" s="6">
        <f>COUNTIFS(Table113[Country],Tabela1[[#This Row],[Country]],Table113[Sprint Classification],"&gt;0")</f>
        <v>0</v>
      </c>
      <c r="NU102" s="6">
        <f>COUNTIFS(Table113116[Country],Tabela1[[#This Row],[Country]],Table113116[Sprint Classification],"&gt;0")</f>
        <v>0</v>
      </c>
      <c r="NV102" s="6">
        <f>COUNTIFS(Table116[Country],Tabela1[[#This Row],[Country]],Table116[Men''s Team Sprint Classification],"&gt;0")</f>
        <v>0</v>
      </c>
      <c r="NW102" s="6">
        <f>COUNTIFS(Table116[Country],Tabela1[[#This Row],[Country]],Table116[Women''s Team Sprint Classification],"&gt;0")</f>
        <v>0</v>
      </c>
      <c r="NX102" s="6">
        <f>COUNTIFS(Table119[Country],Tabela1[[#This Row],[Country]],Table119[Men''s Classification],"&gt;0")</f>
        <v>0</v>
      </c>
      <c r="NY102" s="6">
        <f>COUNTIFS(Table119[Country],Tabela1[[#This Row],[Country]],Table119[Women''s Classification],"&gt;0")</f>
        <v>0</v>
      </c>
      <c r="NZ102" s="6">
        <f>COUNTIFS(Table118[Country],Tabela1[[#This Row],[Country]],Table118[Mixed Classification],"&gt;0")</f>
        <v>0</v>
      </c>
      <c r="OA102" s="6">
        <f>COUNTIFS(Table120[Country],Tabela1[[#This Row],[Country]],Table120[Classification],"&gt;0")</f>
        <v>0</v>
      </c>
      <c r="OB102" s="6">
        <f>COUNTIFS(Table120123[Country],Tabela1[[#This Row],[Country]],Table120123[Classification],"&gt;0")</f>
        <v>0</v>
      </c>
      <c r="OC102" s="6">
        <f>COUNTIFS(Table123[Country],Tabela1[[#This Row],[Country]],Table123[Ice Dance Classification],"&gt;0")</f>
        <v>0</v>
      </c>
      <c r="OD102" s="6">
        <f>COUNTIFS(Table123[Country],Tabela1[[#This Row],[Country]],Table123[Pair Skating Classification],"&gt;0")</f>
        <v>0</v>
      </c>
      <c r="OE102" s="6">
        <f>COUNTIFS(Table124[Country],Tabela1[[#This Row],[Country]],Table124[Mixed Classification],"&gt;0")</f>
        <v>0</v>
      </c>
      <c r="OF102" s="6">
        <f>COUNTIFS(Table125[Country],Tabela1[[#This Row],[Country]],Table125[Aerials Classification],"&gt;0")</f>
        <v>0</v>
      </c>
      <c r="OG102" s="6">
        <f>COUNTIFS(Table125128[Country],Tabela1[[#This Row],[Country]],Table125128[Aerials Classification],"&gt;0")</f>
        <v>0</v>
      </c>
      <c r="OH102" s="6">
        <f>COUNTIFS(Table128[Country],Tabela1[[#This Row],[Country]],Table128[Mixed Aerials Classification],"&gt;0")</f>
        <v>0</v>
      </c>
      <c r="OI102" s="6">
        <f>COUNTIFS(Table125[Country],Tabela1[[#This Row],[Country]],Table125[Big Air Classification],"&gt;0")</f>
        <v>0</v>
      </c>
      <c r="OJ102" s="6">
        <f>COUNTIFS(Table125128[Country],Tabela1[[#This Row],[Country]],Table125128[Big Air Classification],"&gt;0")</f>
        <v>0</v>
      </c>
      <c r="OK102" s="6">
        <f>COUNTIFS(Table125[Country],Tabela1[[#This Row],[Country]],Table125[Dual Moguls Classification],"&gt;0")</f>
        <v>0</v>
      </c>
      <c r="OL102" s="6">
        <f>COUNTIFS(Table125128[Country],Tabela1[[#This Row],[Country]],Table125128[Dual Moguls Classification],"&gt;0")</f>
        <v>0</v>
      </c>
      <c r="OM102" s="6">
        <f>COUNTIFS(Table125[Country],Tabela1[[#This Row],[Country]],Table125[Halfpipe Classification],"&gt;0")</f>
        <v>0</v>
      </c>
      <c r="ON102" s="6">
        <f>COUNTIFS(Table125128[Country],Tabela1[[#This Row],[Country]],Table125128[Halfpipe Classification],"&gt;0")</f>
        <v>0</v>
      </c>
      <c r="OO102" s="6">
        <f>COUNTIFS(Table125[Country],Tabela1[[#This Row],[Country]],Table125[Moguls Classification],"&gt;0")</f>
        <v>0</v>
      </c>
      <c r="OP102" s="6">
        <f>COUNTIFS(Table125128[Country],Tabela1[[#This Row],[Country]],Table125128[Moguls Classification],"&gt;0")</f>
        <v>0</v>
      </c>
      <c r="OQ102" s="6">
        <f>COUNTIFS(Table125[Country],Tabela1[[#This Row],[Country]],Table125[Ski Cross Classification],"&gt;0")</f>
        <v>0</v>
      </c>
      <c r="OR102" s="6">
        <f>COUNTIFS(Table125128[Country],Tabela1[[#This Row],[Country]],Table125128[Ski Cross Classification],"&gt;0")</f>
        <v>0</v>
      </c>
      <c r="OS102" s="6">
        <f>COUNTIFS(Table125[Country],Tabela1[[#This Row],[Country]],Table125[Slopestyle Classification],"&gt;0")</f>
        <v>0</v>
      </c>
      <c r="OT102" s="6">
        <f>COUNTIFS(Table125128[Country],Tabela1[[#This Row],[Country]],Table125128[Slopestyle Classification],"&gt;0")</f>
        <v>0</v>
      </c>
      <c r="OU102" s="6">
        <f>COUNTIFS(Table119131[Country],Tabela1[[#This Row],[Country]],Table119131[Men''s Classification],"&gt;0")</f>
        <v>0</v>
      </c>
      <c r="OV102" s="6">
        <f>COUNTIFS(Table119131[Country],Tabela1[[#This Row],[Country]],Table119131[Women''s Classification],"&gt;0")</f>
        <v>0</v>
      </c>
      <c r="OW102" s="6">
        <f>COUNTIFS(Table131[Country],Tabela1[[#This Row],[Country]],Table131[Classification],"&gt;0")</f>
        <v>0</v>
      </c>
      <c r="OX102" s="6">
        <f>COUNTIFS(Table131134[Country],Tabela1[[#This Row],[Country]],Table131134[Classification],"&gt;0")</f>
        <v>0</v>
      </c>
      <c r="OY102" s="6">
        <f>COUNTIFS(Table134[Country],Tabela1[[#This Row],[Country]],Table134[Men''s Classification],"&gt;0")</f>
        <v>0</v>
      </c>
      <c r="OZ102" s="6">
        <f>COUNTIFS(Table134[Country],Tabela1[[#This Row],[Country]],Table134[Women''s Classification],"&gt;0")</f>
        <v>0</v>
      </c>
      <c r="PA102" s="6">
        <f>COUNTIFS(Table135[Country],Tabela1[[#This Row],[Country]],Table135[Mixed Relay Classification],"&gt;0")</f>
        <v>0</v>
      </c>
      <c r="PB102" s="6">
        <f>COUNTIFS(Table136[Country],Tabela1[[#This Row],[Country]],Table136[Individual Classification],"&gt;0")</f>
        <v>0</v>
      </c>
      <c r="PC102" s="6">
        <f>COUNTIFS(Table136[Country],Tabela1[[#This Row],[Country]],Table136[Sprint Classification],"&gt;0")</f>
        <v>0</v>
      </c>
      <c r="PD102" s="6">
        <f>COUNTIFS(Table137[Country],Tabela1[[#This Row],[Country]],Table137[Men''s Team Sprint Large Hill Classification],"&gt;0")</f>
        <v>0</v>
      </c>
      <c r="PE102" s="6">
        <f>COUNTIFS(Table138[Country],Tabela1[[#This Row],[Country]],Table138[500m Classification],"&gt;0")</f>
        <v>0</v>
      </c>
      <c r="PF102" s="6">
        <f>COUNTIFS(Table138141[Country],Tabela1[[#This Row],[Country]],Table138141[500m Classification],"&gt;0")</f>
        <v>0</v>
      </c>
      <c r="PG102" s="6">
        <f>COUNTIFS(Table138[Country],Tabela1[[#This Row],[Country]],Table138[1000m Classification],"&gt;0")</f>
        <v>0</v>
      </c>
      <c r="PH102" s="6">
        <f>COUNTIFS(Table138141[Country],Tabela1[[#This Row],[Country]],Table138141[1000m Classification],"&gt;0")</f>
        <v>0</v>
      </c>
      <c r="PI102" s="6">
        <f>COUNTIFS(Table138[Country],Tabela1[[#This Row],[Country]],Table138[1500m Classification],"&gt;0")</f>
        <v>0</v>
      </c>
      <c r="PJ102" s="6">
        <f>COUNTIFS(Table138141[Country],Tabela1[[#This Row],[Country]],Table138141[1500m Classification],"&gt;0")</f>
        <v>0</v>
      </c>
      <c r="PK102" s="6">
        <f>COUNTIFS(Table141[Country],Tabela1[[#This Row],[Country]],Table141[Men''s 5000m Relay Classification],"&gt;0")</f>
        <v>0</v>
      </c>
      <c r="PL102" s="6">
        <f>COUNTIFS(Table141[Country],Tabela1[[#This Row],[Country]],Table141[Women''s 3000m Relay Classification],"&gt;0")</f>
        <v>0</v>
      </c>
      <c r="PM102" s="6">
        <f>COUNTIFS(Table141[Country],Tabela1[[#This Row],[Country]],Table141[Mixed 2000m Relay Classification],"&gt;0")</f>
        <v>0</v>
      </c>
      <c r="PN102" s="6">
        <f>COUNTIFS(Table142[Country],Tabela1[[#This Row],[Country]],Table142[Classification],"&gt;0")</f>
        <v>0</v>
      </c>
      <c r="PO102" s="6">
        <f>COUNTIFS(Table142145[Country],Tabela1[[#This Row],[Country]],Table142145[Classification],"&gt;0")</f>
        <v>0</v>
      </c>
      <c r="PP102" s="6">
        <f>COUNTIFS(Tabela15[Country],Tabela1[[#This Row],[Country]],Tabela15[Mixed Team Classification],"&gt;0")</f>
        <v>0</v>
      </c>
      <c r="PQ102" s="6">
        <f>COUNTIFS(Table145[Country],Tabela1[[#This Row],[Country]],Table145[Large Hill Classification],"&gt;0")</f>
        <v>0</v>
      </c>
      <c r="PR102" s="6">
        <f>COUNTIFS(Table145[Country],Tabela1[[#This Row],[Country]],Table145[Normal Hill Classification],"&gt;0")</f>
        <v>0</v>
      </c>
      <c r="PS102" s="6">
        <f>COUNTIFS(Table145148[Country],Tabela1[[#This Row],[Country]],Table145148[Large Hill Classification],"&gt;0")</f>
        <v>0</v>
      </c>
      <c r="PT102" s="6">
        <f>COUNTIFS(Table145148[Country],Tabela1[[#This Row],[Country]],Table145148[Normal Hill Classification],"&gt;0")</f>
        <v>0</v>
      </c>
      <c r="PU102" s="6">
        <f>COUNTIFS(Table148[Country],Tabela1[[#This Row],[Country]],Table148[Men''s Super Team Classification],"&gt;0")</f>
        <v>0</v>
      </c>
      <c r="PV102" s="6">
        <f>COUNTIFS(Tabela114[Country],Tabela1[[#This Row],[Country]],Tabela114[Mixed Normal Hill Classification],"&gt;0")</f>
        <v>0</v>
      </c>
      <c r="PW102" s="6">
        <f>COUNTIFS(Tabela50[Country],Tabela1[[#This Row],[Country]],Tabela50[Sprint Classification],"&gt;0")</f>
        <v>0</v>
      </c>
      <c r="PX102" s="6">
        <f>COUNTIFS(Tabela50101[Country],Tabela1[[#This Row],[Country]],Tabela50101[Sprint Classification],"&gt;0")</f>
        <v>0</v>
      </c>
      <c r="PY102" s="6">
        <f>COUNTIFS(Tabela103[Country],Tabela1[[#This Row],[Country]],Tabela103[Mixed Relay Classification],"&gt;0")</f>
        <v>0</v>
      </c>
      <c r="PZ102" s="6">
        <f>COUNTIFS(Table149[Country],Tabela1[[#This Row],[Country]],Table149[Big Air Classification],"&gt;0")</f>
        <v>0</v>
      </c>
      <c r="QA102" s="6">
        <f>COUNTIFS(Table149152[Country],Tabela1[[#This Row],[Country]],Table149152[Big Air Classification],"&gt;0")</f>
        <v>0</v>
      </c>
      <c r="QB102" s="6">
        <f>COUNTIFS(Table149[Country],Tabela1[[#This Row],[Country]],Table149[Halfpipe Classification],"&gt;0")</f>
        <v>0</v>
      </c>
      <c r="QC102" s="6">
        <f>COUNTIFS(Table149152[Country],Tabela1[[#This Row],[Country]],Table149152[Halfpipe Classification],"&gt;0")</f>
        <v>0</v>
      </c>
      <c r="QD102" s="6">
        <f>COUNTIFS(Table149[Country],Tabela1[[#This Row],[Country]],Table149[Parallel Giant Slalom Classification],"&gt;0")</f>
        <v>0</v>
      </c>
      <c r="QE102" s="6">
        <f>COUNTIFS(Table149152[Country],Tabela1[[#This Row],[Country]],Table149152[Parallel Giant Slalom Classification],"&gt;0")</f>
        <v>0</v>
      </c>
      <c r="QF102" s="6">
        <f>COUNTIFS(Table149[Country],Tabela1[[#This Row],[Country]],Table149[Slopestyle Classification],"&gt;0")</f>
        <v>0</v>
      </c>
      <c r="QG102" s="6">
        <f>COUNTIFS(Table149152[Country],Tabela1[[#This Row],[Country]],Table149152[Slopestyle Classification],"&gt;0")</f>
        <v>0</v>
      </c>
      <c r="QH102" s="6">
        <f>COUNTIFS(Table149[Country],Tabela1[[#This Row],[Country]],Table149[Snowboard Cross Classification],"&gt;0")</f>
        <v>0</v>
      </c>
      <c r="QI102" s="6">
        <f>COUNTIFS(Table149152[Country],Tabela1[[#This Row],[Country]],Table149152[Snowboard Cross Classification],"&gt;0")</f>
        <v>0</v>
      </c>
      <c r="QJ102" s="6">
        <f>COUNTIFS(Table153[Country],Tabela1[[#This Row],[Country]],Table153[Mixed Team Snowboard Cross Classification],"&gt;0")</f>
        <v>0</v>
      </c>
      <c r="QK102" s="6">
        <f>COUNTIFS(Table154[Country],Tabela1[[#This Row],[Country]],Table154[500m Classification],"&gt;0")</f>
        <v>0</v>
      </c>
      <c r="QL102" s="6">
        <f>COUNTIFS(Table154157[Country],Tabela1[[#This Row],[Country]],Table154157[500m Classification],"&gt;0")</f>
        <v>0</v>
      </c>
      <c r="QM102" s="6">
        <f>COUNTIFS(Table154[Country],Tabela1[[#This Row],[Country]],Table154[1000m Classification],"&gt;0")</f>
        <v>0</v>
      </c>
      <c r="QN102" s="6">
        <f>COUNTIFS(Table154157[Country],Tabela1[[#This Row],[Country]],Table154157[1000m Classification],"&gt;0")</f>
        <v>0</v>
      </c>
      <c r="QO102" s="6">
        <f>COUNTIFS(Table154[Country],Tabela1[[#This Row],[Country]],Table154[1500m Classification],"&gt;0")</f>
        <v>0</v>
      </c>
      <c r="QP102" s="6">
        <f>COUNTIFS(Table154157[Country],Tabela1[[#This Row],[Country]],Table154157[1500m Classification],"&gt;0")</f>
        <v>0</v>
      </c>
      <c r="QQ102" s="6">
        <f>COUNTIFS(Table154157[Country],Tabela1[[#This Row],[Country]],Table154157[3000m Classification],"&gt;0")</f>
        <v>0</v>
      </c>
      <c r="QR102" s="6">
        <f>COUNTIFS(Table154[Country],Tabela1[[#This Row],[Country]],Table154[5000m Classification],"&gt;0")</f>
        <v>0</v>
      </c>
      <c r="QS102" s="6">
        <f>COUNTIFS(Table154157[Country],Tabela1[[#This Row],[Country]],Table154157[5000m Classification],"&gt;0")</f>
        <v>0</v>
      </c>
      <c r="QT102" s="6">
        <f>COUNTIFS(Table154[Country],Tabela1[[#This Row],[Country]],Table154[10000m Classification],"&gt;0")</f>
        <v>0</v>
      </c>
      <c r="QU102" s="6">
        <f>COUNTIFS(Table154[Country],Tabela1[[#This Row],[Country]],Table154[Mass Start Classification],"&gt;0")</f>
        <v>0</v>
      </c>
      <c r="QV102" s="6">
        <f>COUNTIFS(Table154157[Country],Tabela1[[#This Row],[Country]],Table154157[Mass Start Classification],"&gt;0")</f>
        <v>0</v>
      </c>
      <c r="QW102" s="6">
        <f>COUNTIFS(Table157[Country],Tabela1[[#This Row],[Country]],Table157[Men''s Pursuit Classification],"&gt;0")</f>
        <v>0</v>
      </c>
      <c r="QX102" s="6">
        <f>COUNTIFS(Table157[Country],Tabela1[[#This Row],[Country]],Table157[Women''s Pursuit Classification],"&gt;0")</f>
        <v>0</v>
      </c>
      <c r="QY102" s="4" t="s">
        <v>541</v>
      </c>
    </row>
    <row r="103" spans="1:467" x14ac:dyDescent="0.3">
      <c r="A103" s="6">
        <v>102</v>
      </c>
      <c r="B103" s="6" t="s">
        <v>424</v>
      </c>
      <c r="C103" t="e" vm="102">
        <f>IF(ISBLANK(Tabela1[[#This Row],[Image Link]]), "", _xlfn.IMAGE(Tabela1[[#This Row],[Image Link]],1,1))</f>
        <v>#VALUE!</v>
      </c>
      <c r="D103" s="6">
        <f>SUM(Tabela1[[#This Row],[Archery - Men''s Individual Recurve]:[Speed Skating - Women''s Team Pursuit]])</f>
        <v>3</v>
      </c>
      <c r="E103" s="6">
        <f>COUNTIF(Tabela1[[#This Row],[Archery - Men''s Individual Recurve]:[Speed Skating - Women''s Team Pursuit]],"&gt;0")</f>
        <v>3</v>
      </c>
      <c r="F103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03" s="6">
        <f>SUM(Tabela1[[#This Row],[Archery - Men''s Individual Recurve]:[Wrestling - Women''s Freestyle 76kg]])</f>
        <v>3</v>
      </c>
      <c r="H103" s="6">
        <f>SUM(Tabela1[[#This Row],[Alpine Skiing - Men''s Downhill]:[Speed Skating - Women''s Team Pursuit]])</f>
        <v>0</v>
      </c>
      <c r="I103" s="6">
        <f>Tabela1[[#This Row],[Summer Gold Medals]]+Tabela1[[#This Row],[Winter Gold Medals]]</f>
        <v>0</v>
      </c>
      <c r="J103" s="6">
        <f>Tabela1[[#This Row],[Summer Silver Medals]]+Tabela1[[#This Row],[Winter Silver Medals]]</f>
        <v>0</v>
      </c>
      <c r="K103" s="6">
        <f>Tabela1[[#This Row],[Summer Bronze Medals]]+Tabela1[[#This Row],[Winter Bronze Medals]]</f>
        <v>0</v>
      </c>
      <c r="L103" s="6">
        <f>SUM(Tabela1[[#This Row],[Total Gold Medals]:[Total Bronze Medals]])</f>
        <v>0</v>
      </c>
      <c r="M103" s="6"/>
      <c r="N103" s="6"/>
      <c r="O103" s="6"/>
      <c r="P103" s="6">
        <f>SUM(Tabela1[[#This Row],[Summer Gold Medals]:[Summer Bronze Medals]])</f>
        <v>0</v>
      </c>
      <c r="Q103" s="6"/>
      <c r="R103" s="6"/>
      <c r="S103" s="6"/>
      <c r="T103" s="6">
        <f>Tabela1[[#This Row],[Winter Gold Medals]]+Tabela1[[#This Row],[Winter Silver Medals]]+Tabela1[[#This Row],[Winter Bronze Medals]]</f>
        <v>0</v>
      </c>
      <c r="U103" s="7">
        <f>Tabela1[[#This Row],[Total Medals]]/Tabela1[[#This Row],[Total Quotas]]</f>
        <v>0</v>
      </c>
      <c r="V103" s="6">
        <f>COUNTIFS(Table3[Country],Tabela1[[#This Row],[Country]],Table3[Recurve Classification],"&gt;0")</f>
        <v>0</v>
      </c>
      <c r="W103" s="6">
        <f>COUNTIFS(Table33[Country],Tabela1[[#This Row],[Country]],Table33[Recurve Classification],"&gt;0")</f>
        <v>0</v>
      </c>
      <c r="X103" s="6">
        <f>COUNTIFS(Table35[Country],Tabela1[[#This Row],[Country]],Table35[Men''s Team Recurve Classification],"&gt;0")</f>
        <v>0</v>
      </c>
      <c r="Y103" s="6">
        <f>COUNTIFS(Table35[Country],Tabela1[[#This Row],[Country]],Table35[Women''s Team Recurve Classification],"&gt;0")</f>
        <v>0</v>
      </c>
      <c r="Z103" s="6">
        <f>COUNTIFS(Tabela88[Country],Tabela1[[#This Row],[Country]],Tabela88[Mixed Team Recurve Classification],"&gt;0")</f>
        <v>0</v>
      </c>
      <c r="AA103" s="6">
        <f>COUNTIFS(Table36[Country],Tabela1[[#This Row],[Country]],Table36[Classification],"&gt;0")</f>
        <v>0</v>
      </c>
      <c r="AB103" s="6">
        <f>COUNTIFS(Table37[Country],Tabela1[[#This Row],[Country]],Table37[Classification],"&gt;0")</f>
        <v>0</v>
      </c>
      <c r="AC103" s="6">
        <f>COUNTIFS(Table4[Country],Tabela1[[#This Row],[Country]],Table4[100m Classification],"&gt;0")</f>
        <v>1</v>
      </c>
      <c r="AD103" s="6">
        <f>COUNTIFS(Table5[Country],Tabela1[[#This Row],[Country]],Table5[100m Classification],"&gt;0")</f>
        <v>0</v>
      </c>
      <c r="AE103" s="6">
        <f>COUNTIFS(Table4[Country],Tabela1[[#This Row],[Country]],Table4[200m Classification],"&gt;0")</f>
        <v>0</v>
      </c>
      <c r="AF103" s="6">
        <f>COUNTIFS(Table5[Country],Tabela1[[#This Row],[Country]],Table5[200m Classification],"&gt;0")</f>
        <v>0</v>
      </c>
      <c r="AG103" s="6">
        <f>COUNTIFS(Table4[Country],Tabela1[[#This Row],[Country]],Table4[400m Classification],"&gt;0")</f>
        <v>0</v>
      </c>
      <c r="AH103" s="6">
        <f>COUNTIFS(Table5[Country],Tabela1[[#This Row],[Country]],Table5[400m Classification],"&gt;0")</f>
        <v>0</v>
      </c>
      <c r="AI103" s="6">
        <f>COUNTIFS(Table4[Country],Tabela1[[#This Row],[Country]],Table4[800m Classification],"&gt;0")</f>
        <v>0</v>
      </c>
      <c r="AJ103" s="6">
        <f>COUNTIFS(Table5[Country],Tabela1[[#This Row],[Country]],Table5[800m Classification],"&gt;0")</f>
        <v>0</v>
      </c>
      <c r="AK103" s="6">
        <f>COUNTIFS(Table4[Country],Tabela1[[#This Row],[Country]],Table4[1500m Classification],"&gt;0")</f>
        <v>0</v>
      </c>
      <c r="AL103" s="6">
        <f>COUNTIFS(Table5[Country],Tabela1[[#This Row],[Country]],Table5[1500m Classification],"&gt;0")</f>
        <v>0</v>
      </c>
      <c r="AM103" s="6">
        <f>COUNTIFS(Table4[Country],Tabela1[[#This Row],[Country]],Table4[5000m Classification],"&gt;0")</f>
        <v>0</v>
      </c>
      <c r="AN103" s="6">
        <f>COUNTIFS(Table5[Country],Tabela1[[#This Row],[Country]],Table5[5000m Classification],"&gt;0")</f>
        <v>0</v>
      </c>
      <c r="AO103" s="6">
        <f>COUNTIFS(Table4[Country],Tabela1[[#This Row],[Country]],Table4[10000m Classification],"&gt;0")</f>
        <v>0</v>
      </c>
      <c r="AP103" s="6">
        <f>COUNTIFS(Table5[Country],Tabela1[[#This Row],[Country]],Table5[10000m Classification],"&gt;0")</f>
        <v>0</v>
      </c>
      <c r="AQ103" s="6">
        <f>COUNTIFS(Table4[Country],Tabela1[[#This Row],[Country]],Table4[110m Hurdles Classification],"&gt;0")</f>
        <v>0</v>
      </c>
      <c r="AR103" s="6">
        <f>COUNTIFS(Table5[Country],Tabela1[[#This Row],[Country]],Table5[100m Hurdles Classification],"&gt;0")</f>
        <v>0</v>
      </c>
      <c r="AS103" s="6">
        <f>COUNTIFS(Table4[Country],Tabela1[[#This Row],[Country]],Table4[400m Hurdles Classification],"&gt;0")</f>
        <v>0</v>
      </c>
      <c r="AT103" s="6">
        <f>COUNTIFS(Table5[Country],Tabela1[[#This Row],[Country]],Table5[400m Hurdles Classification],"&gt;0")</f>
        <v>0</v>
      </c>
      <c r="AU103" s="6">
        <f>COUNTIFS(Table4[Country],Tabela1[[#This Row],[Country]],Table4[3000m Steeplechase Classification],"&gt;0")</f>
        <v>0</v>
      </c>
      <c r="AV103" s="6">
        <f>COUNTIFS(Table5[Country],Tabela1[[#This Row],[Country]],Table5[3000m Steeplechase Classification],"&gt;0")</f>
        <v>0</v>
      </c>
      <c r="AW103" s="6">
        <f>COUNTIFS(Table27[Country],Tabela1[[#This Row],[Country]],Table27[Men''s 4x100m Relay Classification],"&gt;0")</f>
        <v>1</v>
      </c>
      <c r="AX103" s="6">
        <f>COUNTIFS(Table27[Country],Tabela1[[#This Row],[Country]],Table27[Women''s 4x100m Relay Classification],"&gt;0")</f>
        <v>0</v>
      </c>
      <c r="AY103" s="6">
        <f>COUNTIFS(Table27[Country],Tabela1[[#This Row],[Country]],Table27[Men''s 4x400m Relay Classification],"&gt;0")</f>
        <v>0</v>
      </c>
      <c r="AZ103" s="6">
        <f>COUNTIFS(Table27[Country],Tabela1[[#This Row],[Country]],Table27[Women''s 4x400m Relay Classification],"&gt;0")</f>
        <v>0</v>
      </c>
      <c r="BA103" s="6">
        <f>COUNTIFS(Table27[Country],Tabela1[[#This Row],[Country]],Table27[Mixed 4x400m Relay Classification],"&gt;0")</f>
        <v>0</v>
      </c>
      <c r="BB103" s="6">
        <f>COUNTIFS(Table4[Country],Tabela1[[#This Row],[Country]],Table4[Marathon Classification],"&gt;0")</f>
        <v>0</v>
      </c>
      <c r="BC103" s="6">
        <f>COUNTIFS(Table5[Country],Tabela1[[#This Row],[Country]],Table5[Marathon Classification],"&gt;0")</f>
        <v>0</v>
      </c>
      <c r="BD103" s="6">
        <f>COUNTIFS(Table4[Country],Tabela1[[#This Row],[Country]],Table4[20km Race Walk Classification],"&gt;0")</f>
        <v>0</v>
      </c>
      <c r="BE103" s="6">
        <f>COUNTIFS(Table5[Country],Tabela1[[#This Row],[Country]],Table5[20km Race Walk Classification],"&gt;0")</f>
        <v>0</v>
      </c>
      <c r="BF103" s="6">
        <f>COUNTIFS(Tabela96[Country],Tabela1[[#This Row],[Country]],Tabela96[Mixed Marathon Race Walk Relay Classification],"&gt;0")</f>
        <v>0</v>
      </c>
      <c r="BG103" s="6">
        <f>COUNTIFS(Table4[Country],Tabela1[[#This Row],[Country]],Table4[Discus Throw Classification],"&gt;0")</f>
        <v>0</v>
      </c>
      <c r="BH103" s="6">
        <f>COUNTIFS(Table5[Country],Tabela1[[#This Row],[Country]],Table5[Discus Throw Classification],"&gt;0")</f>
        <v>0</v>
      </c>
      <c r="BI103" s="6">
        <f>COUNTIFS(Table4[Country],Tabela1[[#This Row],[Country]],Table4[Hammer Throw Classification],"&gt;0")</f>
        <v>0</v>
      </c>
      <c r="BJ103" s="6">
        <f>COUNTIFS(Table5[Country],Tabela1[[#This Row],[Country]],Table5[Hammer Throw Classification],"&gt;0")</f>
        <v>0</v>
      </c>
      <c r="BK103" s="6">
        <f>COUNTIFS(Table4[Country],Tabela1[[#This Row],[Country]],Table4[High Jump Classification],"&gt;0")</f>
        <v>0</v>
      </c>
      <c r="BL103" s="6">
        <f>COUNTIFS(Table5[Country],Tabela1[[#This Row],[Country]],Table5[High Jump Classification],"&gt;0")</f>
        <v>0</v>
      </c>
      <c r="BM103" s="6">
        <f>COUNTIFS(Table4[Country],Tabela1[[#This Row],[Country]],Table4[Javelin Throw Classification],"&gt;0")</f>
        <v>0</v>
      </c>
      <c r="BN103" s="6">
        <f>COUNTIFS(Table5[Country],Tabela1[[#This Row],[Country]],Table5[Javelin Throw Classification],"&gt;0")</f>
        <v>0</v>
      </c>
      <c r="BO103" s="6">
        <f>COUNTIFS(Table4[Country],Tabela1[[#This Row],[Country]],Table4[Long Jump Classification],"&gt;0")</f>
        <v>0</v>
      </c>
      <c r="BP103" s="6">
        <f>COUNTIFS(Table5[Country],Tabela1[[#This Row],[Country]],Table5[Long Jump Classification],"&gt;0")</f>
        <v>0</v>
      </c>
      <c r="BQ103" s="6">
        <f>COUNTIFS(Table4[Country],Tabela1[[#This Row],[Country]],Table4[Pole Vault Classification],"&gt;0")</f>
        <v>0</v>
      </c>
      <c r="BR103" s="6">
        <f>COUNTIFS(Table5[Country],Tabela1[[#This Row],[Country]],Table5[Pole Vault Classification],"&gt;0")</f>
        <v>0</v>
      </c>
      <c r="BS103" s="6">
        <f>COUNTIFS(Table4[Country],Tabela1[[#This Row],[Country]],Table4[Shot Put Classification],"&gt;0")</f>
        <v>0</v>
      </c>
      <c r="BT103" s="6">
        <f>COUNTIFS(Table5[Country],Tabela1[[#This Row],[Country]],Table5[Shot Put Classification],"&gt;0")</f>
        <v>0</v>
      </c>
      <c r="BU103" s="6">
        <f>COUNTIFS(Table4[Country],Tabela1[[#This Row],[Country]],Table4[Triple Jump Classification],"&gt;0")</f>
        <v>0</v>
      </c>
      <c r="BV103" s="6">
        <f>COUNTIFS(Table5[Country],Tabela1[[#This Row],[Country]],Table5[Triple Jump Classification],"&gt;0")</f>
        <v>0</v>
      </c>
      <c r="BW103" s="6">
        <f>COUNTIFS(Table4[Country],Tabela1[[#This Row],[Country]],Table4[Decathlon Classification],"&gt;0")</f>
        <v>0</v>
      </c>
      <c r="BX103" s="6">
        <f>COUNTIFS(Table5[Country],Tabela1[[#This Row],[Country]],Table5[Heptathlon Classification],"&gt;0")</f>
        <v>0</v>
      </c>
      <c r="BY103" s="6">
        <f>COUNTIFS(Table61[Country],Tabela1[[#This Row],[Country]],Table61[Classification],"&gt;0")</f>
        <v>0</v>
      </c>
      <c r="BZ103" s="6">
        <f>COUNTIFS(Table38[Country],Tabela1[[#This Row],[Country]],Table38[Classification],"&gt;0")</f>
        <v>0</v>
      </c>
      <c r="CA103" s="6">
        <f>COUNTIFS(Table39[Country],Tabela1[[#This Row],[Country]],Table39[Men''s Classification],"&gt;0")</f>
        <v>0</v>
      </c>
      <c r="CB103" s="6">
        <f>COUNTIFS(Table39[Country],Tabela1[[#This Row],[Country]],Table39[Women''s Classification],"&gt;0")</f>
        <v>0</v>
      </c>
      <c r="CC103" s="6">
        <f>COUNTIFS(Table39[Country],Tabela1[[#This Row],[Country]],Table39[Mixed Classification],"&gt;0")</f>
        <v>0</v>
      </c>
      <c r="CD103" s="6">
        <f>COUNTIFS(Table89[Country],Tabela1[[#This Row],[Country]],Table89[Men''s Classification],"&gt;0")</f>
        <v>0</v>
      </c>
      <c r="CE103" s="6">
        <f>COUNTIFS(Table89[Country],Tabela1[[#This Row],[Country]],Table89[Women''s Classification],"&gt;0")</f>
        <v>0</v>
      </c>
      <c r="CF103" s="6">
        <f>COUNTIFS(Table90[Country],Tabela1[[#This Row],[Country]],Table90[Men''s Classification],"&gt;0")</f>
        <v>0</v>
      </c>
      <c r="CG103" s="6">
        <f>COUNTIFS(Table90[Country],Tabela1[[#This Row],[Country]],Table90[Women''s Classification],"&gt;0")</f>
        <v>0</v>
      </c>
      <c r="CH103" s="6">
        <f>COUNTIFS(Table60[Country],Tabela1[[#This Row],[Country]],Table60[Men''s Classification],"&gt;0")</f>
        <v>0</v>
      </c>
      <c r="CI103" s="6">
        <f>COUNTIFS(Table60[Country],Tabela1[[#This Row],[Country]],Table60[Women''s Classification],"&gt;0")</f>
        <v>0</v>
      </c>
      <c r="CJ103" s="6">
        <f>COUNTIFS(Table6[Country],Tabela1[[#This Row],[Country]],Table6[51kg Classification],"&gt;0")</f>
        <v>0</v>
      </c>
      <c r="CK103" s="6">
        <f>COUNTIFS(Table6[Country],Tabela1[[#This Row],[Country]],Table6[57kg Classification],"&gt;0")</f>
        <v>0</v>
      </c>
      <c r="CL103" s="6">
        <f>COUNTIFS(Table6[Country],Tabela1[[#This Row],[Country]],Table6[63.5kg Classification],"&gt;0")</f>
        <v>0</v>
      </c>
      <c r="CM103" s="6">
        <f>COUNTIFS(Table6[Country],Tabela1[[#This Row],[Country]],Table6[71kg Classification],"&gt;0")</f>
        <v>0</v>
      </c>
      <c r="CN103" s="6">
        <f>COUNTIFS(Table6[Country],Tabela1[[#This Row],[Country]],Table6[80kg Classification],"&gt;0")</f>
        <v>0</v>
      </c>
      <c r="CO103" s="6">
        <f>COUNTIFS(Table6[Country],Tabela1[[#This Row],[Country]],Table6[92kg Classification],"&gt;0")</f>
        <v>0</v>
      </c>
      <c r="CP103" s="6">
        <f>COUNTIFS(Table6[Country],Tabela1[[#This Row],[Country]],Table6[Plus 92kg Classification],"&gt;0")</f>
        <v>0</v>
      </c>
      <c r="CQ103" s="6">
        <f>COUNTIFS(Table7[Country],Tabela1[[#This Row],[Country]],Table7[50kg Classification],"&gt;0")</f>
        <v>0</v>
      </c>
      <c r="CR103" s="6">
        <f>COUNTIFS(Table7[Country],Tabela1[[#This Row],[Country]],Table7[54kg Classification],"&gt;0")</f>
        <v>0</v>
      </c>
      <c r="CS103" s="6">
        <f>COUNTIFS(Table7[Country],Tabela1[[#This Row],[Country]],Table7[57kg Classification],"&gt;0")</f>
        <v>0</v>
      </c>
      <c r="CT103" s="6">
        <f>COUNTIFS(Table7[Country],Tabela1[[#This Row],[Country]],Table7[60kg Classification],"&gt;0")</f>
        <v>0</v>
      </c>
      <c r="CU103" s="6">
        <f>COUNTIFS(Table7[Country],Tabela1[[#This Row],[Country]],Table7[66kg Classification],"&gt;0")</f>
        <v>0</v>
      </c>
      <c r="CV103" s="6">
        <f>COUNTIFS(Table7[Country],Tabela1[[#This Row],[Country]],Table7[75kg Classification],"&gt;0")</f>
        <v>0</v>
      </c>
      <c r="CW103" s="6">
        <f>COUNTIFS(Tabela94[Country],Tabela1[[#This Row],[Country]],Tabela94[Classification],"&gt;0")</f>
        <v>0</v>
      </c>
      <c r="CX103" s="6">
        <f>COUNTIFS(Tabela9499[Country],Tabela1[[#This Row],[Country]],Tabela9499[Classification],"&gt;0")</f>
        <v>0</v>
      </c>
      <c r="CY103" s="6">
        <f>COUNTIFS(Tabela107[Country],Tabela1[[#This Row],[Country]],Tabela107[C1 Slalom Classification],"&gt;0")</f>
        <v>0</v>
      </c>
      <c r="CZ103" s="6">
        <f>COUNTIFS(Tabela107122[Country],Tabela1[[#This Row],[Country]],Tabela107122[C1 Slalom Classification],"&gt;0")</f>
        <v>0</v>
      </c>
      <c r="DA103" s="6">
        <f>COUNTIFS(Tabela107[Country],Tabela1[[#This Row],[Country]],Tabela107[K1 Slalom Classification],"&gt;0")</f>
        <v>0</v>
      </c>
      <c r="DB103" s="6">
        <f>COUNTIFS(Tabela107122[Country],Tabela1[[#This Row],[Country]],Tabela107122[K1 Slalom Classification],"&gt;0")</f>
        <v>0</v>
      </c>
      <c r="DC103" s="6">
        <f>COUNTIFS(Tabela107[Country],Tabela1[[#This Row],[Country]],Tabela107[Kayak Cross Slalom Classification],"&gt;0")</f>
        <v>0</v>
      </c>
      <c r="DD103" s="6">
        <f>COUNTIFS(Tabela107122[Country],Tabela1[[#This Row],[Country]],Tabela107122[Kayak Cross Slalom Classification],"&gt;0")</f>
        <v>0</v>
      </c>
      <c r="DE103" s="6">
        <f>COUNTIFS(Table8[Country],Tabela1[[#This Row],[Country]],Table8[C1 200m Classification],"&gt;0")</f>
        <v>0</v>
      </c>
      <c r="DF103" s="6">
        <f>COUNTIFS(Table40[Country],Tabela1[[#This Row],[Country]],Table40[C1 1000m Classification],"&gt;0")</f>
        <v>0</v>
      </c>
      <c r="DG103" s="6">
        <f>COUNTIFS(Table68[Country],Tabela1[[#This Row],[Country]],Table68[Men''s C2 500m Classification],"&gt;0")</f>
        <v>0</v>
      </c>
      <c r="DH103" s="6">
        <f>COUNTIFS(Table68[Country],Tabela1[[#This Row],[Country]],Table68[Women''s C2 500m Classification],"&gt;0")</f>
        <v>0</v>
      </c>
      <c r="DI103" s="6">
        <f>COUNTIFS(Table8[Country],Tabela1[[#This Row],[Country]],Table8[K1 500m Classification],"&gt;0")</f>
        <v>0</v>
      </c>
      <c r="DJ103" s="6">
        <f>COUNTIFS(Table40[Country],Tabela1[[#This Row],[Country]],Table40[K1 1000m Classification],"&gt;0")</f>
        <v>0</v>
      </c>
      <c r="DK103" s="6">
        <f>COUNTIFS(Table68[Country],Tabela1[[#This Row],[Country]],Table68[Men''s K2 500m Classification],"&gt;0")</f>
        <v>0</v>
      </c>
      <c r="DL103" s="6">
        <f>COUNTIFS(Table68[Country],Tabela1[[#This Row],[Country]],Table68[Women''s K2 500m Classification],"&gt;0")</f>
        <v>0</v>
      </c>
      <c r="DM103" s="6">
        <f>COUNTIFS(Table83[Country],Tabela1[[#This Row],[Country]],Table83[Men''s K4 500m Classification],"&gt;0")</f>
        <v>0</v>
      </c>
      <c r="DN103" s="6">
        <f>COUNTIFS(Table83[Country],Tabela1[[#This Row],[Country]],Table83[Women''s K4 500m Classification],"&gt;0")</f>
        <v>0</v>
      </c>
      <c r="DO103" s="6">
        <f>COUNTIFS(Tabela126[Country],Tabela1[[#This Row],[Country]],Tabela126[Classification],"&gt;0")</f>
        <v>0</v>
      </c>
      <c r="DP103" s="6">
        <f>COUNTIFS(Tabela126130[Country],Tabela1[[#This Row],[Country]],Tabela126130[Classification],"&gt;0")</f>
        <v>0</v>
      </c>
      <c r="DQ103" s="6">
        <f>COUNTIFS(Table70[Country],Tabela1[[#This Row],[Country]],Table70[Classification],"&gt;0")</f>
        <v>0</v>
      </c>
      <c r="DR103" s="6">
        <f>COUNTIFS(Table80[Country],Tabela1[[#This Row],[Country]],Table80[Classification],"&gt;0")</f>
        <v>0</v>
      </c>
      <c r="DS103" s="6">
        <f>COUNTIFS(Table66[Country],Tabela1[[#This Row],[Country]],Table66[Classification],"&gt;0")</f>
        <v>0</v>
      </c>
      <c r="DT103" s="6">
        <f>COUNTIFS(Table67[Country],Tabela1[[#This Row],[Country]],Table67[Classification],"&gt;0")</f>
        <v>0</v>
      </c>
      <c r="DU103" s="6">
        <f>COUNTIFS(Table69[Country],Tabela1[[#This Row],[Country]],Table69[Keirin Classification],"&gt;0")</f>
        <v>0</v>
      </c>
      <c r="DV103" s="6">
        <f>COUNTIFS(Table41[Country],Tabela1[[#This Row],[Country]],Table41[Keirin Classification],"&gt;0")</f>
        <v>0</v>
      </c>
      <c r="DW103" s="6">
        <f>COUNTIFS(Table84[Country],Tabela1[[#This Row],[Country]],Table84[Men''s Madison Classification],"&gt;0")</f>
        <v>0</v>
      </c>
      <c r="DX103" s="6">
        <f>COUNTIFS(Table84[Country],Tabela1[[#This Row],[Country]],Table84[Women''s Madison Classification],"&gt;0")</f>
        <v>0</v>
      </c>
      <c r="DY103" s="6">
        <f>COUNTIFS(Table69[Country],Tabela1[[#This Row],[Country]],Table69[Omnium Classification],"&gt;0")</f>
        <v>0</v>
      </c>
      <c r="DZ103" s="6">
        <f>COUNTIFS(Table41[Country],Tabela1[[#This Row],[Country]],Table41[Omnium Classification],"&gt;0")</f>
        <v>0</v>
      </c>
      <c r="EA103" s="6">
        <f>COUNTIFS(Table9[Country],Tabela1[[#This Row],[Country]],Table9[Road Race Classification],"&gt;0")</f>
        <v>0</v>
      </c>
      <c r="EB103" s="6">
        <f>COUNTIFS(Table14[Country],Tabela1[[#This Row],[Country]],Table14[Road Race Classification],"&gt;0")</f>
        <v>0</v>
      </c>
      <c r="EC103" s="6">
        <f>COUNTIFS(Table69[Country],Tabela1[[#This Row],[Country]],Table69[Sprint Classification],"&gt;0")</f>
        <v>0</v>
      </c>
      <c r="ED103" s="6">
        <f>COUNTIFS(Table41[Country],Tabela1[[#This Row],[Country]],Table41[Sprint Classification],"&gt;0")</f>
        <v>0</v>
      </c>
      <c r="EE103" s="6">
        <f>COUNTIFS(Table85[Country],Tabela1[[#This Row],[Country]],Table85[Men''s Sprint Classification],"&gt;0")</f>
        <v>0</v>
      </c>
      <c r="EF103" s="6">
        <f>COUNTIFS(Table85[Country],Tabela1[[#This Row],[Country]],Table85[Women''s Sprint Classification],"&gt;0")</f>
        <v>0</v>
      </c>
      <c r="EG103" s="6">
        <f>COUNTIFS(Table85[Country],Tabela1[[#This Row],[Country]],Table85[Men''s Pursuit Classification],"&gt;0")</f>
        <v>0</v>
      </c>
      <c r="EH103" s="6">
        <f>COUNTIFS(Table85[Country],Tabela1[[#This Row],[Country]],Table85[Women''s Pursuit Classification],"&gt;0")</f>
        <v>0</v>
      </c>
      <c r="EI103" s="6">
        <f>COUNTIFS(Table9[Country],Tabela1[[#This Row],[Country]],Table9[Time-Trial Classification],"&gt;0")</f>
        <v>0</v>
      </c>
      <c r="EJ103" s="6">
        <f>COUNTIFS(Table14[Country],Tabela1[[#This Row],[Country]],Table14[Time-Trial Classification],"&gt;0")</f>
        <v>0</v>
      </c>
      <c r="EK103" s="6">
        <f>COUNTIFS(Table42[Country],Tabela1[[#This Row],[Country]],Table42[Springboard Classification],"&gt;0")</f>
        <v>0</v>
      </c>
      <c r="EL103" s="6">
        <f>COUNTIFS(Table43[Country],Tabela1[[#This Row],[Country]],Table43[Springboard Classification],"&gt;0")</f>
        <v>0</v>
      </c>
      <c r="EM103" s="6">
        <f>COUNTIFS(Table42[Country],Tabela1[[#This Row],[Country]],Table42[Platform Classification],"&gt;0")</f>
        <v>0</v>
      </c>
      <c r="EN103" s="6">
        <f>COUNTIFS(Table43[Country],Tabela1[[#This Row],[Country]],Table43[Platform Classification],"&gt;0")</f>
        <v>0</v>
      </c>
      <c r="EO103" s="6">
        <f>COUNTIFS(Table86[Country],Tabela1[[#This Row],[Country]],Table86[Men''s Synchronized Springboard Classification],"&gt;0")</f>
        <v>0</v>
      </c>
      <c r="EP103" s="6">
        <f>COUNTIFS(Table86[Country],Tabela1[[#This Row],[Country]],Table86[Women''s Synchronized Springboard Classification],"&gt;0")</f>
        <v>0</v>
      </c>
      <c r="EQ103" s="6">
        <f>COUNTIFS(Table86[Country],Tabela1[[#This Row],[Country]],Table86[Men''s Synchronized Platform Classification],"&gt;0")</f>
        <v>0</v>
      </c>
      <c r="ER103" s="6">
        <f>COUNTIFS(Table86[Country],Tabela1[[#This Row],[Country]],Table86[Women''s Synchronized Platform Classification],"&gt;0")</f>
        <v>0</v>
      </c>
      <c r="ES103" s="6">
        <f>COUNTIFS(Table44[Country],Tabela1[[#This Row],[Country]],Table44[Dressage Classification],"&gt;0")</f>
        <v>0</v>
      </c>
      <c r="ET103" s="6">
        <f>COUNTIFS(Table45[Country],Tabela1[[#This Row],[Country]],Table45[Dressage Classification],"&gt;0")</f>
        <v>0</v>
      </c>
      <c r="EU103" s="6">
        <f>COUNTIFS(Table44[Country],Tabela1[[#This Row],[Country]],Table44[Eventing Classification],"&gt;0")</f>
        <v>0</v>
      </c>
      <c r="EV103" s="6">
        <f>COUNTIFS(Table45[Country],Tabela1[[#This Row],[Country]],Table45[Eventing Classification],"&gt;0")</f>
        <v>0</v>
      </c>
      <c r="EW103" s="6">
        <f>COUNTIFS(Table44[Country],Tabela1[[#This Row],[Country]],Table44[Jumping Classification],"&gt;0")</f>
        <v>0</v>
      </c>
      <c r="EX103" s="6">
        <f>COUNTIFS(Table45[Country],Tabela1[[#This Row],[Country]],Table45[Jumping Classification],"&gt;0")</f>
        <v>0</v>
      </c>
      <c r="EY103" s="6">
        <f>COUNTIFS(Table10[Country],Tabela1[[#This Row],[Country]],Table10[Épée Classification],"&gt;0")</f>
        <v>0</v>
      </c>
      <c r="EZ103" s="6">
        <f>COUNTIFS(Table11[Country],Tabela1[[#This Row],[Country]],Table11[Épée Classification],"&gt;0")</f>
        <v>0</v>
      </c>
      <c r="FA103" s="6">
        <f>COUNTIFS(Table46[Country],Tabela1[[#This Row],[Country]],Table46[Men''s Épée Classification],"&gt;0")</f>
        <v>0</v>
      </c>
      <c r="FB103" s="6">
        <f>COUNTIFS(Table46[Country],Tabela1[[#This Row],[Country]],Table46[Women''s Épée Classification],"&gt;0")</f>
        <v>0</v>
      </c>
      <c r="FC103" s="6">
        <f>COUNTIFS(Table10[Country],Tabela1[[#This Row],[Country]],Table10[Foil Classification],"&gt;0")</f>
        <v>0</v>
      </c>
      <c r="FD103" s="6">
        <f>COUNTIFS(Table11[Country],Tabela1[[#This Row],[Country]],Table11[Foil Classification],"&gt;0")</f>
        <v>0</v>
      </c>
      <c r="FE103" s="6">
        <f>COUNTIFS(Table46[Country],Tabela1[[#This Row],[Country]],Table46[Men''s Foil Classification],"&gt;0")</f>
        <v>0</v>
      </c>
      <c r="FF103" s="6">
        <f>COUNTIFS(Table46[Country],Tabela1[[#This Row],[Country]],Table46[Women''s Foil Classification],"&gt;0")</f>
        <v>0</v>
      </c>
      <c r="FG103" s="6">
        <f>COUNTIFS(Table10[Country],Tabela1[[#This Row],[Country]],Table10[Sabre Classification],"&gt;0")</f>
        <v>0</v>
      </c>
      <c r="FH103" s="6">
        <f>COUNTIFS(Table11[Country],Tabela1[[#This Row],[Country]],Table11[Sabre Classification],"&gt;0")</f>
        <v>0</v>
      </c>
      <c r="FI103" s="6">
        <f>COUNTIFS(Table46[Country],Tabela1[[#This Row],[Country]],Table46[Men''s Sabre Classification],"&gt;0")</f>
        <v>0</v>
      </c>
      <c r="FJ103" s="6">
        <f>COUNTIFS(Table46[Country],Tabela1[[#This Row],[Country]],Table46[Women''s Sabre Classification],"&gt;0")</f>
        <v>0</v>
      </c>
      <c r="FK103" s="6">
        <f>COUNTIFS(Table91[Country],Tabela1[[#This Row],[Country]],Table91[Men''s Classification],"&gt;0")</f>
        <v>0</v>
      </c>
      <c r="FL103" s="6">
        <f>COUNTIFS(Table91[Country],Tabela1[[#This Row],[Country]],Table91[Women''s Classification],"&gt;0")</f>
        <v>0</v>
      </c>
      <c r="FM103" s="6">
        <f>COUNTIFS(Table9194[Country],Tabela1[[#This Row],[Country]],Table9194[Men''s Classification],"&gt;0")</f>
        <v>0</v>
      </c>
      <c r="FN103" s="6">
        <f>COUNTIFS(Table9194[Country],Tabela1[[#This Row],[Country]],Table9194[Women''s Classification],"&gt;0")</f>
        <v>0</v>
      </c>
      <c r="FO103" s="6">
        <f>COUNTIFS(Table71[Country],Tabela1[[#This Row],[Country]],Table71[Classification],"&gt;0")</f>
        <v>0</v>
      </c>
      <c r="FP103" s="6">
        <f>COUNTIFS(Table62[Country],Tabela1[[#This Row],[Country]],Table62[Classification],"&gt;0")</f>
        <v>0</v>
      </c>
      <c r="FQ103" s="6">
        <f>COUNTIFS(Table47[Country],Tabela1[[#This Row],[Country]],Table47[All-Around Classification],"&gt;0")</f>
        <v>0</v>
      </c>
      <c r="FR103" s="6">
        <f>COUNTIFS(Table48[Country],Tabela1[[#This Row],[Country]],Table48[All-Around Classification],"&gt;0")</f>
        <v>0</v>
      </c>
      <c r="FS103" s="6">
        <f>COUNTIFS(Table81[Country],Tabela1[[#This Row],[Country]],Table81[Men''s All-Around Classification],"&gt;0")</f>
        <v>0</v>
      </c>
      <c r="FT103" s="6">
        <f>COUNTIFS(Table81[Country],Tabela1[[#This Row],[Country]],Table81[Women''s All-Around Classification],"&gt;0")</f>
        <v>0</v>
      </c>
      <c r="FU103" s="6">
        <f>COUNTIFS(Table48[Country],Tabela1[[#This Row],[Country]],Table48[Balance Beam Classification],"&gt;0")</f>
        <v>0</v>
      </c>
      <c r="FV103" s="6">
        <f>COUNTIFS(Table47[Country],Tabela1[[#This Row],[Country]],Table47[Floor Exercise Classification],"&gt;0")</f>
        <v>0</v>
      </c>
      <c r="FW103" s="6">
        <f>COUNTIFS(Table48[Country],Tabela1[[#This Row],[Country]],Table48[Floor Exercise Classification],"&gt;0")</f>
        <v>0</v>
      </c>
      <c r="FX103" s="6">
        <f>COUNTIFS(Table47[Country],Tabela1[[#This Row],[Country]],Table47[Horizontal Bar Classification],"&gt;0")</f>
        <v>0</v>
      </c>
      <c r="FY103" s="6">
        <f>COUNTIFS(Table47[Country],Tabela1[[#This Row],[Country]],Table47[Parallel Bars Classification],"&gt;0")</f>
        <v>0</v>
      </c>
      <c r="FZ103" s="6">
        <f>COUNTIFS(Table47[Country],Tabela1[[#This Row],[Country]],Table47[Pommel Horse Classification],"&gt;0")</f>
        <v>0</v>
      </c>
      <c r="GA103" s="6">
        <f>COUNTIFS(Table47[Country],Tabela1[[#This Row],[Country]],Table47[Rings Classification],"&gt;0")</f>
        <v>0</v>
      </c>
      <c r="GB103" s="6">
        <f>COUNTIFS(Tabela132[Country],Tabela1[[#This Row],[Country]],Tabela132[Classification],"&gt;0")</f>
        <v>0</v>
      </c>
      <c r="GC103" s="6">
        <f>COUNTIFS(Tabela139[Country],Tabela1[[#This Row],[Country]],Tabela139[Classification],"&gt;0")</f>
        <v>0</v>
      </c>
      <c r="GD103" s="6">
        <f>COUNTIFS(Table48[Country],Tabela1[[#This Row],[Country]],Table48[Uneven Bars Classification],"&gt;0")</f>
        <v>0</v>
      </c>
      <c r="GE103" s="6">
        <f>COUNTIFS(Table47[Country],Tabela1[[#This Row],[Country]],Table47[Vault Classification],"&gt;0")</f>
        <v>0</v>
      </c>
      <c r="GF103" s="6">
        <f>COUNTIFS(Table48[Country],Tabela1[[#This Row],[Country]],Table48[Vault Classification],"&gt;0")</f>
        <v>0</v>
      </c>
      <c r="GG103" s="6">
        <f>COUNTIFS(Table919496[Country],Tabela1[[#This Row],[Country]],Table919496[Men''s Classification],"&gt;0")</f>
        <v>0</v>
      </c>
      <c r="GH103" s="6">
        <f>COUNTIFS(Table919496[Country],Tabela1[[#This Row],[Country]],Table919496[Women''s Classification],"&gt;0")</f>
        <v>0</v>
      </c>
      <c r="GI103" s="6">
        <f>COUNTIFS(Table12[Country],Tabela1[[#This Row],[Country]],Table12[60kg Classification],"&gt;0")</f>
        <v>0</v>
      </c>
      <c r="GJ103" s="6">
        <f>COUNTIFS(Table12[Country],Tabela1[[#This Row],[Country]],Table12[66kg Classification],"&gt;0")</f>
        <v>0</v>
      </c>
      <c r="GK103" s="6">
        <f>COUNTIFS(Table12[Country],Tabela1[[#This Row],[Country]],Table12[73kg Classification],"&gt;0")</f>
        <v>0</v>
      </c>
      <c r="GL103" s="6">
        <f>COUNTIFS(Table12[Country],Tabela1[[#This Row],[Country]],Table12[81kg Classification],"&gt;0")</f>
        <v>0</v>
      </c>
      <c r="GM103" s="6">
        <f>COUNTIFS(Table12[Country],Tabela1[[#This Row],[Country]],Table12[90kg Classification],"&gt;0")</f>
        <v>0</v>
      </c>
      <c r="GN103" s="6">
        <f>COUNTIFS(Table12[Country],Tabela1[[#This Row],[Country]],Table12[100kg Classification],"&gt;0")</f>
        <v>0</v>
      </c>
      <c r="GO103" s="6">
        <f>COUNTIFS(Table12[Country],Tabela1[[#This Row],[Country]],Table12[Plus 100kg Classification],"&gt;0")</f>
        <v>0</v>
      </c>
      <c r="GP103" s="6">
        <f>COUNTIFS(Table13[Country],Tabela1[[#This Row],[Country]],Table13[48kg Classification],"&gt;0")</f>
        <v>0</v>
      </c>
      <c r="GQ103" s="6">
        <f>COUNTIFS(Table13[Country],Tabela1[[#This Row],[Country]],Table13[52kg Classification],"&gt;0")</f>
        <v>0</v>
      </c>
      <c r="GR103" s="6">
        <f>COUNTIFS(Table13[Country],Tabela1[[#This Row],[Country]],Table13[57kg Classification],"&gt;0")</f>
        <v>0</v>
      </c>
      <c r="GS103" s="6">
        <f>COUNTIFS(Table13[Country],Tabela1[[#This Row],[Country]],Table13[63kg Classification],"&gt;0")</f>
        <v>0</v>
      </c>
      <c r="GT103" s="6">
        <f>COUNTIFS(Table13[Country],Tabela1[[#This Row],[Country]],Table13[70kg Classification],"&gt;0")</f>
        <v>0</v>
      </c>
      <c r="GU103" s="6">
        <f>COUNTIFS(Table13[Country],Tabela1[[#This Row],[Country]],Table13[78kg Classification],"&gt;0")</f>
        <v>0</v>
      </c>
      <c r="GV103" s="6">
        <f>COUNTIFS(Table13[Country],Tabela1[[#This Row],[Country]],Table13[Plus 78kg Classification],"&gt;0")</f>
        <v>0</v>
      </c>
      <c r="GW103" s="6">
        <f>COUNTIFS(Table82[Country],Tabela1[[#This Row],[Country]],Table82[Mixed Classification],"&gt;0")</f>
        <v>0</v>
      </c>
      <c r="GX103" s="6">
        <f>COUNTIFS(Table51[Country],Tabela1[[#This Row],[Country]],Table51[Classification],"&gt;0")</f>
        <v>0</v>
      </c>
      <c r="GY103" s="6">
        <f>COUNTIFS(Table52[Country],Tabela1[[#This Row],[Country]],Table52[Classification],"&gt;0")</f>
        <v>0</v>
      </c>
      <c r="GZ103" s="6">
        <f>COUNTIFS(Table32[Country],Tabela1[[#This Row],[Country]],Table32[All-Around Classification],"&gt;0")</f>
        <v>0</v>
      </c>
      <c r="HA103" s="6">
        <f>COUNTIFS(Table49[Country],Tabela1[[#This Row],[Country]],Table49[All-Around Classification],"&gt;0")</f>
        <v>0</v>
      </c>
      <c r="HB103" s="6">
        <f>COUNTIFS(Table26[Country],Tabela1[[#This Row],[Country]],Table26[Single Sculls Classification],"&gt;0")</f>
        <v>0</v>
      </c>
      <c r="HC103" s="6">
        <f>COUNTIFS(Table63[Country],Tabela1[[#This Row],[Country]],Table63[Single Sculls Classification],"&gt;0")</f>
        <v>0</v>
      </c>
      <c r="HD103" s="6">
        <f>COUNTIFS(Table16[Country],Tabela1[[#This Row],[Country]],Table16[Men''s Double Sculls Classification],"&gt;0")</f>
        <v>0</v>
      </c>
      <c r="HE103" s="6">
        <f>COUNTIFS(Table16[Country],Tabela1[[#This Row],[Country]],Table16[Women''s Double Sculls Classification],"&gt;0")</f>
        <v>0</v>
      </c>
      <c r="HF103" s="6">
        <f>COUNTIFS(Table72[Country],Tabela1[[#This Row],[Country]],Table72[Men''s Quadruple Sculls Classification],"&gt;0")</f>
        <v>0</v>
      </c>
      <c r="HG103" s="6">
        <f>COUNTIFS(Table72[Country],Tabela1[[#This Row],[Country]],Table72[Women''s Quadruple Sculls Classification],"&gt;0")</f>
        <v>0</v>
      </c>
      <c r="HH103" s="6">
        <f>COUNTIFS(Table16[Country],Tabela1[[#This Row],[Country]],Table16[Men''s Coxless Pairs Classification],"&gt;0")</f>
        <v>0</v>
      </c>
      <c r="HI103" s="6">
        <f>COUNTIFS(Table16[Country],Tabela1[[#This Row],[Country]],Table16[Women''s Coxless Pairs Classification],"&gt;0")</f>
        <v>0</v>
      </c>
      <c r="HJ103" s="6">
        <f>COUNTIFS(Table72[Country],Tabela1[[#This Row],[Country]],Table72[Men''s Coxless Fours Classification],"&gt;0")</f>
        <v>0</v>
      </c>
      <c r="HK103" s="6">
        <f>COUNTIFS(Table72[Country],Tabela1[[#This Row],[Country]],Table72[Women''s Coxless Fours Classification],"&gt;0")</f>
        <v>0</v>
      </c>
      <c r="HL103" s="6">
        <f>COUNTIFS(Table72[Country],Tabela1[[#This Row],[Country]],Table72[Men''s Eights Classification],"&gt;0")</f>
        <v>0</v>
      </c>
      <c r="HM103" s="6">
        <f>COUNTIFS(Table72[Country],Tabela1[[#This Row],[Country]],Table72[Women''s Eights Classification],"&gt;0")</f>
        <v>0</v>
      </c>
      <c r="HN103" s="6">
        <f>COUNTIFS(Table16[Country],Tabela1[[#This Row],[Country]],Table16[Men''s Lwt. Double Sculls Classification],"&gt;0")</f>
        <v>0</v>
      </c>
      <c r="HO103" s="6">
        <f>COUNTIFS(Table16[Country],Tabela1[[#This Row],[Country]],Table16[Women''s Lwt. Double Sculls Classification],"&gt;0")</f>
        <v>0</v>
      </c>
      <c r="HP103" s="6">
        <f>COUNTIFS(Table91949698[Country],Tabela1[[#This Row],[Country]],Table91949698[Men''s Classification],"&gt;0")</f>
        <v>0</v>
      </c>
      <c r="HQ103" s="6">
        <f>COUNTIFS(Table91949698[Country],Tabela1[[#This Row],[Country]],Table91949698[Women''s Classification],"&gt;0")</f>
        <v>0</v>
      </c>
      <c r="HR103" s="6">
        <f>COUNTIFS(Table25[Country],Tabela1[[#This Row],[Country]],Table25[Mixed 470 Classification],"&gt;0")</f>
        <v>0</v>
      </c>
      <c r="HS103" s="6">
        <f>COUNTIFS(Table25[Country],Tabela1[[#This Row],[Country]],Table25[Men''s 49er Classification],"&gt;0")</f>
        <v>0</v>
      </c>
      <c r="HT103" s="6">
        <f>COUNTIFS(Table25[Country],Tabela1[[#This Row],[Country]],Table25[Women''s 49er FX Classification],"&gt;0")</f>
        <v>0</v>
      </c>
      <c r="HU103" s="6">
        <f>COUNTIFS(Table17[Country],Tabela1[[#This Row],[Country]],Table17[Formula Kite Classification],"&gt;0")</f>
        <v>0</v>
      </c>
      <c r="HV103" s="6">
        <f>COUNTIFS(Table18[Country],Tabela1[[#This Row],[Country]],Table18[Formula Kite Classification],"&gt;0")</f>
        <v>0</v>
      </c>
      <c r="HW103" s="6">
        <f>COUNTIFS(Table17[Country],Tabela1[[#This Row],[Country]],Table17[ILCA 7 Classification],"&gt;0")</f>
        <v>0</v>
      </c>
      <c r="HX103" s="6">
        <f>COUNTIFS(Table18[Country],Tabela1[[#This Row],[Country]],Table18[ILCA 6 Classification],"&gt;0")</f>
        <v>0</v>
      </c>
      <c r="HY103" s="6">
        <f>COUNTIFS(Table17[Country],Tabela1[[#This Row],[Country]],Table17[IQFoil Classification],"&gt;0")</f>
        <v>0</v>
      </c>
      <c r="HZ103" s="6">
        <f>COUNTIFS(Table18[Country],Tabela1[[#This Row],[Country]],Table18[IQFoil Classification],"&gt;0")</f>
        <v>0</v>
      </c>
      <c r="IA103" s="6">
        <f>COUNTIFS(Table25[Country],Tabela1[[#This Row],[Country]],Table25[Mixed Nacra 17 Classification],"&gt;0")</f>
        <v>0</v>
      </c>
      <c r="IB103" s="6">
        <f>COUNTIFS(Table53[Country],Tabela1[[#This Row],[Country]],Table53[10m Air Pistol Classification],"&gt;0")</f>
        <v>0</v>
      </c>
      <c r="IC103" s="6">
        <f>COUNTIFS(Table19[Country],Tabela1[[#This Row],[Country]],Table19[10m Air Pistol Classification],"&gt;0")</f>
        <v>0</v>
      </c>
      <c r="ID103" s="6">
        <f>COUNTIFS(Table54[Country],Tabela1[[#This Row],[Country]],Table54[Mixed 10m Air Pistol Team Classification],"&gt;0")</f>
        <v>0</v>
      </c>
      <c r="IE103" s="6">
        <f>COUNTIFS(Table53[Country],Tabela1[[#This Row],[Country]],Table53[10m Air Rifle Classification],"&gt;0")</f>
        <v>0</v>
      </c>
      <c r="IF103" s="6">
        <f>COUNTIFS(Table19[Country],Tabela1[[#This Row],[Country]],Table19[10m Air Rifle Classification],"&gt;0")</f>
        <v>0</v>
      </c>
      <c r="IG103" s="6">
        <f>COUNTIFS(Table54[Country],Tabela1[[#This Row],[Country]],Table54[Mixed 10m Air Rifle Team Classification],"&gt;0")</f>
        <v>0</v>
      </c>
      <c r="IH103" s="6">
        <f>COUNTIFS(Table53[Country],Tabela1[[#This Row],[Country]],Table53[25m Rapid Fire Pistol Classification],"&gt;0")</f>
        <v>0</v>
      </c>
      <c r="II103" s="6">
        <f>COUNTIFS(Table19[Country],Tabela1[[#This Row],[Country]],Table19[25m Pistol Classification],"&gt;0")</f>
        <v>0</v>
      </c>
      <c r="IJ103" s="6">
        <f>COUNTIFS(Table53[Country],Tabela1[[#This Row],[Country]],Table53[50m Rifle 3 Positions Classification],"&gt;0")</f>
        <v>0</v>
      </c>
      <c r="IK103" s="6">
        <f>COUNTIFS(Table19[Country],Tabela1[[#This Row],[Country]],Table19[50m Rifle 3 Positions Classification],"&gt;0")</f>
        <v>0</v>
      </c>
      <c r="IL103" s="6">
        <f>COUNTIFS(Table53[Country],Tabela1[[#This Row],[Country]],Table53[Skeet Classification],"&gt;0")</f>
        <v>0</v>
      </c>
      <c r="IM103" s="6">
        <f>COUNTIFS(Table19[Country],Tabela1[[#This Row],[Country]],Table19[Skeet Classification],"&gt;0")</f>
        <v>0</v>
      </c>
      <c r="IN103" s="6">
        <f>COUNTIFS(Table54[Country],Tabela1[[#This Row],[Country]],Table54[Mixed Skeet Team Classification],"&gt;0")</f>
        <v>0</v>
      </c>
      <c r="IO103" s="6">
        <f>COUNTIFS(Table53[Country],Tabela1[[#This Row],[Country]],Table53[Trap Classification],"&gt;0")</f>
        <v>0</v>
      </c>
      <c r="IP103" s="6">
        <f>COUNTIFS(Table19[Country],Tabela1[[#This Row],[Country]],Table19[Trap Classification],"&gt;0")</f>
        <v>0</v>
      </c>
      <c r="IQ103" s="6">
        <f>COUNTIFS(Table73[Country],Tabela1[[#This Row],[Country]],Table73[Park Classification],"&gt;0")</f>
        <v>0</v>
      </c>
      <c r="IR103" s="6">
        <f>COUNTIFS(Table74[Country],Tabela1[[#This Row],[Country]],Table74[Park Classification],"&gt;0")</f>
        <v>0</v>
      </c>
      <c r="IS103" s="6">
        <f>COUNTIFS(Table73[Country],Tabela1[[#This Row],[Country]],Table73[Street Classification],"&gt;0")</f>
        <v>0</v>
      </c>
      <c r="IT103" s="6">
        <f>COUNTIFS(Table74[Country],Tabela1[[#This Row],[Country]],Table74[Street Classification],"&gt;0")</f>
        <v>0</v>
      </c>
      <c r="IU103" s="6">
        <f>COUNTIFS(Table75[Country],Tabela1[[#This Row],[Country]],Table75[Boulder and Lead Classification],"&gt;0")</f>
        <v>0</v>
      </c>
      <c r="IV103" s="6">
        <f>COUNTIFS(Table76[Country],Tabela1[[#This Row],[Country]],Table76[Boulder and Lead Classification],"&gt;0")</f>
        <v>0</v>
      </c>
      <c r="IW103" s="6">
        <f>COUNTIFS(Table75[Country],Tabela1[[#This Row],[Country]],Table75[Speed Classification],"&gt;0")</f>
        <v>0</v>
      </c>
      <c r="IX103" s="6">
        <f>COUNTIFS(Table76[Country],Tabela1[[#This Row],[Country]],Table76[Speed Classification],"&gt;0")</f>
        <v>0</v>
      </c>
      <c r="IY103" s="6">
        <f>COUNTIFS(Table64[Country],Tabela1[[#This Row],[Country]],Table64[Shortboard Classification],"&gt;0")</f>
        <v>0</v>
      </c>
      <c r="IZ103" s="6">
        <f>COUNTIFS(Table77[Country],Tabela1[[#This Row],[Country]],Table77[Shortboard Classification],"&gt;0")</f>
        <v>0</v>
      </c>
      <c r="JA103" s="6">
        <f>COUNTIFS(Table20[Country],Tabela1[[#This Row],[Country]],Table20[50m Freestyle Classification],"&gt;0")</f>
        <v>0</v>
      </c>
      <c r="JB103" s="6">
        <f>COUNTIFS(Table21[Country],Tabela1[[#This Row],[Country]],Table21[50m Freestyle Classification],"&gt;0")</f>
        <v>0</v>
      </c>
      <c r="JC103" s="6">
        <f>COUNTIFS(Table20[Country],Tabela1[[#This Row],[Country]],Table20[100m Freestyle Classification],"&gt;0")</f>
        <v>1</v>
      </c>
      <c r="JD103" s="6">
        <f>COUNTIFS(Table21[Country],Tabela1[[#This Row],[Country]],Table21[100m Freestyle Classification],"&gt;0")</f>
        <v>0</v>
      </c>
      <c r="JE103" s="6">
        <f>COUNTIFS(Table20[Country],Tabela1[[#This Row],[Country]],Table20[200m Freestyle Classification],"&gt;0")</f>
        <v>0</v>
      </c>
      <c r="JF103" s="6">
        <f>COUNTIFS(Table21[Country],Tabela1[[#This Row],[Country]],Table21[200m Freestyle Classification],"&gt;0")</f>
        <v>0</v>
      </c>
      <c r="JG103" s="6">
        <f>COUNTIFS(Table20[Country],Tabela1[[#This Row],[Country]],Table20[400m Freestyle Classification],"&gt;0")</f>
        <v>0</v>
      </c>
      <c r="JH103" s="6">
        <f>COUNTIFS(Table21[Country],Tabela1[[#This Row],[Country]],Table21[400m Freestyle Classification],"&gt;0")</f>
        <v>0</v>
      </c>
      <c r="JI103" s="6">
        <f>COUNTIFS(Table20[Country],Tabela1[[#This Row],[Country]],Table20[800m Freestyle Classification],"&gt;0")</f>
        <v>0</v>
      </c>
      <c r="JJ103" s="6">
        <f>COUNTIFS(Table21[Country],Tabela1[[#This Row],[Country]],Table21[800m Freestyle Classification],"&gt;0")</f>
        <v>0</v>
      </c>
      <c r="JK103" s="6">
        <f>COUNTIFS(Table20[Country],Tabela1[[#This Row],[Country]],Table20[1500m Freestyle Classification],"&gt;0")</f>
        <v>0</v>
      </c>
      <c r="JL103" s="6">
        <f>COUNTIFS(Table21[Country],Tabela1[[#This Row],[Country]],Table21[1500m Freestyle Classification],"&gt;0")</f>
        <v>0</v>
      </c>
      <c r="JM103" s="6">
        <f>COUNTIFS(Table20[Country],Tabela1[[#This Row],[Country]],Table20[100m Backstroke Classification],"&gt;0")</f>
        <v>0</v>
      </c>
      <c r="JN103" s="6">
        <f>COUNTIFS(Table21[Country],Tabela1[[#This Row],[Country]],Table21[100m Backstroke Classification],"&gt;0")</f>
        <v>0</v>
      </c>
      <c r="JO103" s="6">
        <f>COUNTIFS(Table20[Country],Tabela1[[#This Row],[Country]],Table20[200m Backstroke Classification],"&gt;0")</f>
        <v>0</v>
      </c>
      <c r="JP103" s="6">
        <f>COUNTIFS(Table21[Country],Tabela1[[#This Row],[Country]],Table21[200m Backstroke Classification],"&gt;0")</f>
        <v>0</v>
      </c>
      <c r="JQ103" s="6">
        <f>COUNTIFS(Table20[Country],Tabela1[[#This Row],[Country]],Table20[100m Breaststroke Classification],"&gt;0")</f>
        <v>0</v>
      </c>
      <c r="JR103" s="6">
        <f>COUNTIFS(Table21[Country],Tabela1[[#This Row],[Country]],Table21[100m Breaststroke Classification],"&gt;0")</f>
        <v>0</v>
      </c>
      <c r="JS103" s="6">
        <f>COUNTIFS(Table20[Country],Tabela1[[#This Row],[Country]],Table20[200m Breaststroke Classification],"&gt;0")</f>
        <v>0</v>
      </c>
      <c r="JT103" s="6">
        <f>COUNTIFS(Table21[Country],Tabela1[[#This Row],[Country]],Table21[200m Breaststroke Classification],"&gt;0")</f>
        <v>0</v>
      </c>
      <c r="JU103" s="6">
        <f>COUNTIFS(Table20[Country],Tabela1[[#This Row],[Country]],Table20[100m Butterfly Classification],"&gt;0")</f>
        <v>0</v>
      </c>
      <c r="JV103" s="6">
        <f>COUNTIFS(Table21[Country],Tabela1[[#This Row],[Country]],Table21[100m Butterfly Classification],"&gt;0")</f>
        <v>0</v>
      </c>
      <c r="JW103" s="6">
        <f>COUNTIFS(Table20[Country],Tabela1[[#This Row],[Country]],Table20[200m Butterfly Classification],"&gt;0")</f>
        <v>0</v>
      </c>
      <c r="JX103" s="6">
        <f>COUNTIFS(Table21[Country],Tabela1[[#This Row],[Country]],Table21[200m Butterfly Classification],"&gt;0")</f>
        <v>0</v>
      </c>
      <c r="JY103" s="6">
        <f>COUNTIFS(Table20[Country],Tabela1[[#This Row],[Country]],Table20[200m Medley Classification],"&gt;0")</f>
        <v>0</v>
      </c>
      <c r="JZ103" s="6">
        <f>COUNTIFS(Table21[Country],Tabela1[[#This Row],[Country]],Table21[200m Medley Classification],"&gt;0")</f>
        <v>0</v>
      </c>
      <c r="KA103" s="6">
        <f>COUNTIFS(Table20[Country],Tabela1[[#This Row],[Country]],Table20[400m Medley Classification],"&gt;0")</f>
        <v>0</v>
      </c>
      <c r="KB103" s="6">
        <f>COUNTIFS(Table21[Country],Tabela1[[#This Row],[Country]],Table21[400m Medley Classification],"&gt;0")</f>
        <v>0</v>
      </c>
      <c r="KC103" s="6">
        <f>COUNTIFS(Table78[Country],Tabela1[[#This Row],[Country]],Table78[Men''s 4x100m Freestyle Relay Classification],"&gt;0")</f>
        <v>0</v>
      </c>
      <c r="KD103" s="6">
        <f>COUNTIFS(Table78[Country],Tabela1[[#This Row],[Country]],Table78[Women''s 4x100m Freestyle Relay Classification],"&gt;0")</f>
        <v>0</v>
      </c>
      <c r="KE103" s="6">
        <f>COUNTIFS(Table78[Country],Tabela1[[#This Row],[Country]],Table78[Men''s 4x200m Freestyle Relay Classification],"&gt;0")</f>
        <v>0</v>
      </c>
      <c r="KF103" s="6">
        <f>COUNTIFS(Table78[Country],Tabela1[[#This Row],[Country]],Table78[Women''s 4x200m Freestyle Relay Classification],"&gt;0")</f>
        <v>0</v>
      </c>
      <c r="KG103" s="6">
        <f>COUNTIFS(Table78[Country],Tabela1[[#This Row],[Country]],Table78[Men''s 4x100m Medley Relay Classification],"&gt;0")</f>
        <v>0</v>
      </c>
      <c r="KH103" s="6">
        <f>COUNTIFS(Table78[Country],Tabela1[[#This Row],[Country]],Table78[Women''s 4x100m Medley Relay Classification],"&gt;0")</f>
        <v>0</v>
      </c>
      <c r="KI103" s="6">
        <f>COUNTIFS(Table78[Country],Tabela1[[#This Row],[Country]],Table78[Mixed 4x100m Medley Relay Classification],"&gt;0")</f>
        <v>0</v>
      </c>
      <c r="KJ103" s="6">
        <f>COUNTIFS(Table20[Country],Tabela1[[#This Row],[Country]],Table20[10km Open Water Classification],"&gt;0")</f>
        <v>0</v>
      </c>
      <c r="KK103" s="6">
        <f>COUNTIFS(Table21[Country],Tabela1[[#This Row],[Country]],Table21[10km Open Water Classification],"&gt;0")</f>
        <v>0</v>
      </c>
      <c r="KL103" s="6">
        <f>COUNTIFS(Table22[Country],Tabela1[[#This Row],[Country]],Table22[Classification],"&gt;0")</f>
        <v>0</v>
      </c>
      <c r="KM103" s="6">
        <f>COUNTIFS(Table30[Country],Tabela1[[#This Row],[Country]],Table30[Classification],"&gt;0")</f>
        <v>0</v>
      </c>
      <c r="KN103" s="6">
        <f>COUNTIFS(Table55[Country],Tabela1[[#This Row],[Country]],Table55[Men''s Classification],"&gt;0")</f>
        <v>0</v>
      </c>
      <c r="KO103" s="6">
        <f>COUNTIFS(Table55[Country],Tabela1[[#This Row],[Country]],Table55[Women''s Classification],"&gt;0")</f>
        <v>0</v>
      </c>
      <c r="KP103" s="6">
        <f>COUNTIFS(Table56[Country],Tabela1[[#This Row],[Country]],Table56[Mixed Classification],"&gt;0")</f>
        <v>0</v>
      </c>
      <c r="KQ103" s="6">
        <f>COUNTIFS(Table29[Country],Tabela1[[#This Row],[Country]],Table29[58kg Classification],"&gt;0")</f>
        <v>0</v>
      </c>
      <c r="KR103" s="6">
        <f>COUNTIFS(Table29[Country],Tabela1[[#This Row],[Country]],Table29[68kg Classification],"&gt;0")</f>
        <v>0</v>
      </c>
      <c r="KS103" s="6">
        <f>COUNTIFS(Table29[Country],Tabela1[[#This Row],[Country]],Table29[80kg Classification],"&gt;0")</f>
        <v>0</v>
      </c>
      <c r="KT103" s="6">
        <f>COUNTIFS(Table29[Country],Tabela1[[#This Row],[Country]],Table29[Plus 80kg Classification],"&gt;0")</f>
        <v>0</v>
      </c>
      <c r="KU103" s="6">
        <f>COUNTIFS(Table34[Country],Tabela1[[#This Row],[Country]],Table34[49kg Classification],"&gt;0")</f>
        <v>0</v>
      </c>
      <c r="KV103" s="6">
        <f>COUNTIFS(Table34[Country],Tabela1[[#This Row],[Country]],Table34[57kg Classification],"&gt;0")</f>
        <v>0</v>
      </c>
      <c r="KW103" s="6">
        <f>COUNTIFS(Table34[Country],Tabela1[[#This Row],[Country]],Table34[67kg Classification],"&gt;0")</f>
        <v>0</v>
      </c>
      <c r="KX103" s="6">
        <f>COUNTIFS(Table34[Country],Tabela1[[#This Row],[Country]],Table34[Plus 67kg Classification],"&gt;0")</f>
        <v>0</v>
      </c>
      <c r="KY103" s="6">
        <f>COUNTIFS(Table57[Country],Tabela1[[#This Row],[Country]],Table57[Classification],"&gt;0")</f>
        <v>0</v>
      </c>
      <c r="KZ103" s="6">
        <f>COUNTIFS(Table58[Country],Tabela1[[#This Row],[Country]],Table58[Classification],"&gt;0")</f>
        <v>0</v>
      </c>
      <c r="LA103" s="6">
        <f>COUNTIFS(Table79[Country],Tabela1[[#This Row],[Country]],Table79[Men''s Classification],"&gt;0")</f>
        <v>0</v>
      </c>
      <c r="LB103" s="6">
        <f>COUNTIFS(Table79[Country],Tabela1[[#This Row],[Country]],Table79[Women''s Classification],"&gt;0")</f>
        <v>0</v>
      </c>
      <c r="LC103" s="6">
        <f>COUNTIFS(Table79[Country],Tabela1[[#This Row],[Country]],Table79[Mixed Classification],"&gt;0")</f>
        <v>0</v>
      </c>
      <c r="LD103" s="6">
        <f>COUNTIFS(Table65[Country],Tabela1[[#This Row],[Country]],Table65[Classification],"&gt;0")</f>
        <v>0</v>
      </c>
      <c r="LE103" s="6">
        <f>COUNTIFS(Table59[Country],Tabela1[[#This Row],[Country]],Table59[Classification],"&gt;0")</f>
        <v>0</v>
      </c>
      <c r="LF103" s="6">
        <f>COUNTIFS(Table87[Country],Tabela1[[#This Row],[Country]],Table87[Mixed Relay Classification],"&gt;0")</f>
        <v>0</v>
      </c>
      <c r="LG103" s="6">
        <f>COUNTIFS(Table91949698100[Country],Tabela1[[#This Row],[Country]],Table91949698100[Men''s Classification],"&gt;0")</f>
        <v>0</v>
      </c>
      <c r="LH103" s="6">
        <f>COUNTIFS(Table91949698100[Country],Tabela1[[#This Row],[Country]],Table91949698100[Women''s Classification],"&gt;0")</f>
        <v>0</v>
      </c>
      <c r="LI103" s="6">
        <f>COUNTIFS(Table91949698100102[Country],Tabela1[[#This Row],[Country]],Table91949698100102[Men''s Classification],"&gt;0")</f>
        <v>0</v>
      </c>
      <c r="LJ103" s="6">
        <f>COUNTIFS(Table91949698100102[Country],Tabela1[[#This Row],[Country]],Table91949698100102[Women''s Classification],"&gt;0")</f>
        <v>0</v>
      </c>
      <c r="LK103" s="6">
        <f>COUNTIFS(Table23[Country],Tabela1[[#This Row],[Country]],Table23[61kg Classification],"&gt;0")</f>
        <v>0</v>
      </c>
      <c r="LL103" s="6">
        <f>COUNTIFS(Table23[Country],Tabela1[[#This Row],[Country]],Table23[73kg Classification],"&gt;0")</f>
        <v>0</v>
      </c>
      <c r="LM103" s="6">
        <f>COUNTIFS(Table23[Country],Tabela1[[#This Row],[Country]],Table23[89kg Classification],"&gt;0")</f>
        <v>0</v>
      </c>
      <c r="LN103" s="6">
        <f>COUNTIFS(Table23[Country],Tabela1[[#This Row],[Country]],Table23[102kg Classification],"&gt;0")</f>
        <v>0</v>
      </c>
      <c r="LO103" s="6">
        <f>COUNTIFS(Table23[Country],Tabela1[[#This Row],[Country]],Table23[Plus 102kg Classification],"&gt;0")</f>
        <v>0</v>
      </c>
      <c r="LP103" s="6">
        <f>COUNTIFS(Table28[Country],Tabela1[[#This Row],[Country]],Table28[49kg Classification],"&gt;0")</f>
        <v>0</v>
      </c>
      <c r="LQ103" s="6">
        <f>COUNTIFS(Table28[Country],Tabela1[[#This Row],[Country]],Table28[59kg Classification],"&gt;0")</f>
        <v>0</v>
      </c>
      <c r="LR103" s="6">
        <f>COUNTIFS(Table28[Country],Tabela1[[#This Row],[Country]],Table28[71kg Classification],"&gt;0")</f>
        <v>0</v>
      </c>
      <c r="LS103" s="6">
        <f>COUNTIFS(Table28[Country],Tabela1[[#This Row],[Country]],Table28[81kg Classification],"&gt;0")</f>
        <v>0</v>
      </c>
      <c r="LT103" s="6">
        <f>COUNTIFS(Table28[Country],Tabela1[[#This Row],[Country]],Table28[Plus 81kg Classification],"&gt;0")</f>
        <v>0</v>
      </c>
      <c r="LU103" s="6">
        <f>COUNTIFS(Table24[Country],Tabela1[[#This Row],[Country]],Table24[Freestyle 57kg Classification],"&gt;0")</f>
        <v>0</v>
      </c>
      <c r="LV103" s="6">
        <f>COUNTIFS(Table24[Country],Tabela1[[#This Row],[Country]],Table24[Freestyle 65kg Classification],"&gt;0")</f>
        <v>0</v>
      </c>
      <c r="LW103" s="6">
        <f>COUNTIFS(Table24[Country],Tabela1[[#This Row],[Country]],Table24[Freestyle 74kg Classification],"&gt;0")</f>
        <v>0</v>
      </c>
      <c r="LX103" s="6">
        <f>COUNTIFS(Table24[Country],Tabela1[[#This Row],[Country]],Table24[Freestyle 86kg Classification],"&gt;0")</f>
        <v>0</v>
      </c>
      <c r="LY103" s="6">
        <f>COUNTIFS(Table24[Country],Tabela1[[#This Row],[Country]],Table24[Freestyle 97kg Classification],"&gt;0")</f>
        <v>0</v>
      </c>
      <c r="LZ103" s="6">
        <f>COUNTIFS(Table24[Country],Tabela1[[#This Row],[Country]],Table24[Freestyle 125kg Classification],"&gt;0")</f>
        <v>0</v>
      </c>
      <c r="MA103" s="6">
        <f>COUNTIFS(Table24[Country],Tabela1[[#This Row],[Country]],Table24[Greco-Roman 60kg Classification],"&gt;0")</f>
        <v>0</v>
      </c>
      <c r="MB103" s="6">
        <f>COUNTIFS(Table24[Country],Tabela1[[#This Row],[Country]],Table24[Greco-Roman 67kg Classification],"&gt;0")</f>
        <v>0</v>
      </c>
      <c r="MC103" s="6">
        <f>COUNTIFS(Table24[Country],Tabela1[[#This Row],[Country]],Table24[Greco-Roman 77kg Classification],"&gt;0")</f>
        <v>0</v>
      </c>
      <c r="MD103" s="6">
        <f>COUNTIFS(Table24[Country],Tabela1[[#This Row],[Country]],Table24[Greco-Roman 87kg Classification],"&gt;0")</f>
        <v>0</v>
      </c>
      <c r="ME103" s="6">
        <f>COUNTIFS(Table24[Country],Tabela1[[#This Row],[Country]],Table24[Greco-Roman 97kg Classification],"&gt;0")</f>
        <v>0</v>
      </c>
      <c r="MF103" s="6">
        <f>COUNTIFS(Table24[Country],Tabela1[[#This Row],[Country]],Table24[Greco-Roman 130kg Classification],"&gt;0")</f>
        <v>0</v>
      </c>
      <c r="MG103" s="6">
        <f>COUNTIFS(Table31[Country],Tabela1[[#This Row],[Country]],Table31[50kg Classification],"&gt;0")</f>
        <v>0</v>
      </c>
      <c r="MH103" s="6">
        <f>COUNTIFS(Table31[Country],Tabela1[[#This Row],[Country]],Table31[53kg Classification],"&gt;0")</f>
        <v>0</v>
      </c>
      <c r="MI103" s="6">
        <f>COUNTIFS(Table31[Country],Tabela1[[#This Row],[Country]],Table31[57kg Classification],"&gt;0")</f>
        <v>0</v>
      </c>
      <c r="MJ103" s="6">
        <f>COUNTIFS(Table31[Country],Tabela1[[#This Row],[Country]],Table31[62kg Classification],"&gt;0")</f>
        <v>0</v>
      </c>
      <c r="MK103" s="6">
        <f>COUNTIFS(Table31[Country],Tabela1[[#This Row],[Country]],Table31[68kg Classification],"&gt;0")</f>
        <v>0</v>
      </c>
      <c r="ML103" s="6">
        <f>COUNTIFS(Table31[Country],Tabela1[[#This Row],[Country]],Table31[76kg Classification],"&gt;0")</f>
        <v>0</v>
      </c>
      <c r="MM103" s="6">
        <f>COUNTIFS(Table102[Country],Tabela1[[#This Row],[Country]],Table102[Downhill Classification],"&gt;0")</f>
        <v>0</v>
      </c>
      <c r="MN103" s="6">
        <f>COUNTIFS(Table102105[Country],Tabela1[[#This Row],[Country]],Table102105[Downhill Classification],"&gt;0")</f>
        <v>0</v>
      </c>
      <c r="MO103" s="6">
        <f>COUNTIFS(Table102[Country],Tabela1[[#This Row],[Country]],Table102[Giant Slalom Classification],"&gt;0")</f>
        <v>0</v>
      </c>
      <c r="MP103" s="6">
        <f>COUNTIFS(Table102105[Country],Tabela1[[#This Row],[Country]],Table102105[Giant Slalom Classification],"&gt;0")</f>
        <v>0</v>
      </c>
      <c r="MQ103" s="6">
        <f>COUNTIFS(Table102[Country],Tabela1[[#This Row],[Country]],Table102[Slalom Classification],"&gt;0")</f>
        <v>0</v>
      </c>
      <c r="MR103" s="6">
        <f>COUNTIFS(Table102105[Country],Tabela1[[#This Row],[Country]],Table102105[Slalom Classification],"&gt;0")</f>
        <v>0</v>
      </c>
      <c r="MS103" s="6">
        <f>COUNTIFS(Table102[Country],Tabela1[[#This Row],[Country]],Table102[Super-G Classification],"&gt;0")</f>
        <v>0</v>
      </c>
      <c r="MT103" s="6">
        <f>COUNTIFS(Table102105[Country],Tabela1[[#This Row],[Country]],Table102105[Super-G Classification],"&gt;0")</f>
        <v>0</v>
      </c>
      <c r="MU103" s="6">
        <f>COUNTIFS(Table105[Country],Tabela1[[#This Row],[Country]],Table105[Men''s Combined Classification],"&gt;0")</f>
        <v>0</v>
      </c>
      <c r="MV103" s="6">
        <f>COUNTIFS(Table105[Country],Tabela1[[#This Row],[Country]],Table105[Women''s Combined Classification],"&gt;0")</f>
        <v>0</v>
      </c>
      <c r="MW103" s="6">
        <f>COUNTIFS(Table106[Country],Tabela1[[#This Row],[Country]],Table106[Individual Classification],"&gt;0")</f>
        <v>0</v>
      </c>
      <c r="MX103" s="6">
        <f>COUNTIFS(Table106109[Country],Tabela1[[#This Row],[Country]],Table106109[Individual Classification],"&gt;0")</f>
        <v>0</v>
      </c>
      <c r="MY103" s="6">
        <f>COUNTIFS(Table106[Country],Tabela1[[#This Row],[Country]],Table106[Mass Start Classification],"&gt;0")</f>
        <v>0</v>
      </c>
      <c r="MZ103" s="6">
        <f>COUNTIFS(Table106109[Country],Tabela1[[#This Row],[Country]],Table106109[Mass Start Classification],"&gt;0")</f>
        <v>0</v>
      </c>
      <c r="NA103" s="6">
        <f>COUNTIFS(Table106[Country],Tabela1[[#This Row],[Country]],Table106[Pursuit Classification],"&gt;0")</f>
        <v>0</v>
      </c>
      <c r="NB103" s="6">
        <f>COUNTIFS(Table106109[Country],Tabela1[[#This Row],[Country]],Table106109[Pursuit Classification],"&gt;0")</f>
        <v>0</v>
      </c>
      <c r="NC103" s="6">
        <f>COUNTIFS(Table106[Country],Tabela1[[#This Row],[Country]],Table106[Sprint Classification],"&gt;0")</f>
        <v>0</v>
      </c>
      <c r="ND103" s="6">
        <f>COUNTIFS(Table106109[Country],Tabela1[[#This Row],[Country]],Table106109[Sprint Classification],"&gt;0")</f>
        <v>0</v>
      </c>
      <c r="NE103" s="6">
        <f>COUNTIFS(Table109[Country],Tabela1[[#This Row],[Country]],Table109[Men''s Relay Classification],"&gt;0")</f>
        <v>0</v>
      </c>
      <c r="NF103" s="6">
        <f>COUNTIFS(Table109[Country],Tabela1[[#This Row],[Country]],Table109[Women''s Relay Classification],"&gt;0")</f>
        <v>0</v>
      </c>
      <c r="NG103" s="6">
        <f>COUNTIFS(Table109[Country],Tabela1[[#This Row],[Country]],Table109[Mixed Relay Classification],"&gt;0")</f>
        <v>0</v>
      </c>
      <c r="NH103" s="6">
        <f>COUNTIFS(Table110[Country],Tabela1[[#This Row],[Country]],Table110[Monobob Classification],"&gt;0")</f>
        <v>0</v>
      </c>
      <c r="NI103" s="6">
        <f>COUNTIFS(Table111[Country],Tabela1[[#This Row],[Country]],Table111[Men''s Classification],"&gt;0")</f>
        <v>0</v>
      </c>
      <c r="NJ103" s="6">
        <f>COUNTIFS(Table111[Country],Tabela1[[#This Row],[Country]],Table111[Women''s Classification],"&gt;0")</f>
        <v>0</v>
      </c>
      <c r="NK103" s="6">
        <f>COUNTIFS(Table112[Country],Tabela1[[#This Row],[Country]],Table112[Men''s Four Classification],"&gt;0")</f>
        <v>0</v>
      </c>
      <c r="NL103" s="6">
        <f>COUNTIFS(Table113[Country],Tabela1[[#This Row],[Country]],Table113[Classical Classification],"&gt;0")</f>
        <v>0</v>
      </c>
      <c r="NM103" s="6">
        <f>COUNTIFS(Table113116[Country],Tabela1[[#This Row],[Country]],Table113116[Classical Classification],"&gt;0")</f>
        <v>0</v>
      </c>
      <c r="NN103" s="6">
        <f>COUNTIFS(Table113[Country],Tabela1[[#This Row],[Country]],Table113[Freestyle Classification],"&gt;0")</f>
        <v>0</v>
      </c>
      <c r="NO103" s="6">
        <f>COUNTIFS(Table113116[Country],Tabela1[[#This Row],[Country]],Table113116[Freestyle Classification],"&gt;0")</f>
        <v>0</v>
      </c>
      <c r="NP103" s="6">
        <f>COUNTIFS(Table117[Country],Tabela1[[#This Row],[Country]],Table117[Men''s Relay Classification],"&gt;0")</f>
        <v>0</v>
      </c>
      <c r="NQ103" s="6">
        <f>COUNTIFS(Table117[Country],Tabela1[[#This Row],[Country]],Table117[Women''s Relay Classification],"&gt;0")</f>
        <v>0</v>
      </c>
      <c r="NR103" s="6">
        <f>COUNTIFS(Table113[Country],Tabela1[[#This Row],[Country]],Table113[Skiathlon Classification],"&gt;0")</f>
        <v>0</v>
      </c>
      <c r="NS103" s="6">
        <f>COUNTIFS(Table113116[Country],Tabela1[[#This Row],[Country]],Table113116[Skiathlon Classification],"&gt;0")</f>
        <v>0</v>
      </c>
      <c r="NT103" s="6">
        <f>COUNTIFS(Table113[Country],Tabela1[[#This Row],[Country]],Table113[Sprint Classification],"&gt;0")</f>
        <v>0</v>
      </c>
      <c r="NU103" s="6">
        <f>COUNTIFS(Table113116[Country],Tabela1[[#This Row],[Country]],Table113116[Sprint Classification],"&gt;0")</f>
        <v>0</v>
      </c>
      <c r="NV103" s="6">
        <f>COUNTIFS(Table116[Country],Tabela1[[#This Row],[Country]],Table116[Men''s Team Sprint Classification],"&gt;0")</f>
        <v>0</v>
      </c>
      <c r="NW103" s="6">
        <f>COUNTIFS(Table116[Country],Tabela1[[#This Row],[Country]],Table116[Women''s Team Sprint Classification],"&gt;0")</f>
        <v>0</v>
      </c>
      <c r="NX103" s="6">
        <f>COUNTIFS(Table119[Country],Tabela1[[#This Row],[Country]],Table119[Men''s Classification],"&gt;0")</f>
        <v>0</v>
      </c>
      <c r="NY103" s="6">
        <f>COUNTIFS(Table119[Country],Tabela1[[#This Row],[Country]],Table119[Women''s Classification],"&gt;0")</f>
        <v>0</v>
      </c>
      <c r="NZ103" s="6">
        <f>COUNTIFS(Table118[Country],Tabela1[[#This Row],[Country]],Table118[Mixed Classification],"&gt;0")</f>
        <v>0</v>
      </c>
      <c r="OA103" s="6">
        <f>COUNTIFS(Table120[Country],Tabela1[[#This Row],[Country]],Table120[Classification],"&gt;0")</f>
        <v>0</v>
      </c>
      <c r="OB103" s="6">
        <f>COUNTIFS(Table120123[Country],Tabela1[[#This Row],[Country]],Table120123[Classification],"&gt;0")</f>
        <v>0</v>
      </c>
      <c r="OC103" s="6">
        <f>COUNTIFS(Table123[Country],Tabela1[[#This Row],[Country]],Table123[Ice Dance Classification],"&gt;0")</f>
        <v>0</v>
      </c>
      <c r="OD103" s="6">
        <f>COUNTIFS(Table123[Country],Tabela1[[#This Row],[Country]],Table123[Pair Skating Classification],"&gt;0")</f>
        <v>0</v>
      </c>
      <c r="OE103" s="6">
        <f>COUNTIFS(Table124[Country],Tabela1[[#This Row],[Country]],Table124[Mixed Classification],"&gt;0")</f>
        <v>0</v>
      </c>
      <c r="OF103" s="6">
        <f>COUNTIFS(Table125[Country],Tabela1[[#This Row],[Country]],Table125[Aerials Classification],"&gt;0")</f>
        <v>0</v>
      </c>
      <c r="OG103" s="6">
        <f>COUNTIFS(Table125128[Country],Tabela1[[#This Row],[Country]],Table125128[Aerials Classification],"&gt;0")</f>
        <v>0</v>
      </c>
      <c r="OH103" s="6">
        <f>COUNTIFS(Table128[Country],Tabela1[[#This Row],[Country]],Table128[Mixed Aerials Classification],"&gt;0")</f>
        <v>0</v>
      </c>
      <c r="OI103" s="6">
        <f>COUNTIFS(Table125[Country],Tabela1[[#This Row],[Country]],Table125[Big Air Classification],"&gt;0")</f>
        <v>0</v>
      </c>
      <c r="OJ103" s="6">
        <f>COUNTIFS(Table125128[Country],Tabela1[[#This Row],[Country]],Table125128[Big Air Classification],"&gt;0")</f>
        <v>0</v>
      </c>
      <c r="OK103" s="6">
        <f>COUNTIFS(Table125[Country],Tabela1[[#This Row],[Country]],Table125[Dual Moguls Classification],"&gt;0")</f>
        <v>0</v>
      </c>
      <c r="OL103" s="6">
        <f>COUNTIFS(Table125128[Country],Tabela1[[#This Row],[Country]],Table125128[Dual Moguls Classification],"&gt;0")</f>
        <v>0</v>
      </c>
      <c r="OM103" s="6">
        <f>COUNTIFS(Table125[Country],Tabela1[[#This Row],[Country]],Table125[Halfpipe Classification],"&gt;0")</f>
        <v>0</v>
      </c>
      <c r="ON103" s="6">
        <f>COUNTIFS(Table125128[Country],Tabela1[[#This Row],[Country]],Table125128[Halfpipe Classification],"&gt;0")</f>
        <v>0</v>
      </c>
      <c r="OO103" s="6">
        <f>COUNTIFS(Table125[Country],Tabela1[[#This Row],[Country]],Table125[Moguls Classification],"&gt;0")</f>
        <v>0</v>
      </c>
      <c r="OP103" s="6">
        <f>COUNTIFS(Table125128[Country],Tabela1[[#This Row],[Country]],Table125128[Moguls Classification],"&gt;0")</f>
        <v>0</v>
      </c>
      <c r="OQ103" s="6">
        <f>COUNTIFS(Table125[Country],Tabela1[[#This Row],[Country]],Table125[Ski Cross Classification],"&gt;0")</f>
        <v>0</v>
      </c>
      <c r="OR103" s="6">
        <f>COUNTIFS(Table125128[Country],Tabela1[[#This Row],[Country]],Table125128[Ski Cross Classification],"&gt;0")</f>
        <v>0</v>
      </c>
      <c r="OS103" s="6">
        <f>COUNTIFS(Table125[Country],Tabela1[[#This Row],[Country]],Table125[Slopestyle Classification],"&gt;0")</f>
        <v>0</v>
      </c>
      <c r="OT103" s="6">
        <f>COUNTIFS(Table125128[Country],Tabela1[[#This Row],[Country]],Table125128[Slopestyle Classification],"&gt;0")</f>
        <v>0</v>
      </c>
      <c r="OU103" s="6">
        <f>COUNTIFS(Table119131[Country],Tabela1[[#This Row],[Country]],Table119131[Men''s Classification],"&gt;0")</f>
        <v>0</v>
      </c>
      <c r="OV103" s="6">
        <f>COUNTIFS(Table119131[Country],Tabela1[[#This Row],[Country]],Table119131[Women''s Classification],"&gt;0")</f>
        <v>0</v>
      </c>
      <c r="OW103" s="6">
        <f>COUNTIFS(Table131[Country],Tabela1[[#This Row],[Country]],Table131[Classification],"&gt;0")</f>
        <v>0</v>
      </c>
      <c r="OX103" s="6">
        <f>COUNTIFS(Table131134[Country],Tabela1[[#This Row],[Country]],Table131134[Classification],"&gt;0")</f>
        <v>0</v>
      </c>
      <c r="OY103" s="6">
        <f>COUNTIFS(Table134[Country],Tabela1[[#This Row],[Country]],Table134[Men''s Classification],"&gt;0")</f>
        <v>0</v>
      </c>
      <c r="OZ103" s="6">
        <f>COUNTIFS(Table134[Country],Tabela1[[#This Row],[Country]],Table134[Women''s Classification],"&gt;0")</f>
        <v>0</v>
      </c>
      <c r="PA103" s="6">
        <f>COUNTIFS(Table135[Country],Tabela1[[#This Row],[Country]],Table135[Mixed Relay Classification],"&gt;0")</f>
        <v>0</v>
      </c>
      <c r="PB103" s="6">
        <f>COUNTIFS(Table136[Country],Tabela1[[#This Row],[Country]],Table136[Individual Classification],"&gt;0")</f>
        <v>0</v>
      </c>
      <c r="PC103" s="6">
        <f>COUNTIFS(Table136[Country],Tabela1[[#This Row],[Country]],Table136[Sprint Classification],"&gt;0")</f>
        <v>0</v>
      </c>
      <c r="PD103" s="6">
        <f>COUNTIFS(Table137[Country],Tabela1[[#This Row],[Country]],Table137[Men''s Team Sprint Large Hill Classification],"&gt;0")</f>
        <v>0</v>
      </c>
      <c r="PE103" s="6">
        <f>COUNTIFS(Table138[Country],Tabela1[[#This Row],[Country]],Table138[500m Classification],"&gt;0")</f>
        <v>0</v>
      </c>
      <c r="PF103" s="6">
        <f>COUNTIFS(Table138141[Country],Tabela1[[#This Row],[Country]],Table138141[500m Classification],"&gt;0")</f>
        <v>0</v>
      </c>
      <c r="PG103" s="6">
        <f>COUNTIFS(Table138[Country],Tabela1[[#This Row],[Country]],Table138[1000m Classification],"&gt;0")</f>
        <v>0</v>
      </c>
      <c r="PH103" s="6">
        <f>COUNTIFS(Table138141[Country],Tabela1[[#This Row],[Country]],Table138141[1000m Classification],"&gt;0")</f>
        <v>0</v>
      </c>
      <c r="PI103" s="6">
        <f>COUNTIFS(Table138[Country],Tabela1[[#This Row],[Country]],Table138[1500m Classification],"&gt;0")</f>
        <v>0</v>
      </c>
      <c r="PJ103" s="6">
        <f>COUNTIFS(Table138141[Country],Tabela1[[#This Row],[Country]],Table138141[1500m Classification],"&gt;0")</f>
        <v>0</v>
      </c>
      <c r="PK103" s="6">
        <f>COUNTIFS(Table141[Country],Tabela1[[#This Row],[Country]],Table141[Men''s 5000m Relay Classification],"&gt;0")</f>
        <v>0</v>
      </c>
      <c r="PL103" s="6">
        <f>COUNTIFS(Table141[Country],Tabela1[[#This Row],[Country]],Table141[Women''s 3000m Relay Classification],"&gt;0")</f>
        <v>0</v>
      </c>
      <c r="PM103" s="6">
        <f>COUNTIFS(Table141[Country],Tabela1[[#This Row],[Country]],Table141[Mixed 2000m Relay Classification],"&gt;0")</f>
        <v>0</v>
      </c>
      <c r="PN103" s="6">
        <f>COUNTIFS(Table142[Country],Tabela1[[#This Row],[Country]],Table142[Classification],"&gt;0")</f>
        <v>0</v>
      </c>
      <c r="PO103" s="6">
        <f>COUNTIFS(Table142145[Country],Tabela1[[#This Row],[Country]],Table142145[Classification],"&gt;0")</f>
        <v>0</v>
      </c>
      <c r="PP103" s="6">
        <f>COUNTIFS(Tabela15[Country],Tabela1[[#This Row],[Country]],Tabela15[Mixed Team Classification],"&gt;0")</f>
        <v>0</v>
      </c>
      <c r="PQ103" s="6">
        <f>COUNTIFS(Table145[Country],Tabela1[[#This Row],[Country]],Table145[Large Hill Classification],"&gt;0")</f>
        <v>0</v>
      </c>
      <c r="PR103" s="6">
        <f>COUNTIFS(Table145[Country],Tabela1[[#This Row],[Country]],Table145[Normal Hill Classification],"&gt;0")</f>
        <v>0</v>
      </c>
      <c r="PS103" s="6">
        <f>COUNTIFS(Table145148[Country],Tabela1[[#This Row],[Country]],Table145148[Large Hill Classification],"&gt;0")</f>
        <v>0</v>
      </c>
      <c r="PT103" s="6">
        <f>COUNTIFS(Table145148[Country],Tabela1[[#This Row],[Country]],Table145148[Normal Hill Classification],"&gt;0")</f>
        <v>0</v>
      </c>
      <c r="PU103" s="6">
        <f>COUNTIFS(Table148[Country],Tabela1[[#This Row],[Country]],Table148[Men''s Super Team Classification],"&gt;0")</f>
        <v>0</v>
      </c>
      <c r="PV103" s="6">
        <f>COUNTIFS(Tabela114[Country],Tabela1[[#This Row],[Country]],Tabela114[Mixed Normal Hill Classification],"&gt;0")</f>
        <v>0</v>
      </c>
      <c r="PW103" s="6">
        <f>COUNTIFS(Tabela50[Country],Tabela1[[#This Row],[Country]],Tabela50[Sprint Classification],"&gt;0")</f>
        <v>0</v>
      </c>
      <c r="PX103" s="6">
        <f>COUNTIFS(Tabela50101[Country],Tabela1[[#This Row],[Country]],Tabela50101[Sprint Classification],"&gt;0")</f>
        <v>0</v>
      </c>
      <c r="PY103" s="6">
        <f>COUNTIFS(Tabela103[Country],Tabela1[[#This Row],[Country]],Tabela103[Mixed Relay Classification],"&gt;0")</f>
        <v>0</v>
      </c>
      <c r="PZ103" s="6">
        <f>COUNTIFS(Table149[Country],Tabela1[[#This Row],[Country]],Table149[Big Air Classification],"&gt;0")</f>
        <v>0</v>
      </c>
      <c r="QA103" s="6">
        <f>COUNTIFS(Table149152[Country],Tabela1[[#This Row],[Country]],Table149152[Big Air Classification],"&gt;0")</f>
        <v>0</v>
      </c>
      <c r="QB103" s="6">
        <f>COUNTIFS(Table149[Country],Tabela1[[#This Row],[Country]],Table149[Halfpipe Classification],"&gt;0")</f>
        <v>0</v>
      </c>
      <c r="QC103" s="6">
        <f>COUNTIFS(Table149152[Country],Tabela1[[#This Row],[Country]],Table149152[Halfpipe Classification],"&gt;0")</f>
        <v>0</v>
      </c>
      <c r="QD103" s="6">
        <f>COUNTIFS(Table149[Country],Tabela1[[#This Row],[Country]],Table149[Parallel Giant Slalom Classification],"&gt;0")</f>
        <v>0</v>
      </c>
      <c r="QE103" s="6">
        <f>COUNTIFS(Table149152[Country],Tabela1[[#This Row],[Country]],Table149152[Parallel Giant Slalom Classification],"&gt;0")</f>
        <v>0</v>
      </c>
      <c r="QF103" s="6">
        <f>COUNTIFS(Table149[Country],Tabela1[[#This Row],[Country]],Table149[Slopestyle Classification],"&gt;0")</f>
        <v>0</v>
      </c>
      <c r="QG103" s="6">
        <f>COUNTIFS(Table149152[Country],Tabela1[[#This Row],[Country]],Table149152[Slopestyle Classification],"&gt;0")</f>
        <v>0</v>
      </c>
      <c r="QH103" s="6">
        <f>COUNTIFS(Table149[Country],Tabela1[[#This Row],[Country]],Table149[Snowboard Cross Classification],"&gt;0")</f>
        <v>0</v>
      </c>
      <c r="QI103" s="6">
        <f>COUNTIFS(Table149152[Country],Tabela1[[#This Row],[Country]],Table149152[Snowboard Cross Classification],"&gt;0")</f>
        <v>0</v>
      </c>
      <c r="QJ103" s="6">
        <f>COUNTIFS(Table153[Country],Tabela1[[#This Row],[Country]],Table153[Mixed Team Snowboard Cross Classification],"&gt;0")</f>
        <v>0</v>
      </c>
      <c r="QK103" s="6">
        <f>COUNTIFS(Table154[Country],Tabela1[[#This Row],[Country]],Table154[500m Classification],"&gt;0")</f>
        <v>0</v>
      </c>
      <c r="QL103" s="6">
        <f>COUNTIFS(Table154157[Country],Tabela1[[#This Row],[Country]],Table154157[500m Classification],"&gt;0")</f>
        <v>0</v>
      </c>
      <c r="QM103" s="6">
        <f>COUNTIFS(Table154[Country],Tabela1[[#This Row],[Country]],Table154[1000m Classification],"&gt;0")</f>
        <v>0</v>
      </c>
      <c r="QN103" s="6">
        <f>COUNTIFS(Table154157[Country],Tabela1[[#This Row],[Country]],Table154157[1000m Classification],"&gt;0")</f>
        <v>0</v>
      </c>
      <c r="QO103" s="6">
        <f>COUNTIFS(Table154[Country],Tabela1[[#This Row],[Country]],Table154[1500m Classification],"&gt;0")</f>
        <v>0</v>
      </c>
      <c r="QP103" s="6">
        <f>COUNTIFS(Table154157[Country],Tabela1[[#This Row],[Country]],Table154157[1500m Classification],"&gt;0")</f>
        <v>0</v>
      </c>
      <c r="QQ103" s="6">
        <f>COUNTIFS(Table154157[Country],Tabela1[[#This Row],[Country]],Table154157[3000m Classification],"&gt;0")</f>
        <v>0</v>
      </c>
      <c r="QR103" s="6">
        <f>COUNTIFS(Table154[Country],Tabela1[[#This Row],[Country]],Table154[5000m Classification],"&gt;0")</f>
        <v>0</v>
      </c>
      <c r="QS103" s="6">
        <f>COUNTIFS(Table154157[Country],Tabela1[[#This Row],[Country]],Table154157[5000m Classification],"&gt;0")</f>
        <v>0</v>
      </c>
      <c r="QT103" s="6">
        <f>COUNTIFS(Table154[Country],Tabela1[[#This Row],[Country]],Table154[10000m Classification],"&gt;0")</f>
        <v>0</v>
      </c>
      <c r="QU103" s="6">
        <f>COUNTIFS(Table154[Country],Tabela1[[#This Row],[Country]],Table154[Mass Start Classification],"&gt;0")</f>
        <v>0</v>
      </c>
      <c r="QV103" s="6">
        <f>COUNTIFS(Table154157[Country],Tabela1[[#This Row],[Country]],Table154157[Mass Start Classification],"&gt;0")</f>
        <v>0</v>
      </c>
      <c r="QW103" s="6">
        <f>COUNTIFS(Table157[Country],Tabela1[[#This Row],[Country]],Table157[Men''s Pursuit Classification],"&gt;0")</f>
        <v>0</v>
      </c>
      <c r="QX103" s="6">
        <f>COUNTIFS(Table157[Country],Tabela1[[#This Row],[Country]],Table157[Women''s Pursuit Classification],"&gt;0")</f>
        <v>0</v>
      </c>
      <c r="QY103" s="4" t="s">
        <v>425</v>
      </c>
    </row>
    <row r="104" spans="1:467" x14ac:dyDescent="0.3">
      <c r="A104" s="6">
        <v>103</v>
      </c>
      <c r="B104" s="6" t="s">
        <v>476</v>
      </c>
      <c r="C104" t="e" vm="103">
        <f>IF(ISBLANK(Tabela1[[#This Row],[Image Link]]), "", _xlfn.IMAGE(Tabela1[[#This Row],[Image Link]],1,1))</f>
        <v>#VALUE!</v>
      </c>
      <c r="D104" s="6">
        <f>SUM(Tabela1[[#This Row],[Archery - Men''s Individual Recurve]:[Speed Skating - Women''s Team Pursuit]])</f>
        <v>3</v>
      </c>
      <c r="E104" s="6">
        <f>COUNTIF(Tabela1[[#This Row],[Archery - Men''s Individual Recurve]:[Speed Skating - Women''s Team Pursuit]],"&gt;0")</f>
        <v>3</v>
      </c>
      <c r="F104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04" s="6">
        <f>SUM(Tabela1[[#This Row],[Archery - Men''s Individual Recurve]:[Wrestling - Women''s Freestyle 76kg]])</f>
        <v>3</v>
      </c>
      <c r="H104" s="6">
        <f>SUM(Tabela1[[#This Row],[Alpine Skiing - Men''s Downhill]:[Speed Skating - Women''s Team Pursuit]])</f>
        <v>0</v>
      </c>
      <c r="I104" s="6">
        <f>Tabela1[[#This Row],[Summer Gold Medals]]+Tabela1[[#This Row],[Winter Gold Medals]]</f>
        <v>1</v>
      </c>
      <c r="J104" s="6">
        <f>Tabela1[[#This Row],[Summer Silver Medals]]+Tabela1[[#This Row],[Winter Silver Medals]]</f>
        <v>1</v>
      </c>
      <c r="K104" s="6">
        <f>Tabela1[[#This Row],[Summer Bronze Medals]]+Tabela1[[#This Row],[Winter Bronze Medals]]</f>
        <v>0</v>
      </c>
      <c r="L104" s="6">
        <f>SUM(Tabela1[[#This Row],[Total Gold Medals]:[Total Bronze Medals]])</f>
        <v>2</v>
      </c>
      <c r="M104" s="6">
        <v>1</v>
      </c>
      <c r="N104" s="6">
        <v>1</v>
      </c>
      <c r="O104" s="6"/>
      <c r="P104" s="6">
        <f>SUM(Tabela1[[#This Row],[Summer Gold Medals]:[Summer Bronze Medals]])</f>
        <v>2</v>
      </c>
      <c r="Q104" s="6"/>
      <c r="R104" s="6"/>
      <c r="S104" s="6"/>
      <c r="T104" s="6">
        <f>Tabela1[[#This Row],[Winter Gold Medals]]+Tabela1[[#This Row],[Winter Silver Medals]]+Tabela1[[#This Row],[Winter Bronze Medals]]</f>
        <v>0</v>
      </c>
      <c r="U104" s="7">
        <f>Tabela1[[#This Row],[Total Medals]]/Tabela1[[#This Row],[Total Quotas]]</f>
        <v>0.66666666666666663</v>
      </c>
      <c r="V104" s="6">
        <f>COUNTIFS(Table3[Country],Tabela1[[#This Row],[Country]],Table3[Recurve Classification],"&gt;0")</f>
        <v>0</v>
      </c>
      <c r="W104" s="6">
        <f>COUNTIFS(Table33[Country],Tabela1[[#This Row],[Country]],Table33[Recurve Classification],"&gt;0")</f>
        <v>0</v>
      </c>
      <c r="X104" s="6">
        <f>COUNTIFS(Table35[Country],Tabela1[[#This Row],[Country]],Table35[Men''s Team Recurve Classification],"&gt;0")</f>
        <v>0</v>
      </c>
      <c r="Y104" s="6">
        <f>COUNTIFS(Table35[Country],Tabela1[[#This Row],[Country]],Table35[Women''s Team Recurve Classification],"&gt;0")</f>
        <v>0</v>
      </c>
      <c r="Z104" s="6">
        <f>COUNTIFS(Tabela88[Country],Tabela1[[#This Row],[Country]],Tabela88[Mixed Team Recurve Classification],"&gt;0")</f>
        <v>0</v>
      </c>
      <c r="AA104" s="6">
        <f>COUNTIFS(Table36[Country],Tabela1[[#This Row],[Country]],Table36[Classification],"&gt;0")</f>
        <v>0</v>
      </c>
      <c r="AB104" s="6">
        <f>COUNTIFS(Table37[Country],Tabela1[[#This Row],[Country]],Table37[Classification],"&gt;0")</f>
        <v>0</v>
      </c>
      <c r="AC104" s="6">
        <f>COUNTIFS(Table4[Country],Tabela1[[#This Row],[Country]],Table4[100m Classification],"&gt;0")</f>
        <v>0</v>
      </c>
      <c r="AD104" s="6">
        <f>COUNTIFS(Table5[Country],Tabela1[[#This Row],[Country]],Table5[100m Classification],"&gt;0")</f>
        <v>1</v>
      </c>
      <c r="AE104" s="6">
        <f>COUNTIFS(Table4[Country],Tabela1[[#This Row],[Country]],Table4[200m Classification],"&gt;0")</f>
        <v>0</v>
      </c>
      <c r="AF104" s="6">
        <f>COUNTIFS(Table5[Country],Tabela1[[#This Row],[Country]],Table5[200m Classification],"&gt;0")</f>
        <v>1</v>
      </c>
      <c r="AG104" s="6">
        <f>COUNTIFS(Table4[Country],Tabela1[[#This Row],[Country]],Table4[400m Classification],"&gt;0")</f>
        <v>0</v>
      </c>
      <c r="AH104" s="6">
        <f>COUNTIFS(Table5[Country],Tabela1[[#This Row],[Country]],Table5[400m Classification],"&gt;0")</f>
        <v>0</v>
      </c>
      <c r="AI104" s="6">
        <f>COUNTIFS(Table4[Country],Tabela1[[#This Row],[Country]],Table4[800m Classification],"&gt;0")</f>
        <v>0</v>
      </c>
      <c r="AJ104" s="6">
        <f>COUNTIFS(Table5[Country],Tabela1[[#This Row],[Country]],Table5[800m Classification],"&gt;0")</f>
        <v>0</v>
      </c>
      <c r="AK104" s="6">
        <f>COUNTIFS(Table4[Country],Tabela1[[#This Row],[Country]],Table4[1500m Classification],"&gt;0")</f>
        <v>0</v>
      </c>
      <c r="AL104" s="6">
        <f>COUNTIFS(Table5[Country],Tabela1[[#This Row],[Country]],Table5[1500m Classification],"&gt;0")</f>
        <v>0</v>
      </c>
      <c r="AM104" s="6">
        <f>COUNTIFS(Table4[Country],Tabela1[[#This Row],[Country]],Table4[5000m Classification],"&gt;0")</f>
        <v>0</v>
      </c>
      <c r="AN104" s="6">
        <f>COUNTIFS(Table5[Country],Tabela1[[#This Row],[Country]],Table5[5000m Classification],"&gt;0")</f>
        <v>0</v>
      </c>
      <c r="AO104" s="6">
        <f>COUNTIFS(Table4[Country],Tabela1[[#This Row],[Country]],Table4[10000m Classification],"&gt;0")</f>
        <v>0</v>
      </c>
      <c r="AP104" s="6">
        <f>COUNTIFS(Table5[Country],Tabela1[[#This Row],[Country]],Table5[10000m Classification],"&gt;0")</f>
        <v>0</v>
      </c>
      <c r="AQ104" s="6">
        <f>COUNTIFS(Table4[Country],Tabela1[[#This Row],[Country]],Table4[110m Hurdles Classification],"&gt;0")</f>
        <v>0</v>
      </c>
      <c r="AR104" s="6">
        <f>COUNTIFS(Table5[Country],Tabela1[[#This Row],[Country]],Table5[100m Hurdles Classification],"&gt;0")</f>
        <v>0</v>
      </c>
      <c r="AS104" s="6">
        <f>COUNTIFS(Table4[Country],Tabela1[[#This Row],[Country]],Table4[400m Hurdles Classification],"&gt;0")</f>
        <v>0</v>
      </c>
      <c r="AT104" s="6">
        <f>COUNTIFS(Table5[Country],Tabela1[[#This Row],[Country]],Table5[400m Hurdles Classification],"&gt;0")</f>
        <v>0</v>
      </c>
      <c r="AU104" s="6">
        <f>COUNTIFS(Table4[Country],Tabela1[[#This Row],[Country]],Table4[3000m Steeplechase Classification],"&gt;0")</f>
        <v>0</v>
      </c>
      <c r="AV104" s="6">
        <f>COUNTIFS(Table5[Country],Tabela1[[#This Row],[Country]],Table5[3000m Steeplechase Classification],"&gt;0")</f>
        <v>0</v>
      </c>
      <c r="AW104" s="6">
        <f>COUNTIFS(Table27[Country],Tabela1[[#This Row],[Country]],Table27[Men''s 4x100m Relay Classification],"&gt;0")</f>
        <v>0</v>
      </c>
      <c r="AX104" s="6">
        <f>COUNTIFS(Table27[Country],Tabela1[[#This Row],[Country]],Table27[Women''s 4x100m Relay Classification],"&gt;0")</f>
        <v>0</v>
      </c>
      <c r="AY104" s="6">
        <f>COUNTIFS(Table27[Country],Tabela1[[#This Row],[Country]],Table27[Men''s 4x400m Relay Classification],"&gt;0")</f>
        <v>0</v>
      </c>
      <c r="AZ104" s="6">
        <f>COUNTIFS(Table27[Country],Tabela1[[#This Row],[Country]],Table27[Women''s 4x400m Relay Classification],"&gt;0")</f>
        <v>0</v>
      </c>
      <c r="BA104" s="6">
        <f>COUNTIFS(Table27[Country],Tabela1[[#This Row],[Country]],Table27[Mixed 4x400m Relay Classification],"&gt;0")</f>
        <v>0</v>
      </c>
      <c r="BB104" s="6">
        <f>COUNTIFS(Table4[Country],Tabela1[[#This Row],[Country]],Table4[Marathon Classification],"&gt;0")</f>
        <v>0</v>
      </c>
      <c r="BC104" s="6">
        <f>COUNTIFS(Table5[Country],Tabela1[[#This Row],[Country]],Table5[Marathon Classification],"&gt;0")</f>
        <v>0</v>
      </c>
      <c r="BD104" s="6">
        <f>COUNTIFS(Table4[Country],Tabela1[[#This Row],[Country]],Table4[20km Race Walk Classification],"&gt;0")</f>
        <v>0</v>
      </c>
      <c r="BE104" s="6">
        <f>COUNTIFS(Table5[Country],Tabela1[[#This Row],[Country]],Table5[20km Race Walk Classification],"&gt;0")</f>
        <v>0</v>
      </c>
      <c r="BF104" s="6">
        <f>COUNTIFS(Tabela96[Country],Tabela1[[#This Row],[Country]],Tabela96[Mixed Marathon Race Walk Relay Classification],"&gt;0")</f>
        <v>0</v>
      </c>
      <c r="BG104" s="6">
        <f>COUNTIFS(Table4[Country],Tabela1[[#This Row],[Country]],Table4[Discus Throw Classification],"&gt;0")</f>
        <v>0</v>
      </c>
      <c r="BH104" s="6">
        <f>COUNTIFS(Table5[Country],Tabela1[[#This Row],[Country]],Table5[Discus Throw Classification],"&gt;0")</f>
        <v>0</v>
      </c>
      <c r="BI104" s="6">
        <f>COUNTIFS(Table4[Country],Tabela1[[#This Row],[Country]],Table4[Hammer Throw Classification],"&gt;0")</f>
        <v>0</v>
      </c>
      <c r="BJ104" s="6">
        <f>COUNTIFS(Table5[Country],Tabela1[[#This Row],[Country]],Table5[Hammer Throw Classification],"&gt;0")</f>
        <v>0</v>
      </c>
      <c r="BK104" s="6">
        <f>COUNTIFS(Table4[Country],Tabela1[[#This Row],[Country]],Table4[High Jump Classification],"&gt;0")</f>
        <v>0</v>
      </c>
      <c r="BL104" s="6">
        <f>COUNTIFS(Table5[Country],Tabela1[[#This Row],[Country]],Table5[High Jump Classification],"&gt;0")</f>
        <v>0</v>
      </c>
      <c r="BM104" s="6">
        <f>COUNTIFS(Table4[Country],Tabela1[[#This Row],[Country]],Table4[Javelin Throw Classification],"&gt;0")</f>
        <v>0</v>
      </c>
      <c r="BN104" s="6">
        <f>COUNTIFS(Table5[Country],Tabela1[[#This Row],[Country]],Table5[Javelin Throw Classification],"&gt;0")</f>
        <v>0</v>
      </c>
      <c r="BO104" s="6">
        <f>COUNTIFS(Table4[Country],Tabela1[[#This Row],[Country]],Table4[Long Jump Classification],"&gt;0")</f>
        <v>0</v>
      </c>
      <c r="BP104" s="6">
        <f>COUNTIFS(Table5[Country],Tabela1[[#This Row],[Country]],Table5[Long Jump Classification],"&gt;0")</f>
        <v>0</v>
      </c>
      <c r="BQ104" s="6">
        <f>COUNTIFS(Table4[Country],Tabela1[[#This Row],[Country]],Table4[Pole Vault Classification],"&gt;0")</f>
        <v>0</v>
      </c>
      <c r="BR104" s="6">
        <f>COUNTIFS(Table5[Country],Tabela1[[#This Row],[Country]],Table5[Pole Vault Classification],"&gt;0")</f>
        <v>0</v>
      </c>
      <c r="BS104" s="6">
        <f>COUNTIFS(Table4[Country],Tabela1[[#This Row],[Country]],Table4[Shot Put Classification],"&gt;0")</f>
        <v>0</v>
      </c>
      <c r="BT104" s="6">
        <f>COUNTIFS(Table5[Country],Tabela1[[#This Row],[Country]],Table5[Shot Put Classification],"&gt;0")</f>
        <v>0</v>
      </c>
      <c r="BU104" s="6">
        <f>COUNTIFS(Table4[Country],Tabela1[[#This Row],[Country]],Table4[Triple Jump Classification],"&gt;0")</f>
        <v>0</v>
      </c>
      <c r="BV104" s="6">
        <f>COUNTIFS(Table5[Country],Tabela1[[#This Row],[Country]],Table5[Triple Jump Classification],"&gt;0")</f>
        <v>0</v>
      </c>
      <c r="BW104" s="6">
        <f>COUNTIFS(Table4[Country],Tabela1[[#This Row],[Country]],Table4[Decathlon Classification],"&gt;0")</f>
        <v>0</v>
      </c>
      <c r="BX104" s="6">
        <f>COUNTIFS(Table5[Country],Tabela1[[#This Row],[Country]],Table5[Heptathlon Classification],"&gt;0")</f>
        <v>0</v>
      </c>
      <c r="BY104" s="6">
        <f>COUNTIFS(Table61[Country],Tabela1[[#This Row],[Country]],Table61[Classification],"&gt;0")</f>
        <v>0</v>
      </c>
      <c r="BZ104" s="6">
        <f>COUNTIFS(Table38[Country],Tabela1[[#This Row],[Country]],Table38[Classification],"&gt;0")</f>
        <v>0</v>
      </c>
      <c r="CA104" s="6">
        <f>COUNTIFS(Table39[Country],Tabela1[[#This Row],[Country]],Table39[Men''s Classification],"&gt;0")</f>
        <v>0</v>
      </c>
      <c r="CB104" s="6">
        <f>COUNTIFS(Table39[Country],Tabela1[[#This Row],[Country]],Table39[Women''s Classification],"&gt;0")</f>
        <v>0</v>
      </c>
      <c r="CC104" s="6">
        <f>COUNTIFS(Table39[Country],Tabela1[[#This Row],[Country]],Table39[Mixed Classification],"&gt;0")</f>
        <v>0</v>
      </c>
      <c r="CD104" s="6">
        <f>COUNTIFS(Table89[Country],Tabela1[[#This Row],[Country]],Table89[Men''s Classification],"&gt;0")</f>
        <v>0</v>
      </c>
      <c r="CE104" s="6">
        <f>COUNTIFS(Table89[Country],Tabela1[[#This Row],[Country]],Table89[Women''s Classification],"&gt;0")</f>
        <v>0</v>
      </c>
      <c r="CF104" s="6">
        <f>COUNTIFS(Table90[Country],Tabela1[[#This Row],[Country]],Table90[Men''s Classification],"&gt;0")</f>
        <v>0</v>
      </c>
      <c r="CG104" s="6">
        <f>COUNTIFS(Table90[Country],Tabela1[[#This Row],[Country]],Table90[Women''s Classification],"&gt;0")</f>
        <v>0</v>
      </c>
      <c r="CH104" s="6">
        <f>COUNTIFS(Table60[Country],Tabela1[[#This Row],[Country]],Table60[Men''s Classification],"&gt;0")</f>
        <v>0</v>
      </c>
      <c r="CI104" s="6">
        <f>COUNTIFS(Table60[Country],Tabela1[[#This Row],[Country]],Table60[Women''s Classification],"&gt;0")</f>
        <v>0</v>
      </c>
      <c r="CJ104" s="6">
        <f>COUNTIFS(Table6[Country],Tabela1[[#This Row],[Country]],Table6[51kg Classification],"&gt;0")</f>
        <v>0</v>
      </c>
      <c r="CK104" s="6">
        <f>COUNTIFS(Table6[Country],Tabela1[[#This Row],[Country]],Table6[57kg Classification],"&gt;0")</f>
        <v>0</v>
      </c>
      <c r="CL104" s="6">
        <f>COUNTIFS(Table6[Country],Tabela1[[#This Row],[Country]],Table6[63.5kg Classification],"&gt;0")</f>
        <v>0</v>
      </c>
      <c r="CM104" s="6">
        <f>COUNTIFS(Table6[Country],Tabela1[[#This Row],[Country]],Table6[71kg Classification],"&gt;0")</f>
        <v>0</v>
      </c>
      <c r="CN104" s="6">
        <f>COUNTIFS(Table6[Country],Tabela1[[#This Row],[Country]],Table6[80kg Classification],"&gt;0")</f>
        <v>0</v>
      </c>
      <c r="CO104" s="6">
        <f>COUNTIFS(Table6[Country],Tabela1[[#This Row],[Country]],Table6[92kg Classification],"&gt;0")</f>
        <v>0</v>
      </c>
      <c r="CP104" s="6">
        <f>COUNTIFS(Table6[Country],Tabela1[[#This Row],[Country]],Table6[Plus 92kg Classification],"&gt;0")</f>
        <v>0</v>
      </c>
      <c r="CQ104" s="6">
        <f>COUNTIFS(Table7[Country],Tabela1[[#This Row],[Country]],Table7[50kg Classification],"&gt;0")</f>
        <v>0</v>
      </c>
      <c r="CR104" s="6">
        <f>COUNTIFS(Table7[Country],Tabela1[[#This Row],[Country]],Table7[54kg Classification],"&gt;0")</f>
        <v>0</v>
      </c>
      <c r="CS104" s="6">
        <f>COUNTIFS(Table7[Country],Tabela1[[#This Row],[Country]],Table7[57kg Classification],"&gt;0")</f>
        <v>0</v>
      </c>
      <c r="CT104" s="6">
        <f>COUNTIFS(Table7[Country],Tabela1[[#This Row],[Country]],Table7[60kg Classification],"&gt;0")</f>
        <v>0</v>
      </c>
      <c r="CU104" s="6">
        <f>COUNTIFS(Table7[Country],Tabela1[[#This Row],[Country]],Table7[66kg Classification],"&gt;0")</f>
        <v>0</v>
      </c>
      <c r="CV104" s="6">
        <f>COUNTIFS(Table7[Country],Tabela1[[#This Row],[Country]],Table7[75kg Classification],"&gt;0")</f>
        <v>0</v>
      </c>
      <c r="CW104" s="6">
        <f>COUNTIFS(Tabela94[Country],Tabela1[[#This Row],[Country]],Tabela94[Classification],"&gt;0")</f>
        <v>0</v>
      </c>
      <c r="CX104" s="6">
        <f>COUNTIFS(Tabela9499[Country],Tabela1[[#This Row],[Country]],Tabela9499[Classification],"&gt;0")</f>
        <v>0</v>
      </c>
      <c r="CY104" s="6">
        <f>COUNTIFS(Tabela107[Country],Tabela1[[#This Row],[Country]],Tabela107[C1 Slalom Classification],"&gt;0")</f>
        <v>0</v>
      </c>
      <c r="CZ104" s="6">
        <f>COUNTIFS(Tabela107122[Country],Tabela1[[#This Row],[Country]],Tabela107122[C1 Slalom Classification],"&gt;0")</f>
        <v>0</v>
      </c>
      <c r="DA104" s="6">
        <f>COUNTIFS(Tabela107[Country],Tabela1[[#This Row],[Country]],Tabela107[K1 Slalom Classification],"&gt;0")</f>
        <v>0</v>
      </c>
      <c r="DB104" s="6">
        <f>COUNTIFS(Tabela107122[Country],Tabela1[[#This Row],[Country]],Tabela107122[K1 Slalom Classification],"&gt;0")</f>
        <v>0</v>
      </c>
      <c r="DC104" s="6">
        <f>COUNTIFS(Tabela107[Country],Tabela1[[#This Row],[Country]],Tabela107[Kayak Cross Slalom Classification],"&gt;0")</f>
        <v>0</v>
      </c>
      <c r="DD104" s="6">
        <f>COUNTIFS(Tabela107122[Country],Tabela1[[#This Row],[Country]],Tabela107122[Kayak Cross Slalom Classification],"&gt;0")</f>
        <v>0</v>
      </c>
      <c r="DE104" s="6">
        <f>COUNTIFS(Table8[Country],Tabela1[[#This Row],[Country]],Table8[C1 200m Classification],"&gt;0")</f>
        <v>0</v>
      </c>
      <c r="DF104" s="6">
        <f>COUNTIFS(Table40[Country],Tabela1[[#This Row],[Country]],Table40[C1 1000m Classification],"&gt;0")</f>
        <v>0</v>
      </c>
      <c r="DG104" s="6">
        <f>COUNTIFS(Table68[Country],Tabela1[[#This Row],[Country]],Table68[Men''s C2 500m Classification],"&gt;0")</f>
        <v>0</v>
      </c>
      <c r="DH104" s="6">
        <f>COUNTIFS(Table68[Country],Tabela1[[#This Row],[Country]],Table68[Women''s C2 500m Classification],"&gt;0")</f>
        <v>0</v>
      </c>
      <c r="DI104" s="6">
        <f>COUNTIFS(Table8[Country],Tabela1[[#This Row],[Country]],Table8[K1 500m Classification],"&gt;0")</f>
        <v>0</v>
      </c>
      <c r="DJ104" s="6">
        <f>COUNTIFS(Table40[Country],Tabela1[[#This Row],[Country]],Table40[K1 1000m Classification],"&gt;0")</f>
        <v>0</v>
      </c>
      <c r="DK104" s="6">
        <f>COUNTIFS(Table68[Country],Tabela1[[#This Row],[Country]],Table68[Men''s K2 500m Classification],"&gt;0")</f>
        <v>0</v>
      </c>
      <c r="DL104" s="6">
        <f>COUNTIFS(Table68[Country],Tabela1[[#This Row],[Country]],Table68[Women''s K2 500m Classification],"&gt;0")</f>
        <v>0</v>
      </c>
      <c r="DM104" s="6">
        <f>COUNTIFS(Table83[Country],Tabela1[[#This Row],[Country]],Table83[Men''s K4 500m Classification],"&gt;0")</f>
        <v>0</v>
      </c>
      <c r="DN104" s="6">
        <f>COUNTIFS(Table83[Country],Tabela1[[#This Row],[Country]],Table83[Women''s K4 500m Classification],"&gt;0")</f>
        <v>0</v>
      </c>
      <c r="DO104" s="6">
        <f>COUNTIFS(Tabela126[Country],Tabela1[[#This Row],[Country]],Tabela126[Classification],"&gt;0")</f>
        <v>0</v>
      </c>
      <c r="DP104" s="6">
        <f>COUNTIFS(Tabela126130[Country],Tabela1[[#This Row],[Country]],Tabela126130[Classification],"&gt;0")</f>
        <v>0</v>
      </c>
      <c r="DQ104" s="6">
        <f>COUNTIFS(Table70[Country],Tabela1[[#This Row],[Country]],Table70[Classification],"&gt;0")</f>
        <v>0</v>
      </c>
      <c r="DR104" s="6">
        <f>COUNTIFS(Table80[Country],Tabela1[[#This Row],[Country]],Table80[Classification],"&gt;0")</f>
        <v>0</v>
      </c>
      <c r="DS104" s="6">
        <f>COUNTIFS(Table66[Country],Tabela1[[#This Row],[Country]],Table66[Classification],"&gt;0")</f>
        <v>0</v>
      </c>
      <c r="DT104" s="6">
        <f>COUNTIFS(Table67[Country],Tabela1[[#This Row],[Country]],Table67[Classification],"&gt;0")</f>
        <v>0</v>
      </c>
      <c r="DU104" s="6">
        <f>COUNTIFS(Table69[Country],Tabela1[[#This Row],[Country]],Table69[Keirin Classification],"&gt;0")</f>
        <v>0</v>
      </c>
      <c r="DV104" s="6">
        <f>COUNTIFS(Table41[Country],Tabela1[[#This Row],[Country]],Table41[Keirin Classification],"&gt;0")</f>
        <v>0</v>
      </c>
      <c r="DW104" s="6">
        <f>COUNTIFS(Table84[Country],Tabela1[[#This Row],[Country]],Table84[Men''s Madison Classification],"&gt;0")</f>
        <v>0</v>
      </c>
      <c r="DX104" s="6">
        <f>COUNTIFS(Table84[Country],Tabela1[[#This Row],[Country]],Table84[Women''s Madison Classification],"&gt;0")</f>
        <v>0</v>
      </c>
      <c r="DY104" s="6">
        <f>COUNTIFS(Table69[Country],Tabela1[[#This Row],[Country]],Table69[Omnium Classification],"&gt;0")</f>
        <v>0</v>
      </c>
      <c r="DZ104" s="6">
        <f>COUNTIFS(Table41[Country],Tabela1[[#This Row],[Country]],Table41[Omnium Classification],"&gt;0")</f>
        <v>0</v>
      </c>
      <c r="EA104" s="6">
        <f>COUNTIFS(Table9[Country],Tabela1[[#This Row],[Country]],Table9[Road Race Classification],"&gt;0")</f>
        <v>0</v>
      </c>
      <c r="EB104" s="6">
        <f>COUNTIFS(Table14[Country],Tabela1[[#This Row],[Country]],Table14[Road Race Classification],"&gt;0")</f>
        <v>0</v>
      </c>
      <c r="EC104" s="6">
        <f>COUNTIFS(Table69[Country],Tabela1[[#This Row],[Country]],Table69[Sprint Classification],"&gt;0")</f>
        <v>0</v>
      </c>
      <c r="ED104" s="6">
        <f>COUNTIFS(Table41[Country],Tabela1[[#This Row],[Country]],Table41[Sprint Classification],"&gt;0")</f>
        <v>0</v>
      </c>
      <c r="EE104" s="6">
        <f>COUNTIFS(Table85[Country],Tabela1[[#This Row],[Country]],Table85[Men''s Sprint Classification],"&gt;0")</f>
        <v>0</v>
      </c>
      <c r="EF104" s="6">
        <f>COUNTIFS(Table85[Country],Tabela1[[#This Row],[Country]],Table85[Women''s Sprint Classification],"&gt;0")</f>
        <v>0</v>
      </c>
      <c r="EG104" s="6">
        <f>COUNTIFS(Table85[Country],Tabela1[[#This Row],[Country]],Table85[Men''s Pursuit Classification],"&gt;0")</f>
        <v>0</v>
      </c>
      <c r="EH104" s="6">
        <f>COUNTIFS(Table85[Country],Tabela1[[#This Row],[Country]],Table85[Women''s Pursuit Classification],"&gt;0")</f>
        <v>0</v>
      </c>
      <c r="EI104" s="6">
        <f>COUNTIFS(Table9[Country],Tabela1[[#This Row],[Country]],Table9[Time-Trial Classification],"&gt;0")</f>
        <v>0</v>
      </c>
      <c r="EJ104" s="6">
        <f>COUNTIFS(Table14[Country],Tabela1[[#This Row],[Country]],Table14[Time-Trial Classification],"&gt;0")</f>
        <v>0</v>
      </c>
      <c r="EK104" s="6">
        <f>COUNTIFS(Table42[Country],Tabela1[[#This Row],[Country]],Table42[Springboard Classification],"&gt;0")</f>
        <v>0</v>
      </c>
      <c r="EL104" s="6">
        <f>COUNTIFS(Table43[Country],Tabela1[[#This Row],[Country]],Table43[Springboard Classification],"&gt;0")</f>
        <v>0</v>
      </c>
      <c r="EM104" s="6">
        <f>COUNTIFS(Table42[Country],Tabela1[[#This Row],[Country]],Table42[Platform Classification],"&gt;0")</f>
        <v>0</v>
      </c>
      <c r="EN104" s="6">
        <f>COUNTIFS(Table43[Country],Tabela1[[#This Row],[Country]],Table43[Platform Classification],"&gt;0")</f>
        <v>0</v>
      </c>
      <c r="EO104" s="6">
        <f>COUNTIFS(Table86[Country],Tabela1[[#This Row],[Country]],Table86[Men''s Synchronized Springboard Classification],"&gt;0")</f>
        <v>0</v>
      </c>
      <c r="EP104" s="6">
        <f>COUNTIFS(Table86[Country],Tabela1[[#This Row],[Country]],Table86[Women''s Synchronized Springboard Classification],"&gt;0")</f>
        <v>0</v>
      </c>
      <c r="EQ104" s="6">
        <f>COUNTIFS(Table86[Country],Tabela1[[#This Row],[Country]],Table86[Men''s Synchronized Platform Classification],"&gt;0")</f>
        <v>0</v>
      </c>
      <c r="ER104" s="6">
        <f>COUNTIFS(Table86[Country],Tabela1[[#This Row],[Country]],Table86[Women''s Synchronized Platform Classification],"&gt;0")</f>
        <v>0</v>
      </c>
      <c r="ES104" s="6">
        <f>COUNTIFS(Table44[Country],Tabela1[[#This Row],[Country]],Table44[Dressage Classification],"&gt;0")</f>
        <v>0</v>
      </c>
      <c r="ET104" s="6">
        <f>COUNTIFS(Table45[Country],Tabela1[[#This Row],[Country]],Table45[Dressage Classification],"&gt;0")</f>
        <v>0</v>
      </c>
      <c r="EU104" s="6">
        <f>COUNTIFS(Table44[Country],Tabela1[[#This Row],[Country]],Table44[Eventing Classification],"&gt;0")</f>
        <v>0</v>
      </c>
      <c r="EV104" s="6">
        <f>COUNTIFS(Table45[Country],Tabela1[[#This Row],[Country]],Table45[Eventing Classification],"&gt;0")</f>
        <v>0</v>
      </c>
      <c r="EW104" s="6">
        <f>COUNTIFS(Table44[Country],Tabela1[[#This Row],[Country]],Table44[Jumping Classification],"&gt;0")</f>
        <v>0</v>
      </c>
      <c r="EX104" s="6">
        <f>COUNTIFS(Table45[Country],Tabela1[[#This Row],[Country]],Table45[Jumping Classification],"&gt;0")</f>
        <v>0</v>
      </c>
      <c r="EY104" s="6">
        <f>COUNTIFS(Table10[Country],Tabela1[[#This Row],[Country]],Table10[Épée Classification],"&gt;0")</f>
        <v>0</v>
      </c>
      <c r="EZ104" s="6">
        <f>COUNTIFS(Table11[Country],Tabela1[[#This Row],[Country]],Table11[Épée Classification],"&gt;0")</f>
        <v>0</v>
      </c>
      <c r="FA104" s="6">
        <f>COUNTIFS(Table46[Country],Tabela1[[#This Row],[Country]],Table46[Men''s Épée Classification],"&gt;0")</f>
        <v>0</v>
      </c>
      <c r="FB104" s="6">
        <f>COUNTIFS(Table46[Country],Tabela1[[#This Row],[Country]],Table46[Women''s Épée Classification],"&gt;0")</f>
        <v>0</v>
      </c>
      <c r="FC104" s="6">
        <f>COUNTIFS(Table10[Country],Tabela1[[#This Row],[Country]],Table10[Foil Classification],"&gt;0")</f>
        <v>0</v>
      </c>
      <c r="FD104" s="6">
        <f>COUNTIFS(Table11[Country],Tabela1[[#This Row],[Country]],Table11[Foil Classification],"&gt;0")</f>
        <v>0</v>
      </c>
      <c r="FE104" s="6">
        <f>COUNTIFS(Table46[Country],Tabela1[[#This Row],[Country]],Table46[Men''s Foil Classification],"&gt;0")</f>
        <v>0</v>
      </c>
      <c r="FF104" s="6">
        <f>COUNTIFS(Table46[Country],Tabela1[[#This Row],[Country]],Table46[Women''s Foil Classification],"&gt;0")</f>
        <v>0</v>
      </c>
      <c r="FG104" s="6">
        <f>COUNTIFS(Table10[Country],Tabela1[[#This Row],[Country]],Table10[Sabre Classification],"&gt;0")</f>
        <v>0</v>
      </c>
      <c r="FH104" s="6">
        <f>COUNTIFS(Table11[Country],Tabela1[[#This Row],[Country]],Table11[Sabre Classification],"&gt;0")</f>
        <v>0</v>
      </c>
      <c r="FI104" s="6">
        <f>COUNTIFS(Table46[Country],Tabela1[[#This Row],[Country]],Table46[Men''s Sabre Classification],"&gt;0")</f>
        <v>0</v>
      </c>
      <c r="FJ104" s="6">
        <f>COUNTIFS(Table46[Country],Tabela1[[#This Row],[Country]],Table46[Women''s Sabre Classification],"&gt;0")</f>
        <v>0</v>
      </c>
      <c r="FK104" s="6">
        <f>COUNTIFS(Table91[Country],Tabela1[[#This Row],[Country]],Table91[Men''s Classification],"&gt;0")</f>
        <v>0</v>
      </c>
      <c r="FL104" s="6">
        <f>COUNTIFS(Table91[Country],Tabela1[[#This Row],[Country]],Table91[Women''s Classification],"&gt;0")</f>
        <v>0</v>
      </c>
      <c r="FM104" s="6">
        <f>COUNTIFS(Table9194[Country],Tabela1[[#This Row],[Country]],Table9194[Men''s Classification],"&gt;0")</f>
        <v>0</v>
      </c>
      <c r="FN104" s="6">
        <f>COUNTIFS(Table9194[Country],Tabela1[[#This Row],[Country]],Table9194[Women''s Classification],"&gt;0")</f>
        <v>0</v>
      </c>
      <c r="FO104" s="6">
        <f>COUNTIFS(Table71[Country],Tabela1[[#This Row],[Country]],Table71[Classification],"&gt;0")</f>
        <v>0</v>
      </c>
      <c r="FP104" s="6">
        <f>COUNTIFS(Table62[Country],Tabela1[[#This Row],[Country]],Table62[Classification],"&gt;0")</f>
        <v>0</v>
      </c>
      <c r="FQ104" s="6">
        <f>COUNTIFS(Table47[Country],Tabela1[[#This Row],[Country]],Table47[All-Around Classification],"&gt;0")</f>
        <v>0</v>
      </c>
      <c r="FR104" s="6">
        <f>COUNTIFS(Table48[Country],Tabela1[[#This Row],[Country]],Table48[All-Around Classification],"&gt;0")</f>
        <v>0</v>
      </c>
      <c r="FS104" s="6">
        <f>COUNTIFS(Table81[Country],Tabela1[[#This Row],[Country]],Table81[Men''s All-Around Classification],"&gt;0")</f>
        <v>0</v>
      </c>
      <c r="FT104" s="6">
        <f>COUNTIFS(Table81[Country],Tabela1[[#This Row],[Country]],Table81[Women''s All-Around Classification],"&gt;0")</f>
        <v>0</v>
      </c>
      <c r="FU104" s="6">
        <f>COUNTIFS(Table48[Country],Tabela1[[#This Row],[Country]],Table48[Balance Beam Classification],"&gt;0")</f>
        <v>0</v>
      </c>
      <c r="FV104" s="6">
        <f>COUNTIFS(Table47[Country],Tabela1[[#This Row],[Country]],Table47[Floor Exercise Classification],"&gt;0")</f>
        <v>0</v>
      </c>
      <c r="FW104" s="6">
        <f>COUNTIFS(Table48[Country],Tabela1[[#This Row],[Country]],Table48[Floor Exercise Classification],"&gt;0")</f>
        <v>0</v>
      </c>
      <c r="FX104" s="6">
        <f>COUNTIFS(Table47[Country],Tabela1[[#This Row],[Country]],Table47[Horizontal Bar Classification],"&gt;0")</f>
        <v>0</v>
      </c>
      <c r="FY104" s="6">
        <f>COUNTIFS(Table47[Country],Tabela1[[#This Row],[Country]],Table47[Parallel Bars Classification],"&gt;0")</f>
        <v>0</v>
      </c>
      <c r="FZ104" s="6">
        <f>COUNTIFS(Table47[Country],Tabela1[[#This Row],[Country]],Table47[Pommel Horse Classification],"&gt;0")</f>
        <v>0</v>
      </c>
      <c r="GA104" s="6">
        <f>COUNTIFS(Table47[Country],Tabela1[[#This Row],[Country]],Table47[Rings Classification],"&gt;0")</f>
        <v>0</v>
      </c>
      <c r="GB104" s="6">
        <f>COUNTIFS(Tabela132[Country],Tabela1[[#This Row],[Country]],Tabela132[Classification],"&gt;0")</f>
        <v>0</v>
      </c>
      <c r="GC104" s="6">
        <f>COUNTIFS(Tabela139[Country],Tabela1[[#This Row],[Country]],Tabela139[Classification],"&gt;0")</f>
        <v>0</v>
      </c>
      <c r="GD104" s="6">
        <f>COUNTIFS(Table48[Country],Tabela1[[#This Row],[Country]],Table48[Uneven Bars Classification],"&gt;0")</f>
        <v>0</v>
      </c>
      <c r="GE104" s="6">
        <f>COUNTIFS(Table47[Country],Tabela1[[#This Row],[Country]],Table47[Vault Classification],"&gt;0")</f>
        <v>0</v>
      </c>
      <c r="GF104" s="6">
        <f>COUNTIFS(Table48[Country],Tabela1[[#This Row],[Country]],Table48[Vault Classification],"&gt;0")</f>
        <v>0</v>
      </c>
      <c r="GG104" s="6">
        <f>COUNTIFS(Table919496[Country],Tabela1[[#This Row],[Country]],Table919496[Men''s Classification],"&gt;0")</f>
        <v>0</v>
      </c>
      <c r="GH104" s="6">
        <f>COUNTIFS(Table919496[Country],Tabela1[[#This Row],[Country]],Table919496[Women''s Classification],"&gt;0")</f>
        <v>0</v>
      </c>
      <c r="GI104" s="6">
        <f>COUNTIFS(Table12[Country],Tabela1[[#This Row],[Country]],Table12[60kg Classification],"&gt;0")</f>
        <v>0</v>
      </c>
      <c r="GJ104" s="6">
        <f>COUNTIFS(Table12[Country],Tabela1[[#This Row],[Country]],Table12[66kg Classification],"&gt;0")</f>
        <v>0</v>
      </c>
      <c r="GK104" s="6">
        <f>COUNTIFS(Table12[Country],Tabela1[[#This Row],[Country]],Table12[73kg Classification],"&gt;0")</f>
        <v>0</v>
      </c>
      <c r="GL104" s="6">
        <f>COUNTIFS(Table12[Country],Tabela1[[#This Row],[Country]],Table12[81kg Classification],"&gt;0")</f>
        <v>0</v>
      </c>
      <c r="GM104" s="6">
        <f>COUNTIFS(Table12[Country],Tabela1[[#This Row],[Country]],Table12[90kg Classification],"&gt;0")</f>
        <v>0</v>
      </c>
      <c r="GN104" s="6">
        <f>COUNTIFS(Table12[Country],Tabela1[[#This Row],[Country]],Table12[100kg Classification],"&gt;0")</f>
        <v>0</v>
      </c>
      <c r="GO104" s="6">
        <f>COUNTIFS(Table12[Country],Tabela1[[#This Row],[Country]],Table12[Plus 100kg Classification],"&gt;0")</f>
        <v>0</v>
      </c>
      <c r="GP104" s="6">
        <f>COUNTIFS(Table13[Country],Tabela1[[#This Row],[Country]],Table13[48kg Classification],"&gt;0")</f>
        <v>0</v>
      </c>
      <c r="GQ104" s="6">
        <f>COUNTIFS(Table13[Country],Tabela1[[#This Row],[Country]],Table13[52kg Classification],"&gt;0")</f>
        <v>0</v>
      </c>
      <c r="GR104" s="6">
        <f>COUNTIFS(Table13[Country],Tabela1[[#This Row],[Country]],Table13[57kg Classification],"&gt;0")</f>
        <v>0</v>
      </c>
      <c r="GS104" s="6">
        <f>COUNTIFS(Table13[Country],Tabela1[[#This Row],[Country]],Table13[63kg Classification],"&gt;0")</f>
        <v>0</v>
      </c>
      <c r="GT104" s="6">
        <f>COUNTIFS(Table13[Country],Tabela1[[#This Row],[Country]],Table13[70kg Classification],"&gt;0")</f>
        <v>0</v>
      </c>
      <c r="GU104" s="6">
        <f>COUNTIFS(Table13[Country],Tabela1[[#This Row],[Country]],Table13[78kg Classification],"&gt;0")</f>
        <v>0</v>
      </c>
      <c r="GV104" s="6">
        <f>COUNTIFS(Table13[Country],Tabela1[[#This Row],[Country]],Table13[Plus 78kg Classification],"&gt;0")</f>
        <v>0</v>
      </c>
      <c r="GW104" s="6">
        <f>COUNTIFS(Table82[Country],Tabela1[[#This Row],[Country]],Table82[Mixed Classification],"&gt;0")</f>
        <v>0</v>
      </c>
      <c r="GX104" s="6">
        <f>COUNTIFS(Table51[Country],Tabela1[[#This Row],[Country]],Table51[Classification],"&gt;0")</f>
        <v>0</v>
      </c>
      <c r="GY104" s="6">
        <f>COUNTIFS(Table52[Country],Tabela1[[#This Row],[Country]],Table52[Classification],"&gt;0")</f>
        <v>0</v>
      </c>
      <c r="GZ104" s="6">
        <f>COUNTIFS(Table32[Country],Tabela1[[#This Row],[Country]],Table32[All-Around Classification],"&gt;0")</f>
        <v>0</v>
      </c>
      <c r="HA104" s="6">
        <f>COUNTIFS(Table49[Country],Tabela1[[#This Row],[Country]],Table49[All-Around Classification],"&gt;0")</f>
        <v>0</v>
      </c>
      <c r="HB104" s="6">
        <f>COUNTIFS(Table26[Country],Tabela1[[#This Row],[Country]],Table26[Single Sculls Classification],"&gt;0")</f>
        <v>0</v>
      </c>
      <c r="HC104" s="6">
        <f>COUNTIFS(Table63[Country],Tabela1[[#This Row],[Country]],Table63[Single Sculls Classification],"&gt;0")</f>
        <v>0</v>
      </c>
      <c r="HD104" s="6">
        <f>COUNTIFS(Table16[Country],Tabela1[[#This Row],[Country]],Table16[Men''s Double Sculls Classification],"&gt;0")</f>
        <v>0</v>
      </c>
      <c r="HE104" s="6">
        <f>COUNTIFS(Table16[Country],Tabela1[[#This Row],[Country]],Table16[Women''s Double Sculls Classification],"&gt;0")</f>
        <v>0</v>
      </c>
      <c r="HF104" s="6">
        <f>COUNTIFS(Table72[Country],Tabela1[[#This Row],[Country]],Table72[Men''s Quadruple Sculls Classification],"&gt;0")</f>
        <v>0</v>
      </c>
      <c r="HG104" s="6">
        <f>COUNTIFS(Table72[Country],Tabela1[[#This Row],[Country]],Table72[Women''s Quadruple Sculls Classification],"&gt;0")</f>
        <v>0</v>
      </c>
      <c r="HH104" s="6">
        <f>COUNTIFS(Table16[Country],Tabela1[[#This Row],[Country]],Table16[Men''s Coxless Pairs Classification],"&gt;0")</f>
        <v>0</v>
      </c>
      <c r="HI104" s="6">
        <f>COUNTIFS(Table16[Country],Tabela1[[#This Row],[Country]],Table16[Women''s Coxless Pairs Classification],"&gt;0")</f>
        <v>0</v>
      </c>
      <c r="HJ104" s="6">
        <f>COUNTIFS(Table72[Country],Tabela1[[#This Row],[Country]],Table72[Men''s Coxless Fours Classification],"&gt;0")</f>
        <v>0</v>
      </c>
      <c r="HK104" s="6">
        <f>COUNTIFS(Table72[Country],Tabela1[[#This Row],[Country]],Table72[Women''s Coxless Fours Classification],"&gt;0")</f>
        <v>0</v>
      </c>
      <c r="HL104" s="6">
        <f>COUNTIFS(Table72[Country],Tabela1[[#This Row],[Country]],Table72[Men''s Eights Classification],"&gt;0")</f>
        <v>0</v>
      </c>
      <c r="HM104" s="6">
        <f>COUNTIFS(Table72[Country],Tabela1[[#This Row],[Country]],Table72[Women''s Eights Classification],"&gt;0")</f>
        <v>0</v>
      </c>
      <c r="HN104" s="6">
        <f>COUNTIFS(Table16[Country],Tabela1[[#This Row],[Country]],Table16[Men''s Lwt. Double Sculls Classification],"&gt;0")</f>
        <v>0</v>
      </c>
      <c r="HO104" s="6">
        <f>COUNTIFS(Table16[Country],Tabela1[[#This Row],[Country]],Table16[Women''s Lwt. Double Sculls Classification],"&gt;0")</f>
        <v>0</v>
      </c>
      <c r="HP104" s="6">
        <f>COUNTIFS(Table91949698[Country],Tabela1[[#This Row],[Country]],Table91949698[Men''s Classification],"&gt;0")</f>
        <v>0</v>
      </c>
      <c r="HQ104" s="6">
        <f>COUNTIFS(Table91949698[Country],Tabela1[[#This Row],[Country]],Table91949698[Women''s Classification],"&gt;0")</f>
        <v>0</v>
      </c>
      <c r="HR104" s="6">
        <f>COUNTIFS(Table25[Country],Tabela1[[#This Row],[Country]],Table25[Mixed 470 Classification],"&gt;0")</f>
        <v>0</v>
      </c>
      <c r="HS104" s="6">
        <f>COUNTIFS(Table25[Country],Tabela1[[#This Row],[Country]],Table25[Men''s 49er Classification],"&gt;0")</f>
        <v>0</v>
      </c>
      <c r="HT104" s="6">
        <f>COUNTIFS(Table25[Country],Tabela1[[#This Row],[Country]],Table25[Women''s 49er FX Classification],"&gt;0")</f>
        <v>0</v>
      </c>
      <c r="HU104" s="6">
        <f>COUNTIFS(Table17[Country],Tabela1[[#This Row],[Country]],Table17[Formula Kite Classification],"&gt;0")</f>
        <v>0</v>
      </c>
      <c r="HV104" s="6">
        <f>COUNTIFS(Table18[Country],Tabela1[[#This Row],[Country]],Table18[Formula Kite Classification],"&gt;0")</f>
        <v>0</v>
      </c>
      <c r="HW104" s="6">
        <f>COUNTIFS(Table17[Country],Tabela1[[#This Row],[Country]],Table17[ILCA 7 Classification],"&gt;0")</f>
        <v>1</v>
      </c>
      <c r="HX104" s="6">
        <f>COUNTIFS(Table18[Country],Tabela1[[#This Row],[Country]],Table18[ILCA 6 Classification],"&gt;0")</f>
        <v>0</v>
      </c>
      <c r="HY104" s="6">
        <f>COUNTIFS(Table17[Country],Tabela1[[#This Row],[Country]],Table17[IQFoil Classification],"&gt;0")</f>
        <v>0</v>
      </c>
      <c r="HZ104" s="6">
        <f>COUNTIFS(Table18[Country],Tabela1[[#This Row],[Country]],Table18[IQFoil Classification],"&gt;0")</f>
        <v>0</v>
      </c>
      <c r="IA104" s="6">
        <f>COUNTIFS(Table25[Country],Tabela1[[#This Row],[Country]],Table25[Mixed Nacra 17 Classification],"&gt;0")</f>
        <v>0</v>
      </c>
      <c r="IB104" s="6">
        <f>COUNTIFS(Table53[Country],Tabela1[[#This Row],[Country]],Table53[10m Air Pistol Classification],"&gt;0")</f>
        <v>0</v>
      </c>
      <c r="IC104" s="6">
        <f>COUNTIFS(Table19[Country],Tabela1[[#This Row],[Country]],Table19[10m Air Pistol Classification],"&gt;0")</f>
        <v>0</v>
      </c>
      <c r="ID104" s="6">
        <f>COUNTIFS(Table54[Country],Tabela1[[#This Row],[Country]],Table54[Mixed 10m Air Pistol Team Classification],"&gt;0")</f>
        <v>0</v>
      </c>
      <c r="IE104" s="6">
        <f>COUNTIFS(Table53[Country],Tabela1[[#This Row],[Country]],Table53[10m Air Rifle Classification],"&gt;0")</f>
        <v>0</v>
      </c>
      <c r="IF104" s="6">
        <f>COUNTIFS(Table19[Country],Tabela1[[#This Row],[Country]],Table19[10m Air Rifle Classification],"&gt;0")</f>
        <v>0</v>
      </c>
      <c r="IG104" s="6">
        <f>COUNTIFS(Table54[Country],Tabela1[[#This Row],[Country]],Table54[Mixed 10m Air Rifle Team Classification],"&gt;0")</f>
        <v>0</v>
      </c>
      <c r="IH104" s="6">
        <f>COUNTIFS(Table53[Country],Tabela1[[#This Row],[Country]],Table53[25m Rapid Fire Pistol Classification],"&gt;0")</f>
        <v>0</v>
      </c>
      <c r="II104" s="6">
        <f>COUNTIFS(Table19[Country],Tabela1[[#This Row],[Country]],Table19[25m Pistol Classification],"&gt;0")</f>
        <v>0</v>
      </c>
      <c r="IJ104" s="6">
        <f>COUNTIFS(Table53[Country],Tabela1[[#This Row],[Country]],Table53[50m Rifle 3 Positions Classification],"&gt;0")</f>
        <v>0</v>
      </c>
      <c r="IK104" s="6">
        <f>COUNTIFS(Table19[Country],Tabela1[[#This Row],[Country]],Table19[50m Rifle 3 Positions Classification],"&gt;0")</f>
        <v>0</v>
      </c>
      <c r="IL104" s="6">
        <f>COUNTIFS(Table53[Country],Tabela1[[#This Row],[Country]],Table53[Skeet Classification],"&gt;0")</f>
        <v>0</v>
      </c>
      <c r="IM104" s="6">
        <f>COUNTIFS(Table19[Country],Tabela1[[#This Row],[Country]],Table19[Skeet Classification],"&gt;0")</f>
        <v>0</v>
      </c>
      <c r="IN104" s="6">
        <f>COUNTIFS(Table54[Country],Tabela1[[#This Row],[Country]],Table54[Mixed Skeet Team Classification],"&gt;0")</f>
        <v>0</v>
      </c>
      <c r="IO104" s="6">
        <f>COUNTIFS(Table53[Country],Tabela1[[#This Row],[Country]],Table53[Trap Classification],"&gt;0")</f>
        <v>0</v>
      </c>
      <c r="IP104" s="6">
        <f>COUNTIFS(Table19[Country],Tabela1[[#This Row],[Country]],Table19[Trap Classification],"&gt;0")</f>
        <v>0</v>
      </c>
      <c r="IQ104" s="6">
        <f>COUNTIFS(Table73[Country],Tabela1[[#This Row],[Country]],Table73[Park Classification],"&gt;0")</f>
        <v>0</v>
      </c>
      <c r="IR104" s="6">
        <f>COUNTIFS(Table74[Country],Tabela1[[#This Row],[Country]],Table74[Park Classification],"&gt;0")</f>
        <v>0</v>
      </c>
      <c r="IS104" s="6">
        <f>COUNTIFS(Table73[Country],Tabela1[[#This Row],[Country]],Table73[Street Classification],"&gt;0")</f>
        <v>0</v>
      </c>
      <c r="IT104" s="6">
        <f>COUNTIFS(Table74[Country],Tabela1[[#This Row],[Country]],Table74[Street Classification],"&gt;0")</f>
        <v>0</v>
      </c>
      <c r="IU104" s="6">
        <f>COUNTIFS(Table75[Country],Tabela1[[#This Row],[Country]],Table75[Boulder and Lead Classification],"&gt;0")</f>
        <v>0</v>
      </c>
      <c r="IV104" s="6">
        <f>COUNTIFS(Table76[Country],Tabela1[[#This Row],[Country]],Table76[Boulder and Lead Classification],"&gt;0")</f>
        <v>0</v>
      </c>
      <c r="IW104" s="6">
        <f>COUNTIFS(Table75[Country],Tabela1[[#This Row],[Country]],Table75[Speed Classification],"&gt;0")</f>
        <v>0</v>
      </c>
      <c r="IX104" s="6">
        <f>COUNTIFS(Table76[Country],Tabela1[[#This Row],[Country]],Table76[Speed Classification],"&gt;0")</f>
        <v>0</v>
      </c>
      <c r="IY104" s="6">
        <f>COUNTIFS(Table64[Country],Tabela1[[#This Row],[Country]],Table64[Shortboard Classification],"&gt;0")</f>
        <v>0</v>
      </c>
      <c r="IZ104" s="6">
        <f>COUNTIFS(Table77[Country],Tabela1[[#This Row],[Country]],Table77[Shortboard Classification],"&gt;0")</f>
        <v>0</v>
      </c>
      <c r="JA104" s="6">
        <f>COUNTIFS(Table20[Country],Tabela1[[#This Row],[Country]],Table20[50m Freestyle Classification],"&gt;0")</f>
        <v>0</v>
      </c>
      <c r="JB104" s="6">
        <f>COUNTIFS(Table21[Country],Tabela1[[#This Row],[Country]],Table21[50m Freestyle Classification],"&gt;0")</f>
        <v>0</v>
      </c>
      <c r="JC104" s="6">
        <f>COUNTIFS(Table20[Country],Tabela1[[#This Row],[Country]],Table20[100m Freestyle Classification],"&gt;0")</f>
        <v>0</v>
      </c>
      <c r="JD104" s="6">
        <f>COUNTIFS(Table21[Country],Tabela1[[#This Row],[Country]],Table21[100m Freestyle Classification],"&gt;0")</f>
        <v>0</v>
      </c>
      <c r="JE104" s="6">
        <f>COUNTIFS(Table20[Country],Tabela1[[#This Row],[Country]],Table20[200m Freestyle Classification],"&gt;0")</f>
        <v>0</v>
      </c>
      <c r="JF104" s="6">
        <f>COUNTIFS(Table21[Country],Tabela1[[#This Row],[Country]],Table21[200m Freestyle Classification],"&gt;0")</f>
        <v>0</v>
      </c>
      <c r="JG104" s="6">
        <f>COUNTIFS(Table20[Country],Tabela1[[#This Row],[Country]],Table20[400m Freestyle Classification],"&gt;0")</f>
        <v>0</v>
      </c>
      <c r="JH104" s="6">
        <f>COUNTIFS(Table21[Country],Tabela1[[#This Row],[Country]],Table21[400m Freestyle Classification],"&gt;0")</f>
        <v>0</v>
      </c>
      <c r="JI104" s="6">
        <f>COUNTIFS(Table20[Country],Tabela1[[#This Row],[Country]],Table20[800m Freestyle Classification],"&gt;0")</f>
        <v>0</v>
      </c>
      <c r="JJ104" s="6">
        <f>COUNTIFS(Table21[Country],Tabela1[[#This Row],[Country]],Table21[800m Freestyle Classification],"&gt;0")</f>
        <v>0</v>
      </c>
      <c r="JK104" s="6">
        <f>COUNTIFS(Table20[Country],Tabela1[[#This Row],[Country]],Table20[1500m Freestyle Classification],"&gt;0")</f>
        <v>0</v>
      </c>
      <c r="JL104" s="6">
        <f>COUNTIFS(Table21[Country],Tabela1[[#This Row],[Country]],Table21[1500m Freestyle Classification],"&gt;0")</f>
        <v>0</v>
      </c>
      <c r="JM104" s="6">
        <f>COUNTIFS(Table20[Country],Tabela1[[#This Row],[Country]],Table20[100m Backstroke Classification],"&gt;0")</f>
        <v>0</v>
      </c>
      <c r="JN104" s="6">
        <f>COUNTIFS(Table21[Country],Tabela1[[#This Row],[Country]],Table21[100m Backstroke Classification],"&gt;0")</f>
        <v>0</v>
      </c>
      <c r="JO104" s="6">
        <f>COUNTIFS(Table20[Country],Tabela1[[#This Row],[Country]],Table20[200m Backstroke Classification],"&gt;0")</f>
        <v>0</v>
      </c>
      <c r="JP104" s="6">
        <f>COUNTIFS(Table21[Country],Tabela1[[#This Row],[Country]],Table21[200m Backstroke Classification],"&gt;0")</f>
        <v>0</v>
      </c>
      <c r="JQ104" s="6">
        <f>COUNTIFS(Table20[Country],Tabela1[[#This Row],[Country]],Table20[100m Breaststroke Classification],"&gt;0")</f>
        <v>0</v>
      </c>
      <c r="JR104" s="6">
        <f>COUNTIFS(Table21[Country],Tabela1[[#This Row],[Country]],Table21[100m Breaststroke Classification],"&gt;0")</f>
        <v>0</v>
      </c>
      <c r="JS104" s="6">
        <f>COUNTIFS(Table20[Country],Tabela1[[#This Row],[Country]],Table20[200m Breaststroke Classification],"&gt;0")</f>
        <v>0</v>
      </c>
      <c r="JT104" s="6">
        <f>COUNTIFS(Table21[Country],Tabela1[[#This Row],[Country]],Table21[200m Breaststroke Classification],"&gt;0")</f>
        <v>0</v>
      </c>
      <c r="JU104" s="6">
        <f>COUNTIFS(Table20[Country],Tabela1[[#This Row],[Country]],Table20[100m Butterfly Classification],"&gt;0")</f>
        <v>0</v>
      </c>
      <c r="JV104" s="6">
        <f>COUNTIFS(Table21[Country],Tabela1[[#This Row],[Country]],Table21[100m Butterfly Classification],"&gt;0")</f>
        <v>0</v>
      </c>
      <c r="JW104" s="6">
        <f>COUNTIFS(Table20[Country],Tabela1[[#This Row],[Country]],Table20[200m Butterfly Classification],"&gt;0")</f>
        <v>0</v>
      </c>
      <c r="JX104" s="6">
        <f>COUNTIFS(Table21[Country],Tabela1[[#This Row],[Country]],Table21[200m Butterfly Classification],"&gt;0")</f>
        <v>0</v>
      </c>
      <c r="JY104" s="6">
        <f>COUNTIFS(Table20[Country],Tabela1[[#This Row],[Country]],Table20[200m Medley Classification],"&gt;0")</f>
        <v>0</v>
      </c>
      <c r="JZ104" s="6">
        <f>COUNTIFS(Table21[Country],Tabela1[[#This Row],[Country]],Table21[200m Medley Classification],"&gt;0")</f>
        <v>0</v>
      </c>
      <c r="KA104" s="6">
        <f>COUNTIFS(Table20[Country],Tabela1[[#This Row],[Country]],Table20[400m Medley Classification],"&gt;0")</f>
        <v>0</v>
      </c>
      <c r="KB104" s="6">
        <f>COUNTIFS(Table21[Country],Tabela1[[#This Row],[Country]],Table21[400m Medley Classification],"&gt;0")</f>
        <v>0</v>
      </c>
      <c r="KC104" s="6">
        <f>COUNTIFS(Table78[Country],Tabela1[[#This Row],[Country]],Table78[Men''s 4x100m Freestyle Relay Classification],"&gt;0")</f>
        <v>0</v>
      </c>
      <c r="KD104" s="6">
        <f>COUNTIFS(Table78[Country],Tabela1[[#This Row],[Country]],Table78[Women''s 4x100m Freestyle Relay Classification],"&gt;0")</f>
        <v>0</v>
      </c>
      <c r="KE104" s="6">
        <f>COUNTIFS(Table78[Country],Tabela1[[#This Row],[Country]],Table78[Men''s 4x200m Freestyle Relay Classification],"&gt;0")</f>
        <v>0</v>
      </c>
      <c r="KF104" s="6">
        <f>COUNTIFS(Table78[Country],Tabela1[[#This Row],[Country]],Table78[Women''s 4x200m Freestyle Relay Classification],"&gt;0")</f>
        <v>0</v>
      </c>
      <c r="KG104" s="6">
        <f>COUNTIFS(Table78[Country],Tabela1[[#This Row],[Country]],Table78[Men''s 4x100m Medley Relay Classification],"&gt;0")</f>
        <v>0</v>
      </c>
      <c r="KH104" s="6">
        <f>COUNTIFS(Table78[Country],Tabela1[[#This Row],[Country]],Table78[Women''s 4x100m Medley Relay Classification],"&gt;0")</f>
        <v>0</v>
      </c>
      <c r="KI104" s="6">
        <f>COUNTIFS(Table78[Country],Tabela1[[#This Row],[Country]],Table78[Mixed 4x100m Medley Relay Classification],"&gt;0")</f>
        <v>0</v>
      </c>
      <c r="KJ104" s="6">
        <f>COUNTIFS(Table20[Country],Tabela1[[#This Row],[Country]],Table20[10km Open Water Classification],"&gt;0")</f>
        <v>0</v>
      </c>
      <c r="KK104" s="6">
        <f>COUNTIFS(Table21[Country],Tabela1[[#This Row],[Country]],Table21[10km Open Water Classification],"&gt;0")</f>
        <v>0</v>
      </c>
      <c r="KL104" s="6">
        <f>COUNTIFS(Table22[Country],Tabela1[[#This Row],[Country]],Table22[Classification],"&gt;0")</f>
        <v>0</v>
      </c>
      <c r="KM104" s="6">
        <f>COUNTIFS(Table30[Country],Tabela1[[#This Row],[Country]],Table30[Classification],"&gt;0")</f>
        <v>0</v>
      </c>
      <c r="KN104" s="6">
        <f>COUNTIFS(Table55[Country],Tabela1[[#This Row],[Country]],Table55[Men''s Classification],"&gt;0")</f>
        <v>0</v>
      </c>
      <c r="KO104" s="6">
        <f>COUNTIFS(Table55[Country],Tabela1[[#This Row],[Country]],Table55[Women''s Classification],"&gt;0")</f>
        <v>0</v>
      </c>
      <c r="KP104" s="6">
        <f>COUNTIFS(Table56[Country],Tabela1[[#This Row],[Country]],Table56[Mixed Classification],"&gt;0")</f>
        <v>0</v>
      </c>
      <c r="KQ104" s="6">
        <f>COUNTIFS(Table29[Country],Tabela1[[#This Row],[Country]],Table29[58kg Classification],"&gt;0")</f>
        <v>0</v>
      </c>
      <c r="KR104" s="6">
        <f>COUNTIFS(Table29[Country],Tabela1[[#This Row],[Country]],Table29[68kg Classification],"&gt;0")</f>
        <v>0</v>
      </c>
      <c r="KS104" s="6">
        <f>COUNTIFS(Table29[Country],Tabela1[[#This Row],[Country]],Table29[80kg Classification],"&gt;0")</f>
        <v>0</v>
      </c>
      <c r="KT104" s="6">
        <f>COUNTIFS(Table29[Country],Tabela1[[#This Row],[Country]],Table29[Plus 80kg Classification],"&gt;0")</f>
        <v>0</v>
      </c>
      <c r="KU104" s="6">
        <f>COUNTIFS(Table34[Country],Tabela1[[#This Row],[Country]],Table34[49kg Classification],"&gt;0")</f>
        <v>0</v>
      </c>
      <c r="KV104" s="6">
        <f>COUNTIFS(Table34[Country],Tabela1[[#This Row],[Country]],Table34[57kg Classification],"&gt;0")</f>
        <v>0</v>
      </c>
      <c r="KW104" s="6">
        <f>COUNTIFS(Table34[Country],Tabela1[[#This Row],[Country]],Table34[67kg Classification],"&gt;0")</f>
        <v>0</v>
      </c>
      <c r="KX104" s="6">
        <f>COUNTIFS(Table34[Country],Tabela1[[#This Row],[Country]],Table34[Plus 67kg Classification],"&gt;0")</f>
        <v>0</v>
      </c>
      <c r="KY104" s="6">
        <f>COUNTIFS(Table57[Country],Tabela1[[#This Row],[Country]],Table57[Classification],"&gt;0")</f>
        <v>0</v>
      </c>
      <c r="KZ104" s="6">
        <f>COUNTIFS(Table58[Country],Tabela1[[#This Row],[Country]],Table58[Classification],"&gt;0")</f>
        <v>0</v>
      </c>
      <c r="LA104" s="6">
        <f>COUNTIFS(Table79[Country],Tabela1[[#This Row],[Country]],Table79[Men''s Classification],"&gt;0")</f>
        <v>0</v>
      </c>
      <c r="LB104" s="6">
        <f>COUNTIFS(Table79[Country],Tabela1[[#This Row],[Country]],Table79[Women''s Classification],"&gt;0")</f>
        <v>0</v>
      </c>
      <c r="LC104" s="6">
        <f>COUNTIFS(Table79[Country],Tabela1[[#This Row],[Country]],Table79[Mixed Classification],"&gt;0")</f>
        <v>0</v>
      </c>
      <c r="LD104" s="6">
        <f>COUNTIFS(Table65[Country],Tabela1[[#This Row],[Country]],Table65[Classification],"&gt;0")</f>
        <v>0</v>
      </c>
      <c r="LE104" s="6">
        <f>COUNTIFS(Table59[Country],Tabela1[[#This Row],[Country]],Table59[Classification],"&gt;0")</f>
        <v>0</v>
      </c>
      <c r="LF104" s="6">
        <f>COUNTIFS(Table87[Country],Tabela1[[#This Row],[Country]],Table87[Mixed Relay Classification],"&gt;0")</f>
        <v>0</v>
      </c>
      <c r="LG104" s="6">
        <f>COUNTIFS(Table91949698100[Country],Tabela1[[#This Row],[Country]],Table91949698100[Men''s Classification],"&gt;0")</f>
        <v>0</v>
      </c>
      <c r="LH104" s="6">
        <f>COUNTIFS(Table91949698100[Country],Tabela1[[#This Row],[Country]],Table91949698100[Women''s Classification],"&gt;0")</f>
        <v>0</v>
      </c>
      <c r="LI104" s="6">
        <f>COUNTIFS(Table91949698100102[Country],Tabela1[[#This Row],[Country]],Table91949698100102[Men''s Classification],"&gt;0")</f>
        <v>0</v>
      </c>
      <c r="LJ104" s="6">
        <f>COUNTIFS(Table91949698100102[Country],Tabela1[[#This Row],[Country]],Table91949698100102[Women''s Classification],"&gt;0")</f>
        <v>0</v>
      </c>
      <c r="LK104" s="6">
        <f>COUNTIFS(Table23[Country],Tabela1[[#This Row],[Country]],Table23[61kg Classification],"&gt;0")</f>
        <v>0</v>
      </c>
      <c r="LL104" s="6">
        <f>COUNTIFS(Table23[Country],Tabela1[[#This Row],[Country]],Table23[73kg Classification],"&gt;0")</f>
        <v>0</v>
      </c>
      <c r="LM104" s="6">
        <f>COUNTIFS(Table23[Country],Tabela1[[#This Row],[Country]],Table23[89kg Classification],"&gt;0")</f>
        <v>0</v>
      </c>
      <c r="LN104" s="6">
        <f>COUNTIFS(Table23[Country],Tabela1[[#This Row],[Country]],Table23[102kg Classification],"&gt;0")</f>
        <v>0</v>
      </c>
      <c r="LO104" s="6">
        <f>COUNTIFS(Table23[Country],Tabela1[[#This Row],[Country]],Table23[Plus 102kg Classification],"&gt;0")</f>
        <v>0</v>
      </c>
      <c r="LP104" s="6">
        <f>COUNTIFS(Table28[Country],Tabela1[[#This Row],[Country]],Table28[49kg Classification],"&gt;0")</f>
        <v>0</v>
      </c>
      <c r="LQ104" s="6">
        <f>COUNTIFS(Table28[Country],Tabela1[[#This Row],[Country]],Table28[59kg Classification],"&gt;0")</f>
        <v>0</v>
      </c>
      <c r="LR104" s="6">
        <f>COUNTIFS(Table28[Country],Tabela1[[#This Row],[Country]],Table28[71kg Classification],"&gt;0")</f>
        <v>0</v>
      </c>
      <c r="LS104" s="6">
        <f>COUNTIFS(Table28[Country],Tabela1[[#This Row],[Country]],Table28[81kg Classification],"&gt;0")</f>
        <v>0</v>
      </c>
      <c r="LT104" s="6">
        <f>COUNTIFS(Table28[Country],Tabela1[[#This Row],[Country]],Table28[Plus 81kg Classification],"&gt;0")</f>
        <v>0</v>
      </c>
      <c r="LU104" s="6">
        <f>COUNTIFS(Table24[Country],Tabela1[[#This Row],[Country]],Table24[Freestyle 57kg Classification],"&gt;0")</f>
        <v>0</v>
      </c>
      <c r="LV104" s="6">
        <f>COUNTIFS(Table24[Country],Tabela1[[#This Row],[Country]],Table24[Freestyle 65kg Classification],"&gt;0")</f>
        <v>0</v>
      </c>
      <c r="LW104" s="6">
        <f>COUNTIFS(Table24[Country],Tabela1[[#This Row],[Country]],Table24[Freestyle 74kg Classification],"&gt;0")</f>
        <v>0</v>
      </c>
      <c r="LX104" s="6">
        <f>COUNTIFS(Table24[Country],Tabela1[[#This Row],[Country]],Table24[Freestyle 86kg Classification],"&gt;0")</f>
        <v>0</v>
      </c>
      <c r="LY104" s="6">
        <f>COUNTIFS(Table24[Country],Tabela1[[#This Row],[Country]],Table24[Freestyle 97kg Classification],"&gt;0")</f>
        <v>0</v>
      </c>
      <c r="LZ104" s="6">
        <f>COUNTIFS(Table24[Country],Tabela1[[#This Row],[Country]],Table24[Freestyle 125kg Classification],"&gt;0")</f>
        <v>0</v>
      </c>
      <c r="MA104" s="6">
        <f>COUNTIFS(Table24[Country],Tabela1[[#This Row],[Country]],Table24[Greco-Roman 60kg Classification],"&gt;0")</f>
        <v>0</v>
      </c>
      <c r="MB104" s="6">
        <f>COUNTIFS(Table24[Country],Tabela1[[#This Row],[Country]],Table24[Greco-Roman 67kg Classification],"&gt;0")</f>
        <v>0</v>
      </c>
      <c r="MC104" s="6">
        <f>COUNTIFS(Table24[Country],Tabela1[[#This Row],[Country]],Table24[Greco-Roman 77kg Classification],"&gt;0")</f>
        <v>0</v>
      </c>
      <c r="MD104" s="6">
        <f>COUNTIFS(Table24[Country],Tabela1[[#This Row],[Country]],Table24[Greco-Roman 87kg Classification],"&gt;0")</f>
        <v>0</v>
      </c>
      <c r="ME104" s="6">
        <f>COUNTIFS(Table24[Country],Tabela1[[#This Row],[Country]],Table24[Greco-Roman 97kg Classification],"&gt;0")</f>
        <v>0</v>
      </c>
      <c r="MF104" s="6">
        <f>COUNTIFS(Table24[Country],Tabela1[[#This Row],[Country]],Table24[Greco-Roman 130kg Classification],"&gt;0")</f>
        <v>0</v>
      </c>
      <c r="MG104" s="6">
        <f>COUNTIFS(Table31[Country],Tabela1[[#This Row],[Country]],Table31[50kg Classification],"&gt;0")</f>
        <v>0</v>
      </c>
      <c r="MH104" s="6">
        <f>COUNTIFS(Table31[Country],Tabela1[[#This Row],[Country]],Table31[53kg Classification],"&gt;0")</f>
        <v>0</v>
      </c>
      <c r="MI104" s="6">
        <f>COUNTIFS(Table31[Country],Tabela1[[#This Row],[Country]],Table31[57kg Classification],"&gt;0")</f>
        <v>0</v>
      </c>
      <c r="MJ104" s="6">
        <f>COUNTIFS(Table31[Country],Tabela1[[#This Row],[Country]],Table31[62kg Classification],"&gt;0")</f>
        <v>0</v>
      </c>
      <c r="MK104" s="6">
        <f>COUNTIFS(Table31[Country],Tabela1[[#This Row],[Country]],Table31[68kg Classification],"&gt;0")</f>
        <v>0</v>
      </c>
      <c r="ML104" s="6">
        <f>COUNTIFS(Table31[Country],Tabela1[[#This Row],[Country]],Table31[76kg Classification],"&gt;0")</f>
        <v>0</v>
      </c>
      <c r="MM104" s="6">
        <f>COUNTIFS(Table102[Country],Tabela1[[#This Row],[Country]],Table102[Downhill Classification],"&gt;0")</f>
        <v>0</v>
      </c>
      <c r="MN104" s="6">
        <f>COUNTIFS(Table102105[Country],Tabela1[[#This Row],[Country]],Table102105[Downhill Classification],"&gt;0")</f>
        <v>0</v>
      </c>
      <c r="MO104" s="6">
        <f>COUNTIFS(Table102[Country],Tabela1[[#This Row],[Country]],Table102[Giant Slalom Classification],"&gt;0")</f>
        <v>0</v>
      </c>
      <c r="MP104" s="6">
        <f>COUNTIFS(Table102105[Country],Tabela1[[#This Row],[Country]],Table102105[Giant Slalom Classification],"&gt;0")</f>
        <v>0</v>
      </c>
      <c r="MQ104" s="6">
        <f>COUNTIFS(Table102[Country],Tabela1[[#This Row],[Country]],Table102[Slalom Classification],"&gt;0")</f>
        <v>0</v>
      </c>
      <c r="MR104" s="6">
        <f>COUNTIFS(Table102105[Country],Tabela1[[#This Row],[Country]],Table102105[Slalom Classification],"&gt;0")</f>
        <v>0</v>
      </c>
      <c r="MS104" s="6">
        <f>COUNTIFS(Table102[Country],Tabela1[[#This Row],[Country]],Table102[Super-G Classification],"&gt;0")</f>
        <v>0</v>
      </c>
      <c r="MT104" s="6">
        <f>COUNTIFS(Table102105[Country],Tabela1[[#This Row],[Country]],Table102105[Super-G Classification],"&gt;0")</f>
        <v>0</v>
      </c>
      <c r="MU104" s="6">
        <f>COUNTIFS(Table105[Country],Tabela1[[#This Row],[Country]],Table105[Men''s Combined Classification],"&gt;0")</f>
        <v>0</v>
      </c>
      <c r="MV104" s="6">
        <f>COUNTIFS(Table105[Country],Tabela1[[#This Row],[Country]],Table105[Women''s Combined Classification],"&gt;0")</f>
        <v>0</v>
      </c>
      <c r="MW104" s="6">
        <f>COUNTIFS(Table106[Country],Tabela1[[#This Row],[Country]],Table106[Individual Classification],"&gt;0")</f>
        <v>0</v>
      </c>
      <c r="MX104" s="6">
        <f>COUNTIFS(Table106109[Country],Tabela1[[#This Row],[Country]],Table106109[Individual Classification],"&gt;0")</f>
        <v>0</v>
      </c>
      <c r="MY104" s="6">
        <f>COUNTIFS(Table106[Country],Tabela1[[#This Row],[Country]],Table106[Mass Start Classification],"&gt;0")</f>
        <v>0</v>
      </c>
      <c r="MZ104" s="6">
        <f>COUNTIFS(Table106109[Country],Tabela1[[#This Row],[Country]],Table106109[Mass Start Classification],"&gt;0")</f>
        <v>0</v>
      </c>
      <c r="NA104" s="6">
        <f>COUNTIFS(Table106[Country],Tabela1[[#This Row],[Country]],Table106[Pursuit Classification],"&gt;0")</f>
        <v>0</v>
      </c>
      <c r="NB104" s="6">
        <f>COUNTIFS(Table106109[Country],Tabela1[[#This Row],[Country]],Table106109[Pursuit Classification],"&gt;0")</f>
        <v>0</v>
      </c>
      <c r="NC104" s="6">
        <f>COUNTIFS(Table106[Country],Tabela1[[#This Row],[Country]],Table106[Sprint Classification],"&gt;0")</f>
        <v>0</v>
      </c>
      <c r="ND104" s="6">
        <f>COUNTIFS(Table106109[Country],Tabela1[[#This Row],[Country]],Table106109[Sprint Classification],"&gt;0")</f>
        <v>0</v>
      </c>
      <c r="NE104" s="6">
        <f>COUNTIFS(Table109[Country],Tabela1[[#This Row],[Country]],Table109[Men''s Relay Classification],"&gt;0")</f>
        <v>0</v>
      </c>
      <c r="NF104" s="6">
        <f>COUNTIFS(Table109[Country],Tabela1[[#This Row],[Country]],Table109[Women''s Relay Classification],"&gt;0")</f>
        <v>0</v>
      </c>
      <c r="NG104" s="6">
        <f>COUNTIFS(Table109[Country],Tabela1[[#This Row],[Country]],Table109[Mixed Relay Classification],"&gt;0")</f>
        <v>0</v>
      </c>
      <c r="NH104" s="6">
        <f>COUNTIFS(Table110[Country],Tabela1[[#This Row],[Country]],Table110[Monobob Classification],"&gt;0")</f>
        <v>0</v>
      </c>
      <c r="NI104" s="6">
        <f>COUNTIFS(Table111[Country],Tabela1[[#This Row],[Country]],Table111[Men''s Classification],"&gt;0")</f>
        <v>0</v>
      </c>
      <c r="NJ104" s="6">
        <f>COUNTIFS(Table111[Country],Tabela1[[#This Row],[Country]],Table111[Women''s Classification],"&gt;0")</f>
        <v>0</v>
      </c>
      <c r="NK104" s="6">
        <f>COUNTIFS(Table112[Country],Tabela1[[#This Row],[Country]],Table112[Men''s Four Classification],"&gt;0")</f>
        <v>0</v>
      </c>
      <c r="NL104" s="6">
        <f>COUNTIFS(Table113[Country],Tabela1[[#This Row],[Country]],Table113[Classical Classification],"&gt;0")</f>
        <v>0</v>
      </c>
      <c r="NM104" s="6">
        <f>COUNTIFS(Table113116[Country],Tabela1[[#This Row],[Country]],Table113116[Classical Classification],"&gt;0")</f>
        <v>0</v>
      </c>
      <c r="NN104" s="6">
        <f>COUNTIFS(Table113[Country],Tabela1[[#This Row],[Country]],Table113[Freestyle Classification],"&gt;0")</f>
        <v>0</v>
      </c>
      <c r="NO104" s="6">
        <f>COUNTIFS(Table113116[Country],Tabela1[[#This Row],[Country]],Table113116[Freestyle Classification],"&gt;0")</f>
        <v>0</v>
      </c>
      <c r="NP104" s="6">
        <f>COUNTIFS(Table117[Country],Tabela1[[#This Row],[Country]],Table117[Men''s Relay Classification],"&gt;0")</f>
        <v>0</v>
      </c>
      <c r="NQ104" s="6">
        <f>COUNTIFS(Table117[Country],Tabela1[[#This Row],[Country]],Table117[Women''s Relay Classification],"&gt;0")</f>
        <v>0</v>
      </c>
      <c r="NR104" s="6">
        <f>COUNTIFS(Table113[Country],Tabela1[[#This Row],[Country]],Table113[Skiathlon Classification],"&gt;0")</f>
        <v>0</v>
      </c>
      <c r="NS104" s="6">
        <f>COUNTIFS(Table113116[Country],Tabela1[[#This Row],[Country]],Table113116[Skiathlon Classification],"&gt;0")</f>
        <v>0</v>
      </c>
      <c r="NT104" s="6">
        <f>COUNTIFS(Table113[Country],Tabela1[[#This Row],[Country]],Table113[Sprint Classification],"&gt;0")</f>
        <v>0</v>
      </c>
      <c r="NU104" s="6">
        <f>COUNTIFS(Table113116[Country],Tabela1[[#This Row],[Country]],Table113116[Sprint Classification],"&gt;0")</f>
        <v>0</v>
      </c>
      <c r="NV104" s="6">
        <f>COUNTIFS(Table116[Country],Tabela1[[#This Row],[Country]],Table116[Men''s Team Sprint Classification],"&gt;0")</f>
        <v>0</v>
      </c>
      <c r="NW104" s="6">
        <f>COUNTIFS(Table116[Country],Tabela1[[#This Row],[Country]],Table116[Women''s Team Sprint Classification],"&gt;0")</f>
        <v>0</v>
      </c>
      <c r="NX104" s="6">
        <f>COUNTIFS(Table119[Country],Tabela1[[#This Row],[Country]],Table119[Men''s Classification],"&gt;0")</f>
        <v>0</v>
      </c>
      <c r="NY104" s="6">
        <f>COUNTIFS(Table119[Country],Tabela1[[#This Row],[Country]],Table119[Women''s Classification],"&gt;0")</f>
        <v>0</v>
      </c>
      <c r="NZ104" s="6">
        <f>COUNTIFS(Table118[Country],Tabela1[[#This Row],[Country]],Table118[Mixed Classification],"&gt;0")</f>
        <v>0</v>
      </c>
      <c r="OA104" s="6">
        <f>COUNTIFS(Table120[Country],Tabela1[[#This Row],[Country]],Table120[Classification],"&gt;0")</f>
        <v>0</v>
      </c>
      <c r="OB104" s="6">
        <f>COUNTIFS(Table120123[Country],Tabela1[[#This Row],[Country]],Table120123[Classification],"&gt;0")</f>
        <v>0</v>
      </c>
      <c r="OC104" s="6">
        <f>COUNTIFS(Table123[Country],Tabela1[[#This Row],[Country]],Table123[Ice Dance Classification],"&gt;0")</f>
        <v>0</v>
      </c>
      <c r="OD104" s="6">
        <f>COUNTIFS(Table123[Country],Tabela1[[#This Row],[Country]],Table123[Pair Skating Classification],"&gt;0")</f>
        <v>0</v>
      </c>
      <c r="OE104" s="6">
        <f>COUNTIFS(Table124[Country],Tabela1[[#This Row],[Country]],Table124[Mixed Classification],"&gt;0")</f>
        <v>0</v>
      </c>
      <c r="OF104" s="6">
        <f>COUNTIFS(Table125[Country],Tabela1[[#This Row],[Country]],Table125[Aerials Classification],"&gt;0")</f>
        <v>0</v>
      </c>
      <c r="OG104" s="6">
        <f>COUNTIFS(Table125128[Country],Tabela1[[#This Row],[Country]],Table125128[Aerials Classification],"&gt;0")</f>
        <v>0</v>
      </c>
      <c r="OH104" s="6">
        <f>COUNTIFS(Table128[Country],Tabela1[[#This Row],[Country]],Table128[Mixed Aerials Classification],"&gt;0")</f>
        <v>0</v>
      </c>
      <c r="OI104" s="6">
        <f>COUNTIFS(Table125[Country],Tabela1[[#This Row],[Country]],Table125[Big Air Classification],"&gt;0")</f>
        <v>0</v>
      </c>
      <c r="OJ104" s="6">
        <f>COUNTIFS(Table125128[Country],Tabela1[[#This Row],[Country]],Table125128[Big Air Classification],"&gt;0")</f>
        <v>0</v>
      </c>
      <c r="OK104" s="6">
        <f>COUNTIFS(Table125[Country],Tabela1[[#This Row],[Country]],Table125[Dual Moguls Classification],"&gt;0")</f>
        <v>0</v>
      </c>
      <c r="OL104" s="6">
        <f>COUNTIFS(Table125128[Country],Tabela1[[#This Row],[Country]],Table125128[Dual Moguls Classification],"&gt;0")</f>
        <v>0</v>
      </c>
      <c r="OM104" s="6">
        <f>COUNTIFS(Table125[Country],Tabela1[[#This Row],[Country]],Table125[Halfpipe Classification],"&gt;0")</f>
        <v>0</v>
      </c>
      <c r="ON104" s="6">
        <f>COUNTIFS(Table125128[Country],Tabela1[[#This Row],[Country]],Table125128[Halfpipe Classification],"&gt;0")</f>
        <v>0</v>
      </c>
      <c r="OO104" s="6">
        <f>COUNTIFS(Table125[Country],Tabela1[[#This Row],[Country]],Table125[Moguls Classification],"&gt;0")</f>
        <v>0</v>
      </c>
      <c r="OP104" s="6">
        <f>COUNTIFS(Table125128[Country],Tabela1[[#This Row],[Country]],Table125128[Moguls Classification],"&gt;0")</f>
        <v>0</v>
      </c>
      <c r="OQ104" s="6">
        <f>COUNTIFS(Table125[Country],Tabela1[[#This Row],[Country]],Table125[Ski Cross Classification],"&gt;0")</f>
        <v>0</v>
      </c>
      <c r="OR104" s="6">
        <f>COUNTIFS(Table125128[Country],Tabela1[[#This Row],[Country]],Table125128[Ski Cross Classification],"&gt;0")</f>
        <v>0</v>
      </c>
      <c r="OS104" s="6">
        <f>COUNTIFS(Table125[Country],Tabela1[[#This Row],[Country]],Table125[Slopestyle Classification],"&gt;0")</f>
        <v>0</v>
      </c>
      <c r="OT104" s="6">
        <f>COUNTIFS(Table125128[Country],Tabela1[[#This Row],[Country]],Table125128[Slopestyle Classification],"&gt;0")</f>
        <v>0</v>
      </c>
      <c r="OU104" s="6">
        <f>COUNTIFS(Table119131[Country],Tabela1[[#This Row],[Country]],Table119131[Men''s Classification],"&gt;0")</f>
        <v>0</v>
      </c>
      <c r="OV104" s="6">
        <f>COUNTIFS(Table119131[Country],Tabela1[[#This Row],[Country]],Table119131[Women''s Classification],"&gt;0")</f>
        <v>0</v>
      </c>
      <c r="OW104" s="6">
        <f>COUNTIFS(Table131[Country],Tabela1[[#This Row],[Country]],Table131[Classification],"&gt;0")</f>
        <v>0</v>
      </c>
      <c r="OX104" s="6">
        <f>COUNTIFS(Table131134[Country],Tabela1[[#This Row],[Country]],Table131134[Classification],"&gt;0")</f>
        <v>0</v>
      </c>
      <c r="OY104" s="6">
        <f>COUNTIFS(Table134[Country],Tabela1[[#This Row],[Country]],Table134[Men''s Classification],"&gt;0")</f>
        <v>0</v>
      </c>
      <c r="OZ104" s="6">
        <f>COUNTIFS(Table134[Country],Tabela1[[#This Row],[Country]],Table134[Women''s Classification],"&gt;0")</f>
        <v>0</v>
      </c>
      <c r="PA104" s="6">
        <f>COUNTIFS(Table135[Country],Tabela1[[#This Row],[Country]],Table135[Mixed Relay Classification],"&gt;0")</f>
        <v>0</v>
      </c>
      <c r="PB104" s="6">
        <f>COUNTIFS(Table136[Country],Tabela1[[#This Row],[Country]],Table136[Individual Classification],"&gt;0")</f>
        <v>0</v>
      </c>
      <c r="PC104" s="6">
        <f>COUNTIFS(Table136[Country],Tabela1[[#This Row],[Country]],Table136[Sprint Classification],"&gt;0")</f>
        <v>0</v>
      </c>
      <c r="PD104" s="6">
        <f>COUNTIFS(Table137[Country],Tabela1[[#This Row],[Country]],Table137[Men''s Team Sprint Large Hill Classification],"&gt;0")</f>
        <v>0</v>
      </c>
      <c r="PE104" s="6">
        <f>COUNTIFS(Table138[Country],Tabela1[[#This Row],[Country]],Table138[500m Classification],"&gt;0")</f>
        <v>0</v>
      </c>
      <c r="PF104" s="6">
        <f>COUNTIFS(Table138141[Country],Tabela1[[#This Row],[Country]],Table138141[500m Classification],"&gt;0")</f>
        <v>0</v>
      </c>
      <c r="PG104" s="6">
        <f>COUNTIFS(Table138[Country],Tabela1[[#This Row],[Country]],Table138[1000m Classification],"&gt;0")</f>
        <v>0</v>
      </c>
      <c r="PH104" s="6">
        <f>COUNTIFS(Table138141[Country],Tabela1[[#This Row],[Country]],Table138141[1000m Classification],"&gt;0")</f>
        <v>0</v>
      </c>
      <c r="PI104" s="6">
        <f>COUNTIFS(Table138[Country],Tabela1[[#This Row],[Country]],Table138[1500m Classification],"&gt;0")</f>
        <v>0</v>
      </c>
      <c r="PJ104" s="6">
        <f>COUNTIFS(Table138141[Country],Tabela1[[#This Row],[Country]],Table138141[1500m Classification],"&gt;0")</f>
        <v>0</v>
      </c>
      <c r="PK104" s="6">
        <f>COUNTIFS(Table141[Country],Tabela1[[#This Row],[Country]],Table141[Men''s 5000m Relay Classification],"&gt;0")</f>
        <v>0</v>
      </c>
      <c r="PL104" s="6">
        <f>COUNTIFS(Table141[Country],Tabela1[[#This Row],[Country]],Table141[Women''s 3000m Relay Classification],"&gt;0")</f>
        <v>0</v>
      </c>
      <c r="PM104" s="6">
        <f>COUNTIFS(Table141[Country],Tabela1[[#This Row],[Country]],Table141[Mixed 2000m Relay Classification],"&gt;0")</f>
        <v>0</v>
      </c>
      <c r="PN104" s="6">
        <f>COUNTIFS(Table142[Country],Tabela1[[#This Row],[Country]],Table142[Classification],"&gt;0")</f>
        <v>0</v>
      </c>
      <c r="PO104" s="6">
        <f>COUNTIFS(Table142145[Country],Tabela1[[#This Row],[Country]],Table142145[Classification],"&gt;0")</f>
        <v>0</v>
      </c>
      <c r="PP104" s="6">
        <f>COUNTIFS(Tabela15[Country],Tabela1[[#This Row],[Country]],Tabela15[Mixed Team Classification],"&gt;0")</f>
        <v>0</v>
      </c>
      <c r="PQ104" s="6">
        <f>COUNTIFS(Table145[Country],Tabela1[[#This Row],[Country]],Table145[Large Hill Classification],"&gt;0")</f>
        <v>0</v>
      </c>
      <c r="PR104" s="6">
        <f>COUNTIFS(Table145[Country],Tabela1[[#This Row],[Country]],Table145[Normal Hill Classification],"&gt;0")</f>
        <v>0</v>
      </c>
      <c r="PS104" s="6">
        <f>COUNTIFS(Table145148[Country],Tabela1[[#This Row],[Country]],Table145148[Large Hill Classification],"&gt;0")</f>
        <v>0</v>
      </c>
      <c r="PT104" s="6">
        <f>COUNTIFS(Table145148[Country],Tabela1[[#This Row],[Country]],Table145148[Normal Hill Classification],"&gt;0")</f>
        <v>0</v>
      </c>
      <c r="PU104" s="6">
        <f>COUNTIFS(Table148[Country],Tabela1[[#This Row],[Country]],Table148[Men''s Super Team Classification],"&gt;0")</f>
        <v>0</v>
      </c>
      <c r="PV104" s="6">
        <f>COUNTIFS(Tabela114[Country],Tabela1[[#This Row],[Country]],Tabela114[Mixed Normal Hill Classification],"&gt;0")</f>
        <v>0</v>
      </c>
      <c r="PW104" s="6">
        <f>COUNTIFS(Tabela50[Country],Tabela1[[#This Row],[Country]],Tabela50[Sprint Classification],"&gt;0")</f>
        <v>0</v>
      </c>
      <c r="PX104" s="6">
        <f>COUNTIFS(Tabela50101[Country],Tabela1[[#This Row],[Country]],Tabela50101[Sprint Classification],"&gt;0")</f>
        <v>0</v>
      </c>
      <c r="PY104" s="6">
        <f>COUNTIFS(Tabela103[Country],Tabela1[[#This Row],[Country]],Tabela103[Mixed Relay Classification],"&gt;0")</f>
        <v>0</v>
      </c>
      <c r="PZ104" s="6">
        <f>COUNTIFS(Table149[Country],Tabela1[[#This Row],[Country]],Table149[Big Air Classification],"&gt;0")</f>
        <v>0</v>
      </c>
      <c r="QA104" s="6">
        <f>COUNTIFS(Table149152[Country],Tabela1[[#This Row],[Country]],Table149152[Big Air Classification],"&gt;0")</f>
        <v>0</v>
      </c>
      <c r="QB104" s="6">
        <f>COUNTIFS(Table149[Country],Tabela1[[#This Row],[Country]],Table149[Halfpipe Classification],"&gt;0")</f>
        <v>0</v>
      </c>
      <c r="QC104" s="6">
        <f>COUNTIFS(Table149152[Country],Tabela1[[#This Row],[Country]],Table149152[Halfpipe Classification],"&gt;0")</f>
        <v>0</v>
      </c>
      <c r="QD104" s="6">
        <f>COUNTIFS(Table149[Country],Tabela1[[#This Row],[Country]],Table149[Parallel Giant Slalom Classification],"&gt;0")</f>
        <v>0</v>
      </c>
      <c r="QE104" s="6">
        <f>COUNTIFS(Table149152[Country],Tabela1[[#This Row],[Country]],Table149152[Parallel Giant Slalom Classification],"&gt;0")</f>
        <v>0</v>
      </c>
      <c r="QF104" s="6">
        <f>COUNTIFS(Table149[Country],Tabela1[[#This Row],[Country]],Table149[Slopestyle Classification],"&gt;0")</f>
        <v>0</v>
      </c>
      <c r="QG104" s="6">
        <f>COUNTIFS(Table149152[Country],Tabela1[[#This Row],[Country]],Table149152[Slopestyle Classification],"&gt;0")</f>
        <v>0</v>
      </c>
      <c r="QH104" s="6">
        <f>COUNTIFS(Table149[Country],Tabela1[[#This Row],[Country]],Table149[Snowboard Cross Classification],"&gt;0")</f>
        <v>0</v>
      </c>
      <c r="QI104" s="6">
        <f>COUNTIFS(Table149152[Country],Tabela1[[#This Row],[Country]],Table149152[Snowboard Cross Classification],"&gt;0")</f>
        <v>0</v>
      </c>
      <c r="QJ104" s="6">
        <f>COUNTIFS(Table153[Country],Tabela1[[#This Row],[Country]],Table153[Mixed Team Snowboard Cross Classification],"&gt;0")</f>
        <v>0</v>
      </c>
      <c r="QK104" s="6">
        <f>COUNTIFS(Table154[Country],Tabela1[[#This Row],[Country]],Table154[500m Classification],"&gt;0")</f>
        <v>0</v>
      </c>
      <c r="QL104" s="6">
        <f>COUNTIFS(Table154157[Country],Tabela1[[#This Row],[Country]],Table154157[500m Classification],"&gt;0")</f>
        <v>0</v>
      </c>
      <c r="QM104" s="6">
        <f>COUNTIFS(Table154[Country],Tabela1[[#This Row],[Country]],Table154[1000m Classification],"&gt;0")</f>
        <v>0</v>
      </c>
      <c r="QN104" s="6">
        <f>COUNTIFS(Table154157[Country],Tabela1[[#This Row],[Country]],Table154157[1000m Classification],"&gt;0")</f>
        <v>0</v>
      </c>
      <c r="QO104" s="6">
        <f>COUNTIFS(Table154[Country],Tabela1[[#This Row],[Country]],Table154[1500m Classification],"&gt;0")</f>
        <v>0</v>
      </c>
      <c r="QP104" s="6">
        <f>COUNTIFS(Table154157[Country],Tabela1[[#This Row],[Country]],Table154157[1500m Classification],"&gt;0")</f>
        <v>0</v>
      </c>
      <c r="QQ104" s="6">
        <f>COUNTIFS(Table154157[Country],Tabela1[[#This Row],[Country]],Table154157[3000m Classification],"&gt;0")</f>
        <v>0</v>
      </c>
      <c r="QR104" s="6">
        <f>COUNTIFS(Table154[Country],Tabela1[[#This Row],[Country]],Table154[5000m Classification],"&gt;0")</f>
        <v>0</v>
      </c>
      <c r="QS104" s="6">
        <f>COUNTIFS(Table154157[Country],Tabela1[[#This Row],[Country]],Table154157[5000m Classification],"&gt;0")</f>
        <v>0</v>
      </c>
      <c r="QT104" s="6">
        <f>COUNTIFS(Table154[Country],Tabela1[[#This Row],[Country]],Table154[10000m Classification],"&gt;0")</f>
        <v>0</v>
      </c>
      <c r="QU104" s="6">
        <f>COUNTIFS(Table154[Country],Tabela1[[#This Row],[Country]],Table154[Mass Start Classification],"&gt;0")</f>
        <v>0</v>
      </c>
      <c r="QV104" s="6">
        <f>COUNTIFS(Table154157[Country],Tabela1[[#This Row],[Country]],Table154157[Mass Start Classification],"&gt;0")</f>
        <v>0</v>
      </c>
      <c r="QW104" s="6">
        <f>COUNTIFS(Table157[Country],Tabela1[[#This Row],[Country]],Table157[Men''s Pursuit Classification],"&gt;0")</f>
        <v>0</v>
      </c>
      <c r="QX104" s="6">
        <f>COUNTIFS(Table157[Country],Tabela1[[#This Row],[Country]],Table157[Women''s Pursuit Classification],"&gt;0")</f>
        <v>0</v>
      </c>
      <c r="QY104" s="4" t="s">
        <v>477</v>
      </c>
    </row>
    <row r="105" spans="1:467" x14ac:dyDescent="0.3">
      <c r="A105" s="6">
        <v>104</v>
      </c>
      <c r="B105" s="6" t="s">
        <v>570</v>
      </c>
      <c r="C105" t="e" vm="104">
        <f>IF(ISBLANK(Tabela1[[#This Row],[Image Link]]), "", _xlfn.IMAGE(Tabela1[[#This Row],[Image Link]],1,1))</f>
        <v>#VALUE!</v>
      </c>
      <c r="D105" s="6">
        <f>SUM(Tabela1[[#This Row],[Archery - Men''s Individual Recurve]:[Speed Skating - Women''s Team Pursuit]])</f>
        <v>3</v>
      </c>
      <c r="E105" s="6">
        <f>COUNTIF(Tabela1[[#This Row],[Archery - Men''s Individual Recurve]:[Speed Skating - Women''s Team Pursuit]],"&gt;0")</f>
        <v>3</v>
      </c>
      <c r="F105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Winter Olympics</v>
      </c>
      <c r="G105" s="6">
        <f>SUM(Tabela1[[#This Row],[Archery - Men''s Individual Recurve]:[Wrestling - Women''s Freestyle 76kg]])</f>
        <v>1</v>
      </c>
      <c r="H105" s="6">
        <f>SUM(Tabela1[[#This Row],[Alpine Skiing - Men''s Downhill]:[Speed Skating - Women''s Team Pursuit]])</f>
        <v>2</v>
      </c>
      <c r="I105" s="6">
        <f>Tabela1[[#This Row],[Summer Gold Medals]]+Tabela1[[#This Row],[Winter Gold Medals]]</f>
        <v>0</v>
      </c>
      <c r="J105" s="6">
        <f>Tabela1[[#This Row],[Summer Silver Medals]]+Tabela1[[#This Row],[Winter Silver Medals]]</f>
        <v>0</v>
      </c>
      <c r="K105" s="6">
        <f>Tabela1[[#This Row],[Summer Bronze Medals]]+Tabela1[[#This Row],[Winter Bronze Medals]]</f>
        <v>0</v>
      </c>
      <c r="L105" s="6">
        <f>SUM(Tabela1[[#This Row],[Total Gold Medals]:[Total Bronze Medals]])</f>
        <v>0</v>
      </c>
      <c r="M105" s="6"/>
      <c r="N105" s="6"/>
      <c r="O105" s="6"/>
      <c r="P105" s="6">
        <f>SUM(Tabela1[[#This Row],[Summer Gold Medals]:[Summer Bronze Medals]])</f>
        <v>0</v>
      </c>
      <c r="Q105" s="6"/>
      <c r="R105" s="6"/>
      <c r="S105" s="6"/>
      <c r="T105" s="6">
        <f>Tabela1[[#This Row],[Winter Gold Medals]]+Tabela1[[#This Row],[Winter Silver Medals]]+Tabela1[[#This Row],[Winter Bronze Medals]]</f>
        <v>0</v>
      </c>
      <c r="U105" s="7">
        <f>Tabela1[[#This Row],[Total Medals]]/Tabela1[[#This Row],[Total Quotas]]</f>
        <v>0</v>
      </c>
      <c r="V105" s="6">
        <f>COUNTIFS(Table3[Country],Tabela1[[#This Row],[Country]],Table3[Recurve Classification],"&gt;0")</f>
        <v>0</v>
      </c>
      <c r="W105" s="6">
        <f>COUNTIFS(Table33[Country],Tabela1[[#This Row],[Country]],Table33[Recurve Classification],"&gt;0")</f>
        <v>0</v>
      </c>
      <c r="X105" s="6">
        <f>COUNTIFS(Table35[Country],Tabela1[[#This Row],[Country]],Table35[Men''s Team Recurve Classification],"&gt;0")</f>
        <v>0</v>
      </c>
      <c r="Y105" s="6">
        <f>COUNTIFS(Table35[Country],Tabela1[[#This Row],[Country]],Table35[Women''s Team Recurve Classification],"&gt;0")</f>
        <v>0</v>
      </c>
      <c r="Z105" s="6">
        <f>COUNTIFS(Tabela88[Country],Tabela1[[#This Row],[Country]],Tabela88[Mixed Team Recurve Classification],"&gt;0")</f>
        <v>0</v>
      </c>
      <c r="AA105" s="6">
        <f>COUNTIFS(Table36[Country],Tabela1[[#This Row],[Country]],Table36[Classification],"&gt;0")</f>
        <v>0</v>
      </c>
      <c r="AB105" s="6">
        <f>COUNTIFS(Table37[Country],Tabela1[[#This Row],[Country]],Table37[Classification],"&gt;0")</f>
        <v>0</v>
      </c>
      <c r="AC105" s="6">
        <f>COUNTIFS(Table4[Country],Tabela1[[#This Row],[Country]],Table4[100m Classification],"&gt;0")</f>
        <v>0</v>
      </c>
      <c r="AD105" s="6">
        <f>COUNTIFS(Table5[Country],Tabela1[[#This Row],[Country]],Table5[100m Classification],"&gt;0")</f>
        <v>0</v>
      </c>
      <c r="AE105" s="6">
        <f>COUNTIFS(Table4[Country],Tabela1[[#This Row],[Country]],Table4[200m Classification],"&gt;0")</f>
        <v>0</v>
      </c>
      <c r="AF105" s="6">
        <f>COUNTIFS(Table5[Country],Tabela1[[#This Row],[Country]],Table5[200m Classification],"&gt;0")</f>
        <v>0</v>
      </c>
      <c r="AG105" s="6">
        <f>COUNTIFS(Table4[Country],Tabela1[[#This Row],[Country]],Table4[400m Classification],"&gt;0")</f>
        <v>0</v>
      </c>
      <c r="AH105" s="6">
        <f>COUNTIFS(Table5[Country],Tabela1[[#This Row],[Country]],Table5[400m Classification],"&gt;0")</f>
        <v>0</v>
      </c>
      <c r="AI105" s="6">
        <f>COUNTIFS(Table4[Country],Tabela1[[#This Row],[Country]],Table4[800m Classification],"&gt;0")</f>
        <v>0</v>
      </c>
      <c r="AJ105" s="6">
        <f>COUNTIFS(Table5[Country],Tabela1[[#This Row],[Country]],Table5[800m Classification],"&gt;0")</f>
        <v>0</v>
      </c>
      <c r="AK105" s="6">
        <f>COUNTIFS(Table4[Country],Tabela1[[#This Row],[Country]],Table4[1500m Classification],"&gt;0")</f>
        <v>0</v>
      </c>
      <c r="AL105" s="6">
        <f>COUNTIFS(Table5[Country],Tabela1[[#This Row],[Country]],Table5[1500m Classification],"&gt;0")</f>
        <v>0</v>
      </c>
      <c r="AM105" s="6">
        <f>COUNTIFS(Table4[Country],Tabela1[[#This Row],[Country]],Table4[5000m Classification],"&gt;0")</f>
        <v>1</v>
      </c>
      <c r="AN105" s="6">
        <f>COUNTIFS(Table5[Country],Tabela1[[#This Row],[Country]],Table5[5000m Classification],"&gt;0")</f>
        <v>0</v>
      </c>
      <c r="AO105" s="6">
        <f>COUNTIFS(Table4[Country],Tabela1[[#This Row],[Country]],Table4[10000m Classification],"&gt;0")</f>
        <v>0</v>
      </c>
      <c r="AP105" s="6">
        <f>COUNTIFS(Table5[Country],Tabela1[[#This Row],[Country]],Table5[10000m Classification],"&gt;0")</f>
        <v>0</v>
      </c>
      <c r="AQ105" s="6">
        <f>COUNTIFS(Table4[Country],Tabela1[[#This Row],[Country]],Table4[110m Hurdles Classification],"&gt;0")</f>
        <v>0</v>
      </c>
      <c r="AR105" s="6">
        <f>COUNTIFS(Table5[Country],Tabela1[[#This Row],[Country]],Table5[100m Hurdles Classification],"&gt;0")</f>
        <v>0</v>
      </c>
      <c r="AS105" s="6">
        <f>COUNTIFS(Table4[Country],Tabela1[[#This Row],[Country]],Table4[400m Hurdles Classification],"&gt;0")</f>
        <v>0</v>
      </c>
      <c r="AT105" s="6">
        <f>COUNTIFS(Table5[Country],Tabela1[[#This Row],[Country]],Table5[400m Hurdles Classification],"&gt;0")</f>
        <v>0</v>
      </c>
      <c r="AU105" s="6">
        <f>COUNTIFS(Table4[Country],Tabela1[[#This Row],[Country]],Table4[3000m Steeplechase Classification],"&gt;0")</f>
        <v>0</v>
      </c>
      <c r="AV105" s="6">
        <f>COUNTIFS(Table5[Country],Tabela1[[#This Row],[Country]],Table5[3000m Steeplechase Classification],"&gt;0")</f>
        <v>0</v>
      </c>
      <c r="AW105" s="6">
        <f>COUNTIFS(Table27[Country],Tabela1[[#This Row],[Country]],Table27[Men''s 4x100m Relay Classification],"&gt;0")</f>
        <v>0</v>
      </c>
      <c r="AX105" s="6">
        <f>COUNTIFS(Table27[Country],Tabela1[[#This Row],[Country]],Table27[Women''s 4x100m Relay Classification],"&gt;0")</f>
        <v>0</v>
      </c>
      <c r="AY105" s="6">
        <f>COUNTIFS(Table27[Country],Tabela1[[#This Row],[Country]],Table27[Men''s 4x400m Relay Classification],"&gt;0")</f>
        <v>0</v>
      </c>
      <c r="AZ105" s="6">
        <f>COUNTIFS(Table27[Country],Tabela1[[#This Row],[Country]],Table27[Women''s 4x400m Relay Classification],"&gt;0")</f>
        <v>0</v>
      </c>
      <c r="BA105" s="6">
        <f>COUNTIFS(Table27[Country],Tabela1[[#This Row],[Country]],Table27[Mixed 4x400m Relay Classification],"&gt;0")</f>
        <v>0</v>
      </c>
      <c r="BB105" s="6">
        <f>COUNTIFS(Table4[Country],Tabela1[[#This Row],[Country]],Table4[Marathon Classification],"&gt;0")</f>
        <v>0</v>
      </c>
      <c r="BC105" s="6">
        <f>COUNTIFS(Table5[Country],Tabela1[[#This Row],[Country]],Table5[Marathon Classification],"&gt;0")</f>
        <v>0</v>
      </c>
      <c r="BD105" s="6">
        <f>COUNTIFS(Table4[Country],Tabela1[[#This Row],[Country]],Table4[20km Race Walk Classification],"&gt;0")</f>
        <v>0</v>
      </c>
      <c r="BE105" s="6">
        <f>COUNTIFS(Table5[Country],Tabela1[[#This Row],[Country]],Table5[20km Race Walk Classification],"&gt;0")</f>
        <v>0</v>
      </c>
      <c r="BF105" s="6">
        <f>COUNTIFS(Tabela96[Country],Tabela1[[#This Row],[Country]],Tabela96[Mixed Marathon Race Walk Relay Classification],"&gt;0")</f>
        <v>0</v>
      </c>
      <c r="BG105" s="6">
        <f>COUNTIFS(Table4[Country],Tabela1[[#This Row],[Country]],Table4[Discus Throw Classification],"&gt;0")</f>
        <v>0</v>
      </c>
      <c r="BH105" s="6">
        <f>COUNTIFS(Table5[Country],Tabela1[[#This Row],[Country]],Table5[Discus Throw Classification],"&gt;0")</f>
        <v>0</v>
      </c>
      <c r="BI105" s="6">
        <f>COUNTIFS(Table4[Country],Tabela1[[#This Row],[Country]],Table4[Hammer Throw Classification],"&gt;0")</f>
        <v>0</v>
      </c>
      <c r="BJ105" s="6">
        <f>COUNTIFS(Table5[Country],Tabela1[[#This Row],[Country]],Table5[Hammer Throw Classification],"&gt;0")</f>
        <v>0</v>
      </c>
      <c r="BK105" s="6">
        <f>COUNTIFS(Table4[Country],Tabela1[[#This Row],[Country]],Table4[High Jump Classification],"&gt;0")</f>
        <v>0</v>
      </c>
      <c r="BL105" s="6">
        <f>COUNTIFS(Table5[Country],Tabela1[[#This Row],[Country]],Table5[High Jump Classification],"&gt;0")</f>
        <v>0</v>
      </c>
      <c r="BM105" s="6">
        <f>COUNTIFS(Table4[Country],Tabela1[[#This Row],[Country]],Table4[Javelin Throw Classification],"&gt;0")</f>
        <v>0</v>
      </c>
      <c r="BN105" s="6">
        <f>COUNTIFS(Table5[Country],Tabela1[[#This Row],[Country]],Table5[Javelin Throw Classification],"&gt;0")</f>
        <v>0</v>
      </c>
      <c r="BO105" s="6">
        <f>COUNTIFS(Table4[Country],Tabela1[[#This Row],[Country]],Table4[Long Jump Classification],"&gt;0")</f>
        <v>0</v>
      </c>
      <c r="BP105" s="6">
        <f>COUNTIFS(Table5[Country],Tabela1[[#This Row],[Country]],Table5[Long Jump Classification],"&gt;0")</f>
        <v>0</v>
      </c>
      <c r="BQ105" s="6">
        <f>COUNTIFS(Table4[Country],Tabela1[[#This Row],[Country]],Table4[Pole Vault Classification],"&gt;0")</f>
        <v>0</v>
      </c>
      <c r="BR105" s="6">
        <f>COUNTIFS(Table5[Country],Tabela1[[#This Row],[Country]],Table5[Pole Vault Classification],"&gt;0")</f>
        <v>0</v>
      </c>
      <c r="BS105" s="6">
        <f>COUNTIFS(Table4[Country],Tabela1[[#This Row],[Country]],Table4[Shot Put Classification],"&gt;0")</f>
        <v>0</v>
      </c>
      <c r="BT105" s="6">
        <f>COUNTIFS(Table5[Country],Tabela1[[#This Row],[Country]],Table5[Shot Put Classification],"&gt;0")</f>
        <v>0</v>
      </c>
      <c r="BU105" s="6">
        <f>COUNTIFS(Table4[Country],Tabela1[[#This Row],[Country]],Table4[Triple Jump Classification],"&gt;0")</f>
        <v>0</v>
      </c>
      <c r="BV105" s="6">
        <f>COUNTIFS(Table5[Country],Tabela1[[#This Row],[Country]],Table5[Triple Jump Classification],"&gt;0")</f>
        <v>0</v>
      </c>
      <c r="BW105" s="6">
        <f>COUNTIFS(Table4[Country],Tabela1[[#This Row],[Country]],Table4[Decathlon Classification],"&gt;0")</f>
        <v>0</v>
      </c>
      <c r="BX105" s="6">
        <f>COUNTIFS(Table5[Country],Tabela1[[#This Row],[Country]],Table5[Heptathlon Classification],"&gt;0")</f>
        <v>0</v>
      </c>
      <c r="BY105" s="6">
        <f>COUNTIFS(Table61[Country],Tabela1[[#This Row],[Country]],Table61[Classification],"&gt;0")</f>
        <v>0</v>
      </c>
      <c r="BZ105" s="6">
        <f>COUNTIFS(Table38[Country],Tabela1[[#This Row],[Country]],Table38[Classification],"&gt;0")</f>
        <v>0</v>
      </c>
      <c r="CA105" s="6">
        <f>COUNTIFS(Table39[Country],Tabela1[[#This Row],[Country]],Table39[Men''s Classification],"&gt;0")</f>
        <v>0</v>
      </c>
      <c r="CB105" s="6">
        <f>COUNTIFS(Table39[Country],Tabela1[[#This Row],[Country]],Table39[Women''s Classification],"&gt;0")</f>
        <v>0</v>
      </c>
      <c r="CC105" s="6">
        <f>COUNTIFS(Table39[Country],Tabela1[[#This Row],[Country]],Table39[Mixed Classification],"&gt;0")</f>
        <v>0</v>
      </c>
      <c r="CD105" s="6">
        <f>COUNTIFS(Table89[Country],Tabela1[[#This Row],[Country]],Table89[Men''s Classification],"&gt;0")</f>
        <v>0</v>
      </c>
      <c r="CE105" s="6">
        <f>COUNTIFS(Table89[Country],Tabela1[[#This Row],[Country]],Table89[Women''s Classification],"&gt;0")</f>
        <v>0</v>
      </c>
      <c r="CF105" s="6">
        <f>COUNTIFS(Table90[Country],Tabela1[[#This Row],[Country]],Table90[Men''s Classification],"&gt;0")</f>
        <v>0</v>
      </c>
      <c r="CG105" s="6">
        <f>COUNTIFS(Table90[Country],Tabela1[[#This Row],[Country]],Table90[Women''s Classification],"&gt;0")</f>
        <v>0</v>
      </c>
      <c r="CH105" s="6">
        <f>COUNTIFS(Table60[Country],Tabela1[[#This Row],[Country]],Table60[Men''s Classification],"&gt;0")</f>
        <v>0</v>
      </c>
      <c r="CI105" s="6">
        <f>COUNTIFS(Table60[Country],Tabela1[[#This Row],[Country]],Table60[Women''s Classification],"&gt;0")</f>
        <v>0</v>
      </c>
      <c r="CJ105" s="6">
        <f>COUNTIFS(Table6[Country],Tabela1[[#This Row],[Country]],Table6[51kg Classification],"&gt;0")</f>
        <v>0</v>
      </c>
      <c r="CK105" s="6">
        <f>COUNTIFS(Table6[Country],Tabela1[[#This Row],[Country]],Table6[57kg Classification],"&gt;0")</f>
        <v>0</v>
      </c>
      <c r="CL105" s="6">
        <f>COUNTIFS(Table6[Country],Tabela1[[#This Row],[Country]],Table6[63.5kg Classification],"&gt;0")</f>
        <v>0</v>
      </c>
      <c r="CM105" s="6">
        <f>COUNTIFS(Table6[Country],Tabela1[[#This Row],[Country]],Table6[71kg Classification],"&gt;0")</f>
        <v>0</v>
      </c>
      <c r="CN105" s="6">
        <f>COUNTIFS(Table6[Country],Tabela1[[#This Row],[Country]],Table6[80kg Classification],"&gt;0")</f>
        <v>0</v>
      </c>
      <c r="CO105" s="6">
        <f>COUNTIFS(Table6[Country],Tabela1[[#This Row],[Country]],Table6[92kg Classification],"&gt;0")</f>
        <v>0</v>
      </c>
      <c r="CP105" s="6">
        <f>COUNTIFS(Table6[Country],Tabela1[[#This Row],[Country]],Table6[Plus 92kg Classification],"&gt;0")</f>
        <v>0</v>
      </c>
      <c r="CQ105" s="6">
        <f>COUNTIFS(Table7[Country],Tabela1[[#This Row],[Country]],Table7[50kg Classification],"&gt;0")</f>
        <v>0</v>
      </c>
      <c r="CR105" s="6">
        <f>COUNTIFS(Table7[Country],Tabela1[[#This Row],[Country]],Table7[54kg Classification],"&gt;0")</f>
        <v>0</v>
      </c>
      <c r="CS105" s="6">
        <f>COUNTIFS(Table7[Country],Tabela1[[#This Row],[Country]],Table7[57kg Classification],"&gt;0")</f>
        <v>0</v>
      </c>
      <c r="CT105" s="6">
        <f>COUNTIFS(Table7[Country],Tabela1[[#This Row],[Country]],Table7[60kg Classification],"&gt;0")</f>
        <v>0</v>
      </c>
      <c r="CU105" s="6">
        <f>COUNTIFS(Table7[Country],Tabela1[[#This Row],[Country]],Table7[66kg Classification],"&gt;0")</f>
        <v>0</v>
      </c>
      <c r="CV105" s="6">
        <f>COUNTIFS(Table7[Country],Tabela1[[#This Row],[Country]],Table7[75kg Classification],"&gt;0")</f>
        <v>0</v>
      </c>
      <c r="CW105" s="6">
        <f>COUNTIFS(Tabela94[Country],Tabela1[[#This Row],[Country]],Tabela94[Classification],"&gt;0")</f>
        <v>0</v>
      </c>
      <c r="CX105" s="6">
        <f>COUNTIFS(Tabela9499[Country],Tabela1[[#This Row],[Country]],Tabela9499[Classification],"&gt;0")</f>
        <v>0</v>
      </c>
      <c r="CY105" s="6">
        <f>COUNTIFS(Tabela107[Country],Tabela1[[#This Row],[Country]],Tabela107[C1 Slalom Classification],"&gt;0")</f>
        <v>0</v>
      </c>
      <c r="CZ105" s="6">
        <f>COUNTIFS(Tabela107122[Country],Tabela1[[#This Row],[Country]],Tabela107122[C1 Slalom Classification],"&gt;0")</f>
        <v>0</v>
      </c>
      <c r="DA105" s="6">
        <f>COUNTIFS(Tabela107[Country],Tabela1[[#This Row],[Country]],Tabela107[K1 Slalom Classification],"&gt;0")</f>
        <v>0</v>
      </c>
      <c r="DB105" s="6">
        <f>COUNTIFS(Tabela107122[Country],Tabela1[[#This Row],[Country]],Tabela107122[K1 Slalom Classification],"&gt;0")</f>
        <v>0</v>
      </c>
      <c r="DC105" s="6">
        <f>COUNTIFS(Tabela107[Country],Tabela1[[#This Row],[Country]],Tabela107[Kayak Cross Slalom Classification],"&gt;0")</f>
        <v>0</v>
      </c>
      <c r="DD105" s="6">
        <f>COUNTIFS(Tabela107122[Country],Tabela1[[#This Row],[Country]],Tabela107122[Kayak Cross Slalom Classification],"&gt;0")</f>
        <v>0</v>
      </c>
      <c r="DE105" s="6">
        <f>COUNTIFS(Table8[Country],Tabela1[[#This Row],[Country]],Table8[C1 200m Classification],"&gt;0")</f>
        <v>0</v>
      </c>
      <c r="DF105" s="6">
        <f>COUNTIFS(Table40[Country],Tabela1[[#This Row],[Country]],Table40[C1 1000m Classification],"&gt;0")</f>
        <v>0</v>
      </c>
      <c r="DG105" s="6">
        <f>COUNTIFS(Table68[Country],Tabela1[[#This Row],[Country]],Table68[Men''s C2 500m Classification],"&gt;0")</f>
        <v>0</v>
      </c>
      <c r="DH105" s="6">
        <f>COUNTIFS(Table68[Country],Tabela1[[#This Row],[Country]],Table68[Women''s C2 500m Classification],"&gt;0")</f>
        <v>0</v>
      </c>
      <c r="DI105" s="6">
        <f>COUNTIFS(Table8[Country],Tabela1[[#This Row],[Country]],Table8[K1 500m Classification],"&gt;0")</f>
        <v>0</v>
      </c>
      <c r="DJ105" s="6">
        <f>COUNTIFS(Table40[Country],Tabela1[[#This Row],[Country]],Table40[K1 1000m Classification],"&gt;0")</f>
        <v>0</v>
      </c>
      <c r="DK105" s="6">
        <f>COUNTIFS(Table68[Country],Tabela1[[#This Row],[Country]],Table68[Men''s K2 500m Classification],"&gt;0")</f>
        <v>0</v>
      </c>
      <c r="DL105" s="6">
        <f>COUNTIFS(Table68[Country],Tabela1[[#This Row],[Country]],Table68[Women''s K2 500m Classification],"&gt;0")</f>
        <v>0</v>
      </c>
      <c r="DM105" s="6">
        <f>COUNTIFS(Table83[Country],Tabela1[[#This Row],[Country]],Table83[Men''s K4 500m Classification],"&gt;0")</f>
        <v>0</v>
      </c>
      <c r="DN105" s="6">
        <f>COUNTIFS(Table83[Country],Tabela1[[#This Row],[Country]],Table83[Women''s K4 500m Classification],"&gt;0")</f>
        <v>0</v>
      </c>
      <c r="DO105" s="6">
        <f>COUNTIFS(Tabela126[Country],Tabela1[[#This Row],[Country]],Tabela126[Classification],"&gt;0")</f>
        <v>0</v>
      </c>
      <c r="DP105" s="6">
        <f>COUNTIFS(Tabela126130[Country],Tabela1[[#This Row],[Country]],Tabela126130[Classification],"&gt;0")</f>
        <v>0</v>
      </c>
      <c r="DQ105" s="6">
        <f>COUNTIFS(Table70[Country],Tabela1[[#This Row],[Country]],Table70[Classification],"&gt;0")</f>
        <v>0</v>
      </c>
      <c r="DR105" s="6">
        <f>COUNTIFS(Table80[Country],Tabela1[[#This Row],[Country]],Table80[Classification],"&gt;0")</f>
        <v>0</v>
      </c>
      <c r="DS105" s="6">
        <f>COUNTIFS(Table66[Country],Tabela1[[#This Row],[Country]],Table66[Classification],"&gt;0")</f>
        <v>0</v>
      </c>
      <c r="DT105" s="6">
        <f>COUNTIFS(Table67[Country],Tabela1[[#This Row],[Country]],Table67[Classification],"&gt;0")</f>
        <v>0</v>
      </c>
      <c r="DU105" s="6">
        <f>COUNTIFS(Table69[Country],Tabela1[[#This Row],[Country]],Table69[Keirin Classification],"&gt;0")</f>
        <v>0</v>
      </c>
      <c r="DV105" s="6">
        <f>COUNTIFS(Table41[Country],Tabela1[[#This Row],[Country]],Table41[Keirin Classification],"&gt;0")</f>
        <v>0</v>
      </c>
      <c r="DW105" s="6">
        <f>COUNTIFS(Table84[Country],Tabela1[[#This Row],[Country]],Table84[Men''s Madison Classification],"&gt;0")</f>
        <v>0</v>
      </c>
      <c r="DX105" s="6">
        <f>COUNTIFS(Table84[Country],Tabela1[[#This Row],[Country]],Table84[Women''s Madison Classification],"&gt;0")</f>
        <v>0</v>
      </c>
      <c r="DY105" s="6">
        <f>COUNTIFS(Table69[Country],Tabela1[[#This Row],[Country]],Table69[Omnium Classification],"&gt;0")</f>
        <v>0</v>
      </c>
      <c r="DZ105" s="6">
        <f>COUNTIFS(Table41[Country],Tabela1[[#This Row],[Country]],Table41[Omnium Classification],"&gt;0")</f>
        <v>0</v>
      </c>
      <c r="EA105" s="6">
        <f>COUNTIFS(Table9[Country],Tabela1[[#This Row],[Country]],Table9[Road Race Classification],"&gt;0")</f>
        <v>0</v>
      </c>
      <c r="EB105" s="6">
        <f>COUNTIFS(Table14[Country],Tabela1[[#This Row],[Country]],Table14[Road Race Classification],"&gt;0")</f>
        <v>0</v>
      </c>
      <c r="EC105" s="6">
        <f>COUNTIFS(Table69[Country],Tabela1[[#This Row],[Country]],Table69[Sprint Classification],"&gt;0")</f>
        <v>0</v>
      </c>
      <c r="ED105" s="6">
        <f>COUNTIFS(Table41[Country],Tabela1[[#This Row],[Country]],Table41[Sprint Classification],"&gt;0")</f>
        <v>0</v>
      </c>
      <c r="EE105" s="6">
        <f>COUNTIFS(Table85[Country],Tabela1[[#This Row],[Country]],Table85[Men''s Sprint Classification],"&gt;0")</f>
        <v>0</v>
      </c>
      <c r="EF105" s="6">
        <f>COUNTIFS(Table85[Country],Tabela1[[#This Row],[Country]],Table85[Women''s Sprint Classification],"&gt;0")</f>
        <v>0</v>
      </c>
      <c r="EG105" s="6">
        <f>COUNTIFS(Table85[Country],Tabela1[[#This Row],[Country]],Table85[Men''s Pursuit Classification],"&gt;0")</f>
        <v>0</v>
      </c>
      <c r="EH105" s="6">
        <f>COUNTIFS(Table85[Country],Tabela1[[#This Row],[Country]],Table85[Women''s Pursuit Classification],"&gt;0")</f>
        <v>0</v>
      </c>
      <c r="EI105" s="6">
        <f>COUNTIFS(Table9[Country],Tabela1[[#This Row],[Country]],Table9[Time-Trial Classification],"&gt;0")</f>
        <v>0</v>
      </c>
      <c r="EJ105" s="6">
        <f>COUNTIFS(Table14[Country],Tabela1[[#This Row],[Country]],Table14[Time-Trial Classification],"&gt;0")</f>
        <v>0</v>
      </c>
      <c r="EK105" s="6">
        <f>COUNTIFS(Table42[Country],Tabela1[[#This Row],[Country]],Table42[Springboard Classification],"&gt;0")</f>
        <v>0</v>
      </c>
      <c r="EL105" s="6">
        <f>COUNTIFS(Table43[Country],Tabela1[[#This Row],[Country]],Table43[Springboard Classification],"&gt;0")</f>
        <v>0</v>
      </c>
      <c r="EM105" s="6">
        <f>COUNTIFS(Table42[Country],Tabela1[[#This Row],[Country]],Table42[Platform Classification],"&gt;0")</f>
        <v>0</v>
      </c>
      <c r="EN105" s="6">
        <f>COUNTIFS(Table43[Country],Tabela1[[#This Row],[Country]],Table43[Platform Classification],"&gt;0")</f>
        <v>0</v>
      </c>
      <c r="EO105" s="6">
        <f>COUNTIFS(Table86[Country],Tabela1[[#This Row],[Country]],Table86[Men''s Synchronized Springboard Classification],"&gt;0")</f>
        <v>0</v>
      </c>
      <c r="EP105" s="6">
        <f>COUNTIFS(Table86[Country],Tabela1[[#This Row],[Country]],Table86[Women''s Synchronized Springboard Classification],"&gt;0")</f>
        <v>0</v>
      </c>
      <c r="EQ105" s="6">
        <f>COUNTIFS(Table86[Country],Tabela1[[#This Row],[Country]],Table86[Men''s Synchronized Platform Classification],"&gt;0")</f>
        <v>0</v>
      </c>
      <c r="ER105" s="6">
        <f>COUNTIFS(Table86[Country],Tabela1[[#This Row],[Country]],Table86[Women''s Synchronized Platform Classification],"&gt;0")</f>
        <v>0</v>
      </c>
      <c r="ES105" s="6">
        <f>COUNTIFS(Table44[Country],Tabela1[[#This Row],[Country]],Table44[Dressage Classification],"&gt;0")</f>
        <v>0</v>
      </c>
      <c r="ET105" s="6">
        <f>COUNTIFS(Table45[Country],Tabela1[[#This Row],[Country]],Table45[Dressage Classification],"&gt;0")</f>
        <v>0</v>
      </c>
      <c r="EU105" s="6">
        <f>COUNTIFS(Table44[Country],Tabela1[[#This Row],[Country]],Table44[Eventing Classification],"&gt;0")</f>
        <v>0</v>
      </c>
      <c r="EV105" s="6">
        <f>COUNTIFS(Table45[Country],Tabela1[[#This Row],[Country]],Table45[Eventing Classification],"&gt;0")</f>
        <v>0</v>
      </c>
      <c r="EW105" s="6">
        <f>COUNTIFS(Table44[Country],Tabela1[[#This Row],[Country]],Table44[Jumping Classification],"&gt;0")</f>
        <v>0</v>
      </c>
      <c r="EX105" s="6">
        <f>COUNTIFS(Table45[Country],Tabela1[[#This Row],[Country]],Table45[Jumping Classification],"&gt;0")</f>
        <v>0</v>
      </c>
      <c r="EY105" s="6">
        <f>COUNTIFS(Table10[Country],Tabela1[[#This Row],[Country]],Table10[Épée Classification],"&gt;0")</f>
        <v>0</v>
      </c>
      <c r="EZ105" s="6">
        <f>COUNTIFS(Table11[Country],Tabela1[[#This Row],[Country]],Table11[Épée Classification],"&gt;0")</f>
        <v>0</v>
      </c>
      <c r="FA105" s="6">
        <f>COUNTIFS(Table46[Country],Tabela1[[#This Row],[Country]],Table46[Men''s Épée Classification],"&gt;0")</f>
        <v>0</v>
      </c>
      <c r="FB105" s="6">
        <f>COUNTIFS(Table46[Country],Tabela1[[#This Row],[Country]],Table46[Women''s Épée Classification],"&gt;0")</f>
        <v>0</v>
      </c>
      <c r="FC105" s="6">
        <f>COUNTIFS(Table10[Country],Tabela1[[#This Row],[Country]],Table10[Foil Classification],"&gt;0")</f>
        <v>0</v>
      </c>
      <c r="FD105" s="6">
        <f>COUNTIFS(Table11[Country],Tabela1[[#This Row],[Country]],Table11[Foil Classification],"&gt;0")</f>
        <v>0</v>
      </c>
      <c r="FE105" s="6">
        <f>COUNTIFS(Table46[Country],Tabela1[[#This Row],[Country]],Table46[Men''s Foil Classification],"&gt;0")</f>
        <v>0</v>
      </c>
      <c r="FF105" s="6">
        <f>COUNTIFS(Table46[Country],Tabela1[[#This Row],[Country]],Table46[Women''s Foil Classification],"&gt;0")</f>
        <v>0</v>
      </c>
      <c r="FG105" s="6">
        <f>COUNTIFS(Table10[Country],Tabela1[[#This Row],[Country]],Table10[Sabre Classification],"&gt;0")</f>
        <v>0</v>
      </c>
      <c r="FH105" s="6">
        <f>COUNTIFS(Table11[Country],Tabela1[[#This Row],[Country]],Table11[Sabre Classification],"&gt;0")</f>
        <v>0</v>
      </c>
      <c r="FI105" s="6">
        <f>COUNTIFS(Table46[Country],Tabela1[[#This Row],[Country]],Table46[Men''s Sabre Classification],"&gt;0")</f>
        <v>0</v>
      </c>
      <c r="FJ105" s="6">
        <f>COUNTIFS(Table46[Country],Tabela1[[#This Row],[Country]],Table46[Women''s Sabre Classification],"&gt;0")</f>
        <v>0</v>
      </c>
      <c r="FK105" s="6">
        <f>COUNTIFS(Table91[Country],Tabela1[[#This Row],[Country]],Table91[Men''s Classification],"&gt;0")</f>
        <v>0</v>
      </c>
      <c r="FL105" s="6">
        <f>COUNTIFS(Table91[Country],Tabela1[[#This Row],[Country]],Table91[Women''s Classification],"&gt;0")</f>
        <v>0</v>
      </c>
      <c r="FM105" s="6">
        <f>COUNTIFS(Table9194[Country],Tabela1[[#This Row],[Country]],Table9194[Men''s Classification],"&gt;0")</f>
        <v>0</v>
      </c>
      <c r="FN105" s="6">
        <f>COUNTIFS(Table9194[Country],Tabela1[[#This Row],[Country]],Table9194[Women''s Classification],"&gt;0")</f>
        <v>0</v>
      </c>
      <c r="FO105" s="6">
        <f>COUNTIFS(Table71[Country],Tabela1[[#This Row],[Country]],Table71[Classification],"&gt;0")</f>
        <v>0</v>
      </c>
      <c r="FP105" s="6">
        <f>COUNTIFS(Table62[Country],Tabela1[[#This Row],[Country]],Table62[Classification],"&gt;0")</f>
        <v>0</v>
      </c>
      <c r="FQ105" s="6">
        <f>COUNTIFS(Table47[Country],Tabela1[[#This Row],[Country]],Table47[All-Around Classification],"&gt;0")</f>
        <v>0</v>
      </c>
      <c r="FR105" s="6">
        <f>COUNTIFS(Table48[Country],Tabela1[[#This Row],[Country]],Table48[All-Around Classification],"&gt;0")</f>
        <v>0</v>
      </c>
      <c r="FS105" s="6">
        <f>COUNTIFS(Table81[Country],Tabela1[[#This Row],[Country]],Table81[Men''s All-Around Classification],"&gt;0")</f>
        <v>0</v>
      </c>
      <c r="FT105" s="6">
        <f>COUNTIFS(Table81[Country],Tabela1[[#This Row],[Country]],Table81[Women''s All-Around Classification],"&gt;0")</f>
        <v>0</v>
      </c>
      <c r="FU105" s="6">
        <f>COUNTIFS(Table48[Country],Tabela1[[#This Row],[Country]],Table48[Balance Beam Classification],"&gt;0")</f>
        <v>0</v>
      </c>
      <c r="FV105" s="6">
        <f>COUNTIFS(Table47[Country],Tabela1[[#This Row],[Country]],Table47[Floor Exercise Classification],"&gt;0")</f>
        <v>0</v>
      </c>
      <c r="FW105" s="6">
        <f>COUNTIFS(Table48[Country],Tabela1[[#This Row],[Country]],Table48[Floor Exercise Classification],"&gt;0")</f>
        <v>0</v>
      </c>
      <c r="FX105" s="6">
        <f>COUNTIFS(Table47[Country],Tabela1[[#This Row],[Country]],Table47[Horizontal Bar Classification],"&gt;0")</f>
        <v>0</v>
      </c>
      <c r="FY105" s="6">
        <f>COUNTIFS(Table47[Country],Tabela1[[#This Row],[Country]],Table47[Parallel Bars Classification],"&gt;0")</f>
        <v>0</v>
      </c>
      <c r="FZ105" s="6">
        <f>COUNTIFS(Table47[Country],Tabela1[[#This Row],[Country]],Table47[Pommel Horse Classification],"&gt;0")</f>
        <v>0</v>
      </c>
      <c r="GA105" s="6">
        <f>COUNTIFS(Table47[Country],Tabela1[[#This Row],[Country]],Table47[Rings Classification],"&gt;0")</f>
        <v>0</v>
      </c>
      <c r="GB105" s="6">
        <f>COUNTIFS(Tabela132[Country],Tabela1[[#This Row],[Country]],Tabela132[Classification],"&gt;0")</f>
        <v>0</v>
      </c>
      <c r="GC105" s="6">
        <f>COUNTIFS(Tabela139[Country],Tabela1[[#This Row],[Country]],Tabela139[Classification],"&gt;0")</f>
        <v>0</v>
      </c>
      <c r="GD105" s="6">
        <f>COUNTIFS(Table48[Country],Tabela1[[#This Row],[Country]],Table48[Uneven Bars Classification],"&gt;0")</f>
        <v>0</v>
      </c>
      <c r="GE105" s="6">
        <f>COUNTIFS(Table47[Country],Tabela1[[#This Row],[Country]],Table47[Vault Classification],"&gt;0")</f>
        <v>0</v>
      </c>
      <c r="GF105" s="6">
        <f>COUNTIFS(Table48[Country],Tabela1[[#This Row],[Country]],Table48[Vault Classification],"&gt;0")</f>
        <v>0</v>
      </c>
      <c r="GG105" s="6">
        <f>COUNTIFS(Table919496[Country],Tabela1[[#This Row],[Country]],Table919496[Men''s Classification],"&gt;0")</f>
        <v>0</v>
      </c>
      <c r="GH105" s="6">
        <f>COUNTIFS(Table919496[Country],Tabela1[[#This Row],[Country]],Table919496[Women''s Classification],"&gt;0")</f>
        <v>0</v>
      </c>
      <c r="GI105" s="6">
        <f>COUNTIFS(Table12[Country],Tabela1[[#This Row],[Country]],Table12[60kg Classification],"&gt;0")</f>
        <v>0</v>
      </c>
      <c r="GJ105" s="6">
        <f>COUNTIFS(Table12[Country],Tabela1[[#This Row],[Country]],Table12[66kg Classification],"&gt;0")</f>
        <v>0</v>
      </c>
      <c r="GK105" s="6">
        <f>COUNTIFS(Table12[Country],Tabela1[[#This Row],[Country]],Table12[73kg Classification],"&gt;0")</f>
        <v>0</v>
      </c>
      <c r="GL105" s="6">
        <f>COUNTIFS(Table12[Country],Tabela1[[#This Row],[Country]],Table12[81kg Classification],"&gt;0")</f>
        <v>0</v>
      </c>
      <c r="GM105" s="6">
        <f>COUNTIFS(Table12[Country],Tabela1[[#This Row],[Country]],Table12[90kg Classification],"&gt;0")</f>
        <v>0</v>
      </c>
      <c r="GN105" s="6">
        <f>COUNTIFS(Table12[Country],Tabela1[[#This Row],[Country]],Table12[100kg Classification],"&gt;0")</f>
        <v>0</v>
      </c>
      <c r="GO105" s="6">
        <f>COUNTIFS(Table12[Country],Tabela1[[#This Row],[Country]],Table12[Plus 100kg Classification],"&gt;0")</f>
        <v>0</v>
      </c>
      <c r="GP105" s="6">
        <f>COUNTIFS(Table13[Country],Tabela1[[#This Row],[Country]],Table13[48kg Classification],"&gt;0")</f>
        <v>0</v>
      </c>
      <c r="GQ105" s="6">
        <f>COUNTIFS(Table13[Country],Tabela1[[#This Row],[Country]],Table13[52kg Classification],"&gt;0")</f>
        <v>0</v>
      </c>
      <c r="GR105" s="6">
        <f>COUNTIFS(Table13[Country],Tabela1[[#This Row],[Country]],Table13[57kg Classification],"&gt;0")</f>
        <v>0</v>
      </c>
      <c r="GS105" s="6">
        <f>COUNTIFS(Table13[Country],Tabela1[[#This Row],[Country]],Table13[63kg Classification],"&gt;0")</f>
        <v>0</v>
      </c>
      <c r="GT105" s="6">
        <f>COUNTIFS(Table13[Country],Tabela1[[#This Row],[Country]],Table13[70kg Classification],"&gt;0")</f>
        <v>0</v>
      </c>
      <c r="GU105" s="6">
        <f>COUNTIFS(Table13[Country],Tabela1[[#This Row],[Country]],Table13[78kg Classification],"&gt;0")</f>
        <v>0</v>
      </c>
      <c r="GV105" s="6">
        <f>COUNTIFS(Table13[Country],Tabela1[[#This Row],[Country]],Table13[Plus 78kg Classification],"&gt;0")</f>
        <v>0</v>
      </c>
      <c r="GW105" s="6">
        <f>COUNTIFS(Table82[Country],Tabela1[[#This Row],[Country]],Table82[Mixed Classification],"&gt;0")</f>
        <v>0</v>
      </c>
      <c r="GX105" s="6">
        <f>COUNTIFS(Table51[Country],Tabela1[[#This Row],[Country]],Table51[Classification],"&gt;0")</f>
        <v>0</v>
      </c>
      <c r="GY105" s="6">
        <f>COUNTIFS(Table52[Country],Tabela1[[#This Row],[Country]],Table52[Classification],"&gt;0")</f>
        <v>0</v>
      </c>
      <c r="GZ105" s="6">
        <f>COUNTIFS(Table32[Country],Tabela1[[#This Row],[Country]],Table32[All-Around Classification],"&gt;0")</f>
        <v>0</v>
      </c>
      <c r="HA105" s="6">
        <f>COUNTIFS(Table49[Country],Tabela1[[#This Row],[Country]],Table49[All-Around Classification],"&gt;0")</f>
        <v>0</v>
      </c>
      <c r="HB105" s="6">
        <f>COUNTIFS(Table26[Country],Tabela1[[#This Row],[Country]],Table26[Single Sculls Classification],"&gt;0")</f>
        <v>0</v>
      </c>
      <c r="HC105" s="6">
        <f>COUNTIFS(Table63[Country],Tabela1[[#This Row],[Country]],Table63[Single Sculls Classification],"&gt;0")</f>
        <v>0</v>
      </c>
      <c r="HD105" s="6">
        <f>COUNTIFS(Table16[Country],Tabela1[[#This Row],[Country]],Table16[Men''s Double Sculls Classification],"&gt;0")</f>
        <v>0</v>
      </c>
      <c r="HE105" s="6">
        <f>COUNTIFS(Table16[Country],Tabela1[[#This Row],[Country]],Table16[Women''s Double Sculls Classification],"&gt;0")</f>
        <v>0</v>
      </c>
      <c r="HF105" s="6">
        <f>COUNTIFS(Table72[Country],Tabela1[[#This Row],[Country]],Table72[Men''s Quadruple Sculls Classification],"&gt;0")</f>
        <v>0</v>
      </c>
      <c r="HG105" s="6">
        <f>COUNTIFS(Table72[Country],Tabela1[[#This Row],[Country]],Table72[Women''s Quadruple Sculls Classification],"&gt;0")</f>
        <v>0</v>
      </c>
      <c r="HH105" s="6">
        <f>COUNTIFS(Table16[Country],Tabela1[[#This Row],[Country]],Table16[Men''s Coxless Pairs Classification],"&gt;0")</f>
        <v>0</v>
      </c>
      <c r="HI105" s="6">
        <f>COUNTIFS(Table16[Country],Tabela1[[#This Row],[Country]],Table16[Women''s Coxless Pairs Classification],"&gt;0")</f>
        <v>0</v>
      </c>
      <c r="HJ105" s="6">
        <f>COUNTIFS(Table72[Country],Tabela1[[#This Row],[Country]],Table72[Men''s Coxless Fours Classification],"&gt;0")</f>
        <v>0</v>
      </c>
      <c r="HK105" s="6">
        <f>COUNTIFS(Table72[Country],Tabela1[[#This Row],[Country]],Table72[Women''s Coxless Fours Classification],"&gt;0")</f>
        <v>0</v>
      </c>
      <c r="HL105" s="6">
        <f>COUNTIFS(Table72[Country],Tabela1[[#This Row],[Country]],Table72[Men''s Eights Classification],"&gt;0")</f>
        <v>0</v>
      </c>
      <c r="HM105" s="6">
        <f>COUNTIFS(Table72[Country],Tabela1[[#This Row],[Country]],Table72[Women''s Eights Classification],"&gt;0")</f>
        <v>0</v>
      </c>
      <c r="HN105" s="6">
        <f>COUNTIFS(Table16[Country],Tabela1[[#This Row],[Country]],Table16[Men''s Lwt. Double Sculls Classification],"&gt;0")</f>
        <v>0</v>
      </c>
      <c r="HO105" s="6">
        <f>COUNTIFS(Table16[Country],Tabela1[[#This Row],[Country]],Table16[Women''s Lwt. Double Sculls Classification],"&gt;0")</f>
        <v>0</v>
      </c>
      <c r="HP105" s="6">
        <f>COUNTIFS(Table91949698[Country],Tabela1[[#This Row],[Country]],Table91949698[Men''s Classification],"&gt;0")</f>
        <v>0</v>
      </c>
      <c r="HQ105" s="6">
        <f>COUNTIFS(Table91949698[Country],Tabela1[[#This Row],[Country]],Table91949698[Women''s Classification],"&gt;0")</f>
        <v>0</v>
      </c>
      <c r="HR105" s="6">
        <f>COUNTIFS(Table25[Country],Tabela1[[#This Row],[Country]],Table25[Mixed 470 Classification],"&gt;0")</f>
        <v>0</v>
      </c>
      <c r="HS105" s="6">
        <f>COUNTIFS(Table25[Country],Tabela1[[#This Row],[Country]],Table25[Men''s 49er Classification],"&gt;0")</f>
        <v>0</v>
      </c>
      <c r="HT105" s="6">
        <f>COUNTIFS(Table25[Country],Tabela1[[#This Row],[Country]],Table25[Women''s 49er FX Classification],"&gt;0")</f>
        <v>0</v>
      </c>
      <c r="HU105" s="6">
        <f>COUNTIFS(Table17[Country],Tabela1[[#This Row],[Country]],Table17[Formula Kite Classification],"&gt;0")</f>
        <v>0</v>
      </c>
      <c r="HV105" s="6">
        <f>COUNTIFS(Table18[Country],Tabela1[[#This Row],[Country]],Table18[Formula Kite Classification],"&gt;0")</f>
        <v>0</v>
      </c>
      <c r="HW105" s="6">
        <f>COUNTIFS(Table17[Country],Tabela1[[#This Row],[Country]],Table17[ILCA 7 Classification],"&gt;0")</f>
        <v>0</v>
      </c>
      <c r="HX105" s="6">
        <f>COUNTIFS(Table18[Country],Tabela1[[#This Row],[Country]],Table18[ILCA 6 Classification],"&gt;0")</f>
        <v>0</v>
      </c>
      <c r="HY105" s="6">
        <f>COUNTIFS(Table17[Country],Tabela1[[#This Row],[Country]],Table17[IQFoil Classification],"&gt;0")</f>
        <v>0</v>
      </c>
      <c r="HZ105" s="6">
        <f>COUNTIFS(Table18[Country],Tabela1[[#This Row],[Country]],Table18[IQFoil Classification],"&gt;0")</f>
        <v>0</v>
      </c>
      <c r="IA105" s="6">
        <f>COUNTIFS(Table25[Country],Tabela1[[#This Row],[Country]],Table25[Mixed Nacra 17 Classification],"&gt;0")</f>
        <v>0</v>
      </c>
      <c r="IB105" s="6">
        <f>COUNTIFS(Table53[Country],Tabela1[[#This Row],[Country]],Table53[10m Air Pistol Classification],"&gt;0")</f>
        <v>0</v>
      </c>
      <c r="IC105" s="6">
        <f>COUNTIFS(Table19[Country],Tabela1[[#This Row],[Country]],Table19[10m Air Pistol Classification],"&gt;0")</f>
        <v>0</v>
      </c>
      <c r="ID105" s="6">
        <f>COUNTIFS(Table54[Country],Tabela1[[#This Row],[Country]],Table54[Mixed 10m Air Pistol Team Classification],"&gt;0")</f>
        <v>0</v>
      </c>
      <c r="IE105" s="6">
        <f>COUNTIFS(Table53[Country],Tabela1[[#This Row],[Country]],Table53[10m Air Rifle Classification],"&gt;0")</f>
        <v>0</v>
      </c>
      <c r="IF105" s="6">
        <f>COUNTIFS(Table19[Country],Tabela1[[#This Row],[Country]],Table19[10m Air Rifle Classification],"&gt;0")</f>
        <v>0</v>
      </c>
      <c r="IG105" s="6">
        <f>COUNTIFS(Table54[Country],Tabela1[[#This Row],[Country]],Table54[Mixed 10m Air Rifle Team Classification],"&gt;0")</f>
        <v>0</v>
      </c>
      <c r="IH105" s="6">
        <f>COUNTIFS(Table53[Country],Tabela1[[#This Row],[Country]],Table53[25m Rapid Fire Pistol Classification],"&gt;0")</f>
        <v>0</v>
      </c>
      <c r="II105" s="6">
        <f>COUNTIFS(Table19[Country],Tabela1[[#This Row],[Country]],Table19[25m Pistol Classification],"&gt;0")</f>
        <v>0</v>
      </c>
      <c r="IJ105" s="6">
        <f>COUNTIFS(Table53[Country],Tabela1[[#This Row],[Country]],Table53[50m Rifle 3 Positions Classification],"&gt;0")</f>
        <v>0</v>
      </c>
      <c r="IK105" s="6">
        <f>COUNTIFS(Table19[Country],Tabela1[[#This Row],[Country]],Table19[50m Rifle 3 Positions Classification],"&gt;0")</f>
        <v>0</v>
      </c>
      <c r="IL105" s="6">
        <f>COUNTIFS(Table53[Country],Tabela1[[#This Row],[Country]],Table53[Skeet Classification],"&gt;0")</f>
        <v>0</v>
      </c>
      <c r="IM105" s="6">
        <f>COUNTIFS(Table19[Country],Tabela1[[#This Row],[Country]],Table19[Skeet Classification],"&gt;0")</f>
        <v>0</v>
      </c>
      <c r="IN105" s="6">
        <f>COUNTIFS(Table54[Country],Tabela1[[#This Row],[Country]],Table54[Mixed Skeet Team Classification],"&gt;0")</f>
        <v>0</v>
      </c>
      <c r="IO105" s="6">
        <f>COUNTIFS(Table53[Country],Tabela1[[#This Row],[Country]],Table53[Trap Classification],"&gt;0")</f>
        <v>0</v>
      </c>
      <c r="IP105" s="6">
        <f>COUNTIFS(Table19[Country],Tabela1[[#This Row],[Country]],Table19[Trap Classification],"&gt;0")</f>
        <v>0</v>
      </c>
      <c r="IQ105" s="6">
        <f>COUNTIFS(Table73[Country],Tabela1[[#This Row],[Country]],Table73[Park Classification],"&gt;0")</f>
        <v>0</v>
      </c>
      <c r="IR105" s="6">
        <f>COUNTIFS(Table74[Country],Tabela1[[#This Row],[Country]],Table74[Park Classification],"&gt;0")</f>
        <v>0</v>
      </c>
      <c r="IS105" s="6">
        <f>COUNTIFS(Table73[Country],Tabela1[[#This Row],[Country]],Table73[Street Classification],"&gt;0")</f>
        <v>0</v>
      </c>
      <c r="IT105" s="6">
        <f>COUNTIFS(Table74[Country],Tabela1[[#This Row],[Country]],Table74[Street Classification],"&gt;0")</f>
        <v>0</v>
      </c>
      <c r="IU105" s="6">
        <f>COUNTIFS(Table75[Country],Tabela1[[#This Row],[Country]],Table75[Boulder and Lead Classification],"&gt;0")</f>
        <v>0</v>
      </c>
      <c r="IV105" s="6">
        <f>COUNTIFS(Table76[Country],Tabela1[[#This Row],[Country]],Table76[Boulder and Lead Classification],"&gt;0")</f>
        <v>0</v>
      </c>
      <c r="IW105" s="6">
        <f>COUNTIFS(Table75[Country],Tabela1[[#This Row],[Country]],Table75[Speed Classification],"&gt;0")</f>
        <v>0</v>
      </c>
      <c r="IX105" s="6">
        <f>COUNTIFS(Table76[Country],Tabela1[[#This Row],[Country]],Table76[Speed Classification],"&gt;0")</f>
        <v>0</v>
      </c>
      <c r="IY105" s="6">
        <f>COUNTIFS(Table64[Country],Tabela1[[#This Row],[Country]],Table64[Shortboard Classification],"&gt;0")</f>
        <v>0</v>
      </c>
      <c r="IZ105" s="6">
        <f>COUNTIFS(Table77[Country],Tabela1[[#This Row],[Country]],Table77[Shortboard Classification],"&gt;0")</f>
        <v>0</v>
      </c>
      <c r="JA105" s="6">
        <f>COUNTIFS(Table20[Country],Tabela1[[#This Row],[Country]],Table20[50m Freestyle Classification],"&gt;0")</f>
        <v>0</v>
      </c>
      <c r="JB105" s="6">
        <f>COUNTIFS(Table21[Country],Tabela1[[#This Row],[Country]],Table21[50m Freestyle Classification],"&gt;0")</f>
        <v>0</v>
      </c>
      <c r="JC105" s="6">
        <f>COUNTIFS(Table20[Country],Tabela1[[#This Row],[Country]],Table20[100m Freestyle Classification],"&gt;0")</f>
        <v>0</v>
      </c>
      <c r="JD105" s="6">
        <f>COUNTIFS(Table21[Country],Tabela1[[#This Row],[Country]],Table21[100m Freestyle Classification],"&gt;0")</f>
        <v>0</v>
      </c>
      <c r="JE105" s="6">
        <f>COUNTIFS(Table20[Country],Tabela1[[#This Row],[Country]],Table20[200m Freestyle Classification],"&gt;0")</f>
        <v>0</v>
      </c>
      <c r="JF105" s="6">
        <f>COUNTIFS(Table21[Country],Tabela1[[#This Row],[Country]],Table21[200m Freestyle Classification],"&gt;0")</f>
        <v>0</v>
      </c>
      <c r="JG105" s="6">
        <f>COUNTIFS(Table20[Country],Tabela1[[#This Row],[Country]],Table20[400m Freestyle Classification],"&gt;0")</f>
        <v>0</v>
      </c>
      <c r="JH105" s="6">
        <f>COUNTIFS(Table21[Country],Tabela1[[#This Row],[Country]],Table21[400m Freestyle Classification],"&gt;0")</f>
        <v>0</v>
      </c>
      <c r="JI105" s="6">
        <f>COUNTIFS(Table20[Country],Tabela1[[#This Row],[Country]],Table20[800m Freestyle Classification],"&gt;0")</f>
        <v>0</v>
      </c>
      <c r="JJ105" s="6">
        <f>COUNTIFS(Table21[Country],Tabela1[[#This Row],[Country]],Table21[800m Freestyle Classification],"&gt;0")</f>
        <v>0</v>
      </c>
      <c r="JK105" s="6">
        <f>COUNTIFS(Table20[Country],Tabela1[[#This Row],[Country]],Table20[1500m Freestyle Classification],"&gt;0")</f>
        <v>0</v>
      </c>
      <c r="JL105" s="6">
        <f>COUNTIFS(Table21[Country],Tabela1[[#This Row],[Country]],Table21[1500m Freestyle Classification],"&gt;0")</f>
        <v>0</v>
      </c>
      <c r="JM105" s="6">
        <f>COUNTIFS(Table20[Country],Tabela1[[#This Row],[Country]],Table20[100m Backstroke Classification],"&gt;0")</f>
        <v>0</v>
      </c>
      <c r="JN105" s="6">
        <f>COUNTIFS(Table21[Country],Tabela1[[#This Row],[Country]],Table21[100m Backstroke Classification],"&gt;0")</f>
        <v>0</v>
      </c>
      <c r="JO105" s="6">
        <f>COUNTIFS(Table20[Country],Tabela1[[#This Row],[Country]],Table20[200m Backstroke Classification],"&gt;0")</f>
        <v>0</v>
      </c>
      <c r="JP105" s="6">
        <f>COUNTIFS(Table21[Country],Tabela1[[#This Row],[Country]],Table21[200m Backstroke Classification],"&gt;0")</f>
        <v>0</v>
      </c>
      <c r="JQ105" s="6">
        <f>COUNTIFS(Table20[Country],Tabela1[[#This Row],[Country]],Table20[100m Breaststroke Classification],"&gt;0")</f>
        <v>0</v>
      </c>
      <c r="JR105" s="6">
        <f>COUNTIFS(Table21[Country],Tabela1[[#This Row],[Country]],Table21[100m Breaststroke Classification],"&gt;0")</f>
        <v>0</v>
      </c>
      <c r="JS105" s="6">
        <f>COUNTIFS(Table20[Country],Tabela1[[#This Row],[Country]],Table20[200m Breaststroke Classification],"&gt;0")</f>
        <v>0</v>
      </c>
      <c r="JT105" s="6">
        <f>COUNTIFS(Table21[Country],Tabela1[[#This Row],[Country]],Table21[200m Breaststroke Classification],"&gt;0")</f>
        <v>0</v>
      </c>
      <c r="JU105" s="6">
        <f>COUNTIFS(Table20[Country],Tabela1[[#This Row],[Country]],Table20[100m Butterfly Classification],"&gt;0")</f>
        <v>0</v>
      </c>
      <c r="JV105" s="6">
        <f>COUNTIFS(Table21[Country],Tabela1[[#This Row],[Country]],Table21[100m Butterfly Classification],"&gt;0")</f>
        <v>0</v>
      </c>
      <c r="JW105" s="6">
        <f>COUNTIFS(Table20[Country],Tabela1[[#This Row],[Country]],Table20[200m Butterfly Classification],"&gt;0")</f>
        <v>0</v>
      </c>
      <c r="JX105" s="6">
        <f>COUNTIFS(Table21[Country],Tabela1[[#This Row],[Country]],Table21[200m Butterfly Classification],"&gt;0")</f>
        <v>0</v>
      </c>
      <c r="JY105" s="6">
        <f>COUNTIFS(Table20[Country],Tabela1[[#This Row],[Country]],Table20[200m Medley Classification],"&gt;0")</f>
        <v>0</v>
      </c>
      <c r="JZ105" s="6">
        <f>COUNTIFS(Table21[Country],Tabela1[[#This Row],[Country]],Table21[200m Medley Classification],"&gt;0")</f>
        <v>0</v>
      </c>
      <c r="KA105" s="6">
        <f>COUNTIFS(Table20[Country],Tabela1[[#This Row],[Country]],Table20[400m Medley Classification],"&gt;0")</f>
        <v>0</v>
      </c>
      <c r="KB105" s="6">
        <f>COUNTIFS(Table21[Country],Tabela1[[#This Row],[Country]],Table21[400m Medley Classification],"&gt;0")</f>
        <v>0</v>
      </c>
      <c r="KC105" s="6">
        <f>COUNTIFS(Table78[Country],Tabela1[[#This Row],[Country]],Table78[Men''s 4x100m Freestyle Relay Classification],"&gt;0")</f>
        <v>0</v>
      </c>
      <c r="KD105" s="6">
        <f>COUNTIFS(Table78[Country],Tabela1[[#This Row],[Country]],Table78[Women''s 4x100m Freestyle Relay Classification],"&gt;0")</f>
        <v>0</v>
      </c>
      <c r="KE105" s="6">
        <f>COUNTIFS(Table78[Country],Tabela1[[#This Row],[Country]],Table78[Men''s 4x200m Freestyle Relay Classification],"&gt;0")</f>
        <v>0</v>
      </c>
      <c r="KF105" s="6">
        <f>COUNTIFS(Table78[Country],Tabela1[[#This Row],[Country]],Table78[Women''s 4x200m Freestyle Relay Classification],"&gt;0")</f>
        <v>0</v>
      </c>
      <c r="KG105" s="6">
        <f>COUNTIFS(Table78[Country],Tabela1[[#This Row],[Country]],Table78[Men''s 4x100m Medley Relay Classification],"&gt;0")</f>
        <v>0</v>
      </c>
      <c r="KH105" s="6">
        <f>COUNTIFS(Table78[Country],Tabela1[[#This Row],[Country]],Table78[Women''s 4x100m Medley Relay Classification],"&gt;0")</f>
        <v>0</v>
      </c>
      <c r="KI105" s="6">
        <f>COUNTIFS(Table78[Country],Tabela1[[#This Row],[Country]],Table78[Mixed 4x100m Medley Relay Classification],"&gt;0")</f>
        <v>0</v>
      </c>
      <c r="KJ105" s="6">
        <f>COUNTIFS(Table20[Country],Tabela1[[#This Row],[Country]],Table20[10km Open Water Classification],"&gt;0")</f>
        <v>0</v>
      </c>
      <c r="KK105" s="6">
        <f>COUNTIFS(Table21[Country],Tabela1[[#This Row],[Country]],Table21[10km Open Water Classification],"&gt;0")</f>
        <v>0</v>
      </c>
      <c r="KL105" s="6">
        <f>COUNTIFS(Table22[Country],Tabela1[[#This Row],[Country]],Table22[Classification],"&gt;0")</f>
        <v>0</v>
      </c>
      <c r="KM105" s="6">
        <f>COUNTIFS(Table30[Country],Tabela1[[#This Row],[Country]],Table30[Classification],"&gt;0")</f>
        <v>0</v>
      </c>
      <c r="KN105" s="6">
        <f>COUNTIFS(Table55[Country],Tabela1[[#This Row],[Country]],Table55[Men''s Classification],"&gt;0")</f>
        <v>0</v>
      </c>
      <c r="KO105" s="6">
        <f>COUNTIFS(Table55[Country],Tabela1[[#This Row],[Country]],Table55[Women''s Classification],"&gt;0")</f>
        <v>0</v>
      </c>
      <c r="KP105" s="6">
        <f>COUNTIFS(Table56[Country],Tabela1[[#This Row],[Country]],Table56[Mixed Classification],"&gt;0")</f>
        <v>0</v>
      </c>
      <c r="KQ105" s="6">
        <f>COUNTIFS(Table29[Country],Tabela1[[#This Row],[Country]],Table29[58kg Classification],"&gt;0")</f>
        <v>0</v>
      </c>
      <c r="KR105" s="6">
        <f>COUNTIFS(Table29[Country],Tabela1[[#This Row],[Country]],Table29[68kg Classification],"&gt;0")</f>
        <v>0</v>
      </c>
      <c r="KS105" s="6">
        <f>COUNTIFS(Table29[Country],Tabela1[[#This Row],[Country]],Table29[80kg Classification],"&gt;0")</f>
        <v>0</v>
      </c>
      <c r="KT105" s="6">
        <f>COUNTIFS(Table29[Country],Tabela1[[#This Row],[Country]],Table29[Plus 80kg Classification],"&gt;0")</f>
        <v>0</v>
      </c>
      <c r="KU105" s="6">
        <f>COUNTIFS(Table34[Country],Tabela1[[#This Row],[Country]],Table34[49kg Classification],"&gt;0")</f>
        <v>0</v>
      </c>
      <c r="KV105" s="6">
        <f>COUNTIFS(Table34[Country],Tabela1[[#This Row],[Country]],Table34[57kg Classification],"&gt;0")</f>
        <v>0</v>
      </c>
      <c r="KW105" s="6">
        <f>COUNTIFS(Table34[Country],Tabela1[[#This Row],[Country]],Table34[67kg Classification],"&gt;0")</f>
        <v>0</v>
      </c>
      <c r="KX105" s="6">
        <f>COUNTIFS(Table34[Country],Tabela1[[#This Row],[Country]],Table34[Plus 67kg Classification],"&gt;0")</f>
        <v>0</v>
      </c>
      <c r="KY105" s="6">
        <f>COUNTIFS(Table57[Country],Tabela1[[#This Row],[Country]],Table57[Classification],"&gt;0")</f>
        <v>0</v>
      </c>
      <c r="KZ105" s="6">
        <f>COUNTIFS(Table58[Country],Tabela1[[#This Row],[Country]],Table58[Classification],"&gt;0")</f>
        <v>0</v>
      </c>
      <c r="LA105" s="6">
        <f>COUNTIFS(Table79[Country],Tabela1[[#This Row],[Country]],Table79[Men''s Classification],"&gt;0")</f>
        <v>0</v>
      </c>
      <c r="LB105" s="6">
        <f>COUNTIFS(Table79[Country],Tabela1[[#This Row],[Country]],Table79[Women''s Classification],"&gt;0")</f>
        <v>0</v>
      </c>
      <c r="LC105" s="6">
        <f>COUNTIFS(Table79[Country],Tabela1[[#This Row],[Country]],Table79[Mixed Classification],"&gt;0")</f>
        <v>0</v>
      </c>
      <c r="LD105" s="6">
        <f>COUNTIFS(Table65[Country],Tabela1[[#This Row],[Country]],Table65[Classification],"&gt;0")</f>
        <v>0</v>
      </c>
      <c r="LE105" s="6">
        <f>COUNTIFS(Table59[Country],Tabela1[[#This Row],[Country]],Table59[Classification],"&gt;0")</f>
        <v>0</v>
      </c>
      <c r="LF105" s="6">
        <f>COUNTIFS(Table87[Country],Tabela1[[#This Row],[Country]],Table87[Mixed Relay Classification],"&gt;0")</f>
        <v>0</v>
      </c>
      <c r="LG105" s="6">
        <f>COUNTIFS(Table91949698100[Country],Tabela1[[#This Row],[Country]],Table91949698100[Men''s Classification],"&gt;0")</f>
        <v>0</v>
      </c>
      <c r="LH105" s="6">
        <f>COUNTIFS(Table91949698100[Country],Tabela1[[#This Row],[Country]],Table91949698100[Women''s Classification],"&gt;0")</f>
        <v>0</v>
      </c>
      <c r="LI105" s="6">
        <f>COUNTIFS(Table91949698100102[Country],Tabela1[[#This Row],[Country]],Table91949698100102[Men''s Classification],"&gt;0")</f>
        <v>0</v>
      </c>
      <c r="LJ105" s="6">
        <f>COUNTIFS(Table91949698100102[Country],Tabela1[[#This Row],[Country]],Table91949698100102[Women''s Classification],"&gt;0")</f>
        <v>0</v>
      </c>
      <c r="LK105" s="6">
        <f>COUNTIFS(Table23[Country],Tabela1[[#This Row],[Country]],Table23[61kg Classification],"&gt;0")</f>
        <v>0</v>
      </c>
      <c r="LL105" s="6">
        <f>COUNTIFS(Table23[Country],Tabela1[[#This Row],[Country]],Table23[73kg Classification],"&gt;0")</f>
        <v>0</v>
      </c>
      <c r="LM105" s="6">
        <f>COUNTIFS(Table23[Country],Tabela1[[#This Row],[Country]],Table23[89kg Classification],"&gt;0")</f>
        <v>0</v>
      </c>
      <c r="LN105" s="6">
        <f>COUNTIFS(Table23[Country],Tabela1[[#This Row],[Country]],Table23[102kg Classification],"&gt;0")</f>
        <v>0</v>
      </c>
      <c r="LO105" s="6">
        <f>COUNTIFS(Table23[Country],Tabela1[[#This Row],[Country]],Table23[Plus 102kg Classification],"&gt;0")</f>
        <v>0</v>
      </c>
      <c r="LP105" s="6">
        <f>COUNTIFS(Table28[Country],Tabela1[[#This Row],[Country]],Table28[49kg Classification],"&gt;0")</f>
        <v>0</v>
      </c>
      <c r="LQ105" s="6">
        <f>COUNTIFS(Table28[Country],Tabela1[[#This Row],[Country]],Table28[59kg Classification],"&gt;0")</f>
        <v>0</v>
      </c>
      <c r="LR105" s="6">
        <f>COUNTIFS(Table28[Country],Tabela1[[#This Row],[Country]],Table28[71kg Classification],"&gt;0")</f>
        <v>0</v>
      </c>
      <c r="LS105" s="6">
        <f>COUNTIFS(Table28[Country],Tabela1[[#This Row],[Country]],Table28[81kg Classification],"&gt;0")</f>
        <v>0</v>
      </c>
      <c r="LT105" s="6">
        <f>COUNTIFS(Table28[Country],Tabela1[[#This Row],[Country]],Table28[Plus 81kg Classification],"&gt;0")</f>
        <v>0</v>
      </c>
      <c r="LU105" s="6">
        <f>COUNTIFS(Table24[Country],Tabela1[[#This Row],[Country]],Table24[Freestyle 57kg Classification],"&gt;0")</f>
        <v>0</v>
      </c>
      <c r="LV105" s="6">
        <f>COUNTIFS(Table24[Country],Tabela1[[#This Row],[Country]],Table24[Freestyle 65kg Classification],"&gt;0")</f>
        <v>0</v>
      </c>
      <c r="LW105" s="6">
        <f>COUNTIFS(Table24[Country],Tabela1[[#This Row],[Country]],Table24[Freestyle 74kg Classification],"&gt;0")</f>
        <v>0</v>
      </c>
      <c r="LX105" s="6">
        <f>COUNTIFS(Table24[Country],Tabela1[[#This Row],[Country]],Table24[Freestyle 86kg Classification],"&gt;0")</f>
        <v>0</v>
      </c>
      <c r="LY105" s="6">
        <f>COUNTIFS(Table24[Country],Tabela1[[#This Row],[Country]],Table24[Freestyle 97kg Classification],"&gt;0")</f>
        <v>0</v>
      </c>
      <c r="LZ105" s="6">
        <f>COUNTIFS(Table24[Country],Tabela1[[#This Row],[Country]],Table24[Freestyle 125kg Classification],"&gt;0")</f>
        <v>0</v>
      </c>
      <c r="MA105" s="6">
        <f>COUNTIFS(Table24[Country],Tabela1[[#This Row],[Country]],Table24[Greco-Roman 60kg Classification],"&gt;0")</f>
        <v>0</v>
      </c>
      <c r="MB105" s="6">
        <f>COUNTIFS(Table24[Country],Tabela1[[#This Row],[Country]],Table24[Greco-Roman 67kg Classification],"&gt;0")</f>
        <v>0</v>
      </c>
      <c r="MC105" s="6">
        <f>COUNTIFS(Table24[Country],Tabela1[[#This Row],[Country]],Table24[Greco-Roman 77kg Classification],"&gt;0")</f>
        <v>0</v>
      </c>
      <c r="MD105" s="6">
        <f>COUNTIFS(Table24[Country],Tabela1[[#This Row],[Country]],Table24[Greco-Roman 87kg Classification],"&gt;0")</f>
        <v>0</v>
      </c>
      <c r="ME105" s="6">
        <f>COUNTIFS(Table24[Country],Tabela1[[#This Row],[Country]],Table24[Greco-Roman 97kg Classification],"&gt;0")</f>
        <v>0</v>
      </c>
      <c r="MF105" s="6">
        <f>COUNTIFS(Table24[Country],Tabela1[[#This Row],[Country]],Table24[Greco-Roman 130kg Classification],"&gt;0")</f>
        <v>0</v>
      </c>
      <c r="MG105" s="6">
        <f>COUNTIFS(Table31[Country],Tabela1[[#This Row],[Country]],Table31[50kg Classification],"&gt;0")</f>
        <v>0</v>
      </c>
      <c r="MH105" s="6">
        <f>COUNTIFS(Table31[Country],Tabela1[[#This Row],[Country]],Table31[53kg Classification],"&gt;0")</f>
        <v>0</v>
      </c>
      <c r="MI105" s="6">
        <f>COUNTIFS(Table31[Country],Tabela1[[#This Row],[Country]],Table31[57kg Classification],"&gt;0")</f>
        <v>0</v>
      </c>
      <c r="MJ105" s="6">
        <f>COUNTIFS(Table31[Country],Tabela1[[#This Row],[Country]],Table31[62kg Classification],"&gt;0")</f>
        <v>0</v>
      </c>
      <c r="MK105" s="6">
        <f>COUNTIFS(Table31[Country],Tabela1[[#This Row],[Country]],Table31[68kg Classification],"&gt;0")</f>
        <v>0</v>
      </c>
      <c r="ML105" s="6">
        <f>COUNTIFS(Table31[Country],Tabela1[[#This Row],[Country]],Table31[76kg Classification],"&gt;0")</f>
        <v>0</v>
      </c>
      <c r="MM105" s="6">
        <f>COUNTIFS(Table102[Country],Tabela1[[#This Row],[Country]],Table102[Downhill Classification],"&gt;0")</f>
        <v>0</v>
      </c>
      <c r="MN105" s="6">
        <f>COUNTIFS(Table102105[Country],Tabela1[[#This Row],[Country]],Table102105[Downhill Classification],"&gt;0")</f>
        <v>0</v>
      </c>
      <c r="MO105" s="6">
        <f>COUNTIFS(Table102[Country],Tabela1[[#This Row],[Country]],Table102[Giant Slalom Classification],"&gt;0")</f>
        <v>1</v>
      </c>
      <c r="MP105" s="6">
        <f>COUNTIFS(Table102105[Country],Tabela1[[#This Row],[Country]],Table102105[Giant Slalom Classification],"&gt;0")</f>
        <v>0</v>
      </c>
      <c r="MQ105" s="6">
        <f>COUNTIFS(Table102[Country],Tabela1[[#This Row],[Country]],Table102[Slalom Classification],"&gt;0")</f>
        <v>1</v>
      </c>
      <c r="MR105" s="6">
        <f>COUNTIFS(Table102105[Country],Tabela1[[#This Row],[Country]],Table102105[Slalom Classification],"&gt;0")</f>
        <v>0</v>
      </c>
      <c r="MS105" s="6">
        <f>COUNTIFS(Table102[Country],Tabela1[[#This Row],[Country]],Table102[Super-G Classification],"&gt;0")</f>
        <v>0</v>
      </c>
      <c r="MT105" s="6">
        <f>COUNTIFS(Table102105[Country],Tabela1[[#This Row],[Country]],Table102105[Super-G Classification],"&gt;0")</f>
        <v>0</v>
      </c>
      <c r="MU105" s="6">
        <f>COUNTIFS(Table105[Country],Tabela1[[#This Row],[Country]],Table105[Men''s Combined Classification],"&gt;0")</f>
        <v>0</v>
      </c>
      <c r="MV105" s="6">
        <f>COUNTIFS(Table105[Country],Tabela1[[#This Row],[Country]],Table105[Women''s Combined Classification],"&gt;0")</f>
        <v>0</v>
      </c>
      <c r="MW105" s="6">
        <f>COUNTIFS(Table106[Country],Tabela1[[#This Row],[Country]],Table106[Individual Classification],"&gt;0")</f>
        <v>0</v>
      </c>
      <c r="MX105" s="6">
        <f>COUNTIFS(Table106109[Country],Tabela1[[#This Row],[Country]],Table106109[Individual Classification],"&gt;0")</f>
        <v>0</v>
      </c>
      <c r="MY105" s="6">
        <f>COUNTIFS(Table106[Country],Tabela1[[#This Row],[Country]],Table106[Mass Start Classification],"&gt;0")</f>
        <v>0</v>
      </c>
      <c r="MZ105" s="6">
        <f>COUNTIFS(Table106109[Country],Tabela1[[#This Row],[Country]],Table106109[Mass Start Classification],"&gt;0")</f>
        <v>0</v>
      </c>
      <c r="NA105" s="6">
        <f>COUNTIFS(Table106[Country],Tabela1[[#This Row],[Country]],Table106[Pursuit Classification],"&gt;0")</f>
        <v>0</v>
      </c>
      <c r="NB105" s="6">
        <f>COUNTIFS(Table106109[Country],Tabela1[[#This Row],[Country]],Table106109[Pursuit Classification],"&gt;0")</f>
        <v>0</v>
      </c>
      <c r="NC105" s="6">
        <f>COUNTIFS(Table106[Country],Tabela1[[#This Row],[Country]],Table106[Sprint Classification],"&gt;0")</f>
        <v>0</v>
      </c>
      <c r="ND105" s="6">
        <f>COUNTIFS(Table106109[Country],Tabela1[[#This Row],[Country]],Table106109[Sprint Classification],"&gt;0")</f>
        <v>0</v>
      </c>
      <c r="NE105" s="6">
        <f>COUNTIFS(Table109[Country],Tabela1[[#This Row],[Country]],Table109[Men''s Relay Classification],"&gt;0")</f>
        <v>0</v>
      </c>
      <c r="NF105" s="6">
        <f>COUNTIFS(Table109[Country],Tabela1[[#This Row],[Country]],Table109[Women''s Relay Classification],"&gt;0")</f>
        <v>0</v>
      </c>
      <c r="NG105" s="6">
        <f>COUNTIFS(Table109[Country],Tabela1[[#This Row],[Country]],Table109[Mixed Relay Classification],"&gt;0")</f>
        <v>0</v>
      </c>
      <c r="NH105" s="6">
        <f>COUNTIFS(Table110[Country],Tabela1[[#This Row],[Country]],Table110[Monobob Classification],"&gt;0")</f>
        <v>0</v>
      </c>
      <c r="NI105" s="6">
        <f>COUNTIFS(Table111[Country],Tabela1[[#This Row],[Country]],Table111[Men''s Classification],"&gt;0")</f>
        <v>0</v>
      </c>
      <c r="NJ105" s="6">
        <f>COUNTIFS(Table111[Country],Tabela1[[#This Row],[Country]],Table111[Women''s Classification],"&gt;0")</f>
        <v>0</v>
      </c>
      <c r="NK105" s="6">
        <f>COUNTIFS(Table112[Country],Tabela1[[#This Row],[Country]],Table112[Men''s Four Classification],"&gt;0")</f>
        <v>0</v>
      </c>
      <c r="NL105" s="6">
        <f>COUNTIFS(Table113[Country],Tabela1[[#This Row],[Country]],Table113[Classical Classification],"&gt;0")</f>
        <v>0</v>
      </c>
      <c r="NM105" s="6">
        <f>COUNTIFS(Table113116[Country],Tabela1[[#This Row],[Country]],Table113116[Classical Classification],"&gt;0")</f>
        <v>0</v>
      </c>
      <c r="NN105" s="6">
        <f>COUNTIFS(Table113[Country],Tabela1[[#This Row],[Country]],Table113[Freestyle Classification],"&gt;0")</f>
        <v>0</v>
      </c>
      <c r="NO105" s="6">
        <f>COUNTIFS(Table113116[Country],Tabela1[[#This Row],[Country]],Table113116[Freestyle Classification],"&gt;0")</f>
        <v>0</v>
      </c>
      <c r="NP105" s="6">
        <f>COUNTIFS(Table117[Country],Tabela1[[#This Row],[Country]],Table117[Men''s Relay Classification],"&gt;0")</f>
        <v>0</v>
      </c>
      <c r="NQ105" s="6">
        <f>COUNTIFS(Table117[Country],Tabela1[[#This Row],[Country]],Table117[Women''s Relay Classification],"&gt;0")</f>
        <v>0</v>
      </c>
      <c r="NR105" s="6">
        <f>COUNTIFS(Table113[Country],Tabela1[[#This Row],[Country]],Table113[Skiathlon Classification],"&gt;0")</f>
        <v>0</v>
      </c>
      <c r="NS105" s="6">
        <f>COUNTIFS(Table113116[Country],Tabela1[[#This Row],[Country]],Table113116[Skiathlon Classification],"&gt;0")</f>
        <v>0</v>
      </c>
      <c r="NT105" s="6">
        <f>COUNTIFS(Table113[Country],Tabela1[[#This Row],[Country]],Table113[Sprint Classification],"&gt;0")</f>
        <v>0</v>
      </c>
      <c r="NU105" s="6">
        <f>COUNTIFS(Table113116[Country],Tabela1[[#This Row],[Country]],Table113116[Sprint Classification],"&gt;0")</f>
        <v>0</v>
      </c>
      <c r="NV105" s="6">
        <f>COUNTIFS(Table116[Country],Tabela1[[#This Row],[Country]],Table116[Men''s Team Sprint Classification],"&gt;0")</f>
        <v>0</v>
      </c>
      <c r="NW105" s="6">
        <f>COUNTIFS(Table116[Country],Tabela1[[#This Row],[Country]],Table116[Women''s Team Sprint Classification],"&gt;0")</f>
        <v>0</v>
      </c>
      <c r="NX105" s="6">
        <f>COUNTIFS(Table119[Country],Tabela1[[#This Row],[Country]],Table119[Men''s Classification],"&gt;0")</f>
        <v>0</v>
      </c>
      <c r="NY105" s="6">
        <f>COUNTIFS(Table119[Country],Tabela1[[#This Row],[Country]],Table119[Women''s Classification],"&gt;0")</f>
        <v>0</v>
      </c>
      <c r="NZ105" s="6">
        <f>COUNTIFS(Table118[Country],Tabela1[[#This Row],[Country]],Table118[Mixed Classification],"&gt;0")</f>
        <v>0</v>
      </c>
      <c r="OA105" s="6">
        <f>COUNTIFS(Table120[Country],Tabela1[[#This Row],[Country]],Table120[Classification],"&gt;0")</f>
        <v>0</v>
      </c>
      <c r="OB105" s="6">
        <f>COUNTIFS(Table120123[Country],Tabela1[[#This Row],[Country]],Table120123[Classification],"&gt;0")</f>
        <v>0</v>
      </c>
      <c r="OC105" s="6">
        <f>COUNTIFS(Table123[Country],Tabela1[[#This Row],[Country]],Table123[Ice Dance Classification],"&gt;0")</f>
        <v>0</v>
      </c>
      <c r="OD105" s="6">
        <f>COUNTIFS(Table123[Country],Tabela1[[#This Row],[Country]],Table123[Pair Skating Classification],"&gt;0")</f>
        <v>0</v>
      </c>
      <c r="OE105" s="6">
        <f>COUNTIFS(Table124[Country],Tabela1[[#This Row],[Country]],Table124[Mixed Classification],"&gt;0")</f>
        <v>0</v>
      </c>
      <c r="OF105" s="6">
        <f>COUNTIFS(Table125[Country],Tabela1[[#This Row],[Country]],Table125[Aerials Classification],"&gt;0")</f>
        <v>0</v>
      </c>
      <c r="OG105" s="6">
        <f>COUNTIFS(Table125128[Country],Tabela1[[#This Row],[Country]],Table125128[Aerials Classification],"&gt;0")</f>
        <v>0</v>
      </c>
      <c r="OH105" s="6">
        <f>COUNTIFS(Table128[Country],Tabela1[[#This Row],[Country]],Table128[Mixed Aerials Classification],"&gt;0")</f>
        <v>0</v>
      </c>
      <c r="OI105" s="6">
        <f>COUNTIFS(Table125[Country],Tabela1[[#This Row],[Country]],Table125[Big Air Classification],"&gt;0")</f>
        <v>0</v>
      </c>
      <c r="OJ105" s="6">
        <f>COUNTIFS(Table125128[Country],Tabela1[[#This Row],[Country]],Table125128[Big Air Classification],"&gt;0")</f>
        <v>0</v>
      </c>
      <c r="OK105" s="6">
        <f>COUNTIFS(Table125[Country],Tabela1[[#This Row],[Country]],Table125[Dual Moguls Classification],"&gt;0")</f>
        <v>0</v>
      </c>
      <c r="OL105" s="6">
        <f>COUNTIFS(Table125128[Country],Tabela1[[#This Row],[Country]],Table125128[Dual Moguls Classification],"&gt;0")</f>
        <v>0</v>
      </c>
      <c r="OM105" s="6">
        <f>COUNTIFS(Table125[Country],Tabela1[[#This Row],[Country]],Table125[Halfpipe Classification],"&gt;0")</f>
        <v>0</v>
      </c>
      <c r="ON105" s="6">
        <f>COUNTIFS(Table125128[Country],Tabela1[[#This Row],[Country]],Table125128[Halfpipe Classification],"&gt;0")</f>
        <v>0</v>
      </c>
      <c r="OO105" s="6">
        <f>COUNTIFS(Table125[Country],Tabela1[[#This Row],[Country]],Table125[Moguls Classification],"&gt;0")</f>
        <v>0</v>
      </c>
      <c r="OP105" s="6">
        <f>COUNTIFS(Table125128[Country],Tabela1[[#This Row],[Country]],Table125128[Moguls Classification],"&gt;0")</f>
        <v>0</v>
      </c>
      <c r="OQ105" s="6">
        <f>COUNTIFS(Table125[Country],Tabela1[[#This Row],[Country]],Table125[Ski Cross Classification],"&gt;0")</f>
        <v>0</v>
      </c>
      <c r="OR105" s="6">
        <f>COUNTIFS(Table125128[Country],Tabela1[[#This Row],[Country]],Table125128[Ski Cross Classification],"&gt;0")</f>
        <v>0</v>
      </c>
      <c r="OS105" s="6">
        <f>COUNTIFS(Table125[Country],Tabela1[[#This Row],[Country]],Table125[Slopestyle Classification],"&gt;0")</f>
        <v>0</v>
      </c>
      <c r="OT105" s="6">
        <f>COUNTIFS(Table125128[Country],Tabela1[[#This Row],[Country]],Table125128[Slopestyle Classification],"&gt;0")</f>
        <v>0</v>
      </c>
      <c r="OU105" s="6">
        <f>COUNTIFS(Table119131[Country],Tabela1[[#This Row],[Country]],Table119131[Men''s Classification],"&gt;0")</f>
        <v>0</v>
      </c>
      <c r="OV105" s="6">
        <f>COUNTIFS(Table119131[Country],Tabela1[[#This Row],[Country]],Table119131[Women''s Classification],"&gt;0")</f>
        <v>0</v>
      </c>
      <c r="OW105" s="6">
        <f>COUNTIFS(Table131[Country],Tabela1[[#This Row],[Country]],Table131[Classification],"&gt;0")</f>
        <v>0</v>
      </c>
      <c r="OX105" s="6">
        <f>COUNTIFS(Table131134[Country],Tabela1[[#This Row],[Country]],Table131134[Classification],"&gt;0")</f>
        <v>0</v>
      </c>
      <c r="OY105" s="6">
        <f>COUNTIFS(Table134[Country],Tabela1[[#This Row],[Country]],Table134[Men''s Classification],"&gt;0")</f>
        <v>0</v>
      </c>
      <c r="OZ105" s="6">
        <f>COUNTIFS(Table134[Country],Tabela1[[#This Row],[Country]],Table134[Women''s Classification],"&gt;0")</f>
        <v>0</v>
      </c>
      <c r="PA105" s="6">
        <f>COUNTIFS(Table135[Country],Tabela1[[#This Row],[Country]],Table135[Mixed Relay Classification],"&gt;0")</f>
        <v>0</v>
      </c>
      <c r="PB105" s="6">
        <f>COUNTIFS(Table136[Country],Tabela1[[#This Row],[Country]],Table136[Individual Classification],"&gt;0")</f>
        <v>0</v>
      </c>
      <c r="PC105" s="6">
        <f>COUNTIFS(Table136[Country],Tabela1[[#This Row],[Country]],Table136[Sprint Classification],"&gt;0")</f>
        <v>0</v>
      </c>
      <c r="PD105" s="6">
        <f>COUNTIFS(Table137[Country],Tabela1[[#This Row],[Country]],Table137[Men''s Team Sprint Large Hill Classification],"&gt;0")</f>
        <v>0</v>
      </c>
      <c r="PE105" s="6">
        <f>COUNTIFS(Table138[Country],Tabela1[[#This Row],[Country]],Table138[500m Classification],"&gt;0")</f>
        <v>0</v>
      </c>
      <c r="PF105" s="6">
        <f>COUNTIFS(Table138141[Country],Tabela1[[#This Row],[Country]],Table138141[500m Classification],"&gt;0")</f>
        <v>0</v>
      </c>
      <c r="PG105" s="6">
        <f>COUNTIFS(Table138[Country],Tabela1[[#This Row],[Country]],Table138[1000m Classification],"&gt;0")</f>
        <v>0</v>
      </c>
      <c r="PH105" s="6">
        <f>COUNTIFS(Table138141[Country],Tabela1[[#This Row],[Country]],Table138141[1000m Classification],"&gt;0")</f>
        <v>0</v>
      </c>
      <c r="PI105" s="6">
        <f>COUNTIFS(Table138[Country],Tabela1[[#This Row],[Country]],Table138[1500m Classification],"&gt;0")</f>
        <v>0</v>
      </c>
      <c r="PJ105" s="6">
        <f>COUNTIFS(Table138141[Country],Tabela1[[#This Row],[Country]],Table138141[1500m Classification],"&gt;0")</f>
        <v>0</v>
      </c>
      <c r="PK105" s="6">
        <f>COUNTIFS(Table141[Country],Tabela1[[#This Row],[Country]],Table141[Men''s 5000m Relay Classification],"&gt;0")</f>
        <v>0</v>
      </c>
      <c r="PL105" s="6">
        <f>COUNTIFS(Table141[Country],Tabela1[[#This Row],[Country]],Table141[Women''s 3000m Relay Classification],"&gt;0")</f>
        <v>0</v>
      </c>
      <c r="PM105" s="6">
        <f>COUNTIFS(Table141[Country],Tabela1[[#This Row],[Country]],Table141[Mixed 2000m Relay Classification],"&gt;0")</f>
        <v>0</v>
      </c>
      <c r="PN105" s="6">
        <f>COUNTIFS(Table142[Country],Tabela1[[#This Row],[Country]],Table142[Classification],"&gt;0")</f>
        <v>0</v>
      </c>
      <c r="PO105" s="6">
        <f>COUNTIFS(Table142145[Country],Tabela1[[#This Row],[Country]],Table142145[Classification],"&gt;0")</f>
        <v>0</v>
      </c>
      <c r="PP105" s="6">
        <f>COUNTIFS(Tabela15[Country],Tabela1[[#This Row],[Country]],Tabela15[Mixed Team Classification],"&gt;0")</f>
        <v>0</v>
      </c>
      <c r="PQ105" s="6">
        <f>COUNTIFS(Table145[Country],Tabela1[[#This Row],[Country]],Table145[Large Hill Classification],"&gt;0")</f>
        <v>0</v>
      </c>
      <c r="PR105" s="6">
        <f>COUNTIFS(Table145[Country],Tabela1[[#This Row],[Country]],Table145[Normal Hill Classification],"&gt;0")</f>
        <v>0</v>
      </c>
      <c r="PS105" s="6">
        <f>COUNTIFS(Table145148[Country],Tabela1[[#This Row],[Country]],Table145148[Large Hill Classification],"&gt;0")</f>
        <v>0</v>
      </c>
      <c r="PT105" s="6">
        <f>COUNTIFS(Table145148[Country],Tabela1[[#This Row],[Country]],Table145148[Normal Hill Classification],"&gt;0")</f>
        <v>0</v>
      </c>
      <c r="PU105" s="6">
        <f>COUNTIFS(Table148[Country],Tabela1[[#This Row],[Country]],Table148[Men''s Super Team Classification],"&gt;0")</f>
        <v>0</v>
      </c>
      <c r="PV105" s="6">
        <f>COUNTIFS(Tabela114[Country],Tabela1[[#This Row],[Country]],Tabela114[Mixed Normal Hill Classification],"&gt;0")</f>
        <v>0</v>
      </c>
      <c r="PW105" s="6">
        <f>COUNTIFS(Tabela50[Country],Tabela1[[#This Row],[Country]],Tabela50[Sprint Classification],"&gt;0")</f>
        <v>0</v>
      </c>
      <c r="PX105" s="6">
        <f>COUNTIFS(Tabela50101[Country],Tabela1[[#This Row],[Country]],Tabela50101[Sprint Classification],"&gt;0")</f>
        <v>0</v>
      </c>
      <c r="PY105" s="6">
        <f>COUNTIFS(Tabela103[Country],Tabela1[[#This Row],[Country]],Tabela103[Mixed Relay Classification],"&gt;0")</f>
        <v>0</v>
      </c>
      <c r="PZ105" s="6">
        <f>COUNTIFS(Table149[Country],Tabela1[[#This Row],[Country]],Table149[Big Air Classification],"&gt;0")</f>
        <v>0</v>
      </c>
      <c r="QA105" s="6">
        <f>COUNTIFS(Table149152[Country],Tabela1[[#This Row],[Country]],Table149152[Big Air Classification],"&gt;0")</f>
        <v>0</v>
      </c>
      <c r="QB105" s="6">
        <f>COUNTIFS(Table149[Country],Tabela1[[#This Row],[Country]],Table149[Halfpipe Classification],"&gt;0")</f>
        <v>0</v>
      </c>
      <c r="QC105" s="6">
        <f>COUNTIFS(Table149152[Country],Tabela1[[#This Row],[Country]],Table149152[Halfpipe Classification],"&gt;0")</f>
        <v>0</v>
      </c>
      <c r="QD105" s="6">
        <f>COUNTIFS(Table149[Country],Tabela1[[#This Row],[Country]],Table149[Parallel Giant Slalom Classification],"&gt;0")</f>
        <v>0</v>
      </c>
      <c r="QE105" s="6">
        <f>COUNTIFS(Table149152[Country],Tabela1[[#This Row],[Country]],Table149152[Parallel Giant Slalom Classification],"&gt;0")</f>
        <v>0</v>
      </c>
      <c r="QF105" s="6">
        <f>COUNTIFS(Table149[Country],Tabela1[[#This Row],[Country]],Table149[Slopestyle Classification],"&gt;0")</f>
        <v>0</v>
      </c>
      <c r="QG105" s="6">
        <f>COUNTIFS(Table149152[Country],Tabela1[[#This Row],[Country]],Table149152[Slopestyle Classification],"&gt;0")</f>
        <v>0</v>
      </c>
      <c r="QH105" s="6">
        <f>COUNTIFS(Table149[Country],Tabela1[[#This Row],[Country]],Table149[Snowboard Cross Classification],"&gt;0")</f>
        <v>0</v>
      </c>
      <c r="QI105" s="6">
        <f>COUNTIFS(Table149152[Country],Tabela1[[#This Row],[Country]],Table149152[Snowboard Cross Classification],"&gt;0")</f>
        <v>0</v>
      </c>
      <c r="QJ105" s="6">
        <f>COUNTIFS(Table153[Country],Tabela1[[#This Row],[Country]],Table153[Mixed Team Snowboard Cross Classification],"&gt;0")</f>
        <v>0</v>
      </c>
      <c r="QK105" s="6">
        <f>COUNTIFS(Table154[Country],Tabela1[[#This Row],[Country]],Table154[500m Classification],"&gt;0")</f>
        <v>0</v>
      </c>
      <c r="QL105" s="6">
        <f>COUNTIFS(Table154157[Country],Tabela1[[#This Row],[Country]],Table154157[500m Classification],"&gt;0")</f>
        <v>0</v>
      </c>
      <c r="QM105" s="6">
        <f>COUNTIFS(Table154[Country],Tabela1[[#This Row],[Country]],Table154[1000m Classification],"&gt;0")</f>
        <v>0</v>
      </c>
      <c r="QN105" s="6">
        <f>COUNTIFS(Table154157[Country],Tabela1[[#This Row],[Country]],Table154157[1000m Classification],"&gt;0")</f>
        <v>0</v>
      </c>
      <c r="QO105" s="6">
        <f>COUNTIFS(Table154[Country],Tabela1[[#This Row],[Country]],Table154[1500m Classification],"&gt;0")</f>
        <v>0</v>
      </c>
      <c r="QP105" s="6">
        <f>COUNTIFS(Table154157[Country],Tabela1[[#This Row],[Country]],Table154157[1500m Classification],"&gt;0")</f>
        <v>0</v>
      </c>
      <c r="QQ105" s="6">
        <f>COUNTIFS(Table154157[Country],Tabela1[[#This Row],[Country]],Table154157[3000m Classification],"&gt;0")</f>
        <v>0</v>
      </c>
      <c r="QR105" s="6">
        <f>COUNTIFS(Table154[Country],Tabela1[[#This Row],[Country]],Table154[5000m Classification],"&gt;0")</f>
        <v>0</v>
      </c>
      <c r="QS105" s="6">
        <f>COUNTIFS(Table154157[Country],Tabela1[[#This Row],[Country]],Table154157[5000m Classification],"&gt;0")</f>
        <v>0</v>
      </c>
      <c r="QT105" s="6">
        <f>COUNTIFS(Table154[Country],Tabela1[[#This Row],[Country]],Table154[10000m Classification],"&gt;0")</f>
        <v>0</v>
      </c>
      <c r="QU105" s="6">
        <f>COUNTIFS(Table154[Country],Tabela1[[#This Row],[Country]],Table154[Mass Start Classification],"&gt;0")</f>
        <v>0</v>
      </c>
      <c r="QV105" s="6">
        <f>COUNTIFS(Table154157[Country],Tabela1[[#This Row],[Country]],Table154157[Mass Start Classification],"&gt;0")</f>
        <v>0</v>
      </c>
      <c r="QW105" s="6">
        <f>COUNTIFS(Table157[Country],Tabela1[[#This Row],[Country]],Table157[Men''s Pursuit Classification],"&gt;0")</f>
        <v>0</v>
      </c>
      <c r="QX105" s="6">
        <f>COUNTIFS(Table157[Country],Tabela1[[#This Row],[Country]],Table157[Women''s Pursuit Classification],"&gt;0")</f>
        <v>0</v>
      </c>
      <c r="QY105" s="4" t="s">
        <v>571</v>
      </c>
    </row>
    <row r="106" spans="1:467" x14ac:dyDescent="0.3">
      <c r="A106" s="6">
        <v>105</v>
      </c>
      <c r="B106" s="6" t="s">
        <v>738</v>
      </c>
      <c r="C106" t="e" vm="105">
        <f>IF(ISBLANK(Tabela1[[#This Row],[Image Link]]), "", _xlfn.IMAGE(Tabela1[[#This Row],[Image Link]],1,1))</f>
        <v>#VALUE!</v>
      </c>
      <c r="D106" s="6">
        <f>SUM(Tabela1[[#This Row],[Archery - Men''s Individual Recurve]:[Speed Skating - Women''s Team Pursuit]])</f>
        <v>3</v>
      </c>
      <c r="E106" s="6">
        <f>COUNTIF(Tabela1[[#This Row],[Archery - Men''s Individual Recurve]:[Speed Skating - Women''s Team Pursuit]],"&gt;0")</f>
        <v>3</v>
      </c>
      <c r="F106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06" s="6">
        <f>SUM(Tabela1[[#This Row],[Archery - Men''s Individual Recurve]:[Wrestling - Women''s Freestyle 76kg]])</f>
        <v>3</v>
      </c>
      <c r="H106" s="6">
        <f>SUM(Tabela1[[#This Row],[Alpine Skiing - Men''s Downhill]:[Speed Skating - Women''s Team Pursuit]])</f>
        <v>0</v>
      </c>
      <c r="I106" s="6">
        <f>Tabela1[[#This Row],[Summer Gold Medals]]+Tabela1[[#This Row],[Winter Gold Medals]]</f>
        <v>0</v>
      </c>
      <c r="J106" s="6">
        <f>Tabela1[[#This Row],[Summer Silver Medals]]+Tabela1[[#This Row],[Winter Silver Medals]]</f>
        <v>0</v>
      </c>
      <c r="K106" s="6">
        <f>Tabela1[[#This Row],[Summer Bronze Medals]]+Tabela1[[#This Row],[Winter Bronze Medals]]</f>
        <v>0</v>
      </c>
      <c r="L106" s="6">
        <f>SUM(Tabela1[[#This Row],[Total Gold Medals]:[Total Bronze Medals]])</f>
        <v>0</v>
      </c>
      <c r="M106" s="6"/>
      <c r="N106" s="6"/>
      <c r="O106" s="6"/>
      <c r="P106" s="6">
        <f>SUM(Tabela1[[#This Row],[Summer Gold Medals]:[Summer Bronze Medals]])</f>
        <v>0</v>
      </c>
      <c r="Q106" s="6"/>
      <c r="R106" s="6"/>
      <c r="S106" s="6"/>
      <c r="T106" s="6">
        <f>Tabela1[[#This Row],[Winter Gold Medals]]+Tabela1[[#This Row],[Winter Silver Medals]]+Tabela1[[#This Row],[Winter Bronze Medals]]</f>
        <v>0</v>
      </c>
      <c r="U106" s="7">
        <f>Tabela1[[#This Row],[Total Medals]]/Tabela1[[#This Row],[Total Quotas]]</f>
        <v>0</v>
      </c>
      <c r="V106" s="6">
        <f>COUNTIFS(Table3[Country],Tabela1[[#This Row],[Country]],Table3[Recurve Classification],"&gt;0")</f>
        <v>0</v>
      </c>
      <c r="W106" s="6">
        <f>COUNTIFS(Table33[Country],Tabela1[[#This Row],[Country]],Table33[Recurve Classification],"&gt;0")</f>
        <v>0</v>
      </c>
      <c r="X106" s="6">
        <f>COUNTIFS(Table35[Country],Tabela1[[#This Row],[Country]],Table35[Men''s Team Recurve Classification],"&gt;0")</f>
        <v>0</v>
      </c>
      <c r="Y106" s="6">
        <f>COUNTIFS(Table35[Country],Tabela1[[#This Row],[Country]],Table35[Women''s Team Recurve Classification],"&gt;0")</f>
        <v>0</v>
      </c>
      <c r="Z106" s="6">
        <f>COUNTIFS(Tabela88[Country],Tabela1[[#This Row],[Country]],Tabela88[Mixed Team Recurve Classification],"&gt;0")</f>
        <v>0</v>
      </c>
      <c r="AA106" s="6">
        <f>COUNTIFS(Table36[Country],Tabela1[[#This Row],[Country]],Table36[Classification],"&gt;0")</f>
        <v>0</v>
      </c>
      <c r="AB106" s="6">
        <f>COUNTIFS(Table37[Country],Tabela1[[#This Row],[Country]],Table37[Classification],"&gt;0")</f>
        <v>0</v>
      </c>
      <c r="AC106" s="6">
        <f>COUNTIFS(Table4[Country],Tabela1[[#This Row],[Country]],Table4[100m Classification],"&gt;0")</f>
        <v>0</v>
      </c>
      <c r="AD106" s="6">
        <f>COUNTIFS(Table5[Country],Tabela1[[#This Row],[Country]],Table5[100m Classification],"&gt;0")</f>
        <v>0</v>
      </c>
      <c r="AE106" s="6">
        <f>COUNTIFS(Table4[Country],Tabela1[[#This Row],[Country]],Table4[200m Classification],"&gt;0")</f>
        <v>1</v>
      </c>
      <c r="AF106" s="6">
        <f>COUNTIFS(Table5[Country],Tabela1[[#This Row],[Country]],Table5[200m Classification],"&gt;0")</f>
        <v>0</v>
      </c>
      <c r="AG106" s="6">
        <f>COUNTIFS(Table4[Country],Tabela1[[#This Row],[Country]],Table4[400m Classification],"&gt;0")</f>
        <v>0</v>
      </c>
      <c r="AH106" s="6">
        <f>COUNTIFS(Table5[Country],Tabela1[[#This Row],[Country]],Table5[400m Classification],"&gt;0")</f>
        <v>0</v>
      </c>
      <c r="AI106" s="6">
        <f>COUNTIFS(Table4[Country],Tabela1[[#This Row],[Country]],Table4[800m Classification],"&gt;0")</f>
        <v>0</v>
      </c>
      <c r="AJ106" s="6">
        <f>COUNTIFS(Table5[Country],Tabela1[[#This Row],[Country]],Table5[800m Classification],"&gt;0")</f>
        <v>0</v>
      </c>
      <c r="AK106" s="6">
        <f>COUNTIFS(Table4[Country],Tabela1[[#This Row],[Country]],Table4[1500m Classification],"&gt;0")</f>
        <v>0</v>
      </c>
      <c r="AL106" s="6">
        <f>COUNTIFS(Table5[Country],Tabela1[[#This Row],[Country]],Table5[1500m Classification],"&gt;0")</f>
        <v>0</v>
      </c>
      <c r="AM106" s="6">
        <f>COUNTIFS(Table4[Country],Tabela1[[#This Row],[Country]],Table4[5000m Classification],"&gt;0")</f>
        <v>0</v>
      </c>
      <c r="AN106" s="6">
        <f>COUNTIFS(Table5[Country],Tabela1[[#This Row],[Country]],Table5[5000m Classification],"&gt;0")</f>
        <v>0</v>
      </c>
      <c r="AO106" s="6">
        <f>COUNTIFS(Table4[Country],Tabela1[[#This Row],[Country]],Table4[10000m Classification],"&gt;0")</f>
        <v>0</v>
      </c>
      <c r="AP106" s="6">
        <f>COUNTIFS(Table5[Country],Tabela1[[#This Row],[Country]],Table5[10000m Classification],"&gt;0")</f>
        <v>0</v>
      </c>
      <c r="AQ106" s="6">
        <f>COUNTIFS(Table4[Country],Tabela1[[#This Row],[Country]],Table4[110m Hurdles Classification],"&gt;0")</f>
        <v>0</v>
      </c>
      <c r="AR106" s="6">
        <f>COUNTIFS(Table5[Country],Tabela1[[#This Row],[Country]],Table5[100m Hurdles Classification],"&gt;0")</f>
        <v>0</v>
      </c>
      <c r="AS106" s="6">
        <f>COUNTIFS(Table4[Country],Tabela1[[#This Row],[Country]],Table4[400m Hurdles Classification],"&gt;0")</f>
        <v>0</v>
      </c>
      <c r="AT106" s="6">
        <f>COUNTIFS(Table5[Country],Tabela1[[#This Row],[Country]],Table5[400m Hurdles Classification],"&gt;0")</f>
        <v>0</v>
      </c>
      <c r="AU106" s="6">
        <f>COUNTIFS(Table4[Country],Tabela1[[#This Row],[Country]],Table4[3000m Steeplechase Classification],"&gt;0")</f>
        <v>0</v>
      </c>
      <c r="AV106" s="6">
        <f>COUNTIFS(Table5[Country],Tabela1[[#This Row],[Country]],Table5[3000m Steeplechase Classification],"&gt;0")</f>
        <v>0</v>
      </c>
      <c r="AW106" s="6">
        <f>COUNTIFS(Table27[Country],Tabela1[[#This Row],[Country]],Table27[Men''s 4x100m Relay Classification],"&gt;0")</f>
        <v>0</v>
      </c>
      <c r="AX106" s="6">
        <f>COUNTIFS(Table27[Country],Tabela1[[#This Row],[Country]],Table27[Women''s 4x100m Relay Classification],"&gt;0")</f>
        <v>0</v>
      </c>
      <c r="AY106" s="6">
        <f>COUNTIFS(Table27[Country],Tabela1[[#This Row],[Country]],Table27[Men''s 4x400m Relay Classification],"&gt;0")</f>
        <v>0</v>
      </c>
      <c r="AZ106" s="6">
        <f>COUNTIFS(Table27[Country],Tabela1[[#This Row],[Country]],Table27[Women''s 4x400m Relay Classification],"&gt;0")</f>
        <v>0</v>
      </c>
      <c r="BA106" s="6">
        <f>COUNTIFS(Table27[Country],Tabela1[[#This Row],[Country]],Table27[Mixed 4x400m Relay Classification],"&gt;0")</f>
        <v>0</v>
      </c>
      <c r="BB106" s="6">
        <f>COUNTIFS(Table4[Country],Tabela1[[#This Row],[Country]],Table4[Marathon Classification],"&gt;0")</f>
        <v>0</v>
      </c>
      <c r="BC106" s="6">
        <f>COUNTIFS(Table5[Country],Tabela1[[#This Row],[Country]],Table5[Marathon Classification],"&gt;0")</f>
        <v>1</v>
      </c>
      <c r="BD106" s="6">
        <f>COUNTIFS(Table4[Country],Tabela1[[#This Row],[Country]],Table4[20km Race Walk Classification],"&gt;0")</f>
        <v>0</v>
      </c>
      <c r="BE106" s="6">
        <f>COUNTIFS(Table5[Country],Tabela1[[#This Row],[Country]],Table5[20km Race Walk Classification],"&gt;0")</f>
        <v>0</v>
      </c>
      <c r="BF106" s="6">
        <f>COUNTIFS(Tabela96[Country],Tabela1[[#This Row],[Country]],Tabela96[Mixed Marathon Race Walk Relay Classification],"&gt;0")</f>
        <v>0</v>
      </c>
      <c r="BG106" s="6">
        <f>COUNTIFS(Table4[Country],Tabela1[[#This Row],[Country]],Table4[Discus Throw Classification],"&gt;0")</f>
        <v>0</v>
      </c>
      <c r="BH106" s="6">
        <f>COUNTIFS(Table5[Country],Tabela1[[#This Row],[Country]],Table5[Discus Throw Classification],"&gt;0")</f>
        <v>0</v>
      </c>
      <c r="BI106" s="6">
        <f>COUNTIFS(Table4[Country],Tabela1[[#This Row],[Country]],Table4[Hammer Throw Classification],"&gt;0")</f>
        <v>0</v>
      </c>
      <c r="BJ106" s="6">
        <f>COUNTIFS(Table5[Country],Tabela1[[#This Row],[Country]],Table5[Hammer Throw Classification],"&gt;0")</f>
        <v>0</v>
      </c>
      <c r="BK106" s="6">
        <f>COUNTIFS(Table4[Country],Tabela1[[#This Row],[Country]],Table4[High Jump Classification],"&gt;0")</f>
        <v>0</v>
      </c>
      <c r="BL106" s="6">
        <f>COUNTIFS(Table5[Country],Tabela1[[#This Row],[Country]],Table5[High Jump Classification],"&gt;0")</f>
        <v>0</v>
      </c>
      <c r="BM106" s="6">
        <f>COUNTIFS(Table4[Country],Tabela1[[#This Row],[Country]],Table4[Javelin Throw Classification],"&gt;0")</f>
        <v>0</v>
      </c>
      <c r="BN106" s="6">
        <f>COUNTIFS(Table5[Country],Tabela1[[#This Row],[Country]],Table5[Javelin Throw Classification],"&gt;0")</f>
        <v>0</v>
      </c>
      <c r="BO106" s="6">
        <f>COUNTIFS(Table4[Country],Tabela1[[#This Row],[Country]],Table4[Long Jump Classification],"&gt;0")</f>
        <v>0</v>
      </c>
      <c r="BP106" s="6">
        <f>COUNTIFS(Table5[Country],Tabela1[[#This Row],[Country]],Table5[Long Jump Classification],"&gt;0")</f>
        <v>0</v>
      </c>
      <c r="BQ106" s="6">
        <f>COUNTIFS(Table4[Country],Tabela1[[#This Row],[Country]],Table4[Pole Vault Classification],"&gt;0")</f>
        <v>0</v>
      </c>
      <c r="BR106" s="6">
        <f>COUNTIFS(Table5[Country],Tabela1[[#This Row],[Country]],Table5[Pole Vault Classification],"&gt;0")</f>
        <v>0</v>
      </c>
      <c r="BS106" s="6">
        <f>COUNTIFS(Table4[Country],Tabela1[[#This Row],[Country]],Table4[Shot Put Classification],"&gt;0")</f>
        <v>0</v>
      </c>
      <c r="BT106" s="6">
        <f>COUNTIFS(Table5[Country],Tabela1[[#This Row],[Country]],Table5[Shot Put Classification],"&gt;0")</f>
        <v>0</v>
      </c>
      <c r="BU106" s="6">
        <f>COUNTIFS(Table4[Country],Tabela1[[#This Row],[Country]],Table4[Triple Jump Classification],"&gt;0")</f>
        <v>0</v>
      </c>
      <c r="BV106" s="6">
        <f>COUNTIFS(Table5[Country],Tabela1[[#This Row],[Country]],Table5[Triple Jump Classification],"&gt;0")</f>
        <v>0</v>
      </c>
      <c r="BW106" s="6">
        <f>COUNTIFS(Table4[Country],Tabela1[[#This Row],[Country]],Table4[Decathlon Classification],"&gt;0")</f>
        <v>0</v>
      </c>
      <c r="BX106" s="6">
        <f>COUNTIFS(Table5[Country],Tabela1[[#This Row],[Country]],Table5[Heptathlon Classification],"&gt;0")</f>
        <v>0</v>
      </c>
      <c r="BY106" s="6">
        <f>COUNTIFS(Table61[Country],Tabela1[[#This Row],[Country]],Table61[Classification],"&gt;0")</f>
        <v>0</v>
      </c>
      <c r="BZ106" s="6">
        <f>COUNTIFS(Table38[Country],Tabela1[[#This Row],[Country]],Table38[Classification],"&gt;0")</f>
        <v>0</v>
      </c>
      <c r="CA106" s="6">
        <f>COUNTIFS(Table39[Country],Tabela1[[#This Row],[Country]],Table39[Men''s Classification],"&gt;0")</f>
        <v>0</v>
      </c>
      <c r="CB106" s="6">
        <f>COUNTIFS(Table39[Country],Tabela1[[#This Row],[Country]],Table39[Women''s Classification],"&gt;0")</f>
        <v>0</v>
      </c>
      <c r="CC106" s="6">
        <f>COUNTIFS(Table39[Country],Tabela1[[#This Row],[Country]],Table39[Mixed Classification],"&gt;0")</f>
        <v>0</v>
      </c>
      <c r="CD106" s="6">
        <f>COUNTIFS(Table89[Country],Tabela1[[#This Row],[Country]],Table89[Men''s Classification],"&gt;0")</f>
        <v>0</v>
      </c>
      <c r="CE106" s="6">
        <f>COUNTIFS(Table89[Country],Tabela1[[#This Row],[Country]],Table89[Women''s Classification],"&gt;0")</f>
        <v>0</v>
      </c>
      <c r="CF106" s="6">
        <f>COUNTIFS(Table90[Country],Tabela1[[#This Row],[Country]],Table90[Men''s Classification],"&gt;0")</f>
        <v>0</v>
      </c>
      <c r="CG106" s="6">
        <f>COUNTIFS(Table90[Country],Tabela1[[#This Row],[Country]],Table90[Women''s Classification],"&gt;0")</f>
        <v>0</v>
      </c>
      <c r="CH106" s="6">
        <f>COUNTIFS(Table60[Country],Tabela1[[#This Row],[Country]],Table60[Men''s Classification],"&gt;0")</f>
        <v>0</v>
      </c>
      <c r="CI106" s="6">
        <f>COUNTIFS(Table60[Country],Tabela1[[#This Row],[Country]],Table60[Women''s Classification],"&gt;0")</f>
        <v>0</v>
      </c>
      <c r="CJ106" s="6">
        <f>COUNTIFS(Table6[Country],Tabela1[[#This Row],[Country]],Table6[51kg Classification],"&gt;0")</f>
        <v>0</v>
      </c>
      <c r="CK106" s="6">
        <f>COUNTIFS(Table6[Country],Tabela1[[#This Row],[Country]],Table6[57kg Classification],"&gt;0")</f>
        <v>0</v>
      </c>
      <c r="CL106" s="6">
        <f>COUNTIFS(Table6[Country],Tabela1[[#This Row],[Country]],Table6[63.5kg Classification],"&gt;0")</f>
        <v>0</v>
      </c>
      <c r="CM106" s="6">
        <f>COUNTIFS(Table6[Country],Tabela1[[#This Row],[Country]],Table6[71kg Classification],"&gt;0")</f>
        <v>0</v>
      </c>
      <c r="CN106" s="6">
        <f>COUNTIFS(Table6[Country],Tabela1[[#This Row],[Country]],Table6[80kg Classification],"&gt;0")</f>
        <v>0</v>
      </c>
      <c r="CO106" s="6">
        <f>COUNTIFS(Table6[Country],Tabela1[[#This Row],[Country]],Table6[92kg Classification],"&gt;0")</f>
        <v>0</v>
      </c>
      <c r="CP106" s="6">
        <f>COUNTIFS(Table6[Country],Tabela1[[#This Row],[Country]],Table6[Plus 92kg Classification],"&gt;0")</f>
        <v>0</v>
      </c>
      <c r="CQ106" s="6">
        <f>COUNTIFS(Table7[Country],Tabela1[[#This Row],[Country]],Table7[50kg Classification],"&gt;0")</f>
        <v>0</v>
      </c>
      <c r="CR106" s="6">
        <f>COUNTIFS(Table7[Country],Tabela1[[#This Row],[Country]],Table7[54kg Classification],"&gt;0")</f>
        <v>0</v>
      </c>
      <c r="CS106" s="6">
        <f>COUNTIFS(Table7[Country],Tabela1[[#This Row],[Country]],Table7[57kg Classification],"&gt;0")</f>
        <v>0</v>
      </c>
      <c r="CT106" s="6">
        <f>COUNTIFS(Table7[Country],Tabela1[[#This Row],[Country]],Table7[60kg Classification],"&gt;0")</f>
        <v>0</v>
      </c>
      <c r="CU106" s="6">
        <f>COUNTIFS(Table7[Country],Tabela1[[#This Row],[Country]],Table7[66kg Classification],"&gt;0")</f>
        <v>0</v>
      </c>
      <c r="CV106" s="6">
        <f>COUNTIFS(Table7[Country],Tabela1[[#This Row],[Country]],Table7[75kg Classification],"&gt;0")</f>
        <v>0</v>
      </c>
      <c r="CW106" s="6">
        <f>COUNTIFS(Tabela94[Country],Tabela1[[#This Row],[Country]],Tabela94[Classification],"&gt;0")</f>
        <v>0</v>
      </c>
      <c r="CX106" s="6">
        <f>COUNTIFS(Tabela9499[Country],Tabela1[[#This Row],[Country]],Tabela9499[Classification],"&gt;0")</f>
        <v>0</v>
      </c>
      <c r="CY106" s="6">
        <f>COUNTIFS(Tabela107[Country],Tabela1[[#This Row],[Country]],Tabela107[C1 Slalom Classification],"&gt;0")</f>
        <v>0</v>
      </c>
      <c r="CZ106" s="6">
        <f>COUNTIFS(Tabela107122[Country],Tabela1[[#This Row],[Country]],Tabela107122[C1 Slalom Classification],"&gt;0")</f>
        <v>0</v>
      </c>
      <c r="DA106" s="6">
        <f>COUNTIFS(Tabela107[Country],Tabela1[[#This Row],[Country]],Tabela107[K1 Slalom Classification],"&gt;0")</f>
        <v>0</v>
      </c>
      <c r="DB106" s="6">
        <f>COUNTIFS(Tabela107122[Country],Tabela1[[#This Row],[Country]],Tabela107122[K1 Slalom Classification],"&gt;0")</f>
        <v>0</v>
      </c>
      <c r="DC106" s="6">
        <f>COUNTIFS(Tabela107[Country],Tabela1[[#This Row],[Country]],Tabela107[Kayak Cross Slalom Classification],"&gt;0")</f>
        <v>0</v>
      </c>
      <c r="DD106" s="6">
        <f>COUNTIFS(Tabela107122[Country],Tabela1[[#This Row],[Country]],Tabela107122[Kayak Cross Slalom Classification],"&gt;0")</f>
        <v>0</v>
      </c>
      <c r="DE106" s="6">
        <f>COUNTIFS(Table8[Country],Tabela1[[#This Row],[Country]],Table8[C1 200m Classification],"&gt;0")</f>
        <v>0</v>
      </c>
      <c r="DF106" s="6">
        <f>COUNTIFS(Table40[Country],Tabela1[[#This Row],[Country]],Table40[C1 1000m Classification],"&gt;0")</f>
        <v>0</v>
      </c>
      <c r="DG106" s="6">
        <f>COUNTIFS(Table68[Country],Tabela1[[#This Row],[Country]],Table68[Men''s C2 500m Classification],"&gt;0")</f>
        <v>0</v>
      </c>
      <c r="DH106" s="6">
        <f>COUNTIFS(Table68[Country],Tabela1[[#This Row],[Country]],Table68[Women''s C2 500m Classification],"&gt;0")</f>
        <v>0</v>
      </c>
      <c r="DI106" s="6">
        <f>COUNTIFS(Table8[Country],Tabela1[[#This Row],[Country]],Table8[K1 500m Classification],"&gt;0")</f>
        <v>0</v>
      </c>
      <c r="DJ106" s="6">
        <f>COUNTIFS(Table40[Country],Tabela1[[#This Row],[Country]],Table40[K1 1000m Classification],"&gt;0")</f>
        <v>0</v>
      </c>
      <c r="DK106" s="6">
        <f>COUNTIFS(Table68[Country],Tabela1[[#This Row],[Country]],Table68[Men''s K2 500m Classification],"&gt;0")</f>
        <v>0</v>
      </c>
      <c r="DL106" s="6">
        <f>COUNTIFS(Table68[Country],Tabela1[[#This Row],[Country]],Table68[Women''s K2 500m Classification],"&gt;0")</f>
        <v>0</v>
      </c>
      <c r="DM106" s="6">
        <f>COUNTIFS(Table83[Country],Tabela1[[#This Row],[Country]],Table83[Men''s K4 500m Classification],"&gt;0")</f>
        <v>0</v>
      </c>
      <c r="DN106" s="6">
        <f>COUNTIFS(Table83[Country],Tabela1[[#This Row],[Country]],Table83[Women''s K4 500m Classification],"&gt;0")</f>
        <v>0</v>
      </c>
      <c r="DO106" s="6">
        <f>COUNTIFS(Tabela126[Country],Tabela1[[#This Row],[Country]],Tabela126[Classification],"&gt;0")</f>
        <v>0</v>
      </c>
      <c r="DP106" s="6">
        <f>COUNTIFS(Tabela126130[Country],Tabela1[[#This Row],[Country]],Tabela126130[Classification],"&gt;0")</f>
        <v>0</v>
      </c>
      <c r="DQ106" s="6">
        <f>COUNTIFS(Table70[Country],Tabela1[[#This Row],[Country]],Table70[Classification],"&gt;0")</f>
        <v>0</v>
      </c>
      <c r="DR106" s="6">
        <f>COUNTIFS(Table80[Country],Tabela1[[#This Row],[Country]],Table80[Classification],"&gt;0")</f>
        <v>0</v>
      </c>
      <c r="DS106" s="6">
        <f>COUNTIFS(Table66[Country],Tabela1[[#This Row],[Country]],Table66[Classification],"&gt;0")</f>
        <v>0</v>
      </c>
      <c r="DT106" s="6">
        <f>COUNTIFS(Table67[Country],Tabela1[[#This Row],[Country]],Table67[Classification],"&gt;0")</f>
        <v>0</v>
      </c>
      <c r="DU106" s="6">
        <f>COUNTIFS(Table69[Country],Tabela1[[#This Row],[Country]],Table69[Keirin Classification],"&gt;0")</f>
        <v>0</v>
      </c>
      <c r="DV106" s="6">
        <f>COUNTIFS(Table41[Country],Tabela1[[#This Row],[Country]],Table41[Keirin Classification],"&gt;0")</f>
        <v>0</v>
      </c>
      <c r="DW106" s="6">
        <f>COUNTIFS(Table84[Country],Tabela1[[#This Row],[Country]],Table84[Men''s Madison Classification],"&gt;0")</f>
        <v>0</v>
      </c>
      <c r="DX106" s="6">
        <f>COUNTIFS(Table84[Country],Tabela1[[#This Row],[Country]],Table84[Women''s Madison Classification],"&gt;0")</f>
        <v>0</v>
      </c>
      <c r="DY106" s="6">
        <f>COUNTIFS(Table69[Country],Tabela1[[#This Row],[Country]],Table69[Omnium Classification],"&gt;0")</f>
        <v>0</v>
      </c>
      <c r="DZ106" s="6">
        <f>COUNTIFS(Table41[Country],Tabela1[[#This Row],[Country]],Table41[Omnium Classification],"&gt;0")</f>
        <v>0</v>
      </c>
      <c r="EA106" s="6">
        <f>COUNTIFS(Table9[Country],Tabela1[[#This Row],[Country]],Table9[Road Race Classification],"&gt;0")</f>
        <v>0</v>
      </c>
      <c r="EB106" s="6">
        <f>COUNTIFS(Table14[Country],Tabela1[[#This Row],[Country]],Table14[Road Race Classification],"&gt;0")</f>
        <v>0</v>
      </c>
      <c r="EC106" s="6">
        <f>COUNTIFS(Table69[Country],Tabela1[[#This Row],[Country]],Table69[Sprint Classification],"&gt;0")</f>
        <v>0</v>
      </c>
      <c r="ED106" s="6">
        <f>COUNTIFS(Table41[Country],Tabela1[[#This Row],[Country]],Table41[Sprint Classification],"&gt;0")</f>
        <v>0</v>
      </c>
      <c r="EE106" s="6">
        <f>COUNTIFS(Table85[Country],Tabela1[[#This Row],[Country]],Table85[Men''s Sprint Classification],"&gt;0")</f>
        <v>0</v>
      </c>
      <c r="EF106" s="6">
        <f>COUNTIFS(Table85[Country],Tabela1[[#This Row],[Country]],Table85[Women''s Sprint Classification],"&gt;0")</f>
        <v>0</v>
      </c>
      <c r="EG106" s="6">
        <f>COUNTIFS(Table85[Country],Tabela1[[#This Row],[Country]],Table85[Men''s Pursuit Classification],"&gt;0")</f>
        <v>0</v>
      </c>
      <c r="EH106" s="6">
        <f>COUNTIFS(Table85[Country],Tabela1[[#This Row],[Country]],Table85[Women''s Pursuit Classification],"&gt;0")</f>
        <v>0</v>
      </c>
      <c r="EI106" s="6">
        <f>COUNTIFS(Table9[Country],Tabela1[[#This Row],[Country]],Table9[Time-Trial Classification],"&gt;0")</f>
        <v>0</v>
      </c>
      <c r="EJ106" s="6">
        <f>COUNTIFS(Table14[Country],Tabela1[[#This Row],[Country]],Table14[Time-Trial Classification],"&gt;0")</f>
        <v>0</v>
      </c>
      <c r="EK106" s="6">
        <f>COUNTIFS(Table42[Country],Tabela1[[#This Row],[Country]],Table42[Springboard Classification],"&gt;0")</f>
        <v>0</v>
      </c>
      <c r="EL106" s="6">
        <f>COUNTIFS(Table43[Country],Tabela1[[#This Row],[Country]],Table43[Springboard Classification],"&gt;0")</f>
        <v>0</v>
      </c>
      <c r="EM106" s="6">
        <f>COUNTIFS(Table42[Country],Tabela1[[#This Row],[Country]],Table42[Platform Classification],"&gt;0")</f>
        <v>0</v>
      </c>
      <c r="EN106" s="6">
        <f>COUNTIFS(Table43[Country],Tabela1[[#This Row],[Country]],Table43[Platform Classification],"&gt;0")</f>
        <v>0</v>
      </c>
      <c r="EO106" s="6">
        <f>COUNTIFS(Table86[Country],Tabela1[[#This Row],[Country]],Table86[Men''s Synchronized Springboard Classification],"&gt;0")</f>
        <v>0</v>
      </c>
      <c r="EP106" s="6">
        <f>COUNTIFS(Table86[Country],Tabela1[[#This Row],[Country]],Table86[Women''s Synchronized Springboard Classification],"&gt;0")</f>
        <v>0</v>
      </c>
      <c r="EQ106" s="6">
        <f>COUNTIFS(Table86[Country],Tabela1[[#This Row],[Country]],Table86[Men''s Synchronized Platform Classification],"&gt;0")</f>
        <v>0</v>
      </c>
      <c r="ER106" s="6">
        <f>COUNTIFS(Table86[Country],Tabela1[[#This Row],[Country]],Table86[Women''s Synchronized Platform Classification],"&gt;0")</f>
        <v>0</v>
      </c>
      <c r="ES106" s="6">
        <f>COUNTIFS(Table44[Country],Tabela1[[#This Row],[Country]],Table44[Dressage Classification],"&gt;0")</f>
        <v>0</v>
      </c>
      <c r="ET106" s="6">
        <f>COUNTIFS(Table45[Country],Tabela1[[#This Row],[Country]],Table45[Dressage Classification],"&gt;0")</f>
        <v>0</v>
      </c>
      <c r="EU106" s="6">
        <f>COUNTIFS(Table44[Country],Tabela1[[#This Row],[Country]],Table44[Eventing Classification],"&gt;0")</f>
        <v>0</v>
      </c>
      <c r="EV106" s="6">
        <f>COUNTIFS(Table45[Country],Tabela1[[#This Row],[Country]],Table45[Eventing Classification],"&gt;0")</f>
        <v>0</v>
      </c>
      <c r="EW106" s="6">
        <f>COUNTIFS(Table44[Country],Tabela1[[#This Row],[Country]],Table44[Jumping Classification],"&gt;0")</f>
        <v>0</v>
      </c>
      <c r="EX106" s="6">
        <f>COUNTIFS(Table45[Country],Tabela1[[#This Row],[Country]],Table45[Jumping Classification],"&gt;0")</f>
        <v>0</v>
      </c>
      <c r="EY106" s="6">
        <f>COUNTIFS(Table10[Country],Tabela1[[#This Row],[Country]],Table10[Épée Classification],"&gt;0")</f>
        <v>0</v>
      </c>
      <c r="EZ106" s="6">
        <f>COUNTIFS(Table11[Country],Tabela1[[#This Row],[Country]],Table11[Épée Classification],"&gt;0")</f>
        <v>0</v>
      </c>
      <c r="FA106" s="6">
        <f>COUNTIFS(Table46[Country],Tabela1[[#This Row],[Country]],Table46[Men''s Épée Classification],"&gt;0")</f>
        <v>0</v>
      </c>
      <c r="FB106" s="6">
        <f>COUNTIFS(Table46[Country],Tabela1[[#This Row],[Country]],Table46[Women''s Épée Classification],"&gt;0")</f>
        <v>0</v>
      </c>
      <c r="FC106" s="6">
        <f>COUNTIFS(Table10[Country],Tabela1[[#This Row],[Country]],Table10[Foil Classification],"&gt;0")</f>
        <v>0</v>
      </c>
      <c r="FD106" s="6">
        <f>COUNTIFS(Table11[Country],Tabela1[[#This Row],[Country]],Table11[Foil Classification],"&gt;0")</f>
        <v>0</v>
      </c>
      <c r="FE106" s="6">
        <f>COUNTIFS(Table46[Country],Tabela1[[#This Row],[Country]],Table46[Men''s Foil Classification],"&gt;0")</f>
        <v>0</v>
      </c>
      <c r="FF106" s="6">
        <f>COUNTIFS(Table46[Country],Tabela1[[#This Row],[Country]],Table46[Women''s Foil Classification],"&gt;0")</f>
        <v>0</v>
      </c>
      <c r="FG106" s="6">
        <f>COUNTIFS(Table10[Country],Tabela1[[#This Row],[Country]],Table10[Sabre Classification],"&gt;0")</f>
        <v>0</v>
      </c>
      <c r="FH106" s="6">
        <f>COUNTIFS(Table11[Country],Tabela1[[#This Row],[Country]],Table11[Sabre Classification],"&gt;0")</f>
        <v>0</v>
      </c>
      <c r="FI106" s="6">
        <f>COUNTIFS(Table46[Country],Tabela1[[#This Row],[Country]],Table46[Men''s Sabre Classification],"&gt;0")</f>
        <v>0</v>
      </c>
      <c r="FJ106" s="6">
        <f>COUNTIFS(Table46[Country],Tabela1[[#This Row],[Country]],Table46[Women''s Sabre Classification],"&gt;0")</f>
        <v>0</v>
      </c>
      <c r="FK106" s="6">
        <f>COUNTIFS(Table91[Country],Tabela1[[#This Row],[Country]],Table91[Men''s Classification],"&gt;0")</f>
        <v>0</v>
      </c>
      <c r="FL106" s="6">
        <f>COUNTIFS(Table91[Country],Tabela1[[#This Row],[Country]],Table91[Women''s Classification],"&gt;0")</f>
        <v>0</v>
      </c>
      <c r="FM106" s="6">
        <f>COUNTIFS(Table9194[Country],Tabela1[[#This Row],[Country]],Table9194[Men''s Classification],"&gt;0")</f>
        <v>0</v>
      </c>
      <c r="FN106" s="6">
        <f>COUNTIFS(Table9194[Country],Tabela1[[#This Row],[Country]],Table9194[Women''s Classification],"&gt;0")</f>
        <v>0</v>
      </c>
      <c r="FO106" s="6">
        <f>COUNTIFS(Table71[Country],Tabela1[[#This Row],[Country]],Table71[Classification],"&gt;0")</f>
        <v>0</v>
      </c>
      <c r="FP106" s="6">
        <f>COUNTIFS(Table62[Country],Tabela1[[#This Row],[Country]],Table62[Classification],"&gt;0")</f>
        <v>0</v>
      </c>
      <c r="FQ106" s="6">
        <f>COUNTIFS(Table47[Country],Tabela1[[#This Row],[Country]],Table47[All-Around Classification],"&gt;0")</f>
        <v>0</v>
      </c>
      <c r="FR106" s="6">
        <f>COUNTIFS(Table48[Country],Tabela1[[#This Row],[Country]],Table48[All-Around Classification],"&gt;0")</f>
        <v>0</v>
      </c>
      <c r="FS106" s="6">
        <f>COUNTIFS(Table81[Country],Tabela1[[#This Row],[Country]],Table81[Men''s All-Around Classification],"&gt;0")</f>
        <v>0</v>
      </c>
      <c r="FT106" s="6">
        <f>COUNTIFS(Table81[Country],Tabela1[[#This Row],[Country]],Table81[Women''s All-Around Classification],"&gt;0")</f>
        <v>0</v>
      </c>
      <c r="FU106" s="6">
        <f>COUNTIFS(Table48[Country],Tabela1[[#This Row],[Country]],Table48[Balance Beam Classification],"&gt;0")</f>
        <v>0</v>
      </c>
      <c r="FV106" s="6">
        <f>COUNTIFS(Table47[Country],Tabela1[[#This Row],[Country]],Table47[Floor Exercise Classification],"&gt;0")</f>
        <v>0</v>
      </c>
      <c r="FW106" s="6">
        <f>COUNTIFS(Table48[Country],Tabela1[[#This Row],[Country]],Table48[Floor Exercise Classification],"&gt;0")</f>
        <v>0</v>
      </c>
      <c r="FX106" s="6">
        <f>COUNTIFS(Table47[Country],Tabela1[[#This Row],[Country]],Table47[Horizontal Bar Classification],"&gt;0")</f>
        <v>0</v>
      </c>
      <c r="FY106" s="6">
        <f>COUNTIFS(Table47[Country],Tabela1[[#This Row],[Country]],Table47[Parallel Bars Classification],"&gt;0")</f>
        <v>0</v>
      </c>
      <c r="FZ106" s="6">
        <f>COUNTIFS(Table47[Country],Tabela1[[#This Row],[Country]],Table47[Pommel Horse Classification],"&gt;0")</f>
        <v>0</v>
      </c>
      <c r="GA106" s="6">
        <f>COUNTIFS(Table47[Country],Tabela1[[#This Row],[Country]],Table47[Rings Classification],"&gt;0")</f>
        <v>0</v>
      </c>
      <c r="GB106" s="6">
        <f>COUNTIFS(Tabela132[Country],Tabela1[[#This Row],[Country]],Tabela132[Classification],"&gt;0")</f>
        <v>0</v>
      </c>
      <c r="GC106" s="6">
        <f>COUNTIFS(Tabela139[Country],Tabela1[[#This Row],[Country]],Tabela139[Classification],"&gt;0")</f>
        <v>0</v>
      </c>
      <c r="GD106" s="6">
        <f>COUNTIFS(Table48[Country],Tabela1[[#This Row],[Country]],Table48[Uneven Bars Classification],"&gt;0")</f>
        <v>0</v>
      </c>
      <c r="GE106" s="6">
        <f>COUNTIFS(Table47[Country],Tabela1[[#This Row],[Country]],Table47[Vault Classification],"&gt;0")</f>
        <v>0</v>
      </c>
      <c r="GF106" s="6">
        <f>COUNTIFS(Table48[Country],Tabela1[[#This Row],[Country]],Table48[Vault Classification],"&gt;0")</f>
        <v>0</v>
      </c>
      <c r="GG106" s="6">
        <f>COUNTIFS(Table919496[Country],Tabela1[[#This Row],[Country]],Table919496[Men''s Classification],"&gt;0")</f>
        <v>0</v>
      </c>
      <c r="GH106" s="6">
        <f>COUNTIFS(Table919496[Country],Tabela1[[#This Row],[Country]],Table919496[Women''s Classification],"&gt;0")</f>
        <v>0</v>
      </c>
      <c r="GI106" s="6">
        <f>COUNTIFS(Table12[Country],Tabela1[[#This Row],[Country]],Table12[60kg Classification],"&gt;0")</f>
        <v>0</v>
      </c>
      <c r="GJ106" s="6">
        <f>COUNTIFS(Table12[Country],Tabela1[[#This Row],[Country]],Table12[66kg Classification],"&gt;0")</f>
        <v>0</v>
      </c>
      <c r="GK106" s="6">
        <f>COUNTIFS(Table12[Country],Tabela1[[#This Row],[Country]],Table12[73kg Classification],"&gt;0")</f>
        <v>0</v>
      </c>
      <c r="GL106" s="6">
        <f>COUNTIFS(Table12[Country],Tabela1[[#This Row],[Country]],Table12[81kg Classification],"&gt;0")</f>
        <v>0</v>
      </c>
      <c r="GM106" s="6">
        <f>COUNTIFS(Table12[Country],Tabela1[[#This Row],[Country]],Table12[90kg Classification],"&gt;0")</f>
        <v>0</v>
      </c>
      <c r="GN106" s="6">
        <f>COUNTIFS(Table12[Country],Tabela1[[#This Row],[Country]],Table12[100kg Classification],"&gt;0")</f>
        <v>0</v>
      </c>
      <c r="GO106" s="6">
        <f>COUNTIFS(Table12[Country],Tabela1[[#This Row],[Country]],Table12[Plus 100kg Classification],"&gt;0")</f>
        <v>0</v>
      </c>
      <c r="GP106" s="6">
        <f>COUNTIFS(Table13[Country],Tabela1[[#This Row],[Country]],Table13[48kg Classification],"&gt;0")</f>
        <v>0</v>
      </c>
      <c r="GQ106" s="6">
        <f>COUNTIFS(Table13[Country],Tabela1[[#This Row],[Country]],Table13[52kg Classification],"&gt;0")</f>
        <v>0</v>
      </c>
      <c r="GR106" s="6">
        <f>COUNTIFS(Table13[Country],Tabela1[[#This Row],[Country]],Table13[57kg Classification],"&gt;0")</f>
        <v>0</v>
      </c>
      <c r="GS106" s="6">
        <f>COUNTIFS(Table13[Country],Tabela1[[#This Row],[Country]],Table13[63kg Classification],"&gt;0")</f>
        <v>0</v>
      </c>
      <c r="GT106" s="6">
        <f>COUNTIFS(Table13[Country],Tabela1[[#This Row],[Country]],Table13[70kg Classification],"&gt;0")</f>
        <v>0</v>
      </c>
      <c r="GU106" s="6">
        <f>COUNTIFS(Table13[Country],Tabela1[[#This Row],[Country]],Table13[78kg Classification],"&gt;0")</f>
        <v>0</v>
      </c>
      <c r="GV106" s="6">
        <f>COUNTIFS(Table13[Country],Tabela1[[#This Row],[Country]],Table13[Plus 78kg Classification],"&gt;0")</f>
        <v>0</v>
      </c>
      <c r="GW106" s="6">
        <f>COUNTIFS(Table82[Country],Tabela1[[#This Row],[Country]],Table82[Mixed Classification],"&gt;0")</f>
        <v>0</v>
      </c>
      <c r="GX106" s="6">
        <f>COUNTIFS(Table51[Country],Tabela1[[#This Row],[Country]],Table51[Classification],"&gt;0")</f>
        <v>0</v>
      </c>
      <c r="GY106" s="6">
        <f>COUNTIFS(Table52[Country],Tabela1[[#This Row],[Country]],Table52[Classification],"&gt;0")</f>
        <v>0</v>
      </c>
      <c r="GZ106" s="6">
        <f>COUNTIFS(Table32[Country],Tabela1[[#This Row],[Country]],Table32[All-Around Classification],"&gt;0")</f>
        <v>0</v>
      </c>
      <c r="HA106" s="6">
        <f>COUNTIFS(Table49[Country],Tabela1[[#This Row],[Country]],Table49[All-Around Classification],"&gt;0")</f>
        <v>0</v>
      </c>
      <c r="HB106" s="6">
        <f>COUNTIFS(Table26[Country],Tabela1[[#This Row],[Country]],Table26[Single Sculls Classification],"&gt;0")</f>
        <v>1</v>
      </c>
      <c r="HC106" s="6">
        <f>COUNTIFS(Table63[Country],Tabela1[[#This Row],[Country]],Table63[Single Sculls Classification],"&gt;0")</f>
        <v>0</v>
      </c>
      <c r="HD106" s="6">
        <f>COUNTIFS(Table16[Country],Tabela1[[#This Row],[Country]],Table16[Men''s Double Sculls Classification],"&gt;0")</f>
        <v>0</v>
      </c>
      <c r="HE106" s="6">
        <f>COUNTIFS(Table16[Country],Tabela1[[#This Row],[Country]],Table16[Women''s Double Sculls Classification],"&gt;0")</f>
        <v>0</v>
      </c>
      <c r="HF106" s="6">
        <f>COUNTIFS(Table72[Country],Tabela1[[#This Row],[Country]],Table72[Men''s Quadruple Sculls Classification],"&gt;0")</f>
        <v>0</v>
      </c>
      <c r="HG106" s="6">
        <f>COUNTIFS(Table72[Country],Tabela1[[#This Row],[Country]],Table72[Women''s Quadruple Sculls Classification],"&gt;0")</f>
        <v>0</v>
      </c>
      <c r="HH106" s="6">
        <f>COUNTIFS(Table16[Country],Tabela1[[#This Row],[Country]],Table16[Men''s Coxless Pairs Classification],"&gt;0")</f>
        <v>0</v>
      </c>
      <c r="HI106" s="6">
        <f>COUNTIFS(Table16[Country],Tabela1[[#This Row],[Country]],Table16[Women''s Coxless Pairs Classification],"&gt;0")</f>
        <v>0</v>
      </c>
      <c r="HJ106" s="6">
        <f>COUNTIFS(Table72[Country],Tabela1[[#This Row],[Country]],Table72[Men''s Coxless Fours Classification],"&gt;0")</f>
        <v>0</v>
      </c>
      <c r="HK106" s="6">
        <f>COUNTIFS(Table72[Country],Tabela1[[#This Row],[Country]],Table72[Women''s Coxless Fours Classification],"&gt;0")</f>
        <v>0</v>
      </c>
      <c r="HL106" s="6">
        <f>COUNTIFS(Table72[Country],Tabela1[[#This Row],[Country]],Table72[Men''s Eights Classification],"&gt;0")</f>
        <v>0</v>
      </c>
      <c r="HM106" s="6">
        <f>COUNTIFS(Table72[Country],Tabela1[[#This Row],[Country]],Table72[Women''s Eights Classification],"&gt;0")</f>
        <v>0</v>
      </c>
      <c r="HN106" s="6">
        <f>COUNTIFS(Table16[Country],Tabela1[[#This Row],[Country]],Table16[Men''s Lwt. Double Sculls Classification],"&gt;0")</f>
        <v>0</v>
      </c>
      <c r="HO106" s="6">
        <f>COUNTIFS(Table16[Country],Tabela1[[#This Row],[Country]],Table16[Women''s Lwt. Double Sculls Classification],"&gt;0")</f>
        <v>0</v>
      </c>
      <c r="HP106" s="6">
        <f>COUNTIFS(Table91949698[Country],Tabela1[[#This Row],[Country]],Table91949698[Men''s Classification],"&gt;0")</f>
        <v>0</v>
      </c>
      <c r="HQ106" s="6">
        <f>COUNTIFS(Table91949698[Country],Tabela1[[#This Row],[Country]],Table91949698[Women''s Classification],"&gt;0")</f>
        <v>0</v>
      </c>
      <c r="HR106" s="6">
        <f>COUNTIFS(Table25[Country],Tabela1[[#This Row],[Country]],Table25[Mixed 470 Classification],"&gt;0")</f>
        <v>0</v>
      </c>
      <c r="HS106" s="6">
        <f>COUNTIFS(Table25[Country],Tabela1[[#This Row],[Country]],Table25[Men''s 49er Classification],"&gt;0")</f>
        <v>0</v>
      </c>
      <c r="HT106" s="6">
        <f>COUNTIFS(Table25[Country],Tabela1[[#This Row],[Country]],Table25[Women''s 49er FX Classification],"&gt;0")</f>
        <v>0</v>
      </c>
      <c r="HU106" s="6">
        <f>COUNTIFS(Table17[Country],Tabela1[[#This Row],[Country]],Table17[Formula Kite Classification],"&gt;0")</f>
        <v>0</v>
      </c>
      <c r="HV106" s="6">
        <f>COUNTIFS(Table18[Country],Tabela1[[#This Row],[Country]],Table18[Formula Kite Classification],"&gt;0")</f>
        <v>0</v>
      </c>
      <c r="HW106" s="6">
        <f>COUNTIFS(Table17[Country],Tabela1[[#This Row],[Country]],Table17[ILCA 7 Classification],"&gt;0")</f>
        <v>0</v>
      </c>
      <c r="HX106" s="6">
        <f>COUNTIFS(Table18[Country],Tabela1[[#This Row],[Country]],Table18[ILCA 6 Classification],"&gt;0")</f>
        <v>0</v>
      </c>
      <c r="HY106" s="6">
        <f>COUNTIFS(Table17[Country],Tabela1[[#This Row],[Country]],Table17[IQFoil Classification],"&gt;0")</f>
        <v>0</v>
      </c>
      <c r="HZ106" s="6">
        <f>COUNTIFS(Table18[Country],Tabela1[[#This Row],[Country]],Table18[IQFoil Classification],"&gt;0")</f>
        <v>0</v>
      </c>
      <c r="IA106" s="6">
        <f>COUNTIFS(Table25[Country],Tabela1[[#This Row],[Country]],Table25[Mixed Nacra 17 Classification],"&gt;0")</f>
        <v>0</v>
      </c>
      <c r="IB106" s="6">
        <f>COUNTIFS(Table53[Country],Tabela1[[#This Row],[Country]],Table53[10m Air Pistol Classification],"&gt;0")</f>
        <v>0</v>
      </c>
      <c r="IC106" s="6">
        <f>COUNTIFS(Table19[Country],Tabela1[[#This Row],[Country]],Table19[10m Air Pistol Classification],"&gt;0")</f>
        <v>0</v>
      </c>
      <c r="ID106" s="6">
        <f>COUNTIFS(Table54[Country],Tabela1[[#This Row],[Country]],Table54[Mixed 10m Air Pistol Team Classification],"&gt;0")</f>
        <v>0</v>
      </c>
      <c r="IE106" s="6">
        <f>COUNTIFS(Table53[Country],Tabela1[[#This Row],[Country]],Table53[10m Air Rifle Classification],"&gt;0")</f>
        <v>0</v>
      </c>
      <c r="IF106" s="6">
        <f>COUNTIFS(Table19[Country],Tabela1[[#This Row],[Country]],Table19[10m Air Rifle Classification],"&gt;0")</f>
        <v>0</v>
      </c>
      <c r="IG106" s="6">
        <f>COUNTIFS(Table54[Country],Tabela1[[#This Row],[Country]],Table54[Mixed 10m Air Rifle Team Classification],"&gt;0")</f>
        <v>0</v>
      </c>
      <c r="IH106" s="6">
        <f>COUNTIFS(Table53[Country],Tabela1[[#This Row],[Country]],Table53[25m Rapid Fire Pistol Classification],"&gt;0")</f>
        <v>0</v>
      </c>
      <c r="II106" s="6">
        <f>COUNTIFS(Table19[Country],Tabela1[[#This Row],[Country]],Table19[25m Pistol Classification],"&gt;0")</f>
        <v>0</v>
      </c>
      <c r="IJ106" s="6">
        <f>COUNTIFS(Table53[Country],Tabela1[[#This Row],[Country]],Table53[50m Rifle 3 Positions Classification],"&gt;0")</f>
        <v>0</v>
      </c>
      <c r="IK106" s="6">
        <f>COUNTIFS(Table19[Country],Tabela1[[#This Row],[Country]],Table19[50m Rifle 3 Positions Classification],"&gt;0")</f>
        <v>0</v>
      </c>
      <c r="IL106" s="6">
        <f>COUNTIFS(Table53[Country],Tabela1[[#This Row],[Country]],Table53[Skeet Classification],"&gt;0")</f>
        <v>0</v>
      </c>
      <c r="IM106" s="6">
        <f>COUNTIFS(Table19[Country],Tabela1[[#This Row],[Country]],Table19[Skeet Classification],"&gt;0")</f>
        <v>0</v>
      </c>
      <c r="IN106" s="6">
        <f>COUNTIFS(Table54[Country],Tabela1[[#This Row],[Country]],Table54[Mixed Skeet Team Classification],"&gt;0")</f>
        <v>0</v>
      </c>
      <c r="IO106" s="6">
        <f>COUNTIFS(Table53[Country],Tabela1[[#This Row],[Country]],Table53[Trap Classification],"&gt;0")</f>
        <v>0</v>
      </c>
      <c r="IP106" s="6">
        <f>COUNTIFS(Table19[Country],Tabela1[[#This Row],[Country]],Table19[Trap Classification],"&gt;0")</f>
        <v>0</v>
      </c>
      <c r="IQ106" s="6">
        <f>COUNTIFS(Table73[Country],Tabela1[[#This Row],[Country]],Table73[Park Classification],"&gt;0")</f>
        <v>0</v>
      </c>
      <c r="IR106" s="6">
        <f>COUNTIFS(Table74[Country],Tabela1[[#This Row],[Country]],Table74[Park Classification],"&gt;0")</f>
        <v>0</v>
      </c>
      <c r="IS106" s="6">
        <f>COUNTIFS(Table73[Country],Tabela1[[#This Row],[Country]],Table73[Street Classification],"&gt;0")</f>
        <v>0</v>
      </c>
      <c r="IT106" s="6">
        <f>COUNTIFS(Table74[Country],Tabela1[[#This Row],[Country]],Table74[Street Classification],"&gt;0")</f>
        <v>0</v>
      </c>
      <c r="IU106" s="6">
        <f>COUNTIFS(Table75[Country],Tabela1[[#This Row],[Country]],Table75[Boulder and Lead Classification],"&gt;0")</f>
        <v>0</v>
      </c>
      <c r="IV106" s="6">
        <f>COUNTIFS(Table76[Country],Tabela1[[#This Row],[Country]],Table76[Boulder and Lead Classification],"&gt;0")</f>
        <v>0</v>
      </c>
      <c r="IW106" s="6">
        <f>COUNTIFS(Table75[Country],Tabela1[[#This Row],[Country]],Table75[Speed Classification],"&gt;0")</f>
        <v>0</v>
      </c>
      <c r="IX106" s="6">
        <f>COUNTIFS(Table76[Country],Tabela1[[#This Row],[Country]],Table76[Speed Classification],"&gt;0")</f>
        <v>0</v>
      </c>
      <c r="IY106" s="6">
        <f>COUNTIFS(Table64[Country],Tabela1[[#This Row],[Country]],Table64[Shortboard Classification],"&gt;0")</f>
        <v>0</v>
      </c>
      <c r="IZ106" s="6">
        <f>COUNTIFS(Table77[Country],Tabela1[[#This Row],[Country]],Table77[Shortboard Classification],"&gt;0")</f>
        <v>0</v>
      </c>
      <c r="JA106" s="6">
        <f>COUNTIFS(Table20[Country],Tabela1[[#This Row],[Country]],Table20[50m Freestyle Classification],"&gt;0")</f>
        <v>0</v>
      </c>
      <c r="JB106" s="6">
        <f>COUNTIFS(Table21[Country],Tabela1[[#This Row],[Country]],Table21[50m Freestyle Classification],"&gt;0")</f>
        <v>0</v>
      </c>
      <c r="JC106" s="6">
        <f>COUNTIFS(Table20[Country],Tabela1[[#This Row],[Country]],Table20[100m Freestyle Classification],"&gt;0")</f>
        <v>0</v>
      </c>
      <c r="JD106" s="6">
        <f>COUNTIFS(Table21[Country],Tabela1[[#This Row],[Country]],Table21[100m Freestyle Classification],"&gt;0")</f>
        <v>0</v>
      </c>
      <c r="JE106" s="6">
        <f>COUNTIFS(Table20[Country],Tabela1[[#This Row],[Country]],Table20[200m Freestyle Classification],"&gt;0")</f>
        <v>0</v>
      </c>
      <c r="JF106" s="6">
        <f>COUNTIFS(Table21[Country],Tabela1[[#This Row],[Country]],Table21[200m Freestyle Classification],"&gt;0")</f>
        <v>0</v>
      </c>
      <c r="JG106" s="6">
        <f>COUNTIFS(Table20[Country],Tabela1[[#This Row],[Country]],Table20[400m Freestyle Classification],"&gt;0")</f>
        <v>0</v>
      </c>
      <c r="JH106" s="6">
        <f>COUNTIFS(Table21[Country],Tabela1[[#This Row],[Country]],Table21[400m Freestyle Classification],"&gt;0")</f>
        <v>0</v>
      </c>
      <c r="JI106" s="6">
        <f>COUNTIFS(Table20[Country],Tabela1[[#This Row],[Country]],Table20[800m Freestyle Classification],"&gt;0")</f>
        <v>0</v>
      </c>
      <c r="JJ106" s="6">
        <f>COUNTIFS(Table21[Country],Tabela1[[#This Row],[Country]],Table21[800m Freestyle Classification],"&gt;0")</f>
        <v>0</v>
      </c>
      <c r="JK106" s="6">
        <f>COUNTIFS(Table20[Country],Tabela1[[#This Row],[Country]],Table20[1500m Freestyle Classification],"&gt;0")</f>
        <v>0</v>
      </c>
      <c r="JL106" s="6">
        <f>COUNTIFS(Table21[Country],Tabela1[[#This Row],[Country]],Table21[1500m Freestyle Classification],"&gt;0")</f>
        <v>0</v>
      </c>
      <c r="JM106" s="6">
        <f>COUNTIFS(Table20[Country],Tabela1[[#This Row],[Country]],Table20[100m Backstroke Classification],"&gt;0")</f>
        <v>0</v>
      </c>
      <c r="JN106" s="6">
        <f>COUNTIFS(Table21[Country],Tabela1[[#This Row],[Country]],Table21[100m Backstroke Classification],"&gt;0")</f>
        <v>0</v>
      </c>
      <c r="JO106" s="6">
        <f>COUNTIFS(Table20[Country],Tabela1[[#This Row],[Country]],Table20[200m Backstroke Classification],"&gt;0")</f>
        <v>0</v>
      </c>
      <c r="JP106" s="6">
        <f>COUNTIFS(Table21[Country],Tabela1[[#This Row],[Country]],Table21[200m Backstroke Classification],"&gt;0")</f>
        <v>0</v>
      </c>
      <c r="JQ106" s="6">
        <f>COUNTIFS(Table20[Country],Tabela1[[#This Row],[Country]],Table20[100m Breaststroke Classification],"&gt;0")</f>
        <v>0</v>
      </c>
      <c r="JR106" s="6">
        <f>COUNTIFS(Table21[Country],Tabela1[[#This Row],[Country]],Table21[100m Breaststroke Classification],"&gt;0")</f>
        <v>0</v>
      </c>
      <c r="JS106" s="6">
        <f>COUNTIFS(Table20[Country],Tabela1[[#This Row],[Country]],Table20[200m Breaststroke Classification],"&gt;0")</f>
        <v>0</v>
      </c>
      <c r="JT106" s="6">
        <f>COUNTIFS(Table21[Country],Tabela1[[#This Row],[Country]],Table21[200m Breaststroke Classification],"&gt;0")</f>
        <v>0</v>
      </c>
      <c r="JU106" s="6">
        <f>COUNTIFS(Table20[Country],Tabela1[[#This Row],[Country]],Table20[100m Butterfly Classification],"&gt;0")</f>
        <v>0</v>
      </c>
      <c r="JV106" s="6">
        <f>COUNTIFS(Table21[Country],Tabela1[[#This Row],[Country]],Table21[100m Butterfly Classification],"&gt;0")</f>
        <v>0</v>
      </c>
      <c r="JW106" s="6">
        <f>COUNTIFS(Table20[Country],Tabela1[[#This Row],[Country]],Table20[200m Butterfly Classification],"&gt;0")</f>
        <v>0</v>
      </c>
      <c r="JX106" s="6">
        <f>COUNTIFS(Table21[Country],Tabela1[[#This Row],[Country]],Table21[200m Butterfly Classification],"&gt;0")</f>
        <v>0</v>
      </c>
      <c r="JY106" s="6">
        <f>COUNTIFS(Table20[Country],Tabela1[[#This Row],[Country]],Table20[200m Medley Classification],"&gt;0")</f>
        <v>0</v>
      </c>
      <c r="JZ106" s="6">
        <f>COUNTIFS(Table21[Country],Tabela1[[#This Row],[Country]],Table21[200m Medley Classification],"&gt;0")</f>
        <v>0</v>
      </c>
      <c r="KA106" s="6">
        <f>COUNTIFS(Table20[Country],Tabela1[[#This Row],[Country]],Table20[400m Medley Classification],"&gt;0")</f>
        <v>0</v>
      </c>
      <c r="KB106" s="6">
        <f>COUNTIFS(Table21[Country],Tabela1[[#This Row],[Country]],Table21[400m Medley Classification],"&gt;0")</f>
        <v>0</v>
      </c>
      <c r="KC106" s="6">
        <f>COUNTIFS(Table78[Country],Tabela1[[#This Row],[Country]],Table78[Men''s 4x100m Freestyle Relay Classification],"&gt;0")</f>
        <v>0</v>
      </c>
      <c r="KD106" s="6">
        <f>COUNTIFS(Table78[Country],Tabela1[[#This Row],[Country]],Table78[Women''s 4x100m Freestyle Relay Classification],"&gt;0")</f>
        <v>0</v>
      </c>
      <c r="KE106" s="6">
        <f>COUNTIFS(Table78[Country],Tabela1[[#This Row],[Country]],Table78[Men''s 4x200m Freestyle Relay Classification],"&gt;0")</f>
        <v>0</v>
      </c>
      <c r="KF106" s="6">
        <f>COUNTIFS(Table78[Country],Tabela1[[#This Row],[Country]],Table78[Women''s 4x200m Freestyle Relay Classification],"&gt;0")</f>
        <v>0</v>
      </c>
      <c r="KG106" s="6">
        <f>COUNTIFS(Table78[Country],Tabela1[[#This Row],[Country]],Table78[Men''s 4x100m Medley Relay Classification],"&gt;0")</f>
        <v>0</v>
      </c>
      <c r="KH106" s="6">
        <f>COUNTIFS(Table78[Country],Tabela1[[#This Row],[Country]],Table78[Women''s 4x100m Medley Relay Classification],"&gt;0")</f>
        <v>0</v>
      </c>
      <c r="KI106" s="6">
        <f>COUNTIFS(Table78[Country],Tabela1[[#This Row],[Country]],Table78[Mixed 4x100m Medley Relay Classification],"&gt;0")</f>
        <v>0</v>
      </c>
      <c r="KJ106" s="6">
        <f>COUNTIFS(Table20[Country],Tabela1[[#This Row],[Country]],Table20[10km Open Water Classification],"&gt;0")</f>
        <v>0</v>
      </c>
      <c r="KK106" s="6">
        <f>COUNTIFS(Table21[Country],Tabela1[[#This Row],[Country]],Table21[10km Open Water Classification],"&gt;0")</f>
        <v>0</v>
      </c>
      <c r="KL106" s="6">
        <f>COUNTIFS(Table22[Country],Tabela1[[#This Row],[Country]],Table22[Classification],"&gt;0")</f>
        <v>0</v>
      </c>
      <c r="KM106" s="6">
        <f>COUNTIFS(Table30[Country],Tabela1[[#This Row],[Country]],Table30[Classification],"&gt;0")</f>
        <v>0</v>
      </c>
      <c r="KN106" s="6">
        <f>COUNTIFS(Table55[Country],Tabela1[[#This Row],[Country]],Table55[Men''s Classification],"&gt;0")</f>
        <v>0</v>
      </c>
      <c r="KO106" s="6">
        <f>COUNTIFS(Table55[Country],Tabela1[[#This Row],[Country]],Table55[Women''s Classification],"&gt;0")</f>
        <v>0</v>
      </c>
      <c r="KP106" s="6">
        <f>COUNTIFS(Table56[Country],Tabela1[[#This Row],[Country]],Table56[Mixed Classification],"&gt;0")</f>
        <v>0</v>
      </c>
      <c r="KQ106" s="6">
        <f>COUNTIFS(Table29[Country],Tabela1[[#This Row],[Country]],Table29[58kg Classification],"&gt;0")</f>
        <v>0</v>
      </c>
      <c r="KR106" s="6">
        <f>COUNTIFS(Table29[Country],Tabela1[[#This Row],[Country]],Table29[68kg Classification],"&gt;0")</f>
        <v>0</v>
      </c>
      <c r="KS106" s="6">
        <f>COUNTIFS(Table29[Country],Tabela1[[#This Row],[Country]],Table29[80kg Classification],"&gt;0")</f>
        <v>0</v>
      </c>
      <c r="KT106" s="6">
        <f>COUNTIFS(Table29[Country],Tabela1[[#This Row],[Country]],Table29[Plus 80kg Classification],"&gt;0")</f>
        <v>0</v>
      </c>
      <c r="KU106" s="6">
        <f>COUNTIFS(Table34[Country],Tabela1[[#This Row],[Country]],Table34[49kg Classification],"&gt;0")</f>
        <v>0</v>
      </c>
      <c r="KV106" s="6">
        <f>COUNTIFS(Table34[Country],Tabela1[[#This Row],[Country]],Table34[57kg Classification],"&gt;0")</f>
        <v>0</v>
      </c>
      <c r="KW106" s="6">
        <f>COUNTIFS(Table34[Country],Tabela1[[#This Row],[Country]],Table34[67kg Classification],"&gt;0")</f>
        <v>0</v>
      </c>
      <c r="KX106" s="6">
        <f>COUNTIFS(Table34[Country],Tabela1[[#This Row],[Country]],Table34[Plus 67kg Classification],"&gt;0")</f>
        <v>0</v>
      </c>
      <c r="KY106" s="6">
        <f>COUNTIFS(Table57[Country],Tabela1[[#This Row],[Country]],Table57[Classification],"&gt;0")</f>
        <v>0</v>
      </c>
      <c r="KZ106" s="6">
        <f>COUNTIFS(Table58[Country],Tabela1[[#This Row],[Country]],Table58[Classification],"&gt;0")</f>
        <v>0</v>
      </c>
      <c r="LA106" s="6">
        <f>COUNTIFS(Table79[Country],Tabela1[[#This Row],[Country]],Table79[Men''s Classification],"&gt;0")</f>
        <v>0</v>
      </c>
      <c r="LB106" s="6">
        <f>COUNTIFS(Table79[Country],Tabela1[[#This Row],[Country]],Table79[Women''s Classification],"&gt;0")</f>
        <v>0</v>
      </c>
      <c r="LC106" s="6">
        <f>COUNTIFS(Table79[Country],Tabela1[[#This Row],[Country]],Table79[Mixed Classification],"&gt;0")</f>
        <v>0</v>
      </c>
      <c r="LD106" s="6">
        <f>COUNTIFS(Table65[Country],Tabela1[[#This Row],[Country]],Table65[Classification],"&gt;0")</f>
        <v>0</v>
      </c>
      <c r="LE106" s="6">
        <f>COUNTIFS(Table59[Country],Tabela1[[#This Row],[Country]],Table59[Classification],"&gt;0")</f>
        <v>0</v>
      </c>
      <c r="LF106" s="6">
        <f>COUNTIFS(Table87[Country],Tabela1[[#This Row],[Country]],Table87[Mixed Relay Classification],"&gt;0")</f>
        <v>0</v>
      </c>
      <c r="LG106" s="6">
        <f>COUNTIFS(Table91949698100[Country],Tabela1[[#This Row],[Country]],Table91949698100[Men''s Classification],"&gt;0")</f>
        <v>0</v>
      </c>
      <c r="LH106" s="6">
        <f>COUNTIFS(Table91949698100[Country],Tabela1[[#This Row],[Country]],Table91949698100[Women''s Classification],"&gt;0")</f>
        <v>0</v>
      </c>
      <c r="LI106" s="6">
        <f>COUNTIFS(Table91949698100102[Country],Tabela1[[#This Row],[Country]],Table91949698100102[Men''s Classification],"&gt;0")</f>
        <v>0</v>
      </c>
      <c r="LJ106" s="6">
        <f>COUNTIFS(Table91949698100102[Country],Tabela1[[#This Row],[Country]],Table91949698100102[Women''s Classification],"&gt;0")</f>
        <v>0</v>
      </c>
      <c r="LK106" s="6">
        <f>COUNTIFS(Table23[Country],Tabela1[[#This Row],[Country]],Table23[61kg Classification],"&gt;0")</f>
        <v>0</v>
      </c>
      <c r="LL106" s="6">
        <f>COUNTIFS(Table23[Country],Tabela1[[#This Row],[Country]],Table23[73kg Classification],"&gt;0")</f>
        <v>0</v>
      </c>
      <c r="LM106" s="6">
        <f>COUNTIFS(Table23[Country],Tabela1[[#This Row],[Country]],Table23[89kg Classification],"&gt;0")</f>
        <v>0</v>
      </c>
      <c r="LN106" s="6">
        <f>COUNTIFS(Table23[Country],Tabela1[[#This Row],[Country]],Table23[102kg Classification],"&gt;0")</f>
        <v>0</v>
      </c>
      <c r="LO106" s="6">
        <f>COUNTIFS(Table23[Country],Tabela1[[#This Row],[Country]],Table23[Plus 102kg Classification],"&gt;0")</f>
        <v>0</v>
      </c>
      <c r="LP106" s="6">
        <f>COUNTIFS(Table28[Country],Tabela1[[#This Row],[Country]],Table28[49kg Classification],"&gt;0")</f>
        <v>0</v>
      </c>
      <c r="LQ106" s="6">
        <f>COUNTIFS(Table28[Country],Tabela1[[#This Row],[Country]],Table28[59kg Classification],"&gt;0")</f>
        <v>0</v>
      </c>
      <c r="LR106" s="6">
        <f>COUNTIFS(Table28[Country],Tabela1[[#This Row],[Country]],Table28[71kg Classification],"&gt;0")</f>
        <v>0</v>
      </c>
      <c r="LS106" s="6">
        <f>COUNTIFS(Table28[Country],Tabela1[[#This Row],[Country]],Table28[81kg Classification],"&gt;0")</f>
        <v>0</v>
      </c>
      <c r="LT106" s="6">
        <f>COUNTIFS(Table28[Country],Tabela1[[#This Row],[Country]],Table28[Plus 81kg Classification],"&gt;0")</f>
        <v>0</v>
      </c>
      <c r="LU106" s="6">
        <f>COUNTIFS(Table24[Country],Tabela1[[#This Row],[Country]],Table24[Freestyle 57kg Classification],"&gt;0")</f>
        <v>0</v>
      </c>
      <c r="LV106" s="6">
        <f>COUNTIFS(Table24[Country],Tabela1[[#This Row],[Country]],Table24[Freestyle 65kg Classification],"&gt;0")</f>
        <v>0</v>
      </c>
      <c r="LW106" s="6">
        <f>COUNTIFS(Table24[Country],Tabela1[[#This Row],[Country]],Table24[Freestyle 74kg Classification],"&gt;0")</f>
        <v>0</v>
      </c>
      <c r="LX106" s="6">
        <f>COUNTIFS(Table24[Country],Tabela1[[#This Row],[Country]],Table24[Freestyle 86kg Classification],"&gt;0")</f>
        <v>0</v>
      </c>
      <c r="LY106" s="6">
        <f>COUNTIFS(Table24[Country],Tabela1[[#This Row],[Country]],Table24[Freestyle 97kg Classification],"&gt;0")</f>
        <v>0</v>
      </c>
      <c r="LZ106" s="6">
        <f>COUNTIFS(Table24[Country],Tabela1[[#This Row],[Country]],Table24[Freestyle 125kg Classification],"&gt;0")</f>
        <v>0</v>
      </c>
      <c r="MA106" s="6">
        <f>COUNTIFS(Table24[Country],Tabela1[[#This Row],[Country]],Table24[Greco-Roman 60kg Classification],"&gt;0")</f>
        <v>0</v>
      </c>
      <c r="MB106" s="6">
        <f>COUNTIFS(Table24[Country],Tabela1[[#This Row],[Country]],Table24[Greco-Roman 67kg Classification],"&gt;0")</f>
        <v>0</v>
      </c>
      <c r="MC106" s="6">
        <f>COUNTIFS(Table24[Country],Tabela1[[#This Row],[Country]],Table24[Greco-Roman 77kg Classification],"&gt;0")</f>
        <v>0</v>
      </c>
      <c r="MD106" s="6">
        <f>COUNTIFS(Table24[Country],Tabela1[[#This Row],[Country]],Table24[Greco-Roman 87kg Classification],"&gt;0")</f>
        <v>0</v>
      </c>
      <c r="ME106" s="6">
        <f>COUNTIFS(Table24[Country],Tabela1[[#This Row],[Country]],Table24[Greco-Roman 97kg Classification],"&gt;0")</f>
        <v>0</v>
      </c>
      <c r="MF106" s="6">
        <f>COUNTIFS(Table24[Country],Tabela1[[#This Row],[Country]],Table24[Greco-Roman 130kg Classification],"&gt;0")</f>
        <v>0</v>
      </c>
      <c r="MG106" s="6">
        <f>COUNTIFS(Table31[Country],Tabela1[[#This Row],[Country]],Table31[50kg Classification],"&gt;0")</f>
        <v>0</v>
      </c>
      <c r="MH106" s="6">
        <f>COUNTIFS(Table31[Country],Tabela1[[#This Row],[Country]],Table31[53kg Classification],"&gt;0")</f>
        <v>0</v>
      </c>
      <c r="MI106" s="6">
        <f>COUNTIFS(Table31[Country],Tabela1[[#This Row],[Country]],Table31[57kg Classification],"&gt;0")</f>
        <v>0</v>
      </c>
      <c r="MJ106" s="6">
        <f>COUNTIFS(Table31[Country],Tabela1[[#This Row],[Country]],Table31[62kg Classification],"&gt;0")</f>
        <v>0</v>
      </c>
      <c r="MK106" s="6">
        <f>COUNTIFS(Table31[Country],Tabela1[[#This Row],[Country]],Table31[68kg Classification],"&gt;0")</f>
        <v>0</v>
      </c>
      <c r="ML106" s="6">
        <f>COUNTIFS(Table31[Country],Tabela1[[#This Row],[Country]],Table31[76kg Classification],"&gt;0")</f>
        <v>0</v>
      </c>
      <c r="MM106" s="6">
        <f>COUNTIFS(Table102[Country],Tabela1[[#This Row],[Country]],Table102[Downhill Classification],"&gt;0")</f>
        <v>0</v>
      </c>
      <c r="MN106" s="6">
        <f>COUNTIFS(Table102105[Country],Tabela1[[#This Row],[Country]],Table102105[Downhill Classification],"&gt;0")</f>
        <v>0</v>
      </c>
      <c r="MO106" s="6">
        <f>COUNTIFS(Table102[Country],Tabela1[[#This Row],[Country]],Table102[Giant Slalom Classification],"&gt;0")</f>
        <v>0</v>
      </c>
      <c r="MP106" s="6">
        <f>COUNTIFS(Table102105[Country],Tabela1[[#This Row],[Country]],Table102105[Giant Slalom Classification],"&gt;0")</f>
        <v>0</v>
      </c>
      <c r="MQ106" s="6">
        <f>COUNTIFS(Table102[Country],Tabela1[[#This Row],[Country]],Table102[Slalom Classification],"&gt;0")</f>
        <v>0</v>
      </c>
      <c r="MR106" s="6">
        <f>COUNTIFS(Table102105[Country],Tabela1[[#This Row],[Country]],Table102105[Slalom Classification],"&gt;0")</f>
        <v>0</v>
      </c>
      <c r="MS106" s="6">
        <f>COUNTIFS(Table102[Country],Tabela1[[#This Row],[Country]],Table102[Super-G Classification],"&gt;0")</f>
        <v>0</v>
      </c>
      <c r="MT106" s="6">
        <f>COUNTIFS(Table102105[Country],Tabela1[[#This Row],[Country]],Table102105[Super-G Classification],"&gt;0")</f>
        <v>0</v>
      </c>
      <c r="MU106" s="6">
        <f>COUNTIFS(Table105[Country],Tabela1[[#This Row],[Country]],Table105[Men''s Combined Classification],"&gt;0")</f>
        <v>0</v>
      </c>
      <c r="MV106" s="6">
        <f>COUNTIFS(Table105[Country],Tabela1[[#This Row],[Country]],Table105[Women''s Combined Classification],"&gt;0")</f>
        <v>0</v>
      </c>
      <c r="MW106" s="6">
        <f>COUNTIFS(Table106[Country],Tabela1[[#This Row],[Country]],Table106[Individual Classification],"&gt;0")</f>
        <v>0</v>
      </c>
      <c r="MX106" s="6">
        <f>COUNTIFS(Table106109[Country],Tabela1[[#This Row],[Country]],Table106109[Individual Classification],"&gt;0")</f>
        <v>0</v>
      </c>
      <c r="MY106" s="6">
        <f>COUNTIFS(Table106[Country],Tabela1[[#This Row],[Country]],Table106[Mass Start Classification],"&gt;0")</f>
        <v>0</v>
      </c>
      <c r="MZ106" s="6">
        <f>COUNTIFS(Table106109[Country],Tabela1[[#This Row],[Country]],Table106109[Mass Start Classification],"&gt;0")</f>
        <v>0</v>
      </c>
      <c r="NA106" s="6">
        <f>COUNTIFS(Table106[Country],Tabela1[[#This Row],[Country]],Table106[Pursuit Classification],"&gt;0")</f>
        <v>0</v>
      </c>
      <c r="NB106" s="6">
        <f>COUNTIFS(Table106109[Country],Tabela1[[#This Row],[Country]],Table106109[Pursuit Classification],"&gt;0")</f>
        <v>0</v>
      </c>
      <c r="NC106" s="6">
        <f>COUNTIFS(Table106[Country],Tabela1[[#This Row],[Country]],Table106[Sprint Classification],"&gt;0")</f>
        <v>0</v>
      </c>
      <c r="ND106" s="6">
        <f>COUNTIFS(Table106109[Country],Tabela1[[#This Row],[Country]],Table106109[Sprint Classification],"&gt;0")</f>
        <v>0</v>
      </c>
      <c r="NE106" s="6">
        <f>COUNTIFS(Table109[Country],Tabela1[[#This Row],[Country]],Table109[Men''s Relay Classification],"&gt;0")</f>
        <v>0</v>
      </c>
      <c r="NF106" s="6">
        <f>COUNTIFS(Table109[Country],Tabela1[[#This Row],[Country]],Table109[Women''s Relay Classification],"&gt;0")</f>
        <v>0</v>
      </c>
      <c r="NG106" s="6">
        <f>COUNTIFS(Table109[Country],Tabela1[[#This Row],[Country]],Table109[Mixed Relay Classification],"&gt;0")</f>
        <v>0</v>
      </c>
      <c r="NH106" s="6">
        <f>COUNTIFS(Table110[Country],Tabela1[[#This Row],[Country]],Table110[Monobob Classification],"&gt;0")</f>
        <v>0</v>
      </c>
      <c r="NI106" s="6">
        <f>COUNTIFS(Table111[Country],Tabela1[[#This Row],[Country]],Table111[Men''s Classification],"&gt;0")</f>
        <v>0</v>
      </c>
      <c r="NJ106" s="6">
        <f>COUNTIFS(Table111[Country],Tabela1[[#This Row],[Country]],Table111[Women''s Classification],"&gt;0")</f>
        <v>0</v>
      </c>
      <c r="NK106" s="6">
        <f>COUNTIFS(Table112[Country],Tabela1[[#This Row],[Country]],Table112[Men''s Four Classification],"&gt;0")</f>
        <v>0</v>
      </c>
      <c r="NL106" s="6">
        <f>COUNTIFS(Table113[Country],Tabela1[[#This Row],[Country]],Table113[Classical Classification],"&gt;0")</f>
        <v>0</v>
      </c>
      <c r="NM106" s="6">
        <f>COUNTIFS(Table113116[Country],Tabela1[[#This Row],[Country]],Table113116[Classical Classification],"&gt;0")</f>
        <v>0</v>
      </c>
      <c r="NN106" s="6">
        <f>COUNTIFS(Table113[Country],Tabela1[[#This Row],[Country]],Table113[Freestyle Classification],"&gt;0")</f>
        <v>0</v>
      </c>
      <c r="NO106" s="6">
        <f>COUNTIFS(Table113116[Country],Tabela1[[#This Row],[Country]],Table113116[Freestyle Classification],"&gt;0")</f>
        <v>0</v>
      </c>
      <c r="NP106" s="6">
        <f>COUNTIFS(Table117[Country],Tabela1[[#This Row],[Country]],Table117[Men''s Relay Classification],"&gt;0")</f>
        <v>0</v>
      </c>
      <c r="NQ106" s="6">
        <f>COUNTIFS(Table117[Country],Tabela1[[#This Row],[Country]],Table117[Women''s Relay Classification],"&gt;0")</f>
        <v>0</v>
      </c>
      <c r="NR106" s="6">
        <f>COUNTIFS(Table113[Country],Tabela1[[#This Row],[Country]],Table113[Skiathlon Classification],"&gt;0")</f>
        <v>0</v>
      </c>
      <c r="NS106" s="6">
        <f>COUNTIFS(Table113116[Country],Tabela1[[#This Row],[Country]],Table113116[Skiathlon Classification],"&gt;0")</f>
        <v>0</v>
      </c>
      <c r="NT106" s="6">
        <f>COUNTIFS(Table113[Country],Tabela1[[#This Row],[Country]],Table113[Sprint Classification],"&gt;0")</f>
        <v>0</v>
      </c>
      <c r="NU106" s="6">
        <f>COUNTIFS(Table113116[Country],Tabela1[[#This Row],[Country]],Table113116[Sprint Classification],"&gt;0")</f>
        <v>0</v>
      </c>
      <c r="NV106" s="6">
        <f>COUNTIFS(Table116[Country],Tabela1[[#This Row],[Country]],Table116[Men''s Team Sprint Classification],"&gt;0")</f>
        <v>0</v>
      </c>
      <c r="NW106" s="6">
        <f>COUNTIFS(Table116[Country],Tabela1[[#This Row],[Country]],Table116[Women''s Team Sprint Classification],"&gt;0")</f>
        <v>0</v>
      </c>
      <c r="NX106" s="6">
        <f>COUNTIFS(Table119[Country],Tabela1[[#This Row],[Country]],Table119[Men''s Classification],"&gt;0")</f>
        <v>0</v>
      </c>
      <c r="NY106" s="6">
        <f>COUNTIFS(Table119[Country],Tabela1[[#This Row],[Country]],Table119[Women''s Classification],"&gt;0")</f>
        <v>0</v>
      </c>
      <c r="NZ106" s="6">
        <f>COUNTIFS(Table118[Country],Tabela1[[#This Row],[Country]],Table118[Mixed Classification],"&gt;0")</f>
        <v>0</v>
      </c>
      <c r="OA106" s="6">
        <f>COUNTIFS(Table120[Country],Tabela1[[#This Row],[Country]],Table120[Classification],"&gt;0")</f>
        <v>0</v>
      </c>
      <c r="OB106" s="6">
        <f>COUNTIFS(Table120123[Country],Tabela1[[#This Row],[Country]],Table120123[Classification],"&gt;0")</f>
        <v>0</v>
      </c>
      <c r="OC106" s="6">
        <f>COUNTIFS(Table123[Country],Tabela1[[#This Row],[Country]],Table123[Ice Dance Classification],"&gt;0")</f>
        <v>0</v>
      </c>
      <c r="OD106" s="6">
        <f>COUNTIFS(Table123[Country],Tabela1[[#This Row],[Country]],Table123[Pair Skating Classification],"&gt;0")</f>
        <v>0</v>
      </c>
      <c r="OE106" s="6">
        <f>COUNTIFS(Table124[Country],Tabela1[[#This Row],[Country]],Table124[Mixed Classification],"&gt;0")</f>
        <v>0</v>
      </c>
      <c r="OF106" s="6">
        <f>COUNTIFS(Table125[Country],Tabela1[[#This Row],[Country]],Table125[Aerials Classification],"&gt;0")</f>
        <v>0</v>
      </c>
      <c r="OG106" s="6">
        <f>COUNTIFS(Table125128[Country],Tabela1[[#This Row],[Country]],Table125128[Aerials Classification],"&gt;0")</f>
        <v>0</v>
      </c>
      <c r="OH106" s="6">
        <f>COUNTIFS(Table128[Country],Tabela1[[#This Row],[Country]],Table128[Mixed Aerials Classification],"&gt;0")</f>
        <v>0</v>
      </c>
      <c r="OI106" s="6">
        <f>COUNTIFS(Table125[Country],Tabela1[[#This Row],[Country]],Table125[Big Air Classification],"&gt;0")</f>
        <v>0</v>
      </c>
      <c r="OJ106" s="6">
        <f>COUNTIFS(Table125128[Country],Tabela1[[#This Row],[Country]],Table125128[Big Air Classification],"&gt;0")</f>
        <v>0</v>
      </c>
      <c r="OK106" s="6">
        <f>COUNTIFS(Table125[Country],Tabela1[[#This Row],[Country]],Table125[Dual Moguls Classification],"&gt;0")</f>
        <v>0</v>
      </c>
      <c r="OL106" s="6">
        <f>COUNTIFS(Table125128[Country],Tabela1[[#This Row],[Country]],Table125128[Dual Moguls Classification],"&gt;0")</f>
        <v>0</v>
      </c>
      <c r="OM106" s="6">
        <f>COUNTIFS(Table125[Country],Tabela1[[#This Row],[Country]],Table125[Halfpipe Classification],"&gt;0")</f>
        <v>0</v>
      </c>
      <c r="ON106" s="6">
        <f>COUNTIFS(Table125128[Country],Tabela1[[#This Row],[Country]],Table125128[Halfpipe Classification],"&gt;0")</f>
        <v>0</v>
      </c>
      <c r="OO106" s="6">
        <f>COUNTIFS(Table125[Country],Tabela1[[#This Row],[Country]],Table125[Moguls Classification],"&gt;0")</f>
        <v>0</v>
      </c>
      <c r="OP106" s="6">
        <f>COUNTIFS(Table125128[Country],Tabela1[[#This Row],[Country]],Table125128[Moguls Classification],"&gt;0")</f>
        <v>0</v>
      </c>
      <c r="OQ106" s="6">
        <f>COUNTIFS(Table125[Country],Tabela1[[#This Row],[Country]],Table125[Ski Cross Classification],"&gt;0")</f>
        <v>0</v>
      </c>
      <c r="OR106" s="6">
        <f>COUNTIFS(Table125128[Country],Tabela1[[#This Row],[Country]],Table125128[Ski Cross Classification],"&gt;0")</f>
        <v>0</v>
      </c>
      <c r="OS106" s="6">
        <f>COUNTIFS(Table125[Country],Tabela1[[#This Row],[Country]],Table125[Slopestyle Classification],"&gt;0")</f>
        <v>0</v>
      </c>
      <c r="OT106" s="6">
        <f>COUNTIFS(Table125128[Country],Tabela1[[#This Row],[Country]],Table125128[Slopestyle Classification],"&gt;0")</f>
        <v>0</v>
      </c>
      <c r="OU106" s="6">
        <f>COUNTIFS(Table119131[Country],Tabela1[[#This Row],[Country]],Table119131[Men''s Classification],"&gt;0")</f>
        <v>0</v>
      </c>
      <c r="OV106" s="6">
        <f>COUNTIFS(Table119131[Country],Tabela1[[#This Row],[Country]],Table119131[Women''s Classification],"&gt;0")</f>
        <v>0</v>
      </c>
      <c r="OW106" s="6">
        <f>COUNTIFS(Table131[Country],Tabela1[[#This Row],[Country]],Table131[Classification],"&gt;0")</f>
        <v>0</v>
      </c>
      <c r="OX106" s="6">
        <f>COUNTIFS(Table131134[Country],Tabela1[[#This Row],[Country]],Table131134[Classification],"&gt;0")</f>
        <v>0</v>
      </c>
      <c r="OY106" s="6">
        <f>COUNTIFS(Table134[Country],Tabela1[[#This Row],[Country]],Table134[Men''s Classification],"&gt;0")</f>
        <v>0</v>
      </c>
      <c r="OZ106" s="6">
        <f>COUNTIFS(Table134[Country],Tabela1[[#This Row],[Country]],Table134[Women''s Classification],"&gt;0")</f>
        <v>0</v>
      </c>
      <c r="PA106" s="6">
        <f>COUNTIFS(Table135[Country],Tabela1[[#This Row],[Country]],Table135[Mixed Relay Classification],"&gt;0")</f>
        <v>0</v>
      </c>
      <c r="PB106" s="6">
        <f>COUNTIFS(Table136[Country],Tabela1[[#This Row],[Country]],Table136[Individual Classification],"&gt;0")</f>
        <v>0</v>
      </c>
      <c r="PC106" s="6">
        <f>COUNTIFS(Table136[Country],Tabela1[[#This Row],[Country]],Table136[Sprint Classification],"&gt;0")</f>
        <v>0</v>
      </c>
      <c r="PD106" s="6">
        <f>COUNTIFS(Table137[Country],Tabela1[[#This Row],[Country]],Table137[Men''s Team Sprint Large Hill Classification],"&gt;0")</f>
        <v>0</v>
      </c>
      <c r="PE106" s="6">
        <f>COUNTIFS(Table138[Country],Tabela1[[#This Row],[Country]],Table138[500m Classification],"&gt;0")</f>
        <v>0</v>
      </c>
      <c r="PF106" s="6">
        <f>COUNTIFS(Table138141[Country],Tabela1[[#This Row],[Country]],Table138141[500m Classification],"&gt;0")</f>
        <v>0</v>
      </c>
      <c r="PG106" s="6">
        <f>COUNTIFS(Table138[Country],Tabela1[[#This Row],[Country]],Table138[1000m Classification],"&gt;0")</f>
        <v>0</v>
      </c>
      <c r="PH106" s="6">
        <f>COUNTIFS(Table138141[Country],Tabela1[[#This Row],[Country]],Table138141[1000m Classification],"&gt;0")</f>
        <v>0</v>
      </c>
      <c r="PI106" s="6">
        <f>COUNTIFS(Table138[Country],Tabela1[[#This Row],[Country]],Table138[1500m Classification],"&gt;0")</f>
        <v>0</v>
      </c>
      <c r="PJ106" s="6">
        <f>COUNTIFS(Table138141[Country],Tabela1[[#This Row],[Country]],Table138141[1500m Classification],"&gt;0")</f>
        <v>0</v>
      </c>
      <c r="PK106" s="6">
        <f>COUNTIFS(Table141[Country],Tabela1[[#This Row],[Country]],Table141[Men''s 5000m Relay Classification],"&gt;0")</f>
        <v>0</v>
      </c>
      <c r="PL106" s="6">
        <f>COUNTIFS(Table141[Country],Tabela1[[#This Row],[Country]],Table141[Women''s 3000m Relay Classification],"&gt;0")</f>
        <v>0</v>
      </c>
      <c r="PM106" s="6">
        <f>COUNTIFS(Table141[Country],Tabela1[[#This Row],[Country]],Table141[Mixed 2000m Relay Classification],"&gt;0")</f>
        <v>0</v>
      </c>
      <c r="PN106" s="6">
        <f>COUNTIFS(Table142[Country],Tabela1[[#This Row],[Country]],Table142[Classification],"&gt;0")</f>
        <v>0</v>
      </c>
      <c r="PO106" s="6">
        <f>COUNTIFS(Table142145[Country],Tabela1[[#This Row],[Country]],Table142145[Classification],"&gt;0")</f>
        <v>0</v>
      </c>
      <c r="PP106" s="6">
        <f>COUNTIFS(Tabela15[Country],Tabela1[[#This Row],[Country]],Tabela15[Mixed Team Classification],"&gt;0")</f>
        <v>0</v>
      </c>
      <c r="PQ106" s="6">
        <f>COUNTIFS(Table145[Country],Tabela1[[#This Row],[Country]],Table145[Large Hill Classification],"&gt;0")</f>
        <v>0</v>
      </c>
      <c r="PR106" s="6">
        <f>COUNTIFS(Table145[Country],Tabela1[[#This Row],[Country]],Table145[Normal Hill Classification],"&gt;0")</f>
        <v>0</v>
      </c>
      <c r="PS106" s="6">
        <f>COUNTIFS(Table145148[Country],Tabela1[[#This Row],[Country]],Table145148[Large Hill Classification],"&gt;0")</f>
        <v>0</v>
      </c>
      <c r="PT106" s="6">
        <f>COUNTIFS(Table145148[Country],Tabela1[[#This Row],[Country]],Table145148[Normal Hill Classification],"&gt;0")</f>
        <v>0</v>
      </c>
      <c r="PU106" s="6">
        <f>COUNTIFS(Table148[Country],Tabela1[[#This Row],[Country]],Table148[Men''s Super Team Classification],"&gt;0")</f>
        <v>0</v>
      </c>
      <c r="PV106" s="6">
        <f>COUNTIFS(Tabela114[Country],Tabela1[[#This Row],[Country]],Tabela114[Mixed Normal Hill Classification],"&gt;0")</f>
        <v>0</v>
      </c>
      <c r="PW106" s="6">
        <f>COUNTIFS(Tabela50[Country],Tabela1[[#This Row],[Country]],Tabela50[Sprint Classification],"&gt;0")</f>
        <v>0</v>
      </c>
      <c r="PX106" s="6">
        <f>COUNTIFS(Tabela50101[Country],Tabela1[[#This Row],[Country]],Tabela50101[Sprint Classification],"&gt;0")</f>
        <v>0</v>
      </c>
      <c r="PY106" s="6">
        <f>COUNTIFS(Tabela103[Country],Tabela1[[#This Row],[Country]],Tabela103[Mixed Relay Classification],"&gt;0")</f>
        <v>0</v>
      </c>
      <c r="PZ106" s="6">
        <f>COUNTIFS(Table149[Country],Tabela1[[#This Row],[Country]],Table149[Big Air Classification],"&gt;0")</f>
        <v>0</v>
      </c>
      <c r="QA106" s="6">
        <f>COUNTIFS(Table149152[Country],Tabela1[[#This Row],[Country]],Table149152[Big Air Classification],"&gt;0")</f>
        <v>0</v>
      </c>
      <c r="QB106" s="6">
        <f>COUNTIFS(Table149[Country],Tabela1[[#This Row],[Country]],Table149[Halfpipe Classification],"&gt;0")</f>
        <v>0</v>
      </c>
      <c r="QC106" s="6">
        <f>COUNTIFS(Table149152[Country],Tabela1[[#This Row],[Country]],Table149152[Halfpipe Classification],"&gt;0")</f>
        <v>0</v>
      </c>
      <c r="QD106" s="6">
        <f>COUNTIFS(Table149[Country],Tabela1[[#This Row],[Country]],Table149[Parallel Giant Slalom Classification],"&gt;0")</f>
        <v>0</v>
      </c>
      <c r="QE106" s="6">
        <f>COUNTIFS(Table149152[Country],Tabela1[[#This Row],[Country]],Table149152[Parallel Giant Slalom Classification],"&gt;0")</f>
        <v>0</v>
      </c>
      <c r="QF106" s="6">
        <f>COUNTIFS(Table149[Country],Tabela1[[#This Row],[Country]],Table149[Slopestyle Classification],"&gt;0")</f>
        <v>0</v>
      </c>
      <c r="QG106" s="6">
        <f>COUNTIFS(Table149152[Country],Tabela1[[#This Row],[Country]],Table149152[Slopestyle Classification],"&gt;0")</f>
        <v>0</v>
      </c>
      <c r="QH106" s="6">
        <f>COUNTIFS(Table149[Country],Tabela1[[#This Row],[Country]],Table149[Snowboard Cross Classification],"&gt;0")</f>
        <v>0</v>
      </c>
      <c r="QI106" s="6">
        <f>COUNTIFS(Table149152[Country],Tabela1[[#This Row],[Country]],Table149152[Snowboard Cross Classification],"&gt;0")</f>
        <v>0</v>
      </c>
      <c r="QJ106" s="6">
        <f>COUNTIFS(Table153[Country],Tabela1[[#This Row],[Country]],Table153[Mixed Team Snowboard Cross Classification],"&gt;0")</f>
        <v>0</v>
      </c>
      <c r="QK106" s="6">
        <f>COUNTIFS(Table154[Country],Tabela1[[#This Row],[Country]],Table154[500m Classification],"&gt;0")</f>
        <v>0</v>
      </c>
      <c r="QL106" s="6">
        <f>COUNTIFS(Table154157[Country],Tabela1[[#This Row],[Country]],Table154157[500m Classification],"&gt;0")</f>
        <v>0</v>
      </c>
      <c r="QM106" s="6">
        <f>COUNTIFS(Table154[Country],Tabela1[[#This Row],[Country]],Table154[1000m Classification],"&gt;0")</f>
        <v>0</v>
      </c>
      <c r="QN106" s="6">
        <f>COUNTIFS(Table154157[Country],Tabela1[[#This Row],[Country]],Table154157[1000m Classification],"&gt;0")</f>
        <v>0</v>
      </c>
      <c r="QO106" s="6">
        <f>COUNTIFS(Table154[Country],Tabela1[[#This Row],[Country]],Table154[1500m Classification],"&gt;0")</f>
        <v>0</v>
      </c>
      <c r="QP106" s="6">
        <f>COUNTIFS(Table154157[Country],Tabela1[[#This Row],[Country]],Table154157[1500m Classification],"&gt;0")</f>
        <v>0</v>
      </c>
      <c r="QQ106" s="6">
        <f>COUNTIFS(Table154157[Country],Tabela1[[#This Row],[Country]],Table154157[3000m Classification],"&gt;0")</f>
        <v>0</v>
      </c>
      <c r="QR106" s="6">
        <f>COUNTIFS(Table154[Country],Tabela1[[#This Row],[Country]],Table154[5000m Classification],"&gt;0")</f>
        <v>0</v>
      </c>
      <c r="QS106" s="6">
        <f>COUNTIFS(Table154157[Country],Tabela1[[#This Row],[Country]],Table154157[5000m Classification],"&gt;0")</f>
        <v>0</v>
      </c>
      <c r="QT106" s="6">
        <f>COUNTIFS(Table154[Country],Tabela1[[#This Row],[Country]],Table154[10000m Classification],"&gt;0")</f>
        <v>0</v>
      </c>
      <c r="QU106" s="6">
        <f>COUNTIFS(Table154[Country],Tabela1[[#This Row],[Country]],Table154[Mass Start Classification],"&gt;0")</f>
        <v>0</v>
      </c>
      <c r="QV106" s="6">
        <f>COUNTIFS(Table154157[Country],Tabela1[[#This Row],[Country]],Table154157[Mass Start Classification],"&gt;0")</f>
        <v>0</v>
      </c>
      <c r="QW106" s="6">
        <f>COUNTIFS(Table157[Country],Tabela1[[#This Row],[Country]],Table157[Men''s Pursuit Classification],"&gt;0")</f>
        <v>0</v>
      </c>
      <c r="QX106" s="6">
        <f>COUNTIFS(Table157[Country],Tabela1[[#This Row],[Country]],Table157[Women''s Pursuit Classification],"&gt;0")</f>
        <v>0</v>
      </c>
      <c r="QY106" s="4" t="s">
        <v>739</v>
      </c>
    </row>
    <row r="107" spans="1:467" x14ac:dyDescent="0.3">
      <c r="A107" s="6">
        <v>106</v>
      </c>
      <c r="B107" s="6" t="s">
        <v>642</v>
      </c>
      <c r="C107" t="e" vm="106">
        <f>IF(ISBLANK(Tabela1[[#This Row],[Image Link]]), "", _xlfn.IMAGE(Tabela1[[#This Row],[Image Link]],1,1))</f>
        <v>#VALUE!</v>
      </c>
      <c r="D107" s="6">
        <f>SUM(Tabela1[[#This Row],[Archery - Men''s Individual Recurve]:[Speed Skating - Women''s Team Pursuit]])</f>
        <v>3</v>
      </c>
      <c r="E107" s="6">
        <f>COUNTIF(Tabela1[[#This Row],[Archery - Men''s Individual Recurve]:[Speed Skating - Women''s Team Pursuit]],"&gt;0")</f>
        <v>3</v>
      </c>
      <c r="F107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Winter Olympics</v>
      </c>
      <c r="G107" s="6">
        <f>SUM(Tabela1[[#This Row],[Archery - Men''s Individual Recurve]:[Wrestling - Women''s Freestyle 76kg]])</f>
        <v>0</v>
      </c>
      <c r="H107" s="6">
        <f>SUM(Tabela1[[#This Row],[Alpine Skiing - Men''s Downhill]:[Speed Skating - Women''s Team Pursuit]])</f>
        <v>3</v>
      </c>
      <c r="I107" s="6">
        <f>Tabela1[[#This Row],[Summer Gold Medals]]+Tabela1[[#This Row],[Winter Gold Medals]]</f>
        <v>0</v>
      </c>
      <c r="J107" s="6">
        <f>Tabela1[[#This Row],[Summer Silver Medals]]+Tabela1[[#This Row],[Winter Silver Medals]]</f>
        <v>1</v>
      </c>
      <c r="K107" s="6">
        <f>Tabela1[[#This Row],[Summer Bronze Medals]]+Tabela1[[#This Row],[Winter Bronze Medals]]</f>
        <v>0</v>
      </c>
      <c r="L107" s="6">
        <f>SUM(Tabela1[[#This Row],[Total Gold Medals]:[Total Bronze Medals]])</f>
        <v>1</v>
      </c>
      <c r="M107" s="6"/>
      <c r="N107" s="6">
        <v>1</v>
      </c>
      <c r="O107" s="6"/>
      <c r="P107" s="6">
        <f>SUM(Tabela1[[#This Row],[Summer Gold Medals]:[Summer Bronze Medals]])</f>
        <v>1</v>
      </c>
      <c r="Q107" s="6"/>
      <c r="R107" s="6"/>
      <c r="S107" s="6"/>
      <c r="T107" s="6">
        <f>Tabela1[[#This Row],[Winter Gold Medals]]+Tabela1[[#This Row],[Winter Silver Medals]]+Tabela1[[#This Row],[Winter Bronze Medals]]</f>
        <v>0</v>
      </c>
      <c r="U107" s="7">
        <f>Tabela1[[#This Row],[Total Medals]]/Tabela1[[#This Row],[Total Quotas]]</f>
        <v>0.33333333333333331</v>
      </c>
      <c r="V107" s="6">
        <f>COUNTIFS(Table3[Country],Tabela1[[#This Row],[Country]],Table3[Recurve Classification],"&gt;0")</f>
        <v>0</v>
      </c>
      <c r="W107" s="6">
        <f>COUNTIFS(Table33[Country],Tabela1[[#This Row],[Country]],Table33[Recurve Classification],"&gt;0")</f>
        <v>0</v>
      </c>
      <c r="X107" s="6">
        <f>COUNTIFS(Table35[Country],Tabela1[[#This Row],[Country]],Table35[Men''s Team Recurve Classification],"&gt;0")</f>
        <v>0</v>
      </c>
      <c r="Y107" s="6">
        <f>COUNTIFS(Table35[Country],Tabela1[[#This Row],[Country]],Table35[Women''s Team Recurve Classification],"&gt;0")</f>
        <v>0</v>
      </c>
      <c r="Z107" s="6">
        <f>COUNTIFS(Tabela88[Country],Tabela1[[#This Row],[Country]],Tabela88[Mixed Team Recurve Classification],"&gt;0")</f>
        <v>0</v>
      </c>
      <c r="AA107" s="6">
        <f>COUNTIFS(Table36[Country],Tabela1[[#This Row],[Country]],Table36[Classification],"&gt;0")</f>
        <v>0</v>
      </c>
      <c r="AB107" s="6">
        <f>COUNTIFS(Table37[Country],Tabela1[[#This Row],[Country]],Table37[Classification],"&gt;0")</f>
        <v>0</v>
      </c>
      <c r="AC107" s="6">
        <f>COUNTIFS(Table4[Country],Tabela1[[#This Row],[Country]],Table4[100m Classification],"&gt;0")</f>
        <v>0</v>
      </c>
      <c r="AD107" s="6">
        <f>COUNTIFS(Table5[Country],Tabela1[[#This Row],[Country]],Table5[100m Classification],"&gt;0")</f>
        <v>0</v>
      </c>
      <c r="AE107" s="6">
        <f>COUNTIFS(Table4[Country],Tabela1[[#This Row],[Country]],Table4[200m Classification],"&gt;0")</f>
        <v>0</v>
      </c>
      <c r="AF107" s="6">
        <f>COUNTIFS(Table5[Country],Tabela1[[#This Row],[Country]],Table5[200m Classification],"&gt;0")</f>
        <v>0</v>
      </c>
      <c r="AG107" s="6">
        <f>COUNTIFS(Table4[Country],Tabela1[[#This Row],[Country]],Table4[400m Classification],"&gt;0")</f>
        <v>0</v>
      </c>
      <c r="AH107" s="6">
        <f>COUNTIFS(Table5[Country],Tabela1[[#This Row],[Country]],Table5[400m Classification],"&gt;0")</f>
        <v>0</v>
      </c>
      <c r="AI107" s="6">
        <f>COUNTIFS(Table4[Country],Tabela1[[#This Row],[Country]],Table4[800m Classification],"&gt;0")</f>
        <v>0</v>
      </c>
      <c r="AJ107" s="6">
        <f>COUNTIFS(Table5[Country],Tabela1[[#This Row],[Country]],Table5[800m Classification],"&gt;0")</f>
        <v>0</v>
      </c>
      <c r="AK107" s="6">
        <f>COUNTIFS(Table4[Country],Tabela1[[#This Row],[Country]],Table4[1500m Classification],"&gt;0")</f>
        <v>0</v>
      </c>
      <c r="AL107" s="6">
        <f>COUNTIFS(Table5[Country],Tabela1[[#This Row],[Country]],Table5[1500m Classification],"&gt;0")</f>
        <v>0</v>
      </c>
      <c r="AM107" s="6">
        <f>COUNTIFS(Table4[Country],Tabela1[[#This Row],[Country]],Table4[5000m Classification],"&gt;0")</f>
        <v>0</v>
      </c>
      <c r="AN107" s="6">
        <f>COUNTIFS(Table5[Country],Tabela1[[#This Row],[Country]],Table5[5000m Classification],"&gt;0")</f>
        <v>0</v>
      </c>
      <c r="AO107" s="6">
        <f>COUNTIFS(Table4[Country],Tabela1[[#This Row],[Country]],Table4[10000m Classification],"&gt;0")</f>
        <v>0</v>
      </c>
      <c r="AP107" s="6">
        <f>COUNTIFS(Table5[Country],Tabela1[[#This Row],[Country]],Table5[10000m Classification],"&gt;0")</f>
        <v>0</v>
      </c>
      <c r="AQ107" s="6">
        <f>COUNTIFS(Table4[Country],Tabela1[[#This Row],[Country]],Table4[110m Hurdles Classification],"&gt;0")</f>
        <v>0</v>
      </c>
      <c r="AR107" s="6">
        <f>COUNTIFS(Table5[Country],Tabela1[[#This Row],[Country]],Table5[100m Hurdles Classification],"&gt;0")</f>
        <v>0</v>
      </c>
      <c r="AS107" s="6">
        <f>COUNTIFS(Table4[Country],Tabela1[[#This Row],[Country]],Table4[400m Hurdles Classification],"&gt;0")</f>
        <v>0</v>
      </c>
      <c r="AT107" s="6">
        <f>COUNTIFS(Table5[Country],Tabela1[[#This Row],[Country]],Table5[400m Hurdles Classification],"&gt;0")</f>
        <v>0</v>
      </c>
      <c r="AU107" s="6">
        <f>COUNTIFS(Table4[Country],Tabela1[[#This Row],[Country]],Table4[3000m Steeplechase Classification],"&gt;0")</f>
        <v>0</v>
      </c>
      <c r="AV107" s="6">
        <f>COUNTIFS(Table5[Country],Tabela1[[#This Row],[Country]],Table5[3000m Steeplechase Classification],"&gt;0")</f>
        <v>0</v>
      </c>
      <c r="AW107" s="6">
        <f>COUNTIFS(Table27[Country],Tabela1[[#This Row],[Country]],Table27[Men''s 4x100m Relay Classification],"&gt;0")</f>
        <v>0</v>
      </c>
      <c r="AX107" s="6">
        <f>COUNTIFS(Table27[Country],Tabela1[[#This Row],[Country]],Table27[Women''s 4x100m Relay Classification],"&gt;0")</f>
        <v>0</v>
      </c>
      <c r="AY107" s="6">
        <f>COUNTIFS(Table27[Country],Tabela1[[#This Row],[Country]],Table27[Men''s 4x400m Relay Classification],"&gt;0")</f>
        <v>0</v>
      </c>
      <c r="AZ107" s="6">
        <f>COUNTIFS(Table27[Country],Tabela1[[#This Row],[Country]],Table27[Women''s 4x400m Relay Classification],"&gt;0")</f>
        <v>0</v>
      </c>
      <c r="BA107" s="6">
        <f>COUNTIFS(Table27[Country],Tabela1[[#This Row],[Country]],Table27[Mixed 4x400m Relay Classification],"&gt;0")</f>
        <v>0</v>
      </c>
      <c r="BB107" s="6">
        <f>COUNTIFS(Table4[Country],Tabela1[[#This Row],[Country]],Table4[Marathon Classification],"&gt;0")</f>
        <v>0</v>
      </c>
      <c r="BC107" s="6">
        <f>COUNTIFS(Table5[Country],Tabela1[[#This Row],[Country]],Table5[Marathon Classification],"&gt;0")</f>
        <v>0</v>
      </c>
      <c r="BD107" s="6">
        <f>COUNTIFS(Table4[Country],Tabela1[[#This Row],[Country]],Table4[20km Race Walk Classification],"&gt;0")</f>
        <v>0</v>
      </c>
      <c r="BE107" s="6">
        <f>COUNTIFS(Table5[Country],Tabela1[[#This Row],[Country]],Table5[20km Race Walk Classification],"&gt;0")</f>
        <v>0</v>
      </c>
      <c r="BF107" s="6">
        <f>COUNTIFS(Tabela96[Country],Tabela1[[#This Row],[Country]],Tabela96[Mixed Marathon Race Walk Relay Classification],"&gt;0")</f>
        <v>0</v>
      </c>
      <c r="BG107" s="6">
        <f>COUNTIFS(Table4[Country],Tabela1[[#This Row],[Country]],Table4[Discus Throw Classification],"&gt;0")</f>
        <v>0</v>
      </c>
      <c r="BH107" s="6">
        <f>COUNTIFS(Table5[Country],Tabela1[[#This Row],[Country]],Table5[Discus Throw Classification],"&gt;0")</f>
        <v>0</v>
      </c>
      <c r="BI107" s="6">
        <f>COUNTIFS(Table4[Country],Tabela1[[#This Row],[Country]],Table4[Hammer Throw Classification],"&gt;0")</f>
        <v>0</v>
      </c>
      <c r="BJ107" s="6">
        <f>COUNTIFS(Table5[Country],Tabela1[[#This Row],[Country]],Table5[Hammer Throw Classification],"&gt;0")</f>
        <v>0</v>
      </c>
      <c r="BK107" s="6">
        <f>COUNTIFS(Table4[Country],Tabela1[[#This Row],[Country]],Table4[High Jump Classification],"&gt;0")</f>
        <v>0</v>
      </c>
      <c r="BL107" s="6">
        <f>COUNTIFS(Table5[Country],Tabela1[[#This Row],[Country]],Table5[High Jump Classification],"&gt;0")</f>
        <v>0</v>
      </c>
      <c r="BM107" s="6">
        <f>COUNTIFS(Table4[Country],Tabela1[[#This Row],[Country]],Table4[Javelin Throw Classification],"&gt;0")</f>
        <v>0</v>
      </c>
      <c r="BN107" s="6">
        <f>COUNTIFS(Table5[Country],Tabela1[[#This Row],[Country]],Table5[Javelin Throw Classification],"&gt;0")</f>
        <v>0</v>
      </c>
      <c r="BO107" s="6">
        <f>COUNTIFS(Table4[Country],Tabela1[[#This Row],[Country]],Table4[Long Jump Classification],"&gt;0")</f>
        <v>0</v>
      </c>
      <c r="BP107" s="6">
        <f>COUNTIFS(Table5[Country],Tabela1[[#This Row],[Country]],Table5[Long Jump Classification],"&gt;0")</f>
        <v>0</v>
      </c>
      <c r="BQ107" s="6">
        <f>COUNTIFS(Table4[Country],Tabela1[[#This Row],[Country]],Table4[Pole Vault Classification],"&gt;0")</f>
        <v>0</v>
      </c>
      <c r="BR107" s="6">
        <f>COUNTIFS(Table5[Country],Tabela1[[#This Row],[Country]],Table5[Pole Vault Classification],"&gt;0")</f>
        <v>0</v>
      </c>
      <c r="BS107" s="6">
        <f>COUNTIFS(Table4[Country],Tabela1[[#This Row],[Country]],Table4[Shot Put Classification],"&gt;0")</f>
        <v>0</v>
      </c>
      <c r="BT107" s="6">
        <f>COUNTIFS(Table5[Country],Tabela1[[#This Row],[Country]],Table5[Shot Put Classification],"&gt;0")</f>
        <v>0</v>
      </c>
      <c r="BU107" s="6">
        <f>COUNTIFS(Table4[Country],Tabela1[[#This Row],[Country]],Table4[Triple Jump Classification],"&gt;0")</f>
        <v>0</v>
      </c>
      <c r="BV107" s="6">
        <f>COUNTIFS(Table5[Country],Tabela1[[#This Row],[Country]],Table5[Triple Jump Classification],"&gt;0")</f>
        <v>0</v>
      </c>
      <c r="BW107" s="6">
        <f>COUNTIFS(Table4[Country],Tabela1[[#This Row],[Country]],Table4[Decathlon Classification],"&gt;0")</f>
        <v>0</v>
      </c>
      <c r="BX107" s="6">
        <f>COUNTIFS(Table5[Country],Tabela1[[#This Row],[Country]],Table5[Heptathlon Classification],"&gt;0")</f>
        <v>0</v>
      </c>
      <c r="BY107" s="6">
        <f>COUNTIFS(Table61[Country],Tabela1[[#This Row],[Country]],Table61[Classification],"&gt;0")</f>
        <v>0</v>
      </c>
      <c r="BZ107" s="6">
        <f>COUNTIFS(Table38[Country],Tabela1[[#This Row],[Country]],Table38[Classification],"&gt;0")</f>
        <v>0</v>
      </c>
      <c r="CA107" s="6">
        <f>COUNTIFS(Table39[Country],Tabela1[[#This Row],[Country]],Table39[Men''s Classification],"&gt;0")</f>
        <v>0</v>
      </c>
      <c r="CB107" s="6">
        <f>COUNTIFS(Table39[Country],Tabela1[[#This Row],[Country]],Table39[Women''s Classification],"&gt;0")</f>
        <v>0</v>
      </c>
      <c r="CC107" s="6">
        <f>COUNTIFS(Table39[Country],Tabela1[[#This Row],[Country]],Table39[Mixed Classification],"&gt;0")</f>
        <v>0</v>
      </c>
      <c r="CD107" s="6">
        <f>COUNTIFS(Table89[Country],Tabela1[[#This Row],[Country]],Table89[Men''s Classification],"&gt;0")</f>
        <v>0</v>
      </c>
      <c r="CE107" s="6">
        <f>COUNTIFS(Table89[Country],Tabela1[[#This Row],[Country]],Table89[Women''s Classification],"&gt;0")</f>
        <v>0</v>
      </c>
      <c r="CF107" s="6">
        <f>COUNTIFS(Table90[Country],Tabela1[[#This Row],[Country]],Table90[Men''s Classification],"&gt;0")</f>
        <v>0</v>
      </c>
      <c r="CG107" s="6">
        <f>COUNTIFS(Table90[Country],Tabela1[[#This Row],[Country]],Table90[Women''s Classification],"&gt;0")</f>
        <v>0</v>
      </c>
      <c r="CH107" s="6">
        <f>COUNTIFS(Table60[Country],Tabela1[[#This Row],[Country]],Table60[Men''s Classification],"&gt;0")</f>
        <v>0</v>
      </c>
      <c r="CI107" s="6">
        <f>COUNTIFS(Table60[Country],Tabela1[[#This Row],[Country]],Table60[Women''s Classification],"&gt;0")</f>
        <v>0</v>
      </c>
      <c r="CJ107" s="6">
        <f>COUNTIFS(Table6[Country],Tabela1[[#This Row],[Country]],Table6[51kg Classification],"&gt;0")</f>
        <v>0</v>
      </c>
      <c r="CK107" s="6">
        <f>COUNTIFS(Table6[Country],Tabela1[[#This Row],[Country]],Table6[57kg Classification],"&gt;0")</f>
        <v>0</v>
      </c>
      <c r="CL107" s="6">
        <f>COUNTIFS(Table6[Country],Tabela1[[#This Row],[Country]],Table6[63.5kg Classification],"&gt;0")</f>
        <v>0</v>
      </c>
      <c r="CM107" s="6">
        <f>COUNTIFS(Table6[Country],Tabela1[[#This Row],[Country]],Table6[71kg Classification],"&gt;0")</f>
        <v>0</v>
      </c>
      <c r="CN107" s="6">
        <f>COUNTIFS(Table6[Country],Tabela1[[#This Row],[Country]],Table6[80kg Classification],"&gt;0")</f>
        <v>0</v>
      </c>
      <c r="CO107" s="6">
        <f>COUNTIFS(Table6[Country],Tabela1[[#This Row],[Country]],Table6[92kg Classification],"&gt;0")</f>
        <v>0</v>
      </c>
      <c r="CP107" s="6">
        <f>COUNTIFS(Table6[Country],Tabela1[[#This Row],[Country]],Table6[Plus 92kg Classification],"&gt;0")</f>
        <v>0</v>
      </c>
      <c r="CQ107" s="6">
        <f>COUNTIFS(Table7[Country],Tabela1[[#This Row],[Country]],Table7[50kg Classification],"&gt;0")</f>
        <v>0</v>
      </c>
      <c r="CR107" s="6">
        <f>COUNTIFS(Table7[Country],Tabela1[[#This Row],[Country]],Table7[54kg Classification],"&gt;0")</f>
        <v>0</v>
      </c>
      <c r="CS107" s="6">
        <f>COUNTIFS(Table7[Country],Tabela1[[#This Row],[Country]],Table7[57kg Classification],"&gt;0")</f>
        <v>0</v>
      </c>
      <c r="CT107" s="6">
        <f>COUNTIFS(Table7[Country],Tabela1[[#This Row],[Country]],Table7[60kg Classification],"&gt;0")</f>
        <v>0</v>
      </c>
      <c r="CU107" s="6">
        <f>COUNTIFS(Table7[Country],Tabela1[[#This Row],[Country]],Table7[66kg Classification],"&gt;0")</f>
        <v>0</v>
      </c>
      <c r="CV107" s="6">
        <f>COUNTIFS(Table7[Country],Tabela1[[#This Row],[Country]],Table7[75kg Classification],"&gt;0")</f>
        <v>0</v>
      </c>
      <c r="CW107" s="6">
        <f>COUNTIFS(Tabela94[Country],Tabela1[[#This Row],[Country]],Tabela94[Classification],"&gt;0")</f>
        <v>0</v>
      </c>
      <c r="CX107" s="6">
        <f>COUNTIFS(Tabela9499[Country],Tabela1[[#This Row],[Country]],Tabela9499[Classification],"&gt;0")</f>
        <v>0</v>
      </c>
      <c r="CY107" s="6">
        <f>COUNTIFS(Tabela107[Country],Tabela1[[#This Row],[Country]],Tabela107[C1 Slalom Classification],"&gt;0")</f>
        <v>0</v>
      </c>
      <c r="CZ107" s="6">
        <f>COUNTIFS(Tabela107122[Country],Tabela1[[#This Row],[Country]],Tabela107122[C1 Slalom Classification],"&gt;0")</f>
        <v>0</v>
      </c>
      <c r="DA107" s="6">
        <f>COUNTIFS(Tabela107[Country],Tabela1[[#This Row],[Country]],Tabela107[K1 Slalom Classification],"&gt;0")</f>
        <v>0</v>
      </c>
      <c r="DB107" s="6">
        <f>COUNTIFS(Tabela107122[Country],Tabela1[[#This Row],[Country]],Tabela107122[K1 Slalom Classification],"&gt;0")</f>
        <v>0</v>
      </c>
      <c r="DC107" s="6">
        <f>COUNTIFS(Tabela107[Country],Tabela1[[#This Row],[Country]],Tabela107[Kayak Cross Slalom Classification],"&gt;0")</f>
        <v>0</v>
      </c>
      <c r="DD107" s="6">
        <f>COUNTIFS(Tabela107122[Country],Tabela1[[#This Row],[Country]],Tabela107122[Kayak Cross Slalom Classification],"&gt;0")</f>
        <v>0</v>
      </c>
      <c r="DE107" s="6">
        <f>COUNTIFS(Table8[Country],Tabela1[[#This Row],[Country]],Table8[C1 200m Classification],"&gt;0")</f>
        <v>0</v>
      </c>
      <c r="DF107" s="6">
        <f>COUNTIFS(Table40[Country],Tabela1[[#This Row],[Country]],Table40[C1 1000m Classification],"&gt;0")</f>
        <v>0</v>
      </c>
      <c r="DG107" s="6">
        <f>COUNTIFS(Table68[Country],Tabela1[[#This Row],[Country]],Table68[Men''s C2 500m Classification],"&gt;0")</f>
        <v>0</v>
      </c>
      <c r="DH107" s="6">
        <f>COUNTIFS(Table68[Country],Tabela1[[#This Row],[Country]],Table68[Women''s C2 500m Classification],"&gt;0")</f>
        <v>0</v>
      </c>
      <c r="DI107" s="6">
        <f>COUNTIFS(Table8[Country],Tabela1[[#This Row],[Country]],Table8[K1 500m Classification],"&gt;0")</f>
        <v>0</v>
      </c>
      <c r="DJ107" s="6">
        <f>COUNTIFS(Table40[Country],Tabela1[[#This Row],[Country]],Table40[K1 1000m Classification],"&gt;0")</f>
        <v>0</v>
      </c>
      <c r="DK107" s="6">
        <f>COUNTIFS(Table68[Country],Tabela1[[#This Row],[Country]],Table68[Men''s K2 500m Classification],"&gt;0")</f>
        <v>0</v>
      </c>
      <c r="DL107" s="6">
        <f>COUNTIFS(Table68[Country],Tabela1[[#This Row],[Country]],Table68[Women''s K2 500m Classification],"&gt;0")</f>
        <v>0</v>
      </c>
      <c r="DM107" s="6">
        <f>COUNTIFS(Table83[Country],Tabela1[[#This Row],[Country]],Table83[Men''s K4 500m Classification],"&gt;0")</f>
        <v>0</v>
      </c>
      <c r="DN107" s="6">
        <f>COUNTIFS(Table83[Country],Tabela1[[#This Row],[Country]],Table83[Women''s K4 500m Classification],"&gt;0")</f>
        <v>0</v>
      </c>
      <c r="DO107" s="6">
        <f>COUNTIFS(Tabela126[Country],Tabela1[[#This Row],[Country]],Tabela126[Classification],"&gt;0")</f>
        <v>0</v>
      </c>
      <c r="DP107" s="6">
        <f>COUNTIFS(Tabela126130[Country],Tabela1[[#This Row],[Country]],Tabela126130[Classification],"&gt;0")</f>
        <v>0</v>
      </c>
      <c r="DQ107" s="6">
        <f>COUNTIFS(Table70[Country],Tabela1[[#This Row],[Country]],Table70[Classification],"&gt;0")</f>
        <v>0</v>
      </c>
      <c r="DR107" s="6">
        <f>COUNTIFS(Table80[Country],Tabela1[[#This Row],[Country]],Table80[Classification],"&gt;0")</f>
        <v>0</v>
      </c>
      <c r="DS107" s="6">
        <f>COUNTIFS(Table66[Country],Tabela1[[#This Row],[Country]],Table66[Classification],"&gt;0")</f>
        <v>0</v>
      </c>
      <c r="DT107" s="6">
        <f>COUNTIFS(Table67[Country],Tabela1[[#This Row],[Country]],Table67[Classification],"&gt;0")</f>
        <v>0</v>
      </c>
      <c r="DU107" s="6">
        <f>COUNTIFS(Table69[Country],Tabela1[[#This Row],[Country]],Table69[Keirin Classification],"&gt;0")</f>
        <v>0</v>
      </c>
      <c r="DV107" s="6">
        <f>COUNTIFS(Table41[Country],Tabela1[[#This Row],[Country]],Table41[Keirin Classification],"&gt;0")</f>
        <v>0</v>
      </c>
      <c r="DW107" s="6">
        <f>COUNTIFS(Table84[Country],Tabela1[[#This Row],[Country]],Table84[Men''s Madison Classification],"&gt;0")</f>
        <v>0</v>
      </c>
      <c r="DX107" s="6">
        <f>COUNTIFS(Table84[Country],Tabela1[[#This Row],[Country]],Table84[Women''s Madison Classification],"&gt;0")</f>
        <v>0</v>
      </c>
      <c r="DY107" s="6">
        <f>COUNTIFS(Table69[Country],Tabela1[[#This Row],[Country]],Table69[Omnium Classification],"&gt;0")</f>
        <v>0</v>
      </c>
      <c r="DZ107" s="6">
        <f>COUNTIFS(Table41[Country],Tabela1[[#This Row],[Country]],Table41[Omnium Classification],"&gt;0")</f>
        <v>0</v>
      </c>
      <c r="EA107" s="6">
        <f>COUNTIFS(Table9[Country],Tabela1[[#This Row],[Country]],Table9[Road Race Classification],"&gt;0")</f>
        <v>0</v>
      </c>
      <c r="EB107" s="6">
        <f>COUNTIFS(Table14[Country],Tabela1[[#This Row],[Country]],Table14[Road Race Classification],"&gt;0")</f>
        <v>0</v>
      </c>
      <c r="EC107" s="6">
        <f>COUNTIFS(Table69[Country],Tabela1[[#This Row],[Country]],Table69[Sprint Classification],"&gt;0")</f>
        <v>0</v>
      </c>
      <c r="ED107" s="6">
        <f>COUNTIFS(Table41[Country],Tabela1[[#This Row],[Country]],Table41[Sprint Classification],"&gt;0")</f>
        <v>0</v>
      </c>
      <c r="EE107" s="6">
        <f>COUNTIFS(Table85[Country],Tabela1[[#This Row],[Country]],Table85[Men''s Sprint Classification],"&gt;0")</f>
        <v>0</v>
      </c>
      <c r="EF107" s="6">
        <f>COUNTIFS(Table85[Country],Tabela1[[#This Row],[Country]],Table85[Women''s Sprint Classification],"&gt;0")</f>
        <v>0</v>
      </c>
      <c r="EG107" s="6">
        <f>COUNTIFS(Table85[Country],Tabela1[[#This Row],[Country]],Table85[Men''s Pursuit Classification],"&gt;0")</f>
        <v>0</v>
      </c>
      <c r="EH107" s="6">
        <f>COUNTIFS(Table85[Country],Tabela1[[#This Row],[Country]],Table85[Women''s Pursuit Classification],"&gt;0")</f>
        <v>0</v>
      </c>
      <c r="EI107" s="6">
        <f>COUNTIFS(Table9[Country],Tabela1[[#This Row],[Country]],Table9[Time-Trial Classification],"&gt;0")</f>
        <v>0</v>
      </c>
      <c r="EJ107" s="6">
        <f>COUNTIFS(Table14[Country],Tabela1[[#This Row],[Country]],Table14[Time-Trial Classification],"&gt;0")</f>
        <v>0</v>
      </c>
      <c r="EK107" s="6">
        <f>COUNTIFS(Table42[Country],Tabela1[[#This Row],[Country]],Table42[Springboard Classification],"&gt;0")</f>
        <v>0</v>
      </c>
      <c r="EL107" s="6">
        <f>COUNTIFS(Table43[Country],Tabela1[[#This Row],[Country]],Table43[Springboard Classification],"&gt;0")</f>
        <v>0</v>
      </c>
      <c r="EM107" s="6">
        <f>COUNTIFS(Table42[Country],Tabela1[[#This Row],[Country]],Table42[Platform Classification],"&gt;0")</f>
        <v>0</v>
      </c>
      <c r="EN107" s="6">
        <f>COUNTIFS(Table43[Country],Tabela1[[#This Row],[Country]],Table43[Platform Classification],"&gt;0")</f>
        <v>0</v>
      </c>
      <c r="EO107" s="6">
        <f>COUNTIFS(Table86[Country],Tabela1[[#This Row],[Country]],Table86[Men''s Synchronized Springboard Classification],"&gt;0")</f>
        <v>0</v>
      </c>
      <c r="EP107" s="6">
        <f>COUNTIFS(Table86[Country],Tabela1[[#This Row],[Country]],Table86[Women''s Synchronized Springboard Classification],"&gt;0")</f>
        <v>0</v>
      </c>
      <c r="EQ107" s="6">
        <f>COUNTIFS(Table86[Country],Tabela1[[#This Row],[Country]],Table86[Men''s Synchronized Platform Classification],"&gt;0")</f>
        <v>0</v>
      </c>
      <c r="ER107" s="6">
        <f>COUNTIFS(Table86[Country],Tabela1[[#This Row],[Country]],Table86[Women''s Synchronized Platform Classification],"&gt;0")</f>
        <v>0</v>
      </c>
      <c r="ES107" s="6">
        <f>COUNTIFS(Table44[Country],Tabela1[[#This Row],[Country]],Table44[Dressage Classification],"&gt;0")</f>
        <v>0</v>
      </c>
      <c r="ET107" s="6">
        <f>COUNTIFS(Table45[Country],Tabela1[[#This Row],[Country]],Table45[Dressage Classification],"&gt;0")</f>
        <v>0</v>
      </c>
      <c r="EU107" s="6">
        <f>COUNTIFS(Table44[Country],Tabela1[[#This Row],[Country]],Table44[Eventing Classification],"&gt;0")</f>
        <v>0</v>
      </c>
      <c r="EV107" s="6">
        <f>COUNTIFS(Table45[Country],Tabela1[[#This Row],[Country]],Table45[Eventing Classification],"&gt;0")</f>
        <v>0</v>
      </c>
      <c r="EW107" s="6">
        <f>COUNTIFS(Table44[Country],Tabela1[[#This Row],[Country]],Table44[Jumping Classification],"&gt;0")</f>
        <v>0</v>
      </c>
      <c r="EX107" s="6">
        <f>COUNTIFS(Table45[Country],Tabela1[[#This Row],[Country]],Table45[Jumping Classification],"&gt;0")</f>
        <v>0</v>
      </c>
      <c r="EY107" s="6">
        <f>COUNTIFS(Table10[Country],Tabela1[[#This Row],[Country]],Table10[Épée Classification],"&gt;0")</f>
        <v>0</v>
      </c>
      <c r="EZ107" s="6">
        <f>COUNTIFS(Table11[Country],Tabela1[[#This Row],[Country]],Table11[Épée Classification],"&gt;0")</f>
        <v>0</v>
      </c>
      <c r="FA107" s="6">
        <f>COUNTIFS(Table46[Country],Tabela1[[#This Row],[Country]],Table46[Men''s Épée Classification],"&gt;0")</f>
        <v>0</v>
      </c>
      <c r="FB107" s="6">
        <f>COUNTIFS(Table46[Country],Tabela1[[#This Row],[Country]],Table46[Women''s Épée Classification],"&gt;0")</f>
        <v>0</v>
      </c>
      <c r="FC107" s="6">
        <f>COUNTIFS(Table10[Country],Tabela1[[#This Row],[Country]],Table10[Foil Classification],"&gt;0")</f>
        <v>0</v>
      </c>
      <c r="FD107" s="6">
        <f>COUNTIFS(Table11[Country],Tabela1[[#This Row],[Country]],Table11[Foil Classification],"&gt;0")</f>
        <v>0</v>
      </c>
      <c r="FE107" s="6">
        <f>COUNTIFS(Table46[Country],Tabela1[[#This Row],[Country]],Table46[Men''s Foil Classification],"&gt;0")</f>
        <v>0</v>
      </c>
      <c r="FF107" s="6">
        <f>COUNTIFS(Table46[Country],Tabela1[[#This Row],[Country]],Table46[Women''s Foil Classification],"&gt;0")</f>
        <v>0</v>
      </c>
      <c r="FG107" s="6">
        <f>COUNTIFS(Table10[Country],Tabela1[[#This Row],[Country]],Table10[Sabre Classification],"&gt;0")</f>
        <v>0</v>
      </c>
      <c r="FH107" s="6">
        <f>COUNTIFS(Table11[Country],Tabela1[[#This Row],[Country]],Table11[Sabre Classification],"&gt;0")</f>
        <v>0</v>
      </c>
      <c r="FI107" s="6">
        <f>COUNTIFS(Table46[Country],Tabela1[[#This Row],[Country]],Table46[Men''s Sabre Classification],"&gt;0")</f>
        <v>0</v>
      </c>
      <c r="FJ107" s="6">
        <f>COUNTIFS(Table46[Country],Tabela1[[#This Row],[Country]],Table46[Women''s Sabre Classification],"&gt;0")</f>
        <v>0</v>
      </c>
      <c r="FK107" s="6">
        <f>COUNTIFS(Table91[Country],Tabela1[[#This Row],[Country]],Table91[Men''s Classification],"&gt;0")</f>
        <v>0</v>
      </c>
      <c r="FL107" s="6">
        <f>COUNTIFS(Table91[Country],Tabela1[[#This Row],[Country]],Table91[Women''s Classification],"&gt;0")</f>
        <v>0</v>
      </c>
      <c r="FM107" s="6">
        <f>COUNTIFS(Table9194[Country],Tabela1[[#This Row],[Country]],Table9194[Men''s Classification],"&gt;0")</f>
        <v>0</v>
      </c>
      <c r="FN107" s="6">
        <f>COUNTIFS(Table9194[Country],Tabela1[[#This Row],[Country]],Table9194[Women''s Classification],"&gt;0")</f>
        <v>0</v>
      </c>
      <c r="FO107" s="6">
        <f>COUNTIFS(Table71[Country],Tabela1[[#This Row],[Country]],Table71[Classification],"&gt;0")</f>
        <v>0</v>
      </c>
      <c r="FP107" s="6">
        <f>COUNTIFS(Table62[Country],Tabela1[[#This Row],[Country]],Table62[Classification],"&gt;0")</f>
        <v>0</v>
      </c>
      <c r="FQ107" s="6">
        <f>COUNTIFS(Table47[Country],Tabela1[[#This Row],[Country]],Table47[All-Around Classification],"&gt;0")</f>
        <v>0</v>
      </c>
      <c r="FR107" s="6">
        <f>COUNTIFS(Table48[Country],Tabela1[[#This Row],[Country]],Table48[All-Around Classification],"&gt;0")</f>
        <v>0</v>
      </c>
      <c r="FS107" s="6">
        <f>COUNTIFS(Table81[Country],Tabela1[[#This Row],[Country]],Table81[Men''s All-Around Classification],"&gt;0")</f>
        <v>0</v>
      </c>
      <c r="FT107" s="6">
        <f>COUNTIFS(Table81[Country],Tabela1[[#This Row],[Country]],Table81[Women''s All-Around Classification],"&gt;0")</f>
        <v>0</v>
      </c>
      <c r="FU107" s="6">
        <f>COUNTIFS(Table48[Country],Tabela1[[#This Row],[Country]],Table48[Balance Beam Classification],"&gt;0")</f>
        <v>0</v>
      </c>
      <c r="FV107" s="6">
        <f>COUNTIFS(Table47[Country],Tabela1[[#This Row],[Country]],Table47[Floor Exercise Classification],"&gt;0")</f>
        <v>0</v>
      </c>
      <c r="FW107" s="6">
        <f>COUNTIFS(Table48[Country],Tabela1[[#This Row],[Country]],Table48[Floor Exercise Classification],"&gt;0")</f>
        <v>0</v>
      </c>
      <c r="FX107" s="6">
        <f>COUNTIFS(Table47[Country],Tabela1[[#This Row],[Country]],Table47[Horizontal Bar Classification],"&gt;0")</f>
        <v>0</v>
      </c>
      <c r="FY107" s="6">
        <f>COUNTIFS(Table47[Country],Tabela1[[#This Row],[Country]],Table47[Parallel Bars Classification],"&gt;0")</f>
        <v>0</v>
      </c>
      <c r="FZ107" s="6">
        <f>COUNTIFS(Table47[Country],Tabela1[[#This Row],[Country]],Table47[Pommel Horse Classification],"&gt;0")</f>
        <v>0</v>
      </c>
      <c r="GA107" s="6">
        <f>COUNTIFS(Table47[Country],Tabela1[[#This Row],[Country]],Table47[Rings Classification],"&gt;0")</f>
        <v>0</v>
      </c>
      <c r="GB107" s="6">
        <f>COUNTIFS(Tabela132[Country],Tabela1[[#This Row],[Country]],Tabela132[Classification],"&gt;0")</f>
        <v>0</v>
      </c>
      <c r="GC107" s="6">
        <f>COUNTIFS(Tabela139[Country],Tabela1[[#This Row],[Country]],Tabela139[Classification],"&gt;0")</f>
        <v>0</v>
      </c>
      <c r="GD107" s="6">
        <f>COUNTIFS(Table48[Country],Tabela1[[#This Row],[Country]],Table48[Uneven Bars Classification],"&gt;0")</f>
        <v>0</v>
      </c>
      <c r="GE107" s="6">
        <f>COUNTIFS(Table47[Country],Tabela1[[#This Row],[Country]],Table47[Vault Classification],"&gt;0")</f>
        <v>0</v>
      </c>
      <c r="GF107" s="6">
        <f>COUNTIFS(Table48[Country],Tabela1[[#This Row],[Country]],Table48[Vault Classification],"&gt;0")</f>
        <v>0</v>
      </c>
      <c r="GG107" s="6">
        <f>COUNTIFS(Table919496[Country],Tabela1[[#This Row],[Country]],Table919496[Men''s Classification],"&gt;0")</f>
        <v>0</v>
      </c>
      <c r="GH107" s="6">
        <f>COUNTIFS(Table919496[Country],Tabela1[[#This Row],[Country]],Table919496[Women''s Classification],"&gt;0")</f>
        <v>0</v>
      </c>
      <c r="GI107" s="6">
        <f>COUNTIFS(Table12[Country],Tabela1[[#This Row],[Country]],Table12[60kg Classification],"&gt;0")</f>
        <v>0</v>
      </c>
      <c r="GJ107" s="6">
        <f>COUNTIFS(Table12[Country],Tabela1[[#This Row],[Country]],Table12[66kg Classification],"&gt;0")</f>
        <v>0</v>
      </c>
      <c r="GK107" s="6">
        <f>COUNTIFS(Table12[Country],Tabela1[[#This Row],[Country]],Table12[73kg Classification],"&gt;0")</f>
        <v>0</v>
      </c>
      <c r="GL107" s="6">
        <f>COUNTIFS(Table12[Country],Tabela1[[#This Row],[Country]],Table12[81kg Classification],"&gt;0")</f>
        <v>0</v>
      </c>
      <c r="GM107" s="6">
        <f>COUNTIFS(Table12[Country],Tabela1[[#This Row],[Country]],Table12[90kg Classification],"&gt;0")</f>
        <v>0</v>
      </c>
      <c r="GN107" s="6">
        <f>COUNTIFS(Table12[Country],Tabela1[[#This Row],[Country]],Table12[100kg Classification],"&gt;0")</f>
        <v>0</v>
      </c>
      <c r="GO107" s="6">
        <f>COUNTIFS(Table12[Country],Tabela1[[#This Row],[Country]],Table12[Plus 100kg Classification],"&gt;0")</f>
        <v>0</v>
      </c>
      <c r="GP107" s="6">
        <f>COUNTIFS(Table13[Country],Tabela1[[#This Row],[Country]],Table13[48kg Classification],"&gt;0")</f>
        <v>0</v>
      </c>
      <c r="GQ107" s="6">
        <f>COUNTIFS(Table13[Country],Tabela1[[#This Row],[Country]],Table13[52kg Classification],"&gt;0")</f>
        <v>0</v>
      </c>
      <c r="GR107" s="6">
        <f>COUNTIFS(Table13[Country],Tabela1[[#This Row],[Country]],Table13[57kg Classification],"&gt;0")</f>
        <v>0</v>
      </c>
      <c r="GS107" s="6">
        <f>COUNTIFS(Table13[Country],Tabela1[[#This Row],[Country]],Table13[63kg Classification],"&gt;0")</f>
        <v>0</v>
      </c>
      <c r="GT107" s="6">
        <f>COUNTIFS(Table13[Country],Tabela1[[#This Row],[Country]],Table13[70kg Classification],"&gt;0")</f>
        <v>0</v>
      </c>
      <c r="GU107" s="6">
        <f>COUNTIFS(Table13[Country],Tabela1[[#This Row],[Country]],Table13[78kg Classification],"&gt;0")</f>
        <v>0</v>
      </c>
      <c r="GV107" s="6">
        <f>COUNTIFS(Table13[Country],Tabela1[[#This Row],[Country]],Table13[Plus 78kg Classification],"&gt;0")</f>
        <v>0</v>
      </c>
      <c r="GW107" s="6">
        <f>COUNTIFS(Table82[Country],Tabela1[[#This Row],[Country]],Table82[Mixed Classification],"&gt;0")</f>
        <v>0</v>
      </c>
      <c r="GX107" s="6">
        <f>COUNTIFS(Table51[Country],Tabela1[[#This Row],[Country]],Table51[Classification],"&gt;0")</f>
        <v>0</v>
      </c>
      <c r="GY107" s="6">
        <f>COUNTIFS(Table52[Country],Tabela1[[#This Row],[Country]],Table52[Classification],"&gt;0")</f>
        <v>0</v>
      </c>
      <c r="GZ107" s="6">
        <f>COUNTIFS(Table32[Country],Tabela1[[#This Row],[Country]],Table32[All-Around Classification],"&gt;0")</f>
        <v>0</v>
      </c>
      <c r="HA107" s="6">
        <f>COUNTIFS(Table49[Country],Tabela1[[#This Row],[Country]],Table49[All-Around Classification],"&gt;0")</f>
        <v>0</v>
      </c>
      <c r="HB107" s="6">
        <f>COUNTIFS(Table26[Country],Tabela1[[#This Row],[Country]],Table26[Single Sculls Classification],"&gt;0")</f>
        <v>0</v>
      </c>
      <c r="HC107" s="6">
        <f>COUNTIFS(Table63[Country],Tabela1[[#This Row],[Country]],Table63[Single Sculls Classification],"&gt;0")</f>
        <v>0</v>
      </c>
      <c r="HD107" s="6">
        <f>COUNTIFS(Table16[Country],Tabela1[[#This Row],[Country]],Table16[Men''s Double Sculls Classification],"&gt;0")</f>
        <v>0</v>
      </c>
      <c r="HE107" s="6">
        <f>COUNTIFS(Table16[Country],Tabela1[[#This Row],[Country]],Table16[Women''s Double Sculls Classification],"&gt;0")</f>
        <v>0</v>
      </c>
      <c r="HF107" s="6">
        <f>COUNTIFS(Table72[Country],Tabela1[[#This Row],[Country]],Table72[Men''s Quadruple Sculls Classification],"&gt;0")</f>
        <v>0</v>
      </c>
      <c r="HG107" s="6">
        <f>COUNTIFS(Table72[Country],Tabela1[[#This Row],[Country]],Table72[Women''s Quadruple Sculls Classification],"&gt;0")</f>
        <v>0</v>
      </c>
      <c r="HH107" s="6">
        <f>COUNTIFS(Table16[Country],Tabela1[[#This Row],[Country]],Table16[Men''s Coxless Pairs Classification],"&gt;0")</f>
        <v>0</v>
      </c>
      <c r="HI107" s="6">
        <f>COUNTIFS(Table16[Country],Tabela1[[#This Row],[Country]],Table16[Women''s Coxless Pairs Classification],"&gt;0")</f>
        <v>0</v>
      </c>
      <c r="HJ107" s="6">
        <f>COUNTIFS(Table72[Country],Tabela1[[#This Row],[Country]],Table72[Men''s Coxless Fours Classification],"&gt;0")</f>
        <v>0</v>
      </c>
      <c r="HK107" s="6">
        <f>COUNTIFS(Table72[Country],Tabela1[[#This Row],[Country]],Table72[Women''s Coxless Fours Classification],"&gt;0")</f>
        <v>0</v>
      </c>
      <c r="HL107" s="6">
        <f>COUNTIFS(Table72[Country],Tabela1[[#This Row],[Country]],Table72[Men''s Eights Classification],"&gt;0")</f>
        <v>0</v>
      </c>
      <c r="HM107" s="6">
        <f>COUNTIFS(Table72[Country],Tabela1[[#This Row],[Country]],Table72[Women''s Eights Classification],"&gt;0")</f>
        <v>0</v>
      </c>
      <c r="HN107" s="6">
        <f>COUNTIFS(Table16[Country],Tabela1[[#This Row],[Country]],Table16[Men''s Lwt. Double Sculls Classification],"&gt;0")</f>
        <v>0</v>
      </c>
      <c r="HO107" s="6">
        <f>COUNTIFS(Table16[Country],Tabela1[[#This Row],[Country]],Table16[Women''s Lwt. Double Sculls Classification],"&gt;0")</f>
        <v>0</v>
      </c>
      <c r="HP107" s="6">
        <f>COUNTIFS(Table91949698[Country],Tabela1[[#This Row],[Country]],Table91949698[Men''s Classification],"&gt;0")</f>
        <v>0</v>
      </c>
      <c r="HQ107" s="6">
        <f>COUNTIFS(Table91949698[Country],Tabela1[[#This Row],[Country]],Table91949698[Women''s Classification],"&gt;0")</f>
        <v>0</v>
      </c>
      <c r="HR107" s="6">
        <f>COUNTIFS(Table25[Country],Tabela1[[#This Row],[Country]],Table25[Mixed 470 Classification],"&gt;0")</f>
        <v>0</v>
      </c>
      <c r="HS107" s="6">
        <f>COUNTIFS(Table25[Country],Tabela1[[#This Row],[Country]],Table25[Men''s 49er Classification],"&gt;0")</f>
        <v>0</v>
      </c>
      <c r="HT107" s="6">
        <f>COUNTIFS(Table25[Country],Tabela1[[#This Row],[Country]],Table25[Women''s 49er FX Classification],"&gt;0")</f>
        <v>0</v>
      </c>
      <c r="HU107" s="6">
        <f>COUNTIFS(Table17[Country],Tabela1[[#This Row],[Country]],Table17[Formula Kite Classification],"&gt;0")</f>
        <v>0</v>
      </c>
      <c r="HV107" s="6">
        <f>COUNTIFS(Table18[Country],Tabela1[[#This Row],[Country]],Table18[Formula Kite Classification],"&gt;0")</f>
        <v>0</v>
      </c>
      <c r="HW107" s="6">
        <f>COUNTIFS(Table17[Country],Tabela1[[#This Row],[Country]],Table17[ILCA 7 Classification],"&gt;0")</f>
        <v>0</v>
      </c>
      <c r="HX107" s="6">
        <f>COUNTIFS(Table18[Country],Tabela1[[#This Row],[Country]],Table18[ILCA 6 Classification],"&gt;0")</f>
        <v>0</v>
      </c>
      <c r="HY107" s="6">
        <f>COUNTIFS(Table17[Country],Tabela1[[#This Row],[Country]],Table17[IQFoil Classification],"&gt;0")</f>
        <v>0</v>
      </c>
      <c r="HZ107" s="6">
        <f>COUNTIFS(Table18[Country],Tabela1[[#This Row],[Country]],Table18[IQFoil Classification],"&gt;0")</f>
        <v>0</v>
      </c>
      <c r="IA107" s="6">
        <f>COUNTIFS(Table25[Country],Tabela1[[#This Row],[Country]],Table25[Mixed Nacra 17 Classification],"&gt;0")</f>
        <v>0</v>
      </c>
      <c r="IB107" s="6">
        <f>COUNTIFS(Table53[Country],Tabela1[[#This Row],[Country]],Table53[10m Air Pistol Classification],"&gt;0")</f>
        <v>0</v>
      </c>
      <c r="IC107" s="6">
        <f>COUNTIFS(Table19[Country],Tabela1[[#This Row],[Country]],Table19[10m Air Pistol Classification],"&gt;0")</f>
        <v>0</v>
      </c>
      <c r="ID107" s="6">
        <f>COUNTIFS(Table54[Country],Tabela1[[#This Row],[Country]],Table54[Mixed 10m Air Pistol Team Classification],"&gt;0")</f>
        <v>0</v>
      </c>
      <c r="IE107" s="6">
        <f>COUNTIFS(Table53[Country],Tabela1[[#This Row],[Country]],Table53[10m Air Rifle Classification],"&gt;0")</f>
        <v>0</v>
      </c>
      <c r="IF107" s="6">
        <f>COUNTIFS(Table19[Country],Tabela1[[#This Row],[Country]],Table19[10m Air Rifle Classification],"&gt;0")</f>
        <v>0</v>
      </c>
      <c r="IG107" s="6">
        <f>COUNTIFS(Table54[Country],Tabela1[[#This Row],[Country]],Table54[Mixed 10m Air Rifle Team Classification],"&gt;0")</f>
        <v>0</v>
      </c>
      <c r="IH107" s="6">
        <f>COUNTIFS(Table53[Country],Tabela1[[#This Row],[Country]],Table53[25m Rapid Fire Pistol Classification],"&gt;0")</f>
        <v>0</v>
      </c>
      <c r="II107" s="6">
        <f>COUNTIFS(Table19[Country],Tabela1[[#This Row],[Country]],Table19[25m Pistol Classification],"&gt;0")</f>
        <v>0</v>
      </c>
      <c r="IJ107" s="6">
        <f>COUNTIFS(Table53[Country],Tabela1[[#This Row],[Country]],Table53[50m Rifle 3 Positions Classification],"&gt;0")</f>
        <v>0</v>
      </c>
      <c r="IK107" s="6">
        <f>COUNTIFS(Table19[Country],Tabela1[[#This Row],[Country]],Table19[50m Rifle 3 Positions Classification],"&gt;0")</f>
        <v>0</v>
      </c>
      <c r="IL107" s="6">
        <f>COUNTIFS(Table53[Country],Tabela1[[#This Row],[Country]],Table53[Skeet Classification],"&gt;0")</f>
        <v>0</v>
      </c>
      <c r="IM107" s="6">
        <f>COUNTIFS(Table19[Country],Tabela1[[#This Row],[Country]],Table19[Skeet Classification],"&gt;0")</f>
        <v>0</v>
      </c>
      <c r="IN107" s="6">
        <f>COUNTIFS(Table54[Country],Tabela1[[#This Row],[Country]],Table54[Mixed Skeet Team Classification],"&gt;0")</f>
        <v>0</v>
      </c>
      <c r="IO107" s="6">
        <f>COUNTIFS(Table53[Country],Tabela1[[#This Row],[Country]],Table53[Trap Classification],"&gt;0")</f>
        <v>0</v>
      </c>
      <c r="IP107" s="6">
        <f>COUNTIFS(Table19[Country],Tabela1[[#This Row],[Country]],Table19[Trap Classification],"&gt;0")</f>
        <v>0</v>
      </c>
      <c r="IQ107" s="6">
        <f>COUNTIFS(Table73[Country],Tabela1[[#This Row],[Country]],Table73[Park Classification],"&gt;0")</f>
        <v>0</v>
      </c>
      <c r="IR107" s="6">
        <f>COUNTIFS(Table74[Country],Tabela1[[#This Row],[Country]],Table74[Park Classification],"&gt;0")</f>
        <v>0</v>
      </c>
      <c r="IS107" s="6">
        <f>COUNTIFS(Table73[Country],Tabela1[[#This Row],[Country]],Table73[Street Classification],"&gt;0")</f>
        <v>0</v>
      </c>
      <c r="IT107" s="6">
        <f>COUNTIFS(Table74[Country],Tabela1[[#This Row],[Country]],Table74[Street Classification],"&gt;0")</f>
        <v>0</v>
      </c>
      <c r="IU107" s="6">
        <f>COUNTIFS(Table75[Country],Tabela1[[#This Row],[Country]],Table75[Boulder and Lead Classification],"&gt;0")</f>
        <v>0</v>
      </c>
      <c r="IV107" s="6">
        <f>COUNTIFS(Table76[Country],Tabela1[[#This Row],[Country]],Table76[Boulder and Lead Classification],"&gt;0")</f>
        <v>0</v>
      </c>
      <c r="IW107" s="6">
        <f>COUNTIFS(Table75[Country],Tabela1[[#This Row],[Country]],Table75[Speed Classification],"&gt;0")</f>
        <v>0</v>
      </c>
      <c r="IX107" s="6">
        <f>COUNTIFS(Table76[Country],Tabela1[[#This Row],[Country]],Table76[Speed Classification],"&gt;0")</f>
        <v>0</v>
      </c>
      <c r="IY107" s="6">
        <f>COUNTIFS(Table64[Country],Tabela1[[#This Row],[Country]],Table64[Shortboard Classification],"&gt;0")</f>
        <v>0</v>
      </c>
      <c r="IZ107" s="6">
        <f>COUNTIFS(Table77[Country],Tabela1[[#This Row],[Country]],Table77[Shortboard Classification],"&gt;0")</f>
        <v>0</v>
      </c>
      <c r="JA107" s="6">
        <f>COUNTIFS(Table20[Country],Tabela1[[#This Row],[Country]],Table20[50m Freestyle Classification],"&gt;0")</f>
        <v>0</v>
      </c>
      <c r="JB107" s="6">
        <f>COUNTIFS(Table21[Country],Tabela1[[#This Row],[Country]],Table21[50m Freestyle Classification],"&gt;0")</f>
        <v>0</v>
      </c>
      <c r="JC107" s="6">
        <f>COUNTIFS(Table20[Country],Tabela1[[#This Row],[Country]],Table20[100m Freestyle Classification],"&gt;0")</f>
        <v>0</v>
      </c>
      <c r="JD107" s="6">
        <f>COUNTIFS(Table21[Country],Tabela1[[#This Row],[Country]],Table21[100m Freestyle Classification],"&gt;0")</f>
        <v>0</v>
      </c>
      <c r="JE107" s="6">
        <f>COUNTIFS(Table20[Country],Tabela1[[#This Row],[Country]],Table20[200m Freestyle Classification],"&gt;0")</f>
        <v>0</v>
      </c>
      <c r="JF107" s="6">
        <f>COUNTIFS(Table21[Country],Tabela1[[#This Row],[Country]],Table21[200m Freestyle Classification],"&gt;0")</f>
        <v>0</v>
      </c>
      <c r="JG107" s="6">
        <f>COUNTIFS(Table20[Country],Tabela1[[#This Row],[Country]],Table20[400m Freestyle Classification],"&gt;0")</f>
        <v>0</v>
      </c>
      <c r="JH107" s="6">
        <f>COUNTIFS(Table21[Country],Tabela1[[#This Row],[Country]],Table21[400m Freestyle Classification],"&gt;0")</f>
        <v>0</v>
      </c>
      <c r="JI107" s="6">
        <f>COUNTIFS(Table20[Country],Tabela1[[#This Row],[Country]],Table20[800m Freestyle Classification],"&gt;0")</f>
        <v>0</v>
      </c>
      <c r="JJ107" s="6">
        <f>COUNTIFS(Table21[Country],Tabela1[[#This Row],[Country]],Table21[800m Freestyle Classification],"&gt;0")</f>
        <v>0</v>
      </c>
      <c r="JK107" s="6">
        <f>COUNTIFS(Table20[Country],Tabela1[[#This Row],[Country]],Table20[1500m Freestyle Classification],"&gt;0")</f>
        <v>0</v>
      </c>
      <c r="JL107" s="6">
        <f>COUNTIFS(Table21[Country],Tabela1[[#This Row],[Country]],Table21[1500m Freestyle Classification],"&gt;0")</f>
        <v>0</v>
      </c>
      <c r="JM107" s="6">
        <f>COUNTIFS(Table20[Country],Tabela1[[#This Row],[Country]],Table20[100m Backstroke Classification],"&gt;0")</f>
        <v>0</v>
      </c>
      <c r="JN107" s="6">
        <f>COUNTIFS(Table21[Country],Tabela1[[#This Row],[Country]],Table21[100m Backstroke Classification],"&gt;0")</f>
        <v>0</v>
      </c>
      <c r="JO107" s="6">
        <f>COUNTIFS(Table20[Country],Tabela1[[#This Row],[Country]],Table20[200m Backstroke Classification],"&gt;0")</f>
        <v>0</v>
      </c>
      <c r="JP107" s="6">
        <f>COUNTIFS(Table21[Country],Tabela1[[#This Row],[Country]],Table21[200m Backstroke Classification],"&gt;0")</f>
        <v>0</v>
      </c>
      <c r="JQ107" s="6">
        <f>COUNTIFS(Table20[Country],Tabela1[[#This Row],[Country]],Table20[100m Breaststroke Classification],"&gt;0")</f>
        <v>0</v>
      </c>
      <c r="JR107" s="6">
        <f>COUNTIFS(Table21[Country],Tabela1[[#This Row],[Country]],Table21[100m Breaststroke Classification],"&gt;0")</f>
        <v>0</v>
      </c>
      <c r="JS107" s="6">
        <f>COUNTIFS(Table20[Country],Tabela1[[#This Row],[Country]],Table20[200m Breaststroke Classification],"&gt;0")</f>
        <v>0</v>
      </c>
      <c r="JT107" s="6">
        <f>COUNTIFS(Table21[Country],Tabela1[[#This Row],[Country]],Table21[200m Breaststroke Classification],"&gt;0")</f>
        <v>0</v>
      </c>
      <c r="JU107" s="6">
        <f>COUNTIFS(Table20[Country],Tabela1[[#This Row],[Country]],Table20[100m Butterfly Classification],"&gt;0")</f>
        <v>0</v>
      </c>
      <c r="JV107" s="6">
        <f>COUNTIFS(Table21[Country],Tabela1[[#This Row],[Country]],Table21[100m Butterfly Classification],"&gt;0")</f>
        <v>0</v>
      </c>
      <c r="JW107" s="6">
        <f>COUNTIFS(Table20[Country],Tabela1[[#This Row],[Country]],Table20[200m Butterfly Classification],"&gt;0")</f>
        <v>0</v>
      </c>
      <c r="JX107" s="6">
        <f>COUNTIFS(Table21[Country],Tabela1[[#This Row],[Country]],Table21[200m Butterfly Classification],"&gt;0")</f>
        <v>0</v>
      </c>
      <c r="JY107" s="6">
        <f>COUNTIFS(Table20[Country],Tabela1[[#This Row],[Country]],Table20[200m Medley Classification],"&gt;0")</f>
        <v>0</v>
      </c>
      <c r="JZ107" s="6">
        <f>COUNTIFS(Table21[Country],Tabela1[[#This Row],[Country]],Table21[200m Medley Classification],"&gt;0")</f>
        <v>0</v>
      </c>
      <c r="KA107" s="6">
        <f>COUNTIFS(Table20[Country],Tabela1[[#This Row],[Country]],Table20[400m Medley Classification],"&gt;0")</f>
        <v>0</v>
      </c>
      <c r="KB107" s="6">
        <f>COUNTIFS(Table21[Country],Tabela1[[#This Row],[Country]],Table21[400m Medley Classification],"&gt;0")</f>
        <v>0</v>
      </c>
      <c r="KC107" s="6">
        <f>COUNTIFS(Table78[Country],Tabela1[[#This Row],[Country]],Table78[Men''s 4x100m Freestyle Relay Classification],"&gt;0")</f>
        <v>0</v>
      </c>
      <c r="KD107" s="6">
        <f>COUNTIFS(Table78[Country],Tabela1[[#This Row],[Country]],Table78[Women''s 4x100m Freestyle Relay Classification],"&gt;0")</f>
        <v>0</v>
      </c>
      <c r="KE107" s="6">
        <f>COUNTIFS(Table78[Country],Tabela1[[#This Row],[Country]],Table78[Men''s 4x200m Freestyle Relay Classification],"&gt;0")</f>
        <v>0</v>
      </c>
      <c r="KF107" s="6">
        <f>COUNTIFS(Table78[Country],Tabela1[[#This Row],[Country]],Table78[Women''s 4x200m Freestyle Relay Classification],"&gt;0")</f>
        <v>0</v>
      </c>
      <c r="KG107" s="6">
        <f>COUNTIFS(Table78[Country],Tabela1[[#This Row],[Country]],Table78[Men''s 4x100m Medley Relay Classification],"&gt;0")</f>
        <v>0</v>
      </c>
      <c r="KH107" s="6">
        <f>COUNTIFS(Table78[Country],Tabela1[[#This Row],[Country]],Table78[Women''s 4x100m Medley Relay Classification],"&gt;0")</f>
        <v>0</v>
      </c>
      <c r="KI107" s="6">
        <f>COUNTIFS(Table78[Country],Tabela1[[#This Row],[Country]],Table78[Mixed 4x100m Medley Relay Classification],"&gt;0")</f>
        <v>0</v>
      </c>
      <c r="KJ107" s="6">
        <f>COUNTIFS(Table20[Country],Tabela1[[#This Row],[Country]],Table20[10km Open Water Classification],"&gt;0")</f>
        <v>0</v>
      </c>
      <c r="KK107" s="6">
        <f>COUNTIFS(Table21[Country],Tabela1[[#This Row],[Country]],Table21[10km Open Water Classification],"&gt;0")</f>
        <v>0</v>
      </c>
      <c r="KL107" s="6">
        <f>COUNTIFS(Table22[Country],Tabela1[[#This Row],[Country]],Table22[Classification],"&gt;0")</f>
        <v>0</v>
      </c>
      <c r="KM107" s="6">
        <f>COUNTIFS(Table30[Country],Tabela1[[#This Row],[Country]],Table30[Classification],"&gt;0")</f>
        <v>0</v>
      </c>
      <c r="KN107" s="6">
        <f>COUNTIFS(Table55[Country],Tabela1[[#This Row],[Country]],Table55[Men''s Classification],"&gt;0")</f>
        <v>0</v>
      </c>
      <c r="KO107" s="6">
        <f>COUNTIFS(Table55[Country],Tabela1[[#This Row],[Country]],Table55[Women''s Classification],"&gt;0")</f>
        <v>0</v>
      </c>
      <c r="KP107" s="6">
        <f>COUNTIFS(Table56[Country],Tabela1[[#This Row],[Country]],Table56[Mixed Classification],"&gt;0")</f>
        <v>0</v>
      </c>
      <c r="KQ107" s="6">
        <f>COUNTIFS(Table29[Country],Tabela1[[#This Row],[Country]],Table29[58kg Classification],"&gt;0")</f>
        <v>0</v>
      </c>
      <c r="KR107" s="6">
        <f>COUNTIFS(Table29[Country],Tabela1[[#This Row],[Country]],Table29[68kg Classification],"&gt;0")</f>
        <v>0</v>
      </c>
      <c r="KS107" s="6">
        <f>COUNTIFS(Table29[Country],Tabela1[[#This Row],[Country]],Table29[80kg Classification],"&gt;0")</f>
        <v>0</v>
      </c>
      <c r="KT107" s="6">
        <f>COUNTIFS(Table29[Country],Tabela1[[#This Row],[Country]],Table29[Plus 80kg Classification],"&gt;0")</f>
        <v>0</v>
      </c>
      <c r="KU107" s="6">
        <f>COUNTIFS(Table34[Country],Tabela1[[#This Row],[Country]],Table34[49kg Classification],"&gt;0")</f>
        <v>0</v>
      </c>
      <c r="KV107" s="6">
        <f>COUNTIFS(Table34[Country],Tabela1[[#This Row],[Country]],Table34[57kg Classification],"&gt;0")</f>
        <v>0</v>
      </c>
      <c r="KW107" s="6">
        <f>COUNTIFS(Table34[Country],Tabela1[[#This Row],[Country]],Table34[67kg Classification],"&gt;0")</f>
        <v>0</v>
      </c>
      <c r="KX107" s="6">
        <f>COUNTIFS(Table34[Country],Tabela1[[#This Row],[Country]],Table34[Plus 67kg Classification],"&gt;0")</f>
        <v>0</v>
      </c>
      <c r="KY107" s="6">
        <f>COUNTIFS(Table57[Country],Tabela1[[#This Row],[Country]],Table57[Classification],"&gt;0")</f>
        <v>0</v>
      </c>
      <c r="KZ107" s="6">
        <f>COUNTIFS(Table58[Country],Tabela1[[#This Row],[Country]],Table58[Classification],"&gt;0")</f>
        <v>0</v>
      </c>
      <c r="LA107" s="6">
        <f>COUNTIFS(Table79[Country],Tabela1[[#This Row],[Country]],Table79[Men''s Classification],"&gt;0")</f>
        <v>0</v>
      </c>
      <c r="LB107" s="6">
        <f>COUNTIFS(Table79[Country],Tabela1[[#This Row],[Country]],Table79[Women''s Classification],"&gt;0")</f>
        <v>0</v>
      </c>
      <c r="LC107" s="6">
        <f>COUNTIFS(Table79[Country],Tabela1[[#This Row],[Country]],Table79[Mixed Classification],"&gt;0")</f>
        <v>0</v>
      </c>
      <c r="LD107" s="6">
        <f>COUNTIFS(Table65[Country],Tabela1[[#This Row],[Country]],Table65[Classification],"&gt;0")</f>
        <v>0</v>
      </c>
      <c r="LE107" s="6">
        <f>COUNTIFS(Table59[Country],Tabela1[[#This Row],[Country]],Table59[Classification],"&gt;0")</f>
        <v>0</v>
      </c>
      <c r="LF107" s="6">
        <f>COUNTIFS(Table87[Country],Tabela1[[#This Row],[Country]],Table87[Mixed Relay Classification],"&gt;0")</f>
        <v>0</v>
      </c>
      <c r="LG107" s="6">
        <f>COUNTIFS(Table91949698100[Country],Tabela1[[#This Row],[Country]],Table91949698100[Men''s Classification],"&gt;0")</f>
        <v>0</v>
      </c>
      <c r="LH107" s="6">
        <f>COUNTIFS(Table91949698100[Country],Tabela1[[#This Row],[Country]],Table91949698100[Women''s Classification],"&gt;0")</f>
        <v>0</v>
      </c>
      <c r="LI107" s="6">
        <f>COUNTIFS(Table91949698100102[Country],Tabela1[[#This Row],[Country]],Table91949698100102[Men''s Classification],"&gt;0")</f>
        <v>0</v>
      </c>
      <c r="LJ107" s="6">
        <f>COUNTIFS(Table91949698100102[Country],Tabela1[[#This Row],[Country]],Table91949698100102[Women''s Classification],"&gt;0")</f>
        <v>0</v>
      </c>
      <c r="LK107" s="6">
        <f>COUNTIFS(Table23[Country],Tabela1[[#This Row],[Country]],Table23[61kg Classification],"&gt;0")</f>
        <v>0</v>
      </c>
      <c r="LL107" s="6">
        <f>COUNTIFS(Table23[Country],Tabela1[[#This Row],[Country]],Table23[73kg Classification],"&gt;0")</f>
        <v>0</v>
      </c>
      <c r="LM107" s="6">
        <f>COUNTIFS(Table23[Country],Tabela1[[#This Row],[Country]],Table23[89kg Classification],"&gt;0")</f>
        <v>0</v>
      </c>
      <c r="LN107" s="6">
        <f>COUNTIFS(Table23[Country],Tabela1[[#This Row],[Country]],Table23[102kg Classification],"&gt;0")</f>
        <v>0</v>
      </c>
      <c r="LO107" s="6">
        <f>COUNTIFS(Table23[Country],Tabela1[[#This Row],[Country]],Table23[Plus 102kg Classification],"&gt;0")</f>
        <v>0</v>
      </c>
      <c r="LP107" s="6">
        <f>COUNTIFS(Table28[Country],Tabela1[[#This Row],[Country]],Table28[49kg Classification],"&gt;0")</f>
        <v>0</v>
      </c>
      <c r="LQ107" s="6">
        <f>COUNTIFS(Table28[Country],Tabela1[[#This Row],[Country]],Table28[59kg Classification],"&gt;0")</f>
        <v>0</v>
      </c>
      <c r="LR107" s="6">
        <f>COUNTIFS(Table28[Country],Tabela1[[#This Row],[Country]],Table28[71kg Classification],"&gt;0")</f>
        <v>0</v>
      </c>
      <c r="LS107" s="6">
        <f>COUNTIFS(Table28[Country],Tabela1[[#This Row],[Country]],Table28[81kg Classification],"&gt;0")</f>
        <v>0</v>
      </c>
      <c r="LT107" s="6">
        <f>COUNTIFS(Table28[Country],Tabela1[[#This Row],[Country]],Table28[Plus 81kg Classification],"&gt;0")</f>
        <v>0</v>
      </c>
      <c r="LU107" s="6">
        <f>COUNTIFS(Table24[Country],Tabela1[[#This Row],[Country]],Table24[Freestyle 57kg Classification],"&gt;0")</f>
        <v>0</v>
      </c>
      <c r="LV107" s="6">
        <f>COUNTIFS(Table24[Country],Tabela1[[#This Row],[Country]],Table24[Freestyle 65kg Classification],"&gt;0")</f>
        <v>0</v>
      </c>
      <c r="LW107" s="6">
        <f>COUNTIFS(Table24[Country],Tabela1[[#This Row],[Country]],Table24[Freestyle 74kg Classification],"&gt;0")</f>
        <v>0</v>
      </c>
      <c r="LX107" s="6">
        <f>COUNTIFS(Table24[Country],Tabela1[[#This Row],[Country]],Table24[Freestyle 86kg Classification],"&gt;0")</f>
        <v>0</v>
      </c>
      <c r="LY107" s="6">
        <f>COUNTIFS(Table24[Country],Tabela1[[#This Row],[Country]],Table24[Freestyle 97kg Classification],"&gt;0")</f>
        <v>0</v>
      </c>
      <c r="LZ107" s="6">
        <f>COUNTIFS(Table24[Country],Tabela1[[#This Row],[Country]],Table24[Freestyle 125kg Classification],"&gt;0")</f>
        <v>0</v>
      </c>
      <c r="MA107" s="6">
        <f>COUNTIFS(Table24[Country],Tabela1[[#This Row],[Country]],Table24[Greco-Roman 60kg Classification],"&gt;0")</f>
        <v>0</v>
      </c>
      <c r="MB107" s="6">
        <f>COUNTIFS(Table24[Country],Tabela1[[#This Row],[Country]],Table24[Greco-Roman 67kg Classification],"&gt;0")</f>
        <v>0</v>
      </c>
      <c r="MC107" s="6">
        <f>COUNTIFS(Table24[Country],Tabela1[[#This Row],[Country]],Table24[Greco-Roman 77kg Classification],"&gt;0")</f>
        <v>0</v>
      </c>
      <c r="MD107" s="6">
        <f>COUNTIFS(Table24[Country],Tabela1[[#This Row],[Country]],Table24[Greco-Roman 87kg Classification],"&gt;0")</f>
        <v>0</v>
      </c>
      <c r="ME107" s="6">
        <f>COUNTIFS(Table24[Country],Tabela1[[#This Row],[Country]],Table24[Greco-Roman 97kg Classification],"&gt;0")</f>
        <v>0</v>
      </c>
      <c r="MF107" s="6">
        <f>COUNTIFS(Table24[Country],Tabela1[[#This Row],[Country]],Table24[Greco-Roman 130kg Classification],"&gt;0")</f>
        <v>0</v>
      </c>
      <c r="MG107" s="6">
        <f>COUNTIFS(Table31[Country],Tabela1[[#This Row],[Country]],Table31[50kg Classification],"&gt;0")</f>
        <v>0</v>
      </c>
      <c r="MH107" s="6">
        <f>COUNTIFS(Table31[Country],Tabela1[[#This Row],[Country]],Table31[53kg Classification],"&gt;0")</f>
        <v>0</v>
      </c>
      <c r="MI107" s="6">
        <f>COUNTIFS(Table31[Country],Tabela1[[#This Row],[Country]],Table31[57kg Classification],"&gt;0")</f>
        <v>0</v>
      </c>
      <c r="MJ107" s="6">
        <f>COUNTIFS(Table31[Country],Tabela1[[#This Row],[Country]],Table31[62kg Classification],"&gt;0")</f>
        <v>0</v>
      </c>
      <c r="MK107" s="6">
        <f>COUNTIFS(Table31[Country],Tabela1[[#This Row],[Country]],Table31[68kg Classification],"&gt;0")</f>
        <v>0</v>
      </c>
      <c r="ML107" s="6">
        <f>COUNTIFS(Table31[Country],Tabela1[[#This Row],[Country]],Table31[76kg Classification],"&gt;0")</f>
        <v>0</v>
      </c>
      <c r="MM107" s="6">
        <f>COUNTIFS(Table102[Country],Tabela1[[#This Row],[Country]],Table102[Downhill Classification],"&gt;0")</f>
        <v>0</v>
      </c>
      <c r="MN107" s="6">
        <f>COUNTIFS(Table102105[Country],Tabela1[[#This Row],[Country]],Table102105[Downhill Classification],"&gt;0")</f>
        <v>0</v>
      </c>
      <c r="MO107" s="6">
        <f>COUNTIFS(Table102[Country],Tabela1[[#This Row],[Country]],Table102[Giant Slalom Classification],"&gt;0")</f>
        <v>0</v>
      </c>
      <c r="MP107" s="6">
        <f>COUNTIFS(Table102105[Country],Tabela1[[#This Row],[Country]],Table102105[Giant Slalom Classification],"&gt;0")</f>
        <v>0</v>
      </c>
      <c r="MQ107" s="6">
        <f>COUNTIFS(Table102[Country],Tabela1[[#This Row],[Country]],Table102[Slalom Classification],"&gt;0")</f>
        <v>0</v>
      </c>
      <c r="MR107" s="6">
        <f>COUNTIFS(Table102105[Country],Tabela1[[#This Row],[Country]],Table102105[Slalom Classification],"&gt;0")</f>
        <v>0</v>
      </c>
      <c r="MS107" s="6">
        <f>COUNTIFS(Table102[Country],Tabela1[[#This Row],[Country]],Table102[Super-G Classification],"&gt;0")</f>
        <v>0</v>
      </c>
      <c r="MT107" s="6">
        <f>COUNTIFS(Table102105[Country],Tabela1[[#This Row],[Country]],Table102105[Super-G Classification],"&gt;0")</f>
        <v>0</v>
      </c>
      <c r="MU107" s="6">
        <f>COUNTIFS(Table105[Country],Tabela1[[#This Row],[Country]],Table105[Men''s Combined Classification],"&gt;0")</f>
        <v>0</v>
      </c>
      <c r="MV107" s="6">
        <f>COUNTIFS(Table105[Country],Tabela1[[#This Row],[Country]],Table105[Women''s Combined Classification],"&gt;0")</f>
        <v>0</v>
      </c>
      <c r="MW107" s="6">
        <f>COUNTIFS(Table106[Country],Tabela1[[#This Row],[Country]],Table106[Individual Classification],"&gt;0")</f>
        <v>0</v>
      </c>
      <c r="MX107" s="6">
        <f>COUNTIFS(Table106109[Country],Tabela1[[#This Row],[Country]],Table106109[Individual Classification],"&gt;0")</f>
        <v>0</v>
      </c>
      <c r="MY107" s="6">
        <f>COUNTIFS(Table106[Country],Tabela1[[#This Row],[Country]],Table106[Mass Start Classification],"&gt;0")</f>
        <v>0</v>
      </c>
      <c r="MZ107" s="6">
        <f>COUNTIFS(Table106109[Country],Tabela1[[#This Row],[Country]],Table106109[Mass Start Classification],"&gt;0")</f>
        <v>0</v>
      </c>
      <c r="NA107" s="6">
        <f>COUNTIFS(Table106[Country],Tabela1[[#This Row],[Country]],Table106[Pursuit Classification],"&gt;0")</f>
        <v>0</v>
      </c>
      <c r="NB107" s="6">
        <f>COUNTIFS(Table106109[Country],Tabela1[[#This Row],[Country]],Table106109[Pursuit Classification],"&gt;0")</f>
        <v>0</v>
      </c>
      <c r="NC107" s="6">
        <f>COUNTIFS(Table106[Country],Tabela1[[#This Row],[Country]],Table106[Sprint Classification],"&gt;0")</f>
        <v>0</v>
      </c>
      <c r="ND107" s="6">
        <f>COUNTIFS(Table106109[Country],Tabela1[[#This Row],[Country]],Table106109[Sprint Classification],"&gt;0")</f>
        <v>0</v>
      </c>
      <c r="NE107" s="6">
        <f>COUNTIFS(Table109[Country],Tabela1[[#This Row],[Country]],Table109[Men''s Relay Classification],"&gt;0")</f>
        <v>0</v>
      </c>
      <c r="NF107" s="6">
        <f>COUNTIFS(Table109[Country],Tabela1[[#This Row],[Country]],Table109[Women''s Relay Classification],"&gt;0")</f>
        <v>0</v>
      </c>
      <c r="NG107" s="6">
        <f>COUNTIFS(Table109[Country],Tabela1[[#This Row],[Country]],Table109[Mixed Relay Classification],"&gt;0")</f>
        <v>0</v>
      </c>
      <c r="NH107" s="6">
        <f>COUNTIFS(Table110[Country],Tabela1[[#This Row],[Country]],Table110[Monobob Classification],"&gt;0")</f>
        <v>0</v>
      </c>
      <c r="NI107" s="6">
        <f>COUNTIFS(Table111[Country],Tabela1[[#This Row],[Country]],Table111[Men''s Classification],"&gt;0")</f>
        <v>0</v>
      </c>
      <c r="NJ107" s="6">
        <f>COUNTIFS(Table111[Country],Tabela1[[#This Row],[Country]],Table111[Women''s Classification],"&gt;0")</f>
        <v>0</v>
      </c>
      <c r="NK107" s="6">
        <f>COUNTIFS(Table112[Country],Tabela1[[#This Row],[Country]],Table112[Men''s Four Classification],"&gt;0")</f>
        <v>0</v>
      </c>
      <c r="NL107" s="6">
        <f>COUNTIFS(Table113[Country],Tabela1[[#This Row],[Country]],Table113[Classical Classification],"&gt;0")</f>
        <v>0</v>
      </c>
      <c r="NM107" s="6">
        <f>COUNTIFS(Table113116[Country],Tabela1[[#This Row],[Country]],Table113116[Classical Classification],"&gt;0")</f>
        <v>0</v>
      </c>
      <c r="NN107" s="6">
        <f>COUNTIFS(Table113[Country],Tabela1[[#This Row],[Country]],Table113[Freestyle Classification],"&gt;0")</f>
        <v>1</v>
      </c>
      <c r="NO107" s="6">
        <f>COUNTIFS(Table113116[Country],Tabela1[[#This Row],[Country]],Table113116[Freestyle Classification],"&gt;0")</f>
        <v>0</v>
      </c>
      <c r="NP107" s="6">
        <f>COUNTIFS(Table117[Country],Tabela1[[#This Row],[Country]],Table117[Men''s Relay Classification],"&gt;0")</f>
        <v>0</v>
      </c>
      <c r="NQ107" s="6">
        <f>COUNTIFS(Table117[Country],Tabela1[[#This Row],[Country]],Table117[Women''s Relay Classification],"&gt;0")</f>
        <v>0</v>
      </c>
      <c r="NR107" s="6">
        <f>COUNTIFS(Table113[Country],Tabela1[[#This Row],[Country]],Table113[Skiathlon Classification],"&gt;0")</f>
        <v>1</v>
      </c>
      <c r="NS107" s="6">
        <f>COUNTIFS(Table113116[Country],Tabela1[[#This Row],[Country]],Table113116[Skiathlon Classification],"&gt;0")</f>
        <v>0</v>
      </c>
      <c r="NT107" s="6">
        <f>COUNTIFS(Table113[Country],Tabela1[[#This Row],[Country]],Table113[Sprint Classification],"&gt;0")</f>
        <v>1</v>
      </c>
      <c r="NU107" s="6">
        <f>COUNTIFS(Table113116[Country],Tabela1[[#This Row],[Country]],Table113116[Sprint Classification],"&gt;0")</f>
        <v>0</v>
      </c>
      <c r="NV107" s="6">
        <f>COUNTIFS(Table116[Country],Tabela1[[#This Row],[Country]],Table116[Men''s Team Sprint Classification],"&gt;0")</f>
        <v>0</v>
      </c>
      <c r="NW107" s="6">
        <f>COUNTIFS(Table116[Country],Tabela1[[#This Row],[Country]],Table116[Women''s Team Sprint Classification],"&gt;0")</f>
        <v>0</v>
      </c>
      <c r="NX107" s="6">
        <f>COUNTIFS(Table119[Country],Tabela1[[#This Row],[Country]],Table119[Men''s Classification],"&gt;0")</f>
        <v>0</v>
      </c>
      <c r="NY107" s="6">
        <f>COUNTIFS(Table119[Country],Tabela1[[#This Row],[Country]],Table119[Women''s Classification],"&gt;0")</f>
        <v>0</v>
      </c>
      <c r="NZ107" s="6">
        <f>COUNTIFS(Table118[Country],Tabela1[[#This Row],[Country]],Table118[Mixed Classification],"&gt;0")</f>
        <v>0</v>
      </c>
      <c r="OA107" s="6">
        <f>COUNTIFS(Table120[Country],Tabela1[[#This Row],[Country]],Table120[Classification],"&gt;0")</f>
        <v>0</v>
      </c>
      <c r="OB107" s="6">
        <f>COUNTIFS(Table120123[Country],Tabela1[[#This Row],[Country]],Table120123[Classification],"&gt;0")</f>
        <v>0</v>
      </c>
      <c r="OC107" s="6">
        <f>COUNTIFS(Table123[Country],Tabela1[[#This Row],[Country]],Table123[Ice Dance Classification],"&gt;0")</f>
        <v>0</v>
      </c>
      <c r="OD107" s="6">
        <f>COUNTIFS(Table123[Country],Tabela1[[#This Row],[Country]],Table123[Pair Skating Classification],"&gt;0")</f>
        <v>0</v>
      </c>
      <c r="OE107" s="6">
        <f>COUNTIFS(Table124[Country],Tabela1[[#This Row],[Country]],Table124[Mixed Classification],"&gt;0")</f>
        <v>0</v>
      </c>
      <c r="OF107" s="6">
        <f>COUNTIFS(Table125[Country],Tabela1[[#This Row],[Country]],Table125[Aerials Classification],"&gt;0")</f>
        <v>0</v>
      </c>
      <c r="OG107" s="6">
        <f>COUNTIFS(Table125128[Country],Tabela1[[#This Row],[Country]],Table125128[Aerials Classification],"&gt;0")</f>
        <v>0</v>
      </c>
      <c r="OH107" s="6">
        <f>COUNTIFS(Table128[Country],Tabela1[[#This Row],[Country]],Table128[Mixed Aerials Classification],"&gt;0")</f>
        <v>0</v>
      </c>
      <c r="OI107" s="6">
        <f>COUNTIFS(Table125[Country],Tabela1[[#This Row],[Country]],Table125[Big Air Classification],"&gt;0")</f>
        <v>0</v>
      </c>
      <c r="OJ107" s="6">
        <f>COUNTIFS(Table125128[Country],Tabela1[[#This Row],[Country]],Table125128[Big Air Classification],"&gt;0")</f>
        <v>0</v>
      </c>
      <c r="OK107" s="6">
        <f>COUNTIFS(Table125[Country],Tabela1[[#This Row],[Country]],Table125[Dual Moguls Classification],"&gt;0")</f>
        <v>0</v>
      </c>
      <c r="OL107" s="6">
        <f>COUNTIFS(Table125128[Country],Tabela1[[#This Row],[Country]],Table125128[Dual Moguls Classification],"&gt;0")</f>
        <v>0</v>
      </c>
      <c r="OM107" s="6">
        <f>COUNTIFS(Table125[Country],Tabela1[[#This Row],[Country]],Table125[Halfpipe Classification],"&gt;0")</f>
        <v>0</v>
      </c>
      <c r="ON107" s="6">
        <f>COUNTIFS(Table125128[Country],Tabela1[[#This Row],[Country]],Table125128[Halfpipe Classification],"&gt;0")</f>
        <v>0</v>
      </c>
      <c r="OO107" s="6">
        <f>COUNTIFS(Table125[Country],Tabela1[[#This Row],[Country]],Table125[Moguls Classification],"&gt;0")</f>
        <v>0</v>
      </c>
      <c r="OP107" s="6">
        <f>COUNTIFS(Table125128[Country],Tabela1[[#This Row],[Country]],Table125128[Moguls Classification],"&gt;0")</f>
        <v>0</v>
      </c>
      <c r="OQ107" s="6">
        <f>COUNTIFS(Table125[Country],Tabela1[[#This Row],[Country]],Table125[Ski Cross Classification],"&gt;0")</f>
        <v>0</v>
      </c>
      <c r="OR107" s="6">
        <f>COUNTIFS(Table125128[Country],Tabela1[[#This Row],[Country]],Table125128[Ski Cross Classification],"&gt;0")</f>
        <v>0</v>
      </c>
      <c r="OS107" s="6">
        <f>COUNTIFS(Table125[Country],Tabela1[[#This Row],[Country]],Table125[Slopestyle Classification],"&gt;0")</f>
        <v>0</v>
      </c>
      <c r="OT107" s="6">
        <f>COUNTIFS(Table125128[Country],Tabela1[[#This Row],[Country]],Table125128[Slopestyle Classification],"&gt;0")</f>
        <v>0</v>
      </c>
      <c r="OU107" s="6">
        <f>COUNTIFS(Table119131[Country],Tabela1[[#This Row],[Country]],Table119131[Men''s Classification],"&gt;0")</f>
        <v>0</v>
      </c>
      <c r="OV107" s="6">
        <f>COUNTIFS(Table119131[Country],Tabela1[[#This Row],[Country]],Table119131[Women''s Classification],"&gt;0")</f>
        <v>0</v>
      </c>
      <c r="OW107" s="6">
        <f>COUNTIFS(Table131[Country],Tabela1[[#This Row],[Country]],Table131[Classification],"&gt;0")</f>
        <v>0</v>
      </c>
      <c r="OX107" s="6">
        <f>COUNTIFS(Table131134[Country],Tabela1[[#This Row],[Country]],Table131134[Classification],"&gt;0")</f>
        <v>0</v>
      </c>
      <c r="OY107" s="6">
        <f>COUNTIFS(Table134[Country],Tabela1[[#This Row],[Country]],Table134[Men''s Classification],"&gt;0")</f>
        <v>0</v>
      </c>
      <c r="OZ107" s="6">
        <f>COUNTIFS(Table134[Country],Tabela1[[#This Row],[Country]],Table134[Women''s Classification],"&gt;0")</f>
        <v>0</v>
      </c>
      <c r="PA107" s="6">
        <f>COUNTIFS(Table135[Country],Tabela1[[#This Row],[Country]],Table135[Mixed Relay Classification],"&gt;0")</f>
        <v>0</v>
      </c>
      <c r="PB107" s="6">
        <f>COUNTIFS(Table136[Country],Tabela1[[#This Row],[Country]],Table136[Individual Classification],"&gt;0")</f>
        <v>0</v>
      </c>
      <c r="PC107" s="6">
        <f>COUNTIFS(Table136[Country],Tabela1[[#This Row],[Country]],Table136[Sprint Classification],"&gt;0")</f>
        <v>0</v>
      </c>
      <c r="PD107" s="6">
        <f>COUNTIFS(Table137[Country],Tabela1[[#This Row],[Country]],Table137[Men''s Team Sprint Large Hill Classification],"&gt;0")</f>
        <v>0</v>
      </c>
      <c r="PE107" s="6">
        <f>COUNTIFS(Table138[Country],Tabela1[[#This Row],[Country]],Table138[500m Classification],"&gt;0")</f>
        <v>0</v>
      </c>
      <c r="PF107" s="6">
        <f>COUNTIFS(Table138141[Country],Tabela1[[#This Row],[Country]],Table138141[500m Classification],"&gt;0")</f>
        <v>0</v>
      </c>
      <c r="PG107" s="6">
        <f>COUNTIFS(Table138[Country],Tabela1[[#This Row],[Country]],Table138[1000m Classification],"&gt;0")</f>
        <v>0</v>
      </c>
      <c r="PH107" s="6">
        <f>COUNTIFS(Table138141[Country],Tabela1[[#This Row],[Country]],Table138141[1000m Classification],"&gt;0")</f>
        <v>0</v>
      </c>
      <c r="PI107" s="6">
        <f>COUNTIFS(Table138[Country],Tabela1[[#This Row],[Country]],Table138[1500m Classification],"&gt;0")</f>
        <v>0</v>
      </c>
      <c r="PJ107" s="6">
        <f>COUNTIFS(Table138141[Country],Tabela1[[#This Row],[Country]],Table138141[1500m Classification],"&gt;0")</f>
        <v>0</v>
      </c>
      <c r="PK107" s="6">
        <f>COUNTIFS(Table141[Country],Tabela1[[#This Row],[Country]],Table141[Men''s 5000m Relay Classification],"&gt;0")</f>
        <v>0</v>
      </c>
      <c r="PL107" s="6">
        <f>COUNTIFS(Table141[Country],Tabela1[[#This Row],[Country]],Table141[Women''s 3000m Relay Classification],"&gt;0")</f>
        <v>0</v>
      </c>
      <c r="PM107" s="6">
        <f>COUNTIFS(Table141[Country],Tabela1[[#This Row],[Country]],Table141[Mixed 2000m Relay Classification],"&gt;0")</f>
        <v>0</v>
      </c>
      <c r="PN107" s="6">
        <f>COUNTIFS(Table142[Country],Tabela1[[#This Row],[Country]],Table142[Classification],"&gt;0")</f>
        <v>0</v>
      </c>
      <c r="PO107" s="6">
        <f>COUNTIFS(Table142145[Country],Tabela1[[#This Row],[Country]],Table142145[Classification],"&gt;0")</f>
        <v>0</v>
      </c>
      <c r="PP107" s="6">
        <f>COUNTIFS(Tabela15[Country],Tabela1[[#This Row],[Country]],Tabela15[Mixed Team Classification],"&gt;0")</f>
        <v>0</v>
      </c>
      <c r="PQ107" s="6">
        <f>COUNTIFS(Table145[Country],Tabela1[[#This Row],[Country]],Table145[Large Hill Classification],"&gt;0")</f>
        <v>0</v>
      </c>
      <c r="PR107" s="6">
        <f>COUNTIFS(Table145[Country],Tabela1[[#This Row],[Country]],Table145[Normal Hill Classification],"&gt;0")</f>
        <v>0</v>
      </c>
      <c r="PS107" s="6">
        <f>COUNTIFS(Table145148[Country],Tabela1[[#This Row],[Country]],Table145148[Large Hill Classification],"&gt;0")</f>
        <v>0</v>
      </c>
      <c r="PT107" s="6">
        <f>COUNTIFS(Table145148[Country],Tabela1[[#This Row],[Country]],Table145148[Normal Hill Classification],"&gt;0")</f>
        <v>0</v>
      </c>
      <c r="PU107" s="6">
        <f>COUNTIFS(Table148[Country],Tabela1[[#This Row],[Country]],Table148[Men''s Super Team Classification],"&gt;0")</f>
        <v>0</v>
      </c>
      <c r="PV107" s="6">
        <f>COUNTIFS(Tabela114[Country],Tabela1[[#This Row],[Country]],Tabela114[Mixed Normal Hill Classification],"&gt;0")</f>
        <v>0</v>
      </c>
      <c r="PW107" s="6">
        <f>COUNTIFS(Tabela50[Country],Tabela1[[#This Row],[Country]],Tabela50[Sprint Classification],"&gt;0")</f>
        <v>0</v>
      </c>
      <c r="PX107" s="6">
        <f>COUNTIFS(Tabela50101[Country],Tabela1[[#This Row],[Country]],Tabela50101[Sprint Classification],"&gt;0")</f>
        <v>0</v>
      </c>
      <c r="PY107" s="6">
        <f>COUNTIFS(Tabela103[Country],Tabela1[[#This Row],[Country]],Tabela103[Mixed Relay Classification],"&gt;0")</f>
        <v>0</v>
      </c>
      <c r="PZ107" s="6">
        <f>COUNTIFS(Table149[Country],Tabela1[[#This Row],[Country]],Table149[Big Air Classification],"&gt;0")</f>
        <v>0</v>
      </c>
      <c r="QA107" s="6">
        <f>COUNTIFS(Table149152[Country],Tabela1[[#This Row],[Country]],Table149152[Big Air Classification],"&gt;0")</f>
        <v>0</v>
      </c>
      <c r="QB107" s="6">
        <f>COUNTIFS(Table149[Country],Tabela1[[#This Row],[Country]],Table149[Halfpipe Classification],"&gt;0")</f>
        <v>0</v>
      </c>
      <c r="QC107" s="6">
        <f>COUNTIFS(Table149152[Country],Tabela1[[#This Row],[Country]],Table149152[Halfpipe Classification],"&gt;0")</f>
        <v>0</v>
      </c>
      <c r="QD107" s="6">
        <f>COUNTIFS(Table149[Country],Tabela1[[#This Row],[Country]],Table149[Parallel Giant Slalom Classification],"&gt;0")</f>
        <v>0</v>
      </c>
      <c r="QE107" s="6">
        <f>COUNTIFS(Table149152[Country],Tabela1[[#This Row],[Country]],Table149152[Parallel Giant Slalom Classification],"&gt;0")</f>
        <v>0</v>
      </c>
      <c r="QF107" s="6">
        <f>COUNTIFS(Table149[Country],Tabela1[[#This Row],[Country]],Table149[Slopestyle Classification],"&gt;0")</f>
        <v>0</v>
      </c>
      <c r="QG107" s="6">
        <f>COUNTIFS(Table149152[Country],Tabela1[[#This Row],[Country]],Table149152[Slopestyle Classification],"&gt;0")</f>
        <v>0</v>
      </c>
      <c r="QH107" s="6">
        <f>COUNTIFS(Table149[Country],Tabela1[[#This Row],[Country]],Table149[Snowboard Cross Classification],"&gt;0")</f>
        <v>0</v>
      </c>
      <c r="QI107" s="6">
        <f>COUNTIFS(Table149152[Country],Tabela1[[#This Row],[Country]],Table149152[Snowboard Cross Classification],"&gt;0")</f>
        <v>0</v>
      </c>
      <c r="QJ107" s="6">
        <f>COUNTIFS(Table153[Country],Tabela1[[#This Row],[Country]],Table153[Mixed Team Snowboard Cross Classification],"&gt;0")</f>
        <v>0</v>
      </c>
      <c r="QK107" s="6">
        <f>COUNTIFS(Table154[Country],Tabela1[[#This Row],[Country]],Table154[500m Classification],"&gt;0")</f>
        <v>0</v>
      </c>
      <c r="QL107" s="6">
        <f>COUNTIFS(Table154157[Country],Tabela1[[#This Row],[Country]],Table154157[500m Classification],"&gt;0")</f>
        <v>0</v>
      </c>
      <c r="QM107" s="6">
        <f>COUNTIFS(Table154[Country],Tabela1[[#This Row],[Country]],Table154[1000m Classification],"&gt;0")</f>
        <v>0</v>
      </c>
      <c r="QN107" s="6">
        <f>COUNTIFS(Table154157[Country],Tabela1[[#This Row],[Country]],Table154157[1000m Classification],"&gt;0")</f>
        <v>0</v>
      </c>
      <c r="QO107" s="6">
        <f>COUNTIFS(Table154[Country],Tabela1[[#This Row],[Country]],Table154[1500m Classification],"&gt;0")</f>
        <v>0</v>
      </c>
      <c r="QP107" s="6">
        <f>COUNTIFS(Table154157[Country],Tabela1[[#This Row],[Country]],Table154157[1500m Classification],"&gt;0")</f>
        <v>0</v>
      </c>
      <c r="QQ107" s="6">
        <f>COUNTIFS(Table154157[Country],Tabela1[[#This Row],[Country]],Table154157[3000m Classification],"&gt;0")</f>
        <v>0</v>
      </c>
      <c r="QR107" s="6">
        <f>COUNTIFS(Table154[Country],Tabela1[[#This Row],[Country]],Table154[5000m Classification],"&gt;0")</f>
        <v>0</v>
      </c>
      <c r="QS107" s="6">
        <f>COUNTIFS(Table154157[Country],Tabela1[[#This Row],[Country]],Table154157[5000m Classification],"&gt;0")</f>
        <v>0</v>
      </c>
      <c r="QT107" s="6">
        <f>COUNTIFS(Table154[Country],Tabela1[[#This Row],[Country]],Table154[10000m Classification],"&gt;0")</f>
        <v>0</v>
      </c>
      <c r="QU107" s="6">
        <f>COUNTIFS(Table154[Country],Tabela1[[#This Row],[Country]],Table154[Mass Start Classification],"&gt;0")</f>
        <v>0</v>
      </c>
      <c r="QV107" s="6">
        <f>COUNTIFS(Table154157[Country],Tabela1[[#This Row],[Country]],Table154157[Mass Start Classification],"&gt;0")</f>
        <v>0</v>
      </c>
      <c r="QW107" s="6">
        <f>COUNTIFS(Table157[Country],Tabela1[[#This Row],[Country]],Table157[Men''s Pursuit Classification],"&gt;0")</f>
        <v>0</v>
      </c>
      <c r="QX107" s="6">
        <f>COUNTIFS(Table157[Country],Tabela1[[#This Row],[Country]],Table157[Women''s Pursuit Classification],"&gt;0")</f>
        <v>0</v>
      </c>
      <c r="QY107" s="4" t="s">
        <v>643</v>
      </c>
    </row>
    <row r="108" spans="1:467" x14ac:dyDescent="0.3">
      <c r="A108" s="6">
        <v>107</v>
      </c>
      <c r="B108" s="6" t="s">
        <v>680</v>
      </c>
      <c r="C108" t="e" vm="107">
        <f>IF(ISBLANK(Tabela1[[#This Row],[Image Link]]), "", _xlfn.IMAGE(Tabela1[[#This Row],[Image Link]],1,1))</f>
        <v>#VALUE!</v>
      </c>
      <c r="D108" s="6">
        <f>SUM(Tabela1[[#This Row],[Archery - Men''s Individual Recurve]:[Speed Skating - Women''s Team Pursuit]])</f>
        <v>3</v>
      </c>
      <c r="E108" s="6">
        <f>COUNTIF(Tabela1[[#This Row],[Archery - Men''s Individual Recurve]:[Speed Skating - Women''s Team Pursuit]],"&gt;0")</f>
        <v>3</v>
      </c>
      <c r="F108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08" s="6">
        <f>SUM(Tabela1[[#This Row],[Archery - Men''s Individual Recurve]:[Wrestling - Women''s Freestyle 76kg]])</f>
        <v>3</v>
      </c>
      <c r="H108" s="6">
        <f>SUM(Tabela1[[#This Row],[Alpine Skiing - Men''s Downhill]:[Speed Skating - Women''s Team Pursuit]])</f>
        <v>0</v>
      </c>
      <c r="I108" s="6">
        <f>Tabela1[[#This Row],[Summer Gold Medals]]+Tabela1[[#This Row],[Winter Gold Medals]]</f>
        <v>0</v>
      </c>
      <c r="J108" s="6">
        <f>Tabela1[[#This Row],[Summer Silver Medals]]+Tabela1[[#This Row],[Winter Silver Medals]]</f>
        <v>0</v>
      </c>
      <c r="K108" s="6">
        <f>Tabela1[[#This Row],[Summer Bronze Medals]]+Tabela1[[#This Row],[Winter Bronze Medals]]</f>
        <v>0</v>
      </c>
      <c r="L108" s="6">
        <f>SUM(Tabela1[[#This Row],[Total Gold Medals]:[Total Bronze Medals]])</f>
        <v>0</v>
      </c>
      <c r="M108" s="6"/>
      <c r="N108" s="6"/>
      <c r="O108" s="6"/>
      <c r="P108" s="6">
        <f>SUM(Tabela1[[#This Row],[Summer Gold Medals]:[Summer Bronze Medals]])</f>
        <v>0</v>
      </c>
      <c r="Q108" s="6"/>
      <c r="R108" s="6"/>
      <c r="S108" s="6"/>
      <c r="T108" s="6">
        <f>Tabela1[[#This Row],[Winter Gold Medals]]+Tabela1[[#This Row],[Winter Silver Medals]]+Tabela1[[#This Row],[Winter Bronze Medals]]</f>
        <v>0</v>
      </c>
      <c r="U108" s="7">
        <f>Tabela1[[#This Row],[Total Medals]]/Tabela1[[#This Row],[Total Quotas]]</f>
        <v>0</v>
      </c>
      <c r="V108" s="6">
        <f>COUNTIFS(Table3[Country],Tabela1[[#This Row],[Country]],Table3[Recurve Classification],"&gt;0")</f>
        <v>0</v>
      </c>
      <c r="W108" s="6">
        <f>COUNTIFS(Table33[Country],Tabela1[[#This Row],[Country]],Table33[Recurve Classification],"&gt;0")</f>
        <v>0</v>
      </c>
      <c r="X108" s="6">
        <f>COUNTIFS(Table35[Country],Tabela1[[#This Row],[Country]],Table35[Men''s Team Recurve Classification],"&gt;0")</f>
        <v>0</v>
      </c>
      <c r="Y108" s="6">
        <f>COUNTIFS(Table35[Country],Tabela1[[#This Row],[Country]],Table35[Women''s Team Recurve Classification],"&gt;0")</f>
        <v>0</v>
      </c>
      <c r="Z108" s="6">
        <f>COUNTIFS(Tabela88[Country],Tabela1[[#This Row],[Country]],Tabela88[Mixed Team Recurve Classification],"&gt;0")</f>
        <v>0</v>
      </c>
      <c r="AA108" s="6">
        <f>COUNTIFS(Table36[Country],Tabela1[[#This Row],[Country]],Table36[Classification],"&gt;0")</f>
        <v>0</v>
      </c>
      <c r="AB108" s="6">
        <f>COUNTIFS(Table37[Country],Tabela1[[#This Row],[Country]],Table37[Classification],"&gt;0")</f>
        <v>0</v>
      </c>
      <c r="AC108" s="6">
        <f>COUNTIFS(Table4[Country],Tabela1[[#This Row],[Country]],Table4[100m Classification],"&gt;0")</f>
        <v>0</v>
      </c>
      <c r="AD108" s="6">
        <f>COUNTIFS(Table5[Country],Tabela1[[#This Row],[Country]],Table5[100m Classification],"&gt;0")</f>
        <v>0</v>
      </c>
      <c r="AE108" s="6">
        <f>COUNTIFS(Table4[Country],Tabela1[[#This Row],[Country]],Table4[200m Classification],"&gt;0")</f>
        <v>0</v>
      </c>
      <c r="AF108" s="6">
        <f>COUNTIFS(Table5[Country],Tabela1[[#This Row],[Country]],Table5[200m Classification],"&gt;0")</f>
        <v>0</v>
      </c>
      <c r="AG108" s="6">
        <f>COUNTIFS(Table4[Country],Tabela1[[#This Row],[Country]],Table4[400m Classification],"&gt;0")</f>
        <v>0</v>
      </c>
      <c r="AH108" s="6">
        <f>COUNTIFS(Table5[Country],Tabela1[[#This Row],[Country]],Table5[400m Classification],"&gt;0")</f>
        <v>0</v>
      </c>
      <c r="AI108" s="6">
        <f>COUNTIFS(Table4[Country],Tabela1[[#This Row],[Country]],Table4[800m Classification],"&gt;0")</f>
        <v>1</v>
      </c>
      <c r="AJ108" s="6">
        <f>COUNTIFS(Table5[Country],Tabela1[[#This Row],[Country]],Table5[800m Classification],"&gt;0")</f>
        <v>1</v>
      </c>
      <c r="AK108" s="6">
        <f>COUNTIFS(Table4[Country],Tabela1[[#This Row],[Country]],Table4[1500m Classification],"&gt;0")</f>
        <v>0</v>
      </c>
      <c r="AL108" s="6">
        <f>COUNTIFS(Table5[Country],Tabela1[[#This Row],[Country]],Table5[1500m Classification],"&gt;0")</f>
        <v>0</v>
      </c>
      <c r="AM108" s="6">
        <f>COUNTIFS(Table4[Country],Tabela1[[#This Row],[Country]],Table4[5000m Classification],"&gt;0")</f>
        <v>0</v>
      </c>
      <c r="AN108" s="6">
        <f>COUNTIFS(Table5[Country],Tabela1[[#This Row],[Country]],Table5[5000m Classification],"&gt;0")</f>
        <v>0</v>
      </c>
      <c r="AO108" s="6">
        <f>COUNTIFS(Table4[Country],Tabela1[[#This Row],[Country]],Table4[10000m Classification],"&gt;0")</f>
        <v>0</v>
      </c>
      <c r="AP108" s="6">
        <f>COUNTIFS(Table5[Country],Tabela1[[#This Row],[Country]],Table5[10000m Classification],"&gt;0")</f>
        <v>0</v>
      </c>
      <c r="AQ108" s="6">
        <f>COUNTIFS(Table4[Country],Tabela1[[#This Row],[Country]],Table4[110m Hurdles Classification],"&gt;0")</f>
        <v>0</v>
      </c>
      <c r="AR108" s="6">
        <f>COUNTIFS(Table5[Country],Tabela1[[#This Row],[Country]],Table5[100m Hurdles Classification],"&gt;0")</f>
        <v>0</v>
      </c>
      <c r="AS108" s="6">
        <f>COUNTIFS(Table4[Country],Tabela1[[#This Row],[Country]],Table4[400m Hurdles Classification],"&gt;0")</f>
        <v>0</v>
      </c>
      <c r="AT108" s="6">
        <f>COUNTIFS(Table5[Country],Tabela1[[#This Row],[Country]],Table5[400m Hurdles Classification],"&gt;0")</f>
        <v>0</v>
      </c>
      <c r="AU108" s="6">
        <f>COUNTIFS(Table4[Country],Tabela1[[#This Row],[Country]],Table4[3000m Steeplechase Classification],"&gt;0")</f>
        <v>0</v>
      </c>
      <c r="AV108" s="6">
        <f>COUNTIFS(Table5[Country],Tabela1[[#This Row],[Country]],Table5[3000m Steeplechase Classification],"&gt;0")</f>
        <v>0</v>
      </c>
      <c r="AW108" s="6">
        <f>COUNTIFS(Table27[Country],Tabela1[[#This Row],[Country]],Table27[Men''s 4x100m Relay Classification],"&gt;0")</f>
        <v>0</v>
      </c>
      <c r="AX108" s="6">
        <f>COUNTIFS(Table27[Country],Tabela1[[#This Row],[Country]],Table27[Women''s 4x100m Relay Classification],"&gt;0")</f>
        <v>0</v>
      </c>
      <c r="AY108" s="6">
        <f>COUNTIFS(Table27[Country],Tabela1[[#This Row],[Country]],Table27[Men''s 4x400m Relay Classification],"&gt;0")</f>
        <v>0</v>
      </c>
      <c r="AZ108" s="6">
        <f>COUNTIFS(Table27[Country],Tabela1[[#This Row],[Country]],Table27[Women''s 4x400m Relay Classification],"&gt;0")</f>
        <v>0</v>
      </c>
      <c r="BA108" s="6">
        <f>COUNTIFS(Table27[Country],Tabela1[[#This Row],[Country]],Table27[Mixed 4x400m Relay Classification],"&gt;0")</f>
        <v>0</v>
      </c>
      <c r="BB108" s="6">
        <f>COUNTIFS(Table4[Country],Tabela1[[#This Row],[Country]],Table4[Marathon Classification],"&gt;0")</f>
        <v>0</v>
      </c>
      <c r="BC108" s="6">
        <f>COUNTIFS(Table5[Country],Tabela1[[#This Row],[Country]],Table5[Marathon Classification],"&gt;0")</f>
        <v>0</v>
      </c>
      <c r="BD108" s="6">
        <f>COUNTIFS(Table4[Country],Tabela1[[#This Row],[Country]],Table4[20km Race Walk Classification],"&gt;0")</f>
        <v>0</v>
      </c>
      <c r="BE108" s="6">
        <f>COUNTIFS(Table5[Country],Tabela1[[#This Row],[Country]],Table5[20km Race Walk Classification],"&gt;0")</f>
        <v>0</v>
      </c>
      <c r="BF108" s="6">
        <f>COUNTIFS(Tabela96[Country],Tabela1[[#This Row],[Country]],Tabela96[Mixed Marathon Race Walk Relay Classification],"&gt;0")</f>
        <v>0</v>
      </c>
      <c r="BG108" s="6">
        <f>COUNTIFS(Table4[Country],Tabela1[[#This Row],[Country]],Table4[Discus Throw Classification],"&gt;0")</f>
        <v>0</v>
      </c>
      <c r="BH108" s="6">
        <f>COUNTIFS(Table5[Country],Tabela1[[#This Row],[Country]],Table5[Discus Throw Classification],"&gt;0")</f>
        <v>0</v>
      </c>
      <c r="BI108" s="6">
        <f>COUNTIFS(Table4[Country],Tabela1[[#This Row],[Country]],Table4[Hammer Throw Classification],"&gt;0")</f>
        <v>0</v>
      </c>
      <c r="BJ108" s="6">
        <f>COUNTIFS(Table5[Country],Tabela1[[#This Row],[Country]],Table5[Hammer Throw Classification],"&gt;0")</f>
        <v>0</v>
      </c>
      <c r="BK108" s="6">
        <f>COUNTIFS(Table4[Country],Tabela1[[#This Row],[Country]],Table4[High Jump Classification],"&gt;0")</f>
        <v>0</v>
      </c>
      <c r="BL108" s="6">
        <f>COUNTIFS(Table5[Country],Tabela1[[#This Row],[Country]],Table5[High Jump Classification],"&gt;0")</f>
        <v>0</v>
      </c>
      <c r="BM108" s="6">
        <f>COUNTIFS(Table4[Country],Tabela1[[#This Row],[Country]],Table4[Javelin Throw Classification],"&gt;0")</f>
        <v>0</v>
      </c>
      <c r="BN108" s="6">
        <f>COUNTIFS(Table5[Country],Tabela1[[#This Row],[Country]],Table5[Javelin Throw Classification],"&gt;0")</f>
        <v>0</v>
      </c>
      <c r="BO108" s="6">
        <f>COUNTIFS(Table4[Country],Tabela1[[#This Row],[Country]],Table4[Long Jump Classification],"&gt;0")</f>
        <v>0</v>
      </c>
      <c r="BP108" s="6">
        <f>COUNTIFS(Table5[Country],Tabela1[[#This Row],[Country]],Table5[Long Jump Classification],"&gt;0")</f>
        <v>0</v>
      </c>
      <c r="BQ108" s="6">
        <f>COUNTIFS(Table4[Country],Tabela1[[#This Row],[Country]],Table4[Pole Vault Classification],"&gt;0")</f>
        <v>0</v>
      </c>
      <c r="BR108" s="6">
        <f>COUNTIFS(Table5[Country],Tabela1[[#This Row],[Country]],Table5[Pole Vault Classification],"&gt;0")</f>
        <v>0</v>
      </c>
      <c r="BS108" s="6">
        <f>COUNTIFS(Table4[Country],Tabela1[[#This Row],[Country]],Table4[Shot Put Classification],"&gt;0")</f>
        <v>0</v>
      </c>
      <c r="BT108" s="6">
        <f>COUNTIFS(Table5[Country],Tabela1[[#This Row],[Country]],Table5[Shot Put Classification],"&gt;0")</f>
        <v>0</v>
      </c>
      <c r="BU108" s="6">
        <f>COUNTIFS(Table4[Country],Tabela1[[#This Row],[Country]],Table4[Triple Jump Classification],"&gt;0")</f>
        <v>0</v>
      </c>
      <c r="BV108" s="6">
        <f>COUNTIFS(Table5[Country],Tabela1[[#This Row],[Country]],Table5[Triple Jump Classification],"&gt;0")</f>
        <v>0</v>
      </c>
      <c r="BW108" s="6">
        <f>COUNTIFS(Table4[Country],Tabela1[[#This Row],[Country]],Table4[Decathlon Classification],"&gt;0")</f>
        <v>0</v>
      </c>
      <c r="BX108" s="6">
        <f>COUNTIFS(Table5[Country],Tabela1[[#This Row],[Country]],Table5[Heptathlon Classification],"&gt;0")</f>
        <v>0</v>
      </c>
      <c r="BY108" s="6">
        <f>COUNTIFS(Table61[Country],Tabela1[[#This Row],[Country]],Table61[Classification],"&gt;0")</f>
        <v>0</v>
      </c>
      <c r="BZ108" s="6">
        <f>COUNTIFS(Table38[Country],Tabela1[[#This Row],[Country]],Table38[Classification],"&gt;0")</f>
        <v>0</v>
      </c>
      <c r="CA108" s="6">
        <f>COUNTIFS(Table39[Country],Tabela1[[#This Row],[Country]],Table39[Men''s Classification],"&gt;0")</f>
        <v>0</v>
      </c>
      <c r="CB108" s="6">
        <f>COUNTIFS(Table39[Country],Tabela1[[#This Row],[Country]],Table39[Women''s Classification],"&gt;0")</f>
        <v>0</v>
      </c>
      <c r="CC108" s="6">
        <f>COUNTIFS(Table39[Country],Tabela1[[#This Row],[Country]],Table39[Mixed Classification],"&gt;0")</f>
        <v>0</v>
      </c>
      <c r="CD108" s="6">
        <f>COUNTIFS(Table89[Country],Tabela1[[#This Row],[Country]],Table89[Men''s Classification],"&gt;0")</f>
        <v>0</v>
      </c>
      <c r="CE108" s="6">
        <f>COUNTIFS(Table89[Country],Tabela1[[#This Row],[Country]],Table89[Women''s Classification],"&gt;0")</f>
        <v>0</v>
      </c>
      <c r="CF108" s="6">
        <f>COUNTIFS(Table90[Country],Tabela1[[#This Row],[Country]],Table90[Men''s Classification],"&gt;0")</f>
        <v>0</v>
      </c>
      <c r="CG108" s="6">
        <f>COUNTIFS(Table90[Country],Tabela1[[#This Row],[Country]],Table90[Women''s Classification],"&gt;0")</f>
        <v>0</v>
      </c>
      <c r="CH108" s="6">
        <f>COUNTIFS(Table60[Country],Tabela1[[#This Row],[Country]],Table60[Men''s Classification],"&gt;0")</f>
        <v>0</v>
      </c>
      <c r="CI108" s="6">
        <f>COUNTIFS(Table60[Country],Tabela1[[#This Row],[Country]],Table60[Women''s Classification],"&gt;0")</f>
        <v>0</v>
      </c>
      <c r="CJ108" s="6">
        <f>COUNTIFS(Table6[Country],Tabela1[[#This Row],[Country]],Table6[51kg Classification],"&gt;0")</f>
        <v>0</v>
      </c>
      <c r="CK108" s="6">
        <f>COUNTIFS(Table6[Country],Tabela1[[#This Row],[Country]],Table6[57kg Classification],"&gt;0")</f>
        <v>0</v>
      </c>
      <c r="CL108" s="6">
        <f>COUNTIFS(Table6[Country],Tabela1[[#This Row],[Country]],Table6[63.5kg Classification],"&gt;0")</f>
        <v>0</v>
      </c>
      <c r="CM108" s="6">
        <f>COUNTIFS(Table6[Country],Tabela1[[#This Row],[Country]],Table6[71kg Classification],"&gt;0")</f>
        <v>0</v>
      </c>
      <c r="CN108" s="6">
        <f>COUNTIFS(Table6[Country],Tabela1[[#This Row],[Country]],Table6[80kg Classification],"&gt;0")</f>
        <v>0</v>
      </c>
      <c r="CO108" s="6">
        <f>COUNTIFS(Table6[Country],Tabela1[[#This Row],[Country]],Table6[92kg Classification],"&gt;0")</f>
        <v>0</v>
      </c>
      <c r="CP108" s="6">
        <f>COUNTIFS(Table6[Country],Tabela1[[#This Row],[Country]],Table6[Plus 92kg Classification],"&gt;0")</f>
        <v>0</v>
      </c>
      <c r="CQ108" s="6">
        <f>COUNTIFS(Table7[Country],Tabela1[[#This Row],[Country]],Table7[50kg Classification],"&gt;0")</f>
        <v>0</v>
      </c>
      <c r="CR108" s="6">
        <f>COUNTIFS(Table7[Country],Tabela1[[#This Row],[Country]],Table7[54kg Classification],"&gt;0")</f>
        <v>0</v>
      </c>
      <c r="CS108" s="6">
        <f>COUNTIFS(Table7[Country],Tabela1[[#This Row],[Country]],Table7[57kg Classification],"&gt;0")</f>
        <v>0</v>
      </c>
      <c r="CT108" s="6">
        <f>COUNTIFS(Table7[Country],Tabela1[[#This Row],[Country]],Table7[60kg Classification],"&gt;0")</f>
        <v>0</v>
      </c>
      <c r="CU108" s="6">
        <f>COUNTIFS(Table7[Country],Tabela1[[#This Row],[Country]],Table7[66kg Classification],"&gt;0")</f>
        <v>0</v>
      </c>
      <c r="CV108" s="6">
        <f>COUNTIFS(Table7[Country],Tabela1[[#This Row],[Country]],Table7[75kg Classification],"&gt;0")</f>
        <v>0</v>
      </c>
      <c r="CW108" s="6">
        <f>COUNTIFS(Tabela94[Country],Tabela1[[#This Row],[Country]],Tabela94[Classification],"&gt;0")</f>
        <v>0</v>
      </c>
      <c r="CX108" s="6">
        <f>COUNTIFS(Tabela9499[Country],Tabela1[[#This Row],[Country]],Tabela9499[Classification],"&gt;0")</f>
        <v>0</v>
      </c>
      <c r="CY108" s="6">
        <f>COUNTIFS(Tabela107[Country],Tabela1[[#This Row],[Country]],Tabela107[C1 Slalom Classification],"&gt;0")</f>
        <v>0</v>
      </c>
      <c r="CZ108" s="6">
        <f>COUNTIFS(Tabela107122[Country],Tabela1[[#This Row],[Country]],Tabela107122[C1 Slalom Classification],"&gt;0")</f>
        <v>0</v>
      </c>
      <c r="DA108" s="6">
        <f>COUNTIFS(Tabela107[Country],Tabela1[[#This Row],[Country]],Tabela107[K1 Slalom Classification],"&gt;0")</f>
        <v>0</v>
      </c>
      <c r="DB108" s="6">
        <f>COUNTIFS(Tabela107122[Country],Tabela1[[#This Row],[Country]],Tabela107122[K1 Slalom Classification],"&gt;0")</f>
        <v>0</v>
      </c>
      <c r="DC108" s="6">
        <f>COUNTIFS(Tabela107[Country],Tabela1[[#This Row],[Country]],Tabela107[Kayak Cross Slalom Classification],"&gt;0")</f>
        <v>0</v>
      </c>
      <c r="DD108" s="6">
        <f>COUNTIFS(Tabela107122[Country],Tabela1[[#This Row],[Country]],Tabela107122[Kayak Cross Slalom Classification],"&gt;0")</f>
        <v>0</v>
      </c>
      <c r="DE108" s="6">
        <f>COUNTIFS(Table8[Country],Tabela1[[#This Row],[Country]],Table8[C1 200m Classification],"&gt;0")</f>
        <v>0</v>
      </c>
      <c r="DF108" s="6">
        <f>COUNTIFS(Table40[Country],Tabela1[[#This Row],[Country]],Table40[C1 1000m Classification],"&gt;0")</f>
        <v>0</v>
      </c>
      <c r="DG108" s="6">
        <f>COUNTIFS(Table68[Country],Tabela1[[#This Row],[Country]],Table68[Men''s C2 500m Classification],"&gt;0")</f>
        <v>0</v>
      </c>
      <c r="DH108" s="6">
        <f>COUNTIFS(Table68[Country],Tabela1[[#This Row],[Country]],Table68[Women''s C2 500m Classification],"&gt;0")</f>
        <v>0</v>
      </c>
      <c r="DI108" s="6">
        <f>COUNTIFS(Table8[Country],Tabela1[[#This Row],[Country]],Table8[K1 500m Classification],"&gt;0")</f>
        <v>0</v>
      </c>
      <c r="DJ108" s="6">
        <f>COUNTIFS(Table40[Country],Tabela1[[#This Row],[Country]],Table40[K1 1000m Classification],"&gt;0")</f>
        <v>0</v>
      </c>
      <c r="DK108" s="6">
        <f>COUNTIFS(Table68[Country],Tabela1[[#This Row],[Country]],Table68[Men''s K2 500m Classification],"&gt;0")</f>
        <v>0</v>
      </c>
      <c r="DL108" s="6">
        <f>COUNTIFS(Table68[Country],Tabela1[[#This Row],[Country]],Table68[Women''s K2 500m Classification],"&gt;0")</f>
        <v>0</v>
      </c>
      <c r="DM108" s="6">
        <f>COUNTIFS(Table83[Country],Tabela1[[#This Row],[Country]],Table83[Men''s K4 500m Classification],"&gt;0")</f>
        <v>0</v>
      </c>
      <c r="DN108" s="6">
        <f>COUNTIFS(Table83[Country],Tabela1[[#This Row],[Country]],Table83[Women''s K4 500m Classification],"&gt;0")</f>
        <v>0</v>
      </c>
      <c r="DO108" s="6">
        <f>COUNTIFS(Tabela126[Country],Tabela1[[#This Row],[Country]],Tabela126[Classification],"&gt;0")</f>
        <v>0</v>
      </c>
      <c r="DP108" s="6">
        <f>COUNTIFS(Tabela126130[Country],Tabela1[[#This Row],[Country]],Tabela126130[Classification],"&gt;0")</f>
        <v>0</v>
      </c>
      <c r="DQ108" s="6">
        <f>COUNTIFS(Table70[Country],Tabela1[[#This Row],[Country]],Table70[Classification],"&gt;0")</f>
        <v>0</v>
      </c>
      <c r="DR108" s="6">
        <f>COUNTIFS(Table80[Country],Tabela1[[#This Row],[Country]],Table80[Classification],"&gt;0")</f>
        <v>0</v>
      </c>
      <c r="DS108" s="6">
        <f>COUNTIFS(Table66[Country],Tabela1[[#This Row],[Country]],Table66[Classification],"&gt;0")</f>
        <v>0</v>
      </c>
      <c r="DT108" s="6">
        <f>COUNTIFS(Table67[Country],Tabela1[[#This Row],[Country]],Table67[Classification],"&gt;0")</f>
        <v>0</v>
      </c>
      <c r="DU108" s="6">
        <f>COUNTIFS(Table69[Country],Tabela1[[#This Row],[Country]],Table69[Keirin Classification],"&gt;0")</f>
        <v>0</v>
      </c>
      <c r="DV108" s="6">
        <f>COUNTIFS(Table41[Country],Tabela1[[#This Row],[Country]],Table41[Keirin Classification],"&gt;0")</f>
        <v>0</v>
      </c>
      <c r="DW108" s="6">
        <f>COUNTIFS(Table84[Country],Tabela1[[#This Row],[Country]],Table84[Men''s Madison Classification],"&gt;0")</f>
        <v>0</v>
      </c>
      <c r="DX108" s="6">
        <f>COUNTIFS(Table84[Country],Tabela1[[#This Row],[Country]],Table84[Women''s Madison Classification],"&gt;0")</f>
        <v>0</v>
      </c>
      <c r="DY108" s="6">
        <f>COUNTIFS(Table69[Country],Tabela1[[#This Row],[Country]],Table69[Omnium Classification],"&gt;0")</f>
        <v>0</v>
      </c>
      <c r="DZ108" s="6">
        <f>COUNTIFS(Table41[Country],Tabela1[[#This Row],[Country]],Table41[Omnium Classification],"&gt;0")</f>
        <v>0</v>
      </c>
      <c r="EA108" s="6">
        <f>COUNTIFS(Table9[Country],Tabela1[[#This Row],[Country]],Table9[Road Race Classification],"&gt;0")</f>
        <v>0</v>
      </c>
      <c r="EB108" s="6">
        <f>COUNTIFS(Table14[Country],Tabela1[[#This Row],[Country]],Table14[Road Race Classification],"&gt;0")</f>
        <v>0</v>
      </c>
      <c r="EC108" s="6">
        <f>COUNTIFS(Table69[Country],Tabela1[[#This Row],[Country]],Table69[Sprint Classification],"&gt;0")</f>
        <v>0</v>
      </c>
      <c r="ED108" s="6">
        <f>COUNTIFS(Table41[Country],Tabela1[[#This Row],[Country]],Table41[Sprint Classification],"&gt;0")</f>
        <v>0</v>
      </c>
      <c r="EE108" s="6">
        <f>COUNTIFS(Table85[Country],Tabela1[[#This Row],[Country]],Table85[Men''s Sprint Classification],"&gt;0")</f>
        <v>0</v>
      </c>
      <c r="EF108" s="6">
        <f>COUNTIFS(Table85[Country],Tabela1[[#This Row],[Country]],Table85[Women''s Sprint Classification],"&gt;0")</f>
        <v>0</v>
      </c>
      <c r="EG108" s="6">
        <f>COUNTIFS(Table85[Country],Tabela1[[#This Row],[Country]],Table85[Men''s Pursuit Classification],"&gt;0")</f>
        <v>0</v>
      </c>
      <c r="EH108" s="6">
        <f>COUNTIFS(Table85[Country],Tabela1[[#This Row],[Country]],Table85[Women''s Pursuit Classification],"&gt;0")</f>
        <v>0</v>
      </c>
      <c r="EI108" s="6">
        <f>COUNTIFS(Table9[Country],Tabela1[[#This Row],[Country]],Table9[Time-Trial Classification],"&gt;0")</f>
        <v>0</v>
      </c>
      <c r="EJ108" s="6">
        <f>COUNTIFS(Table14[Country],Tabela1[[#This Row],[Country]],Table14[Time-Trial Classification],"&gt;0")</f>
        <v>0</v>
      </c>
      <c r="EK108" s="6">
        <f>COUNTIFS(Table42[Country],Tabela1[[#This Row],[Country]],Table42[Springboard Classification],"&gt;0")</f>
        <v>0</v>
      </c>
      <c r="EL108" s="6">
        <f>COUNTIFS(Table43[Country],Tabela1[[#This Row],[Country]],Table43[Springboard Classification],"&gt;0")</f>
        <v>0</v>
      </c>
      <c r="EM108" s="6">
        <f>COUNTIFS(Table42[Country],Tabela1[[#This Row],[Country]],Table42[Platform Classification],"&gt;0")</f>
        <v>0</v>
      </c>
      <c r="EN108" s="6">
        <f>COUNTIFS(Table43[Country],Tabela1[[#This Row],[Country]],Table43[Platform Classification],"&gt;0")</f>
        <v>0</v>
      </c>
      <c r="EO108" s="6">
        <f>COUNTIFS(Table86[Country],Tabela1[[#This Row],[Country]],Table86[Men''s Synchronized Springboard Classification],"&gt;0")</f>
        <v>0</v>
      </c>
      <c r="EP108" s="6">
        <f>COUNTIFS(Table86[Country],Tabela1[[#This Row],[Country]],Table86[Women''s Synchronized Springboard Classification],"&gt;0")</f>
        <v>0</v>
      </c>
      <c r="EQ108" s="6">
        <f>COUNTIFS(Table86[Country],Tabela1[[#This Row],[Country]],Table86[Men''s Synchronized Platform Classification],"&gt;0")</f>
        <v>0</v>
      </c>
      <c r="ER108" s="6">
        <f>COUNTIFS(Table86[Country],Tabela1[[#This Row],[Country]],Table86[Women''s Synchronized Platform Classification],"&gt;0")</f>
        <v>0</v>
      </c>
      <c r="ES108" s="6">
        <f>COUNTIFS(Table44[Country],Tabela1[[#This Row],[Country]],Table44[Dressage Classification],"&gt;0")</f>
        <v>0</v>
      </c>
      <c r="ET108" s="6">
        <f>COUNTIFS(Table45[Country],Tabela1[[#This Row],[Country]],Table45[Dressage Classification],"&gt;0")</f>
        <v>0</v>
      </c>
      <c r="EU108" s="6">
        <f>COUNTIFS(Table44[Country],Tabela1[[#This Row],[Country]],Table44[Eventing Classification],"&gt;0")</f>
        <v>0</v>
      </c>
      <c r="EV108" s="6">
        <f>COUNTIFS(Table45[Country],Tabela1[[#This Row],[Country]],Table45[Eventing Classification],"&gt;0")</f>
        <v>0</v>
      </c>
      <c r="EW108" s="6">
        <f>COUNTIFS(Table44[Country],Tabela1[[#This Row],[Country]],Table44[Jumping Classification],"&gt;0")</f>
        <v>0</v>
      </c>
      <c r="EX108" s="6">
        <f>COUNTIFS(Table45[Country],Tabela1[[#This Row],[Country]],Table45[Jumping Classification],"&gt;0")</f>
        <v>0</v>
      </c>
      <c r="EY108" s="6">
        <f>COUNTIFS(Table10[Country],Tabela1[[#This Row],[Country]],Table10[Épée Classification],"&gt;0")</f>
        <v>0</v>
      </c>
      <c r="EZ108" s="6">
        <f>COUNTIFS(Table11[Country],Tabela1[[#This Row],[Country]],Table11[Épée Classification],"&gt;0")</f>
        <v>0</v>
      </c>
      <c r="FA108" s="6">
        <f>COUNTIFS(Table46[Country],Tabela1[[#This Row],[Country]],Table46[Men''s Épée Classification],"&gt;0")</f>
        <v>0</v>
      </c>
      <c r="FB108" s="6">
        <f>COUNTIFS(Table46[Country],Tabela1[[#This Row],[Country]],Table46[Women''s Épée Classification],"&gt;0")</f>
        <v>0</v>
      </c>
      <c r="FC108" s="6">
        <f>COUNTIFS(Table10[Country],Tabela1[[#This Row],[Country]],Table10[Foil Classification],"&gt;0")</f>
        <v>0</v>
      </c>
      <c r="FD108" s="6">
        <f>COUNTIFS(Table11[Country],Tabela1[[#This Row],[Country]],Table11[Foil Classification],"&gt;0")</f>
        <v>0</v>
      </c>
      <c r="FE108" s="6">
        <f>COUNTIFS(Table46[Country],Tabela1[[#This Row],[Country]],Table46[Men''s Foil Classification],"&gt;0")</f>
        <v>0</v>
      </c>
      <c r="FF108" s="6">
        <f>COUNTIFS(Table46[Country],Tabela1[[#This Row],[Country]],Table46[Women''s Foil Classification],"&gt;0")</f>
        <v>0</v>
      </c>
      <c r="FG108" s="6">
        <f>COUNTIFS(Table10[Country],Tabela1[[#This Row],[Country]],Table10[Sabre Classification],"&gt;0")</f>
        <v>0</v>
      </c>
      <c r="FH108" s="6">
        <f>COUNTIFS(Table11[Country],Tabela1[[#This Row],[Country]],Table11[Sabre Classification],"&gt;0")</f>
        <v>0</v>
      </c>
      <c r="FI108" s="6">
        <f>COUNTIFS(Table46[Country],Tabela1[[#This Row],[Country]],Table46[Men''s Sabre Classification],"&gt;0")</f>
        <v>0</v>
      </c>
      <c r="FJ108" s="6">
        <f>COUNTIFS(Table46[Country],Tabela1[[#This Row],[Country]],Table46[Women''s Sabre Classification],"&gt;0")</f>
        <v>0</v>
      </c>
      <c r="FK108" s="6">
        <f>COUNTIFS(Table91[Country],Tabela1[[#This Row],[Country]],Table91[Men''s Classification],"&gt;0")</f>
        <v>0</v>
      </c>
      <c r="FL108" s="6">
        <f>COUNTIFS(Table91[Country],Tabela1[[#This Row],[Country]],Table91[Women''s Classification],"&gt;0")</f>
        <v>0</v>
      </c>
      <c r="FM108" s="6">
        <f>COUNTIFS(Table9194[Country],Tabela1[[#This Row],[Country]],Table9194[Men''s Classification],"&gt;0")</f>
        <v>0</v>
      </c>
      <c r="FN108" s="6">
        <f>COUNTIFS(Table9194[Country],Tabela1[[#This Row],[Country]],Table9194[Women''s Classification],"&gt;0")</f>
        <v>0</v>
      </c>
      <c r="FO108" s="6">
        <f>COUNTIFS(Table71[Country],Tabela1[[#This Row],[Country]],Table71[Classification],"&gt;0")</f>
        <v>0</v>
      </c>
      <c r="FP108" s="6">
        <f>COUNTIFS(Table62[Country],Tabela1[[#This Row],[Country]],Table62[Classification],"&gt;0")</f>
        <v>0</v>
      </c>
      <c r="FQ108" s="6">
        <f>COUNTIFS(Table47[Country],Tabela1[[#This Row],[Country]],Table47[All-Around Classification],"&gt;0")</f>
        <v>0</v>
      </c>
      <c r="FR108" s="6">
        <f>COUNTIFS(Table48[Country],Tabela1[[#This Row],[Country]],Table48[All-Around Classification],"&gt;0")</f>
        <v>0</v>
      </c>
      <c r="FS108" s="6">
        <f>COUNTIFS(Table81[Country],Tabela1[[#This Row],[Country]],Table81[Men''s All-Around Classification],"&gt;0")</f>
        <v>0</v>
      </c>
      <c r="FT108" s="6">
        <f>COUNTIFS(Table81[Country],Tabela1[[#This Row],[Country]],Table81[Women''s All-Around Classification],"&gt;0")</f>
        <v>0</v>
      </c>
      <c r="FU108" s="6">
        <f>COUNTIFS(Table48[Country],Tabela1[[#This Row],[Country]],Table48[Balance Beam Classification],"&gt;0")</f>
        <v>0</v>
      </c>
      <c r="FV108" s="6">
        <f>COUNTIFS(Table47[Country],Tabela1[[#This Row],[Country]],Table47[Floor Exercise Classification],"&gt;0")</f>
        <v>0</v>
      </c>
      <c r="FW108" s="6">
        <f>COUNTIFS(Table48[Country],Tabela1[[#This Row],[Country]],Table48[Floor Exercise Classification],"&gt;0")</f>
        <v>0</v>
      </c>
      <c r="FX108" s="6">
        <f>COUNTIFS(Table47[Country],Tabela1[[#This Row],[Country]],Table47[Horizontal Bar Classification],"&gt;0")</f>
        <v>0</v>
      </c>
      <c r="FY108" s="6">
        <f>COUNTIFS(Table47[Country],Tabela1[[#This Row],[Country]],Table47[Parallel Bars Classification],"&gt;0")</f>
        <v>0</v>
      </c>
      <c r="FZ108" s="6">
        <f>COUNTIFS(Table47[Country],Tabela1[[#This Row],[Country]],Table47[Pommel Horse Classification],"&gt;0")</f>
        <v>0</v>
      </c>
      <c r="GA108" s="6">
        <f>COUNTIFS(Table47[Country],Tabela1[[#This Row],[Country]],Table47[Rings Classification],"&gt;0")</f>
        <v>0</v>
      </c>
      <c r="GB108" s="6">
        <f>COUNTIFS(Tabela132[Country],Tabela1[[#This Row],[Country]],Tabela132[Classification],"&gt;0")</f>
        <v>0</v>
      </c>
      <c r="GC108" s="6">
        <f>COUNTIFS(Tabela139[Country],Tabela1[[#This Row],[Country]],Tabela139[Classification],"&gt;0")</f>
        <v>0</v>
      </c>
      <c r="GD108" s="6">
        <f>COUNTIFS(Table48[Country],Tabela1[[#This Row],[Country]],Table48[Uneven Bars Classification],"&gt;0")</f>
        <v>0</v>
      </c>
      <c r="GE108" s="6">
        <f>COUNTIFS(Table47[Country],Tabela1[[#This Row],[Country]],Table47[Vault Classification],"&gt;0")</f>
        <v>0</v>
      </c>
      <c r="GF108" s="6">
        <f>COUNTIFS(Table48[Country],Tabela1[[#This Row],[Country]],Table48[Vault Classification],"&gt;0")</f>
        <v>0</v>
      </c>
      <c r="GG108" s="6">
        <f>COUNTIFS(Table919496[Country],Tabela1[[#This Row],[Country]],Table919496[Men''s Classification],"&gt;0")</f>
        <v>0</v>
      </c>
      <c r="GH108" s="6">
        <f>COUNTIFS(Table919496[Country],Tabela1[[#This Row],[Country]],Table919496[Women''s Classification],"&gt;0")</f>
        <v>0</v>
      </c>
      <c r="GI108" s="6">
        <f>COUNTIFS(Table12[Country],Tabela1[[#This Row],[Country]],Table12[60kg Classification],"&gt;0")</f>
        <v>0</v>
      </c>
      <c r="GJ108" s="6">
        <f>COUNTIFS(Table12[Country],Tabela1[[#This Row],[Country]],Table12[66kg Classification],"&gt;0")</f>
        <v>0</v>
      </c>
      <c r="GK108" s="6">
        <f>COUNTIFS(Table12[Country],Tabela1[[#This Row],[Country]],Table12[73kg Classification],"&gt;0")</f>
        <v>0</v>
      </c>
      <c r="GL108" s="6">
        <f>COUNTIFS(Table12[Country],Tabela1[[#This Row],[Country]],Table12[81kg Classification],"&gt;0")</f>
        <v>0</v>
      </c>
      <c r="GM108" s="6">
        <f>COUNTIFS(Table12[Country],Tabela1[[#This Row],[Country]],Table12[90kg Classification],"&gt;0")</f>
        <v>0</v>
      </c>
      <c r="GN108" s="6">
        <f>COUNTIFS(Table12[Country],Tabela1[[#This Row],[Country]],Table12[100kg Classification],"&gt;0")</f>
        <v>0</v>
      </c>
      <c r="GO108" s="6">
        <f>COUNTIFS(Table12[Country],Tabela1[[#This Row],[Country]],Table12[Plus 100kg Classification],"&gt;0")</f>
        <v>0</v>
      </c>
      <c r="GP108" s="6">
        <f>COUNTIFS(Table13[Country],Tabela1[[#This Row],[Country]],Table13[48kg Classification],"&gt;0")</f>
        <v>0</v>
      </c>
      <c r="GQ108" s="6">
        <f>COUNTIFS(Table13[Country],Tabela1[[#This Row],[Country]],Table13[52kg Classification],"&gt;0")</f>
        <v>0</v>
      </c>
      <c r="GR108" s="6">
        <f>COUNTIFS(Table13[Country],Tabela1[[#This Row],[Country]],Table13[57kg Classification],"&gt;0")</f>
        <v>0</v>
      </c>
      <c r="GS108" s="6">
        <f>COUNTIFS(Table13[Country],Tabela1[[#This Row],[Country]],Table13[63kg Classification],"&gt;0")</f>
        <v>0</v>
      </c>
      <c r="GT108" s="6">
        <f>COUNTIFS(Table13[Country],Tabela1[[#This Row],[Country]],Table13[70kg Classification],"&gt;0")</f>
        <v>0</v>
      </c>
      <c r="GU108" s="6">
        <f>COUNTIFS(Table13[Country],Tabela1[[#This Row],[Country]],Table13[78kg Classification],"&gt;0")</f>
        <v>0</v>
      </c>
      <c r="GV108" s="6">
        <f>COUNTIFS(Table13[Country],Tabela1[[#This Row],[Country]],Table13[Plus 78kg Classification],"&gt;0")</f>
        <v>0</v>
      </c>
      <c r="GW108" s="6">
        <f>COUNTIFS(Table82[Country],Tabela1[[#This Row],[Country]],Table82[Mixed Classification],"&gt;0")</f>
        <v>0</v>
      </c>
      <c r="GX108" s="6">
        <f>COUNTIFS(Table51[Country],Tabela1[[#This Row],[Country]],Table51[Classification],"&gt;0")</f>
        <v>0</v>
      </c>
      <c r="GY108" s="6">
        <f>COUNTIFS(Table52[Country],Tabela1[[#This Row],[Country]],Table52[Classification],"&gt;0")</f>
        <v>0</v>
      </c>
      <c r="GZ108" s="6">
        <f>COUNTIFS(Table32[Country],Tabela1[[#This Row],[Country]],Table32[All-Around Classification],"&gt;0")</f>
        <v>0</v>
      </c>
      <c r="HA108" s="6">
        <f>COUNTIFS(Table49[Country],Tabela1[[#This Row],[Country]],Table49[All-Around Classification],"&gt;0")</f>
        <v>0</v>
      </c>
      <c r="HB108" s="6">
        <f>COUNTIFS(Table26[Country],Tabela1[[#This Row],[Country]],Table26[Single Sculls Classification],"&gt;0")</f>
        <v>0</v>
      </c>
      <c r="HC108" s="6">
        <f>COUNTIFS(Table63[Country],Tabela1[[#This Row],[Country]],Table63[Single Sculls Classification],"&gt;0")</f>
        <v>0</v>
      </c>
      <c r="HD108" s="6">
        <f>COUNTIFS(Table16[Country],Tabela1[[#This Row],[Country]],Table16[Men''s Double Sculls Classification],"&gt;0")</f>
        <v>0</v>
      </c>
      <c r="HE108" s="6">
        <f>COUNTIFS(Table16[Country],Tabela1[[#This Row],[Country]],Table16[Women''s Double Sculls Classification],"&gt;0")</f>
        <v>0</v>
      </c>
      <c r="HF108" s="6">
        <f>COUNTIFS(Table72[Country],Tabela1[[#This Row],[Country]],Table72[Men''s Quadruple Sculls Classification],"&gt;0")</f>
        <v>0</v>
      </c>
      <c r="HG108" s="6">
        <f>COUNTIFS(Table72[Country],Tabela1[[#This Row],[Country]],Table72[Women''s Quadruple Sculls Classification],"&gt;0")</f>
        <v>0</v>
      </c>
      <c r="HH108" s="6">
        <f>COUNTIFS(Table16[Country],Tabela1[[#This Row],[Country]],Table16[Men''s Coxless Pairs Classification],"&gt;0")</f>
        <v>0</v>
      </c>
      <c r="HI108" s="6">
        <f>COUNTIFS(Table16[Country],Tabela1[[#This Row],[Country]],Table16[Women''s Coxless Pairs Classification],"&gt;0")</f>
        <v>0</v>
      </c>
      <c r="HJ108" s="6">
        <f>COUNTIFS(Table72[Country],Tabela1[[#This Row],[Country]],Table72[Men''s Coxless Fours Classification],"&gt;0")</f>
        <v>0</v>
      </c>
      <c r="HK108" s="6">
        <f>COUNTIFS(Table72[Country],Tabela1[[#This Row],[Country]],Table72[Women''s Coxless Fours Classification],"&gt;0")</f>
        <v>0</v>
      </c>
      <c r="HL108" s="6">
        <f>COUNTIFS(Table72[Country],Tabela1[[#This Row],[Country]],Table72[Men''s Eights Classification],"&gt;0")</f>
        <v>0</v>
      </c>
      <c r="HM108" s="6">
        <f>COUNTIFS(Table72[Country],Tabela1[[#This Row],[Country]],Table72[Women''s Eights Classification],"&gt;0")</f>
        <v>0</v>
      </c>
      <c r="HN108" s="6">
        <f>COUNTIFS(Table16[Country],Tabela1[[#This Row],[Country]],Table16[Men''s Lwt. Double Sculls Classification],"&gt;0")</f>
        <v>0</v>
      </c>
      <c r="HO108" s="6">
        <f>COUNTIFS(Table16[Country],Tabela1[[#This Row],[Country]],Table16[Women''s Lwt. Double Sculls Classification],"&gt;0")</f>
        <v>0</v>
      </c>
      <c r="HP108" s="6">
        <f>COUNTIFS(Table91949698[Country],Tabela1[[#This Row],[Country]],Table91949698[Men''s Classification],"&gt;0")</f>
        <v>0</v>
      </c>
      <c r="HQ108" s="6">
        <f>COUNTIFS(Table91949698[Country],Tabela1[[#This Row],[Country]],Table91949698[Women''s Classification],"&gt;0")</f>
        <v>0</v>
      </c>
      <c r="HR108" s="6">
        <f>COUNTIFS(Table25[Country],Tabela1[[#This Row],[Country]],Table25[Mixed 470 Classification],"&gt;0")</f>
        <v>0</v>
      </c>
      <c r="HS108" s="6">
        <f>COUNTIFS(Table25[Country],Tabela1[[#This Row],[Country]],Table25[Men''s 49er Classification],"&gt;0")</f>
        <v>0</v>
      </c>
      <c r="HT108" s="6">
        <f>COUNTIFS(Table25[Country],Tabela1[[#This Row],[Country]],Table25[Women''s 49er FX Classification],"&gt;0")</f>
        <v>0</v>
      </c>
      <c r="HU108" s="6">
        <f>COUNTIFS(Table17[Country],Tabela1[[#This Row],[Country]],Table17[Formula Kite Classification],"&gt;0")</f>
        <v>0</v>
      </c>
      <c r="HV108" s="6">
        <f>COUNTIFS(Table18[Country],Tabela1[[#This Row],[Country]],Table18[Formula Kite Classification],"&gt;0")</f>
        <v>0</v>
      </c>
      <c r="HW108" s="6">
        <f>COUNTIFS(Table17[Country],Tabela1[[#This Row],[Country]],Table17[ILCA 7 Classification],"&gt;0")</f>
        <v>0</v>
      </c>
      <c r="HX108" s="6">
        <f>COUNTIFS(Table18[Country],Tabela1[[#This Row],[Country]],Table18[ILCA 6 Classification],"&gt;0")</f>
        <v>0</v>
      </c>
      <c r="HY108" s="6">
        <f>COUNTIFS(Table17[Country],Tabela1[[#This Row],[Country]],Table17[IQFoil Classification],"&gt;0")</f>
        <v>0</v>
      </c>
      <c r="HZ108" s="6">
        <f>COUNTIFS(Table18[Country],Tabela1[[#This Row],[Country]],Table18[IQFoil Classification],"&gt;0")</f>
        <v>0</v>
      </c>
      <c r="IA108" s="6">
        <f>COUNTIFS(Table25[Country],Tabela1[[#This Row],[Country]],Table25[Mixed Nacra 17 Classification],"&gt;0")</f>
        <v>0</v>
      </c>
      <c r="IB108" s="6">
        <f>COUNTIFS(Table53[Country],Tabela1[[#This Row],[Country]],Table53[10m Air Pistol Classification],"&gt;0")</f>
        <v>0</v>
      </c>
      <c r="IC108" s="6">
        <f>COUNTIFS(Table19[Country],Tabela1[[#This Row],[Country]],Table19[10m Air Pistol Classification],"&gt;0")</f>
        <v>0</v>
      </c>
      <c r="ID108" s="6">
        <f>COUNTIFS(Table54[Country],Tabela1[[#This Row],[Country]],Table54[Mixed 10m Air Pistol Team Classification],"&gt;0")</f>
        <v>0</v>
      </c>
      <c r="IE108" s="6">
        <f>COUNTIFS(Table53[Country],Tabela1[[#This Row],[Country]],Table53[10m Air Rifle Classification],"&gt;0")</f>
        <v>0</v>
      </c>
      <c r="IF108" s="6">
        <f>COUNTIFS(Table19[Country],Tabela1[[#This Row],[Country]],Table19[10m Air Rifle Classification],"&gt;0")</f>
        <v>0</v>
      </c>
      <c r="IG108" s="6">
        <f>COUNTIFS(Table54[Country],Tabela1[[#This Row],[Country]],Table54[Mixed 10m Air Rifle Team Classification],"&gt;0")</f>
        <v>0</v>
      </c>
      <c r="IH108" s="6">
        <f>COUNTIFS(Table53[Country],Tabela1[[#This Row],[Country]],Table53[25m Rapid Fire Pistol Classification],"&gt;0")</f>
        <v>0</v>
      </c>
      <c r="II108" s="6">
        <f>COUNTIFS(Table19[Country],Tabela1[[#This Row],[Country]],Table19[25m Pistol Classification],"&gt;0")</f>
        <v>0</v>
      </c>
      <c r="IJ108" s="6">
        <f>COUNTIFS(Table53[Country],Tabela1[[#This Row],[Country]],Table53[50m Rifle 3 Positions Classification],"&gt;0")</f>
        <v>0</v>
      </c>
      <c r="IK108" s="6">
        <f>COUNTIFS(Table19[Country],Tabela1[[#This Row],[Country]],Table19[50m Rifle 3 Positions Classification],"&gt;0")</f>
        <v>0</v>
      </c>
      <c r="IL108" s="6">
        <f>COUNTIFS(Table53[Country],Tabela1[[#This Row],[Country]],Table53[Skeet Classification],"&gt;0")</f>
        <v>0</v>
      </c>
      <c r="IM108" s="6">
        <f>COUNTIFS(Table19[Country],Tabela1[[#This Row],[Country]],Table19[Skeet Classification],"&gt;0")</f>
        <v>0</v>
      </c>
      <c r="IN108" s="6">
        <f>COUNTIFS(Table54[Country],Tabela1[[#This Row],[Country]],Table54[Mixed Skeet Team Classification],"&gt;0")</f>
        <v>0</v>
      </c>
      <c r="IO108" s="6">
        <f>COUNTIFS(Table53[Country],Tabela1[[#This Row],[Country]],Table53[Trap Classification],"&gt;0")</f>
        <v>0</v>
      </c>
      <c r="IP108" s="6">
        <f>COUNTIFS(Table19[Country],Tabela1[[#This Row],[Country]],Table19[Trap Classification],"&gt;0")</f>
        <v>0</v>
      </c>
      <c r="IQ108" s="6">
        <f>COUNTIFS(Table73[Country],Tabela1[[#This Row],[Country]],Table73[Park Classification],"&gt;0")</f>
        <v>0</v>
      </c>
      <c r="IR108" s="6">
        <f>COUNTIFS(Table74[Country],Tabela1[[#This Row],[Country]],Table74[Park Classification],"&gt;0")</f>
        <v>0</v>
      </c>
      <c r="IS108" s="6">
        <f>COUNTIFS(Table73[Country],Tabela1[[#This Row],[Country]],Table73[Street Classification],"&gt;0")</f>
        <v>0</v>
      </c>
      <c r="IT108" s="6">
        <f>COUNTIFS(Table74[Country],Tabela1[[#This Row],[Country]],Table74[Street Classification],"&gt;0")</f>
        <v>0</v>
      </c>
      <c r="IU108" s="6">
        <f>COUNTIFS(Table75[Country],Tabela1[[#This Row],[Country]],Table75[Boulder and Lead Classification],"&gt;0")</f>
        <v>0</v>
      </c>
      <c r="IV108" s="6">
        <f>COUNTIFS(Table76[Country],Tabela1[[#This Row],[Country]],Table76[Boulder and Lead Classification],"&gt;0")</f>
        <v>0</v>
      </c>
      <c r="IW108" s="6">
        <f>COUNTIFS(Table75[Country],Tabela1[[#This Row],[Country]],Table75[Speed Classification],"&gt;0")</f>
        <v>0</v>
      </c>
      <c r="IX108" s="6">
        <f>COUNTIFS(Table76[Country],Tabela1[[#This Row],[Country]],Table76[Speed Classification],"&gt;0")</f>
        <v>0</v>
      </c>
      <c r="IY108" s="6">
        <f>COUNTIFS(Table64[Country],Tabela1[[#This Row],[Country]],Table64[Shortboard Classification],"&gt;0")</f>
        <v>0</v>
      </c>
      <c r="IZ108" s="6">
        <f>COUNTIFS(Table77[Country],Tabela1[[#This Row],[Country]],Table77[Shortboard Classification],"&gt;0")</f>
        <v>0</v>
      </c>
      <c r="JA108" s="6">
        <f>COUNTIFS(Table20[Country],Tabela1[[#This Row],[Country]],Table20[50m Freestyle Classification],"&gt;0")</f>
        <v>1</v>
      </c>
      <c r="JB108" s="6">
        <f>COUNTIFS(Table21[Country],Tabela1[[#This Row],[Country]],Table21[50m Freestyle Classification],"&gt;0")</f>
        <v>0</v>
      </c>
      <c r="JC108" s="6">
        <f>COUNTIFS(Table20[Country],Tabela1[[#This Row],[Country]],Table20[100m Freestyle Classification],"&gt;0")</f>
        <v>0</v>
      </c>
      <c r="JD108" s="6">
        <f>COUNTIFS(Table21[Country],Tabela1[[#This Row],[Country]],Table21[100m Freestyle Classification],"&gt;0")</f>
        <v>0</v>
      </c>
      <c r="JE108" s="6">
        <f>COUNTIFS(Table20[Country],Tabela1[[#This Row],[Country]],Table20[200m Freestyle Classification],"&gt;0")</f>
        <v>0</v>
      </c>
      <c r="JF108" s="6">
        <f>COUNTIFS(Table21[Country],Tabela1[[#This Row],[Country]],Table21[200m Freestyle Classification],"&gt;0")</f>
        <v>0</v>
      </c>
      <c r="JG108" s="6">
        <f>COUNTIFS(Table20[Country],Tabela1[[#This Row],[Country]],Table20[400m Freestyle Classification],"&gt;0")</f>
        <v>0</v>
      </c>
      <c r="JH108" s="6">
        <f>COUNTIFS(Table21[Country],Tabela1[[#This Row],[Country]],Table21[400m Freestyle Classification],"&gt;0")</f>
        <v>0</v>
      </c>
      <c r="JI108" s="6">
        <f>COUNTIFS(Table20[Country],Tabela1[[#This Row],[Country]],Table20[800m Freestyle Classification],"&gt;0")</f>
        <v>0</v>
      </c>
      <c r="JJ108" s="6">
        <f>COUNTIFS(Table21[Country],Tabela1[[#This Row],[Country]],Table21[800m Freestyle Classification],"&gt;0")</f>
        <v>0</v>
      </c>
      <c r="JK108" s="6">
        <f>COUNTIFS(Table20[Country],Tabela1[[#This Row],[Country]],Table20[1500m Freestyle Classification],"&gt;0")</f>
        <v>0</v>
      </c>
      <c r="JL108" s="6">
        <f>COUNTIFS(Table21[Country],Tabela1[[#This Row],[Country]],Table21[1500m Freestyle Classification],"&gt;0")</f>
        <v>0</v>
      </c>
      <c r="JM108" s="6">
        <f>COUNTIFS(Table20[Country],Tabela1[[#This Row],[Country]],Table20[100m Backstroke Classification],"&gt;0")</f>
        <v>0</v>
      </c>
      <c r="JN108" s="6">
        <f>COUNTIFS(Table21[Country],Tabela1[[#This Row],[Country]],Table21[100m Backstroke Classification],"&gt;0")</f>
        <v>0</v>
      </c>
      <c r="JO108" s="6">
        <f>COUNTIFS(Table20[Country],Tabela1[[#This Row],[Country]],Table20[200m Backstroke Classification],"&gt;0")</f>
        <v>0</v>
      </c>
      <c r="JP108" s="6">
        <f>COUNTIFS(Table21[Country],Tabela1[[#This Row],[Country]],Table21[200m Backstroke Classification],"&gt;0")</f>
        <v>0</v>
      </c>
      <c r="JQ108" s="6">
        <f>COUNTIFS(Table20[Country],Tabela1[[#This Row],[Country]],Table20[100m Breaststroke Classification],"&gt;0")</f>
        <v>0</v>
      </c>
      <c r="JR108" s="6">
        <f>COUNTIFS(Table21[Country],Tabela1[[#This Row],[Country]],Table21[100m Breaststroke Classification],"&gt;0")</f>
        <v>0</v>
      </c>
      <c r="JS108" s="6">
        <f>COUNTIFS(Table20[Country],Tabela1[[#This Row],[Country]],Table20[200m Breaststroke Classification],"&gt;0")</f>
        <v>0</v>
      </c>
      <c r="JT108" s="6">
        <f>COUNTIFS(Table21[Country],Tabela1[[#This Row],[Country]],Table21[200m Breaststroke Classification],"&gt;0")</f>
        <v>0</v>
      </c>
      <c r="JU108" s="6">
        <f>COUNTIFS(Table20[Country],Tabela1[[#This Row],[Country]],Table20[100m Butterfly Classification],"&gt;0")</f>
        <v>0</v>
      </c>
      <c r="JV108" s="6">
        <f>COUNTIFS(Table21[Country],Tabela1[[#This Row],[Country]],Table21[100m Butterfly Classification],"&gt;0")</f>
        <v>0</v>
      </c>
      <c r="JW108" s="6">
        <f>COUNTIFS(Table20[Country],Tabela1[[#This Row],[Country]],Table20[200m Butterfly Classification],"&gt;0")</f>
        <v>0</v>
      </c>
      <c r="JX108" s="6">
        <f>COUNTIFS(Table21[Country],Tabela1[[#This Row],[Country]],Table21[200m Butterfly Classification],"&gt;0")</f>
        <v>0</v>
      </c>
      <c r="JY108" s="6">
        <f>COUNTIFS(Table20[Country],Tabela1[[#This Row],[Country]],Table20[200m Medley Classification],"&gt;0")</f>
        <v>0</v>
      </c>
      <c r="JZ108" s="6">
        <f>COUNTIFS(Table21[Country],Tabela1[[#This Row],[Country]],Table21[200m Medley Classification],"&gt;0")</f>
        <v>0</v>
      </c>
      <c r="KA108" s="6">
        <f>COUNTIFS(Table20[Country],Tabela1[[#This Row],[Country]],Table20[400m Medley Classification],"&gt;0")</f>
        <v>0</v>
      </c>
      <c r="KB108" s="6">
        <f>COUNTIFS(Table21[Country],Tabela1[[#This Row],[Country]],Table21[400m Medley Classification],"&gt;0")</f>
        <v>0</v>
      </c>
      <c r="KC108" s="6">
        <f>COUNTIFS(Table78[Country],Tabela1[[#This Row],[Country]],Table78[Men''s 4x100m Freestyle Relay Classification],"&gt;0")</f>
        <v>0</v>
      </c>
      <c r="KD108" s="6">
        <f>COUNTIFS(Table78[Country],Tabela1[[#This Row],[Country]],Table78[Women''s 4x100m Freestyle Relay Classification],"&gt;0")</f>
        <v>0</v>
      </c>
      <c r="KE108" s="6">
        <f>COUNTIFS(Table78[Country],Tabela1[[#This Row],[Country]],Table78[Men''s 4x200m Freestyle Relay Classification],"&gt;0")</f>
        <v>0</v>
      </c>
      <c r="KF108" s="6">
        <f>COUNTIFS(Table78[Country],Tabela1[[#This Row],[Country]],Table78[Women''s 4x200m Freestyle Relay Classification],"&gt;0")</f>
        <v>0</v>
      </c>
      <c r="KG108" s="6">
        <f>COUNTIFS(Table78[Country],Tabela1[[#This Row],[Country]],Table78[Men''s 4x100m Medley Relay Classification],"&gt;0")</f>
        <v>0</v>
      </c>
      <c r="KH108" s="6">
        <f>COUNTIFS(Table78[Country],Tabela1[[#This Row],[Country]],Table78[Women''s 4x100m Medley Relay Classification],"&gt;0")</f>
        <v>0</v>
      </c>
      <c r="KI108" s="6">
        <f>COUNTIFS(Table78[Country],Tabela1[[#This Row],[Country]],Table78[Mixed 4x100m Medley Relay Classification],"&gt;0")</f>
        <v>0</v>
      </c>
      <c r="KJ108" s="6">
        <f>COUNTIFS(Table20[Country],Tabela1[[#This Row],[Country]],Table20[10km Open Water Classification],"&gt;0")</f>
        <v>0</v>
      </c>
      <c r="KK108" s="6">
        <f>COUNTIFS(Table21[Country],Tabela1[[#This Row],[Country]],Table21[10km Open Water Classification],"&gt;0")</f>
        <v>0</v>
      </c>
      <c r="KL108" s="6">
        <f>COUNTIFS(Table22[Country],Tabela1[[#This Row],[Country]],Table22[Classification],"&gt;0")</f>
        <v>0</v>
      </c>
      <c r="KM108" s="6">
        <f>COUNTIFS(Table30[Country],Tabela1[[#This Row],[Country]],Table30[Classification],"&gt;0")</f>
        <v>0</v>
      </c>
      <c r="KN108" s="6">
        <f>COUNTIFS(Table55[Country],Tabela1[[#This Row],[Country]],Table55[Men''s Classification],"&gt;0")</f>
        <v>0</v>
      </c>
      <c r="KO108" s="6">
        <f>COUNTIFS(Table55[Country],Tabela1[[#This Row],[Country]],Table55[Women''s Classification],"&gt;0")</f>
        <v>0</v>
      </c>
      <c r="KP108" s="6">
        <f>COUNTIFS(Table56[Country],Tabela1[[#This Row],[Country]],Table56[Mixed Classification],"&gt;0")</f>
        <v>0</v>
      </c>
      <c r="KQ108" s="6">
        <f>COUNTIFS(Table29[Country],Tabela1[[#This Row],[Country]],Table29[58kg Classification],"&gt;0")</f>
        <v>0</v>
      </c>
      <c r="KR108" s="6">
        <f>COUNTIFS(Table29[Country],Tabela1[[#This Row],[Country]],Table29[68kg Classification],"&gt;0")</f>
        <v>0</v>
      </c>
      <c r="KS108" s="6">
        <f>COUNTIFS(Table29[Country],Tabela1[[#This Row],[Country]],Table29[80kg Classification],"&gt;0")</f>
        <v>0</v>
      </c>
      <c r="KT108" s="6">
        <f>COUNTIFS(Table29[Country],Tabela1[[#This Row],[Country]],Table29[Plus 80kg Classification],"&gt;0")</f>
        <v>0</v>
      </c>
      <c r="KU108" s="6">
        <f>COUNTIFS(Table34[Country],Tabela1[[#This Row],[Country]],Table34[49kg Classification],"&gt;0")</f>
        <v>0</v>
      </c>
      <c r="KV108" s="6">
        <f>COUNTIFS(Table34[Country],Tabela1[[#This Row],[Country]],Table34[57kg Classification],"&gt;0")</f>
        <v>0</v>
      </c>
      <c r="KW108" s="6">
        <f>COUNTIFS(Table34[Country],Tabela1[[#This Row],[Country]],Table34[67kg Classification],"&gt;0")</f>
        <v>0</v>
      </c>
      <c r="KX108" s="6">
        <f>COUNTIFS(Table34[Country],Tabela1[[#This Row],[Country]],Table34[Plus 67kg Classification],"&gt;0")</f>
        <v>0</v>
      </c>
      <c r="KY108" s="6">
        <f>COUNTIFS(Table57[Country],Tabela1[[#This Row],[Country]],Table57[Classification],"&gt;0")</f>
        <v>0</v>
      </c>
      <c r="KZ108" s="6">
        <f>COUNTIFS(Table58[Country],Tabela1[[#This Row],[Country]],Table58[Classification],"&gt;0")</f>
        <v>0</v>
      </c>
      <c r="LA108" s="6">
        <f>COUNTIFS(Table79[Country],Tabela1[[#This Row],[Country]],Table79[Men''s Classification],"&gt;0")</f>
        <v>0</v>
      </c>
      <c r="LB108" s="6">
        <f>COUNTIFS(Table79[Country],Tabela1[[#This Row],[Country]],Table79[Women''s Classification],"&gt;0")</f>
        <v>0</v>
      </c>
      <c r="LC108" s="6">
        <f>COUNTIFS(Table79[Country],Tabela1[[#This Row],[Country]],Table79[Mixed Classification],"&gt;0")</f>
        <v>0</v>
      </c>
      <c r="LD108" s="6">
        <f>COUNTIFS(Table65[Country],Tabela1[[#This Row],[Country]],Table65[Classification],"&gt;0")</f>
        <v>0</v>
      </c>
      <c r="LE108" s="6">
        <f>COUNTIFS(Table59[Country],Tabela1[[#This Row],[Country]],Table59[Classification],"&gt;0")</f>
        <v>0</v>
      </c>
      <c r="LF108" s="6">
        <f>COUNTIFS(Table87[Country],Tabela1[[#This Row],[Country]],Table87[Mixed Relay Classification],"&gt;0")</f>
        <v>0</v>
      </c>
      <c r="LG108" s="6">
        <f>COUNTIFS(Table91949698100[Country],Tabela1[[#This Row],[Country]],Table91949698100[Men''s Classification],"&gt;0")</f>
        <v>0</v>
      </c>
      <c r="LH108" s="6">
        <f>COUNTIFS(Table91949698100[Country],Tabela1[[#This Row],[Country]],Table91949698100[Women''s Classification],"&gt;0")</f>
        <v>0</v>
      </c>
      <c r="LI108" s="6">
        <f>COUNTIFS(Table91949698100102[Country],Tabela1[[#This Row],[Country]],Table91949698100102[Men''s Classification],"&gt;0")</f>
        <v>0</v>
      </c>
      <c r="LJ108" s="6">
        <f>COUNTIFS(Table91949698100102[Country],Tabela1[[#This Row],[Country]],Table91949698100102[Women''s Classification],"&gt;0")</f>
        <v>0</v>
      </c>
      <c r="LK108" s="6">
        <f>COUNTIFS(Table23[Country],Tabela1[[#This Row],[Country]],Table23[61kg Classification],"&gt;0")</f>
        <v>0</v>
      </c>
      <c r="LL108" s="6">
        <f>COUNTIFS(Table23[Country],Tabela1[[#This Row],[Country]],Table23[73kg Classification],"&gt;0")</f>
        <v>0</v>
      </c>
      <c r="LM108" s="6">
        <f>COUNTIFS(Table23[Country],Tabela1[[#This Row],[Country]],Table23[89kg Classification],"&gt;0")</f>
        <v>0</v>
      </c>
      <c r="LN108" s="6">
        <f>COUNTIFS(Table23[Country],Tabela1[[#This Row],[Country]],Table23[102kg Classification],"&gt;0")</f>
        <v>0</v>
      </c>
      <c r="LO108" s="6">
        <f>COUNTIFS(Table23[Country],Tabela1[[#This Row],[Country]],Table23[Plus 102kg Classification],"&gt;0")</f>
        <v>0</v>
      </c>
      <c r="LP108" s="6">
        <f>COUNTIFS(Table28[Country],Tabela1[[#This Row],[Country]],Table28[49kg Classification],"&gt;0")</f>
        <v>0</v>
      </c>
      <c r="LQ108" s="6">
        <f>COUNTIFS(Table28[Country],Tabela1[[#This Row],[Country]],Table28[59kg Classification],"&gt;0")</f>
        <v>0</v>
      </c>
      <c r="LR108" s="6">
        <f>COUNTIFS(Table28[Country],Tabela1[[#This Row],[Country]],Table28[71kg Classification],"&gt;0")</f>
        <v>0</v>
      </c>
      <c r="LS108" s="6">
        <f>COUNTIFS(Table28[Country],Tabela1[[#This Row],[Country]],Table28[81kg Classification],"&gt;0")</f>
        <v>0</v>
      </c>
      <c r="LT108" s="6">
        <f>COUNTIFS(Table28[Country],Tabela1[[#This Row],[Country]],Table28[Plus 81kg Classification],"&gt;0")</f>
        <v>0</v>
      </c>
      <c r="LU108" s="6">
        <f>COUNTIFS(Table24[Country],Tabela1[[#This Row],[Country]],Table24[Freestyle 57kg Classification],"&gt;0")</f>
        <v>0</v>
      </c>
      <c r="LV108" s="6">
        <f>COUNTIFS(Table24[Country],Tabela1[[#This Row],[Country]],Table24[Freestyle 65kg Classification],"&gt;0")</f>
        <v>0</v>
      </c>
      <c r="LW108" s="6">
        <f>COUNTIFS(Table24[Country],Tabela1[[#This Row],[Country]],Table24[Freestyle 74kg Classification],"&gt;0")</f>
        <v>0</v>
      </c>
      <c r="LX108" s="6">
        <f>COUNTIFS(Table24[Country],Tabela1[[#This Row],[Country]],Table24[Freestyle 86kg Classification],"&gt;0")</f>
        <v>0</v>
      </c>
      <c r="LY108" s="6">
        <f>COUNTIFS(Table24[Country],Tabela1[[#This Row],[Country]],Table24[Freestyle 97kg Classification],"&gt;0")</f>
        <v>0</v>
      </c>
      <c r="LZ108" s="6">
        <f>COUNTIFS(Table24[Country],Tabela1[[#This Row],[Country]],Table24[Freestyle 125kg Classification],"&gt;0")</f>
        <v>0</v>
      </c>
      <c r="MA108" s="6">
        <f>COUNTIFS(Table24[Country],Tabela1[[#This Row],[Country]],Table24[Greco-Roman 60kg Classification],"&gt;0")</f>
        <v>0</v>
      </c>
      <c r="MB108" s="6">
        <f>COUNTIFS(Table24[Country],Tabela1[[#This Row],[Country]],Table24[Greco-Roman 67kg Classification],"&gt;0")</f>
        <v>0</v>
      </c>
      <c r="MC108" s="6">
        <f>COUNTIFS(Table24[Country],Tabela1[[#This Row],[Country]],Table24[Greco-Roman 77kg Classification],"&gt;0")</f>
        <v>0</v>
      </c>
      <c r="MD108" s="6">
        <f>COUNTIFS(Table24[Country],Tabela1[[#This Row],[Country]],Table24[Greco-Roman 87kg Classification],"&gt;0")</f>
        <v>0</v>
      </c>
      <c r="ME108" s="6">
        <f>COUNTIFS(Table24[Country],Tabela1[[#This Row],[Country]],Table24[Greco-Roman 97kg Classification],"&gt;0")</f>
        <v>0</v>
      </c>
      <c r="MF108" s="6">
        <f>COUNTIFS(Table24[Country],Tabela1[[#This Row],[Country]],Table24[Greco-Roman 130kg Classification],"&gt;0")</f>
        <v>0</v>
      </c>
      <c r="MG108" s="6">
        <f>COUNTIFS(Table31[Country],Tabela1[[#This Row],[Country]],Table31[50kg Classification],"&gt;0")</f>
        <v>0</v>
      </c>
      <c r="MH108" s="6">
        <f>COUNTIFS(Table31[Country],Tabela1[[#This Row],[Country]],Table31[53kg Classification],"&gt;0")</f>
        <v>0</v>
      </c>
      <c r="MI108" s="6">
        <f>COUNTIFS(Table31[Country],Tabela1[[#This Row],[Country]],Table31[57kg Classification],"&gt;0")</f>
        <v>0</v>
      </c>
      <c r="MJ108" s="6">
        <f>COUNTIFS(Table31[Country],Tabela1[[#This Row],[Country]],Table31[62kg Classification],"&gt;0")</f>
        <v>0</v>
      </c>
      <c r="MK108" s="6">
        <f>COUNTIFS(Table31[Country],Tabela1[[#This Row],[Country]],Table31[68kg Classification],"&gt;0")</f>
        <v>0</v>
      </c>
      <c r="ML108" s="6">
        <f>COUNTIFS(Table31[Country],Tabela1[[#This Row],[Country]],Table31[76kg Classification],"&gt;0")</f>
        <v>0</v>
      </c>
      <c r="MM108" s="6">
        <f>COUNTIFS(Table102[Country],Tabela1[[#This Row],[Country]],Table102[Downhill Classification],"&gt;0")</f>
        <v>0</v>
      </c>
      <c r="MN108" s="6">
        <f>COUNTIFS(Table102105[Country],Tabela1[[#This Row],[Country]],Table102105[Downhill Classification],"&gt;0")</f>
        <v>0</v>
      </c>
      <c r="MO108" s="6">
        <f>COUNTIFS(Table102[Country],Tabela1[[#This Row],[Country]],Table102[Giant Slalom Classification],"&gt;0")</f>
        <v>0</v>
      </c>
      <c r="MP108" s="6">
        <f>COUNTIFS(Table102105[Country],Tabela1[[#This Row],[Country]],Table102105[Giant Slalom Classification],"&gt;0")</f>
        <v>0</v>
      </c>
      <c r="MQ108" s="6">
        <f>COUNTIFS(Table102[Country],Tabela1[[#This Row],[Country]],Table102[Slalom Classification],"&gt;0")</f>
        <v>0</v>
      </c>
      <c r="MR108" s="6">
        <f>COUNTIFS(Table102105[Country],Tabela1[[#This Row],[Country]],Table102105[Slalom Classification],"&gt;0")</f>
        <v>0</v>
      </c>
      <c r="MS108" s="6">
        <f>COUNTIFS(Table102[Country],Tabela1[[#This Row],[Country]],Table102[Super-G Classification],"&gt;0")</f>
        <v>0</v>
      </c>
      <c r="MT108" s="6">
        <f>COUNTIFS(Table102105[Country],Tabela1[[#This Row],[Country]],Table102105[Super-G Classification],"&gt;0")</f>
        <v>0</v>
      </c>
      <c r="MU108" s="6">
        <f>COUNTIFS(Table105[Country],Tabela1[[#This Row],[Country]],Table105[Men''s Combined Classification],"&gt;0")</f>
        <v>0</v>
      </c>
      <c r="MV108" s="6">
        <f>COUNTIFS(Table105[Country],Tabela1[[#This Row],[Country]],Table105[Women''s Combined Classification],"&gt;0")</f>
        <v>0</v>
      </c>
      <c r="MW108" s="6">
        <f>COUNTIFS(Table106[Country],Tabela1[[#This Row],[Country]],Table106[Individual Classification],"&gt;0")</f>
        <v>0</v>
      </c>
      <c r="MX108" s="6">
        <f>COUNTIFS(Table106109[Country],Tabela1[[#This Row],[Country]],Table106109[Individual Classification],"&gt;0")</f>
        <v>0</v>
      </c>
      <c r="MY108" s="6">
        <f>COUNTIFS(Table106[Country],Tabela1[[#This Row],[Country]],Table106[Mass Start Classification],"&gt;0")</f>
        <v>0</v>
      </c>
      <c r="MZ108" s="6">
        <f>COUNTIFS(Table106109[Country],Tabela1[[#This Row],[Country]],Table106109[Mass Start Classification],"&gt;0")</f>
        <v>0</v>
      </c>
      <c r="NA108" s="6">
        <f>COUNTIFS(Table106[Country],Tabela1[[#This Row],[Country]],Table106[Pursuit Classification],"&gt;0")</f>
        <v>0</v>
      </c>
      <c r="NB108" s="6">
        <f>COUNTIFS(Table106109[Country],Tabela1[[#This Row],[Country]],Table106109[Pursuit Classification],"&gt;0")</f>
        <v>0</v>
      </c>
      <c r="NC108" s="6">
        <f>COUNTIFS(Table106[Country],Tabela1[[#This Row],[Country]],Table106[Sprint Classification],"&gt;0")</f>
        <v>0</v>
      </c>
      <c r="ND108" s="6">
        <f>COUNTIFS(Table106109[Country],Tabela1[[#This Row],[Country]],Table106109[Sprint Classification],"&gt;0")</f>
        <v>0</v>
      </c>
      <c r="NE108" s="6">
        <f>COUNTIFS(Table109[Country],Tabela1[[#This Row],[Country]],Table109[Men''s Relay Classification],"&gt;0")</f>
        <v>0</v>
      </c>
      <c r="NF108" s="6">
        <f>COUNTIFS(Table109[Country],Tabela1[[#This Row],[Country]],Table109[Women''s Relay Classification],"&gt;0")</f>
        <v>0</v>
      </c>
      <c r="NG108" s="6">
        <f>COUNTIFS(Table109[Country],Tabela1[[#This Row],[Country]],Table109[Mixed Relay Classification],"&gt;0")</f>
        <v>0</v>
      </c>
      <c r="NH108" s="6">
        <f>COUNTIFS(Table110[Country],Tabela1[[#This Row],[Country]],Table110[Monobob Classification],"&gt;0")</f>
        <v>0</v>
      </c>
      <c r="NI108" s="6">
        <f>COUNTIFS(Table111[Country],Tabela1[[#This Row],[Country]],Table111[Men''s Classification],"&gt;0")</f>
        <v>0</v>
      </c>
      <c r="NJ108" s="6">
        <f>COUNTIFS(Table111[Country],Tabela1[[#This Row],[Country]],Table111[Women''s Classification],"&gt;0")</f>
        <v>0</v>
      </c>
      <c r="NK108" s="6">
        <f>COUNTIFS(Table112[Country],Tabela1[[#This Row],[Country]],Table112[Men''s Four Classification],"&gt;0")</f>
        <v>0</v>
      </c>
      <c r="NL108" s="6">
        <f>COUNTIFS(Table113[Country],Tabela1[[#This Row],[Country]],Table113[Classical Classification],"&gt;0")</f>
        <v>0</v>
      </c>
      <c r="NM108" s="6">
        <f>COUNTIFS(Table113116[Country],Tabela1[[#This Row],[Country]],Table113116[Classical Classification],"&gt;0")</f>
        <v>0</v>
      </c>
      <c r="NN108" s="6">
        <f>COUNTIFS(Table113[Country],Tabela1[[#This Row],[Country]],Table113[Freestyle Classification],"&gt;0")</f>
        <v>0</v>
      </c>
      <c r="NO108" s="6">
        <f>COUNTIFS(Table113116[Country],Tabela1[[#This Row],[Country]],Table113116[Freestyle Classification],"&gt;0")</f>
        <v>0</v>
      </c>
      <c r="NP108" s="6">
        <f>COUNTIFS(Table117[Country],Tabela1[[#This Row],[Country]],Table117[Men''s Relay Classification],"&gt;0")</f>
        <v>0</v>
      </c>
      <c r="NQ108" s="6">
        <f>COUNTIFS(Table117[Country],Tabela1[[#This Row],[Country]],Table117[Women''s Relay Classification],"&gt;0")</f>
        <v>0</v>
      </c>
      <c r="NR108" s="6">
        <f>COUNTIFS(Table113[Country],Tabela1[[#This Row],[Country]],Table113[Skiathlon Classification],"&gt;0")</f>
        <v>0</v>
      </c>
      <c r="NS108" s="6">
        <f>COUNTIFS(Table113116[Country],Tabela1[[#This Row],[Country]],Table113116[Skiathlon Classification],"&gt;0")</f>
        <v>0</v>
      </c>
      <c r="NT108" s="6">
        <f>COUNTIFS(Table113[Country],Tabela1[[#This Row],[Country]],Table113[Sprint Classification],"&gt;0")</f>
        <v>0</v>
      </c>
      <c r="NU108" s="6">
        <f>COUNTIFS(Table113116[Country],Tabela1[[#This Row],[Country]],Table113116[Sprint Classification],"&gt;0")</f>
        <v>0</v>
      </c>
      <c r="NV108" s="6">
        <f>COUNTIFS(Table116[Country],Tabela1[[#This Row],[Country]],Table116[Men''s Team Sprint Classification],"&gt;0")</f>
        <v>0</v>
      </c>
      <c r="NW108" s="6">
        <f>COUNTIFS(Table116[Country],Tabela1[[#This Row],[Country]],Table116[Women''s Team Sprint Classification],"&gt;0")</f>
        <v>0</v>
      </c>
      <c r="NX108" s="6">
        <f>COUNTIFS(Table119[Country],Tabela1[[#This Row],[Country]],Table119[Men''s Classification],"&gt;0")</f>
        <v>0</v>
      </c>
      <c r="NY108" s="6">
        <f>COUNTIFS(Table119[Country],Tabela1[[#This Row],[Country]],Table119[Women''s Classification],"&gt;0")</f>
        <v>0</v>
      </c>
      <c r="NZ108" s="6">
        <f>COUNTIFS(Table118[Country],Tabela1[[#This Row],[Country]],Table118[Mixed Classification],"&gt;0")</f>
        <v>0</v>
      </c>
      <c r="OA108" s="6">
        <f>COUNTIFS(Table120[Country],Tabela1[[#This Row],[Country]],Table120[Classification],"&gt;0")</f>
        <v>0</v>
      </c>
      <c r="OB108" s="6">
        <f>COUNTIFS(Table120123[Country],Tabela1[[#This Row],[Country]],Table120123[Classification],"&gt;0")</f>
        <v>0</v>
      </c>
      <c r="OC108" s="6">
        <f>COUNTIFS(Table123[Country],Tabela1[[#This Row],[Country]],Table123[Ice Dance Classification],"&gt;0")</f>
        <v>0</v>
      </c>
      <c r="OD108" s="6">
        <f>COUNTIFS(Table123[Country],Tabela1[[#This Row],[Country]],Table123[Pair Skating Classification],"&gt;0")</f>
        <v>0</v>
      </c>
      <c r="OE108" s="6">
        <f>COUNTIFS(Table124[Country],Tabela1[[#This Row],[Country]],Table124[Mixed Classification],"&gt;0")</f>
        <v>0</v>
      </c>
      <c r="OF108" s="6">
        <f>COUNTIFS(Table125[Country],Tabela1[[#This Row],[Country]],Table125[Aerials Classification],"&gt;0")</f>
        <v>0</v>
      </c>
      <c r="OG108" s="6">
        <f>COUNTIFS(Table125128[Country],Tabela1[[#This Row],[Country]],Table125128[Aerials Classification],"&gt;0")</f>
        <v>0</v>
      </c>
      <c r="OH108" s="6">
        <f>COUNTIFS(Table128[Country],Tabela1[[#This Row],[Country]],Table128[Mixed Aerials Classification],"&gt;0")</f>
        <v>0</v>
      </c>
      <c r="OI108" s="6">
        <f>COUNTIFS(Table125[Country],Tabela1[[#This Row],[Country]],Table125[Big Air Classification],"&gt;0")</f>
        <v>0</v>
      </c>
      <c r="OJ108" s="6">
        <f>COUNTIFS(Table125128[Country],Tabela1[[#This Row],[Country]],Table125128[Big Air Classification],"&gt;0")</f>
        <v>0</v>
      </c>
      <c r="OK108" s="6">
        <f>COUNTIFS(Table125[Country],Tabela1[[#This Row],[Country]],Table125[Dual Moguls Classification],"&gt;0")</f>
        <v>0</v>
      </c>
      <c r="OL108" s="6">
        <f>COUNTIFS(Table125128[Country],Tabela1[[#This Row],[Country]],Table125128[Dual Moguls Classification],"&gt;0")</f>
        <v>0</v>
      </c>
      <c r="OM108" s="6">
        <f>COUNTIFS(Table125[Country],Tabela1[[#This Row],[Country]],Table125[Halfpipe Classification],"&gt;0")</f>
        <v>0</v>
      </c>
      <c r="ON108" s="6">
        <f>COUNTIFS(Table125128[Country],Tabela1[[#This Row],[Country]],Table125128[Halfpipe Classification],"&gt;0")</f>
        <v>0</v>
      </c>
      <c r="OO108" s="6">
        <f>COUNTIFS(Table125[Country],Tabela1[[#This Row],[Country]],Table125[Moguls Classification],"&gt;0")</f>
        <v>0</v>
      </c>
      <c r="OP108" s="6">
        <f>COUNTIFS(Table125128[Country],Tabela1[[#This Row],[Country]],Table125128[Moguls Classification],"&gt;0")</f>
        <v>0</v>
      </c>
      <c r="OQ108" s="6">
        <f>COUNTIFS(Table125[Country],Tabela1[[#This Row],[Country]],Table125[Ski Cross Classification],"&gt;0")</f>
        <v>0</v>
      </c>
      <c r="OR108" s="6">
        <f>COUNTIFS(Table125128[Country],Tabela1[[#This Row],[Country]],Table125128[Ski Cross Classification],"&gt;0")</f>
        <v>0</v>
      </c>
      <c r="OS108" s="6">
        <f>COUNTIFS(Table125[Country],Tabela1[[#This Row],[Country]],Table125[Slopestyle Classification],"&gt;0")</f>
        <v>0</v>
      </c>
      <c r="OT108" s="6">
        <f>COUNTIFS(Table125128[Country],Tabela1[[#This Row],[Country]],Table125128[Slopestyle Classification],"&gt;0")</f>
        <v>0</v>
      </c>
      <c r="OU108" s="6">
        <f>COUNTIFS(Table119131[Country],Tabela1[[#This Row],[Country]],Table119131[Men''s Classification],"&gt;0")</f>
        <v>0</v>
      </c>
      <c r="OV108" s="6">
        <f>COUNTIFS(Table119131[Country],Tabela1[[#This Row],[Country]],Table119131[Women''s Classification],"&gt;0")</f>
        <v>0</v>
      </c>
      <c r="OW108" s="6">
        <f>COUNTIFS(Table131[Country],Tabela1[[#This Row],[Country]],Table131[Classification],"&gt;0")</f>
        <v>0</v>
      </c>
      <c r="OX108" s="6">
        <f>COUNTIFS(Table131134[Country],Tabela1[[#This Row],[Country]],Table131134[Classification],"&gt;0")</f>
        <v>0</v>
      </c>
      <c r="OY108" s="6">
        <f>COUNTIFS(Table134[Country],Tabela1[[#This Row],[Country]],Table134[Men''s Classification],"&gt;0")</f>
        <v>0</v>
      </c>
      <c r="OZ108" s="6">
        <f>COUNTIFS(Table134[Country],Tabela1[[#This Row],[Country]],Table134[Women''s Classification],"&gt;0")</f>
        <v>0</v>
      </c>
      <c r="PA108" s="6">
        <f>COUNTIFS(Table135[Country],Tabela1[[#This Row],[Country]],Table135[Mixed Relay Classification],"&gt;0")</f>
        <v>0</v>
      </c>
      <c r="PB108" s="6">
        <f>COUNTIFS(Table136[Country],Tabela1[[#This Row],[Country]],Table136[Individual Classification],"&gt;0")</f>
        <v>0</v>
      </c>
      <c r="PC108" s="6">
        <f>COUNTIFS(Table136[Country],Tabela1[[#This Row],[Country]],Table136[Sprint Classification],"&gt;0")</f>
        <v>0</v>
      </c>
      <c r="PD108" s="6">
        <f>COUNTIFS(Table137[Country],Tabela1[[#This Row],[Country]],Table137[Men''s Team Sprint Large Hill Classification],"&gt;0")</f>
        <v>0</v>
      </c>
      <c r="PE108" s="6">
        <f>COUNTIFS(Table138[Country],Tabela1[[#This Row],[Country]],Table138[500m Classification],"&gt;0")</f>
        <v>0</v>
      </c>
      <c r="PF108" s="6">
        <f>COUNTIFS(Table138141[Country],Tabela1[[#This Row],[Country]],Table138141[500m Classification],"&gt;0")</f>
        <v>0</v>
      </c>
      <c r="PG108" s="6">
        <f>COUNTIFS(Table138[Country],Tabela1[[#This Row],[Country]],Table138[1000m Classification],"&gt;0")</f>
        <v>0</v>
      </c>
      <c r="PH108" s="6">
        <f>COUNTIFS(Table138141[Country],Tabela1[[#This Row],[Country]],Table138141[1000m Classification],"&gt;0")</f>
        <v>0</v>
      </c>
      <c r="PI108" s="6">
        <f>COUNTIFS(Table138[Country],Tabela1[[#This Row],[Country]],Table138[1500m Classification],"&gt;0")</f>
        <v>0</v>
      </c>
      <c r="PJ108" s="6">
        <f>COUNTIFS(Table138141[Country],Tabela1[[#This Row],[Country]],Table138141[1500m Classification],"&gt;0")</f>
        <v>0</v>
      </c>
      <c r="PK108" s="6">
        <f>COUNTIFS(Table141[Country],Tabela1[[#This Row],[Country]],Table141[Men''s 5000m Relay Classification],"&gt;0")</f>
        <v>0</v>
      </c>
      <c r="PL108" s="6">
        <f>COUNTIFS(Table141[Country],Tabela1[[#This Row],[Country]],Table141[Women''s 3000m Relay Classification],"&gt;0")</f>
        <v>0</v>
      </c>
      <c r="PM108" s="6">
        <f>COUNTIFS(Table141[Country],Tabela1[[#This Row],[Country]],Table141[Mixed 2000m Relay Classification],"&gt;0")</f>
        <v>0</v>
      </c>
      <c r="PN108" s="6">
        <f>COUNTIFS(Table142[Country],Tabela1[[#This Row],[Country]],Table142[Classification],"&gt;0")</f>
        <v>0</v>
      </c>
      <c r="PO108" s="6">
        <f>COUNTIFS(Table142145[Country],Tabela1[[#This Row],[Country]],Table142145[Classification],"&gt;0")</f>
        <v>0</v>
      </c>
      <c r="PP108" s="6">
        <f>COUNTIFS(Tabela15[Country],Tabela1[[#This Row],[Country]],Tabela15[Mixed Team Classification],"&gt;0")</f>
        <v>0</v>
      </c>
      <c r="PQ108" s="6">
        <f>COUNTIFS(Table145[Country],Tabela1[[#This Row],[Country]],Table145[Large Hill Classification],"&gt;0")</f>
        <v>0</v>
      </c>
      <c r="PR108" s="6">
        <f>COUNTIFS(Table145[Country],Tabela1[[#This Row],[Country]],Table145[Normal Hill Classification],"&gt;0")</f>
        <v>0</v>
      </c>
      <c r="PS108" s="6">
        <f>COUNTIFS(Table145148[Country],Tabela1[[#This Row],[Country]],Table145148[Large Hill Classification],"&gt;0")</f>
        <v>0</v>
      </c>
      <c r="PT108" s="6">
        <f>COUNTIFS(Table145148[Country],Tabela1[[#This Row],[Country]],Table145148[Normal Hill Classification],"&gt;0")</f>
        <v>0</v>
      </c>
      <c r="PU108" s="6">
        <f>COUNTIFS(Table148[Country],Tabela1[[#This Row],[Country]],Table148[Men''s Super Team Classification],"&gt;0")</f>
        <v>0</v>
      </c>
      <c r="PV108" s="6">
        <f>COUNTIFS(Tabela114[Country],Tabela1[[#This Row],[Country]],Tabela114[Mixed Normal Hill Classification],"&gt;0")</f>
        <v>0</v>
      </c>
      <c r="PW108" s="6">
        <f>COUNTIFS(Tabela50[Country],Tabela1[[#This Row],[Country]],Tabela50[Sprint Classification],"&gt;0")</f>
        <v>0</v>
      </c>
      <c r="PX108" s="6">
        <f>COUNTIFS(Tabela50101[Country],Tabela1[[#This Row],[Country]],Tabela50101[Sprint Classification],"&gt;0")</f>
        <v>0</v>
      </c>
      <c r="PY108" s="6">
        <f>COUNTIFS(Tabela103[Country],Tabela1[[#This Row],[Country]],Tabela103[Mixed Relay Classification],"&gt;0")</f>
        <v>0</v>
      </c>
      <c r="PZ108" s="6">
        <f>COUNTIFS(Table149[Country],Tabela1[[#This Row],[Country]],Table149[Big Air Classification],"&gt;0")</f>
        <v>0</v>
      </c>
      <c r="QA108" s="6">
        <f>COUNTIFS(Table149152[Country],Tabela1[[#This Row],[Country]],Table149152[Big Air Classification],"&gt;0")</f>
        <v>0</v>
      </c>
      <c r="QB108" s="6">
        <f>COUNTIFS(Table149[Country],Tabela1[[#This Row],[Country]],Table149[Halfpipe Classification],"&gt;0")</f>
        <v>0</v>
      </c>
      <c r="QC108" s="6">
        <f>COUNTIFS(Table149152[Country],Tabela1[[#This Row],[Country]],Table149152[Halfpipe Classification],"&gt;0")</f>
        <v>0</v>
      </c>
      <c r="QD108" s="6">
        <f>COUNTIFS(Table149[Country],Tabela1[[#This Row],[Country]],Table149[Parallel Giant Slalom Classification],"&gt;0")</f>
        <v>0</v>
      </c>
      <c r="QE108" s="6">
        <f>COUNTIFS(Table149152[Country],Tabela1[[#This Row],[Country]],Table149152[Parallel Giant Slalom Classification],"&gt;0")</f>
        <v>0</v>
      </c>
      <c r="QF108" s="6">
        <f>COUNTIFS(Table149[Country],Tabela1[[#This Row],[Country]],Table149[Slopestyle Classification],"&gt;0")</f>
        <v>0</v>
      </c>
      <c r="QG108" s="6">
        <f>COUNTIFS(Table149152[Country],Tabela1[[#This Row],[Country]],Table149152[Slopestyle Classification],"&gt;0")</f>
        <v>0</v>
      </c>
      <c r="QH108" s="6">
        <f>COUNTIFS(Table149[Country],Tabela1[[#This Row],[Country]],Table149[Snowboard Cross Classification],"&gt;0")</f>
        <v>0</v>
      </c>
      <c r="QI108" s="6">
        <f>COUNTIFS(Table149152[Country],Tabela1[[#This Row],[Country]],Table149152[Snowboard Cross Classification],"&gt;0")</f>
        <v>0</v>
      </c>
      <c r="QJ108" s="6">
        <f>COUNTIFS(Table153[Country],Tabela1[[#This Row],[Country]],Table153[Mixed Team Snowboard Cross Classification],"&gt;0")</f>
        <v>0</v>
      </c>
      <c r="QK108" s="6">
        <f>COUNTIFS(Table154[Country],Tabela1[[#This Row],[Country]],Table154[500m Classification],"&gt;0")</f>
        <v>0</v>
      </c>
      <c r="QL108" s="6">
        <f>COUNTIFS(Table154157[Country],Tabela1[[#This Row],[Country]],Table154157[500m Classification],"&gt;0")</f>
        <v>0</v>
      </c>
      <c r="QM108" s="6">
        <f>COUNTIFS(Table154[Country],Tabela1[[#This Row],[Country]],Table154[1000m Classification],"&gt;0")</f>
        <v>0</v>
      </c>
      <c r="QN108" s="6">
        <f>COUNTIFS(Table154157[Country],Tabela1[[#This Row],[Country]],Table154157[1000m Classification],"&gt;0")</f>
        <v>0</v>
      </c>
      <c r="QO108" s="6">
        <f>COUNTIFS(Table154[Country],Tabela1[[#This Row],[Country]],Table154[1500m Classification],"&gt;0")</f>
        <v>0</v>
      </c>
      <c r="QP108" s="6">
        <f>COUNTIFS(Table154157[Country],Tabela1[[#This Row],[Country]],Table154157[1500m Classification],"&gt;0")</f>
        <v>0</v>
      </c>
      <c r="QQ108" s="6">
        <f>COUNTIFS(Table154157[Country],Tabela1[[#This Row],[Country]],Table154157[3000m Classification],"&gt;0")</f>
        <v>0</v>
      </c>
      <c r="QR108" s="6">
        <f>COUNTIFS(Table154[Country],Tabela1[[#This Row],[Country]],Table154[5000m Classification],"&gt;0")</f>
        <v>0</v>
      </c>
      <c r="QS108" s="6">
        <f>COUNTIFS(Table154157[Country],Tabela1[[#This Row],[Country]],Table154157[5000m Classification],"&gt;0")</f>
        <v>0</v>
      </c>
      <c r="QT108" s="6">
        <f>COUNTIFS(Table154[Country],Tabela1[[#This Row],[Country]],Table154[10000m Classification],"&gt;0")</f>
        <v>0</v>
      </c>
      <c r="QU108" s="6">
        <f>COUNTIFS(Table154[Country],Tabela1[[#This Row],[Country]],Table154[Mass Start Classification],"&gt;0")</f>
        <v>0</v>
      </c>
      <c r="QV108" s="6">
        <f>COUNTIFS(Table154157[Country],Tabela1[[#This Row],[Country]],Table154157[Mass Start Classification],"&gt;0")</f>
        <v>0</v>
      </c>
      <c r="QW108" s="6">
        <f>COUNTIFS(Table157[Country],Tabela1[[#This Row],[Country]],Table157[Men''s Pursuit Classification],"&gt;0")</f>
        <v>0</v>
      </c>
      <c r="QX108" s="6">
        <f>COUNTIFS(Table157[Country],Tabela1[[#This Row],[Country]],Table157[Women''s Pursuit Classification],"&gt;0")</f>
        <v>0</v>
      </c>
      <c r="QY108" s="3" t="s">
        <v>681</v>
      </c>
    </row>
    <row r="109" spans="1:467" x14ac:dyDescent="0.3">
      <c r="A109" s="6">
        <v>108</v>
      </c>
      <c r="B109" s="6" t="s">
        <v>530</v>
      </c>
      <c r="C109" t="e" vm="108">
        <f>IF(ISBLANK(Tabela1[[#This Row],[Image Link]]), "", _xlfn.IMAGE(Tabela1[[#This Row],[Image Link]],1,1))</f>
        <v>#VALUE!</v>
      </c>
      <c r="D109" s="6">
        <f>SUM(Tabela1[[#This Row],[Archery - Men''s Individual Recurve]:[Speed Skating - Women''s Team Pursuit]])</f>
        <v>3</v>
      </c>
      <c r="E109" s="6">
        <f>COUNTIF(Tabela1[[#This Row],[Archery - Men''s Individual Recurve]:[Speed Skating - Women''s Team Pursuit]],"&gt;0")</f>
        <v>3</v>
      </c>
      <c r="F109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Winter Olympics</v>
      </c>
      <c r="G109" s="6">
        <f>SUM(Tabela1[[#This Row],[Archery - Men''s Individual Recurve]:[Wrestling - Women''s Freestyle 76kg]])</f>
        <v>1</v>
      </c>
      <c r="H109" s="6">
        <f>SUM(Tabela1[[#This Row],[Alpine Skiing - Men''s Downhill]:[Speed Skating - Women''s Team Pursuit]])</f>
        <v>2</v>
      </c>
      <c r="I109" s="6">
        <f>Tabela1[[#This Row],[Summer Gold Medals]]+Tabela1[[#This Row],[Winter Gold Medals]]</f>
        <v>0</v>
      </c>
      <c r="J109" s="6">
        <f>Tabela1[[#This Row],[Summer Silver Medals]]+Tabela1[[#This Row],[Winter Silver Medals]]</f>
        <v>0</v>
      </c>
      <c r="K109" s="6">
        <f>Tabela1[[#This Row],[Summer Bronze Medals]]+Tabela1[[#This Row],[Winter Bronze Medals]]</f>
        <v>0</v>
      </c>
      <c r="L109" s="6">
        <f>SUM(Tabela1[[#This Row],[Total Gold Medals]:[Total Bronze Medals]])</f>
        <v>0</v>
      </c>
      <c r="M109" s="6"/>
      <c r="N109" s="6"/>
      <c r="O109" s="6"/>
      <c r="P109" s="6">
        <f>SUM(Tabela1[[#This Row],[Summer Gold Medals]:[Summer Bronze Medals]])</f>
        <v>0</v>
      </c>
      <c r="Q109" s="6"/>
      <c r="R109" s="6"/>
      <c r="S109" s="6"/>
      <c r="T109" s="6">
        <f>Tabela1[[#This Row],[Winter Gold Medals]]+Tabela1[[#This Row],[Winter Silver Medals]]+Tabela1[[#This Row],[Winter Bronze Medals]]</f>
        <v>0</v>
      </c>
      <c r="U109" s="7">
        <f>Tabela1[[#This Row],[Total Medals]]/Tabela1[[#This Row],[Total Quotas]]</f>
        <v>0</v>
      </c>
      <c r="V109" s="6">
        <f>COUNTIFS(Table3[Country],Tabela1[[#This Row],[Country]],Table3[Recurve Classification],"&gt;0")</f>
        <v>0</v>
      </c>
      <c r="W109" s="6">
        <f>COUNTIFS(Table33[Country],Tabela1[[#This Row],[Country]],Table33[Recurve Classification],"&gt;0")</f>
        <v>0</v>
      </c>
      <c r="X109" s="6">
        <f>COUNTIFS(Table35[Country],Tabela1[[#This Row],[Country]],Table35[Men''s Team Recurve Classification],"&gt;0")</f>
        <v>0</v>
      </c>
      <c r="Y109" s="6">
        <f>COUNTIFS(Table35[Country],Tabela1[[#This Row],[Country]],Table35[Women''s Team Recurve Classification],"&gt;0")</f>
        <v>0</v>
      </c>
      <c r="Z109" s="6">
        <f>COUNTIFS(Tabela88[Country],Tabela1[[#This Row],[Country]],Tabela88[Mixed Team Recurve Classification],"&gt;0")</f>
        <v>0</v>
      </c>
      <c r="AA109" s="6">
        <f>COUNTIFS(Table36[Country],Tabela1[[#This Row],[Country]],Table36[Classification],"&gt;0")</f>
        <v>0</v>
      </c>
      <c r="AB109" s="6">
        <f>COUNTIFS(Table37[Country],Tabela1[[#This Row],[Country]],Table37[Classification],"&gt;0")</f>
        <v>0</v>
      </c>
      <c r="AC109" s="6">
        <f>COUNTIFS(Table4[Country],Tabela1[[#This Row],[Country]],Table4[100m Classification],"&gt;0")</f>
        <v>0</v>
      </c>
      <c r="AD109" s="6">
        <f>COUNTIFS(Table5[Country],Tabela1[[#This Row],[Country]],Table5[100m Classification],"&gt;0")</f>
        <v>0</v>
      </c>
      <c r="AE109" s="6">
        <f>COUNTIFS(Table4[Country],Tabela1[[#This Row],[Country]],Table4[200m Classification],"&gt;0")</f>
        <v>0</v>
      </c>
      <c r="AF109" s="6">
        <f>COUNTIFS(Table5[Country],Tabela1[[#This Row],[Country]],Table5[200m Classification],"&gt;0")</f>
        <v>0</v>
      </c>
      <c r="AG109" s="6">
        <f>COUNTIFS(Table4[Country],Tabela1[[#This Row],[Country]],Table4[400m Classification],"&gt;0")</f>
        <v>0</v>
      </c>
      <c r="AH109" s="6">
        <f>COUNTIFS(Table5[Country],Tabela1[[#This Row],[Country]],Table5[400m Classification],"&gt;0")</f>
        <v>0</v>
      </c>
      <c r="AI109" s="6">
        <f>COUNTIFS(Table4[Country],Tabela1[[#This Row],[Country]],Table4[800m Classification],"&gt;0")</f>
        <v>0</v>
      </c>
      <c r="AJ109" s="6">
        <f>COUNTIFS(Table5[Country],Tabela1[[#This Row],[Country]],Table5[800m Classification],"&gt;0")</f>
        <v>0</v>
      </c>
      <c r="AK109" s="6">
        <f>COUNTIFS(Table4[Country],Tabela1[[#This Row],[Country]],Table4[1500m Classification],"&gt;0")</f>
        <v>0</v>
      </c>
      <c r="AL109" s="6">
        <f>COUNTIFS(Table5[Country],Tabela1[[#This Row],[Country]],Table5[1500m Classification],"&gt;0")</f>
        <v>0</v>
      </c>
      <c r="AM109" s="6">
        <f>COUNTIFS(Table4[Country],Tabela1[[#This Row],[Country]],Table4[5000m Classification],"&gt;0")</f>
        <v>0</v>
      </c>
      <c r="AN109" s="6">
        <f>COUNTIFS(Table5[Country],Tabela1[[#This Row],[Country]],Table5[5000m Classification],"&gt;0")</f>
        <v>0</v>
      </c>
      <c r="AO109" s="6">
        <f>COUNTIFS(Table4[Country],Tabela1[[#This Row],[Country]],Table4[10000m Classification],"&gt;0")</f>
        <v>0</v>
      </c>
      <c r="AP109" s="6">
        <f>COUNTIFS(Table5[Country],Tabela1[[#This Row],[Country]],Table5[10000m Classification],"&gt;0")</f>
        <v>0</v>
      </c>
      <c r="AQ109" s="6">
        <f>COUNTIFS(Table4[Country],Tabela1[[#This Row],[Country]],Table4[110m Hurdles Classification],"&gt;0")</f>
        <v>0</v>
      </c>
      <c r="AR109" s="6">
        <f>COUNTIFS(Table5[Country],Tabela1[[#This Row],[Country]],Table5[100m Hurdles Classification],"&gt;0")</f>
        <v>0</v>
      </c>
      <c r="AS109" s="6">
        <f>COUNTIFS(Table4[Country],Tabela1[[#This Row],[Country]],Table4[400m Hurdles Classification],"&gt;0")</f>
        <v>0</v>
      </c>
      <c r="AT109" s="6">
        <f>COUNTIFS(Table5[Country],Tabela1[[#This Row],[Country]],Table5[400m Hurdles Classification],"&gt;0")</f>
        <v>0</v>
      </c>
      <c r="AU109" s="6">
        <f>COUNTIFS(Table4[Country],Tabela1[[#This Row],[Country]],Table4[3000m Steeplechase Classification],"&gt;0")</f>
        <v>0</v>
      </c>
      <c r="AV109" s="6">
        <f>COUNTIFS(Table5[Country],Tabela1[[#This Row],[Country]],Table5[3000m Steeplechase Classification],"&gt;0")</f>
        <v>0</v>
      </c>
      <c r="AW109" s="6">
        <f>COUNTIFS(Table27[Country],Tabela1[[#This Row],[Country]],Table27[Men''s 4x100m Relay Classification],"&gt;0")</f>
        <v>0</v>
      </c>
      <c r="AX109" s="6">
        <f>COUNTIFS(Table27[Country],Tabela1[[#This Row],[Country]],Table27[Women''s 4x100m Relay Classification],"&gt;0")</f>
        <v>0</v>
      </c>
      <c r="AY109" s="6">
        <f>COUNTIFS(Table27[Country],Tabela1[[#This Row],[Country]],Table27[Men''s 4x400m Relay Classification],"&gt;0")</f>
        <v>0</v>
      </c>
      <c r="AZ109" s="6">
        <f>COUNTIFS(Table27[Country],Tabela1[[#This Row],[Country]],Table27[Women''s 4x400m Relay Classification],"&gt;0")</f>
        <v>0</v>
      </c>
      <c r="BA109" s="6">
        <f>COUNTIFS(Table27[Country],Tabela1[[#This Row],[Country]],Table27[Mixed 4x400m Relay Classification],"&gt;0")</f>
        <v>0</v>
      </c>
      <c r="BB109" s="6">
        <f>COUNTIFS(Table4[Country],Tabela1[[#This Row],[Country]],Table4[Marathon Classification],"&gt;0")</f>
        <v>0</v>
      </c>
      <c r="BC109" s="6">
        <f>COUNTIFS(Table5[Country],Tabela1[[#This Row],[Country]],Table5[Marathon Classification],"&gt;0")</f>
        <v>0</v>
      </c>
      <c r="BD109" s="6">
        <f>COUNTIFS(Table4[Country],Tabela1[[#This Row],[Country]],Table4[20km Race Walk Classification],"&gt;0")</f>
        <v>0</v>
      </c>
      <c r="BE109" s="6">
        <f>COUNTIFS(Table5[Country],Tabela1[[#This Row],[Country]],Table5[20km Race Walk Classification],"&gt;0")</f>
        <v>0</v>
      </c>
      <c r="BF109" s="6">
        <f>COUNTIFS(Tabela96[Country],Tabela1[[#This Row],[Country]],Tabela96[Mixed Marathon Race Walk Relay Classification],"&gt;0")</f>
        <v>0</v>
      </c>
      <c r="BG109" s="6">
        <f>COUNTIFS(Table4[Country],Tabela1[[#This Row],[Country]],Table4[Discus Throw Classification],"&gt;0")</f>
        <v>0</v>
      </c>
      <c r="BH109" s="6">
        <f>COUNTIFS(Table5[Country],Tabela1[[#This Row],[Country]],Table5[Discus Throw Classification],"&gt;0")</f>
        <v>0</v>
      </c>
      <c r="BI109" s="6">
        <f>COUNTIFS(Table4[Country],Tabela1[[#This Row],[Country]],Table4[Hammer Throw Classification],"&gt;0")</f>
        <v>0</v>
      </c>
      <c r="BJ109" s="6">
        <f>COUNTIFS(Table5[Country],Tabela1[[#This Row],[Country]],Table5[Hammer Throw Classification],"&gt;0")</f>
        <v>0</v>
      </c>
      <c r="BK109" s="6">
        <f>COUNTIFS(Table4[Country],Tabela1[[#This Row],[Country]],Table4[High Jump Classification],"&gt;0")</f>
        <v>0</v>
      </c>
      <c r="BL109" s="6">
        <f>COUNTIFS(Table5[Country],Tabela1[[#This Row],[Country]],Table5[High Jump Classification],"&gt;0")</f>
        <v>0</v>
      </c>
      <c r="BM109" s="6">
        <f>COUNTIFS(Table4[Country],Tabela1[[#This Row],[Country]],Table4[Javelin Throw Classification],"&gt;0")</f>
        <v>0</v>
      </c>
      <c r="BN109" s="6">
        <f>COUNTIFS(Table5[Country],Tabela1[[#This Row],[Country]],Table5[Javelin Throw Classification],"&gt;0")</f>
        <v>0</v>
      </c>
      <c r="BO109" s="6">
        <f>COUNTIFS(Table4[Country],Tabela1[[#This Row],[Country]],Table4[Long Jump Classification],"&gt;0")</f>
        <v>0</v>
      </c>
      <c r="BP109" s="6">
        <f>COUNTIFS(Table5[Country],Tabela1[[#This Row],[Country]],Table5[Long Jump Classification],"&gt;0")</f>
        <v>0</v>
      </c>
      <c r="BQ109" s="6">
        <f>COUNTIFS(Table4[Country],Tabela1[[#This Row],[Country]],Table4[Pole Vault Classification],"&gt;0")</f>
        <v>0</v>
      </c>
      <c r="BR109" s="6">
        <f>COUNTIFS(Table5[Country],Tabela1[[#This Row],[Country]],Table5[Pole Vault Classification],"&gt;0")</f>
        <v>0</v>
      </c>
      <c r="BS109" s="6">
        <f>COUNTIFS(Table4[Country],Tabela1[[#This Row],[Country]],Table4[Shot Put Classification],"&gt;0")</f>
        <v>0</v>
      </c>
      <c r="BT109" s="6">
        <f>COUNTIFS(Table5[Country],Tabela1[[#This Row],[Country]],Table5[Shot Put Classification],"&gt;0")</f>
        <v>0</v>
      </c>
      <c r="BU109" s="6">
        <f>COUNTIFS(Table4[Country],Tabela1[[#This Row],[Country]],Table4[Triple Jump Classification],"&gt;0")</f>
        <v>0</v>
      </c>
      <c r="BV109" s="6">
        <f>COUNTIFS(Table5[Country],Tabela1[[#This Row],[Country]],Table5[Triple Jump Classification],"&gt;0")</f>
        <v>0</v>
      </c>
      <c r="BW109" s="6">
        <f>COUNTIFS(Table4[Country],Tabela1[[#This Row],[Country]],Table4[Decathlon Classification],"&gt;0")</f>
        <v>0</v>
      </c>
      <c r="BX109" s="6">
        <f>COUNTIFS(Table5[Country],Tabela1[[#This Row],[Country]],Table5[Heptathlon Classification],"&gt;0")</f>
        <v>0</v>
      </c>
      <c r="BY109" s="6">
        <f>COUNTIFS(Table61[Country],Tabela1[[#This Row],[Country]],Table61[Classification],"&gt;0")</f>
        <v>0</v>
      </c>
      <c r="BZ109" s="6">
        <f>COUNTIFS(Table38[Country],Tabela1[[#This Row],[Country]],Table38[Classification],"&gt;0")</f>
        <v>0</v>
      </c>
      <c r="CA109" s="6">
        <f>COUNTIFS(Table39[Country],Tabela1[[#This Row],[Country]],Table39[Men''s Classification],"&gt;0")</f>
        <v>0</v>
      </c>
      <c r="CB109" s="6">
        <f>COUNTIFS(Table39[Country],Tabela1[[#This Row],[Country]],Table39[Women''s Classification],"&gt;0")</f>
        <v>0</v>
      </c>
      <c r="CC109" s="6">
        <f>COUNTIFS(Table39[Country],Tabela1[[#This Row],[Country]],Table39[Mixed Classification],"&gt;0")</f>
        <v>0</v>
      </c>
      <c r="CD109" s="6">
        <f>COUNTIFS(Table89[Country],Tabela1[[#This Row],[Country]],Table89[Men''s Classification],"&gt;0")</f>
        <v>0</v>
      </c>
      <c r="CE109" s="6">
        <f>COUNTIFS(Table89[Country],Tabela1[[#This Row],[Country]],Table89[Women''s Classification],"&gt;0")</f>
        <v>0</v>
      </c>
      <c r="CF109" s="6">
        <f>COUNTIFS(Table90[Country],Tabela1[[#This Row],[Country]],Table90[Men''s Classification],"&gt;0")</f>
        <v>0</v>
      </c>
      <c r="CG109" s="6">
        <f>COUNTIFS(Table90[Country],Tabela1[[#This Row],[Country]],Table90[Women''s Classification],"&gt;0")</f>
        <v>0</v>
      </c>
      <c r="CH109" s="6">
        <f>COUNTIFS(Table60[Country],Tabela1[[#This Row],[Country]],Table60[Men''s Classification],"&gt;0")</f>
        <v>0</v>
      </c>
      <c r="CI109" s="6">
        <f>COUNTIFS(Table60[Country],Tabela1[[#This Row],[Country]],Table60[Women''s Classification],"&gt;0")</f>
        <v>0</v>
      </c>
      <c r="CJ109" s="6">
        <f>COUNTIFS(Table6[Country],Tabela1[[#This Row],[Country]],Table6[51kg Classification],"&gt;0")</f>
        <v>0</v>
      </c>
      <c r="CK109" s="6">
        <f>COUNTIFS(Table6[Country],Tabela1[[#This Row],[Country]],Table6[57kg Classification],"&gt;0")</f>
        <v>0</v>
      </c>
      <c r="CL109" s="6">
        <f>COUNTIFS(Table6[Country],Tabela1[[#This Row],[Country]],Table6[63.5kg Classification],"&gt;0")</f>
        <v>0</v>
      </c>
      <c r="CM109" s="6">
        <f>COUNTIFS(Table6[Country],Tabela1[[#This Row],[Country]],Table6[71kg Classification],"&gt;0")</f>
        <v>0</v>
      </c>
      <c r="CN109" s="6">
        <f>COUNTIFS(Table6[Country],Tabela1[[#This Row],[Country]],Table6[80kg Classification],"&gt;0")</f>
        <v>0</v>
      </c>
      <c r="CO109" s="6">
        <f>COUNTIFS(Table6[Country],Tabela1[[#This Row],[Country]],Table6[92kg Classification],"&gt;0")</f>
        <v>0</v>
      </c>
      <c r="CP109" s="6">
        <f>COUNTIFS(Table6[Country],Tabela1[[#This Row],[Country]],Table6[Plus 92kg Classification],"&gt;0")</f>
        <v>0</v>
      </c>
      <c r="CQ109" s="6">
        <f>COUNTIFS(Table7[Country],Tabela1[[#This Row],[Country]],Table7[50kg Classification],"&gt;0")</f>
        <v>0</v>
      </c>
      <c r="CR109" s="6">
        <f>COUNTIFS(Table7[Country],Tabela1[[#This Row],[Country]],Table7[54kg Classification],"&gt;0")</f>
        <v>0</v>
      </c>
      <c r="CS109" s="6">
        <f>COUNTIFS(Table7[Country],Tabela1[[#This Row],[Country]],Table7[57kg Classification],"&gt;0")</f>
        <v>0</v>
      </c>
      <c r="CT109" s="6">
        <f>COUNTIFS(Table7[Country],Tabela1[[#This Row],[Country]],Table7[60kg Classification],"&gt;0")</f>
        <v>0</v>
      </c>
      <c r="CU109" s="6">
        <f>COUNTIFS(Table7[Country],Tabela1[[#This Row],[Country]],Table7[66kg Classification],"&gt;0")</f>
        <v>0</v>
      </c>
      <c r="CV109" s="6">
        <f>COUNTIFS(Table7[Country],Tabela1[[#This Row],[Country]],Table7[75kg Classification],"&gt;0")</f>
        <v>0</v>
      </c>
      <c r="CW109" s="6">
        <f>COUNTIFS(Tabela94[Country],Tabela1[[#This Row],[Country]],Tabela94[Classification],"&gt;0")</f>
        <v>0</v>
      </c>
      <c r="CX109" s="6">
        <f>COUNTIFS(Tabela9499[Country],Tabela1[[#This Row],[Country]],Tabela9499[Classification],"&gt;0")</f>
        <v>0</v>
      </c>
      <c r="CY109" s="6">
        <f>COUNTIFS(Tabela107[Country],Tabela1[[#This Row],[Country]],Tabela107[C1 Slalom Classification],"&gt;0")</f>
        <v>0</v>
      </c>
      <c r="CZ109" s="6">
        <f>COUNTIFS(Tabela107122[Country],Tabela1[[#This Row],[Country]],Tabela107122[C1 Slalom Classification],"&gt;0")</f>
        <v>0</v>
      </c>
      <c r="DA109" s="6">
        <f>COUNTIFS(Tabela107[Country],Tabela1[[#This Row],[Country]],Tabela107[K1 Slalom Classification],"&gt;0")</f>
        <v>0</v>
      </c>
      <c r="DB109" s="6">
        <f>COUNTIFS(Tabela107122[Country],Tabela1[[#This Row],[Country]],Tabela107122[K1 Slalom Classification],"&gt;0")</f>
        <v>0</v>
      </c>
      <c r="DC109" s="6">
        <f>COUNTIFS(Tabela107[Country],Tabela1[[#This Row],[Country]],Tabela107[Kayak Cross Slalom Classification],"&gt;0")</f>
        <v>0</v>
      </c>
      <c r="DD109" s="6">
        <f>COUNTIFS(Tabela107122[Country],Tabela1[[#This Row],[Country]],Tabela107122[Kayak Cross Slalom Classification],"&gt;0")</f>
        <v>0</v>
      </c>
      <c r="DE109" s="6">
        <f>COUNTIFS(Table8[Country],Tabela1[[#This Row],[Country]],Table8[C1 200m Classification],"&gt;0")</f>
        <v>0</v>
      </c>
      <c r="DF109" s="6">
        <f>COUNTIFS(Table40[Country],Tabela1[[#This Row],[Country]],Table40[C1 1000m Classification],"&gt;0")</f>
        <v>0</v>
      </c>
      <c r="DG109" s="6">
        <f>COUNTIFS(Table68[Country],Tabela1[[#This Row],[Country]],Table68[Men''s C2 500m Classification],"&gt;0")</f>
        <v>0</v>
      </c>
      <c r="DH109" s="6">
        <f>COUNTIFS(Table68[Country],Tabela1[[#This Row],[Country]],Table68[Women''s C2 500m Classification],"&gt;0")</f>
        <v>0</v>
      </c>
      <c r="DI109" s="6">
        <f>COUNTIFS(Table8[Country],Tabela1[[#This Row],[Country]],Table8[K1 500m Classification],"&gt;0")</f>
        <v>0</v>
      </c>
      <c r="DJ109" s="6">
        <f>COUNTIFS(Table40[Country],Tabela1[[#This Row],[Country]],Table40[K1 1000m Classification],"&gt;0")</f>
        <v>0</v>
      </c>
      <c r="DK109" s="6">
        <f>COUNTIFS(Table68[Country],Tabela1[[#This Row],[Country]],Table68[Men''s K2 500m Classification],"&gt;0")</f>
        <v>0</v>
      </c>
      <c r="DL109" s="6">
        <f>COUNTIFS(Table68[Country],Tabela1[[#This Row],[Country]],Table68[Women''s K2 500m Classification],"&gt;0")</f>
        <v>0</v>
      </c>
      <c r="DM109" s="6">
        <f>COUNTIFS(Table83[Country],Tabela1[[#This Row],[Country]],Table83[Men''s K4 500m Classification],"&gt;0")</f>
        <v>0</v>
      </c>
      <c r="DN109" s="6">
        <f>COUNTIFS(Table83[Country],Tabela1[[#This Row],[Country]],Table83[Women''s K4 500m Classification],"&gt;0")</f>
        <v>0</v>
      </c>
      <c r="DO109" s="6">
        <f>COUNTIFS(Tabela126[Country],Tabela1[[#This Row],[Country]],Tabela126[Classification],"&gt;0")</f>
        <v>0</v>
      </c>
      <c r="DP109" s="6">
        <f>COUNTIFS(Tabela126130[Country],Tabela1[[#This Row],[Country]],Tabela126130[Classification],"&gt;0")</f>
        <v>0</v>
      </c>
      <c r="DQ109" s="6">
        <f>COUNTIFS(Table70[Country],Tabela1[[#This Row],[Country]],Table70[Classification],"&gt;0")</f>
        <v>0</v>
      </c>
      <c r="DR109" s="6">
        <f>COUNTIFS(Table80[Country],Tabela1[[#This Row],[Country]],Table80[Classification],"&gt;0")</f>
        <v>0</v>
      </c>
      <c r="DS109" s="6">
        <f>COUNTIFS(Table66[Country],Tabela1[[#This Row],[Country]],Table66[Classification],"&gt;0")</f>
        <v>0</v>
      </c>
      <c r="DT109" s="6">
        <f>COUNTIFS(Table67[Country],Tabela1[[#This Row],[Country]],Table67[Classification],"&gt;0")</f>
        <v>0</v>
      </c>
      <c r="DU109" s="6">
        <f>COUNTIFS(Table69[Country],Tabela1[[#This Row],[Country]],Table69[Keirin Classification],"&gt;0")</f>
        <v>0</v>
      </c>
      <c r="DV109" s="6">
        <f>COUNTIFS(Table41[Country],Tabela1[[#This Row],[Country]],Table41[Keirin Classification],"&gt;0")</f>
        <v>0</v>
      </c>
      <c r="DW109" s="6">
        <f>COUNTIFS(Table84[Country],Tabela1[[#This Row],[Country]],Table84[Men''s Madison Classification],"&gt;0")</f>
        <v>0</v>
      </c>
      <c r="DX109" s="6">
        <f>COUNTIFS(Table84[Country],Tabela1[[#This Row],[Country]],Table84[Women''s Madison Classification],"&gt;0")</f>
        <v>0</v>
      </c>
      <c r="DY109" s="6">
        <f>COUNTIFS(Table69[Country],Tabela1[[#This Row],[Country]],Table69[Omnium Classification],"&gt;0")</f>
        <v>0</v>
      </c>
      <c r="DZ109" s="6">
        <f>COUNTIFS(Table41[Country],Tabela1[[#This Row],[Country]],Table41[Omnium Classification],"&gt;0")</f>
        <v>0</v>
      </c>
      <c r="EA109" s="6">
        <f>COUNTIFS(Table9[Country],Tabela1[[#This Row],[Country]],Table9[Road Race Classification],"&gt;0")</f>
        <v>0</v>
      </c>
      <c r="EB109" s="6">
        <f>COUNTIFS(Table14[Country],Tabela1[[#This Row],[Country]],Table14[Road Race Classification],"&gt;0")</f>
        <v>0</v>
      </c>
      <c r="EC109" s="6">
        <f>COUNTIFS(Table69[Country],Tabela1[[#This Row],[Country]],Table69[Sprint Classification],"&gt;0")</f>
        <v>0</v>
      </c>
      <c r="ED109" s="6">
        <f>COUNTIFS(Table41[Country],Tabela1[[#This Row],[Country]],Table41[Sprint Classification],"&gt;0")</f>
        <v>0</v>
      </c>
      <c r="EE109" s="6">
        <f>COUNTIFS(Table85[Country],Tabela1[[#This Row],[Country]],Table85[Men''s Sprint Classification],"&gt;0")</f>
        <v>0</v>
      </c>
      <c r="EF109" s="6">
        <f>COUNTIFS(Table85[Country],Tabela1[[#This Row],[Country]],Table85[Women''s Sprint Classification],"&gt;0")</f>
        <v>0</v>
      </c>
      <c r="EG109" s="6">
        <f>COUNTIFS(Table85[Country],Tabela1[[#This Row],[Country]],Table85[Men''s Pursuit Classification],"&gt;0")</f>
        <v>0</v>
      </c>
      <c r="EH109" s="6">
        <f>COUNTIFS(Table85[Country],Tabela1[[#This Row],[Country]],Table85[Women''s Pursuit Classification],"&gt;0")</f>
        <v>0</v>
      </c>
      <c r="EI109" s="6">
        <f>COUNTIFS(Table9[Country],Tabela1[[#This Row],[Country]],Table9[Time-Trial Classification],"&gt;0")</f>
        <v>0</v>
      </c>
      <c r="EJ109" s="6">
        <f>COUNTIFS(Table14[Country],Tabela1[[#This Row],[Country]],Table14[Time-Trial Classification],"&gt;0")</f>
        <v>0</v>
      </c>
      <c r="EK109" s="6">
        <f>COUNTIFS(Table42[Country],Tabela1[[#This Row],[Country]],Table42[Springboard Classification],"&gt;0")</f>
        <v>0</v>
      </c>
      <c r="EL109" s="6">
        <f>COUNTIFS(Table43[Country],Tabela1[[#This Row],[Country]],Table43[Springboard Classification],"&gt;0")</f>
        <v>0</v>
      </c>
      <c r="EM109" s="6">
        <f>COUNTIFS(Table42[Country],Tabela1[[#This Row],[Country]],Table42[Platform Classification],"&gt;0")</f>
        <v>0</v>
      </c>
      <c r="EN109" s="6">
        <f>COUNTIFS(Table43[Country],Tabela1[[#This Row],[Country]],Table43[Platform Classification],"&gt;0")</f>
        <v>0</v>
      </c>
      <c r="EO109" s="6">
        <f>COUNTIFS(Table86[Country],Tabela1[[#This Row],[Country]],Table86[Men''s Synchronized Springboard Classification],"&gt;0")</f>
        <v>0</v>
      </c>
      <c r="EP109" s="6">
        <f>COUNTIFS(Table86[Country],Tabela1[[#This Row],[Country]],Table86[Women''s Synchronized Springboard Classification],"&gt;0")</f>
        <v>0</v>
      </c>
      <c r="EQ109" s="6">
        <f>COUNTIFS(Table86[Country],Tabela1[[#This Row],[Country]],Table86[Men''s Synchronized Platform Classification],"&gt;0")</f>
        <v>0</v>
      </c>
      <c r="ER109" s="6">
        <f>COUNTIFS(Table86[Country],Tabela1[[#This Row],[Country]],Table86[Women''s Synchronized Platform Classification],"&gt;0")</f>
        <v>0</v>
      </c>
      <c r="ES109" s="6">
        <f>COUNTIFS(Table44[Country],Tabela1[[#This Row],[Country]],Table44[Dressage Classification],"&gt;0")</f>
        <v>0</v>
      </c>
      <c r="ET109" s="6">
        <f>COUNTIFS(Table45[Country],Tabela1[[#This Row],[Country]],Table45[Dressage Classification],"&gt;0")</f>
        <v>0</v>
      </c>
      <c r="EU109" s="6">
        <f>COUNTIFS(Table44[Country],Tabela1[[#This Row],[Country]],Table44[Eventing Classification],"&gt;0")</f>
        <v>0</v>
      </c>
      <c r="EV109" s="6">
        <f>COUNTIFS(Table45[Country],Tabela1[[#This Row],[Country]],Table45[Eventing Classification],"&gt;0")</f>
        <v>0</v>
      </c>
      <c r="EW109" s="6">
        <f>COUNTIFS(Table44[Country],Tabela1[[#This Row],[Country]],Table44[Jumping Classification],"&gt;0")</f>
        <v>0</v>
      </c>
      <c r="EX109" s="6">
        <f>COUNTIFS(Table45[Country],Tabela1[[#This Row],[Country]],Table45[Jumping Classification],"&gt;0")</f>
        <v>0</v>
      </c>
      <c r="EY109" s="6">
        <f>COUNTIFS(Table10[Country],Tabela1[[#This Row],[Country]],Table10[Épée Classification],"&gt;0")</f>
        <v>0</v>
      </c>
      <c r="EZ109" s="6">
        <f>COUNTIFS(Table11[Country],Tabela1[[#This Row],[Country]],Table11[Épée Classification],"&gt;0")</f>
        <v>0</v>
      </c>
      <c r="FA109" s="6">
        <f>COUNTIFS(Table46[Country],Tabela1[[#This Row],[Country]],Table46[Men''s Épée Classification],"&gt;0")</f>
        <v>0</v>
      </c>
      <c r="FB109" s="6">
        <f>COUNTIFS(Table46[Country],Tabela1[[#This Row],[Country]],Table46[Women''s Épée Classification],"&gt;0")</f>
        <v>0</v>
      </c>
      <c r="FC109" s="6">
        <f>COUNTIFS(Table10[Country],Tabela1[[#This Row],[Country]],Table10[Foil Classification],"&gt;0")</f>
        <v>0</v>
      </c>
      <c r="FD109" s="6">
        <f>COUNTIFS(Table11[Country],Tabela1[[#This Row],[Country]],Table11[Foil Classification],"&gt;0")</f>
        <v>0</v>
      </c>
      <c r="FE109" s="6">
        <f>COUNTIFS(Table46[Country],Tabela1[[#This Row],[Country]],Table46[Men''s Foil Classification],"&gt;0")</f>
        <v>0</v>
      </c>
      <c r="FF109" s="6">
        <f>COUNTIFS(Table46[Country],Tabela1[[#This Row],[Country]],Table46[Women''s Foil Classification],"&gt;0")</f>
        <v>0</v>
      </c>
      <c r="FG109" s="6">
        <f>COUNTIFS(Table10[Country],Tabela1[[#This Row],[Country]],Table10[Sabre Classification],"&gt;0")</f>
        <v>0</v>
      </c>
      <c r="FH109" s="6">
        <f>COUNTIFS(Table11[Country],Tabela1[[#This Row],[Country]],Table11[Sabre Classification],"&gt;0")</f>
        <v>0</v>
      </c>
      <c r="FI109" s="6">
        <f>COUNTIFS(Table46[Country],Tabela1[[#This Row],[Country]],Table46[Men''s Sabre Classification],"&gt;0")</f>
        <v>0</v>
      </c>
      <c r="FJ109" s="6">
        <f>COUNTIFS(Table46[Country],Tabela1[[#This Row],[Country]],Table46[Women''s Sabre Classification],"&gt;0")</f>
        <v>0</v>
      </c>
      <c r="FK109" s="6">
        <f>COUNTIFS(Table91[Country],Tabela1[[#This Row],[Country]],Table91[Men''s Classification],"&gt;0")</f>
        <v>0</v>
      </c>
      <c r="FL109" s="6">
        <f>COUNTIFS(Table91[Country],Tabela1[[#This Row],[Country]],Table91[Women''s Classification],"&gt;0")</f>
        <v>0</v>
      </c>
      <c r="FM109" s="6">
        <f>COUNTIFS(Table9194[Country],Tabela1[[#This Row],[Country]],Table9194[Men''s Classification],"&gt;0")</f>
        <v>0</v>
      </c>
      <c r="FN109" s="6">
        <f>COUNTIFS(Table9194[Country],Tabela1[[#This Row],[Country]],Table9194[Women''s Classification],"&gt;0")</f>
        <v>0</v>
      </c>
      <c r="FO109" s="6">
        <f>COUNTIFS(Table71[Country],Tabela1[[#This Row],[Country]],Table71[Classification],"&gt;0")</f>
        <v>0</v>
      </c>
      <c r="FP109" s="6">
        <f>COUNTIFS(Table62[Country],Tabela1[[#This Row],[Country]],Table62[Classification],"&gt;0")</f>
        <v>0</v>
      </c>
      <c r="FQ109" s="6">
        <f>COUNTIFS(Table47[Country],Tabela1[[#This Row],[Country]],Table47[All-Around Classification],"&gt;0")</f>
        <v>0</v>
      </c>
      <c r="FR109" s="6">
        <f>COUNTIFS(Table48[Country],Tabela1[[#This Row],[Country]],Table48[All-Around Classification],"&gt;0")</f>
        <v>0</v>
      </c>
      <c r="FS109" s="6">
        <f>COUNTIFS(Table81[Country],Tabela1[[#This Row],[Country]],Table81[Men''s All-Around Classification],"&gt;0")</f>
        <v>0</v>
      </c>
      <c r="FT109" s="6">
        <f>COUNTIFS(Table81[Country],Tabela1[[#This Row],[Country]],Table81[Women''s All-Around Classification],"&gt;0")</f>
        <v>0</v>
      </c>
      <c r="FU109" s="6">
        <f>COUNTIFS(Table48[Country],Tabela1[[#This Row],[Country]],Table48[Balance Beam Classification],"&gt;0")</f>
        <v>0</v>
      </c>
      <c r="FV109" s="6">
        <f>COUNTIFS(Table47[Country],Tabela1[[#This Row],[Country]],Table47[Floor Exercise Classification],"&gt;0")</f>
        <v>0</v>
      </c>
      <c r="FW109" s="6">
        <f>COUNTIFS(Table48[Country],Tabela1[[#This Row],[Country]],Table48[Floor Exercise Classification],"&gt;0")</f>
        <v>0</v>
      </c>
      <c r="FX109" s="6">
        <f>COUNTIFS(Table47[Country],Tabela1[[#This Row],[Country]],Table47[Horizontal Bar Classification],"&gt;0")</f>
        <v>0</v>
      </c>
      <c r="FY109" s="6">
        <f>COUNTIFS(Table47[Country],Tabela1[[#This Row],[Country]],Table47[Parallel Bars Classification],"&gt;0")</f>
        <v>0</v>
      </c>
      <c r="FZ109" s="6">
        <f>COUNTIFS(Table47[Country],Tabela1[[#This Row],[Country]],Table47[Pommel Horse Classification],"&gt;0")</f>
        <v>0</v>
      </c>
      <c r="GA109" s="6">
        <f>COUNTIFS(Table47[Country],Tabela1[[#This Row],[Country]],Table47[Rings Classification],"&gt;0")</f>
        <v>0</v>
      </c>
      <c r="GB109" s="6">
        <f>COUNTIFS(Tabela132[Country],Tabela1[[#This Row],[Country]],Tabela132[Classification],"&gt;0")</f>
        <v>0</v>
      </c>
      <c r="GC109" s="6">
        <f>COUNTIFS(Tabela139[Country],Tabela1[[#This Row],[Country]],Tabela139[Classification],"&gt;0")</f>
        <v>0</v>
      </c>
      <c r="GD109" s="6">
        <f>COUNTIFS(Table48[Country],Tabela1[[#This Row],[Country]],Table48[Uneven Bars Classification],"&gt;0")</f>
        <v>0</v>
      </c>
      <c r="GE109" s="6">
        <f>COUNTIFS(Table47[Country],Tabela1[[#This Row],[Country]],Table47[Vault Classification],"&gt;0")</f>
        <v>0</v>
      </c>
      <c r="GF109" s="6">
        <f>COUNTIFS(Table48[Country],Tabela1[[#This Row],[Country]],Table48[Vault Classification],"&gt;0")</f>
        <v>0</v>
      </c>
      <c r="GG109" s="6">
        <f>COUNTIFS(Table919496[Country],Tabela1[[#This Row],[Country]],Table919496[Men''s Classification],"&gt;0")</f>
        <v>0</v>
      </c>
      <c r="GH109" s="6">
        <f>COUNTIFS(Table919496[Country],Tabela1[[#This Row],[Country]],Table919496[Women''s Classification],"&gt;0")</f>
        <v>0</v>
      </c>
      <c r="GI109" s="6">
        <f>COUNTIFS(Table12[Country],Tabela1[[#This Row],[Country]],Table12[60kg Classification],"&gt;0")</f>
        <v>0</v>
      </c>
      <c r="GJ109" s="6">
        <f>COUNTIFS(Table12[Country],Tabela1[[#This Row],[Country]],Table12[66kg Classification],"&gt;0")</f>
        <v>0</v>
      </c>
      <c r="GK109" s="6">
        <f>COUNTIFS(Table12[Country],Tabela1[[#This Row],[Country]],Table12[73kg Classification],"&gt;0")</f>
        <v>0</v>
      </c>
      <c r="GL109" s="6">
        <f>COUNTIFS(Table12[Country],Tabela1[[#This Row],[Country]],Table12[81kg Classification],"&gt;0")</f>
        <v>0</v>
      </c>
      <c r="GM109" s="6">
        <f>COUNTIFS(Table12[Country],Tabela1[[#This Row],[Country]],Table12[90kg Classification],"&gt;0")</f>
        <v>0</v>
      </c>
      <c r="GN109" s="6">
        <f>COUNTIFS(Table12[Country],Tabela1[[#This Row],[Country]],Table12[100kg Classification],"&gt;0")</f>
        <v>0</v>
      </c>
      <c r="GO109" s="6">
        <f>COUNTIFS(Table12[Country],Tabela1[[#This Row],[Country]],Table12[Plus 100kg Classification],"&gt;0")</f>
        <v>0</v>
      </c>
      <c r="GP109" s="6">
        <f>COUNTIFS(Table13[Country],Tabela1[[#This Row],[Country]],Table13[48kg Classification],"&gt;0")</f>
        <v>0</v>
      </c>
      <c r="GQ109" s="6">
        <f>COUNTIFS(Table13[Country],Tabela1[[#This Row],[Country]],Table13[52kg Classification],"&gt;0")</f>
        <v>0</v>
      </c>
      <c r="GR109" s="6">
        <f>COUNTIFS(Table13[Country],Tabela1[[#This Row],[Country]],Table13[57kg Classification],"&gt;0")</f>
        <v>0</v>
      </c>
      <c r="GS109" s="6">
        <f>COUNTIFS(Table13[Country],Tabela1[[#This Row],[Country]],Table13[63kg Classification],"&gt;0")</f>
        <v>0</v>
      </c>
      <c r="GT109" s="6">
        <f>COUNTIFS(Table13[Country],Tabela1[[#This Row],[Country]],Table13[70kg Classification],"&gt;0")</f>
        <v>1</v>
      </c>
      <c r="GU109" s="6">
        <f>COUNTIFS(Table13[Country],Tabela1[[#This Row],[Country]],Table13[78kg Classification],"&gt;0")</f>
        <v>0</v>
      </c>
      <c r="GV109" s="6">
        <f>COUNTIFS(Table13[Country],Tabela1[[#This Row],[Country]],Table13[Plus 78kg Classification],"&gt;0")</f>
        <v>0</v>
      </c>
      <c r="GW109" s="6">
        <f>COUNTIFS(Table82[Country],Tabela1[[#This Row],[Country]],Table82[Mixed Classification],"&gt;0")</f>
        <v>0</v>
      </c>
      <c r="GX109" s="6">
        <f>COUNTIFS(Table51[Country],Tabela1[[#This Row],[Country]],Table51[Classification],"&gt;0")</f>
        <v>0</v>
      </c>
      <c r="GY109" s="6">
        <f>COUNTIFS(Table52[Country],Tabela1[[#This Row],[Country]],Table52[Classification],"&gt;0")</f>
        <v>0</v>
      </c>
      <c r="GZ109" s="6">
        <f>COUNTIFS(Table32[Country],Tabela1[[#This Row],[Country]],Table32[All-Around Classification],"&gt;0")</f>
        <v>0</v>
      </c>
      <c r="HA109" s="6">
        <f>COUNTIFS(Table49[Country],Tabela1[[#This Row],[Country]],Table49[All-Around Classification],"&gt;0")</f>
        <v>0</v>
      </c>
      <c r="HB109" s="6">
        <f>COUNTIFS(Table26[Country],Tabela1[[#This Row],[Country]],Table26[Single Sculls Classification],"&gt;0")</f>
        <v>0</v>
      </c>
      <c r="HC109" s="6">
        <f>COUNTIFS(Table63[Country],Tabela1[[#This Row],[Country]],Table63[Single Sculls Classification],"&gt;0")</f>
        <v>0</v>
      </c>
      <c r="HD109" s="6">
        <f>COUNTIFS(Table16[Country],Tabela1[[#This Row],[Country]],Table16[Men''s Double Sculls Classification],"&gt;0")</f>
        <v>0</v>
      </c>
      <c r="HE109" s="6">
        <f>COUNTIFS(Table16[Country],Tabela1[[#This Row],[Country]],Table16[Women''s Double Sculls Classification],"&gt;0")</f>
        <v>0</v>
      </c>
      <c r="HF109" s="6">
        <f>COUNTIFS(Table72[Country],Tabela1[[#This Row],[Country]],Table72[Men''s Quadruple Sculls Classification],"&gt;0")</f>
        <v>0</v>
      </c>
      <c r="HG109" s="6">
        <f>COUNTIFS(Table72[Country],Tabela1[[#This Row],[Country]],Table72[Women''s Quadruple Sculls Classification],"&gt;0")</f>
        <v>0</v>
      </c>
      <c r="HH109" s="6">
        <f>COUNTIFS(Table16[Country],Tabela1[[#This Row],[Country]],Table16[Men''s Coxless Pairs Classification],"&gt;0")</f>
        <v>0</v>
      </c>
      <c r="HI109" s="6">
        <f>COUNTIFS(Table16[Country],Tabela1[[#This Row],[Country]],Table16[Women''s Coxless Pairs Classification],"&gt;0")</f>
        <v>0</v>
      </c>
      <c r="HJ109" s="6">
        <f>COUNTIFS(Table72[Country],Tabela1[[#This Row],[Country]],Table72[Men''s Coxless Fours Classification],"&gt;0")</f>
        <v>0</v>
      </c>
      <c r="HK109" s="6">
        <f>COUNTIFS(Table72[Country],Tabela1[[#This Row],[Country]],Table72[Women''s Coxless Fours Classification],"&gt;0")</f>
        <v>0</v>
      </c>
      <c r="HL109" s="6">
        <f>COUNTIFS(Table72[Country],Tabela1[[#This Row],[Country]],Table72[Men''s Eights Classification],"&gt;0")</f>
        <v>0</v>
      </c>
      <c r="HM109" s="6">
        <f>COUNTIFS(Table72[Country],Tabela1[[#This Row],[Country]],Table72[Women''s Eights Classification],"&gt;0")</f>
        <v>0</v>
      </c>
      <c r="HN109" s="6">
        <f>COUNTIFS(Table16[Country],Tabela1[[#This Row],[Country]],Table16[Men''s Lwt. Double Sculls Classification],"&gt;0")</f>
        <v>0</v>
      </c>
      <c r="HO109" s="6">
        <f>COUNTIFS(Table16[Country],Tabela1[[#This Row],[Country]],Table16[Women''s Lwt. Double Sculls Classification],"&gt;0")</f>
        <v>0</v>
      </c>
      <c r="HP109" s="6">
        <f>COUNTIFS(Table91949698[Country],Tabela1[[#This Row],[Country]],Table91949698[Men''s Classification],"&gt;0")</f>
        <v>0</v>
      </c>
      <c r="HQ109" s="6">
        <f>COUNTIFS(Table91949698[Country],Tabela1[[#This Row],[Country]],Table91949698[Women''s Classification],"&gt;0")</f>
        <v>0</v>
      </c>
      <c r="HR109" s="6">
        <f>COUNTIFS(Table25[Country],Tabela1[[#This Row],[Country]],Table25[Mixed 470 Classification],"&gt;0")</f>
        <v>0</v>
      </c>
      <c r="HS109" s="6">
        <f>COUNTIFS(Table25[Country],Tabela1[[#This Row],[Country]],Table25[Men''s 49er Classification],"&gt;0")</f>
        <v>0</v>
      </c>
      <c r="HT109" s="6">
        <f>COUNTIFS(Table25[Country],Tabela1[[#This Row],[Country]],Table25[Women''s 49er FX Classification],"&gt;0")</f>
        <v>0</v>
      </c>
      <c r="HU109" s="6">
        <f>COUNTIFS(Table17[Country],Tabela1[[#This Row],[Country]],Table17[Formula Kite Classification],"&gt;0")</f>
        <v>0</v>
      </c>
      <c r="HV109" s="6">
        <f>COUNTIFS(Table18[Country],Tabela1[[#This Row],[Country]],Table18[Formula Kite Classification],"&gt;0")</f>
        <v>0</v>
      </c>
      <c r="HW109" s="6">
        <f>COUNTIFS(Table17[Country],Tabela1[[#This Row],[Country]],Table17[ILCA 7 Classification],"&gt;0")</f>
        <v>0</v>
      </c>
      <c r="HX109" s="6">
        <f>COUNTIFS(Table18[Country],Tabela1[[#This Row],[Country]],Table18[ILCA 6 Classification],"&gt;0")</f>
        <v>0</v>
      </c>
      <c r="HY109" s="6">
        <f>COUNTIFS(Table17[Country],Tabela1[[#This Row],[Country]],Table17[IQFoil Classification],"&gt;0")</f>
        <v>0</v>
      </c>
      <c r="HZ109" s="6">
        <f>COUNTIFS(Table18[Country],Tabela1[[#This Row],[Country]],Table18[IQFoil Classification],"&gt;0")</f>
        <v>0</v>
      </c>
      <c r="IA109" s="6">
        <f>COUNTIFS(Table25[Country],Tabela1[[#This Row],[Country]],Table25[Mixed Nacra 17 Classification],"&gt;0")</f>
        <v>0</v>
      </c>
      <c r="IB109" s="6">
        <f>COUNTIFS(Table53[Country],Tabela1[[#This Row],[Country]],Table53[10m Air Pistol Classification],"&gt;0")</f>
        <v>0</v>
      </c>
      <c r="IC109" s="6">
        <f>COUNTIFS(Table19[Country],Tabela1[[#This Row],[Country]],Table19[10m Air Pistol Classification],"&gt;0")</f>
        <v>0</v>
      </c>
      <c r="ID109" s="6">
        <f>COUNTIFS(Table54[Country],Tabela1[[#This Row],[Country]],Table54[Mixed 10m Air Pistol Team Classification],"&gt;0")</f>
        <v>0</v>
      </c>
      <c r="IE109" s="6">
        <f>COUNTIFS(Table53[Country],Tabela1[[#This Row],[Country]],Table53[10m Air Rifle Classification],"&gt;0")</f>
        <v>0</v>
      </c>
      <c r="IF109" s="6">
        <f>COUNTIFS(Table19[Country],Tabela1[[#This Row],[Country]],Table19[10m Air Rifle Classification],"&gt;0")</f>
        <v>0</v>
      </c>
      <c r="IG109" s="6">
        <f>COUNTIFS(Table54[Country],Tabela1[[#This Row],[Country]],Table54[Mixed 10m Air Rifle Team Classification],"&gt;0")</f>
        <v>0</v>
      </c>
      <c r="IH109" s="6">
        <f>COUNTIFS(Table53[Country],Tabela1[[#This Row],[Country]],Table53[25m Rapid Fire Pistol Classification],"&gt;0")</f>
        <v>0</v>
      </c>
      <c r="II109" s="6">
        <f>COUNTIFS(Table19[Country],Tabela1[[#This Row],[Country]],Table19[25m Pistol Classification],"&gt;0")</f>
        <v>0</v>
      </c>
      <c r="IJ109" s="6">
        <f>COUNTIFS(Table53[Country],Tabela1[[#This Row],[Country]],Table53[50m Rifle 3 Positions Classification],"&gt;0")</f>
        <v>0</v>
      </c>
      <c r="IK109" s="6">
        <f>COUNTIFS(Table19[Country],Tabela1[[#This Row],[Country]],Table19[50m Rifle 3 Positions Classification],"&gt;0")</f>
        <v>0</v>
      </c>
      <c r="IL109" s="6">
        <f>COUNTIFS(Table53[Country],Tabela1[[#This Row],[Country]],Table53[Skeet Classification],"&gt;0")</f>
        <v>0</v>
      </c>
      <c r="IM109" s="6">
        <f>COUNTIFS(Table19[Country],Tabela1[[#This Row],[Country]],Table19[Skeet Classification],"&gt;0")</f>
        <v>0</v>
      </c>
      <c r="IN109" s="6">
        <f>COUNTIFS(Table54[Country],Tabela1[[#This Row],[Country]],Table54[Mixed Skeet Team Classification],"&gt;0")</f>
        <v>0</v>
      </c>
      <c r="IO109" s="6">
        <f>COUNTIFS(Table53[Country],Tabela1[[#This Row],[Country]],Table53[Trap Classification],"&gt;0")</f>
        <v>0</v>
      </c>
      <c r="IP109" s="6">
        <f>COUNTIFS(Table19[Country],Tabela1[[#This Row],[Country]],Table19[Trap Classification],"&gt;0")</f>
        <v>0</v>
      </c>
      <c r="IQ109" s="6">
        <f>COUNTIFS(Table73[Country],Tabela1[[#This Row],[Country]],Table73[Park Classification],"&gt;0")</f>
        <v>0</v>
      </c>
      <c r="IR109" s="6">
        <f>COUNTIFS(Table74[Country],Tabela1[[#This Row],[Country]],Table74[Park Classification],"&gt;0")</f>
        <v>0</v>
      </c>
      <c r="IS109" s="6">
        <f>COUNTIFS(Table73[Country],Tabela1[[#This Row],[Country]],Table73[Street Classification],"&gt;0")</f>
        <v>0</v>
      </c>
      <c r="IT109" s="6">
        <f>COUNTIFS(Table74[Country],Tabela1[[#This Row],[Country]],Table74[Street Classification],"&gt;0")</f>
        <v>0</v>
      </c>
      <c r="IU109" s="6">
        <f>COUNTIFS(Table75[Country],Tabela1[[#This Row],[Country]],Table75[Boulder and Lead Classification],"&gt;0")</f>
        <v>0</v>
      </c>
      <c r="IV109" s="6">
        <f>COUNTIFS(Table76[Country],Tabela1[[#This Row],[Country]],Table76[Boulder and Lead Classification],"&gt;0")</f>
        <v>0</v>
      </c>
      <c r="IW109" s="6">
        <f>COUNTIFS(Table75[Country],Tabela1[[#This Row],[Country]],Table75[Speed Classification],"&gt;0")</f>
        <v>0</v>
      </c>
      <c r="IX109" s="6">
        <f>COUNTIFS(Table76[Country],Tabela1[[#This Row],[Country]],Table76[Speed Classification],"&gt;0")</f>
        <v>0</v>
      </c>
      <c r="IY109" s="6">
        <f>COUNTIFS(Table64[Country],Tabela1[[#This Row],[Country]],Table64[Shortboard Classification],"&gt;0")</f>
        <v>0</v>
      </c>
      <c r="IZ109" s="6">
        <f>COUNTIFS(Table77[Country],Tabela1[[#This Row],[Country]],Table77[Shortboard Classification],"&gt;0")</f>
        <v>0</v>
      </c>
      <c r="JA109" s="6">
        <f>COUNTIFS(Table20[Country],Tabela1[[#This Row],[Country]],Table20[50m Freestyle Classification],"&gt;0")</f>
        <v>0</v>
      </c>
      <c r="JB109" s="6">
        <f>COUNTIFS(Table21[Country],Tabela1[[#This Row],[Country]],Table21[50m Freestyle Classification],"&gt;0")</f>
        <v>0</v>
      </c>
      <c r="JC109" s="6">
        <f>COUNTIFS(Table20[Country],Tabela1[[#This Row],[Country]],Table20[100m Freestyle Classification],"&gt;0")</f>
        <v>0</v>
      </c>
      <c r="JD109" s="6">
        <f>COUNTIFS(Table21[Country],Tabela1[[#This Row],[Country]],Table21[100m Freestyle Classification],"&gt;0")</f>
        <v>0</v>
      </c>
      <c r="JE109" s="6">
        <f>COUNTIFS(Table20[Country],Tabela1[[#This Row],[Country]],Table20[200m Freestyle Classification],"&gt;0")</f>
        <v>0</v>
      </c>
      <c r="JF109" s="6">
        <f>COUNTIFS(Table21[Country],Tabela1[[#This Row],[Country]],Table21[200m Freestyle Classification],"&gt;0")</f>
        <v>0</v>
      </c>
      <c r="JG109" s="6">
        <f>COUNTIFS(Table20[Country],Tabela1[[#This Row],[Country]],Table20[400m Freestyle Classification],"&gt;0")</f>
        <v>0</v>
      </c>
      <c r="JH109" s="6">
        <f>COUNTIFS(Table21[Country],Tabela1[[#This Row],[Country]],Table21[400m Freestyle Classification],"&gt;0")</f>
        <v>0</v>
      </c>
      <c r="JI109" s="6">
        <f>COUNTIFS(Table20[Country],Tabela1[[#This Row],[Country]],Table20[800m Freestyle Classification],"&gt;0")</f>
        <v>0</v>
      </c>
      <c r="JJ109" s="6">
        <f>COUNTIFS(Table21[Country],Tabela1[[#This Row],[Country]],Table21[800m Freestyle Classification],"&gt;0")</f>
        <v>0</v>
      </c>
      <c r="JK109" s="6">
        <f>COUNTIFS(Table20[Country],Tabela1[[#This Row],[Country]],Table20[1500m Freestyle Classification],"&gt;0")</f>
        <v>0</v>
      </c>
      <c r="JL109" s="6">
        <f>COUNTIFS(Table21[Country],Tabela1[[#This Row],[Country]],Table21[1500m Freestyle Classification],"&gt;0")</f>
        <v>0</v>
      </c>
      <c r="JM109" s="6">
        <f>COUNTIFS(Table20[Country],Tabela1[[#This Row],[Country]],Table20[100m Backstroke Classification],"&gt;0")</f>
        <v>0</v>
      </c>
      <c r="JN109" s="6">
        <f>COUNTIFS(Table21[Country],Tabela1[[#This Row],[Country]],Table21[100m Backstroke Classification],"&gt;0")</f>
        <v>0</v>
      </c>
      <c r="JO109" s="6">
        <f>COUNTIFS(Table20[Country],Tabela1[[#This Row],[Country]],Table20[200m Backstroke Classification],"&gt;0")</f>
        <v>0</v>
      </c>
      <c r="JP109" s="6">
        <f>COUNTIFS(Table21[Country],Tabela1[[#This Row],[Country]],Table21[200m Backstroke Classification],"&gt;0")</f>
        <v>0</v>
      </c>
      <c r="JQ109" s="6">
        <f>COUNTIFS(Table20[Country],Tabela1[[#This Row],[Country]],Table20[100m Breaststroke Classification],"&gt;0")</f>
        <v>0</v>
      </c>
      <c r="JR109" s="6">
        <f>COUNTIFS(Table21[Country],Tabela1[[#This Row],[Country]],Table21[100m Breaststroke Classification],"&gt;0")</f>
        <v>0</v>
      </c>
      <c r="JS109" s="6">
        <f>COUNTIFS(Table20[Country],Tabela1[[#This Row],[Country]],Table20[200m Breaststroke Classification],"&gt;0")</f>
        <v>0</v>
      </c>
      <c r="JT109" s="6">
        <f>COUNTIFS(Table21[Country],Tabela1[[#This Row],[Country]],Table21[200m Breaststroke Classification],"&gt;0")</f>
        <v>0</v>
      </c>
      <c r="JU109" s="6">
        <f>COUNTIFS(Table20[Country],Tabela1[[#This Row],[Country]],Table20[100m Butterfly Classification],"&gt;0")</f>
        <v>0</v>
      </c>
      <c r="JV109" s="6">
        <f>COUNTIFS(Table21[Country],Tabela1[[#This Row],[Country]],Table21[100m Butterfly Classification],"&gt;0")</f>
        <v>0</v>
      </c>
      <c r="JW109" s="6">
        <f>COUNTIFS(Table20[Country],Tabela1[[#This Row],[Country]],Table20[200m Butterfly Classification],"&gt;0")</f>
        <v>0</v>
      </c>
      <c r="JX109" s="6">
        <f>COUNTIFS(Table21[Country],Tabela1[[#This Row],[Country]],Table21[200m Butterfly Classification],"&gt;0")</f>
        <v>0</v>
      </c>
      <c r="JY109" s="6">
        <f>COUNTIFS(Table20[Country],Tabela1[[#This Row],[Country]],Table20[200m Medley Classification],"&gt;0")</f>
        <v>0</v>
      </c>
      <c r="JZ109" s="6">
        <f>COUNTIFS(Table21[Country],Tabela1[[#This Row],[Country]],Table21[200m Medley Classification],"&gt;0")</f>
        <v>0</v>
      </c>
      <c r="KA109" s="6">
        <f>COUNTIFS(Table20[Country],Tabela1[[#This Row],[Country]],Table20[400m Medley Classification],"&gt;0")</f>
        <v>0</v>
      </c>
      <c r="KB109" s="6">
        <f>COUNTIFS(Table21[Country],Tabela1[[#This Row],[Country]],Table21[400m Medley Classification],"&gt;0")</f>
        <v>0</v>
      </c>
      <c r="KC109" s="6">
        <f>COUNTIFS(Table78[Country],Tabela1[[#This Row],[Country]],Table78[Men''s 4x100m Freestyle Relay Classification],"&gt;0")</f>
        <v>0</v>
      </c>
      <c r="KD109" s="6">
        <f>COUNTIFS(Table78[Country],Tabela1[[#This Row],[Country]],Table78[Women''s 4x100m Freestyle Relay Classification],"&gt;0")</f>
        <v>0</v>
      </c>
      <c r="KE109" s="6">
        <f>COUNTIFS(Table78[Country],Tabela1[[#This Row],[Country]],Table78[Men''s 4x200m Freestyle Relay Classification],"&gt;0")</f>
        <v>0</v>
      </c>
      <c r="KF109" s="6">
        <f>COUNTIFS(Table78[Country],Tabela1[[#This Row],[Country]],Table78[Women''s 4x200m Freestyle Relay Classification],"&gt;0")</f>
        <v>0</v>
      </c>
      <c r="KG109" s="6">
        <f>COUNTIFS(Table78[Country],Tabela1[[#This Row],[Country]],Table78[Men''s 4x100m Medley Relay Classification],"&gt;0")</f>
        <v>0</v>
      </c>
      <c r="KH109" s="6">
        <f>COUNTIFS(Table78[Country],Tabela1[[#This Row],[Country]],Table78[Women''s 4x100m Medley Relay Classification],"&gt;0")</f>
        <v>0</v>
      </c>
      <c r="KI109" s="6">
        <f>COUNTIFS(Table78[Country],Tabela1[[#This Row],[Country]],Table78[Mixed 4x100m Medley Relay Classification],"&gt;0")</f>
        <v>0</v>
      </c>
      <c r="KJ109" s="6">
        <f>COUNTIFS(Table20[Country],Tabela1[[#This Row],[Country]],Table20[10km Open Water Classification],"&gt;0")</f>
        <v>0</v>
      </c>
      <c r="KK109" s="6">
        <f>COUNTIFS(Table21[Country],Tabela1[[#This Row],[Country]],Table21[10km Open Water Classification],"&gt;0")</f>
        <v>0</v>
      </c>
      <c r="KL109" s="6">
        <f>COUNTIFS(Table22[Country],Tabela1[[#This Row],[Country]],Table22[Classification],"&gt;0")</f>
        <v>0</v>
      </c>
      <c r="KM109" s="6">
        <f>COUNTIFS(Table30[Country],Tabela1[[#This Row],[Country]],Table30[Classification],"&gt;0")</f>
        <v>0</v>
      </c>
      <c r="KN109" s="6">
        <f>COUNTIFS(Table55[Country],Tabela1[[#This Row],[Country]],Table55[Men''s Classification],"&gt;0")</f>
        <v>0</v>
      </c>
      <c r="KO109" s="6">
        <f>COUNTIFS(Table55[Country],Tabela1[[#This Row],[Country]],Table55[Women''s Classification],"&gt;0")</f>
        <v>0</v>
      </c>
      <c r="KP109" s="6">
        <f>COUNTIFS(Table56[Country],Tabela1[[#This Row],[Country]],Table56[Mixed Classification],"&gt;0")</f>
        <v>0</v>
      </c>
      <c r="KQ109" s="6">
        <f>COUNTIFS(Table29[Country],Tabela1[[#This Row],[Country]],Table29[58kg Classification],"&gt;0")</f>
        <v>0</v>
      </c>
      <c r="KR109" s="6">
        <f>COUNTIFS(Table29[Country],Tabela1[[#This Row],[Country]],Table29[68kg Classification],"&gt;0")</f>
        <v>0</v>
      </c>
      <c r="KS109" s="6">
        <f>COUNTIFS(Table29[Country],Tabela1[[#This Row],[Country]],Table29[80kg Classification],"&gt;0")</f>
        <v>0</v>
      </c>
      <c r="KT109" s="6">
        <f>COUNTIFS(Table29[Country],Tabela1[[#This Row],[Country]],Table29[Plus 80kg Classification],"&gt;0")</f>
        <v>0</v>
      </c>
      <c r="KU109" s="6">
        <f>COUNTIFS(Table34[Country],Tabela1[[#This Row],[Country]],Table34[49kg Classification],"&gt;0")</f>
        <v>0</v>
      </c>
      <c r="KV109" s="6">
        <f>COUNTIFS(Table34[Country],Tabela1[[#This Row],[Country]],Table34[57kg Classification],"&gt;0")</f>
        <v>0</v>
      </c>
      <c r="KW109" s="6">
        <f>COUNTIFS(Table34[Country],Tabela1[[#This Row],[Country]],Table34[67kg Classification],"&gt;0")</f>
        <v>0</v>
      </c>
      <c r="KX109" s="6">
        <f>COUNTIFS(Table34[Country],Tabela1[[#This Row],[Country]],Table34[Plus 67kg Classification],"&gt;0")</f>
        <v>0</v>
      </c>
      <c r="KY109" s="6">
        <f>COUNTIFS(Table57[Country],Tabela1[[#This Row],[Country]],Table57[Classification],"&gt;0")</f>
        <v>0</v>
      </c>
      <c r="KZ109" s="6">
        <f>COUNTIFS(Table58[Country],Tabela1[[#This Row],[Country]],Table58[Classification],"&gt;0")</f>
        <v>0</v>
      </c>
      <c r="LA109" s="6">
        <f>COUNTIFS(Table79[Country],Tabela1[[#This Row],[Country]],Table79[Men''s Classification],"&gt;0")</f>
        <v>0</v>
      </c>
      <c r="LB109" s="6">
        <f>COUNTIFS(Table79[Country],Tabela1[[#This Row],[Country]],Table79[Women''s Classification],"&gt;0")</f>
        <v>0</v>
      </c>
      <c r="LC109" s="6">
        <f>COUNTIFS(Table79[Country],Tabela1[[#This Row],[Country]],Table79[Mixed Classification],"&gt;0")</f>
        <v>0</v>
      </c>
      <c r="LD109" s="6">
        <f>COUNTIFS(Table65[Country],Tabela1[[#This Row],[Country]],Table65[Classification],"&gt;0")</f>
        <v>0</v>
      </c>
      <c r="LE109" s="6">
        <f>COUNTIFS(Table59[Country],Tabela1[[#This Row],[Country]],Table59[Classification],"&gt;0")</f>
        <v>0</v>
      </c>
      <c r="LF109" s="6">
        <f>COUNTIFS(Table87[Country],Tabela1[[#This Row],[Country]],Table87[Mixed Relay Classification],"&gt;0")</f>
        <v>0</v>
      </c>
      <c r="LG109" s="6">
        <f>COUNTIFS(Table91949698100[Country],Tabela1[[#This Row],[Country]],Table91949698100[Men''s Classification],"&gt;0")</f>
        <v>0</v>
      </c>
      <c r="LH109" s="6">
        <f>COUNTIFS(Table91949698100[Country],Tabela1[[#This Row],[Country]],Table91949698100[Women''s Classification],"&gt;0")</f>
        <v>0</v>
      </c>
      <c r="LI109" s="6">
        <f>COUNTIFS(Table91949698100102[Country],Tabela1[[#This Row],[Country]],Table91949698100102[Men''s Classification],"&gt;0")</f>
        <v>0</v>
      </c>
      <c r="LJ109" s="6">
        <f>COUNTIFS(Table91949698100102[Country],Tabela1[[#This Row],[Country]],Table91949698100102[Women''s Classification],"&gt;0")</f>
        <v>0</v>
      </c>
      <c r="LK109" s="6">
        <f>COUNTIFS(Table23[Country],Tabela1[[#This Row],[Country]],Table23[61kg Classification],"&gt;0")</f>
        <v>0</v>
      </c>
      <c r="LL109" s="6">
        <f>COUNTIFS(Table23[Country],Tabela1[[#This Row],[Country]],Table23[73kg Classification],"&gt;0")</f>
        <v>0</v>
      </c>
      <c r="LM109" s="6">
        <f>COUNTIFS(Table23[Country],Tabela1[[#This Row],[Country]],Table23[89kg Classification],"&gt;0")</f>
        <v>0</v>
      </c>
      <c r="LN109" s="6">
        <f>COUNTIFS(Table23[Country],Tabela1[[#This Row],[Country]],Table23[102kg Classification],"&gt;0")</f>
        <v>0</v>
      </c>
      <c r="LO109" s="6">
        <f>COUNTIFS(Table23[Country],Tabela1[[#This Row],[Country]],Table23[Plus 102kg Classification],"&gt;0")</f>
        <v>0</v>
      </c>
      <c r="LP109" s="6">
        <f>COUNTIFS(Table28[Country],Tabela1[[#This Row],[Country]],Table28[49kg Classification],"&gt;0")</f>
        <v>0</v>
      </c>
      <c r="LQ109" s="6">
        <f>COUNTIFS(Table28[Country],Tabela1[[#This Row],[Country]],Table28[59kg Classification],"&gt;0")</f>
        <v>0</v>
      </c>
      <c r="LR109" s="6">
        <f>COUNTIFS(Table28[Country],Tabela1[[#This Row],[Country]],Table28[71kg Classification],"&gt;0")</f>
        <v>0</v>
      </c>
      <c r="LS109" s="6">
        <f>COUNTIFS(Table28[Country],Tabela1[[#This Row],[Country]],Table28[81kg Classification],"&gt;0")</f>
        <v>0</v>
      </c>
      <c r="LT109" s="6">
        <f>COUNTIFS(Table28[Country],Tabela1[[#This Row],[Country]],Table28[Plus 81kg Classification],"&gt;0")</f>
        <v>0</v>
      </c>
      <c r="LU109" s="6">
        <f>COUNTIFS(Table24[Country],Tabela1[[#This Row],[Country]],Table24[Freestyle 57kg Classification],"&gt;0")</f>
        <v>0</v>
      </c>
      <c r="LV109" s="6">
        <f>COUNTIFS(Table24[Country],Tabela1[[#This Row],[Country]],Table24[Freestyle 65kg Classification],"&gt;0")</f>
        <v>0</v>
      </c>
      <c r="LW109" s="6">
        <f>COUNTIFS(Table24[Country],Tabela1[[#This Row],[Country]],Table24[Freestyle 74kg Classification],"&gt;0")</f>
        <v>0</v>
      </c>
      <c r="LX109" s="6">
        <f>COUNTIFS(Table24[Country],Tabela1[[#This Row],[Country]],Table24[Freestyle 86kg Classification],"&gt;0")</f>
        <v>0</v>
      </c>
      <c r="LY109" s="6">
        <f>COUNTIFS(Table24[Country],Tabela1[[#This Row],[Country]],Table24[Freestyle 97kg Classification],"&gt;0")</f>
        <v>0</v>
      </c>
      <c r="LZ109" s="6">
        <f>COUNTIFS(Table24[Country],Tabela1[[#This Row],[Country]],Table24[Freestyle 125kg Classification],"&gt;0")</f>
        <v>0</v>
      </c>
      <c r="MA109" s="6">
        <f>COUNTIFS(Table24[Country],Tabela1[[#This Row],[Country]],Table24[Greco-Roman 60kg Classification],"&gt;0")</f>
        <v>0</v>
      </c>
      <c r="MB109" s="6">
        <f>COUNTIFS(Table24[Country],Tabela1[[#This Row],[Country]],Table24[Greco-Roman 67kg Classification],"&gt;0")</f>
        <v>0</v>
      </c>
      <c r="MC109" s="6">
        <f>COUNTIFS(Table24[Country],Tabela1[[#This Row],[Country]],Table24[Greco-Roman 77kg Classification],"&gt;0")</f>
        <v>0</v>
      </c>
      <c r="MD109" s="6">
        <f>COUNTIFS(Table24[Country],Tabela1[[#This Row],[Country]],Table24[Greco-Roman 87kg Classification],"&gt;0")</f>
        <v>0</v>
      </c>
      <c r="ME109" s="6">
        <f>COUNTIFS(Table24[Country],Tabela1[[#This Row],[Country]],Table24[Greco-Roman 97kg Classification],"&gt;0")</f>
        <v>0</v>
      </c>
      <c r="MF109" s="6">
        <f>COUNTIFS(Table24[Country],Tabela1[[#This Row],[Country]],Table24[Greco-Roman 130kg Classification],"&gt;0")</f>
        <v>0</v>
      </c>
      <c r="MG109" s="6">
        <f>COUNTIFS(Table31[Country],Tabela1[[#This Row],[Country]],Table31[50kg Classification],"&gt;0")</f>
        <v>0</v>
      </c>
      <c r="MH109" s="6">
        <f>COUNTIFS(Table31[Country],Tabela1[[#This Row],[Country]],Table31[53kg Classification],"&gt;0")</f>
        <v>0</v>
      </c>
      <c r="MI109" s="6">
        <f>COUNTIFS(Table31[Country],Tabela1[[#This Row],[Country]],Table31[57kg Classification],"&gt;0")</f>
        <v>0</v>
      </c>
      <c r="MJ109" s="6">
        <f>COUNTIFS(Table31[Country],Tabela1[[#This Row],[Country]],Table31[62kg Classification],"&gt;0")</f>
        <v>0</v>
      </c>
      <c r="MK109" s="6">
        <f>COUNTIFS(Table31[Country],Tabela1[[#This Row],[Country]],Table31[68kg Classification],"&gt;0")</f>
        <v>0</v>
      </c>
      <c r="ML109" s="6">
        <f>COUNTIFS(Table31[Country],Tabela1[[#This Row],[Country]],Table31[76kg Classification],"&gt;0")</f>
        <v>0</v>
      </c>
      <c r="MM109" s="6">
        <f>COUNTIFS(Table102[Country],Tabela1[[#This Row],[Country]],Table102[Downhill Classification],"&gt;0")</f>
        <v>0</v>
      </c>
      <c r="MN109" s="6">
        <f>COUNTIFS(Table102105[Country],Tabela1[[#This Row],[Country]],Table102105[Downhill Classification],"&gt;0")</f>
        <v>0</v>
      </c>
      <c r="MO109" s="6">
        <f>COUNTIFS(Table102[Country],Tabela1[[#This Row],[Country]],Table102[Giant Slalom Classification],"&gt;0")</f>
        <v>0</v>
      </c>
      <c r="MP109" s="6">
        <f>COUNTIFS(Table102105[Country],Tabela1[[#This Row],[Country]],Table102105[Giant Slalom Classification],"&gt;0")</f>
        <v>1</v>
      </c>
      <c r="MQ109" s="6">
        <f>COUNTIFS(Table102[Country],Tabela1[[#This Row],[Country]],Table102[Slalom Classification],"&gt;0")</f>
        <v>0</v>
      </c>
      <c r="MR109" s="6">
        <f>COUNTIFS(Table102105[Country],Tabela1[[#This Row],[Country]],Table102105[Slalom Classification],"&gt;0")</f>
        <v>1</v>
      </c>
      <c r="MS109" s="6">
        <f>COUNTIFS(Table102[Country],Tabela1[[#This Row],[Country]],Table102[Super-G Classification],"&gt;0")</f>
        <v>0</v>
      </c>
      <c r="MT109" s="6">
        <f>COUNTIFS(Table102105[Country],Tabela1[[#This Row],[Country]],Table102105[Super-G Classification],"&gt;0")</f>
        <v>0</v>
      </c>
      <c r="MU109" s="6">
        <f>COUNTIFS(Table105[Country],Tabela1[[#This Row],[Country]],Table105[Men''s Combined Classification],"&gt;0")</f>
        <v>0</v>
      </c>
      <c r="MV109" s="6">
        <f>COUNTIFS(Table105[Country],Tabela1[[#This Row],[Country]],Table105[Women''s Combined Classification],"&gt;0")</f>
        <v>0</v>
      </c>
      <c r="MW109" s="6">
        <f>COUNTIFS(Table106[Country],Tabela1[[#This Row],[Country]],Table106[Individual Classification],"&gt;0")</f>
        <v>0</v>
      </c>
      <c r="MX109" s="6">
        <f>COUNTIFS(Table106109[Country],Tabela1[[#This Row],[Country]],Table106109[Individual Classification],"&gt;0")</f>
        <v>0</v>
      </c>
      <c r="MY109" s="6">
        <f>COUNTIFS(Table106[Country],Tabela1[[#This Row],[Country]],Table106[Mass Start Classification],"&gt;0")</f>
        <v>0</v>
      </c>
      <c r="MZ109" s="6">
        <f>COUNTIFS(Table106109[Country],Tabela1[[#This Row],[Country]],Table106109[Mass Start Classification],"&gt;0")</f>
        <v>0</v>
      </c>
      <c r="NA109" s="6">
        <f>COUNTIFS(Table106[Country],Tabela1[[#This Row],[Country]],Table106[Pursuit Classification],"&gt;0")</f>
        <v>0</v>
      </c>
      <c r="NB109" s="6">
        <f>COUNTIFS(Table106109[Country],Tabela1[[#This Row],[Country]],Table106109[Pursuit Classification],"&gt;0")</f>
        <v>0</v>
      </c>
      <c r="NC109" s="6">
        <f>COUNTIFS(Table106[Country],Tabela1[[#This Row],[Country]],Table106[Sprint Classification],"&gt;0")</f>
        <v>0</v>
      </c>
      <c r="ND109" s="6">
        <f>COUNTIFS(Table106109[Country],Tabela1[[#This Row],[Country]],Table106109[Sprint Classification],"&gt;0")</f>
        <v>0</v>
      </c>
      <c r="NE109" s="6">
        <f>COUNTIFS(Table109[Country],Tabela1[[#This Row],[Country]],Table109[Men''s Relay Classification],"&gt;0")</f>
        <v>0</v>
      </c>
      <c r="NF109" s="6">
        <f>COUNTIFS(Table109[Country],Tabela1[[#This Row],[Country]],Table109[Women''s Relay Classification],"&gt;0")</f>
        <v>0</v>
      </c>
      <c r="NG109" s="6">
        <f>COUNTIFS(Table109[Country],Tabela1[[#This Row],[Country]],Table109[Mixed Relay Classification],"&gt;0")</f>
        <v>0</v>
      </c>
      <c r="NH109" s="6">
        <f>COUNTIFS(Table110[Country],Tabela1[[#This Row],[Country]],Table110[Monobob Classification],"&gt;0")</f>
        <v>0</v>
      </c>
      <c r="NI109" s="6">
        <f>COUNTIFS(Table111[Country],Tabela1[[#This Row],[Country]],Table111[Men''s Classification],"&gt;0")</f>
        <v>0</v>
      </c>
      <c r="NJ109" s="6">
        <f>COUNTIFS(Table111[Country],Tabela1[[#This Row],[Country]],Table111[Women''s Classification],"&gt;0")</f>
        <v>0</v>
      </c>
      <c r="NK109" s="6">
        <f>COUNTIFS(Table112[Country],Tabela1[[#This Row],[Country]],Table112[Men''s Four Classification],"&gt;0")</f>
        <v>0</v>
      </c>
      <c r="NL109" s="6">
        <f>COUNTIFS(Table113[Country],Tabela1[[#This Row],[Country]],Table113[Classical Classification],"&gt;0")</f>
        <v>0</v>
      </c>
      <c r="NM109" s="6">
        <f>COUNTIFS(Table113116[Country],Tabela1[[#This Row],[Country]],Table113116[Classical Classification],"&gt;0")</f>
        <v>0</v>
      </c>
      <c r="NN109" s="6">
        <f>COUNTIFS(Table113[Country],Tabela1[[#This Row],[Country]],Table113[Freestyle Classification],"&gt;0")</f>
        <v>0</v>
      </c>
      <c r="NO109" s="6">
        <f>COUNTIFS(Table113116[Country],Tabela1[[#This Row],[Country]],Table113116[Freestyle Classification],"&gt;0")</f>
        <v>0</v>
      </c>
      <c r="NP109" s="6">
        <f>COUNTIFS(Table117[Country],Tabela1[[#This Row],[Country]],Table117[Men''s Relay Classification],"&gt;0")</f>
        <v>0</v>
      </c>
      <c r="NQ109" s="6">
        <f>COUNTIFS(Table117[Country],Tabela1[[#This Row],[Country]],Table117[Women''s Relay Classification],"&gt;0")</f>
        <v>0</v>
      </c>
      <c r="NR109" s="6">
        <f>COUNTIFS(Table113[Country],Tabela1[[#This Row],[Country]],Table113[Skiathlon Classification],"&gt;0")</f>
        <v>0</v>
      </c>
      <c r="NS109" s="6">
        <f>COUNTIFS(Table113116[Country],Tabela1[[#This Row],[Country]],Table113116[Skiathlon Classification],"&gt;0")</f>
        <v>0</v>
      </c>
      <c r="NT109" s="6">
        <f>COUNTIFS(Table113[Country],Tabela1[[#This Row],[Country]],Table113[Sprint Classification],"&gt;0")</f>
        <v>0</v>
      </c>
      <c r="NU109" s="6">
        <f>COUNTIFS(Table113116[Country],Tabela1[[#This Row],[Country]],Table113116[Sprint Classification],"&gt;0")</f>
        <v>0</v>
      </c>
      <c r="NV109" s="6">
        <f>COUNTIFS(Table116[Country],Tabela1[[#This Row],[Country]],Table116[Men''s Team Sprint Classification],"&gt;0")</f>
        <v>0</v>
      </c>
      <c r="NW109" s="6">
        <f>COUNTIFS(Table116[Country],Tabela1[[#This Row],[Country]],Table116[Women''s Team Sprint Classification],"&gt;0")</f>
        <v>0</v>
      </c>
      <c r="NX109" s="6">
        <f>COUNTIFS(Table119[Country],Tabela1[[#This Row],[Country]],Table119[Men''s Classification],"&gt;0")</f>
        <v>0</v>
      </c>
      <c r="NY109" s="6">
        <f>COUNTIFS(Table119[Country],Tabela1[[#This Row],[Country]],Table119[Women''s Classification],"&gt;0")</f>
        <v>0</v>
      </c>
      <c r="NZ109" s="6">
        <f>COUNTIFS(Table118[Country],Tabela1[[#This Row],[Country]],Table118[Mixed Classification],"&gt;0")</f>
        <v>0</v>
      </c>
      <c r="OA109" s="6">
        <f>COUNTIFS(Table120[Country],Tabela1[[#This Row],[Country]],Table120[Classification],"&gt;0")</f>
        <v>0</v>
      </c>
      <c r="OB109" s="6">
        <f>COUNTIFS(Table120123[Country],Tabela1[[#This Row],[Country]],Table120123[Classification],"&gt;0")</f>
        <v>0</v>
      </c>
      <c r="OC109" s="6">
        <f>COUNTIFS(Table123[Country],Tabela1[[#This Row],[Country]],Table123[Ice Dance Classification],"&gt;0")</f>
        <v>0</v>
      </c>
      <c r="OD109" s="6">
        <f>COUNTIFS(Table123[Country],Tabela1[[#This Row],[Country]],Table123[Pair Skating Classification],"&gt;0")</f>
        <v>0</v>
      </c>
      <c r="OE109" s="6">
        <f>COUNTIFS(Table124[Country],Tabela1[[#This Row],[Country]],Table124[Mixed Classification],"&gt;0")</f>
        <v>0</v>
      </c>
      <c r="OF109" s="6">
        <f>COUNTIFS(Table125[Country],Tabela1[[#This Row],[Country]],Table125[Aerials Classification],"&gt;0")</f>
        <v>0</v>
      </c>
      <c r="OG109" s="6">
        <f>COUNTIFS(Table125128[Country],Tabela1[[#This Row],[Country]],Table125128[Aerials Classification],"&gt;0")</f>
        <v>0</v>
      </c>
      <c r="OH109" s="6">
        <f>COUNTIFS(Table128[Country],Tabela1[[#This Row],[Country]],Table128[Mixed Aerials Classification],"&gt;0")</f>
        <v>0</v>
      </c>
      <c r="OI109" s="6">
        <f>COUNTIFS(Table125[Country],Tabela1[[#This Row],[Country]],Table125[Big Air Classification],"&gt;0")</f>
        <v>0</v>
      </c>
      <c r="OJ109" s="6">
        <f>COUNTIFS(Table125128[Country],Tabela1[[#This Row],[Country]],Table125128[Big Air Classification],"&gt;0")</f>
        <v>0</v>
      </c>
      <c r="OK109" s="6">
        <f>COUNTIFS(Table125[Country],Tabela1[[#This Row],[Country]],Table125[Dual Moguls Classification],"&gt;0")</f>
        <v>0</v>
      </c>
      <c r="OL109" s="6">
        <f>COUNTIFS(Table125128[Country],Tabela1[[#This Row],[Country]],Table125128[Dual Moguls Classification],"&gt;0")</f>
        <v>0</v>
      </c>
      <c r="OM109" s="6">
        <f>COUNTIFS(Table125[Country],Tabela1[[#This Row],[Country]],Table125[Halfpipe Classification],"&gt;0")</f>
        <v>0</v>
      </c>
      <c r="ON109" s="6">
        <f>COUNTIFS(Table125128[Country],Tabela1[[#This Row],[Country]],Table125128[Halfpipe Classification],"&gt;0")</f>
        <v>0</v>
      </c>
      <c r="OO109" s="6">
        <f>COUNTIFS(Table125[Country],Tabela1[[#This Row],[Country]],Table125[Moguls Classification],"&gt;0")</f>
        <v>0</v>
      </c>
      <c r="OP109" s="6">
        <f>COUNTIFS(Table125128[Country],Tabela1[[#This Row],[Country]],Table125128[Moguls Classification],"&gt;0")</f>
        <v>0</v>
      </c>
      <c r="OQ109" s="6">
        <f>COUNTIFS(Table125[Country],Tabela1[[#This Row],[Country]],Table125[Ski Cross Classification],"&gt;0")</f>
        <v>0</v>
      </c>
      <c r="OR109" s="6">
        <f>COUNTIFS(Table125128[Country],Tabela1[[#This Row],[Country]],Table125128[Ski Cross Classification],"&gt;0")</f>
        <v>0</v>
      </c>
      <c r="OS109" s="6">
        <f>COUNTIFS(Table125[Country],Tabela1[[#This Row],[Country]],Table125[Slopestyle Classification],"&gt;0")</f>
        <v>0</v>
      </c>
      <c r="OT109" s="6">
        <f>COUNTIFS(Table125128[Country],Tabela1[[#This Row],[Country]],Table125128[Slopestyle Classification],"&gt;0")</f>
        <v>0</v>
      </c>
      <c r="OU109" s="6">
        <f>COUNTIFS(Table119131[Country],Tabela1[[#This Row],[Country]],Table119131[Men''s Classification],"&gt;0")</f>
        <v>0</v>
      </c>
      <c r="OV109" s="6">
        <f>COUNTIFS(Table119131[Country],Tabela1[[#This Row],[Country]],Table119131[Women''s Classification],"&gt;0")</f>
        <v>0</v>
      </c>
      <c r="OW109" s="6">
        <f>COUNTIFS(Table131[Country],Tabela1[[#This Row],[Country]],Table131[Classification],"&gt;0")</f>
        <v>0</v>
      </c>
      <c r="OX109" s="6">
        <f>COUNTIFS(Table131134[Country],Tabela1[[#This Row],[Country]],Table131134[Classification],"&gt;0")</f>
        <v>0</v>
      </c>
      <c r="OY109" s="6">
        <f>COUNTIFS(Table134[Country],Tabela1[[#This Row],[Country]],Table134[Men''s Classification],"&gt;0")</f>
        <v>0</v>
      </c>
      <c r="OZ109" s="6">
        <f>COUNTIFS(Table134[Country],Tabela1[[#This Row],[Country]],Table134[Women''s Classification],"&gt;0")</f>
        <v>0</v>
      </c>
      <c r="PA109" s="6">
        <f>COUNTIFS(Table135[Country],Tabela1[[#This Row],[Country]],Table135[Mixed Relay Classification],"&gt;0")</f>
        <v>0</v>
      </c>
      <c r="PB109" s="6">
        <f>COUNTIFS(Table136[Country],Tabela1[[#This Row],[Country]],Table136[Individual Classification],"&gt;0")</f>
        <v>0</v>
      </c>
      <c r="PC109" s="6">
        <f>COUNTIFS(Table136[Country],Tabela1[[#This Row],[Country]],Table136[Sprint Classification],"&gt;0")</f>
        <v>0</v>
      </c>
      <c r="PD109" s="6">
        <f>COUNTIFS(Table137[Country],Tabela1[[#This Row],[Country]],Table137[Men''s Team Sprint Large Hill Classification],"&gt;0")</f>
        <v>0</v>
      </c>
      <c r="PE109" s="6">
        <f>COUNTIFS(Table138[Country],Tabela1[[#This Row],[Country]],Table138[500m Classification],"&gt;0")</f>
        <v>0</v>
      </c>
      <c r="PF109" s="6">
        <f>COUNTIFS(Table138141[Country],Tabela1[[#This Row],[Country]],Table138141[500m Classification],"&gt;0")</f>
        <v>0</v>
      </c>
      <c r="PG109" s="6">
        <f>COUNTIFS(Table138[Country],Tabela1[[#This Row],[Country]],Table138[1000m Classification],"&gt;0")</f>
        <v>0</v>
      </c>
      <c r="PH109" s="6">
        <f>COUNTIFS(Table138141[Country],Tabela1[[#This Row],[Country]],Table138141[1000m Classification],"&gt;0")</f>
        <v>0</v>
      </c>
      <c r="PI109" s="6">
        <f>COUNTIFS(Table138[Country],Tabela1[[#This Row],[Country]],Table138[1500m Classification],"&gt;0")</f>
        <v>0</v>
      </c>
      <c r="PJ109" s="6">
        <f>COUNTIFS(Table138141[Country],Tabela1[[#This Row],[Country]],Table138141[1500m Classification],"&gt;0")</f>
        <v>0</v>
      </c>
      <c r="PK109" s="6">
        <f>COUNTIFS(Table141[Country],Tabela1[[#This Row],[Country]],Table141[Men''s 5000m Relay Classification],"&gt;0")</f>
        <v>0</v>
      </c>
      <c r="PL109" s="6">
        <f>COUNTIFS(Table141[Country],Tabela1[[#This Row],[Country]],Table141[Women''s 3000m Relay Classification],"&gt;0")</f>
        <v>0</v>
      </c>
      <c r="PM109" s="6">
        <f>COUNTIFS(Table141[Country],Tabela1[[#This Row],[Country]],Table141[Mixed 2000m Relay Classification],"&gt;0")</f>
        <v>0</v>
      </c>
      <c r="PN109" s="6">
        <f>COUNTIFS(Table142[Country],Tabela1[[#This Row],[Country]],Table142[Classification],"&gt;0")</f>
        <v>0</v>
      </c>
      <c r="PO109" s="6">
        <f>COUNTIFS(Table142145[Country],Tabela1[[#This Row],[Country]],Table142145[Classification],"&gt;0")</f>
        <v>0</v>
      </c>
      <c r="PP109" s="6">
        <f>COUNTIFS(Tabela15[Country],Tabela1[[#This Row],[Country]],Tabela15[Mixed Team Classification],"&gt;0")</f>
        <v>0</v>
      </c>
      <c r="PQ109" s="6">
        <f>COUNTIFS(Table145[Country],Tabela1[[#This Row],[Country]],Table145[Large Hill Classification],"&gt;0")</f>
        <v>0</v>
      </c>
      <c r="PR109" s="6">
        <f>COUNTIFS(Table145[Country],Tabela1[[#This Row],[Country]],Table145[Normal Hill Classification],"&gt;0")</f>
        <v>0</v>
      </c>
      <c r="PS109" s="6">
        <f>COUNTIFS(Table145148[Country],Tabela1[[#This Row],[Country]],Table145148[Large Hill Classification],"&gt;0")</f>
        <v>0</v>
      </c>
      <c r="PT109" s="6">
        <f>COUNTIFS(Table145148[Country],Tabela1[[#This Row],[Country]],Table145148[Normal Hill Classification],"&gt;0")</f>
        <v>0</v>
      </c>
      <c r="PU109" s="6">
        <f>COUNTIFS(Table148[Country],Tabela1[[#This Row],[Country]],Table148[Men''s Super Team Classification],"&gt;0")</f>
        <v>0</v>
      </c>
      <c r="PV109" s="6">
        <f>COUNTIFS(Tabela114[Country],Tabela1[[#This Row],[Country]],Tabela114[Mixed Normal Hill Classification],"&gt;0")</f>
        <v>0</v>
      </c>
      <c r="PW109" s="6">
        <f>COUNTIFS(Tabela50[Country],Tabela1[[#This Row],[Country]],Tabela50[Sprint Classification],"&gt;0")</f>
        <v>0</v>
      </c>
      <c r="PX109" s="6">
        <f>COUNTIFS(Tabela50101[Country],Tabela1[[#This Row],[Country]],Tabela50101[Sprint Classification],"&gt;0")</f>
        <v>0</v>
      </c>
      <c r="PY109" s="6">
        <f>COUNTIFS(Tabela103[Country],Tabela1[[#This Row],[Country]],Tabela103[Mixed Relay Classification],"&gt;0")</f>
        <v>0</v>
      </c>
      <c r="PZ109" s="6">
        <f>COUNTIFS(Table149[Country],Tabela1[[#This Row],[Country]],Table149[Big Air Classification],"&gt;0")</f>
        <v>0</v>
      </c>
      <c r="QA109" s="6">
        <f>COUNTIFS(Table149152[Country],Tabela1[[#This Row],[Country]],Table149152[Big Air Classification],"&gt;0")</f>
        <v>0</v>
      </c>
      <c r="QB109" s="6">
        <f>COUNTIFS(Table149[Country],Tabela1[[#This Row],[Country]],Table149[Halfpipe Classification],"&gt;0")</f>
        <v>0</v>
      </c>
      <c r="QC109" s="6">
        <f>COUNTIFS(Table149152[Country],Tabela1[[#This Row],[Country]],Table149152[Halfpipe Classification],"&gt;0")</f>
        <v>0</v>
      </c>
      <c r="QD109" s="6">
        <f>COUNTIFS(Table149[Country],Tabela1[[#This Row],[Country]],Table149[Parallel Giant Slalom Classification],"&gt;0")</f>
        <v>0</v>
      </c>
      <c r="QE109" s="6">
        <f>COUNTIFS(Table149152[Country],Tabela1[[#This Row],[Country]],Table149152[Parallel Giant Slalom Classification],"&gt;0")</f>
        <v>0</v>
      </c>
      <c r="QF109" s="6">
        <f>COUNTIFS(Table149[Country],Tabela1[[#This Row],[Country]],Table149[Slopestyle Classification],"&gt;0")</f>
        <v>0</v>
      </c>
      <c r="QG109" s="6">
        <f>COUNTIFS(Table149152[Country],Tabela1[[#This Row],[Country]],Table149152[Slopestyle Classification],"&gt;0")</f>
        <v>0</v>
      </c>
      <c r="QH109" s="6">
        <f>COUNTIFS(Table149[Country],Tabela1[[#This Row],[Country]],Table149[Snowboard Cross Classification],"&gt;0")</f>
        <v>0</v>
      </c>
      <c r="QI109" s="6">
        <f>COUNTIFS(Table149152[Country],Tabela1[[#This Row],[Country]],Table149152[Snowboard Cross Classification],"&gt;0")</f>
        <v>0</v>
      </c>
      <c r="QJ109" s="6">
        <f>COUNTIFS(Table153[Country],Tabela1[[#This Row],[Country]],Table153[Mixed Team Snowboard Cross Classification],"&gt;0")</f>
        <v>0</v>
      </c>
      <c r="QK109" s="6">
        <f>COUNTIFS(Table154[Country],Tabela1[[#This Row],[Country]],Table154[500m Classification],"&gt;0")</f>
        <v>0</v>
      </c>
      <c r="QL109" s="6">
        <f>COUNTIFS(Table154157[Country],Tabela1[[#This Row],[Country]],Table154157[500m Classification],"&gt;0")</f>
        <v>0</v>
      </c>
      <c r="QM109" s="6">
        <f>COUNTIFS(Table154[Country],Tabela1[[#This Row],[Country]],Table154[1000m Classification],"&gt;0")</f>
        <v>0</v>
      </c>
      <c r="QN109" s="6">
        <f>COUNTIFS(Table154157[Country],Tabela1[[#This Row],[Country]],Table154157[1000m Classification],"&gt;0")</f>
        <v>0</v>
      </c>
      <c r="QO109" s="6">
        <f>COUNTIFS(Table154[Country],Tabela1[[#This Row],[Country]],Table154[1500m Classification],"&gt;0")</f>
        <v>0</v>
      </c>
      <c r="QP109" s="6">
        <f>COUNTIFS(Table154157[Country],Tabela1[[#This Row],[Country]],Table154157[1500m Classification],"&gt;0")</f>
        <v>0</v>
      </c>
      <c r="QQ109" s="6">
        <f>COUNTIFS(Table154157[Country],Tabela1[[#This Row],[Country]],Table154157[3000m Classification],"&gt;0")</f>
        <v>0</v>
      </c>
      <c r="QR109" s="6">
        <f>COUNTIFS(Table154[Country],Tabela1[[#This Row],[Country]],Table154[5000m Classification],"&gt;0")</f>
        <v>0</v>
      </c>
      <c r="QS109" s="6">
        <f>COUNTIFS(Table154157[Country],Tabela1[[#This Row],[Country]],Table154157[5000m Classification],"&gt;0")</f>
        <v>0</v>
      </c>
      <c r="QT109" s="6">
        <f>COUNTIFS(Table154[Country],Tabela1[[#This Row],[Country]],Table154[10000m Classification],"&gt;0")</f>
        <v>0</v>
      </c>
      <c r="QU109" s="6">
        <f>COUNTIFS(Table154[Country],Tabela1[[#This Row],[Country]],Table154[Mass Start Classification],"&gt;0")</f>
        <v>0</v>
      </c>
      <c r="QV109" s="6">
        <f>COUNTIFS(Table154157[Country],Tabela1[[#This Row],[Country]],Table154157[Mass Start Classification],"&gt;0")</f>
        <v>0</v>
      </c>
      <c r="QW109" s="6">
        <f>COUNTIFS(Table157[Country],Tabela1[[#This Row],[Country]],Table157[Men''s Pursuit Classification],"&gt;0")</f>
        <v>0</v>
      </c>
      <c r="QX109" s="6">
        <f>COUNTIFS(Table157[Country],Tabela1[[#This Row],[Country]],Table157[Women''s Pursuit Classification],"&gt;0")</f>
        <v>0</v>
      </c>
      <c r="QY109" s="3" t="s">
        <v>531</v>
      </c>
    </row>
    <row r="110" spans="1:467" x14ac:dyDescent="0.3">
      <c r="A110" s="6">
        <v>109</v>
      </c>
      <c r="B110" s="6" t="s">
        <v>666</v>
      </c>
      <c r="C110" t="e" vm="109">
        <f>IF(ISBLANK(Tabela1[[#This Row],[Image Link]]), "", _xlfn.IMAGE(Tabela1[[#This Row],[Image Link]],1,1))</f>
        <v>#VALUE!</v>
      </c>
      <c r="D110" s="6">
        <f>SUM(Tabela1[[#This Row],[Archery - Men''s Individual Recurve]:[Speed Skating - Women''s Team Pursuit]])</f>
        <v>3</v>
      </c>
      <c r="E110" s="6">
        <f>COUNTIF(Tabela1[[#This Row],[Archery - Men''s Individual Recurve]:[Speed Skating - Women''s Team Pursuit]],"&gt;0")</f>
        <v>3</v>
      </c>
      <c r="F110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10" s="6">
        <f>SUM(Tabela1[[#This Row],[Archery - Men''s Individual Recurve]:[Wrestling - Women''s Freestyle 76kg]])</f>
        <v>3</v>
      </c>
      <c r="H110" s="6">
        <f>SUM(Tabela1[[#This Row],[Alpine Skiing - Men''s Downhill]:[Speed Skating - Women''s Team Pursuit]])</f>
        <v>0</v>
      </c>
      <c r="I110" s="6">
        <f>Tabela1[[#This Row],[Summer Gold Medals]]+Tabela1[[#This Row],[Winter Gold Medals]]</f>
        <v>0</v>
      </c>
      <c r="J110" s="6">
        <f>Tabela1[[#This Row],[Summer Silver Medals]]+Tabela1[[#This Row],[Winter Silver Medals]]</f>
        <v>0</v>
      </c>
      <c r="K110" s="6">
        <f>Tabela1[[#This Row],[Summer Bronze Medals]]+Tabela1[[#This Row],[Winter Bronze Medals]]</f>
        <v>0</v>
      </c>
      <c r="L110" s="6">
        <f>SUM(Tabela1[[#This Row],[Total Gold Medals]:[Total Bronze Medals]])</f>
        <v>0</v>
      </c>
      <c r="M110" s="6"/>
      <c r="N110" s="6"/>
      <c r="O110" s="6"/>
      <c r="P110" s="6">
        <f>SUM(Tabela1[[#This Row],[Summer Gold Medals]:[Summer Bronze Medals]])</f>
        <v>0</v>
      </c>
      <c r="Q110" s="6"/>
      <c r="R110" s="6"/>
      <c r="S110" s="6"/>
      <c r="T110" s="6">
        <f>Tabela1[[#This Row],[Winter Gold Medals]]+Tabela1[[#This Row],[Winter Silver Medals]]+Tabela1[[#This Row],[Winter Bronze Medals]]</f>
        <v>0</v>
      </c>
      <c r="U110" s="7">
        <f>Tabela1[[#This Row],[Total Medals]]/Tabela1[[#This Row],[Total Quotas]]</f>
        <v>0</v>
      </c>
      <c r="V110" s="6">
        <f>COUNTIFS(Table3[Country],Tabela1[[#This Row],[Country]],Table3[Recurve Classification],"&gt;0")</f>
        <v>0</v>
      </c>
      <c r="W110" s="6">
        <f>COUNTIFS(Table33[Country],Tabela1[[#This Row],[Country]],Table33[Recurve Classification],"&gt;0")</f>
        <v>0</v>
      </c>
      <c r="X110" s="6">
        <f>COUNTIFS(Table35[Country],Tabela1[[#This Row],[Country]],Table35[Men''s Team Recurve Classification],"&gt;0")</f>
        <v>0</v>
      </c>
      <c r="Y110" s="6">
        <f>COUNTIFS(Table35[Country],Tabela1[[#This Row],[Country]],Table35[Women''s Team Recurve Classification],"&gt;0")</f>
        <v>0</v>
      </c>
      <c r="Z110" s="6">
        <f>COUNTIFS(Tabela88[Country],Tabela1[[#This Row],[Country]],Tabela88[Mixed Team Recurve Classification],"&gt;0")</f>
        <v>0</v>
      </c>
      <c r="AA110" s="6">
        <f>COUNTIFS(Table36[Country],Tabela1[[#This Row],[Country]],Table36[Classification],"&gt;0")</f>
        <v>0</v>
      </c>
      <c r="AB110" s="6">
        <f>COUNTIFS(Table37[Country],Tabela1[[#This Row],[Country]],Table37[Classification],"&gt;0")</f>
        <v>0</v>
      </c>
      <c r="AC110" s="6">
        <f>COUNTIFS(Table4[Country],Tabela1[[#This Row],[Country]],Table4[100m Classification],"&gt;0")</f>
        <v>0</v>
      </c>
      <c r="AD110" s="6">
        <f>COUNTIFS(Table5[Country],Tabela1[[#This Row],[Country]],Table5[100m Classification],"&gt;0")</f>
        <v>0</v>
      </c>
      <c r="AE110" s="6">
        <f>COUNTIFS(Table4[Country],Tabela1[[#This Row],[Country]],Table4[200m Classification],"&gt;0")</f>
        <v>0</v>
      </c>
      <c r="AF110" s="6">
        <f>COUNTIFS(Table5[Country],Tabela1[[#This Row],[Country]],Table5[200m Classification],"&gt;0")</f>
        <v>0</v>
      </c>
      <c r="AG110" s="6">
        <f>COUNTIFS(Table4[Country],Tabela1[[#This Row],[Country]],Table4[400m Classification],"&gt;0")</f>
        <v>0</v>
      </c>
      <c r="AH110" s="6">
        <f>COUNTIFS(Table5[Country],Tabela1[[#This Row],[Country]],Table5[400m Classification],"&gt;0")</f>
        <v>0</v>
      </c>
      <c r="AI110" s="6">
        <f>COUNTIFS(Table4[Country],Tabela1[[#This Row],[Country]],Table4[800m Classification],"&gt;0")</f>
        <v>0</v>
      </c>
      <c r="AJ110" s="6">
        <f>COUNTIFS(Table5[Country],Tabela1[[#This Row],[Country]],Table5[800m Classification],"&gt;0")</f>
        <v>0</v>
      </c>
      <c r="AK110" s="6">
        <f>COUNTIFS(Table4[Country],Tabela1[[#This Row],[Country]],Table4[1500m Classification],"&gt;0")</f>
        <v>0</v>
      </c>
      <c r="AL110" s="6">
        <f>COUNTIFS(Table5[Country],Tabela1[[#This Row],[Country]],Table5[1500m Classification],"&gt;0")</f>
        <v>0</v>
      </c>
      <c r="AM110" s="6">
        <f>COUNTIFS(Table4[Country],Tabela1[[#This Row],[Country]],Table4[5000m Classification],"&gt;0")</f>
        <v>0</v>
      </c>
      <c r="AN110" s="6">
        <f>COUNTIFS(Table5[Country],Tabela1[[#This Row],[Country]],Table5[5000m Classification],"&gt;0")</f>
        <v>0</v>
      </c>
      <c r="AO110" s="6">
        <f>COUNTIFS(Table4[Country],Tabela1[[#This Row],[Country]],Table4[10000m Classification],"&gt;0")</f>
        <v>0</v>
      </c>
      <c r="AP110" s="6">
        <f>COUNTIFS(Table5[Country],Tabela1[[#This Row],[Country]],Table5[10000m Classification],"&gt;0")</f>
        <v>0</v>
      </c>
      <c r="AQ110" s="6">
        <f>COUNTIFS(Table4[Country],Tabela1[[#This Row],[Country]],Table4[110m Hurdles Classification],"&gt;0")</f>
        <v>0</v>
      </c>
      <c r="AR110" s="6">
        <f>COUNTIFS(Table5[Country],Tabela1[[#This Row],[Country]],Table5[100m Hurdles Classification],"&gt;0")</f>
        <v>0</v>
      </c>
      <c r="AS110" s="6">
        <f>COUNTIFS(Table4[Country],Tabela1[[#This Row],[Country]],Table4[400m Hurdles Classification],"&gt;0")</f>
        <v>0</v>
      </c>
      <c r="AT110" s="6">
        <f>COUNTIFS(Table5[Country],Tabela1[[#This Row],[Country]],Table5[400m Hurdles Classification],"&gt;0")</f>
        <v>0</v>
      </c>
      <c r="AU110" s="6">
        <f>COUNTIFS(Table4[Country],Tabela1[[#This Row],[Country]],Table4[3000m Steeplechase Classification],"&gt;0")</f>
        <v>0</v>
      </c>
      <c r="AV110" s="6">
        <f>COUNTIFS(Table5[Country],Tabela1[[#This Row],[Country]],Table5[3000m Steeplechase Classification],"&gt;0")</f>
        <v>0</v>
      </c>
      <c r="AW110" s="6">
        <f>COUNTIFS(Table27[Country],Tabela1[[#This Row],[Country]],Table27[Men''s 4x100m Relay Classification],"&gt;0")</f>
        <v>0</v>
      </c>
      <c r="AX110" s="6">
        <f>COUNTIFS(Table27[Country],Tabela1[[#This Row],[Country]],Table27[Women''s 4x100m Relay Classification],"&gt;0")</f>
        <v>0</v>
      </c>
      <c r="AY110" s="6">
        <f>COUNTIFS(Table27[Country],Tabela1[[#This Row],[Country]],Table27[Men''s 4x400m Relay Classification],"&gt;0")</f>
        <v>0</v>
      </c>
      <c r="AZ110" s="6">
        <f>COUNTIFS(Table27[Country],Tabela1[[#This Row],[Country]],Table27[Women''s 4x400m Relay Classification],"&gt;0")</f>
        <v>0</v>
      </c>
      <c r="BA110" s="6">
        <f>COUNTIFS(Table27[Country],Tabela1[[#This Row],[Country]],Table27[Mixed 4x400m Relay Classification],"&gt;0")</f>
        <v>0</v>
      </c>
      <c r="BB110" s="6">
        <f>COUNTIFS(Table4[Country],Tabela1[[#This Row],[Country]],Table4[Marathon Classification],"&gt;0")</f>
        <v>0</v>
      </c>
      <c r="BC110" s="6">
        <f>COUNTIFS(Table5[Country],Tabela1[[#This Row],[Country]],Table5[Marathon Classification],"&gt;0")</f>
        <v>0</v>
      </c>
      <c r="BD110" s="6">
        <f>COUNTIFS(Table4[Country],Tabela1[[#This Row],[Country]],Table4[20km Race Walk Classification],"&gt;0")</f>
        <v>0</v>
      </c>
      <c r="BE110" s="6">
        <f>COUNTIFS(Table5[Country],Tabela1[[#This Row],[Country]],Table5[20km Race Walk Classification],"&gt;0")</f>
        <v>0</v>
      </c>
      <c r="BF110" s="6">
        <f>COUNTIFS(Tabela96[Country],Tabela1[[#This Row],[Country]],Tabela96[Mixed Marathon Race Walk Relay Classification],"&gt;0")</f>
        <v>0</v>
      </c>
      <c r="BG110" s="6">
        <f>COUNTIFS(Table4[Country],Tabela1[[#This Row],[Country]],Table4[Discus Throw Classification],"&gt;0")</f>
        <v>0</v>
      </c>
      <c r="BH110" s="6">
        <f>COUNTIFS(Table5[Country],Tabela1[[#This Row],[Country]],Table5[Discus Throw Classification],"&gt;0")</f>
        <v>0</v>
      </c>
      <c r="BI110" s="6">
        <f>COUNTIFS(Table4[Country],Tabela1[[#This Row],[Country]],Table4[Hammer Throw Classification],"&gt;0")</f>
        <v>0</v>
      </c>
      <c r="BJ110" s="6">
        <f>COUNTIFS(Table5[Country],Tabela1[[#This Row],[Country]],Table5[Hammer Throw Classification],"&gt;0")</f>
        <v>0</v>
      </c>
      <c r="BK110" s="6">
        <f>COUNTIFS(Table4[Country],Tabela1[[#This Row],[Country]],Table4[High Jump Classification],"&gt;0")</f>
        <v>0</v>
      </c>
      <c r="BL110" s="6">
        <f>COUNTIFS(Table5[Country],Tabela1[[#This Row],[Country]],Table5[High Jump Classification],"&gt;0")</f>
        <v>0</v>
      </c>
      <c r="BM110" s="6">
        <f>COUNTIFS(Table4[Country],Tabela1[[#This Row],[Country]],Table4[Javelin Throw Classification],"&gt;0")</f>
        <v>0</v>
      </c>
      <c r="BN110" s="6">
        <f>COUNTIFS(Table5[Country],Tabela1[[#This Row],[Country]],Table5[Javelin Throw Classification],"&gt;0")</f>
        <v>0</v>
      </c>
      <c r="BO110" s="6">
        <f>COUNTIFS(Table4[Country],Tabela1[[#This Row],[Country]],Table4[Long Jump Classification],"&gt;0")</f>
        <v>0</v>
      </c>
      <c r="BP110" s="6">
        <f>COUNTIFS(Table5[Country],Tabela1[[#This Row],[Country]],Table5[Long Jump Classification],"&gt;0")</f>
        <v>0</v>
      </c>
      <c r="BQ110" s="6">
        <f>COUNTIFS(Table4[Country],Tabela1[[#This Row],[Country]],Table4[Pole Vault Classification],"&gt;0")</f>
        <v>0</v>
      </c>
      <c r="BR110" s="6">
        <f>COUNTIFS(Table5[Country],Tabela1[[#This Row],[Country]],Table5[Pole Vault Classification],"&gt;0")</f>
        <v>0</v>
      </c>
      <c r="BS110" s="6">
        <f>COUNTIFS(Table4[Country],Tabela1[[#This Row],[Country]],Table4[Shot Put Classification],"&gt;0")</f>
        <v>0</v>
      </c>
      <c r="BT110" s="6">
        <f>COUNTIFS(Table5[Country],Tabela1[[#This Row],[Country]],Table5[Shot Put Classification],"&gt;0")</f>
        <v>0</v>
      </c>
      <c r="BU110" s="6">
        <f>COUNTIFS(Table4[Country],Tabela1[[#This Row],[Country]],Table4[Triple Jump Classification],"&gt;0")</f>
        <v>0</v>
      </c>
      <c r="BV110" s="6">
        <f>COUNTIFS(Table5[Country],Tabela1[[#This Row],[Country]],Table5[Triple Jump Classification],"&gt;0")</f>
        <v>0</v>
      </c>
      <c r="BW110" s="6">
        <f>COUNTIFS(Table4[Country],Tabela1[[#This Row],[Country]],Table4[Decathlon Classification],"&gt;0")</f>
        <v>0</v>
      </c>
      <c r="BX110" s="6">
        <f>COUNTIFS(Table5[Country],Tabela1[[#This Row],[Country]],Table5[Heptathlon Classification],"&gt;0")</f>
        <v>0</v>
      </c>
      <c r="BY110" s="6">
        <f>COUNTIFS(Table61[Country],Tabela1[[#This Row],[Country]],Table61[Classification],"&gt;0")</f>
        <v>0</v>
      </c>
      <c r="BZ110" s="6">
        <f>COUNTIFS(Table38[Country],Tabela1[[#This Row],[Country]],Table38[Classification],"&gt;0")</f>
        <v>0</v>
      </c>
      <c r="CA110" s="6">
        <f>COUNTIFS(Table39[Country],Tabela1[[#This Row],[Country]],Table39[Men''s Classification],"&gt;0")</f>
        <v>0</v>
      </c>
      <c r="CB110" s="6">
        <f>COUNTIFS(Table39[Country],Tabela1[[#This Row],[Country]],Table39[Women''s Classification],"&gt;0")</f>
        <v>0</v>
      </c>
      <c r="CC110" s="6">
        <f>COUNTIFS(Table39[Country],Tabela1[[#This Row],[Country]],Table39[Mixed Classification],"&gt;0")</f>
        <v>0</v>
      </c>
      <c r="CD110" s="6">
        <f>COUNTIFS(Table89[Country],Tabela1[[#This Row],[Country]],Table89[Men''s Classification],"&gt;0")</f>
        <v>0</v>
      </c>
      <c r="CE110" s="6">
        <f>COUNTIFS(Table89[Country],Tabela1[[#This Row],[Country]],Table89[Women''s Classification],"&gt;0")</f>
        <v>0</v>
      </c>
      <c r="CF110" s="6">
        <f>COUNTIFS(Table90[Country],Tabela1[[#This Row],[Country]],Table90[Men''s Classification],"&gt;0")</f>
        <v>0</v>
      </c>
      <c r="CG110" s="6">
        <f>COUNTIFS(Table90[Country],Tabela1[[#This Row],[Country]],Table90[Women''s Classification],"&gt;0")</f>
        <v>0</v>
      </c>
      <c r="CH110" s="6">
        <f>COUNTIFS(Table60[Country],Tabela1[[#This Row],[Country]],Table60[Men''s Classification],"&gt;0")</f>
        <v>0</v>
      </c>
      <c r="CI110" s="6">
        <f>COUNTIFS(Table60[Country],Tabela1[[#This Row],[Country]],Table60[Women''s Classification],"&gt;0")</f>
        <v>0</v>
      </c>
      <c r="CJ110" s="6">
        <f>COUNTIFS(Table6[Country],Tabela1[[#This Row],[Country]],Table6[51kg Classification],"&gt;0")</f>
        <v>0</v>
      </c>
      <c r="CK110" s="6">
        <f>COUNTIFS(Table6[Country],Tabela1[[#This Row],[Country]],Table6[57kg Classification],"&gt;0")</f>
        <v>0</v>
      </c>
      <c r="CL110" s="6">
        <f>COUNTIFS(Table6[Country],Tabela1[[#This Row],[Country]],Table6[63.5kg Classification],"&gt;0")</f>
        <v>1</v>
      </c>
      <c r="CM110" s="6">
        <f>COUNTIFS(Table6[Country],Tabela1[[#This Row],[Country]],Table6[71kg Classification],"&gt;0")</f>
        <v>0</v>
      </c>
      <c r="CN110" s="6">
        <f>COUNTIFS(Table6[Country],Tabela1[[#This Row],[Country]],Table6[80kg Classification],"&gt;0")</f>
        <v>0</v>
      </c>
      <c r="CO110" s="6">
        <f>COUNTIFS(Table6[Country],Tabela1[[#This Row],[Country]],Table6[92kg Classification],"&gt;0")</f>
        <v>0</v>
      </c>
      <c r="CP110" s="6">
        <f>COUNTIFS(Table6[Country],Tabela1[[#This Row],[Country]],Table6[Plus 92kg Classification],"&gt;0")</f>
        <v>0</v>
      </c>
      <c r="CQ110" s="6">
        <f>COUNTIFS(Table7[Country],Tabela1[[#This Row],[Country]],Table7[50kg Classification],"&gt;0")</f>
        <v>0</v>
      </c>
      <c r="CR110" s="6">
        <f>COUNTIFS(Table7[Country],Tabela1[[#This Row],[Country]],Table7[54kg Classification],"&gt;0")</f>
        <v>0</v>
      </c>
      <c r="CS110" s="6">
        <f>COUNTIFS(Table7[Country],Tabela1[[#This Row],[Country]],Table7[57kg Classification],"&gt;0")</f>
        <v>0</v>
      </c>
      <c r="CT110" s="6">
        <f>COUNTIFS(Table7[Country],Tabela1[[#This Row],[Country]],Table7[60kg Classification],"&gt;0")</f>
        <v>0</v>
      </c>
      <c r="CU110" s="6">
        <f>COUNTIFS(Table7[Country],Tabela1[[#This Row],[Country]],Table7[66kg Classification],"&gt;0")</f>
        <v>0</v>
      </c>
      <c r="CV110" s="6">
        <f>COUNTIFS(Table7[Country],Tabela1[[#This Row],[Country]],Table7[75kg Classification],"&gt;0")</f>
        <v>0</v>
      </c>
      <c r="CW110" s="6">
        <f>COUNTIFS(Tabela94[Country],Tabela1[[#This Row],[Country]],Tabela94[Classification],"&gt;0")</f>
        <v>0</v>
      </c>
      <c r="CX110" s="6">
        <f>COUNTIFS(Tabela9499[Country],Tabela1[[#This Row],[Country]],Tabela9499[Classification],"&gt;0")</f>
        <v>0</v>
      </c>
      <c r="CY110" s="6">
        <f>COUNTIFS(Tabela107[Country],Tabela1[[#This Row],[Country]],Tabela107[C1 Slalom Classification],"&gt;0")</f>
        <v>0</v>
      </c>
      <c r="CZ110" s="6">
        <f>COUNTIFS(Tabela107122[Country],Tabela1[[#This Row],[Country]],Tabela107122[C1 Slalom Classification],"&gt;0")</f>
        <v>0</v>
      </c>
      <c r="DA110" s="6">
        <f>COUNTIFS(Tabela107[Country],Tabela1[[#This Row],[Country]],Tabela107[K1 Slalom Classification],"&gt;0")</f>
        <v>0</v>
      </c>
      <c r="DB110" s="6">
        <f>COUNTIFS(Tabela107122[Country],Tabela1[[#This Row],[Country]],Tabela107122[K1 Slalom Classification],"&gt;0")</f>
        <v>0</v>
      </c>
      <c r="DC110" s="6">
        <f>COUNTIFS(Tabela107[Country],Tabela1[[#This Row],[Country]],Tabela107[Kayak Cross Slalom Classification],"&gt;0")</f>
        <v>0</v>
      </c>
      <c r="DD110" s="6">
        <f>COUNTIFS(Tabela107122[Country],Tabela1[[#This Row],[Country]],Tabela107122[Kayak Cross Slalom Classification],"&gt;0")</f>
        <v>0</v>
      </c>
      <c r="DE110" s="6">
        <f>COUNTIFS(Table8[Country],Tabela1[[#This Row],[Country]],Table8[C1 200m Classification],"&gt;0")</f>
        <v>0</v>
      </c>
      <c r="DF110" s="6">
        <f>COUNTIFS(Table40[Country],Tabela1[[#This Row],[Country]],Table40[C1 1000m Classification],"&gt;0")</f>
        <v>0</v>
      </c>
      <c r="DG110" s="6">
        <f>COUNTIFS(Table68[Country],Tabela1[[#This Row],[Country]],Table68[Men''s C2 500m Classification],"&gt;0")</f>
        <v>0</v>
      </c>
      <c r="DH110" s="6">
        <f>COUNTIFS(Table68[Country],Tabela1[[#This Row],[Country]],Table68[Women''s C2 500m Classification],"&gt;0")</f>
        <v>0</v>
      </c>
      <c r="DI110" s="6">
        <f>COUNTIFS(Table8[Country],Tabela1[[#This Row],[Country]],Table8[K1 500m Classification],"&gt;0")</f>
        <v>0</v>
      </c>
      <c r="DJ110" s="6">
        <f>COUNTIFS(Table40[Country],Tabela1[[#This Row],[Country]],Table40[K1 1000m Classification],"&gt;0")</f>
        <v>0</v>
      </c>
      <c r="DK110" s="6">
        <f>COUNTIFS(Table68[Country],Tabela1[[#This Row],[Country]],Table68[Men''s K2 500m Classification],"&gt;0")</f>
        <v>0</v>
      </c>
      <c r="DL110" s="6">
        <f>COUNTIFS(Table68[Country],Tabela1[[#This Row],[Country]],Table68[Women''s K2 500m Classification],"&gt;0")</f>
        <v>0</v>
      </c>
      <c r="DM110" s="6">
        <f>COUNTIFS(Table83[Country],Tabela1[[#This Row],[Country]],Table83[Men''s K4 500m Classification],"&gt;0")</f>
        <v>0</v>
      </c>
      <c r="DN110" s="6">
        <f>COUNTIFS(Table83[Country],Tabela1[[#This Row],[Country]],Table83[Women''s K4 500m Classification],"&gt;0")</f>
        <v>0</v>
      </c>
      <c r="DO110" s="6">
        <f>COUNTIFS(Tabela126[Country],Tabela1[[#This Row],[Country]],Tabela126[Classification],"&gt;0")</f>
        <v>0</v>
      </c>
      <c r="DP110" s="6">
        <f>COUNTIFS(Tabela126130[Country],Tabela1[[#This Row],[Country]],Tabela126130[Classification],"&gt;0")</f>
        <v>0</v>
      </c>
      <c r="DQ110" s="6">
        <f>COUNTIFS(Table70[Country],Tabela1[[#This Row],[Country]],Table70[Classification],"&gt;0")</f>
        <v>0</v>
      </c>
      <c r="DR110" s="6">
        <f>COUNTIFS(Table80[Country],Tabela1[[#This Row],[Country]],Table80[Classification],"&gt;0")</f>
        <v>0</v>
      </c>
      <c r="DS110" s="6">
        <f>COUNTIFS(Table66[Country],Tabela1[[#This Row],[Country]],Table66[Classification],"&gt;0")</f>
        <v>0</v>
      </c>
      <c r="DT110" s="6">
        <f>COUNTIFS(Table67[Country],Tabela1[[#This Row],[Country]],Table67[Classification],"&gt;0")</f>
        <v>0</v>
      </c>
      <c r="DU110" s="6">
        <f>COUNTIFS(Table69[Country],Tabela1[[#This Row],[Country]],Table69[Keirin Classification],"&gt;0")</f>
        <v>0</v>
      </c>
      <c r="DV110" s="6">
        <f>COUNTIFS(Table41[Country],Tabela1[[#This Row],[Country]],Table41[Keirin Classification],"&gt;0")</f>
        <v>0</v>
      </c>
      <c r="DW110" s="6">
        <f>COUNTIFS(Table84[Country],Tabela1[[#This Row],[Country]],Table84[Men''s Madison Classification],"&gt;0")</f>
        <v>0</v>
      </c>
      <c r="DX110" s="6">
        <f>COUNTIFS(Table84[Country],Tabela1[[#This Row],[Country]],Table84[Women''s Madison Classification],"&gt;0")</f>
        <v>0</v>
      </c>
      <c r="DY110" s="6">
        <f>COUNTIFS(Table69[Country],Tabela1[[#This Row],[Country]],Table69[Omnium Classification],"&gt;0")</f>
        <v>0</v>
      </c>
      <c r="DZ110" s="6">
        <f>COUNTIFS(Table41[Country],Tabela1[[#This Row],[Country]],Table41[Omnium Classification],"&gt;0")</f>
        <v>0</v>
      </c>
      <c r="EA110" s="6">
        <f>COUNTIFS(Table9[Country],Tabela1[[#This Row],[Country]],Table9[Road Race Classification],"&gt;0")</f>
        <v>0</v>
      </c>
      <c r="EB110" s="6">
        <f>COUNTIFS(Table14[Country],Tabela1[[#This Row],[Country]],Table14[Road Race Classification],"&gt;0")</f>
        <v>0</v>
      </c>
      <c r="EC110" s="6">
        <f>COUNTIFS(Table69[Country],Tabela1[[#This Row],[Country]],Table69[Sprint Classification],"&gt;0")</f>
        <v>0</v>
      </c>
      <c r="ED110" s="6">
        <f>COUNTIFS(Table41[Country],Tabela1[[#This Row],[Country]],Table41[Sprint Classification],"&gt;0")</f>
        <v>0</v>
      </c>
      <c r="EE110" s="6">
        <f>COUNTIFS(Table85[Country],Tabela1[[#This Row],[Country]],Table85[Men''s Sprint Classification],"&gt;0")</f>
        <v>0</v>
      </c>
      <c r="EF110" s="6">
        <f>COUNTIFS(Table85[Country],Tabela1[[#This Row],[Country]],Table85[Women''s Sprint Classification],"&gt;0")</f>
        <v>0</v>
      </c>
      <c r="EG110" s="6">
        <f>COUNTIFS(Table85[Country],Tabela1[[#This Row],[Country]],Table85[Men''s Pursuit Classification],"&gt;0")</f>
        <v>0</v>
      </c>
      <c r="EH110" s="6">
        <f>COUNTIFS(Table85[Country],Tabela1[[#This Row],[Country]],Table85[Women''s Pursuit Classification],"&gt;0")</f>
        <v>0</v>
      </c>
      <c r="EI110" s="6">
        <f>COUNTIFS(Table9[Country],Tabela1[[#This Row],[Country]],Table9[Time-Trial Classification],"&gt;0")</f>
        <v>0</v>
      </c>
      <c r="EJ110" s="6">
        <f>COUNTIFS(Table14[Country],Tabela1[[#This Row],[Country]],Table14[Time-Trial Classification],"&gt;0")</f>
        <v>0</v>
      </c>
      <c r="EK110" s="6">
        <f>COUNTIFS(Table42[Country],Tabela1[[#This Row],[Country]],Table42[Springboard Classification],"&gt;0")</f>
        <v>0</v>
      </c>
      <c r="EL110" s="6">
        <f>COUNTIFS(Table43[Country],Tabela1[[#This Row],[Country]],Table43[Springboard Classification],"&gt;0")</f>
        <v>0</v>
      </c>
      <c r="EM110" s="6">
        <f>COUNTIFS(Table42[Country],Tabela1[[#This Row],[Country]],Table42[Platform Classification],"&gt;0")</f>
        <v>0</v>
      </c>
      <c r="EN110" s="6">
        <f>COUNTIFS(Table43[Country],Tabela1[[#This Row],[Country]],Table43[Platform Classification],"&gt;0")</f>
        <v>0</v>
      </c>
      <c r="EO110" s="6">
        <f>COUNTIFS(Table86[Country],Tabela1[[#This Row],[Country]],Table86[Men''s Synchronized Springboard Classification],"&gt;0")</f>
        <v>0</v>
      </c>
      <c r="EP110" s="6">
        <f>COUNTIFS(Table86[Country],Tabela1[[#This Row],[Country]],Table86[Women''s Synchronized Springboard Classification],"&gt;0")</f>
        <v>0</v>
      </c>
      <c r="EQ110" s="6">
        <f>COUNTIFS(Table86[Country],Tabela1[[#This Row],[Country]],Table86[Men''s Synchronized Platform Classification],"&gt;0")</f>
        <v>0</v>
      </c>
      <c r="ER110" s="6">
        <f>COUNTIFS(Table86[Country],Tabela1[[#This Row],[Country]],Table86[Women''s Synchronized Platform Classification],"&gt;0")</f>
        <v>0</v>
      </c>
      <c r="ES110" s="6">
        <f>COUNTIFS(Table44[Country],Tabela1[[#This Row],[Country]],Table44[Dressage Classification],"&gt;0")</f>
        <v>0</v>
      </c>
      <c r="ET110" s="6">
        <f>COUNTIFS(Table45[Country],Tabela1[[#This Row],[Country]],Table45[Dressage Classification],"&gt;0")</f>
        <v>0</v>
      </c>
      <c r="EU110" s="6">
        <f>COUNTIFS(Table44[Country],Tabela1[[#This Row],[Country]],Table44[Eventing Classification],"&gt;0")</f>
        <v>0</v>
      </c>
      <c r="EV110" s="6">
        <f>COUNTIFS(Table45[Country],Tabela1[[#This Row],[Country]],Table45[Eventing Classification],"&gt;0")</f>
        <v>0</v>
      </c>
      <c r="EW110" s="6">
        <f>COUNTIFS(Table44[Country],Tabela1[[#This Row],[Country]],Table44[Jumping Classification],"&gt;0")</f>
        <v>0</v>
      </c>
      <c r="EX110" s="6">
        <f>COUNTIFS(Table45[Country],Tabela1[[#This Row],[Country]],Table45[Jumping Classification],"&gt;0")</f>
        <v>0</v>
      </c>
      <c r="EY110" s="6">
        <f>COUNTIFS(Table10[Country],Tabela1[[#This Row],[Country]],Table10[Épée Classification],"&gt;0")</f>
        <v>0</v>
      </c>
      <c r="EZ110" s="6">
        <f>COUNTIFS(Table11[Country],Tabela1[[#This Row],[Country]],Table11[Épée Classification],"&gt;0")</f>
        <v>0</v>
      </c>
      <c r="FA110" s="6">
        <f>COUNTIFS(Table46[Country],Tabela1[[#This Row],[Country]],Table46[Men''s Épée Classification],"&gt;0")</f>
        <v>0</v>
      </c>
      <c r="FB110" s="6">
        <f>COUNTIFS(Table46[Country],Tabela1[[#This Row],[Country]],Table46[Women''s Épée Classification],"&gt;0")</f>
        <v>0</v>
      </c>
      <c r="FC110" s="6">
        <f>COUNTIFS(Table10[Country],Tabela1[[#This Row],[Country]],Table10[Foil Classification],"&gt;0")</f>
        <v>0</v>
      </c>
      <c r="FD110" s="6">
        <f>COUNTIFS(Table11[Country],Tabela1[[#This Row],[Country]],Table11[Foil Classification],"&gt;0")</f>
        <v>0</v>
      </c>
      <c r="FE110" s="6">
        <f>COUNTIFS(Table46[Country],Tabela1[[#This Row],[Country]],Table46[Men''s Foil Classification],"&gt;0")</f>
        <v>0</v>
      </c>
      <c r="FF110" s="6">
        <f>COUNTIFS(Table46[Country],Tabela1[[#This Row],[Country]],Table46[Women''s Foil Classification],"&gt;0")</f>
        <v>0</v>
      </c>
      <c r="FG110" s="6">
        <f>COUNTIFS(Table10[Country],Tabela1[[#This Row],[Country]],Table10[Sabre Classification],"&gt;0")</f>
        <v>0</v>
      </c>
      <c r="FH110" s="6">
        <f>COUNTIFS(Table11[Country],Tabela1[[#This Row],[Country]],Table11[Sabre Classification],"&gt;0")</f>
        <v>0</v>
      </c>
      <c r="FI110" s="6">
        <f>COUNTIFS(Table46[Country],Tabela1[[#This Row],[Country]],Table46[Men''s Sabre Classification],"&gt;0")</f>
        <v>0</v>
      </c>
      <c r="FJ110" s="6">
        <f>COUNTIFS(Table46[Country],Tabela1[[#This Row],[Country]],Table46[Women''s Sabre Classification],"&gt;0")</f>
        <v>0</v>
      </c>
      <c r="FK110" s="6">
        <f>COUNTIFS(Table91[Country],Tabela1[[#This Row],[Country]],Table91[Men''s Classification],"&gt;0")</f>
        <v>0</v>
      </c>
      <c r="FL110" s="6">
        <f>COUNTIFS(Table91[Country],Tabela1[[#This Row],[Country]],Table91[Women''s Classification],"&gt;0")</f>
        <v>0</v>
      </c>
      <c r="FM110" s="6">
        <f>COUNTIFS(Table9194[Country],Tabela1[[#This Row],[Country]],Table9194[Men''s Classification],"&gt;0")</f>
        <v>0</v>
      </c>
      <c r="FN110" s="6">
        <f>COUNTIFS(Table9194[Country],Tabela1[[#This Row],[Country]],Table9194[Women''s Classification],"&gt;0")</f>
        <v>0</v>
      </c>
      <c r="FO110" s="6">
        <f>COUNTIFS(Table71[Country],Tabela1[[#This Row],[Country]],Table71[Classification],"&gt;0")</f>
        <v>0</v>
      </c>
      <c r="FP110" s="6">
        <f>COUNTIFS(Table62[Country],Tabela1[[#This Row],[Country]],Table62[Classification],"&gt;0")</f>
        <v>0</v>
      </c>
      <c r="FQ110" s="6">
        <f>COUNTIFS(Table47[Country],Tabela1[[#This Row],[Country]],Table47[All-Around Classification],"&gt;0")</f>
        <v>0</v>
      </c>
      <c r="FR110" s="6">
        <f>COUNTIFS(Table48[Country],Tabela1[[#This Row],[Country]],Table48[All-Around Classification],"&gt;0")</f>
        <v>0</v>
      </c>
      <c r="FS110" s="6">
        <f>COUNTIFS(Table81[Country],Tabela1[[#This Row],[Country]],Table81[Men''s All-Around Classification],"&gt;0")</f>
        <v>0</v>
      </c>
      <c r="FT110" s="6">
        <f>COUNTIFS(Table81[Country],Tabela1[[#This Row],[Country]],Table81[Women''s All-Around Classification],"&gt;0")</f>
        <v>0</v>
      </c>
      <c r="FU110" s="6">
        <f>COUNTIFS(Table48[Country],Tabela1[[#This Row],[Country]],Table48[Balance Beam Classification],"&gt;0")</f>
        <v>0</v>
      </c>
      <c r="FV110" s="6">
        <f>COUNTIFS(Table47[Country],Tabela1[[#This Row],[Country]],Table47[Floor Exercise Classification],"&gt;0")</f>
        <v>0</v>
      </c>
      <c r="FW110" s="6">
        <f>COUNTIFS(Table48[Country],Tabela1[[#This Row],[Country]],Table48[Floor Exercise Classification],"&gt;0")</f>
        <v>0</v>
      </c>
      <c r="FX110" s="6">
        <f>COUNTIFS(Table47[Country],Tabela1[[#This Row],[Country]],Table47[Horizontal Bar Classification],"&gt;0")</f>
        <v>0</v>
      </c>
      <c r="FY110" s="6">
        <f>COUNTIFS(Table47[Country],Tabela1[[#This Row],[Country]],Table47[Parallel Bars Classification],"&gt;0")</f>
        <v>0</v>
      </c>
      <c r="FZ110" s="6">
        <f>COUNTIFS(Table47[Country],Tabela1[[#This Row],[Country]],Table47[Pommel Horse Classification],"&gt;0")</f>
        <v>0</v>
      </c>
      <c r="GA110" s="6">
        <f>COUNTIFS(Table47[Country],Tabela1[[#This Row],[Country]],Table47[Rings Classification],"&gt;0")</f>
        <v>0</v>
      </c>
      <c r="GB110" s="6">
        <f>COUNTIFS(Tabela132[Country],Tabela1[[#This Row],[Country]],Tabela132[Classification],"&gt;0")</f>
        <v>0</v>
      </c>
      <c r="GC110" s="6">
        <f>COUNTIFS(Tabela139[Country],Tabela1[[#This Row],[Country]],Tabela139[Classification],"&gt;0")</f>
        <v>0</v>
      </c>
      <c r="GD110" s="6">
        <f>COUNTIFS(Table48[Country],Tabela1[[#This Row],[Country]],Table48[Uneven Bars Classification],"&gt;0")</f>
        <v>0</v>
      </c>
      <c r="GE110" s="6">
        <f>COUNTIFS(Table47[Country],Tabela1[[#This Row],[Country]],Table47[Vault Classification],"&gt;0")</f>
        <v>0</v>
      </c>
      <c r="GF110" s="6">
        <f>COUNTIFS(Table48[Country],Tabela1[[#This Row],[Country]],Table48[Vault Classification],"&gt;0")</f>
        <v>0</v>
      </c>
      <c r="GG110" s="6">
        <f>COUNTIFS(Table919496[Country],Tabela1[[#This Row],[Country]],Table919496[Men''s Classification],"&gt;0")</f>
        <v>0</v>
      </c>
      <c r="GH110" s="6">
        <f>COUNTIFS(Table919496[Country],Tabela1[[#This Row],[Country]],Table919496[Women''s Classification],"&gt;0")</f>
        <v>0</v>
      </c>
      <c r="GI110" s="6">
        <f>COUNTIFS(Table12[Country],Tabela1[[#This Row],[Country]],Table12[60kg Classification],"&gt;0")</f>
        <v>0</v>
      </c>
      <c r="GJ110" s="6">
        <f>COUNTIFS(Table12[Country],Tabela1[[#This Row],[Country]],Table12[66kg Classification],"&gt;0")</f>
        <v>0</v>
      </c>
      <c r="GK110" s="6">
        <f>COUNTIFS(Table12[Country],Tabela1[[#This Row],[Country]],Table12[73kg Classification],"&gt;0")</f>
        <v>0</v>
      </c>
      <c r="GL110" s="6">
        <f>COUNTIFS(Table12[Country],Tabela1[[#This Row],[Country]],Table12[81kg Classification],"&gt;0")</f>
        <v>0</v>
      </c>
      <c r="GM110" s="6">
        <f>COUNTIFS(Table12[Country],Tabela1[[#This Row],[Country]],Table12[90kg Classification],"&gt;0")</f>
        <v>0</v>
      </c>
      <c r="GN110" s="6">
        <f>COUNTIFS(Table12[Country],Tabela1[[#This Row],[Country]],Table12[100kg Classification],"&gt;0")</f>
        <v>0</v>
      </c>
      <c r="GO110" s="6">
        <f>COUNTIFS(Table12[Country],Tabela1[[#This Row],[Country]],Table12[Plus 100kg Classification],"&gt;0")</f>
        <v>0</v>
      </c>
      <c r="GP110" s="6">
        <f>COUNTIFS(Table13[Country],Tabela1[[#This Row],[Country]],Table13[48kg Classification],"&gt;0")</f>
        <v>0</v>
      </c>
      <c r="GQ110" s="6">
        <f>COUNTIFS(Table13[Country],Tabela1[[#This Row],[Country]],Table13[52kg Classification],"&gt;0")</f>
        <v>0</v>
      </c>
      <c r="GR110" s="6">
        <f>COUNTIFS(Table13[Country],Tabela1[[#This Row],[Country]],Table13[57kg Classification],"&gt;0")</f>
        <v>0</v>
      </c>
      <c r="GS110" s="6">
        <f>COUNTIFS(Table13[Country],Tabela1[[#This Row],[Country]],Table13[63kg Classification],"&gt;0")</f>
        <v>0</v>
      </c>
      <c r="GT110" s="6">
        <f>COUNTIFS(Table13[Country],Tabela1[[#This Row],[Country]],Table13[70kg Classification],"&gt;0")</f>
        <v>0</v>
      </c>
      <c r="GU110" s="6">
        <f>COUNTIFS(Table13[Country],Tabela1[[#This Row],[Country]],Table13[78kg Classification],"&gt;0")</f>
        <v>0</v>
      </c>
      <c r="GV110" s="6">
        <f>COUNTIFS(Table13[Country],Tabela1[[#This Row],[Country]],Table13[Plus 78kg Classification],"&gt;0")</f>
        <v>0</v>
      </c>
      <c r="GW110" s="6">
        <f>COUNTIFS(Table82[Country],Tabela1[[#This Row],[Country]],Table82[Mixed Classification],"&gt;0")</f>
        <v>0</v>
      </c>
      <c r="GX110" s="6">
        <f>COUNTIFS(Table51[Country],Tabela1[[#This Row],[Country]],Table51[Classification],"&gt;0")</f>
        <v>0</v>
      </c>
      <c r="GY110" s="6">
        <f>COUNTIFS(Table52[Country],Tabela1[[#This Row],[Country]],Table52[Classification],"&gt;0")</f>
        <v>0</v>
      </c>
      <c r="GZ110" s="6">
        <f>COUNTIFS(Table32[Country],Tabela1[[#This Row],[Country]],Table32[All-Around Classification],"&gt;0")</f>
        <v>0</v>
      </c>
      <c r="HA110" s="6">
        <f>COUNTIFS(Table49[Country],Tabela1[[#This Row],[Country]],Table49[All-Around Classification],"&gt;0")</f>
        <v>0</v>
      </c>
      <c r="HB110" s="6">
        <f>COUNTIFS(Table26[Country],Tabela1[[#This Row],[Country]],Table26[Single Sculls Classification],"&gt;0")</f>
        <v>0</v>
      </c>
      <c r="HC110" s="6">
        <f>COUNTIFS(Table63[Country],Tabela1[[#This Row],[Country]],Table63[Single Sculls Classification],"&gt;0")</f>
        <v>0</v>
      </c>
      <c r="HD110" s="6">
        <f>COUNTIFS(Table16[Country],Tabela1[[#This Row],[Country]],Table16[Men''s Double Sculls Classification],"&gt;0")</f>
        <v>0</v>
      </c>
      <c r="HE110" s="6">
        <f>COUNTIFS(Table16[Country],Tabela1[[#This Row],[Country]],Table16[Women''s Double Sculls Classification],"&gt;0")</f>
        <v>0</v>
      </c>
      <c r="HF110" s="6">
        <f>COUNTIFS(Table72[Country],Tabela1[[#This Row],[Country]],Table72[Men''s Quadruple Sculls Classification],"&gt;0")</f>
        <v>0</v>
      </c>
      <c r="HG110" s="6">
        <f>COUNTIFS(Table72[Country],Tabela1[[#This Row],[Country]],Table72[Women''s Quadruple Sculls Classification],"&gt;0")</f>
        <v>0</v>
      </c>
      <c r="HH110" s="6">
        <f>COUNTIFS(Table16[Country],Tabela1[[#This Row],[Country]],Table16[Men''s Coxless Pairs Classification],"&gt;0")</f>
        <v>0</v>
      </c>
      <c r="HI110" s="6">
        <f>COUNTIFS(Table16[Country],Tabela1[[#This Row],[Country]],Table16[Women''s Coxless Pairs Classification],"&gt;0")</f>
        <v>0</v>
      </c>
      <c r="HJ110" s="6">
        <f>COUNTIFS(Table72[Country],Tabela1[[#This Row],[Country]],Table72[Men''s Coxless Fours Classification],"&gt;0")</f>
        <v>0</v>
      </c>
      <c r="HK110" s="6">
        <f>COUNTIFS(Table72[Country],Tabela1[[#This Row],[Country]],Table72[Women''s Coxless Fours Classification],"&gt;0")</f>
        <v>0</v>
      </c>
      <c r="HL110" s="6">
        <f>COUNTIFS(Table72[Country],Tabela1[[#This Row],[Country]],Table72[Men''s Eights Classification],"&gt;0")</f>
        <v>0</v>
      </c>
      <c r="HM110" s="6">
        <f>COUNTIFS(Table72[Country],Tabela1[[#This Row],[Country]],Table72[Women''s Eights Classification],"&gt;0")</f>
        <v>0</v>
      </c>
      <c r="HN110" s="6">
        <f>COUNTIFS(Table16[Country],Tabela1[[#This Row],[Country]],Table16[Men''s Lwt. Double Sculls Classification],"&gt;0")</f>
        <v>0</v>
      </c>
      <c r="HO110" s="6">
        <f>COUNTIFS(Table16[Country],Tabela1[[#This Row],[Country]],Table16[Women''s Lwt. Double Sculls Classification],"&gt;0")</f>
        <v>0</v>
      </c>
      <c r="HP110" s="6">
        <f>COUNTIFS(Table91949698[Country],Tabela1[[#This Row],[Country]],Table91949698[Men''s Classification],"&gt;0")</f>
        <v>0</v>
      </c>
      <c r="HQ110" s="6">
        <f>COUNTIFS(Table91949698[Country],Tabela1[[#This Row],[Country]],Table91949698[Women''s Classification],"&gt;0")</f>
        <v>0</v>
      </c>
      <c r="HR110" s="6">
        <f>COUNTIFS(Table25[Country],Tabela1[[#This Row],[Country]],Table25[Mixed 470 Classification],"&gt;0")</f>
        <v>0</v>
      </c>
      <c r="HS110" s="6">
        <f>COUNTIFS(Table25[Country],Tabela1[[#This Row],[Country]],Table25[Men''s 49er Classification],"&gt;0")</f>
        <v>0</v>
      </c>
      <c r="HT110" s="6">
        <f>COUNTIFS(Table25[Country],Tabela1[[#This Row],[Country]],Table25[Women''s 49er FX Classification],"&gt;0")</f>
        <v>0</v>
      </c>
      <c r="HU110" s="6">
        <f>COUNTIFS(Table17[Country],Tabela1[[#This Row],[Country]],Table17[Formula Kite Classification],"&gt;0")</f>
        <v>0</v>
      </c>
      <c r="HV110" s="6">
        <f>COUNTIFS(Table18[Country],Tabela1[[#This Row],[Country]],Table18[Formula Kite Classification],"&gt;0")</f>
        <v>0</v>
      </c>
      <c r="HW110" s="6">
        <f>COUNTIFS(Table17[Country],Tabela1[[#This Row],[Country]],Table17[ILCA 7 Classification],"&gt;0")</f>
        <v>0</v>
      </c>
      <c r="HX110" s="6">
        <f>COUNTIFS(Table18[Country],Tabela1[[#This Row],[Country]],Table18[ILCA 6 Classification],"&gt;0")</f>
        <v>0</v>
      </c>
      <c r="HY110" s="6">
        <f>COUNTIFS(Table17[Country],Tabela1[[#This Row],[Country]],Table17[IQFoil Classification],"&gt;0")</f>
        <v>0</v>
      </c>
      <c r="HZ110" s="6">
        <f>COUNTIFS(Table18[Country],Tabela1[[#This Row],[Country]],Table18[IQFoil Classification],"&gt;0")</f>
        <v>0</v>
      </c>
      <c r="IA110" s="6">
        <f>COUNTIFS(Table25[Country],Tabela1[[#This Row],[Country]],Table25[Mixed Nacra 17 Classification],"&gt;0")</f>
        <v>0</v>
      </c>
      <c r="IB110" s="6">
        <f>COUNTIFS(Table53[Country],Tabela1[[#This Row],[Country]],Table53[10m Air Pistol Classification],"&gt;0")</f>
        <v>0</v>
      </c>
      <c r="IC110" s="6">
        <f>COUNTIFS(Table19[Country],Tabela1[[#This Row],[Country]],Table19[10m Air Pistol Classification],"&gt;0")</f>
        <v>0</v>
      </c>
      <c r="ID110" s="6">
        <f>COUNTIFS(Table54[Country],Tabela1[[#This Row],[Country]],Table54[Mixed 10m Air Pistol Team Classification],"&gt;0")</f>
        <v>0</v>
      </c>
      <c r="IE110" s="6">
        <f>COUNTIFS(Table53[Country],Tabela1[[#This Row],[Country]],Table53[10m Air Rifle Classification],"&gt;0")</f>
        <v>0</v>
      </c>
      <c r="IF110" s="6">
        <f>COUNTIFS(Table19[Country],Tabela1[[#This Row],[Country]],Table19[10m Air Rifle Classification],"&gt;0")</f>
        <v>0</v>
      </c>
      <c r="IG110" s="6">
        <f>COUNTIFS(Table54[Country],Tabela1[[#This Row],[Country]],Table54[Mixed 10m Air Rifle Team Classification],"&gt;0")</f>
        <v>0</v>
      </c>
      <c r="IH110" s="6">
        <f>COUNTIFS(Table53[Country],Tabela1[[#This Row],[Country]],Table53[25m Rapid Fire Pistol Classification],"&gt;0")</f>
        <v>0</v>
      </c>
      <c r="II110" s="6">
        <f>COUNTIFS(Table19[Country],Tabela1[[#This Row],[Country]],Table19[25m Pistol Classification],"&gt;0")</f>
        <v>0</v>
      </c>
      <c r="IJ110" s="6">
        <f>COUNTIFS(Table53[Country],Tabela1[[#This Row],[Country]],Table53[50m Rifle 3 Positions Classification],"&gt;0")</f>
        <v>0</v>
      </c>
      <c r="IK110" s="6">
        <f>COUNTIFS(Table19[Country],Tabela1[[#This Row],[Country]],Table19[50m Rifle 3 Positions Classification],"&gt;0")</f>
        <v>0</v>
      </c>
      <c r="IL110" s="6">
        <f>COUNTIFS(Table53[Country],Tabela1[[#This Row],[Country]],Table53[Skeet Classification],"&gt;0")</f>
        <v>0</v>
      </c>
      <c r="IM110" s="6">
        <f>COUNTIFS(Table19[Country],Tabela1[[#This Row],[Country]],Table19[Skeet Classification],"&gt;0")</f>
        <v>0</v>
      </c>
      <c r="IN110" s="6">
        <f>COUNTIFS(Table54[Country],Tabela1[[#This Row],[Country]],Table54[Mixed Skeet Team Classification],"&gt;0")</f>
        <v>0</v>
      </c>
      <c r="IO110" s="6">
        <f>COUNTIFS(Table53[Country],Tabela1[[#This Row],[Country]],Table53[Trap Classification],"&gt;0")</f>
        <v>0</v>
      </c>
      <c r="IP110" s="6">
        <f>COUNTIFS(Table19[Country],Tabela1[[#This Row],[Country]],Table19[Trap Classification],"&gt;0")</f>
        <v>0</v>
      </c>
      <c r="IQ110" s="6">
        <f>COUNTIFS(Table73[Country],Tabela1[[#This Row],[Country]],Table73[Park Classification],"&gt;0")</f>
        <v>0</v>
      </c>
      <c r="IR110" s="6">
        <f>COUNTIFS(Table74[Country],Tabela1[[#This Row],[Country]],Table74[Park Classification],"&gt;0")</f>
        <v>0</v>
      </c>
      <c r="IS110" s="6">
        <f>COUNTIFS(Table73[Country],Tabela1[[#This Row],[Country]],Table73[Street Classification],"&gt;0")</f>
        <v>0</v>
      </c>
      <c r="IT110" s="6">
        <f>COUNTIFS(Table74[Country],Tabela1[[#This Row],[Country]],Table74[Street Classification],"&gt;0")</f>
        <v>0</v>
      </c>
      <c r="IU110" s="6">
        <f>COUNTIFS(Table75[Country],Tabela1[[#This Row],[Country]],Table75[Boulder and Lead Classification],"&gt;0")</f>
        <v>0</v>
      </c>
      <c r="IV110" s="6">
        <f>COUNTIFS(Table76[Country],Tabela1[[#This Row],[Country]],Table76[Boulder and Lead Classification],"&gt;0")</f>
        <v>0</v>
      </c>
      <c r="IW110" s="6">
        <f>COUNTIFS(Table75[Country],Tabela1[[#This Row],[Country]],Table75[Speed Classification],"&gt;0")</f>
        <v>0</v>
      </c>
      <c r="IX110" s="6">
        <f>COUNTIFS(Table76[Country],Tabela1[[#This Row],[Country]],Table76[Speed Classification],"&gt;0")</f>
        <v>0</v>
      </c>
      <c r="IY110" s="6">
        <f>COUNTIFS(Table64[Country],Tabela1[[#This Row],[Country]],Table64[Shortboard Classification],"&gt;0")</f>
        <v>0</v>
      </c>
      <c r="IZ110" s="6">
        <f>COUNTIFS(Table77[Country],Tabela1[[#This Row],[Country]],Table77[Shortboard Classification],"&gt;0")</f>
        <v>0</v>
      </c>
      <c r="JA110" s="6">
        <f>COUNTIFS(Table20[Country],Tabela1[[#This Row],[Country]],Table20[50m Freestyle Classification],"&gt;0")</f>
        <v>0</v>
      </c>
      <c r="JB110" s="6">
        <f>COUNTIFS(Table21[Country],Tabela1[[#This Row],[Country]],Table21[50m Freestyle Classification],"&gt;0")</f>
        <v>0</v>
      </c>
      <c r="JC110" s="6">
        <f>COUNTIFS(Table20[Country],Tabela1[[#This Row],[Country]],Table20[100m Freestyle Classification],"&gt;0")</f>
        <v>0</v>
      </c>
      <c r="JD110" s="6">
        <f>COUNTIFS(Table21[Country],Tabela1[[#This Row],[Country]],Table21[100m Freestyle Classification],"&gt;0")</f>
        <v>0</v>
      </c>
      <c r="JE110" s="6">
        <f>COUNTIFS(Table20[Country],Tabela1[[#This Row],[Country]],Table20[200m Freestyle Classification],"&gt;0")</f>
        <v>0</v>
      </c>
      <c r="JF110" s="6">
        <f>COUNTIFS(Table21[Country],Tabela1[[#This Row],[Country]],Table21[200m Freestyle Classification],"&gt;0")</f>
        <v>0</v>
      </c>
      <c r="JG110" s="6">
        <f>COUNTIFS(Table20[Country],Tabela1[[#This Row],[Country]],Table20[400m Freestyle Classification],"&gt;0")</f>
        <v>0</v>
      </c>
      <c r="JH110" s="6">
        <f>COUNTIFS(Table21[Country],Tabela1[[#This Row],[Country]],Table21[400m Freestyle Classification],"&gt;0")</f>
        <v>0</v>
      </c>
      <c r="JI110" s="6">
        <f>COUNTIFS(Table20[Country],Tabela1[[#This Row],[Country]],Table20[800m Freestyle Classification],"&gt;0")</f>
        <v>0</v>
      </c>
      <c r="JJ110" s="6">
        <f>COUNTIFS(Table21[Country],Tabela1[[#This Row],[Country]],Table21[800m Freestyle Classification],"&gt;0")</f>
        <v>0</v>
      </c>
      <c r="JK110" s="6">
        <f>COUNTIFS(Table20[Country],Tabela1[[#This Row],[Country]],Table20[1500m Freestyle Classification],"&gt;0")</f>
        <v>0</v>
      </c>
      <c r="JL110" s="6">
        <f>COUNTIFS(Table21[Country],Tabela1[[#This Row],[Country]],Table21[1500m Freestyle Classification],"&gt;0")</f>
        <v>0</v>
      </c>
      <c r="JM110" s="6">
        <f>COUNTIFS(Table20[Country],Tabela1[[#This Row],[Country]],Table20[100m Backstroke Classification],"&gt;0")</f>
        <v>0</v>
      </c>
      <c r="JN110" s="6">
        <f>COUNTIFS(Table21[Country],Tabela1[[#This Row],[Country]],Table21[100m Backstroke Classification],"&gt;0")</f>
        <v>0</v>
      </c>
      <c r="JO110" s="6">
        <f>COUNTIFS(Table20[Country],Tabela1[[#This Row],[Country]],Table20[200m Backstroke Classification],"&gt;0")</f>
        <v>0</v>
      </c>
      <c r="JP110" s="6">
        <f>COUNTIFS(Table21[Country],Tabela1[[#This Row],[Country]],Table21[200m Backstroke Classification],"&gt;0")</f>
        <v>0</v>
      </c>
      <c r="JQ110" s="6">
        <f>COUNTIFS(Table20[Country],Tabela1[[#This Row],[Country]],Table20[100m Breaststroke Classification],"&gt;0")</f>
        <v>0</v>
      </c>
      <c r="JR110" s="6">
        <f>COUNTIFS(Table21[Country],Tabela1[[#This Row],[Country]],Table21[100m Breaststroke Classification],"&gt;0")</f>
        <v>0</v>
      </c>
      <c r="JS110" s="6">
        <f>COUNTIFS(Table20[Country],Tabela1[[#This Row],[Country]],Table20[200m Breaststroke Classification],"&gt;0")</f>
        <v>0</v>
      </c>
      <c r="JT110" s="6">
        <f>COUNTIFS(Table21[Country],Tabela1[[#This Row],[Country]],Table21[200m Breaststroke Classification],"&gt;0")</f>
        <v>0</v>
      </c>
      <c r="JU110" s="6">
        <f>COUNTIFS(Table20[Country],Tabela1[[#This Row],[Country]],Table20[100m Butterfly Classification],"&gt;0")</f>
        <v>0</v>
      </c>
      <c r="JV110" s="6">
        <f>COUNTIFS(Table21[Country],Tabela1[[#This Row],[Country]],Table21[100m Butterfly Classification],"&gt;0")</f>
        <v>0</v>
      </c>
      <c r="JW110" s="6">
        <f>COUNTIFS(Table20[Country],Tabela1[[#This Row],[Country]],Table20[200m Butterfly Classification],"&gt;0")</f>
        <v>0</v>
      </c>
      <c r="JX110" s="6">
        <f>COUNTIFS(Table21[Country],Tabela1[[#This Row],[Country]],Table21[200m Butterfly Classification],"&gt;0")</f>
        <v>0</v>
      </c>
      <c r="JY110" s="6">
        <f>COUNTIFS(Table20[Country],Tabela1[[#This Row],[Country]],Table20[200m Medley Classification],"&gt;0")</f>
        <v>0</v>
      </c>
      <c r="JZ110" s="6">
        <f>COUNTIFS(Table21[Country],Tabela1[[#This Row],[Country]],Table21[200m Medley Classification],"&gt;0")</f>
        <v>0</v>
      </c>
      <c r="KA110" s="6">
        <f>COUNTIFS(Table20[Country],Tabela1[[#This Row],[Country]],Table20[400m Medley Classification],"&gt;0")</f>
        <v>0</v>
      </c>
      <c r="KB110" s="6">
        <f>COUNTIFS(Table21[Country],Tabela1[[#This Row],[Country]],Table21[400m Medley Classification],"&gt;0")</f>
        <v>0</v>
      </c>
      <c r="KC110" s="6">
        <f>COUNTIFS(Table78[Country],Tabela1[[#This Row],[Country]],Table78[Men''s 4x100m Freestyle Relay Classification],"&gt;0")</f>
        <v>0</v>
      </c>
      <c r="KD110" s="6">
        <f>COUNTIFS(Table78[Country],Tabela1[[#This Row],[Country]],Table78[Women''s 4x100m Freestyle Relay Classification],"&gt;0")</f>
        <v>0</v>
      </c>
      <c r="KE110" s="6">
        <f>COUNTIFS(Table78[Country],Tabela1[[#This Row],[Country]],Table78[Men''s 4x200m Freestyle Relay Classification],"&gt;0")</f>
        <v>0</v>
      </c>
      <c r="KF110" s="6">
        <f>COUNTIFS(Table78[Country],Tabela1[[#This Row],[Country]],Table78[Women''s 4x200m Freestyle Relay Classification],"&gt;0")</f>
        <v>0</v>
      </c>
      <c r="KG110" s="6">
        <f>COUNTIFS(Table78[Country],Tabela1[[#This Row],[Country]],Table78[Men''s 4x100m Medley Relay Classification],"&gt;0")</f>
        <v>0</v>
      </c>
      <c r="KH110" s="6">
        <f>COUNTIFS(Table78[Country],Tabela1[[#This Row],[Country]],Table78[Women''s 4x100m Medley Relay Classification],"&gt;0")</f>
        <v>0</v>
      </c>
      <c r="KI110" s="6">
        <f>COUNTIFS(Table78[Country],Tabela1[[#This Row],[Country]],Table78[Mixed 4x100m Medley Relay Classification],"&gt;0")</f>
        <v>0</v>
      </c>
      <c r="KJ110" s="6">
        <f>COUNTIFS(Table20[Country],Tabela1[[#This Row],[Country]],Table20[10km Open Water Classification],"&gt;0")</f>
        <v>0</v>
      </c>
      <c r="KK110" s="6">
        <f>COUNTIFS(Table21[Country],Tabela1[[#This Row],[Country]],Table21[10km Open Water Classification],"&gt;0")</f>
        <v>0</v>
      </c>
      <c r="KL110" s="6">
        <f>COUNTIFS(Table22[Country],Tabela1[[#This Row],[Country]],Table22[Classification],"&gt;0")</f>
        <v>0</v>
      </c>
      <c r="KM110" s="6">
        <f>COUNTIFS(Table30[Country],Tabela1[[#This Row],[Country]],Table30[Classification],"&gt;0")</f>
        <v>0</v>
      </c>
      <c r="KN110" s="6">
        <f>COUNTIFS(Table55[Country],Tabela1[[#This Row],[Country]],Table55[Men''s Classification],"&gt;0")</f>
        <v>0</v>
      </c>
      <c r="KO110" s="6">
        <f>COUNTIFS(Table55[Country],Tabela1[[#This Row],[Country]],Table55[Women''s Classification],"&gt;0")</f>
        <v>0</v>
      </c>
      <c r="KP110" s="6">
        <f>COUNTIFS(Table56[Country],Tabela1[[#This Row],[Country]],Table56[Mixed Classification],"&gt;0")</f>
        <v>0</v>
      </c>
      <c r="KQ110" s="6">
        <f>COUNTIFS(Table29[Country],Tabela1[[#This Row],[Country]],Table29[58kg Classification],"&gt;0")</f>
        <v>0</v>
      </c>
      <c r="KR110" s="6">
        <f>COUNTIFS(Table29[Country],Tabela1[[#This Row],[Country]],Table29[68kg Classification],"&gt;0")</f>
        <v>1</v>
      </c>
      <c r="KS110" s="6">
        <f>COUNTIFS(Table29[Country],Tabela1[[#This Row],[Country]],Table29[80kg Classification],"&gt;0")</f>
        <v>0</v>
      </c>
      <c r="KT110" s="6">
        <f>COUNTIFS(Table29[Country],Tabela1[[#This Row],[Country]],Table29[Plus 80kg Classification],"&gt;0")</f>
        <v>0</v>
      </c>
      <c r="KU110" s="6">
        <f>COUNTIFS(Table34[Country],Tabela1[[#This Row],[Country]],Table34[49kg Classification],"&gt;0")</f>
        <v>0</v>
      </c>
      <c r="KV110" s="6">
        <f>COUNTIFS(Table34[Country],Tabela1[[#This Row],[Country]],Table34[57kg Classification],"&gt;0")</f>
        <v>0</v>
      </c>
      <c r="KW110" s="6">
        <f>COUNTIFS(Table34[Country],Tabela1[[#This Row],[Country]],Table34[67kg Classification],"&gt;0")</f>
        <v>0</v>
      </c>
      <c r="KX110" s="6">
        <f>COUNTIFS(Table34[Country],Tabela1[[#This Row],[Country]],Table34[Plus 67kg Classification],"&gt;0")</f>
        <v>0</v>
      </c>
      <c r="KY110" s="6">
        <f>COUNTIFS(Table57[Country],Tabela1[[#This Row],[Country]],Table57[Classification],"&gt;0")</f>
        <v>0</v>
      </c>
      <c r="KZ110" s="6">
        <f>COUNTIFS(Table58[Country],Tabela1[[#This Row],[Country]],Table58[Classification],"&gt;0")</f>
        <v>0</v>
      </c>
      <c r="LA110" s="6">
        <f>COUNTIFS(Table79[Country],Tabela1[[#This Row],[Country]],Table79[Men''s Classification],"&gt;0")</f>
        <v>0</v>
      </c>
      <c r="LB110" s="6">
        <f>COUNTIFS(Table79[Country],Tabela1[[#This Row],[Country]],Table79[Women''s Classification],"&gt;0")</f>
        <v>0</v>
      </c>
      <c r="LC110" s="6">
        <f>COUNTIFS(Table79[Country],Tabela1[[#This Row],[Country]],Table79[Mixed Classification],"&gt;0")</f>
        <v>0</v>
      </c>
      <c r="LD110" s="6">
        <f>COUNTIFS(Table65[Country],Tabela1[[#This Row],[Country]],Table65[Classification],"&gt;0")</f>
        <v>0</v>
      </c>
      <c r="LE110" s="6">
        <f>COUNTIFS(Table59[Country],Tabela1[[#This Row],[Country]],Table59[Classification],"&gt;0")</f>
        <v>0</v>
      </c>
      <c r="LF110" s="6">
        <f>COUNTIFS(Table87[Country],Tabela1[[#This Row],[Country]],Table87[Mixed Relay Classification],"&gt;0")</f>
        <v>0</v>
      </c>
      <c r="LG110" s="6">
        <f>COUNTIFS(Table91949698100[Country],Tabela1[[#This Row],[Country]],Table91949698100[Men''s Classification],"&gt;0")</f>
        <v>0</v>
      </c>
      <c r="LH110" s="6">
        <f>COUNTIFS(Table91949698100[Country],Tabela1[[#This Row],[Country]],Table91949698100[Women''s Classification],"&gt;0")</f>
        <v>0</v>
      </c>
      <c r="LI110" s="6">
        <f>COUNTIFS(Table91949698100102[Country],Tabela1[[#This Row],[Country]],Table91949698100102[Men''s Classification],"&gt;0")</f>
        <v>0</v>
      </c>
      <c r="LJ110" s="6">
        <f>COUNTIFS(Table91949698100102[Country],Tabela1[[#This Row],[Country]],Table91949698100102[Women''s Classification],"&gt;0")</f>
        <v>0</v>
      </c>
      <c r="LK110" s="6">
        <f>COUNTIFS(Table23[Country],Tabela1[[#This Row],[Country]],Table23[61kg Classification],"&gt;0")</f>
        <v>1</v>
      </c>
      <c r="LL110" s="6">
        <f>COUNTIFS(Table23[Country],Tabela1[[#This Row],[Country]],Table23[73kg Classification],"&gt;0")</f>
        <v>0</v>
      </c>
      <c r="LM110" s="6">
        <f>COUNTIFS(Table23[Country],Tabela1[[#This Row],[Country]],Table23[89kg Classification],"&gt;0")</f>
        <v>0</v>
      </c>
      <c r="LN110" s="6">
        <f>COUNTIFS(Table23[Country],Tabela1[[#This Row],[Country]],Table23[102kg Classification],"&gt;0")</f>
        <v>0</v>
      </c>
      <c r="LO110" s="6">
        <f>COUNTIFS(Table23[Country],Tabela1[[#This Row],[Country]],Table23[Plus 102kg Classification],"&gt;0")</f>
        <v>0</v>
      </c>
      <c r="LP110" s="6">
        <f>COUNTIFS(Table28[Country],Tabela1[[#This Row],[Country]],Table28[49kg Classification],"&gt;0")</f>
        <v>0</v>
      </c>
      <c r="LQ110" s="6">
        <f>COUNTIFS(Table28[Country],Tabela1[[#This Row],[Country]],Table28[59kg Classification],"&gt;0")</f>
        <v>0</v>
      </c>
      <c r="LR110" s="6">
        <f>COUNTIFS(Table28[Country],Tabela1[[#This Row],[Country]],Table28[71kg Classification],"&gt;0")</f>
        <v>0</v>
      </c>
      <c r="LS110" s="6">
        <f>COUNTIFS(Table28[Country],Tabela1[[#This Row],[Country]],Table28[81kg Classification],"&gt;0")</f>
        <v>0</v>
      </c>
      <c r="LT110" s="6">
        <f>COUNTIFS(Table28[Country],Tabela1[[#This Row],[Country]],Table28[Plus 81kg Classification],"&gt;0")</f>
        <v>0</v>
      </c>
      <c r="LU110" s="6">
        <f>COUNTIFS(Table24[Country],Tabela1[[#This Row],[Country]],Table24[Freestyle 57kg Classification],"&gt;0")</f>
        <v>0</v>
      </c>
      <c r="LV110" s="6">
        <f>COUNTIFS(Table24[Country],Tabela1[[#This Row],[Country]],Table24[Freestyle 65kg Classification],"&gt;0")</f>
        <v>0</v>
      </c>
      <c r="LW110" s="6">
        <f>COUNTIFS(Table24[Country],Tabela1[[#This Row],[Country]],Table24[Freestyle 74kg Classification],"&gt;0")</f>
        <v>0</v>
      </c>
      <c r="LX110" s="6">
        <f>COUNTIFS(Table24[Country],Tabela1[[#This Row],[Country]],Table24[Freestyle 86kg Classification],"&gt;0")</f>
        <v>0</v>
      </c>
      <c r="LY110" s="6">
        <f>COUNTIFS(Table24[Country],Tabela1[[#This Row],[Country]],Table24[Freestyle 97kg Classification],"&gt;0")</f>
        <v>0</v>
      </c>
      <c r="LZ110" s="6">
        <f>COUNTIFS(Table24[Country],Tabela1[[#This Row],[Country]],Table24[Freestyle 125kg Classification],"&gt;0")</f>
        <v>0</v>
      </c>
      <c r="MA110" s="6">
        <f>COUNTIFS(Table24[Country],Tabela1[[#This Row],[Country]],Table24[Greco-Roman 60kg Classification],"&gt;0")</f>
        <v>0</v>
      </c>
      <c r="MB110" s="6">
        <f>COUNTIFS(Table24[Country],Tabela1[[#This Row],[Country]],Table24[Greco-Roman 67kg Classification],"&gt;0")</f>
        <v>0</v>
      </c>
      <c r="MC110" s="6">
        <f>COUNTIFS(Table24[Country],Tabela1[[#This Row],[Country]],Table24[Greco-Roman 77kg Classification],"&gt;0")</f>
        <v>0</v>
      </c>
      <c r="MD110" s="6">
        <f>COUNTIFS(Table24[Country],Tabela1[[#This Row],[Country]],Table24[Greco-Roman 87kg Classification],"&gt;0")</f>
        <v>0</v>
      </c>
      <c r="ME110" s="6">
        <f>COUNTIFS(Table24[Country],Tabela1[[#This Row],[Country]],Table24[Greco-Roman 97kg Classification],"&gt;0")</f>
        <v>0</v>
      </c>
      <c r="MF110" s="6">
        <f>COUNTIFS(Table24[Country],Tabela1[[#This Row],[Country]],Table24[Greco-Roman 130kg Classification],"&gt;0")</f>
        <v>0</v>
      </c>
      <c r="MG110" s="6">
        <f>COUNTIFS(Table31[Country],Tabela1[[#This Row],[Country]],Table31[50kg Classification],"&gt;0")</f>
        <v>0</v>
      </c>
      <c r="MH110" s="6">
        <f>COUNTIFS(Table31[Country],Tabela1[[#This Row],[Country]],Table31[53kg Classification],"&gt;0")</f>
        <v>0</v>
      </c>
      <c r="MI110" s="6">
        <f>COUNTIFS(Table31[Country],Tabela1[[#This Row],[Country]],Table31[57kg Classification],"&gt;0")</f>
        <v>0</v>
      </c>
      <c r="MJ110" s="6">
        <f>COUNTIFS(Table31[Country],Tabela1[[#This Row],[Country]],Table31[62kg Classification],"&gt;0")</f>
        <v>0</v>
      </c>
      <c r="MK110" s="6">
        <f>COUNTIFS(Table31[Country],Tabela1[[#This Row],[Country]],Table31[68kg Classification],"&gt;0")</f>
        <v>0</v>
      </c>
      <c r="ML110" s="6">
        <f>COUNTIFS(Table31[Country],Tabela1[[#This Row],[Country]],Table31[76kg Classification],"&gt;0")</f>
        <v>0</v>
      </c>
      <c r="MM110" s="6">
        <f>COUNTIFS(Table102[Country],Tabela1[[#This Row],[Country]],Table102[Downhill Classification],"&gt;0")</f>
        <v>0</v>
      </c>
      <c r="MN110" s="6">
        <f>COUNTIFS(Table102105[Country],Tabela1[[#This Row],[Country]],Table102105[Downhill Classification],"&gt;0")</f>
        <v>0</v>
      </c>
      <c r="MO110" s="6">
        <f>COUNTIFS(Table102[Country],Tabela1[[#This Row],[Country]],Table102[Giant Slalom Classification],"&gt;0")</f>
        <v>0</v>
      </c>
      <c r="MP110" s="6">
        <f>COUNTIFS(Table102105[Country],Tabela1[[#This Row],[Country]],Table102105[Giant Slalom Classification],"&gt;0")</f>
        <v>0</v>
      </c>
      <c r="MQ110" s="6">
        <f>COUNTIFS(Table102[Country],Tabela1[[#This Row],[Country]],Table102[Slalom Classification],"&gt;0")</f>
        <v>0</v>
      </c>
      <c r="MR110" s="6">
        <f>COUNTIFS(Table102105[Country],Tabela1[[#This Row],[Country]],Table102105[Slalom Classification],"&gt;0")</f>
        <v>0</v>
      </c>
      <c r="MS110" s="6">
        <f>COUNTIFS(Table102[Country],Tabela1[[#This Row],[Country]],Table102[Super-G Classification],"&gt;0")</f>
        <v>0</v>
      </c>
      <c r="MT110" s="6">
        <f>COUNTIFS(Table102105[Country],Tabela1[[#This Row],[Country]],Table102105[Super-G Classification],"&gt;0")</f>
        <v>0</v>
      </c>
      <c r="MU110" s="6">
        <f>COUNTIFS(Table105[Country],Tabela1[[#This Row],[Country]],Table105[Men''s Combined Classification],"&gt;0")</f>
        <v>0</v>
      </c>
      <c r="MV110" s="6">
        <f>COUNTIFS(Table105[Country],Tabela1[[#This Row],[Country]],Table105[Women''s Combined Classification],"&gt;0")</f>
        <v>0</v>
      </c>
      <c r="MW110" s="6">
        <f>COUNTIFS(Table106[Country],Tabela1[[#This Row],[Country]],Table106[Individual Classification],"&gt;0")</f>
        <v>0</v>
      </c>
      <c r="MX110" s="6">
        <f>COUNTIFS(Table106109[Country],Tabela1[[#This Row],[Country]],Table106109[Individual Classification],"&gt;0")</f>
        <v>0</v>
      </c>
      <c r="MY110" s="6">
        <f>COUNTIFS(Table106[Country],Tabela1[[#This Row],[Country]],Table106[Mass Start Classification],"&gt;0")</f>
        <v>0</v>
      </c>
      <c r="MZ110" s="6">
        <f>COUNTIFS(Table106109[Country],Tabela1[[#This Row],[Country]],Table106109[Mass Start Classification],"&gt;0")</f>
        <v>0</v>
      </c>
      <c r="NA110" s="6">
        <f>COUNTIFS(Table106[Country],Tabela1[[#This Row],[Country]],Table106[Pursuit Classification],"&gt;0")</f>
        <v>0</v>
      </c>
      <c r="NB110" s="6">
        <f>COUNTIFS(Table106109[Country],Tabela1[[#This Row],[Country]],Table106109[Pursuit Classification],"&gt;0")</f>
        <v>0</v>
      </c>
      <c r="NC110" s="6">
        <f>COUNTIFS(Table106[Country],Tabela1[[#This Row],[Country]],Table106[Sprint Classification],"&gt;0")</f>
        <v>0</v>
      </c>
      <c r="ND110" s="6">
        <f>COUNTIFS(Table106109[Country],Tabela1[[#This Row],[Country]],Table106109[Sprint Classification],"&gt;0")</f>
        <v>0</v>
      </c>
      <c r="NE110" s="6">
        <f>COUNTIFS(Table109[Country],Tabela1[[#This Row],[Country]],Table109[Men''s Relay Classification],"&gt;0")</f>
        <v>0</v>
      </c>
      <c r="NF110" s="6">
        <f>COUNTIFS(Table109[Country],Tabela1[[#This Row],[Country]],Table109[Women''s Relay Classification],"&gt;0")</f>
        <v>0</v>
      </c>
      <c r="NG110" s="6">
        <f>COUNTIFS(Table109[Country],Tabela1[[#This Row],[Country]],Table109[Mixed Relay Classification],"&gt;0")</f>
        <v>0</v>
      </c>
      <c r="NH110" s="6">
        <f>COUNTIFS(Table110[Country],Tabela1[[#This Row],[Country]],Table110[Monobob Classification],"&gt;0")</f>
        <v>0</v>
      </c>
      <c r="NI110" s="6">
        <f>COUNTIFS(Table111[Country],Tabela1[[#This Row],[Country]],Table111[Men''s Classification],"&gt;0")</f>
        <v>0</v>
      </c>
      <c r="NJ110" s="6">
        <f>COUNTIFS(Table111[Country],Tabela1[[#This Row],[Country]],Table111[Women''s Classification],"&gt;0")</f>
        <v>0</v>
      </c>
      <c r="NK110" s="6">
        <f>COUNTIFS(Table112[Country],Tabela1[[#This Row],[Country]],Table112[Men''s Four Classification],"&gt;0")</f>
        <v>0</v>
      </c>
      <c r="NL110" s="6">
        <f>COUNTIFS(Table113[Country],Tabela1[[#This Row],[Country]],Table113[Classical Classification],"&gt;0")</f>
        <v>0</v>
      </c>
      <c r="NM110" s="6">
        <f>COUNTIFS(Table113116[Country],Tabela1[[#This Row],[Country]],Table113116[Classical Classification],"&gt;0")</f>
        <v>0</v>
      </c>
      <c r="NN110" s="6">
        <f>COUNTIFS(Table113[Country],Tabela1[[#This Row],[Country]],Table113[Freestyle Classification],"&gt;0")</f>
        <v>0</v>
      </c>
      <c r="NO110" s="6">
        <f>COUNTIFS(Table113116[Country],Tabela1[[#This Row],[Country]],Table113116[Freestyle Classification],"&gt;0")</f>
        <v>0</v>
      </c>
      <c r="NP110" s="6">
        <f>COUNTIFS(Table117[Country],Tabela1[[#This Row],[Country]],Table117[Men''s Relay Classification],"&gt;0")</f>
        <v>0</v>
      </c>
      <c r="NQ110" s="6">
        <f>COUNTIFS(Table117[Country],Tabela1[[#This Row],[Country]],Table117[Women''s Relay Classification],"&gt;0")</f>
        <v>0</v>
      </c>
      <c r="NR110" s="6">
        <f>COUNTIFS(Table113[Country],Tabela1[[#This Row],[Country]],Table113[Skiathlon Classification],"&gt;0")</f>
        <v>0</v>
      </c>
      <c r="NS110" s="6">
        <f>COUNTIFS(Table113116[Country],Tabela1[[#This Row],[Country]],Table113116[Skiathlon Classification],"&gt;0")</f>
        <v>0</v>
      </c>
      <c r="NT110" s="6">
        <f>COUNTIFS(Table113[Country],Tabela1[[#This Row],[Country]],Table113[Sprint Classification],"&gt;0")</f>
        <v>0</v>
      </c>
      <c r="NU110" s="6">
        <f>COUNTIFS(Table113116[Country],Tabela1[[#This Row],[Country]],Table113116[Sprint Classification],"&gt;0")</f>
        <v>0</v>
      </c>
      <c r="NV110" s="6">
        <f>COUNTIFS(Table116[Country],Tabela1[[#This Row],[Country]],Table116[Men''s Team Sprint Classification],"&gt;0")</f>
        <v>0</v>
      </c>
      <c r="NW110" s="6">
        <f>COUNTIFS(Table116[Country],Tabela1[[#This Row],[Country]],Table116[Women''s Team Sprint Classification],"&gt;0")</f>
        <v>0</v>
      </c>
      <c r="NX110" s="6">
        <f>COUNTIFS(Table119[Country],Tabela1[[#This Row],[Country]],Table119[Men''s Classification],"&gt;0")</f>
        <v>0</v>
      </c>
      <c r="NY110" s="6">
        <f>COUNTIFS(Table119[Country],Tabela1[[#This Row],[Country]],Table119[Women''s Classification],"&gt;0")</f>
        <v>0</v>
      </c>
      <c r="NZ110" s="6">
        <f>COUNTIFS(Table118[Country],Tabela1[[#This Row],[Country]],Table118[Mixed Classification],"&gt;0")</f>
        <v>0</v>
      </c>
      <c r="OA110" s="6">
        <f>COUNTIFS(Table120[Country],Tabela1[[#This Row],[Country]],Table120[Classification],"&gt;0")</f>
        <v>0</v>
      </c>
      <c r="OB110" s="6">
        <f>COUNTIFS(Table120123[Country],Tabela1[[#This Row],[Country]],Table120123[Classification],"&gt;0")</f>
        <v>0</v>
      </c>
      <c r="OC110" s="6">
        <f>COUNTIFS(Table123[Country],Tabela1[[#This Row],[Country]],Table123[Ice Dance Classification],"&gt;0")</f>
        <v>0</v>
      </c>
      <c r="OD110" s="6">
        <f>COUNTIFS(Table123[Country],Tabela1[[#This Row],[Country]],Table123[Pair Skating Classification],"&gt;0")</f>
        <v>0</v>
      </c>
      <c r="OE110" s="6">
        <f>COUNTIFS(Table124[Country],Tabela1[[#This Row],[Country]],Table124[Mixed Classification],"&gt;0")</f>
        <v>0</v>
      </c>
      <c r="OF110" s="6">
        <f>COUNTIFS(Table125[Country],Tabela1[[#This Row],[Country]],Table125[Aerials Classification],"&gt;0")</f>
        <v>0</v>
      </c>
      <c r="OG110" s="6">
        <f>COUNTIFS(Table125128[Country],Tabela1[[#This Row],[Country]],Table125128[Aerials Classification],"&gt;0")</f>
        <v>0</v>
      </c>
      <c r="OH110" s="6">
        <f>COUNTIFS(Table128[Country],Tabela1[[#This Row],[Country]],Table128[Mixed Aerials Classification],"&gt;0")</f>
        <v>0</v>
      </c>
      <c r="OI110" s="6">
        <f>COUNTIFS(Table125[Country],Tabela1[[#This Row],[Country]],Table125[Big Air Classification],"&gt;0")</f>
        <v>0</v>
      </c>
      <c r="OJ110" s="6">
        <f>COUNTIFS(Table125128[Country],Tabela1[[#This Row],[Country]],Table125128[Big Air Classification],"&gt;0")</f>
        <v>0</v>
      </c>
      <c r="OK110" s="6">
        <f>COUNTIFS(Table125[Country],Tabela1[[#This Row],[Country]],Table125[Dual Moguls Classification],"&gt;0")</f>
        <v>0</v>
      </c>
      <c r="OL110" s="6">
        <f>COUNTIFS(Table125128[Country],Tabela1[[#This Row],[Country]],Table125128[Dual Moguls Classification],"&gt;0")</f>
        <v>0</v>
      </c>
      <c r="OM110" s="6">
        <f>COUNTIFS(Table125[Country],Tabela1[[#This Row],[Country]],Table125[Halfpipe Classification],"&gt;0")</f>
        <v>0</v>
      </c>
      <c r="ON110" s="6">
        <f>COUNTIFS(Table125128[Country],Tabela1[[#This Row],[Country]],Table125128[Halfpipe Classification],"&gt;0")</f>
        <v>0</v>
      </c>
      <c r="OO110" s="6">
        <f>COUNTIFS(Table125[Country],Tabela1[[#This Row],[Country]],Table125[Moguls Classification],"&gt;0")</f>
        <v>0</v>
      </c>
      <c r="OP110" s="6">
        <f>COUNTIFS(Table125128[Country],Tabela1[[#This Row],[Country]],Table125128[Moguls Classification],"&gt;0")</f>
        <v>0</v>
      </c>
      <c r="OQ110" s="6">
        <f>COUNTIFS(Table125[Country],Tabela1[[#This Row],[Country]],Table125[Ski Cross Classification],"&gt;0")</f>
        <v>0</v>
      </c>
      <c r="OR110" s="6">
        <f>COUNTIFS(Table125128[Country],Tabela1[[#This Row],[Country]],Table125128[Ski Cross Classification],"&gt;0")</f>
        <v>0</v>
      </c>
      <c r="OS110" s="6">
        <f>COUNTIFS(Table125[Country],Tabela1[[#This Row],[Country]],Table125[Slopestyle Classification],"&gt;0")</f>
        <v>0</v>
      </c>
      <c r="OT110" s="6">
        <f>COUNTIFS(Table125128[Country],Tabela1[[#This Row],[Country]],Table125128[Slopestyle Classification],"&gt;0")</f>
        <v>0</v>
      </c>
      <c r="OU110" s="6">
        <f>COUNTIFS(Table119131[Country],Tabela1[[#This Row],[Country]],Table119131[Men''s Classification],"&gt;0")</f>
        <v>0</v>
      </c>
      <c r="OV110" s="6">
        <f>COUNTIFS(Table119131[Country],Tabela1[[#This Row],[Country]],Table119131[Women''s Classification],"&gt;0")</f>
        <v>0</v>
      </c>
      <c r="OW110" s="6">
        <f>COUNTIFS(Table131[Country],Tabela1[[#This Row],[Country]],Table131[Classification],"&gt;0")</f>
        <v>0</v>
      </c>
      <c r="OX110" s="6">
        <f>COUNTIFS(Table131134[Country],Tabela1[[#This Row],[Country]],Table131134[Classification],"&gt;0")</f>
        <v>0</v>
      </c>
      <c r="OY110" s="6">
        <f>COUNTIFS(Table134[Country],Tabela1[[#This Row],[Country]],Table134[Men''s Classification],"&gt;0")</f>
        <v>0</v>
      </c>
      <c r="OZ110" s="6">
        <f>COUNTIFS(Table134[Country],Tabela1[[#This Row],[Country]],Table134[Women''s Classification],"&gt;0")</f>
        <v>0</v>
      </c>
      <c r="PA110" s="6">
        <f>COUNTIFS(Table135[Country],Tabela1[[#This Row],[Country]],Table135[Mixed Relay Classification],"&gt;0")</f>
        <v>0</v>
      </c>
      <c r="PB110" s="6">
        <f>COUNTIFS(Table136[Country],Tabela1[[#This Row],[Country]],Table136[Individual Classification],"&gt;0")</f>
        <v>0</v>
      </c>
      <c r="PC110" s="6">
        <f>COUNTIFS(Table136[Country],Tabela1[[#This Row],[Country]],Table136[Sprint Classification],"&gt;0")</f>
        <v>0</v>
      </c>
      <c r="PD110" s="6">
        <f>COUNTIFS(Table137[Country],Tabela1[[#This Row],[Country]],Table137[Men''s Team Sprint Large Hill Classification],"&gt;0")</f>
        <v>0</v>
      </c>
      <c r="PE110" s="6">
        <f>COUNTIFS(Table138[Country],Tabela1[[#This Row],[Country]],Table138[500m Classification],"&gt;0")</f>
        <v>0</v>
      </c>
      <c r="PF110" s="6">
        <f>COUNTIFS(Table138141[Country],Tabela1[[#This Row],[Country]],Table138141[500m Classification],"&gt;0")</f>
        <v>0</v>
      </c>
      <c r="PG110" s="6">
        <f>COUNTIFS(Table138[Country],Tabela1[[#This Row],[Country]],Table138[1000m Classification],"&gt;0")</f>
        <v>0</v>
      </c>
      <c r="PH110" s="6">
        <f>COUNTIFS(Table138141[Country],Tabela1[[#This Row],[Country]],Table138141[1000m Classification],"&gt;0")</f>
        <v>0</v>
      </c>
      <c r="PI110" s="6">
        <f>COUNTIFS(Table138[Country],Tabela1[[#This Row],[Country]],Table138[1500m Classification],"&gt;0")</f>
        <v>0</v>
      </c>
      <c r="PJ110" s="6">
        <f>COUNTIFS(Table138141[Country],Tabela1[[#This Row],[Country]],Table138141[1500m Classification],"&gt;0")</f>
        <v>0</v>
      </c>
      <c r="PK110" s="6">
        <f>COUNTIFS(Table141[Country],Tabela1[[#This Row],[Country]],Table141[Men''s 5000m Relay Classification],"&gt;0")</f>
        <v>0</v>
      </c>
      <c r="PL110" s="6">
        <f>COUNTIFS(Table141[Country],Tabela1[[#This Row],[Country]],Table141[Women''s 3000m Relay Classification],"&gt;0")</f>
        <v>0</v>
      </c>
      <c r="PM110" s="6">
        <f>COUNTIFS(Table141[Country],Tabela1[[#This Row],[Country]],Table141[Mixed 2000m Relay Classification],"&gt;0")</f>
        <v>0</v>
      </c>
      <c r="PN110" s="6">
        <f>COUNTIFS(Table142[Country],Tabela1[[#This Row],[Country]],Table142[Classification],"&gt;0")</f>
        <v>0</v>
      </c>
      <c r="PO110" s="6">
        <f>COUNTIFS(Table142145[Country],Tabela1[[#This Row],[Country]],Table142145[Classification],"&gt;0")</f>
        <v>0</v>
      </c>
      <c r="PP110" s="6">
        <f>COUNTIFS(Tabela15[Country],Tabela1[[#This Row],[Country]],Tabela15[Mixed Team Classification],"&gt;0")</f>
        <v>0</v>
      </c>
      <c r="PQ110" s="6">
        <f>COUNTIFS(Table145[Country],Tabela1[[#This Row],[Country]],Table145[Large Hill Classification],"&gt;0")</f>
        <v>0</v>
      </c>
      <c r="PR110" s="6">
        <f>COUNTIFS(Table145[Country],Tabela1[[#This Row],[Country]],Table145[Normal Hill Classification],"&gt;0")</f>
        <v>0</v>
      </c>
      <c r="PS110" s="6">
        <f>COUNTIFS(Table145148[Country],Tabela1[[#This Row],[Country]],Table145148[Large Hill Classification],"&gt;0")</f>
        <v>0</v>
      </c>
      <c r="PT110" s="6">
        <f>COUNTIFS(Table145148[Country],Tabela1[[#This Row],[Country]],Table145148[Normal Hill Classification],"&gt;0")</f>
        <v>0</v>
      </c>
      <c r="PU110" s="6">
        <f>COUNTIFS(Table148[Country],Tabela1[[#This Row],[Country]],Table148[Men''s Super Team Classification],"&gt;0")</f>
        <v>0</v>
      </c>
      <c r="PV110" s="6">
        <f>COUNTIFS(Tabela114[Country],Tabela1[[#This Row],[Country]],Tabela114[Mixed Normal Hill Classification],"&gt;0")</f>
        <v>0</v>
      </c>
      <c r="PW110" s="6">
        <f>COUNTIFS(Tabela50[Country],Tabela1[[#This Row],[Country]],Tabela50[Sprint Classification],"&gt;0")</f>
        <v>0</v>
      </c>
      <c r="PX110" s="6">
        <f>COUNTIFS(Tabela50101[Country],Tabela1[[#This Row],[Country]],Tabela50101[Sprint Classification],"&gt;0")</f>
        <v>0</v>
      </c>
      <c r="PY110" s="6">
        <f>COUNTIFS(Tabela103[Country],Tabela1[[#This Row],[Country]],Tabela103[Mixed Relay Classification],"&gt;0")</f>
        <v>0</v>
      </c>
      <c r="PZ110" s="6">
        <f>COUNTIFS(Table149[Country],Tabela1[[#This Row],[Country]],Table149[Big Air Classification],"&gt;0")</f>
        <v>0</v>
      </c>
      <c r="QA110" s="6">
        <f>COUNTIFS(Table149152[Country],Tabela1[[#This Row],[Country]],Table149152[Big Air Classification],"&gt;0")</f>
        <v>0</v>
      </c>
      <c r="QB110" s="6">
        <f>COUNTIFS(Table149[Country],Tabela1[[#This Row],[Country]],Table149[Halfpipe Classification],"&gt;0")</f>
        <v>0</v>
      </c>
      <c r="QC110" s="6">
        <f>COUNTIFS(Table149152[Country],Tabela1[[#This Row],[Country]],Table149152[Halfpipe Classification],"&gt;0")</f>
        <v>0</v>
      </c>
      <c r="QD110" s="6">
        <f>COUNTIFS(Table149[Country],Tabela1[[#This Row],[Country]],Table149[Parallel Giant Slalom Classification],"&gt;0")</f>
        <v>0</v>
      </c>
      <c r="QE110" s="6">
        <f>COUNTIFS(Table149152[Country],Tabela1[[#This Row],[Country]],Table149152[Parallel Giant Slalom Classification],"&gt;0")</f>
        <v>0</v>
      </c>
      <c r="QF110" s="6">
        <f>COUNTIFS(Table149[Country],Tabela1[[#This Row],[Country]],Table149[Slopestyle Classification],"&gt;0")</f>
        <v>0</v>
      </c>
      <c r="QG110" s="6">
        <f>COUNTIFS(Table149152[Country],Tabela1[[#This Row],[Country]],Table149152[Slopestyle Classification],"&gt;0")</f>
        <v>0</v>
      </c>
      <c r="QH110" s="6">
        <f>COUNTIFS(Table149[Country],Tabela1[[#This Row],[Country]],Table149[Snowboard Cross Classification],"&gt;0")</f>
        <v>0</v>
      </c>
      <c r="QI110" s="6">
        <f>COUNTIFS(Table149152[Country],Tabela1[[#This Row],[Country]],Table149152[Snowboard Cross Classification],"&gt;0")</f>
        <v>0</v>
      </c>
      <c r="QJ110" s="6">
        <f>COUNTIFS(Table153[Country],Tabela1[[#This Row],[Country]],Table153[Mixed Team Snowboard Cross Classification],"&gt;0")</f>
        <v>0</v>
      </c>
      <c r="QK110" s="6">
        <f>COUNTIFS(Table154[Country],Tabela1[[#This Row],[Country]],Table154[500m Classification],"&gt;0")</f>
        <v>0</v>
      </c>
      <c r="QL110" s="6">
        <f>COUNTIFS(Table154157[Country],Tabela1[[#This Row],[Country]],Table154157[500m Classification],"&gt;0")</f>
        <v>0</v>
      </c>
      <c r="QM110" s="6">
        <f>COUNTIFS(Table154[Country],Tabela1[[#This Row],[Country]],Table154[1000m Classification],"&gt;0")</f>
        <v>0</v>
      </c>
      <c r="QN110" s="6">
        <f>COUNTIFS(Table154157[Country],Tabela1[[#This Row],[Country]],Table154157[1000m Classification],"&gt;0")</f>
        <v>0</v>
      </c>
      <c r="QO110" s="6">
        <f>COUNTIFS(Table154[Country],Tabela1[[#This Row],[Country]],Table154[1500m Classification],"&gt;0")</f>
        <v>0</v>
      </c>
      <c r="QP110" s="6">
        <f>COUNTIFS(Table154157[Country],Tabela1[[#This Row],[Country]],Table154157[1500m Classification],"&gt;0")</f>
        <v>0</v>
      </c>
      <c r="QQ110" s="6">
        <f>COUNTIFS(Table154157[Country],Tabela1[[#This Row],[Country]],Table154157[3000m Classification],"&gt;0")</f>
        <v>0</v>
      </c>
      <c r="QR110" s="6">
        <f>COUNTIFS(Table154[Country],Tabela1[[#This Row],[Country]],Table154[5000m Classification],"&gt;0")</f>
        <v>0</v>
      </c>
      <c r="QS110" s="6">
        <f>COUNTIFS(Table154157[Country],Tabela1[[#This Row],[Country]],Table154157[5000m Classification],"&gt;0")</f>
        <v>0</v>
      </c>
      <c r="QT110" s="6">
        <f>COUNTIFS(Table154[Country],Tabela1[[#This Row],[Country]],Table154[10000m Classification],"&gt;0")</f>
        <v>0</v>
      </c>
      <c r="QU110" s="6">
        <f>COUNTIFS(Table154[Country],Tabela1[[#This Row],[Country]],Table154[Mass Start Classification],"&gt;0")</f>
        <v>0</v>
      </c>
      <c r="QV110" s="6">
        <f>COUNTIFS(Table154157[Country],Tabela1[[#This Row],[Country]],Table154157[Mass Start Classification],"&gt;0")</f>
        <v>0</v>
      </c>
      <c r="QW110" s="6">
        <f>COUNTIFS(Table157[Country],Tabela1[[#This Row],[Country]],Table157[Men''s Pursuit Classification],"&gt;0")</f>
        <v>0</v>
      </c>
      <c r="QX110" s="6">
        <f>COUNTIFS(Table157[Country],Tabela1[[#This Row],[Country]],Table157[Women''s Pursuit Classification],"&gt;0")</f>
        <v>0</v>
      </c>
      <c r="QY110" s="3" t="s">
        <v>667</v>
      </c>
    </row>
    <row r="111" spans="1:467" x14ac:dyDescent="0.3">
      <c r="A111" s="6">
        <v>110</v>
      </c>
      <c r="B111" s="6" t="s">
        <v>496</v>
      </c>
      <c r="C111" t="e" vm="110">
        <f>IF(ISBLANK(Tabela1[[#This Row],[Image Link]]), "", _xlfn.IMAGE(Tabela1[[#This Row],[Image Link]],1,1))</f>
        <v>#VALUE!</v>
      </c>
      <c r="D111" s="6">
        <f>SUM(Tabela1[[#This Row],[Archery - Men''s Individual Recurve]:[Speed Skating - Women''s Team Pursuit]])</f>
        <v>3</v>
      </c>
      <c r="E111" s="6">
        <f>COUNTIF(Tabela1[[#This Row],[Archery - Men''s Individual Recurve]:[Speed Skating - Women''s Team Pursuit]],"&gt;0")</f>
        <v>3</v>
      </c>
      <c r="F111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Winter Olympics</v>
      </c>
      <c r="G111" s="6">
        <f>SUM(Tabela1[[#This Row],[Archery - Men''s Individual Recurve]:[Wrestling - Women''s Freestyle 76kg]])</f>
        <v>1</v>
      </c>
      <c r="H111" s="6">
        <f>SUM(Tabela1[[#This Row],[Alpine Skiing - Men''s Downhill]:[Speed Skating - Women''s Team Pursuit]])</f>
        <v>2</v>
      </c>
      <c r="I111" s="6">
        <f>Tabela1[[#This Row],[Summer Gold Medals]]+Tabela1[[#This Row],[Winter Gold Medals]]</f>
        <v>0</v>
      </c>
      <c r="J111" s="6">
        <f>Tabela1[[#This Row],[Summer Silver Medals]]+Tabela1[[#This Row],[Winter Silver Medals]]</f>
        <v>0</v>
      </c>
      <c r="K111" s="6">
        <f>Tabela1[[#This Row],[Summer Bronze Medals]]+Tabela1[[#This Row],[Winter Bronze Medals]]</f>
        <v>2</v>
      </c>
      <c r="L111" s="6">
        <f>SUM(Tabela1[[#This Row],[Total Gold Medals]:[Total Bronze Medals]])</f>
        <v>2</v>
      </c>
      <c r="M111" s="6"/>
      <c r="N111" s="6"/>
      <c r="O111" s="6">
        <v>2</v>
      </c>
      <c r="P111" s="6">
        <f>SUM(Tabela1[[#This Row],[Summer Gold Medals]:[Summer Bronze Medals]])</f>
        <v>2</v>
      </c>
      <c r="Q111" s="6"/>
      <c r="R111" s="6"/>
      <c r="S111" s="6"/>
      <c r="T111" s="6">
        <f>Tabela1[[#This Row],[Winter Gold Medals]]+Tabela1[[#This Row],[Winter Silver Medals]]+Tabela1[[#This Row],[Winter Bronze Medals]]</f>
        <v>0</v>
      </c>
      <c r="U111" s="7">
        <f>Tabela1[[#This Row],[Total Medals]]/Tabela1[[#This Row],[Total Quotas]]</f>
        <v>0.66666666666666663</v>
      </c>
      <c r="V111" s="6">
        <f>COUNTIFS(Table3[Country],Tabela1[[#This Row],[Country]],Table3[Recurve Classification],"&gt;0")</f>
        <v>0</v>
      </c>
      <c r="W111" s="6">
        <f>COUNTIFS(Table33[Country],Tabela1[[#This Row],[Country]],Table33[Recurve Classification],"&gt;0")</f>
        <v>0</v>
      </c>
      <c r="X111" s="6">
        <f>COUNTIFS(Table35[Country],Tabela1[[#This Row],[Country]],Table35[Men''s Team Recurve Classification],"&gt;0")</f>
        <v>0</v>
      </c>
      <c r="Y111" s="6">
        <f>COUNTIFS(Table35[Country],Tabela1[[#This Row],[Country]],Table35[Women''s Team Recurve Classification],"&gt;0")</f>
        <v>0</v>
      </c>
      <c r="Z111" s="6">
        <f>COUNTIFS(Tabela88[Country],Tabela1[[#This Row],[Country]],Tabela88[Mixed Team Recurve Classification],"&gt;0")</f>
        <v>0</v>
      </c>
      <c r="AA111" s="6">
        <f>COUNTIFS(Table36[Country],Tabela1[[#This Row],[Country]],Table36[Classification],"&gt;0")</f>
        <v>0</v>
      </c>
      <c r="AB111" s="6">
        <f>COUNTIFS(Table37[Country],Tabela1[[#This Row],[Country]],Table37[Classification],"&gt;0")</f>
        <v>0</v>
      </c>
      <c r="AC111" s="6">
        <f>COUNTIFS(Table4[Country],Tabela1[[#This Row],[Country]],Table4[100m Classification],"&gt;0")</f>
        <v>1</v>
      </c>
      <c r="AD111" s="6">
        <f>COUNTIFS(Table5[Country],Tabela1[[#This Row],[Country]],Table5[100m Classification],"&gt;0")</f>
        <v>0</v>
      </c>
      <c r="AE111" s="6">
        <f>COUNTIFS(Table4[Country],Tabela1[[#This Row],[Country]],Table4[200m Classification],"&gt;0")</f>
        <v>0</v>
      </c>
      <c r="AF111" s="6">
        <f>COUNTIFS(Table5[Country],Tabela1[[#This Row],[Country]],Table5[200m Classification],"&gt;0")</f>
        <v>0</v>
      </c>
      <c r="AG111" s="6">
        <f>COUNTIFS(Table4[Country],Tabela1[[#This Row],[Country]],Table4[400m Classification],"&gt;0")</f>
        <v>0</v>
      </c>
      <c r="AH111" s="6">
        <f>COUNTIFS(Table5[Country],Tabela1[[#This Row],[Country]],Table5[400m Classification],"&gt;0")</f>
        <v>0</v>
      </c>
      <c r="AI111" s="6">
        <f>COUNTIFS(Table4[Country],Tabela1[[#This Row],[Country]],Table4[800m Classification],"&gt;0")</f>
        <v>0</v>
      </c>
      <c r="AJ111" s="6">
        <f>COUNTIFS(Table5[Country],Tabela1[[#This Row],[Country]],Table5[800m Classification],"&gt;0")</f>
        <v>0</v>
      </c>
      <c r="AK111" s="6">
        <f>COUNTIFS(Table4[Country],Tabela1[[#This Row],[Country]],Table4[1500m Classification],"&gt;0")</f>
        <v>0</v>
      </c>
      <c r="AL111" s="6">
        <f>COUNTIFS(Table5[Country],Tabela1[[#This Row],[Country]],Table5[1500m Classification],"&gt;0")</f>
        <v>0</v>
      </c>
      <c r="AM111" s="6">
        <f>COUNTIFS(Table4[Country],Tabela1[[#This Row],[Country]],Table4[5000m Classification],"&gt;0")</f>
        <v>0</v>
      </c>
      <c r="AN111" s="6">
        <f>COUNTIFS(Table5[Country],Tabela1[[#This Row],[Country]],Table5[5000m Classification],"&gt;0")</f>
        <v>0</v>
      </c>
      <c r="AO111" s="6">
        <f>COUNTIFS(Table4[Country],Tabela1[[#This Row],[Country]],Table4[10000m Classification],"&gt;0")</f>
        <v>0</v>
      </c>
      <c r="AP111" s="6">
        <f>COUNTIFS(Table5[Country],Tabela1[[#This Row],[Country]],Table5[10000m Classification],"&gt;0")</f>
        <v>0</v>
      </c>
      <c r="AQ111" s="6">
        <f>COUNTIFS(Table4[Country],Tabela1[[#This Row],[Country]],Table4[110m Hurdles Classification],"&gt;0")</f>
        <v>0</v>
      </c>
      <c r="AR111" s="6">
        <f>COUNTIFS(Table5[Country],Tabela1[[#This Row],[Country]],Table5[100m Hurdles Classification],"&gt;0")</f>
        <v>0</v>
      </c>
      <c r="AS111" s="6">
        <f>COUNTIFS(Table4[Country],Tabela1[[#This Row],[Country]],Table4[400m Hurdles Classification],"&gt;0")</f>
        <v>0</v>
      </c>
      <c r="AT111" s="6">
        <f>COUNTIFS(Table5[Country],Tabela1[[#This Row],[Country]],Table5[400m Hurdles Classification],"&gt;0")</f>
        <v>0</v>
      </c>
      <c r="AU111" s="6">
        <f>COUNTIFS(Table4[Country],Tabela1[[#This Row],[Country]],Table4[3000m Steeplechase Classification],"&gt;0")</f>
        <v>0</v>
      </c>
      <c r="AV111" s="6">
        <f>COUNTIFS(Table5[Country],Tabela1[[#This Row],[Country]],Table5[3000m Steeplechase Classification],"&gt;0")</f>
        <v>0</v>
      </c>
      <c r="AW111" s="6">
        <f>COUNTIFS(Table27[Country],Tabela1[[#This Row],[Country]],Table27[Men''s 4x100m Relay Classification],"&gt;0")</f>
        <v>0</v>
      </c>
      <c r="AX111" s="6">
        <f>COUNTIFS(Table27[Country],Tabela1[[#This Row],[Country]],Table27[Women''s 4x100m Relay Classification],"&gt;0")</f>
        <v>0</v>
      </c>
      <c r="AY111" s="6">
        <f>COUNTIFS(Table27[Country],Tabela1[[#This Row],[Country]],Table27[Men''s 4x400m Relay Classification],"&gt;0")</f>
        <v>0</v>
      </c>
      <c r="AZ111" s="6">
        <f>COUNTIFS(Table27[Country],Tabela1[[#This Row],[Country]],Table27[Women''s 4x400m Relay Classification],"&gt;0")</f>
        <v>0</v>
      </c>
      <c r="BA111" s="6">
        <f>COUNTIFS(Table27[Country],Tabela1[[#This Row],[Country]],Table27[Mixed 4x400m Relay Classification],"&gt;0")</f>
        <v>0</v>
      </c>
      <c r="BB111" s="6">
        <f>COUNTIFS(Table4[Country],Tabela1[[#This Row],[Country]],Table4[Marathon Classification],"&gt;0")</f>
        <v>0</v>
      </c>
      <c r="BC111" s="6">
        <f>COUNTIFS(Table5[Country],Tabela1[[#This Row],[Country]],Table5[Marathon Classification],"&gt;0")</f>
        <v>0</v>
      </c>
      <c r="BD111" s="6">
        <f>COUNTIFS(Table4[Country],Tabela1[[#This Row],[Country]],Table4[20km Race Walk Classification],"&gt;0")</f>
        <v>0</v>
      </c>
      <c r="BE111" s="6">
        <f>COUNTIFS(Table5[Country],Tabela1[[#This Row],[Country]],Table5[20km Race Walk Classification],"&gt;0")</f>
        <v>0</v>
      </c>
      <c r="BF111" s="6">
        <f>COUNTIFS(Tabela96[Country],Tabela1[[#This Row],[Country]],Tabela96[Mixed Marathon Race Walk Relay Classification],"&gt;0")</f>
        <v>0</v>
      </c>
      <c r="BG111" s="6">
        <f>COUNTIFS(Table4[Country],Tabela1[[#This Row],[Country]],Table4[Discus Throw Classification],"&gt;0")</f>
        <v>0</v>
      </c>
      <c r="BH111" s="6">
        <f>COUNTIFS(Table5[Country],Tabela1[[#This Row],[Country]],Table5[Discus Throw Classification],"&gt;0")</f>
        <v>0</v>
      </c>
      <c r="BI111" s="6">
        <f>COUNTIFS(Table4[Country],Tabela1[[#This Row],[Country]],Table4[Hammer Throw Classification],"&gt;0")</f>
        <v>0</v>
      </c>
      <c r="BJ111" s="6">
        <f>COUNTIFS(Table5[Country],Tabela1[[#This Row],[Country]],Table5[Hammer Throw Classification],"&gt;0")</f>
        <v>0</v>
      </c>
      <c r="BK111" s="6">
        <f>COUNTIFS(Table4[Country],Tabela1[[#This Row],[Country]],Table4[High Jump Classification],"&gt;0")</f>
        <v>0</v>
      </c>
      <c r="BL111" s="6">
        <f>COUNTIFS(Table5[Country],Tabela1[[#This Row],[Country]],Table5[High Jump Classification],"&gt;0")</f>
        <v>0</v>
      </c>
      <c r="BM111" s="6">
        <f>COUNTIFS(Table4[Country],Tabela1[[#This Row],[Country]],Table4[Javelin Throw Classification],"&gt;0")</f>
        <v>0</v>
      </c>
      <c r="BN111" s="6">
        <f>COUNTIFS(Table5[Country],Tabela1[[#This Row],[Country]],Table5[Javelin Throw Classification],"&gt;0")</f>
        <v>0</v>
      </c>
      <c r="BO111" s="6">
        <f>COUNTIFS(Table4[Country],Tabela1[[#This Row],[Country]],Table4[Long Jump Classification],"&gt;0")</f>
        <v>0</v>
      </c>
      <c r="BP111" s="6">
        <f>COUNTIFS(Table5[Country],Tabela1[[#This Row],[Country]],Table5[Long Jump Classification],"&gt;0")</f>
        <v>0</v>
      </c>
      <c r="BQ111" s="6">
        <f>COUNTIFS(Table4[Country],Tabela1[[#This Row],[Country]],Table4[Pole Vault Classification],"&gt;0")</f>
        <v>0</v>
      </c>
      <c r="BR111" s="6">
        <f>COUNTIFS(Table5[Country],Tabela1[[#This Row],[Country]],Table5[Pole Vault Classification],"&gt;0")</f>
        <v>0</v>
      </c>
      <c r="BS111" s="6">
        <f>COUNTIFS(Table4[Country],Tabela1[[#This Row],[Country]],Table4[Shot Put Classification],"&gt;0")</f>
        <v>0</v>
      </c>
      <c r="BT111" s="6">
        <f>COUNTIFS(Table5[Country],Tabela1[[#This Row],[Country]],Table5[Shot Put Classification],"&gt;0")</f>
        <v>0</v>
      </c>
      <c r="BU111" s="6">
        <f>COUNTIFS(Table4[Country],Tabela1[[#This Row],[Country]],Table4[Triple Jump Classification],"&gt;0")</f>
        <v>0</v>
      </c>
      <c r="BV111" s="6">
        <f>COUNTIFS(Table5[Country],Tabela1[[#This Row],[Country]],Table5[Triple Jump Classification],"&gt;0")</f>
        <v>0</v>
      </c>
      <c r="BW111" s="6">
        <f>COUNTIFS(Table4[Country],Tabela1[[#This Row],[Country]],Table4[Decathlon Classification],"&gt;0")</f>
        <v>0</v>
      </c>
      <c r="BX111" s="6">
        <f>COUNTIFS(Table5[Country],Tabela1[[#This Row],[Country]],Table5[Heptathlon Classification],"&gt;0")</f>
        <v>0</v>
      </c>
      <c r="BY111" s="6">
        <f>COUNTIFS(Table61[Country],Tabela1[[#This Row],[Country]],Table61[Classification],"&gt;0")</f>
        <v>0</v>
      </c>
      <c r="BZ111" s="6">
        <f>COUNTIFS(Table38[Country],Tabela1[[#This Row],[Country]],Table38[Classification],"&gt;0")</f>
        <v>0</v>
      </c>
      <c r="CA111" s="6">
        <f>COUNTIFS(Table39[Country],Tabela1[[#This Row],[Country]],Table39[Men''s Classification],"&gt;0")</f>
        <v>0</v>
      </c>
      <c r="CB111" s="6">
        <f>COUNTIFS(Table39[Country],Tabela1[[#This Row],[Country]],Table39[Women''s Classification],"&gt;0")</f>
        <v>0</v>
      </c>
      <c r="CC111" s="6">
        <f>COUNTIFS(Table39[Country],Tabela1[[#This Row],[Country]],Table39[Mixed Classification],"&gt;0")</f>
        <v>0</v>
      </c>
      <c r="CD111" s="6">
        <f>COUNTIFS(Table89[Country],Tabela1[[#This Row],[Country]],Table89[Men''s Classification],"&gt;0")</f>
        <v>0</v>
      </c>
      <c r="CE111" s="6">
        <f>COUNTIFS(Table89[Country],Tabela1[[#This Row],[Country]],Table89[Women''s Classification],"&gt;0")</f>
        <v>0</v>
      </c>
      <c r="CF111" s="6">
        <f>COUNTIFS(Table90[Country],Tabela1[[#This Row],[Country]],Table90[Men''s Classification],"&gt;0")</f>
        <v>0</v>
      </c>
      <c r="CG111" s="6">
        <f>COUNTIFS(Table90[Country],Tabela1[[#This Row],[Country]],Table90[Women''s Classification],"&gt;0")</f>
        <v>0</v>
      </c>
      <c r="CH111" s="6">
        <f>COUNTIFS(Table60[Country],Tabela1[[#This Row],[Country]],Table60[Men''s Classification],"&gt;0")</f>
        <v>0</v>
      </c>
      <c r="CI111" s="6">
        <f>COUNTIFS(Table60[Country],Tabela1[[#This Row],[Country]],Table60[Women''s Classification],"&gt;0")</f>
        <v>0</v>
      </c>
      <c r="CJ111" s="6">
        <f>COUNTIFS(Table6[Country],Tabela1[[#This Row],[Country]],Table6[51kg Classification],"&gt;0")</f>
        <v>0</v>
      </c>
      <c r="CK111" s="6">
        <f>COUNTIFS(Table6[Country],Tabela1[[#This Row],[Country]],Table6[57kg Classification],"&gt;0")</f>
        <v>0</v>
      </c>
      <c r="CL111" s="6">
        <f>COUNTIFS(Table6[Country],Tabela1[[#This Row],[Country]],Table6[63.5kg Classification],"&gt;0")</f>
        <v>0</v>
      </c>
      <c r="CM111" s="6">
        <f>COUNTIFS(Table6[Country],Tabela1[[#This Row],[Country]],Table6[71kg Classification],"&gt;0")</f>
        <v>0</v>
      </c>
      <c r="CN111" s="6">
        <f>COUNTIFS(Table6[Country],Tabela1[[#This Row],[Country]],Table6[80kg Classification],"&gt;0")</f>
        <v>0</v>
      </c>
      <c r="CO111" s="6">
        <f>COUNTIFS(Table6[Country],Tabela1[[#This Row],[Country]],Table6[92kg Classification],"&gt;0")</f>
        <v>0</v>
      </c>
      <c r="CP111" s="6">
        <f>COUNTIFS(Table6[Country],Tabela1[[#This Row],[Country]],Table6[Plus 92kg Classification],"&gt;0")</f>
        <v>0</v>
      </c>
      <c r="CQ111" s="6">
        <f>COUNTIFS(Table7[Country],Tabela1[[#This Row],[Country]],Table7[50kg Classification],"&gt;0")</f>
        <v>0</v>
      </c>
      <c r="CR111" s="6">
        <f>COUNTIFS(Table7[Country],Tabela1[[#This Row],[Country]],Table7[54kg Classification],"&gt;0")</f>
        <v>0</v>
      </c>
      <c r="CS111" s="6">
        <f>COUNTIFS(Table7[Country],Tabela1[[#This Row],[Country]],Table7[57kg Classification],"&gt;0")</f>
        <v>0</v>
      </c>
      <c r="CT111" s="6">
        <f>COUNTIFS(Table7[Country],Tabela1[[#This Row],[Country]],Table7[60kg Classification],"&gt;0")</f>
        <v>0</v>
      </c>
      <c r="CU111" s="6">
        <f>COUNTIFS(Table7[Country],Tabela1[[#This Row],[Country]],Table7[66kg Classification],"&gt;0")</f>
        <v>0</v>
      </c>
      <c r="CV111" s="6">
        <f>COUNTIFS(Table7[Country],Tabela1[[#This Row],[Country]],Table7[75kg Classification],"&gt;0")</f>
        <v>0</v>
      </c>
      <c r="CW111" s="6">
        <f>COUNTIFS(Tabela94[Country],Tabela1[[#This Row],[Country]],Tabela94[Classification],"&gt;0")</f>
        <v>0</v>
      </c>
      <c r="CX111" s="6">
        <f>COUNTIFS(Tabela9499[Country],Tabela1[[#This Row],[Country]],Tabela9499[Classification],"&gt;0")</f>
        <v>0</v>
      </c>
      <c r="CY111" s="6">
        <f>COUNTIFS(Tabela107[Country],Tabela1[[#This Row],[Country]],Tabela107[C1 Slalom Classification],"&gt;0")</f>
        <v>0</v>
      </c>
      <c r="CZ111" s="6">
        <f>COUNTIFS(Tabela107122[Country],Tabela1[[#This Row],[Country]],Tabela107122[C1 Slalom Classification],"&gt;0")</f>
        <v>0</v>
      </c>
      <c r="DA111" s="6">
        <f>COUNTIFS(Tabela107[Country],Tabela1[[#This Row],[Country]],Tabela107[K1 Slalom Classification],"&gt;0")</f>
        <v>0</v>
      </c>
      <c r="DB111" s="6">
        <f>COUNTIFS(Tabela107122[Country],Tabela1[[#This Row],[Country]],Tabela107122[K1 Slalom Classification],"&gt;0")</f>
        <v>0</v>
      </c>
      <c r="DC111" s="6">
        <f>COUNTIFS(Tabela107[Country],Tabela1[[#This Row],[Country]],Tabela107[Kayak Cross Slalom Classification],"&gt;0")</f>
        <v>0</v>
      </c>
      <c r="DD111" s="6">
        <f>COUNTIFS(Tabela107122[Country],Tabela1[[#This Row],[Country]],Tabela107122[Kayak Cross Slalom Classification],"&gt;0")</f>
        <v>0</v>
      </c>
      <c r="DE111" s="6">
        <f>COUNTIFS(Table8[Country],Tabela1[[#This Row],[Country]],Table8[C1 200m Classification],"&gt;0")</f>
        <v>0</v>
      </c>
      <c r="DF111" s="6">
        <f>COUNTIFS(Table40[Country],Tabela1[[#This Row],[Country]],Table40[C1 1000m Classification],"&gt;0")</f>
        <v>0</v>
      </c>
      <c r="DG111" s="6">
        <f>COUNTIFS(Table68[Country],Tabela1[[#This Row],[Country]],Table68[Men''s C2 500m Classification],"&gt;0")</f>
        <v>0</v>
      </c>
      <c r="DH111" s="6">
        <f>COUNTIFS(Table68[Country],Tabela1[[#This Row],[Country]],Table68[Women''s C2 500m Classification],"&gt;0")</f>
        <v>0</v>
      </c>
      <c r="DI111" s="6">
        <f>COUNTIFS(Table8[Country],Tabela1[[#This Row],[Country]],Table8[K1 500m Classification],"&gt;0")</f>
        <v>0</v>
      </c>
      <c r="DJ111" s="6">
        <f>COUNTIFS(Table40[Country],Tabela1[[#This Row],[Country]],Table40[K1 1000m Classification],"&gt;0")</f>
        <v>0</v>
      </c>
      <c r="DK111" s="6">
        <f>COUNTIFS(Table68[Country],Tabela1[[#This Row],[Country]],Table68[Men''s K2 500m Classification],"&gt;0")</f>
        <v>0</v>
      </c>
      <c r="DL111" s="6">
        <f>COUNTIFS(Table68[Country],Tabela1[[#This Row],[Country]],Table68[Women''s K2 500m Classification],"&gt;0")</f>
        <v>0</v>
      </c>
      <c r="DM111" s="6">
        <f>COUNTIFS(Table83[Country],Tabela1[[#This Row],[Country]],Table83[Men''s K4 500m Classification],"&gt;0")</f>
        <v>0</v>
      </c>
      <c r="DN111" s="6">
        <f>COUNTIFS(Table83[Country],Tabela1[[#This Row],[Country]],Table83[Women''s K4 500m Classification],"&gt;0")</f>
        <v>0</v>
      </c>
      <c r="DO111" s="6">
        <f>COUNTIFS(Tabela126[Country],Tabela1[[#This Row],[Country]],Tabela126[Classification],"&gt;0")</f>
        <v>0</v>
      </c>
      <c r="DP111" s="6">
        <f>COUNTIFS(Tabela126130[Country],Tabela1[[#This Row],[Country]],Tabela126130[Classification],"&gt;0")</f>
        <v>0</v>
      </c>
      <c r="DQ111" s="6">
        <f>COUNTIFS(Table70[Country],Tabela1[[#This Row],[Country]],Table70[Classification],"&gt;0")</f>
        <v>0</v>
      </c>
      <c r="DR111" s="6">
        <f>COUNTIFS(Table80[Country],Tabela1[[#This Row],[Country]],Table80[Classification],"&gt;0")</f>
        <v>0</v>
      </c>
      <c r="DS111" s="6">
        <f>COUNTIFS(Table66[Country],Tabela1[[#This Row],[Country]],Table66[Classification],"&gt;0")</f>
        <v>0</v>
      </c>
      <c r="DT111" s="6">
        <f>COUNTIFS(Table67[Country],Tabela1[[#This Row],[Country]],Table67[Classification],"&gt;0")</f>
        <v>0</v>
      </c>
      <c r="DU111" s="6">
        <f>COUNTIFS(Table69[Country],Tabela1[[#This Row],[Country]],Table69[Keirin Classification],"&gt;0")</f>
        <v>0</v>
      </c>
      <c r="DV111" s="6">
        <f>COUNTIFS(Table41[Country],Tabela1[[#This Row],[Country]],Table41[Keirin Classification],"&gt;0")</f>
        <v>0</v>
      </c>
      <c r="DW111" s="6">
        <f>COUNTIFS(Table84[Country],Tabela1[[#This Row],[Country]],Table84[Men''s Madison Classification],"&gt;0")</f>
        <v>0</v>
      </c>
      <c r="DX111" s="6">
        <f>COUNTIFS(Table84[Country],Tabela1[[#This Row],[Country]],Table84[Women''s Madison Classification],"&gt;0")</f>
        <v>0</v>
      </c>
      <c r="DY111" s="6">
        <f>COUNTIFS(Table69[Country],Tabela1[[#This Row],[Country]],Table69[Omnium Classification],"&gt;0")</f>
        <v>0</v>
      </c>
      <c r="DZ111" s="6">
        <f>COUNTIFS(Table41[Country],Tabela1[[#This Row],[Country]],Table41[Omnium Classification],"&gt;0")</f>
        <v>0</v>
      </c>
      <c r="EA111" s="6">
        <f>COUNTIFS(Table9[Country],Tabela1[[#This Row],[Country]],Table9[Road Race Classification],"&gt;0")</f>
        <v>0</v>
      </c>
      <c r="EB111" s="6">
        <f>COUNTIFS(Table14[Country],Tabela1[[#This Row],[Country]],Table14[Road Race Classification],"&gt;0")</f>
        <v>0</v>
      </c>
      <c r="EC111" s="6">
        <f>COUNTIFS(Table69[Country],Tabela1[[#This Row],[Country]],Table69[Sprint Classification],"&gt;0")</f>
        <v>0</v>
      </c>
      <c r="ED111" s="6">
        <f>COUNTIFS(Table41[Country],Tabela1[[#This Row],[Country]],Table41[Sprint Classification],"&gt;0")</f>
        <v>0</v>
      </c>
      <c r="EE111" s="6">
        <f>COUNTIFS(Table85[Country],Tabela1[[#This Row],[Country]],Table85[Men''s Sprint Classification],"&gt;0")</f>
        <v>0</v>
      </c>
      <c r="EF111" s="6">
        <f>COUNTIFS(Table85[Country],Tabela1[[#This Row],[Country]],Table85[Women''s Sprint Classification],"&gt;0")</f>
        <v>0</v>
      </c>
      <c r="EG111" s="6">
        <f>COUNTIFS(Table85[Country],Tabela1[[#This Row],[Country]],Table85[Men''s Pursuit Classification],"&gt;0")</f>
        <v>0</v>
      </c>
      <c r="EH111" s="6">
        <f>COUNTIFS(Table85[Country],Tabela1[[#This Row],[Country]],Table85[Women''s Pursuit Classification],"&gt;0")</f>
        <v>0</v>
      </c>
      <c r="EI111" s="6">
        <f>COUNTIFS(Table9[Country],Tabela1[[#This Row],[Country]],Table9[Time-Trial Classification],"&gt;0")</f>
        <v>0</v>
      </c>
      <c r="EJ111" s="6">
        <f>COUNTIFS(Table14[Country],Tabela1[[#This Row],[Country]],Table14[Time-Trial Classification],"&gt;0")</f>
        <v>0</v>
      </c>
      <c r="EK111" s="6">
        <f>COUNTIFS(Table42[Country],Tabela1[[#This Row],[Country]],Table42[Springboard Classification],"&gt;0")</f>
        <v>0</v>
      </c>
      <c r="EL111" s="6">
        <f>COUNTIFS(Table43[Country],Tabela1[[#This Row],[Country]],Table43[Springboard Classification],"&gt;0")</f>
        <v>0</v>
      </c>
      <c r="EM111" s="6">
        <f>COUNTIFS(Table42[Country],Tabela1[[#This Row],[Country]],Table42[Platform Classification],"&gt;0")</f>
        <v>0</v>
      </c>
      <c r="EN111" s="6">
        <f>COUNTIFS(Table43[Country],Tabela1[[#This Row],[Country]],Table43[Platform Classification],"&gt;0")</f>
        <v>0</v>
      </c>
      <c r="EO111" s="6">
        <f>COUNTIFS(Table86[Country],Tabela1[[#This Row],[Country]],Table86[Men''s Synchronized Springboard Classification],"&gt;0")</f>
        <v>0</v>
      </c>
      <c r="EP111" s="6">
        <f>COUNTIFS(Table86[Country],Tabela1[[#This Row],[Country]],Table86[Women''s Synchronized Springboard Classification],"&gt;0")</f>
        <v>0</v>
      </c>
      <c r="EQ111" s="6">
        <f>COUNTIFS(Table86[Country],Tabela1[[#This Row],[Country]],Table86[Men''s Synchronized Platform Classification],"&gt;0")</f>
        <v>0</v>
      </c>
      <c r="ER111" s="6">
        <f>COUNTIFS(Table86[Country],Tabela1[[#This Row],[Country]],Table86[Women''s Synchronized Platform Classification],"&gt;0")</f>
        <v>0</v>
      </c>
      <c r="ES111" s="6">
        <f>COUNTIFS(Table44[Country],Tabela1[[#This Row],[Country]],Table44[Dressage Classification],"&gt;0")</f>
        <v>0</v>
      </c>
      <c r="ET111" s="6">
        <f>COUNTIFS(Table45[Country],Tabela1[[#This Row],[Country]],Table45[Dressage Classification],"&gt;0")</f>
        <v>0</v>
      </c>
      <c r="EU111" s="6">
        <f>COUNTIFS(Table44[Country],Tabela1[[#This Row],[Country]],Table44[Eventing Classification],"&gt;0")</f>
        <v>0</v>
      </c>
      <c r="EV111" s="6">
        <f>COUNTIFS(Table45[Country],Tabela1[[#This Row],[Country]],Table45[Eventing Classification],"&gt;0")</f>
        <v>0</v>
      </c>
      <c r="EW111" s="6">
        <f>COUNTIFS(Table44[Country],Tabela1[[#This Row],[Country]],Table44[Jumping Classification],"&gt;0")</f>
        <v>0</v>
      </c>
      <c r="EX111" s="6">
        <f>COUNTIFS(Table45[Country],Tabela1[[#This Row],[Country]],Table45[Jumping Classification],"&gt;0")</f>
        <v>0</v>
      </c>
      <c r="EY111" s="6">
        <f>COUNTIFS(Table10[Country],Tabela1[[#This Row],[Country]],Table10[Épée Classification],"&gt;0")</f>
        <v>0</v>
      </c>
      <c r="EZ111" s="6">
        <f>COUNTIFS(Table11[Country],Tabela1[[#This Row],[Country]],Table11[Épée Classification],"&gt;0")</f>
        <v>0</v>
      </c>
      <c r="FA111" s="6">
        <f>COUNTIFS(Table46[Country],Tabela1[[#This Row],[Country]],Table46[Men''s Épée Classification],"&gt;0")</f>
        <v>0</v>
      </c>
      <c r="FB111" s="6">
        <f>COUNTIFS(Table46[Country],Tabela1[[#This Row],[Country]],Table46[Women''s Épée Classification],"&gt;0")</f>
        <v>0</v>
      </c>
      <c r="FC111" s="6">
        <f>COUNTIFS(Table10[Country],Tabela1[[#This Row],[Country]],Table10[Foil Classification],"&gt;0")</f>
        <v>0</v>
      </c>
      <c r="FD111" s="6">
        <f>COUNTIFS(Table11[Country],Tabela1[[#This Row],[Country]],Table11[Foil Classification],"&gt;0")</f>
        <v>0</v>
      </c>
      <c r="FE111" s="6">
        <f>COUNTIFS(Table46[Country],Tabela1[[#This Row],[Country]],Table46[Men''s Foil Classification],"&gt;0")</f>
        <v>0</v>
      </c>
      <c r="FF111" s="6">
        <f>COUNTIFS(Table46[Country],Tabela1[[#This Row],[Country]],Table46[Women''s Foil Classification],"&gt;0")</f>
        <v>0</v>
      </c>
      <c r="FG111" s="6">
        <f>COUNTIFS(Table10[Country],Tabela1[[#This Row],[Country]],Table10[Sabre Classification],"&gt;0")</f>
        <v>0</v>
      </c>
      <c r="FH111" s="6">
        <f>COUNTIFS(Table11[Country],Tabela1[[#This Row],[Country]],Table11[Sabre Classification],"&gt;0")</f>
        <v>0</v>
      </c>
      <c r="FI111" s="6">
        <f>COUNTIFS(Table46[Country],Tabela1[[#This Row],[Country]],Table46[Men''s Sabre Classification],"&gt;0")</f>
        <v>0</v>
      </c>
      <c r="FJ111" s="6">
        <f>COUNTIFS(Table46[Country],Tabela1[[#This Row],[Country]],Table46[Women''s Sabre Classification],"&gt;0")</f>
        <v>0</v>
      </c>
      <c r="FK111" s="6">
        <f>COUNTIFS(Table91[Country],Tabela1[[#This Row],[Country]],Table91[Men''s Classification],"&gt;0")</f>
        <v>0</v>
      </c>
      <c r="FL111" s="6">
        <f>COUNTIFS(Table91[Country],Tabela1[[#This Row],[Country]],Table91[Women''s Classification],"&gt;0")</f>
        <v>0</v>
      </c>
      <c r="FM111" s="6">
        <f>COUNTIFS(Table9194[Country],Tabela1[[#This Row],[Country]],Table9194[Men''s Classification],"&gt;0")</f>
        <v>0</v>
      </c>
      <c r="FN111" s="6">
        <f>COUNTIFS(Table9194[Country],Tabela1[[#This Row],[Country]],Table9194[Women''s Classification],"&gt;0")</f>
        <v>0</v>
      </c>
      <c r="FO111" s="6">
        <f>COUNTIFS(Table71[Country],Tabela1[[#This Row],[Country]],Table71[Classification],"&gt;0")</f>
        <v>0</v>
      </c>
      <c r="FP111" s="6">
        <f>COUNTIFS(Table62[Country],Tabela1[[#This Row],[Country]],Table62[Classification],"&gt;0")</f>
        <v>0</v>
      </c>
      <c r="FQ111" s="6">
        <f>COUNTIFS(Table47[Country],Tabela1[[#This Row],[Country]],Table47[All-Around Classification],"&gt;0")</f>
        <v>0</v>
      </c>
      <c r="FR111" s="6">
        <f>COUNTIFS(Table48[Country],Tabela1[[#This Row],[Country]],Table48[All-Around Classification],"&gt;0")</f>
        <v>0</v>
      </c>
      <c r="FS111" s="6">
        <f>COUNTIFS(Table81[Country],Tabela1[[#This Row],[Country]],Table81[Men''s All-Around Classification],"&gt;0")</f>
        <v>0</v>
      </c>
      <c r="FT111" s="6">
        <f>COUNTIFS(Table81[Country],Tabela1[[#This Row],[Country]],Table81[Women''s All-Around Classification],"&gt;0")</f>
        <v>0</v>
      </c>
      <c r="FU111" s="6">
        <f>COUNTIFS(Table48[Country],Tabela1[[#This Row],[Country]],Table48[Balance Beam Classification],"&gt;0")</f>
        <v>0</v>
      </c>
      <c r="FV111" s="6">
        <f>COUNTIFS(Table47[Country],Tabela1[[#This Row],[Country]],Table47[Floor Exercise Classification],"&gt;0")</f>
        <v>0</v>
      </c>
      <c r="FW111" s="6">
        <f>COUNTIFS(Table48[Country],Tabela1[[#This Row],[Country]],Table48[Floor Exercise Classification],"&gt;0")</f>
        <v>0</v>
      </c>
      <c r="FX111" s="6">
        <f>COUNTIFS(Table47[Country],Tabela1[[#This Row],[Country]],Table47[Horizontal Bar Classification],"&gt;0")</f>
        <v>0</v>
      </c>
      <c r="FY111" s="6">
        <f>COUNTIFS(Table47[Country],Tabela1[[#This Row],[Country]],Table47[Parallel Bars Classification],"&gt;0")</f>
        <v>0</v>
      </c>
      <c r="FZ111" s="6">
        <f>COUNTIFS(Table47[Country],Tabela1[[#This Row],[Country]],Table47[Pommel Horse Classification],"&gt;0")</f>
        <v>0</v>
      </c>
      <c r="GA111" s="6">
        <f>COUNTIFS(Table47[Country],Tabela1[[#This Row],[Country]],Table47[Rings Classification],"&gt;0")</f>
        <v>0</v>
      </c>
      <c r="GB111" s="6">
        <f>COUNTIFS(Tabela132[Country],Tabela1[[#This Row],[Country]],Tabela132[Classification],"&gt;0")</f>
        <v>0</v>
      </c>
      <c r="GC111" s="6">
        <f>COUNTIFS(Tabela139[Country],Tabela1[[#This Row],[Country]],Tabela139[Classification],"&gt;0")</f>
        <v>0</v>
      </c>
      <c r="GD111" s="6">
        <f>COUNTIFS(Table48[Country],Tabela1[[#This Row],[Country]],Table48[Uneven Bars Classification],"&gt;0")</f>
        <v>0</v>
      </c>
      <c r="GE111" s="6">
        <f>COUNTIFS(Table47[Country],Tabela1[[#This Row],[Country]],Table47[Vault Classification],"&gt;0")</f>
        <v>0</v>
      </c>
      <c r="GF111" s="6">
        <f>COUNTIFS(Table48[Country],Tabela1[[#This Row],[Country]],Table48[Vault Classification],"&gt;0")</f>
        <v>0</v>
      </c>
      <c r="GG111" s="6">
        <f>COUNTIFS(Table919496[Country],Tabela1[[#This Row],[Country]],Table919496[Men''s Classification],"&gt;0")</f>
        <v>0</v>
      </c>
      <c r="GH111" s="6">
        <f>COUNTIFS(Table919496[Country],Tabela1[[#This Row],[Country]],Table919496[Women''s Classification],"&gt;0")</f>
        <v>0</v>
      </c>
      <c r="GI111" s="6">
        <f>COUNTIFS(Table12[Country],Tabela1[[#This Row],[Country]],Table12[60kg Classification],"&gt;0")</f>
        <v>0</v>
      </c>
      <c r="GJ111" s="6">
        <f>COUNTIFS(Table12[Country],Tabela1[[#This Row],[Country]],Table12[66kg Classification],"&gt;0")</f>
        <v>0</v>
      </c>
      <c r="GK111" s="6">
        <f>COUNTIFS(Table12[Country],Tabela1[[#This Row],[Country]],Table12[73kg Classification],"&gt;0")</f>
        <v>0</v>
      </c>
      <c r="GL111" s="6">
        <f>COUNTIFS(Table12[Country],Tabela1[[#This Row],[Country]],Table12[81kg Classification],"&gt;0")</f>
        <v>0</v>
      </c>
      <c r="GM111" s="6">
        <f>COUNTIFS(Table12[Country],Tabela1[[#This Row],[Country]],Table12[90kg Classification],"&gt;0")</f>
        <v>0</v>
      </c>
      <c r="GN111" s="6">
        <f>COUNTIFS(Table12[Country],Tabela1[[#This Row],[Country]],Table12[100kg Classification],"&gt;0")</f>
        <v>0</v>
      </c>
      <c r="GO111" s="6">
        <f>COUNTIFS(Table12[Country],Tabela1[[#This Row],[Country]],Table12[Plus 100kg Classification],"&gt;0")</f>
        <v>0</v>
      </c>
      <c r="GP111" s="6">
        <f>COUNTIFS(Table13[Country],Tabela1[[#This Row],[Country]],Table13[48kg Classification],"&gt;0")</f>
        <v>0</v>
      </c>
      <c r="GQ111" s="6">
        <f>COUNTIFS(Table13[Country],Tabela1[[#This Row],[Country]],Table13[52kg Classification],"&gt;0")</f>
        <v>0</v>
      </c>
      <c r="GR111" s="6">
        <f>COUNTIFS(Table13[Country],Tabela1[[#This Row],[Country]],Table13[57kg Classification],"&gt;0")</f>
        <v>0</v>
      </c>
      <c r="GS111" s="6">
        <f>COUNTIFS(Table13[Country],Tabela1[[#This Row],[Country]],Table13[63kg Classification],"&gt;0")</f>
        <v>0</v>
      </c>
      <c r="GT111" s="6">
        <f>COUNTIFS(Table13[Country],Tabela1[[#This Row],[Country]],Table13[70kg Classification],"&gt;0")</f>
        <v>0</v>
      </c>
      <c r="GU111" s="6">
        <f>COUNTIFS(Table13[Country],Tabela1[[#This Row],[Country]],Table13[78kg Classification],"&gt;0")</f>
        <v>0</v>
      </c>
      <c r="GV111" s="6">
        <f>COUNTIFS(Table13[Country],Tabela1[[#This Row],[Country]],Table13[Plus 78kg Classification],"&gt;0")</f>
        <v>0</v>
      </c>
      <c r="GW111" s="6">
        <f>COUNTIFS(Table82[Country],Tabela1[[#This Row],[Country]],Table82[Mixed Classification],"&gt;0")</f>
        <v>0</v>
      </c>
      <c r="GX111" s="6">
        <f>COUNTIFS(Table51[Country],Tabela1[[#This Row],[Country]],Table51[Classification],"&gt;0")</f>
        <v>0</v>
      </c>
      <c r="GY111" s="6">
        <f>COUNTIFS(Table52[Country],Tabela1[[#This Row],[Country]],Table52[Classification],"&gt;0")</f>
        <v>0</v>
      </c>
      <c r="GZ111" s="6">
        <f>COUNTIFS(Table32[Country],Tabela1[[#This Row],[Country]],Table32[All-Around Classification],"&gt;0")</f>
        <v>0</v>
      </c>
      <c r="HA111" s="6">
        <f>COUNTIFS(Table49[Country],Tabela1[[#This Row],[Country]],Table49[All-Around Classification],"&gt;0")</f>
        <v>0</v>
      </c>
      <c r="HB111" s="6">
        <f>COUNTIFS(Table26[Country],Tabela1[[#This Row],[Country]],Table26[Single Sculls Classification],"&gt;0")</f>
        <v>0</v>
      </c>
      <c r="HC111" s="6">
        <f>COUNTIFS(Table63[Country],Tabela1[[#This Row],[Country]],Table63[Single Sculls Classification],"&gt;0")</f>
        <v>0</v>
      </c>
      <c r="HD111" s="6">
        <f>COUNTIFS(Table16[Country],Tabela1[[#This Row],[Country]],Table16[Men''s Double Sculls Classification],"&gt;0")</f>
        <v>0</v>
      </c>
      <c r="HE111" s="6">
        <f>COUNTIFS(Table16[Country],Tabela1[[#This Row],[Country]],Table16[Women''s Double Sculls Classification],"&gt;0")</f>
        <v>0</v>
      </c>
      <c r="HF111" s="6">
        <f>COUNTIFS(Table72[Country],Tabela1[[#This Row],[Country]],Table72[Men''s Quadruple Sculls Classification],"&gt;0")</f>
        <v>0</v>
      </c>
      <c r="HG111" s="6">
        <f>COUNTIFS(Table72[Country],Tabela1[[#This Row],[Country]],Table72[Women''s Quadruple Sculls Classification],"&gt;0")</f>
        <v>0</v>
      </c>
      <c r="HH111" s="6">
        <f>COUNTIFS(Table16[Country],Tabela1[[#This Row],[Country]],Table16[Men''s Coxless Pairs Classification],"&gt;0")</f>
        <v>0</v>
      </c>
      <c r="HI111" s="6">
        <f>COUNTIFS(Table16[Country],Tabela1[[#This Row],[Country]],Table16[Women''s Coxless Pairs Classification],"&gt;0")</f>
        <v>0</v>
      </c>
      <c r="HJ111" s="6">
        <f>COUNTIFS(Table72[Country],Tabela1[[#This Row],[Country]],Table72[Men''s Coxless Fours Classification],"&gt;0")</f>
        <v>0</v>
      </c>
      <c r="HK111" s="6">
        <f>COUNTIFS(Table72[Country],Tabela1[[#This Row],[Country]],Table72[Women''s Coxless Fours Classification],"&gt;0")</f>
        <v>0</v>
      </c>
      <c r="HL111" s="6">
        <f>COUNTIFS(Table72[Country],Tabela1[[#This Row],[Country]],Table72[Men''s Eights Classification],"&gt;0")</f>
        <v>0</v>
      </c>
      <c r="HM111" s="6">
        <f>COUNTIFS(Table72[Country],Tabela1[[#This Row],[Country]],Table72[Women''s Eights Classification],"&gt;0")</f>
        <v>0</v>
      </c>
      <c r="HN111" s="6">
        <f>COUNTIFS(Table16[Country],Tabela1[[#This Row],[Country]],Table16[Men''s Lwt. Double Sculls Classification],"&gt;0")</f>
        <v>0</v>
      </c>
      <c r="HO111" s="6">
        <f>COUNTIFS(Table16[Country],Tabela1[[#This Row],[Country]],Table16[Women''s Lwt. Double Sculls Classification],"&gt;0")</f>
        <v>0</v>
      </c>
      <c r="HP111" s="6">
        <f>COUNTIFS(Table91949698[Country],Tabela1[[#This Row],[Country]],Table91949698[Men''s Classification],"&gt;0")</f>
        <v>0</v>
      </c>
      <c r="HQ111" s="6">
        <f>COUNTIFS(Table91949698[Country],Tabela1[[#This Row],[Country]],Table91949698[Women''s Classification],"&gt;0")</f>
        <v>0</v>
      </c>
      <c r="HR111" s="6">
        <f>COUNTIFS(Table25[Country],Tabela1[[#This Row],[Country]],Table25[Mixed 470 Classification],"&gt;0")</f>
        <v>0</v>
      </c>
      <c r="HS111" s="6">
        <f>COUNTIFS(Table25[Country],Tabela1[[#This Row],[Country]],Table25[Men''s 49er Classification],"&gt;0")</f>
        <v>0</v>
      </c>
      <c r="HT111" s="6">
        <f>COUNTIFS(Table25[Country],Tabela1[[#This Row],[Country]],Table25[Women''s 49er FX Classification],"&gt;0")</f>
        <v>0</v>
      </c>
      <c r="HU111" s="6">
        <f>COUNTIFS(Table17[Country],Tabela1[[#This Row],[Country]],Table17[Formula Kite Classification],"&gt;0")</f>
        <v>0</v>
      </c>
      <c r="HV111" s="6">
        <f>COUNTIFS(Table18[Country],Tabela1[[#This Row],[Country]],Table18[Formula Kite Classification],"&gt;0")</f>
        <v>0</v>
      </c>
      <c r="HW111" s="6">
        <f>COUNTIFS(Table17[Country],Tabela1[[#This Row],[Country]],Table17[ILCA 7 Classification],"&gt;0")</f>
        <v>0</v>
      </c>
      <c r="HX111" s="6">
        <f>COUNTIFS(Table18[Country],Tabela1[[#This Row],[Country]],Table18[ILCA 6 Classification],"&gt;0")</f>
        <v>0</v>
      </c>
      <c r="HY111" s="6">
        <f>COUNTIFS(Table17[Country],Tabela1[[#This Row],[Country]],Table17[IQFoil Classification],"&gt;0")</f>
        <v>0</v>
      </c>
      <c r="HZ111" s="6">
        <f>COUNTIFS(Table18[Country],Tabela1[[#This Row],[Country]],Table18[IQFoil Classification],"&gt;0")</f>
        <v>0</v>
      </c>
      <c r="IA111" s="6">
        <f>COUNTIFS(Table25[Country],Tabela1[[#This Row],[Country]],Table25[Mixed Nacra 17 Classification],"&gt;0")</f>
        <v>0</v>
      </c>
      <c r="IB111" s="6">
        <f>COUNTIFS(Table53[Country],Tabela1[[#This Row],[Country]],Table53[10m Air Pistol Classification],"&gt;0")</f>
        <v>0</v>
      </c>
      <c r="IC111" s="6">
        <f>COUNTIFS(Table19[Country],Tabela1[[#This Row],[Country]],Table19[10m Air Pistol Classification],"&gt;0")</f>
        <v>0</v>
      </c>
      <c r="ID111" s="6">
        <f>COUNTIFS(Table54[Country],Tabela1[[#This Row],[Country]],Table54[Mixed 10m Air Pistol Team Classification],"&gt;0")</f>
        <v>0</v>
      </c>
      <c r="IE111" s="6">
        <f>COUNTIFS(Table53[Country],Tabela1[[#This Row],[Country]],Table53[10m Air Rifle Classification],"&gt;0")</f>
        <v>0</v>
      </c>
      <c r="IF111" s="6">
        <f>COUNTIFS(Table19[Country],Tabela1[[#This Row],[Country]],Table19[10m Air Rifle Classification],"&gt;0")</f>
        <v>0</v>
      </c>
      <c r="IG111" s="6">
        <f>COUNTIFS(Table54[Country],Tabela1[[#This Row],[Country]],Table54[Mixed 10m Air Rifle Team Classification],"&gt;0")</f>
        <v>0</v>
      </c>
      <c r="IH111" s="6">
        <f>COUNTIFS(Table53[Country],Tabela1[[#This Row],[Country]],Table53[25m Rapid Fire Pistol Classification],"&gt;0")</f>
        <v>0</v>
      </c>
      <c r="II111" s="6">
        <f>COUNTIFS(Table19[Country],Tabela1[[#This Row],[Country]],Table19[25m Pistol Classification],"&gt;0")</f>
        <v>0</v>
      </c>
      <c r="IJ111" s="6">
        <f>COUNTIFS(Table53[Country],Tabela1[[#This Row],[Country]],Table53[50m Rifle 3 Positions Classification],"&gt;0")</f>
        <v>0</v>
      </c>
      <c r="IK111" s="6">
        <f>COUNTIFS(Table19[Country],Tabela1[[#This Row],[Country]],Table19[50m Rifle 3 Positions Classification],"&gt;0")</f>
        <v>0</v>
      </c>
      <c r="IL111" s="6">
        <f>COUNTIFS(Table53[Country],Tabela1[[#This Row],[Country]],Table53[Skeet Classification],"&gt;0")</f>
        <v>0</v>
      </c>
      <c r="IM111" s="6">
        <f>COUNTIFS(Table19[Country],Tabela1[[#This Row],[Country]],Table19[Skeet Classification],"&gt;0")</f>
        <v>0</v>
      </c>
      <c r="IN111" s="6">
        <f>COUNTIFS(Table54[Country],Tabela1[[#This Row],[Country]],Table54[Mixed Skeet Team Classification],"&gt;0")</f>
        <v>0</v>
      </c>
      <c r="IO111" s="6">
        <f>COUNTIFS(Table53[Country],Tabela1[[#This Row],[Country]],Table53[Trap Classification],"&gt;0")</f>
        <v>0</v>
      </c>
      <c r="IP111" s="6">
        <f>COUNTIFS(Table19[Country],Tabela1[[#This Row],[Country]],Table19[Trap Classification],"&gt;0")</f>
        <v>0</v>
      </c>
      <c r="IQ111" s="6">
        <f>COUNTIFS(Table73[Country],Tabela1[[#This Row],[Country]],Table73[Park Classification],"&gt;0")</f>
        <v>0</v>
      </c>
      <c r="IR111" s="6">
        <f>COUNTIFS(Table74[Country],Tabela1[[#This Row],[Country]],Table74[Park Classification],"&gt;0")</f>
        <v>0</v>
      </c>
      <c r="IS111" s="6">
        <f>COUNTIFS(Table73[Country],Tabela1[[#This Row],[Country]],Table73[Street Classification],"&gt;0")</f>
        <v>0</v>
      </c>
      <c r="IT111" s="6">
        <f>COUNTIFS(Table74[Country],Tabela1[[#This Row],[Country]],Table74[Street Classification],"&gt;0")</f>
        <v>0</v>
      </c>
      <c r="IU111" s="6">
        <f>COUNTIFS(Table75[Country],Tabela1[[#This Row],[Country]],Table75[Boulder and Lead Classification],"&gt;0")</f>
        <v>0</v>
      </c>
      <c r="IV111" s="6">
        <f>COUNTIFS(Table76[Country],Tabela1[[#This Row],[Country]],Table76[Boulder and Lead Classification],"&gt;0")</f>
        <v>0</v>
      </c>
      <c r="IW111" s="6">
        <f>COUNTIFS(Table75[Country],Tabela1[[#This Row],[Country]],Table75[Speed Classification],"&gt;0")</f>
        <v>0</v>
      </c>
      <c r="IX111" s="6">
        <f>COUNTIFS(Table76[Country],Tabela1[[#This Row],[Country]],Table76[Speed Classification],"&gt;0")</f>
        <v>0</v>
      </c>
      <c r="IY111" s="6">
        <f>COUNTIFS(Table64[Country],Tabela1[[#This Row],[Country]],Table64[Shortboard Classification],"&gt;0")</f>
        <v>0</v>
      </c>
      <c r="IZ111" s="6">
        <f>COUNTIFS(Table77[Country],Tabela1[[#This Row],[Country]],Table77[Shortboard Classification],"&gt;0")</f>
        <v>0</v>
      </c>
      <c r="JA111" s="6">
        <f>COUNTIFS(Table20[Country],Tabela1[[#This Row],[Country]],Table20[50m Freestyle Classification],"&gt;0")</f>
        <v>0</v>
      </c>
      <c r="JB111" s="6">
        <f>COUNTIFS(Table21[Country],Tabela1[[#This Row],[Country]],Table21[50m Freestyle Classification],"&gt;0")</f>
        <v>0</v>
      </c>
      <c r="JC111" s="6">
        <f>COUNTIFS(Table20[Country],Tabela1[[#This Row],[Country]],Table20[100m Freestyle Classification],"&gt;0")</f>
        <v>0</v>
      </c>
      <c r="JD111" s="6">
        <f>COUNTIFS(Table21[Country],Tabela1[[#This Row],[Country]],Table21[100m Freestyle Classification],"&gt;0")</f>
        <v>0</v>
      </c>
      <c r="JE111" s="6">
        <f>COUNTIFS(Table20[Country],Tabela1[[#This Row],[Country]],Table20[200m Freestyle Classification],"&gt;0")</f>
        <v>0</v>
      </c>
      <c r="JF111" s="6">
        <f>COUNTIFS(Table21[Country],Tabela1[[#This Row],[Country]],Table21[200m Freestyle Classification],"&gt;0")</f>
        <v>0</v>
      </c>
      <c r="JG111" s="6">
        <f>COUNTIFS(Table20[Country],Tabela1[[#This Row],[Country]],Table20[400m Freestyle Classification],"&gt;0")</f>
        <v>0</v>
      </c>
      <c r="JH111" s="6">
        <f>COUNTIFS(Table21[Country],Tabela1[[#This Row],[Country]],Table21[400m Freestyle Classification],"&gt;0")</f>
        <v>0</v>
      </c>
      <c r="JI111" s="6">
        <f>COUNTIFS(Table20[Country],Tabela1[[#This Row],[Country]],Table20[800m Freestyle Classification],"&gt;0")</f>
        <v>0</v>
      </c>
      <c r="JJ111" s="6">
        <f>COUNTIFS(Table21[Country],Tabela1[[#This Row],[Country]],Table21[800m Freestyle Classification],"&gt;0")</f>
        <v>0</v>
      </c>
      <c r="JK111" s="6">
        <f>COUNTIFS(Table20[Country],Tabela1[[#This Row],[Country]],Table20[1500m Freestyle Classification],"&gt;0")</f>
        <v>0</v>
      </c>
      <c r="JL111" s="6">
        <f>COUNTIFS(Table21[Country],Tabela1[[#This Row],[Country]],Table21[1500m Freestyle Classification],"&gt;0")</f>
        <v>0</v>
      </c>
      <c r="JM111" s="6">
        <f>COUNTIFS(Table20[Country],Tabela1[[#This Row],[Country]],Table20[100m Backstroke Classification],"&gt;0")</f>
        <v>0</v>
      </c>
      <c r="JN111" s="6">
        <f>COUNTIFS(Table21[Country],Tabela1[[#This Row],[Country]],Table21[100m Backstroke Classification],"&gt;0")</f>
        <v>0</v>
      </c>
      <c r="JO111" s="6">
        <f>COUNTIFS(Table20[Country],Tabela1[[#This Row],[Country]],Table20[200m Backstroke Classification],"&gt;0")</f>
        <v>0</v>
      </c>
      <c r="JP111" s="6">
        <f>COUNTIFS(Table21[Country],Tabela1[[#This Row],[Country]],Table21[200m Backstroke Classification],"&gt;0")</f>
        <v>0</v>
      </c>
      <c r="JQ111" s="6">
        <f>COUNTIFS(Table20[Country],Tabela1[[#This Row],[Country]],Table20[100m Breaststroke Classification],"&gt;0")</f>
        <v>0</v>
      </c>
      <c r="JR111" s="6">
        <f>COUNTIFS(Table21[Country],Tabela1[[#This Row],[Country]],Table21[100m Breaststroke Classification],"&gt;0")</f>
        <v>0</v>
      </c>
      <c r="JS111" s="6">
        <f>COUNTIFS(Table20[Country],Tabela1[[#This Row],[Country]],Table20[200m Breaststroke Classification],"&gt;0")</f>
        <v>0</v>
      </c>
      <c r="JT111" s="6">
        <f>COUNTIFS(Table21[Country],Tabela1[[#This Row],[Country]],Table21[200m Breaststroke Classification],"&gt;0")</f>
        <v>0</v>
      </c>
      <c r="JU111" s="6">
        <f>COUNTIFS(Table20[Country],Tabela1[[#This Row],[Country]],Table20[100m Butterfly Classification],"&gt;0")</f>
        <v>0</v>
      </c>
      <c r="JV111" s="6">
        <f>COUNTIFS(Table21[Country],Tabela1[[#This Row],[Country]],Table21[100m Butterfly Classification],"&gt;0")</f>
        <v>0</v>
      </c>
      <c r="JW111" s="6">
        <f>COUNTIFS(Table20[Country],Tabela1[[#This Row],[Country]],Table20[200m Butterfly Classification],"&gt;0")</f>
        <v>0</v>
      </c>
      <c r="JX111" s="6">
        <f>COUNTIFS(Table21[Country],Tabela1[[#This Row],[Country]],Table21[200m Butterfly Classification],"&gt;0")</f>
        <v>0</v>
      </c>
      <c r="JY111" s="6">
        <f>COUNTIFS(Table20[Country],Tabela1[[#This Row],[Country]],Table20[200m Medley Classification],"&gt;0")</f>
        <v>0</v>
      </c>
      <c r="JZ111" s="6">
        <f>COUNTIFS(Table21[Country],Tabela1[[#This Row],[Country]],Table21[200m Medley Classification],"&gt;0")</f>
        <v>0</v>
      </c>
      <c r="KA111" s="6">
        <f>COUNTIFS(Table20[Country],Tabela1[[#This Row],[Country]],Table20[400m Medley Classification],"&gt;0")</f>
        <v>0</v>
      </c>
      <c r="KB111" s="6">
        <f>COUNTIFS(Table21[Country],Tabela1[[#This Row],[Country]],Table21[400m Medley Classification],"&gt;0")</f>
        <v>0</v>
      </c>
      <c r="KC111" s="6">
        <f>COUNTIFS(Table78[Country],Tabela1[[#This Row],[Country]],Table78[Men''s 4x100m Freestyle Relay Classification],"&gt;0")</f>
        <v>0</v>
      </c>
      <c r="KD111" s="6">
        <f>COUNTIFS(Table78[Country],Tabela1[[#This Row],[Country]],Table78[Women''s 4x100m Freestyle Relay Classification],"&gt;0")</f>
        <v>0</v>
      </c>
      <c r="KE111" s="6">
        <f>COUNTIFS(Table78[Country],Tabela1[[#This Row],[Country]],Table78[Men''s 4x200m Freestyle Relay Classification],"&gt;0")</f>
        <v>0</v>
      </c>
      <c r="KF111" s="6">
        <f>COUNTIFS(Table78[Country],Tabela1[[#This Row],[Country]],Table78[Women''s 4x200m Freestyle Relay Classification],"&gt;0")</f>
        <v>0</v>
      </c>
      <c r="KG111" s="6">
        <f>COUNTIFS(Table78[Country],Tabela1[[#This Row],[Country]],Table78[Men''s 4x100m Medley Relay Classification],"&gt;0")</f>
        <v>0</v>
      </c>
      <c r="KH111" s="6">
        <f>COUNTIFS(Table78[Country],Tabela1[[#This Row],[Country]],Table78[Women''s 4x100m Medley Relay Classification],"&gt;0")</f>
        <v>0</v>
      </c>
      <c r="KI111" s="6">
        <f>COUNTIFS(Table78[Country],Tabela1[[#This Row],[Country]],Table78[Mixed 4x100m Medley Relay Classification],"&gt;0")</f>
        <v>0</v>
      </c>
      <c r="KJ111" s="6">
        <f>COUNTIFS(Table20[Country],Tabela1[[#This Row],[Country]],Table20[10km Open Water Classification],"&gt;0")</f>
        <v>0</v>
      </c>
      <c r="KK111" s="6">
        <f>COUNTIFS(Table21[Country],Tabela1[[#This Row],[Country]],Table21[10km Open Water Classification],"&gt;0")</f>
        <v>0</v>
      </c>
      <c r="KL111" s="6">
        <f>COUNTIFS(Table22[Country],Tabela1[[#This Row],[Country]],Table22[Classification],"&gt;0")</f>
        <v>0</v>
      </c>
      <c r="KM111" s="6">
        <f>COUNTIFS(Table30[Country],Tabela1[[#This Row],[Country]],Table30[Classification],"&gt;0")</f>
        <v>0</v>
      </c>
      <c r="KN111" s="6">
        <f>COUNTIFS(Table55[Country],Tabela1[[#This Row],[Country]],Table55[Men''s Classification],"&gt;0")</f>
        <v>0</v>
      </c>
      <c r="KO111" s="6">
        <f>COUNTIFS(Table55[Country],Tabela1[[#This Row],[Country]],Table55[Women''s Classification],"&gt;0")</f>
        <v>0</v>
      </c>
      <c r="KP111" s="6">
        <f>COUNTIFS(Table56[Country],Tabela1[[#This Row],[Country]],Table56[Mixed Classification],"&gt;0")</f>
        <v>0</v>
      </c>
      <c r="KQ111" s="6">
        <f>COUNTIFS(Table29[Country],Tabela1[[#This Row],[Country]],Table29[58kg Classification],"&gt;0")</f>
        <v>0</v>
      </c>
      <c r="KR111" s="6">
        <f>COUNTIFS(Table29[Country],Tabela1[[#This Row],[Country]],Table29[68kg Classification],"&gt;0")</f>
        <v>0</v>
      </c>
      <c r="KS111" s="6">
        <f>COUNTIFS(Table29[Country],Tabela1[[#This Row],[Country]],Table29[80kg Classification],"&gt;0")</f>
        <v>0</v>
      </c>
      <c r="KT111" s="6">
        <f>COUNTIFS(Table29[Country],Tabela1[[#This Row],[Country]],Table29[Plus 80kg Classification],"&gt;0")</f>
        <v>0</v>
      </c>
      <c r="KU111" s="6">
        <f>COUNTIFS(Table34[Country],Tabela1[[#This Row],[Country]],Table34[49kg Classification],"&gt;0")</f>
        <v>0</v>
      </c>
      <c r="KV111" s="6">
        <f>COUNTIFS(Table34[Country],Tabela1[[#This Row],[Country]],Table34[57kg Classification],"&gt;0")</f>
        <v>0</v>
      </c>
      <c r="KW111" s="6">
        <f>COUNTIFS(Table34[Country],Tabela1[[#This Row],[Country]],Table34[67kg Classification],"&gt;0")</f>
        <v>0</v>
      </c>
      <c r="KX111" s="6">
        <f>COUNTIFS(Table34[Country],Tabela1[[#This Row],[Country]],Table34[Plus 67kg Classification],"&gt;0")</f>
        <v>0</v>
      </c>
      <c r="KY111" s="6">
        <f>COUNTIFS(Table57[Country],Tabela1[[#This Row],[Country]],Table57[Classification],"&gt;0")</f>
        <v>0</v>
      </c>
      <c r="KZ111" s="6">
        <f>COUNTIFS(Table58[Country],Tabela1[[#This Row],[Country]],Table58[Classification],"&gt;0")</f>
        <v>0</v>
      </c>
      <c r="LA111" s="6">
        <f>COUNTIFS(Table79[Country],Tabela1[[#This Row],[Country]],Table79[Men''s Classification],"&gt;0")</f>
        <v>0</v>
      </c>
      <c r="LB111" s="6">
        <f>COUNTIFS(Table79[Country],Tabela1[[#This Row],[Country]],Table79[Women''s Classification],"&gt;0")</f>
        <v>0</v>
      </c>
      <c r="LC111" s="6">
        <f>COUNTIFS(Table79[Country],Tabela1[[#This Row],[Country]],Table79[Mixed Classification],"&gt;0")</f>
        <v>0</v>
      </c>
      <c r="LD111" s="6">
        <f>COUNTIFS(Table65[Country],Tabela1[[#This Row],[Country]],Table65[Classification],"&gt;0")</f>
        <v>0</v>
      </c>
      <c r="LE111" s="6">
        <f>COUNTIFS(Table59[Country],Tabela1[[#This Row],[Country]],Table59[Classification],"&gt;0")</f>
        <v>0</v>
      </c>
      <c r="LF111" s="6">
        <f>COUNTIFS(Table87[Country],Tabela1[[#This Row],[Country]],Table87[Mixed Relay Classification],"&gt;0")</f>
        <v>0</v>
      </c>
      <c r="LG111" s="6">
        <f>COUNTIFS(Table91949698100[Country],Tabela1[[#This Row],[Country]],Table91949698100[Men''s Classification],"&gt;0")</f>
        <v>0</v>
      </c>
      <c r="LH111" s="6">
        <f>COUNTIFS(Table91949698100[Country],Tabela1[[#This Row],[Country]],Table91949698100[Women''s Classification],"&gt;0")</f>
        <v>0</v>
      </c>
      <c r="LI111" s="6">
        <f>COUNTIFS(Table91949698100102[Country],Tabela1[[#This Row],[Country]],Table91949698100102[Men''s Classification],"&gt;0")</f>
        <v>0</v>
      </c>
      <c r="LJ111" s="6">
        <f>COUNTIFS(Table91949698100102[Country],Tabela1[[#This Row],[Country]],Table91949698100102[Women''s Classification],"&gt;0")</f>
        <v>0</v>
      </c>
      <c r="LK111" s="6">
        <f>COUNTIFS(Table23[Country],Tabela1[[#This Row],[Country]],Table23[61kg Classification],"&gt;0")</f>
        <v>0</v>
      </c>
      <c r="LL111" s="6">
        <f>COUNTIFS(Table23[Country],Tabela1[[#This Row],[Country]],Table23[73kg Classification],"&gt;0")</f>
        <v>0</v>
      </c>
      <c r="LM111" s="6">
        <f>COUNTIFS(Table23[Country],Tabela1[[#This Row],[Country]],Table23[89kg Classification],"&gt;0")</f>
        <v>0</v>
      </c>
      <c r="LN111" s="6">
        <f>COUNTIFS(Table23[Country],Tabela1[[#This Row],[Country]],Table23[102kg Classification],"&gt;0")</f>
        <v>0</v>
      </c>
      <c r="LO111" s="6">
        <f>COUNTIFS(Table23[Country],Tabela1[[#This Row],[Country]],Table23[Plus 102kg Classification],"&gt;0")</f>
        <v>0</v>
      </c>
      <c r="LP111" s="6">
        <f>COUNTIFS(Table28[Country],Tabela1[[#This Row],[Country]],Table28[49kg Classification],"&gt;0")</f>
        <v>0</v>
      </c>
      <c r="LQ111" s="6">
        <f>COUNTIFS(Table28[Country],Tabela1[[#This Row],[Country]],Table28[59kg Classification],"&gt;0")</f>
        <v>0</v>
      </c>
      <c r="LR111" s="6">
        <f>COUNTIFS(Table28[Country],Tabela1[[#This Row],[Country]],Table28[71kg Classification],"&gt;0")</f>
        <v>0</v>
      </c>
      <c r="LS111" s="6">
        <f>COUNTIFS(Table28[Country],Tabela1[[#This Row],[Country]],Table28[81kg Classification],"&gt;0")</f>
        <v>0</v>
      </c>
      <c r="LT111" s="6">
        <f>COUNTIFS(Table28[Country],Tabela1[[#This Row],[Country]],Table28[Plus 81kg Classification],"&gt;0")</f>
        <v>0</v>
      </c>
      <c r="LU111" s="6">
        <f>COUNTIFS(Table24[Country],Tabela1[[#This Row],[Country]],Table24[Freestyle 57kg Classification],"&gt;0")</f>
        <v>0</v>
      </c>
      <c r="LV111" s="6">
        <f>COUNTIFS(Table24[Country],Tabela1[[#This Row],[Country]],Table24[Freestyle 65kg Classification],"&gt;0")</f>
        <v>0</v>
      </c>
      <c r="LW111" s="6">
        <f>COUNTIFS(Table24[Country],Tabela1[[#This Row],[Country]],Table24[Freestyle 74kg Classification],"&gt;0")</f>
        <v>0</v>
      </c>
      <c r="LX111" s="6">
        <f>COUNTIFS(Table24[Country],Tabela1[[#This Row],[Country]],Table24[Freestyle 86kg Classification],"&gt;0")</f>
        <v>0</v>
      </c>
      <c r="LY111" s="6">
        <f>COUNTIFS(Table24[Country],Tabela1[[#This Row],[Country]],Table24[Freestyle 97kg Classification],"&gt;0")</f>
        <v>0</v>
      </c>
      <c r="LZ111" s="6">
        <f>COUNTIFS(Table24[Country],Tabela1[[#This Row],[Country]],Table24[Freestyle 125kg Classification],"&gt;0")</f>
        <v>0</v>
      </c>
      <c r="MA111" s="6">
        <f>COUNTIFS(Table24[Country],Tabela1[[#This Row],[Country]],Table24[Greco-Roman 60kg Classification],"&gt;0")</f>
        <v>0</v>
      </c>
      <c r="MB111" s="6">
        <f>COUNTIFS(Table24[Country],Tabela1[[#This Row],[Country]],Table24[Greco-Roman 67kg Classification],"&gt;0")</f>
        <v>0</v>
      </c>
      <c r="MC111" s="6">
        <f>COUNTIFS(Table24[Country],Tabela1[[#This Row],[Country]],Table24[Greco-Roman 77kg Classification],"&gt;0")</f>
        <v>0</v>
      </c>
      <c r="MD111" s="6">
        <f>COUNTIFS(Table24[Country],Tabela1[[#This Row],[Country]],Table24[Greco-Roman 87kg Classification],"&gt;0")</f>
        <v>0</v>
      </c>
      <c r="ME111" s="6">
        <f>COUNTIFS(Table24[Country],Tabela1[[#This Row],[Country]],Table24[Greco-Roman 97kg Classification],"&gt;0")</f>
        <v>0</v>
      </c>
      <c r="MF111" s="6">
        <f>COUNTIFS(Table24[Country],Tabela1[[#This Row],[Country]],Table24[Greco-Roman 130kg Classification],"&gt;0")</f>
        <v>0</v>
      </c>
      <c r="MG111" s="6">
        <f>COUNTIFS(Table31[Country],Tabela1[[#This Row],[Country]],Table31[50kg Classification],"&gt;0")</f>
        <v>0</v>
      </c>
      <c r="MH111" s="6">
        <f>COUNTIFS(Table31[Country],Tabela1[[#This Row],[Country]],Table31[53kg Classification],"&gt;0")</f>
        <v>0</v>
      </c>
      <c r="MI111" s="6">
        <f>COUNTIFS(Table31[Country],Tabela1[[#This Row],[Country]],Table31[57kg Classification],"&gt;0")</f>
        <v>0</v>
      </c>
      <c r="MJ111" s="6">
        <f>COUNTIFS(Table31[Country],Tabela1[[#This Row],[Country]],Table31[62kg Classification],"&gt;0")</f>
        <v>0</v>
      </c>
      <c r="MK111" s="6">
        <f>COUNTIFS(Table31[Country],Tabela1[[#This Row],[Country]],Table31[68kg Classification],"&gt;0")</f>
        <v>0</v>
      </c>
      <c r="ML111" s="6">
        <f>COUNTIFS(Table31[Country],Tabela1[[#This Row],[Country]],Table31[76kg Classification],"&gt;0")</f>
        <v>0</v>
      </c>
      <c r="MM111" s="6">
        <f>COUNTIFS(Table102[Country],Tabela1[[#This Row],[Country]],Table102[Downhill Classification],"&gt;0")</f>
        <v>0</v>
      </c>
      <c r="MN111" s="6">
        <f>COUNTIFS(Table102105[Country],Tabela1[[#This Row],[Country]],Table102105[Downhill Classification],"&gt;0")</f>
        <v>0</v>
      </c>
      <c r="MO111" s="6">
        <f>COUNTIFS(Table102[Country],Tabela1[[#This Row],[Country]],Table102[Giant Slalom Classification],"&gt;0")</f>
        <v>0</v>
      </c>
      <c r="MP111" s="6">
        <f>COUNTIFS(Table102105[Country],Tabela1[[#This Row],[Country]],Table102105[Giant Slalom Classification],"&gt;0")</f>
        <v>1</v>
      </c>
      <c r="MQ111" s="6">
        <f>COUNTIFS(Table102[Country],Tabela1[[#This Row],[Country]],Table102[Slalom Classification],"&gt;0")</f>
        <v>0</v>
      </c>
      <c r="MR111" s="6">
        <f>COUNTIFS(Table102105[Country],Tabela1[[#This Row],[Country]],Table102105[Slalom Classification],"&gt;0")</f>
        <v>1</v>
      </c>
      <c r="MS111" s="6">
        <f>COUNTIFS(Table102[Country],Tabela1[[#This Row],[Country]],Table102[Super-G Classification],"&gt;0")</f>
        <v>0</v>
      </c>
      <c r="MT111" s="6">
        <f>COUNTIFS(Table102105[Country],Tabela1[[#This Row],[Country]],Table102105[Super-G Classification],"&gt;0")</f>
        <v>0</v>
      </c>
      <c r="MU111" s="6">
        <f>COUNTIFS(Table105[Country],Tabela1[[#This Row],[Country]],Table105[Men''s Combined Classification],"&gt;0")</f>
        <v>0</v>
      </c>
      <c r="MV111" s="6">
        <f>COUNTIFS(Table105[Country],Tabela1[[#This Row],[Country]],Table105[Women''s Combined Classification],"&gt;0")</f>
        <v>0</v>
      </c>
      <c r="MW111" s="6">
        <f>COUNTIFS(Table106[Country],Tabela1[[#This Row],[Country]],Table106[Individual Classification],"&gt;0")</f>
        <v>0</v>
      </c>
      <c r="MX111" s="6">
        <f>COUNTIFS(Table106109[Country],Tabela1[[#This Row],[Country]],Table106109[Individual Classification],"&gt;0")</f>
        <v>0</v>
      </c>
      <c r="MY111" s="6">
        <f>COUNTIFS(Table106[Country],Tabela1[[#This Row],[Country]],Table106[Mass Start Classification],"&gt;0")</f>
        <v>0</v>
      </c>
      <c r="MZ111" s="6">
        <f>COUNTIFS(Table106109[Country],Tabela1[[#This Row],[Country]],Table106109[Mass Start Classification],"&gt;0")</f>
        <v>0</v>
      </c>
      <c r="NA111" s="6">
        <f>COUNTIFS(Table106[Country],Tabela1[[#This Row],[Country]],Table106[Pursuit Classification],"&gt;0")</f>
        <v>0</v>
      </c>
      <c r="NB111" s="6">
        <f>COUNTIFS(Table106109[Country],Tabela1[[#This Row],[Country]],Table106109[Pursuit Classification],"&gt;0")</f>
        <v>0</v>
      </c>
      <c r="NC111" s="6">
        <f>COUNTIFS(Table106[Country],Tabela1[[#This Row],[Country]],Table106[Sprint Classification],"&gt;0")</f>
        <v>0</v>
      </c>
      <c r="ND111" s="6">
        <f>COUNTIFS(Table106109[Country],Tabela1[[#This Row],[Country]],Table106109[Sprint Classification],"&gt;0")</f>
        <v>0</v>
      </c>
      <c r="NE111" s="6">
        <f>COUNTIFS(Table109[Country],Tabela1[[#This Row],[Country]],Table109[Men''s Relay Classification],"&gt;0")</f>
        <v>0</v>
      </c>
      <c r="NF111" s="6">
        <f>COUNTIFS(Table109[Country],Tabela1[[#This Row],[Country]],Table109[Women''s Relay Classification],"&gt;0")</f>
        <v>0</v>
      </c>
      <c r="NG111" s="6">
        <f>COUNTIFS(Table109[Country],Tabela1[[#This Row],[Country]],Table109[Mixed Relay Classification],"&gt;0")</f>
        <v>0</v>
      </c>
      <c r="NH111" s="6">
        <f>COUNTIFS(Table110[Country],Tabela1[[#This Row],[Country]],Table110[Monobob Classification],"&gt;0")</f>
        <v>0</v>
      </c>
      <c r="NI111" s="6">
        <f>COUNTIFS(Table111[Country],Tabela1[[#This Row],[Country]],Table111[Men''s Classification],"&gt;0")</f>
        <v>0</v>
      </c>
      <c r="NJ111" s="6">
        <f>COUNTIFS(Table111[Country],Tabela1[[#This Row],[Country]],Table111[Women''s Classification],"&gt;0")</f>
        <v>0</v>
      </c>
      <c r="NK111" s="6">
        <f>COUNTIFS(Table112[Country],Tabela1[[#This Row],[Country]],Table112[Men''s Four Classification],"&gt;0")</f>
        <v>0</v>
      </c>
      <c r="NL111" s="6">
        <f>COUNTIFS(Table113[Country],Tabela1[[#This Row],[Country]],Table113[Classical Classification],"&gt;0")</f>
        <v>0</v>
      </c>
      <c r="NM111" s="6">
        <f>COUNTIFS(Table113116[Country],Tabela1[[#This Row],[Country]],Table113116[Classical Classification],"&gt;0")</f>
        <v>0</v>
      </c>
      <c r="NN111" s="6">
        <f>COUNTIFS(Table113[Country],Tabela1[[#This Row],[Country]],Table113[Freestyle Classification],"&gt;0")</f>
        <v>0</v>
      </c>
      <c r="NO111" s="6">
        <f>COUNTIFS(Table113116[Country],Tabela1[[#This Row],[Country]],Table113116[Freestyle Classification],"&gt;0")</f>
        <v>0</v>
      </c>
      <c r="NP111" s="6">
        <f>COUNTIFS(Table117[Country],Tabela1[[#This Row],[Country]],Table117[Men''s Relay Classification],"&gt;0")</f>
        <v>0</v>
      </c>
      <c r="NQ111" s="6">
        <f>COUNTIFS(Table117[Country],Tabela1[[#This Row],[Country]],Table117[Women''s Relay Classification],"&gt;0")</f>
        <v>0</v>
      </c>
      <c r="NR111" s="6">
        <f>COUNTIFS(Table113[Country],Tabela1[[#This Row],[Country]],Table113[Skiathlon Classification],"&gt;0")</f>
        <v>0</v>
      </c>
      <c r="NS111" s="6">
        <f>COUNTIFS(Table113116[Country],Tabela1[[#This Row],[Country]],Table113116[Skiathlon Classification],"&gt;0")</f>
        <v>0</v>
      </c>
      <c r="NT111" s="6">
        <f>COUNTIFS(Table113[Country],Tabela1[[#This Row],[Country]],Table113[Sprint Classification],"&gt;0")</f>
        <v>0</v>
      </c>
      <c r="NU111" s="6">
        <f>COUNTIFS(Table113116[Country],Tabela1[[#This Row],[Country]],Table113116[Sprint Classification],"&gt;0")</f>
        <v>0</v>
      </c>
      <c r="NV111" s="6">
        <f>COUNTIFS(Table116[Country],Tabela1[[#This Row],[Country]],Table116[Men''s Team Sprint Classification],"&gt;0")</f>
        <v>0</v>
      </c>
      <c r="NW111" s="6">
        <f>COUNTIFS(Table116[Country],Tabela1[[#This Row],[Country]],Table116[Women''s Team Sprint Classification],"&gt;0")</f>
        <v>0</v>
      </c>
      <c r="NX111" s="6">
        <f>COUNTIFS(Table119[Country],Tabela1[[#This Row],[Country]],Table119[Men''s Classification],"&gt;0")</f>
        <v>0</v>
      </c>
      <c r="NY111" s="6">
        <f>COUNTIFS(Table119[Country],Tabela1[[#This Row],[Country]],Table119[Women''s Classification],"&gt;0")</f>
        <v>0</v>
      </c>
      <c r="NZ111" s="6">
        <f>COUNTIFS(Table118[Country],Tabela1[[#This Row],[Country]],Table118[Mixed Classification],"&gt;0")</f>
        <v>0</v>
      </c>
      <c r="OA111" s="6">
        <f>COUNTIFS(Table120[Country],Tabela1[[#This Row],[Country]],Table120[Classification],"&gt;0")</f>
        <v>0</v>
      </c>
      <c r="OB111" s="6">
        <f>COUNTIFS(Table120123[Country],Tabela1[[#This Row],[Country]],Table120123[Classification],"&gt;0")</f>
        <v>0</v>
      </c>
      <c r="OC111" s="6">
        <f>COUNTIFS(Table123[Country],Tabela1[[#This Row],[Country]],Table123[Ice Dance Classification],"&gt;0")</f>
        <v>0</v>
      </c>
      <c r="OD111" s="6">
        <f>COUNTIFS(Table123[Country],Tabela1[[#This Row],[Country]],Table123[Pair Skating Classification],"&gt;0")</f>
        <v>0</v>
      </c>
      <c r="OE111" s="6">
        <f>COUNTIFS(Table124[Country],Tabela1[[#This Row],[Country]],Table124[Mixed Classification],"&gt;0")</f>
        <v>0</v>
      </c>
      <c r="OF111" s="6">
        <f>COUNTIFS(Table125[Country],Tabela1[[#This Row],[Country]],Table125[Aerials Classification],"&gt;0")</f>
        <v>0</v>
      </c>
      <c r="OG111" s="6">
        <f>COUNTIFS(Table125128[Country],Tabela1[[#This Row],[Country]],Table125128[Aerials Classification],"&gt;0")</f>
        <v>0</v>
      </c>
      <c r="OH111" s="6">
        <f>COUNTIFS(Table128[Country],Tabela1[[#This Row],[Country]],Table128[Mixed Aerials Classification],"&gt;0")</f>
        <v>0</v>
      </c>
      <c r="OI111" s="6">
        <f>COUNTIFS(Table125[Country],Tabela1[[#This Row],[Country]],Table125[Big Air Classification],"&gt;0")</f>
        <v>0</v>
      </c>
      <c r="OJ111" s="6">
        <f>COUNTIFS(Table125128[Country],Tabela1[[#This Row],[Country]],Table125128[Big Air Classification],"&gt;0")</f>
        <v>0</v>
      </c>
      <c r="OK111" s="6">
        <f>COUNTIFS(Table125[Country],Tabela1[[#This Row],[Country]],Table125[Dual Moguls Classification],"&gt;0")</f>
        <v>0</v>
      </c>
      <c r="OL111" s="6">
        <f>COUNTIFS(Table125128[Country],Tabela1[[#This Row],[Country]],Table125128[Dual Moguls Classification],"&gt;0")</f>
        <v>0</v>
      </c>
      <c r="OM111" s="6">
        <f>COUNTIFS(Table125[Country],Tabela1[[#This Row],[Country]],Table125[Halfpipe Classification],"&gt;0")</f>
        <v>0</v>
      </c>
      <c r="ON111" s="6">
        <f>COUNTIFS(Table125128[Country],Tabela1[[#This Row],[Country]],Table125128[Halfpipe Classification],"&gt;0")</f>
        <v>0</v>
      </c>
      <c r="OO111" s="6">
        <f>COUNTIFS(Table125[Country],Tabela1[[#This Row],[Country]],Table125[Moguls Classification],"&gt;0")</f>
        <v>0</v>
      </c>
      <c r="OP111" s="6">
        <f>COUNTIFS(Table125128[Country],Tabela1[[#This Row],[Country]],Table125128[Moguls Classification],"&gt;0")</f>
        <v>0</v>
      </c>
      <c r="OQ111" s="6">
        <f>COUNTIFS(Table125[Country],Tabela1[[#This Row],[Country]],Table125[Ski Cross Classification],"&gt;0")</f>
        <v>0</v>
      </c>
      <c r="OR111" s="6">
        <f>COUNTIFS(Table125128[Country],Tabela1[[#This Row],[Country]],Table125128[Ski Cross Classification],"&gt;0")</f>
        <v>0</v>
      </c>
      <c r="OS111" s="6">
        <f>COUNTIFS(Table125[Country],Tabela1[[#This Row],[Country]],Table125[Slopestyle Classification],"&gt;0")</f>
        <v>0</v>
      </c>
      <c r="OT111" s="6">
        <f>COUNTIFS(Table125128[Country],Tabela1[[#This Row],[Country]],Table125128[Slopestyle Classification],"&gt;0")</f>
        <v>0</v>
      </c>
      <c r="OU111" s="6">
        <f>COUNTIFS(Table119131[Country],Tabela1[[#This Row],[Country]],Table119131[Men''s Classification],"&gt;0")</f>
        <v>0</v>
      </c>
      <c r="OV111" s="6">
        <f>COUNTIFS(Table119131[Country],Tabela1[[#This Row],[Country]],Table119131[Women''s Classification],"&gt;0")</f>
        <v>0</v>
      </c>
      <c r="OW111" s="6">
        <f>COUNTIFS(Table131[Country],Tabela1[[#This Row],[Country]],Table131[Classification],"&gt;0")</f>
        <v>0</v>
      </c>
      <c r="OX111" s="6">
        <f>COUNTIFS(Table131134[Country],Tabela1[[#This Row],[Country]],Table131134[Classification],"&gt;0")</f>
        <v>0</v>
      </c>
      <c r="OY111" s="6">
        <f>COUNTIFS(Table134[Country],Tabela1[[#This Row],[Country]],Table134[Men''s Classification],"&gt;0")</f>
        <v>0</v>
      </c>
      <c r="OZ111" s="6">
        <f>COUNTIFS(Table134[Country],Tabela1[[#This Row],[Country]],Table134[Women''s Classification],"&gt;0")</f>
        <v>0</v>
      </c>
      <c r="PA111" s="6">
        <f>COUNTIFS(Table135[Country],Tabela1[[#This Row],[Country]],Table135[Mixed Relay Classification],"&gt;0")</f>
        <v>0</v>
      </c>
      <c r="PB111" s="6">
        <f>COUNTIFS(Table136[Country],Tabela1[[#This Row],[Country]],Table136[Individual Classification],"&gt;0")</f>
        <v>0</v>
      </c>
      <c r="PC111" s="6">
        <f>COUNTIFS(Table136[Country],Tabela1[[#This Row],[Country]],Table136[Sprint Classification],"&gt;0")</f>
        <v>0</v>
      </c>
      <c r="PD111" s="6">
        <f>COUNTIFS(Table137[Country],Tabela1[[#This Row],[Country]],Table137[Men''s Team Sprint Large Hill Classification],"&gt;0")</f>
        <v>0</v>
      </c>
      <c r="PE111" s="6">
        <f>COUNTIFS(Table138[Country],Tabela1[[#This Row],[Country]],Table138[500m Classification],"&gt;0")</f>
        <v>0</v>
      </c>
      <c r="PF111" s="6">
        <f>COUNTIFS(Table138141[Country],Tabela1[[#This Row],[Country]],Table138141[500m Classification],"&gt;0")</f>
        <v>0</v>
      </c>
      <c r="PG111" s="6">
        <f>COUNTIFS(Table138[Country],Tabela1[[#This Row],[Country]],Table138[1000m Classification],"&gt;0")</f>
        <v>0</v>
      </c>
      <c r="PH111" s="6">
        <f>COUNTIFS(Table138141[Country],Tabela1[[#This Row],[Country]],Table138141[1000m Classification],"&gt;0")</f>
        <v>0</v>
      </c>
      <c r="PI111" s="6">
        <f>COUNTIFS(Table138[Country],Tabela1[[#This Row],[Country]],Table138[1500m Classification],"&gt;0")</f>
        <v>0</v>
      </c>
      <c r="PJ111" s="6">
        <f>COUNTIFS(Table138141[Country],Tabela1[[#This Row],[Country]],Table138141[1500m Classification],"&gt;0")</f>
        <v>0</v>
      </c>
      <c r="PK111" s="6">
        <f>COUNTIFS(Table141[Country],Tabela1[[#This Row],[Country]],Table141[Men''s 5000m Relay Classification],"&gt;0")</f>
        <v>0</v>
      </c>
      <c r="PL111" s="6">
        <f>COUNTIFS(Table141[Country],Tabela1[[#This Row],[Country]],Table141[Women''s 3000m Relay Classification],"&gt;0")</f>
        <v>0</v>
      </c>
      <c r="PM111" s="6">
        <f>COUNTIFS(Table141[Country],Tabela1[[#This Row],[Country]],Table141[Mixed 2000m Relay Classification],"&gt;0")</f>
        <v>0</v>
      </c>
      <c r="PN111" s="6">
        <f>COUNTIFS(Table142[Country],Tabela1[[#This Row],[Country]],Table142[Classification],"&gt;0")</f>
        <v>0</v>
      </c>
      <c r="PO111" s="6">
        <f>COUNTIFS(Table142145[Country],Tabela1[[#This Row],[Country]],Table142145[Classification],"&gt;0")</f>
        <v>0</v>
      </c>
      <c r="PP111" s="6">
        <f>COUNTIFS(Tabela15[Country],Tabela1[[#This Row],[Country]],Tabela15[Mixed Team Classification],"&gt;0")</f>
        <v>0</v>
      </c>
      <c r="PQ111" s="6">
        <f>COUNTIFS(Table145[Country],Tabela1[[#This Row],[Country]],Table145[Large Hill Classification],"&gt;0")</f>
        <v>0</v>
      </c>
      <c r="PR111" s="6">
        <f>COUNTIFS(Table145[Country],Tabela1[[#This Row],[Country]],Table145[Normal Hill Classification],"&gt;0")</f>
        <v>0</v>
      </c>
      <c r="PS111" s="6">
        <f>COUNTIFS(Table145148[Country],Tabela1[[#This Row],[Country]],Table145148[Large Hill Classification],"&gt;0")</f>
        <v>0</v>
      </c>
      <c r="PT111" s="6">
        <f>COUNTIFS(Table145148[Country],Tabela1[[#This Row],[Country]],Table145148[Normal Hill Classification],"&gt;0")</f>
        <v>0</v>
      </c>
      <c r="PU111" s="6">
        <f>COUNTIFS(Table148[Country],Tabela1[[#This Row],[Country]],Table148[Men''s Super Team Classification],"&gt;0")</f>
        <v>0</v>
      </c>
      <c r="PV111" s="6">
        <f>COUNTIFS(Tabela114[Country],Tabela1[[#This Row],[Country]],Tabela114[Mixed Normal Hill Classification],"&gt;0")</f>
        <v>0</v>
      </c>
      <c r="PW111" s="6">
        <f>COUNTIFS(Tabela50[Country],Tabela1[[#This Row],[Country]],Tabela50[Sprint Classification],"&gt;0")</f>
        <v>0</v>
      </c>
      <c r="PX111" s="6">
        <f>COUNTIFS(Tabela50101[Country],Tabela1[[#This Row],[Country]],Tabela50101[Sprint Classification],"&gt;0")</f>
        <v>0</v>
      </c>
      <c r="PY111" s="6">
        <f>COUNTIFS(Tabela103[Country],Tabela1[[#This Row],[Country]],Tabela103[Mixed Relay Classification],"&gt;0")</f>
        <v>0</v>
      </c>
      <c r="PZ111" s="6">
        <f>COUNTIFS(Table149[Country],Tabela1[[#This Row],[Country]],Table149[Big Air Classification],"&gt;0")</f>
        <v>0</v>
      </c>
      <c r="QA111" s="6">
        <f>COUNTIFS(Table149152[Country],Tabela1[[#This Row],[Country]],Table149152[Big Air Classification],"&gt;0")</f>
        <v>0</v>
      </c>
      <c r="QB111" s="6">
        <f>COUNTIFS(Table149[Country],Tabela1[[#This Row],[Country]],Table149[Halfpipe Classification],"&gt;0")</f>
        <v>0</v>
      </c>
      <c r="QC111" s="6">
        <f>COUNTIFS(Table149152[Country],Tabela1[[#This Row],[Country]],Table149152[Halfpipe Classification],"&gt;0")</f>
        <v>0</v>
      </c>
      <c r="QD111" s="6">
        <f>COUNTIFS(Table149[Country],Tabela1[[#This Row],[Country]],Table149[Parallel Giant Slalom Classification],"&gt;0")</f>
        <v>0</v>
      </c>
      <c r="QE111" s="6">
        <f>COUNTIFS(Table149152[Country],Tabela1[[#This Row],[Country]],Table149152[Parallel Giant Slalom Classification],"&gt;0")</f>
        <v>0</v>
      </c>
      <c r="QF111" s="6">
        <f>COUNTIFS(Table149[Country],Tabela1[[#This Row],[Country]],Table149[Slopestyle Classification],"&gt;0")</f>
        <v>0</v>
      </c>
      <c r="QG111" s="6">
        <f>COUNTIFS(Table149152[Country],Tabela1[[#This Row],[Country]],Table149152[Slopestyle Classification],"&gt;0")</f>
        <v>0</v>
      </c>
      <c r="QH111" s="6">
        <f>COUNTIFS(Table149[Country],Tabela1[[#This Row],[Country]],Table149[Snowboard Cross Classification],"&gt;0")</f>
        <v>0</v>
      </c>
      <c r="QI111" s="6">
        <f>COUNTIFS(Table149152[Country],Tabela1[[#This Row],[Country]],Table149152[Snowboard Cross Classification],"&gt;0")</f>
        <v>0</v>
      </c>
      <c r="QJ111" s="6">
        <f>COUNTIFS(Table153[Country],Tabela1[[#This Row],[Country]],Table153[Mixed Team Snowboard Cross Classification],"&gt;0")</f>
        <v>0</v>
      </c>
      <c r="QK111" s="6">
        <f>COUNTIFS(Table154[Country],Tabela1[[#This Row],[Country]],Table154[500m Classification],"&gt;0")</f>
        <v>0</v>
      </c>
      <c r="QL111" s="6">
        <f>COUNTIFS(Table154157[Country],Tabela1[[#This Row],[Country]],Table154157[500m Classification],"&gt;0")</f>
        <v>0</v>
      </c>
      <c r="QM111" s="6">
        <f>COUNTIFS(Table154[Country],Tabela1[[#This Row],[Country]],Table154[1000m Classification],"&gt;0")</f>
        <v>0</v>
      </c>
      <c r="QN111" s="6">
        <f>COUNTIFS(Table154157[Country],Tabela1[[#This Row],[Country]],Table154157[1000m Classification],"&gt;0")</f>
        <v>0</v>
      </c>
      <c r="QO111" s="6">
        <f>COUNTIFS(Table154[Country],Tabela1[[#This Row],[Country]],Table154[1500m Classification],"&gt;0")</f>
        <v>0</v>
      </c>
      <c r="QP111" s="6">
        <f>COUNTIFS(Table154157[Country],Tabela1[[#This Row],[Country]],Table154157[1500m Classification],"&gt;0")</f>
        <v>0</v>
      </c>
      <c r="QQ111" s="6">
        <f>COUNTIFS(Table154157[Country],Tabela1[[#This Row],[Country]],Table154157[3000m Classification],"&gt;0")</f>
        <v>0</v>
      </c>
      <c r="QR111" s="6">
        <f>COUNTIFS(Table154[Country],Tabela1[[#This Row],[Country]],Table154[5000m Classification],"&gt;0")</f>
        <v>0</v>
      </c>
      <c r="QS111" s="6">
        <f>COUNTIFS(Table154157[Country],Tabela1[[#This Row],[Country]],Table154157[5000m Classification],"&gt;0")</f>
        <v>0</v>
      </c>
      <c r="QT111" s="6">
        <f>COUNTIFS(Table154[Country],Tabela1[[#This Row],[Country]],Table154[10000m Classification],"&gt;0")</f>
        <v>0</v>
      </c>
      <c r="QU111" s="6">
        <f>COUNTIFS(Table154[Country],Tabela1[[#This Row],[Country]],Table154[Mass Start Classification],"&gt;0")</f>
        <v>0</v>
      </c>
      <c r="QV111" s="6">
        <f>COUNTIFS(Table154157[Country],Tabela1[[#This Row],[Country]],Table154157[Mass Start Classification],"&gt;0")</f>
        <v>0</v>
      </c>
      <c r="QW111" s="6">
        <f>COUNTIFS(Table157[Country],Tabela1[[#This Row],[Country]],Table157[Men''s Pursuit Classification],"&gt;0")</f>
        <v>0</v>
      </c>
      <c r="QX111" s="6">
        <f>COUNTIFS(Table157[Country],Tabela1[[#This Row],[Country]],Table157[Women''s Pursuit Classification],"&gt;0")</f>
        <v>0</v>
      </c>
      <c r="QY111" s="3" t="s">
        <v>497</v>
      </c>
    </row>
    <row r="112" spans="1:467" x14ac:dyDescent="0.3">
      <c r="A112" s="6">
        <v>111</v>
      </c>
      <c r="B112" s="6" t="s">
        <v>688</v>
      </c>
      <c r="C112" t="e" vm="111">
        <f>IF(ISBLANK(Tabela1[[#This Row],[Image Link]]), "", _xlfn.IMAGE(Tabela1[[#This Row],[Image Link]],1,1))</f>
        <v>#VALUE!</v>
      </c>
      <c r="D112" s="6">
        <f>SUM(Tabela1[[#This Row],[Archery - Men''s Individual Recurve]:[Speed Skating - Women''s Team Pursuit]])</f>
        <v>3</v>
      </c>
      <c r="E112" s="6">
        <f>COUNTIF(Tabela1[[#This Row],[Archery - Men''s Individual Recurve]:[Speed Skating - Women''s Team Pursuit]],"&gt;0")</f>
        <v>3</v>
      </c>
      <c r="F112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12" s="6">
        <f>SUM(Tabela1[[#This Row],[Archery - Men''s Individual Recurve]:[Wrestling - Women''s Freestyle 76kg]])</f>
        <v>3</v>
      </c>
      <c r="H112" s="6">
        <f>SUM(Tabela1[[#This Row],[Alpine Skiing - Men''s Downhill]:[Speed Skating - Women''s Team Pursuit]])</f>
        <v>0</v>
      </c>
      <c r="I112" s="6">
        <f>Tabela1[[#This Row],[Summer Gold Medals]]+Tabela1[[#This Row],[Winter Gold Medals]]</f>
        <v>0</v>
      </c>
      <c r="J112" s="6">
        <f>Tabela1[[#This Row],[Summer Silver Medals]]+Tabela1[[#This Row],[Winter Silver Medals]]</f>
        <v>0</v>
      </c>
      <c r="K112" s="6">
        <f>Tabela1[[#This Row],[Summer Bronze Medals]]+Tabela1[[#This Row],[Winter Bronze Medals]]</f>
        <v>0</v>
      </c>
      <c r="L112" s="6">
        <f>SUM(Tabela1[[#This Row],[Total Gold Medals]:[Total Bronze Medals]])</f>
        <v>0</v>
      </c>
      <c r="M112" s="6"/>
      <c r="N112" s="6"/>
      <c r="O112" s="6"/>
      <c r="P112" s="6">
        <f>SUM(Tabela1[[#This Row],[Summer Gold Medals]:[Summer Bronze Medals]])</f>
        <v>0</v>
      </c>
      <c r="Q112" s="6"/>
      <c r="R112" s="6"/>
      <c r="S112" s="6"/>
      <c r="T112" s="6">
        <f>Tabela1[[#This Row],[Winter Gold Medals]]+Tabela1[[#This Row],[Winter Silver Medals]]+Tabela1[[#This Row],[Winter Bronze Medals]]</f>
        <v>0</v>
      </c>
      <c r="U112" s="7">
        <f>Tabela1[[#This Row],[Total Medals]]/Tabela1[[#This Row],[Total Quotas]]</f>
        <v>0</v>
      </c>
      <c r="V112" s="6">
        <f>COUNTIFS(Table3[Country],Tabela1[[#This Row],[Country]],Table3[Recurve Classification],"&gt;0")</f>
        <v>0</v>
      </c>
      <c r="W112" s="6">
        <f>COUNTIFS(Table33[Country],Tabela1[[#This Row],[Country]],Table33[Recurve Classification],"&gt;0")</f>
        <v>0</v>
      </c>
      <c r="X112" s="6">
        <f>COUNTIFS(Table35[Country],Tabela1[[#This Row],[Country]],Table35[Men''s Team Recurve Classification],"&gt;0")</f>
        <v>0</v>
      </c>
      <c r="Y112" s="6">
        <f>COUNTIFS(Table35[Country],Tabela1[[#This Row],[Country]],Table35[Women''s Team Recurve Classification],"&gt;0")</f>
        <v>0</v>
      </c>
      <c r="Z112" s="6">
        <f>COUNTIFS(Tabela88[Country],Tabela1[[#This Row],[Country]],Tabela88[Mixed Team Recurve Classification],"&gt;0")</f>
        <v>0</v>
      </c>
      <c r="AA112" s="6">
        <f>COUNTIFS(Table36[Country],Tabela1[[#This Row],[Country]],Table36[Classification],"&gt;0")</f>
        <v>0</v>
      </c>
      <c r="AB112" s="6">
        <f>COUNTIFS(Table37[Country],Tabela1[[#This Row],[Country]],Table37[Classification],"&gt;0")</f>
        <v>0</v>
      </c>
      <c r="AC112" s="6">
        <f>COUNTIFS(Table4[Country],Tabela1[[#This Row],[Country]],Table4[100m Classification],"&gt;0")</f>
        <v>0</v>
      </c>
      <c r="AD112" s="6">
        <f>COUNTIFS(Table5[Country],Tabela1[[#This Row],[Country]],Table5[100m Classification],"&gt;0")</f>
        <v>0</v>
      </c>
      <c r="AE112" s="6">
        <f>COUNTIFS(Table4[Country],Tabela1[[#This Row],[Country]],Table4[200m Classification],"&gt;0")</f>
        <v>0</v>
      </c>
      <c r="AF112" s="6">
        <f>COUNTIFS(Table5[Country],Tabela1[[#This Row],[Country]],Table5[200m Classification],"&gt;0")</f>
        <v>0</v>
      </c>
      <c r="AG112" s="6">
        <f>COUNTIFS(Table4[Country],Tabela1[[#This Row],[Country]],Table4[400m Classification],"&gt;0")</f>
        <v>0</v>
      </c>
      <c r="AH112" s="6">
        <f>COUNTIFS(Table5[Country],Tabela1[[#This Row],[Country]],Table5[400m Classification],"&gt;0")</f>
        <v>0</v>
      </c>
      <c r="AI112" s="6">
        <f>COUNTIFS(Table4[Country],Tabela1[[#This Row],[Country]],Table4[800m Classification],"&gt;0")</f>
        <v>0</v>
      </c>
      <c r="AJ112" s="6">
        <f>COUNTIFS(Table5[Country],Tabela1[[#This Row],[Country]],Table5[800m Classification],"&gt;0")</f>
        <v>0</v>
      </c>
      <c r="AK112" s="6">
        <f>COUNTIFS(Table4[Country],Tabela1[[#This Row],[Country]],Table4[1500m Classification],"&gt;0")</f>
        <v>0</v>
      </c>
      <c r="AL112" s="6">
        <f>COUNTIFS(Table5[Country],Tabela1[[#This Row],[Country]],Table5[1500m Classification],"&gt;0")</f>
        <v>0</v>
      </c>
      <c r="AM112" s="6">
        <f>COUNTIFS(Table4[Country],Tabela1[[#This Row],[Country]],Table4[5000m Classification],"&gt;0")</f>
        <v>0</v>
      </c>
      <c r="AN112" s="6">
        <f>COUNTIFS(Table5[Country],Tabela1[[#This Row],[Country]],Table5[5000m Classification],"&gt;0")</f>
        <v>0</v>
      </c>
      <c r="AO112" s="6">
        <f>COUNTIFS(Table4[Country],Tabela1[[#This Row],[Country]],Table4[10000m Classification],"&gt;0")</f>
        <v>0</v>
      </c>
      <c r="AP112" s="6">
        <f>COUNTIFS(Table5[Country],Tabela1[[#This Row],[Country]],Table5[10000m Classification],"&gt;0")</f>
        <v>0</v>
      </c>
      <c r="AQ112" s="6">
        <f>COUNTIFS(Table4[Country],Tabela1[[#This Row],[Country]],Table4[110m Hurdles Classification],"&gt;0")</f>
        <v>0</v>
      </c>
      <c r="AR112" s="6">
        <f>COUNTIFS(Table5[Country],Tabela1[[#This Row],[Country]],Table5[100m Hurdles Classification],"&gt;0")</f>
        <v>0</v>
      </c>
      <c r="AS112" s="6">
        <f>COUNTIFS(Table4[Country],Tabela1[[#This Row],[Country]],Table4[400m Hurdles Classification],"&gt;0")</f>
        <v>0</v>
      </c>
      <c r="AT112" s="6">
        <f>COUNTIFS(Table5[Country],Tabela1[[#This Row],[Country]],Table5[400m Hurdles Classification],"&gt;0")</f>
        <v>0</v>
      </c>
      <c r="AU112" s="6">
        <f>COUNTIFS(Table4[Country],Tabela1[[#This Row],[Country]],Table4[3000m Steeplechase Classification],"&gt;0")</f>
        <v>0</v>
      </c>
      <c r="AV112" s="6">
        <f>COUNTIFS(Table5[Country],Tabela1[[#This Row],[Country]],Table5[3000m Steeplechase Classification],"&gt;0")</f>
        <v>0</v>
      </c>
      <c r="AW112" s="6">
        <f>COUNTIFS(Table27[Country],Tabela1[[#This Row],[Country]],Table27[Men''s 4x100m Relay Classification],"&gt;0")</f>
        <v>0</v>
      </c>
      <c r="AX112" s="6">
        <f>COUNTIFS(Table27[Country],Tabela1[[#This Row],[Country]],Table27[Women''s 4x100m Relay Classification],"&gt;0")</f>
        <v>0</v>
      </c>
      <c r="AY112" s="6">
        <f>COUNTIFS(Table27[Country],Tabela1[[#This Row],[Country]],Table27[Men''s 4x400m Relay Classification],"&gt;0")</f>
        <v>0</v>
      </c>
      <c r="AZ112" s="6">
        <f>COUNTIFS(Table27[Country],Tabela1[[#This Row],[Country]],Table27[Women''s 4x400m Relay Classification],"&gt;0")</f>
        <v>0</v>
      </c>
      <c r="BA112" s="6">
        <f>COUNTIFS(Table27[Country],Tabela1[[#This Row],[Country]],Table27[Mixed 4x400m Relay Classification],"&gt;0")</f>
        <v>0</v>
      </c>
      <c r="BB112" s="6">
        <f>COUNTIFS(Table4[Country],Tabela1[[#This Row],[Country]],Table4[Marathon Classification],"&gt;0")</f>
        <v>0</v>
      </c>
      <c r="BC112" s="6">
        <f>COUNTIFS(Table5[Country],Tabela1[[#This Row],[Country]],Table5[Marathon Classification],"&gt;0")</f>
        <v>0</v>
      </c>
      <c r="BD112" s="6">
        <f>COUNTIFS(Table4[Country],Tabela1[[#This Row],[Country]],Table4[20km Race Walk Classification],"&gt;0")</f>
        <v>0</v>
      </c>
      <c r="BE112" s="6">
        <f>COUNTIFS(Table5[Country],Tabela1[[#This Row],[Country]],Table5[20km Race Walk Classification],"&gt;0")</f>
        <v>0</v>
      </c>
      <c r="BF112" s="6">
        <f>COUNTIFS(Tabela96[Country],Tabela1[[#This Row],[Country]],Tabela96[Mixed Marathon Race Walk Relay Classification],"&gt;0")</f>
        <v>0</v>
      </c>
      <c r="BG112" s="6">
        <f>COUNTIFS(Table4[Country],Tabela1[[#This Row],[Country]],Table4[Discus Throw Classification],"&gt;0")</f>
        <v>0</v>
      </c>
      <c r="BH112" s="6">
        <f>COUNTIFS(Table5[Country],Tabela1[[#This Row],[Country]],Table5[Discus Throw Classification],"&gt;0")</f>
        <v>0</v>
      </c>
      <c r="BI112" s="6">
        <f>COUNTIFS(Table4[Country],Tabela1[[#This Row],[Country]],Table4[Hammer Throw Classification],"&gt;0")</f>
        <v>0</v>
      </c>
      <c r="BJ112" s="6">
        <f>COUNTIFS(Table5[Country],Tabela1[[#This Row],[Country]],Table5[Hammer Throw Classification],"&gt;0")</f>
        <v>0</v>
      </c>
      <c r="BK112" s="6">
        <f>COUNTIFS(Table4[Country],Tabela1[[#This Row],[Country]],Table4[High Jump Classification],"&gt;0")</f>
        <v>0</v>
      </c>
      <c r="BL112" s="6">
        <f>COUNTIFS(Table5[Country],Tabela1[[#This Row],[Country]],Table5[High Jump Classification],"&gt;0")</f>
        <v>0</v>
      </c>
      <c r="BM112" s="6">
        <f>COUNTIFS(Table4[Country],Tabela1[[#This Row],[Country]],Table4[Javelin Throw Classification],"&gt;0")</f>
        <v>0</v>
      </c>
      <c r="BN112" s="6">
        <f>COUNTIFS(Table5[Country],Tabela1[[#This Row],[Country]],Table5[Javelin Throw Classification],"&gt;0")</f>
        <v>0</v>
      </c>
      <c r="BO112" s="6">
        <f>COUNTIFS(Table4[Country],Tabela1[[#This Row],[Country]],Table4[Long Jump Classification],"&gt;0")</f>
        <v>0</v>
      </c>
      <c r="BP112" s="6">
        <f>COUNTIFS(Table5[Country],Tabela1[[#This Row],[Country]],Table5[Long Jump Classification],"&gt;0")</f>
        <v>0</v>
      </c>
      <c r="BQ112" s="6">
        <f>COUNTIFS(Table4[Country],Tabela1[[#This Row],[Country]],Table4[Pole Vault Classification],"&gt;0")</f>
        <v>0</v>
      </c>
      <c r="BR112" s="6">
        <f>COUNTIFS(Table5[Country],Tabela1[[#This Row],[Country]],Table5[Pole Vault Classification],"&gt;0")</f>
        <v>0</v>
      </c>
      <c r="BS112" s="6">
        <f>COUNTIFS(Table4[Country],Tabela1[[#This Row],[Country]],Table4[Shot Put Classification],"&gt;0")</f>
        <v>0</v>
      </c>
      <c r="BT112" s="6">
        <f>COUNTIFS(Table5[Country],Tabela1[[#This Row],[Country]],Table5[Shot Put Classification],"&gt;0")</f>
        <v>0</v>
      </c>
      <c r="BU112" s="6">
        <f>COUNTIFS(Table4[Country],Tabela1[[#This Row],[Country]],Table4[Triple Jump Classification],"&gt;0")</f>
        <v>0</v>
      </c>
      <c r="BV112" s="6">
        <f>COUNTIFS(Table5[Country],Tabela1[[#This Row],[Country]],Table5[Triple Jump Classification],"&gt;0")</f>
        <v>0</v>
      </c>
      <c r="BW112" s="6">
        <f>COUNTIFS(Table4[Country],Tabela1[[#This Row],[Country]],Table4[Decathlon Classification],"&gt;0")</f>
        <v>0</v>
      </c>
      <c r="BX112" s="6">
        <f>COUNTIFS(Table5[Country],Tabela1[[#This Row],[Country]],Table5[Heptathlon Classification],"&gt;0")</f>
        <v>0</v>
      </c>
      <c r="BY112" s="6">
        <f>COUNTIFS(Table61[Country],Tabela1[[#This Row],[Country]],Table61[Classification],"&gt;0")</f>
        <v>0</v>
      </c>
      <c r="BZ112" s="6">
        <f>COUNTIFS(Table38[Country],Tabela1[[#This Row],[Country]],Table38[Classification],"&gt;0")</f>
        <v>0</v>
      </c>
      <c r="CA112" s="6">
        <f>COUNTIFS(Table39[Country],Tabela1[[#This Row],[Country]],Table39[Men''s Classification],"&gt;0")</f>
        <v>0</v>
      </c>
      <c r="CB112" s="6">
        <f>COUNTIFS(Table39[Country],Tabela1[[#This Row],[Country]],Table39[Women''s Classification],"&gt;0")</f>
        <v>0</v>
      </c>
      <c r="CC112" s="6">
        <f>COUNTIFS(Table39[Country],Tabela1[[#This Row],[Country]],Table39[Mixed Classification],"&gt;0")</f>
        <v>0</v>
      </c>
      <c r="CD112" s="6">
        <f>COUNTIFS(Table89[Country],Tabela1[[#This Row],[Country]],Table89[Men''s Classification],"&gt;0")</f>
        <v>0</v>
      </c>
      <c r="CE112" s="6">
        <f>COUNTIFS(Table89[Country],Tabela1[[#This Row],[Country]],Table89[Women''s Classification],"&gt;0")</f>
        <v>0</v>
      </c>
      <c r="CF112" s="6">
        <f>COUNTIFS(Table90[Country],Tabela1[[#This Row],[Country]],Table90[Men''s Classification],"&gt;0")</f>
        <v>0</v>
      </c>
      <c r="CG112" s="6">
        <f>COUNTIFS(Table90[Country],Tabela1[[#This Row],[Country]],Table90[Women''s Classification],"&gt;0")</f>
        <v>0</v>
      </c>
      <c r="CH112" s="6">
        <f>COUNTIFS(Table60[Country],Tabela1[[#This Row],[Country]],Table60[Men''s Classification],"&gt;0")</f>
        <v>0</v>
      </c>
      <c r="CI112" s="6">
        <f>COUNTIFS(Table60[Country],Tabela1[[#This Row],[Country]],Table60[Women''s Classification],"&gt;0")</f>
        <v>0</v>
      </c>
      <c r="CJ112" s="6">
        <f>COUNTIFS(Table6[Country],Tabela1[[#This Row],[Country]],Table6[51kg Classification],"&gt;0")</f>
        <v>0</v>
      </c>
      <c r="CK112" s="6">
        <f>COUNTIFS(Table6[Country],Tabela1[[#This Row],[Country]],Table6[57kg Classification],"&gt;0")</f>
        <v>0</v>
      </c>
      <c r="CL112" s="6">
        <f>COUNTIFS(Table6[Country],Tabela1[[#This Row],[Country]],Table6[63.5kg Classification],"&gt;0")</f>
        <v>0</v>
      </c>
      <c r="CM112" s="6">
        <f>COUNTIFS(Table6[Country],Tabela1[[#This Row],[Country]],Table6[71kg Classification],"&gt;0")</f>
        <v>0</v>
      </c>
      <c r="CN112" s="6">
        <f>COUNTIFS(Table6[Country],Tabela1[[#This Row],[Country]],Table6[80kg Classification],"&gt;0")</f>
        <v>0</v>
      </c>
      <c r="CO112" s="6">
        <f>COUNTIFS(Table6[Country],Tabela1[[#This Row],[Country]],Table6[92kg Classification],"&gt;0")</f>
        <v>0</v>
      </c>
      <c r="CP112" s="6">
        <f>COUNTIFS(Table6[Country],Tabela1[[#This Row],[Country]],Table6[Plus 92kg Classification],"&gt;0")</f>
        <v>0</v>
      </c>
      <c r="CQ112" s="6">
        <f>COUNTIFS(Table7[Country],Tabela1[[#This Row],[Country]],Table7[50kg Classification],"&gt;0")</f>
        <v>0</v>
      </c>
      <c r="CR112" s="6">
        <f>COUNTIFS(Table7[Country],Tabela1[[#This Row],[Country]],Table7[54kg Classification],"&gt;0")</f>
        <v>0</v>
      </c>
      <c r="CS112" s="6">
        <f>COUNTIFS(Table7[Country],Tabela1[[#This Row],[Country]],Table7[57kg Classification],"&gt;0")</f>
        <v>0</v>
      </c>
      <c r="CT112" s="6">
        <f>COUNTIFS(Table7[Country],Tabela1[[#This Row],[Country]],Table7[60kg Classification],"&gt;0")</f>
        <v>0</v>
      </c>
      <c r="CU112" s="6">
        <f>COUNTIFS(Table7[Country],Tabela1[[#This Row],[Country]],Table7[66kg Classification],"&gt;0")</f>
        <v>0</v>
      </c>
      <c r="CV112" s="6">
        <f>COUNTIFS(Table7[Country],Tabela1[[#This Row],[Country]],Table7[75kg Classification],"&gt;0")</f>
        <v>0</v>
      </c>
      <c r="CW112" s="6">
        <f>COUNTIFS(Tabela94[Country],Tabela1[[#This Row],[Country]],Tabela94[Classification],"&gt;0")</f>
        <v>0</v>
      </c>
      <c r="CX112" s="6">
        <f>COUNTIFS(Tabela9499[Country],Tabela1[[#This Row],[Country]],Tabela9499[Classification],"&gt;0")</f>
        <v>0</v>
      </c>
      <c r="CY112" s="6">
        <f>COUNTIFS(Tabela107[Country],Tabela1[[#This Row],[Country]],Tabela107[C1 Slalom Classification],"&gt;0")</f>
        <v>1</v>
      </c>
      <c r="CZ112" s="6">
        <f>COUNTIFS(Tabela107122[Country],Tabela1[[#This Row],[Country]],Tabela107122[C1 Slalom Classification],"&gt;0")</f>
        <v>0</v>
      </c>
      <c r="DA112" s="6">
        <f>COUNTIFS(Tabela107[Country],Tabela1[[#This Row],[Country]],Tabela107[K1 Slalom Classification],"&gt;0")</f>
        <v>1</v>
      </c>
      <c r="DB112" s="6">
        <f>COUNTIFS(Tabela107122[Country],Tabela1[[#This Row],[Country]],Tabela107122[K1 Slalom Classification],"&gt;0")</f>
        <v>0</v>
      </c>
      <c r="DC112" s="6">
        <f>COUNTIFS(Tabela107[Country],Tabela1[[#This Row],[Country]],Tabela107[Kayak Cross Slalom Classification],"&gt;0")</f>
        <v>1</v>
      </c>
      <c r="DD112" s="6">
        <f>COUNTIFS(Tabela107122[Country],Tabela1[[#This Row],[Country]],Tabela107122[Kayak Cross Slalom Classification],"&gt;0")</f>
        <v>0</v>
      </c>
      <c r="DE112" s="6">
        <f>COUNTIFS(Table8[Country],Tabela1[[#This Row],[Country]],Table8[C1 200m Classification],"&gt;0")</f>
        <v>0</v>
      </c>
      <c r="DF112" s="6">
        <f>COUNTIFS(Table40[Country],Tabela1[[#This Row],[Country]],Table40[C1 1000m Classification],"&gt;0")</f>
        <v>0</v>
      </c>
      <c r="DG112" s="6">
        <f>COUNTIFS(Table68[Country],Tabela1[[#This Row],[Country]],Table68[Men''s C2 500m Classification],"&gt;0")</f>
        <v>0</v>
      </c>
      <c r="DH112" s="6">
        <f>COUNTIFS(Table68[Country],Tabela1[[#This Row],[Country]],Table68[Women''s C2 500m Classification],"&gt;0")</f>
        <v>0</v>
      </c>
      <c r="DI112" s="6">
        <f>COUNTIFS(Table8[Country],Tabela1[[#This Row],[Country]],Table8[K1 500m Classification],"&gt;0")</f>
        <v>0</v>
      </c>
      <c r="DJ112" s="6">
        <f>COUNTIFS(Table40[Country],Tabela1[[#This Row],[Country]],Table40[K1 1000m Classification],"&gt;0")</f>
        <v>0</v>
      </c>
      <c r="DK112" s="6">
        <f>COUNTIFS(Table68[Country],Tabela1[[#This Row],[Country]],Table68[Men''s K2 500m Classification],"&gt;0")</f>
        <v>0</v>
      </c>
      <c r="DL112" s="6">
        <f>COUNTIFS(Table68[Country],Tabela1[[#This Row],[Country]],Table68[Women''s K2 500m Classification],"&gt;0")</f>
        <v>0</v>
      </c>
      <c r="DM112" s="6">
        <f>COUNTIFS(Table83[Country],Tabela1[[#This Row],[Country]],Table83[Men''s K4 500m Classification],"&gt;0")</f>
        <v>0</v>
      </c>
      <c r="DN112" s="6">
        <f>COUNTIFS(Table83[Country],Tabela1[[#This Row],[Country]],Table83[Women''s K4 500m Classification],"&gt;0")</f>
        <v>0</v>
      </c>
      <c r="DO112" s="6">
        <f>COUNTIFS(Tabela126[Country],Tabela1[[#This Row],[Country]],Tabela126[Classification],"&gt;0")</f>
        <v>0</v>
      </c>
      <c r="DP112" s="6">
        <f>COUNTIFS(Tabela126130[Country],Tabela1[[#This Row],[Country]],Tabela126130[Classification],"&gt;0")</f>
        <v>0</v>
      </c>
      <c r="DQ112" s="6">
        <f>COUNTIFS(Table70[Country],Tabela1[[#This Row],[Country]],Table70[Classification],"&gt;0")</f>
        <v>0</v>
      </c>
      <c r="DR112" s="6">
        <f>COUNTIFS(Table80[Country],Tabela1[[#This Row],[Country]],Table80[Classification],"&gt;0")</f>
        <v>0</v>
      </c>
      <c r="DS112" s="6">
        <f>COUNTIFS(Table66[Country],Tabela1[[#This Row],[Country]],Table66[Classification],"&gt;0")</f>
        <v>0</v>
      </c>
      <c r="DT112" s="6">
        <f>COUNTIFS(Table67[Country],Tabela1[[#This Row],[Country]],Table67[Classification],"&gt;0")</f>
        <v>0</v>
      </c>
      <c r="DU112" s="6">
        <f>COUNTIFS(Table69[Country],Tabela1[[#This Row],[Country]],Table69[Keirin Classification],"&gt;0")</f>
        <v>0</v>
      </c>
      <c r="DV112" s="6">
        <f>COUNTIFS(Table41[Country],Tabela1[[#This Row],[Country]],Table41[Keirin Classification],"&gt;0")</f>
        <v>0</v>
      </c>
      <c r="DW112" s="6">
        <f>COUNTIFS(Table84[Country],Tabela1[[#This Row],[Country]],Table84[Men''s Madison Classification],"&gt;0")</f>
        <v>0</v>
      </c>
      <c r="DX112" s="6">
        <f>COUNTIFS(Table84[Country],Tabela1[[#This Row],[Country]],Table84[Women''s Madison Classification],"&gt;0")</f>
        <v>0</v>
      </c>
      <c r="DY112" s="6">
        <f>COUNTIFS(Table69[Country],Tabela1[[#This Row],[Country]],Table69[Omnium Classification],"&gt;0")</f>
        <v>0</v>
      </c>
      <c r="DZ112" s="6">
        <f>COUNTIFS(Table41[Country],Tabela1[[#This Row],[Country]],Table41[Omnium Classification],"&gt;0")</f>
        <v>0</v>
      </c>
      <c r="EA112" s="6">
        <f>COUNTIFS(Table9[Country],Tabela1[[#This Row],[Country]],Table9[Road Race Classification],"&gt;0")</f>
        <v>0</v>
      </c>
      <c r="EB112" s="6">
        <f>COUNTIFS(Table14[Country],Tabela1[[#This Row],[Country]],Table14[Road Race Classification],"&gt;0")</f>
        <v>0</v>
      </c>
      <c r="EC112" s="6">
        <f>COUNTIFS(Table69[Country],Tabela1[[#This Row],[Country]],Table69[Sprint Classification],"&gt;0")</f>
        <v>0</v>
      </c>
      <c r="ED112" s="6">
        <f>COUNTIFS(Table41[Country],Tabela1[[#This Row],[Country]],Table41[Sprint Classification],"&gt;0")</f>
        <v>0</v>
      </c>
      <c r="EE112" s="6">
        <f>COUNTIFS(Table85[Country],Tabela1[[#This Row],[Country]],Table85[Men''s Sprint Classification],"&gt;0")</f>
        <v>0</v>
      </c>
      <c r="EF112" s="6">
        <f>COUNTIFS(Table85[Country],Tabela1[[#This Row],[Country]],Table85[Women''s Sprint Classification],"&gt;0")</f>
        <v>0</v>
      </c>
      <c r="EG112" s="6">
        <f>COUNTIFS(Table85[Country],Tabela1[[#This Row],[Country]],Table85[Men''s Pursuit Classification],"&gt;0")</f>
        <v>0</v>
      </c>
      <c r="EH112" s="6">
        <f>COUNTIFS(Table85[Country],Tabela1[[#This Row],[Country]],Table85[Women''s Pursuit Classification],"&gt;0")</f>
        <v>0</v>
      </c>
      <c r="EI112" s="6">
        <f>COUNTIFS(Table9[Country],Tabela1[[#This Row],[Country]],Table9[Time-Trial Classification],"&gt;0")</f>
        <v>0</v>
      </c>
      <c r="EJ112" s="6">
        <f>COUNTIFS(Table14[Country],Tabela1[[#This Row],[Country]],Table14[Time-Trial Classification],"&gt;0")</f>
        <v>0</v>
      </c>
      <c r="EK112" s="6">
        <f>COUNTIFS(Table42[Country],Tabela1[[#This Row],[Country]],Table42[Springboard Classification],"&gt;0")</f>
        <v>0</v>
      </c>
      <c r="EL112" s="6">
        <f>COUNTIFS(Table43[Country],Tabela1[[#This Row],[Country]],Table43[Springboard Classification],"&gt;0")</f>
        <v>0</v>
      </c>
      <c r="EM112" s="6">
        <f>COUNTIFS(Table42[Country],Tabela1[[#This Row],[Country]],Table42[Platform Classification],"&gt;0")</f>
        <v>0</v>
      </c>
      <c r="EN112" s="6">
        <f>COUNTIFS(Table43[Country],Tabela1[[#This Row],[Country]],Table43[Platform Classification],"&gt;0")</f>
        <v>0</v>
      </c>
      <c r="EO112" s="6">
        <f>COUNTIFS(Table86[Country],Tabela1[[#This Row],[Country]],Table86[Men''s Synchronized Springboard Classification],"&gt;0")</f>
        <v>0</v>
      </c>
      <c r="EP112" s="6">
        <f>COUNTIFS(Table86[Country],Tabela1[[#This Row],[Country]],Table86[Women''s Synchronized Springboard Classification],"&gt;0")</f>
        <v>0</v>
      </c>
      <c r="EQ112" s="6">
        <f>COUNTIFS(Table86[Country],Tabela1[[#This Row],[Country]],Table86[Men''s Synchronized Platform Classification],"&gt;0")</f>
        <v>0</v>
      </c>
      <c r="ER112" s="6">
        <f>COUNTIFS(Table86[Country],Tabela1[[#This Row],[Country]],Table86[Women''s Synchronized Platform Classification],"&gt;0")</f>
        <v>0</v>
      </c>
      <c r="ES112" s="6">
        <f>COUNTIFS(Table44[Country],Tabela1[[#This Row],[Country]],Table44[Dressage Classification],"&gt;0")</f>
        <v>0</v>
      </c>
      <c r="ET112" s="6">
        <f>COUNTIFS(Table45[Country],Tabela1[[#This Row],[Country]],Table45[Dressage Classification],"&gt;0")</f>
        <v>0</v>
      </c>
      <c r="EU112" s="6">
        <f>COUNTIFS(Table44[Country],Tabela1[[#This Row],[Country]],Table44[Eventing Classification],"&gt;0")</f>
        <v>0</v>
      </c>
      <c r="EV112" s="6">
        <f>COUNTIFS(Table45[Country],Tabela1[[#This Row],[Country]],Table45[Eventing Classification],"&gt;0")</f>
        <v>0</v>
      </c>
      <c r="EW112" s="6">
        <f>COUNTIFS(Table44[Country],Tabela1[[#This Row],[Country]],Table44[Jumping Classification],"&gt;0")</f>
        <v>0</v>
      </c>
      <c r="EX112" s="6">
        <f>COUNTIFS(Table45[Country],Tabela1[[#This Row],[Country]],Table45[Jumping Classification],"&gt;0")</f>
        <v>0</v>
      </c>
      <c r="EY112" s="6">
        <f>COUNTIFS(Table10[Country],Tabela1[[#This Row],[Country]],Table10[Épée Classification],"&gt;0")</f>
        <v>0</v>
      </c>
      <c r="EZ112" s="6">
        <f>COUNTIFS(Table11[Country],Tabela1[[#This Row],[Country]],Table11[Épée Classification],"&gt;0")</f>
        <v>0</v>
      </c>
      <c r="FA112" s="6">
        <f>COUNTIFS(Table46[Country],Tabela1[[#This Row],[Country]],Table46[Men''s Épée Classification],"&gt;0")</f>
        <v>0</v>
      </c>
      <c r="FB112" s="6">
        <f>COUNTIFS(Table46[Country],Tabela1[[#This Row],[Country]],Table46[Women''s Épée Classification],"&gt;0")</f>
        <v>0</v>
      </c>
      <c r="FC112" s="6">
        <f>COUNTIFS(Table10[Country],Tabela1[[#This Row],[Country]],Table10[Foil Classification],"&gt;0")</f>
        <v>0</v>
      </c>
      <c r="FD112" s="6">
        <f>COUNTIFS(Table11[Country],Tabela1[[#This Row],[Country]],Table11[Foil Classification],"&gt;0")</f>
        <v>0</v>
      </c>
      <c r="FE112" s="6">
        <f>COUNTIFS(Table46[Country],Tabela1[[#This Row],[Country]],Table46[Men''s Foil Classification],"&gt;0")</f>
        <v>0</v>
      </c>
      <c r="FF112" s="6">
        <f>COUNTIFS(Table46[Country],Tabela1[[#This Row],[Country]],Table46[Women''s Foil Classification],"&gt;0")</f>
        <v>0</v>
      </c>
      <c r="FG112" s="6">
        <f>COUNTIFS(Table10[Country],Tabela1[[#This Row],[Country]],Table10[Sabre Classification],"&gt;0")</f>
        <v>0</v>
      </c>
      <c r="FH112" s="6">
        <f>COUNTIFS(Table11[Country],Tabela1[[#This Row],[Country]],Table11[Sabre Classification],"&gt;0")</f>
        <v>0</v>
      </c>
      <c r="FI112" s="6">
        <f>COUNTIFS(Table46[Country],Tabela1[[#This Row],[Country]],Table46[Men''s Sabre Classification],"&gt;0")</f>
        <v>0</v>
      </c>
      <c r="FJ112" s="6">
        <f>COUNTIFS(Table46[Country],Tabela1[[#This Row],[Country]],Table46[Women''s Sabre Classification],"&gt;0")</f>
        <v>0</v>
      </c>
      <c r="FK112" s="6">
        <f>COUNTIFS(Table91[Country],Tabela1[[#This Row],[Country]],Table91[Men''s Classification],"&gt;0")</f>
        <v>0</v>
      </c>
      <c r="FL112" s="6">
        <f>COUNTIFS(Table91[Country],Tabela1[[#This Row],[Country]],Table91[Women''s Classification],"&gt;0")</f>
        <v>0</v>
      </c>
      <c r="FM112" s="6">
        <f>COUNTIFS(Table9194[Country],Tabela1[[#This Row],[Country]],Table9194[Men''s Classification],"&gt;0")</f>
        <v>0</v>
      </c>
      <c r="FN112" s="6">
        <f>COUNTIFS(Table9194[Country],Tabela1[[#This Row],[Country]],Table9194[Women''s Classification],"&gt;0")</f>
        <v>0</v>
      </c>
      <c r="FO112" s="6">
        <f>COUNTIFS(Table71[Country],Tabela1[[#This Row],[Country]],Table71[Classification],"&gt;0")</f>
        <v>0</v>
      </c>
      <c r="FP112" s="6">
        <f>COUNTIFS(Table62[Country],Tabela1[[#This Row],[Country]],Table62[Classification],"&gt;0")</f>
        <v>0</v>
      </c>
      <c r="FQ112" s="6">
        <f>COUNTIFS(Table47[Country],Tabela1[[#This Row],[Country]],Table47[All-Around Classification],"&gt;0")</f>
        <v>0</v>
      </c>
      <c r="FR112" s="6">
        <f>COUNTIFS(Table48[Country],Tabela1[[#This Row],[Country]],Table48[All-Around Classification],"&gt;0")</f>
        <v>0</v>
      </c>
      <c r="FS112" s="6">
        <f>COUNTIFS(Table81[Country],Tabela1[[#This Row],[Country]],Table81[Men''s All-Around Classification],"&gt;0")</f>
        <v>0</v>
      </c>
      <c r="FT112" s="6">
        <f>COUNTIFS(Table81[Country],Tabela1[[#This Row],[Country]],Table81[Women''s All-Around Classification],"&gt;0")</f>
        <v>0</v>
      </c>
      <c r="FU112" s="6">
        <f>COUNTIFS(Table48[Country],Tabela1[[#This Row],[Country]],Table48[Balance Beam Classification],"&gt;0")</f>
        <v>0</v>
      </c>
      <c r="FV112" s="6">
        <f>COUNTIFS(Table47[Country],Tabela1[[#This Row],[Country]],Table47[Floor Exercise Classification],"&gt;0")</f>
        <v>0</v>
      </c>
      <c r="FW112" s="6">
        <f>COUNTIFS(Table48[Country],Tabela1[[#This Row],[Country]],Table48[Floor Exercise Classification],"&gt;0")</f>
        <v>0</v>
      </c>
      <c r="FX112" s="6">
        <f>COUNTIFS(Table47[Country],Tabela1[[#This Row],[Country]],Table47[Horizontal Bar Classification],"&gt;0")</f>
        <v>0</v>
      </c>
      <c r="FY112" s="6">
        <f>COUNTIFS(Table47[Country],Tabela1[[#This Row],[Country]],Table47[Parallel Bars Classification],"&gt;0")</f>
        <v>0</v>
      </c>
      <c r="FZ112" s="6">
        <f>COUNTIFS(Table47[Country],Tabela1[[#This Row],[Country]],Table47[Pommel Horse Classification],"&gt;0")</f>
        <v>0</v>
      </c>
      <c r="GA112" s="6">
        <f>COUNTIFS(Table47[Country],Tabela1[[#This Row],[Country]],Table47[Rings Classification],"&gt;0")</f>
        <v>0</v>
      </c>
      <c r="GB112" s="6">
        <f>COUNTIFS(Tabela132[Country],Tabela1[[#This Row],[Country]],Tabela132[Classification],"&gt;0")</f>
        <v>0</v>
      </c>
      <c r="GC112" s="6">
        <f>COUNTIFS(Tabela139[Country],Tabela1[[#This Row],[Country]],Tabela139[Classification],"&gt;0")</f>
        <v>0</v>
      </c>
      <c r="GD112" s="6">
        <f>COUNTIFS(Table48[Country],Tabela1[[#This Row],[Country]],Table48[Uneven Bars Classification],"&gt;0")</f>
        <v>0</v>
      </c>
      <c r="GE112" s="6">
        <f>COUNTIFS(Table47[Country],Tabela1[[#This Row],[Country]],Table47[Vault Classification],"&gt;0")</f>
        <v>0</v>
      </c>
      <c r="GF112" s="6">
        <f>COUNTIFS(Table48[Country],Tabela1[[#This Row],[Country]],Table48[Vault Classification],"&gt;0")</f>
        <v>0</v>
      </c>
      <c r="GG112" s="6">
        <f>COUNTIFS(Table919496[Country],Tabela1[[#This Row],[Country]],Table919496[Men''s Classification],"&gt;0")</f>
        <v>0</v>
      </c>
      <c r="GH112" s="6">
        <f>COUNTIFS(Table919496[Country],Tabela1[[#This Row],[Country]],Table919496[Women''s Classification],"&gt;0")</f>
        <v>0</v>
      </c>
      <c r="GI112" s="6">
        <f>COUNTIFS(Table12[Country],Tabela1[[#This Row],[Country]],Table12[60kg Classification],"&gt;0")</f>
        <v>0</v>
      </c>
      <c r="GJ112" s="6">
        <f>COUNTIFS(Table12[Country],Tabela1[[#This Row],[Country]],Table12[66kg Classification],"&gt;0")</f>
        <v>0</v>
      </c>
      <c r="GK112" s="6">
        <f>COUNTIFS(Table12[Country],Tabela1[[#This Row],[Country]],Table12[73kg Classification],"&gt;0")</f>
        <v>0</v>
      </c>
      <c r="GL112" s="6">
        <f>COUNTIFS(Table12[Country],Tabela1[[#This Row],[Country]],Table12[81kg Classification],"&gt;0")</f>
        <v>0</v>
      </c>
      <c r="GM112" s="6">
        <f>COUNTIFS(Table12[Country],Tabela1[[#This Row],[Country]],Table12[90kg Classification],"&gt;0")</f>
        <v>0</v>
      </c>
      <c r="GN112" s="6">
        <f>COUNTIFS(Table12[Country],Tabela1[[#This Row],[Country]],Table12[100kg Classification],"&gt;0")</f>
        <v>0</v>
      </c>
      <c r="GO112" s="6">
        <f>COUNTIFS(Table12[Country],Tabela1[[#This Row],[Country]],Table12[Plus 100kg Classification],"&gt;0")</f>
        <v>0</v>
      </c>
      <c r="GP112" s="6">
        <f>COUNTIFS(Table13[Country],Tabela1[[#This Row],[Country]],Table13[48kg Classification],"&gt;0")</f>
        <v>0</v>
      </c>
      <c r="GQ112" s="6">
        <f>COUNTIFS(Table13[Country],Tabela1[[#This Row],[Country]],Table13[52kg Classification],"&gt;0")</f>
        <v>0</v>
      </c>
      <c r="GR112" s="6">
        <f>COUNTIFS(Table13[Country],Tabela1[[#This Row],[Country]],Table13[57kg Classification],"&gt;0")</f>
        <v>0</v>
      </c>
      <c r="GS112" s="6">
        <f>COUNTIFS(Table13[Country],Tabela1[[#This Row],[Country]],Table13[63kg Classification],"&gt;0")</f>
        <v>0</v>
      </c>
      <c r="GT112" s="6">
        <f>COUNTIFS(Table13[Country],Tabela1[[#This Row],[Country]],Table13[70kg Classification],"&gt;0")</f>
        <v>0</v>
      </c>
      <c r="GU112" s="6">
        <f>COUNTIFS(Table13[Country],Tabela1[[#This Row],[Country]],Table13[78kg Classification],"&gt;0")</f>
        <v>0</v>
      </c>
      <c r="GV112" s="6">
        <f>COUNTIFS(Table13[Country],Tabela1[[#This Row],[Country]],Table13[Plus 78kg Classification],"&gt;0")</f>
        <v>0</v>
      </c>
      <c r="GW112" s="6">
        <f>COUNTIFS(Table82[Country],Tabela1[[#This Row],[Country]],Table82[Mixed Classification],"&gt;0")</f>
        <v>0</v>
      </c>
      <c r="GX112" s="6">
        <f>COUNTIFS(Table51[Country],Tabela1[[#This Row],[Country]],Table51[Classification],"&gt;0")</f>
        <v>0</v>
      </c>
      <c r="GY112" s="6">
        <f>COUNTIFS(Table52[Country],Tabela1[[#This Row],[Country]],Table52[Classification],"&gt;0")</f>
        <v>0</v>
      </c>
      <c r="GZ112" s="6">
        <f>COUNTIFS(Table32[Country],Tabela1[[#This Row],[Country]],Table32[All-Around Classification],"&gt;0")</f>
        <v>0</v>
      </c>
      <c r="HA112" s="6">
        <f>COUNTIFS(Table49[Country],Tabela1[[#This Row],[Country]],Table49[All-Around Classification],"&gt;0")</f>
        <v>0</v>
      </c>
      <c r="HB112" s="6">
        <f>COUNTIFS(Table26[Country],Tabela1[[#This Row],[Country]],Table26[Single Sculls Classification],"&gt;0")</f>
        <v>0</v>
      </c>
      <c r="HC112" s="6">
        <f>COUNTIFS(Table63[Country],Tabela1[[#This Row],[Country]],Table63[Single Sculls Classification],"&gt;0")</f>
        <v>0</v>
      </c>
      <c r="HD112" s="6">
        <f>COUNTIFS(Table16[Country],Tabela1[[#This Row],[Country]],Table16[Men''s Double Sculls Classification],"&gt;0")</f>
        <v>0</v>
      </c>
      <c r="HE112" s="6">
        <f>COUNTIFS(Table16[Country],Tabela1[[#This Row],[Country]],Table16[Women''s Double Sculls Classification],"&gt;0")</f>
        <v>0</v>
      </c>
      <c r="HF112" s="6">
        <f>COUNTIFS(Table72[Country],Tabela1[[#This Row],[Country]],Table72[Men''s Quadruple Sculls Classification],"&gt;0")</f>
        <v>0</v>
      </c>
      <c r="HG112" s="6">
        <f>COUNTIFS(Table72[Country],Tabela1[[#This Row],[Country]],Table72[Women''s Quadruple Sculls Classification],"&gt;0")</f>
        <v>0</v>
      </c>
      <c r="HH112" s="6">
        <f>COUNTIFS(Table16[Country],Tabela1[[#This Row],[Country]],Table16[Men''s Coxless Pairs Classification],"&gt;0")</f>
        <v>0</v>
      </c>
      <c r="HI112" s="6">
        <f>COUNTIFS(Table16[Country],Tabela1[[#This Row],[Country]],Table16[Women''s Coxless Pairs Classification],"&gt;0")</f>
        <v>0</v>
      </c>
      <c r="HJ112" s="6">
        <f>COUNTIFS(Table72[Country],Tabela1[[#This Row],[Country]],Table72[Men''s Coxless Fours Classification],"&gt;0")</f>
        <v>0</v>
      </c>
      <c r="HK112" s="6">
        <f>COUNTIFS(Table72[Country],Tabela1[[#This Row],[Country]],Table72[Women''s Coxless Fours Classification],"&gt;0")</f>
        <v>0</v>
      </c>
      <c r="HL112" s="6">
        <f>COUNTIFS(Table72[Country],Tabela1[[#This Row],[Country]],Table72[Men''s Eights Classification],"&gt;0")</f>
        <v>0</v>
      </c>
      <c r="HM112" s="6">
        <f>COUNTIFS(Table72[Country],Tabela1[[#This Row],[Country]],Table72[Women''s Eights Classification],"&gt;0")</f>
        <v>0</v>
      </c>
      <c r="HN112" s="6">
        <f>COUNTIFS(Table16[Country],Tabela1[[#This Row],[Country]],Table16[Men''s Lwt. Double Sculls Classification],"&gt;0")</f>
        <v>0</v>
      </c>
      <c r="HO112" s="6">
        <f>COUNTIFS(Table16[Country],Tabela1[[#This Row],[Country]],Table16[Women''s Lwt. Double Sculls Classification],"&gt;0")</f>
        <v>0</v>
      </c>
      <c r="HP112" s="6">
        <f>COUNTIFS(Table91949698[Country],Tabela1[[#This Row],[Country]],Table91949698[Men''s Classification],"&gt;0")</f>
        <v>0</v>
      </c>
      <c r="HQ112" s="6">
        <f>COUNTIFS(Table91949698[Country],Tabela1[[#This Row],[Country]],Table91949698[Women''s Classification],"&gt;0")</f>
        <v>0</v>
      </c>
      <c r="HR112" s="6">
        <f>COUNTIFS(Table25[Country],Tabela1[[#This Row],[Country]],Table25[Mixed 470 Classification],"&gt;0")</f>
        <v>0</v>
      </c>
      <c r="HS112" s="6">
        <f>COUNTIFS(Table25[Country],Tabela1[[#This Row],[Country]],Table25[Men''s 49er Classification],"&gt;0")</f>
        <v>0</v>
      </c>
      <c r="HT112" s="6">
        <f>COUNTIFS(Table25[Country],Tabela1[[#This Row],[Country]],Table25[Women''s 49er FX Classification],"&gt;0")</f>
        <v>0</v>
      </c>
      <c r="HU112" s="6">
        <f>COUNTIFS(Table17[Country],Tabela1[[#This Row],[Country]],Table17[Formula Kite Classification],"&gt;0")</f>
        <v>0</v>
      </c>
      <c r="HV112" s="6">
        <f>COUNTIFS(Table18[Country],Tabela1[[#This Row],[Country]],Table18[Formula Kite Classification],"&gt;0")</f>
        <v>0</v>
      </c>
      <c r="HW112" s="6">
        <f>COUNTIFS(Table17[Country],Tabela1[[#This Row],[Country]],Table17[ILCA 7 Classification],"&gt;0")</f>
        <v>0</v>
      </c>
      <c r="HX112" s="6">
        <f>COUNTIFS(Table18[Country],Tabela1[[#This Row],[Country]],Table18[ILCA 6 Classification],"&gt;0")</f>
        <v>0</v>
      </c>
      <c r="HY112" s="6">
        <f>COUNTIFS(Table17[Country],Tabela1[[#This Row],[Country]],Table17[IQFoil Classification],"&gt;0")</f>
        <v>0</v>
      </c>
      <c r="HZ112" s="6">
        <f>COUNTIFS(Table18[Country],Tabela1[[#This Row],[Country]],Table18[IQFoil Classification],"&gt;0")</f>
        <v>0</v>
      </c>
      <c r="IA112" s="6">
        <f>COUNTIFS(Table25[Country],Tabela1[[#This Row],[Country]],Table25[Mixed Nacra 17 Classification],"&gt;0")</f>
        <v>0</v>
      </c>
      <c r="IB112" s="6">
        <f>COUNTIFS(Table53[Country],Tabela1[[#This Row],[Country]],Table53[10m Air Pistol Classification],"&gt;0")</f>
        <v>0</v>
      </c>
      <c r="IC112" s="6">
        <f>COUNTIFS(Table19[Country],Tabela1[[#This Row],[Country]],Table19[10m Air Pistol Classification],"&gt;0")</f>
        <v>0</v>
      </c>
      <c r="ID112" s="6">
        <f>COUNTIFS(Table54[Country],Tabela1[[#This Row],[Country]],Table54[Mixed 10m Air Pistol Team Classification],"&gt;0")</f>
        <v>0</v>
      </c>
      <c r="IE112" s="6">
        <f>COUNTIFS(Table53[Country],Tabela1[[#This Row],[Country]],Table53[10m Air Rifle Classification],"&gt;0")</f>
        <v>0</v>
      </c>
      <c r="IF112" s="6">
        <f>COUNTIFS(Table19[Country],Tabela1[[#This Row],[Country]],Table19[10m Air Rifle Classification],"&gt;0")</f>
        <v>0</v>
      </c>
      <c r="IG112" s="6">
        <f>COUNTIFS(Table54[Country],Tabela1[[#This Row],[Country]],Table54[Mixed 10m Air Rifle Team Classification],"&gt;0")</f>
        <v>0</v>
      </c>
      <c r="IH112" s="6">
        <f>COUNTIFS(Table53[Country],Tabela1[[#This Row],[Country]],Table53[25m Rapid Fire Pistol Classification],"&gt;0")</f>
        <v>0</v>
      </c>
      <c r="II112" s="6">
        <f>COUNTIFS(Table19[Country],Tabela1[[#This Row],[Country]],Table19[25m Pistol Classification],"&gt;0")</f>
        <v>0</v>
      </c>
      <c r="IJ112" s="6">
        <f>COUNTIFS(Table53[Country],Tabela1[[#This Row],[Country]],Table53[50m Rifle 3 Positions Classification],"&gt;0")</f>
        <v>0</v>
      </c>
      <c r="IK112" s="6">
        <f>COUNTIFS(Table19[Country],Tabela1[[#This Row],[Country]],Table19[50m Rifle 3 Positions Classification],"&gt;0")</f>
        <v>0</v>
      </c>
      <c r="IL112" s="6">
        <f>COUNTIFS(Table53[Country],Tabela1[[#This Row],[Country]],Table53[Skeet Classification],"&gt;0")</f>
        <v>0</v>
      </c>
      <c r="IM112" s="6">
        <f>COUNTIFS(Table19[Country],Tabela1[[#This Row],[Country]],Table19[Skeet Classification],"&gt;0")</f>
        <v>0</v>
      </c>
      <c r="IN112" s="6">
        <f>COUNTIFS(Table54[Country],Tabela1[[#This Row],[Country]],Table54[Mixed Skeet Team Classification],"&gt;0")</f>
        <v>0</v>
      </c>
      <c r="IO112" s="6">
        <f>COUNTIFS(Table53[Country],Tabela1[[#This Row],[Country]],Table53[Trap Classification],"&gt;0")</f>
        <v>0</v>
      </c>
      <c r="IP112" s="6">
        <f>COUNTIFS(Table19[Country],Tabela1[[#This Row],[Country]],Table19[Trap Classification],"&gt;0")</f>
        <v>0</v>
      </c>
      <c r="IQ112" s="6">
        <f>COUNTIFS(Table73[Country],Tabela1[[#This Row],[Country]],Table73[Park Classification],"&gt;0")</f>
        <v>0</v>
      </c>
      <c r="IR112" s="6">
        <f>COUNTIFS(Table74[Country],Tabela1[[#This Row],[Country]],Table74[Park Classification],"&gt;0")</f>
        <v>0</v>
      </c>
      <c r="IS112" s="6">
        <f>COUNTIFS(Table73[Country],Tabela1[[#This Row],[Country]],Table73[Street Classification],"&gt;0")</f>
        <v>0</v>
      </c>
      <c r="IT112" s="6">
        <f>COUNTIFS(Table74[Country],Tabela1[[#This Row],[Country]],Table74[Street Classification],"&gt;0")</f>
        <v>0</v>
      </c>
      <c r="IU112" s="6">
        <f>COUNTIFS(Table75[Country],Tabela1[[#This Row],[Country]],Table75[Boulder and Lead Classification],"&gt;0")</f>
        <v>0</v>
      </c>
      <c r="IV112" s="6">
        <f>COUNTIFS(Table76[Country],Tabela1[[#This Row],[Country]],Table76[Boulder and Lead Classification],"&gt;0")</f>
        <v>0</v>
      </c>
      <c r="IW112" s="6">
        <f>COUNTIFS(Table75[Country],Tabela1[[#This Row],[Country]],Table75[Speed Classification],"&gt;0")</f>
        <v>0</v>
      </c>
      <c r="IX112" s="6">
        <f>COUNTIFS(Table76[Country],Tabela1[[#This Row],[Country]],Table76[Speed Classification],"&gt;0")</f>
        <v>0</v>
      </c>
      <c r="IY112" s="6">
        <f>COUNTIFS(Table64[Country],Tabela1[[#This Row],[Country]],Table64[Shortboard Classification],"&gt;0")</f>
        <v>0</v>
      </c>
      <c r="IZ112" s="6">
        <f>COUNTIFS(Table77[Country],Tabela1[[#This Row],[Country]],Table77[Shortboard Classification],"&gt;0")</f>
        <v>0</v>
      </c>
      <c r="JA112" s="6">
        <f>COUNTIFS(Table20[Country],Tabela1[[#This Row],[Country]],Table20[50m Freestyle Classification],"&gt;0")</f>
        <v>0</v>
      </c>
      <c r="JB112" s="6">
        <f>COUNTIFS(Table21[Country],Tabela1[[#This Row],[Country]],Table21[50m Freestyle Classification],"&gt;0")</f>
        <v>0</v>
      </c>
      <c r="JC112" s="6">
        <f>COUNTIFS(Table20[Country],Tabela1[[#This Row],[Country]],Table20[100m Freestyle Classification],"&gt;0")</f>
        <v>0</v>
      </c>
      <c r="JD112" s="6">
        <f>COUNTIFS(Table21[Country],Tabela1[[#This Row],[Country]],Table21[100m Freestyle Classification],"&gt;0")</f>
        <v>0</v>
      </c>
      <c r="JE112" s="6">
        <f>COUNTIFS(Table20[Country],Tabela1[[#This Row],[Country]],Table20[200m Freestyle Classification],"&gt;0")</f>
        <v>0</v>
      </c>
      <c r="JF112" s="6">
        <f>COUNTIFS(Table21[Country],Tabela1[[#This Row],[Country]],Table21[200m Freestyle Classification],"&gt;0")</f>
        <v>0</v>
      </c>
      <c r="JG112" s="6">
        <f>COUNTIFS(Table20[Country],Tabela1[[#This Row],[Country]],Table20[400m Freestyle Classification],"&gt;0")</f>
        <v>0</v>
      </c>
      <c r="JH112" s="6">
        <f>COUNTIFS(Table21[Country],Tabela1[[#This Row],[Country]],Table21[400m Freestyle Classification],"&gt;0")</f>
        <v>0</v>
      </c>
      <c r="JI112" s="6">
        <f>COUNTIFS(Table20[Country],Tabela1[[#This Row],[Country]],Table20[800m Freestyle Classification],"&gt;0")</f>
        <v>0</v>
      </c>
      <c r="JJ112" s="6">
        <f>COUNTIFS(Table21[Country],Tabela1[[#This Row],[Country]],Table21[800m Freestyle Classification],"&gt;0")</f>
        <v>0</v>
      </c>
      <c r="JK112" s="6">
        <f>COUNTIFS(Table20[Country],Tabela1[[#This Row],[Country]],Table20[1500m Freestyle Classification],"&gt;0")</f>
        <v>0</v>
      </c>
      <c r="JL112" s="6">
        <f>COUNTIFS(Table21[Country],Tabela1[[#This Row],[Country]],Table21[1500m Freestyle Classification],"&gt;0")</f>
        <v>0</v>
      </c>
      <c r="JM112" s="6">
        <f>COUNTIFS(Table20[Country],Tabela1[[#This Row],[Country]],Table20[100m Backstroke Classification],"&gt;0")</f>
        <v>0</v>
      </c>
      <c r="JN112" s="6">
        <f>COUNTIFS(Table21[Country],Tabela1[[#This Row],[Country]],Table21[100m Backstroke Classification],"&gt;0")</f>
        <v>0</v>
      </c>
      <c r="JO112" s="6">
        <f>COUNTIFS(Table20[Country],Tabela1[[#This Row],[Country]],Table20[200m Backstroke Classification],"&gt;0")</f>
        <v>0</v>
      </c>
      <c r="JP112" s="6">
        <f>COUNTIFS(Table21[Country],Tabela1[[#This Row],[Country]],Table21[200m Backstroke Classification],"&gt;0")</f>
        <v>0</v>
      </c>
      <c r="JQ112" s="6">
        <f>COUNTIFS(Table20[Country],Tabela1[[#This Row],[Country]],Table20[100m Breaststroke Classification],"&gt;0")</f>
        <v>0</v>
      </c>
      <c r="JR112" s="6">
        <f>COUNTIFS(Table21[Country],Tabela1[[#This Row],[Country]],Table21[100m Breaststroke Classification],"&gt;0")</f>
        <v>0</v>
      </c>
      <c r="JS112" s="6">
        <f>COUNTIFS(Table20[Country],Tabela1[[#This Row],[Country]],Table20[200m Breaststroke Classification],"&gt;0")</f>
        <v>0</v>
      </c>
      <c r="JT112" s="6">
        <f>COUNTIFS(Table21[Country],Tabela1[[#This Row],[Country]],Table21[200m Breaststroke Classification],"&gt;0")</f>
        <v>0</v>
      </c>
      <c r="JU112" s="6">
        <f>COUNTIFS(Table20[Country],Tabela1[[#This Row],[Country]],Table20[100m Butterfly Classification],"&gt;0")</f>
        <v>0</v>
      </c>
      <c r="JV112" s="6">
        <f>COUNTIFS(Table21[Country],Tabela1[[#This Row],[Country]],Table21[100m Butterfly Classification],"&gt;0")</f>
        <v>0</v>
      </c>
      <c r="JW112" s="6">
        <f>COUNTIFS(Table20[Country],Tabela1[[#This Row],[Country]],Table20[200m Butterfly Classification],"&gt;0")</f>
        <v>0</v>
      </c>
      <c r="JX112" s="6">
        <f>COUNTIFS(Table21[Country],Tabela1[[#This Row],[Country]],Table21[200m Butterfly Classification],"&gt;0")</f>
        <v>0</v>
      </c>
      <c r="JY112" s="6">
        <f>COUNTIFS(Table20[Country],Tabela1[[#This Row],[Country]],Table20[200m Medley Classification],"&gt;0")</f>
        <v>0</v>
      </c>
      <c r="JZ112" s="6">
        <f>COUNTIFS(Table21[Country],Tabela1[[#This Row],[Country]],Table21[200m Medley Classification],"&gt;0")</f>
        <v>0</v>
      </c>
      <c r="KA112" s="6">
        <f>COUNTIFS(Table20[Country],Tabela1[[#This Row],[Country]],Table20[400m Medley Classification],"&gt;0")</f>
        <v>0</v>
      </c>
      <c r="KB112" s="6">
        <f>COUNTIFS(Table21[Country],Tabela1[[#This Row],[Country]],Table21[400m Medley Classification],"&gt;0")</f>
        <v>0</v>
      </c>
      <c r="KC112" s="6">
        <f>COUNTIFS(Table78[Country],Tabela1[[#This Row],[Country]],Table78[Men''s 4x100m Freestyle Relay Classification],"&gt;0")</f>
        <v>0</v>
      </c>
      <c r="KD112" s="6">
        <f>COUNTIFS(Table78[Country],Tabela1[[#This Row],[Country]],Table78[Women''s 4x100m Freestyle Relay Classification],"&gt;0")</f>
        <v>0</v>
      </c>
      <c r="KE112" s="6">
        <f>COUNTIFS(Table78[Country],Tabela1[[#This Row],[Country]],Table78[Men''s 4x200m Freestyle Relay Classification],"&gt;0")</f>
        <v>0</v>
      </c>
      <c r="KF112" s="6">
        <f>COUNTIFS(Table78[Country],Tabela1[[#This Row],[Country]],Table78[Women''s 4x200m Freestyle Relay Classification],"&gt;0")</f>
        <v>0</v>
      </c>
      <c r="KG112" s="6">
        <f>COUNTIFS(Table78[Country],Tabela1[[#This Row],[Country]],Table78[Men''s 4x100m Medley Relay Classification],"&gt;0")</f>
        <v>0</v>
      </c>
      <c r="KH112" s="6">
        <f>COUNTIFS(Table78[Country],Tabela1[[#This Row],[Country]],Table78[Women''s 4x100m Medley Relay Classification],"&gt;0")</f>
        <v>0</v>
      </c>
      <c r="KI112" s="6">
        <f>COUNTIFS(Table78[Country],Tabela1[[#This Row],[Country]],Table78[Mixed 4x100m Medley Relay Classification],"&gt;0")</f>
        <v>0</v>
      </c>
      <c r="KJ112" s="6">
        <f>COUNTIFS(Table20[Country],Tabela1[[#This Row],[Country]],Table20[10km Open Water Classification],"&gt;0")</f>
        <v>0</v>
      </c>
      <c r="KK112" s="6">
        <f>COUNTIFS(Table21[Country],Tabela1[[#This Row],[Country]],Table21[10km Open Water Classification],"&gt;0")</f>
        <v>0</v>
      </c>
      <c r="KL112" s="6">
        <f>COUNTIFS(Table22[Country],Tabela1[[#This Row],[Country]],Table22[Classification],"&gt;0")</f>
        <v>0</v>
      </c>
      <c r="KM112" s="6">
        <f>COUNTIFS(Table30[Country],Tabela1[[#This Row],[Country]],Table30[Classification],"&gt;0")</f>
        <v>0</v>
      </c>
      <c r="KN112" s="6">
        <f>COUNTIFS(Table55[Country],Tabela1[[#This Row],[Country]],Table55[Men''s Classification],"&gt;0")</f>
        <v>0</v>
      </c>
      <c r="KO112" s="6">
        <f>COUNTIFS(Table55[Country],Tabela1[[#This Row],[Country]],Table55[Women''s Classification],"&gt;0")</f>
        <v>0</v>
      </c>
      <c r="KP112" s="6">
        <f>COUNTIFS(Table56[Country],Tabela1[[#This Row],[Country]],Table56[Mixed Classification],"&gt;0")</f>
        <v>0</v>
      </c>
      <c r="KQ112" s="6">
        <f>COUNTIFS(Table29[Country],Tabela1[[#This Row],[Country]],Table29[58kg Classification],"&gt;0")</f>
        <v>0</v>
      </c>
      <c r="KR112" s="6">
        <f>COUNTIFS(Table29[Country],Tabela1[[#This Row],[Country]],Table29[68kg Classification],"&gt;0")</f>
        <v>0</v>
      </c>
      <c r="KS112" s="6">
        <f>COUNTIFS(Table29[Country],Tabela1[[#This Row],[Country]],Table29[80kg Classification],"&gt;0")</f>
        <v>0</v>
      </c>
      <c r="KT112" s="6">
        <f>COUNTIFS(Table29[Country],Tabela1[[#This Row],[Country]],Table29[Plus 80kg Classification],"&gt;0")</f>
        <v>0</v>
      </c>
      <c r="KU112" s="6">
        <f>COUNTIFS(Table34[Country],Tabela1[[#This Row],[Country]],Table34[49kg Classification],"&gt;0")</f>
        <v>0</v>
      </c>
      <c r="KV112" s="6">
        <f>COUNTIFS(Table34[Country],Tabela1[[#This Row],[Country]],Table34[57kg Classification],"&gt;0")</f>
        <v>0</v>
      </c>
      <c r="KW112" s="6">
        <f>COUNTIFS(Table34[Country],Tabela1[[#This Row],[Country]],Table34[67kg Classification],"&gt;0")</f>
        <v>0</v>
      </c>
      <c r="KX112" s="6">
        <f>COUNTIFS(Table34[Country],Tabela1[[#This Row],[Country]],Table34[Plus 67kg Classification],"&gt;0")</f>
        <v>0</v>
      </c>
      <c r="KY112" s="6">
        <f>COUNTIFS(Table57[Country],Tabela1[[#This Row],[Country]],Table57[Classification],"&gt;0")</f>
        <v>0</v>
      </c>
      <c r="KZ112" s="6">
        <f>COUNTIFS(Table58[Country],Tabela1[[#This Row],[Country]],Table58[Classification],"&gt;0")</f>
        <v>0</v>
      </c>
      <c r="LA112" s="6">
        <f>COUNTIFS(Table79[Country],Tabela1[[#This Row],[Country]],Table79[Men''s Classification],"&gt;0")</f>
        <v>0</v>
      </c>
      <c r="LB112" s="6">
        <f>COUNTIFS(Table79[Country],Tabela1[[#This Row],[Country]],Table79[Women''s Classification],"&gt;0")</f>
        <v>0</v>
      </c>
      <c r="LC112" s="6">
        <f>COUNTIFS(Table79[Country],Tabela1[[#This Row],[Country]],Table79[Mixed Classification],"&gt;0")</f>
        <v>0</v>
      </c>
      <c r="LD112" s="6">
        <f>COUNTIFS(Table65[Country],Tabela1[[#This Row],[Country]],Table65[Classification],"&gt;0")</f>
        <v>0</v>
      </c>
      <c r="LE112" s="6">
        <f>COUNTIFS(Table59[Country],Tabela1[[#This Row],[Country]],Table59[Classification],"&gt;0")</f>
        <v>0</v>
      </c>
      <c r="LF112" s="6">
        <f>COUNTIFS(Table87[Country],Tabela1[[#This Row],[Country]],Table87[Mixed Relay Classification],"&gt;0")</f>
        <v>0</v>
      </c>
      <c r="LG112" s="6">
        <f>COUNTIFS(Table91949698100[Country],Tabela1[[#This Row],[Country]],Table91949698100[Men''s Classification],"&gt;0")</f>
        <v>0</v>
      </c>
      <c r="LH112" s="6">
        <f>COUNTIFS(Table91949698100[Country],Tabela1[[#This Row],[Country]],Table91949698100[Women''s Classification],"&gt;0")</f>
        <v>0</v>
      </c>
      <c r="LI112" s="6">
        <f>COUNTIFS(Table91949698100102[Country],Tabela1[[#This Row],[Country]],Table91949698100102[Men''s Classification],"&gt;0")</f>
        <v>0</v>
      </c>
      <c r="LJ112" s="6">
        <f>COUNTIFS(Table91949698100102[Country],Tabela1[[#This Row],[Country]],Table91949698100102[Women''s Classification],"&gt;0")</f>
        <v>0</v>
      </c>
      <c r="LK112" s="6">
        <f>COUNTIFS(Table23[Country],Tabela1[[#This Row],[Country]],Table23[61kg Classification],"&gt;0")</f>
        <v>0</v>
      </c>
      <c r="LL112" s="6">
        <f>COUNTIFS(Table23[Country],Tabela1[[#This Row],[Country]],Table23[73kg Classification],"&gt;0")</f>
        <v>0</v>
      </c>
      <c r="LM112" s="6">
        <f>COUNTIFS(Table23[Country],Tabela1[[#This Row],[Country]],Table23[89kg Classification],"&gt;0")</f>
        <v>0</v>
      </c>
      <c r="LN112" s="6">
        <f>COUNTIFS(Table23[Country],Tabela1[[#This Row],[Country]],Table23[102kg Classification],"&gt;0")</f>
        <v>0</v>
      </c>
      <c r="LO112" s="6">
        <f>COUNTIFS(Table23[Country],Tabela1[[#This Row],[Country]],Table23[Plus 102kg Classification],"&gt;0")</f>
        <v>0</v>
      </c>
      <c r="LP112" s="6">
        <f>COUNTIFS(Table28[Country],Tabela1[[#This Row],[Country]],Table28[49kg Classification],"&gt;0")</f>
        <v>0</v>
      </c>
      <c r="LQ112" s="6">
        <f>COUNTIFS(Table28[Country],Tabela1[[#This Row],[Country]],Table28[59kg Classification],"&gt;0")</f>
        <v>0</v>
      </c>
      <c r="LR112" s="6">
        <f>COUNTIFS(Table28[Country],Tabela1[[#This Row],[Country]],Table28[71kg Classification],"&gt;0")</f>
        <v>0</v>
      </c>
      <c r="LS112" s="6">
        <f>COUNTIFS(Table28[Country],Tabela1[[#This Row],[Country]],Table28[81kg Classification],"&gt;0")</f>
        <v>0</v>
      </c>
      <c r="LT112" s="6">
        <f>COUNTIFS(Table28[Country],Tabela1[[#This Row],[Country]],Table28[Plus 81kg Classification],"&gt;0")</f>
        <v>0</v>
      </c>
      <c r="LU112" s="6">
        <f>COUNTIFS(Table24[Country],Tabela1[[#This Row],[Country]],Table24[Freestyle 57kg Classification],"&gt;0")</f>
        <v>0</v>
      </c>
      <c r="LV112" s="6">
        <f>COUNTIFS(Table24[Country],Tabela1[[#This Row],[Country]],Table24[Freestyle 65kg Classification],"&gt;0")</f>
        <v>0</v>
      </c>
      <c r="LW112" s="6">
        <f>COUNTIFS(Table24[Country],Tabela1[[#This Row],[Country]],Table24[Freestyle 74kg Classification],"&gt;0")</f>
        <v>0</v>
      </c>
      <c r="LX112" s="6">
        <f>COUNTIFS(Table24[Country],Tabela1[[#This Row],[Country]],Table24[Freestyle 86kg Classification],"&gt;0")</f>
        <v>0</v>
      </c>
      <c r="LY112" s="6">
        <f>COUNTIFS(Table24[Country],Tabela1[[#This Row],[Country]],Table24[Freestyle 97kg Classification],"&gt;0")</f>
        <v>0</v>
      </c>
      <c r="LZ112" s="6">
        <f>COUNTIFS(Table24[Country],Tabela1[[#This Row],[Country]],Table24[Freestyle 125kg Classification],"&gt;0")</f>
        <v>0</v>
      </c>
      <c r="MA112" s="6">
        <f>COUNTIFS(Table24[Country],Tabela1[[#This Row],[Country]],Table24[Greco-Roman 60kg Classification],"&gt;0")</f>
        <v>0</v>
      </c>
      <c r="MB112" s="6">
        <f>COUNTIFS(Table24[Country],Tabela1[[#This Row],[Country]],Table24[Greco-Roman 67kg Classification],"&gt;0")</f>
        <v>0</v>
      </c>
      <c r="MC112" s="6">
        <f>COUNTIFS(Table24[Country],Tabela1[[#This Row],[Country]],Table24[Greco-Roman 77kg Classification],"&gt;0")</f>
        <v>0</v>
      </c>
      <c r="MD112" s="6">
        <f>COUNTIFS(Table24[Country],Tabela1[[#This Row],[Country]],Table24[Greco-Roman 87kg Classification],"&gt;0")</f>
        <v>0</v>
      </c>
      <c r="ME112" s="6">
        <f>COUNTIFS(Table24[Country],Tabela1[[#This Row],[Country]],Table24[Greco-Roman 97kg Classification],"&gt;0")</f>
        <v>0</v>
      </c>
      <c r="MF112" s="6">
        <f>COUNTIFS(Table24[Country],Tabela1[[#This Row],[Country]],Table24[Greco-Roman 130kg Classification],"&gt;0")</f>
        <v>0</v>
      </c>
      <c r="MG112" s="6">
        <f>COUNTIFS(Table31[Country],Tabela1[[#This Row],[Country]],Table31[50kg Classification],"&gt;0")</f>
        <v>0</v>
      </c>
      <c r="MH112" s="6">
        <f>COUNTIFS(Table31[Country],Tabela1[[#This Row],[Country]],Table31[53kg Classification],"&gt;0")</f>
        <v>0</v>
      </c>
      <c r="MI112" s="6">
        <f>COUNTIFS(Table31[Country],Tabela1[[#This Row],[Country]],Table31[57kg Classification],"&gt;0")</f>
        <v>0</v>
      </c>
      <c r="MJ112" s="6">
        <f>COUNTIFS(Table31[Country],Tabela1[[#This Row],[Country]],Table31[62kg Classification],"&gt;0")</f>
        <v>0</v>
      </c>
      <c r="MK112" s="6">
        <f>COUNTIFS(Table31[Country],Tabela1[[#This Row],[Country]],Table31[68kg Classification],"&gt;0")</f>
        <v>0</v>
      </c>
      <c r="ML112" s="6">
        <f>COUNTIFS(Table31[Country],Tabela1[[#This Row],[Country]],Table31[76kg Classification],"&gt;0")</f>
        <v>0</v>
      </c>
      <c r="MM112" s="6">
        <f>COUNTIFS(Table102[Country],Tabela1[[#This Row],[Country]],Table102[Downhill Classification],"&gt;0")</f>
        <v>0</v>
      </c>
      <c r="MN112" s="6">
        <f>COUNTIFS(Table102105[Country],Tabela1[[#This Row],[Country]],Table102105[Downhill Classification],"&gt;0")</f>
        <v>0</v>
      </c>
      <c r="MO112" s="6">
        <f>COUNTIFS(Table102[Country],Tabela1[[#This Row],[Country]],Table102[Giant Slalom Classification],"&gt;0")</f>
        <v>0</v>
      </c>
      <c r="MP112" s="6">
        <f>COUNTIFS(Table102105[Country],Tabela1[[#This Row],[Country]],Table102105[Giant Slalom Classification],"&gt;0")</f>
        <v>0</v>
      </c>
      <c r="MQ112" s="6">
        <f>COUNTIFS(Table102[Country],Tabela1[[#This Row],[Country]],Table102[Slalom Classification],"&gt;0")</f>
        <v>0</v>
      </c>
      <c r="MR112" s="6">
        <f>COUNTIFS(Table102105[Country],Tabela1[[#This Row],[Country]],Table102105[Slalom Classification],"&gt;0")</f>
        <v>0</v>
      </c>
      <c r="MS112" s="6">
        <f>COUNTIFS(Table102[Country],Tabela1[[#This Row],[Country]],Table102[Super-G Classification],"&gt;0")</f>
        <v>0</v>
      </c>
      <c r="MT112" s="6">
        <f>COUNTIFS(Table102105[Country],Tabela1[[#This Row],[Country]],Table102105[Super-G Classification],"&gt;0")</f>
        <v>0</v>
      </c>
      <c r="MU112" s="6">
        <f>COUNTIFS(Table105[Country],Tabela1[[#This Row],[Country]],Table105[Men''s Combined Classification],"&gt;0")</f>
        <v>0</v>
      </c>
      <c r="MV112" s="6">
        <f>COUNTIFS(Table105[Country],Tabela1[[#This Row],[Country]],Table105[Women''s Combined Classification],"&gt;0")</f>
        <v>0</v>
      </c>
      <c r="MW112" s="6">
        <f>COUNTIFS(Table106[Country],Tabela1[[#This Row],[Country]],Table106[Individual Classification],"&gt;0")</f>
        <v>0</v>
      </c>
      <c r="MX112" s="6">
        <f>COUNTIFS(Table106109[Country],Tabela1[[#This Row],[Country]],Table106109[Individual Classification],"&gt;0")</f>
        <v>0</v>
      </c>
      <c r="MY112" s="6">
        <f>COUNTIFS(Table106[Country],Tabela1[[#This Row],[Country]],Table106[Mass Start Classification],"&gt;0")</f>
        <v>0</v>
      </c>
      <c r="MZ112" s="6">
        <f>COUNTIFS(Table106109[Country],Tabela1[[#This Row],[Country]],Table106109[Mass Start Classification],"&gt;0")</f>
        <v>0</v>
      </c>
      <c r="NA112" s="6">
        <f>COUNTIFS(Table106[Country],Tabela1[[#This Row],[Country]],Table106[Pursuit Classification],"&gt;0")</f>
        <v>0</v>
      </c>
      <c r="NB112" s="6">
        <f>COUNTIFS(Table106109[Country],Tabela1[[#This Row],[Country]],Table106109[Pursuit Classification],"&gt;0")</f>
        <v>0</v>
      </c>
      <c r="NC112" s="6">
        <f>COUNTIFS(Table106[Country],Tabela1[[#This Row],[Country]],Table106[Sprint Classification],"&gt;0")</f>
        <v>0</v>
      </c>
      <c r="ND112" s="6">
        <f>COUNTIFS(Table106109[Country],Tabela1[[#This Row],[Country]],Table106109[Sprint Classification],"&gt;0")</f>
        <v>0</v>
      </c>
      <c r="NE112" s="6">
        <f>COUNTIFS(Table109[Country],Tabela1[[#This Row],[Country]],Table109[Men''s Relay Classification],"&gt;0")</f>
        <v>0</v>
      </c>
      <c r="NF112" s="6">
        <f>COUNTIFS(Table109[Country],Tabela1[[#This Row],[Country]],Table109[Women''s Relay Classification],"&gt;0")</f>
        <v>0</v>
      </c>
      <c r="NG112" s="6">
        <f>COUNTIFS(Table109[Country],Tabela1[[#This Row],[Country]],Table109[Mixed Relay Classification],"&gt;0")</f>
        <v>0</v>
      </c>
      <c r="NH112" s="6">
        <f>COUNTIFS(Table110[Country],Tabela1[[#This Row],[Country]],Table110[Monobob Classification],"&gt;0")</f>
        <v>0</v>
      </c>
      <c r="NI112" s="6">
        <f>COUNTIFS(Table111[Country],Tabela1[[#This Row],[Country]],Table111[Men''s Classification],"&gt;0")</f>
        <v>0</v>
      </c>
      <c r="NJ112" s="6">
        <f>COUNTIFS(Table111[Country],Tabela1[[#This Row],[Country]],Table111[Women''s Classification],"&gt;0")</f>
        <v>0</v>
      </c>
      <c r="NK112" s="6">
        <f>COUNTIFS(Table112[Country],Tabela1[[#This Row],[Country]],Table112[Men''s Four Classification],"&gt;0")</f>
        <v>0</v>
      </c>
      <c r="NL112" s="6">
        <f>COUNTIFS(Table113[Country],Tabela1[[#This Row],[Country]],Table113[Classical Classification],"&gt;0")</f>
        <v>0</v>
      </c>
      <c r="NM112" s="6">
        <f>COUNTIFS(Table113116[Country],Tabela1[[#This Row],[Country]],Table113116[Classical Classification],"&gt;0")</f>
        <v>0</v>
      </c>
      <c r="NN112" s="6">
        <f>COUNTIFS(Table113[Country],Tabela1[[#This Row],[Country]],Table113[Freestyle Classification],"&gt;0")</f>
        <v>0</v>
      </c>
      <c r="NO112" s="6">
        <f>COUNTIFS(Table113116[Country],Tabela1[[#This Row],[Country]],Table113116[Freestyle Classification],"&gt;0")</f>
        <v>0</v>
      </c>
      <c r="NP112" s="6">
        <f>COUNTIFS(Table117[Country],Tabela1[[#This Row],[Country]],Table117[Men''s Relay Classification],"&gt;0")</f>
        <v>0</v>
      </c>
      <c r="NQ112" s="6">
        <f>COUNTIFS(Table117[Country],Tabela1[[#This Row],[Country]],Table117[Women''s Relay Classification],"&gt;0")</f>
        <v>0</v>
      </c>
      <c r="NR112" s="6">
        <f>COUNTIFS(Table113[Country],Tabela1[[#This Row],[Country]],Table113[Skiathlon Classification],"&gt;0")</f>
        <v>0</v>
      </c>
      <c r="NS112" s="6">
        <f>COUNTIFS(Table113116[Country],Tabela1[[#This Row],[Country]],Table113116[Skiathlon Classification],"&gt;0")</f>
        <v>0</v>
      </c>
      <c r="NT112" s="6">
        <f>COUNTIFS(Table113[Country],Tabela1[[#This Row],[Country]],Table113[Sprint Classification],"&gt;0")</f>
        <v>0</v>
      </c>
      <c r="NU112" s="6">
        <f>COUNTIFS(Table113116[Country],Tabela1[[#This Row],[Country]],Table113116[Sprint Classification],"&gt;0")</f>
        <v>0</v>
      </c>
      <c r="NV112" s="6">
        <f>COUNTIFS(Table116[Country],Tabela1[[#This Row],[Country]],Table116[Men''s Team Sprint Classification],"&gt;0")</f>
        <v>0</v>
      </c>
      <c r="NW112" s="6">
        <f>COUNTIFS(Table116[Country],Tabela1[[#This Row],[Country]],Table116[Women''s Team Sprint Classification],"&gt;0")</f>
        <v>0</v>
      </c>
      <c r="NX112" s="6">
        <f>COUNTIFS(Table119[Country],Tabela1[[#This Row],[Country]],Table119[Men''s Classification],"&gt;0")</f>
        <v>0</v>
      </c>
      <c r="NY112" s="6">
        <f>COUNTIFS(Table119[Country],Tabela1[[#This Row],[Country]],Table119[Women''s Classification],"&gt;0")</f>
        <v>0</v>
      </c>
      <c r="NZ112" s="6">
        <f>COUNTIFS(Table118[Country],Tabela1[[#This Row],[Country]],Table118[Mixed Classification],"&gt;0")</f>
        <v>0</v>
      </c>
      <c r="OA112" s="6">
        <f>COUNTIFS(Table120[Country],Tabela1[[#This Row],[Country]],Table120[Classification],"&gt;0")</f>
        <v>0</v>
      </c>
      <c r="OB112" s="6">
        <f>COUNTIFS(Table120123[Country],Tabela1[[#This Row],[Country]],Table120123[Classification],"&gt;0")</f>
        <v>0</v>
      </c>
      <c r="OC112" s="6">
        <f>COUNTIFS(Table123[Country],Tabela1[[#This Row],[Country]],Table123[Ice Dance Classification],"&gt;0")</f>
        <v>0</v>
      </c>
      <c r="OD112" s="6">
        <f>COUNTIFS(Table123[Country],Tabela1[[#This Row],[Country]],Table123[Pair Skating Classification],"&gt;0")</f>
        <v>0</v>
      </c>
      <c r="OE112" s="6">
        <f>COUNTIFS(Table124[Country],Tabela1[[#This Row],[Country]],Table124[Mixed Classification],"&gt;0")</f>
        <v>0</v>
      </c>
      <c r="OF112" s="6">
        <f>COUNTIFS(Table125[Country],Tabela1[[#This Row],[Country]],Table125[Aerials Classification],"&gt;0")</f>
        <v>0</v>
      </c>
      <c r="OG112" s="6">
        <f>COUNTIFS(Table125128[Country],Tabela1[[#This Row],[Country]],Table125128[Aerials Classification],"&gt;0")</f>
        <v>0</v>
      </c>
      <c r="OH112" s="6">
        <f>COUNTIFS(Table128[Country],Tabela1[[#This Row],[Country]],Table128[Mixed Aerials Classification],"&gt;0")</f>
        <v>0</v>
      </c>
      <c r="OI112" s="6">
        <f>COUNTIFS(Table125[Country],Tabela1[[#This Row],[Country]],Table125[Big Air Classification],"&gt;0")</f>
        <v>0</v>
      </c>
      <c r="OJ112" s="6">
        <f>COUNTIFS(Table125128[Country],Tabela1[[#This Row],[Country]],Table125128[Big Air Classification],"&gt;0")</f>
        <v>0</v>
      </c>
      <c r="OK112" s="6">
        <f>COUNTIFS(Table125[Country],Tabela1[[#This Row],[Country]],Table125[Dual Moguls Classification],"&gt;0")</f>
        <v>0</v>
      </c>
      <c r="OL112" s="6">
        <f>COUNTIFS(Table125128[Country],Tabela1[[#This Row],[Country]],Table125128[Dual Moguls Classification],"&gt;0")</f>
        <v>0</v>
      </c>
      <c r="OM112" s="6">
        <f>COUNTIFS(Table125[Country],Tabela1[[#This Row],[Country]],Table125[Halfpipe Classification],"&gt;0")</f>
        <v>0</v>
      </c>
      <c r="ON112" s="6">
        <f>COUNTIFS(Table125128[Country],Tabela1[[#This Row],[Country]],Table125128[Halfpipe Classification],"&gt;0")</f>
        <v>0</v>
      </c>
      <c r="OO112" s="6">
        <f>COUNTIFS(Table125[Country],Tabela1[[#This Row],[Country]],Table125[Moguls Classification],"&gt;0")</f>
        <v>0</v>
      </c>
      <c r="OP112" s="6">
        <f>COUNTIFS(Table125128[Country],Tabela1[[#This Row],[Country]],Table125128[Moguls Classification],"&gt;0")</f>
        <v>0</v>
      </c>
      <c r="OQ112" s="6">
        <f>COUNTIFS(Table125[Country],Tabela1[[#This Row],[Country]],Table125[Ski Cross Classification],"&gt;0")</f>
        <v>0</v>
      </c>
      <c r="OR112" s="6">
        <f>COUNTIFS(Table125128[Country],Tabela1[[#This Row],[Country]],Table125128[Ski Cross Classification],"&gt;0")</f>
        <v>0</v>
      </c>
      <c r="OS112" s="6">
        <f>COUNTIFS(Table125[Country],Tabela1[[#This Row],[Country]],Table125[Slopestyle Classification],"&gt;0")</f>
        <v>0</v>
      </c>
      <c r="OT112" s="6">
        <f>COUNTIFS(Table125128[Country],Tabela1[[#This Row],[Country]],Table125128[Slopestyle Classification],"&gt;0")</f>
        <v>0</v>
      </c>
      <c r="OU112" s="6">
        <f>COUNTIFS(Table119131[Country],Tabela1[[#This Row],[Country]],Table119131[Men''s Classification],"&gt;0")</f>
        <v>0</v>
      </c>
      <c r="OV112" s="6">
        <f>COUNTIFS(Table119131[Country],Tabela1[[#This Row],[Country]],Table119131[Women''s Classification],"&gt;0")</f>
        <v>0</v>
      </c>
      <c r="OW112" s="6">
        <f>COUNTIFS(Table131[Country],Tabela1[[#This Row],[Country]],Table131[Classification],"&gt;0")</f>
        <v>0</v>
      </c>
      <c r="OX112" s="6">
        <f>COUNTIFS(Table131134[Country],Tabela1[[#This Row],[Country]],Table131134[Classification],"&gt;0")</f>
        <v>0</v>
      </c>
      <c r="OY112" s="6">
        <f>COUNTIFS(Table134[Country],Tabela1[[#This Row],[Country]],Table134[Men''s Classification],"&gt;0")</f>
        <v>0</v>
      </c>
      <c r="OZ112" s="6">
        <f>COUNTIFS(Table134[Country],Tabela1[[#This Row],[Country]],Table134[Women''s Classification],"&gt;0")</f>
        <v>0</v>
      </c>
      <c r="PA112" s="6">
        <f>COUNTIFS(Table135[Country],Tabela1[[#This Row],[Country]],Table135[Mixed Relay Classification],"&gt;0")</f>
        <v>0</v>
      </c>
      <c r="PB112" s="6">
        <f>COUNTIFS(Table136[Country],Tabela1[[#This Row],[Country]],Table136[Individual Classification],"&gt;0")</f>
        <v>0</v>
      </c>
      <c r="PC112" s="6">
        <f>COUNTIFS(Table136[Country],Tabela1[[#This Row],[Country]],Table136[Sprint Classification],"&gt;0")</f>
        <v>0</v>
      </c>
      <c r="PD112" s="6">
        <f>COUNTIFS(Table137[Country],Tabela1[[#This Row],[Country]],Table137[Men''s Team Sprint Large Hill Classification],"&gt;0")</f>
        <v>0</v>
      </c>
      <c r="PE112" s="6">
        <f>COUNTIFS(Table138[Country],Tabela1[[#This Row],[Country]],Table138[500m Classification],"&gt;0")</f>
        <v>0</v>
      </c>
      <c r="PF112" s="6">
        <f>COUNTIFS(Table138141[Country],Tabela1[[#This Row],[Country]],Table138141[500m Classification],"&gt;0")</f>
        <v>0</v>
      </c>
      <c r="PG112" s="6">
        <f>COUNTIFS(Table138[Country],Tabela1[[#This Row],[Country]],Table138[1000m Classification],"&gt;0")</f>
        <v>0</v>
      </c>
      <c r="PH112" s="6">
        <f>COUNTIFS(Table138141[Country],Tabela1[[#This Row],[Country]],Table138141[1000m Classification],"&gt;0")</f>
        <v>0</v>
      </c>
      <c r="PI112" s="6">
        <f>COUNTIFS(Table138[Country],Tabela1[[#This Row],[Country]],Table138[1500m Classification],"&gt;0")</f>
        <v>0</v>
      </c>
      <c r="PJ112" s="6">
        <f>COUNTIFS(Table138141[Country],Tabela1[[#This Row],[Country]],Table138141[1500m Classification],"&gt;0")</f>
        <v>0</v>
      </c>
      <c r="PK112" s="6">
        <f>COUNTIFS(Table141[Country],Tabela1[[#This Row],[Country]],Table141[Men''s 5000m Relay Classification],"&gt;0")</f>
        <v>0</v>
      </c>
      <c r="PL112" s="6">
        <f>COUNTIFS(Table141[Country],Tabela1[[#This Row],[Country]],Table141[Women''s 3000m Relay Classification],"&gt;0")</f>
        <v>0</v>
      </c>
      <c r="PM112" s="6">
        <f>COUNTIFS(Table141[Country],Tabela1[[#This Row],[Country]],Table141[Mixed 2000m Relay Classification],"&gt;0")</f>
        <v>0</v>
      </c>
      <c r="PN112" s="6">
        <f>COUNTIFS(Table142[Country],Tabela1[[#This Row],[Country]],Table142[Classification],"&gt;0")</f>
        <v>0</v>
      </c>
      <c r="PO112" s="6">
        <f>COUNTIFS(Table142145[Country],Tabela1[[#This Row],[Country]],Table142145[Classification],"&gt;0")</f>
        <v>0</v>
      </c>
      <c r="PP112" s="6">
        <f>COUNTIFS(Tabela15[Country],Tabela1[[#This Row],[Country]],Tabela15[Mixed Team Classification],"&gt;0")</f>
        <v>0</v>
      </c>
      <c r="PQ112" s="6">
        <f>COUNTIFS(Table145[Country],Tabela1[[#This Row],[Country]],Table145[Large Hill Classification],"&gt;0")</f>
        <v>0</v>
      </c>
      <c r="PR112" s="6">
        <f>COUNTIFS(Table145[Country],Tabela1[[#This Row],[Country]],Table145[Normal Hill Classification],"&gt;0")</f>
        <v>0</v>
      </c>
      <c r="PS112" s="6">
        <f>COUNTIFS(Table145148[Country],Tabela1[[#This Row],[Country]],Table145148[Large Hill Classification],"&gt;0")</f>
        <v>0</v>
      </c>
      <c r="PT112" s="6">
        <f>COUNTIFS(Table145148[Country],Tabela1[[#This Row],[Country]],Table145148[Normal Hill Classification],"&gt;0")</f>
        <v>0</v>
      </c>
      <c r="PU112" s="6">
        <f>COUNTIFS(Table148[Country],Tabela1[[#This Row],[Country]],Table148[Men''s Super Team Classification],"&gt;0")</f>
        <v>0</v>
      </c>
      <c r="PV112" s="6">
        <f>COUNTIFS(Tabela114[Country],Tabela1[[#This Row],[Country]],Tabela114[Mixed Normal Hill Classification],"&gt;0")</f>
        <v>0</v>
      </c>
      <c r="PW112" s="6">
        <f>COUNTIFS(Tabela50[Country],Tabela1[[#This Row],[Country]],Tabela50[Sprint Classification],"&gt;0")</f>
        <v>0</v>
      </c>
      <c r="PX112" s="6">
        <f>COUNTIFS(Tabela50101[Country],Tabela1[[#This Row],[Country]],Tabela50101[Sprint Classification],"&gt;0")</f>
        <v>0</v>
      </c>
      <c r="PY112" s="6">
        <f>COUNTIFS(Tabela103[Country],Tabela1[[#This Row],[Country]],Tabela103[Mixed Relay Classification],"&gt;0")</f>
        <v>0</v>
      </c>
      <c r="PZ112" s="6">
        <f>COUNTIFS(Table149[Country],Tabela1[[#This Row],[Country]],Table149[Big Air Classification],"&gt;0")</f>
        <v>0</v>
      </c>
      <c r="QA112" s="6">
        <f>COUNTIFS(Table149152[Country],Tabela1[[#This Row],[Country]],Table149152[Big Air Classification],"&gt;0")</f>
        <v>0</v>
      </c>
      <c r="QB112" s="6">
        <f>COUNTIFS(Table149[Country],Tabela1[[#This Row],[Country]],Table149[Halfpipe Classification],"&gt;0")</f>
        <v>0</v>
      </c>
      <c r="QC112" s="6">
        <f>COUNTIFS(Table149152[Country],Tabela1[[#This Row],[Country]],Table149152[Halfpipe Classification],"&gt;0")</f>
        <v>0</v>
      </c>
      <c r="QD112" s="6">
        <f>COUNTIFS(Table149[Country],Tabela1[[#This Row],[Country]],Table149[Parallel Giant Slalom Classification],"&gt;0")</f>
        <v>0</v>
      </c>
      <c r="QE112" s="6">
        <f>COUNTIFS(Table149152[Country],Tabela1[[#This Row],[Country]],Table149152[Parallel Giant Slalom Classification],"&gt;0")</f>
        <v>0</v>
      </c>
      <c r="QF112" s="6">
        <f>COUNTIFS(Table149[Country],Tabela1[[#This Row],[Country]],Table149[Slopestyle Classification],"&gt;0")</f>
        <v>0</v>
      </c>
      <c r="QG112" s="6">
        <f>COUNTIFS(Table149152[Country],Tabela1[[#This Row],[Country]],Table149152[Slopestyle Classification],"&gt;0")</f>
        <v>0</v>
      </c>
      <c r="QH112" s="6">
        <f>COUNTIFS(Table149[Country],Tabela1[[#This Row],[Country]],Table149[Snowboard Cross Classification],"&gt;0")</f>
        <v>0</v>
      </c>
      <c r="QI112" s="6">
        <f>COUNTIFS(Table149152[Country],Tabela1[[#This Row],[Country]],Table149152[Snowboard Cross Classification],"&gt;0")</f>
        <v>0</v>
      </c>
      <c r="QJ112" s="6">
        <f>COUNTIFS(Table153[Country],Tabela1[[#This Row],[Country]],Table153[Mixed Team Snowboard Cross Classification],"&gt;0")</f>
        <v>0</v>
      </c>
      <c r="QK112" s="6">
        <f>COUNTIFS(Table154[Country],Tabela1[[#This Row],[Country]],Table154[500m Classification],"&gt;0")</f>
        <v>0</v>
      </c>
      <c r="QL112" s="6">
        <f>COUNTIFS(Table154157[Country],Tabela1[[#This Row],[Country]],Table154157[500m Classification],"&gt;0")</f>
        <v>0</v>
      </c>
      <c r="QM112" s="6">
        <f>COUNTIFS(Table154[Country],Tabela1[[#This Row],[Country]],Table154[1000m Classification],"&gt;0")</f>
        <v>0</v>
      </c>
      <c r="QN112" s="6">
        <f>COUNTIFS(Table154157[Country],Tabela1[[#This Row],[Country]],Table154157[1000m Classification],"&gt;0")</f>
        <v>0</v>
      </c>
      <c r="QO112" s="6">
        <f>COUNTIFS(Table154[Country],Tabela1[[#This Row],[Country]],Table154[1500m Classification],"&gt;0")</f>
        <v>0</v>
      </c>
      <c r="QP112" s="6">
        <f>COUNTIFS(Table154157[Country],Tabela1[[#This Row],[Country]],Table154157[1500m Classification],"&gt;0")</f>
        <v>0</v>
      </c>
      <c r="QQ112" s="6">
        <f>COUNTIFS(Table154157[Country],Tabela1[[#This Row],[Country]],Table154157[3000m Classification],"&gt;0")</f>
        <v>0</v>
      </c>
      <c r="QR112" s="6">
        <f>COUNTIFS(Table154[Country],Tabela1[[#This Row],[Country]],Table154[5000m Classification],"&gt;0")</f>
        <v>0</v>
      </c>
      <c r="QS112" s="6">
        <f>COUNTIFS(Table154157[Country],Tabela1[[#This Row],[Country]],Table154157[5000m Classification],"&gt;0")</f>
        <v>0</v>
      </c>
      <c r="QT112" s="6">
        <f>COUNTIFS(Table154[Country],Tabela1[[#This Row],[Country]],Table154[10000m Classification],"&gt;0")</f>
        <v>0</v>
      </c>
      <c r="QU112" s="6">
        <f>COUNTIFS(Table154[Country],Tabela1[[#This Row],[Country]],Table154[Mass Start Classification],"&gt;0")</f>
        <v>0</v>
      </c>
      <c r="QV112" s="6">
        <f>COUNTIFS(Table154157[Country],Tabela1[[#This Row],[Country]],Table154157[Mass Start Classification],"&gt;0")</f>
        <v>0</v>
      </c>
      <c r="QW112" s="6">
        <f>COUNTIFS(Table157[Country],Tabela1[[#This Row],[Country]],Table157[Men''s Pursuit Classification],"&gt;0")</f>
        <v>0</v>
      </c>
      <c r="QX112" s="6">
        <f>COUNTIFS(Table157[Country],Tabela1[[#This Row],[Country]],Table157[Women''s Pursuit Classification],"&gt;0")</f>
        <v>0</v>
      </c>
      <c r="QY112" s="3" t="s">
        <v>689</v>
      </c>
    </row>
    <row r="113" spans="1:467" x14ac:dyDescent="0.3">
      <c r="A113" s="6">
        <v>112</v>
      </c>
      <c r="B113" s="6" t="s">
        <v>578</v>
      </c>
      <c r="C113" t="e" vm="112">
        <f>IF(ISBLANK(Tabela1[[#This Row],[Image Link]]), "", _xlfn.IMAGE(Tabela1[[#This Row],[Image Link]],1,1))</f>
        <v>#VALUE!</v>
      </c>
      <c r="D113" s="6">
        <f>SUM(Tabela1[[#This Row],[Archery - Men''s Individual Recurve]:[Speed Skating - Women''s Team Pursuit]])</f>
        <v>3</v>
      </c>
      <c r="E113" s="6">
        <f>COUNTIF(Tabela1[[#This Row],[Archery - Men''s Individual Recurve]:[Speed Skating - Women''s Team Pursuit]],"&gt;0")</f>
        <v>3</v>
      </c>
      <c r="F113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13" s="6">
        <f>SUM(Tabela1[[#This Row],[Archery - Men''s Individual Recurve]:[Wrestling - Women''s Freestyle 76kg]])</f>
        <v>3</v>
      </c>
      <c r="H113" s="6">
        <f>SUM(Tabela1[[#This Row],[Alpine Skiing - Men''s Downhill]:[Speed Skating - Women''s Team Pursuit]])</f>
        <v>0</v>
      </c>
      <c r="I113" s="6">
        <f>Tabela1[[#This Row],[Summer Gold Medals]]+Tabela1[[#This Row],[Winter Gold Medals]]</f>
        <v>0</v>
      </c>
      <c r="J113" s="6">
        <f>Tabela1[[#This Row],[Summer Silver Medals]]+Tabela1[[#This Row],[Winter Silver Medals]]</f>
        <v>0</v>
      </c>
      <c r="K113" s="6">
        <f>Tabela1[[#This Row],[Summer Bronze Medals]]+Tabela1[[#This Row],[Winter Bronze Medals]]</f>
        <v>0</v>
      </c>
      <c r="L113" s="6">
        <f>SUM(Tabela1[[#This Row],[Total Gold Medals]:[Total Bronze Medals]])</f>
        <v>0</v>
      </c>
      <c r="M113" s="6"/>
      <c r="N113" s="6"/>
      <c r="O113" s="6"/>
      <c r="P113" s="6">
        <f>SUM(Tabela1[[#This Row],[Summer Gold Medals]:[Summer Bronze Medals]])</f>
        <v>0</v>
      </c>
      <c r="Q113" s="6"/>
      <c r="R113" s="6"/>
      <c r="S113" s="6"/>
      <c r="T113" s="6">
        <f>Tabela1[[#This Row],[Winter Gold Medals]]+Tabela1[[#This Row],[Winter Silver Medals]]+Tabela1[[#This Row],[Winter Bronze Medals]]</f>
        <v>0</v>
      </c>
      <c r="U113" s="7">
        <f>Tabela1[[#This Row],[Total Medals]]/Tabela1[[#This Row],[Total Quotas]]</f>
        <v>0</v>
      </c>
      <c r="V113" s="6">
        <f>COUNTIFS(Table3[Country],Tabela1[[#This Row],[Country]],Table3[Recurve Classification],"&gt;0")</f>
        <v>0</v>
      </c>
      <c r="W113" s="6">
        <f>COUNTIFS(Table33[Country],Tabela1[[#This Row],[Country]],Table33[Recurve Classification],"&gt;0")</f>
        <v>0</v>
      </c>
      <c r="X113" s="6">
        <f>COUNTIFS(Table35[Country],Tabela1[[#This Row],[Country]],Table35[Men''s Team Recurve Classification],"&gt;0")</f>
        <v>0</v>
      </c>
      <c r="Y113" s="6">
        <f>COUNTIFS(Table35[Country],Tabela1[[#This Row],[Country]],Table35[Women''s Team Recurve Classification],"&gt;0")</f>
        <v>0</v>
      </c>
      <c r="Z113" s="6">
        <f>COUNTIFS(Tabela88[Country],Tabela1[[#This Row],[Country]],Tabela88[Mixed Team Recurve Classification],"&gt;0")</f>
        <v>0</v>
      </c>
      <c r="AA113" s="6">
        <f>COUNTIFS(Table36[Country],Tabela1[[#This Row],[Country]],Table36[Classification],"&gt;0")</f>
        <v>0</v>
      </c>
      <c r="AB113" s="6">
        <f>COUNTIFS(Table37[Country],Tabela1[[#This Row],[Country]],Table37[Classification],"&gt;0")</f>
        <v>0</v>
      </c>
      <c r="AC113" s="6">
        <f>COUNTIFS(Table4[Country],Tabela1[[#This Row],[Country]],Table4[100m Classification],"&gt;0")</f>
        <v>0</v>
      </c>
      <c r="AD113" s="6">
        <f>COUNTIFS(Table5[Country],Tabela1[[#This Row],[Country]],Table5[100m Classification],"&gt;0")</f>
        <v>0</v>
      </c>
      <c r="AE113" s="6">
        <f>COUNTIFS(Table4[Country],Tabela1[[#This Row],[Country]],Table4[200m Classification],"&gt;0")</f>
        <v>0</v>
      </c>
      <c r="AF113" s="6">
        <f>COUNTIFS(Table5[Country],Tabela1[[#This Row],[Country]],Table5[200m Classification],"&gt;0")</f>
        <v>0</v>
      </c>
      <c r="AG113" s="6">
        <f>COUNTIFS(Table4[Country],Tabela1[[#This Row],[Country]],Table4[400m Classification],"&gt;0")</f>
        <v>0</v>
      </c>
      <c r="AH113" s="6">
        <f>COUNTIFS(Table5[Country],Tabela1[[#This Row],[Country]],Table5[400m Classification],"&gt;0")</f>
        <v>0</v>
      </c>
      <c r="AI113" s="6">
        <f>COUNTIFS(Table4[Country],Tabela1[[#This Row],[Country]],Table4[800m Classification],"&gt;0")</f>
        <v>0</v>
      </c>
      <c r="AJ113" s="6">
        <f>COUNTIFS(Table5[Country],Tabela1[[#This Row],[Country]],Table5[800m Classification],"&gt;0")</f>
        <v>0</v>
      </c>
      <c r="AK113" s="6">
        <f>COUNTIFS(Table4[Country],Tabela1[[#This Row],[Country]],Table4[1500m Classification],"&gt;0")</f>
        <v>0</v>
      </c>
      <c r="AL113" s="6">
        <f>COUNTIFS(Table5[Country],Tabela1[[#This Row],[Country]],Table5[1500m Classification],"&gt;0")</f>
        <v>0</v>
      </c>
      <c r="AM113" s="6">
        <f>COUNTIFS(Table4[Country],Tabela1[[#This Row],[Country]],Table4[5000m Classification],"&gt;0")</f>
        <v>0</v>
      </c>
      <c r="AN113" s="6">
        <f>COUNTIFS(Table5[Country],Tabela1[[#This Row],[Country]],Table5[5000m Classification],"&gt;0")</f>
        <v>0</v>
      </c>
      <c r="AO113" s="6">
        <f>COUNTIFS(Table4[Country],Tabela1[[#This Row],[Country]],Table4[10000m Classification],"&gt;0")</f>
        <v>0</v>
      </c>
      <c r="AP113" s="6">
        <f>COUNTIFS(Table5[Country],Tabela1[[#This Row],[Country]],Table5[10000m Classification],"&gt;0")</f>
        <v>0</v>
      </c>
      <c r="AQ113" s="6">
        <f>COUNTIFS(Table4[Country],Tabela1[[#This Row],[Country]],Table4[110m Hurdles Classification],"&gt;0")</f>
        <v>0</v>
      </c>
      <c r="AR113" s="6">
        <f>COUNTIFS(Table5[Country],Tabela1[[#This Row],[Country]],Table5[100m Hurdles Classification],"&gt;0")</f>
        <v>0</v>
      </c>
      <c r="AS113" s="6">
        <f>COUNTIFS(Table4[Country],Tabela1[[#This Row],[Country]],Table4[400m Hurdles Classification],"&gt;0")</f>
        <v>0</v>
      </c>
      <c r="AT113" s="6">
        <f>COUNTIFS(Table5[Country],Tabela1[[#This Row],[Country]],Table5[400m Hurdles Classification],"&gt;0")</f>
        <v>0</v>
      </c>
      <c r="AU113" s="6">
        <f>COUNTIFS(Table4[Country],Tabela1[[#This Row],[Country]],Table4[3000m Steeplechase Classification],"&gt;0")</f>
        <v>0</v>
      </c>
      <c r="AV113" s="6">
        <f>COUNTIFS(Table5[Country],Tabela1[[#This Row],[Country]],Table5[3000m Steeplechase Classification],"&gt;0")</f>
        <v>0</v>
      </c>
      <c r="AW113" s="6">
        <f>COUNTIFS(Table27[Country],Tabela1[[#This Row],[Country]],Table27[Men''s 4x100m Relay Classification],"&gt;0")</f>
        <v>0</v>
      </c>
      <c r="AX113" s="6">
        <f>COUNTIFS(Table27[Country],Tabela1[[#This Row],[Country]],Table27[Women''s 4x100m Relay Classification],"&gt;0")</f>
        <v>0</v>
      </c>
      <c r="AY113" s="6">
        <f>COUNTIFS(Table27[Country],Tabela1[[#This Row],[Country]],Table27[Men''s 4x400m Relay Classification],"&gt;0")</f>
        <v>0</v>
      </c>
      <c r="AZ113" s="6">
        <f>COUNTIFS(Table27[Country],Tabela1[[#This Row],[Country]],Table27[Women''s 4x400m Relay Classification],"&gt;0")</f>
        <v>0</v>
      </c>
      <c r="BA113" s="6">
        <f>COUNTIFS(Table27[Country],Tabela1[[#This Row],[Country]],Table27[Mixed 4x400m Relay Classification],"&gt;0")</f>
        <v>0</v>
      </c>
      <c r="BB113" s="6">
        <f>COUNTIFS(Table4[Country],Tabela1[[#This Row],[Country]],Table4[Marathon Classification],"&gt;0")</f>
        <v>0</v>
      </c>
      <c r="BC113" s="6">
        <f>COUNTIFS(Table5[Country],Tabela1[[#This Row],[Country]],Table5[Marathon Classification],"&gt;0")</f>
        <v>0</v>
      </c>
      <c r="BD113" s="6">
        <f>COUNTIFS(Table4[Country],Tabela1[[#This Row],[Country]],Table4[20km Race Walk Classification],"&gt;0")</f>
        <v>0</v>
      </c>
      <c r="BE113" s="6">
        <f>COUNTIFS(Table5[Country],Tabela1[[#This Row],[Country]],Table5[20km Race Walk Classification],"&gt;0")</f>
        <v>0</v>
      </c>
      <c r="BF113" s="6">
        <f>COUNTIFS(Tabela96[Country],Tabela1[[#This Row],[Country]],Tabela96[Mixed Marathon Race Walk Relay Classification],"&gt;0")</f>
        <v>0</v>
      </c>
      <c r="BG113" s="6">
        <f>COUNTIFS(Table4[Country],Tabela1[[#This Row],[Country]],Table4[Discus Throw Classification],"&gt;0")</f>
        <v>0</v>
      </c>
      <c r="BH113" s="6">
        <f>COUNTIFS(Table5[Country],Tabela1[[#This Row],[Country]],Table5[Discus Throw Classification],"&gt;0")</f>
        <v>0</v>
      </c>
      <c r="BI113" s="6">
        <f>COUNTIFS(Table4[Country],Tabela1[[#This Row],[Country]],Table4[Hammer Throw Classification],"&gt;0")</f>
        <v>0</v>
      </c>
      <c r="BJ113" s="6">
        <f>COUNTIFS(Table5[Country],Tabela1[[#This Row],[Country]],Table5[Hammer Throw Classification],"&gt;0")</f>
        <v>0</v>
      </c>
      <c r="BK113" s="6">
        <f>COUNTIFS(Table4[Country],Tabela1[[#This Row],[Country]],Table4[High Jump Classification],"&gt;0")</f>
        <v>0</v>
      </c>
      <c r="BL113" s="6">
        <f>COUNTIFS(Table5[Country],Tabela1[[#This Row],[Country]],Table5[High Jump Classification],"&gt;0")</f>
        <v>0</v>
      </c>
      <c r="BM113" s="6">
        <f>COUNTIFS(Table4[Country],Tabela1[[#This Row],[Country]],Table4[Javelin Throw Classification],"&gt;0")</f>
        <v>0</v>
      </c>
      <c r="BN113" s="6">
        <f>COUNTIFS(Table5[Country],Tabela1[[#This Row],[Country]],Table5[Javelin Throw Classification],"&gt;0")</f>
        <v>0</v>
      </c>
      <c r="BO113" s="6">
        <f>COUNTIFS(Table4[Country],Tabela1[[#This Row],[Country]],Table4[Long Jump Classification],"&gt;0")</f>
        <v>0</v>
      </c>
      <c r="BP113" s="6">
        <f>COUNTIFS(Table5[Country],Tabela1[[#This Row],[Country]],Table5[Long Jump Classification],"&gt;0")</f>
        <v>0</v>
      </c>
      <c r="BQ113" s="6">
        <f>COUNTIFS(Table4[Country],Tabela1[[#This Row],[Country]],Table4[Pole Vault Classification],"&gt;0")</f>
        <v>0</v>
      </c>
      <c r="BR113" s="6">
        <f>COUNTIFS(Table5[Country],Tabela1[[#This Row],[Country]],Table5[Pole Vault Classification],"&gt;0")</f>
        <v>0</v>
      </c>
      <c r="BS113" s="6">
        <f>COUNTIFS(Table4[Country],Tabela1[[#This Row],[Country]],Table4[Shot Put Classification],"&gt;0")</f>
        <v>0</v>
      </c>
      <c r="BT113" s="6">
        <f>COUNTIFS(Table5[Country],Tabela1[[#This Row],[Country]],Table5[Shot Put Classification],"&gt;0")</f>
        <v>0</v>
      </c>
      <c r="BU113" s="6">
        <f>COUNTIFS(Table4[Country],Tabela1[[#This Row],[Country]],Table4[Triple Jump Classification],"&gt;0")</f>
        <v>0</v>
      </c>
      <c r="BV113" s="6">
        <f>COUNTIFS(Table5[Country],Tabela1[[#This Row],[Country]],Table5[Triple Jump Classification],"&gt;0")</f>
        <v>0</v>
      </c>
      <c r="BW113" s="6">
        <f>COUNTIFS(Table4[Country],Tabela1[[#This Row],[Country]],Table4[Decathlon Classification],"&gt;0")</f>
        <v>0</v>
      </c>
      <c r="BX113" s="6">
        <f>COUNTIFS(Table5[Country],Tabela1[[#This Row],[Country]],Table5[Heptathlon Classification],"&gt;0")</f>
        <v>0</v>
      </c>
      <c r="BY113" s="6">
        <f>COUNTIFS(Table61[Country],Tabela1[[#This Row],[Country]],Table61[Classification],"&gt;0")</f>
        <v>0</v>
      </c>
      <c r="BZ113" s="6">
        <f>COUNTIFS(Table38[Country],Tabela1[[#This Row],[Country]],Table38[Classification],"&gt;0")</f>
        <v>0</v>
      </c>
      <c r="CA113" s="6">
        <f>COUNTIFS(Table39[Country],Tabela1[[#This Row],[Country]],Table39[Men''s Classification],"&gt;0")</f>
        <v>0</v>
      </c>
      <c r="CB113" s="6">
        <f>COUNTIFS(Table39[Country],Tabela1[[#This Row],[Country]],Table39[Women''s Classification],"&gt;0")</f>
        <v>0</v>
      </c>
      <c r="CC113" s="6">
        <f>COUNTIFS(Table39[Country],Tabela1[[#This Row],[Country]],Table39[Mixed Classification],"&gt;0")</f>
        <v>0</v>
      </c>
      <c r="CD113" s="6">
        <f>COUNTIFS(Table89[Country],Tabela1[[#This Row],[Country]],Table89[Men''s Classification],"&gt;0")</f>
        <v>0</v>
      </c>
      <c r="CE113" s="6">
        <f>COUNTIFS(Table89[Country],Tabela1[[#This Row],[Country]],Table89[Women''s Classification],"&gt;0")</f>
        <v>0</v>
      </c>
      <c r="CF113" s="6">
        <f>COUNTIFS(Table90[Country],Tabela1[[#This Row],[Country]],Table90[Men''s Classification],"&gt;0")</f>
        <v>0</v>
      </c>
      <c r="CG113" s="6">
        <f>COUNTIFS(Table90[Country],Tabela1[[#This Row],[Country]],Table90[Women''s Classification],"&gt;0")</f>
        <v>0</v>
      </c>
      <c r="CH113" s="6">
        <f>COUNTIFS(Table60[Country],Tabela1[[#This Row],[Country]],Table60[Men''s Classification],"&gt;0")</f>
        <v>0</v>
      </c>
      <c r="CI113" s="6">
        <f>COUNTIFS(Table60[Country],Tabela1[[#This Row],[Country]],Table60[Women''s Classification],"&gt;0")</f>
        <v>0</v>
      </c>
      <c r="CJ113" s="6">
        <f>COUNTIFS(Table6[Country],Tabela1[[#This Row],[Country]],Table6[51kg Classification],"&gt;0")</f>
        <v>0</v>
      </c>
      <c r="CK113" s="6">
        <f>COUNTIFS(Table6[Country],Tabela1[[#This Row],[Country]],Table6[57kg Classification],"&gt;0")</f>
        <v>0</v>
      </c>
      <c r="CL113" s="6">
        <f>COUNTIFS(Table6[Country],Tabela1[[#This Row],[Country]],Table6[63.5kg Classification],"&gt;0")</f>
        <v>0</v>
      </c>
      <c r="CM113" s="6">
        <f>COUNTIFS(Table6[Country],Tabela1[[#This Row],[Country]],Table6[71kg Classification],"&gt;0")</f>
        <v>0</v>
      </c>
      <c r="CN113" s="6">
        <f>COUNTIFS(Table6[Country],Tabela1[[#This Row],[Country]],Table6[80kg Classification],"&gt;0")</f>
        <v>0</v>
      </c>
      <c r="CO113" s="6">
        <f>COUNTIFS(Table6[Country],Tabela1[[#This Row],[Country]],Table6[92kg Classification],"&gt;0")</f>
        <v>0</v>
      </c>
      <c r="CP113" s="6">
        <f>COUNTIFS(Table6[Country],Tabela1[[#This Row],[Country]],Table6[Plus 92kg Classification],"&gt;0")</f>
        <v>0</v>
      </c>
      <c r="CQ113" s="6">
        <f>COUNTIFS(Table7[Country],Tabela1[[#This Row],[Country]],Table7[50kg Classification],"&gt;0")</f>
        <v>0</v>
      </c>
      <c r="CR113" s="6">
        <f>COUNTIFS(Table7[Country],Tabela1[[#This Row],[Country]],Table7[54kg Classification],"&gt;0")</f>
        <v>0</v>
      </c>
      <c r="CS113" s="6">
        <f>COUNTIFS(Table7[Country],Tabela1[[#This Row],[Country]],Table7[57kg Classification],"&gt;0")</f>
        <v>0</v>
      </c>
      <c r="CT113" s="6">
        <f>COUNTIFS(Table7[Country],Tabela1[[#This Row],[Country]],Table7[60kg Classification],"&gt;0")</f>
        <v>0</v>
      </c>
      <c r="CU113" s="6">
        <f>COUNTIFS(Table7[Country],Tabela1[[#This Row],[Country]],Table7[66kg Classification],"&gt;0")</f>
        <v>0</v>
      </c>
      <c r="CV113" s="6">
        <f>COUNTIFS(Table7[Country],Tabela1[[#This Row],[Country]],Table7[75kg Classification],"&gt;0")</f>
        <v>0</v>
      </c>
      <c r="CW113" s="6">
        <f>COUNTIFS(Tabela94[Country],Tabela1[[#This Row],[Country]],Tabela94[Classification],"&gt;0")</f>
        <v>0</v>
      </c>
      <c r="CX113" s="6">
        <f>COUNTIFS(Tabela9499[Country],Tabela1[[#This Row],[Country]],Tabela9499[Classification],"&gt;0")</f>
        <v>0</v>
      </c>
      <c r="CY113" s="6">
        <f>COUNTIFS(Tabela107[Country],Tabela1[[#This Row],[Country]],Tabela107[C1 Slalom Classification],"&gt;0")</f>
        <v>0</v>
      </c>
      <c r="CZ113" s="6">
        <f>COUNTIFS(Tabela107122[Country],Tabela1[[#This Row],[Country]],Tabela107122[C1 Slalom Classification],"&gt;0")</f>
        <v>0</v>
      </c>
      <c r="DA113" s="6">
        <f>COUNTIFS(Tabela107[Country],Tabela1[[#This Row],[Country]],Tabela107[K1 Slalom Classification],"&gt;0")</f>
        <v>0</v>
      </c>
      <c r="DB113" s="6">
        <f>COUNTIFS(Tabela107122[Country],Tabela1[[#This Row],[Country]],Tabela107122[K1 Slalom Classification],"&gt;0")</f>
        <v>0</v>
      </c>
      <c r="DC113" s="6">
        <f>COUNTIFS(Tabela107[Country],Tabela1[[#This Row],[Country]],Tabela107[Kayak Cross Slalom Classification],"&gt;0")</f>
        <v>0</v>
      </c>
      <c r="DD113" s="6">
        <f>COUNTIFS(Tabela107122[Country],Tabela1[[#This Row],[Country]],Tabela107122[Kayak Cross Slalom Classification],"&gt;0")</f>
        <v>0</v>
      </c>
      <c r="DE113" s="6">
        <f>COUNTIFS(Table8[Country],Tabela1[[#This Row],[Country]],Table8[C1 200m Classification],"&gt;0")</f>
        <v>0</v>
      </c>
      <c r="DF113" s="6">
        <f>COUNTIFS(Table40[Country],Tabela1[[#This Row],[Country]],Table40[C1 1000m Classification],"&gt;0")</f>
        <v>0</v>
      </c>
      <c r="DG113" s="6">
        <f>COUNTIFS(Table68[Country],Tabela1[[#This Row],[Country]],Table68[Men''s C2 500m Classification],"&gt;0")</f>
        <v>0</v>
      </c>
      <c r="DH113" s="6">
        <f>COUNTIFS(Table68[Country],Tabela1[[#This Row],[Country]],Table68[Women''s C2 500m Classification],"&gt;0")</f>
        <v>0</v>
      </c>
      <c r="DI113" s="6">
        <f>COUNTIFS(Table8[Country],Tabela1[[#This Row],[Country]],Table8[K1 500m Classification],"&gt;0")</f>
        <v>0</v>
      </c>
      <c r="DJ113" s="6">
        <f>COUNTIFS(Table40[Country],Tabela1[[#This Row],[Country]],Table40[K1 1000m Classification],"&gt;0")</f>
        <v>0</v>
      </c>
      <c r="DK113" s="6">
        <f>COUNTIFS(Table68[Country],Tabela1[[#This Row],[Country]],Table68[Men''s K2 500m Classification],"&gt;0")</f>
        <v>0</v>
      </c>
      <c r="DL113" s="6">
        <f>COUNTIFS(Table68[Country],Tabela1[[#This Row],[Country]],Table68[Women''s K2 500m Classification],"&gt;0")</f>
        <v>0</v>
      </c>
      <c r="DM113" s="6">
        <f>COUNTIFS(Table83[Country],Tabela1[[#This Row],[Country]],Table83[Men''s K4 500m Classification],"&gt;0")</f>
        <v>0</v>
      </c>
      <c r="DN113" s="6">
        <f>COUNTIFS(Table83[Country],Tabela1[[#This Row],[Country]],Table83[Women''s K4 500m Classification],"&gt;0")</f>
        <v>0</v>
      </c>
      <c r="DO113" s="6">
        <f>COUNTIFS(Tabela126[Country],Tabela1[[#This Row],[Country]],Tabela126[Classification],"&gt;0")</f>
        <v>0</v>
      </c>
      <c r="DP113" s="6">
        <f>COUNTIFS(Tabela126130[Country],Tabela1[[#This Row],[Country]],Tabela126130[Classification],"&gt;0")</f>
        <v>0</v>
      </c>
      <c r="DQ113" s="6">
        <f>COUNTIFS(Table70[Country],Tabela1[[#This Row],[Country]],Table70[Classification],"&gt;0")</f>
        <v>0</v>
      </c>
      <c r="DR113" s="6">
        <f>COUNTIFS(Table80[Country],Tabela1[[#This Row],[Country]],Table80[Classification],"&gt;0")</f>
        <v>0</v>
      </c>
      <c r="DS113" s="6">
        <f>COUNTIFS(Table66[Country],Tabela1[[#This Row],[Country]],Table66[Classification],"&gt;0")</f>
        <v>0</v>
      </c>
      <c r="DT113" s="6">
        <f>COUNTIFS(Table67[Country],Tabela1[[#This Row],[Country]],Table67[Classification],"&gt;0")</f>
        <v>0</v>
      </c>
      <c r="DU113" s="6">
        <f>COUNTIFS(Table69[Country],Tabela1[[#This Row],[Country]],Table69[Keirin Classification],"&gt;0")</f>
        <v>0</v>
      </c>
      <c r="DV113" s="6">
        <f>COUNTIFS(Table41[Country],Tabela1[[#This Row],[Country]],Table41[Keirin Classification],"&gt;0")</f>
        <v>0</v>
      </c>
      <c r="DW113" s="6">
        <f>COUNTIFS(Table84[Country],Tabela1[[#This Row],[Country]],Table84[Men''s Madison Classification],"&gt;0")</f>
        <v>0</v>
      </c>
      <c r="DX113" s="6">
        <f>COUNTIFS(Table84[Country],Tabela1[[#This Row],[Country]],Table84[Women''s Madison Classification],"&gt;0")</f>
        <v>0</v>
      </c>
      <c r="DY113" s="6">
        <f>COUNTIFS(Table69[Country],Tabela1[[#This Row],[Country]],Table69[Omnium Classification],"&gt;0")</f>
        <v>0</v>
      </c>
      <c r="DZ113" s="6">
        <f>COUNTIFS(Table41[Country],Tabela1[[#This Row],[Country]],Table41[Omnium Classification],"&gt;0")</f>
        <v>0</v>
      </c>
      <c r="EA113" s="6">
        <f>COUNTIFS(Table9[Country],Tabela1[[#This Row],[Country]],Table9[Road Race Classification],"&gt;0")</f>
        <v>0</v>
      </c>
      <c r="EB113" s="6">
        <f>COUNTIFS(Table14[Country],Tabela1[[#This Row],[Country]],Table14[Road Race Classification],"&gt;0")</f>
        <v>0</v>
      </c>
      <c r="EC113" s="6">
        <f>COUNTIFS(Table69[Country],Tabela1[[#This Row],[Country]],Table69[Sprint Classification],"&gt;0")</f>
        <v>0</v>
      </c>
      <c r="ED113" s="6">
        <f>COUNTIFS(Table41[Country],Tabela1[[#This Row],[Country]],Table41[Sprint Classification],"&gt;0")</f>
        <v>0</v>
      </c>
      <c r="EE113" s="6">
        <f>COUNTIFS(Table85[Country],Tabela1[[#This Row],[Country]],Table85[Men''s Sprint Classification],"&gt;0")</f>
        <v>0</v>
      </c>
      <c r="EF113" s="6">
        <f>COUNTIFS(Table85[Country],Tabela1[[#This Row],[Country]],Table85[Women''s Sprint Classification],"&gt;0")</f>
        <v>0</v>
      </c>
      <c r="EG113" s="6">
        <f>COUNTIFS(Table85[Country],Tabela1[[#This Row],[Country]],Table85[Men''s Pursuit Classification],"&gt;0")</f>
        <v>0</v>
      </c>
      <c r="EH113" s="6">
        <f>COUNTIFS(Table85[Country],Tabela1[[#This Row],[Country]],Table85[Women''s Pursuit Classification],"&gt;0")</f>
        <v>0</v>
      </c>
      <c r="EI113" s="6">
        <f>COUNTIFS(Table9[Country],Tabela1[[#This Row],[Country]],Table9[Time-Trial Classification],"&gt;0")</f>
        <v>0</v>
      </c>
      <c r="EJ113" s="6">
        <f>COUNTIFS(Table14[Country],Tabela1[[#This Row],[Country]],Table14[Time-Trial Classification],"&gt;0")</f>
        <v>0</v>
      </c>
      <c r="EK113" s="6">
        <f>COUNTIFS(Table42[Country],Tabela1[[#This Row],[Country]],Table42[Springboard Classification],"&gt;0")</f>
        <v>0</v>
      </c>
      <c r="EL113" s="6">
        <f>COUNTIFS(Table43[Country],Tabela1[[#This Row],[Country]],Table43[Springboard Classification],"&gt;0")</f>
        <v>0</v>
      </c>
      <c r="EM113" s="6">
        <f>COUNTIFS(Table42[Country],Tabela1[[#This Row],[Country]],Table42[Platform Classification],"&gt;0")</f>
        <v>0</v>
      </c>
      <c r="EN113" s="6">
        <f>COUNTIFS(Table43[Country],Tabela1[[#This Row],[Country]],Table43[Platform Classification],"&gt;0")</f>
        <v>0</v>
      </c>
      <c r="EO113" s="6">
        <f>COUNTIFS(Table86[Country],Tabela1[[#This Row],[Country]],Table86[Men''s Synchronized Springboard Classification],"&gt;0")</f>
        <v>0</v>
      </c>
      <c r="EP113" s="6">
        <f>COUNTIFS(Table86[Country],Tabela1[[#This Row],[Country]],Table86[Women''s Synchronized Springboard Classification],"&gt;0")</f>
        <v>0</v>
      </c>
      <c r="EQ113" s="6">
        <f>COUNTIFS(Table86[Country],Tabela1[[#This Row],[Country]],Table86[Men''s Synchronized Platform Classification],"&gt;0")</f>
        <v>0</v>
      </c>
      <c r="ER113" s="6">
        <f>COUNTIFS(Table86[Country],Tabela1[[#This Row],[Country]],Table86[Women''s Synchronized Platform Classification],"&gt;0")</f>
        <v>0</v>
      </c>
      <c r="ES113" s="6">
        <f>COUNTIFS(Table44[Country],Tabela1[[#This Row],[Country]],Table44[Dressage Classification],"&gt;0")</f>
        <v>0</v>
      </c>
      <c r="ET113" s="6">
        <f>COUNTIFS(Table45[Country],Tabela1[[#This Row],[Country]],Table45[Dressage Classification],"&gt;0")</f>
        <v>0</v>
      </c>
      <c r="EU113" s="6">
        <f>COUNTIFS(Table44[Country],Tabela1[[#This Row],[Country]],Table44[Eventing Classification],"&gt;0")</f>
        <v>0</v>
      </c>
      <c r="EV113" s="6">
        <f>COUNTIFS(Table45[Country],Tabela1[[#This Row],[Country]],Table45[Eventing Classification],"&gt;0")</f>
        <v>0</v>
      </c>
      <c r="EW113" s="6">
        <f>COUNTIFS(Table44[Country],Tabela1[[#This Row],[Country]],Table44[Jumping Classification],"&gt;0")</f>
        <v>0</v>
      </c>
      <c r="EX113" s="6">
        <f>COUNTIFS(Table45[Country],Tabela1[[#This Row],[Country]],Table45[Jumping Classification],"&gt;0")</f>
        <v>0</v>
      </c>
      <c r="EY113" s="6">
        <f>COUNTIFS(Table10[Country],Tabela1[[#This Row],[Country]],Table10[Épée Classification],"&gt;0")</f>
        <v>0</v>
      </c>
      <c r="EZ113" s="6">
        <f>COUNTIFS(Table11[Country],Tabela1[[#This Row],[Country]],Table11[Épée Classification],"&gt;0")</f>
        <v>0</v>
      </c>
      <c r="FA113" s="6">
        <f>COUNTIFS(Table46[Country],Tabela1[[#This Row],[Country]],Table46[Men''s Épée Classification],"&gt;0")</f>
        <v>0</v>
      </c>
      <c r="FB113" s="6">
        <f>COUNTIFS(Table46[Country],Tabela1[[#This Row],[Country]],Table46[Women''s Épée Classification],"&gt;0")</f>
        <v>0</v>
      </c>
      <c r="FC113" s="6">
        <f>COUNTIFS(Table10[Country],Tabela1[[#This Row],[Country]],Table10[Foil Classification],"&gt;0")</f>
        <v>0</v>
      </c>
      <c r="FD113" s="6">
        <f>COUNTIFS(Table11[Country],Tabela1[[#This Row],[Country]],Table11[Foil Classification],"&gt;0")</f>
        <v>0</v>
      </c>
      <c r="FE113" s="6">
        <f>COUNTIFS(Table46[Country],Tabela1[[#This Row],[Country]],Table46[Men''s Foil Classification],"&gt;0")</f>
        <v>0</v>
      </c>
      <c r="FF113" s="6">
        <f>COUNTIFS(Table46[Country],Tabela1[[#This Row],[Country]],Table46[Women''s Foil Classification],"&gt;0")</f>
        <v>0</v>
      </c>
      <c r="FG113" s="6">
        <f>COUNTIFS(Table10[Country],Tabela1[[#This Row],[Country]],Table10[Sabre Classification],"&gt;0")</f>
        <v>0</v>
      </c>
      <c r="FH113" s="6">
        <f>COUNTIFS(Table11[Country],Tabela1[[#This Row],[Country]],Table11[Sabre Classification],"&gt;0")</f>
        <v>0</v>
      </c>
      <c r="FI113" s="6">
        <f>COUNTIFS(Table46[Country],Tabela1[[#This Row],[Country]],Table46[Men''s Sabre Classification],"&gt;0")</f>
        <v>0</v>
      </c>
      <c r="FJ113" s="6">
        <f>COUNTIFS(Table46[Country],Tabela1[[#This Row],[Country]],Table46[Women''s Sabre Classification],"&gt;0")</f>
        <v>0</v>
      </c>
      <c r="FK113" s="6">
        <f>COUNTIFS(Table91[Country],Tabela1[[#This Row],[Country]],Table91[Men''s Classification],"&gt;0")</f>
        <v>0</v>
      </c>
      <c r="FL113" s="6">
        <f>COUNTIFS(Table91[Country],Tabela1[[#This Row],[Country]],Table91[Women''s Classification],"&gt;0")</f>
        <v>0</v>
      </c>
      <c r="FM113" s="6">
        <f>COUNTIFS(Table9194[Country],Tabela1[[#This Row],[Country]],Table9194[Men''s Classification],"&gt;0")</f>
        <v>0</v>
      </c>
      <c r="FN113" s="6">
        <f>COUNTIFS(Table9194[Country],Tabela1[[#This Row],[Country]],Table9194[Women''s Classification],"&gt;0")</f>
        <v>0</v>
      </c>
      <c r="FO113" s="6">
        <f>COUNTIFS(Table71[Country],Tabela1[[#This Row],[Country]],Table71[Classification],"&gt;0")</f>
        <v>0</v>
      </c>
      <c r="FP113" s="6">
        <f>COUNTIFS(Table62[Country],Tabela1[[#This Row],[Country]],Table62[Classification],"&gt;0")</f>
        <v>0</v>
      </c>
      <c r="FQ113" s="6">
        <f>COUNTIFS(Table47[Country],Tabela1[[#This Row],[Country]],Table47[All-Around Classification],"&gt;0")</f>
        <v>0</v>
      </c>
      <c r="FR113" s="6">
        <f>COUNTIFS(Table48[Country],Tabela1[[#This Row],[Country]],Table48[All-Around Classification],"&gt;0")</f>
        <v>0</v>
      </c>
      <c r="FS113" s="6">
        <f>COUNTIFS(Table81[Country],Tabela1[[#This Row],[Country]],Table81[Men''s All-Around Classification],"&gt;0")</f>
        <v>0</v>
      </c>
      <c r="FT113" s="6">
        <f>COUNTIFS(Table81[Country],Tabela1[[#This Row],[Country]],Table81[Women''s All-Around Classification],"&gt;0")</f>
        <v>0</v>
      </c>
      <c r="FU113" s="6">
        <f>COUNTIFS(Table48[Country],Tabela1[[#This Row],[Country]],Table48[Balance Beam Classification],"&gt;0")</f>
        <v>0</v>
      </c>
      <c r="FV113" s="6">
        <f>COUNTIFS(Table47[Country],Tabela1[[#This Row],[Country]],Table47[Floor Exercise Classification],"&gt;0")</f>
        <v>0</v>
      </c>
      <c r="FW113" s="6">
        <f>COUNTIFS(Table48[Country],Tabela1[[#This Row],[Country]],Table48[Floor Exercise Classification],"&gt;0")</f>
        <v>0</v>
      </c>
      <c r="FX113" s="6">
        <f>COUNTIFS(Table47[Country],Tabela1[[#This Row],[Country]],Table47[Horizontal Bar Classification],"&gt;0")</f>
        <v>0</v>
      </c>
      <c r="FY113" s="6">
        <f>COUNTIFS(Table47[Country],Tabela1[[#This Row],[Country]],Table47[Parallel Bars Classification],"&gt;0")</f>
        <v>0</v>
      </c>
      <c r="FZ113" s="6">
        <f>COUNTIFS(Table47[Country],Tabela1[[#This Row],[Country]],Table47[Pommel Horse Classification],"&gt;0")</f>
        <v>0</v>
      </c>
      <c r="GA113" s="6">
        <f>COUNTIFS(Table47[Country],Tabela1[[#This Row],[Country]],Table47[Rings Classification],"&gt;0")</f>
        <v>0</v>
      </c>
      <c r="GB113" s="6">
        <f>COUNTIFS(Tabela132[Country],Tabela1[[#This Row],[Country]],Tabela132[Classification],"&gt;0")</f>
        <v>0</v>
      </c>
      <c r="GC113" s="6">
        <f>COUNTIFS(Tabela139[Country],Tabela1[[#This Row],[Country]],Tabela139[Classification],"&gt;0")</f>
        <v>0</v>
      </c>
      <c r="GD113" s="6">
        <f>COUNTIFS(Table48[Country],Tabela1[[#This Row],[Country]],Table48[Uneven Bars Classification],"&gt;0")</f>
        <v>0</v>
      </c>
      <c r="GE113" s="6">
        <f>COUNTIFS(Table47[Country],Tabela1[[#This Row],[Country]],Table47[Vault Classification],"&gt;0")</f>
        <v>0</v>
      </c>
      <c r="GF113" s="6">
        <f>COUNTIFS(Table48[Country],Tabela1[[#This Row],[Country]],Table48[Vault Classification],"&gt;0")</f>
        <v>0</v>
      </c>
      <c r="GG113" s="6">
        <f>COUNTIFS(Table919496[Country],Tabela1[[#This Row],[Country]],Table919496[Men''s Classification],"&gt;0")</f>
        <v>0</v>
      </c>
      <c r="GH113" s="6">
        <f>COUNTIFS(Table919496[Country],Tabela1[[#This Row],[Country]],Table919496[Women''s Classification],"&gt;0")</f>
        <v>0</v>
      </c>
      <c r="GI113" s="6">
        <f>COUNTIFS(Table12[Country],Tabela1[[#This Row],[Country]],Table12[60kg Classification],"&gt;0")</f>
        <v>0</v>
      </c>
      <c r="GJ113" s="6">
        <f>COUNTIFS(Table12[Country],Tabela1[[#This Row],[Country]],Table12[66kg Classification],"&gt;0")</f>
        <v>0</v>
      </c>
      <c r="GK113" s="6">
        <f>COUNTIFS(Table12[Country],Tabela1[[#This Row],[Country]],Table12[73kg Classification],"&gt;0")</f>
        <v>0</v>
      </c>
      <c r="GL113" s="6">
        <f>COUNTIFS(Table12[Country],Tabela1[[#This Row],[Country]],Table12[81kg Classification],"&gt;0")</f>
        <v>0</v>
      </c>
      <c r="GM113" s="6">
        <f>COUNTIFS(Table12[Country],Tabela1[[#This Row],[Country]],Table12[90kg Classification],"&gt;0")</f>
        <v>0</v>
      </c>
      <c r="GN113" s="6">
        <f>COUNTIFS(Table12[Country],Tabela1[[#This Row],[Country]],Table12[100kg Classification],"&gt;0")</f>
        <v>0</v>
      </c>
      <c r="GO113" s="6">
        <f>COUNTIFS(Table12[Country],Tabela1[[#This Row],[Country]],Table12[Plus 100kg Classification],"&gt;0")</f>
        <v>0</v>
      </c>
      <c r="GP113" s="6">
        <f>COUNTIFS(Table13[Country],Tabela1[[#This Row],[Country]],Table13[48kg Classification],"&gt;0")</f>
        <v>1</v>
      </c>
      <c r="GQ113" s="6">
        <f>COUNTIFS(Table13[Country],Tabela1[[#This Row],[Country]],Table13[52kg Classification],"&gt;0")</f>
        <v>0</v>
      </c>
      <c r="GR113" s="6">
        <f>COUNTIFS(Table13[Country],Tabela1[[#This Row],[Country]],Table13[57kg Classification],"&gt;0")</f>
        <v>0</v>
      </c>
      <c r="GS113" s="6">
        <f>COUNTIFS(Table13[Country],Tabela1[[#This Row],[Country]],Table13[63kg Classification],"&gt;0")</f>
        <v>0</v>
      </c>
      <c r="GT113" s="6">
        <f>COUNTIFS(Table13[Country],Tabela1[[#This Row],[Country]],Table13[70kg Classification],"&gt;0")</f>
        <v>0</v>
      </c>
      <c r="GU113" s="6">
        <f>COUNTIFS(Table13[Country],Tabela1[[#This Row],[Country]],Table13[78kg Classification],"&gt;0")</f>
        <v>0</v>
      </c>
      <c r="GV113" s="6">
        <f>COUNTIFS(Table13[Country],Tabela1[[#This Row],[Country]],Table13[Plus 78kg Classification],"&gt;0")</f>
        <v>0</v>
      </c>
      <c r="GW113" s="6">
        <f>COUNTIFS(Table82[Country],Tabela1[[#This Row],[Country]],Table82[Mixed Classification],"&gt;0")</f>
        <v>0</v>
      </c>
      <c r="GX113" s="6">
        <f>COUNTIFS(Table51[Country],Tabela1[[#This Row],[Country]],Table51[Classification],"&gt;0")</f>
        <v>0</v>
      </c>
      <c r="GY113" s="6">
        <f>COUNTIFS(Table52[Country],Tabela1[[#This Row],[Country]],Table52[Classification],"&gt;0")</f>
        <v>0</v>
      </c>
      <c r="GZ113" s="6">
        <f>COUNTIFS(Table32[Country],Tabela1[[#This Row],[Country]],Table32[All-Around Classification],"&gt;0")</f>
        <v>0</v>
      </c>
      <c r="HA113" s="6">
        <f>COUNTIFS(Table49[Country],Tabela1[[#This Row],[Country]],Table49[All-Around Classification],"&gt;0")</f>
        <v>0</v>
      </c>
      <c r="HB113" s="6">
        <f>COUNTIFS(Table26[Country],Tabela1[[#This Row],[Country]],Table26[Single Sculls Classification],"&gt;0")</f>
        <v>0</v>
      </c>
      <c r="HC113" s="6">
        <f>COUNTIFS(Table63[Country],Tabela1[[#This Row],[Country]],Table63[Single Sculls Classification],"&gt;0")</f>
        <v>0</v>
      </c>
      <c r="HD113" s="6">
        <f>COUNTIFS(Table16[Country],Tabela1[[#This Row],[Country]],Table16[Men''s Double Sculls Classification],"&gt;0")</f>
        <v>0</v>
      </c>
      <c r="HE113" s="6">
        <f>COUNTIFS(Table16[Country],Tabela1[[#This Row],[Country]],Table16[Women''s Double Sculls Classification],"&gt;0")</f>
        <v>0</v>
      </c>
      <c r="HF113" s="6">
        <f>COUNTIFS(Table72[Country],Tabela1[[#This Row],[Country]],Table72[Men''s Quadruple Sculls Classification],"&gt;0")</f>
        <v>0</v>
      </c>
      <c r="HG113" s="6">
        <f>COUNTIFS(Table72[Country],Tabela1[[#This Row],[Country]],Table72[Women''s Quadruple Sculls Classification],"&gt;0")</f>
        <v>0</v>
      </c>
      <c r="HH113" s="6">
        <f>COUNTIFS(Table16[Country],Tabela1[[#This Row],[Country]],Table16[Men''s Coxless Pairs Classification],"&gt;0")</f>
        <v>0</v>
      </c>
      <c r="HI113" s="6">
        <f>COUNTIFS(Table16[Country],Tabela1[[#This Row],[Country]],Table16[Women''s Coxless Pairs Classification],"&gt;0")</f>
        <v>0</v>
      </c>
      <c r="HJ113" s="6">
        <f>COUNTIFS(Table72[Country],Tabela1[[#This Row],[Country]],Table72[Men''s Coxless Fours Classification],"&gt;0")</f>
        <v>0</v>
      </c>
      <c r="HK113" s="6">
        <f>COUNTIFS(Table72[Country],Tabela1[[#This Row],[Country]],Table72[Women''s Coxless Fours Classification],"&gt;0")</f>
        <v>0</v>
      </c>
      <c r="HL113" s="6">
        <f>COUNTIFS(Table72[Country],Tabela1[[#This Row],[Country]],Table72[Men''s Eights Classification],"&gt;0")</f>
        <v>0</v>
      </c>
      <c r="HM113" s="6">
        <f>COUNTIFS(Table72[Country],Tabela1[[#This Row],[Country]],Table72[Women''s Eights Classification],"&gt;0")</f>
        <v>0</v>
      </c>
      <c r="HN113" s="6">
        <f>COUNTIFS(Table16[Country],Tabela1[[#This Row],[Country]],Table16[Men''s Lwt. Double Sculls Classification],"&gt;0")</f>
        <v>0</v>
      </c>
      <c r="HO113" s="6">
        <f>COUNTIFS(Table16[Country],Tabela1[[#This Row],[Country]],Table16[Women''s Lwt. Double Sculls Classification],"&gt;0")</f>
        <v>0</v>
      </c>
      <c r="HP113" s="6">
        <f>COUNTIFS(Table91949698[Country],Tabela1[[#This Row],[Country]],Table91949698[Men''s Classification],"&gt;0")</f>
        <v>0</v>
      </c>
      <c r="HQ113" s="6">
        <f>COUNTIFS(Table91949698[Country],Tabela1[[#This Row],[Country]],Table91949698[Women''s Classification],"&gt;0")</f>
        <v>0</v>
      </c>
      <c r="HR113" s="6">
        <f>COUNTIFS(Table25[Country],Tabela1[[#This Row],[Country]],Table25[Mixed 470 Classification],"&gt;0")</f>
        <v>0</v>
      </c>
      <c r="HS113" s="6">
        <f>COUNTIFS(Table25[Country],Tabela1[[#This Row],[Country]],Table25[Men''s 49er Classification],"&gt;0")</f>
        <v>0</v>
      </c>
      <c r="HT113" s="6">
        <f>COUNTIFS(Table25[Country],Tabela1[[#This Row],[Country]],Table25[Women''s 49er FX Classification],"&gt;0")</f>
        <v>0</v>
      </c>
      <c r="HU113" s="6">
        <f>COUNTIFS(Table17[Country],Tabela1[[#This Row],[Country]],Table17[Formula Kite Classification],"&gt;0")</f>
        <v>0</v>
      </c>
      <c r="HV113" s="6">
        <f>COUNTIFS(Table18[Country],Tabela1[[#This Row],[Country]],Table18[Formula Kite Classification],"&gt;0")</f>
        <v>0</v>
      </c>
      <c r="HW113" s="6">
        <f>COUNTIFS(Table17[Country],Tabela1[[#This Row],[Country]],Table17[ILCA 7 Classification],"&gt;0")</f>
        <v>0</v>
      </c>
      <c r="HX113" s="6">
        <f>COUNTIFS(Table18[Country],Tabela1[[#This Row],[Country]],Table18[ILCA 6 Classification],"&gt;0")</f>
        <v>0</v>
      </c>
      <c r="HY113" s="6">
        <f>COUNTIFS(Table17[Country],Tabela1[[#This Row],[Country]],Table17[IQFoil Classification],"&gt;0")</f>
        <v>0</v>
      </c>
      <c r="HZ113" s="6">
        <f>COUNTIFS(Table18[Country],Tabela1[[#This Row],[Country]],Table18[IQFoil Classification],"&gt;0")</f>
        <v>0</v>
      </c>
      <c r="IA113" s="6">
        <f>COUNTIFS(Table25[Country],Tabela1[[#This Row],[Country]],Table25[Mixed Nacra 17 Classification],"&gt;0")</f>
        <v>0</v>
      </c>
      <c r="IB113" s="6">
        <f>COUNTIFS(Table53[Country],Tabela1[[#This Row],[Country]],Table53[10m Air Pistol Classification],"&gt;0")</f>
        <v>0</v>
      </c>
      <c r="IC113" s="6">
        <f>COUNTIFS(Table19[Country],Tabela1[[#This Row],[Country]],Table19[10m Air Pistol Classification],"&gt;0")</f>
        <v>0</v>
      </c>
      <c r="ID113" s="6">
        <f>COUNTIFS(Table54[Country],Tabela1[[#This Row],[Country]],Table54[Mixed 10m Air Pistol Team Classification],"&gt;0")</f>
        <v>0</v>
      </c>
      <c r="IE113" s="6">
        <f>COUNTIFS(Table53[Country],Tabela1[[#This Row],[Country]],Table53[10m Air Rifle Classification],"&gt;0")</f>
        <v>0</v>
      </c>
      <c r="IF113" s="6">
        <f>COUNTIFS(Table19[Country],Tabela1[[#This Row],[Country]],Table19[10m Air Rifle Classification],"&gt;0")</f>
        <v>0</v>
      </c>
      <c r="IG113" s="6">
        <f>COUNTIFS(Table54[Country],Tabela1[[#This Row],[Country]],Table54[Mixed 10m Air Rifle Team Classification],"&gt;0")</f>
        <v>0</v>
      </c>
      <c r="IH113" s="6">
        <f>COUNTIFS(Table53[Country],Tabela1[[#This Row],[Country]],Table53[25m Rapid Fire Pistol Classification],"&gt;0")</f>
        <v>0</v>
      </c>
      <c r="II113" s="6">
        <f>COUNTIFS(Table19[Country],Tabela1[[#This Row],[Country]],Table19[25m Pistol Classification],"&gt;0")</f>
        <v>0</v>
      </c>
      <c r="IJ113" s="6">
        <f>COUNTIFS(Table53[Country],Tabela1[[#This Row],[Country]],Table53[50m Rifle 3 Positions Classification],"&gt;0")</f>
        <v>0</v>
      </c>
      <c r="IK113" s="6">
        <f>COUNTIFS(Table19[Country],Tabela1[[#This Row],[Country]],Table19[50m Rifle 3 Positions Classification],"&gt;0")</f>
        <v>0</v>
      </c>
      <c r="IL113" s="6">
        <f>COUNTIFS(Table53[Country],Tabela1[[#This Row],[Country]],Table53[Skeet Classification],"&gt;0")</f>
        <v>0</v>
      </c>
      <c r="IM113" s="6">
        <f>COUNTIFS(Table19[Country],Tabela1[[#This Row],[Country]],Table19[Skeet Classification],"&gt;0")</f>
        <v>0</v>
      </c>
      <c r="IN113" s="6">
        <f>COUNTIFS(Table54[Country],Tabela1[[#This Row],[Country]],Table54[Mixed Skeet Team Classification],"&gt;0")</f>
        <v>0</v>
      </c>
      <c r="IO113" s="6">
        <f>COUNTIFS(Table53[Country],Tabela1[[#This Row],[Country]],Table53[Trap Classification],"&gt;0")</f>
        <v>0</v>
      </c>
      <c r="IP113" s="6">
        <f>COUNTIFS(Table19[Country],Tabela1[[#This Row],[Country]],Table19[Trap Classification],"&gt;0")</f>
        <v>0</v>
      </c>
      <c r="IQ113" s="6">
        <f>COUNTIFS(Table73[Country],Tabela1[[#This Row],[Country]],Table73[Park Classification],"&gt;0")</f>
        <v>0</v>
      </c>
      <c r="IR113" s="6">
        <f>COUNTIFS(Table74[Country],Tabela1[[#This Row],[Country]],Table74[Park Classification],"&gt;0")</f>
        <v>0</v>
      </c>
      <c r="IS113" s="6">
        <f>COUNTIFS(Table73[Country],Tabela1[[#This Row],[Country]],Table73[Street Classification],"&gt;0")</f>
        <v>0</v>
      </c>
      <c r="IT113" s="6">
        <f>COUNTIFS(Table74[Country],Tabela1[[#This Row],[Country]],Table74[Street Classification],"&gt;0")</f>
        <v>0</v>
      </c>
      <c r="IU113" s="6">
        <f>COUNTIFS(Table75[Country],Tabela1[[#This Row],[Country]],Table75[Boulder and Lead Classification],"&gt;0")</f>
        <v>0</v>
      </c>
      <c r="IV113" s="6">
        <f>COUNTIFS(Table76[Country],Tabela1[[#This Row],[Country]],Table76[Boulder and Lead Classification],"&gt;0")</f>
        <v>0</v>
      </c>
      <c r="IW113" s="6">
        <f>COUNTIFS(Table75[Country],Tabela1[[#This Row],[Country]],Table75[Speed Classification],"&gt;0")</f>
        <v>0</v>
      </c>
      <c r="IX113" s="6">
        <f>COUNTIFS(Table76[Country],Tabela1[[#This Row],[Country]],Table76[Speed Classification],"&gt;0")</f>
        <v>0</v>
      </c>
      <c r="IY113" s="6">
        <f>COUNTIFS(Table64[Country],Tabela1[[#This Row],[Country]],Table64[Shortboard Classification],"&gt;0")</f>
        <v>0</v>
      </c>
      <c r="IZ113" s="6">
        <f>COUNTIFS(Table77[Country],Tabela1[[#This Row],[Country]],Table77[Shortboard Classification],"&gt;0")</f>
        <v>0</v>
      </c>
      <c r="JA113" s="6">
        <f>COUNTIFS(Table20[Country],Tabela1[[#This Row],[Country]],Table20[50m Freestyle Classification],"&gt;0")</f>
        <v>1</v>
      </c>
      <c r="JB113" s="6">
        <f>COUNTIFS(Table21[Country],Tabela1[[#This Row],[Country]],Table21[50m Freestyle Classification],"&gt;0")</f>
        <v>0</v>
      </c>
      <c r="JC113" s="6">
        <f>COUNTIFS(Table20[Country],Tabela1[[#This Row],[Country]],Table20[100m Freestyle Classification],"&gt;0")</f>
        <v>0</v>
      </c>
      <c r="JD113" s="6">
        <f>COUNTIFS(Table21[Country],Tabela1[[#This Row],[Country]],Table21[100m Freestyle Classification],"&gt;0")</f>
        <v>0</v>
      </c>
      <c r="JE113" s="6">
        <f>COUNTIFS(Table20[Country],Tabela1[[#This Row],[Country]],Table20[200m Freestyle Classification],"&gt;0")</f>
        <v>0</v>
      </c>
      <c r="JF113" s="6">
        <f>COUNTIFS(Table21[Country],Tabela1[[#This Row],[Country]],Table21[200m Freestyle Classification],"&gt;0")</f>
        <v>0</v>
      </c>
      <c r="JG113" s="6">
        <f>COUNTIFS(Table20[Country],Tabela1[[#This Row],[Country]],Table20[400m Freestyle Classification],"&gt;0")</f>
        <v>0</v>
      </c>
      <c r="JH113" s="6">
        <f>COUNTIFS(Table21[Country],Tabela1[[#This Row],[Country]],Table21[400m Freestyle Classification],"&gt;0")</f>
        <v>0</v>
      </c>
      <c r="JI113" s="6">
        <f>COUNTIFS(Table20[Country],Tabela1[[#This Row],[Country]],Table20[800m Freestyle Classification],"&gt;0")</f>
        <v>0</v>
      </c>
      <c r="JJ113" s="6">
        <f>COUNTIFS(Table21[Country],Tabela1[[#This Row],[Country]],Table21[800m Freestyle Classification],"&gt;0")</f>
        <v>0</v>
      </c>
      <c r="JK113" s="6">
        <f>COUNTIFS(Table20[Country],Tabela1[[#This Row],[Country]],Table20[1500m Freestyle Classification],"&gt;0")</f>
        <v>0</v>
      </c>
      <c r="JL113" s="6">
        <f>COUNTIFS(Table21[Country],Tabela1[[#This Row],[Country]],Table21[1500m Freestyle Classification],"&gt;0")</f>
        <v>0</v>
      </c>
      <c r="JM113" s="6">
        <f>COUNTIFS(Table20[Country],Tabela1[[#This Row],[Country]],Table20[100m Backstroke Classification],"&gt;0")</f>
        <v>0</v>
      </c>
      <c r="JN113" s="6">
        <f>COUNTIFS(Table21[Country],Tabela1[[#This Row],[Country]],Table21[100m Backstroke Classification],"&gt;0")</f>
        <v>0</v>
      </c>
      <c r="JO113" s="6">
        <f>COUNTIFS(Table20[Country],Tabela1[[#This Row],[Country]],Table20[200m Backstroke Classification],"&gt;0")</f>
        <v>0</v>
      </c>
      <c r="JP113" s="6">
        <f>COUNTIFS(Table21[Country],Tabela1[[#This Row],[Country]],Table21[200m Backstroke Classification],"&gt;0")</f>
        <v>0</v>
      </c>
      <c r="JQ113" s="6">
        <f>COUNTIFS(Table20[Country],Tabela1[[#This Row],[Country]],Table20[100m Breaststroke Classification],"&gt;0")</f>
        <v>0</v>
      </c>
      <c r="JR113" s="6">
        <f>COUNTIFS(Table21[Country],Tabela1[[#This Row],[Country]],Table21[100m Breaststroke Classification],"&gt;0")</f>
        <v>0</v>
      </c>
      <c r="JS113" s="6">
        <f>COUNTIFS(Table20[Country],Tabela1[[#This Row],[Country]],Table20[200m Breaststroke Classification],"&gt;0")</f>
        <v>0</v>
      </c>
      <c r="JT113" s="6">
        <f>COUNTIFS(Table21[Country],Tabela1[[#This Row],[Country]],Table21[200m Breaststroke Classification],"&gt;0")</f>
        <v>0</v>
      </c>
      <c r="JU113" s="6">
        <f>COUNTIFS(Table20[Country],Tabela1[[#This Row],[Country]],Table20[100m Butterfly Classification],"&gt;0")</f>
        <v>0</v>
      </c>
      <c r="JV113" s="6">
        <f>COUNTIFS(Table21[Country],Tabela1[[#This Row],[Country]],Table21[100m Butterfly Classification],"&gt;0")</f>
        <v>0</v>
      </c>
      <c r="JW113" s="6">
        <f>COUNTIFS(Table20[Country],Tabela1[[#This Row],[Country]],Table20[200m Butterfly Classification],"&gt;0")</f>
        <v>0</v>
      </c>
      <c r="JX113" s="6">
        <f>COUNTIFS(Table21[Country],Tabela1[[#This Row],[Country]],Table21[200m Butterfly Classification],"&gt;0")</f>
        <v>0</v>
      </c>
      <c r="JY113" s="6">
        <f>COUNTIFS(Table20[Country],Tabela1[[#This Row],[Country]],Table20[200m Medley Classification],"&gt;0")</f>
        <v>0</v>
      </c>
      <c r="JZ113" s="6">
        <f>COUNTIFS(Table21[Country],Tabela1[[#This Row],[Country]],Table21[200m Medley Classification],"&gt;0")</f>
        <v>0</v>
      </c>
      <c r="KA113" s="6">
        <f>COUNTIFS(Table20[Country],Tabela1[[#This Row],[Country]],Table20[400m Medley Classification],"&gt;0")</f>
        <v>0</v>
      </c>
      <c r="KB113" s="6">
        <f>COUNTIFS(Table21[Country],Tabela1[[#This Row],[Country]],Table21[400m Medley Classification],"&gt;0")</f>
        <v>0</v>
      </c>
      <c r="KC113" s="6">
        <f>COUNTIFS(Table78[Country],Tabela1[[#This Row],[Country]],Table78[Men''s 4x100m Freestyle Relay Classification],"&gt;0")</f>
        <v>0</v>
      </c>
      <c r="KD113" s="6">
        <f>COUNTIFS(Table78[Country],Tabela1[[#This Row],[Country]],Table78[Women''s 4x100m Freestyle Relay Classification],"&gt;0")</f>
        <v>0</v>
      </c>
      <c r="KE113" s="6">
        <f>COUNTIFS(Table78[Country],Tabela1[[#This Row],[Country]],Table78[Men''s 4x200m Freestyle Relay Classification],"&gt;0")</f>
        <v>0</v>
      </c>
      <c r="KF113" s="6">
        <f>COUNTIFS(Table78[Country],Tabela1[[#This Row],[Country]],Table78[Women''s 4x200m Freestyle Relay Classification],"&gt;0")</f>
        <v>0</v>
      </c>
      <c r="KG113" s="6">
        <f>COUNTIFS(Table78[Country],Tabela1[[#This Row],[Country]],Table78[Men''s 4x100m Medley Relay Classification],"&gt;0")</f>
        <v>0</v>
      </c>
      <c r="KH113" s="6">
        <f>COUNTIFS(Table78[Country],Tabela1[[#This Row],[Country]],Table78[Women''s 4x100m Medley Relay Classification],"&gt;0")</f>
        <v>0</v>
      </c>
      <c r="KI113" s="6">
        <f>COUNTIFS(Table78[Country],Tabela1[[#This Row],[Country]],Table78[Mixed 4x100m Medley Relay Classification],"&gt;0")</f>
        <v>0</v>
      </c>
      <c r="KJ113" s="6">
        <f>COUNTIFS(Table20[Country],Tabela1[[#This Row],[Country]],Table20[10km Open Water Classification],"&gt;0")</f>
        <v>0</v>
      </c>
      <c r="KK113" s="6">
        <f>COUNTIFS(Table21[Country],Tabela1[[#This Row],[Country]],Table21[10km Open Water Classification],"&gt;0")</f>
        <v>0</v>
      </c>
      <c r="KL113" s="6">
        <f>COUNTIFS(Table22[Country],Tabela1[[#This Row],[Country]],Table22[Classification],"&gt;0")</f>
        <v>0</v>
      </c>
      <c r="KM113" s="6">
        <f>COUNTIFS(Table30[Country],Tabela1[[#This Row],[Country]],Table30[Classification],"&gt;0")</f>
        <v>0</v>
      </c>
      <c r="KN113" s="6">
        <f>COUNTIFS(Table55[Country],Tabela1[[#This Row],[Country]],Table55[Men''s Classification],"&gt;0")</f>
        <v>0</v>
      </c>
      <c r="KO113" s="6">
        <f>COUNTIFS(Table55[Country],Tabela1[[#This Row],[Country]],Table55[Women''s Classification],"&gt;0")</f>
        <v>0</v>
      </c>
      <c r="KP113" s="6">
        <f>COUNTIFS(Table56[Country],Tabela1[[#This Row],[Country]],Table56[Mixed Classification],"&gt;0")</f>
        <v>0</v>
      </c>
      <c r="KQ113" s="6">
        <f>COUNTIFS(Table29[Country],Tabela1[[#This Row],[Country]],Table29[58kg Classification],"&gt;0")</f>
        <v>0</v>
      </c>
      <c r="KR113" s="6">
        <f>COUNTIFS(Table29[Country],Tabela1[[#This Row],[Country]],Table29[68kg Classification],"&gt;0")</f>
        <v>0</v>
      </c>
      <c r="KS113" s="6">
        <f>COUNTIFS(Table29[Country],Tabela1[[#This Row],[Country]],Table29[80kg Classification],"&gt;0")</f>
        <v>0</v>
      </c>
      <c r="KT113" s="6">
        <f>COUNTIFS(Table29[Country],Tabela1[[#This Row],[Country]],Table29[Plus 80kg Classification],"&gt;0")</f>
        <v>0</v>
      </c>
      <c r="KU113" s="6">
        <f>COUNTIFS(Table34[Country],Tabela1[[#This Row],[Country]],Table34[49kg Classification],"&gt;0")</f>
        <v>0</v>
      </c>
      <c r="KV113" s="6">
        <f>COUNTIFS(Table34[Country],Tabela1[[#This Row],[Country]],Table34[57kg Classification],"&gt;0")</f>
        <v>1</v>
      </c>
      <c r="KW113" s="6">
        <f>COUNTIFS(Table34[Country],Tabela1[[#This Row],[Country]],Table34[67kg Classification],"&gt;0")</f>
        <v>0</v>
      </c>
      <c r="KX113" s="6">
        <f>COUNTIFS(Table34[Country],Tabela1[[#This Row],[Country]],Table34[Plus 67kg Classification],"&gt;0")</f>
        <v>0</v>
      </c>
      <c r="KY113" s="6">
        <f>COUNTIFS(Table57[Country],Tabela1[[#This Row],[Country]],Table57[Classification],"&gt;0")</f>
        <v>0</v>
      </c>
      <c r="KZ113" s="6">
        <f>COUNTIFS(Table58[Country],Tabela1[[#This Row],[Country]],Table58[Classification],"&gt;0")</f>
        <v>0</v>
      </c>
      <c r="LA113" s="6">
        <f>COUNTIFS(Table79[Country],Tabela1[[#This Row],[Country]],Table79[Men''s Classification],"&gt;0")</f>
        <v>0</v>
      </c>
      <c r="LB113" s="6">
        <f>COUNTIFS(Table79[Country],Tabela1[[#This Row],[Country]],Table79[Women''s Classification],"&gt;0")</f>
        <v>0</v>
      </c>
      <c r="LC113" s="6">
        <f>COUNTIFS(Table79[Country],Tabela1[[#This Row],[Country]],Table79[Mixed Classification],"&gt;0")</f>
        <v>0</v>
      </c>
      <c r="LD113" s="6">
        <f>COUNTIFS(Table65[Country],Tabela1[[#This Row],[Country]],Table65[Classification],"&gt;0")</f>
        <v>0</v>
      </c>
      <c r="LE113" s="6">
        <f>COUNTIFS(Table59[Country],Tabela1[[#This Row],[Country]],Table59[Classification],"&gt;0")</f>
        <v>0</v>
      </c>
      <c r="LF113" s="6">
        <f>COUNTIFS(Table87[Country],Tabela1[[#This Row],[Country]],Table87[Mixed Relay Classification],"&gt;0")</f>
        <v>0</v>
      </c>
      <c r="LG113" s="6">
        <f>COUNTIFS(Table91949698100[Country],Tabela1[[#This Row],[Country]],Table91949698100[Men''s Classification],"&gt;0")</f>
        <v>0</v>
      </c>
      <c r="LH113" s="6">
        <f>COUNTIFS(Table91949698100[Country],Tabela1[[#This Row],[Country]],Table91949698100[Women''s Classification],"&gt;0")</f>
        <v>0</v>
      </c>
      <c r="LI113" s="6">
        <f>COUNTIFS(Table91949698100102[Country],Tabela1[[#This Row],[Country]],Table91949698100102[Men''s Classification],"&gt;0")</f>
        <v>0</v>
      </c>
      <c r="LJ113" s="6">
        <f>COUNTIFS(Table91949698100102[Country],Tabela1[[#This Row],[Country]],Table91949698100102[Women''s Classification],"&gt;0")</f>
        <v>0</v>
      </c>
      <c r="LK113" s="6">
        <f>COUNTIFS(Table23[Country],Tabela1[[#This Row],[Country]],Table23[61kg Classification],"&gt;0")</f>
        <v>0</v>
      </c>
      <c r="LL113" s="6">
        <f>COUNTIFS(Table23[Country],Tabela1[[#This Row],[Country]],Table23[73kg Classification],"&gt;0")</f>
        <v>0</v>
      </c>
      <c r="LM113" s="6">
        <f>COUNTIFS(Table23[Country],Tabela1[[#This Row],[Country]],Table23[89kg Classification],"&gt;0")</f>
        <v>0</v>
      </c>
      <c r="LN113" s="6">
        <f>COUNTIFS(Table23[Country],Tabela1[[#This Row],[Country]],Table23[102kg Classification],"&gt;0")</f>
        <v>0</v>
      </c>
      <c r="LO113" s="6">
        <f>COUNTIFS(Table23[Country],Tabela1[[#This Row],[Country]],Table23[Plus 102kg Classification],"&gt;0")</f>
        <v>0</v>
      </c>
      <c r="LP113" s="6">
        <f>COUNTIFS(Table28[Country],Tabela1[[#This Row],[Country]],Table28[49kg Classification],"&gt;0")</f>
        <v>0</v>
      </c>
      <c r="LQ113" s="6">
        <f>COUNTIFS(Table28[Country],Tabela1[[#This Row],[Country]],Table28[59kg Classification],"&gt;0")</f>
        <v>0</v>
      </c>
      <c r="LR113" s="6">
        <f>COUNTIFS(Table28[Country],Tabela1[[#This Row],[Country]],Table28[71kg Classification],"&gt;0")</f>
        <v>0</v>
      </c>
      <c r="LS113" s="6">
        <f>COUNTIFS(Table28[Country],Tabela1[[#This Row],[Country]],Table28[81kg Classification],"&gt;0")</f>
        <v>0</v>
      </c>
      <c r="LT113" s="6">
        <f>COUNTIFS(Table28[Country],Tabela1[[#This Row],[Country]],Table28[Plus 81kg Classification],"&gt;0")</f>
        <v>0</v>
      </c>
      <c r="LU113" s="6">
        <f>COUNTIFS(Table24[Country],Tabela1[[#This Row],[Country]],Table24[Freestyle 57kg Classification],"&gt;0")</f>
        <v>0</v>
      </c>
      <c r="LV113" s="6">
        <f>COUNTIFS(Table24[Country],Tabela1[[#This Row],[Country]],Table24[Freestyle 65kg Classification],"&gt;0")</f>
        <v>0</v>
      </c>
      <c r="LW113" s="6">
        <f>COUNTIFS(Table24[Country],Tabela1[[#This Row],[Country]],Table24[Freestyle 74kg Classification],"&gt;0")</f>
        <v>0</v>
      </c>
      <c r="LX113" s="6">
        <f>COUNTIFS(Table24[Country],Tabela1[[#This Row],[Country]],Table24[Freestyle 86kg Classification],"&gt;0")</f>
        <v>0</v>
      </c>
      <c r="LY113" s="6">
        <f>COUNTIFS(Table24[Country],Tabela1[[#This Row],[Country]],Table24[Freestyle 97kg Classification],"&gt;0")</f>
        <v>0</v>
      </c>
      <c r="LZ113" s="6">
        <f>COUNTIFS(Table24[Country],Tabela1[[#This Row],[Country]],Table24[Freestyle 125kg Classification],"&gt;0")</f>
        <v>0</v>
      </c>
      <c r="MA113" s="6">
        <f>COUNTIFS(Table24[Country],Tabela1[[#This Row],[Country]],Table24[Greco-Roman 60kg Classification],"&gt;0")</f>
        <v>0</v>
      </c>
      <c r="MB113" s="6">
        <f>COUNTIFS(Table24[Country],Tabela1[[#This Row],[Country]],Table24[Greco-Roman 67kg Classification],"&gt;0")</f>
        <v>0</v>
      </c>
      <c r="MC113" s="6">
        <f>COUNTIFS(Table24[Country],Tabela1[[#This Row],[Country]],Table24[Greco-Roman 77kg Classification],"&gt;0")</f>
        <v>0</v>
      </c>
      <c r="MD113" s="6">
        <f>COUNTIFS(Table24[Country],Tabela1[[#This Row],[Country]],Table24[Greco-Roman 87kg Classification],"&gt;0")</f>
        <v>0</v>
      </c>
      <c r="ME113" s="6">
        <f>COUNTIFS(Table24[Country],Tabela1[[#This Row],[Country]],Table24[Greco-Roman 97kg Classification],"&gt;0")</f>
        <v>0</v>
      </c>
      <c r="MF113" s="6">
        <f>COUNTIFS(Table24[Country],Tabela1[[#This Row],[Country]],Table24[Greco-Roman 130kg Classification],"&gt;0")</f>
        <v>0</v>
      </c>
      <c r="MG113" s="6">
        <f>COUNTIFS(Table31[Country],Tabela1[[#This Row],[Country]],Table31[50kg Classification],"&gt;0")</f>
        <v>0</v>
      </c>
      <c r="MH113" s="6">
        <f>COUNTIFS(Table31[Country],Tabela1[[#This Row],[Country]],Table31[53kg Classification],"&gt;0")</f>
        <v>0</v>
      </c>
      <c r="MI113" s="6">
        <f>COUNTIFS(Table31[Country],Tabela1[[#This Row],[Country]],Table31[57kg Classification],"&gt;0")</f>
        <v>0</v>
      </c>
      <c r="MJ113" s="6">
        <f>COUNTIFS(Table31[Country],Tabela1[[#This Row],[Country]],Table31[62kg Classification],"&gt;0")</f>
        <v>0</v>
      </c>
      <c r="MK113" s="6">
        <f>COUNTIFS(Table31[Country],Tabela1[[#This Row],[Country]],Table31[68kg Classification],"&gt;0")</f>
        <v>0</v>
      </c>
      <c r="ML113" s="6">
        <f>COUNTIFS(Table31[Country],Tabela1[[#This Row],[Country]],Table31[76kg Classification],"&gt;0")</f>
        <v>0</v>
      </c>
      <c r="MM113" s="6">
        <f>COUNTIFS(Table102[Country],Tabela1[[#This Row],[Country]],Table102[Downhill Classification],"&gt;0")</f>
        <v>0</v>
      </c>
      <c r="MN113" s="6">
        <f>COUNTIFS(Table102105[Country],Tabela1[[#This Row],[Country]],Table102105[Downhill Classification],"&gt;0")</f>
        <v>0</v>
      </c>
      <c r="MO113" s="6">
        <f>COUNTIFS(Table102[Country],Tabela1[[#This Row],[Country]],Table102[Giant Slalom Classification],"&gt;0")</f>
        <v>0</v>
      </c>
      <c r="MP113" s="6">
        <f>COUNTIFS(Table102105[Country],Tabela1[[#This Row],[Country]],Table102105[Giant Slalom Classification],"&gt;0")</f>
        <v>0</v>
      </c>
      <c r="MQ113" s="6">
        <f>COUNTIFS(Table102[Country],Tabela1[[#This Row],[Country]],Table102[Slalom Classification],"&gt;0")</f>
        <v>0</v>
      </c>
      <c r="MR113" s="6">
        <f>COUNTIFS(Table102105[Country],Tabela1[[#This Row],[Country]],Table102105[Slalom Classification],"&gt;0")</f>
        <v>0</v>
      </c>
      <c r="MS113" s="6">
        <f>COUNTIFS(Table102[Country],Tabela1[[#This Row],[Country]],Table102[Super-G Classification],"&gt;0")</f>
        <v>0</v>
      </c>
      <c r="MT113" s="6">
        <f>COUNTIFS(Table102105[Country],Tabela1[[#This Row],[Country]],Table102105[Super-G Classification],"&gt;0")</f>
        <v>0</v>
      </c>
      <c r="MU113" s="6">
        <f>COUNTIFS(Table105[Country],Tabela1[[#This Row],[Country]],Table105[Men''s Combined Classification],"&gt;0")</f>
        <v>0</v>
      </c>
      <c r="MV113" s="6">
        <f>COUNTIFS(Table105[Country],Tabela1[[#This Row],[Country]],Table105[Women''s Combined Classification],"&gt;0")</f>
        <v>0</v>
      </c>
      <c r="MW113" s="6">
        <f>COUNTIFS(Table106[Country],Tabela1[[#This Row],[Country]],Table106[Individual Classification],"&gt;0")</f>
        <v>0</v>
      </c>
      <c r="MX113" s="6">
        <f>COUNTIFS(Table106109[Country],Tabela1[[#This Row],[Country]],Table106109[Individual Classification],"&gt;0")</f>
        <v>0</v>
      </c>
      <c r="MY113" s="6">
        <f>COUNTIFS(Table106[Country],Tabela1[[#This Row],[Country]],Table106[Mass Start Classification],"&gt;0")</f>
        <v>0</v>
      </c>
      <c r="MZ113" s="6">
        <f>COUNTIFS(Table106109[Country],Tabela1[[#This Row],[Country]],Table106109[Mass Start Classification],"&gt;0")</f>
        <v>0</v>
      </c>
      <c r="NA113" s="6">
        <f>COUNTIFS(Table106[Country],Tabela1[[#This Row],[Country]],Table106[Pursuit Classification],"&gt;0")</f>
        <v>0</v>
      </c>
      <c r="NB113" s="6">
        <f>COUNTIFS(Table106109[Country],Tabela1[[#This Row],[Country]],Table106109[Pursuit Classification],"&gt;0")</f>
        <v>0</v>
      </c>
      <c r="NC113" s="6">
        <f>COUNTIFS(Table106[Country],Tabela1[[#This Row],[Country]],Table106[Sprint Classification],"&gt;0")</f>
        <v>0</v>
      </c>
      <c r="ND113" s="6">
        <f>COUNTIFS(Table106109[Country],Tabela1[[#This Row],[Country]],Table106109[Sprint Classification],"&gt;0")</f>
        <v>0</v>
      </c>
      <c r="NE113" s="6">
        <f>COUNTIFS(Table109[Country],Tabela1[[#This Row],[Country]],Table109[Men''s Relay Classification],"&gt;0")</f>
        <v>0</v>
      </c>
      <c r="NF113" s="6">
        <f>COUNTIFS(Table109[Country],Tabela1[[#This Row],[Country]],Table109[Women''s Relay Classification],"&gt;0")</f>
        <v>0</v>
      </c>
      <c r="NG113" s="6">
        <f>COUNTIFS(Table109[Country],Tabela1[[#This Row],[Country]],Table109[Mixed Relay Classification],"&gt;0")</f>
        <v>0</v>
      </c>
      <c r="NH113" s="6">
        <f>COUNTIFS(Table110[Country],Tabela1[[#This Row],[Country]],Table110[Monobob Classification],"&gt;0")</f>
        <v>0</v>
      </c>
      <c r="NI113" s="6">
        <f>COUNTIFS(Table111[Country],Tabela1[[#This Row],[Country]],Table111[Men''s Classification],"&gt;0")</f>
        <v>0</v>
      </c>
      <c r="NJ113" s="6">
        <f>COUNTIFS(Table111[Country],Tabela1[[#This Row],[Country]],Table111[Women''s Classification],"&gt;0")</f>
        <v>0</v>
      </c>
      <c r="NK113" s="6">
        <f>COUNTIFS(Table112[Country],Tabela1[[#This Row],[Country]],Table112[Men''s Four Classification],"&gt;0")</f>
        <v>0</v>
      </c>
      <c r="NL113" s="6">
        <f>COUNTIFS(Table113[Country],Tabela1[[#This Row],[Country]],Table113[Classical Classification],"&gt;0")</f>
        <v>0</v>
      </c>
      <c r="NM113" s="6">
        <f>COUNTIFS(Table113116[Country],Tabela1[[#This Row],[Country]],Table113116[Classical Classification],"&gt;0")</f>
        <v>0</v>
      </c>
      <c r="NN113" s="6">
        <f>COUNTIFS(Table113[Country],Tabela1[[#This Row],[Country]],Table113[Freestyle Classification],"&gt;0")</f>
        <v>0</v>
      </c>
      <c r="NO113" s="6">
        <f>COUNTIFS(Table113116[Country],Tabela1[[#This Row],[Country]],Table113116[Freestyle Classification],"&gt;0")</f>
        <v>0</v>
      </c>
      <c r="NP113" s="6">
        <f>COUNTIFS(Table117[Country],Tabela1[[#This Row],[Country]],Table117[Men''s Relay Classification],"&gt;0")</f>
        <v>0</v>
      </c>
      <c r="NQ113" s="6">
        <f>COUNTIFS(Table117[Country],Tabela1[[#This Row],[Country]],Table117[Women''s Relay Classification],"&gt;0")</f>
        <v>0</v>
      </c>
      <c r="NR113" s="6">
        <f>COUNTIFS(Table113[Country],Tabela1[[#This Row],[Country]],Table113[Skiathlon Classification],"&gt;0")</f>
        <v>0</v>
      </c>
      <c r="NS113" s="6">
        <f>COUNTIFS(Table113116[Country],Tabela1[[#This Row],[Country]],Table113116[Skiathlon Classification],"&gt;0")</f>
        <v>0</v>
      </c>
      <c r="NT113" s="6">
        <f>COUNTIFS(Table113[Country],Tabela1[[#This Row],[Country]],Table113[Sprint Classification],"&gt;0")</f>
        <v>0</v>
      </c>
      <c r="NU113" s="6">
        <f>COUNTIFS(Table113116[Country],Tabela1[[#This Row],[Country]],Table113116[Sprint Classification],"&gt;0")</f>
        <v>0</v>
      </c>
      <c r="NV113" s="6">
        <f>COUNTIFS(Table116[Country],Tabela1[[#This Row],[Country]],Table116[Men''s Team Sprint Classification],"&gt;0")</f>
        <v>0</v>
      </c>
      <c r="NW113" s="6">
        <f>COUNTIFS(Table116[Country],Tabela1[[#This Row],[Country]],Table116[Women''s Team Sprint Classification],"&gt;0")</f>
        <v>0</v>
      </c>
      <c r="NX113" s="6">
        <f>COUNTIFS(Table119[Country],Tabela1[[#This Row],[Country]],Table119[Men''s Classification],"&gt;0")</f>
        <v>0</v>
      </c>
      <c r="NY113" s="6">
        <f>COUNTIFS(Table119[Country],Tabela1[[#This Row],[Country]],Table119[Women''s Classification],"&gt;0")</f>
        <v>0</v>
      </c>
      <c r="NZ113" s="6">
        <f>COUNTIFS(Table118[Country],Tabela1[[#This Row],[Country]],Table118[Mixed Classification],"&gt;0")</f>
        <v>0</v>
      </c>
      <c r="OA113" s="6">
        <f>COUNTIFS(Table120[Country],Tabela1[[#This Row],[Country]],Table120[Classification],"&gt;0")</f>
        <v>0</v>
      </c>
      <c r="OB113" s="6">
        <f>COUNTIFS(Table120123[Country],Tabela1[[#This Row],[Country]],Table120123[Classification],"&gt;0")</f>
        <v>0</v>
      </c>
      <c r="OC113" s="6">
        <f>COUNTIFS(Table123[Country],Tabela1[[#This Row],[Country]],Table123[Ice Dance Classification],"&gt;0")</f>
        <v>0</v>
      </c>
      <c r="OD113" s="6">
        <f>COUNTIFS(Table123[Country],Tabela1[[#This Row],[Country]],Table123[Pair Skating Classification],"&gt;0")</f>
        <v>0</v>
      </c>
      <c r="OE113" s="6">
        <f>COUNTIFS(Table124[Country],Tabela1[[#This Row],[Country]],Table124[Mixed Classification],"&gt;0")</f>
        <v>0</v>
      </c>
      <c r="OF113" s="6">
        <f>COUNTIFS(Table125[Country],Tabela1[[#This Row],[Country]],Table125[Aerials Classification],"&gt;0")</f>
        <v>0</v>
      </c>
      <c r="OG113" s="6">
        <f>COUNTIFS(Table125128[Country],Tabela1[[#This Row],[Country]],Table125128[Aerials Classification],"&gt;0")</f>
        <v>0</v>
      </c>
      <c r="OH113" s="6">
        <f>COUNTIFS(Table128[Country],Tabela1[[#This Row],[Country]],Table128[Mixed Aerials Classification],"&gt;0")</f>
        <v>0</v>
      </c>
      <c r="OI113" s="6">
        <f>COUNTIFS(Table125[Country],Tabela1[[#This Row],[Country]],Table125[Big Air Classification],"&gt;0")</f>
        <v>0</v>
      </c>
      <c r="OJ113" s="6">
        <f>COUNTIFS(Table125128[Country],Tabela1[[#This Row],[Country]],Table125128[Big Air Classification],"&gt;0")</f>
        <v>0</v>
      </c>
      <c r="OK113" s="6">
        <f>COUNTIFS(Table125[Country],Tabela1[[#This Row],[Country]],Table125[Dual Moguls Classification],"&gt;0")</f>
        <v>0</v>
      </c>
      <c r="OL113" s="6">
        <f>COUNTIFS(Table125128[Country],Tabela1[[#This Row],[Country]],Table125128[Dual Moguls Classification],"&gt;0")</f>
        <v>0</v>
      </c>
      <c r="OM113" s="6">
        <f>COUNTIFS(Table125[Country],Tabela1[[#This Row],[Country]],Table125[Halfpipe Classification],"&gt;0")</f>
        <v>0</v>
      </c>
      <c r="ON113" s="6">
        <f>COUNTIFS(Table125128[Country],Tabela1[[#This Row],[Country]],Table125128[Halfpipe Classification],"&gt;0")</f>
        <v>0</v>
      </c>
      <c r="OO113" s="6">
        <f>COUNTIFS(Table125[Country],Tabela1[[#This Row],[Country]],Table125[Moguls Classification],"&gt;0")</f>
        <v>0</v>
      </c>
      <c r="OP113" s="6">
        <f>COUNTIFS(Table125128[Country],Tabela1[[#This Row],[Country]],Table125128[Moguls Classification],"&gt;0")</f>
        <v>0</v>
      </c>
      <c r="OQ113" s="6">
        <f>COUNTIFS(Table125[Country],Tabela1[[#This Row],[Country]],Table125[Ski Cross Classification],"&gt;0")</f>
        <v>0</v>
      </c>
      <c r="OR113" s="6">
        <f>COUNTIFS(Table125128[Country],Tabela1[[#This Row],[Country]],Table125128[Ski Cross Classification],"&gt;0")</f>
        <v>0</v>
      </c>
      <c r="OS113" s="6">
        <f>COUNTIFS(Table125[Country],Tabela1[[#This Row],[Country]],Table125[Slopestyle Classification],"&gt;0")</f>
        <v>0</v>
      </c>
      <c r="OT113" s="6">
        <f>COUNTIFS(Table125128[Country],Tabela1[[#This Row],[Country]],Table125128[Slopestyle Classification],"&gt;0")</f>
        <v>0</v>
      </c>
      <c r="OU113" s="6">
        <f>COUNTIFS(Table119131[Country],Tabela1[[#This Row],[Country]],Table119131[Men''s Classification],"&gt;0")</f>
        <v>0</v>
      </c>
      <c r="OV113" s="6">
        <f>COUNTIFS(Table119131[Country],Tabela1[[#This Row],[Country]],Table119131[Women''s Classification],"&gt;0")</f>
        <v>0</v>
      </c>
      <c r="OW113" s="6">
        <f>COUNTIFS(Table131[Country],Tabela1[[#This Row],[Country]],Table131[Classification],"&gt;0")</f>
        <v>0</v>
      </c>
      <c r="OX113" s="6">
        <f>COUNTIFS(Table131134[Country],Tabela1[[#This Row],[Country]],Table131134[Classification],"&gt;0")</f>
        <v>0</v>
      </c>
      <c r="OY113" s="6">
        <f>COUNTIFS(Table134[Country],Tabela1[[#This Row],[Country]],Table134[Men''s Classification],"&gt;0")</f>
        <v>0</v>
      </c>
      <c r="OZ113" s="6">
        <f>COUNTIFS(Table134[Country],Tabela1[[#This Row],[Country]],Table134[Women''s Classification],"&gt;0")</f>
        <v>0</v>
      </c>
      <c r="PA113" s="6">
        <f>COUNTIFS(Table135[Country],Tabela1[[#This Row],[Country]],Table135[Mixed Relay Classification],"&gt;0")</f>
        <v>0</v>
      </c>
      <c r="PB113" s="6">
        <f>COUNTIFS(Table136[Country],Tabela1[[#This Row],[Country]],Table136[Individual Classification],"&gt;0")</f>
        <v>0</v>
      </c>
      <c r="PC113" s="6">
        <f>COUNTIFS(Table136[Country],Tabela1[[#This Row],[Country]],Table136[Sprint Classification],"&gt;0")</f>
        <v>0</v>
      </c>
      <c r="PD113" s="6">
        <f>COUNTIFS(Table137[Country],Tabela1[[#This Row],[Country]],Table137[Men''s Team Sprint Large Hill Classification],"&gt;0")</f>
        <v>0</v>
      </c>
      <c r="PE113" s="6">
        <f>COUNTIFS(Table138[Country],Tabela1[[#This Row],[Country]],Table138[500m Classification],"&gt;0")</f>
        <v>0</v>
      </c>
      <c r="PF113" s="6">
        <f>COUNTIFS(Table138141[Country],Tabela1[[#This Row],[Country]],Table138141[500m Classification],"&gt;0")</f>
        <v>0</v>
      </c>
      <c r="PG113" s="6">
        <f>COUNTIFS(Table138[Country],Tabela1[[#This Row],[Country]],Table138[1000m Classification],"&gt;0")</f>
        <v>0</v>
      </c>
      <c r="PH113" s="6">
        <f>COUNTIFS(Table138141[Country],Tabela1[[#This Row],[Country]],Table138141[1000m Classification],"&gt;0")</f>
        <v>0</v>
      </c>
      <c r="PI113" s="6">
        <f>COUNTIFS(Table138[Country],Tabela1[[#This Row],[Country]],Table138[1500m Classification],"&gt;0")</f>
        <v>0</v>
      </c>
      <c r="PJ113" s="6">
        <f>COUNTIFS(Table138141[Country],Tabela1[[#This Row],[Country]],Table138141[1500m Classification],"&gt;0")</f>
        <v>0</v>
      </c>
      <c r="PK113" s="6">
        <f>COUNTIFS(Table141[Country],Tabela1[[#This Row],[Country]],Table141[Men''s 5000m Relay Classification],"&gt;0")</f>
        <v>0</v>
      </c>
      <c r="PL113" s="6">
        <f>COUNTIFS(Table141[Country],Tabela1[[#This Row],[Country]],Table141[Women''s 3000m Relay Classification],"&gt;0")</f>
        <v>0</v>
      </c>
      <c r="PM113" s="6">
        <f>COUNTIFS(Table141[Country],Tabela1[[#This Row],[Country]],Table141[Mixed 2000m Relay Classification],"&gt;0")</f>
        <v>0</v>
      </c>
      <c r="PN113" s="6">
        <f>COUNTIFS(Table142[Country],Tabela1[[#This Row],[Country]],Table142[Classification],"&gt;0")</f>
        <v>0</v>
      </c>
      <c r="PO113" s="6">
        <f>COUNTIFS(Table142145[Country],Tabela1[[#This Row],[Country]],Table142145[Classification],"&gt;0")</f>
        <v>0</v>
      </c>
      <c r="PP113" s="6">
        <f>COUNTIFS(Tabela15[Country],Tabela1[[#This Row],[Country]],Tabela15[Mixed Team Classification],"&gt;0")</f>
        <v>0</v>
      </c>
      <c r="PQ113" s="6">
        <f>COUNTIFS(Table145[Country],Tabela1[[#This Row],[Country]],Table145[Large Hill Classification],"&gt;0")</f>
        <v>0</v>
      </c>
      <c r="PR113" s="6">
        <f>COUNTIFS(Table145[Country],Tabela1[[#This Row],[Country]],Table145[Normal Hill Classification],"&gt;0")</f>
        <v>0</v>
      </c>
      <c r="PS113" s="6">
        <f>COUNTIFS(Table145148[Country],Tabela1[[#This Row],[Country]],Table145148[Large Hill Classification],"&gt;0")</f>
        <v>0</v>
      </c>
      <c r="PT113" s="6">
        <f>COUNTIFS(Table145148[Country],Tabela1[[#This Row],[Country]],Table145148[Normal Hill Classification],"&gt;0")</f>
        <v>0</v>
      </c>
      <c r="PU113" s="6">
        <f>COUNTIFS(Table148[Country],Tabela1[[#This Row],[Country]],Table148[Men''s Super Team Classification],"&gt;0")</f>
        <v>0</v>
      </c>
      <c r="PV113" s="6">
        <f>COUNTIFS(Tabela114[Country],Tabela1[[#This Row],[Country]],Tabela114[Mixed Normal Hill Classification],"&gt;0")</f>
        <v>0</v>
      </c>
      <c r="PW113" s="6">
        <f>COUNTIFS(Tabela50[Country],Tabela1[[#This Row],[Country]],Tabela50[Sprint Classification],"&gt;0")</f>
        <v>0</v>
      </c>
      <c r="PX113" s="6">
        <f>COUNTIFS(Tabela50101[Country],Tabela1[[#This Row],[Country]],Tabela50101[Sprint Classification],"&gt;0")</f>
        <v>0</v>
      </c>
      <c r="PY113" s="6">
        <f>COUNTIFS(Tabela103[Country],Tabela1[[#This Row],[Country]],Tabela103[Mixed Relay Classification],"&gt;0")</f>
        <v>0</v>
      </c>
      <c r="PZ113" s="6">
        <f>COUNTIFS(Table149[Country],Tabela1[[#This Row],[Country]],Table149[Big Air Classification],"&gt;0")</f>
        <v>0</v>
      </c>
      <c r="QA113" s="6">
        <f>COUNTIFS(Table149152[Country],Tabela1[[#This Row],[Country]],Table149152[Big Air Classification],"&gt;0")</f>
        <v>0</v>
      </c>
      <c r="QB113" s="6">
        <f>COUNTIFS(Table149[Country],Tabela1[[#This Row],[Country]],Table149[Halfpipe Classification],"&gt;0")</f>
        <v>0</v>
      </c>
      <c r="QC113" s="6">
        <f>COUNTIFS(Table149152[Country],Tabela1[[#This Row],[Country]],Table149152[Halfpipe Classification],"&gt;0")</f>
        <v>0</v>
      </c>
      <c r="QD113" s="6">
        <f>COUNTIFS(Table149[Country],Tabela1[[#This Row],[Country]],Table149[Parallel Giant Slalom Classification],"&gt;0")</f>
        <v>0</v>
      </c>
      <c r="QE113" s="6">
        <f>COUNTIFS(Table149152[Country],Tabela1[[#This Row],[Country]],Table149152[Parallel Giant Slalom Classification],"&gt;0")</f>
        <v>0</v>
      </c>
      <c r="QF113" s="6">
        <f>COUNTIFS(Table149[Country],Tabela1[[#This Row],[Country]],Table149[Slopestyle Classification],"&gt;0")</f>
        <v>0</v>
      </c>
      <c r="QG113" s="6">
        <f>COUNTIFS(Table149152[Country],Tabela1[[#This Row],[Country]],Table149152[Slopestyle Classification],"&gt;0")</f>
        <v>0</v>
      </c>
      <c r="QH113" s="6">
        <f>COUNTIFS(Table149[Country],Tabela1[[#This Row],[Country]],Table149[Snowboard Cross Classification],"&gt;0")</f>
        <v>0</v>
      </c>
      <c r="QI113" s="6">
        <f>COUNTIFS(Table149152[Country],Tabela1[[#This Row],[Country]],Table149152[Snowboard Cross Classification],"&gt;0")</f>
        <v>0</v>
      </c>
      <c r="QJ113" s="6">
        <f>COUNTIFS(Table153[Country],Tabela1[[#This Row],[Country]],Table153[Mixed Team Snowboard Cross Classification],"&gt;0")</f>
        <v>0</v>
      </c>
      <c r="QK113" s="6">
        <f>COUNTIFS(Table154[Country],Tabela1[[#This Row],[Country]],Table154[500m Classification],"&gt;0")</f>
        <v>0</v>
      </c>
      <c r="QL113" s="6">
        <f>COUNTIFS(Table154157[Country],Tabela1[[#This Row],[Country]],Table154157[500m Classification],"&gt;0")</f>
        <v>0</v>
      </c>
      <c r="QM113" s="6">
        <f>COUNTIFS(Table154[Country],Tabela1[[#This Row],[Country]],Table154[1000m Classification],"&gt;0")</f>
        <v>0</v>
      </c>
      <c r="QN113" s="6">
        <f>COUNTIFS(Table154157[Country],Tabela1[[#This Row],[Country]],Table154157[1000m Classification],"&gt;0")</f>
        <v>0</v>
      </c>
      <c r="QO113" s="6">
        <f>COUNTIFS(Table154[Country],Tabela1[[#This Row],[Country]],Table154[1500m Classification],"&gt;0")</f>
        <v>0</v>
      </c>
      <c r="QP113" s="6">
        <f>COUNTIFS(Table154157[Country],Tabela1[[#This Row],[Country]],Table154157[1500m Classification],"&gt;0")</f>
        <v>0</v>
      </c>
      <c r="QQ113" s="6">
        <f>COUNTIFS(Table154157[Country],Tabela1[[#This Row],[Country]],Table154157[3000m Classification],"&gt;0")</f>
        <v>0</v>
      </c>
      <c r="QR113" s="6">
        <f>COUNTIFS(Table154[Country],Tabela1[[#This Row],[Country]],Table154[5000m Classification],"&gt;0")</f>
        <v>0</v>
      </c>
      <c r="QS113" s="6">
        <f>COUNTIFS(Table154157[Country],Tabela1[[#This Row],[Country]],Table154157[5000m Classification],"&gt;0")</f>
        <v>0</v>
      </c>
      <c r="QT113" s="6">
        <f>COUNTIFS(Table154[Country],Tabela1[[#This Row],[Country]],Table154[10000m Classification],"&gt;0")</f>
        <v>0</v>
      </c>
      <c r="QU113" s="6">
        <f>COUNTIFS(Table154[Country],Tabela1[[#This Row],[Country]],Table154[Mass Start Classification],"&gt;0")</f>
        <v>0</v>
      </c>
      <c r="QV113" s="6">
        <f>COUNTIFS(Table154157[Country],Tabela1[[#This Row],[Country]],Table154157[Mass Start Classification],"&gt;0")</f>
        <v>0</v>
      </c>
      <c r="QW113" s="6">
        <f>COUNTIFS(Table157[Country],Tabela1[[#This Row],[Country]],Table157[Men''s Pursuit Classification],"&gt;0")</f>
        <v>0</v>
      </c>
      <c r="QX113" s="6">
        <f>COUNTIFS(Table157[Country],Tabela1[[#This Row],[Country]],Table157[Women''s Pursuit Classification],"&gt;0")</f>
        <v>0</v>
      </c>
      <c r="QY113" s="4" t="s">
        <v>579</v>
      </c>
    </row>
    <row r="114" spans="1:467" x14ac:dyDescent="0.3">
      <c r="A114" s="6">
        <v>113</v>
      </c>
      <c r="B114" s="6" t="s">
        <v>386</v>
      </c>
      <c r="C114" t="e" vm="113">
        <f>IF(ISBLANK(Tabela1[[#This Row],[Image Link]]), "", _xlfn.IMAGE(Tabela1[[#This Row],[Image Link]],1,1))</f>
        <v>#VALUE!</v>
      </c>
      <c r="D114" s="6">
        <f>SUM(Tabela1[[#This Row],[Archery - Men''s Individual Recurve]:[Speed Skating - Women''s Team Pursuit]])</f>
        <v>3</v>
      </c>
      <c r="E114" s="6">
        <f>COUNTIF(Tabela1[[#This Row],[Archery - Men''s Individual Recurve]:[Speed Skating - Women''s Team Pursuit]],"&gt;0")</f>
        <v>3</v>
      </c>
      <c r="F114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14" s="6">
        <f>SUM(Tabela1[[#This Row],[Archery - Men''s Individual Recurve]:[Wrestling - Women''s Freestyle 76kg]])</f>
        <v>3</v>
      </c>
      <c r="H114" s="6">
        <f>SUM(Tabela1[[#This Row],[Alpine Skiing - Men''s Downhill]:[Speed Skating - Women''s Team Pursuit]])</f>
        <v>0</v>
      </c>
      <c r="I114" s="6">
        <f>Tabela1[[#This Row],[Summer Gold Medals]]+Tabela1[[#This Row],[Winter Gold Medals]]</f>
        <v>0</v>
      </c>
      <c r="J114" s="6">
        <f>Tabela1[[#This Row],[Summer Silver Medals]]+Tabela1[[#This Row],[Winter Silver Medals]]</f>
        <v>0</v>
      </c>
      <c r="K114" s="6">
        <f>Tabela1[[#This Row],[Summer Bronze Medals]]+Tabela1[[#This Row],[Winter Bronze Medals]]</f>
        <v>1</v>
      </c>
      <c r="L114" s="6">
        <f>SUM(Tabela1[[#This Row],[Total Gold Medals]:[Total Bronze Medals]])</f>
        <v>1</v>
      </c>
      <c r="M114" s="6"/>
      <c r="N114" s="6"/>
      <c r="O114" s="6">
        <v>1</v>
      </c>
      <c r="P114" s="6">
        <f>SUM(Tabela1[[#This Row],[Summer Gold Medals]:[Summer Bronze Medals]])</f>
        <v>1</v>
      </c>
      <c r="Q114" s="6"/>
      <c r="R114" s="6"/>
      <c r="S114" s="6"/>
      <c r="T114" s="6">
        <f>Tabela1[[#This Row],[Winter Gold Medals]]+Tabela1[[#This Row],[Winter Silver Medals]]+Tabela1[[#This Row],[Winter Bronze Medals]]</f>
        <v>0</v>
      </c>
      <c r="U114" s="7">
        <f>Tabela1[[#This Row],[Total Medals]]/Tabela1[[#This Row],[Total Quotas]]</f>
        <v>0.33333333333333331</v>
      </c>
      <c r="V114" s="6">
        <f>COUNTIFS(Table3[Country],Tabela1[[#This Row],[Country]],Table3[Recurve Classification],"&gt;0")</f>
        <v>0</v>
      </c>
      <c r="W114" s="6">
        <f>COUNTIFS(Table33[Country],Tabela1[[#This Row],[Country]],Table33[Recurve Classification],"&gt;0")</f>
        <v>0</v>
      </c>
      <c r="X114" s="6">
        <f>COUNTIFS(Table35[Country],Tabela1[[#This Row],[Country]],Table35[Men''s Team Recurve Classification],"&gt;0")</f>
        <v>0</v>
      </c>
      <c r="Y114" s="6">
        <f>COUNTIFS(Table35[Country],Tabela1[[#This Row],[Country]],Table35[Women''s Team Recurve Classification],"&gt;0")</f>
        <v>0</v>
      </c>
      <c r="Z114" s="6">
        <f>COUNTIFS(Tabela88[Country],Tabela1[[#This Row],[Country]],Tabela88[Mixed Team Recurve Classification],"&gt;0")</f>
        <v>0</v>
      </c>
      <c r="AA114" s="6">
        <f>COUNTIFS(Table36[Country],Tabela1[[#This Row],[Country]],Table36[Classification],"&gt;0")</f>
        <v>0</v>
      </c>
      <c r="AB114" s="6">
        <f>COUNTIFS(Table37[Country],Tabela1[[#This Row],[Country]],Table37[Classification],"&gt;0")</f>
        <v>0</v>
      </c>
      <c r="AC114" s="6">
        <f>COUNTIFS(Table4[Country],Tabela1[[#This Row],[Country]],Table4[100m Classification],"&gt;0")</f>
        <v>0</v>
      </c>
      <c r="AD114" s="6">
        <f>COUNTIFS(Table5[Country],Tabela1[[#This Row],[Country]],Table5[100m Classification],"&gt;0")</f>
        <v>0</v>
      </c>
      <c r="AE114" s="6">
        <f>COUNTIFS(Table4[Country],Tabela1[[#This Row],[Country]],Table4[200m Classification],"&gt;0")</f>
        <v>0</v>
      </c>
      <c r="AF114" s="6">
        <f>COUNTIFS(Table5[Country],Tabela1[[#This Row],[Country]],Table5[200m Classification],"&gt;0")</f>
        <v>0</v>
      </c>
      <c r="AG114" s="6">
        <f>COUNTIFS(Table4[Country],Tabela1[[#This Row],[Country]],Table4[400m Classification],"&gt;0")</f>
        <v>0</v>
      </c>
      <c r="AH114" s="6">
        <f>COUNTIFS(Table5[Country],Tabela1[[#This Row],[Country]],Table5[400m Classification],"&gt;0")</f>
        <v>0</v>
      </c>
      <c r="AI114" s="6">
        <f>COUNTIFS(Table4[Country],Tabela1[[#This Row],[Country]],Table4[800m Classification],"&gt;0")</f>
        <v>0</v>
      </c>
      <c r="AJ114" s="6">
        <f>COUNTIFS(Table5[Country],Tabela1[[#This Row],[Country]],Table5[800m Classification],"&gt;0")</f>
        <v>0</v>
      </c>
      <c r="AK114" s="6">
        <f>COUNTIFS(Table4[Country],Tabela1[[#This Row],[Country]],Table4[1500m Classification],"&gt;0")</f>
        <v>0</v>
      </c>
      <c r="AL114" s="6">
        <f>COUNTIFS(Table5[Country],Tabela1[[#This Row],[Country]],Table5[1500m Classification],"&gt;0")</f>
        <v>0</v>
      </c>
      <c r="AM114" s="6">
        <f>COUNTIFS(Table4[Country],Tabela1[[#This Row],[Country]],Table4[5000m Classification],"&gt;0")</f>
        <v>0</v>
      </c>
      <c r="AN114" s="6">
        <f>COUNTIFS(Table5[Country],Tabela1[[#This Row],[Country]],Table5[5000m Classification],"&gt;0")</f>
        <v>0</v>
      </c>
      <c r="AO114" s="6">
        <f>COUNTIFS(Table4[Country],Tabela1[[#This Row],[Country]],Table4[10000m Classification],"&gt;0")</f>
        <v>0</v>
      </c>
      <c r="AP114" s="6">
        <f>COUNTIFS(Table5[Country],Tabela1[[#This Row],[Country]],Table5[10000m Classification],"&gt;0")</f>
        <v>0</v>
      </c>
      <c r="AQ114" s="6">
        <f>COUNTIFS(Table4[Country],Tabela1[[#This Row],[Country]],Table4[110m Hurdles Classification],"&gt;0")</f>
        <v>0</v>
      </c>
      <c r="AR114" s="6">
        <f>COUNTIFS(Table5[Country],Tabela1[[#This Row],[Country]],Table5[100m Hurdles Classification],"&gt;0")</f>
        <v>0</v>
      </c>
      <c r="AS114" s="6">
        <f>COUNTIFS(Table4[Country],Tabela1[[#This Row],[Country]],Table4[400m Hurdles Classification],"&gt;0")</f>
        <v>0</v>
      </c>
      <c r="AT114" s="6">
        <f>COUNTIFS(Table5[Country],Tabela1[[#This Row],[Country]],Table5[400m Hurdles Classification],"&gt;0")</f>
        <v>0</v>
      </c>
      <c r="AU114" s="6">
        <f>COUNTIFS(Table4[Country],Tabela1[[#This Row],[Country]],Table4[3000m Steeplechase Classification],"&gt;0")</f>
        <v>0</v>
      </c>
      <c r="AV114" s="6">
        <f>COUNTIFS(Table5[Country],Tabela1[[#This Row],[Country]],Table5[3000m Steeplechase Classification],"&gt;0")</f>
        <v>0</v>
      </c>
      <c r="AW114" s="6">
        <f>COUNTIFS(Table27[Country],Tabela1[[#This Row],[Country]],Table27[Men''s 4x100m Relay Classification],"&gt;0")</f>
        <v>0</v>
      </c>
      <c r="AX114" s="6">
        <f>COUNTIFS(Table27[Country],Tabela1[[#This Row],[Country]],Table27[Women''s 4x100m Relay Classification],"&gt;0")</f>
        <v>0</v>
      </c>
      <c r="AY114" s="6">
        <f>COUNTIFS(Table27[Country],Tabela1[[#This Row],[Country]],Table27[Men''s 4x400m Relay Classification],"&gt;0")</f>
        <v>0</v>
      </c>
      <c r="AZ114" s="6">
        <f>COUNTIFS(Table27[Country],Tabela1[[#This Row],[Country]],Table27[Women''s 4x400m Relay Classification],"&gt;0")</f>
        <v>0</v>
      </c>
      <c r="BA114" s="6">
        <f>COUNTIFS(Table27[Country],Tabela1[[#This Row],[Country]],Table27[Mixed 4x400m Relay Classification],"&gt;0")</f>
        <v>0</v>
      </c>
      <c r="BB114" s="6">
        <f>COUNTIFS(Table4[Country],Tabela1[[#This Row],[Country]],Table4[Marathon Classification],"&gt;0")</f>
        <v>0</v>
      </c>
      <c r="BC114" s="6">
        <f>COUNTIFS(Table5[Country],Tabela1[[#This Row],[Country]],Table5[Marathon Classification],"&gt;0")</f>
        <v>0</v>
      </c>
      <c r="BD114" s="6">
        <f>COUNTIFS(Table4[Country],Tabela1[[#This Row],[Country]],Table4[20km Race Walk Classification],"&gt;0")</f>
        <v>0</v>
      </c>
      <c r="BE114" s="6">
        <f>COUNTIFS(Table5[Country],Tabela1[[#This Row],[Country]],Table5[20km Race Walk Classification],"&gt;0")</f>
        <v>0</v>
      </c>
      <c r="BF114" s="6">
        <f>COUNTIFS(Tabela96[Country],Tabela1[[#This Row],[Country]],Tabela96[Mixed Marathon Race Walk Relay Classification],"&gt;0")</f>
        <v>0</v>
      </c>
      <c r="BG114" s="6">
        <f>COUNTIFS(Table4[Country],Tabela1[[#This Row],[Country]],Table4[Discus Throw Classification],"&gt;0")</f>
        <v>0</v>
      </c>
      <c r="BH114" s="6">
        <f>COUNTIFS(Table5[Country],Tabela1[[#This Row],[Country]],Table5[Discus Throw Classification],"&gt;0")</f>
        <v>0</v>
      </c>
      <c r="BI114" s="6">
        <f>COUNTIFS(Table4[Country],Tabela1[[#This Row],[Country]],Table4[Hammer Throw Classification],"&gt;0")</f>
        <v>0</v>
      </c>
      <c r="BJ114" s="6">
        <f>COUNTIFS(Table5[Country],Tabela1[[#This Row],[Country]],Table5[Hammer Throw Classification],"&gt;0")</f>
        <v>0</v>
      </c>
      <c r="BK114" s="6">
        <f>COUNTIFS(Table4[Country],Tabela1[[#This Row],[Country]],Table4[High Jump Classification],"&gt;0")</f>
        <v>0</v>
      </c>
      <c r="BL114" s="6">
        <f>COUNTIFS(Table5[Country],Tabela1[[#This Row],[Country]],Table5[High Jump Classification],"&gt;0")</f>
        <v>0</v>
      </c>
      <c r="BM114" s="6">
        <f>COUNTIFS(Table4[Country],Tabela1[[#This Row],[Country]],Table4[Javelin Throw Classification],"&gt;0")</f>
        <v>0</v>
      </c>
      <c r="BN114" s="6">
        <f>COUNTIFS(Table5[Country],Tabela1[[#This Row],[Country]],Table5[Javelin Throw Classification],"&gt;0")</f>
        <v>0</v>
      </c>
      <c r="BO114" s="6">
        <f>COUNTIFS(Table4[Country],Tabela1[[#This Row],[Country]],Table4[Long Jump Classification],"&gt;0")</f>
        <v>0</v>
      </c>
      <c r="BP114" s="6">
        <f>COUNTIFS(Table5[Country],Tabela1[[#This Row],[Country]],Table5[Long Jump Classification],"&gt;0")</f>
        <v>0</v>
      </c>
      <c r="BQ114" s="6">
        <f>COUNTIFS(Table4[Country],Tabela1[[#This Row],[Country]],Table4[Pole Vault Classification],"&gt;0")</f>
        <v>0</v>
      </c>
      <c r="BR114" s="6">
        <f>COUNTIFS(Table5[Country],Tabela1[[#This Row],[Country]],Table5[Pole Vault Classification],"&gt;0")</f>
        <v>0</v>
      </c>
      <c r="BS114" s="6">
        <f>COUNTIFS(Table4[Country],Tabela1[[#This Row],[Country]],Table4[Shot Put Classification],"&gt;0")</f>
        <v>0</v>
      </c>
      <c r="BT114" s="6">
        <f>COUNTIFS(Table5[Country],Tabela1[[#This Row],[Country]],Table5[Shot Put Classification],"&gt;0")</f>
        <v>0</v>
      </c>
      <c r="BU114" s="6">
        <f>COUNTIFS(Table4[Country],Tabela1[[#This Row],[Country]],Table4[Triple Jump Classification],"&gt;0")</f>
        <v>0</v>
      </c>
      <c r="BV114" s="6">
        <f>COUNTIFS(Table5[Country],Tabela1[[#This Row],[Country]],Table5[Triple Jump Classification],"&gt;0")</f>
        <v>0</v>
      </c>
      <c r="BW114" s="6">
        <f>COUNTIFS(Table4[Country],Tabela1[[#This Row],[Country]],Table4[Decathlon Classification],"&gt;0")</f>
        <v>0</v>
      </c>
      <c r="BX114" s="6">
        <f>COUNTIFS(Table5[Country],Tabela1[[#This Row],[Country]],Table5[Heptathlon Classification],"&gt;0")</f>
        <v>0</v>
      </c>
      <c r="BY114" s="6">
        <f>COUNTIFS(Table61[Country],Tabela1[[#This Row],[Country]],Table61[Classification],"&gt;0")</f>
        <v>0</v>
      </c>
      <c r="BZ114" s="6">
        <f>COUNTIFS(Table38[Country],Tabela1[[#This Row],[Country]],Table38[Classification],"&gt;0")</f>
        <v>0</v>
      </c>
      <c r="CA114" s="6">
        <f>COUNTIFS(Table39[Country],Tabela1[[#This Row],[Country]],Table39[Men''s Classification],"&gt;0")</f>
        <v>0</v>
      </c>
      <c r="CB114" s="6">
        <f>COUNTIFS(Table39[Country],Tabela1[[#This Row],[Country]],Table39[Women''s Classification],"&gt;0")</f>
        <v>0</v>
      </c>
      <c r="CC114" s="6">
        <f>COUNTIFS(Table39[Country],Tabela1[[#This Row],[Country]],Table39[Mixed Classification],"&gt;0")</f>
        <v>0</v>
      </c>
      <c r="CD114" s="6">
        <f>COUNTIFS(Table89[Country],Tabela1[[#This Row],[Country]],Table89[Men''s Classification],"&gt;0")</f>
        <v>0</v>
      </c>
      <c r="CE114" s="6">
        <f>COUNTIFS(Table89[Country],Tabela1[[#This Row],[Country]],Table89[Women''s Classification],"&gt;0")</f>
        <v>0</v>
      </c>
      <c r="CF114" s="6">
        <f>COUNTIFS(Table90[Country],Tabela1[[#This Row],[Country]],Table90[Men''s Classification],"&gt;0")</f>
        <v>0</v>
      </c>
      <c r="CG114" s="6">
        <f>COUNTIFS(Table90[Country],Tabela1[[#This Row],[Country]],Table90[Women''s Classification],"&gt;0")</f>
        <v>0</v>
      </c>
      <c r="CH114" s="6">
        <f>COUNTIFS(Table60[Country],Tabela1[[#This Row],[Country]],Table60[Men''s Classification],"&gt;0")</f>
        <v>0</v>
      </c>
      <c r="CI114" s="6">
        <f>COUNTIFS(Table60[Country],Tabela1[[#This Row],[Country]],Table60[Women''s Classification],"&gt;0")</f>
        <v>0</v>
      </c>
      <c r="CJ114" s="6">
        <f>COUNTIFS(Table6[Country],Tabela1[[#This Row],[Country]],Table6[51kg Classification],"&gt;0")</f>
        <v>0</v>
      </c>
      <c r="CK114" s="6">
        <f>COUNTIFS(Table6[Country],Tabela1[[#This Row],[Country]],Table6[57kg Classification],"&gt;0")</f>
        <v>0</v>
      </c>
      <c r="CL114" s="6">
        <f>COUNTIFS(Table6[Country],Tabela1[[#This Row],[Country]],Table6[63.5kg Classification],"&gt;0")</f>
        <v>0</v>
      </c>
      <c r="CM114" s="6">
        <f>COUNTIFS(Table6[Country],Tabela1[[#This Row],[Country]],Table6[71kg Classification],"&gt;0")</f>
        <v>0</v>
      </c>
      <c r="CN114" s="6">
        <f>COUNTIFS(Table6[Country],Tabela1[[#This Row],[Country]],Table6[80kg Classification],"&gt;0")</f>
        <v>0</v>
      </c>
      <c r="CO114" s="6">
        <f>COUNTIFS(Table6[Country],Tabela1[[#This Row],[Country]],Table6[92kg Classification],"&gt;0")</f>
        <v>0</v>
      </c>
      <c r="CP114" s="6">
        <f>COUNTIFS(Table6[Country],Tabela1[[#This Row],[Country]],Table6[Plus 92kg Classification],"&gt;0")</f>
        <v>0</v>
      </c>
      <c r="CQ114" s="6">
        <f>COUNTIFS(Table7[Country],Tabela1[[#This Row],[Country]],Table7[50kg Classification],"&gt;0")</f>
        <v>0</v>
      </c>
      <c r="CR114" s="6">
        <f>COUNTIFS(Table7[Country],Tabela1[[#This Row],[Country]],Table7[54kg Classification],"&gt;0")</f>
        <v>0</v>
      </c>
      <c r="CS114" s="6">
        <f>COUNTIFS(Table7[Country],Tabela1[[#This Row],[Country]],Table7[57kg Classification],"&gt;0")</f>
        <v>0</v>
      </c>
      <c r="CT114" s="6">
        <f>COUNTIFS(Table7[Country],Tabela1[[#This Row],[Country]],Table7[60kg Classification],"&gt;0")</f>
        <v>0</v>
      </c>
      <c r="CU114" s="6">
        <f>COUNTIFS(Table7[Country],Tabela1[[#This Row],[Country]],Table7[66kg Classification],"&gt;0")</f>
        <v>0</v>
      </c>
      <c r="CV114" s="6">
        <f>COUNTIFS(Table7[Country],Tabela1[[#This Row],[Country]],Table7[75kg Classification],"&gt;0")</f>
        <v>1</v>
      </c>
      <c r="CW114" s="6">
        <f>COUNTIFS(Tabela94[Country],Tabela1[[#This Row],[Country]],Tabela94[Classification],"&gt;0")</f>
        <v>0</v>
      </c>
      <c r="CX114" s="6">
        <f>COUNTIFS(Tabela9499[Country],Tabela1[[#This Row],[Country]],Tabela9499[Classification],"&gt;0")</f>
        <v>0</v>
      </c>
      <c r="CY114" s="6">
        <f>COUNTIFS(Tabela107[Country],Tabela1[[#This Row],[Country]],Tabela107[C1 Slalom Classification],"&gt;0")</f>
        <v>0</v>
      </c>
      <c r="CZ114" s="6">
        <f>COUNTIFS(Tabela107122[Country],Tabela1[[#This Row],[Country]],Tabela107122[C1 Slalom Classification],"&gt;0")</f>
        <v>0</v>
      </c>
      <c r="DA114" s="6">
        <f>COUNTIFS(Tabela107[Country],Tabela1[[#This Row],[Country]],Tabela107[K1 Slalom Classification],"&gt;0")</f>
        <v>0</v>
      </c>
      <c r="DB114" s="6">
        <f>COUNTIFS(Tabela107122[Country],Tabela1[[#This Row],[Country]],Tabela107122[K1 Slalom Classification],"&gt;0")</f>
        <v>0</v>
      </c>
      <c r="DC114" s="6">
        <f>COUNTIFS(Tabela107[Country],Tabela1[[#This Row],[Country]],Tabela107[Kayak Cross Slalom Classification],"&gt;0")</f>
        <v>0</v>
      </c>
      <c r="DD114" s="6">
        <f>COUNTIFS(Tabela107122[Country],Tabela1[[#This Row],[Country]],Tabela107122[Kayak Cross Slalom Classification],"&gt;0")</f>
        <v>0</v>
      </c>
      <c r="DE114" s="6">
        <f>COUNTIFS(Table8[Country],Tabela1[[#This Row],[Country]],Table8[C1 200m Classification],"&gt;0")</f>
        <v>0</v>
      </c>
      <c r="DF114" s="6">
        <f>COUNTIFS(Table40[Country],Tabela1[[#This Row],[Country]],Table40[C1 1000m Classification],"&gt;0")</f>
        <v>0</v>
      </c>
      <c r="DG114" s="6">
        <f>COUNTIFS(Table68[Country],Tabela1[[#This Row],[Country]],Table68[Men''s C2 500m Classification],"&gt;0")</f>
        <v>0</v>
      </c>
      <c r="DH114" s="6">
        <f>COUNTIFS(Table68[Country],Tabela1[[#This Row],[Country]],Table68[Women''s C2 500m Classification],"&gt;0")</f>
        <v>0</v>
      </c>
      <c r="DI114" s="6">
        <f>COUNTIFS(Table8[Country],Tabela1[[#This Row],[Country]],Table8[K1 500m Classification],"&gt;0")</f>
        <v>0</v>
      </c>
      <c r="DJ114" s="6">
        <f>COUNTIFS(Table40[Country],Tabela1[[#This Row],[Country]],Table40[K1 1000m Classification],"&gt;0")</f>
        <v>0</v>
      </c>
      <c r="DK114" s="6">
        <f>COUNTIFS(Table68[Country],Tabela1[[#This Row],[Country]],Table68[Men''s K2 500m Classification],"&gt;0")</f>
        <v>0</v>
      </c>
      <c r="DL114" s="6">
        <f>COUNTIFS(Table68[Country],Tabela1[[#This Row],[Country]],Table68[Women''s K2 500m Classification],"&gt;0")</f>
        <v>0</v>
      </c>
      <c r="DM114" s="6">
        <f>COUNTIFS(Table83[Country],Tabela1[[#This Row],[Country]],Table83[Men''s K4 500m Classification],"&gt;0")</f>
        <v>0</v>
      </c>
      <c r="DN114" s="6">
        <f>COUNTIFS(Table83[Country],Tabela1[[#This Row],[Country]],Table83[Women''s K4 500m Classification],"&gt;0")</f>
        <v>0</v>
      </c>
      <c r="DO114" s="6">
        <f>COUNTIFS(Tabela126[Country],Tabela1[[#This Row],[Country]],Tabela126[Classification],"&gt;0")</f>
        <v>0</v>
      </c>
      <c r="DP114" s="6">
        <f>COUNTIFS(Tabela126130[Country],Tabela1[[#This Row],[Country]],Tabela126130[Classification],"&gt;0")</f>
        <v>0</v>
      </c>
      <c r="DQ114" s="6">
        <f>COUNTIFS(Table70[Country],Tabela1[[#This Row],[Country]],Table70[Classification],"&gt;0")</f>
        <v>0</v>
      </c>
      <c r="DR114" s="6">
        <f>COUNTIFS(Table80[Country],Tabela1[[#This Row],[Country]],Table80[Classification],"&gt;0")</f>
        <v>0</v>
      </c>
      <c r="DS114" s="6">
        <f>COUNTIFS(Table66[Country],Tabela1[[#This Row],[Country]],Table66[Classification],"&gt;0")</f>
        <v>0</v>
      </c>
      <c r="DT114" s="6">
        <f>COUNTIFS(Table67[Country],Tabela1[[#This Row],[Country]],Table67[Classification],"&gt;0")</f>
        <v>0</v>
      </c>
      <c r="DU114" s="6">
        <f>COUNTIFS(Table69[Country],Tabela1[[#This Row],[Country]],Table69[Keirin Classification],"&gt;0")</f>
        <v>0</v>
      </c>
      <c r="DV114" s="6">
        <f>COUNTIFS(Table41[Country],Tabela1[[#This Row],[Country]],Table41[Keirin Classification],"&gt;0")</f>
        <v>0</v>
      </c>
      <c r="DW114" s="6">
        <f>COUNTIFS(Table84[Country],Tabela1[[#This Row],[Country]],Table84[Men''s Madison Classification],"&gt;0")</f>
        <v>0</v>
      </c>
      <c r="DX114" s="6">
        <f>COUNTIFS(Table84[Country],Tabela1[[#This Row],[Country]],Table84[Women''s Madison Classification],"&gt;0")</f>
        <v>0</v>
      </c>
      <c r="DY114" s="6">
        <f>COUNTIFS(Table69[Country],Tabela1[[#This Row],[Country]],Table69[Omnium Classification],"&gt;0")</f>
        <v>0</v>
      </c>
      <c r="DZ114" s="6">
        <f>COUNTIFS(Table41[Country],Tabela1[[#This Row],[Country]],Table41[Omnium Classification],"&gt;0")</f>
        <v>0</v>
      </c>
      <c r="EA114" s="6">
        <f>COUNTIFS(Table9[Country],Tabela1[[#This Row],[Country]],Table9[Road Race Classification],"&gt;0")</f>
        <v>0</v>
      </c>
      <c r="EB114" s="6">
        <f>COUNTIFS(Table14[Country],Tabela1[[#This Row],[Country]],Table14[Road Race Classification],"&gt;0")</f>
        <v>1</v>
      </c>
      <c r="EC114" s="6">
        <f>COUNTIFS(Table69[Country],Tabela1[[#This Row],[Country]],Table69[Sprint Classification],"&gt;0")</f>
        <v>0</v>
      </c>
      <c r="ED114" s="6">
        <f>COUNTIFS(Table41[Country],Tabela1[[#This Row],[Country]],Table41[Sprint Classification],"&gt;0")</f>
        <v>0</v>
      </c>
      <c r="EE114" s="6">
        <f>COUNTIFS(Table85[Country],Tabela1[[#This Row],[Country]],Table85[Men''s Sprint Classification],"&gt;0")</f>
        <v>0</v>
      </c>
      <c r="EF114" s="6">
        <f>COUNTIFS(Table85[Country],Tabela1[[#This Row],[Country]],Table85[Women''s Sprint Classification],"&gt;0")</f>
        <v>0</v>
      </c>
      <c r="EG114" s="6">
        <f>COUNTIFS(Table85[Country],Tabela1[[#This Row],[Country]],Table85[Men''s Pursuit Classification],"&gt;0")</f>
        <v>0</v>
      </c>
      <c r="EH114" s="6">
        <f>COUNTIFS(Table85[Country],Tabela1[[#This Row],[Country]],Table85[Women''s Pursuit Classification],"&gt;0")</f>
        <v>0</v>
      </c>
      <c r="EI114" s="6">
        <f>COUNTIFS(Table9[Country],Tabela1[[#This Row],[Country]],Table9[Time-Trial Classification],"&gt;0")</f>
        <v>0</v>
      </c>
      <c r="EJ114" s="6">
        <f>COUNTIFS(Table14[Country],Tabela1[[#This Row],[Country]],Table14[Time-Trial Classification],"&gt;0")</f>
        <v>0</v>
      </c>
      <c r="EK114" s="6">
        <f>COUNTIFS(Table42[Country],Tabela1[[#This Row],[Country]],Table42[Springboard Classification],"&gt;0")</f>
        <v>0</v>
      </c>
      <c r="EL114" s="6">
        <f>COUNTIFS(Table43[Country],Tabela1[[#This Row],[Country]],Table43[Springboard Classification],"&gt;0")</f>
        <v>0</v>
      </c>
      <c r="EM114" s="6">
        <f>COUNTIFS(Table42[Country],Tabela1[[#This Row],[Country]],Table42[Platform Classification],"&gt;0")</f>
        <v>0</v>
      </c>
      <c r="EN114" s="6">
        <f>COUNTIFS(Table43[Country],Tabela1[[#This Row],[Country]],Table43[Platform Classification],"&gt;0")</f>
        <v>0</v>
      </c>
      <c r="EO114" s="6">
        <f>COUNTIFS(Table86[Country],Tabela1[[#This Row],[Country]],Table86[Men''s Synchronized Springboard Classification],"&gt;0")</f>
        <v>0</v>
      </c>
      <c r="EP114" s="6">
        <f>COUNTIFS(Table86[Country],Tabela1[[#This Row],[Country]],Table86[Women''s Synchronized Springboard Classification],"&gt;0")</f>
        <v>0</v>
      </c>
      <c r="EQ114" s="6">
        <f>COUNTIFS(Table86[Country],Tabela1[[#This Row],[Country]],Table86[Men''s Synchronized Platform Classification],"&gt;0")</f>
        <v>0</v>
      </c>
      <c r="ER114" s="6">
        <f>COUNTIFS(Table86[Country],Tabela1[[#This Row],[Country]],Table86[Women''s Synchronized Platform Classification],"&gt;0")</f>
        <v>0</v>
      </c>
      <c r="ES114" s="6">
        <f>COUNTIFS(Table44[Country],Tabela1[[#This Row],[Country]],Table44[Dressage Classification],"&gt;0")</f>
        <v>0</v>
      </c>
      <c r="ET114" s="6">
        <f>COUNTIFS(Table45[Country],Tabela1[[#This Row],[Country]],Table45[Dressage Classification],"&gt;0")</f>
        <v>0</v>
      </c>
      <c r="EU114" s="6">
        <f>COUNTIFS(Table44[Country],Tabela1[[#This Row],[Country]],Table44[Eventing Classification],"&gt;0")</f>
        <v>0</v>
      </c>
      <c r="EV114" s="6">
        <f>COUNTIFS(Table45[Country],Tabela1[[#This Row],[Country]],Table45[Eventing Classification],"&gt;0")</f>
        <v>0</v>
      </c>
      <c r="EW114" s="6">
        <f>COUNTIFS(Table44[Country],Tabela1[[#This Row],[Country]],Table44[Jumping Classification],"&gt;0")</f>
        <v>0</v>
      </c>
      <c r="EX114" s="6">
        <f>COUNTIFS(Table45[Country],Tabela1[[#This Row],[Country]],Table45[Jumping Classification],"&gt;0")</f>
        <v>0</v>
      </c>
      <c r="EY114" s="6">
        <f>COUNTIFS(Table10[Country],Tabela1[[#This Row],[Country]],Table10[Épée Classification],"&gt;0")</f>
        <v>0</v>
      </c>
      <c r="EZ114" s="6">
        <f>COUNTIFS(Table11[Country],Tabela1[[#This Row],[Country]],Table11[Épée Classification],"&gt;0")</f>
        <v>0</v>
      </c>
      <c r="FA114" s="6">
        <f>COUNTIFS(Table46[Country],Tabela1[[#This Row],[Country]],Table46[Men''s Épée Classification],"&gt;0")</f>
        <v>0</v>
      </c>
      <c r="FB114" s="6">
        <f>COUNTIFS(Table46[Country],Tabela1[[#This Row],[Country]],Table46[Women''s Épée Classification],"&gt;0")</f>
        <v>0</v>
      </c>
      <c r="FC114" s="6">
        <f>COUNTIFS(Table10[Country],Tabela1[[#This Row],[Country]],Table10[Foil Classification],"&gt;0")</f>
        <v>0</v>
      </c>
      <c r="FD114" s="6">
        <f>COUNTIFS(Table11[Country],Tabela1[[#This Row],[Country]],Table11[Foil Classification],"&gt;0")</f>
        <v>0</v>
      </c>
      <c r="FE114" s="6">
        <f>COUNTIFS(Table46[Country],Tabela1[[#This Row],[Country]],Table46[Men''s Foil Classification],"&gt;0")</f>
        <v>0</v>
      </c>
      <c r="FF114" s="6">
        <f>COUNTIFS(Table46[Country],Tabela1[[#This Row],[Country]],Table46[Women''s Foil Classification],"&gt;0")</f>
        <v>0</v>
      </c>
      <c r="FG114" s="6">
        <f>COUNTIFS(Table10[Country],Tabela1[[#This Row],[Country]],Table10[Sabre Classification],"&gt;0")</f>
        <v>0</v>
      </c>
      <c r="FH114" s="6">
        <f>COUNTIFS(Table11[Country],Tabela1[[#This Row],[Country]],Table11[Sabre Classification],"&gt;0")</f>
        <v>0</v>
      </c>
      <c r="FI114" s="6">
        <f>COUNTIFS(Table46[Country],Tabela1[[#This Row],[Country]],Table46[Men''s Sabre Classification],"&gt;0")</f>
        <v>0</v>
      </c>
      <c r="FJ114" s="6">
        <f>COUNTIFS(Table46[Country],Tabela1[[#This Row],[Country]],Table46[Women''s Sabre Classification],"&gt;0")</f>
        <v>0</v>
      </c>
      <c r="FK114" s="6">
        <f>COUNTIFS(Table91[Country],Tabela1[[#This Row],[Country]],Table91[Men''s Classification],"&gt;0")</f>
        <v>0</v>
      </c>
      <c r="FL114" s="6">
        <f>COUNTIFS(Table91[Country],Tabela1[[#This Row],[Country]],Table91[Women''s Classification],"&gt;0")</f>
        <v>0</v>
      </c>
      <c r="FM114" s="6">
        <f>COUNTIFS(Table9194[Country],Tabela1[[#This Row],[Country]],Table9194[Men''s Classification],"&gt;0")</f>
        <v>0</v>
      </c>
      <c r="FN114" s="6">
        <f>COUNTIFS(Table9194[Country],Tabela1[[#This Row],[Country]],Table9194[Women''s Classification],"&gt;0")</f>
        <v>0</v>
      </c>
      <c r="FO114" s="6">
        <f>COUNTIFS(Table71[Country],Tabela1[[#This Row],[Country]],Table71[Classification],"&gt;0")</f>
        <v>0</v>
      </c>
      <c r="FP114" s="6">
        <f>COUNTIFS(Table62[Country],Tabela1[[#This Row],[Country]],Table62[Classification],"&gt;0")</f>
        <v>0</v>
      </c>
      <c r="FQ114" s="6">
        <f>COUNTIFS(Table47[Country],Tabela1[[#This Row],[Country]],Table47[All-Around Classification],"&gt;0")</f>
        <v>0</v>
      </c>
      <c r="FR114" s="6">
        <f>COUNTIFS(Table48[Country],Tabela1[[#This Row],[Country]],Table48[All-Around Classification],"&gt;0")</f>
        <v>0</v>
      </c>
      <c r="FS114" s="6">
        <f>COUNTIFS(Table81[Country],Tabela1[[#This Row],[Country]],Table81[Men''s All-Around Classification],"&gt;0")</f>
        <v>0</v>
      </c>
      <c r="FT114" s="6">
        <f>COUNTIFS(Table81[Country],Tabela1[[#This Row],[Country]],Table81[Women''s All-Around Classification],"&gt;0")</f>
        <v>0</v>
      </c>
      <c r="FU114" s="6">
        <f>COUNTIFS(Table48[Country],Tabela1[[#This Row],[Country]],Table48[Balance Beam Classification],"&gt;0")</f>
        <v>0</v>
      </c>
      <c r="FV114" s="6">
        <f>COUNTIFS(Table47[Country],Tabela1[[#This Row],[Country]],Table47[Floor Exercise Classification],"&gt;0")</f>
        <v>0</v>
      </c>
      <c r="FW114" s="6">
        <f>COUNTIFS(Table48[Country],Tabela1[[#This Row],[Country]],Table48[Floor Exercise Classification],"&gt;0")</f>
        <v>0</v>
      </c>
      <c r="FX114" s="6">
        <f>COUNTIFS(Table47[Country],Tabela1[[#This Row],[Country]],Table47[Horizontal Bar Classification],"&gt;0")</f>
        <v>0</v>
      </c>
      <c r="FY114" s="6">
        <f>COUNTIFS(Table47[Country],Tabela1[[#This Row],[Country]],Table47[Parallel Bars Classification],"&gt;0")</f>
        <v>0</v>
      </c>
      <c r="FZ114" s="6">
        <f>COUNTIFS(Table47[Country],Tabela1[[#This Row],[Country]],Table47[Pommel Horse Classification],"&gt;0")</f>
        <v>0</v>
      </c>
      <c r="GA114" s="6">
        <f>COUNTIFS(Table47[Country],Tabela1[[#This Row],[Country]],Table47[Rings Classification],"&gt;0")</f>
        <v>0</v>
      </c>
      <c r="GB114" s="6">
        <f>COUNTIFS(Tabela132[Country],Tabela1[[#This Row],[Country]],Tabela132[Classification],"&gt;0")</f>
        <v>0</v>
      </c>
      <c r="GC114" s="6">
        <f>COUNTIFS(Tabela139[Country],Tabela1[[#This Row],[Country]],Tabela139[Classification],"&gt;0")</f>
        <v>0</v>
      </c>
      <c r="GD114" s="6">
        <f>COUNTIFS(Table48[Country],Tabela1[[#This Row],[Country]],Table48[Uneven Bars Classification],"&gt;0")</f>
        <v>0</v>
      </c>
      <c r="GE114" s="6">
        <f>COUNTIFS(Table47[Country],Tabela1[[#This Row],[Country]],Table47[Vault Classification],"&gt;0")</f>
        <v>0</v>
      </c>
      <c r="GF114" s="6">
        <f>COUNTIFS(Table48[Country],Tabela1[[#This Row],[Country]],Table48[Vault Classification],"&gt;0")</f>
        <v>0</v>
      </c>
      <c r="GG114" s="6">
        <f>COUNTIFS(Table919496[Country],Tabela1[[#This Row],[Country]],Table919496[Men''s Classification],"&gt;0")</f>
        <v>0</v>
      </c>
      <c r="GH114" s="6">
        <f>COUNTIFS(Table919496[Country],Tabela1[[#This Row],[Country]],Table919496[Women''s Classification],"&gt;0")</f>
        <v>0</v>
      </c>
      <c r="GI114" s="6">
        <f>COUNTIFS(Table12[Country],Tabela1[[#This Row],[Country]],Table12[60kg Classification],"&gt;0")</f>
        <v>0</v>
      </c>
      <c r="GJ114" s="6">
        <f>COUNTIFS(Table12[Country],Tabela1[[#This Row],[Country]],Table12[66kg Classification],"&gt;0")</f>
        <v>0</v>
      </c>
      <c r="GK114" s="6">
        <f>COUNTIFS(Table12[Country],Tabela1[[#This Row],[Country]],Table12[73kg Classification],"&gt;0")</f>
        <v>0</v>
      </c>
      <c r="GL114" s="6">
        <f>COUNTIFS(Table12[Country],Tabela1[[#This Row],[Country]],Table12[81kg Classification],"&gt;0")</f>
        <v>0</v>
      </c>
      <c r="GM114" s="6">
        <f>COUNTIFS(Table12[Country],Tabela1[[#This Row],[Country]],Table12[90kg Classification],"&gt;0")</f>
        <v>0</v>
      </c>
      <c r="GN114" s="6">
        <f>COUNTIFS(Table12[Country],Tabela1[[#This Row],[Country]],Table12[100kg Classification],"&gt;0")</f>
        <v>0</v>
      </c>
      <c r="GO114" s="6">
        <f>COUNTIFS(Table12[Country],Tabela1[[#This Row],[Country]],Table12[Plus 100kg Classification],"&gt;0")</f>
        <v>0</v>
      </c>
      <c r="GP114" s="6">
        <f>COUNTIFS(Table13[Country],Tabela1[[#This Row],[Country]],Table13[48kg Classification],"&gt;0")</f>
        <v>0</v>
      </c>
      <c r="GQ114" s="6">
        <f>COUNTIFS(Table13[Country],Tabela1[[#This Row],[Country]],Table13[52kg Classification],"&gt;0")</f>
        <v>0</v>
      </c>
      <c r="GR114" s="6">
        <f>COUNTIFS(Table13[Country],Tabela1[[#This Row],[Country]],Table13[57kg Classification],"&gt;0")</f>
        <v>0</v>
      </c>
      <c r="GS114" s="6">
        <f>COUNTIFS(Table13[Country],Tabela1[[#This Row],[Country]],Table13[63kg Classification],"&gt;0")</f>
        <v>0</v>
      </c>
      <c r="GT114" s="6">
        <f>COUNTIFS(Table13[Country],Tabela1[[#This Row],[Country]],Table13[70kg Classification],"&gt;0")</f>
        <v>0</v>
      </c>
      <c r="GU114" s="6">
        <f>COUNTIFS(Table13[Country],Tabela1[[#This Row],[Country]],Table13[78kg Classification],"&gt;0")</f>
        <v>0</v>
      </c>
      <c r="GV114" s="6">
        <f>COUNTIFS(Table13[Country],Tabela1[[#This Row],[Country]],Table13[Plus 78kg Classification],"&gt;0")</f>
        <v>0</v>
      </c>
      <c r="GW114" s="6">
        <f>COUNTIFS(Table82[Country],Tabela1[[#This Row],[Country]],Table82[Mixed Classification],"&gt;0")</f>
        <v>0</v>
      </c>
      <c r="GX114" s="6">
        <f>COUNTIFS(Table51[Country],Tabela1[[#This Row],[Country]],Table51[Classification],"&gt;0")</f>
        <v>0</v>
      </c>
      <c r="GY114" s="6">
        <f>COUNTIFS(Table52[Country],Tabela1[[#This Row],[Country]],Table52[Classification],"&gt;0")</f>
        <v>0</v>
      </c>
      <c r="GZ114" s="6">
        <f>COUNTIFS(Table32[Country],Tabela1[[#This Row],[Country]],Table32[All-Around Classification],"&gt;0")</f>
        <v>0</v>
      </c>
      <c r="HA114" s="6">
        <f>COUNTIFS(Table49[Country],Tabela1[[#This Row],[Country]],Table49[All-Around Classification],"&gt;0")</f>
        <v>0</v>
      </c>
      <c r="HB114" s="6">
        <f>COUNTIFS(Table26[Country],Tabela1[[#This Row],[Country]],Table26[Single Sculls Classification],"&gt;0")</f>
        <v>0</v>
      </c>
      <c r="HC114" s="6">
        <f>COUNTIFS(Table63[Country],Tabela1[[#This Row],[Country]],Table63[Single Sculls Classification],"&gt;0")</f>
        <v>0</v>
      </c>
      <c r="HD114" s="6">
        <f>COUNTIFS(Table16[Country],Tabela1[[#This Row],[Country]],Table16[Men''s Double Sculls Classification],"&gt;0")</f>
        <v>0</v>
      </c>
      <c r="HE114" s="6">
        <f>COUNTIFS(Table16[Country],Tabela1[[#This Row],[Country]],Table16[Women''s Double Sculls Classification],"&gt;0")</f>
        <v>0</v>
      </c>
      <c r="HF114" s="6">
        <f>COUNTIFS(Table72[Country],Tabela1[[#This Row],[Country]],Table72[Men''s Quadruple Sculls Classification],"&gt;0")</f>
        <v>0</v>
      </c>
      <c r="HG114" s="6">
        <f>COUNTIFS(Table72[Country],Tabela1[[#This Row],[Country]],Table72[Women''s Quadruple Sculls Classification],"&gt;0")</f>
        <v>0</v>
      </c>
      <c r="HH114" s="6">
        <f>COUNTIFS(Table16[Country],Tabela1[[#This Row],[Country]],Table16[Men''s Coxless Pairs Classification],"&gt;0")</f>
        <v>0</v>
      </c>
      <c r="HI114" s="6">
        <f>COUNTIFS(Table16[Country],Tabela1[[#This Row],[Country]],Table16[Women''s Coxless Pairs Classification],"&gt;0")</f>
        <v>0</v>
      </c>
      <c r="HJ114" s="6">
        <f>COUNTIFS(Table72[Country],Tabela1[[#This Row],[Country]],Table72[Men''s Coxless Fours Classification],"&gt;0")</f>
        <v>0</v>
      </c>
      <c r="HK114" s="6">
        <f>COUNTIFS(Table72[Country],Tabela1[[#This Row],[Country]],Table72[Women''s Coxless Fours Classification],"&gt;0")</f>
        <v>0</v>
      </c>
      <c r="HL114" s="6">
        <f>COUNTIFS(Table72[Country],Tabela1[[#This Row],[Country]],Table72[Men''s Eights Classification],"&gt;0")</f>
        <v>0</v>
      </c>
      <c r="HM114" s="6">
        <f>COUNTIFS(Table72[Country],Tabela1[[#This Row],[Country]],Table72[Women''s Eights Classification],"&gt;0")</f>
        <v>0</v>
      </c>
      <c r="HN114" s="6">
        <f>COUNTIFS(Table16[Country],Tabela1[[#This Row],[Country]],Table16[Men''s Lwt. Double Sculls Classification],"&gt;0")</f>
        <v>0</v>
      </c>
      <c r="HO114" s="6">
        <f>COUNTIFS(Table16[Country],Tabela1[[#This Row],[Country]],Table16[Women''s Lwt. Double Sculls Classification],"&gt;0")</f>
        <v>0</v>
      </c>
      <c r="HP114" s="6">
        <f>COUNTIFS(Table91949698[Country],Tabela1[[#This Row],[Country]],Table91949698[Men''s Classification],"&gt;0")</f>
        <v>0</v>
      </c>
      <c r="HQ114" s="6">
        <f>COUNTIFS(Table91949698[Country],Tabela1[[#This Row],[Country]],Table91949698[Women''s Classification],"&gt;0")</f>
        <v>0</v>
      </c>
      <c r="HR114" s="6">
        <f>COUNTIFS(Table25[Country],Tabela1[[#This Row],[Country]],Table25[Mixed 470 Classification],"&gt;0")</f>
        <v>0</v>
      </c>
      <c r="HS114" s="6">
        <f>COUNTIFS(Table25[Country],Tabela1[[#This Row],[Country]],Table25[Men''s 49er Classification],"&gt;0")</f>
        <v>0</v>
      </c>
      <c r="HT114" s="6">
        <f>COUNTIFS(Table25[Country],Tabela1[[#This Row],[Country]],Table25[Women''s 49er FX Classification],"&gt;0")</f>
        <v>0</v>
      </c>
      <c r="HU114" s="6">
        <f>COUNTIFS(Table17[Country],Tabela1[[#This Row],[Country]],Table17[Formula Kite Classification],"&gt;0")</f>
        <v>0</v>
      </c>
      <c r="HV114" s="6">
        <f>COUNTIFS(Table18[Country],Tabela1[[#This Row],[Country]],Table18[Formula Kite Classification],"&gt;0")</f>
        <v>0</v>
      </c>
      <c r="HW114" s="6">
        <f>COUNTIFS(Table17[Country],Tabela1[[#This Row],[Country]],Table17[ILCA 7 Classification],"&gt;0")</f>
        <v>0</v>
      </c>
      <c r="HX114" s="6">
        <f>COUNTIFS(Table18[Country],Tabela1[[#This Row],[Country]],Table18[ILCA 6 Classification],"&gt;0")</f>
        <v>0</v>
      </c>
      <c r="HY114" s="6">
        <f>COUNTIFS(Table17[Country],Tabela1[[#This Row],[Country]],Table17[IQFoil Classification],"&gt;0")</f>
        <v>0</v>
      </c>
      <c r="HZ114" s="6">
        <f>COUNTIFS(Table18[Country],Tabela1[[#This Row],[Country]],Table18[IQFoil Classification],"&gt;0")</f>
        <v>0</v>
      </c>
      <c r="IA114" s="6">
        <f>COUNTIFS(Table25[Country],Tabela1[[#This Row],[Country]],Table25[Mixed Nacra 17 Classification],"&gt;0")</f>
        <v>0</v>
      </c>
      <c r="IB114" s="6">
        <f>COUNTIFS(Table53[Country],Tabela1[[#This Row],[Country]],Table53[10m Air Pistol Classification],"&gt;0")</f>
        <v>0</v>
      </c>
      <c r="IC114" s="6">
        <f>COUNTIFS(Table19[Country],Tabela1[[#This Row],[Country]],Table19[10m Air Pistol Classification],"&gt;0")</f>
        <v>0</v>
      </c>
      <c r="ID114" s="6">
        <f>COUNTIFS(Table54[Country],Tabela1[[#This Row],[Country]],Table54[Mixed 10m Air Pistol Team Classification],"&gt;0")</f>
        <v>0</v>
      </c>
      <c r="IE114" s="6">
        <f>COUNTIFS(Table53[Country],Tabela1[[#This Row],[Country]],Table53[10m Air Rifle Classification],"&gt;0")</f>
        <v>0</v>
      </c>
      <c r="IF114" s="6">
        <f>COUNTIFS(Table19[Country],Tabela1[[#This Row],[Country]],Table19[10m Air Rifle Classification],"&gt;0")</f>
        <v>0</v>
      </c>
      <c r="IG114" s="6">
        <f>COUNTIFS(Table54[Country],Tabela1[[#This Row],[Country]],Table54[Mixed 10m Air Rifle Team Classification],"&gt;0")</f>
        <v>0</v>
      </c>
      <c r="IH114" s="6">
        <f>COUNTIFS(Table53[Country],Tabela1[[#This Row],[Country]],Table53[25m Rapid Fire Pistol Classification],"&gt;0")</f>
        <v>0</v>
      </c>
      <c r="II114" s="6">
        <f>COUNTIFS(Table19[Country],Tabela1[[#This Row],[Country]],Table19[25m Pistol Classification],"&gt;0")</f>
        <v>0</v>
      </c>
      <c r="IJ114" s="6">
        <f>COUNTIFS(Table53[Country],Tabela1[[#This Row],[Country]],Table53[50m Rifle 3 Positions Classification],"&gt;0")</f>
        <v>0</v>
      </c>
      <c r="IK114" s="6">
        <f>COUNTIFS(Table19[Country],Tabela1[[#This Row],[Country]],Table19[50m Rifle 3 Positions Classification],"&gt;0")</f>
        <v>0</v>
      </c>
      <c r="IL114" s="6">
        <f>COUNTIFS(Table53[Country],Tabela1[[#This Row],[Country]],Table53[Skeet Classification],"&gt;0")</f>
        <v>0</v>
      </c>
      <c r="IM114" s="6">
        <f>COUNTIFS(Table19[Country],Tabela1[[#This Row],[Country]],Table19[Skeet Classification],"&gt;0")</f>
        <v>0</v>
      </c>
      <c r="IN114" s="6">
        <f>COUNTIFS(Table54[Country],Tabela1[[#This Row],[Country]],Table54[Mixed Skeet Team Classification],"&gt;0")</f>
        <v>0</v>
      </c>
      <c r="IO114" s="6">
        <f>COUNTIFS(Table53[Country],Tabela1[[#This Row],[Country]],Table53[Trap Classification],"&gt;0")</f>
        <v>0</v>
      </c>
      <c r="IP114" s="6">
        <f>COUNTIFS(Table19[Country],Tabela1[[#This Row],[Country]],Table19[Trap Classification],"&gt;0")</f>
        <v>0</v>
      </c>
      <c r="IQ114" s="6">
        <f>COUNTIFS(Table73[Country],Tabela1[[#This Row],[Country]],Table73[Park Classification],"&gt;0")</f>
        <v>0</v>
      </c>
      <c r="IR114" s="6">
        <f>COUNTIFS(Table74[Country],Tabela1[[#This Row],[Country]],Table74[Park Classification],"&gt;0")</f>
        <v>0</v>
      </c>
      <c r="IS114" s="6">
        <f>COUNTIFS(Table73[Country],Tabela1[[#This Row],[Country]],Table73[Street Classification],"&gt;0")</f>
        <v>0</v>
      </c>
      <c r="IT114" s="6">
        <f>COUNTIFS(Table74[Country],Tabela1[[#This Row],[Country]],Table74[Street Classification],"&gt;0")</f>
        <v>0</v>
      </c>
      <c r="IU114" s="6">
        <f>COUNTIFS(Table75[Country],Tabela1[[#This Row],[Country]],Table75[Boulder and Lead Classification],"&gt;0")</f>
        <v>0</v>
      </c>
      <c r="IV114" s="6">
        <f>COUNTIFS(Table76[Country],Tabela1[[#This Row],[Country]],Table76[Boulder and Lead Classification],"&gt;0")</f>
        <v>0</v>
      </c>
      <c r="IW114" s="6">
        <f>COUNTIFS(Table75[Country],Tabela1[[#This Row],[Country]],Table75[Speed Classification],"&gt;0")</f>
        <v>0</v>
      </c>
      <c r="IX114" s="6">
        <f>COUNTIFS(Table76[Country],Tabela1[[#This Row],[Country]],Table76[Speed Classification],"&gt;0")</f>
        <v>0</v>
      </c>
      <c r="IY114" s="6">
        <f>COUNTIFS(Table64[Country],Tabela1[[#This Row],[Country]],Table64[Shortboard Classification],"&gt;0")</f>
        <v>0</v>
      </c>
      <c r="IZ114" s="6">
        <f>COUNTIFS(Table77[Country],Tabela1[[#This Row],[Country]],Table77[Shortboard Classification],"&gt;0")</f>
        <v>0</v>
      </c>
      <c r="JA114" s="6">
        <f>COUNTIFS(Table20[Country],Tabela1[[#This Row],[Country]],Table20[50m Freestyle Classification],"&gt;0")</f>
        <v>0</v>
      </c>
      <c r="JB114" s="6">
        <f>COUNTIFS(Table21[Country],Tabela1[[#This Row],[Country]],Table21[50m Freestyle Classification],"&gt;0")</f>
        <v>0</v>
      </c>
      <c r="JC114" s="6">
        <f>COUNTIFS(Table20[Country],Tabela1[[#This Row],[Country]],Table20[100m Freestyle Classification],"&gt;0")</f>
        <v>0</v>
      </c>
      <c r="JD114" s="6">
        <f>COUNTIFS(Table21[Country],Tabela1[[#This Row],[Country]],Table21[100m Freestyle Classification],"&gt;0")</f>
        <v>0</v>
      </c>
      <c r="JE114" s="6">
        <f>COUNTIFS(Table20[Country],Tabela1[[#This Row],[Country]],Table20[200m Freestyle Classification],"&gt;0")</f>
        <v>0</v>
      </c>
      <c r="JF114" s="6">
        <f>COUNTIFS(Table21[Country],Tabela1[[#This Row],[Country]],Table21[200m Freestyle Classification],"&gt;0")</f>
        <v>0</v>
      </c>
      <c r="JG114" s="6">
        <f>COUNTIFS(Table20[Country],Tabela1[[#This Row],[Country]],Table20[400m Freestyle Classification],"&gt;0")</f>
        <v>0</v>
      </c>
      <c r="JH114" s="6">
        <f>COUNTIFS(Table21[Country],Tabela1[[#This Row],[Country]],Table21[400m Freestyle Classification],"&gt;0")</f>
        <v>0</v>
      </c>
      <c r="JI114" s="6">
        <f>COUNTIFS(Table20[Country],Tabela1[[#This Row],[Country]],Table20[800m Freestyle Classification],"&gt;0")</f>
        <v>0</v>
      </c>
      <c r="JJ114" s="6">
        <f>COUNTIFS(Table21[Country],Tabela1[[#This Row],[Country]],Table21[800m Freestyle Classification],"&gt;0")</f>
        <v>0</v>
      </c>
      <c r="JK114" s="6">
        <f>COUNTIFS(Table20[Country],Tabela1[[#This Row],[Country]],Table20[1500m Freestyle Classification],"&gt;0")</f>
        <v>0</v>
      </c>
      <c r="JL114" s="6">
        <f>COUNTIFS(Table21[Country],Tabela1[[#This Row],[Country]],Table21[1500m Freestyle Classification],"&gt;0")</f>
        <v>0</v>
      </c>
      <c r="JM114" s="6">
        <f>COUNTIFS(Table20[Country],Tabela1[[#This Row],[Country]],Table20[100m Backstroke Classification],"&gt;0")</f>
        <v>0</v>
      </c>
      <c r="JN114" s="6">
        <f>COUNTIFS(Table21[Country],Tabela1[[#This Row],[Country]],Table21[100m Backstroke Classification],"&gt;0")</f>
        <v>0</v>
      </c>
      <c r="JO114" s="6">
        <f>COUNTIFS(Table20[Country],Tabela1[[#This Row],[Country]],Table20[200m Backstroke Classification],"&gt;0")</f>
        <v>0</v>
      </c>
      <c r="JP114" s="6">
        <f>COUNTIFS(Table21[Country],Tabela1[[#This Row],[Country]],Table21[200m Backstroke Classification],"&gt;0")</f>
        <v>0</v>
      </c>
      <c r="JQ114" s="6">
        <f>COUNTIFS(Table20[Country],Tabela1[[#This Row],[Country]],Table20[100m Breaststroke Classification],"&gt;0")</f>
        <v>0</v>
      </c>
      <c r="JR114" s="6">
        <f>COUNTIFS(Table21[Country],Tabela1[[#This Row],[Country]],Table21[100m Breaststroke Classification],"&gt;0")</f>
        <v>0</v>
      </c>
      <c r="JS114" s="6">
        <f>COUNTIFS(Table20[Country],Tabela1[[#This Row],[Country]],Table20[200m Breaststroke Classification],"&gt;0")</f>
        <v>0</v>
      </c>
      <c r="JT114" s="6">
        <f>COUNTIFS(Table21[Country],Tabela1[[#This Row],[Country]],Table21[200m Breaststroke Classification],"&gt;0")</f>
        <v>0</v>
      </c>
      <c r="JU114" s="6">
        <f>COUNTIFS(Table20[Country],Tabela1[[#This Row],[Country]],Table20[100m Butterfly Classification],"&gt;0")</f>
        <v>0</v>
      </c>
      <c r="JV114" s="6">
        <f>COUNTIFS(Table21[Country],Tabela1[[#This Row],[Country]],Table21[100m Butterfly Classification],"&gt;0")</f>
        <v>0</v>
      </c>
      <c r="JW114" s="6">
        <f>COUNTIFS(Table20[Country],Tabela1[[#This Row],[Country]],Table20[200m Butterfly Classification],"&gt;0")</f>
        <v>0</v>
      </c>
      <c r="JX114" s="6">
        <f>COUNTIFS(Table21[Country],Tabela1[[#This Row],[Country]],Table21[200m Butterfly Classification],"&gt;0")</f>
        <v>0</v>
      </c>
      <c r="JY114" s="6">
        <f>COUNTIFS(Table20[Country],Tabela1[[#This Row],[Country]],Table20[200m Medley Classification],"&gt;0")</f>
        <v>0</v>
      </c>
      <c r="JZ114" s="6">
        <f>COUNTIFS(Table21[Country],Tabela1[[#This Row],[Country]],Table21[200m Medley Classification],"&gt;0")</f>
        <v>0</v>
      </c>
      <c r="KA114" s="6">
        <f>COUNTIFS(Table20[Country],Tabela1[[#This Row],[Country]],Table20[400m Medley Classification],"&gt;0")</f>
        <v>0</v>
      </c>
      <c r="KB114" s="6">
        <f>COUNTIFS(Table21[Country],Tabela1[[#This Row],[Country]],Table21[400m Medley Classification],"&gt;0")</f>
        <v>0</v>
      </c>
      <c r="KC114" s="6">
        <f>COUNTIFS(Table78[Country],Tabela1[[#This Row],[Country]],Table78[Men''s 4x100m Freestyle Relay Classification],"&gt;0")</f>
        <v>0</v>
      </c>
      <c r="KD114" s="6">
        <f>COUNTIFS(Table78[Country],Tabela1[[#This Row],[Country]],Table78[Women''s 4x100m Freestyle Relay Classification],"&gt;0")</f>
        <v>0</v>
      </c>
      <c r="KE114" s="6">
        <f>COUNTIFS(Table78[Country],Tabela1[[#This Row],[Country]],Table78[Men''s 4x200m Freestyle Relay Classification],"&gt;0")</f>
        <v>0</v>
      </c>
      <c r="KF114" s="6">
        <f>COUNTIFS(Table78[Country],Tabela1[[#This Row],[Country]],Table78[Women''s 4x200m Freestyle Relay Classification],"&gt;0")</f>
        <v>0</v>
      </c>
      <c r="KG114" s="6">
        <f>COUNTIFS(Table78[Country],Tabela1[[#This Row],[Country]],Table78[Men''s 4x100m Medley Relay Classification],"&gt;0")</f>
        <v>0</v>
      </c>
      <c r="KH114" s="6">
        <f>COUNTIFS(Table78[Country],Tabela1[[#This Row],[Country]],Table78[Women''s 4x100m Medley Relay Classification],"&gt;0")</f>
        <v>0</v>
      </c>
      <c r="KI114" s="6">
        <f>COUNTIFS(Table78[Country],Tabela1[[#This Row],[Country]],Table78[Mixed 4x100m Medley Relay Classification],"&gt;0")</f>
        <v>0</v>
      </c>
      <c r="KJ114" s="6">
        <f>COUNTIFS(Table20[Country],Tabela1[[#This Row],[Country]],Table20[10km Open Water Classification],"&gt;0")</f>
        <v>0</v>
      </c>
      <c r="KK114" s="6">
        <f>COUNTIFS(Table21[Country],Tabela1[[#This Row],[Country]],Table21[10km Open Water Classification],"&gt;0")</f>
        <v>0</v>
      </c>
      <c r="KL114" s="6">
        <f>COUNTIFS(Table22[Country],Tabela1[[#This Row],[Country]],Table22[Classification],"&gt;0")</f>
        <v>0</v>
      </c>
      <c r="KM114" s="6">
        <f>COUNTIFS(Table30[Country],Tabela1[[#This Row],[Country]],Table30[Classification],"&gt;0")</f>
        <v>0</v>
      </c>
      <c r="KN114" s="6">
        <f>COUNTIFS(Table55[Country],Tabela1[[#This Row],[Country]],Table55[Men''s Classification],"&gt;0")</f>
        <v>0</v>
      </c>
      <c r="KO114" s="6">
        <f>COUNTIFS(Table55[Country],Tabela1[[#This Row],[Country]],Table55[Women''s Classification],"&gt;0")</f>
        <v>0</v>
      </c>
      <c r="KP114" s="6">
        <f>COUNTIFS(Table56[Country],Tabela1[[#This Row],[Country]],Table56[Mixed Classification],"&gt;0")</f>
        <v>0</v>
      </c>
      <c r="KQ114" s="6">
        <f>COUNTIFS(Table29[Country],Tabela1[[#This Row],[Country]],Table29[58kg Classification],"&gt;0")</f>
        <v>0</v>
      </c>
      <c r="KR114" s="6">
        <f>COUNTIFS(Table29[Country],Tabela1[[#This Row],[Country]],Table29[68kg Classification],"&gt;0")</f>
        <v>0</v>
      </c>
      <c r="KS114" s="6">
        <f>COUNTIFS(Table29[Country],Tabela1[[#This Row],[Country]],Table29[80kg Classification],"&gt;0")</f>
        <v>0</v>
      </c>
      <c r="KT114" s="6">
        <f>COUNTIFS(Table29[Country],Tabela1[[#This Row],[Country]],Table29[Plus 80kg Classification],"&gt;0")</f>
        <v>0</v>
      </c>
      <c r="KU114" s="6">
        <f>COUNTIFS(Table34[Country],Tabela1[[#This Row],[Country]],Table34[49kg Classification],"&gt;0")</f>
        <v>0</v>
      </c>
      <c r="KV114" s="6">
        <f>COUNTIFS(Table34[Country],Tabela1[[#This Row],[Country]],Table34[57kg Classification],"&gt;0")</f>
        <v>0</v>
      </c>
      <c r="KW114" s="6">
        <f>COUNTIFS(Table34[Country],Tabela1[[#This Row],[Country]],Table34[67kg Classification],"&gt;0")</f>
        <v>0</v>
      </c>
      <c r="KX114" s="6">
        <f>COUNTIFS(Table34[Country],Tabela1[[#This Row],[Country]],Table34[Plus 67kg Classification],"&gt;0")</f>
        <v>0</v>
      </c>
      <c r="KY114" s="6">
        <f>COUNTIFS(Table57[Country],Tabela1[[#This Row],[Country]],Table57[Classification],"&gt;0")</f>
        <v>0</v>
      </c>
      <c r="KZ114" s="6">
        <f>COUNTIFS(Table58[Country],Tabela1[[#This Row],[Country]],Table58[Classification],"&gt;0")</f>
        <v>0</v>
      </c>
      <c r="LA114" s="6">
        <f>COUNTIFS(Table79[Country],Tabela1[[#This Row],[Country]],Table79[Men''s Classification],"&gt;0")</f>
        <v>0</v>
      </c>
      <c r="LB114" s="6">
        <f>COUNTIFS(Table79[Country],Tabela1[[#This Row],[Country]],Table79[Women''s Classification],"&gt;0")</f>
        <v>0</v>
      </c>
      <c r="LC114" s="6">
        <f>COUNTIFS(Table79[Country],Tabela1[[#This Row],[Country]],Table79[Mixed Classification],"&gt;0")</f>
        <v>0</v>
      </c>
      <c r="LD114" s="6">
        <f>COUNTIFS(Table65[Country],Tabela1[[#This Row],[Country]],Table65[Classification],"&gt;0")</f>
        <v>0</v>
      </c>
      <c r="LE114" s="6">
        <f>COUNTIFS(Table59[Country],Tabela1[[#This Row],[Country]],Table59[Classification],"&gt;0")</f>
        <v>0</v>
      </c>
      <c r="LF114" s="6">
        <f>COUNTIFS(Table87[Country],Tabela1[[#This Row],[Country]],Table87[Mixed Relay Classification],"&gt;0")</f>
        <v>0</v>
      </c>
      <c r="LG114" s="6">
        <f>COUNTIFS(Table91949698100[Country],Tabela1[[#This Row],[Country]],Table91949698100[Men''s Classification],"&gt;0")</f>
        <v>0</v>
      </c>
      <c r="LH114" s="6">
        <f>COUNTIFS(Table91949698100[Country],Tabela1[[#This Row],[Country]],Table91949698100[Women''s Classification],"&gt;0")</f>
        <v>0</v>
      </c>
      <c r="LI114" s="6">
        <f>COUNTIFS(Table91949698100102[Country],Tabela1[[#This Row],[Country]],Table91949698100102[Men''s Classification],"&gt;0")</f>
        <v>0</v>
      </c>
      <c r="LJ114" s="6">
        <f>COUNTIFS(Table91949698100102[Country],Tabela1[[#This Row],[Country]],Table91949698100102[Women''s Classification],"&gt;0")</f>
        <v>0</v>
      </c>
      <c r="LK114" s="6">
        <f>COUNTIFS(Table23[Country],Tabela1[[#This Row],[Country]],Table23[61kg Classification],"&gt;0")</f>
        <v>0</v>
      </c>
      <c r="LL114" s="6">
        <f>COUNTIFS(Table23[Country],Tabela1[[#This Row],[Country]],Table23[73kg Classification],"&gt;0")</f>
        <v>0</v>
      </c>
      <c r="LM114" s="6">
        <f>COUNTIFS(Table23[Country],Tabela1[[#This Row],[Country]],Table23[89kg Classification],"&gt;0")</f>
        <v>0</v>
      </c>
      <c r="LN114" s="6">
        <f>COUNTIFS(Table23[Country],Tabela1[[#This Row],[Country]],Table23[102kg Classification],"&gt;0")</f>
        <v>0</v>
      </c>
      <c r="LO114" s="6">
        <f>COUNTIFS(Table23[Country],Tabela1[[#This Row],[Country]],Table23[Plus 102kg Classification],"&gt;0")</f>
        <v>0</v>
      </c>
      <c r="LP114" s="6">
        <f>COUNTIFS(Table28[Country],Tabela1[[#This Row],[Country]],Table28[49kg Classification],"&gt;0")</f>
        <v>0</v>
      </c>
      <c r="LQ114" s="6">
        <f>COUNTIFS(Table28[Country],Tabela1[[#This Row],[Country]],Table28[59kg Classification],"&gt;0")</f>
        <v>0</v>
      </c>
      <c r="LR114" s="6">
        <f>COUNTIFS(Table28[Country],Tabela1[[#This Row],[Country]],Table28[71kg Classification],"&gt;0")</f>
        <v>0</v>
      </c>
      <c r="LS114" s="6">
        <f>COUNTIFS(Table28[Country],Tabela1[[#This Row],[Country]],Table28[81kg Classification],"&gt;0")</f>
        <v>0</v>
      </c>
      <c r="LT114" s="6">
        <f>COUNTIFS(Table28[Country],Tabela1[[#This Row],[Country]],Table28[Plus 81kg Classification],"&gt;0")</f>
        <v>0</v>
      </c>
      <c r="LU114" s="6">
        <f>COUNTIFS(Table24[Country],Tabela1[[#This Row],[Country]],Table24[Freestyle 57kg Classification],"&gt;0")</f>
        <v>0</v>
      </c>
      <c r="LV114" s="6">
        <f>COUNTIFS(Table24[Country],Tabela1[[#This Row],[Country]],Table24[Freestyle 65kg Classification],"&gt;0")</f>
        <v>0</v>
      </c>
      <c r="LW114" s="6">
        <f>COUNTIFS(Table24[Country],Tabela1[[#This Row],[Country]],Table24[Freestyle 74kg Classification],"&gt;0")</f>
        <v>0</v>
      </c>
      <c r="LX114" s="6">
        <f>COUNTIFS(Table24[Country],Tabela1[[#This Row],[Country]],Table24[Freestyle 86kg Classification],"&gt;0")</f>
        <v>0</v>
      </c>
      <c r="LY114" s="6">
        <f>COUNTIFS(Table24[Country],Tabela1[[#This Row],[Country]],Table24[Freestyle 97kg Classification],"&gt;0")</f>
        <v>0</v>
      </c>
      <c r="LZ114" s="6">
        <f>COUNTIFS(Table24[Country],Tabela1[[#This Row],[Country]],Table24[Freestyle 125kg Classification],"&gt;0")</f>
        <v>0</v>
      </c>
      <c r="MA114" s="6">
        <f>COUNTIFS(Table24[Country],Tabela1[[#This Row],[Country]],Table24[Greco-Roman 60kg Classification],"&gt;0")</f>
        <v>1</v>
      </c>
      <c r="MB114" s="6">
        <f>COUNTIFS(Table24[Country],Tabela1[[#This Row],[Country]],Table24[Greco-Roman 67kg Classification],"&gt;0")</f>
        <v>0</v>
      </c>
      <c r="MC114" s="6">
        <f>COUNTIFS(Table24[Country],Tabela1[[#This Row],[Country]],Table24[Greco-Roman 77kg Classification],"&gt;0")</f>
        <v>0</v>
      </c>
      <c r="MD114" s="6">
        <f>COUNTIFS(Table24[Country],Tabela1[[#This Row],[Country]],Table24[Greco-Roman 87kg Classification],"&gt;0")</f>
        <v>0</v>
      </c>
      <c r="ME114" s="6">
        <f>COUNTIFS(Table24[Country],Tabela1[[#This Row],[Country]],Table24[Greco-Roman 97kg Classification],"&gt;0")</f>
        <v>0</v>
      </c>
      <c r="MF114" s="6">
        <f>COUNTIFS(Table24[Country],Tabela1[[#This Row],[Country]],Table24[Greco-Roman 130kg Classification],"&gt;0")</f>
        <v>0</v>
      </c>
      <c r="MG114" s="6">
        <f>COUNTIFS(Table31[Country],Tabela1[[#This Row],[Country]],Table31[50kg Classification],"&gt;0")</f>
        <v>0</v>
      </c>
      <c r="MH114" s="6">
        <f>COUNTIFS(Table31[Country],Tabela1[[#This Row],[Country]],Table31[53kg Classification],"&gt;0")</f>
        <v>0</v>
      </c>
      <c r="MI114" s="6">
        <f>COUNTIFS(Table31[Country],Tabela1[[#This Row],[Country]],Table31[57kg Classification],"&gt;0")</f>
        <v>0</v>
      </c>
      <c r="MJ114" s="6">
        <f>COUNTIFS(Table31[Country],Tabela1[[#This Row],[Country]],Table31[62kg Classification],"&gt;0")</f>
        <v>0</v>
      </c>
      <c r="MK114" s="6">
        <f>COUNTIFS(Table31[Country],Tabela1[[#This Row],[Country]],Table31[68kg Classification],"&gt;0")</f>
        <v>0</v>
      </c>
      <c r="ML114" s="6">
        <f>COUNTIFS(Table31[Country],Tabela1[[#This Row],[Country]],Table31[76kg Classification],"&gt;0")</f>
        <v>0</v>
      </c>
      <c r="MM114" s="6">
        <f>COUNTIFS(Table102[Country],Tabela1[[#This Row],[Country]],Table102[Downhill Classification],"&gt;0")</f>
        <v>0</v>
      </c>
      <c r="MN114" s="6">
        <f>COUNTIFS(Table102105[Country],Tabela1[[#This Row],[Country]],Table102105[Downhill Classification],"&gt;0")</f>
        <v>0</v>
      </c>
      <c r="MO114" s="6">
        <f>COUNTIFS(Table102[Country],Tabela1[[#This Row],[Country]],Table102[Giant Slalom Classification],"&gt;0")</f>
        <v>0</v>
      </c>
      <c r="MP114" s="6">
        <f>COUNTIFS(Table102105[Country],Tabela1[[#This Row],[Country]],Table102105[Giant Slalom Classification],"&gt;0")</f>
        <v>0</v>
      </c>
      <c r="MQ114" s="6">
        <f>COUNTIFS(Table102[Country],Tabela1[[#This Row],[Country]],Table102[Slalom Classification],"&gt;0")</f>
        <v>0</v>
      </c>
      <c r="MR114" s="6">
        <f>COUNTIFS(Table102105[Country],Tabela1[[#This Row],[Country]],Table102105[Slalom Classification],"&gt;0")</f>
        <v>0</v>
      </c>
      <c r="MS114" s="6">
        <f>COUNTIFS(Table102[Country],Tabela1[[#This Row],[Country]],Table102[Super-G Classification],"&gt;0")</f>
        <v>0</v>
      </c>
      <c r="MT114" s="6">
        <f>COUNTIFS(Table102105[Country],Tabela1[[#This Row],[Country]],Table102105[Super-G Classification],"&gt;0")</f>
        <v>0</v>
      </c>
      <c r="MU114" s="6">
        <f>COUNTIFS(Table105[Country],Tabela1[[#This Row],[Country]],Table105[Men''s Combined Classification],"&gt;0")</f>
        <v>0</v>
      </c>
      <c r="MV114" s="6">
        <f>COUNTIFS(Table105[Country],Tabela1[[#This Row],[Country]],Table105[Women''s Combined Classification],"&gt;0")</f>
        <v>0</v>
      </c>
      <c r="MW114" s="6">
        <f>COUNTIFS(Table106[Country],Tabela1[[#This Row],[Country]],Table106[Individual Classification],"&gt;0")</f>
        <v>0</v>
      </c>
      <c r="MX114" s="6">
        <f>COUNTIFS(Table106109[Country],Tabela1[[#This Row],[Country]],Table106109[Individual Classification],"&gt;0")</f>
        <v>0</v>
      </c>
      <c r="MY114" s="6">
        <f>COUNTIFS(Table106[Country],Tabela1[[#This Row],[Country]],Table106[Mass Start Classification],"&gt;0")</f>
        <v>0</v>
      </c>
      <c r="MZ114" s="6">
        <f>COUNTIFS(Table106109[Country],Tabela1[[#This Row],[Country]],Table106109[Mass Start Classification],"&gt;0")</f>
        <v>0</v>
      </c>
      <c r="NA114" s="6">
        <f>COUNTIFS(Table106[Country],Tabela1[[#This Row],[Country]],Table106[Pursuit Classification],"&gt;0")</f>
        <v>0</v>
      </c>
      <c r="NB114" s="6">
        <f>COUNTIFS(Table106109[Country],Tabela1[[#This Row],[Country]],Table106109[Pursuit Classification],"&gt;0")</f>
        <v>0</v>
      </c>
      <c r="NC114" s="6">
        <f>COUNTIFS(Table106[Country],Tabela1[[#This Row],[Country]],Table106[Sprint Classification],"&gt;0")</f>
        <v>0</v>
      </c>
      <c r="ND114" s="6">
        <f>COUNTIFS(Table106109[Country],Tabela1[[#This Row],[Country]],Table106109[Sprint Classification],"&gt;0")</f>
        <v>0</v>
      </c>
      <c r="NE114" s="6">
        <f>COUNTIFS(Table109[Country],Tabela1[[#This Row],[Country]],Table109[Men''s Relay Classification],"&gt;0")</f>
        <v>0</v>
      </c>
      <c r="NF114" s="6">
        <f>COUNTIFS(Table109[Country],Tabela1[[#This Row],[Country]],Table109[Women''s Relay Classification],"&gt;0")</f>
        <v>0</v>
      </c>
      <c r="NG114" s="6">
        <f>COUNTIFS(Table109[Country],Tabela1[[#This Row],[Country]],Table109[Mixed Relay Classification],"&gt;0")</f>
        <v>0</v>
      </c>
      <c r="NH114" s="6">
        <f>COUNTIFS(Table110[Country],Tabela1[[#This Row],[Country]],Table110[Monobob Classification],"&gt;0")</f>
        <v>0</v>
      </c>
      <c r="NI114" s="6">
        <f>COUNTIFS(Table111[Country],Tabela1[[#This Row],[Country]],Table111[Men''s Classification],"&gt;0")</f>
        <v>0</v>
      </c>
      <c r="NJ114" s="6">
        <f>COUNTIFS(Table111[Country],Tabela1[[#This Row],[Country]],Table111[Women''s Classification],"&gt;0")</f>
        <v>0</v>
      </c>
      <c r="NK114" s="6">
        <f>COUNTIFS(Table112[Country],Tabela1[[#This Row],[Country]],Table112[Men''s Four Classification],"&gt;0")</f>
        <v>0</v>
      </c>
      <c r="NL114" s="6">
        <f>COUNTIFS(Table113[Country],Tabela1[[#This Row],[Country]],Table113[Classical Classification],"&gt;0")</f>
        <v>0</v>
      </c>
      <c r="NM114" s="6">
        <f>COUNTIFS(Table113116[Country],Tabela1[[#This Row],[Country]],Table113116[Classical Classification],"&gt;0")</f>
        <v>0</v>
      </c>
      <c r="NN114" s="6">
        <f>COUNTIFS(Table113[Country],Tabela1[[#This Row],[Country]],Table113[Freestyle Classification],"&gt;0")</f>
        <v>0</v>
      </c>
      <c r="NO114" s="6">
        <f>COUNTIFS(Table113116[Country],Tabela1[[#This Row],[Country]],Table113116[Freestyle Classification],"&gt;0")</f>
        <v>0</v>
      </c>
      <c r="NP114" s="6">
        <f>COUNTIFS(Table117[Country],Tabela1[[#This Row],[Country]],Table117[Men''s Relay Classification],"&gt;0")</f>
        <v>0</v>
      </c>
      <c r="NQ114" s="6">
        <f>COUNTIFS(Table117[Country],Tabela1[[#This Row],[Country]],Table117[Women''s Relay Classification],"&gt;0")</f>
        <v>0</v>
      </c>
      <c r="NR114" s="6">
        <f>COUNTIFS(Table113[Country],Tabela1[[#This Row],[Country]],Table113[Skiathlon Classification],"&gt;0")</f>
        <v>0</v>
      </c>
      <c r="NS114" s="6">
        <f>COUNTIFS(Table113116[Country],Tabela1[[#This Row],[Country]],Table113116[Skiathlon Classification],"&gt;0")</f>
        <v>0</v>
      </c>
      <c r="NT114" s="6">
        <f>COUNTIFS(Table113[Country],Tabela1[[#This Row],[Country]],Table113[Sprint Classification],"&gt;0")</f>
        <v>0</v>
      </c>
      <c r="NU114" s="6">
        <f>COUNTIFS(Table113116[Country],Tabela1[[#This Row],[Country]],Table113116[Sprint Classification],"&gt;0")</f>
        <v>0</v>
      </c>
      <c r="NV114" s="6">
        <f>COUNTIFS(Table116[Country],Tabela1[[#This Row],[Country]],Table116[Men''s Team Sprint Classification],"&gt;0")</f>
        <v>0</v>
      </c>
      <c r="NW114" s="6">
        <f>COUNTIFS(Table116[Country],Tabela1[[#This Row],[Country]],Table116[Women''s Team Sprint Classification],"&gt;0")</f>
        <v>0</v>
      </c>
      <c r="NX114" s="6">
        <f>COUNTIFS(Table119[Country],Tabela1[[#This Row],[Country]],Table119[Men''s Classification],"&gt;0")</f>
        <v>0</v>
      </c>
      <c r="NY114" s="6">
        <f>COUNTIFS(Table119[Country],Tabela1[[#This Row],[Country]],Table119[Women''s Classification],"&gt;0")</f>
        <v>0</v>
      </c>
      <c r="NZ114" s="6">
        <f>COUNTIFS(Table118[Country],Tabela1[[#This Row],[Country]],Table118[Mixed Classification],"&gt;0")</f>
        <v>0</v>
      </c>
      <c r="OA114" s="6">
        <f>COUNTIFS(Table120[Country],Tabela1[[#This Row],[Country]],Table120[Classification],"&gt;0")</f>
        <v>0</v>
      </c>
      <c r="OB114" s="6">
        <f>COUNTIFS(Table120123[Country],Tabela1[[#This Row],[Country]],Table120123[Classification],"&gt;0")</f>
        <v>0</v>
      </c>
      <c r="OC114" s="6">
        <f>COUNTIFS(Table123[Country],Tabela1[[#This Row],[Country]],Table123[Ice Dance Classification],"&gt;0")</f>
        <v>0</v>
      </c>
      <c r="OD114" s="6">
        <f>COUNTIFS(Table123[Country],Tabela1[[#This Row],[Country]],Table123[Pair Skating Classification],"&gt;0")</f>
        <v>0</v>
      </c>
      <c r="OE114" s="6">
        <f>COUNTIFS(Table124[Country],Tabela1[[#This Row],[Country]],Table124[Mixed Classification],"&gt;0")</f>
        <v>0</v>
      </c>
      <c r="OF114" s="6">
        <f>COUNTIFS(Table125[Country],Tabela1[[#This Row],[Country]],Table125[Aerials Classification],"&gt;0")</f>
        <v>0</v>
      </c>
      <c r="OG114" s="6">
        <f>COUNTIFS(Table125128[Country],Tabela1[[#This Row],[Country]],Table125128[Aerials Classification],"&gt;0")</f>
        <v>0</v>
      </c>
      <c r="OH114" s="6">
        <f>COUNTIFS(Table128[Country],Tabela1[[#This Row],[Country]],Table128[Mixed Aerials Classification],"&gt;0")</f>
        <v>0</v>
      </c>
      <c r="OI114" s="6">
        <f>COUNTIFS(Table125[Country],Tabela1[[#This Row],[Country]],Table125[Big Air Classification],"&gt;0")</f>
        <v>0</v>
      </c>
      <c r="OJ114" s="6">
        <f>COUNTIFS(Table125128[Country],Tabela1[[#This Row],[Country]],Table125128[Big Air Classification],"&gt;0")</f>
        <v>0</v>
      </c>
      <c r="OK114" s="6">
        <f>COUNTIFS(Table125[Country],Tabela1[[#This Row],[Country]],Table125[Dual Moguls Classification],"&gt;0")</f>
        <v>0</v>
      </c>
      <c r="OL114" s="6">
        <f>COUNTIFS(Table125128[Country],Tabela1[[#This Row],[Country]],Table125128[Dual Moguls Classification],"&gt;0")</f>
        <v>0</v>
      </c>
      <c r="OM114" s="6">
        <f>COUNTIFS(Table125[Country],Tabela1[[#This Row],[Country]],Table125[Halfpipe Classification],"&gt;0")</f>
        <v>0</v>
      </c>
      <c r="ON114" s="6">
        <f>COUNTIFS(Table125128[Country],Tabela1[[#This Row],[Country]],Table125128[Halfpipe Classification],"&gt;0")</f>
        <v>0</v>
      </c>
      <c r="OO114" s="6">
        <f>COUNTIFS(Table125[Country],Tabela1[[#This Row],[Country]],Table125[Moguls Classification],"&gt;0")</f>
        <v>0</v>
      </c>
      <c r="OP114" s="6">
        <f>COUNTIFS(Table125128[Country],Tabela1[[#This Row],[Country]],Table125128[Moguls Classification],"&gt;0")</f>
        <v>0</v>
      </c>
      <c r="OQ114" s="6">
        <f>COUNTIFS(Table125[Country],Tabela1[[#This Row],[Country]],Table125[Ski Cross Classification],"&gt;0")</f>
        <v>0</v>
      </c>
      <c r="OR114" s="6">
        <f>COUNTIFS(Table125128[Country],Tabela1[[#This Row],[Country]],Table125128[Ski Cross Classification],"&gt;0")</f>
        <v>0</v>
      </c>
      <c r="OS114" s="6">
        <f>COUNTIFS(Table125[Country],Tabela1[[#This Row],[Country]],Table125[Slopestyle Classification],"&gt;0")</f>
        <v>0</v>
      </c>
      <c r="OT114" s="6">
        <f>COUNTIFS(Table125128[Country],Tabela1[[#This Row],[Country]],Table125128[Slopestyle Classification],"&gt;0")</f>
        <v>0</v>
      </c>
      <c r="OU114" s="6">
        <f>COUNTIFS(Table119131[Country],Tabela1[[#This Row],[Country]],Table119131[Men''s Classification],"&gt;0")</f>
        <v>0</v>
      </c>
      <c r="OV114" s="6">
        <f>COUNTIFS(Table119131[Country],Tabela1[[#This Row],[Country]],Table119131[Women''s Classification],"&gt;0")</f>
        <v>0</v>
      </c>
      <c r="OW114" s="6">
        <f>COUNTIFS(Table131[Country],Tabela1[[#This Row],[Country]],Table131[Classification],"&gt;0")</f>
        <v>0</v>
      </c>
      <c r="OX114" s="6">
        <f>COUNTIFS(Table131134[Country],Tabela1[[#This Row],[Country]],Table131134[Classification],"&gt;0")</f>
        <v>0</v>
      </c>
      <c r="OY114" s="6">
        <f>COUNTIFS(Table134[Country],Tabela1[[#This Row],[Country]],Table134[Men''s Classification],"&gt;0")</f>
        <v>0</v>
      </c>
      <c r="OZ114" s="6">
        <f>COUNTIFS(Table134[Country],Tabela1[[#This Row],[Country]],Table134[Women''s Classification],"&gt;0")</f>
        <v>0</v>
      </c>
      <c r="PA114" s="6">
        <f>COUNTIFS(Table135[Country],Tabela1[[#This Row],[Country]],Table135[Mixed Relay Classification],"&gt;0")</f>
        <v>0</v>
      </c>
      <c r="PB114" s="6">
        <f>COUNTIFS(Table136[Country],Tabela1[[#This Row],[Country]],Table136[Individual Classification],"&gt;0")</f>
        <v>0</v>
      </c>
      <c r="PC114" s="6">
        <f>COUNTIFS(Table136[Country],Tabela1[[#This Row],[Country]],Table136[Sprint Classification],"&gt;0")</f>
        <v>0</v>
      </c>
      <c r="PD114" s="6">
        <f>COUNTIFS(Table137[Country],Tabela1[[#This Row],[Country]],Table137[Men''s Team Sprint Large Hill Classification],"&gt;0")</f>
        <v>0</v>
      </c>
      <c r="PE114" s="6">
        <f>COUNTIFS(Table138[Country],Tabela1[[#This Row],[Country]],Table138[500m Classification],"&gt;0")</f>
        <v>0</v>
      </c>
      <c r="PF114" s="6">
        <f>COUNTIFS(Table138141[Country],Tabela1[[#This Row],[Country]],Table138141[500m Classification],"&gt;0")</f>
        <v>0</v>
      </c>
      <c r="PG114" s="6">
        <f>COUNTIFS(Table138[Country],Tabela1[[#This Row],[Country]],Table138[1000m Classification],"&gt;0")</f>
        <v>0</v>
      </c>
      <c r="PH114" s="6">
        <f>COUNTIFS(Table138141[Country],Tabela1[[#This Row],[Country]],Table138141[1000m Classification],"&gt;0")</f>
        <v>0</v>
      </c>
      <c r="PI114" s="6">
        <f>COUNTIFS(Table138[Country],Tabela1[[#This Row],[Country]],Table138[1500m Classification],"&gt;0")</f>
        <v>0</v>
      </c>
      <c r="PJ114" s="6">
        <f>COUNTIFS(Table138141[Country],Tabela1[[#This Row],[Country]],Table138141[1500m Classification],"&gt;0")</f>
        <v>0</v>
      </c>
      <c r="PK114" s="6">
        <f>COUNTIFS(Table141[Country],Tabela1[[#This Row],[Country]],Table141[Men''s 5000m Relay Classification],"&gt;0")</f>
        <v>0</v>
      </c>
      <c r="PL114" s="6">
        <f>COUNTIFS(Table141[Country],Tabela1[[#This Row],[Country]],Table141[Women''s 3000m Relay Classification],"&gt;0")</f>
        <v>0</v>
      </c>
      <c r="PM114" s="6">
        <f>COUNTIFS(Table141[Country],Tabela1[[#This Row],[Country]],Table141[Mixed 2000m Relay Classification],"&gt;0")</f>
        <v>0</v>
      </c>
      <c r="PN114" s="6">
        <f>COUNTIFS(Table142[Country],Tabela1[[#This Row],[Country]],Table142[Classification],"&gt;0")</f>
        <v>0</v>
      </c>
      <c r="PO114" s="6">
        <f>COUNTIFS(Table142145[Country],Tabela1[[#This Row],[Country]],Table142145[Classification],"&gt;0")</f>
        <v>0</v>
      </c>
      <c r="PP114" s="6">
        <f>COUNTIFS(Tabela15[Country],Tabela1[[#This Row],[Country]],Tabela15[Mixed Team Classification],"&gt;0")</f>
        <v>0</v>
      </c>
      <c r="PQ114" s="6">
        <f>COUNTIFS(Table145[Country],Tabela1[[#This Row],[Country]],Table145[Large Hill Classification],"&gt;0")</f>
        <v>0</v>
      </c>
      <c r="PR114" s="6">
        <f>COUNTIFS(Table145[Country],Tabela1[[#This Row],[Country]],Table145[Normal Hill Classification],"&gt;0")</f>
        <v>0</v>
      </c>
      <c r="PS114" s="6">
        <f>COUNTIFS(Table145148[Country],Tabela1[[#This Row],[Country]],Table145148[Large Hill Classification],"&gt;0")</f>
        <v>0</v>
      </c>
      <c r="PT114" s="6">
        <f>COUNTIFS(Table145148[Country],Tabela1[[#This Row],[Country]],Table145148[Normal Hill Classification],"&gt;0")</f>
        <v>0</v>
      </c>
      <c r="PU114" s="6">
        <f>COUNTIFS(Table148[Country],Tabela1[[#This Row],[Country]],Table148[Men''s Super Team Classification],"&gt;0")</f>
        <v>0</v>
      </c>
      <c r="PV114" s="6">
        <f>COUNTIFS(Tabela114[Country],Tabela1[[#This Row],[Country]],Tabela114[Mixed Normal Hill Classification],"&gt;0")</f>
        <v>0</v>
      </c>
      <c r="PW114" s="6">
        <f>COUNTIFS(Tabela50[Country],Tabela1[[#This Row],[Country]],Tabela50[Sprint Classification],"&gt;0")</f>
        <v>0</v>
      </c>
      <c r="PX114" s="6">
        <f>COUNTIFS(Tabela50101[Country],Tabela1[[#This Row],[Country]],Tabela50101[Sprint Classification],"&gt;0")</f>
        <v>0</v>
      </c>
      <c r="PY114" s="6">
        <f>COUNTIFS(Tabela103[Country],Tabela1[[#This Row],[Country]],Tabela103[Mixed Relay Classification],"&gt;0")</f>
        <v>0</v>
      </c>
      <c r="PZ114" s="6">
        <f>COUNTIFS(Table149[Country],Tabela1[[#This Row],[Country]],Table149[Big Air Classification],"&gt;0")</f>
        <v>0</v>
      </c>
      <c r="QA114" s="6">
        <f>COUNTIFS(Table149152[Country],Tabela1[[#This Row],[Country]],Table149152[Big Air Classification],"&gt;0")</f>
        <v>0</v>
      </c>
      <c r="QB114" s="6">
        <f>COUNTIFS(Table149[Country],Tabela1[[#This Row],[Country]],Table149[Halfpipe Classification],"&gt;0")</f>
        <v>0</v>
      </c>
      <c r="QC114" s="6">
        <f>COUNTIFS(Table149152[Country],Tabela1[[#This Row],[Country]],Table149152[Halfpipe Classification],"&gt;0")</f>
        <v>0</v>
      </c>
      <c r="QD114" s="6">
        <f>COUNTIFS(Table149[Country],Tabela1[[#This Row],[Country]],Table149[Parallel Giant Slalom Classification],"&gt;0")</f>
        <v>0</v>
      </c>
      <c r="QE114" s="6">
        <f>COUNTIFS(Table149152[Country],Tabela1[[#This Row],[Country]],Table149152[Parallel Giant Slalom Classification],"&gt;0")</f>
        <v>0</v>
      </c>
      <c r="QF114" s="6">
        <f>COUNTIFS(Table149[Country],Tabela1[[#This Row],[Country]],Table149[Slopestyle Classification],"&gt;0")</f>
        <v>0</v>
      </c>
      <c r="QG114" s="6">
        <f>COUNTIFS(Table149152[Country],Tabela1[[#This Row],[Country]],Table149152[Slopestyle Classification],"&gt;0")</f>
        <v>0</v>
      </c>
      <c r="QH114" s="6">
        <f>COUNTIFS(Table149[Country],Tabela1[[#This Row],[Country]],Table149[Snowboard Cross Classification],"&gt;0")</f>
        <v>0</v>
      </c>
      <c r="QI114" s="6">
        <f>COUNTIFS(Table149152[Country],Tabela1[[#This Row],[Country]],Table149152[Snowboard Cross Classification],"&gt;0")</f>
        <v>0</v>
      </c>
      <c r="QJ114" s="6">
        <f>COUNTIFS(Table153[Country],Tabela1[[#This Row],[Country]],Table153[Mixed Team Snowboard Cross Classification],"&gt;0")</f>
        <v>0</v>
      </c>
      <c r="QK114" s="6">
        <f>COUNTIFS(Table154[Country],Tabela1[[#This Row],[Country]],Table154[500m Classification],"&gt;0")</f>
        <v>0</v>
      </c>
      <c r="QL114" s="6">
        <f>COUNTIFS(Table154157[Country],Tabela1[[#This Row],[Country]],Table154157[500m Classification],"&gt;0")</f>
        <v>0</v>
      </c>
      <c r="QM114" s="6">
        <f>COUNTIFS(Table154[Country],Tabela1[[#This Row],[Country]],Table154[1000m Classification],"&gt;0")</f>
        <v>0</v>
      </c>
      <c r="QN114" s="6">
        <f>COUNTIFS(Table154157[Country],Tabela1[[#This Row],[Country]],Table154157[1000m Classification],"&gt;0")</f>
        <v>0</v>
      </c>
      <c r="QO114" s="6">
        <f>COUNTIFS(Table154[Country],Tabela1[[#This Row],[Country]],Table154[1500m Classification],"&gt;0")</f>
        <v>0</v>
      </c>
      <c r="QP114" s="6">
        <f>COUNTIFS(Table154157[Country],Tabela1[[#This Row],[Country]],Table154157[1500m Classification],"&gt;0")</f>
        <v>0</v>
      </c>
      <c r="QQ114" s="6">
        <f>COUNTIFS(Table154157[Country],Tabela1[[#This Row],[Country]],Table154157[3000m Classification],"&gt;0")</f>
        <v>0</v>
      </c>
      <c r="QR114" s="6">
        <f>COUNTIFS(Table154[Country],Tabela1[[#This Row],[Country]],Table154[5000m Classification],"&gt;0")</f>
        <v>0</v>
      </c>
      <c r="QS114" s="6">
        <f>COUNTIFS(Table154157[Country],Tabela1[[#This Row],[Country]],Table154157[5000m Classification],"&gt;0")</f>
        <v>0</v>
      </c>
      <c r="QT114" s="6">
        <f>COUNTIFS(Table154[Country],Tabela1[[#This Row],[Country]],Table154[10000m Classification],"&gt;0")</f>
        <v>0</v>
      </c>
      <c r="QU114" s="6">
        <f>COUNTIFS(Table154[Country],Tabela1[[#This Row],[Country]],Table154[Mass Start Classification],"&gt;0")</f>
        <v>0</v>
      </c>
      <c r="QV114" s="6">
        <f>COUNTIFS(Table154157[Country],Tabela1[[#This Row],[Country]],Table154157[Mass Start Classification],"&gt;0")</f>
        <v>0</v>
      </c>
      <c r="QW114" s="6">
        <f>COUNTIFS(Table157[Country],Tabela1[[#This Row],[Country]],Table157[Men''s Pursuit Classification],"&gt;0")</f>
        <v>0</v>
      </c>
      <c r="QX114" s="6">
        <f>COUNTIFS(Table157[Country],Tabela1[[#This Row],[Country]],Table157[Women''s Pursuit Classification],"&gt;0")</f>
        <v>0</v>
      </c>
      <c r="QY114" s="4" t="s">
        <v>387</v>
      </c>
    </row>
    <row r="115" spans="1:467" x14ac:dyDescent="0.3">
      <c r="A115" s="6">
        <v>114</v>
      </c>
      <c r="B115" s="6" t="s">
        <v>390</v>
      </c>
      <c r="C115" t="e" vm="114">
        <f>IF(ISBLANK(Tabela1[[#This Row],[Image Link]]), "", _xlfn.IMAGE(Tabela1[[#This Row],[Image Link]],1,1))</f>
        <v>#VALUE!</v>
      </c>
      <c r="D115" s="6">
        <f>SUM(Tabela1[[#This Row],[Archery - Men''s Individual Recurve]:[Speed Skating - Women''s Team Pursuit]])</f>
        <v>2</v>
      </c>
      <c r="E115" s="6">
        <f>COUNTIF(Tabela1[[#This Row],[Archery - Men''s Individual Recurve]:[Speed Skating - Women''s Team Pursuit]],"&gt;0")</f>
        <v>2</v>
      </c>
      <c r="F115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Winter Olympics</v>
      </c>
      <c r="G115" s="6">
        <f>SUM(Tabela1[[#This Row],[Archery - Men''s Individual Recurve]:[Wrestling - Women''s Freestyle 76kg]])</f>
        <v>0</v>
      </c>
      <c r="H115" s="6">
        <f>SUM(Tabela1[[#This Row],[Alpine Skiing - Men''s Downhill]:[Speed Skating - Women''s Team Pursuit]])</f>
        <v>2</v>
      </c>
      <c r="I115" s="6">
        <f>Tabela1[[#This Row],[Summer Gold Medals]]+Tabela1[[#This Row],[Winter Gold Medals]]</f>
        <v>0</v>
      </c>
      <c r="J115" s="6">
        <f>Tabela1[[#This Row],[Summer Silver Medals]]+Tabela1[[#This Row],[Winter Silver Medals]]</f>
        <v>1</v>
      </c>
      <c r="K115" s="6">
        <f>Tabela1[[#This Row],[Summer Bronze Medals]]+Tabela1[[#This Row],[Winter Bronze Medals]]</f>
        <v>3</v>
      </c>
      <c r="L115" s="6">
        <f>SUM(Tabela1[[#This Row],[Total Gold Medals]:[Total Bronze Medals]])</f>
        <v>4</v>
      </c>
      <c r="M115" s="6"/>
      <c r="N115" s="6">
        <v>1</v>
      </c>
      <c r="O115" s="6">
        <v>3</v>
      </c>
      <c r="P115" s="6">
        <f>SUM(Tabela1[[#This Row],[Summer Gold Medals]:[Summer Bronze Medals]])</f>
        <v>4</v>
      </c>
      <c r="Q115" s="6"/>
      <c r="R115" s="6"/>
      <c r="S115" s="6"/>
      <c r="T115" s="6">
        <f>Tabela1[[#This Row],[Winter Gold Medals]]+Tabela1[[#This Row],[Winter Silver Medals]]+Tabela1[[#This Row],[Winter Bronze Medals]]</f>
        <v>0</v>
      </c>
      <c r="U115" s="7">
        <f>Tabela1[[#This Row],[Total Medals]]/Tabela1[[#This Row],[Total Quotas]]</f>
        <v>2</v>
      </c>
      <c r="V115" s="6">
        <f>COUNTIFS(Table3[Country],Tabela1[[#This Row],[Country]],Table3[Recurve Classification],"&gt;0")</f>
        <v>0</v>
      </c>
      <c r="W115" s="6">
        <f>COUNTIFS(Table33[Country],Tabela1[[#This Row],[Country]],Table33[Recurve Classification],"&gt;0")</f>
        <v>0</v>
      </c>
      <c r="X115" s="6">
        <f>COUNTIFS(Table35[Country],Tabela1[[#This Row],[Country]],Table35[Men''s Team Recurve Classification],"&gt;0")</f>
        <v>0</v>
      </c>
      <c r="Y115" s="6">
        <f>COUNTIFS(Table35[Country],Tabela1[[#This Row],[Country]],Table35[Women''s Team Recurve Classification],"&gt;0")</f>
        <v>0</v>
      </c>
      <c r="Z115" s="6">
        <f>COUNTIFS(Tabela88[Country],Tabela1[[#This Row],[Country]],Tabela88[Mixed Team Recurve Classification],"&gt;0")</f>
        <v>0</v>
      </c>
      <c r="AA115" s="6">
        <f>COUNTIFS(Table36[Country],Tabela1[[#This Row],[Country]],Table36[Classification],"&gt;0")</f>
        <v>0</v>
      </c>
      <c r="AB115" s="6">
        <f>COUNTIFS(Table37[Country],Tabela1[[#This Row],[Country]],Table37[Classification],"&gt;0")</f>
        <v>0</v>
      </c>
      <c r="AC115" s="6">
        <f>COUNTIFS(Table4[Country],Tabela1[[#This Row],[Country]],Table4[100m Classification],"&gt;0")</f>
        <v>0</v>
      </c>
      <c r="AD115" s="6">
        <f>COUNTIFS(Table5[Country],Tabela1[[#This Row],[Country]],Table5[100m Classification],"&gt;0")</f>
        <v>0</v>
      </c>
      <c r="AE115" s="6">
        <f>COUNTIFS(Table4[Country],Tabela1[[#This Row],[Country]],Table4[200m Classification],"&gt;0")</f>
        <v>0</v>
      </c>
      <c r="AF115" s="6">
        <f>COUNTIFS(Table5[Country],Tabela1[[#This Row],[Country]],Table5[200m Classification],"&gt;0")</f>
        <v>0</v>
      </c>
      <c r="AG115" s="6">
        <f>COUNTIFS(Table4[Country],Tabela1[[#This Row],[Country]],Table4[400m Classification],"&gt;0")</f>
        <v>0</v>
      </c>
      <c r="AH115" s="6">
        <f>COUNTIFS(Table5[Country],Tabela1[[#This Row],[Country]],Table5[400m Classification],"&gt;0")</f>
        <v>0</v>
      </c>
      <c r="AI115" s="6">
        <f>COUNTIFS(Table4[Country],Tabela1[[#This Row],[Country]],Table4[800m Classification],"&gt;0")</f>
        <v>0</v>
      </c>
      <c r="AJ115" s="6">
        <f>COUNTIFS(Table5[Country],Tabela1[[#This Row],[Country]],Table5[800m Classification],"&gt;0")</f>
        <v>0</v>
      </c>
      <c r="AK115" s="6">
        <f>COUNTIFS(Table4[Country],Tabela1[[#This Row],[Country]],Table4[1500m Classification],"&gt;0")</f>
        <v>0</v>
      </c>
      <c r="AL115" s="6">
        <f>COUNTIFS(Table5[Country],Tabela1[[#This Row],[Country]],Table5[1500m Classification],"&gt;0")</f>
        <v>0</v>
      </c>
      <c r="AM115" s="6">
        <f>COUNTIFS(Table4[Country],Tabela1[[#This Row],[Country]],Table4[5000m Classification],"&gt;0")</f>
        <v>0</v>
      </c>
      <c r="AN115" s="6">
        <f>COUNTIFS(Table5[Country],Tabela1[[#This Row],[Country]],Table5[5000m Classification],"&gt;0")</f>
        <v>0</v>
      </c>
      <c r="AO115" s="6">
        <f>COUNTIFS(Table4[Country],Tabela1[[#This Row],[Country]],Table4[10000m Classification],"&gt;0")</f>
        <v>0</v>
      </c>
      <c r="AP115" s="6">
        <f>COUNTIFS(Table5[Country],Tabela1[[#This Row],[Country]],Table5[10000m Classification],"&gt;0")</f>
        <v>0</v>
      </c>
      <c r="AQ115" s="6">
        <f>COUNTIFS(Table4[Country],Tabela1[[#This Row],[Country]],Table4[110m Hurdles Classification],"&gt;0")</f>
        <v>0</v>
      </c>
      <c r="AR115" s="6">
        <f>COUNTIFS(Table5[Country],Tabela1[[#This Row],[Country]],Table5[100m Hurdles Classification],"&gt;0")</f>
        <v>0</v>
      </c>
      <c r="AS115" s="6">
        <f>COUNTIFS(Table4[Country],Tabela1[[#This Row],[Country]],Table4[400m Hurdles Classification],"&gt;0")</f>
        <v>0</v>
      </c>
      <c r="AT115" s="6">
        <f>COUNTIFS(Table5[Country],Tabela1[[#This Row],[Country]],Table5[400m Hurdles Classification],"&gt;0")</f>
        <v>0</v>
      </c>
      <c r="AU115" s="6">
        <f>COUNTIFS(Table4[Country],Tabela1[[#This Row],[Country]],Table4[3000m Steeplechase Classification],"&gt;0")</f>
        <v>0</v>
      </c>
      <c r="AV115" s="6">
        <f>COUNTIFS(Table5[Country],Tabela1[[#This Row],[Country]],Table5[3000m Steeplechase Classification],"&gt;0")</f>
        <v>0</v>
      </c>
      <c r="AW115" s="6">
        <f>COUNTIFS(Table27[Country],Tabela1[[#This Row],[Country]],Table27[Men''s 4x100m Relay Classification],"&gt;0")</f>
        <v>0</v>
      </c>
      <c r="AX115" s="6">
        <f>COUNTIFS(Table27[Country],Tabela1[[#This Row],[Country]],Table27[Women''s 4x100m Relay Classification],"&gt;0")</f>
        <v>0</v>
      </c>
      <c r="AY115" s="6">
        <f>COUNTIFS(Table27[Country],Tabela1[[#This Row],[Country]],Table27[Men''s 4x400m Relay Classification],"&gt;0")</f>
        <v>0</v>
      </c>
      <c r="AZ115" s="6">
        <f>COUNTIFS(Table27[Country],Tabela1[[#This Row],[Country]],Table27[Women''s 4x400m Relay Classification],"&gt;0")</f>
        <v>0</v>
      </c>
      <c r="BA115" s="6">
        <f>COUNTIFS(Table27[Country],Tabela1[[#This Row],[Country]],Table27[Mixed 4x400m Relay Classification],"&gt;0")</f>
        <v>0</v>
      </c>
      <c r="BB115" s="6">
        <f>COUNTIFS(Table4[Country],Tabela1[[#This Row],[Country]],Table4[Marathon Classification],"&gt;0")</f>
        <v>0</v>
      </c>
      <c r="BC115" s="6">
        <f>COUNTIFS(Table5[Country],Tabela1[[#This Row],[Country]],Table5[Marathon Classification],"&gt;0")</f>
        <v>0</v>
      </c>
      <c r="BD115" s="6">
        <f>COUNTIFS(Table4[Country],Tabela1[[#This Row],[Country]],Table4[20km Race Walk Classification],"&gt;0")</f>
        <v>0</v>
      </c>
      <c r="BE115" s="6">
        <f>COUNTIFS(Table5[Country],Tabela1[[#This Row],[Country]],Table5[20km Race Walk Classification],"&gt;0")</f>
        <v>0</v>
      </c>
      <c r="BF115" s="6">
        <f>COUNTIFS(Tabela96[Country],Tabela1[[#This Row],[Country]],Tabela96[Mixed Marathon Race Walk Relay Classification],"&gt;0")</f>
        <v>0</v>
      </c>
      <c r="BG115" s="6">
        <f>COUNTIFS(Table4[Country],Tabela1[[#This Row],[Country]],Table4[Discus Throw Classification],"&gt;0")</f>
        <v>0</v>
      </c>
      <c r="BH115" s="6">
        <f>COUNTIFS(Table5[Country],Tabela1[[#This Row],[Country]],Table5[Discus Throw Classification],"&gt;0")</f>
        <v>0</v>
      </c>
      <c r="BI115" s="6">
        <f>COUNTIFS(Table4[Country],Tabela1[[#This Row],[Country]],Table4[Hammer Throw Classification],"&gt;0")</f>
        <v>0</v>
      </c>
      <c r="BJ115" s="6">
        <f>COUNTIFS(Table5[Country],Tabela1[[#This Row],[Country]],Table5[Hammer Throw Classification],"&gt;0")</f>
        <v>0</v>
      </c>
      <c r="BK115" s="6">
        <f>COUNTIFS(Table4[Country],Tabela1[[#This Row],[Country]],Table4[High Jump Classification],"&gt;0")</f>
        <v>0</v>
      </c>
      <c r="BL115" s="6">
        <f>COUNTIFS(Table5[Country],Tabela1[[#This Row],[Country]],Table5[High Jump Classification],"&gt;0")</f>
        <v>0</v>
      </c>
      <c r="BM115" s="6">
        <f>COUNTIFS(Table4[Country],Tabela1[[#This Row],[Country]],Table4[Javelin Throw Classification],"&gt;0")</f>
        <v>0</v>
      </c>
      <c r="BN115" s="6">
        <f>COUNTIFS(Table5[Country],Tabela1[[#This Row],[Country]],Table5[Javelin Throw Classification],"&gt;0")</f>
        <v>0</v>
      </c>
      <c r="BO115" s="6">
        <f>COUNTIFS(Table4[Country],Tabela1[[#This Row],[Country]],Table4[Long Jump Classification],"&gt;0")</f>
        <v>0</v>
      </c>
      <c r="BP115" s="6">
        <f>COUNTIFS(Table5[Country],Tabela1[[#This Row],[Country]],Table5[Long Jump Classification],"&gt;0")</f>
        <v>0</v>
      </c>
      <c r="BQ115" s="6">
        <f>COUNTIFS(Table4[Country],Tabela1[[#This Row],[Country]],Table4[Pole Vault Classification],"&gt;0")</f>
        <v>0</v>
      </c>
      <c r="BR115" s="6">
        <f>COUNTIFS(Table5[Country],Tabela1[[#This Row],[Country]],Table5[Pole Vault Classification],"&gt;0")</f>
        <v>0</v>
      </c>
      <c r="BS115" s="6">
        <f>COUNTIFS(Table4[Country],Tabela1[[#This Row],[Country]],Table4[Shot Put Classification],"&gt;0")</f>
        <v>0</v>
      </c>
      <c r="BT115" s="6">
        <f>COUNTIFS(Table5[Country],Tabela1[[#This Row],[Country]],Table5[Shot Put Classification],"&gt;0")</f>
        <v>0</v>
      </c>
      <c r="BU115" s="6">
        <f>COUNTIFS(Table4[Country],Tabela1[[#This Row],[Country]],Table4[Triple Jump Classification],"&gt;0")</f>
        <v>0</v>
      </c>
      <c r="BV115" s="6">
        <f>COUNTIFS(Table5[Country],Tabela1[[#This Row],[Country]],Table5[Triple Jump Classification],"&gt;0")</f>
        <v>0</v>
      </c>
      <c r="BW115" s="6">
        <f>COUNTIFS(Table4[Country],Tabela1[[#This Row],[Country]],Table4[Decathlon Classification],"&gt;0")</f>
        <v>0</v>
      </c>
      <c r="BX115" s="6">
        <f>COUNTIFS(Table5[Country],Tabela1[[#This Row],[Country]],Table5[Heptathlon Classification],"&gt;0")</f>
        <v>0</v>
      </c>
      <c r="BY115" s="6">
        <f>COUNTIFS(Table61[Country],Tabela1[[#This Row],[Country]],Table61[Classification],"&gt;0")</f>
        <v>0</v>
      </c>
      <c r="BZ115" s="6">
        <f>COUNTIFS(Table38[Country],Tabela1[[#This Row],[Country]],Table38[Classification],"&gt;0")</f>
        <v>0</v>
      </c>
      <c r="CA115" s="6">
        <f>COUNTIFS(Table39[Country],Tabela1[[#This Row],[Country]],Table39[Men''s Classification],"&gt;0")</f>
        <v>0</v>
      </c>
      <c r="CB115" s="6">
        <f>COUNTIFS(Table39[Country],Tabela1[[#This Row],[Country]],Table39[Women''s Classification],"&gt;0")</f>
        <v>0</v>
      </c>
      <c r="CC115" s="6">
        <f>COUNTIFS(Table39[Country],Tabela1[[#This Row],[Country]],Table39[Mixed Classification],"&gt;0")</f>
        <v>0</v>
      </c>
      <c r="CD115" s="6">
        <f>COUNTIFS(Table89[Country],Tabela1[[#This Row],[Country]],Table89[Men''s Classification],"&gt;0")</f>
        <v>0</v>
      </c>
      <c r="CE115" s="6">
        <f>COUNTIFS(Table89[Country],Tabela1[[#This Row],[Country]],Table89[Women''s Classification],"&gt;0")</f>
        <v>0</v>
      </c>
      <c r="CF115" s="6">
        <f>COUNTIFS(Table90[Country],Tabela1[[#This Row],[Country]],Table90[Men''s Classification],"&gt;0")</f>
        <v>0</v>
      </c>
      <c r="CG115" s="6">
        <f>COUNTIFS(Table90[Country],Tabela1[[#This Row],[Country]],Table90[Women''s Classification],"&gt;0")</f>
        <v>0</v>
      </c>
      <c r="CH115" s="6">
        <f>COUNTIFS(Table60[Country],Tabela1[[#This Row],[Country]],Table60[Men''s Classification],"&gt;0")</f>
        <v>0</v>
      </c>
      <c r="CI115" s="6">
        <f>COUNTIFS(Table60[Country],Tabela1[[#This Row],[Country]],Table60[Women''s Classification],"&gt;0")</f>
        <v>0</v>
      </c>
      <c r="CJ115" s="6">
        <f>COUNTIFS(Table6[Country],Tabela1[[#This Row],[Country]],Table6[51kg Classification],"&gt;0")</f>
        <v>0</v>
      </c>
      <c r="CK115" s="6">
        <f>COUNTIFS(Table6[Country],Tabela1[[#This Row],[Country]],Table6[57kg Classification],"&gt;0")</f>
        <v>0</v>
      </c>
      <c r="CL115" s="6">
        <f>COUNTIFS(Table6[Country],Tabela1[[#This Row],[Country]],Table6[63.5kg Classification],"&gt;0")</f>
        <v>0</v>
      </c>
      <c r="CM115" s="6">
        <f>COUNTIFS(Table6[Country],Tabela1[[#This Row],[Country]],Table6[71kg Classification],"&gt;0")</f>
        <v>0</v>
      </c>
      <c r="CN115" s="6">
        <f>COUNTIFS(Table6[Country],Tabela1[[#This Row],[Country]],Table6[80kg Classification],"&gt;0")</f>
        <v>0</v>
      </c>
      <c r="CO115" s="6">
        <f>COUNTIFS(Table6[Country],Tabela1[[#This Row],[Country]],Table6[92kg Classification],"&gt;0")</f>
        <v>0</v>
      </c>
      <c r="CP115" s="6">
        <f>COUNTIFS(Table6[Country],Tabela1[[#This Row],[Country]],Table6[Plus 92kg Classification],"&gt;0")</f>
        <v>0</v>
      </c>
      <c r="CQ115" s="6">
        <f>COUNTIFS(Table7[Country],Tabela1[[#This Row],[Country]],Table7[50kg Classification],"&gt;0")</f>
        <v>0</v>
      </c>
      <c r="CR115" s="6">
        <f>COUNTIFS(Table7[Country],Tabela1[[#This Row],[Country]],Table7[54kg Classification],"&gt;0")</f>
        <v>0</v>
      </c>
      <c r="CS115" s="6">
        <f>COUNTIFS(Table7[Country],Tabela1[[#This Row],[Country]],Table7[57kg Classification],"&gt;0")</f>
        <v>0</v>
      </c>
      <c r="CT115" s="6">
        <f>COUNTIFS(Table7[Country],Tabela1[[#This Row],[Country]],Table7[60kg Classification],"&gt;0")</f>
        <v>0</v>
      </c>
      <c r="CU115" s="6">
        <f>COUNTIFS(Table7[Country],Tabela1[[#This Row],[Country]],Table7[66kg Classification],"&gt;0")</f>
        <v>0</v>
      </c>
      <c r="CV115" s="6">
        <f>COUNTIFS(Table7[Country],Tabela1[[#This Row],[Country]],Table7[75kg Classification],"&gt;0")</f>
        <v>0</v>
      </c>
      <c r="CW115" s="6">
        <f>COUNTIFS(Tabela94[Country],Tabela1[[#This Row],[Country]],Tabela94[Classification],"&gt;0")</f>
        <v>0</v>
      </c>
      <c r="CX115" s="6">
        <f>COUNTIFS(Tabela9499[Country],Tabela1[[#This Row],[Country]],Tabela9499[Classification],"&gt;0")</f>
        <v>0</v>
      </c>
      <c r="CY115" s="6">
        <f>COUNTIFS(Tabela107[Country],Tabela1[[#This Row],[Country]],Tabela107[C1 Slalom Classification],"&gt;0")</f>
        <v>0</v>
      </c>
      <c r="CZ115" s="6">
        <f>COUNTIFS(Tabela107122[Country],Tabela1[[#This Row],[Country]],Tabela107122[C1 Slalom Classification],"&gt;0")</f>
        <v>0</v>
      </c>
      <c r="DA115" s="6">
        <f>COUNTIFS(Tabela107[Country],Tabela1[[#This Row],[Country]],Tabela107[K1 Slalom Classification],"&gt;0")</f>
        <v>0</v>
      </c>
      <c r="DB115" s="6">
        <f>COUNTIFS(Tabela107122[Country],Tabela1[[#This Row],[Country]],Tabela107122[K1 Slalom Classification],"&gt;0")</f>
        <v>0</v>
      </c>
      <c r="DC115" s="6">
        <f>COUNTIFS(Tabela107[Country],Tabela1[[#This Row],[Country]],Tabela107[Kayak Cross Slalom Classification],"&gt;0")</f>
        <v>0</v>
      </c>
      <c r="DD115" s="6">
        <f>COUNTIFS(Tabela107122[Country],Tabela1[[#This Row],[Country]],Tabela107122[Kayak Cross Slalom Classification],"&gt;0")</f>
        <v>0</v>
      </c>
      <c r="DE115" s="6">
        <f>COUNTIFS(Table8[Country],Tabela1[[#This Row],[Country]],Table8[C1 200m Classification],"&gt;0")</f>
        <v>0</v>
      </c>
      <c r="DF115" s="6">
        <f>COUNTIFS(Table40[Country],Tabela1[[#This Row],[Country]],Table40[C1 1000m Classification],"&gt;0")</f>
        <v>0</v>
      </c>
      <c r="DG115" s="6">
        <f>COUNTIFS(Table68[Country],Tabela1[[#This Row],[Country]],Table68[Men''s C2 500m Classification],"&gt;0")</f>
        <v>0</v>
      </c>
      <c r="DH115" s="6">
        <f>COUNTIFS(Table68[Country],Tabela1[[#This Row],[Country]],Table68[Women''s C2 500m Classification],"&gt;0")</f>
        <v>0</v>
      </c>
      <c r="DI115" s="6">
        <f>COUNTIFS(Table8[Country],Tabela1[[#This Row],[Country]],Table8[K1 500m Classification],"&gt;0")</f>
        <v>0</v>
      </c>
      <c r="DJ115" s="6">
        <f>COUNTIFS(Table40[Country],Tabela1[[#This Row],[Country]],Table40[K1 1000m Classification],"&gt;0")</f>
        <v>0</v>
      </c>
      <c r="DK115" s="6">
        <f>COUNTIFS(Table68[Country],Tabela1[[#This Row],[Country]],Table68[Men''s K2 500m Classification],"&gt;0")</f>
        <v>0</v>
      </c>
      <c r="DL115" s="6">
        <f>COUNTIFS(Table68[Country],Tabela1[[#This Row],[Country]],Table68[Women''s K2 500m Classification],"&gt;0")</f>
        <v>0</v>
      </c>
      <c r="DM115" s="6">
        <f>COUNTIFS(Table83[Country],Tabela1[[#This Row],[Country]],Table83[Men''s K4 500m Classification],"&gt;0")</f>
        <v>0</v>
      </c>
      <c r="DN115" s="6">
        <f>COUNTIFS(Table83[Country],Tabela1[[#This Row],[Country]],Table83[Women''s K4 500m Classification],"&gt;0")</f>
        <v>0</v>
      </c>
      <c r="DO115" s="6">
        <f>COUNTIFS(Tabela126[Country],Tabela1[[#This Row],[Country]],Tabela126[Classification],"&gt;0")</f>
        <v>0</v>
      </c>
      <c r="DP115" s="6">
        <f>COUNTIFS(Tabela126130[Country],Tabela1[[#This Row],[Country]],Tabela126130[Classification],"&gt;0")</f>
        <v>0</v>
      </c>
      <c r="DQ115" s="6">
        <f>COUNTIFS(Table70[Country],Tabela1[[#This Row],[Country]],Table70[Classification],"&gt;0")</f>
        <v>0</v>
      </c>
      <c r="DR115" s="6">
        <f>COUNTIFS(Table80[Country],Tabela1[[#This Row],[Country]],Table80[Classification],"&gt;0")</f>
        <v>0</v>
      </c>
      <c r="DS115" s="6">
        <f>COUNTIFS(Table66[Country],Tabela1[[#This Row],[Country]],Table66[Classification],"&gt;0")</f>
        <v>0</v>
      </c>
      <c r="DT115" s="6">
        <f>COUNTIFS(Table67[Country],Tabela1[[#This Row],[Country]],Table67[Classification],"&gt;0")</f>
        <v>0</v>
      </c>
      <c r="DU115" s="6">
        <f>COUNTIFS(Table69[Country],Tabela1[[#This Row],[Country]],Table69[Keirin Classification],"&gt;0")</f>
        <v>0</v>
      </c>
      <c r="DV115" s="6">
        <f>COUNTIFS(Table41[Country],Tabela1[[#This Row],[Country]],Table41[Keirin Classification],"&gt;0")</f>
        <v>0</v>
      </c>
      <c r="DW115" s="6">
        <f>COUNTIFS(Table84[Country],Tabela1[[#This Row],[Country]],Table84[Men''s Madison Classification],"&gt;0")</f>
        <v>0</v>
      </c>
      <c r="DX115" s="6">
        <f>COUNTIFS(Table84[Country],Tabela1[[#This Row],[Country]],Table84[Women''s Madison Classification],"&gt;0")</f>
        <v>0</v>
      </c>
      <c r="DY115" s="6">
        <f>COUNTIFS(Table69[Country],Tabela1[[#This Row],[Country]],Table69[Omnium Classification],"&gt;0")</f>
        <v>0</v>
      </c>
      <c r="DZ115" s="6">
        <f>COUNTIFS(Table41[Country],Tabela1[[#This Row],[Country]],Table41[Omnium Classification],"&gt;0")</f>
        <v>0</v>
      </c>
      <c r="EA115" s="6">
        <f>COUNTIFS(Table9[Country],Tabela1[[#This Row],[Country]],Table9[Road Race Classification],"&gt;0")</f>
        <v>0</v>
      </c>
      <c r="EB115" s="6">
        <f>COUNTIFS(Table14[Country],Tabela1[[#This Row],[Country]],Table14[Road Race Classification],"&gt;0")</f>
        <v>0</v>
      </c>
      <c r="EC115" s="6">
        <f>COUNTIFS(Table69[Country],Tabela1[[#This Row],[Country]],Table69[Sprint Classification],"&gt;0")</f>
        <v>0</v>
      </c>
      <c r="ED115" s="6">
        <f>COUNTIFS(Table41[Country],Tabela1[[#This Row],[Country]],Table41[Sprint Classification],"&gt;0")</f>
        <v>0</v>
      </c>
      <c r="EE115" s="6">
        <f>COUNTIFS(Table85[Country],Tabela1[[#This Row],[Country]],Table85[Men''s Sprint Classification],"&gt;0")</f>
        <v>0</v>
      </c>
      <c r="EF115" s="6">
        <f>COUNTIFS(Table85[Country],Tabela1[[#This Row],[Country]],Table85[Women''s Sprint Classification],"&gt;0")</f>
        <v>0</v>
      </c>
      <c r="EG115" s="6">
        <f>COUNTIFS(Table85[Country],Tabela1[[#This Row],[Country]],Table85[Men''s Pursuit Classification],"&gt;0")</f>
        <v>0</v>
      </c>
      <c r="EH115" s="6">
        <f>COUNTIFS(Table85[Country],Tabela1[[#This Row],[Country]],Table85[Women''s Pursuit Classification],"&gt;0")</f>
        <v>0</v>
      </c>
      <c r="EI115" s="6">
        <f>COUNTIFS(Table9[Country],Tabela1[[#This Row],[Country]],Table9[Time-Trial Classification],"&gt;0")</f>
        <v>0</v>
      </c>
      <c r="EJ115" s="6">
        <f>COUNTIFS(Table14[Country],Tabela1[[#This Row],[Country]],Table14[Time-Trial Classification],"&gt;0")</f>
        <v>0</v>
      </c>
      <c r="EK115" s="6">
        <f>COUNTIFS(Table42[Country],Tabela1[[#This Row],[Country]],Table42[Springboard Classification],"&gt;0")</f>
        <v>0</v>
      </c>
      <c r="EL115" s="6">
        <f>COUNTIFS(Table43[Country],Tabela1[[#This Row],[Country]],Table43[Springboard Classification],"&gt;0")</f>
        <v>0</v>
      </c>
      <c r="EM115" s="6">
        <f>COUNTIFS(Table42[Country],Tabela1[[#This Row],[Country]],Table42[Platform Classification],"&gt;0")</f>
        <v>0</v>
      </c>
      <c r="EN115" s="6">
        <f>COUNTIFS(Table43[Country],Tabela1[[#This Row],[Country]],Table43[Platform Classification],"&gt;0")</f>
        <v>0</v>
      </c>
      <c r="EO115" s="6">
        <f>COUNTIFS(Table86[Country],Tabela1[[#This Row],[Country]],Table86[Men''s Synchronized Springboard Classification],"&gt;0")</f>
        <v>0</v>
      </c>
      <c r="EP115" s="6">
        <f>COUNTIFS(Table86[Country],Tabela1[[#This Row],[Country]],Table86[Women''s Synchronized Springboard Classification],"&gt;0")</f>
        <v>0</v>
      </c>
      <c r="EQ115" s="6">
        <f>COUNTIFS(Table86[Country],Tabela1[[#This Row],[Country]],Table86[Men''s Synchronized Platform Classification],"&gt;0")</f>
        <v>0</v>
      </c>
      <c r="ER115" s="6">
        <f>COUNTIFS(Table86[Country],Tabela1[[#This Row],[Country]],Table86[Women''s Synchronized Platform Classification],"&gt;0")</f>
        <v>0</v>
      </c>
      <c r="ES115" s="6">
        <f>COUNTIFS(Table44[Country],Tabela1[[#This Row],[Country]],Table44[Dressage Classification],"&gt;0")</f>
        <v>0</v>
      </c>
      <c r="ET115" s="6">
        <f>COUNTIFS(Table45[Country],Tabela1[[#This Row],[Country]],Table45[Dressage Classification],"&gt;0")</f>
        <v>0</v>
      </c>
      <c r="EU115" s="6">
        <f>COUNTIFS(Table44[Country],Tabela1[[#This Row],[Country]],Table44[Eventing Classification],"&gt;0")</f>
        <v>0</v>
      </c>
      <c r="EV115" s="6">
        <f>COUNTIFS(Table45[Country],Tabela1[[#This Row],[Country]],Table45[Eventing Classification],"&gt;0")</f>
        <v>0</v>
      </c>
      <c r="EW115" s="6">
        <f>COUNTIFS(Table44[Country],Tabela1[[#This Row],[Country]],Table44[Jumping Classification],"&gt;0")</f>
        <v>0</v>
      </c>
      <c r="EX115" s="6">
        <f>COUNTIFS(Table45[Country],Tabela1[[#This Row],[Country]],Table45[Jumping Classification],"&gt;0")</f>
        <v>0</v>
      </c>
      <c r="EY115" s="6">
        <f>COUNTIFS(Table10[Country],Tabela1[[#This Row],[Country]],Table10[Épée Classification],"&gt;0")</f>
        <v>0</v>
      </c>
      <c r="EZ115" s="6">
        <f>COUNTIFS(Table11[Country],Tabela1[[#This Row],[Country]],Table11[Épée Classification],"&gt;0")</f>
        <v>0</v>
      </c>
      <c r="FA115" s="6">
        <f>COUNTIFS(Table46[Country],Tabela1[[#This Row],[Country]],Table46[Men''s Épée Classification],"&gt;0")</f>
        <v>0</v>
      </c>
      <c r="FB115" s="6">
        <f>COUNTIFS(Table46[Country],Tabela1[[#This Row],[Country]],Table46[Women''s Épée Classification],"&gt;0")</f>
        <v>0</v>
      </c>
      <c r="FC115" s="6">
        <f>COUNTIFS(Table10[Country],Tabela1[[#This Row],[Country]],Table10[Foil Classification],"&gt;0")</f>
        <v>0</v>
      </c>
      <c r="FD115" s="6">
        <f>COUNTIFS(Table11[Country],Tabela1[[#This Row],[Country]],Table11[Foil Classification],"&gt;0")</f>
        <v>0</v>
      </c>
      <c r="FE115" s="6">
        <f>COUNTIFS(Table46[Country],Tabela1[[#This Row],[Country]],Table46[Men''s Foil Classification],"&gt;0")</f>
        <v>0</v>
      </c>
      <c r="FF115" s="6">
        <f>COUNTIFS(Table46[Country],Tabela1[[#This Row],[Country]],Table46[Women''s Foil Classification],"&gt;0")</f>
        <v>0</v>
      </c>
      <c r="FG115" s="6">
        <f>COUNTIFS(Table10[Country],Tabela1[[#This Row],[Country]],Table10[Sabre Classification],"&gt;0")</f>
        <v>0</v>
      </c>
      <c r="FH115" s="6">
        <f>COUNTIFS(Table11[Country],Tabela1[[#This Row],[Country]],Table11[Sabre Classification],"&gt;0")</f>
        <v>0</v>
      </c>
      <c r="FI115" s="6">
        <f>COUNTIFS(Table46[Country],Tabela1[[#This Row],[Country]],Table46[Men''s Sabre Classification],"&gt;0")</f>
        <v>0</v>
      </c>
      <c r="FJ115" s="6">
        <f>COUNTIFS(Table46[Country],Tabela1[[#This Row],[Country]],Table46[Women''s Sabre Classification],"&gt;0")</f>
        <v>0</v>
      </c>
      <c r="FK115" s="6">
        <f>COUNTIFS(Table91[Country],Tabela1[[#This Row],[Country]],Table91[Men''s Classification],"&gt;0")</f>
        <v>0</v>
      </c>
      <c r="FL115" s="6">
        <f>COUNTIFS(Table91[Country],Tabela1[[#This Row],[Country]],Table91[Women''s Classification],"&gt;0")</f>
        <v>0</v>
      </c>
      <c r="FM115" s="6">
        <f>COUNTIFS(Table9194[Country],Tabela1[[#This Row],[Country]],Table9194[Men''s Classification],"&gt;0")</f>
        <v>0</v>
      </c>
      <c r="FN115" s="6">
        <f>COUNTIFS(Table9194[Country],Tabela1[[#This Row],[Country]],Table9194[Women''s Classification],"&gt;0")</f>
        <v>0</v>
      </c>
      <c r="FO115" s="6">
        <f>COUNTIFS(Table71[Country],Tabela1[[#This Row],[Country]],Table71[Classification],"&gt;0")</f>
        <v>0</v>
      </c>
      <c r="FP115" s="6">
        <f>COUNTIFS(Table62[Country],Tabela1[[#This Row],[Country]],Table62[Classification],"&gt;0")</f>
        <v>0</v>
      </c>
      <c r="FQ115" s="6">
        <f>COUNTIFS(Table47[Country],Tabela1[[#This Row],[Country]],Table47[All-Around Classification],"&gt;0")</f>
        <v>0</v>
      </c>
      <c r="FR115" s="6">
        <f>COUNTIFS(Table48[Country],Tabela1[[#This Row],[Country]],Table48[All-Around Classification],"&gt;0")</f>
        <v>0</v>
      </c>
      <c r="FS115" s="6">
        <f>COUNTIFS(Table81[Country],Tabela1[[#This Row],[Country]],Table81[Men''s All-Around Classification],"&gt;0")</f>
        <v>0</v>
      </c>
      <c r="FT115" s="6">
        <f>COUNTIFS(Table81[Country],Tabela1[[#This Row],[Country]],Table81[Women''s All-Around Classification],"&gt;0")</f>
        <v>0</v>
      </c>
      <c r="FU115" s="6">
        <f>COUNTIFS(Table48[Country],Tabela1[[#This Row],[Country]],Table48[Balance Beam Classification],"&gt;0")</f>
        <v>0</v>
      </c>
      <c r="FV115" s="6">
        <f>COUNTIFS(Table47[Country],Tabela1[[#This Row],[Country]],Table47[Floor Exercise Classification],"&gt;0")</f>
        <v>0</v>
      </c>
      <c r="FW115" s="6">
        <f>COUNTIFS(Table48[Country],Tabela1[[#This Row],[Country]],Table48[Floor Exercise Classification],"&gt;0")</f>
        <v>0</v>
      </c>
      <c r="FX115" s="6">
        <f>COUNTIFS(Table47[Country],Tabela1[[#This Row],[Country]],Table47[Horizontal Bar Classification],"&gt;0")</f>
        <v>0</v>
      </c>
      <c r="FY115" s="6">
        <f>COUNTIFS(Table47[Country],Tabela1[[#This Row],[Country]],Table47[Parallel Bars Classification],"&gt;0")</f>
        <v>0</v>
      </c>
      <c r="FZ115" s="6">
        <f>COUNTIFS(Table47[Country],Tabela1[[#This Row],[Country]],Table47[Pommel Horse Classification],"&gt;0")</f>
        <v>0</v>
      </c>
      <c r="GA115" s="6">
        <f>COUNTIFS(Table47[Country],Tabela1[[#This Row],[Country]],Table47[Rings Classification],"&gt;0")</f>
        <v>0</v>
      </c>
      <c r="GB115" s="6">
        <f>COUNTIFS(Tabela132[Country],Tabela1[[#This Row],[Country]],Tabela132[Classification],"&gt;0")</f>
        <v>0</v>
      </c>
      <c r="GC115" s="6">
        <f>COUNTIFS(Tabela139[Country],Tabela1[[#This Row],[Country]],Tabela139[Classification],"&gt;0")</f>
        <v>0</v>
      </c>
      <c r="GD115" s="6">
        <f>COUNTIFS(Table48[Country],Tabela1[[#This Row],[Country]],Table48[Uneven Bars Classification],"&gt;0")</f>
        <v>0</v>
      </c>
      <c r="GE115" s="6">
        <f>COUNTIFS(Table47[Country],Tabela1[[#This Row],[Country]],Table47[Vault Classification],"&gt;0")</f>
        <v>0</v>
      </c>
      <c r="GF115" s="6">
        <f>COUNTIFS(Table48[Country],Tabela1[[#This Row],[Country]],Table48[Vault Classification],"&gt;0")</f>
        <v>0</v>
      </c>
      <c r="GG115" s="6">
        <f>COUNTIFS(Table919496[Country],Tabela1[[#This Row],[Country]],Table919496[Men''s Classification],"&gt;0")</f>
        <v>0</v>
      </c>
      <c r="GH115" s="6">
        <f>COUNTIFS(Table919496[Country],Tabela1[[#This Row],[Country]],Table919496[Women''s Classification],"&gt;0")</f>
        <v>0</v>
      </c>
      <c r="GI115" s="6">
        <f>COUNTIFS(Table12[Country],Tabela1[[#This Row],[Country]],Table12[60kg Classification],"&gt;0")</f>
        <v>0</v>
      </c>
      <c r="GJ115" s="6">
        <f>COUNTIFS(Table12[Country],Tabela1[[#This Row],[Country]],Table12[66kg Classification],"&gt;0")</f>
        <v>0</v>
      </c>
      <c r="GK115" s="6">
        <f>COUNTIFS(Table12[Country],Tabela1[[#This Row],[Country]],Table12[73kg Classification],"&gt;0")</f>
        <v>0</v>
      </c>
      <c r="GL115" s="6">
        <f>COUNTIFS(Table12[Country],Tabela1[[#This Row],[Country]],Table12[81kg Classification],"&gt;0")</f>
        <v>0</v>
      </c>
      <c r="GM115" s="6">
        <f>COUNTIFS(Table12[Country],Tabela1[[#This Row],[Country]],Table12[90kg Classification],"&gt;0")</f>
        <v>0</v>
      </c>
      <c r="GN115" s="6">
        <f>COUNTIFS(Table12[Country],Tabela1[[#This Row],[Country]],Table12[100kg Classification],"&gt;0")</f>
        <v>0</v>
      </c>
      <c r="GO115" s="6">
        <f>COUNTIFS(Table12[Country],Tabela1[[#This Row],[Country]],Table12[Plus 100kg Classification],"&gt;0")</f>
        <v>0</v>
      </c>
      <c r="GP115" s="6">
        <f>COUNTIFS(Table13[Country],Tabela1[[#This Row],[Country]],Table13[48kg Classification],"&gt;0")</f>
        <v>0</v>
      </c>
      <c r="GQ115" s="6">
        <f>COUNTIFS(Table13[Country],Tabela1[[#This Row],[Country]],Table13[52kg Classification],"&gt;0")</f>
        <v>0</v>
      </c>
      <c r="GR115" s="6">
        <f>COUNTIFS(Table13[Country],Tabela1[[#This Row],[Country]],Table13[57kg Classification],"&gt;0")</f>
        <v>0</v>
      </c>
      <c r="GS115" s="6">
        <f>COUNTIFS(Table13[Country],Tabela1[[#This Row],[Country]],Table13[63kg Classification],"&gt;0")</f>
        <v>0</v>
      </c>
      <c r="GT115" s="6">
        <f>COUNTIFS(Table13[Country],Tabela1[[#This Row],[Country]],Table13[70kg Classification],"&gt;0")</f>
        <v>0</v>
      </c>
      <c r="GU115" s="6">
        <f>COUNTIFS(Table13[Country],Tabela1[[#This Row],[Country]],Table13[78kg Classification],"&gt;0")</f>
        <v>0</v>
      </c>
      <c r="GV115" s="6">
        <f>COUNTIFS(Table13[Country],Tabela1[[#This Row],[Country]],Table13[Plus 78kg Classification],"&gt;0")</f>
        <v>0</v>
      </c>
      <c r="GW115" s="6">
        <f>COUNTIFS(Table82[Country],Tabela1[[#This Row],[Country]],Table82[Mixed Classification],"&gt;0")</f>
        <v>0</v>
      </c>
      <c r="GX115" s="6">
        <f>COUNTIFS(Table51[Country],Tabela1[[#This Row],[Country]],Table51[Classification],"&gt;0")</f>
        <v>0</v>
      </c>
      <c r="GY115" s="6">
        <f>COUNTIFS(Table52[Country],Tabela1[[#This Row],[Country]],Table52[Classification],"&gt;0")</f>
        <v>0</v>
      </c>
      <c r="GZ115" s="6">
        <f>COUNTIFS(Table32[Country],Tabela1[[#This Row],[Country]],Table32[All-Around Classification],"&gt;0")</f>
        <v>0</v>
      </c>
      <c r="HA115" s="6">
        <f>COUNTIFS(Table49[Country],Tabela1[[#This Row],[Country]],Table49[All-Around Classification],"&gt;0")</f>
        <v>0</v>
      </c>
      <c r="HB115" s="6">
        <f>COUNTIFS(Table26[Country],Tabela1[[#This Row],[Country]],Table26[Single Sculls Classification],"&gt;0")</f>
        <v>0</v>
      </c>
      <c r="HC115" s="6">
        <f>COUNTIFS(Table63[Country],Tabela1[[#This Row],[Country]],Table63[Single Sculls Classification],"&gt;0")</f>
        <v>0</v>
      </c>
      <c r="HD115" s="6">
        <f>COUNTIFS(Table16[Country],Tabela1[[#This Row],[Country]],Table16[Men''s Double Sculls Classification],"&gt;0")</f>
        <v>0</v>
      </c>
      <c r="HE115" s="6">
        <f>COUNTIFS(Table16[Country],Tabela1[[#This Row],[Country]],Table16[Women''s Double Sculls Classification],"&gt;0")</f>
        <v>0</v>
      </c>
      <c r="HF115" s="6">
        <f>COUNTIFS(Table72[Country],Tabela1[[#This Row],[Country]],Table72[Men''s Quadruple Sculls Classification],"&gt;0")</f>
        <v>0</v>
      </c>
      <c r="HG115" s="6">
        <f>COUNTIFS(Table72[Country],Tabela1[[#This Row],[Country]],Table72[Women''s Quadruple Sculls Classification],"&gt;0")</f>
        <v>0</v>
      </c>
      <c r="HH115" s="6">
        <f>COUNTIFS(Table16[Country],Tabela1[[#This Row],[Country]],Table16[Men''s Coxless Pairs Classification],"&gt;0")</f>
        <v>0</v>
      </c>
      <c r="HI115" s="6">
        <f>COUNTIFS(Table16[Country],Tabela1[[#This Row],[Country]],Table16[Women''s Coxless Pairs Classification],"&gt;0")</f>
        <v>0</v>
      </c>
      <c r="HJ115" s="6">
        <f>COUNTIFS(Table72[Country],Tabela1[[#This Row],[Country]],Table72[Men''s Coxless Fours Classification],"&gt;0")</f>
        <v>0</v>
      </c>
      <c r="HK115" s="6">
        <f>COUNTIFS(Table72[Country],Tabela1[[#This Row],[Country]],Table72[Women''s Coxless Fours Classification],"&gt;0")</f>
        <v>0</v>
      </c>
      <c r="HL115" s="6">
        <f>COUNTIFS(Table72[Country],Tabela1[[#This Row],[Country]],Table72[Men''s Eights Classification],"&gt;0")</f>
        <v>0</v>
      </c>
      <c r="HM115" s="6">
        <f>COUNTIFS(Table72[Country],Tabela1[[#This Row],[Country]],Table72[Women''s Eights Classification],"&gt;0")</f>
        <v>0</v>
      </c>
      <c r="HN115" s="6">
        <f>COUNTIFS(Table16[Country],Tabela1[[#This Row],[Country]],Table16[Men''s Lwt. Double Sculls Classification],"&gt;0")</f>
        <v>0</v>
      </c>
      <c r="HO115" s="6">
        <f>COUNTIFS(Table16[Country],Tabela1[[#This Row],[Country]],Table16[Women''s Lwt. Double Sculls Classification],"&gt;0")</f>
        <v>0</v>
      </c>
      <c r="HP115" s="6">
        <f>COUNTIFS(Table91949698[Country],Tabela1[[#This Row],[Country]],Table91949698[Men''s Classification],"&gt;0")</f>
        <v>0</v>
      </c>
      <c r="HQ115" s="6">
        <f>COUNTIFS(Table91949698[Country],Tabela1[[#This Row],[Country]],Table91949698[Women''s Classification],"&gt;0")</f>
        <v>0</v>
      </c>
      <c r="HR115" s="6">
        <f>COUNTIFS(Table25[Country],Tabela1[[#This Row],[Country]],Table25[Mixed 470 Classification],"&gt;0")</f>
        <v>0</v>
      </c>
      <c r="HS115" s="6">
        <f>COUNTIFS(Table25[Country],Tabela1[[#This Row],[Country]],Table25[Men''s 49er Classification],"&gt;0")</f>
        <v>0</v>
      </c>
      <c r="HT115" s="6">
        <f>COUNTIFS(Table25[Country],Tabela1[[#This Row],[Country]],Table25[Women''s 49er FX Classification],"&gt;0")</f>
        <v>0</v>
      </c>
      <c r="HU115" s="6">
        <f>COUNTIFS(Table17[Country],Tabela1[[#This Row],[Country]],Table17[Formula Kite Classification],"&gt;0")</f>
        <v>0</v>
      </c>
      <c r="HV115" s="6">
        <f>COUNTIFS(Table18[Country],Tabela1[[#This Row],[Country]],Table18[Formula Kite Classification],"&gt;0")</f>
        <v>0</v>
      </c>
      <c r="HW115" s="6">
        <f>COUNTIFS(Table17[Country],Tabela1[[#This Row],[Country]],Table17[ILCA 7 Classification],"&gt;0")</f>
        <v>0</v>
      </c>
      <c r="HX115" s="6">
        <f>COUNTIFS(Table18[Country],Tabela1[[#This Row],[Country]],Table18[ILCA 6 Classification],"&gt;0")</f>
        <v>0</v>
      </c>
      <c r="HY115" s="6">
        <f>COUNTIFS(Table17[Country],Tabela1[[#This Row],[Country]],Table17[IQFoil Classification],"&gt;0")</f>
        <v>0</v>
      </c>
      <c r="HZ115" s="6">
        <f>COUNTIFS(Table18[Country],Tabela1[[#This Row],[Country]],Table18[IQFoil Classification],"&gt;0")</f>
        <v>0</v>
      </c>
      <c r="IA115" s="6">
        <f>COUNTIFS(Table25[Country],Tabela1[[#This Row],[Country]],Table25[Mixed Nacra 17 Classification],"&gt;0")</f>
        <v>0</v>
      </c>
      <c r="IB115" s="6">
        <f>COUNTIFS(Table53[Country],Tabela1[[#This Row],[Country]],Table53[10m Air Pistol Classification],"&gt;0")</f>
        <v>0</v>
      </c>
      <c r="IC115" s="6">
        <f>COUNTIFS(Table19[Country],Tabela1[[#This Row],[Country]],Table19[10m Air Pistol Classification],"&gt;0")</f>
        <v>0</v>
      </c>
      <c r="ID115" s="6">
        <f>COUNTIFS(Table54[Country],Tabela1[[#This Row],[Country]],Table54[Mixed 10m Air Pistol Team Classification],"&gt;0")</f>
        <v>0</v>
      </c>
      <c r="IE115" s="6">
        <f>COUNTIFS(Table53[Country],Tabela1[[#This Row],[Country]],Table53[10m Air Rifle Classification],"&gt;0")</f>
        <v>0</v>
      </c>
      <c r="IF115" s="6">
        <f>COUNTIFS(Table19[Country],Tabela1[[#This Row],[Country]],Table19[10m Air Rifle Classification],"&gt;0")</f>
        <v>0</v>
      </c>
      <c r="IG115" s="6">
        <f>COUNTIFS(Table54[Country],Tabela1[[#This Row],[Country]],Table54[Mixed 10m Air Rifle Team Classification],"&gt;0")</f>
        <v>0</v>
      </c>
      <c r="IH115" s="6">
        <f>COUNTIFS(Table53[Country],Tabela1[[#This Row],[Country]],Table53[25m Rapid Fire Pistol Classification],"&gt;0")</f>
        <v>0</v>
      </c>
      <c r="II115" s="6">
        <f>COUNTIFS(Table19[Country],Tabela1[[#This Row],[Country]],Table19[25m Pistol Classification],"&gt;0")</f>
        <v>0</v>
      </c>
      <c r="IJ115" s="6">
        <f>COUNTIFS(Table53[Country],Tabela1[[#This Row],[Country]],Table53[50m Rifle 3 Positions Classification],"&gt;0")</f>
        <v>0</v>
      </c>
      <c r="IK115" s="6">
        <f>COUNTIFS(Table19[Country],Tabela1[[#This Row],[Country]],Table19[50m Rifle 3 Positions Classification],"&gt;0")</f>
        <v>0</v>
      </c>
      <c r="IL115" s="6">
        <f>COUNTIFS(Table53[Country],Tabela1[[#This Row],[Country]],Table53[Skeet Classification],"&gt;0")</f>
        <v>0</v>
      </c>
      <c r="IM115" s="6">
        <f>COUNTIFS(Table19[Country],Tabela1[[#This Row],[Country]],Table19[Skeet Classification],"&gt;0")</f>
        <v>0</v>
      </c>
      <c r="IN115" s="6">
        <f>COUNTIFS(Table54[Country],Tabela1[[#This Row],[Country]],Table54[Mixed Skeet Team Classification],"&gt;0")</f>
        <v>0</v>
      </c>
      <c r="IO115" s="6">
        <f>COUNTIFS(Table53[Country],Tabela1[[#This Row],[Country]],Table53[Trap Classification],"&gt;0")</f>
        <v>0</v>
      </c>
      <c r="IP115" s="6">
        <f>COUNTIFS(Table19[Country],Tabela1[[#This Row],[Country]],Table19[Trap Classification],"&gt;0")</f>
        <v>0</v>
      </c>
      <c r="IQ115" s="6">
        <f>COUNTIFS(Table73[Country],Tabela1[[#This Row],[Country]],Table73[Park Classification],"&gt;0")</f>
        <v>0</v>
      </c>
      <c r="IR115" s="6">
        <f>COUNTIFS(Table74[Country],Tabela1[[#This Row],[Country]],Table74[Park Classification],"&gt;0")</f>
        <v>0</v>
      </c>
      <c r="IS115" s="6">
        <f>COUNTIFS(Table73[Country],Tabela1[[#This Row],[Country]],Table73[Street Classification],"&gt;0")</f>
        <v>0</v>
      </c>
      <c r="IT115" s="6">
        <f>COUNTIFS(Table74[Country],Tabela1[[#This Row],[Country]],Table74[Street Classification],"&gt;0")</f>
        <v>0</v>
      </c>
      <c r="IU115" s="6">
        <f>COUNTIFS(Table75[Country],Tabela1[[#This Row],[Country]],Table75[Boulder and Lead Classification],"&gt;0")</f>
        <v>0</v>
      </c>
      <c r="IV115" s="6">
        <f>COUNTIFS(Table76[Country],Tabela1[[#This Row],[Country]],Table76[Boulder and Lead Classification],"&gt;0")</f>
        <v>0</v>
      </c>
      <c r="IW115" s="6">
        <f>COUNTIFS(Table75[Country],Tabela1[[#This Row],[Country]],Table75[Speed Classification],"&gt;0")</f>
        <v>0</v>
      </c>
      <c r="IX115" s="6">
        <f>COUNTIFS(Table76[Country],Tabela1[[#This Row],[Country]],Table76[Speed Classification],"&gt;0")</f>
        <v>0</v>
      </c>
      <c r="IY115" s="6">
        <f>COUNTIFS(Table64[Country],Tabela1[[#This Row],[Country]],Table64[Shortboard Classification],"&gt;0")</f>
        <v>0</v>
      </c>
      <c r="IZ115" s="6">
        <f>COUNTIFS(Table77[Country],Tabela1[[#This Row],[Country]],Table77[Shortboard Classification],"&gt;0")</f>
        <v>0</v>
      </c>
      <c r="JA115" s="6">
        <f>COUNTIFS(Table20[Country],Tabela1[[#This Row],[Country]],Table20[50m Freestyle Classification],"&gt;0")</f>
        <v>0</v>
      </c>
      <c r="JB115" s="6">
        <f>COUNTIFS(Table21[Country],Tabela1[[#This Row],[Country]],Table21[50m Freestyle Classification],"&gt;0")</f>
        <v>0</v>
      </c>
      <c r="JC115" s="6">
        <f>COUNTIFS(Table20[Country],Tabela1[[#This Row],[Country]],Table20[100m Freestyle Classification],"&gt;0")</f>
        <v>0</v>
      </c>
      <c r="JD115" s="6">
        <f>COUNTIFS(Table21[Country],Tabela1[[#This Row],[Country]],Table21[100m Freestyle Classification],"&gt;0")</f>
        <v>0</v>
      </c>
      <c r="JE115" s="6">
        <f>COUNTIFS(Table20[Country],Tabela1[[#This Row],[Country]],Table20[200m Freestyle Classification],"&gt;0")</f>
        <v>0</v>
      </c>
      <c r="JF115" s="6">
        <f>COUNTIFS(Table21[Country],Tabela1[[#This Row],[Country]],Table21[200m Freestyle Classification],"&gt;0")</f>
        <v>0</v>
      </c>
      <c r="JG115" s="6">
        <f>COUNTIFS(Table20[Country],Tabela1[[#This Row],[Country]],Table20[400m Freestyle Classification],"&gt;0")</f>
        <v>0</v>
      </c>
      <c r="JH115" s="6">
        <f>COUNTIFS(Table21[Country],Tabela1[[#This Row],[Country]],Table21[400m Freestyle Classification],"&gt;0")</f>
        <v>0</v>
      </c>
      <c r="JI115" s="6">
        <f>COUNTIFS(Table20[Country],Tabela1[[#This Row],[Country]],Table20[800m Freestyle Classification],"&gt;0")</f>
        <v>0</v>
      </c>
      <c r="JJ115" s="6">
        <f>COUNTIFS(Table21[Country],Tabela1[[#This Row],[Country]],Table21[800m Freestyle Classification],"&gt;0")</f>
        <v>0</v>
      </c>
      <c r="JK115" s="6">
        <f>COUNTIFS(Table20[Country],Tabela1[[#This Row],[Country]],Table20[1500m Freestyle Classification],"&gt;0")</f>
        <v>0</v>
      </c>
      <c r="JL115" s="6">
        <f>COUNTIFS(Table21[Country],Tabela1[[#This Row],[Country]],Table21[1500m Freestyle Classification],"&gt;0")</f>
        <v>0</v>
      </c>
      <c r="JM115" s="6">
        <f>COUNTIFS(Table20[Country],Tabela1[[#This Row],[Country]],Table20[100m Backstroke Classification],"&gt;0")</f>
        <v>0</v>
      </c>
      <c r="JN115" s="6">
        <f>COUNTIFS(Table21[Country],Tabela1[[#This Row],[Country]],Table21[100m Backstroke Classification],"&gt;0")</f>
        <v>0</v>
      </c>
      <c r="JO115" s="6">
        <f>COUNTIFS(Table20[Country],Tabela1[[#This Row],[Country]],Table20[200m Backstroke Classification],"&gt;0")</f>
        <v>0</v>
      </c>
      <c r="JP115" s="6">
        <f>COUNTIFS(Table21[Country],Tabela1[[#This Row],[Country]],Table21[200m Backstroke Classification],"&gt;0")</f>
        <v>0</v>
      </c>
      <c r="JQ115" s="6">
        <f>COUNTIFS(Table20[Country],Tabela1[[#This Row],[Country]],Table20[100m Breaststroke Classification],"&gt;0")</f>
        <v>0</v>
      </c>
      <c r="JR115" s="6">
        <f>COUNTIFS(Table21[Country],Tabela1[[#This Row],[Country]],Table21[100m Breaststroke Classification],"&gt;0")</f>
        <v>0</v>
      </c>
      <c r="JS115" s="6">
        <f>COUNTIFS(Table20[Country],Tabela1[[#This Row],[Country]],Table20[200m Breaststroke Classification],"&gt;0")</f>
        <v>0</v>
      </c>
      <c r="JT115" s="6">
        <f>COUNTIFS(Table21[Country],Tabela1[[#This Row],[Country]],Table21[200m Breaststroke Classification],"&gt;0")</f>
        <v>0</v>
      </c>
      <c r="JU115" s="6">
        <f>COUNTIFS(Table20[Country],Tabela1[[#This Row],[Country]],Table20[100m Butterfly Classification],"&gt;0")</f>
        <v>0</v>
      </c>
      <c r="JV115" s="6">
        <f>COUNTIFS(Table21[Country],Tabela1[[#This Row],[Country]],Table21[100m Butterfly Classification],"&gt;0")</f>
        <v>0</v>
      </c>
      <c r="JW115" s="6">
        <f>COUNTIFS(Table20[Country],Tabela1[[#This Row],[Country]],Table20[200m Butterfly Classification],"&gt;0")</f>
        <v>0</v>
      </c>
      <c r="JX115" s="6">
        <f>COUNTIFS(Table21[Country],Tabela1[[#This Row],[Country]],Table21[200m Butterfly Classification],"&gt;0")</f>
        <v>0</v>
      </c>
      <c r="JY115" s="6">
        <f>COUNTIFS(Table20[Country],Tabela1[[#This Row],[Country]],Table20[200m Medley Classification],"&gt;0")</f>
        <v>0</v>
      </c>
      <c r="JZ115" s="6">
        <f>COUNTIFS(Table21[Country],Tabela1[[#This Row],[Country]],Table21[200m Medley Classification],"&gt;0")</f>
        <v>0</v>
      </c>
      <c r="KA115" s="6">
        <f>COUNTIFS(Table20[Country],Tabela1[[#This Row],[Country]],Table20[400m Medley Classification],"&gt;0")</f>
        <v>0</v>
      </c>
      <c r="KB115" s="6">
        <f>COUNTIFS(Table21[Country],Tabela1[[#This Row],[Country]],Table21[400m Medley Classification],"&gt;0")</f>
        <v>0</v>
      </c>
      <c r="KC115" s="6">
        <f>COUNTIFS(Table78[Country],Tabela1[[#This Row],[Country]],Table78[Men''s 4x100m Freestyle Relay Classification],"&gt;0")</f>
        <v>0</v>
      </c>
      <c r="KD115" s="6">
        <f>COUNTIFS(Table78[Country],Tabela1[[#This Row],[Country]],Table78[Women''s 4x100m Freestyle Relay Classification],"&gt;0")</f>
        <v>0</v>
      </c>
      <c r="KE115" s="6">
        <f>COUNTIFS(Table78[Country],Tabela1[[#This Row],[Country]],Table78[Men''s 4x200m Freestyle Relay Classification],"&gt;0")</f>
        <v>0</v>
      </c>
      <c r="KF115" s="6">
        <f>COUNTIFS(Table78[Country],Tabela1[[#This Row],[Country]],Table78[Women''s 4x200m Freestyle Relay Classification],"&gt;0")</f>
        <v>0</v>
      </c>
      <c r="KG115" s="6">
        <f>COUNTIFS(Table78[Country],Tabela1[[#This Row],[Country]],Table78[Men''s 4x100m Medley Relay Classification],"&gt;0")</f>
        <v>0</v>
      </c>
      <c r="KH115" s="6">
        <f>COUNTIFS(Table78[Country],Tabela1[[#This Row],[Country]],Table78[Women''s 4x100m Medley Relay Classification],"&gt;0")</f>
        <v>0</v>
      </c>
      <c r="KI115" s="6">
        <f>COUNTIFS(Table78[Country],Tabela1[[#This Row],[Country]],Table78[Mixed 4x100m Medley Relay Classification],"&gt;0")</f>
        <v>0</v>
      </c>
      <c r="KJ115" s="6">
        <f>COUNTIFS(Table20[Country],Tabela1[[#This Row],[Country]],Table20[10km Open Water Classification],"&gt;0")</f>
        <v>0</v>
      </c>
      <c r="KK115" s="6">
        <f>COUNTIFS(Table21[Country],Tabela1[[#This Row],[Country]],Table21[10km Open Water Classification],"&gt;0")</f>
        <v>0</v>
      </c>
      <c r="KL115" s="6">
        <f>COUNTIFS(Table22[Country],Tabela1[[#This Row],[Country]],Table22[Classification],"&gt;0")</f>
        <v>0</v>
      </c>
      <c r="KM115" s="6">
        <f>COUNTIFS(Table30[Country],Tabela1[[#This Row],[Country]],Table30[Classification],"&gt;0")</f>
        <v>0</v>
      </c>
      <c r="KN115" s="6">
        <f>COUNTIFS(Table55[Country],Tabela1[[#This Row],[Country]],Table55[Men''s Classification],"&gt;0")</f>
        <v>0</v>
      </c>
      <c r="KO115" s="6">
        <f>COUNTIFS(Table55[Country],Tabela1[[#This Row],[Country]],Table55[Women''s Classification],"&gt;0")</f>
        <v>0</v>
      </c>
      <c r="KP115" s="6">
        <f>COUNTIFS(Table56[Country],Tabela1[[#This Row],[Country]],Table56[Mixed Classification],"&gt;0")</f>
        <v>0</v>
      </c>
      <c r="KQ115" s="6">
        <f>COUNTIFS(Table29[Country],Tabela1[[#This Row],[Country]],Table29[58kg Classification],"&gt;0")</f>
        <v>0</v>
      </c>
      <c r="KR115" s="6">
        <f>COUNTIFS(Table29[Country],Tabela1[[#This Row],[Country]],Table29[68kg Classification],"&gt;0")</f>
        <v>0</v>
      </c>
      <c r="KS115" s="6">
        <f>COUNTIFS(Table29[Country],Tabela1[[#This Row],[Country]],Table29[80kg Classification],"&gt;0")</f>
        <v>0</v>
      </c>
      <c r="KT115" s="6">
        <f>COUNTIFS(Table29[Country],Tabela1[[#This Row],[Country]],Table29[Plus 80kg Classification],"&gt;0")</f>
        <v>0</v>
      </c>
      <c r="KU115" s="6">
        <f>COUNTIFS(Table34[Country],Tabela1[[#This Row],[Country]],Table34[49kg Classification],"&gt;0")</f>
        <v>0</v>
      </c>
      <c r="KV115" s="6">
        <f>COUNTIFS(Table34[Country],Tabela1[[#This Row],[Country]],Table34[57kg Classification],"&gt;0")</f>
        <v>0</v>
      </c>
      <c r="KW115" s="6">
        <f>COUNTIFS(Table34[Country],Tabela1[[#This Row],[Country]],Table34[67kg Classification],"&gt;0")</f>
        <v>0</v>
      </c>
      <c r="KX115" s="6">
        <f>COUNTIFS(Table34[Country],Tabela1[[#This Row],[Country]],Table34[Plus 67kg Classification],"&gt;0")</f>
        <v>0</v>
      </c>
      <c r="KY115" s="6">
        <f>COUNTIFS(Table57[Country],Tabela1[[#This Row],[Country]],Table57[Classification],"&gt;0")</f>
        <v>0</v>
      </c>
      <c r="KZ115" s="6">
        <f>COUNTIFS(Table58[Country],Tabela1[[#This Row],[Country]],Table58[Classification],"&gt;0")</f>
        <v>0</v>
      </c>
      <c r="LA115" s="6">
        <f>COUNTIFS(Table79[Country],Tabela1[[#This Row],[Country]],Table79[Men''s Classification],"&gt;0")</f>
        <v>0</v>
      </c>
      <c r="LB115" s="6">
        <f>COUNTIFS(Table79[Country],Tabela1[[#This Row],[Country]],Table79[Women''s Classification],"&gt;0")</f>
        <v>0</v>
      </c>
      <c r="LC115" s="6">
        <f>COUNTIFS(Table79[Country],Tabela1[[#This Row],[Country]],Table79[Mixed Classification],"&gt;0")</f>
        <v>0</v>
      </c>
      <c r="LD115" s="6">
        <f>COUNTIFS(Table65[Country],Tabela1[[#This Row],[Country]],Table65[Classification],"&gt;0")</f>
        <v>0</v>
      </c>
      <c r="LE115" s="6">
        <f>COUNTIFS(Table59[Country],Tabela1[[#This Row],[Country]],Table59[Classification],"&gt;0")</f>
        <v>0</v>
      </c>
      <c r="LF115" s="6">
        <f>COUNTIFS(Table87[Country],Tabela1[[#This Row],[Country]],Table87[Mixed Relay Classification],"&gt;0")</f>
        <v>0</v>
      </c>
      <c r="LG115" s="6">
        <f>COUNTIFS(Table91949698100[Country],Tabela1[[#This Row],[Country]],Table91949698100[Men''s Classification],"&gt;0")</f>
        <v>0</v>
      </c>
      <c r="LH115" s="6">
        <f>COUNTIFS(Table91949698100[Country],Tabela1[[#This Row],[Country]],Table91949698100[Women''s Classification],"&gt;0")</f>
        <v>0</v>
      </c>
      <c r="LI115" s="6">
        <f>COUNTIFS(Table91949698100102[Country],Tabela1[[#This Row],[Country]],Table91949698100102[Men''s Classification],"&gt;0")</f>
        <v>0</v>
      </c>
      <c r="LJ115" s="6">
        <f>COUNTIFS(Table91949698100102[Country],Tabela1[[#This Row],[Country]],Table91949698100102[Women''s Classification],"&gt;0")</f>
        <v>0</v>
      </c>
      <c r="LK115" s="6">
        <f>COUNTIFS(Table23[Country],Tabela1[[#This Row],[Country]],Table23[61kg Classification],"&gt;0")</f>
        <v>0</v>
      </c>
      <c r="LL115" s="6">
        <f>COUNTIFS(Table23[Country],Tabela1[[#This Row],[Country]],Table23[73kg Classification],"&gt;0")</f>
        <v>0</v>
      </c>
      <c r="LM115" s="6">
        <f>COUNTIFS(Table23[Country],Tabela1[[#This Row],[Country]],Table23[89kg Classification],"&gt;0")</f>
        <v>0</v>
      </c>
      <c r="LN115" s="6">
        <f>COUNTIFS(Table23[Country],Tabela1[[#This Row],[Country]],Table23[102kg Classification],"&gt;0")</f>
        <v>0</v>
      </c>
      <c r="LO115" s="6">
        <f>COUNTIFS(Table23[Country],Tabela1[[#This Row],[Country]],Table23[Plus 102kg Classification],"&gt;0")</f>
        <v>0</v>
      </c>
      <c r="LP115" s="6">
        <f>COUNTIFS(Table28[Country],Tabela1[[#This Row],[Country]],Table28[49kg Classification],"&gt;0")</f>
        <v>0</v>
      </c>
      <c r="LQ115" s="6">
        <f>COUNTIFS(Table28[Country],Tabela1[[#This Row],[Country]],Table28[59kg Classification],"&gt;0")</f>
        <v>0</v>
      </c>
      <c r="LR115" s="6">
        <f>COUNTIFS(Table28[Country],Tabela1[[#This Row],[Country]],Table28[71kg Classification],"&gt;0")</f>
        <v>0</v>
      </c>
      <c r="LS115" s="6">
        <f>COUNTIFS(Table28[Country],Tabela1[[#This Row],[Country]],Table28[81kg Classification],"&gt;0")</f>
        <v>0</v>
      </c>
      <c r="LT115" s="6">
        <f>COUNTIFS(Table28[Country],Tabela1[[#This Row],[Country]],Table28[Plus 81kg Classification],"&gt;0")</f>
        <v>0</v>
      </c>
      <c r="LU115" s="6">
        <f>COUNTIFS(Table24[Country],Tabela1[[#This Row],[Country]],Table24[Freestyle 57kg Classification],"&gt;0")</f>
        <v>0</v>
      </c>
      <c r="LV115" s="6">
        <f>COUNTIFS(Table24[Country],Tabela1[[#This Row],[Country]],Table24[Freestyle 65kg Classification],"&gt;0")</f>
        <v>0</v>
      </c>
      <c r="LW115" s="6">
        <f>COUNTIFS(Table24[Country],Tabela1[[#This Row],[Country]],Table24[Freestyle 74kg Classification],"&gt;0")</f>
        <v>0</v>
      </c>
      <c r="LX115" s="6">
        <f>COUNTIFS(Table24[Country],Tabela1[[#This Row],[Country]],Table24[Freestyle 86kg Classification],"&gt;0")</f>
        <v>0</v>
      </c>
      <c r="LY115" s="6">
        <f>COUNTIFS(Table24[Country],Tabela1[[#This Row],[Country]],Table24[Freestyle 97kg Classification],"&gt;0")</f>
        <v>0</v>
      </c>
      <c r="LZ115" s="6">
        <f>COUNTIFS(Table24[Country],Tabela1[[#This Row],[Country]],Table24[Freestyle 125kg Classification],"&gt;0")</f>
        <v>0</v>
      </c>
      <c r="MA115" s="6">
        <f>COUNTIFS(Table24[Country],Tabela1[[#This Row],[Country]],Table24[Greco-Roman 60kg Classification],"&gt;0")</f>
        <v>0</v>
      </c>
      <c r="MB115" s="6">
        <f>COUNTIFS(Table24[Country],Tabela1[[#This Row],[Country]],Table24[Greco-Roman 67kg Classification],"&gt;0")</f>
        <v>0</v>
      </c>
      <c r="MC115" s="6">
        <f>COUNTIFS(Table24[Country],Tabela1[[#This Row],[Country]],Table24[Greco-Roman 77kg Classification],"&gt;0")</f>
        <v>0</v>
      </c>
      <c r="MD115" s="6">
        <f>COUNTIFS(Table24[Country],Tabela1[[#This Row],[Country]],Table24[Greco-Roman 87kg Classification],"&gt;0")</f>
        <v>0</v>
      </c>
      <c r="ME115" s="6">
        <f>COUNTIFS(Table24[Country],Tabela1[[#This Row],[Country]],Table24[Greco-Roman 97kg Classification],"&gt;0")</f>
        <v>0</v>
      </c>
      <c r="MF115" s="6">
        <f>COUNTIFS(Table24[Country],Tabela1[[#This Row],[Country]],Table24[Greco-Roman 130kg Classification],"&gt;0")</f>
        <v>0</v>
      </c>
      <c r="MG115" s="6">
        <f>COUNTIFS(Table31[Country],Tabela1[[#This Row],[Country]],Table31[50kg Classification],"&gt;0")</f>
        <v>0</v>
      </c>
      <c r="MH115" s="6">
        <f>COUNTIFS(Table31[Country],Tabela1[[#This Row],[Country]],Table31[53kg Classification],"&gt;0")</f>
        <v>0</v>
      </c>
      <c r="MI115" s="6">
        <f>COUNTIFS(Table31[Country],Tabela1[[#This Row],[Country]],Table31[57kg Classification],"&gt;0")</f>
        <v>0</v>
      </c>
      <c r="MJ115" s="6">
        <f>COUNTIFS(Table31[Country],Tabela1[[#This Row],[Country]],Table31[62kg Classification],"&gt;0")</f>
        <v>0</v>
      </c>
      <c r="MK115" s="6">
        <f>COUNTIFS(Table31[Country],Tabela1[[#This Row],[Country]],Table31[68kg Classification],"&gt;0")</f>
        <v>0</v>
      </c>
      <c r="ML115" s="6">
        <f>COUNTIFS(Table31[Country],Tabela1[[#This Row],[Country]],Table31[76kg Classification],"&gt;0")</f>
        <v>0</v>
      </c>
      <c r="MM115" s="6">
        <f>COUNTIFS(Table102[Country],Tabela1[[#This Row],[Country]],Table102[Downhill Classification],"&gt;0")</f>
        <v>0</v>
      </c>
      <c r="MN115" s="6">
        <f>COUNTIFS(Table102105[Country],Tabela1[[#This Row],[Country]],Table102105[Downhill Classification],"&gt;0")</f>
        <v>0</v>
      </c>
      <c r="MO115" s="6">
        <f>COUNTIFS(Table102[Country],Tabela1[[#This Row],[Country]],Table102[Giant Slalom Classification],"&gt;0")</f>
        <v>0</v>
      </c>
      <c r="MP115" s="6">
        <f>COUNTIFS(Table102105[Country],Tabela1[[#This Row],[Country]],Table102105[Giant Slalom Classification],"&gt;0")</f>
        <v>0</v>
      </c>
      <c r="MQ115" s="6">
        <f>COUNTIFS(Table102[Country],Tabela1[[#This Row],[Country]],Table102[Slalom Classification],"&gt;0")</f>
        <v>0</v>
      </c>
      <c r="MR115" s="6">
        <f>COUNTIFS(Table102105[Country],Tabela1[[#This Row],[Country]],Table102105[Slalom Classification],"&gt;0")</f>
        <v>0</v>
      </c>
      <c r="MS115" s="6">
        <f>COUNTIFS(Table102[Country],Tabela1[[#This Row],[Country]],Table102[Super-G Classification],"&gt;0")</f>
        <v>0</v>
      </c>
      <c r="MT115" s="6">
        <f>COUNTIFS(Table102105[Country],Tabela1[[#This Row],[Country]],Table102105[Super-G Classification],"&gt;0")</f>
        <v>0</v>
      </c>
      <c r="MU115" s="6">
        <f>COUNTIFS(Table105[Country],Tabela1[[#This Row],[Country]],Table105[Men''s Combined Classification],"&gt;0")</f>
        <v>0</v>
      </c>
      <c r="MV115" s="6">
        <f>COUNTIFS(Table105[Country],Tabela1[[#This Row],[Country]],Table105[Women''s Combined Classification],"&gt;0")</f>
        <v>0</v>
      </c>
      <c r="MW115" s="6">
        <f>COUNTIFS(Table106[Country],Tabela1[[#This Row],[Country]],Table106[Individual Classification],"&gt;0")</f>
        <v>1</v>
      </c>
      <c r="MX115" s="6">
        <f>COUNTIFS(Table106109[Country],Tabela1[[#This Row],[Country]],Table106109[Individual Classification],"&gt;0")</f>
        <v>0</v>
      </c>
      <c r="MY115" s="6">
        <f>COUNTIFS(Table106[Country],Tabela1[[#This Row],[Country]],Table106[Mass Start Classification],"&gt;0")</f>
        <v>0</v>
      </c>
      <c r="MZ115" s="6">
        <f>COUNTIFS(Table106109[Country],Tabela1[[#This Row],[Country]],Table106109[Mass Start Classification],"&gt;0")</f>
        <v>0</v>
      </c>
      <c r="NA115" s="6">
        <f>COUNTIFS(Table106[Country],Tabela1[[#This Row],[Country]],Table106[Pursuit Classification],"&gt;0")</f>
        <v>0</v>
      </c>
      <c r="NB115" s="6">
        <f>COUNTIFS(Table106109[Country],Tabela1[[#This Row],[Country]],Table106109[Pursuit Classification],"&gt;0")</f>
        <v>0</v>
      </c>
      <c r="NC115" s="6">
        <f>COUNTIFS(Table106[Country],Tabela1[[#This Row],[Country]],Table106[Sprint Classification],"&gt;0")</f>
        <v>1</v>
      </c>
      <c r="ND115" s="6">
        <f>COUNTIFS(Table106109[Country],Tabela1[[#This Row],[Country]],Table106109[Sprint Classification],"&gt;0")</f>
        <v>0</v>
      </c>
      <c r="NE115" s="6">
        <f>COUNTIFS(Table109[Country],Tabela1[[#This Row],[Country]],Table109[Men''s Relay Classification],"&gt;0")</f>
        <v>0</v>
      </c>
      <c r="NF115" s="6">
        <f>COUNTIFS(Table109[Country],Tabela1[[#This Row],[Country]],Table109[Women''s Relay Classification],"&gt;0")</f>
        <v>0</v>
      </c>
      <c r="NG115" s="6">
        <f>COUNTIFS(Table109[Country],Tabela1[[#This Row],[Country]],Table109[Mixed Relay Classification],"&gt;0")</f>
        <v>0</v>
      </c>
      <c r="NH115" s="6">
        <f>COUNTIFS(Table110[Country],Tabela1[[#This Row],[Country]],Table110[Monobob Classification],"&gt;0")</f>
        <v>0</v>
      </c>
      <c r="NI115" s="6">
        <f>COUNTIFS(Table111[Country],Tabela1[[#This Row],[Country]],Table111[Men''s Classification],"&gt;0")</f>
        <v>0</v>
      </c>
      <c r="NJ115" s="6">
        <f>COUNTIFS(Table111[Country],Tabela1[[#This Row],[Country]],Table111[Women''s Classification],"&gt;0")</f>
        <v>0</v>
      </c>
      <c r="NK115" s="6">
        <f>COUNTIFS(Table112[Country],Tabela1[[#This Row],[Country]],Table112[Men''s Four Classification],"&gt;0")</f>
        <v>0</v>
      </c>
      <c r="NL115" s="6">
        <f>COUNTIFS(Table113[Country],Tabela1[[#This Row],[Country]],Table113[Classical Classification],"&gt;0")</f>
        <v>0</v>
      </c>
      <c r="NM115" s="6">
        <f>COUNTIFS(Table113116[Country],Tabela1[[#This Row],[Country]],Table113116[Classical Classification],"&gt;0")</f>
        <v>0</v>
      </c>
      <c r="NN115" s="6">
        <f>COUNTIFS(Table113[Country],Tabela1[[#This Row],[Country]],Table113[Freestyle Classification],"&gt;0")</f>
        <v>0</v>
      </c>
      <c r="NO115" s="6">
        <f>COUNTIFS(Table113116[Country],Tabela1[[#This Row],[Country]],Table113116[Freestyle Classification],"&gt;0")</f>
        <v>0</v>
      </c>
      <c r="NP115" s="6">
        <f>COUNTIFS(Table117[Country],Tabela1[[#This Row],[Country]],Table117[Men''s Relay Classification],"&gt;0")</f>
        <v>0</v>
      </c>
      <c r="NQ115" s="6">
        <f>COUNTIFS(Table117[Country],Tabela1[[#This Row],[Country]],Table117[Women''s Relay Classification],"&gt;0")</f>
        <v>0</v>
      </c>
      <c r="NR115" s="6">
        <f>COUNTIFS(Table113[Country],Tabela1[[#This Row],[Country]],Table113[Skiathlon Classification],"&gt;0")</f>
        <v>0</v>
      </c>
      <c r="NS115" s="6">
        <f>COUNTIFS(Table113116[Country],Tabela1[[#This Row],[Country]],Table113116[Skiathlon Classification],"&gt;0")</f>
        <v>0</v>
      </c>
      <c r="NT115" s="6">
        <f>COUNTIFS(Table113[Country],Tabela1[[#This Row],[Country]],Table113[Sprint Classification],"&gt;0")</f>
        <v>0</v>
      </c>
      <c r="NU115" s="6">
        <f>COUNTIFS(Table113116[Country],Tabela1[[#This Row],[Country]],Table113116[Sprint Classification],"&gt;0")</f>
        <v>0</v>
      </c>
      <c r="NV115" s="6">
        <f>COUNTIFS(Table116[Country],Tabela1[[#This Row],[Country]],Table116[Men''s Team Sprint Classification],"&gt;0")</f>
        <v>0</v>
      </c>
      <c r="NW115" s="6">
        <f>COUNTIFS(Table116[Country],Tabela1[[#This Row],[Country]],Table116[Women''s Team Sprint Classification],"&gt;0")</f>
        <v>0</v>
      </c>
      <c r="NX115" s="6">
        <f>COUNTIFS(Table119[Country],Tabela1[[#This Row],[Country]],Table119[Men''s Classification],"&gt;0")</f>
        <v>0</v>
      </c>
      <c r="NY115" s="6">
        <f>COUNTIFS(Table119[Country],Tabela1[[#This Row],[Country]],Table119[Women''s Classification],"&gt;0")</f>
        <v>0</v>
      </c>
      <c r="NZ115" s="6">
        <f>COUNTIFS(Table118[Country],Tabela1[[#This Row],[Country]],Table118[Mixed Classification],"&gt;0")</f>
        <v>0</v>
      </c>
      <c r="OA115" s="6">
        <f>COUNTIFS(Table120[Country],Tabela1[[#This Row],[Country]],Table120[Classification],"&gt;0")</f>
        <v>0</v>
      </c>
      <c r="OB115" s="6">
        <f>COUNTIFS(Table120123[Country],Tabela1[[#This Row],[Country]],Table120123[Classification],"&gt;0")</f>
        <v>0</v>
      </c>
      <c r="OC115" s="6">
        <f>COUNTIFS(Table123[Country],Tabela1[[#This Row],[Country]],Table123[Ice Dance Classification],"&gt;0")</f>
        <v>0</v>
      </c>
      <c r="OD115" s="6">
        <f>COUNTIFS(Table123[Country],Tabela1[[#This Row],[Country]],Table123[Pair Skating Classification],"&gt;0")</f>
        <v>0</v>
      </c>
      <c r="OE115" s="6">
        <f>COUNTIFS(Table124[Country],Tabela1[[#This Row],[Country]],Table124[Mixed Classification],"&gt;0")</f>
        <v>0</v>
      </c>
      <c r="OF115" s="6">
        <f>COUNTIFS(Table125[Country],Tabela1[[#This Row],[Country]],Table125[Aerials Classification],"&gt;0")</f>
        <v>0</v>
      </c>
      <c r="OG115" s="6">
        <f>COUNTIFS(Table125128[Country],Tabela1[[#This Row],[Country]],Table125128[Aerials Classification],"&gt;0")</f>
        <v>0</v>
      </c>
      <c r="OH115" s="6">
        <f>COUNTIFS(Table128[Country],Tabela1[[#This Row],[Country]],Table128[Mixed Aerials Classification],"&gt;0")</f>
        <v>0</v>
      </c>
      <c r="OI115" s="6">
        <f>COUNTIFS(Table125[Country],Tabela1[[#This Row],[Country]],Table125[Big Air Classification],"&gt;0")</f>
        <v>0</v>
      </c>
      <c r="OJ115" s="6">
        <f>COUNTIFS(Table125128[Country],Tabela1[[#This Row],[Country]],Table125128[Big Air Classification],"&gt;0")</f>
        <v>0</v>
      </c>
      <c r="OK115" s="6">
        <f>COUNTIFS(Table125[Country],Tabela1[[#This Row],[Country]],Table125[Dual Moguls Classification],"&gt;0")</f>
        <v>0</v>
      </c>
      <c r="OL115" s="6">
        <f>COUNTIFS(Table125128[Country],Tabela1[[#This Row],[Country]],Table125128[Dual Moguls Classification],"&gt;0")</f>
        <v>0</v>
      </c>
      <c r="OM115" s="6">
        <f>COUNTIFS(Table125[Country],Tabela1[[#This Row],[Country]],Table125[Halfpipe Classification],"&gt;0")</f>
        <v>0</v>
      </c>
      <c r="ON115" s="6">
        <f>COUNTIFS(Table125128[Country],Tabela1[[#This Row],[Country]],Table125128[Halfpipe Classification],"&gt;0")</f>
        <v>0</v>
      </c>
      <c r="OO115" s="6">
        <f>COUNTIFS(Table125[Country],Tabela1[[#This Row],[Country]],Table125[Moguls Classification],"&gt;0")</f>
        <v>0</v>
      </c>
      <c r="OP115" s="6">
        <f>COUNTIFS(Table125128[Country],Tabela1[[#This Row],[Country]],Table125128[Moguls Classification],"&gt;0")</f>
        <v>0</v>
      </c>
      <c r="OQ115" s="6">
        <f>COUNTIFS(Table125[Country],Tabela1[[#This Row],[Country]],Table125[Ski Cross Classification],"&gt;0")</f>
        <v>0</v>
      </c>
      <c r="OR115" s="6">
        <f>COUNTIFS(Table125128[Country],Tabela1[[#This Row],[Country]],Table125128[Ski Cross Classification],"&gt;0")</f>
        <v>0</v>
      </c>
      <c r="OS115" s="6">
        <f>COUNTIFS(Table125[Country],Tabela1[[#This Row],[Country]],Table125[Slopestyle Classification],"&gt;0")</f>
        <v>0</v>
      </c>
      <c r="OT115" s="6">
        <f>COUNTIFS(Table125128[Country],Tabela1[[#This Row],[Country]],Table125128[Slopestyle Classification],"&gt;0")</f>
        <v>0</v>
      </c>
      <c r="OU115" s="6">
        <f>COUNTIFS(Table119131[Country],Tabela1[[#This Row],[Country]],Table119131[Men''s Classification],"&gt;0")</f>
        <v>0</v>
      </c>
      <c r="OV115" s="6">
        <f>COUNTIFS(Table119131[Country],Tabela1[[#This Row],[Country]],Table119131[Women''s Classification],"&gt;0")</f>
        <v>0</v>
      </c>
      <c r="OW115" s="6">
        <f>COUNTIFS(Table131[Country],Tabela1[[#This Row],[Country]],Table131[Classification],"&gt;0")</f>
        <v>0</v>
      </c>
      <c r="OX115" s="6">
        <f>COUNTIFS(Table131134[Country],Tabela1[[#This Row],[Country]],Table131134[Classification],"&gt;0")</f>
        <v>0</v>
      </c>
      <c r="OY115" s="6">
        <f>COUNTIFS(Table134[Country],Tabela1[[#This Row],[Country]],Table134[Men''s Classification],"&gt;0")</f>
        <v>0</v>
      </c>
      <c r="OZ115" s="6">
        <f>COUNTIFS(Table134[Country],Tabela1[[#This Row],[Country]],Table134[Women''s Classification],"&gt;0")</f>
        <v>0</v>
      </c>
      <c r="PA115" s="6">
        <f>COUNTIFS(Table135[Country],Tabela1[[#This Row],[Country]],Table135[Mixed Relay Classification],"&gt;0")</f>
        <v>0</v>
      </c>
      <c r="PB115" s="6">
        <f>COUNTIFS(Table136[Country],Tabela1[[#This Row],[Country]],Table136[Individual Classification],"&gt;0")</f>
        <v>0</v>
      </c>
      <c r="PC115" s="6">
        <f>COUNTIFS(Table136[Country],Tabela1[[#This Row],[Country]],Table136[Sprint Classification],"&gt;0")</f>
        <v>0</v>
      </c>
      <c r="PD115" s="6">
        <f>COUNTIFS(Table137[Country],Tabela1[[#This Row],[Country]],Table137[Men''s Team Sprint Large Hill Classification],"&gt;0")</f>
        <v>0</v>
      </c>
      <c r="PE115" s="6">
        <f>COUNTIFS(Table138[Country],Tabela1[[#This Row],[Country]],Table138[500m Classification],"&gt;0")</f>
        <v>0</v>
      </c>
      <c r="PF115" s="6">
        <f>COUNTIFS(Table138141[Country],Tabela1[[#This Row],[Country]],Table138141[500m Classification],"&gt;0")</f>
        <v>0</v>
      </c>
      <c r="PG115" s="6">
        <f>COUNTIFS(Table138[Country],Tabela1[[#This Row],[Country]],Table138[1000m Classification],"&gt;0")</f>
        <v>0</v>
      </c>
      <c r="PH115" s="6">
        <f>COUNTIFS(Table138141[Country],Tabela1[[#This Row],[Country]],Table138141[1000m Classification],"&gt;0")</f>
        <v>0</v>
      </c>
      <c r="PI115" s="6">
        <f>COUNTIFS(Table138[Country],Tabela1[[#This Row],[Country]],Table138[1500m Classification],"&gt;0")</f>
        <v>0</v>
      </c>
      <c r="PJ115" s="6">
        <f>COUNTIFS(Table138141[Country],Tabela1[[#This Row],[Country]],Table138141[1500m Classification],"&gt;0")</f>
        <v>0</v>
      </c>
      <c r="PK115" s="6">
        <f>COUNTIFS(Table141[Country],Tabela1[[#This Row],[Country]],Table141[Men''s 5000m Relay Classification],"&gt;0")</f>
        <v>0</v>
      </c>
      <c r="PL115" s="6">
        <f>COUNTIFS(Table141[Country],Tabela1[[#This Row],[Country]],Table141[Women''s 3000m Relay Classification],"&gt;0")</f>
        <v>0</v>
      </c>
      <c r="PM115" s="6">
        <f>COUNTIFS(Table141[Country],Tabela1[[#This Row],[Country]],Table141[Mixed 2000m Relay Classification],"&gt;0")</f>
        <v>0</v>
      </c>
      <c r="PN115" s="6">
        <f>COUNTIFS(Table142[Country],Tabela1[[#This Row],[Country]],Table142[Classification],"&gt;0")</f>
        <v>0</v>
      </c>
      <c r="PO115" s="6">
        <f>COUNTIFS(Table142145[Country],Tabela1[[#This Row],[Country]],Table142145[Classification],"&gt;0")</f>
        <v>0</v>
      </c>
      <c r="PP115" s="6">
        <f>COUNTIFS(Tabela15[Country],Tabela1[[#This Row],[Country]],Tabela15[Mixed Team Classification],"&gt;0")</f>
        <v>0</v>
      </c>
      <c r="PQ115" s="6">
        <f>COUNTIFS(Table145[Country],Tabela1[[#This Row],[Country]],Table145[Large Hill Classification],"&gt;0")</f>
        <v>0</v>
      </c>
      <c r="PR115" s="6">
        <f>COUNTIFS(Table145[Country],Tabela1[[#This Row],[Country]],Table145[Normal Hill Classification],"&gt;0")</f>
        <v>0</v>
      </c>
      <c r="PS115" s="6">
        <f>COUNTIFS(Table145148[Country],Tabela1[[#This Row],[Country]],Table145148[Large Hill Classification],"&gt;0")</f>
        <v>0</v>
      </c>
      <c r="PT115" s="6">
        <f>COUNTIFS(Table145148[Country],Tabela1[[#This Row],[Country]],Table145148[Normal Hill Classification],"&gt;0")</f>
        <v>0</v>
      </c>
      <c r="PU115" s="6">
        <f>COUNTIFS(Table148[Country],Tabela1[[#This Row],[Country]],Table148[Men''s Super Team Classification],"&gt;0")</f>
        <v>0</v>
      </c>
      <c r="PV115" s="6">
        <f>COUNTIFS(Tabela114[Country],Tabela1[[#This Row],[Country]],Tabela114[Mixed Normal Hill Classification],"&gt;0")</f>
        <v>0</v>
      </c>
      <c r="PW115" s="6">
        <f>COUNTIFS(Tabela50[Country],Tabela1[[#This Row],[Country]],Tabela50[Sprint Classification],"&gt;0")</f>
        <v>0</v>
      </c>
      <c r="PX115" s="6">
        <f>COUNTIFS(Tabela50101[Country],Tabela1[[#This Row],[Country]],Tabela50101[Sprint Classification],"&gt;0")</f>
        <v>0</v>
      </c>
      <c r="PY115" s="6">
        <f>COUNTIFS(Tabela103[Country],Tabela1[[#This Row],[Country]],Tabela103[Mixed Relay Classification],"&gt;0")</f>
        <v>0</v>
      </c>
      <c r="PZ115" s="6">
        <f>COUNTIFS(Table149[Country],Tabela1[[#This Row],[Country]],Table149[Big Air Classification],"&gt;0")</f>
        <v>0</v>
      </c>
      <c r="QA115" s="6">
        <f>COUNTIFS(Table149152[Country],Tabela1[[#This Row],[Country]],Table149152[Big Air Classification],"&gt;0")</f>
        <v>0</v>
      </c>
      <c r="QB115" s="6">
        <f>COUNTIFS(Table149[Country],Tabela1[[#This Row],[Country]],Table149[Halfpipe Classification],"&gt;0")</f>
        <v>0</v>
      </c>
      <c r="QC115" s="6">
        <f>COUNTIFS(Table149152[Country],Tabela1[[#This Row],[Country]],Table149152[Halfpipe Classification],"&gt;0")</f>
        <v>0</v>
      </c>
      <c r="QD115" s="6">
        <f>COUNTIFS(Table149[Country],Tabela1[[#This Row],[Country]],Table149[Parallel Giant Slalom Classification],"&gt;0")</f>
        <v>0</v>
      </c>
      <c r="QE115" s="6">
        <f>COUNTIFS(Table149152[Country],Tabela1[[#This Row],[Country]],Table149152[Parallel Giant Slalom Classification],"&gt;0")</f>
        <v>0</v>
      </c>
      <c r="QF115" s="6">
        <f>COUNTIFS(Table149[Country],Tabela1[[#This Row],[Country]],Table149[Slopestyle Classification],"&gt;0")</f>
        <v>0</v>
      </c>
      <c r="QG115" s="6">
        <f>COUNTIFS(Table149152[Country],Tabela1[[#This Row],[Country]],Table149152[Slopestyle Classification],"&gt;0")</f>
        <v>0</v>
      </c>
      <c r="QH115" s="6">
        <f>COUNTIFS(Table149[Country],Tabela1[[#This Row],[Country]],Table149[Snowboard Cross Classification],"&gt;0")</f>
        <v>0</v>
      </c>
      <c r="QI115" s="6">
        <f>COUNTIFS(Table149152[Country],Tabela1[[#This Row],[Country]],Table149152[Snowboard Cross Classification],"&gt;0")</f>
        <v>0</v>
      </c>
      <c r="QJ115" s="6">
        <f>COUNTIFS(Table153[Country],Tabela1[[#This Row],[Country]],Table153[Mixed Team Snowboard Cross Classification],"&gt;0")</f>
        <v>0</v>
      </c>
      <c r="QK115" s="6">
        <f>COUNTIFS(Table154[Country],Tabela1[[#This Row],[Country]],Table154[500m Classification],"&gt;0")</f>
        <v>0</v>
      </c>
      <c r="QL115" s="6">
        <f>COUNTIFS(Table154157[Country],Tabela1[[#This Row],[Country]],Table154157[500m Classification],"&gt;0")</f>
        <v>0</v>
      </c>
      <c r="QM115" s="6">
        <f>COUNTIFS(Table154[Country],Tabela1[[#This Row],[Country]],Table154[1000m Classification],"&gt;0")</f>
        <v>0</v>
      </c>
      <c r="QN115" s="6">
        <f>COUNTIFS(Table154157[Country],Tabela1[[#This Row],[Country]],Table154157[1000m Classification],"&gt;0")</f>
        <v>0</v>
      </c>
      <c r="QO115" s="6">
        <f>COUNTIFS(Table154[Country],Tabela1[[#This Row],[Country]],Table154[1500m Classification],"&gt;0")</f>
        <v>0</v>
      </c>
      <c r="QP115" s="6">
        <f>COUNTIFS(Table154157[Country],Tabela1[[#This Row],[Country]],Table154157[1500m Classification],"&gt;0")</f>
        <v>0</v>
      </c>
      <c r="QQ115" s="6">
        <f>COUNTIFS(Table154157[Country],Tabela1[[#This Row],[Country]],Table154157[3000m Classification],"&gt;0")</f>
        <v>0</v>
      </c>
      <c r="QR115" s="6">
        <f>COUNTIFS(Table154[Country],Tabela1[[#This Row],[Country]],Table154[5000m Classification],"&gt;0")</f>
        <v>0</v>
      </c>
      <c r="QS115" s="6">
        <f>COUNTIFS(Table154157[Country],Tabela1[[#This Row],[Country]],Table154157[5000m Classification],"&gt;0")</f>
        <v>0</v>
      </c>
      <c r="QT115" s="6">
        <f>COUNTIFS(Table154[Country],Tabela1[[#This Row],[Country]],Table154[10000m Classification],"&gt;0")</f>
        <v>0</v>
      </c>
      <c r="QU115" s="6">
        <f>COUNTIFS(Table154[Country],Tabela1[[#This Row],[Country]],Table154[Mass Start Classification],"&gt;0")</f>
        <v>0</v>
      </c>
      <c r="QV115" s="6">
        <f>COUNTIFS(Table154157[Country],Tabela1[[#This Row],[Country]],Table154157[Mass Start Classification],"&gt;0")</f>
        <v>0</v>
      </c>
      <c r="QW115" s="6">
        <f>COUNTIFS(Table157[Country],Tabela1[[#This Row],[Country]],Table157[Men''s Pursuit Classification],"&gt;0")</f>
        <v>0</v>
      </c>
      <c r="QX115" s="6">
        <f>COUNTIFS(Table157[Country],Tabela1[[#This Row],[Country]],Table157[Women''s Pursuit Classification],"&gt;0")</f>
        <v>0</v>
      </c>
      <c r="QY115" s="3" t="s">
        <v>391</v>
      </c>
    </row>
    <row r="116" spans="1:467" x14ac:dyDescent="0.3">
      <c r="A116" s="6">
        <v>115</v>
      </c>
      <c r="B116" s="6" t="s">
        <v>398</v>
      </c>
      <c r="C116" t="e" vm="115">
        <f>IF(ISBLANK(Tabela1[[#This Row],[Image Link]]), "", _xlfn.IMAGE(Tabela1[[#This Row],[Image Link]],1,1))</f>
        <v>#VALUE!</v>
      </c>
      <c r="D116" s="6">
        <f>SUM(Tabela1[[#This Row],[Archery - Men''s Individual Recurve]:[Speed Skating - Women''s Team Pursuit]])</f>
        <v>2</v>
      </c>
      <c r="E116" s="6">
        <f>COUNTIF(Tabela1[[#This Row],[Archery - Men''s Individual Recurve]:[Speed Skating - Women''s Team Pursuit]],"&gt;0")</f>
        <v>2</v>
      </c>
      <c r="F116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16" s="6">
        <f>SUM(Tabela1[[#This Row],[Archery - Men''s Individual Recurve]:[Wrestling - Women''s Freestyle 76kg]])</f>
        <v>2</v>
      </c>
      <c r="H116" s="6">
        <f>SUM(Tabela1[[#This Row],[Alpine Skiing - Men''s Downhill]:[Speed Skating - Women''s Team Pursuit]])</f>
        <v>0</v>
      </c>
      <c r="I116" s="6">
        <f>Tabela1[[#This Row],[Summer Gold Medals]]+Tabela1[[#This Row],[Winter Gold Medals]]</f>
        <v>0</v>
      </c>
      <c r="J116" s="6">
        <f>Tabela1[[#This Row],[Summer Silver Medals]]+Tabela1[[#This Row],[Winter Silver Medals]]</f>
        <v>0</v>
      </c>
      <c r="K116" s="6">
        <f>Tabela1[[#This Row],[Summer Bronze Medals]]+Tabela1[[#This Row],[Winter Bronze Medals]]</f>
        <v>2</v>
      </c>
      <c r="L116" s="6">
        <f>SUM(Tabela1[[#This Row],[Total Gold Medals]:[Total Bronze Medals]])</f>
        <v>2</v>
      </c>
      <c r="M116" s="6"/>
      <c r="N116" s="6"/>
      <c r="O116" s="6">
        <v>2</v>
      </c>
      <c r="P116" s="6">
        <f>SUM(Tabela1[[#This Row],[Summer Gold Medals]:[Summer Bronze Medals]])</f>
        <v>2</v>
      </c>
      <c r="Q116" s="6"/>
      <c r="R116" s="6"/>
      <c r="S116" s="6"/>
      <c r="T116" s="6">
        <f>Tabela1[[#This Row],[Winter Gold Medals]]+Tabela1[[#This Row],[Winter Silver Medals]]+Tabela1[[#This Row],[Winter Bronze Medals]]</f>
        <v>0</v>
      </c>
      <c r="U116" s="7">
        <f>Tabela1[[#This Row],[Total Medals]]/Tabela1[[#This Row],[Total Quotas]]</f>
        <v>1</v>
      </c>
      <c r="V116" s="6">
        <f>COUNTIFS(Table3[Country],Tabela1[[#This Row],[Country]],Table3[Recurve Classification],"&gt;0")</f>
        <v>0</v>
      </c>
      <c r="W116" s="6">
        <f>COUNTIFS(Table33[Country],Tabela1[[#This Row],[Country]],Table33[Recurve Classification],"&gt;0")</f>
        <v>0</v>
      </c>
      <c r="X116" s="6">
        <f>COUNTIFS(Table35[Country],Tabela1[[#This Row],[Country]],Table35[Men''s Team Recurve Classification],"&gt;0")</f>
        <v>0</v>
      </c>
      <c r="Y116" s="6">
        <f>COUNTIFS(Table35[Country],Tabela1[[#This Row],[Country]],Table35[Women''s Team Recurve Classification],"&gt;0")</f>
        <v>0</v>
      </c>
      <c r="Z116" s="6">
        <f>COUNTIFS(Tabela88[Country],Tabela1[[#This Row],[Country]],Tabela88[Mixed Team Recurve Classification],"&gt;0")</f>
        <v>0</v>
      </c>
      <c r="AA116" s="6">
        <f>COUNTIFS(Table36[Country],Tabela1[[#This Row],[Country]],Table36[Classification],"&gt;0")</f>
        <v>0</v>
      </c>
      <c r="AB116" s="6">
        <f>COUNTIFS(Table37[Country],Tabela1[[#This Row],[Country]],Table37[Classification],"&gt;0")</f>
        <v>0</v>
      </c>
      <c r="AC116" s="6">
        <f>COUNTIFS(Table4[Country],Tabela1[[#This Row],[Country]],Table4[100m Classification],"&gt;0")</f>
        <v>0</v>
      </c>
      <c r="AD116" s="6">
        <f>COUNTIFS(Table5[Country],Tabela1[[#This Row],[Country]],Table5[100m Classification],"&gt;0")</f>
        <v>0</v>
      </c>
      <c r="AE116" s="6">
        <f>COUNTIFS(Table4[Country],Tabela1[[#This Row],[Country]],Table4[200m Classification],"&gt;0")</f>
        <v>0</v>
      </c>
      <c r="AF116" s="6">
        <f>COUNTIFS(Table5[Country],Tabela1[[#This Row],[Country]],Table5[200m Classification],"&gt;0")</f>
        <v>0</v>
      </c>
      <c r="AG116" s="6">
        <f>COUNTIFS(Table4[Country],Tabela1[[#This Row],[Country]],Table4[400m Classification],"&gt;0")</f>
        <v>0</v>
      </c>
      <c r="AH116" s="6">
        <f>COUNTIFS(Table5[Country],Tabela1[[#This Row],[Country]],Table5[400m Classification],"&gt;0")</f>
        <v>0</v>
      </c>
      <c r="AI116" s="6">
        <f>COUNTIFS(Table4[Country],Tabela1[[#This Row],[Country]],Table4[800m Classification],"&gt;0")</f>
        <v>0</v>
      </c>
      <c r="AJ116" s="6">
        <f>COUNTIFS(Table5[Country],Tabela1[[#This Row],[Country]],Table5[800m Classification],"&gt;0")</f>
        <v>0</v>
      </c>
      <c r="AK116" s="6">
        <f>COUNTIFS(Table4[Country],Tabela1[[#This Row],[Country]],Table4[1500m Classification],"&gt;0")</f>
        <v>0</v>
      </c>
      <c r="AL116" s="6">
        <f>COUNTIFS(Table5[Country],Tabela1[[#This Row],[Country]],Table5[1500m Classification],"&gt;0")</f>
        <v>0</v>
      </c>
      <c r="AM116" s="6">
        <f>COUNTIFS(Table4[Country],Tabela1[[#This Row],[Country]],Table4[5000m Classification],"&gt;0")</f>
        <v>0</v>
      </c>
      <c r="AN116" s="6">
        <f>COUNTIFS(Table5[Country],Tabela1[[#This Row],[Country]],Table5[5000m Classification],"&gt;0")</f>
        <v>0</v>
      </c>
      <c r="AO116" s="6">
        <f>COUNTIFS(Table4[Country],Tabela1[[#This Row],[Country]],Table4[10000m Classification],"&gt;0")</f>
        <v>0</v>
      </c>
      <c r="AP116" s="6">
        <f>COUNTIFS(Table5[Country],Tabela1[[#This Row],[Country]],Table5[10000m Classification],"&gt;0")</f>
        <v>0</v>
      </c>
      <c r="AQ116" s="6">
        <f>COUNTIFS(Table4[Country],Tabela1[[#This Row],[Country]],Table4[110m Hurdles Classification],"&gt;0")</f>
        <v>0</v>
      </c>
      <c r="AR116" s="6">
        <f>COUNTIFS(Table5[Country],Tabela1[[#This Row],[Country]],Table5[100m Hurdles Classification],"&gt;0")</f>
        <v>0</v>
      </c>
      <c r="AS116" s="6">
        <f>COUNTIFS(Table4[Country],Tabela1[[#This Row],[Country]],Table4[400m Hurdles Classification],"&gt;0")</f>
        <v>0</v>
      </c>
      <c r="AT116" s="6">
        <f>COUNTIFS(Table5[Country],Tabela1[[#This Row],[Country]],Table5[400m Hurdles Classification],"&gt;0")</f>
        <v>0</v>
      </c>
      <c r="AU116" s="6">
        <f>COUNTIFS(Table4[Country],Tabela1[[#This Row],[Country]],Table4[3000m Steeplechase Classification],"&gt;0")</f>
        <v>0</v>
      </c>
      <c r="AV116" s="6">
        <f>COUNTIFS(Table5[Country],Tabela1[[#This Row],[Country]],Table5[3000m Steeplechase Classification],"&gt;0")</f>
        <v>0</v>
      </c>
      <c r="AW116" s="6">
        <f>COUNTIFS(Table27[Country],Tabela1[[#This Row],[Country]],Table27[Men''s 4x100m Relay Classification],"&gt;0")</f>
        <v>0</v>
      </c>
      <c r="AX116" s="6">
        <f>COUNTIFS(Table27[Country],Tabela1[[#This Row],[Country]],Table27[Women''s 4x100m Relay Classification],"&gt;0")</f>
        <v>0</v>
      </c>
      <c r="AY116" s="6">
        <f>COUNTIFS(Table27[Country],Tabela1[[#This Row],[Country]],Table27[Men''s 4x400m Relay Classification],"&gt;0")</f>
        <v>0</v>
      </c>
      <c r="AZ116" s="6">
        <f>COUNTIFS(Table27[Country],Tabela1[[#This Row],[Country]],Table27[Women''s 4x400m Relay Classification],"&gt;0")</f>
        <v>0</v>
      </c>
      <c r="BA116" s="6">
        <f>COUNTIFS(Table27[Country],Tabela1[[#This Row],[Country]],Table27[Mixed 4x400m Relay Classification],"&gt;0")</f>
        <v>0</v>
      </c>
      <c r="BB116" s="6">
        <f>COUNTIFS(Table4[Country],Tabela1[[#This Row],[Country]],Table4[Marathon Classification],"&gt;0")</f>
        <v>0</v>
      </c>
      <c r="BC116" s="6">
        <f>COUNTIFS(Table5[Country],Tabela1[[#This Row],[Country]],Table5[Marathon Classification],"&gt;0")</f>
        <v>0</v>
      </c>
      <c r="BD116" s="6">
        <f>COUNTIFS(Table4[Country],Tabela1[[#This Row],[Country]],Table4[20km Race Walk Classification],"&gt;0")</f>
        <v>0</v>
      </c>
      <c r="BE116" s="6">
        <f>COUNTIFS(Table5[Country],Tabela1[[#This Row],[Country]],Table5[20km Race Walk Classification],"&gt;0")</f>
        <v>0</v>
      </c>
      <c r="BF116" s="6">
        <f>COUNTIFS(Tabela96[Country],Tabela1[[#This Row],[Country]],Tabela96[Mixed Marathon Race Walk Relay Classification],"&gt;0")</f>
        <v>0</v>
      </c>
      <c r="BG116" s="6">
        <f>COUNTIFS(Table4[Country],Tabela1[[#This Row],[Country]],Table4[Discus Throw Classification],"&gt;0")</f>
        <v>0</v>
      </c>
      <c r="BH116" s="6">
        <f>COUNTIFS(Table5[Country],Tabela1[[#This Row],[Country]],Table5[Discus Throw Classification],"&gt;0")</f>
        <v>0</v>
      </c>
      <c r="BI116" s="6">
        <f>COUNTIFS(Table4[Country],Tabela1[[#This Row],[Country]],Table4[Hammer Throw Classification],"&gt;0")</f>
        <v>0</v>
      </c>
      <c r="BJ116" s="6">
        <f>COUNTIFS(Table5[Country],Tabela1[[#This Row],[Country]],Table5[Hammer Throw Classification],"&gt;0")</f>
        <v>0</v>
      </c>
      <c r="BK116" s="6">
        <f>COUNTIFS(Table4[Country],Tabela1[[#This Row],[Country]],Table4[High Jump Classification],"&gt;0")</f>
        <v>0</v>
      </c>
      <c r="BL116" s="6">
        <f>COUNTIFS(Table5[Country],Tabela1[[#This Row],[Country]],Table5[High Jump Classification],"&gt;0")</f>
        <v>0</v>
      </c>
      <c r="BM116" s="6">
        <f>COUNTIFS(Table4[Country],Tabela1[[#This Row],[Country]],Table4[Javelin Throw Classification],"&gt;0")</f>
        <v>0</v>
      </c>
      <c r="BN116" s="6">
        <f>COUNTIFS(Table5[Country],Tabela1[[#This Row],[Country]],Table5[Javelin Throw Classification],"&gt;0")</f>
        <v>0</v>
      </c>
      <c r="BO116" s="6">
        <f>COUNTIFS(Table4[Country],Tabela1[[#This Row],[Country]],Table4[Long Jump Classification],"&gt;0")</f>
        <v>0</v>
      </c>
      <c r="BP116" s="6">
        <f>COUNTIFS(Table5[Country],Tabela1[[#This Row],[Country]],Table5[Long Jump Classification],"&gt;0")</f>
        <v>0</v>
      </c>
      <c r="BQ116" s="6">
        <f>COUNTIFS(Table4[Country],Tabela1[[#This Row],[Country]],Table4[Pole Vault Classification],"&gt;0")</f>
        <v>0</v>
      </c>
      <c r="BR116" s="6">
        <f>COUNTIFS(Table5[Country],Tabela1[[#This Row],[Country]],Table5[Pole Vault Classification],"&gt;0")</f>
        <v>0</v>
      </c>
      <c r="BS116" s="6">
        <f>COUNTIFS(Table4[Country],Tabela1[[#This Row],[Country]],Table4[Shot Put Classification],"&gt;0")</f>
        <v>0</v>
      </c>
      <c r="BT116" s="6">
        <f>COUNTIFS(Table5[Country],Tabela1[[#This Row],[Country]],Table5[Shot Put Classification],"&gt;0")</f>
        <v>0</v>
      </c>
      <c r="BU116" s="6">
        <f>COUNTIFS(Table4[Country],Tabela1[[#This Row],[Country]],Table4[Triple Jump Classification],"&gt;0")</f>
        <v>0</v>
      </c>
      <c r="BV116" s="6">
        <f>COUNTIFS(Table5[Country],Tabela1[[#This Row],[Country]],Table5[Triple Jump Classification],"&gt;0")</f>
        <v>0</v>
      </c>
      <c r="BW116" s="6">
        <f>COUNTIFS(Table4[Country],Tabela1[[#This Row],[Country]],Table4[Decathlon Classification],"&gt;0")</f>
        <v>0</v>
      </c>
      <c r="BX116" s="6">
        <f>COUNTIFS(Table5[Country],Tabela1[[#This Row],[Country]],Table5[Heptathlon Classification],"&gt;0")</f>
        <v>0</v>
      </c>
      <c r="BY116" s="6">
        <f>COUNTIFS(Table61[Country],Tabela1[[#This Row],[Country]],Table61[Classification],"&gt;0")</f>
        <v>0</v>
      </c>
      <c r="BZ116" s="6">
        <f>COUNTIFS(Table38[Country],Tabela1[[#This Row],[Country]],Table38[Classification],"&gt;0")</f>
        <v>0</v>
      </c>
      <c r="CA116" s="6">
        <f>COUNTIFS(Table39[Country],Tabela1[[#This Row],[Country]],Table39[Men''s Classification],"&gt;0")</f>
        <v>0</v>
      </c>
      <c r="CB116" s="6">
        <f>COUNTIFS(Table39[Country],Tabela1[[#This Row],[Country]],Table39[Women''s Classification],"&gt;0")</f>
        <v>0</v>
      </c>
      <c r="CC116" s="6">
        <f>COUNTIFS(Table39[Country],Tabela1[[#This Row],[Country]],Table39[Mixed Classification],"&gt;0")</f>
        <v>0</v>
      </c>
      <c r="CD116" s="6">
        <f>COUNTIFS(Table89[Country],Tabela1[[#This Row],[Country]],Table89[Men''s Classification],"&gt;0")</f>
        <v>1</v>
      </c>
      <c r="CE116" s="6">
        <f>COUNTIFS(Table89[Country],Tabela1[[#This Row],[Country]],Table89[Women''s Classification],"&gt;0")</f>
        <v>1</v>
      </c>
      <c r="CF116" s="6">
        <f>COUNTIFS(Table90[Country],Tabela1[[#This Row],[Country]],Table90[Men''s Classification],"&gt;0")</f>
        <v>0</v>
      </c>
      <c r="CG116" s="6">
        <f>COUNTIFS(Table90[Country],Tabela1[[#This Row],[Country]],Table90[Women''s Classification],"&gt;0")</f>
        <v>0</v>
      </c>
      <c r="CH116" s="6">
        <f>COUNTIFS(Table60[Country],Tabela1[[#This Row],[Country]],Table60[Men''s Classification],"&gt;0")</f>
        <v>0</v>
      </c>
      <c r="CI116" s="6">
        <f>COUNTIFS(Table60[Country],Tabela1[[#This Row],[Country]],Table60[Women''s Classification],"&gt;0")</f>
        <v>0</v>
      </c>
      <c r="CJ116" s="6">
        <f>COUNTIFS(Table6[Country],Tabela1[[#This Row],[Country]],Table6[51kg Classification],"&gt;0")</f>
        <v>0</v>
      </c>
      <c r="CK116" s="6">
        <f>COUNTIFS(Table6[Country],Tabela1[[#This Row],[Country]],Table6[57kg Classification],"&gt;0")</f>
        <v>0</v>
      </c>
      <c r="CL116" s="6">
        <f>COUNTIFS(Table6[Country],Tabela1[[#This Row],[Country]],Table6[63.5kg Classification],"&gt;0")</f>
        <v>0</v>
      </c>
      <c r="CM116" s="6">
        <f>COUNTIFS(Table6[Country],Tabela1[[#This Row],[Country]],Table6[71kg Classification],"&gt;0")</f>
        <v>0</v>
      </c>
      <c r="CN116" s="6">
        <f>COUNTIFS(Table6[Country],Tabela1[[#This Row],[Country]],Table6[80kg Classification],"&gt;0")</f>
        <v>0</v>
      </c>
      <c r="CO116" s="6">
        <f>COUNTIFS(Table6[Country],Tabela1[[#This Row],[Country]],Table6[92kg Classification],"&gt;0")</f>
        <v>0</v>
      </c>
      <c r="CP116" s="6">
        <f>COUNTIFS(Table6[Country],Tabela1[[#This Row],[Country]],Table6[Plus 92kg Classification],"&gt;0")</f>
        <v>0</v>
      </c>
      <c r="CQ116" s="6">
        <f>COUNTIFS(Table7[Country],Tabela1[[#This Row],[Country]],Table7[50kg Classification],"&gt;0")</f>
        <v>0</v>
      </c>
      <c r="CR116" s="6">
        <f>COUNTIFS(Table7[Country],Tabela1[[#This Row],[Country]],Table7[54kg Classification],"&gt;0")</f>
        <v>0</v>
      </c>
      <c r="CS116" s="6">
        <f>COUNTIFS(Table7[Country],Tabela1[[#This Row],[Country]],Table7[57kg Classification],"&gt;0")</f>
        <v>0</v>
      </c>
      <c r="CT116" s="6">
        <f>COUNTIFS(Table7[Country],Tabela1[[#This Row],[Country]],Table7[60kg Classification],"&gt;0")</f>
        <v>0</v>
      </c>
      <c r="CU116" s="6">
        <f>COUNTIFS(Table7[Country],Tabela1[[#This Row],[Country]],Table7[66kg Classification],"&gt;0")</f>
        <v>0</v>
      </c>
      <c r="CV116" s="6">
        <f>COUNTIFS(Table7[Country],Tabela1[[#This Row],[Country]],Table7[75kg Classification],"&gt;0")</f>
        <v>0</v>
      </c>
      <c r="CW116" s="6">
        <f>COUNTIFS(Tabela94[Country],Tabela1[[#This Row],[Country]],Tabela94[Classification],"&gt;0")</f>
        <v>0</v>
      </c>
      <c r="CX116" s="6">
        <f>COUNTIFS(Tabela9499[Country],Tabela1[[#This Row],[Country]],Tabela9499[Classification],"&gt;0")</f>
        <v>0</v>
      </c>
      <c r="CY116" s="6">
        <f>COUNTIFS(Tabela107[Country],Tabela1[[#This Row],[Country]],Tabela107[C1 Slalom Classification],"&gt;0")</f>
        <v>0</v>
      </c>
      <c r="CZ116" s="6">
        <f>COUNTIFS(Tabela107122[Country],Tabela1[[#This Row],[Country]],Tabela107122[C1 Slalom Classification],"&gt;0")</f>
        <v>0</v>
      </c>
      <c r="DA116" s="6">
        <f>COUNTIFS(Tabela107[Country],Tabela1[[#This Row],[Country]],Tabela107[K1 Slalom Classification],"&gt;0")</f>
        <v>0</v>
      </c>
      <c r="DB116" s="6">
        <f>COUNTIFS(Tabela107122[Country],Tabela1[[#This Row],[Country]],Tabela107122[K1 Slalom Classification],"&gt;0")</f>
        <v>0</v>
      </c>
      <c r="DC116" s="6">
        <f>COUNTIFS(Tabela107[Country],Tabela1[[#This Row],[Country]],Tabela107[Kayak Cross Slalom Classification],"&gt;0")</f>
        <v>0</v>
      </c>
      <c r="DD116" s="6">
        <f>COUNTIFS(Tabela107122[Country],Tabela1[[#This Row],[Country]],Tabela107122[Kayak Cross Slalom Classification],"&gt;0")</f>
        <v>0</v>
      </c>
      <c r="DE116" s="6">
        <f>COUNTIFS(Table8[Country],Tabela1[[#This Row],[Country]],Table8[C1 200m Classification],"&gt;0")</f>
        <v>0</v>
      </c>
      <c r="DF116" s="6">
        <f>COUNTIFS(Table40[Country],Tabela1[[#This Row],[Country]],Table40[C1 1000m Classification],"&gt;0")</f>
        <v>0</v>
      </c>
      <c r="DG116" s="6">
        <f>COUNTIFS(Table68[Country],Tabela1[[#This Row],[Country]],Table68[Men''s C2 500m Classification],"&gt;0")</f>
        <v>0</v>
      </c>
      <c r="DH116" s="6">
        <f>COUNTIFS(Table68[Country],Tabela1[[#This Row],[Country]],Table68[Women''s C2 500m Classification],"&gt;0")</f>
        <v>0</v>
      </c>
      <c r="DI116" s="6">
        <f>COUNTIFS(Table8[Country],Tabela1[[#This Row],[Country]],Table8[K1 500m Classification],"&gt;0")</f>
        <v>0</v>
      </c>
      <c r="DJ116" s="6">
        <f>COUNTIFS(Table40[Country],Tabela1[[#This Row],[Country]],Table40[K1 1000m Classification],"&gt;0")</f>
        <v>0</v>
      </c>
      <c r="DK116" s="6">
        <f>COUNTIFS(Table68[Country],Tabela1[[#This Row],[Country]],Table68[Men''s K2 500m Classification],"&gt;0")</f>
        <v>0</v>
      </c>
      <c r="DL116" s="6">
        <f>COUNTIFS(Table68[Country],Tabela1[[#This Row],[Country]],Table68[Women''s K2 500m Classification],"&gt;0")</f>
        <v>0</v>
      </c>
      <c r="DM116" s="6">
        <f>COUNTIFS(Table83[Country],Tabela1[[#This Row],[Country]],Table83[Men''s K4 500m Classification],"&gt;0")</f>
        <v>0</v>
      </c>
      <c r="DN116" s="6">
        <f>COUNTIFS(Table83[Country],Tabela1[[#This Row],[Country]],Table83[Women''s K4 500m Classification],"&gt;0")</f>
        <v>0</v>
      </c>
      <c r="DO116" s="6">
        <f>COUNTIFS(Tabela126[Country],Tabela1[[#This Row],[Country]],Tabela126[Classification],"&gt;0")</f>
        <v>0</v>
      </c>
      <c r="DP116" s="6">
        <f>COUNTIFS(Tabela126130[Country],Tabela1[[#This Row],[Country]],Tabela126130[Classification],"&gt;0")</f>
        <v>0</v>
      </c>
      <c r="DQ116" s="6">
        <f>COUNTIFS(Table70[Country],Tabela1[[#This Row],[Country]],Table70[Classification],"&gt;0")</f>
        <v>0</v>
      </c>
      <c r="DR116" s="6">
        <f>COUNTIFS(Table80[Country],Tabela1[[#This Row],[Country]],Table80[Classification],"&gt;0")</f>
        <v>0</v>
      </c>
      <c r="DS116" s="6">
        <f>COUNTIFS(Table66[Country],Tabela1[[#This Row],[Country]],Table66[Classification],"&gt;0")</f>
        <v>0</v>
      </c>
      <c r="DT116" s="6">
        <f>COUNTIFS(Table67[Country],Tabela1[[#This Row],[Country]],Table67[Classification],"&gt;0")</f>
        <v>0</v>
      </c>
      <c r="DU116" s="6">
        <f>COUNTIFS(Table69[Country],Tabela1[[#This Row],[Country]],Table69[Keirin Classification],"&gt;0")</f>
        <v>0</v>
      </c>
      <c r="DV116" s="6">
        <f>COUNTIFS(Table41[Country],Tabela1[[#This Row],[Country]],Table41[Keirin Classification],"&gt;0")</f>
        <v>0</v>
      </c>
      <c r="DW116" s="6">
        <f>COUNTIFS(Table84[Country],Tabela1[[#This Row],[Country]],Table84[Men''s Madison Classification],"&gt;0")</f>
        <v>0</v>
      </c>
      <c r="DX116" s="6">
        <f>COUNTIFS(Table84[Country],Tabela1[[#This Row],[Country]],Table84[Women''s Madison Classification],"&gt;0")</f>
        <v>0</v>
      </c>
      <c r="DY116" s="6">
        <f>COUNTIFS(Table69[Country],Tabela1[[#This Row],[Country]],Table69[Omnium Classification],"&gt;0")</f>
        <v>0</v>
      </c>
      <c r="DZ116" s="6">
        <f>COUNTIFS(Table41[Country],Tabela1[[#This Row],[Country]],Table41[Omnium Classification],"&gt;0")</f>
        <v>0</v>
      </c>
      <c r="EA116" s="6">
        <f>COUNTIFS(Table9[Country],Tabela1[[#This Row],[Country]],Table9[Road Race Classification],"&gt;0")</f>
        <v>0</v>
      </c>
      <c r="EB116" s="6">
        <f>COUNTIFS(Table14[Country],Tabela1[[#This Row],[Country]],Table14[Road Race Classification],"&gt;0")</f>
        <v>0</v>
      </c>
      <c r="EC116" s="6">
        <f>COUNTIFS(Table69[Country],Tabela1[[#This Row],[Country]],Table69[Sprint Classification],"&gt;0")</f>
        <v>0</v>
      </c>
      <c r="ED116" s="6">
        <f>COUNTIFS(Table41[Country],Tabela1[[#This Row],[Country]],Table41[Sprint Classification],"&gt;0")</f>
        <v>0</v>
      </c>
      <c r="EE116" s="6">
        <f>COUNTIFS(Table85[Country],Tabela1[[#This Row],[Country]],Table85[Men''s Sprint Classification],"&gt;0")</f>
        <v>0</v>
      </c>
      <c r="EF116" s="6">
        <f>COUNTIFS(Table85[Country],Tabela1[[#This Row],[Country]],Table85[Women''s Sprint Classification],"&gt;0")</f>
        <v>0</v>
      </c>
      <c r="EG116" s="6">
        <f>COUNTIFS(Table85[Country],Tabela1[[#This Row],[Country]],Table85[Men''s Pursuit Classification],"&gt;0")</f>
        <v>0</v>
      </c>
      <c r="EH116" s="6">
        <f>COUNTIFS(Table85[Country],Tabela1[[#This Row],[Country]],Table85[Women''s Pursuit Classification],"&gt;0")</f>
        <v>0</v>
      </c>
      <c r="EI116" s="6">
        <f>COUNTIFS(Table9[Country],Tabela1[[#This Row],[Country]],Table9[Time-Trial Classification],"&gt;0")</f>
        <v>0</v>
      </c>
      <c r="EJ116" s="6">
        <f>COUNTIFS(Table14[Country],Tabela1[[#This Row],[Country]],Table14[Time-Trial Classification],"&gt;0")</f>
        <v>0</v>
      </c>
      <c r="EK116" s="6">
        <f>COUNTIFS(Table42[Country],Tabela1[[#This Row],[Country]],Table42[Springboard Classification],"&gt;0")</f>
        <v>0</v>
      </c>
      <c r="EL116" s="6">
        <f>COUNTIFS(Table43[Country],Tabela1[[#This Row],[Country]],Table43[Springboard Classification],"&gt;0")</f>
        <v>0</v>
      </c>
      <c r="EM116" s="6">
        <f>COUNTIFS(Table42[Country],Tabela1[[#This Row],[Country]],Table42[Platform Classification],"&gt;0")</f>
        <v>0</v>
      </c>
      <c r="EN116" s="6">
        <f>COUNTIFS(Table43[Country],Tabela1[[#This Row],[Country]],Table43[Platform Classification],"&gt;0")</f>
        <v>0</v>
      </c>
      <c r="EO116" s="6">
        <f>COUNTIFS(Table86[Country],Tabela1[[#This Row],[Country]],Table86[Men''s Synchronized Springboard Classification],"&gt;0")</f>
        <v>0</v>
      </c>
      <c r="EP116" s="6">
        <f>COUNTIFS(Table86[Country],Tabela1[[#This Row],[Country]],Table86[Women''s Synchronized Springboard Classification],"&gt;0")</f>
        <v>0</v>
      </c>
      <c r="EQ116" s="6">
        <f>COUNTIFS(Table86[Country],Tabela1[[#This Row],[Country]],Table86[Men''s Synchronized Platform Classification],"&gt;0")</f>
        <v>0</v>
      </c>
      <c r="ER116" s="6">
        <f>COUNTIFS(Table86[Country],Tabela1[[#This Row],[Country]],Table86[Women''s Synchronized Platform Classification],"&gt;0")</f>
        <v>0</v>
      </c>
      <c r="ES116" s="6">
        <f>COUNTIFS(Table44[Country],Tabela1[[#This Row],[Country]],Table44[Dressage Classification],"&gt;0")</f>
        <v>0</v>
      </c>
      <c r="ET116" s="6">
        <f>COUNTIFS(Table45[Country],Tabela1[[#This Row],[Country]],Table45[Dressage Classification],"&gt;0")</f>
        <v>0</v>
      </c>
      <c r="EU116" s="6">
        <f>COUNTIFS(Table44[Country],Tabela1[[#This Row],[Country]],Table44[Eventing Classification],"&gt;0")</f>
        <v>0</v>
      </c>
      <c r="EV116" s="6">
        <f>COUNTIFS(Table45[Country],Tabela1[[#This Row],[Country]],Table45[Eventing Classification],"&gt;0")</f>
        <v>0</v>
      </c>
      <c r="EW116" s="6">
        <f>COUNTIFS(Table44[Country],Tabela1[[#This Row],[Country]],Table44[Jumping Classification],"&gt;0")</f>
        <v>0</v>
      </c>
      <c r="EX116" s="6">
        <f>COUNTIFS(Table45[Country],Tabela1[[#This Row],[Country]],Table45[Jumping Classification],"&gt;0")</f>
        <v>0</v>
      </c>
      <c r="EY116" s="6">
        <f>COUNTIFS(Table10[Country],Tabela1[[#This Row],[Country]],Table10[Épée Classification],"&gt;0")</f>
        <v>0</v>
      </c>
      <c r="EZ116" s="6">
        <f>COUNTIFS(Table11[Country],Tabela1[[#This Row],[Country]],Table11[Épée Classification],"&gt;0")</f>
        <v>0</v>
      </c>
      <c r="FA116" s="6">
        <f>COUNTIFS(Table46[Country],Tabela1[[#This Row],[Country]],Table46[Men''s Épée Classification],"&gt;0")</f>
        <v>0</v>
      </c>
      <c r="FB116" s="6">
        <f>COUNTIFS(Table46[Country],Tabela1[[#This Row],[Country]],Table46[Women''s Épée Classification],"&gt;0")</f>
        <v>0</v>
      </c>
      <c r="FC116" s="6">
        <f>COUNTIFS(Table10[Country],Tabela1[[#This Row],[Country]],Table10[Foil Classification],"&gt;0")</f>
        <v>0</v>
      </c>
      <c r="FD116" s="6">
        <f>COUNTIFS(Table11[Country],Tabela1[[#This Row],[Country]],Table11[Foil Classification],"&gt;0")</f>
        <v>0</v>
      </c>
      <c r="FE116" s="6">
        <f>COUNTIFS(Table46[Country],Tabela1[[#This Row],[Country]],Table46[Men''s Foil Classification],"&gt;0")</f>
        <v>0</v>
      </c>
      <c r="FF116" s="6">
        <f>COUNTIFS(Table46[Country],Tabela1[[#This Row],[Country]],Table46[Women''s Foil Classification],"&gt;0")</f>
        <v>0</v>
      </c>
      <c r="FG116" s="6">
        <f>COUNTIFS(Table10[Country],Tabela1[[#This Row],[Country]],Table10[Sabre Classification],"&gt;0")</f>
        <v>0</v>
      </c>
      <c r="FH116" s="6">
        <f>COUNTIFS(Table11[Country],Tabela1[[#This Row],[Country]],Table11[Sabre Classification],"&gt;0")</f>
        <v>0</v>
      </c>
      <c r="FI116" s="6">
        <f>COUNTIFS(Table46[Country],Tabela1[[#This Row],[Country]],Table46[Men''s Sabre Classification],"&gt;0")</f>
        <v>0</v>
      </c>
      <c r="FJ116" s="6">
        <f>COUNTIFS(Table46[Country],Tabela1[[#This Row],[Country]],Table46[Women''s Sabre Classification],"&gt;0")</f>
        <v>0</v>
      </c>
      <c r="FK116" s="6">
        <f>COUNTIFS(Table91[Country],Tabela1[[#This Row],[Country]],Table91[Men''s Classification],"&gt;0")</f>
        <v>0</v>
      </c>
      <c r="FL116" s="6">
        <f>COUNTIFS(Table91[Country],Tabela1[[#This Row],[Country]],Table91[Women''s Classification],"&gt;0")</f>
        <v>0</v>
      </c>
      <c r="FM116" s="6">
        <f>COUNTIFS(Table9194[Country],Tabela1[[#This Row],[Country]],Table9194[Men''s Classification],"&gt;0")</f>
        <v>0</v>
      </c>
      <c r="FN116" s="6">
        <f>COUNTIFS(Table9194[Country],Tabela1[[#This Row],[Country]],Table9194[Women''s Classification],"&gt;0")</f>
        <v>0</v>
      </c>
      <c r="FO116" s="6">
        <f>COUNTIFS(Table71[Country],Tabela1[[#This Row],[Country]],Table71[Classification],"&gt;0")</f>
        <v>0</v>
      </c>
      <c r="FP116" s="6">
        <f>COUNTIFS(Table62[Country],Tabela1[[#This Row],[Country]],Table62[Classification],"&gt;0")</f>
        <v>0</v>
      </c>
      <c r="FQ116" s="6">
        <f>COUNTIFS(Table47[Country],Tabela1[[#This Row],[Country]],Table47[All-Around Classification],"&gt;0")</f>
        <v>0</v>
      </c>
      <c r="FR116" s="6">
        <f>COUNTIFS(Table48[Country],Tabela1[[#This Row],[Country]],Table48[All-Around Classification],"&gt;0")</f>
        <v>0</v>
      </c>
      <c r="FS116" s="6">
        <f>COUNTIFS(Table81[Country],Tabela1[[#This Row],[Country]],Table81[Men''s All-Around Classification],"&gt;0")</f>
        <v>0</v>
      </c>
      <c r="FT116" s="6">
        <f>COUNTIFS(Table81[Country],Tabela1[[#This Row],[Country]],Table81[Women''s All-Around Classification],"&gt;0")</f>
        <v>0</v>
      </c>
      <c r="FU116" s="6">
        <f>COUNTIFS(Table48[Country],Tabela1[[#This Row],[Country]],Table48[Balance Beam Classification],"&gt;0")</f>
        <v>0</v>
      </c>
      <c r="FV116" s="6">
        <f>COUNTIFS(Table47[Country],Tabela1[[#This Row],[Country]],Table47[Floor Exercise Classification],"&gt;0")</f>
        <v>0</v>
      </c>
      <c r="FW116" s="6">
        <f>COUNTIFS(Table48[Country],Tabela1[[#This Row],[Country]],Table48[Floor Exercise Classification],"&gt;0")</f>
        <v>0</v>
      </c>
      <c r="FX116" s="6">
        <f>COUNTIFS(Table47[Country],Tabela1[[#This Row],[Country]],Table47[Horizontal Bar Classification],"&gt;0")</f>
        <v>0</v>
      </c>
      <c r="FY116" s="6">
        <f>COUNTIFS(Table47[Country],Tabela1[[#This Row],[Country]],Table47[Parallel Bars Classification],"&gt;0")</f>
        <v>0</v>
      </c>
      <c r="FZ116" s="6">
        <f>COUNTIFS(Table47[Country],Tabela1[[#This Row],[Country]],Table47[Pommel Horse Classification],"&gt;0")</f>
        <v>0</v>
      </c>
      <c r="GA116" s="6">
        <f>COUNTIFS(Table47[Country],Tabela1[[#This Row],[Country]],Table47[Rings Classification],"&gt;0")</f>
        <v>0</v>
      </c>
      <c r="GB116" s="6">
        <f>COUNTIFS(Tabela132[Country],Tabela1[[#This Row],[Country]],Tabela132[Classification],"&gt;0")</f>
        <v>0</v>
      </c>
      <c r="GC116" s="6">
        <f>COUNTIFS(Tabela139[Country],Tabela1[[#This Row],[Country]],Tabela139[Classification],"&gt;0")</f>
        <v>0</v>
      </c>
      <c r="GD116" s="6">
        <f>COUNTIFS(Table48[Country],Tabela1[[#This Row],[Country]],Table48[Uneven Bars Classification],"&gt;0")</f>
        <v>0</v>
      </c>
      <c r="GE116" s="6">
        <f>COUNTIFS(Table47[Country],Tabela1[[#This Row],[Country]],Table47[Vault Classification],"&gt;0")</f>
        <v>0</v>
      </c>
      <c r="GF116" s="6">
        <f>COUNTIFS(Table48[Country],Tabela1[[#This Row],[Country]],Table48[Vault Classification],"&gt;0")</f>
        <v>0</v>
      </c>
      <c r="GG116" s="6">
        <f>COUNTIFS(Table919496[Country],Tabela1[[#This Row],[Country]],Table919496[Men''s Classification],"&gt;0")</f>
        <v>0</v>
      </c>
      <c r="GH116" s="6">
        <f>COUNTIFS(Table919496[Country],Tabela1[[#This Row],[Country]],Table919496[Women''s Classification],"&gt;0")</f>
        <v>0</v>
      </c>
      <c r="GI116" s="6">
        <f>COUNTIFS(Table12[Country],Tabela1[[#This Row],[Country]],Table12[60kg Classification],"&gt;0")</f>
        <v>0</v>
      </c>
      <c r="GJ116" s="6">
        <f>COUNTIFS(Table12[Country],Tabela1[[#This Row],[Country]],Table12[66kg Classification],"&gt;0")</f>
        <v>0</v>
      </c>
      <c r="GK116" s="6">
        <f>COUNTIFS(Table12[Country],Tabela1[[#This Row],[Country]],Table12[73kg Classification],"&gt;0")</f>
        <v>0</v>
      </c>
      <c r="GL116" s="6">
        <f>COUNTIFS(Table12[Country],Tabela1[[#This Row],[Country]],Table12[81kg Classification],"&gt;0")</f>
        <v>0</v>
      </c>
      <c r="GM116" s="6">
        <f>COUNTIFS(Table12[Country],Tabela1[[#This Row],[Country]],Table12[90kg Classification],"&gt;0")</f>
        <v>0</v>
      </c>
      <c r="GN116" s="6">
        <f>COUNTIFS(Table12[Country],Tabela1[[#This Row],[Country]],Table12[100kg Classification],"&gt;0")</f>
        <v>0</v>
      </c>
      <c r="GO116" s="6">
        <f>COUNTIFS(Table12[Country],Tabela1[[#This Row],[Country]],Table12[Plus 100kg Classification],"&gt;0")</f>
        <v>0</v>
      </c>
      <c r="GP116" s="6">
        <f>COUNTIFS(Table13[Country],Tabela1[[#This Row],[Country]],Table13[48kg Classification],"&gt;0")</f>
        <v>0</v>
      </c>
      <c r="GQ116" s="6">
        <f>COUNTIFS(Table13[Country],Tabela1[[#This Row],[Country]],Table13[52kg Classification],"&gt;0")</f>
        <v>0</v>
      </c>
      <c r="GR116" s="6">
        <f>COUNTIFS(Table13[Country],Tabela1[[#This Row],[Country]],Table13[57kg Classification],"&gt;0")</f>
        <v>0</v>
      </c>
      <c r="GS116" s="6">
        <f>COUNTIFS(Table13[Country],Tabela1[[#This Row],[Country]],Table13[63kg Classification],"&gt;0")</f>
        <v>0</v>
      </c>
      <c r="GT116" s="6">
        <f>COUNTIFS(Table13[Country],Tabela1[[#This Row],[Country]],Table13[70kg Classification],"&gt;0")</f>
        <v>0</v>
      </c>
      <c r="GU116" s="6">
        <f>COUNTIFS(Table13[Country],Tabela1[[#This Row],[Country]],Table13[78kg Classification],"&gt;0")</f>
        <v>0</v>
      </c>
      <c r="GV116" s="6">
        <f>COUNTIFS(Table13[Country],Tabela1[[#This Row],[Country]],Table13[Plus 78kg Classification],"&gt;0")</f>
        <v>0</v>
      </c>
      <c r="GW116" s="6">
        <f>COUNTIFS(Table82[Country],Tabela1[[#This Row],[Country]],Table82[Mixed Classification],"&gt;0")</f>
        <v>0</v>
      </c>
      <c r="GX116" s="6">
        <f>COUNTIFS(Table51[Country],Tabela1[[#This Row],[Country]],Table51[Classification],"&gt;0")</f>
        <v>0</v>
      </c>
      <c r="GY116" s="6">
        <f>COUNTIFS(Table52[Country],Tabela1[[#This Row],[Country]],Table52[Classification],"&gt;0")</f>
        <v>0</v>
      </c>
      <c r="GZ116" s="6">
        <f>COUNTIFS(Table32[Country],Tabela1[[#This Row],[Country]],Table32[All-Around Classification],"&gt;0")</f>
        <v>0</v>
      </c>
      <c r="HA116" s="6">
        <f>COUNTIFS(Table49[Country],Tabela1[[#This Row],[Country]],Table49[All-Around Classification],"&gt;0")</f>
        <v>0</v>
      </c>
      <c r="HB116" s="6">
        <f>COUNTIFS(Table26[Country],Tabela1[[#This Row],[Country]],Table26[Single Sculls Classification],"&gt;0")</f>
        <v>0</v>
      </c>
      <c r="HC116" s="6">
        <f>COUNTIFS(Table63[Country],Tabela1[[#This Row],[Country]],Table63[Single Sculls Classification],"&gt;0")</f>
        <v>0</v>
      </c>
      <c r="HD116" s="6">
        <f>COUNTIFS(Table16[Country],Tabela1[[#This Row],[Country]],Table16[Men''s Double Sculls Classification],"&gt;0")</f>
        <v>0</v>
      </c>
      <c r="HE116" s="6">
        <f>COUNTIFS(Table16[Country],Tabela1[[#This Row],[Country]],Table16[Women''s Double Sculls Classification],"&gt;0")</f>
        <v>0</v>
      </c>
      <c r="HF116" s="6">
        <f>COUNTIFS(Table72[Country],Tabela1[[#This Row],[Country]],Table72[Men''s Quadruple Sculls Classification],"&gt;0")</f>
        <v>0</v>
      </c>
      <c r="HG116" s="6">
        <f>COUNTIFS(Table72[Country],Tabela1[[#This Row],[Country]],Table72[Women''s Quadruple Sculls Classification],"&gt;0")</f>
        <v>0</v>
      </c>
      <c r="HH116" s="6">
        <f>COUNTIFS(Table16[Country],Tabela1[[#This Row],[Country]],Table16[Men''s Coxless Pairs Classification],"&gt;0")</f>
        <v>0</v>
      </c>
      <c r="HI116" s="6">
        <f>COUNTIFS(Table16[Country],Tabela1[[#This Row],[Country]],Table16[Women''s Coxless Pairs Classification],"&gt;0")</f>
        <v>0</v>
      </c>
      <c r="HJ116" s="6">
        <f>COUNTIFS(Table72[Country],Tabela1[[#This Row],[Country]],Table72[Men''s Coxless Fours Classification],"&gt;0")</f>
        <v>0</v>
      </c>
      <c r="HK116" s="6">
        <f>COUNTIFS(Table72[Country],Tabela1[[#This Row],[Country]],Table72[Women''s Coxless Fours Classification],"&gt;0")</f>
        <v>0</v>
      </c>
      <c r="HL116" s="6">
        <f>COUNTIFS(Table72[Country],Tabela1[[#This Row],[Country]],Table72[Men''s Eights Classification],"&gt;0")</f>
        <v>0</v>
      </c>
      <c r="HM116" s="6">
        <f>COUNTIFS(Table72[Country],Tabela1[[#This Row],[Country]],Table72[Women''s Eights Classification],"&gt;0")</f>
        <v>0</v>
      </c>
      <c r="HN116" s="6">
        <f>COUNTIFS(Table16[Country],Tabela1[[#This Row],[Country]],Table16[Men''s Lwt. Double Sculls Classification],"&gt;0")</f>
        <v>0</v>
      </c>
      <c r="HO116" s="6">
        <f>COUNTIFS(Table16[Country],Tabela1[[#This Row],[Country]],Table16[Women''s Lwt. Double Sculls Classification],"&gt;0")</f>
        <v>0</v>
      </c>
      <c r="HP116" s="6">
        <f>COUNTIFS(Table91949698[Country],Tabela1[[#This Row],[Country]],Table91949698[Men''s Classification],"&gt;0")</f>
        <v>0</v>
      </c>
      <c r="HQ116" s="6">
        <f>COUNTIFS(Table91949698[Country],Tabela1[[#This Row],[Country]],Table91949698[Women''s Classification],"&gt;0")</f>
        <v>0</v>
      </c>
      <c r="HR116" s="6">
        <f>COUNTIFS(Table25[Country],Tabela1[[#This Row],[Country]],Table25[Mixed 470 Classification],"&gt;0")</f>
        <v>0</v>
      </c>
      <c r="HS116" s="6">
        <f>COUNTIFS(Table25[Country],Tabela1[[#This Row],[Country]],Table25[Men''s 49er Classification],"&gt;0")</f>
        <v>0</v>
      </c>
      <c r="HT116" s="6">
        <f>COUNTIFS(Table25[Country],Tabela1[[#This Row],[Country]],Table25[Women''s 49er FX Classification],"&gt;0")</f>
        <v>0</v>
      </c>
      <c r="HU116" s="6">
        <f>COUNTIFS(Table17[Country],Tabela1[[#This Row],[Country]],Table17[Formula Kite Classification],"&gt;0")</f>
        <v>0</v>
      </c>
      <c r="HV116" s="6">
        <f>COUNTIFS(Table18[Country],Tabela1[[#This Row],[Country]],Table18[Formula Kite Classification],"&gt;0")</f>
        <v>0</v>
      </c>
      <c r="HW116" s="6">
        <f>COUNTIFS(Table17[Country],Tabela1[[#This Row],[Country]],Table17[ILCA 7 Classification],"&gt;0")</f>
        <v>0</v>
      </c>
      <c r="HX116" s="6">
        <f>COUNTIFS(Table18[Country],Tabela1[[#This Row],[Country]],Table18[ILCA 6 Classification],"&gt;0")</f>
        <v>0</v>
      </c>
      <c r="HY116" s="6">
        <f>COUNTIFS(Table17[Country],Tabela1[[#This Row],[Country]],Table17[IQFoil Classification],"&gt;0")</f>
        <v>0</v>
      </c>
      <c r="HZ116" s="6">
        <f>COUNTIFS(Table18[Country],Tabela1[[#This Row],[Country]],Table18[IQFoil Classification],"&gt;0")</f>
        <v>0</v>
      </c>
      <c r="IA116" s="6">
        <f>COUNTIFS(Table25[Country],Tabela1[[#This Row],[Country]],Table25[Mixed Nacra 17 Classification],"&gt;0")</f>
        <v>0</v>
      </c>
      <c r="IB116" s="6">
        <f>COUNTIFS(Table53[Country],Tabela1[[#This Row],[Country]],Table53[10m Air Pistol Classification],"&gt;0")</f>
        <v>0</v>
      </c>
      <c r="IC116" s="6">
        <f>COUNTIFS(Table19[Country],Tabela1[[#This Row],[Country]],Table19[10m Air Pistol Classification],"&gt;0")</f>
        <v>0</v>
      </c>
      <c r="ID116" s="6">
        <f>COUNTIFS(Table54[Country],Tabela1[[#This Row],[Country]],Table54[Mixed 10m Air Pistol Team Classification],"&gt;0")</f>
        <v>0</v>
      </c>
      <c r="IE116" s="6">
        <f>COUNTIFS(Table53[Country],Tabela1[[#This Row],[Country]],Table53[10m Air Rifle Classification],"&gt;0")</f>
        <v>0</v>
      </c>
      <c r="IF116" s="6">
        <f>COUNTIFS(Table19[Country],Tabela1[[#This Row],[Country]],Table19[10m Air Rifle Classification],"&gt;0")</f>
        <v>0</v>
      </c>
      <c r="IG116" s="6">
        <f>COUNTIFS(Table54[Country],Tabela1[[#This Row],[Country]],Table54[Mixed 10m Air Rifle Team Classification],"&gt;0")</f>
        <v>0</v>
      </c>
      <c r="IH116" s="6">
        <f>COUNTIFS(Table53[Country],Tabela1[[#This Row],[Country]],Table53[25m Rapid Fire Pistol Classification],"&gt;0")</f>
        <v>0</v>
      </c>
      <c r="II116" s="6">
        <f>COUNTIFS(Table19[Country],Tabela1[[#This Row],[Country]],Table19[25m Pistol Classification],"&gt;0")</f>
        <v>0</v>
      </c>
      <c r="IJ116" s="6">
        <f>COUNTIFS(Table53[Country],Tabela1[[#This Row],[Country]],Table53[50m Rifle 3 Positions Classification],"&gt;0")</f>
        <v>0</v>
      </c>
      <c r="IK116" s="6">
        <f>COUNTIFS(Table19[Country],Tabela1[[#This Row],[Country]],Table19[50m Rifle 3 Positions Classification],"&gt;0")</f>
        <v>0</v>
      </c>
      <c r="IL116" s="6">
        <f>COUNTIFS(Table53[Country],Tabela1[[#This Row],[Country]],Table53[Skeet Classification],"&gt;0")</f>
        <v>0</v>
      </c>
      <c r="IM116" s="6">
        <f>COUNTIFS(Table19[Country],Tabela1[[#This Row],[Country]],Table19[Skeet Classification],"&gt;0")</f>
        <v>0</v>
      </c>
      <c r="IN116" s="6">
        <f>COUNTIFS(Table54[Country],Tabela1[[#This Row],[Country]],Table54[Mixed Skeet Team Classification],"&gt;0")</f>
        <v>0</v>
      </c>
      <c r="IO116" s="6">
        <f>COUNTIFS(Table53[Country],Tabela1[[#This Row],[Country]],Table53[Trap Classification],"&gt;0")</f>
        <v>0</v>
      </c>
      <c r="IP116" s="6">
        <f>COUNTIFS(Table19[Country],Tabela1[[#This Row],[Country]],Table19[Trap Classification],"&gt;0")</f>
        <v>0</v>
      </c>
      <c r="IQ116" s="6">
        <f>COUNTIFS(Table73[Country],Tabela1[[#This Row],[Country]],Table73[Park Classification],"&gt;0")</f>
        <v>0</v>
      </c>
      <c r="IR116" s="6">
        <f>COUNTIFS(Table74[Country],Tabela1[[#This Row],[Country]],Table74[Park Classification],"&gt;0")</f>
        <v>0</v>
      </c>
      <c r="IS116" s="6">
        <f>COUNTIFS(Table73[Country],Tabela1[[#This Row],[Country]],Table73[Street Classification],"&gt;0")</f>
        <v>0</v>
      </c>
      <c r="IT116" s="6">
        <f>COUNTIFS(Table74[Country],Tabela1[[#This Row],[Country]],Table74[Street Classification],"&gt;0")</f>
        <v>0</v>
      </c>
      <c r="IU116" s="6">
        <f>COUNTIFS(Table75[Country],Tabela1[[#This Row],[Country]],Table75[Boulder and Lead Classification],"&gt;0")</f>
        <v>0</v>
      </c>
      <c r="IV116" s="6">
        <f>COUNTIFS(Table76[Country],Tabela1[[#This Row],[Country]],Table76[Boulder and Lead Classification],"&gt;0")</f>
        <v>0</v>
      </c>
      <c r="IW116" s="6">
        <f>COUNTIFS(Table75[Country],Tabela1[[#This Row],[Country]],Table75[Speed Classification],"&gt;0")</f>
        <v>0</v>
      </c>
      <c r="IX116" s="6">
        <f>COUNTIFS(Table76[Country],Tabela1[[#This Row],[Country]],Table76[Speed Classification],"&gt;0")</f>
        <v>0</v>
      </c>
      <c r="IY116" s="6">
        <f>COUNTIFS(Table64[Country],Tabela1[[#This Row],[Country]],Table64[Shortboard Classification],"&gt;0")</f>
        <v>0</v>
      </c>
      <c r="IZ116" s="6">
        <f>COUNTIFS(Table77[Country],Tabela1[[#This Row],[Country]],Table77[Shortboard Classification],"&gt;0")</f>
        <v>0</v>
      </c>
      <c r="JA116" s="6">
        <f>COUNTIFS(Table20[Country],Tabela1[[#This Row],[Country]],Table20[50m Freestyle Classification],"&gt;0")</f>
        <v>0</v>
      </c>
      <c r="JB116" s="6">
        <f>COUNTIFS(Table21[Country],Tabela1[[#This Row],[Country]],Table21[50m Freestyle Classification],"&gt;0")</f>
        <v>0</v>
      </c>
      <c r="JC116" s="6">
        <f>COUNTIFS(Table20[Country],Tabela1[[#This Row],[Country]],Table20[100m Freestyle Classification],"&gt;0")</f>
        <v>0</v>
      </c>
      <c r="JD116" s="6">
        <f>COUNTIFS(Table21[Country],Tabela1[[#This Row],[Country]],Table21[100m Freestyle Classification],"&gt;0")</f>
        <v>0</v>
      </c>
      <c r="JE116" s="6">
        <f>COUNTIFS(Table20[Country],Tabela1[[#This Row],[Country]],Table20[200m Freestyle Classification],"&gt;0")</f>
        <v>0</v>
      </c>
      <c r="JF116" s="6">
        <f>COUNTIFS(Table21[Country],Tabela1[[#This Row],[Country]],Table21[200m Freestyle Classification],"&gt;0")</f>
        <v>0</v>
      </c>
      <c r="JG116" s="6">
        <f>COUNTIFS(Table20[Country],Tabela1[[#This Row],[Country]],Table20[400m Freestyle Classification],"&gt;0")</f>
        <v>0</v>
      </c>
      <c r="JH116" s="6">
        <f>COUNTIFS(Table21[Country],Tabela1[[#This Row],[Country]],Table21[400m Freestyle Classification],"&gt;0")</f>
        <v>0</v>
      </c>
      <c r="JI116" s="6">
        <f>COUNTIFS(Table20[Country],Tabela1[[#This Row],[Country]],Table20[800m Freestyle Classification],"&gt;0")</f>
        <v>0</v>
      </c>
      <c r="JJ116" s="6">
        <f>COUNTIFS(Table21[Country],Tabela1[[#This Row],[Country]],Table21[800m Freestyle Classification],"&gt;0")</f>
        <v>0</v>
      </c>
      <c r="JK116" s="6">
        <f>COUNTIFS(Table20[Country],Tabela1[[#This Row],[Country]],Table20[1500m Freestyle Classification],"&gt;0")</f>
        <v>0</v>
      </c>
      <c r="JL116" s="6">
        <f>COUNTIFS(Table21[Country],Tabela1[[#This Row],[Country]],Table21[1500m Freestyle Classification],"&gt;0")</f>
        <v>0</v>
      </c>
      <c r="JM116" s="6">
        <f>COUNTIFS(Table20[Country],Tabela1[[#This Row],[Country]],Table20[100m Backstroke Classification],"&gt;0")</f>
        <v>0</v>
      </c>
      <c r="JN116" s="6">
        <f>COUNTIFS(Table21[Country],Tabela1[[#This Row],[Country]],Table21[100m Backstroke Classification],"&gt;0")</f>
        <v>0</v>
      </c>
      <c r="JO116" s="6">
        <f>COUNTIFS(Table20[Country],Tabela1[[#This Row],[Country]],Table20[200m Backstroke Classification],"&gt;0")</f>
        <v>0</v>
      </c>
      <c r="JP116" s="6">
        <f>COUNTIFS(Table21[Country],Tabela1[[#This Row],[Country]],Table21[200m Backstroke Classification],"&gt;0")</f>
        <v>0</v>
      </c>
      <c r="JQ116" s="6">
        <f>COUNTIFS(Table20[Country],Tabela1[[#This Row],[Country]],Table20[100m Breaststroke Classification],"&gt;0")</f>
        <v>0</v>
      </c>
      <c r="JR116" s="6">
        <f>COUNTIFS(Table21[Country],Tabela1[[#This Row],[Country]],Table21[100m Breaststroke Classification],"&gt;0")</f>
        <v>0</v>
      </c>
      <c r="JS116" s="6">
        <f>COUNTIFS(Table20[Country],Tabela1[[#This Row],[Country]],Table20[200m Breaststroke Classification],"&gt;0")</f>
        <v>0</v>
      </c>
      <c r="JT116" s="6">
        <f>COUNTIFS(Table21[Country],Tabela1[[#This Row],[Country]],Table21[200m Breaststroke Classification],"&gt;0")</f>
        <v>0</v>
      </c>
      <c r="JU116" s="6">
        <f>COUNTIFS(Table20[Country],Tabela1[[#This Row],[Country]],Table20[100m Butterfly Classification],"&gt;0")</f>
        <v>0</v>
      </c>
      <c r="JV116" s="6">
        <f>COUNTIFS(Table21[Country],Tabela1[[#This Row],[Country]],Table21[100m Butterfly Classification],"&gt;0")</f>
        <v>0</v>
      </c>
      <c r="JW116" s="6">
        <f>COUNTIFS(Table20[Country],Tabela1[[#This Row],[Country]],Table20[200m Butterfly Classification],"&gt;0")</f>
        <v>0</v>
      </c>
      <c r="JX116" s="6">
        <f>COUNTIFS(Table21[Country],Tabela1[[#This Row],[Country]],Table21[200m Butterfly Classification],"&gt;0")</f>
        <v>0</v>
      </c>
      <c r="JY116" s="6">
        <f>COUNTIFS(Table20[Country],Tabela1[[#This Row],[Country]],Table20[200m Medley Classification],"&gt;0")</f>
        <v>0</v>
      </c>
      <c r="JZ116" s="6">
        <f>COUNTIFS(Table21[Country],Tabela1[[#This Row],[Country]],Table21[200m Medley Classification],"&gt;0")</f>
        <v>0</v>
      </c>
      <c r="KA116" s="6">
        <f>COUNTIFS(Table20[Country],Tabela1[[#This Row],[Country]],Table20[400m Medley Classification],"&gt;0")</f>
        <v>0</v>
      </c>
      <c r="KB116" s="6">
        <f>COUNTIFS(Table21[Country],Tabela1[[#This Row],[Country]],Table21[400m Medley Classification],"&gt;0")</f>
        <v>0</v>
      </c>
      <c r="KC116" s="6">
        <f>COUNTIFS(Table78[Country],Tabela1[[#This Row],[Country]],Table78[Men''s 4x100m Freestyle Relay Classification],"&gt;0")</f>
        <v>0</v>
      </c>
      <c r="KD116" s="6">
        <f>COUNTIFS(Table78[Country],Tabela1[[#This Row],[Country]],Table78[Women''s 4x100m Freestyle Relay Classification],"&gt;0")</f>
        <v>0</v>
      </c>
      <c r="KE116" s="6">
        <f>COUNTIFS(Table78[Country],Tabela1[[#This Row],[Country]],Table78[Men''s 4x200m Freestyle Relay Classification],"&gt;0")</f>
        <v>0</v>
      </c>
      <c r="KF116" s="6">
        <f>COUNTIFS(Table78[Country],Tabela1[[#This Row],[Country]],Table78[Women''s 4x200m Freestyle Relay Classification],"&gt;0")</f>
        <v>0</v>
      </c>
      <c r="KG116" s="6">
        <f>COUNTIFS(Table78[Country],Tabela1[[#This Row],[Country]],Table78[Men''s 4x100m Medley Relay Classification],"&gt;0")</f>
        <v>0</v>
      </c>
      <c r="KH116" s="6">
        <f>COUNTIFS(Table78[Country],Tabela1[[#This Row],[Country]],Table78[Women''s 4x100m Medley Relay Classification],"&gt;0")</f>
        <v>0</v>
      </c>
      <c r="KI116" s="6">
        <f>COUNTIFS(Table78[Country],Tabela1[[#This Row],[Country]],Table78[Mixed 4x100m Medley Relay Classification],"&gt;0")</f>
        <v>0</v>
      </c>
      <c r="KJ116" s="6">
        <f>COUNTIFS(Table20[Country],Tabela1[[#This Row],[Country]],Table20[10km Open Water Classification],"&gt;0")</f>
        <v>0</v>
      </c>
      <c r="KK116" s="6">
        <f>COUNTIFS(Table21[Country],Tabela1[[#This Row],[Country]],Table21[10km Open Water Classification],"&gt;0")</f>
        <v>0</v>
      </c>
      <c r="KL116" s="6">
        <f>COUNTIFS(Table22[Country],Tabela1[[#This Row],[Country]],Table22[Classification],"&gt;0")</f>
        <v>0</v>
      </c>
      <c r="KM116" s="6">
        <f>COUNTIFS(Table30[Country],Tabela1[[#This Row],[Country]],Table30[Classification],"&gt;0")</f>
        <v>0</v>
      </c>
      <c r="KN116" s="6">
        <f>COUNTIFS(Table55[Country],Tabela1[[#This Row],[Country]],Table55[Men''s Classification],"&gt;0")</f>
        <v>0</v>
      </c>
      <c r="KO116" s="6">
        <f>COUNTIFS(Table55[Country],Tabela1[[#This Row],[Country]],Table55[Women''s Classification],"&gt;0")</f>
        <v>0</v>
      </c>
      <c r="KP116" s="6">
        <f>COUNTIFS(Table56[Country],Tabela1[[#This Row],[Country]],Table56[Mixed Classification],"&gt;0")</f>
        <v>0</v>
      </c>
      <c r="KQ116" s="6">
        <f>COUNTIFS(Table29[Country],Tabela1[[#This Row],[Country]],Table29[58kg Classification],"&gt;0")</f>
        <v>0</v>
      </c>
      <c r="KR116" s="6">
        <f>COUNTIFS(Table29[Country],Tabela1[[#This Row],[Country]],Table29[68kg Classification],"&gt;0")</f>
        <v>0</v>
      </c>
      <c r="KS116" s="6">
        <f>COUNTIFS(Table29[Country],Tabela1[[#This Row],[Country]],Table29[80kg Classification],"&gt;0")</f>
        <v>0</v>
      </c>
      <c r="KT116" s="6">
        <f>COUNTIFS(Table29[Country],Tabela1[[#This Row],[Country]],Table29[Plus 80kg Classification],"&gt;0")</f>
        <v>0</v>
      </c>
      <c r="KU116" s="6">
        <f>COUNTIFS(Table34[Country],Tabela1[[#This Row],[Country]],Table34[49kg Classification],"&gt;0")</f>
        <v>0</v>
      </c>
      <c r="KV116" s="6">
        <f>COUNTIFS(Table34[Country],Tabela1[[#This Row],[Country]],Table34[57kg Classification],"&gt;0")</f>
        <v>0</v>
      </c>
      <c r="KW116" s="6">
        <f>COUNTIFS(Table34[Country],Tabela1[[#This Row],[Country]],Table34[67kg Classification],"&gt;0")</f>
        <v>0</v>
      </c>
      <c r="KX116" s="6">
        <f>COUNTIFS(Table34[Country],Tabela1[[#This Row],[Country]],Table34[Plus 67kg Classification],"&gt;0")</f>
        <v>0</v>
      </c>
      <c r="KY116" s="6">
        <f>COUNTIFS(Table57[Country],Tabela1[[#This Row],[Country]],Table57[Classification],"&gt;0")</f>
        <v>0</v>
      </c>
      <c r="KZ116" s="6">
        <f>COUNTIFS(Table58[Country],Tabela1[[#This Row],[Country]],Table58[Classification],"&gt;0")</f>
        <v>0</v>
      </c>
      <c r="LA116" s="6">
        <f>COUNTIFS(Table79[Country],Tabela1[[#This Row],[Country]],Table79[Men''s Classification],"&gt;0")</f>
        <v>0</v>
      </c>
      <c r="LB116" s="6">
        <f>COUNTIFS(Table79[Country],Tabela1[[#This Row],[Country]],Table79[Women''s Classification],"&gt;0")</f>
        <v>0</v>
      </c>
      <c r="LC116" s="6">
        <f>COUNTIFS(Table79[Country],Tabela1[[#This Row],[Country]],Table79[Mixed Classification],"&gt;0")</f>
        <v>0</v>
      </c>
      <c r="LD116" s="6">
        <f>COUNTIFS(Table65[Country],Tabela1[[#This Row],[Country]],Table65[Classification],"&gt;0")</f>
        <v>0</v>
      </c>
      <c r="LE116" s="6">
        <f>COUNTIFS(Table59[Country],Tabela1[[#This Row],[Country]],Table59[Classification],"&gt;0")</f>
        <v>0</v>
      </c>
      <c r="LF116" s="6">
        <f>COUNTIFS(Table87[Country],Tabela1[[#This Row],[Country]],Table87[Mixed Relay Classification],"&gt;0")</f>
        <v>0</v>
      </c>
      <c r="LG116" s="6">
        <f>COUNTIFS(Table91949698100[Country],Tabela1[[#This Row],[Country]],Table91949698100[Men''s Classification],"&gt;0")</f>
        <v>0</v>
      </c>
      <c r="LH116" s="6">
        <f>COUNTIFS(Table91949698100[Country],Tabela1[[#This Row],[Country]],Table91949698100[Women''s Classification],"&gt;0")</f>
        <v>0</v>
      </c>
      <c r="LI116" s="6">
        <f>COUNTIFS(Table91949698100102[Country],Tabela1[[#This Row],[Country]],Table91949698100102[Men''s Classification],"&gt;0")</f>
        <v>0</v>
      </c>
      <c r="LJ116" s="6">
        <f>COUNTIFS(Table91949698100102[Country],Tabela1[[#This Row],[Country]],Table91949698100102[Women''s Classification],"&gt;0")</f>
        <v>0</v>
      </c>
      <c r="LK116" s="6">
        <f>COUNTIFS(Table23[Country],Tabela1[[#This Row],[Country]],Table23[61kg Classification],"&gt;0")</f>
        <v>0</v>
      </c>
      <c r="LL116" s="6">
        <f>COUNTIFS(Table23[Country],Tabela1[[#This Row],[Country]],Table23[73kg Classification],"&gt;0")</f>
        <v>0</v>
      </c>
      <c r="LM116" s="6">
        <f>COUNTIFS(Table23[Country],Tabela1[[#This Row],[Country]],Table23[89kg Classification],"&gt;0")</f>
        <v>0</v>
      </c>
      <c r="LN116" s="6">
        <f>COUNTIFS(Table23[Country],Tabela1[[#This Row],[Country]],Table23[102kg Classification],"&gt;0")</f>
        <v>0</v>
      </c>
      <c r="LO116" s="6">
        <f>COUNTIFS(Table23[Country],Tabela1[[#This Row],[Country]],Table23[Plus 102kg Classification],"&gt;0")</f>
        <v>0</v>
      </c>
      <c r="LP116" s="6">
        <f>COUNTIFS(Table28[Country],Tabela1[[#This Row],[Country]],Table28[49kg Classification],"&gt;0")</f>
        <v>0</v>
      </c>
      <c r="LQ116" s="6">
        <f>COUNTIFS(Table28[Country],Tabela1[[#This Row],[Country]],Table28[59kg Classification],"&gt;0")</f>
        <v>0</v>
      </c>
      <c r="LR116" s="6">
        <f>COUNTIFS(Table28[Country],Tabela1[[#This Row],[Country]],Table28[71kg Classification],"&gt;0")</f>
        <v>0</v>
      </c>
      <c r="LS116" s="6">
        <f>COUNTIFS(Table28[Country],Tabela1[[#This Row],[Country]],Table28[81kg Classification],"&gt;0")</f>
        <v>0</v>
      </c>
      <c r="LT116" s="6">
        <f>COUNTIFS(Table28[Country],Tabela1[[#This Row],[Country]],Table28[Plus 81kg Classification],"&gt;0")</f>
        <v>0</v>
      </c>
      <c r="LU116" s="6">
        <f>COUNTIFS(Table24[Country],Tabela1[[#This Row],[Country]],Table24[Freestyle 57kg Classification],"&gt;0")</f>
        <v>0</v>
      </c>
      <c r="LV116" s="6">
        <f>COUNTIFS(Table24[Country],Tabela1[[#This Row],[Country]],Table24[Freestyle 65kg Classification],"&gt;0")</f>
        <v>0</v>
      </c>
      <c r="LW116" s="6">
        <f>COUNTIFS(Table24[Country],Tabela1[[#This Row],[Country]],Table24[Freestyle 74kg Classification],"&gt;0")</f>
        <v>0</v>
      </c>
      <c r="LX116" s="6">
        <f>COUNTIFS(Table24[Country],Tabela1[[#This Row],[Country]],Table24[Freestyle 86kg Classification],"&gt;0")</f>
        <v>0</v>
      </c>
      <c r="LY116" s="6">
        <f>COUNTIFS(Table24[Country],Tabela1[[#This Row],[Country]],Table24[Freestyle 97kg Classification],"&gt;0")</f>
        <v>0</v>
      </c>
      <c r="LZ116" s="6">
        <f>COUNTIFS(Table24[Country],Tabela1[[#This Row],[Country]],Table24[Freestyle 125kg Classification],"&gt;0")</f>
        <v>0</v>
      </c>
      <c r="MA116" s="6">
        <f>COUNTIFS(Table24[Country],Tabela1[[#This Row],[Country]],Table24[Greco-Roman 60kg Classification],"&gt;0")</f>
        <v>0</v>
      </c>
      <c r="MB116" s="6">
        <f>COUNTIFS(Table24[Country],Tabela1[[#This Row],[Country]],Table24[Greco-Roman 67kg Classification],"&gt;0")</f>
        <v>0</v>
      </c>
      <c r="MC116" s="6">
        <f>COUNTIFS(Table24[Country],Tabela1[[#This Row],[Country]],Table24[Greco-Roman 77kg Classification],"&gt;0")</f>
        <v>0</v>
      </c>
      <c r="MD116" s="6">
        <f>COUNTIFS(Table24[Country],Tabela1[[#This Row],[Country]],Table24[Greco-Roman 87kg Classification],"&gt;0")</f>
        <v>0</v>
      </c>
      <c r="ME116" s="6">
        <f>COUNTIFS(Table24[Country],Tabela1[[#This Row],[Country]],Table24[Greco-Roman 97kg Classification],"&gt;0")</f>
        <v>0</v>
      </c>
      <c r="MF116" s="6">
        <f>COUNTIFS(Table24[Country],Tabela1[[#This Row],[Country]],Table24[Greco-Roman 130kg Classification],"&gt;0")</f>
        <v>0</v>
      </c>
      <c r="MG116" s="6">
        <f>COUNTIFS(Table31[Country],Tabela1[[#This Row],[Country]],Table31[50kg Classification],"&gt;0")</f>
        <v>0</v>
      </c>
      <c r="MH116" s="6">
        <f>COUNTIFS(Table31[Country],Tabela1[[#This Row],[Country]],Table31[53kg Classification],"&gt;0")</f>
        <v>0</v>
      </c>
      <c r="MI116" s="6">
        <f>COUNTIFS(Table31[Country],Tabela1[[#This Row],[Country]],Table31[57kg Classification],"&gt;0")</f>
        <v>0</v>
      </c>
      <c r="MJ116" s="6">
        <f>COUNTIFS(Table31[Country],Tabela1[[#This Row],[Country]],Table31[62kg Classification],"&gt;0")</f>
        <v>0</v>
      </c>
      <c r="MK116" s="6">
        <f>COUNTIFS(Table31[Country],Tabela1[[#This Row],[Country]],Table31[68kg Classification],"&gt;0")</f>
        <v>0</v>
      </c>
      <c r="ML116" s="6">
        <f>COUNTIFS(Table31[Country],Tabela1[[#This Row],[Country]],Table31[76kg Classification],"&gt;0")</f>
        <v>0</v>
      </c>
      <c r="MM116" s="6">
        <f>COUNTIFS(Table102[Country],Tabela1[[#This Row],[Country]],Table102[Downhill Classification],"&gt;0")</f>
        <v>0</v>
      </c>
      <c r="MN116" s="6">
        <f>COUNTIFS(Table102105[Country],Tabela1[[#This Row],[Country]],Table102105[Downhill Classification],"&gt;0")</f>
        <v>0</v>
      </c>
      <c r="MO116" s="6">
        <f>COUNTIFS(Table102[Country],Tabela1[[#This Row],[Country]],Table102[Giant Slalom Classification],"&gt;0")</f>
        <v>0</v>
      </c>
      <c r="MP116" s="6">
        <f>COUNTIFS(Table102105[Country],Tabela1[[#This Row],[Country]],Table102105[Giant Slalom Classification],"&gt;0")</f>
        <v>0</v>
      </c>
      <c r="MQ116" s="6">
        <f>COUNTIFS(Table102[Country],Tabela1[[#This Row],[Country]],Table102[Slalom Classification],"&gt;0")</f>
        <v>0</v>
      </c>
      <c r="MR116" s="6">
        <f>COUNTIFS(Table102105[Country],Tabela1[[#This Row],[Country]],Table102105[Slalom Classification],"&gt;0")</f>
        <v>0</v>
      </c>
      <c r="MS116" s="6">
        <f>COUNTIFS(Table102[Country],Tabela1[[#This Row],[Country]],Table102[Super-G Classification],"&gt;0")</f>
        <v>0</v>
      </c>
      <c r="MT116" s="6">
        <f>COUNTIFS(Table102105[Country],Tabela1[[#This Row],[Country]],Table102105[Super-G Classification],"&gt;0")</f>
        <v>0</v>
      </c>
      <c r="MU116" s="6">
        <f>COUNTIFS(Table105[Country],Tabela1[[#This Row],[Country]],Table105[Men''s Combined Classification],"&gt;0")</f>
        <v>0</v>
      </c>
      <c r="MV116" s="6">
        <f>COUNTIFS(Table105[Country],Tabela1[[#This Row],[Country]],Table105[Women''s Combined Classification],"&gt;0")</f>
        <v>0</v>
      </c>
      <c r="MW116" s="6">
        <f>COUNTIFS(Table106[Country],Tabela1[[#This Row],[Country]],Table106[Individual Classification],"&gt;0")</f>
        <v>0</v>
      </c>
      <c r="MX116" s="6">
        <f>COUNTIFS(Table106109[Country],Tabela1[[#This Row],[Country]],Table106109[Individual Classification],"&gt;0")</f>
        <v>0</v>
      </c>
      <c r="MY116" s="6">
        <f>COUNTIFS(Table106[Country],Tabela1[[#This Row],[Country]],Table106[Mass Start Classification],"&gt;0")</f>
        <v>0</v>
      </c>
      <c r="MZ116" s="6">
        <f>COUNTIFS(Table106109[Country],Tabela1[[#This Row],[Country]],Table106109[Mass Start Classification],"&gt;0")</f>
        <v>0</v>
      </c>
      <c r="NA116" s="6">
        <f>COUNTIFS(Table106[Country],Tabela1[[#This Row],[Country]],Table106[Pursuit Classification],"&gt;0")</f>
        <v>0</v>
      </c>
      <c r="NB116" s="6">
        <f>COUNTIFS(Table106109[Country],Tabela1[[#This Row],[Country]],Table106109[Pursuit Classification],"&gt;0")</f>
        <v>0</v>
      </c>
      <c r="NC116" s="6">
        <f>COUNTIFS(Table106[Country],Tabela1[[#This Row],[Country]],Table106[Sprint Classification],"&gt;0")</f>
        <v>0</v>
      </c>
      <c r="ND116" s="6">
        <f>COUNTIFS(Table106109[Country],Tabela1[[#This Row],[Country]],Table106109[Sprint Classification],"&gt;0")</f>
        <v>0</v>
      </c>
      <c r="NE116" s="6">
        <f>COUNTIFS(Table109[Country],Tabela1[[#This Row],[Country]],Table109[Men''s Relay Classification],"&gt;0")</f>
        <v>0</v>
      </c>
      <c r="NF116" s="6">
        <f>COUNTIFS(Table109[Country],Tabela1[[#This Row],[Country]],Table109[Women''s Relay Classification],"&gt;0")</f>
        <v>0</v>
      </c>
      <c r="NG116" s="6">
        <f>COUNTIFS(Table109[Country],Tabela1[[#This Row],[Country]],Table109[Mixed Relay Classification],"&gt;0")</f>
        <v>0</v>
      </c>
      <c r="NH116" s="6">
        <f>COUNTIFS(Table110[Country],Tabela1[[#This Row],[Country]],Table110[Monobob Classification],"&gt;0")</f>
        <v>0</v>
      </c>
      <c r="NI116" s="6">
        <f>COUNTIFS(Table111[Country],Tabela1[[#This Row],[Country]],Table111[Men''s Classification],"&gt;0")</f>
        <v>0</v>
      </c>
      <c r="NJ116" s="6">
        <f>COUNTIFS(Table111[Country],Tabela1[[#This Row],[Country]],Table111[Women''s Classification],"&gt;0")</f>
        <v>0</v>
      </c>
      <c r="NK116" s="6">
        <f>COUNTIFS(Table112[Country],Tabela1[[#This Row],[Country]],Table112[Men''s Four Classification],"&gt;0")</f>
        <v>0</v>
      </c>
      <c r="NL116" s="6">
        <f>COUNTIFS(Table113[Country],Tabela1[[#This Row],[Country]],Table113[Classical Classification],"&gt;0")</f>
        <v>0</v>
      </c>
      <c r="NM116" s="6">
        <f>COUNTIFS(Table113116[Country],Tabela1[[#This Row],[Country]],Table113116[Classical Classification],"&gt;0")</f>
        <v>0</v>
      </c>
      <c r="NN116" s="6">
        <f>COUNTIFS(Table113[Country],Tabela1[[#This Row],[Country]],Table113[Freestyle Classification],"&gt;0")</f>
        <v>0</v>
      </c>
      <c r="NO116" s="6">
        <f>COUNTIFS(Table113116[Country],Tabela1[[#This Row],[Country]],Table113116[Freestyle Classification],"&gt;0")</f>
        <v>0</v>
      </c>
      <c r="NP116" s="6">
        <f>COUNTIFS(Table117[Country],Tabela1[[#This Row],[Country]],Table117[Men''s Relay Classification],"&gt;0")</f>
        <v>0</v>
      </c>
      <c r="NQ116" s="6">
        <f>COUNTIFS(Table117[Country],Tabela1[[#This Row],[Country]],Table117[Women''s Relay Classification],"&gt;0")</f>
        <v>0</v>
      </c>
      <c r="NR116" s="6">
        <f>COUNTIFS(Table113[Country],Tabela1[[#This Row],[Country]],Table113[Skiathlon Classification],"&gt;0")</f>
        <v>0</v>
      </c>
      <c r="NS116" s="6">
        <f>COUNTIFS(Table113116[Country],Tabela1[[#This Row],[Country]],Table113116[Skiathlon Classification],"&gt;0")</f>
        <v>0</v>
      </c>
      <c r="NT116" s="6">
        <f>COUNTIFS(Table113[Country],Tabela1[[#This Row],[Country]],Table113[Sprint Classification],"&gt;0")</f>
        <v>0</v>
      </c>
      <c r="NU116" s="6">
        <f>COUNTIFS(Table113116[Country],Tabela1[[#This Row],[Country]],Table113116[Sprint Classification],"&gt;0")</f>
        <v>0</v>
      </c>
      <c r="NV116" s="6">
        <f>COUNTIFS(Table116[Country],Tabela1[[#This Row],[Country]],Table116[Men''s Team Sprint Classification],"&gt;0")</f>
        <v>0</v>
      </c>
      <c r="NW116" s="6">
        <f>COUNTIFS(Table116[Country],Tabela1[[#This Row],[Country]],Table116[Women''s Team Sprint Classification],"&gt;0")</f>
        <v>0</v>
      </c>
      <c r="NX116" s="6">
        <f>COUNTIFS(Table119[Country],Tabela1[[#This Row],[Country]],Table119[Men''s Classification],"&gt;0")</f>
        <v>0</v>
      </c>
      <c r="NY116" s="6">
        <f>COUNTIFS(Table119[Country],Tabela1[[#This Row],[Country]],Table119[Women''s Classification],"&gt;0")</f>
        <v>0</v>
      </c>
      <c r="NZ116" s="6">
        <f>COUNTIFS(Table118[Country],Tabela1[[#This Row],[Country]],Table118[Mixed Classification],"&gt;0")</f>
        <v>0</v>
      </c>
      <c r="OA116" s="6">
        <f>COUNTIFS(Table120[Country],Tabela1[[#This Row],[Country]],Table120[Classification],"&gt;0")</f>
        <v>0</v>
      </c>
      <c r="OB116" s="6">
        <f>COUNTIFS(Table120123[Country],Tabela1[[#This Row],[Country]],Table120123[Classification],"&gt;0")</f>
        <v>0</v>
      </c>
      <c r="OC116" s="6">
        <f>COUNTIFS(Table123[Country],Tabela1[[#This Row],[Country]],Table123[Ice Dance Classification],"&gt;0")</f>
        <v>0</v>
      </c>
      <c r="OD116" s="6">
        <f>COUNTIFS(Table123[Country],Tabela1[[#This Row],[Country]],Table123[Pair Skating Classification],"&gt;0")</f>
        <v>0</v>
      </c>
      <c r="OE116" s="6">
        <f>COUNTIFS(Table124[Country],Tabela1[[#This Row],[Country]],Table124[Mixed Classification],"&gt;0")</f>
        <v>0</v>
      </c>
      <c r="OF116" s="6">
        <f>COUNTIFS(Table125[Country],Tabela1[[#This Row],[Country]],Table125[Aerials Classification],"&gt;0")</f>
        <v>0</v>
      </c>
      <c r="OG116" s="6">
        <f>COUNTIFS(Table125128[Country],Tabela1[[#This Row],[Country]],Table125128[Aerials Classification],"&gt;0")</f>
        <v>0</v>
      </c>
      <c r="OH116" s="6">
        <f>COUNTIFS(Table128[Country],Tabela1[[#This Row],[Country]],Table128[Mixed Aerials Classification],"&gt;0")</f>
        <v>0</v>
      </c>
      <c r="OI116" s="6">
        <f>COUNTIFS(Table125[Country],Tabela1[[#This Row],[Country]],Table125[Big Air Classification],"&gt;0")</f>
        <v>0</v>
      </c>
      <c r="OJ116" s="6">
        <f>COUNTIFS(Table125128[Country],Tabela1[[#This Row],[Country]],Table125128[Big Air Classification],"&gt;0")</f>
        <v>0</v>
      </c>
      <c r="OK116" s="6">
        <f>COUNTIFS(Table125[Country],Tabela1[[#This Row],[Country]],Table125[Dual Moguls Classification],"&gt;0")</f>
        <v>0</v>
      </c>
      <c r="OL116" s="6">
        <f>COUNTIFS(Table125128[Country],Tabela1[[#This Row],[Country]],Table125128[Dual Moguls Classification],"&gt;0")</f>
        <v>0</v>
      </c>
      <c r="OM116" s="6">
        <f>COUNTIFS(Table125[Country],Tabela1[[#This Row],[Country]],Table125[Halfpipe Classification],"&gt;0")</f>
        <v>0</v>
      </c>
      <c r="ON116" s="6">
        <f>COUNTIFS(Table125128[Country],Tabela1[[#This Row],[Country]],Table125128[Halfpipe Classification],"&gt;0")</f>
        <v>0</v>
      </c>
      <c r="OO116" s="6">
        <f>COUNTIFS(Table125[Country],Tabela1[[#This Row],[Country]],Table125[Moguls Classification],"&gt;0")</f>
        <v>0</v>
      </c>
      <c r="OP116" s="6">
        <f>COUNTIFS(Table125128[Country],Tabela1[[#This Row],[Country]],Table125128[Moguls Classification],"&gt;0")</f>
        <v>0</v>
      </c>
      <c r="OQ116" s="6">
        <f>COUNTIFS(Table125[Country],Tabela1[[#This Row],[Country]],Table125[Ski Cross Classification],"&gt;0")</f>
        <v>0</v>
      </c>
      <c r="OR116" s="6">
        <f>COUNTIFS(Table125128[Country],Tabela1[[#This Row],[Country]],Table125128[Ski Cross Classification],"&gt;0")</f>
        <v>0</v>
      </c>
      <c r="OS116" s="6">
        <f>COUNTIFS(Table125[Country],Tabela1[[#This Row],[Country]],Table125[Slopestyle Classification],"&gt;0")</f>
        <v>0</v>
      </c>
      <c r="OT116" s="6">
        <f>COUNTIFS(Table125128[Country],Tabela1[[#This Row],[Country]],Table125128[Slopestyle Classification],"&gt;0")</f>
        <v>0</v>
      </c>
      <c r="OU116" s="6">
        <f>COUNTIFS(Table119131[Country],Tabela1[[#This Row],[Country]],Table119131[Men''s Classification],"&gt;0")</f>
        <v>0</v>
      </c>
      <c r="OV116" s="6">
        <f>COUNTIFS(Table119131[Country],Tabela1[[#This Row],[Country]],Table119131[Women''s Classification],"&gt;0")</f>
        <v>0</v>
      </c>
      <c r="OW116" s="6">
        <f>COUNTIFS(Table131[Country],Tabela1[[#This Row],[Country]],Table131[Classification],"&gt;0")</f>
        <v>0</v>
      </c>
      <c r="OX116" s="6">
        <f>COUNTIFS(Table131134[Country],Tabela1[[#This Row],[Country]],Table131134[Classification],"&gt;0")</f>
        <v>0</v>
      </c>
      <c r="OY116" s="6">
        <f>COUNTIFS(Table134[Country],Tabela1[[#This Row],[Country]],Table134[Men''s Classification],"&gt;0")</f>
        <v>0</v>
      </c>
      <c r="OZ116" s="6">
        <f>COUNTIFS(Table134[Country],Tabela1[[#This Row],[Country]],Table134[Women''s Classification],"&gt;0")</f>
        <v>0</v>
      </c>
      <c r="PA116" s="6">
        <f>COUNTIFS(Table135[Country],Tabela1[[#This Row],[Country]],Table135[Mixed Relay Classification],"&gt;0")</f>
        <v>0</v>
      </c>
      <c r="PB116" s="6">
        <f>COUNTIFS(Table136[Country],Tabela1[[#This Row],[Country]],Table136[Individual Classification],"&gt;0")</f>
        <v>0</v>
      </c>
      <c r="PC116" s="6">
        <f>COUNTIFS(Table136[Country],Tabela1[[#This Row],[Country]],Table136[Sprint Classification],"&gt;0")</f>
        <v>0</v>
      </c>
      <c r="PD116" s="6">
        <f>COUNTIFS(Table137[Country],Tabela1[[#This Row],[Country]],Table137[Men''s Team Sprint Large Hill Classification],"&gt;0")</f>
        <v>0</v>
      </c>
      <c r="PE116" s="6">
        <f>COUNTIFS(Table138[Country],Tabela1[[#This Row],[Country]],Table138[500m Classification],"&gt;0")</f>
        <v>0</v>
      </c>
      <c r="PF116" s="6">
        <f>COUNTIFS(Table138141[Country],Tabela1[[#This Row],[Country]],Table138141[500m Classification],"&gt;0")</f>
        <v>0</v>
      </c>
      <c r="PG116" s="6">
        <f>COUNTIFS(Table138[Country],Tabela1[[#This Row],[Country]],Table138[1000m Classification],"&gt;0")</f>
        <v>0</v>
      </c>
      <c r="PH116" s="6">
        <f>COUNTIFS(Table138141[Country],Tabela1[[#This Row],[Country]],Table138141[1000m Classification],"&gt;0")</f>
        <v>0</v>
      </c>
      <c r="PI116" s="6">
        <f>COUNTIFS(Table138[Country],Tabela1[[#This Row],[Country]],Table138[1500m Classification],"&gt;0")</f>
        <v>0</v>
      </c>
      <c r="PJ116" s="6">
        <f>COUNTIFS(Table138141[Country],Tabela1[[#This Row],[Country]],Table138141[1500m Classification],"&gt;0")</f>
        <v>0</v>
      </c>
      <c r="PK116" s="6">
        <f>COUNTIFS(Table141[Country],Tabela1[[#This Row],[Country]],Table141[Men''s 5000m Relay Classification],"&gt;0")</f>
        <v>0</v>
      </c>
      <c r="PL116" s="6">
        <f>COUNTIFS(Table141[Country],Tabela1[[#This Row],[Country]],Table141[Women''s 3000m Relay Classification],"&gt;0")</f>
        <v>0</v>
      </c>
      <c r="PM116" s="6">
        <f>COUNTIFS(Table141[Country],Tabela1[[#This Row],[Country]],Table141[Mixed 2000m Relay Classification],"&gt;0")</f>
        <v>0</v>
      </c>
      <c r="PN116" s="6">
        <f>COUNTIFS(Table142[Country],Tabela1[[#This Row],[Country]],Table142[Classification],"&gt;0")</f>
        <v>0</v>
      </c>
      <c r="PO116" s="6">
        <f>COUNTIFS(Table142145[Country],Tabela1[[#This Row],[Country]],Table142145[Classification],"&gt;0")</f>
        <v>0</v>
      </c>
      <c r="PP116" s="6">
        <f>COUNTIFS(Tabela15[Country],Tabela1[[#This Row],[Country]],Tabela15[Mixed Team Classification],"&gt;0")</f>
        <v>0</v>
      </c>
      <c r="PQ116" s="6">
        <f>COUNTIFS(Table145[Country],Tabela1[[#This Row],[Country]],Table145[Large Hill Classification],"&gt;0")</f>
        <v>0</v>
      </c>
      <c r="PR116" s="6">
        <f>COUNTIFS(Table145[Country],Tabela1[[#This Row],[Country]],Table145[Normal Hill Classification],"&gt;0")</f>
        <v>0</v>
      </c>
      <c r="PS116" s="6">
        <f>COUNTIFS(Table145148[Country],Tabela1[[#This Row],[Country]],Table145148[Large Hill Classification],"&gt;0")</f>
        <v>0</v>
      </c>
      <c r="PT116" s="6">
        <f>COUNTIFS(Table145148[Country],Tabela1[[#This Row],[Country]],Table145148[Normal Hill Classification],"&gt;0")</f>
        <v>0</v>
      </c>
      <c r="PU116" s="6">
        <f>COUNTIFS(Table148[Country],Tabela1[[#This Row],[Country]],Table148[Men''s Super Team Classification],"&gt;0")</f>
        <v>0</v>
      </c>
      <c r="PV116" s="6">
        <f>COUNTIFS(Tabela114[Country],Tabela1[[#This Row],[Country]],Tabela114[Mixed Normal Hill Classification],"&gt;0")</f>
        <v>0</v>
      </c>
      <c r="PW116" s="6">
        <f>COUNTIFS(Tabela50[Country],Tabela1[[#This Row],[Country]],Tabela50[Sprint Classification],"&gt;0")</f>
        <v>0</v>
      </c>
      <c r="PX116" s="6">
        <f>COUNTIFS(Tabela50101[Country],Tabela1[[#This Row],[Country]],Tabela50101[Sprint Classification],"&gt;0")</f>
        <v>0</v>
      </c>
      <c r="PY116" s="6">
        <f>COUNTIFS(Tabela103[Country],Tabela1[[#This Row],[Country]],Tabela103[Mixed Relay Classification],"&gt;0")</f>
        <v>0</v>
      </c>
      <c r="PZ116" s="6">
        <f>COUNTIFS(Table149[Country],Tabela1[[#This Row],[Country]],Table149[Big Air Classification],"&gt;0")</f>
        <v>0</v>
      </c>
      <c r="QA116" s="6">
        <f>COUNTIFS(Table149152[Country],Tabela1[[#This Row],[Country]],Table149152[Big Air Classification],"&gt;0")</f>
        <v>0</v>
      </c>
      <c r="QB116" s="6">
        <f>COUNTIFS(Table149[Country],Tabela1[[#This Row],[Country]],Table149[Halfpipe Classification],"&gt;0")</f>
        <v>0</v>
      </c>
      <c r="QC116" s="6">
        <f>COUNTIFS(Table149152[Country],Tabela1[[#This Row],[Country]],Table149152[Halfpipe Classification],"&gt;0")</f>
        <v>0</v>
      </c>
      <c r="QD116" s="6">
        <f>COUNTIFS(Table149[Country],Tabela1[[#This Row],[Country]],Table149[Parallel Giant Slalom Classification],"&gt;0")</f>
        <v>0</v>
      </c>
      <c r="QE116" s="6">
        <f>COUNTIFS(Table149152[Country],Tabela1[[#This Row],[Country]],Table149152[Parallel Giant Slalom Classification],"&gt;0")</f>
        <v>0</v>
      </c>
      <c r="QF116" s="6">
        <f>COUNTIFS(Table149[Country],Tabela1[[#This Row],[Country]],Table149[Slopestyle Classification],"&gt;0")</f>
        <v>0</v>
      </c>
      <c r="QG116" s="6">
        <f>COUNTIFS(Table149152[Country],Tabela1[[#This Row],[Country]],Table149152[Slopestyle Classification],"&gt;0")</f>
        <v>0</v>
      </c>
      <c r="QH116" s="6">
        <f>COUNTIFS(Table149[Country],Tabela1[[#This Row],[Country]],Table149[Snowboard Cross Classification],"&gt;0")</f>
        <v>0</v>
      </c>
      <c r="QI116" s="6">
        <f>COUNTIFS(Table149152[Country],Tabela1[[#This Row],[Country]],Table149152[Snowboard Cross Classification],"&gt;0")</f>
        <v>0</v>
      </c>
      <c r="QJ116" s="6">
        <f>COUNTIFS(Table153[Country],Tabela1[[#This Row],[Country]],Table153[Mixed Team Snowboard Cross Classification],"&gt;0")</f>
        <v>0</v>
      </c>
      <c r="QK116" s="6">
        <f>COUNTIFS(Table154[Country],Tabela1[[#This Row],[Country]],Table154[500m Classification],"&gt;0")</f>
        <v>0</v>
      </c>
      <c r="QL116" s="6">
        <f>COUNTIFS(Table154157[Country],Tabela1[[#This Row],[Country]],Table154157[500m Classification],"&gt;0")</f>
        <v>0</v>
      </c>
      <c r="QM116" s="6">
        <f>COUNTIFS(Table154[Country],Tabela1[[#This Row],[Country]],Table154[1000m Classification],"&gt;0")</f>
        <v>0</v>
      </c>
      <c r="QN116" s="6">
        <f>COUNTIFS(Table154157[Country],Tabela1[[#This Row],[Country]],Table154157[1000m Classification],"&gt;0")</f>
        <v>0</v>
      </c>
      <c r="QO116" s="6">
        <f>COUNTIFS(Table154[Country],Tabela1[[#This Row],[Country]],Table154[1500m Classification],"&gt;0")</f>
        <v>0</v>
      </c>
      <c r="QP116" s="6">
        <f>COUNTIFS(Table154157[Country],Tabela1[[#This Row],[Country]],Table154157[1500m Classification],"&gt;0")</f>
        <v>0</v>
      </c>
      <c r="QQ116" s="6">
        <f>COUNTIFS(Table154157[Country],Tabela1[[#This Row],[Country]],Table154157[3000m Classification],"&gt;0")</f>
        <v>0</v>
      </c>
      <c r="QR116" s="6">
        <f>COUNTIFS(Table154[Country],Tabela1[[#This Row],[Country]],Table154[5000m Classification],"&gt;0")</f>
        <v>0</v>
      </c>
      <c r="QS116" s="6">
        <f>COUNTIFS(Table154157[Country],Tabela1[[#This Row],[Country]],Table154157[5000m Classification],"&gt;0")</f>
        <v>0</v>
      </c>
      <c r="QT116" s="6">
        <f>COUNTIFS(Table154[Country],Tabela1[[#This Row],[Country]],Table154[10000m Classification],"&gt;0")</f>
        <v>0</v>
      </c>
      <c r="QU116" s="6">
        <f>COUNTIFS(Table154[Country],Tabela1[[#This Row],[Country]],Table154[Mass Start Classification],"&gt;0")</f>
        <v>0</v>
      </c>
      <c r="QV116" s="6">
        <f>COUNTIFS(Table154157[Country],Tabela1[[#This Row],[Country]],Table154157[Mass Start Classification],"&gt;0")</f>
        <v>0</v>
      </c>
      <c r="QW116" s="6">
        <f>COUNTIFS(Table157[Country],Tabela1[[#This Row],[Country]],Table157[Men''s Pursuit Classification],"&gt;0")</f>
        <v>0</v>
      </c>
      <c r="QX116" s="6">
        <f>COUNTIFS(Table157[Country],Tabela1[[#This Row],[Country]],Table157[Women''s Pursuit Classification],"&gt;0")</f>
        <v>0</v>
      </c>
      <c r="QY116" s="4" t="s">
        <v>399</v>
      </c>
    </row>
    <row r="117" spans="1:467" x14ac:dyDescent="0.3">
      <c r="A117" s="6">
        <v>116</v>
      </c>
      <c r="B117" s="6" t="s">
        <v>618</v>
      </c>
      <c r="C117" t="e" vm="116">
        <f>IF(ISBLANK(Tabela1[[#This Row],[Image Link]]), "", _xlfn.IMAGE(Tabela1[[#This Row],[Image Link]],1,1))</f>
        <v>#VALUE!</v>
      </c>
      <c r="D117" s="6">
        <f>SUM(Tabela1[[#This Row],[Archery - Men''s Individual Recurve]:[Speed Skating - Women''s Team Pursuit]])</f>
        <v>2</v>
      </c>
      <c r="E117" s="6">
        <f>COUNTIF(Tabela1[[#This Row],[Archery - Men''s Individual Recurve]:[Speed Skating - Women''s Team Pursuit]],"&gt;0")</f>
        <v>2</v>
      </c>
      <c r="F117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Winter Olympics</v>
      </c>
      <c r="G117" s="6">
        <f>SUM(Tabela1[[#This Row],[Archery - Men''s Individual Recurve]:[Wrestling - Women''s Freestyle 76kg]])</f>
        <v>0</v>
      </c>
      <c r="H117" s="6">
        <f>SUM(Tabela1[[#This Row],[Alpine Skiing - Men''s Downhill]:[Speed Skating - Women''s Team Pursuit]])</f>
        <v>2</v>
      </c>
      <c r="I117" s="6">
        <f>Tabela1[[#This Row],[Summer Gold Medals]]+Tabela1[[#This Row],[Winter Gold Medals]]</f>
        <v>0</v>
      </c>
      <c r="J117" s="6">
        <f>Tabela1[[#This Row],[Summer Silver Medals]]+Tabela1[[#This Row],[Winter Silver Medals]]</f>
        <v>0</v>
      </c>
      <c r="K117" s="6">
        <f>Tabela1[[#This Row],[Summer Bronze Medals]]+Tabela1[[#This Row],[Winter Bronze Medals]]</f>
        <v>0</v>
      </c>
      <c r="L117" s="6">
        <f>SUM(Tabela1[[#This Row],[Total Gold Medals]:[Total Bronze Medals]])</f>
        <v>0</v>
      </c>
      <c r="M117" s="6"/>
      <c r="N117" s="6"/>
      <c r="O117" s="6"/>
      <c r="P117" s="6">
        <f>SUM(Tabela1[[#This Row],[Summer Gold Medals]:[Summer Bronze Medals]])</f>
        <v>0</v>
      </c>
      <c r="Q117" s="6"/>
      <c r="R117" s="6"/>
      <c r="S117" s="6"/>
      <c r="T117" s="6">
        <f>Tabela1[[#This Row],[Winter Gold Medals]]+Tabela1[[#This Row],[Winter Silver Medals]]+Tabela1[[#This Row],[Winter Bronze Medals]]</f>
        <v>0</v>
      </c>
      <c r="U117" s="7">
        <f>Tabela1[[#This Row],[Total Medals]]/Tabela1[[#This Row],[Total Quotas]]</f>
        <v>0</v>
      </c>
      <c r="V117" s="6">
        <f>COUNTIFS(Table3[Country],Tabela1[[#This Row],[Country]],Table3[Recurve Classification],"&gt;0")</f>
        <v>0</v>
      </c>
      <c r="W117" s="6">
        <f>COUNTIFS(Table33[Country],Tabela1[[#This Row],[Country]],Table33[Recurve Classification],"&gt;0")</f>
        <v>0</v>
      </c>
      <c r="X117" s="6">
        <f>COUNTIFS(Table35[Country],Tabela1[[#This Row],[Country]],Table35[Men''s Team Recurve Classification],"&gt;0")</f>
        <v>0</v>
      </c>
      <c r="Y117" s="6">
        <f>COUNTIFS(Table35[Country],Tabela1[[#This Row],[Country]],Table35[Women''s Team Recurve Classification],"&gt;0")</f>
        <v>0</v>
      </c>
      <c r="Z117" s="6">
        <f>COUNTIFS(Tabela88[Country],Tabela1[[#This Row],[Country]],Tabela88[Mixed Team Recurve Classification],"&gt;0")</f>
        <v>0</v>
      </c>
      <c r="AA117" s="6">
        <f>COUNTIFS(Table36[Country],Tabela1[[#This Row],[Country]],Table36[Classification],"&gt;0")</f>
        <v>0</v>
      </c>
      <c r="AB117" s="6">
        <f>COUNTIFS(Table37[Country],Tabela1[[#This Row],[Country]],Table37[Classification],"&gt;0")</f>
        <v>0</v>
      </c>
      <c r="AC117" s="6">
        <f>COUNTIFS(Table4[Country],Tabela1[[#This Row],[Country]],Table4[100m Classification],"&gt;0")</f>
        <v>0</v>
      </c>
      <c r="AD117" s="6">
        <f>COUNTIFS(Table5[Country],Tabela1[[#This Row],[Country]],Table5[100m Classification],"&gt;0")</f>
        <v>0</v>
      </c>
      <c r="AE117" s="6">
        <f>COUNTIFS(Table4[Country],Tabela1[[#This Row],[Country]],Table4[200m Classification],"&gt;0")</f>
        <v>0</v>
      </c>
      <c r="AF117" s="6">
        <f>COUNTIFS(Table5[Country],Tabela1[[#This Row],[Country]],Table5[200m Classification],"&gt;0")</f>
        <v>0</v>
      </c>
      <c r="AG117" s="6">
        <f>COUNTIFS(Table4[Country],Tabela1[[#This Row],[Country]],Table4[400m Classification],"&gt;0")</f>
        <v>0</v>
      </c>
      <c r="AH117" s="6">
        <f>COUNTIFS(Table5[Country],Tabela1[[#This Row],[Country]],Table5[400m Classification],"&gt;0")</f>
        <v>0</v>
      </c>
      <c r="AI117" s="6">
        <f>COUNTIFS(Table4[Country],Tabela1[[#This Row],[Country]],Table4[800m Classification],"&gt;0")</f>
        <v>0</v>
      </c>
      <c r="AJ117" s="6">
        <f>COUNTIFS(Table5[Country],Tabela1[[#This Row],[Country]],Table5[800m Classification],"&gt;0")</f>
        <v>0</v>
      </c>
      <c r="AK117" s="6">
        <f>COUNTIFS(Table4[Country],Tabela1[[#This Row],[Country]],Table4[1500m Classification],"&gt;0")</f>
        <v>0</v>
      </c>
      <c r="AL117" s="6">
        <f>COUNTIFS(Table5[Country],Tabela1[[#This Row],[Country]],Table5[1500m Classification],"&gt;0")</f>
        <v>0</v>
      </c>
      <c r="AM117" s="6">
        <f>COUNTIFS(Table4[Country],Tabela1[[#This Row],[Country]],Table4[5000m Classification],"&gt;0")</f>
        <v>0</v>
      </c>
      <c r="AN117" s="6">
        <f>COUNTIFS(Table5[Country],Tabela1[[#This Row],[Country]],Table5[5000m Classification],"&gt;0")</f>
        <v>0</v>
      </c>
      <c r="AO117" s="6">
        <f>COUNTIFS(Table4[Country],Tabela1[[#This Row],[Country]],Table4[10000m Classification],"&gt;0")</f>
        <v>0</v>
      </c>
      <c r="AP117" s="6">
        <f>COUNTIFS(Table5[Country],Tabela1[[#This Row],[Country]],Table5[10000m Classification],"&gt;0")</f>
        <v>0</v>
      </c>
      <c r="AQ117" s="6">
        <f>COUNTIFS(Table4[Country],Tabela1[[#This Row],[Country]],Table4[110m Hurdles Classification],"&gt;0")</f>
        <v>0</v>
      </c>
      <c r="AR117" s="6">
        <f>COUNTIFS(Table5[Country],Tabela1[[#This Row],[Country]],Table5[100m Hurdles Classification],"&gt;0")</f>
        <v>0</v>
      </c>
      <c r="AS117" s="6">
        <f>COUNTIFS(Table4[Country],Tabela1[[#This Row],[Country]],Table4[400m Hurdles Classification],"&gt;0")</f>
        <v>0</v>
      </c>
      <c r="AT117" s="6">
        <f>COUNTIFS(Table5[Country],Tabela1[[#This Row],[Country]],Table5[400m Hurdles Classification],"&gt;0")</f>
        <v>0</v>
      </c>
      <c r="AU117" s="6">
        <f>COUNTIFS(Table4[Country],Tabela1[[#This Row],[Country]],Table4[3000m Steeplechase Classification],"&gt;0")</f>
        <v>0</v>
      </c>
      <c r="AV117" s="6">
        <f>COUNTIFS(Table5[Country],Tabela1[[#This Row],[Country]],Table5[3000m Steeplechase Classification],"&gt;0")</f>
        <v>0</v>
      </c>
      <c r="AW117" s="6">
        <f>COUNTIFS(Table27[Country],Tabela1[[#This Row],[Country]],Table27[Men''s 4x100m Relay Classification],"&gt;0")</f>
        <v>0</v>
      </c>
      <c r="AX117" s="6">
        <f>COUNTIFS(Table27[Country],Tabela1[[#This Row],[Country]],Table27[Women''s 4x100m Relay Classification],"&gt;0")</f>
        <v>0</v>
      </c>
      <c r="AY117" s="6">
        <f>COUNTIFS(Table27[Country],Tabela1[[#This Row],[Country]],Table27[Men''s 4x400m Relay Classification],"&gt;0")</f>
        <v>0</v>
      </c>
      <c r="AZ117" s="6">
        <f>COUNTIFS(Table27[Country],Tabela1[[#This Row],[Country]],Table27[Women''s 4x400m Relay Classification],"&gt;0")</f>
        <v>0</v>
      </c>
      <c r="BA117" s="6">
        <f>COUNTIFS(Table27[Country],Tabela1[[#This Row],[Country]],Table27[Mixed 4x400m Relay Classification],"&gt;0")</f>
        <v>0</v>
      </c>
      <c r="BB117" s="6">
        <f>COUNTIFS(Table4[Country],Tabela1[[#This Row],[Country]],Table4[Marathon Classification],"&gt;0")</f>
        <v>0</v>
      </c>
      <c r="BC117" s="6">
        <f>COUNTIFS(Table5[Country],Tabela1[[#This Row],[Country]],Table5[Marathon Classification],"&gt;0")</f>
        <v>0</v>
      </c>
      <c r="BD117" s="6">
        <f>COUNTIFS(Table4[Country],Tabela1[[#This Row],[Country]],Table4[20km Race Walk Classification],"&gt;0")</f>
        <v>0</v>
      </c>
      <c r="BE117" s="6">
        <f>COUNTIFS(Table5[Country],Tabela1[[#This Row],[Country]],Table5[20km Race Walk Classification],"&gt;0")</f>
        <v>0</v>
      </c>
      <c r="BF117" s="6">
        <f>COUNTIFS(Tabela96[Country],Tabela1[[#This Row],[Country]],Tabela96[Mixed Marathon Race Walk Relay Classification],"&gt;0")</f>
        <v>0</v>
      </c>
      <c r="BG117" s="6">
        <f>COUNTIFS(Table4[Country],Tabela1[[#This Row],[Country]],Table4[Discus Throw Classification],"&gt;0")</f>
        <v>0</v>
      </c>
      <c r="BH117" s="6">
        <f>COUNTIFS(Table5[Country],Tabela1[[#This Row],[Country]],Table5[Discus Throw Classification],"&gt;0")</f>
        <v>0</v>
      </c>
      <c r="BI117" s="6">
        <f>COUNTIFS(Table4[Country],Tabela1[[#This Row],[Country]],Table4[Hammer Throw Classification],"&gt;0")</f>
        <v>0</v>
      </c>
      <c r="BJ117" s="6">
        <f>COUNTIFS(Table5[Country],Tabela1[[#This Row],[Country]],Table5[Hammer Throw Classification],"&gt;0")</f>
        <v>0</v>
      </c>
      <c r="BK117" s="6">
        <f>COUNTIFS(Table4[Country],Tabela1[[#This Row],[Country]],Table4[High Jump Classification],"&gt;0")</f>
        <v>0</v>
      </c>
      <c r="BL117" s="6">
        <f>COUNTIFS(Table5[Country],Tabela1[[#This Row],[Country]],Table5[High Jump Classification],"&gt;0")</f>
        <v>0</v>
      </c>
      <c r="BM117" s="6">
        <f>COUNTIFS(Table4[Country],Tabela1[[#This Row],[Country]],Table4[Javelin Throw Classification],"&gt;0")</f>
        <v>0</v>
      </c>
      <c r="BN117" s="6">
        <f>COUNTIFS(Table5[Country],Tabela1[[#This Row],[Country]],Table5[Javelin Throw Classification],"&gt;0")</f>
        <v>0</v>
      </c>
      <c r="BO117" s="6">
        <f>COUNTIFS(Table4[Country],Tabela1[[#This Row],[Country]],Table4[Long Jump Classification],"&gt;0")</f>
        <v>0</v>
      </c>
      <c r="BP117" s="6">
        <f>COUNTIFS(Table5[Country],Tabela1[[#This Row],[Country]],Table5[Long Jump Classification],"&gt;0")</f>
        <v>0</v>
      </c>
      <c r="BQ117" s="6">
        <f>COUNTIFS(Table4[Country],Tabela1[[#This Row],[Country]],Table4[Pole Vault Classification],"&gt;0")</f>
        <v>0</v>
      </c>
      <c r="BR117" s="6">
        <f>COUNTIFS(Table5[Country],Tabela1[[#This Row],[Country]],Table5[Pole Vault Classification],"&gt;0")</f>
        <v>0</v>
      </c>
      <c r="BS117" s="6">
        <f>COUNTIFS(Table4[Country],Tabela1[[#This Row],[Country]],Table4[Shot Put Classification],"&gt;0")</f>
        <v>0</v>
      </c>
      <c r="BT117" s="6">
        <f>COUNTIFS(Table5[Country],Tabela1[[#This Row],[Country]],Table5[Shot Put Classification],"&gt;0")</f>
        <v>0</v>
      </c>
      <c r="BU117" s="6">
        <f>COUNTIFS(Table4[Country],Tabela1[[#This Row],[Country]],Table4[Triple Jump Classification],"&gt;0")</f>
        <v>0</v>
      </c>
      <c r="BV117" s="6">
        <f>COUNTIFS(Table5[Country],Tabela1[[#This Row],[Country]],Table5[Triple Jump Classification],"&gt;0")</f>
        <v>0</v>
      </c>
      <c r="BW117" s="6">
        <f>COUNTIFS(Table4[Country],Tabela1[[#This Row],[Country]],Table4[Decathlon Classification],"&gt;0")</f>
        <v>0</v>
      </c>
      <c r="BX117" s="6">
        <f>COUNTIFS(Table5[Country],Tabela1[[#This Row],[Country]],Table5[Heptathlon Classification],"&gt;0")</f>
        <v>0</v>
      </c>
      <c r="BY117" s="6">
        <f>COUNTIFS(Table61[Country],Tabela1[[#This Row],[Country]],Table61[Classification],"&gt;0")</f>
        <v>0</v>
      </c>
      <c r="BZ117" s="6">
        <f>COUNTIFS(Table38[Country],Tabela1[[#This Row],[Country]],Table38[Classification],"&gt;0")</f>
        <v>0</v>
      </c>
      <c r="CA117" s="6">
        <f>COUNTIFS(Table39[Country],Tabela1[[#This Row],[Country]],Table39[Men''s Classification],"&gt;0")</f>
        <v>0</v>
      </c>
      <c r="CB117" s="6">
        <f>COUNTIFS(Table39[Country],Tabela1[[#This Row],[Country]],Table39[Women''s Classification],"&gt;0")</f>
        <v>0</v>
      </c>
      <c r="CC117" s="6">
        <f>COUNTIFS(Table39[Country],Tabela1[[#This Row],[Country]],Table39[Mixed Classification],"&gt;0")</f>
        <v>0</v>
      </c>
      <c r="CD117" s="6">
        <f>COUNTIFS(Table89[Country],Tabela1[[#This Row],[Country]],Table89[Men''s Classification],"&gt;0")</f>
        <v>0</v>
      </c>
      <c r="CE117" s="6">
        <f>COUNTIFS(Table89[Country],Tabela1[[#This Row],[Country]],Table89[Women''s Classification],"&gt;0")</f>
        <v>0</v>
      </c>
      <c r="CF117" s="6">
        <f>COUNTIFS(Table90[Country],Tabela1[[#This Row],[Country]],Table90[Men''s Classification],"&gt;0")</f>
        <v>0</v>
      </c>
      <c r="CG117" s="6">
        <f>COUNTIFS(Table90[Country],Tabela1[[#This Row],[Country]],Table90[Women''s Classification],"&gt;0")</f>
        <v>0</v>
      </c>
      <c r="CH117" s="6">
        <f>COUNTIFS(Table60[Country],Tabela1[[#This Row],[Country]],Table60[Men''s Classification],"&gt;0")</f>
        <v>0</v>
      </c>
      <c r="CI117" s="6">
        <f>COUNTIFS(Table60[Country],Tabela1[[#This Row],[Country]],Table60[Women''s Classification],"&gt;0")</f>
        <v>0</v>
      </c>
      <c r="CJ117" s="6">
        <f>COUNTIFS(Table6[Country],Tabela1[[#This Row],[Country]],Table6[51kg Classification],"&gt;0")</f>
        <v>0</v>
      </c>
      <c r="CK117" s="6">
        <f>COUNTIFS(Table6[Country],Tabela1[[#This Row],[Country]],Table6[57kg Classification],"&gt;0")</f>
        <v>0</v>
      </c>
      <c r="CL117" s="6">
        <f>COUNTIFS(Table6[Country],Tabela1[[#This Row],[Country]],Table6[63.5kg Classification],"&gt;0")</f>
        <v>0</v>
      </c>
      <c r="CM117" s="6">
        <f>COUNTIFS(Table6[Country],Tabela1[[#This Row],[Country]],Table6[71kg Classification],"&gt;0")</f>
        <v>0</v>
      </c>
      <c r="CN117" s="6">
        <f>COUNTIFS(Table6[Country],Tabela1[[#This Row],[Country]],Table6[80kg Classification],"&gt;0")</f>
        <v>0</v>
      </c>
      <c r="CO117" s="6">
        <f>COUNTIFS(Table6[Country],Tabela1[[#This Row],[Country]],Table6[92kg Classification],"&gt;0")</f>
        <v>0</v>
      </c>
      <c r="CP117" s="6">
        <f>COUNTIFS(Table6[Country],Tabela1[[#This Row],[Country]],Table6[Plus 92kg Classification],"&gt;0")</f>
        <v>0</v>
      </c>
      <c r="CQ117" s="6">
        <f>COUNTIFS(Table7[Country],Tabela1[[#This Row],[Country]],Table7[50kg Classification],"&gt;0")</f>
        <v>0</v>
      </c>
      <c r="CR117" s="6">
        <f>COUNTIFS(Table7[Country],Tabela1[[#This Row],[Country]],Table7[54kg Classification],"&gt;0")</f>
        <v>0</v>
      </c>
      <c r="CS117" s="6">
        <f>COUNTIFS(Table7[Country],Tabela1[[#This Row],[Country]],Table7[57kg Classification],"&gt;0")</f>
        <v>0</v>
      </c>
      <c r="CT117" s="6">
        <f>COUNTIFS(Table7[Country],Tabela1[[#This Row],[Country]],Table7[60kg Classification],"&gt;0")</f>
        <v>0</v>
      </c>
      <c r="CU117" s="6">
        <f>COUNTIFS(Table7[Country],Tabela1[[#This Row],[Country]],Table7[66kg Classification],"&gt;0")</f>
        <v>0</v>
      </c>
      <c r="CV117" s="6">
        <f>COUNTIFS(Table7[Country],Tabela1[[#This Row],[Country]],Table7[75kg Classification],"&gt;0")</f>
        <v>0</v>
      </c>
      <c r="CW117" s="6">
        <f>COUNTIFS(Tabela94[Country],Tabela1[[#This Row],[Country]],Tabela94[Classification],"&gt;0")</f>
        <v>0</v>
      </c>
      <c r="CX117" s="6">
        <f>COUNTIFS(Tabela9499[Country],Tabela1[[#This Row],[Country]],Tabela9499[Classification],"&gt;0")</f>
        <v>0</v>
      </c>
      <c r="CY117" s="6">
        <f>COUNTIFS(Tabela107[Country],Tabela1[[#This Row],[Country]],Tabela107[C1 Slalom Classification],"&gt;0")</f>
        <v>0</v>
      </c>
      <c r="CZ117" s="6">
        <f>COUNTIFS(Tabela107122[Country],Tabela1[[#This Row],[Country]],Tabela107122[C1 Slalom Classification],"&gt;0")</f>
        <v>0</v>
      </c>
      <c r="DA117" s="6">
        <f>COUNTIFS(Tabela107[Country],Tabela1[[#This Row],[Country]],Tabela107[K1 Slalom Classification],"&gt;0")</f>
        <v>0</v>
      </c>
      <c r="DB117" s="6">
        <f>COUNTIFS(Tabela107122[Country],Tabela1[[#This Row],[Country]],Tabela107122[K1 Slalom Classification],"&gt;0")</f>
        <v>0</v>
      </c>
      <c r="DC117" s="6">
        <f>COUNTIFS(Tabela107[Country],Tabela1[[#This Row],[Country]],Tabela107[Kayak Cross Slalom Classification],"&gt;0")</f>
        <v>0</v>
      </c>
      <c r="DD117" s="6">
        <f>COUNTIFS(Tabela107122[Country],Tabela1[[#This Row],[Country]],Tabela107122[Kayak Cross Slalom Classification],"&gt;0")</f>
        <v>0</v>
      </c>
      <c r="DE117" s="6">
        <f>COUNTIFS(Table8[Country],Tabela1[[#This Row],[Country]],Table8[C1 200m Classification],"&gt;0")</f>
        <v>0</v>
      </c>
      <c r="DF117" s="6">
        <f>COUNTIFS(Table40[Country],Tabela1[[#This Row],[Country]],Table40[C1 1000m Classification],"&gt;0")</f>
        <v>0</v>
      </c>
      <c r="DG117" s="6">
        <f>COUNTIFS(Table68[Country],Tabela1[[#This Row],[Country]],Table68[Men''s C2 500m Classification],"&gt;0")</f>
        <v>0</v>
      </c>
      <c r="DH117" s="6">
        <f>COUNTIFS(Table68[Country],Tabela1[[#This Row],[Country]],Table68[Women''s C2 500m Classification],"&gt;0")</f>
        <v>0</v>
      </c>
      <c r="DI117" s="6">
        <f>COUNTIFS(Table8[Country],Tabela1[[#This Row],[Country]],Table8[K1 500m Classification],"&gt;0")</f>
        <v>0</v>
      </c>
      <c r="DJ117" s="6">
        <f>COUNTIFS(Table40[Country],Tabela1[[#This Row],[Country]],Table40[K1 1000m Classification],"&gt;0")</f>
        <v>0</v>
      </c>
      <c r="DK117" s="6">
        <f>COUNTIFS(Table68[Country],Tabela1[[#This Row],[Country]],Table68[Men''s K2 500m Classification],"&gt;0")</f>
        <v>0</v>
      </c>
      <c r="DL117" s="6">
        <f>COUNTIFS(Table68[Country],Tabela1[[#This Row],[Country]],Table68[Women''s K2 500m Classification],"&gt;0")</f>
        <v>0</v>
      </c>
      <c r="DM117" s="6">
        <f>COUNTIFS(Table83[Country],Tabela1[[#This Row],[Country]],Table83[Men''s K4 500m Classification],"&gt;0")</f>
        <v>0</v>
      </c>
      <c r="DN117" s="6">
        <f>COUNTIFS(Table83[Country],Tabela1[[#This Row],[Country]],Table83[Women''s K4 500m Classification],"&gt;0")</f>
        <v>0</v>
      </c>
      <c r="DO117" s="6">
        <f>COUNTIFS(Tabela126[Country],Tabela1[[#This Row],[Country]],Tabela126[Classification],"&gt;0")</f>
        <v>0</v>
      </c>
      <c r="DP117" s="6">
        <f>COUNTIFS(Tabela126130[Country],Tabela1[[#This Row],[Country]],Tabela126130[Classification],"&gt;0")</f>
        <v>0</v>
      </c>
      <c r="DQ117" s="6">
        <f>COUNTIFS(Table70[Country],Tabela1[[#This Row],[Country]],Table70[Classification],"&gt;0")</f>
        <v>0</v>
      </c>
      <c r="DR117" s="6">
        <f>COUNTIFS(Table80[Country],Tabela1[[#This Row],[Country]],Table80[Classification],"&gt;0")</f>
        <v>0</v>
      </c>
      <c r="DS117" s="6">
        <f>COUNTIFS(Table66[Country],Tabela1[[#This Row],[Country]],Table66[Classification],"&gt;0")</f>
        <v>0</v>
      </c>
      <c r="DT117" s="6">
        <f>COUNTIFS(Table67[Country],Tabela1[[#This Row],[Country]],Table67[Classification],"&gt;0")</f>
        <v>0</v>
      </c>
      <c r="DU117" s="6">
        <f>COUNTIFS(Table69[Country],Tabela1[[#This Row],[Country]],Table69[Keirin Classification],"&gt;0")</f>
        <v>0</v>
      </c>
      <c r="DV117" s="6">
        <f>COUNTIFS(Table41[Country],Tabela1[[#This Row],[Country]],Table41[Keirin Classification],"&gt;0")</f>
        <v>0</v>
      </c>
      <c r="DW117" s="6">
        <f>COUNTIFS(Table84[Country],Tabela1[[#This Row],[Country]],Table84[Men''s Madison Classification],"&gt;0")</f>
        <v>0</v>
      </c>
      <c r="DX117" s="6">
        <f>COUNTIFS(Table84[Country],Tabela1[[#This Row],[Country]],Table84[Women''s Madison Classification],"&gt;0")</f>
        <v>0</v>
      </c>
      <c r="DY117" s="6">
        <f>COUNTIFS(Table69[Country],Tabela1[[#This Row],[Country]],Table69[Omnium Classification],"&gt;0")</f>
        <v>0</v>
      </c>
      <c r="DZ117" s="6">
        <f>COUNTIFS(Table41[Country],Tabela1[[#This Row],[Country]],Table41[Omnium Classification],"&gt;0")</f>
        <v>0</v>
      </c>
      <c r="EA117" s="6">
        <f>COUNTIFS(Table9[Country],Tabela1[[#This Row],[Country]],Table9[Road Race Classification],"&gt;0")</f>
        <v>0</v>
      </c>
      <c r="EB117" s="6">
        <f>COUNTIFS(Table14[Country],Tabela1[[#This Row],[Country]],Table14[Road Race Classification],"&gt;0")</f>
        <v>0</v>
      </c>
      <c r="EC117" s="6">
        <f>COUNTIFS(Table69[Country],Tabela1[[#This Row],[Country]],Table69[Sprint Classification],"&gt;0")</f>
        <v>0</v>
      </c>
      <c r="ED117" s="6">
        <f>COUNTIFS(Table41[Country],Tabela1[[#This Row],[Country]],Table41[Sprint Classification],"&gt;0")</f>
        <v>0</v>
      </c>
      <c r="EE117" s="6">
        <f>COUNTIFS(Table85[Country],Tabela1[[#This Row],[Country]],Table85[Men''s Sprint Classification],"&gt;0")</f>
        <v>0</v>
      </c>
      <c r="EF117" s="6">
        <f>COUNTIFS(Table85[Country],Tabela1[[#This Row],[Country]],Table85[Women''s Sprint Classification],"&gt;0")</f>
        <v>0</v>
      </c>
      <c r="EG117" s="6">
        <f>COUNTIFS(Table85[Country],Tabela1[[#This Row],[Country]],Table85[Men''s Pursuit Classification],"&gt;0")</f>
        <v>0</v>
      </c>
      <c r="EH117" s="6">
        <f>COUNTIFS(Table85[Country],Tabela1[[#This Row],[Country]],Table85[Women''s Pursuit Classification],"&gt;0")</f>
        <v>0</v>
      </c>
      <c r="EI117" s="6">
        <f>COUNTIFS(Table9[Country],Tabela1[[#This Row],[Country]],Table9[Time-Trial Classification],"&gt;0")</f>
        <v>0</v>
      </c>
      <c r="EJ117" s="6">
        <f>COUNTIFS(Table14[Country],Tabela1[[#This Row],[Country]],Table14[Time-Trial Classification],"&gt;0")</f>
        <v>0</v>
      </c>
      <c r="EK117" s="6">
        <f>COUNTIFS(Table42[Country],Tabela1[[#This Row],[Country]],Table42[Springboard Classification],"&gt;0")</f>
        <v>0</v>
      </c>
      <c r="EL117" s="6">
        <f>COUNTIFS(Table43[Country],Tabela1[[#This Row],[Country]],Table43[Springboard Classification],"&gt;0")</f>
        <v>0</v>
      </c>
      <c r="EM117" s="6">
        <f>COUNTIFS(Table42[Country],Tabela1[[#This Row],[Country]],Table42[Platform Classification],"&gt;0")</f>
        <v>0</v>
      </c>
      <c r="EN117" s="6">
        <f>COUNTIFS(Table43[Country],Tabela1[[#This Row],[Country]],Table43[Platform Classification],"&gt;0")</f>
        <v>0</v>
      </c>
      <c r="EO117" s="6">
        <f>COUNTIFS(Table86[Country],Tabela1[[#This Row],[Country]],Table86[Men''s Synchronized Springboard Classification],"&gt;0")</f>
        <v>0</v>
      </c>
      <c r="EP117" s="6">
        <f>COUNTIFS(Table86[Country],Tabela1[[#This Row],[Country]],Table86[Women''s Synchronized Springboard Classification],"&gt;0")</f>
        <v>0</v>
      </c>
      <c r="EQ117" s="6">
        <f>COUNTIFS(Table86[Country],Tabela1[[#This Row],[Country]],Table86[Men''s Synchronized Platform Classification],"&gt;0")</f>
        <v>0</v>
      </c>
      <c r="ER117" s="6">
        <f>COUNTIFS(Table86[Country],Tabela1[[#This Row],[Country]],Table86[Women''s Synchronized Platform Classification],"&gt;0")</f>
        <v>0</v>
      </c>
      <c r="ES117" s="6">
        <f>COUNTIFS(Table44[Country],Tabela1[[#This Row],[Country]],Table44[Dressage Classification],"&gt;0")</f>
        <v>0</v>
      </c>
      <c r="ET117" s="6">
        <f>COUNTIFS(Table45[Country],Tabela1[[#This Row],[Country]],Table45[Dressage Classification],"&gt;0")</f>
        <v>0</v>
      </c>
      <c r="EU117" s="6">
        <f>COUNTIFS(Table44[Country],Tabela1[[#This Row],[Country]],Table44[Eventing Classification],"&gt;0")</f>
        <v>0</v>
      </c>
      <c r="EV117" s="6">
        <f>COUNTIFS(Table45[Country],Tabela1[[#This Row],[Country]],Table45[Eventing Classification],"&gt;0")</f>
        <v>0</v>
      </c>
      <c r="EW117" s="6">
        <f>COUNTIFS(Table44[Country],Tabela1[[#This Row],[Country]],Table44[Jumping Classification],"&gt;0")</f>
        <v>0</v>
      </c>
      <c r="EX117" s="6">
        <f>COUNTIFS(Table45[Country],Tabela1[[#This Row],[Country]],Table45[Jumping Classification],"&gt;0")</f>
        <v>0</v>
      </c>
      <c r="EY117" s="6">
        <f>COUNTIFS(Table10[Country],Tabela1[[#This Row],[Country]],Table10[Épée Classification],"&gt;0")</f>
        <v>0</v>
      </c>
      <c r="EZ117" s="6">
        <f>COUNTIFS(Table11[Country],Tabela1[[#This Row],[Country]],Table11[Épée Classification],"&gt;0")</f>
        <v>0</v>
      </c>
      <c r="FA117" s="6">
        <f>COUNTIFS(Table46[Country],Tabela1[[#This Row],[Country]],Table46[Men''s Épée Classification],"&gt;0")</f>
        <v>0</v>
      </c>
      <c r="FB117" s="6">
        <f>COUNTIFS(Table46[Country],Tabela1[[#This Row],[Country]],Table46[Women''s Épée Classification],"&gt;0")</f>
        <v>0</v>
      </c>
      <c r="FC117" s="6">
        <f>COUNTIFS(Table10[Country],Tabela1[[#This Row],[Country]],Table10[Foil Classification],"&gt;0")</f>
        <v>0</v>
      </c>
      <c r="FD117" s="6">
        <f>COUNTIFS(Table11[Country],Tabela1[[#This Row],[Country]],Table11[Foil Classification],"&gt;0")</f>
        <v>0</v>
      </c>
      <c r="FE117" s="6">
        <f>COUNTIFS(Table46[Country],Tabela1[[#This Row],[Country]],Table46[Men''s Foil Classification],"&gt;0")</f>
        <v>0</v>
      </c>
      <c r="FF117" s="6">
        <f>COUNTIFS(Table46[Country],Tabela1[[#This Row],[Country]],Table46[Women''s Foil Classification],"&gt;0")</f>
        <v>0</v>
      </c>
      <c r="FG117" s="6">
        <f>COUNTIFS(Table10[Country],Tabela1[[#This Row],[Country]],Table10[Sabre Classification],"&gt;0")</f>
        <v>0</v>
      </c>
      <c r="FH117" s="6">
        <f>COUNTIFS(Table11[Country],Tabela1[[#This Row],[Country]],Table11[Sabre Classification],"&gt;0")</f>
        <v>0</v>
      </c>
      <c r="FI117" s="6">
        <f>COUNTIFS(Table46[Country],Tabela1[[#This Row],[Country]],Table46[Men''s Sabre Classification],"&gt;0")</f>
        <v>0</v>
      </c>
      <c r="FJ117" s="6">
        <f>COUNTIFS(Table46[Country],Tabela1[[#This Row],[Country]],Table46[Women''s Sabre Classification],"&gt;0")</f>
        <v>0</v>
      </c>
      <c r="FK117" s="6">
        <f>COUNTIFS(Table91[Country],Tabela1[[#This Row],[Country]],Table91[Men''s Classification],"&gt;0")</f>
        <v>0</v>
      </c>
      <c r="FL117" s="6">
        <f>COUNTIFS(Table91[Country],Tabela1[[#This Row],[Country]],Table91[Women''s Classification],"&gt;0")</f>
        <v>0</v>
      </c>
      <c r="FM117" s="6">
        <f>COUNTIFS(Table9194[Country],Tabela1[[#This Row],[Country]],Table9194[Men''s Classification],"&gt;0")</f>
        <v>0</v>
      </c>
      <c r="FN117" s="6">
        <f>COUNTIFS(Table9194[Country],Tabela1[[#This Row],[Country]],Table9194[Women''s Classification],"&gt;0")</f>
        <v>0</v>
      </c>
      <c r="FO117" s="6">
        <f>COUNTIFS(Table71[Country],Tabela1[[#This Row],[Country]],Table71[Classification],"&gt;0")</f>
        <v>0</v>
      </c>
      <c r="FP117" s="6">
        <f>COUNTIFS(Table62[Country],Tabela1[[#This Row],[Country]],Table62[Classification],"&gt;0")</f>
        <v>0</v>
      </c>
      <c r="FQ117" s="6">
        <f>COUNTIFS(Table47[Country],Tabela1[[#This Row],[Country]],Table47[All-Around Classification],"&gt;0")</f>
        <v>0</v>
      </c>
      <c r="FR117" s="6">
        <f>COUNTIFS(Table48[Country],Tabela1[[#This Row],[Country]],Table48[All-Around Classification],"&gt;0")</f>
        <v>0</v>
      </c>
      <c r="FS117" s="6">
        <f>COUNTIFS(Table81[Country],Tabela1[[#This Row],[Country]],Table81[Men''s All-Around Classification],"&gt;0")</f>
        <v>0</v>
      </c>
      <c r="FT117" s="6">
        <f>COUNTIFS(Table81[Country],Tabela1[[#This Row],[Country]],Table81[Women''s All-Around Classification],"&gt;0")</f>
        <v>0</v>
      </c>
      <c r="FU117" s="6">
        <f>COUNTIFS(Table48[Country],Tabela1[[#This Row],[Country]],Table48[Balance Beam Classification],"&gt;0")</f>
        <v>0</v>
      </c>
      <c r="FV117" s="6">
        <f>COUNTIFS(Table47[Country],Tabela1[[#This Row],[Country]],Table47[Floor Exercise Classification],"&gt;0")</f>
        <v>0</v>
      </c>
      <c r="FW117" s="6">
        <f>COUNTIFS(Table48[Country],Tabela1[[#This Row],[Country]],Table48[Floor Exercise Classification],"&gt;0")</f>
        <v>0</v>
      </c>
      <c r="FX117" s="6">
        <f>COUNTIFS(Table47[Country],Tabela1[[#This Row],[Country]],Table47[Horizontal Bar Classification],"&gt;0")</f>
        <v>0</v>
      </c>
      <c r="FY117" s="6">
        <f>COUNTIFS(Table47[Country],Tabela1[[#This Row],[Country]],Table47[Parallel Bars Classification],"&gt;0")</f>
        <v>0</v>
      </c>
      <c r="FZ117" s="6">
        <f>COUNTIFS(Table47[Country],Tabela1[[#This Row],[Country]],Table47[Pommel Horse Classification],"&gt;0")</f>
        <v>0</v>
      </c>
      <c r="GA117" s="6">
        <f>COUNTIFS(Table47[Country],Tabela1[[#This Row],[Country]],Table47[Rings Classification],"&gt;0")</f>
        <v>0</v>
      </c>
      <c r="GB117" s="6">
        <f>COUNTIFS(Tabela132[Country],Tabela1[[#This Row],[Country]],Tabela132[Classification],"&gt;0")</f>
        <v>0</v>
      </c>
      <c r="GC117" s="6">
        <f>COUNTIFS(Tabela139[Country],Tabela1[[#This Row],[Country]],Tabela139[Classification],"&gt;0")</f>
        <v>0</v>
      </c>
      <c r="GD117" s="6">
        <f>COUNTIFS(Table48[Country],Tabela1[[#This Row],[Country]],Table48[Uneven Bars Classification],"&gt;0")</f>
        <v>0</v>
      </c>
      <c r="GE117" s="6">
        <f>COUNTIFS(Table47[Country],Tabela1[[#This Row],[Country]],Table47[Vault Classification],"&gt;0")</f>
        <v>0</v>
      </c>
      <c r="GF117" s="6">
        <f>COUNTIFS(Table48[Country],Tabela1[[#This Row],[Country]],Table48[Vault Classification],"&gt;0")</f>
        <v>0</v>
      </c>
      <c r="GG117" s="6">
        <f>COUNTIFS(Table919496[Country],Tabela1[[#This Row],[Country]],Table919496[Men''s Classification],"&gt;0")</f>
        <v>0</v>
      </c>
      <c r="GH117" s="6">
        <f>COUNTIFS(Table919496[Country],Tabela1[[#This Row],[Country]],Table919496[Women''s Classification],"&gt;0")</f>
        <v>0</v>
      </c>
      <c r="GI117" s="6">
        <f>COUNTIFS(Table12[Country],Tabela1[[#This Row],[Country]],Table12[60kg Classification],"&gt;0")</f>
        <v>0</v>
      </c>
      <c r="GJ117" s="6">
        <f>COUNTIFS(Table12[Country],Tabela1[[#This Row],[Country]],Table12[66kg Classification],"&gt;0")</f>
        <v>0</v>
      </c>
      <c r="GK117" s="6">
        <f>COUNTIFS(Table12[Country],Tabela1[[#This Row],[Country]],Table12[73kg Classification],"&gt;0")</f>
        <v>0</v>
      </c>
      <c r="GL117" s="6">
        <f>COUNTIFS(Table12[Country],Tabela1[[#This Row],[Country]],Table12[81kg Classification],"&gt;0")</f>
        <v>0</v>
      </c>
      <c r="GM117" s="6">
        <f>COUNTIFS(Table12[Country],Tabela1[[#This Row],[Country]],Table12[90kg Classification],"&gt;0")</f>
        <v>0</v>
      </c>
      <c r="GN117" s="6">
        <f>COUNTIFS(Table12[Country],Tabela1[[#This Row],[Country]],Table12[100kg Classification],"&gt;0")</f>
        <v>0</v>
      </c>
      <c r="GO117" s="6">
        <f>COUNTIFS(Table12[Country],Tabela1[[#This Row],[Country]],Table12[Plus 100kg Classification],"&gt;0")</f>
        <v>0</v>
      </c>
      <c r="GP117" s="6">
        <f>COUNTIFS(Table13[Country],Tabela1[[#This Row],[Country]],Table13[48kg Classification],"&gt;0")</f>
        <v>0</v>
      </c>
      <c r="GQ117" s="6">
        <f>COUNTIFS(Table13[Country],Tabela1[[#This Row],[Country]],Table13[52kg Classification],"&gt;0")</f>
        <v>0</v>
      </c>
      <c r="GR117" s="6">
        <f>COUNTIFS(Table13[Country],Tabela1[[#This Row],[Country]],Table13[57kg Classification],"&gt;0")</f>
        <v>0</v>
      </c>
      <c r="GS117" s="6">
        <f>COUNTIFS(Table13[Country],Tabela1[[#This Row],[Country]],Table13[63kg Classification],"&gt;0")</f>
        <v>0</v>
      </c>
      <c r="GT117" s="6">
        <f>COUNTIFS(Table13[Country],Tabela1[[#This Row],[Country]],Table13[70kg Classification],"&gt;0")</f>
        <v>0</v>
      </c>
      <c r="GU117" s="6">
        <f>COUNTIFS(Table13[Country],Tabela1[[#This Row],[Country]],Table13[78kg Classification],"&gt;0")</f>
        <v>0</v>
      </c>
      <c r="GV117" s="6">
        <f>COUNTIFS(Table13[Country],Tabela1[[#This Row],[Country]],Table13[Plus 78kg Classification],"&gt;0")</f>
        <v>0</v>
      </c>
      <c r="GW117" s="6">
        <f>COUNTIFS(Table82[Country],Tabela1[[#This Row],[Country]],Table82[Mixed Classification],"&gt;0")</f>
        <v>0</v>
      </c>
      <c r="GX117" s="6">
        <f>COUNTIFS(Table51[Country],Tabela1[[#This Row],[Country]],Table51[Classification],"&gt;0")</f>
        <v>0</v>
      </c>
      <c r="GY117" s="6">
        <f>COUNTIFS(Table52[Country],Tabela1[[#This Row],[Country]],Table52[Classification],"&gt;0")</f>
        <v>0</v>
      </c>
      <c r="GZ117" s="6">
        <f>COUNTIFS(Table32[Country],Tabela1[[#This Row],[Country]],Table32[All-Around Classification],"&gt;0")</f>
        <v>0</v>
      </c>
      <c r="HA117" s="6">
        <f>COUNTIFS(Table49[Country],Tabela1[[#This Row],[Country]],Table49[All-Around Classification],"&gt;0")</f>
        <v>0</v>
      </c>
      <c r="HB117" s="6">
        <f>COUNTIFS(Table26[Country],Tabela1[[#This Row],[Country]],Table26[Single Sculls Classification],"&gt;0")</f>
        <v>0</v>
      </c>
      <c r="HC117" s="6">
        <f>COUNTIFS(Table63[Country],Tabela1[[#This Row],[Country]],Table63[Single Sculls Classification],"&gt;0")</f>
        <v>0</v>
      </c>
      <c r="HD117" s="6">
        <f>COUNTIFS(Table16[Country],Tabela1[[#This Row],[Country]],Table16[Men''s Double Sculls Classification],"&gt;0")</f>
        <v>0</v>
      </c>
      <c r="HE117" s="6">
        <f>COUNTIFS(Table16[Country],Tabela1[[#This Row],[Country]],Table16[Women''s Double Sculls Classification],"&gt;0")</f>
        <v>0</v>
      </c>
      <c r="HF117" s="6">
        <f>COUNTIFS(Table72[Country],Tabela1[[#This Row],[Country]],Table72[Men''s Quadruple Sculls Classification],"&gt;0")</f>
        <v>0</v>
      </c>
      <c r="HG117" s="6">
        <f>COUNTIFS(Table72[Country],Tabela1[[#This Row],[Country]],Table72[Women''s Quadruple Sculls Classification],"&gt;0")</f>
        <v>0</v>
      </c>
      <c r="HH117" s="6">
        <f>COUNTIFS(Table16[Country],Tabela1[[#This Row],[Country]],Table16[Men''s Coxless Pairs Classification],"&gt;0")</f>
        <v>0</v>
      </c>
      <c r="HI117" s="6">
        <f>COUNTIFS(Table16[Country],Tabela1[[#This Row],[Country]],Table16[Women''s Coxless Pairs Classification],"&gt;0")</f>
        <v>0</v>
      </c>
      <c r="HJ117" s="6">
        <f>COUNTIFS(Table72[Country],Tabela1[[#This Row],[Country]],Table72[Men''s Coxless Fours Classification],"&gt;0")</f>
        <v>0</v>
      </c>
      <c r="HK117" s="6">
        <f>COUNTIFS(Table72[Country],Tabela1[[#This Row],[Country]],Table72[Women''s Coxless Fours Classification],"&gt;0")</f>
        <v>0</v>
      </c>
      <c r="HL117" s="6">
        <f>COUNTIFS(Table72[Country],Tabela1[[#This Row],[Country]],Table72[Men''s Eights Classification],"&gt;0")</f>
        <v>0</v>
      </c>
      <c r="HM117" s="6">
        <f>COUNTIFS(Table72[Country],Tabela1[[#This Row],[Country]],Table72[Women''s Eights Classification],"&gt;0")</f>
        <v>0</v>
      </c>
      <c r="HN117" s="6">
        <f>COUNTIFS(Table16[Country],Tabela1[[#This Row],[Country]],Table16[Men''s Lwt. Double Sculls Classification],"&gt;0")</f>
        <v>0</v>
      </c>
      <c r="HO117" s="6">
        <f>COUNTIFS(Table16[Country],Tabela1[[#This Row],[Country]],Table16[Women''s Lwt. Double Sculls Classification],"&gt;0")</f>
        <v>0</v>
      </c>
      <c r="HP117" s="6">
        <f>COUNTIFS(Table91949698[Country],Tabela1[[#This Row],[Country]],Table91949698[Men''s Classification],"&gt;0")</f>
        <v>0</v>
      </c>
      <c r="HQ117" s="6">
        <f>COUNTIFS(Table91949698[Country],Tabela1[[#This Row],[Country]],Table91949698[Women''s Classification],"&gt;0")</f>
        <v>0</v>
      </c>
      <c r="HR117" s="6">
        <f>COUNTIFS(Table25[Country],Tabela1[[#This Row],[Country]],Table25[Mixed 470 Classification],"&gt;0")</f>
        <v>0</v>
      </c>
      <c r="HS117" s="6">
        <f>COUNTIFS(Table25[Country],Tabela1[[#This Row],[Country]],Table25[Men''s 49er Classification],"&gt;0")</f>
        <v>0</v>
      </c>
      <c r="HT117" s="6">
        <f>COUNTIFS(Table25[Country],Tabela1[[#This Row],[Country]],Table25[Women''s 49er FX Classification],"&gt;0")</f>
        <v>0</v>
      </c>
      <c r="HU117" s="6">
        <f>COUNTIFS(Table17[Country],Tabela1[[#This Row],[Country]],Table17[Formula Kite Classification],"&gt;0")</f>
        <v>0</v>
      </c>
      <c r="HV117" s="6">
        <f>COUNTIFS(Table18[Country],Tabela1[[#This Row],[Country]],Table18[Formula Kite Classification],"&gt;0")</f>
        <v>0</v>
      </c>
      <c r="HW117" s="6">
        <f>COUNTIFS(Table17[Country],Tabela1[[#This Row],[Country]],Table17[ILCA 7 Classification],"&gt;0")</f>
        <v>0</v>
      </c>
      <c r="HX117" s="6">
        <f>COUNTIFS(Table18[Country],Tabela1[[#This Row],[Country]],Table18[ILCA 6 Classification],"&gt;0")</f>
        <v>0</v>
      </c>
      <c r="HY117" s="6">
        <f>COUNTIFS(Table17[Country],Tabela1[[#This Row],[Country]],Table17[IQFoil Classification],"&gt;0")</f>
        <v>0</v>
      </c>
      <c r="HZ117" s="6">
        <f>COUNTIFS(Table18[Country],Tabela1[[#This Row],[Country]],Table18[IQFoil Classification],"&gt;0")</f>
        <v>0</v>
      </c>
      <c r="IA117" s="6">
        <f>COUNTIFS(Table25[Country],Tabela1[[#This Row],[Country]],Table25[Mixed Nacra 17 Classification],"&gt;0")</f>
        <v>0</v>
      </c>
      <c r="IB117" s="6">
        <f>COUNTIFS(Table53[Country],Tabela1[[#This Row],[Country]],Table53[10m Air Pistol Classification],"&gt;0")</f>
        <v>0</v>
      </c>
      <c r="IC117" s="6">
        <f>COUNTIFS(Table19[Country],Tabela1[[#This Row],[Country]],Table19[10m Air Pistol Classification],"&gt;0")</f>
        <v>0</v>
      </c>
      <c r="ID117" s="6">
        <f>COUNTIFS(Table54[Country],Tabela1[[#This Row],[Country]],Table54[Mixed 10m Air Pistol Team Classification],"&gt;0")</f>
        <v>0</v>
      </c>
      <c r="IE117" s="6">
        <f>COUNTIFS(Table53[Country],Tabela1[[#This Row],[Country]],Table53[10m Air Rifle Classification],"&gt;0")</f>
        <v>0</v>
      </c>
      <c r="IF117" s="6">
        <f>COUNTIFS(Table19[Country],Tabela1[[#This Row],[Country]],Table19[10m Air Rifle Classification],"&gt;0")</f>
        <v>0</v>
      </c>
      <c r="IG117" s="6">
        <f>COUNTIFS(Table54[Country],Tabela1[[#This Row],[Country]],Table54[Mixed 10m Air Rifle Team Classification],"&gt;0")</f>
        <v>0</v>
      </c>
      <c r="IH117" s="6">
        <f>COUNTIFS(Table53[Country],Tabela1[[#This Row],[Country]],Table53[25m Rapid Fire Pistol Classification],"&gt;0")</f>
        <v>0</v>
      </c>
      <c r="II117" s="6">
        <f>COUNTIFS(Table19[Country],Tabela1[[#This Row],[Country]],Table19[25m Pistol Classification],"&gt;0")</f>
        <v>0</v>
      </c>
      <c r="IJ117" s="6">
        <f>COUNTIFS(Table53[Country],Tabela1[[#This Row],[Country]],Table53[50m Rifle 3 Positions Classification],"&gt;0")</f>
        <v>0</v>
      </c>
      <c r="IK117" s="6">
        <f>COUNTIFS(Table19[Country],Tabela1[[#This Row],[Country]],Table19[50m Rifle 3 Positions Classification],"&gt;0")</f>
        <v>0</v>
      </c>
      <c r="IL117" s="6">
        <f>COUNTIFS(Table53[Country],Tabela1[[#This Row],[Country]],Table53[Skeet Classification],"&gt;0")</f>
        <v>0</v>
      </c>
      <c r="IM117" s="6">
        <f>COUNTIFS(Table19[Country],Tabela1[[#This Row],[Country]],Table19[Skeet Classification],"&gt;0")</f>
        <v>0</v>
      </c>
      <c r="IN117" s="6">
        <f>COUNTIFS(Table54[Country],Tabela1[[#This Row],[Country]],Table54[Mixed Skeet Team Classification],"&gt;0")</f>
        <v>0</v>
      </c>
      <c r="IO117" s="6">
        <f>COUNTIFS(Table53[Country],Tabela1[[#This Row],[Country]],Table53[Trap Classification],"&gt;0")</f>
        <v>0</v>
      </c>
      <c r="IP117" s="6">
        <f>COUNTIFS(Table19[Country],Tabela1[[#This Row],[Country]],Table19[Trap Classification],"&gt;0")</f>
        <v>0</v>
      </c>
      <c r="IQ117" s="6">
        <f>COUNTIFS(Table73[Country],Tabela1[[#This Row],[Country]],Table73[Park Classification],"&gt;0")</f>
        <v>0</v>
      </c>
      <c r="IR117" s="6">
        <f>COUNTIFS(Table74[Country],Tabela1[[#This Row],[Country]],Table74[Park Classification],"&gt;0")</f>
        <v>0</v>
      </c>
      <c r="IS117" s="6">
        <f>COUNTIFS(Table73[Country],Tabela1[[#This Row],[Country]],Table73[Street Classification],"&gt;0")</f>
        <v>0</v>
      </c>
      <c r="IT117" s="6">
        <f>COUNTIFS(Table74[Country],Tabela1[[#This Row],[Country]],Table74[Street Classification],"&gt;0")</f>
        <v>0</v>
      </c>
      <c r="IU117" s="6">
        <f>COUNTIFS(Table75[Country],Tabela1[[#This Row],[Country]],Table75[Boulder and Lead Classification],"&gt;0")</f>
        <v>0</v>
      </c>
      <c r="IV117" s="6">
        <f>COUNTIFS(Table76[Country],Tabela1[[#This Row],[Country]],Table76[Boulder and Lead Classification],"&gt;0")</f>
        <v>0</v>
      </c>
      <c r="IW117" s="6">
        <f>COUNTIFS(Table75[Country],Tabela1[[#This Row],[Country]],Table75[Speed Classification],"&gt;0")</f>
        <v>0</v>
      </c>
      <c r="IX117" s="6">
        <f>COUNTIFS(Table76[Country],Tabela1[[#This Row],[Country]],Table76[Speed Classification],"&gt;0")</f>
        <v>0</v>
      </c>
      <c r="IY117" s="6">
        <f>COUNTIFS(Table64[Country],Tabela1[[#This Row],[Country]],Table64[Shortboard Classification],"&gt;0")</f>
        <v>0</v>
      </c>
      <c r="IZ117" s="6">
        <f>COUNTIFS(Table77[Country],Tabela1[[#This Row],[Country]],Table77[Shortboard Classification],"&gt;0")</f>
        <v>0</v>
      </c>
      <c r="JA117" s="6">
        <f>COUNTIFS(Table20[Country],Tabela1[[#This Row],[Country]],Table20[50m Freestyle Classification],"&gt;0")</f>
        <v>0</v>
      </c>
      <c r="JB117" s="6">
        <f>COUNTIFS(Table21[Country],Tabela1[[#This Row],[Country]],Table21[50m Freestyle Classification],"&gt;0")</f>
        <v>0</v>
      </c>
      <c r="JC117" s="6">
        <f>COUNTIFS(Table20[Country],Tabela1[[#This Row],[Country]],Table20[100m Freestyle Classification],"&gt;0")</f>
        <v>0</v>
      </c>
      <c r="JD117" s="6">
        <f>COUNTIFS(Table21[Country],Tabela1[[#This Row],[Country]],Table21[100m Freestyle Classification],"&gt;0")</f>
        <v>0</v>
      </c>
      <c r="JE117" s="6">
        <f>COUNTIFS(Table20[Country],Tabela1[[#This Row],[Country]],Table20[200m Freestyle Classification],"&gt;0")</f>
        <v>0</v>
      </c>
      <c r="JF117" s="6">
        <f>COUNTIFS(Table21[Country],Tabela1[[#This Row],[Country]],Table21[200m Freestyle Classification],"&gt;0")</f>
        <v>0</v>
      </c>
      <c r="JG117" s="6">
        <f>COUNTIFS(Table20[Country],Tabela1[[#This Row],[Country]],Table20[400m Freestyle Classification],"&gt;0")</f>
        <v>0</v>
      </c>
      <c r="JH117" s="6">
        <f>COUNTIFS(Table21[Country],Tabela1[[#This Row],[Country]],Table21[400m Freestyle Classification],"&gt;0")</f>
        <v>0</v>
      </c>
      <c r="JI117" s="6">
        <f>COUNTIFS(Table20[Country],Tabela1[[#This Row],[Country]],Table20[800m Freestyle Classification],"&gt;0")</f>
        <v>0</v>
      </c>
      <c r="JJ117" s="6">
        <f>COUNTIFS(Table21[Country],Tabela1[[#This Row],[Country]],Table21[800m Freestyle Classification],"&gt;0")</f>
        <v>0</v>
      </c>
      <c r="JK117" s="6">
        <f>COUNTIFS(Table20[Country],Tabela1[[#This Row],[Country]],Table20[1500m Freestyle Classification],"&gt;0")</f>
        <v>0</v>
      </c>
      <c r="JL117" s="6">
        <f>COUNTIFS(Table21[Country],Tabela1[[#This Row],[Country]],Table21[1500m Freestyle Classification],"&gt;0")</f>
        <v>0</v>
      </c>
      <c r="JM117" s="6">
        <f>COUNTIFS(Table20[Country],Tabela1[[#This Row],[Country]],Table20[100m Backstroke Classification],"&gt;0")</f>
        <v>0</v>
      </c>
      <c r="JN117" s="6">
        <f>COUNTIFS(Table21[Country],Tabela1[[#This Row],[Country]],Table21[100m Backstroke Classification],"&gt;0")</f>
        <v>0</v>
      </c>
      <c r="JO117" s="6">
        <f>COUNTIFS(Table20[Country],Tabela1[[#This Row],[Country]],Table20[200m Backstroke Classification],"&gt;0")</f>
        <v>0</v>
      </c>
      <c r="JP117" s="6">
        <f>COUNTIFS(Table21[Country],Tabela1[[#This Row],[Country]],Table21[200m Backstroke Classification],"&gt;0")</f>
        <v>0</v>
      </c>
      <c r="JQ117" s="6">
        <f>COUNTIFS(Table20[Country],Tabela1[[#This Row],[Country]],Table20[100m Breaststroke Classification],"&gt;0")</f>
        <v>0</v>
      </c>
      <c r="JR117" s="6">
        <f>COUNTIFS(Table21[Country],Tabela1[[#This Row],[Country]],Table21[100m Breaststroke Classification],"&gt;0")</f>
        <v>0</v>
      </c>
      <c r="JS117" s="6">
        <f>COUNTIFS(Table20[Country],Tabela1[[#This Row],[Country]],Table20[200m Breaststroke Classification],"&gt;0")</f>
        <v>0</v>
      </c>
      <c r="JT117" s="6">
        <f>COUNTIFS(Table21[Country],Tabela1[[#This Row],[Country]],Table21[200m Breaststroke Classification],"&gt;0")</f>
        <v>0</v>
      </c>
      <c r="JU117" s="6">
        <f>COUNTIFS(Table20[Country],Tabela1[[#This Row],[Country]],Table20[100m Butterfly Classification],"&gt;0")</f>
        <v>0</v>
      </c>
      <c r="JV117" s="6">
        <f>COUNTIFS(Table21[Country],Tabela1[[#This Row],[Country]],Table21[100m Butterfly Classification],"&gt;0")</f>
        <v>0</v>
      </c>
      <c r="JW117" s="6">
        <f>COUNTIFS(Table20[Country],Tabela1[[#This Row],[Country]],Table20[200m Butterfly Classification],"&gt;0")</f>
        <v>0</v>
      </c>
      <c r="JX117" s="6">
        <f>COUNTIFS(Table21[Country],Tabela1[[#This Row],[Country]],Table21[200m Butterfly Classification],"&gt;0")</f>
        <v>0</v>
      </c>
      <c r="JY117" s="6">
        <f>COUNTIFS(Table20[Country],Tabela1[[#This Row],[Country]],Table20[200m Medley Classification],"&gt;0")</f>
        <v>0</v>
      </c>
      <c r="JZ117" s="6">
        <f>COUNTIFS(Table21[Country],Tabela1[[#This Row],[Country]],Table21[200m Medley Classification],"&gt;0")</f>
        <v>0</v>
      </c>
      <c r="KA117" s="6">
        <f>COUNTIFS(Table20[Country],Tabela1[[#This Row],[Country]],Table20[400m Medley Classification],"&gt;0")</f>
        <v>0</v>
      </c>
      <c r="KB117" s="6">
        <f>COUNTIFS(Table21[Country],Tabela1[[#This Row],[Country]],Table21[400m Medley Classification],"&gt;0")</f>
        <v>0</v>
      </c>
      <c r="KC117" s="6">
        <f>COUNTIFS(Table78[Country],Tabela1[[#This Row],[Country]],Table78[Men''s 4x100m Freestyle Relay Classification],"&gt;0")</f>
        <v>0</v>
      </c>
      <c r="KD117" s="6">
        <f>COUNTIFS(Table78[Country],Tabela1[[#This Row],[Country]],Table78[Women''s 4x100m Freestyle Relay Classification],"&gt;0")</f>
        <v>0</v>
      </c>
      <c r="KE117" s="6">
        <f>COUNTIFS(Table78[Country],Tabela1[[#This Row],[Country]],Table78[Men''s 4x200m Freestyle Relay Classification],"&gt;0")</f>
        <v>0</v>
      </c>
      <c r="KF117" s="6">
        <f>COUNTIFS(Table78[Country],Tabela1[[#This Row],[Country]],Table78[Women''s 4x200m Freestyle Relay Classification],"&gt;0")</f>
        <v>0</v>
      </c>
      <c r="KG117" s="6">
        <f>COUNTIFS(Table78[Country],Tabela1[[#This Row],[Country]],Table78[Men''s 4x100m Medley Relay Classification],"&gt;0")</f>
        <v>0</v>
      </c>
      <c r="KH117" s="6">
        <f>COUNTIFS(Table78[Country],Tabela1[[#This Row],[Country]],Table78[Women''s 4x100m Medley Relay Classification],"&gt;0")</f>
        <v>0</v>
      </c>
      <c r="KI117" s="6">
        <f>COUNTIFS(Table78[Country],Tabela1[[#This Row],[Country]],Table78[Mixed 4x100m Medley Relay Classification],"&gt;0")</f>
        <v>0</v>
      </c>
      <c r="KJ117" s="6">
        <f>COUNTIFS(Table20[Country],Tabela1[[#This Row],[Country]],Table20[10km Open Water Classification],"&gt;0")</f>
        <v>0</v>
      </c>
      <c r="KK117" s="6">
        <f>COUNTIFS(Table21[Country],Tabela1[[#This Row],[Country]],Table21[10km Open Water Classification],"&gt;0")</f>
        <v>0</v>
      </c>
      <c r="KL117" s="6">
        <f>COUNTIFS(Table22[Country],Tabela1[[#This Row],[Country]],Table22[Classification],"&gt;0")</f>
        <v>0</v>
      </c>
      <c r="KM117" s="6">
        <f>COUNTIFS(Table30[Country],Tabela1[[#This Row],[Country]],Table30[Classification],"&gt;0")</f>
        <v>0</v>
      </c>
      <c r="KN117" s="6">
        <f>COUNTIFS(Table55[Country],Tabela1[[#This Row],[Country]],Table55[Men''s Classification],"&gt;0")</f>
        <v>0</v>
      </c>
      <c r="KO117" s="6">
        <f>COUNTIFS(Table55[Country],Tabela1[[#This Row],[Country]],Table55[Women''s Classification],"&gt;0")</f>
        <v>0</v>
      </c>
      <c r="KP117" s="6">
        <f>COUNTIFS(Table56[Country],Tabela1[[#This Row],[Country]],Table56[Mixed Classification],"&gt;0")</f>
        <v>0</v>
      </c>
      <c r="KQ117" s="6">
        <f>COUNTIFS(Table29[Country],Tabela1[[#This Row],[Country]],Table29[58kg Classification],"&gt;0")</f>
        <v>0</v>
      </c>
      <c r="KR117" s="6">
        <f>COUNTIFS(Table29[Country],Tabela1[[#This Row],[Country]],Table29[68kg Classification],"&gt;0")</f>
        <v>0</v>
      </c>
      <c r="KS117" s="6">
        <f>COUNTIFS(Table29[Country],Tabela1[[#This Row],[Country]],Table29[80kg Classification],"&gt;0")</f>
        <v>0</v>
      </c>
      <c r="KT117" s="6">
        <f>COUNTIFS(Table29[Country],Tabela1[[#This Row],[Country]],Table29[Plus 80kg Classification],"&gt;0")</f>
        <v>0</v>
      </c>
      <c r="KU117" s="6">
        <f>COUNTIFS(Table34[Country],Tabela1[[#This Row],[Country]],Table34[49kg Classification],"&gt;0")</f>
        <v>0</v>
      </c>
      <c r="KV117" s="6">
        <f>COUNTIFS(Table34[Country],Tabela1[[#This Row],[Country]],Table34[57kg Classification],"&gt;0")</f>
        <v>0</v>
      </c>
      <c r="KW117" s="6">
        <f>COUNTIFS(Table34[Country],Tabela1[[#This Row],[Country]],Table34[67kg Classification],"&gt;0")</f>
        <v>0</v>
      </c>
      <c r="KX117" s="6">
        <f>COUNTIFS(Table34[Country],Tabela1[[#This Row],[Country]],Table34[Plus 67kg Classification],"&gt;0")</f>
        <v>0</v>
      </c>
      <c r="KY117" s="6">
        <f>COUNTIFS(Table57[Country],Tabela1[[#This Row],[Country]],Table57[Classification],"&gt;0")</f>
        <v>0</v>
      </c>
      <c r="KZ117" s="6">
        <f>COUNTIFS(Table58[Country],Tabela1[[#This Row],[Country]],Table58[Classification],"&gt;0")</f>
        <v>0</v>
      </c>
      <c r="LA117" s="6">
        <f>COUNTIFS(Table79[Country],Tabela1[[#This Row],[Country]],Table79[Men''s Classification],"&gt;0")</f>
        <v>0</v>
      </c>
      <c r="LB117" s="6">
        <f>COUNTIFS(Table79[Country],Tabela1[[#This Row],[Country]],Table79[Women''s Classification],"&gt;0")</f>
        <v>0</v>
      </c>
      <c r="LC117" s="6">
        <f>COUNTIFS(Table79[Country],Tabela1[[#This Row],[Country]],Table79[Mixed Classification],"&gt;0")</f>
        <v>0</v>
      </c>
      <c r="LD117" s="6">
        <f>COUNTIFS(Table65[Country],Tabela1[[#This Row],[Country]],Table65[Classification],"&gt;0")</f>
        <v>0</v>
      </c>
      <c r="LE117" s="6">
        <f>COUNTIFS(Table59[Country],Tabela1[[#This Row],[Country]],Table59[Classification],"&gt;0")</f>
        <v>0</v>
      </c>
      <c r="LF117" s="6">
        <f>COUNTIFS(Table87[Country],Tabela1[[#This Row],[Country]],Table87[Mixed Relay Classification],"&gt;0")</f>
        <v>0</v>
      </c>
      <c r="LG117" s="6">
        <f>COUNTIFS(Table91949698100[Country],Tabela1[[#This Row],[Country]],Table91949698100[Men''s Classification],"&gt;0")</f>
        <v>0</v>
      </c>
      <c r="LH117" s="6">
        <f>COUNTIFS(Table91949698100[Country],Tabela1[[#This Row],[Country]],Table91949698100[Women''s Classification],"&gt;0")</f>
        <v>0</v>
      </c>
      <c r="LI117" s="6">
        <f>COUNTIFS(Table91949698100102[Country],Tabela1[[#This Row],[Country]],Table91949698100102[Men''s Classification],"&gt;0")</f>
        <v>0</v>
      </c>
      <c r="LJ117" s="6">
        <f>COUNTIFS(Table91949698100102[Country],Tabela1[[#This Row],[Country]],Table91949698100102[Women''s Classification],"&gt;0")</f>
        <v>0</v>
      </c>
      <c r="LK117" s="6">
        <f>COUNTIFS(Table23[Country],Tabela1[[#This Row],[Country]],Table23[61kg Classification],"&gt;0")</f>
        <v>0</v>
      </c>
      <c r="LL117" s="6">
        <f>COUNTIFS(Table23[Country],Tabela1[[#This Row],[Country]],Table23[73kg Classification],"&gt;0")</f>
        <v>0</v>
      </c>
      <c r="LM117" s="6">
        <f>COUNTIFS(Table23[Country],Tabela1[[#This Row],[Country]],Table23[89kg Classification],"&gt;0")</f>
        <v>0</v>
      </c>
      <c r="LN117" s="6">
        <f>COUNTIFS(Table23[Country],Tabela1[[#This Row],[Country]],Table23[102kg Classification],"&gt;0")</f>
        <v>0</v>
      </c>
      <c r="LO117" s="6">
        <f>COUNTIFS(Table23[Country],Tabela1[[#This Row],[Country]],Table23[Plus 102kg Classification],"&gt;0")</f>
        <v>0</v>
      </c>
      <c r="LP117" s="6">
        <f>COUNTIFS(Table28[Country],Tabela1[[#This Row],[Country]],Table28[49kg Classification],"&gt;0")</f>
        <v>0</v>
      </c>
      <c r="LQ117" s="6">
        <f>COUNTIFS(Table28[Country],Tabela1[[#This Row],[Country]],Table28[59kg Classification],"&gt;0")</f>
        <v>0</v>
      </c>
      <c r="LR117" s="6">
        <f>COUNTIFS(Table28[Country],Tabela1[[#This Row],[Country]],Table28[71kg Classification],"&gt;0")</f>
        <v>0</v>
      </c>
      <c r="LS117" s="6">
        <f>COUNTIFS(Table28[Country],Tabela1[[#This Row],[Country]],Table28[81kg Classification],"&gt;0")</f>
        <v>0</v>
      </c>
      <c r="LT117" s="6">
        <f>COUNTIFS(Table28[Country],Tabela1[[#This Row],[Country]],Table28[Plus 81kg Classification],"&gt;0")</f>
        <v>0</v>
      </c>
      <c r="LU117" s="6">
        <f>COUNTIFS(Table24[Country],Tabela1[[#This Row],[Country]],Table24[Freestyle 57kg Classification],"&gt;0")</f>
        <v>0</v>
      </c>
      <c r="LV117" s="6">
        <f>COUNTIFS(Table24[Country],Tabela1[[#This Row],[Country]],Table24[Freestyle 65kg Classification],"&gt;0")</f>
        <v>0</v>
      </c>
      <c r="LW117" s="6">
        <f>COUNTIFS(Table24[Country],Tabela1[[#This Row],[Country]],Table24[Freestyle 74kg Classification],"&gt;0")</f>
        <v>0</v>
      </c>
      <c r="LX117" s="6">
        <f>COUNTIFS(Table24[Country],Tabela1[[#This Row],[Country]],Table24[Freestyle 86kg Classification],"&gt;0")</f>
        <v>0</v>
      </c>
      <c r="LY117" s="6">
        <f>COUNTIFS(Table24[Country],Tabela1[[#This Row],[Country]],Table24[Freestyle 97kg Classification],"&gt;0")</f>
        <v>0</v>
      </c>
      <c r="LZ117" s="6">
        <f>COUNTIFS(Table24[Country],Tabela1[[#This Row],[Country]],Table24[Freestyle 125kg Classification],"&gt;0")</f>
        <v>0</v>
      </c>
      <c r="MA117" s="6">
        <f>COUNTIFS(Table24[Country],Tabela1[[#This Row],[Country]],Table24[Greco-Roman 60kg Classification],"&gt;0")</f>
        <v>0</v>
      </c>
      <c r="MB117" s="6">
        <f>COUNTIFS(Table24[Country],Tabela1[[#This Row],[Country]],Table24[Greco-Roman 67kg Classification],"&gt;0")</f>
        <v>0</v>
      </c>
      <c r="MC117" s="6">
        <f>COUNTIFS(Table24[Country],Tabela1[[#This Row],[Country]],Table24[Greco-Roman 77kg Classification],"&gt;0")</f>
        <v>0</v>
      </c>
      <c r="MD117" s="6">
        <f>COUNTIFS(Table24[Country],Tabela1[[#This Row],[Country]],Table24[Greco-Roman 87kg Classification],"&gt;0")</f>
        <v>0</v>
      </c>
      <c r="ME117" s="6">
        <f>COUNTIFS(Table24[Country],Tabela1[[#This Row],[Country]],Table24[Greco-Roman 97kg Classification],"&gt;0")</f>
        <v>0</v>
      </c>
      <c r="MF117" s="6">
        <f>COUNTIFS(Table24[Country],Tabela1[[#This Row],[Country]],Table24[Greco-Roman 130kg Classification],"&gt;0")</f>
        <v>0</v>
      </c>
      <c r="MG117" s="6">
        <f>COUNTIFS(Table31[Country],Tabela1[[#This Row],[Country]],Table31[50kg Classification],"&gt;0")</f>
        <v>0</v>
      </c>
      <c r="MH117" s="6">
        <f>COUNTIFS(Table31[Country],Tabela1[[#This Row],[Country]],Table31[53kg Classification],"&gt;0")</f>
        <v>0</v>
      </c>
      <c r="MI117" s="6">
        <f>COUNTIFS(Table31[Country],Tabela1[[#This Row],[Country]],Table31[57kg Classification],"&gt;0")</f>
        <v>0</v>
      </c>
      <c r="MJ117" s="6">
        <f>COUNTIFS(Table31[Country],Tabela1[[#This Row],[Country]],Table31[62kg Classification],"&gt;0")</f>
        <v>0</v>
      </c>
      <c r="MK117" s="6">
        <f>COUNTIFS(Table31[Country],Tabela1[[#This Row],[Country]],Table31[68kg Classification],"&gt;0")</f>
        <v>0</v>
      </c>
      <c r="ML117" s="6">
        <f>COUNTIFS(Table31[Country],Tabela1[[#This Row],[Country]],Table31[76kg Classification],"&gt;0")</f>
        <v>0</v>
      </c>
      <c r="MM117" s="6">
        <f>COUNTIFS(Table102[Country],Tabela1[[#This Row],[Country]],Table102[Downhill Classification],"&gt;0")</f>
        <v>1</v>
      </c>
      <c r="MN117" s="6">
        <f>COUNTIFS(Table102105[Country],Tabela1[[#This Row],[Country]],Table102105[Downhill Classification],"&gt;0")</f>
        <v>0</v>
      </c>
      <c r="MO117" s="6">
        <f>COUNTIFS(Table102[Country],Tabela1[[#This Row],[Country]],Table102[Giant Slalom Classification],"&gt;0")</f>
        <v>0</v>
      </c>
      <c r="MP117" s="6">
        <f>COUNTIFS(Table102105[Country],Tabela1[[#This Row],[Country]],Table102105[Giant Slalom Classification],"&gt;0")</f>
        <v>0</v>
      </c>
      <c r="MQ117" s="6">
        <f>COUNTIFS(Table102[Country],Tabela1[[#This Row],[Country]],Table102[Slalom Classification],"&gt;0")</f>
        <v>0</v>
      </c>
      <c r="MR117" s="6">
        <f>COUNTIFS(Table102105[Country],Tabela1[[#This Row],[Country]],Table102105[Slalom Classification],"&gt;0")</f>
        <v>0</v>
      </c>
      <c r="MS117" s="6">
        <f>COUNTIFS(Table102[Country],Tabela1[[#This Row],[Country]],Table102[Super-G Classification],"&gt;0")</f>
        <v>1</v>
      </c>
      <c r="MT117" s="6">
        <f>COUNTIFS(Table102105[Country],Tabela1[[#This Row],[Country]],Table102105[Super-G Classification],"&gt;0")</f>
        <v>0</v>
      </c>
      <c r="MU117" s="6">
        <f>COUNTIFS(Table105[Country],Tabela1[[#This Row],[Country]],Table105[Men''s Combined Classification],"&gt;0")</f>
        <v>0</v>
      </c>
      <c r="MV117" s="6">
        <f>COUNTIFS(Table105[Country],Tabela1[[#This Row],[Country]],Table105[Women''s Combined Classification],"&gt;0")</f>
        <v>0</v>
      </c>
      <c r="MW117" s="6">
        <f>COUNTIFS(Table106[Country],Tabela1[[#This Row],[Country]],Table106[Individual Classification],"&gt;0")</f>
        <v>0</v>
      </c>
      <c r="MX117" s="6">
        <f>COUNTIFS(Table106109[Country],Tabela1[[#This Row],[Country]],Table106109[Individual Classification],"&gt;0")</f>
        <v>0</v>
      </c>
      <c r="MY117" s="6">
        <f>COUNTIFS(Table106[Country],Tabela1[[#This Row],[Country]],Table106[Mass Start Classification],"&gt;0")</f>
        <v>0</v>
      </c>
      <c r="MZ117" s="6">
        <f>COUNTIFS(Table106109[Country],Tabela1[[#This Row],[Country]],Table106109[Mass Start Classification],"&gt;0")</f>
        <v>0</v>
      </c>
      <c r="NA117" s="6">
        <f>COUNTIFS(Table106[Country],Tabela1[[#This Row],[Country]],Table106[Pursuit Classification],"&gt;0")</f>
        <v>0</v>
      </c>
      <c r="NB117" s="6">
        <f>COUNTIFS(Table106109[Country],Tabela1[[#This Row],[Country]],Table106109[Pursuit Classification],"&gt;0")</f>
        <v>0</v>
      </c>
      <c r="NC117" s="6">
        <f>COUNTIFS(Table106[Country],Tabela1[[#This Row],[Country]],Table106[Sprint Classification],"&gt;0")</f>
        <v>0</v>
      </c>
      <c r="ND117" s="6">
        <f>COUNTIFS(Table106109[Country],Tabela1[[#This Row],[Country]],Table106109[Sprint Classification],"&gt;0")</f>
        <v>0</v>
      </c>
      <c r="NE117" s="6">
        <f>COUNTIFS(Table109[Country],Tabela1[[#This Row],[Country]],Table109[Men''s Relay Classification],"&gt;0")</f>
        <v>0</v>
      </c>
      <c r="NF117" s="6">
        <f>COUNTIFS(Table109[Country],Tabela1[[#This Row],[Country]],Table109[Women''s Relay Classification],"&gt;0")</f>
        <v>0</v>
      </c>
      <c r="NG117" s="6">
        <f>COUNTIFS(Table109[Country],Tabela1[[#This Row],[Country]],Table109[Mixed Relay Classification],"&gt;0")</f>
        <v>0</v>
      </c>
      <c r="NH117" s="6">
        <f>COUNTIFS(Table110[Country],Tabela1[[#This Row],[Country]],Table110[Monobob Classification],"&gt;0")</f>
        <v>0</v>
      </c>
      <c r="NI117" s="6">
        <f>COUNTIFS(Table111[Country],Tabela1[[#This Row],[Country]],Table111[Men''s Classification],"&gt;0")</f>
        <v>0</v>
      </c>
      <c r="NJ117" s="6">
        <f>COUNTIFS(Table111[Country],Tabela1[[#This Row],[Country]],Table111[Women''s Classification],"&gt;0")</f>
        <v>0</v>
      </c>
      <c r="NK117" s="6">
        <f>COUNTIFS(Table112[Country],Tabela1[[#This Row],[Country]],Table112[Men''s Four Classification],"&gt;0")</f>
        <v>0</v>
      </c>
      <c r="NL117" s="6">
        <f>COUNTIFS(Table113[Country],Tabela1[[#This Row],[Country]],Table113[Classical Classification],"&gt;0")</f>
        <v>0</v>
      </c>
      <c r="NM117" s="6">
        <f>COUNTIFS(Table113116[Country],Tabela1[[#This Row],[Country]],Table113116[Classical Classification],"&gt;0")</f>
        <v>0</v>
      </c>
      <c r="NN117" s="6">
        <f>COUNTIFS(Table113[Country],Tabela1[[#This Row],[Country]],Table113[Freestyle Classification],"&gt;0")</f>
        <v>0</v>
      </c>
      <c r="NO117" s="6">
        <f>COUNTIFS(Table113116[Country],Tabela1[[#This Row],[Country]],Table113116[Freestyle Classification],"&gt;0")</f>
        <v>0</v>
      </c>
      <c r="NP117" s="6">
        <f>COUNTIFS(Table117[Country],Tabela1[[#This Row],[Country]],Table117[Men''s Relay Classification],"&gt;0")</f>
        <v>0</v>
      </c>
      <c r="NQ117" s="6">
        <f>COUNTIFS(Table117[Country],Tabela1[[#This Row],[Country]],Table117[Women''s Relay Classification],"&gt;0")</f>
        <v>0</v>
      </c>
      <c r="NR117" s="6">
        <f>COUNTIFS(Table113[Country],Tabela1[[#This Row],[Country]],Table113[Skiathlon Classification],"&gt;0")</f>
        <v>0</v>
      </c>
      <c r="NS117" s="6">
        <f>COUNTIFS(Table113116[Country],Tabela1[[#This Row],[Country]],Table113116[Skiathlon Classification],"&gt;0")</f>
        <v>0</v>
      </c>
      <c r="NT117" s="6">
        <f>COUNTIFS(Table113[Country],Tabela1[[#This Row],[Country]],Table113[Sprint Classification],"&gt;0")</f>
        <v>0</v>
      </c>
      <c r="NU117" s="6">
        <f>COUNTIFS(Table113116[Country],Tabela1[[#This Row],[Country]],Table113116[Sprint Classification],"&gt;0")</f>
        <v>0</v>
      </c>
      <c r="NV117" s="6">
        <f>COUNTIFS(Table116[Country],Tabela1[[#This Row],[Country]],Table116[Men''s Team Sprint Classification],"&gt;0")</f>
        <v>0</v>
      </c>
      <c r="NW117" s="6">
        <f>COUNTIFS(Table116[Country],Tabela1[[#This Row],[Country]],Table116[Women''s Team Sprint Classification],"&gt;0")</f>
        <v>0</v>
      </c>
      <c r="NX117" s="6">
        <f>COUNTIFS(Table119[Country],Tabela1[[#This Row],[Country]],Table119[Men''s Classification],"&gt;0")</f>
        <v>0</v>
      </c>
      <c r="NY117" s="6">
        <f>COUNTIFS(Table119[Country],Tabela1[[#This Row],[Country]],Table119[Women''s Classification],"&gt;0")</f>
        <v>0</v>
      </c>
      <c r="NZ117" s="6">
        <f>COUNTIFS(Table118[Country],Tabela1[[#This Row],[Country]],Table118[Mixed Classification],"&gt;0")</f>
        <v>0</v>
      </c>
      <c r="OA117" s="6">
        <f>COUNTIFS(Table120[Country],Tabela1[[#This Row],[Country]],Table120[Classification],"&gt;0")</f>
        <v>0</v>
      </c>
      <c r="OB117" s="6">
        <f>COUNTIFS(Table120123[Country],Tabela1[[#This Row],[Country]],Table120123[Classification],"&gt;0")</f>
        <v>0</v>
      </c>
      <c r="OC117" s="6">
        <f>COUNTIFS(Table123[Country],Tabela1[[#This Row],[Country]],Table123[Ice Dance Classification],"&gt;0")</f>
        <v>0</v>
      </c>
      <c r="OD117" s="6">
        <f>COUNTIFS(Table123[Country],Tabela1[[#This Row],[Country]],Table123[Pair Skating Classification],"&gt;0")</f>
        <v>0</v>
      </c>
      <c r="OE117" s="6">
        <f>COUNTIFS(Table124[Country],Tabela1[[#This Row],[Country]],Table124[Mixed Classification],"&gt;0")</f>
        <v>0</v>
      </c>
      <c r="OF117" s="6">
        <f>COUNTIFS(Table125[Country],Tabela1[[#This Row],[Country]],Table125[Aerials Classification],"&gt;0")</f>
        <v>0</v>
      </c>
      <c r="OG117" s="6">
        <f>COUNTIFS(Table125128[Country],Tabela1[[#This Row],[Country]],Table125128[Aerials Classification],"&gt;0")</f>
        <v>0</v>
      </c>
      <c r="OH117" s="6">
        <f>COUNTIFS(Table128[Country],Tabela1[[#This Row],[Country]],Table128[Mixed Aerials Classification],"&gt;0")</f>
        <v>0</v>
      </c>
      <c r="OI117" s="6">
        <f>COUNTIFS(Table125[Country],Tabela1[[#This Row],[Country]],Table125[Big Air Classification],"&gt;0")</f>
        <v>0</v>
      </c>
      <c r="OJ117" s="6">
        <f>COUNTIFS(Table125128[Country],Tabela1[[#This Row],[Country]],Table125128[Big Air Classification],"&gt;0")</f>
        <v>0</v>
      </c>
      <c r="OK117" s="6">
        <f>COUNTIFS(Table125[Country],Tabela1[[#This Row],[Country]],Table125[Dual Moguls Classification],"&gt;0")</f>
        <v>0</v>
      </c>
      <c r="OL117" s="6">
        <f>COUNTIFS(Table125128[Country],Tabela1[[#This Row],[Country]],Table125128[Dual Moguls Classification],"&gt;0")</f>
        <v>0</v>
      </c>
      <c r="OM117" s="6">
        <f>COUNTIFS(Table125[Country],Tabela1[[#This Row],[Country]],Table125[Halfpipe Classification],"&gt;0")</f>
        <v>0</v>
      </c>
      <c r="ON117" s="6">
        <f>COUNTIFS(Table125128[Country],Tabela1[[#This Row],[Country]],Table125128[Halfpipe Classification],"&gt;0")</f>
        <v>0</v>
      </c>
      <c r="OO117" s="6">
        <f>COUNTIFS(Table125[Country],Tabela1[[#This Row],[Country]],Table125[Moguls Classification],"&gt;0")</f>
        <v>0</v>
      </c>
      <c r="OP117" s="6">
        <f>COUNTIFS(Table125128[Country],Tabela1[[#This Row],[Country]],Table125128[Moguls Classification],"&gt;0")</f>
        <v>0</v>
      </c>
      <c r="OQ117" s="6">
        <f>COUNTIFS(Table125[Country],Tabela1[[#This Row],[Country]],Table125[Ski Cross Classification],"&gt;0")</f>
        <v>0</v>
      </c>
      <c r="OR117" s="6">
        <f>COUNTIFS(Table125128[Country],Tabela1[[#This Row],[Country]],Table125128[Ski Cross Classification],"&gt;0")</f>
        <v>0</v>
      </c>
      <c r="OS117" s="6">
        <f>COUNTIFS(Table125[Country],Tabela1[[#This Row],[Country]],Table125[Slopestyle Classification],"&gt;0")</f>
        <v>0</v>
      </c>
      <c r="OT117" s="6">
        <f>COUNTIFS(Table125128[Country],Tabela1[[#This Row],[Country]],Table125128[Slopestyle Classification],"&gt;0")</f>
        <v>0</v>
      </c>
      <c r="OU117" s="6">
        <f>COUNTIFS(Table119131[Country],Tabela1[[#This Row],[Country]],Table119131[Men''s Classification],"&gt;0")</f>
        <v>0</v>
      </c>
      <c r="OV117" s="6">
        <f>COUNTIFS(Table119131[Country],Tabela1[[#This Row],[Country]],Table119131[Women''s Classification],"&gt;0")</f>
        <v>0</v>
      </c>
      <c r="OW117" s="6">
        <f>COUNTIFS(Table131[Country],Tabela1[[#This Row],[Country]],Table131[Classification],"&gt;0")</f>
        <v>0</v>
      </c>
      <c r="OX117" s="6">
        <f>COUNTIFS(Table131134[Country],Tabela1[[#This Row],[Country]],Table131134[Classification],"&gt;0")</f>
        <v>0</v>
      </c>
      <c r="OY117" s="6">
        <f>COUNTIFS(Table134[Country],Tabela1[[#This Row],[Country]],Table134[Men''s Classification],"&gt;0")</f>
        <v>0</v>
      </c>
      <c r="OZ117" s="6">
        <f>COUNTIFS(Table134[Country],Tabela1[[#This Row],[Country]],Table134[Women''s Classification],"&gt;0")</f>
        <v>0</v>
      </c>
      <c r="PA117" s="6">
        <f>COUNTIFS(Table135[Country],Tabela1[[#This Row],[Country]],Table135[Mixed Relay Classification],"&gt;0")</f>
        <v>0</v>
      </c>
      <c r="PB117" s="6">
        <f>COUNTIFS(Table136[Country],Tabela1[[#This Row],[Country]],Table136[Individual Classification],"&gt;0")</f>
        <v>0</v>
      </c>
      <c r="PC117" s="6">
        <f>COUNTIFS(Table136[Country],Tabela1[[#This Row],[Country]],Table136[Sprint Classification],"&gt;0")</f>
        <v>0</v>
      </c>
      <c r="PD117" s="6">
        <f>COUNTIFS(Table137[Country],Tabela1[[#This Row],[Country]],Table137[Men''s Team Sprint Large Hill Classification],"&gt;0")</f>
        <v>0</v>
      </c>
      <c r="PE117" s="6">
        <f>COUNTIFS(Table138[Country],Tabela1[[#This Row],[Country]],Table138[500m Classification],"&gt;0")</f>
        <v>0</v>
      </c>
      <c r="PF117" s="6">
        <f>COUNTIFS(Table138141[Country],Tabela1[[#This Row],[Country]],Table138141[500m Classification],"&gt;0")</f>
        <v>0</v>
      </c>
      <c r="PG117" s="6">
        <f>COUNTIFS(Table138[Country],Tabela1[[#This Row],[Country]],Table138[1000m Classification],"&gt;0")</f>
        <v>0</v>
      </c>
      <c r="PH117" s="6">
        <f>COUNTIFS(Table138141[Country],Tabela1[[#This Row],[Country]],Table138141[1000m Classification],"&gt;0")</f>
        <v>0</v>
      </c>
      <c r="PI117" s="6">
        <f>COUNTIFS(Table138[Country],Tabela1[[#This Row],[Country]],Table138[1500m Classification],"&gt;0")</f>
        <v>0</v>
      </c>
      <c r="PJ117" s="6">
        <f>COUNTIFS(Table138141[Country],Tabela1[[#This Row],[Country]],Table138141[1500m Classification],"&gt;0")</f>
        <v>0</v>
      </c>
      <c r="PK117" s="6">
        <f>COUNTIFS(Table141[Country],Tabela1[[#This Row],[Country]],Table141[Men''s 5000m Relay Classification],"&gt;0")</f>
        <v>0</v>
      </c>
      <c r="PL117" s="6">
        <f>COUNTIFS(Table141[Country],Tabela1[[#This Row],[Country]],Table141[Women''s 3000m Relay Classification],"&gt;0")</f>
        <v>0</v>
      </c>
      <c r="PM117" s="6">
        <f>COUNTIFS(Table141[Country],Tabela1[[#This Row],[Country]],Table141[Mixed 2000m Relay Classification],"&gt;0")</f>
        <v>0</v>
      </c>
      <c r="PN117" s="6">
        <f>COUNTIFS(Table142[Country],Tabela1[[#This Row],[Country]],Table142[Classification],"&gt;0")</f>
        <v>0</v>
      </c>
      <c r="PO117" s="6">
        <f>COUNTIFS(Table142145[Country],Tabela1[[#This Row],[Country]],Table142145[Classification],"&gt;0")</f>
        <v>0</v>
      </c>
      <c r="PP117" s="6">
        <f>COUNTIFS(Tabela15[Country],Tabela1[[#This Row],[Country]],Tabela15[Mixed Team Classification],"&gt;0")</f>
        <v>0</v>
      </c>
      <c r="PQ117" s="6">
        <f>COUNTIFS(Table145[Country],Tabela1[[#This Row],[Country]],Table145[Large Hill Classification],"&gt;0")</f>
        <v>0</v>
      </c>
      <c r="PR117" s="6">
        <f>COUNTIFS(Table145[Country],Tabela1[[#This Row],[Country]],Table145[Normal Hill Classification],"&gt;0")</f>
        <v>0</v>
      </c>
      <c r="PS117" s="6">
        <f>COUNTIFS(Table145148[Country],Tabela1[[#This Row],[Country]],Table145148[Large Hill Classification],"&gt;0")</f>
        <v>0</v>
      </c>
      <c r="PT117" s="6">
        <f>COUNTIFS(Table145148[Country],Tabela1[[#This Row],[Country]],Table145148[Normal Hill Classification],"&gt;0")</f>
        <v>0</v>
      </c>
      <c r="PU117" s="6">
        <f>COUNTIFS(Table148[Country],Tabela1[[#This Row],[Country]],Table148[Men''s Super Team Classification],"&gt;0")</f>
        <v>0</v>
      </c>
      <c r="PV117" s="6">
        <f>COUNTIFS(Tabela114[Country],Tabela1[[#This Row],[Country]],Tabela114[Mixed Normal Hill Classification],"&gt;0")</f>
        <v>0</v>
      </c>
      <c r="PW117" s="6">
        <f>COUNTIFS(Tabela50[Country],Tabela1[[#This Row],[Country]],Tabela50[Sprint Classification],"&gt;0")</f>
        <v>0</v>
      </c>
      <c r="PX117" s="6">
        <f>COUNTIFS(Tabela50101[Country],Tabela1[[#This Row],[Country]],Tabela50101[Sprint Classification],"&gt;0")</f>
        <v>0</v>
      </c>
      <c r="PY117" s="6">
        <f>COUNTIFS(Tabela103[Country],Tabela1[[#This Row],[Country]],Tabela103[Mixed Relay Classification],"&gt;0")</f>
        <v>0</v>
      </c>
      <c r="PZ117" s="6">
        <f>COUNTIFS(Table149[Country],Tabela1[[#This Row],[Country]],Table149[Big Air Classification],"&gt;0")</f>
        <v>0</v>
      </c>
      <c r="QA117" s="6">
        <f>COUNTIFS(Table149152[Country],Tabela1[[#This Row],[Country]],Table149152[Big Air Classification],"&gt;0")</f>
        <v>0</v>
      </c>
      <c r="QB117" s="6">
        <f>COUNTIFS(Table149[Country],Tabela1[[#This Row],[Country]],Table149[Halfpipe Classification],"&gt;0")</f>
        <v>0</v>
      </c>
      <c r="QC117" s="6">
        <f>COUNTIFS(Table149152[Country],Tabela1[[#This Row],[Country]],Table149152[Halfpipe Classification],"&gt;0")</f>
        <v>0</v>
      </c>
      <c r="QD117" s="6">
        <f>COUNTIFS(Table149[Country],Tabela1[[#This Row],[Country]],Table149[Parallel Giant Slalom Classification],"&gt;0")</f>
        <v>0</v>
      </c>
      <c r="QE117" s="6">
        <f>COUNTIFS(Table149152[Country],Tabela1[[#This Row],[Country]],Table149152[Parallel Giant Slalom Classification],"&gt;0")</f>
        <v>0</v>
      </c>
      <c r="QF117" s="6">
        <f>COUNTIFS(Table149[Country],Tabela1[[#This Row],[Country]],Table149[Slopestyle Classification],"&gt;0")</f>
        <v>0</v>
      </c>
      <c r="QG117" s="6">
        <f>COUNTIFS(Table149152[Country],Tabela1[[#This Row],[Country]],Table149152[Slopestyle Classification],"&gt;0")</f>
        <v>0</v>
      </c>
      <c r="QH117" s="6">
        <f>COUNTIFS(Table149[Country],Tabela1[[#This Row],[Country]],Table149[Snowboard Cross Classification],"&gt;0")</f>
        <v>0</v>
      </c>
      <c r="QI117" s="6">
        <f>COUNTIFS(Table149152[Country],Tabela1[[#This Row],[Country]],Table149152[Snowboard Cross Classification],"&gt;0")</f>
        <v>0</v>
      </c>
      <c r="QJ117" s="6">
        <f>COUNTIFS(Table153[Country],Tabela1[[#This Row],[Country]],Table153[Mixed Team Snowboard Cross Classification],"&gt;0")</f>
        <v>0</v>
      </c>
      <c r="QK117" s="6">
        <f>COUNTIFS(Table154[Country],Tabela1[[#This Row],[Country]],Table154[500m Classification],"&gt;0")</f>
        <v>0</v>
      </c>
      <c r="QL117" s="6">
        <f>COUNTIFS(Table154157[Country],Tabela1[[#This Row],[Country]],Table154157[500m Classification],"&gt;0")</f>
        <v>0</v>
      </c>
      <c r="QM117" s="6">
        <f>COUNTIFS(Table154[Country],Tabela1[[#This Row],[Country]],Table154[1000m Classification],"&gt;0")</f>
        <v>0</v>
      </c>
      <c r="QN117" s="6">
        <f>COUNTIFS(Table154157[Country],Tabela1[[#This Row],[Country]],Table154157[1000m Classification],"&gt;0")</f>
        <v>0</v>
      </c>
      <c r="QO117" s="6">
        <f>COUNTIFS(Table154[Country],Tabela1[[#This Row],[Country]],Table154[1500m Classification],"&gt;0")</f>
        <v>0</v>
      </c>
      <c r="QP117" s="6">
        <f>COUNTIFS(Table154157[Country],Tabela1[[#This Row],[Country]],Table154157[1500m Classification],"&gt;0")</f>
        <v>0</v>
      </c>
      <c r="QQ117" s="6">
        <f>COUNTIFS(Table154157[Country],Tabela1[[#This Row],[Country]],Table154157[3000m Classification],"&gt;0")</f>
        <v>0</v>
      </c>
      <c r="QR117" s="6">
        <f>COUNTIFS(Table154[Country],Tabela1[[#This Row],[Country]],Table154[5000m Classification],"&gt;0")</f>
        <v>0</v>
      </c>
      <c r="QS117" s="6">
        <f>COUNTIFS(Table154157[Country],Tabela1[[#This Row],[Country]],Table154157[5000m Classification],"&gt;0")</f>
        <v>0</v>
      </c>
      <c r="QT117" s="6">
        <f>COUNTIFS(Table154[Country],Tabela1[[#This Row],[Country]],Table154[10000m Classification],"&gt;0")</f>
        <v>0</v>
      </c>
      <c r="QU117" s="6">
        <f>COUNTIFS(Table154[Country],Tabela1[[#This Row],[Country]],Table154[Mass Start Classification],"&gt;0")</f>
        <v>0</v>
      </c>
      <c r="QV117" s="6">
        <f>COUNTIFS(Table154157[Country],Tabela1[[#This Row],[Country]],Table154157[Mass Start Classification],"&gt;0")</f>
        <v>0</v>
      </c>
      <c r="QW117" s="6">
        <f>COUNTIFS(Table157[Country],Tabela1[[#This Row],[Country]],Table157[Men''s Pursuit Classification],"&gt;0")</f>
        <v>0</v>
      </c>
      <c r="QX117" s="6">
        <f>COUNTIFS(Table157[Country],Tabela1[[#This Row],[Country]],Table157[Women''s Pursuit Classification],"&gt;0")</f>
        <v>0</v>
      </c>
      <c r="QY117" s="3" t="s">
        <v>619</v>
      </c>
    </row>
    <row r="118" spans="1:467" x14ac:dyDescent="0.3">
      <c r="A118" s="6">
        <v>117</v>
      </c>
      <c r="B118" s="6" t="s">
        <v>712</v>
      </c>
      <c r="C118" t="e" vm="117">
        <f>IF(ISBLANK(Tabela1[[#This Row],[Image Link]]), "", _xlfn.IMAGE(Tabela1[[#This Row],[Image Link]],1,1))</f>
        <v>#VALUE!</v>
      </c>
      <c r="D118" s="6">
        <f>SUM(Tabela1[[#This Row],[Archery - Men''s Individual Recurve]:[Speed Skating - Women''s Team Pursuit]])</f>
        <v>2</v>
      </c>
      <c r="E118" s="6">
        <f>COUNTIF(Tabela1[[#This Row],[Archery - Men''s Individual Recurve]:[Speed Skating - Women''s Team Pursuit]],"&gt;0")</f>
        <v>2</v>
      </c>
      <c r="F118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18" s="6">
        <f>SUM(Tabela1[[#This Row],[Archery - Men''s Individual Recurve]:[Wrestling - Women''s Freestyle 76kg]])</f>
        <v>2</v>
      </c>
      <c r="H118" s="6">
        <f>SUM(Tabela1[[#This Row],[Alpine Skiing - Men''s Downhill]:[Speed Skating - Women''s Team Pursuit]])</f>
        <v>0</v>
      </c>
      <c r="I118" s="6">
        <f>Tabela1[[#This Row],[Summer Gold Medals]]+Tabela1[[#This Row],[Winter Gold Medals]]</f>
        <v>0</v>
      </c>
      <c r="J118" s="6">
        <f>Tabela1[[#This Row],[Summer Silver Medals]]+Tabela1[[#This Row],[Winter Silver Medals]]</f>
        <v>0</v>
      </c>
      <c r="K118" s="6">
        <f>Tabela1[[#This Row],[Summer Bronze Medals]]+Tabela1[[#This Row],[Winter Bronze Medals]]</f>
        <v>0</v>
      </c>
      <c r="L118" s="6">
        <f>SUM(Tabela1[[#This Row],[Total Gold Medals]:[Total Bronze Medals]])</f>
        <v>0</v>
      </c>
      <c r="M118" s="6"/>
      <c r="N118" s="6"/>
      <c r="O118" s="6"/>
      <c r="P118" s="6">
        <f>SUM(Tabela1[[#This Row],[Summer Gold Medals]:[Summer Bronze Medals]])</f>
        <v>0</v>
      </c>
      <c r="Q118" s="6"/>
      <c r="R118" s="6"/>
      <c r="S118" s="6"/>
      <c r="T118" s="6">
        <f>Tabela1[[#This Row],[Winter Gold Medals]]+Tabela1[[#This Row],[Winter Silver Medals]]+Tabela1[[#This Row],[Winter Bronze Medals]]</f>
        <v>0</v>
      </c>
      <c r="U118" s="7">
        <f>Tabela1[[#This Row],[Total Medals]]/Tabela1[[#This Row],[Total Quotas]]</f>
        <v>0</v>
      </c>
      <c r="V118" s="6">
        <f>COUNTIFS(Table3[Country],Tabela1[[#This Row],[Country]],Table3[Recurve Classification],"&gt;0")</f>
        <v>0</v>
      </c>
      <c r="W118" s="6">
        <f>COUNTIFS(Table33[Country],Tabela1[[#This Row],[Country]],Table33[Recurve Classification],"&gt;0")</f>
        <v>0</v>
      </c>
      <c r="X118" s="6">
        <f>COUNTIFS(Table35[Country],Tabela1[[#This Row],[Country]],Table35[Men''s Team Recurve Classification],"&gt;0")</f>
        <v>0</v>
      </c>
      <c r="Y118" s="6">
        <f>COUNTIFS(Table35[Country],Tabela1[[#This Row],[Country]],Table35[Women''s Team Recurve Classification],"&gt;0")</f>
        <v>0</v>
      </c>
      <c r="Z118" s="6">
        <f>COUNTIFS(Tabela88[Country],Tabela1[[#This Row],[Country]],Tabela88[Mixed Team Recurve Classification],"&gt;0")</f>
        <v>0</v>
      </c>
      <c r="AA118" s="6">
        <f>COUNTIFS(Table36[Country],Tabela1[[#This Row],[Country]],Table36[Classification],"&gt;0")</f>
        <v>0</v>
      </c>
      <c r="AB118" s="6">
        <f>COUNTIFS(Table37[Country],Tabela1[[#This Row],[Country]],Table37[Classification],"&gt;0")</f>
        <v>0</v>
      </c>
      <c r="AC118" s="6">
        <f>COUNTIFS(Table4[Country],Tabela1[[#This Row],[Country]],Table4[100m Classification],"&gt;0")</f>
        <v>0</v>
      </c>
      <c r="AD118" s="6">
        <f>COUNTIFS(Table5[Country],Tabela1[[#This Row],[Country]],Table5[100m Classification],"&gt;0")</f>
        <v>0</v>
      </c>
      <c r="AE118" s="6">
        <f>COUNTIFS(Table4[Country],Tabela1[[#This Row],[Country]],Table4[200m Classification],"&gt;0")</f>
        <v>0</v>
      </c>
      <c r="AF118" s="6">
        <f>COUNTIFS(Table5[Country],Tabela1[[#This Row],[Country]],Table5[200m Classification],"&gt;0")</f>
        <v>0</v>
      </c>
      <c r="AG118" s="6">
        <f>COUNTIFS(Table4[Country],Tabela1[[#This Row],[Country]],Table4[400m Classification],"&gt;0")</f>
        <v>0</v>
      </c>
      <c r="AH118" s="6">
        <f>COUNTIFS(Table5[Country],Tabela1[[#This Row],[Country]],Table5[400m Classification],"&gt;0")</f>
        <v>0</v>
      </c>
      <c r="AI118" s="6">
        <f>COUNTIFS(Table4[Country],Tabela1[[#This Row],[Country]],Table4[800m Classification],"&gt;0")</f>
        <v>0</v>
      </c>
      <c r="AJ118" s="6">
        <f>COUNTIFS(Table5[Country],Tabela1[[#This Row],[Country]],Table5[800m Classification],"&gt;0")</f>
        <v>0</v>
      </c>
      <c r="AK118" s="6">
        <f>COUNTIFS(Table4[Country],Tabela1[[#This Row],[Country]],Table4[1500m Classification],"&gt;0")</f>
        <v>0</v>
      </c>
      <c r="AL118" s="6">
        <f>COUNTIFS(Table5[Country],Tabela1[[#This Row],[Country]],Table5[1500m Classification],"&gt;0")</f>
        <v>0</v>
      </c>
      <c r="AM118" s="6">
        <f>COUNTIFS(Table4[Country],Tabela1[[#This Row],[Country]],Table4[5000m Classification],"&gt;0")</f>
        <v>0</v>
      </c>
      <c r="AN118" s="6">
        <f>COUNTIFS(Table5[Country],Tabela1[[#This Row],[Country]],Table5[5000m Classification],"&gt;0")</f>
        <v>0</v>
      </c>
      <c r="AO118" s="6">
        <f>COUNTIFS(Table4[Country],Tabela1[[#This Row],[Country]],Table4[10000m Classification],"&gt;0")</f>
        <v>0</v>
      </c>
      <c r="AP118" s="6">
        <f>COUNTIFS(Table5[Country],Tabela1[[#This Row],[Country]],Table5[10000m Classification],"&gt;0")</f>
        <v>0</v>
      </c>
      <c r="AQ118" s="6">
        <f>COUNTIFS(Table4[Country],Tabela1[[#This Row],[Country]],Table4[110m Hurdles Classification],"&gt;0")</f>
        <v>0</v>
      </c>
      <c r="AR118" s="6">
        <f>COUNTIFS(Table5[Country],Tabela1[[#This Row],[Country]],Table5[100m Hurdles Classification],"&gt;0")</f>
        <v>0</v>
      </c>
      <c r="AS118" s="6">
        <f>COUNTIFS(Table4[Country],Tabela1[[#This Row],[Country]],Table4[400m Hurdles Classification],"&gt;0")</f>
        <v>0</v>
      </c>
      <c r="AT118" s="6">
        <f>COUNTIFS(Table5[Country],Tabela1[[#This Row],[Country]],Table5[400m Hurdles Classification],"&gt;0")</f>
        <v>0</v>
      </c>
      <c r="AU118" s="6">
        <f>COUNTIFS(Table4[Country],Tabela1[[#This Row],[Country]],Table4[3000m Steeplechase Classification],"&gt;0")</f>
        <v>0</v>
      </c>
      <c r="AV118" s="6">
        <f>COUNTIFS(Table5[Country],Tabela1[[#This Row],[Country]],Table5[3000m Steeplechase Classification],"&gt;0")</f>
        <v>0</v>
      </c>
      <c r="AW118" s="6">
        <f>COUNTIFS(Table27[Country],Tabela1[[#This Row],[Country]],Table27[Men''s 4x100m Relay Classification],"&gt;0")</f>
        <v>0</v>
      </c>
      <c r="AX118" s="6">
        <f>COUNTIFS(Table27[Country],Tabela1[[#This Row],[Country]],Table27[Women''s 4x100m Relay Classification],"&gt;0")</f>
        <v>0</v>
      </c>
      <c r="AY118" s="6">
        <f>COUNTIFS(Table27[Country],Tabela1[[#This Row],[Country]],Table27[Men''s 4x400m Relay Classification],"&gt;0")</f>
        <v>0</v>
      </c>
      <c r="AZ118" s="6">
        <f>COUNTIFS(Table27[Country],Tabela1[[#This Row],[Country]],Table27[Women''s 4x400m Relay Classification],"&gt;0")</f>
        <v>0</v>
      </c>
      <c r="BA118" s="6">
        <f>COUNTIFS(Table27[Country],Tabela1[[#This Row],[Country]],Table27[Mixed 4x400m Relay Classification],"&gt;0")</f>
        <v>0</v>
      </c>
      <c r="BB118" s="6">
        <f>COUNTIFS(Table4[Country],Tabela1[[#This Row],[Country]],Table4[Marathon Classification],"&gt;0")</f>
        <v>1</v>
      </c>
      <c r="BC118" s="6">
        <f>COUNTIFS(Table5[Country],Tabela1[[#This Row],[Country]],Table5[Marathon Classification],"&gt;0")</f>
        <v>0</v>
      </c>
      <c r="BD118" s="6">
        <f>COUNTIFS(Table4[Country],Tabela1[[#This Row],[Country]],Table4[20km Race Walk Classification],"&gt;0")</f>
        <v>0</v>
      </c>
      <c r="BE118" s="6">
        <f>COUNTIFS(Table5[Country],Tabela1[[#This Row],[Country]],Table5[20km Race Walk Classification],"&gt;0")</f>
        <v>0</v>
      </c>
      <c r="BF118" s="6">
        <f>COUNTIFS(Tabela96[Country],Tabela1[[#This Row],[Country]],Tabela96[Mixed Marathon Race Walk Relay Classification],"&gt;0")</f>
        <v>0</v>
      </c>
      <c r="BG118" s="6">
        <f>COUNTIFS(Table4[Country],Tabela1[[#This Row],[Country]],Table4[Discus Throw Classification],"&gt;0")</f>
        <v>0</v>
      </c>
      <c r="BH118" s="6">
        <f>COUNTIFS(Table5[Country],Tabela1[[#This Row],[Country]],Table5[Discus Throw Classification],"&gt;0")</f>
        <v>0</v>
      </c>
      <c r="BI118" s="6">
        <f>COUNTIFS(Table4[Country],Tabela1[[#This Row],[Country]],Table4[Hammer Throw Classification],"&gt;0")</f>
        <v>0</v>
      </c>
      <c r="BJ118" s="6">
        <f>COUNTIFS(Table5[Country],Tabela1[[#This Row],[Country]],Table5[Hammer Throw Classification],"&gt;0")</f>
        <v>0</v>
      </c>
      <c r="BK118" s="6">
        <f>COUNTIFS(Table4[Country],Tabela1[[#This Row],[Country]],Table4[High Jump Classification],"&gt;0")</f>
        <v>0</v>
      </c>
      <c r="BL118" s="6">
        <f>COUNTIFS(Table5[Country],Tabela1[[#This Row],[Country]],Table5[High Jump Classification],"&gt;0")</f>
        <v>0</v>
      </c>
      <c r="BM118" s="6">
        <f>COUNTIFS(Table4[Country],Tabela1[[#This Row],[Country]],Table4[Javelin Throw Classification],"&gt;0")</f>
        <v>0</v>
      </c>
      <c r="BN118" s="6">
        <f>COUNTIFS(Table5[Country],Tabela1[[#This Row],[Country]],Table5[Javelin Throw Classification],"&gt;0")</f>
        <v>0</v>
      </c>
      <c r="BO118" s="6">
        <f>COUNTIFS(Table4[Country],Tabela1[[#This Row],[Country]],Table4[Long Jump Classification],"&gt;0")</f>
        <v>0</v>
      </c>
      <c r="BP118" s="6">
        <f>COUNTIFS(Table5[Country],Tabela1[[#This Row],[Country]],Table5[Long Jump Classification],"&gt;0")</f>
        <v>0</v>
      </c>
      <c r="BQ118" s="6">
        <f>COUNTIFS(Table4[Country],Tabela1[[#This Row],[Country]],Table4[Pole Vault Classification],"&gt;0")</f>
        <v>0</v>
      </c>
      <c r="BR118" s="6">
        <f>COUNTIFS(Table5[Country],Tabela1[[#This Row],[Country]],Table5[Pole Vault Classification],"&gt;0")</f>
        <v>0</v>
      </c>
      <c r="BS118" s="6">
        <f>COUNTIFS(Table4[Country],Tabela1[[#This Row],[Country]],Table4[Shot Put Classification],"&gt;0")</f>
        <v>0</v>
      </c>
      <c r="BT118" s="6">
        <f>COUNTIFS(Table5[Country],Tabela1[[#This Row],[Country]],Table5[Shot Put Classification],"&gt;0")</f>
        <v>0</v>
      </c>
      <c r="BU118" s="6">
        <f>COUNTIFS(Table4[Country],Tabela1[[#This Row],[Country]],Table4[Triple Jump Classification],"&gt;0")</f>
        <v>0</v>
      </c>
      <c r="BV118" s="6">
        <f>COUNTIFS(Table5[Country],Tabela1[[#This Row],[Country]],Table5[Triple Jump Classification],"&gt;0")</f>
        <v>0</v>
      </c>
      <c r="BW118" s="6">
        <f>COUNTIFS(Table4[Country],Tabela1[[#This Row],[Country]],Table4[Decathlon Classification],"&gt;0")</f>
        <v>0</v>
      </c>
      <c r="BX118" s="6">
        <f>COUNTIFS(Table5[Country],Tabela1[[#This Row],[Country]],Table5[Heptathlon Classification],"&gt;0")</f>
        <v>0</v>
      </c>
      <c r="BY118" s="6">
        <f>COUNTIFS(Table61[Country],Tabela1[[#This Row],[Country]],Table61[Classification],"&gt;0")</f>
        <v>0</v>
      </c>
      <c r="BZ118" s="6">
        <f>COUNTIFS(Table38[Country],Tabela1[[#This Row],[Country]],Table38[Classification],"&gt;0")</f>
        <v>0</v>
      </c>
      <c r="CA118" s="6">
        <f>COUNTIFS(Table39[Country],Tabela1[[#This Row],[Country]],Table39[Men''s Classification],"&gt;0")</f>
        <v>0</v>
      </c>
      <c r="CB118" s="6">
        <f>COUNTIFS(Table39[Country],Tabela1[[#This Row],[Country]],Table39[Women''s Classification],"&gt;0")</f>
        <v>0</v>
      </c>
      <c r="CC118" s="6">
        <f>COUNTIFS(Table39[Country],Tabela1[[#This Row],[Country]],Table39[Mixed Classification],"&gt;0")</f>
        <v>0</v>
      </c>
      <c r="CD118" s="6">
        <f>COUNTIFS(Table89[Country],Tabela1[[#This Row],[Country]],Table89[Men''s Classification],"&gt;0")</f>
        <v>0</v>
      </c>
      <c r="CE118" s="6">
        <f>COUNTIFS(Table89[Country],Tabela1[[#This Row],[Country]],Table89[Women''s Classification],"&gt;0")</f>
        <v>0</v>
      </c>
      <c r="CF118" s="6">
        <f>COUNTIFS(Table90[Country],Tabela1[[#This Row],[Country]],Table90[Men''s Classification],"&gt;0")</f>
        <v>0</v>
      </c>
      <c r="CG118" s="6">
        <f>COUNTIFS(Table90[Country],Tabela1[[#This Row],[Country]],Table90[Women''s Classification],"&gt;0")</f>
        <v>0</v>
      </c>
      <c r="CH118" s="6">
        <f>COUNTIFS(Table60[Country],Tabela1[[#This Row],[Country]],Table60[Men''s Classification],"&gt;0")</f>
        <v>0</v>
      </c>
      <c r="CI118" s="6">
        <f>COUNTIFS(Table60[Country],Tabela1[[#This Row],[Country]],Table60[Women''s Classification],"&gt;0")</f>
        <v>0</v>
      </c>
      <c r="CJ118" s="6">
        <f>COUNTIFS(Table6[Country],Tabela1[[#This Row],[Country]],Table6[51kg Classification],"&gt;0")</f>
        <v>0</v>
      </c>
      <c r="CK118" s="6">
        <f>COUNTIFS(Table6[Country],Tabela1[[#This Row],[Country]],Table6[57kg Classification],"&gt;0")</f>
        <v>0</v>
      </c>
      <c r="CL118" s="6">
        <f>COUNTIFS(Table6[Country],Tabela1[[#This Row],[Country]],Table6[63.5kg Classification],"&gt;0")</f>
        <v>0</v>
      </c>
      <c r="CM118" s="6">
        <f>COUNTIFS(Table6[Country],Tabela1[[#This Row],[Country]],Table6[71kg Classification],"&gt;0")</f>
        <v>0</v>
      </c>
      <c r="CN118" s="6">
        <f>COUNTIFS(Table6[Country],Tabela1[[#This Row],[Country]],Table6[80kg Classification],"&gt;0")</f>
        <v>0</v>
      </c>
      <c r="CO118" s="6">
        <f>COUNTIFS(Table6[Country],Tabela1[[#This Row],[Country]],Table6[92kg Classification],"&gt;0")</f>
        <v>0</v>
      </c>
      <c r="CP118" s="6">
        <f>COUNTIFS(Table6[Country],Tabela1[[#This Row],[Country]],Table6[Plus 92kg Classification],"&gt;0")</f>
        <v>0</v>
      </c>
      <c r="CQ118" s="6">
        <f>COUNTIFS(Table7[Country],Tabela1[[#This Row],[Country]],Table7[50kg Classification],"&gt;0")</f>
        <v>0</v>
      </c>
      <c r="CR118" s="6">
        <f>COUNTIFS(Table7[Country],Tabela1[[#This Row],[Country]],Table7[54kg Classification],"&gt;0")</f>
        <v>0</v>
      </c>
      <c r="CS118" s="6">
        <f>COUNTIFS(Table7[Country],Tabela1[[#This Row],[Country]],Table7[57kg Classification],"&gt;0")</f>
        <v>0</v>
      </c>
      <c r="CT118" s="6">
        <f>COUNTIFS(Table7[Country],Tabela1[[#This Row],[Country]],Table7[60kg Classification],"&gt;0")</f>
        <v>0</v>
      </c>
      <c r="CU118" s="6">
        <f>COUNTIFS(Table7[Country],Tabela1[[#This Row],[Country]],Table7[66kg Classification],"&gt;0")</f>
        <v>0</v>
      </c>
      <c r="CV118" s="6">
        <f>COUNTIFS(Table7[Country],Tabela1[[#This Row],[Country]],Table7[75kg Classification],"&gt;0")</f>
        <v>0</v>
      </c>
      <c r="CW118" s="6">
        <f>COUNTIFS(Tabela94[Country],Tabela1[[#This Row],[Country]],Tabela94[Classification],"&gt;0")</f>
        <v>0</v>
      </c>
      <c r="CX118" s="6">
        <f>COUNTIFS(Tabela9499[Country],Tabela1[[#This Row],[Country]],Tabela9499[Classification],"&gt;0")</f>
        <v>0</v>
      </c>
      <c r="CY118" s="6">
        <f>COUNTIFS(Tabela107[Country],Tabela1[[#This Row],[Country]],Tabela107[C1 Slalom Classification],"&gt;0")</f>
        <v>0</v>
      </c>
      <c r="CZ118" s="6">
        <f>COUNTIFS(Tabela107122[Country],Tabela1[[#This Row],[Country]],Tabela107122[C1 Slalom Classification],"&gt;0")</f>
        <v>0</v>
      </c>
      <c r="DA118" s="6">
        <f>COUNTIFS(Tabela107[Country],Tabela1[[#This Row],[Country]],Tabela107[K1 Slalom Classification],"&gt;0")</f>
        <v>0</v>
      </c>
      <c r="DB118" s="6">
        <f>COUNTIFS(Tabela107122[Country],Tabela1[[#This Row],[Country]],Tabela107122[K1 Slalom Classification],"&gt;0")</f>
        <v>0</v>
      </c>
      <c r="DC118" s="6">
        <f>COUNTIFS(Tabela107[Country],Tabela1[[#This Row],[Country]],Tabela107[Kayak Cross Slalom Classification],"&gt;0")</f>
        <v>0</v>
      </c>
      <c r="DD118" s="6">
        <f>COUNTIFS(Tabela107122[Country],Tabela1[[#This Row],[Country]],Tabela107122[Kayak Cross Slalom Classification],"&gt;0")</f>
        <v>0</v>
      </c>
      <c r="DE118" s="6">
        <f>COUNTIFS(Table8[Country],Tabela1[[#This Row],[Country]],Table8[C1 200m Classification],"&gt;0")</f>
        <v>0</v>
      </c>
      <c r="DF118" s="6">
        <f>COUNTIFS(Table40[Country],Tabela1[[#This Row],[Country]],Table40[C1 1000m Classification],"&gt;0")</f>
        <v>0</v>
      </c>
      <c r="DG118" s="6">
        <f>COUNTIFS(Table68[Country],Tabela1[[#This Row],[Country]],Table68[Men''s C2 500m Classification],"&gt;0")</f>
        <v>0</v>
      </c>
      <c r="DH118" s="6">
        <f>COUNTIFS(Table68[Country],Tabela1[[#This Row],[Country]],Table68[Women''s C2 500m Classification],"&gt;0")</f>
        <v>0</v>
      </c>
      <c r="DI118" s="6">
        <f>COUNTIFS(Table8[Country],Tabela1[[#This Row],[Country]],Table8[K1 500m Classification],"&gt;0")</f>
        <v>0</v>
      </c>
      <c r="DJ118" s="6">
        <f>COUNTIFS(Table40[Country],Tabela1[[#This Row],[Country]],Table40[K1 1000m Classification],"&gt;0")</f>
        <v>0</v>
      </c>
      <c r="DK118" s="6">
        <f>COUNTIFS(Table68[Country],Tabela1[[#This Row],[Country]],Table68[Men''s K2 500m Classification],"&gt;0")</f>
        <v>0</v>
      </c>
      <c r="DL118" s="6">
        <f>COUNTIFS(Table68[Country],Tabela1[[#This Row],[Country]],Table68[Women''s K2 500m Classification],"&gt;0")</f>
        <v>0</v>
      </c>
      <c r="DM118" s="6">
        <f>COUNTIFS(Table83[Country],Tabela1[[#This Row],[Country]],Table83[Men''s K4 500m Classification],"&gt;0")</f>
        <v>0</v>
      </c>
      <c r="DN118" s="6">
        <f>COUNTIFS(Table83[Country],Tabela1[[#This Row],[Country]],Table83[Women''s K4 500m Classification],"&gt;0")</f>
        <v>0</v>
      </c>
      <c r="DO118" s="6">
        <f>COUNTIFS(Tabela126[Country],Tabela1[[#This Row],[Country]],Tabela126[Classification],"&gt;0")</f>
        <v>0</v>
      </c>
      <c r="DP118" s="6">
        <f>COUNTIFS(Tabela126130[Country],Tabela1[[#This Row],[Country]],Tabela126130[Classification],"&gt;0")</f>
        <v>0</v>
      </c>
      <c r="DQ118" s="6">
        <f>COUNTIFS(Table70[Country],Tabela1[[#This Row],[Country]],Table70[Classification],"&gt;0")</f>
        <v>0</v>
      </c>
      <c r="DR118" s="6">
        <f>COUNTIFS(Table80[Country],Tabela1[[#This Row],[Country]],Table80[Classification],"&gt;0")</f>
        <v>0</v>
      </c>
      <c r="DS118" s="6">
        <f>COUNTIFS(Table66[Country],Tabela1[[#This Row],[Country]],Table66[Classification],"&gt;0")</f>
        <v>0</v>
      </c>
      <c r="DT118" s="6">
        <f>COUNTIFS(Table67[Country],Tabela1[[#This Row],[Country]],Table67[Classification],"&gt;0")</f>
        <v>0</v>
      </c>
      <c r="DU118" s="6">
        <f>COUNTIFS(Table69[Country],Tabela1[[#This Row],[Country]],Table69[Keirin Classification],"&gt;0")</f>
        <v>0</v>
      </c>
      <c r="DV118" s="6">
        <f>COUNTIFS(Table41[Country],Tabela1[[#This Row],[Country]],Table41[Keirin Classification],"&gt;0")</f>
        <v>0</v>
      </c>
      <c r="DW118" s="6">
        <f>COUNTIFS(Table84[Country],Tabela1[[#This Row],[Country]],Table84[Men''s Madison Classification],"&gt;0")</f>
        <v>0</v>
      </c>
      <c r="DX118" s="6">
        <f>COUNTIFS(Table84[Country],Tabela1[[#This Row],[Country]],Table84[Women''s Madison Classification],"&gt;0")</f>
        <v>0</v>
      </c>
      <c r="DY118" s="6">
        <f>COUNTIFS(Table69[Country],Tabela1[[#This Row],[Country]],Table69[Omnium Classification],"&gt;0")</f>
        <v>0</v>
      </c>
      <c r="DZ118" s="6">
        <f>COUNTIFS(Table41[Country],Tabela1[[#This Row],[Country]],Table41[Omnium Classification],"&gt;0")</f>
        <v>0</v>
      </c>
      <c r="EA118" s="6">
        <f>COUNTIFS(Table9[Country],Tabela1[[#This Row],[Country]],Table9[Road Race Classification],"&gt;0")</f>
        <v>0</v>
      </c>
      <c r="EB118" s="6">
        <f>COUNTIFS(Table14[Country],Tabela1[[#This Row],[Country]],Table14[Road Race Classification],"&gt;0")</f>
        <v>0</v>
      </c>
      <c r="EC118" s="6">
        <f>COUNTIFS(Table69[Country],Tabela1[[#This Row],[Country]],Table69[Sprint Classification],"&gt;0")</f>
        <v>0</v>
      </c>
      <c r="ED118" s="6">
        <f>COUNTIFS(Table41[Country],Tabela1[[#This Row],[Country]],Table41[Sprint Classification],"&gt;0")</f>
        <v>0</v>
      </c>
      <c r="EE118" s="6">
        <f>COUNTIFS(Table85[Country],Tabela1[[#This Row],[Country]],Table85[Men''s Sprint Classification],"&gt;0")</f>
        <v>0</v>
      </c>
      <c r="EF118" s="6">
        <f>COUNTIFS(Table85[Country],Tabela1[[#This Row],[Country]],Table85[Women''s Sprint Classification],"&gt;0")</f>
        <v>0</v>
      </c>
      <c r="EG118" s="6">
        <f>COUNTIFS(Table85[Country],Tabela1[[#This Row],[Country]],Table85[Men''s Pursuit Classification],"&gt;0")</f>
        <v>0</v>
      </c>
      <c r="EH118" s="6">
        <f>COUNTIFS(Table85[Country],Tabela1[[#This Row],[Country]],Table85[Women''s Pursuit Classification],"&gt;0")</f>
        <v>0</v>
      </c>
      <c r="EI118" s="6">
        <f>COUNTIFS(Table9[Country],Tabela1[[#This Row],[Country]],Table9[Time-Trial Classification],"&gt;0")</f>
        <v>0</v>
      </c>
      <c r="EJ118" s="6">
        <f>COUNTIFS(Table14[Country],Tabela1[[#This Row],[Country]],Table14[Time-Trial Classification],"&gt;0")</f>
        <v>0</v>
      </c>
      <c r="EK118" s="6">
        <f>COUNTIFS(Table42[Country],Tabela1[[#This Row],[Country]],Table42[Springboard Classification],"&gt;0")</f>
        <v>0</v>
      </c>
      <c r="EL118" s="6">
        <f>COUNTIFS(Table43[Country],Tabela1[[#This Row],[Country]],Table43[Springboard Classification],"&gt;0")</f>
        <v>0</v>
      </c>
      <c r="EM118" s="6">
        <f>COUNTIFS(Table42[Country],Tabela1[[#This Row],[Country]],Table42[Platform Classification],"&gt;0")</f>
        <v>0</v>
      </c>
      <c r="EN118" s="6">
        <f>COUNTIFS(Table43[Country],Tabela1[[#This Row],[Country]],Table43[Platform Classification],"&gt;0")</f>
        <v>0</v>
      </c>
      <c r="EO118" s="6">
        <f>COUNTIFS(Table86[Country],Tabela1[[#This Row],[Country]],Table86[Men''s Synchronized Springboard Classification],"&gt;0")</f>
        <v>0</v>
      </c>
      <c r="EP118" s="6">
        <f>COUNTIFS(Table86[Country],Tabela1[[#This Row],[Country]],Table86[Women''s Synchronized Springboard Classification],"&gt;0")</f>
        <v>0</v>
      </c>
      <c r="EQ118" s="6">
        <f>COUNTIFS(Table86[Country],Tabela1[[#This Row],[Country]],Table86[Men''s Synchronized Platform Classification],"&gt;0")</f>
        <v>0</v>
      </c>
      <c r="ER118" s="6">
        <f>COUNTIFS(Table86[Country],Tabela1[[#This Row],[Country]],Table86[Women''s Synchronized Platform Classification],"&gt;0")</f>
        <v>0</v>
      </c>
      <c r="ES118" s="6">
        <f>COUNTIFS(Table44[Country],Tabela1[[#This Row],[Country]],Table44[Dressage Classification],"&gt;0")</f>
        <v>0</v>
      </c>
      <c r="ET118" s="6">
        <f>COUNTIFS(Table45[Country],Tabela1[[#This Row],[Country]],Table45[Dressage Classification],"&gt;0")</f>
        <v>0</v>
      </c>
      <c r="EU118" s="6">
        <f>COUNTIFS(Table44[Country],Tabela1[[#This Row],[Country]],Table44[Eventing Classification],"&gt;0")</f>
        <v>0</v>
      </c>
      <c r="EV118" s="6">
        <f>COUNTIFS(Table45[Country],Tabela1[[#This Row],[Country]],Table45[Eventing Classification],"&gt;0")</f>
        <v>0</v>
      </c>
      <c r="EW118" s="6">
        <f>COUNTIFS(Table44[Country],Tabela1[[#This Row],[Country]],Table44[Jumping Classification],"&gt;0")</f>
        <v>0</v>
      </c>
      <c r="EX118" s="6">
        <f>COUNTIFS(Table45[Country],Tabela1[[#This Row],[Country]],Table45[Jumping Classification],"&gt;0")</f>
        <v>0</v>
      </c>
      <c r="EY118" s="6">
        <f>COUNTIFS(Table10[Country],Tabela1[[#This Row],[Country]],Table10[Épée Classification],"&gt;0")</f>
        <v>0</v>
      </c>
      <c r="EZ118" s="6">
        <f>COUNTIFS(Table11[Country],Tabela1[[#This Row],[Country]],Table11[Épée Classification],"&gt;0")</f>
        <v>0</v>
      </c>
      <c r="FA118" s="6">
        <f>COUNTIFS(Table46[Country],Tabela1[[#This Row],[Country]],Table46[Men''s Épée Classification],"&gt;0")</f>
        <v>0</v>
      </c>
      <c r="FB118" s="6">
        <f>COUNTIFS(Table46[Country],Tabela1[[#This Row],[Country]],Table46[Women''s Épée Classification],"&gt;0")</f>
        <v>0</v>
      </c>
      <c r="FC118" s="6">
        <f>COUNTIFS(Table10[Country],Tabela1[[#This Row],[Country]],Table10[Foil Classification],"&gt;0")</f>
        <v>0</v>
      </c>
      <c r="FD118" s="6">
        <f>COUNTIFS(Table11[Country],Tabela1[[#This Row],[Country]],Table11[Foil Classification],"&gt;0")</f>
        <v>0</v>
      </c>
      <c r="FE118" s="6">
        <f>COUNTIFS(Table46[Country],Tabela1[[#This Row],[Country]],Table46[Men''s Foil Classification],"&gt;0")</f>
        <v>0</v>
      </c>
      <c r="FF118" s="6">
        <f>COUNTIFS(Table46[Country],Tabela1[[#This Row],[Country]],Table46[Women''s Foil Classification],"&gt;0")</f>
        <v>0</v>
      </c>
      <c r="FG118" s="6">
        <f>COUNTIFS(Table10[Country],Tabela1[[#This Row],[Country]],Table10[Sabre Classification],"&gt;0")</f>
        <v>0</v>
      </c>
      <c r="FH118" s="6">
        <f>COUNTIFS(Table11[Country],Tabela1[[#This Row],[Country]],Table11[Sabre Classification],"&gt;0")</f>
        <v>0</v>
      </c>
      <c r="FI118" s="6">
        <f>COUNTIFS(Table46[Country],Tabela1[[#This Row],[Country]],Table46[Men''s Sabre Classification],"&gt;0")</f>
        <v>0</v>
      </c>
      <c r="FJ118" s="6">
        <f>COUNTIFS(Table46[Country],Tabela1[[#This Row],[Country]],Table46[Women''s Sabre Classification],"&gt;0")</f>
        <v>0</v>
      </c>
      <c r="FK118" s="6">
        <f>COUNTIFS(Table91[Country],Tabela1[[#This Row],[Country]],Table91[Men''s Classification],"&gt;0")</f>
        <v>0</v>
      </c>
      <c r="FL118" s="6">
        <f>COUNTIFS(Table91[Country],Tabela1[[#This Row],[Country]],Table91[Women''s Classification],"&gt;0")</f>
        <v>0</v>
      </c>
      <c r="FM118" s="6">
        <f>COUNTIFS(Table9194[Country],Tabela1[[#This Row],[Country]],Table9194[Men''s Classification],"&gt;0")</f>
        <v>0</v>
      </c>
      <c r="FN118" s="6">
        <f>COUNTIFS(Table9194[Country],Tabela1[[#This Row],[Country]],Table9194[Women''s Classification],"&gt;0")</f>
        <v>0</v>
      </c>
      <c r="FO118" s="6">
        <f>COUNTIFS(Table71[Country],Tabela1[[#This Row],[Country]],Table71[Classification],"&gt;0")</f>
        <v>0</v>
      </c>
      <c r="FP118" s="6">
        <f>COUNTIFS(Table62[Country],Tabela1[[#This Row],[Country]],Table62[Classification],"&gt;0")</f>
        <v>0</v>
      </c>
      <c r="FQ118" s="6">
        <f>COUNTIFS(Table47[Country],Tabela1[[#This Row],[Country]],Table47[All-Around Classification],"&gt;0")</f>
        <v>0</v>
      </c>
      <c r="FR118" s="6">
        <f>COUNTIFS(Table48[Country],Tabela1[[#This Row],[Country]],Table48[All-Around Classification],"&gt;0")</f>
        <v>0</v>
      </c>
      <c r="FS118" s="6">
        <f>COUNTIFS(Table81[Country],Tabela1[[#This Row],[Country]],Table81[Men''s All-Around Classification],"&gt;0")</f>
        <v>0</v>
      </c>
      <c r="FT118" s="6">
        <f>COUNTIFS(Table81[Country],Tabela1[[#This Row],[Country]],Table81[Women''s All-Around Classification],"&gt;0")</f>
        <v>0</v>
      </c>
      <c r="FU118" s="6">
        <f>COUNTIFS(Table48[Country],Tabela1[[#This Row],[Country]],Table48[Balance Beam Classification],"&gt;0")</f>
        <v>0</v>
      </c>
      <c r="FV118" s="6">
        <f>COUNTIFS(Table47[Country],Tabela1[[#This Row],[Country]],Table47[Floor Exercise Classification],"&gt;0")</f>
        <v>0</v>
      </c>
      <c r="FW118" s="6">
        <f>COUNTIFS(Table48[Country],Tabela1[[#This Row],[Country]],Table48[Floor Exercise Classification],"&gt;0")</f>
        <v>0</v>
      </c>
      <c r="FX118" s="6">
        <f>COUNTIFS(Table47[Country],Tabela1[[#This Row],[Country]],Table47[Horizontal Bar Classification],"&gt;0")</f>
        <v>0</v>
      </c>
      <c r="FY118" s="6">
        <f>COUNTIFS(Table47[Country],Tabela1[[#This Row],[Country]],Table47[Parallel Bars Classification],"&gt;0")</f>
        <v>0</v>
      </c>
      <c r="FZ118" s="6">
        <f>COUNTIFS(Table47[Country],Tabela1[[#This Row],[Country]],Table47[Pommel Horse Classification],"&gt;0")</f>
        <v>0</v>
      </c>
      <c r="GA118" s="6">
        <f>COUNTIFS(Table47[Country],Tabela1[[#This Row],[Country]],Table47[Rings Classification],"&gt;0")</f>
        <v>0</v>
      </c>
      <c r="GB118" s="6">
        <f>COUNTIFS(Tabela132[Country],Tabela1[[#This Row],[Country]],Tabela132[Classification],"&gt;0")</f>
        <v>0</v>
      </c>
      <c r="GC118" s="6">
        <f>COUNTIFS(Tabela139[Country],Tabela1[[#This Row],[Country]],Tabela139[Classification],"&gt;0")</f>
        <v>0</v>
      </c>
      <c r="GD118" s="6">
        <f>COUNTIFS(Table48[Country],Tabela1[[#This Row],[Country]],Table48[Uneven Bars Classification],"&gt;0")</f>
        <v>0</v>
      </c>
      <c r="GE118" s="6">
        <f>COUNTIFS(Table47[Country],Tabela1[[#This Row],[Country]],Table47[Vault Classification],"&gt;0")</f>
        <v>0</v>
      </c>
      <c r="GF118" s="6">
        <f>COUNTIFS(Table48[Country],Tabela1[[#This Row],[Country]],Table48[Vault Classification],"&gt;0")</f>
        <v>0</v>
      </c>
      <c r="GG118" s="6">
        <f>COUNTIFS(Table919496[Country],Tabela1[[#This Row],[Country]],Table919496[Men''s Classification],"&gt;0")</f>
        <v>0</v>
      </c>
      <c r="GH118" s="6">
        <f>COUNTIFS(Table919496[Country],Tabela1[[#This Row],[Country]],Table919496[Women''s Classification],"&gt;0")</f>
        <v>0</v>
      </c>
      <c r="GI118" s="6">
        <f>COUNTIFS(Table12[Country],Tabela1[[#This Row],[Country]],Table12[60kg Classification],"&gt;0")</f>
        <v>0</v>
      </c>
      <c r="GJ118" s="6">
        <f>COUNTIFS(Table12[Country],Tabela1[[#This Row],[Country]],Table12[66kg Classification],"&gt;0")</f>
        <v>0</v>
      </c>
      <c r="GK118" s="6">
        <f>COUNTIFS(Table12[Country],Tabela1[[#This Row],[Country]],Table12[73kg Classification],"&gt;0")</f>
        <v>1</v>
      </c>
      <c r="GL118" s="6">
        <f>COUNTIFS(Table12[Country],Tabela1[[#This Row],[Country]],Table12[81kg Classification],"&gt;0")</f>
        <v>0</v>
      </c>
      <c r="GM118" s="6">
        <f>COUNTIFS(Table12[Country],Tabela1[[#This Row],[Country]],Table12[90kg Classification],"&gt;0")</f>
        <v>0</v>
      </c>
      <c r="GN118" s="6">
        <f>COUNTIFS(Table12[Country],Tabela1[[#This Row],[Country]],Table12[100kg Classification],"&gt;0")</f>
        <v>0</v>
      </c>
      <c r="GO118" s="6">
        <f>COUNTIFS(Table12[Country],Tabela1[[#This Row],[Country]],Table12[Plus 100kg Classification],"&gt;0")</f>
        <v>0</v>
      </c>
      <c r="GP118" s="6">
        <f>COUNTIFS(Table13[Country],Tabela1[[#This Row],[Country]],Table13[48kg Classification],"&gt;0")</f>
        <v>0</v>
      </c>
      <c r="GQ118" s="6">
        <f>COUNTIFS(Table13[Country],Tabela1[[#This Row],[Country]],Table13[52kg Classification],"&gt;0")</f>
        <v>0</v>
      </c>
      <c r="GR118" s="6">
        <f>COUNTIFS(Table13[Country],Tabela1[[#This Row],[Country]],Table13[57kg Classification],"&gt;0")</f>
        <v>0</v>
      </c>
      <c r="GS118" s="6">
        <f>COUNTIFS(Table13[Country],Tabela1[[#This Row],[Country]],Table13[63kg Classification],"&gt;0")</f>
        <v>0</v>
      </c>
      <c r="GT118" s="6">
        <f>COUNTIFS(Table13[Country],Tabela1[[#This Row],[Country]],Table13[70kg Classification],"&gt;0")</f>
        <v>0</v>
      </c>
      <c r="GU118" s="6">
        <f>COUNTIFS(Table13[Country],Tabela1[[#This Row],[Country]],Table13[78kg Classification],"&gt;0")</f>
        <v>0</v>
      </c>
      <c r="GV118" s="6">
        <f>COUNTIFS(Table13[Country],Tabela1[[#This Row],[Country]],Table13[Plus 78kg Classification],"&gt;0")</f>
        <v>0</v>
      </c>
      <c r="GW118" s="6">
        <f>COUNTIFS(Table82[Country],Tabela1[[#This Row],[Country]],Table82[Mixed Classification],"&gt;0")</f>
        <v>0</v>
      </c>
      <c r="GX118" s="6">
        <f>COUNTIFS(Table51[Country],Tabela1[[#This Row],[Country]],Table51[Classification],"&gt;0")</f>
        <v>0</v>
      </c>
      <c r="GY118" s="6">
        <f>COUNTIFS(Table52[Country],Tabela1[[#This Row],[Country]],Table52[Classification],"&gt;0")</f>
        <v>0</v>
      </c>
      <c r="GZ118" s="6">
        <f>COUNTIFS(Table32[Country],Tabela1[[#This Row],[Country]],Table32[All-Around Classification],"&gt;0")</f>
        <v>0</v>
      </c>
      <c r="HA118" s="6">
        <f>COUNTIFS(Table49[Country],Tabela1[[#This Row],[Country]],Table49[All-Around Classification],"&gt;0")</f>
        <v>0</v>
      </c>
      <c r="HB118" s="6">
        <f>COUNTIFS(Table26[Country],Tabela1[[#This Row],[Country]],Table26[Single Sculls Classification],"&gt;0")</f>
        <v>0</v>
      </c>
      <c r="HC118" s="6">
        <f>COUNTIFS(Table63[Country],Tabela1[[#This Row],[Country]],Table63[Single Sculls Classification],"&gt;0")</f>
        <v>0</v>
      </c>
      <c r="HD118" s="6">
        <f>COUNTIFS(Table16[Country],Tabela1[[#This Row],[Country]],Table16[Men''s Double Sculls Classification],"&gt;0")</f>
        <v>0</v>
      </c>
      <c r="HE118" s="6">
        <f>COUNTIFS(Table16[Country],Tabela1[[#This Row],[Country]],Table16[Women''s Double Sculls Classification],"&gt;0")</f>
        <v>0</v>
      </c>
      <c r="HF118" s="6">
        <f>COUNTIFS(Table72[Country],Tabela1[[#This Row],[Country]],Table72[Men''s Quadruple Sculls Classification],"&gt;0")</f>
        <v>0</v>
      </c>
      <c r="HG118" s="6">
        <f>COUNTIFS(Table72[Country],Tabela1[[#This Row],[Country]],Table72[Women''s Quadruple Sculls Classification],"&gt;0")</f>
        <v>0</v>
      </c>
      <c r="HH118" s="6">
        <f>COUNTIFS(Table16[Country],Tabela1[[#This Row],[Country]],Table16[Men''s Coxless Pairs Classification],"&gt;0")</f>
        <v>0</v>
      </c>
      <c r="HI118" s="6">
        <f>COUNTIFS(Table16[Country],Tabela1[[#This Row],[Country]],Table16[Women''s Coxless Pairs Classification],"&gt;0")</f>
        <v>0</v>
      </c>
      <c r="HJ118" s="6">
        <f>COUNTIFS(Table72[Country],Tabela1[[#This Row],[Country]],Table72[Men''s Coxless Fours Classification],"&gt;0")</f>
        <v>0</v>
      </c>
      <c r="HK118" s="6">
        <f>COUNTIFS(Table72[Country],Tabela1[[#This Row],[Country]],Table72[Women''s Coxless Fours Classification],"&gt;0")</f>
        <v>0</v>
      </c>
      <c r="HL118" s="6">
        <f>COUNTIFS(Table72[Country],Tabela1[[#This Row],[Country]],Table72[Men''s Eights Classification],"&gt;0")</f>
        <v>0</v>
      </c>
      <c r="HM118" s="6">
        <f>COUNTIFS(Table72[Country],Tabela1[[#This Row],[Country]],Table72[Women''s Eights Classification],"&gt;0")</f>
        <v>0</v>
      </c>
      <c r="HN118" s="6">
        <f>COUNTIFS(Table16[Country],Tabela1[[#This Row],[Country]],Table16[Men''s Lwt. Double Sculls Classification],"&gt;0")</f>
        <v>0</v>
      </c>
      <c r="HO118" s="6">
        <f>COUNTIFS(Table16[Country],Tabela1[[#This Row],[Country]],Table16[Women''s Lwt. Double Sculls Classification],"&gt;0")</f>
        <v>0</v>
      </c>
      <c r="HP118" s="6">
        <f>COUNTIFS(Table91949698[Country],Tabela1[[#This Row],[Country]],Table91949698[Men''s Classification],"&gt;0")</f>
        <v>0</v>
      </c>
      <c r="HQ118" s="6">
        <f>COUNTIFS(Table91949698[Country],Tabela1[[#This Row],[Country]],Table91949698[Women''s Classification],"&gt;0")</f>
        <v>0</v>
      </c>
      <c r="HR118" s="6">
        <f>COUNTIFS(Table25[Country],Tabela1[[#This Row],[Country]],Table25[Mixed 470 Classification],"&gt;0")</f>
        <v>0</v>
      </c>
      <c r="HS118" s="6">
        <f>COUNTIFS(Table25[Country],Tabela1[[#This Row],[Country]],Table25[Men''s 49er Classification],"&gt;0")</f>
        <v>0</v>
      </c>
      <c r="HT118" s="6">
        <f>COUNTIFS(Table25[Country],Tabela1[[#This Row],[Country]],Table25[Women''s 49er FX Classification],"&gt;0")</f>
        <v>0</v>
      </c>
      <c r="HU118" s="6">
        <f>COUNTIFS(Table17[Country],Tabela1[[#This Row],[Country]],Table17[Formula Kite Classification],"&gt;0")</f>
        <v>0</v>
      </c>
      <c r="HV118" s="6">
        <f>COUNTIFS(Table18[Country],Tabela1[[#This Row],[Country]],Table18[Formula Kite Classification],"&gt;0")</f>
        <v>0</v>
      </c>
      <c r="HW118" s="6">
        <f>COUNTIFS(Table17[Country],Tabela1[[#This Row],[Country]],Table17[ILCA 7 Classification],"&gt;0")</f>
        <v>0</v>
      </c>
      <c r="HX118" s="6">
        <f>COUNTIFS(Table18[Country],Tabela1[[#This Row],[Country]],Table18[ILCA 6 Classification],"&gt;0")</f>
        <v>0</v>
      </c>
      <c r="HY118" s="6">
        <f>COUNTIFS(Table17[Country],Tabela1[[#This Row],[Country]],Table17[IQFoil Classification],"&gt;0")</f>
        <v>0</v>
      </c>
      <c r="HZ118" s="6">
        <f>COUNTIFS(Table18[Country],Tabela1[[#This Row],[Country]],Table18[IQFoil Classification],"&gt;0")</f>
        <v>0</v>
      </c>
      <c r="IA118" s="6">
        <f>COUNTIFS(Table25[Country],Tabela1[[#This Row],[Country]],Table25[Mixed Nacra 17 Classification],"&gt;0")</f>
        <v>0</v>
      </c>
      <c r="IB118" s="6">
        <f>COUNTIFS(Table53[Country],Tabela1[[#This Row],[Country]],Table53[10m Air Pistol Classification],"&gt;0")</f>
        <v>0</v>
      </c>
      <c r="IC118" s="6">
        <f>COUNTIFS(Table19[Country],Tabela1[[#This Row],[Country]],Table19[10m Air Pistol Classification],"&gt;0")</f>
        <v>0</v>
      </c>
      <c r="ID118" s="6">
        <f>COUNTIFS(Table54[Country],Tabela1[[#This Row],[Country]],Table54[Mixed 10m Air Pistol Team Classification],"&gt;0")</f>
        <v>0</v>
      </c>
      <c r="IE118" s="6">
        <f>COUNTIFS(Table53[Country],Tabela1[[#This Row],[Country]],Table53[10m Air Rifle Classification],"&gt;0")</f>
        <v>0</v>
      </c>
      <c r="IF118" s="6">
        <f>COUNTIFS(Table19[Country],Tabela1[[#This Row],[Country]],Table19[10m Air Rifle Classification],"&gt;0")</f>
        <v>0</v>
      </c>
      <c r="IG118" s="6">
        <f>COUNTIFS(Table54[Country],Tabela1[[#This Row],[Country]],Table54[Mixed 10m Air Rifle Team Classification],"&gt;0")</f>
        <v>0</v>
      </c>
      <c r="IH118" s="6">
        <f>COUNTIFS(Table53[Country],Tabela1[[#This Row],[Country]],Table53[25m Rapid Fire Pistol Classification],"&gt;0")</f>
        <v>0</v>
      </c>
      <c r="II118" s="6">
        <f>COUNTIFS(Table19[Country],Tabela1[[#This Row],[Country]],Table19[25m Pistol Classification],"&gt;0")</f>
        <v>0</v>
      </c>
      <c r="IJ118" s="6">
        <f>COUNTIFS(Table53[Country],Tabela1[[#This Row],[Country]],Table53[50m Rifle 3 Positions Classification],"&gt;0")</f>
        <v>0</v>
      </c>
      <c r="IK118" s="6">
        <f>COUNTIFS(Table19[Country],Tabela1[[#This Row],[Country]],Table19[50m Rifle 3 Positions Classification],"&gt;0")</f>
        <v>0</v>
      </c>
      <c r="IL118" s="6">
        <f>COUNTIFS(Table53[Country],Tabela1[[#This Row],[Country]],Table53[Skeet Classification],"&gt;0")</f>
        <v>0</v>
      </c>
      <c r="IM118" s="6">
        <f>COUNTIFS(Table19[Country],Tabela1[[#This Row],[Country]],Table19[Skeet Classification],"&gt;0")</f>
        <v>0</v>
      </c>
      <c r="IN118" s="6">
        <f>COUNTIFS(Table54[Country],Tabela1[[#This Row],[Country]],Table54[Mixed Skeet Team Classification],"&gt;0")</f>
        <v>0</v>
      </c>
      <c r="IO118" s="6">
        <f>COUNTIFS(Table53[Country],Tabela1[[#This Row],[Country]],Table53[Trap Classification],"&gt;0")</f>
        <v>0</v>
      </c>
      <c r="IP118" s="6">
        <f>COUNTIFS(Table19[Country],Tabela1[[#This Row],[Country]],Table19[Trap Classification],"&gt;0")</f>
        <v>0</v>
      </c>
      <c r="IQ118" s="6">
        <f>COUNTIFS(Table73[Country],Tabela1[[#This Row],[Country]],Table73[Park Classification],"&gt;0")</f>
        <v>0</v>
      </c>
      <c r="IR118" s="6">
        <f>COUNTIFS(Table74[Country],Tabela1[[#This Row],[Country]],Table74[Park Classification],"&gt;0")</f>
        <v>0</v>
      </c>
      <c r="IS118" s="6">
        <f>COUNTIFS(Table73[Country],Tabela1[[#This Row],[Country]],Table73[Street Classification],"&gt;0")</f>
        <v>0</v>
      </c>
      <c r="IT118" s="6">
        <f>COUNTIFS(Table74[Country],Tabela1[[#This Row],[Country]],Table74[Street Classification],"&gt;0")</f>
        <v>0</v>
      </c>
      <c r="IU118" s="6">
        <f>COUNTIFS(Table75[Country],Tabela1[[#This Row],[Country]],Table75[Boulder and Lead Classification],"&gt;0")</f>
        <v>0</v>
      </c>
      <c r="IV118" s="6">
        <f>COUNTIFS(Table76[Country],Tabela1[[#This Row],[Country]],Table76[Boulder and Lead Classification],"&gt;0")</f>
        <v>0</v>
      </c>
      <c r="IW118" s="6">
        <f>COUNTIFS(Table75[Country],Tabela1[[#This Row],[Country]],Table75[Speed Classification],"&gt;0")</f>
        <v>0</v>
      </c>
      <c r="IX118" s="6">
        <f>COUNTIFS(Table76[Country],Tabela1[[#This Row],[Country]],Table76[Speed Classification],"&gt;0")</f>
        <v>0</v>
      </c>
      <c r="IY118" s="6">
        <f>COUNTIFS(Table64[Country],Tabela1[[#This Row],[Country]],Table64[Shortboard Classification],"&gt;0")</f>
        <v>0</v>
      </c>
      <c r="IZ118" s="6">
        <f>COUNTIFS(Table77[Country],Tabela1[[#This Row],[Country]],Table77[Shortboard Classification],"&gt;0")</f>
        <v>0</v>
      </c>
      <c r="JA118" s="6">
        <f>COUNTIFS(Table20[Country],Tabela1[[#This Row],[Country]],Table20[50m Freestyle Classification],"&gt;0")</f>
        <v>0</v>
      </c>
      <c r="JB118" s="6">
        <f>COUNTIFS(Table21[Country],Tabela1[[#This Row],[Country]],Table21[50m Freestyle Classification],"&gt;0")</f>
        <v>0</v>
      </c>
      <c r="JC118" s="6">
        <f>COUNTIFS(Table20[Country],Tabela1[[#This Row],[Country]],Table20[100m Freestyle Classification],"&gt;0")</f>
        <v>0</v>
      </c>
      <c r="JD118" s="6">
        <f>COUNTIFS(Table21[Country],Tabela1[[#This Row],[Country]],Table21[100m Freestyle Classification],"&gt;0")</f>
        <v>0</v>
      </c>
      <c r="JE118" s="6">
        <f>COUNTIFS(Table20[Country],Tabela1[[#This Row],[Country]],Table20[200m Freestyle Classification],"&gt;0")</f>
        <v>0</v>
      </c>
      <c r="JF118" s="6">
        <f>COUNTIFS(Table21[Country],Tabela1[[#This Row],[Country]],Table21[200m Freestyle Classification],"&gt;0")</f>
        <v>0</v>
      </c>
      <c r="JG118" s="6">
        <f>COUNTIFS(Table20[Country],Tabela1[[#This Row],[Country]],Table20[400m Freestyle Classification],"&gt;0")</f>
        <v>0</v>
      </c>
      <c r="JH118" s="6">
        <f>COUNTIFS(Table21[Country],Tabela1[[#This Row],[Country]],Table21[400m Freestyle Classification],"&gt;0")</f>
        <v>0</v>
      </c>
      <c r="JI118" s="6">
        <f>COUNTIFS(Table20[Country],Tabela1[[#This Row],[Country]],Table20[800m Freestyle Classification],"&gt;0")</f>
        <v>0</v>
      </c>
      <c r="JJ118" s="6">
        <f>COUNTIFS(Table21[Country],Tabela1[[#This Row],[Country]],Table21[800m Freestyle Classification],"&gt;0")</f>
        <v>0</v>
      </c>
      <c r="JK118" s="6">
        <f>COUNTIFS(Table20[Country],Tabela1[[#This Row],[Country]],Table20[1500m Freestyle Classification],"&gt;0")</f>
        <v>0</v>
      </c>
      <c r="JL118" s="6">
        <f>COUNTIFS(Table21[Country],Tabela1[[#This Row],[Country]],Table21[1500m Freestyle Classification],"&gt;0")</f>
        <v>0</v>
      </c>
      <c r="JM118" s="6">
        <f>COUNTIFS(Table20[Country],Tabela1[[#This Row],[Country]],Table20[100m Backstroke Classification],"&gt;0")</f>
        <v>0</v>
      </c>
      <c r="JN118" s="6">
        <f>COUNTIFS(Table21[Country],Tabela1[[#This Row],[Country]],Table21[100m Backstroke Classification],"&gt;0")</f>
        <v>0</v>
      </c>
      <c r="JO118" s="6">
        <f>COUNTIFS(Table20[Country],Tabela1[[#This Row],[Country]],Table20[200m Backstroke Classification],"&gt;0")</f>
        <v>0</v>
      </c>
      <c r="JP118" s="6">
        <f>COUNTIFS(Table21[Country],Tabela1[[#This Row],[Country]],Table21[200m Backstroke Classification],"&gt;0")</f>
        <v>0</v>
      </c>
      <c r="JQ118" s="6">
        <f>COUNTIFS(Table20[Country],Tabela1[[#This Row],[Country]],Table20[100m Breaststroke Classification],"&gt;0")</f>
        <v>0</v>
      </c>
      <c r="JR118" s="6">
        <f>COUNTIFS(Table21[Country],Tabela1[[#This Row],[Country]],Table21[100m Breaststroke Classification],"&gt;0")</f>
        <v>0</v>
      </c>
      <c r="JS118" s="6">
        <f>COUNTIFS(Table20[Country],Tabela1[[#This Row],[Country]],Table20[200m Breaststroke Classification],"&gt;0")</f>
        <v>0</v>
      </c>
      <c r="JT118" s="6">
        <f>COUNTIFS(Table21[Country],Tabela1[[#This Row],[Country]],Table21[200m Breaststroke Classification],"&gt;0")</f>
        <v>0</v>
      </c>
      <c r="JU118" s="6">
        <f>COUNTIFS(Table20[Country],Tabela1[[#This Row],[Country]],Table20[100m Butterfly Classification],"&gt;0")</f>
        <v>0</v>
      </c>
      <c r="JV118" s="6">
        <f>COUNTIFS(Table21[Country],Tabela1[[#This Row],[Country]],Table21[100m Butterfly Classification],"&gt;0")</f>
        <v>0</v>
      </c>
      <c r="JW118" s="6">
        <f>COUNTIFS(Table20[Country],Tabela1[[#This Row],[Country]],Table20[200m Butterfly Classification],"&gt;0")</f>
        <v>0</v>
      </c>
      <c r="JX118" s="6">
        <f>COUNTIFS(Table21[Country],Tabela1[[#This Row],[Country]],Table21[200m Butterfly Classification],"&gt;0")</f>
        <v>0</v>
      </c>
      <c r="JY118" s="6">
        <f>COUNTIFS(Table20[Country],Tabela1[[#This Row],[Country]],Table20[200m Medley Classification],"&gt;0")</f>
        <v>0</v>
      </c>
      <c r="JZ118" s="6">
        <f>COUNTIFS(Table21[Country],Tabela1[[#This Row],[Country]],Table21[200m Medley Classification],"&gt;0")</f>
        <v>0</v>
      </c>
      <c r="KA118" s="6">
        <f>COUNTIFS(Table20[Country],Tabela1[[#This Row],[Country]],Table20[400m Medley Classification],"&gt;0")</f>
        <v>0</v>
      </c>
      <c r="KB118" s="6">
        <f>COUNTIFS(Table21[Country],Tabela1[[#This Row],[Country]],Table21[400m Medley Classification],"&gt;0")</f>
        <v>0</v>
      </c>
      <c r="KC118" s="6">
        <f>COUNTIFS(Table78[Country],Tabela1[[#This Row],[Country]],Table78[Men''s 4x100m Freestyle Relay Classification],"&gt;0")</f>
        <v>0</v>
      </c>
      <c r="KD118" s="6">
        <f>COUNTIFS(Table78[Country],Tabela1[[#This Row],[Country]],Table78[Women''s 4x100m Freestyle Relay Classification],"&gt;0")</f>
        <v>0</v>
      </c>
      <c r="KE118" s="6">
        <f>COUNTIFS(Table78[Country],Tabela1[[#This Row],[Country]],Table78[Men''s 4x200m Freestyle Relay Classification],"&gt;0")</f>
        <v>0</v>
      </c>
      <c r="KF118" s="6">
        <f>COUNTIFS(Table78[Country],Tabela1[[#This Row],[Country]],Table78[Women''s 4x200m Freestyle Relay Classification],"&gt;0")</f>
        <v>0</v>
      </c>
      <c r="KG118" s="6">
        <f>COUNTIFS(Table78[Country],Tabela1[[#This Row],[Country]],Table78[Men''s 4x100m Medley Relay Classification],"&gt;0")</f>
        <v>0</v>
      </c>
      <c r="KH118" s="6">
        <f>COUNTIFS(Table78[Country],Tabela1[[#This Row],[Country]],Table78[Women''s 4x100m Medley Relay Classification],"&gt;0")</f>
        <v>0</v>
      </c>
      <c r="KI118" s="6">
        <f>COUNTIFS(Table78[Country],Tabela1[[#This Row],[Country]],Table78[Mixed 4x100m Medley Relay Classification],"&gt;0")</f>
        <v>0</v>
      </c>
      <c r="KJ118" s="6">
        <f>COUNTIFS(Table20[Country],Tabela1[[#This Row],[Country]],Table20[10km Open Water Classification],"&gt;0")</f>
        <v>0</v>
      </c>
      <c r="KK118" s="6">
        <f>COUNTIFS(Table21[Country],Tabela1[[#This Row],[Country]],Table21[10km Open Water Classification],"&gt;0")</f>
        <v>0</v>
      </c>
      <c r="KL118" s="6">
        <f>COUNTIFS(Table22[Country],Tabela1[[#This Row],[Country]],Table22[Classification],"&gt;0")</f>
        <v>0</v>
      </c>
      <c r="KM118" s="6">
        <f>COUNTIFS(Table30[Country],Tabela1[[#This Row],[Country]],Table30[Classification],"&gt;0")</f>
        <v>0</v>
      </c>
      <c r="KN118" s="6">
        <f>COUNTIFS(Table55[Country],Tabela1[[#This Row],[Country]],Table55[Men''s Classification],"&gt;0")</f>
        <v>0</v>
      </c>
      <c r="KO118" s="6">
        <f>COUNTIFS(Table55[Country],Tabela1[[#This Row],[Country]],Table55[Women''s Classification],"&gt;0")</f>
        <v>0</v>
      </c>
      <c r="KP118" s="6">
        <f>COUNTIFS(Table56[Country],Tabela1[[#This Row],[Country]],Table56[Mixed Classification],"&gt;0")</f>
        <v>0</v>
      </c>
      <c r="KQ118" s="6">
        <f>COUNTIFS(Table29[Country],Tabela1[[#This Row],[Country]],Table29[58kg Classification],"&gt;0")</f>
        <v>0</v>
      </c>
      <c r="KR118" s="6">
        <f>COUNTIFS(Table29[Country],Tabela1[[#This Row],[Country]],Table29[68kg Classification],"&gt;0")</f>
        <v>0</v>
      </c>
      <c r="KS118" s="6">
        <f>COUNTIFS(Table29[Country],Tabela1[[#This Row],[Country]],Table29[80kg Classification],"&gt;0")</f>
        <v>0</v>
      </c>
      <c r="KT118" s="6">
        <f>COUNTIFS(Table29[Country],Tabela1[[#This Row],[Country]],Table29[Plus 80kg Classification],"&gt;0")</f>
        <v>0</v>
      </c>
      <c r="KU118" s="6">
        <f>COUNTIFS(Table34[Country],Tabela1[[#This Row],[Country]],Table34[49kg Classification],"&gt;0")</f>
        <v>0</v>
      </c>
      <c r="KV118" s="6">
        <f>COUNTIFS(Table34[Country],Tabela1[[#This Row],[Country]],Table34[57kg Classification],"&gt;0")</f>
        <v>0</v>
      </c>
      <c r="KW118" s="6">
        <f>COUNTIFS(Table34[Country],Tabela1[[#This Row],[Country]],Table34[67kg Classification],"&gt;0")</f>
        <v>0</v>
      </c>
      <c r="KX118" s="6">
        <f>COUNTIFS(Table34[Country],Tabela1[[#This Row],[Country]],Table34[Plus 67kg Classification],"&gt;0")</f>
        <v>0</v>
      </c>
      <c r="KY118" s="6">
        <f>COUNTIFS(Table57[Country],Tabela1[[#This Row],[Country]],Table57[Classification],"&gt;0")</f>
        <v>0</v>
      </c>
      <c r="KZ118" s="6">
        <f>COUNTIFS(Table58[Country],Tabela1[[#This Row],[Country]],Table58[Classification],"&gt;0")</f>
        <v>0</v>
      </c>
      <c r="LA118" s="6">
        <f>COUNTIFS(Table79[Country],Tabela1[[#This Row],[Country]],Table79[Men''s Classification],"&gt;0")</f>
        <v>0</v>
      </c>
      <c r="LB118" s="6">
        <f>COUNTIFS(Table79[Country],Tabela1[[#This Row],[Country]],Table79[Women''s Classification],"&gt;0")</f>
        <v>0</v>
      </c>
      <c r="LC118" s="6">
        <f>COUNTIFS(Table79[Country],Tabela1[[#This Row],[Country]],Table79[Mixed Classification],"&gt;0")</f>
        <v>0</v>
      </c>
      <c r="LD118" s="6">
        <f>COUNTIFS(Table65[Country],Tabela1[[#This Row],[Country]],Table65[Classification],"&gt;0")</f>
        <v>0</v>
      </c>
      <c r="LE118" s="6">
        <f>COUNTIFS(Table59[Country],Tabela1[[#This Row],[Country]],Table59[Classification],"&gt;0")</f>
        <v>0</v>
      </c>
      <c r="LF118" s="6">
        <f>COUNTIFS(Table87[Country],Tabela1[[#This Row],[Country]],Table87[Mixed Relay Classification],"&gt;0")</f>
        <v>0</v>
      </c>
      <c r="LG118" s="6">
        <f>COUNTIFS(Table91949698100[Country],Tabela1[[#This Row],[Country]],Table91949698100[Men''s Classification],"&gt;0")</f>
        <v>0</v>
      </c>
      <c r="LH118" s="6">
        <f>COUNTIFS(Table91949698100[Country],Tabela1[[#This Row],[Country]],Table91949698100[Women''s Classification],"&gt;0")</f>
        <v>0</v>
      </c>
      <c r="LI118" s="6">
        <f>COUNTIFS(Table91949698100102[Country],Tabela1[[#This Row],[Country]],Table91949698100102[Men''s Classification],"&gt;0")</f>
        <v>0</v>
      </c>
      <c r="LJ118" s="6">
        <f>COUNTIFS(Table91949698100102[Country],Tabela1[[#This Row],[Country]],Table91949698100102[Women''s Classification],"&gt;0")</f>
        <v>0</v>
      </c>
      <c r="LK118" s="6">
        <f>COUNTIFS(Table23[Country],Tabela1[[#This Row],[Country]],Table23[61kg Classification],"&gt;0")</f>
        <v>0</v>
      </c>
      <c r="LL118" s="6">
        <f>COUNTIFS(Table23[Country],Tabela1[[#This Row],[Country]],Table23[73kg Classification],"&gt;0")</f>
        <v>0</v>
      </c>
      <c r="LM118" s="6">
        <f>COUNTIFS(Table23[Country],Tabela1[[#This Row],[Country]],Table23[89kg Classification],"&gt;0")</f>
        <v>0</v>
      </c>
      <c r="LN118" s="6">
        <f>COUNTIFS(Table23[Country],Tabela1[[#This Row],[Country]],Table23[102kg Classification],"&gt;0")</f>
        <v>0</v>
      </c>
      <c r="LO118" s="6">
        <f>COUNTIFS(Table23[Country],Tabela1[[#This Row],[Country]],Table23[Plus 102kg Classification],"&gt;0")</f>
        <v>0</v>
      </c>
      <c r="LP118" s="6">
        <f>COUNTIFS(Table28[Country],Tabela1[[#This Row],[Country]],Table28[49kg Classification],"&gt;0")</f>
        <v>0</v>
      </c>
      <c r="LQ118" s="6">
        <f>COUNTIFS(Table28[Country],Tabela1[[#This Row],[Country]],Table28[59kg Classification],"&gt;0")</f>
        <v>0</v>
      </c>
      <c r="LR118" s="6">
        <f>COUNTIFS(Table28[Country],Tabela1[[#This Row],[Country]],Table28[71kg Classification],"&gt;0")</f>
        <v>0</v>
      </c>
      <c r="LS118" s="6">
        <f>COUNTIFS(Table28[Country],Tabela1[[#This Row],[Country]],Table28[81kg Classification],"&gt;0")</f>
        <v>0</v>
      </c>
      <c r="LT118" s="6">
        <f>COUNTIFS(Table28[Country],Tabela1[[#This Row],[Country]],Table28[Plus 81kg Classification],"&gt;0")</f>
        <v>0</v>
      </c>
      <c r="LU118" s="6">
        <f>COUNTIFS(Table24[Country],Tabela1[[#This Row],[Country]],Table24[Freestyle 57kg Classification],"&gt;0")</f>
        <v>0</v>
      </c>
      <c r="LV118" s="6">
        <f>COUNTIFS(Table24[Country],Tabela1[[#This Row],[Country]],Table24[Freestyle 65kg Classification],"&gt;0")</f>
        <v>0</v>
      </c>
      <c r="LW118" s="6">
        <f>COUNTIFS(Table24[Country],Tabela1[[#This Row],[Country]],Table24[Freestyle 74kg Classification],"&gt;0")</f>
        <v>0</v>
      </c>
      <c r="LX118" s="6">
        <f>COUNTIFS(Table24[Country],Tabela1[[#This Row],[Country]],Table24[Freestyle 86kg Classification],"&gt;0")</f>
        <v>0</v>
      </c>
      <c r="LY118" s="6">
        <f>COUNTIFS(Table24[Country],Tabela1[[#This Row],[Country]],Table24[Freestyle 97kg Classification],"&gt;0")</f>
        <v>0</v>
      </c>
      <c r="LZ118" s="6">
        <f>COUNTIFS(Table24[Country],Tabela1[[#This Row],[Country]],Table24[Freestyle 125kg Classification],"&gt;0")</f>
        <v>0</v>
      </c>
      <c r="MA118" s="6">
        <f>COUNTIFS(Table24[Country],Tabela1[[#This Row],[Country]],Table24[Greco-Roman 60kg Classification],"&gt;0")</f>
        <v>0</v>
      </c>
      <c r="MB118" s="6">
        <f>COUNTIFS(Table24[Country],Tabela1[[#This Row],[Country]],Table24[Greco-Roman 67kg Classification],"&gt;0")</f>
        <v>0</v>
      </c>
      <c r="MC118" s="6">
        <f>COUNTIFS(Table24[Country],Tabela1[[#This Row],[Country]],Table24[Greco-Roman 77kg Classification],"&gt;0")</f>
        <v>0</v>
      </c>
      <c r="MD118" s="6">
        <f>COUNTIFS(Table24[Country],Tabela1[[#This Row],[Country]],Table24[Greco-Roman 87kg Classification],"&gt;0")</f>
        <v>0</v>
      </c>
      <c r="ME118" s="6">
        <f>COUNTIFS(Table24[Country],Tabela1[[#This Row],[Country]],Table24[Greco-Roman 97kg Classification],"&gt;0")</f>
        <v>0</v>
      </c>
      <c r="MF118" s="6">
        <f>COUNTIFS(Table24[Country],Tabela1[[#This Row],[Country]],Table24[Greco-Roman 130kg Classification],"&gt;0")</f>
        <v>0</v>
      </c>
      <c r="MG118" s="6">
        <f>COUNTIFS(Table31[Country],Tabela1[[#This Row],[Country]],Table31[50kg Classification],"&gt;0")</f>
        <v>0</v>
      </c>
      <c r="MH118" s="6">
        <f>COUNTIFS(Table31[Country],Tabela1[[#This Row],[Country]],Table31[53kg Classification],"&gt;0")</f>
        <v>0</v>
      </c>
      <c r="MI118" s="6">
        <f>COUNTIFS(Table31[Country],Tabela1[[#This Row],[Country]],Table31[57kg Classification],"&gt;0")</f>
        <v>0</v>
      </c>
      <c r="MJ118" s="6">
        <f>COUNTIFS(Table31[Country],Tabela1[[#This Row],[Country]],Table31[62kg Classification],"&gt;0")</f>
        <v>0</v>
      </c>
      <c r="MK118" s="6">
        <f>COUNTIFS(Table31[Country],Tabela1[[#This Row],[Country]],Table31[68kg Classification],"&gt;0")</f>
        <v>0</v>
      </c>
      <c r="ML118" s="6">
        <f>COUNTIFS(Table31[Country],Tabela1[[#This Row],[Country]],Table31[76kg Classification],"&gt;0")</f>
        <v>0</v>
      </c>
      <c r="MM118" s="6">
        <f>COUNTIFS(Table102[Country],Tabela1[[#This Row],[Country]],Table102[Downhill Classification],"&gt;0")</f>
        <v>0</v>
      </c>
      <c r="MN118" s="6">
        <f>COUNTIFS(Table102105[Country],Tabela1[[#This Row],[Country]],Table102105[Downhill Classification],"&gt;0")</f>
        <v>0</v>
      </c>
      <c r="MO118" s="6">
        <f>COUNTIFS(Table102[Country],Tabela1[[#This Row],[Country]],Table102[Giant Slalom Classification],"&gt;0")</f>
        <v>0</v>
      </c>
      <c r="MP118" s="6">
        <f>COUNTIFS(Table102105[Country],Tabela1[[#This Row],[Country]],Table102105[Giant Slalom Classification],"&gt;0")</f>
        <v>0</v>
      </c>
      <c r="MQ118" s="6">
        <f>COUNTIFS(Table102[Country],Tabela1[[#This Row],[Country]],Table102[Slalom Classification],"&gt;0")</f>
        <v>0</v>
      </c>
      <c r="MR118" s="6">
        <f>COUNTIFS(Table102105[Country],Tabela1[[#This Row],[Country]],Table102105[Slalom Classification],"&gt;0")</f>
        <v>0</v>
      </c>
      <c r="MS118" s="6">
        <f>COUNTIFS(Table102[Country],Tabela1[[#This Row],[Country]],Table102[Super-G Classification],"&gt;0")</f>
        <v>0</v>
      </c>
      <c r="MT118" s="6">
        <f>COUNTIFS(Table102105[Country],Tabela1[[#This Row],[Country]],Table102105[Super-G Classification],"&gt;0")</f>
        <v>0</v>
      </c>
      <c r="MU118" s="6">
        <f>COUNTIFS(Table105[Country],Tabela1[[#This Row],[Country]],Table105[Men''s Combined Classification],"&gt;0")</f>
        <v>0</v>
      </c>
      <c r="MV118" s="6">
        <f>COUNTIFS(Table105[Country],Tabela1[[#This Row],[Country]],Table105[Women''s Combined Classification],"&gt;0")</f>
        <v>0</v>
      </c>
      <c r="MW118" s="6">
        <f>COUNTIFS(Table106[Country],Tabela1[[#This Row],[Country]],Table106[Individual Classification],"&gt;0")</f>
        <v>0</v>
      </c>
      <c r="MX118" s="6">
        <f>COUNTIFS(Table106109[Country],Tabela1[[#This Row],[Country]],Table106109[Individual Classification],"&gt;0")</f>
        <v>0</v>
      </c>
      <c r="MY118" s="6">
        <f>COUNTIFS(Table106[Country],Tabela1[[#This Row],[Country]],Table106[Mass Start Classification],"&gt;0")</f>
        <v>0</v>
      </c>
      <c r="MZ118" s="6">
        <f>COUNTIFS(Table106109[Country],Tabela1[[#This Row],[Country]],Table106109[Mass Start Classification],"&gt;0")</f>
        <v>0</v>
      </c>
      <c r="NA118" s="6">
        <f>COUNTIFS(Table106[Country],Tabela1[[#This Row],[Country]],Table106[Pursuit Classification],"&gt;0")</f>
        <v>0</v>
      </c>
      <c r="NB118" s="6">
        <f>COUNTIFS(Table106109[Country],Tabela1[[#This Row],[Country]],Table106109[Pursuit Classification],"&gt;0")</f>
        <v>0</v>
      </c>
      <c r="NC118" s="6">
        <f>COUNTIFS(Table106[Country],Tabela1[[#This Row],[Country]],Table106[Sprint Classification],"&gt;0")</f>
        <v>0</v>
      </c>
      <c r="ND118" s="6">
        <f>COUNTIFS(Table106109[Country],Tabela1[[#This Row],[Country]],Table106109[Sprint Classification],"&gt;0")</f>
        <v>0</v>
      </c>
      <c r="NE118" s="6">
        <f>COUNTIFS(Table109[Country],Tabela1[[#This Row],[Country]],Table109[Men''s Relay Classification],"&gt;0")</f>
        <v>0</v>
      </c>
      <c r="NF118" s="6">
        <f>COUNTIFS(Table109[Country],Tabela1[[#This Row],[Country]],Table109[Women''s Relay Classification],"&gt;0")</f>
        <v>0</v>
      </c>
      <c r="NG118" s="6">
        <f>COUNTIFS(Table109[Country],Tabela1[[#This Row],[Country]],Table109[Mixed Relay Classification],"&gt;0")</f>
        <v>0</v>
      </c>
      <c r="NH118" s="6">
        <f>COUNTIFS(Table110[Country],Tabela1[[#This Row],[Country]],Table110[Monobob Classification],"&gt;0")</f>
        <v>0</v>
      </c>
      <c r="NI118" s="6">
        <f>COUNTIFS(Table111[Country],Tabela1[[#This Row],[Country]],Table111[Men''s Classification],"&gt;0")</f>
        <v>0</v>
      </c>
      <c r="NJ118" s="6">
        <f>COUNTIFS(Table111[Country],Tabela1[[#This Row],[Country]],Table111[Women''s Classification],"&gt;0")</f>
        <v>0</v>
      </c>
      <c r="NK118" s="6">
        <f>COUNTIFS(Table112[Country],Tabela1[[#This Row],[Country]],Table112[Men''s Four Classification],"&gt;0")</f>
        <v>0</v>
      </c>
      <c r="NL118" s="6">
        <f>COUNTIFS(Table113[Country],Tabela1[[#This Row],[Country]],Table113[Classical Classification],"&gt;0")</f>
        <v>0</v>
      </c>
      <c r="NM118" s="6">
        <f>COUNTIFS(Table113116[Country],Tabela1[[#This Row],[Country]],Table113116[Classical Classification],"&gt;0")</f>
        <v>0</v>
      </c>
      <c r="NN118" s="6">
        <f>COUNTIFS(Table113[Country],Tabela1[[#This Row],[Country]],Table113[Freestyle Classification],"&gt;0")</f>
        <v>0</v>
      </c>
      <c r="NO118" s="6">
        <f>COUNTIFS(Table113116[Country],Tabela1[[#This Row],[Country]],Table113116[Freestyle Classification],"&gt;0")</f>
        <v>0</v>
      </c>
      <c r="NP118" s="6">
        <f>COUNTIFS(Table117[Country],Tabela1[[#This Row],[Country]],Table117[Men''s Relay Classification],"&gt;0")</f>
        <v>0</v>
      </c>
      <c r="NQ118" s="6">
        <f>COUNTIFS(Table117[Country],Tabela1[[#This Row],[Country]],Table117[Women''s Relay Classification],"&gt;0")</f>
        <v>0</v>
      </c>
      <c r="NR118" s="6">
        <f>COUNTIFS(Table113[Country],Tabela1[[#This Row],[Country]],Table113[Skiathlon Classification],"&gt;0")</f>
        <v>0</v>
      </c>
      <c r="NS118" s="6">
        <f>COUNTIFS(Table113116[Country],Tabela1[[#This Row],[Country]],Table113116[Skiathlon Classification],"&gt;0")</f>
        <v>0</v>
      </c>
      <c r="NT118" s="6">
        <f>COUNTIFS(Table113[Country],Tabela1[[#This Row],[Country]],Table113[Sprint Classification],"&gt;0")</f>
        <v>0</v>
      </c>
      <c r="NU118" s="6">
        <f>COUNTIFS(Table113116[Country],Tabela1[[#This Row],[Country]],Table113116[Sprint Classification],"&gt;0")</f>
        <v>0</v>
      </c>
      <c r="NV118" s="6">
        <f>COUNTIFS(Table116[Country],Tabela1[[#This Row],[Country]],Table116[Men''s Team Sprint Classification],"&gt;0")</f>
        <v>0</v>
      </c>
      <c r="NW118" s="6">
        <f>COUNTIFS(Table116[Country],Tabela1[[#This Row],[Country]],Table116[Women''s Team Sprint Classification],"&gt;0")</f>
        <v>0</v>
      </c>
      <c r="NX118" s="6">
        <f>COUNTIFS(Table119[Country],Tabela1[[#This Row],[Country]],Table119[Men''s Classification],"&gt;0")</f>
        <v>0</v>
      </c>
      <c r="NY118" s="6">
        <f>COUNTIFS(Table119[Country],Tabela1[[#This Row],[Country]],Table119[Women''s Classification],"&gt;0")</f>
        <v>0</v>
      </c>
      <c r="NZ118" s="6">
        <f>COUNTIFS(Table118[Country],Tabela1[[#This Row],[Country]],Table118[Mixed Classification],"&gt;0")</f>
        <v>0</v>
      </c>
      <c r="OA118" s="6">
        <f>COUNTIFS(Table120[Country],Tabela1[[#This Row],[Country]],Table120[Classification],"&gt;0")</f>
        <v>0</v>
      </c>
      <c r="OB118" s="6">
        <f>COUNTIFS(Table120123[Country],Tabela1[[#This Row],[Country]],Table120123[Classification],"&gt;0")</f>
        <v>0</v>
      </c>
      <c r="OC118" s="6">
        <f>COUNTIFS(Table123[Country],Tabela1[[#This Row],[Country]],Table123[Ice Dance Classification],"&gt;0")</f>
        <v>0</v>
      </c>
      <c r="OD118" s="6">
        <f>COUNTIFS(Table123[Country],Tabela1[[#This Row],[Country]],Table123[Pair Skating Classification],"&gt;0")</f>
        <v>0</v>
      </c>
      <c r="OE118" s="6">
        <f>COUNTIFS(Table124[Country],Tabela1[[#This Row],[Country]],Table124[Mixed Classification],"&gt;0")</f>
        <v>0</v>
      </c>
      <c r="OF118" s="6">
        <f>COUNTIFS(Table125[Country],Tabela1[[#This Row],[Country]],Table125[Aerials Classification],"&gt;0")</f>
        <v>0</v>
      </c>
      <c r="OG118" s="6">
        <f>COUNTIFS(Table125128[Country],Tabela1[[#This Row],[Country]],Table125128[Aerials Classification],"&gt;0")</f>
        <v>0</v>
      </c>
      <c r="OH118" s="6">
        <f>COUNTIFS(Table128[Country],Tabela1[[#This Row],[Country]],Table128[Mixed Aerials Classification],"&gt;0")</f>
        <v>0</v>
      </c>
      <c r="OI118" s="6">
        <f>COUNTIFS(Table125[Country],Tabela1[[#This Row],[Country]],Table125[Big Air Classification],"&gt;0")</f>
        <v>0</v>
      </c>
      <c r="OJ118" s="6">
        <f>COUNTIFS(Table125128[Country],Tabela1[[#This Row],[Country]],Table125128[Big Air Classification],"&gt;0")</f>
        <v>0</v>
      </c>
      <c r="OK118" s="6">
        <f>COUNTIFS(Table125[Country],Tabela1[[#This Row],[Country]],Table125[Dual Moguls Classification],"&gt;0")</f>
        <v>0</v>
      </c>
      <c r="OL118" s="6">
        <f>COUNTIFS(Table125128[Country],Tabela1[[#This Row],[Country]],Table125128[Dual Moguls Classification],"&gt;0")</f>
        <v>0</v>
      </c>
      <c r="OM118" s="6">
        <f>COUNTIFS(Table125[Country],Tabela1[[#This Row],[Country]],Table125[Halfpipe Classification],"&gt;0")</f>
        <v>0</v>
      </c>
      <c r="ON118" s="6">
        <f>COUNTIFS(Table125128[Country],Tabela1[[#This Row],[Country]],Table125128[Halfpipe Classification],"&gt;0")</f>
        <v>0</v>
      </c>
      <c r="OO118" s="6">
        <f>COUNTIFS(Table125[Country],Tabela1[[#This Row],[Country]],Table125[Moguls Classification],"&gt;0")</f>
        <v>0</v>
      </c>
      <c r="OP118" s="6">
        <f>COUNTIFS(Table125128[Country],Tabela1[[#This Row],[Country]],Table125128[Moguls Classification],"&gt;0")</f>
        <v>0</v>
      </c>
      <c r="OQ118" s="6">
        <f>COUNTIFS(Table125[Country],Tabela1[[#This Row],[Country]],Table125[Ski Cross Classification],"&gt;0")</f>
        <v>0</v>
      </c>
      <c r="OR118" s="6">
        <f>COUNTIFS(Table125128[Country],Tabela1[[#This Row],[Country]],Table125128[Ski Cross Classification],"&gt;0")</f>
        <v>0</v>
      </c>
      <c r="OS118" s="6">
        <f>COUNTIFS(Table125[Country],Tabela1[[#This Row],[Country]],Table125[Slopestyle Classification],"&gt;0")</f>
        <v>0</v>
      </c>
      <c r="OT118" s="6">
        <f>COUNTIFS(Table125128[Country],Tabela1[[#This Row],[Country]],Table125128[Slopestyle Classification],"&gt;0")</f>
        <v>0</v>
      </c>
      <c r="OU118" s="6">
        <f>COUNTIFS(Table119131[Country],Tabela1[[#This Row],[Country]],Table119131[Men''s Classification],"&gt;0")</f>
        <v>0</v>
      </c>
      <c r="OV118" s="6">
        <f>COUNTIFS(Table119131[Country],Tabela1[[#This Row],[Country]],Table119131[Women''s Classification],"&gt;0")</f>
        <v>0</v>
      </c>
      <c r="OW118" s="6">
        <f>COUNTIFS(Table131[Country],Tabela1[[#This Row],[Country]],Table131[Classification],"&gt;0")</f>
        <v>0</v>
      </c>
      <c r="OX118" s="6">
        <f>COUNTIFS(Table131134[Country],Tabela1[[#This Row],[Country]],Table131134[Classification],"&gt;0")</f>
        <v>0</v>
      </c>
      <c r="OY118" s="6">
        <f>COUNTIFS(Table134[Country],Tabela1[[#This Row],[Country]],Table134[Men''s Classification],"&gt;0")</f>
        <v>0</v>
      </c>
      <c r="OZ118" s="6">
        <f>COUNTIFS(Table134[Country],Tabela1[[#This Row],[Country]],Table134[Women''s Classification],"&gt;0")</f>
        <v>0</v>
      </c>
      <c r="PA118" s="6">
        <f>COUNTIFS(Table135[Country],Tabela1[[#This Row],[Country]],Table135[Mixed Relay Classification],"&gt;0")</f>
        <v>0</v>
      </c>
      <c r="PB118" s="6">
        <f>COUNTIFS(Table136[Country],Tabela1[[#This Row],[Country]],Table136[Individual Classification],"&gt;0")</f>
        <v>0</v>
      </c>
      <c r="PC118" s="6">
        <f>COUNTIFS(Table136[Country],Tabela1[[#This Row],[Country]],Table136[Sprint Classification],"&gt;0")</f>
        <v>0</v>
      </c>
      <c r="PD118" s="6">
        <f>COUNTIFS(Table137[Country],Tabela1[[#This Row],[Country]],Table137[Men''s Team Sprint Large Hill Classification],"&gt;0")</f>
        <v>0</v>
      </c>
      <c r="PE118" s="6">
        <f>COUNTIFS(Table138[Country],Tabela1[[#This Row],[Country]],Table138[500m Classification],"&gt;0")</f>
        <v>0</v>
      </c>
      <c r="PF118" s="6">
        <f>COUNTIFS(Table138141[Country],Tabela1[[#This Row],[Country]],Table138141[500m Classification],"&gt;0")</f>
        <v>0</v>
      </c>
      <c r="PG118" s="6">
        <f>COUNTIFS(Table138[Country],Tabela1[[#This Row],[Country]],Table138[1000m Classification],"&gt;0")</f>
        <v>0</v>
      </c>
      <c r="PH118" s="6">
        <f>COUNTIFS(Table138141[Country],Tabela1[[#This Row],[Country]],Table138141[1000m Classification],"&gt;0")</f>
        <v>0</v>
      </c>
      <c r="PI118" s="6">
        <f>COUNTIFS(Table138[Country],Tabela1[[#This Row],[Country]],Table138[1500m Classification],"&gt;0")</f>
        <v>0</v>
      </c>
      <c r="PJ118" s="6">
        <f>COUNTIFS(Table138141[Country],Tabela1[[#This Row],[Country]],Table138141[1500m Classification],"&gt;0")</f>
        <v>0</v>
      </c>
      <c r="PK118" s="6">
        <f>COUNTIFS(Table141[Country],Tabela1[[#This Row],[Country]],Table141[Men''s 5000m Relay Classification],"&gt;0")</f>
        <v>0</v>
      </c>
      <c r="PL118" s="6">
        <f>COUNTIFS(Table141[Country],Tabela1[[#This Row],[Country]],Table141[Women''s 3000m Relay Classification],"&gt;0")</f>
        <v>0</v>
      </c>
      <c r="PM118" s="6">
        <f>COUNTIFS(Table141[Country],Tabela1[[#This Row],[Country]],Table141[Mixed 2000m Relay Classification],"&gt;0")</f>
        <v>0</v>
      </c>
      <c r="PN118" s="6">
        <f>COUNTIFS(Table142[Country],Tabela1[[#This Row],[Country]],Table142[Classification],"&gt;0")</f>
        <v>0</v>
      </c>
      <c r="PO118" s="6">
        <f>COUNTIFS(Table142145[Country],Tabela1[[#This Row],[Country]],Table142145[Classification],"&gt;0")</f>
        <v>0</v>
      </c>
      <c r="PP118" s="6">
        <f>COUNTIFS(Tabela15[Country],Tabela1[[#This Row],[Country]],Tabela15[Mixed Team Classification],"&gt;0")</f>
        <v>0</v>
      </c>
      <c r="PQ118" s="6">
        <f>COUNTIFS(Table145[Country],Tabela1[[#This Row],[Country]],Table145[Large Hill Classification],"&gt;0")</f>
        <v>0</v>
      </c>
      <c r="PR118" s="6">
        <f>COUNTIFS(Table145[Country],Tabela1[[#This Row],[Country]],Table145[Normal Hill Classification],"&gt;0")</f>
        <v>0</v>
      </c>
      <c r="PS118" s="6">
        <f>COUNTIFS(Table145148[Country],Tabela1[[#This Row],[Country]],Table145148[Large Hill Classification],"&gt;0")</f>
        <v>0</v>
      </c>
      <c r="PT118" s="6">
        <f>COUNTIFS(Table145148[Country],Tabela1[[#This Row],[Country]],Table145148[Normal Hill Classification],"&gt;0")</f>
        <v>0</v>
      </c>
      <c r="PU118" s="6">
        <f>COUNTIFS(Table148[Country],Tabela1[[#This Row],[Country]],Table148[Men''s Super Team Classification],"&gt;0")</f>
        <v>0</v>
      </c>
      <c r="PV118" s="6">
        <f>COUNTIFS(Tabela114[Country],Tabela1[[#This Row],[Country]],Tabela114[Mixed Normal Hill Classification],"&gt;0")</f>
        <v>0</v>
      </c>
      <c r="PW118" s="6">
        <f>COUNTIFS(Tabela50[Country],Tabela1[[#This Row],[Country]],Tabela50[Sprint Classification],"&gt;0")</f>
        <v>0</v>
      </c>
      <c r="PX118" s="6">
        <f>COUNTIFS(Tabela50101[Country],Tabela1[[#This Row],[Country]],Tabela50101[Sprint Classification],"&gt;0")</f>
        <v>0</v>
      </c>
      <c r="PY118" s="6">
        <f>COUNTIFS(Tabela103[Country],Tabela1[[#This Row],[Country]],Tabela103[Mixed Relay Classification],"&gt;0")</f>
        <v>0</v>
      </c>
      <c r="PZ118" s="6">
        <f>COUNTIFS(Table149[Country],Tabela1[[#This Row],[Country]],Table149[Big Air Classification],"&gt;0")</f>
        <v>0</v>
      </c>
      <c r="QA118" s="6">
        <f>COUNTIFS(Table149152[Country],Tabela1[[#This Row],[Country]],Table149152[Big Air Classification],"&gt;0")</f>
        <v>0</v>
      </c>
      <c r="QB118" s="6">
        <f>COUNTIFS(Table149[Country],Tabela1[[#This Row],[Country]],Table149[Halfpipe Classification],"&gt;0")</f>
        <v>0</v>
      </c>
      <c r="QC118" s="6">
        <f>COUNTIFS(Table149152[Country],Tabela1[[#This Row],[Country]],Table149152[Halfpipe Classification],"&gt;0")</f>
        <v>0</v>
      </c>
      <c r="QD118" s="6">
        <f>COUNTIFS(Table149[Country],Tabela1[[#This Row],[Country]],Table149[Parallel Giant Slalom Classification],"&gt;0")</f>
        <v>0</v>
      </c>
      <c r="QE118" s="6">
        <f>COUNTIFS(Table149152[Country],Tabela1[[#This Row],[Country]],Table149152[Parallel Giant Slalom Classification],"&gt;0")</f>
        <v>0</v>
      </c>
      <c r="QF118" s="6">
        <f>COUNTIFS(Table149[Country],Tabela1[[#This Row],[Country]],Table149[Slopestyle Classification],"&gt;0")</f>
        <v>0</v>
      </c>
      <c r="QG118" s="6">
        <f>COUNTIFS(Table149152[Country],Tabela1[[#This Row],[Country]],Table149152[Slopestyle Classification],"&gt;0")</f>
        <v>0</v>
      </c>
      <c r="QH118" s="6">
        <f>COUNTIFS(Table149[Country],Tabela1[[#This Row],[Country]],Table149[Snowboard Cross Classification],"&gt;0")</f>
        <v>0</v>
      </c>
      <c r="QI118" s="6">
        <f>COUNTIFS(Table149152[Country],Tabela1[[#This Row],[Country]],Table149152[Snowboard Cross Classification],"&gt;0")</f>
        <v>0</v>
      </c>
      <c r="QJ118" s="6">
        <f>COUNTIFS(Table153[Country],Tabela1[[#This Row],[Country]],Table153[Mixed Team Snowboard Cross Classification],"&gt;0")</f>
        <v>0</v>
      </c>
      <c r="QK118" s="6">
        <f>COUNTIFS(Table154[Country],Tabela1[[#This Row],[Country]],Table154[500m Classification],"&gt;0")</f>
        <v>0</v>
      </c>
      <c r="QL118" s="6">
        <f>COUNTIFS(Table154157[Country],Tabela1[[#This Row],[Country]],Table154157[500m Classification],"&gt;0")</f>
        <v>0</v>
      </c>
      <c r="QM118" s="6">
        <f>COUNTIFS(Table154[Country],Tabela1[[#This Row],[Country]],Table154[1000m Classification],"&gt;0")</f>
        <v>0</v>
      </c>
      <c r="QN118" s="6">
        <f>COUNTIFS(Table154157[Country],Tabela1[[#This Row],[Country]],Table154157[1000m Classification],"&gt;0")</f>
        <v>0</v>
      </c>
      <c r="QO118" s="6">
        <f>COUNTIFS(Table154[Country],Tabela1[[#This Row],[Country]],Table154[1500m Classification],"&gt;0")</f>
        <v>0</v>
      </c>
      <c r="QP118" s="6">
        <f>COUNTIFS(Table154157[Country],Tabela1[[#This Row],[Country]],Table154157[1500m Classification],"&gt;0")</f>
        <v>0</v>
      </c>
      <c r="QQ118" s="6">
        <f>COUNTIFS(Table154157[Country],Tabela1[[#This Row],[Country]],Table154157[3000m Classification],"&gt;0")</f>
        <v>0</v>
      </c>
      <c r="QR118" s="6">
        <f>COUNTIFS(Table154[Country],Tabela1[[#This Row],[Country]],Table154[5000m Classification],"&gt;0")</f>
        <v>0</v>
      </c>
      <c r="QS118" s="6">
        <f>COUNTIFS(Table154157[Country],Tabela1[[#This Row],[Country]],Table154157[5000m Classification],"&gt;0")</f>
        <v>0</v>
      </c>
      <c r="QT118" s="6">
        <f>COUNTIFS(Table154[Country],Tabela1[[#This Row],[Country]],Table154[10000m Classification],"&gt;0")</f>
        <v>0</v>
      </c>
      <c r="QU118" s="6">
        <f>COUNTIFS(Table154[Country],Tabela1[[#This Row],[Country]],Table154[Mass Start Classification],"&gt;0")</f>
        <v>0</v>
      </c>
      <c r="QV118" s="6">
        <f>COUNTIFS(Table154157[Country],Tabela1[[#This Row],[Country]],Table154157[Mass Start Classification],"&gt;0")</f>
        <v>0</v>
      </c>
      <c r="QW118" s="6">
        <f>COUNTIFS(Table157[Country],Tabela1[[#This Row],[Country]],Table157[Men''s Pursuit Classification],"&gt;0")</f>
        <v>0</v>
      </c>
      <c r="QX118" s="6">
        <f>COUNTIFS(Table157[Country],Tabela1[[#This Row],[Country]],Table157[Women''s Pursuit Classification],"&gt;0")</f>
        <v>0</v>
      </c>
      <c r="QY118" s="4" t="s">
        <v>713</v>
      </c>
    </row>
    <row r="119" spans="1:467" x14ac:dyDescent="0.3">
      <c r="A119" s="6">
        <v>118</v>
      </c>
      <c r="B119" s="6" t="s">
        <v>682</v>
      </c>
      <c r="C119" t="e" vm="118">
        <f>IF(ISBLANK(Tabela1[[#This Row],[Image Link]]), "", _xlfn.IMAGE(Tabela1[[#This Row],[Image Link]],1,1))</f>
        <v>#VALUE!</v>
      </c>
      <c r="D119" s="6">
        <f>SUM(Tabela1[[#This Row],[Archery - Men''s Individual Recurve]:[Speed Skating - Women''s Team Pursuit]])</f>
        <v>2</v>
      </c>
      <c r="E119" s="6">
        <f>COUNTIF(Tabela1[[#This Row],[Archery - Men''s Individual Recurve]:[Speed Skating - Women''s Team Pursuit]],"&gt;0")</f>
        <v>2</v>
      </c>
      <c r="F119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19" s="6">
        <f>SUM(Tabela1[[#This Row],[Archery - Men''s Individual Recurve]:[Wrestling - Women''s Freestyle 76kg]])</f>
        <v>2</v>
      </c>
      <c r="H119" s="6">
        <f>SUM(Tabela1[[#This Row],[Alpine Skiing - Men''s Downhill]:[Speed Skating - Women''s Team Pursuit]])</f>
        <v>0</v>
      </c>
      <c r="I119" s="6">
        <f>Tabela1[[#This Row],[Summer Gold Medals]]+Tabela1[[#This Row],[Winter Gold Medals]]</f>
        <v>0</v>
      </c>
      <c r="J119" s="6">
        <f>Tabela1[[#This Row],[Summer Silver Medals]]+Tabela1[[#This Row],[Winter Silver Medals]]</f>
        <v>0</v>
      </c>
      <c r="K119" s="6">
        <f>Tabela1[[#This Row],[Summer Bronze Medals]]+Tabela1[[#This Row],[Winter Bronze Medals]]</f>
        <v>0</v>
      </c>
      <c r="L119" s="6">
        <f>SUM(Tabela1[[#This Row],[Total Gold Medals]:[Total Bronze Medals]])</f>
        <v>0</v>
      </c>
      <c r="M119" s="6"/>
      <c r="N119" s="6"/>
      <c r="O119" s="6"/>
      <c r="P119" s="6">
        <f>SUM(Tabela1[[#This Row],[Summer Gold Medals]:[Summer Bronze Medals]])</f>
        <v>0</v>
      </c>
      <c r="Q119" s="6"/>
      <c r="R119" s="6"/>
      <c r="S119" s="6"/>
      <c r="T119" s="6">
        <f>Tabela1[[#This Row],[Winter Gold Medals]]+Tabela1[[#This Row],[Winter Silver Medals]]+Tabela1[[#This Row],[Winter Bronze Medals]]</f>
        <v>0</v>
      </c>
      <c r="U119" s="7">
        <f>Tabela1[[#This Row],[Total Medals]]/Tabela1[[#This Row],[Total Quotas]]</f>
        <v>0</v>
      </c>
      <c r="V119" s="6">
        <f>COUNTIFS(Table3[Country],Tabela1[[#This Row],[Country]],Table3[Recurve Classification],"&gt;0")</f>
        <v>0</v>
      </c>
      <c r="W119" s="6">
        <f>COUNTIFS(Table33[Country],Tabela1[[#This Row],[Country]],Table33[Recurve Classification],"&gt;0")</f>
        <v>0</v>
      </c>
      <c r="X119" s="6">
        <f>COUNTIFS(Table35[Country],Tabela1[[#This Row],[Country]],Table35[Men''s Team Recurve Classification],"&gt;0")</f>
        <v>0</v>
      </c>
      <c r="Y119" s="6">
        <f>COUNTIFS(Table35[Country],Tabela1[[#This Row],[Country]],Table35[Women''s Team Recurve Classification],"&gt;0")</f>
        <v>0</v>
      </c>
      <c r="Z119" s="6">
        <f>COUNTIFS(Tabela88[Country],Tabela1[[#This Row],[Country]],Tabela88[Mixed Team Recurve Classification],"&gt;0")</f>
        <v>0</v>
      </c>
      <c r="AA119" s="6">
        <f>COUNTIFS(Table36[Country],Tabela1[[#This Row],[Country]],Table36[Classification],"&gt;0")</f>
        <v>0</v>
      </c>
      <c r="AB119" s="6">
        <f>COUNTIFS(Table37[Country],Tabela1[[#This Row],[Country]],Table37[Classification],"&gt;0")</f>
        <v>0</v>
      </c>
      <c r="AC119" s="6">
        <f>COUNTIFS(Table4[Country],Tabela1[[#This Row],[Country]],Table4[100m Classification],"&gt;0")</f>
        <v>0</v>
      </c>
      <c r="AD119" s="6">
        <f>COUNTIFS(Table5[Country],Tabela1[[#This Row],[Country]],Table5[100m Classification],"&gt;0")</f>
        <v>0</v>
      </c>
      <c r="AE119" s="6">
        <f>COUNTIFS(Table4[Country],Tabela1[[#This Row],[Country]],Table4[200m Classification],"&gt;0")</f>
        <v>0</v>
      </c>
      <c r="AF119" s="6">
        <f>COUNTIFS(Table5[Country],Tabela1[[#This Row],[Country]],Table5[200m Classification],"&gt;0")</f>
        <v>0</v>
      </c>
      <c r="AG119" s="6">
        <f>COUNTIFS(Table4[Country],Tabela1[[#This Row],[Country]],Table4[400m Classification],"&gt;0")</f>
        <v>0</v>
      </c>
      <c r="AH119" s="6">
        <f>COUNTIFS(Table5[Country],Tabela1[[#This Row],[Country]],Table5[400m Classification],"&gt;0")</f>
        <v>0</v>
      </c>
      <c r="AI119" s="6">
        <f>COUNTIFS(Table4[Country],Tabela1[[#This Row],[Country]],Table4[800m Classification],"&gt;0")</f>
        <v>0</v>
      </c>
      <c r="AJ119" s="6">
        <f>COUNTIFS(Table5[Country],Tabela1[[#This Row],[Country]],Table5[800m Classification],"&gt;0")</f>
        <v>0</v>
      </c>
      <c r="AK119" s="6">
        <f>COUNTIFS(Table4[Country],Tabela1[[#This Row],[Country]],Table4[1500m Classification],"&gt;0")</f>
        <v>0</v>
      </c>
      <c r="AL119" s="6">
        <f>COUNTIFS(Table5[Country],Tabela1[[#This Row],[Country]],Table5[1500m Classification],"&gt;0")</f>
        <v>0</v>
      </c>
      <c r="AM119" s="6">
        <f>COUNTIFS(Table4[Country],Tabela1[[#This Row],[Country]],Table4[5000m Classification],"&gt;0")</f>
        <v>0</v>
      </c>
      <c r="AN119" s="6">
        <f>COUNTIFS(Table5[Country],Tabela1[[#This Row],[Country]],Table5[5000m Classification],"&gt;0")</f>
        <v>0</v>
      </c>
      <c r="AO119" s="6">
        <f>COUNTIFS(Table4[Country],Tabela1[[#This Row],[Country]],Table4[10000m Classification],"&gt;0")</f>
        <v>0</v>
      </c>
      <c r="AP119" s="6">
        <f>COUNTIFS(Table5[Country],Tabela1[[#This Row],[Country]],Table5[10000m Classification],"&gt;0")</f>
        <v>0</v>
      </c>
      <c r="AQ119" s="6">
        <f>COUNTIFS(Table4[Country],Tabela1[[#This Row],[Country]],Table4[110m Hurdles Classification],"&gt;0")</f>
        <v>0</v>
      </c>
      <c r="AR119" s="6">
        <f>COUNTIFS(Table5[Country],Tabela1[[#This Row],[Country]],Table5[100m Hurdles Classification],"&gt;0")</f>
        <v>0</v>
      </c>
      <c r="AS119" s="6">
        <f>COUNTIFS(Table4[Country],Tabela1[[#This Row],[Country]],Table4[400m Hurdles Classification],"&gt;0")</f>
        <v>0</v>
      </c>
      <c r="AT119" s="6">
        <f>COUNTIFS(Table5[Country],Tabela1[[#This Row],[Country]],Table5[400m Hurdles Classification],"&gt;0")</f>
        <v>0</v>
      </c>
      <c r="AU119" s="6">
        <f>COUNTIFS(Table4[Country],Tabela1[[#This Row],[Country]],Table4[3000m Steeplechase Classification],"&gt;0")</f>
        <v>0</v>
      </c>
      <c r="AV119" s="6">
        <f>COUNTIFS(Table5[Country],Tabela1[[#This Row],[Country]],Table5[3000m Steeplechase Classification],"&gt;0")</f>
        <v>0</v>
      </c>
      <c r="AW119" s="6">
        <f>COUNTIFS(Table27[Country],Tabela1[[#This Row],[Country]],Table27[Men''s 4x100m Relay Classification],"&gt;0")</f>
        <v>0</v>
      </c>
      <c r="AX119" s="6">
        <f>COUNTIFS(Table27[Country],Tabela1[[#This Row],[Country]],Table27[Women''s 4x100m Relay Classification],"&gt;0")</f>
        <v>0</v>
      </c>
      <c r="AY119" s="6">
        <f>COUNTIFS(Table27[Country],Tabela1[[#This Row],[Country]],Table27[Men''s 4x400m Relay Classification],"&gt;0")</f>
        <v>0</v>
      </c>
      <c r="AZ119" s="6">
        <f>COUNTIFS(Table27[Country],Tabela1[[#This Row],[Country]],Table27[Women''s 4x400m Relay Classification],"&gt;0")</f>
        <v>0</v>
      </c>
      <c r="BA119" s="6">
        <f>COUNTIFS(Table27[Country],Tabela1[[#This Row],[Country]],Table27[Mixed 4x400m Relay Classification],"&gt;0")</f>
        <v>0</v>
      </c>
      <c r="BB119" s="6">
        <f>COUNTIFS(Table4[Country],Tabela1[[#This Row],[Country]],Table4[Marathon Classification],"&gt;0")</f>
        <v>0</v>
      </c>
      <c r="BC119" s="6">
        <f>COUNTIFS(Table5[Country],Tabela1[[#This Row],[Country]],Table5[Marathon Classification],"&gt;0")</f>
        <v>0</v>
      </c>
      <c r="BD119" s="6">
        <f>COUNTIFS(Table4[Country],Tabela1[[#This Row],[Country]],Table4[20km Race Walk Classification],"&gt;0")</f>
        <v>0</v>
      </c>
      <c r="BE119" s="6">
        <f>COUNTIFS(Table5[Country],Tabela1[[#This Row],[Country]],Table5[20km Race Walk Classification],"&gt;0")</f>
        <v>0</v>
      </c>
      <c r="BF119" s="6">
        <f>COUNTIFS(Tabela96[Country],Tabela1[[#This Row],[Country]],Tabela96[Mixed Marathon Race Walk Relay Classification],"&gt;0")</f>
        <v>0</v>
      </c>
      <c r="BG119" s="6">
        <f>COUNTIFS(Table4[Country],Tabela1[[#This Row],[Country]],Table4[Discus Throw Classification],"&gt;0")</f>
        <v>0</v>
      </c>
      <c r="BH119" s="6">
        <f>COUNTIFS(Table5[Country],Tabela1[[#This Row],[Country]],Table5[Discus Throw Classification],"&gt;0")</f>
        <v>0</v>
      </c>
      <c r="BI119" s="6">
        <f>COUNTIFS(Table4[Country],Tabela1[[#This Row],[Country]],Table4[Hammer Throw Classification],"&gt;0")</f>
        <v>0</v>
      </c>
      <c r="BJ119" s="6">
        <f>COUNTIFS(Table5[Country],Tabela1[[#This Row],[Country]],Table5[Hammer Throw Classification],"&gt;0")</f>
        <v>0</v>
      </c>
      <c r="BK119" s="6">
        <f>COUNTIFS(Table4[Country],Tabela1[[#This Row],[Country]],Table4[High Jump Classification],"&gt;0")</f>
        <v>0</v>
      </c>
      <c r="BL119" s="6">
        <f>COUNTIFS(Table5[Country],Tabela1[[#This Row],[Country]],Table5[High Jump Classification],"&gt;0")</f>
        <v>0</v>
      </c>
      <c r="BM119" s="6">
        <f>COUNTIFS(Table4[Country],Tabela1[[#This Row],[Country]],Table4[Javelin Throw Classification],"&gt;0")</f>
        <v>0</v>
      </c>
      <c r="BN119" s="6">
        <f>COUNTIFS(Table5[Country],Tabela1[[#This Row],[Country]],Table5[Javelin Throw Classification],"&gt;0")</f>
        <v>0</v>
      </c>
      <c r="BO119" s="6">
        <f>COUNTIFS(Table4[Country],Tabela1[[#This Row],[Country]],Table4[Long Jump Classification],"&gt;0")</f>
        <v>0</v>
      </c>
      <c r="BP119" s="6">
        <f>COUNTIFS(Table5[Country],Tabela1[[#This Row],[Country]],Table5[Long Jump Classification],"&gt;0")</f>
        <v>0</v>
      </c>
      <c r="BQ119" s="6">
        <f>COUNTIFS(Table4[Country],Tabela1[[#This Row],[Country]],Table4[Pole Vault Classification],"&gt;0")</f>
        <v>0</v>
      </c>
      <c r="BR119" s="6">
        <f>COUNTIFS(Table5[Country],Tabela1[[#This Row],[Country]],Table5[Pole Vault Classification],"&gt;0")</f>
        <v>0</v>
      </c>
      <c r="BS119" s="6">
        <f>COUNTIFS(Table4[Country],Tabela1[[#This Row],[Country]],Table4[Shot Put Classification],"&gt;0")</f>
        <v>0</v>
      </c>
      <c r="BT119" s="6">
        <f>COUNTIFS(Table5[Country],Tabela1[[#This Row],[Country]],Table5[Shot Put Classification],"&gt;0")</f>
        <v>0</v>
      </c>
      <c r="BU119" s="6">
        <f>COUNTIFS(Table4[Country],Tabela1[[#This Row],[Country]],Table4[Triple Jump Classification],"&gt;0")</f>
        <v>0</v>
      </c>
      <c r="BV119" s="6">
        <f>COUNTIFS(Table5[Country],Tabela1[[#This Row],[Country]],Table5[Triple Jump Classification],"&gt;0")</f>
        <v>0</v>
      </c>
      <c r="BW119" s="6">
        <f>COUNTIFS(Table4[Country],Tabela1[[#This Row],[Country]],Table4[Decathlon Classification],"&gt;0")</f>
        <v>0</v>
      </c>
      <c r="BX119" s="6">
        <f>COUNTIFS(Table5[Country],Tabela1[[#This Row],[Country]],Table5[Heptathlon Classification],"&gt;0")</f>
        <v>0</v>
      </c>
      <c r="BY119" s="6">
        <f>COUNTIFS(Table61[Country],Tabela1[[#This Row],[Country]],Table61[Classification],"&gt;0")</f>
        <v>0</v>
      </c>
      <c r="BZ119" s="6">
        <f>COUNTIFS(Table38[Country],Tabela1[[#This Row],[Country]],Table38[Classification],"&gt;0")</f>
        <v>0</v>
      </c>
      <c r="CA119" s="6">
        <f>COUNTIFS(Table39[Country],Tabela1[[#This Row],[Country]],Table39[Men''s Classification],"&gt;0")</f>
        <v>0</v>
      </c>
      <c r="CB119" s="6">
        <f>COUNTIFS(Table39[Country],Tabela1[[#This Row],[Country]],Table39[Women''s Classification],"&gt;0")</f>
        <v>0</v>
      </c>
      <c r="CC119" s="6">
        <f>COUNTIFS(Table39[Country],Tabela1[[#This Row],[Country]],Table39[Mixed Classification],"&gt;0")</f>
        <v>0</v>
      </c>
      <c r="CD119" s="6">
        <f>COUNTIFS(Table89[Country],Tabela1[[#This Row],[Country]],Table89[Men''s Classification],"&gt;0")</f>
        <v>0</v>
      </c>
      <c r="CE119" s="6">
        <f>COUNTIFS(Table89[Country],Tabela1[[#This Row],[Country]],Table89[Women''s Classification],"&gt;0")</f>
        <v>0</v>
      </c>
      <c r="CF119" s="6">
        <f>COUNTIFS(Table90[Country],Tabela1[[#This Row],[Country]],Table90[Men''s Classification],"&gt;0")</f>
        <v>0</v>
      </c>
      <c r="CG119" s="6">
        <f>COUNTIFS(Table90[Country],Tabela1[[#This Row],[Country]],Table90[Women''s Classification],"&gt;0")</f>
        <v>0</v>
      </c>
      <c r="CH119" s="6">
        <f>COUNTIFS(Table60[Country],Tabela1[[#This Row],[Country]],Table60[Men''s Classification],"&gt;0")</f>
        <v>0</v>
      </c>
      <c r="CI119" s="6">
        <f>COUNTIFS(Table60[Country],Tabela1[[#This Row],[Country]],Table60[Women''s Classification],"&gt;0")</f>
        <v>0</v>
      </c>
      <c r="CJ119" s="6">
        <f>COUNTIFS(Table6[Country],Tabela1[[#This Row],[Country]],Table6[51kg Classification],"&gt;0")</f>
        <v>0</v>
      </c>
      <c r="CK119" s="6">
        <f>COUNTIFS(Table6[Country],Tabela1[[#This Row],[Country]],Table6[57kg Classification],"&gt;0")</f>
        <v>0</v>
      </c>
      <c r="CL119" s="6">
        <f>COUNTIFS(Table6[Country],Tabela1[[#This Row],[Country]],Table6[63.5kg Classification],"&gt;0")</f>
        <v>0</v>
      </c>
      <c r="CM119" s="6">
        <f>COUNTIFS(Table6[Country],Tabela1[[#This Row],[Country]],Table6[71kg Classification],"&gt;0")</f>
        <v>0</v>
      </c>
      <c r="CN119" s="6">
        <f>COUNTIFS(Table6[Country],Tabela1[[#This Row],[Country]],Table6[80kg Classification],"&gt;0")</f>
        <v>0</v>
      </c>
      <c r="CO119" s="6">
        <f>COUNTIFS(Table6[Country],Tabela1[[#This Row],[Country]],Table6[92kg Classification],"&gt;0")</f>
        <v>1</v>
      </c>
      <c r="CP119" s="6">
        <f>COUNTIFS(Table6[Country],Tabela1[[#This Row],[Country]],Table6[Plus 92kg Classification],"&gt;0")</f>
        <v>0</v>
      </c>
      <c r="CQ119" s="6">
        <f>COUNTIFS(Table7[Country],Tabela1[[#This Row],[Country]],Table7[50kg Classification],"&gt;0")</f>
        <v>0</v>
      </c>
      <c r="CR119" s="6">
        <f>COUNTIFS(Table7[Country],Tabela1[[#This Row],[Country]],Table7[54kg Classification],"&gt;0")</f>
        <v>0</v>
      </c>
      <c r="CS119" s="6">
        <f>COUNTIFS(Table7[Country],Tabela1[[#This Row],[Country]],Table7[57kg Classification],"&gt;0")</f>
        <v>0</v>
      </c>
      <c r="CT119" s="6">
        <f>COUNTIFS(Table7[Country],Tabela1[[#This Row],[Country]],Table7[60kg Classification],"&gt;0")</f>
        <v>0</v>
      </c>
      <c r="CU119" s="6">
        <f>COUNTIFS(Table7[Country],Tabela1[[#This Row],[Country]],Table7[66kg Classification],"&gt;0")</f>
        <v>0</v>
      </c>
      <c r="CV119" s="6">
        <f>COUNTIFS(Table7[Country],Tabela1[[#This Row],[Country]],Table7[75kg Classification],"&gt;0")</f>
        <v>0</v>
      </c>
      <c r="CW119" s="6">
        <f>COUNTIFS(Tabela94[Country],Tabela1[[#This Row],[Country]],Tabela94[Classification],"&gt;0")</f>
        <v>0</v>
      </c>
      <c r="CX119" s="6">
        <f>COUNTIFS(Tabela9499[Country],Tabela1[[#This Row],[Country]],Tabela9499[Classification],"&gt;0")</f>
        <v>0</v>
      </c>
      <c r="CY119" s="6">
        <f>COUNTIFS(Tabela107[Country],Tabela1[[#This Row],[Country]],Tabela107[C1 Slalom Classification],"&gt;0")</f>
        <v>0</v>
      </c>
      <c r="CZ119" s="6">
        <f>COUNTIFS(Tabela107122[Country],Tabela1[[#This Row],[Country]],Tabela107122[C1 Slalom Classification],"&gt;0")</f>
        <v>0</v>
      </c>
      <c r="DA119" s="6">
        <f>COUNTIFS(Tabela107[Country],Tabela1[[#This Row],[Country]],Tabela107[K1 Slalom Classification],"&gt;0")</f>
        <v>0</v>
      </c>
      <c r="DB119" s="6">
        <f>COUNTIFS(Tabela107122[Country],Tabela1[[#This Row],[Country]],Tabela107122[K1 Slalom Classification],"&gt;0")</f>
        <v>0</v>
      </c>
      <c r="DC119" s="6">
        <f>COUNTIFS(Tabela107[Country],Tabela1[[#This Row],[Country]],Tabela107[Kayak Cross Slalom Classification],"&gt;0")</f>
        <v>0</v>
      </c>
      <c r="DD119" s="6">
        <f>COUNTIFS(Tabela107122[Country],Tabela1[[#This Row],[Country]],Tabela107122[Kayak Cross Slalom Classification],"&gt;0")</f>
        <v>0</v>
      </c>
      <c r="DE119" s="6">
        <f>COUNTIFS(Table8[Country],Tabela1[[#This Row],[Country]],Table8[C1 200m Classification],"&gt;0")</f>
        <v>0</v>
      </c>
      <c r="DF119" s="6">
        <f>COUNTIFS(Table40[Country],Tabela1[[#This Row],[Country]],Table40[C1 1000m Classification],"&gt;0")</f>
        <v>0</v>
      </c>
      <c r="DG119" s="6">
        <f>COUNTIFS(Table68[Country],Tabela1[[#This Row],[Country]],Table68[Men''s C2 500m Classification],"&gt;0")</f>
        <v>0</v>
      </c>
      <c r="DH119" s="6">
        <f>COUNTIFS(Table68[Country],Tabela1[[#This Row],[Country]],Table68[Women''s C2 500m Classification],"&gt;0")</f>
        <v>0</v>
      </c>
      <c r="DI119" s="6">
        <f>COUNTIFS(Table8[Country],Tabela1[[#This Row],[Country]],Table8[K1 500m Classification],"&gt;0")</f>
        <v>0</v>
      </c>
      <c r="DJ119" s="6">
        <f>COUNTIFS(Table40[Country],Tabela1[[#This Row],[Country]],Table40[K1 1000m Classification],"&gt;0")</f>
        <v>0</v>
      </c>
      <c r="DK119" s="6">
        <f>COUNTIFS(Table68[Country],Tabela1[[#This Row],[Country]],Table68[Men''s K2 500m Classification],"&gt;0")</f>
        <v>0</v>
      </c>
      <c r="DL119" s="6">
        <f>COUNTIFS(Table68[Country],Tabela1[[#This Row],[Country]],Table68[Women''s K2 500m Classification],"&gt;0")</f>
        <v>0</v>
      </c>
      <c r="DM119" s="6">
        <f>COUNTIFS(Table83[Country],Tabela1[[#This Row],[Country]],Table83[Men''s K4 500m Classification],"&gt;0")</f>
        <v>0</v>
      </c>
      <c r="DN119" s="6">
        <f>COUNTIFS(Table83[Country],Tabela1[[#This Row],[Country]],Table83[Women''s K4 500m Classification],"&gt;0")</f>
        <v>0</v>
      </c>
      <c r="DO119" s="6">
        <f>COUNTIFS(Tabela126[Country],Tabela1[[#This Row],[Country]],Tabela126[Classification],"&gt;0")</f>
        <v>0</v>
      </c>
      <c r="DP119" s="6">
        <f>COUNTIFS(Tabela126130[Country],Tabela1[[#This Row],[Country]],Tabela126130[Classification],"&gt;0")</f>
        <v>0</v>
      </c>
      <c r="DQ119" s="6">
        <f>COUNTIFS(Table70[Country],Tabela1[[#This Row],[Country]],Table70[Classification],"&gt;0")</f>
        <v>0</v>
      </c>
      <c r="DR119" s="6">
        <f>COUNTIFS(Table80[Country],Tabela1[[#This Row],[Country]],Table80[Classification],"&gt;0")</f>
        <v>0</v>
      </c>
      <c r="DS119" s="6">
        <f>COUNTIFS(Table66[Country],Tabela1[[#This Row],[Country]],Table66[Classification],"&gt;0")</f>
        <v>0</v>
      </c>
      <c r="DT119" s="6">
        <f>COUNTIFS(Table67[Country],Tabela1[[#This Row],[Country]],Table67[Classification],"&gt;0")</f>
        <v>0</v>
      </c>
      <c r="DU119" s="6">
        <f>COUNTIFS(Table69[Country],Tabela1[[#This Row],[Country]],Table69[Keirin Classification],"&gt;0")</f>
        <v>0</v>
      </c>
      <c r="DV119" s="6">
        <f>COUNTIFS(Table41[Country],Tabela1[[#This Row],[Country]],Table41[Keirin Classification],"&gt;0")</f>
        <v>0</v>
      </c>
      <c r="DW119" s="6">
        <f>COUNTIFS(Table84[Country],Tabela1[[#This Row],[Country]],Table84[Men''s Madison Classification],"&gt;0")</f>
        <v>0</v>
      </c>
      <c r="DX119" s="6">
        <f>COUNTIFS(Table84[Country],Tabela1[[#This Row],[Country]],Table84[Women''s Madison Classification],"&gt;0")</f>
        <v>0</v>
      </c>
      <c r="DY119" s="6">
        <f>COUNTIFS(Table69[Country],Tabela1[[#This Row],[Country]],Table69[Omnium Classification],"&gt;0")</f>
        <v>0</v>
      </c>
      <c r="DZ119" s="6">
        <f>COUNTIFS(Table41[Country],Tabela1[[#This Row],[Country]],Table41[Omnium Classification],"&gt;0")</f>
        <v>0</v>
      </c>
      <c r="EA119" s="6">
        <f>COUNTIFS(Table9[Country],Tabela1[[#This Row],[Country]],Table9[Road Race Classification],"&gt;0")</f>
        <v>0</v>
      </c>
      <c r="EB119" s="6">
        <f>COUNTIFS(Table14[Country],Tabela1[[#This Row],[Country]],Table14[Road Race Classification],"&gt;0")</f>
        <v>0</v>
      </c>
      <c r="EC119" s="6">
        <f>COUNTIFS(Table69[Country],Tabela1[[#This Row],[Country]],Table69[Sprint Classification],"&gt;0")</f>
        <v>0</v>
      </c>
      <c r="ED119" s="6">
        <f>COUNTIFS(Table41[Country],Tabela1[[#This Row],[Country]],Table41[Sprint Classification],"&gt;0")</f>
        <v>0</v>
      </c>
      <c r="EE119" s="6">
        <f>COUNTIFS(Table85[Country],Tabela1[[#This Row],[Country]],Table85[Men''s Sprint Classification],"&gt;0")</f>
        <v>0</v>
      </c>
      <c r="EF119" s="6">
        <f>COUNTIFS(Table85[Country],Tabela1[[#This Row],[Country]],Table85[Women''s Sprint Classification],"&gt;0")</f>
        <v>0</v>
      </c>
      <c r="EG119" s="6">
        <f>COUNTIFS(Table85[Country],Tabela1[[#This Row],[Country]],Table85[Men''s Pursuit Classification],"&gt;0")</f>
        <v>0</v>
      </c>
      <c r="EH119" s="6">
        <f>COUNTIFS(Table85[Country],Tabela1[[#This Row],[Country]],Table85[Women''s Pursuit Classification],"&gt;0")</f>
        <v>0</v>
      </c>
      <c r="EI119" s="6">
        <f>COUNTIFS(Table9[Country],Tabela1[[#This Row],[Country]],Table9[Time-Trial Classification],"&gt;0")</f>
        <v>0</v>
      </c>
      <c r="EJ119" s="6">
        <f>COUNTIFS(Table14[Country],Tabela1[[#This Row],[Country]],Table14[Time-Trial Classification],"&gt;0")</f>
        <v>0</v>
      </c>
      <c r="EK119" s="6">
        <f>COUNTIFS(Table42[Country],Tabela1[[#This Row],[Country]],Table42[Springboard Classification],"&gt;0")</f>
        <v>0</v>
      </c>
      <c r="EL119" s="6">
        <f>COUNTIFS(Table43[Country],Tabela1[[#This Row],[Country]],Table43[Springboard Classification],"&gt;0")</f>
        <v>0</v>
      </c>
      <c r="EM119" s="6">
        <f>COUNTIFS(Table42[Country],Tabela1[[#This Row],[Country]],Table42[Platform Classification],"&gt;0")</f>
        <v>0</v>
      </c>
      <c r="EN119" s="6">
        <f>COUNTIFS(Table43[Country],Tabela1[[#This Row],[Country]],Table43[Platform Classification],"&gt;0")</f>
        <v>0</v>
      </c>
      <c r="EO119" s="6">
        <f>COUNTIFS(Table86[Country],Tabela1[[#This Row],[Country]],Table86[Men''s Synchronized Springboard Classification],"&gt;0")</f>
        <v>0</v>
      </c>
      <c r="EP119" s="6">
        <f>COUNTIFS(Table86[Country],Tabela1[[#This Row],[Country]],Table86[Women''s Synchronized Springboard Classification],"&gt;0")</f>
        <v>0</v>
      </c>
      <c r="EQ119" s="6">
        <f>COUNTIFS(Table86[Country],Tabela1[[#This Row],[Country]],Table86[Men''s Synchronized Platform Classification],"&gt;0")</f>
        <v>0</v>
      </c>
      <c r="ER119" s="6">
        <f>COUNTIFS(Table86[Country],Tabela1[[#This Row],[Country]],Table86[Women''s Synchronized Platform Classification],"&gt;0")</f>
        <v>0</v>
      </c>
      <c r="ES119" s="6">
        <f>COUNTIFS(Table44[Country],Tabela1[[#This Row],[Country]],Table44[Dressage Classification],"&gt;0")</f>
        <v>0</v>
      </c>
      <c r="ET119" s="6">
        <f>COUNTIFS(Table45[Country],Tabela1[[#This Row],[Country]],Table45[Dressage Classification],"&gt;0")</f>
        <v>0</v>
      </c>
      <c r="EU119" s="6">
        <f>COUNTIFS(Table44[Country],Tabela1[[#This Row],[Country]],Table44[Eventing Classification],"&gt;0")</f>
        <v>0</v>
      </c>
      <c r="EV119" s="6">
        <f>COUNTIFS(Table45[Country],Tabela1[[#This Row],[Country]],Table45[Eventing Classification],"&gt;0")</f>
        <v>0</v>
      </c>
      <c r="EW119" s="6">
        <f>COUNTIFS(Table44[Country],Tabela1[[#This Row],[Country]],Table44[Jumping Classification],"&gt;0")</f>
        <v>0</v>
      </c>
      <c r="EX119" s="6">
        <f>COUNTIFS(Table45[Country],Tabela1[[#This Row],[Country]],Table45[Jumping Classification],"&gt;0")</f>
        <v>0</v>
      </c>
      <c r="EY119" s="6">
        <f>COUNTIFS(Table10[Country],Tabela1[[#This Row],[Country]],Table10[Épée Classification],"&gt;0")</f>
        <v>0</v>
      </c>
      <c r="EZ119" s="6">
        <f>COUNTIFS(Table11[Country],Tabela1[[#This Row],[Country]],Table11[Épée Classification],"&gt;0")</f>
        <v>0</v>
      </c>
      <c r="FA119" s="6">
        <f>COUNTIFS(Table46[Country],Tabela1[[#This Row],[Country]],Table46[Men''s Épée Classification],"&gt;0")</f>
        <v>0</v>
      </c>
      <c r="FB119" s="6">
        <f>COUNTIFS(Table46[Country],Tabela1[[#This Row],[Country]],Table46[Women''s Épée Classification],"&gt;0")</f>
        <v>0</v>
      </c>
      <c r="FC119" s="6">
        <f>COUNTIFS(Table10[Country],Tabela1[[#This Row],[Country]],Table10[Foil Classification],"&gt;0")</f>
        <v>0</v>
      </c>
      <c r="FD119" s="6">
        <f>COUNTIFS(Table11[Country],Tabela1[[#This Row],[Country]],Table11[Foil Classification],"&gt;0")</f>
        <v>0</v>
      </c>
      <c r="FE119" s="6">
        <f>COUNTIFS(Table46[Country],Tabela1[[#This Row],[Country]],Table46[Men''s Foil Classification],"&gt;0")</f>
        <v>0</v>
      </c>
      <c r="FF119" s="6">
        <f>COUNTIFS(Table46[Country],Tabela1[[#This Row],[Country]],Table46[Women''s Foil Classification],"&gt;0")</f>
        <v>0</v>
      </c>
      <c r="FG119" s="6">
        <f>COUNTIFS(Table10[Country],Tabela1[[#This Row],[Country]],Table10[Sabre Classification],"&gt;0")</f>
        <v>0</v>
      </c>
      <c r="FH119" s="6">
        <f>COUNTIFS(Table11[Country],Tabela1[[#This Row],[Country]],Table11[Sabre Classification],"&gt;0")</f>
        <v>0</v>
      </c>
      <c r="FI119" s="6">
        <f>COUNTIFS(Table46[Country],Tabela1[[#This Row],[Country]],Table46[Men''s Sabre Classification],"&gt;0")</f>
        <v>0</v>
      </c>
      <c r="FJ119" s="6">
        <f>COUNTIFS(Table46[Country],Tabela1[[#This Row],[Country]],Table46[Women''s Sabre Classification],"&gt;0")</f>
        <v>0</v>
      </c>
      <c r="FK119" s="6">
        <f>COUNTIFS(Table91[Country],Tabela1[[#This Row],[Country]],Table91[Men''s Classification],"&gt;0")</f>
        <v>0</v>
      </c>
      <c r="FL119" s="6">
        <f>COUNTIFS(Table91[Country],Tabela1[[#This Row],[Country]],Table91[Women''s Classification],"&gt;0")</f>
        <v>0</v>
      </c>
      <c r="FM119" s="6">
        <f>COUNTIFS(Table9194[Country],Tabela1[[#This Row],[Country]],Table9194[Men''s Classification],"&gt;0")</f>
        <v>0</v>
      </c>
      <c r="FN119" s="6">
        <f>COUNTIFS(Table9194[Country],Tabela1[[#This Row],[Country]],Table9194[Women''s Classification],"&gt;0")</f>
        <v>0</v>
      </c>
      <c r="FO119" s="6">
        <f>COUNTIFS(Table71[Country],Tabela1[[#This Row],[Country]],Table71[Classification],"&gt;0")</f>
        <v>0</v>
      </c>
      <c r="FP119" s="6">
        <f>COUNTIFS(Table62[Country],Tabela1[[#This Row],[Country]],Table62[Classification],"&gt;0")</f>
        <v>0</v>
      </c>
      <c r="FQ119" s="6">
        <f>COUNTIFS(Table47[Country],Tabela1[[#This Row],[Country]],Table47[All-Around Classification],"&gt;0")</f>
        <v>0</v>
      </c>
      <c r="FR119" s="6">
        <f>COUNTIFS(Table48[Country],Tabela1[[#This Row],[Country]],Table48[All-Around Classification],"&gt;0")</f>
        <v>0</v>
      </c>
      <c r="FS119" s="6">
        <f>COUNTIFS(Table81[Country],Tabela1[[#This Row],[Country]],Table81[Men''s All-Around Classification],"&gt;0")</f>
        <v>0</v>
      </c>
      <c r="FT119" s="6">
        <f>COUNTIFS(Table81[Country],Tabela1[[#This Row],[Country]],Table81[Women''s All-Around Classification],"&gt;0")</f>
        <v>0</v>
      </c>
      <c r="FU119" s="6">
        <f>COUNTIFS(Table48[Country],Tabela1[[#This Row],[Country]],Table48[Balance Beam Classification],"&gt;0")</f>
        <v>0</v>
      </c>
      <c r="FV119" s="6">
        <f>COUNTIFS(Table47[Country],Tabela1[[#This Row],[Country]],Table47[Floor Exercise Classification],"&gt;0")</f>
        <v>0</v>
      </c>
      <c r="FW119" s="6">
        <f>COUNTIFS(Table48[Country],Tabela1[[#This Row],[Country]],Table48[Floor Exercise Classification],"&gt;0")</f>
        <v>0</v>
      </c>
      <c r="FX119" s="6">
        <f>COUNTIFS(Table47[Country],Tabela1[[#This Row],[Country]],Table47[Horizontal Bar Classification],"&gt;0")</f>
        <v>0</v>
      </c>
      <c r="FY119" s="6">
        <f>COUNTIFS(Table47[Country],Tabela1[[#This Row],[Country]],Table47[Parallel Bars Classification],"&gt;0")</f>
        <v>0</v>
      </c>
      <c r="FZ119" s="6">
        <f>COUNTIFS(Table47[Country],Tabela1[[#This Row],[Country]],Table47[Pommel Horse Classification],"&gt;0")</f>
        <v>0</v>
      </c>
      <c r="GA119" s="6">
        <f>COUNTIFS(Table47[Country],Tabela1[[#This Row],[Country]],Table47[Rings Classification],"&gt;0")</f>
        <v>0</v>
      </c>
      <c r="GB119" s="6">
        <f>COUNTIFS(Tabela132[Country],Tabela1[[#This Row],[Country]],Tabela132[Classification],"&gt;0")</f>
        <v>0</v>
      </c>
      <c r="GC119" s="6">
        <f>COUNTIFS(Tabela139[Country],Tabela1[[#This Row],[Country]],Tabela139[Classification],"&gt;0")</f>
        <v>0</v>
      </c>
      <c r="GD119" s="6">
        <f>COUNTIFS(Table48[Country],Tabela1[[#This Row],[Country]],Table48[Uneven Bars Classification],"&gt;0")</f>
        <v>0</v>
      </c>
      <c r="GE119" s="6">
        <f>COUNTIFS(Table47[Country],Tabela1[[#This Row],[Country]],Table47[Vault Classification],"&gt;0")</f>
        <v>0</v>
      </c>
      <c r="GF119" s="6">
        <f>COUNTIFS(Table48[Country],Tabela1[[#This Row],[Country]],Table48[Vault Classification],"&gt;0")</f>
        <v>0</v>
      </c>
      <c r="GG119" s="6">
        <f>COUNTIFS(Table919496[Country],Tabela1[[#This Row],[Country]],Table919496[Men''s Classification],"&gt;0")</f>
        <v>0</v>
      </c>
      <c r="GH119" s="6">
        <f>COUNTIFS(Table919496[Country],Tabela1[[#This Row],[Country]],Table919496[Women''s Classification],"&gt;0")</f>
        <v>0</v>
      </c>
      <c r="GI119" s="6">
        <f>COUNTIFS(Table12[Country],Tabela1[[#This Row],[Country]],Table12[60kg Classification],"&gt;0")</f>
        <v>0</v>
      </c>
      <c r="GJ119" s="6">
        <f>COUNTIFS(Table12[Country],Tabela1[[#This Row],[Country]],Table12[66kg Classification],"&gt;0")</f>
        <v>0</v>
      </c>
      <c r="GK119" s="6">
        <f>COUNTIFS(Table12[Country],Tabela1[[#This Row],[Country]],Table12[73kg Classification],"&gt;0")</f>
        <v>0</v>
      </c>
      <c r="GL119" s="6">
        <f>COUNTIFS(Table12[Country],Tabela1[[#This Row],[Country]],Table12[81kg Classification],"&gt;0")</f>
        <v>0</v>
      </c>
      <c r="GM119" s="6">
        <f>COUNTIFS(Table12[Country],Tabela1[[#This Row],[Country]],Table12[90kg Classification],"&gt;0")</f>
        <v>0</v>
      </c>
      <c r="GN119" s="6">
        <f>COUNTIFS(Table12[Country],Tabela1[[#This Row],[Country]],Table12[100kg Classification],"&gt;0")</f>
        <v>0</v>
      </c>
      <c r="GO119" s="6">
        <f>COUNTIFS(Table12[Country],Tabela1[[#This Row],[Country]],Table12[Plus 100kg Classification],"&gt;0")</f>
        <v>0</v>
      </c>
      <c r="GP119" s="6">
        <f>COUNTIFS(Table13[Country],Tabela1[[#This Row],[Country]],Table13[48kg Classification],"&gt;0")</f>
        <v>0</v>
      </c>
      <c r="GQ119" s="6">
        <f>COUNTIFS(Table13[Country],Tabela1[[#This Row],[Country]],Table13[52kg Classification],"&gt;0")</f>
        <v>0</v>
      </c>
      <c r="GR119" s="6">
        <f>COUNTIFS(Table13[Country],Tabela1[[#This Row],[Country]],Table13[57kg Classification],"&gt;0")</f>
        <v>0</v>
      </c>
      <c r="GS119" s="6">
        <f>COUNTIFS(Table13[Country],Tabela1[[#This Row],[Country]],Table13[63kg Classification],"&gt;0")</f>
        <v>0</v>
      </c>
      <c r="GT119" s="6">
        <f>COUNTIFS(Table13[Country],Tabela1[[#This Row],[Country]],Table13[70kg Classification],"&gt;0")</f>
        <v>0</v>
      </c>
      <c r="GU119" s="6">
        <f>COUNTIFS(Table13[Country],Tabela1[[#This Row],[Country]],Table13[78kg Classification],"&gt;0")</f>
        <v>0</v>
      </c>
      <c r="GV119" s="6">
        <f>COUNTIFS(Table13[Country],Tabela1[[#This Row],[Country]],Table13[Plus 78kg Classification],"&gt;0")</f>
        <v>0</v>
      </c>
      <c r="GW119" s="6">
        <f>COUNTIFS(Table82[Country],Tabela1[[#This Row],[Country]],Table82[Mixed Classification],"&gt;0")</f>
        <v>0</v>
      </c>
      <c r="GX119" s="6">
        <f>COUNTIFS(Table51[Country],Tabela1[[#This Row],[Country]],Table51[Classification],"&gt;0")</f>
        <v>0</v>
      </c>
      <c r="GY119" s="6">
        <f>COUNTIFS(Table52[Country],Tabela1[[#This Row],[Country]],Table52[Classification],"&gt;0")</f>
        <v>0</v>
      </c>
      <c r="GZ119" s="6">
        <f>COUNTIFS(Table32[Country],Tabela1[[#This Row],[Country]],Table32[All-Around Classification],"&gt;0")</f>
        <v>0</v>
      </c>
      <c r="HA119" s="6">
        <f>COUNTIFS(Table49[Country],Tabela1[[#This Row],[Country]],Table49[All-Around Classification],"&gt;0")</f>
        <v>0</v>
      </c>
      <c r="HB119" s="6">
        <f>COUNTIFS(Table26[Country],Tabela1[[#This Row],[Country]],Table26[Single Sculls Classification],"&gt;0")</f>
        <v>0</v>
      </c>
      <c r="HC119" s="6">
        <f>COUNTIFS(Table63[Country],Tabela1[[#This Row],[Country]],Table63[Single Sculls Classification],"&gt;0")</f>
        <v>0</v>
      </c>
      <c r="HD119" s="6">
        <f>COUNTIFS(Table16[Country],Tabela1[[#This Row],[Country]],Table16[Men''s Double Sculls Classification],"&gt;0")</f>
        <v>0</v>
      </c>
      <c r="HE119" s="6">
        <f>COUNTIFS(Table16[Country],Tabela1[[#This Row],[Country]],Table16[Women''s Double Sculls Classification],"&gt;0")</f>
        <v>0</v>
      </c>
      <c r="HF119" s="6">
        <f>COUNTIFS(Table72[Country],Tabela1[[#This Row],[Country]],Table72[Men''s Quadruple Sculls Classification],"&gt;0")</f>
        <v>0</v>
      </c>
      <c r="HG119" s="6">
        <f>COUNTIFS(Table72[Country],Tabela1[[#This Row],[Country]],Table72[Women''s Quadruple Sculls Classification],"&gt;0")</f>
        <v>0</v>
      </c>
      <c r="HH119" s="6">
        <f>COUNTIFS(Table16[Country],Tabela1[[#This Row],[Country]],Table16[Men''s Coxless Pairs Classification],"&gt;0")</f>
        <v>0</v>
      </c>
      <c r="HI119" s="6">
        <f>COUNTIFS(Table16[Country],Tabela1[[#This Row],[Country]],Table16[Women''s Coxless Pairs Classification],"&gt;0")</f>
        <v>0</v>
      </c>
      <c r="HJ119" s="6">
        <f>COUNTIFS(Table72[Country],Tabela1[[#This Row],[Country]],Table72[Men''s Coxless Fours Classification],"&gt;0")</f>
        <v>0</v>
      </c>
      <c r="HK119" s="6">
        <f>COUNTIFS(Table72[Country],Tabela1[[#This Row],[Country]],Table72[Women''s Coxless Fours Classification],"&gt;0")</f>
        <v>0</v>
      </c>
      <c r="HL119" s="6">
        <f>COUNTIFS(Table72[Country],Tabela1[[#This Row],[Country]],Table72[Men''s Eights Classification],"&gt;0")</f>
        <v>0</v>
      </c>
      <c r="HM119" s="6">
        <f>COUNTIFS(Table72[Country],Tabela1[[#This Row],[Country]],Table72[Women''s Eights Classification],"&gt;0")</f>
        <v>0</v>
      </c>
      <c r="HN119" s="6">
        <f>COUNTIFS(Table16[Country],Tabela1[[#This Row],[Country]],Table16[Men''s Lwt. Double Sculls Classification],"&gt;0")</f>
        <v>0</v>
      </c>
      <c r="HO119" s="6">
        <f>COUNTIFS(Table16[Country],Tabela1[[#This Row],[Country]],Table16[Women''s Lwt. Double Sculls Classification],"&gt;0")</f>
        <v>0</v>
      </c>
      <c r="HP119" s="6">
        <f>COUNTIFS(Table91949698[Country],Tabela1[[#This Row],[Country]],Table91949698[Men''s Classification],"&gt;0")</f>
        <v>1</v>
      </c>
      <c r="HQ119" s="6">
        <f>COUNTIFS(Table91949698[Country],Tabela1[[#This Row],[Country]],Table91949698[Women''s Classification],"&gt;0")</f>
        <v>0</v>
      </c>
      <c r="HR119" s="6">
        <f>COUNTIFS(Table25[Country],Tabela1[[#This Row],[Country]],Table25[Mixed 470 Classification],"&gt;0")</f>
        <v>0</v>
      </c>
      <c r="HS119" s="6">
        <f>COUNTIFS(Table25[Country],Tabela1[[#This Row],[Country]],Table25[Men''s 49er Classification],"&gt;0")</f>
        <v>0</v>
      </c>
      <c r="HT119" s="6">
        <f>COUNTIFS(Table25[Country],Tabela1[[#This Row],[Country]],Table25[Women''s 49er FX Classification],"&gt;0")</f>
        <v>0</v>
      </c>
      <c r="HU119" s="6">
        <f>COUNTIFS(Table17[Country],Tabela1[[#This Row],[Country]],Table17[Formula Kite Classification],"&gt;0")</f>
        <v>0</v>
      </c>
      <c r="HV119" s="6">
        <f>COUNTIFS(Table18[Country],Tabela1[[#This Row],[Country]],Table18[Formula Kite Classification],"&gt;0")</f>
        <v>0</v>
      </c>
      <c r="HW119" s="6">
        <f>COUNTIFS(Table17[Country],Tabela1[[#This Row],[Country]],Table17[ILCA 7 Classification],"&gt;0")</f>
        <v>0</v>
      </c>
      <c r="HX119" s="6">
        <f>COUNTIFS(Table18[Country],Tabela1[[#This Row],[Country]],Table18[ILCA 6 Classification],"&gt;0")</f>
        <v>0</v>
      </c>
      <c r="HY119" s="6">
        <f>COUNTIFS(Table17[Country],Tabela1[[#This Row],[Country]],Table17[IQFoil Classification],"&gt;0")</f>
        <v>0</v>
      </c>
      <c r="HZ119" s="6">
        <f>COUNTIFS(Table18[Country],Tabela1[[#This Row],[Country]],Table18[IQFoil Classification],"&gt;0")</f>
        <v>0</v>
      </c>
      <c r="IA119" s="6">
        <f>COUNTIFS(Table25[Country],Tabela1[[#This Row],[Country]],Table25[Mixed Nacra 17 Classification],"&gt;0")</f>
        <v>0</v>
      </c>
      <c r="IB119" s="6">
        <f>COUNTIFS(Table53[Country],Tabela1[[#This Row],[Country]],Table53[10m Air Pistol Classification],"&gt;0")</f>
        <v>0</v>
      </c>
      <c r="IC119" s="6">
        <f>COUNTIFS(Table19[Country],Tabela1[[#This Row],[Country]],Table19[10m Air Pistol Classification],"&gt;0")</f>
        <v>0</v>
      </c>
      <c r="ID119" s="6">
        <f>COUNTIFS(Table54[Country],Tabela1[[#This Row],[Country]],Table54[Mixed 10m Air Pistol Team Classification],"&gt;0")</f>
        <v>0</v>
      </c>
      <c r="IE119" s="6">
        <f>COUNTIFS(Table53[Country],Tabela1[[#This Row],[Country]],Table53[10m Air Rifle Classification],"&gt;0")</f>
        <v>0</v>
      </c>
      <c r="IF119" s="6">
        <f>COUNTIFS(Table19[Country],Tabela1[[#This Row],[Country]],Table19[10m Air Rifle Classification],"&gt;0")</f>
        <v>0</v>
      </c>
      <c r="IG119" s="6">
        <f>COUNTIFS(Table54[Country],Tabela1[[#This Row],[Country]],Table54[Mixed 10m Air Rifle Team Classification],"&gt;0")</f>
        <v>0</v>
      </c>
      <c r="IH119" s="6">
        <f>COUNTIFS(Table53[Country],Tabela1[[#This Row],[Country]],Table53[25m Rapid Fire Pistol Classification],"&gt;0")</f>
        <v>0</v>
      </c>
      <c r="II119" s="6">
        <f>COUNTIFS(Table19[Country],Tabela1[[#This Row],[Country]],Table19[25m Pistol Classification],"&gt;0")</f>
        <v>0</v>
      </c>
      <c r="IJ119" s="6">
        <f>COUNTIFS(Table53[Country],Tabela1[[#This Row],[Country]],Table53[50m Rifle 3 Positions Classification],"&gt;0")</f>
        <v>0</v>
      </c>
      <c r="IK119" s="6">
        <f>COUNTIFS(Table19[Country],Tabela1[[#This Row],[Country]],Table19[50m Rifle 3 Positions Classification],"&gt;0")</f>
        <v>0</v>
      </c>
      <c r="IL119" s="6">
        <f>COUNTIFS(Table53[Country],Tabela1[[#This Row],[Country]],Table53[Skeet Classification],"&gt;0")</f>
        <v>0</v>
      </c>
      <c r="IM119" s="6">
        <f>COUNTIFS(Table19[Country],Tabela1[[#This Row],[Country]],Table19[Skeet Classification],"&gt;0")</f>
        <v>0</v>
      </c>
      <c r="IN119" s="6">
        <f>COUNTIFS(Table54[Country],Tabela1[[#This Row],[Country]],Table54[Mixed Skeet Team Classification],"&gt;0")</f>
        <v>0</v>
      </c>
      <c r="IO119" s="6">
        <f>COUNTIFS(Table53[Country],Tabela1[[#This Row],[Country]],Table53[Trap Classification],"&gt;0")</f>
        <v>0</v>
      </c>
      <c r="IP119" s="6">
        <f>COUNTIFS(Table19[Country],Tabela1[[#This Row],[Country]],Table19[Trap Classification],"&gt;0")</f>
        <v>0</v>
      </c>
      <c r="IQ119" s="6">
        <f>COUNTIFS(Table73[Country],Tabela1[[#This Row],[Country]],Table73[Park Classification],"&gt;0")</f>
        <v>0</v>
      </c>
      <c r="IR119" s="6">
        <f>COUNTIFS(Table74[Country],Tabela1[[#This Row],[Country]],Table74[Park Classification],"&gt;0")</f>
        <v>0</v>
      </c>
      <c r="IS119" s="6">
        <f>COUNTIFS(Table73[Country],Tabela1[[#This Row],[Country]],Table73[Street Classification],"&gt;0")</f>
        <v>0</v>
      </c>
      <c r="IT119" s="6">
        <f>COUNTIFS(Table74[Country],Tabela1[[#This Row],[Country]],Table74[Street Classification],"&gt;0")</f>
        <v>0</v>
      </c>
      <c r="IU119" s="6">
        <f>COUNTIFS(Table75[Country],Tabela1[[#This Row],[Country]],Table75[Boulder and Lead Classification],"&gt;0")</f>
        <v>0</v>
      </c>
      <c r="IV119" s="6">
        <f>COUNTIFS(Table76[Country],Tabela1[[#This Row],[Country]],Table76[Boulder and Lead Classification],"&gt;0")</f>
        <v>0</v>
      </c>
      <c r="IW119" s="6">
        <f>COUNTIFS(Table75[Country],Tabela1[[#This Row],[Country]],Table75[Speed Classification],"&gt;0")</f>
        <v>0</v>
      </c>
      <c r="IX119" s="6">
        <f>COUNTIFS(Table76[Country],Tabela1[[#This Row],[Country]],Table76[Speed Classification],"&gt;0")</f>
        <v>0</v>
      </c>
      <c r="IY119" s="6">
        <f>COUNTIFS(Table64[Country],Tabela1[[#This Row],[Country]],Table64[Shortboard Classification],"&gt;0")</f>
        <v>0</v>
      </c>
      <c r="IZ119" s="6">
        <f>COUNTIFS(Table77[Country],Tabela1[[#This Row],[Country]],Table77[Shortboard Classification],"&gt;0")</f>
        <v>0</v>
      </c>
      <c r="JA119" s="6">
        <f>COUNTIFS(Table20[Country],Tabela1[[#This Row],[Country]],Table20[50m Freestyle Classification],"&gt;0")</f>
        <v>0</v>
      </c>
      <c r="JB119" s="6">
        <f>COUNTIFS(Table21[Country],Tabela1[[#This Row],[Country]],Table21[50m Freestyle Classification],"&gt;0")</f>
        <v>0</v>
      </c>
      <c r="JC119" s="6">
        <f>COUNTIFS(Table20[Country],Tabela1[[#This Row],[Country]],Table20[100m Freestyle Classification],"&gt;0")</f>
        <v>0</v>
      </c>
      <c r="JD119" s="6">
        <f>COUNTIFS(Table21[Country],Tabela1[[#This Row],[Country]],Table21[100m Freestyle Classification],"&gt;0")</f>
        <v>0</v>
      </c>
      <c r="JE119" s="6">
        <f>COUNTIFS(Table20[Country],Tabela1[[#This Row],[Country]],Table20[200m Freestyle Classification],"&gt;0")</f>
        <v>0</v>
      </c>
      <c r="JF119" s="6">
        <f>COUNTIFS(Table21[Country],Tabela1[[#This Row],[Country]],Table21[200m Freestyle Classification],"&gt;0")</f>
        <v>0</v>
      </c>
      <c r="JG119" s="6">
        <f>COUNTIFS(Table20[Country],Tabela1[[#This Row],[Country]],Table20[400m Freestyle Classification],"&gt;0")</f>
        <v>0</v>
      </c>
      <c r="JH119" s="6">
        <f>COUNTIFS(Table21[Country],Tabela1[[#This Row],[Country]],Table21[400m Freestyle Classification],"&gt;0")</f>
        <v>0</v>
      </c>
      <c r="JI119" s="6">
        <f>COUNTIFS(Table20[Country],Tabela1[[#This Row],[Country]],Table20[800m Freestyle Classification],"&gt;0")</f>
        <v>0</v>
      </c>
      <c r="JJ119" s="6">
        <f>COUNTIFS(Table21[Country],Tabela1[[#This Row],[Country]],Table21[800m Freestyle Classification],"&gt;0")</f>
        <v>0</v>
      </c>
      <c r="JK119" s="6">
        <f>COUNTIFS(Table20[Country],Tabela1[[#This Row],[Country]],Table20[1500m Freestyle Classification],"&gt;0")</f>
        <v>0</v>
      </c>
      <c r="JL119" s="6">
        <f>COUNTIFS(Table21[Country],Tabela1[[#This Row],[Country]],Table21[1500m Freestyle Classification],"&gt;0")</f>
        <v>0</v>
      </c>
      <c r="JM119" s="6">
        <f>COUNTIFS(Table20[Country],Tabela1[[#This Row],[Country]],Table20[100m Backstroke Classification],"&gt;0")</f>
        <v>0</v>
      </c>
      <c r="JN119" s="6">
        <f>COUNTIFS(Table21[Country],Tabela1[[#This Row],[Country]],Table21[100m Backstroke Classification],"&gt;0")</f>
        <v>0</v>
      </c>
      <c r="JO119" s="6">
        <f>COUNTIFS(Table20[Country],Tabela1[[#This Row],[Country]],Table20[200m Backstroke Classification],"&gt;0")</f>
        <v>0</v>
      </c>
      <c r="JP119" s="6">
        <f>COUNTIFS(Table21[Country],Tabela1[[#This Row],[Country]],Table21[200m Backstroke Classification],"&gt;0")</f>
        <v>0</v>
      </c>
      <c r="JQ119" s="6">
        <f>COUNTIFS(Table20[Country],Tabela1[[#This Row],[Country]],Table20[100m Breaststroke Classification],"&gt;0")</f>
        <v>0</v>
      </c>
      <c r="JR119" s="6">
        <f>COUNTIFS(Table21[Country],Tabela1[[#This Row],[Country]],Table21[100m Breaststroke Classification],"&gt;0")</f>
        <v>0</v>
      </c>
      <c r="JS119" s="6">
        <f>COUNTIFS(Table20[Country],Tabela1[[#This Row],[Country]],Table20[200m Breaststroke Classification],"&gt;0")</f>
        <v>0</v>
      </c>
      <c r="JT119" s="6">
        <f>COUNTIFS(Table21[Country],Tabela1[[#This Row],[Country]],Table21[200m Breaststroke Classification],"&gt;0")</f>
        <v>0</v>
      </c>
      <c r="JU119" s="6">
        <f>COUNTIFS(Table20[Country],Tabela1[[#This Row],[Country]],Table20[100m Butterfly Classification],"&gt;0")</f>
        <v>0</v>
      </c>
      <c r="JV119" s="6">
        <f>COUNTIFS(Table21[Country],Tabela1[[#This Row],[Country]],Table21[100m Butterfly Classification],"&gt;0")</f>
        <v>0</v>
      </c>
      <c r="JW119" s="6">
        <f>COUNTIFS(Table20[Country],Tabela1[[#This Row],[Country]],Table20[200m Butterfly Classification],"&gt;0")</f>
        <v>0</v>
      </c>
      <c r="JX119" s="6">
        <f>COUNTIFS(Table21[Country],Tabela1[[#This Row],[Country]],Table21[200m Butterfly Classification],"&gt;0")</f>
        <v>0</v>
      </c>
      <c r="JY119" s="6">
        <f>COUNTIFS(Table20[Country],Tabela1[[#This Row],[Country]],Table20[200m Medley Classification],"&gt;0")</f>
        <v>0</v>
      </c>
      <c r="JZ119" s="6">
        <f>COUNTIFS(Table21[Country],Tabela1[[#This Row],[Country]],Table21[200m Medley Classification],"&gt;0")</f>
        <v>0</v>
      </c>
      <c r="KA119" s="6">
        <f>COUNTIFS(Table20[Country],Tabela1[[#This Row],[Country]],Table20[400m Medley Classification],"&gt;0")</f>
        <v>0</v>
      </c>
      <c r="KB119" s="6">
        <f>COUNTIFS(Table21[Country],Tabela1[[#This Row],[Country]],Table21[400m Medley Classification],"&gt;0")</f>
        <v>0</v>
      </c>
      <c r="KC119" s="6">
        <f>COUNTIFS(Table78[Country],Tabela1[[#This Row],[Country]],Table78[Men''s 4x100m Freestyle Relay Classification],"&gt;0")</f>
        <v>0</v>
      </c>
      <c r="KD119" s="6">
        <f>COUNTIFS(Table78[Country],Tabela1[[#This Row],[Country]],Table78[Women''s 4x100m Freestyle Relay Classification],"&gt;0")</f>
        <v>0</v>
      </c>
      <c r="KE119" s="6">
        <f>COUNTIFS(Table78[Country],Tabela1[[#This Row],[Country]],Table78[Men''s 4x200m Freestyle Relay Classification],"&gt;0")</f>
        <v>0</v>
      </c>
      <c r="KF119" s="6">
        <f>COUNTIFS(Table78[Country],Tabela1[[#This Row],[Country]],Table78[Women''s 4x200m Freestyle Relay Classification],"&gt;0")</f>
        <v>0</v>
      </c>
      <c r="KG119" s="6">
        <f>COUNTIFS(Table78[Country],Tabela1[[#This Row],[Country]],Table78[Men''s 4x100m Medley Relay Classification],"&gt;0")</f>
        <v>0</v>
      </c>
      <c r="KH119" s="6">
        <f>COUNTIFS(Table78[Country],Tabela1[[#This Row],[Country]],Table78[Women''s 4x100m Medley Relay Classification],"&gt;0")</f>
        <v>0</v>
      </c>
      <c r="KI119" s="6">
        <f>COUNTIFS(Table78[Country],Tabela1[[#This Row],[Country]],Table78[Mixed 4x100m Medley Relay Classification],"&gt;0")</f>
        <v>0</v>
      </c>
      <c r="KJ119" s="6">
        <f>COUNTIFS(Table20[Country],Tabela1[[#This Row],[Country]],Table20[10km Open Water Classification],"&gt;0")</f>
        <v>0</v>
      </c>
      <c r="KK119" s="6">
        <f>COUNTIFS(Table21[Country],Tabela1[[#This Row],[Country]],Table21[10km Open Water Classification],"&gt;0")</f>
        <v>0</v>
      </c>
      <c r="KL119" s="6">
        <f>COUNTIFS(Table22[Country],Tabela1[[#This Row],[Country]],Table22[Classification],"&gt;0")</f>
        <v>0</v>
      </c>
      <c r="KM119" s="6">
        <f>COUNTIFS(Table30[Country],Tabela1[[#This Row],[Country]],Table30[Classification],"&gt;0")</f>
        <v>0</v>
      </c>
      <c r="KN119" s="6">
        <f>COUNTIFS(Table55[Country],Tabela1[[#This Row],[Country]],Table55[Men''s Classification],"&gt;0")</f>
        <v>0</v>
      </c>
      <c r="KO119" s="6">
        <f>COUNTIFS(Table55[Country],Tabela1[[#This Row],[Country]],Table55[Women''s Classification],"&gt;0")</f>
        <v>0</v>
      </c>
      <c r="KP119" s="6">
        <f>COUNTIFS(Table56[Country],Tabela1[[#This Row],[Country]],Table56[Mixed Classification],"&gt;0")</f>
        <v>0</v>
      </c>
      <c r="KQ119" s="6">
        <f>COUNTIFS(Table29[Country],Tabela1[[#This Row],[Country]],Table29[58kg Classification],"&gt;0")</f>
        <v>0</v>
      </c>
      <c r="KR119" s="6">
        <f>COUNTIFS(Table29[Country],Tabela1[[#This Row],[Country]],Table29[68kg Classification],"&gt;0")</f>
        <v>0</v>
      </c>
      <c r="KS119" s="6">
        <f>COUNTIFS(Table29[Country],Tabela1[[#This Row],[Country]],Table29[80kg Classification],"&gt;0")</f>
        <v>0</v>
      </c>
      <c r="KT119" s="6">
        <f>COUNTIFS(Table29[Country],Tabela1[[#This Row],[Country]],Table29[Plus 80kg Classification],"&gt;0")</f>
        <v>0</v>
      </c>
      <c r="KU119" s="6">
        <f>COUNTIFS(Table34[Country],Tabela1[[#This Row],[Country]],Table34[49kg Classification],"&gt;0")</f>
        <v>0</v>
      </c>
      <c r="KV119" s="6">
        <f>COUNTIFS(Table34[Country],Tabela1[[#This Row],[Country]],Table34[57kg Classification],"&gt;0")</f>
        <v>0</v>
      </c>
      <c r="KW119" s="6">
        <f>COUNTIFS(Table34[Country],Tabela1[[#This Row],[Country]],Table34[67kg Classification],"&gt;0")</f>
        <v>0</v>
      </c>
      <c r="KX119" s="6">
        <f>COUNTIFS(Table34[Country],Tabela1[[#This Row],[Country]],Table34[Plus 67kg Classification],"&gt;0")</f>
        <v>0</v>
      </c>
      <c r="KY119" s="6">
        <f>COUNTIFS(Table57[Country],Tabela1[[#This Row],[Country]],Table57[Classification],"&gt;0")</f>
        <v>0</v>
      </c>
      <c r="KZ119" s="6">
        <f>COUNTIFS(Table58[Country],Tabela1[[#This Row],[Country]],Table58[Classification],"&gt;0")</f>
        <v>0</v>
      </c>
      <c r="LA119" s="6">
        <f>COUNTIFS(Table79[Country],Tabela1[[#This Row],[Country]],Table79[Men''s Classification],"&gt;0")</f>
        <v>0</v>
      </c>
      <c r="LB119" s="6">
        <f>COUNTIFS(Table79[Country],Tabela1[[#This Row],[Country]],Table79[Women''s Classification],"&gt;0")</f>
        <v>0</v>
      </c>
      <c r="LC119" s="6">
        <f>COUNTIFS(Table79[Country],Tabela1[[#This Row],[Country]],Table79[Mixed Classification],"&gt;0")</f>
        <v>0</v>
      </c>
      <c r="LD119" s="6">
        <f>COUNTIFS(Table65[Country],Tabela1[[#This Row],[Country]],Table65[Classification],"&gt;0")</f>
        <v>0</v>
      </c>
      <c r="LE119" s="6">
        <f>COUNTIFS(Table59[Country],Tabela1[[#This Row],[Country]],Table59[Classification],"&gt;0")</f>
        <v>0</v>
      </c>
      <c r="LF119" s="6">
        <f>COUNTIFS(Table87[Country],Tabela1[[#This Row],[Country]],Table87[Mixed Relay Classification],"&gt;0")</f>
        <v>0</v>
      </c>
      <c r="LG119" s="6">
        <f>COUNTIFS(Table91949698100[Country],Tabela1[[#This Row],[Country]],Table91949698100[Men''s Classification],"&gt;0")</f>
        <v>0</v>
      </c>
      <c r="LH119" s="6">
        <f>COUNTIFS(Table91949698100[Country],Tabela1[[#This Row],[Country]],Table91949698100[Women''s Classification],"&gt;0")</f>
        <v>0</v>
      </c>
      <c r="LI119" s="6">
        <f>COUNTIFS(Table91949698100102[Country],Tabela1[[#This Row],[Country]],Table91949698100102[Men''s Classification],"&gt;0")</f>
        <v>0</v>
      </c>
      <c r="LJ119" s="6">
        <f>COUNTIFS(Table91949698100102[Country],Tabela1[[#This Row],[Country]],Table91949698100102[Women''s Classification],"&gt;0")</f>
        <v>0</v>
      </c>
      <c r="LK119" s="6">
        <f>COUNTIFS(Table23[Country],Tabela1[[#This Row],[Country]],Table23[61kg Classification],"&gt;0")</f>
        <v>0</v>
      </c>
      <c r="LL119" s="6">
        <f>COUNTIFS(Table23[Country],Tabela1[[#This Row],[Country]],Table23[73kg Classification],"&gt;0")</f>
        <v>0</v>
      </c>
      <c r="LM119" s="6">
        <f>COUNTIFS(Table23[Country],Tabela1[[#This Row],[Country]],Table23[89kg Classification],"&gt;0")</f>
        <v>0</v>
      </c>
      <c r="LN119" s="6">
        <f>COUNTIFS(Table23[Country],Tabela1[[#This Row],[Country]],Table23[102kg Classification],"&gt;0")</f>
        <v>0</v>
      </c>
      <c r="LO119" s="6">
        <f>COUNTIFS(Table23[Country],Tabela1[[#This Row],[Country]],Table23[Plus 102kg Classification],"&gt;0")</f>
        <v>0</v>
      </c>
      <c r="LP119" s="6">
        <f>COUNTIFS(Table28[Country],Tabela1[[#This Row],[Country]],Table28[49kg Classification],"&gt;0")</f>
        <v>0</v>
      </c>
      <c r="LQ119" s="6">
        <f>COUNTIFS(Table28[Country],Tabela1[[#This Row],[Country]],Table28[59kg Classification],"&gt;0")</f>
        <v>0</v>
      </c>
      <c r="LR119" s="6">
        <f>COUNTIFS(Table28[Country],Tabela1[[#This Row],[Country]],Table28[71kg Classification],"&gt;0")</f>
        <v>0</v>
      </c>
      <c r="LS119" s="6">
        <f>COUNTIFS(Table28[Country],Tabela1[[#This Row],[Country]],Table28[81kg Classification],"&gt;0")</f>
        <v>0</v>
      </c>
      <c r="LT119" s="6">
        <f>COUNTIFS(Table28[Country],Tabela1[[#This Row],[Country]],Table28[Plus 81kg Classification],"&gt;0")</f>
        <v>0</v>
      </c>
      <c r="LU119" s="6">
        <f>COUNTIFS(Table24[Country],Tabela1[[#This Row],[Country]],Table24[Freestyle 57kg Classification],"&gt;0")</f>
        <v>0</v>
      </c>
      <c r="LV119" s="6">
        <f>COUNTIFS(Table24[Country],Tabela1[[#This Row],[Country]],Table24[Freestyle 65kg Classification],"&gt;0")</f>
        <v>0</v>
      </c>
      <c r="LW119" s="6">
        <f>COUNTIFS(Table24[Country],Tabela1[[#This Row],[Country]],Table24[Freestyle 74kg Classification],"&gt;0")</f>
        <v>0</v>
      </c>
      <c r="LX119" s="6">
        <f>COUNTIFS(Table24[Country],Tabela1[[#This Row],[Country]],Table24[Freestyle 86kg Classification],"&gt;0")</f>
        <v>0</v>
      </c>
      <c r="LY119" s="6">
        <f>COUNTIFS(Table24[Country],Tabela1[[#This Row],[Country]],Table24[Freestyle 97kg Classification],"&gt;0")</f>
        <v>0</v>
      </c>
      <c r="LZ119" s="6">
        <f>COUNTIFS(Table24[Country],Tabela1[[#This Row],[Country]],Table24[Freestyle 125kg Classification],"&gt;0")</f>
        <v>0</v>
      </c>
      <c r="MA119" s="6">
        <f>COUNTIFS(Table24[Country],Tabela1[[#This Row],[Country]],Table24[Greco-Roman 60kg Classification],"&gt;0")</f>
        <v>0</v>
      </c>
      <c r="MB119" s="6">
        <f>COUNTIFS(Table24[Country],Tabela1[[#This Row],[Country]],Table24[Greco-Roman 67kg Classification],"&gt;0")</f>
        <v>0</v>
      </c>
      <c r="MC119" s="6">
        <f>COUNTIFS(Table24[Country],Tabela1[[#This Row],[Country]],Table24[Greco-Roman 77kg Classification],"&gt;0")</f>
        <v>0</v>
      </c>
      <c r="MD119" s="6">
        <f>COUNTIFS(Table24[Country],Tabela1[[#This Row],[Country]],Table24[Greco-Roman 87kg Classification],"&gt;0")</f>
        <v>0</v>
      </c>
      <c r="ME119" s="6">
        <f>COUNTIFS(Table24[Country],Tabela1[[#This Row],[Country]],Table24[Greco-Roman 97kg Classification],"&gt;0")</f>
        <v>0</v>
      </c>
      <c r="MF119" s="6">
        <f>COUNTIFS(Table24[Country],Tabela1[[#This Row],[Country]],Table24[Greco-Roman 130kg Classification],"&gt;0")</f>
        <v>0</v>
      </c>
      <c r="MG119" s="6">
        <f>COUNTIFS(Table31[Country],Tabela1[[#This Row],[Country]],Table31[50kg Classification],"&gt;0")</f>
        <v>0</v>
      </c>
      <c r="MH119" s="6">
        <f>COUNTIFS(Table31[Country],Tabela1[[#This Row],[Country]],Table31[53kg Classification],"&gt;0")</f>
        <v>0</v>
      </c>
      <c r="MI119" s="6">
        <f>COUNTIFS(Table31[Country],Tabela1[[#This Row],[Country]],Table31[57kg Classification],"&gt;0")</f>
        <v>0</v>
      </c>
      <c r="MJ119" s="6">
        <f>COUNTIFS(Table31[Country],Tabela1[[#This Row],[Country]],Table31[62kg Classification],"&gt;0")</f>
        <v>0</v>
      </c>
      <c r="MK119" s="6">
        <f>COUNTIFS(Table31[Country],Tabela1[[#This Row],[Country]],Table31[68kg Classification],"&gt;0")</f>
        <v>0</v>
      </c>
      <c r="ML119" s="6">
        <f>COUNTIFS(Table31[Country],Tabela1[[#This Row],[Country]],Table31[76kg Classification],"&gt;0")</f>
        <v>0</v>
      </c>
      <c r="MM119" s="6">
        <f>COUNTIFS(Table102[Country],Tabela1[[#This Row],[Country]],Table102[Downhill Classification],"&gt;0")</f>
        <v>0</v>
      </c>
      <c r="MN119" s="6">
        <f>COUNTIFS(Table102105[Country],Tabela1[[#This Row],[Country]],Table102105[Downhill Classification],"&gt;0")</f>
        <v>0</v>
      </c>
      <c r="MO119" s="6">
        <f>COUNTIFS(Table102[Country],Tabela1[[#This Row],[Country]],Table102[Giant Slalom Classification],"&gt;0")</f>
        <v>0</v>
      </c>
      <c r="MP119" s="6">
        <f>COUNTIFS(Table102105[Country],Tabela1[[#This Row],[Country]],Table102105[Giant Slalom Classification],"&gt;0")</f>
        <v>0</v>
      </c>
      <c r="MQ119" s="6">
        <f>COUNTIFS(Table102[Country],Tabela1[[#This Row],[Country]],Table102[Slalom Classification],"&gt;0")</f>
        <v>0</v>
      </c>
      <c r="MR119" s="6">
        <f>COUNTIFS(Table102105[Country],Tabela1[[#This Row],[Country]],Table102105[Slalom Classification],"&gt;0")</f>
        <v>0</v>
      </c>
      <c r="MS119" s="6">
        <f>COUNTIFS(Table102[Country],Tabela1[[#This Row],[Country]],Table102[Super-G Classification],"&gt;0")</f>
        <v>0</v>
      </c>
      <c r="MT119" s="6">
        <f>COUNTIFS(Table102105[Country],Tabela1[[#This Row],[Country]],Table102105[Super-G Classification],"&gt;0")</f>
        <v>0</v>
      </c>
      <c r="MU119" s="6">
        <f>COUNTIFS(Table105[Country],Tabela1[[#This Row],[Country]],Table105[Men''s Combined Classification],"&gt;0")</f>
        <v>0</v>
      </c>
      <c r="MV119" s="6">
        <f>COUNTIFS(Table105[Country],Tabela1[[#This Row],[Country]],Table105[Women''s Combined Classification],"&gt;0")</f>
        <v>0</v>
      </c>
      <c r="MW119" s="6">
        <f>COUNTIFS(Table106[Country],Tabela1[[#This Row],[Country]],Table106[Individual Classification],"&gt;0")</f>
        <v>0</v>
      </c>
      <c r="MX119" s="6">
        <f>COUNTIFS(Table106109[Country],Tabela1[[#This Row],[Country]],Table106109[Individual Classification],"&gt;0")</f>
        <v>0</v>
      </c>
      <c r="MY119" s="6">
        <f>COUNTIFS(Table106[Country],Tabela1[[#This Row],[Country]],Table106[Mass Start Classification],"&gt;0")</f>
        <v>0</v>
      </c>
      <c r="MZ119" s="6">
        <f>COUNTIFS(Table106109[Country],Tabela1[[#This Row],[Country]],Table106109[Mass Start Classification],"&gt;0")</f>
        <v>0</v>
      </c>
      <c r="NA119" s="6">
        <f>COUNTIFS(Table106[Country],Tabela1[[#This Row],[Country]],Table106[Pursuit Classification],"&gt;0")</f>
        <v>0</v>
      </c>
      <c r="NB119" s="6">
        <f>COUNTIFS(Table106109[Country],Tabela1[[#This Row],[Country]],Table106109[Pursuit Classification],"&gt;0")</f>
        <v>0</v>
      </c>
      <c r="NC119" s="6">
        <f>COUNTIFS(Table106[Country],Tabela1[[#This Row],[Country]],Table106[Sprint Classification],"&gt;0")</f>
        <v>0</v>
      </c>
      <c r="ND119" s="6">
        <f>COUNTIFS(Table106109[Country],Tabela1[[#This Row],[Country]],Table106109[Sprint Classification],"&gt;0")</f>
        <v>0</v>
      </c>
      <c r="NE119" s="6">
        <f>COUNTIFS(Table109[Country],Tabela1[[#This Row],[Country]],Table109[Men''s Relay Classification],"&gt;0")</f>
        <v>0</v>
      </c>
      <c r="NF119" s="6">
        <f>COUNTIFS(Table109[Country],Tabela1[[#This Row],[Country]],Table109[Women''s Relay Classification],"&gt;0")</f>
        <v>0</v>
      </c>
      <c r="NG119" s="6">
        <f>COUNTIFS(Table109[Country],Tabela1[[#This Row],[Country]],Table109[Mixed Relay Classification],"&gt;0")</f>
        <v>0</v>
      </c>
      <c r="NH119" s="6">
        <f>COUNTIFS(Table110[Country],Tabela1[[#This Row],[Country]],Table110[Monobob Classification],"&gt;0")</f>
        <v>0</v>
      </c>
      <c r="NI119" s="6">
        <f>COUNTIFS(Table111[Country],Tabela1[[#This Row],[Country]],Table111[Men''s Classification],"&gt;0")</f>
        <v>0</v>
      </c>
      <c r="NJ119" s="6">
        <f>COUNTIFS(Table111[Country],Tabela1[[#This Row],[Country]],Table111[Women''s Classification],"&gt;0")</f>
        <v>0</v>
      </c>
      <c r="NK119" s="6">
        <f>COUNTIFS(Table112[Country],Tabela1[[#This Row],[Country]],Table112[Men''s Four Classification],"&gt;0")</f>
        <v>0</v>
      </c>
      <c r="NL119" s="6">
        <f>COUNTIFS(Table113[Country],Tabela1[[#This Row],[Country]],Table113[Classical Classification],"&gt;0")</f>
        <v>0</v>
      </c>
      <c r="NM119" s="6">
        <f>COUNTIFS(Table113116[Country],Tabela1[[#This Row],[Country]],Table113116[Classical Classification],"&gt;0")</f>
        <v>0</v>
      </c>
      <c r="NN119" s="6">
        <f>COUNTIFS(Table113[Country],Tabela1[[#This Row],[Country]],Table113[Freestyle Classification],"&gt;0")</f>
        <v>0</v>
      </c>
      <c r="NO119" s="6">
        <f>COUNTIFS(Table113116[Country],Tabela1[[#This Row],[Country]],Table113116[Freestyle Classification],"&gt;0")</f>
        <v>0</v>
      </c>
      <c r="NP119" s="6">
        <f>COUNTIFS(Table117[Country],Tabela1[[#This Row],[Country]],Table117[Men''s Relay Classification],"&gt;0")</f>
        <v>0</v>
      </c>
      <c r="NQ119" s="6">
        <f>COUNTIFS(Table117[Country],Tabela1[[#This Row],[Country]],Table117[Women''s Relay Classification],"&gt;0")</f>
        <v>0</v>
      </c>
      <c r="NR119" s="6">
        <f>COUNTIFS(Table113[Country],Tabela1[[#This Row],[Country]],Table113[Skiathlon Classification],"&gt;0")</f>
        <v>0</v>
      </c>
      <c r="NS119" s="6">
        <f>COUNTIFS(Table113116[Country],Tabela1[[#This Row],[Country]],Table113116[Skiathlon Classification],"&gt;0")</f>
        <v>0</v>
      </c>
      <c r="NT119" s="6">
        <f>COUNTIFS(Table113[Country],Tabela1[[#This Row],[Country]],Table113[Sprint Classification],"&gt;0")</f>
        <v>0</v>
      </c>
      <c r="NU119" s="6">
        <f>COUNTIFS(Table113116[Country],Tabela1[[#This Row],[Country]],Table113116[Sprint Classification],"&gt;0")</f>
        <v>0</v>
      </c>
      <c r="NV119" s="6">
        <f>COUNTIFS(Table116[Country],Tabela1[[#This Row],[Country]],Table116[Men''s Team Sprint Classification],"&gt;0")</f>
        <v>0</v>
      </c>
      <c r="NW119" s="6">
        <f>COUNTIFS(Table116[Country],Tabela1[[#This Row],[Country]],Table116[Women''s Team Sprint Classification],"&gt;0")</f>
        <v>0</v>
      </c>
      <c r="NX119" s="6">
        <f>COUNTIFS(Table119[Country],Tabela1[[#This Row],[Country]],Table119[Men''s Classification],"&gt;0")</f>
        <v>0</v>
      </c>
      <c r="NY119" s="6">
        <f>COUNTIFS(Table119[Country],Tabela1[[#This Row],[Country]],Table119[Women''s Classification],"&gt;0")</f>
        <v>0</v>
      </c>
      <c r="NZ119" s="6">
        <f>COUNTIFS(Table118[Country],Tabela1[[#This Row],[Country]],Table118[Mixed Classification],"&gt;0")</f>
        <v>0</v>
      </c>
      <c r="OA119" s="6">
        <f>COUNTIFS(Table120[Country],Tabela1[[#This Row],[Country]],Table120[Classification],"&gt;0")</f>
        <v>0</v>
      </c>
      <c r="OB119" s="6">
        <f>COUNTIFS(Table120123[Country],Tabela1[[#This Row],[Country]],Table120123[Classification],"&gt;0")</f>
        <v>0</v>
      </c>
      <c r="OC119" s="6">
        <f>COUNTIFS(Table123[Country],Tabela1[[#This Row],[Country]],Table123[Ice Dance Classification],"&gt;0")</f>
        <v>0</v>
      </c>
      <c r="OD119" s="6">
        <f>COUNTIFS(Table123[Country],Tabela1[[#This Row],[Country]],Table123[Pair Skating Classification],"&gt;0")</f>
        <v>0</v>
      </c>
      <c r="OE119" s="6">
        <f>COUNTIFS(Table124[Country],Tabela1[[#This Row],[Country]],Table124[Mixed Classification],"&gt;0")</f>
        <v>0</v>
      </c>
      <c r="OF119" s="6">
        <f>COUNTIFS(Table125[Country],Tabela1[[#This Row],[Country]],Table125[Aerials Classification],"&gt;0")</f>
        <v>0</v>
      </c>
      <c r="OG119" s="6">
        <f>COUNTIFS(Table125128[Country],Tabela1[[#This Row],[Country]],Table125128[Aerials Classification],"&gt;0")</f>
        <v>0</v>
      </c>
      <c r="OH119" s="6">
        <f>COUNTIFS(Table128[Country],Tabela1[[#This Row],[Country]],Table128[Mixed Aerials Classification],"&gt;0")</f>
        <v>0</v>
      </c>
      <c r="OI119" s="6">
        <f>COUNTIFS(Table125[Country],Tabela1[[#This Row],[Country]],Table125[Big Air Classification],"&gt;0")</f>
        <v>0</v>
      </c>
      <c r="OJ119" s="6">
        <f>COUNTIFS(Table125128[Country],Tabela1[[#This Row],[Country]],Table125128[Big Air Classification],"&gt;0")</f>
        <v>0</v>
      </c>
      <c r="OK119" s="6">
        <f>COUNTIFS(Table125[Country],Tabela1[[#This Row],[Country]],Table125[Dual Moguls Classification],"&gt;0")</f>
        <v>0</v>
      </c>
      <c r="OL119" s="6">
        <f>COUNTIFS(Table125128[Country],Tabela1[[#This Row],[Country]],Table125128[Dual Moguls Classification],"&gt;0")</f>
        <v>0</v>
      </c>
      <c r="OM119" s="6">
        <f>COUNTIFS(Table125[Country],Tabela1[[#This Row],[Country]],Table125[Halfpipe Classification],"&gt;0")</f>
        <v>0</v>
      </c>
      <c r="ON119" s="6">
        <f>COUNTIFS(Table125128[Country],Tabela1[[#This Row],[Country]],Table125128[Halfpipe Classification],"&gt;0")</f>
        <v>0</v>
      </c>
      <c r="OO119" s="6">
        <f>COUNTIFS(Table125[Country],Tabela1[[#This Row],[Country]],Table125[Moguls Classification],"&gt;0")</f>
        <v>0</v>
      </c>
      <c r="OP119" s="6">
        <f>COUNTIFS(Table125128[Country],Tabela1[[#This Row],[Country]],Table125128[Moguls Classification],"&gt;0")</f>
        <v>0</v>
      </c>
      <c r="OQ119" s="6">
        <f>COUNTIFS(Table125[Country],Tabela1[[#This Row],[Country]],Table125[Ski Cross Classification],"&gt;0")</f>
        <v>0</v>
      </c>
      <c r="OR119" s="6">
        <f>COUNTIFS(Table125128[Country],Tabela1[[#This Row],[Country]],Table125128[Ski Cross Classification],"&gt;0")</f>
        <v>0</v>
      </c>
      <c r="OS119" s="6">
        <f>COUNTIFS(Table125[Country],Tabela1[[#This Row],[Country]],Table125[Slopestyle Classification],"&gt;0")</f>
        <v>0</v>
      </c>
      <c r="OT119" s="6">
        <f>COUNTIFS(Table125128[Country],Tabela1[[#This Row],[Country]],Table125128[Slopestyle Classification],"&gt;0")</f>
        <v>0</v>
      </c>
      <c r="OU119" s="6">
        <f>COUNTIFS(Table119131[Country],Tabela1[[#This Row],[Country]],Table119131[Men''s Classification],"&gt;0")</f>
        <v>0</v>
      </c>
      <c r="OV119" s="6">
        <f>COUNTIFS(Table119131[Country],Tabela1[[#This Row],[Country]],Table119131[Women''s Classification],"&gt;0")</f>
        <v>0</v>
      </c>
      <c r="OW119" s="6">
        <f>COUNTIFS(Table131[Country],Tabela1[[#This Row],[Country]],Table131[Classification],"&gt;0")</f>
        <v>0</v>
      </c>
      <c r="OX119" s="6">
        <f>COUNTIFS(Table131134[Country],Tabela1[[#This Row],[Country]],Table131134[Classification],"&gt;0")</f>
        <v>0</v>
      </c>
      <c r="OY119" s="6">
        <f>COUNTIFS(Table134[Country],Tabela1[[#This Row],[Country]],Table134[Men''s Classification],"&gt;0")</f>
        <v>0</v>
      </c>
      <c r="OZ119" s="6">
        <f>COUNTIFS(Table134[Country],Tabela1[[#This Row],[Country]],Table134[Women''s Classification],"&gt;0")</f>
        <v>0</v>
      </c>
      <c r="PA119" s="6">
        <f>COUNTIFS(Table135[Country],Tabela1[[#This Row],[Country]],Table135[Mixed Relay Classification],"&gt;0")</f>
        <v>0</v>
      </c>
      <c r="PB119" s="6">
        <f>COUNTIFS(Table136[Country],Tabela1[[#This Row],[Country]],Table136[Individual Classification],"&gt;0")</f>
        <v>0</v>
      </c>
      <c r="PC119" s="6">
        <f>COUNTIFS(Table136[Country],Tabela1[[#This Row],[Country]],Table136[Sprint Classification],"&gt;0")</f>
        <v>0</v>
      </c>
      <c r="PD119" s="6">
        <f>COUNTIFS(Table137[Country],Tabela1[[#This Row],[Country]],Table137[Men''s Team Sprint Large Hill Classification],"&gt;0")</f>
        <v>0</v>
      </c>
      <c r="PE119" s="6">
        <f>COUNTIFS(Table138[Country],Tabela1[[#This Row],[Country]],Table138[500m Classification],"&gt;0")</f>
        <v>0</v>
      </c>
      <c r="PF119" s="6">
        <f>COUNTIFS(Table138141[Country],Tabela1[[#This Row],[Country]],Table138141[500m Classification],"&gt;0")</f>
        <v>0</v>
      </c>
      <c r="PG119" s="6">
        <f>COUNTIFS(Table138[Country],Tabela1[[#This Row],[Country]],Table138[1000m Classification],"&gt;0")</f>
        <v>0</v>
      </c>
      <c r="PH119" s="6">
        <f>COUNTIFS(Table138141[Country],Tabela1[[#This Row],[Country]],Table138141[1000m Classification],"&gt;0")</f>
        <v>0</v>
      </c>
      <c r="PI119" s="6">
        <f>COUNTIFS(Table138[Country],Tabela1[[#This Row],[Country]],Table138[1500m Classification],"&gt;0")</f>
        <v>0</v>
      </c>
      <c r="PJ119" s="6">
        <f>COUNTIFS(Table138141[Country],Tabela1[[#This Row],[Country]],Table138141[1500m Classification],"&gt;0")</f>
        <v>0</v>
      </c>
      <c r="PK119" s="6">
        <f>COUNTIFS(Table141[Country],Tabela1[[#This Row],[Country]],Table141[Men''s 5000m Relay Classification],"&gt;0")</f>
        <v>0</v>
      </c>
      <c r="PL119" s="6">
        <f>COUNTIFS(Table141[Country],Tabela1[[#This Row],[Country]],Table141[Women''s 3000m Relay Classification],"&gt;0")</f>
        <v>0</v>
      </c>
      <c r="PM119" s="6">
        <f>COUNTIFS(Table141[Country],Tabela1[[#This Row],[Country]],Table141[Mixed 2000m Relay Classification],"&gt;0")</f>
        <v>0</v>
      </c>
      <c r="PN119" s="6">
        <f>COUNTIFS(Table142[Country],Tabela1[[#This Row],[Country]],Table142[Classification],"&gt;0")</f>
        <v>0</v>
      </c>
      <c r="PO119" s="6">
        <f>COUNTIFS(Table142145[Country],Tabela1[[#This Row],[Country]],Table142145[Classification],"&gt;0")</f>
        <v>0</v>
      </c>
      <c r="PP119" s="6">
        <f>COUNTIFS(Tabela15[Country],Tabela1[[#This Row],[Country]],Tabela15[Mixed Team Classification],"&gt;0")</f>
        <v>0</v>
      </c>
      <c r="PQ119" s="6">
        <f>COUNTIFS(Table145[Country],Tabela1[[#This Row],[Country]],Table145[Large Hill Classification],"&gt;0")</f>
        <v>0</v>
      </c>
      <c r="PR119" s="6">
        <f>COUNTIFS(Table145[Country],Tabela1[[#This Row],[Country]],Table145[Normal Hill Classification],"&gt;0")</f>
        <v>0</v>
      </c>
      <c r="PS119" s="6">
        <f>COUNTIFS(Table145148[Country],Tabela1[[#This Row],[Country]],Table145148[Large Hill Classification],"&gt;0")</f>
        <v>0</v>
      </c>
      <c r="PT119" s="6">
        <f>COUNTIFS(Table145148[Country],Tabela1[[#This Row],[Country]],Table145148[Normal Hill Classification],"&gt;0")</f>
        <v>0</v>
      </c>
      <c r="PU119" s="6">
        <f>COUNTIFS(Table148[Country],Tabela1[[#This Row],[Country]],Table148[Men''s Super Team Classification],"&gt;0")</f>
        <v>0</v>
      </c>
      <c r="PV119" s="6">
        <f>COUNTIFS(Tabela114[Country],Tabela1[[#This Row],[Country]],Tabela114[Mixed Normal Hill Classification],"&gt;0")</f>
        <v>0</v>
      </c>
      <c r="PW119" s="6">
        <f>COUNTIFS(Tabela50[Country],Tabela1[[#This Row],[Country]],Tabela50[Sprint Classification],"&gt;0")</f>
        <v>0</v>
      </c>
      <c r="PX119" s="6">
        <f>COUNTIFS(Tabela50101[Country],Tabela1[[#This Row],[Country]],Tabela50101[Sprint Classification],"&gt;0")</f>
        <v>0</v>
      </c>
      <c r="PY119" s="6">
        <f>COUNTIFS(Tabela103[Country],Tabela1[[#This Row],[Country]],Tabela103[Mixed Relay Classification],"&gt;0")</f>
        <v>0</v>
      </c>
      <c r="PZ119" s="6">
        <f>COUNTIFS(Table149[Country],Tabela1[[#This Row],[Country]],Table149[Big Air Classification],"&gt;0")</f>
        <v>0</v>
      </c>
      <c r="QA119" s="6">
        <f>COUNTIFS(Table149152[Country],Tabela1[[#This Row],[Country]],Table149152[Big Air Classification],"&gt;0")</f>
        <v>0</v>
      </c>
      <c r="QB119" s="6">
        <f>COUNTIFS(Table149[Country],Tabela1[[#This Row],[Country]],Table149[Halfpipe Classification],"&gt;0")</f>
        <v>0</v>
      </c>
      <c r="QC119" s="6">
        <f>COUNTIFS(Table149152[Country],Tabela1[[#This Row],[Country]],Table149152[Halfpipe Classification],"&gt;0")</f>
        <v>0</v>
      </c>
      <c r="QD119" s="6">
        <f>COUNTIFS(Table149[Country],Tabela1[[#This Row],[Country]],Table149[Parallel Giant Slalom Classification],"&gt;0")</f>
        <v>0</v>
      </c>
      <c r="QE119" s="6">
        <f>COUNTIFS(Table149152[Country],Tabela1[[#This Row],[Country]],Table149152[Parallel Giant Slalom Classification],"&gt;0")</f>
        <v>0</v>
      </c>
      <c r="QF119" s="6">
        <f>COUNTIFS(Table149[Country],Tabela1[[#This Row],[Country]],Table149[Slopestyle Classification],"&gt;0")</f>
        <v>0</v>
      </c>
      <c r="QG119" s="6">
        <f>COUNTIFS(Table149152[Country],Tabela1[[#This Row],[Country]],Table149152[Slopestyle Classification],"&gt;0")</f>
        <v>0</v>
      </c>
      <c r="QH119" s="6">
        <f>COUNTIFS(Table149[Country],Tabela1[[#This Row],[Country]],Table149[Snowboard Cross Classification],"&gt;0")</f>
        <v>0</v>
      </c>
      <c r="QI119" s="6">
        <f>COUNTIFS(Table149152[Country],Tabela1[[#This Row],[Country]],Table149152[Snowboard Cross Classification],"&gt;0")</f>
        <v>0</v>
      </c>
      <c r="QJ119" s="6">
        <f>COUNTIFS(Table153[Country],Tabela1[[#This Row],[Country]],Table153[Mixed Team Snowboard Cross Classification],"&gt;0")</f>
        <v>0</v>
      </c>
      <c r="QK119" s="6">
        <f>COUNTIFS(Table154[Country],Tabela1[[#This Row],[Country]],Table154[500m Classification],"&gt;0")</f>
        <v>0</v>
      </c>
      <c r="QL119" s="6">
        <f>COUNTIFS(Table154157[Country],Tabela1[[#This Row],[Country]],Table154157[500m Classification],"&gt;0")</f>
        <v>0</v>
      </c>
      <c r="QM119" s="6">
        <f>COUNTIFS(Table154[Country],Tabela1[[#This Row],[Country]],Table154[1000m Classification],"&gt;0")</f>
        <v>0</v>
      </c>
      <c r="QN119" s="6">
        <f>COUNTIFS(Table154157[Country],Tabela1[[#This Row],[Country]],Table154157[1000m Classification],"&gt;0")</f>
        <v>0</v>
      </c>
      <c r="QO119" s="6">
        <f>COUNTIFS(Table154[Country],Tabela1[[#This Row],[Country]],Table154[1500m Classification],"&gt;0")</f>
        <v>0</v>
      </c>
      <c r="QP119" s="6">
        <f>COUNTIFS(Table154157[Country],Tabela1[[#This Row],[Country]],Table154157[1500m Classification],"&gt;0")</f>
        <v>0</v>
      </c>
      <c r="QQ119" s="6">
        <f>COUNTIFS(Table154157[Country],Tabela1[[#This Row],[Country]],Table154157[3000m Classification],"&gt;0")</f>
        <v>0</v>
      </c>
      <c r="QR119" s="6">
        <f>COUNTIFS(Table154[Country],Tabela1[[#This Row],[Country]],Table154[5000m Classification],"&gt;0")</f>
        <v>0</v>
      </c>
      <c r="QS119" s="6">
        <f>COUNTIFS(Table154157[Country],Tabela1[[#This Row],[Country]],Table154157[5000m Classification],"&gt;0")</f>
        <v>0</v>
      </c>
      <c r="QT119" s="6">
        <f>COUNTIFS(Table154[Country],Tabela1[[#This Row],[Country]],Table154[10000m Classification],"&gt;0")</f>
        <v>0</v>
      </c>
      <c r="QU119" s="6">
        <f>COUNTIFS(Table154[Country],Tabela1[[#This Row],[Country]],Table154[Mass Start Classification],"&gt;0")</f>
        <v>0</v>
      </c>
      <c r="QV119" s="6">
        <f>COUNTIFS(Table154157[Country],Tabela1[[#This Row],[Country]],Table154157[Mass Start Classification],"&gt;0")</f>
        <v>0</v>
      </c>
      <c r="QW119" s="6">
        <f>COUNTIFS(Table157[Country],Tabela1[[#This Row],[Country]],Table157[Men''s Pursuit Classification],"&gt;0")</f>
        <v>0</v>
      </c>
      <c r="QX119" s="6">
        <f>COUNTIFS(Table157[Country],Tabela1[[#This Row],[Country]],Table157[Women''s Pursuit Classification],"&gt;0")</f>
        <v>0</v>
      </c>
      <c r="QY119" s="4" t="s">
        <v>683</v>
      </c>
    </row>
    <row r="120" spans="1:467" x14ac:dyDescent="0.3">
      <c r="A120" s="6">
        <v>119</v>
      </c>
      <c r="B120" s="6" t="s">
        <v>730</v>
      </c>
      <c r="C120" t="e" vm="119">
        <f>IF(ISBLANK(Tabela1[[#This Row],[Image Link]]), "", _xlfn.IMAGE(Tabela1[[#This Row],[Image Link]],1,1))</f>
        <v>#VALUE!</v>
      </c>
      <c r="D120" s="6">
        <f>SUM(Tabela1[[#This Row],[Archery - Men''s Individual Recurve]:[Speed Skating - Women''s Team Pursuit]])</f>
        <v>2</v>
      </c>
      <c r="E120" s="6">
        <f>COUNTIF(Tabela1[[#This Row],[Archery - Men''s Individual Recurve]:[Speed Skating - Women''s Team Pursuit]],"&gt;0")</f>
        <v>2</v>
      </c>
      <c r="F120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20" s="6">
        <f>SUM(Tabela1[[#This Row],[Archery - Men''s Individual Recurve]:[Wrestling - Women''s Freestyle 76kg]])</f>
        <v>2</v>
      </c>
      <c r="H120" s="6">
        <f>SUM(Tabela1[[#This Row],[Alpine Skiing - Men''s Downhill]:[Speed Skating - Women''s Team Pursuit]])</f>
        <v>0</v>
      </c>
      <c r="I120" s="6">
        <f>Tabela1[[#This Row],[Summer Gold Medals]]+Tabela1[[#This Row],[Winter Gold Medals]]</f>
        <v>0</v>
      </c>
      <c r="J120" s="6">
        <f>Tabela1[[#This Row],[Summer Silver Medals]]+Tabela1[[#This Row],[Winter Silver Medals]]</f>
        <v>0</v>
      </c>
      <c r="K120" s="6">
        <f>Tabela1[[#This Row],[Summer Bronze Medals]]+Tabela1[[#This Row],[Winter Bronze Medals]]</f>
        <v>0</v>
      </c>
      <c r="L120" s="6">
        <f>SUM(Tabela1[[#This Row],[Total Gold Medals]:[Total Bronze Medals]])</f>
        <v>0</v>
      </c>
      <c r="M120" s="6"/>
      <c r="N120" s="6"/>
      <c r="O120" s="6"/>
      <c r="P120" s="6">
        <f>SUM(Tabela1[[#This Row],[Summer Gold Medals]:[Summer Bronze Medals]])</f>
        <v>0</v>
      </c>
      <c r="Q120" s="6"/>
      <c r="R120" s="6"/>
      <c r="S120" s="6"/>
      <c r="T120" s="6">
        <f>Tabela1[[#This Row],[Winter Gold Medals]]+Tabela1[[#This Row],[Winter Silver Medals]]+Tabela1[[#This Row],[Winter Bronze Medals]]</f>
        <v>0</v>
      </c>
      <c r="U120" s="7">
        <f>Tabela1[[#This Row],[Total Medals]]/Tabela1[[#This Row],[Total Quotas]]</f>
        <v>0</v>
      </c>
      <c r="V120" s="6">
        <f>COUNTIFS(Table3[Country],Tabela1[[#This Row],[Country]],Table3[Recurve Classification],"&gt;0")</f>
        <v>0</v>
      </c>
      <c r="W120" s="6">
        <f>COUNTIFS(Table33[Country],Tabela1[[#This Row],[Country]],Table33[Recurve Classification],"&gt;0")</f>
        <v>0</v>
      </c>
      <c r="X120" s="6">
        <f>COUNTIFS(Table35[Country],Tabela1[[#This Row],[Country]],Table35[Men''s Team Recurve Classification],"&gt;0")</f>
        <v>0</v>
      </c>
      <c r="Y120" s="6">
        <f>COUNTIFS(Table35[Country],Tabela1[[#This Row],[Country]],Table35[Women''s Team Recurve Classification],"&gt;0")</f>
        <v>0</v>
      </c>
      <c r="Z120" s="6">
        <f>COUNTIFS(Tabela88[Country],Tabela1[[#This Row],[Country]],Tabela88[Mixed Team Recurve Classification],"&gt;0")</f>
        <v>0</v>
      </c>
      <c r="AA120" s="6">
        <f>COUNTIFS(Table36[Country],Tabela1[[#This Row],[Country]],Table36[Classification],"&gt;0")</f>
        <v>0</v>
      </c>
      <c r="AB120" s="6">
        <f>COUNTIFS(Table37[Country],Tabela1[[#This Row],[Country]],Table37[Classification],"&gt;0")</f>
        <v>0</v>
      </c>
      <c r="AC120" s="6">
        <f>COUNTIFS(Table4[Country],Tabela1[[#This Row],[Country]],Table4[100m Classification],"&gt;0")</f>
        <v>0</v>
      </c>
      <c r="AD120" s="6">
        <f>COUNTIFS(Table5[Country],Tabela1[[#This Row],[Country]],Table5[100m Classification],"&gt;0")</f>
        <v>0</v>
      </c>
      <c r="AE120" s="6">
        <f>COUNTIFS(Table4[Country],Tabela1[[#This Row],[Country]],Table4[200m Classification],"&gt;0")</f>
        <v>0</v>
      </c>
      <c r="AF120" s="6">
        <f>COUNTIFS(Table5[Country],Tabela1[[#This Row],[Country]],Table5[200m Classification],"&gt;0")</f>
        <v>0</v>
      </c>
      <c r="AG120" s="6">
        <f>COUNTIFS(Table4[Country],Tabela1[[#This Row],[Country]],Table4[400m Classification],"&gt;0")</f>
        <v>0</v>
      </c>
      <c r="AH120" s="6">
        <f>COUNTIFS(Table5[Country],Tabela1[[#This Row],[Country]],Table5[400m Classification],"&gt;0")</f>
        <v>0</v>
      </c>
      <c r="AI120" s="6">
        <f>COUNTIFS(Table4[Country],Tabela1[[#This Row],[Country]],Table4[800m Classification],"&gt;0")</f>
        <v>0</v>
      </c>
      <c r="AJ120" s="6">
        <f>COUNTIFS(Table5[Country],Tabela1[[#This Row],[Country]],Table5[800m Classification],"&gt;0")</f>
        <v>0</v>
      </c>
      <c r="AK120" s="6">
        <f>COUNTIFS(Table4[Country],Tabela1[[#This Row],[Country]],Table4[1500m Classification],"&gt;0")</f>
        <v>0</v>
      </c>
      <c r="AL120" s="6">
        <f>COUNTIFS(Table5[Country],Tabela1[[#This Row],[Country]],Table5[1500m Classification],"&gt;0")</f>
        <v>0</v>
      </c>
      <c r="AM120" s="6">
        <f>COUNTIFS(Table4[Country],Tabela1[[#This Row],[Country]],Table4[5000m Classification],"&gt;0")</f>
        <v>0</v>
      </c>
      <c r="AN120" s="6">
        <f>COUNTIFS(Table5[Country],Tabela1[[#This Row],[Country]],Table5[5000m Classification],"&gt;0")</f>
        <v>0</v>
      </c>
      <c r="AO120" s="6">
        <f>COUNTIFS(Table4[Country],Tabela1[[#This Row],[Country]],Table4[10000m Classification],"&gt;0")</f>
        <v>0</v>
      </c>
      <c r="AP120" s="6">
        <f>COUNTIFS(Table5[Country],Tabela1[[#This Row],[Country]],Table5[10000m Classification],"&gt;0")</f>
        <v>0</v>
      </c>
      <c r="AQ120" s="6">
        <f>COUNTIFS(Table4[Country],Tabela1[[#This Row],[Country]],Table4[110m Hurdles Classification],"&gt;0")</f>
        <v>0</v>
      </c>
      <c r="AR120" s="6">
        <f>COUNTIFS(Table5[Country],Tabela1[[#This Row],[Country]],Table5[100m Hurdles Classification],"&gt;0")</f>
        <v>0</v>
      </c>
      <c r="AS120" s="6">
        <f>COUNTIFS(Table4[Country],Tabela1[[#This Row],[Country]],Table4[400m Hurdles Classification],"&gt;0")</f>
        <v>0</v>
      </c>
      <c r="AT120" s="6">
        <f>COUNTIFS(Table5[Country],Tabela1[[#This Row],[Country]],Table5[400m Hurdles Classification],"&gt;0")</f>
        <v>0</v>
      </c>
      <c r="AU120" s="6">
        <f>COUNTIFS(Table4[Country],Tabela1[[#This Row],[Country]],Table4[3000m Steeplechase Classification],"&gt;0")</f>
        <v>0</v>
      </c>
      <c r="AV120" s="6">
        <f>COUNTIFS(Table5[Country],Tabela1[[#This Row],[Country]],Table5[3000m Steeplechase Classification],"&gt;0")</f>
        <v>0</v>
      </c>
      <c r="AW120" s="6">
        <f>COUNTIFS(Table27[Country],Tabela1[[#This Row],[Country]],Table27[Men''s 4x100m Relay Classification],"&gt;0")</f>
        <v>0</v>
      </c>
      <c r="AX120" s="6">
        <f>COUNTIFS(Table27[Country],Tabela1[[#This Row],[Country]],Table27[Women''s 4x100m Relay Classification],"&gt;0")</f>
        <v>0</v>
      </c>
      <c r="AY120" s="6">
        <f>COUNTIFS(Table27[Country],Tabela1[[#This Row],[Country]],Table27[Men''s 4x400m Relay Classification],"&gt;0")</f>
        <v>0</v>
      </c>
      <c r="AZ120" s="6">
        <f>COUNTIFS(Table27[Country],Tabela1[[#This Row],[Country]],Table27[Women''s 4x400m Relay Classification],"&gt;0")</f>
        <v>0</v>
      </c>
      <c r="BA120" s="6">
        <f>COUNTIFS(Table27[Country],Tabela1[[#This Row],[Country]],Table27[Mixed 4x400m Relay Classification],"&gt;0")</f>
        <v>0</v>
      </c>
      <c r="BB120" s="6">
        <f>COUNTIFS(Table4[Country],Tabela1[[#This Row],[Country]],Table4[Marathon Classification],"&gt;0")</f>
        <v>0</v>
      </c>
      <c r="BC120" s="6">
        <f>COUNTIFS(Table5[Country],Tabela1[[#This Row],[Country]],Table5[Marathon Classification],"&gt;0")</f>
        <v>0</v>
      </c>
      <c r="BD120" s="6">
        <f>COUNTIFS(Table4[Country],Tabela1[[#This Row],[Country]],Table4[20km Race Walk Classification],"&gt;0")</f>
        <v>0</v>
      </c>
      <c r="BE120" s="6">
        <f>COUNTIFS(Table5[Country],Tabela1[[#This Row],[Country]],Table5[20km Race Walk Classification],"&gt;0")</f>
        <v>0</v>
      </c>
      <c r="BF120" s="6">
        <f>COUNTIFS(Tabela96[Country],Tabela1[[#This Row],[Country]],Tabela96[Mixed Marathon Race Walk Relay Classification],"&gt;0")</f>
        <v>0</v>
      </c>
      <c r="BG120" s="6">
        <f>COUNTIFS(Table4[Country],Tabela1[[#This Row],[Country]],Table4[Discus Throw Classification],"&gt;0")</f>
        <v>0</v>
      </c>
      <c r="BH120" s="6">
        <f>COUNTIFS(Table5[Country],Tabela1[[#This Row],[Country]],Table5[Discus Throw Classification],"&gt;0")</f>
        <v>0</v>
      </c>
      <c r="BI120" s="6">
        <f>COUNTIFS(Table4[Country],Tabela1[[#This Row],[Country]],Table4[Hammer Throw Classification],"&gt;0")</f>
        <v>0</v>
      </c>
      <c r="BJ120" s="6">
        <f>COUNTIFS(Table5[Country],Tabela1[[#This Row],[Country]],Table5[Hammer Throw Classification],"&gt;0")</f>
        <v>0</v>
      </c>
      <c r="BK120" s="6">
        <f>COUNTIFS(Table4[Country],Tabela1[[#This Row],[Country]],Table4[High Jump Classification],"&gt;0")</f>
        <v>0</v>
      </c>
      <c r="BL120" s="6">
        <f>COUNTIFS(Table5[Country],Tabela1[[#This Row],[Country]],Table5[High Jump Classification],"&gt;0")</f>
        <v>0</v>
      </c>
      <c r="BM120" s="6">
        <f>COUNTIFS(Table4[Country],Tabela1[[#This Row],[Country]],Table4[Javelin Throw Classification],"&gt;0")</f>
        <v>0</v>
      </c>
      <c r="BN120" s="6">
        <f>COUNTIFS(Table5[Country],Tabela1[[#This Row],[Country]],Table5[Javelin Throw Classification],"&gt;0")</f>
        <v>0</v>
      </c>
      <c r="BO120" s="6">
        <f>COUNTIFS(Table4[Country],Tabela1[[#This Row],[Country]],Table4[Long Jump Classification],"&gt;0")</f>
        <v>0</v>
      </c>
      <c r="BP120" s="6">
        <f>COUNTIFS(Table5[Country],Tabela1[[#This Row],[Country]],Table5[Long Jump Classification],"&gt;0")</f>
        <v>0</v>
      </c>
      <c r="BQ120" s="6">
        <f>COUNTIFS(Table4[Country],Tabela1[[#This Row],[Country]],Table4[Pole Vault Classification],"&gt;0")</f>
        <v>0</v>
      </c>
      <c r="BR120" s="6">
        <f>COUNTIFS(Table5[Country],Tabela1[[#This Row],[Country]],Table5[Pole Vault Classification],"&gt;0")</f>
        <v>0</v>
      </c>
      <c r="BS120" s="6">
        <f>COUNTIFS(Table4[Country],Tabela1[[#This Row],[Country]],Table4[Shot Put Classification],"&gt;0")</f>
        <v>0</v>
      </c>
      <c r="BT120" s="6">
        <f>COUNTIFS(Table5[Country],Tabela1[[#This Row],[Country]],Table5[Shot Put Classification],"&gt;0")</f>
        <v>0</v>
      </c>
      <c r="BU120" s="6">
        <f>COUNTIFS(Table4[Country],Tabela1[[#This Row],[Country]],Table4[Triple Jump Classification],"&gt;0")</f>
        <v>0</v>
      </c>
      <c r="BV120" s="6">
        <f>COUNTIFS(Table5[Country],Tabela1[[#This Row],[Country]],Table5[Triple Jump Classification],"&gt;0")</f>
        <v>0</v>
      </c>
      <c r="BW120" s="6">
        <f>COUNTIFS(Table4[Country],Tabela1[[#This Row],[Country]],Table4[Decathlon Classification],"&gt;0")</f>
        <v>0</v>
      </c>
      <c r="BX120" s="6">
        <f>COUNTIFS(Table5[Country],Tabela1[[#This Row],[Country]],Table5[Heptathlon Classification],"&gt;0")</f>
        <v>0</v>
      </c>
      <c r="BY120" s="6">
        <f>COUNTIFS(Table61[Country],Tabela1[[#This Row],[Country]],Table61[Classification],"&gt;0")</f>
        <v>1</v>
      </c>
      <c r="BZ120" s="6">
        <f>COUNTIFS(Table38[Country],Tabela1[[#This Row],[Country]],Table38[Classification],"&gt;0")</f>
        <v>0</v>
      </c>
      <c r="CA120" s="6">
        <f>COUNTIFS(Table39[Country],Tabela1[[#This Row],[Country]],Table39[Men''s Classification],"&gt;0")</f>
        <v>0</v>
      </c>
      <c r="CB120" s="6">
        <f>COUNTIFS(Table39[Country],Tabela1[[#This Row],[Country]],Table39[Women''s Classification],"&gt;0")</f>
        <v>0</v>
      </c>
      <c r="CC120" s="6">
        <f>COUNTIFS(Table39[Country],Tabela1[[#This Row],[Country]],Table39[Mixed Classification],"&gt;0")</f>
        <v>0</v>
      </c>
      <c r="CD120" s="6">
        <f>COUNTIFS(Table89[Country],Tabela1[[#This Row],[Country]],Table89[Men''s Classification],"&gt;0")</f>
        <v>0</v>
      </c>
      <c r="CE120" s="6">
        <f>COUNTIFS(Table89[Country],Tabela1[[#This Row],[Country]],Table89[Women''s Classification],"&gt;0")</f>
        <v>0</v>
      </c>
      <c r="CF120" s="6">
        <f>COUNTIFS(Table90[Country],Tabela1[[#This Row],[Country]],Table90[Men''s Classification],"&gt;0")</f>
        <v>0</v>
      </c>
      <c r="CG120" s="6">
        <f>COUNTIFS(Table90[Country],Tabela1[[#This Row],[Country]],Table90[Women''s Classification],"&gt;0")</f>
        <v>0</v>
      </c>
      <c r="CH120" s="6">
        <f>COUNTIFS(Table60[Country],Tabela1[[#This Row],[Country]],Table60[Men''s Classification],"&gt;0")</f>
        <v>0</v>
      </c>
      <c r="CI120" s="6">
        <f>COUNTIFS(Table60[Country],Tabela1[[#This Row],[Country]],Table60[Women''s Classification],"&gt;0")</f>
        <v>0</v>
      </c>
      <c r="CJ120" s="6">
        <f>COUNTIFS(Table6[Country],Tabela1[[#This Row],[Country]],Table6[51kg Classification],"&gt;0")</f>
        <v>0</v>
      </c>
      <c r="CK120" s="6">
        <f>COUNTIFS(Table6[Country],Tabela1[[#This Row],[Country]],Table6[57kg Classification],"&gt;0")</f>
        <v>0</v>
      </c>
      <c r="CL120" s="6">
        <f>COUNTIFS(Table6[Country],Tabela1[[#This Row],[Country]],Table6[63.5kg Classification],"&gt;0")</f>
        <v>0</v>
      </c>
      <c r="CM120" s="6">
        <f>COUNTIFS(Table6[Country],Tabela1[[#This Row],[Country]],Table6[71kg Classification],"&gt;0")</f>
        <v>0</v>
      </c>
      <c r="CN120" s="6">
        <f>COUNTIFS(Table6[Country],Tabela1[[#This Row],[Country]],Table6[80kg Classification],"&gt;0")</f>
        <v>0</v>
      </c>
      <c r="CO120" s="6">
        <f>COUNTIFS(Table6[Country],Tabela1[[#This Row],[Country]],Table6[92kg Classification],"&gt;0")</f>
        <v>0</v>
      </c>
      <c r="CP120" s="6">
        <f>COUNTIFS(Table6[Country],Tabela1[[#This Row],[Country]],Table6[Plus 92kg Classification],"&gt;0")</f>
        <v>0</v>
      </c>
      <c r="CQ120" s="6">
        <f>COUNTIFS(Table7[Country],Tabela1[[#This Row],[Country]],Table7[50kg Classification],"&gt;0")</f>
        <v>0</v>
      </c>
      <c r="CR120" s="6">
        <f>COUNTIFS(Table7[Country],Tabela1[[#This Row],[Country]],Table7[54kg Classification],"&gt;0")</f>
        <v>0</v>
      </c>
      <c r="CS120" s="6">
        <f>COUNTIFS(Table7[Country],Tabela1[[#This Row],[Country]],Table7[57kg Classification],"&gt;0")</f>
        <v>0</v>
      </c>
      <c r="CT120" s="6">
        <f>COUNTIFS(Table7[Country],Tabela1[[#This Row],[Country]],Table7[60kg Classification],"&gt;0")</f>
        <v>0</v>
      </c>
      <c r="CU120" s="6">
        <f>COUNTIFS(Table7[Country],Tabela1[[#This Row],[Country]],Table7[66kg Classification],"&gt;0")</f>
        <v>0</v>
      </c>
      <c r="CV120" s="6">
        <f>COUNTIFS(Table7[Country],Tabela1[[#This Row],[Country]],Table7[75kg Classification],"&gt;0")</f>
        <v>0</v>
      </c>
      <c r="CW120" s="6">
        <f>COUNTIFS(Tabela94[Country],Tabela1[[#This Row],[Country]],Tabela94[Classification],"&gt;0")</f>
        <v>0</v>
      </c>
      <c r="CX120" s="6">
        <f>COUNTIFS(Tabela9499[Country],Tabela1[[#This Row],[Country]],Tabela9499[Classification],"&gt;0")</f>
        <v>0</v>
      </c>
      <c r="CY120" s="6">
        <f>COUNTIFS(Tabela107[Country],Tabela1[[#This Row],[Country]],Tabela107[C1 Slalom Classification],"&gt;0")</f>
        <v>0</v>
      </c>
      <c r="CZ120" s="6">
        <f>COUNTIFS(Tabela107122[Country],Tabela1[[#This Row],[Country]],Tabela107122[C1 Slalom Classification],"&gt;0")</f>
        <v>0</v>
      </c>
      <c r="DA120" s="6">
        <f>COUNTIFS(Tabela107[Country],Tabela1[[#This Row],[Country]],Tabela107[K1 Slalom Classification],"&gt;0")</f>
        <v>0</v>
      </c>
      <c r="DB120" s="6">
        <f>COUNTIFS(Tabela107122[Country],Tabela1[[#This Row],[Country]],Tabela107122[K1 Slalom Classification],"&gt;0")</f>
        <v>0</v>
      </c>
      <c r="DC120" s="6">
        <f>COUNTIFS(Tabela107[Country],Tabela1[[#This Row],[Country]],Tabela107[Kayak Cross Slalom Classification],"&gt;0")</f>
        <v>0</v>
      </c>
      <c r="DD120" s="6">
        <f>COUNTIFS(Tabela107122[Country],Tabela1[[#This Row],[Country]],Tabela107122[Kayak Cross Slalom Classification],"&gt;0")</f>
        <v>0</v>
      </c>
      <c r="DE120" s="6">
        <f>COUNTIFS(Table8[Country],Tabela1[[#This Row],[Country]],Table8[C1 200m Classification],"&gt;0")</f>
        <v>0</v>
      </c>
      <c r="DF120" s="6">
        <f>COUNTIFS(Table40[Country],Tabela1[[#This Row],[Country]],Table40[C1 1000m Classification],"&gt;0")</f>
        <v>0</v>
      </c>
      <c r="DG120" s="6">
        <f>COUNTIFS(Table68[Country],Tabela1[[#This Row],[Country]],Table68[Men''s C2 500m Classification],"&gt;0")</f>
        <v>0</v>
      </c>
      <c r="DH120" s="6">
        <f>COUNTIFS(Table68[Country],Tabela1[[#This Row],[Country]],Table68[Women''s C2 500m Classification],"&gt;0")</f>
        <v>0</v>
      </c>
      <c r="DI120" s="6">
        <f>COUNTIFS(Table8[Country],Tabela1[[#This Row],[Country]],Table8[K1 500m Classification],"&gt;0")</f>
        <v>0</v>
      </c>
      <c r="DJ120" s="6">
        <f>COUNTIFS(Table40[Country],Tabela1[[#This Row],[Country]],Table40[K1 1000m Classification],"&gt;0")</f>
        <v>0</v>
      </c>
      <c r="DK120" s="6">
        <f>COUNTIFS(Table68[Country],Tabela1[[#This Row],[Country]],Table68[Men''s K2 500m Classification],"&gt;0")</f>
        <v>0</v>
      </c>
      <c r="DL120" s="6">
        <f>COUNTIFS(Table68[Country],Tabela1[[#This Row],[Country]],Table68[Women''s K2 500m Classification],"&gt;0")</f>
        <v>0</v>
      </c>
      <c r="DM120" s="6">
        <f>COUNTIFS(Table83[Country],Tabela1[[#This Row],[Country]],Table83[Men''s K4 500m Classification],"&gt;0")</f>
        <v>0</v>
      </c>
      <c r="DN120" s="6">
        <f>COUNTIFS(Table83[Country],Tabela1[[#This Row],[Country]],Table83[Women''s K4 500m Classification],"&gt;0")</f>
        <v>0</v>
      </c>
      <c r="DO120" s="6">
        <f>COUNTIFS(Tabela126[Country],Tabela1[[#This Row],[Country]],Tabela126[Classification],"&gt;0")</f>
        <v>0</v>
      </c>
      <c r="DP120" s="6">
        <f>COUNTIFS(Tabela126130[Country],Tabela1[[#This Row],[Country]],Tabela126130[Classification],"&gt;0")</f>
        <v>0</v>
      </c>
      <c r="DQ120" s="6">
        <f>COUNTIFS(Table70[Country],Tabela1[[#This Row],[Country]],Table70[Classification],"&gt;0")</f>
        <v>0</v>
      </c>
      <c r="DR120" s="6">
        <f>COUNTIFS(Table80[Country],Tabela1[[#This Row],[Country]],Table80[Classification],"&gt;0")</f>
        <v>0</v>
      </c>
      <c r="DS120" s="6">
        <f>COUNTIFS(Table66[Country],Tabela1[[#This Row],[Country]],Table66[Classification],"&gt;0")</f>
        <v>0</v>
      </c>
      <c r="DT120" s="6">
        <f>COUNTIFS(Table67[Country],Tabela1[[#This Row],[Country]],Table67[Classification],"&gt;0")</f>
        <v>0</v>
      </c>
      <c r="DU120" s="6">
        <f>COUNTIFS(Table69[Country],Tabela1[[#This Row],[Country]],Table69[Keirin Classification],"&gt;0")</f>
        <v>0</v>
      </c>
      <c r="DV120" s="6">
        <f>COUNTIFS(Table41[Country],Tabela1[[#This Row],[Country]],Table41[Keirin Classification],"&gt;0")</f>
        <v>0</v>
      </c>
      <c r="DW120" s="6">
        <f>COUNTIFS(Table84[Country],Tabela1[[#This Row],[Country]],Table84[Men''s Madison Classification],"&gt;0")</f>
        <v>0</v>
      </c>
      <c r="DX120" s="6">
        <f>COUNTIFS(Table84[Country],Tabela1[[#This Row],[Country]],Table84[Women''s Madison Classification],"&gt;0")</f>
        <v>0</v>
      </c>
      <c r="DY120" s="6">
        <f>COUNTIFS(Table69[Country],Tabela1[[#This Row],[Country]],Table69[Omnium Classification],"&gt;0")</f>
        <v>0</v>
      </c>
      <c r="DZ120" s="6">
        <f>COUNTIFS(Table41[Country],Tabela1[[#This Row],[Country]],Table41[Omnium Classification],"&gt;0")</f>
        <v>0</v>
      </c>
      <c r="EA120" s="6">
        <f>COUNTIFS(Table9[Country],Tabela1[[#This Row],[Country]],Table9[Road Race Classification],"&gt;0")</f>
        <v>0</v>
      </c>
      <c r="EB120" s="6">
        <f>COUNTIFS(Table14[Country],Tabela1[[#This Row],[Country]],Table14[Road Race Classification],"&gt;0")</f>
        <v>0</v>
      </c>
      <c r="EC120" s="6">
        <f>COUNTIFS(Table69[Country],Tabela1[[#This Row],[Country]],Table69[Sprint Classification],"&gt;0")</f>
        <v>0</v>
      </c>
      <c r="ED120" s="6">
        <f>COUNTIFS(Table41[Country],Tabela1[[#This Row],[Country]],Table41[Sprint Classification],"&gt;0")</f>
        <v>0</v>
      </c>
      <c r="EE120" s="6">
        <f>COUNTIFS(Table85[Country],Tabela1[[#This Row],[Country]],Table85[Men''s Sprint Classification],"&gt;0")</f>
        <v>0</v>
      </c>
      <c r="EF120" s="6">
        <f>COUNTIFS(Table85[Country],Tabela1[[#This Row],[Country]],Table85[Women''s Sprint Classification],"&gt;0")</f>
        <v>0</v>
      </c>
      <c r="EG120" s="6">
        <f>COUNTIFS(Table85[Country],Tabela1[[#This Row],[Country]],Table85[Men''s Pursuit Classification],"&gt;0")</f>
        <v>0</v>
      </c>
      <c r="EH120" s="6">
        <f>COUNTIFS(Table85[Country],Tabela1[[#This Row],[Country]],Table85[Women''s Pursuit Classification],"&gt;0")</f>
        <v>0</v>
      </c>
      <c r="EI120" s="6">
        <f>COUNTIFS(Table9[Country],Tabela1[[#This Row],[Country]],Table9[Time-Trial Classification],"&gt;0")</f>
        <v>0</v>
      </c>
      <c r="EJ120" s="6">
        <f>COUNTIFS(Table14[Country],Tabela1[[#This Row],[Country]],Table14[Time-Trial Classification],"&gt;0")</f>
        <v>0</v>
      </c>
      <c r="EK120" s="6">
        <f>COUNTIFS(Table42[Country],Tabela1[[#This Row],[Country]],Table42[Springboard Classification],"&gt;0")</f>
        <v>0</v>
      </c>
      <c r="EL120" s="6">
        <f>COUNTIFS(Table43[Country],Tabela1[[#This Row],[Country]],Table43[Springboard Classification],"&gt;0")</f>
        <v>0</v>
      </c>
      <c r="EM120" s="6">
        <f>COUNTIFS(Table42[Country],Tabela1[[#This Row],[Country]],Table42[Platform Classification],"&gt;0")</f>
        <v>0</v>
      </c>
      <c r="EN120" s="6">
        <f>COUNTIFS(Table43[Country],Tabela1[[#This Row],[Country]],Table43[Platform Classification],"&gt;0")</f>
        <v>0</v>
      </c>
      <c r="EO120" s="6">
        <f>COUNTIFS(Table86[Country],Tabela1[[#This Row],[Country]],Table86[Men''s Synchronized Springboard Classification],"&gt;0")</f>
        <v>0</v>
      </c>
      <c r="EP120" s="6">
        <f>COUNTIFS(Table86[Country],Tabela1[[#This Row],[Country]],Table86[Women''s Synchronized Springboard Classification],"&gt;0")</f>
        <v>0</v>
      </c>
      <c r="EQ120" s="6">
        <f>COUNTIFS(Table86[Country],Tabela1[[#This Row],[Country]],Table86[Men''s Synchronized Platform Classification],"&gt;0")</f>
        <v>0</v>
      </c>
      <c r="ER120" s="6">
        <f>COUNTIFS(Table86[Country],Tabela1[[#This Row],[Country]],Table86[Women''s Synchronized Platform Classification],"&gt;0")</f>
        <v>0</v>
      </c>
      <c r="ES120" s="6">
        <f>COUNTIFS(Table44[Country],Tabela1[[#This Row],[Country]],Table44[Dressage Classification],"&gt;0")</f>
        <v>0</v>
      </c>
      <c r="ET120" s="6">
        <f>COUNTIFS(Table45[Country],Tabela1[[#This Row],[Country]],Table45[Dressage Classification],"&gt;0")</f>
        <v>0</v>
      </c>
      <c r="EU120" s="6">
        <f>COUNTIFS(Table44[Country],Tabela1[[#This Row],[Country]],Table44[Eventing Classification],"&gt;0")</f>
        <v>0</v>
      </c>
      <c r="EV120" s="6">
        <f>COUNTIFS(Table45[Country],Tabela1[[#This Row],[Country]],Table45[Eventing Classification],"&gt;0")</f>
        <v>0</v>
      </c>
      <c r="EW120" s="6">
        <f>COUNTIFS(Table44[Country],Tabela1[[#This Row],[Country]],Table44[Jumping Classification],"&gt;0")</f>
        <v>0</v>
      </c>
      <c r="EX120" s="6">
        <f>COUNTIFS(Table45[Country],Tabela1[[#This Row],[Country]],Table45[Jumping Classification],"&gt;0")</f>
        <v>0</v>
      </c>
      <c r="EY120" s="6">
        <f>COUNTIFS(Table10[Country],Tabela1[[#This Row],[Country]],Table10[Épée Classification],"&gt;0")</f>
        <v>0</v>
      </c>
      <c r="EZ120" s="6">
        <f>COUNTIFS(Table11[Country],Tabela1[[#This Row],[Country]],Table11[Épée Classification],"&gt;0")</f>
        <v>0</v>
      </c>
      <c r="FA120" s="6">
        <f>COUNTIFS(Table46[Country],Tabela1[[#This Row],[Country]],Table46[Men''s Épée Classification],"&gt;0")</f>
        <v>0</v>
      </c>
      <c r="FB120" s="6">
        <f>COUNTIFS(Table46[Country],Tabela1[[#This Row],[Country]],Table46[Women''s Épée Classification],"&gt;0")</f>
        <v>0</v>
      </c>
      <c r="FC120" s="6">
        <f>COUNTIFS(Table10[Country],Tabela1[[#This Row],[Country]],Table10[Foil Classification],"&gt;0")</f>
        <v>0</v>
      </c>
      <c r="FD120" s="6">
        <f>COUNTIFS(Table11[Country],Tabela1[[#This Row],[Country]],Table11[Foil Classification],"&gt;0")</f>
        <v>0</v>
      </c>
      <c r="FE120" s="6">
        <f>COUNTIFS(Table46[Country],Tabela1[[#This Row],[Country]],Table46[Men''s Foil Classification],"&gt;0")</f>
        <v>0</v>
      </c>
      <c r="FF120" s="6">
        <f>COUNTIFS(Table46[Country],Tabela1[[#This Row],[Country]],Table46[Women''s Foil Classification],"&gt;0")</f>
        <v>0</v>
      </c>
      <c r="FG120" s="6">
        <f>COUNTIFS(Table10[Country],Tabela1[[#This Row],[Country]],Table10[Sabre Classification],"&gt;0")</f>
        <v>0</v>
      </c>
      <c r="FH120" s="6">
        <f>COUNTIFS(Table11[Country],Tabela1[[#This Row],[Country]],Table11[Sabre Classification],"&gt;0")</f>
        <v>0</v>
      </c>
      <c r="FI120" s="6">
        <f>COUNTIFS(Table46[Country],Tabela1[[#This Row],[Country]],Table46[Men''s Sabre Classification],"&gt;0")</f>
        <v>0</v>
      </c>
      <c r="FJ120" s="6">
        <f>COUNTIFS(Table46[Country],Tabela1[[#This Row],[Country]],Table46[Women''s Sabre Classification],"&gt;0")</f>
        <v>0</v>
      </c>
      <c r="FK120" s="6">
        <f>COUNTIFS(Table91[Country],Tabela1[[#This Row],[Country]],Table91[Men''s Classification],"&gt;0")</f>
        <v>0</v>
      </c>
      <c r="FL120" s="6">
        <f>COUNTIFS(Table91[Country],Tabela1[[#This Row],[Country]],Table91[Women''s Classification],"&gt;0")</f>
        <v>0</v>
      </c>
      <c r="FM120" s="6">
        <f>COUNTIFS(Table9194[Country],Tabela1[[#This Row],[Country]],Table9194[Men''s Classification],"&gt;0")</f>
        <v>0</v>
      </c>
      <c r="FN120" s="6">
        <f>COUNTIFS(Table9194[Country],Tabela1[[#This Row],[Country]],Table9194[Women''s Classification],"&gt;0")</f>
        <v>0</v>
      </c>
      <c r="FO120" s="6">
        <f>COUNTIFS(Table71[Country],Tabela1[[#This Row],[Country]],Table71[Classification],"&gt;0")</f>
        <v>0</v>
      </c>
      <c r="FP120" s="6">
        <f>COUNTIFS(Table62[Country],Tabela1[[#This Row],[Country]],Table62[Classification],"&gt;0")</f>
        <v>0</v>
      </c>
      <c r="FQ120" s="6">
        <f>COUNTIFS(Table47[Country],Tabela1[[#This Row],[Country]],Table47[All-Around Classification],"&gt;0")</f>
        <v>0</v>
      </c>
      <c r="FR120" s="6">
        <f>COUNTIFS(Table48[Country],Tabela1[[#This Row],[Country]],Table48[All-Around Classification],"&gt;0")</f>
        <v>0</v>
      </c>
      <c r="FS120" s="6">
        <f>COUNTIFS(Table81[Country],Tabela1[[#This Row],[Country]],Table81[Men''s All-Around Classification],"&gt;0")</f>
        <v>0</v>
      </c>
      <c r="FT120" s="6">
        <f>COUNTIFS(Table81[Country],Tabela1[[#This Row],[Country]],Table81[Women''s All-Around Classification],"&gt;0")</f>
        <v>0</v>
      </c>
      <c r="FU120" s="6">
        <f>COUNTIFS(Table48[Country],Tabela1[[#This Row],[Country]],Table48[Balance Beam Classification],"&gt;0")</f>
        <v>0</v>
      </c>
      <c r="FV120" s="6">
        <f>COUNTIFS(Table47[Country],Tabela1[[#This Row],[Country]],Table47[Floor Exercise Classification],"&gt;0")</f>
        <v>0</v>
      </c>
      <c r="FW120" s="6">
        <f>COUNTIFS(Table48[Country],Tabela1[[#This Row],[Country]],Table48[Floor Exercise Classification],"&gt;0")</f>
        <v>0</v>
      </c>
      <c r="FX120" s="6">
        <f>COUNTIFS(Table47[Country],Tabela1[[#This Row],[Country]],Table47[Horizontal Bar Classification],"&gt;0")</f>
        <v>0</v>
      </c>
      <c r="FY120" s="6">
        <f>COUNTIFS(Table47[Country],Tabela1[[#This Row],[Country]],Table47[Parallel Bars Classification],"&gt;0")</f>
        <v>0</v>
      </c>
      <c r="FZ120" s="6">
        <f>COUNTIFS(Table47[Country],Tabela1[[#This Row],[Country]],Table47[Pommel Horse Classification],"&gt;0")</f>
        <v>0</v>
      </c>
      <c r="GA120" s="6">
        <f>COUNTIFS(Table47[Country],Tabela1[[#This Row],[Country]],Table47[Rings Classification],"&gt;0")</f>
        <v>0</v>
      </c>
      <c r="GB120" s="6">
        <f>COUNTIFS(Tabela132[Country],Tabela1[[#This Row],[Country]],Tabela132[Classification],"&gt;0")</f>
        <v>0</v>
      </c>
      <c r="GC120" s="6">
        <f>COUNTIFS(Tabela139[Country],Tabela1[[#This Row],[Country]],Tabela139[Classification],"&gt;0")</f>
        <v>0</v>
      </c>
      <c r="GD120" s="6">
        <f>COUNTIFS(Table48[Country],Tabela1[[#This Row],[Country]],Table48[Uneven Bars Classification],"&gt;0")</f>
        <v>0</v>
      </c>
      <c r="GE120" s="6">
        <f>COUNTIFS(Table47[Country],Tabela1[[#This Row],[Country]],Table47[Vault Classification],"&gt;0")</f>
        <v>0</v>
      </c>
      <c r="GF120" s="6">
        <f>COUNTIFS(Table48[Country],Tabela1[[#This Row],[Country]],Table48[Vault Classification],"&gt;0")</f>
        <v>0</v>
      </c>
      <c r="GG120" s="6">
        <f>COUNTIFS(Table919496[Country],Tabela1[[#This Row],[Country]],Table919496[Men''s Classification],"&gt;0")</f>
        <v>0</v>
      </c>
      <c r="GH120" s="6">
        <f>COUNTIFS(Table919496[Country],Tabela1[[#This Row],[Country]],Table919496[Women''s Classification],"&gt;0")</f>
        <v>0</v>
      </c>
      <c r="GI120" s="6">
        <f>COUNTIFS(Table12[Country],Tabela1[[#This Row],[Country]],Table12[60kg Classification],"&gt;0")</f>
        <v>0</v>
      </c>
      <c r="GJ120" s="6">
        <f>COUNTIFS(Table12[Country],Tabela1[[#This Row],[Country]],Table12[66kg Classification],"&gt;0")</f>
        <v>0</v>
      </c>
      <c r="GK120" s="6">
        <f>COUNTIFS(Table12[Country],Tabela1[[#This Row],[Country]],Table12[73kg Classification],"&gt;0")</f>
        <v>0</v>
      </c>
      <c r="GL120" s="6">
        <f>COUNTIFS(Table12[Country],Tabela1[[#This Row],[Country]],Table12[81kg Classification],"&gt;0")</f>
        <v>0</v>
      </c>
      <c r="GM120" s="6">
        <f>COUNTIFS(Table12[Country],Tabela1[[#This Row],[Country]],Table12[90kg Classification],"&gt;0")</f>
        <v>0</v>
      </c>
      <c r="GN120" s="6">
        <f>COUNTIFS(Table12[Country],Tabela1[[#This Row],[Country]],Table12[100kg Classification],"&gt;0")</f>
        <v>0</v>
      </c>
      <c r="GO120" s="6">
        <f>COUNTIFS(Table12[Country],Tabela1[[#This Row],[Country]],Table12[Plus 100kg Classification],"&gt;0")</f>
        <v>0</v>
      </c>
      <c r="GP120" s="6">
        <f>COUNTIFS(Table13[Country],Tabela1[[#This Row],[Country]],Table13[48kg Classification],"&gt;0")</f>
        <v>0</v>
      </c>
      <c r="GQ120" s="6">
        <f>COUNTIFS(Table13[Country],Tabela1[[#This Row],[Country]],Table13[52kg Classification],"&gt;0")</f>
        <v>0</v>
      </c>
      <c r="GR120" s="6">
        <f>COUNTIFS(Table13[Country],Tabela1[[#This Row],[Country]],Table13[57kg Classification],"&gt;0")</f>
        <v>0</v>
      </c>
      <c r="GS120" s="6">
        <f>COUNTIFS(Table13[Country],Tabela1[[#This Row],[Country]],Table13[63kg Classification],"&gt;0")</f>
        <v>0</v>
      </c>
      <c r="GT120" s="6">
        <f>COUNTIFS(Table13[Country],Tabela1[[#This Row],[Country]],Table13[70kg Classification],"&gt;0")</f>
        <v>0</v>
      </c>
      <c r="GU120" s="6">
        <f>COUNTIFS(Table13[Country],Tabela1[[#This Row],[Country]],Table13[78kg Classification],"&gt;0")</f>
        <v>0</v>
      </c>
      <c r="GV120" s="6">
        <f>COUNTIFS(Table13[Country],Tabela1[[#This Row],[Country]],Table13[Plus 78kg Classification],"&gt;0")</f>
        <v>0</v>
      </c>
      <c r="GW120" s="6">
        <f>COUNTIFS(Table82[Country],Tabela1[[#This Row],[Country]],Table82[Mixed Classification],"&gt;0")</f>
        <v>0</v>
      </c>
      <c r="GX120" s="6">
        <f>COUNTIFS(Table51[Country],Tabela1[[#This Row],[Country]],Table51[Classification],"&gt;0")</f>
        <v>0</v>
      </c>
      <c r="GY120" s="6">
        <f>COUNTIFS(Table52[Country],Tabela1[[#This Row],[Country]],Table52[Classification],"&gt;0")</f>
        <v>0</v>
      </c>
      <c r="GZ120" s="6">
        <f>COUNTIFS(Table32[Country],Tabela1[[#This Row],[Country]],Table32[All-Around Classification],"&gt;0")</f>
        <v>0</v>
      </c>
      <c r="HA120" s="6">
        <f>COUNTIFS(Table49[Country],Tabela1[[#This Row],[Country]],Table49[All-Around Classification],"&gt;0")</f>
        <v>0</v>
      </c>
      <c r="HB120" s="6">
        <f>COUNTIFS(Table26[Country],Tabela1[[#This Row],[Country]],Table26[Single Sculls Classification],"&gt;0")</f>
        <v>0</v>
      </c>
      <c r="HC120" s="6">
        <f>COUNTIFS(Table63[Country],Tabela1[[#This Row],[Country]],Table63[Single Sculls Classification],"&gt;0")</f>
        <v>0</v>
      </c>
      <c r="HD120" s="6">
        <f>COUNTIFS(Table16[Country],Tabela1[[#This Row],[Country]],Table16[Men''s Double Sculls Classification],"&gt;0")</f>
        <v>0</v>
      </c>
      <c r="HE120" s="6">
        <f>COUNTIFS(Table16[Country],Tabela1[[#This Row],[Country]],Table16[Women''s Double Sculls Classification],"&gt;0")</f>
        <v>0</v>
      </c>
      <c r="HF120" s="6">
        <f>COUNTIFS(Table72[Country],Tabela1[[#This Row],[Country]],Table72[Men''s Quadruple Sculls Classification],"&gt;0")</f>
        <v>0</v>
      </c>
      <c r="HG120" s="6">
        <f>COUNTIFS(Table72[Country],Tabela1[[#This Row],[Country]],Table72[Women''s Quadruple Sculls Classification],"&gt;0")</f>
        <v>0</v>
      </c>
      <c r="HH120" s="6">
        <f>COUNTIFS(Table16[Country],Tabela1[[#This Row],[Country]],Table16[Men''s Coxless Pairs Classification],"&gt;0")</f>
        <v>0</v>
      </c>
      <c r="HI120" s="6">
        <f>COUNTIFS(Table16[Country],Tabela1[[#This Row],[Country]],Table16[Women''s Coxless Pairs Classification],"&gt;0")</f>
        <v>0</v>
      </c>
      <c r="HJ120" s="6">
        <f>COUNTIFS(Table72[Country],Tabela1[[#This Row],[Country]],Table72[Men''s Coxless Fours Classification],"&gt;0")</f>
        <v>0</v>
      </c>
      <c r="HK120" s="6">
        <f>COUNTIFS(Table72[Country],Tabela1[[#This Row],[Country]],Table72[Women''s Coxless Fours Classification],"&gt;0")</f>
        <v>0</v>
      </c>
      <c r="HL120" s="6">
        <f>COUNTIFS(Table72[Country],Tabela1[[#This Row],[Country]],Table72[Men''s Eights Classification],"&gt;0")</f>
        <v>0</v>
      </c>
      <c r="HM120" s="6">
        <f>COUNTIFS(Table72[Country],Tabela1[[#This Row],[Country]],Table72[Women''s Eights Classification],"&gt;0")</f>
        <v>0</v>
      </c>
      <c r="HN120" s="6">
        <f>COUNTIFS(Table16[Country],Tabela1[[#This Row],[Country]],Table16[Men''s Lwt. Double Sculls Classification],"&gt;0")</f>
        <v>0</v>
      </c>
      <c r="HO120" s="6">
        <f>COUNTIFS(Table16[Country],Tabela1[[#This Row],[Country]],Table16[Women''s Lwt. Double Sculls Classification],"&gt;0")</f>
        <v>0</v>
      </c>
      <c r="HP120" s="6">
        <f>COUNTIFS(Table91949698[Country],Tabela1[[#This Row],[Country]],Table91949698[Men''s Classification],"&gt;0")</f>
        <v>0</v>
      </c>
      <c r="HQ120" s="6">
        <f>COUNTIFS(Table91949698[Country],Tabela1[[#This Row],[Country]],Table91949698[Women''s Classification],"&gt;0")</f>
        <v>0</v>
      </c>
      <c r="HR120" s="6">
        <f>COUNTIFS(Table25[Country],Tabela1[[#This Row],[Country]],Table25[Mixed 470 Classification],"&gt;0")</f>
        <v>0</v>
      </c>
      <c r="HS120" s="6">
        <f>COUNTIFS(Table25[Country],Tabela1[[#This Row],[Country]],Table25[Men''s 49er Classification],"&gt;0")</f>
        <v>0</v>
      </c>
      <c r="HT120" s="6">
        <f>COUNTIFS(Table25[Country],Tabela1[[#This Row],[Country]],Table25[Women''s 49er FX Classification],"&gt;0")</f>
        <v>0</v>
      </c>
      <c r="HU120" s="6">
        <f>COUNTIFS(Table17[Country],Tabela1[[#This Row],[Country]],Table17[Formula Kite Classification],"&gt;0")</f>
        <v>0</v>
      </c>
      <c r="HV120" s="6">
        <f>COUNTIFS(Table18[Country],Tabela1[[#This Row],[Country]],Table18[Formula Kite Classification],"&gt;0")</f>
        <v>0</v>
      </c>
      <c r="HW120" s="6">
        <f>COUNTIFS(Table17[Country],Tabela1[[#This Row],[Country]],Table17[ILCA 7 Classification],"&gt;0")</f>
        <v>0</v>
      </c>
      <c r="HX120" s="6">
        <f>COUNTIFS(Table18[Country],Tabela1[[#This Row],[Country]],Table18[ILCA 6 Classification],"&gt;0")</f>
        <v>0</v>
      </c>
      <c r="HY120" s="6">
        <f>COUNTIFS(Table17[Country],Tabela1[[#This Row],[Country]],Table17[IQFoil Classification],"&gt;0")</f>
        <v>0</v>
      </c>
      <c r="HZ120" s="6">
        <f>COUNTIFS(Table18[Country],Tabela1[[#This Row],[Country]],Table18[IQFoil Classification],"&gt;0")</f>
        <v>0</v>
      </c>
      <c r="IA120" s="6">
        <f>COUNTIFS(Table25[Country],Tabela1[[#This Row],[Country]],Table25[Mixed Nacra 17 Classification],"&gt;0")</f>
        <v>0</v>
      </c>
      <c r="IB120" s="6">
        <f>COUNTIFS(Table53[Country],Tabela1[[#This Row],[Country]],Table53[10m Air Pistol Classification],"&gt;0")</f>
        <v>0</v>
      </c>
      <c r="IC120" s="6">
        <f>COUNTIFS(Table19[Country],Tabela1[[#This Row],[Country]],Table19[10m Air Pistol Classification],"&gt;0")</f>
        <v>0</v>
      </c>
      <c r="ID120" s="6">
        <f>COUNTIFS(Table54[Country],Tabela1[[#This Row],[Country]],Table54[Mixed 10m Air Pistol Team Classification],"&gt;0")</f>
        <v>0</v>
      </c>
      <c r="IE120" s="6">
        <f>COUNTIFS(Table53[Country],Tabela1[[#This Row],[Country]],Table53[10m Air Rifle Classification],"&gt;0")</f>
        <v>0</v>
      </c>
      <c r="IF120" s="6">
        <f>COUNTIFS(Table19[Country],Tabela1[[#This Row],[Country]],Table19[10m Air Rifle Classification],"&gt;0")</f>
        <v>1</v>
      </c>
      <c r="IG120" s="6">
        <f>COUNTIFS(Table54[Country],Tabela1[[#This Row],[Country]],Table54[Mixed 10m Air Rifle Team Classification],"&gt;0")</f>
        <v>0</v>
      </c>
      <c r="IH120" s="6">
        <f>COUNTIFS(Table53[Country],Tabela1[[#This Row],[Country]],Table53[25m Rapid Fire Pistol Classification],"&gt;0")</f>
        <v>0</v>
      </c>
      <c r="II120" s="6">
        <f>COUNTIFS(Table19[Country],Tabela1[[#This Row],[Country]],Table19[25m Pistol Classification],"&gt;0")</f>
        <v>0</v>
      </c>
      <c r="IJ120" s="6">
        <f>COUNTIFS(Table53[Country],Tabela1[[#This Row],[Country]],Table53[50m Rifle 3 Positions Classification],"&gt;0")</f>
        <v>0</v>
      </c>
      <c r="IK120" s="6">
        <f>COUNTIFS(Table19[Country],Tabela1[[#This Row],[Country]],Table19[50m Rifle 3 Positions Classification],"&gt;0")</f>
        <v>0</v>
      </c>
      <c r="IL120" s="6">
        <f>COUNTIFS(Table53[Country],Tabela1[[#This Row],[Country]],Table53[Skeet Classification],"&gt;0")</f>
        <v>0</v>
      </c>
      <c r="IM120" s="6">
        <f>COUNTIFS(Table19[Country],Tabela1[[#This Row],[Country]],Table19[Skeet Classification],"&gt;0")</f>
        <v>0</v>
      </c>
      <c r="IN120" s="6">
        <f>COUNTIFS(Table54[Country],Tabela1[[#This Row],[Country]],Table54[Mixed Skeet Team Classification],"&gt;0")</f>
        <v>0</v>
      </c>
      <c r="IO120" s="6">
        <f>COUNTIFS(Table53[Country],Tabela1[[#This Row],[Country]],Table53[Trap Classification],"&gt;0")</f>
        <v>0</v>
      </c>
      <c r="IP120" s="6">
        <f>COUNTIFS(Table19[Country],Tabela1[[#This Row],[Country]],Table19[Trap Classification],"&gt;0")</f>
        <v>0</v>
      </c>
      <c r="IQ120" s="6">
        <f>COUNTIFS(Table73[Country],Tabela1[[#This Row],[Country]],Table73[Park Classification],"&gt;0")</f>
        <v>0</v>
      </c>
      <c r="IR120" s="6">
        <f>COUNTIFS(Table74[Country],Tabela1[[#This Row],[Country]],Table74[Park Classification],"&gt;0")</f>
        <v>0</v>
      </c>
      <c r="IS120" s="6">
        <f>COUNTIFS(Table73[Country],Tabela1[[#This Row],[Country]],Table73[Street Classification],"&gt;0")</f>
        <v>0</v>
      </c>
      <c r="IT120" s="6">
        <f>COUNTIFS(Table74[Country],Tabela1[[#This Row],[Country]],Table74[Street Classification],"&gt;0")</f>
        <v>0</v>
      </c>
      <c r="IU120" s="6">
        <f>COUNTIFS(Table75[Country],Tabela1[[#This Row],[Country]],Table75[Boulder and Lead Classification],"&gt;0")</f>
        <v>0</v>
      </c>
      <c r="IV120" s="6">
        <f>COUNTIFS(Table76[Country],Tabela1[[#This Row],[Country]],Table76[Boulder and Lead Classification],"&gt;0")</f>
        <v>0</v>
      </c>
      <c r="IW120" s="6">
        <f>COUNTIFS(Table75[Country],Tabela1[[#This Row],[Country]],Table75[Speed Classification],"&gt;0")</f>
        <v>0</v>
      </c>
      <c r="IX120" s="6">
        <f>COUNTIFS(Table76[Country],Tabela1[[#This Row],[Country]],Table76[Speed Classification],"&gt;0")</f>
        <v>0</v>
      </c>
      <c r="IY120" s="6">
        <f>COUNTIFS(Table64[Country],Tabela1[[#This Row],[Country]],Table64[Shortboard Classification],"&gt;0")</f>
        <v>0</v>
      </c>
      <c r="IZ120" s="6">
        <f>COUNTIFS(Table77[Country],Tabela1[[#This Row],[Country]],Table77[Shortboard Classification],"&gt;0")</f>
        <v>0</v>
      </c>
      <c r="JA120" s="6">
        <f>COUNTIFS(Table20[Country],Tabela1[[#This Row],[Country]],Table20[50m Freestyle Classification],"&gt;0")</f>
        <v>0</v>
      </c>
      <c r="JB120" s="6">
        <f>COUNTIFS(Table21[Country],Tabela1[[#This Row],[Country]],Table21[50m Freestyle Classification],"&gt;0")</f>
        <v>0</v>
      </c>
      <c r="JC120" s="6">
        <f>COUNTIFS(Table20[Country],Tabela1[[#This Row],[Country]],Table20[100m Freestyle Classification],"&gt;0")</f>
        <v>0</v>
      </c>
      <c r="JD120" s="6">
        <f>COUNTIFS(Table21[Country],Tabela1[[#This Row],[Country]],Table21[100m Freestyle Classification],"&gt;0")</f>
        <v>0</v>
      </c>
      <c r="JE120" s="6">
        <f>COUNTIFS(Table20[Country],Tabela1[[#This Row],[Country]],Table20[200m Freestyle Classification],"&gt;0")</f>
        <v>0</v>
      </c>
      <c r="JF120" s="6">
        <f>COUNTIFS(Table21[Country],Tabela1[[#This Row],[Country]],Table21[200m Freestyle Classification],"&gt;0")</f>
        <v>0</v>
      </c>
      <c r="JG120" s="6">
        <f>COUNTIFS(Table20[Country],Tabela1[[#This Row],[Country]],Table20[400m Freestyle Classification],"&gt;0")</f>
        <v>0</v>
      </c>
      <c r="JH120" s="6">
        <f>COUNTIFS(Table21[Country],Tabela1[[#This Row],[Country]],Table21[400m Freestyle Classification],"&gt;0")</f>
        <v>0</v>
      </c>
      <c r="JI120" s="6">
        <f>COUNTIFS(Table20[Country],Tabela1[[#This Row],[Country]],Table20[800m Freestyle Classification],"&gt;0")</f>
        <v>0</v>
      </c>
      <c r="JJ120" s="6">
        <f>COUNTIFS(Table21[Country],Tabela1[[#This Row],[Country]],Table21[800m Freestyle Classification],"&gt;0")</f>
        <v>0</v>
      </c>
      <c r="JK120" s="6">
        <f>COUNTIFS(Table20[Country],Tabela1[[#This Row],[Country]],Table20[1500m Freestyle Classification],"&gt;0")</f>
        <v>0</v>
      </c>
      <c r="JL120" s="6">
        <f>COUNTIFS(Table21[Country],Tabela1[[#This Row],[Country]],Table21[1500m Freestyle Classification],"&gt;0")</f>
        <v>0</v>
      </c>
      <c r="JM120" s="6">
        <f>COUNTIFS(Table20[Country],Tabela1[[#This Row],[Country]],Table20[100m Backstroke Classification],"&gt;0")</f>
        <v>0</v>
      </c>
      <c r="JN120" s="6">
        <f>COUNTIFS(Table21[Country],Tabela1[[#This Row],[Country]],Table21[100m Backstroke Classification],"&gt;0")</f>
        <v>0</v>
      </c>
      <c r="JO120" s="6">
        <f>COUNTIFS(Table20[Country],Tabela1[[#This Row],[Country]],Table20[200m Backstroke Classification],"&gt;0")</f>
        <v>0</v>
      </c>
      <c r="JP120" s="6">
        <f>COUNTIFS(Table21[Country],Tabela1[[#This Row],[Country]],Table21[200m Backstroke Classification],"&gt;0")</f>
        <v>0</v>
      </c>
      <c r="JQ120" s="6">
        <f>COUNTIFS(Table20[Country],Tabela1[[#This Row],[Country]],Table20[100m Breaststroke Classification],"&gt;0")</f>
        <v>0</v>
      </c>
      <c r="JR120" s="6">
        <f>COUNTIFS(Table21[Country],Tabela1[[#This Row],[Country]],Table21[100m Breaststroke Classification],"&gt;0")</f>
        <v>0</v>
      </c>
      <c r="JS120" s="6">
        <f>COUNTIFS(Table20[Country],Tabela1[[#This Row],[Country]],Table20[200m Breaststroke Classification],"&gt;0")</f>
        <v>0</v>
      </c>
      <c r="JT120" s="6">
        <f>COUNTIFS(Table21[Country],Tabela1[[#This Row],[Country]],Table21[200m Breaststroke Classification],"&gt;0")</f>
        <v>0</v>
      </c>
      <c r="JU120" s="6">
        <f>COUNTIFS(Table20[Country],Tabela1[[#This Row],[Country]],Table20[100m Butterfly Classification],"&gt;0")</f>
        <v>0</v>
      </c>
      <c r="JV120" s="6">
        <f>COUNTIFS(Table21[Country],Tabela1[[#This Row],[Country]],Table21[100m Butterfly Classification],"&gt;0")</f>
        <v>0</v>
      </c>
      <c r="JW120" s="6">
        <f>COUNTIFS(Table20[Country],Tabela1[[#This Row],[Country]],Table20[200m Butterfly Classification],"&gt;0")</f>
        <v>0</v>
      </c>
      <c r="JX120" s="6">
        <f>COUNTIFS(Table21[Country],Tabela1[[#This Row],[Country]],Table21[200m Butterfly Classification],"&gt;0")</f>
        <v>0</v>
      </c>
      <c r="JY120" s="6">
        <f>COUNTIFS(Table20[Country],Tabela1[[#This Row],[Country]],Table20[200m Medley Classification],"&gt;0")</f>
        <v>0</v>
      </c>
      <c r="JZ120" s="6">
        <f>COUNTIFS(Table21[Country],Tabela1[[#This Row],[Country]],Table21[200m Medley Classification],"&gt;0")</f>
        <v>0</v>
      </c>
      <c r="KA120" s="6">
        <f>COUNTIFS(Table20[Country],Tabela1[[#This Row],[Country]],Table20[400m Medley Classification],"&gt;0")</f>
        <v>0</v>
      </c>
      <c r="KB120" s="6">
        <f>COUNTIFS(Table21[Country],Tabela1[[#This Row],[Country]],Table21[400m Medley Classification],"&gt;0")</f>
        <v>0</v>
      </c>
      <c r="KC120" s="6">
        <f>COUNTIFS(Table78[Country],Tabela1[[#This Row],[Country]],Table78[Men''s 4x100m Freestyle Relay Classification],"&gt;0")</f>
        <v>0</v>
      </c>
      <c r="KD120" s="6">
        <f>COUNTIFS(Table78[Country],Tabela1[[#This Row],[Country]],Table78[Women''s 4x100m Freestyle Relay Classification],"&gt;0")</f>
        <v>0</v>
      </c>
      <c r="KE120" s="6">
        <f>COUNTIFS(Table78[Country],Tabela1[[#This Row],[Country]],Table78[Men''s 4x200m Freestyle Relay Classification],"&gt;0")</f>
        <v>0</v>
      </c>
      <c r="KF120" s="6">
        <f>COUNTIFS(Table78[Country],Tabela1[[#This Row],[Country]],Table78[Women''s 4x200m Freestyle Relay Classification],"&gt;0")</f>
        <v>0</v>
      </c>
      <c r="KG120" s="6">
        <f>COUNTIFS(Table78[Country],Tabela1[[#This Row],[Country]],Table78[Men''s 4x100m Medley Relay Classification],"&gt;0")</f>
        <v>0</v>
      </c>
      <c r="KH120" s="6">
        <f>COUNTIFS(Table78[Country],Tabela1[[#This Row],[Country]],Table78[Women''s 4x100m Medley Relay Classification],"&gt;0")</f>
        <v>0</v>
      </c>
      <c r="KI120" s="6">
        <f>COUNTIFS(Table78[Country],Tabela1[[#This Row],[Country]],Table78[Mixed 4x100m Medley Relay Classification],"&gt;0")</f>
        <v>0</v>
      </c>
      <c r="KJ120" s="6">
        <f>COUNTIFS(Table20[Country],Tabela1[[#This Row],[Country]],Table20[10km Open Water Classification],"&gt;0")</f>
        <v>0</v>
      </c>
      <c r="KK120" s="6">
        <f>COUNTIFS(Table21[Country],Tabela1[[#This Row],[Country]],Table21[10km Open Water Classification],"&gt;0")</f>
        <v>0</v>
      </c>
      <c r="KL120" s="6">
        <f>COUNTIFS(Table22[Country],Tabela1[[#This Row],[Country]],Table22[Classification],"&gt;0")</f>
        <v>0</v>
      </c>
      <c r="KM120" s="6">
        <f>COUNTIFS(Table30[Country],Tabela1[[#This Row],[Country]],Table30[Classification],"&gt;0")</f>
        <v>0</v>
      </c>
      <c r="KN120" s="6">
        <f>COUNTIFS(Table55[Country],Tabela1[[#This Row],[Country]],Table55[Men''s Classification],"&gt;0")</f>
        <v>0</v>
      </c>
      <c r="KO120" s="6">
        <f>COUNTIFS(Table55[Country],Tabela1[[#This Row],[Country]],Table55[Women''s Classification],"&gt;0")</f>
        <v>0</v>
      </c>
      <c r="KP120" s="6">
        <f>COUNTIFS(Table56[Country],Tabela1[[#This Row],[Country]],Table56[Mixed Classification],"&gt;0")</f>
        <v>0</v>
      </c>
      <c r="KQ120" s="6">
        <f>COUNTIFS(Table29[Country],Tabela1[[#This Row],[Country]],Table29[58kg Classification],"&gt;0")</f>
        <v>0</v>
      </c>
      <c r="KR120" s="6">
        <f>COUNTIFS(Table29[Country],Tabela1[[#This Row],[Country]],Table29[68kg Classification],"&gt;0")</f>
        <v>0</v>
      </c>
      <c r="KS120" s="6">
        <f>COUNTIFS(Table29[Country],Tabela1[[#This Row],[Country]],Table29[80kg Classification],"&gt;0")</f>
        <v>0</v>
      </c>
      <c r="KT120" s="6">
        <f>COUNTIFS(Table29[Country],Tabela1[[#This Row],[Country]],Table29[Plus 80kg Classification],"&gt;0")</f>
        <v>0</v>
      </c>
      <c r="KU120" s="6">
        <f>COUNTIFS(Table34[Country],Tabela1[[#This Row],[Country]],Table34[49kg Classification],"&gt;0")</f>
        <v>0</v>
      </c>
      <c r="KV120" s="6">
        <f>COUNTIFS(Table34[Country],Tabela1[[#This Row],[Country]],Table34[57kg Classification],"&gt;0")</f>
        <v>0</v>
      </c>
      <c r="KW120" s="6">
        <f>COUNTIFS(Table34[Country],Tabela1[[#This Row],[Country]],Table34[67kg Classification],"&gt;0")</f>
        <v>0</v>
      </c>
      <c r="KX120" s="6">
        <f>COUNTIFS(Table34[Country],Tabela1[[#This Row],[Country]],Table34[Plus 67kg Classification],"&gt;0")</f>
        <v>0</v>
      </c>
      <c r="KY120" s="6">
        <f>COUNTIFS(Table57[Country],Tabela1[[#This Row],[Country]],Table57[Classification],"&gt;0")</f>
        <v>0</v>
      </c>
      <c r="KZ120" s="6">
        <f>COUNTIFS(Table58[Country],Tabela1[[#This Row],[Country]],Table58[Classification],"&gt;0")</f>
        <v>0</v>
      </c>
      <c r="LA120" s="6">
        <f>COUNTIFS(Table79[Country],Tabela1[[#This Row],[Country]],Table79[Men''s Classification],"&gt;0")</f>
        <v>0</v>
      </c>
      <c r="LB120" s="6">
        <f>COUNTIFS(Table79[Country],Tabela1[[#This Row],[Country]],Table79[Women''s Classification],"&gt;0")</f>
        <v>0</v>
      </c>
      <c r="LC120" s="6">
        <f>COUNTIFS(Table79[Country],Tabela1[[#This Row],[Country]],Table79[Mixed Classification],"&gt;0")</f>
        <v>0</v>
      </c>
      <c r="LD120" s="6">
        <f>COUNTIFS(Table65[Country],Tabela1[[#This Row],[Country]],Table65[Classification],"&gt;0")</f>
        <v>0</v>
      </c>
      <c r="LE120" s="6">
        <f>COUNTIFS(Table59[Country],Tabela1[[#This Row],[Country]],Table59[Classification],"&gt;0")</f>
        <v>0</v>
      </c>
      <c r="LF120" s="6">
        <f>COUNTIFS(Table87[Country],Tabela1[[#This Row],[Country]],Table87[Mixed Relay Classification],"&gt;0")</f>
        <v>0</v>
      </c>
      <c r="LG120" s="6">
        <f>COUNTIFS(Table91949698100[Country],Tabela1[[#This Row],[Country]],Table91949698100[Men''s Classification],"&gt;0")</f>
        <v>0</v>
      </c>
      <c r="LH120" s="6">
        <f>COUNTIFS(Table91949698100[Country],Tabela1[[#This Row],[Country]],Table91949698100[Women''s Classification],"&gt;0")</f>
        <v>0</v>
      </c>
      <c r="LI120" s="6">
        <f>COUNTIFS(Table91949698100102[Country],Tabela1[[#This Row],[Country]],Table91949698100102[Men''s Classification],"&gt;0")</f>
        <v>0</v>
      </c>
      <c r="LJ120" s="6">
        <f>COUNTIFS(Table91949698100102[Country],Tabela1[[#This Row],[Country]],Table91949698100102[Women''s Classification],"&gt;0")</f>
        <v>0</v>
      </c>
      <c r="LK120" s="6">
        <f>COUNTIFS(Table23[Country],Tabela1[[#This Row],[Country]],Table23[61kg Classification],"&gt;0")</f>
        <v>0</v>
      </c>
      <c r="LL120" s="6">
        <f>COUNTIFS(Table23[Country],Tabela1[[#This Row],[Country]],Table23[73kg Classification],"&gt;0")</f>
        <v>0</v>
      </c>
      <c r="LM120" s="6">
        <f>COUNTIFS(Table23[Country],Tabela1[[#This Row],[Country]],Table23[89kg Classification],"&gt;0")</f>
        <v>0</v>
      </c>
      <c r="LN120" s="6">
        <f>COUNTIFS(Table23[Country],Tabela1[[#This Row],[Country]],Table23[102kg Classification],"&gt;0")</f>
        <v>0</v>
      </c>
      <c r="LO120" s="6">
        <f>COUNTIFS(Table23[Country],Tabela1[[#This Row],[Country]],Table23[Plus 102kg Classification],"&gt;0")</f>
        <v>0</v>
      </c>
      <c r="LP120" s="6">
        <f>COUNTIFS(Table28[Country],Tabela1[[#This Row],[Country]],Table28[49kg Classification],"&gt;0")</f>
        <v>0</v>
      </c>
      <c r="LQ120" s="6">
        <f>COUNTIFS(Table28[Country],Tabela1[[#This Row],[Country]],Table28[59kg Classification],"&gt;0")</f>
        <v>0</v>
      </c>
      <c r="LR120" s="6">
        <f>COUNTIFS(Table28[Country],Tabela1[[#This Row],[Country]],Table28[71kg Classification],"&gt;0")</f>
        <v>0</v>
      </c>
      <c r="LS120" s="6">
        <f>COUNTIFS(Table28[Country],Tabela1[[#This Row],[Country]],Table28[81kg Classification],"&gt;0")</f>
        <v>0</v>
      </c>
      <c r="LT120" s="6">
        <f>COUNTIFS(Table28[Country],Tabela1[[#This Row],[Country]],Table28[Plus 81kg Classification],"&gt;0")</f>
        <v>0</v>
      </c>
      <c r="LU120" s="6">
        <f>COUNTIFS(Table24[Country],Tabela1[[#This Row],[Country]],Table24[Freestyle 57kg Classification],"&gt;0")</f>
        <v>0</v>
      </c>
      <c r="LV120" s="6">
        <f>COUNTIFS(Table24[Country],Tabela1[[#This Row],[Country]],Table24[Freestyle 65kg Classification],"&gt;0")</f>
        <v>0</v>
      </c>
      <c r="LW120" s="6">
        <f>COUNTIFS(Table24[Country],Tabela1[[#This Row],[Country]],Table24[Freestyle 74kg Classification],"&gt;0")</f>
        <v>0</v>
      </c>
      <c r="LX120" s="6">
        <f>COUNTIFS(Table24[Country],Tabela1[[#This Row],[Country]],Table24[Freestyle 86kg Classification],"&gt;0")</f>
        <v>0</v>
      </c>
      <c r="LY120" s="6">
        <f>COUNTIFS(Table24[Country],Tabela1[[#This Row],[Country]],Table24[Freestyle 97kg Classification],"&gt;0")</f>
        <v>0</v>
      </c>
      <c r="LZ120" s="6">
        <f>COUNTIFS(Table24[Country],Tabela1[[#This Row],[Country]],Table24[Freestyle 125kg Classification],"&gt;0")</f>
        <v>0</v>
      </c>
      <c r="MA120" s="6">
        <f>COUNTIFS(Table24[Country],Tabela1[[#This Row],[Country]],Table24[Greco-Roman 60kg Classification],"&gt;0")</f>
        <v>0</v>
      </c>
      <c r="MB120" s="6">
        <f>COUNTIFS(Table24[Country],Tabela1[[#This Row],[Country]],Table24[Greco-Roman 67kg Classification],"&gt;0")</f>
        <v>0</v>
      </c>
      <c r="MC120" s="6">
        <f>COUNTIFS(Table24[Country],Tabela1[[#This Row],[Country]],Table24[Greco-Roman 77kg Classification],"&gt;0")</f>
        <v>0</v>
      </c>
      <c r="MD120" s="6">
        <f>COUNTIFS(Table24[Country],Tabela1[[#This Row],[Country]],Table24[Greco-Roman 87kg Classification],"&gt;0")</f>
        <v>0</v>
      </c>
      <c r="ME120" s="6">
        <f>COUNTIFS(Table24[Country],Tabela1[[#This Row],[Country]],Table24[Greco-Roman 97kg Classification],"&gt;0")</f>
        <v>0</v>
      </c>
      <c r="MF120" s="6">
        <f>COUNTIFS(Table24[Country],Tabela1[[#This Row],[Country]],Table24[Greco-Roman 130kg Classification],"&gt;0")</f>
        <v>0</v>
      </c>
      <c r="MG120" s="6">
        <f>COUNTIFS(Table31[Country],Tabela1[[#This Row],[Country]],Table31[50kg Classification],"&gt;0")</f>
        <v>0</v>
      </c>
      <c r="MH120" s="6">
        <f>COUNTIFS(Table31[Country],Tabela1[[#This Row],[Country]],Table31[53kg Classification],"&gt;0")</f>
        <v>0</v>
      </c>
      <c r="MI120" s="6">
        <f>COUNTIFS(Table31[Country],Tabela1[[#This Row],[Country]],Table31[57kg Classification],"&gt;0")</f>
        <v>0</v>
      </c>
      <c r="MJ120" s="6">
        <f>COUNTIFS(Table31[Country],Tabela1[[#This Row],[Country]],Table31[62kg Classification],"&gt;0")</f>
        <v>0</v>
      </c>
      <c r="MK120" s="6">
        <f>COUNTIFS(Table31[Country],Tabela1[[#This Row],[Country]],Table31[68kg Classification],"&gt;0")</f>
        <v>0</v>
      </c>
      <c r="ML120" s="6">
        <f>COUNTIFS(Table31[Country],Tabela1[[#This Row],[Country]],Table31[76kg Classification],"&gt;0")</f>
        <v>0</v>
      </c>
      <c r="MM120" s="6">
        <f>COUNTIFS(Table102[Country],Tabela1[[#This Row],[Country]],Table102[Downhill Classification],"&gt;0")</f>
        <v>0</v>
      </c>
      <c r="MN120" s="6">
        <f>COUNTIFS(Table102105[Country],Tabela1[[#This Row],[Country]],Table102105[Downhill Classification],"&gt;0")</f>
        <v>0</v>
      </c>
      <c r="MO120" s="6">
        <f>COUNTIFS(Table102[Country],Tabela1[[#This Row],[Country]],Table102[Giant Slalom Classification],"&gt;0")</f>
        <v>0</v>
      </c>
      <c r="MP120" s="6">
        <f>COUNTIFS(Table102105[Country],Tabela1[[#This Row],[Country]],Table102105[Giant Slalom Classification],"&gt;0")</f>
        <v>0</v>
      </c>
      <c r="MQ120" s="6">
        <f>COUNTIFS(Table102[Country],Tabela1[[#This Row],[Country]],Table102[Slalom Classification],"&gt;0")</f>
        <v>0</v>
      </c>
      <c r="MR120" s="6">
        <f>COUNTIFS(Table102105[Country],Tabela1[[#This Row],[Country]],Table102105[Slalom Classification],"&gt;0")</f>
        <v>0</v>
      </c>
      <c r="MS120" s="6">
        <f>COUNTIFS(Table102[Country],Tabela1[[#This Row],[Country]],Table102[Super-G Classification],"&gt;0")</f>
        <v>0</v>
      </c>
      <c r="MT120" s="6">
        <f>COUNTIFS(Table102105[Country],Tabela1[[#This Row],[Country]],Table102105[Super-G Classification],"&gt;0")</f>
        <v>0</v>
      </c>
      <c r="MU120" s="6">
        <f>COUNTIFS(Table105[Country],Tabela1[[#This Row],[Country]],Table105[Men''s Combined Classification],"&gt;0")</f>
        <v>0</v>
      </c>
      <c r="MV120" s="6">
        <f>COUNTIFS(Table105[Country],Tabela1[[#This Row],[Country]],Table105[Women''s Combined Classification],"&gt;0")</f>
        <v>0</v>
      </c>
      <c r="MW120" s="6">
        <f>COUNTIFS(Table106[Country],Tabela1[[#This Row],[Country]],Table106[Individual Classification],"&gt;0")</f>
        <v>0</v>
      </c>
      <c r="MX120" s="6">
        <f>COUNTIFS(Table106109[Country],Tabela1[[#This Row],[Country]],Table106109[Individual Classification],"&gt;0")</f>
        <v>0</v>
      </c>
      <c r="MY120" s="6">
        <f>COUNTIFS(Table106[Country],Tabela1[[#This Row],[Country]],Table106[Mass Start Classification],"&gt;0")</f>
        <v>0</v>
      </c>
      <c r="MZ120" s="6">
        <f>COUNTIFS(Table106109[Country],Tabela1[[#This Row],[Country]],Table106109[Mass Start Classification],"&gt;0")</f>
        <v>0</v>
      </c>
      <c r="NA120" s="6">
        <f>COUNTIFS(Table106[Country],Tabela1[[#This Row],[Country]],Table106[Pursuit Classification],"&gt;0")</f>
        <v>0</v>
      </c>
      <c r="NB120" s="6">
        <f>COUNTIFS(Table106109[Country],Tabela1[[#This Row],[Country]],Table106109[Pursuit Classification],"&gt;0")</f>
        <v>0</v>
      </c>
      <c r="NC120" s="6">
        <f>COUNTIFS(Table106[Country],Tabela1[[#This Row],[Country]],Table106[Sprint Classification],"&gt;0")</f>
        <v>0</v>
      </c>
      <c r="ND120" s="6">
        <f>COUNTIFS(Table106109[Country],Tabela1[[#This Row],[Country]],Table106109[Sprint Classification],"&gt;0")</f>
        <v>0</v>
      </c>
      <c r="NE120" s="6">
        <f>COUNTIFS(Table109[Country],Tabela1[[#This Row],[Country]],Table109[Men''s Relay Classification],"&gt;0")</f>
        <v>0</v>
      </c>
      <c r="NF120" s="6">
        <f>COUNTIFS(Table109[Country],Tabela1[[#This Row],[Country]],Table109[Women''s Relay Classification],"&gt;0")</f>
        <v>0</v>
      </c>
      <c r="NG120" s="6">
        <f>COUNTIFS(Table109[Country],Tabela1[[#This Row],[Country]],Table109[Mixed Relay Classification],"&gt;0")</f>
        <v>0</v>
      </c>
      <c r="NH120" s="6">
        <f>COUNTIFS(Table110[Country],Tabela1[[#This Row],[Country]],Table110[Monobob Classification],"&gt;0")</f>
        <v>0</v>
      </c>
      <c r="NI120" s="6">
        <f>COUNTIFS(Table111[Country],Tabela1[[#This Row],[Country]],Table111[Men''s Classification],"&gt;0")</f>
        <v>0</v>
      </c>
      <c r="NJ120" s="6">
        <f>COUNTIFS(Table111[Country],Tabela1[[#This Row],[Country]],Table111[Women''s Classification],"&gt;0")</f>
        <v>0</v>
      </c>
      <c r="NK120" s="6">
        <f>COUNTIFS(Table112[Country],Tabela1[[#This Row],[Country]],Table112[Men''s Four Classification],"&gt;0")</f>
        <v>0</v>
      </c>
      <c r="NL120" s="6">
        <f>COUNTIFS(Table113[Country],Tabela1[[#This Row],[Country]],Table113[Classical Classification],"&gt;0")</f>
        <v>0</v>
      </c>
      <c r="NM120" s="6">
        <f>COUNTIFS(Table113116[Country],Tabela1[[#This Row],[Country]],Table113116[Classical Classification],"&gt;0")</f>
        <v>0</v>
      </c>
      <c r="NN120" s="6">
        <f>COUNTIFS(Table113[Country],Tabela1[[#This Row],[Country]],Table113[Freestyle Classification],"&gt;0")</f>
        <v>0</v>
      </c>
      <c r="NO120" s="6">
        <f>COUNTIFS(Table113116[Country],Tabela1[[#This Row],[Country]],Table113116[Freestyle Classification],"&gt;0")</f>
        <v>0</v>
      </c>
      <c r="NP120" s="6">
        <f>COUNTIFS(Table117[Country],Tabela1[[#This Row],[Country]],Table117[Men''s Relay Classification],"&gt;0")</f>
        <v>0</v>
      </c>
      <c r="NQ120" s="6">
        <f>COUNTIFS(Table117[Country],Tabela1[[#This Row],[Country]],Table117[Women''s Relay Classification],"&gt;0")</f>
        <v>0</v>
      </c>
      <c r="NR120" s="6">
        <f>COUNTIFS(Table113[Country],Tabela1[[#This Row],[Country]],Table113[Skiathlon Classification],"&gt;0")</f>
        <v>0</v>
      </c>
      <c r="NS120" s="6">
        <f>COUNTIFS(Table113116[Country],Tabela1[[#This Row],[Country]],Table113116[Skiathlon Classification],"&gt;0")</f>
        <v>0</v>
      </c>
      <c r="NT120" s="6">
        <f>COUNTIFS(Table113[Country],Tabela1[[#This Row],[Country]],Table113[Sprint Classification],"&gt;0")</f>
        <v>0</v>
      </c>
      <c r="NU120" s="6">
        <f>COUNTIFS(Table113116[Country],Tabela1[[#This Row],[Country]],Table113116[Sprint Classification],"&gt;0")</f>
        <v>0</v>
      </c>
      <c r="NV120" s="6">
        <f>COUNTIFS(Table116[Country],Tabela1[[#This Row],[Country]],Table116[Men''s Team Sprint Classification],"&gt;0")</f>
        <v>0</v>
      </c>
      <c r="NW120" s="6">
        <f>COUNTIFS(Table116[Country],Tabela1[[#This Row],[Country]],Table116[Women''s Team Sprint Classification],"&gt;0")</f>
        <v>0</v>
      </c>
      <c r="NX120" s="6">
        <f>COUNTIFS(Table119[Country],Tabela1[[#This Row],[Country]],Table119[Men''s Classification],"&gt;0")</f>
        <v>0</v>
      </c>
      <c r="NY120" s="6">
        <f>COUNTIFS(Table119[Country],Tabela1[[#This Row],[Country]],Table119[Women''s Classification],"&gt;0")</f>
        <v>0</v>
      </c>
      <c r="NZ120" s="6">
        <f>COUNTIFS(Table118[Country],Tabela1[[#This Row],[Country]],Table118[Mixed Classification],"&gt;0")</f>
        <v>0</v>
      </c>
      <c r="OA120" s="6">
        <f>COUNTIFS(Table120[Country],Tabela1[[#This Row],[Country]],Table120[Classification],"&gt;0")</f>
        <v>0</v>
      </c>
      <c r="OB120" s="6">
        <f>COUNTIFS(Table120123[Country],Tabela1[[#This Row],[Country]],Table120123[Classification],"&gt;0")</f>
        <v>0</v>
      </c>
      <c r="OC120" s="6">
        <f>COUNTIFS(Table123[Country],Tabela1[[#This Row],[Country]],Table123[Ice Dance Classification],"&gt;0")</f>
        <v>0</v>
      </c>
      <c r="OD120" s="6">
        <f>COUNTIFS(Table123[Country],Tabela1[[#This Row],[Country]],Table123[Pair Skating Classification],"&gt;0")</f>
        <v>0</v>
      </c>
      <c r="OE120" s="6">
        <f>COUNTIFS(Table124[Country],Tabela1[[#This Row],[Country]],Table124[Mixed Classification],"&gt;0")</f>
        <v>0</v>
      </c>
      <c r="OF120" s="6">
        <f>COUNTIFS(Table125[Country],Tabela1[[#This Row],[Country]],Table125[Aerials Classification],"&gt;0")</f>
        <v>0</v>
      </c>
      <c r="OG120" s="6">
        <f>COUNTIFS(Table125128[Country],Tabela1[[#This Row],[Country]],Table125128[Aerials Classification],"&gt;0")</f>
        <v>0</v>
      </c>
      <c r="OH120" s="6">
        <f>COUNTIFS(Table128[Country],Tabela1[[#This Row],[Country]],Table128[Mixed Aerials Classification],"&gt;0")</f>
        <v>0</v>
      </c>
      <c r="OI120" s="6">
        <f>COUNTIFS(Table125[Country],Tabela1[[#This Row],[Country]],Table125[Big Air Classification],"&gt;0")</f>
        <v>0</v>
      </c>
      <c r="OJ120" s="6">
        <f>COUNTIFS(Table125128[Country],Tabela1[[#This Row],[Country]],Table125128[Big Air Classification],"&gt;0")</f>
        <v>0</v>
      </c>
      <c r="OK120" s="6">
        <f>COUNTIFS(Table125[Country],Tabela1[[#This Row],[Country]],Table125[Dual Moguls Classification],"&gt;0")</f>
        <v>0</v>
      </c>
      <c r="OL120" s="6">
        <f>COUNTIFS(Table125128[Country],Tabela1[[#This Row],[Country]],Table125128[Dual Moguls Classification],"&gt;0")</f>
        <v>0</v>
      </c>
      <c r="OM120" s="6">
        <f>COUNTIFS(Table125[Country],Tabela1[[#This Row],[Country]],Table125[Halfpipe Classification],"&gt;0")</f>
        <v>0</v>
      </c>
      <c r="ON120" s="6">
        <f>COUNTIFS(Table125128[Country],Tabela1[[#This Row],[Country]],Table125128[Halfpipe Classification],"&gt;0")</f>
        <v>0</v>
      </c>
      <c r="OO120" s="6">
        <f>COUNTIFS(Table125[Country],Tabela1[[#This Row],[Country]],Table125[Moguls Classification],"&gt;0")</f>
        <v>0</v>
      </c>
      <c r="OP120" s="6">
        <f>COUNTIFS(Table125128[Country],Tabela1[[#This Row],[Country]],Table125128[Moguls Classification],"&gt;0")</f>
        <v>0</v>
      </c>
      <c r="OQ120" s="6">
        <f>COUNTIFS(Table125[Country],Tabela1[[#This Row],[Country]],Table125[Ski Cross Classification],"&gt;0")</f>
        <v>0</v>
      </c>
      <c r="OR120" s="6">
        <f>COUNTIFS(Table125128[Country],Tabela1[[#This Row],[Country]],Table125128[Ski Cross Classification],"&gt;0")</f>
        <v>0</v>
      </c>
      <c r="OS120" s="6">
        <f>COUNTIFS(Table125[Country],Tabela1[[#This Row],[Country]],Table125[Slopestyle Classification],"&gt;0")</f>
        <v>0</v>
      </c>
      <c r="OT120" s="6">
        <f>COUNTIFS(Table125128[Country],Tabela1[[#This Row],[Country]],Table125128[Slopestyle Classification],"&gt;0")</f>
        <v>0</v>
      </c>
      <c r="OU120" s="6">
        <f>COUNTIFS(Table119131[Country],Tabela1[[#This Row],[Country]],Table119131[Men''s Classification],"&gt;0")</f>
        <v>0</v>
      </c>
      <c r="OV120" s="6">
        <f>COUNTIFS(Table119131[Country],Tabela1[[#This Row],[Country]],Table119131[Women''s Classification],"&gt;0")</f>
        <v>0</v>
      </c>
      <c r="OW120" s="6">
        <f>COUNTIFS(Table131[Country],Tabela1[[#This Row],[Country]],Table131[Classification],"&gt;0")</f>
        <v>0</v>
      </c>
      <c r="OX120" s="6">
        <f>COUNTIFS(Table131134[Country],Tabela1[[#This Row],[Country]],Table131134[Classification],"&gt;0")</f>
        <v>0</v>
      </c>
      <c r="OY120" s="6">
        <f>COUNTIFS(Table134[Country],Tabela1[[#This Row],[Country]],Table134[Men''s Classification],"&gt;0")</f>
        <v>0</v>
      </c>
      <c r="OZ120" s="6">
        <f>COUNTIFS(Table134[Country],Tabela1[[#This Row],[Country]],Table134[Women''s Classification],"&gt;0")</f>
        <v>0</v>
      </c>
      <c r="PA120" s="6">
        <f>COUNTIFS(Table135[Country],Tabela1[[#This Row],[Country]],Table135[Mixed Relay Classification],"&gt;0")</f>
        <v>0</v>
      </c>
      <c r="PB120" s="6">
        <f>COUNTIFS(Table136[Country],Tabela1[[#This Row],[Country]],Table136[Individual Classification],"&gt;0")</f>
        <v>0</v>
      </c>
      <c r="PC120" s="6">
        <f>COUNTIFS(Table136[Country],Tabela1[[#This Row],[Country]],Table136[Sprint Classification],"&gt;0")</f>
        <v>0</v>
      </c>
      <c r="PD120" s="6">
        <f>COUNTIFS(Table137[Country],Tabela1[[#This Row],[Country]],Table137[Men''s Team Sprint Large Hill Classification],"&gt;0")</f>
        <v>0</v>
      </c>
      <c r="PE120" s="6">
        <f>COUNTIFS(Table138[Country],Tabela1[[#This Row],[Country]],Table138[500m Classification],"&gt;0")</f>
        <v>0</v>
      </c>
      <c r="PF120" s="6">
        <f>COUNTIFS(Table138141[Country],Tabela1[[#This Row],[Country]],Table138141[500m Classification],"&gt;0")</f>
        <v>0</v>
      </c>
      <c r="PG120" s="6">
        <f>COUNTIFS(Table138[Country],Tabela1[[#This Row],[Country]],Table138[1000m Classification],"&gt;0")</f>
        <v>0</v>
      </c>
      <c r="PH120" s="6">
        <f>COUNTIFS(Table138141[Country],Tabela1[[#This Row],[Country]],Table138141[1000m Classification],"&gt;0")</f>
        <v>0</v>
      </c>
      <c r="PI120" s="6">
        <f>COUNTIFS(Table138[Country],Tabela1[[#This Row],[Country]],Table138[1500m Classification],"&gt;0")</f>
        <v>0</v>
      </c>
      <c r="PJ120" s="6">
        <f>COUNTIFS(Table138141[Country],Tabela1[[#This Row],[Country]],Table138141[1500m Classification],"&gt;0")</f>
        <v>0</v>
      </c>
      <c r="PK120" s="6">
        <f>COUNTIFS(Table141[Country],Tabela1[[#This Row],[Country]],Table141[Men''s 5000m Relay Classification],"&gt;0")</f>
        <v>0</v>
      </c>
      <c r="PL120" s="6">
        <f>COUNTIFS(Table141[Country],Tabela1[[#This Row],[Country]],Table141[Women''s 3000m Relay Classification],"&gt;0")</f>
        <v>0</v>
      </c>
      <c r="PM120" s="6">
        <f>COUNTIFS(Table141[Country],Tabela1[[#This Row],[Country]],Table141[Mixed 2000m Relay Classification],"&gt;0")</f>
        <v>0</v>
      </c>
      <c r="PN120" s="6">
        <f>COUNTIFS(Table142[Country],Tabela1[[#This Row],[Country]],Table142[Classification],"&gt;0")</f>
        <v>0</v>
      </c>
      <c r="PO120" s="6">
        <f>COUNTIFS(Table142145[Country],Tabela1[[#This Row],[Country]],Table142145[Classification],"&gt;0")</f>
        <v>0</v>
      </c>
      <c r="PP120" s="6">
        <f>COUNTIFS(Tabela15[Country],Tabela1[[#This Row],[Country]],Tabela15[Mixed Team Classification],"&gt;0")</f>
        <v>0</v>
      </c>
      <c r="PQ120" s="6">
        <f>COUNTIFS(Table145[Country],Tabela1[[#This Row],[Country]],Table145[Large Hill Classification],"&gt;0")</f>
        <v>0</v>
      </c>
      <c r="PR120" s="6">
        <f>COUNTIFS(Table145[Country],Tabela1[[#This Row],[Country]],Table145[Normal Hill Classification],"&gt;0")</f>
        <v>0</v>
      </c>
      <c r="PS120" s="6">
        <f>COUNTIFS(Table145148[Country],Tabela1[[#This Row],[Country]],Table145148[Large Hill Classification],"&gt;0")</f>
        <v>0</v>
      </c>
      <c r="PT120" s="6">
        <f>COUNTIFS(Table145148[Country],Tabela1[[#This Row],[Country]],Table145148[Normal Hill Classification],"&gt;0")</f>
        <v>0</v>
      </c>
      <c r="PU120" s="6">
        <f>COUNTIFS(Table148[Country],Tabela1[[#This Row],[Country]],Table148[Men''s Super Team Classification],"&gt;0")</f>
        <v>0</v>
      </c>
      <c r="PV120" s="6">
        <f>COUNTIFS(Tabela114[Country],Tabela1[[#This Row],[Country]],Tabela114[Mixed Normal Hill Classification],"&gt;0")</f>
        <v>0</v>
      </c>
      <c r="PW120" s="6">
        <f>COUNTIFS(Tabela50[Country],Tabela1[[#This Row],[Country]],Tabela50[Sprint Classification],"&gt;0")</f>
        <v>0</v>
      </c>
      <c r="PX120" s="6">
        <f>COUNTIFS(Tabela50101[Country],Tabela1[[#This Row],[Country]],Tabela50101[Sprint Classification],"&gt;0")</f>
        <v>0</v>
      </c>
      <c r="PY120" s="6">
        <f>COUNTIFS(Tabela103[Country],Tabela1[[#This Row],[Country]],Tabela103[Mixed Relay Classification],"&gt;0")</f>
        <v>0</v>
      </c>
      <c r="PZ120" s="6">
        <f>COUNTIFS(Table149[Country],Tabela1[[#This Row],[Country]],Table149[Big Air Classification],"&gt;0")</f>
        <v>0</v>
      </c>
      <c r="QA120" s="6">
        <f>COUNTIFS(Table149152[Country],Tabela1[[#This Row],[Country]],Table149152[Big Air Classification],"&gt;0")</f>
        <v>0</v>
      </c>
      <c r="QB120" s="6">
        <f>COUNTIFS(Table149[Country],Tabela1[[#This Row],[Country]],Table149[Halfpipe Classification],"&gt;0")</f>
        <v>0</v>
      </c>
      <c r="QC120" s="6">
        <f>COUNTIFS(Table149152[Country],Tabela1[[#This Row],[Country]],Table149152[Halfpipe Classification],"&gt;0")</f>
        <v>0</v>
      </c>
      <c r="QD120" s="6">
        <f>COUNTIFS(Table149[Country],Tabela1[[#This Row],[Country]],Table149[Parallel Giant Slalom Classification],"&gt;0")</f>
        <v>0</v>
      </c>
      <c r="QE120" s="6">
        <f>COUNTIFS(Table149152[Country],Tabela1[[#This Row],[Country]],Table149152[Parallel Giant Slalom Classification],"&gt;0")</f>
        <v>0</v>
      </c>
      <c r="QF120" s="6">
        <f>COUNTIFS(Table149[Country],Tabela1[[#This Row],[Country]],Table149[Slopestyle Classification],"&gt;0")</f>
        <v>0</v>
      </c>
      <c r="QG120" s="6">
        <f>COUNTIFS(Table149152[Country],Tabela1[[#This Row],[Country]],Table149152[Slopestyle Classification],"&gt;0")</f>
        <v>0</v>
      </c>
      <c r="QH120" s="6">
        <f>COUNTIFS(Table149[Country],Tabela1[[#This Row],[Country]],Table149[Snowboard Cross Classification],"&gt;0")</f>
        <v>0</v>
      </c>
      <c r="QI120" s="6">
        <f>COUNTIFS(Table149152[Country],Tabela1[[#This Row],[Country]],Table149152[Snowboard Cross Classification],"&gt;0")</f>
        <v>0</v>
      </c>
      <c r="QJ120" s="6">
        <f>COUNTIFS(Table153[Country],Tabela1[[#This Row],[Country]],Table153[Mixed Team Snowboard Cross Classification],"&gt;0")</f>
        <v>0</v>
      </c>
      <c r="QK120" s="6">
        <f>COUNTIFS(Table154[Country],Tabela1[[#This Row],[Country]],Table154[500m Classification],"&gt;0")</f>
        <v>0</v>
      </c>
      <c r="QL120" s="6">
        <f>COUNTIFS(Table154157[Country],Tabela1[[#This Row],[Country]],Table154157[500m Classification],"&gt;0")</f>
        <v>0</v>
      </c>
      <c r="QM120" s="6">
        <f>COUNTIFS(Table154[Country],Tabela1[[#This Row],[Country]],Table154[1000m Classification],"&gt;0")</f>
        <v>0</v>
      </c>
      <c r="QN120" s="6">
        <f>COUNTIFS(Table154157[Country],Tabela1[[#This Row],[Country]],Table154157[1000m Classification],"&gt;0")</f>
        <v>0</v>
      </c>
      <c r="QO120" s="6">
        <f>COUNTIFS(Table154[Country],Tabela1[[#This Row],[Country]],Table154[1500m Classification],"&gt;0")</f>
        <v>0</v>
      </c>
      <c r="QP120" s="6">
        <f>COUNTIFS(Table154157[Country],Tabela1[[#This Row],[Country]],Table154157[1500m Classification],"&gt;0")</f>
        <v>0</v>
      </c>
      <c r="QQ120" s="6">
        <f>COUNTIFS(Table154157[Country],Tabela1[[#This Row],[Country]],Table154157[3000m Classification],"&gt;0")</f>
        <v>0</v>
      </c>
      <c r="QR120" s="6">
        <f>COUNTIFS(Table154[Country],Tabela1[[#This Row],[Country]],Table154[5000m Classification],"&gt;0")</f>
        <v>0</v>
      </c>
      <c r="QS120" s="6">
        <f>COUNTIFS(Table154157[Country],Tabela1[[#This Row],[Country]],Table154157[5000m Classification],"&gt;0")</f>
        <v>0</v>
      </c>
      <c r="QT120" s="6">
        <f>COUNTIFS(Table154[Country],Tabela1[[#This Row],[Country]],Table154[10000m Classification],"&gt;0")</f>
        <v>0</v>
      </c>
      <c r="QU120" s="6">
        <f>COUNTIFS(Table154[Country],Tabela1[[#This Row],[Country]],Table154[Mass Start Classification],"&gt;0")</f>
        <v>0</v>
      </c>
      <c r="QV120" s="6">
        <f>COUNTIFS(Table154157[Country],Tabela1[[#This Row],[Country]],Table154157[Mass Start Classification],"&gt;0")</f>
        <v>0</v>
      </c>
      <c r="QW120" s="6">
        <f>COUNTIFS(Table157[Country],Tabela1[[#This Row],[Country]],Table157[Men''s Pursuit Classification],"&gt;0")</f>
        <v>0</v>
      </c>
      <c r="QX120" s="6">
        <f>COUNTIFS(Table157[Country],Tabela1[[#This Row],[Country]],Table157[Women''s Pursuit Classification],"&gt;0")</f>
        <v>0</v>
      </c>
      <c r="QY120" s="3" t="s">
        <v>731</v>
      </c>
    </row>
    <row r="121" spans="1:467" x14ac:dyDescent="0.3">
      <c r="A121" s="6">
        <v>120</v>
      </c>
      <c r="B121" s="6" t="s">
        <v>518</v>
      </c>
      <c r="C121" t="e" vm="120">
        <f>IF(ISBLANK(Tabela1[[#This Row],[Image Link]]), "", _xlfn.IMAGE(Tabela1[[#This Row],[Image Link]],1,1))</f>
        <v>#VALUE!</v>
      </c>
      <c r="D121" s="6">
        <f>SUM(Tabela1[[#This Row],[Archery - Men''s Individual Recurve]:[Speed Skating - Women''s Team Pursuit]])</f>
        <v>2</v>
      </c>
      <c r="E121" s="6">
        <f>COUNTIF(Tabela1[[#This Row],[Archery - Men''s Individual Recurve]:[Speed Skating - Women''s Team Pursuit]],"&gt;0")</f>
        <v>2</v>
      </c>
      <c r="F121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21" s="6">
        <f>SUM(Tabela1[[#This Row],[Archery - Men''s Individual Recurve]:[Wrestling - Women''s Freestyle 76kg]])</f>
        <v>2</v>
      </c>
      <c r="H121" s="6">
        <f>SUM(Tabela1[[#This Row],[Alpine Skiing - Men''s Downhill]:[Speed Skating - Women''s Team Pursuit]])</f>
        <v>0</v>
      </c>
      <c r="I121" s="6">
        <f>Tabela1[[#This Row],[Summer Gold Medals]]+Tabela1[[#This Row],[Winter Gold Medals]]</f>
        <v>1</v>
      </c>
      <c r="J121" s="6">
        <f>Tabela1[[#This Row],[Summer Silver Medals]]+Tabela1[[#This Row],[Winter Silver Medals]]</f>
        <v>2</v>
      </c>
      <c r="K121" s="6">
        <f>Tabela1[[#This Row],[Summer Bronze Medals]]+Tabela1[[#This Row],[Winter Bronze Medals]]</f>
        <v>1</v>
      </c>
      <c r="L121" s="6">
        <f>SUM(Tabela1[[#This Row],[Total Gold Medals]:[Total Bronze Medals]])</f>
        <v>4</v>
      </c>
      <c r="M121" s="6">
        <v>1</v>
      </c>
      <c r="N121" s="6">
        <v>2</v>
      </c>
      <c r="O121" s="6">
        <v>1</v>
      </c>
      <c r="P121" s="6">
        <f>SUM(Tabela1[[#This Row],[Summer Gold Medals]:[Summer Bronze Medals]])</f>
        <v>4</v>
      </c>
      <c r="Q121" s="6"/>
      <c r="R121" s="6"/>
      <c r="S121" s="6"/>
      <c r="T121" s="6">
        <f>Tabela1[[#This Row],[Winter Gold Medals]]+Tabela1[[#This Row],[Winter Silver Medals]]+Tabela1[[#This Row],[Winter Bronze Medals]]</f>
        <v>0</v>
      </c>
      <c r="U121" s="7">
        <f>Tabela1[[#This Row],[Total Medals]]/Tabela1[[#This Row],[Total Quotas]]</f>
        <v>2</v>
      </c>
      <c r="V121" s="6">
        <f>COUNTIFS(Table3[Country],Tabela1[[#This Row],[Country]],Table3[Recurve Classification],"&gt;0")</f>
        <v>0</v>
      </c>
      <c r="W121" s="6">
        <f>COUNTIFS(Table33[Country],Tabela1[[#This Row],[Country]],Table33[Recurve Classification],"&gt;0")</f>
        <v>0</v>
      </c>
      <c r="X121" s="6">
        <f>COUNTIFS(Table35[Country],Tabela1[[#This Row],[Country]],Table35[Men''s Team Recurve Classification],"&gt;0")</f>
        <v>0</v>
      </c>
      <c r="Y121" s="6">
        <f>COUNTIFS(Table35[Country],Tabela1[[#This Row],[Country]],Table35[Women''s Team Recurve Classification],"&gt;0")</f>
        <v>0</v>
      </c>
      <c r="Z121" s="6">
        <f>COUNTIFS(Tabela88[Country],Tabela1[[#This Row],[Country]],Tabela88[Mixed Team Recurve Classification],"&gt;0")</f>
        <v>0</v>
      </c>
      <c r="AA121" s="6">
        <f>COUNTIFS(Table36[Country],Tabela1[[#This Row],[Country]],Table36[Classification],"&gt;0")</f>
        <v>0</v>
      </c>
      <c r="AB121" s="6">
        <f>COUNTIFS(Table37[Country],Tabela1[[#This Row],[Country]],Table37[Classification],"&gt;0")</f>
        <v>0</v>
      </c>
      <c r="AC121" s="6">
        <f>COUNTIFS(Table4[Country],Tabela1[[#This Row],[Country]],Table4[100m Classification],"&gt;0")</f>
        <v>0</v>
      </c>
      <c r="AD121" s="6">
        <f>COUNTIFS(Table5[Country],Tabela1[[#This Row],[Country]],Table5[100m Classification],"&gt;0")</f>
        <v>0</v>
      </c>
      <c r="AE121" s="6">
        <f>COUNTIFS(Table4[Country],Tabela1[[#This Row],[Country]],Table4[200m Classification],"&gt;0")</f>
        <v>0</v>
      </c>
      <c r="AF121" s="6">
        <f>COUNTIFS(Table5[Country],Tabela1[[#This Row],[Country]],Table5[200m Classification],"&gt;0")</f>
        <v>0</v>
      </c>
      <c r="AG121" s="6">
        <f>COUNTIFS(Table4[Country],Tabela1[[#This Row],[Country]],Table4[400m Classification],"&gt;0")</f>
        <v>0</v>
      </c>
      <c r="AH121" s="6">
        <f>COUNTIFS(Table5[Country],Tabela1[[#This Row],[Country]],Table5[400m Classification],"&gt;0")</f>
        <v>0</v>
      </c>
      <c r="AI121" s="6">
        <f>COUNTIFS(Table4[Country],Tabela1[[#This Row],[Country]],Table4[800m Classification],"&gt;0")</f>
        <v>0</v>
      </c>
      <c r="AJ121" s="6">
        <f>COUNTIFS(Table5[Country],Tabela1[[#This Row],[Country]],Table5[800m Classification],"&gt;0")</f>
        <v>0</v>
      </c>
      <c r="AK121" s="6">
        <f>COUNTIFS(Table4[Country],Tabela1[[#This Row],[Country]],Table4[1500m Classification],"&gt;0")</f>
        <v>0</v>
      </c>
      <c r="AL121" s="6">
        <f>COUNTIFS(Table5[Country],Tabela1[[#This Row],[Country]],Table5[1500m Classification],"&gt;0")</f>
        <v>0</v>
      </c>
      <c r="AM121" s="6">
        <f>COUNTIFS(Table4[Country],Tabela1[[#This Row],[Country]],Table4[5000m Classification],"&gt;0")</f>
        <v>0</v>
      </c>
      <c r="AN121" s="6">
        <f>COUNTIFS(Table5[Country],Tabela1[[#This Row],[Country]],Table5[5000m Classification],"&gt;0")</f>
        <v>0</v>
      </c>
      <c r="AO121" s="6">
        <f>COUNTIFS(Table4[Country],Tabela1[[#This Row],[Country]],Table4[10000m Classification],"&gt;0")</f>
        <v>0</v>
      </c>
      <c r="AP121" s="6">
        <f>COUNTIFS(Table5[Country],Tabela1[[#This Row],[Country]],Table5[10000m Classification],"&gt;0")</f>
        <v>0</v>
      </c>
      <c r="AQ121" s="6">
        <f>COUNTIFS(Table4[Country],Tabela1[[#This Row],[Country]],Table4[110m Hurdles Classification],"&gt;0")</f>
        <v>0</v>
      </c>
      <c r="AR121" s="6">
        <f>COUNTIFS(Table5[Country],Tabela1[[#This Row],[Country]],Table5[100m Hurdles Classification],"&gt;0")</f>
        <v>0</v>
      </c>
      <c r="AS121" s="6">
        <f>COUNTIFS(Table4[Country],Tabela1[[#This Row],[Country]],Table4[400m Hurdles Classification],"&gt;0")</f>
        <v>0</v>
      </c>
      <c r="AT121" s="6">
        <f>COUNTIFS(Table5[Country],Tabela1[[#This Row],[Country]],Table5[400m Hurdles Classification],"&gt;0")</f>
        <v>0</v>
      </c>
      <c r="AU121" s="6">
        <f>COUNTIFS(Table4[Country],Tabela1[[#This Row],[Country]],Table4[3000m Steeplechase Classification],"&gt;0")</f>
        <v>0</v>
      </c>
      <c r="AV121" s="6">
        <f>COUNTIFS(Table5[Country],Tabela1[[#This Row],[Country]],Table5[3000m Steeplechase Classification],"&gt;0")</f>
        <v>0</v>
      </c>
      <c r="AW121" s="6">
        <f>COUNTIFS(Table27[Country],Tabela1[[#This Row],[Country]],Table27[Men''s 4x100m Relay Classification],"&gt;0")</f>
        <v>0</v>
      </c>
      <c r="AX121" s="6">
        <f>COUNTIFS(Table27[Country],Tabela1[[#This Row],[Country]],Table27[Women''s 4x100m Relay Classification],"&gt;0")</f>
        <v>0</v>
      </c>
      <c r="AY121" s="6">
        <f>COUNTIFS(Table27[Country],Tabela1[[#This Row],[Country]],Table27[Men''s 4x400m Relay Classification],"&gt;0")</f>
        <v>0</v>
      </c>
      <c r="AZ121" s="6">
        <f>COUNTIFS(Table27[Country],Tabela1[[#This Row],[Country]],Table27[Women''s 4x400m Relay Classification],"&gt;0")</f>
        <v>0</v>
      </c>
      <c r="BA121" s="6">
        <f>COUNTIFS(Table27[Country],Tabela1[[#This Row],[Country]],Table27[Mixed 4x400m Relay Classification],"&gt;0")</f>
        <v>0</v>
      </c>
      <c r="BB121" s="6">
        <f>COUNTIFS(Table4[Country],Tabela1[[#This Row],[Country]],Table4[Marathon Classification],"&gt;0")</f>
        <v>0</v>
      </c>
      <c r="BC121" s="6">
        <f>COUNTIFS(Table5[Country],Tabela1[[#This Row],[Country]],Table5[Marathon Classification],"&gt;0")</f>
        <v>0</v>
      </c>
      <c r="BD121" s="6">
        <f>COUNTIFS(Table4[Country],Tabela1[[#This Row],[Country]],Table4[20km Race Walk Classification],"&gt;0")</f>
        <v>0</v>
      </c>
      <c r="BE121" s="6">
        <f>COUNTIFS(Table5[Country],Tabela1[[#This Row],[Country]],Table5[20km Race Walk Classification],"&gt;0")</f>
        <v>0</v>
      </c>
      <c r="BF121" s="6">
        <f>COUNTIFS(Tabela96[Country],Tabela1[[#This Row],[Country]],Tabela96[Mixed Marathon Race Walk Relay Classification],"&gt;0")</f>
        <v>0</v>
      </c>
      <c r="BG121" s="6">
        <f>COUNTIFS(Table4[Country],Tabela1[[#This Row],[Country]],Table4[Discus Throw Classification],"&gt;0")</f>
        <v>0</v>
      </c>
      <c r="BH121" s="6">
        <f>COUNTIFS(Table5[Country],Tabela1[[#This Row],[Country]],Table5[Discus Throw Classification],"&gt;0")</f>
        <v>0</v>
      </c>
      <c r="BI121" s="6">
        <f>COUNTIFS(Table4[Country],Tabela1[[#This Row],[Country]],Table4[Hammer Throw Classification],"&gt;0")</f>
        <v>0</v>
      </c>
      <c r="BJ121" s="6">
        <f>COUNTIFS(Table5[Country],Tabela1[[#This Row],[Country]],Table5[Hammer Throw Classification],"&gt;0")</f>
        <v>0</v>
      </c>
      <c r="BK121" s="6">
        <f>COUNTIFS(Table4[Country],Tabela1[[#This Row],[Country]],Table4[High Jump Classification],"&gt;0")</f>
        <v>0</v>
      </c>
      <c r="BL121" s="6">
        <f>COUNTIFS(Table5[Country],Tabela1[[#This Row],[Country]],Table5[High Jump Classification],"&gt;0")</f>
        <v>0</v>
      </c>
      <c r="BM121" s="6">
        <f>COUNTIFS(Table4[Country],Tabela1[[#This Row],[Country]],Table4[Javelin Throw Classification],"&gt;0")</f>
        <v>0</v>
      </c>
      <c r="BN121" s="6">
        <f>COUNTIFS(Table5[Country],Tabela1[[#This Row],[Country]],Table5[Javelin Throw Classification],"&gt;0")</f>
        <v>0</v>
      </c>
      <c r="BO121" s="6">
        <f>COUNTIFS(Table4[Country],Tabela1[[#This Row],[Country]],Table4[Long Jump Classification],"&gt;0")</f>
        <v>0</v>
      </c>
      <c r="BP121" s="6">
        <f>COUNTIFS(Table5[Country],Tabela1[[#This Row],[Country]],Table5[Long Jump Classification],"&gt;0")</f>
        <v>0</v>
      </c>
      <c r="BQ121" s="6">
        <f>COUNTIFS(Table4[Country],Tabela1[[#This Row],[Country]],Table4[Pole Vault Classification],"&gt;0")</f>
        <v>0</v>
      </c>
      <c r="BR121" s="6">
        <f>COUNTIFS(Table5[Country],Tabela1[[#This Row],[Country]],Table5[Pole Vault Classification],"&gt;0")</f>
        <v>0</v>
      </c>
      <c r="BS121" s="6">
        <f>COUNTIFS(Table4[Country],Tabela1[[#This Row],[Country]],Table4[Shot Put Classification],"&gt;0")</f>
        <v>0</v>
      </c>
      <c r="BT121" s="6">
        <f>COUNTIFS(Table5[Country],Tabela1[[#This Row],[Country]],Table5[Shot Put Classification],"&gt;0")</f>
        <v>0</v>
      </c>
      <c r="BU121" s="6">
        <f>COUNTIFS(Table4[Country],Tabela1[[#This Row],[Country]],Table4[Triple Jump Classification],"&gt;0")</f>
        <v>0</v>
      </c>
      <c r="BV121" s="6">
        <f>COUNTIFS(Table5[Country],Tabela1[[#This Row],[Country]],Table5[Triple Jump Classification],"&gt;0")</f>
        <v>0</v>
      </c>
      <c r="BW121" s="6">
        <f>COUNTIFS(Table4[Country],Tabela1[[#This Row],[Country]],Table4[Decathlon Classification],"&gt;0")</f>
        <v>0</v>
      </c>
      <c r="BX121" s="6">
        <f>COUNTIFS(Table5[Country],Tabela1[[#This Row],[Country]],Table5[Heptathlon Classification],"&gt;0")</f>
        <v>0</v>
      </c>
      <c r="BY121" s="6">
        <f>COUNTIFS(Table61[Country],Tabela1[[#This Row],[Country]],Table61[Classification],"&gt;0")</f>
        <v>0</v>
      </c>
      <c r="BZ121" s="6">
        <f>COUNTIFS(Table38[Country],Tabela1[[#This Row],[Country]],Table38[Classification],"&gt;0")</f>
        <v>0</v>
      </c>
      <c r="CA121" s="6">
        <f>COUNTIFS(Table39[Country],Tabela1[[#This Row],[Country]],Table39[Men''s Classification],"&gt;0")</f>
        <v>0</v>
      </c>
      <c r="CB121" s="6">
        <f>COUNTIFS(Table39[Country],Tabela1[[#This Row],[Country]],Table39[Women''s Classification],"&gt;0")</f>
        <v>0</v>
      </c>
      <c r="CC121" s="6">
        <f>COUNTIFS(Table39[Country],Tabela1[[#This Row],[Country]],Table39[Mixed Classification],"&gt;0")</f>
        <v>0</v>
      </c>
      <c r="CD121" s="6">
        <f>COUNTIFS(Table89[Country],Tabela1[[#This Row],[Country]],Table89[Men''s Classification],"&gt;0")</f>
        <v>0</v>
      </c>
      <c r="CE121" s="6">
        <f>COUNTIFS(Table89[Country],Tabela1[[#This Row],[Country]],Table89[Women''s Classification],"&gt;0")</f>
        <v>0</v>
      </c>
      <c r="CF121" s="6">
        <f>COUNTIFS(Table90[Country],Tabela1[[#This Row],[Country]],Table90[Men''s Classification],"&gt;0")</f>
        <v>0</v>
      </c>
      <c r="CG121" s="6">
        <f>COUNTIFS(Table90[Country],Tabela1[[#This Row],[Country]],Table90[Women''s Classification],"&gt;0")</f>
        <v>0</v>
      </c>
      <c r="CH121" s="6">
        <f>COUNTIFS(Table60[Country],Tabela1[[#This Row],[Country]],Table60[Men''s Classification],"&gt;0")</f>
        <v>0</v>
      </c>
      <c r="CI121" s="6">
        <f>COUNTIFS(Table60[Country],Tabela1[[#This Row],[Country]],Table60[Women''s Classification],"&gt;0")</f>
        <v>0</v>
      </c>
      <c r="CJ121" s="6">
        <f>COUNTIFS(Table6[Country],Tabela1[[#This Row],[Country]],Table6[51kg Classification],"&gt;0")</f>
        <v>0</v>
      </c>
      <c r="CK121" s="6">
        <f>COUNTIFS(Table6[Country],Tabela1[[#This Row],[Country]],Table6[57kg Classification],"&gt;0")</f>
        <v>0</v>
      </c>
      <c r="CL121" s="6">
        <f>COUNTIFS(Table6[Country],Tabela1[[#This Row],[Country]],Table6[63.5kg Classification],"&gt;0")</f>
        <v>0</v>
      </c>
      <c r="CM121" s="6">
        <f>COUNTIFS(Table6[Country],Tabela1[[#This Row],[Country]],Table6[71kg Classification],"&gt;0")</f>
        <v>0</v>
      </c>
      <c r="CN121" s="6">
        <f>COUNTIFS(Table6[Country],Tabela1[[#This Row],[Country]],Table6[80kg Classification],"&gt;0")</f>
        <v>0</v>
      </c>
      <c r="CO121" s="6">
        <f>COUNTIFS(Table6[Country],Tabela1[[#This Row],[Country]],Table6[92kg Classification],"&gt;0")</f>
        <v>0</v>
      </c>
      <c r="CP121" s="6">
        <f>COUNTIFS(Table6[Country],Tabela1[[#This Row],[Country]],Table6[Plus 92kg Classification],"&gt;0")</f>
        <v>0</v>
      </c>
      <c r="CQ121" s="6">
        <f>COUNTIFS(Table7[Country],Tabela1[[#This Row],[Country]],Table7[50kg Classification],"&gt;0")</f>
        <v>0</v>
      </c>
      <c r="CR121" s="6">
        <f>COUNTIFS(Table7[Country],Tabela1[[#This Row],[Country]],Table7[54kg Classification],"&gt;0")</f>
        <v>0</v>
      </c>
      <c r="CS121" s="6">
        <f>COUNTIFS(Table7[Country],Tabela1[[#This Row],[Country]],Table7[57kg Classification],"&gt;0")</f>
        <v>0</v>
      </c>
      <c r="CT121" s="6">
        <f>COUNTIFS(Table7[Country],Tabela1[[#This Row],[Country]],Table7[60kg Classification],"&gt;0")</f>
        <v>0</v>
      </c>
      <c r="CU121" s="6">
        <f>COUNTIFS(Table7[Country],Tabela1[[#This Row],[Country]],Table7[66kg Classification],"&gt;0")</f>
        <v>0</v>
      </c>
      <c r="CV121" s="6">
        <f>COUNTIFS(Table7[Country],Tabela1[[#This Row],[Country]],Table7[75kg Classification],"&gt;0")</f>
        <v>0</v>
      </c>
      <c r="CW121" s="6">
        <f>COUNTIFS(Tabela94[Country],Tabela1[[#This Row],[Country]],Tabela94[Classification],"&gt;0")</f>
        <v>0</v>
      </c>
      <c r="CX121" s="6">
        <f>COUNTIFS(Tabela9499[Country],Tabela1[[#This Row],[Country]],Tabela9499[Classification],"&gt;0")</f>
        <v>0</v>
      </c>
      <c r="CY121" s="6">
        <f>COUNTIFS(Tabela107[Country],Tabela1[[#This Row],[Country]],Tabela107[C1 Slalom Classification],"&gt;0")</f>
        <v>0</v>
      </c>
      <c r="CZ121" s="6">
        <f>COUNTIFS(Tabela107122[Country],Tabela1[[#This Row],[Country]],Tabela107122[C1 Slalom Classification],"&gt;0")</f>
        <v>0</v>
      </c>
      <c r="DA121" s="6">
        <f>COUNTIFS(Tabela107[Country],Tabela1[[#This Row],[Country]],Tabela107[K1 Slalom Classification],"&gt;0")</f>
        <v>0</v>
      </c>
      <c r="DB121" s="6">
        <f>COUNTIFS(Tabela107122[Country],Tabela1[[#This Row],[Country]],Tabela107122[K1 Slalom Classification],"&gt;0")</f>
        <v>0</v>
      </c>
      <c r="DC121" s="6">
        <f>COUNTIFS(Tabela107[Country],Tabela1[[#This Row],[Country]],Tabela107[Kayak Cross Slalom Classification],"&gt;0")</f>
        <v>0</v>
      </c>
      <c r="DD121" s="6">
        <f>COUNTIFS(Tabela107122[Country],Tabela1[[#This Row],[Country]],Tabela107122[Kayak Cross Slalom Classification],"&gt;0")</f>
        <v>0</v>
      </c>
      <c r="DE121" s="6">
        <f>COUNTIFS(Table8[Country],Tabela1[[#This Row],[Country]],Table8[C1 200m Classification],"&gt;0")</f>
        <v>0</v>
      </c>
      <c r="DF121" s="6">
        <f>COUNTIFS(Table40[Country],Tabela1[[#This Row],[Country]],Table40[C1 1000m Classification],"&gt;0")</f>
        <v>0</v>
      </c>
      <c r="DG121" s="6">
        <f>COUNTIFS(Table68[Country],Tabela1[[#This Row],[Country]],Table68[Men''s C2 500m Classification],"&gt;0")</f>
        <v>0</v>
      </c>
      <c r="DH121" s="6">
        <f>COUNTIFS(Table68[Country],Tabela1[[#This Row],[Country]],Table68[Women''s C2 500m Classification],"&gt;0")</f>
        <v>0</v>
      </c>
      <c r="DI121" s="6">
        <f>COUNTIFS(Table8[Country],Tabela1[[#This Row],[Country]],Table8[K1 500m Classification],"&gt;0")</f>
        <v>0</v>
      </c>
      <c r="DJ121" s="6">
        <f>COUNTIFS(Table40[Country],Tabela1[[#This Row],[Country]],Table40[K1 1000m Classification],"&gt;0")</f>
        <v>0</v>
      </c>
      <c r="DK121" s="6">
        <f>COUNTIFS(Table68[Country],Tabela1[[#This Row],[Country]],Table68[Men''s K2 500m Classification],"&gt;0")</f>
        <v>0</v>
      </c>
      <c r="DL121" s="6">
        <f>COUNTIFS(Table68[Country],Tabela1[[#This Row],[Country]],Table68[Women''s K2 500m Classification],"&gt;0")</f>
        <v>0</v>
      </c>
      <c r="DM121" s="6">
        <f>COUNTIFS(Table83[Country],Tabela1[[#This Row],[Country]],Table83[Men''s K4 500m Classification],"&gt;0")</f>
        <v>0</v>
      </c>
      <c r="DN121" s="6">
        <f>COUNTIFS(Table83[Country],Tabela1[[#This Row],[Country]],Table83[Women''s K4 500m Classification],"&gt;0")</f>
        <v>0</v>
      </c>
      <c r="DO121" s="6">
        <f>COUNTIFS(Tabela126[Country],Tabela1[[#This Row],[Country]],Tabela126[Classification],"&gt;0")</f>
        <v>0</v>
      </c>
      <c r="DP121" s="6">
        <f>COUNTIFS(Tabela126130[Country],Tabela1[[#This Row],[Country]],Tabela126130[Classification],"&gt;0")</f>
        <v>0</v>
      </c>
      <c r="DQ121" s="6">
        <f>COUNTIFS(Table70[Country],Tabela1[[#This Row],[Country]],Table70[Classification],"&gt;0")</f>
        <v>0</v>
      </c>
      <c r="DR121" s="6">
        <f>COUNTIFS(Table80[Country],Tabela1[[#This Row],[Country]],Table80[Classification],"&gt;0")</f>
        <v>0</v>
      </c>
      <c r="DS121" s="6">
        <f>COUNTIFS(Table66[Country],Tabela1[[#This Row],[Country]],Table66[Classification],"&gt;0")</f>
        <v>0</v>
      </c>
      <c r="DT121" s="6">
        <f>COUNTIFS(Table67[Country],Tabela1[[#This Row],[Country]],Table67[Classification],"&gt;0")</f>
        <v>0</v>
      </c>
      <c r="DU121" s="6">
        <f>COUNTIFS(Table69[Country],Tabela1[[#This Row],[Country]],Table69[Keirin Classification],"&gt;0")</f>
        <v>0</v>
      </c>
      <c r="DV121" s="6">
        <f>COUNTIFS(Table41[Country],Tabela1[[#This Row],[Country]],Table41[Keirin Classification],"&gt;0")</f>
        <v>0</v>
      </c>
      <c r="DW121" s="6">
        <f>COUNTIFS(Table84[Country],Tabela1[[#This Row],[Country]],Table84[Men''s Madison Classification],"&gt;0")</f>
        <v>0</v>
      </c>
      <c r="DX121" s="6">
        <f>COUNTIFS(Table84[Country],Tabela1[[#This Row],[Country]],Table84[Women''s Madison Classification],"&gt;0")</f>
        <v>0</v>
      </c>
      <c r="DY121" s="6">
        <f>COUNTIFS(Table69[Country],Tabela1[[#This Row],[Country]],Table69[Omnium Classification],"&gt;0")</f>
        <v>0</v>
      </c>
      <c r="DZ121" s="6">
        <f>COUNTIFS(Table41[Country],Tabela1[[#This Row],[Country]],Table41[Omnium Classification],"&gt;0")</f>
        <v>0</v>
      </c>
      <c r="EA121" s="6">
        <f>COUNTIFS(Table9[Country],Tabela1[[#This Row],[Country]],Table9[Road Race Classification],"&gt;0")</f>
        <v>0</v>
      </c>
      <c r="EB121" s="6">
        <f>COUNTIFS(Table14[Country],Tabela1[[#This Row],[Country]],Table14[Road Race Classification],"&gt;0")</f>
        <v>0</v>
      </c>
      <c r="EC121" s="6">
        <f>COUNTIFS(Table69[Country],Tabela1[[#This Row],[Country]],Table69[Sprint Classification],"&gt;0")</f>
        <v>0</v>
      </c>
      <c r="ED121" s="6">
        <f>COUNTIFS(Table41[Country],Tabela1[[#This Row],[Country]],Table41[Sprint Classification],"&gt;0")</f>
        <v>0</v>
      </c>
      <c r="EE121" s="6">
        <f>COUNTIFS(Table85[Country],Tabela1[[#This Row],[Country]],Table85[Men''s Sprint Classification],"&gt;0")</f>
        <v>0</v>
      </c>
      <c r="EF121" s="6">
        <f>COUNTIFS(Table85[Country],Tabela1[[#This Row],[Country]],Table85[Women''s Sprint Classification],"&gt;0")</f>
        <v>0</v>
      </c>
      <c r="EG121" s="6">
        <f>COUNTIFS(Table85[Country],Tabela1[[#This Row],[Country]],Table85[Men''s Pursuit Classification],"&gt;0")</f>
        <v>0</v>
      </c>
      <c r="EH121" s="6">
        <f>COUNTIFS(Table85[Country],Tabela1[[#This Row],[Country]],Table85[Women''s Pursuit Classification],"&gt;0")</f>
        <v>0</v>
      </c>
      <c r="EI121" s="6">
        <f>COUNTIFS(Table9[Country],Tabela1[[#This Row],[Country]],Table9[Time-Trial Classification],"&gt;0")</f>
        <v>0</v>
      </c>
      <c r="EJ121" s="6">
        <f>COUNTIFS(Table14[Country],Tabela1[[#This Row],[Country]],Table14[Time-Trial Classification],"&gt;0")</f>
        <v>0</v>
      </c>
      <c r="EK121" s="6">
        <f>COUNTIFS(Table42[Country],Tabela1[[#This Row],[Country]],Table42[Springboard Classification],"&gt;0")</f>
        <v>0</v>
      </c>
      <c r="EL121" s="6">
        <f>COUNTIFS(Table43[Country],Tabela1[[#This Row],[Country]],Table43[Springboard Classification],"&gt;0")</f>
        <v>0</v>
      </c>
      <c r="EM121" s="6">
        <f>COUNTIFS(Table42[Country],Tabela1[[#This Row],[Country]],Table42[Platform Classification],"&gt;0")</f>
        <v>0</v>
      </c>
      <c r="EN121" s="6">
        <f>COUNTIFS(Table43[Country],Tabela1[[#This Row],[Country]],Table43[Platform Classification],"&gt;0")</f>
        <v>0</v>
      </c>
      <c r="EO121" s="6">
        <f>COUNTIFS(Table86[Country],Tabela1[[#This Row],[Country]],Table86[Men''s Synchronized Springboard Classification],"&gt;0")</f>
        <v>0</v>
      </c>
      <c r="EP121" s="6">
        <f>COUNTIFS(Table86[Country],Tabela1[[#This Row],[Country]],Table86[Women''s Synchronized Springboard Classification],"&gt;0")</f>
        <v>0</v>
      </c>
      <c r="EQ121" s="6">
        <f>COUNTIFS(Table86[Country],Tabela1[[#This Row],[Country]],Table86[Men''s Synchronized Platform Classification],"&gt;0")</f>
        <v>0</v>
      </c>
      <c r="ER121" s="6">
        <f>COUNTIFS(Table86[Country],Tabela1[[#This Row],[Country]],Table86[Women''s Synchronized Platform Classification],"&gt;0")</f>
        <v>0</v>
      </c>
      <c r="ES121" s="6">
        <f>COUNTIFS(Table44[Country],Tabela1[[#This Row],[Country]],Table44[Dressage Classification],"&gt;0")</f>
        <v>0</v>
      </c>
      <c r="ET121" s="6">
        <f>COUNTIFS(Table45[Country],Tabela1[[#This Row],[Country]],Table45[Dressage Classification],"&gt;0")</f>
        <v>0</v>
      </c>
      <c r="EU121" s="6">
        <f>COUNTIFS(Table44[Country],Tabela1[[#This Row],[Country]],Table44[Eventing Classification],"&gt;0")</f>
        <v>0</v>
      </c>
      <c r="EV121" s="6">
        <f>COUNTIFS(Table45[Country],Tabela1[[#This Row],[Country]],Table45[Eventing Classification],"&gt;0")</f>
        <v>0</v>
      </c>
      <c r="EW121" s="6">
        <f>COUNTIFS(Table44[Country],Tabela1[[#This Row],[Country]],Table44[Jumping Classification],"&gt;0")</f>
        <v>0</v>
      </c>
      <c r="EX121" s="6">
        <f>COUNTIFS(Table45[Country],Tabela1[[#This Row],[Country]],Table45[Jumping Classification],"&gt;0")</f>
        <v>0</v>
      </c>
      <c r="EY121" s="6">
        <f>COUNTIFS(Table10[Country],Tabela1[[#This Row],[Country]],Table10[Épée Classification],"&gt;0")</f>
        <v>0</v>
      </c>
      <c r="EZ121" s="6">
        <f>COUNTIFS(Table11[Country],Tabela1[[#This Row],[Country]],Table11[Épée Classification],"&gt;0")</f>
        <v>0</v>
      </c>
      <c r="FA121" s="6">
        <f>COUNTIFS(Table46[Country],Tabela1[[#This Row],[Country]],Table46[Men''s Épée Classification],"&gt;0")</f>
        <v>0</v>
      </c>
      <c r="FB121" s="6">
        <f>COUNTIFS(Table46[Country],Tabela1[[#This Row],[Country]],Table46[Women''s Épée Classification],"&gt;0")</f>
        <v>0</v>
      </c>
      <c r="FC121" s="6">
        <f>COUNTIFS(Table10[Country],Tabela1[[#This Row],[Country]],Table10[Foil Classification],"&gt;0")</f>
        <v>0</v>
      </c>
      <c r="FD121" s="6">
        <f>COUNTIFS(Table11[Country],Tabela1[[#This Row],[Country]],Table11[Foil Classification],"&gt;0")</f>
        <v>0</v>
      </c>
      <c r="FE121" s="6">
        <f>COUNTIFS(Table46[Country],Tabela1[[#This Row],[Country]],Table46[Men''s Foil Classification],"&gt;0")</f>
        <v>0</v>
      </c>
      <c r="FF121" s="6">
        <f>COUNTIFS(Table46[Country],Tabela1[[#This Row],[Country]],Table46[Women''s Foil Classification],"&gt;0")</f>
        <v>0</v>
      </c>
      <c r="FG121" s="6">
        <f>COUNTIFS(Table10[Country],Tabela1[[#This Row],[Country]],Table10[Sabre Classification],"&gt;0")</f>
        <v>0</v>
      </c>
      <c r="FH121" s="6">
        <f>COUNTIFS(Table11[Country],Tabela1[[#This Row],[Country]],Table11[Sabre Classification],"&gt;0")</f>
        <v>0</v>
      </c>
      <c r="FI121" s="6">
        <f>COUNTIFS(Table46[Country],Tabela1[[#This Row],[Country]],Table46[Men''s Sabre Classification],"&gt;0")</f>
        <v>0</v>
      </c>
      <c r="FJ121" s="6">
        <f>COUNTIFS(Table46[Country],Tabela1[[#This Row],[Country]],Table46[Women''s Sabre Classification],"&gt;0")</f>
        <v>0</v>
      </c>
      <c r="FK121" s="6">
        <f>COUNTIFS(Table91[Country],Tabela1[[#This Row],[Country]],Table91[Men''s Classification],"&gt;0")</f>
        <v>0</v>
      </c>
      <c r="FL121" s="6">
        <f>COUNTIFS(Table91[Country],Tabela1[[#This Row],[Country]],Table91[Women''s Classification],"&gt;0")</f>
        <v>0</v>
      </c>
      <c r="FM121" s="6">
        <f>COUNTIFS(Table9194[Country],Tabela1[[#This Row],[Country]],Table9194[Men''s Classification],"&gt;0")</f>
        <v>0</v>
      </c>
      <c r="FN121" s="6">
        <f>COUNTIFS(Table9194[Country],Tabela1[[#This Row],[Country]],Table9194[Women''s Classification],"&gt;0")</f>
        <v>0</v>
      </c>
      <c r="FO121" s="6">
        <f>COUNTIFS(Table71[Country],Tabela1[[#This Row],[Country]],Table71[Classification],"&gt;0")</f>
        <v>0</v>
      </c>
      <c r="FP121" s="6">
        <f>COUNTIFS(Table62[Country],Tabela1[[#This Row],[Country]],Table62[Classification],"&gt;0")</f>
        <v>0</v>
      </c>
      <c r="FQ121" s="6">
        <f>COUNTIFS(Table47[Country],Tabela1[[#This Row],[Country]],Table47[All-Around Classification],"&gt;0")</f>
        <v>0</v>
      </c>
      <c r="FR121" s="6">
        <f>COUNTIFS(Table48[Country],Tabela1[[#This Row],[Country]],Table48[All-Around Classification],"&gt;0")</f>
        <v>0</v>
      </c>
      <c r="FS121" s="6">
        <f>COUNTIFS(Table81[Country],Tabela1[[#This Row],[Country]],Table81[Men''s All-Around Classification],"&gt;0")</f>
        <v>0</v>
      </c>
      <c r="FT121" s="6">
        <f>COUNTIFS(Table81[Country],Tabela1[[#This Row],[Country]],Table81[Women''s All-Around Classification],"&gt;0")</f>
        <v>0</v>
      </c>
      <c r="FU121" s="6">
        <f>COUNTIFS(Table48[Country],Tabela1[[#This Row],[Country]],Table48[Balance Beam Classification],"&gt;0")</f>
        <v>0</v>
      </c>
      <c r="FV121" s="6">
        <f>COUNTIFS(Table47[Country],Tabela1[[#This Row],[Country]],Table47[Floor Exercise Classification],"&gt;0")</f>
        <v>0</v>
      </c>
      <c r="FW121" s="6">
        <f>COUNTIFS(Table48[Country],Tabela1[[#This Row],[Country]],Table48[Floor Exercise Classification],"&gt;0")</f>
        <v>0</v>
      </c>
      <c r="FX121" s="6">
        <f>COUNTIFS(Table47[Country],Tabela1[[#This Row],[Country]],Table47[Horizontal Bar Classification],"&gt;0")</f>
        <v>0</v>
      </c>
      <c r="FY121" s="6">
        <f>COUNTIFS(Table47[Country],Tabela1[[#This Row],[Country]],Table47[Parallel Bars Classification],"&gt;0")</f>
        <v>0</v>
      </c>
      <c r="FZ121" s="6">
        <f>COUNTIFS(Table47[Country],Tabela1[[#This Row],[Country]],Table47[Pommel Horse Classification],"&gt;0")</f>
        <v>0</v>
      </c>
      <c r="GA121" s="6">
        <f>COUNTIFS(Table47[Country],Tabela1[[#This Row],[Country]],Table47[Rings Classification],"&gt;0")</f>
        <v>0</v>
      </c>
      <c r="GB121" s="6">
        <f>COUNTIFS(Tabela132[Country],Tabela1[[#This Row],[Country]],Tabela132[Classification],"&gt;0")</f>
        <v>1</v>
      </c>
      <c r="GC121" s="6">
        <f>COUNTIFS(Tabela139[Country],Tabela1[[#This Row],[Country]],Tabela139[Classification],"&gt;0")</f>
        <v>0</v>
      </c>
      <c r="GD121" s="6">
        <f>COUNTIFS(Table48[Country],Tabela1[[#This Row],[Country]],Table48[Uneven Bars Classification],"&gt;0")</f>
        <v>0</v>
      </c>
      <c r="GE121" s="6">
        <f>COUNTIFS(Table47[Country],Tabela1[[#This Row],[Country]],Table47[Vault Classification],"&gt;0")</f>
        <v>0</v>
      </c>
      <c r="GF121" s="6">
        <f>COUNTIFS(Table48[Country],Tabela1[[#This Row],[Country]],Table48[Vault Classification],"&gt;0")</f>
        <v>0</v>
      </c>
      <c r="GG121" s="6">
        <f>COUNTIFS(Table919496[Country],Tabela1[[#This Row],[Country]],Table919496[Men''s Classification],"&gt;0")</f>
        <v>0</v>
      </c>
      <c r="GH121" s="6">
        <f>COUNTIFS(Table919496[Country],Tabela1[[#This Row],[Country]],Table919496[Women''s Classification],"&gt;0")</f>
        <v>0</v>
      </c>
      <c r="GI121" s="6">
        <f>COUNTIFS(Table12[Country],Tabela1[[#This Row],[Country]],Table12[60kg Classification],"&gt;0")</f>
        <v>0</v>
      </c>
      <c r="GJ121" s="6">
        <f>COUNTIFS(Table12[Country],Tabela1[[#This Row],[Country]],Table12[66kg Classification],"&gt;0")</f>
        <v>0</v>
      </c>
      <c r="GK121" s="6">
        <f>COUNTIFS(Table12[Country],Tabela1[[#This Row],[Country]],Table12[73kg Classification],"&gt;0")</f>
        <v>0</v>
      </c>
      <c r="GL121" s="6">
        <f>COUNTIFS(Table12[Country],Tabela1[[#This Row],[Country]],Table12[81kg Classification],"&gt;0")</f>
        <v>0</v>
      </c>
      <c r="GM121" s="6">
        <f>COUNTIFS(Table12[Country],Tabela1[[#This Row],[Country]],Table12[90kg Classification],"&gt;0")</f>
        <v>0</v>
      </c>
      <c r="GN121" s="6">
        <f>COUNTIFS(Table12[Country],Tabela1[[#This Row],[Country]],Table12[100kg Classification],"&gt;0")</f>
        <v>0</v>
      </c>
      <c r="GO121" s="6">
        <f>COUNTIFS(Table12[Country],Tabela1[[#This Row],[Country]],Table12[Plus 100kg Classification],"&gt;0")</f>
        <v>0</v>
      </c>
      <c r="GP121" s="6">
        <f>COUNTIFS(Table13[Country],Tabela1[[#This Row],[Country]],Table13[48kg Classification],"&gt;0")</f>
        <v>0</v>
      </c>
      <c r="GQ121" s="6">
        <f>COUNTIFS(Table13[Country],Tabela1[[#This Row],[Country]],Table13[52kg Classification],"&gt;0")</f>
        <v>0</v>
      </c>
      <c r="GR121" s="6">
        <f>COUNTIFS(Table13[Country],Tabela1[[#This Row],[Country]],Table13[57kg Classification],"&gt;0")</f>
        <v>0</v>
      </c>
      <c r="GS121" s="6">
        <f>COUNTIFS(Table13[Country],Tabela1[[#This Row],[Country]],Table13[63kg Classification],"&gt;0")</f>
        <v>0</v>
      </c>
      <c r="GT121" s="6">
        <f>COUNTIFS(Table13[Country],Tabela1[[#This Row],[Country]],Table13[70kg Classification],"&gt;0")</f>
        <v>0</v>
      </c>
      <c r="GU121" s="6">
        <f>COUNTIFS(Table13[Country],Tabela1[[#This Row],[Country]],Table13[78kg Classification],"&gt;0")</f>
        <v>0</v>
      </c>
      <c r="GV121" s="6">
        <f>COUNTIFS(Table13[Country],Tabela1[[#This Row],[Country]],Table13[Plus 78kg Classification],"&gt;0")</f>
        <v>0</v>
      </c>
      <c r="GW121" s="6">
        <f>COUNTIFS(Table82[Country],Tabela1[[#This Row],[Country]],Table82[Mixed Classification],"&gt;0")</f>
        <v>0</v>
      </c>
      <c r="GX121" s="6">
        <f>COUNTIFS(Table51[Country],Tabela1[[#This Row],[Country]],Table51[Classification],"&gt;0")</f>
        <v>0</v>
      </c>
      <c r="GY121" s="6">
        <f>COUNTIFS(Table52[Country],Tabela1[[#This Row],[Country]],Table52[Classification],"&gt;0")</f>
        <v>0</v>
      </c>
      <c r="GZ121" s="6">
        <f>COUNTIFS(Table32[Country],Tabela1[[#This Row],[Country]],Table32[All-Around Classification],"&gt;0")</f>
        <v>0</v>
      </c>
      <c r="HA121" s="6">
        <f>COUNTIFS(Table49[Country],Tabela1[[#This Row],[Country]],Table49[All-Around Classification],"&gt;0")</f>
        <v>0</v>
      </c>
      <c r="HB121" s="6">
        <f>COUNTIFS(Table26[Country],Tabela1[[#This Row],[Country]],Table26[Single Sculls Classification],"&gt;0")</f>
        <v>0</v>
      </c>
      <c r="HC121" s="6">
        <f>COUNTIFS(Table63[Country],Tabela1[[#This Row],[Country]],Table63[Single Sculls Classification],"&gt;0")</f>
        <v>0</v>
      </c>
      <c r="HD121" s="6">
        <f>COUNTIFS(Table16[Country],Tabela1[[#This Row],[Country]],Table16[Men''s Double Sculls Classification],"&gt;0")</f>
        <v>0</v>
      </c>
      <c r="HE121" s="6">
        <f>COUNTIFS(Table16[Country],Tabela1[[#This Row],[Country]],Table16[Women''s Double Sculls Classification],"&gt;0")</f>
        <v>0</v>
      </c>
      <c r="HF121" s="6">
        <f>COUNTIFS(Table72[Country],Tabela1[[#This Row],[Country]],Table72[Men''s Quadruple Sculls Classification],"&gt;0")</f>
        <v>0</v>
      </c>
      <c r="HG121" s="6">
        <f>COUNTIFS(Table72[Country],Tabela1[[#This Row],[Country]],Table72[Women''s Quadruple Sculls Classification],"&gt;0")</f>
        <v>0</v>
      </c>
      <c r="HH121" s="6">
        <f>COUNTIFS(Table16[Country],Tabela1[[#This Row],[Country]],Table16[Men''s Coxless Pairs Classification],"&gt;0")</f>
        <v>0</v>
      </c>
      <c r="HI121" s="6">
        <f>COUNTIFS(Table16[Country],Tabela1[[#This Row],[Country]],Table16[Women''s Coxless Pairs Classification],"&gt;0")</f>
        <v>0</v>
      </c>
      <c r="HJ121" s="6">
        <f>COUNTIFS(Table72[Country],Tabela1[[#This Row],[Country]],Table72[Men''s Coxless Fours Classification],"&gt;0")</f>
        <v>0</v>
      </c>
      <c r="HK121" s="6">
        <f>COUNTIFS(Table72[Country],Tabela1[[#This Row],[Country]],Table72[Women''s Coxless Fours Classification],"&gt;0")</f>
        <v>0</v>
      </c>
      <c r="HL121" s="6">
        <f>COUNTIFS(Table72[Country],Tabela1[[#This Row],[Country]],Table72[Men''s Eights Classification],"&gt;0")</f>
        <v>0</v>
      </c>
      <c r="HM121" s="6">
        <f>COUNTIFS(Table72[Country],Tabela1[[#This Row],[Country]],Table72[Women''s Eights Classification],"&gt;0")</f>
        <v>0</v>
      </c>
      <c r="HN121" s="6">
        <f>COUNTIFS(Table16[Country],Tabela1[[#This Row],[Country]],Table16[Men''s Lwt. Double Sculls Classification],"&gt;0")</f>
        <v>0</v>
      </c>
      <c r="HO121" s="6">
        <f>COUNTIFS(Table16[Country],Tabela1[[#This Row],[Country]],Table16[Women''s Lwt. Double Sculls Classification],"&gt;0")</f>
        <v>0</v>
      </c>
      <c r="HP121" s="6">
        <f>COUNTIFS(Table91949698[Country],Tabela1[[#This Row],[Country]],Table91949698[Men''s Classification],"&gt;0")</f>
        <v>0</v>
      </c>
      <c r="HQ121" s="6">
        <f>COUNTIFS(Table91949698[Country],Tabela1[[#This Row],[Country]],Table91949698[Women''s Classification],"&gt;0")</f>
        <v>0</v>
      </c>
      <c r="HR121" s="6">
        <f>COUNTIFS(Table25[Country],Tabela1[[#This Row],[Country]],Table25[Mixed 470 Classification],"&gt;0")</f>
        <v>0</v>
      </c>
      <c r="HS121" s="6">
        <f>COUNTIFS(Table25[Country],Tabela1[[#This Row],[Country]],Table25[Men''s 49er Classification],"&gt;0")</f>
        <v>0</v>
      </c>
      <c r="HT121" s="6">
        <f>COUNTIFS(Table25[Country],Tabela1[[#This Row],[Country]],Table25[Women''s 49er FX Classification],"&gt;0")</f>
        <v>0</v>
      </c>
      <c r="HU121" s="6">
        <f>COUNTIFS(Table17[Country],Tabela1[[#This Row],[Country]],Table17[Formula Kite Classification],"&gt;0")</f>
        <v>0</v>
      </c>
      <c r="HV121" s="6">
        <f>COUNTIFS(Table18[Country],Tabela1[[#This Row],[Country]],Table18[Formula Kite Classification],"&gt;0")</f>
        <v>0</v>
      </c>
      <c r="HW121" s="6">
        <f>COUNTIFS(Table17[Country],Tabela1[[#This Row],[Country]],Table17[ILCA 7 Classification],"&gt;0")</f>
        <v>0</v>
      </c>
      <c r="HX121" s="6">
        <f>COUNTIFS(Table18[Country],Tabela1[[#This Row],[Country]],Table18[ILCA 6 Classification],"&gt;0")</f>
        <v>0</v>
      </c>
      <c r="HY121" s="6">
        <f>COUNTIFS(Table17[Country],Tabela1[[#This Row],[Country]],Table17[IQFoil Classification],"&gt;0")</f>
        <v>0</v>
      </c>
      <c r="HZ121" s="6">
        <f>COUNTIFS(Table18[Country],Tabela1[[#This Row],[Country]],Table18[IQFoil Classification],"&gt;0")</f>
        <v>0</v>
      </c>
      <c r="IA121" s="6">
        <f>COUNTIFS(Table25[Country],Tabela1[[#This Row],[Country]],Table25[Mixed Nacra 17 Classification],"&gt;0")</f>
        <v>0</v>
      </c>
      <c r="IB121" s="6">
        <f>COUNTIFS(Table53[Country],Tabela1[[#This Row],[Country]],Table53[10m Air Pistol Classification],"&gt;0")</f>
        <v>0</v>
      </c>
      <c r="IC121" s="6">
        <f>COUNTIFS(Table19[Country],Tabela1[[#This Row],[Country]],Table19[10m Air Pistol Classification],"&gt;0")</f>
        <v>0</v>
      </c>
      <c r="ID121" s="6">
        <f>COUNTIFS(Table54[Country],Tabela1[[#This Row],[Country]],Table54[Mixed 10m Air Pistol Team Classification],"&gt;0")</f>
        <v>0</v>
      </c>
      <c r="IE121" s="6">
        <f>COUNTIFS(Table53[Country],Tabela1[[#This Row],[Country]],Table53[10m Air Rifle Classification],"&gt;0")</f>
        <v>0</v>
      </c>
      <c r="IF121" s="6">
        <f>COUNTIFS(Table19[Country],Tabela1[[#This Row],[Country]],Table19[10m Air Rifle Classification],"&gt;0")</f>
        <v>0</v>
      </c>
      <c r="IG121" s="6">
        <f>COUNTIFS(Table54[Country],Tabela1[[#This Row],[Country]],Table54[Mixed 10m Air Rifle Team Classification],"&gt;0")</f>
        <v>0</v>
      </c>
      <c r="IH121" s="6">
        <f>COUNTIFS(Table53[Country],Tabela1[[#This Row],[Country]],Table53[25m Rapid Fire Pistol Classification],"&gt;0")</f>
        <v>0</v>
      </c>
      <c r="II121" s="6">
        <f>COUNTIFS(Table19[Country],Tabela1[[#This Row],[Country]],Table19[25m Pistol Classification],"&gt;0")</f>
        <v>1</v>
      </c>
      <c r="IJ121" s="6">
        <f>COUNTIFS(Table53[Country],Tabela1[[#This Row],[Country]],Table53[50m Rifle 3 Positions Classification],"&gt;0")</f>
        <v>0</v>
      </c>
      <c r="IK121" s="6">
        <f>COUNTIFS(Table19[Country],Tabela1[[#This Row],[Country]],Table19[50m Rifle 3 Positions Classification],"&gt;0")</f>
        <v>0</v>
      </c>
      <c r="IL121" s="6">
        <f>COUNTIFS(Table53[Country],Tabela1[[#This Row],[Country]],Table53[Skeet Classification],"&gt;0")</f>
        <v>0</v>
      </c>
      <c r="IM121" s="6">
        <f>COUNTIFS(Table19[Country],Tabela1[[#This Row],[Country]],Table19[Skeet Classification],"&gt;0")</f>
        <v>0</v>
      </c>
      <c r="IN121" s="6">
        <f>COUNTIFS(Table54[Country],Tabela1[[#This Row],[Country]],Table54[Mixed Skeet Team Classification],"&gt;0")</f>
        <v>0</v>
      </c>
      <c r="IO121" s="6">
        <f>COUNTIFS(Table53[Country],Tabela1[[#This Row],[Country]],Table53[Trap Classification],"&gt;0")</f>
        <v>0</v>
      </c>
      <c r="IP121" s="6">
        <f>COUNTIFS(Table19[Country],Tabela1[[#This Row],[Country]],Table19[Trap Classification],"&gt;0")</f>
        <v>0</v>
      </c>
      <c r="IQ121" s="6">
        <f>COUNTIFS(Table73[Country],Tabela1[[#This Row],[Country]],Table73[Park Classification],"&gt;0")</f>
        <v>0</v>
      </c>
      <c r="IR121" s="6">
        <f>COUNTIFS(Table74[Country],Tabela1[[#This Row],[Country]],Table74[Park Classification],"&gt;0")</f>
        <v>0</v>
      </c>
      <c r="IS121" s="6">
        <f>COUNTIFS(Table73[Country],Tabela1[[#This Row],[Country]],Table73[Street Classification],"&gt;0")</f>
        <v>0</v>
      </c>
      <c r="IT121" s="6">
        <f>COUNTIFS(Table74[Country],Tabela1[[#This Row],[Country]],Table74[Street Classification],"&gt;0")</f>
        <v>0</v>
      </c>
      <c r="IU121" s="6">
        <f>COUNTIFS(Table75[Country],Tabela1[[#This Row],[Country]],Table75[Boulder and Lead Classification],"&gt;0")</f>
        <v>0</v>
      </c>
      <c r="IV121" s="6">
        <f>COUNTIFS(Table76[Country],Tabela1[[#This Row],[Country]],Table76[Boulder and Lead Classification],"&gt;0")</f>
        <v>0</v>
      </c>
      <c r="IW121" s="6">
        <f>COUNTIFS(Table75[Country],Tabela1[[#This Row],[Country]],Table75[Speed Classification],"&gt;0")</f>
        <v>0</v>
      </c>
      <c r="IX121" s="6">
        <f>COUNTIFS(Table76[Country],Tabela1[[#This Row],[Country]],Table76[Speed Classification],"&gt;0")</f>
        <v>0</v>
      </c>
      <c r="IY121" s="6">
        <f>COUNTIFS(Table64[Country],Tabela1[[#This Row],[Country]],Table64[Shortboard Classification],"&gt;0")</f>
        <v>0</v>
      </c>
      <c r="IZ121" s="6">
        <f>COUNTIFS(Table77[Country],Tabela1[[#This Row],[Country]],Table77[Shortboard Classification],"&gt;0")</f>
        <v>0</v>
      </c>
      <c r="JA121" s="6">
        <f>COUNTIFS(Table20[Country],Tabela1[[#This Row],[Country]],Table20[50m Freestyle Classification],"&gt;0")</f>
        <v>0</v>
      </c>
      <c r="JB121" s="6">
        <f>COUNTIFS(Table21[Country],Tabela1[[#This Row],[Country]],Table21[50m Freestyle Classification],"&gt;0")</f>
        <v>0</v>
      </c>
      <c r="JC121" s="6">
        <f>COUNTIFS(Table20[Country],Tabela1[[#This Row],[Country]],Table20[100m Freestyle Classification],"&gt;0")</f>
        <v>0</v>
      </c>
      <c r="JD121" s="6">
        <f>COUNTIFS(Table21[Country],Tabela1[[#This Row],[Country]],Table21[100m Freestyle Classification],"&gt;0")</f>
        <v>0</v>
      </c>
      <c r="JE121" s="6">
        <f>COUNTIFS(Table20[Country],Tabela1[[#This Row],[Country]],Table20[200m Freestyle Classification],"&gt;0")</f>
        <v>0</v>
      </c>
      <c r="JF121" s="6">
        <f>COUNTIFS(Table21[Country],Tabela1[[#This Row],[Country]],Table21[200m Freestyle Classification],"&gt;0")</f>
        <v>0</v>
      </c>
      <c r="JG121" s="6">
        <f>COUNTIFS(Table20[Country],Tabela1[[#This Row],[Country]],Table20[400m Freestyle Classification],"&gt;0")</f>
        <v>0</v>
      </c>
      <c r="JH121" s="6">
        <f>COUNTIFS(Table21[Country],Tabela1[[#This Row],[Country]],Table21[400m Freestyle Classification],"&gt;0")</f>
        <v>0</v>
      </c>
      <c r="JI121" s="6">
        <f>COUNTIFS(Table20[Country],Tabela1[[#This Row],[Country]],Table20[800m Freestyle Classification],"&gt;0")</f>
        <v>0</v>
      </c>
      <c r="JJ121" s="6">
        <f>COUNTIFS(Table21[Country],Tabela1[[#This Row],[Country]],Table21[800m Freestyle Classification],"&gt;0")</f>
        <v>0</v>
      </c>
      <c r="JK121" s="6">
        <f>COUNTIFS(Table20[Country],Tabela1[[#This Row],[Country]],Table20[1500m Freestyle Classification],"&gt;0")</f>
        <v>0</v>
      </c>
      <c r="JL121" s="6">
        <f>COUNTIFS(Table21[Country],Tabela1[[#This Row],[Country]],Table21[1500m Freestyle Classification],"&gt;0")</f>
        <v>0</v>
      </c>
      <c r="JM121" s="6">
        <f>COUNTIFS(Table20[Country],Tabela1[[#This Row],[Country]],Table20[100m Backstroke Classification],"&gt;0")</f>
        <v>0</v>
      </c>
      <c r="JN121" s="6">
        <f>COUNTIFS(Table21[Country],Tabela1[[#This Row],[Country]],Table21[100m Backstroke Classification],"&gt;0")</f>
        <v>0</v>
      </c>
      <c r="JO121" s="6">
        <f>COUNTIFS(Table20[Country],Tabela1[[#This Row],[Country]],Table20[200m Backstroke Classification],"&gt;0")</f>
        <v>0</v>
      </c>
      <c r="JP121" s="6">
        <f>COUNTIFS(Table21[Country],Tabela1[[#This Row],[Country]],Table21[200m Backstroke Classification],"&gt;0")</f>
        <v>0</v>
      </c>
      <c r="JQ121" s="6">
        <f>COUNTIFS(Table20[Country],Tabela1[[#This Row],[Country]],Table20[100m Breaststroke Classification],"&gt;0")</f>
        <v>0</v>
      </c>
      <c r="JR121" s="6">
        <f>COUNTIFS(Table21[Country],Tabela1[[#This Row],[Country]],Table21[100m Breaststroke Classification],"&gt;0")</f>
        <v>0</v>
      </c>
      <c r="JS121" s="6">
        <f>COUNTIFS(Table20[Country],Tabela1[[#This Row],[Country]],Table20[200m Breaststroke Classification],"&gt;0")</f>
        <v>0</v>
      </c>
      <c r="JT121" s="6">
        <f>COUNTIFS(Table21[Country],Tabela1[[#This Row],[Country]],Table21[200m Breaststroke Classification],"&gt;0")</f>
        <v>0</v>
      </c>
      <c r="JU121" s="6">
        <f>COUNTIFS(Table20[Country],Tabela1[[#This Row],[Country]],Table20[100m Butterfly Classification],"&gt;0")</f>
        <v>0</v>
      </c>
      <c r="JV121" s="6">
        <f>COUNTIFS(Table21[Country],Tabela1[[#This Row],[Country]],Table21[100m Butterfly Classification],"&gt;0")</f>
        <v>0</v>
      </c>
      <c r="JW121" s="6">
        <f>COUNTIFS(Table20[Country],Tabela1[[#This Row],[Country]],Table20[200m Butterfly Classification],"&gt;0")</f>
        <v>0</v>
      </c>
      <c r="JX121" s="6">
        <f>COUNTIFS(Table21[Country],Tabela1[[#This Row],[Country]],Table21[200m Butterfly Classification],"&gt;0")</f>
        <v>0</v>
      </c>
      <c r="JY121" s="6">
        <f>COUNTIFS(Table20[Country],Tabela1[[#This Row],[Country]],Table20[200m Medley Classification],"&gt;0")</f>
        <v>0</v>
      </c>
      <c r="JZ121" s="6">
        <f>COUNTIFS(Table21[Country],Tabela1[[#This Row],[Country]],Table21[200m Medley Classification],"&gt;0")</f>
        <v>0</v>
      </c>
      <c r="KA121" s="6">
        <f>COUNTIFS(Table20[Country],Tabela1[[#This Row],[Country]],Table20[400m Medley Classification],"&gt;0")</f>
        <v>0</v>
      </c>
      <c r="KB121" s="6">
        <f>COUNTIFS(Table21[Country],Tabela1[[#This Row],[Country]],Table21[400m Medley Classification],"&gt;0")</f>
        <v>0</v>
      </c>
      <c r="KC121" s="6">
        <f>COUNTIFS(Table78[Country],Tabela1[[#This Row],[Country]],Table78[Men''s 4x100m Freestyle Relay Classification],"&gt;0")</f>
        <v>0</v>
      </c>
      <c r="KD121" s="6">
        <f>COUNTIFS(Table78[Country],Tabela1[[#This Row],[Country]],Table78[Women''s 4x100m Freestyle Relay Classification],"&gt;0")</f>
        <v>0</v>
      </c>
      <c r="KE121" s="6">
        <f>COUNTIFS(Table78[Country],Tabela1[[#This Row],[Country]],Table78[Men''s 4x200m Freestyle Relay Classification],"&gt;0")</f>
        <v>0</v>
      </c>
      <c r="KF121" s="6">
        <f>COUNTIFS(Table78[Country],Tabela1[[#This Row],[Country]],Table78[Women''s 4x200m Freestyle Relay Classification],"&gt;0")</f>
        <v>0</v>
      </c>
      <c r="KG121" s="6">
        <f>COUNTIFS(Table78[Country],Tabela1[[#This Row],[Country]],Table78[Men''s 4x100m Medley Relay Classification],"&gt;0")</f>
        <v>0</v>
      </c>
      <c r="KH121" s="6">
        <f>COUNTIFS(Table78[Country],Tabela1[[#This Row],[Country]],Table78[Women''s 4x100m Medley Relay Classification],"&gt;0")</f>
        <v>0</v>
      </c>
      <c r="KI121" s="6">
        <f>COUNTIFS(Table78[Country],Tabela1[[#This Row],[Country]],Table78[Mixed 4x100m Medley Relay Classification],"&gt;0")</f>
        <v>0</v>
      </c>
      <c r="KJ121" s="6">
        <f>COUNTIFS(Table20[Country],Tabela1[[#This Row],[Country]],Table20[10km Open Water Classification],"&gt;0")</f>
        <v>0</v>
      </c>
      <c r="KK121" s="6">
        <f>COUNTIFS(Table21[Country],Tabela1[[#This Row],[Country]],Table21[10km Open Water Classification],"&gt;0")</f>
        <v>0</v>
      </c>
      <c r="KL121" s="6">
        <f>COUNTIFS(Table22[Country],Tabela1[[#This Row],[Country]],Table22[Classification],"&gt;0")</f>
        <v>0</v>
      </c>
      <c r="KM121" s="6">
        <f>COUNTIFS(Table30[Country],Tabela1[[#This Row],[Country]],Table30[Classification],"&gt;0")</f>
        <v>0</v>
      </c>
      <c r="KN121" s="6">
        <f>COUNTIFS(Table55[Country],Tabela1[[#This Row],[Country]],Table55[Men''s Classification],"&gt;0")</f>
        <v>0</v>
      </c>
      <c r="KO121" s="6">
        <f>COUNTIFS(Table55[Country],Tabela1[[#This Row],[Country]],Table55[Women''s Classification],"&gt;0")</f>
        <v>0</v>
      </c>
      <c r="KP121" s="6">
        <f>COUNTIFS(Table56[Country],Tabela1[[#This Row],[Country]],Table56[Mixed Classification],"&gt;0")</f>
        <v>0</v>
      </c>
      <c r="KQ121" s="6">
        <f>COUNTIFS(Table29[Country],Tabela1[[#This Row],[Country]],Table29[58kg Classification],"&gt;0")</f>
        <v>0</v>
      </c>
      <c r="KR121" s="6">
        <f>COUNTIFS(Table29[Country],Tabela1[[#This Row],[Country]],Table29[68kg Classification],"&gt;0")</f>
        <v>0</v>
      </c>
      <c r="KS121" s="6">
        <f>COUNTIFS(Table29[Country],Tabela1[[#This Row],[Country]],Table29[80kg Classification],"&gt;0")</f>
        <v>0</v>
      </c>
      <c r="KT121" s="6">
        <f>COUNTIFS(Table29[Country],Tabela1[[#This Row],[Country]],Table29[Plus 80kg Classification],"&gt;0")</f>
        <v>0</v>
      </c>
      <c r="KU121" s="6">
        <f>COUNTIFS(Table34[Country],Tabela1[[#This Row],[Country]],Table34[49kg Classification],"&gt;0")</f>
        <v>0</v>
      </c>
      <c r="KV121" s="6">
        <f>COUNTIFS(Table34[Country],Tabela1[[#This Row],[Country]],Table34[57kg Classification],"&gt;0")</f>
        <v>0</v>
      </c>
      <c r="KW121" s="6">
        <f>COUNTIFS(Table34[Country],Tabela1[[#This Row],[Country]],Table34[67kg Classification],"&gt;0")</f>
        <v>0</v>
      </c>
      <c r="KX121" s="6">
        <f>COUNTIFS(Table34[Country],Tabela1[[#This Row],[Country]],Table34[Plus 67kg Classification],"&gt;0")</f>
        <v>0</v>
      </c>
      <c r="KY121" s="6">
        <f>COUNTIFS(Table57[Country],Tabela1[[#This Row],[Country]],Table57[Classification],"&gt;0")</f>
        <v>0</v>
      </c>
      <c r="KZ121" s="6">
        <f>COUNTIFS(Table58[Country],Tabela1[[#This Row],[Country]],Table58[Classification],"&gt;0")</f>
        <v>0</v>
      </c>
      <c r="LA121" s="6">
        <f>COUNTIFS(Table79[Country],Tabela1[[#This Row],[Country]],Table79[Men''s Classification],"&gt;0")</f>
        <v>0</v>
      </c>
      <c r="LB121" s="6">
        <f>COUNTIFS(Table79[Country],Tabela1[[#This Row],[Country]],Table79[Women''s Classification],"&gt;0")</f>
        <v>0</v>
      </c>
      <c r="LC121" s="6">
        <f>COUNTIFS(Table79[Country],Tabela1[[#This Row],[Country]],Table79[Mixed Classification],"&gt;0")</f>
        <v>0</v>
      </c>
      <c r="LD121" s="6">
        <f>COUNTIFS(Table65[Country],Tabela1[[#This Row],[Country]],Table65[Classification],"&gt;0")</f>
        <v>0</v>
      </c>
      <c r="LE121" s="6">
        <f>COUNTIFS(Table59[Country],Tabela1[[#This Row],[Country]],Table59[Classification],"&gt;0")</f>
        <v>0</v>
      </c>
      <c r="LF121" s="6">
        <f>COUNTIFS(Table87[Country],Tabela1[[#This Row],[Country]],Table87[Mixed Relay Classification],"&gt;0")</f>
        <v>0</v>
      </c>
      <c r="LG121" s="6">
        <f>COUNTIFS(Table91949698100[Country],Tabela1[[#This Row],[Country]],Table91949698100[Men''s Classification],"&gt;0")</f>
        <v>0</v>
      </c>
      <c r="LH121" s="6">
        <f>COUNTIFS(Table91949698100[Country],Tabela1[[#This Row],[Country]],Table91949698100[Women''s Classification],"&gt;0")</f>
        <v>0</v>
      </c>
      <c r="LI121" s="6">
        <f>COUNTIFS(Table91949698100102[Country],Tabela1[[#This Row],[Country]],Table91949698100102[Men''s Classification],"&gt;0")</f>
        <v>0</v>
      </c>
      <c r="LJ121" s="6">
        <f>COUNTIFS(Table91949698100102[Country],Tabela1[[#This Row],[Country]],Table91949698100102[Women''s Classification],"&gt;0")</f>
        <v>0</v>
      </c>
      <c r="LK121" s="6">
        <f>COUNTIFS(Table23[Country],Tabela1[[#This Row],[Country]],Table23[61kg Classification],"&gt;0")</f>
        <v>0</v>
      </c>
      <c r="LL121" s="6">
        <f>COUNTIFS(Table23[Country],Tabela1[[#This Row],[Country]],Table23[73kg Classification],"&gt;0")</f>
        <v>0</v>
      </c>
      <c r="LM121" s="6">
        <f>COUNTIFS(Table23[Country],Tabela1[[#This Row],[Country]],Table23[89kg Classification],"&gt;0")</f>
        <v>0</v>
      </c>
      <c r="LN121" s="6">
        <f>COUNTIFS(Table23[Country],Tabela1[[#This Row],[Country]],Table23[102kg Classification],"&gt;0")</f>
        <v>0</v>
      </c>
      <c r="LO121" s="6">
        <f>COUNTIFS(Table23[Country],Tabela1[[#This Row],[Country]],Table23[Plus 102kg Classification],"&gt;0")</f>
        <v>0</v>
      </c>
      <c r="LP121" s="6">
        <f>COUNTIFS(Table28[Country],Tabela1[[#This Row],[Country]],Table28[49kg Classification],"&gt;0")</f>
        <v>0</v>
      </c>
      <c r="LQ121" s="6">
        <f>COUNTIFS(Table28[Country],Tabela1[[#This Row],[Country]],Table28[59kg Classification],"&gt;0")</f>
        <v>0</v>
      </c>
      <c r="LR121" s="6">
        <f>COUNTIFS(Table28[Country],Tabela1[[#This Row],[Country]],Table28[71kg Classification],"&gt;0")</f>
        <v>0</v>
      </c>
      <c r="LS121" s="6">
        <f>COUNTIFS(Table28[Country],Tabela1[[#This Row],[Country]],Table28[81kg Classification],"&gt;0")</f>
        <v>0</v>
      </c>
      <c r="LT121" s="6">
        <f>COUNTIFS(Table28[Country],Tabela1[[#This Row],[Country]],Table28[Plus 81kg Classification],"&gt;0")</f>
        <v>0</v>
      </c>
      <c r="LU121" s="6">
        <f>COUNTIFS(Table24[Country],Tabela1[[#This Row],[Country]],Table24[Freestyle 57kg Classification],"&gt;0")</f>
        <v>0</v>
      </c>
      <c r="LV121" s="6">
        <f>COUNTIFS(Table24[Country],Tabela1[[#This Row],[Country]],Table24[Freestyle 65kg Classification],"&gt;0")</f>
        <v>0</v>
      </c>
      <c r="LW121" s="6">
        <f>COUNTIFS(Table24[Country],Tabela1[[#This Row],[Country]],Table24[Freestyle 74kg Classification],"&gt;0")</f>
        <v>0</v>
      </c>
      <c r="LX121" s="6">
        <f>COUNTIFS(Table24[Country],Tabela1[[#This Row],[Country]],Table24[Freestyle 86kg Classification],"&gt;0")</f>
        <v>0</v>
      </c>
      <c r="LY121" s="6">
        <f>COUNTIFS(Table24[Country],Tabela1[[#This Row],[Country]],Table24[Freestyle 97kg Classification],"&gt;0")</f>
        <v>0</v>
      </c>
      <c r="LZ121" s="6">
        <f>COUNTIFS(Table24[Country],Tabela1[[#This Row],[Country]],Table24[Freestyle 125kg Classification],"&gt;0")</f>
        <v>0</v>
      </c>
      <c r="MA121" s="6">
        <f>COUNTIFS(Table24[Country],Tabela1[[#This Row],[Country]],Table24[Greco-Roman 60kg Classification],"&gt;0")</f>
        <v>0</v>
      </c>
      <c r="MB121" s="6">
        <f>COUNTIFS(Table24[Country],Tabela1[[#This Row],[Country]],Table24[Greco-Roman 67kg Classification],"&gt;0")</f>
        <v>0</v>
      </c>
      <c r="MC121" s="6">
        <f>COUNTIFS(Table24[Country],Tabela1[[#This Row],[Country]],Table24[Greco-Roman 77kg Classification],"&gt;0")</f>
        <v>0</v>
      </c>
      <c r="MD121" s="6">
        <f>COUNTIFS(Table24[Country],Tabela1[[#This Row],[Country]],Table24[Greco-Roman 87kg Classification],"&gt;0")</f>
        <v>0</v>
      </c>
      <c r="ME121" s="6">
        <f>COUNTIFS(Table24[Country],Tabela1[[#This Row],[Country]],Table24[Greco-Roman 97kg Classification],"&gt;0")</f>
        <v>0</v>
      </c>
      <c r="MF121" s="6">
        <f>COUNTIFS(Table24[Country],Tabela1[[#This Row],[Country]],Table24[Greco-Roman 130kg Classification],"&gt;0")</f>
        <v>0</v>
      </c>
      <c r="MG121" s="6">
        <f>COUNTIFS(Table31[Country],Tabela1[[#This Row],[Country]],Table31[50kg Classification],"&gt;0")</f>
        <v>0</v>
      </c>
      <c r="MH121" s="6">
        <f>COUNTIFS(Table31[Country],Tabela1[[#This Row],[Country]],Table31[53kg Classification],"&gt;0")</f>
        <v>0</v>
      </c>
      <c r="MI121" s="6">
        <f>COUNTIFS(Table31[Country],Tabela1[[#This Row],[Country]],Table31[57kg Classification],"&gt;0")</f>
        <v>0</v>
      </c>
      <c r="MJ121" s="6">
        <f>COUNTIFS(Table31[Country],Tabela1[[#This Row],[Country]],Table31[62kg Classification],"&gt;0")</f>
        <v>0</v>
      </c>
      <c r="MK121" s="6">
        <f>COUNTIFS(Table31[Country],Tabela1[[#This Row],[Country]],Table31[68kg Classification],"&gt;0")</f>
        <v>0</v>
      </c>
      <c r="ML121" s="6">
        <f>COUNTIFS(Table31[Country],Tabela1[[#This Row],[Country]],Table31[76kg Classification],"&gt;0")</f>
        <v>0</v>
      </c>
      <c r="MM121" s="6">
        <f>COUNTIFS(Table102[Country],Tabela1[[#This Row],[Country]],Table102[Downhill Classification],"&gt;0")</f>
        <v>0</v>
      </c>
      <c r="MN121" s="6">
        <f>COUNTIFS(Table102105[Country],Tabela1[[#This Row],[Country]],Table102105[Downhill Classification],"&gt;0")</f>
        <v>0</v>
      </c>
      <c r="MO121" s="6">
        <f>COUNTIFS(Table102[Country],Tabela1[[#This Row],[Country]],Table102[Giant Slalom Classification],"&gt;0")</f>
        <v>0</v>
      </c>
      <c r="MP121" s="6">
        <f>COUNTIFS(Table102105[Country],Tabela1[[#This Row],[Country]],Table102105[Giant Slalom Classification],"&gt;0")</f>
        <v>0</v>
      </c>
      <c r="MQ121" s="6">
        <f>COUNTIFS(Table102[Country],Tabela1[[#This Row],[Country]],Table102[Slalom Classification],"&gt;0")</f>
        <v>0</v>
      </c>
      <c r="MR121" s="6">
        <f>COUNTIFS(Table102105[Country],Tabela1[[#This Row],[Country]],Table102105[Slalom Classification],"&gt;0")</f>
        <v>0</v>
      </c>
      <c r="MS121" s="6">
        <f>COUNTIFS(Table102[Country],Tabela1[[#This Row],[Country]],Table102[Super-G Classification],"&gt;0")</f>
        <v>0</v>
      </c>
      <c r="MT121" s="6">
        <f>COUNTIFS(Table102105[Country],Tabela1[[#This Row],[Country]],Table102105[Super-G Classification],"&gt;0")</f>
        <v>0</v>
      </c>
      <c r="MU121" s="6">
        <f>COUNTIFS(Table105[Country],Tabela1[[#This Row],[Country]],Table105[Men''s Combined Classification],"&gt;0")</f>
        <v>0</v>
      </c>
      <c r="MV121" s="6">
        <f>COUNTIFS(Table105[Country],Tabela1[[#This Row],[Country]],Table105[Women''s Combined Classification],"&gt;0")</f>
        <v>0</v>
      </c>
      <c r="MW121" s="6">
        <f>COUNTIFS(Table106[Country],Tabela1[[#This Row],[Country]],Table106[Individual Classification],"&gt;0")</f>
        <v>0</v>
      </c>
      <c r="MX121" s="6">
        <f>COUNTIFS(Table106109[Country],Tabela1[[#This Row],[Country]],Table106109[Individual Classification],"&gt;0")</f>
        <v>0</v>
      </c>
      <c r="MY121" s="6">
        <f>COUNTIFS(Table106[Country],Tabela1[[#This Row],[Country]],Table106[Mass Start Classification],"&gt;0")</f>
        <v>0</v>
      </c>
      <c r="MZ121" s="6">
        <f>COUNTIFS(Table106109[Country],Tabela1[[#This Row],[Country]],Table106109[Mass Start Classification],"&gt;0")</f>
        <v>0</v>
      </c>
      <c r="NA121" s="6">
        <f>COUNTIFS(Table106[Country],Tabela1[[#This Row],[Country]],Table106[Pursuit Classification],"&gt;0")</f>
        <v>0</v>
      </c>
      <c r="NB121" s="6">
        <f>COUNTIFS(Table106109[Country],Tabela1[[#This Row],[Country]],Table106109[Pursuit Classification],"&gt;0")</f>
        <v>0</v>
      </c>
      <c r="NC121" s="6">
        <f>COUNTIFS(Table106[Country],Tabela1[[#This Row],[Country]],Table106[Sprint Classification],"&gt;0")</f>
        <v>0</v>
      </c>
      <c r="ND121" s="6">
        <f>COUNTIFS(Table106109[Country],Tabela1[[#This Row],[Country]],Table106109[Sprint Classification],"&gt;0")</f>
        <v>0</v>
      </c>
      <c r="NE121" s="6">
        <f>COUNTIFS(Table109[Country],Tabela1[[#This Row],[Country]],Table109[Men''s Relay Classification],"&gt;0")</f>
        <v>0</v>
      </c>
      <c r="NF121" s="6">
        <f>COUNTIFS(Table109[Country],Tabela1[[#This Row],[Country]],Table109[Women''s Relay Classification],"&gt;0")</f>
        <v>0</v>
      </c>
      <c r="NG121" s="6">
        <f>COUNTIFS(Table109[Country],Tabela1[[#This Row],[Country]],Table109[Mixed Relay Classification],"&gt;0")</f>
        <v>0</v>
      </c>
      <c r="NH121" s="6">
        <f>COUNTIFS(Table110[Country],Tabela1[[#This Row],[Country]],Table110[Monobob Classification],"&gt;0")</f>
        <v>0</v>
      </c>
      <c r="NI121" s="6">
        <f>COUNTIFS(Table111[Country],Tabela1[[#This Row],[Country]],Table111[Men''s Classification],"&gt;0")</f>
        <v>0</v>
      </c>
      <c r="NJ121" s="6">
        <f>COUNTIFS(Table111[Country],Tabela1[[#This Row],[Country]],Table111[Women''s Classification],"&gt;0")</f>
        <v>0</v>
      </c>
      <c r="NK121" s="6">
        <f>COUNTIFS(Table112[Country],Tabela1[[#This Row],[Country]],Table112[Men''s Four Classification],"&gt;0")</f>
        <v>0</v>
      </c>
      <c r="NL121" s="6">
        <f>COUNTIFS(Table113[Country],Tabela1[[#This Row],[Country]],Table113[Classical Classification],"&gt;0")</f>
        <v>0</v>
      </c>
      <c r="NM121" s="6">
        <f>COUNTIFS(Table113116[Country],Tabela1[[#This Row],[Country]],Table113116[Classical Classification],"&gt;0")</f>
        <v>0</v>
      </c>
      <c r="NN121" s="6">
        <f>COUNTIFS(Table113[Country],Tabela1[[#This Row],[Country]],Table113[Freestyle Classification],"&gt;0")</f>
        <v>0</v>
      </c>
      <c r="NO121" s="6">
        <f>COUNTIFS(Table113116[Country],Tabela1[[#This Row],[Country]],Table113116[Freestyle Classification],"&gt;0")</f>
        <v>0</v>
      </c>
      <c r="NP121" s="6">
        <f>COUNTIFS(Table117[Country],Tabela1[[#This Row],[Country]],Table117[Men''s Relay Classification],"&gt;0")</f>
        <v>0</v>
      </c>
      <c r="NQ121" s="6">
        <f>COUNTIFS(Table117[Country],Tabela1[[#This Row],[Country]],Table117[Women''s Relay Classification],"&gt;0")</f>
        <v>0</v>
      </c>
      <c r="NR121" s="6">
        <f>COUNTIFS(Table113[Country],Tabela1[[#This Row],[Country]],Table113[Skiathlon Classification],"&gt;0")</f>
        <v>0</v>
      </c>
      <c r="NS121" s="6">
        <f>COUNTIFS(Table113116[Country],Tabela1[[#This Row],[Country]],Table113116[Skiathlon Classification],"&gt;0")</f>
        <v>0</v>
      </c>
      <c r="NT121" s="6">
        <f>COUNTIFS(Table113[Country],Tabela1[[#This Row],[Country]],Table113[Sprint Classification],"&gt;0")</f>
        <v>0</v>
      </c>
      <c r="NU121" s="6">
        <f>COUNTIFS(Table113116[Country],Tabela1[[#This Row],[Country]],Table113116[Sprint Classification],"&gt;0")</f>
        <v>0</v>
      </c>
      <c r="NV121" s="6">
        <f>COUNTIFS(Table116[Country],Tabela1[[#This Row],[Country]],Table116[Men''s Team Sprint Classification],"&gt;0")</f>
        <v>0</v>
      </c>
      <c r="NW121" s="6">
        <f>COUNTIFS(Table116[Country],Tabela1[[#This Row],[Country]],Table116[Women''s Team Sprint Classification],"&gt;0")</f>
        <v>0</v>
      </c>
      <c r="NX121" s="6">
        <f>COUNTIFS(Table119[Country],Tabela1[[#This Row],[Country]],Table119[Men''s Classification],"&gt;0")</f>
        <v>0</v>
      </c>
      <c r="NY121" s="6">
        <f>COUNTIFS(Table119[Country],Tabela1[[#This Row],[Country]],Table119[Women''s Classification],"&gt;0")</f>
        <v>0</v>
      </c>
      <c r="NZ121" s="6">
        <f>COUNTIFS(Table118[Country],Tabela1[[#This Row],[Country]],Table118[Mixed Classification],"&gt;0")</f>
        <v>0</v>
      </c>
      <c r="OA121" s="6">
        <f>COUNTIFS(Table120[Country],Tabela1[[#This Row],[Country]],Table120[Classification],"&gt;0")</f>
        <v>0</v>
      </c>
      <c r="OB121" s="6">
        <f>COUNTIFS(Table120123[Country],Tabela1[[#This Row],[Country]],Table120123[Classification],"&gt;0")</f>
        <v>0</v>
      </c>
      <c r="OC121" s="6">
        <f>COUNTIFS(Table123[Country],Tabela1[[#This Row],[Country]],Table123[Ice Dance Classification],"&gt;0")</f>
        <v>0</v>
      </c>
      <c r="OD121" s="6">
        <f>COUNTIFS(Table123[Country],Tabela1[[#This Row],[Country]],Table123[Pair Skating Classification],"&gt;0")</f>
        <v>0</v>
      </c>
      <c r="OE121" s="6">
        <f>COUNTIFS(Table124[Country],Tabela1[[#This Row],[Country]],Table124[Mixed Classification],"&gt;0")</f>
        <v>0</v>
      </c>
      <c r="OF121" s="6">
        <f>COUNTIFS(Table125[Country],Tabela1[[#This Row],[Country]],Table125[Aerials Classification],"&gt;0")</f>
        <v>0</v>
      </c>
      <c r="OG121" s="6">
        <f>COUNTIFS(Table125128[Country],Tabela1[[#This Row],[Country]],Table125128[Aerials Classification],"&gt;0")</f>
        <v>0</v>
      </c>
      <c r="OH121" s="6">
        <f>COUNTIFS(Table128[Country],Tabela1[[#This Row],[Country]],Table128[Mixed Aerials Classification],"&gt;0")</f>
        <v>0</v>
      </c>
      <c r="OI121" s="6">
        <f>COUNTIFS(Table125[Country],Tabela1[[#This Row],[Country]],Table125[Big Air Classification],"&gt;0")</f>
        <v>0</v>
      </c>
      <c r="OJ121" s="6">
        <f>COUNTIFS(Table125128[Country],Tabela1[[#This Row],[Country]],Table125128[Big Air Classification],"&gt;0")</f>
        <v>0</v>
      </c>
      <c r="OK121" s="6">
        <f>COUNTIFS(Table125[Country],Tabela1[[#This Row],[Country]],Table125[Dual Moguls Classification],"&gt;0")</f>
        <v>0</v>
      </c>
      <c r="OL121" s="6">
        <f>COUNTIFS(Table125128[Country],Tabela1[[#This Row],[Country]],Table125128[Dual Moguls Classification],"&gt;0")</f>
        <v>0</v>
      </c>
      <c r="OM121" s="6">
        <f>COUNTIFS(Table125[Country],Tabela1[[#This Row],[Country]],Table125[Halfpipe Classification],"&gt;0")</f>
        <v>0</v>
      </c>
      <c r="ON121" s="6">
        <f>COUNTIFS(Table125128[Country],Tabela1[[#This Row],[Country]],Table125128[Halfpipe Classification],"&gt;0")</f>
        <v>0</v>
      </c>
      <c r="OO121" s="6">
        <f>COUNTIFS(Table125[Country],Tabela1[[#This Row],[Country]],Table125[Moguls Classification],"&gt;0")</f>
        <v>0</v>
      </c>
      <c r="OP121" s="6">
        <f>COUNTIFS(Table125128[Country],Tabela1[[#This Row],[Country]],Table125128[Moguls Classification],"&gt;0")</f>
        <v>0</v>
      </c>
      <c r="OQ121" s="6">
        <f>COUNTIFS(Table125[Country],Tabela1[[#This Row],[Country]],Table125[Ski Cross Classification],"&gt;0")</f>
        <v>0</v>
      </c>
      <c r="OR121" s="6">
        <f>COUNTIFS(Table125128[Country],Tabela1[[#This Row],[Country]],Table125128[Ski Cross Classification],"&gt;0")</f>
        <v>0</v>
      </c>
      <c r="OS121" s="6">
        <f>COUNTIFS(Table125[Country],Tabela1[[#This Row],[Country]],Table125[Slopestyle Classification],"&gt;0")</f>
        <v>0</v>
      </c>
      <c r="OT121" s="6">
        <f>COUNTIFS(Table125128[Country],Tabela1[[#This Row],[Country]],Table125128[Slopestyle Classification],"&gt;0")</f>
        <v>0</v>
      </c>
      <c r="OU121" s="6">
        <f>COUNTIFS(Table119131[Country],Tabela1[[#This Row],[Country]],Table119131[Men''s Classification],"&gt;0")</f>
        <v>0</v>
      </c>
      <c r="OV121" s="6">
        <f>COUNTIFS(Table119131[Country],Tabela1[[#This Row],[Country]],Table119131[Women''s Classification],"&gt;0")</f>
        <v>0</v>
      </c>
      <c r="OW121" s="6">
        <f>COUNTIFS(Table131[Country],Tabela1[[#This Row],[Country]],Table131[Classification],"&gt;0")</f>
        <v>0</v>
      </c>
      <c r="OX121" s="6">
        <f>COUNTIFS(Table131134[Country],Tabela1[[#This Row],[Country]],Table131134[Classification],"&gt;0")</f>
        <v>0</v>
      </c>
      <c r="OY121" s="6">
        <f>COUNTIFS(Table134[Country],Tabela1[[#This Row],[Country]],Table134[Men''s Classification],"&gt;0")</f>
        <v>0</v>
      </c>
      <c r="OZ121" s="6">
        <f>COUNTIFS(Table134[Country],Tabela1[[#This Row],[Country]],Table134[Women''s Classification],"&gt;0")</f>
        <v>0</v>
      </c>
      <c r="PA121" s="6">
        <f>COUNTIFS(Table135[Country],Tabela1[[#This Row],[Country]],Table135[Mixed Relay Classification],"&gt;0")</f>
        <v>0</v>
      </c>
      <c r="PB121" s="6">
        <f>COUNTIFS(Table136[Country],Tabela1[[#This Row],[Country]],Table136[Individual Classification],"&gt;0")</f>
        <v>0</v>
      </c>
      <c r="PC121" s="6">
        <f>COUNTIFS(Table136[Country],Tabela1[[#This Row],[Country]],Table136[Sprint Classification],"&gt;0")</f>
        <v>0</v>
      </c>
      <c r="PD121" s="6">
        <f>COUNTIFS(Table137[Country],Tabela1[[#This Row],[Country]],Table137[Men''s Team Sprint Large Hill Classification],"&gt;0")</f>
        <v>0</v>
      </c>
      <c r="PE121" s="6">
        <f>COUNTIFS(Table138[Country],Tabela1[[#This Row],[Country]],Table138[500m Classification],"&gt;0")</f>
        <v>0</v>
      </c>
      <c r="PF121" s="6">
        <f>COUNTIFS(Table138141[Country],Tabela1[[#This Row],[Country]],Table138141[500m Classification],"&gt;0")</f>
        <v>0</v>
      </c>
      <c r="PG121" s="6">
        <f>COUNTIFS(Table138[Country],Tabela1[[#This Row],[Country]],Table138[1000m Classification],"&gt;0")</f>
        <v>0</v>
      </c>
      <c r="PH121" s="6">
        <f>COUNTIFS(Table138141[Country],Tabela1[[#This Row],[Country]],Table138141[1000m Classification],"&gt;0")</f>
        <v>0</v>
      </c>
      <c r="PI121" s="6">
        <f>COUNTIFS(Table138[Country],Tabela1[[#This Row],[Country]],Table138[1500m Classification],"&gt;0")</f>
        <v>0</v>
      </c>
      <c r="PJ121" s="6">
        <f>COUNTIFS(Table138141[Country],Tabela1[[#This Row],[Country]],Table138141[1500m Classification],"&gt;0")</f>
        <v>0</v>
      </c>
      <c r="PK121" s="6">
        <f>COUNTIFS(Table141[Country],Tabela1[[#This Row],[Country]],Table141[Men''s 5000m Relay Classification],"&gt;0")</f>
        <v>0</v>
      </c>
      <c r="PL121" s="6">
        <f>COUNTIFS(Table141[Country],Tabela1[[#This Row],[Country]],Table141[Women''s 3000m Relay Classification],"&gt;0")</f>
        <v>0</v>
      </c>
      <c r="PM121" s="6">
        <f>COUNTIFS(Table141[Country],Tabela1[[#This Row],[Country]],Table141[Mixed 2000m Relay Classification],"&gt;0")</f>
        <v>0</v>
      </c>
      <c r="PN121" s="6">
        <f>COUNTIFS(Table142[Country],Tabela1[[#This Row],[Country]],Table142[Classification],"&gt;0")</f>
        <v>0</v>
      </c>
      <c r="PO121" s="6">
        <f>COUNTIFS(Table142145[Country],Tabela1[[#This Row],[Country]],Table142145[Classification],"&gt;0")</f>
        <v>0</v>
      </c>
      <c r="PP121" s="6">
        <f>COUNTIFS(Tabela15[Country],Tabela1[[#This Row],[Country]],Tabela15[Mixed Team Classification],"&gt;0")</f>
        <v>0</v>
      </c>
      <c r="PQ121" s="6">
        <f>COUNTIFS(Table145[Country],Tabela1[[#This Row],[Country]],Table145[Large Hill Classification],"&gt;0")</f>
        <v>0</v>
      </c>
      <c r="PR121" s="6">
        <f>COUNTIFS(Table145[Country],Tabela1[[#This Row],[Country]],Table145[Normal Hill Classification],"&gt;0")</f>
        <v>0</v>
      </c>
      <c r="PS121" s="6">
        <f>COUNTIFS(Table145148[Country],Tabela1[[#This Row],[Country]],Table145148[Large Hill Classification],"&gt;0")</f>
        <v>0</v>
      </c>
      <c r="PT121" s="6">
        <f>COUNTIFS(Table145148[Country],Tabela1[[#This Row],[Country]],Table145148[Normal Hill Classification],"&gt;0")</f>
        <v>0</v>
      </c>
      <c r="PU121" s="6">
        <f>COUNTIFS(Table148[Country],Tabela1[[#This Row],[Country]],Table148[Men''s Super Team Classification],"&gt;0")</f>
        <v>0</v>
      </c>
      <c r="PV121" s="6">
        <f>COUNTIFS(Tabela114[Country],Tabela1[[#This Row],[Country]],Tabela114[Mixed Normal Hill Classification],"&gt;0")</f>
        <v>0</v>
      </c>
      <c r="PW121" s="6">
        <f>COUNTIFS(Tabela50[Country],Tabela1[[#This Row],[Country]],Tabela50[Sprint Classification],"&gt;0")</f>
        <v>0</v>
      </c>
      <c r="PX121" s="6">
        <f>COUNTIFS(Tabela50101[Country],Tabela1[[#This Row],[Country]],Tabela50101[Sprint Classification],"&gt;0")</f>
        <v>0</v>
      </c>
      <c r="PY121" s="6">
        <f>COUNTIFS(Tabela103[Country],Tabela1[[#This Row],[Country]],Tabela103[Mixed Relay Classification],"&gt;0")</f>
        <v>0</v>
      </c>
      <c r="PZ121" s="6">
        <f>COUNTIFS(Table149[Country],Tabela1[[#This Row],[Country]],Table149[Big Air Classification],"&gt;0")</f>
        <v>0</v>
      </c>
      <c r="QA121" s="6">
        <f>COUNTIFS(Table149152[Country],Tabela1[[#This Row],[Country]],Table149152[Big Air Classification],"&gt;0")</f>
        <v>0</v>
      </c>
      <c r="QB121" s="6">
        <f>COUNTIFS(Table149[Country],Tabela1[[#This Row],[Country]],Table149[Halfpipe Classification],"&gt;0")</f>
        <v>0</v>
      </c>
      <c r="QC121" s="6">
        <f>COUNTIFS(Table149152[Country],Tabela1[[#This Row],[Country]],Table149152[Halfpipe Classification],"&gt;0")</f>
        <v>0</v>
      </c>
      <c r="QD121" s="6">
        <f>COUNTIFS(Table149[Country],Tabela1[[#This Row],[Country]],Table149[Parallel Giant Slalom Classification],"&gt;0")</f>
        <v>0</v>
      </c>
      <c r="QE121" s="6">
        <f>COUNTIFS(Table149152[Country],Tabela1[[#This Row],[Country]],Table149152[Parallel Giant Slalom Classification],"&gt;0")</f>
        <v>0</v>
      </c>
      <c r="QF121" s="6">
        <f>COUNTIFS(Table149[Country],Tabela1[[#This Row],[Country]],Table149[Slopestyle Classification],"&gt;0")</f>
        <v>0</v>
      </c>
      <c r="QG121" s="6">
        <f>COUNTIFS(Table149152[Country],Tabela1[[#This Row],[Country]],Table149152[Slopestyle Classification],"&gt;0")</f>
        <v>0</v>
      </c>
      <c r="QH121" s="6">
        <f>COUNTIFS(Table149[Country],Tabela1[[#This Row],[Country]],Table149[Snowboard Cross Classification],"&gt;0")</f>
        <v>0</v>
      </c>
      <c r="QI121" s="6">
        <f>COUNTIFS(Table149152[Country],Tabela1[[#This Row],[Country]],Table149152[Snowboard Cross Classification],"&gt;0")</f>
        <v>0</v>
      </c>
      <c r="QJ121" s="6">
        <f>COUNTIFS(Table153[Country],Tabela1[[#This Row],[Country]],Table153[Mixed Team Snowboard Cross Classification],"&gt;0")</f>
        <v>0</v>
      </c>
      <c r="QK121" s="6">
        <f>COUNTIFS(Table154[Country],Tabela1[[#This Row],[Country]],Table154[500m Classification],"&gt;0")</f>
        <v>0</v>
      </c>
      <c r="QL121" s="6">
        <f>COUNTIFS(Table154157[Country],Tabela1[[#This Row],[Country]],Table154157[500m Classification],"&gt;0")</f>
        <v>0</v>
      </c>
      <c r="QM121" s="6">
        <f>COUNTIFS(Table154[Country],Tabela1[[#This Row],[Country]],Table154[1000m Classification],"&gt;0")</f>
        <v>0</v>
      </c>
      <c r="QN121" s="6">
        <f>COUNTIFS(Table154157[Country],Tabela1[[#This Row],[Country]],Table154157[1000m Classification],"&gt;0")</f>
        <v>0</v>
      </c>
      <c r="QO121" s="6">
        <f>COUNTIFS(Table154[Country],Tabela1[[#This Row],[Country]],Table154[1500m Classification],"&gt;0")</f>
        <v>0</v>
      </c>
      <c r="QP121" s="6">
        <f>COUNTIFS(Table154157[Country],Tabela1[[#This Row],[Country]],Table154157[1500m Classification],"&gt;0")</f>
        <v>0</v>
      </c>
      <c r="QQ121" s="6">
        <f>COUNTIFS(Table154157[Country],Tabela1[[#This Row],[Country]],Table154157[3000m Classification],"&gt;0")</f>
        <v>0</v>
      </c>
      <c r="QR121" s="6">
        <f>COUNTIFS(Table154[Country],Tabela1[[#This Row],[Country]],Table154[5000m Classification],"&gt;0")</f>
        <v>0</v>
      </c>
      <c r="QS121" s="6">
        <f>COUNTIFS(Table154157[Country],Tabela1[[#This Row],[Country]],Table154157[5000m Classification],"&gt;0")</f>
        <v>0</v>
      </c>
      <c r="QT121" s="6">
        <f>COUNTIFS(Table154[Country],Tabela1[[#This Row],[Country]],Table154[10000m Classification],"&gt;0")</f>
        <v>0</v>
      </c>
      <c r="QU121" s="6">
        <f>COUNTIFS(Table154[Country],Tabela1[[#This Row],[Country]],Table154[Mass Start Classification],"&gt;0")</f>
        <v>0</v>
      </c>
      <c r="QV121" s="6">
        <f>COUNTIFS(Table154157[Country],Tabela1[[#This Row],[Country]],Table154157[Mass Start Classification],"&gt;0")</f>
        <v>0</v>
      </c>
      <c r="QW121" s="6">
        <f>COUNTIFS(Table157[Country],Tabela1[[#This Row],[Country]],Table157[Men''s Pursuit Classification],"&gt;0")</f>
        <v>0</v>
      </c>
      <c r="QX121" s="6">
        <f>COUNTIFS(Table157[Country],Tabela1[[#This Row],[Country]],Table157[Women''s Pursuit Classification],"&gt;0")</f>
        <v>0</v>
      </c>
      <c r="QY121" s="3" t="s">
        <v>519</v>
      </c>
    </row>
    <row r="122" spans="1:467" x14ac:dyDescent="0.3">
      <c r="A122" s="6">
        <v>121</v>
      </c>
      <c r="B122" s="6" t="s">
        <v>684</v>
      </c>
      <c r="C122" t="e" vm="121">
        <f>IF(ISBLANK(Tabela1[[#This Row],[Image Link]]), "", _xlfn.IMAGE(Tabela1[[#This Row],[Image Link]],1,1))</f>
        <v>#VALUE!</v>
      </c>
      <c r="D122" s="6">
        <f>SUM(Tabela1[[#This Row],[Archery - Men''s Individual Recurve]:[Speed Skating - Women''s Team Pursuit]])</f>
        <v>2</v>
      </c>
      <c r="E122" s="6">
        <f>COUNTIF(Tabela1[[#This Row],[Archery - Men''s Individual Recurve]:[Speed Skating - Women''s Team Pursuit]],"&gt;0")</f>
        <v>2</v>
      </c>
      <c r="F122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Winter Olympics</v>
      </c>
      <c r="G122" s="6">
        <f>SUM(Tabela1[[#This Row],[Archery - Men''s Individual Recurve]:[Wrestling - Women''s Freestyle 76kg]])</f>
        <v>0</v>
      </c>
      <c r="H122" s="6">
        <f>SUM(Tabela1[[#This Row],[Alpine Skiing - Men''s Downhill]:[Speed Skating - Women''s Team Pursuit]])</f>
        <v>2</v>
      </c>
      <c r="I122" s="6">
        <f>Tabela1[[#This Row],[Summer Gold Medals]]+Tabela1[[#This Row],[Winter Gold Medals]]</f>
        <v>0</v>
      </c>
      <c r="J122" s="6">
        <f>Tabela1[[#This Row],[Summer Silver Medals]]+Tabela1[[#This Row],[Winter Silver Medals]]</f>
        <v>0</v>
      </c>
      <c r="K122" s="6">
        <f>Tabela1[[#This Row],[Summer Bronze Medals]]+Tabela1[[#This Row],[Winter Bronze Medals]]</f>
        <v>0</v>
      </c>
      <c r="L122" s="6">
        <f>SUM(Tabela1[[#This Row],[Total Gold Medals]:[Total Bronze Medals]])</f>
        <v>0</v>
      </c>
      <c r="M122" s="6"/>
      <c r="N122" s="6"/>
      <c r="O122" s="6"/>
      <c r="P122" s="6">
        <f>SUM(Tabela1[[#This Row],[Summer Gold Medals]:[Summer Bronze Medals]])</f>
        <v>0</v>
      </c>
      <c r="Q122" s="6"/>
      <c r="R122" s="6"/>
      <c r="S122" s="6"/>
      <c r="T122" s="6">
        <f>Tabela1[[#This Row],[Winter Gold Medals]]+Tabela1[[#This Row],[Winter Silver Medals]]+Tabela1[[#This Row],[Winter Bronze Medals]]</f>
        <v>0</v>
      </c>
      <c r="U122" s="7">
        <f>Tabela1[[#This Row],[Total Medals]]/Tabela1[[#This Row],[Total Quotas]]</f>
        <v>0</v>
      </c>
      <c r="V122" s="6">
        <f>COUNTIFS(Table3[Country],Tabela1[[#This Row],[Country]],Table3[Recurve Classification],"&gt;0")</f>
        <v>0</v>
      </c>
      <c r="W122" s="6">
        <f>COUNTIFS(Table33[Country],Tabela1[[#This Row],[Country]],Table33[Recurve Classification],"&gt;0")</f>
        <v>0</v>
      </c>
      <c r="X122" s="6">
        <f>COUNTIFS(Table35[Country],Tabela1[[#This Row],[Country]],Table35[Men''s Team Recurve Classification],"&gt;0")</f>
        <v>0</v>
      </c>
      <c r="Y122" s="6">
        <f>COUNTIFS(Table35[Country],Tabela1[[#This Row],[Country]],Table35[Women''s Team Recurve Classification],"&gt;0")</f>
        <v>0</v>
      </c>
      <c r="Z122" s="6">
        <f>COUNTIFS(Tabela88[Country],Tabela1[[#This Row],[Country]],Tabela88[Mixed Team Recurve Classification],"&gt;0")</f>
        <v>0</v>
      </c>
      <c r="AA122" s="6">
        <f>COUNTIFS(Table36[Country],Tabela1[[#This Row],[Country]],Table36[Classification],"&gt;0")</f>
        <v>0</v>
      </c>
      <c r="AB122" s="6">
        <f>COUNTIFS(Table37[Country],Tabela1[[#This Row],[Country]],Table37[Classification],"&gt;0")</f>
        <v>0</v>
      </c>
      <c r="AC122" s="6">
        <f>COUNTIFS(Table4[Country],Tabela1[[#This Row],[Country]],Table4[100m Classification],"&gt;0")</f>
        <v>0</v>
      </c>
      <c r="AD122" s="6">
        <f>COUNTIFS(Table5[Country],Tabela1[[#This Row],[Country]],Table5[100m Classification],"&gt;0")</f>
        <v>0</v>
      </c>
      <c r="AE122" s="6">
        <f>COUNTIFS(Table4[Country],Tabela1[[#This Row],[Country]],Table4[200m Classification],"&gt;0")</f>
        <v>0</v>
      </c>
      <c r="AF122" s="6">
        <f>COUNTIFS(Table5[Country],Tabela1[[#This Row],[Country]],Table5[200m Classification],"&gt;0")</f>
        <v>0</v>
      </c>
      <c r="AG122" s="6">
        <f>COUNTIFS(Table4[Country],Tabela1[[#This Row],[Country]],Table4[400m Classification],"&gt;0")</f>
        <v>0</v>
      </c>
      <c r="AH122" s="6">
        <f>COUNTIFS(Table5[Country],Tabela1[[#This Row],[Country]],Table5[400m Classification],"&gt;0")</f>
        <v>0</v>
      </c>
      <c r="AI122" s="6">
        <f>COUNTIFS(Table4[Country],Tabela1[[#This Row],[Country]],Table4[800m Classification],"&gt;0")</f>
        <v>0</v>
      </c>
      <c r="AJ122" s="6">
        <f>COUNTIFS(Table5[Country],Tabela1[[#This Row],[Country]],Table5[800m Classification],"&gt;0")</f>
        <v>0</v>
      </c>
      <c r="AK122" s="6">
        <f>COUNTIFS(Table4[Country],Tabela1[[#This Row],[Country]],Table4[1500m Classification],"&gt;0")</f>
        <v>0</v>
      </c>
      <c r="AL122" s="6">
        <f>COUNTIFS(Table5[Country],Tabela1[[#This Row],[Country]],Table5[1500m Classification],"&gt;0")</f>
        <v>0</v>
      </c>
      <c r="AM122" s="6">
        <f>COUNTIFS(Table4[Country],Tabela1[[#This Row],[Country]],Table4[5000m Classification],"&gt;0")</f>
        <v>0</v>
      </c>
      <c r="AN122" s="6">
        <f>COUNTIFS(Table5[Country],Tabela1[[#This Row],[Country]],Table5[5000m Classification],"&gt;0")</f>
        <v>0</v>
      </c>
      <c r="AO122" s="6">
        <f>COUNTIFS(Table4[Country],Tabela1[[#This Row],[Country]],Table4[10000m Classification],"&gt;0")</f>
        <v>0</v>
      </c>
      <c r="AP122" s="6">
        <f>COUNTIFS(Table5[Country],Tabela1[[#This Row],[Country]],Table5[10000m Classification],"&gt;0")</f>
        <v>0</v>
      </c>
      <c r="AQ122" s="6">
        <f>COUNTIFS(Table4[Country],Tabela1[[#This Row],[Country]],Table4[110m Hurdles Classification],"&gt;0")</f>
        <v>0</v>
      </c>
      <c r="AR122" s="6">
        <f>COUNTIFS(Table5[Country],Tabela1[[#This Row],[Country]],Table5[100m Hurdles Classification],"&gt;0")</f>
        <v>0</v>
      </c>
      <c r="AS122" s="6">
        <f>COUNTIFS(Table4[Country],Tabela1[[#This Row],[Country]],Table4[400m Hurdles Classification],"&gt;0")</f>
        <v>0</v>
      </c>
      <c r="AT122" s="6">
        <f>COUNTIFS(Table5[Country],Tabela1[[#This Row],[Country]],Table5[400m Hurdles Classification],"&gt;0")</f>
        <v>0</v>
      </c>
      <c r="AU122" s="6">
        <f>COUNTIFS(Table4[Country],Tabela1[[#This Row],[Country]],Table4[3000m Steeplechase Classification],"&gt;0")</f>
        <v>0</v>
      </c>
      <c r="AV122" s="6">
        <f>COUNTIFS(Table5[Country],Tabela1[[#This Row],[Country]],Table5[3000m Steeplechase Classification],"&gt;0")</f>
        <v>0</v>
      </c>
      <c r="AW122" s="6">
        <f>COUNTIFS(Table27[Country],Tabela1[[#This Row],[Country]],Table27[Men''s 4x100m Relay Classification],"&gt;0")</f>
        <v>0</v>
      </c>
      <c r="AX122" s="6">
        <f>COUNTIFS(Table27[Country],Tabela1[[#This Row],[Country]],Table27[Women''s 4x100m Relay Classification],"&gt;0")</f>
        <v>0</v>
      </c>
      <c r="AY122" s="6">
        <f>COUNTIFS(Table27[Country],Tabela1[[#This Row],[Country]],Table27[Men''s 4x400m Relay Classification],"&gt;0")</f>
        <v>0</v>
      </c>
      <c r="AZ122" s="6">
        <f>COUNTIFS(Table27[Country],Tabela1[[#This Row],[Country]],Table27[Women''s 4x400m Relay Classification],"&gt;0")</f>
        <v>0</v>
      </c>
      <c r="BA122" s="6">
        <f>COUNTIFS(Table27[Country],Tabela1[[#This Row],[Country]],Table27[Mixed 4x400m Relay Classification],"&gt;0")</f>
        <v>0</v>
      </c>
      <c r="BB122" s="6">
        <f>COUNTIFS(Table4[Country],Tabela1[[#This Row],[Country]],Table4[Marathon Classification],"&gt;0")</f>
        <v>0</v>
      </c>
      <c r="BC122" s="6">
        <f>COUNTIFS(Table5[Country],Tabela1[[#This Row],[Country]],Table5[Marathon Classification],"&gt;0")</f>
        <v>0</v>
      </c>
      <c r="BD122" s="6">
        <f>COUNTIFS(Table4[Country],Tabela1[[#This Row],[Country]],Table4[20km Race Walk Classification],"&gt;0")</f>
        <v>0</v>
      </c>
      <c r="BE122" s="6">
        <f>COUNTIFS(Table5[Country],Tabela1[[#This Row],[Country]],Table5[20km Race Walk Classification],"&gt;0")</f>
        <v>0</v>
      </c>
      <c r="BF122" s="6">
        <f>COUNTIFS(Tabela96[Country],Tabela1[[#This Row],[Country]],Tabela96[Mixed Marathon Race Walk Relay Classification],"&gt;0")</f>
        <v>0</v>
      </c>
      <c r="BG122" s="6">
        <f>COUNTIFS(Table4[Country],Tabela1[[#This Row],[Country]],Table4[Discus Throw Classification],"&gt;0")</f>
        <v>0</v>
      </c>
      <c r="BH122" s="6">
        <f>COUNTIFS(Table5[Country],Tabela1[[#This Row],[Country]],Table5[Discus Throw Classification],"&gt;0")</f>
        <v>0</v>
      </c>
      <c r="BI122" s="6">
        <f>COUNTIFS(Table4[Country],Tabela1[[#This Row],[Country]],Table4[Hammer Throw Classification],"&gt;0")</f>
        <v>0</v>
      </c>
      <c r="BJ122" s="6">
        <f>COUNTIFS(Table5[Country],Tabela1[[#This Row],[Country]],Table5[Hammer Throw Classification],"&gt;0")</f>
        <v>0</v>
      </c>
      <c r="BK122" s="6">
        <f>COUNTIFS(Table4[Country],Tabela1[[#This Row],[Country]],Table4[High Jump Classification],"&gt;0")</f>
        <v>0</v>
      </c>
      <c r="BL122" s="6">
        <f>COUNTIFS(Table5[Country],Tabela1[[#This Row],[Country]],Table5[High Jump Classification],"&gt;0")</f>
        <v>0</v>
      </c>
      <c r="BM122" s="6">
        <f>COUNTIFS(Table4[Country],Tabela1[[#This Row],[Country]],Table4[Javelin Throw Classification],"&gt;0")</f>
        <v>0</v>
      </c>
      <c r="BN122" s="6">
        <f>COUNTIFS(Table5[Country],Tabela1[[#This Row],[Country]],Table5[Javelin Throw Classification],"&gt;0")</f>
        <v>0</v>
      </c>
      <c r="BO122" s="6">
        <f>COUNTIFS(Table4[Country],Tabela1[[#This Row],[Country]],Table4[Long Jump Classification],"&gt;0")</f>
        <v>0</v>
      </c>
      <c r="BP122" s="6">
        <f>COUNTIFS(Table5[Country],Tabela1[[#This Row],[Country]],Table5[Long Jump Classification],"&gt;0")</f>
        <v>0</v>
      </c>
      <c r="BQ122" s="6">
        <f>COUNTIFS(Table4[Country],Tabela1[[#This Row],[Country]],Table4[Pole Vault Classification],"&gt;0")</f>
        <v>0</v>
      </c>
      <c r="BR122" s="6">
        <f>COUNTIFS(Table5[Country],Tabela1[[#This Row],[Country]],Table5[Pole Vault Classification],"&gt;0")</f>
        <v>0</v>
      </c>
      <c r="BS122" s="6">
        <f>COUNTIFS(Table4[Country],Tabela1[[#This Row],[Country]],Table4[Shot Put Classification],"&gt;0")</f>
        <v>0</v>
      </c>
      <c r="BT122" s="6">
        <f>COUNTIFS(Table5[Country],Tabela1[[#This Row],[Country]],Table5[Shot Put Classification],"&gt;0")</f>
        <v>0</v>
      </c>
      <c r="BU122" s="6">
        <f>COUNTIFS(Table4[Country],Tabela1[[#This Row],[Country]],Table4[Triple Jump Classification],"&gt;0")</f>
        <v>0</v>
      </c>
      <c r="BV122" s="6">
        <f>COUNTIFS(Table5[Country],Tabela1[[#This Row],[Country]],Table5[Triple Jump Classification],"&gt;0")</f>
        <v>0</v>
      </c>
      <c r="BW122" s="6">
        <f>COUNTIFS(Table4[Country],Tabela1[[#This Row],[Country]],Table4[Decathlon Classification],"&gt;0")</f>
        <v>0</v>
      </c>
      <c r="BX122" s="6">
        <f>COUNTIFS(Table5[Country],Tabela1[[#This Row],[Country]],Table5[Heptathlon Classification],"&gt;0")</f>
        <v>0</v>
      </c>
      <c r="BY122" s="6">
        <f>COUNTIFS(Table61[Country],Tabela1[[#This Row],[Country]],Table61[Classification],"&gt;0")</f>
        <v>0</v>
      </c>
      <c r="BZ122" s="6">
        <f>COUNTIFS(Table38[Country],Tabela1[[#This Row],[Country]],Table38[Classification],"&gt;0")</f>
        <v>0</v>
      </c>
      <c r="CA122" s="6">
        <f>COUNTIFS(Table39[Country],Tabela1[[#This Row],[Country]],Table39[Men''s Classification],"&gt;0")</f>
        <v>0</v>
      </c>
      <c r="CB122" s="6">
        <f>COUNTIFS(Table39[Country],Tabela1[[#This Row],[Country]],Table39[Women''s Classification],"&gt;0")</f>
        <v>0</v>
      </c>
      <c r="CC122" s="6">
        <f>COUNTIFS(Table39[Country],Tabela1[[#This Row],[Country]],Table39[Mixed Classification],"&gt;0")</f>
        <v>0</v>
      </c>
      <c r="CD122" s="6">
        <f>COUNTIFS(Table89[Country],Tabela1[[#This Row],[Country]],Table89[Men''s Classification],"&gt;0")</f>
        <v>0</v>
      </c>
      <c r="CE122" s="6">
        <f>COUNTIFS(Table89[Country],Tabela1[[#This Row],[Country]],Table89[Women''s Classification],"&gt;0")</f>
        <v>0</v>
      </c>
      <c r="CF122" s="6">
        <f>COUNTIFS(Table90[Country],Tabela1[[#This Row],[Country]],Table90[Men''s Classification],"&gt;0")</f>
        <v>0</v>
      </c>
      <c r="CG122" s="6">
        <f>COUNTIFS(Table90[Country],Tabela1[[#This Row],[Country]],Table90[Women''s Classification],"&gt;0")</f>
        <v>0</v>
      </c>
      <c r="CH122" s="6">
        <f>COUNTIFS(Table60[Country],Tabela1[[#This Row],[Country]],Table60[Men''s Classification],"&gt;0")</f>
        <v>0</v>
      </c>
      <c r="CI122" s="6">
        <f>COUNTIFS(Table60[Country],Tabela1[[#This Row],[Country]],Table60[Women''s Classification],"&gt;0")</f>
        <v>0</v>
      </c>
      <c r="CJ122" s="6">
        <f>COUNTIFS(Table6[Country],Tabela1[[#This Row],[Country]],Table6[51kg Classification],"&gt;0")</f>
        <v>0</v>
      </c>
      <c r="CK122" s="6">
        <f>COUNTIFS(Table6[Country],Tabela1[[#This Row],[Country]],Table6[57kg Classification],"&gt;0")</f>
        <v>0</v>
      </c>
      <c r="CL122" s="6">
        <f>COUNTIFS(Table6[Country],Tabela1[[#This Row],[Country]],Table6[63.5kg Classification],"&gt;0")</f>
        <v>0</v>
      </c>
      <c r="CM122" s="6">
        <f>COUNTIFS(Table6[Country],Tabela1[[#This Row],[Country]],Table6[71kg Classification],"&gt;0")</f>
        <v>0</v>
      </c>
      <c r="CN122" s="6">
        <f>COUNTIFS(Table6[Country],Tabela1[[#This Row],[Country]],Table6[80kg Classification],"&gt;0")</f>
        <v>0</v>
      </c>
      <c r="CO122" s="6">
        <f>COUNTIFS(Table6[Country],Tabela1[[#This Row],[Country]],Table6[92kg Classification],"&gt;0")</f>
        <v>0</v>
      </c>
      <c r="CP122" s="6">
        <f>COUNTIFS(Table6[Country],Tabela1[[#This Row],[Country]],Table6[Plus 92kg Classification],"&gt;0")</f>
        <v>0</v>
      </c>
      <c r="CQ122" s="6">
        <f>COUNTIFS(Table7[Country],Tabela1[[#This Row],[Country]],Table7[50kg Classification],"&gt;0")</f>
        <v>0</v>
      </c>
      <c r="CR122" s="6">
        <f>COUNTIFS(Table7[Country],Tabela1[[#This Row],[Country]],Table7[54kg Classification],"&gt;0")</f>
        <v>0</v>
      </c>
      <c r="CS122" s="6">
        <f>COUNTIFS(Table7[Country],Tabela1[[#This Row],[Country]],Table7[57kg Classification],"&gt;0")</f>
        <v>0</v>
      </c>
      <c r="CT122" s="6">
        <f>COUNTIFS(Table7[Country],Tabela1[[#This Row],[Country]],Table7[60kg Classification],"&gt;0")</f>
        <v>0</v>
      </c>
      <c r="CU122" s="6">
        <f>COUNTIFS(Table7[Country],Tabela1[[#This Row],[Country]],Table7[66kg Classification],"&gt;0")</f>
        <v>0</v>
      </c>
      <c r="CV122" s="6">
        <f>COUNTIFS(Table7[Country],Tabela1[[#This Row],[Country]],Table7[75kg Classification],"&gt;0")</f>
        <v>0</v>
      </c>
      <c r="CW122" s="6">
        <f>COUNTIFS(Tabela94[Country],Tabela1[[#This Row],[Country]],Tabela94[Classification],"&gt;0")</f>
        <v>0</v>
      </c>
      <c r="CX122" s="6">
        <f>COUNTIFS(Tabela9499[Country],Tabela1[[#This Row],[Country]],Tabela9499[Classification],"&gt;0")</f>
        <v>0</v>
      </c>
      <c r="CY122" s="6">
        <f>COUNTIFS(Tabela107[Country],Tabela1[[#This Row],[Country]],Tabela107[C1 Slalom Classification],"&gt;0")</f>
        <v>0</v>
      </c>
      <c r="CZ122" s="6">
        <f>COUNTIFS(Tabela107122[Country],Tabela1[[#This Row],[Country]],Tabela107122[C1 Slalom Classification],"&gt;0")</f>
        <v>0</v>
      </c>
      <c r="DA122" s="6">
        <f>COUNTIFS(Tabela107[Country],Tabela1[[#This Row],[Country]],Tabela107[K1 Slalom Classification],"&gt;0")</f>
        <v>0</v>
      </c>
      <c r="DB122" s="6">
        <f>COUNTIFS(Tabela107122[Country],Tabela1[[#This Row],[Country]],Tabela107122[K1 Slalom Classification],"&gt;0")</f>
        <v>0</v>
      </c>
      <c r="DC122" s="6">
        <f>COUNTIFS(Tabela107[Country],Tabela1[[#This Row],[Country]],Tabela107[Kayak Cross Slalom Classification],"&gt;0")</f>
        <v>0</v>
      </c>
      <c r="DD122" s="6">
        <f>COUNTIFS(Tabela107122[Country],Tabela1[[#This Row],[Country]],Tabela107122[Kayak Cross Slalom Classification],"&gt;0")</f>
        <v>0</v>
      </c>
      <c r="DE122" s="6">
        <f>COUNTIFS(Table8[Country],Tabela1[[#This Row],[Country]],Table8[C1 200m Classification],"&gt;0")</f>
        <v>0</v>
      </c>
      <c r="DF122" s="6">
        <f>COUNTIFS(Table40[Country],Tabela1[[#This Row],[Country]],Table40[C1 1000m Classification],"&gt;0")</f>
        <v>0</v>
      </c>
      <c r="DG122" s="6">
        <f>COUNTIFS(Table68[Country],Tabela1[[#This Row],[Country]],Table68[Men''s C2 500m Classification],"&gt;0")</f>
        <v>0</v>
      </c>
      <c r="DH122" s="6">
        <f>COUNTIFS(Table68[Country],Tabela1[[#This Row],[Country]],Table68[Women''s C2 500m Classification],"&gt;0")</f>
        <v>0</v>
      </c>
      <c r="DI122" s="6">
        <f>COUNTIFS(Table8[Country],Tabela1[[#This Row],[Country]],Table8[K1 500m Classification],"&gt;0")</f>
        <v>0</v>
      </c>
      <c r="DJ122" s="6">
        <f>COUNTIFS(Table40[Country],Tabela1[[#This Row],[Country]],Table40[K1 1000m Classification],"&gt;0")</f>
        <v>0</v>
      </c>
      <c r="DK122" s="6">
        <f>COUNTIFS(Table68[Country],Tabela1[[#This Row],[Country]],Table68[Men''s K2 500m Classification],"&gt;0")</f>
        <v>0</v>
      </c>
      <c r="DL122" s="6">
        <f>COUNTIFS(Table68[Country],Tabela1[[#This Row],[Country]],Table68[Women''s K2 500m Classification],"&gt;0")</f>
        <v>0</v>
      </c>
      <c r="DM122" s="6">
        <f>COUNTIFS(Table83[Country],Tabela1[[#This Row],[Country]],Table83[Men''s K4 500m Classification],"&gt;0")</f>
        <v>0</v>
      </c>
      <c r="DN122" s="6">
        <f>COUNTIFS(Table83[Country],Tabela1[[#This Row],[Country]],Table83[Women''s K4 500m Classification],"&gt;0")</f>
        <v>0</v>
      </c>
      <c r="DO122" s="6">
        <f>COUNTIFS(Tabela126[Country],Tabela1[[#This Row],[Country]],Tabela126[Classification],"&gt;0")</f>
        <v>0</v>
      </c>
      <c r="DP122" s="6">
        <f>COUNTIFS(Tabela126130[Country],Tabela1[[#This Row],[Country]],Tabela126130[Classification],"&gt;0")</f>
        <v>0</v>
      </c>
      <c r="DQ122" s="6">
        <f>COUNTIFS(Table70[Country],Tabela1[[#This Row],[Country]],Table70[Classification],"&gt;0")</f>
        <v>0</v>
      </c>
      <c r="DR122" s="6">
        <f>COUNTIFS(Table80[Country],Tabela1[[#This Row],[Country]],Table80[Classification],"&gt;0")</f>
        <v>0</v>
      </c>
      <c r="DS122" s="6">
        <f>COUNTIFS(Table66[Country],Tabela1[[#This Row],[Country]],Table66[Classification],"&gt;0")</f>
        <v>0</v>
      </c>
      <c r="DT122" s="6">
        <f>COUNTIFS(Table67[Country],Tabela1[[#This Row],[Country]],Table67[Classification],"&gt;0")</f>
        <v>0</v>
      </c>
      <c r="DU122" s="6">
        <f>COUNTIFS(Table69[Country],Tabela1[[#This Row],[Country]],Table69[Keirin Classification],"&gt;0")</f>
        <v>0</v>
      </c>
      <c r="DV122" s="6">
        <f>COUNTIFS(Table41[Country],Tabela1[[#This Row],[Country]],Table41[Keirin Classification],"&gt;0")</f>
        <v>0</v>
      </c>
      <c r="DW122" s="6">
        <f>COUNTIFS(Table84[Country],Tabela1[[#This Row],[Country]],Table84[Men''s Madison Classification],"&gt;0")</f>
        <v>0</v>
      </c>
      <c r="DX122" s="6">
        <f>COUNTIFS(Table84[Country],Tabela1[[#This Row],[Country]],Table84[Women''s Madison Classification],"&gt;0")</f>
        <v>0</v>
      </c>
      <c r="DY122" s="6">
        <f>COUNTIFS(Table69[Country],Tabela1[[#This Row],[Country]],Table69[Omnium Classification],"&gt;0")</f>
        <v>0</v>
      </c>
      <c r="DZ122" s="6">
        <f>COUNTIFS(Table41[Country],Tabela1[[#This Row],[Country]],Table41[Omnium Classification],"&gt;0")</f>
        <v>0</v>
      </c>
      <c r="EA122" s="6">
        <f>COUNTIFS(Table9[Country],Tabela1[[#This Row],[Country]],Table9[Road Race Classification],"&gt;0")</f>
        <v>0</v>
      </c>
      <c r="EB122" s="6">
        <f>COUNTIFS(Table14[Country],Tabela1[[#This Row],[Country]],Table14[Road Race Classification],"&gt;0")</f>
        <v>0</v>
      </c>
      <c r="EC122" s="6">
        <f>COUNTIFS(Table69[Country],Tabela1[[#This Row],[Country]],Table69[Sprint Classification],"&gt;0")</f>
        <v>0</v>
      </c>
      <c r="ED122" s="6">
        <f>COUNTIFS(Table41[Country],Tabela1[[#This Row],[Country]],Table41[Sprint Classification],"&gt;0")</f>
        <v>0</v>
      </c>
      <c r="EE122" s="6">
        <f>COUNTIFS(Table85[Country],Tabela1[[#This Row],[Country]],Table85[Men''s Sprint Classification],"&gt;0")</f>
        <v>0</v>
      </c>
      <c r="EF122" s="6">
        <f>COUNTIFS(Table85[Country],Tabela1[[#This Row],[Country]],Table85[Women''s Sprint Classification],"&gt;0")</f>
        <v>0</v>
      </c>
      <c r="EG122" s="6">
        <f>COUNTIFS(Table85[Country],Tabela1[[#This Row],[Country]],Table85[Men''s Pursuit Classification],"&gt;0")</f>
        <v>0</v>
      </c>
      <c r="EH122" s="6">
        <f>COUNTIFS(Table85[Country],Tabela1[[#This Row],[Country]],Table85[Women''s Pursuit Classification],"&gt;0")</f>
        <v>0</v>
      </c>
      <c r="EI122" s="6">
        <f>COUNTIFS(Table9[Country],Tabela1[[#This Row],[Country]],Table9[Time-Trial Classification],"&gt;0")</f>
        <v>0</v>
      </c>
      <c r="EJ122" s="6">
        <f>COUNTIFS(Table14[Country],Tabela1[[#This Row],[Country]],Table14[Time-Trial Classification],"&gt;0")</f>
        <v>0</v>
      </c>
      <c r="EK122" s="6">
        <f>COUNTIFS(Table42[Country],Tabela1[[#This Row],[Country]],Table42[Springboard Classification],"&gt;0")</f>
        <v>0</v>
      </c>
      <c r="EL122" s="6">
        <f>COUNTIFS(Table43[Country],Tabela1[[#This Row],[Country]],Table43[Springboard Classification],"&gt;0")</f>
        <v>0</v>
      </c>
      <c r="EM122" s="6">
        <f>COUNTIFS(Table42[Country],Tabela1[[#This Row],[Country]],Table42[Platform Classification],"&gt;0")</f>
        <v>0</v>
      </c>
      <c r="EN122" s="6">
        <f>COUNTIFS(Table43[Country],Tabela1[[#This Row],[Country]],Table43[Platform Classification],"&gt;0")</f>
        <v>0</v>
      </c>
      <c r="EO122" s="6">
        <f>COUNTIFS(Table86[Country],Tabela1[[#This Row],[Country]],Table86[Men''s Synchronized Springboard Classification],"&gt;0")</f>
        <v>0</v>
      </c>
      <c r="EP122" s="6">
        <f>COUNTIFS(Table86[Country],Tabela1[[#This Row],[Country]],Table86[Women''s Synchronized Springboard Classification],"&gt;0")</f>
        <v>0</v>
      </c>
      <c r="EQ122" s="6">
        <f>COUNTIFS(Table86[Country],Tabela1[[#This Row],[Country]],Table86[Men''s Synchronized Platform Classification],"&gt;0")</f>
        <v>0</v>
      </c>
      <c r="ER122" s="6">
        <f>COUNTIFS(Table86[Country],Tabela1[[#This Row],[Country]],Table86[Women''s Synchronized Platform Classification],"&gt;0")</f>
        <v>0</v>
      </c>
      <c r="ES122" s="6">
        <f>COUNTIFS(Table44[Country],Tabela1[[#This Row],[Country]],Table44[Dressage Classification],"&gt;0")</f>
        <v>0</v>
      </c>
      <c r="ET122" s="6">
        <f>COUNTIFS(Table45[Country],Tabela1[[#This Row],[Country]],Table45[Dressage Classification],"&gt;0")</f>
        <v>0</v>
      </c>
      <c r="EU122" s="6">
        <f>COUNTIFS(Table44[Country],Tabela1[[#This Row],[Country]],Table44[Eventing Classification],"&gt;0")</f>
        <v>0</v>
      </c>
      <c r="EV122" s="6">
        <f>COUNTIFS(Table45[Country],Tabela1[[#This Row],[Country]],Table45[Eventing Classification],"&gt;0")</f>
        <v>0</v>
      </c>
      <c r="EW122" s="6">
        <f>COUNTIFS(Table44[Country],Tabela1[[#This Row],[Country]],Table44[Jumping Classification],"&gt;0")</f>
        <v>0</v>
      </c>
      <c r="EX122" s="6">
        <f>COUNTIFS(Table45[Country],Tabela1[[#This Row],[Country]],Table45[Jumping Classification],"&gt;0")</f>
        <v>0</v>
      </c>
      <c r="EY122" s="6">
        <f>COUNTIFS(Table10[Country],Tabela1[[#This Row],[Country]],Table10[Épée Classification],"&gt;0")</f>
        <v>0</v>
      </c>
      <c r="EZ122" s="6">
        <f>COUNTIFS(Table11[Country],Tabela1[[#This Row],[Country]],Table11[Épée Classification],"&gt;0")</f>
        <v>0</v>
      </c>
      <c r="FA122" s="6">
        <f>COUNTIFS(Table46[Country],Tabela1[[#This Row],[Country]],Table46[Men''s Épée Classification],"&gt;0")</f>
        <v>0</v>
      </c>
      <c r="FB122" s="6">
        <f>COUNTIFS(Table46[Country],Tabela1[[#This Row],[Country]],Table46[Women''s Épée Classification],"&gt;0")</f>
        <v>0</v>
      </c>
      <c r="FC122" s="6">
        <f>COUNTIFS(Table10[Country],Tabela1[[#This Row],[Country]],Table10[Foil Classification],"&gt;0")</f>
        <v>0</v>
      </c>
      <c r="FD122" s="6">
        <f>COUNTIFS(Table11[Country],Tabela1[[#This Row],[Country]],Table11[Foil Classification],"&gt;0")</f>
        <v>0</v>
      </c>
      <c r="FE122" s="6">
        <f>COUNTIFS(Table46[Country],Tabela1[[#This Row],[Country]],Table46[Men''s Foil Classification],"&gt;0")</f>
        <v>0</v>
      </c>
      <c r="FF122" s="6">
        <f>COUNTIFS(Table46[Country],Tabela1[[#This Row],[Country]],Table46[Women''s Foil Classification],"&gt;0")</f>
        <v>0</v>
      </c>
      <c r="FG122" s="6">
        <f>COUNTIFS(Table10[Country],Tabela1[[#This Row],[Country]],Table10[Sabre Classification],"&gt;0")</f>
        <v>0</v>
      </c>
      <c r="FH122" s="6">
        <f>COUNTIFS(Table11[Country],Tabela1[[#This Row],[Country]],Table11[Sabre Classification],"&gt;0")</f>
        <v>0</v>
      </c>
      <c r="FI122" s="6">
        <f>COUNTIFS(Table46[Country],Tabela1[[#This Row],[Country]],Table46[Men''s Sabre Classification],"&gt;0")</f>
        <v>0</v>
      </c>
      <c r="FJ122" s="6">
        <f>COUNTIFS(Table46[Country],Tabela1[[#This Row],[Country]],Table46[Women''s Sabre Classification],"&gt;0")</f>
        <v>0</v>
      </c>
      <c r="FK122" s="6">
        <f>COUNTIFS(Table91[Country],Tabela1[[#This Row],[Country]],Table91[Men''s Classification],"&gt;0")</f>
        <v>0</v>
      </c>
      <c r="FL122" s="6">
        <f>COUNTIFS(Table91[Country],Tabela1[[#This Row],[Country]],Table91[Women''s Classification],"&gt;0")</f>
        <v>0</v>
      </c>
      <c r="FM122" s="6">
        <f>COUNTIFS(Table9194[Country],Tabela1[[#This Row],[Country]],Table9194[Men''s Classification],"&gt;0")</f>
        <v>0</v>
      </c>
      <c r="FN122" s="6">
        <f>COUNTIFS(Table9194[Country],Tabela1[[#This Row],[Country]],Table9194[Women''s Classification],"&gt;0")</f>
        <v>0</v>
      </c>
      <c r="FO122" s="6">
        <f>COUNTIFS(Table71[Country],Tabela1[[#This Row],[Country]],Table71[Classification],"&gt;0")</f>
        <v>0</v>
      </c>
      <c r="FP122" s="6">
        <f>COUNTIFS(Table62[Country],Tabela1[[#This Row],[Country]],Table62[Classification],"&gt;0")</f>
        <v>0</v>
      </c>
      <c r="FQ122" s="6">
        <f>COUNTIFS(Table47[Country],Tabela1[[#This Row],[Country]],Table47[All-Around Classification],"&gt;0")</f>
        <v>0</v>
      </c>
      <c r="FR122" s="6">
        <f>COUNTIFS(Table48[Country],Tabela1[[#This Row],[Country]],Table48[All-Around Classification],"&gt;0")</f>
        <v>0</v>
      </c>
      <c r="FS122" s="6">
        <f>COUNTIFS(Table81[Country],Tabela1[[#This Row],[Country]],Table81[Men''s All-Around Classification],"&gt;0")</f>
        <v>0</v>
      </c>
      <c r="FT122" s="6">
        <f>COUNTIFS(Table81[Country],Tabela1[[#This Row],[Country]],Table81[Women''s All-Around Classification],"&gt;0")</f>
        <v>0</v>
      </c>
      <c r="FU122" s="6">
        <f>COUNTIFS(Table48[Country],Tabela1[[#This Row],[Country]],Table48[Balance Beam Classification],"&gt;0")</f>
        <v>0</v>
      </c>
      <c r="FV122" s="6">
        <f>COUNTIFS(Table47[Country],Tabela1[[#This Row],[Country]],Table47[Floor Exercise Classification],"&gt;0")</f>
        <v>0</v>
      </c>
      <c r="FW122" s="6">
        <f>COUNTIFS(Table48[Country],Tabela1[[#This Row],[Country]],Table48[Floor Exercise Classification],"&gt;0")</f>
        <v>0</v>
      </c>
      <c r="FX122" s="6">
        <f>COUNTIFS(Table47[Country],Tabela1[[#This Row],[Country]],Table47[Horizontal Bar Classification],"&gt;0")</f>
        <v>0</v>
      </c>
      <c r="FY122" s="6">
        <f>COUNTIFS(Table47[Country],Tabela1[[#This Row],[Country]],Table47[Parallel Bars Classification],"&gt;0")</f>
        <v>0</v>
      </c>
      <c r="FZ122" s="6">
        <f>COUNTIFS(Table47[Country],Tabela1[[#This Row],[Country]],Table47[Pommel Horse Classification],"&gt;0")</f>
        <v>0</v>
      </c>
      <c r="GA122" s="6">
        <f>COUNTIFS(Table47[Country],Tabela1[[#This Row],[Country]],Table47[Rings Classification],"&gt;0")</f>
        <v>0</v>
      </c>
      <c r="GB122" s="6">
        <f>COUNTIFS(Tabela132[Country],Tabela1[[#This Row],[Country]],Tabela132[Classification],"&gt;0")</f>
        <v>0</v>
      </c>
      <c r="GC122" s="6">
        <f>COUNTIFS(Tabela139[Country],Tabela1[[#This Row],[Country]],Tabela139[Classification],"&gt;0")</f>
        <v>0</v>
      </c>
      <c r="GD122" s="6">
        <f>COUNTIFS(Table48[Country],Tabela1[[#This Row],[Country]],Table48[Uneven Bars Classification],"&gt;0")</f>
        <v>0</v>
      </c>
      <c r="GE122" s="6">
        <f>COUNTIFS(Table47[Country],Tabela1[[#This Row],[Country]],Table47[Vault Classification],"&gt;0")</f>
        <v>0</v>
      </c>
      <c r="GF122" s="6">
        <f>COUNTIFS(Table48[Country],Tabela1[[#This Row],[Country]],Table48[Vault Classification],"&gt;0")</f>
        <v>0</v>
      </c>
      <c r="GG122" s="6">
        <f>COUNTIFS(Table919496[Country],Tabela1[[#This Row],[Country]],Table919496[Men''s Classification],"&gt;0")</f>
        <v>0</v>
      </c>
      <c r="GH122" s="6">
        <f>COUNTIFS(Table919496[Country],Tabela1[[#This Row],[Country]],Table919496[Women''s Classification],"&gt;0")</f>
        <v>0</v>
      </c>
      <c r="GI122" s="6">
        <f>COUNTIFS(Table12[Country],Tabela1[[#This Row],[Country]],Table12[60kg Classification],"&gt;0")</f>
        <v>0</v>
      </c>
      <c r="GJ122" s="6">
        <f>COUNTIFS(Table12[Country],Tabela1[[#This Row],[Country]],Table12[66kg Classification],"&gt;0")</f>
        <v>0</v>
      </c>
      <c r="GK122" s="6">
        <f>COUNTIFS(Table12[Country],Tabela1[[#This Row],[Country]],Table12[73kg Classification],"&gt;0")</f>
        <v>0</v>
      </c>
      <c r="GL122" s="6">
        <f>COUNTIFS(Table12[Country],Tabela1[[#This Row],[Country]],Table12[81kg Classification],"&gt;0")</f>
        <v>0</v>
      </c>
      <c r="GM122" s="6">
        <f>COUNTIFS(Table12[Country],Tabela1[[#This Row],[Country]],Table12[90kg Classification],"&gt;0")</f>
        <v>0</v>
      </c>
      <c r="GN122" s="6">
        <f>COUNTIFS(Table12[Country],Tabela1[[#This Row],[Country]],Table12[100kg Classification],"&gt;0")</f>
        <v>0</v>
      </c>
      <c r="GO122" s="6">
        <f>COUNTIFS(Table12[Country],Tabela1[[#This Row],[Country]],Table12[Plus 100kg Classification],"&gt;0")</f>
        <v>0</v>
      </c>
      <c r="GP122" s="6">
        <f>COUNTIFS(Table13[Country],Tabela1[[#This Row],[Country]],Table13[48kg Classification],"&gt;0")</f>
        <v>0</v>
      </c>
      <c r="GQ122" s="6">
        <f>COUNTIFS(Table13[Country],Tabela1[[#This Row],[Country]],Table13[52kg Classification],"&gt;0")</f>
        <v>0</v>
      </c>
      <c r="GR122" s="6">
        <f>COUNTIFS(Table13[Country],Tabela1[[#This Row],[Country]],Table13[57kg Classification],"&gt;0")</f>
        <v>0</v>
      </c>
      <c r="GS122" s="6">
        <f>COUNTIFS(Table13[Country],Tabela1[[#This Row],[Country]],Table13[63kg Classification],"&gt;0")</f>
        <v>0</v>
      </c>
      <c r="GT122" s="6">
        <f>COUNTIFS(Table13[Country],Tabela1[[#This Row],[Country]],Table13[70kg Classification],"&gt;0")</f>
        <v>0</v>
      </c>
      <c r="GU122" s="6">
        <f>COUNTIFS(Table13[Country],Tabela1[[#This Row],[Country]],Table13[78kg Classification],"&gt;0")</f>
        <v>0</v>
      </c>
      <c r="GV122" s="6">
        <f>COUNTIFS(Table13[Country],Tabela1[[#This Row],[Country]],Table13[Plus 78kg Classification],"&gt;0")</f>
        <v>0</v>
      </c>
      <c r="GW122" s="6">
        <f>COUNTIFS(Table82[Country],Tabela1[[#This Row],[Country]],Table82[Mixed Classification],"&gt;0")</f>
        <v>0</v>
      </c>
      <c r="GX122" s="6">
        <f>COUNTIFS(Table51[Country],Tabela1[[#This Row],[Country]],Table51[Classification],"&gt;0")</f>
        <v>0</v>
      </c>
      <c r="GY122" s="6">
        <f>COUNTIFS(Table52[Country],Tabela1[[#This Row],[Country]],Table52[Classification],"&gt;0")</f>
        <v>0</v>
      </c>
      <c r="GZ122" s="6">
        <f>COUNTIFS(Table32[Country],Tabela1[[#This Row],[Country]],Table32[All-Around Classification],"&gt;0")</f>
        <v>0</v>
      </c>
      <c r="HA122" s="6">
        <f>COUNTIFS(Table49[Country],Tabela1[[#This Row],[Country]],Table49[All-Around Classification],"&gt;0")</f>
        <v>0</v>
      </c>
      <c r="HB122" s="6">
        <f>COUNTIFS(Table26[Country],Tabela1[[#This Row],[Country]],Table26[Single Sculls Classification],"&gt;0")</f>
        <v>0</v>
      </c>
      <c r="HC122" s="6">
        <f>COUNTIFS(Table63[Country],Tabela1[[#This Row],[Country]],Table63[Single Sculls Classification],"&gt;0")</f>
        <v>0</v>
      </c>
      <c r="HD122" s="6">
        <f>COUNTIFS(Table16[Country],Tabela1[[#This Row],[Country]],Table16[Men''s Double Sculls Classification],"&gt;0")</f>
        <v>0</v>
      </c>
      <c r="HE122" s="6">
        <f>COUNTIFS(Table16[Country],Tabela1[[#This Row],[Country]],Table16[Women''s Double Sculls Classification],"&gt;0")</f>
        <v>0</v>
      </c>
      <c r="HF122" s="6">
        <f>COUNTIFS(Table72[Country],Tabela1[[#This Row],[Country]],Table72[Men''s Quadruple Sculls Classification],"&gt;0")</f>
        <v>0</v>
      </c>
      <c r="HG122" s="6">
        <f>COUNTIFS(Table72[Country],Tabela1[[#This Row],[Country]],Table72[Women''s Quadruple Sculls Classification],"&gt;0")</f>
        <v>0</v>
      </c>
      <c r="HH122" s="6">
        <f>COUNTIFS(Table16[Country],Tabela1[[#This Row],[Country]],Table16[Men''s Coxless Pairs Classification],"&gt;0")</f>
        <v>0</v>
      </c>
      <c r="HI122" s="6">
        <f>COUNTIFS(Table16[Country],Tabela1[[#This Row],[Country]],Table16[Women''s Coxless Pairs Classification],"&gt;0")</f>
        <v>0</v>
      </c>
      <c r="HJ122" s="6">
        <f>COUNTIFS(Table72[Country],Tabela1[[#This Row],[Country]],Table72[Men''s Coxless Fours Classification],"&gt;0")</f>
        <v>0</v>
      </c>
      <c r="HK122" s="6">
        <f>COUNTIFS(Table72[Country],Tabela1[[#This Row],[Country]],Table72[Women''s Coxless Fours Classification],"&gt;0")</f>
        <v>0</v>
      </c>
      <c r="HL122" s="6">
        <f>COUNTIFS(Table72[Country],Tabela1[[#This Row],[Country]],Table72[Men''s Eights Classification],"&gt;0")</f>
        <v>0</v>
      </c>
      <c r="HM122" s="6">
        <f>COUNTIFS(Table72[Country],Tabela1[[#This Row],[Country]],Table72[Women''s Eights Classification],"&gt;0")</f>
        <v>0</v>
      </c>
      <c r="HN122" s="6">
        <f>COUNTIFS(Table16[Country],Tabela1[[#This Row],[Country]],Table16[Men''s Lwt. Double Sculls Classification],"&gt;0")</f>
        <v>0</v>
      </c>
      <c r="HO122" s="6">
        <f>COUNTIFS(Table16[Country],Tabela1[[#This Row],[Country]],Table16[Women''s Lwt. Double Sculls Classification],"&gt;0")</f>
        <v>0</v>
      </c>
      <c r="HP122" s="6">
        <f>COUNTIFS(Table91949698[Country],Tabela1[[#This Row],[Country]],Table91949698[Men''s Classification],"&gt;0")</f>
        <v>0</v>
      </c>
      <c r="HQ122" s="6">
        <f>COUNTIFS(Table91949698[Country],Tabela1[[#This Row],[Country]],Table91949698[Women''s Classification],"&gt;0")</f>
        <v>0</v>
      </c>
      <c r="HR122" s="6">
        <f>COUNTIFS(Table25[Country],Tabela1[[#This Row],[Country]],Table25[Mixed 470 Classification],"&gt;0")</f>
        <v>0</v>
      </c>
      <c r="HS122" s="6">
        <f>COUNTIFS(Table25[Country],Tabela1[[#This Row],[Country]],Table25[Men''s 49er Classification],"&gt;0")</f>
        <v>0</v>
      </c>
      <c r="HT122" s="6">
        <f>COUNTIFS(Table25[Country],Tabela1[[#This Row],[Country]],Table25[Women''s 49er FX Classification],"&gt;0")</f>
        <v>0</v>
      </c>
      <c r="HU122" s="6">
        <f>COUNTIFS(Table17[Country],Tabela1[[#This Row],[Country]],Table17[Formula Kite Classification],"&gt;0")</f>
        <v>0</v>
      </c>
      <c r="HV122" s="6">
        <f>COUNTIFS(Table18[Country],Tabela1[[#This Row],[Country]],Table18[Formula Kite Classification],"&gt;0")</f>
        <v>0</v>
      </c>
      <c r="HW122" s="6">
        <f>COUNTIFS(Table17[Country],Tabela1[[#This Row],[Country]],Table17[ILCA 7 Classification],"&gt;0")</f>
        <v>0</v>
      </c>
      <c r="HX122" s="6">
        <f>COUNTIFS(Table18[Country],Tabela1[[#This Row],[Country]],Table18[ILCA 6 Classification],"&gt;0")</f>
        <v>0</v>
      </c>
      <c r="HY122" s="6">
        <f>COUNTIFS(Table17[Country],Tabela1[[#This Row],[Country]],Table17[IQFoil Classification],"&gt;0")</f>
        <v>0</v>
      </c>
      <c r="HZ122" s="6">
        <f>COUNTIFS(Table18[Country],Tabela1[[#This Row],[Country]],Table18[IQFoil Classification],"&gt;0")</f>
        <v>0</v>
      </c>
      <c r="IA122" s="6">
        <f>COUNTIFS(Table25[Country],Tabela1[[#This Row],[Country]],Table25[Mixed Nacra 17 Classification],"&gt;0")</f>
        <v>0</v>
      </c>
      <c r="IB122" s="6">
        <f>COUNTIFS(Table53[Country],Tabela1[[#This Row],[Country]],Table53[10m Air Pistol Classification],"&gt;0")</f>
        <v>0</v>
      </c>
      <c r="IC122" s="6">
        <f>COUNTIFS(Table19[Country],Tabela1[[#This Row],[Country]],Table19[10m Air Pistol Classification],"&gt;0")</f>
        <v>0</v>
      </c>
      <c r="ID122" s="6">
        <f>COUNTIFS(Table54[Country],Tabela1[[#This Row],[Country]],Table54[Mixed 10m Air Pistol Team Classification],"&gt;0")</f>
        <v>0</v>
      </c>
      <c r="IE122" s="6">
        <f>COUNTIFS(Table53[Country],Tabela1[[#This Row],[Country]],Table53[10m Air Rifle Classification],"&gt;0")</f>
        <v>0</v>
      </c>
      <c r="IF122" s="6">
        <f>COUNTIFS(Table19[Country],Tabela1[[#This Row],[Country]],Table19[10m Air Rifle Classification],"&gt;0")</f>
        <v>0</v>
      </c>
      <c r="IG122" s="6">
        <f>COUNTIFS(Table54[Country],Tabela1[[#This Row],[Country]],Table54[Mixed 10m Air Rifle Team Classification],"&gt;0")</f>
        <v>0</v>
      </c>
      <c r="IH122" s="6">
        <f>COUNTIFS(Table53[Country],Tabela1[[#This Row],[Country]],Table53[25m Rapid Fire Pistol Classification],"&gt;0")</f>
        <v>0</v>
      </c>
      <c r="II122" s="6">
        <f>COUNTIFS(Table19[Country],Tabela1[[#This Row],[Country]],Table19[25m Pistol Classification],"&gt;0")</f>
        <v>0</v>
      </c>
      <c r="IJ122" s="6">
        <f>COUNTIFS(Table53[Country],Tabela1[[#This Row],[Country]],Table53[50m Rifle 3 Positions Classification],"&gt;0")</f>
        <v>0</v>
      </c>
      <c r="IK122" s="6">
        <f>COUNTIFS(Table19[Country],Tabela1[[#This Row],[Country]],Table19[50m Rifle 3 Positions Classification],"&gt;0")</f>
        <v>0</v>
      </c>
      <c r="IL122" s="6">
        <f>COUNTIFS(Table53[Country],Tabela1[[#This Row],[Country]],Table53[Skeet Classification],"&gt;0")</f>
        <v>0</v>
      </c>
      <c r="IM122" s="6">
        <f>COUNTIFS(Table19[Country],Tabela1[[#This Row],[Country]],Table19[Skeet Classification],"&gt;0")</f>
        <v>0</v>
      </c>
      <c r="IN122" s="6">
        <f>COUNTIFS(Table54[Country],Tabela1[[#This Row],[Country]],Table54[Mixed Skeet Team Classification],"&gt;0")</f>
        <v>0</v>
      </c>
      <c r="IO122" s="6">
        <f>COUNTIFS(Table53[Country],Tabela1[[#This Row],[Country]],Table53[Trap Classification],"&gt;0")</f>
        <v>0</v>
      </c>
      <c r="IP122" s="6">
        <f>COUNTIFS(Table19[Country],Tabela1[[#This Row],[Country]],Table19[Trap Classification],"&gt;0")</f>
        <v>0</v>
      </c>
      <c r="IQ122" s="6">
        <f>COUNTIFS(Table73[Country],Tabela1[[#This Row],[Country]],Table73[Park Classification],"&gt;0")</f>
        <v>0</v>
      </c>
      <c r="IR122" s="6">
        <f>COUNTIFS(Table74[Country],Tabela1[[#This Row],[Country]],Table74[Park Classification],"&gt;0")</f>
        <v>0</v>
      </c>
      <c r="IS122" s="6">
        <f>COUNTIFS(Table73[Country],Tabela1[[#This Row],[Country]],Table73[Street Classification],"&gt;0")</f>
        <v>0</v>
      </c>
      <c r="IT122" s="6">
        <f>COUNTIFS(Table74[Country],Tabela1[[#This Row],[Country]],Table74[Street Classification],"&gt;0")</f>
        <v>0</v>
      </c>
      <c r="IU122" s="6">
        <f>COUNTIFS(Table75[Country],Tabela1[[#This Row],[Country]],Table75[Boulder and Lead Classification],"&gt;0")</f>
        <v>0</v>
      </c>
      <c r="IV122" s="6">
        <f>COUNTIFS(Table76[Country],Tabela1[[#This Row],[Country]],Table76[Boulder and Lead Classification],"&gt;0")</f>
        <v>0</v>
      </c>
      <c r="IW122" s="6">
        <f>COUNTIFS(Table75[Country],Tabela1[[#This Row],[Country]],Table75[Speed Classification],"&gt;0")</f>
        <v>0</v>
      </c>
      <c r="IX122" s="6">
        <f>COUNTIFS(Table76[Country],Tabela1[[#This Row],[Country]],Table76[Speed Classification],"&gt;0")</f>
        <v>0</v>
      </c>
      <c r="IY122" s="6">
        <f>COUNTIFS(Table64[Country],Tabela1[[#This Row],[Country]],Table64[Shortboard Classification],"&gt;0")</f>
        <v>0</v>
      </c>
      <c r="IZ122" s="6">
        <f>COUNTIFS(Table77[Country],Tabela1[[#This Row],[Country]],Table77[Shortboard Classification],"&gt;0")</f>
        <v>0</v>
      </c>
      <c r="JA122" s="6">
        <f>COUNTIFS(Table20[Country],Tabela1[[#This Row],[Country]],Table20[50m Freestyle Classification],"&gt;0")</f>
        <v>0</v>
      </c>
      <c r="JB122" s="6">
        <f>COUNTIFS(Table21[Country],Tabela1[[#This Row],[Country]],Table21[50m Freestyle Classification],"&gt;0")</f>
        <v>0</v>
      </c>
      <c r="JC122" s="6">
        <f>COUNTIFS(Table20[Country],Tabela1[[#This Row],[Country]],Table20[100m Freestyle Classification],"&gt;0")</f>
        <v>0</v>
      </c>
      <c r="JD122" s="6">
        <f>COUNTIFS(Table21[Country],Tabela1[[#This Row],[Country]],Table21[100m Freestyle Classification],"&gt;0")</f>
        <v>0</v>
      </c>
      <c r="JE122" s="6">
        <f>COUNTIFS(Table20[Country],Tabela1[[#This Row],[Country]],Table20[200m Freestyle Classification],"&gt;0")</f>
        <v>0</v>
      </c>
      <c r="JF122" s="6">
        <f>COUNTIFS(Table21[Country],Tabela1[[#This Row],[Country]],Table21[200m Freestyle Classification],"&gt;0")</f>
        <v>0</v>
      </c>
      <c r="JG122" s="6">
        <f>COUNTIFS(Table20[Country],Tabela1[[#This Row],[Country]],Table20[400m Freestyle Classification],"&gt;0")</f>
        <v>0</v>
      </c>
      <c r="JH122" s="6">
        <f>COUNTIFS(Table21[Country],Tabela1[[#This Row],[Country]],Table21[400m Freestyle Classification],"&gt;0")</f>
        <v>0</v>
      </c>
      <c r="JI122" s="6">
        <f>COUNTIFS(Table20[Country],Tabela1[[#This Row],[Country]],Table20[800m Freestyle Classification],"&gt;0")</f>
        <v>0</v>
      </c>
      <c r="JJ122" s="6">
        <f>COUNTIFS(Table21[Country],Tabela1[[#This Row],[Country]],Table21[800m Freestyle Classification],"&gt;0")</f>
        <v>0</v>
      </c>
      <c r="JK122" s="6">
        <f>COUNTIFS(Table20[Country],Tabela1[[#This Row],[Country]],Table20[1500m Freestyle Classification],"&gt;0")</f>
        <v>0</v>
      </c>
      <c r="JL122" s="6">
        <f>COUNTIFS(Table21[Country],Tabela1[[#This Row],[Country]],Table21[1500m Freestyle Classification],"&gt;0")</f>
        <v>0</v>
      </c>
      <c r="JM122" s="6">
        <f>COUNTIFS(Table20[Country],Tabela1[[#This Row],[Country]],Table20[100m Backstroke Classification],"&gt;0")</f>
        <v>0</v>
      </c>
      <c r="JN122" s="6">
        <f>COUNTIFS(Table21[Country],Tabela1[[#This Row],[Country]],Table21[100m Backstroke Classification],"&gt;0")</f>
        <v>0</v>
      </c>
      <c r="JO122" s="6">
        <f>COUNTIFS(Table20[Country],Tabela1[[#This Row],[Country]],Table20[200m Backstroke Classification],"&gt;0")</f>
        <v>0</v>
      </c>
      <c r="JP122" s="6">
        <f>COUNTIFS(Table21[Country],Tabela1[[#This Row],[Country]],Table21[200m Backstroke Classification],"&gt;0")</f>
        <v>0</v>
      </c>
      <c r="JQ122" s="6">
        <f>COUNTIFS(Table20[Country],Tabela1[[#This Row],[Country]],Table20[100m Breaststroke Classification],"&gt;0")</f>
        <v>0</v>
      </c>
      <c r="JR122" s="6">
        <f>COUNTIFS(Table21[Country],Tabela1[[#This Row],[Country]],Table21[100m Breaststroke Classification],"&gt;0")</f>
        <v>0</v>
      </c>
      <c r="JS122" s="6">
        <f>COUNTIFS(Table20[Country],Tabela1[[#This Row],[Country]],Table20[200m Breaststroke Classification],"&gt;0")</f>
        <v>0</v>
      </c>
      <c r="JT122" s="6">
        <f>COUNTIFS(Table21[Country],Tabela1[[#This Row],[Country]],Table21[200m Breaststroke Classification],"&gt;0")</f>
        <v>0</v>
      </c>
      <c r="JU122" s="6">
        <f>COUNTIFS(Table20[Country],Tabela1[[#This Row],[Country]],Table20[100m Butterfly Classification],"&gt;0")</f>
        <v>0</v>
      </c>
      <c r="JV122" s="6">
        <f>COUNTIFS(Table21[Country],Tabela1[[#This Row],[Country]],Table21[100m Butterfly Classification],"&gt;0")</f>
        <v>0</v>
      </c>
      <c r="JW122" s="6">
        <f>COUNTIFS(Table20[Country],Tabela1[[#This Row],[Country]],Table20[200m Butterfly Classification],"&gt;0")</f>
        <v>0</v>
      </c>
      <c r="JX122" s="6">
        <f>COUNTIFS(Table21[Country],Tabela1[[#This Row],[Country]],Table21[200m Butterfly Classification],"&gt;0")</f>
        <v>0</v>
      </c>
      <c r="JY122" s="6">
        <f>COUNTIFS(Table20[Country],Tabela1[[#This Row],[Country]],Table20[200m Medley Classification],"&gt;0")</f>
        <v>0</v>
      </c>
      <c r="JZ122" s="6">
        <f>COUNTIFS(Table21[Country],Tabela1[[#This Row],[Country]],Table21[200m Medley Classification],"&gt;0")</f>
        <v>0</v>
      </c>
      <c r="KA122" s="6">
        <f>COUNTIFS(Table20[Country],Tabela1[[#This Row],[Country]],Table20[400m Medley Classification],"&gt;0")</f>
        <v>0</v>
      </c>
      <c r="KB122" s="6">
        <f>COUNTIFS(Table21[Country],Tabela1[[#This Row],[Country]],Table21[400m Medley Classification],"&gt;0")</f>
        <v>0</v>
      </c>
      <c r="KC122" s="6">
        <f>COUNTIFS(Table78[Country],Tabela1[[#This Row],[Country]],Table78[Men''s 4x100m Freestyle Relay Classification],"&gt;0")</f>
        <v>0</v>
      </c>
      <c r="KD122" s="6">
        <f>COUNTIFS(Table78[Country],Tabela1[[#This Row],[Country]],Table78[Women''s 4x100m Freestyle Relay Classification],"&gt;0")</f>
        <v>0</v>
      </c>
      <c r="KE122" s="6">
        <f>COUNTIFS(Table78[Country],Tabela1[[#This Row],[Country]],Table78[Men''s 4x200m Freestyle Relay Classification],"&gt;0")</f>
        <v>0</v>
      </c>
      <c r="KF122" s="6">
        <f>COUNTIFS(Table78[Country],Tabela1[[#This Row],[Country]],Table78[Women''s 4x200m Freestyle Relay Classification],"&gt;0")</f>
        <v>0</v>
      </c>
      <c r="KG122" s="6">
        <f>COUNTIFS(Table78[Country],Tabela1[[#This Row],[Country]],Table78[Men''s 4x100m Medley Relay Classification],"&gt;0")</f>
        <v>0</v>
      </c>
      <c r="KH122" s="6">
        <f>COUNTIFS(Table78[Country],Tabela1[[#This Row],[Country]],Table78[Women''s 4x100m Medley Relay Classification],"&gt;0")</f>
        <v>0</v>
      </c>
      <c r="KI122" s="6">
        <f>COUNTIFS(Table78[Country],Tabela1[[#This Row],[Country]],Table78[Mixed 4x100m Medley Relay Classification],"&gt;0")</f>
        <v>0</v>
      </c>
      <c r="KJ122" s="6">
        <f>COUNTIFS(Table20[Country],Tabela1[[#This Row],[Country]],Table20[10km Open Water Classification],"&gt;0")</f>
        <v>0</v>
      </c>
      <c r="KK122" s="6">
        <f>COUNTIFS(Table21[Country],Tabela1[[#This Row],[Country]],Table21[10km Open Water Classification],"&gt;0")</f>
        <v>0</v>
      </c>
      <c r="KL122" s="6">
        <f>COUNTIFS(Table22[Country],Tabela1[[#This Row],[Country]],Table22[Classification],"&gt;0")</f>
        <v>0</v>
      </c>
      <c r="KM122" s="6">
        <f>COUNTIFS(Table30[Country],Tabela1[[#This Row],[Country]],Table30[Classification],"&gt;0")</f>
        <v>0</v>
      </c>
      <c r="KN122" s="6">
        <f>COUNTIFS(Table55[Country],Tabela1[[#This Row],[Country]],Table55[Men''s Classification],"&gt;0")</f>
        <v>0</v>
      </c>
      <c r="KO122" s="6">
        <f>COUNTIFS(Table55[Country],Tabela1[[#This Row],[Country]],Table55[Women''s Classification],"&gt;0")</f>
        <v>0</v>
      </c>
      <c r="KP122" s="6">
        <f>COUNTIFS(Table56[Country],Tabela1[[#This Row],[Country]],Table56[Mixed Classification],"&gt;0")</f>
        <v>0</v>
      </c>
      <c r="KQ122" s="6">
        <f>COUNTIFS(Table29[Country],Tabela1[[#This Row],[Country]],Table29[58kg Classification],"&gt;0")</f>
        <v>0</v>
      </c>
      <c r="KR122" s="6">
        <f>COUNTIFS(Table29[Country],Tabela1[[#This Row],[Country]],Table29[68kg Classification],"&gt;0")</f>
        <v>0</v>
      </c>
      <c r="KS122" s="6">
        <f>COUNTIFS(Table29[Country],Tabela1[[#This Row],[Country]],Table29[80kg Classification],"&gt;0")</f>
        <v>0</v>
      </c>
      <c r="KT122" s="6">
        <f>COUNTIFS(Table29[Country],Tabela1[[#This Row],[Country]],Table29[Plus 80kg Classification],"&gt;0")</f>
        <v>0</v>
      </c>
      <c r="KU122" s="6">
        <f>COUNTIFS(Table34[Country],Tabela1[[#This Row],[Country]],Table34[49kg Classification],"&gt;0")</f>
        <v>0</v>
      </c>
      <c r="KV122" s="6">
        <f>COUNTIFS(Table34[Country],Tabela1[[#This Row],[Country]],Table34[57kg Classification],"&gt;0")</f>
        <v>0</v>
      </c>
      <c r="KW122" s="6">
        <f>COUNTIFS(Table34[Country],Tabela1[[#This Row],[Country]],Table34[67kg Classification],"&gt;0")</f>
        <v>0</v>
      </c>
      <c r="KX122" s="6">
        <f>COUNTIFS(Table34[Country],Tabela1[[#This Row],[Country]],Table34[Plus 67kg Classification],"&gt;0")</f>
        <v>0</v>
      </c>
      <c r="KY122" s="6">
        <f>COUNTIFS(Table57[Country],Tabela1[[#This Row],[Country]],Table57[Classification],"&gt;0")</f>
        <v>0</v>
      </c>
      <c r="KZ122" s="6">
        <f>COUNTIFS(Table58[Country],Tabela1[[#This Row],[Country]],Table58[Classification],"&gt;0")</f>
        <v>0</v>
      </c>
      <c r="LA122" s="6">
        <f>COUNTIFS(Table79[Country],Tabela1[[#This Row],[Country]],Table79[Men''s Classification],"&gt;0")</f>
        <v>0</v>
      </c>
      <c r="LB122" s="6">
        <f>COUNTIFS(Table79[Country],Tabela1[[#This Row],[Country]],Table79[Women''s Classification],"&gt;0")</f>
        <v>0</v>
      </c>
      <c r="LC122" s="6">
        <f>COUNTIFS(Table79[Country],Tabela1[[#This Row],[Country]],Table79[Mixed Classification],"&gt;0")</f>
        <v>0</v>
      </c>
      <c r="LD122" s="6">
        <f>COUNTIFS(Table65[Country],Tabela1[[#This Row],[Country]],Table65[Classification],"&gt;0")</f>
        <v>0</v>
      </c>
      <c r="LE122" s="6">
        <f>COUNTIFS(Table59[Country],Tabela1[[#This Row],[Country]],Table59[Classification],"&gt;0")</f>
        <v>0</v>
      </c>
      <c r="LF122" s="6">
        <f>COUNTIFS(Table87[Country],Tabela1[[#This Row],[Country]],Table87[Mixed Relay Classification],"&gt;0")</f>
        <v>0</v>
      </c>
      <c r="LG122" s="6">
        <f>COUNTIFS(Table91949698100[Country],Tabela1[[#This Row],[Country]],Table91949698100[Men''s Classification],"&gt;0")</f>
        <v>0</v>
      </c>
      <c r="LH122" s="6">
        <f>COUNTIFS(Table91949698100[Country],Tabela1[[#This Row],[Country]],Table91949698100[Women''s Classification],"&gt;0")</f>
        <v>0</v>
      </c>
      <c r="LI122" s="6">
        <f>COUNTIFS(Table91949698100102[Country],Tabela1[[#This Row],[Country]],Table91949698100102[Men''s Classification],"&gt;0")</f>
        <v>0</v>
      </c>
      <c r="LJ122" s="6">
        <f>COUNTIFS(Table91949698100102[Country],Tabela1[[#This Row],[Country]],Table91949698100102[Women''s Classification],"&gt;0")</f>
        <v>0</v>
      </c>
      <c r="LK122" s="6">
        <f>COUNTIFS(Table23[Country],Tabela1[[#This Row],[Country]],Table23[61kg Classification],"&gt;0")</f>
        <v>0</v>
      </c>
      <c r="LL122" s="6">
        <f>COUNTIFS(Table23[Country],Tabela1[[#This Row],[Country]],Table23[73kg Classification],"&gt;0")</f>
        <v>0</v>
      </c>
      <c r="LM122" s="6">
        <f>COUNTIFS(Table23[Country],Tabela1[[#This Row],[Country]],Table23[89kg Classification],"&gt;0")</f>
        <v>0</v>
      </c>
      <c r="LN122" s="6">
        <f>COUNTIFS(Table23[Country],Tabela1[[#This Row],[Country]],Table23[102kg Classification],"&gt;0")</f>
        <v>0</v>
      </c>
      <c r="LO122" s="6">
        <f>COUNTIFS(Table23[Country],Tabela1[[#This Row],[Country]],Table23[Plus 102kg Classification],"&gt;0")</f>
        <v>0</v>
      </c>
      <c r="LP122" s="6">
        <f>COUNTIFS(Table28[Country],Tabela1[[#This Row],[Country]],Table28[49kg Classification],"&gt;0")</f>
        <v>0</v>
      </c>
      <c r="LQ122" s="6">
        <f>COUNTIFS(Table28[Country],Tabela1[[#This Row],[Country]],Table28[59kg Classification],"&gt;0")</f>
        <v>0</v>
      </c>
      <c r="LR122" s="6">
        <f>COUNTIFS(Table28[Country],Tabela1[[#This Row],[Country]],Table28[71kg Classification],"&gt;0")</f>
        <v>0</v>
      </c>
      <c r="LS122" s="6">
        <f>COUNTIFS(Table28[Country],Tabela1[[#This Row],[Country]],Table28[81kg Classification],"&gt;0")</f>
        <v>0</v>
      </c>
      <c r="LT122" s="6">
        <f>COUNTIFS(Table28[Country],Tabela1[[#This Row],[Country]],Table28[Plus 81kg Classification],"&gt;0")</f>
        <v>0</v>
      </c>
      <c r="LU122" s="6">
        <f>COUNTIFS(Table24[Country],Tabela1[[#This Row],[Country]],Table24[Freestyle 57kg Classification],"&gt;0")</f>
        <v>0</v>
      </c>
      <c r="LV122" s="6">
        <f>COUNTIFS(Table24[Country],Tabela1[[#This Row],[Country]],Table24[Freestyle 65kg Classification],"&gt;0")</f>
        <v>0</v>
      </c>
      <c r="LW122" s="6">
        <f>COUNTIFS(Table24[Country],Tabela1[[#This Row],[Country]],Table24[Freestyle 74kg Classification],"&gt;0")</f>
        <v>0</v>
      </c>
      <c r="LX122" s="6">
        <f>COUNTIFS(Table24[Country],Tabela1[[#This Row],[Country]],Table24[Freestyle 86kg Classification],"&gt;0")</f>
        <v>0</v>
      </c>
      <c r="LY122" s="6">
        <f>COUNTIFS(Table24[Country],Tabela1[[#This Row],[Country]],Table24[Freestyle 97kg Classification],"&gt;0")</f>
        <v>0</v>
      </c>
      <c r="LZ122" s="6">
        <f>COUNTIFS(Table24[Country],Tabela1[[#This Row],[Country]],Table24[Freestyle 125kg Classification],"&gt;0")</f>
        <v>0</v>
      </c>
      <c r="MA122" s="6">
        <f>COUNTIFS(Table24[Country],Tabela1[[#This Row],[Country]],Table24[Greco-Roman 60kg Classification],"&gt;0")</f>
        <v>0</v>
      </c>
      <c r="MB122" s="6">
        <f>COUNTIFS(Table24[Country],Tabela1[[#This Row],[Country]],Table24[Greco-Roman 67kg Classification],"&gt;0")</f>
        <v>0</v>
      </c>
      <c r="MC122" s="6">
        <f>COUNTIFS(Table24[Country],Tabela1[[#This Row],[Country]],Table24[Greco-Roman 77kg Classification],"&gt;0")</f>
        <v>0</v>
      </c>
      <c r="MD122" s="6">
        <f>COUNTIFS(Table24[Country],Tabela1[[#This Row],[Country]],Table24[Greco-Roman 87kg Classification],"&gt;0")</f>
        <v>0</v>
      </c>
      <c r="ME122" s="6">
        <f>COUNTIFS(Table24[Country],Tabela1[[#This Row],[Country]],Table24[Greco-Roman 97kg Classification],"&gt;0")</f>
        <v>0</v>
      </c>
      <c r="MF122" s="6">
        <f>COUNTIFS(Table24[Country],Tabela1[[#This Row],[Country]],Table24[Greco-Roman 130kg Classification],"&gt;0")</f>
        <v>0</v>
      </c>
      <c r="MG122" s="6">
        <f>COUNTIFS(Table31[Country],Tabela1[[#This Row],[Country]],Table31[50kg Classification],"&gt;0")</f>
        <v>0</v>
      </c>
      <c r="MH122" s="6">
        <f>COUNTIFS(Table31[Country],Tabela1[[#This Row],[Country]],Table31[53kg Classification],"&gt;0")</f>
        <v>0</v>
      </c>
      <c r="MI122" s="6">
        <f>COUNTIFS(Table31[Country],Tabela1[[#This Row],[Country]],Table31[57kg Classification],"&gt;0")</f>
        <v>0</v>
      </c>
      <c r="MJ122" s="6">
        <f>COUNTIFS(Table31[Country],Tabela1[[#This Row],[Country]],Table31[62kg Classification],"&gt;0")</f>
        <v>0</v>
      </c>
      <c r="MK122" s="6">
        <f>COUNTIFS(Table31[Country],Tabela1[[#This Row],[Country]],Table31[68kg Classification],"&gt;0")</f>
        <v>0</v>
      </c>
      <c r="ML122" s="6">
        <f>COUNTIFS(Table31[Country],Tabela1[[#This Row],[Country]],Table31[76kg Classification],"&gt;0")</f>
        <v>0</v>
      </c>
      <c r="MM122" s="6">
        <f>COUNTIFS(Table102[Country],Tabela1[[#This Row],[Country]],Table102[Downhill Classification],"&gt;0")</f>
        <v>0</v>
      </c>
      <c r="MN122" s="6">
        <f>COUNTIFS(Table102105[Country],Tabela1[[#This Row],[Country]],Table102105[Downhill Classification],"&gt;0")</f>
        <v>0</v>
      </c>
      <c r="MO122" s="6">
        <f>COUNTIFS(Table102[Country],Tabela1[[#This Row],[Country]],Table102[Giant Slalom Classification],"&gt;0")</f>
        <v>1</v>
      </c>
      <c r="MP122" s="6">
        <f>COUNTIFS(Table102105[Country],Tabela1[[#This Row],[Country]],Table102105[Giant Slalom Classification],"&gt;0")</f>
        <v>0</v>
      </c>
      <c r="MQ122" s="6">
        <f>COUNTIFS(Table102[Country],Tabela1[[#This Row],[Country]],Table102[Slalom Classification],"&gt;0")</f>
        <v>1</v>
      </c>
      <c r="MR122" s="6">
        <f>COUNTIFS(Table102105[Country],Tabela1[[#This Row],[Country]],Table102105[Slalom Classification],"&gt;0")</f>
        <v>0</v>
      </c>
      <c r="MS122" s="6">
        <f>COUNTIFS(Table102[Country],Tabela1[[#This Row],[Country]],Table102[Super-G Classification],"&gt;0")</f>
        <v>0</v>
      </c>
      <c r="MT122" s="6">
        <f>COUNTIFS(Table102105[Country],Tabela1[[#This Row],[Country]],Table102105[Super-G Classification],"&gt;0")</f>
        <v>0</v>
      </c>
      <c r="MU122" s="6">
        <f>COUNTIFS(Table105[Country],Tabela1[[#This Row],[Country]],Table105[Men''s Combined Classification],"&gt;0")</f>
        <v>0</v>
      </c>
      <c r="MV122" s="6">
        <f>COUNTIFS(Table105[Country],Tabela1[[#This Row],[Country]],Table105[Women''s Combined Classification],"&gt;0")</f>
        <v>0</v>
      </c>
      <c r="MW122" s="6">
        <f>COUNTIFS(Table106[Country],Tabela1[[#This Row],[Country]],Table106[Individual Classification],"&gt;0")</f>
        <v>0</v>
      </c>
      <c r="MX122" s="6">
        <f>COUNTIFS(Table106109[Country],Tabela1[[#This Row],[Country]],Table106109[Individual Classification],"&gt;0")</f>
        <v>0</v>
      </c>
      <c r="MY122" s="6">
        <f>COUNTIFS(Table106[Country],Tabela1[[#This Row],[Country]],Table106[Mass Start Classification],"&gt;0")</f>
        <v>0</v>
      </c>
      <c r="MZ122" s="6">
        <f>COUNTIFS(Table106109[Country],Tabela1[[#This Row],[Country]],Table106109[Mass Start Classification],"&gt;0")</f>
        <v>0</v>
      </c>
      <c r="NA122" s="6">
        <f>COUNTIFS(Table106[Country],Tabela1[[#This Row],[Country]],Table106[Pursuit Classification],"&gt;0")</f>
        <v>0</v>
      </c>
      <c r="NB122" s="6">
        <f>COUNTIFS(Table106109[Country],Tabela1[[#This Row],[Country]],Table106109[Pursuit Classification],"&gt;0")</f>
        <v>0</v>
      </c>
      <c r="NC122" s="6">
        <f>COUNTIFS(Table106[Country],Tabela1[[#This Row],[Country]],Table106[Sprint Classification],"&gt;0")</f>
        <v>0</v>
      </c>
      <c r="ND122" s="6">
        <f>COUNTIFS(Table106109[Country],Tabela1[[#This Row],[Country]],Table106109[Sprint Classification],"&gt;0")</f>
        <v>0</v>
      </c>
      <c r="NE122" s="6">
        <f>COUNTIFS(Table109[Country],Tabela1[[#This Row],[Country]],Table109[Men''s Relay Classification],"&gt;0")</f>
        <v>0</v>
      </c>
      <c r="NF122" s="6">
        <f>COUNTIFS(Table109[Country],Tabela1[[#This Row],[Country]],Table109[Women''s Relay Classification],"&gt;0")</f>
        <v>0</v>
      </c>
      <c r="NG122" s="6">
        <f>COUNTIFS(Table109[Country],Tabela1[[#This Row],[Country]],Table109[Mixed Relay Classification],"&gt;0")</f>
        <v>0</v>
      </c>
      <c r="NH122" s="6">
        <f>COUNTIFS(Table110[Country],Tabela1[[#This Row],[Country]],Table110[Monobob Classification],"&gt;0")</f>
        <v>0</v>
      </c>
      <c r="NI122" s="6">
        <f>COUNTIFS(Table111[Country],Tabela1[[#This Row],[Country]],Table111[Men''s Classification],"&gt;0")</f>
        <v>0</v>
      </c>
      <c r="NJ122" s="6">
        <f>COUNTIFS(Table111[Country],Tabela1[[#This Row],[Country]],Table111[Women''s Classification],"&gt;0")</f>
        <v>0</v>
      </c>
      <c r="NK122" s="6">
        <f>COUNTIFS(Table112[Country],Tabela1[[#This Row],[Country]],Table112[Men''s Four Classification],"&gt;0")</f>
        <v>0</v>
      </c>
      <c r="NL122" s="6">
        <f>COUNTIFS(Table113[Country],Tabela1[[#This Row],[Country]],Table113[Classical Classification],"&gt;0")</f>
        <v>0</v>
      </c>
      <c r="NM122" s="6">
        <f>COUNTIFS(Table113116[Country],Tabela1[[#This Row],[Country]],Table113116[Classical Classification],"&gt;0")</f>
        <v>0</v>
      </c>
      <c r="NN122" s="6">
        <f>COUNTIFS(Table113[Country],Tabela1[[#This Row],[Country]],Table113[Freestyle Classification],"&gt;0")</f>
        <v>0</v>
      </c>
      <c r="NO122" s="6">
        <f>COUNTIFS(Table113116[Country],Tabela1[[#This Row],[Country]],Table113116[Freestyle Classification],"&gt;0")</f>
        <v>0</v>
      </c>
      <c r="NP122" s="6">
        <f>COUNTIFS(Table117[Country],Tabela1[[#This Row],[Country]],Table117[Men''s Relay Classification],"&gt;0")</f>
        <v>0</v>
      </c>
      <c r="NQ122" s="6">
        <f>COUNTIFS(Table117[Country],Tabela1[[#This Row],[Country]],Table117[Women''s Relay Classification],"&gt;0")</f>
        <v>0</v>
      </c>
      <c r="NR122" s="6">
        <f>COUNTIFS(Table113[Country],Tabela1[[#This Row],[Country]],Table113[Skiathlon Classification],"&gt;0")</f>
        <v>0</v>
      </c>
      <c r="NS122" s="6">
        <f>COUNTIFS(Table113116[Country],Tabela1[[#This Row],[Country]],Table113116[Skiathlon Classification],"&gt;0")</f>
        <v>0</v>
      </c>
      <c r="NT122" s="6">
        <f>COUNTIFS(Table113[Country],Tabela1[[#This Row],[Country]],Table113[Sprint Classification],"&gt;0")</f>
        <v>0</v>
      </c>
      <c r="NU122" s="6">
        <f>COUNTIFS(Table113116[Country],Tabela1[[#This Row],[Country]],Table113116[Sprint Classification],"&gt;0")</f>
        <v>0</v>
      </c>
      <c r="NV122" s="6">
        <f>COUNTIFS(Table116[Country],Tabela1[[#This Row],[Country]],Table116[Men''s Team Sprint Classification],"&gt;0")</f>
        <v>0</v>
      </c>
      <c r="NW122" s="6">
        <f>COUNTIFS(Table116[Country],Tabela1[[#This Row],[Country]],Table116[Women''s Team Sprint Classification],"&gt;0")</f>
        <v>0</v>
      </c>
      <c r="NX122" s="6">
        <f>COUNTIFS(Table119[Country],Tabela1[[#This Row],[Country]],Table119[Men''s Classification],"&gt;0")</f>
        <v>0</v>
      </c>
      <c r="NY122" s="6">
        <f>COUNTIFS(Table119[Country],Tabela1[[#This Row],[Country]],Table119[Women''s Classification],"&gt;0")</f>
        <v>0</v>
      </c>
      <c r="NZ122" s="6">
        <f>COUNTIFS(Table118[Country],Tabela1[[#This Row],[Country]],Table118[Mixed Classification],"&gt;0")</f>
        <v>0</v>
      </c>
      <c r="OA122" s="6">
        <f>COUNTIFS(Table120[Country],Tabela1[[#This Row],[Country]],Table120[Classification],"&gt;0")</f>
        <v>0</v>
      </c>
      <c r="OB122" s="6">
        <f>COUNTIFS(Table120123[Country],Tabela1[[#This Row],[Country]],Table120123[Classification],"&gt;0")</f>
        <v>0</v>
      </c>
      <c r="OC122" s="6">
        <f>COUNTIFS(Table123[Country],Tabela1[[#This Row],[Country]],Table123[Ice Dance Classification],"&gt;0")</f>
        <v>0</v>
      </c>
      <c r="OD122" s="6">
        <f>COUNTIFS(Table123[Country],Tabela1[[#This Row],[Country]],Table123[Pair Skating Classification],"&gt;0")</f>
        <v>0</v>
      </c>
      <c r="OE122" s="6">
        <f>COUNTIFS(Table124[Country],Tabela1[[#This Row],[Country]],Table124[Mixed Classification],"&gt;0")</f>
        <v>0</v>
      </c>
      <c r="OF122" s="6">
        <f>COUNTIFS(Table125[Country],Tabela1[[#This Row],[Country]],Table125[Aerials Classification],"&gt;0")</f>
        <v>0</v>
      </c>
      <c r="OG122" s="6">
        <f>COUNTIFS(Table125128[Country],Tabela1[[#This Row],[Country]],Table125128[Aerials Classification],"&gt;0")</f>
        <v>0</v>
      </c>
      <c r="OH122" s="6">
        <f>COUNTIFS(Table128[Country],Tabela1[[#This Row],[Country]],Table128[Mixed Aerials Classification],"&gt;0")</f>
        <v>0</v>
      </c>
      <c r="OI122" s="6">
        <f>COUNTIFS(Table125[Country],Tabela1[[#This Row],[Country]],Table125[Big Air Classification],"&gt;0")</f>
        <v>0</v>
      </c>
      <c r="OJ122" s="6">
        <f>COUNTIFS(Table125128[Country],Tabela1[[#This Row],[Country]],Table125128[Big Air Classification],"&gt;0")</f>
        <v>0</v>
      </c>
      <c r="OK122" s="6">
        <f>COUNTIFS(Table125[Country],Tabela1[[#This Row],[Country]],Table125[Dual Moguls Classification],"&gt;0")</f>
        <v>0</v>
      </c>
      <c r="OL122" s="6">
        <f>COUNTIFS(Table125128[Country],Tabela1[[#This Row],[Country]],Table125128[Dual Moguls Classification],"&gt;0")</f>
        <v>0</v>
      </c>
      <c r="OM122" s="6">
        <f>COUNTIFS(Table125[Country],Tabela1[[#This Row],[Country]],Table125[Halfpipe Classification],"&gt;0")</f>
        <v>0</v>
      </c>
      <c r="ON122" s="6">
        <f>COUNTIFS(Table125128[Country],Tabela1[[#This Row],[Country]],Table125128[Halfpipe Classification],"&gt;0")</f>
        <v>0</v>
      </c>
      <c r="OO122" s="6">
        <f>COUNTIFS(Table125[Country],Tabela1[[#This Row],[Country]],Table125[Moguls Classification],"&gt;0")</f>
        <v>0</v>
      </c>
      <c r="OP122" s="6">
        <f>COUNTIFS(Table125128[Country],Tabela1[[#This Row],[Country]],Table125128[Moguls Classification],"&gt;0")</f>
        <v>0</v>
      </c>
      <c r="OQ122" s="6">
        <f>COUNTIFS(Table125[Country],Tabela1[[#This Row],[Country]],Table125[Ski Cross Classification],"&gt;0")</f>
        <v>0</v>
      </c>
      <c r="OR122" s="6">
        <f>COUNTIFS(Table125128[Country],Tabela1[[#This Row],[Country]],Table125128[Ski Cross Classification],"&gt;0")</f>
        <v>0</v>
      </c>
      <c r="OS122" s="6">
        <f>COUNTIFS(Table125[Country],Tabela1[[#This Row],[Country]],Table125[Slopestyle Classification],"&gt;0")</f>
        <v>0</v>
      </c>
      <c r="OT122" s="6">
        <f>COUNTIFS(Table125128[Country],Tabela1[[#This Row],[Country]],Table125128[Slopestyle Classification],"&gt;0")</f>
        <v>0</v>
      </c>
      <c r="OU122" s="6">
        <f>COUNTIFS(Table119131[Country],Tabela1[[#This Row],[Country]],Table119131[Men''s Classification],"&gt;0")</f>
        <v>0</v>
      </c>
      <c r="OV122" s="6">
        <f>COUNTIFS(Table119131[Country],Tabela1[[#This Row],[Country]],Table119131[Women''s Classification],"&gt;0")</f>
        <v>0</v>
      </c>
      <c r="OW122" s="6">
        <f>COUNTIFS(Table131[Country],Tabela1[[#This Row],[Country]],Table131[Classification],"&gt;0")</f>
        <v>0</v>
      </c>
      <c r="OX122" s="6">
        <f>COUNTIFS(Table131134[Country],Tabela1[[#This Row],[Country]],Table131134[Classification],"&gt;0")</f>
        <v>0</v>
      </c>
      <c r="OY122" s="6">
        <f>COUNTIFS(Table134[Country],Tabela1[[#This Row],[Country]],Table134[Men''s Classification],"&gt;0")</f>
        <v>0</v>
      </c>
      <c r="OZ122" s="6">
        <f>COUNTIFS(Table134[Country],Tabela1[[#This Row],[Country]],Table134[Women''s Classification],"&gt;0")</f>
        <v>0</v>
      </c>
      <c r="PA122" s="6">
        <f>COUNTIFS(Table135[Country],Tabela1[[#This Row],[Country]],Table135[Mixed Relay Classification],"&gt;0")</f>
        <v>0</v>
      </c>
      <c r="PB122" s="6">
        <f>COUNTIFS(Table136[Country],Tabela1[[#This Row],[Country]],Table136[Individual Classification],"&gt;0")</f>
        <v>0</v>
      </c>
      <c r="PC122" s="6">
        <f>COUNTIFS(Table136[Country],Tabela1[[#This Row],[Country]],Table136[Sprint Classification],"&gt;0")</f>
        <v>0</v>
      </c>
      <c r="PD122" s="6">
        <f>COUNTIFS(Table137[Country],Tabela1[[#This Row],[Country]],Table137[Men''s Team Sprint Large Hill Classification],"&gt;0")</f>
        <v>0</v>
      </c>
      <c r="PE122" s="6">
        <f>COUNTIFS(Table138[Country],Tabela1[[#This Row],[Country]],Table138[500m Classification],"&gt;0")</f>
        <v>0</v>
      </c>
      <c r="PF122" s="6">
        <f>COUNTIFS(Table138141[Country],Tabela1[[#This Row],[Country]],Table138141[500m Classification],"&gt;0")</f>
        <v>0</v>
      </c>
      <c r="PG122" s="6">
        <f>COUNTIFS(Table138[Country],Tabela1[[#This Row],[Country]],Table138[1000m Classification],"&gt;0")</f>
        <v>0</v>
      </c>
      <c r="PH122" s="6">
        <f>COUNTIFS(Table138141[Country],Tabela1[[#This Row],[Country]],Table138141[1000m Classification],"&gt;0")</f>
        <v>0</v>
      </c>
      <c r="PI122" s="6">
        <f>COUNTIFS(Table138[Country],Tabela1[[#This Row],[Country]],Table138[1500m Classification],"&gt;0")</f>
        <v>0</v>
      </c>
      <c r="PJ122" s="6">
        <f>COUNTIFS(Table138141[Country],Tabela1[[#This Row],[Country]],Table138141[1500m Classification],"&gt;0")</f>
        <v>0</v>
      </c>
      <c r="PK122" s="6">
        <f>COUNTIFS(Table141[Country],Tabela1[[#This Row],[Country]],Table141[Men''s 5000m Relay Classification],"&gt;0")</f>
        <v>0</v>
      </c>
      <c r="PL122" s="6">
        <f>COUNTIFS(Table141[Country],Tabela1[[#This Row],[Country]],Table141[Women''s 3000m Relay Classification],"&gt;0")</f>
        <v>0</v>
      </c>
      <c r="PM122" s="6">
        <f>COUNTIFS(Table141[Country],Tabela1[[#This Row],[Country]],Table141[Mixed 2000m Relay Classification],"&gt;0")</f>
        <v>0</v>
      </c>
      <c r="PN122" s="6">
        <f>COUNTIFS(Table142[Country],Tabela1[[#This Row],[Country]],Table142[Classification],"&gt;0")</f>
        <v>0</v>
      </c>
      <c r="PO122" s="6">
        <f>COUNTIFS(Table142145[Country],Tabela1[[#This Row],[Country]],Table142145[Classification],"&gt;0")</f>
        <v>0</v>
      </c>
      <c r="PP122" s="6">
        <f>COUNTIFS(Tabela15[Country],Tabela1[[#This Row],[Country]],Tabela15[Mixed Team Classification],"&gt;0")</f>
        <v>0</v>
      </c>
      <c r="PQ122" s="6">
        <f>COUNTIFS(Table145[Country],Tabela1[[#This Row],[Country]],Table145[Large Hill Classification],"&gt;0")</f>
        <v>0</v>
      </c>
      <c r="PR122" s="6">
        <f>COUNTIFS(Table145[Country],Tabela1[[#This Row],[Country]],Table145[Normal Hill Classification],"&gt;0")</f>
        <v>0</v>
      </c>
      <c r="PS122" s="6">
        <f>COUNTIFS(Table145148[Country],Tabela1[[#This Row],[Country]],Table145148[Large Hill Classification],"&gt;0")</f>
        <v>0</v>
      </c>
      <c r="PT122" s="6">
        <f>COUNTIFS(Table145148[Country],Tabela1[[#This Row],[Country]],Table145148[Normal Hill Classification],"&gt;0")</f>
        <v>0</v>
      </c>
      <c r="PU122" s="6">
        <f>COUNTIFS(Table148[Country],Tabela1[[#This Row],[Country]],Table148[Men''s Super Team Classification],"&gt;0")</f>
        <v>0</v>
      </c>
      <c r="PV122" s="6">
        <f>COUNTIFS(Tabela114[Country],Tabela1[[#This Row],[Country]],Tabela114[Mixed Normal Hill Classification],"&gt;0")</f>
        <v>0</v>
      </c>
      <c r="PW122" s="6">
        <f>COUNTIFS(Tabela50[Country],Tabela1[[#This Row],[Country]],Tabela50[Sprint Classification],"&gt;0")</f>
        <v>0</v>
      </c>
      <c r="PX122" s="6">
        <f>COUNTIFS(Tabela50101[Country],Tabela1[[#This Row],[Country]],Tabela50101[Sprint Classification],"&gt;0")</f>
        <v>0</v>
      </c>
      <c r="PY122" s="6">
        <f>COUNTIFS(Tabela103[Country],Tabela1[[#This Row],[Country]],Tabela103[Mixed Relay Classification],"&gt;0")</f>
        <v>0</v>
      </c>
      <c r="PZ122" s="6">
        <f>COUNTIFS(Table149[Country],Tabela1[[#This Row],[Country]],Table149[Big Air Classification],"&gt;0")</f>
        <v>0</v>
      </c>
      <c r="QA122" s="6">
        <f>COUNTIFS(Table149152[Country],Tabela1[[#This Row],[Country]],Table149152[Big Air Classification],"&gt;0")</f>
        <v>0</v>
      </c>
      <c r="QB122" s="6">
        <f>COUNTIFS(Table149[Country],Tabela1[[#This Row],[Country]],Table149[Halfpipe Classification],"&gt;0")</f>
        <v>0</v>
      </c>
      <c r="QC122" s="6">
        <f>COUNTIFS(Table149152[Country],Tabela1[[#This Row],[Country]],Table149152[Halfpipe Classification],"&gt;0")</f>
        <v>0</v>
      </c>
      <c r="QD122" s="6">
        <f>COUNTIFS(Table149[Country],Tabela1[[#This Row],[Country]],Table149[Parallel Giant Slalom Classification],"&gt;0")</f>
        <v>0</v>
      </c>
      <c r="QE122" s="6">
        <f>COUNTIFS(Table149152[Country],Tabela1[[#This Row],[Country]],Table149152[Parallel Giant Slalom Classification],"&gt;0")</f>
        <v>0</v>
      </c>
      <c r="QF122" s="6">
        <f>COUNTIFS(Table149[Country],Tabela1[[#This Row],[Country]],Table149[Slopestyle Classification],"&gt;0")</f>
        <v>0</v>
      </c>
      <c r="QG122" s="6">
        <f>COUNTIFS(Table149152[Country],Tabela1[[#This Row],[Country]],Table149152[Slopestyle Classification],"&gt;0")</f>
        <v>0</v>
      </c>
      <c r="QH122" s="6">
        <f>COUNTIFS(Table149[Country],Tabela1[[#This Row],[Country]],Table149[Snowboard Cross Classification],"&gt;0")</f>
        <v>0</v>
      </c>
      <c r="QI122" s="6">
        <f>COUNTIFS(Table149152[Country],Tabela1[[#This Row],[Country]],Table149152[Snowboard Cross Classification],"&gt;0")</f>
        <v>0</v>
      </c>
      <c r="QJ122" s="6">
        <f>COUNTIFS(Table153[Country],Tabela1[[#This Row],[Country]],Table153[Mixed Team Snowboard Cross Classification],"&gt;0")</f>
        <v>0</v>
      </c>
      <c r="QK122" s="6">
        <f>COUNTIFS(Table154[Country],Tabela1[[#This Row],[Country]],Table154[500m Classification],"&gt;0")</f>
        <v>0</v>
      </c>
      <c r="QL122" s="6">
        <f>COUNTIFS(Table154157[Country],Tabela1[[#This Row],[Country]],Table154157[500m Classification],"&gt;0")</f>
        <v>0</v>
      </c>
      <c r="QM122" s="6">
        <f>COUNTIFS(Table154[Country],Tabela1[[#This Row],[Country]],Table154[1000m Classification],"&gt;0")</f>
        <v>0</v>
      </c>
      <c r="QN122" s="6">
        <f>COUNTIFS(Table154157[Country],Tabela1[[#This Row],[Country]],Table154157[1000m Classification],"&gt;0")</f>
        <v>0</v>
      </c>
      <c r="QO122" s="6">
        <f>COUNTIFS(Table154[Country],Tabela1[[#This Row],[Country]],Table154[1500m Classification],"&gt;0")</f>
        <v>0</v>
      </c>
      <c r="QP122" s="6">
        <f>COUNTIFS(Table154157[Country],Tabela1[[#This Row],[Country]],Table154157[1500m Classification],"&gt;0")</f>
        <v>0</v>
      </c>
      <c r="QQ122" s="6">
        <f>COUNTIFS(Table154157[Country],Tabela1[[#This Row],[Country]],Table154157[3000m Classification],"&gt;0")</f>
        <v>0</v>
      </c>
      <c r="QR122" s="6">
        <f>COUNTIFS(Table154[Country],Tabela1[[#This Row],[Country]],Table154[5000m Classification],"&gt;0")</f>
        <v>0</v>
      </c>
      <c r="QS122" s="6">
        <f>COUNTIFS(Table154157[Country],Tabela1[[#This Row],[Country]],Table154157[5000m Classification],"&gt;0")</f>
        <v>0</v>
      </c>
      <c r="QT122" s="6">
        <f>COUNTIFS(Table154[Country],Tabela1[[#This Row],[Country]],Table154[10000m Classification],"&gt;0")</f>
        <v>0</v>
      </c>
      <c r="QU122" s="6">
        <f>COUNTIFS(Table154[Country],Tabela1[[#This Row],[Country]],Table154[Mass Start Classification],"&gt;0")</f>
        <v>0</v>
      </c>
      <c r="QV122" s="6">
        <f>COUNTIFS(Table154157[Country],Tabela1[[#This Row],[Country]],Table154157[Mass Start Classification],"&gt;0")</f>
        <v>0</v>
      </c>
      <c r="QW122" s="6">
        <f>COUNTIFS(Table157[Country],Tabela1[[#This Row],[Country]],Table157[Men''s Pursuit Classification],"&gt;0")</f>
        <v>0</v>
      </c>
      <c r="QX122" s="6">
        <f>COUNTIFS(Table157[Country],Tabela1[[#This Row],[Country]],Table157[Women''s Pursuit Classification],"&gt;0")</f>
        <v>0</v>
      </c>
      <c r="QY122" s="3" t="s">
        <v>685</v>
      </c>
    </row>
    <row r="123" spans="1:467" x14ac:dyDescent="0.3">
      <c r="A123" s="6">
        <v>122</v>
      </c>
      <c r="B123" s="6" t="s">
        <v>438</v>
      </c>
      <c r="C123" t="e" vm="122">
        <f>IF(ISBLANK(Tabela1[[#This Row],[Image Link]]), "", _xlfn.IMAGE(Tabela1[[#This Row],[Image Link]],1,1))</f>
        <v>#VALUE!</v>
      </c>
      <c r="D123" s="6">
        <f>SUM(Tabela1[[#This Row],[Archery - Men''s Individual Recurve]:[Speed Skating - Women''s Team Pursuit]])</f>
        <v>2</v>
      </c>
      <c r="E123" s="6">
        <f>COUNTIF(Tabela1[[#This Row],[Archery - Men''s Individual Recurve]:[Speed Skating - Women''s Team Pursuit]],"&gt;0")</f>
        <v>2</v>
      </c>
      <c r="F123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23" s="6">
        <f>SUM(Tabela1[[#This Row],[Archery - Men''s Individual Recurve]:[Wrestling - Women''s Freestyle 76kg]])</f>
        <v>2</v>
      </c>
      <c r="H123" s="6">
        <f>SUM(Tabela1[[#This Row],[Alpine Skiing - Men''s Downhill]:[Speed Skating - Women''s Team Pursuit]])</f>
        <v>0</v>
      </c>
      <c r="I123" s="6">
        <f>Tabela1[[#This Row],[Summer Gold Medals]]+Tabela1[[#This Row],[Winter Gold Medals]]</f>
        <v>0</v>
      </c>
      <c r="J123" s="6">
        <f>Tabela1[[#This Row],[Summer Silver Medals]]+Tabela1[[#This Row],[Winter Silver Medals]]</f>
        <v>0</v>
      </c>
      <c r="K123" s="6">
        <f>Tabela1[[#This Row],[Summer Bronze Medals]]+Tabela1[[#This Row],[Winter Bronze Medals]]</f>
        <v>0</v>
      </c>
      <c r="L123" s="6">
        <f>SUM(Tabela1[[#This Row],[Total Gold Medals]:[Total Bronze Medals]])</f>
        <v>0</v>
      </c>
      <c r="M123" s="6"/>
      <c r="N123" s="6"/>
      <c r="O123" s="6"/>
      <c r="P123" s="6">
        <f>SUM(Tabela1[[#This Row],[Summer Gold Medals]:[Summer Bronze Medals]])</f>
        <v>0</v>
      </c>
      <c r="Q123" s="6"/>
      <c r="R123" s="6"/>
      <c r="S123" s="6"/>
      <c r="T123" s="6">
        <f>Tabela1[[#This Row],[Winter Gold Medals]]+Tabela1[[#This Row],[Winter Silver Medals]]+Tabela1[[#This Row],[Winter Bronze Medals]]</f>
        <v>0</v>
      </c>
      <c r="U123" s="7">
        <f>Tabela1[[#This Row],[Total Medals]]/Tabela1[[#This Row],[Total Quotas]]</f>
        <v>0</v>
      </c>
      <c r="V123" s="6">
        <f>COUNTIFS(Table3[Country],Tabela1[[#This Row],[Country]],Table3[Recurve Classification],"&gt;0")</f>
        <v>0</v>
      </c>
      <c r="W123" s="6">
        <f>COUNTIFS(Table33[Country],Tabela1[[#This Row],[Country]],Table33[Recurve Classification],"&gt;0")</f>
        <v>0</v>
      </c>
      <c r="X123" s="6">
        <f>COUNTIFS(Table35[Country],Tabela1[[#This Row],[Country]],Table35[Men''s Team Recurve Classification],"&gt;0")</f>
        <v>0</v>
      </c>
      <c r="Y123" s="6">
        <f>COUNTIFS(Table35[Country],Tabela1[[#This Row],[Country]],Table35[Women''s Team Recurve Classification],"&gt;0")</f>
        <v>0</v>
      </c>
      <c r="Z123" s="6">
        <f>COUNTIFS(Tabela88[Country],Tabela1[[#This Row],[Country]],Tabela88[Mixed Team Recurve Classification],"&gt;0")</f>
        <v>0</v>
      </c>
      <c r="AA123" s="6">
        <f>COUNTIFS(Table36[Country],Tabela1[[#This Row],[Country]],Table36[Classification],"&gt;0")</f>
        <v>0</v>
      </c>
      <c r="AB123" s="6">
        <f>COUNTIFS(Table37[Country],Tabela1[[#This Row],[Country]],Table37[Classification],"&gt;0")</f>
        <v>0</v>
      </c>
      <c r="AC123" s="6">
        <f>COUNTIFS(Table4[Country],Tabela1[[#This Row],[Country]],Table4[100m Classification],"&gt;0")</f>
        <v>0</v>
      </c>
      <c r="AD123" s="6">
        <f>COUNTIFS(Table5[Country],Tabela1[[#This Row],[Country]],Table5[100m Classification],"&gt;0")</f>
        <v>0</v>
      </c>
      <c r="AE123" s="6">
        <f>COUNTIFS(Table4[Country],Tabela1[[#This Row],[Country]],Table4[200m Classification],"&gt;0")</f>
        <v>0</v>
      </c>
      <c r="AF123" s="6">
        <f>COUNTIFS(Table5[Country],Tabela1[[#This Row],[Country]],Table5[200m Classification],"&gt;0")</f>
        <v>0</v>
      </c>
      <c r="AG123" s="6">
        <f>COUNTIFS(Table4[Country],Tabela1[[#This Row],[Country]],Table4[400m Classification],"&gt;0")</f>
        <v>0</v>
      </c>
      <c r="AH123" s="6">
        <f>COUNTIFS(Table5[Country],Tabela1[[#This Row],[Country]],Table5[400m Classification],"&gt;0")</f>
        <v>0</v>
      </c>
      <c r="AI123" s="6">
        <f>COUNTIFS(Table4[Country],Tabela1[[#This Row],[Country]],Table4[800m Classification],"&gt;0")</f>
        <v>0</v>
      </c>
      <c r="AJ123" s="6">
        <f>COUNTIFS(Table5[Country],Tabela1[[#This Row],[Country]],Table5[800m Classification],"&gt;0")</f>
        <v>0</v>
      </c>
      <c r="AK123" s="6">
        <f>COUNTIFS(Table4[Country],Tabela1[[#This Row],[Country]],Table4[1500m Classification],"&gt;0")</f>
        <v>0</v>
      </c>
      <c r="AL123" s="6">
        <f>COUNTIFS(Table5[Country],Tabela1[[#This Row],[Country]],Table5[1500m Classification],"&gt;0")</f>
        <v>0</v>
      </c>
      <c r="AM123" s="6">
        <f>COUNTIFS(Table4[Country],Tabela1[[#This Row],[Country]],Table4[5000m Classification],"&gt;0")</f>
        <v>0</v>
      </c>
      <c r="AN123" s="6">
        <f>COUNTIFS(Table5[Country],Tabela1[[#This Row],[Country]],Table5[5000m Classification],"&gt;0")</f>
        <v>0</v>
      </c>
      <c r="AO123" s="6">
        <f>COUNTIFS(Table4[Country],Tabela1[[#This Row],[Country]],Table4[10000m Classification],"&gt;0")</f>
        <v>0</v>
      </c>
      <c r="AP123" s="6">
        <f>COUNTIFS(Table5[Country],Tabela1[[#This Row],[Country]],Table5[10000m Classification],"&gt;0")</f>
        <v>0</v>
      </c>
      <c r="AQ123" s="6">
        <f>COUNTIFS(Table4[Country],Tabela1[[#This Row],[Country]],Table4[110m Hurdles Classification],"&gt;0")</f>
        <v>0</v>
      </c>
      <c r="AR123" s="6">
        <f>COUNTIFS(Table5[Country],Tabela1[[#This Row],[Country]],Table5[100m Hurdles Classification],"&gt;0")</f>
        <v>0</v>
      </c>
      <c r="AS123" s="6">
        <f>COUNTIFS(Table4[Country],Tabela1[[#This Row],[Country]],Table4[400m Hurdles Classification],"&gt;0")</f>
        <v>0</v>
      </c>
      <c r="AT123" s="6">
        <f>COUNTIFS(Table5[Country],Tabela1[[#This Row],[Country]],Table5[400m Hurdles Classification],"&gt;0")</f>
        <v>0</v>
      </c>
      <c r="AU123" s="6">
        <f>COUNTIFS(Table4[Country],Tabela1[[#This Row],[Country]],Table4[3000m Steeplechase Classification],"&gt;0")</f>
        <v>0</v>
      </c>
      <c r="AV123" s="6">
        <f>COUNTIFS(Table5[Country],Tabela1[[#This Row],[Country]],Table5[3000m Steeplechase Classification],"&gt;0")</f>
        <v>0</v>
      </c>
      <c r="AW123" s="6">
        <f>COUNTIFS(Table27[Country],Tabela1[[#This Row],[Country]],Table27[Men''s 4x100m Relay Classification],"&gt;0")</f>
        <v>0</v>
      </c>
      <c r="AX123" s="6">
        <f>COUNTIFS(Table27[Country],Tabela1[[#This Row],[Country]],Table27[Women''s 4x100m Relay Classification],"&gt;0")</f>
        <v>0</v>
      </c>
      <c r="AY123" s="6">
        <f>COUNTIFS(Table27[Country],Tabela1[[#This Row],[Country]],Table27[Men''s 4x400m Relay Classification],"&gt;0")</f>
        <v>0</v>
      </c>
      <c r="AZ123" s="6">
        <f>COUNTIFS(Table27[Country],Tabela1[[#This Row],[Country]],Table27[Women''s 4x400m Relay Classification],"&gt;0")</f>
        <v>0</v>
      </c>
      <c r="BA123" s="6">
        <f>COUNTIFS(Table27[Country],Tabela1[[#This Row],[Country]],Table27[Mixed 4x400m Relay Classification],"&gt;0")</f>
        <v>0</v>
      </c>
      <c r="BB123" s="6">
        <f>COUNTIFS(Table4[Country],Tabela1[[#This Row],[Country]],Table4[Marathon Classification],"&gt;0")</f>
        <v>0</v>
      </c>
      <c r="BC123" s="6">
        <f>COUNTIFS(Table5[Country],Tabela1[[#This Row],[Country]],Table5[Marathon Classification],"&gt;0")</f>
        <v>0</v>
      </c>
      <c r="BD123" s="6">
        <f>COUNTIFS(Table4[Country],Tabela1[[#This Row],[Country]],Table4[20km Race Walk Classification],"&gt;0")</f>
        <v>0</v>
      </c>
      <c r="BE123" s="6">
        <f>COUNTIFS(Table5[Country],Tabela1[[#This Row],[Country]],Table5[20km Race Walk Classification],"&gt;0")</f>
        <v>0</v>
      </c>
      <c r="BF123" s="6">
        <f>COUNTIFS(Tabela96[Country],Tabela1[[#This Row],[Country]],Tabela96[Mixed Marathon Race Walk Relay Classification],"&gt;0")</f>
        <v>0</v>
      </c>
      <c r="BG123" s="6">
        <f>COUNTIFS(Table4[Country],Tabela1[[#This Row],[Country]],Table4[Discus Throw Classification],"&gt;0")</f>
        <v>0</v>
      </c>
      <c r="BH123" s="6">
        <f>COUNTIFS(Table5[Country],Tabela1[[#This Row],[Country]],Table5[Discus Throw Classification],"&gt;0")</f>
        <v>0</v>
      </c>
      <c r="BI123" s="6">
        <f>COUNTIFS(Table4[Country],Tabela1[[#This Row],[Country]],Table4[Hammer Throw Classification],"&gt;0")</f>
        <v>0</v>
      </c>
      <c r="BJ123" s="6">
        <f>COUNTIFS(Table5[Country],Tabela1[[#This Row],[Country]],Table5[Hammer Throw Classification],"&gt;0")</f>
        <v>0</v>
      </c>
      <c r="BK123" s="6">
        <f>COUNTIFS(Table4[Country],Tabela1[[#This Row],[Country]],Table4[High Jump Classification],"&gt;0")</f>
        <v>0</v>
      </c>
      <c r="BL123" s="6">
        <f>COUNTIFS(Table5[Country],Tabela1[[#This Row],[Country]],Table5[High Jump Classification],"&gt;0")</f>
        <v>0</v>
      </c>
      <c r="BM123" s="6">
        <f>COUNTIFS(Table4[Country],Tabela1[[#This Row],[Country]],Table4[Javelin Throw Classification],"&gt;0")</f>
        <v>0</v>
      </c>
      <c r="BN123" s="6">
        <f>COUNTIFS(Table5[Country],Tabela1[[#This Row],[Country]],Table5[Javelin Throw Classification],"&gt;0")</f>
        <v>0</v>
      </c>
      <c r="BO123" s="6">
        <f>COUNTIFS(Table4[Country],Tabela1[[#This Row],[Country]],Table4[Long Jump Classification],"&gt;0")</f>
        <v>0</v>
      </c>
      <c r="BP123" s="6">
        <f>COUNTIFS(Table5[Country],Tabela1[[#This Row],[Country]],Table5[Long Jump Classification],"&gt;0")</f>
        <v>0</v>
      </c>
      <c r="BQ123" s="6">
        <f>COUNTIFS(Table4[Country],Tabela1[[#This Row],[Country]],Table4[Pole Vault Classification],"&gt;0")</f>
        <v>0</v>
      </c>
      <c r="BR123" s="6">
        <f>COUNTIFS(Table5[Country],Tabela1[[#This Row],[Country]],Table5[Pole Vault Classification],"&gt;0")</f>
        <v>0</v>
      </c>
      <c r="BS123" s="6">
        <f>COUNTIFS(Table4[Country],Tabela1[[#This Row],[Country]],Table4[Shot Put Classification],"&gt;0")</f>
        <v>0</v>
      </c>
      <c r="BT123" s="6">
        <f>COUNTIFS(Table5[Country],Tabela1[[#This Row],[Country]],Table5[Shot Put Classification],"&gt;0")</f>
        <v>0</v>
      </c>
      <c r="BU123" s="6">
        <f>COUNTIFS(Table4[Country],Tabela1[[#This Row],[Country]],Table4[Triple Jump Classification],"&gt;0")</f>
        <v>0</v>
      </c>
      <c r="BV123" s="6">
        <f>COUNTIFS(Table5[Country],Tabela1[[#This Row],[Country]],Table5[Triple Jump Classification],"&gt;0")</f>
        <v>0</v>
      </c>
      <c r="BW123" s="6">
        <f>COUNTIFS(Table4[Country],Tabela1[[#This Row],[Country]],Table4[Decathlon Classification],"&gt;0")</f>
        <v>0</v>
      </c>
      <c r="BX123" s="6">
        <f>COUNTIFS(Table5[Country],Tabela1[[#This Row],[Country]],Table5[Heptathlon Classification],"&gt;0")</f>
        <v>0</v>
      </c>
      <c r="BY123" s="6">
        <f>COUNTIFS(Table61[Country],Tabela1[[#This Row],[Country]],Table61[Classification],"&gt;0")</f>
        <v>0</v>
      </c>
      <c r="BZ123" s="6">
        <f>COUNTIFS(Table38[Country],Tabela1[[#This Row],[Country]],Table38[Classification],"&gt;0")</f>
        <v>0</v>
      </c>
      <c r="CA123" s="6">
        <f>COUNTIFS(Table39[Country],Tabela1[[#This Row],[Country]],Table39[Men''s Classification],"&gt;0")</f>
        <v>0</v>
      </c>
      <c r="CB123" s="6">
        <f>COUNTIFS(Table39[Country],Tabela1[[#This Row],[Country]],Table39[Women''s Classification],"&gt;0")</f>
        <v>0</v>
      </c>
      <c r="CC123" s="6">
        <f>COUNTIFS(Table39[Country],Tabela1[[#This Row],[Country]],Table39[Mixed Classification],"&gt;0")</f>
        <v>0</v>
      </c>
      <c r="CD123" s="6">
        <f>COUNTIFS(Table89[Country],Tabela1[[#This Row],[Country]],Table89[Men''s Classification],"&gt;0")</f>
        <v>0</v>
      </c>
      <c r="CE123" s="6">
        <f>COUNTIFS(Table89[Country],Tabela1[[#This Row],[Country]],Table89[Women''s Classification],"&gt;0")</f>
        <v>0</v>
      </c>
      <c r="CF123" s="6">
        <f>COUNTIFS(Table90[Country],Tabela1[[#This Row],[Country]],Table90[Men''s Classification],"&gt;0")</f>
        <v>0</v>
      </c>
      <c r="CG123" s="6">
        <f>COUNTIFS(Table90[Country],Tabela1[[#This Row],[Country]],Table90[Women''s Classification],"&gt;0")</f>
        <v>0</v>
      </c>
      <c r="CH123" s="6">
        <f>COUNTIFS(Table60[Country],Tabela1[[#This Row],[Country]],Table60[Men''s Classification],"&gt;0")</f>
        <v>0</v>
      </c>
      <c r="CI123" s="6">
        <f>COUNTIFS(Table60[Country],Tabela1[[#This Row],[Country]],Table60[Women''s Classification],"&gt;0")</f>
        <v>0</v>
      </c>
      <c r="CJ123" s="6">
        <f>COUNTIFS(Table6[Country],Tabela1[[#This Row],[Country]],Table6[51kg Classification],"&gt;0")</f>
        <v>0</v>
      </c>
      <c r="CK123" s="6">
        <f>COUNTIFS(Table6[Country],Tabela1[[#This Row],[Country]],Table6[57kg Classification],"&gt;0")</f>
        <v>0</v>
      </c>
      <c r="CL123" s="6">
        <f>COUNTIFS(Table6[Country],Tabela1[[#This Row],[Country]],Table6[63.5kg Classification],"&gt;0")</f>
        <v>0</v>
      </c>
      <c r="CM123" s="6">
        <f>COUNTIFS(Table6[Country],Tabela1[[#This Row],[Country]],Table6[71kg Classification],"&gt;0")</f>
        <v>0</v>
      </c>
      <c r="CN123" s="6">
        <f>COUNTIFS(Table6[Country],Tabela1[[#This Row],[Country]],Table6[80kg Classification],"&gt;0")</f>
        <v>0</v>
      </c>
      <c r="CO123" s="6">
        <f>COUNTIFS(Table6[Country],Tabela1[[#This Row],[Country]],Table6[92kg Classification],"&gt;0")</f>
        <v>0</v>
      </c>
      <c r="CP123" s="6">
        <f>COUNTIFS(Table6[Country],Tabela1[[#This Row],[Country]],Table6[Plus 92kg Classification],"&gt;0")</f>
        <v>0</v>
      </c>
      <c r="CQ123" s="6">
        <f>COUNTIFS(Table7[Country],Tabela1[[#This Row],[Country]],Table7[50kg Classification],"&gt;0")</f>
        <v>0</v>
      </c>
      <c r="CR123" s="6">
        <f>COUNTIFS(Table7[Country],Tabela1[[#This Row],[Country]],Table7[54kg Classification],"&gt;0")</f>
        <v>0</v>
      </c>
      <c r="CS123" s="6">
        <f>COUNTIFS(Table7[Country],Tabela1[[#This Row],[Country]],Table7[57kg Classification],"&gt;0")</f>
        <v>0</v>
      </c>
      <c r="CT123" s="6">
        <f>COUNTIFS(Table7[Country],Tabela1[[#This Row],[Country]],Table7[60kg Classification],"&gt;0")</f>
        <v>0</v>
      </c>
      <c r="CU123" s="6">
        <f>COUNTIFS(Table7[Country],Tabela1[[#This Row],[Country]],Table7[66kg Classification],"&gt;0")</f>
        <v>0</v>
      </c>
      <c r="CV123" s="6">
        <f>COUNTIFS(Table7[Country],Tabela1[[#This Row],[Country]],Table7[75kg Classification],"&gt;0")</f>
        <v>0</v>
      </c>
      <c r="CW123" s="6">
        <f>COUNTIFS(Tabela94[Country],Tabela1[[#This Row],[Country]],Tabela94[Classification],"&gt;0")</f>
        <v>0</v>
      </c>
      <c r="CX123" s="6">
        <f>COUNTIFS(Tabela9499[Country],Tabela1[[#This Row],[Country]],Tabela9499[Classification],"&gt;0")</f>
        <v>0</v>
      </c>
      <c r="CY123" s="6">
        <f>COUNTIFS(Tabela107[Country],Tabela1[[#This Row],[Country]],Tabela107[C1 Slalom Classification],"&gt;0")</f>
        <v>0</v>
      </c>
      <c r="CZ123" s="6">
        <f>COUNTIFS(Tabela107122[Country],Tabela1[[#This Row],[Country]],Tabela107122[C1 Slalom Classification],"&gt;0")</f>
        <v>0</v>
      </c>
      <c r="DA123" s="6">
        <f>COUNTIFS(Tabela107[Country],Tabela1[[#This Row],[Country]],Tabela107[K1 Slalom Classification],"&gt;0")</f>
        <v>0</v>
      </c>
      <c r="DB123" s="6">
        <f>COUNTIFS(Tabela107122[Country],Tabela1[[#This Row],[Country]],Tabela107122[K1 Slalom Classification],"&gt;0")</f>
        <v>0</v>
      </c>
      <c r="DC123" s="6">
        <f>COUNTIFS(Tabela107[Country],Tabela1[[#This Row],[Country]],Tabela107[Kayak Cross Slalom Classification],"&gt;0")</f>
        <v>0</v>
      </c>
      <c r="DD123" s="6">
        <f>COUNTIFS(Tabela107122[Country],Tabela1[[#This Row],[Country]],Tabela107122[Kayak Cross Slalom Classification],"&gt;0")</f>
        <v>0</v>
      </c>
      <c r="DE123" s="6">
        <f>COUNTIFS(Table8[Country],Tabela1[[#This Row],[Country]],Table8[C1 200m Classification],"&gt;0")</f>
        <v>0</v>
      </c>
      <c r="DF123" s="6">
        <f>COUNTIFS(Table40[Country],Tabela1[[#This Row],[Country]],Table40[C1 1000m Classification],"&gt;0")</f>
        <v>0</v>
      </c>
      <c r="DG123" s="6">
        <f>COUNTIFS(Table68[Country],Tabela1[[#This Row],[Country]],Table68[Men''s C2 500m Classification],"&gt;0")</f>
        <v>0</v>
      </c>
      <c r="DH123" s="6">
        <f>COUNTIFS(Table68[Country],Tabela1[[#This Row],[Country]],Table68[Women''s C2 500m Classification],"&gt;0")</f>
        <v>0</v>
      </c>
      <c r="DI123" s="6">
        <f>COUNTIFS(Table8[Country],Tabela1[[#This Row],[Country]],Table8[K1 500m Classification],"&gt;0")</f>
        <v>0</v>
      </c>
      <c r="DJ123" s="6">
        <f>COUNTIFS(Table40[Country],Tabela1[[#This Row],[Country]],Table40[K1 1000m Classification],"&gt;0")</f>
        <v>0</v>
      </c>
      <c r="DK123" s="6">
        <f>COUNTIFS(Table68[Country],Tabela1[[#This Row],[Country]],Table68[Men''s K2 500m Classification],"&gt;0")</f>
        <v>0</v>
      </c>
      <c r="DL123" s="6">
        <f>COUNTIFS(Table68[Country],Tabela1[[#This Row],[Country]],Table68[Women''s K2 500m Classification],"&gt;0")</f>
        <v>0</v>
      </c>
      <c r="DM123" s="6">
        <f>COUNTIFS(Table83[Country],Tabela1[[#This Row],[Country]],Table83[Men''s K4 500m Classification],"&gt;0")</f>
        <v>0</v>
      </c>
      <c r="DN123" s="6">
        <f>COUNTIFS(Table83[Country],Tabela1[[#This Row],[Country]],Table83[Women''s K4 500m Classification],"&gt;0")</f>
        <v>0</v>
      </c>
      <c r="DO123" s="6">
        <f>COUNTIFS(Tabela126[Country],Tabela1[[#This Row],[Country]],Tabela126[Classification],"&gt;0")</f>
        <v>0</v>
      </c>
      <c r="DP123" s="6">
        <f>COUNTIFS(Tabela126130[Country],Tabela1[[#This Row],[Country]],Tabela126130[Classification],"&gt;0")</f>
        <v>0</v>
      </c>
      <c r="DQ123" s="6">
        <f>COUNTIFS(Table70[Country],Tabela1[[#This Row],[Country]],Table70[Classification],"&gt;0")</f>
        <v>0</v>
      </c>
      <c r="DR123" s="6">
        <f>COUNTIFS(Table80[Country],Tabela1[[#This Row],[Country]],Table80[Classification],"&gt;0")</f>
        <v>0</v>
      </c>
      <c r="DS123" s="6">
        <f>COUNTIFS(Table66[Country],Tabela1[[#This Row],[Country]],Table66[Classification],"&gt;0")</f>
        <v>0</v>
      </c>
      <c r="DT123" s="6">
        <f>COUNTIFS(Table67[Country],Tabela1[[#This Row],[Country]],Table67[Classification],"&gt;0")</f>
        <v>0</v>
      </c>
      <c r="DU123" s="6">
        <f>COUNTIFS(Table69[Country],Tabela1[[#This Row],[Country]],Table69[Keirin Classification],"&gt;0")</f>
        <v>0</v>
      </c>
      <c r="DV123" s="6">
        <f>COUNTIFS(Table41[Country],Tabela1[[#This Row],[Country]],Table41[Keirin Classification],"&gt;0")</f>
        <v>0</v>
      </c>
      <c r="DW123" s="6">
        <f>COUNTIFS(Table84[Country],Tabela1[[#This Row],[Country]],Table84[Men''s Madison Classification],"&gt;0")</f>
        <v>0</v>
      </c>
      <c r="DX123" s="6">
        <f>COUNTIFS(Table84[Country],Tabela1[[#This Row],[Country]],Table84[Women''s Madison Classification],"&gt;0")</f>
        <v>0</v>
      </c>
      <c r="DY123" s="6">
        <f>COUNTIFS(Table69[Country],Tabela1[[#This Row],[Country]],Table69[Omnium Classification],"&gt;0")</f>
        <v>0</v>
      </c>
      <c r="DZ123" s="6">
        <f>COUNTIFS(Table41[Country],Tabela1[[#This Row],[Country]],Table41[Omnium Classification],"&gt;0")</f>
        <v>0</v>
      </c>
      <c r="EA123" s="6">
        <f>COUNTIFS(Table9[Country],Tabela1[[#This Row],[Country]],Table9[Road Race Classification],"&gt;0")</f>
        <v>0</v>
      </c>
      <c r="EB123" s="6">
        <f>COUNTIFS(Table14[Country],Tabela1[[#This Row],[Country]],Table14[Road Race Classification],"&gt;0")</f>
        <v>0</v>
      </c>
      <c r="EC123" s="6">
        <f>COUNTIFS(Table69[Country],Tabela1[[#This Row],[Country]],Table69[Sprint Classification],"&gt;0")</f>
        <v>0</v>
      </c>
      <c r="ED123" s="6">
        <f>COUNTIFS(Table41[Country],Tabela1[[#This Row],[Country]],Table41[Sprint Classification],"&gt;0")</f>
        <v>0</v>
      </c>
      <c r="EE123" s="6">
        <f>COUNTIFS(Table85[Country],Tabela1[[#This Row],[Country]],Table85[Men''s Sprint Classification],"&gt;0")</f>
        <v>0</v>
      </c>
      <c r="EF123" s="6">
        <f>COUNTIFS(Table85[Country],Tabela1[[#This Row],[Country]],Table85[Women''s Sprint Classification],"&gt;0")</f>
        <v>0</v>
      </c>
      <c r="EG123" s="6">
        <f>COUNTIFS(Table85[Country],Tabela1[[#This Row],[Country]],Table85[Men''s Pursuit Classification],"&gt;0")</f>
        <v>0</v>
      </c>
      <c r="EH123" s="6">
        <f>COUNTIFS(Table85[Country],Tabela1[[#This Row],[Country]],Table85[Women''s Pursuit Classification],"&gt;0")</f>
        <v>0</v>
      </c>
      <c r="EI123" s="6">
        <f>COUNTIFS(Table9[Country],Tabela1[[#This Row],[Country]],Table9[Time-Trial Classification],"&gt;0")</f>
        <v>0</v>
      </c>
      <c r="EJ123" s="6">
        <f>COUNTIFS(Table14[Country],Tabela1[[#This Row],[Country]],Table14[Time-Trial Classification],"&gt;0")</f>
        <v>0</v>
      </c>
      <c r="EK123" s="6">
        <f>COUNTIFS(Table42[Country],Tabela1[[#This Row],[Country]],Table42[Springboard Classification],"&gt;0")</f>
        <v>0</v>
      </c>
      <c r="EL123" s="6">
        <f>COUNTIFS(Table43[Country],Tabela1[[#This Row],[Country]],Table43[Springboard Classification],"&gt;0")</f>
        <v>0</v>
      </c>
      <c r="EM123" s="6">
        <f>COUNTIFS(Table42[Country],Tabela1[[#This Row],[Country]],Table42[Platform Classification],"&gt;0")</f>
        <v>0</v>
      </c>
      <c r="EN123" s="6">
        <f>COUNTIFS(Table43[Country],Tabela1[[#This Row],[Country]],Table43[Platform Classification],"&gt;0")</f>
        <v>0</v>
      </c>
      <c r="EO123" s="6">
        <f>COUNTIFS(Table86[Country],Tabela1[[#This Row],[Country]],Table86[Men''s Synchronized Springboard Classification],"&gt;0")</f>
        <v>0</v>
      </c>
      <c r="EP123" s="6">
        <f>COUNTIFS(Table86[Country],Tabela1[[#This Row],[Country]],Table86[Women''s Synchronized Springboard Classification],"&gt;0")</f>
        <v>0</v>
      </c>
      <c r="EQ123" s="6">
        <f>COUNTIFS(Table86[Country],Tabela1[[#This Row],[Country]],Table86[Men''s Synchronized Platform Classification],"&gt;0")</f>
        <v>0</v>
      </c>
      <c r="ER123" s="6">
        <f>COUNTIFS(Table86[Country],Tabela1[[#This Row],[Country]],Table86[Women''s Synchronized Platform Classification],"&gt;0")</f>
        <v>0</v>
      </c>
      <c r="ES123" s="6">
        <f>COUNTIFS(Table44[Country],Tabela1[[#This Row],[Country]],Table44[Dressage Classification],"&gt;0")</f>
        <v>0</v>
      </c>
      <c r="ET123" s="6">
        <f>COUNTIFS(Table45[Country],Tabela1[[#This Row],[Country]],Table45[Dressage Classification],"&gt;0")</f>
        <v>0</v>
      </c>
      <c r="EU123" s="6">
        <f>COUNTIFS(Table44[Country],Tabela1[[#This Row],[Country]],Table44[Eventing Classification],"&gt;0")</f>
        <v>0</v>
      </c>
      <c r="EV123" s="6">
        <f>COUNTIFS(Table45[Country],Tabela1[[#This Row],[Country]],Table45[Eventing Classification],"&gt;0")</f>
        <v>0</v>
      </c>
      <c r="EW123" s="6">
        <f>COUNTIFS(Table44[Country],Tabela1[[#This Row],[Country]],Table44[Jumping Classification],"&gt;0")</f>
        <v>0</v>
      </c>
      <c r="EX123" s="6">
        <f>COUNTIFS(Table45[Country],Tabela1[[#This Row],[Country]],Table45[Jumping Classification],"&gt;0")</f>
        <v>0</v>
      </c>
      <c r="EY123" s="6">
        <f>COUNTIFS(Table10[Country],Tabela1[[#This Row],[Country]],Table10[Épée Classification],"&gt;0")</f>
        <v>0</v>
      </c>
      <c r="EZ123" s="6">
        <f>COUNTIFS(Table11[Country],Tabela1[[#This Row],[Country]],Table11[Épée Classification],"&gt;0")</f>
        <v>0</v>
      </c>
      <c r="FA123" s="6">
        <f>COUNTIFS(Table46[Country],Tabela1[[#This Row],[Country]],Table46[Men''s Épée Classification],"&gt;0")</f>
        <v>0</v>
      </c>
      <c r="FB123" s="6">
        <f>COUNTIFS(Table46[Country],Tabela1[[#This Row],[Country]],Table46[Women''s Épée Classification],"&gt;0")</f>
        <v>0</v>
      </c>
      <c r="FC123" s="6">
        <f>COUNTIFS(Table10[Country],Tabela1[[#This Row],[Country]],Table10[Foil Classification],"&gt;0")</f>
        <v>0</v>
      </c>
      <c r="FD123" s="6">
        <f>COUNTIFS(Table11[Country],Tabela1[[#This Row],[Country]],Table11[Foil Classification],"&gt;0")</f>
        <v>0</v>
      </c>
      <c r="FE123" s="6">
        <f>COUNTIFS(Table46[Country],Tabela1[[#This Row],[Country]],Table46[Men''s Foil Classification],"&gt;0")</f>
        <v>0</v>
      </c>
      <c r="FF123" s="6">
        <f>COUNTIFS(Table46[Country],Tabela1[[#This Row],[Country]],Table46[Women''s Foil Classification],"&gt;0")</f>
        <v>0</v>
      </c>
      <c r="FG123" s="6">
        <f>COUNTIFS(Table10[Country],Tabela1[[#This Row],[Country]],Table10[Sabre Classification],"&gt;0")</f>
        <v>0</v>
      </c>
      <c r="FH123" s="6">
        <f>COUNTIFS(Table11[Country],Tabela1[[#This Row],[Country]],Table11[Sabre Classification],"&gt;0")</f>
        <v>0</v>
      </c>
      <c r="FI123" s="6">
        <f>COUNTIFS(Table46[Country],Tabela1[[#This Row],[Country]],Table46[Men''s Sabre Classification],"&gt;0")</f>
        <v>0</v>
      </c>
      <c r="FJ123" s="6">
        <f>COUNTIFS(Table46[Country],Tabela1[[#This Row],[Country]],Table46[Women''s Sabre Classification],"&gt;0")</f>
        <v>0</v>
      </c>
      <c r="FK123" s="6">
        <f>COUNTIFS(Table91[Country],Tabela1[[#This Row],[Country]],Table91[Men''s Classification],"&gt;0")</f>
        <v>0</v>
      </c>
      <c r="FL123" s="6">
        <f>COUNTIFS(Table91[Country],Tabela1[[#This Row],[Country]],Table91[Women''s Classification],"&gt;0")</f>
        <v>0</v>
      </c>
      <c r="FM123" s="6">
        <f>COUNTIFS(Table9194[Country],Tabela1[[#This Row],[Country]],Table9194[Men''s Classification],"&gt;0")</f>
        <v>0</v>
      </c>
      <c r="FN123" s="6">
        <f>COUNTIFS(Table9194[Country],Tabela1[[#This Row],[Country]],Table9194[Women''s Classification],"&gt;0")</f>
        <v>0</v>
      </c>
      <c r="FO123" s="6">
        <f>COUNTIFS(Table71[Country],Tabela1[[#This Row],[Country]],Table71[Classification],"&gt;0")</f>
        <v>0</v>
      </c>
      <c r="FP123" s="6">
        <f>COUNTIFS(Table62[Country],Tabela1[[#This Row],[Country]],Table62[Classification],"&gt;0")</f>
        <v>0</v>
      </c>
      <c r="FQ123" s="6">
        <f>COUNTIFS(Table47[Country],Tabela1[[#This Row],[Country]],Table47[All-Around Classification],"&gt;0")</f>
        <v>0</v>
      </c>
      <c r="FR123" s="6">
        <f>COUNTIFS(Table48[Country],Tabela1[[#This Row],[Country]],Table48[All-Around Classification],"&gt;0")</f>
        <v>0</v>
      </c>
      <c r="FS123" s="6">
        <f>COUNTIFS(Table81[Country],Tabela1[[#This Row],[Country]],Table81[Men''s All-Around Classification],"&gt;0")</f>
        <v>0</v>
      </c>
      <c r="FT123" s="6">
        <f>COUNTIFS(Table81[Country],Tabela1[[#This Row],[Country]],Table81[Women''s All-Around Classification],"&gt;0")</f>
        <v>0</v>
      </c>
      <c r="FU123" s="6">
        <f>COUNTIFS(Table48[Country],Tabela1[[#This Row],[Country]],Table48[Balance Beam Classification],"&gt;0")</f>
        <v>0</v>
      </c>
      <c r="FV123" s="6">
        <f>COUNTIFS(Table47[Country],Tabela1[[#This Row],[Country]],Table47[Floor Exercise Classification],"&gt;0")</f>
        <v>0</v>
      </c>
      <c r="FW123" s="6">
        <f>COUNTIFS(Table48[Country],Tabela1[[#This Row],[Country]],Table48[Floor Exercise Classification],"&gt;0")</f>
        <v>0</v>
      </c>
      <c r="FX123" s="6">
        <f>COUNTIFS(Table47[Country],Tabela1[[#This Row],[Country]],Table47[Horizontal Bar Classification],"&gt;0")</f>
        <v>0</v>
      </c>
      <c r="FY123" s="6">
        <f>COUNTIFS(Table47[Country],Tabela1[[#This Row],[Country]],Table47[Parallel Bars Classification],"&gt;0")</f>
        <v>0</v>
      </c>
      <c r="FZ123" s="6">
        <f>COUNTIFS(Table47[Country],Tabela1[[#This Row],[Country]],Table47[Pommel Horse Classification],"&gt;0")</f>
        <v>0</v>
      </c>
      <c r="GA123" s="6">
        <f>COUNTIFS(Table47[Country],Tabela1[[#This Row],[Country]],Table47[Rings Classification],"&gt;0")</f>
        <v>0</v>
      </c>
      <c r="GB123" s="6">
        <f>COUNTIFS(Tabela132[Country],Tabela1[[#This Row],[Country]],Tabela132[Classification],"&gt;0")</f>
        <v>0</v>
      </c>
      <c r="GC123" s="6">
        <f>COUNTIFS(Tabela139[Country],Tabela1[[#This Row],[Country]],Tabela139[Classification],"&gt;0")</f>
        <v>0</v>
      </c>
      <c r="GD123" s="6">
        <f>COUNTIFS(Table48[Country],Tabela1[[#This Row],[Country]],Table48[Uneven Bars Classification],"&gt;0")</f>
        <v>0</v>
      </c>
      <c r="GE123" s="6">
        <f>COUNTIFS(Table47[Country],Tabela1[[#This Row],[Country]],Table47[Vault Classification],"&gt;0")</f>
        <v>0</v>
      </c>
      <c r="GF123" s="6">
        <f>COUNTIFS(Table48[Country],Tabela1[[#This Row],[Country]],Table48[Vault Classification],"&gt;0")</f>
        <v>0</v>
      </c>
      <c r="GG123" s="6">
        <f>COUNTIFS(Table919496[Country],Tabela1[[#This Row],[Country]],Table919496[Men''s Classification],"&gt;0")</f>
        <v>0</v>
      </c>
      <c r="GH123" s="6">
        <f>COUNTIFS(Table919496[Country],Tabela1[[#This Row],[Country]],Table919496[Women''s Classification],"&gt;0")</f>
        <v>0</v>
      </c>
      <c r="GI123" s="6">
        <f>COUNTIFS(Table12[Country],Tabela1[[#This Row],[Country]],Table12[60kg Classification],"&gt;0")</f>
        <v>0</v>
      </c>
      <c r="GJ123" s="6">
        <f>COUNTIFS(Table12[Country],Tabela1[[#This Row],[Country]],Table12[66kg Classification],"&gt;0")</f>
        <v>0</v>
      </c>
      <c r="GK123" s="6">
        <f>COUNTIFS(Table12[Country],Tabela1[[#This Row],[Country]],Table12[73kg Classification],"&gt;0")</f>
        <v>0</v>
      </c>
      <c r="GL123" s="6">
        <f>COUNTIFS(Table12[Country],Tabela1[[#This Row],[Country]],Table12[81kg Classification],"&gt;0")</f>
        <v>0</v>
      </c>
      <c r="GM123" s="6">
        <f>COUNTIFS(Table12[Country],Tabela1[[#This Row],[Country]],Table12[90kg Classification],"&gt;0")</f>
        <v>0</v>
      </c>
      <c r="GN123" s="6">
        <f>COUNTIFS(Table12[Country],Tabela1[[#This Row],[Country]],Table12[100kg Classification],"&gt;0")</f>
        <v>0</v>
      </c>
      <c r="GO123" s="6">
        <f>COUNTIFS(Table12[Country],Tabela1[[#This Row],[Country]],Table12[Plus 100kg Classification],"&gt;0")</f>
        <v>0</v>
      </c>
      <c r="GP123" s="6">
        <f>COUNTIFS(Table13[Country],Tabela1[[#This Row],[Country]],Table13[48kg Classification],"&gt;0")</f>
        <v>0</v>
      </c>
      <c r="GQ123" s="6">
        <f>COUNTIFS(Table13[Country],Tabela1[[#This Row],[Country]],Table13[52kg Classification],"&gt;0")</f>
        <v>0</v>
      </c>
      <c r="GR123" s="6">
        <f>COUNTIFS(Table13[Country],Tabela1[[#This Row],[Country]],Table13[57kg Classification],"&gt;0")</f>
        <v>0</v>
      </c>
      <c r="GS123" s="6">
        <f>COUNTIFS(Table13[Country],Tabela1[[#This Row],[Country]],Table13[63kg Classification],"&gt;0")</f>
        <v>0</v>
      </c>
      <c r="GT123" s="6">
        <f>COUNTIFS(Table13[Country],Tabela1[[#This Row],[Country]],Table13[70kg Classification],"&gt;0")</f>
        <v>0</v>
      </c>
      <c r="GU123" s="6">
        <f>COUNTIFS(Table13[Country],Tabela1[[#This Row],[Country]],Table13[78kg Classification],"&gt;0")</f>
        <v>0</v>
      </c>
      <c r="GV123" s="6">
        <f>COUNTIFS(Table13[Country],Tabela1[[#This Row],[Country]],Table13[Plus 78kg Classification],"&gt;0")</f>
        <v>0</v>
      </c>
      <c r="GW123" s="6">
        <f>COUNTIFS(Table82[Country],Tabela1[[#This Row],[Country]],Table82[Mixed Classification],"&gt;0")</f>
        <v>0</v>
      </c>
      <c r="GX123" s="6">
        <f>COUNTIFS(Table51[Country],Tabela1[[#This Row],[Country]],Table51[Classification],"&gt;0")</f>
        <v>0</v>
      </c>
      <c r="GY123" s="6">
        <f>COUNTIFS(Table52[Country],Tabela1[[#This Row],[Country]],Table52[Classification],"&gt;0")</f>
        <v>0</v>
      </c>
      <c r="GZ123" s="6">
        <f>COUNTIFS(Table32[Country],Tabela1[[#This Row],[Country]],Table32[All-Around Classification],"&gt;0")</f>
        <v>0</v>
      </c>
      <c r="HA123" s="6">
        <f>COUNTIFS(Table49[Country],Tabela1[[#This Row],[Country]],Table49[All-Around Classification],"&gt;0")</f>
        <v>0</v>
      </c>
      <c r="HB123" s="6">
        <f>COUNTIFS(Table26[Country],Tabela1[[#This Row],[Country]],Table26[Single Sculls Classification],"&gt;0")</f>
        <v>1</v>
      </c>
      <c r="HC123" s="6">
        <f>COUNTIFS(Table63[Country],Tabela1[[#This Row],[Country]],Table63[Single Sculls Classification],"&gt;0")</f>
        <v>0</v>
      </c>
      <c r="HD123" s="6">
        <f>COUNTIFS(Table16[Country],Tabela1[[#This Row],[Country]],Table16[Men''s Double Sculls Classification],"&gt;0")</f>
        <v>0</v>
      </c>
      <c r="HE123" s="6">
        <f>COUNTIFS(Table16[Country],Tabela1[[#This Row],[Country]],Table16[Women''s Double Sculls Classification],"&gt;0")</f>
        <v>0</v>
      </c>
      <c r="HF123" s="6">
        <f>COUNTIFS(Table72[Country],Tabela1[[#This Row],[Country]],Table72[Men''s Quadruple Sculls Classification],"&gt;0")</f>
        <v>0</v>
      </c>
      <c r="HG123" s="6">
        <f>COUNTIFS(Table72[Country],Tabela1[[#This Row],[Country]],Table72[Women''s Quadruple Sculls Classification],"&gt;0")</f>
        <v>0</v>
      </c>
      <c r="HH123" s="6">
        <f>COUNTIFS(Table16[Country],Tabela1[[#This Row],[Country]],Table16[Men''s Coxless Pairs Classification],"&gt;0")</f>
        <v>0</v>
      </c>
      <c r="HI123" s="6">
        <f>COUNTIFS(Table16[Country],Tabela1[[#This Row],[Country]],Table16[Women''s Coxless Pairs Classification],"&gt;0")</f>
        <v>0</v>
      </c>
      <c r="HJ123" s="6">
        <f>COUNTIFS(Table72[Country],Tabela1[[#This Row],[Country]],Table72[Men''s Coxless Fours Classification],"&gt;0")</f>
        <v>0</v>
      </c>
      <c r="HK123" s="6">
        <f>COUNTIFS(Table72[Country],Tabela1[[#This Row],[Country]],Table72[Women''s Coxless Fours Classification],"&gt;0")</f>
        <v>0</v>
      </c>
      <c r="HL123" s="6">
        <f>COUNTIFS(Table72[Country],Tabela1[[#This Row],[Country]],Table72[Men''s Eights Classification],"&gt;0")</f>
        <v>0</v>
      </c>
      <c r="HM123" s="6">
        <f>COUNTIFS(Table72[Country],Tabela1[[#This Row],[Country]],Table72[Women''s Eights Classification],"&gt;0")</f>
        <v>0</v>
      </c>
      <c r="HN123" s="6">
        <f>COUNTIFS(Table16[Country],Tabela1[[#This Row],[Country]],Table16[Men''s Lwt. Double Sculls Classification],"&gt;0")</f>
        <v>0</v>
      </c>
      <c r="HO123" s="6">
        <f>COUNTIFS(Table16[Country],Tabela1[[#This Row],[Country]],Table16[Women''s Lwt. Double Sculls Classification],"&gt;0")</f>
        <v>0</v>
      </c>
      <c r="HP123" s="6">
        <f>COUNTIFS(Table91949698[Country],Tabela1[[#This Row],[Country]],Table91949698[Men''s Classification],"&gt;0")</f>
        <v>0</v>
      </c>
      <c r="HQ123" s="6">
        <f>COUNTIFS(Table91949698[Country],Tabela1[[#This Row],[Country]],Table91949698[Women''s Classification],"&gt;0")</f>
        <v>0</v>
      </c>
      <c r="HR123" s="6">
        <f>COUNTIFS(Table25[Country],Tabela1[[#This Row],[Country]],Table25[Mixed 470 Classification],"&gt;0")</f>
        <v>0</v>
      </c>
      <c r="HS123" s="6">
        <f>COUNTIFS(Table25[Country],Tabela1[[#This Row],[Country]],Table25[Men''s 49er Classification],"&gt;0")</f>
        <v>0</v>
      </c>
      <c r="HT123" s="6">
        <f>COUNTIFS(Table25[Country],Tabela1[[#This Row],[Country]],Table25[Women''s 49er FX Classification],"&gt;0")</f>
        <v>0</v>
      </c>
      <c r="HU123" s="6">
        <f>COUNTIFS(Table17[Country],Tabela1[[#This Row],[Country]],Table17[Formula Kite Classification],"&gt;0")</f>
        <v>0</v>
      </c>
      <c r="HV123" s="6">
        <f>COUNTIFS(Table18[Country],Tabela1[[#This Row],[Country]],Table18[Formula Kite Classification],"&gt;0")</f>
        <v>0</v>
      </c>
      <c r="HW123" s="6">
        <f>COUNTIFS(Table17[Country],Tabela1[[#This Row],[Country]],Table17[ILCA 7 Classification],"&gt;0")</f>
        <v>0</v>
      </c>
      <c r="HX123" s="6">
        <f>COUNTIFS(Table18[Country],Tabela1[[#This Row],[Country]],Table18[ILCA 6 Classification],"&gt;0")</f>
        <v>0</v>
      </c>
      <c r="HY123" s="6">
        <f>COUNTIFS(Table17[Country],Tabela1[[#This Row],[Country]],Table17[IQFoil Classification],"&gt;0")</f>
        <v>0</v>
      </c>
      <c r="HZ123" s="6">
        <f>COUNTIFS(Table18[Country],Tabela1[[#This Row],[Country]],Table18[IQFoil Classification],"&gt;0")</f>
        <v>0</v>
      </c>
      <c r="IA123" s="6">
        <f>COUNTIFS(Table25[Country],Tabela1[[#This Row],[Country]],Table25[Mixed Nacra 17 Classification],"&gt;0")</f>
        <v>0</v>
      </c>
      <c r="IB123" s="6">
        <f>COUNTIFS(Table53[Country],Tabela1[[#This Row],[Country]],Table53[10m Air Pistol Classification],"&gt;0")</f>
        <v>0</v>
      </c>
      <c r="IC123" s="6">
        <f>COUNTIFS(Table19[Country],Tabela1[[#This Row],[Country]],Table19[10m Air Pistol Classification],"&gt;0")</f>
        <v>0</v>
      </c>
      <c r="ID123" s="6">
        <f>COUNTIFS(Table54[Country],Tabela1[[#This Row],[Country]],Table54[Mixed 10m Air Pistol Team Classification],"&gt;0")</f>
        <v>0</v>
      </c>
      <c r="IE123" s="6">
        <f>COUNTIFS(Table53[Country],Tabela1[[#This Row],[Country]],Table53[10m Air Rifle Classification],"&gt;0")</f>
        <v>0</v>
      </c>
      <c r="IF123" s="6">
        <f>COUNTIFS(Table19[Country],Tabela1[[#This Row],[Country]],Table19[10m Air Rifle Classification],"&gt;0")</f>
        <v>0</v>
      </c>
      <c r="IG123" s="6">
        <f>COUNTIFS(Table54[Country],Tabela1[[#This Row],[Country]],Table54[Mixed 10m Air Rifle Team Classification],"&gt;0")</f>
        <v>0</v>
      </c>
      <c r="IH123" s="6">
        <f>COUNTIFS(Table53[Country],Tabela1[[#This Row],[Country]],Table53[25m Rapid Fire Pistol Classification],"&gt;0")</f>
        <v>0</v>
      </c>
      <c r="II123" s="6">
        <f>COUNTIFS(Table19[Country],Tabela1[[#This Row],[Country]],Table19[25m Pistol Classification],"&gt;0")</f>
        <v>0</v>
      </c>
      <c r="IJ123" s="6">
        <f>COUNTIFS(Table53[Country],Tabela1[[#This Row],[Country]],Table53[50m Rifle 3 Positions Classification],"&gt;0")</f>
        <v>0</v>
      </c>
      <c r="IK123" s="6">
        <f>COUNTIFS(Table19[Country],Tabela1[[#This Row],[Country]],Table19[50m Rifle 3 Positions Classification],"&gt;0")</f>
        <v>0</v>
      </c>
      <c r="IL123" s="6">
        <f>COUNTIFS(Table53[Country],Tabela1[[#This Row],[Country]],Table53[Skeet Classification],"&gt;0")</f>
        <v>0</v>
      </c>
      <c r="IM123" s="6">
        <f>COUNTIFS(Table19[Country],Tabela1[[#This Row],[Country]],Table19[Skeet Classification],"&gt;0")</f>
        <v>0</v>
      </c>
      <c r="IN123" s="6">
        <f>COUNTIFS(Table54[Country],Tabela1[[#This Row],[Country]],Table54[Mixed Skeet Team Classification],"&gt;0")</f>
        <v>0</v>
      </c>
      <c r="IO123" s="6">
        <f>COUNTIFS(Table53[Country],Tabela1[[#This Row],[Country]],Table53[Trap Classification],"&gt;0")</f>
        <v>0</v>
      </c>
      <c r="IP123" s="6">
        <f>COUNTIFS(Table19[Country],Tabela1[[#This Row],[Country]],Table19[Trap Classification],"&gt;0")</f>
        <v>0</v>
      </c>
      <c r="IQ123" s="6">
        <f>COUNTIFS(Table73[Country],Tabela1[[#This Row],[Country]],Table73[Park Classification],"&gt;0")</f>
        <v>0</v>
      </c>
      <c r="IR123" s="6">
        <f>COUNTIFS(Table74[Country],Tabela1[[#This Row],[Country]],Table74[Park Classification],"&gt;0")</f>
        <v>0</v>
      </c>
      <c r="IS123" s="6">
        <f>COUNTIFS(Table73[Country],Tabela1[[#This Row],[Country]],Table73[Street Classification],"&gt;0")</f>
        <v>0</v>
      </c>
      <c r="IT123" s="6">
        <f>COUNTIFS(Table74[Country],Tabela1[[#This Row],[Country]],Table74[Street Classification],"&gt;0")</f>
        <v>0</v>
      </c>
      <c r="IU123" s="6">
        <f>COUNTIFS(Table75[Country],Tabela1[[#This Row],[Country]],Table75[Boulder and Lead Classification],"&gt;0")</f>
        <v>0</v>
      </c>
      <c r="IV123" s="6">
        <f>COUNTIFS(Table76[Country],Tabela1[[#This Row],[Country]],Table76[Boulder and Lead Classification],"&gt;0")</f>
        <v>0</v>
      </c>
      <c r="IW123" s="6">
        <f>COUNTIFS(Table75[Country],Tabela1[[#This Row],[Country]],Table75[Speed Classification],"&gt;0")</f>
        <v>0</v>
      </c>
      <c r="IX123" s="6">
        <f>COUNTIFS(Table76[Country],Tabela1[[#This Row],[Country]],Table76[Speed Classification],"&gt;0")</f>
        <v>0</v>
      </c>
      <c r="IY123" s="6">
        <f>COUNTIFS(Table64[Country],Tabela1[[#This Row],[Country]],Table64[Shortboard Classification],"&gt;0")</f>
        <v>0</v>
      </c>
      <c r="IZ123" s="6">
        <f>COUNTIFS(Table77[Country],Tabela1[[#This Row],[Country]],Table77[Shortboard Classification],"&gt;0")</f>
        <v>0</v>
      </c>
      <c r="JA123" s="6">
        <f>COUNTIFS(Table20[Country],Tabela1[[#This Row],[Country]],Table20[50m Freestyle Classification],"&gt;0")</f>
        <v>0</v>
      </c>
      <c r="JB123" s="6">
        <f>COUNTIFS(Table21[Country],Tabela1[[#This Row],[Country]],Table21[50m Freestyle Classification],"&gt;0")</f>
        <v>0</v>
      </c>
      <c r="JC123" s="6">
        <f>COUNTIFS(Table20[Country],Tabela1[[#This Row],[Country]],Table20[100m Freestyle Classification],"&gt;0")</f>
        <v>1</v>
      </c>
      <c r="JD123" s="6">
        <f>COUNTIFS(Table21[Country],Tabela1[[#This Row],[Country]],Table21[100m Freestyle Classification],"&gt;0")</f>
        <v>0</v>
      </c>
      <c r="JE123" s="6">
        <f>COUNTIFS(Table20[Country],Tabela1[[#This Row],[Country]],Table20[200m Freestyle Classification],"&gt;0")</f>
        <v>0</v>
      </c>
      <c r="JF123" s="6">
        <f>COUNTIFS(Table21[Country],Tabela1[[#This Row],[Country]],Table21[200m Freestyle Classification],"&gt;0")</f>
        <v>0</v>
      </c>
      <c r="JG123" s="6">
        <f>COUNTIFS(Table20[Country],Tabela1[[#This Row],[Country]],Table20[400m Freestyle Classification],"&gt;0")</f>
        <v>0</v>
      </c>
      <c r="JH123" s="6">
        <f>COUNTIFS(Table21[Country],Tabela1[[#This Row],[Country]],Table21[400m Freestyle Classification],"&gt;0")</f>
        <v>0</v>
      </c>
      <c r="JI123" s="6">
        <f>COUNTIFS(Table20[Country],Tabela1[[#This Row],[Country]],Table20[800m Freestyle Classification],"&gt;0")</f>
        <v>0</v>
      </c>
      <c r="JJ123" s="6">
        <f>COUNTIFS(Table21[Country],Tabela1[[#This Row],[Country]],Table21[800m Freestyle Classification],"&gt;0")</f>
        <v>0</v>
      </c>
      <c r="JK123" s="6">
        <f>COUNTIFS(Table20[Country],Tabela1[[#This Row],[Country]],Table20[1500m Freestyle Classification],"&gt;0")</f>
        <v>0</v>
      </c>
      <c r="JL123" s="6">
        <f>COUNTIFS(Table21[Country],Tabela1[[#This Row],[Country]],Table21[1500m Freestyle Classification],"&gt;0")</f>
        <v>0</v>
      </c>
      <c r="JM123" s="6">
        <f>COUNTIFS(Table20[Country],Tabela1[[#This Row],[Country]],Table20[100m Backstroke Classification],"&gt;0")</f>
        <v>0</v>
      </c>
      <c r="JN123" s="6">
        <f>COUNTIFS(Table21[Country],Tabela1[[#This Row],[Country]],Table21[100m Backstroke Classification],"&gt;0")</f>
        <v>0</v>
      </c>
      <c r="JO123" s="6">
        <f>COUNTIFS(Table20[Country],Tabela1[[#This Row],[Country]],Table20[200m Backstroke Classification],"&gt;0")</f>
        <v>0</v>
      </c>
      <c r="JP123" s="6">
        <f>COUNTIFS(Table21[Country],Tabela1[[#This Row],[Country]],Table21[200m Backstroke Classification],"&gt;0")</f>
        <v>0</v>
      </c>
      <c r="JQ123" s="6">
        <f>COUNTIFS(Table20[Country],Tabela1[[#This Row],[Country]],Table20[100m Breaststroke Classification],"&gt;0")</f>
        <v>0</v>
      </c>
      <c r="JR123" s="6">
        <f>COUNTIFS(Table21[Country],Tabela1[[#This Row],[Country]],Table21[100m Breaststroke Classification],"&gt;0")</f>
        <v>0</v>
      </c>
      <c r="JS123" s="6">
        <f>COUNTIFS(Table20[Country],Tabela1[[#This Row],[Country]],Table20[200m Breaststroke Classification],"&gt;0")</f>
        <v>0</v>
      </c>
      <c r="JT123" s="6">
        <f>COUNTIFS(Table21[Country],Tabela1[[#This Row],[Country]],Table21[200m Breaststroke Classification],"&gt;0")</f>
        <v>0</v>
      </c>
      <c r="JU123" s="6">
        <f>COUNTIFS(Table20[Country],Tabela1[[#This Row],[Country]],Table20[100m Butterfly Classification],"&gt;0")</f>
        <v>0</v>
      </c>
      <c r="JV123" s="6">
        <f>COUNTIFS(Table21[Country],Tabela1[[#This Row],[Country]],Table21[100m Butterfly Classification],"&gt;0")</f>
        <v>0</v>
      </c>
      <c r="JW123" s="6">
        <f>COUNTIFS(Table20[Country],Tabela1[[#This Row],[Country]],Table20[200m Butterfly Classification],"&gt;0")</f>
        <v>0</v>
      </c>
      <c r="JX123" s="6">
        <f>COUNTIFS(Table21[Country],Tabela1[[#This Row],[Country]],Table21[200m Butterfly Classification],"&gt;0")</f>
        <v>0</v>
      </c>
      <c r="JY123" s="6">
        <f>COUNTIFS(Table20[Country],Tabela1[[#This Row],[Country]],Table20[200m Medley Classification],"&gt;0")</f>
        <v>0</v>
      </c>
      <c r="JZ123" s="6">
        <f>COUNTIFS(Table21[Country],Tabela1[[#This Row],[Country]],Table21[200m Medley Classification],"&gt;0")</f>
        <v>0</v>
      </c>
      <c r="KA123" s="6">
        <f>COUNTIFS(Table20[Country],Tabela1[[#This Row],[Country]],Table20[400m Medley Classification],"&gt;0")</f>
        <v>0</v>
      </c>
      <c r="KB123" s="6">
        <f>COUNTIFS(Table21[Country],Tabela1[[#This Row],[Country]],Table21[400m Medley Classification],"&gt;0")</f>
        <v>0</v>
      </c>
      <c r="KC123" s="6">
        <f>COUNTIFS(Table78[Country],Tabela1[[#This Row],[Country]],Table78[Men''s 4x100m Freestyle Relay Classification],"&gt;0")</f>
        <v>0</v>
      </c>
      <c r="KD123" s="6">
        <f>COUNTIFS(Table78[Country],Tabela1[[#This Row],[Country]],Table78[Women''s 4x100m Freestyle Relay Classification],"&gt;0")</f>
        <v>0</v>
      </c>
      <c r="KE123" s="6">
        <f>COUNTIFS(Table78[Country],Tabela1[[#This Row],[Country]],Table78[Men''s 4x200m Freestyle Relay Classification],"&gt;0")</f>
        <v>0</v>
      </c>
      <c r="KF123" s="6">
        <f>COUNTIFS(Table78[Country],Tabela1[[#This Row],[Country]],Table78[Women''s 4x200m Freestyle Relay Classification],"&gt;0")</f>
        <v>0</v>
      </c>
      <c r="KG123" s="6">
        <f>COUNTIFS(Table78[Country],Tabela1[[#This Row],[Country]],Table78[Men''s 4x100m Medley Relay Classification],"&gt;0")</f>
        <v>0</v>
      </c>
      <c r="KH123" s="6">
        <f>COUNTIFS(Table78[Country],Tabela1[[#This Row],[Country]],Table78[Women''s 4x100m Medley Relay Classification],"&gt;0")</f>
        <v>0</v>
      </c>
      <c r="KI123" s="6">
        <f>COUNTIFS(Table78[Country],Tabela1[[#This Row],[Country]],Table78[Mixed 4x100m Medley Relay Classification],"&gt;0")</f>
        <v>0</v>
      </c>
      <c r="KJ123" s="6">
        <f>COUNTIFS(Table20[Country],Tabela1[[#This Row],[Country]],Table20[10km Open Water Classification],"&gt;0")</f>
        <v>0</v>
      </c>
      <c r="KK123" s="6">
        <f>COUNTIFS(Table21[Country],Tabela1[[#This Row],[Country]],Table21[10km Open Water Classification],"&gt;0")</f>
        <v>0</v>
      </c>
      <c r="KL123" s="6">
        <f>COUNTIFS(Table22[Country],Tabela1[[#This Row],[Country]],Table22[Classification],"&gt;0")</f>
        <v>0</v>
      </c>
      <c r="KM123" s="6">
        <f>COUNTIFS(Table30[Country],Tabela1[[#This Row],[Country]],Table30[Classification],"&gt;0")</f>
        <v>0</v>
      </c>
      <c r="KN123" s="6">
        <f>COUNTIFS(Table55[Country],Tabela1[[#This Row],[Country]],Table55[Men''s Classification],"&gt;0")</f>
        <v>0</v>
      </c>
      <c r="KO123" s="6">
        <f>COUNTIFS(Table55[Country],Tabela1[[#This Row],[Country]],Table55[Women''s Classification],"&gt;0")</f>
        <v>0</v>
      </c>
      <c r="KP123" s="6">
        <f>COUNTIFS(Table56[Country],Tabela1[[#This Row],[Country]],Table56[Mixed Classification],"&gt;0")</f>
        <v>0</v>
      </c>
      <c r="KQ123" s="6">
        <f>COUNTIFS(Table29[Country],Tabela1[[#This Row],[Country]],Table29[58kg Classification],"&gt;0")</f>
        <v>0</v>
      </c>
      <c r="KR123" s="6">
        <f>COUNTIFS(Table29[Country],Tabela1[[#This Row],[Country]],Table29[68kg Classification],"&gt;0")</f>
        <v>0</v>
      </c>
      <c r="KS123" s="6">
        <f>COUNTIFS(Table29[Country],Tabela1[[#This Row],[Country]],Table29[80kg Classification],"&gt;0")</f>
        <v>0</v>
      </c>
      <c r="KT123" s="6">
        <f>COUNTIFS(Table29[Country],Tabela1[[#This Row],[Country]],Table29[Plus 80kg Classification],"&gt;0")</f>
        <v>0</v>
      </c>
      <c r="KU123" s="6">
        <f>COUNTIFS(Table34[Country],Tabela1[[#This Row],[Country]],Table34[49kg Classification],"&gt;0")</f>
        <v>0</v>
      </c>
      <c r="KV123" s="6">
        <f>COUNTIFS(Table34[Country],Tabela1[[#This Row],[Country]],Table34[57kg Classification],"&gt;0")</f>
        <v>0</v>
      </c>
      <c r="KW123" s="6">
        <f>COUNTIFS(Table34[Country],Tabela1[[#This Row],[Country]],Table34[67kg Classification],"&gt;0")</f>
        <v>0</v>
      </c>
      <c r="KX123" s="6">
        <f>COUNTIFS(Table34[Country],Tabela1[[#This Row],[Country]],Table34[Plus 67kg Classification],"&gt;0")</f>
        <v>0</v>
      </c>
      <c r="KY123" s="6">
        <f>COUNTIFS(Table57[Country],Tabela1[[#This Row],[Country]],Table57[Classification],"&gt;0")</f>
        <v>0</v>
      </c>
      <c r="KZ123" s="6">
        <f>COUNTIFS(Table58[Country],Tabela1[[#This Row],[Country]],Table58[Classification],"&gt;0")</f>
        <v>0</v>
      </c>
      <c r="LA123" s="6">
        <f>COUNTIFS(Table79[Country],Tabela1[[#This Row],[Country]],Table79[Men''s Classification],"&gt;0")</f>
        <v>0</v>
      </c>
      <c r="LB123" s="6">
        <f>COUNTIFS(Table79[Country],Tabela1[[#This Row],[Country]],Table79[Women''s Classification],"&gt;0")</f>
        <v>0</v>
      </c>
      <c r="LC123" s="6">
        <f>COUNTIFS(Table79[Country],Tabela1[[#This Row],[Country]],Table79[Mixed Classification],"&gt;0")</f>
        <v>0</v>
      </c>
      <c r="LD123" s="6">
        <f>COUNTIFS(Table65[Country],Tabela1[[#This Row],[Country]],Table65[Classification],"&gt;0")</f>
        <v>0</v>
      </c>
      <c r="LE123" s="6">
        <f>COUNTIFS(Table59[Country],Tabela1[[#This Row],[Country]],Table59[Classification],"&gt;0")</f>
        <v>0</v>
      </c>
      <c r="LF123" s="6">
        <f>COUNTIFS(Table87[Country],Tabela1[[#This Row],[Country]],Table87[Mixed Relay Classification],"&gt;0")</f>
        <v>0</v>
      </c>
      <c r="LG123" s="6">
        <f>COUNTIFS(Table91949698100[Country],Tabela1[[#This Row],[Country]],Table91949698100[Men''s Classification],"&gt;0")</f>
        <v>0</v>
      </c>
      <c r="LH123" s="6">
        <f>COUNTIFS(Table91949698100[Country],Tabela1[[#This Row],[Country]],Table91949698100[Women''s Classification],"&gt;0")</f>
        <v>0</v>
      </c>
      <c r="LI123" s="6">
        <f>COUNTIFS(Table91949698100102[Country],Tabela1[[#This Row],[Country]],Table91949698100102[Men''s Classification],"&gt;0")</f>
        <v>0</v>
      </c>
      <c r="LJ123" s="6">
        <f>COUNTIFS(Table91949698100102[Country],Tabela1[[#This Row],[Country]],Table91949698100102[Women''s Classification],"&gt;0")</f>
        <v>0</v>
      </c>
      <c r="LK123" s="6">
        <f>COUNTIFS(Table23[Country],Tabela1[[#This Row],[Country]],Table23[61kg Classification],"&gt;0")</f>
        <v>0</v>
      </c>
      <c r="LL123" s="6">
        <f>COUNTIFS(Table23[Country],Tabela1[[#This Row],[Country]],Table23[73kg Classification],"&gt;0")</f>
        <v>0</v>
      </c>
      <c r="LM123" s="6">
        <f>COUNTIFS(Table23[Country],Tabela1[[#This Row],[Country]],Table23[89kg Classification],"&gt;0")</f>
        <v>0</v>
      </c>
      <c r="LN123" s="6">
        <f>COUNTIFS(Table23[Country],Tabela1[[#This Row],[Country]],Table23[102kg Classification],"&gt;0")</f>
        <v>0</v>
      </c>
      <c r="LO123" s="6">
        <f>COUNTIFS(Table23[Country],Tabela1[[#This Row],[Country]],Table23[Plus 102kg Classification],"&gt;0")</f>
        <v>0</v>
      </c>
      <c r="LP123" s="6">
        <f>COUNTIFS(Table28[Country],Tabela1[[#This Row],[Country]],Table28[49kg Classification],"&gt;0")</f>
        <v>0</v>
      </c>
      <c r="LQ123" s="6">
        <f>COUNTIFS(Table28[Country],Tabela1[[#This Row],[Country]],Table28[59kg Classification],"&gt;0")</f>
        <v>0</v>
      </c>
      <c r="LR123" s="6">
        <f>COUNTIFS(Table28[Country],Tabela1[[#This Row],[Country]],Table28[71kg Classification],"&gt;0")</f>
        <v>0</v>
      </c>
      <c r="LS123" s="6">
        <f>COUNTIFS(Table28[Country],Tabela1[[#This Row],[Country]],Table28[81kg Classification],"&gt;0")</f>
        <v>0</v>
      </c>
      <c r="LT123" s="6">
        <f>COUNTIFS(Table28[Country],Tabela1[[#This Row],[Country]],Table28[Plus 81kg Classification],"&gt;0")</f>
        <v>0</v>
      </c>
      <c r="LU123" s="6">
        <f>COUNTIFS(Table24[Country],Tabela1[[#This Row],[Country]],Table24[Freestyle 57kg Classification],"&gt;0")</f>
        <v>0</v>
      </c>
      <c r="LV123" s="6">
        <f>COUNTIFS(Table24[Country],Tabela1[[#This Row],[Country]],Table24[Freestyle 65kg Classification],"&gt;0")</f>
        <v>0</v>
      </c>
      <c r="LW123" s="6">
        <f>COUNTIFS(Table24[Country],Tabela1[[#This Row],[Country]],Table24[Freestyle 74kg Classification],"&gt;0")</f>
        <v>0</v>
      </c>
      <c r="LX123" s="6">
        <f>COUNTIFS(Table24[Country],Tabela1[[#This Row],[Country]],Table24[Freestyle 86kg Classification],"&gt;0")</f>
        <v>0</v>
      </c>
      <c r="LY123" s="6">
        <f>COUNTIFS(Table24[Country],Tabela1[[#This Row],[Country]],Table24[Freestyle 97kg Classification],"&gt;0")</f>
        <v>0</v>
      </c>
      <c r="LZ123" s="6">
        <f>COUNTIFS(Table24[Country],Tabela1[[#This Row],[Country]],Table24[Freestyle 125kg Classification],"&gt;0")</f>
        <v>0</v>
      </c>
      <c r="MA123" s="6">
        <f>COUNTIFS(Table24[Country],Tabela1[[#This Row],[Country]],Table24[Greco-Roman 60kg Classification],"&gt;0")</f>
        <v>0</v>
      </c>
      <c r="MB123" s="6">
        <f>COUNTIFS(Table24[Country],Tabela1[[#This Row],[Country]],Table24[Greco-Roman 67kg Classification],"&gt;0")</f>
        <v>0</v>
      </c>
      <c r="MC123" s="6">
        <f>COUNTIFS(Table24[Country],Tabela1[[#This Row],[Country]],Table24[Greco-Roman 77kg Classification],"&gt;0")</f>
        <v>0</v>
      </c>
      <c r="MD123" s="6">
        <f>COUNTIFS(Table24[Country],Tabela1[[#This Row],[Country]],Table24[Greco-Roman 87kg Classification],"&gt;0")</f>
        <v>0</v>
      </c>
      <c r="ME123" s="6">
        <f>COUNTIFS(Table24[Country],Tabela1[[#This Row],[Country]],Table24[Greco-Roman 97kg Classification],"&gt;0")</f>
        <v>0</v>
      </c>
      <c r="MF123" s="6">
        <f>COUNTIFS(Table24[Country],Tabela1[[#This Row],[Country]],Table24[Greco-Roman 130kg Classification],"&gt;0")</f>
        <v>0</v>
      </c>
      <c r="MG123" s="6">
        <f>COUNTIFS(Table31[Country],Tabela1[[#This Row],[Country]],Table31[50kg Classification],"&gt;0")</f>
        <v>0</v>
      </c>
      <c r="MH123" s="6">
        <f>COUNTIFS(Table31[Country],Tabela1[[#This Row],[Country]],Table31[53kg Classification],"&gt;0")</f>
        <v>0</v>
      </c>
      <c r="MI123" s="6">
        <f>COUNTIFS(Table31[Country],Tabela1[[#This Row],[Country]],Table31[57kg Classification],"&gt;0")</f>
        <v>0</v>
      </c>
      <c r="MJ123" s="6">
        <f>COUNTIFS(Table31[Country],Tabela1[[#This Row],[Country]],Table31[62kg Classification],"&gt;0")</f>
        <v>0</v>
      </c>
      <c r="MK123" s="6">
        <f>COUNTIFS(Table31[Country],Tabela1[[#This Row],[Country]],Table31[68kg Classification],"&gt;0")</f>
        <v>0</v>
      </c>
      <c r="ML123" s="6">
        <f>COUNTIFS(Table31[Country],Tabela1[[#This Row],[Country]],Table31[76kg Classification],"&gt;0")</f>
        <v>0</v>
      </c>
      <c r="MM123" s="6">
        <f>COUNTIFS(Table102[Country],Tabela1[[#This Row],[Country]],Table102[Downhill Classification],"&gt;0")</f>
        <v>0</v>
      </c>
      <c r="MN123" s="6">
        <f>COUNTIFS(Table102105[Country],Tabela1[[#This Row],[Country]],Table102105[Downhill Classification],"&gt;0")</f>
        <v>0</v>
      </c>
      <c r="MO123" s="6">
        <f>COUNTIFS(Table102[Country],Tabela1[[#This Row],[Country]],Table102[Giant Slalom Classification],"&gt;0")</f>
        <v>0</v>
      </c>
      <c r="MP123" s="6">
        <f>COUNTIFS(Table102105[Country],Tabela1[[#This Row],[Country]],Table102105[Giant Slalom Classification],"&gt;0")</f>
        <v>0</v>
      </c>
      <c r="MQ123" s="6">
        <f>COUNTIFS(Table102[Country],Tabela1[[#This Row],[Country]],Table102[Slalom Classification],"&gt;0")</f>
        <v>0</v>
      </c>
      <c r="MR123" s="6">
        <f>COUNTIFS(Table102105[Country],Tabela1[[#This Row],[Country]],Table102105[Slalom Classification],"&gt;0")</f>
        <v>0</v>
      </c>
      <c r="MS123" s="6">
        <f>COUNTIFS(Table102[Country],Tabela1[[#This Row],[Country]],Table102[Super-G Classification],"&gt;0")</f>
        <v>0</v>
      </c>
      <c r="MT123" s="6">
        <f>COUNTIFS(Table102105[Country],Tabela1[[#This Row],[Country]],Table102105[Super-G Classification],"&gt;0")</f>
        <v>0</v>
      </c>
      <c r="MU123" s="6">
        <f>COUNTIFS(Table105[Country],Tabela1[[#This Row],[Country]],Table105[Men''s Combined Classification],"&gt;0")</f>
        <v>0</v>
      </c>
      <c r="MV123" s="6">
        <f>COUNTIFS(Table105[Country],Tabela1[[#This Row],[Country]],Table105[Women''s Combined Classification],"&gt;0")</f>
        <v>0</v>
      </c>
      <c r="MW123" s="6">
        <f>COUNTIFS(Table106[Country],Tabela1[[#This Row],[Country]],Table106[Individual Classification],"&gt;0")</f>
        <v>0</v>
      </c>
      <c r="MX123" s="6">
        <f>COUNTIFS(Table106109[Country],Tabela1[[#This Row],[Country]],Table106109[Individual Classification],"&gt;0")</f>
        <v>0</v>
      </c>
      <c r="MY123" s="6">
        <f>COUNTIFS(Table106[Country],Tabela1[[#This Row],[Country]],Table106[Mass Start Classification],"&gt;0")</f>
        <v>0</v>
      </c>
      <c r="MZ123" s="6">
        <f>COUNTIFS(Table106109[Country],Tabela1[[#This Row],[Country]],Table106109[Mass Start Classification],"&gt;0")</f>
        <v>0</v>
      </c>
      <c r="NA123" s="6">
        <f>COUNTIFS(Table106[Country],Tabela1[[#This Row],[Country]],Table106[Pursuit Classification],"&gt;0")</f>
        <v>0</v>
      </c>
      <c r="NB123" s="6">
        <f>COUNTIFS(Table106109[Country],Tabela1[[#This Row],[Country]],Table106109[Pursuit Classification],"&gt;0")</f>
        <v>0</v>
      </c>
      <c r="NC123" s="6">
        <f>COUNTIFS(Table106[Country],Tabela1[[#This Row],[Country]],Table106[Sprint Classification],"&gt;0")</f>
        <v>0</v>
      </c>
      <c r="ND123" s="6">
        <f>COUNTIFS(Table106109[Country],Tabela1[[#This Row],[Country]],Table106109[Sprint Classification],"&gt;0")</f>
        <v>0</v>
      </c>
      <c r="NE123" s="6">
        <f>COUNTIFS(Table109[Country],Tabela1[[#This Row],[Country]],Table109[Men''s Relay Classification],"&gt;0")</f>
        <v>0</v>
      </c>
      <c r="NF123" s="6">
        <f>COUNTIFS(Table109[Country],Tabela1[[#This Row],[Country]],Table109[Women''s Relay Classification],"&gt;0")</f>
        <v>0</v>
      </c>
      <c r="NG123" s="6">
        <f>COUNTIFS(Table109[Country],Tabela1[[#This Row],[Country]],Table109[Mixed Relay Classification],"&gt;0")</f>
        <v>0</v>
      </c>
      <c r="NH123" s="6">
        <f>COUNTIFS(Table110[Country],Tabela1[[#This Row],[Country]],Table110[Monobob Classification],"&gt;0")</f>
        <v>0</v>
      </c>
      <c r="NI123" s="6">
        <f>COUNTIFS(Table111[Country],Tabela1[[#This Row],[Country]],Table111[Men''s Classification],"&gt;0")</f>
        <v>0</v>
      </c>
      <c r="NJ123" s="6">
        <f>COUNTIFS(Table111[Country],Tabela1[[#This Row],[Country]],Table111[Women''s Classification],"&gt;0")</f>
        <v>0</v>
      </c>
      <c r="NK123" s="6">
        <f>COUNTIFS(Table112[Country],Tabela1[[#This Row],[Country]],Table112[Men''s Four Classification],"&gt;0")</f>
        <v>0</v>
      </c>
      <c r="NL123" s="6">
        <f>COUNTIFS(Table113[Country],Tabela1[[#This Row],[Country]],Table113[Classical Classification],"&gt;0")</f>
        <v>0</v>
      </c>
      <c r="NM123" s="6">
        <f>COUNTIFS(Table113116[Country],Tabela1[[#This Row],[Country]],Table113116[Classical Classification],"&gt;0")</f>
        <v>0</v>
      </c>
      <c r="NN123" s="6">
        <f>COUNTIFS(Table113[Country],Tabela1[[#This Row],[Country]],Table113[Freestyle Classification],"&gt;0")</f>
        <v>0</v>
      </c>
      <c r="NO123" s="6">
        <f>COUNTIFS(Table113116[Country],Tabela1[[#This Row],[Country]],Table113116[Freestyle Classification],"&gt;0")</f>
        <v>0</v>
      </c>
      <c r="NP123" s="6">
        <f>COUNTIFS(Table117[Country],Tabela1[[#This Row],[Country]],Table117[Men''s Relay Classification],"&gt;0")</f>
        <v>0</v>
      </c>
      <c r="NQ123" s="6">
        <f>COUNTIFS(Table117[Country],Tabela1[[#This Row],[Country]],Table117[Women''s Relay Classification],"&gt;0")</f>
        <v>0</v>
      </c>
      <c r="NR123" s="6">
        <f>COUNTIFS(Table113[Country],Tabela1[[#This Row],[Country]],Table113[Skiathlon Classification],"&gt;0")</f>
        <v>0</v>
      </c>
      <c r="NS123" s="6">
        <f>COUNTIFS(Table113116[Country],Tabela1[[#This Row],[Country]],Table113116[Skiathlon Classification],"&gt;0")</f>
        <v>0</v>
      </c>
      <c r="NT123" s="6">
        <f>COUNTIFS(Table113[Country],Tabela1[[#This Row],[Country]],Table113[Sprint Classification],"&gt;0")</f>
        <v>0</v>
      </c>
      <c r="NU123" s="6">
        <f>COUNTIFS(Table113116[Country],Tabela1[[#This Row],[Country]],Table113116[Sprint Classification],"&gt;0")</f>
        <v>0</v>
      </c>
      <c r="NV123" s="6">
        <f>COUNTIFS(Table116[Country],Tabela1[[#This Row],[Country]],Table116[Men''s Team Sprint Classification],"&gt;0")</f>
        <v>0</v>
      </c>
      <c r="NW123" s="6">
        <f>COUNTIFS(Table116[Country],Tabela1[[#This Row],[Country]],Table116[Women''s Team Sprint Classification],"&gt;0")</f>
        <v>0</v>
      </c>
      <c r="NX123" s="6">
        <f>COUNTIFS(Table119[Country],Tabela1[[#This Row],[Country]],Table119[Men''s Classification],"&gt;0")</f>
        <v>0</v>
      </c>
      <c r="NY123" s="6">
        <f>COUNTIFS(Table119[Country],Tabela1[[#This Row],[Country]],Table119[Women''s Classification],"&gt;0")</f>
        <v>0</v>
      </c>
      <c r="NZ123" s="6">
        <f>COUNTIFS(Table118[Country],Tabela1[[#This Row],[Country]],Table118[Mixed Classification],"&gt;0")</f>
        <v>0</v>
      </c>
      <c r="OA123" s="6">
        <f>COUNTIFS(Table120[Country],Tabela1[[#This Row],[Country]],Table120[Classification],"&gt;0")</f>
        <v>0</v>
      </c>
      <c r="OB123" s="6">
        <f>COUNTIFS(Table120123[Country],Tabela1[[#This Row],[Country]],Table120123[Classification],"&gt;0")</f>
        <v>0</v>
      </c>
      <c r="OC123" s="6">
        <f>COUNTIFS(Table123[Country],Tabela1[[#This Row],[Country]],Table123[Ice Dance Classification],"&gt;0")</f>
        <v>0</v>
      </c>
      <c r="OD123" s="6">
        <f>COUNTIFS(Table123[Country],Tabela1[[#This Row],[Country]],Table123[Pair Skating Classification],"&gt;0")</f>
        <v>0</v>
      </c>
      <c r="OE123" s="6">
        <f>COUNTIFS(Table124[Country],Tabela1[[#This Row],[Country]],Table124[Mixed Classification],"&gt;0")</f>
        <v>0</v>
      </c>
      <c r="OF123" s="6">
        <f>COUNTIFS(Table125[Country],Tabela1[[#This Row],[Country]],Table125[Aerials Classification],"&gt;0")</f>
        <v>0</v>
      </c>
      <c r="OG123" s="6">
        <f>COUNTIFS(Table125128[Country],Tabela1[[#This Row],[Country]],Table125128[Aerials Classification],"&gt;0")</f>
        <v>0</v>
      </c>
      <c r="OH123" s="6">
        <f>COUNTIFS(Table128[Country],Tabela1[[#This Row],[Country]],Table128[Mixed Aerials Classification],"&gt;0")</f>
        <v>0</v>
      </c>
      <c r="OI123" s="6">
        <f>COUNTIFS(Table125[Country],Tabela1[[#This Row],[Country]],Table125[Big Air Classification],"&gt;0")</f>
        <v>0</v>
      </c>
      <c r="OJ123" s="6">
        <f>COUNTIFS(Table125128[Country],Tabela1[[#This Row],[Country]],Table125128[Big Air Classification],"&gt;0")</f>
        <v>0</v>
      </c>
      <c r="OK123" s="6">
        <f>COUNTIFS(Table125[Country],Tabela1[[#This Row],[Country]],Table125[Dual Moguls Classification],"&gt;0")</f>
        <v>0</v>
      </c>
      <c r="OL123" s="6">
        <f>COUNTIFS(Table125128[Country],Tabela1[[#This Row],[Country]],Table125128[Dual Moguls Classification],"&gt;0")</f>
        <v>0</v>
      </c>
      <c r="OM123" s="6">
        <f>COUNTIFS(Table125[Country],Tabela1[[#This Row],[Country]],Table125[Halfpipe Classification],"&gt;0")</f>
        <v>0</v>
      </c>
      <c r="ON123" s="6">
        <f>COUNTIFS(Table125128[Country],Tabela1[[#This Row],[Country]],Table125128[Halfpipe Classification],"&gt;0")</f>
        <v>0</v>
      </c>
      <c r="OO123" s="6">
        <f>COUNTIFS(Table125[Country],Tabela1[[#This Row],[Country]],Table125[Moguls Classification],"&gt;0")</f>
        <v>0</v>
      </c>
      <c r="OP123" s="6">
        <f>COUNTIFS(Table125128[Country],Tabela1[[#This Row],[Country]],Table125128[Moguls Classification],"&gt;0")</f>
        <v>0</v>
      </c>
      <c r="OQ123" s="6">
        <f>COUNTIFS(Table125[Country],Tabela1[[#This Row],[Country]],Table125[Ski Cross Classification],"&gt;0")</f>
        <v>0</v>
      </c>
      <c r="OR123" s="6">
        <f>COUNTIFS(Table125128[Country],Tabela1[[#This Row],[Country]],Table125128[Ski Cross Classification],"&gt;0")</f>
        <v>0</v>
      </c>
      <c r="OS123" s="6">
        <f>COUNTIFS(Table125[Country],Tabela1[[#This Row],[Country]],Table125[Slopestyle Classification],"&gt;0")</f>
        <v>0</v>
      </c>
      <c r="OT123" s="6">
        <f>COUNTIFS(Table125128[Country],Tabela1[[#This Row],[Country]],Table125128[Slopestyle Classification],"&gt;0")</f>
        <v>0</v>
      </c>
      <c r="OU123" s="6">
        <f>COUNTIFS(Table119131[Country],Tabela1[[#This Row],[Country]],Table119131[Men''s Classification],"&gt;0")</f>
        <v>0</v>
      </c>
      <c r="OV123" s="6">
        <f>COUNTIFS(Table119131[Country],Tabela1[[#This Row],[Country]],Table119131[Women''s Classification],"&gt;0")</f>
        <v>0</v>
      </c>
      <c r="OW123" s="6">
        <f>COUNTIFS(Table131[Country],Tabela1[[#This Row],[Country]],Table131[Classification],"&gt;0")</f>
        <v>0</v>
      </c>
      <c r="OX123" s="6">
        <f>COUNTIFS(Table131134[Country],Tabela1[[#This Row],[Country]],Table131134[Classification],"&gt;0")</f>
        <v>0</v>
      </c>
      <c r="OY123" s="6">
        <f>COUNTIFS(Table134[Country],Tabela1[[#This Row],[Country]],Table134[Men''s Classification],"&gt;0")</f>
        <v>0</v>
      </c>
      <c r="OZ123" s="6">
        <f>COUNTIFS(Table134[Country],Tabela1[[#This Row],[Country]],Table134[Women''s Classification],"&gt;0")</f>
        <v>0</v>
      </c>
      <c r="PA123" s="6">
        <f>COUNTIFS(Table135[Country],Tabela1[[#This Row],[Country]],Table135[Mixed Relay Classification],"&gt;0")</f>
        <v>0</v>
      </c>
      <c r="PB123" s="6">
        <f>COUNTIFS(Table136[Country],Tabela1[[#This Row],[Country]],Table136[Individual Classification],"&gt;0")</f>
        <v>0</v>
      </c>
      <c r="PC123" s="6">
        <f>COUNTIFS(Table136[Country],Tabela1[[#This Row],[Country]],Table136[Sprint Classification],"&gt;0")</f>
        <v>0</v>
      </c>
      <c r="PD123" s="6">
        <f>COUNTIFS(Table137[Country],Tabela1[[#This Row],[Country]],Table137[Men''s Team Sprint Large Hill Classification],"&gt;0")</f>
        <v>0</v>
      </c>
      <c r="PE123" s="6">
        <f>COUNTIFS(Table138[Country],Tabela1[[#This Row],[Country]],Table138[500m Classification],"&gt;0")</f>
        <v>0</v>
      </c>
      <c r="PF123" s="6">
        <f>COUNTIFS(Table138141[Country],Tabela1[[#This Row],[Country]],Table138141[500m Classification],"&gt;0")</f>
        <v>0</v>
      </c>
      <c r="PG123" s="6">
        <f>COUNTIFS(Table138[Country],Tabela1[[#This Row],[Country]],Table138[1000m Classification],"&gt;0")</f>
        <v>0</v>
      </c>
      <c r="PH123" s="6">
        <f>COUNTIFS(Table138141[Country],Tabela1[[#This Row],[Country]],Table138141[1000m Classification],"&gt;0")</f>
        <v>0</v>
      </c>
      <c r="PI123" s="6">
        <f>COUNTIFS(Table138[Country],Tabela1[[#This Row],[Country]],Table138[1500m Classification],"&gt;0")</f>
        <v>0</v>
      </c>
      <c r="PJ123" s="6">
        <f>COUNTIFS(Table138141[Country],Tabela1[[#This Row],[Country]],Table138141[1500m Classification],"&gt;0")</f>
        <v>0</v>
      </c>
      <c r="PK123" s="6">
        <f>COUNTIFS(Table141[Country],Tabela1[[#This Row],[Country]],Table141[Men''s 5000m Relay Classification],"&gt;0")</f>
        <v>0</v>
      </c>
      <c r="PL123" s="6">
        <f>COUNTIFS(Table141[Country],Tabela1[[#This Row],[Country]],Table141[Women''s 3000m Relay Classification],"&gt;0")</f>
        <v>0</v>
      </c>
      <c r="PM123" s="6">
        <f>COUNTIFS(Table141[Country],Tabela1[[#This Row],[Country]],Table141[Mixed 2000m Relay Classification],"&gt;0")</f>
        <v>0</v>
      </c>
      <c r="PN123" s="6">
        <f>COUNTIFS(Table142[Country],Tabela1[[#This Row],[Country]],Table142[Classification],"&gt;0")</f>
        <v>0</v>
      </c>
      <c r="PO123" s="6">
        <f>COUNTIFS(Table142145[Country],Tabela1[[#This Row],[Country]],Table142145[Classification],"&gt;0")</f>
        <v>0</v>
      </c>
      <c r="PP123" s="6">
        <f>COUNTIFS(Tabela15[Country],Tabela1[[#This Row],[Country]],Tabela15[Mixed Team Classification],"&gt;0")</f>
        <v>0</v>
      </c>
      <c r="PQ123" s="6">
        <f>COUNTIFS(Table145[Country],Tabela1[[#This Row],[Country]],Table145[Large Hill Classification],"&gt;0")</f>
        <v>0</v>
      </c>
      <c r="PR123" s="6">
        <f>COUNTIFS(Table145[Country],Tabela1[[#This Row],[Country]],Table145[Normal Hill Classification],"&gt;0")</f>
        <v>0</v>
      </c>
      <c r="PS123" s="6">
        <f>COUNTIFS(Table145148[Country],Tabela1[[#This Row],[Country]],Table145148[Large Hill Classification],"&gt;0")</f>
        <v>0</v>
      </c>
      <c r="PT123" s="6">
        <f>COUNTIFS(Table145148[Country],Tabela1[[#This Row],[Country]],Table145148[Normal Hill Classification],"&gt;0")</f>
        <v>0</v>
      </c>
      <c r="PU123" s="6">
        <f>COUNTIFS(Table148[Country],Tabela1[[#This Row],[Country]],Table148[Men''s Super Team Classification],"&gt;0")</f>
        <v>0</v>
      </c>
      <c r="PV123" s="6">
        <f>COUNTIFS(Tabela114[Country],Tabela1[[#This Row],[Country]],Tabela114[Mixed Normal Hill Classification],"&gt;0")</f>
        <v>0</v>
      </c>
      <c r="PW123" s="6">
        <f>COUNTIFS(Tabela50[Country],Tabela1[[#This Row],[Country]],Tabela50[Sprint Classification],"&gt;0")</f>
        <v>0</v>
      </c>
      <c r="PX123" s="6">
        <f>COUNTIFS(Tabela50101[Country],Tabela1[[#This Row],[Country]],Tabela50101[Sprint Classification],"&gt;0")</f>
        <v>0</v>
      </c>
      <c r="PY123" s="6">
        <f>COUNTIFS(Tabela103[Country],Tabela1[[#This Row],[Country]],Tabela103[Mixed Relay Classification],"&gt;0")</f>
        <v>0</v>
      </c>
      <c r="PZ123" s="6">
        <f>COUNTIFS(Table149[Country],Tabela1[[#This Row],[Country]],Table149[Big Air Classification],"&gt;0")</f>
        <v>0</v>
      </c>
      <c r="QA123" s="6">
        <f>COUNTIFS(Table149152[Country],Tabela1[[#This Row],[Country]],Table149152[Big Air Classification],"&gt;0")</f>
        <v>0</v>
      </c>
      <c r="QB123" s="6">
        <f>COUNTIFS(Table149[Country],Tabela1[[#This Row],[Country]],Table149[Halfpipe Classification],"&gt;0")</f>
        <v>0</v>
      </c>
      <c r="QC123" s="6">
        <f>COUNTIFS(Table149152[Country],Tabela1[[#This Row],[Country]],Table149152[Halfpipe Classification],"&gt;0")</f>
        <v>0</v>
      </c>
      <c r="QD123" s="6">
        <f>COUNTIFS(Table149[Country],Tabela1[[#This Row],[Country]],Table149[Parallel Giant Slalom Classification],"&gt;0")</f>
        <v>0</v>
      </c>
      <c r="QE123" s="6">
        <f>COUNTIFS(Table149152[Country],Tabela1[[#This Row],[Country]],Table149152[Parallel Giant Slalom Classification],"&gt;0")</f>
        <v>0</v>
      </c>
      <c r="QF123" s="6">
        <f>COUNTIFS(Table149[Country],Tabela1[[#This Row],[Country]],Table149[Slopestyle Classification],"&gt;0")</f>
        <v>0</v>
      </c>
      <c r="QG123" s="6">
        <f>COUNTIFS(Table149152[Country],Tabela1[[#This Row],[Country]],Table149152[Slopestyle Classification],"&gt;0")</f>
        <v>0</v>
      </c>
      <c r="QH123" s="6">
        <f>COUNTIFS(Table149[Country],Tabela1[[#This Row],[Country]],Table149[Snowboard Cross Classification],"&gt;0")</f>
        <v>0</v>
      </c>
      <c r="QI123" s="6">
        <f>COUNTIFS(Table149152[Country],Tabela1[[#This Row],[Country]],Table149152[Snowboard Cross Classification],"&gt;0")</f>
        <v>0</v>
      </c>
      <c r="QJ123" s="6">
        <f>COUNTIFS(Table153[Country],Tabela1[[#This Row],[Country]],Table153[Mixed Team Snowboard Cross Classification],"&gt;0")</f>
        <v>0</v>
      </c>
      <c r="QK123" s="6">
        <f>COUNTIFS(Table154[Country],Tabela1[[#This Row],[Country]],Table154[500m Classification],"&gt;0")</f>
        <v>0</v>
      </c>
      <c r="QL123" s="6">
        <f>COUNTIFS(Table154157[Country],Tabela1[[#This Row],[Country]],Table154157[500m Classification],"&gt;0")</f>
        <v>0</v>
      </c>
      <c r="QM123" s="6">
        <f>COUNTIFS(Table154[Country],Tabela1[[#This Row],[Country]],Table154[1000m Classification],"&gt;0")</f>
        <v>0</v>
      </c>
      <c r="QN123" s="6">
        <f>COUNTIFS(Table154157[Country],Tabela1[[#This Row],[Country]],Table154157[1000m Classification],"&gt;0")</f>
        <v>0</v>
      </c>
      <c r="QO123" s="6">
        <f>COUNTIFS(Table154[Country],Tabela1[[#This Row],[Country]],Table154[1500m Classification],"&gt;0")</f>
        <v>0</v>
      </c>
      <c r="QP123" s="6">
        <f>COUNTIFS(Table154157[Country],Tabela1[[#This Row],[Country]],Table154157[1500m Classification],"&gt;0")</f>
        <v>0</v>
      </c>
      <c r="QQ123" s="6">
        <f>COUNTIFS(Table154157[Country],Tabela1[[#This Row],[Country]],Table154157[3000m Classification],"&gt;0")</f>
        <v>0</v>
      </c>
      <c r="QR123" s="6">
        <f>COUNTIFS(Table154[Country],Tabela1[[#This Row],[Country]],Table154[5000m Classification],"&gt;0")</f>
        <v>0</v>
      </c>
      <c r="QS123" s="6">
        <f>COUNTIFS(Table154157[Country],Tabela1[[#This Row],[Country]],Table154157[5000m Classification],"&gt;0")</f>
        <v>0</v>
      </c>
      <c r="QT123" s="6">
        <f>COUNTIFS(Table154[Country],Tabela1[[#This Row],[Country]],Table154[10000m Classification],"&gt;0")</f>
        <v>0</v>
      </c>
      <c r="QU123" s="6">
        <f>COUNTIFS(Table154[Country],Tabela1[[#This Row],[Country]],Table154[Mass Start Classification],"&gt;0")</f>
        <v>0</v>
      </c>
      <c r="QV123" s="6">
        <f>COUNTIFS(Table154157[Country],Tabela1[[#This Row],[Country]],Table154157[Mass Start Classification],"&gt;0")</f>
        <v>0</v>
      </c>
      <c r="QW123" s="6">
        <f>COUNTIFS(Table157[Country],Tabela1[[#This Row],[Country]],Table157[Men''s Pursuit Classification],"&gt;0")</f>
        <v>0</v>
      </c>
      <c r="QX123" s="6">
        <f>COUNTIFS(Table157[Country],Tabela1[[#This Row],[Country]],Table157[Women''s Pursuit Classification],"&gt;0")</f>
        <v>0</v>
      </c>
      <c r="QY123" s="4" t="s">
        <v>439</v>
      </c>
    </row>
    <row r="124" spans="1:467" x14ac:dyDescent="0.3">
      <c r="A124" s="6">
        <v>123</v>
      </c>
      <c r="B124" s="6" t="s">
        <v>716</v>
      </c>
      <c r="C124" t="e" vm="123">
        <f>IF(ISBLANK(Tabela1[[#This Row],[Image Link]]), "", _xlfn.IMAGE(Tabela1[[#This Row],[Image Link]],1,1))</f>
        <v>#VALUE!</v>
      </c>
      <c r="D124" s="6">
        <f>SUM(Tabela1[[#This Row],[Archery - Men''s Individual Recurve]:[Speed Skating - Women''s Team Pursuit]])</f>
        <v>2</v>
      </c>
      <c r="E124" s="6">
        <f>COUNTIF(Tabela1[[#This Row],[Archery - Men''s Individual Recurve]:[Speed Skating - Women''s Team Pursuit]],"&gt;0")</f>
        <v>2</v>
      </c>
      <c r="F124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24" s="6">
        <f>SUM(Tabela1[[#This Row],[Archery - Men''s Individual Recurve]:[Wrestling - Women''s Freestyle 76kg]])</f>
        <v>2</v>
      </c>
      <c r="H124" s="6">
        <f>SUM(Tabela1[[#This Row],[Alpine Skiing - Men''s Downhill]:[Speed Skating - Women''s Team Pursuit]])</f>
        <v>0</v>
      </c>
      <c r="I124" s="6">
        <f>Tabela1[[#This Row],[Summer Gold Medals]]+Tabela1[[#This Row],[Winter Gold Medals]]</f>
        <v>0</v>
      </c>
      <c r="J124" s="6">
        <f>Tabela1[[#This Row],[Summer Silver Medals]]+Tabela1[[#This Row],[Winter Silver Medals]]</f>
        <v>0</v>
      </c>
      <c r="K124" s="6">
        <f>Tabela1[[#This Row],[Summer Bronze Medals]]+Tabela1[[#This Row],[Winter Bronze Medals]]</f>
        <v>0</v>
      </c>
      <c r="L124" s="6">
        <f>SUM(Tabela1[[#This Row],[Total Gold Medals]:[Total Bronze Medals]])</f>
        <v>0</v>
      </c>
      <c r="M124" s="6"/>
      <c r="N124" s="6"/>
      <c r="O124" s="6"/>
      <c r="P124" s="6">
        <f>SUM(Tabela1[[#This Row],[Summer Gold Medals]:[Summer Bronze Medals]])</f>
        <v>0</v>
      </c>
      <c r="Q124" s="6"/>
      <c r="R124" s="6"/>
      <c r="S124" s="6"/>
      <c r="T124" s="6">
        <f>Tabela1[[#This Row],[Winter Gold Medals]]+Tabela1[[#This Row],[Winter Silver Medals]]+Tabela1[[#This Row],[Winter Bronze Medals]]</f>
        <v>0</v>
      </c>
      <c r="U124" s="7">
        <f>Tabela1[[#This Row],[Total Medals]]/Tabela1[[#This Row],[Total Quotas]]</f>
        <v>0</v>
      </c>
      <c r="V124" s="6">
        <f>COUNTIFS(Table3[Country],Tabela1[[#This Row],[Country]],Table3[Recurve Classification],"&gt;0")</f>
        <v>0</v>
      </c>
      <c r="W124" s="6">
        <f>COUNTIFS(Table33[Country],Tabela1[[#This Row],[Country]],Table33[Recurve Classification],"&gt;0")</f>
        <v>0</v>
      </c>
      <c r="X124" s="6">
        <f>COUNTIFS(Table35[Country],Tabela1[[#This Row],[Country]],Table35[Men''s Team Recurve Classification],"&gt;0")</f>
        <v>0</v>
      </c>
      <c r="Y124" s="6">
        <f>COUNTIFS(Table35[Country],Tabela1[[#This Row],[Country]],Table35[Women''s Team Recurve Classification],"&gt;0")</f>
        <v>0</v>
      </c>
      <c r="Z124" s="6">
        <f>COUNTIFS(Tabela88[Country],Tabela1[[#This Row],[Country]],Tabela88[Mixed Team Recurve Classification],"&gt;0")</f>
        <v>0</v>
      </c>
      <c r="AA124" s="6">
        <f>COUNTIFS(Table36[Country],Tabela1[[#This Row],[Country]],Table36[Classification],"&gt;0")</f>
        <v>0</v>
      </c>
      <c r="AB124" s="6">
        <f>COUNTIFS(Table37[Country],Tabela1[[#This Row],[Country]],Table37[Classification],"&gt;0")</f>
        <v>0</v>
      </c>
      <c r="AC124" s="6">
        <f>COUNTIFS(Table4[Country],Tabela1[[#This Row],[Country]],Table4[100m Classification],"&gt;0")</f>
        <v>0</v>
      </c>
      <c r="AD124" s="6">
        <f>COUNTIFS(Table5[Country],Tabela1[[#This Row],[Country]],Table5[100m Classification],"&gt;0")</f>
        <v>0</v>
      </c>
      <c r="AE124" s="6">
        <f>COUNTIFS(Table4[Country],Tabela1[[#This Row],[Country]],Table4[200m Classification],"&gt;0")</f>
        <v>0</v>
      </c>
      <c r="AF124" s="6">
        <f>COUNTIFS(Table5[Country],Tabela1[[#This Row],[Country]],Table5[200m Classification],"&gt;0")</f>
        <v>0</v>
      </c>
      <c r="AG124" s="6">
        <f>COUNTIFS(Table4[Country],Tabela1[[#This Row],[Country]],Table4[400m Classification],"&gt;0")</f>
        <v>0</v>
      </c>
      <c r="AH124" s="6">
        <f>COUNTIFS(Table5[Country],Tabela1[[#This Row],[Country]],Table5[400m Classification],"&gt;0")</f>
        <v>0</v>
      </c>
      <c r="AI124" s="6">
        <f>COUNTIFS(Table4[Country],Tabela1[[#This Row],[Country]],Table4[800m Classification],"&gt;0")</f>
        <v>0</v>
      </c>
      <c r="AJ124" s="6">
        <f>COUNTIFS(Table5[Country],Tabela1[[#This Row],[Country]],Table5[800m Classification],"&gt;0")</f>
        <v>0</v>
      </c>
      <c r="AK124" s="6">
        <f>COUNTIFS(Table4[Country],Tabela1[[#This Row],[Country]],Table4[1500m Classification],"&gt;0")</f>
        <v>0</v>
      </c>
      <c r="AL124" s="6">
        <f>COUNTIFS(Table5[Country],Tabela1[[#This Row],[Country]],Table5[1500m Classification],"&gt;0")</f>
        <v>0</v>
      </c>
      <c r="AM124" s="6">
        <f>COUNTIFS(Table4[Country],Tabela1[[#This Row],[Country]],Table4[5000m Classification],"&gt;0")</f>
        <v>0</v>
      </c>
      <c r="AN124" s="6">
        <f>COUNTIFS(Table5[Country],Tabela1[[#This Row],[Country]],Table5[5000m Classification],"&gt;0")</f>
        <v>0</v>
      </c>
      <c r="AO124" s="6">
        <f>COUNTIFS(Table4[Country],Tabela1[[#This Row],[Country]],Table4[10000m Classification],"&gt;0")</f>
        <v>0</v>
      </c>
      <c r="AP124" s="6">
        <f>COUNTIFS(Table5[Country],Tabela1[[#This Row],[Country]],Table5[10000m Classification],"&gt;0")</f>
        <v>0</v>
      </c>
      <c r="AQ124" s="6">
        <f>COUNTIFS(Table4[Country],Tabela1[[#This Row],[Country]],Table4[110m Hurdles Classification],"&gt;0")</f>
        <v>0</v>
      </c>
      <c r="AR124" s="6">
        <f>COUNTIFS(Table5[Country],Tabela1[[#This Row],[Country]],Table5[100m Hurdles Classification],"&gt;0")</f>
        <v>0</v>
      </c>
      <c r="AS124" s="6">
        <f>COUNTIFS(Table4[Country],Tabela1[[#This Row],[Country]],Table4[400m Hurdles Classification],"&gt;0")</f>
        <v>0</v>
      </c>
      <c r="AT124" s="6">
        <f>COUNTIFS(Table5[Country],Tabela1[[#This Row],[Country]],Table5[400m Hurdles Classification],"&gt;0")</f>
        <v>0</v>
      </c>
      <c r="AU124" s="6">
        <f>COUNTIFS(Table4[Country],Tabela1[[#This Row],[Country]],Table4[3000m Steeplechase Classification],"&gt;0")</f>
        <v>0</v>
      </c>
      <c r="AV124" s="6">
        <f>COUNTIFS(Table5[Country],Tabela1[[#This Row],[Country]],Table5[3000m Steeplechase Classification],"&gt;0")</f>
        <v>0</v>
      </c>
      <c r="AW124" s="6">
        <f>COUNTIFS(Table27[Country],Tabela1[[#This Row],[Country]],Table27[Men''s 4x100m Relay Classification],"&gt;0")</f>
        <v>0</v>
      </c>
      <c r="AX124" s="6">
        <f>COUNTIFS(Table27[Country],Tabela1[[#This Row],[Country]],Table27[Women''s 4x100m Relay Classification],"&gt;0")</f>
        <v>0</v>
      </c>
      <c r="AY124" s="6">
        <f>COUNTIFS(Table27[Country],Tabela1[[#This Row],[Country]],Table27[Men''s 4x400m Relay Classification],"&gt;0")</f>
        <v>0</v>
      </c>
      <c r="AZ124" s="6">
        <f>COUNTIFS(Table27[Country],Tabela1[[#This Row],[Country]],Table27[Women''s 4x400m Relay Classification],"&gt;0")</f>
        <v>0</v>
      </c>
      <c r="BA124" s="6">
        <f>COUNTIFS(Table27[Country],Tabela1[[#This Row],[Country]],Table27[Mixed 4x400m Relay Classification],"&gt;0")</f>
        <v>0</v>
      </c>
      <c r="BB124" s="6">
        <f>COUNTIFS(Table4[Country],Tabela1[[#This Row],[Country]],Table4[Marathon Classification],"&gt;0")</f>
        <v>0</v>
      </c>
      <c r="BC124" s="6">
        <f>COUNTIFS(Table5[Country],Tabela1[[#This Row],[Country]],Table5[Marathon Classification],"&gt;0")</f>
        <v>0</v>
      </c>
      <c r="BD124" s="6">
        <f>COUNTIFS(Table4[Country],Tabela1[[#This Row],[Country]],Table4[20km Race Walk Classification],"&gt;0")</f>
        <v>0</v>
      </c>
      <c r="BE124" s="6">
        <f>COUNTIFS(Table5[Country],Tabela1[[#This Row],[Country]],Table5[20km Race Walk Classification],"&gt;0")</f>
        <v>0</v>
      </c>
      <c r="BF124" s="6">
        <f>COUNTIFS(Tabela96[Country],Tabela1[[#This Row],[Country]],Tabela96[Mixed Marathon Race Walk Relay Classification],"&gt;0")</f>
        <v>0</v>
      </c>
      <c r="BG124" s="6">
        <f>COUNTIFS(Table4[Country],Tabela1[[#This Row],[Country]],Table4[Discus Throw Classification],"&gt;0")</f>
        <v>0</v>
      </c>
      <c r="BH124" s="6">
        <f>COUNTIFS(Table5[Country],Tabela1[[#This Row],[Country]],Table5[Discus Throw Classification],"&gt;0")</f>
        <v>0</v>
      </c>
      <c r="BI124" s="6">
        <f>COUNTIFS(Table4[Country],Tabela1[[#This Row],[Country]],Table4[Hammer Throw Classification],"&gt;0")</f>
        <v>0</v>
      </c>
      <c r="BJ124" s="6">
        <f>COUNTIFS(Table5[Country],Tabela1[[#This Row],[Country]],Table5[Hammer Throw Classification],"&gt;0")</f>
        <v>0</v>
      </c>
      <c r="BK124" s="6">
        <f>COUNTIFS(Table4[Country],Tabela1[[#This Row],[Country]],Table4[High Jump Classification],"&gt;0")</f>
        <v>0</v>
      </c>
      <c r="BL124" s="6">
        <f>COUNTIFS(Table5[Country],Tabela1[[#This Row],[Country]],Table5[High Jump Classification],"&gt;0")</f>
        <v>0</v>
      </c>
      <c r="BM124" s="6">
        <f>COUNTIFS(Table4[Country],Tabela1[[#This Row],[Country]],Table4[Javelin Throw Classification],"&gt;0")</f>
        <v>0</v>
      </c>
      <c r="BN124" s="6">
        <f>COUNTIFS(Table5[Country],Tabela1[[#This Row],[Country]],Table5[Javelin Throw Classification],"&gt;0")</f>
        <v>0</v>
      </c>
      <c r="BO124" s="6">
        <f>COUNTIFS(Table4[Country],Tabela1[[#This Row],[Country]],Table4[Long Jump Classification],"&gt;0")</f>
        <v>0</v>
      </c>
      <c r="BP124" s="6">
        <f>COUNTIFS(Table5[Country],Tabela1[[#This Row],[Country]],Table5[Long Jump Classification],"&gt;0")</f>
        <v>0</v>
      </c>
      <c r="BQ124" s="6">
        <f>COUNTIFS(Table4[Country],Tabela1[[#This Row],[Country]],Table4[Pole Vault Classification],"&gt;0")</f>
        <v>0</v>
      </c>
      <c r="BR124" s="6">
        <f>COUNTIFS(Table5[Country],Tabela1[[#This Row],[Country]],Table5[Pole Vault Classification],"&gt;0")</f>
        <v>0</v>
      </c>
      <c r="BS124" s="6">
        <f>COUNTIFS(Table4[Country],Tabela1[[#This Row],[Country]],Table4[Shot Put Classification],"&gt;0")</f>
        <v>0</v>
      </c>
      <c r="BT124" s="6">
        <f>COUNTIFS(Table5[Country],Tabela1[[#This Row],[Country]],Table5[Shot Put Classification],"&gt;0")</f>
        <v>0</v>
      </c>
      <c r="BU124" s="6">
        <f>COUNTIFS(Table4[Country],Tabela1[[#This Row],[Country]],Table4[Triple Jump Classification],"&gt;0")</f>
        <v>0</v>
      </c>
      <c r="BV124" s="6">
        <f>COUNTIFS(Table5[Country],Tabela1[[#This Row],[Country]],Table5[Triple Jump Classification],"&gt;0")</f>
        <v>0</v>
      </c>
      <c r="BW124" s="6">
        <f>COUNTIFS(Table4[Country],Tabela1[[#This Row],[Country]],Table4[Decathlon Classification],"&gt;0")</f>
        <v>0</v>
      </c>
      <c r="BX124" s="6">
        <f>COUNTIFS(Table5[Country],Tabela1[[#This Row],[Country]],Table5[Heptathlon Classification],"&gt;0")</f>
        <v>0</v>
      </c>
      <c r="BY124" s="6">
        <f>COUNTIFS(Table61[Country],Tabela1[[#This Row],[Country]],Table61[Classification],"&gt;0")</f>
        <v>0</v>
      </c>
      <c r="BZ124" s="6">
        <f>COUNTIFS(Table38[Country],Tabela1[[#This Row],[Country]],Table38[Classification],"&gt;0")</f>
        <v>0</v>
      </c>
      <c r="CA124" s="6">
        <f>COUNTIFS(Table39[Country],Tabela1[[#This Row],[Country]],Table39[Men''s Classification],"&gt;0")</f>
        <v>0</v>
      </c>
      <c r="CB124" s="6">
        <f>COUNTIFS(Table39[Country],Tabela1[[#This Row],[Country]],Table39[Women''s Classification],"&gt;0")</f>
        <v>0</v>
      </c>
      <c r="CC124" s="6">
        <f>COUNTIFS(Table39[Country],Tabela1[[#This Row],[Country]],Table39[Mixed Classification],"&gt;0")</f>
        <v>0</v>
      </c>
      <c r="CD124" s="6">
        <f>COUNTIFS(Table89[Country],Tabela1[[#This Row],[Country]],Table89[Men''s Classification],"&gt;0")</f>
        <v>0</v>
      </c>
      <c r="CE124" s="6">
        <f>COUNTIFS(Table89[Country],Tabela1[[#This Row],[Country]],Table89[Women''s Classification],"&gt;0")</f>
        <v>0</v>
      </c>
      <c r="CF124" s="6">
        <f>COUNTIFS(Table90[Country],Tabela1[[#This Row],[Country]],Table90[Men''s Classification],"&gt;0")</f>
        <v>0</v>
      </c>
      <c r="CG124" s="6">
        <f>COUNTIFS(Table90[Country],Tabela1[[#This Row],[Country]],Table90[Women''s Classification],"&gt;0")</f>
        <v>0</v>
      </c>
      <c r="CH124" s="6">
        <f>COUNTIFS(Table60[Country],Tabela1[[#This Row],[Country]],Table60[Men''s Classification],"&gt;0")</f>
        <v>0</v>
      </c>
      <c r="CI124" s="6">
        <f>COUNTIFS(Table60[Country],Tabela1[[#This Row],[Country]],Table60[Women''s Classification],"&gt;0")</f>
        <v>0</v>
      </c>
      <c r="CJ124" s="6">
        <f>COUNTIFS(Table6[Country],Tabela1[[#This Row],[Country]],Table6[51kg Classification],"&gt;0")</f>
        <v>0</v>
      </c>
      <c r="CK124" s="6">
        <f>COUNTIFS(Table6[Country],Tabela1[[#This Row],[Country]],Table6[57kg Classification],"&gt;0")</f>
        <v>0</v>
      </c>
      <c r="CL124" s="6">
        <f>COUNTIFS(Table6[Country],Tabela1[[#This Row],[Country]],Table6[63.5kg Classification],"&gt;0")</f>
        <v>0</v>
      </c>
      <c r="CM124" s="6">
        <f>COUNTIFS(Table6[Country],Tabela1[[#This Row],[Country]],Table6[71kg Classification],"&gt;0")</f>
        <v>0</v>
      </c>
      <c r="CN124" s="6">
        <f>COUNTIFS(Table6[Country],Tabela1[[#This Row],[Country]],Table6[80kg Classification],"&gt;0")</f>
        <v>0</v>
      </c>
      <c r="CO124" s="6">
        <f>COUNTIFS(Table6[Country],Tabela1[[#This Row],[Country]],Table6[92kg Classification],"&gt;0")</f>
        <v>0</v>
      </c>
      <c r="CP124" s="6">
        <f>COUNTIFS(Table6[Country],Tabela1[[#This Row],[Country]],Table6[Plus 92kg Classification],"&gt;0")</f>
        <v>0</v>
      </c>
      <c r="CQ124" s="6">
        <f>COUNTIFS(Table7[Country],Tabela1[[#This Row],[Country]],Table7[50kg Classification],"&gt;0")</f>
        <v>0</v>
      </c>
      <c r="CR124" s="6">
        <f>COUNTIFS(Table7[Country],Tabela1[[#This Row],[Country]],Table7[54kg Classification],"&gt;0")</f>
        <v>0</v>
      </c>
      <c r="CS124" s="6">
        <f>COUNTIFS(Table7[Country],Tabela1[[#This Row],[Country]],Table7[57kg Classification],"&gt;0")</f>
        <v>0</v>
      </c>
      <c r="CT124" s="6">
        <f>COUNTIFS(Table7[Country],Tabela1[[#This Row],[Country]],Table7[60kg Classification],"&gt;0")</f>
        <v>0</v>
      </c>
      <c r="CU124" s="6">
        <f>COUNTIFS(Table7[Country],Tabela1[[#This Row],[Country]],Table7[66kg Classification],"&gt;0")</f>
        <v>0</v>
      </c>
      <c r="CV124" s="6">
        <f>COUNTIFS(Table7[Country],Tabela1[[#This Row],[Country]],Table7[75kg Classification],"&gt;0")</f>
        <v>0</v>
      </c>
      <c r="CW124" s="6">
        <f>COUNTIFS(Tabela94[Country],Tabela1[[#This Row],[Country]],Tabela94[Classification],"&gt;0")</f>
        <v>0</v>
      </c>
      <c r="CX124" s="6">
        <f>COUNTIFS(Tabela9499[Country],Tabela1[[#This Row],[Country]],Tabela9499[Classification],"&gt;0")</f>
        <v>0</v>
      </c>
      <c r="CY124" s="6">
        <f>COUNTIFS(Tabela107[Country],Tabela1[[#This Row],[Country]],Tabela107[C1 Slalom Classification],"&gt;0")</f>
        <v>0</v>
      </c>
      <c r="CZ124" s="6">
        <f>COUNTIFS(Tabela107122[Country],Tabela1[[#This Row],[Country]],Tabela107122[C1 Slalom Classification],"&gt;0")</f>
        <v>0</v>
      </c>
      <c r="DA124" s="6">
        <f>COUNTIFS(Tabela107[Country],Tabela1[[#This Row],[Country]],Tabela107[K1 Slalom Classification],"&gt;0")</f>
        <v>0</v>
      </c>
      <c r="DB124" s="6">
        <f>COUNTIFS(Tabela107122[Country],Tabela1[[#This Row],[Country]],Tabela107122[K1 Slalom Classification],"&gt;0")</f>
        <v>0</v>
      </c>
      <c r="DC124" s="6">
        <f>COUNTIFS(Tabela107[Country],Tabela1[[#This Row],[Country]],Tabela107[Kayak Cross Slalom Classification],"&gt;0")</f>
        <v>0</v>
      </c>
      <c r="DD124" s="6">
        <f>COUNTIFS(Tabela107122[Country],Tabela1[[#This Row],[Country]],Tabela107122[Kayak Cross Slalom Classification],"&gt;0")</f>
        <v>0</v>
      </c>
      <c r="DE124" s="6">
        <f>COUNTIFS(Table8[Country],Tabela1[[#This Row],[Country]],Table8[C1 200m Classification],"&gt;0")</f>
        <v>0</v>
      </c>
      <c r="DF124" s="6">
        <f>COUNTIFS(Table40[Country],Tabela1[[#This Row],[Country]],Table40[C1 1000m Classification],"&gt;0")</f>
        <v>0</v>
      </c>
      <c r="DG124" s="6">
        <f>COUNTIFS(Table68[Country],Tabela1[[#This Row],[Country]],Table68[Men''s C2 500m Classification],"&gt;0")</f>
        <v>0</v>
      </c>
      <c r="DH124" s="6">
        <f>COUNTIFS(Table68[Country],Tabela1[[#This Row],[Country]],Table68[Women''s C2 500m Classification],"&gt;0")</f>
        <v>0</v>
      </c>
      <c r="DI124" s="6">
        <f>COUNTIFS(Table8[Country],Tabela1[[#This Row],[Country]],Table8[K1 500m Classification],"&gt;0")</f>
        <v>0</v>
      </c>
      <c r="DJ124" s="6">
        <f>COUNTIFS(Table40[Country],Tabela1[[#This Row],[Country]],Table40[K1 1000m Classification],"&gt;0")</f>
        <v>0</v>
      </c>
      <c r="DK124" s="6">
        <f>COUNTIFS(Table68[Country],Tabela1[[#This Row],[Country]],Table68[Men''s K2 500m Classification],"&gt;0")</f>
        <v>0</v>
      </c>
      <c r="DL124" s="6">
        <f>COUNTIFS(Table68[Country],Tabela1[[#This Row],[Country]],Table68[Women''s K2 500m Classification],"&gt;0")</f>
        <v>0</v>
      </c>
      <c r="DM124" s="6">
        <f>COUNTIFS(Table83[Country],Tabela1[[#This Row],[Country]],Table83[Men''s K4 500m Classification],"&gt;0")</f>
        <v>0</v>
      </c>
      <c r="DN124" s="6">
        <f>COUNTIFS(Table83[Country],Tabela1[[#This Row],[Country]],Table83[Women''s K4 500m Classification],"&gt;0")</f>
        <v>0</v>
      </c>
      <c r="DO124" s="6">
        <f>COUNTIFS(Tabela126[Country],Tabela1[[#This Row],[Country]],Tabela126[Classification],"&gt;0")</f>
        <v>0</v>
      </c>
      <c r="DP124" s="6">
        <f>COUNTIFS(Tabela126130[Country],Tabela1[[#This Row],[Country]],Tabela126130[Classification],"&gt;0")</f>
        <v>0</v>
      </c>
      <c r="DQ124" s="6">
        <f>COUNTIFS(Table70[Country],Tabela1[[#This Row],[Country]],Table70[Classification],"&gt;0")</f>
        <v>0</v>
      </c>
      <c r="DR124" s="6">
        <f>COUNTIFS(Table80[Country],Tabela1[[#This Row],[Country]],Table80[Classification],"&gt;0")</f>
        <v>0</v>
      </c>
      <c r="DS124" s="6">
        <f>COUNTIFS(Table66[Country],Tabela1[[#This Row],[Country]],Table66[Classification],"&gt;0")</f>
        <v>0</v>
      </c>
      <c r="DT124" s="6">
        <f>COUNTIFS(Table67[Country],Tabela1[[#This Row],[Country]],Table67[Classification],"&gt;0")</f>
        <v>0</v>
      </c>
      <c r="DU124" s="6">
        <f>COUNTIFS(Table69[Country],Tabela1[[#This Row],[Country]],Table69[Keirin Classification],"&gt;0")</f>
        <v>0</v>
      </c>
      <c r="DV124" s="6">
        <f>COUNTIFS(Table41[Country],Tabela1[[#This Row],[Country]],Table41[Keirin Classification],"&gt;0")</f>
        <v>0</v>
      </c>
      <c r="DW124" s="6">
        <f>COUNTIFS(Table84[Country],Tabela1[[#This Row],[Country]],Table84[Men''s Madison Classification],"&gt;0")</f>
        <v>0</v>
      </c>
      <c r="DX124" s="6">
        <f>COUNTIFS(Table84[Country],Tabela1[[#This Row],[Country]],Table84[Women''s Madison Classification],"&gt;0")</f>
        <v>0</v>
      </c>
      <c r="DY124" s="6">
        <f>COUNTIFS(Table69[Country],Tabela1[[#This Row],[Country]],Table69[Omnium Classification],"&gt;0")</f>
        <v>0</v>
      </c>
      <c r="DZ124" s="6">
        <f>COUNTIFS(Table41[Country],Tabela1[[#This Row],[Country]],Table41[Omnium Classification],"&gt;0")</f>
        <v>0</v>
      </c>
      <c r="EA124" s="6">
        <f>COUNTIFS(Table9[Country],Tabela1[[#This Row],[Country]],Table9[Road Race Classification],"&gt;0")</f>
        <v>0</v>
      </c>
      <c r="EB124" s="6">
        <f>COUNTIFS(Table14[Country],Tabela1[[#This Row],[Country]],Table14[Road Race Classification],"&gt;0")</f>
        <v>0</v>
      </c>
      <c r="EC124" s="6">
        <f>COUNTIFS(Table69[Country],Tabela1[[#This Row],[Country]],Table69[Sprint Classification],"&gt;0")</f>
        <v>0</v>
      </c>
      <c r="ED124" s="6">
        <f>COUNTIFS(Table41[Country],Tabela1[[#This Row],[Country]],Table41[Sprint Classification],"&gt;0")</f>
        <v>0</v>
      </c>
      <c r="EE124" s="6">
        <f>COUNTIFS(Table85[Country],Tabela1[[#This Row],[Country]],Table85[Men''s Sprint Classification],"&gt;0")</f>
        <v>0</v>
      </c>
      <c r="EF124" s="6">
        <f>COUNTIFS(Table85[Country],Tabela1[[#This Row],[Country]],Table85[Women''s Sprint Classification],"&gt;0")</f>
        <v>0</v>
      </c>
      <c r="EG124" s="6">
        <f>COUNTIFS(Table85[Country],Tabela1[[#This Row],[Country]],Table85[Men''s Pursuit Classification],"&gt;0")</f>
        <v>0</v>
      </c>
      <c r="EH124" s="6">
        <f>COUNTIFS(Table85[Country],Tabela1[[#This Row],[Country]],Table85[Women''s Pursuit Classification],"&gt;0")</f>
        <v>0</v>
      </c>
      <c r="EI124" s="6">
        <f>COUNTIFS(Table9[Country],Tabela1[[#This Row],[Country]],Table9[Time-Trial Classification],"&gt;0")</f>
        <v>0</v>
      </c>
      <c r="EJ124" s="6">
        <f>COUNTIFS(Table14[Country],Tabela1[[#This Row],[Country]],Table14[Time-Trial Classification],"&gt;0")</f>
        <v>0</v>
      </c>
      <c r="EK124" s="6">
        <f>COUNTIFS(Table42[Country],Tabela1[[#This Row],[Country]],Table42[Springboard Classification],"&gt;0")</f>
        <v>0</v>
      </c>
      <c r="EL124" s="6">
        <f>COUNTIFS(Table43[Country],Tabela1[[#This Row],[Country]],Table43[Springboard Classification],"&gt;0")</f>
        <v>0</v>
      </c>
      <c r="EM124" s="6">
        <f>COUNTIFS(Table42[Country],Tabela1[[#This Row],[Country]],Table42[Platform Classification],"&gt;0")</f>
        <v>0</v>
      </c>
      <c r="EN124" s="6">
        <f>COUNTIFS(Table43[Country],Tabela1[[#This Row],[Country]],Table43[Platform Classification],"&gt;0")</f>
        <v>0</v>
      </c>
      <c r="EO124" s="6">
        <f>COUNTIFS(Table86[Country],Tabela1[[#This Row],[Country]],Table86[Men''s Synchronized Springboard Classification],"&gt;0")</f>
        <v>0</v>
      </c>
      <c r="EP124" s="6">
        <f>COUNTIFS(Table86[Country],Tabela1[[#This Row],[Country]],Table86[Women''s Synchronized Springboard Classification],"&gt;0")</f>
        <v>0</v>
      </c>
      <c r="EQ124" s="6">
        <f>COUNTIFS(Table86[Country],Tabela1[[#This Row],[Country]],Table86[Men''s Synchronized Platform Classification],"&gt;0")</f>
        <v>0</v>
      </c>
      <c r="ER124" s="6">
        <f>COUNTIFS(Table86[Country],Tabela1[[#This Row],[Country]],Table86[Women''s Synchronized Platform Classification],"&gt;0")</f>
        <v>0</v>
      </c>
      <c r="ES124" s="6">
        <f>COUNTIFS(Table44[Country],Tabela1[[#This Row],[Country]],Table44[Dressage Classification],"&gt;0")</f>
        <v>0</v>
      </c>
      <c r="ET124" s="6">
        <f>COUNTIFS(Table45[Country],Tabela1[[#This Row],[Country]],Table45[Dressage Classification],"&gt;0")</f>
        <v>0</v>
      </c>
      <c r="EU124" s="6">
        <f>COUNTIFS(Table44[Country],Tabela1[[#This Row],[Country]],Table44[Eventing Classification],"&gt;0")</f>
        <v>0</v>
      </c>
      <c r="EV124" s="6">
        <f>COUNTIFS(Table45[Country],Tabela1[[#This Row],[Country]],Table45[Eventing Classification],"&gt;0")</f>
        <v>0</v>
      </c>
      <c r="EW124" s="6">
        <f>COUNTIFS(Table44[Country],Tabela1[[#This Row],[Country]],Table44[Jumping Classification],"&gt;0")</f>
        <v>0</v>
      </c>
      <c r="EX124" s="6">
        <f>COUNTIFS(Table45[Country],Tabela1[[#This Row],[Country]],Table45[Jumping Classification],"&gt;0")</f>
        <v>0</v>
      </c>
      <c r="EY124" s="6">
        <f>COUNTIFS(Table10[Country],Tabela1[[#This Row],[Country]],Table10[Épée Classification],"&gt;0")</f>
        <v>0</v>
      </c>
      <c r="EZ124" s="6">
        <f>COUNTIFS(Table11[Country],Tabela1[[#This Row],[Country]],Table11[Épée Classification],"&gt;0")</f>
        <v>0</v>
      </c>
      <c r="FA124" s="6">
        <f>COUNTIFS(Table46[Country],Tabela1[[#This Row],[Country]],Table46[Men''s Épée Classification],"&gt;0")</f>
        <v>0</v>
      </c>
      <c r="FB124" s="6">
        <f>COUNTIFS(Table46[Country],Tabela1[[#This Row],[Country]],Table46[Women''s Épée Classification],"&gt;0")</f>
        <v>0</v>
      </c>
      <c r="FC124" s="6">
        <f>COUNTIFS(Table10[Country],Tabela1[[#This Row],[Country]],Table10[Foil Classification],"&gt;0")</f>
        <v>0</v>
      </c>
      <c r="FD124" s="6">
        <f>COUNTIFS(Table11[Country],Tabela1[[#This Row],[Country]],Table11[Foil Classification],"&gt;0")</f>
        <v>0</v>
      </c>
      <c r="FE124" s="6">
        <f>COUNTIFS(Table46[Country],Tabela1[[#This Row],[Country]],Table46[Men''s Foil Classification],"&gt;0")</f>
        <v>0</v>
      </c>
      <c r="FF124" s="6">
        <f>COUNTIFS(Table46[Country],Tabela1[[#This Row],[Country]],Table46[Women''s Foil Classification],"&gt;0")</f>
        <v>0</v>
      </c>
      <c r="FG124" s="6">
        <f>COUNTIFS(Table10[Country],Tabela1[[#This Row],[Country]],Table10[Sabre Classification],"&gt;0")</f>
        <v>0</v>
      </c>
      <c r="FH124" s="6">
        <f>COUNTIFS(Table11[Country],Tabela1[[#This Row],[Country]],Table11[Sabre Classification],"&gt;0")</f>
        <v>0</v>
      </c>
      <c r="FI124" s="6">
        <f>COUNTIFS(Table46[Country],Tabela1[[#This Row],[Country]],Table46[Men''s Sabre Classification],"&gt;0")</f>
        <v>0</v>
      </c>
      <c r="FJ124" s="6">
        <f>COUNTIFS(Table46[Country],Tabela1[[#This Row],[Country]],Table46[Women''s Sabre Classification],"&gt;0")</f>
        <v>0</v>
      </c>
      <c r="FK124" s="6">
        <f>COUNTIFS(Table91[Country],Tabela1[[#This Row],[Country]],Table91[Men''s Classification],"&gt;0")</f>
        <v>0</v>
      </c>
      <c r="FL124" s="6">
        <f>COUNTIFS(Table91[Country],Tabela1[[#This Row],[Country]],Table91[Women''s Classification],"&gt;0")</f>
        <v>0</v>
      </c>
      <c r="FM124" s="6">
        <f>COUNTIFS(Table9194[Country],Tabela1[[#This Row],[Country]],Table9194[Men''s Classification],"&gt;0")</f>
        <v>0</v>
      </c>
      <c r="FN124" s="6">
        <f>COUNTIFS(Table9194[Country],Tabela1[[#This Row],[Country]],Table9194[Women''s Classification],"&gt;0")</f>
        <v>0</v>
      </c>
      <c r="FO124" s="6">
        <f>COUNTIFS(Table71[Country],Tabela1[[#This Row],[Country]],Table71[Classification],"&gt;0")</f>
        <v>0</v>
      </c>
      <c r="FP124" s="6">
        <f>COUNTIFS(Table62[Country],Tabela1[[#This Row],[Country]],Table62[Classification],"&gt;0")</f>
        <v>0</v>
      </c>
      <c r="FQ124" s="6">
        <f>COUNTIFS(Table47[Country],Tabela1[[#This Row],[Country]],Table47[All-Around Classification],"&gt;0")</f>
        <v>0</v>
      </c>
      <c r="FR124" s="6">
        <f>COUNTIFS(Table48[Country],Tabela1[[#This Row],[Country]],Table48[All-Around Classification],"&gt;0")</f>
        <v>0</v>
      </c>
      <c r="FS124" s="6">
        <f>COUNTIFS(Table81[Country],Tabela1[[#This Row],[Country]],Table81[Men''s All-Around Classification],"&gt;0")</f>
        <v>0</v>
      </c>
      <c r="FT124" s="6">
        <f>COUNTIFS(Table81[Country],Tabela1[[#This Row],[Country]],Table81[Women''s All-Around Classification],"&gt;0")</f>
        <v>0</v>
      </c>
      <c r="FU124" s="6">
        <f>COUNTIFS(Table48[Country],Tabela1[[#This Row],[Country]],Table48[Balance Beam Classification],"&gt;0")</f>
        <v>0</v>
      </c>
      <c r="FV124" s="6">
        <f>COUNTIFS(Table47[Country],Tabela1[[#This Row],[Country]],Table47[Floor Exercise Classification],"&gt;0")</f>
        <v>0</v>
      </c>
      <c r="FW124" s="6">
        <f>COUNTIFS(Table48[Country],Tabela1[[#This Row],[Country]],Table48[Floor Exercise Classification],"&gt;0")</f>
        <v>0</v>
      </c>
      <c r="FX124" s="6">
        <f>COUNTIFS(Table47[Country],Tabela1[[#This Row],[Country]],Table47[Horizontal Bar Classification],"&gt;0")</f>
        <v>0</v>
      </c>
      <c r="FY124" s="6">
        <f>COUNTIFS(Table47[Country],Tabela1[[#This Row],[Country]],Table47[Parallel Bars Classification],"&gt;0")</f>
        <v>0</v>
      </c>
      <c r="FZ124" s="6">
        <f>COUNTIFS(Table47[Country],Tabela1[[#This Row],[Country]],Table47[Pommel Horse Classification],"&gt;0")</f>
        <v>0</v>
      </c>
      <c r="GA124" s="6">
        <f>COUNTIFS(Table47[Country],Tabela1[[#This Row],[Country]],Table47[Rings Classification],"&gt;0")</f>
        <v>0</v>
      </c>
      <c r="GB124" s="6">
        <f>COUNTIFS(Tabela132[Country],Tabela1[[#This Row],[Country]],Tabela132[Classification],"&gt;0")</f>
        <v>0</v>
      </c>
      <c r="GC124" s="6">
        <f>COUNTIFS(Tabela139[Country],Tabela1[[#This Row],[Country]],Tabela139[Classification],"&gt;0")</f>
        <v>0</v>
      </c>
      <c r="GD124" s="6">
        <f>COUNTIFS(Table48[Country],Tabela1[[#This Row],[Country]],Table48[Uneven Bars Classification],"&gt;0")</f>
        <v>0</v>
      </c>
      <c r="GE124" s="6">
        <f>COUNTIFS(Table47[Country],Tabela1[[#This Row],[Country]],Table47[Vault Classification],"&gt;0")</f>
        <v>0</v>
      </c>
      <c r="GF124" s="6">
        <f>COUNTIFS(Table48[Country],Tabela1[[#This Row],[Country]],Table48[Vault Classification],"&gt;0")</f>
        <v>0</v>
      </c>
      <c r="GG124" s="6">
        <f>COUNTIFS(Table919496[Country],Tabela1[[#This Row],[Country]],Table919496[Men''s Classification],"&gt;0")</f>
        <v>0</v>
      </c>
      <c r="GH124" s="6">
        <f>COUNTIFS(Table919496[Country],Tabela1[[#This Row],[Country]],Table919496[Women''s Classification],"&gt;0")</f>
        <v>0</v>
      </c>
      <c r="GI124" s="6">
        <f>COUNTIFS(Table12[Country],Tabela1[[#This Row],[Country]],Table12[60kg Classification],"&gt;0")</f>
        <v>0</v>
      </c>
      <c r="GJ124" s="6">
        <f>COUNTIFS(Table12[Country],Tabela1[[#This Row],[Country]],Table12[66kg Classification],"&gt;0")</f>
        <v>0</v>
      </c>
      <c r="GK124" s="6">
        <f>COUNTIFS(Table12[Country],Tabela1[[#This Row],[Country]],Table12[73kg Classification],"&gt;0")</f>
        <v>0</v>
      </c>
      <c r="GL124" s="6">
        <f>COUNTIFS(Table12[Country],Tabela1[[#This Row],[Country]],Table12[81kg Classification],"&gt;0")</f>
        <v>0</v>
      </c>
      <c r="GM124" s="6">
        <f>COUNTIFS(Table12[Country],Tabela1[[#This Row],[Country]],Table12[90kg Classification],"&gt;0")</f>
        <v>0</v>
      </c>
      <c r="GN124" s="6">
        <f>COUNTIFS(Table12[Country],Tabela1[[#This Row],[Country]],Table12[100kg Classification],"&gt;0")</f>
        <v>0</v>
      </c>
      <c r="GO124" s="6">
        <f>COUNTIFS(Table12[Country],Tabela1[[#This Row],[Country]],Table12[Plus 100kg Classification],"&gt;0")</f>
        <v>0</v>
      </c>
      <c r="GP124" s="6">
        <f>COUNTIFS(Table13[Country],Tabela1[[#This Row],[Country]],Table13[48kg Classification],"&gt;0")</f>
        <v>0</v>
      </c>
      <c r="GQ124" s="6">
        <f>COUNTIFS(Table13[Country],Tabela1[[#This Row],[Country]],Table13[52kg Classification],"&gt;0")</f>
        <v>0</v>
      </c>
      <c r="GR124" s="6">
        <f>COUNTIFS(Table13[Country],Tabela1[[#This Row],[Country]],Table13[57kg Classification],"&gt;0")</f>
        <v>0</v>
      </c>
      <c r="GS124" s="6">
        <f>COUNTIFS(Table13[Country],Tabela1[[#This Row],[Country]],Table13[63kg Classification],"&gt;0")</f>
        <v>0</v>
      </c>
      <c r="GT124" s="6">
        <f>COUNTIFS(Table13[Country],Tabela1[[#This Row],[Country]],Table13[70kg Classification],"&gt;0")</f>
        <v>0</v>
      </c>
      <c r="GU124" s="6">
        <f>COUNTIFS(Table13[Country],Tabela1[[#This Row],[Country]],Table13[78kg Classification],"&gt;0")</f>
        <v>0</v>
      </c>
      <c r="GV124" s="6">
        <f>COUNTIFS(Table13[Country],Tabela1[[#This Row],[Country]],Table13[Plus 78kg Classification],"&gt;0")</f>
        <v>0</v>
      </c>
      <c r="GW124" s="6">
        <f>COUNTIFS(Table82[Country],Tabela1[[#This Row],[Country]],Table82[Mixed Classification],"&gt;0")</f>
        <v>0</v>
      </c>
      <c r="GX124" s="6">
        <f>COUNTIFS(Table51[Country],Tabela1[[#This Row],[Country]],Table51[Classification],"&gt;0")</f>
        <v>0</v>
      </c>
      <c r="GY124" s="6">
        <f>COUNTIFS(Table52[Country],Tabela1[[#This Row],[Country]],Table52[Classification],"&gt;0")</f>
        <v>0</v>
      </c>
      <c r="GZ124" s="6">
        <f>COUNTIFS(Table32[Country],Tabela1[[#This Row],[Country]],Table32[All-Around Classification],"&gt;0")</f>
        <v>0</v>
      </c>
      <c r="HA124" s="6">
        <f>COUNTIFS(Table49[Country],Tabela1[[#This Row],[Country]],Table49[All-Around Classification],"&gt;0")</f>
        <v>0</v>
      </c>
      <c r="HB124" s="6">
        <f>COUNTIFS(Table26[Country],Tabela1[[#This Row],[Country]],Table26[Single Sculls Classification],"&gt;0")</f>
        <v>0</v>
      </c>
      <c r="HC124" s="6">
        <f>COUNTIFS(Table63[Country],Tabela1[[#This Row],[Country]],Table63[Single Sculls Classification],"&gt;0")</f>
        <v>0</v>
      </c>
      <c r="HD124" s="6">
        <f>COUNTIFS(Table16[Country],Tabela1[[#This Row],[Country]],Table16[Men''s Double Sculls Classification],"&gt;0")</f>
        <v>0</v>
      </c>
      <c r="HE124" s="6">
        <f>COUNTIFS(Table16[Country],Tabela1[[#This Row],[Country]],Table16[Women''s Double Sculls Classification],"&gt;0")</f>
        <v>0</v>
      </c>
      <c r="HF124" s="6">
        <f>COUNTIFS(Table72[Country],Tabela1[[#This Row],[Country]],Table72[Men''s Quadruple Sculls Classification],"&gt;0")</f>
        <v>0</v>
      </c>
      <c r="HG124" s="6">
        <f>COUNTIFS(Table72[Country],Tabela1[[#This Row],[Country]],Table72[Women''s Quadruple Sculls Classification],"&gt;0")</f>
        <v>0</v>
      </c>
      <c r="HH124" s="6">
        <f>COUNTIFS(Table16[Country],Tabela1[[#This Row],[Country]],Table16[Men''s Coxless Pairs Classification],"&gt;0")</f>
        <v>0</v>
      </c>
      <c r="HI124" s="6">
        <f>COUNTIFS(Table16[Country],Tabela1[[#This Row],[Country]],Table16[Women''s Coxless Pairs Classification],"&gt;0")</f>
        <v>0</v>
      </c>
      <c r="HJ124" s="6">
        <f>COUNTIFS(Table72[Country],Tabela1[[#This Row],[Country]],Table72[Men''s Coxless Fours Classification],"&gt;0")</f>
        <v>0</v>
      </c>
      <c r="HK124" s="6">
        <f>COUNTIFS(Table72[Country],Tabela1[[#This Row],[Country]],Table72[Women''s Coxless Fours Classification],"&gt;0")</f>
        <v>0</v>
      </c>
      <c r="HL124" s="6">
        <f>COUNTIFS(Table72[Country],Tabela1[[#This Row],[Country]],Table72[Men''s Eights Classification],"&gt;0")</f>
        <v>0</v>
      </c>
      <c r="HM124" s="6">
        <f>COUNTIFS(Table72[Country],Tabela1[[#This Row],[Country]],Table72[Women''s Eights Classification],"&gt;0")</f>
        <v>0</v>
      </c>
      <c r="HN124" s="6">
        <f>COUNTIFS(Table16[Country],Tabela1[[#This Row],[Country]],Table16[Men''s Lwt. Double Sculls Classification],"&gt;0")</f>
        <v>0</v>
      </c>
      <c r="HO124" s="6">
        <f>COUNTIFS(Table16[Country],Tabela1[[#This Row],[Country]],Table16[Women''s Lwt. Double Sculls Classification],"&gt;0")</f>
        <v>0</v>
      </c>
      <c r="HP124" s="6">
        <f>COUNTIFS(Table91949698[Country],Tabela1[[#This Row],[Country]],Table91949698[Men''s Classification],"&gt;0")</f>
        <v>0</v>
      </c>
      <c r="HQ124" s="6">
        <f>COUNTIFS(Table91949698[Country],Tabela1[[#This Row],[Country]],Table91949698[Women''s Classification],"&gt;0")</f>
        <v>0</v>
      </c>
      <c r="HR124" s="6">
        <f>COUNTIFS(Table25[Country],Tabela1[[#This Row],[Country]],Table25[Mixed 470 Classification],"&gt;0")</f>
        <v>0</v>
      </c>
      <c r="HS124" s="6">
        <f>COUNTIFS(Table25[Country],Tabela1[[#This Row],[Country]],Table25[Men''s 49er Classification],"&gt;0")</f>
        <v>0</v>
      </c>
      <c r="HT124" s="6">
        <f>COUNTIFS(Table25[Country],Tabela1[[#This Row],[Country]],Table25[Women''s 49er FX Classification],"&gt;0")</f>
        <v>0</v>
      </c>
      <c r="HU124" s="6">
        <f>COUNTIFS(Table17[Country],Tabela1[[#This Row],[Country]],Table17[Formula Kite Classification],"&gt;0")</f>
        <v>0</v>
      </c>
      <c r="HV124" s="6">
        <f>COUNTIFS(Table18[Country],Tabela1[[#This Row],[Country]],Table18[Formula Kite Classification],"&gt;0")</f>
        <v>0</v>
      </c>
      <c r="HW124" s="6">
        <f>COUNTIFS(Table17[Country],Tabela1[[#This Row],[Country]],Table17[ILCA 7 Classification],"&gt;0")</f>
        <v>0</v>
      </c>
      <c r="HX124" s="6">
        <f>COUNTIFS(Table18[Country],Tabela1[[#This Row],[Country]],Table18[ILCA 6 Classification],"&gt;0")</f>
        <v>0</v>
      </c>
      <c r="HY124" s="6">
        <f>COUNTIFS(Table17[Country],Tabela1[[#This Row],[Country]],Table17[IQFoil Classification],"&gt;0")</f>
        <v>0</v>
      </c>
      <c r="HZ124" s="6">
        <f>COUNTIFS(Table18[Country],Tabela1[[#This Row],[Country]],Table18[IQFoil Classification],"&gt;0")</f>
        <v>0</v>
      </c>
      <c r="IA124" s="6">
        <f>COUNTIFS(Table25[Country],Tabela1[[#This Row],[Country]],Table25[Mixed Nacra 17 Classification],"&gt;0")</f>
        <v>0</v>
      </c>
      <c r="IB124" s="6">
        <f>COUNTIFS(Table53[Country],Tabela1[[#This Row],[Country]],Table53[10m Air Pistol Classification],"&gt;0")</f>
        <v>0</v>
      </c>
      <c r="IC124" s="6">
        <f>COUNTIFS(Table19[Country],Tabela1[[#This Row],[Country]],Table19[10m Air Pistol Classification],"&gt;0")</f>
        <v>0</v>
      </c>
      <c r="ID124" s="6">
        <f>COUNTIFS(Table54[Country],Tabela1[[#This Row],[Country]],Table54[Mixed 10m Air Pistol Team Classification],"&gt;0")</f>
        <v>0</v>
      </c>
      <c r="IE124" s="6">
        <f>COUNTIFS(Table53[Country],Tabela1[[#This Row],[Country]],Table53[10m Air Rifle Classification],"&gt;0")</f>
        <v>0</v>
      </c>
      <c r="IF124" s="6">
        <f>COUNTIFS(Table19[Country],Tabela1[[#This Row],[Country]],Table19[10m Air Rifle Classification],"&gt;0")</f>
        <v>0</v>
      </c>
      <c r="IG124" s="6">
        <f>COUNTIFS(Table54[Country],Tabela1[[#This Row],[Country]],Table54[Mixed 10m Air Rifle Team Classification],"&gt;0")</f>
        <v>0</v>
      </c>
      <c r="IH124" s="6">
        <f>COUNTIFS(Table53[Country],Tabela1[[#This Row],[Country]],Table53[25m Rapid Fire Pistol Classification],"&gt;0")</f>
        <v>0</v>
      </c>
      <c r="II124" s="6">
        <f>COUNTIFS(Table19[Country],Tabela1[[#This Row],[Country]],Table19[25m Pistol Classification],"&gt;0")</f>
        <v>0</v>
      </c>
      <c r="IJ124" s="6">
        <f>COUNTIFS(Table53[Country],Tabela1[[#This Row],[Country]],Table53[50m Rifle 3 Positions Classification],"&gt;0")</f>
        <v>0</v>
      </c>
      <c r="IK124" s="6">
        <f>COUNTIFS(Table19[Country],Tabela1[[#This Row],[Country]],Table19[50m Rifle 3 Positions Classification],"&gt;0")</f>
        <v>0</v>
      </c>
      <c r="IL124" s="6">
        <f>COUNTIFS(Table53[Country],Tabela1[[#This Row],[Country]],Table53[Skeet Classification],"&gt;0")</f>
        <v>0</v>
      </c>
      <c r="IM124" s="6">
        <f>COUNTIFS(Table19[Country],Tabela1[[#This Row],[Country]],Table19[Skeet Classification],"&gt;0")</f>
        <v>0</v>
      </c>
      <c r="IN124" s="6">
        <f>COUNTIFS(Table54[Country],Tabela1[[#This Row],[Country]],Table54[Mixed Skeet Team Classification],"&gt;0")</f>
        <v>0</v>
      </c>
      <c r="IO124" s="6">
        <f>COUNTIFS(Table53[Country],Tabela1[[#This Row],[Country]],Table53[Trap Classification],"&gt;0")</f>
        <v>0</v>
      </c>
      <c r="IP124" s="6">
        <f>COUNTIFS(Table19[Country],Tabela1[[#This Row],[Country]],Table19[Trap Classification],"&gt;0")</f>
        <v>0</v>
      </c>
      <c r="IQ124" s="6">
        <f>COUNTIFS(Table73[Country],Tabela1[[#This Row],[Country]],Table73[Park Classification],"&gt;0")</f>
        <v>0</v>
      </c>
      <c r="IR124" s="6">
        <f>COUNTIFS(Table74[Country],Tabela1[[#This Row],[Country]],Table74[Park Classification],"&gt;0")</f>
        <v>0</v>
      </c>
      <c r="IS124" s="6">
        <f>COUNTIFS(Table73[Country],Tabela1[[#This Row],[Country]],Table73[Street Classification],"&gt;0")</f>
        <v>0</v>
      </c>
      <c r="IT124" s="6">
        <f>COUNTIFS(Table74[Country],Tabela1[[#This Row],[Country]],Table74[Street Classification],"&gt;0")</f>
        <v>0</v>
      </c>
      <c r="IU124" s="6">
        <f>COUNTIFS(Table75[Country],Tabela1[[#This Row],[Country]],Table75[Boulder and Lead Classification],"&gt;0")</f>
        <v>0</v>
      </c>
      <c r="IV124" s="6">
        <f>COUNTIFS(Table76[Country],Tabela1[[#This Row],[Country]],Table76[Boulder and Lead Classification],"&gt;0")</f>
        <v>0</v>
      </c>
      <c r="IW124" s="6">
        <f>COUNTIFS(Table75[Country],Tabela1[[#This Row],[Country]],Table75[Speed Classification],"&gt;0")</f>
        <v>0</v>
      </c>
      <c r="IX124" s="6">
        <f>COUNTIFS(Table76[Country],Tabela1[[#This Row],[Country]],Table76[Speed Classification],"&gt;0")</f>
        <v>0</v>
      </c>
      <c r="IY124" s="6">
        <f>COUNTIFS(Table64[Country],Tabela1[[#This Row],[Country]],Table64[Shortboard Classification],"&gt;0")</f>
        <v>0</v>
      </c>
      <c r="IZ124" s="6">
        <f>COUNTIFS(Table77[Country],Tabela1[[#This Row],[Country]],Table77[Shortboard Classification],"&gt;0")</f>
        <v>0</v>
      </c>
      <c r="JA124" s="6">
        <f>COUNTIFS(Table20[Country],Tabela1[[#This Row],[Country]],Table20[50m Freestyle Classification],"&gt;0")</f>
        <v>0</v>
      </c>
      <c r="JB124" s="6">
        <f>COUNTIFS(Table21[Country],Tabela1[[#This Row],[Country]],Table21[50m Freestyle Classification],"&gt;0")</f>
        <v>1</v>
      </c>
      <c r="JC124" s="6">
        <f>COUNTIFS(Table20[Country],Tabela1[[#This Row],[Country]],Table20[100m Freestyle Classification],"&gt;0")</f>
        <v>0</v>
      </c>
      <c r="JD124" s="6">
        <f>COUNTIFS(Table21[Country],Tabela1[[#This Row],[Country]],Table21[100m Freestyle Classification],"&gt;0")</f>
        <v>0</v>
      </c>
      <c r="JE124" s="6">
        <f>COUNTIFS(Table20[Country],Tabela1[[#This Row],[Country]],Table20[200m Freestyle Classification],"&gt;0")</f>
        <v>0</v>
      </c>
      <c r="JF124" s="6">
        <f>COUNTIFS(Table21[Country],Tabela1[[#This Row],[Country]],Table21[200m Freestyle Classification],"&gt;0")</f>
        <v>0</v>
      </c>
      <c r="JG124" s="6">
        <f>COUNTIFS(Table20[Country],Tabela1[[#This Row],[Country]],Table20[400m Freestyle Classification],"&gt;0")</f>
        <v>0</v>
      </c>
      <c r="JH124" s="6">
        <f>COUNTIFS(Table21[Country],Tabela1[[#This Row],[Country]],Table21[400m Freestyle Classification],"&gt;0")</f>
        <v>0</v>
      </c>
      <c r="JI124" s="6">
        <f>COUNTIFS(Table20[Country],Tabela1[[#This Row],[Country]],Table20[800m Freestyle Classification],"&gt;0")</f>
        <v>0</v>
      </c>
      <c r="JJ124" s="6">
        <f>COUNTIFS(Table21[Country],Tabela1[[#This Row],[Country]],Table21[800m Freestyle Classification],"&gt;0")</f>
        <v>0</v>
      </c>
      <c r="JK124" s="6">
        <f>COUNTIFS(Table20[Country],Tabela1[[#This Row],[Country]],Table20[1500m Freestyle Classification],"&gt;0")</f>
        <v>0</v>
      </c>
      <c r="JL124" s="6">
        <f>COUNTIFS(Table21[Country],Tabela1[[#This Row],[Country]],Table21[1500m Freestyle Classification],"&gt;0")</f>
        <v>0</v>
      </c>
      <c r="JM124" s="6">
        <f>COUNTIFS(Table20[Country],Tabela1[[#This Row],[Country]],Table20[100m Backstroke Classification],"&gt;0")</f>
        <v>1</v>
      </c>
      <c r="JN124" s="6">
        <f>COUNTIFS(Table21[Country],Tabela1[[#This Row],[Country]],Table21[100m Backstroke Classification],"&gt;0")</f>
        <v>0</v>
      </c>
      <c r="JO124" s="6">
        <f>COUNTIFS(Table20[Country],Tabela1[[#This Row],[Country]],Table20[200m Backstroke Classification],"&gt;0")</f>
        <v>0</v>
      </c>
      <c r="JP124" s="6">
        <f>COUNTIFS(Table21[Country],Tabela1[[#This Row],[Country]],Table21[200m Backstroke Classification],"&gt;0")</f>
        <v>0</v>
      </c>
      <c r="JQ124" s="6">
        <f>COUNTIFS(Table20[Country],Tabela1[[#This Row],[Country]],Table20[100m Breaststroke Classification],"&gt;0")</f>
        <v>0</v>
      </c>
      <c r="JR124" s="6">
        <f>COUNTIFS(Table21[Country],Tabela1[[#This Row],[Country]],Table21[100m Breaststroke Classification],"&gt;0")</f>
        <v>0</v>
      </c>
      <c r="JS124" s="6">
        <f>COUNTIFS(Table20[Country],Tabela1[[#This Row],[Country]],Table20[200m Breaststroke Classification],"&gt;0")</f>
        <v>0</v>
      </c>
      <c r="JT124" s="6">
        <f>COUNTIFS(Table21[Country],Tabela1[[#This Row],[Country]],Table21[200m Breaststroke Classification],"&gt;0")</f>
        <v>0</v>
      </c>
      <c r="JU124" s="6">
        <f>COUNTIFS(Table20[Country],Tabela1[[#This Row],[Country]],Table20[100m Butterfly Classification],"&gt;0")</f>
        <v>0</v>
      </c>
      <c r="JV124" s="6">
        <f>COUNTIFS(Table21[Country],Tabela1[[#This Row],[Country]],Table21[100m Butterfly Classification],"&gt;0")</f>
        <v>0</v>
      </c>
      <c r="JW124" s="6">
        <f>COUNTIFS(Table20[Country],Tabela1[[#This Row],[Country]],Table20[200m Butterfly Classification],"&gt;0")</f>
        <v>0</v>
      </c>
      <c r="JX124" s="6">
        <f>COUNTIFS(Table21[Country],Tabela1[[#This Row],[Country]],Table21[200m Butterfly Classification],"&gt;0")</f>
        <v>0</v>
      </c>
      <c r="JY124" s="6">
        <f>COUNTIFS(Table20[Country],Tabela1[[#This Row],[Country]],Table20[200m Medley Classification],"&gt;0")</f>
        <v>0</v>
      </c>
      <c r="JZ124" s="6">
        <f>COUNTIFS(Table21[Country],Tabela1[[#This Row],[Country]],Table21[200m Medley Classification],"&gt;0")</f>
        <v>0</v>
      </c>
      <c r="KA124" s="6">
        <f>COUNTIFS(Table20[Country],Tabela1[[#This Row],[Country]],Table20[400m Medley Classification],"&gt;0")</f>
        <v>0</v>
      </c>
      <c r="KB124" s="6">
        <f>COUNTIFS(Table21[Country],Tabela1[[#This Row],[Country]],Table21[400m Medley Classification],"&gt;0")</f>
        <v>0</v>
      </c>
      <c r="KC124" s="6">
        <f>COUNTIFS(Table78[Country],Tabela1[[#This Row],[Country]],Table78[Men''s 4x100m Freestyle Relay Classification],"&gt;0")</f>
        <v>0</v>
      </c>
      <c r="KD124" s="6">
        <f>COUNTIFS(Table78[Country],Tabela1[[#This Row],[Country]],Table78[Women''s 4x100m Freestyle Relay Classification],"&gt;0")</f>
        <v>0</v>
      </c>
      <c r="KE124" s="6">
        <f>COUNTIFS(Table78[Country],Tabela1[[#This Row],[Country]],Table78[Men''s 4x200m Freestyle Relay Classification],"&gt;0")</f>
        <v>0</v>
      </c>
      <c r="KF124" s="6">
        <f>COUNTIFS(Table78[Country],Tabela1[[#This Row],[Country]],Table78[Women''s 4x200m Freestyle Relay Classification],"&gt;0")</f>
        <v>0</v>
      </c>
      <c r="KG124" s="6">
        <f>COUNTIFS(Table78[Country],Tabela1[[#This Row],[Country]],Table78[Men''s 4x100m Medley Relay Classification],"&gt;0")</f>
        <v>0</v>
      </c>
      <c r="KH124" s="6">
        <f>COUNTIFS(Table78[Country],Tabela1[[#This Row],[Country]],Table78[Women''s 4x100m Medley Relay Classification],"&gt;0")</f>
        <v>0</v>
      </c>
      <c r="KI124" s="6">
        <f>COUNTIFS(Table78[Country],Tabela1[[#This Row],[Country]],Table78[Mixed 4x100m Medley Relay Classification],"&gt;0")</f>
        <v>0</v>
      </c>
      <c r="KJ124" s="6">
        <f>COUNTIFS(Table20[Country],Tabela1[[#This Row],[Country]],Table20[10km Open Water Classification],"&gt;0")</f>
        <v>0</v>
      </c>
      <c r="KK124" s="6">
        <f>COUNTIFS(Table21[Country],Tabela1[[#This Row],[Country]],Table21[10km Open Water Classification],"&gt;0")</f>
        <v>0</v>
      </c>
      <c r="KL124" s="6">
        <f>COUNTIFS(Table22[Country],Tabela1[[#This Row],[Country]],Table22[Classification],"&gt;0")</f>
        <v>0</v>
      </c>
      <c r="KM124" s="6">
        <f>COUNTIFS(Table30[Country],Tabela1[[#This Row],[Country]],Table30[Classification],"&gt;0")</f>
        <v>0</v>
      </c>
      <c r="KN124" s="6">
        <f>COUNTIFS(Table55[Country],Tabela1[[#This Row],[Country]],Table55[Men''s Classification],"&gt;0")</f>
        <v>0</v>
      </c>
      <c r="KO124" s="6">
        <f>COUNTIFS(Table55[Country],Tabela1[[#This Row],[Country]],Table55[Women''s Classification],"&gt;0")</f>
        <v>0</v>
      </c>
      <c r="KP124" s="6">
        <f>COUNTIFS(Table56[Country],Tabela1[[#This Row],[Country]],Table56[Mixed Classification],"&gt;0")</f>
        <v>0</v>
      </c>
      <c r="KQ124" s="6">
        <f>COUNTIFS(Table29[Country],Tabela1[[#This Row],[Country]],Table29[58kg Classification],"&gt;0")</f>
        <v>0</v>
      </c>
      <c r="KR124" s="6">
        <f>COUNTIFS(Table29[Country],Tabela1[[#This Row],[Country]],Table29[68kg Classification],"&gt;0")</f>
        <v>0</v>
      </c>
      <c r="KS124" s="6">
        <f>COUNTIFS(Table29[Country],Tabela1[[#This Row],[Country]],Table29[80kg Classification],"&gt;0")</f>
        <v>0</v>
      </c>
      <c r="KT124" s="6">
        <f>COUNTIFS(Table29[Country],Tabela1[[#This Row],[Country]],Table29[Plus 80kg Classification],"&gt;0")</f>
        <v>0</v>
      </c>
      <c r="KU124" s="6">
        <f>COUNTIFS(Table34[Country],Tabela1[[#This Row],[Country]],Table34[49kg Classification],"&gt;0")</f>
        <v>0</v>
      </c>
      <c r="KV124" s="6">
        <f>COUNTIFS(Table34[Country],Tabela1[[#This Row],[Country]],Table34[57kg Classification],"&gt;0")</f>
        <v>0</v>
      </c>
      <c r="KW124" s="6">
        <f>COUNTIFS(Table34[Country],Tabela1[[#This Row],[Country]],Table34[67kg Classification],"&gt;0")</f>
        <v>0</v>
      </c>
      <c r="KX124" s="6">
        <f>COUNTIFS(Table34[Country],Tabela1[[#This Row],[Country]],Table34[Plus 67kg Classification],"&gt;0")</f>
        <v>0</v>
      </c>
      <c r="KY124" s="6">
        <f>COUNTIFS(Table57[Country],Tabela1[[#This Row],[Country]],Table57[Classification],"&gt;0")</f>
        <v>0</v>
      </c>
      <c r="KZ124" s="6">
        <f>COUNTIFS(Table58[Country],Tabela1[[#This Row],[Country]],Table58[Classification],"&gt;0")</f>
        <v>0</v>
      </c>
      <c r="LA124" s="6">
        <f>COUNTIFS(Table79[Country],Tabela1[[#This Row],[Country]],Table79[Men''s Classification],"&gt;0")</f>
        <v>0</v>
      </c>
      <c r="LB124" s="6">
        <f>COUNTIFS(Table79[Country],Tabela1[[#This Row],[Country]],Table79[Women''s Classification],"&gt;0")</f>
        <v>0</v>
      </c>
      <c r="LC124" s="6">
        <f>COUNTIFS(Table79[Country],Tabela1[[#This Row],[Country]],Table79[Mixed Classification],"&gt;0")</f>
        <v>0</v>
      </c>
      <c r="LD124" s="6">
        <f>COUNTIFS(Table65[Country],Tabela1[[#This Row],[Country]],Table65[Classification],"&gt;0")</f>
        <v>0</v>
      </c>
      <c r="LE124" s="6">
        <f>COUNTIFS(Table59[Country],Tabela1[[#This Row],[Country]],Table59[Classification],"&gt;0")</f>
        <v>0</v>
      </c>
      <c r="LF124" s="6">
        <f>COUNTIFS(Table87[Country],Tabela1[[#This Row],[Country]],Table87[Mixed Relay Classification],"&gt;0")</f>
        <v>0</v>
      </c>
      <c r="LG124" s="6">
        <f>COUNTIFS(Table91949698100[Country],Tabela1[[#This Row],[Country]],Table91949698100[Men''s Classification],"&gt;0")</f>
        <v>0</v>
      </c>
      <c r="LH124" s="6">
        <f>COUNTIFS(Table91949698100[Country],Tabela1[[#This Row],[Country]],Table91949698100[Women''s Classification],"&gt;0")</f>
        <v>0</v>
      </c>
      <c r="LI124" s="6">
        <f>COUNTIFS(Table91949698100102[Country],Tabela1[[#This Row],[Country]],Table91949698100102[Men''s Classification],"&gt;0")</f>
        <v>0</v>
      </c>
      <c r="LJ124" s="6">
        <f>COUNTIFS(Table91949698100102[Country],Tabela1[[#This Row],[Country]],Table91949698100102[Women''s Classification],"&gt;0")</f>
        <v>0</v>
      </c>
      <c r="LK124" s="6">
        <f>COUNTIFS(Table23[Country],Tabela1[[#This Row],[Country]],Table23[61kg Classification],"&gt;0")</f>
        <v>0</v>
      </c>
      <c r="LL124" s="6">
        <f>COUNTIFS(Table23[Country],Tabela1[[#This Row],[Country]],Table23[73kg Classification],"&gt;0")</f>
        <v>0</v>
      </c>
      <c r="LM124" s="6">
        <f>COUNTIFS(Table23[Country],Tabela1[[#This Row],[Country]],Table23[89kg Classification],"&gt;0")</f>
        <v>0</v>
      </c>
      <c r="LN124" s="6">
        <f>COUNTIFS(Table23[Country],Tabela1[[#This Row],[Country]],Table23[102kg Classification],"&gt;0")</f>
        <v>0</v>
      </c>
      <c r="LO124" s="6">
        <f>COUNTIFS(Table23[Country],Tabela1[[#This Row],[Country]],Table23[Plus 102kg Classification],"&gt;0")</f>
        <v>0</v>
      </c>
      <c r="LP124" s="6">
        <f>COUNTIFS(Table28[Country],Tabela1[[#This Row],[Country]],Table28[49kg Classification],"&gt;0")</f>
        <v>0</v>
      </c>
      <c r="LQ124" s="6">
        <f>COUNTIFS(Table28[Country],Tabela1[[#This Row],[Country]],Table28[59kg Classification],"&gt;0")</f>
        <v>0</v>
      </c>
      <c r="LR124" s="6">
        <f>COUNTIFS(Table28[Country],Tabela1[[#This Row],[Country]],Table28[71kg Classification],"&gt;0")</f>
        <v>0</v>
      </c>
      <c r="LS124" s="6">
        <f>COUNTIFS(Table28[Country],Tabela1[[#This Row],[Country]],Table28[81kg Classification],"&gt;0")</f>
        <v>0</v>
      </c>
      <c r="LT124" s="6">
        <f>COUNTIFS(Table28[Country],Tabela1[[#This Row],[Country]],Table28[Plus 81kg Classification],"&gt;0")</f>
        <v>0</v>
      </c>
      <c r="LU124" s="6">
        <f>COUNTIFS(Table24[Country],Tabela1[[#This Row],[Country]],Table24[Freestyle 57kg Classification],"&gt;0")</f>
        <v>0</v>
      </c>
      <c r="LV124" s="6">
        <f>COUNTIFS(Table24[Country],Tabela1[[#This Row],[Country]],Table24[Freestyle 65kg Classification],"&gt;0")</f>
        <v>0</v>
      </c>
      <c r="LW124" s="6">
        <f>COUNTIFS(Table24[Country],Tabela1[[#This Row],[Country]],Table24[Freestyle 74kg Classification],"&gt;0")</f>
        <v>0</v>
      </c>
      <c r="LX124" s="6">
        <f>COUNTIFS(Table24[Country],Tabela1[[#This Row],[Country]],Table24[Freestyle 86kg Classification],"&gt;0")</f>
        <v>0</v>
      </c>
      <c r="LY124" s="6">
        <f>COUNTIFS(Table24[Country],Tabela1[[#This Row],[Country]],Table24[Freestyle 97kg Classification],"&gt;0")</f>
        <v>0</v>
      </c>
      <c r="LZ124" s="6">
        <f>COUNTIFS(Table24[Country],Tabela1[[#This Row],[Country]],Table24[Freestyle 125kg Classification],"&gt;0")</f>
        <v>0</v>
      </c>
      <c r="MA124" s="6">
        <f>COUNTIFS(Table24[Country],Tabela1[[#This Row],[Country]],Table24[Greco-Roman 60kg Classification],"&gt;0")</f>
        <v>0</v>
      </c>
      <c r="MB124" s="6">
        <f>COUNTIFS(Table24[Country],Tabela1[[#This Row],[Country]],Table24[Greco-Roman 67kg Classification],"&gt;0")</f>
        <v>0</v>
      </c>
      <c r="MC124" s="6">
        <f>COUNTIFS(Table24[Country],Tabela1[[#This Row],[Country]],Table24[Greco-Roman 77kg Classification],"&gt;0")</f>
        <v>0</v>
      </c>
      <c r="MD124" s="6">
        <f>COUNTIFS(Table24[Country],Tabela1[[#This Row],[Country]],Table24[Greco-Roman 87kg Classification],"&gt;0")</f>
        <v>0</v>
      </c>
      <c r="ME124" s="6">
        <f>COUNTIFS(Table24[Country],Tabela1[[#This Row],[Country]],Table24[Greco-Roman 97kg Classification],"&gt;0")</f>
        <v>0</v>
      </c>
      <c r="MF124" s="6">
        <f>COUNTIFS(Table24[Country],Tabela1[[#This Row],[Country]],Table24[Greco-Roman 130kg Classification],"&gt;0")</f>
        <v>0</v>
      </c>
      <c r="MG124" s="6">
        <f>COUNTIFS(Table31[Country],Tabela1[[#This Row],[Country]],Table31[50kg Classification],"&gt;0")</f>
        <v>0</v>
      </c>
      <c r="MH124" s="6">
        <f>COUNTIFS(Table31[Country],Tabela1[[#This Row],[Country]],Table31[53kg Classification],"&gt;0")</f>
        <v>0</v>
      </c>
      <c r="MI124" s="6">
        <f>COUNTIFS(Table31[Country],Tabela1[[#This Row],[Country]],Table31[57kg Classification],"&gt;0")</f>
        <v>0</v>
      </c>
      <c r="MJ124" s="6">
        <f>COUNTIFS(Table31[Country],Tabela1[[#This Row],[Country]],Table31[62kg Classification],"&gt;0")</f>
        <v>0</v>
      </c>
      <c r="MK124" s="6">
        <f>COUNTIFS(Table31[Country],Tabela1[[#This Row],[Country]],Table31[68kg Classification],"&gt;0")</f>
        <v>0</v>
      </c>
      <c r="ML124" s="6">
        <f>COUNTIFS(Table31[Country],Tabela1[[#This Row],[Country]],Table31[76kg Classification],"&gt;0")</f>
        <v>0</v>
      </c>
      <c r="MM124" s="6">
        <f>COUNTIFS(Table102[Country],Tabela1[[#This Row],[Country]],Table102[Downhill Classification],"&gt;0")</f>
        <v>0</v>
      </c>
      <c r="MN124" s="6">
        <f>COUNTIFS(Table102105[Country],Tabela1[[#This Row],[Country]],Table102105[Downhill Classification],"&gt;0")</f>
        <v>0</v>
      </c>
      <c r="MO124" s="6">
        <f>COUNTIFS(Table102[Country],Tabela1[[#This Row],[Country]],Table102[Giant Slalom Classification],"&gt;0")</f>
        <v>0</v>
      </c>
      <c r="MP124" s="6">
        <f>COUNTIFS(Table102105[Country],Tabela1[[#This Row],[Country]],Table102105[Giant Slalom Classification],"&gt;0")</f>
        <v>0</v>
      </c>
      <c r="MQ124" s="6">
        <f>COUNTIFS(Table102[Country],Tabela1[[#This Row],[Country]],Table102[Slalom Classification],"&gt;0")</f>
        <v>0</v>
      </c>
      <c r="MR124" s="6">
        <f>COUNTIFS(Table102105[Country],Tabela1[[#This Row],[Country]],Table102105[Slalom Classification],"&gt;0")</f>
        <v>0</v>
      </c>
      <c r="MS124" s="6">
        <f>COUNTIFS(Table102[Country],Tabela1[[#This Row],[Country]],Table102[Super-G Classification],"&gt;0")</f>
        <v>0</v>
      </c>
      <c r="MT124" s="6">
        <f>COUNTIFS(Table102105[Country],Tabela1[[#This Row],[Country]],Table102105[Super-G Classification],"&gt;0")</f>
        <v>0</v>
      </c>
      <c r="MU124" s="6">
        <f>COUNTIFS(Table105[Country],Tabela1[[#This Row],[Country]],Table105[Men''s Combined Classification],"&gt;0")</f>
        <v>0</v>
      </c>
      <c r="MV124" s="6">
        <f>COUNTIFS(Table105[Country],Tabela1[[#This Row],[Country]],Table105[Women''s Combined Classification],"&gt;0")</f>
        <v>0</v>
      </c>
      <c r="MW124" s="6">
        <f>COUNTIFS(Table106[Country],Tabela1[[#This Row],[Country]],Table106[Individual Classification],"&gt;0")</f>
        <v>0</v>
      </c>
      <c r="MX124" s="6">
        <f>COUNTIFS(Table106109[Country],Tabela1[[#This Row],[Country]],Table106109[Individual Classification],"&gt;0")</f>
        <v>0</v>
      </c>
      <c r="MY124" s="6">
        <f>COUNTIFS(Table106[Country],Tabela1[[#This Row],[Country]],Table106[Mass Start Classification],"&gt;0")</f>
        <v>0</v>
      </c>
      <c r="MZ124" s="6">
        <f>COUNTIFS(Table106109[Country],Tabela1[[#This Row],[Country]],Table106109[Mass Start Classification],"&gt;0")</f>
        <v>0</v>
      </c>
      <c r="NA124" s="6">
        <f>COUNTIFS(Table106[Country],Tabela1[[#This Row],[Country]],Table106[Pursuit Classification],"&gt;0")</f>
        <v>0</v>
      </c>
      <c r="NB124" s="6">
        <f>COUNTIFS(Table106109[Country],Tabela1[[#This Row],[Country]],Table106109[Pursuit Classification],"&gt;0")</f>
        <v>0</v>
      </c>
      <c r="NC124" s="6">
        <f>COUNTIFS(Table106[Country],Tabela1[[#This Row],[Country]],Table106[Sprint Classification],"&gt;0")</f>
        <v>0</v>
      </c>
      <c r="ND124" s="6">
        <f>COUNTIFS(Table106109[Country],Tabela1[[#This Row],[Country]],Table106109[Sprint Classification],"&gt;0")</f>
        <v>0</v>
      </c>
      <c r="NE124" s="6">
        <f>COUNTIFS(Table109[Country],Tabela1[[#This Row],[Country]],Table109[Men''s Relay Classification],"&gt;0")</f>
        <v>0</v>
      </c>
      <c r="NF124" s="6">
        <f>COUNTIFS(Table109[Country],Tabela1[[#This Row],[Country]],Table109[Women''s Relay Classification],"&gt;0")</f>
        <v>0</v>
      </c>
      <c r="NG124" s="6">
        <f>COUNTIFS(Table109[Country],Tabela1[[#This Row],[Country]],Table109[Mixed Relay Classification],"&gt;0")</f>
        <v>0</v>
      </c>
      <c r="NH124" s="6">
        <f>COUNTIFS(Table110[Country],Tabela1[[#This Row],[Country]],Table110[Monobob Classification],"&gt;0")</f>
        <v>0</v>
      </c>
      <c r="NI124" s="6">
        <f>COUNTIFS(Table111[Country],Tabela1[[#This Row],[Country]],Table111[Men''s Classification],"&gt;0")</f>
        <v>0</v>
      </c>
      <c r="NJ124" s="6">
        <f>COUNTIFS(Table111[Country],Tabela1[[#This Row],[Country]],Table111[Women''s Classification],"&gt;0")</f>
        <v>0</v>
      </c>
      <c r="NK124" s="6">
        <f>COUNTIFS(Table112[Country],Tabela1[[#This Row],[Country]],Table112[Men''s Four Classification],"&gt;0")</f>
        <v>0</v>
      </c>
      <c r="NL124" s="6">
        <f>COUNTIFS(Table113[Country],Tabela1[[#This Row],[Country]],Table113[Classical Classification],"&gt;0")</f>
        <v>0</v>
      </c>
      <c r="NM124" s="6">
        <f>COUNTIFS(Table113116[Country],Tabela1[[#This Row],[Country]],Table113116[Classical Classification],"&gt;0")</f>
        <v>0</v>
      </c>
      <c r="NN124" s="6">
        <f>COUNTIFS(Table113[Country],Tabela1[[#This Row],[Country]],Table113[Freestyle Classification],"&gt;0")</f>
        <v>0</v>
      </c>
      <c r="NO124" s="6">
        <f>COUNTIFS(Table113116[Country],Tabela1[[#This Row],[Country]],Table113116[Freestyle Classification],"&gt;0")</f>
        <v>0</v>
      </c>
      <c r="NP124" s="6">
        <f>COUNTIFS(Table117[Country],Tabela1[[#This Row],[Country]],Table117[Men''s Relay Classification],"&gt;0")</f>
        <v>0</v>
      </c>
      <c r="NQ124" s="6">
        <f>COUNTIFS(Table117[Country],Tabela1[[#This Row],[Country]],Table117[Women''s Relay Classification],"&gt;0")</f>
        <v>0</v>
      </c>
      <c r="NR124" s="6">
        <f>COUNTIFS(Table113[Country],Tabela1[[#This Row],[Country]],Table113[Skiathlon Classification],"&gt;0")</f>
        <v>0</v>
      </c>
      <c r="NS124" s="6">
        <f>COUNTIFS(Table113116[Country],Tabela1[[#This Row],[Country]],Table113116[Skiathlon Classification],"&gt;0")</f>
        <v>0</v>
      </c>
      <c r="NT124" s="6">
        <f>COUNTIFS(Table113[Country],Tabela1[[#This Row],[Country]],Table113[Sprint Classification],"&gt;0")</f>
        <v>0</v>
      </c>
      <c r="NU124" s="6">
        <f>COUNTIFS(Table113116[Country],Tabela1[[#This Row],[Country]],Table113116[Sprint Classification],"&gt;0")</f>
        <v>0</v>
      </c>
      <c r="NV124" s="6">
        <f>COUNTIFS(Table116[Country],Tabela1[[#This Row],[Country]],Table116[Men''s Team Sprint Classification],"&gt;0")</f>
        <v>0</v>
      </c>
      <c r="NW124" s="6">
        <f>COUNTIFS(Table116[Country],Tabela1[[#This Row],[Country]],Table116[Women''s Team Sprint Classification],"&gt;0")</f>
        <v>0</v>
      </c>
      <c r="NX124" s="6">
        <f>COUNTIFS(Table119[Country],Tabela1[[#This Row],[Country]],Table119[Men''s Classification],"&gt;0")</f>
        <v>0</v>
      </c>
      <c r="NY124" s="6">
        <f>COUNTIFS(Table119[Country],Tabela1[[#This Row],[Country]],Table119[Women''s Classification],"&gt;0")</f>
        <v>0</v>
      </c>
      <c r="NZ124" s="6">
        <f>COUNTIFS(Table118[Country],Tabela1[[#This Row],[Country]],Table118[Mixed Classification],"&gt;0")</f>
        <v>0</v>
      </c>
      <c r="OA124" s="6">
        <f>COUNTIFS(Table120[Country],Tabela1[[#This Row],[Country]],Table120[Classification],"&gt;0")</f>
        <v>0</v>
      </c>
      <c r="OB124" s="6">
        <f>COUNTIFS(Table120123[Country],Tabela1[[#This Row],[Country]],Table120123[Classification],"&gt;0")</f>
        <v>0</v>
      </c>
      <c r="OC124" s="6">
        <f>COUNTIFS(Table123[Country],Tabela1[[#This Row],[Country]],Table123[Ice Dance Classification],"&gt;0")</f>
        <v>0</v>
      </c>
      <c r="OD124" s="6">
        <f>COUNTIFS(Table123[Country],Tabela1[[#This Row],[Country]],Table123[Pair Skating Classification],"&gt;0")</f>
        <v>0</v>
      </c>
      <c r="OE124" s="6">
        <f>COUNTIFS(Table124[Country],Tabela1[[#This Row],[Country]],Table124[Mixed Classification],"&gt;0")</f>
        <v>0</v>
      </c>
      <c r="OF124" s="6">
        <f>COUNTIFS(Table125[Country],Tabela1[[#This Row],[Country]],Table125[Aerials Classification],"&gt;0")</f>
        <v>0</v>
      </c>
      <c r="OG124" s="6">
        <f>COUNTIFS(Table125128[Country],Tabela1[[#This Row],[Country]],Table125128[Aerials Classification],"&gt;0")</f>
        <v>0</v>
      </c>
      <c r="OH124" s="6">
        <f>COUNTIFS(Table128[Country],Tabela1[[#This Row],[Country]],Table128[Mixed Aerials Classification],"&gt;0")</f>
        <v>0</v>
      </c>
      <c r="OI124" s="6">
        <f>COUNTIFS(Table125[Country],Tabela1[[#This Row],[Country]],Table125[Big Air Classification],"&gt;0")</f>
        <v>0</v>
      </c>
      <c r="OJ124" s="6">
        <f>COUNTIFS(Table125128[Country],Tabela1[[#This Row],[Country]],Table125128[Big Air Classification],"&gt;0")</f>
        <v>0</v>
      </c>
      <c r="OK124" s="6">
        <f>COUNTIFS(Table125[Country],Tabela1[[#This Row],[Country]],Table125[Dual Moguls Classification],"&gt;0")</f>
        <v>0</v>
      </c>
      <c r="OL124" s="6">
        <f>COUNTIFS(Table125128[Country],Tabela1[[#This Row],[Country]],Table125128[Dual Moguls Classification],"&gt;0")</f>
        <v>0</v>
      </c>
      <c r="OM124" s="6">
        <f>COUNTIFS(Table125[Country],Tabela1[[#This Row],[Country]],Table125[Halfpipe Classification],"&gt;0")</f>
        <v>0</v>
      </c>
      <c r="ON124" s="6">
        <f>COUNTIFS(Table125128[Country],Tabela1[[#This Row],[Country]],Table125128[Halfpipe Classification],"&gt;0")</f>
        <v>0</v>
      </c>
      <c r="OO124" s="6">
        <f>COUNTIFS(Table125[Country],Tabela1[[#This Row],[Country]],Table125[Moguls Classification],"&gt;0")</f>
        <v>0</v>
      </c>
      <c r="OP124" s="6">
        <f>COUNTIFS(Table125128[Country],Tabela1[[#This Row],[Country]],Table125128[Moguls Classification],"&gt;0")</f>
        <v>0</v>
      </c>
      <c r="OQ124" s="6">
        <f>COUNTIFS(Table125[Country],Tabela1[[#This Row],[Country]],Table125[Ski Cross Classification],"&gt;0")</f>
        <v>0</v>
      </c>
      <c r="OR124" s="6">
        <f>COUNTIFS(Table125128[Country],Tabela1[[#This Row],[Country]],Table125128[Ski Cross Classification],"&gt;0")</f>
        <v>0</v>
      </c>
      <c r="OS124" s="6">
        <f>COUNTIFS(Table125[Country],Tabela1[[#This Row],[Country]],Table125[Slopestyle Classification],"&gt;0")</f>
        <v>0</v>
      </c>
      <c r="OT124" s="6">
        <f>COUNTIFS(Table125128[Country],Tabela1[[#This Row],[Country]],Table125128[Slopestyle Classification],"&gt;0")</f>
        <v>0</v>
      </c>
      <c r="OU124" s="6">
        <f>COUNTIFS(Table119131[Country],Tabela1[[#This Row],[Country]],Table119131[Men''s Classification],"&gt;0")</f>
        <v>0</v>
      </c>
      <c r="OV124" s="6">
        <f>COUNTIFS(Table119131[Country],Tabela1[[#This Row],[Country]],Table119131[Women''s Classification],"&gt;0")</f>
        <v>0</v>
      </c>
      <c r="OW124" s="6">
        <f>COUNTIFS(Table131[Country],Tabela1[[#This Row],[Country]],Table131[Classification],"&gt;0")</f>
        <v>0</v>
      </c>
      <c r="OX124" s="6">
        <f>COUNTIFS(Table131134[Country],Tabela1[[#This Row],[Country]],Table131134[Classification],"&gt;0")</f>
        <v>0</v>
      </c>
      <c r="OY124" s="6">
        <f>COUNTIFS(Table134[Country],Tabela1[[#This Row],[Country]],Table134[Men''s Classification],"&gt;0")</f>
        <v>0</v>
      </c>
      <c r="OZ124" s="6">
        <f>COUNTIFS(Table134[Country],Tabela1[[#This Row],[Country]],Table134[Women''s Classification],"&gt;0")</f>
        <v>0</v>
      </c>
      <c r="PA124" s="6">
        <f>COUNTIFS(Table135[Country],Tabela1[[#This Row],[Country]],Table135[Mixed Relay Classification],"&gt;0")</f>
        <v>0</v>
      </c>
      <c r="PB124" s="6">
        <f>COUNTIFS(Table136[Country],Tabela1[[#This Row],[Country]],Table136[Individual Classification],"&gt;0")</f>
        <v>0</v>
      </c>
      <c r="PC124" s="6">
        <f>COUNTIFS(Table136[Country],Tabela1[[#This Row],[Country]],Table136[Sprint Classification],"&gt;0")</f>
        <v>0</v>
      </c>
      <c r="PD124" s="6">
        <f>COUNTIFS(Table137[Country],Tabela1[[#This Row],[Country]],Table137[Men''s Team Sprint Large Hill Classification],"&gt;0")</f>
        <v>0</v>
      </c>
      <c r="PE124" s="6">
        <f>COUNTIFS(Table138[Country],Tabela1[[#This Row],[Country]],Table138[500m Classification],"&gt;0")</f>
        <v>0</v>
      </c>
      <c r="PF124" s="6">
        <f>COUNTIFS(Table138141[Country],Tabela1[[#This Row],[Country]],Table138141[500m Classification],"&gt;0")</f>
        <v>0</v>
      </c>
      <c r="PG124" s="6">
        <f>COUNTIFS(Table138[Country],Tabela1[[#This Row],[Country]],Table138[1000m Classification],"&gt;0")</f>
        <v>0</v>
      </c>
      <c r="PH124" s="6">
        <f>COUNTIFS(Table138141[Country],Tabela1[[#This Row],[Country]],Table138141[1000m Classification],"&gt;0")</f>
        <v>0</v>
      </c>
      <c r="PI124" s="6">
        <f>COUNTIFS(Table138[Country],Tabela1[[#This Row],[Country]],Table138[1500m Classification],"&gt;0")</f>
        <v>0</v>
      </c>
      <c r="PJ124" s="6">
        <f>COUNTIFS(Table138141[Country],Tabela1[[#This Row],[Country]],Table138141[1500m Classification],"&gt;0")</f>
        <v>0</v>
      </c>
      <c r="PK124" s="6">
        <f>COUNTIFS(Table141[Country],Tabela1[[#This Row],[Country]],Table141[Men''s 5000m Relay Classification],"&gt;0")</f>
        <v>0</v>
      </c>
      <c r="PL124" s="6">
        <f>COUNTIFS(Table141[Country],Tabela1[[#This Row],[Country]],Table141[Women''s 3000m Relay Classification],"&gt;0")</f>
        <v>0</v>
      </c>
      <c r="PM124" s="6">
        <f>COUNTIFS(Table141[Country],Tabela1[[#This Row],[Country]],Table141[Mixed 2000m Relay Classification],"&gt;0")</f>
        <v>0</v>
      </c>
      <c r="PN124" s="6">
        <f>COUNTIFS(Table142[Country],Tabela1[[#This Row],[Country]],Table142[Classification],"&gt;0")</f>
        <v>0</v>
      </c>
      <c r="PO124" s="6">
        <f>COUNTIFS(Table142145[Country],Tabela1[[#This Row],[Country]],Table142145[Classification],"&gt;0")</f>
        <v>0</v>
      </c>
      <c r="PP124" s="6">
        <f>COUNTIFS(Tabela15[Country],Tabela1[[#This Row],[Country]],Tabela15[Mixed Team Classification],"&gt;0")</f>
        <v>0</v>
      </c>
      <c r="PQ124" s="6">
        <f>COUNTIFS(Table145[Country],Tabela1[[#This Row],[Country]],Table145[Large Hill Classification],"&gt;0")</f>
        <v>0</v>
      </c>
      <c r="PR124" s="6">
        <f>COUNTIFS(Table145[Country],Tabela1[[#This Row],[Country]],Table145[Normal Hill Classification],"&gt;0")</f>
        <v>0</v>
      </c>
      <c r="PS124" s="6">
        <f>COUNTIFS(Table145148[Country],Tabela1[[#This Row],[Country]],Table145148[Large Hill Classification],"&gt;0")</f>
        <v>0</v>
      </c>
      <c r="PT124" s="6">
        <f>COUNTIFS(Table145148[Country],Tabela1[[#This Row],[Country]],Table145148[Normal Hill Classification],"&gt;0")</f>
        <v>0</v>
      </c>
      <c r="PU124" s="6">
        <f>COUNTIFS(Table148[Country],Tabela1[[#This Row],[Country]],Table148[Men''s Super Team Classification],"&gt;0")</f>
        <v>0</v>
      </c>
      <c r="PV124" s="6">
        <f>COUNTIFS(Tabela114[Country],Tabela1[[#This Row],[Country]],Tabela114[Mixed Normal Hill Classification],"&gt;0")</f>
        <v>0</v>
      </c>
      <c r="PW124" s="6">
        <f>COUNTIFS(Tabela50[Country],Tabela1[[#This Row],[Country]],Tabela50[Sprint Classification],"&gt;0")</f>
        <v>0</v>
      </c>
      <c r="PX124" s="6">
        <f>COUNTIFS(Tabela50101[Country],Tabela1[[#This Row],[Country]],Tabela50101[Sprint Classification],"&gt;0")</f>
        <v>0</v>
      </c>
      <c r="PY124" s="6">
        <f>COUNTIFS(Tabela103[Country],Tabela1[[#This Row],[Country]],Tabela103[Mixed Relay Classification],"&gt;0")</f>
        <v>0</v>
      </c>
      <c r="PZ124" s="6">
        <f>COUNTIFS(Table149[Country],Tabela1[[#This Row],[Country]],Table149[Big Air Classification],"&gt;0")</f>
        <v>0</v>
      </c>
      <c r="QA124" s="6">
        <f>COUNTIFS(Table149152[Country],Tabela1[[#This Row],[Country]],Table149152[Big Air Classification],"&gt;0")</f>
        <v>0</v>
      </c>
      <c r="QB124" s="6">
        <f>COUNTIFS(Table149[Country],Tabela1[[#This Row],[Country]],Table149[Halfpipe Classification],"&gt;0")</f>
        <v>0</v>
      </c>
      <c r="QC124" s="6">
        <f>COUNTIFS(Table149152[Country],Tabela1[[#This Row],[Country]],Table149152[Halfpipe Classification],"&gt;0")</f>
        <v>0</v>
      </c>
      <c r="QD124" s="6">
        <f>COUNTIFS(Table149[Country],Tabela1[[#This Row],[Country]],Table149[Parallel Giant Slalom Classification],"&gt;0")</f>
        <v>0</v>
      </c>
      <c r="QE124" s="6">
        <f>COUNTIFS(Table149152[Country],Tabela1[[#This Row],[Country]],Table149152[Parallel Giant Slalom Classification],"&gt;0")</f>
        <v>0</v>
      </c>
      <c r="QF124" s="6">
        <f>COUNTIFS(Table149[Country],Tabela1[[#This Row],[Country]],Table149[Slopestyle Classification],"&gt;0")</f>
        <v>0</v>
      </c>
      <c r="QG124" s="6">
        <f>COUNTIFS(Table149152[Country],Tabela1[[#This Row],[Country]],Table149152[Slopestyle Classification],"&gt;0")</f>
        <v>0</v>
      </c>
      <c r="QH124" s="6">
        <f>COUNTIFS(Table149[Country],Tabela1[[#This Row],[Country]],Table149[Snowboard Cross Classification],"&gt;0")</f>
        <v>0</v>
      </c>
      <c r="QI124" s="6">
        <f>COUNTIFS(Table149152[Country],Tabela1[[#This Row],[Country]],Table149152[Snowboard Cross Classification],"&gt;0")</f>
        <v>0</v>
      </c>
      <c r="QJ124" s="6">
        <f>COUNTIFS(Table153[Country],Tabela1[[#This Row],[Country]],Table153[Mixed Team Snowboard Cross Classification],"&gt;0")</f>
        <v>0</v>
      </c>
      <c r="QK124" s="6">
        <f>COUNTIFS(Table154[Country],Tabela1[[#This Row],[Country]],Table154[500m Classification],"&gt;0")</f>
        <v>0</v>
      </c>
      <c r="QL124" s="6">
        <f>COUNTIFS(Table154157[Country],Tabela1[[#This Row],[Country]],Table154157[500m Classification],"&gt;0")</f>
        <v>0</v>
      </c>
      <c r="QM124" s="6">
        <f>COUNTIFS(Table154[Country],Tabela1[[#This Row],[Country]],Table154[1000m Classification],"&gt;0")</f>
        <v>0</v>
      </c>
      <c r="QN124" s="6">
        <f>COUNTIFS(Table154157[Country],Tabela1[[#This Row],[Country]],Table154157[1000m Classification],"&gt;0")</f>
        <v>0</v>
      </c>
      <c r="QO124" s="6">
        <f>COUNTIFS(Table154[Country],Tabela1[[#This Row],[Country]],Table154[1500m Classification],"&gt;0")</f>
        <v>0</v>
      </c>
      <c r="QP124" s="6">
        <f>COUNTIFS(Table154157[Country],Tabela1[[#This Row],[Country]],Table154157[1500m Classification],"&gt;0")</f>
        <v>0</v>
      </c>
      <c r="QQ124" s="6">
        <f>COUNTIFS(Table154157[Country],Tabela1[[#This Row],[Country]],Table154157[3000m Classification],"&gt;0")</f>
        <v>0</v>
      </c>
      <c r="QR124" s="6">
        <f>COUNTIFS(Table154[Country],Tabela1[[#This Row],[Country]],Table154[5000m Classification],"&gt;0")</f>
        <v>0</v>
      </c>
      <c r="QS124" s="6">
        <f>COUNTIFS(Table154157[Country],Tabela1[[#This Row],[Country]],Table154157[5000m Classification],"&gt;0")</f>
        <v>0</v>
      </c>
      <c r="QT124" s="6">
        <f>COUNTIFS(Table154[Country],Tabela1[[#This Row],[Country]],Table154[10000m Classification],"&gt;0")</f>
        <v>0</v>
      </c>
      <c r="QU124" s="6">
        <f>COUNTIFS(Table154[Country],Tabela1[[#This Row],[Country]],Table154[Mass Start Classification],"&gt;0")</f>
        <v>0</v>
      </c>
      <c r="QV124" s="6">
        <f>COUNTIFS(Table154157[Country],Tabela1[[#This Row],[Country]],Table154157[Mass Start Classification],"&gt;0")</f>
        <v>0</v>
      </c>
      <c r="QW124" s="6">
        <f>COUNTIFS(Table157[Country],Tabela1[[#This Row],[Country]],Table157[Men''s Pursuit Classification],"&gt;0")</f>
        <v>0</v>
      </c>
      <c r="QX124" s="6">
        <f>COUNTIFS(Table157[Country],Tabela1[[#This Row],[Country]],Table157[Women''s Pursuit Classification],"&gt;0")</f>
        <v>0</v>
      </c>
      <c r="QY124" s="3" t="s">
        <v>717</v>
      </c>
    </row>
    <row r="125" spans="1:467" x14ac:dyDescent="0.3">
      <c r="A125" s="6">
        <v>124</v>
      </c>
      <c r="B125" s="6" t="s">
        <v>504</v>
      </c>
      <c r="C125" t="e" vm="124">
        <f>IF(ISBLANK(Tabela1[[#This Row],[Image Link]]), "", _xlfn.IMAGE(Tabela1[[#This Row],[Image Link]],1,1))</f>
        <v>#VALUE!</v>
      </c>
      <c r="D125" s="6">
        <f>SUM(Tabela1[[#This Row],[Archery - Men''s Individual Recurve]:[Speed Skating - Women''s Team Pursuit]])</f>
        <v>2</v>
      </c>
      <c r="E125" s="6">
        <f>COUNTIF(Tabela1[[#This Row],[Archery - Men''s Individual Recurve]:[Speed Skating - Women''s Team Pursuit]],"&gt;0")</f>
        <v>2</v>
      </c>
      <c r="F125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25" s="6">
        <f>SUM(Tabela1[[#This Row],[Archery - Men''s Individual Recurve]:[Wrestling - Women''s Freestyle 76kg]])</f>
        <v>2</v>
      </c>
      <c r="H125" s="6">
        <f>SUM(Tabela1[[#This Row],[Alpine Skiing - Men''s Downhill]:[Speed Skating - Women''s Team Pursuit]])</f>
        <v>0</v>
      </c>
      <c r="I125" s="6">
        <f>Tabela1[[#This Row],[Summer Gold Medals]]+Tabela1[[#This Row],[Winter Gold Medals]]</f>
        <v>0</v>
      </c>
      <c r="J125" s="6">
        <f>Tabela1[[#This Row],[Summer Silver Medals]]+Tabela1[[#This Row],[Winter Silver Medals]]</f>
        <v>0</v>
      </c>
      <c r="K125" s="6">
        <f>Tabela1[[#This Row],[Summer Bronze Medals]]+Tabela1[[#This Row],[Winter Bronze Medals]]</f>
        <v>0</v>
      </c>
      <c r="L125" s="6">
        <f>SUM(Tabela1[[#This Row],[Total Gold Medals]:[Total Bronze Medals]])</f>
        <v>0</v>
      </c>
      <c r="M125" s="6"/>
      <c r="N125" s="6"/>
      <c r="O125" s="6"/>
      <c r="P125" s="6">
        <f>SUM(Tabela1[[#This Row],[Summer Gold Medals]:[Summer Bronze Medals]])</f>
        <v>0</v>
      </c>
      <c r="Q125" s="6"/>
      <c r="R125" s="6"/>
      <c r="S125" s="6"/>
      <c r="T125" s="6">
        <f>Tabela1[[#This Row],[Winter Gold Medals]]+Tabela1[[#This Row],[Winter Silver Medals]]+Tabela1[[#This Row],[Winter Bronze Medals]]</f>
        <v>0</v>
      </c>
      <c r="U125" s="7">
        <f>Tabela1[[#This Row],[Total Medals]]/Tabela1[[#This Row],[Total Quotas]]</f>
        <v>0</v>
      </c>
      <c r="V125" s="6">
        <f>COUNTIFS(Table3[Country],Tabela1[[#This Row],[Country]],Table3[Recurve Classification],"&gt;0")</f>
        <v>0</v>
      </c>
      <c r="W125" s="6">
        <f>COUNTIFS(Table33[Country],Tabela1[[#This Row],[Country]],Table33[Recurve Classification],"&gt;0")</f>
        <v>0</v>
      </c>
      <c r="X125" s="6">
        <f>COUNTIFS(Table35[Country],Tabela1[[#This Row],[Country]],Table35[Men''s Team Recurve Classification],"&gt;0")</f>
        <v>0</v>
      </c>
      <c r="Y125" s="6">
        <f>COUNTIFS(Table35[Country],Tabela1[[#This Row],[Country]],Table35[Women''s Team Recurve Classification],"&gt;0")</f>
        <v>0</v>
      </c>
      <c r="Z125" s="6">
        <f>COUNTIFS(Tabela88[Country],Tabela1[[#This Row],[Country]],Tabela88[Mixed Team Recurve Classification],"&gt;0")</f>
        <v>0</v>
      </c>
      <c r="AA125" s="6">
        <f>COUNTIFS(Table36[Country],Tabela1[[#This Row],[Country]],Table36[Classification],"&gt;0")</f>
        <v>0</v>
      </c>
      <c r="AB125" s="6">
        <f>COUNTIFS(Table37[Country],Tabela1[[#This Row],[Country]],Table37[Classification],"&gt;0")</f>
        <v>0</v>
      </c>
      <c r="AC125" s="6">
        <f>COUNTIFS(Table4[Country],Tabela1[[#This Row],[Country]],Table4[100m Classification],"&gt;0")</f>
        <v>1</v>
      </c>
      <c r="AD125" s="6">
        <f>COUNTIFS(Table5[Country],Tabela1[[#This Row],[Country]],Table5[100m Classification],"&gt;0")</f>
        <v>1</v>
      </c>
      <c r="AE125" s="6">
        <f>COUNTIFS(Table4[Country],Tabela1[[#This Row],[Country]],Table4[200m Classification],"&gt;0")</f>
        <v>0</v>
      </c>
      <c r="AF125" s="6">
        <f>COUNTIFS(Table5[Country],Tabela1[[#This Row],[Country]],Table5[200m Classification],"&gt;0")</f>
        <v>0</v>
      </c>
      <c r="AG125" s="6">
        <f>COUNTIFS(Table4[Country],Tabela1[[#This Row],[Country]],Table4[400m Classification],"&gt;0")</f>
        <v>0</v>
      </c>
      <c r="AH125" s="6">
        <f>COUNTIFS(Table5[Country],Tabela1[[#This Row],[Country]],Table5[400m Classification],"&gt;0")</f>
        <v>0</v>
      </c>
      <c r="AI125" s="6">
        <f>COUNTIFS(Table4[Country],Tabela1[[#This Row],[Country]],Table4[800m Classification],"&gt;0")</f>
        <v>0</v>
      </c>
      <c r="AJ125" s="6">
        <f>COUNTIFS(Table5[Country],Tabela1[[#This Row],[Country]],Table5[800m Classification],"&gt;0")</f>
        <v>0</v>
      </c>
      <c r="AK125" s="6">
        <f>COUNTIFS(Table4[Country],Tabela1[[#This Row],[Country]],Table4[1500m Classification],"&gt;0")</f>
        <v>0</v>
      </c>
      <c r="AL125" s="6">
        <f>COUNTIFS(Table5[Country],Tabela1[[#This Row],[Country]],Table5[1500m Classification],"&gt;0")</f>
        <v>0</v>
      </c>
      <c r="AM125" s="6">
        <f>COUNTIFS(Table4[Country],Tabela1[[#This Row],[Country]],Table4[5000m Classification],"&gt;0")</f>
        <v>0</v>
      </c>
      <c r="AN125" s="6">
        <f>COUNTIFS(Table5[Country],Tabela1[[#This Row],[Country]],Table5[5000m Classification],"&gt;0")</f>
        <v>0</v>
      </c>
      <c r="AO125" s="6">
        <f>COUNTIFS(Table4[Country],Tabela1[[#This Row],[Country]],Table4[10000m Classification],"&gt;0")</f>
        <v>0</v>
      </c>
      <c r="AP125" s="6">
        <f>COUNTIFS(Table5[Country],Tabela1[[#This Row],[Country]],Table5[10000m Classification],"&gt;0")</f>
        <v>0</v>
      </c>
      <c r="AQ125" s="6">
        <f>COUNTIFS(Table4[Country],Tabela1[[#This Row],[Country]],Table4[110m Hurdles Classification],"&gt;0")</f>
        <v>0</v>
      </c>
      <c r="AR125" s="6">
        <f>COUNTIFS(Table5[Country],Tabela1[[#This Row],[Country]],Table5[100m Hurdles Classification],"&gt;0")</f>
        <v>0</v>
      </c>
      <c r="AS125" s="6">
        <f>COUNTIFS(Table4[Country],Tabela1[[#This Row],[Country]],Table4[400m Hurdles Classification],"&gt;0")</f>
        <v>0</v>
      </c>
      <c r="AT125" s="6">
        <f>COUNTIFS(Table5[Country],Tabela1[[#This Row],[Country]],Table5[400m Hurdles Classification],"&gt;0")</f>
        <v>0</v>
      </c>
      <c r="AU125" s="6">
        <f>COUNTIFS(Table4[Country],Tabela1[[#This Row],[Country]],Table4[3000m Steeplechase Classification],"&gt;0")</f>
        <v>0</v>
      </c>
      <c r="AV125" s="6">
        <f>COUNTIFS(Table5[Country],Tabela1[[#This Row],[Country]],Table5[3000m Steeplechase Classification],"&gt;0")</f>
        <v>0</v>
      </c>
      <c r="AW125" s="6">
        <f>COUNTIFS(Table27[Country],Tabela1[[#This Row],[Country]],Table27[Men''s 4x100m Relay Classification],"&gt;0")</f>
        <v>0</v>
      </c>
      <c r="AX125" s="6">
        <f>COUNTIFS(Table27[Country],Tabela1[[#This Row],[Country]],Table27[Women''s 4x100m Relay Classification],"&gt;0")</f>
        <v>0</v>
      </c>
      <c r="AY125" s="6">
        <f>COUNTIFS(Table27[Country],Tabela1[[#This Row],[Country]],Table27[Men''s 4x400m Relay Classification],"&gt;0")</f>
        <v>0</v>
      </c>
      <c r="AZ125" s="6">
        <f>COUNTIFS(Table27[Country],Tabela1[[#This Row],[Country]],Table27[Women''s 4x400m Relay Classification],"&gt;0")</f>
        <v>0</v>
      </c>
      <c r="BA125" s="6">
        <f>COUNTIFS(Table27[Country],Tabela1[[#This Row],[Country]],Table27[Mixed 4x400m Relay Classification],"&gt;0")</f>
        <v>0</v>
      </c>
      <c r="BB125" s="6">
        <f>COUNTIFS(Table4[Country],Tabela1[[#This Row],[Country]],Table4[Marathon Classification],"&gt;0")</f>
        <v>0</v>
      </c>
      <c r="BC125" s="6">
        <f>COUNTIFS(Table5[Country],Tabela1[[#This Row],[Country]],Table5[Marathon Classification],"&gt;0")</f>
        <v>0</v>
      </c>
      <c r="BD125" s="6">
        <f>COUNTIFS(Table4[Country],Tabela1[[#This Row],[Country]],Table4[20km Race Walk Classification],"&gt;0")</f>
        <v>0</v>
      </c>
      <c r="BE125" s="6">
        <f>COUNTIFS(Table5[Country],Tabela1[[#This Row],[Country]],Table5[20km Race Walk Classification],"&gt;0")</f>
        <v>0</v>
      </c>
      <c r="BF125" s="6">
        <f>COUNTIFS(Tabela96[Country],Tabela1[[#This Row],[Country]],Tabela96[Mixed Marathon Race Walk Relay Classification],"&gt;0")</f>
        <v>0</v>
      </c>
      <c r="BG125" s="6">
        <f>COUNTIFS(Table4[Country],Tabela1[[#This Row],[Country]],Table4[Discus Throw Classification],"&gt;0")</f>
        <v>0</v>
      </c>
      <c r="BH125" s="6">
        <f>COUNTIFS(Table5[Country],Tabela1[[#This Row],[Country]],Table5[Discus Throw Classification],"&gt;0")</f>
        <v>0</v>
      </c>
      <c r="BI125" s="6">
        <f>COUNTIFS(Table4[Country],Tabela1[[#This Row],[Country]],Table4[Hammer Throw Classification],"&gt;0")</f>
        <v>0</v>
      </c>
      <c r="BJ125" s="6">
        <f>COUNTIFS(Table5[Country],Tabela1[[#This Row],[Country]],Table5[Hammer Throw Classification],"&gt;0")</f>
        <v>0</v>
      </c>
      <c r="BK125" s="6">
        <f>COUNTIFS(Table4[Country],Tabela1[[#This Row],[Country]],Table4[High Jump Classification],"&gt;0")</f>
        <v>0</v>
      </c>
      <c r="BL125" s="6">
        <f>COUNTIFS(Table5[Country],Tabela1[[#This Row],[Country]],Table5[High Jump Classification],"&gt;0")</f>
        <v>0</v>
      </c>
      <c r="BM125" s="6">
        <f>COUNTIFS(Table4[Country],Tabela1[[#This Row],[Country]],Table4[Javelin Throw Classification],"&gt;0")</f>
        <v>0</v>
      </c>
      <c r="BN125" s="6">
        <f>COUNTIFS(Table5[Country],Tabela1[[#This Row],[Country]],Table5[Javelin Throw Classification],"&gt;0")</f>
        <v>0</v>
      </c>
      <c r="BO125" s="6">
        <f>COUNTIFS(Table4[Country],Tabela1[[#This Row],[Country]],Table4[Long Jump Classification],"&gt;0")</f>
        <v>0</v>
      </c>
      <c r="BP125" s="6">
        <f>COUNTIFS(Table5[Country],Tabela1[[#This Row],[Country]],Table5[Long Jump Classification],"&gt;0")</f>
        <v>0</v>
      </c>
      <c r="BQ125" s="6">
        <f>COUNTIFS(Table4[Country],Tabela1[[#This Row],[Country]],Table4[Pole Vault Classification],"&gt;0")</f>
        <v>0</v>
      </c>
      <c r="BR125" s="6">
        <f>COUNTIFS(Table5[Country],Tabela1[[#This Row],[Country]],Table5[Pole Vault Classification],"&gt;0")</f>
        <v>0</v>
      </c>
      <c r="BS125" s="6">
        <f>COUNTIFS(Table4[Country],Tabela1[[#This Row],[Country]],Table4[Shot Put Classification],"&gt;0")</f>
        <v>0</v>
      </c>
      <c r="BT125" s="6">
        <f>COUNTIFS(Table5[Country],Tabela1[[#This Row],[Country]],Table5[Shot Put Classification],"&gt;0")</f>
        <v>0</v>
      </c>
      <c r="BU125" s="6">
        <f>COUNTIFS(Table4[Country],Tabela1[[#This Row],[Country]],Table4[Triple Jump Classification],"&gt;0")</f>
        <v>0</v>
      </c>
      <c r="BV125" s="6">
        <f>COUNTIFS(Table5[Country],Tabela1[[#This Row],[Country]],Table5[Triple Jump Classification],"&gt;0")</f>
        <v>0</v>
      </c>
      <c r="BW125" s="6">
        <f>COUNTIFS(Table4[Country],Tabela1[[#This Row],[Country]],Table4[Decathlon Classification],"&gt;0")</f>
        <v>0</v>
      </c>
      <c r="BX125" s="6">
        <f>COUNTIFS(Table5[Country],Tabela1[[#This Row],[Country]],Table5[Heptathlon Classification],"&gt;0")</f>
        <v>0</v>
      </c>
      <c r="BY125" s="6">
        <f>COUNTIFS(Table61[Country],Tabela1[[#This Row],[Country]],Table61[Classification],"&gt;0")</f>
        <v>0</v>
      </c>
      <c r="BZ125" s="6">
        <f>COUNTIFS(Table38[Country],Tabela1[[#This Row],[Country]],Table38[Classification],"&gt;0")</f>
        <v>0</v>
      </c>
      <c r="CA125" s="6">
        <f>COUNTIFS(Table39[Country],Tabela1[[#This Row],[Country]],Table39[Men''s Classification],"&gt;0")</f>
        <v>0</v>
      </c>
      <c r="CB125" s="6">
        <f>COUNTIFS(Table39[Country],Tabela1[[#This Row],[Country]],Table39[Women''s Classification],"&gt;0")</f>
        <v>0</v>
      </c>
      <c r="CC125" s="6">
        <f>COUNTIFS(Table39[Country],Tabela1[[#This Row],[Country]],Table39[Mixed Classification],"&gt;0")</f>
        <v>0</v>
      </c>
      <c r="CD125" s="6">
        <f>COUNTIFS(Table89[Country],Tabela1[[#This Row],[Country]],Table89[Men''s Classification],"&gt;0")</f>
        <v>0</v>
      </c>
      <c r="CE125" s="6">
        <f>COUNTIFS(Table89[Country],Tabela1[[#This Row],[Country]],Table89[Women''s Classification],"&gt;0")</f>
        <v>0</v>
      </c>
      <c r="CF125" s="6">
        <f>COUNTIFS(Table90[Country],Tabela1[[#This Row],[Country]],Table90[Men''s Classification],"&gt;0")</f>
        <v>0</v>
      </c>
      <c r="CG125" s="6">
        <f>COUNTIFS(Table90[Country],Tabela1[[#This Row],[Country]],Table90[Women''s Classification],"&gt;0")</f>
        <v>0</v>
      </c>
      <c r="CH125" s="6">
        <f>COUNTIFS(Table60[Country],Tabela1[[#This Row],[Country]],Table60[Men''s Classification],"&gt;0")</f>
        <v>0</v>
      </c>
      <c r="CI125" s="6">
        <f>COUNTIFS(Table60[Country],Tabela1[[#This Row],[Country]],Table60[Women''s Classification],"&gt;0")</f>
        <v>0</v>
      </c>
      <c r="CJ125" s="6">
        <f>COUNTIFS(Table6[Country],Tabela1[[#This Row],[Country]],Table6[51kg Classification],"&gt;0")</f>
        <v>0</v>
      </c>
      <c r="CK125" s="6">
        <f>COUNTIFS(Table6[Country],Tabela1[[#This Row],[Country]],Table6[57kg Classification],"&gt;0")</f>
        <v>0</v>
      </c>
      <c r="CL125" s="6">
        <f>COUNTIFS(Table6[Country],Tabela1[[#This Row],[Country]],Table6[63.5kg Classification],"&gt;0")</f>
        <v>0</v>
      </c>
      <c r="CM125" s="6">
        <f>COUNTIFS(Table6[Country],Tabela1[[#This Row],[Country]],Table6[71kg Classification],"&gt;0")</f>
        <v>0</v>
      </c>
      <c r="CN125" s="6">
        <f>COUNTIFS(Table6[Country],Tabela1[[#This Row],[Country]],Table6[80kg Classification],"&gt;0")</f>
        <v>0</v>
      </c>
      <c r="CO125" s="6">
        <f>COUNTIFS(Table6[Country],Tabela1[[#This Row],[Country]],Table6[92kg Classification],"&gt;0")</f>
        <v>0</v>
      </c>
      <c r="CP125" s="6">
        <f>COUNTIFS(Table6[Country],Tabela1[[#This Row],[Country]],Table6[Plus 92kg Classification],"&gt;0")</f>
        <v>0</v>
      </c>
      <c r="CQ125" s="6">
        <f>COUNTIFS(Table7[Country],Tabela1[[#This Row],[Country]],Table7[50kg Classification],"&gt;0")</f>
        <v>0</v>
      </c>
      <c r="CR125" s="6">
        <f>COUNTIFS(Table7[Country],Tabela1[[#This Row],[Country]],Table7[54kg Classification],"&gt;0")</f>
        <v>0</v>
      </c>
      <c r="CS125" s="6">
        <f>COUNTIFS(Table7[Country],Tabela1[[#This Row],[Country]],Table7[57kg Classification],"&gt;0")</f>
        <v>0</v>
      </c>
      <c r="CT125" s="6">
        <f>COUNTIFS(Table7[Country],Tabela1[[#This Row],[Country]],Table7[60kg Classification],"&gt;0")</f>
        <v>0</v>
      </c>
      <c r="CU125" s="6">
        <f>COUNTIFS(Table7[Country],Tabela1[[#This Row],[Country]],Table7[66kg Classification],"&gt;0")</f>
        <v>0</v>
      </c>
      <c r="CV125" s="6">
        <f>COUNTIFS(Table7[Country],Tabela1[[#This Row],[Country]],Table7[75kg Classification],"&gt;0")</f>
        <v>0</v>
      </c>
      <c r="CW125" s="6">
        <f>COUNTIFS(Tabela94[Country],Tabela1[[#This Row],[Country]],Tabela94[Classification],"&gt;0")</f>
        <v>0</v>
      </c>
      <c r="CX125" s="6">
        <f>COUNTIFS(Tabela9499[Country],Tabela1[[#This Row],[Country]],Tabela9499[Classification],"&gt;0")</f>
        <v>0</v>
      </c>
      <c r="CY125" s="6">
        <f>COUNTIFS(Tabela107[Country],Tabela1[[#This Row],[Country]],Tabela107[C1 Slalom Classification],"&gt;0")</f>
        <v>0</v>
      </c>
      <c r="CZ125" s="6">
        <f>COUNTIFS(Tabela107122[Country],Tabela1[[#This Row],[Country]],Tabela107122[C1 Slalom Classification],"&gt;0")</f>
        <v>0</v>
      </c>
      <c r="DA125" s="6">
        <f>COUNTIFS(Tabela107[Country],Tabela1[[#This Row],[Country]],Tabela107[K1 Slalom Classification],"&gt;0")</f>
        <v>0</v>
      </c>
      <c r="DB125" s="6">
        <f>COUNTIFS(Tabela107122[Country],Tabela1[[#This Row],[Country]],Tabela107122[K1 Slalom Classification],"&gt;0")</f>
        <v>0</v>
      </c>
      <c r="DC125" s="6">
        <f>COUNTIFS(Tabela107[Country],Tabela1[[#This Row],[Country]],Tabela107[Kayak Cross Slalom Classification],"&gt;0")</f>
        <v>0</v>
      </c>
      <c r="DD125" s="6">
        <f>COUNTIFS(Tabela107122[Country],Tabela1[[#This Row],[Country]],Tabela107122[Kayak Cross Slalom Classification],"&gt;0")</f>
        <v>0</v>
      </c>
      <c r="DE125" s="6">
        <f>COUNTIFS(Table8[Country],Tabela1[[#This Row],[Country]],Table8[C1 200m Classification],"&gt;0")</f>
        <v>0</v>
      </c>
      <c r="DF125" s="6">
        <f>COUNTIFS(Table40[Country],Tabela1[[#This Row],[Country]],Table40[C1 1000m Classification],"&gt;0")</f>
        <v>0</v>
      </c>
      <c r="DG125" s="6">
        <f>COUNTIFS(Table68[Country],Tabela1[[#This Row],[Country]],Table68[Men''s C2 500m Classification],"&gt;0")</f>
        <v>0</v>
      </c>
      <c r="DH125" s="6">
        <f>COUNTIFS(Table68[Country],Tabela1[[#This Row],[Country]],Table68[Women''s C2 500m Classification],"&gt;0")</f>
        <v>0</v>
      </c>
      <c r="DI125" s="6">
        <f>COUNTIFS(Table8[Country],Tabela1[[#This Row],[Country]],Table8[K1 500m Classification],"&gt;0")</f>
        <v>0</v>
      </c>
      <c r="DJ125" s="6">
        <f>COUNTIFS(Table40[Country],Tabela1[[#This Row],[Country]],Table40[K1 1000m Classification],"&gt;0")</f>
        <v>0</v>
      </c>
      <c r="DK125" s="6">
        <f>COUNTIFS(Table68[Country],Tabela1[[#This Row],[Country]],Table68[Men''s K2 500m Classification],"&gt;0")</f>
        <v>0</v>
      </c>
      <c r="DL125" s="6">
        <f>COUNTIFS(Table68[Country],Tabela1[[#This Row],[Country]],Table68[Women''s K2 500m Classification],"&gt;0")</f>
        <v>0</v>
      </c>
      <c r="DM125" s="6">
        <f>COUNTIFS(Table83[Country],Tabela1[[#This Row],[Country]],Table83[Men''s K4 500m Classification],"&gt;0")</f>
        <v>0</v>
      </c>
      <c r="DN125" s="6">
        <f>COUNTIFS(Table83[Country],Tabela1[[#This Row],[Country]],Table83[Women''s K4 500m Classification],"&gt;0")</f>
        <v>0</v>
      </c>
      <c r="DO125" s="6">
        <f>COUNTIFS(Tabela126[Country],Tabela1[[#This Row],[Country]],Tabela126[Classification],"&gt;0")</f>
        <v>0</v>
      </c>
      <c r="DP125" s="6">
        <f>COUNTIFS(Tabela126130[Country],Tabela1[[#This Row],[Country]],Tabela126130[Classification],"&gt;0")</f>
        <v>0</v>
      </c>
      <c r="DQ125" s="6">
        <f>COUNTIFS(Table70[Country],Tabela1[[#This Row],[Country]],Table70[Classification],"&gt;0")</f>
        <v>0</v>
      </c>
      <c r="DR125" s="6">
        <f>COUNTIFS(Table80[Country],Tabela1[[#This Row],[Country]],Table80[Classification],"&gt;0")</f>
        <v>0</v>
      </c>
      <c r="DS125" s="6">
        <f>COUNTIFS(Table66[Country],Tabela1[[#This Row],[Country]],Table66[Classification],"&gt;0")</f>
        <v>0</v>
      </c>
      <c r="DT125" s="6">
        <f>COUNTIFS(Table67[Country],Tabela1[[#This Row],[Country]],Table67[Classification],"&gt;0")</f>
        <v>0</v>
      </c>
      <c r="DU125" s="6">
        <f>COUNTIFS(Table69[Country],Tabela1[[#This Row],[Country]],Table69[Keirin Classification],"&gt;0")</f>
        <v>0</v>
      </c>
      <c r="DV125" s="6">
        <f>COUNTIFS(Table41[Country],Tabela1[[#This Row],[Country]],Table41[Keirin Classification],"&gt;0")</f>
        <v>0</v>
      </c>
      <c r="DW125" s="6">
        <f>COUNTIFS(Table84[Country],Tabela1[[#This Row],[Country]],Table84[Men''s Madison Classification],"&gt;0")</f>
        <v>0</v>
      </c>
      <c r="DX125" s="6">
        <f>COUNTIFS(Table84[Country],Tabela1[[#This Row],[Country]],Table84[Women''s Madison Classification],"&gt;0")</f>
        <v>0</v>
      </c>
      <c r="DY125" s="6">
        <f>COUNTIFS(Table69[Country],Tabela1[[#This Row],[Country]],Table69[Omnium Classification],"&gt;0")</f>
        <v>0</v>
      </c>
      <c r="DZ125" s="6">
        <f>COUNTIFS(Table41[Country],Tabela1[[#This Row],[Country]],Table41[Omnium Classification],"&gt;0")</f>
        <v>0</v>
      </c>
      <c r="EA125" s="6">
        <f>COUNTIFS(Table9[Country],Tabela1[[#This Row],[Country]],Table9[Road Race Classification],"&gt;0")</f>
        <v>0</v>
      </c>
      <c r="EB125" s="6">
        <f>COUNTIFS(Table14[Country],Tabela1[[#This Row],[Country]],Table14[Road Race Classification],"&gt;0")</f>
        <v>0</v>
      </c>
      <c r="EC125" s="6">
        <f>COUNTIFS(Table69[Country],Tabela1[[#This Row],[Country]],Table69[Sprint Classification],"&gt;0")</f>
        <v>0</v>
      </c>
      <c r="ED125" s="6">
        <f>COUNTIFS(Table41[Country],Tabela1[[#This Row],[Country]],Table41[Sprint Classification],"&gt;0")</f>
        <v>0</v>
      </c>
      <c r="EE125" s="6">
        <f>COUNTIFS(Table85[Country],Tabela1[[#This Row],[Country]],Table85[Men''s Sprint Classification],"&gt;0")</f>
        <v>0</v>
      </c>
      <c r="EF125" s="6">
        <f>COUNTIFS(Table85[Country],Tabela1[[#This Row],[Country]],Table85[Women''s Sprint Classification],"&gt;0")</f>
        <v>0</v>
      </c>
      <c r="EG125" s="6">
        <f>COUNTIFS(Table85[Country],Tabela1[[#This Row],[Country]],Table85[Men''s Pursuit Classification],"&gt;0")</f>
        <v>0</v>
      </c>
      <c r="EH125" s="6">
        <f>COUNTIFS(Table85[Country],Tabela1[[#This Row],[Country]],Table85[Women''s Pursuit Classification],"&gt;0")</f>
        <v>0</v>
      </c>
      <c r="EI125" s="6">
        <f>COUNTIFS(Table9[Country],Tabela1[[#This Row],[Country]],Table9[Time-Trial Classification],"&gt;0")</f>
        <v>0</v>
      </c>
      <c r="EJ125" s="6">
        <f>COUNTIFS(Table14[Country],Tabela1[[#This Row],[Country]],Table14[Time-Trial Classification],"&gt;0")</f>
        <v>0</v>
      </c>
      <c r="EK125" s="6">
        <f>COUNTIFS(Table42[Country],Tabela1[[#This Row],[Country]],Table42[Springboard Classification],"&gt;0")</f>
        <v>0</v>
      </c>
      <c r="EL125" s="6">
        <f>COUNTIFS(Table43[Country],Tabela1[[#This Row],[Country]],Table43[Springboard Classification],"&gt;0")</f>
        <v>0</v>
      </c>
      <c r="EM125" s="6">
        <f>COUNTIFS(Table42[Country],Tabela1[[#This Row],[Country]],Table42[Platform Classification],"&gt;0")</f>
        <v>0</v>
      </c>
      <c r="EN125" s="6">
        <f>COUNTIFS(Table43[Country],Tabela1[[#This Row],[Country]],Table43[Platform Classification],"&gt;0")</f>
        <v>0</v>
      </c>
      <c r="EO125" s="6">
        <f>COUNTIFS(Table86[Country],Tabela1[[#This Row],[Country]],Table86[Men''s Synchronized Springboard Classification],"&gt;0")</f>
        <v>0</v>
      </c>
      <c r="EP125" s="6">
        <f>COUNTIFS(Table86[Country],Tabela1[[#This Row],[Country]],Table86[Women''s Synchronized Springboard Classification],"&gt;0")</f>
        <v>0</v>
      </c>
      <c r="EQ125" s="6">
        <f>COUNTIFS(Table86[Country],Tabela1[[#This Row],[Country]],Table86[Men''s Synchronized Platform Classification],"&gt;0")</f>
        <v>0</v>
      </c>
      <c r="ER125" s="6">
        <f>COUNTIFS(Table86[Country],Tabela1[[#This Row],[Country]],Table86[Women''s Synchronized Platform Classification],"&gt;0")</f>
        <v>0</v>
      </c>
      <c r="ES125" s="6">
        <f>COUNTIFS(Table44[Country],Tabela1[[#This Row],[Country]],Table44[Dressage Classification],"&gt;0")</f>
        <v>0</v>
      </c>
      <c r="ET125" s="6">
        <f>COUNTIFS(Table45[Country],Tabela1[[#This Row],[Country]],Table45[Dressage Classification],"&gt;0")</f>
        <v>0</v>
      </c>
      <c r="EU125" s="6">
        <f>COUNTIFS(Table44[Country],Tabela1[[#This Row],[Country]],Table44[Eventing Classification],"&gt;0")</f>
        <v>0</v>
      </c>
      <c r="EV125" s="6">
        <f>COUNTIFS(Table45[Country],Tabela1[[#This Row],[Country]],Table45[Eventing Classification],"&gt;0")</f>
        <v>0</v>
      </c>
      <c r="EW125" s="6">
        <f>COUNTIFS(Table44[Country],Tabela1[[#This Row],[Country]],Table44[Jumping Classification],"&gt;0")</f>
        <v>0</v>
      </c>
      <c r="EX125" s="6">
        <f>COUNTIFS(Table45[Country],Tabela1[[#This Row],[Country]],Table45[Jumping Classification],"&gt;0")</f>
        <v>0</v>
      </c>
      <c r="EY125" s="6">
        <f>COUNTIFS(Table10[Country],Tabela1[[#This Row],[Country]],Table10[Épée Classification],"&gt;0")</f>
        <v>0</v>
      </c>
      <c r="EZ125" s="6">
        <f>COUNTIFS(Table11[Country],Tabela1[[#This Row],[Country]],Table11[Épée Classification],"&gt;0")</f>
        <v>0</v>
      </c>
      <c r="FA125" s="6">
        <f>COUNTIFS(Table46[Country],Tabela1[[#This Row],[Country]],Table46[Men''s Épée Classification],"&gt;0")</f>
        <v>0</v>
      </c>
      <c r="FB125" s="6">
        <f>COUNTIFS(Table46[Country],Tabela1[[#This Row],[Country]],Table46[Women''s Épée Classification],"&gt;0")</f>
        <v>0</v>
      </c>
      <c r="FC125" s="6">
        <f>COUNTIFS(Table10[Country],Tabela1[[#This Row],[Country]],Table10[Foil Classification],"&gt;0")</f>
        <v>0</v>
      </c>
      <c r="FD125" s="6">
        <f>COUNTIFS(Table11[Country],Tabela1[[#This Row],[Country]],Table11[Foil Classification],"&gt;0")</f>
        <v>0</v>
      </c>
      <c r="FE125" s="6">
        <f>COUNTIFS(Table46[Country],Tabela1[[#This Row],[Country]],Table46[Men''s Foil Classification],"&gt;0")</f>
        <v>0</v>
      </c>
      <c r="FF125" s="6">
        <f>COUNTIFS(Table46[Country],Tabela1[[#This Row],[Country]],Table46[Women''s Foil Classification],"&gt;0")</f>
        <v>0</v>
      </c>
      <c r="FG125" s="6">
        <f>COUNTIFS(Table10[Country],Tabela1[[#This Row],[Country]],Table10[Sabre Classification],"&gt;0")</f>
        <v>0</v>
      </c>
      <c r="FH125" s="6">
        <f>COUNTIFS(Table11[Country],Tabela1[[#This Row],[Country]],Table11[Sabre Classification],"&gt;0")</f>
        <v>0</v>
      </c>
      <c r="FI125" s="6">
        <f>COUNTIFS(Table46[Country],Tabela1[[#This Row],[Country]],Table46[Men''s Sabre Classification],"&gt;0")</f>
        <v>0</v>
      </c>
      <c r="FJ125" s="6">
        <f>COUNTIFS(Table46[Country],Tabela1[[#This Row],[Country]],Table46[Women''s Sabre Classification],"&gt;0")</f>
        <v>0</v>
      </c>
      <c r="FK125" s="6">
        <f>COUNTIFS(Table91[Country],Tabela1[[#This Row],[Country]],Table91[Men''s Classification],"&gt;0")</f>
        <v>0</v>
      </c>
      <c r="FL125" s="6">
        <f>COUNTIFS(Table91[Country],Tabela1[[#This Row],[Country]],Table91[Women''s Classification],"&gt;0")</f>
        <v>0</v>
      </c>
      <c r="FM125" s="6">
        <f>COUNTIFS(Table9194[Country],Tabela1[[#This Row],[Country]],Table9194[Men''s Classification],"&gt;0")</f>
        <v>0</v>
      </c>
      <c r="FN125" s="6">
        <f>COUNTIFS(Table9194[Country],Tabela1[[#This Row],[Country]],Table9194[Women''s Classification],"&gt;0")</f>
        <v>0</v>
      </c>
      <c r="FO125" s="6">
        <f>COUNTIFS(Table71[Country],Tabela1[[#This Row],[Country]],Table71[Classification],"&gt;0")</f>
        <v>0</v>
      </c>
      <c r="FP125" s="6">
        <f>COUNTIFS(Table62[Country],Tabela1[[#This Row],[Country]],Table62[Classification],"&gt;0")</f>
        <v>0</v>
      </c>
      <c r="FQ125" s="6">
        <f>COUNTIFS(Table47[Country],Tabela1[[#This Row],[Country]],Table47[All-Around Classification],"&gt;0")</f>
        <v>0</v>
      </c>
      <c r="FR125" s="6">
        <f>COUNTIFS(Table48[Country],Tabela1[[#This Row],[Country]],Table48[All-Around Classification],"&gt;0")</f>
        <v>0</v>
      </c>
      <c r="FS125" s="6">
        <f>COUNTIFS(Table81[Country],Tabela1[[#This Row],[Country]],Table81[Men''s All-Around Classification],"&gt;0")</f>
        <v>0</v>
      </c>
      <c r="FT125" s="6">
        <f>COUNTIFS(Table81[Country],Tabela1[[#This Row],[Country]],Table81[Women''s All-Around Classification],"&gt;0")</f>
        <v>0</v>
      </c>
      <c r="FU125" s="6">
        <f>COUNTIFS(Table48[Country],Tabela1[[#This Row],[Country]],Table48[Balance Beam Classification],"&gt;0")</f>
        <v>0</v>
      </c>
      <c r="FV125" s="6">
        <f>COUNTIFS(Table47[Country],Tabela1[[#This Row],[Country]],Table47[Floor Exercise Classification],"&gt;0")</f>
        <v>0</v>
      </c>
      <c r="FW125" s="6">
        <f>COUNTIFS(Table48[Country],Tabela1[[#This Row],[Country]],Table48[Floor Exercise Classification],"&gt;0")</f>
        <v>0</v>
      </c>
      <c r="FX125" s="6">
        <f>COUNTIFS(Table47[Country],Tabela1[[#This Row],[Country]],Table47[Horizontal Bar Classification],"&gt;0")</f>
        <v>0</v>
      </c>
      <c r="FY125" s="6">
        <f>COUNTIFS(Table47[Country],Tabela1[[#This Row],[Country]],Table47[Parallel Bars Classification],"&gt;0")</f>
        <v>0</v>
      </c>
      <c r="FZ125" s="6">
        <f>COUNTIFS(Table47[Country],Tabela1[[#This Row],[Country]],Table47[Pommel Horse Classification],"&gt;0")</f>
        <v>0</v>
      </c>
      <c r="GA125" s="6">
        <f>COUNTIFS(Table47[Country],Tabela1[[#This Row],[Country]],Table47[Rings Classification],"&gt;0")</f>
        <v>0</v>
      </c>
      <c r="GB125" s="6">
        <f>COUNTIFS(Tabela132[Country],Tabela1[[#This Row],[Country]],Tabela132[Classification],"&gt;0")</f>
        <v>0</v>
      </c>
      <c r="GC125" s="6">
        <f>COUNTIFS(Tabela139[Country],Tabela1[[#This Row],[Country]],Tabela139[Classification],"&gt;0")</f>
        <v>0</v>
      </c>
      <c r="GD125" s="6">
        <f>COUNTIFS(Table48[Country],Tabela1[[#This Row],[Country]],Table48[Uneven Bars Classification],"&gt;0")</f>
        <v>0</v>
      </c>
      <c r="GE125" s="6">
        <f>COUNTIFS(Table47[Country],Tabela1[[#This Row],[Country]],Table47[Vault Classification],"&gt;0")</f>
        <v>0</v>
      </c>
      <c r="GF125" s="6">
        <f>COUNTIFS(Table48[Country],Tabela1[[#This Row],[Country]],Table48[Vault Classification],"&gt;0")</f>
        <v>0</v>
      </c>
      <c r="GG125" s="6">
        <f>COUNTIFS(Table919496[Country],Tabela1[[#This Row],[Country]],Table919496[Men''s Classification],"&gt;0")</f>
        <v>0</v>
      </c>
      <c r="GH125" s="6">
        <f>COUNTIFS(Table919496[Country],Tabela1[[#This Row],[Country]],Table919496[Women''s Classification],"&gt;0")</f>
        <v>0</v>
      </c>
      <c r="GI125" s="6">
        <f>COUNTIFS(Table12[Country],Tabela1[[#This Row],[Country]],Table12[60kg Classification],"&gt;0")</f>
        <v>0</v>
      </c>
      <c r="GJ125" s="6">
        <f>COUNTIFS(Table12[Country],Tabela1[[#This Row],[Country]],Table12[66kg Classification],"&gt;0")</f>
        <v>0</v>
      </c>
      <c r="GK125" s="6">
        <f>COUNTIFS(Table12[Country],Tabela1[[#This Row],[Country]],Table12[73kg Classification],"&gt;0")</f>
        <v>0</v>
      </c>
      <c r="GL125" s="6">
        <f>COUNTIFS(Table12[Country],Tabela1[[#This Row],[Country]],Table12[81kg Classification],"&gt;0")</f>
        <v>0</v>
      </c>
      <c r="GM125" s="6">
        <f>COUNTIFS(Table12[Country],Tabela1[[#This Row],[Country]],Table12[90kg Classification],"&gt;0")</f>
        <v>0</v>
      </c>
      <c r="GN125" s="6">
        <f>COUNTIFS(Table12[Country],Tabela1[[#This Row],[Country]],Table12[100kg Classification],"&gt;0")</f>
        <v>0</v>
      </c>
      <c r="GO125" s="6">
        <f>COUNTIFS(Table12[Country],Tabela1[[#This Row],[Country]],Table12[Plus 100kg Classification],"&gt;0")</f>
        <v>0</v>
      </c>
      <c r="GP125" s="6">
        <f>COUNTIFS(Table13[Country],Tabela1[[#This Row],[Country]],Table13[48kg Classification],"&gt;0")</f>
        <v>0</v>
      </c>
      <c r="GQ125" s="6">
        <f>COUNTIFS(Table13[Country],Tabela1[[#This Row],[Country]],Table13[52kg Classification],"&gt;0")</f>
        <v>0</v>
      </c>
      <c r="GR125" s="6">
        <f>COUNTIFS(Table13[Country],Tabela1[[#This Row],[Country]],Table13[57kg Classification],"&gt;0")</f>
        <v>0</v>
      </c>
      <c r="GS125" s="6">
        <f>COUNTIFS(Table13[Country],Tabela1[[#This Row],[Country]],Table13[63kg Classification],"&gt;0")</f>
        <v>0</v>
      </c>
      <c r="GT125" s="6">
        <f>COUNTIFS(Table13[Country],Tabela1[[#This Row],[Country]],Table13[70kg Classification],"&gt;0")</f>
        <v>0</v>
      </c>
      <c r="GU125" s="6">
        <f>COUNTIFS(Table13[Country],Tabela1[[#This Row],[Country]],Table13[78kg Classification],"&gt;0")</f>
        <v>0</v>
      </c>
      <c r="GV125" s="6">
        <f>COUNTIFS(Table13[Country],Tabela1[[#This Row],[Country]],Table13[Plus 78kg Classification],"&gt;0")</f>
        <v>0</v>
      </c>
      <c r="GW125" s="6">
        <f>COUNTIFS(Table82[Country],Tabela1[[#This Row],[Country]],Table82[Mixed Classification],"&gt;0")</f>
        <v>0</v>
      </c>
      <c r="GX125" s="6">
        <f>COUNTIFS(Table51[Country],Tabela1[[#This Row],[Country]],Table51[Classification],"&gt;0")</f>
        <v>0</v>
      </c>
      <c r="GY125" s="6">
        <f>COUNTIFS(Table52[Country],Tabela1[[#This Row],[Country]],Table52[Classification],"&gt;0")</f>
        <v>0</v>
      </c>
      <c r="GZ125" s="6">
        <f>COUNTIFS(Table32[Country],Tabela1[[#This Row],[Country]],Table32[All-Around Classification],"&gt;0")</f>
        <v>0</v>
      </c>
      <c r="HA125" s="6">
        <f>COUNTIFS(Table49[Country],Tabela1[[#This Row],[Country]],Table49[All-Around Classification],"&gt;0")</f>
        <v>0</v>
      </c>
      <c r="HB125" s="6">
        <f>COUNTIFS(Table26[Country],Tabela1[[#This Row],[Country]],Table26[Single Sculls Classification],"&gt;0")</f>
        <v>0</v>
      </c>
      <c r="HC125" s="6">
        <f>COUNTIFS(Table63[Country],Tabela1[[#This Row],[Country]],Table63[Single Sculls Classification],"&gt;0")</f>
        <v>0</v>
      </c>
      <c r="HD125" s="6">
        <f>COUNTIFS(Table16[Country],Tabela1[[#This Row],[Country]],Table16[Men''s Double Sculls Classification],"&gt;0")</f>
        <v>0</v>
      </c>
      <c r="HE125" s="6">
        <f>COUNTIFS(Table16[Country],Tabela1[[#This Row],[Country]],Table16[Women''s Double Sculls Classification],"&gt;0")</f>
        <v>0</v>
      </c>
      <c r="HF125" s="6">
        <f>COUNTIFS(Table72[Country],Tabela1[[#This Row],[Country]],Table72[Men''s Quadruple Sculls Classification],"&gt;0")</f>
        <v>0</v>
      </c>
      <c r="HG125" s="6">
        <f>COUNTIFS(Table72[Country],Tabela1[[#This Row],[Country]],Table72[Women''s Quadruple Sculls Classification],"&gt;0")</f>
        <v>0</v>
      </c>
      <c r="HH125" s="6">
        <f>COUNTIFS(Table16[Country],Tabela1[[#This Row],[Country]],Table16[Men''s Coxless Pairs Classification],"&gt;0")</f>
        <v>0</v>
      </c>
      <c r="HI125" s="6">
        <f>COUNTIFS(Table16[Country],Tabela1[[#This Row],[Country]],Table16[Women''s Coxless Pairs Classification],"&gt;0")</f>
        <v>0</v>
      </c>
      <c r="HJ125" s="6">
        <f>COUNTIFS(Table72[Country],Tabela1[[#This Row],[Country]],Table72[Men''s Coxless Fours Classification],"&gt;0")</f>
        <v>0</v>
      </c>
      <c r="HK125" s="6">
        <f>COUNTIFS(Table72[Country],Tabela1[[#This Row],[Country]],Table72[Women''s Coxless Fours Classification],"&gt;0")</f>
        <v>0</v>
      </c>
      <c r="HL125" s="6">
        <f>COUNTIFS(Table72[Country],Tabela1[[#This Row],[Country]],Table72[Men''s Eights Classification],"&gt;0")</f>
        <v>0</v>
      </c>
      <c r="HM125" s="6">
        <f>COUNTIFS(Table72[Country],Tabela1[[#This Row],[Country]],Table72[Women''s Eights Classification],"&gt;0")</f>
        <v>0</v>
      </c>
      <c r="HN125" s="6">
        <f>COUNTIFS(Table16[Country],Tabela1[[#This Row],[Country]],Table16[Men''s Lwt. Double Sculls Classification],"&gt;0")</f>
        <v>0</v>
      </c>
      <c r="HO125" s="6">
        <f>COUNTIFS(Table16[Country],Tabela1[[#This Row],[Country]],Table16[Women''s Lwt. Double Sculls Classification],"&gt;0")</f>
        <v>0</v>
      </c>
      <c r="HP125" s="6">
        <f>COUNTIFS(Table91949698[Country],Tabela1[[#This Row],[Country]],Table91949698[Men''s Classification],"&gt;0")</f>
        <v>0</v>
      </c>
      <c r="HQ125" s="6">
        <f>COUNTIFS(Table91949698[Country],Tabela1[[#This Row],[Country]],Table91949698[Women''s Classification],"&gt;0")</f>
        <v>0</v>
      </c>
      <c r="HR125" s="6">
        <f>COUNTIFS(Table25[Country],Tabela1[[#This Row],[Country]],Table25[Mixed 470 Classification],"&gt;0")</f>
        <v>0</v>
      </c>
      <c r="HS125" s="6">
        <f>COUNTIFS(Table25[Country],Tabela1[[#This Row],[Country]],Table25[Men''s 49er Classification],"&gt;0")</f>
        <v>0</v>
      </c>
      <c r="HT125" s="6">
        <f>COUNTIFS(Table25[Country],Tabela1[[#This Row],[Country]],Table25[Women''s 49er FX Classification],"&gt;0")</f>
        <v>0</v>
      </c>
      <c r="HU125" s="6">
        <f>COUNTIFS(Table17[Country],Tabela1[[#This Row],[Country]],Table17[Formula Kite Classification],"&gt;0")</f>
        <v>0</v>
      </c>
      <c r="HV125" s="6">
        <f>COUNTIFS(Table18[Country],Tabela1[[#This Row],[Country]],Table18[Formula Kite Classification],"&gt;0")</f>
        <v>0</v>
      </c>
      <c r="HW125" s="6">
        <f>COUNTIFS(Table17[Country],Tabela1[[#This Row],[Country]],Table17[ILCA 7 Classification],"&gt;0")</f>
        <v>0</v>
      </c>
      <c r="HX125" s="6">
        <f>COUNTIFS(Table18[Country],Tabela1[[#This Row],[Country]],Table18[ILCA 6 Classification],"&gt;0")</f>
        <v>0</v>
      </c>
      <c r="HY125" s="6">
        <f>COUNTIFS(Table17[Country],Tabela1[[#This Row],[Country]],Table17[IQFoil Classification],"&gt;0")</f>
        <v>0</v>
      </c>
      <c r="HZ125" s="6">
        <f>COUNTIFS(Table18[Country],Tabela1[[#This Row],[Country]],Table18[IQFoil Classification],"&gt;0")</f>
        <v>0</v>
      </c>
      <c r="IA125" s="6">
        <f>COUNTIFS(Table25[Country],Tabela1[[#This Row],[Country]],Table25[Mixed Nacra 17 Classification],"&gt;0")</f>
        <v>0</v>
      </c>
      <c r="IB125" s="6">
        <f>COUNTIFS(Table53[Country],Tabela1[[#This Row],[Country]],Table53[10m Air Pistol Classification],"&gt;0")</f>
        <v>0</v>
      </c>
      <c r="IC125" s="6">
        <f>COUNTIFS(Table19[Country],Tabela1[[#This Row],[Country]],Table19[10m Air Pistol Classification],"&gt;0")</f>
        <v>0</v>
      </c>
      <c r="ID125" s="6">
        <f>COUNTIFS(Table54[Country],Tabela1[[#This Row],[Country]],Table54[Mixed 10m Air Pistol Team Classification],"&gt;0")</f>
        <v>0</v>
      </c>
      <c r="IE125" s="6">
        <f>COUNTIFS(Table53[Country],Tabela1[[#This Row],[Country]],Table53[10m Air Rifle Classification],"&gt;0")</f>
        <v>0</v>
      </c>
      <c r="IF125" s="6">
        <f>COUNTIFS(Table19[Country],Tabela1[[#This Row],[Country]],Table19[10m Air Rifle Classification],"&gt;0")</f>
        <v>0</v>
      </c>
      <c r="IG125" s="6">
        <f>COUNTIFS(Table54[Country],Tabela1[[#This Row],[Country]],Table54[Mixed 10m Air Rifle Team Classification],"&gt;0")</f>
        <v>0</v>
      </c>
      <c r="IH125" s="6">
        <f>COUNTIFS(Table53[Country],Tabela1[[#This Row],[Country]],Table53[25m Rapid Fire Pistol Classification],"&gt;0")</f>
        <v>0</v>
      </c>
      <c r="II125" s="6">
        <f>COUNTIFS(Table19[Country],Tabela1[[#This Row],[Country]],Table19[25m Pistol Classification],"&gt;0")</f>
        <v>0</v>
      </c>
      <c r="IJ125" s="6">
        <f>COUNTIFS(Table53[Country],Tabela1[[#This Row],[Country]],Table53[50m Rifle 3 Positions Classification],"&gt;0")</f>
        <v>0</v>
      </c>
      <c r="IK125" s="6">
        <f>COUNTIFS(Table19[Country],Tabela1[[#This Row],[Country]],Table19[50m Rifle 3 Positions Classification],"&gt;0")</f>
        <v>0</v>
      </c>
      <c r="IL125" s="6">
        <f>COUNTIFS(Table53[Country],Tabela1[[#This Row],[Country]],Table53[Skeet Classification],"&gt;0")</f>
        <v>0</v>
      </c>
      <c r="IM125" s="6">
        <f>COUNTIFS(Table19[Country],Tabela1[[#This Row],[Country]],Table19[Skeet Classification],"&gt;0")</f>
        <v>0</v>
      </c>
      <c r="IN125" s="6">
        <f>COUNTIFS(Table54[Country],Tabela1[[#This Row],[Country]],Table54[Mixed Skeet Team Classification],"&gt;0")</f>
        <v>0</v>
      </c>
      <c r="IO125" s="6">
        <f>COUNTIFS(Table53[Country],Tabela1[[#This Row],[Country]],Table53[Trap Classification],"&gt;0")</f>
        <v>0</v>
      </c>
      <c r="IP125" s="6">
        <f>COUNTIFS(Table19[Country],Tabela1[[#This Row],[Country]],Table19[Trap Classification],"&gt;0")</f>
        <v>0</v>
      </c>
      <c r="IQ125" s="6">
        <f>COUNTIFS(Table73[Country],Tabela1[[#This Row],[Country]],Table73[Park Classification],"&gt;0")</f>
        <v>0</v>
      </c>
      <c r="IR125" s="6">
        <f>COUNTIFS(Table74[Country],Tabela1[[#This Row],[Country]],Table74[Park Classification],"&gt;0")</f>
        <v>0</v>
      </c>
      <c r="IS125" s="6">
        <f>COUNTIFS(Table73[Country],Tabela1[[#This Row],[Country]],Table73[Street Classification],"&gt;0")</f>
        <v>0</v>
      </c>
      <c r="IT125" s="6">
        <f>COUNTIFS(Table74[Country],Tabela1[[#This Row],[Country]],Table74[Street Classification],"&gt;0")</f>
        <v>0</v>
      </c>
      <c r="IU125" s="6">
        <f>COUNTIFS(Table75[Country],Tabela1[[#This Row],[Country]],Table75[Boulder and Lead Classification],"&gt;0")</f>
        <v>0</v>
      </c>
      <c r="IV125" s="6">
        <f>COUNTIFS(Table76[Country],Tabela1[[#This Row],[Country]],Table76[Boulder and Lead Classification],"&gt;0")</f>
        <v>0</v>
      </c>
      <c r="IW125" s="6">
        <f>COUNTIFS(Table75[Country],Tabela1[[#This Row],[Country]],Table75[Speed Classification],"&gt;0")</f>
        <v>0</v>
      </c>
      <c r="IX125" s="6">
        <f>COUNTIFS(Table76[Country],Tabela1[[#This Row],[Country]],Table76[Speed Classification],"&gt;0")</f>
        <v>0</v>
      </c>
      <c r="IY125" s="6">
        <f>COUNTIFS(Table64[Country],Tabela1[[#This Row],[Country]],Table64[Shortboard Classification],"&gt;0")</f>
        <v>0</v>
      </c>
      <c r="IZ125" s="6">
        <f>COUNTIFS(Table77[Country],Tabela1[[#This Row],[Country]],Table77[Shortboard Classification],"&gt;0")</f>
        <v>0</v>
      </c>
      <c r="JA125" s="6">
        <f>COUNTIFS(Table20[Country],Tabela1[[#This Row],[Country]],Table20[50m Freestyle Classification],"&gt;0")</f>
        <v>0</v>
      </c>
      <c r="JB125" s="6">
        <f>COUNTIFS(Table21[Country],Tabela1[[#This Row],[Country]],Table21[50m Freestyle Classification],"&gt;0")</f>
        <v>0</v>
      </c>
      <c r="JC125" s="6">
        <f>COUNTIFS(Table20[Country],Tabela1[[#This Row],[Country]],Table20[100m Freestyle Classification],"&gt;0")</f>
        <v>0</v>
      </c>
      <c r="JD125" s="6">
        <f>COUNTIFS(Table21[Country],Tabela1[[#This Row],[Country]],Table21[100m Freestyle Classification],"&gt;0")</f>
        <v>0</v>
      </c>
      <c r="JE125" s="6">
        <f>COUNTIFS(Table20[Country],Tabela1[[#This Row],[Country]],Table20[200m Freestyle Classification],"&gt;0")</f>
        <v>0</v>
      </c>
      <c r="JF125" s="6">
        <f>COUNTIFS(Table21[Country],Tabela1[[#This Row],[Country]],Table21[200m Freestyle Classification],"&gt;0")</f>
        <v>0</v>
      </c>
      <c r="JG125" s="6">
        <f>COUNTIFS(Table20[Country],Tabela1[[#This Row],[Country]],Table20[400m Freestyle Classification],"&gt;0")</f>
        <v>0</v>
      </c>
      <c r="JH125" s="6">
        <f>COUNTIFS(Table21[Country],Tabela1[[#This Row],[Country]],Table21[400m Freestyle Classification],"&gt;0")</f>
        <v>0</v>
      </c>
      <c r="JI125" s="6">
        <f>COUNTIFS(Table20[Country],Tabela1[[#This Row],[Country]],Table20[800m Freestyle Classification],"&gt;0")</f>
        <v>0</v>
      </c>
      <c r="JJ125" s="6">
        <f>COUNTIFS(Table21[Country],Tabela1[[#This Row],[Country]],Table21[800m Freestyle Classification],"&gt;0")</f>
        <v>0</v>
      </c>
      <c r="JK125" s="6">
        <f>COUNTIFS(Table20[Country],Tabela1[[#This Row],[Country]],Table20[1500m Freestyle Classification],"&gt;0")</f>
        <v>0</v>
      </c>
      <c r="JL125" s="6">
        <f>COUNTIFS(Table21[Country],Tabela1[[#This Row],[Country]],Table21[1500m Freestyle Classification],"&gt;0")</f>
        <v>0</v>
      </c>
      <c r="JM125" s="6">
        <f>COUNTIFS(Table20[Country],Tabela1[[#This Row],[Country]],Table20[100m Backstroke Classification],"&gt;0")</f>
        <v>0</v>
      </c>
      <c r="JN125" s="6">
        <f>COUNTIFS(Table21[Country],Tabela1[[#This Row],[Country]],Table21[100m Backstroke Classification],"&gt;0")</f>
        <v>0</v>
      </c>
      <c r="JO125" s="6">
        <f>COUNTIFS(Table20[Country],Tabela1[[#This Row],[Country]],Table20[200m Backstroke Classification],"&gt;0")</f>
        <v>0</v>
      </c>
      <c r="JP125" s="6">
        <f>COUNTIFS(Table21[Country],Tabela1[[#This Row],[Country]],Table21[200m Backstroke Classification],"&gt;0")</f>
        <v>0</v>
      </c>
      <c r="JQ125" s="6">
        <f>COUNTIFS(Table20[Country],Tabela1[[#This Row],[Country]],Table20[100m Breaststroke Classification],"&gt;0")</f>
        <v>0</v>
      </c>
      <c r="JR125" s="6">
        <f>COUNTIFS(Table21[Country],Tabela1[[#This Row],[Country]],Table21[100m Breaststroke Classification],"&gt;0")</f>
        <v>0</v>
      </c>
      <c r="JS125" s="6">
        <f>COUNTIFS(Table20[Country],Tabela1[[#This Row],[Country]],Table20[200m Breaststroke Classification],"&gt;0")</f>
        <v>0</v>
      </c>
      <c r="JT125" s="6">
        <f>COUNTIFS(Table21[Country],Tabela1[[#This Row],[Country]],Table21[200m Breaststroke Classification],"&gt;0")</f>
        <v>0</v>
      </c>
      <c r="JU125" s="6">
        <f>COUNTIFS(Table20[Country],Tabela1[[#This Row],[Country]],Table20[100m Butterfly Classification],"&gt;0")</f>
        <v>0</v>
      </c>
      <c r="JV125" s="6">
        <f>COUNTIFS(Table21[Country],Tabela1[[#This Row],[Country]],Table21[100m Butterfly Classification],"&gt;0")</f>
        <v>0</v>
      </c>
      <c r="JW125" s="6">
        <f>COUNTIFS(Table20[Country],Tabela1[[#This Row],[Country]],Table20[200m Butterfly Classification],"&gt;0")</f>
        <v>0</v>
      </c>
      <c r="JX125" s="6">
        <f>COUNTIFS(Table21[Country],Tabela1[[#This Row],[Country]],Table21[200m Butterfly Classification],"&gt;0")</f>
        <v>0</v>
      </c>
      <c r="JY125" s="6">
        <f>COUNTIFS(Table20[Country],Tabela1[[#This Row],[Country]],Table20[200m Medley Classification],"&gt;0")</f>
        <v>0</v>
      </c>
      <c r="JZ125" s="6">
        <f>COUNTIFS(Table21[Country],Tabela1[[#This Row],[Country]],Table21[200m Medley Classification],"&gt;0")</f>
        <v>0</v>
      </c>
      <c r="KA125" s="6">
        <f>COUNTIFS(Table20[Country],Tabela1[[#This Row],[Country]],Table20[400m Medley Classification],"&gt;0")</f>
        <v>0</v>
      </c>
      <c r="KB125" s="6">
        <f>COUNTIFS(Table21[Country],Tabela1[[#This Row],[Country]],Table21[400m Medley Classification],"&gt;0")</f>
        <v>0</v>
      </c>
      <c r="KC125" s="6">
        <f>COUNTIFS(Table78[Country],Tabela1[[#This Row],[Country]],Table78[Men''s 4x100m Freestyle Relay Classification],"&gt;0")</f>
        <v>0</v>
      </c>
      <c r="KD125" s="6">
        <f>COUNTIFS(Table78[Country],Tabela1[[#This Row],[Country]],Table78[Women''s 4x100m Freestyle Relay Classification],"&gt;0")</f>
        <v>0</v>
      </c>
      <c r="KE125" s="6">
        <f>COUNTIFS(Table78[Country],Tabela1[[#This Row],[Country]],Table78[Men''s 4x200m Freestyle Relay Classification],"&gt;0")</f>
        <v>0</v>
      </c>
      <c r="KF125" s="6">
        <f>COUNTIFS(Table78[Country],Tabela1[[#This Row],[Country]],Table78[Women''s 4x200m Freestyle Relay Classification],"&gt;0")</f>
        <v>0</v>
      </c>
      <c r="KG125" s="6">
        <f>COUNTIFS(Table78[Country],Tabela1[[#This Row],[Country]],Table78[Men''s 4x100m Medley Relay Classification],"&gt;0")</f>
        <v>0</v>
      </c>
      <c r="KH125" s="6">
        <f>COUNTIFS(Table78[Country],Tabela1[[#This Row],[Country]],Table78[Women''s 4x100m Medley Relay Classification],"&gt;0")</f>
        <v>0</v>
      </c>
      <c r="KI125" s="6">
        <f>COUNTIFS(Table78[Country],Tabela1[[#This Row],[Country]],Table78[Mixed 4x100m Medley Relay Classification],"&gt;0")</f>
        <v>0</v>
      </c>
      <c r="KJ125" s="6">
        <f>COUNTIFS(Table20[Country],Tabela1[[#This Row],[Country]],Table20[10km Open Water Classification],"&gt;0")</f>
        <v>0</v>
      </c>
      <c r="KK125" s="6">
        <f>COUNTIFS(Table21[Country],Tabela1[[#This Row],[Country]],Table21[10km Open Water Classification],"&gt;0")</f>
        <v>0</v>
      </c>
      <c r="KL125" s="6">
        <f>COUNTIFS(Table22[Country],Tabela1[[#This Row],[Country]],Table22[Classification],"&gt;0")</f>
        <v>0</v>
      </c>
      <c r="KM125" s="6">
        <f>COUNTIFS(Table30[Country],Tabela1[[#This Row],[Country]],Table30[Classification],"&gt;0")</f>
        <v>0</v>
      </c>
      <c r="KN125" s="6">
        <f>COUNTIFS(Table55[Country],Tabela1[[#This Row],[Country]],Table55[Men''s Classification],"&gt;0")</f>
        <v>0</v>
      </c>
      <c r="KO125" s="6">
        <f>COUNTIFS(Table55[Country],Tabela1[[#This Row],[Country]],Table55[Women''s Classification],"&gt;0")</f>
        <v>0</v>
      </c>
      <c r="KP125" s="6">
        <f>COUNTIFS(Table56[Country],Tabela1[[#This Row],[Country]],Table56[Mixed Classification],"&gt;0")</f>
        <v>0</v>
      </c>
      <c r="KQ125" s="6">
        <f>COUNTIFS(Table29[Country],Tabela1[[#This Row],[Country]],Table29[58kg Classification],"&gt;0")</f>
        <v>0</v>
      </c>
      <c r="KR125" s="6">
        <f>COUNTIFS(Table29[Country],Tabela1[[#This Row],[Country]],Table29[68kg Classification],"&gt;0")</f>
        <v>0</v>
      </c>
      <c r="KS125" s="6">
        <f>COUNTIFS(Table29[Country],Tabela1[[#This Row],[Country]],Table29[80kg Classification],"&gt;0")</f>
        <v>0</v>
      </c>
      <c r="KT125" s="6">
        <f>COUNTIFS(Table29[Country],Tabela1[[#This Row],[Country]],Table29[Plus 80kg Classification],"&gt;0")</f>
        <v>0</v>
      </c>
      <c r="KU125" s="6">
        <f>COUNTIFS(Table34[Country],Tabela1[[#This Row],[Country]],Table34[49kg Classification],"&gt;0")</f>
        <v>0</v>
      </c>
      <c r="KV125" s="6">
        <f>COUNTIFS(Table34[Country],Tabela1[[#This Row],[Country]],Table34[57kg Classification],"&gt;0")</f>
        <v>0</v>
      </c>
      <c r="KW125" s="6">
        <f>COUNTIFS(Table34[Country],Tabela1[[#This Row],[Country]],Table34[67kg Classification],"&gt;0")</f>
        <v>0</v>
      </c>
      <c r="KX125" s="6">
        <f>COUNTIFS(Table34[Country],Tabela1[[#This Row],[Country]],Table34[Plus 67kg Classification],"&gt;0")</f>
        <v>0</v>
      </c>
      <c r="KY125" s="6">
        <f>COUNTIFS(Table57[Country],Tabela1[[#This Row],[Country]],Table57[Classification],"&gt;0")</f>
        <v>0</v>
      </c>
      <c r="KZ125" s="6">
        <f>COUNTIFS(Table58[Country],Tabela1[[#This Row],[Country]],Table58[Classification],"&gt;0")</f>
        <v>0</v>
      </c>
      <c r="LA125" s="6">
        <f>COUNTIFS(Table79[Country],Tabela1[[#This Row],[Country]],Table79[Men''s Classification],"&gt;0")</f>
        <v>0</v>
      </c>
      <c r="LB125" s="6">
        <f>COUNTIFS(Table79[Country],Tabela1[[#This Row],[Country]],Table79[Women''s Classification],"&gt;0")</f>
        <v>0</v>
      </c>
      <c r="LC125" s="6">
        <f>COUNTIFS(Table79[Country],Tabela1[[#This Row],[Country]],Table79[Mixed Classification],"&gt;0")</f>
        <v>0</v>
      </c>
      <c r="LD125" s="6">
        <f>COUNTIFS(Table65[Country],Tabela1[[#This Row],[Country]],Table65[Classification],"&gt;0")</f>
        <v>0</v>
      </c>
      <c r="LE125" s="6">
        <f>COUNTIFS(Table59[Country],Tabela1[[#This Row],[Country]],Table59[Classification],"&gt;0")</f>
        <v>0</v>
      </c>
      <c r="LF125" s="6">
        <f>COUNTIFS(Table87[Country],Tabela1[[#This Row],[Country]],Table87[Mixed Relay Classification],"&gt;0")</f>
        <v>0</v>
      </c>
      <c r="LG125" s="6">
        <f>COUNTIFS(Table91949698100[Country],Tabela1[[#This Row],[Country]],Table91949698100[Men''s Classification],"&gt;0")</f>
        <v>0</v>
      </c>
      <c r="LH125" s="6">
        <f>COUNTIFS(Table91949698100[Country],Tabela1[[#This Row],[Country]],Table91949698100[Women''s Classification],"&gt;0")</f>
        <v>0</v>
      </c>
      <c r="LI125" s="6">
        <f>COUNTIFS(Table91949698100102[Country],Tabela1[[#This Row],[Country]],Table91949698100102[Men''s Classification],"&gt;0")</f>
        <v>0</v>
      </c>
      <c r="LJ125" s="6">
        <f>COUNTIFS(Table91949698100102[Country],Tabela1[[#This Row],[Country]],Table91949698100102[Women''s Classification],"&gt;0")</f>
        <v>0</v>
      </c>
      <c r="LK125" s="6">
        <f>COUNTIFS(Table23[Country],Tabela1[[#This Row],[Country]],Table23[61kg Classification],"&gt;0")</f>
        <v>0</v>
      </c>
      <c r="LL125" s="6">
        <f>COUNTIFS(Table23[Country],Tabela1[[#This Row],[Country]],Table23[73kg Classification],"&gt;0")</f>
        <v>0</v>
      </c>
      <c r="LM125" s="6">
        <f>COUNTIFS(Table23[Country],Tabela1[[#This Row],[Country]],Table23[89kg Classification],"&gt;0")</f>
        <v>0</v>
      </c>
      <c r="LN125" s="6">
        <f>COUNTIFS(Table23[Country],Tabela1[[#This Row],[Country]],Table23[102kg Classification],"&gt;0")</f>
        <v>0</v>
      </c>
      <c r="LO125" s="6">
        <f>COUNTIFS(Table23[Country],Tabela1[[#This Row],[Country]],Table23[Plus 102kg Classification],"&gt;0")</f>
        <v>0</v>
      </c>
      <c r="LP125" s="6">
        <f>COUNTIFS(Table28[Country],Tabela1[[#This Row],[Country]],Table28[49kg Classification],"&gt;0")</f>
        <v>0</v>
      </c>
      <c r="LQ125" s="6">
        <f>COUNTIFS(Table28[Country],Tabela1[[#This Row],[Country]],Table28[59kg Classification],"&gt;0")</f>
        <v>0</v>
      </c>
      <c r="LR125" s="6">
        <f>COUNTIFS(Table28[Country],Tabela1[[#This Row],[Country]],Table28[71kg Classification],"&gt;0")</f>
        <v>0</v>
      </c>
      <c r="LS125" s="6">
        <f>COUNTIFS(Table28[Country],Tabela1[[#This Row],[Country]],Table28[81kg Classification],"&gt;0")</f>
        <v>0</v>
      </c>
      <c r="LT125" s="6">
        <f>COUNTIFS(Table28[Country],Tabela1[[#This Row],[Country]],Table28[Plus 81kg Classification],"&gt;0")</f>
        <v>0</v>
      </c>
      <c r="LU125" s="6">
        <f>COUNTIFS(Table24[Country],Tabela1[[#This Row],[Country]],Table24[Freestyle 57kg Classification],"&gt;0")</f>
        <v>0</v>
      </c>
      <c r="LV125" s="6">
        <f>COUNTIFS(Table24[Country],Tabela1[[#This Row],[Country]],Table24[Freestyle 65kg Classification],"&gt;0")</f>
        <v>0</v>
      </c>
      <c r="LW125" s="6">
        <f>COUNTIFS(Table24[Country],Tabela1[[#This Row],[Country]],Table24[Freestyle 74kg Classification],"&gt;0")</f>
        <v>0</v>
      </c>
      <c r="LX125" s="6">
        <f>COUNTIFS(Table24[Country],Tabela1[[#This Row],[Country]],Table24[Freestyle 86kg Classification],"&gt;0")</f>
        <v>0</v>
      </c>
      <c r="LY125" s="6">
        <f>COUNTIFS(Table24[Country],Tabela1[[#This Row],[Country]],Table24[Freestyle 97kg Classification],"&gt;0")</f>
        <v>0</v>
      </c>
      <c r="LZ125" s="6">
        <f>COUNTIFS(Table24[Country],Tabela1[[#This Row],[Country]],Table24[Freestyle 125kg Classification],"&gt;0")</f>
        <v>0</v>
      </c>
      <c r="MA125" s="6">
        <f>COUNTIFS(Table24[Country],Tabela1[[#This Row],[Country]],Table24[Greco-Roman 60kg Classification],"&gt;0")</f>
        <v>0</v>
      </c>
      <c r="MB125" s="6">
        <f>COUNTIFS(Table24[Country],Tabela1[[#This Row],[Country]],Table24[Greco-Roman 67kg Classification],"&gt;0")</f>
        <v>0</v>
      </c>
      <c r="MC125" s="6">
        <f>COUNTIFS(Table24[Country],Tabela1[[#This Row],[Country]],Table24[Greco-Roman 77kg Classification],"&gt;0")</f>
        <v>0</v>
      </c>
      <c r="MD125" s="6">
        <f>COUNTIFS(Table24[Country],Tabela1[[#This Row],[Country]],Table24[Greco-Roman 87kg Classification],"&gt;0")</f>
        <v>0</v>
      </c>
      <c r="ME125" s="6">
        <f>COUNTIFS(Table24[Country],Tabela1[[#This Row],[Country]],Table24[Greco-Roman 97kg Classification],"&gt;0")</f>
        <v>0</v>
      </c>
      <c r="MF125" s="6">
        <f>COUNTIFS(Table24[Country],Tabela1[[#This Row],[Country]],Table24[Greco-Roman 130kg Classification],"&gt;0")</f>
        <v>0</v>
      </c>
      <c r="MG125" s="6">
        <f>COUNTIFS(Table31[Country],Tabela1[[#This Row],[Country]],Table31[50kg Classification],"&gt;0")</f>
        <v>0</v>
      </c>
      <c r="MH125" s="6">
        <f>COUNTIFS(Table31[Country],Tabela1[[#This Row],[Country]],Table31[53kg Classification],"&gt;0")</f>
        <v>0</v>
      </c>
      <c r="MI125" s="6">
        <f>COUNTIFS(Table31[Country],Tabela1[[#This Row],[Country]],Table31[57kg Classification],"&gt;0")</f>
        <v>0</v>
      </c>
      <c r="MJ125" s="6">
        <f>COUNTIFS(Table31[Country],Tabela1[[#This Row],[Country]],Table31[62kg Classification],"&gt;0")</f>
        <v>0</v>
      </c>
      <c r="MK125" s="6">
        <f>COUNTIFS(Table31[Country],Tabela1[[#This Row],[Country]],Table31[68kg Classification],"&gt;0")</f>
        <v>0</v>
      </c>
      <c r="ML125" s="6">
        <f>COUNTIFS(Table31[Country],Tabela1[[#This Row],[Country]],Table31[76kg Classification],"&gt;0")</f>
        <v>0</v>
      </c>
      <c r="MM125" s="6">
        <f>COUNTIFS(Table102[Country],Tabela1[[#This Row],[Country]],Table102[Downhill Classification],"&gt;0")</f>
        <v>0</v>
      </c>
      <c r="MN125" s="6">
        <f>COUNTIFS(Table102105[Country],Tabela1[[#This Row],[Country]],Table102105[Downhill Classification],"&gt;0")</f>
        <v>0</v>
      </c>
      <c r="MO125" s="6">
        <f>COUNTIFS(Table102[Country],Tabela1[[#This Row],[Country]],Table102[Giant Slalom Classification],"&gt;0")</f>
        <v>0</v>
      </c>
      <c r="MP125" s="6">
        <f>COUNTIFS(Table102105[Country],Tabela1[[#This Row],[Country]],Table102105[Giant Slalom Classification],"&gt;0")</f>
        <v>0</v>
      </c>
      <c r="MQ125" s="6">
        <f>COUNTIFS(Table102[Country],Tabela1[[#This Row],[Country]],Table102[Slalom Classification],"&gt;0")</f>
        <v>0</v>
      </c>
      <c r="MR125" s="6">
        <f>COUNTIFS(Table102105[Country],Tabela1[[#This Row],[Country]],Table102105[Slalom Classification],"&gt;0")</f>
        <v>0</v>
      </c>
      <c r="MS125" s="6">
        <f>COUNTIFS(Table102[Country],Tabela1[[#This Row],[Country]],Table102[Super-G Classification],"&gt;0")</f>
        <v>0</v>
      </c>
      <c r="MT125" s="6">
        <f>COUNTIFS(Table102105[Country],Tabela1[[#This Row],[Country]],Table102105[Super-G Classification],"&gt;0")</f>
        <v>0</v>
      </c>
      <c r="MU125" s="6">
        <f>COUNTIFS(Table105[Country],Tabela1[[#This Row],[Country]],Table105[Men''s Combined Classification],"&gt;0")</f>
        <v>0</v>
      </c>
      <c r="MV125" s="6">
        <f>COUNTIFS(Table105[Country],Tabela1[[#This Row],[Country]],Table105[Women''s Combined Classification],"&gt;0")</f>
        <v>0</v>
      </c>
      <c r="MW125" s="6">
        <f>COUNTIFS(Table106[Country],Tabela1[[#This Row],[Country]],Table106[Individual Classification],"&gt;0")</f>
        <v>0</v>
      </c>
      <c r="MX125" s="6">
        <f>COUNTIFS(Table106109[Country],Tabela1[[#This Row],[Country]],Table106109[Individual Classification],"&gt;0")</f>
        <v>0</v>
      </c>
      <c r="MY125" s="6">
        <f>COUNTIFS(Table106[Country],Tabela1[[#This Row],[Country]],Table106[Mass Start Classification],"&gt;0")</f>
        <v>0</v>
      </c>
      <c r="MZ125" s="6">
        <f>COUNTIFS(Table106109[Country],Tabela1[[#This Row],[Country]],Table106109[Mass Start Classification],"&gt;0")</f>
        <v>0</v>
      </c>
      <c r="NA125" s="6">
        <f>COUNTIFS(Table106[Country],Tabela1[[#This Row],[Country]],Table106[Pursuit Classification],"&gt;0")</f>
        <v>0</v>
      </c>
      <c r="NB125" s="6">
        <f>COUNTIFS(Table106109[Country],Tabela1[[#This Row],[Country]],Table106109[Pursuit Classification],"&gt;0")</f>
        <v>0</v>
      </c>
      <c r="NC125" s="6">
        <f>COUNTIFS(Table106[Country],Tabela1[[#This Row],[Country]],Table106[Sprint Classification],"&gt;0")</f>
        <v>0</v>
      </c>
      <c r="ND125" s="6">
        <f>COUNTIFS(Table106109[Country],Tabela1[[#This Row],[Country]],Table106109[Sprint Classification],"&gt;0")</f>
        <v>0</v>
      </c>
      <c r="NE125" s="6">
        <f>COUNTIFS(Table109[Country],Tabela1[[#This Row],[Country]],Table109[Men''s Relay Classification],"&gt;0")</f>
        <v>0</v>
      </c>
      <c r="NF125" s="6">
        <f>COUNTIFS(Table109[Country],Tabela1[[#This Row],[Country]],Table109[Women''s Relay Classification],"&gt;0")</f>
        <v>0</v>
      </c>
      <c r="NG125" s="6">
        <f>COUNTIFS(Table109[Country],Tabela1[[#This Row],[Country]],Table109[Mixed Relay Classification],"&gt;0")</f>
        <v>0</v>
      </c>
      <c r="NH125" s="6">
        <f>COUNTIFS(Table110[Country],Tabela1[[#This Row],[Country]],Table110[Monobob Classification],"&gt;0")</f>
        <v>0</v>
      </c>
      <c r="NI125" s="6">
        <f>COUNTIFS(Table111[Country],Tabela1[[#This Row],[Country]],Table111[Men''s Classification],"&gt;0")</f>
        <v>0</v>
      </c>
      <c r="NJ125" s="6">
        <f>COUNTIFS(Table111[Country],Tabela1[[#This Row],[Country]],Table111[Women''s Classification],"&gt;0")</f>
        <v>0</v>
      </c>
      <c r="NK125" s="6">
        <f>COUNTIFS(Table112[Country],Tabela1[[#This Row],[Country]],Table112[Men''s Four Classification],"&gt;0")</f>
        <v>0</v>
      </c>
      <c r="NL125" s="6">
        <f>COUNTIFS(Table113[Country],Tabela1[[#This Row],[Country]],Table113[Classical Classification],"&gt;0")</f>
        <v>0</v>
      </c>
      <c r="NM125" s="6">
        <f>COUNTIFS(Table113116[Country],Tabela1[[#This Row],[Country]],Table113116[Classical Classification],"&gt;0")</f>
        <v>0</v>
      </c>
      <c r="NN125" s="6">
        <f>COUNTIFS(Table113[Country],Tabela1[[#This Row],[Country]],Table113[Freestyle Classification],"&gt;0")</f>
        <v>0</v>
      </c>
      <c r="NO125" s="6">
        <f>COUNTIFS(Table113116[Country],Tabela1[[#This Row],[Country]],Table113116[Freestyle Classification],"&gt;0")</f>
        <v>0</v>
      </c>
      <c r="NP125" s="6">
        <f>COUNTIFS(Table117[Country],Tabela1[[#This Row],[Country]],Table117[Men''s Relay Classification],"&gt;0")</f>
        <v>0</v>
      </c>
      <c r="NQ125" s="6">
        <f>COUNTIFS(Table117[Country],Tabela1[[#This Row],[Country]],Table117[Women''s Relay Classification],"&gt;0")</f>
        <v>0</v>
      </c>
      <c r="NR125" s="6">
        <f>COUNTIFS(Table113[Country],Tabela1[[#This Row],[Country]],Table113[Skiathlon Classification],"&gt;0")</f>
        <v>0</v>
      </c>
      <c r="NS125" s="6">
        <f>COUNTIFS(Table113116[Country],Tabela1[[#This Row],[Country]],Table113116[Skiathlon Classification],"&gt;0")</f>
        <v>0</v>
      </c>
      <c r="NT125" s="6">
        <f>COUNTIFS(Table113[Country],Tabela1[[#This Row],[Country]],Table113[Sprint Classification],"&gt;0")</f>
        <v>0</v>
      </c>
      <c r="NU125" s="6">
        <f>COUNTIFS(Table113116[Country],Tabela1[[#This Row],[Country]],Table113116[Sprint Classification],"&gt;0")</f>
        <v>0</v>
      </c>
      <c r="NV125" s="6">
        <f>COUNTIFS(Table116[Country],Tabela1[[#This Row],[Country]],Table116[Men''s Team Sprint Classification],"&gt;0")</f>
        <v>0</v>
      </c>
      <c r="NW125" s="6">
        <f>COUNTIFS(Table116[Country],Tabela1[[#This Row],[Country]],Table116[Women''s Team Sprint Classification],"&gt;0")</f>
        <v>0</v>
      </c>
      <c r="NX125" s="6">
        <f>COUNTIFS(Table119[Country],Tabela1[[#This Row],[Country]],Table119[Men''s Classification],"&gt;0")</f>
        <v>0</v>
      </c>
      <c r="NY125" s="6">
        <f>COUNTIFS(Table119[Country],Tabela1[[#This Row],[Country]],Table119[Women''s Classification],"&gt;0")</f>
        <v>0</v>
      </c>
      <c r="NZ125" s="6">
        <f>COUNTIFS(Table118[Country],Tabela1[[#This Row],[Country]],Table118[Mixed Classification],"&gt;0")</f>
        <v>0</v>
      </c>
      <c r="OA125" s="6">
        <f>COUNTIFS(Table120[Country],Tabela1[[#This Row],[Country]],Table120[Classification],"&gt;0")</f>
        <v>0</v>
      </c>
      <c r="OB125" s="6">
        <f>COUNTIFS(Table120123[Country],Tabela1[[#This Row],[Country]],Table120123[Classification],"&gt;0")</f>
        <v>0</v>
      </c>
      <c r="OC125" s="6">
        <f>COUNTIFS(Table123[Country],Tabela1[[#This Row],[Country]],Table123[Ice Dance Classification],"&gt;0")</f>
        <v>0</v>
      </c>
      <c r="OD125" s="6">
        <f>COUNTIFS(Table123[Country],Tabela1[[#This Row],[Country]],Table123[Pair Skating Classification],"&gt;0")</f>
        <v>0</v>
      </c>
      <c r="OE125" s="6">
        <f>COUNTIFS(Table124[Country],Tabela1[[#This Row],[Country]],Table124[Mixed Classification],"&gt;0")</f>
        <v>0</v>
      </c>
      <c r="OF125" s="6">
        <f>COUNTIFS(Table125[Country],Tabela1[[#This Row],[Country]],Table125[Aerials Classification],"&gt;0")</f>
        <v>0</v>
      </c>
      <c r="OG125" s="6">
        <f>COUNTIFS(Table125128[Country],Tabela1[[#This Row],[Country]],Table125128[Aerials Classification],"&gt;0")</f>
        <v>0</v>
      </c>
      <c r="OH125" s="6">
        <f>COUNTIFS(Table128[Country],Tabela1[[#This Row],[Country]],Table128[Mixed Aerials Classification],"&gt;0")</f>
        <v>0</v>
      </c>
      <c r="OI125" s="6">
        <f>COUNTIFS(Table125[Country],Tabela1[[#This Row],[Country]],Table125[Big Air Classification],"&gt;0")</f>
        <v>0</v>
      </c>
      <c r="OJ125" s="6">
        <f>COUNTIFS(Table125128[Country],Tabela1[[#This Row],[Country]],Table125128[Big Air Classification],"&gt;0")</f>
        <v>0</v>
      </c>
      <c r="OK125" s="6">
        <f>COUNTIFS(Table125[Country],Tabela1[[#This Row],[Country]],Table125[Dual Moguls Classification],"&gt;0")</f>
        <v>0</v>
      </c>
      <c r="OL125" s="6">
        <f>COUNTIFS(Table125128[Country],Tabela1[[#This Row],[Country]],Table125128[Dual Moguls Classification],"&gt;0")</f>
        <v>0</v>
      </c>
      <c r="OM125" s="6">
        <f>COUNTIFS(Table125[Country],Tabela1[[#This Row],[Country]],Table125[Halfpipe Classification],"&gt;0")</f>
        <v>0</v>
      </c>
      <c r="ON125" s="6">
        <f>COUNTIFS(Table125128[Country],Tabela1[[#This Row],[Country]],Table125128[Halfpipe Classification],"&gt;0")</f>
        <v>0</v>
      </c>
      <c r="OO125" s="6">
        <f>COUNTIFS(Table125[Country],Tabela1[[#This Row],[Country]],Table125[Moguls Classification],"&gt;0")</f>
        <v>0</v>
      </c>
      <c r="OP125" s="6">
        <f>COUNTIFS(Table125128[Country],Tabela1[[#This Row],[Country]],Table125128[Moguls Classification],"&gt;0")</f>
        <v>0</v>
      </c>
      <c r="OQ125" s="6">
        <f>COUNTIFS(Table125[Country],Tabela1[[#This Row],[Country]],Table125[Ski Cross Classification],"&gt;0")</f>
        <v>0</v>
      </c>
      <c r="OR125" s="6">
        <f>COUNTIFS(Table125128[Country],Tabela1[[#This Row],[Country]],Table125128[Ski Cross Classification],"&gt;0")</f>
        <v>0</v>
      </c>
      <c r="OS125" s="6">
        <f>COUNTIFS(Table125[Country],Tabela1[[#This Row],[Country]],Table125[Slopestyle Classification],"&gt;0")</f>
        <v>0</v>
      </c>
      <c r="OT125" s="6">
        <f>COUNTIFS(Table125128[Country],Tabela1[[#This Row],[Country]],Table125128[Slopestyle Classification],"&gt;0")</f>
        <v>0</v>
      </c>
      <c r="OU125" s="6">
        <f>COUNTIFS(Table119131[Country],Tabela1[[#This Row],[Country]],Table119131[Men''s Classification],"&gt;0")</f>
        <v>0</v>
      </c>
      <c r="OV125" s="6">
        <f>COUNTIFS(Table119131[Country],Tabela1[[#This Row],[Country]],Table119131[Women''s Classification],"&gt;0")</f>
        <v>0</v>
      </c>
      <c r="OW125" s="6">
        <f>COUNTIFS(Table131[Country],Tabela1[[#This Row],[Country]],Table131[Classification],"&gt;0")</f>
        <v>0</v>
      </c>
      <c r="OX125" s="6">
        <f>COUNTIFS(Table131134[Country],Tabela1[[#This Row],[Country]],Table131134[Classification],"&gt;0")</f>
        <v>0</v>
      </c>
      <c r="OY125" s="6">
        <f>COUNTIFS(Table134[Country],Tabela1[[#This Row],[Country]],Table134[Men''s Classification],"&gt;0")</f>
        <v>0</v>
      </c>
      <c r="OZ125" s="6">
        <f>COUNTIFS(Table134[Country],Tabela1[[#This Row],[Country]],Table134[Women''s Classification],"&gt;0")</f>
        <v>0</v>
      </c>
      <c r="PA125" s="6">
        <f>COUNTIFS(Table135[Country],Tabela1[[#This Row],[Country]],Table135[Mixed Relay Classification],"&gt;0")</f>
        <v>0</v>
      </c>
      <c r="PB125" s="6">
        <f>COUNTIFS(Table136[Country],Tabela1[[#This Row],[Country]],Table136[Individual Classification],"&gt;0")</f>
        <v>0</v>
      </c>
      <c r="PC125" s="6">
        <f>COUNTIFS(Table136[Country],Tabela1[[#This Row],[Country]],Table136[Sprint Classification],"&gt;0")</f>
        <v>0</v>
      </c>
      <c r="PD125" s="6">
        <f>COUNTIFS(Table137[Country],Tabela1[[#This Row],[Country]],Table137[Men''s Team Sprint Large Hill Classification],"&gt;0")</f>
        <v>0</v>
      </c>
      <c r="PE125" s="6">
        <f>COUNTIFS(Table138[Country],Tabela1[[#This Row],[Country]],Table138[500m Classification],"&gt;0")</f>
        <v>0</v>
      </c>
      <c r="PF125" s="6">
        <f>COUNTIFS(Table138141[Country],Tabela1[[#This Row],[Country]],Table138141[500m Classification],"&gt;0")</f>
        <v>0</v>
      </c>
      <c r="PG125" s="6">
        <f>COUNTIFS(Table138[Country],Tabela1[[#This Row],[Country]],Table138[1000m Classification],"&gt;0")</f>
        <v>0</v>
      </c>
      <c r="PH125" s="6">
        <f>COUNTIFS(Table138141[Country],Tabela1[[#This Row],[Country]],Table138141[1000m Classification],"&gt;0")</f>
        <v>0</v>
      </c>
      <c r="PI125" s="6">
        <f>COUNTIFS(Table138[Country],Tabela1[[#This Row],[Country]],Table138[1500m Classification],"&gt;0")</f>
        <v>0</v>
      </c>
      <c r="PJ125" s="6">
        <f>COUNTIFS(Table138141[Country],Tabela1[[#This Row],[Country]],Table138141[1500m Classification],"&gt;0")</f>
        <v>0</v>
      </c>
      <c r="PK125" s="6">
        <f>COUNTIFS(Table141[Country],Tabela1[[#This Row],[Country]],Table141[Men''s 5000m Relay Classification],"&gt;0")</f>
        <v>0</v>
      </c>
      <c r="PL125" s="6">
        <f>COUNTIFS(Table141[Country],Tabela1[[#This Row],[Country]],Table141[Women''s 3000m Relay Classification],"&gt;0")</f>
        <v>0</v>
      </c>
      <c r="PM125" s="6">
        <f>COUNTIFS(Table141[Country],Tabela1[[#This Row],[Country]],Table141[Mixed 2000m Relay Classification],"&gt;0")</f>
        <v>0</v>
      </c>
      <c r="PN125" s="6">
        <f>COUNTIFS(Table142[Country],Tabela1[[#This Row],[Country]],Table142[Classification],"&gt;0")</f>
        <v>0</v>
      </c>
      <c r="PO125" s="6">
        <f>COUNTIFS(Table142145[Country],Tabela1[[#This Row],[Country]],Table142145[Classification],"&gt;0")</f>
        <v>0</v>
      </c>
      <c r="PP125" s="6">
        <f>COUNTIFS(Tabela15[Country],Tabela1[[#This Row],[Country]],Tabela15[Mixed Team Classification],"&gt;0")</f>
        <v>0</v>
      </c>
      <c r="PQ125" s="6">
        <f>COUNTIFS(Table145[Country],Tabela1[[#This Row],[Country]],Table145[Large Hill Classification],"&gt;0")</f>
        <v>0</v>
      </c>
      <c r="PR125" s="6">
        <f>COUNTIFS(Table145[Country],Tabela1[[#This Row],[Country]],Table145[Normal Hill Classification],"&gt;0")</f>
        <v>0</v>
      </c>
      <c r="PS125" s="6">
        <f>COUNTIFS(Table145148[Country],Tabela1[[#This Row],[Country]],Table145148[Large Hill Classification],"&gt;0")</f>
        <v>0</v>
      </c>
      <c r="PT125" s="6">
        <f>COUNTIFS(Table145148[Country],Tabela1[[#This Row],[Country]],Table145148[Normal Hill Classification],"&gt;0")</f>
        <v>0</v>
      </c>
      <c r="PU125" s="6">
        <f>COUNTIFS(Table148[Country],Tabela1[[#This Row],[Country]],Table148[Men''s Super Team Classification],"&gt;0")</f>
        <v>0</v>
      </c>
      <c r="PV125" s="6">
        <f>COUNTIFS(Tabela114[Country],Tabela1[[#This Row],[Country]],Tabela114[Mixed Normal Hill Classification],"&gt;0")</f>
        <v>0</v>
      </c>
      <c r="PW125" s="6">
        <f>COUNTIFS(Tabela50[Country],Tabela1[[#This Row],[Country]],Tabela50[Sprint Classification],"&gt;0")</f>
        <v>0</v>
      </c>
      <c r="PX125" s="6">
        <f>COUNTIFS(Tabela50101[Country],Tabela1[[#This Row],[Country]],Tabela50101[Sprint Classification],"&gt;0")</f>
        <v>0</v>
      </c>
      <c r="PY125" s="6">
        <f>COUNTIFS(Tabela103[Country],Tabela1[[#This Row],[Country]],Tabela103[Mixed Relay Classification],"&gt;0")</f>
        <v>0</v>
      </c>
      <c r="PZ125" s="6">
        <f>COUNTIFS(Table149[Country],Tabela1[[#This Row],[Country]],Table149[Big Air Classification],"&gt;0")</f>
        <v>0</v>
      </c>
      <c r="QA125" s="6">
        <f>COUNTIFS(Table149152[Country],Tabela1[[#This Row],[Country]],Table149152[Big Air Classification],"&gt;0")</f>
        <v>0</v>
      </c>
      <c r="QB125" s="6">
        <f>COUNTIFS(Table149[Country],Tabela1[[#This Row],[Country]],Table149[Halfpipe Classification],"&gt;0")</f>
        <v>0</v>
      </c>
      <c r="QC125" s="6">
        <f>COUNTIFS(Table149152[Country],Tabela1[[#This Row],[Country]],Table149152[Halfpipe Classification],"&gt;0")</f>
        <v>0</v>
      </c>
      <c r="QD125" s="6">
        <f>COUNTIFS(Table149[Country],Tabela1[[#This Row],[Country]],Table149[Parallel Giant Slalom Classification],"&gt;0")</f>
        <v>0</v>
      </c>
      <c r="QE125" s="6">
        <f>COUNTIFS(Table149152[Country],Tabela1[[#This Row],[Country]],Table149152[Parallel Giant Slalom Classification],"&gt;0")</f>
        <v>0</v>
      </c>
      <c r="QF125" s="6">
        <f>COUNTIFS(Table149[Country],Tabela1[[#This Row],[Country]],Table149[Slopestyle Classification],"&gt;0")</f>
        <v>0</v>
      </c>
      <c r="QG125" s="6">
        <f>COUNTIFS(Table149152[Country],Tabela1[[#This Row],[Country]],Table149152[Slopestyle Classification],"&gt;0")</f>
        <v>0</v>
      </c>
      <c r="QH125" s="6">
        <f>COUNTIFS(Table149[Country],Tabela1[[#This Row],[Country]],Table149[Snowboard Cross Classification],"&gt;0")</f>
        <v>0</v>
      </c>
      <c r="QI125" s="6">
        <f>COUNTIFS(Table149152[Country],Tabela1[[#This Row],[Country]],Table149152[Snowboard Cross Classification],"&gt;0")</f>
        <v>0</v>
      </c>
      <c r="QJ125" s="6">
        <f>COUNTIFS(Table153[Country],Tabela1[[#This Row],[Country]],Table153[Mixed Team Snowboard Cross Classification],"&gt;0")</f>
        <v>0</v>
      </c>
      <c r="QK125" s="6">
        <f>COUNTIFS(Table154[Country],Tabela1[[#This Row],[Country]],Table154[500m Classification],"&gt;0")</f>
        <v>0</v>
      </c>
      <c r="QL125" s="6">
        <f>COUNTIFS(Table154157[Country],Tabela1[[#This Row],[Country]],Table154157[500m Classification],"&gt;0")</f>
        <v>0</v>
      </c>
      <c r="QM125" s="6">
        <f>COUNTIFS(Table154[Country],Tabela1[[#This Row],[Country]],Table154[1000m Classification],"&gt;0")</f>
        <v>0</v>
      </c>
      <c r="QN125" s="6">
        <f>COUNTIFS(Table154157[Country],Tabela1[[#This Row],[Country]],Table154157[1000m Classification],"&gt;0")</f>
        <v>0</v>
      </c>
      <c r="QO125" s="6">
        <f>COUNTIFS(Table154[Country],Tabela1[[#This Row],[Country]],Table154[1500m Classification],"&gt;0")</f>
        <v>0</v>
      </c>
      <c r="QP125" s="6">
        <f>COUNTIFS(Table154157[Country],Tabela1[[#This Row],[Country]],Table154157[1500m Classification],"&gt;0")</f>
        <v>0</v>
      </c>
      <c r="QQ125" s="6">
        <f>COUNTIFS(Table154157[Country],Tabela1[[#This Row],[Country]],Table154157[3000m Classification],"&gt;0")</f>
        <v>0</v>
      </c>
      <c r="QR125" s="6">
        <f>COUNTIFS(Table154[Country],Tabela1[[#This Row],[Country]],Table154[5000m Classification],"&gt;0")</f>
        <v>0</v>
      </c>
      <c r="QS125" s="6">
        <f>COUNTIFS(Table154157[Country],Tabela1[[#This Row],[Country]],Table154157[5000m Classification],"&gt;0")</f>
        <v>0</v>
      </c>
      <c r="QT125" s="6">
        <f>COUNTIFS(Table154[Country],Tabela1[[#This Row],[Country]],Table154[10000m Classification],"&gt;0")</f>
        <v>0</v>
      </c>
      <c r="QU125" s="6">
        <f>COUNTIFS(Table154[Country],Tabela1[[#This Row],[Country]],Table154[Mass Start Classification],"&gt;0")</f>
        <v>0</v>
      </c>
      <c r="QV125" s="6">
        <f>COUNTIFS(Table154157[Country],Tabela1[[#This Row],[Country]],Table154157[Mass Start Classification],"&gt;0")</f>
        <v>0</v>
      </c>
      <c r="QW125" s="6">
        <f>COUNTIFS(Table157[Country],Tabela1[[#This Row],[Country]],Table157[Men''s Pursuit Classification],"&gt;0")</f>
        <v>0</v>
      </c>
      <c r="QX125" s="6">
        <f>COUNTIFS(Table157[Country],Tabela1[[#This Row],[Country]],Table157[Women''s Pursuit Classification],"&gt;0")</f>
        <v>0</v>
      </c>
      <c r="QY125" s="3" t="s">
        <v>505</v>
      </c>
    </row>
    <row r="126" spans="1:467" x14ac:dyDescent="0.3">
      <c r="A126" s="6">
        <v>125</v>
      </c>
      <c r="B126" s="6" t="s">
        <v>664</v>
      </c>
      <c r="C126" t="e" vm="125">
        <f>IF(ISBLANK(Tabela1[[#This Row],[Image Link]]), "", _xlfn.IMAGE(Tabela1[[#This Row],[Image Link]],1,1))</f>
        <v>#VALUE!</v>
      </c>
      <c r="D126" s="6">
        <f>SUM(Tabela1[[#This Row],[Archery - Men''s Individual Recurve]:[Speed Skating - Women''s Team Pursuit]])</f>
        <v>2</v>
      </c>
      <c r="E126" s="6">
        <f>COUNTIF(Tabela1[[#This Row],[Archery - Men''s Individual Recurve]:[Speed Skating - Women''s Team Pursuit]],"&gt;0")</f>
        <v>2</v>
      </c>
      <c r="F126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26" s="6">
        <f>SUM(Tabela1[[#This Row],[Archery - Men''s Individual Recurve]:[Wrestling - Women''s Freestyle 76kg]])</f>
        <v>2</v>
      </c>
      <c r="H126" s="6">
        <f>SUM(Tabela1[[#This Row],[Alpine Skiing - Men''s Downhill]:[Speed Skating - Women''s Team Pursuit]])</f>
        <v>0</v>
      </c>
      <c r="I126" s="6">
        <f>Tabela1[[#This Row],[Summer Gold Medals]]+Tabela1[[#This Row],[Winter Gold Medals]]</f>
        <v>0</v>
      </c>
      <c r="J126" s="6">
        <f>Tabela1[[#This Row],[Summer Silver Medals]]+Tabela1[[#This Row],[Winter Silver Medals]]</f>
        <v>1</v>
      </c>
      <c r="K126" s="6">
        <f>Tabela1[[#This Row],[Summer Bronze Medals]]+Tabela1[[#This Row],[Winter Bronze Medals]]</f>
        <v>0</v>
      </c>
      <c r="L126" s="6">
        <f>SUM(Tabela1[[#This Row],[Total Gold Medals]:[Total Bronze Medals]])</f>
        <v>1</v>
      </c>
      <c r="M126" s="6"/>
      <c r="N126" s="6">
        <v>1</v>
      </c>
      <c r="O126" s="6"/>
      <c r="P126" s="6">
        <f>SUM(Tabela1[[#This Row],[Summer Gold Medals]:[Summer Bronze Medals]])</f>
        <v>1</v>
      </c>
      <c r="Q126" s="6"/>
      <c r="R126" s="6"/>
      <c r="S126" s="6"/>
      <c r="T126" s="6">
        <f>Tabela1[[#This Row],[Winter Gold Medals]]+Tabela1[[#This Row],[Winter Silver Medals]]+Tabela1[[#This Row],[Winter Bronze Medals]]</f>
        <v>0</v>
      </c>
      <c r="U126" s="7">
        <f>Tabela1[[#This Row],[Total Medals]]/Tabela1[[#This Row],[Total Quotas]]</f>
        <v>0.5</v>
      </c>
      <c r="V126" s="6">
        <f>COUNTIFS(Table3[Country],Tabela1[[#This Row],[Country]],Table3[Recurve Classification],"&gt;0")</f>
        <v>0</v>
      </c>
      <c r="W126" s="6">
        <f>COUNTIFS(Table33[Country],Tabela1[[#This Row],[Country]],Table33[Recurve Classification],"&gt;0")</f>
        <v>0</v>
      </c>
      <c r="X126" s="6">
        <f>COUNTIFS(Table35[Country],Tabela1[[#This Row],[Country]],Table35[Men''s Team Recurve Classification],"&gt;0")</f>
        <v>0</v>
      </c>
      <c r="Y126" s="6">
        <f>COUNTIFS(Table35[Country],Tabela1[[#This Row],[Country]],Table35[Women''s Team Recurve Classification],"&gt;0")</f>
        <v>0</v>
      </c>
      <c r="Z126" s="6">
        <f>COUNTIFS(Tabela88[Country],Tabela1[[#This Row],[Country]],Tabela88[Mixed Team Recurve Classification],"&gt;0")</f>
        <v>0</v>
      </c>
      <c r="AA126" s="6">
        <f>COUNTIFS(Table36[Country],Tabela1[[#This Row],[Country]],Table36[Classification],"&gt;0")</f>
        <v>0</v>
      </c>
      <c r="AB126" s="6">
        <f>COUNTIFS(Table37[Country],Tabela1[[#This Row],[Country]],Table37[Classification],"&gt;0")</f>
        <v>0</v>
      </c>
      <c r="AC126" s="6">
        <f>COUNTIFS(Table4[Country],Tabela1[[#This Row],[Country]],Table4[100m Classification],"&gt;0")</f>
        <v>0</v>
      </c>
      <c r="AD126" s="6">
        <f>COUNTIFS(Table5[Country],Tabela1[[#This Row],[Country]],Table5[100m Classification],"&gt;0")</f>
        <v>0</v>
      </c>
      <c r="AE126" s="6">
        <f>COUNTIFS(Table4[Country],Tabela1[[#This Row],[Country]],Table4[200m Classification],"&gt;0")</f>
        <v>0</v>
      </c>
      <c r="AF126" s="6">
        <f>COUNTIFS(Table5[Country],Tabela1[[#This Row],[Country]],Table5[200m Classification],"&gt;0")</f>
        <v>0</v>
      </c>
      <c r="AG126" s="6">
        <f>COUNTIFS(Table4[Country],Tabela1[[#This Row],[Country]],Table4[400m Classification],"&gt;0")</f>
        <v>0</v>
      </c>
      <c r="AH126" s="6">
        <f>COUNTIFS(Table5[Country],Tabela1[[#This Row],[Country]],Table5[400m Classification],"&gt;0")</f>
        <v>0</v>
      </c>
      <c r="AI126" s="6">
        <f>COUNTIFS(Table4[Country],Tabela1[[#This Row],[Country]],Table4[800m Classification],"&gt;0")</f>
        <v>0</v>
      </c>
      <c r="AJ126" s="6">
        <f>COUNTIFS(Table5[Country],Tabela1[[#This Row],[Country]],Table5[800m Classification],"&gt;0")</f>
        <v>0</v>
      </c>
      <c r="AK126" s="6">
        <f>COUNTIFS(Table4[Country],Tabela1[[#This Row],[Country]],Table4[1500m Classification],"&gt;0")</f>
        <v>0</v>
      </c>
      <c r="AL126" s="6">
        <f>COUNTIFS(Table5[Country],Tabela1[[#This Row],[Country]],Table5[1500m Classification],"&gt;0")</f>
        <v>0</v>
      </c>
      <c r="AM126" s="6">
        <f>COUNTIFS(Table4[Country],Tabela1[[#This Row],[Country]],Table4[5000m Classification],"&gt;0")</f>
        <v>0</v>
      </c>
      <c r="AN126" s="6">
        <f>COUNTIFS(Table5[Country],Tabela1[[#This Row],[Country]],Table5[5000m Classification],"&gt;0")</f>
        <v>0</v>
      </c>
      <c r="AO126" s="6">
        <f>COUNTIFS(Table4[Country],Tabela1[[#This Row],[Country]],Table4[10000m Classification],"&gt;0")</f>
        <v>0</v>
      </c>
      <c r="AP126" s="6">
        <f>COUNTIFS(Table5[Country],Tabela1[[#This Row],[Country]],Table5[10000m Classification],"&gt;0")</f>
        <v>0</v>
      </c>
      <c r="AQ126" s="6">
        <f>COUNTIFS(Table4[Country],Tabela1[[#This Row],[Country]],Table4[110m Hurdles Classification],"&gt;0")</f>
        <v>0</v>
      </c>
      <c r="AR126" s="6">
        <f>COUNTIFS(Table5[Country],Tabela1[[#This Row],[Country]],Table5[100m Hurdles Classification],"&gt;0")</f>
        <v>0</v>
      </c>
      <c r="AS126" s="6">
        <f>COUNTIFS(Table4[Country],Tabela1[[#This Row],[Country]],Table4[400m Hurdles Classification],"&gt;0")</f>
        <v>0</v>
      </c>
      <c r="AT126" s="6">
        <f>COUNTIFS(Table5[Country],Tabela1[[#This Row],[Country]],Table5[400m Hurdles Classification],"&gt;0")</f>
        <v>1</v>
      </c>
      <c r="AU126" s="6">
        <f>COUNTIFS(Table4[Country],Tabela1[[#This Row],[Country]],Table4[3000m Steeplechase Classification],"&gt;0")</f>
        <v>0</v>
      </c>
      <c r="AV126" s="6">
        <f>COUNTIFS(Table5[Country],Tabela1[[#This Row],[Country]],Table5[3000m Steeplechase Classification],"&gt;0")</f>
        <v>0</v>
      </c>
      <c r="AW126" s="6">
        <f>COUNTIFS(Table27[Country],Tabela1[[#This Row],[Country]],Table27[Men''s 4x100m Relay Classification],"&gt;0")</f>
        <v>0</v>
      </c>
      <c r="AX126" s="6">
        <f>COUNTIFS(Table27[Country],Tabela1[[#This Row],[Country]],Table27[Women''s 4x100m Relay Classification],"&gt;0")</f>
        <v>0</v>
      </c>
      <c r="AY126" s="6">
        <f>COUNTIFS(Table27[Country],Tabela1[[#This Row],[Country]],Table27[Men''s 4x400m Relay Classification],"&gt;0")</f>
        <v>0</v>
      </c>
      <c r="AZ126" s="6">
        <f>COUNTIFS(Table27[Country],Tabela1[[#This Row],[Country]],Table27[Women''s 4x400m Relay Classification],"&gt;0")</f>
        <v>0</v>
      </c>
      <c r="BA126" s="6">
        <f>COUNTIFS(Table27[Country],Tabela1[[#This Row],[Country]],Table27[Mixed 4x400m Relay Classification],"&gt;0")</f>
        <v>0</v>
      </c>
      <c r="BB126" s="6">
        <f>COUNTIFS(Table4[Country],Tabela1[[#This Row],[Country]],Table4[Marathon Classification],"&gt;0")</f>
        <v>0</v>
      </c>
      <c r="BC126" s="6">
        <f>COUNTIFS(Table5[Country],Tabela1[[#This Row],[Country]],Table5[Marathon Classification],"&gt;0")</f>
        <v>0</v>
      </c>
      <c r="BD126" s="6">
        <f>COUNTIFS(Table4[Country],Tabela1[[#This Row],[Country]],Table4[20km Race Walk Classification],"&gt;0")</f>
        <v>0</v>
      </c>
      <c r="BE126" s="6">
        <f>COUNTIFS(Table5[Country],Tabela1[[#This Row],[Country]],Table5[20km Race Walk Classification],"&gt;0")</f>
        <v>0</v>
      </c>
      <c r="BF126" s="6">
        <f>COUNTIFS(Tabela96[Country],Tabela1[[#This Row],[Country]],Tabela96[Mixed Marathon Race Walk Relay Classification],"&gt;0")</f>
        <v>0</v>
      </c>
      <c r="BG126" s="6">
        <f>COUNTIFS(Table4[Country],Tabela1[[#This Row],[Country]],Table4[Discus Throw Classification],"&gt;0")</f>
        <v>0</v>
      </c>
      <c r="BH126" s="6">
        <f>COUNTIFS(Table5[Country],Tabela1[[#This Row],[Country]],Table5[Discus Throw Classification],"&gt;0")</f>
        <v>0</v>
      </c>
      <c r="BI126" s="6">
        <f>COUNTIFS(Table4[Country],Tabela1[[#This Row],[Country]],Table4[Hammer Throw Classification],"&gt;0")</f>
        <v>0</v>
      </c>
      <c r="BJ126" s="6">
        <f>COUNTIFS(Table5[Country],Tabela1[[#This Row],[Country]],Table5[Hammer Throw Classification],"&gt;0")</f>
        <v>0</v>
      </c>
      <c r="BK126" s="6">
        <f>COUNTIFS(Table4[Country],Tabela1[[#This Row],[Country]],Table4[High Jump Classification],"&gt;0")</f>
        <v>0</v>
      </c>
      <c r="BL126" s="6">
        <f>COUNTIFS(Table5[Country],Tabela1[[#This Row],[Country]],Table5[High Jump Classification],"&gt;0")</f>
        <v>0</v>
      </c>
      <c r="BM126" s="6">
        <f>COUNTIFS(Table4[Country],Tabela1[[#This Row],[Country]],Table4[Javelin Throw Classification],"&gt;0")</f>
        <v>0</v>
      </c>
      <c r="BN126" s="6">
        <f>COUNTIFS(Table5[Country],Tabela1[[#This Row],[Country]],Table5[Javelin Throw Classification],"&gt;0")</f>
        <v>0</v>
      </c>
      <c r="BO126" s="6">
        <f>COUNTIFS(Table4[Country],Tabela1[[#This Row],[Country]],Table4[Long Jump Classification],"&gt;0")</f>
        <v>0</v>
      </c>
      <c r="BP126" s="6">
        <f>COUNTIFS(Table5[Country],Tabela1[[#This Row],[Country]],Table5[Long Jump Classification],"&gt;0")</f>
        <v>0</v>
      </c>
      <c r="BQ126" s="6">
        <f>COUNTIFS(Table4[Country],Tabela1[[#This Row],[Country]],Table4[Pole Vault Classification],"&gt;0")</f>
        <v>0</v>
      </c>
      <c r="BR126" s="6">
        <f>COUNTIFS(Table5[Country],Tabela1[[#This Row],[Country]],Table5[Pole Vault Classification],"&gt;0")</f>
        <v>0</v>
      </c>
      <c r="BS126" s="6">
        <f>COUNTIFS(Table4[Country],Tabela1[[#This Row],[Country]],Table4[Shot Put Classification],"&gt;0")</f>
        <v>0</v>
      </c>
      <c r="BT126" s="6">
        <f>COUNTIFS(Table5[Country],Tabela1[[#This Row],[Country]],Table5[Shot Put Classification],"&gt;0")</f>
        <v>0</v>
      </c>
      <c r="BU126" s="6">
        <f>COUNTIFS(Table4[Country],Tabela1[[#This Row],[Country]],Table4[Triple Jump Classification],"&gt;0")</f>
        <v>0</v>
      </c>
      <c r="BV126" s="6">
        <f>COUNTIFS(Table5[Country],Tabela1[[#This Row],[Country]],Table5[Triple Jump Classification],"&gt;0")</f>
        <v>0</v>
      </c>
      <c r="BW126" s="6">
        <f>COUNTIFS(Table4[Country],Tabela1[[#This Row],[Country]],Table4[Decathlon Classification],"&gt;0")</f>
        <v>0</v>
      </c>
      <c r="BX126" s="6">
        <f>COUNTIFS(Table5[Country],Tabela1[[#This Row],[Country]],Table5[Heptathlon Classification],"&gt;0")</f>
        <v>0</v>
      </c>
      <c r="BY126" s="6">
        <f>COUNTIFS(Table61[Country],Tabela1[[#This Row],[Country]],Table61[Classification],"&gt;0")</f>
        <v>0</v>
      </c>
      <c r="BZ126" s="6">
        <f>COUNTIFS(Table38[Country],Tabela1[[#This Row],[Country]],Table38[Classification],"&gt;0")</f>
        <v>0</v>
      </c>
      <c r="CA126" s="6">
        <f>COUNTIFS(Table39[Country],Tabela1[[#This Row],[Country]],Table39[Men''s Classification],"&gt;0")</f>
        <v>0</v>
      </c>
      <c r="CB126" s="6">
        <f>COUNTIFS(Table39[Country],Tabela1[[#This Row],[Country]],Table39[Women''s Classification],"&gt;0")</f>
        <v>0</v>
      </c>
      <c r="CC126" s="6">
        <f>COUNTIFS(Table39[Country],Tabela1[[#This Row],[Country]],Table39[Mixed Classification],"&gt;0")</f>
        <v>0</v>
      </c>
      <c r="CD126" s="6">
        <f>COUNTIFS(Table89[Country],Tabela1[[#This Row],[Country]],Table89[Men''s Classification],"&gt;0")</f>
        <v>0</v>
      </c>
      <c r="CE126" s="6">
        <f>COUNTIFS(Table89[Country],Tabela1[[#This Row],[Country]],Table89[Women''s Classification],"&gt;0")</f>
        <v>0</v>
      </c>
      <c r="CF126" s="6">
        <f>COUNTIFS(Table90[Country],Tabela1[[#This Row],[Country]],Table90[Men''s Classification],"&gt;0")</f>
        <v>0</v>
      </c>
      <c r="CG126" s="6">
        <f>COUNTIFS(Table90[Country],Tabela1[[#This Row],[Country]],Table90[Women''s Classification],"&gt;0")</f>
        <v>0</v>
      </c>
      <c r="CH126" s="6">
        <f>COUNTIFS(Table60[Country],Tabela1[[#This Row],[Country]],Table60[Men''s Classification],"&gt;0")</f>
        <v>0</v>
      </c>
      <c r="CI126" s="6">
        <f>COUNTIFS(Table60[Country],Tabela1[[#This Row],[Country]],Table60[Women''s Classification],"&gt;0")</f>
        <v>0</v>
      </c>
      <c r="CJ126" s="6">
        <f>COUNTIFS(Table6[Country],Tabela1[[#This Row],[Country]],Table6[51kg Classification],"&gt;0")</f>
        <v>0</v>
      </c>
      <c r="CK126" s="6">
        <f>COUNTIFS(Table6[Country],Tabela1[[#This Row],[Country]],Table6[57kg Classification],"&gt;0")</f>
        <v>0</v>
      </c>
      <c r="CL126" s="6">
        <f>COUNTIFS(Table6[Country],Tabela1[[#This Row],[Country]],Table6[63.5kg Classification],"&gt;0")</f>
        <v>0</v>
      </c>
      <c r="CM126" s="6">
        <f>COUNTIFS(Table6[Country],Tabela1[[#This Row],[Country]],Table6[71kg Classification],"&gt;0")</f>
        <v>0</v>
      </c>
      <c r="CN126" s="6">
        <f>COUNTIFS(Table6[Country],Tabela1[[#This Row],[Country]],Table6[80kg Classification],"&gt;0")</f>
        <v>0</v>
      </c>
      <c r="CO126" s="6">
        <f>COUNTIFS(Table6[Country],Tabela1[[#This Row],[Country]],Table6[92kg Classification],"&gt;0")</f>
        <v>0</v>
      </c>
      <c r="CP126" s="6">
        <f>COUNTIFS(Table6[Country],Tabela1[[#This Row],[Country]],Table6[Plus 92kg Classification],"&gt;0")</f>
        <v>0</v>
      </c>
      <c r="CQ126" s="6">
        <f>COUNTIFS(Table7[Country],Tabela1[[#This Row],[Country]],Table7[50kg Classification],"&gt;0")</f>
        <v>0</v>
      </c>
      <c r="CR126" s="6">
        <f>COUNTIFS(Table7[Country],Tabela1[[#This Row],[Country]],Table7[54kg Classification],"&gt;0")</f>
        <v>0</v>
      </c>
      <c r="CS126" s="6">
        <f>COUNTIFS(Table7[Country],Tabela1[[#This Row],[Country]],Table7[57kg Classification],"&gt;0")</f>
        <v>0</v>
      </c>
      <c r="CT126" s="6">
        <f>COUNTIFS(Table7[Country],Tabela1[[#This Row],[Country]],Table7[60kg Classification],"&gt;0")</f>
        <v>0</v>
      </c>
      <c r="CU126" s="6">
        <f>COUNTIFS(Table7[Country],Tabela1[[#This Row],[Country]],Table7[66kg Classification],"&gt;0")</f>
        <v>0</v>
      </c>
      <c r="CV126" s="6">
        <f>COUNTIFS(Table7[Country],Tabela1[[#This Row],[Country]],Table7[75kg Classification],"&gt;0")</f>
        <v>1</v>
      </c>
      <c r="CW126" s="6">
        <f>COUNTIFS(Tabela94[Country],Tabela1[[#This Row],[Country]],Tabela94[Classification],"&gt;0")</f>
        <v>0</v>
      </c>
      <c r="CX126" s="6">
        <f>COUNTIFS(Tabela9499[Country],Tabela1[[#This Row],[Country]],Tabela9499[Classification],"&gt;0")</f>
        <v>0</v>
      </c>
      <c r="CY126" s="6">
        <f>COUNTIFS(Tabela107[Country],Tabela1[[#This Row],[Country]],Tabela107[C1 Slalom Classification],"&gt;0")</f>
        <v>0</v>
      </c>
      <c r="CZ126" s="6">
        <f>COUNTIFS(Tabela107122[Country],Tabela1[[#This Row],[Country]],Tabela107122[C1 Slalom Classification],"&gt;0")</f>
        <v>0</v>
      </c>
      <c r="DA126" s="6">
        <f>COUNTIFS(Tabela107[Country],Tabela1[[#This Row],[Country]],Tabela107[K1 Slalom Classification],"&gt;0")</f>
        <v>0</v>
      </c>
      <c r="DB126" s="6">
        <f>COUNTIFS(Tabela107122[Country],Tabela1[[#This Row],[Country]],Tabela107122[K1 Slalom Classification],"&gt;0")</f>
        <v>0</v>
      </c>
      <c r="DC126" s="6">
        <f>COUNTIFS(Tabela107[Country],Tabela1[[#This Row],[Country]],Tabela107[Kayak Cross Slalom Classification],"&gt;0")</f>
        <v>0</v>
      </c>
      <c r="DD126" s="6">
        <f>COUNTIFS(Tabela107122[Country],Tabela1[[#This Row],[Country]],Tabela107122[Kayak Cross Slalom Classification],"&gt;0")</f>
        <v>0</v>
      </c>
      <c r="DE126" s="6">
        <f>COUNTIFS(Table8[Country],Tabela1[[#This Row],[Country]],Table8[C1 200m Classification],"&gt;0")</f>
        <v>0</v>
      </c>
      <c r="DF126" s="6">
        <f>COUNTIFS(Table40[Country],Tabela1[[#This Row],[Country]],Table40[C1 1000m Classification],"&gt;0")</f>
        <v>0</v>
      </c>
      <c r="DG126" s="6">
        <f>COUNTIFS(Table68[Country],Tabela1[[#This Row],[Country]],Table68[Men''s C2 500m Classification],"&gt;0")</f>
        <v>0</v>
      </c>
      <c r="DH126" s="6">
        <f>COUNTIFS(Table68[Country],Tabela1[[#This Row],[Country]],Table68[Women''s C2 500m Classification],"&gt;0")</f>
        <v>0</v>
      </c>
      <c r="DI126" s="6">
        <f>COUNTIFS(Table8[Country],Tabela1[[#This Row],[Country]],Table8[K1 500m Classification],"&gt;0")</f>
        <v>0</v>
      </c>
      <c r="DJ126" s="6">
        <f>COUNTIFS(Table40[Country],Tabela1[[#This Row],[Country]],Table40[K1 1000m Classification],"&gt;0")</f>
        <v>0</v>
      </c>
      <c r="DK126" s="6">
        <f>COUNTIFS(Table68[Country],Tabela1[[#This Row],[Country]],Table68[Men''s K2 500m Classification],"&gt;0")</f>
        <v>0</v>
      </c>
      <c r="DL126" s="6">
        <f>COUNTIFS(Table68[Country],Tabela1[[#This Row],[Country]],Table68[Women''s K2 500m Classification],"&gt;0")</f>
        <v>0</v>
      </c>
      <c r="DM126" s="6">
        <f>COUNTIFS(Table83[Country],Tabela1[[#This Row],[Country]],Table83[Men''s K4 500m Classification],"&gt;0")</f>
        <v>0</v>
      </c>
      <c r="DN126" s="6">
        <f>COUNTIFS(Table83[Country],Tabela1[[#This Row],[Country]],Table83[Women''s K4 500m Classification],"&gt;0")</f>
        <v>0</v>
      </c>
      <c r="DO126" s="6">
        <f>COUNTIFS(Tabela126[Country],Tabela1[[#This Row],[Country]],Tabela126[Classification],"&gt;0")</f>
        <v>0</v>
      </c>
      <c r="DP126" s="6">
        <f>COUNTIFS(Tabela126130[Country],Tabela1[[#This Row],[Country]],Tabela126130[Classification],"&gt;0")</f>
        <v>0</v>
      </c>
      <c r="DQ126" s="6">
        <f>COUNTIFS(Table70[Country],Tabela1[[#This Row],[Country]],Table70[Classification],"&gt;0")</f>
        <v>0</v>
      </c>
      <c r="DR126" s="6">
        <f>COUNTIFS(Table80[Country],Tabela1[[#This Row],[Country]],Table80[Classification],"&gt;0")</f>
        <v>0</v>
      </c>
      <c r="DS126" s="6">
        <f>COUNTIFS(Table66[Country],Tabela1[[#This Row],[Country]],Table66[Classification],"&gt;0")</f>
        <v>0</v>
      </c>
      <c r="DT126" s="6">
        <f>COUNTIFS(Table67[Country],Tabela1[[#This Row],[Country]],Table67[Classification],"&gt;0")</f>
        <v>0</v>
      </c>
      <c r="DU126" s="6">
        <f>COUNTIFS(Table69[Country],Tabela1[[#This Row],[Country]],Table69[Keirin Classification],"&gt;0")</f>
        <v>0</v>
      </c>
      <c r="DV126" s="6">
        <f>COUNTIFS(Table41[Country],Tabela1[[#This Row],[Country]],Table41[Keirin Classification],"&gt;0")</f>
        <v>0</v>
      </c>
      <c r="DW126" s="6">
        <f>COUNTIFS(Table84[Country],Tabela1[[#This Row],[Country]],Table84[Men''s Madison Classification],"&gt;0")</f>
        <v>0</v>
      </c>
      <c r="DX126" s="6">
        <f>COUNTIFS(Table84[Country],Tabela1[[#This Row],[Country]],Table84[Women''s Madison Classification],"&gt;0")</f>
        <v>0</v>
      </c>
      <c r="DY126" s="6">
        <f>COUNTIFS(Table69[Country],Tabela1[[#This Row],[Country]],Table69[Omnium Classification],"&gt;0")</f>
        <v>0</v>
      </c>
      <c r="DZ126" s="6">
        <f>COUNTIFS(Table41[Country],Tabela1[[#This Row],[Country]],Table41[Omnium Classification],"&gt;0")</f>
        <v>0</v>
      </c>
      <c r="EA126" s="6">
        <f>COUNTIFS(Table9[Country],Tabela1[[#This Row],[Country]],Table9[Road Race Classification],"&gt;0")</f>
        <v>0</v>
      </c>
      <c r="EB126" s="6">
        <f>COUNTIFS(Table14[Country],Tabela1[[#This Row],[Country]],Table14[Road Race Classification],"&gt;0")</f>
        <v>0</v>
      </c>
      <c r="EC126" s="6">
        <f>COUNTIFS(Table69[Country],Tabela1[[#This Row],[Country]],Table69[Sprint Classification],"&gt;0")</f>
        <v>0</v>
      </c>
      <c r="ED126" s="6">
        <f>COUNTIFS(Table41[Country],Tabela1[[#This Row],[Country]],Table41[Sprint Classification],"&gt;0")</f>
        <v>0</v>
      </c>
      <c r="EE126" s="6">
        <f>COUNTIFS(Table85[Country],Tabela1[[#This Row],[Country]],Table85[Men''s Sprint Classification],"&gt;0")</f>
        <v>0</v>
      </c>
      <c r="EF126" s="6">
        <f>COUNTIFS(Table85[Country],Tabela1[[#This Row],[Country]],Table85[Women''s Sprint Classification],"&gt;0")</f>
        <v>0</v>
      </c>
      <c r="EG126" s="6">
        <f>COUNTIFS(Table85[Country],Tabela1[[#This Row],[Country]],Table85[Men''s Pursuit Classification],"&gt;0")</f>
        <v>0</v>
      </c>
      <c r="EH126" s="6">
        <f>COUNTIFS(Table85[Country],Tabela1[[#This Row],[Country]],Table85[Women''s Pursuit Classification],"&gt;0")</f>
        <v>0</v>
      </c>
      <c r="EI126" s="6">
        <f>COUNTIFS(Table9[Country],Tabela1[[#This Row],[Country]],Table9[Time-Trial Classification],"&gt;0")</f>
        <v>0</v>
      </c>
      <c r="EJ126" s="6">
        <f>COUNTIFS(Table14[Country],Tabela1[[#This Row],[Country]],Table14[Time-Trial Classification],"&gt;0")</f>
        <v>0</v>
      </c>
      <c r="EK126" s="6">
        <f>COUNTIFS(Table42[Country],Tabela1[[#This Row],[Country]],Table42[Springboard Classification],"&gt;0")</f>
        <v>0</v>
      </c>
      <c r="EL126" s="6">
        <f>COUNTIFS(Table43[Country],Tabela1[[#This Row],[Country]],Table43[Springboard Classification],"&gt;0")</f>
        <v>0</v>
      </c>
      <c r="EM126" s="6">
        <f>COUNTIFS(Table42[Country],Tabela1[[#This Row],[Country]],Table42[Platform Classification],"&gt;0")</f>
        <v>0</v>
      </c>
      <c r="EN126" s="6">
        <f>COUNTIFS(Table43[Country],Tabela1[[#This Row],[Country]],Table43[Platform Classification],"&gt;0")</f>
        <v>0</v>
      </c>
      <c r="EO126" s="6">
        <f>COUNTIFS(Table86[Country],Tabela1[[#This Row],[Country]],Table86[Men''s Synchronized Springboard Classification],"&gt;0")</f>
        <v>0</v>
      </c>
      <c r="EP126" s="6">
        <f>COUNTIFS(Table86[Country],Tabela1[[#This Row],[Country]],Table86[Women''s Synchronized Springboard Classification],"&gt;0")</f>
        <v>0</v>
      </c>
      <c r="EQ126" s="6">
        <f>COUNTIFS(Table86[Country],Tabela1[[#This Row],[Country]],Table86[Men''s Synchronized Platform Classification],"&gt;0")</f>
        <v>0</v>
      </c>
      <c r="ER126" s="6">
        <f>COUNTIFS(Table86[Country],Tabela1[[#This Row],[Country]],Table86[Women''s Synchronized Platform Classification],"&gt;0")</f>
        <v>0</v>
      </c>
      <c r="ES126" s="6">
        <f>COUNTIFS(Table44[Country],Tabela1[[#This Row],[Country]],Table44[Dressage Classification],"&gt;0")</f>
        <v>0</v>
      </c>
      <c r="ET126" s="6">
        <f>COUNTIFS(Table45[Country],Tabela1[[#This Row],[Country]],Table45[Dressage Classification],"&gt;0")</f>
        <v>0</v>
      </c>
      <c r="EU126" s="6">
        <f>COUNTIFS(Table44[Country],Tabela1[[#This Row],[Country]],Table44[Eventing Classification],"&gt;0")</f>
        <v>0</v>
      </c>
      <c r="EV126" s="6">
        <f>COUNTIFS(Table45[Country],Tabela1[[#This Row],[Country]],Table45[Eventing Classification],"&gt;0")</f>
        <v>0</v>
      </c>
      <c r="EW126" s="6">
        <f>COUNTIFS(Table44[Country],Tabela1[[#This Row],[Country]],Table44[Jumping Classification],"&gt;0")</f>
        <v>0</v>
      </c>
      <c r="EX126" s="6">
        <f>COUNTIFS(Table45[Country],Tabela1[[#This Row],[Country]],Table45[Jumping Classification],"&gt;0")</f>
        <v>0</v>
      </c>
      <c r="EY126" s="6">
        <f>COUNTIFS(Table10[Country],Tabela1[[#This Row],[Country]],Table10[Épée Classification],"&gt;0")</f>
        <v>0</v>
      </c>
      <c r="EZ126" s="6">
        <f>COUNTIFS(Table11[Country],Tabela1[[#This Row],[Country]],Table11[Épée Classification],"&gt;0")</f>
        <v>0</v>
      </c>
      <c r="FA126" s="6">
        <f>COUNTIFS(Table46[Country],Tabela1[[#This Row],[Country]],Table46[Men''s Épée Classification],"&gt;0")</f>
        <v>0</v>
      </c>
      <c r="FB126" s="6">
        <f>COUNTIFS(Table46[Country],Tabela1[[#This Row],[Country]],Table46[Women''s Épée Classification],"&gt;0")</f>
        <v>0</v>
      </c>
      <c r="FC126" s="6">
        <f>COUNTIFS(Table10[Country],Tabela1[[#This Row],[Country]],Table10[Foil Classification],"&gt;0")</f>
        <v>0</v>
      </c>
      <c r="FD126" s="6">
        <f>COUNTIFS(Table11[Country],Tabela1[[#This Row],[Country]],Table11[Foil Classification],"&gt;0")</f>
        <v>0</v>
      </c>
      <c r="FE126" s="6">
        <f>COUNTIFS(Table46[Country],Tabela1[[#This Row],[Country]],Table46[Men''s Foil Classification],"&gt;0")</f>
        <v>0</v>
      </c>
      <c r="FF126" s="6">
        <f>COUNTIFS(Table46[Country],Tabela1[[#This Row],[Country]],Table46[Women''s Foil Classification],"&gt;0")</f>
        <v>0</v>
      </c>
      <c r="FG126" s="6">
        <f>COUNTIFS(Table10[Country],Tabela1[[#This Row],[Country]],Table10[Sabre Classification],"&gt;0")</f>
        <v>0</v>
      </c>
      <c r="FH126" s="6">
        <f>COUNTIFS(Table11[Country],Tabela1[[#This Row],[Country]],Table11[Sabre Classification],"&gt;0")</f>
        <v>0</v>
      </c>
      <c r="FI126" s="6">
        <f>COUNTIFS(Table46[Country],Tabela1[[#This Row],[Country]],Table46[Men''s Sabre Classification],"&gt;0")</f>
        <v>0</v>
      </c>
      <c r="FJ126" s="6">
        <f>COUNTIFS(Table46[Country],Tabela1[[#This Row],[Country]],Table46[Women''s Sabre Classification],"&gt;0")</f>
        <v>0</v>
      </c>
      <c r="FK126" s="6">
        <f>COUNTIFS(Table91[Country],Tabela1[[#This Row],[Country]],Table91[Men''s Classification],"&gt;0")</f>
        <v>0</v>
      </c>
      <c r="FL126" s="6">
        <f>COUNTIFS(Table91[Country],Tabela1[[#This Row],[Country]],Table91[Women''s Classification],"&gt;0")</f>
        <v>0</v>
      </c>
      <c r="FM126" s="6">
        <f>COUNTIFS(Table9194[Country],Tabela1[[#This Row],[Country]],Table9194[Men''s Classification],"&gt;0")</f>
        <v>0</v>
      </c>
      <c r="FN126" s="6">
        <f>COUNTIFS(Table9194[Country],Tabela1[[#This Row],[Country]],Table9194[Women''s Classification],"&gt;0")</f>
        <v>0</v>
      </c>
      <c r="FO126" s="6">
        <f>COUNTIFS(Table71[Country],Tabela1[[#This Row],[Country]],Table71[Classification],"&gt;0")</f>
        <v>0</v>
      </c>
      <c r="FP126" s="6">
        <f>COUNTIFS(Table62[Country],Tabela1[[#This Row],[Country]],Table62[Classification],"&gt;0")</f>
        <v>0</v>
      </c>
      <c r="FQ126" s="6">
        <f>COUNTIFS(Table47[Country],Tabela1[[#This Row],[Country]],Table47[All-Around Classification],"&gt;0")</f>
        <v>0</v>
      </c>
      <c r="FR126" s="6">
        <f>COUNTIFS(Table48[Country],Tabela1[[#This Row],[Country]],Table48[All-Around Classification],"&gt;0")</f>
        <v>0</v>
      </c>
      <c r="FS126" s="6">
        <f>COUNTIFS(Table81[Country],Tabela1[[#This Row],[Country]],Table81[Men''s All-Around Classification],"&gt;0")</f>
        <v>0</v>
      </c>
      <c r="FT126" s="6">
        <f>COUNTIFS(Table81[Country],Tabela1[[#This Row],[Country]],Table81[Women''s All-Around Classification],"&gt;0")</f>
        <v>0</v>
      </c>
      <c r="FU126" s="6">
        <f>COUNTIFS(Table48[Country],Tabela1[[#This Row],[Country]],Table48[Balance Beam Classification],"&gt;0")</f>
        <v>0</v>
      </c>
      <c r="FV126" s="6">
        <f>COUNTIFS(Table47[Country],Tabela1[[#This Row],[Country]],Table47[Floor Exercise Classification],"&gt;0")</f>
        <v>0</v>
      </c>
      <c r="FW126" s="6">
        <f>COUNTIFS(Table48[Country],Tabela1[[#This Row],[Country]],Table48[Floor Exercise Classification],"&gt;0")</f>
        <v>0</v>
      </c>
      <c r="FX126" s="6">
        <f>COUNTIFS(Table47[Country],Tabela1[[#This Row],[Country]],Table47[Horizontal Bar Classification],"&gt;0")</f>
        <v>0</v>
      </c>
      <c r="FY126" s="6">
        <f>COUNTIFS(Table47[Country],Tabela1[[#This Row],[Country]],Table47[Parallel Bars Classification],"&gt;0")</f>
        <v>0</v>
      </c>
      <c r="FZ126" s="6">
        <f>COUNTIFS(Table47[Country],Tabela1[[#This Row],[Country]],Table47[Pommel Horse Classification],"&gt;0")</f>
        <v>0</v>
      </c>
      <c r="GA126" s="6">
        <f>COUNTIFS(Table47[Country],Tabela1[[#This Row],[Country]],Table47[Rings Classification],"&gt;0")</f>
        <v>0</v>
      </c>
      <c r="GB126" s="6">
        <f>COUNTIFS(Tabela132[Country],Tabela1[[#This Row],[Country]],Tabela132[Classification],"&gt;0")</f>
        <v>0</v>
      </c>
      <c r="GC126" s="6">
        <f>COUNTIFS(Tabela139[Country],Tabela1[[#This Row],[Country]],Tabela139[Classification],"&gt;0")</f>
        <v>0</v>
      </c>
      <c r="GD126" s="6">
        <f>COUNTIFS(Table48[Country],Tabela1[[#This Row],[Country]],Table48[Uneven Bars Classification],"&gt;0")</f>
        <v>0</v>
      </c>
      <c r="GE126" s="6">
        <f>COUNTIFS(Table47[Country],Tabela1[[#This Row],[Country]],Table47[Vault Classification],"&gt;0")</f>
        <v>0</v>
      </c>
      <c r="GF126" s="6">
        <f>COUNTIFS(Table48[Country],Tabela1[[#This Row],[Country]],Table48[Vault Classification],"&gt;0")</f>
        <v>0</v>
      </c>
      <c r="GG126" s="6">
        <f>COUNTIFS(Table919496[Country],Tabela1[[#This Row],[Country]],Table919496[Men''s Classification],"&gt;0")</f>
        <v>0</v>
      </c>
      <c r="GH126" s="6">
        <f>COUNTIFS(Table919496[Country],Tabela1[[#This Row],[Country]],Table919496[Women''s Classification],"&gt;0")</f>
        <v>0</v>
      </c>
      <c r="GI126" s="6">
        <f>COUNTIFS(Table12[Country],Tabela1[[#This Row],[Country]],Table12[60kg Classification],"&gt;0")</f>
        <v>0</v>
      </c>
      <c r="GJ126" s="6">
        <f>COUNTIFS(Table12[Country],Tabela1[[#This Row],[Country]],Table12[66kg Classification],"&gt;0")</f>
        <v>0</v>
      </c>
      <c r="GK126" s="6">
        <f>COUNTIFS(Table12[Country],Tabela1[[#This Row],[Country]],Table12[73kg Classification],"&gt;0")</f>
        <v>0</v>
      </c>
      <c r="GL126" s="6">
        <f>COUNTIFS(Table12[Country],Tabela1[[#This Row],[Country]],Table12[81kg Classification],"&gt;0")</f>
        <v>0</v>
      </c>
      <c r="GM126" s="6">
        <f>COUNTIFS(Table12[Country],Tabela1[[#This Row],[Country]],Table12[90kg Classification],"&gt;0")</f>
        <v>0</v>
      </c>
      <c r="GN126" s="6">
        <f>COUNTIFS(Table12[Country],Tabela1[[#This Row],[Country]],Table12[100kg Classification],"&gt;0")</f>
        <v>0</v>
      </c>
      <c r="GO126" s="6">
        <f>COUNTIFS(Table12[Country],Tabela1[[#This Row],[Country]],Table12[Plus 100kg Classification],"&gt;0")</f>
        <v>0</v>
      </c>
      <c r="GP126" s="6">
        <f>COUNTIFS(Table13[Country],Tabela1[[#This Row],[Country]],Table13[48kg Classification],"&gt;0")</f>
        <v>0</v>
      </c>
      <c r="GQ126" s="6">
        <f>COUNTIFS(Table13[Country],Tabela1[[#This Row],[Country]],Table13[52kg Classification],"&gt;0")</f>
        <v>0</v>
      </c>
      <c r="GR126" s="6">
        <f>COUNTIFS(Table13[Country],Tabela1[[#This Row],[Country]],Table13[57kg Classification],"&gt;0")</f>
        <v>0</v>
      </c>
      <c r="GS126" s="6">
        <f>COUNTIFS(Table13[Country],Tabela1[[#This Row],[Country]],Table13[63kg Classification],"&gt;0")</f>
        <v>0</v>
      </c>
      <c r="GT126" s="6">
        <f>COUNTIFS(Table13[Country],Tabela1[[#This Row],[Country]],Table13[70kg Classification],"&gt;0")</f>
        <v>0</v>
      </c>
      <c r="GU126" s="6">
        <f>COUNTIFS(Table13[Country],Tabela1[[#This Row],[Country]],Table13[78kg Classification],"&gt;0")</f>
        <v>0</v>
      </c>
      <c r="GV126" s="6">
        <f>COUNTIFS(Table13[Country],Tabela1[[#This Row],[Country]],Table13[Plus 78kg Classification],"&gt;0")</f>
        <v>0</v>
      </c>
      <c r="GW126" s="6">
        <f>COUNTIFS(Table82[Country],Tabela1[[#This Row],[Country]],Table82[Mixed Classification],"&gt;0")</f>
        <v>0</v>
      </c>
      <c r="GX126" s="6">
        <f>COUNTIFS(Table51[Country],Tabela1[[#This Row],[Country]],Table51[Classification],"&gt;0")</f>
        <v>0</v>
      </c>
      <c r="GY126" s="6">
        <f>COUNTIFS(Table52[Country],Tabela1[[#This Row],[Country]],Table52[Classification],"&gt;0")</f>
        <v>0</v>
      </c>
      <c r="GZ126" s="6">
        <f>COUNTIFS(Table32[Country],Tabela1[[#This Row],[Country]],Table32[All-Around Classification],"&gt;0")</f>
        <v>0</v>
      </c>
      <c r="HA126" s="6">
        <f>COUNTIFS(Table49[Country],Tabela1[[#This Row],[Country]],Table49[All-Around Classification],"&gt;0")</f>
        <v>0</v>
      </c>
      <c r="HB126" s="6">
        <f>COUNTIFS(Table26[Country],Tabela1[[#This Row],[Country]],Table26[Single Sculls Classification],"&gt;0")</f>
        <v>0</v>
      </c>
      <c r="HC126" s="6">
        <f>COUNTIFS(Table63[Country],Tabela1[[#This Row],[Country]],Table63[Single Sculls Classification],"&gt;0")</f>
        <v>0</v>
      </c>
      <c r="HD126" s="6">
        <f>COUNTIFS(Table16[Country],Tabela1[[#This Row],[Country]],Table16[Men''s Double Sculls Classification],"&gt;0")</f>
        <v>0</v>
      </c>
      <c r="HE126" s="6">
        <f>COUNTIFS(Table16[Country],Tabela1[[#This Row],[Country]],Table16[Women''s Double Sculls Classification],"&gt;0")</f>
        <v>0</v>
      </c>
      <c r="HF126" s="6">
        <f>COUNTIFS(Table72[Country],Tabela1[[#This Row],[Country]],Table72[Men''s Quadruple Sculls Classification],"&gt;0")</f>
        <v>0</v>
      </c>
      <c r="HG126" s="6">
        <f>COUNTIFS(Table72[Country],Tabela1[[#This Row],[Country]],Table72[Women''s Quadruple Sculls Classification],"&gt;0")</f>
        <v>0</v>
      </c>
      <c r="HH126" s="6">
        <f>COUNTIFS(Table16[Country],Tabela1[[#This Row],[Country]],Table16[Men''s Coxless Pairs Classification],"&gt;0")</f>
        <v>0</v>
      </c>
      <c r="HI126" s="6">
        <f>COUNTIFS(Table16[Country],Tabela1[[#This Row],[Country]],Table16[Women''s Coxless Pairs Classification],"&gt;0")</f>
        <v>0</v>
      </c>
      <c r="HJ126" s="6">
        <f>COUNTIFS(Table72[Country],Tabela1[[#This Row],[Country]],Table72[Men''s Coxless Fours Classification],"&gt;0")</f>
        <v>0</v>
      </c>
      <c r="HK126" s="6">
        <f>COUNTIFS(Table72[Country],Tabela1[[#This Row],[Country]],Table72[Women''s Coxless Fours Classification],"&gt;0")</f>
        <v>0</v>
      </c>
      <c r="HL126" s="6">
        <f>COUNTIFS(Table72[Country],Tabela1[[#This Row],[Country]],Table72[Men''s Eights Classification],"&gt;0")</f>
        <v>0</v>
      </c>
      <c r="HM126" s="6">
        <f>COUNTIFS(Table72[Country],Tabela1[[#This Row],[Country]],Table72[Women''s Eights Classification],"&gt;0")</f>
        <v>0</v>
      </c>
      <c r="HN126" s="6">
        <f>COUNTIFS(Table16[Country],Tabela1[[#This Row],[Country]],Table16[Men''s Lwt. Double Sculls Classification],"&gt;0")</f>
        <v>0</v>
      </c>
      <c r="HO126" s="6">
        <f>COUNTIFS(Table16[Country],Tabela1[[#This Row],[Country]],Table16[Women''s Lwt. Double Sculls Classification],"&gt;0")</f>
        <v>0</v>
      </c>
      <c r="HP126" s="6">
        <f>COUNTIFS(Table91949698[Country],Tabela1[[#This Row],[Country]],Table91949698[Men''s Classification],"&gt;0")</f>
        <v>0</v>
      </c>
      <c r="HQ126" s="6">
        <f>COUNTIFS(Table91949698[Country],Tabela1[[#This Row],[Country]],Table91949698[Women''s Classification],"&gt;0")</f>
        <v>0</v>
      </c>
      <c r="HR126" s="6">
        <f>COUNTIFS(Table25[Country],Tabela1[[#This Row],[Country]],Table25[Mixed 470 Classification],"&gt;0")</f>
        <v>0</v>
      </c>
      <c r="HS126" s="6">
        <f>COUNTIFS(Table25[Country],Tabela1[[#This Row],[Country]],Table25[Men''s 49er Classification],"&gt;0")</f>
        <v>0</v>
      </c>
      <c r="HT126" s="6">
        <f>COUNTIFS(Table25[Country],Tabela1[[#This Row],[Country]],Table25[Women''s 49er FX Classification],"&gt;0")</f>
        <v>0</v>
      </c>
      <c r="HU126" s="6">
        <f>COUNTIFS(Table17[Country],Tabela1[[#This Row],[Country]],Table17[Formula Kite Classification],"&gt;0")</f>
        <v>0</v>
      </c>
      <c r="HV126" s="6">
        <f>COUNTIFS(Table18[Country],Tabela1[[#This Row],[Country]],Table18[Formula Kite Classification],"&gt;0")</f>
        <v>0</v>
      </c>
      <c r="HW126" s="6">
        <f>COUNTIFS(Table17[Country],Tabela1[[#This Row],[Country]],Table17[ILCA 7 Classification],"&gt;0")</f>
        <v>0</v>
      </c>
      <c r="HX126" s="6">
        <f>COUNTIFS(Table18[Country],Tabela1[[#This Row],[Country]],Table18[ILCA 6 Classification],"&gt;0")</f>
        <v>0</v>
      </c>
      <c r="HY126" s="6">
        <f>COUNTIFS(Table17[Country],Tabela1[[#This Row],[Country]],Table17[IQFoil Classification],"&gt;0")</f>
        <v>0</v>
      </c>
      <c r="HZ126" s="6">
        <f>COUNTIFS(Table18[Country],Tabela1[[#This Row],[Country]],Table18[IQFoil Classification],"&gt;0")</f>
        <v>0</v>
      </c>
      <c r="IA126" s="6">
        <f>COUNTIFS(Table25[Country],Tabela1[[#This Row],[Country]],Table25[Mixed Nacra 17 Classification],"&gt;0")</f>
        <v>0</v>
      </c>
      <c r="IB126" s="6">
        <f>COUNTIFS(Table53[Country],Tabela1[[#This Row],[Country]],Table53[10m Air Pistol Classification],"&gt;0")</f>
        <v>0</v>
      </c>
      <c r="IC126" s="6">
        <f>COUNTIFS(Table19[Country],Tabela1[[#This Row],[Country]],Table19[10m Air Pistol Classification],"&gt;0")</f>
        <v>0</v>
      </c>
      <c r="ID126" s="6">
        <f>COUNTIFS(Table54[Country],Tabela1[[#This Row],[Country]],Table54[Mixed 10m Air Pistol Team Classification],"&gt;0")</f>
        <v>0</v>
      </c>
      <c r="IE126" s="6">
        <f>COUNTIFS(Table53[Country],Tabela1[[#This Row],[Country]],Table53[10m Air Rifle Classification],"&gt;0")</f>
        <v>0</v>
      </c>
      <c r="IF126" s="6">
        <f>COUNTIFS(Table19[Country],Tabela1[[#This Row],[Country]],Table19[10m Air Rifle Classification],"&gt;0")</f>
        <v>0</v>
      </c>
      <c r="IG126" s="6">
        <f>COUNTIFS(Table54[Country],Tabela1[[#This Row],[Country]],Table54[Mixed 10m Air Rifle Team Classification],"&gt;0")</f>
        <v>0</v>
      </c>
      <c r="IH126" s="6">
        <f>COUNTIFS(Table53[Country],Tabela1[[#This Row],[Country]],Table53[25m Rapid Fire Pistol Classification],"&gt;0")</f>
        <v>0</v>
      </c>
      <c r="II126" s="6">
        <f>COUNTIFS(Table19[Country],Tabela1[[#This Row],[Country]],Table19[25m Pistol Classification],"&gt;0")</f>
        <v>0</v>
      </c>
      <c r="IJ126" s="6">
        <f>COUNTIFS(Table53[Country],Tabela1[[#This Row],[Country]],Table53[50m Rifle 3 Positions Classification],"&gt;0")</f>
        <v>0</v>
      </c>
      <c r="IK126" s="6">
        <f>COUNTIFS(Table19[Country],Tabela1[[#This Row],[Country]],Table19[50m Rifle 3 Positions Classification],"&gt;0")</f>
        <v>0</v>
      </c>
      <c r="IL126" s="6">
        <f>COUNTIFS(Table53[Country],Tabela1[[#This Row],[Country]],Table53[Skeet Classification],"&gt;0")</f>
        <v>0</v>
      </c>
      <c r="IM126" s="6">
        <f>COUNTIFS(Table19[Country],Tabela1[[#This Row],[Country]],Table19[Skeet Classification],"&gt;0")</f>
        <v>0</v>
      </c>
      <c r="IN126" s="6">
        <f>COUNTIFS(Table54[Country],Tabela1[[#This Row],[Country]],Table54[Mixed Skeet Team Classification],"&gt;0")</f>
        <v>0</v>
      </c>
      <c r="IO126" s="6">
        <f>COUNTIFS(Table53[Country],Tabela1[[#This Row],[Country]],Table53[Trap Classification],"&gt;0")</f>
        <v>0</v>
      </c>
      <c r="IP126" s="6">
        <f>COUNTIFS(Table19[Country],Tabela1[[#This Row],[Country]],Table19[Trap Classification],"&gt;0")</f>
        <v>0</v>
      </c>
      <c r="IQ126" s="6">
        <f>COUNTIFS(Table73[Country],Tabela1[[#This Row],[Country]],Table73[Park Classification],"&gt;0")</f>
        <v>0</v>
      </c>
      <c r="IR126" s="6">
        <f>COUNTIFS(Table74[Country],Tabela1[[#This Row],[Country]],Table74[Park Classification],"&gt;0")</f>
        <v>0</v>
      </c>
      <c r="IS126" s="6">
        <f>COUNTIFS(Table73[Country],Tabela1[[#This Row],[Country]],Table73[Street Classification],"&gt;0")</f>
        <v>0</v>
      </c>
      <c r="IT126" s="6">
        <f>COUNTIFS(Table74[Country],Tabela1[[#This Row],[Country]],Table74[Street Classification],"&gt;0")</f>
        <v>0</v>
      </c>
      <c r="IU126" s="6">
        <f>COUNTIFS(Table75[Country],Tabela1[[#This Row],[Country]],Table75[Boulder and Lead Classification],"&gt;0")</f>
        <v>0</v>
      </c>
      <c r="IV126" s="6">
        <f>COUNTIFS(Table76[Country],Tabela1[[#This Row],[Country]],Table76[Boulder and Lead Classification],"&gt;0")</f>
        <v>0</v>
      </c>
      <c r="IW126" s="6">
        <f>COUNTIFS(Table75[Country],Tabela1[[#This Row],[Country]],Table75[Speed Classification],"&gt;0")</f>
        <v>0</v>
      </c>
      <c r="IX126" s="6">
        <f>COUNTIFS(Table76[Country],Tabela1[[#This Row],[Country]],Table76[Speed Classification],"&gt;0")</f>
        <v>0</v>
      </c>
      <c r="IY126" s="6">
        <f>COUNTIFS(Table64[Country],Tabela1[[#This Row],[Country]],Table64[Shortboard Classification],"&gt;0")</f>
        <v>0</v>
      </c>
      <c r="IZ126" s="6">
        <f>COUNTIFS(Table77[Country],Tabela1[[#This Row],[Country]],Table77[Shortboard Classification],"&gt;0")</f>
        <v>0</v>
      </c>
      <c r="JA126" s="6">
        <f>COUNTIFS(Table20[Country],Tabela1[[#This Row],[Country]],Table20[50m Freestyle Classification],"&gt;0")</f>
        <v>0</v>
      </c>
      <c r="JB126" s="6">
        <f>COUNTIFS(Table21[Country],Tabela1[[#This Row],[Country]],Table21[50m Freestyle Classification],"&gt;0")</f>
        <v>0</v>
      </c>
      <c r="JC126" s="6">
        <f>COUNTIFS(Table20[Country],Tabela1[[#This Row],[Country]],Table20[100m Freestyle Classification],"&gt;0")</f>
        <v>0</v>
      </c>
      <c r="JD126" s="6">
        <f>COUNTIFS(Table21[Country],Tabela1[[#This Row],[Country]],Table21[100m Freestyle Classification],"&gt;0")</f>
        <v>0</v>
      </c>
      <c r="JE126" s="6">
        <f>COUNTIFS(Table20[Country],Tabela1[[#This Row],[Country]],Table20[200m Freestyle Classification],"&gt;0")</f>
        <v>0</v>
      </c>
      <c r="JF126" s="6">
        <f>COUNTIFS(Table21[Country],Tabela1[[#This Row],[Country]],Table21[200m Freestyle Classification],"&gt;0")</f>
        <v>0</v>
      </c>
      <c r="JG126" s="6">
        <f>COUNTIFS(Table20[Country],Tabela1[[#This Row],[Country]],Table20[400m Freestyle Classification],"&gt;0")</f>
        <v>0</v>
      </c>
      <c r="JH126" s="6">
        <f>COUNTIFS(Table21[Country],Tabela1[[#This Row],[Country]],Table21[400m Freestyle Classification],"&gt;0")</f>
        <v>0</v>
      </c>
      <c r="JI126" s="6">
        <f>COUNTIFS(Table20[Country],Tabela1[[#This Row],[Country]],Table20[800m Freestyle Classification],"&gt;0")</f>
        <v>0</v>
      </c>
      <c r="JJ126" s="6">
        <f>COUNTIFS(Table21[Country],Tabela1[[#This Row],[Country]],Table21[800m Freestyle Classification],"&gt;0")</f>
        <v>0</v>
      </c>
      <c r="JK126" s="6">
        <f>COUNTIFS(Table20[Country],Tabela1[[#This Row],[Country]],Table20[1500m Freestyle Classification],"&gt;0")</f>
        <v>0</v>
      </c>
      <c r="JL126" s="6">
        <f>COUNTIFS(Table21[Country],Tabela1[[#This Row],[Country]],Table21[1500m Freestyle Classification],"&gt;0")</f>
        <v>0</v>
      </c>
      <c r="JM126" s="6">
        <f>COUNTIFS(Table20[Country],Tabela1[[#This Row],[Country]],Table20[100m Backstroke Classification],"&gt;0")</f>
        <v>0</v>
      </c>
      <c r="JN126" s="6">
        <f>COUNTIFS(Table21[Country],Tabela1[[#This Row],[Country]],Table21[100m Backstroke Classification],"&gt;0")</f>
        <v>0</v>
      </c>
      <c r="JO126" s="6">
        <f>COUNTIFS(Table20[Country],Tabela1[[#This Row],[Country]],Table20[200m Backstroke Classification],"&gt;0")</f>
        <v>0</v>
      </c>
      <c r="JP126" s="6">
        <f>COUNTIFS(Table21[Country],Tabela1[[#This Row],[Country]],Table21[200m Backstroke Classification],"&gt;0")</f>
        <v>0</v>
      </c>
      <c r="JQ126" s="6">
        <f>COUNTIFS(Table20[Country],Tabela1[[#This Row],[Country]],Table20[100m Breaststroke Classification],"&gt;0")</f>
        <v>0</v>
      </c>
      <c r="JR126" s="6">
        <f>COUNTIFS(Table21[Country],Tabela1[[#This Row],[Country]],Table21[100m Breaststroke Classification],"&gt;0")</f>
        <v>0</v>
      </c>
      <c r="JS126" s="6">
        <f>COUNTIFS(Table20[Country],Tabela1[[#This Row],[Country]],Table20[200m Breaststroke Classification],"&gt;0")</f>
        <v>0</v>
      </c>
      <c r="JT126" s="6">
        <f>COUNTIFS(Table21[Country],Tabela1[[#This Row],[Country]],Table21[200m Breaststroke Classification],"&gt;0")</f>
        <v>0</v>
      </c>
      <c r="JU126" s="6">
        <f>COUNTIFS(Table20[Country],Tabela1[[#This Row],[Country]],Table20[100m Butterfly Classification],"&gt;0")</f>
        <v>0</v>
      </c>
      <c r="JV126" s="6">
        <f>COUNTIFS(Table21[Country],Tabela1[[#This Row],[Country]],Table21[100m Butterfly Classification],"&gt;0")</f>
        <v>0</v>
      </c>
      <c r="JW126" s="6">
        <f>COUNTIFS(Table20[Country],Tabela1[[#This Row],[Country]],Table20[200m Butterfly Classification],"&gt;0")</f>
        <v>0</v>
      </c>
      <c r="JX126" s="6">
        <f>COUNTIFS(Table21[Country],Tabela1[[#This Row],[Country]],Table21[200m Butterfly Classification],"&gt;0")</f>
        <v>0</v>
      </c>
      <c r="JY126" s="6">
        <f>COUNTIFS(Table20[Country],Tabela1[[#This Row],[Country]],Table20[200m Medley Classification],"&gt;0")</f>
        <v>0</v>
      </c>
      <c r="JZ126" s="6">
        <f>COUNTIFS(Table21[Country],Tabela1[[#This Row],[Country]],Table21[200m Medley Classification],"&gt;0")</f>
        <v>0</v>
      </c>
      <c r="KA126" s="6">
        <f>COUNTIFS(Table20[Country],Tabela1[[#This Row],[Country]],Table20[400m Medley Classification],"&gt;0")</f>
        <v>0</v>
      </c>
      <c r="KB126" s="6">
        <f>COUNTIFS(Table21[Country],Tabela1[[#This Row],[Country]],Table21[400m Medley Classification],"&gt;0")</f>
        <v>0</v>
      </c>
      <c r="KC126" s="6">
        <f>COUNTIFS(Table78[Country],Tabela1[[#This Row],[Country]],Table78[Men''s 4x100m Freestyle Relay Classification],"&gt;0")</f>
        <v>0</v>
      </c>
      <c r="KD126" s="6">
        <f>COUNTIFS(Table78[Country],Tabela1[[#This Row],[Country]],Table78[Women''s 4x100m Freestyle Relay Classification],"&gt;0")</f>
        <v>0</v>
      </c>
      <c r="KE126" s="6">
        <f>COUNTIFS(Table78[Country],Tabela1[[#This Row],[Country]],Table78[Men''s 4x200m Freestyle Relay Classification],"&gt;0")</f>
        <v>0</v>
      </c>
      <c r="KF126" s="6">
        <f>COUNTIFS(Table78[Country],Tabela1[[#This Row],[Country]],Table78[Women''s 4x200m Freestyle Relay Classification],"&gt;0")</f>
        <v>0</v>
      </c>
      <c r="KG126" s="6">
        <f>COUNTIFS(Table78[Country],Tabela1[[#This Row],[Country]],Table78[Men''s 4x100m Medley Relay Classification],"&gt;0")</f>
        <v>0</v>
      </c>
      <c r="KH126" s="6">
        <f>COUNTIFS(Table78[Country],Tabela1[[#This Row],[Country]],Table78[Women''s 4x100m Medley Relay Classification],"&gt;0")</f>
        <v>0</v>
      </c>
      <c r="KI126" s="6">
        <f>COUNTIFS(Table78[Country],Tabela1[[#This Row],[Country]],Table78[Mixed 4x100m Medley Relay Classification],"&gt;0")</f>
        <v>0</v>
      </c>
      <c r="KJ126" s="6">
        <f>COUNTIFS(Table20[Country],Tabela1[[#This Row],[Country]],Table20[10km Open Water Classification],"&gt;0")</f>
        <v>0</v>
      </c>
      <c r="KK126" s="6">
        <f>COUNTIFS(Table21[Country],Tabela1[[#This Row],[Country]],Table21[10km Open Water Classification],"&gt;0")</f>
        <v>0</v>
      </c>
      <c r="KL126" s="6">
        <f>COUNTIFS(Table22[Country],Tabela1[[#This Row],[Country]],Table22[Classification],"&gt;0")</f>
        <v>0</v>
      </c>
      <c r="KM126" s="6">
        <f>COUNTIFS(Table30[Country],Tabela1[[#This Row],[Country]],Table30[Classification],"&gt;0")</f>
        <v>0</v>
      </c>
      <c r="KN126" s="6">
        <f>COUNTIFS(Table55[Country],Tabela1[[#This Row],[Country]],Table55[Men''s Classification],"&gt;0")</f>
        <v>0</v>
      </c>
      <c r="KO126" s="6">
        <f>COUNTIFS(Table55[Country],Tabela1[[#This Row],[Country]],Table55[Women''s Classification],"&gt;0")</f>
        <v>0</v>
      </c>
      <c r="KP126" s="6">
        <f>COUNTIFS(Table56[Country],Tabela1[[#This Row],[Country]],Table56[Mixed Classification],"&gt;0")</f>
        <v>0</v>
      </c>
      <c r="KQ126" s="6">
        <f>COUNTIFS(Table29[Country],Tabela1[[#This Row],[Country]],Table29[58kg Classification],"&gt;0")</f>
        <v>0</v>
      </c>
      <c r="KR126" s="6">
        <f>COUNTIFS(Table29[Country],Tabela1[[#This Row],[Country]],Table29[68kg Classification],"&gt;0")</f>
        <v>0</v>
      </c>
      <c r="KS126" s="6">
        <f>COUNTIFS(Table29[Country],Tabela1[[#This Row],[Country]],Table29[80kg Classification],"&gt;0")</f>
        <v>0</v>
      </c>
      <c r="KT126" s="6">
        <f>COUNTIFS(Table29[Country],Tabela1[[#This Row],[Country]],Table29[Plus 80kg Classification],"&gt;0")</f>
        <v>0</v>
      </c>
      <c r="KU126" s="6">
        <f>COUNTIFS(Table34[Country],Tabela1[[#This Row],[Country]],Table34[49kg Classification],"&gt;0")</f>
        <v>0</v>
      </c>
      <c r="KV126" s="6">
        <f>COUNTIFS(Table34[Country],Tabela1[[#This Row],[Country]],Table34[57kg Classification],"&gt;0")</f>
        <v>0</v>
      </c>
      <c r="KW126" s="6">
        <f>COUNTIFS(Table34[Country],Tabela1[[#This Row],[Country]],Table34[67kg Classification],"&gt;0")</f>
        <v>0</v>
      </c>
      <c r="KX126" s="6">
        <f>COUNTIFS(Table34[Country],Tabela1[[#This Row],[Country]],Table34[Plus 67kg Classification],"&gt;0")</f>
        <v>0</v>
      </c>
      <c r="KY126" s="6">
        <f>COUNTIFS(Table57[Country],Tabela1[[#This Row],[Country]],Table57[Classification],"&gt;0")</f>
        <v>0</v>
      </c>
      <c r="KZ126" s="6">
        <f>COUNTIFS(Table58[Country],Tabela1[[#This Row],[Country]],Table58[Classification],"&gt;0")</f>
        <v>0</v>
      </c>
      <c r="LA126" s="6">
        <f>COUNTIFS(Table79[Country],Tabela1[[#This Row],[Country]],Table79[Men''s Classification],"&gt;0")</f>
        <v>0</v>
      </c>
      <c r="LB126" s="6">
        <f>COUNTIFS(Table79[Country],Tabela1[[#This Row],[Country]],Table79[Women''s Classification],"&gt;0")</f>
        <v>0</v>
      </c>
      <c r="LC126" s="6">
        <f>COUNTIFS(Table79[Country],Tabela1[[#This Row],[Country]],Table79[Mixed Classification],"&gt;0")</f>
        <v>0</v>
      </c>
      <c r="LD126" s="6">
        <f>COUNTIFS(Table65[Country],Tabela1[[#This Row],[Country]],Table65[Classification],"&gt;0")</f>
        <v>0</v>
      </c>
      <c r="LE126" s="6">
        <f>COUNTIFS(Table59[Country],Tabela1[[#This Row],[Country]],Table59[Classification],"&gt;0")</f>
        <v>0</v>
      </c>
      <c r="LF126" s="6">
        <f>COUNTIFS(Table87[Country],Tabela1[[#This Row],[Country]],Table87[Mixed Relay Classification],"&gt;0")</f>
        <v>0</v>
      </c>
      <c r="LG126" s="6">
        <f>COUNTIFS(Table91949698100[Country],Tabela1[[#This Row],[Country]],Table91949698100[Men''s Classification],"&gt;0")</f>
        <v>0</v>
      </c>
      <c r="LH126" s="6">
        <f>COUNTIFS(Table91949698100[Country],Tabela1[[#This Row],[Country]],Table91949698100[Women''s Classification],"&gt;0")</f>
        <v>0</v>
      </c>
      <c r="LI126" s="6">
        <f>COUNTIFS(Table91949698100102[Country],Tabela1[[#This Row],[Country]],Table91949698100102[Men''s Classification],"&gt;0")</f>
        <v>0</v>
      </c>
      <c r="LJ126" s="6">
        <f>COUNTIFS(Table91949698100102[Country],Tabela1[[#This Row],[Country]],Table91949698100102[Women''s Classification],"&gt;0")</f>
        <v>0</v>
      </c>
      <c r="LK126" s="6">
        <f>COUNTIFS(Table23[Country],Tabela1[[#This Row],[Country]],Table23[61kg Classification],"&gt;0")</f>
        <v>0</v>
      </c>
      <c r="LL126" s="6">
        <f>COUNTIFS(Table23[Country],Tabela1[[#This Row],[Country]],Table23[73kg Classification],"&gt;0")</f>
        <v>0</v>
      </c>
      <c r="LM126" s="6">
        <f>COUNTIFS(Table23[Country],Tabela1[[#This Row],[Country]],Table23[89kg Classification],"&gt;0")</f>
        <v>0</v>
      </c>
      <c r="LN126" s="6">
        <f>COUNTIFS(Table23[Country],Tabela1[[#This Row],[Country]],Table23[102kg Classification],"&gt;0")</f>
        <v>0</v>
      </c>
      <c r="LO126" s="6">
        <f>COUNTIFS(Table23[Country],Tabela1[[#This Row],[Country]],Table23[Plus 102kg Classification],"&gt;0")</f>
        <v>0</v>
      </c>
      <c r="LP126" s="6">
        <f>COUNTIFS(Table28[Country],Tabela1[[#This Row],[Country]],Table28[49kg Classification],"&gt;0")</f>
        <v>0</v>
      </c>
      <c r="LQ126" s="6">
        <f>COUNTIFS(Table28[Country],Tabela1[[#This Row],[Country]],Table28[59kg Classification],"&gt;0")</f>
        <v>0</v>
      </c>
      <c r="LR126" s="6">
        <f>COUNTIFS(Table28[Country],Tabela1[[#This Row],[Country]],Table28[71kg Classification],"&gt;0")</f>
        <v>0</v>
      </c>
      <c r="LS126" s="6">
        <f>COUNTIFS(Table28[Country],Tabela1[[#This Row],[Country]],Table28[81kg Classification],"&gt;0")</f>
        <v>0</v>
      </c>
      <c r="LT126" s="6">
        <f>COUNTIFS(Table28[Country],Tabela1[[#This Row],[Country]],Table28[Plus 81kg Classification],"&gt;0")</f>
        <v>0</v>
      </c>
      <c r="LU126" s="6">
        <f>COUNTIFS(Table24[Country],Tabela1[[#This Row],[Country]],Table24[Freestyle 57kg Classification],"&gt;0")</f>
        <v>0</v>
      </c>
      <c r="LV126" s="6">
        <f>COUNTIFS(Table24[Country],Tabela1[[#This Row],[Country]],Table24[Freestyle 65kg Classification],"&gt;0")</f>
        <v>0</v>
      </c>
      <c r="LW126" s="6">
        <f>COUNTIFS(Table24[Country],Tabela1[[#This Row],[Country]],Table24[Freestyle 74kg Classification],"&gt;0")</f>
        <v>0</v>
      </c>
      <c r="LX126" s="6">
        <f>COUNTIFS(Table24[Country],Tabela1[[#This Row],[Country]],Table24[Freestyle 86kg Classification],"&gt;0")</f>
        <v>0</v>
      </c>
      <c r="LY126" s="6">
        <f>COUNTIFS(Table24[Country],Tabela1[[#This Row],[Country]],Table24[Freestyle 97kg Classification],"&gt;0")</f>
        <v>0</v>
      </c>
      <c r="LZ126" s="6">
        <f>COUNTIFS(Table24[Country],Tabela1[[#This Row],[Country]],Table24[Freestyle 125kg Classification],"&gt;0")</f>
        <v>0</v>
      </c>
      <c r="MA126" s="6">
        <f>COUNTIFS(Table24[Country],Tabela1[[#This Row],[Country]],Table24[Greco-Roman 60kg Classification],"&gt;0")</f>
        <v>0</v>
      </c>
      <c r="MB126" s="6">
        <f>COUNTIFS(Table24[Country],Tabela1[[#This Row],[Country]],Table24[Greco-Roman 67kg Classification],"&gt;0")</f>
        <v>0</v>
      </c>
      <c r="MC126" s="6">
        <f>COUNTIFS(Table24[Country],Tabela1[[#This Row],[Country]],Table24[Greco-Roman 77kg Classification],"&gt;0")</f>
        <v>0</v>
      </c>
      <c r="MD126" s="6">
        <f>COUNTIFS(Table24[Country],Tabela1[[#This Row],[Country]],Table24[Greco-Roman 87kg Classification],"&gt;0")</f>
        <v>0</v>
      </c>
      <c r="ME126" s="6">
        <f>COUNTIFS(Table24[Country],Tabela1[[#This Row],[Country]],Table24[Greco-Roman 97kg Classification],"&gt;0")</f>
        <v>0</v>
      </c>
      <c r="MF126" s="6">
        <f>COUNTIFS(Table24[Country],Tabela1[[#This Row],[Country]],Table24[Greco-Roman 130kg Classification],"&gt;0")</f>
        <v>0</v>
      </c>
      <c r="MG126" s="6">
        <f>COUNTIFS(Table31[Country],Tabela1[[#This Row],[Country]],Table31[50kg Classification],"&gt;0")</f>
        <v>0</v>
      </c>
      <c r="MH126" s="6">
        <f>COUNTIFS(Table31[Country],Tabela1[[#This Row],[Country]],Table31[53kg Classification],"&gt;0")</f>
        <v>0</v>
      </c>
      <c r="MI126" s="6">
        <f>COUNTIFS(Table31[Country],Tabela1[[#This Row],[Country]],Table31[57kg Classification],"&gt;0")</f>
        <v>0</v>
      </c>
      <c r="MJ126" s="6">
        <f>COUNTIFS(Table31[Country],Tabela1[[#This Row],[Country]],Table31[62kg Classification],"&gt;0")</f>
        <v>0</v>
      </c>
      <c r="MK126" s="6">
        <f>COUNTIFS(Table31[Country],Tabela1[[#This Row],[Country]],Table31[68kg Classification],"&gt;0")</f>
        <v>0</v>
      </c>
      <c r="ML126" s="6">
        <f>COUNTIFS(Table31[Country],Tabela1[[#This Row],[Country]],Table31[76kg Classification],"&gt;0")</f>
        <v>0</v>
      </c>
      <c r="MM126" s="6">
        <f>COUNTIFS(Table102[Country],Tabela1[[#This Row],[Country]],Table102[Downhill Classification],"&gt;0")</f>
        <v>0</v>
      </c>
      <c r="MN126" s="6">
        <f>COUNTIFS(Table102105[Country],Tabela1[[#This Row],[Country]],Table102105[Downhill Classification],"&gt;0")</f>
        <v>0</v>
      </c>
      <c r="MO126" s="6">
        <f>COUNTIFS(Table102[Country],Tabela1[[#This Row],[Country]],Table102[Giant Slalom Classification],"&gt;0")</f>
        <v>0</v>
      </c>
      <c r="MP126" s="6">
        <f>COUNTIFS(Table102105[Country],Tabela1[[#This Row],[Country]],Table102105[Giant Slalom Classification],"&gt;0")</f>
        <v>0</v>
      </c>
      <c r="MQ126" s="6">
        <f>COUNTIFS(Table102[Country],Tabela1[[#This Row],[Country]],Table102[Slalom Classification],"&gt;0")</f>
        <v>0</v>
      </c>
      <c r="MR126" s="6">
        <f>COUNTIFS(Table102105[Country],Tabela1[[#This Row],[Country]],Table102105[Slalom Classification],"&gt;0")</f>
        <v>0</v>
      </c>
      <c r="MS126" s="6">
        <f>COUNTIFS(Table102[Country],Tabela1[[#This Row],[Country]],Table102[Super-G Classification],"&gt;0")</f>
        <v>0</v>
      </c>
      <c r="MT126" s="6">
        <f>COUNTIFS(Table102105[Country],Tabela1[[#This Row],[Country]],Table102105[Super-G Classification],"&gt;0")</f>
        <v>0</v>
      </c>
      <c r="MU126" s="6">
        <f>COUNTIFS(Table105[Country],Tabela1[[#This Row],[Country]],Table105[Men''s Combined Classification],"&gt;0")</f>
        <v>0</v>
      </c>
      <c r="MV126" s="6">
        <f>COUNTIFS(Table105[Country],Tabela1[[#This Row],[Country]],Table105[Women''s Combined Classification],"&gt;0")</f>
        <v>0</v>
      </c>
      <c r="MW126" s="6">
        <f>COUNTIFS(Table106[Country],Tabela1[[#This Row],[Country]],Table106[Individual Classification],"&gt;0")</f>
        <v>0</v>
      </c>
      <c r="MX126" s="6">
        <f>COUNTIFS(Table106109[Country],Tabela1[[#This Row],[Country]],Table106109[Individual Classification],"&gt;0")</f>
        <v>0</v>
      </c>
      <c r="MY126" s="6">
        <f>COUNTIFS(Table106[Country],Tabela1[[#This Row],[Country]],Table106[Mass Start Classification],"&gt;0")</f>
        <v>0</v>
      </c>
      <c r="MZ126" s="6">
        <f>COUNTIFS(Table106109[Country],Tabela1[[#This Row],[Country]],Table106109[Mass Start Classification],"&gt;0")</f>
        <v>0</v>
      </c>
      <c r="NA126" s="6">
        <f>COUNTIFS(Table106[Country],Tabela1[[#This Row],[Country]],Table106[Pursuit Classification],"&gt;0")</f>
        <v>0</v>
      </c>
      <c r="NB126" s="6">
        <f>COUNTIFS(Table106109[Country],Tabela1[[#This Row],[Country]],Table106109[Pursuit Classification],"&gt;0")</f>
        <v>0</v>
      </c>
      <c r="NC126" s="6">
        <f>COUNTIFS(Table106[Country],Tabela1[[#This Row],[Country]],Table106[Sprint Classification],"&gt;0")</f>
        <v>0</v>
      </c>
      <c r="ND126" s="6">
        <f>COUNTIFS(Table106109[Country],Tabela1[[#This Row],[Country]],Table106109[Sprint Classification],"&gt;0")</f>
        <v>0</v>
      </c>
      <c r="NE126" s="6">
        <f>COUNTIFS(Table109[Country],Tabela1[[#This Row],[Country]],Table109[Men''s Relay Classification],"&gt;0")</f>
        <v>0</v>
      </c>
      <c r="NF126" s="6">
        <f>COUNTIFS(Table109[Country],Tabela1[[#This Row],[Country]],Table109[Women''s Relay Classification],"&gt;0")</f>
        <v>0</v>
      </c>
      <c r="NG126" s="6">
        <f>COUNTIFS(Table109[Country],Tabela1[[#This Row],[Country]],Table109[Mixed Relay Classification],"&gt;0")</f>
        <v>0</v>
      </c>
      <c r="NH126" s="6">
        <f>COUNTIFS(Table110[Country],Tabela1[[#This Row],[Country]],Table110[Monobob Classification],"&gt;0")</f>
        <v>0</v>
      </c>
      <c r="NI126" s="6">
        <f>COUNTIFS(Table111[Country],Tabela1[[#This Row],[Country]],Table111[Men''s Classification],"&gt;0")</f>
        <v>0</v>
      </c>
      <c r="NJ126" s="6">
        <f>COUNTIFS(Table111[Country],Tabela1[[#This Row],[Country]],Table111[Women''s Classification],"&gt;0")</f>
        <v>0</v>
      </c>
      <c r="NK126" s="6">
        <f>COUNTIFS(Table112[Country],Tabela1[[#This Row],[Country]],Table112[Men''s Four Classification],"&gt;0")</f>
        <v>0</v>
      </c>
      <c r="NL126" s="6">
        <f>COUNTIFS(Table113[Country],Tabela1[[#This Row],[Country]],Table113[Classical Classification],"&gt;0")</f>
        <v>0</v>
      </c>
      <c r="NM126" s="6">
        <f>COUNTIFS(Table113116[Country],Tabela1[[#This Row],[Country]],Table113116[Classical Classification],"&gt;0")</f>
        <v>0</v>
      </c>
      <c r="NN126" s="6">
        <f>COUNTIFS(Table113[Country],Tabela1[[#This Row],[Country]],Table113[Freestyle Classification],"&gt;0")</f>
        <v>0</v>
      </c>
      <c r="NO126" s="6">
        <f>COUNTIFS(Table113116[Country],Tabela1[[#This Row],[Country]],Table113116[Freestyle Classification],"&gt;0")</f>
        <v>0</v>
      </c>
      <c r="NP126" s="6">
        <f>COUNTIFS(Table117[Country],Tabela1[[#This Row],[Country]],Table117[Men''s Relay Classification],"&gt;0")</f>
        <v>0</v>
      </c>
      <c r="NQ126" s="6">
        <f>COUNTIFS(Table117[Country],Tabela1[[#This Row],[Country]],Table117[Women''s Relay Classification],"&gt;0")</f>
        <v>0</v>
      </c>
      <c r="NR126" s="6">
        <f>COUNTIFS(Table113[Country],Tabela1[[#This Row],[Country]],Table113[Skiathlon Classification],"&gt;0")</f>
        <v>0</v>
      </c>
      <c r="NS126" s="6">
        <f>COUNTIFS(Table113116[Country],Tabela1[[#This Row],[Country]],Table113116[Skiathlon Classification],"&gt;0")</f>
        <v>0</v>
      </c>
      <c r="NT126" s="6">
        <f>COUNTIFS(Table113[Country],Tabela1[[#This Row],[Country]],Table113[Sprint Classification],"&gt;0")</f>
        <v>0</v>
      </c>
      <c r="NU126" s="6">
        <f>COUNTIFS(Table113116[Country],Tabela1[[#This Row],[Country]],Table113116[Sprint Classification],"&gt;0")</f>
        <v>0</v>
      </c>
      <c r="NV126" s="6">
        <f>COUNTIFS(Table116[Country],Tabela1[[#This Row],[Country]],Table116[Men''s Team Sprint Classification],"&gt;0")</f>
        <v>0</v>
      </c>
      <c r="NW126" s="6">
        <f>COUNTIFS(Table116[Country],Tabela1[[#This Row],[Country]],Table116[Women''s Team Sprint Classification],"&gt;0")</f>
        <v>0</v>
      </c>
      <c r="NX126" s="6">
        <f>COUNTIFS(Table119[Country],Tabela1[[#This Row],[Country]],Table119[Men''s Classification],"&gt;0")</f>
        <v>0</v>
      </c>
      <c r="NY126" s="6">
        <f>COUNTIFS(Table119[Country],Tabela1[[#This Row],[Country]],Table119[Women''s Classification],"&gt;0")</f>
        <v>0</v>
      </c>
      <c r="NZ126" s="6">
        <f>COUNTIFS(Table118[Country],Tabela1[[#This Row],[Country]],Table118[Mixed Classification],"&gt;0")</f>
        <v>0</v>
      </c>
      <c r="OA126" s="6">
        <f>COUNTIFS(Table120[Country],Tabela1[[#This Row],[Country]],Table120[Classification],"&gt;0")</f>
        <v>0</v>
      </c>
      <c r="OB126" s="6">
        <f>COUNTIFS(Table120123[Country],Tabela1[[#This Row],[Country]],Table120123[Classification],"&gt;0")</f>
        <v>0</v>
      </c>
      <c r="OC126" s="6">
        <f>COUNTIFS(Table123[Country],Tabela1[[#This Row],[Country]],Table123[Ice Dance Classification],"&gt;0")</f>
        <v>0</v>
      </c>
      <c r="OD126" s="6">
        <f>COUNTIFS(Table123[Country],Tabela1[[#This Row],[Country]],Table123[Pair Skating Classification],"&gt;0")</f>
        <v>0</v>
      </c>
      <c r="OE126" s="6">
        <f>COUNTIFS(Table124[Country],Tabela1[[#This Row],[Country]],Table124[Mixed Classification],"&gt;0")</f>
        <v>0</v>
      </c>
      <c r="OF126" s="6">
        <f>COUNTIFS(Table125[Country],Tabela1[[#This Row],[Country]],Table125[Aerials Classification],"&gt;0")</f>
        <v>0</v>
      </c>
      <c r="OG126" s="6">
        <f>COUNTIFS(Table125128[Country],Tabela1[[#This Row],[Country]],Table125128[Aerials Classification],"&gt;0")</f>
        <v>0</v>
      </c>
      <c r="OH126" s="6">
        <f>COUNTIFS(Table128[Country],Tabela1[[#This Row],[Country]],Table128[Mixed Aerials Classification],"&gt;0")</f>
        <v>0</v>
      </c>
      <c r="OI126" s="6">
        <f>COUNTIFS(Table125[Country],Tabela1[[#This Row],[Country]],Table125[Big Air Classification],"&gt;0")</f>
        <v>0</v>
      </c>
      <c r="OJ126" s="6">
        <f>COUNTIFS(Table125128[Country],Tabela1[[#This Row],[Country]],Table125128[Big Air Classification],"&gt;0")</f>
        <v>0</v>
      </c>
      <c r="OK126" s="6">
        <f>COUNTIFS(Table125[Country],Tabela1[[#This Row],[Country]],Table125[Dual Moguls Classification],"&gt;0")</f>
        <v>0</v>
      </c>
      <c r="OL126" s="6">
        <f>COUNTIFS(Table125128[Country],Tabela1[[#This Row],[Country]],Table125128[Dual Moguls Classification],"&gt;0")</f>
        <v>0</v>
      </c>
      <c r="OM126" s="6">
        <f>COUNTIFS(Table125[Country],Tabela1[[#This Row],[Country]],Table125[Halfpipe Classification],"&gt;0")</f>
        <v>0</v>
      </c>
      <c r="ON126" s="6">
        <f>COUNTIFS(Table125128[Country],Tabela1[[#This Row],[Country]],Table125128[Halfpipe Classification],"&gt;0")</f>
        <v>0</v>
      </c>
      <c r="OO126" s="6">
        <f>COUNTIFS(Table125[Country],Tabela1[[#This Row],[Country]],Table125[Moguls Classification],"&gt;0")</f>
        <v>0</v>
      </c>
      <c r="OP126" s="6">
        <f>COUNTIFS(Table125128[Country],Tabela1[[#This Row],[Country]],Table125128[Moguls Classification],"&gt;0")</f>
        <v>0</v>
      </c>
      <c r="OQ126" s="6">
        <f>COUNTIFS(Table125[Country],Tabela1[[#This Row],[Country]],Table125[Ski Cross Classification],"&gt;0")</f>
        <v>0</v>
      </c>
      <c r="OR126" s="6">
        <f>COUNTIFS(Table125128[Country],Tabela1[[#This Row],[Country]],Table125128[Ski Cross Classification],"&gt;0")</f>
        <v>0</v>
      </c>
      <c r="OS126" s="6">
        <f>COUNTIFS(Table125[Country],Tabela1[[#This Row],[Country]],Table125[Slopestyle Classification],"&gt;0")</f>
        <v>0</v>
      </c>
      <c r="OT126" s="6">
        <f>COUNTIFS(Table125128[Country],Tabela1[[#This Row],[Country]],Table125128[Slopestyle Classification],"&gt;0")</f>
        <v>0</v>
      </c>
      <c r="OU126" s="6">
        <f>COUNTIFS(Table119131[Country],Tabela1[[#This Row],[Country]],Table119131[Men''s Classification],"&gt;0")</f>
        <v>0</v>
      </c>
      <c r="OV126" s="6">
        <f>COUNTIFS(Table119131[Country],Tabela1[[#This Row],[Country]],Table119131[Women''s Classification],"&gt;0")</f>
        <v>0</v>
      </c>
      <c r="OW126" s="6">
        <f>COUNTIFS(Table131[Country],Tabela1[[#This Row],[Country]],Table131[Classification],"&gt;0")</f>
        <v>0</v>
      </c>
      <c r="OX126" s="6">
        <f>COUNTIFS(Table131134[Country],Tabela1[[#This Row],[Country]],Table131134[Classification],"&gt;0")</f>
        <v>0</v>
      </c>
      <c r="OY126" s="6">
        <f>COUNTIFS(Table134[Country],Tabela1[[#This Row],[Country]],Table134[Men''s Classification],"&gt;0")</f>
        <v>0</v>
      </c>
      <c r="OZ126" s="6">
        <f>COUNTIFS(Table134[Country],Tabela1[[#This Row],[Country]],Table134[Women''s Classification],"&gt;0")</f>
        <v>0</v>
      </c>
      <c r="PA126" s="6">
        <f>COUNTIFS(Table135[Country],Tabela1[[#This Row],[Country]],Table135[Mixed Relay Classification],"&gt;0")</f>
        <v>0</v>
      </c>
      <c r="PB126" s="6">
        <f>COUNTIFS(Table136[Country],Tabela1[[#This Row],[Country]],Table136[Individual Classification],"&gt;0")</f>
        <v>0</v>
      </c>
      <c r="PC126" s="6">
        <f>COUNTIFS(Table136[Country],Tabela1[[#This Row],[Country]],Table136[Sprint Classification],"&gt;0")</f>
        <v>0</v>
      </c>
      <c r="PD126" s="6">
        <f>COUNTIFS(Table137[Country],Tabela1[[#This Row],[Country]],Table137[Men''s Team Sprint Large Hill Classification],"&gt;0")</f>
        <v>0</v>
      </c>
      <c r="PE126" s="6">
        <f>COUNTIFS(Table138[Country],Tabela1[[#This Row],[Country]],Table138[500m Classification],"&gt;0")</f>
        <v>0</v>
      </c>
      <c r="PF126" s="6">
        <f>COUNTIFS(Table138141[Country],Tabela1[[#This Row],[Country]],Table138141[500m Classification],"&gt;0")</f>
        <v>0</v>
      </c>
      <c r="PG126" s="6">
        <f>COUNTIFS(Table138[Country],Tabela1[[#This Row],[Country]],Table138[1000m Classification],"&gt;0")</f>
        <v>0</v>
      </c>
      <c r="PH126" s="6">
        <f>COUNTIFS(Table138141[Country],Tabela1[[#This Row],[Country]],Table138141[1000m Classification],"&gt;0")</f>
        <v>0</v>
      </c>
      <c r="PI126" s="6">
        <f>COUNTIFS(Table138[Country],Tabela1[[#This Row],[Country]],Table138[1500m Classification],"&gt;0")</f>
        <v>0</v>
      </c>
      <c r="PJ126" s="6">
        <f>COUNTIFS(Table138141[Country],Tabela1[[#This Row],[Country]],Table138141[1500m Classification],"&gt;0")</f>
        <v>0</v>
      </c>
      <c r="PK126" s="6">
        <f>COUNTIFS(Table141[Country],Tabela1[[#This Row],[Country]],Table141[Men''s 5000m Relay Classification],"&gt;0")</f>
        <v>0</v>
      </c>
      <c r="PL126" s="6">
        <f>COUNTIFS(Table141[Country],Tabela1[[#This Row],[Country]],Table141[Women''s 3000m Relay Classification],"&gt;0")</f>
        <v>0</v>
      </c>
      <c r="PM126" s="6">
        <f>COUNTIFS(Table141[Country],Tabela1[[#This Row],[Country]],Table141[Mixed 2000m Relay Classification],"&gt;0")</f>
        <v>0</v>
      </c>
      <c r="PN126" s="6">
        <f>COUNTIFS(Table142[Country],Tabela1[[#This Row],[Country]],Table142[Classification],"&gt;0")</f>
        <v>0</v>
      </c>
      <c r="PO126" s="6">
        <f>COUNTIFS(Table142145[Country],Tabela1[[#This Row],[Country]],Table142145[Classification],"&gt;0")</f>
        <v>0</v>
      </c>
      <c r="PP126" s="6">
        <f>COUNTIFS(Tabela15[Country],Tabela1[[#This Row],[Country]],Tabela15[Mixed Team Classification],"&gt;0")</f>
        <v>0</v>
      </c>
      <c r="PQ126" s="6">
        <f>COUNTIFS(Table145[Country],Tabela1[[#This Row],[Country]],Table145[Large Hill Classification],"&gt;0")</f>
        <v>0</v>
      </c>
      <c r="PR126" s="6">
        <f>COUNTIFS(Table145[Country],Tabela1[[#This Row],[Country]],Table145[Normal Hill Classification],"&gt;0")</f>
        <v>0</v>
      </c>
      <c r="PS126" s="6">
        <f>COUNTIFS(Table145148[Country],Tabela1[[#This Row],[Country]],Table145148[Large Hill Classification],"&gt;0")</f>
        <v>0</v>
      </c>
      <c r="PT126" s="6">
        <f>COUNTIFS(Table145148[Country],Tabela1[[#This Row],[Country]],Table145148[Normal Hill Classification],"&gt;0")</f>
        <v>0</v>
      </c>
      <c r="PU126" s="6">
        <f>COUNTIFS(Table148[Country],Tabela1[[#This Row],[Country]],Table148[Men''s Super Team Classification],"&gt;0")</f>
        <v>0</v>
      </c>
      <c r="PV126" s="6">
        <f>COUNTIFS(Tabela114[Country],Tabela1[[#This Row],[Country]],Tabela114[Mixed Normal Hill Classification],"&gt;0")</f>
        <v>0</v>
      </c>
      <c r="PW126" s="6">
        <f>COUNTIFS(Tabela50[Country],Tabela1[[#This Row],[Country]],Tabela50[Sprint Classification],"&gt;0")</f>
        <v>0</v>
      </c>
      <c r="PX126" s="6">
        <f>COUNTIFS(Tabela50101[Country],Tabela1[[#This Row],[Country]],Tabela50101[Sprint Classification],"&gt;0")</f>
        <v>0</v>
      </c>
      <c r="PY126" s="6">
        <f>COUNTIFS(Tabela103[Country],Tabela1[[#This Row],[Country]],Tabela103[Mixed Relay Classification],"&gt;0")</f>
        <v>0</v>
      </c>
      <c r="PZ126" s="6">
        <f>COUNTIFS(Table149[Country],Tabela1[[#This Row],[Country]],Table149[Big Air Classification],"&gt;0")</f>
        <v>0</v>
      </c>
      <c r="QA126" s="6">
        <f>COUNTIFS(Table149152[Country],Tabela1[[#This Row],[Country]],Table149152[Big Air Classification],"&gt;0")</f>
        <v>0</v>
      </c>
      <c r="QB126" s="6">
        <f>COUNTIFS(Table149[Country],Tabela1[[#This Row],[Country]],Table149[Halfpipe Classification],"&gt;0")</f>
        <v>0</v>
      </c>
      <c r="QC126" s="6">
        <f>COUNTIFS(Table149152[Country],Tabela1[[#This Row],[Country]],Table149152[Halfpipe Classification],"&gt;0")</f>
        <v>0</v>
      </c>
      <c r="QD126" s="6">
        <f>COUNTIFS(Table149[Country],Tabela1[[#This Row],[Country]],Table149[Parallel Giant Slalom Classification],"&gt;0")</f>
        <v>0</v>
      </c>
      <c r="QE126" s="6">
        <f>COUNTIFS(Table149152[Country],Tabela1[[#This Row],[Country]],Table149152[Parallel Giant Slalom Classification],"&gt;0")</f>
        <v>0</v>
      </c>
      <c r="QF126" s="6">
        <f>COUNTIFS(Table149[Country],Tabela1[[#This Row],[Country]],Table149[Slopestyle Classification],"&gt;0")</f>
        <v>0</v>
      </c>
      <c r="QG126" s="6">
        <f>COUNTIFS(Table149152[Country],Tabela1[[#This Row],[Country]],Table149152[Slopestyle Classification],"&gt;0")</f>
        <v>0</v>
      </c>
      <c r="QH126" s="6">
        <f>COUNTIFS(Table149[Country],Tabela1[[#This Row],[Country]],Table149[Snowboard Cross Classification],"&gt;0")</f>
        <v>0</v>
      </c>
      <c r="QI126" s="6">
        <f>COUNTIFS(Table149152[Country],Tabela1[[#This Row],[Country]],Table149152[Snowboard Cross Classification],"&gt;0")</f>
        <v>0</v>
      </c>
      <c r="QJ126" s="6">
        <f>COUNTIFS(Table153[Country],Tabela1[[#This Row],[Country]],Table153[Mixed Team Snowboard Cross Classification],"&gt;0")</f>
        <v>0</v>
      </c>
      <c r="QK126" s="6">
        <f>COUNTIFS(Table154[Country],Tabela1[[#This Row],[Country]],Table154[500m Classification],"&gt;0")</f>
        <v>0</v>
      </c>
      <c r="QL126" s="6">
        <f>COUNTIFS(Table154157[Country],Tabela1[[#This Row],[Country]],Table154157[500m Classification],"&gt;0")</f>
        <v>0</v>
      </c>
      <c r="QM126" s="6">
        <f>COUNTIFS(Table154[Country],Tabela1[[#This Row],[Country]],Table154[1000m Classification],"&gt;0")</f>
        <v>0</v>
      </c>
      <c r="QN126" s="6">
        <f>COUNTIFS(Table154157[Country],Tabela1[[#This Row],[Country]],Table154157[1000m Classification],"&gt;0")</f>
        <v>0</v>
      </c>
      <c r="QO126" s="6">
        <f>COUNTIFS(Table154[Country],Tabela1[[#This Row],[Country]],Table154[1500m Classification],"&gt;0")</f>
        <v>0</v>
      </c>
      <c r="QP126" s="6">
        <f>COUNTIFS(Table154157[Country],Tabela1[[#This Row],[Country]],Table154157[1500m Classification],"&gt;0")</f>
        <v>0</v>
      </c>
      <c r="QQ126" s="6">
        <f>COUNTIFS(Table154157[Country],Tabela1[[#This Row],[Country]],Table154157[3000m Classification],"&gt;0")</f>
        <v>0</v>
      </c>
      <c r="QR126" s="6">
        <f>COUNTIFS(Table154[Country],Tabela1[[#This Row],[Country]],Table154[5000m Classification],"&gt;0")</f>
        <v>0</v>
      </c>
      <c r="QS126" s="6">
        <f>COUNTIFS(Table154157[Country],Tabela1[[#This Row],[Country]],Table154157[5000m Classification],"&gt;0")</f>
        <v>0</v>
      </c>
      <c r="QT126" s="6">
        <f>COUNTIFS(Table154[Country],Tabela1[[#This Row],[Country]],Table154[10000m Classification],"&gt;0")</f>
        <v>0</v>
      </c>
      <c r="QU126" s="6">
        <f>COUNTIFS(Table154[Country],Tabela1[[#This Row],[Country]],Table154[Mass Start Classification],"&gt;0")</f>
        <v>0</v>
      </c>
      <c r="QV126" s="6">
        <f>COUNTIFS(Table154157[Country],Tabela1[[#This Row],[Country]],Table154157[Mass Start Classification],"&gt;0")</f>
        <v>0</v>
      </c>
      <c r="QW126" s="6">
        <f>COUNTIFS(Table157[Country],Tabela1[[#This Row],[Country]],Table157[Men''s Pursuit Classification],"&gt;0")</f>
        <v>0</v>
      </c>
      <c r="QX126" s="6">
        <f>COUNTIFS(Table157[Country],Tabela1[[#This Row],[Country]],Table157[Women''s Pursuit Classification],"&gt;0")</f>
        <v>0</v>
      </c>
      <c r="QY126" s="4" t="s">
        <v>665</v>
      </c>
    </row>
    <row r="127" spans="1:467" x14ac:dyDescent="0.3">
      <c r="A127" s="6">
        <v>126</v>
      </c>
      <c r="B127" s="6" t="s">
        <v>524</v>
      </c>
      <c r="C127" t="e" vm="126">
        <f>IF(ISBLANK(Tabela1[[#This Row],[Image Link]]), "", _xlfn.IMAGE(Tabela1[[#This Row],[Image Link]],1,1))</f>
        <v>#VALUE!</v>
      </c>
      <c r="D127" s="6">
        <f>SUM(Tabela1[[#This Row],[Archery - Men''s Individual Recurve]:[Speed Skating - Women''s Team Pursuit]])</f>
        <v>2</v>
      </c>
      <c r="E127" s="6">
        <f>COUNTIF(Tabela1[[#This Row],[Archery - Men''s Individual Recurve]:[Speed Skating - Women''s Team Pursuit]],"&gt;0")</f>
        <v>2</v>
      </c>
      <c r="F127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27" s="6">
        <f>SUM(Tabela1[[#This Row],[Archery - Men''s Individual Recurve]:[Wrestling - Women''s Freestyle 76kg]])</f>
        <v>2</v>
      </c>
      <c r="H127" s="6">
        <f>SUM(Tabela1[[#This Row],[Alpine Skiing - Men''s Downhill]:[Speed Skating - Women''s Team Pursuit]])</f>
        <v>0</v>
      </c>
      <c r="I127" s="6">
        <f>Tabela1[[#This Row],[Summer Gold Medals]]+Tabela1[[#This Row],[Winter Gold Medals]]</f>
        <v>0</v>
      </c>
      <c r="J127" s="6">
        <f>Tabela1[[#This Row],[Summer Silver Medals]]+Tabela1[[#This Row],[Winter Silver Medals]]</f>
        <v>0</v>
      </c>
      <c r="K127" s="6">
        <f>Tabela1[[#This Row],[Summer Bronze Medals]]+Tabela1[[#This Row],[Winter Bronze Medals]]</f>
        <v>0</v>
      </c>
      <c r="L127" s="6">
        <f>SUM(Tabela1[[#This Row],[Total Gold Medals]:[Total Bronze Medals]])</f>
        <v>0</v>
      </c>
      <c r="M127" s="6"/>
      <c r="N127" s="6"/>
      <c r="O127" s="6"/>
      <c r="P127" s="6">
        <f>SUM(Tabela1[[#This Row],[Summer Gold Medals]:[Summer Bronze Medals]])</f>
        <v>0</v>
      </c>
      <c r="Q127" s="6"/>
      <c r="R127" s="6"/>
      <c r="S127" s="6"/>
      <c r="T127" s="6">
        <f>Tabela1[[#This Row],[Winter Gold Medals]]+Tabela1[[#This Row],[Winter Silver Medals]]+Tabela1[[#This Row],[Winter Bronze Medals]]</f>
        <v>0</v>
      </c>
      <c r="U127" s="7">
        <f>Tabela1[[#This Row],[Total Medals]]/Tabela1[[#This Row],[Total Quotas]]</f>
        <v>0</v>
      </c>
      <c r="V127" s="6">
        <f>COUNTIFS(Table3[Country],Tabela1[[#This Row],[Country]],Table3[Recurve Classification],"&gt;0")</f>
        <v>0</v>
      </c>
      <c r="W127" s="6">
        <f>COUNTIFS(Table33[Country],Tabela1[[#This Row],[Country]],Table33[Recurve Classification],"&gt;0")</f>
        <v>0</v>
      </c>
      <c r="X127" s="6">
        <f>COUNTIFS(Table35[Country],Tabela1[[#This Row],[Country]],Table35[Men''s Team Recurve Classification],"&gt;0")</f>
        <v>0</v>
      </c>
      <c r="Y127" s="6">
        <f>COUNTIFS(Table35[Country],Tabela1[[#This Row],[Country]],Table35[Women''s Team Recurve Classification],"&gt;0")</f>
        <v>0</v>
      </c>
      <c r="Z127" s="6">
        <f>COUNTIFS(Tabela88[Country],Tabela1[[#This Row],[Country]],Tabela88[Mixed Team Recurve Classification],"&gt;0")</f>
        <v>0</v>
      </c>
      <c r="AA127" s="6">
        <f>COUNTIFS(Table36[Country],Tabela1[[#This Row],[Country]],Table36[Classification],"&gt;0")</f>
        <v>0</v>
      </c>
      <c r="AB127" s="6">
        <f>COUNTIFS(Table37[Country],Tabela1[[#This Row],[Country]],Table37[Classification],"&gt;0")</f>
        <v>0</v>
      </c>
      <c r="AC127" s="6">
        <f>COUNTIFS(Table4[Country],Tabela1[[#This Row],[Country]],Table4[100m Classification],"&gt;0")</f>
        <v>0</v>
      </c>
      <c r="AD127" s="6">
        <f>COUNTIFS(Table5[Country],Tabela1[[#This Row],[Country]],Table5[100m Classification],"&gt;0")</f>
        <v>0</v>
      </c>
      <c r="AE127" s="6">
        <f>COUNTIFS(Table4[Country],Tabela1[[#This Row],[Country]],Table4[200m Classification],"&gt;0")</f>
        <v>0</v>
      </c>
      <c r="AF127" s="6">
        <f>COUNTIFS(Table5[Country],Tabela1[[#This Row],[Country]],Table5[200m Classification],"&gt;0")</f>
        <v>0</v>
      </c>
      <c r="AG127" s="6">
        <f>COUNTIFS(Table4[Country],Tabela1[[#This Row],[Country]],Table4[400m Classification],"&gt;0")</f>
        <v>0</v>
      </c>
      <c r="AH127" s="6">
        <f>COUNTIFS(Table5[Country],Tabela1[[#This Row],[Country]],Table5[400m Classification],"&gt;0")</f>
        <v>0</v>
      </c>
      <c r="AI127" s="6">
        <f>COUNTIFS(Table4[Country],Tabela1[[#This Row],[Country]],Table4[800m Classification],"&gt;0")</f>
        <v>0</v>
      </c>
      <c r="AJ127" s="6">
        <f>COUNTIFS(Table5[Country],Tabela1[[#This Row],[Country]],Table5[800m Classification],"&gt;0")</f>
        <v>0</v>
      </c>
      <c r="AK127" s="6">
        <f>COUNTIFS(Table4[Country],Tabela1[[#This Row],[Country]],Table4[1500m Classification],"&gt;0")</f>
        <v>0</v>
      </c>
      <c r="AL127" s="6">
        <f>COUNTIFS(Table5[Country],Tabela1[[#This Row],[Country]],Table5[1500m Classification],"&gt;0")</f>
        <v>0</v>
      </c>
      <c r="AM127" s="6">
        <f>COUNTIFS(Table4[Country],Tabela1[[#This Row],[Country]],Table4[5000m Classification],"&gt;0")</f>
        <v>0</v>
      </c>
      <c r="AN127" s="6">
        <f>COUNTIFS(Table5[Country],Tabela1[[#This Row],[Country]],Table5[5000m Classification],"&gt;0")</f>
        <v>0</v>
      </c>
      <c r="AO127" s="6">
        <f>COUNTIFS(Table4[Country],Tabela1[[#This Row],[Country]],Table4[10000m Classification],"&gt;0")</f>
        <v>0</v>
      </c>
      <c r="AP127" s="6">
        <f>COUNTIFS(Table5[Country],Tabela1[[#This Row],[Country]],Table5[10000m Classification],"&gt;0")</f>
        <v>0</v>
      </c>
      <c r="AQ127" s="6">
        <f>COUNTIFS(Table4[Country],Tabela1[[#This Row],[Country]],Table4[110m Hurdles Classification],"&gt;0")</f>
        <v>0</v>
      </c>
      <c r="AR127" s="6">
        <f>COUNTIFS(Table5[Country],Tabela1[[#This Row],[Country]],Table5[100m Hurdles Classification],"&gt;0")</f>
        <v>0</v>
      </c>
      <c r="AS127" s="6">
        <f>COUNTIFS(Table4[Country],Tabela1[[#This Row],[Country]],Table4[400m Hurdles Classification],"&gt;0")</f>
        <v>0</v>
      </c>
      <c r="AT127" s="6">
        <f>COUNTIFS(Table5[Country],Tabela1[[#This Row],[Country]],Table5[400m Hurdles Classification],"&gt;0")</f>
        <v>0</v>
      </c>
      <c r="AU127" s="6">
        <f>COUNTIFS(Table4[Country],Tabela1[[#This Row],[Country]],Table4[3000m Steeplechase Classification],"&gt;0")</f>
        <v>0</v>
      </c>
      <c r="AV127" s="6">
        <f>COUNTIFS(Table5[Country],Tabela1[[#This Row],[Country]],Table5[3000m Steeplechase Classification],"&gt;0")</f>
        <v>0</v>
      </c>
      <c r="AW127" s="6">
        <f>COUNTIFS(Table27[Country],Tabela1[[#This Row],[Country]],Table27[Men''s 4x100m Relay Classification],"&gt;0")</f>
        <v>0</v>
      </c>
      <c r="AX127" s="6">
        <f>COUNTIFS(Table27[Country],Tabela1[[#This Row],[Country]],Table27[Women''s 4x100m Relay Classification],"&gt;0")</f>
        <v>0</v>
      </c>
      <c r="AY127" s="6">
        <f>COUNTIFS(Table27[Country],Tabela1[[#This Row],[Country]],Table27[Men''s 4x400m Relay Classification],"&gt;0")</f>
        <v>0</v>
      </c>
      <c r="AZ127" s="6">
        <f>COUNTIFS(Table27[Country],Tabela1[[#This Row],[Country]],Table27[Women''s 4x400m Relay Classification],"&gt;0")</f>
        <v>0</v>
      </c>
      <c r="BA127" s="6">
        <f>COUNTIFS(Table27[Country],Tabela1[[#This Row],[Country]],Table27[Mixed 4x400m Relay Classification],"&gt;0")</f>
        <v>0</v>
      </c>
      <c r="BB127" s="6">
        <f>COUNTIFS(Table4[Country],Tabela1[[#This Row],[Country]],Table4[Marathon Classification],"&gt;0")</f>
        <v>0</v>
      </c>
      <c r="BC127" s="6">
        <f>COUNTIFS(Table5[Country],Tabela1[[#This Row],[Country]],Table5[Marathon Classification],"&gt;0")</f>
        <v>0</v>
      </c>
      <c r="BD127" s="6">
        <f>COUNTIFS(Table4[Country],Tabela1[[#This Row],[Country]],Table4[20km Race Walk Classification],"&gt;0")</f>
        <v>0</v>
      </c>
      <c r="BE127" s="6">
        <f>COUNTIFS(Table5[Country],Tabela1[[#This Row],[Country]],Table5[20km Race Walk Classification],"&gt;0")</f>
        <v>0</v>
      </c>
      <c r="BF127" s="6">
        <f>COUNTIFS(Tabela96[Country],Tabela1[[#This Row],[Country]],Tabela96[Mixed Marathon Race Walk Relay Classification],"&gt;0")</f>
        <v>0</v>
      </c>
      <c r="BG127" s="6">
        <f>COUNTIFS(Table4[Country],Tabela1[[#This Row],[Country]],Table4[Discus Throw Classification],"&gt;0")</f>
        <v>0</v>
      </c>
      <c r="BH127" s="6">
        <f>COUNTIFS(Table5[Country],Tabela1[[#This Row],[Country]],Table5[Discus Throw Classification],"&gt;0")</f>
        <v>0</v>
      </c>
      <c r="BI127" s="6">
        <f>COUNTIFS(Table4[Country],Tabela1[[#This Row],[Country]],Table4[Hammer Throw Classification],"&gt;0")</f>
        <v>0</v>
      </c>
      <c r="BJ127" s="6">
        <f>COUNTIFS(Table5[Country],Tabela1[[#This Row],[Country]],Table5[Hammer Throw Classification],"&gt;0")</f>
        <v>0</v>
      </c>
      <c r="BK127" s="6">
        <f>COUNTIFS(Table4[Country],Tabela1[[#This Row],[Country]],Table4[High Jump Classification],"&gt;0")</f>
        <v>0</v>
      </c>
      <c r="BL127" s="6">
        <f>COUNTIFS(Table5[Country],Tabela1[[#This Row],[Country]],Table5[High Jump Classification],"&gt;0")</f>
        <v>0</v>
      </c>
      <c r="BM127" s="6">
        <f>COUNTIFS(Table4[Country],Tabela1[[#This Row],[Country]],Table4[Javelin Throw Classification],"&gt;0")</f>
        <v>0</v>
      </c>
      <c r="BN127" s="6">
        <f>COUNTIFS(Table5[Country],Tabela1[[#This Row],[Country]],Table5[Javelin Throw Classification],"&gt;0")</f>
        <v>0</v>
      </c>
      <c r="BO127" s="6">
        <f>COUNTIFS(Table4[Country],Tabela1[[#This Row],[Country]],Table4[Long Jump Classification],"&gt;0")</f>
        <v>0</v>
      </c>
      <c r="BP127" s="6">
        <f>COUNTIFS(Table5[Country],Tabela1[[#This Row],[Country]],Table5[Long Jump Classification],"&gt;0")</f>
        <v>0</v>
      </c>
      <c r="BQ127" s="6">
        <f>COUNTIFS(Table4[Country],Tabela1[[#This Row],[Country]],Table4[Pole Vault Classification],"&gt;0")</f>
        <v>0</v>
      </c>
      <c r="BR127" s="6">
        <f>COUNTIFS(Table5[Country],Tabela1[[#This Row],[Country]],Table5[Pole Vault Classification],"&gt;0")</f>
        <v>0</v>
      </c>
      <c r="BS127" s="6">
        <f>COUNTIFS(Table4[Country],Tabela1[[#This Row],[Country]],Table4[Shot Put Classification],"&gt;0")</f>
        <v>0</v>
      </c>
      <c r="BT127" s="6">
        <f>COUNTIFS(Table5[Country],Tabela1[[#This Row],[Country]],Table5[Shot Put Classification],"&gt;0")</f>
        <v>0</v>
      </c>
      <c r="BU127" s="6">
        <f>COUNTIFS(Table4[Country],Tabela1[[#This Row],[Country]],Table4[Triple Jump Classification],"&gt;0")</f>
        <v>0</v>
      </c>
      <c r="BV127" s="6">
        <f>COUNTIFS(Table5[Country],Tabela1[[#This Row],[Country]],Table5[Triple Jump Classification],"&gt;0")</f>
        <v>0</v>
      </c>
      <c r="BW127" s="6">
        <f>COUNTIFS(Table4[Country],Tabela1[[#This Row],[Country]],Table4[Decathlon Classification],"&gt;0")</f>
        <v>0</v>
      </c>
      <c r="BX127" s="6">
        <f>COUNTIFS(Table5[Country],Tabela1[[#This Row],[Country]],Table5[Heptathlon Classification],"&gt;0")</f>
        <v>0</v>
      </c>
      <c r="BY127" s="6">
        <f>COUNTIFS(Table61[Country],Tabela1[[#This Row],[Country]],Table61[Classification],"&gt;0")</f>
        <v>0</v>
      </c>
      <c r="BZ127" s="6">
        <f>COUNTIFS(Table38[Country],Tabela1[[#This Row],[Country]],Table38[Classification],"&gt;0")</f>
        <v>0</v>
      </c>
      <c r="CA127" s="6">
        <f>COUNTIFS(Table39[Country],Tabela1[[#This Row],[Country]],Table39[Men''s Classification],"&gt;0")</f>
        <v>0</v>
      </c>
      <c r="CB127" s="6">
        <f>COUNTIFS(Table39[Country],Tabela1[[#This Row],[Country]],Table39[Women''s Classification],"&gt;0")</f>
        <v>0</v>
      </c>
      <c r="CC127" s="6">
        <f>COUNTIFS(Table39[Country],Tabela1[[#This Row],[Country]],Table39[Mixed Classification],"&gt;0")</f>
        <v>0</v>
      </c>
      <c r="CD127" s="6">
        <f>COUNTIFS(Table89[Country],Tabela1[[#This Row],[Country]],Table89[Men''s Classification],"&gt;0")</f>
        <v>0</v>
      </c>
      <c r="CE127" s="6">
        <f>COUNTIFS(Table89[Country],Tabela1[[#This Row],[Country]],Table89[Women''s Classification],"&gt;0")</f>
        <v>0</v>
      </c>
      <c r="CF127" s="6">
        <f>COUNTIFS(Table90[Country],Tabela1[[#This Row],[Country]],Table90[Men''s Classification],"&gt;0")</f>
        <v>0</v>
      </c>
      <c r="CG127" s="6">
        <f>COUNTIFS(Table90[Country],Tabela1[[#This Row],[Country]],Table90[Women''s Classification],"&gt;0")</f>
        <v>0</v>
      </c>
      <c r="CH127" s="6">
        <f>COUNTIFS(Table60[Country],Tabela1[[#This Row],[Country]],Table60[Men''s Classification],"&gt;0")</f>
        <v>0</v>
      </c>
      <c r="CI127" s="6">
        <f>COUNTIFS(Table60[Country],Tabela1[[#This Row],[Country]],Table60[Women''s Classification],"&gt;0")</f>
        <v>0</v>
      </c>
      <c r="CJ127" s="6">
        <f>COUNTIFS(Table6[Country],Tabela1[[#This Row],[Country]],Table6[51kg Classification],"&gt;0")</f>
        <v>0</v>
      </c>
      <c r="CK127" s="6">
        <f>COUNTIFS(Table6[Country],Tabela1[[#This Row],[Country]],Table6[57kg Classification],"&gt;0")</f>
        <v>0</v>
      </c>
      <c r="CL127" s="6">
        <f>COUNTIFS(Table6[Country],Tabela1[[#This Row],[Country]],Table6[63.5kg Classification],"&gt;0")</f>
        <v>0</v>
      </c>
      <c r="CM127" s="6">
        <f>COUNTIFS(Table6[Country],Tabela1[[#This Row],[Country]],Table6[71kg Classification],"&gt;0")</f>
        <v>0</v>
      </c>
      <c r="CN127" s="6">
        <f>COUNTIFS(Table6[Country],Tabela1[[#This Row],[Country]],Table6[80kg Classification],"&gt;0")</f>
        <v>0</v>
      </c>
      <c r="CO127" s="6">
        <f>COUNTIFS(Table6[Country],Tabela1[[#This Row],[Country]],Table6[92kg Classification],"&gt;0")</f>
        <v>0</v>
      </c>
      <c r="CP127" s="6">
        <f>COUNTIFS(Table6[Country],Tabela1[[#This Row],[Country]],Table6[Plus 92kg Classification],"&gt;0")</f>
        <v>0</v>
      </c>
      <c r="CQ127" s="6">
        <f>COUNTIFS(Table7[Country],Tabela1[[#This Row],[Country]],Table7[50kg Classification],"&gt;0")</f>
        <v>0</v>
      </c>
      <c r="CR127" s="6">
        <f>COUNTIFS(Table7[Country],Tabela1[[#This Row],[Country]],Table7[54kg Classification],"&gt;0")</f>
        <v>0</v>
      </c>
      <c r="CS127" s="6">
        <f>COUNTIFS(Table7[Country],Tabela1[[#This Row],[Country]],Table7[57kg Classification],"&gt;0")</f>
        <v>0</v>
      </c>
      <c r="CT127" s="6">
        <f>COUNTIFS(Table7[Country],Tabela1[[#This Row],[Country]],Table7[60kg Classification],"&gt;0")</f>
        <v>0</v>
      </c>
      <c r="CU127" s="6">
        <f>COUNTIFS(Table7[Country],Tabela1[[#This Row],[Country]],Table7[66kg Classification],"&gt;0")</f>
        <v>0</v>
      </c>
      <c r="CV127" s="6">
        <f>COUNTIFS(Table7[Country],Tabela1[[#This Row],[Country]],Table7[75kg Classification],"&gt;0")</f>
        <v>0</v>
      </c>
      <c r="CW127" s="6">
        <f>COUNTIFS(Tabela94[Country],Tabela1[[#This Row],[Country]],Tabela94[Classification],"&gt;0")</f>
        <v>0</v>
      </c>
      <c r="CX127" s="6">
        <f>COUNTIFS(Tabela9499[Country],Tabela1[[#This Row],[Country]],Tabela9499[Classification],"&gt;0")</f>
        <v>0</v>
      </c>
      <c r="CY127" s="6">
        <f>COUNTIFS(Tabela107[Country],Tabela1[[#This Row],[Country]],Tabela107[C1 Slalom Classification],"&gt;0")</f>
        <v>0</v>
      </c>
      <c r="CZ127" s="6">
        <f>COUNTIFS(Tabela107122[Country],Tabela1[[#This Row],[Country]],Tabela107122[C1 Slalom Classification],"&gt;0")</f>
        <v>0</v>
      </c>
      <c r="DA127" s="6">
        <f>COUNTIFS(Tabela107[Country],Tabela1[[#This Row],[Country]],Tabela107[K1 Slalom Classification],"&gt;0")</f>
        <v>0</v>
      </c>
      <c r="DB127" s="6">
        <f>COUNTIFS(Tabela107122[Country],Tabela1[[#This Row],[Country]],Tabela107122[K1 Slalom Classification],"&gt;0")</f>
        <v>0</v>
      </c>
      <c r="DC127" s="6">
        <f>COUNTIFS(Tabela107[Country],Tabela1[[#This Row],[Country]],Tabela107[Kayak Cross Slalom Classification],"&gt;0")</f>
        <v>0</v>
      </c>
      <c r="DD127" s="6">
        <f>COUNTIFS(Tabela107122[Country],Tabela1[[#This Row],[Country]],Tabela107122[Kayak Cross Slalom Classification],"&gt;0")</f>
        <v>0</v>
      </c>
      <c r="DE127" s="6">
        <f>COUNTIFS(Table8[Country],Tabela1[[#This Row],[Country]],Table8[C1 200m Classification],"&gt;0")</f>
        <v>0</v>
      </c>
      <c r="DF127" s="6">
        <f>COUNTIFS(Table40[Country],Tabela1[[#This Row],[Country]],Table40[C1 1000m Classification],"&gt;0")</f>
        <v>0</v>
      </c>
      <c r="DG127" s="6">
        <f>COUNTIFS(Table68[Country],Tabela1[[#This Row],[Country]],Table68[Men''s C2 500m Classification],"&gt;0")</f>
        <v>0</v>
      </c>
      <c r="DH127" s="6">
        <f>COUNTIFS(Table68[Country],Tabela1[[#This Row],[Country]],Table68[Women''s C2 500m Classification],"&gt;0")</f>
        <v>0</v>
      </c>
      <c r="DI127" s="6">
        <f>COUNTIFS(Table8[Country],Tabela1[[#This Row],[Country]],Table8[K1 500m Classification],"&gt;0")</f>
        <v>0</v>
      </c>
      <c r="DJ127" s="6">
        <f>COUNTIFS(Table40[Country],Tabela1[[#This Row],[Country]],Table40[K1 1000m Classification],"&gt;0")</f>
        <v>0</v>
      </c>
      <c r="DK127" s="6">
        <f>COUNTIFS(Table68[Country],Tabela1[[#This Row],[Country]],Table68[Men''s K2 500m Classification],"&gt;0")</f>
        <v>0</v>
      </c>
      <c r="DL127" s="6">
        <f>COUNTIFS(Table68[Country],Tabela1[[#This Row],[Country]],Table68[Women''s K2 500m Classification],"&gt;0")</f>
        <v>0</v>
      </c>
      <c r="DM127" s="6">
        <f>COUNTIFS(Table83[Country],Tabela1[[#This Row],[Country]],Table83[Men''s K4 500m Classification],"&gt;0")</f>
        <v>0</v>
      </c>
      <c r="DN127" s="6">
        <f>COUNTIFS(Table83[Country],Tabela1[[#This Row],[Country]],Table83[Women''s K4 500m Classification],"&gt;0")</f>
        <v>0</v>
      </c>
      <c r="DO127" s="6">
        <f>COUNTIFS(Tabela126[Country],Tabela1[[#This Row],[Country]],Tabela126[Classification],"&gt;0")</f>
        <v>0</v>
      </c>
      <c r="DP127" s="6">
        <f>COUNTIFS(Tabela126130[Country],Tabela1[[#This Row],[Country]],Tabela126130[Classification],"&gt;0")</f>
        <v>0</v>
      </c>
      <c r="DQ127" s="6">
        <f>COUNTIFS(Table70[Country],Tabela1[[#This Row],[Country]],Table70[Classification],"&gt;0")</f>
        <v>0</v>
      </c>
      <c r="DR127" s="6">
        <f>COUNTIFS(Table80[Country],Tabela1[[#This Row],[Country]],Table80[Classification],"&gt;0")</f>
        <v>0</v>
      </c>
      <c r="DS127" s="6">
        <f>COUNTIFS(Table66[Country],Tabela1[[#This Row],[Country]],Table66[Classification],"&gt;0")</f>
        <v>0</v>
      </c>
      <c r="DT127" s="6">
        <f>COUNTIFS(Table67[Country],Tabela1[[#This Row],[Country]],Table67[Classification],"&gt;0")</f>
        <v>0</v>
      </c>
      <c r="DU127" s="6">
        <f>COUNTIFS(Table69[Country],Tabela1[[#This Row],[Country]],Table69[Keirin Classification],"&gt;0")</f>
        <v>0</v>
      </c>
      <c r="DV127" s="6">
        <f>COUNTIFS(Table41[Country],Tabela1[[#This Row],[Country]],Table41[Keirin Classification],"&gt;0")</f>
        <v>0</v>
      </c>
      <c r="DW127" s="6">
        <f>COUNTIFS(Table84[Country],Tabela1[[#This Row],[Country]],Table84[Men''s Madison Classification],"&gt;0")</f>
        <v>0</v>
      </c>
      <c r="DX127" s="6">
        <f>COUNTIFS(Table84[Country],Tabela1[[#This Row],[Country]],Table84[Women''s Madison Classification],"&gt;0")</f>
        <v>0</v>
      </c>
      <c r="DY127" s="6">
        <f>COUNTIFS(Table69[Country],Tabela1[[#This Row],[Country]],Table69[Omnium Classification],"&gt;0")</f>
        <v>0</v>
      </c>
      <c r="DZ127" s="6">
        <f>COUNTIFS(Table41[Country],Tabela1[[#This Row],[Country]],Table41[Omnium Classification],"&gt;0")</f>
        <v>0</v>
      </c>
      <c r="EA127" s="6">
        <f>COUNTIFS(Table9[Country],Tabela1[[#This Row],[Country]],Table9[Road Race Classification],"&gt;0")</f>
        <v>0</v>
      </c>
      <c r="EB127" s="6">
        <f>COUNTIFS(Table14[Country],Tabela1[[#This Row],[Country]],Table14[Road Race Classification],"&gt;0")</f>
        <v>0</v>
      </c>
      <c r="EC127" s="6">
        <f>COUNTIFS(Table69[Country],Tabela1[[#This Row],[Country]],Table69[Sprint Classification],"&gt;0")</f>
        <v>0</v>
      </c>
      <c r="ED127" s="6">
        <f>COUNTIFS(Table41[Country],Tabela1[[#This Row],[Country]],Table41[Sprint Classification],"&gt;0")</f>
        <v>0</v>
      </c>
      <c r="EE127" s="6">
        <f>COUNTIFS(Table85[Country],Tabela1[[#This Row],[Country]],Table85[Men''s Sprint Classification],"&gt;0")</f>
        <v>0</v>
      </c>
      <c r="EF127" s="6">
        <f>COUNTIFS(Table85[Country],Tabela1[[#This Row],[Country]],Table85[Women''s Sprint Classification],"&gt;0")</f>
        <v>0</v>
      </c>
      <c r="EG127" s="6">
        <f>COUNTIFS(Table85[Country],Tabela1[[#This Row],[Country]],Table85[Men''s Pursuit Classification],"&gt;0")</f>
        <v>0</v>
      </c>
      <c r="EH127" s="6">
        <f>COUNTIFS(Table85[Country],Tabela1[[#This Row],[Country]],Table85[Women''s Pursuit Classification],"&gt;0")</f>
        <v>0</v>
      </c>
      <c r="EI127" s="6">
        <f>COUNTIFS(Table9[Country],Tabela1[[#This Row],[Country]],Table9[Time-Trial Classification],"&gt;0")</f>
        <v>0</v>
      </c>
      <c r="EJ127" s="6">
        <f>COUNTIFS(Table14[Country],Tabela1[[#This Row],[Country]],Table14[Time-Trial Classification],"&gt;0")</f>
        <v>0</v>
      </c>
      <c r="EK127" s="6">
        <f>COUNTIFS(Table42[Country],Tabela1[[#This Row],[Country]],Table42[Springboard Classification],"&gt;0")</f>
        <v>0</v>
      </c>
      <c r="EL127" s="6">
        <f>COUNTIFS(Table43[Country],Tabela1[[#This Row],[Country]],Table43[Springboard Classification],"&gt;0")</f>
        <v>0</v>
      </c>
      <c r="EM127" s="6">
        <f>COUNTIFS(Table42[Country],Tabela1[[#This Row],[Country]],Table42[Platform Classification],"&gt;0")</f>
        <v>0</v>
      </c>
      <c r="EN127" s="6">
        <f>COUNTIFS(Table43[Country],Tabela1[[#This Row],[Country]],Table43[Platform Classification],"&gt;0")</f>
        <v>0</v>
      </c>
      <c r="EO127" s="6">
        <f>COUNTIFS(Table86[Country],Tabela1[[#This Row],[Country]],Table86[Men''s Synchronized Springboard Classification],"&gt;0")</f>
        <v>0</v>
      </c>
      <c r="EP127" s="6">
        <f>COUNTIFS(Table86[Country],Tabela1[[#This Row],[Country]],Table86[Women''s Synchronized Springboard Classification],"&gt;0")</f>
        <v>0</v>
      </c>
      <c r="EQ127" s="6">
        <f>COUNTIFS(Table86[Country],Tabela1[[#This Row],[Country]],Table86[Men''s Synchronized Platform Classification],"&gt;0")</f>
        <v>0</v>
      </c>
      <c r="ER127" s="6">
        <f>COUNTIFS(Table86[Country],Tabela1[[#This Row],[Country]],Table86[Women''s Synchronized Platform Classification],"&gt;0")</f>
        <v>0</v>
      </c>
      <c r="ES127" s="6">
        <f>COUNTIFS(Table44[Country],Tabela1[[#This Row],[Country]],Table44[Dressage Classification],"&gt;0")</f>
        <v>0</v>
      </c>
      <c r="ET127" s="6">
        <f>COUNTIFS(Table45[Country],Tabela1[[#This Row],[Country]],Table45[Dressage Classification],"&gt;0")</f>
        <v>0</v>
      </c>
      <c r="EU127" s="6">
        <f>COUNTIFS(Table44[Country],Tabela1[[#This Row],[Country]],Table44[Eventing Classification],"&gt;0")</f>
        <v>0</v>
      </c>
      <c r="EV127" s="6">
        <f>COUNTIFS(Table45[Country],Tabela1[[#This Row],[Country]],Table45[Eventing Classification],"&gt;0")</f>
        <v>0</v>
      </c>
      <c r="EW127" s="6">
        <f>COUNTIFS(Table44[Country],Tabela1[[#This Row],[Country]],Table44[Jumping Classification],"&gt;0")</f>
        <v>0</v>
      </c>
      <c r="EX127" s="6">
        <f>COUNTIFS(Table45[Country],Tabela1[[#This Row],[Country]],Table45[Jumping Classification],"&gt;0")</f>
        <v>0</v>
      </c>
      <c r="EY127" s="6">
        <f>COUNTIFS(Table10[Country],Tabela1[[#This Row],[Country]],Table10[Épée Classification],"&gt;0")</f>
        <v>0</v>
      </c>
      <c r="EZ127" s="6">
        <f>COUNTIFS(Table11[Country],Tabela1[[#This Row],[Country]],Table11[Épée Classification],"&gt;0")</f>
        <v>0</v>
      </c>
      <c r="FA127" s="6">
        <f>COUNTIFS(Table46[Country],Tabela1[[#This Row],[Country]],Table46[Men''s Épée Classification],"&gt;0")</f>
        <v>0</v>
      </c>
      <c r="FB127" s="6">
        <f>COUNTIFS(Table46[Country],Tabela1[[#This Row],[Country]],Table46[Women''s Épée Classification],"&gt;0")</f>
        <v>0</v>
      </c>
      <c r="FC127" s="6">
        <f>COUNTIFS(Table10[Country],Tabela1[[#This Row],[Country]],Table10[Foil Classification],"&gt;0")</f>
        <v>0</v>
      </c>
      <c r="FD127" s="6">
        <f>COUNTIFS(Table11[Country],Tabela1[[#This Row],[Country]],Table11[Foil Classification],"&gt;0")</f>
        <v>0</v>
      </c>
      <c r="FE127" s="6">
        <f>COUNTIFS(Table46[Country],Tabela1[[#This Row],[Country]],Table46[Men''s Foil Classification],"&gt;0")</f>
        <v>0</v>
      </c>
      <c r="FF127" s="6">
        <f>COUNTIFS(Table46[Country],Tabela1[[#This Row],[Country]],Table46[Women''s Foil Classification],"&gt;0")</f>
        <v>0</v>
      </c>
      <c r="FG127" s="6">
        <f>COUNTIFS(Table10[Country],Tabela1[[#This Row],[Country]],Table10[Sabre Classification],"&gt;0")</f>
        <v>0</v>
      </c>
      <c r="FH127" s="6">
        <f>COUNTIFS(Table11[Country],Tabela1[[#This Row],[Country]],Table11[Sabre Classification],"&gt;0")</f>
        <v>0</v>
      </c>
      <c r="FI127" s="6">
        <f>COUNTIFS(Table46[Country],Tabela1[[#This Row],[Country]],Table46[Men''s Sabre Classification],"&gt;0")</f>
        <v>0</v>
      </c>
      <c r="FJ127" s="6">
        <f>COUNTIFS(Table46[Country],Tabela1[[#This Row],[Country]],Table46[Women''s Sabre Classification],"&gt;0")</f>
        <v>0</v>
      </c>
      <c r="FK127" s="6">
        <f>COUNTIFS(Table91[Country],Tabela1[[#This Row],[Country]],Table91[Men''s Classification],"&gt;0")</f>
        <v>0</v>
      </c>
      <c r="FL127" s="6">
        <f>COUNTIFS(Table91[Country],Tabela1[[#This Row],[Country]],Table91[Women''s Classification],"&gt;0")</f>
        <v>0</v>
      </c>
      <c r="FM127" s="6">
        <f>COUNTIFS(Table9194[Country],Tabela1[[#This Row],[Country]],Table9194[Men''s Classification],"&gt;0")</f>
        <v>0</v>
      </c>
      <c r="FN127" s="6">
        <f>COUNTIFS(Table9194[Country],Tabela1[[#This Row],[Country]],Table9194[Women''s Classification],"&gt;0")</f>
        <v>0</v>
      </c>
      <c r="FO127" s="6">
        <f>COUNTIFS(Table71[Country],Tabela1[[#This Row],[Country]],Table71[Classification],"&gt;0")</f>
        <v>0</v>
      </c>
      <c r="FP127" s="6">
        <f>COUNTIFS(Table62[Country],Tabela1[[#This Row],[Country]],Table62[Classification],"&gt;0")</f>
        <v>0</v>
      </c>
      <c r="FQ127" s="6">
        <f>COUNTIFS(Table47[Country],Tabela1[[#This Row],[Country]],Table47[All-Around Classification],"&gt;0")</f>
        <v>0</v>
      </c>
      <c r="FR127" s="6">
        <f>COUNTIFS(Table48[Country],Tabela1[[#This Row],[Country]],Table48[All-Around Classification],"&gt;0")</f>
        <v>0</v>
      </c>
      <c r="FS127" s="6">
        <f>COUNTIFS(Table81[Country],Tabela1[[#This Row],[Country]],Table81[Men''s All-Around Classification],"&gt;0")</f>
        <v>0</v>
      </c>
      <c r="FT127" s="6">
        <f>COUNTIFS(Table81[Country],Tabela1[[#This Row],[Country]],Table81[Women''s All-Around Classification],"&gt;0")</f>
        <v>0</v>
      </c>
      <c r="FU127" s="6">
        <f>COUNTIFS(Table48[Country],Tabela1[[#This Row],[Country]],Table48[Balance Beam Classification],"&gt;0")</f>
        <v>0</v>
      </c>
      <c r="FV127" s="6">
        <f>COUNTIFS(Table47[Country],Tabela1[[#This Row],[Country]],Table47[Floor Exercise Classification],"&gt;0")</f>
        <v>0</v>
      </c>
      <c r="FW127" s="6">
        <f>COUNTIFS(Table48[Country],Tabela1[[#This Row],[Country]],Table48[Floor Exercise Classification],"&gt;0")</f>
        <v>0</v>
      </c>
      <c r="FX127" s="6">
        <f>COUNTIFS(Table47[Country],Tabela1[[#This Row],[Country]],Table47[Horizontal Bar Classification],"&gt;0")</f>
        <v>0</v>
      </c>
      <c r="FY127" s="6">
        <f>COUNTIFS(Table47[Country],Tabela1[[#This Row],[Country]],Table47[Parallel Bars Classification],"&gt;0")</f>
        <v>0</v>
      </c>
      <c r="FZ127" s="6">
        <f>COUNTIFS(Table47[Country],Tabela1[[#This Row],[Country]],Table47[Pommel Horse Classification],"&gt;0")</f>
        <v>0</v>
      </c>
      <c r="GA127" s="6">
        <f>COUNTIFS(Table47[Country],Tabela1[[#This Row],[Country]],Table47[Rings Classification],"&gt;0")</f>
        <v>0</v>
      </c>
      <c r="GB127" s="6">
        <f>COUNTIFS(Tabela132[Country],Tabela1[[#This Row],[Country]],Tabela132[Classification],"&gt;0")</f>
        <v>0</v>
      </c>
      <c r="GC127" s="6">
        <f>COUNTIFS(Tabela139[Country],Tabela1[[#This Row],[Country]],Tabela139[Classification],"&gt;0")</f>
        <v>0</v>
      </c>
      <c r="GD127" s="6">
        <f>COUNTIFS(Table48[Country],Tabela1[[#This Row],[Country]],Table48[Uneven Bars Classification],"&gt;0")</f>
        <v>0</v>
      </c>
      <c r="GE127" s="6">
        <f>COUNTIFS(Table47[Country],Tabela1[[#This Row],[Country]],Table47[Vault Classification],"&gt;0")</f>
        <v>0</v>
      </c>
      <c r="GF127" s="6">
        <f>COUNTIFS(Table48[Country],Tabela1[[#This Row],[Country]],Table48[Vault Classification],"&gt;0")</f>
        <v>0</v>
      </c>
      <c r="GG127" s="6">
        <f>COUNTIFS(Table919496[Country],Tabela1[[#This Row],[Country]],Table919496[Men''s Classification],"&gt;0")</f>
        <v>0</v>
      </c>
      <c r="GH127" s="6">
        <f>COUNTIFS(Table919496[Country],Tabela1[[#This Row],[Country]],Table919496[Women''s Classification],"&gt;0")</f>
        <v>0</v>
      </c>
      <c r="GI127" s="6">
        <f>COUNTIFS(Table12[Country],Tabela1[[#This Row],[Country]],Table12[60kg Classification],"&gt;0")</f>
        <v>0</v>
      </c>
      <c r="GJ127" s="6">
        <f>COUNTIFS(Table12[Country],Tabela1[[#This Row],[Country]],Table12[66kg Classification],"&gt;0")</f>
        <v>0</v>
      </c>
      <c r="GK127" s="6">
        <f>COUNTIFS(Table12[Country],Tabela1[[#This Row],[Country]],Table12[73kg Classification],"&gt;0")</f>
        <v>0</v>
      </c>
      <c r="GL127" s="6">
        <f>COUNTIFS(Table12[Country],Tabela1[[#This Row],[Country]],Table12[81kg Classification],"&gt;0")</f>
        <v>1</v>
      </c>
      <c r="GM127" s="6">
        <f>COUNTIFS(Table12[Country],Tabela1[[#This Row],[Country]],Table12[90kg Classification],"&gt;0")</f>
        <v>0</v>
      </c>
      <c r="GN127" s="6">
        <f>COUNTIFS(Table12[Country],Tabela1[[#This Row],[Country]],Table12[100kg Classification],"&gt;0")</f>
        <v>0</v>
      </c>
      <c r="GO127" s="6">
        <f>COUNTIFS(Table12[Country],Tabela1[[#This Row],[Country]],Table12[Plus 100kg Classification],"&gt;0")</f>
        <v>0</v>
      </c>
      <c r="GP127" s="6">
        <f>COUNTIFS(Table13[Country],Tabela1[[#This Row],[Country]],Table13[48kg Classification],"&gt;0")</f>
        <v>0</v>
      </c>
      <c r="GQ127" s="6">
        <f>COUNTIFS(Table13[Country],Tabela1[[#This Row],[Country]],Table13[52kg Classification],"&gt;0")</f>
        <v>0</v>
      </c>
      <c r="GR127" s="6">
        <f>COUNTIFS(Table13[Country],Tabela1[[#This Row],[Country]],Table13[57kg Classification],"&gt;0")</f>
        <v>0</v>
      </c>
      <c r="GS127" s="6">
        <f>COUNTIFS(Table13[Country],Tabela1[[#This Row],[Country]],Table13[63kg Classification],"&gt;0")</f>
        <v>0</v>
      </c>
      <c r="GT127" s="6">
        <f>COUNTIFS(Table13[Country],Tabela1[[#This Row],[Country]],Table13[70kg Classification],"&gt;0")</f>
        <v>0</v>
      </c>
      <c r="GU127" s="6">
        <f>COUNTIFS(Table13[Country],Tabela1[[#This Row],[Country]],Table13[78kg Classification],"&gt;0")</f>
        <v>0</v>
      </c>
      <c r="GV127" s="6">
        <f>COUNTIFS(Table13[Country],Tabela1[[#This Row],[Country]],Table13[Plus 78kg Classification],"&gt;0")</f>
        <v>0</v>
      </c>
      <c r="GW127" s="6">
        <f>COUNTIFS(Table82[Country],Tabela1[[#This Row],[Country]],Table82[Mixed Classification],"&gt;0")</f>
        <v>0</v>
      </c>
      <c r="GX127" s="6">
        <f>COUNTIFS(Table51[Country],Tabela1[[#This Row],[Country]],Table51[Classification],"&gt;0")</f>
        <v>0</v>
      </c>
      <c r="GY127" s="6">
        <f>COUNTIFS(Table52[Country],Tabela1[[#This Row],[Country]],Table52[Classification],"&gt;0")</f>
        <v>0</v>
      </c>
      <c r="GZ127" s="6">
        <f>COUNTIFS(Table32[Country],Tabela1[[#This Row],[Country]],Table32[All-Around Classification],"&gt;0")</f>
        <v>0</v>
      </c>
      <c r="HA127" s="6">
        <f>COUNTIFS(Table49[Country],Tabela1[[#This Row],[Country]],Table49[All-Around Classification],"&gt;0")</f>
        <v>0</v>
      </c>
      <c r="HB127" s="6">
        <f>COUNTIFS(Table26[Country],Tabela1[[#This Row],[Country]],Table26[Single Sculls Classification],"&gt;0")</f>
        <v>0</v>
      </c>
      <c r="HC127" s="6">
        <f>COUNTIFS(Table63[Country],Tabela1[[#This Row],[Country]],Table63[Single Sculls Classification],"&gt;0")</f>
        <v>0</v>
      </c>
      <c r="HD127" s="6">
        <f>COUNTIFS(Table16[Country],Tabela1[[#This Row],[Country]],Table16[Men''s Double Sculls Classification],"&gt;0")</f>
        <v>0</v>
      </c>
      <c r="HE127" s="6">
        <f>COUNTIFS(Table16[Country],Tabela1[[#This Row],[Country]],Table16[Women''s Double Sculls Classification],"&gt;0")</f>
        <v>0</v>
      </c>
      <c r="HF127" s="6">
        <f>COUNTIFS(Table72[Country],Tabela1[[#This Row],[Country]],Table72[Men''s Quadruple Sculls Classification],"&gt;0")</f>
        <v>0</v>
      </c>
      <c r="HG127" s="6">
        <f>COUNTIFS(Table72[Country],Tabela1[[#This Row],[Country]],Table72[Women''s Quadruple Sculls Classification],"&gt;0")</f>
        <v>0</v>
      </c>
      <c r="HH127" s="6">
        <f>COUNTIFS(Table16[Country],Tabela1[[#This Row],[Country]],Table16[Men''s Coxless Pairs Classification],"&gt;0")</f>
        <v>0</v>
      </c>
      <c r="HI127" s="6">
        <f>COUNTIFS(Table16[Country],Tabela1[[#This Row],[Country]],Table16[Women''s Coxless Pairs Classification],"&gt;0")</f>
        <v>0</v>
      </c>
      <c r="HJ127" s="6">
        <f>COUNTIFS(Table72[Country],Tabela1[[#This Row],[Country]],Table72[Men''s Coxless Fours Classification],"&gt;0")</f>
        <v>0</v>
      </c>
      <c r="HK127" s="6">
        <f>COUNTIFS(Table72[Country],Tabela1[[#This Row],[Country]],Table72[Women''s Coxless Fours Classification],"&gt;0")</f>
        <v>0</v>
      </c>
      <c r="HL127" s="6">
        <f>COUNTIFS(Table72[Country],Tabela1[[#This Row],[Country]],Table72[Men''s Eights Classification],"&gt;0")</f>
        <v>0</v>
      </c>
      <c r="HM127" s="6">
        <f>COUNTIFS(Table72[Country],Tabela1[[#This Row],[Country]],Table72[Women''s Eights Classification],"&gt;0")</f>
        <v>0</v>
      </c>
      <c r="HN127" s="6">
        <f>COUNTIFS(Table16[Country],Tabela1[[#This Row],[Country]],Table16[Men''s Lwt. Double Sculls Classification],"&gt;0")</f>
        <v>0</v>
      </c>
      <c r="HO127" s="6">
        <f>COUNTIFS(Table16[Country],Tabela1[[#This Row],[Country]],Table16[Women''s Lwt. Double Sculls Classification],"&gt;0")</f>
        <v>0</v>
      </c>
      <c r="HP127" s="6">
        <f>COUNTIFS(Table91949698[Country],Tabela1[[#This Row],[Country]],Table91949698[Men''s Classification],"&gt;0")</f>
        <v>0</v>
      </c>
      <c r="HQ127" s="6">
        <f>COUNTIFS(Table91949698[Country],Tabela1[[#This Row],[Country]],Table91949698[Women''s Classification],"&gt;0")</f>
        <v>0</v>
      </c>
      <c r="HR127" s="6">
        <f>COUNTIFS(Table25[Country],Tabela1[[#This Row],[Country]],Table25[Mixed 470 Classification],"&gt;0")</f>
        <v>0</v>
      </c>
      <c r="HS127" s="6">
        <f>COUNTIFS(Table25[Country],Tabela1[[#This Row],[Country]],Table25[Men''s 49er Classification],"&gt;0")</f>
        <v>0</v>
      </c>
      <c r="HT127" s="6">
        <f>COUNTIFS(Table25[Country],Tabela1[[#This Row],[Country]],Table25[Women''s 49er FX Classification],"&gt;0")</f>
        <v>0</v>
      </c>
      <c r="HU127" s="6">
        <f>COUNTIFS(Table17[Country],Tabela1[[#This Row],[Country]],Table17[Formula Kite Classification],"&gt;0")</f>
        <v>0</v>
      </c>
      <c r="HV127" s="6">
        <f>COUNTIFS(Table18[Country],Tabela1[[#This Row],[Country]],Table18[Formula Kite Classification],"&gt;0")</f>
        <v>0</v>
      </c>
      <c r="HW127" s="6">
        <f>COUNTIFS(Table17[Country],Tabela1[[#This Row],[Country]],Table17[ILCA 7 Classification],"&gt;0")</f>
        <v>0</v>
      </c>
      <c r="HX127" s="6">
        <f>COUNTIFS(Table18[Country],Tabela1[[#This Row],[Country]],Table18[ILCA 6 Classification],"&gt;0")</f>
        <v>0</v>
      </c>
      <c r="HY127" s="6">
        <f>COUNTIFS(Table17[Country],Tabela1[[#This Row],[Country]],Table17[IQFoil Classification],"&gt;0")</f>
        <v>0</v>
      </c>
      <c r="HZ127" s="6">
        <f>COUNTIFS(Table18[Country],Tabela1[[#This Row],[Country]],Table18[IQFoil Classification],"&gt;0")</f>
        <v>0</v>
      </c>
      <c r="IA127" s="6">
        <f>COUNTIFS(Table25[Country],Tabela1[[#This Row],[Country]],Table25[Mixed Nacra 17 Classification],"&gt;0")</f>
        <v>0</v>
      </c>
      <c r="IB127" s="6">
        <f>COUNTIFS(Table53[Country],Tabela1[[#This Row],[Country]],Table53[10m Air Pistol Classification],"&gt;0")</f>
        <v>0</v>
      </c>
      <c r="IC127" s="6">
        <f>COUNTIFS(Table19[Country],Tabela1[[#This Row],[Country]],Table19[10m Air Pistol Classification],"&gt;0")</f>
        <v>0</v>
      </c>
      <c r="ID127" s="6">
        <f>COUNTIFS(Table54[Country],Tabela1[[#This Row],[Country]],Table54[Mixed 10m Air Pistol Team Classification],"&gt;0")</f>
        <v>0</v>
      </c>
      <c r="IE127" s="6">
        <f>COUNTIFS(Table53[Country],Tabela1[[#This Row],[Country]],Table53[10m Air Rifle Classification],"&gt;0")</f>
        <v>0</v>
      </c>
      <c r="IF127" s="6">
        <f>COUNTIFS(Table19[Country],Tabela1[[#This Row],[Country]],Table19[10m Air Rifle Classification],"&gt;0")</f>
        <v>0</v>
      </c>
      <c r="IG127" s="6">
        <f>COUNTIFS(Table54[Country],Tabela1[[#This Row],[Country]],Table54[Mixed 10m Air Rifle Team Classification],"&gt;0")</f>
        <v>0</v>
      </c>
      <c r="IH127" s="6">
        <f>COUNTIFS(Table53[Country],Tabela1[[#This Row],[Country]],Table53[25m Rapid Fire Pistol Classification],"&gt;0")</f>
        <v>0</v>
      </c>
      <c r="II127" s="6">
        <f>COUNTIFS(Table19[Country],Tabela1[[#This Row],[Country]],Table19[25m Pistol Classification],"&gt;0")</f>
        <v>0</v>
      </c>
      <c r="IJ127" s="6">
        <f>COUNTIFS(Table53[Country],Tabela1[[#This Row],[Country]],Table53[50m Rifle 3 Positions Classification],"&gt;0")</f>
        <v>0</v>
      </c>
      <c r="IK127" s="6">
        <f>COUNTIFS(Table19[Country],Tabela1[[#This Row],[Country]],Table19[50m Rifle 3 Positions Classification],"&gt;0")</f>
        <v>0</v>
      </c>
      <c r="IL127" s="6">
        <f>COUNTIFS(Table53[Country],Tabela1[[#This Row],[Country]],Table53[Skeet Classification],"&gt;0")</f>
        <v>0</v>
      </c>
      <c r="IM127" s="6">
        <f>COUNTIFS(Table19[Country],Tabela1[[#This Row],[Country]],Table19[Skeet Classification],"&gt;0")</f>
        <v>0</v>
      </c>
      <c r="IN127" s="6">
        <f>COUNTIFS(Table54[Country],Tabela1[[#This Row],[Country]],Table54[Mixed Skeet Team Classification],"&gt;0")</f>
        <v>0</v>
      </c>
      <c r="IO127" s="6">
        <f>COUNTIFS(Table53[Country],Tabela1[[#This Row],[Country]],Table53[Trap Classification],"&gt;0")</f>
        <v>0</v>
      </c>
      <c r="IP127" s="6">
        <f>COUNTIFS(Table19[Country],Tabela1[[#This Row],[Country]],Table19[Trap Classification],"&gt;0")</f>
        <v>0</v>
      </c>
      <c r="IQ127" s="6">
        <f>COUNTIFS(Table73[Country],Tabela1[[#This Row],[Country]],Table73[Park Classification],"&gt;0")</f>
        <v>0</v>
      </c>
      <c r="IR127" s="6">
        <f>COUNTIFS(Table74[Country],Tabela1[[#This Row],[Country]],Table74[Park Classification],"&gt;0")</f>
        <v>0</v>
      </c>
      <c r="IS127" s="6">
        <f>COUNTIFS(Table73[Country],Tabela1[[#This Row],[Country]],Table73[Street Classification],"&gt;0")</f>
        <v>0</v>
      </c>
      <c r="IT127" s="6">
        <f>COUNTIFS(Table74[Country],Tabela1[[#This Row],[Country]],Table74[Street Classification],"&gt;0")</f>
        <v>0</v>
      </c>
      <c r="IU127" s="6">
        <f>COUNTIFS(Table75[Country],Tabela1[[#This Row],[Country]],Table75[Boulder and Lead Classification],"&gt;0")</f>
        <v>0</v>
      </c>
      <c r="IV127" s="6">
        <f>COUNTIFS(Table76[Country],Tabela1[[#This Row],[Country]],Table76[Boulder and Lead Classification],"&gt;0")</f>
        <v>0</v>
      </c>
      <c r="IW127" s="6">
        <f>COUNTIFS(Table75[Country],Tabela1[[#This Row],[Country]],Table75[Speed Classification],"&gt;0")</f>
        <v>0</v>
      </c>
      <c r="IX127" s="6">
        <f>COUNTIFS(Table76[Country],Tabela1[[#This Row],[Country]],Table76[Speed Classification],"&gt;0")</f>
        <v>0</v>
      </c>
      <c r="IY127" s="6">
        <f>COUNTIFS(Table64[Country],Tabela1[[#This Row],[Country]],Table64[Shortboard Classification],"&gt;0")</f>
        <v>0</v>
      </c>
      <c r="IZ127" s="6">
        <f>COUNTIFS(Table77[Country],Tabela1[[#This Row],[Country]],Table77[Shortboard Classification],"&gt;0")</f>
        <v>0</v>
      </c>
      <c r="JA127" s="6">
        <f>COUNTIFS(Table20[Country],Tabela1[[#This Row],[Country]],Table20[50m Freestyle Classification],"&gt;0")</f>
        <v>0</v>
      </c>
      <c r="JB127" s="6">
        <f>COUNTIFS(Table21[Country],Tabela1[[#This Row],[Country]],Table21[50m Freestyle Classification],"&gt;0")</f>
        <v>1</v>
      </c>
      <c r="JC127" s="6">
        <f>COUNTIFS(Table20[Country],Tabela1[[#This Row],[Country]],Table20[100m Freestyle Classification],"&gt;0")</f>
        <v>0</v>
      </c>
      <c r="JD127" s="6">
        <f>COUNTIFS(Table21[Country],Tabela1[[#This Row],[Country]],Table21[100m Freestyle Classification],"&gt;0")</f>
        <v>0</v>
      </c>
      <c r="JE127" s="6">
        <f>COUNTIFS(Table20[Country],Tabela1[[#This Row],[Country]],Table20[200m Freestyle Classification],"&gt;0")</f>
        <v>0</v>
      </c>
      <c r="JF127" s="6">
        <f>COUNTIFS(Table21[Country],Tabela1[[#This Row],[Country]],Table21[200m Freestyle Classification],"&gt;0")</f>
        <v>0</v>
      </c>
      <c r="JG127" s="6">
        <f>COUNTIFS(Table20[Country],Tabela1[[#This Row],[Country]],Table20[400m Freestyle Classification],"&gt;0")</f>
        <v>0</v>
      </c>
      <c r="JH127" s="6">
        <f>COUNTIFS(Table21[Country],Tabela1[[#This Row],[Country]],Table21[400m Freestyle Classification],"&gt;0")</f>
        <v>0</v>
      </c>
      <c r="JI127" s="6">
        <f>COUNTIFS(Table20[Country],Tabela1[[#This Row],[Country]],Table20[800m Freestyle Classification],"&gt;0")</f>
        <v>0</v>
      </c>
      <c r="JJ127" s="6">
        <f>COUNTIFS(Table21[Country],Tabela1[[#This Row],[Country]],Table21[800m Freestyle Classification],"&gt;0")</f>
        <v>0</v>
      </c>
      <c r="JK127" s="6">
        <f>COUNTIFS(Table20[Country],Tabela1[[#This Row],[Country]],Table20[1500m Freestyle Classification],"&gt;0")</f>
        <v>0</v>
      </c>
      <c r="JL127" s="6">
        <f>COUNTIFS(Table21[Country],Tabela1[[#This Row],[Country]],Table21[1500m Freestyle Classification],"&gt;0")</f>
        <v>0</v>
      </c>
      <c r="JM127" s="6">
        <f>COUNTIFS(Table20[Country],Tabela1[[#This Row],[Country]],Table20[100m Backstroke Classification],"&gt;0")</f>
        <v>0</v>
      </c>
      <c r="JN127" s="6">
        <f>COUNTIFS(Table21[Country],Tabela1[[#This Row],[Country]],Table21[100m Backstroke Classification],"&gt;0")</f>
        <v>0</v>
      </c>
      <c r="JO127" s="6">
        <f>COUNTIFS(Table20[Country],Tabela1[[#This Row],[Country]],Table20[200m Backstroke Classification],"&gt;0")</f>
        <v>0</v>
      </c>
      <c r="JP127" s="6">
        <f>COUNTIFS(Table21[Country],Tabela1[[#This Row],[Country]],Table21[200m Backstroke Classification],"&gt;0")</f>
        <v>0</v>
      </c>
      <c r="JQ127" s="6">
        <f>COUNTIFS(Table20[Country],Tabela1[[#This Row],[Country]],Table20[100m Breaststroke Classification],"&gt;0")</f>
        <v>0</v>
      </c>
      <c r="JR127" s="6">
        <f>COUNTIFS(Table21[Country],Tabela1[[#This Row],[Country]],Table21[100m Breaststroke Classification],"&gt;0")</f>
        <v>0</v>
      </c>
      <c r="JS127" s="6">
        <f>COUNTIFS(Table20[Country],Tabela1[[#This Row],[Country]],Table20[200m Breaststroke Classification],"&gt;0")</f>
        <v>0</v>
      </c>
      <c r="JT127" s="6">
        <f>COUNTIFS(Table21[Country],Tabela1[[#This Row],[Country]],Table21[200m Breaststroke Classification],"&gt;0")</f>
        <v>0</v>
      </c>
      <c r="JU127" s="6">
        <f>COUNTIFS(Table20[Country],Tabela1[[#This Row],[Country]],Table20[100m Butterfly Classification],"&gt;0")</f>
        <v>0</v>
      </c>
      <c r="JV127" s="6">
        <f>COUNTIFS(Table21[Country],Tabela1[[#This Row],[Country]],Table21[100m Butterfly Classification],"&gt;0")</f>
        <v>0</v>
      </c>
      <c r="JW127" s="6">
        <f>COUNTIFS(Table20[Country],Tabela1[[#This Row],[Country]],Table20[200m Butterfly Classification],"&gt;0")</f>
        <v>0</v>
      </c>
      <c r="JX127" s="6">
        <f>COUNTIFS(Table21[Country],Tabela1[[#This Row],[Country]],Table21[200m Butterfly Classification],"&gt;0")</f>
        <v>0</v>
      </c>
      <c r="JY127" s="6">
        <f>COUNTIFS(Table20[Country],Tabela1[[#This Row],[Country]],Table20[200m Medley Classification],"&gt;0")</f>
        <v>0</v>
      </c>
      <c r="JZ127" s="6">
        <f>COUNTIFS(Table21[Country],Tabela1[[#This Row],[Country]],Table21[200m Medley Classification],"&gt;0")</f>
        <v>0</v>
      </c>
      <c r="KA127" s="6">
        <f>COUNTIFS(Table20[Country],Tabela1[[#This Row],[Country]],Table20[400m Medley Classification],"&gt;0")</f>
        <v>0</v>
      </c>
      <c r="KB127" s="6">
        <f>COUNTIFS(Table21[Country],Tabela1[[#This Row],[Country]],Table21[400m Medley Classification],"&gt;0")</f>
        <v>0</v>
      </c>
      <c r="KC127" s="6">
        <f>COUNTIFS(Table78[Country],Tabela1[[#This Row],[Country]],Table78[Men''s 4x100m Freestyle Relay Classification],"&gt;0")</f>
        <v>0</v>
      </c>
      <c r="KD127" s="6">
        <f>COUNTIFS(Table78[Country],Tabela1[[#This Row],[Country]],Table78[Women''s 4x100m Freestyle Relay Classification],"&gt;0")</f>
        <v>0</v>
      </c>
      <c r="KE127" s="6">
        <f>COUNTIFS(Table78[Country],Tabela1[[#This Row],[Country]],Table78[Men''s 4x200m Freestyle Relay Classification],"&gt;0")</f>
        <v>0</v>
      </c>
      <c r="KF127" s="6">
        <f>COUNTIFS(Table78[Country],Tabela1[[#This Row],[Country]],Table78[Women''s 4x200m Freestyle Relay Classification],"&gt;0")</f>
        <v>0</v>
      </c>
      <c r="KG127" s="6">
        <f>COUNTIFS(Table78[Country],Tabela1[[#This Row],[Country]],Table78[Men''s 4x100m Medley Relay Classification],"&gt;0")</f>
        <v>0</v>
      </c>
      <c r="KH127" s="6">
        <f>COUNTIFS(Table78[Country],Tabela1[[#This Row],[Country]],Table78[Women''s 4x100m Medley Relay Classification],"&gt;0")</f>
        <v>0</v>
      </c>
      <c r="KI127" s="6">
        <f>COUNTIFS(Table78[Country],Tabela1[[#This Row],[Country]],Table78[Mixed 4x100m Medley Relay Classification],"&gt;0")</f>
        <v>0</v>
      </c>
      <c r="KJ127" s="6">
        <f>COUNTIFS(Table20[Country],Tabela1[[#This Row],[Country]],Table20[10km Open Water Classification],"&gt;0")</f>
        <v>0</v>
      </c>
      <c r="KK127" s="6">
        <f>COUNTIFS(Table21[Country],Tabela1[[#This Row],[Country]],Table21[10km Open Water Classification],"&gt;0")</f>
        <v>0</v>
      </c>
      <c r="KL127" s="6">
        <f>COUNTIFS(Table22[Country],Tabela1[[#This Row],[Country]],Table22[Classification],"&gt;0")</f>
        <v>0</v>
      </c>
      <c r="KM127" s="6">
        <f>COUNTIFS(Table30[Country],Tabela1[[#This Row],[Country]],Table30[Classification],"&gt;0")</f>
        <v>0</v>
      </c>
      <c r="KN127" s="6">
        <f>COUNTIFS(Table55[Country],Tabela1[[#This Row],[Country]],Table55[Men''s Classification],"&gt;0")</f>
        <v>0</v>
      </c>
      <c r="KO127" s="6">
        <f>COUNTIFS(Table55[Country],Tabela1[[#This Row],[Country]],Table55[Women''s Classification],"&gt;0")</f>
        <v>0</v>
      </c>
      <c r="KP127" s="6">
        <f>COUNTIFS(Table56[Country],Tabela1[[#This Row],[Country]],Table56[Mixed Classification],"&gt;0")</f>
        <v>0</v>
      </c>
      <c r="KQ127" s="6">
        <f>COUNTIFS(Table29[Country],Tabela1[[#This Row],[Country]],Table29[58kg Classification],"&gt;0")</f>
        <v>0</v>
      </c>
      <c r="KR127" s="6">
        <f>COUNTIFS(Table29[Country],Tabela1[[#This Row],[Country]],Table29[68kg Classification],"&gt;0")</f>
        <v>0</v>
      </c>
      <c r="KS127" s="6">
        <f>COUNTIFS(Table29[Country],Tabela1[[#This Row],[Country]],Table29[80kg Classification],"&gt;0")</f>
        <v>0</v>
      </c>
      <c r="KT127" s="6">
        <f>COUNTIFS(Table29[Country],Tabela1[[#This Row],[Country]],Table29[Plus 80kg Classification],"&gt;0")</f>
        <v>0</v>
      </c>
      <c r="KU127" s="6">
        <f>COUNTIFS(Table34[Country],Tabela1[[#This Row],[Country]],Table34[49kg Classification],"&gt;0")</f>
        <v>0</v>
      </c>
      <c r="KV127" s="6">
        <f>COUNTIFS(Table34[Country],Tabela1[[#This Row],[Country]],Table34[57kg Classification],"&gt;0")</f>
        <v>0</v>
      </c>
      <c r="KW127" s="6">
        <f>COUNTIFS(Table34[Country],Tabela1[[#This Row],[Country]],Table34[67kg Classification],"&gt;0")</f>
        <v>0</v>
      </c>
      <c r="KX127" s="6">
        <f>COUNTIFS(Table34[Country],Tabela1[[#This Row],[Country]],Table34[Plus 67kg Classification],"&gt;0")</f>
        <v>0</v>
      </c>
      <c r="KY127" s="6">
        <f>COUNTIFS(Table57[Country],Tabela1[[#This Row],[Country]],Table57[Classification],"&gt;0")</f>
        <v>0</v>
      </c>
      <c r="KZ127" s="6">
        <f>COUNTIFS(Table58[Country],Tabela1[[#This Row],[Country]],Table58[Classification],"&gt;0")</f>
        <v>0</v>
      </c>
      <c r="LA127" s="6">
        <f>COUNTIFS(Table79[Country],Tabela1[[#This Row],[Country]],Table79[Men''s Classification],"&gt;0")</f>
        <v>0</v>
      </c>
      <c r="LB127" s="6">
        <f>COUNTIFS(Table79[Country],Tabela1[[#This Row],[Country]],Table79[Women''s Classification],"&gt;0")</f>
        <v>0</v>
      </c>
      <c r="LC127" s="6">
        <f>COUNTIFS(Table79[Country],Tabela1[[#This Row],[Country]],Table79[Mixed Classification],"&gt;0")</f>
        <v>0</v>
      </c>
      <c r="LD127" s="6">
        <f>COUNTIFS(Table65[Country],Tabela1[[#This Row],[Country]],Table65[Classification],"&gt;0")</f>
        <v>0</v>
      </c>
      <c r="LE127" s="6">
        <f>COUNTIFS(Table59[Country],Tabela1[[#This Row],[Country]],Table59[Classification],"&gt;0")</f>
        <v>0</v>
      </c>
      <c r="LF127" s="6">
        <f>COUNTIFS(Table87[Country],Tabela1[[#This Row],[Country]],Table87[Mixed Relay Classification],"&gt;0")</f>
        <v>0</v>
      </c>
      <c r="LG127" s="6">
        <f>COUNTIFS(Table91949698100[Country],Tabela1[[#This Row],[Country]],Table91949698100[Men''s Classification],"&gt;0")</f>
        <v>0</v>
      </c>
      <c r="LH127" s="6">
        <f>COUNTIFS(Table91949698100[Country],Tabela1[[#This Row],[Country]],Table91949698100[Women''s Classification],"&gt;0")</f>
        <v>0</v>
      </c>
      <c r="LI127" s="6">
        <f>COUNTIFS(Table91949698100102[Country],Tabela1[[#This Row],[Country]],Table91949698100102[Men''s Classification],"&gt;0")</f>
        <v>0</v>
      </c>
      <c r="LJ127" s="6">
        <f>COUNTIFS(Table91949698100102[Country],Tabela1[[#This Row],[Country]],Table91949698100102[Women''s Classification],"&gt;0")</f>
        <v>0</v>
      </c>
      <c r="LK127" s="6">
        <f>COUNTIFS(Table23[Country],Tabela1[[#This Row],[Country]],Table23[61kg Classification],"&gt;0")</f>
        <v>0</v>
      </c>
      <c r="LL127" s="6">
        <f>COUNTIFS(Table23[Country],Tabela1[[#This Row],[Country]],Table23[73kg Classification],"&gt;0")</f>
        <v>0</v>
      </c>
      <c r="LM127" s="6">
        <f>COUNTIFS(Table23[Country],Tabela1[[#This Row],[Country]],Table23[89kg Classification],"&gt;0")</f>
        <v>0</v>
      </c>
      <c r="LN127" s="6">
        <f>COUNTIFS(Table23[Country],Tabela1[[#This Row],[Country]],Table23[102kg Classification],"&gt;0")</f>
        <v>0</v>
      </c>
      <c r="LO127" s="6">
        <f>COUNTIFS(Table23[Country],Tabela1[[#This Row],[Country]],Table23[Plus 102kg Classification],"&gt;0")</f>
        <v>0</v>
      </c>
      <c r="LP127" s="6">
        <f>COUNTIFS(Table28[Country],Tabela1[[#This Row],[Country]],Table28[49kg Classification],"&gt;0")</f>
        <v>0</v>
      </c>
      <c r="LQ127" s="6">
        <f>COUNTIFS(Table28[Country],Tabela1[[#This Row],[Country]],Table28[59kg Classification],"&gt;0")</f>
        <v>0</v>
      </c>
      <c r="LR127" s="6">
        <f>COUNTIFS(Table28[Country],Tabela1[[#This Row],[Country]],Table28[71kg Classification],"&gt;0")</f>
        <v>0</v>
      </c>
      <c r="LS127" s="6">
        <f>COUNTIFS(Table28[Country],Tabela1[[#This Row],[Country]],Table28[81kg Classification],"&gt;0")</f>
        <v>0</v>
      </c>
      <c r="LT127" s="6">
        <f>COUNTIFS(Table28[Country],Tabela1[[#This Row],[Country]],Table28[Plus 81kg Classification],"&gt;0")</f>
        <v>0</v>
      </c>
      <c r="LU127" s="6">
        <f>COUNTIFS(Table24[Country],Tabela1[[#This Row],[Country]],Table24[Freestyle 57kg Classification],"&gt;0")</f>
        <v>0</v>
      </c>
      <c r="LV127" s="6">
        <f>COUNTIFS(Table24[Country],Tabela1[[#This Row],[Country]],Table24[Freestyle 65kg Classification],"&gt;0")</f>
        <v>0</v>
      </c>
      <c r="LW127" s="6">
        <f>COUNTIFS(Table24[Country],Tabela1[[#This Row],[Country]],Table24[Freestyle 74kg Classification],"&gt;0")</f>
        <v>0</v>
      </c>
      <c r="LX127" s="6">
        <f>COUNTIFS(Table24[Country],Tabela1[[#This Row],[Country]],Table24[Freestyle 86kg Classification],"&gt;0")</f>
        <v>0</v>
      </c>
      <c r="LY127" s="6">
        <f>COUNTIFS(Table24[Country],Tabela1[[#This Row],[Country]],Table24[Freestyle 97kg Classification],"&gt;0")</f>
        <v>0</v>
      </c>
      <c r="LZ127" s="6">
        <f>COUNTIFS(Table24[Country],Tabela1[[#This Row],[Country]],Table24[Freestyle 125kg Classification],"&gt;0")</f>
        <v>0</v>
      </c>
      <c r="MA127" s="6">
        <f>COUNTIFS(Table24[Country],Tabela1[[#This Row],[Country]],Table24[Greco-Roman 60kg Classification],"&gt;0")</f>
        <v>0</v>
      </c>
      <c r="MB127" s="6">
        <f>COUNTIFS(Table24[Country],Tabela1[[#This Row],[Country]],Table24[Greco-Roman 67kg Classification],"&gt;0")</f>
        <v>0</v>
      </c>
      <c r="MC127" s="6">
        <f>COUNTIFS(Table24[Country],Tabela1[[#This Row],[Country]],Table24[Greco-Roman 77kg Classification],"&gt;0")</f>
        <v>0</v>
      </c>
      <c r="MD127" s="6">
        <f>COUNTIFS(Table24[Country],Tabela1[[#This Row],[Country]],Table24[Greco-Roman 87kg Classification],"&gt;0")</f>
        <v>0</v>
      </c>
      <c r="ME127" s="6">
        <f>COUNTIFS(Table24[Country],Tabela1[[#This Row],[Country]],Table24[Greco-Roman 97kg Classification],"&gt;0")</f>
        <v>0</v>
      </c>
      <c r="MF127" s="6">
        <f>COUNTIFS(Table24[Country],Tabela1[[#This Row],[Country]],Table24[Greco-Roman 130kg Classification],"&gt;0")</f>
        <v>0</v>
      </c>
      <c r="MG127" s="6">
        <f>COUNTIFS(Table31[Country],Tabela1[[#This Row],[Country]],Table31[50kg Classification],"&gt;0")</f>
        <v>0</v>
      </c>
      <c r="MH127" s="6">
        <f>COUNTIFS(Table31[Country],Tabela1[[#This Row],[Country]],Table31[53kg Classification],"&gt;0")</f>
        <v>0</v>
      </c>
      <c r="MI127" s="6">
        <f>COUNTIFS(Table31[Country],Tabela1[[#This Row],[Country]],Table31[57kg Classification],"&gt;0")</f>
        <v>0</v>
      </c>
      <c r="MJ127" s="6">
        <f>COUNTIFS(Table31[Country],Tabela1[[#This Row],[Country]],Table31[62kg Classification],"&gt;0")</f>
        <v>0</v>
      </c>
      <c r="MK127" s="6">
        <f>COUNTIFS(Table31[Country],Tabela1[[#This Row],[Country]],Table31[68kg Classification],"&gt;0")</f>
        <v>0</v>
      </c>
      <c r="ML127" s="6">
        <f>COUNTIFS(Table31[Country],Tabela1[[#This Row],[Country]],Table31[76kg Classification],"&gt;0")</f>
        <v>0</v>
      </c>
      <c r="MM127" s="6">
        <f>COUNTIFS(Table102[Country],Tabela1[[#This Row],[Country]],Table102[Downhill Classification],"&gt;0")</f>
        <v>0</v>
      </c>
      <c r="MN127" s="6">
        <f>COUNTIFS(Table102105[Country],Tabela1[[#This Row],[Country]],Table102105[Downhill Classification],"&gt;0")</f>
        <v>0</v>
      </c>
      <c r="MO127" s="6">
        <f>COUNTIFS(Table102[Country],Tabela1[[#This Row],[Country]],Table102[Giant Slalom Classification],"&gt;0")</f>
        <v>0</v>
      </c>
      <c r="MP127" s="6">
        <f>COUNTIFS(Table102105[Country],Tabela1[[#This Row],[Country]],Table102105[Giant Slalom Classification],"&gt;0")</f>
        <v>0</v>
      </c>
      <c r="MQ127" s="6">
        <f>COUNTIFS(Table102[Country],Tabela1[[#This Row],[Country]],Table102[Slalom Classification],"&gt;0")</f>
        <v>0</v>
      </c>
      <c r="MR127" s="6">
        <f>COUNTIFS(Table102105[Country],Tabela1[[#This Row],[Country]],Table102105[Slalom Classification],"&gt;0")</f>
        <v>0</v>
      </c>
      <c r="MS127" s="6">
        <f>COUNTIFS(Table102[Country],Tabela1[[#This Row],[Country]],Table102[Super-G Classification],"&gt;0")</f>
        <v>0</v>
      </c>
      <c r="MT127" s="6">
        <f>COUNTIFS(Table102105[Country],Tabela1[[#This Row],[Country]],Table102105[Super-G Classification],"&gt;0")</f>
        <v>0</v>
      </c>
      <c r="MU127" s="6">
        <f>COUNTIFS(Table105[Country],Tabela1[[#This Row],[Country]],Table105[Men''s Combined Classification],"&gt;0")</f>
        <v>0</v>
      </c>
      <c r="MV127" s="6">
        <f>COUNTIFS(Table105[Country],Tabela1[[#This Row],[Country]],Table105[Women''s Combined Classification],"&gt;0")</f>
        <v>0</v>
      </c>
      <c r="MW127" s="6">
        <f>COUNTIFS(Table106[Country],Tabela1[[#This Row],[Country]],Table106[Individual Classification],"&gt;0")</f>
        <v>0</v>
      </c>
      <c r="MX127" s="6">
        <f>COUNTIFS(Table106109[Country],Tabela1[[#This Row],[Country]],Table106109[Individual Classification],"&gt;0")</f>
        <v>0</v>
      </c>
      <c r="MY127" s="6">
        <f>COUNTIFS(Table106[Country],Tabela1[[#This Row],[Country]],Table106[Mass Start Classification],"&gt;0")</f>
        <v>0</v>
      </c>
      <c r="MZ127" s="6">
        <f>COUNTIFS(Table106109[Country],Tabela1[[#This Row],[Country]],Table106109[Mass Start Classification],"&gt;0")</f>
        <v>0</v>
      </c>
      <c r="NA127" s="6">
        <f>COUNTIFS(Table106[Country],Tabela1[[#This Row],[Country]],Table106[Pursuit Classification],"&gt;0")</f>
        <v>0</v>
      </c>
      <c r="NB127" s="6">
        <f>COUNTIFS(Table106109[Country],Tabela1[[#This Row],[Country]],Table106109[Pursuit Classification],"&gt;0")</f>
        <v>0</v>
      </c>
      <c r="NC127" s="6">
        <f>COUNTIFS(Table106[Country],Tabela1[[#This Row],[Country]],Table106[Sprint Classification],"&gt;0")</f>
        <v>0</v>
      </c>
      <c r="ND127" s="6">
        <f>COUNTIFS(Table106109[Country],Tabela1[[#This Row],[Country]],Table106109[Sprint Classification],"&gt;0")</f>
        <v>0</v>
      </c>
      <c r="NE127" s="6">
        <f>COUNTIFS(Table109[Country],Tabela1[[#This Row],[Country]],Table109[Men''s Relay Classification],"&gt;0")</f>
        <v>0</v>
      </c>
      <c r="NF127" s="6">
        <f>COUNTIFS(Table109[Country],Tabela1[[#This Row],[Country]],Table109[Women''s Relay Classification],"&gt;0")</f>
        <v>0</v>
      </c>
      <c r="NG127" s="6">
        <f>COUNTIFS(Table109[Country],Tabela1[[#This Row],[Country]],Table109[Mixed Relay Classification],"&gt;0")</f>
        <v>0</v>
      </c>
      <c r="NH127" s="6">
        <f>COUNTIFS(Table110[Country],Tabela1[[#This Row],[Country]],Table110[Monobob Classification],"&gt;0")</f>
        <v>0</v>
      </c>
      <c r="NI127" s="6">
        <f>COUNTIFS(Table111[Country],Tabela1[[#This Row],[Country]],Table111[Men''s Classification],"&gt;0")</f>
        <v>0</v>
      </c>
      <c r="NJ127" s="6">
        <f>COUNTIFS(Table111[Country],Tabela1[[#This Row],[Country]],Table111[Women''s Classification],"&gt;0")</f>
        <v>0</v>
      </c>
      <c r="NK127" s="6">
        <f>COUNTIFS(Table112[Country],Tabela1[[#This Row],[Country]],Table112[Men''s Four Classification],"&gt;0")</f>
        <v>0</v>
      </c>
      <c r="NL127" s="6">
        <f>COUNTIFS(Table113[Country],Tabela1[[#This Row],[Country]],Table113[Classical Classification],"&gt;0")</f>
        <v>0</v>
      </c>
      <c r="NM127" s="6">
        <f>COUNTIFS(Table113116[Country],Tabela1[[#This Row],[Country]],Table113116[Classical Classification],"&gt;0")</f>
        <v>0</v>
      </c>
      <c r="NN127" s="6">
        <f>COUNTIFS(Table113[Country],Tabela1[[#This Row],[Country]],Table113[Freestyle Classification],"&gt;0")</f>
        <v>0</v>
      </c>
      <c r="NO127" s="6">
        <f>COUNTIFS(Table113116[Country],Tabela1[[#This Row],[Country]],Table113116[Freestyle Classification],"&gt;0")</f>
        <v>0</v>
      </c>
      <c r="NP127" s="6">
        <f>COUNTIFS(Table117[Country],Tabela1[[#This Row],[Country]],Table117[Men''s Relay Classification],"&gt;0")</f>
        <v>0</v>
      </c>
      <c r="NQ127" s="6">
        <f>COUNTIFS(Table117[Country],Tabela1[[#This Row],[Country]],Table117[Women''s Relay Classification],"&gt;0")</f>
        <v>0</v>
      </c>
      <c r="NR127" s="6">
        <f>COUNTIFS(Table113[Country],Tabela1[[#This Row],[Country]],Table113[Skiathlon Classification],"&gt;0")</f>
        <v>0</v>
      </c>
      <c r="NS127" s="6">
        <f>COUNTIFS(Table113116[Country],Tabela1[[#This Row],[Country]],Table113116[Skiathlon Classification],"&gt;0")</f>
        <v>0</v>
      </c>
      <c r="NT127" s="6">
        <f>COUNTIFS(Table113[Country],Tabela1[[#This Row],[Country]],Table113[Sprint Classification],"&gt;0")</f>
        <v>0</v>
      </c>
      <c r="NU127" s="6">
        <f>COUNTIFS(Table113116[Country],Tabela1[[#This Row],[Country]],Table113116[Sprint Classification],"&gt;0")</f>
        <v>0</v>
      </c>
      <c r="NV127" s="6">
        <f>COUNTIFS(Table116[Country],Tabela1[[#This Row],[Country]],Table116[Men''s Team Sprint Classification],"&gt;0")</f>
        <v>0</v>
      </c>
      <c r="NW127" s="6">
        <f>COUNTIFS(Table116[Country],Tabela1[[#This Row],[Country]],Table116[Women''s Team Sprint Classification],"&gt;0")</f>
        <v>0</v>
      </c>
      <c r="NX127" s="6">
        <f>COUNTIFS(Table119[Country],Tabela1[[#This Row],[Country]],Table119[Men''s Classification],"&gt;0")</f>
        <v>0</v>
      </c>
      <c r="NY127" s="6">
        <f>COUNTIFS(Table119[Country],Tabela1[[#This Row],[Country]],Table119[Women''s Classification],"&gt;0")</f>
        <v>0</v>
      </c>
      <c r="NZ127" s="6">
        <f>COUNTIFS(Table118[Country],Tabela1[[#This Row],[Country]],Table118[Mixed Classification],"&gt;0")</f>
        <v>0</v>
      </c>
      <c r="OA127" s="6">
        <f>COUNTIFS(Table120[Country],Tabela1[[#This Row],[Country]],Table120[Classification],"&gt;0")</f>
        <v>0</v>
      </c>
      <c r="OB127" s="6">
        <f>COUNTIFS(Table120123[Country],Tabela1[[#This Row],[Country]],Table120123[Classification],"&gt;0")</f>
        <v>0</v>
      </c>
      <c r="OC127" s="6">
        <f>COUNTIFS(Table123[Country],Tabela1[[#This Row],[Country]],Table123[Ice Dance Classification],"&gt;0")</f>
        <v>0</v>
      </c>
      <c r="OD127" s="6">
        <f>COUNTIFS(Table123[Country],Tabela1[[#This Row],[Country]],Table123[Pair Skating Classification],"&gt;0")</f>
        <v>0</v>
      </c>
      <c r="OE127" s="6">
        <f>COUNTIFS(Table124[Country],Tabela1[[#This Row],[Country]],Table124[Mixed Classification],"&gt;0")</f>
        <v>0</v>
      </c>
      <c r="OF127" s="6">
        <f>COUNTIFS(Table125[Country],Tabela1[[#This Row],[Country]],Table125[Aerials Classification],"&gt;0")</f>
        <v>0</v>
      </c>
      <c r="OG127" s="6">
        <f>COUNTIFS(Table125128[Country],Tabela1[[#This Row],[Country]],Table125128[Aerials Classification],"&gt;0")</f>
        <v>0</v>
      </c>
      <c r="OH127" s="6">
        <f>COUNTIFS(Table128[Country],Tabela1[[#This Row],[Country]],Table128[Mixed Aerials Classification],"&gt;0")</f>
        <v>0</v>
      </c>
      <c r="OI127" s="6">
        <f>COUNTIFS(Table125[Country],Tabela1[[#This Row],[Country]],Table125[Big Air Classification],"&gt;0")</f>
        <v>0</v>
      </c>
      <c r="OJ127" s="6">
        <f>COUNTIFS(Table125128[Country],Tabela1[[#This Row],[Country]],Table125128[Big Air Classification],"&gt;0")</f>
        <v>0</v>
      </c>
      <c r="OK127" s="6">
        <f>COUNTIFS(Table125[Country],Tabela1[[#This Row],[Country]],Table125[Dual Moguls Classification],"&gt;0")</f>
        <v>0</v>
      </c>
      <c r="OL127" s="6">
        <f>COUNTIFS(Table125128[Country],Tabela1[[#This Row],[Country]],Table125128[Dual Moguls Classification],"&gt;0")</f>
        <v>0</v>
      </c>
      <c r="OM127" s="6">
        <f>COUNTIFS(Table125[Country],Tabela1[[#This Row],[Country]],Table125[Halfpipe Classification],"&gt;0")</f>
        <v>0</v>
      </c>
      <c r="ON127" s="6">
        <f>COUNTIFS(Table125128[Country],Tabela1[[#This Row],[Country]],Table125128[Halfpipe Classification],"&gt;0")</f>
        <v>0</v>
      </c>
      <c r="OO127" s="6">
        <f>COUNTIFS(Table125[Country],Tabela1[[#This Row],[Country]],Table125[Moguls Classification],"&gt;0")</f>
        <v>0</v>
      </c>
      <c r="OP127" s="6">
        <f>COUNTIFS(Table125128[Country],Tabela1[[#This Row],[Country]],Table125128[Moguls Classification],"&gt;0")</f>
        <v>0</v>
      </c>
      <c r="OQ127" s="6">
        <f>COUNTIFS(Table125[Country],Tabela1[[#This Row],[Country]],Table125[Ski Cross Classification],"&gt;0")</f>
        <v>0</v>
      </c>
      <c r="OR127" s="6">
        <f>COUNTIFS(Table125128[Country],Tabela1[[#This Row],[Country]],Table125128[Ski Cross Classification],"&gt;0")</f>
        <v>0</v>
      </c>
      <c r="OS127" s="6">
        <f>COUNTIFS(Table125[Country],Tabela1[[#This Row],[Country]],Table125[Slopestyle Classification],"&gt;0")</f>
        <v>0</v>
      </c>
      <c r="OT127" s="6">
        <f>COUNTIFS(Table125128[Country],Tabela1[[#This Row],[Country]],Table125128[Slopestyle Classification],"&gt;0")</f>
        <v>0</v>
      </c>
      <c r="OU127" s="6">
        <f>COUNTIFS(Table119131[Country],Tabela1[[#This Row],[Country]],Table119131[Men''s Classification],"&gt;0")</f>
        <v>0</v>
      </c>
      <c r="OV127" s="6">
        <f>COUNTIFS(Table119131[Country],Tabela1[[#This Row],[Country]],Table119131[Women''s Classification],"&gt;0")</f>
        <v>0</v>
      </c>
      <c r="OW127" s="6">
        <f>COUNTIFS(Table131[Country],Tabela1[[#This Row],[Country]],Table131[Classification],"&gt;0")</f>
        <v>0</v>
      </c>
      <c r="OX127" s="6">
        <f>COUNTIFS(Table131134[Country],Tabela1[[#This Row],[Country]],Table131134[Classification],"&gt;0")</f>
        <v>0</v>
      </c>
      <c r="OY127" s="6">
        <f>COUNTIFS(Table134[Country],Tabela1[[#This Row],[Country]],Table134[Men''s Classification],"&gt;0")</f>
        <v>0</v>
      </c>
      <c r="OZ127" s="6">
        <f>COUNTIFS(Table134[Country],Tabela1[[#This Row],[Country]],Table134[Women''s Classification],"&gt;0")</f>
        <v>0</v>
      </c>
      <c r="PA127" s="6">
        <f>COUNTIFS(Table135[Country],Tabela1[[#This Row],[Country]],Table135[Mixed Relay Classification],"&gt;0")</f>
        <v>0</v>
      </c>
      <c r="PB127" s="6">
        <f>COUNTIFS(Table136[Country],Tabela1[[#This Row],[Country]],Table136[Individual Classification],"&gt;0")</f>
        <v>0</v>
      </c>
      <c r="PC127" s="6">
        <f>COUNTIFS(Table136[Country],Tabela1[[#This Row],[Country]],Table136[Sprint Classification],"&gt;0")</f>
        <v>0</v>
      </c>
      <c r="PD127" s="6">
        <f>COUNTIFS(Table137[Country],Tabela1[[#This Row],[Country]],Table137[Men''s Team Sprint Large Hill Classification],"&gt;0")</f>
        <v>0</v>
      </c>
      <c r="PE127" s="6">
        <f>COUNTIFS(Table138[Country],Tabela1[[#This Row],[Country]],Table138[500m Classification],"&gt;0")</f>
        <v>0</v>
      </c>
      <c r="PF127" s="6">
        <f>COUNTIFS(Table138141[Country],Tabela1[[#This Row],[Country]],Table138141[500m Classification],"&gt;0")</f>
        <v>0</v>
      </c>
      <c r="PG127" s="6">
        <f>COUNTIFS(Table138[Country],Tabela1[[#This Row],[Country]],Table138[1000m Classification],"&gt;0")</f>
        <v>0</v>
      </c>
      <c r="PH127" s="6">
        <f>COUNTIFS(Table138141[Country],Tabela1[[#This Row],[Country]],Table138141[1000m Classification],"&gt;0")</f>
        <v>0</v>
      </c>
      <c r="PI127" s="6">
        <f>COUNTIFS(Table138[Country],Tabela1[[#This Row],[Country]],Table138[1500m Classification],"&gt;0")</f>
        <v>0</v>
      </c>
      <c r="PJ127" s="6">
        <f>COUNTIFS(Table138141[Country],Tabela1[[#This Row],[Country]],Table138141[1500m Classification],"&gt;0")</f>
        <v>0</v>
      </c>
      <c r="PK127" s="6">
        <f>COUNTIFS(Table141[Country],Tabela1[[#This Row],[Country]],Table141[Men''s 5000m Relay Classification],"&gt;0")</f>
        <v>0</v>
      </c>
      <c r="PL127" s="6">
        <f>COUNTIFS(Table141[Country],Tabela1[[#This Row],[Country]],Table141[Women''s 3000m Relay Classification],"&gt;0")</f>
        <v>0</v>
      </c>
      <c r="PM127" s="6">
        <f>COUNTIFS(Table141[Country],Tabela1[[#This Row],[Country]],Table141[Mixed 2000m Relay Classification],"&gt;0")</f>
        <v>0</v>
      </c>
      <c r="PN127" s="6">
        <f>COUNTIFS(Table142[Country],Tabela1[[#This Row],[Country]],Table142[Classification],"&gt;0")</f>
        <v>0</v>
      </c>
      <c r="PO127" s="6">
        <f>COUNTIFS(Table142145[Country],Tabela1[[#This Row],[Country]],Table142145[Classification],"&gt;0")</f>
        <v>0</v>
      </c>
      <c r="PP127" s="6">
        <f>COUNTIFS(Tabela15[Country],Tabela1[[#This Row],[Country]],Tabela15[Mixed Team Classification],"&gt;0")</f>
        <v>0</v>
      </c>
      <c r="PQ127" s="6">
        <f>COUNTIFS(Table145[Country],Tabela1[[#This Row],[Country]],Table145[Large Hill Classification],"&gt;0")</f>
        <v>0</v>
      </c>
      <c r="PR127" s="6">
        <f>COUNTIFS(Table145[Country],Tabela1[[#This Row],[Country]],Table145[Normal Hill Classification],"&gt;0")</f>
        <v>0</v>
      </c>
      <c r="PS127" s="6">
        <f>COUNTIFS(Table145148[Country],Tabela1[[#This Row],[Country]],Table145148[Large Hill Classification],"&gt;0")</f>
        <v>0</v>
      </c>
      <c r="PT127" s="6">
        <f>COUNTIFS(Table145148[Country],Tabela1[[#This Row],[Country]],Table145148[Normal Hill Classification],"&gt;0")</f>
        <v>0</v>
      </c>
      <c r="PU127" s="6">
        <f>COUNTIFS(Table148[Country],Tabela1[[#This Row],[Country]],Table148[Men''s Super Team Classification],"&gt;0")</f>
        <v>0</v>
      </c>
      <c r="PV127" s="6">
        <f>COUNTIFS(Tabela114[Country],Tabela1[[#This Row],[Country]],Tabela114[Mixed Normal Hill Classification],"&gt;0")</f>
        <v>0</v>
      </c>
      <c r="PW127" s="6">
        <f>COUNTIFS(Tabela50[Country],Tabela1[[#This Row],[Country]],Tabela50[Sprint Classification],"&gt;0")</f>
        <v>0</v>
      </c>
      <c r="PX127" s="6">
        <f>COUNTIFS(Tabela50101[Country],Tabela1[[#This Row],[Country]],Tabela50101[Sprint Classification],"&gt;0")</f>
        <v>0</v>
      </c>
      <c r="PY127" s="6">
        <f>COUNTIFS(Tabela103[Country],Tabela1[[#This Row],[Country]],Tabela103[Mixed Relay Classification],"&gt;0")</f>
        <v>0</v>
      </c>
      <c r="PZ127" s="6">
        <f>COUNTIFS(Table149[Country],Tabela1[[#This Row],[Country]],Table149[Big Air Classification],"&gt;0")</f>
        <v>0</v>
      </c>
      <c r="QA127" s="6">
        <f>COUNTIFS(Table149152[Country],Tabela1[[#This Row],[Country]],Table149152[Big Air Classification],"&gt;0")</f>
        <v>0</v>
      </c>
      <c r="QB127" s="6">
        <f>COUNTIFS(Table149[Country],Tabela1[[#This Row],[Country]],Table149[Halfpipe Classification],"&gt;0")</f>
        <v>0</v>
      </c>
      <c r="QC127" s="6">
        <f>COUNTIFS(Table149152[Country],Tabela1[[#This Row],[Country]],Table149152[Halfpipe Classification],"&gt;0")</f>
        <v>0</v>
      </c>
      <c r="QD127" s="6">
        <f>COUNTIFS(Table149[Country],Tabela1[[#This Row],[Country]],Table149[Parallel Giant Slalom Classification],"&gt;0")</f>
        <v>0</v>
      </c>
      <c r="QE127" s="6">
        <f>COUNTIFS(Table149152[Country],Tabela1[[#This Row],[Country]],Table149152[Parallel Giant Slalom Classification],"&gt;0")</f>
        <v>0</v>
      </c>
      <c r="QF127" s="6">
        <f>COUNTIFS(Table149[Country],Tabela1[[#This Row],[Country]],Table149[Slopestyle Classification],"&gt;0")</f>
        <v>0</v>
      </c>
      <c r="QG127" s="6">
        <f>COUNTIFS(Table149152[Country],Tabela1[[#This Row],[Country]],Table149152[Slopestyle Classification],"&gt;0")</f>
        <v>0</v>
      </c>
      <c r="QH127" s="6">
        <f>COUNTIFS(Table149[Country],Tabela1[[#This Row],[Country]],Table149[Snowboard Cross Classification],"&gt;0")</f>
        <v>0</v>
      </c>
      <c r="QI127" s="6">
        <f>COUNTIFS(Table149152[Country],Tabela1[[#This Row],[Country]],Table149152[Snowboard Cross Classification],"&gt;0")</f>
        <v>0</v>
      </c>
      <c r="QJ127" s="6">
        <f>COUNTIFS(Table153[Country],Tabela1[[#This Row],[Country]],Table153[Mixed Team Snowboard Cross Classification],"&gt;0")</f>
        <v>0</v>
      </c>
      <c r="QK127" s="6">
        <f>COUNTIFS(Table154[Country],Tabela1[[#This Row],[Country]],Table154[500m Classification],"&gt;0")</f>
        <v>0</v>
      </c>
      <c r="QL127" s="6">
        <f>COUNTIFS(Table154157[Country],Tabela1[[#This Row],[Country]],Table154157[500m Classification],"&gt;0")</f>
        <v>0</v>
      </c>
      <c r="QM127" s="6">
        <f>COUNTIFS(Table154[Country],Tabela1[[#This Row],[Country]],Table154[1000m Classification],"&gt;0")</f>
        <v>0</v>
      </c>
      <c r="QN127" s="6">
        <f>COUNTIFS(Table154157[Country],Tabela1[[#This Row],[Country]],Table154157[1000m Classification],"&gt;0")</f>
        <v>0</v>
      </c>
      <c r="QO127" s="6">
        <f>COUNTIFS(Table154[Country],Tabela1[[#This Row],[Country]],Table154[1500m Classification],"&gt;0")</f>
        <v>0</v>
      </c>
      <c r="QP127" s="6">
        <f>COUNTIFS(Table154157[Country],Tabela1[[#This Row],[Country]],Table154157[1500m Classification],"&gt;0")</f>
        <v>0</v>
      </c>
      <c r="QQ127" s="6">
        <f>COUNTIFS(Table154157[Country],Tabela1[[#This Row],[Country]],Table154157[3000m Classification],"&gt;0")</f>
        <v>0</v>
      </c>
      <c r="QR127" s="6">
        <f>COUNTIFS(Table154[Country],Tabela1[[#This Row],[Country]],Table154[5000m Classification],"&gt;0")</f>
        <v>0</v>
      </c>
      <c r="QS127" s="6">
        <f>COUNTIFS(Table154157[Country],Tabela1[[#This Row],[Country]],Table154157[5000m Classification],"&gt;0")</f>
        <v>0</v>
      </c>
      <c r="QT127" s="6">
        <f>COUNTIFS(Table154[Country],Tabela1[[#This Row],[Country]],Table154[10000m Classification],"&gt;0")</f>
        <v>0</v>
      </c>
      <c r="QU127" s="6">
        <f>COUNTIFS(Table154[Country],Tabela1[[#This Row],[Country]],Table154[Mass Start Classification],"&gt;0")</f>
        <v>0</v>
      </c>
      <c r="QV127" s="6">
        <f>COUNTIFS(Table154157[Country],Tabela1[[#This Row],[Country]],Table154157[Mass Start Classification],"&gt;0")</f>
        <v>0</v>
      </c>
      <c r="QW127" s="6">
        <f>COUNTIFS(Table157[Country],Tabela1[[#This Row],[Country]],Table157[Men''s Pursuit Classification],"&gt;0")</f>
        <v>0</v>
      </c>
      <c r="QX127" s="6">
        <f>COUNTIFS(Table157[Country],Tabela1[[#This Row],[Country]],Table157[Women''s Pursuit Classification],"&gt;0")</f>
        <v>0</v>
      </c>
      <c r="QY127" s="4" t="s">
        <v>525</v>
      </c>
    </row>
    <row r="128" spans="1:467" x14ac:dyDescent="0.3">
      <c r="A128" s="6">
        <v>127</v>
      </c>
      <c r="B128" s="6" t="s">
        <v>466</v>
      </c>
      <c r="C128" t="e" vm="127">
        <f>IF(ISBLANK(Tabela1[[#This Row],[Image Link]]), "", _xlfn.IMAGE(Tabela1[[#This Row],[Image Link]],1,1))</f>
        <v>#VALUE!</v>
      </c>
      <c r="D128" s="6">
        <f>SUM(Tabela1[[#This Row],[Archery - Men''s Individual Recurve]:[Speed Skating - Women''s Team Pursuit]])</f>
        <v>2</v>
      </c>
      <c r="E128" s="6">
        <f>COUNTIF(Tabela1[[#This Row],[Archery - Men''s Individual Recurve]:[Speed Skating - Women''s Team Pursuit]],"&gt;0")</f>
        <v>2</v>
      </c>
      <c r="F128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28" s="6">
        <f>SUM(Tabela1[[#This Row],[Archery - Men''s Individual Recurve]:[Wrestling - Women''s Freestyle 76kg]])</f>
        <v>2</v>
      </c>
      <c r="H128" s="6">
        <f>SUM(Tabela1[[#This Row],[Alpine Skiing - Men''s Downhill]:[Speed Skating - Women''s Team Pursuit]])</f>
        <v>0</v>
      </c>
      <c r="I128" s="6">
        <f>Tabela1[[#This Row],[Summer Gold Medals]]+Tabela1[[#This Row],[Winter Gold Medals]]</f>
        <v>0</v>
      </c>
      <c r="J128" s="6">
        <f>Tabela1[[#This Row],[Summer Silver Medals]]+Tabela1[[#This Row],[Winter Silver Medals]]</f>
        <v>0</v>
      </c>
      <c r="K128" s="6">
        <f>Tabela1[[#This Row],[Summer Bronze Medals]]+Tabela1[[#This Row],[Winter Bronze Medals]]</f>
        <v>0</v>
      </c>
      <c r="L128" s="6">
        <f>SUM(Tabela1[[#This Row],[Total Gold Medals]:[Total Bronze Medals]])</f>
        <v>0</v>
      </c>
      <c r="M128" s="6"/>
      <c r="N128" s="6"/>
      <c r="O128" s="6"/>
      <c r="P128" s="6">
        <f>SUM(Tabela1[[#This Row],[Summer Gold Medals]:[Summer Bronze Medals]])</f>
        <v>0</v>
      </c>
      <c r="Q128" s="6"/>
      <c r="R128" s="6"/>
      <c r="S128" s="6"/>
      <c r="T128" s="6">
        <f>Tabela1[[#This Row],[Winter Gold Medals]]+Tabela1[[#This Row],[Winter Silver Medals]]+Tabela1[[#This Row],[Winter Bronze Medals]]</f>
        <v>0</v>
      </c>
      <c r="U128" s="7">
        <f>Tabela1[[#This Row],[Total Medals]]/Tabela1[[#This Row],[Total Quotas]]</f>
        <v>0</v>
      </c>
      <c r="V128" s="6">
        <f>COUNTIFS(Table3[Country],Tabela1[[#This Row],[Country]],Table3[Recurve Classification],"&gt;0")</f>
        <v>0</v>
      </c>
      <c r="W128" s="6">
        <f>COUNTIFS(Table33[Country],Tabela1[[#This Row],[Country]],Table33[Recurve Classification],"&gt;0")</f>
        <v>0</v>
      </c>
      <c r="X128" s="6">
        <f>COUNTIFS(Table35[Country],Tabela1[[#This Row],[Country]],Table35[Men''s Team Recurve Classification],"&gt;0")</f>
        <v>0</v>
      </c>
      <c r="Y128" s="6">
        <f>COUNTIFS(Table35[Country],Tabela1[[#This Row],[Country]],Table35[Women''s Team Recurve Classification],"&gt;0")</f>
        <v>0</v>
      </c>
      <c r="Z128" s="6">
        <f>COUNTIFS(Tabela88[Country],Tabela1[[#This Row],[Country]],Tabela88[Mixed Team Recurve Classification],"&gt;0")</f>
        <v>0</v>
      </c>
      <c r="AA128" s="6">
        <f>COUNTIFS(Table36[Country],Tabela1[[#This Row],[Country]],Table36[Classification],"&gt;0")</f>
        <v>0</v>
      </c>
      <c r="AB128" s="6">
        <f>COUNTIFS(Table37[Country],Tabela1[[#This Row],[Country]],Table37[Classification],"&gt;0")</f>
        <v>0</v>
      </c>
      <c r="AC128" s="6">
        <f>COUNTIFS(Table4[Country],Tabela1[[#This Row],[Country]],Table4[100m Classification],"&gt;0")</f>
        <v>0</v>
      </c>
      <c r="AD128" s="6">
        <f>COUNTIFS(Table5[Country],Tabela1[[#This Row],[Country]],Table5[100m Classification],"&gt;0")</f>
        <v>0</v>
      </c>
      <c r="AE128" s="6">
        <f>COUNTIFS(Table4[Country],Tabela1[[#This Row],[Country]],Table4[200m Classification],"&gt;0")</f>
        <v>0</v>
      </c>
      <c r="AF128" s="6">
        <f>COUNTIFS(Table5[Country],Tabela1[[#This Row],[Country]],Table5[200m Classification],"&gt;0")</f>
        <v>0</v>
      </c>
      <c r="AG128" s="6">
        <f>COUNTIFS(Table4[Country],Tabela1[[#This Row],[Country]],Table4[400m Classification],"&gt;0")</f>
        <v>0</v>
      </c>
      <c r="AH128" s="6">
        <f>COUNTIFS(Table5[Country],Tabela1[[#This Row],[Country]],Table5[400m Classification],"&gt;0")</f>
        <v>0</v>
      </c>
      <c r="AI128" s="6">
        <f>COUNTIFS(Table4[Country],Tabela1[[#This Row],[Country]],Table4[800m Classification],"&gt;0")</f>
        <v>0</v>
      </c>
      <c r="AJ128" s="6">
        <f>COUNTIFS(Table5[Country],Tabela1[[#This Row],[Country]],Table5[800m Classification],"&gt;0")</f>
        <v>1</v>
      </c>
      <c r="AK128" s="6">
        <f>COUNTIFS(Table4[Country],Tabela1[[#This Row],[Country]],Table4[1500m Classification],"&gt;0")</f>
        <v>0</v>
      </c>
      <c r="AL128" s="6">
        <f>COUNTIFS(Table5[Country],Tabela1[[#This Row],[Country]],Table5[1500m Classification],"&gt;0")</f>
        <v>0</v>
      </c>
      <c r="AM128" s="6">
        <f>COUNTIFS(Table4[Country],Tabela1[[#This Row],[Country]],Table4[5000m Classification],"&gt;0")</f>
        <v>0</v>
      </c>
      <c r="AN128" s="6">
        <f>COUNTIFS(Table5[Country],Tabela1[[#This Row],[Country]],Table5[5000m Classification],"&gt;0")</f>
        <v>0</v>
      </c>
      <c r="AO128" s="6">
        <f>COUNTIFS(Table4[Country],Tabela1[[#This Row],[Country]],Table4[10000m Classification],"&gt;0")</f>
        <v>0</v>
      </c>
      <c r="AP128" s="6">
        <f>COUNTIFS(Table5[Country],Tabela1[[#This Row],[Country]],Table5[10000m Classification],"&gt;0")</f>
        <v>0</v>
      </c>
      <c r="AQ128" s="6">
        <f>COUNTIFS(Table4[Country],Tabela1[[#This Row],[Country]],Table4[110m Hurdles Classification],"&gt;0")</f>
        <v>0</v>
      </c>
      <c r="AR128" s="6">
        <f>COUNTIFS(Table5[Country],Tabela1[[#This Row],[Country]],Table5[100m Hurdles Classification],"&gt;0")</f>
        <v>0</v>
      </c>
      <c r="AS128" s="6">
        <f>COUNTIFS(Table4[Country],Tabela1[[#This Row],[Country]],Table4[400m Hurdles Classification],"&gt;0")</f>
        <v>0</v>
      </c>
      <c r="AT128" s="6">
        <f>COUNTIFS(Table5[Country],Tabela1[[#This Row],[Country]],Table5[400m Hurdles Classification],"&gt;0")</f>
        <v>0</v>
      </c>
      <c r="AU128" s="6">
        <f>COUNTIFS(Table4[Country],Tabela1[[#This Row],[Country]],Table4[3000m Steeplechase Classification],"&gt;0")</f>
        <v>0</v>
      </c>
      <c r="AV128" s="6">
        <f>COUNTIFS(Table5[Country],Tabela1[[#This Row],[Country]],Table5[3000m Steeplechase Classification],"&gt;0")</f>
        <v>0</v>
      </c>
      <c r="AW128" s="6">
        <f>COUNTIFS(Table27[Country],Tabela1[[#This Row],[Country]],Table27[Men''s 4x100m Relay Classification],"&gt;0")</f>
        <v>0</v>
      </c>
      <c r="AX128" s="6">
        <f>COUNTIFS(Table27[Country],Tabela1[[#This Row],[Country]],Table27[Women''s 4x100m Relay Classification],"&gt;0")</f>
        <v>0</v>
      </c>
      <c r="AY128" s="6">
        <f>COUNTIFS(Table27[Country],Tabela1[[#This Row],[Country]],Table27[Men''s 4x400m Relay Classification],"&gt;0")</f>
        <v>0</v>
      </c>
      <c r="AZ128" s="6">
        <f>COUNTIFS(Table27[Country],Tabela1[[#This Row],[Country]],Table27[Women''s 4x400m Relay Classification],"&gt;0")</f>
        <v>0</v>
      </c>
      <c r="BA128" s="6">
        <f>COUNTIFS(Table27[Country],Tabela1[[#This Row],[Country]],Table27[Mixed 4x400m Relay Classification],"&gt;0")</f>
        <v>0</v>
      </c>
      <c r="BB128" s="6">
        <f>COUNTIFS(Table4[Country],Tabela1[[#This Row],[Country]],Table4[Marathon Classification],"&gt;0")</f>
        <v>0</v>
      </c>
      <c r="BC128" s="6">
        <f>COUNTIFS(Table5[Country],Tabela1[[#This Row],[Country]],Table5[Marathon Classification],"&gt;0")</f>
        <v>0</v>
      </c>
      <c r="BD128" s="6">
        <f>COUNTIFS(Table4[Country],Tabela1[[#This Row],[Country]],Table4[20km Race Walk Classification],"&gt;0")</f>
        <v>0</v>
      </c>
      <c r="BE128" s="6">
        <f>COUNTIFS(Table5[Country],Tabela1[[#This Row],[Country]],Table5[20km Race Walk Classification],"&gt;0")</f>
        <v>0</v>
      </c>
      <c r="BF128" s="6">
        <f>COUNTIFS(Tabela96[Country],Tabela1[[#This Row],[Country]],Tabela96[Mixed Marathon Race Walk Relay Classification],"&gt;0")</f>
        <v>0</v>
      </c>
      <c r="BG128" s="6">
        <f>COUNTIFS(Table4[Country],Tabela1[[#This Row],[Country]],Table4[Discus Throw Classification],"&gt;0")</f>
        <v>0</v>
      </c>
      <c r="BH128" s="6">
        <f>COUNTIFS(Table5[Country],Tabela1[[#This Row],[Country]],Table5[Discus Throw Classification],"&gt;0")</f>
        <v>0</v>
      </c>
      <c r="BI128" s="6">
        <f>COUNTIFS(Table4[Country],Tabela1[[#This Row],[Country]],Table4[Hammer Throw Classification],"&gt;0")</f>
        <v>0</v>
      </c>
      <c r="BJ128" s="6">
        <f>COUNTIFS(Table5[Country],Tabela1[[#This Row],[Country]],Table5[Hammer Throw Classification],"&gt;0")</f>
        <v>0</v>
      </c>
      <c r="BK128" s="6">
        <f>COUNTIFS(Table4[Country],Tabela1[[#This Row],[Country]],Table4[High Jump Classification],"&gt;0")</f>
        <v>0</v>
      </c>
      <c r="BL128" s="6">
        <f>COUNTIFS(Table5[Country],Tabela1[[#This Row],[Country]],Table5[High Jump Classification],"&gt;0")</f>
        <v>0</v>
      </c>
      <c r="BM128" s="6">
        <f>COUNTIFS(Table4[Country],Tabela1[[#This Row],[Country]],Table4[Javelin Throw Classification],"&gt;0")</f>
        <v>0</v>
      </c>
      <c r="BN128" s="6">
        <f>COUNTIFS(Table5[Country],Tabela1[[#This Row],[Country]],Table5[Javelin Throw Classification],"&gt;0")</f>
        <v>0</v>
      </c>
      <c r="BO128" s="6">
        <f>COUNTIFS(Table4[Country],Tabela1[[#This Row],[Country]],Table4[Long Jump Classification],"&gt;0")</f>
        <v>0</v>
      </c>
      <c r="BP128" s="6">
        <f>COUNTIFS(Table5[Country],Tabela1[[#This Row],[Country]],Table5[Long Jump Classification],"&gt;0")</f>
        <v>0</v>
      </c>
      <c r="BQ128" s="6">
        <f>COUNTIFS(Table4[Country],Tabela1[[#This Row],[Country]],Table4[Pole Vault Classification],"&gt;0")</f>
        <v>0</v>
      </c>
      <c r="BR128" s="6">
        <f>COUNTIFS(Table5[Country],Tabela1[[#This Row],[Country]],Table5[Pole Vault Classification],"&gt;0")</f>
        <v>0</v>
      </c>
      <c r="BS128" s="6">
        <f>COUNTIFS(Table4[Country],Tabela1[[#This Row],[Country]],Table4[Shot Put Classification],"&gt;0")</f>
        <v>0</v>
      </c>
      <c r="BT128" s="6">
        <f>COUNTIFS(Table5[Country],Tabela1[[#This Row],[Country]],Table5[Shot Put Classification],"&gt;0")</f>
        <v>0</v>
      </c>
      <c r="BU128" s="6">
        <f>COUNTIFS(Table4[Country],Tabela1[[#This Row],[Country]],Table4[Triple Jump Classification],"&gt;0")</f>
        <v>0</v>
      </c>
      <c r="BV128" s="6">
        <f>COUNTIFS(Table5[Country],Tabela1[[#This Row],[Country]],Table5[Triple Jump Classification],"&gt;0")</f>
        <v>0</v>
      </c>
      <c r="BW128" s="6">
        <f>COUNTIFS(Table4[Country],Tabela1[[#This Row],[Country]],Table4[Decathlon Classification],"&gt;0")</f>
        <v>0</v>
      </c>
      <c r="BX128" s="6">
        <f>COUNTIFS(Table5[Country],Tabela1[[#This Row],[Country]],Table5[Heptathlon Classification],"&gt;0")</f>
        <v>0</v>
      </c>
      <c r="BY128" s="6">
        <f>COUNTIFS(Table61[Country],Tabela1[[#This Row],[Country]],Table61[Classification],"&gt;0")</f>
        <v>0</v>
      </c>
      <c r="BZ128" s="6">
        <f>COUNTIFS(Table38[Country],Tabela1[[#This Row],[Country]],Table38[Classification],"&gt;0")</f>
        <v>0</v>
      </c>
      <c r="CA128" s="6">
        <f>COUNTIFS(Table39[Country],Tabela1[[#This Row],[Country]],Table39[Men''s Classification],"&gt;0")</f>
        <v>0</v>
      </c>
      <c r="CB128" s="6">
        <f>COUNTIFS(Table39[Country],Tabela1[[#This Row],[Country]],Table39[Women''s Classification],"&gt;0")</f>
        <v>0</v>
      </c>
      <c r="CC128" s="6">
        <f>COUNTIFS(Table39[Country],Tabela1[[#This Row],[Country]],Table39[Mixed Classification],"&gt;0")</f>
        <v>0</v>
      </c>
      <c r="CD128" s="6">
        <f>COUNTIFS(Table89[Country],Tabela1[[#This Row],[Country]],Table89[Men''s Classification],"&gt;0")</f>
        <v>0</v>
      </c>
      <c r="CE128" s="6">
        <f>COUNTIFS(Table89[Country],Tabela1[[#This Row],[Country]],Table89[Women''s Classification],"&gt;0")</f>
        <v>0</v>
      </c>
      <c r="CF128" s="6">
        <f>COUNTIFS(Table90[Country],Tabela1[[#This Row],[Country]],Table90[Men''s Classification],"&gt;0")</f>
        <v>0</v>
      </c>
      <c r="CG128" s="6">
        <f>COUNTIFS(Table90[Country],Tabela1[[#This Row],[Country]],Table90[Women''s Classification],"&gt;0")</f>
        <v>0</v>
      </c>
      <c r="CH128" s="6">
        <f>COUNTIFS(Table60[Country],Tabela1[[#This Row],[Country]],Table60[Men''s Classification],"&gt;0")</f>
        <v>0</v>
      </c>
      <c r="CI128" s="6">
        <f>COUNTIFS(Table60[Country],Tabela1[[#This Row],[Country]],Table60[Women''s Classification],"&gt;0")</f>
        <v>0</v>
      </c>
      <c r="CJ128" s="6">
        <f>COUNTIFS(Table6[Country],Tabela1[[#This Row],[Country]],Table6[51kg Classification],"&gt;0")</f>
        <v>0</v>
      </c>
      <c r="CK128" s="6">
        <f>COUNTIFS(Table6[Country],Tabela1[[#This Row],[Country]],Table6[57kg Classification],"&gt;0")</f>
        <v>0</v>
      </c>
      <c r="CL128" s="6">
        <f>COUNTIFS(Table6[Country],Tabela1[[#This Row],[Country]],Table6[63.5kg Classification],"&gt;0")</f>
        <v>0</v>
      </c>
      <c r="CM128" s="6">
        <f>COUNTIFS(Table6[Country],Tabela1[[#This Row],[Country]],Table6[71kg Classification],"&gt;0")</f>
        <v>0</v>
      </c>
      <c r="CN128" s="6">
        <f>COUNTIFS(Table6[Country],Tabela1[[#This Row],[Country]],Table6[80kg Classification],"&gt;0")</f>
        <v>0</v>
      </c>
      <c r="CO128" s="6">
        <f>COUNTIFS(Table6[Country],Tabela1[[#This Row],[Country]],Table6[92kg Classification],"&gt;0")</f>
        <v>0</v>
      </c>
      <c r="CP128" s="6">
        <f>COUNTIFS(Table6[Country],Tabela1[[#This Row],[Country]],Table6[Plus 92kg Classification],"&gt;0")</f>
        <v>0</v>
      </c>
      <c r="CQ128" s="6">
        <f>COUNTIFS(Table7[Country],Tabela1[[#This Row],[Country]],Table7[50kg Classification],"&gt;0")</f>
        <v>0</v>
      </c>
      <c r="CR128" s="6">
        <f>COUNTIFS(Table7[Country],Tabela1[[#This Row],[Country]],Table7[54kg Classification],"&gt;0")</f>
        <v>0</v>
      </c>
      <c r="CS128" s="6">
        <f>COUNTIFS(Table7[Country],Tabela1[[#This Row],[Country]],Table7[57kg Classification],"&gt;0")</f>
        <v>0</v>
      </c>
      <c r="CT128" s="6">
        <f>COUNTIFS(Table7[Country],Tabela1[[#This Row],[Country]],Table7[60kg Classification],"&gt;0")</f>
        <v>0</v>
      </c>
      <c r="CU128" s="6">
        <f>COUNTIFS(Table7[Country],Tabela1[[#This Row],[Country]],Table7[66kg Classification],"&gt;0")</f>
        <v>0</v>
      </c>
      <c r="CV128" s="6">
        <f>COUNTIFS(Table7[Country],Tabela1[[#This Row],[Country]],Table7[75kg Classification],"&gt;0")</f>
        <v>0</v>
      </c>
      <c r="CW128" s="6">
        <f>COUNTIFS(Tabela94[Country],Tabela1[[#This Row],[Country]],Tabela94[Classification],"&gt;0")</f>
        <v>0</v>
      </c>
      <c r="CX128" s="6">
        <f>COUNTIFS(Tabela9499[Country],Tabela1[[#This Row],[Country]],Tabela9499[Classification],"&gt;0")</f>
        <v>0</v>
      </c>
      <c r="CY128" s="6">
        <f>COUNTIFS(Tabela107[Country],Tabela1[[#This Row],[Country]],Tabela107[C1 Slalom Classification],"&gt;0")</f>
        <v>0</v>
      </c>
      <c r="CZ128" s="6">
        <f>COUNTIFS(Tabela107122[Country],Tabela1[[#This Row],[Country]],Tabela107122[C1 Slalom Classification],"&gt;0")</f>
        <v>0</v>
      </c>
      <c r="DA128" s="6">
        <f>COUNTIFS(Tabela107[Country],Tabela1[[#This Row],[Country]],Tabela107[K1 Slalom Classification],"&gt;0")</f>
        <v>0</v>
      </c>
      <c r="DB128" s="6">
        <f>COUNTIFS(Tabela107122[Country],Tabela1[[#This Row],[Country]],Tabela107122[K1 Slalom Classification],"&gt;0")</f>
        <v>0</v>
      </c>
      <c r="DC128" s="6">
        <f>COUNTIFS(Tabela107[Country],Tabela1[[#This Row],[Country]],Tabela107[Kayak Cross Slalom Classification],"&gt;0")</f>
        <v>0</v>
      </c>
      <c r="DD128" s="6">
        <f>COUNTIFS(Tabela107122[Country],Tabela1[[#This Row],[Country]],Tabela107122[Kayak Cross Slalom Classification],"&gt;0")</f>
        <v>0</v>
      </c>
      <c r="DE128" s="6">
        <f>COUNTIFS(Table8[Country],Tabela1[[#This Row],[Country]],Table8[C1 200m Classification],"&gt;0")</f>
        <v>0</v>
      </c>
      <c r="DF128" s="6">
        <f>COUNTIFS(Table40[Country],Tabela1[[#This Row],[Country]],Table40[C1 1000m Classification],"&gt;0")</f>
        <v>0</v>
      </c>
      <c r="DG128" s="6">
        <f>COUNTIFS(Table68[Country],Tabela1[[#This Row],[Country]],Table68[Men''s C2 500m Classification],"&gt;0")</f>
        <v>0</v>
      </c>
      <c r="DH128" s="6">
        <f>COUNTIFS(Table68[Country],Tabela1[[#This Row],[Country]],Table68[Women''s C2 500m Classification],"&gt;0")</f>
        <v>0</v>
      </c>
      <c r="DI128" s="6">
        <f>COUNTIFS(Table8[Country],Tabela1[[#This Row],[Country]],Table8[K1 500m Classification],"&gt;0")</f>
        <v>0</v>
      </c>
      <c r="DJ128" s="6">
        <f>COUNTIFS(Table40[Country],Tabela1[[#This Row],[Country]],Table40[K1 1000m Classification],"&gt;0")</f>
        <v>0</v>
      </c>
      <c r="DK128" s="6">
        <f>COUNTIFS(Table68[Country],Tabela1[[#This Row],[Country]],Table68[Men''s K2 500m Classification],"&gt;0")</f>
        <v>0</v>
      </c>
      <c r="DL128" s="6">
        <f>COUNTIFS(Table68[Country],Tabela1[[#This Row],[Country]],Table68[Women''s K2 500m Classification],"&gt;0")</f>
        <v>0</v>
      </c>
      <c r="DM128" s="6">
        <f>COUNTIFS(Table83[Country],Tabela1[[#This Row],[Country]],Table83[Men''s K4 500m Classification],"&gt;0")</f>
        <v>0</v>
      </c>
      <c r="DN128" s="6">
        <f>COUNTIFS(Table83[Country],Tabela1[[#This Row],[Country]],Table83[Women''s K4 500m Classification],"&gt;0")</f>
        <v>0</v>
      </c>
      <c r="DO128" s="6">
        <f>COUNTIFS(Tabela126[Country],Tabela1[[#This Row],[Country]],Tabela126[Classification],"&gt;0")</f>
        <v>0</v>
      </c>
      <c r="DP128" s="6">
        <f>COUNTIFS(Tabela126130[Country],Tabela1[[#This Row],[Country]],Tabela126130[Classification],"&gt;0")</f>
        <v>0</v>
      </c>
      <c r="DQ128" s="6">
        <f>COUNTIFS(Table70[Country],Tabela1[[#This Row],[Country]],Table70[Classification],"&gt;0")</f>
        <v>0</v>
      </c>
      <c r="DR128" s="6">
        <f>COUNTIFS(Table80[Country],Tabela1[[#This Row],[Country]],Table80[Classification],"&gt;0")</f>
        <v>0</v>
      </c>
      <c r="DS128" s="6">
        <f>COUNTIFS(Table66[Country],Tabela1[[#This Row],[Country]],Table66[Classification],"&gt;0")</f>
        <v>0</v>
      </c>
      <c r="DT128" s="6">
        <f>COUNTIFS(Table67[Country],Tabela1[[#This Row],[Country]],Table67[Classification],"&gt;0")</f>
        <v>0</v>
      </c>
      <c r="DU128" s="6">
        <f>COUNTIFS(Table69[Country],Tabela1[[#This Row],[Country]],Table69[Keirin Classification],"&gt;0")</f>
        <v>0</v>
      </c>
      <c r="DV128" s="6">
        <f>COUNTIFS(Table41[Country],Tabela1[[#This Row],[Country]],Table41[Keirin Classification],"&gt;0")</f>
        <v>0</v>
      </c>
      <c r="DW128" s="6">
        <f>COUNTIFS(Table84[Country],Tabela1[[#This Row],[Country]],Table84[Men''s Madison Classification],"&gt;0")</f>
        <v>0</v>
      </c>
      <c r="DX128" s="6">
        <f>COUNTIFS(Table84[Country],Tabela1[[#This Row],[Country]],Table84[Women''s Madison Classification],"&gt;0")</f>
        <v>0</v>
      </c>
      <c r="DY128" s="6">
        <f>COUNTIFS(Table69[Country],Tabela1[[#This Row],[Country]],Table69[Omnium Classification],"&gt;0")</f>
        <v>0</v>
      </c>
      <c r="DZ128" s="6">
        <f>COUNTIFS(Table41[Country],Tabela1[[#This Row],[Country]],Table41[Omnium Classification],"&gt;0")</f>
        <v>0</v>
      </c>
      <c r="EA128" s="6">
        <f>COUNTIFS(Table9[Country],Tabela1[[#This Row],[Country]],Table9[Road Race Classification],"&gt;0")</f>
        <v>0</v>
      </c>
      <c r="EB128" s="6">
        <f>COUNTIFS(Table14[Country],Tabela1[[#This Row],[Country]],Table14[Road Race Classification],"&gt;0")</f>
        <v>0</v>
      </c>
      <c r="EC128" s="6">
        <f>COUNTIFS(Table69[Country],Tabela1[[#This Row],[Country]],Table69[Sprint Classification],"&gt;0")</f>
        <v>0</v>
      </c>
      <c r="ED128" s="6">
        <f>COUNTIFS(Table41[Country],Tabela1[[#This Row],[Country]],Table41[Sprint Classification],"&gt;0")</f>
        <v>0</v>
      </c>
      <c r="EE128" s="6">
        <f>COUNTIFS(Table85[Country],Tabela1[[#This Row],[Country]],Table85[Men''s Sprint Classification],"&gt;0")</f>
        <v>0</v>
      </c>
      <c r="EF128" s="6">
        <f>COUNTIFS(Table85[Country],Tabela1[[#This Row],[Country]],Table85[Women''s Sprint Classification],"&gt;0")</f>
        <v>0</v>
      </c>
      <c r="EG128" s="6">
        <f>COUNTIFS(Table85[Country],Tabela1[[#This Row],[Country]],Table85[Men''s Pursuit Classification],"&gt;0")</f>
        <v>0</v>
      </c>
      <c r="EH128" s="6">
        <f>COUNTIFS(Table85[Country],Tabela1[[#This Row],[Country]],Table85[Women''s Pursuit Classification],"&gt;0")</f>
        <v>0</v>
      </c>
      <c r="EI128" s="6">
        <f>COUNTIFS(Table9[Country],Tabela1[[#This Row],[Country]],Table9[Time-Trial Classification],"&gt;0")</f>
        <v>0</v>
      </c>
      <c r="EJ128" s="6">
        <f>COUNTIFS(Table14[Country],Tabela1[[#This Row],[Country]],Table14[Time-Trial Classification],"&gt;0")</f>
        <v>0</v>
      </c>
      <c r="EK128" s="6">
        <f>COUNTIFS(Table42[Country],Tabela1[[#This Row],[Country]],Table42[Springboard Classification],"&gt;0")</f>
        <v>0</v>
      </c>
      <c r="EL128" s="6">
        <f>COUNTIFS(Table43[Country],Tabela1[[#This Row],[Country]],Table43[Springboard Classification],"&gt;0")</f>
        <v>0</v>
      </c>
      <c r="EM128" s="6">
        <f>COUNTIFS(Table42[Country],Tabela1[[#This Row],[Country]],Table42[Platform Classification],"&gt;0")</f>
        <v>0</v>
      </c>
      <c r="EN128" s="6">
        <f>COUNTIFS(Table43[Country],Tabela1[[#This Row],[Country]],Table43[Platform Classification],"&gt;0")</f>
        <v>0</v>
      </c>
      <c r="EO128" s="6">
        <f>COUNTIFS(Table86[Country],Tabela1[[#This Row],[Country]],Table86[Men''s Synchronized Springboard Classification],"&gt;0")</f>
        <v>0</v>
      </c>
      <c r="EP128" s="6">
        <f>COUNTIFS(Table86[Country],Tabela1[[#This Row],[Country]],Table86[Women''s Synchronized Springboard Classification],"&gt;0")</f>
        <v>0</v>
      </c>
      <c r="EQ128" s="6">
        <f>COUNTIFS(Table86[Country],Tabela1[[#This Row],[Country]],Table86[Men''s Synchronized Platform Classification],"&gt;0")</f>
        <v>0</v>
      </c>
      <c r="ER128" s="6">
        <f>COUNTIFS(Table86[Country],Tabela1[[#This Row],[Country]],Table86[Women''s Synchronized Platform Classification],"&gt;0")</f>
        <v>0</v>
      </c>
      <c r="ES128" s="6">
        <f>COUNTIFS(Table44[Country],Tabela1[[#This Row],[Country]],Table44[Dressage Classification],"&gt;0")</f>
        <v>0</v>
      </c>
      <c r="ET128" s="6">
        <f>COUNTIFS(Table45[Country],Tabela1[[#This Row],[Country]],Table45[Dressage Classification],"&gt;0")</f>
        <v>0</v>
      </c>
      <c r="EU128" s="6">
        <f>COUNTIFS(Table44[Country],Tabela1[[#This Row],[Country]],Table44[Eventing Classification],"&gt;0")</f>
        <v>0</v>
      </c>
      <c r="EV128" s="6">
        <f>COUNTIFS(Table45[Country],Tabela1[[#This Row],[Country]],Table45[Eventing Classification],"&gt;0")</f>
        <v>0</v>
      </c>
      <c r="EW128" s="6">
        <f>COUNTIFS(Table44[Country],Tabela1[[#This Row],[Country]],Table44[Jumping Classification],"&gt;0")</f>
        <v>0</v>
      </c>
      <c r="EX128" s="6">
        <f>COUNTIFS(Table45[Country],Tabela1[[#This Row],[Country]],Table45[Jumping Classification],"&gt;0")</f>
        <v>0</v>
      </c>
      <c r="EY128" s="6">
        <f>COUNTIFS(Table10[Country],Tabela1[[#This Row],[Country]],Table10[Épée Classification],"&gt;0")</f>
        <v>0</v>
      </c>
      <c r="EZ128" s="6">
        <f>COUNTIFS(Table11[Country],Tabela1[[#This Row],[Country]],Table11[Épée Classification],"&gt;0")</f>
        <v>0</v>
      </c>
      <c r="FA128" s="6">
        <f>COUNTIFS(Table46[Country],Tabela1[[#This Row],[Country]],Table46[Men''s Épée Classification],"&gt;0")</f>
        <v>0</v>
      </c>
      <c r="FB128" s="6">
        <f>COUNTIFS(Table46[Country],Tabela1[[#This Row],[Country]],Table46[Women''s Épée Classification],"&gt;0")</f>
        <v>0</v>
      </c>
      <c r="FC128" s="6">
        <f>COUNTIFS(Table10[Country],Tabela1[[#This Row],[Country]],Table10[Foil Classification],"&gt;0")</f>
        <v>0</v>
      </c>
      <c r="FD128" s="6">
        <f>COUNTIFS(Table11[Country],Tabela1[[#This Row],[Country]],Table11[Foil Classification],"&gt;0")</f>
        <v>0</v>
      </c>
      <c r="FE128" s="6">
        <f>COUNTIFS(Table46[Country],Tabela1[[#This Row],[Country]],Table46[Men''s Foil Classification],"&gt;0")</f>
        <v>0</v>
      </c>
      <c r="FF128" s="6">
        <f>COUNTIFS(Table46[Country],Tabela1[[#This Row],[Country]],Table46[Women''s Foil Classification],"&gt;0")</f>
        <v>0</v>
      </c>
      <c r="FG128" s="6">
        <f>COUNTIFS(Table10[Country],Tabela1[[#This Row],[Country]],Table10[Sabre Classification],"&gt;0")</f>
        <v>0</v>
      </c>
      <c r="FH128" s="6">
        <f>COUNTIFS(Table11[Country],Tabela1[[#This Row],[Country]],Table11[Sabre Classification],"&gt;0")</f>
        <v>0</v>
      </c>
      <c r="FI128" s="6">
        <f>COUNTIFS(Table46[Country],Tabela1[[#This Row],[Country]],Table46[Men''s Sabre Classification],"&gt;0")</f>
        <v>0</v>
      </c>
      <c r="FJ128" s="6">
        <f>COUNTIFS(Table46[Country],Tabela1[[#This Row],[Country]],Table46[Women''s Sabre Classification],"&gt;0")</f>
        <v>0</v>
      </c>
      <c r="FK128" s="6">
        <f>COUNTIFS(Table91[Country],Tabela1[[#This Row],[Country]],Table91[Men''s Classification],"&gt;0")</f>
        <v>0</v>
      </c>
      <c r="FL128" s="6">
        <f>COUNTIFS(Table91[Country],Tabela1[[#This Row],[Country]],Table91[Women''s Classification],"&gt;0")</f>
        <v>0</v>
      </c>
      <c r="FM128" s="6">
        <f>COUNTIFS(Table9194[Country],Tabela1[[#This Row],[Country]],Table9194[Men''s Classification],"&gt;0")</f>
        <v>0</v>
      </c>
      <c r="FN128" s="6">
        <f>COUNTIFS(Table9194[Country],Tabela1[[#This Row],[Country]],Table9194[Women''s Classification],"&gt;0")</f>
        <v>0</v>
      </c>
      <c r="FO128" s="6">
        <f>COUNTIFS(Table71[Country],Tabela1[[#This Row],[Country]],Table71[Classification],"&gt;0")</f>
        <v>0</v>
      </c>
      <c r="FP128" s="6">
        <f>COUNTIFS(Table62[Country],Tabela1[[#This Row],[Country]],Table62[Classification],"&gt;0")</f>
        <v>0</v>
      </c>
      <c r="FQ128" s="6">
        <f>COUNTIFS(Table47[Country],Tabela1[[#This Row],[Country]],Table47[All-Around Classification],"&gt;0")</f>
        <v>0</v>
      </c>
      <c r="FR128" s="6">
        <f>COUNTIFS(Table48[Country],Tabela1[[#This Row],[Country]],Table48[All-Around Classification],"&gt;0")</f>
        <v>0</v>
      </c>
      <c r="FS128" s="6">
        <f>COUNTIFS(Table81[Country],Tabela1[[#This Row],[Country]],Table81[Men''s All-Around Classification],"&gt;0")</f>
        <v>0</v>
      </c>
      <c r="FT128" s="6">
        <f>COUNTIFS(Table81[Country],Tabela1[[#This Row],[Country]],Table81[Women''s All-Around Classification],"&gt;0")</f>
        <v>0</v>
      </c>
      <c r="FU128" s="6">
        <f>COUNTIFS(Table48[Country],Tabela1[[#This Row],[Country]],Table48[Balance Beam Classification],"&gt;0")</f>
        <v>0</v>
      </c>
      <c r="FV128" s="6">
        <f>COUNTIFS(Table47[Country],Tabela1[[#This Row],[Country]],Table47[Floor Exercise Classification],"&gt;0")</f>
        <v>0</v>
      </c>
      <c r="FW128" s="6">
        <f>COUNTIFS(Table48[Country],Tabela1[[#This Row],[Country]],Table48[Floor Exercise Classification],"&gt;0")</f>
        <v>0</v>
      </c>
      <c r="FX128" s="6">
        <f>COUNTIFS(Table47[Country],Tabela1[[#This Row],[Country]],Table47[Horizontal Bar Classification],"&gt;0")</f>
        <v>0</v>
      </c>
      <c r="FY128" s="6">
        <f>COUNTIFS(Table47[Country],Tabela1[[#This Row],[Country]],Table47[Parallel Bars Classification],"&gt;0")</f>
        <v>0</v>
      </c>
      <c r="FZ128" s="6">
        <f>COUNTIFS(Table47[Country],Tabela1[[#This Row],[Country]],Table47[Pommel Horse Classification],"&gt;0")</f>
        <v>0</v>
      </c>
      <c r="GA128" s="6">
        <f>COUNTIFS(Table47[Country],Tabela1[[#This Row],[Country]],Table47[Rings Classification],"&gt;0")</f>
        <v>0</v>
      </c>
      <c r="GB128" s="6">
        <f>COUNTIFS(Tabela132[Country],Tabela1[[#This Row],[Country]],Tabela132[Classification],"&gt;0")</f>
        <v>0</v>
      </c>
      <c r="GC128" s="6">
        <f>COUNTIFS(Tabela139[Country],Tabela1[[#This Row],[Country]],Tabela139[Classification],"&gt;0")</f>
        <v>0</v>
      </c>
      <c r="GD128" s="6">
        <f>COUNTIFS(Table48[Country],Tabela1[[#This Row],[Country]],Table48[Uneven Bars Classification],"&gt;0")</f>
        <v>0</v>
      </c>
      <c r="GE128" s="6">
        <f>COUNTIFS(Table47[Country],Tabela1[[#This Row],[Country]],Table47[Vault Classification],"&gt;0")</f>
        <v>0</v>
      </c>
      <c r="GF128" s="6">
        <f>COUNTIFS(Table48[Country],Tabela1[[#This Row],[Country]],Table48[Vault Classification],"&gt;0")</f>
        <v>0</v>
      </c>
      <c r="GG128" s="6">
        <f>COUNTIFS(Table919496[Country],Tabela1[[#This Row],[Country]],Table919496[Men''s Classification],"&gt;0")</f>
        <v>0</v>
      </c>
      <c r="GH128" s="6">
        <f>COUNTIFS(Table919496[Country],Tabela1[[#This Row],[Country]],Table919496[Women''s Classification],"&gt;0")</f>
        <v>0</v>
      </c>
      <c r="GI128" s="6">
        <f>COUNTIFS(Table12[Country],Tabela1[[#This Row],[Country]],Table12[60kg Classification],"&gt;0")</f>
        <v>0</v>
      </c>
      <c r="GJ128" s="6">
        <f>COUNTIFS(Table12[Country],Tabela1[[#This Row],[Country]],Table12[66kg Classification],"&gt;0")</f>
        <v>0</v>
      </c>
      <c r="GK128" s="6">
        <f>COUNTIFS(Table12[Country],Tabela1[[#This Row],[Country]],Table12[73kg Classification],"&gt;0")</f>
        <v>0</v>
      </c>
      <c r="GL128" s="6">
        <f>COUNTIFS(Table12[Country],Tabela1[[#This Row],[Country]],Table12[81kg Classification],"&gt;0")</f>
        <v>0</v>
      </c>
      <c r="GM128" s="6">
        <f>COUNTIFS(Table12[Country],Tabela1[[#This Row],[Country]],Table12[90kg Classification],"&gt;0")</f>
        <v>0</v>
      </c>
      <c r="GN128" s="6">
        <f>COUNTIFS(Table12[Country],Tabela1[[#This Row],[Country]],Table12[100kg Classification],"&gt;0")</f>
        <v>0</v>
      </c>
      <c r="GO128" s="6">
        <f>COUNTIFS(Table12[Country],Tabela1[[#This Row],[Country]],Table12[Plus 100kg Classification],"&gt;0")</f>
        <v>0</v>
      </c>
      <c r="GP128" s="6">
        <f>COUNTIFS(Table13[Country],Tabela1[[#This Row],[Country]],Table13[48kg Classification],"&gt;0")</f>
        <v>0</v>
      </c>
      <c r="GQ128" s="6">
        <f>COUNTIFS(Table13[Country],Tabela1[[#This Row],[Country]],Table13[52kg Classification],"&gt;0")</f>
        <v>0</v>
      </c>
      <c r="GR128" s="6">
        <f>COUNTIFS(Table13[Country],Tabela1[[#This Row],[Country]],Table13[57kg Classification],"&gt;0")</f>
        <v>0</v>
      </c>
      <c r="GS128" s="6">
        <f>COUNTIFS(Table13[Country],Tabela1[[#This Row],[Country]],Table13[63kg Classification],"&gt;0")</f>
        <v>0</v>
      </c>
      <c r="GT128" s="6">
        <f>COUNTIFS(Table13[Country],Tabela1[[#This Row],[Country]],Table13[70kg Classification],"&gt;0")</f>
        <v>0</v>
      </c>
      <c r="GU128" s="6">
        <f>COUNTIFS(Table13[Country],Tabela1[[#This Row],[Country]],Table13[78kg Classification],"&gt;0")</f>
        <v>0</v>
      </c>
      <c r="GV128" s="6">
        <f>COUNTIFS(Table13[Country],Tabela1[[#This Row],[Country]],Table13[Plus 78kg Classification],"&gt;0")</f>
        <v>0</v>
      </c>
      <c r="GW128" s="6">
        <f>COUNTIFS(Table82[Country],Tabela1[[#This Row],[Country]],Table82[Mixed Classification],"&gt;0")</f>
        <v>0</v>
      </c>
      <c r="GX128" s="6">
        <f>COUNTIFS(Table51[Country],Tabela1[[#This Row],[Country]],Table51[Classification],"&gt;0")</f>
        <v>0</v>
      </c>
      <c r="GY128" s="6">
        <f>COUNTIFS(Table52[Country],Tabela1[[#This Row],[Country]],Table52[Classification],"&gt;0")</f>
        <v>0</v>
      </c>
      <c r="GZ128" s="6">
        <f>COUNTIFS(Table32[Country],Tabela1[[#This Row],[Country]],Table32[All-Around Classification],"&gt;0")</f>
        <v>0</v>
      </c>
      <c r="HA128" s="6">
        <f>COUNTIFS(Table49[Country],Tabela1[[#This Row],[Country]],Table49[All-Around Classification],"&gt;0")</f>
        <v>0</v>
      </c>
      <c r="HB128" s="6">
        <f>COUNTIFS(Table26[Country],Tabela1[[#This Row],[Country]],Table26[Single Sculls Classification],"&gt;0")</f>
        <v>0</v>
      </c>
      <c r="HC128" s="6">
        <f>COUNTIFS(Table63[Country],Tabela1[[#This Row],[Country]],Table63[Single Sculls Classification],"&gt;0")</f>
        <v>0</v>
      </c>
      <c r="HD128" s="6">
        <f>COUNTIFS(Table16[Country],Tabela1[[#This Row],[Country]],Table16[Men''s Double Sculls Classification],"&gt;0")</f>
        <v>0</v>
      </c>
      <c r="HE128" s="6">
        <f>COUNTIFS(Table16[Country],Tabela1[[#This Row],[Country]],Table16[Women''s Double Sculls Classification],"&gt;0")</f>
        <v>0</v>
      </c>
      <c r="HF128" s="6">
        <f>COUNTIFS(Table72[Country],Tabela1[[#This Row],[Country]],Table72[Men''s Quadruple Sculls Classification],"&gt;0")</f>
        <v>0</v>
      </c>
      <c r="HG128" s="6">
        <f>COUNTIFS(Table72[Country],Tabela1[[#This Row],[Country]],Table72[Women''s Quadruple Sculls Classification],"&gt;0")</f>
        <v>0</v>
      </c>
      <c r="HH128" s="6">
        <f>COUNTIFS(Table16[Country],Tabela1[[#This Row],[Country]],Table16[Men''s Coxless Pairs Classification],"&gt;0")</f>
        <v>0</v>
      </c>
      <c r="HI128" s="6">
        <f>COUNTIFS(Table16[Country],Tabela1[[#This Row],[Country]],Table16[Women''s Coxless Pairs Classification],"&gt;0")</f>
        <v>0</v>
      </c>
      <c r="HJ128" s="6">
        <f>COUNTIFS(Table72[Country],Tabela1[[#This Row],[Country]],Table72[Men''s Coxless Fours Classification],"&gt;0")</f>
        <v>0</v>
      </c>
      <c r="HK128" s="6">
        <f>COUNTIFS(Table72[Country],Tabela1[[#This Row],[Country]],Table72[Women''s Coxless Fours Classification],"&gt;0")</f>
        <v>0</v>
      </c>
      <c r="HL128" s="6">
        <f>COUNTIFS(Table72[Country],Tabela1[[#This Row],[Country]],Table72[Men''s Eights Classification],"&gt;0")</f>
        <v>0</v>
      </c>
      <c r="HM128" s="6">
        <f>COUNTIFS(Table72[Country],Tabela1[[#This Row],[Country]],Table72[Women''s Eights Classification],"&gt;0")</f>
        <v>0</v>
      </c>
      <c r="HN128" s="6">
        <f>COUNTIFS(Table16[Country],Tabela1[[#This Row],[Country]],Table16[Men''s Lwt. Double Sculls Classification],"&gt;0")</f>
        <v>0</v>
      </c>
      <c r="HO128" s="6">
        <f>COUNTIFS(Table16[Country],Tabela1[[#This Row],[Country]],Table16[Women''s Lwt. Double Sculls Classification],"&gt;0")</f>
        <v>0</v>
      </c>
      <c r="HP128" s="6">
        <f>COUNTIFS(Table91949698[Country],Tabela1[[#This Row],[Country]],Table91949698[Men''s Classification],"&gt;0")</f>
        <v>0</v>
      </c>
      <c r="HQ128" s="6">
        <f>COUNTIFS(Table91949698[Country],Tabela1[[#This Row],[Country]],Table91949698[Women''s Classification],"&gt;0")</f>
        <v>0</v>
      </c>
      <c r="HR128" s="6">
        <f>COUNTIFS(Table25[Country],Tabela1[[#This Row],[Country]],Table25[Mixed 470 Classification],"&gt;0")</f>
        <v>0</v>
      </c>
      <c r="HS128" s="6">
        <f>COUNTIFS(Table25[Country],Tabela1[[#This Row],[Country]],Table25[Men''s 49er Classification],"&gt;0")</f>
        <v>0</v>
      </c>
      <c r="HT128" s="6">
        <f>COUNTIFS(Table25[Country],Tabela1[[#This Row],[Country]],Table25[Women''s 49er FX Classification],"&gt;0")</f>
        <v>0</v>
      </c>
      <c r="HU128" s="6">
        <f>COUNTIFS(Table17[Country],Tabela1[[#This Row],[Country]],Table17[Formula Kite Classification],"&gt;0")</f>
        <v>0</v>
      </c>
      <c r="HV128" s="6">
        <f>COUNTIFS(Table18[Country],Tabela1[[#This Row],[Country]],Table18[Formula Kite Classification],"&gt;0")</f>
        <v>0</v>
      </c>
      <c r="HW128" s="6">
        <f>COUNTIFS(Table17[Country],Tabela1[[#This Row],[Country]],Table17[ILCA 7 Classification],"&gt;0")</f>
        <v>0</v>
      </c>
      <c r="HX128" s="6">
        <f>COUNTIFS(Table18[Country],Tabela1[[#This Row],[Country]],Table18[ILCA 6 Classification],"&gt;0")</f>
        <v>0</v>
      </c>
      <c r="HY128" s="6">
        <f>COUNTIFS(Table17[Country],Tabela1[[#This Row],[Country]],Table17[IQFoil Classification],"&gt;0")</f>
        <v>0</v>
      </c>
      <c r="HZ128" s="6">
        <f>COUNTIFS(Table18[Country],Tabela1[[#This Row],[Country]],Table18[IQFoil Classification],"&gt;0")</f>
        <v>0</v>
      </c>
      <c r="IA128" s="6">
        <f>COUNTIFS(Table25[Country],Tabela1[[#This Row],[Country]],Table25[Mixed Nacra 17 Classification],"&gt;0")</f>
        <v>0</v>
      </c>
      <c r="IB128" s="6">
        <f>COUNTIFS(Table53[Country],Tabela1[[#This Row],[Country]],Table53[10m Air Pistol Classification],"&gt;0")</f>
        <v>0</v>
      </c>
      <c r="IC128" s="6">
        <f>COUNTIFS(Table19[Country],Tabela1[[#This Row],[Country]],Table19[10m Air Pistol Classification],"&gt;0")</f>
        <v>0</v>
      </c>
      <c r="ID128" s="6">
        <f>COUNTIFS(Table54[Country],Tabela1[[#This Row],[Country]],Table54[Mixed 10m Air Pistol Team Classification],"&gt;0")</f>
        <v>0</v>
      </c>
      <c r="IE128" s="6">
        <f>COUNTIFS(Table53[Country],Tabela1[[#This Row],[Country]],Table53[10m Air Rifle Classification],"&gt;0")</f>
        <v>0</v>
      </c>
      <c r="IF128" s="6">
        <f>COUNTIFS(Table19[Country],Tabela1[[#This Row],[Country]],Table19[10m Air Rifle Classification],"&gt;0")</f>
        <v>0</v>
      </c>
      <c r="IG128" s="6">
        <f>COUNTIFS(Table54[Country],Tabela1[[#This Row],[Country]],Table54[Mixed 10m Air Rifle Team Classification],"&gt;0")</f>
        <v>0</v>
      </c>
      <c r="IH128" s="6">
        <f>COUNTIFS(Table53[Country],Tabela1[[#This Row],[Country]],Table53[25m Rapid Fire Pistol Classification],"&gt;0")</f>
        <v>0</v>
      </c>
      <c r="II128" s="6">
        <f>COUNTIFS(Table19[Country],Tabela1[[#This Row],[Country]],Table19[25m Pistol Classification],"&gt;0")</f>
        <v>0</v>
      </c>
      <c r="IJ128" s="6">
        <f>COUNTIFS(Table53[Country],Tabela1[[#This Row],[Country]],Table53[50m Rifle 3 Positions Classification],"&gt;0")</f>
        <v>0</v>
      </c>
      <c r="IK128" s="6">
        <f>COUNTIFS(Table19[Country],Tabela1[[#This Row],[Country]],Table19[50m Rifle 3 Positions Classification],"&gt;0")</f>
        <v>0</v>
      </c>
      <c r="IL128" s="6">
        <f>COUNTIFS(Table53[Country],Tabela1[[#This Row],[Country]],Table53[Skeet Classification],"&gt;0")</f>
        <v>1</v>
      </c>
      <c r="IM128" s="6">
        <f>COUNTIFS(Table19[Country],Tabela1[[#This Row],[Country]],Table19[Skeet Classification],"&gt;0")</f>
        <v>0</v>
      </c>
      <c r="IN128" s="6">
        <f>COUNTIFS(Table54[Country],Tabela1[[#This Row],[Country]],Table54[Mixed Skeet Team Classification],"&gt;0")</f>
        <v>0</v>
      </c>
      <c r="IO128" s="6">
        <f>COUNTIFS(Table53[Country],Tabela1[[#This Row],[Country]],Table53[Trap Classification],"&gt;0")</f>
        <v>0</v>
      </c>
      <c r="IP128" s="6">
        <f>COUNTIFS(Table19[Country],Tabela1[[#This Row],[Country]],Table19[Trap Classification],"&gt;0")</f>
        <v>0</v>
      </c>
      <c r="IQ128" s="6">
        <f>COUNTIFS(Table73[Country],Tabela1[[#This Row],[Country]],Table73[Park Classification],"&gt;0")</f>
        <v>0</v>
      </c>
      <c r="IR128" s="6">
        <f>COUNTIFS(Table74[Country],Tabela1[[#This Row],[Country]],Table74[Park Classification],"&gt;0")</f>
        <v>0</v>
      </c>
      <c r="IS128" s="6">
        <f>COUNTIFS(Table73[Country],Tabela1[[#This Row],[Country]],Table73[Street Classification],"&gt;0")</f>
        <v>0</v>
      </c>
      <c r="IT128" s="6">
        <f>COUNTIFS(Table74[Country],Tabela1[[#This Row],[Country]],Table74[Street Classification],"&gt;0")</f>
        <v>0</v>
      </c>
      <c r="IU128" s="6">
        <f>COUNTIFS(Table75[Country],Tabela1[[#This Row],[Country]],Table75[Boulder and Lead Classification],"&gt;0")</f>
        <v>0</v>
      </c>
      <c r="IV128" s="6">
        <f>COUNTIFS(Table76[Country],Tabela1[[#This Row],[Country]],Table76[Boulder and Lead Classification],"&gt;0")</f>
        <v>0</v>
      </c>
      <c r="IW128" s="6">
        <f>COUNTIFS(Table75[Country],Tabela1[[#This Row],[Country]],Table75[Speed Classification],"&gt;0")</f>
        <v>0</v>
      </c>
      <c r="IX128" s="6">
        <f>COUNTIFS(Table76[Country],Tabela1[[#This Row],[Country]],Table76[Speed Classification],"&gt;0")</f>
        <v>0</v>
      </c>
      <c r="IY128" s="6">
        <f>COUNTIFS(Table64[Country],Tabela1[[#This Row],[Country]],Table64[Shortboard Classification],"&gt;0")</f>
        <v>0</v>
      </c>
      <c r="IZ128" s="6">
        <f>COUNTIFS(Table77[Country],Tabela1[[#This Row],[Country]],Table77[Shortboard Classification],"&gt;0")</f>
        <v>0</v>
      </c>
      <c r="JA128" s="6">
        <f>COUNTIFS(Table20[Country],Tabela1[[#This Row],[Country]],Table20[50m Freestyle Classification],"&gt;0")</f>
        <v>0</v>
      </c>
      <c r="JB128" s="6">
        <f>COUNTIFS(Table21[Country],Tabela1[[#This Row],[Country]],Table21[50m Freestyle Classification],"&gt;0")</f>
        <v>0</v>
      </c>
      <c r="JC128" s="6">
        <f>COUNTIFS(Table20[Country],Tabela1[[#This Row],[Country]],Table20[100m Freestyle Classification],"&gt;0")</f>
        <v>0</v>
      </c>
      <c r="JD128" s="6">
        <f>COUNTIFS(Table21[Country],Tabela1[[#This Row],[Country]],Table21[100m Freestyle Classification],"&gt;0")</f>
        <v>0</v>
      </c>
      <c r="JE128" s="6">
        <f>COUNTIFS(Table20[Country],Tabela1[[#This Row],[Country]],Table20[200m Freestyle Classification],"&gt;0")</f>
        <v>0</v>
      </c>
      <c r="JF128" s="6">
        <f>COUNTIFS(Table21[Country],Tabela1[[#This Row],[Country]],Table21[200m Freestyle Classification],"&gt;0")</f>
        <v>0</v>
      </c>
      <c r="JG128" s="6">
        <f>COUNTIFS(Table20[Country],Tabela1[[#This Row],[Country]],Table20[400m Freestyle Classification],"&gt;0")</f>
        <v>0</v>
      </c>
      <c r="JH128" s="6">
        <f>COUNTIFS(Table21[Country],Tabela1[[#This Row],[Country]],Table21[400m Freestyle Classification],"&gt;0")</f>
        <v>0</v>
      </c>
      <c r="JI128" s="6">
        <f>COUNTIFS(Table20[Country],Tabela1[[#This Row],[Country]],Table20[800m Freestyle Classification],"&gt;0")</f>
        <v>0</v>
      </c>
      <c r="JJ128" s="6">
        <f>COUNTIFS(Table21[Country],Tabela1[[#This Row],[Country]],Table21[800m Freestyle Classification],"&gt;0")</f>
        <v>0</v>
      </c>
      <c r="JK128" s="6">
        <f>COUNTIFS(Table20[Country],Tabela1[[#This Row],[Country]],Table20[1500m Freestyle Classification],"&gt;0")</f>
        <v>0</v>
      </c>
      <c r="JL128" s="6">
        <f>COUNTIFS(Table21[Country],Tabela1[[#This Row],[Country]],Table21[1500m Freestyle Classification],"&gt;0")</f>
        <v>0</v>
      </c>
      <c r="JM128" s="6">
        <f>COUNTIFS(Table20[Country],Tabela1[[#This Row],[Country]],Table20[100m Backstroke Classification],"&gt;0")</f>
        <v>0</v>
      </c>
      <c r="JN128" s="6">
        <f>COUNTIFS(Table21[Country],Tabela1[[#This Row],[Country]],Table21[100m Backstroke Classification],"&gt;0")</f>
        <v>0</v>
      </c>
      <c r="JO128" s="6">
        <f>COUNTIFS(Table20[Country],Tabela1[[#This Row],[Country]],Table20[200m Backstroke Classification],"&gt;0")</f>
        <v>0</v>
      </c>
      <c r="JP128" s="6">
        <f>COUNTIFS(Table21[Country],Tabela1[[#This Row],[Country]],Table21[200m Backstroke Classification],"&gt;0")</f>
        <v>0</v>
      </c>
      <c r="JQ128" s="6">
        <f>COUNTIFS(Table20[Country],Tabela1[[#This Row],[Country]],Table20[100m Breaststroke Classification],"&gt;0")</f>
        <v>0</v>
      </c>
      <c r="JR128" s="6">
        <f>COUNTIFS(Table21[Country],Tabela1[[#This Row],[Country]],Table21[100m Breaststroke Classification],"&gt;0")</f>
        <v>0</v>
      </c>
      <c r="JS128" s="6">
        <f>COUNTIFS(Table20[Country],Tabela1[[#This Row],[Country]],Table20[200m Breaststroke Classification],"&gt;0")</f>
        <v>0</v>
      </c>
      <c r="JT128" s="6">
        <f>COUNTIFS(Table21[Country],Tabela1[[#This Row],[Country]],Table21[200m Breaststroke Classification],"&gt;0")</f>
        <v>0</v>
      </c>
      <c r="JU128" s="6">
        <f>COUNTIFS(Table20[Country],Tabela1[[#This Row],[Country]],Table20[100m Butterfly Classification],"&gt;0")</f>
        <v>0</v>
      </c>
      <c r="JV128" s="6">
        <f>COUNTIFS(Table21[Country],Tabela1[[#This Row],[Country]],Table21[100m Butterfly Classification],"&gt;0")</f>
        <v>0</v>
      </c>
      <c r="JW128" s="6">
        <f>COUNTIFS(Table20[Country],Tabela1[[#This Row],[Country]],Table20[200m Butterfly Classification],"&gt;0")</f>
        <v>0</v>
      </c>
      <c r="JX128" s="6">
        <f>COUNTIFS(Table21[Country],Tabela1[[#This Row],[Country]],Table21[200m Butterfly Classification],"&gt;0")</f>
        <v>0</v>
      </c>
      <c r="JY128" s="6">
        <f>COUNTIFS(Table20[Country],Tabela1[[#This Row],[Country]],Table20[200m Medley Classification],"&gt;0")</f>
        <v>0</v>
      </c>
      <c r="JZ128" s="6">
        <f>COUNTIFS(Table21[Country],Tabela1[[#This Row],[Country]],Table21[200m Medley Classification],"&gt;0")</f>
        <v>0</v>
      </c>
      <c r="KA128" s="6">
        <f>COUNTIFS(Table20[Country],Tabela1[[#This Row],[Country]],Table20[400m Medley Classification],"&gt;0")</f>
        <v>0</v>
      </c>
      <c r="KB128" s="6">
        <f>COUNTIFS(Table21[Country],Tabela1[[#This Row],[Country]],Table21[400m Medley Classification],"&gt;0")</f>
        <v>0</v>
      </c>
      <c r="KC128" s="6">
        <f>COUNTIFS(Table78[Country],Tabela1[[#This Row],[Country]],Table78[Men''s 4x100m Freestyle Relay Classification],"&gt;0")</f>
        <v>0</v>
      </c>
      <c r="KD128" s="6">
        <f>COUNTIFS(Table78[Country],Tabela1[[#This Row],[Country]],Table78[Women''s 4x100m Freestyle Relay Classification],"&gt;0")</f>
        <v>0</v>
      </c>
      <c r="KE128" s="6">
        <f>COUNTIFS(Table78[Country],Tabela1[[#This Row],[Country]],Table78[Men''s 4x200m Freestyle Relay Classification],"&gt;0")</f>
        <v>0</v>
      </c>
      <c r="KF128" s="6">
        <f>COUNTIFS(Table78[Country],Tabela1[[#This Row],[Country]],Table78[Women''s 4x200m Freestyle Relay Classification],"&gt;0")</f>
        <v>0</v>
      </c>
      <c r="KG128" s="6">
        <f>COUNTIFS(Table78[Country],Tabela1[[#This Row],[Country]],Table78[Men''s 4x100m Medley Relay Classification],"&gt;0")</f>
        <v>0</v>
      </c>
      <c r="KH128" s="6">
        <f>COUNTIFS(Table78[Country],Tabela1[[#This Row],[Country]],Table78[Women''s 4x100m Medley Relay Classification],"&gt;0")</f>
        <v>0</v>
      </c>
      <c r="KI128" s="6">
        <f>COUNTIFS(Table78[Country],Tabela1[[#This Row],[Country]],Table78[Mixed 4x100m Medley Relay Classification],"&gt;0")</f>
        <v>0</v>
      </c>
      <c r="KJ128" s="6">
        <f>COUNTIFS(Table20[Country],Tabela1[[#This Row],[Country]],Table20[10km Open Water Classification],"&gt;0")</f>
        <v>0</v>
      </c>
      <c r="KK128" s="6">
        <f>COUNTIFS(Table21[Country],Tabela1[[#This Row],[Country]],Table21[10km Open Water Classification],"&gt;0")</f>
        <v>0</v>
      </c>
      <c r="KL128" s="6">
        <f>COUNTIFS(Table22[Country],Tabela1[[#This Row],[Country]],Table22[Classification],"&gt;0")</f>
        <v>0</v>
      </c>
      <c r="KM128" s="6">
        <f>COUNTIFS(Table30[Country],Tabela1[[#This Row],[Country]],Table30[Classification],"&gt;0")</f>
        <v>0</v>
      </c>
      <c r="KN128" s="6">
        <f>COUNTIFS(Table55[Country],Tabela1[[#This Row],[Country]],Table55[Men''s Classification],"&gt;0")</f>
        <v>0</v>
      </c>
      <c r="KO128" s="6">
        <f>COUNTIFS(Table55[Country],Tabela1[[#This Row],[Country]],Table55[Women''s Classification],"&gt;0")</f>
        <v>0</v>
      </c>
      <c r="KP128" s="6">
        <f>COUNTIFS(Table56[Country],Tabela1[[#This Row],[Country]],Table56[Mixed Classification],"&gt;0")</f>
        <v>0</v>
      </c>
      <c r="KQ128" s="6">
        <f>COUNTIFS(Table29[Country],Tabela1[[#This Row],[Country]],Table29[58kg Classification],"&gt;0")</f>
        <v>0</v>
      </c>
      <c r="KR128" s="6">
        <f>COUNTIFS(Table29[Country],Tabela1[[#This Row],[Country]],Table29[68kg Classification],"&gt;0")</f>
        <v>0</v>
      </c>
      <c r="KS128" s="6">
        <f>COUNTIFS(Table29[Country],Tabela1[[#This Row],[Country]],Table29[80kg Classification],"&gt;0")</f>
        <v>0</v>
      </c>
      <c r="KT128" s="6">
        <f>COUNTIFS(Table29[Country],Tabela1[[#This Row],[Country]],Table29[Plus 80kg Classification],"&gt;0")</f>
        <v>0</v>
      </c>
      <c r="KU128" s="6">
        <f>COUNTIFS(Table34[Country],Tabela1[[#This Row],[Country]],Table34[49kg Classification],"&gt;0")</f>
        <v>0</v>
      </c>
      <c r="KV128" s="6">
        <f>COUNTIFS(Table34[Country],Tabela1[[#This Row],[Country]],Table34[57kg Classification],"&gt;0")</f>
        <v>0</v>
      </c>
      <c r="KW128" s="6">
        <f>COUNTIFS(Table34[Country],Tabela1[[#This Row],[Country]],Table34[67kg Classification],"&gt;0")</f>
        <v>0</v>
      </c>
      <c r="KX128" s="6">
        <f>COUNTIFS(Table34[Country],Tabela1[[#This Row],[Country]],Table34[Plus 67kg Classification],"&gt;0")</f>
        <v>0</v>
      </c>
      <c r="KY128" s="6">
        <f>COUNTIFS(Table57[Country],Tabela1[[#This Row],[Country]],Table57[Classification],"&gt;0")</f>
        <v>0</v>
      </c>
      <c r="KZ128" s="6">
        <f>COUNTIFS(Table58[Country],Tabela1[[#This Row],[Country]],Table58[Classification],"&gt;0")</f>
        <v>0</v>
      </c>
      <c r="LA128" s="6">
        <f>COUNTIFS(Table79[Country],Tabela1[[#This Row],[Country]],Table79[Men''s Classification],"&gt;0")</f>
        <v>0</v>
      </c>
      <c r="LB128" s="6">
        <f>COUNTIFS(Table79[Country],Tabela1[[#This Row],[Country]],Table79[Women''s Classification],"&gt;0")</f>
        <v>0</v>
      </c>
      <c r="LC128" s="6">
        <f>COUNTIFS(Table79[Country],Tabela1[[#This Row],[Country]],Table79[Mixed Classification],"&gt;0")</f>
        <v>0</v>
      </c>
      <c r="LD128" s="6">
        <f>COUNTIFS(Table65[Country],Tabela1[[#This Row],[Country]],Table65[Classification],"&gt;0")</f>
        <v>0</v>
      </c>
      <c r="LE128" s="6">
        <f>COUNTIFS(Table59[Country],Tabela1[[#This Row],[Country]],Table59[Classification],"&gt;0")</f>
        <v>0</v>
      </c>
      <c r="LF128" s="6">
        <f>COUNTIFS(Table87[Country],Tabela1[[#This Row],[Country]],Table87[Mixed Relay Classification],"&gt;0")</f>
        <v>0</v>
      </c>
      <c r="LG128" s="6">
        <f>COUNTIFS(Table91949698100[Country],Tabela1[[#This Row],[Country]],Table91949698100[Men''s Classification],"&gt;0")</f>
        <v>0</v>
      </c>
      <c r="LH128" s="6">
        <f>COUNTIFS(Table91949698100[Country],Tabela1[[#This Row],[Country]],Table91949698100[Women''s Classification],"&gt;0")</f>
        <v>0</v>
      </c>
      <c r="LI128" s="6">
        <f>COUNTIFS(Table91949698100102[Country],Tabela1[[#This Row],[Country]],Table91949698100102[Men''s Classification],"&gt;0")</f>
        <v>0</v>
      </c>
      <c r="LJ128" s="6">
        <f>COUNTIFS(Table91949698100102[Country],Tabela1[[#This Row],[Country]],Table91949698100102[Women''s Classification],"&gt;0")</f>
        <v>0</v>
      </c>
      <c r="LK128" s="6">
        <f>COUNTIFS(Table23[Country],Tabela1[[#This Row],[Country]],Table23[61kg Classification],"&gt;0")</f>
        <v>0</v>
      </c>
      <c r="LL128" s="6">
        <f>COUNTIFS(Table23[Country],Tabela1[[#This Row],[Country]],Table23[73kg Classification],"&gt;0")</f>
        <v>0</v>
      </c>
      <c r="LM128" s="6">
        <f>COUNTIFS(Table23[Country],Tabela1[[#This Row],[Country]],Table23[89kg Classification],"&gt;0")</f>
        <v>0</v>
      </c>
      <c r="LN128" s="6">
        <f>COUNTIFS(Table23[Country],Tabela1[[#This Row],[Country]],Table23[102kg Classification],"&gt;0")</f>
        <v>0</v>
      </c>
      <c r="LO128" s="6">
        <f>COUNTIFS(Table23[Country],Tabela1[[#This Row],[Country]],Table23[Plus 102kg Classification],"&gt;0")</f>
        <v>0</v>
      </c>
      <c r="LP128" s="6">
        <f>COUNTIFS(Table28[Country],Tabela1[[#This Row],[Country]],Table28[49kg Classification],"&gt;0")</f>
        <v>0</v>
      </c>
      <c r="LQ128" s="6">
        <f>COUNTIFS(Table28[Country],Tabela1[[#This Row],[Country]],Table28[59kg Classification],"&gt;0")</f>
        <v>0</v>
      </c>
      <c r="LR128" s="6">
        <f>COUNTIFS(Table28[Country],Tabela1[[#This Row],[Country]],Table28[71kg Classification],"&gt;0")</f>
        <v>0</v>
      </c>
      <c r="LS128" s="6">
        <f>COUNTIFS(Table28[Country],Tabela1[[#This Row],[Country]],Table28[81kg Classification],"&gt;0")</f>
        <v>0</v>
      </c>
      <c r="LT128" s="6">
        <f>COUNTIFS(Table28[Country],Tabela1[[#This Row],[Country]],Table28[Plus 81kg Classification],"&gt;0")</f>
        <v>0</v>
      </c>
      <c r="LU128" s="6">
        <f>COUNTIFS(Table24[Country],Tabela1[[#This Row],[Country]],Table24[Freestyle 57kg Classification],"&gt;0")</f>
        <v>0</v>
      </c>
      <c r="LV128" s="6">
        <f>COUNTIFS(Table24[Country],Tabela1[[#This Row],[Country]],Table24[Freestyle 65kg Classification],"&gt;0")</f>
        <v>0</v>
      </c>
      <c r="LW128" s="6">
        <f>COUNTIFS(Table24[Country],Tabela1[[#This Row],[Country]],Table24[Freestyle 74kg Classification],"&gt;0")</f>
        <v>0</v>
      </c>
      <c r="LX128" s="6">
        <f>COUNTIFS(Table24[Country],Tabela1[[#This Row],[Country]],Table24[Freestyle 86kg Classification],"&gt;0")</f>
        <v>0</v>
      </c>
      <c r="LY128" s="6">
        <f>COUNTIFS(Table24[Country],Tabela1[[#This Row],[Country]],Table24[Freestyle 97kg Classification],"&gt;0")</f>
        <v>0</v>
      </c>
      <c r="LZ128" s="6">
        <f>COUNTIFS(Table24[Country],Tabela1[[#This Row],[Country]],Table24[Freestyle 125kg Classification],"&gt;0")</f>
        <v>0</v>
      </c>
      <c r="MA128" s="6">
        <f>COUNTIFS(Table24[Country],Tabela1[[#This Row],[Country]],Table24[Greco-Roman 60kg Classification],"&gt;0")</f>
        <v>0</v>
      </c>
      <c r="MB128" s="6">
        <f>COUNTIFS(Table24[Country],Tabela1[[#This Row],[Country]],Table24[Greco-Roman 67kg Classification],"&gt;0")</f>
        <v>0</v>
      </c>
      <c r="MC128" s="6">
        <f>COUNTIFS(Table24[Country],Tabela1[[#This Row],[Country]],Table24[Greco-Roman 77kg Classification],"&gt;0")</f>
        <v>0</v>
      </c>
      <c r="MD128" s="6">
        <f>COUNTIFS(Table24[Country],Tabela1[[#This Row],[Country]],Table24[Greco-Roman 87kg Classification],"&gt;0")</f>
        <v>0</v>
      </c>
      <c r="ME128" s="6">
        <f>COUNTIFS(Table24[Country],Tabela1[[#This Row],[Country]],Table24[Greco-Roman 97kg Classification],"&gt;0")</f>
        <v>0</v>
      </c>
      <c r="MF128" s="6">
        <f>COUNTIFS(Table24[Country],Tabela1[[#This Row],[Country]],Table24[Greco-Roman 130kg Classification],"&gt;0")</f>
        <v>0</v>
      </c>
      <c r="MG128" s="6">
        <f>COUNTIFS(Table31[Country],Tabela1[[#This Row],[Country]],Table31[50kg Classification],"&gt;0")</f>
        <v>0</v>
      </c>
      <c r="MH128" s="6">
        <f>COUNTIFS(Table31[Country],Tabela1[[#This Row],[Country]],Table31[53kg Classification],"&gt;0")</f>
        <v>0</v>
      </c>
      <c r="MI128" s="6">
        <f>COUNTIFS(Table31[Country],Tabela1[[#This Row],[Country]],Table31[57kg Classification],"&gt;0")</f>
        <v>0</v>
      </c>
      <c r="MJ128" s="6">
        <f>COUNTIFS(Table31[Country],Tabela1[[#This Row],[Country]],Table31[62kg Classification],"&gt;0")</f>
        <v>0</v>
      </c>
      <c r="MK128" s="6">
        <f>COUNTIFS(Table31[Country],Tabela1[[#This Row],[Country]],Table31[68kg Classification],"&gt;0")</f>
        <v>0</v>
      </c>
      <c r="ML128" s="6">
        <f>COUNTIFS(Table31[Country],Tabela1[[#This Row],[Country]],Table31[76kg Classification],"&gt;0")</f>
        <v>0</v>
      </c>
      <c r="MM128" s="6">
        <f>COUNTIFS(Table102[Country],Tabela1[[#This Row],[Country]],Table102[Downhill Classification],"&gt;0")</f>
        <v>0</v>
      </c>
      <c r="MN128" s="6">
        <f>COUNTIFS(Table102105[Country],Tabela1[[#This Row],[Country]],Table102105[Downhill Classification],"&gt;0")</f>
        <v>0</v>
      </c>
      <c r="MO128" s="6">
        <f>COUNTIFS(Table102[Country],Tabela1[[#This Row],[Country]],Table102[Giant Slalom Classification],"&gt;0")</f>
        <v>0</v>
      </c>
      <c r="MP128" s="6">
        <f>COUNTIFS(Table102105[Country],Tabela1[[#This Row],[Country]],Table102105[Giant Slalom Classification],"&gt;0")</f>
        <v>0</v>
      </c>
      <c r="MQ128" s="6">
        <f>COUNTIFS(Table102[Country],Tabela1[[#This Row],[Country]],Table102[Slalom Classification],"&gt;0")</f>
        <v>0</v>
      </c>
      <c r="MR128" s="6">
        <f>COUNTIFS(Table102105[Country],Tabela1[[#This Row],[Country]],Table102105[Slalom Classification],"&gt;0")</f>
        <v>0</v>
      </c>
      <c r="MS128" s="6">
        <f>COUNTIFS(Table102[Country],Tabela1[[#This Row],[Country]],Table102[Super-G Classification],"&gt;0")</f>
        <v>0</v>
      </c>
      <c r="MT128" s="6">
        <f>COUNTIFS(Table102105[Country],Tabela1[[#This Row],[Country]],Table102105[Super-G Classification],"&gt;0")</f>
        <v>0</v>
      </c>
      <c r="MU128" s="6">
        <f>COUNTIFS(Table105[Country],Tabela1[[#This Row],[Country]],Table105[Men''s Combined Classification],"&gt;0")</f>
        <v>0</v>
      </c>
      <c r="MV128" s="6">
        <f>COUNTIFS(Table105[Country],Tabela1[[#This Row],[Country]],Table105[Women''s Combined Classification],"&gt;0")</f>
        <v>0</v>
      </c>
      <c r="MW128" s="6">
        <f>COUNTIFS(Table106[Country],Tabela1[[#This Row],[Country]],Table106[Individual Classification],"&gt;0")</f>
        <v>0</v>
      </c>
      <c r="MX128" s="6">
        <f>COUNTIFS(Table106109[Country],Tabela1[[#This Row],[Country]],Table106109[Individual Classification],"&gt;0")</f>
        <v>0</v>
      </c>
      <c r="MY128" s="6">
        <f>COUNTIFS(Table106[Country],Tabela1[[#This Row],[Country]],Table106[Mass Start Classification],"&gt;0")</f>
        <v>0</v>
      </c>
      <c r="MZ128" s="6">
        <f>COUNTIFS(Table106109[Country],Tabela1[[#This Row],[Country]],Table106109[Mass Start Classification],"&gt;0")</f>
        <v>0</v>
      </c>
      <c r="NA128" s="6">
        <f>COUNTIFS(Table106[Country],Tabela1[[#This Row],[Country]],Table106[Pursuit Classification],"&gt;0")</f>
        <v>0</v>
      </c>
      <c r="NB128" s="6">
        <f>COUNTIFS(Table106109[Country],Tabela1[[#This Row],[Country]],Table106109[Pursuit Classification],"&gt;0")</f>
        <v>0</v>
      </c>
      <c r="NC128" s="6">
        <f>COUNTIFS(Table106[Country],Tabela1[[#This Row],[Country]],Table106[Sprint Classification],"&gt;0")</f>
        <v>0</v>
      </c>
      <c r="ND128" s="6">
        <f>COUNTIFS(Table106109[Country],Tabela1[[#This Row],[Country]],Table106109[Sprint Classification],"&gt;0")</f>
        <v>0</v>
      </c>
      <c r="NE128" s="6">
        <f>COUNTIFS(Table109[Country],Tabela1[[#This Row],[Country]],Table109[Men''s Relay Classification],"&gt;0")</f>
        <v>0</v>
      </c>
      <c r="NF128" s="6">
        <f>COUNTIFS(Table109[Country],Tabela1[[#This Row],[Country]],Table109[Women''s Relay Classification],"&gt;0")</f>
        <v>0</v>
      </c>
      <c r="NG128" s="6">
        <f>COUNTIFS(Table109[Country],Tabela1[[#This Row],[Country]],Table109[Mixed Relay Classification],"&gt;0")</f>
        <v>0</v>
      </c>
      <c r="NH128" s="6">
        <f>COUNTIFS(Table110[Country],Tabela1[[#This Row],[Country]],Table110[Monobob Classification],"&gt;0")</f>
        <v>0</v>
      </c>
      <c r="NI128" s="6">
        <f>COUNTIFS(Table111[Country],Tabela1[[#This Row],[Country]],Table111[Men''s Classification],"&gt;0")</f>
        <v>0</v>
      </c>
      <c r="NJ128" s="6">
        <f>COUNTIFS(Table111[Country],Tabela1[[#This Row],[Country]],Table111[Women''s Classification],"&gt;0")</f>
        <v>0</v>
      </c>
      <c r="NK128" s="6">
        <f>COUNTIFS(Table112[Country],Tabela1[[#This Row],[Country]],Table112[Men''s Four Classification],"&gt;0")</f>
        <v>0</v>
      </c>
      <c r="NL128" s="6">
        <f>COUNTIFS(Table113[Country],Tabela1[[#This Row],[Country]],Table113[Classical Classification],"&gt;0")</f>
        <v>0</v>
      </c>
      <c r="NM128" s="6">
        <f>COUNTIFS(Table113116[Country],Tabela1[[#This Row],[Country]],Table113116[Classical Classification],"&gt;0")</f>
        <v>0</v>
      </c>
      <c r="NN128" s="6">
        <f>COUNTIFS(Table113[Country],Tabela1[[#This Row],[Country]],Table113[Freestyle Classification],"&gt;0")</f>
        <v>0</v>
      </c>
      <c r="NO128" s="6">
        <f>COUNTIFS(Table113116[Country],Tabela1[[#This Row],[Country]],Table113116[Freestyle Classification],"&gt;0")</f>
        <v>0</v>
      </c>
      <c r="NP128" s="6">
        <f>COUNTIFS(Table117[Country],Tabela1[[#This Row],[Country]],Table117[Men''s Relay Classification],"&gt;0")</f>
        <v>0</v>
      </c>
      <c r="NQ128" s="6">
        <f>COUNTIFS(Table117[Country],Tabela1[[#This Row],[Country]],Table117[Women''s Relay Classification],"&gt;0")</f>
        <v>0</v>
      </c>
      <c r="NR128" s="6">
        <f>COUNTIFS(Table113[Country],Tabela1[[#This Row],[Country]],Table113[Skiathlon Classification],"&gt;0")</f>
        <v>0</v>
      </c>
      <c r="NS128" s="6">
        <f>COUNTIFS(Table113116[Country],Tabela1[[#This Row],[Country]],Table113116[Skiathlon Classification],"&gt;0")</f>
        <v>0</v>
      </c>
      <c r="NT128" s="6">
        <f>COUNTIFS(Table113[Country],Tabela1[[#This Row],[Country]],Table113[Sprint Classification],"&gt;0")</f>
        <v>0</v>
      </c>
      <c r="NU128" s="6">
        <f>COUNTIFS(Table113116[Country],Tabela1[[#This Row],[Country]],Table113116[Sprint Classification],"&gt;0")</f>
        <v>0</v>
      </c>
      <c r="NV128" s="6">
        <f>COUNTIFS(Table116[Country],Tabela1[[#This Row],[Country]],Table116[Men''s Team Sprint Classification],"&gt;0")</f>
        <v>0</v>
      </c>
      <c r="NW128" s="6">
        <f>COUNTIFS(Table116[Country],Tabela1[[#This Row],[Country]],Table116[Women''s Team Sprint Classification],"&gt;0")</f>
        <v>0</v>
      </c>
      <c r="NX128" s="6">
        <f>COUNTIFS(Table119[Country],Tabela1[[#This Row],[Country]],Table119[Men''s Classification],"&gt;0")</f>
        <v>0</v>
      </c>
      <c r="NY128" s="6">
        <f>COUNTIFS(Table119[Country],Tabela1[[#This Row],[Country]],Table119[Women''s Classification],"&gt;0")</f>
        <v>0</v>
      </c>
      <c r="NZ128" s="6">
        <f>COUNTIFS(Table118[Country],Tabela1[[#This Row],[Country]],Table118[Mixed Classification],"&gt;0")</f>
        <v>0</v>
      </c>
      <c r="OA128" s="6">
        <f>COUNTIFS(Table120[Country],Tabela1[[#This Row],[Country]],Table120[Classification],"&gt;0")</f>
        <v>0</v>
      </c>
      <c r="OB128" s="6">
        <f>COUNTIFS(Table120123[Country],Tabela1[[#This Row],[Country]],Table120123[Classification],"&gt;0")</f>
        <v>0</v>
      </c>
      <c r="OC128" s="6">
        <f>COUNTIFS(Table123[Country],Tabela1[[#This Row],[Country]],Table123[Ice Dance Classification],"&gt;0")</f>
        <v>0</v>
      </c>
      <c r="OD128" s="6">
        <f>COUNTIFS(Table123[Country],Tabela1[[#This Row],[Country]],Table123[Pair Skating Classification],"&gt;0")</f>
        <v>0</v>
      </c>
      <c r="OE128" s="6">
        <f>COUNTIFS(Table124[Country],Tabela1[[#This Row],[Country]],Table124[Mixed Classification],"&gt;0")</f>
        <v>0</v>
      </c>
      <c r="OF128" s="6">
        <f>COUNTIFS(Table125[Country],Tabela1[[#This Row],[Country]],Table125[Aerials Classification],"&gt;0")</f>
        <v>0</v>
      </c>
      <c r="OG128" s="6">
        <f>COUNTIFS(Table125128[Country],Tabela1[[#This Row],[Country]],Table125128[Aerials Classification],"&gt;0")</f>
        <v>0</v>
      </c>
      <c r="OH128" s="6">
        <f>COUNTIFS(Table128[Country],Tabela1[[#This Row],[Country]],Table128[Mixed Aerials Classification],"&gt;0")</f>
        <v>0</v>
      </c>
      <c r="OI128" s="6">
        <f>COUNTIFS(Table125[Country],Tabela1[[#This Row],[Country]],Table125[Big Air Classification],"&gt;0")</f>
        <v>0</v>
      </c>
      <c r="OJ128" s="6">
        <f>COUNTIFS(Table125128[Country],Tabela1[[#This Row],[Country]],Table125128[Big Air Classification],"&gt;0")</f>
        <v>0</v>
      </c>
      <c r="OK128" s="6">
        <f>COUNTIFS(Table125[Country],Tabela1[[#This Row],[Country]],Table125[Dual Moguls Classification],"&gt;0")</f>
        <v>0</v>
      </c>
      <c r="OL128" s="6">
        <f>COUNTIFS(Table125128[Country],Tabela1[[#This Row],[Country]],Table125128[Dual Moguls Classification],"&gt;0")</f>
        <v>0</v>
      </c>
      <c r="OM128" s="6">
        <f>COUNTIFS(Table125[Country],Tabela1[[#This Row],[Country]],Table125[Halfpipe Classification],"&gt;0")</f>
        <v>0</v>
      </c>
      <c r="ON128" s="6">
        <f>COUNTIFS(Table125128[Country],Tabela1[[#This Row],[Country]],Table125128[Halfpipe Classification],"&gt;0")</f>
        <v>0</v>
      </c>
      <c r="OO128" s="6">
        <f>COUNTIFS(Table125[Country],Tabela1[[#This Row],[Country]],Table125[Moguls Classification],"&gt;0")</f>
        <v>0</v>
      </c>
      <c r="OP128" s="6">
        <f>COUNTIFS(Table125128[Country],Tabela1[[#This Row],[Country]],Table125128[Moguls Classification],"&gt;0")</f>
        <v>0</v>
      </c>
      <c r="OQ128" s="6">
        <f>COUNTIFS(Table125[Country],Tabela1[[#This Row],[Country]],Table125[Ski Cross Classification],"&gt;0")</f>
        <v>0</v>
      </c>
      <c r="OR128" s="6">
        <f>COUNTIFS(Table125128[Country],Tabela1[[#This Row],[Country]],Table125128[Ski Cross Classification],"&gt;0")</f>
        <v>0</v>
      </c>
      <c r="OS128" s="6">
        <f>COUNTIFS(Table125[Country],Tabela1[[#This Row],[Country]],Table125[Slopestyle Classification],"&gt;0")</f>
        <v>0</v>
      </c>
      <c r="OT128" s="6">
        <f>COUNTIFS(Table125128[Country],Tabela1[[#This Row],[Country]],Table125128[Slopestyle Classification],"&gt;0")</f>
        <v>0</v>
      </c>
      <c r="OU128" s="6">
        <f>COUNTIFS(Table119131[Country],Tabela1[[#This Row],[Country]],Table119131[Men''s Classification],"&gt;0")</f>
        <v>0</v>
      </c>
      <c r="OV128" s="6">
        <f>COUNTIFS(Table119131[Country],Tabela1[[#This Row],[Country]],Table119131[Women''s Classification],"&gt;0")</f>
        <v>0</v>
      </c>
      <c r="OW128" s="6">
        <f>COUNTIFS(Table131[Country],Tabela1[[#This Row],[Country]],Table131[Classification],"&gt;0")</f>
        <v>0</v>
      </c>
      <c r="OX128" s="6">
        <f>COUNTIFS(Table131134[Country],Tabela1[[#This Row],[Country]],Table131134[Classification],"&gt;0")</f>
        <v>0</v>
      </c>
      <c r="OY128" s="6">
        <f>COUNTIFS(Table134[Country],Tabela1[[#This Row],[Country]],Table134[Men''s Classification],"&gt;0")</f>
        <v>0</v>
      </c>
      <c r="OZ128" s="6">
        <f>COUNTIFS(Table134[Country],Tabela1[[#This Row],[Country]],Table134[Women''s Classification],"&gt;0")</f>
        <v>0</v>
      </c>
      <c r="PA128" s="6">
        <f>COUNTIFS(Table135[Country],Tabela1[[#This Row],[Country]],Table135[Mixed Relay Classification],"&gt;0")</f>
        <v>0</v>
      </c>
      <c r="PB128" s="6">
        <f>COUNTIFS(Table136[Country],Tabela1[[#This Row],[Country]],Table136[Individual Classification],"&gt;0")</f>
        <v>0</v>
      </c>
      <c r="PC128" s="6">
        <f>COUNTIFS(Table136[Country],Tabela1[[#This Row],[Country]],Table136[Sprint Classification],"&gt;0")</f>
        <v>0</v>
      </c>
      <c r="PD128" s="6">
        <f>COUNTIFS(Table137[Country],Tabela1[[#This Row],[Country]],Table137[Men''s Team Sprint Large Hill Classification],"&gt;0")</f>
        <v>0</v>
      </c>
      <c r="PE128" s="6">
        <f>COUNTIFS(Table138[Country],Tabela1[[#This Row],[Country]],Table138[500m Classification],"&gt;0")</f>
        <v>0</v>
      </c>
      <c r="PF128" s="6">
        <f>COUNTIFS(Table138141[Country],Tabela1[[#This Row],[Country]],Table138141[500m Classification],"&gt;0")</f>
        <v>0</v>
      </c>
      <c r="PG128" s="6">
        <f>COUNTIFS(Table138[Country],Tabela1[[#This Row],[Country]],Table138[1000m Classification],"&gt;0")</f>
        <v>0</v>
      </c>
      <c r="PH128" s="6">
        <f>COUNTIFS(Table138141[Country],Tabela1[[#This Row],[Country]],Table138141[1000m Classification],"&gt;0")</f>
        <v>0</v>
      </c>
      <c r="PI128" s="6">
        <f>COUNTIFS(Table138[Country],Tabela1[[#This Row],[Country]],Table138[1500m Classification],"&gt;0")</f>
        <v>0</v>
      </c>
      <c r="PJ128" s="6">
        <f>COUNTIFS(Table138141[Country],Tabela1[[#This Row],[Country]],Table138141[1500m Classification],"&gt;0")</f>
        <v>0</v>
      </c>
      <c r="PK128" s="6">
        <f>COUNTIFS(Table141[Country],Tabela1[[#This Row],[Country]],Table141[Men''s 5000m Relay Classification],"&gt;0")</f>
        <v>0</v>
      </c>
      <c r="PL128" s="6">
        <f>COUNTIFS(Table141[Country],Tabela1[[#This Row],[Country]],Table141[Women''s 3000m Relay Classification],"&gt;0")</f>
        <v>0</v>
      </c>
      <c r="PM128" s="6">
        <f>COUNTIFS(Table141[Country],Tabela1[[#This Row],[Country]],Table141[Mixed 2000m Relay Classification],"&gt;0")</f>
        <v>0</v>
      </c>
      <c r="PN128" s="6">
        <f>COUNTIFS(Table142[Country],Tabela1[[#This Row],[Country]],Table142[Classification],"&gt;0")</f>
        <v>0</v>
      </c>
      <c r="PO128" s="6">
        <f>COUNTIFS(Table142145[Country],Tabela1[[#This Row],[Country]],Table142145[Classification],"&gt;0")</f>
        <v>0</v>
      </c>
      <c r="PP128" s="6">
        <f>COUNTIFS(Tabela15[Country],Tabela1[[#This Row],[Country]],Tabela15[Mixed Team Classification],"&gt;0")</f>
        <v>0</v>
      </c>
      <c r="PQ128" s="6">
        <f>COUNTIFS(Table145[Country],Tabela1[[#This Row],[Country]],Table145[Large Hill Classification],"&gt;0")</f>
        <v>0</v>
      </c>
      <c r="PR128" s="6">
        <f>COUNTIFS(Table145[Country],Tabela1[[#This Row],[Country]],Table145[Normal Hill Classification],"&gt;0")</f>
        <v>0</v>
      </c>
      <c r="PS128" s="6">
        <f>COUNTIFS(Table145148[Country],Tabela1[[#This Row],[Country]],Table145148[Large Hill Classification],"&gt;0")</f>
        <v>0</v>
      </c>
      <c r="PT128" s="6">
        <f>COUNTIFS(Table145148[Country],Tabela1[[#This Row],[Country]],Table145148[Normal Hill Classification],"&gt;0")</f>
        <v>0</v>
      </c>
      <c r="PU128" s="6">
        <f>COUNTIFS(Table148[Country],Tabela1[[#This Row],[Country]],Table148[Men''s Super Team Classification],"&gt;0")</f>
        <v>0</v>
      </c>
      <c r="PV128" s="6">
        <f>COUNTIFS(Tabela114[Country],Tabela1[[#This Row],[Country]],Tabela114[Mixed Normal Hill Classification],"&gt;0")</f>
        <v>0</v>
      </c>
      <c r="PW128" s="6">
        <f>COUNTIFS(Tabela50[Country],Tabela1[[#This Row],[Country]],Tabela50[Sprint Classification],"&gt;0")</f>
        <v>0</v>
      </c>
      <c r="PX128" s="6">
        <f>COUNTIFS(Tabela50101[Country],Tabela1[[#This Row],[Country]],Tabela50101[Sprint Classification],"&gt;0")</f>
        <v>0</v>
      </c>
      <c r="PY128" s="6">
        <f>COUNTIFS(Tabela103[Country],Tabela1[[#This Row],[Country]],Tabela103[Mixed Relay Classification],"&gt;0")</f>
        <v>0</v>
      </c>
      <c r="PZ128" s="6">
        <f>COUNTIFS(Table149[Country],Tabela1[[#This Row],[Country]],Table149[Big Air Classification],"&gt;0")</f>
        <v>0</v>
      </c>
      <c r="QA128" s="6">
        <f>COUNTIFS(Table149152[Country],Tabela1[[#This Row],[Country]],Table149152[Big Air Classification],"&gt;0")</f>
        <v>0</v>
      </c>
      <c r="QB128" s="6">
        <f>COUNTIFS(Table149[Country],Tabela1[[#This Row],[Country]],Table149[Halfpipe Classification],"&gt;0")</f>
        <v>0</v>
      </c>
      <c r="QC128" s="6">
        <f>COUNTIFS(Table149152[Country],Tabela1[[#This Row],[Country]],Table149152[Halfpipe Classification],"&gt;0")</f>
        <v>0</v>
      </c>
      <c r="QD128" s="6">
        <f>COUNTIFS(Table149[Country],Tabela1[[#This Row],[Country]],Table149[Parallel Giant Slalom Classification],"&gt;0")</f>
        <v>0</v>
      </c>
      <c r="QE128" s="6">
        <f>COUNTIFS(Table149152[Country],Tabela1[[#This Row],[Country]],Table149152[Parallel Giant Slalom Classification],"&gt;0")</f>
        <v>0</v>
      </c>
      <c r="QF128" s="6">
        <f>COUNTIFS(Table149[Country],Tabela1[[#This Row],[Country]],Table149[Slopestyle Classification],"&gt;0")</f>
        <v>0</v>
      </c>
      <c r="QG128" s="6">
        <f>COUNTIFS(Table149152[Country],Tabela1[[#This Row],[Country]],Table149152[Slopestyle Classification],"&gt;0")</f>
        <v>0</v>
      </c>
      <c r="QH128" s="6">
        <f>COUNTIFS(Table149[Country],Tabela1[[#This Row],[Country]],Table149[Snowboard Cross Classification],"&gt;0")</f>
        <v>0</v>
      </c>
      <c r="QI128" s="6">
        <f>COUNTIFS(Table149152[Country],Tabela1[[#This Row],[Country]],Table149152[Snowboard Cross Classification],"&gt;0")</f>
        <v>0</v>
      </c>
      <c r="QJ128" s="6">
        <f>COUNTIFS(Table153[Country],Tabela1[[#This Row],[Country]],Table153[Mixed Team Snowboard Cross Classification],"&gt;0")</f>
        <v>0</v>
      </c>
      <c r="QK128" s="6">
        <f>COUNTIFS(Table154[Country],Tabela1[[#This Row],[Country]],Table154[500m Classification],"&gt;0")</f>
        <v>0</v>
      </c>
      <c r="QL128" s="6">
        <f>COUNTIFS(Table154157[Country],Tabela1[[#This Row],[Country]],Table154157[500m Classification],"&gt;0")</f>
        <v>0</v>
      </c>
      <c r="QM128" s="6">
        <f>COUNTIFS(Table154[Country],Tabela1[[#This Row],[Country]],Table154[1000m Classification],"&gt;0")</f>
        <v>0</v>
      </c>
      <c r="QN128" s="6">
        <f>COUNTIFS(Table154157[Country],Tabela1[[#This Row],[Country]],Table154157[1000m Classification],"&gt;0")</f>
        <v>0</v>
      </c>
      <c r="QO128" s="6">
        <f>COUNTIFS(Table154[Country],Tabela1[[#This Row],[Country]],Table154[1500m Classification],"&gt;0")</f>
        <v>0</v>
      </c>
      <c r="QP128" s="6">
        <f>COUNTIFS(Table154157[Country],Tabela1[[#This Row],[Country]],Table154157[1500m Classification],"&gt;0")</f>
        <v>0</v>
      </c>
      <c r="QQ128" s="6">
        <f>COUNTIFS(Table154157[Country],Tabela1[[#This Row],[Country]],Table154157[3000m Classification],"&gt;0")</f>
        <v>0</v>
      </c>
      <c r="QR128" s="6">
        <f>COUNTIFS(Table154[Country],Tabela1[[#This Row],[Country]],Table154[5000m Classification],"&gt;0")</f>
        <v>0</v>
      </c>
      <c r="QS128" s="6">
        <f>COUNTIFS(Table154157[Country],Tabela1[[#This Row],[Country]],Table154157[5000m Classification],"&gt;0")</f>
        <v>0</v>
      </c>
      <c r="QT128" s="6">
        <f>COUNTIFS(Table154[Country],Tabela1[[#This Row],[Country]],Table154[10000m Classification],"&gt;0")</f>
        <v>0</v>
      </c>
      <c r="QU128" s="6">
        <f>COUNTIFS(Table154[Country],Tabela1[[#This Row],[Country]],Table154[Mass Start Classification],"&gt;0")</f>
        <v>0</v>
      </c>
      <c r="QV128" s="6">
        <f>COUNTIFS(Table154157[Country],Tabela1[[#This Row],[Country]],Table154157[Mass Start Classification],"&gt;0")</f>
        <v>0</v>
      </c>
      <c r="QW128" s="6">
        <f>COUNTIFS(Table157[Country],Tabela1[[#This Row],[Country]],Table157[Men''s Pursuit Classification],"&gt;0")</f>
        <v>0</v>
      </c>
      <c r="QX128" s="6">
        <f>COUNTIFS(Table157[Country],Tabela1[[#This Row],[Country]],Table157[Women''s Pursuit Classification],"&gt;0")</f>
        <v>0</v>
      </c>
      <c r="QY128" s="4" t="s">
        <v>467</v>
      </c>
    </row>
    <row r="129" spans="1:467" x14ac:dyDescent="0.3">
      <c r="A129" s="6">
        <v>128</v>
      </c>
      <c r="B129" s="6" t="s">
        <v>488</v>
      </c>
      <c r="C129" t="e" vm="128">
        <f>IF(ISBLANK(Tabela1[[#This Row],[Image Link]]), "", _xlfn.IMAGE(Tabela1[[#This Row],[Image Link]],1,1))</f>
        <v>#VALUE!</v>
      </c>
      <c r="D129" s="6">
        <f>SUM(Tabela1[[#This Row],[Archery - Men''s Individual Recurve]:[Speed Skating - Women''s Team Pursuit]])</f>
        <v>2</v>
      </c>
      <c r="E129" s="6">
        <f>COUNTIF(Tabela1[[#This Row],[Archery - Men''s Individual Recurve]:[Speed Skating - Women''s Team Pursuit]],"&gt;0")</f>
        <v>2</v>
      </c>
      <c r="F129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29" s="6">
        <f>SUM(Tabela1[[#This Row],[Archery - Men''s Individual Recurve]:[Wrestling - Women''s Freestyle 76kg]])</f>
        <v>2</v>
      </c>
      <c r="H129" s="6">
        <f>SUM(Tabela1[[#This Row],[Alpine Skiing - Men''s Downhill]:[Speed Skating - Women''s Team Pursuit]])</f>
        <v>0</v>
      </c>
      <c r="I129" s="6">
        <f>Tabela1[[#This Row],[Summer Gold Medals]]+Tabela1[[#This Row],[Winter Gold Medals]]</f>
        <v>0</v>
      </c>
      <c r="J129" s="6">
        <f>Tabela1[[#This Row],[Summer Silver Medals]]+Tabela1[[#This Row],[Winter Silver Medals]]</f>
        <v>0</v>
      </c>
      <c r="K129" s="6">
        <f>Tabela1[[#This Row],[Summer Bronze Medals]]+Tabela1[[#This Row],[Winter Bronze Medals]]</f>
        <v>0</v>
      </c>
      <c r="L129" s="6">
        <f>SUM(Tabela1[[#This Row],[Total Gold Medals]:[Total Bronze Medals]])</f>
        <v>0</v>
      </c>
      <c r="M129" s="6"/>
      <c r="N129" s="6"/>
      <c r="O129" s="6"/>
      <c r="P129" s="6">
        <f>SUM(Tabela1[[#This Row],[Summer Gold Medals]:[Summer Bronze Medals]])</f>
        <v>0</v>
      </c>
      <c r="Q129" s="6"/>
      <c r="R129" s="6"/>
      <c r="S129" s="6"/>
      <c r="T129" s="6">
        <f>Tabela1[[#This Row],[Winter Gold Medals]]+Tabela1[[#This Row],[Winter Silver Medals]]+Tabela1[[#This Row],[Winter Bronze Medals]]</f>
        <v>0</v>
      </c>
      <c r="U129" s="7">
        <f>Tabela1[[#This Row],[Total Medals]]/Tabela1[[#This Row],[Total Quotas]]</f>
        <v>0</v>
      </c>
      <c r="V129" s="6">
        <f>COUNTIFS(Table3[Country],Tabela1[[#This Row],[Country]],Table3[Recurve Classification],"&gt;0")</f>
        <v>0</v>
      </c>
      <c r="W129" s="6">
        <f>COUNTIFS(Table33[Country],Tabela1[[#This Row],[Country]],Table33[Recurve Classification],"&gt;0")</f>
        <v>0</v>
      </c>
      <c r="X129" s="6">
        <f>COUNTIFS(Table35[Country],Tabela1[[#This Row],[Country]],Table35[Men''s Team Recurve Classification],"&gt;0")</f>
        <v>0</v>
      </c>
      <c r="Y129" s="6">
        <f>COUNTIFS(Table35[Country],Tabela1[[#This Row],[Country]],Table35[Women''s Team Recurve Classification],"&gt;0")</f>
        <v>0</v>
      </c>
      <c r="Z129" s="6">
        <f>COUNTIFS(Tabela88[Country],Tabela1[[#This Row],[Country]],Tabela88[Mixed Team Recurve Classification],"&gt;0")</f>
        <v>0</v>
      </c>
      <c r="AA129" s="6">
        <f>COUNTIFS(Table36[Country],Tabela1[[#This Row],[Country]],Table36[Classification],"&gt;0")</f>
        <v>0</v>
      </c>
      <c r="AB129" s="6">
        <f>COUNTIFS(Table37[Country],Tabela1[[#This Row],[Country]],Table37[Classification],"&gt;0")</f>
        <v>0</v>
      </c>
      <c r="AC129" s="6">
        <f>COUNTIFS(Table4[Country],Tabela1[[#This Row],[Country]],Table4[100m Classification],"&gt;0")</f>
        <v>0</v>
      </c>
      <c r="AD129" s="6">
        <f>COUNTIFS(Table5[Country],Tabela1[[#This Row],[Country]],Table5[100m Classification],"&gt;0")</f>
        <v>0</v>
      </c>
      <c r="AE129" s="6">
        <f>COUNTIFS(Table4[Country],Tabela1[[#This Row],[Country]],Table4[200m Classification],"&gt;0")</f>
        <v>0</v>
      </c>
      <c r="AF129" s="6">
        <f>COUNTIFS(Table5[Country],Tabela1[[#This Row],[Country]],Table5[200m Classification],"&gt;0")</f>
        <v>0</v>
      </c>
      <c r="AG129" s="6">
        <f>COUNTIFS(Table4[Country],Tabela1[[#This Row],[Country]],Table4[400m Classification],"&gt;0")</f>
        <v>0</v>
      </c>
      <c r="AH129" s="6">
        <f>COUNTIFS(Table5[Country],Tabela1[[#This Row],[Country]],Table5[400m Classification],"&gt;0")</f>
        <v>0</v>
      </c>
      <c r="AI129" s="6">
        <f>COUNTIFS(Table4[Country],Tabela1[[#This Row],[Country]],Table4[800m Classification],"&gt;0")</f>
        <v>0</v>
      </c>
      <c r="AJ129" s="6">
        <f>COUNTIFS(Table5[Country],Tabela1[[#This Row],[Country]],Table5[800m Classification],"&gt;0")</f>
        <v>0</v>
      </c>
      <c r="AK129" s="6">
        <f>COUNTIFS(Table4[Country],Tabela1[[#This Row],[Country]],Table4[1500m Classification],"&gt;0")</f>
        <v>0</v>
      </c>
      <c r="AL129" s="6">
        <f>COUNTIFS(Table5[Country],Tabela1[[#This Row],[Country]],Table5[1500m Classification],"&gt;0")</f>
        <v>0</v>
      </c>
      <c r="AM129" s="6">
        <f>COUNTIFS(Table4[Country],Tabela1[[#This Row],[Country]],Table4[5000m Classification],"&gt;0")</f>
        <v>0</v>
      </c>
      <c r="AN129" s="6">
        <f>COUNTIFS(Table5[Country],Tabela1[[#This Row],[Country]],Table5[5000m Classification],"&gt;0")</f>
        <v>0</v>
      </c>
      <c r="AO129" s="6">
        <f>COUNTIFS(Table4[Country],Tabela1[[#This Row],[Country]],Table4[10000m Classification],"&gt;0")</f>
        <v>0</v>
      </c>
      <c r="AP129" s="6">
        <f>COUNTIFS(Table5[Country],Tabela1[[#This Row],[Country]],Table5[10000m Classification],"&gt;0")</f>
        <v>0</v>
      </c>
      <c r="AQ129" s="6">
        <f>COUNTIFS(Table4[Country],Tabela1[[#This Row],[Country]],Table4[110m Hurdles Classification],"&gt;0")</f>
        <v>0</v>
      </c>
      <c r="AR129" s="6">
        <f>COUNTIFS(Table5[Country],Tabela1[[#This Row],[Country]],Table5[100m Hurdles Classification],"&gt;0")</f>
        <v>0</v>
      </c>
      <c r="AS129" s="6">
        <f>COUNTIFS(Table4[Country],Tabela1[[#This Row],[Country]],Table4[400m Hurdles Classification],"&gt;0")</f>
        <v>0</v>
      </c>
      <c r="AT129" s="6">
        <f>COUNTIFS(Table5[Country],Tabela1[[#This Row],[Country]],Table5[400m Hurdles Classification],"&gt;0")</f>
        <v>0</v>
      </c>
      <c r="AU129" s="6">
        <f>COUNTIFS(Table4[Country],Tabela1[[#This Row],[Country]],Table4[3000m Steeplechase Classification],"&gt;0")</f>
        <v>0</v>
      </c>
      <c r="AV129" s="6">
        <f>COUNTIFS(Table5[Country],Tabela1[[#This Row],[Country]],Table5[3000m Steeplechase Classification],"&gt;0")</f>
        <v>0</v>
      </c>
      <c r="AW129" s="6">
        <f>COUNTIFS(Table27[Country],Tabela1[[#This Row],[Country]],Table27[Men''s 4x100m Relay Classification],"&gt;0")</f>
        <v>0</v>
      </c>
      <c r="AX129" s="6">
        <f>COUNTIFS(Table27[Country],Tabela1[[#This Row],[Country]],Table27[Women''s 4x100m Relay Classification],"&gt;0")</f>
        <v>0</v>
      </c>
      <c r="AY129" s="6">
        <f>COUNTIFS(Table27[Country],Tabela1[[#This Row],[Country]],Table27[Men''s 4x400m Relay Classification],"&gt;0")</f>
        <v>0</v>
      </c>
      <c r="AZ129" s="6">
        <f>COUNTIFS(Table27[Country],Tabela1[[#This Row],[Country]],Table27[Women''s 4x400m Relay Classification],"&gt;0")</f>
        <v>0</v>
      </c>
      <c r="BA129" s="6">
        <f>COUNTIFS(Table27[Country],Tabela1[[#This Row],[Country]],Table27[Mixed 4x400m Relay Classification],"&gt;0")</f>
        <v>0</v>
      </c>
      <c r="BB129" s="6">
        <f>COUNTIFS(Table4[Country],Tabela1[[#This Row],[Country]],Table4[Marathon Classification],"&gt;0")</f>
        <v>0</v>
      </c>
      <c r="BC129" s="6">
        <f>COUNTIFS(Table5[Country],Tabela1[[#This Row],[Country]],Table5[Marathon Classification],"&gt;0")</f>
        <v>0</v>
      </c>
      <c r="BD129" s="6">
        <f>COUNTIFS(Table4[Country],Tabela1[[#This Row],[Country]],Table4[20km Race Walk Classification],"&gt;0")</f>
        <v>0</v>
      </c>
      <c r="BE129" s="6">
        <f>COUNTIFS(Table5[Country],Tabela1[[#This Row],[Country]],Table5[20km Race Walk Classification],"&gt;0")</f>
        <v>0</v>
      </c>
      <c r="BF129" s="6">
        <f>COUNTIFS(Tabela96[Country],Tabela1[[#This Row],[Country]],Tabela96[Mixed Marathon Race Walk Relay Classification],"&gt;0")</f>
        <v>0</v>
      </c>
      <c r="BG129" s="6">
        <f>COUNTIFS(Table4[Country],Tabela1[[#This Row],[Country]],Table4[Discus Throw Classification],"&gt;0")</f>
        <v>0</v>
      </c>
      <c r="BH129" s="6">
        <f>COUNTIFS(Table5[Country],Tabela1[[#This Row],[Country]],Table5[Discus Throw Classification],"&gt;0")</f>
        <v>0</v>
      </c>
      <c r="BI129" s="6">
        <f>COUNTIFS(Table4[Country],Tabela1[[#This Row],[Country]],Table4[Hammer Throw Classification],"&gt;0")</f>
        <v>0</v>
      </c>
      <c r="BJ129" s="6">
        <f>COUNTIFS(Table5[Country],Tabela1[[#This Row],[Country]],Table5[Hammer Throw Classification],"&gt;0")</f>
        <v>0</v>
      </c>
      <c r="BK129" s="6">
        <f>COUNTIFS(Table4[Country],Tabela1[[#This Row],[Country]],Table4[High Jump Classification],"&gt;0")</f>
        <v>0</v>
      </c>
      <c r="BL129" s="6">
        <f>COUNTIFS(Table5[Country],Tabela1[[#This Row],[Country]],Table5[High Jump Classification],"&gt;0")</f>
        <v>0</v>
      </c>
      <c r="BM129" s="6">
        <f>COUNTIFS(Table4[Country],Tabela1[[#This Row],[Country]],Table4[Javelin Throw Classification],"&gt;0")</f>
        <v>0</v>
      </c>
      <c r="BN129" s="6">
        <f>COUNTIFS(Table5[Country],Tabela1[[#This Row],[Country]],Table5[Javelin Throw Classification],"&gt;0")</f>
        <v>0</v>
      </c>
      <c r="BO129" s="6">
        <f>COUNTIFS(Table4[Country],Tabela1[[#This Row],[Country]],Table4[Long Jump Classification],"&gt;0")</f>
        <v>0</v>
      </c>
      <c r="BP129" s="6">
        <f>COUNTIFS(Table5[Country],Tabela1[[#This Row],[Country]],Table5[Long Jump Classification],"&gt;0")</f>
        <v>0</v>
      </c>
      <c r="BQ129" s="6">
        <f>COUNTIFS(Table4[Country],Tabela1[[#This Row],[Country]],Table4[Pole Vault Classification],"&gt;0")</f>
        <v>0</v>
      </c>
      <c r="BR129" s="6">
        <f>COUNTIFS(Table5[Country],Tabela1[[#This Row],[Country]],Table5[Pole Vault Classification],"&gt;0")</f>
        <v>0</v>
      </c>
      <c r="BS129" s="6">
        <f>COUNTIFS(Table4[Country],Tabela1[[#This Row],[Country]],Table4[Shot Put Classification],"&gt;0")</f>
        <v>0</v>
      </c>
      <c r="BT129" s="6">
        <f>COUNTIFS(Table5[Country],Tabela1[[#This Row],[Country]],Table5[Shot Put Classification],"&gt;0")</f>
        <v>0</v>
      </c>
      <c r="BU129" s="6">
        <f>COUNTIFS(Table4[Country],Tabela1[[#This Row],[Country]],Table4[Triple Jump Classification],"&gt;0")</f>
        <v>0</v>
      </c>
      <c r="BV129" s="6">
        <f>COUNTIFS(Table5[Country],Tabela1[[#This Row],[Country]],Table5[Triple Jump Classification],"&gt;0")</f>
        <v>0</v>
      </c>
      <c r="BW129" s="6">
        <f>COUNTIFS(Table4[Country],Tabela1[[#This Row],[Country]],Table4[Decathlon Classification],"&gt;0")</f>
        <v>0</v>
      </c>
      <c r="BX129" s="6">
        <f>COUNTIFS(Table5[Country],Tabela1[[#This Row],[Country]],Table5[Heptathlon Classification],"&gt;0")</f>
        <v>0</v>
      </c>
      <c r="BY129" s="6">
        <f>COUNTIFS(Table61[Country],Tabela1[[#This Row],[Country]],Table61[Classification],"&gt;0")</f>
        <v>0</v>
      </c>
      <c r="BZ129" s="6">
        <f>COUNTIFS(Table38[Country],Tabela1[[#This Row],[Country]],Table38[Classification],"&gt;0")</f>
        <v>0</v>
      </c>
      <c r="CA129" s="6">
        <f>COUNTIFS(Table39[Country],Tabela1[[#This Row],[Country]],Table39[Men''s Classification],"&gt;0")</f>
        <v>0</v>
      </c>
      <c r="CB129" s="6">
        <f>COUNTIFS(Table39[Country],Tabela1[[#This Row],[Country]],Table39[Women''s Classification],"&gt;0")</f>
        <v>0</v>
      </c>
      <c r="CC129" s="6">
        <f>COUNTIFS(Table39[Country],Tabela1[[#This Row],[Country]],Table39[Mixed Classification],"&gt;0")</f>
        <v>0</v>
      </c>
      <c r="CD129" s="6">
        <f>COUNTIFS(Table89[Country],Tabela1[[#This Row],[Country]],Table89[Men''s Classification],"&gt;0")</f>
        <v>0</v>
      </c>
      <c r="CE129" s="6">
        <f>COUNTIFS(Table89[Country],Tabela1[[#This Row],[Country]],Table89[Women''s Classification],"&gt;0")</f>
        <v>0</v>
      </c>
      <c r="CF129" s="6">
        <f>COUNTIFS(Table90[Country],Tabela1[[#This Row],[Country]],Table90[Men''s Classification],"&gt;0")</f>
        <v>0</v>
      </c>
      <c r="CG129" s="6">
        <f>COUNTIFS(Table90[Country],Tabela1[[#This Row],[Country]],Table90[Women''s Classification],"&gt;0")</f>
        <v>0</v>
      </c>
      <c r="CH129" s="6">
        <f>COUNTIFS(Table60[Country],Tabela1[[#This Row],[Country]],Table60[Men''s Classification],"&gt;0")</f>
        <v>0</v>
      </c>
      <c r="CI129" s="6">
        <f>COUNTIFS(Table60[Country],Tabela1[[#This Row],[Country]],Table60[Women''s Classification],"&gt;0")</f>
        <v>0</v>
      </c>
      <c r="CJ129" s="6">
        <f>COUNTIFS(Table6[Country],Tabela1[[#This Row],[Country]],Table6[51kg Classification],"&gt;0")</f>
        <v>0</v>
      </c>
      <c r="CK129" s="6">
        <f>COUNTIFS(Table6[Country],Tabela1[[#This Row],[Country]],Table6[57kg Classification],"&gt;0")</f>
        <v>0</v>
      </c>
      <c r="CL129" s="6">
        <f>COUNTIFS(Table6[Country],Tabela1[[#This Row],[Country]],Table6[63.5kg Classification],"&gt;0")</f>
        <v>0</v>
      </c>
      <c r="CM129" s="6">
        <f>COUNTIFS(Table6[Country],Tabela1[[#This Row],[Country]],Table6[71kg Classification],"&gt;0")</f>
        <v>0</v>
      </c>
      <c r="CN129" s="6">
        <f>COUNTIFS(Table6[Country],Tabela1[[#This Row],[Country]],Table6[80kg Classification],"&gt;0")</f>
        <v>0</v>
      </c>
      <c r="CO129" s="6">
        <f>COUNTIFS(Table6[Country],Tabela1[[#This Row],[Country]],Table6[92kg Classification],"&gt;0")</f>
        <v>0</v>
      </c>
      <c r="CP129" s="6">
        <f>COUNTIFS(Table6[Country],Tabela1[[#This Row],[Country]],Table6[Plus 92kg Classification],"&gt;0")</f>
        <v>0</v>
      </c>
      <c r="CQ129" s="6">
        <f>COUNTIFS(Table7[Country],Tabela1[[#This Row],[Country]],Table7[50kg Classification],"&gt;0")</f>
        <v>0</v>
      </c>
      <c r="CR129" s="6">
        <f>COUNTIFS(Table7[Country],Tabela1[[#This Row],[Country]],Table7[54kg Classification],"&gt;0")</f>
        <v>0</v>
      </c>
      <c r="CS129" s="6">
        <f>COUNTIFS(Table7[Country],Tabela1[[#This Row],[Country]],Table7[57kg Classification],"&gt;0")</f>
        <v>0</v>
      </c>
      <c r="CT129" s="6">
        <f>COUNTIFS(Table7[Country],Tabela1[[#This Row],[Country]],Table7[60kg Classification],"&gt;0")</f>
        <v>0</v>
      </c>
      <c r="CU129" s="6">
        <f>COUNTIFS(Table7[Country],Tabela1[[#This Row],[Country]],Table7[66kg Classification],"&gt;0")</f>
        <v>0</v>
      </c>
      <c r="CV129" s="6">
        <f>COUNTIFS(Table7[Country],Tabela1[[#This Row],[Country]],Table7[75kg Classification],"&gt;0")</f>
        <v>0</v>
      </c>
      <c r="CW129" s="6">
        <f>COUNTIFS(Tabela94[Country],Tabela1[[#This Row],[Country]],Tabela94[Classification],"&gt;0")</f>
        <v>0</v>
      </c>
      <c r="CX129" s="6">
        <f>COUNTIFS(Tabela9499[Country],Tabela1[[#This Row],[Country]],Tabela9499[Classification],"&gt;0")</f>
        <v>0</v>
      </c>
      <c r="CY129" s="6">
        <f>COUNTIFS(Tabela107[Country],Tabela1[[#This Row],[Country]],Tabela107[C1 Slalom Classification],"&gt;0")</f>
        <v>0</v>
      </c>
      <c r="CZ129" s="6">
        <f>COUNTIFS(Tabela107122[Country],Tabela1[[#This Row],[Country]],Tabela107122[C1 Slalom Classification],"&gt;0")</f>
        <v>0</v>
      </c>
      <c r="DA129" s="6">
        <f>COUNTIFS(Tabela107[Country],Tabela1[[#This Row],[Country]],Tabela107[K1 Slalom Classification],"&gt;0")</f>
        <v>0</v>
      </c>
      <c r="DB129" s="6">
        <f>COUNTIFS(Tabela107122[Country],Tabela1[[#This Row],[Country]],Tabela107122[K1 Slalom Classification],"&gt;0")</f>
        <v>0</v>
      </c>
      <c r="DC129" s="6">
        <f>COUNTIFS(Tabela107[Country],Tabela1[[#This Row],[Country]],Tabela107[Kayak Cross Slalom Classification],"&gt;0")</f>
        <v>0</v>
      </c>
      <c r="DD129" s="6">
        <f>COUNTIFS(Tabela107122[Country],Tabela1[[#This Row],[Country]],Tabela107122[Kayak Cross Slalom Classification],"&gt;0")</f>
        <v>0</v>
      </c>
      <c r="DE129" s="6">
        <f>COUNTIFS(Table8[Country],Tabela1[[#This Row],[Country]],Table8[C1 200m Classification],"&gt;0")</f>
        <v>0</v>
      </c>
      <c r="DF129" s="6">
        <f>COUNTIFS(Table40[Country],Tabela1[[#This Row],[Country]],Table40[C1 1000m Classification],"&gt;0")</f>
        <v>0</v>
      </c>
      <c r="DG129" s="6">
        <f>COUNTIFS(Table68[Country],Tabela1[[#This Row],[Country]],Table68[Men''s C2 500m Classification],"&gt;0")</f>
        <v>0</v>
      </c>
      <c r="DH129" s="6">
        <f>COUNTIFS(Table68[Country],Tabela1[[#This Row],[Country]],Table68[Women''s C2 500m Classification],"&gt;0")</f>
        <v>0</v>
      </c>
      <c r="DI129" s="6">
        <f>COUNTIFS(Table8[Country],Tabela1[[#This Row],[Country]],Table8[K1 500m Classification],"&gt;0")</f>
        <v>0</v>
      </c>
      <c r="DJ129" s="6">
        <f>COUNTIFS(Table40[Country],Tabela1[[#This Row],[Country]],Table40[K1 1000m Classification],"&gt;0")</f>
        <v>0</v>
      </c>
      <c r="DK129" s="6">
        <f>COUNTIFS(Table68[Country],Tabela1[[#This Row],[Country]],Table68[Men''s K2 500m Classification],"&gt;0")</f>
        <v>0</v>
      </c>
      <c r="DL129" s="6">
        <f>COUNTIFS(Table68[Country],Tabela1[[#This Row],[Country]],Table68[Women''s K2 500m Classification],"&gt;0")</f>
        <v>0</v>
      </c>
      <c r="DM129" s="6">
        <f>COUNTIFS(Table83[Country],Tabela1[[#This Row],[Country]],Table83[Men''s K4 500m Classification],"&gt;0")</f>
        <v>0</v>
      </c>
      <c r="DN129" s="6">
        <f>COUNTIFS(Table83[Country],Tabela1[[#This Row],[Country]],Table83[Women''s K4 500m Classification],"&gt;0")</f>
        <v>0</v>
      </c>
      <c r="DO129" s="6">
        <f>COUNTIFS(Tabela126[Country],Tabela1[[#This Row],[Country]],Tabela126[Classification],"&gt;0")</f>
        <v>0</v>
      </c>
      <c r="DP129" s="6">
        <f>COUNTIFS(Tabela126130[Country],Tabela1[[#This Row],[Country]],Tabela126130[Classification],"&gt;0")</f>
        <v>0</v>
      </c>
      <c r="DQ129" s="6">
        <f>COUNTIFS(Table70[Country],Tabela1[[#This Row],[Country]],Table70[Classification],"&gt;0")</f>
        <v>0</v>
      </c>
      <c r="DR129" s="6">
        <f>COUNTIFS(Table80[Country],Tabela1[[#This Row],[Country]],Table80[Classification],"&gt;0")</f>
        <v>0</v>
      </c>
      <c r="DS129" s="6">
        <f>COUNTIFS(Table66[Country],Tabela1[[#This Row],[Country]],Table66[Classification],"&gt;0")</f>
        <v>0</v>
      </c>
      <c r="DT129" s="6">
        <f>COUNTIFS(Table67[Country],Tabela1[[#This Row],[Country]],Table67[Classification],"&gt;0")</f>
        <v>0</v>
      </c>
      <c r="DU129" s="6">
        <f>COUNTIFS(Table69[Country],Tabela1[[#This Row],[Country]],Table69[Keirin Classification],"&gt;0")</f>
        <v>0</v>
      </c>
      <c r="DV129" s="6">
        <f>COUNTIFS(Table41[Country],Tabela1[[#This Row],[Country]],Table41[Keirin Classification],"&gt;0")</f>
        <v>0</v>
      </c>
      <c r="DW129" s="6">
        <f>COUNTIFS(Table84[Country],Tabela1[[#This Row],[Country]],Table84[Men''s Madison Classification],"&gt;0")</f>
        <v>0</v>
      </c>
      <c r="DX129" s="6">
        <f>COUNTIFS(Table84[Country],Tabela1[[#This Row],[Country]],Table84[Women''s Madison Classification],"&gt;0")</f>
        <v>0</v>
      </c>
      <c r="DY129" s="6">
        <f>COUNTIFS(Table69[Country],Tabela1[[#This Row],[Country]],Table69[Omnium Classification],"&gt;0")</f>
        <v>0</v>
      </c>
      <c r="DZ129" s="6">
        <f>COUNTIFS(Table41[Country],Tabela1[[#This Row],[Country]],Table41[Omnium Classification],"&gt;0")</f>
        <v>0</v>
      </c>
      <c r="EA129" s="6">
        <f>COUNTIFS(Table9[Country],Tabela1[[#This Row],[Country]],Table9[Road Race Classification],"&gt;0")</f>
        <v>0</v>
      </c>
      <c r="EB129" s="6">
        <f>COUNTIFS(Table14[Country],Tabela1[[#This Row],[Country]],Table14[Road Race Classification],"&gt;0")</f>
        <v>0</v>
      </c>
      <c r="EC129" s="6">
        <f>COUNTIFS(Table69[Country],Tabela1[[#This Row],[Country]],Table69[Sprint Classification],"&gt;0")</f>
        <v>0</v>
      </c>
      <c r="ED129" s="6">
        <f>COUNTIFS(Table41[Country],Tabela1[[#This Row],[Country]],Table41[Sprint Classification],"&gt;0")</f>
        <v>0</v>
      </c>
      <c r="EE129" s="6">
        <f>COUNTIFS(Table85[Country],Tabela1[[#This Row],[Country]],Table85[Men''s Sprint Classification],"&gt;0")</f>
        <v>0</v>
      </c>
      <c r="EF129" s="6">
        <f>COUNTIFS(Table85[Country],Tabela1[[#This Row],[Country]],Table85[Women''s Sprint Classification],"&gt;0")</f>
        <v>0</v>
      </c>
      <c r="EG129" s="6">
        <f>COUNTIFS(Table85[Country],Tabela1[[#This Row],[Country]],Table85[Men''s Pursuit Classification],"&gt;0")</f>
        <v>0</v>
      </c>
      <c r="EH129" s="6">
        <f>COUNTIFS(Table85[Country],Tabela1[[#This Row],[Country]],Table85[Women''s Pursuit Classification],"&gt;0")</f>
        <v>0</v>
      </c>
      <c r="EI129" s="6">
        <f>COUNTIFS(Table9[Country],Tabela1[[#This Row],[Country]],Table9[Time-Trial Classification],"&gt;0")</f>
        <v>0</v>
      </c>
      <c r="EJ129" s="6">
        <f>COUNTIFS(Table14[Country],Tabela1[[#This Row],[Country]],Table14[Time-Trial Classification],"&gt;0")</f>
        <v>0</v>
      </c>
      <c r="EK129" s="6">
        <f>COUNTIFS(Table42[Country],Tabela1[[#This Row],[Country]],Table42[Springboard Classification],"&gt;0")</f>
        <v>0</v>
      </c>
      <c r="EL129" s="6">
        <f>COUNTIFS(Table43[Country],Tabela1[[#This Row],[Country]],Table43[Springboard Classification],"&gt;0")</f>
        <v>0</v>
      </c>
      <c r="EM129" s="6">
        <f>COUNTIFS(Table42[Country],Tabela1[[#This Row],[Country]],Table42[Platform Classification],"&gt;0")</f>
        <v>0</v>
      </c>
      <c r="EN129" s="6">
        <f>COUNTIFS(Table43[Country],Tabela1[[#This Row],[Country]],Table43[Platform Classification],"&gt;0")</f>
        <v>0</v>
      </c>
      <c r="EO129" s="6">
        <f>COUNTIFS(Table86[Country],Tabela1[[#This Row],[Country]],Table86[Men''s Synchronized Springboard Classification],"&gt;0")</f>
        <v>0</v>
      </c>
      <c r="EP129" s="6">
        <f>COUNTIFS(Table86[Country],Tabela1[[#This Row],[Country]],Table86[Women''s Synchronized Springboard Classification],"&gt;0")</f>
        <v>0</v>
      </c>
      <c r="EQ129" s="6">
        <f>COUNTIFS(Table86[Country],Tabela1[[#This Row],[Country]],Table86[Men''s Synchronized Platform Classification],"&gt;0")</f>
        <v>0</v>
      </c>
      <c r="ER129" s="6">
        <f>COUNTIFS(Table86[Country],Tabela1[[#This Row],[Country]],Table86[Women''s Synchronized Platform Classification],"&gt;0")</f>
        <v>0</v>
      </c>
      <c r="ES129" s="6">
        <f>COUNTIFS(Table44[Country],Tabela1[[#This Row],[Country]],Table44[Dressage Classification],"&gt;0")</f>
        <v>0</v>
      </c>
      <c r="ET129" s="6">
        <f>COUNTIFS(Table45[Country],Tabela1[[#This Row],[Country]],Table45[Dressage Classification],"&gt;0")</f>
        <v>0</v>
      </c>
      <c r="EU129" s="6">
        <f>COUNTIFS(Table44[Country],Tabela1[[#This Row],[Country]],Table44[Eventing Classification],"&gt;0")</f>
        <v>0</v>
      </c>
      <c r="EV129" s="6">
        <f>COUNTIFS(Table45[Country],Tabela1[[#This Row],[Country]],Table45[Eventing Classification],"&gt;0")</f>
        <v>0</v>
      </c>
      <c r="EW129" s="6">
        <f>COUNTIFS(Table44[Country],Tabela1[[#This Row],[Country]],Table44[Jumping Classification],"&gt;0")</f>
        <v>0</v>
      </c>
      <c r="EX129" s="6">
        <f>COUNTIFS(Table45[Country],Tabela1[[#This Row],[Country]],Table45[Jumping Classification],"&gt;0")</f>
        <v>0</v>
      </c>
      <c r="EY129" s="6">
        <f>COUNTIFS(Table10[Country],Tabela1[[#This Row],[Country]],Table10[Épée Classification],"&gt;0")</f>
        <v>0</v>
      </c>
      <c r="EZ129" s="6">
        <f>COUNTIFS(Table11[Country],Tabela1[[#This Row],[Country]],Table11[Épée Classification],"&gt;0")</f>
        <v>0</v>
      </c>
      <c r="FA129" s="6">
        <f>COUNTIFS(Table46[Country],Tabela1[[#This Row],[Country]],Table46[Men''s Épée Classification],"&gt;0")</f>
        <v>0</v>
      </c>
      <c r="FB129" s="6">
        <f>COUNTIFS(Table46[Country],Tabela1[[#This Row],[Country]],Table46[Women''s Épée Classification],"&gt;0")</f>
        <v>0</v>
      </c>
      <c r="FC129" s="6">
        <f>COUNTIFS(Table10[Country],Tabela1[[#This Row],[Country]],Table10[Foil Classification],"&gt;0")</f>
        <v>0</v>
      </c>
      <c r="FD129" s="6">
        <f>COUNTIFS(Table11[Country],Tabela1[[#This Row],[Country]],Table11[Foil Classification],"&gt;0")</f>
        <v>0</v>
      </c>
      <c r="FE129" s="6">
        <f>COUNTIFS(Table46[Country],Tabela1[[#This Row],[Country]],Table46[Men''s Foil Classification],"&gt;0")</f>
        <v>0</v>
      </c>
      <c r="FF129" s="6">
        <f>COUNTIFS(Table46[Country],Tabela1[[#This Row],[Country]],Table46[Women''s Foil Classification],"&gt;0")</f>
        <v>0</v>
      </c>
      <c r="FG129" s="6">
        <f>COUNTIFS(Table10[Country],Tabela1[[#This Row],[Country]],Table10[Sabre Classification],"&gt;0")</f>
        <v>0</v>
      </c>
      <c r="FH129" s="6">
        <f>COUNTIFS(Table11[Country],Tabela1[[#This Row],[Country]],Table11[Sabre Classification],"&gt;0")</f>
        <v>0</v>
      </c>
      <c r="FI129" s="6">
        <f>COUNTIFS(Table46[Country],Tabela1[[#This Row],[Country]],Table46[Men''s Sabre Classification],"&gt;0")</f>
        <v>0</v>
      </c>
      <c r="FJ129" s="6">
        <f>COUNTIFS(Table46[Country],Tabela1[[#This Row],[Country]],Table46[Women''s Sabre Classification],"&gt;0")</f>
        <v>0</v>
      </c>
      <c r="FK129" s="6">
        <f>COUNTIFS(Table91[Country],Tabela1[[#This Row],[Country]],Table91[Men''s Classification],"&gt;0")</f>
        <v>0</v>
      </c>
      <c r="FL129" s="6">
        <f>COUNTIFS(Table91[Country],Tabela1[[#This Row],[Country]],Table91[Women''s Classification],"&gt;0")</f>
        <v>0</v>
      </c>
      <c r="FM129" s="6">
        <f>COUNTIFS(Table9194[Country],Tabela1[[#This Row],[Country]],Table9194[Men''s Classification],"&gt;0")</f>
        <v>1</v>
      </c>
      <c r="FN129" s="6">
        <f>COUNTIFS(Table9194[Country],Tabela1[[#This Row],[Country]],Table9194[Women''s Classification],"&gt;0")</f>
        <v>0</v>
      </c>
      <c r="FO129" s="6">
        <f>COUNTIFS(Table71[Country],Tabela1[[#This Row],[Country]],Table71[Classification],"&gt;0")</f>
        <v>0</v>
      </c>
      <c r="FP129" s="6">
        <f>COUNTIFS(Table62[Country],Tabela1[[#This Row],[Country]],Table62[Classification],"&gt;0")</f>
        <v>0</v>
      </c>
      <c r="FQ129" s="6">
        <f>COUNTIFS(Table47[Country],Tabela1[[#This Row],[Country]],Table47[All-Around Classification],"&gt;0")</f>
        <v>0</v>
      </c>
      <c r="FR129" s="6">
        <f>COUNTIFS(Table48[Country],Tabela1[[#This Row],[Country]],Table48[All-Around Classification],"&gt;0")</f>
        <v>0</v>
      </c>
      <c r="FS129" s="6">
        <f>COUNTIFS(Table81[Country],Tabela1[[#This Row],[Country]],Table81[Men''s All-Around Classification],"&gt;0")</f>
        <v>0</v>
      </c>
      <c r="FT129" s="6">
        <f>COUNTIFS(Table81[Country],Tabela1[[#This Row],[Country]],Table81[Women''s All-Around Classification],"&gt;0")</f>
        <v>0</v>
      </c>
      <c r="FU129" s="6">
        <f>COUNTIFS(Table48[Country],Tabela1[[#This Row],[Country]],Table48[Balance Beam Classification],"&gt;0")</f>
        <v>0</v>
      </c>
      <c r="FV129" s="6">
        <f>COUNTIFS(Table47[Country],Tabela1[[#This Row],[Country]],Table47[Floor Exercise Classification],"&gt;0")</f>
        <v>0</v>
      </c>
      <c r="FW129" s="6">
        <f>COUNTIFS(Table48[Country],Tabela1[[#This Row],[Country]],Table48[Floor Exercise Classification],"&gt;0")</f>
        <v>0</v>
      </c>
      <c r="FX129" s="6">
        <f>COUNTIFS(Table47[Country],Tabela1[[#This Row],[Country]],Table47[Horizontal Bar Classification],"&gt;0")</f>
        <v>0</v>
      </c>
      <c r="FY129" s="6">
        <f>COUNTIFS(Table47[Country],Tabela1[[#This Row],[Country]],Table47[Parallel Bars Classification],"&gt;0")</f>
        <v>0</v>
      </c>
      <c r="FZ129" s="6">
        <f>COUNTIFS(Table47[Country],Tabela1[[#This Row],[Country]],Table47[Pommel Horse Classification],"&gt;0")</f>
        <v>0</v>
      </c>
      <c r="GA129" s="6">
        <f>COUNTIFS(Table47[Country],Tabela1[[#This Row],[Country]],Table47[Rings Classification],"&gt;0")</f>
        <v>0</v>
      </c>
      <c r="GB129" s="6">
        <f>COUNTIFS(Tabela132[Country],Tabela1[[#This Row],[Country]],Tabela132[Classification],"&gt;0")</f>
        <v>0</v>
      </c>
      <c r="GC129" s="6">
        <f>COUNTIFS(Tabela139[Country],Tabela1[[#This Row],[Country]],Tabela139[Classification],"&gt;0")</f>
        <v>0</v>
      </c>
      <c r="GD129" s="6">
        <f>COUNTIFS(Table48[Country],Tabela1[[#This Row],[Country]],Table48[Uneven Bars Classification],"&gt;0")</f>
        <v>0</v>
      </c>
      <c r="GE129" s="6">
        <f>COUNTIFS(Table47[Country],Tabela1[[#This Row],[Country]],Table47[Vault Classification],"&gt;0")</f>
        <v>0</v>
      </c>
      <c r="GF129" s="6">
        <f>COUNTIFS(Table48[Country],Tabela1[[#This Row],[Country]],Table48[Vault Classification],"&gt;0")</f>
        <v>0</v>
      </c>
      <c r="GG129" s="6">
        <f>COUNTIFS(Table919496[Country],Tabela1[[#This Row],[Country]],Table919496[Men''s Classification],"&gt;0")</f>
        <v>0</v>
      </c>
      <c r="GH129" s="6">
        <f>COUNTIFS(Table919496[Country],Tabela1[[#This Row],[Country]],Table919496[Women''s Classification],"&gt;0")</f>
        <v>0</v>
      </c>
      <c r="GI129" s="6">
        <f>COUNTIFS(Table12[Country],Tabela1[[#This Row],[Country]],Table12[60kg Classification],"&gt;0")</f>
        <v>0</v>
      </c>
      <c r="GJ129" s="6">
        <f>COUNTIFS(Table12[Country],Tabela1[[#This Row],[Country]],Table12[66kg Classification],"&gt;0")</f>
        <v>0</v>
      </c>
      <c r="GK129" s="6">
        <f>COUNTIFS(Table12[Country],Tabela1[[#This Row],[Country]],Table12[73kg Classification],"&gt;0")</f>
        <v>0</v>
      </c>
      <c r="GL129" s="6">
        <f>COUNTIFS(Table12[Country],Tabela1[[#This Row],[Country]],Table12[81kg Classification],"&gt;0")</f>
        <v>0</v>
      </c>
      <c r="GM129" s="6">
        <f>COUNTIFS(Table12[Country],Tabela1[[#This Row],[Country]],Table12[90kg Classification],"&gt;0")</f>
        <v>0</v>
      </c>
      <c r="GN129" s="6">
        <f>COUNTIFS(Table12[Country],Tabela1[[#This Row],[Country]],Table12[100kg Classification],"&gt;0")</f>
        <v>0</v>
      </c>
      <c r="GO129" s="6">
        <f>COUNTIFS(Table12[Country],Tabela1[[#This Row],[Country]],Table12[Plus 100kg Classification],"&gt;0")</f>
        <v>0</v>
      </c>
      <c r="GP129" s="6">
        <f>COUNTIFS(Table13[Country],Tabela1[[#This Row],[Country]],Table13[48kg Classification],"&gt;0")</f>
        <v>0</v>
      </c>
      <c r="GQ129" s="6">
        <f>COUNTIFS(Table13[Country],Tabela1[[#This Row],[Country]],Table13[52kg Classification],"&gt;0")</f>
        <v>0</v>
      </c>
      <c r="GR129" s="6">
        <f>COUNTIFS(Table13[Country],Tabela1[[#This Row],[Country]],Table13[57kg Classification],"&gt;0")</f>
        <v>0</v>
      </c>
      <c r="GS129" s="6">
        <f>COUNTIFS(Table13[Country],Tabela1[[#This Row],[Country]],Table13[63kg Classification],"&gt;0")</f>
        <v>0</v>
      </c>
      <c r="GT129" s="6">
        <f>COUNTIFS(Table13[Country],Tabela1[[#This Row],[Country]],Table13[70kg Classification],"&gt;0")</f>
        <v>0</v>
      </c>
      <c r="GU129" s="6">
        <f>COUNTIFS(Table13[Country],Tabela1[[#This Row],[Country]],Table13[78kg Classification],"&gt;0")</f>
        <v>0</v>
      </c>
      <c r="GV129" s="6">
        <f>COUNTIFS(Table13[Country],Tabela1[[#This Row],[Country]],Table13[Plus 78kg Classification],"&gt;0")</f>
        <v>0</v>
      </c>
      <c r="GW129" s="6">
        <f>COUNTIFS(Table82[Country],Tabela1[[#This Row],[Country]],Table82[Mixed Classification],"&gt;0")</f>
        <v>0</v>
      </c>
      <c r="GX129" s="6">
        <f>COUNTIFS(Table51[Country],Tabela1[[#This Row],[Country]],Table51[Classification],"&gt;0")</f>
        <v>0</v>
      </c>
      <c r="GY129" s="6">
        <f>COUNTIFS(Table52[Country],Tabela1[[#This Row],[Country]],Table52[Classification],"&gt;0")</f>
        <v>0</v>
      </c>
      <c r="GZ129" s="6">
        <f>COUNTIFS(Table32[Country],Tabela1[[#This Row],[Country]],Table32[All-Around Classification],"&gt;0")</f>
        <v>0</v>
      </c>
      <c r="HA129" s="6">
        <f>COUNTIFS(Table49[Country],Tabela1[[#This Row],[Country]],Table49[All-Around Classification],"&gt;0")</f>
        <v>0</v>
      </c>
      <c r="HB129" s="6">
        <f>COUNTIFS(Table26[Country],Tabela1[[#This Row],[Country]],Table26[Single Sculls Classification],"&gt;0")</f>
        <v>0</v>
      </c>
      <c r="HC129" s="6">
        <f>COUNTIFS(Table63[Country],Tabela1[[#This Row],[Country]],Table63[Single Sculls Classification],"&gt;0")</f>
        <v>0</v>
      </c>
      <c r="HD129" s="6">
        <f>COUNTIFS(Table16[Country],Tabela1[[#This Row],[Country]],Table16[Men''s Double Sculls Classification],"&gt;0")</f>
        <v>0</v>
      </c>
      <c r="HE129" s="6">
        <f>COUNTIFS(Table16[Country],Tabela1[[#This Row],[Country]],Table16[Women''s Double Sculls Classification],"&gt;0")</f>
        <v>0</v>
      </c>
      <c r="HF129" s="6">
        <f>COUNTIFS(Table72[Country],Tabela1[[#This Row],[Country]],Table72[Men''s Quadruple Sculls Classification],"&gt;0")</f>
        <v>0</v>
      </c>
      <c r="HG129" s="6">
        <f>COUNTIFS(Table72[Country],Tabela1[[#This Row],[Country]],Table72[Women''s Quadruple Sculls Classification],"&gt;0")</f>
        <v>0</v>
      </c>
      <c r="HH129" s="6">
        <f>COUNTIFS(Table16[Country],Tabela1[[#This Row],[Country]],Table16[Men''s Coxless Pairs Classification],"&gt;0")</f>
        <v>0</v>
      </c>
      <c r="HI129" s="6">
        <f>COUNTIFS(Table16[Country],Tabela1[[#This Row],[Country]],Table16[Women''s Coxless Pairs Classification],"&gt;0")</f>
        <v>0</v>
      </c>
      <c r="HJ129" s="6">
        <f>COUNTIFS(Table72[Country],Tabela1[[#This Row],[Country]],Table72[Men''s Coxless Fours Classification],"&gt;0")</f>
        <v>0</v>
      </c>
      <c r="HK129" s="6">
        <f>COUNTIFS(Table72[Country],Tabela1[[#This Row],[Country]],Table72[Women''s Coxless Fours Classification],"&gt;0")</f>
        <v>0</v>
      </c>
      <c r="HL129" s="6">
        <f>COUNTIFS(Table72[Country],Tabela1[[#This Row],[Country]],Table72[Men''s Eights Classification],"&gt;0")</f>
        <v>0</v>
      </c>
      <c r="HM129" s="6">
        <f>COUNTIFS(Table72[Country],Tabela1[[#This Row],[Country]],Table72[Women''s Eights Classification],"&gt;0")</f>
        <v>0</v>
      </c>
      <c r="HN129" s="6">
        <f>COUNTIFS(Table16[Country],Tabela1[[#This Row],[Country]],Table16[Men''s Lwt. Double Sculls Classification],"&gt;0")</f>
        <v>0</v>
      </c>
      <c r="HO129" s="6">
        <f>COUNTIFS(Table16[Country],Tabela1[[#This Row],[Country]],Table16[Women''s Lwt. Double Sculls Classification],"&gt;0")</f>
        <v>0</v>
      </c>
      <c r="HP129" s="6">
        <f>COUNTIFS(Table91949698[Country],Tabela1[[#This Row],[Country]],Table91949698[Men''s Classification],"&gt;0")</f>
        <v>0</v>
      </c>
      <c r="HQ129" s="6">
        <f>COUNTIFS(Table91949698[Country],Tabela1[[#This Row],[Country]],Table91949698[Women''s Classification],"&gt;0")</f>
        <v>0</v>
      </c>
      <c r="HR129" s="6">
        <f>COUNTIFS(Table25[Country],Tabela1[[#This Row],[Country]],Table25[Mixed 470 Classification],"&gt;0")</f>
        <v>0</v>
      </c>
      <c r="HS129" s="6">
        <f>COUNTIFS(Table25[Country],Tabela1[[#This Row],[Country]],Table25[Men''s 49er Classification],"&gt;0")</f>
        <v>0</v>
      </c>
      <c r="HT129" s="6">
        <f>COUNTIFS(Table25[Country],Tabela1[[#This Row],[Country]],Table25[Women''s 49er FX Classification],"&gt;0")</f>
        <v>0</v>
      </c>
      <c r="HU129" s="6">
        <f>COUNTIFS(Table17[Country],Tabela1[[#This Row],[Country]],Table17[Formula Kite Classification],"&gt;0")</f>
        <v>0</v>
      </c>
      <c r="HV129" s="6">
        <f>COUNTIFS(Table18[Country],Tabela1[[#This Row],[Country]],Table18[Formula Kite Classification],"&gt;0")</f>
        <v>0</v>
      </c>
      <c r="HW129" s="6">
        <f>COUNTIFS(Table17[Country],Tabela1[[#This Row],[Country]],Table17[ILCA 7 Classification],"&gt;0")</f>
        <v>0</v>
      </c>
      <c r="HX129" s="6">
        <f>COUNTIFS(Table18[Country],Tabela1[[#This Row],[Country]],Table18[ILCA 6 Classification],"&gt;0")</f>
        <v>0</v>
      </c>
      <c r="HY129" s="6">
        <f>COUNTIFS(Table17[Country],Tabela1[[#This Row],[Country]],Table17[IQFoil Classification],"&gt;0")</f>
        <v>0</v>
      </c>
      <c r="HZ129" s="6">
        <f>COUNTIFS(Table18[Country],Tabela1[[#This Row],[Country]],Table18[IQFoil Classification],"&gt;0")</f>
        <v>0</v>
      </c>
      <c r="IA129" s="6">
        <f>COUNTIFS(Table25[Country],Tabela1[[#This Row],[Country]],Table25[Mixed Nacra 17 Classification],"&gt;0")</f>
        <v>0</v>
      </c>
      <c r="IB129" s="6">
        <f>COUNTIFS(Table53[Country],Tabela1[[#This Row],[Country]],Table53[10m Air Pistol Classification],"&gt;0")</f>
        <v>0</v>
      </c>
      <c r="IC129" s="6">
        <f>COUNTIFS(Table19[Country],Tabela1[[#This Row],[Country]],Table19[10m Air Pistol Classification],"&gt;0")</f>
        <v>0</v>
      </c>
      <c r="ID129" s="6">
        <f>COUNTIFS(Table54[Country],Tabela1[[#This Row],[Country]],Table54[Mixed 10m Air Pistol Team Classification],"&gt;0")</f>
        <v>0</v>
      </c>
      <c r="IE129" s="6">
        <f>COUNTIFS(Table53[Country],Tabela1[[#This Row],[Country]],Table53[10m Air Rifle Classification],"&gt;0")</f>
        <v>0</v>
      </c>
      <c r="IF129" s="6">
        <f>COUNTIFS(Table19[Country],Tabela1[[#This Row],[Country]],Table19[10m Air Rifle Classification],"&gt;0")</f>
        <v>0</v>
      </c>
      <c r="IG129" s="6">
        <f>COUNTIFS(Table54[Country],Tabela1[[#This Row],[Country]],Table54[Mixed 10m Air Rifle Team Classification],"&gt;0")</f>
        <v>0</v>
      </c>
      <c r="IH129" s="6">
        <f>COUNTIFS(Table53[Country],Tabela1[[#This Row],[Country]],Table53[25m Rapid Fire Pistol Classification],"&gt;0")</f>
        <v>0</v>
      </c>
      <c r="II129" s="6">
        <f>COUNTIFS(Table19[Country],Tabela1[[#This Row],[Country]],Table19[25m Pistol Classification],"&gt;0")</f>
        <v>0</v>
      </c>
      <c r="IJ129" s="6">
        <f>COUNTIFS(Table53[Country],Tabela1[[#This Row],[Country]],Table53[50m Rifle 3 Positions Classification],"&gt;0")</f>
        <v>0</v>
      </c>
      <c r="IK129" s="6">
        <f>COUNTIFS(Table19[Country],Tabela1[[#This Row],[Country]],Table19[50m Rifle 3 Positions Classification],"&gt;0")</f>
        <v>0</v>
      </c>
      <c r="IL129" s="6">
        <f>COUNTIFS(Table53[Country],Tabela1[[#This Row],[Country]],Table53[Skeet Classification],"&gt;0")</f>
        <v>0</v>
      </c>
      <c r="IM129" s="6">
        <f>COUNTIFS(Table19[Country],Tabela1[[#This Row],[Country]],Table19[Skeet Classification],"&gt;0")</f>
        <v>0</v>
      </c>
      <c r="IN129" s="6">
        <f>COUNTIFS(Table54[Country],Tabela1[[#This Row],[Country]],Table54[Mixed Skeet Team Classification],"&gt;0")</f>
        <v>0</v>
      </c>
      <c r="IO129" s="6">
        <f>COUNTIFS(Table53[Country],Tabela1[[#This Row],[Country]],Table53[Trap Classification],"&gt;0")</f>
        <v>0</v>
      </c>
      <c r="IP129" s="6">
        <f>COUNTIFS(Table19[Country],Tabela1[[#This Row],[Country]],Table19[Trap Classification],"&gt;0")</f>
        <v>0</v>
      </c>
      <c r="IQ129" s="6">
        <f>COUNTIFS(Table73[Country],Tabela1[[#This Row],[Country]],Table73[Park Classification],"&gt;0")</f>
        <v>0</v>
      </c>
      <c r="IR129" s="6">
        <f>COUNTIFS(Table74[Country],Tabela1[[#This Row],[Country]],Table74[Park Classification],"&gt;0")</f>
        <v>0</v>
      </c>
      <c r="IS129" s="6">
        <f>COUNTIFS(Table73[Country],Tabela1[[#This Row],[Country]],Table73[Street Classification],"&gt;0")</f>
        <v>0</v>
      </c>
      <c r="IT129" s="6">
        <f>COUNTIFS(Table74[Country],Tabela1[[#This Row],[Country]],Table74[Street Classification],"&gt;0")</f>
        <v>0</v>
      </c>
      <c r="IU129" s="6">
        <f>COUNTIFS(Table75[Country],Tabela1[[#This Row],[Country]],Table75[Boulder and Lead Classification],"&gt;0")</f>
        <v>0</v>
      </c>
      <c r="IV129" s="6">
        <f>COUNTIFS(Table76[Country],Tabela1[[#This Row],[Country]],Table76[Boulder and Lead Classification],"&gt;0")</f>
        <v>0</v>
      </c>
      <c r="IW129" s="6">
        <f>COUNTIFS(Table75[Country],Tabela1[[#This Row],[Country]],Table75[Speed Classification],"&gt;0")</f>
        <v>0</v>
      </c>
      <c r="IX129" s="6">
        <f>COUNTIFS(Table76[Country],Tabela1[[#This Row],[Country]],Table76[Speed Classification],"&gt;0")</f>
        <v>0</v>
      </c>
      <c r="IY129" s="6">
        <f>COUNTIFS(Table64[Country],Tabela1[[#This Row],[Country]],Table64[Shortboard Classification],"&gt;0")</f>
        <v>0</v>
      </c>
      <c r="IZ129" s="6">
        <f>COUNTIFS(Table77[Country],Tabela1[[#This Row],[Country]],Table77[Shortboard Classification],"&gt;0")</f>
        <v>0</v>
      </c>
      <c r="JA129" s="6">
        <f>COUNTIFS(Table20[Country],Tabela1[[#This Row],[Country]],Table20[50m Freestyle Classification],"&gt;0")</f>
        <v>0</v>
      </c>
      <c r="JB129" s="6">
        <f>COUNTIFS(Table21[Country],Tabela1[[#This Row],[Country]],Table21[50m Freestyle Classification],"&gt;0")</f>
        <v>0</v>
      </c>
      <c r="JC129" s="6">
        <f>COUNTIFS(Table20[Country],Tabela1[[#This Row],[Country]],Table20[100m Freestyle Classification],"&gt;0")</f>
        <v>0</v>
      </c>
      <c r="JD129" s="6">
        <f>COUNTIFS(Table21[Country],Tabela1[[#This Row],[Country]],Table21[100m Freestyle Classification],"&gt;0")</f>
        <v>0</v>
      </c>
      <c r="JE129" s="6">
        <f>COUNTIFS(Table20[Country],Tabela1[[#This Row],[Country]],Table20[200m Freestyle Classification],"&gt;0")</f>
        <v>0</v>
      </c>
      <c r="JF129" s="6">
        <f>COUNTIFS(Table21[Country],Tabela1[[#This Row],[Country]],Table21[200m Freestyle Classification],"&gt;0")</f>
        <v>0</v>
      </c>
      <c r="JG129" s="6">
        <f>COUNTIFS(Table20[Country],Tabela1[[#This Row],[Country]],Table20[400m Freestyle Classification],"&gt;0")</f>
        <v>0</v>
      </c>
      <c r="JH129" s="6">
        <f>COUNTIFS(Table21[Country],Tabela1[[#This Row],[Country]],Table21[400m Freestyle Classification],"&gt;0")</f>
        <v>0</v>
      </c>
      <c r="JI129" s="6">
        <f>COUNTIFS(Table20[Country],Tabela1[[#This Row],[Country]],Table20[800m Freestyle Classification],"&gt;0")</f>
        <v>0</v>
      </c>
      <c r="JJ129" s="6">
        <f>COUNTIFS(Table21[Country],Tabela1[[#This Row],[Country]],Table21[800m Freestyle Classification],"&gt;0")</f>
        <v>0</v>
      </c>
      <c r="JK129" s="6">
        <f>COUNTIFS(Table20[Country],Tabela1[[#This Row],[Country]],Table20[1500m Freestyle Classification],"&gt;0")</f>
        <v>0</v>
      </c>
      <c r="JL129" s="6">
        <f>COUNTIFS(Table21[Country],Tabela1[[#This Row],[Country]],Table21[1500m Freestyle Classification],"&gt;0")</f>
        <v>0</v>
      </c>
      <c r="JM129" s="6">
        <f>COUNTIFS(Table20[Country],Tabela1[[#This Row],[Country]],Table20[100m Backstroke Classification],"&gt;0")</f>
        <v>0</v>
      </c>
      <c r="JN129" s="6">
        <f>COUNTIFS(Table21[Country],Tabela1[[#This Row],[Country]],Table21[100m Backstroke Classification],"&gt;0")</f>
        <v>0</v>
      </c>
      <c r="JO129" s="6">
        <f>COUNTIFS(Table20[Country],Tabela1[[#This Row],[Country]],Table20[200m Backstroke Classification],"&gt;0")</f>
        <v>0</v>
      </c>
      <c r="JP129" s="6">
        <f>COUNTIFS(Table21[Country],Tabela1[[#This Row],[Country]],Table21[200m Backstroke Classification],"&gt;0")</f>
        <v>0</v>
      </c>
      <c r="JQ129" s="6">
        <f>COUNTIFS(Table20[Country],Tabela1[[#This Row],[Country]],Table20[100m Breaststroke Classification],"&gt;0")</f>
        <v>0</v>
      </c>
      <c r="JR129" s="6">
        <f>COUNTIFS(Table21[Country],Tabela1[[#This Row],[Country]],Table21[100m Breaststroke Classification],"&gt;0")</f>
        <v>0</v>
      </c>
      <c r="JS129" s="6">
        <f>COUNTIFS(Table20[Country],Tabela1[[#This Row],[Country]],Table20[200m Breaststroke Classification],"&gt;0")</f>
        <v>0</v>
      </c>
      <c r="JT129" s="6">
        <f>COUNTIFS(Table21[Country],Tabela1[[#This Row],[Country]],Table21[200m Breaststroke Classification],"&gt;0")</f>
        <v>0</v>
      </c>
      <c r="JU129" s="6">
        <f>COUNTIFS(Table20[Country],Tabela1[[#This Row],[Country]],Table20[100m Butterfly Classification],"&gt;0")</f>
        <v>0</v>
      </c>
      <c r="JV129" s="6">
        <f>COUNTIFS(Table21[Country],Tabela1[[#This Row],[Country]],Table21[100m Butterfly Classification],"&gt;0")</f>
        <v>0</v>
      </c>
      <c r="JW129" s="6">
        <f>COUNTIFS(Table20[Country],Tabela1[[#This Row],[Country]],Table20[200m Butterfly Classification],"&gt;0")</f>
        <v>0</v>
      </c>
      <c r="JX129" s="6">
        <f>COUNTIFS(Table21[Country],Tabela1[[#This Row],[Country]],Table21[200m Butterfly Classification],"&gt;0")</f>
        <v>0</v>
      </c>
      <c r="JY129" s="6">
        <f>COUNTIFS(Table20[Country],Tabela1[[#This Row],[Country]],Table20[200m Medley Classification],"&gt;0")</f>
        <v>0</v>
      </c>
      <c r="JZ129" s="6">
        <f>COUNTIFS(Table21[Country],Tabela1[[#This Row],[Country]],Table21[200m Medley Classification],"&gt;0")</f>
        <v>0</v>
      </c>
      <c r="KA129" s="6">
        <f>COUNTIFS(Table20[Country],Tabela1[[#This Row],[Country]],Table20[400m Medley Classification],"&gt;0")</f>
        <v>0</v>
      </c>
      <c r="KB129" s="6">
        <f>COUNTIFS(Table21[Country],Tabela1[[#This Row],[Country]],Table21[400m Medley Classification],"&gt;0")</f>
        <v>0</v>
      </c>
      <c r="KC129" s="6">
        <f>COUNTIFS(Table78[Country],Tabela1[[#This Row],[Country]],Table78[Men''s 4x100m Freestyle Relay Classification],"&gt;0")</f>
        <v>0</v>
      </c>
      <c r="KD129" s="6">
        <f>COUNTIFS(Table78[Country],Tabela1[[#This Row],[Country]],Table78[Women''s 4x100m Freestyle Relay Classification],"&gt;0")</f>
        <v>0</v>
      </c>
      <c r="KE129" s="6">
        <f>COUNTIFS(Table78[Country],Tabela1[[#This Row],[Country]],Table78[Men''s 4x200m Freestyle Relay Classification],"&gt;0")</f>
        <v>0</v>
      </c>
      <c r="KF129" s="6">
        <f>COUNTIFS(Table78[Country],Tabela1[[#This Row],[Country]],Table78[Women''s 4x200m Freestyle Relay Classification],"&gt;0")</f>
        <v>0</v>
      </c>
      <c r="KG129" s="6">
        <f>COUNTIFS(Table78[Country],Tabela1[[#This Row],[Country]],Table78[Men''s 4x100m Medley Relay Classification],"&gt;0")</f>
        <v>0</v>
      </c>
      <c r="KH129" s="6">
        <f>COUNTIFS(Table78[Country],Tabela1[[#This Row],[Country]],Table78[Women''s 4x100m Medley Relay Classification],"&gt;0")</f>
        <v>0</v>
      </c>
      <c r="KI129" s="6">
        <f>COUNTIFS(Table78[Country],Tabela1[[#This Row],[Country]],Table78[Mixed 4x100m Medley Relay Classification],"&gt;0")</f>
        <v>0</v>
      </c>
      <c r="KJ129" s="6">
        <f>COUNTIFS(Table20[Country],Tabela1[[#This Row],[Country]],Table20[10km Open Water Classification],"&gt;0")</f>
        <v>0</v>
      </c>
      <c r="KK129" s="6">
        <f>COUNTIFS(Table21[Country],Tabela1[[#This Row],[Country]],Table21[10km Open Water Classification],"&gt;0")</f>
        <v>0</v>
      </c>
      <c r="KL129" s="6">
        <f>COUNTIFS(Table22[Country],Tabela1[[#This Row],[Country]],Table22[Classification],"&gt;0")</f>
        <v>0</v>
      </c>
      <c r="KM129" s="6">
        <f>COUNTIFS(Table30[Country],Tabela1[[#This Row],[Country]],Table30[Classification],"&gt;0")</f>
        <v>0</v>
      </c>
      <c r="KN129" s="6">
        <f>COUNTIFS(Table55[Country],Tabela1[[#This Row],[Country]],Table55[Men''s Classification],"&gt;0")</f>
        <v>0</v>
      </c>
      <c r="KO129" s="6">
        <f>COUNTIFS(Table55[Country],Tabela1[[#This Row],[Country]],Table55[Women''s Classification],"&gt;0")</f>
        <v>0</v>
      </c>
      <c r="KP129" s="6">
        <f>COUNTIFS(Table56[Country],Tabela1[[#This Row],[Country]],Table56[Mixed Classification],"&gt;0")</f>
        <v>0</v>
      </c>
      <c r="KQ129" s="6">
        <f>COUNTIFS(Table29[Country],Tabela1[[#This Row],[Country]],Table29[58kg Classification],"&gt;0")</f>
        <v>0</v>
      </c>
      <c r="KR129" s="6">
        <f>COUNTIFS(Table29[Country],Tabela1[[#This Row],[Country]],Table29[68kg Classification],"&gt;0")</f>
        <v>0</v>
      </c>
      <c r="KS129" s="6">
        <f>COUNTIFS(Table29[Country],Tabela1[[#This Row],[Country]],Table29[80kg Classification],"&gt;0")</f>
        <v>1</v>
      </c>
      <c r="KT129" s="6">
        <f>COUNTIFS(Table29[Country],Tabela1[[#This Row],[Country]],Table29[Plus 80kg Classification],"&gt;0")</f>
        <v>0</v>
      </c>
      <c r="KU129" s="6">
        <f>COUNTIFS(Table34[Country],Tabela1[[#This Row],[Country]],Table34[49kg Classification],"&gt;0")</f>
        <v>0</v>
      </c>
      <c r="KV129" s="6">
        <f>COUNTIFS(Table34[Country],Tabela1[[#This Row],[Country]],Table34[57kg Classification],"&gt;0")</f>
        <v>0</v>
      </c>
      <c r="KW129" s="6">
        <f>COUNTIFS(Table34[Country],Tabela1[[#This Row],[Country]],Table34[67kg Classification],"&gt;0")</f>
        <v>0</v>
      </c>
      <c r="KX129" s="6">
        <f>COUNTIFS(Table34[Country],Tabela1[[#This Row],[Country]],Table34[Plus 67kg Classification],"&gt;0")</f>
        <v>0</v>
      </c>
      <c r="KY129" s="6">
        <f>COUNTIFS(Table57[Country],Tabela1[[#This Row],[Country]],Table57[Classification],"&gt;0")</f>
        <v>0</v>
      </c>
      <c r="KZ129" s="6">
        <f>COUNTIFS(Table58[Country],Tabela1[[#This Row],[Country]],Table58[Classification],"&gt;0")</f>
        <v>0</v>
      </c>
      <c r="LA129" s="6">
        <f>COUNTIFS(Table79[Country],Tabela1[[#This Row],[Country]],Table79[Men''s Classification],"&gt;0")</f>
        <v>0</v>
      </c>
      <c r="LB129" s="6">
        <f>COUNTIFS(Table79[Country],Tabela1[[#This Row],[Country]],Table79[Women''s Classification],"&gt;0")</f>
        <v>0</v>
      </c>
      <c r="LC129" s="6">
        <f>COUNTIFS(Table79[Country],Tabela1[[#This Row],[Country]],Table79[Mixed Classification],"&gt;0")</f>
        <v>0</v>
      </c>
      <c r="LD129" s="6">
        <f>COUNTIFS(Table65[Country],Tabela1[[#This Row],[Country]],Table65[Classification],"&gt;0")</f>
        <v>0</v>
      </c>
      <c r="LE129" s="6">
        <f>COUNTIFS(Table59[Country],Tabela1[[#This Row],[Country]],Table59[Classification],"&gt;0")</f>
        <v>0</v>
      </c>
      <c r="LF129" s="6">
        <f>COUNTIFS(Table87[Country],Tabela1[[#This Row],[Country]],Table87[Mixed Relay Classification],"&gt;0")</f>
        <v>0</v>
      </c>
      <c r="LG129" s="6">
        <f>COUNTIFS(Table91949698100[Country],Tabela1[[#This Row],[Country]],Table91949698100[Men''s Classification],"&gt;0")</f>
        <v>0</v>
      </c>
      <c r="LH129" s="6">
        <f>COUNTIFS(Table91949698100[Country],Tabela1[[#This Row],[Country]],Table91949698100[Women''s Classification],"&gt;0")</f>
        <v>0</v>
      </c>
      <c r="LI129" s="6">
        <f>COUNTIFS(Table91949698100102[Country],Tabela1[[#This Row],[Country]],Table91949698100102[Men''s Classification],"&gt;0")</f>
        <v>0</v>
      </c>
      <c r="LJ129" s="6">
        <f>COUNTIFS(Table91949698100102[Country],Tabela1[[#This Row],[Country]],Table91949698100102[Women''s Classification],"&gt;0")</f>
        <v>0</v>
      </c>
      <c r="LK129" s="6">
        <f>COUNTIFS(Table23[Country],Tabela1[[#This Row],[Country]],Table23[61kg Classification],"&gt;0")</f>
        <v>0</v>
      </c>
      <c r="LL129" s="6">
        <f>COUNTIFS(Table23[Country],Tabela1[[#This Row],[Country]],Table23[73kg Classification],"&gt;0")</f>
        <v>0</v>
      </c>
      <c r="LM129" s="6">
        <f>COUNTIFS(Table23[Country],Tabela1[[#This Row],[Country]],Table23[89kg Classification],"&gt;0")</f>
        <v>0</v>
      </c>
      <c r="LN129" s="6">
        <f>COUNTIFS(Table23[Country],Tabela1[[#This Row],[Country]],Table23[102kg Classification],"&gt;0")</f>
        <v>0</v>
      </c>
      <c r="LO129" s="6">
        <f>COUNTIFS(Table23[Country],Tabela1[[#This Row],[Country]],Table23[Plus 102kg Classification],"&gt;0")</f>
        <v>0</v>
      </c>
      <c r="LP129" s="6">
        <f>COUNTIFS(Table28[Country],Tabela1[[#This Row],[Country]],Table28[49kg Classification],"&gt;0")</f>
        <v>0</v>
      </c>
      <c r="LQ129" s="6">
        <f>COUNTIFS(Table28[Country],Tabela1[[#This Row],[Country]],Table28[59kg Classification],"&gt;0")</f>
        <v>0</v>
      </c>
      <c r="LR129" s="6">
        <f>COUNTIFS(Table28[Country],Tabela1[[#This Row],[Country]],Table28[71kg Classification],"&gt;0")</f>
        <v>0</v>
      </c>
      <c r="LS129" s="6">
        <f>COUNTIFS(Table28[Country],Tabela1[[#This Row],[Country]],Table28[81kg Classification],"&gt;0")</f>
        <v>0</v>
      </c>
      <c r="LT129" s="6">
        <f>COUNTIFS(Table28[Country],Tabela1[[#This Row],[Country]],Table28[Plus 81kg Classification],"&gt;0")</f>
        <v>0</v>
      </c>
      <c r="LU129" s="6">
        <f>COUNTIFS(Table24[Country],Tabela1[[#This Row],[Country]],Table24[Freestyle 57kg Classification],"&gt;0")</f>
        <v>0</v>
      </c>
      <c r="LV129" s="6">
        <f>COUNTIFS(Table24[Country],Tabela1[[#This Row],[Country]],Table24[Freestyle 65kg Classification],"&gt;0")</f>
        <v>0</v>
      </c>
      <c r="LW129" s="6">
        <f>COUNTIFS(Table24[Country],Tabela1[[#This Row],[Country]],Table24[Freestyle 74kg Classification],"&gt;0")</f>
        <v>0</v>
      </c>
      <c r="LX129" s="6">
        <f>COUNTIFS(Table24[Country],Tabela1[[#This Row],[Country]],Table24[Freestyle 86kg Classification],"&gt;0")</f>
        <v>0</v>
      </c>
      <c r="LY129" s="6">
        <f>COUNTIFS(Table24[Country],Tabela1[[#This Row],[Country]],Table24[Freestyle 97kg Classification],"&gt;0")</f>
        <v>0</v>
      </c>
      <c r="LZ129" s="6">
        <f>COUNTIFS(Table24[Country],Tabela1[[#This Row],[Country]],Table24[Freestyle 125kg Classification],"&gt;0")</f>
        <v>0</v>
      </c>
      <c r="MA129" s="6">
        <f>COUNTIFS(Table24[Country],Tabela1[[#This Row],[Country]],Table24[Greco-Roman 60kg Classification],"&gt;0")</f>
        <v>0</v>
      </c>
      <c r="MB129" s="6">
        <f>COUNTIFS(Table24[Country],Tabela1[[#This Row],[Country]],Table24[Greco-Roman 67kg Classification],"&gt;0")</f>
        <v>0</v>
      </c>
      <c r="MC129" s="6">
        <f>COUNTIFS(Table24[Country],Tabela1[[#This Row],[Country]],Table24[Greco-Roman 77kg Classification],"&gt;0")</f>
        <v>0</v>
      </c>
      <c r="MD129" s="6">
        <f>COUNTIFS(Table24[Country],Tabela1[[#This Row],[Country]],Table24[Greco-Roman 87kg Classification],"&gt;0")</f>
        <v>0</v>
      </c>
      <c r="ME129" s="6">
        <f>COUNTIFS(Table24[Country],Tabela1[[#This Row],[Country]],Table24[Greco-Roman 97kg Classification],"&gt;0")</f>
        <v>0</v>
      </c>
      <c r="MF129" s="6">
        <f>COUNTIFS(Table24[Country],Tabela1[[#This Row],[Country]],Table24[Greco-Roman 130kg Classification],"&gt;0")</f>
        <v>0</v>
      </c>
      <c r="MG129" s="6">
        <f>COUNTIFS(Table31[Country],Tabela1[[#This Row],[Country]],Table31[50kg Classification],"&gt;0")</f>
        <v>0</v>
      </c>
      <c r="MH129" s="6">
        <f>COUNTIFS(Table31[Country],Tabela1[[#This Row],[Country]],Table31[53kg Classification],"&gt;0")</f>
        <v>0</v>
      </c>
      <c r="MI129" s="6">
        <f>COUNTIFS(Table31[Country],Tabela1[[#This Row],[Country]],Table31[57kg Classification],"&gt;0")</f>
        <v>0</v>
      </c>
      <c r="MJ129" s="6">
        <f>COUNTIFS(Table31[Country],Tabela1[[#This Row],[Country]],Table31[62kg Classification],"&gt;0")</f>
        <v>0</v>
      </c>
      <c r="MK129" s="6">
        <f>COUNTIFS(Table31[Country],Tabela1[[#This Row],[Country]],Table31[68kg Classification],"&gt;0")</f>
        <v>0</v>
      </c>
      <c r="ML129" s="6">
        <f>COUNTIFS(Table31[Country],Tabela1[[#This Row],[Country]],Table31[76kg Classification],"&gt;0")</f>
        <v>0</v>
      </c>
      <c r="MM129" s="6">
        <f>COUNTIFS(Table102[Country],Tabela1[[#This Row],[Country]],Table102[Downhill Classification],"&gt;0")</f>
        <v>0</v>
      </c>
      <c r="MN129" s="6">
        <f>COUNTIFS(Table102105[Country],Tabela1[[#This Row],[Country]],Table102105[Downhill Classification],"&gt;0")</f>
        <v>0</v>
      </c>
      <c r="MO129" s="6">
        <f>COUNTIFS(Table102[Country],Tabela1[[#This Row],[Country]],Table102[Giant Slalom Classification],"&gt;0")</f>
        <v>0</v>
      </c>
      <c r="MP129" s="6">
        <f>COUNTIFS(Table102105[Country],Tabela1[[#This Row],[Country]],Table102105[Giant Slalom Classification],"&gt;0")</f>
        <v>0</v>
      </c>
      <c r="MQ129" s="6">
        <f>COUNTIFS(Table102[Country],Tabela1[[#This Row],[Country]],Table102[Slalom Classification],"&gt;0")</f>
        <v>0</v>
      </c>
      <c r="MR129" s="6">
        <f>COUNTIFS(Table102105[Country],Tabela1[[#This Row],[Country]],Table102105[Slalom Classification],"&gt;0")</f>
        <v>0</v>
      </c>
      <c r="MS129" s="6">
        <f>COUNTIFS(Table102[Country],Tabela1[[#This Row],[Country]],Table102[Super-G Classification],"&gt;0")</f>
        <v>0</v>
      </c>
      <c r="MT129" s="6">
        <f>COUNTIFS(Table102105[Country],Tabela1[[#This Row],[Country]],Table102105[Super-G Classification],"&gt;0")</f>
        <v>0</v>
      </c>
      <c r="MU129" s="6">
        <f>COUNTIFS(Table105[Country],Tabela1[[#This Row],[Country]],Table105[Men''s Combined Classification],"&gt;0")</f>
        <v>0</v>
      </c>
      <c r="MV129" s="6">
        <f>COUNTIFS(Table105[Country],Tabela1[[#This Row],[Country]],Table105[Women''s Combined Classification],"&gt;0")</f>
        <v>0</v>
      </c>
      <c r="MW129" s="6">
        <f>COUNTIFS(Table106[Country],Tabela1[[#This Row],[Country]],Table106[Individual Classification],"&gt;0")</f>
        <v>0</v>
      </c>
      <c r="MX129" s="6">
        <f>COUNTIFS(Table106109[Country],Tabela1[[#This Row],[Country]],Table106109[Individual Classification],"&gt;0")</f>
        <v>0</v>
      </c>
      <c r="MY129" s="6">
        <f>COUNTIFS(Table106[Country],Tabela1[[#This Row],[Country]],Table106[Mass Start Classification],"&gt;0")</f>
        <v>0</v>
      </c>
      <c r="MZ129" s="6">
        <f>COUNTIFS(Table106109[Country],Tabela1[[#This Row],[Country]],Table106109[Mass Start Classification],"&gt;0")</f>
        <v>0</v>
      </c>
      <c r="NA129" s="6">
        <f>COUNTIFS(Table106[Country],Tabela1[[#This Row],[Country]],Table106[Pursuit Classification],"&gt;0")</f>
        <v>0</v>
      </c>
      <c r="NB129" s="6">
        <f>COUNTIFS(Table106109[Country],Tabela1[[#This Row],[Country]],Table106109[Pursuit Classification],"&gt;0")</f>
        <v>0</v>
      </c>
      <c r="NC129" s="6">
        <f>COUNTIFS(Table106[Country],Tabela1[[#This Row],[Country]],Table106[Sprint Classification],"&gt;0")</f>
        <v>0</v>
      </c>
      <c r="ND129" s="6">
        <f>COUNTIFS(Table106109[Country],Tabela1[[#This Row],[Country]],Table106109[Sprint Classification],"&gt;0")</f>
        <v>0</v>
      </c>
      <c r="NE129" s="6">
        <f>COUNTIFS(Table109[Country],Tabela1[[#This Row],[Country]],Table109[Men''s Relay Classification],"&gt;0")</f>
        <v>0</v>
      </c>
      <c r="NF129" s="6">
        <f>COUNTIFS(Table109[Country],Tabela1[[#This Row],[Country]],Table109[Women''s Relay Classification],"&gt;0")</f>
        <v>0</v>
      </c>
      <c r="NG129" s="6">
        <f>COUNTIFS(Table109[Country],Tabela1[[#This Row],[Country]],Table109[Mixed Relay Classification],"&gt;0")</f>
        <v>0</v>
      </c>
      <c r="NH129" s="6">
        <f>COUNTIFS(Table110[Country],Tabela1[[#This Row],[Country]],Table110[Monobob Classification],"&gt;0")</f>
        <v>0</v>
      </c>
      <c r="NI129" s="6">
        <f>COUNTIFS(Table111[Country],Tabela1[[#This Row],[Country]],Table111[Men''s Classification],"&gt;0")</f>
        <v>0</v>
      </c>
      <c r="NJ129" s="6">
        <f>COUNTIFS(Table111[Country],Tabela1[[#This Row],[Country]],Table111[Women''s Classification],"&gt;0")</f>
        <v>0</v>
      </c>
      <c r="NK129" s="6">
        <f>COUNTIFS(Table112[Country],Tabela1[[#This Row],[Country]],Table112[Men''s Four Classification],"&gt;0")</f>
        <v>0</v>
      </c>
      <c r="NL129" s="6">
        <f>COUNTIFS(Table113[Country],Tabela1[[#This Row],[Country]],Table113[Classical Classification],"&gt;0")</f>
        <v>0</v>
      </c>
      <c r="NM129" s="6">
        <f>COUNTIFS(Table113116[Country],Tabela1[[#This Row],[Country]],Table113116[Classical Classification],"&gt;0")</f>
        <v>0</v>
      </c>
      <c r="NN129" s="6">
        <f>COUNTIFS(Table113[Country],Tabela1[[#This Row],[Country]],Table113[Freestyle Classification],"&gt;0")</f>
        <v>0</v>
      </c>
      <c r="NO129" s="6">
        <f>COUNTIFS(Table113116[Country],Tabela1[[#This Row],[Country]],Table113116[Freestyle Classification],"&gt;0")</f>
        <v>0</v>
      </c>
      <c r="NP129" s="6">
        <f>COUNTIFS(Table117[Country],Tabela1[[#This Row],[Country]],Table117[Men''s Relay Classification],"&gt;0")</f>
        <v>0</v>
      </c>
      <c r="NQ129" s="6">
        <f>COUNTIFS(Table117[Country],Tabela1[[#This Row],[Country]],Table117[Women''s Relay Classification],"&gt;0")</f>
        <v>0</v>
      </c>
      <c r="NR129" s="6">
        <f>COUNTIFS(Table113[Country],Tabela1[[#This Row],[Country]],Table113[Skiathlon Classification],"&gt;0")</f>
        <v>0</v>
      </c>
      <c r="NS129" s="6">
        <f>COUNTIFS(Table113116[Country],Tabela1[[#This Row],[Country]],Table113116[Skiathlon Classification],"&gt;0")</f>
        <v>0</v>
      </c>
      <c r="NT129" s="6">
        <f>COUNTIFS(Table113[Country],Tabela1[[#This Row],[Country]],Table113[Sprint Classification],"&gt;0")</f>
        <v>0</v>
      </c>
      <c r="NU129" s="6">
        <f>COUNTIFS(Table113116[Country],Tabela1[[#This Row],[Country]],Table113116[Sprint Classification],"&gt;0")</f>
        <v>0</v>
      </c>
      <c r="NV129" s="6">
        <f>COUNTIFS(Table116[Country],Tabela1[[#This Row],[Country]],Table116[Men''s Team Sprint Classification],"&gt;0")</f>
        <v>0</v>
      </c>
      <c r="NW129" s="6">
        <f>COUNTIFS(Table116[Country],Tabela1[[#This Row],[Country]],Table116[Women''s Team Sprint Classification],"&gt;0")</f>
        <v>0</v>
      </c>
      <c r="NX129" s="6">
        <f>COUNTIFS(Table119[Country],Tabela1[[#This Row],[Country]],Table119[Men''s Classification],"&gt;0")</f>
        <v>0</v>
      </c>
      <c r="NY129" s="6">
        <f>COUNTIFS(Table119[Country],Tabela1[[#This Row],[Country]],Table119[Women''s Classification],"&gt;0")</f>
        <v>0</v>
      </c>
      <c r="NZ129" s="6">
        <f>COUNTIFS(Table118[Country],Tabela1[[#This Row],[Country]],Table118[Mixed Classification],"&gt;0")</f>
        <v>0</v>
      </c>
      <c r="OA129" s="6">
        <f>COUNTIFS(Table120[Country],Tabela1[[#This Row],[Country]],Table120[Classification],"&gt;0")</f>
        <v>0</v>
      </c>
      <c r="OB129" s="6">
        <f>COUNTIFS(Table120123[Country],Tabela1[[#This Row],[Country]],Table120123[Classification],"&gt;0")</f>
        <v>0</v>
      </c>
      <c r="OC129" s="6">
        <f>COUNTIFS(Table123[Country],Tabela1[[#This Row],[Country]],Table123[Ice Dance Classification],"&gt;0")</f>
        <v>0</v>
      </c>
      <c r="OD129" s="6">
        <f>COUNTIFS(Table123[Country],Tabela1[[#This Row],[Country]],Table123[Pair Skating Classification],"&gt;0")</f>
        <v>0</v>
      </c>
      <c r="OE129" s="6">
        <f>COUNTIFS(Table124[Country],Tabela1[[#This Row],[Country]],Table124[Mixed Classification],"&gt;0")</f>
        <v>0</v>
      </c>
      <c r="OF129" s="6">
        <f>COUNTIFS(Table125[Country],Tabela1[[#This Row],[Country]],Table125[Aerials Classification],"&gt;0")</f>
        <v>0</v>
      </c>
      <c r="OG129" s="6">
        <f>COUNTIFS(Table125128[Country],Tabela1[[#This Row],[Country]],Table125128[Aerials Classification],"&gt;0")</f>
        <v>0</v>
      </c>
      <c r="OH129" s="6">
        <f>COUNTIFS(Table128[Country],Tabela1[[#This Row],[Country]],Table128[Mixed Aerials Classification],"&gt;0")</f>
        <v>0</v>
      </c>
      <c r="OI129" s="6">
        <f>COUNTIFS(Table125[Country],Tabela1[[#This Row],[Country]],Table125[Big Air Classification],"&gt;0")</f>
        <v>0</v>
      </c>
      <c r="OJ129" s="6">
        <f>COUNTIFS(Table125128[Country],Tabela1[[#This Row],[Country]],Table125128[Big Air Classification],"&gt;0")</f>
        <v>0</v>
      </c>
      <c r="OK129" s="6">
        <f>COUNTIFS(Table125[Country],Tabela1[[#This Row],[Country]],Table125[Dual Moguls Classification],"&gt;0")</f>
        <v>0</v>
      </c>
      <c r="OL129" s="6">
        <f>COUNTIFS(Table125128[Country],Tabela1[[#This Row],[Country]],Table125128[Dual Moguls Classification],"&gt;0")</f>
        <v>0</v>
      </c>
      <c r="OM129" s="6">
        <f>COUNTIFS(Table125[Country],Tabela1[[#This Row],[Country]],Table125[Halfpipe Classification],"&gt;0")</f>
        <v>0</v>
      </c>
      <c r="ON129" s="6">
        <f>COUNTIFS(Table125128[Country],Tabela1[[#This Row],[Country]],Table125128[Halfpipe Classification],"&gt;0")</f>
        <v>0</v>
      </c>
      <c r="OO129" s="6">
        <f>COUNTIFS(Table125[Country],Tabela1[[#This Row],[Country]],Table125[Moguls Classification],"&gt;0")</f>
        <v>0</v>
      </c>
      <c r="OP129" s="6">
        <f>COUNTIFS(Table125128[Country],Tabela1[[#This Row],[Country]],Table125128[Moguls Classification],"&gt;0")</f>
        <v>0</v>
      </c>
      <c r="OQ129" s="6">
        <f>COUNTIFS(Table125[Country],Tabela1[[#This Row],[Country]],Table125[Ski Cross Classification],"&gt;0")</f>
        <v>0</v>
      </c>
      <c r="OR129" s="6">
        <f>COUNTIFS(Table125128[Country],Tabela1[[#This Row],[Country]],Table125128[Ski Cross Classification],"&gt;0")</f>
        <v>0</v>
      </c>
      <c r="OS129" s="6">
        <f>COUNTIFS(Table125[Country],Tabela1[[#This Row],[Country]],Table125[Slopestyle Classification],"&gt;0")</f>
        <v>0</v>
      </c>
      <c r="OT129" s="6">
        <f>COUNTIFS(Table125128[Country],Tabela1[[#This Row],[Country]],Table125128[Slopestyle Classification],"&gt;0")</f>
        <v>0</v>
      </c>
      <c r="OU129" s="6">
        <f>COUNTIFS(Table119131[Country],Tabela1[[#This Row],[Country]],Table119131[Men''s Classification],"&gt;0")</f>
        <v>0</v>
      </c>
      <c r="OV129" s="6">
        <f>COUNTIFS(Table119131[Country],Tabela1[[#This Row],[Country]],Table119131[Women''s Classification],"&gt;0")</f>
        <v>0</v>
      </c>
      <c r="OW129" s="6">
        <f>COUNTIFS(Table131[Country],Tabela1[[#This Row],[Country]],Table131[Classification],"&gt;0")</f>
        <v>0</v>
      </c>
      <c r="OX129" s="6">
        <f>COUNTIFS(Table131134[Country],Tabela1[[#This Row],[Country]],Table131134[Classification],"&gt;0")</f>
        <v>0</v>
      </c>
      <c r="OY129" s="6">
        <f>COUNTIFS(Table134[Country],Tabela1[[#This Row],[Country]],Table134[Men''s Classification],"&gt;0")</f>
        <v>0</v>
      </c>
      <c r="OZ129" s="6">
        <f>COUNTIFS(Table134[Country],Tabela1[[#This Row],[Country]],Table134[Women''s Classification],"&gt;0")</f>
        <v>0</v>
      </c>
      <c r="PA129" s="6">
        <f>COUNTIFS(Table135[Country],Tabela1[[#This Row],[Country]],Table135[Mixed Relay Classification],"&gt;0")</f>
        <v>0</v>
      </c>
      <c r="PB129" s="6">
        <f>COUNTIFS(Table136[Country],Tabela1[[#This Row],[Country]],Table136[Individual Classification],"&gt;0")</f>
        <v>0</v>
      </c>
      <c r="PC129" s="6">
        <f>COUNTIFS(Table136[Country],Tabela1[[#This Row],[Country]],Table136[Sprint Classification],"&gt;0")</f>
        <v>0</v>
      </c>
      <c r="PD129" s="6">
        <f>COUNTIFS(Table137[Country],Tabela1[[#This Row],[Country]],Table137[Men''s Team Sprint Large Hill Classification],"&gt;0")</f>
        <v>0</v>
      </c>
      <c r="PE129" s="6">
        <f>COUNTIFS(Table138[Country],Tabela1[[#This Row],[Country]],Table138[500m Classification],"&gt;0")</f>
        <v>0</v>
      </c>
      <c r="PF129" s="6">
        <f>COUNTIFS(Table138141[Country],Tabela1[[#This Row],[Country]],Table138141[500m Classification],"&gt;0")</f>
        <v>0</v>
      </c>
      <c r="PG129" s="6">
        <f>COUNTIFS(Table138[Country],Tabela1[[#This Row],[Country]],Table138[1000m Classification],"&gt;0")</f>
        <v>0</v>
      </c>
      <c r="PH129" s="6">
        <f>COUNTIFS(Table138141[Country],Tabela1[[#This Row],[Country]],Table138141[1000m Classification],"&gt;0")</f>
        <v>0</v>
      </c>
      <c r="PI129" s="6">
        <f>COUNTIFS(Table138[Country],Tabela1[[#This Row],[Country]],Table138[1500m Classification],"&gt;0")</f>
        <v>0</v>
      </c>
      <c r="PJ129" s="6">
        <f>COUNTIFS(Table138141[Country],Tabela1[[#This Row],[Country]],Table138141[1500m Classification],"&gt;0")</f>
        <v>0</v>
      </c>
      <c r="PK129" s="6">
        <f>COUNTIFS(Table141[Country],Tabela1[[#This Row],[Country]],Table141[Men''s 5000m Relay Classification],"&gt;0")</f>
        <v>0</v>
      </c>
      <c r="PL129" s="6">
        <f>COUNTIFS(Table141[Country],Tabela1[[#This Row],[Country]],Table141[Women''s 3000m Relay Classification],"&gt;0")</f>
        <v>0</v>
      </c>
      <c r="PM129" s="6">
        <f>COUNTIFS(Table141[Country],Tabela1[[#This Row],[Country]],Table141[Mixed 2000m Relay Classification],"&gt;0")</f>
        <v>0</v>
      </c>
      <c r="PN129" s="6">
        <f>COUNTIFS(Table142[Country],Tabela1[[#This Row],[Country]],Table142[Classification],"&gt;0")</f>
        <v>0</v>
      </c>
      <c r="PO129" s="6">
        <f>COUNTIFS(Table142145[Country],Tabela1[[#This Row],[Country]],Table142145[Classification],"&gt;0")</f>
        <v>0</v>
      </c>
      <c r="PP129" s="6">
        <f>COUNTIFS(Tabela15[Country],Tabela1[[#This Row],[Country]],Tabela15[Mixed Team Classification],"&gt;0")</f>
        <v>0</v>
      </c>
      <c r="PQ129" s="6">
        <f>COUNTIFS(Table145[Country],Tabela1[[#This Row],[Country]],Table145[Large Hill Classification],"&gt;0")</f>
        <v>0</v>
      </c>
      <c r="PR129" s="6">
        <f>COUNTIFS(Table145[Country],Tabela1[[#This Row],[Country]],Table145[Normal Hill Classification],"&gt;0")</f>
        <v>0</v>
      </c>
      <c r="PS129" s="6">
        <f>COUNTIFS(Table145148[Country],Tabela1[[#This Row],[Country]],Table145148[Large Hill Classification],"&gt;0")</f>
        <v>0</v>
      </c>
      <c r="PT129" s="6">
        <f>COUNTIFS(Table145148[Country],Tabela1[[#This Row],[Country]],Table145148[Normal Hill Classification],"&gt;0")</f>
        <v>0</v>
      </c>
      <c r="PU129" s="6">
        <f>COUNTIFS(Table148[Country],Tabela1[[#This Row],[Country]],Table148[Men''s Super Team Classification],"&gt;0")</f>
        <v>0</v>
      </c>
      <c r="PV129" s="6">
        <f>COUNTIFS(Tabela114[Country],Tabela1[[#This Row],[Country]],Tabela114[Mixed Normal Hill Classification],"&gt;0")</f>
        <v>0</v>
      </c>
      <c r="PW129" s="6">
        <f>COUNTIFS(Tabela50[Country],Tabela1[[#This Row],[Country]],Tabela50[Sprint Classification],"&gt;0")</f>
        <v>0</v>
      </c>
      <c r="PX129" s="6">
        <f>COUNTIFS(Tabela50101[Country],Tabela1[[#This Row],[Country]],Tabela50101[Sprint Classification],"&gt;0")</f>
        <v>0</v>
      </c>
      <c r="PY129" s="6">
        <f>COUNTIFS(Tabela103[Country],Tabela1[[#This Row],[Country]],Tabela103[Mixed Relay Classification],"&gt;0")</f>
        <v>0</v>
      </c>
      <c r="PZ129" s="6">
        <f>COUNTIFS(Table149[Country],Tabela1[[#This Row],[Country]],Table149[Big Air Classification],"&gt;0")</f>
        <v>0</v>
      </c>
      <c r="QA129" s="6">
        <f>COUNTIFS(Table149152[Country],Tabela1[[#This Row],[Country]],Table149152[Big Air Classification],"&gt;0")</f>
        <v>0</v>
      </c>
      <c r="QB129" s="6">
        <f>COUNTIFS(Table149[Country],Tabela1[[#This Row],[Country]],Table149[Halfpipe Classification],"&gt;0")</f>
        <v>0</v>
      </c>
      <c r="QC129" s="6">
        <f>COUNTIFS(Table149152[Country],Tabela1[[#This Row],[Country]],Table149152[Halfpipe Classification],"&gt;0")</f>
        <v>0</v>
      </c>
      <c r="QD129" s="6">
        <f>COUNTIFS(Table149[Country],Tabela1[[#This Row],[Country]],Table149[Parallel Giant Slalom Classification],"&gt;0")</f>
        <v>0</v>
      </c>
      <c r="QE129" s="6">
        <f>COUNTIFS(Table149152[Country],Tabela1[[#This Row],[Country]],Table149152[Parallel Giant Slalom Classification],"&gt;0")</f>
        <v>0</v>
      </c>
      <c r="QF129" s="6">
        <f>COUNTIFS(Table149[Country],Tabela1[[#This Row],[Country]],Table149[Slopestyle Classification],"&gt;0")</f>
        <v>0</v>
      </c>
      <c r="QG129" s="6">
        <f>COUNTIFS(Table149152[Country],Tabela1[[#This Row],[Country]],Table149152[Slopestyle Classification],"&gt;0")</f>
        <v>0</v>
      </c>
      <c r="QH129" s="6">
        <f>COUNTIFS(Table149[Country],Tabela1[[#This Row],[Country]],Table149[Snowboard Cross Classification],"&gt;0")</f>
        <v>0</v>
      </c>
      <c r="QI129" s="6">
        <f>COUNTIFS(Table149152[Country],Tabela1[[#This Row],[Country]],Table149152[Snowboard Cross Classification],"&gt;0")</f>
        <v>0</v>
      </c>
      <c r="QJ129" s="6">
        <f>COUNTIFS(Table153[Country],Tabela1[[#This Row],[Country]],Table153[Mixed Team Snowboard Cross Classification],"&gt;0")</f>
        <v>0</v>
      </c>
      <c r="QK129" s="6">
        <f>COUNTIFS(Table154[Country],Tabela1[[#This Row],[Country]],Table154[500m Classification],"&gt;0")</f>
        <v>0</v>
      </c>
      <c r="QL129" s="6">
        <f>COUNTIFS(Table154157[Country],Tabela1[[#This Row],[Country]],Table154157[500m Classification],"&gt;0")</f>
        <v>0</v>
      </c>
      <c r="QM129" s="6">
        <f>COUNTIFS(Table154[Country],Tabela1[[#This Row],[Country]],Table154[1000m Classification],"&gt;0")</f>
        <v>0</v>
      </c>
      <c r="QN129" s="6">
        <f>COUNTIFS(Table154157[Country],Tabela1[[#This Row],[Country]],Table154157[1000m Classification],"&gt;0")</f>
        <v>0</v>
      </c>
      <c r="QO129" s="6">
        <f>COUNTIFS(Table154[Country],Tabela1[[#This Row],[Country]],Table154[1500m Classification],"&gt;0")</f>
        <v>0</v>
      </c>
      <c r="QP129" s="6">
        <f>COUNTIFS(Table154157[Country],Tabela1[[#This Row],[Country]],Table154157[1500m Classification],"&gt;0")</f>
        <v>0</v>
      </c>
      <c r="QQ129" s="6">
        <f>COUNTIFS(Table154157[Country],Tabela1[[#This Row],[Country]],Table154157[3000m Classification],"&gt;0")</f>
        <v>0</v>
      </c>
      <c r="QR129" s="6">
        <f>COUNTIFS(Table154[Country],Tabela1[[#This Row],[Country]],Table154[5000m Classification],"&gt;0")</f>
        <v>0</v>
      </c>
      <c r="QS129" s="6">
        <f>COUNTIFS(Table154157[Country],Tabela1[[#This Row],[Country]],Table154157[5000m Classification],"&gt;0")</f>
        <v>0</v>
      </c>
      <c r="QT129" s="6">
        <f>COUNTIFS(Table154[Country],Tabela1[[#This Row],[Country]],Table154[10000m Classification],"&gt;0")</f>
        <v>0</v>
      </c>
      <c r="QU129" s="6">
        <f>COUNTIFS(Table154[Country],Tabela1[[#This Row],[Country]],Table154[Mass Start Classification],"&gt;0")</f>
        <v>0</v>
      </c>
      <c r="QV129" s="6">
        <f>COUNTIFS(Table154157[Country],Tabela1[[#This Row],[Country]],Table154157[Mass Start Classification],"&gt;0")</f>
        <v>0</v>
      </c>
      <c r="QW129" s="6">
        <f>COUNTIFS(Table157[Country],Tabela1[[#This Row],[Country]],Table157[Men''s Pursuit Classification],"&gt;0")</f>
        <v>0</v>
      </c>
      <c r="QX129" s="6">
        <f>COUNTIFS(Table157[Country],Tabela1[[#This Row],[Country]],Table157[Women''s Pursuit Classification],"&gt;0")</f>
        <v>0</v>
      </c>
      <c r="QY129" s="4" t="s">
        <v>489</v>
      </c>
    </row>
    <row r="130" spans="1:467" x14ac:dyDescent="0.3">
      <c r="A130" s="6">
        <v>129</v>
      </c>
      <c r="B130" s="6" t="s">
        <v>484</v>
      </c>
      <c r="C130" t="e" vm="129">
        <f>IF(ISBLANK(Tabela1[[#This Row],[Image Link]]), "", _xlfn.IMAGE(Tabela1[[#This Row],[Image Link]],1,1))</f>
        <v>#VALUE!</v>
      </c>
      <c r="D130" s="6">
        <f>SUM(Tabela1[[#This Row],[Archery - Men''s Individual Recurve]:[Speed Skating - Women''s Team Pursuit]])</f>
        <v>2</v>
      </c>
      <c r="E130" s="6">
        <f>COUNTIF(Tabela1[[#This Row],[Archery - Men''s Individual Recurve]:[Speed Skating - Women''s Team Pursuit]],"&gt;0")</f>
        <v>2</v>
      </c>
      <c r="F130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30" s="6">
        <f>SUM(Tabela1[[#This Row],[Archery - Men''s Individual Recurve]:[Wrestling - Women''s Freestyle 76kg]])</f>
        <v>2</v>
      </c>
      <c r="H130" s="6">
        <f>SUM(Tabela1[[#This Row],[Alpine Skiing - Men''s Downhill]:[Speed Skating - Women''s Team Pursuit]])</f>
        <v>0</v>
      </c>
      <c r="I130" s="6">
        <f>Tabela1[[#This Row],[Summer Gold Medals]]+Tabela1[[#This Row],[Winter Gold Medals]]</f>
        <v>0</v>
      </c>
      <c r="J130" s="6">
        <f>Tabela1[[#This Row],[Summer Silver Medals]]+Tabela1[[#This Row],[Winter Silver Medals]]</f>
        <v>0</v>
      </c>
      <c r="K130" s="6">
        <f>Tabela1[[#This Row],[Summer Bronze Medals]]+Tabela1[[#This Row],[Winter Bronze Medals]]</f>
        <v>0</v>
      </c>
      <c r="L130" s="6">
        <f>SUM(Tabela1[[#This Row],[Total Gold Medals]:[Total Bronze Medals]])</f>
        <v>0</v>
      </c>
      <c r="M130" s="6"/>
      <c r="N130" s="6"/>
      <c r="O130" s="6"/>
      <c r="P130" s="6">
        <f>SUM(Tabela1[[#This Row],[Summer Gold Medals]:[Summer Bronze Medals]])</f>
        <v>0</v>
      </c>
      <c r="Q130" s="6"/>
      <c r="R130" s="6"/>
      <c r="S130" s="6"/>
      <c r="T130" s="6">
        <f>Tabela1[[#This Row],[Winter Gold Medals]]+Tabela1[[#This Row],[Winter Silver Medals]]+Tabela1[[#This Row],[Winter Bronze Medals]]</f>
        <v>0</v>
      </c>
      <c r="U130" s="7">
        <f>Tabela1[[#This Row],[Total Medals]]/Tabela1[[#This Row],[Total Quotas]]</f>
        <v>0</v>
      </c>
      <c r="V130" s="6">
        <f>COUNTIFS(Table3[Country],Tabela1[[#This Row],[Country]],Table3[Recurve Classification],"&gt;0")</f>
        <v>0</v>
      </c>
      <c r="W130" s="6">
        <f>COUNTIFS(Table33[Country],Tabela1[[#This Row],[Country]],Table33[Recurve Classification],"&gt;0")</f>
        <v>0</v>
      </c>
      <c r="X130" s="6">
        <f>COUNTIFS(Table35[Country],Tabela1[[#This Row],[Country]],Table35[Men''s Team Recurve Classification],"&gt;0")</f>
        <v>0</v>
      </c>
      <c r="Y130" s="6">
        <f>COUNTIFS(Table35[Country],Tabela1[[#This Row],[Country]],Table35[Women''s Team Recurve Classification],"&gt;0")</f>
        <v>0</v>
      </c>
      <c r="Z130" s="6">
        <f>COUNTIFS(Tabela88[Country],Tabela1[[#This Row],[Country]],Tabela88[Mixed Team Recurve Classification],"&gt;0")</f>
        <v>0</v>
      </c>
      <c r="AA130" s="6">
        <f>COUNTIFS(Table36[Country],Tabela1[[#This Row],[Country]],Table36[Classification],"&gt;0")</f>
        <v>0</v>
      </c>
      <c r="AB130" s="6">
        <f>COUNTIFS(Table37[Country],Tabela1[[#This Row],[Country]],Table37[Classification],"&gt;0")</f>
        <v>0</v>
      </c>
      <c r="AC130" s="6">
        <f>COUNTIFS(Table4[Country],Tabela1[[#This Row],[Country]],Table4[100m Classification],"&gt;0")</f>
        <v>0</v>
      </c>
      <c r="AD130" s="6">
        <f>COUNTIFS(Table5[Country],Tabela1[[#This Row],[Country]],Table5[100m Classification],"&gt;0")</f>
        <v>0</v>
      </c>
      <c r="AE130" s="6">
        <f>COUNTIFS(Table4[Country],Tabela1[[#This Row],[Country]],Table4[200m Classification],"&gt;0")</f>
        <v>0</v>
      </c>
      <c r="AF130" s="6">
        <f>COUNTIFS(Table5[Country],Tabela1[[#This Row],[Country]],Table5[200m Classification],"&gt;0")</f>
        <v>0</v>
      </c>
      <c r="AG130" s="6">
        <f>COUNTIFS(Table4[Country],Tabela1[[#This Row],[Country]],Table4[400m Classification],"&gt;0")</f>
        <v>0</v>
      </c>
      <c r="AH130" s="6">
        <f>COUNTIFS(Table5[Country],Tabela1[[#This Row],[Country]],Table5[400m Classification],"&gt;0")</f>
        <v>0</v>
      </c>
      <c r="AI130" s="6">
        <f>COUNTIFS(Table4[Country],Tabela1[[#This Row],[Country]],Table4[800m Classification],"&gt;0")</f>
        <v>0</v>
      </c>
      <c r="AJ130" s="6">
        <f>COUNTIFS(Table5[Country],Tabela1[[#This Row],[Country]],Table5[800m Classification],"&gt;0")</f>
        <v>0</v>
      </c>
      <c r="AK130" s="6">
        <f>COUNTIFS(Table4[Country],Tabela1[[#This Row],[Country]],Table4[1500m Classification],"&gt;0")</f>
        <v>0</v>
      </c>
      <c r="AL130" s="6">
        <f>COUNTIFS(Table5[Country],Tabela1[[#This Row],[Country]],Table5[1500m Classification],"&gt;0")</f>
        <v>0</v>
      </c>
      <c r="AM130" s="6">
        <f>COUNTIFS(Table4[Country],Tabela1[[#This Row],[Country]],Table4[5000m Classification],"&gt;0")</f>
        <v>1</v>
      </c>
      <c r="AN130" s="6">
        <f>COUNTIFS(Table5[Country],Tabela1[[#This Row],[Country]],Table5[5000m Classification],"&gt;0")</f>
        <v>0</v>
      </c>
      <c r="AO130" s="6">
        <f>COUNTIFS(Table4[Country],Tabela1[[#This Row],[Country]],Table4[10000m Classification],"&gt;0")</f>
        <v>0</v>
      </c>
      <c r="AP130" s="6">
        <f>COUNTIFS(Table5[Country],Tabela1[[#This Row],[Country]],Table5[10000m Classification],"&gt;0")</f>
        <v>0</v>
      </c>
      <c r="AQ130" s="6">
        <f>COUNTIFS(Table4[Country],Tabela1[[#This Row],[Country]],Table4[110m Hurdles Classification],"&gt;0")</f>
        <v>0</v>
      </c>
      <c r="AR130" s="6">
        <f>COUNTIFS(Table5[Country],Tabela1[[#This Row],[Country]],Table5[100m Hurdles Classification],"&gt;0")</f>
        <v>0</v>
      </c>
      <c r="AS130" s="6">
        <f>COUNTIFS(Table4[Country],Tabela1[[#This Row],[Country]],Table4[400m Hurdles Classification],"&gt;0")</f>
        <v>0</v>
      </c>
      <c r="AT130" s="6">
        <f>COUNTIFS(Table5[Country],Tabela1[[#This Row],[Country]],Table5[400m Hurdles Classification],"&gt;0")</f>
        <v>0</v>
      </c>
      <c r="AU130" s="6">
        <f>COUNTIFS(Table4[Country],Tabela1[[#This Row],[Country]],Table4[3000m Steeplechase Classification],"&gt;0")</f>
        <v>0</v>
      </c>
      <c r="AV130" s="6">
        <f>COUNTIFS(Table5[Country],Tabela1[[#This Row],[Country]],Table5[3000m Steeplechase Classification],"&gt;0")</f>
        <v>0</v>
      </c>
      <c r="AW130" s="6">
        <f>COUNTIFS(Table27[Country],Tabela1[[#This Row],[Country]],Table27[Men''s 4x100m Relay Classification],"&gt;0")</f>
        <v>0</v>
      </c>
      <c r="AX130" s="6">
        <f>COUNTIFS(Table27[Country],Tabela1[[#This Row],[Country]],Table27[Women''s 4x100m Relay Classification],"&gt;0")</f>
        <v>0</v>
      </c>
      <c r="AY130" s="6">
        <f>COUNTIFS(Table27[Country],Tabela1[[#This Row],[Country]],Table27[Men''s 4x400m Relay Classification],"&gt;0")</f>
        <v>0</v>
      </c>
      <c r="AZ130" s="6">
        <f>COUNTIFS(Table27[Country],Tabela1[[#This Row],[Country]],Table27[Women''s 4x400m Relay Classification],"&gt;0")</f>
        <v>0</v>
      </c>
      <c r="BA130" s="6">
        <f>COUNTIFS(Table27[Country],Tabela1[[#This Row],[Country]],Table27[Mixed 4x400m Relay Classification],"&gt;0")</f>
        <v>0</v>
      </c>
      <c r="BB130" s="6">
        <f>COUNTIFS(Table4[Country],Tabela1[[#This Row],[Country]],Table4[Marathon Classification],"&gt;0")</f>
        <v>0</v>
      </c>
      <c r="BC130" s="6">
        <f>COUNTIFS(Table5[Country],Tabela1[[#This Row],[Country]],Table5[Marathon Classification],"&gt;0")</f>
        <v>0</v>
      </c>
      <c r="BD130" s="6">
        <f>COUNTIFS(Table4[Country],Tabela1[[#This Row],[Country]],Table4[20km Race Walk Classification],"&gt;0")</f>
        <v>0</v>
      </c>
      <c r="BE130" s="6">
        <f>COUNTIFS(Table5[Country],Tabela1[[#This Row],[Country]],Table5[20km Race Walk Classification],"&gt;0")</f>
        <v>0</v>
      </c>
      <c r="BF130" s="6">
        <f>COUNTIFS(Tabela96[Country],Tabela1[[#This Row],[Country]],Tabela96[Mixed Marathon Race Walk Relay Classification],"&gt;0")</f>
        <v>0</v>
      </c>
      <c r="BG130" s="6">
        <f>COUNTIFS(Table4[Country],Tabela1[[#This Row],[Country]],Table4[Discus Throw Classification],"&gt;0")</f>
        <v>0</v>
      </c>
      <c r="BH130" s="6">
        <f>COUNTIFS(Table5[Country],Tabela1[[#This Row],[Country]],Table5[Discus Throw Classification],"&gt;0")</f>
        <v>0</v>
      </c>
      <c r="BI130" s="6">
        <f>COUNTIFS(Table4[Country],Tabela1[[#This Row],[Country]],Table4[Hammer Throw Classification],"&gt;0")</f>
        <v>0</v>
      </c>
      <c r="BJ130" s="6">
        <f>COUNTIFS(Table5[Country],Tabela1[[#This Row],[Country]],Table5[Hammer Throw Classification],"&gt;0")</f>
        <v>0</v>
      </c>
      <c r="BK130" s="6">
        <f>COUNTIFS(Table4[Country],Tabela1[[#This Row],[Country]],Table4[High Jump Classification],"&gt;0")</f>
        <v>0</v>
      </c>
      <c r="BL130" s="6">
        <f>COUNTIFS(Table5[Country],Tabela1[[#This Row],[Country]],Table5[High Jump Classification],"&gt;0")</f>
        <v>0</v>
      </c>
      <c r="BM130" s="6">
        <f>COUNTIFS(Table4[Country],Tabela1[[#This Row],[Country]],Table4[Javelin Throw Classification],"&gt;0")</f>
        <v>0</v>
      </c>
      <c r="BN130" s="6">
        <f>COUNTIFS(Table5[Country],Tabela1[[#This Row],[Country]],Table5[Javelin Throw Classification],"&gt;0")</f>
        <v>0</v>
      </c>
      <c r="BO130" s="6">
        <f>COUNTIFS(Table4[Country],Tabela1[[#This Row],[Country]],Table4[Long Jump Classification],"&gt;0")</f>
        <v>0</v>
      </c>
      <c r="BP130" s="6">
        <f>COUNTIFS(Table5[Country],Tabela1[[#This Row],[Country]],Table5[Long Jump Classification],"&gt;0")</f>
        <v>0</v>
      </c>
      <c r="BQ130" s="6">
        <f>COUNTIFS(Table4[Country],Tabela1[[#This Row],[Country]],Table4[Pole Vault Classification],"&gt;0")</f>
        <v>0</v>
      </c>
      <c r="BR130" s="6">
        <f>COUNTIFS(Table5[Country],Tabela1[[#This Row],[Country]],Table5[Pole Vault Classification],"&gt;0")</f>
        <v>0</v>
      </c>
      <c r="BS130" s="6">
        <f>COUNTIFS(Table4[Country],Tabela1[[#This Row],[Country]],Table4[Shot Put Classification],"&gt;0")</f>
        <v>0</v>
      </c>
      <c r="BT130" s="6">
        <f>COUNTIFS(Table5[Country],Tabela1[[#This Row],[Country]],Table5[Shot Put Classification],"&gt;0")</f>
        <v>0</v>
      </c>
      <c r="BU130" s="6">
        <f>COUNTIFS(Table4[Country],Tabela1[[#This Row],[Country]],Table4[Triple Jump Classification],"&gt;0")</f>
        <v>0</v>
      </c>
      <c r="BV130" s="6">
        <f>COUNTIFS(Table5[Country],Tabela1[[#This Row],[Country]],Table5[Triple Jump Classification],"&gt;0")</f>
        <v>0</v>
      </c>
      <c r="BW130" s="6">
        <f>COUNTIFS(Table4[Country],Tabela1[[#This Row],[Country]],Table4[Decathlon Classification],"&gt;0")</f>
        <v>0</v>
      </c>
      <c r="BX130" s="6">
        <f>COUNTIFS(Table5[Country],Tabela1[[#This Row],[Country]],Table5[Heptathlon Classification],"&gt;0")</f>
        <v>0</v>
      </c>
      <c r="BY130" s="6">
        <f>COUNTIFS(Table61[Country],Tabela1[[#This Row],[Country]],Table61[Classification],"&gt;0")</f>
        <v>0</v>
      </c>
      <c r="BZ130" s="6">
        <f>COUNTIFS(Table38[Country],Tabela1[[#This Row],[Country]],Table38[Classification],"&gt;0")</f>
        <v>0</v>
      </c>
      <c r="CA130" s="6">
        <f>COUNTIFS(Table39[Country],Tabela1[[#This Row],[Country]],Table39[Men''s Classification],"&gt;0")</f>
        <v>0</v>
      </c>
      <c r="CB130" s="6">
        <f>COUNTIFS(Table39[Country],Tabela1[[#This Row],[Country]],Table39[Women''s Classification],"&gt;0")</f>
        <v>0</v>
      </c>
      <c r="CC130" s="6">
        <f>COUNTIFS(Table39[Country],Tabela1[[#This Row],[Country]],Table39[Mixed Classification],"&gt;0")</f>
        <v>0</v>
      </c>
      <c r="CD130" s="6">
        <f>COUNTIFS(Table89[Country],Tabela1[[#This Row],[Country]],Table89[Men''s Classification],"&gt;0")</f>
        <v>0</v>
      </c>
      <c r="CE130" s="6">
        <f>COUNTIFS(Table89[Country],Tabela1[[#This Row],[Country]],Table89[Women''s Classification],"&gt;0")</f>
        <v>0</v>
      </c>
      <c r="CF130" s="6">
        <f>COUNTIFS(Table90[Country],Tabela1[[#This Row],[Country]],Table90[Men''s Classification],"&gt;0")</f>
        <v>0</v>
      </c>
      <c r="CG130" s="6">
        <f>COUNTIFS(Table90[Country],Tabela1[[#This Row],[Country]],Table90[Women''s Classification],"&gt;0")</f>
        <v>0</v>
      </c>
      <c r="CH130" s="6">
        <f>COUNTIFS(Table60[Country],Tabela1[[#This Row],[Country]],Table60[Men''s Classification],"&gt;0")</f>
        <v>0</v>
      </c>
      <c r="CI130" s="6">
        <f>COUNTIFS(Table60[Country],Tabela1[[#This Row],[Country]],Table60[Women''s Classification],"&gt;0")</f>
        <v>0</v>
      </c>
      <c r="CJ130" s="6">
        <f>COUNTIFS(Table6[Country],Tabela1[[#This Row],[Country]],Table6[51kg Classification],"&gt;0")</f>
        <v>0</v>
      </c>
      <c r="CK130" s="6">
        <f>COUNTIFS(Table6[Country],Tabela1[[#This Row],[Country]],Table6[57kg Classification],"&gt;0")</f>
        <v>0</v>
      </c>
      <c r="CL130" s="6">
        <f>COUNTIFS(Table6[Country],Tabela1[[#This Row],[Country]],Table6[63.5kg Classification],"&gt;0")</f>
        <v>0</v>
      </c>
      <c r="CM130" s="6">
        <f>COUNTIFS(Table6[Country],Tabela1[[#This Row],[Country]],Table6[71kg Classification],"&gt;0")</f>
        <v>0</v>
      </c>
      <c r="CN130" s="6">
        <f>COUNTIFS(Table6[Country],Tabela1[[#This Row],[Country]],Table6[80kg Classification],"&gt;0")</f>
        <v>0</v>
      </c>
      <c r="CO130" s="6">
        <f>COUNTIFS(Table6[Country],Tabela1[[#This Row],[Country]],Table6[92kg Classification],"&gt;0")</f>
        <v>0</v>
      </c>
      <c r="CP130" s="6">
        <f>COUNTIFS(Table6[Country],Tabela1[[#This Row],[Country]],Table6[Plus 92kg Classification],"&gt;0")</f>
        <v>0</v>
      </c>
      <c r="CQ130" s="6">
        <f>COUNTIFS(Table7[Country],Tabela1[[#This Row],[Country]],Table7[50kg Classification],"&gt;0")</f>
        <v>0</v>
      </c>
      <c r="CR130" s="6">
        <f>COUNTIFS(Table7[Country],Tabela1[[#This Row],[Country]],Table7[54kg Classification],"&gt;0")</f>
        <v>0</v>
      </c>
      <c r="CS130" s="6">
        <f>COUNTIFS(Table7[Country],Tabela1[[#This Row],[Country]],Table7[57kg Classification],"&gt;0")</f>
        <v>0</v>
      </c>
      <c r="CT130" s="6">
        <f>COUNTIFS(Table7[Country],Tabela1[[#This Row],[Country]],Table7[60kg Classification],"&gt;0")</f>
        <v>0</v>
      </c>
      <c r="CU130" s="6">
        <f>COUNTIFS(Table7[Country],Tabela1[[#This Row],[Country]],Table7[66kg Classification],"&gt;0")</f>
        <v>0</v>
      </c>
      <c r="CV130" s="6">
        <f>COUNTIFS(Table7[Country],Tabela1[[#This Row],[Country]],Table7[75kg Classification],"&gt;0")</f>
        <v>0</v>
      </c>
      <c r="CW130" s="6">
        <f>COUNTIFS(Tabela94[Country],Tabela1[[#This Row],[Country]],Tabela94[Classification],"&gt;0")</f>
        <v>0</v>
      </c>
      <c r="CX130" s="6">
        <f>COUNTIFS(Tabela9499[Country],Tabela1[[#This Row],[Country]],Tabela9499[Classification],"&gt;0")</f>
        <v>0</v>
      </c>
      <c r="CY130" s="6">
        <f>COUNTIFS(Tabela107[Country],Tabela1[[#This Row],[Country]],Tabela107[C1 Slalom Classification],"&gt;0")</f>
        <v>0</v>
      </c>
      <c r="CZ130" s="6">
        <f>COUNTIFS(Tabela107122[Country],Tabela1[[#This Row],[Country]],Tabela107122[C1 Slalom Classification],"&gt;0")</f>
        <v>0</v>
      </c>
      <c r="DA130" s="6">
        <f>COUNTIFS(Tabela107[Country],Tabela1[[#This Row],[Country]],Tabela107[K1 Slalom Classification],"&gt;0")</f>
        <v>0</v>
      </c>
      <c r="DB130" s="6">
        <f>COUNTIFS(Tabela107122[Country],Tabela1[[#This Row],[Country]],Tabela107122[K1 Slalom Classification],"&gt;0")</f>
        <v>0</v>
      </c>
      <c r="DC130" s="6">
        <f>COUNTIFS(Tabela107[Country],Tabela1[[#This Row],[Country]],Tabela107[Kayak Cross Slalom Classification],"&gt;0")</f>
        <v>0</v>
      </c>
      <c r="DD130" s="6">
        <f>COUNTIFS(Tabela107122[Country],Tabela1[[#This Row],[Country]],Tabela107122[Kayak Cross Slalom Classification],"&gt;0")</f>
        <v>0</v>
      </c>
      <c r="DE130" s="6">
        <f>COUNTIFS(Table8[Country],Tabela1[[#This Row],[Country]],Table8[C1 200m Classification],"&gt;0")</f>
        <v>0</v>
      </c>
      <c r="DF130" s="6">
        <f>COUNTIFS(Table40[Country],Tabela1[[#This Row],[Country]],Table40[C1 1000m Classification],"&gt;0")</f>
        <v>0</v>
      </c>
      <c r="DG130" s="6">
        <f>COUNTIFS(Table68[Country],Tabela1[[#This Row],[Country]],Table68[Men''s C2 500m Classification],"&gt;0")</f>
        <v>0</v>
      </c>
      <c r="DH130" s="6">
        <f>COUNTIFS(Table68[Country],Tabela1[[#This Row],[Country]],Table68[Women''s C2 500m Classification],"&gt;0")</f>
        <v>0</v>
      </c>
      <c r="DI130" s="6">
        <f>COUNTIFS(Table8[Country],Tabela1[[#This Row],[Country]],Table8[K1 500m Classification],"&gt;0")</f>
        <v>0</v>
      </c>
      <c r="DJ130" s="6">
        <f>COUNTIFS(Table40[Country],Tabela1[[#This Row],[Country]],Table40[K1 1000m Classification],"&gt;0")</f>
        <v>0</v>
      </c>
      <c r="DK130" s="6">
        <f>COUNTIFS(Table68[Country],Tabela1[[#This Row],[Country]],Table68[Men''s K2 500m Classification],"&gt;0")</f>
        <v>0</v>
      </c>
      <c r="DL130" s="6">
        <f>COUNTIFS(Table68[Country],Tabela1[[#This Row],[Country]],Table68[Women''s K2 500m Classification],"&gt;0")</f>
        <v>0</v>
      </c>
      <c r="DM130" s="6">
        <f>COUNTIFS(Table83[Country],Tabela1[[#This Row],[Country]],Table83[Men''s K4 500m Classification],"&gt;0")</f>
        <v>0</v>
      </c>
      <c r="DN130" s="6">
        <f>COUNTIFS(Table83[Country],Tabela1[[#This Row],[Country]],Table83[Women''s K4 500m Classification],"&gt;0")</f>
        <v>0</v>
      </c>
      <c r="DO130" s="6">
        <f>COUNTIFS(Tabela126[Country],Tabela1[[#This Row],[Country]],Tabela126[Classification],"&gt;0")</f>
        <v>0</v>
      </c>
      <c r="DP130" s="6">
        <f>COUNTIFS(Tabela126130[Country],Tabela1[[#This Row],[Country]],Tabela126130[Classification],"&gt;0")</f>
        <v>0</v>
      </c>
      <c r="DQ130" s="6">
        <f>COUNTIFS(Table70[Country],Tabela1[[#This Row],[Country]],Table70[Classification],"&gt;0")</f>
        <v>0</v>
      </c>
      <c r="DR130" s="6">
        <f>COUNTIFS(Table80[Country],Tabela1[[#This Row],[Country]],Table80[Classification],"&gt;0")</f>
        <v>0</v>
      </c>
      <c r="DS130" s="6">
        <f>COUNTIFS(Table66[Country],Tabela1[[#This Row],[Country]],Table66[Classification],"&gt;0")</f>
        <v>0</v>
      </c>
      <c r="DT130" s="6">
        <f>COUNTIFS(Table67[Country],Tabela1[[#This Row],[Country]],Table67[Classification],"&gt;0")</f>
        <v>0</v>
      </c>
      <c r="DU130" s="6">
        <f>COUNTIFS(Table69[Country],Tabela1[[#This Row],[Country]],Table69[Keirin Classification],"&gt;0")</f>
        <v>0</v>
      </c>
      <c r="DV130" s="6">
        <f>COUNTIFS(Table41[Country],Tabela1[[#This Row],[Country]],Table41[Keirin Classification],"&gt;0")</f>
        <v>0</v>
      </c>
      <c r="DW130" s="6">
        <f>COUNTIFS(Table84[Country],Tabela1[[#This Row],[Country]],Table84[Men''s Madison Classification],"&gt;0")</f>
        <v>0</v>
      </c>
      <c r="DX130" s="6">
        <f>COUNTIFS(Table84[Country],Tabela1[[#This Row],[Country]],Table84[Women''s Madison Classification],"&gt;0")</f>
        <v>0</v>
      </c>
      <c r="DY130" s="6">
        <f>COUNTIFS(Table69[Country],Tabela1[[#This Row],[Country]],Table69[Omnium Classification],"&gt;0")</f>
        <v>0</v>
      </c>
      <c r="DZ130" s="6">
        <f>COUNTIFS(Table41[Country],Tabela1[[#This Row],[Country]],Table41[Omnium Classification],"&gt;0")</f>
        <v>0</v>
      </c>
      <c r="EA130" s="6">
        <f>COUNTIFS(Table9[Country],Tabela1[[#This Row],[Country]],Table9[Road Race Classification],"&gt;0")</f>
        <v>0</v>
      </c>
      <c r="EB130" s="6">
        <f>COUNTIFS(Table14[Country],Tabela1[[#This Row],[Country]],Table14[Road Race Classification],"&gt;0")</f>
        <v>0</v>
      </c>
      <c r="EC130" s="6">
        <f>COUNTIFS(Table69[Country],Tabela1[[#This Row],[Country]],Table69[Sprint Classification],"&gt;0")</f>
        <v>0</v>
      </c>
      <c r="ED130" s="6">
        <f>COUNTIFS(Table41[Country],Tabela1[[#This Row],[Country]],Table41[Sprint Classification],"&gt;0")</f>
        <v>0</v>
      </c>
      <c r="EE130" s="6">
        <f>COUNTIFS(Table85[Country],Tabela1[[#This Row],[Country]],Table85[Men''s Sprint Classification],"&gt;0")</f>
        <v>0</v>
      </c>
      <c r="EF130" s="6">
        <f>COUNTIFS(Table85[Country],Tabela1[[#This Row],[Country]],Table85[Women''s Sprint Classification],"&gt;0")</f>
        <v>0</v>
      </c>
      <c r="EG130" s="6">
        <f>COUNTIFS(Table85[Country],Tabela1[[#This Row],[Country]],Table85[Men''s Pursuit Classification],"&gt;0")</f>
        <v>0</v>
      </c>
      <c r="EH130" s="6">
        <f>COUNTIFS(Table85[Country],Tabela1[[#This Row],[Country]],Table85[Women''s Pursuit Classification],"&gt;0")</f>
        <v>0</v>
      </c>
      <c r="EI130" s="6">
        <f>COUNTIFS(Table9[Country],Tabela1[[#This Row],[Country]],Table9[Time-Trial Classification],"&gt;0")</f>
        <v>0</v>
      </c>
      <c r="EJ130" s="6">
        <f>COUNTIFS(Table14[Country],Tabela1[[#This Row],[Country]],Table14[Time-Trial Classification],"&gt;0")</f>
        <v>0</v>
      </c>
      <c r="EK130" s="6">
        <f>COUNTIFS(Table42[Country],Tabela1[[#This Row],[Country]],Table42[Springboard Classification],"&gt;0")</f>
        <v>0</v>
      </c>
      <c r="EL130" s="6">
        <f>COUNTIFS(Table43[Country],Tabela1[[#This Row],[Country]],Table43[Springboard Classification],"&gt;0")</f>
        <v>0</v>
      </c>
      <c r="EM130" s="6">
        <f>COUNTIFS(Table42[Country],Tabela1[[#This Row],[Country]],Table42[Platform Classification],"&gt;0")</f>
        <v>0</v>
      </c>
      <c r="EN130" s="6">
        <f>COUNTIFS(Table43[Country],Tabela1[[#This Row],[Country]],Table43[Platform Classification],"&gt;0")</f>
        <v>0</v>
      </c>
      <c r="EO130" s="6">
        <f>COUNTIFS(Table86[Country],Tabela1[[#This Row],[Country]],Table86[Men''s Synchronized Springboard Classification],"&gt;0")</f>
        <v>0</v>
      </c>
      <c r="EP130" s="6">
        <f>COUNTIFS(Table86[Country],Tabela1[[#This Row],[Country]],Table86[Women''s Synchronized Springboard Classification],"&gt;0")</f>
        <v>0</v>
      </c>
      <c r="EQ130" s="6">
        <f>COUNTIFS(Table86[Country],Tabela1[[#This Row],[Country]],Table86[Men''s Synchronized Platform Classification],"&gt;0")</f>
        <v>0</v>
      </c>
      <c r="ER130" s="6">
        <f>COUNTIFS(Table86[Country],Tabela1[[#This Row],[Country]],Table86[Women''s Synchronized Platform Classification],"&gt;0")</f>
        <v>0</v>
      </c>
      <c r="ES130" s="6">
        <f>COUNTIFS(Table44[Country],Tabela1[[#This Row],[Country]],Table44[Dressage Classification],"&gt;0")</f>
        <v>0</v>
      </c>
      <c r="ET130" s="6">
        <f>COUNTIFS(Table45[Country],Tabela1[[#This Row],[Country]],Table45[Dressage Classification],"&gt;0")</f>
        <v>0</v>
      </c>
      <c r="EU130" s="6">
        <f>COUNTIFS(Table44[Country],Tabela1[[#This Row],[Country]],Table44[Eventing Classification],"&gt;0")</f>
        <v>0</v>
      </c>
      <c r="EV130" s="6">
        <f>COUNTIFS(Table45[Country],Tabela1[[#This Row],[Country]],Table45[Eventing Classification],"&gt;0")</f>
        <v>0</v>
      </c>
      <c r="EW130" s="6">
        <f>COUNTIFS(Table44[Country],Tabela1[[#This Row],[Country]],Table44[Jumping Classification],"&gt;0")</f>
        <v>0</v>
      </c>
      <c r="EX130" s="6">
        <f>COUNTIFS(Table45[Country],Tabela1[[#This Row],[Country]],Table45[Jumping Classification],"&gt;0")</f>
        <v>0</v>
      </c>
      <c r="EY130" s="6">
        <f>COUNTIFS(Table10[Country],Tabela1[[#This Row],[Country]],Table10[Épée Classification],"&gt;0")</f>
        <v>0</v>
      </c>
      <c r="EZ130" s="6">
        <f>COUNTIFS(Table11[Country],Tabela1[[#This Row],[Country]],Table11[Épée Classification],"&gt;0")</f>
        <v>0</v>
      </c>
      <c r="FA130" s="6">
        <f>COUNTIFS(Table46[Country],Tabela1[[#This Row],[Country]],Table46[Men''s Épée Classification],"&gt;0")</f>
        <v>0</v>
      </c>
      <c r="FB130" s="6">
        <f>COUNTIFS(Table46[Country],Tabela1[[#This Row],[Country]],Table46[Women''s Épée Classification],"&gt;0")</f>
        <v>0</v>
      </c>
      <c r="FC130" s="6">
        <f>COUNTIFS(Table10[Country],Tabela1[[#This Row],[Country]],Table10[Foil Classification],"&gt;0")</f>
        <v>0</v>
      </c>
      <c r="FD130" s="6">
        <f>COUNTIFS(Table11[Country],Tabela1[[#This Row],[Country]],Table11[Foil Classification],"&gt;0")</f>
        <v>0</v>
      </c>
      <c r="FE130" s="6">
        <f>COUNTIFS(Table46[Country],Tabela1[[#This Row],[Country]],Table46[Men''s Foil Classification],"&gt;0")</f>
        <v>0</v>
      </c>
      <c r="FF130" s="6">
        <f>COUNTIFS(Table46[Country],Tabela1[[#This Row],[Country]],Table46[Women''s Foil Classification],"&gt;0")</f>
        <v>0</v>
      </c>
      <c r="FG130" s="6">
        <f>COUNTIFS(Table10[Country],Tabela1[[#This Row],[Country]],Table10[Sabre Classification],"&gt;0")</f>
        <v>0</v>
      </c>
      <c r="FH130" s="6">
        <f>COUNTIFS(Table11[Country],Tabela1[[#This Row],[Country]],Table11[Sabre Classification],"&gt;0")</f>
        <v>0</v>
      </c>
      <c r="FI130" s="6">
        <f>COUNTIFS(Table46[Country],Tabela1[[#This Row],[Country]],Table46[Men''s Sabre Classification],"&gt;0")</f>
        <v>0</v>
      </c>
      <c r="FJ130" s="6">
        <f>COUNTIFS(Table46[Country],Tabela1[[#This Row],[Country]],Table46[Women''s Sabre Classification],"&gt;0")</f>
        <v>0</v>
      </c>
      <c r="FK130" s="6">
        <f>COUNTIFS(Table91[Country],Tabela1[[#This Row],[Country]],Table91[Men''s Classification],"&gt;0")</f>
        <v>0</v>
      </c>
      <c r="FL130" s="6">
        <f>COUNTIFS(Table91[Country],Tabela1[[#This Row],[Country]],Table91[Women''s Classification],"&gt;0")</f>
        <v>0</v>
      </c>
      <c r="FM130" s="6">
        <f>COUNTIFS(Table9194[Country],Tabela1[[#This Row],[Country]],Table9194[Men''s Classification],"&gt;0")</f>
        <v>0</v>
      </c>
      <c r="FN130" s="6">
        <f>COUNTIFS(Table9194[Country],Tabela1[[#This Row],[Country]],Table9194[Women''s Classification],"&gt;0")</f>
        <v>0</v>
      </c>
      <c r="FO130" s="6">
        <f>COUNTIFS(Table71[Country],Tabela1[[#This Row],[Country]],Table71[Classification],"&gt;0")</f>
        <v>0</v>
      </c>
      <c r="FP130" s="6">
        <f>COUNTIFS(Table62[Country],Tabela1[[#This Row],[Country]],Table62[Classification],"&gt;0")</f>
        <v>0</v>
      </c>
      <c r="FQ130" s="6">
        <f>COUNTIFS(Table47[Country],Tabela1[[#This Row],[Country]],Table47[All-Around Classification],"&gt;0")</f>
        <v>0</v>
      </c>
      <c r="FR130" s="6">
        <f>COUNTIFS(Table48[Country],Tabela1[[#This Row],[Country]],Table48[All-Around Classification],"&gt;0")</f>
        <v>0</v>
      </c>
      <c r="FS130" s="6">
        <f>COUNTIFS(Table81[Country],Tabela1[[#This Row],[Country]],Table81[Men''s All-Around Classification],"&gt;0")</f>
        <v>0</v>
      </c>
      <c r="FT130" s="6">
        <f>COUNTIFS(Table81[Country],Tabela1[[#This Row],[Country]],Table81[Women''s All-Around Classification],"&gt;0")</f>
        <v>0</v>
      </c>
      <c r="FU130" s="6">
        <f>COUNTIFS(Table48[Country],Tabela1[[#This Row],[Country]],Table48[Balance Beam Classification],"&gt;0")</f>
        <v>0</v>
      </c>
      <c r="FV130" s="6">
        <f>COUNTIFS(Table47[Country],Tabela1[[#This Row],[Country]],Table47[Floor Exercise Classification],"&gt;0")</f>
        <v>0</v>
      </c>
      <c r="FW130" s="6">
        <f>COUNTIFS(Table48[Country],Tabela1[[#This Row],[Country]],Table48[Floor Exercise Classification],"&gt;0")</f>
        <v>0</v>
      </c>
      <c r="FX130" s="6">
        <f>COUNTIFS(Table47[Country],Tabela1[[#This Row],[Country]],Table47[Horizontal Bar Classification],"&gt;0")</f>
        <v>0</v>
      </c>
      <c r="FY130" s="6">
        <f>COUNTIFS(Table47[Country],Tabela1[[#This Row],[Country]],Table47[Parallel Bars Classification],"&gt;0")</f>
        <v>0</v>
      </c>
      <c r="FZ130" s="6">
        <f>COUNTIFS(Table47[Country],Tabela1[[#This Row],[Country]],Table47[Pommel Horse Classification],"&gt;0")</f>
        <v>0</v>
      </c>
      <c r="GA130" s="6">
        <f>COUNTIFS(Table47[Country],Tabela1[[#This Row],[Country]],Table47[Rings Classification],"&gt;0")</f>
        <v>0</v>
      </c>
      <c r="GB130" s="6">
        <f>COUNTIFS(Tabela132[Country],Tabela1[[#This Row],[Country]],Tabela132[Classification],"&gt;0")</f>
        <v>0</v>
      </c>
      <c r="GC130" s="6">
        <f>COUNTIFS(Tabela139[Country],Tabela1[[#This Row],[Country]],Tabela139[Classification],"&gt;0")</f>
        <v>0</v>
      </c>
      <c r="GD130" s="6">
        <f>COUNTIFS(Table48[Country],Tabela1[[#This Row],[Country]],Table48[Uneven Bars Classification],"&gt;0")</f>
        <v>0</v>
      </c>
      <c r="GE130" s="6">
        <f>COUNTIFS(Table47[Country],Tabela1[[#This Row],[Country]],Table47[Vault Classification],"&gt;0")</f>
        <v>0</v>
      </c>
      <c r="GF130" s="6">
        <f>COUNTIFS(Table48[Country],Tabela1[[#This Row],[Country]],Table48[Vault Classification],"&gt;0")</f>
        <v>0</v>
      </c>
      <c r="GG130" s="6">
        <f>COUNTIFS(Table919496[Country],Tabela1[[#This Row],[Country]],Table919496[Men''s Classification],"&gt;0")</f>
        <v>0</v>
      </c>
      <c r="GH130" s="6">
        <f>COUNTIFS(Table919496[Country],Tabela1[[#This Row],[Country]],Table919496[Women''s Classification],"&gt;0")</f>
        <v>0</v>
      </c>
      <c r="GI130" s="6">
        <f>COUNTIFS(Table12[Country],Tabela1[[#This Row],[Country]],Table12[60kg Classification],"&gt;0")</f>
        <v>0</v>
      </c>
      <c r="GJ130" s="6">
        <f>COUNTIFS(Table12[Country],Tabela1[[#This Row],[Country]],Table12[66kg Classification],"&gt;0")</f>
        <v>0</v>
      </c>
      <c r="GK130" s="6">
        <f>COUNTIFS(Table12[Country],Tabela1[[#This Row],[Country]],Table12[73kg Classification],"&gt;0")</f>
        <v>1</v>
      </c>
      <c r="GL130" s="6">
        <f>COUNTIFS(Table12[Country],Tabela1[[#This Row],[Country]],Table12[81kg Classification],"&gt;0")</f>
        <v>0</v>
      </c>
      <c r="GM130" s="6">
        <f>COUNTIFS(Table12[Country],Tabela1[[#This Row],[Country]],Table12[90kg Classification],"&gt;0")</f>
        <v>0</v>
      </c>
      <c r="GN130" s="6">
        <f>COUNTIFS(Table12[Country],Tabela1[[#This Row],[Country]],Table12[100kg Classification],"&gt;0")</f>
        <v>0</v>
      </c>
      <c r="GO130" s="6">
        <f>COUNTIFS(Table12[Country],Tabela1[[#This Row],[Country]],Table12[Plus 100kg Classification],"&gt;0")</f>
        <v>0</v>
      </c>
      <c r="GP130" s="6">
        <f>COUNTIFS(Table13[Country],Tabela1[[#This Row],[Country]],Table13[48kg Classification],"&gt;0")</f>
        <v>0</v>
      </c>
      <c r="GQ130" s="6">
        <f>COUNTIFS(Table13[Country],Tabela1[[#This Row],[Country]],Table13[52kg Classification],"&gt;0")</f>
        <v>0</v>
      </c>
      <c r="GR130" s="6">
        <f>COUNTIFS(Table13[Country],Tabela1[[#This Row],[Country]],Table13[57kg Classification],"&gt;0")</f>
        <v>0</v>
      </c>
      <c r="GS130" s="6">
        <f>COUNTIFS(Table13[Country],Tabela1[[#This Row],[Country]],Table13[63kg Classification],"&gt;0")</f>
        <v>0</v>
      </c>
      <c r="GT130" s="6">
        <f>COUNTIFS(Table13[Country],Tabela1[[#This Row],[Country]],Table13[70kg Classification],"&gt;0")</f>
        <v>0</v>
      </c>
      <c r="GU130" s="6">
        <f>COUNTIFS(Table13[Country],Tabela1[[#This Row],[Country]],Table13[78kg Classification],"&gt;0")</f>
        <v>0</v>
      </c>
      <c r="GV130" s="6">
        <f>COUNTIFS(Table13[Country],Tabela1[[#This Row],[Country]],Table13[Plus 78kg Classification],"&gt;0")</f>
        <v>0</v>
      </c>
      <c r="GW130" s="6">
        <f>COUNTIFS(Table82[Country],Tabela1[[#This Row],[Country]],Table82[Mixed Classification],"&gt;0")</f>
        <v>0</v>
      </c>
      <c r="GX130" s="6">
        <f>COUNTIFS(Table51[Country],Tabela1[[#This Row],[Country]],Table51[Classification],"&gt;0")</f>
        <v>0</v>
      </c>
      <c r="GY130" s="6">
        <f>COUNTIFS(Table52[Country],Tabela1[[#This Row],[Country]],Table52[Classification],"&gt;0")</f>
        <v>0</v>
      </c>
      <c r="GZ130" s="6">
        <f>COUNTIFS(Table32[Country],Tabela1[[#This Row],[Country]],Table32[All-Around Classification],"&gt;0")</f>
        <v>0</v>
      </c>
      <c r="HA130" s="6">
        <f>COUNTIFS(Table49[Country],Tabela1[[#This Row],[Country]],Table49[All-Around Classification],"&gt;0")</f>
        <v>0</v>
      </c>
      <c r="HB130" s="6">
        <f>COUNTIFS(Table26[Country],Tabela1[[#This Row],[Country]],Table26[Single Sculls Classification],"&gt;0")</f>
        <v>0</v>
      </c>
      <c r="HC130" s="6">
        <f>COUNTIFS(Table63[Country],Tabela1[[#This Row],[Country]],Table63[Single Sculls Classification],"&gt;0")</f>
        <v>0</v>
      </c>
      <c r="HD130" s="6">
        <f>COUNTIFS(Table16[Country],Tabela1[[#This Row],[Country]],Table16[Men''s Double Sculls Classification],"&gt;0")</f>
        <v>0</v>
      </c>
      <c r="HE130" s="6">
        <f>COUNTIFS(Table16[Country],Tabela1[[#This Row],[Country]],Table16[Women''s Double Sculls Classification],"&gt;0")</f>
        <v>0</v>
      </c>
      <c r="HF130" s="6">
        <f>COUNTIFS(Table72[Country],Tabela1[[#This Row],[Country]],Table72[Men''s Quadruple Sculls Classification],"&gt;0")</f>
        <v>0</v>
      </c>
      <c r="HG130" s="6">
        <f>COUNTIFS(Table72[Country],Tabela1[[#This Row],[Country]],Table72[Women''s Quadruple Sculls Classification],"&gt;0")</f>
        <v>0</v>
      </c>
      <c r="HH130" s="6">
        <f>COUNTIFS(Table16[Country],Tabela1[[#This Row],[Country]],Table16[Men''s Coxless Pairs Classification],"&gt;0")</f>
        <v>0</v>
      </c>
      <c r="HI130" s="6">
        <f>COUNTIFS(Table16[Country],Tabela1[[#This Row],[Country]],Table16[Women''s Coxless Pairs Classification],"&gt;0")</f>
        <v>0</v>
      </c>
      <c r="HJ130" s="6">
        <f>COUNTIFS(Table72[Country],Tabela1[[#This Row],[Country]],Table72[Men''s Coxless Fours Classification],"&gt;0")</f>
        <v>0</v>
      </c>
      <c r="HK130" s="6">
        <f>COUNTIFS(Table72[Country],Tabela1[[#This Row],[Country]],Table72[Women''s Coxless Fours Classification],"&gt;0")</f>
        <v>0</v>
      </c>
      <c r="HL130" s="6">
        <f>COUNTIFS(Table72[Country],Tabela1[[#This Row],[Country]],Table72[Men''s Eights Classification],"&gt;0")</f>
        <v>0</v>
      </c>
      <c r="HM130" s="6">
        <f>COUNTIFS(Table72[Country],Tabela1[[#This Row],[Country]],Table72[Women''s Eights Classification],"&gt;0")</f>
        <v>0</v>
      </c>
      <c r="HN130" s="6">
        <f>COUNTIFS(Table16[Country],Tabela1[[#This Row],[Country]],Table16[Men''s Lwt. Double Sculls Classification],"&gt;0")</f>
        <v>0</v>
      </c>
      <c r="HO130" s="6">
        <f>COUNTIFS(Table16[Country],Tabela1[[#This Row],[Country]],Table16[Women''s Lwt. Double Sculls Classification],"&gt;0")</f>
        <v>0</v>
      </c>
      <c r="HP130" s="6">
        <f>COUNTIFS(Table91949698[Country],Tabela1[[#This Row],[Country]],Table91949698[Men''s Classification],"&gt;0")</f>
        <v>0</v>
      </c>
      <c r="HQ130" s="6">
        <f>COUNTIFS(Table91949698[Country],Tabela1[[#This Row],[Country]],Table91949698[Women''s Classification],"&gt;0")</f>
        <v>0</v>
      </c>
      <c r="HR130" s="6">
        <f>COUNTIFS(Table25[Country],Tabela1[[#This Row],[Country]],Table25[Mixed 470 Classification],"&gt;0")</f>
        <v>0</v>
      </c>
      <c r="HS130" s="6">
        <f>COUNTIFS(Table25[Country],Tabela1[[#This Row],[Country]],Table25[Men''s 49er Classification],"&gt;0")</f>
        <v>0</v>
      </c>
      <c r="HT130" s="6">
        <f>COUNTIFS(Table25[Country],Tabela1[[#This Row],[Country]],Table25[Women''s 49er FX Classification],"&gt;0")</f>
        <v>0</v>
      </c>
      <c r="HU130" s="6">
        <f>COUNTIFS(Table17[Country],Tabela1[[#This Row],[Country]],Table17[Formula Kite Classification],"&gt;0")</f>
        <v>0</v>
      </c>
      <c r="HV130" s="6">
        <f>COUNTIFS(Table18[Country],Tabela1[[#This Row],[Country]],Table18[Formula Kite Classification],"&gt;0")</f>
        <v>0</v>
      </c>
      <c r="HW130" s="6">
        <f>COUNTIFS(Table17[Country],Tabela1[[#This Row],[Country]],Table17[ILCA 7 Classification],"&gt;0")</f>
        <v>0</v>
      </c>
      <c r="HX130" s="6">
        <f>COUNTIFS(Table18[Country],Tabela1[[#This Row],[Country]],Table18[ILCA 6 Classification],"&gt;0")</f>
        <v>0</v>
      </c>
      <c r="HY130" s="6">
        <f>COUNTIFS(Table17[Country],Tabela1[[#This Row],[Country]],Table17[IQFoil Classification],"&gt;0")</f>
        <v>0</v>
      </c>
      <c r="HZ130" s="6">
        <f>COUNTIFS(Table18[Country],Tabela1[[#This Row],[Country]],Table18[IQFoil Classification],"&gt;0")</f>
        <v>0</v>
      </c>
      <c r="IA130" s="6">
        <f>COUNTIFS(Table25[Country],Tabela1[[#This Row],[Country]],Table25[Mixed Nacra 17 Classification],"&gt;0")</f>
        <v>0</v>
      </c>
      <c r="IB130" s="6">
        <f>COUNTIFS(Table53[Country],Tabela1[[#This Row],[Country]],Table53[10m Air Pistol Classification],"&gt;0")</f>
        <v>0</v>
      </c>
      <c r="IC130" s="6">
        <f>COUNTIFS(Table19[Country],Tabela1[[#This Row],[Country]],Table19[10m Air Pistol Classification],"&gt;0")</f>
        <v>0</v>
      </c>
      <c r="ID130" s="6">
        <f>COUNTIFS(Table54[Country],Tabela1[[#This Row],[Country]],Table54[Mixed 10m Air Pistol Team Classification],"&gt;0")</f>
        <v>0</v>
      </c>
      <c r="IE130" s="6">
        <f>COUNTIFS(Table53[Country],Tabela1[[#This Row],[Country]],Table53[10m Air Rifle Classification],"&gt;0")</f>
        <v>0</v>
      </c>
      <c r="IF130" s="6">
        <f>COUNTIFS(Table19[Country],Tabela1[[#This Row],[Country]],Table19[10m Air Rifle Classification],"&gt;0")</f>
        <v>0</v>
      </c>
      <c r="IG130" s="6">
        <f>COUNTIFS(Table54[Country],Tabela1[[#This Row],[Country]],Table54[Mixed 10m Air Rifle Team Classification],"&gt;0")</f>
        <v>0</v>
      </c>
      <c r="IH130" s="6">
        <f>COUNTIFS(Table53[Country],Tabela1[[#This Row],[Country]],Table53[25m Rapid Fire Pistol Classification],"&gt;0")</f>
        <v>0</v>
      </c>
      <c r="II130" s="6">
        <f>COUNTIFS(Table19[Country],Tabela1[[#This Row],[Country]],Table19[25m Pistol Classification],"&gt;0")</f>
        <v>0</v>
      </c>
      <c r="IJ130" s="6">
        <f>COUNTIFS(Table53[Country],Tabela1[[#This Row],[Country]],Table53[50m Rifle 3 Positions Classification],"&gt;0")</f>
        <v>0</v>
      </c>
      <c r="IK130" s="6">
        <f>COUNTIFS(Table19[Country],Tabela1[[#This Row],[Country]],Table19[50m Rifle 3 Positions Classification],"&gt;0")</f>
        <v>0</v>
      </c>
      <c r="IL130" s="6">
        <f>COUNTIFS(Table53[Country],Tabela1[[#This Row],[Country]],Table53[Skeet Classification],"&gt;0")</f>
        <v>0</v>
      </c>
      <c r="IM130" s="6">
        <f>COUNTIFS(Table19[Country],Tabela1[[#This Row],[Country]],Table19[Skeet Classification],"&gt;0")</f>
        <v>0</v>
      </c>
      <c r="IN130" s="6">
        <f>COUNTIFS(Table54[Country],Tabela1[[#This Row],[Country]],Table54[Mixed Skeet Team Classification],"&gt;0")</f>
        <v>0</v>
      </c>
      <c r="IO130" s="6">
        <f>COUNTIFS(Table53[Country],Tabela1[[#This Row],[Country]],Table53[Trap Classification],"&gt;0")</f>
        <v>0</v>
      </c>
      <c r="IP130" s="6">
        <f>COUNTIFS(Table19[Country],Tabela1[[#This Row],[Country]],Table19[Trap Classification],"&gt;0")</f>
        <v>0</v>
      </c>
      <c r="IQ130" s="6">
        <f>COUNTIFS(Table73[Country],Tabela1[[#This Row],[Country]],Table73[Park Classification],"&gt;0")</f>
        <v>0</v>
      </c>
      <c r="IR130" s="6">
        <f>COUNTIFS(Table74[Country],Tabela1[[#This Row],[Country]],Table74[Park Classification],"&gt;0")</f>
        <v>0</v>
      </c>
      <c r="IS130" s="6">
        <f>COUNTIFS(Table73[Country],Tabela1[[#This Row],[Country]],Table73[Street Classification],"&gt;0")</f>
        <v>0</v>
      </c>
      <c r="IT130" s="6">
        <f>COUNTIFS(Table74[Country],Tabela1[[#This Row],[Country]],Table74[Street Classification],"&gt;0")</f>
        <v>0</v>
      </c>
      <c r="IU130" s="6">
        <f>COUNTIFS(Table75[Country],Tabela1[[#This Row],[Country]],Table75[Boulder and Lead Classification],"&gt;0")</f>
        <v>0</v>
      </c>
      <c r="IV130" s="6">
        <f>COUNTIFS(Table76[Country],Tabela1[[#This Row],[Country]],Table76[Boulder and Lead Classification],"&gt;0")</f>
        <v>0</v>
      </c>
      <c r="IW130" s="6">
        <f>COUNTIFS(Table75[Country],Tabela1[[#This Row],[Country]],Table75[Speed Classification],"&gt;0")</f>
        <v>0</v>
      </c>
      <c r="IX130" s="6">
        <f>COUNTIFS(Table76[Country],Tabela1[[#This Row],[Country]],Table76[Speed Classification],"&gt;0")</f>
        <v>0</v>
      </c>
      <c r="IY130" s="6">
        <f>COUNTIFS(Table64[Country],Tabela1[[#This Row],[Country]],Table64[Shortboard Classification],"&gt;0")</f>
        <v>0</v>
      </c>
      <c r="IZ130" s="6">
        <f>COUNTIFS(Table77[Country],Tabela1[[#This Row],[Country]],Table77[Shortboard Classification],"&gt;0")</f>
        <v>0</v>
      </c>
      <c r="JA130" s="6">
        <f>COUNTIFS(Table20[Country],Tabela1[[#This Row],[Country]],Table20[50m Freestyle Classification],"&gt;0")</f>
        <v>0</v>
      </c>
      <c r="JB130" s="6">
        <f>COUNTIFS(Table21[Country],Tabela1[[#This Row],[Country]],Table21[50m Freestyle Classification],"&gt;0")</f>
        <v>0</v>
      </c>
      <c r="JC130" s="6">
        <f>COUNTIFS(Table20[Country],Tabela1[[#This Row],[Country]],Table20[100m Freestyle Classification],"&gt;0")</f>
        <v>0</v>
      </c>
      <c r="JD130" s="6">
        <f>COUNTIFS(Table21[Country],Tabela1[[#This Row],[Country]],Table21[100m Freestyle Classification],"&gt;0")</f>
        <v>0</v>
      </c>
      <c r="JE130" s="6">
        <f>COUNTIFS(Table20[Country],Tabela1[[#This Row],[Country]],Table20[200m Freestyle Classification],"&gt;0")</f>
        <v>0</v>
      </c>
      <c r="JF130" s="6">
        <f>COUNTIFS(Table21[Country],Tabela1[[#This Row],[Country]],Table21[200m Freestyle Classification],"&gt;0")</f>
        <v>0</v>
      </c>
      <c r="JG130" s="6">
        <f>COUNTIFS(Table20[Country],Tabela1[[#This Row],[Country]],Table20[400m Freestyle Classification],"&gt;0")</f>
        <v>0</v>
      </c>
      <c r="JH130" s="6">
        <f>COUNTIFS(Table21[Country],Tabela1[[#This Row],[Country]],Table21[400m Freestyle Classification],"&gt;0")</f>
        <v>0</v>
      </c>
      <c r="JI130" s="6">
        <f>COUNTIFS(Table20[Country],Tabela1[[#This Row],[Country]],Table20[800m Freestyle Classification],"&gt;0")</f>
        <v>0</v>
      </c>
      <c r="JJ130" s="6">
        <f>COUNTIFS(Table21[Country],Tabela1[[#This Row],[Country]],Table21[800m Freestyle Classification],"&gt;0")</f>
        <v>0</v>
      </c>
      <c r="JK130" s="6">
        <f>COUNTIFS(Table20[Country],Tabela1[[#This Row],[Country]],Table20[1500m Freestyle Classification],"&gt;0")</f>
        <v>0</v>
      </c>
      <c r="JL130" s="6">
        <f>COUNTIFS(Table21[Country],Tabela1[[#This Row],[Country]],Table21[1500m Freestyle Classification],"&gt;0")</f>
        <v>0</v>
      </c>
      <c r="JM130" s="6">
        <f>COUNTIFS(Table20[Country],Tabela1[[#This Row],[Country]],Table20[100m Backstroke Classification],"&gt;0")</f>
        <v>0</v>
      </c>
      <c r="JN130" s="6">
        <f>COUNTIFS(Table21[Country],Tabela1[[#This Row],[Country]],Table21[100m Backstroke Classification],"&gt;0")</f>
        <v>0</v>
      </c>
      <c r="JO130" s="6">
        <f>COUNTIFS(Table20[Country],Tabela1[[#This Row],[Country]],Table20[200m Backstroke Classification],"&gt;0")</f>
        <v>0</v>
      </c>
      <c r="JP130" s="6">
        <f>COUNTIFS(Table21[Country],Tabela1[[#This Row],[Country]],Table21[200m Backstroke Classification],"&gt;0")</f>
        <v>0</v>
      </c>
      <c r="JQ130" s="6">
        <f>COUNTIFS(Table20[Country],Tabela1[[#This Row],[Country]],Table20[100m Breaststroke Classification],"&gt;0")</f>
        <v>0</v>
      </c>
      <c r="JR130" s="6">
        <f>COUNTIFS(Table21[Country],Tabela1[[#This Row],[Country]],Table21[100m Breaststroke Classification],"&gt;0")</f>
        <v>0</v>
      </c>
      <c r="JS130" s="6">
        <f>COUNTIFS(Table20[Country],Tabela1[[#This Row],[Country]],Table20[200m Breaststroke Classification],"&gt;0")</f>
        <v>0</v>
      </c>
      <c r="JT130" s="6">
        <f>COUNTIFS(Table21[Country],Tabela1[[#This Row],[Country]],Table21[200m Breaststroke Classification],"&gt;0")</f>
        <v>0</v>
      </c>
      <c r="JU130" s="6">
        <f>COUNTIFS(Table20[Country],Tabela1[[#This Row],[Country]],Table20[100m Butterfly Classification],"&gt;0")</f>
        <v>0</v>
      </c>
      <c r="JV130" s="6">
        <f>COUNTIFS(Table21[Country],Tabela1[[#This Row],[Country]],Table21[100m Butterfly Classification],"&gt;0")</f>
        <v>0</v>
      </c>
      <c r="JW130" s="6">
        <f>COUNTIFS(Table20[Country],Tabela1[[#This Row],[Country]],Table20[200m Butterfly Classification],"&gt;0")</f>
        <v>0</v>
      </c>
      <c r="JX130" s="6">
        <f>COUNTIFS(Table21[Country],Tabela1[[#This Row],[Country]],Table21[200m Butterfly Classification],"&gt;0")</f>
        <v>0</v>
      </c>
      <c r="JY130" s="6">
        <f>COUNTIFS(Table20[Country],Tabela1[[#This Row],[Country]],Table20[200m Medley Classification],"&gt;0")</f>
        <v>0</v>
      </c>
      <c r="JZ130" s="6">
        <f>COUNTIFS(Table21[Country],Tabela1[[#This Row],[Country]],Table21[200m Medley Classification],"&gt;0")</f>
        <v>0</v>
      </c>
      <c r="KA130" s="6">
        <f>COUNTIFS(Table20[Country],Tabela1[[#This Row],[Country]],Table20[400m Medley Classification],"&gt;0")</f>
        <v>0</v>
      </c>
      <c r="KB130" s="6">
        <f>COUNTIFS(Table21[Country],Tabela1[[#This Row],[Country]],Table21[400m Medley Classification],"&gt;0")</f>
        <v>0</v>
      </c>
      <c r="KC130" s="6">
        <f>COUNTIFS(Table78[Country],Tabela1[[#This Row],[Country]],Table78[Men''s 4x100m Freestyle Relay Classification],"&gt;0")</f>
        <v>0</v>
      </c>
      <c r="KD130" s="6">
        <f>COUNTIFS(Table78[Country],Tabela1[[#This Row],[Country]],Table78[Women''s 4x100m Freestyle Relay Classification],"&gt;0")</f>
        <v>0</v>
      </c>
      <c r="KE130" s="6">
        <f>COUNTIFS(Table78[Country],Tabela1[[#This Row],[Country]],Table78[Men''s 4x200m Freestyle Relay Classification],"&gt;0")</f>
        <v>0</v>
      </c>
      <c r="KF130" s="6">
        <f>COUNTIFS(Table78[Country],Tabela1[[#This Row],[Country]],Table78[Women''s 4x200m Freestyle Relay Classification],"&gt;0")</f>
        <v>0</v>
      </c>
      <c r="KG130" s="6">
        <f>COUNTIFS(Table78[Country],Tabela1[[#This Row],[Country]],Table78[Men''s 4x100m Medley Relay Classification],"&gt;0")</f>
        <v>0</v>
      </c>
      <c r="KH130" s="6">
        <f>COUNTIFS(Table78[Country],Tabela1[[#This Row],[Country]],Table78[Women''s 4x100m Medley Relay Classification],"&gt;0")</f>
        <v>0</v>
      </c>
      <c r="KI130" s="6">
        <f>COUNTIFS(Table78[Country],Tabela1[[#This Row],[Country]],Table78[Mixed 4x100m Medley Relay Classification],"&gt;0")</f>
        <v>0</v>
      </c>
      <c r="KJ130" s="6">
        <f>COUNTIFS(Table20[Country],Tabela1[[#This Row],[Country]],Table20[10km Open Water Classification],"&gt;0")</f>
        <v>0</v>
      </c>
      <c r="KK130" s="6">
        <f>COUNTIFS(Table21[Country],Tabela1[[#This Row],[Country]],Table21[10km Open Water Classification],"&gt;0")</f>
        <v>0</v>
      </c>
      <c r="KL130" s="6">
        <f>COUNTIFS(Table22[Country],Tabela1[[#This Row],[Country]],Table22[Classification],"&gt;0")</f>
        <v>0</v>
      </c>
      <c r="KM130" s="6">
        <f>COUNTIFS(Table30[Country],Tabela1[[#This Row],[Country]],Table30[Classification],"&gt;0")</f>
        <v>0</v>
      </c>
      <c r="KN130" s="6">
        <f>COUNTIFS(Table55[Country],Tabela1[[#This Row],[Country]],Table55[Men''s Classification],"&gt;0")</f>
        <v>0</v>
      </c>
      <c r="KO130" s="6">
        <f>COUNTIFS(Table55[Country],Tabela1[[#This Row],[Country]],Table55[Women''s Classification],"&gt;0")</f>
        <v>0</v>
      </c>
      <c r="KP130" s="6">
        <f>COUNTIFS(Table56[Country],Tabela1[[#This Row],[Country]],Table56[Mixed Classification],"&gt;0")</f>
        <v>0</v>
      </c>
      <c r="KQ130" s="6">
        <f>COUNTIFS(Table29[Country],Tabela1[[#This Row],[Country]],Table29[58kg Classification],"&gt;0")</f>
        <v>0</v>
      </c>
      <c r="KR130" s="6">
        <f>COUNTIFS(Table29[Country],Tabela1[[#This Row],[Country]],Table29[68kg Classification],"&gt;0")</f>
        <v>0</v>
      </c>
      <c r="KS130" s="6">
        <f>COUNTIFS(Table29[Country],Tabela1[[#This Row],[Country]],Table29[80kg Classification],"&gt;0")</f>
        <v>0</v>
      </c>
      <c r="KT130" s="6">
        <f>COUNTIFS(Table29[Country],Tabela1[[#This Row],[Country]],Table29[Plus 80kg Classification],"&gt;0")</f>
        <v>0</v>
      </c>
      <c r="KU130" s="6">
        <f>COUNTIFS(Table34[Country],Tabela1[[#This Row],[Country]],Table34[49kg Classification],"&gt;0")</f>
        <v>0</v>
      </c>
      <c r="KV130" s="6">
        <f>COUNTIFS(Table34[Country],Tabela1[[#This Row],[Country]],Table34[57kg Classification],"&gt;0")</f>
        <v>0</v>
      </c>
      <c r="KW130" s="6">
        <f>COUNTIFS(Table34[Country],Tabela1[[#This Row],[Country]],Table34[67kg Classification],"&gt;0")</f>
        <v>0</v>
      </c>
      <c r="KX130" s="6">
        <f>COUNTIFS(Table34[Country],Tabela1[[#This Row],[Country]],Table34[Plus 67kg Classification],"&gt;0")</f>
        <v>0</v>
      </c>
      <c r="KY130" s="6">
        <f>COUNTIFS(Table57[Country],Tabela1[[#This Row],[Country]],Table57[Classification],"&gt;0")</f>
        <v>0</v>
      </c>
      <c r="KZ130" s="6">
        <f>COUNTIFS(Table58[Country],Tabela1[[#This Row],[Country]],Table58[Classification],"&gt;0")</f>
        <v>0</v>
      </c>
      <c r="LA130" s="6">
        <f>COUNTIFS(Table79[Country],Tabela1[[#This Row],[Country]],Table79[Men''s Classification],"&gt;0")</f>
        <v>0</v>
      </c>
      <c r="LB130" s="6">
        <f>COUNTIFS(Table79[Country],Tabela1[[#This Row],[Country]],Table79[Women''s Classification],"&gt;0")</f>
        <v>0</v>
      </c>
      <c r="LC130" s="6">
        <f>COUNTIFS(Table79[Country],Tabela1[[#This Row],[Country]],Table79[Mixed Classification],"&gt;0")</f>
        <v>0</v>
      </c>
      <c r="LD130" s="6">
        <f>COUNTIFS(Table65[Country],Tabela1[[#This Row],[Country]],Table65[Classification],"&gt;0")</f>
        <v>0</v>
      </c>
      <c r="LE130" s="6">
        <f>COUNTIFS(Table59[Country],Tabela1[[#This Row],[Country]],Table59[Classification],"&gt;0")</f>
        <v>0</v>
      </c>
      <c r="LF130" s="6">
        <f>COUNTIFS(Table87[Country],Tabela1[[#This Row],[Country]],Table87[Mixed Relay Classification],"&gt;0")</f>
        <v>0</v>
      </c>
      <c r="LG130" s="6">
        <f>COUNTIFS(Table91949698100[Country],Tabela1[[#This Row],[Country]],Table91949698100[Men''s Classification],"&gt;0")</f>
        <v>0</v>
      </c>
      <c r="LH130" s="6">
        <f>COUNTIFS(Table91949698100[Country],Tabela1[[#This Row],[Country]],Table91949698100[Women''s Classification],"&gt;0")</f>
        <v>0</v>
      </c>
      <c r="LI130" s="6">
        <f>COUNTIFS(Table91949698100102[Country],Tabela1[[#This Row],[Country]],Table91949698100102[Men''s Classification],"&gt;0")</f>
        <v>0</v>
      </c>
      <c r="LJ130" s="6">
        <f>COUNTIFS(Table91949698100102[Country],Tabela1[[#This Row],[Country]],Table91949698100102[Women''s Classification],"&gt;0")</f>
        <v>0</v>
      </c>
      <c r="LK130" s="6">
        <f>COUNTIFS(Table23[Country],Tabela1[[#This Row],[Country]],Table23[61kg Classification],"&gt;0")</f>
        <v>0</v>
      </c>
      <c r="LL130" s="6">
        <f>COUNTIFS(Table23[Country],Tabela1[[#This Row],[Country]],Table23[73kg Classification],"&gt;0")</f>
        <v>0</v>
      </c>
      <c r="LM130" s="6">
        <f>COUNTIFS(Table23[Country],Tabela1[[#This Row],[Country]],Table23[89kg Classification],"&gt;0")</f>
        <v>0</v>
      </c>
      <c r="LN130" s="6">
        <f>COUNTIFS(Table23[Country],Tabela1[[#This Row],[Country]],Table23[102kg Classification],"&gt;0")</f>
        <v>0</v>
      </c>
      <c r="LO130" s="6">
        <f>COUNTIFS(Table23[Country],Tabela1[[#This Row],[Country]],Table23[Plus 102kg Classification],"&gt;0")</f>
        <v>0</v>
      </c>
      <c r="LP130" s="6">
        <f>COUNTIFS(Table28[Country],Tabela1[[#This Row],[Country]],Table28[49kg Classification],"&gt;0")</f>
        <v>0</v>
      </c>
      <c r="LQ130" s="6">
        <f>COUNTIFS(Table28[Country],Tabela1[[#This Row],[Country]],Table28[59kg Classification],"&gt;0")</f>
        <v>0</v>
      </c>
      <c r="LR130" s="6">
        <f>COUNTIFS(Table28[Country],Tabela1[[#This Row],[Country]],Table28[71kg Classification],"&gt;0")</f>
        <v>0</v>
      </c>
      <c r="LS130" s="6">
        <f>COUNTIFS(Table28[Country],Tabela1[[#This Row],[Country]],Table28[81kg Classification],"&gt;0")</f>
        <v>0</v>
      </c>
      <c r="LT130" s="6">
        <f>COUNTIFS(Table28[Country],Tabela1[[#This Row],[Country]],Table28[Plus 81kg Classification],"&gt;0")</f>
        <v>0</v>
      </c>
      <c r="LU130" s="6">
        <f>COUNTIFS(Table24[Country],Tabela1[[#This Row],[Country]],Table24[Freestyle 57kg Classification],"&gt;0")</f>
        <v>0</v>
      </c>
      <c r="LV130" s="6">
        <f>COUNTIFS(Table24[Country],Tabela1[[#This Row],[Country]],Table24[Freestyle 65kg Classification],"&gt;0")</f>
        <v>0</v>
      </c>
      <c r="LW130" s="6">
        <f>COUNTIFS(Table24[Country],Tabela1[[#This Row],[Country]],Table24[Freestyle 74kg Classification],"&gt;0")</f>
        <v>0</v>
      </c>
      <c r="LX130" s="6">
        <f>COUNTIFS(Table24[Country],Tabela1[[#This Row],[Country]],Table24[Freestyle 86kg Classification],"&gt;0")</f>
        <v>0</v>
      </c>
      <c r="LY130" s="6">
        <f>COUNTIFS(Table24[Country],Tabela1[[#This Row],[Country]],Table24[Freestyle 97kg Classification],"&gt;0")</f>
        <v>0</v>
      </c>
      <c r="LZ130" s="6">
        <f>COUNTIFS(Table24[Country],Tabela1[[#This Row],[Country]],Table24[Freestyle 125kg Classification],"&gt;0")</f>
        <v>0</v>
      </c>
      <c r="MA130" s="6">
        <f>COUNTIFS(Table24[Country],Tabela1[[#This Row],[Country]],Table24[Greco-Roman 60kg Classification],"&gt;0")</f>
        <v>0</v>
      </c>
      <c r="MB130" s="6">
        <f>COUNTIFS(Table24[Country],Tabela1[[#This Row],[Country]],Table24[Greco-Roman 67kg Classification],"&gt;0")</f>
        <v>0</v>
      </c>
      <c r="MC130" s="6">
        <f>COUNTIFS(Table24[Country],Tabela1[[#This Row],[Country]],Table24[Greco-Roman 77kg Classification],"&gt;0")</f>
        <v>0</v>
      </c>
      <c r="MD130" s="6">
        <f>COUNTIFS(Table24[Country],Tabela1[[#This Row],[Country]],Table24[Greco-Roman 87kg Classification],"&gt;0")</f>
        <v>0</v>
      </c>
      <c r="ME130" s="6">
        <f>COUNTIFS(Table24[Country],Tabela1[[#This Row],[Country]],Table24[Greco-Roman 97kg Classification],"&gt;0")</f>
        <v>0</v>
      </c>
      <c r="MF130" s="6">
        <f>COUNTIFS(Table24[Country],Tabela1[[#This Row],[Country]],Table24[Greco-Roman 130kg Classification],"&gt;0")</f>
        <v>0</v>
      </c>
      <c r="MG130" s="6">
        <f>COUNTIFS(Table31[Country],Tabela1[[#This Row],[Country]],Table31[50kg Classification],"&gt;0")</f>
        <v>0</v>
      </c>
      <c r="MH130" s="6">
        <f>COUNTIFS(Table31[Country],Tabela1[[#This Row],[Country]],Table31[53kg Classification],"&gt;0")</f>
        <v>0</v>
      </c>
      <c r="MI130" s="6">
        <f>COUNTIFS(Table31[Country],Tabela1[[#This Row],[Country]],Table31[57kg Classification],"&gt;0")</f>
        <v>0</v>
      </c>
      <c r="MJ130" s="6">
        <f>COUNTIFS(Table31[Country],Tabela1[[#This Row],[Country]],Table31[62kg Classification],"&gt;0")</f>
        <v>0</v>
      </c>
      <c r="MK130" s="6">
        <f>COUNTIFS(Table31[Country],Tabela1[[#This Row],[Country]],Table31[68kg Classification],"&gt;0")</f>
        <v>0</v>
      </c>
      <c r="ML130" s="6">
        <f>COUNTIFS(Table31[Country],Tabela1[[#This Row],[Country]],Table31[76kg Classification],"&gt;0")</f>
        <v>0</v>
      </c>
      <c r="MM130" s="6">
        <f>COUNTIFS(Table102[Country],Tabela1[[#This Row],[Country]],Table102[Downhill Classification],"&gt;0")</f>
        <v>0</v>
      </c>
      <c r="MN130" s="6">
        <f>COUNTIFS(Table102105[Country],Tabela1[[#This Row],[Country]],Table102105[Downhill Classification],"&gt;0")</f>
        <v>0</v>
      </c>
      <c r="MO130" s="6">
        <f>COUNTIFS(Table102[Country],Tabela1[[#This Row],[Country]],Table102[Giant Slalom Classification],"&gt;0")</f>
        <v>0</v>
      </c>
      <c r="MP130" s="6">
        <f>COUNTIFS(Table102105[Country],Tabela1[[#This Row],[Country]],Table102105[Giant Slalom Classification],"&gt;0")</f>
        <v>0</v>
      </c>
      <c r="MQ130" s="6">
        <f>COUNTIFS(Table102[Country],Tabela1[[#This Row],[Country]],Table102[Slalom Classification],"&gt;0")</f>
        <v>0</v>
      </c>
      <c r="MR130" s="6">
        <f>COUNTIFS(Table102105[Country],Tabela1[[#This Row],[Country]],Table102105[Slalom Classification],"&gt;0")</f>
        <v>0</v>
      </c>
      <c r="MS130" s="6">
        <f>COUNTIFS(Table102[Country],Tabela1[[#This Row],[Country]],Table102[Super-G Classification],"&gt;0")</f>
        <v>0</v>
      </c>
      <c r="MT130" s="6">
        <f>COUNTIFS(Table102105[Country],Tabela1[[#This Row],[Country]],Table102105[Super-G Classification],"&gt;0")</f>
        <v>0</v>
      </c>
      <c r="MU130" s="6">
        <f>COUNTIFS(Table105[Country],Tabela1[[#This Row],[Country]],Table105[Men''s Combined Classification],"&gt;0")</f>
        <v>0</v>
      </c>
      <c r="MV130" s="6">
        <f>COUNTIFS(Table105[Country],Tabela1[[#This Row],[Country]],Table105[Women''s Combined Classification],"&gt;0")</f>
        <v>0</v>
      </c>
      <c r="MW130" s="6">
        <f>COUNTIFS(Table106[Country],Tabela1[[#This Row],[Country]],Table106[Individual Classification],"&gt;0")</f>
        <v>0</v>
      </c>
      <c r="MX130" s="6">
        <f>COUNTIFS(Table106109[Country],Tabela1[[#This Row],[Country]],Table106109[Individual Classification],"&gt;0")</f>
        <v>0</v>
      </c>
      <c r="MY130" s="6">
        <f>COUNTIFS(Table106[Country],Tabela1[[#This Row],[Country]],Table106[Mass Start Classification],"&gt;0")</f>
        <v>0</v>
      </c>
      <c r="MZ130" s="6">
        <f>COUNTIFS(Table106109[Country],Tabela1[[#This Row],[Country]],Table106109[Mass Start Classification],"&gt;0")</f>
        <v>0</v>
      </c>
      <c r="NA130" s="6">
        <f>COUNTIFS(Table106[Country],Tabela1[[#This Row],[Country]],Table106[Pursuit Classification],"&gt;0")</f>
        <v>0</v>
      </c>
      <c r="NB130" s="6">
        <f>COUNTIFS(Table106109[Country],Tabela1[[#This Row],[Country]],Table106109[Pursuit Classification],"&gt;0")</f>
        <v>0</v>
      </c>
      <c r="NC130" s="6">
        <f>COUNTIFS(Table106[Country],Tabela1[[#This Row],[Country]],Table106[Sprint Classification],"&gt;0")</f>
        <v>0</v>
      </c>
      <c r="ND130" s="6">
        <f>COUNTIFS(Table106109[Country],Tabela1[[#This Row],[Country]],Table106109[Sprint Classification],"&gt;0")</f>
        <v>0</v>
      </c>
      <c r="NE130" s="6">
        <f>COUNTIFS(Table109[Country],Tabela1[[#This Row],[Country]],Table109[Men''s Relay Classification],"&gt;0")</f>
        <v>0</v>
      </c>
      <c r="NF130" s="6">
        <f>COUNTIFS(Table109[Country],Tabela1[[#This Row],[Country]],Table109[Women''s Relay Classification],"&gt;0")</f>
        <v>0</v>
      </c>
      <c r="NG130" s="6">
        <f>COUNTIFS(Table109[Country],Tabela1[[#This Row],[Country]],Table109[Mixed Relay Classification],"&gt;0")</f>
        <v>0</v>
      </c>
      <c r="NH130" s="6">
        <f>COUNTIFS(Table110[Country],Tabela1[[#This Row],[Country]],Table110[Monobob Classification],"&gt;0")</f>
        <v>0</v>
      </c>
      <c r="NI130" s="6">
        <f>COUNTIFS(Table111[Country],Tabela1[[#This Row],[Country]],Table111[Men''s Classification],"&gt;0")</f>
        <v>0</v>
      </c>
      <c r="NJ130" s="6">
        <f>COUNTIFS(Table111[Country],Tabela1[[#This Row],[Country]],Table111[Women''s Classification],"&gt;0")</f>
        <v>0</v>
      </c>
      <c r="NK130" s="6">
        <f>COUNTIFS(Table112[Country],Tabela1[[#This Row],[Country]],Table112[Men''s Four Classification],"&gt;0")</f>
        <v>0</v>
      </c>
      <c r="NL130" s="6">
        <f>COUNTIFS(Table113[Country],Tabela1[[#This Row],[Country]],Table113[Classical Classification],"&gt;0")</f>
        <v>0</v>
      </c>
      <c r="NM130" s="6">
        <f>COUNTIFS(Table113116[Country],Tabela1[[#This Row],[Country]],Table113116[Classical Classification],"&gt;0")</f>
        <v>0</v>
      </c>
      <c r="NN130" s="6">
        <f>COUNTIFS(Table113[Country],Tabela1[[#This Row],[Country]],Table113[Freestyle Classification],"&gt;0")</f>
        <v>0</v>
      </c>
      <c r="NO130" s="6">
        <f>COUNTIFS(Table113116[Country],Tabela1[[#This Row],[Country]],Table113116[Freestyle Classification],"&gt;0")</f>
        <v>0</v>
      </c>
      <c r="NP130" s="6">
        <f>COUNTIFS(Table117[Country],Tabela1[[#This Row],[Country]],Table117[Men''s Relay Classification],"&gt;0")</f>
        <v>0</v>
      </c>
      <c r="NQ130" s="6">
        <f>COUNTIFS(Table117[Country],Tabela1[[#This Row],[Country]],Table117[Women''s Relay Classification],"&gt;0")</f>
        <v>0</v>
      </c>
      <c r="NR130" s="6">
        <f>COUNTIFS(Table113[Country],Tabela1[[#This Row],[Country]],Table113[Skiathlon Classification],"&gt;0")</f>
        <v>0</v>
      </c>
      <c r="NS130" s="6">
        <f>COUNTIFS(Table113116[Country],Tabela1[[#This Row],[Country]],Table113116[Skiathlon Classification],"&gt;0")</f>
        <v>0</v>
      </c>
      <c r="NT130" s="6">
        <f>COUNTIFS(Table113[Country],Tabela1[[#This Row],[Country]],Table113[Sprint Classification],"&gt;0")</f>
        <v>0</v>
      </c>
      <c r="NU130" s="6">
        <f>COUNTIFS(Table113116[Country],Tabela1[[#This Row],[Country]],Table113116[Sprint Classification],"&gt;0")</f>
        <v>0</v>
      </c>
      <c r="NV130" s="6">
        <f>COUNTIFS(Table116[Country],Tabela1[[#This Row],[Country]],Table116[Men''s Team Sprint Classification],"&gt;0")</f>
        <v>0</v>
      </c>
      <c r="NW130" s="6">
        <f>COUNTIFS(Table116[Country],Tabela1[[#This Row],[Country]],Table116[Women''s Team Sprint Classification],"&gt;0")</f>
        <v>0</v>
      </c>
      <c r="NX130" s="6">
        <f>COUNTIFS(Table119[Country],Tabela1[[#This Row],[Country]],Table119[Men''s Classification],"&gt;0")</f>
        <v>0</v>
      </c>
      <c r="NY130" s="6">
        <f>COUNTIFS(Table119[Country],Tabela1[[#This Row],[Country]],Table119[Women''s Classification],"&gt;0")</f>
        <v>0</v>
      </c>
      <c r="NZ130" s="6">
        <f>COUNTIFS(Table118[Country],Tabela1[[#This Row],[Country]],Table118[Mixed Classification],"&gt;0")</f>
        <v>0</v>
      </c>
      <c r="OA130" s="6">
        <f>COUNTIFS(Table120[Country],Tabela1[[#This Row],[Country]],Table120[Classification],"&gt;0")</f>
        <v>0</v>
      </c>
      <c r="OB130" s="6">
        <f>COUNTIFS(Table120123[Country],Tabela1[[#This Row],[Country]],Table120123[Classification],"&gt;0")</f>
        <v>0</v>
      </c>
      <c r="OC130" s="6">
        <f>COUNTIFS(Table123[Country],Tabela1[[#This Row],[Country]],Table123[Ice Dance Classification],"&gt;0")</f>
        <v>0</v>
      </c>
      <c r="OD130" s="6">
        <f>COUNTIFS(Table123[Country],Tabela1[[#This Row],[Country]],Table123[Pair Skating Classification],"&gt;0")</f>
        <v>0</v>
      </c>
      <c r="OE130" s="6">
        <f>COUNTIFS(Table124[Country],Tabela1[[#This Row],[Country]],Table124[Mixed Classification],"&gt;0")</f>
        <v>0</v>
      </c>
      <c r="OF130" s="6">
        <f>COUNTIFS(Table125[Country],Tabela1[[#This Row],[Country]],Table125[Aerials Classification],"&gt;0")</f>
        <v>0</v>
      </c>
      <c r="OG130" s="6">
        <f>COUNTIFS(Table125128[Country],Tabela1[[#This Row],[Country]],Table125128[Aerials Classification],"&gt;0")</f>
        <v>0</v>
      </c>
      <c r="OH130" s="6">
        <f>COUNTIFS(Table128[Country],Tabela1[[#This Row],[Country]],Table128[Mixed Aerials Classification],"&gt;0")</f>
        <v>0</v>
      </c>
      <c r="OI130" s="6">
        <f>COUNTIFS(Table125[Country],Tabela1[[#This Row],[Country]],Table125[Big Air Classification],"&gt;0")</f>
        <v>0</v>
      </c>
      <c r="OJ130" s="6">
        <f>COUNTIFS(Table125128[Country],Tabela1[[#This Row],[Country]],Table125128[Big Air Classification],"&gt;0")</f>
        <v>0</v>
      </c>
      <c r="OK130" s="6">
        <f>COUNTIFS(Table125[Country],Tabela1[[#This Row],[Country]],Table125[Dual Moguls Classification],"&gt;0")</f>
        <v>0</v>
      </c>
      <c r="OL130" s="6">
        <f>COUNTIFS(Table125128[Country],Tabela1[[#This Row],[Country]],Table125128[Dual Moguls Classification],"&gt;0")</f>
        <v>0</v>
      </c>
      <c r="OM130" s="6">
        <f>COUNTIFS(Table125[Country],Tabela1[[#This Row],[Country]],Table125[Halfpipe Classification],"&gt;0")</f>
        <v>0</v>
      </c>
      <c r="ON130" s="6">
        <f>COUNTIFS(Table125128[Country],Tabela1[[#This Row],[Country]],Table125128[Halfpipe Classification],"&gt;0")</f>
        <v>0</v>
      </c>
      <c r="OO130" s="6">
        <f>COUNTIFS(Table125[Country],Tabela1[[#This Row],[Country]],Table125[Moguls Classification],"&gt;0")</f>
        <v>0</v>
      </c>
      <c r="OP130" s="6">
        <f>COUNTIFS(Table125128[Country],Tabela1[[#This Row],[Country]],Table125128[Moguls Classification],"&gt;0")</f>
        <v>0</v>
      </c>
      <c r="OQ130" s="6">
        <f>COUNTIFS(Table125[Country],Tabela1[[#This Row],[Country]],Table125[Ski Cross Classification],"&gt;0")</f>
        <v>0</v>
      </c>
      <c r="OR130" s="6">
        <f>COUNTIFS(Table125128[Country],Tabela1[[#This Row],[Country]],Table125128[Ski Cross Classification],"&gt;0")</f>
        <v>0</v>
      </c>
      <c r="OS130" s="6">
        <f>COUNTIFS(Table125[Country],Tabela1[[#This Row],[Country]],Table125[Slopestyle Classification],"&gt;0")</f>
        <v>0</v>
      </c>
      <c r="OT130" s="6">
        <f>COUNTIFS(Table125128[Country],Tabela1[[#This Row],[Country]],Table125128[Slopestyle Classification],"&gt;0")</f>
        <v>0</v>
      </c>
      <c r="OU130" s="6">
        <f>COUNTIFS(Table119131[Country],Tabela1[[#This Row],[Country]],Table119131[Men''s Classification],"&gt;0")</f>
        <v>0</v>
      </c>
      <c r="OV130" s="6">
        <f>COUNTIFS(Table119131[Country],Tabela1[[#This Row],[Country]],Table119131[Women''s Classification],"&gt;0")</f>
        <v>0</v>
      </c>
      <c r="OW130" s="6">
        <f>COUNTIFS(Table131[Country],Tabela1[[#This Row],[Country]],Table131[Classification],"&gt;0")</f>
        <v>0</v>
      </c>
      <c r="OX130" s="6">
        <f>COUNTIFS(Table131134[Country],Tabela1[[#This Row],[Country]],Table131134[Classification],"&gt;0")</f>
        <v>0</v>
      </c>
      <c r="OY130" s="6">
        <f>COUNTIFS(Table134[Country],Tabela1[[#This Row],[Country]],Table134[Men''s Classification],"&gt;0")</f>
        <v>0</v>
      </c>
      <c r="OZ130" s="6">
        <f>COUNTIFS(Table134[Country],Tabela1[[#This Row],[Country]],Table134[Women''s Classification],"&gt;0")</f>
        <v>0</v>
      </c>
      <c r="PA130" s="6">
        <f>COUNTIFS(Table135[Country],Tabela1[[#This Row],[Country]],Table135[Mixed Relay Classification],"&gt;0")</f>
        <v>0</v>
      </c>
      <c r="PB130" s="6">
        <f>COUNTIFS(Table136[Country],Tabela1[[#This Row],[Country]],Table136[Individual Classification],"&gt;0")</f>
        <v>0</v>
      </c>
      <c r="PC130" s="6">
        <f>COUNTIFS(Table136[Country],Tabela1[[#This Row],[Country]],Table136[Sprint Classification],"&gt;0")</f>
        <v>0</v>
      </c>
      <c r="PD130" s="6">
        <f>COUNTIFS(Table137[Country],Tabela1[[#This Row],[Country]],Table137[Men''s Team Sprint Large Hill Classification],"&gt;0")</f>
        <v>0</v>
      </c>
      <c r="PE130" s="6">
        <f>COUNTIFS(Table138[Country],Tabela1[[#This Row],[Country]],Table138[500m Classification],"&gt;0")</f>
        <v>0</v>
      </c>
      <c r="PF130" s="6">
        <f>COUNTIFS(Table138141[Country],Tabela1[[#This Row],[Country]],Table138141[500m Classification],"&gt;0")</f>
        <v>0</v>
      </c>
      <c r="PG130" s="6">
        <f>COUNTIFS(Table138[Country],Tabela1[[#This Row],[Country]],Table138[1000m Classification],"&gt;0")</f>
        <v>0</v>
      </c>
      <c r="PH130" s="6">
        <f>COUNTIFS(Table138141[Country],Tabela1[[#This Row],[Country]],Table138141[1000m Classification],"&gt;0")</f>
        <v>0</v>
      </c>
      <c r="PI130" s="6">
        <f>COUNTIFS(Table138[Country],Tabela1[[#This Row],[Country]],Table138[1500m Classification],"&gt;0")</f>
        <v>0</v>
      </c>
      <c r="PJ130" s="6">
        <f>COUNTIFS(Table138141[Country],Tabela1[[#This Row],[Country]],Table138141[1500m Classification],"&gt;0")</f>
        <v>0</v>
      </c>
      <c r="PK130" s="6">
        <f>COUNTIFS(Table141[Country],Tabela1[[#This Row],[Country]],Table141[Men''s 5000m Relay Classification],"&gt;0")</f>
        <v>0</v>
      </c>
      <c r="PL130" s="6">
        <f>COUNTIFS(Table141[Country],Tabela1[[#This Row],[Country]],Table141[Women''s 3000m Relay Classification],"&gt;0")</f>
        <v>0</v>
      </c>
      <c r="PM130" s="6">
        <f>COUNTIFS(Table141[Country],Tabela1[[#This Row],[Country]],Table141[Mixed 2000m Relay Classification],"&gt;0")</f>
        <v>0</v>
      </c>
      <c r="PN130" s="6">
        <f>COUNTIFS(Table142[Country],Tabela1[[#This Row],[Country]],Table142[Classification],"&gt;0")</f>
        <v>0</v>
      </c>
      <c r="PO130" s="6">
        <f>COUNTIFS(Table142145[Country],Tabela1[[#This Row],[Country]],Table142145[Classification],"&gt;0")</f>
        <v>0</v>
      </c>
      <c r="PP130" s="6">
        <f>COUNTIFS(Tabela15[Country],Tabela1[[#This Row],[Country]],Tabela15[Mixed Team Classification],"&gt;0")</f>
        <v>0</v>
      </c>
      <c r="PQ130" s="6">
        <f>COUNTIFS(Table145[Country],Tabela1[[#This Row],[Country]],Table145[Large Hill Classification],"&gt;0")</f>
        <v>0</v>
      </c>
      <c r="PR130" s="6">
        <f>COUNTIFS(Table145[Country],Tabela1[[#This Row],[Country]],Table145[Normal Hill Classification],"&gt;0")</f>
        <v>0</v>
      </c>
      <c r="PS130" s="6">
        <f>COUNTIFS(Table145148[Country],Tabela1[[#This Row],[Country]],Table145148[Large Hill Classification],"&gt;0")</f>
        <v>0</v>
      </c>
      <c r="PT130" s="6">
        <f>COUNTIFS(Table145148[Country],Tabela1[[#This Row],[Country]],Table145148[Normal Hill Classification],"&gt;0")</f>
        <v>0</v>
      </c>
      <c r="PU130" s="6">
        <f>COUNTIFS(Table148[Country],Tabela1[[#This Row],[Country]],Table148[Men''s Super Team Classification],"&gt;0")</f>
        <v>0</v>
      </c>
      <c r="PV130" s="6">
        <f>COUNTIFS(Tabela114[Country],Tabela1[[#This Row],[Country]],Tabela114[Mixed Normal Hill Classification],"&gt;0")</f>
        <v>0</v>
      </c>
      <c r="PW130" s="6">
        <f>COUNTIFS(Tabela50[Country],Tabela1[[#This Row],[Country]],Tabela50[Sprint Classification],"&gt;0")</f>
        <v>0</v>
      </c>
      <c r="PX130" s="6">
        <f>COUNTIFS(Tabela50101[Country],Tabela1[[#This Row],[Country]],Tabela50101[Sprint Classification],"&gt;0")</f>
        <v>0</v>
      </c>
      <c r="PY130" s="6">
        <f>COUNTIFS(Tabela103[Country],Tabela1[[#This Row],[Country]],Tabela103[Mixed Relay Classification],"&gt;0")</f>
        <v>0</v>
      </c>
      <c r="PZ130" s="6">
        <f>COUNTIFS(Table149[Country],Tabela1[[#This Row],[Country]],Table149[Big Air Classification],"&gt;0")</f>
        <v>0</v>
      </c>
      <c r="QA130" s="6">
        <f>COUNTIFS(Table149152[Country],Tabela1[[#This Row],[Country]],Table149152[Big Air Classification],"&gt;0")</f>
        <v>0</v>
      </c>
      <c r="QB130" s="6">
        <f>COUNTIFS(Table149[Country],Tabela1[[#This Row],[Country]],Table149[Halfpipe Classification],"&gt;0")</f>
        <v>0</v>
      </c>
      <c r="QC130" s="6">
        <f>COUNTIFS(Table149152[Country],Tabela1[[#This Row],[Country]],Table149152[Halfpipe Classification],"&gt;0")</f>
        <v>0</v>
      </c>
      <c r="QD130" s="6">
        <f>COUNTIFS(Table149[Country],Tabela1[[#This Row],[Country]],Table149[Parallel Giant Slalom Classification],"&gt;0")</f>
        <v>0</v>
      </c>
      <c r="QE130" s="6">
        <f>COUNTIFS(Table149152[Country],Tabela1[[#This Row],[Country]],Table149152[Parallel Giant Slalom Classification],"&gt;0")</f>
        <v>0</v>
      </c>
      <c r="QF130" s="6">
        <f>COUNTIFS(Table149[Country],Tabela1[[#This Row],[Country]],Table149[Slopestyle Classification],"&gt;0")</f>
        <v>0</v>
      </c>
      <c r="QG130" s="6">
        <f>COUNTIFS(Table149152[Country],Tabela1[[#This Row],[Country]],Table149152[Slopestyle Classification],"&gt;0")</f>
        <v>0</v>
      </c>
      <c r="QH130" s="6">
        <f>COUNTIFS(Table149[Country],Tabela1[[#This Row],[Country]],Table149[Snowboard Cross Classification],"&gt;0")</f>
        <v>0</v>
      </c>
      <c r="QI130" s="6">
        <f>COUNTIFS(Table149152[Country],Tabela1[[#This Row],[Country]],Table149152[Snowboard Cross Classification],"&gt;0")</f>
        <v>0</v>
      </c>
      <c r="QJ130" s="6">
        <f>COUNTIFS(Table153[Country],Tabela1[[#This Row],[Country]],Table153[Mixed Team Snowboard Cross Classification],"&gt;0")</f>
        <v>0</v>
      </c>
      <c r="QK130" s="6">
        <f>COUNTIFS(Table154[Country],Tabela1[[#This Row],[Country]],Table154[500m Classification],"&gt;0")</f>
        <v>0</v>
      </c>
      <c r="QL130" s="6">
        <f>COUNTIFS(Table154157[Country],Tabela1[[#This Row],[Country]],Table154157[500m Classification],"&gt;0")</f>
        <v>0</v>
      </c>
      <c r="QM130" s="6">
        <f>COUNTIFS(Table154[Country],Tabela1[[#This Row],[Country]],Table154[1000m Classification],"&gt;0")</f>
        <v>0</v>
      </c>
      <c r="QN130" s="6">
        <f>COUNTIFS(Table154157[Country],Tabela1[[#This Row],[Country]],Table154157[1000m Classification],"&gt;0")</f>
        <v>0</v>
      </c>
      <c r="QO130" s="6">
        <f>COUNTIFS(Table154[Country],Tabela1[[#This Row],[Country]],Table154[1500m Classification],"&gt;0")</f>
        <v>0</v>
      </c>
      <c r="QP130" s="6">
        <f>COUNTIFS(Table154157[Country],Tabela1[[#This Row],[Country]],Table154157[1500m Classification],"&gt;0")</f>
        <v>0</v>
      </c>
      <c r="QQ130" s="6">
        <f>COUNTIFS(Table154157[Country],Tabela1[[#This Row],[Country]],Table154157[3000m Classification],"&gt;0")</f>
        <v>0</v>
      </c>
      <c r="QR130" s="6">
        <f>COUNTIFS(Table154[Country],Tabela1[[#This Row],[Country]],Table154[5000m Classification],"&gt;0")</f>
        <v>0</v>
      </c>
      <c r="QS130" s="6">
        <f>COUNTIFS(Table154157[Country],Tabela1[[#This Row],[Country]],Table154157[5000m Classification],"&gt;0")</f>
        <v>0</v>
      </c>
      <c r="QT130" s="6">
        <f>COUNTIFS(Table154[Country],Tabela1[[#This Row],[Country]],Table154[10000m Classification],"&gt;0")</f>
        <v>0</v>
      </c>
      <c r="QU130" s="6">
        <f>COUNTIFS(Table154[Country],Tabela1[[#This Row],[Country]],Table154[Mass Start Classification],"&gt;0")</f>
        <v>0</v>
      </c>
      <c r="QV130" s="6">
        <f>COUNTIFS(Table154157[Country],Tabela1[[#This Row],[Country]],Table154157[Mass Start Classification],"&gt;0")</f>
        <v>0</v>
      </c>
      <c r="QW130" s="6">
        <f>COUNTIFS(Table157[Country],Tabela1[[#This Row],[Country]],Table157[Men''s Pursuit Classification],"&gt;0")</f>
        <v>0</v>
      </c>
      <c r="QX130" s="6">
        <f>COUNTIFS(Table157[Country],Tabela1[[#This Row],[Country]],Table157[Women''s Pursuit Classification],"&gt;0")</f>
        <v>0</v>
      </c>
      <c r="QY130" s="4" t="s">
        <v>485</v>
      </c>
    </row>
    <row r="131" spans="1:467" x14ac:dyDescent="0.3">
      <c r="A131" s="6">
        <v>130</v>
      </c>
      <c r="B131" s="6" t="s">
        <v>388</v>
      </c>
      <c r="C131" t="e" vm="130">
        <f>IF(ISBLANK(Tabela1[[#This Row],[Image Link]]), "", _xlfn.IMAGE(Tabela1[[#This Row],[Image Link]],1,1))</f>
        <v>#VALUE!</v>
      </c>
      <c r="D131" s="6">
        <f>SUM(Tabela1[[#This Row],[Archery - Men''s Individual Recurve]:[Speed Skating - Women''s Team Pursuit]])</f>
        <v>2</v>
      </c>
      <c r="E131" s="6">
        <f>COUNTIF(Tabela1[[#This Row],[Archery - Men''s Individual Recurve]:[Speed Skating - Women''s Team Pursuit]],"&gt;0")</f>
        <v>2</v>
      </c>
      <c r="F131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31" s="6">
        <f>SUM(Tabela1[[#This Row],[Archery - Men''s Individual Recurve]:[Wrestling - Women''s Freestyle 76kg]])</f>
        <v>2</v>
      </c>
      <c r="H131" s="6">
        <f>SUM(Tabela1[[#This Row],[Alpine Skiing - Men''s Downhill]:[Speed Skating - Women''s Team Pursuit]])</f>
        <v>0</v>
      </c>
      <c r="I131" s="6">
        <f>Tabela1[[#This Row],[Summer Gold Medals]]+Tabela1[[#This Row],[Winter Gold Medals]]</f>
        <v>0</v>
      </c>
      <c r="J131" s="6">
        <f>Tabela1[[#This Row],[Summer Silver Medals]]+Tabela1[[#This Row],[Winter Silver Medals]]</f>
        <v>0</v>
      </c>
      <c r="K131" s="6">
        <f>Tabela1[[#This Row],[Summer Bronze Medals]]+Tabela1[[#This Row],[Winter Bronze Medals]]</f>
        <v>0</v>
      </c>
      <c r="L131" s="6">
        <f>SUM(Tabela1[[#This Row],[Total Gold Medals]:[Total Bronze Medals]])</f>
        <v>0</v>
      </c>
      <c r="M131" s="6"/>
      <c r="N131" s="6"/>
      <c r="O131" s="6"/>
      <c r="P131" s="6">
        <f>SUM(Tabela1[[#This Row],[Summer Gold Medals]:[Summer Bronze Medals]])</f>
        <v>0</v>
      </c>
      <c r="Q131" s="6"/>
      <c r="R131" s="6"/>
      <c r="S131" s="6"/>
      <c r="T131" s="6">
        <f>Tabela1[[#This Row],[Winter Gold Medals]]+Tabela1[[#This Row],[Winter Silver Medals]]+Tabela1[[#This Row],[Winter Bronze Medals]]</f>
        <v>0</v>
      </c>
      <c r="U131" s="7">
        <f>Tabela1[[#This Row],[Total Medals]]/Tabela1[[#This Row],[Total Quotas]]</f>
        <v>0</v>
      </c>
      <c r="V131" s="6">
        <f>COUNTIFS(Table3[Country],Tabela1[[#This Row],[Country]],Table3[Recurve Classification],"&gt;0")</f>
        <v>0</v>
      </c>
      <c r="W131" s="6">
        <f>COUNTIFS(Table33[Country],Tabela1[[#This Row],[Country]],Table33[Recurve Classification],"&gt;0")</f>
        <v>0</v>
      </c>
      <c r="X131" s="6">
        <f>COUNTIFS(Table35[Country],Tabela1[[#This Row],[Country]],Table35[Men''s Team Recurve Classification],"&gt;0")</f>
        <v>0</v>
      </c>
      <c r="Y131" s="6">
        <f>COUNTIFS(Table35[Country],Tabela1[[#This Row],[Country]],Table35[Women''s Team Recurve Classification],"&gt;0")</f>
        <v>0</v>
      </c>
      <c r="Z131" s="6">
        <f>COUNTIFS(Tabela88[Country],Tabela1[[#This Row],[Country]],Tabela88[Mixed Team Recurve Classification],"&gt;0")</f>
        <v>0</v>
      </c>
      <c r="AA131" s="6">
        <f>COUNTIFS(Table36[Country],Tabela1[[#This Row],[Country]],Table36[Classification],"&gt;0")</f>
        <v>0</v>
      </c>
      <c r="AB131" s="6">
        <f>COUNTIFS(Table37[Country],Tabela1[[#This Row],[Country]],Table37[Classification],"&gt;0")</f>
        <v>0</v>
      </c>
      <c r="AC131" s="6">
        <f>COUNTIFS(Table4[Country],Tabela1[[#This Row],[Country]],Table4[100m Classification],"&gt;0")</f>
        <v>0</v>
      </c>
      <c r="AD131" s="6">
        <f>COUNTIFS(Table5[Country],Tabela1[[#This Row],[Country]],Table5[100m Classification],"&gt;0")</f>
        <v>0</v>
      </c>
      <c r="AE131" s="6">
        <f>COUNTIFS(Table4[Country],Tabela1[[#This Row],[Country]],Table4[200m Classification],"&gt;0")</f>
        <v>0</v>
      </c>
      <c r="AF131" s="6">
        <f>COUNTIFS(Table5[Country],Tabela1[[#This Row],[Country]],Table5[200m Classification],"&gt;0")</f>
        <v>0</v>
      </c>
      <c r="AG131" s="6">
        <f>COUNTIFS(Table4[Country],Tabela1[[#This Row],[Country]],Table4[400m Classification],"&gt;0")</f>
        <v>0</v>
      </c>
      <c r="AH131" s="6">
        <f>COUNTIFS(Table5[Country],Tabela1[[#This Row],[Country]],Table5[400m Classification],"&gt;0")</f>
        <v>0</v>
      </c>
      <c r="AI131" s="6">
        <f>COUNTIFS(Table4[Country],Tabela1[[#This Row],[Country]],Table4[800m Classification],"&gt;0")</f>
        <v>0</v>
      </c>
      <c r="AJ131" s="6">
        <f>COUNTIFS(Table5[Country],Tabela1[[#This Row],[Country]],Table5[800m Classification],"&gt;0")</f>
        <v>0</v>
      </c>
      <c r="AK131" s="6">
        <f>COUNTIFS(Table4[Country],Tabela1[[#This Row],[Country]],Table4[1500m Classification],"&gt;0")</f>
        <v>0</v>
      </c>
      <c r="AL131" s="6">
        <f>COUNTIFS(Table5[Country],Tabela1[[#This Row],[Country]],Table5[1500m Classification],"&gt;0")</f>
        <v>0</v>
      </c>
      <c r="AM131" s="6">
        <f>COUNTIFS(Table4[Country],Tabela1[[#This Row],[Country]],Table4[5000m Classification],"&gt;0")</f>
        <v>0</v>
      </c>
      <c r="AN131" s="6">
        <f>COUNTIFS(Table5[Country],Tabela1[[#This Row],[Country]],Table5[5000m Classification],"&gt;0")</f>
        <v>0</v>
      </c>
      <c r="AO131" s="6">
        <f>COUNTIFS(Table4[Country],Tabela1[[#This Row],[Country]],Table4[10000m Classification],"&gt;0")</f>
        <v>0</v>
      </c>
      <c r="AP131" s="6">
        <f>COUNTIFS(Table5[Country],Tabela1[[#This Row],[Country]],Table5[10000m Classification],"&gt;0")</f>
        <v>0</v>
      </c>
      <c r="AQ131" s="6">
        <f>COUNTIFS(Table4[Country],Tabela1[[#This Row],[Country]],Table4[110m Hurdles Classification],"&gt;0")</f>
        <v>0</v>
      </c>
      <c r="AR131" s="6">
        <f>COUNTIFS(Table5[Country],Tabela1[[#This Row],[Country]],Table5[100m Hurdles Classification],"&gt;0")</f>
        <v>0</v>
      </c>
      <c r="AS131" s="6">
        <f>COUNTIFS(Table4[Country],Tabela1[[#This Row],[Country]],Table4[400m Hurdles Classification],"&gt;0")</f>
        <v>0</v>
      </c>
      <c r="AT131" s="6">
        <f>COUNTIFS(Table5[Country],Tabela1[[#This Row],[Country]],Table5[400m Hurdles Classification],"&gt;0")</f>
        <v>0</v>
      </c>
      <c r="AU131" s="6">
        <f>COUNTIFS(Table4[Country],Tabela1[[#This Row],[Country]],Table4[3000m Steeplechase Classification],"&gt;0")</f>
        <v>0</v>
      </c>
      <c r="AV131" s="6">
        <f>COUNTIFS(Table5[Country],Tabela1[[#This Row],[Country]],Table5[3000m Steeplechase Classification],"&gt;0")</f>
        <v>0</v>
      </c>
      <c r="AW131" s="6">
        <f>COUNTIFS(Table27[Country],Tabela1[[#This Row],[Country]],Table27[Men''s 4x100m Relay Classification],"&gt;0")</f>
        <v>0</v>
      </c>
      <c r="AX131" s="6">
        <f>COUNTIFS(Table27[Country],Tabela1[[#This Row],[Country]],Table27[Women''s 4x100m Relay Classification],"&gt;0")</f>
        <v>0</v>
      </c>
      <c r="AY131" s="6">
        <f>COUNTIFS(Table27[Country],Tabela1[[#This Row],[Country]],Table27[Men''s 4x400m Relay Classification],"&gt;0")</f>
        <v>0</v>
      </c>
      <c r="AZ131" s="6">
        <f>COUNTIFS(Table27[Country],Tabela1[[#This Row],[Country]],Table27[Women''s 4x400m Relay Classification],"&gt;0")</f>
        <v>0</v>
      </c>
      <c r="BA131" s="6">
        <f>COUNTIFS(Table27[Country],Tabela1[[#This Row],[Country]],Table27[Mixed 4x400m Relay Classification],"&gt;0")</f>
        <v>0</v>
      </c>
      <c r="BB131" s="6">
        <f>COUNTIFS(Table4[Country],Tabela1[[#This Row],[Country]],Table4[Marathon Classification],"&gt;0")</f>
        <v>0</v>
      </c>
      <c r="BC131" s="6">
        <f>COUNTIFS(Table5[Country],Tabela1[[#This Row],[Country]],Table5[Marathon Classification],"&gt;0")</f>
        <v>0</v>
      </c>
      <c r="BD131" s="6">
        <f>COUNTIFS(Table4[Country],Tabela1[[#This Row],[Country]],Table4[20km Race Walk Classification],"&gt;0")</f>
        <v>0</v>
      </c>
      <c r="BE131" s="6">
        <f>COUNTIFS(Table5[Country],Tabela1[[#This Row],[Country]],Table5[20km Race Walk Classification],"&gt;0")</f>
        <v>0</v>
      </c>
      <c r="BF131" s="6">
        <f>COUNTIFS(Tabela96[Country],Tabela1[[#This Row],[Country]],Tabela96[Mixed Marathon Race Walk Relay Classification],"&gt;0")</f>
        <v>0</v>
      </c>
      <c r="BG131" s="6">
        <f>COUNTIFS(Table4[Country],Tabela1[[#This Row],[Country]],Table4[Discus Throw Classification],"&gt;0")</f>
        <v>0</v>
      </c>
      <c r="BH131" s="6">
        <f>COUNTIFS(Table5[Country],Tabela1[[#This Row],[Country]],Table5[Discus Throw Classification],"&gt;0")</f>
        <v>0</v>
      </c>
      <c r="BI131" s="6">
        <f>COUNTIFS(Table4[Country],Tabela1[[#This Row],[Country]],Table4[Hammer Throw Classification],"&gt;0")</f>
        <v>0</v>
      </c>
      <c r="BJ131" s="6">
        <f>COUNTIFS(Table5[Country],Tabela1[[#This Row],[Country]],Table5[Hammer Throw Classification],"&gt;0")</f>
        <v>0</v>
      </c>
      <c r="BK131" s="6">
        <f>COUNTIFS(Table4[Country],Tabela1[[#This Row],[Country]],Table4[High Jump Classification],"&gt;0")</f>
        <v>0</v>
      </c>
      <c r="BL131" s="6">
        <f>COUNTIFS(Table5[Country],Tabela1[[#This Row],[Country]],Table5[High Jump Classification],"&gt;0")</f>
        <v>0</v>
      </c>
      <c r="BM131" s="6">
        <f>COUNTIFS(Table4[Country],Tabela1[[#This Row],[Country]],Table4[Javelin Throw Classification],"&gt;0")</f>
        <v>0</v>
      </c>
      <c r="BN131" s="6">
        <f>COUNTIFS(Table5[Country],Tabela1[[#This Row],[Country]],Table5[Javelin Throw Classification],"&gt;0")</f>
        <v>0</v>
      </c>
      <c r="BO131" s="6">
        <f>COUNTIFS(Table4[Country],Tabela1[[#This Row],[Country]],Table4[Long Jump Classification],"&gt;0")</f>
        <v>0</v>
      </c>
      <c r="BP131" s="6">
        <f>COUNTIFS(Table5[Country],Tabela1[[#This Row],[Country]],Table5[Long Jump Classification],"&gt;0")</f>
        <v>0</v>
      </c>
      <c r="BQ131" s="6">
        <f>COUNTIFS(Table4[Country],Tabela1[[#This Row],[Country]],Table4[Pole Vault Classification],"&gt;0")</f>
        <v>0</v>
      </c>
      <c r="BR131" s="6">
        <f>COUNTIFS(Table5[Country],Tabela1[[#This Row],[Country]],Table5[Pole Vault Classification],"&gt;0")</f>
        <v>0</v>
      </c>
      <c r="BS131" s="6">
        <f>COUNTIFS(Table4[Country],Tabela1[[#This Row],[Country]],Table4[Shot Put Classification],"&gt;0")</f>
        <v>0</v>
      </c>
      <c r="BT131" s="6">
        <f>COUNTIFS(Table5[Country],Tabela1[[#This Row],[Country]],Table5[Shot Put Classification],"&gt;0")</f>
        <v>0</v>
      </c>
      <c r="BU131" s="6">
        <f>COUNTIFS(Table4[Country],Tabela1[[#This Row],[Country]],Table4[Triple Jump Classification],"&gt;0")</f>
        <v>0</v>
      </c>
      <c r="BV131" s="6">
        <f>COUNTIFS(Table5[Country],Tabela1[[#This Row],[Country]],Table5[Triple Jump Classification],"&gt;0")</f>
        <v>0</v>
      </c>
      <c r="BW131" s="6">
        <f>COUNTIFS(Table4[Country],Tabela1[[#This Row],[Country]],Table4[Decathlon Classification],"&gt;0")</f>
        <v>0</v>
      </c>
      <c r="BX131" s="6">
        <f>COUNTIFS(Table5[Country],Tabela1[[#This Row],[Country]],Table5[Heptathlon Classification],"&gt;0")</f>
        <v>0</v>
      </c>
      <c r="BY131" s="6">
        <f>COUNTIFS(Table61[Country],Tabela1[[#This Row],[Country]],Table61[Classification],"&gt;0")</f>
        <v>0</v>
      </c>
      <c r="BZ131" s="6">
        <f>COUNTIFS(Table38[Country],Tabela1[[#This Row],[Country]],Table38[Classification],"&gt;0")</f>
        <v>0</v>
      </c>
      <c r="CA131" s="6">
        <f>COUNTIFS(Table39[Country],Tabela1[[#This Row],[Country]],Table39[Men''s Classification],"&gt;0")</f>
        <v>0</v>
      </c>
      <c r="CB131" s="6">
        <f>COUNTIFS(Table39[Country],Tabela1[[#This Row],[Country]],Table39[Women''s Classification],"&gt;0")</f>
        <v>0</v>
      </c>
      <c r="CC131" s="6">
        <f>COUNTIFS(Table39[Country],Tabela1[[#This Row],[Country]],Table39[Mixed Classification],"&gt;0")</f>
        <v>0</v>
      </c>
      <c r="CD131" s="6">
        <f>COUNTIFS(Table89[Country],Tabela1[[#This Row],[Country]],Table89[Men''s Classification],"&gt;0")</f>
        <v>0</v>
      </c>
      <c r="CE131" s="6">
        <f>COUNTIFS(Table89[Country],Tabela1[[#This Row],[Country]],Table89[Women''s Classification],"&gt;0")</f>
        <v>0</v>
      </c>
      <c r="CF131" s="6">
        <f>COUNTIFS(Table90[Country],Tabela1[[#This Row],[Country]],Table90[Men''s Classification],"&gt;0")</f>
        <v>0</v>
      </c>
      <c r="CG131" s="6">
        <f>COUNTIFS(Table90[Country],Tabela1[[#This Row],[Country]],Table90[Women''s Classification],"&gt;0")</f>
        <v>0</v>
      </c>
      <c r="CH131" s="6">
        <f>COUNTIFS(Table60[Country],Tabela1[[#This Row],[Country]],Table60[Men''s Classification],"&gt;0")</f>
        <v>0</v>
      </c>
      <c r="CI131" s="6">
        <f>COUNTIFS(Table60[Country],Tabela1[[#This Row],[Country]],Table60[Women''s Classification],"&gt;0")</f>
        <v>0</v>
      </c>
      <c r="CJ131" s="6">
        <f>COUNTIFS(Table6[Country],Tabela1[[#This Row],[Country]],Table6[51kg Classification],"&gt;0")</f>
        <v>0</v>
      </c>
      <c r="CK131" s="6">
        <f>COUNTIFS(Table6[Country],Tabela1[[#This Row],[Country]],Table6[57kg Classification],"&gt;0")</f>
        <v>0</v>
      </c>
      <c r="CL131" s="6">
        <f>COUNTIFS(Table6[Country],Tabela1[[#This Row],[Country]],Table6[63.5kg Classification],"&gt;0")</f>
        <v>0</v>
      </c>
      <c r="CM131" s="6">
        <f>COUNTIFS(Table6[Country],Tabela1[[#This Row],[Country]],Table6[71kg Classification],"&gt;0")</f>
        <v>0</v>
      </c>
      <c r="CN131" s="6">
        <f>COUNTIFS(Table6[Country],Tabela1[[#This Row],[Country]],Table6[80kg Classification],"&gt;0")</f>
        <v>0</v>
      </c>
      <c r="CO131" s="6">
        <f>COUNTIFS(Table6[Country],Tabela1[[#This Row],[Country]],Table6[92kg Classification],"&gt;0")</f>
        <v>0</v>
      </c>
      <c r="CP131" s="6">
        <f>COUNTIFS(Table6[Country],Tabela1[[#This Row],[Country]],Table6[Plus 92kg Classification],"&gt;0")</f>
        <v>0</v>
      </c>
      <c r="CQ131" s="6">
        <f>COUNTIFS(Table7[Country],Tabela1[[#This Row],[Country]],Table7[50kg Classification],"&gt;0")</f>
        <v>0</v>
      </c>
      <c r="CR131" s="6">
        <f>COUNTIFS(Table7[Country],Tabela1[[#This Row],[Country]],Table7[54kg Classification],"&gt;0")</f>
        <v>0</v>
      </c>
      <c r="CS131" s="6">
        <f>COUNTIFS(Table7[Country],Tabela1[[#This Row],[Country]],Table7[57kg Classification],"&gt;0")</f>
        <v>0</v>
      </c>
      <c r="CT131" s="6">
        <f>COUNTIFS(Table7[Country],Tabela1[[#This Row],[Country]],Table7[60kg Classification],"&gt;0")</f>
        <v>0</v>
      </c>
      <c r="CU131" s="6">
        <f>COUNTIFS(Table7[Country],Tabela1[[#This Row],[Country]],Table7[66kg Classification],"&gt;0")</f>
        <v>0</v>
      </c>
      <c r="CV131" s="6">
        <f>COUNTIFS(Table7[Country],Tabela1[[#This Row],[Country]],Table7[75kg Classification],"&gt;0")</f>
        <v>0</v>
      </c>
      <c r="CW131" s="6">
        <f>COUNTIFS(Tabela94[Country],Tabela1[[#This Row],[Country]],Tabela94[Classification],"&gt;0")</f>
        <v>0</v>
      </c>
      <c r="CX131" s="6">
        <f>COUNTIFS(Tabela9499[Country],Tabela1[[#This Row],[Country]],Tabela9499[Classification],"&gt;0")</f>
        <v>0</v>
      </c>
      <c r="CY131" s="6">
        <f>COUNTIFS(Tabela107[Country],Tabela1[[#This Row],[Country]],Tabela107[C1 Slalom Classification],"&gt;0")</f>
        <v>0</v>
      </c>
      <c r="CZ131" s="6">
        <f>COUNTIFS(Tabela107122[Country],Tabela1[[#This Row],[Country]],Tabela107122[C1 Slalom Classification],"&gt;0")</f>
        <v>0</v>
      </c>
      <c r="DA131" s="6">
        <f>COUNTIFS(Tabela107[Country],Tabela1[[#This Row],[Country]],Tabela107[K1 Slalom Classification],"&gt;0")</f>
        <v>0</v>
      </c>
      <c r="DB131" s="6">
        <f>COUNTIFS(Tabela107122[Country],Tabela1[[#This Row],[Country]],Tabela107122[K1 Slalom Classification],"&gt;0")</f>
        <v>0</v>
      </c>
      <c r="DC131" s="6">
        <f>COUNTIFS(Tabela107[Country],Tabela1[[#This Row],[Country]],Tabela107[Kayak Cross Slalom Classification],"&gt;0")</f>
        <v>0</v>
      </c>
      <c r="DD131" s="6">
        <f>COUNTIFS(Tabela107122[Country],Tabela1[[#This Row],[Country]],Tabela107122[Kayak Cross Slalom Classification],"&gt;0")</f>
        <v>0</v>
      </c>
      <c r="DE131" s="6">
        <f>COUNTIFS(Table8[Country],Tabela1[[#This Row],[Country]],Table8[C1 200m Classification],"&gt;0")</f>
        <v>0</v>
      </c>
      <c r="DF131" s="6">
        <f>COUNTIFS(Table40[Country],Tabela1[[#This Row],[Country]],Table40[C1 1000m Classification],"&gt;0")</f>
        <v>0</v>
      </c>
      <c r="DG131" s="6">
        <f>COUNTIFS(Table68[Country],Tabela1[[#This Row],[Country]],Table68[Men''s C2 500m Classification],"&gt;0")</f>
        <v>0</v>
      </c>
      <c r="DH131" s="6">
        <f>COUNTIFS(Table68[Country],Tabela1[[#This Row],[Country]],Table68[Women''s C2 500m Classification],"&gt;0")</f>
        <v>0</v>
      </c>
      <c r="DI131" s="6">
        <f>COUNTIFS(Table8[Country],Tabela1[[#This Row],[Country]],Table8[K1 500m Classification],"&gt;0")</f>
        <v>0</v>
      </c>
      <c r="DJ131" s="6">
        <f>COUNTIFS(Table40[Country],Tabela1[[#This Row],[Country]],Table40[K1 1000m Classification],"&gt;0")</f>
        <v>0</v>
      </c>
      <c r="DK131" s="6">
        <f>COUNTIFS(Table68[Country],Tabela1[[#This Row],[Country]],Table68[Men''s K2 500m Classification],"&gt;0")</f>
        <v>0</v>
      </c>
      <c r="DL131" s="6">
        <f>COUNTIFS(Table68[Country],Tabela1[[#This Row],[Country]],Table68[Women''s K2 500m Classification],"&gt;0")</f>
        <v>0</v>
      </c>
      <c r="DM131" s="6">
        <f>COUNTIFS(Table83[Country],Tabela1[[#This Row],[Country]],Table83[Men''s K4 500m Classification],"&gt;0")</f>
        <v>0</v>
      </c>
      <c r="DN131" s="6">
        <f>COUNTIFS(Table83[Country],Tabela1[[#This Row],[Country]],Table83[Women''s K4 500m Classification],"&gt;0")</f>
        <v>0</v>
      </c>
      <c r="DO131" s="6">
        <f>COUNTIFS(Tabela126[Country],Tabela1[[#This Row],[Country]],Tabela126[Classification],"&gt;0")</f>
        <v>0</v>
      </c>
      <c r="DP131" s="6">
        <f>COUNTIFS(Tabela126130[Country],Tabela1[[#This Row],[Country]],Tabela126130[Classification],"&gt;0")</f>
        <v>0</v>
      </c>
      <c r="DQ131" s="6">
        <f>COUNTIFS(Table70[Country],Tabela1[[#This Row],[Country]],Table70[Classification],"&gt;0")</f>
        <v>0</v>
      </c>
      <c r="DR131" s="6">
        <f>COUNTIFS(Table80[Country],Tabela1[[#This Row],[Country]],Table80[Classification],"&gt;0")</f>
        <v>0</v>
      </c>
      <c r="DS131" s="6">
        <f>COUNTIFS(Table66[Country],Tabela1[[#This Row],[Country]],Table66[Classification],"&gt;0")</f>
        <v>0</v>
      </c>
      <c r="DT131" s="6">
        <f>COUNTIFS(Table67[Country],Tabela1[[#This Row],[Country]],Table67[Classification],"&gt;0")</f>
        <v>0</v>
      </c>
      <c r="DU131" s="6">
        <f>COUNTIFS(Table69[Country],Tabela1[[#This Row],[Country]],Table69[Keirin Classification],"&gt;0")</f>
        <v>0</v>
      </c>
      <c r="DV131" s="6">
        <f>COUNTIFS(Table41[Country],Tabela1[[#This Row],[Country]],Table41[Keirin Classification],"&gt;0")</f>
        <v>0</v>
      </c>
      <c r="DW131" s="6">
        <f>COUNTIFS(Table84[Country],Tabela1[[#This Row],[Country]],Table84[Men''s Madison Classification],"&gt;0")</f>
        <v>0</v>
      </c>
      <c r="DX131" s="6">
        <f>COUNTIFS(Table84[Country],Tabela1[[#This Row],[Country]],Table84[Women''s Madison Classification],"&gt;0")</f>
        <v>0</v>
      </c>
      <c r="DY131" s="6">
        <f>COUNTIFS(Table69[Country],Tabela1[[#This Row],[Country]],Table69[Omnium Classification],"&gt;0")</f>
        <v>0</v>
      </c>
      <c r="DZ131" s="6">
        <f>COUNTIFS(Table41[Country],Tabela1[[#This Row],[Country]],Table41[Omnium Classification],"&gt;0")</f>
        <v>0</v>
      </c>
      <c r="EA131" s="6">
        <f>COUNTIFS(Table9[Country],Tabela1[[#This Row],[Country]],Table9[Road Race Classification],"&gt;0")</f>
        <v>0</v>
      </c>
      <c r="EB131" s="6">
        <f>COUNTIFS(Table14[Country],Tabela1[[#This Row],[Country]],Table14[Road Race Classification],"&gt;0")</f>
        <v>0</v>
      </c>
      <c r="EC131" s="6">
        <f>COUNTIFS(Table69[Country],Tabela1[[#This Row],[Country]],Table69[Sprint Classification],"&gt;0")</f>
        <v>0</v>
      </c>
      <c r="ED131" s="6">
        <f>COUNTIFS(Table41[Country],Tabela1[[#This Row],[Country]],Table41[Sprint Classification],"&gt;0")</f>
        <v>0</v>
      </c>
      <c r="EE131" s="6">
        <f>COUNTIFS(Table85[Country],Tabela1[[#This Row],[Country]],Table85[Men''s Sprint Classification],"&gt;0")</f>
        <v>0</v>
      </c>
      <c r="EF131" s="6">
        <f>COUNTIFS(Table85[Country],Tabela1[[#This Row],[Country]],Table85[Women''s Sprint Classification],"&gt;0")</f>
        <v>0</v>
      </c>
      <c r="EG131" s="6">
        <f>COUNTIFS(Table85[Country],Tabela1[[#This Row],[Country]],Table85[Men''s Pursuit Classification],"&gt;0")</f>
        <v>0</v>
      </c>
      <c r="EH131" s="6">
        <f>COUNTIFS(Table85[Country],Tabela1[[#This Row],[Country]],Table85[Women''s Pursuit Classification],"&gt;0")</f>
        <v>0</v>
      </c>
      <c r="EI131" s="6">
        <f>COUNTIFS(Table9[Country],Tabela1[[#This Row],[Country]],Table9[Time-Trial Classification],"&gt;0")</f>
        <v>0</v>
      </c>
      <c r="EJ131" s="6">
        <f>COUNTIFS(Table14[Country],Tabela1[[#This Row],[Country]],Table14[Time-Trial Classification],"&gt;0")</f>
        <v>0</v>
      </c>
      <c r="EK131" s="6">
        <f>COUNTIFS(Table42[Country],Tabela1[[#This Row],[Country]],Table42[Springboard Classification],"&gt;0")</f>
        <v>0</v>
      </c>
      <c r="EL131" s="6">
        <f>COUNTIFS(Table43[Country],Tabela1[[#This Row],[Country]],Table43[Springboard Classification],"&gt;0")</f>
        <v>0</v>
      </c>
      <c r="EM131" s="6">
        <f>COUNTIFS(Table42[Country],Tabela1[[#This Row],[Country]],Table42[Platform Classification],"&gt;0")</f>
        <v>0</v>
      </c>
      <c r="EN131" s="6">
        <f>COUNTIFS(Table43[Country],Tabela1[[#This Row],[Country]],Table43[Platform Classification],"&gt;0")</f>
        <v>0</v>
      </c>
      <c r="EO131" s="6">
        <f>COUNTIFS(Table86[Country],Tabela1[[#This Row],[Country]],Table86[Men''s Synchronized Springboard Classification],"&gt;0")</f>
        <v>0</v>
      </c>
      <c r="EP131" s="6">
        <f>COUNTIFS(Table86[Country],Tabela1[[#This Row],[Country]],Table86[Women''s Synchronized Springboard Classification],"&gt;0")</f>
        <v>0</v>
      </c>
      <c r="EQ131" s="6">
        <f>COUNTIFS(Table86[Country],Tabela1[[#This Row],[Country]],Table86[Men''s Synchronized Platform Classification],"&gt;0")</f>
        <v>0</v>
      </c>
      <c r="ER131" s="6">
        <f>COUNTIFS(Table86[Country],Tabela1[[#This Row],[Country]],Table86[Women''s Synchronized Platform Classification],"&gt;0")</f>
        <v>0</v>
      </c>
      <c r="ES131" s="6">
        <f>COUNTIFS(Table44[Country],Tabela1[[#This Row],[Country]],Table44[Dressage Classification],"&gt;0")</f>
        <v>0</v>
      </c>
      <c r="ET131" s="6">
        <f>COUNTIFS(Table45[Country],Tabela1[[#This Row],[Country]],Table45[Dressage Classification],"&gt;0")</f>
        <v>0</v>
      </c>
      <c r="EU131" s="6">
        <f>COUNTIFS(Table44[Country],Tabela1[[#This Row],[Country]],Table44[Eventing Classification],"&gt;0")</f>
        <v>0</v>
      </c>
      <c r="EV131" s="6">
        <f>COUNTIFS(Table45[Country],Tabela1[[#This Row],[Country]],Table45[Eventing Classification],"&gt;0")</f>
        <v>0</v>
      </c>
      <c r="EW131" s="6">
        <f>COUNTIFS(Table44[Country],Tabela1[[#This Row],[Country]],Table44[Jumping Classification],"&gt;0")</f>
        <v>0</v>
      </c>
      <c r="EX131" s="6">
        <f>COUNTIFS(Table45[Country],Tabela1[[#This Row],[Country]],Table45[Jumping Classification],"&gt;0")</f>
        <v>0</v>
      </c>
      <c r="EY131" s="6">
        <f>COUNTIFS(Table10[Country],Tabela1[[#This Row],[Country]],Table10[Épée Classification],"&gt;0")</f>
        <v>0</v>
      </c>
      <c r="EZ131" s="6">
        <f>COUNTIFS(Table11[Country],Tabela1[[#This Row],[Country]],Table11[Épée Classification],"&gt;0")</f>
        <v>0</v>
      </c>
      <c r="FA131" s="6">
        <f>COUNTIFS(Table46[Country],Tabela1[[#This Row],[Country]],Table46[Men''s Épée Classification],"&gt;0")</f>
        <v>0</v>
      </c>
      <c r="FB131" s="6">
        <f>COUNTIFS(Table46[Country],Tabela1[[#This Row],[Country]],Table46[Women''s Épée Classification],"&gt;0")</f>
        <v>0</v>
      </c>
      <c r="FC131" s="6">
        <f>COUNTIFS(Table10[Country],Tabela1[[#This Row],[Country]],Table10[Foil Classification],"&gt;0")</f>
        <v>0</v>
      </c>
      <c r="FD131" s="6">
        <f>COUNTIFS(Table11[Country],Tabela1[[#This Row],[Country]],Table11[Foil Classification],"&gt;0")</f>
        <v>0</v>
      </c>
      <c r="FE131" s="6">
        <f>COUNTIFS(Table46[Country],Tabela1[[#This Row],[Country]],Table46[Men''s Foil Classification],"&gt;0")</f>
        <v>0</v>
      </c>
      <c r="FF131" s="6">
        <f>COUNTIFS(Table46[Country],Tabela1[[#This Row],[Country]],Table46[Women''s Foil Classification],"&gt;0")</f>
        <v>0</v>
      </c>
      <c r="FG131" s="6">
        <f>COUNTIFS(Table10[Country],Tabela1[[#This Row],[Country]],Table10[Sabre Classification],"&gt;0")</f>
        <v>0</v>
      </c>
      <c r="FH131" s="6">
        <f>COUNTIFS(Table11[Country],Tabela1[[#This Row],[Country]],Table11[Sabre Classification],"&gt;0")</f>
        <v>0</v>
      </c>
      <c r="FI131" s="6">
        <f>COUNTIFS(Table46[Country],Tabela1[[#This Row],[Country]],Table46[Men''s Sabre Classification],"&gt;0")</f>
        <v>0</v>
      </c>
      <c r="FJ131" s="6">
        <f>COUNTIFS(Table46[Country],Tabela1[[#This Row],[Country]],Table46[Women''s Sabre Classification],"&gt;0")</f>
        <v>0</v>
      </c>
      <c r="FK131" s="6">
        <f>COUNTIFS(Table91[Country],Tabela1[[#This Row],[Country]],Table91[Men''s Classification],"&gt;0")</f>
        <v>0</v>
      </c>
      <c r="FL131" s="6">
        <f>COUNTIFS(Table91[Country],Tabela1[[#This Row],[Country]],Table91[Women''s Classification],"&gt;0")</f>
        <v>0</v>
      </c>
      <c r="FM131" s="6">
        <f>COUNTIFS(Table9194[Country],Tabela1[[#This Row],[Country]],Table9194[Men''s Classification],"&gt;0")</f>
        <v>0</v>
      </c>
      <c r="FN131" s="6">
        <f>COUNTIFS(Table9194[Country],Tabela1[[#This Row],[Country]],Table9194[Women''s Classification],"&gt;0")</f>
        <v>0</v>
      </c>
      <c r="FO131" s="6">
        <f>COUNTIFS(Table71[Country],Tabela1[[#This Row],[Country]],Table71[Classification],"&gt;0")</f>
        <v>0</v>
      </c>
      <c r="FP131" s="6">
        <f>COUNTIFS(Table62[Country],Tabela1[[#This Row],[Country]],Table62[Classification],"&gt;0")</f>
        <v>0</v>
      </c>
      <c r="FQ131" s="6">
        <f>COUNTIFS(Table47[Country],Tabela1[[#This Row],[Country]],Table47[All-Around Classification],"&gt;0")</f>
        <v>0</v>
      </c>
      <c r="FR131" s="6">
        <f>COUNTIFS(Table48[Country],Tabela1[[#This Row],[Country]],Table48[All-Around Classification],"&gt;0")</f>
        <v>0</v>
      </c>
      <c r="FS131" s="6">
        <f>COUNTIFS(Table81[Country],Tabela1[[#This Row],[Country]],Table81[Men''s All-Around Classification],"&gt;0")</f>
        <v>0</v>
      </c>
      <c r="FT131" s="6">
        <f>COUNTIFS(Table81[Country],Tabela1[[#This Row],[Country]],Table81[Women''s All-Around Classification],"&gt;0")</f>
        <v>0</v>
      </c>
      <c r="FU131" s="6">
        <f>COUNTIFS(Table48[Country],Tabela1[[#This Row],[Country]],Table48[Balance Beam Classification],"&gt;0")</f>
        <v>0</v>
      </c>
      <c r="FV131" s="6">
        <f>COUNTIFS(Table47[Country],Tabela1[[#This Row],[Country]],Table47[Floor Exercise Classification],"&gt;0")</f>
        <v>0</v>
      </c>
      <c r="FW131" s="6">
        <f>COUNTIFS(Table48[Country],Tabela1[[#This Row],[Country]],Table48[Floor Exercise Classification],"&gt;0")</f>
        <v>0</v>
      </c>
      <c r="FX131" s="6">
        <f>COUNTIFS(Table47[Country],Tabela1[[#This Row],[Country]],Table47[Horizontal Bar Classification],"&gt;0")</f>
        <v>0</v>
      </c>
      <c r="FY131" s="6">
        <f>COUNTIFS(Table47[Country],Tabela1[[#This Row],[Country]],Table47[Parallel Bars Classification],"&gt;0")</f>
        <v>0</v>
      </c>
      <c r="FZ131" s="6">
        <f>COUNTIFS(Table47[Country],Tabela1[[#This Row],[Country]],Table47[Pommel Horse Classification],"&gt;0")</f>
        <v>0</v>
      </c>
      <c r="GA131" s="6">
        <f>COUNTIFS(Table47[Country],Tabela1[[#This Row],[Country]],Table47[Rings Classification],"&gt;0")</f>
        <v>0</v>
      </c>
      <c r="GB131" s="6">
        <f>COUNTIFS(Tabela132[Country],Tabela1[[#This Row],[Country]],Tabela132[Classification],"&gt;0")</f>
        <v>0</v>
      </c>
      <c r="GC131" s="6">
        <f>COUNTIFS(Tabela139[Country],Tabela1[[#This Row],[Country]],Tabela139[Classification],"&gt;0")</f>
        <v>0</v>
      </c>
      <c r="GD131" s="6">
        <f>COUNTIFS(Table48[Country],Tabela1[[#This Row],[Country]],Table48[Uneven Bars Classification],"&gt;0")</f>
        <v>0</v>
      </c>
      <c r="GE131" s="6">
        <f>COUNTIFS(Table47[Country],Tabela1[[#This Row],[Country]],Table47[Vault Classification],"&gt;0")</f>
        <v>0</v>
      </c>
      <c r="GF131" s="6">
        <f>COUNTIFS(Table48[Country],Tabela1[[#This Row],[Country]],Table48[Vault Classification],"&gt;0")</f>
        <v>0</v>
      </c>
      <c r="GG131" s="6">
        <f>COUNTIFS(Table919496[Country],Tabela1[[#This Row],[Country]],Table919496[Men''s Classification],"&gt;0")</f>
        <v>0</v>
      </c>
      <c r="GH131" s="6">
        <f>COUNTIFS(Table919496[Country],Tabela1[[#This Row],[Country]],Table919496[Women''s Classification],"&gt;0")</f>
        <v>0</v>
      </c>
      <c r="GI131" s="6">
        <f>COUNTIFS(Table12[Country],Tabela1[[#This Row],[Country]],Table12[60kg Classification],"&gt;0")</f>
        <v>0</v>
      </c>
      <c r="GJ131" s="6">
        <f>COUNTIFS(Table12[Country],Tabela1[[#This Row],[Country]],Table12[66kg Classification],"&gt;0")</f>
        <v>0</v>
      </c>
      <c r="GK131" s="6">
        <f>COUNTIFS(Table12[Country],Tabela1[[#This Row],[Country]],Table12[73kg Classification],"&gt;0")</f>
        <v>1</v>
      </c>
      <c r="GL131" s="6">
        <f>COUNTIFS(Table12[Country],Tabela1[[#This Row],[Country]],Table12[81kg Classification],"&gt;0")</f>
        <v>0</v>
      </c>
      <c r="GM131" s="6">
        <f>COUNTIFS(Table12[Country],Tabela1[[#This Row],[Country]],Table12[90kg Classification],"&gt;0")</f>
        <v>0</v>
      </c>
      <c r="GN131" s="6">
        <f>COUNTIFS(Table12[Country],Tabela1[[#This Row],[Country]],Table12[100kg Classification],"&gt;0")</f>
        <v>0</v>
      </c>
      <c r="GO131" s="6">
        <f>COUNTIFS(Table12[Country],Tabela1[[#This Row],[Country]],Table12[Plus 100kg Classification],"&gt;0")</f>
        <v>0</v>
      </c>
      <c r="GP131" s="6">
        <f>COUNTIFS(Table13[Country],Tabela1[[#This Row],[Country]],Table13[48kg Classification],"&gt;0")</f>
        <v>0</v>
      </c>
      <c r="GQ131" s="6">
        <f>COUNTIFS(Table13[Country],Tabela1[[#This Row],[Country]],Table13[52kg Classification],"&gt;0")</f>
        <v>0</v>
      </c>
      <c r="GR131" s="6">
        <f>COUNTIFS(Table13[Country],Tabela1[[#This Row],[Country]],Table13[57kg Classification],"&gt;0")</f>
        <v>0</v>
      </c>
      <c r="GS131" s="6">
        <f>COUNTIFS(Table13[Country],Tabela1[[#This Row],[Country]],Table13[63kg Classification],"&gt;0")</f>
        <v>0</v>
      </c>
      <c r="GT131" s="6">
        <f>COUNTIFS(Table13[Country],Tabela1[[#This Row],[Country]],Table13[70kg Classification],"&gt;0")</f>
        <v>0</v>
      </c>
      <c r="GU131" s="6">
        <f>COUNTIFS(Table13[Country],Tabela1[[#This Row],[Country]],Table13[78kg Classification],"&gt;0")</f>
        <v>0</v>
      </c>
      <c r="GV131" s="6">
        <f>COUNTIFS(Table13[Country],Tabela1[[#This Row],[Country]],Table13[Plus 78kg Classification],"&gt;0")</f>
        <v>0</v>
      </c>
      <c r="GW131" s="6">
        <f>COUNTIFS(Table82[Country],Tabela1[[#This Row],[Country]],Table82[Mixed Classification],"&gt;0")</f>
        <v>0</v>
      </c>
      <c r="GX131" s="6">
        <f>COUNTIFS(Table51[Country],Tabela1[[#This Row],[Country]],Table51[Classification],"&gt;0")</f>
        <v>0</v>
      </c>
      <c r="GY131" s="6">
        <f>COUNTIFS(Table52[Country],Tabela1[[#This Row],[Country]],Table52[Classification],"&gt;0")</f>
        <v>0</v>
      </c>
      <c r="GZ131" s="6">
        <f>COUNTIFS(Table32[Country],Tabela1[[#This Row],[Country]],Table32[All-Around Classification],"&gt;0")</f>
        <v>0</v>
      </c>
      <c r="HA131" s="6">
        <f>COUNTIFS(Table49[Country],Tabela1[[#This Row],[Country]],Table49[All-Around Classification],"&gt;0")</f>
        <v>0</v>
      </c>
      <c r="HB131" s="6">
        <f>COUNTIFS(Table26[Country],Tabela1[[#This Row],[Country]],Table26[Single Sculls Classification],"&gt;0")</f>
        <v>0</v>
      </c>
      <c r="HC131" s="6">
        <f>COUNTIFS(Table63[Country],Tabela1[[#This Row],[Country]],Table63[Single Sculls Classification],"&gt;0")</f>
        <v>0</v>
      </c>
      <c r="HD131" s="6">
        <f>COUNTIFS(Table16[Country],Tabela1[[#This Row],[Country]],Table16[Men''s Double Sculls Classification],"&gt;0")</f>
        <v>0</v>
      </c>
      <c r="HE131" s="6">
        <f>COUNTIFS(Table16[Country],Tabela1[[#This Row],[Country]],Table16[Women''s Double Sculls Classification],"&gt;0")</f>
        <v>0</v>
      </c>
      <c r="HF131" s="6">
        <f>COUNTIFS(Table72[Country],Tabela1[[#This Row],[Country]],Table72[Men''s Quadruple Sculls Classification],"&gt;0")</f>
        <v>0</v>
      </c>
      <c r="HG131" s="6">
        <f>COUNTIFS(Table72[Country],Tabela1[[#This Row],[Country]],Table72[Women''s Quadruple Sculls Classification],"&gt;0")</f>
        <v>0</v>
      </c>
      <c r="HH131" s="6">
        <f>COUNTIFS(Table16[Country],Tabela1[[#This Row],[Country]],Table16[Men''s Coxless Pairs Classification],"&gt;0")</f>
        <v>0</v>
      </c>
      <c r="HI131" s="6">
        <f>COUNTIFS(Table16[Country],Tabela1[[#This Row],[Country]],Table16[Women''s Coxless Pairs Classification],"&gt;0")</f>
        <v>0</v>
      </c>
      <c r="HJ131" s="6">
        <f>COUNTIFS(Table72[Country],Tabela1[[#This Row],[Country]],Table72[Men''s Coxless Fours Classification],"&gt;0")</f>
        <v>0</v>
      </c>
      <c r="HK131" s="6">
        <f>COUNTIFS(Table72[Country],Tabela1[[#This Row],[Country]],Table72[Women''s Coxless Fours Classification],"&gt;0")</f>
        <v>0</v>
      </c>
      <c r="HL131" s="6">
        <f>COUNTIFS(Table72[Country],Tabela1[[#This Row],[Country]],Table72[Men''s Eights Classification],"&gt;0")</f>
        <v>0</v>
      </c>
      <c r="HM131" s="6">
        <f>COUNTIFS(Table72[Country],Tabela1[[#This Row],[Country]],Table72[Women''s Eights Classification],"&gt;0")</f>
        <v>0</v>
      </c>
      <c r="HN131" s="6">
        <f>COUNTIFS(Table16[Country],Tabela1[[#This Row],[Country]],Table16[Men''s Lwt. Double Sculls Classification],"&gt;0")</f>
        <v>0</v>
      </c>
      <c r="HO131" s="6">
        <f>COUNTIFS(Table16[Country],Tabela1[[#This Row],[Country]],Table16[Women''s Lwt. Double Sculls Classification],"&gt;0")</f>
        <v>0</v>
      </c>
      <c r="HP131" s="6">
        <f>COUNTIFS(Table91949698[Country],Tabela1[[#This Row],[Country]],Table91949698[Men''s Classification],"&gt;0")</f>
        <v>0</v>
      </c>
      <c r="HQ131" s="6">
        <f>COUNTIFS(Table91949698[Country],Tabela1[[#This Row],[Country]],Table91949698[Women''s Classification],"&gt;0")</f>
        <v>0</v>
      </c>
      <c r="HR131" s="6">
        <f>COUNTIFS(Table25[Country],Tabela1[[#This Row],[Country]],Table25[Mixed 470 Classification],"&gt;0")</f>
        <v>0</v>
      </c>
      <c r="HS131" s="6">
        <f>COUNTIFS(Table25[Country],Tabela1[[#This Row],[Country]],Table25[Men''s 49er Classification],"&gt;0")</f>
        <v>0</v>
      </c>
      <c r="HT131" s="6">
        <f>COUNTIFS(Table25[Country],Tabela1[[#This Row],[Country]],Table25[Women''s 49er FX Classification],"&gt;0")</f>
        <v>0</v>
      </c>
      <c r="HU131" s="6">
        <f>COUNTIFS(Table17[Country],Tabela1[[#This Row],[Country]],Table17[Formula Kite Classification],"&gt;0")</f>
        <v>0</v>
      </c>
      <c r="HV131" s="6">
        <f>COUNTIFS(Table18[Country],Tabela1[[#This Row],[Country]],Table18[Formula Kite Classification],"&gt;0")</f>
        <v>0</v>
      </c>
      <c r="HW131" s="6">
        <f>COUNTIFS(Table17[Country],Tabela1[[#This Row],[Country]],Table17[ILCA 7 Classification],"&gt;0")</f>
        <v>0</v>
      </c>
      <c r="HX131" s="6">
        <f>COUNTIFS(Table18[Country],Tabela1[[#This Row],[Country]],Table18[ILCA 6 Classification],"&gt;0")</f>
        <v>0</v>
      </c>
      <c r="HY131" s="6">
        <f>COUNTIFS(Table17[Country],Tabela1[[#This Row],[Country]],Table17[IQFoil Classification],"&gt;0")</f>
        <v>0</v>
      </c>
      <c r="HZ131" s="6">
        <f>COUNTIFS(Table18[Country],Tabela1[[#This Row],[Country]],Table18[IQFoil Classification],"&gt;0")</f>
        <v>0</v>
      </c>
      <c r="IA131" s="6">
        <f>COUNTIFS(Table25[Country],Tabela1[[#This Row],[Country]],Table25[Mixed Nacra 17 Classification],"&gt;0")</f>
        <v>0</v>
      </c>
      <c r="IB131" s="6">
        <f>COUNTIFS(Table53[Country],Tabela1[[#This Row],[Country]],Table53[10m Air Pistol Classification],"&gt;0")</f>
        <v>0</v>
      </c>
      <c r="IC131" s="6">
        <f>COUNTIFS(Table19[Country],Tabela1[[#This Row],[Country]],Table19[10m Air Pistol Classification],"&gt;0")</f>
        <v>0</v>
      </c>
      <c r="ID131" s="6">
        <f>COUNTIFS(Table54[Country],Tabela1[[#This Row],[Country]],Table54[Mixed 10m Air Pistol Team Classification],"&gt;0")</f>
        <v>0</v>
      </c>
      <c r="IE131" s="6">
        <f>COUNTIFS(Table53[Country],Tabela1[[#This Row],[Country]],Table53[10m Air Rifle Classification],"&gt;0")</f>
        <v>0</v>
      </c>
      <c r="IF131" s="6">
        <f>COUNTIFS(Table19[Country],Tabela1[[#This Row],[Country]],Table19[10m Air Rifle Classification],"&gt;0")</f>
        <v>0</v>
      </c>
      <c r="IG131" s="6">
        <f>COUNTIFS(Table54[Country],Tabela1[[#This Row],[Country]],Table54[Mixed 10m Air Rifle Team Classification],"&gt;0")</f>
        <v>0</v>
      </c>
      <c r="IH131" s="6">
        <f>COUNTIFS(Table53[Country],Tabela1[[#This Row],[Country]],Table53[25m Rapid Fire Pistol Classification],"&gt;0")</f>
        <v>0</v>
      </c>
      <c r="II131" s="6">
        <f>COUNTIFS(Table19[Country],Tabela1[[#This Row],[Country]],Table19[25m Pistol Classification],"&gt;0")</f>
        <v>0</v>
      </c>
      <c r="IJ131" s="6">
        <f>COUNTIFS(Table53[Country],Tabela1[[#This Row],[Country]],Table53[50m Rifle 3 Positions Classification],"&gt;0")</f>
        <v>0</v>
      </c>
      <c r="IK131" s="6">
        <f>COUNTIFS(Table19[Country],Tabela1[[#This Row],[Country]],Table19[50m Rifle 3 Positions Classification],"&gt;0")</f>
        <v>0</v>
      </c>
      <c r="IL131" s="6">
        <f>COUNTIFS(Table53[Country],Tabela1[[#This Row],[Country]],Table53[Skeet Classification],"&gt;0")</f>
        <v>0</v>
      </c>
      <c r="IM131" s="6">
        <f>COUNTIFS(Table19[Country],Tabela1[[#This Row],[Country]],Table19[Skeet Classification],"&gt;0")</f>
        <v>0</v>
      </c>
      <c r="IN131" s="6">
        <f>COUNTIFS(Table54[Country],Tabela1[[#This Row],[Country]],Table54[Mixed Skeet Team Classification],"&gt;0")</f>
        <v>0</v>
      </c>
      <c r="IO131" s="6">
        <f>COUNTIFS(Table53[Country],Tabela1[[#This Row],[Country]],Table53[Trap Classification],"&gt;0")</f>
        <v>0</v>
      </c>
      <c r="IP131" s="6">
        <f>COUNTIFS(Table19[Country],Tabela1[[#This Row],[Country]],Table19[Trap Classification],"&gt;0")</f>
        <v>0</v>
      </c>
      <c r="IQ131" s="6">
        <f>COUNTIFS(Table73[Country],Tabela1[[#This Row],[Country]],Table73[Park Classification],"&gt;0")</f>
        <v>0</v>
      </c>
      <c r="IR131" s="6">
        <f>COUNTIFS(Table74[Country],Tabela1[[#This Row],[Country]],Table74[Park Classification],"&gt;0")</f>
        <v>0</v>
      </c>
      <c r="IS131" s="6">
        <f>COUNTIFS(Table73[Country],Tabela1[[#This Row],[Country]],Table73[Street Classification],"&gt;0")</f>
        <v>0</v>
      </c>
      <c r="IT131" s="6">
        <f>COUNTIFS(Table74[Country],Tabela1[[#This Row],[Country]],Table74[Street Classification],"&gt;0")</f>
        <v>0</v>
      </c>
      <c r="IU131" s="6">
        <f>COUNTIFS(Table75[Country],Tabela1[[#This Row],[Country]],Table75[Boulder and Lead Classification],"&gt;0")</f>
        <v>0</v>
      </c>
      <c r="IV131" s="6">
        <f>COUNTIFS(Table76[Country],Tabela1[[#This Row],[Country]],Table76[Boulder and Lead Classification],"&gt;0")</f>
        <v>0</v>
      </c>
      <c r="IW131" s="6">
        <f>COUNTIFS(Table75[Country],Tabela1[[#This Row],[Country]],Table75[Speed Classification],"&gt;0")</f>
        <v>0</v>
      </c>
      <c r="IX131" s="6">
        <f>COUNTIFS(Table76[Country],Tabela1[[#This Row],[Country]],Table76[Speed Classification],"&gt;0")</f>
        <v>0</v>
      </c>
      <c r="IY131" s="6">
        <f>COUNTIFS(Table64[Country],Tabela1[[#This Row],[Country]],Table64[Shortboard Classification],"&gt;0")</f>
        <v>0</v>
      </c>
      <c r="IZ131" s="6">
        <f>COUNTIFS(Table77[Country],Tabela1[[#This Row],[Country]],Table77[Shortboard Classification],"&gt;0")</f>
        <v>0</v>
      </c>
      <c r="JA131" s="6">
        <f>COUNTIFS(Table20[Country],Tabela1[[#This Row],[Country]],Table20[50m Freestyle Classification],"&gt;0")</f>
        <v>0</v>
      </c>
      <c r="JB131" s="6">
        <f>COUNTIFS(Table21[Country],Tabela1[[#This Row],[Country]],Table21[50m Freestyle Classification],"&gt;0")</f>
        <v>0</v>
      </c>
      <c r="JC131" s="6">
        <f>COUNTIFS(Table20[Country],Tabela1[[#This Row],[Country]],Table20[100m Freestyle Classification],"&gt;0")</f>
        <v>0</v>
      </c>
      <c r="JD131" s="6">
        <f>COUNTIFS(Table21[Country],Tabela1[[#This Row],[Country]],Table21[100m Freestyle Classification],"&gt;0")</f>
        <v>0</v>
      </c>
      <c r="JE131" s="6">
        <f>COUNTIFS(Table20[Country],Tabela1[[#This Row],[Country]],Table20[200m Freestyle Classification],"&gt;0")</f>
        <v>0</v>
      </c>
      <c r="JF131" s="6">
        <f>COUNTIFS(Table21[Country],Tabela1[[#This Row],[Country]],Table21[200m Freestyle Classification],"&gt;0")</f>
        <v>0</v>
      </c>
      <c r="JG131" s="6">
        <f>COUNTIFS(Table20[Country],Tabela1[[#This Row],[Country]],Table20[400m Freestyle Classification],"&gt;0")</f>
        <v>0</v>
      </c>
      <c r="JH131" s="6">
        <f>COUNTIFS(Table21[Country],Tabela1[[#This Row],[Country]],Table21[400m Freestyle Classification],"&gt;0")</f>
        <v>0</v>
      </c>
      <c r="JI131" s="6">
        <f>COUNTIFS(Table20[Country],Tabela1[[#This Row],[Country]],Table20[800m Freestyle Classification],"&gt;0")</f>
        <v>0</v>
      </c>
      <c r="JJ131" s="6">
        <f>COUNTIFS(Table21[Country],Tabela1[[#This Row],[Country]],Table21[800m Freestyle Classification],"&gt;0")</f>
        <v>0</v>
      </c>
      <c r="JK131" s="6">
        <f>COUNTIFS(Table20[Country],Tabela1[[#This Row],[Country]],Table20[1500m Freestyle Classification],"&gt;0")</f>
        <v>0</v>
      </c>
      <c r="JL131" s="6">
        <f>COUNTIFS(Table21[Country],Tabela1[[#This Row],[Country]],Table21[1500m Freestyle Classification],"&gt;0")</f>
        <v>0</v>
      </c>
      <c r="JM131" s="6">
        <f>COUNTIFS(Table20[Country],Tabela1[[#This Row],[Country]],Table20[100m Backstroke Classification],"&gt;0")</f>
        <v>0</v>
      </c>
      <c r="JN131" s="6">
        <f>COUNTIFS(Table21[Country],Tabela1[[#This Row],[Country]],Table21[100m Backstroke Classification],"&gt;0")</f>
        <v>0</v>
      </c>
      <c r="JO131" s="6">
        <f>COUNTIFS(Table20[Country],Tabela1[[#This Row],[Country]],Table20[200m Backstroke Classification],"&gt;0")</f>
        <v>0</v>
      </c>
      <c r="JP131" s="6">
        <f>COUNTIFS(Table21[Country],Tabela1[[#This Row],[Country]],Table21[200m Backstroke Classification],"&gt;0")</f>
        <v>0</v>
      </c>
      <c r="JQ131" s="6">
        <f>COUNTIFS(Table20[Country],Tabela1[[#This Row],[Country]],Table20[100m Breaststroke Classification],"&gt;0")</f>
        <v>0</v>
      </c>
      <c r="JR131" s="6">
        <f>COUNTIFS(Table21[Country],Tabela1[[#This Row],[Country]],Table21[100m Breaststroke Classification],"&gt;0")</f>
        <v>0</v>
      </c>
      <c r="JS131" s="6">
        <f>COUNTIFS(Table20[Country],Tabela1[[#This Row],[Country]],Table20[200m Breaststroke Classification],"&gt;0")</f>
        <v>0</v>
      </c>
      <c r="JT131" s="6">
        <f>COUNTIFS(Table21[Country],Tabela1[[#This Row],[Country]],Table21[200m Breaststroke Classification],"&gt;0")</f>
        <v>0</v>
      </c>
      <c r="JU131" s="6">
        <f>COUNTIFS(Table20[Country],Tabela1[[#This Row],[Country]],Table20[100m Butterfly Classification],"&gt;0")</f>
        <v>0</v>
      </c>
      <c r="JV131" s="6">
        <f>COUNTIFS(Table21[Country],Tabela1[[#This Row],[Country]],Table21[100m Butterfly Classification],"&gt;0")</f>
        <v>0</v>
      </c>
      <c r="JW131" s="6">
        <f>COUNTIFS(Table20[Country],Tabela1[[#This Row],[Country]],Table20[200m Butterfly Classification],"&gt;0")</f>
        <v>0</v>
      </c>
      <c r="JX131" s="6">
        <f>COUNTIFS(Table21[Country],Tabela1[[#This Row],[Country]],Table21[200m Butterfly Classification],"&gt;0")</f>
        <v>0</v>
      </c>
      <c r="JY131" s="6">
        <f>COUNTIFS(Table20[Country],Tabela1[[#This Row],[Country]],Table20[200m Medley Classification],"&gt;0")</f>
        <v>0</v>
      </c>
      <c r="JZ131" s="6">
        <f>COUNTIFS(Table21[Country],Tabela1[[#This Row],[Country]],Table21[200m Medley Classification],"&gt;0")</f>
        <v>0</v>
      </c>
      <c r="KA131" s="6">
        <f>COUNTIFS(Table20[Country],Tabela1[[#This Row],[Country]],Table20[400m Medley Classification],"&gt;0")</f>
        <v>0</v>
      </c>
      <c r="KB131" s="6">
        <f>COUNTIFS(Table21[Country],Tabela1[[#This Row],[Country]],Table21[400m Medley Classification],"&gt;0")</f>
        <v>0</v>
      </c>
      <c r="KC131" s="6">
        <f>COUNTIFS(Table78[Country],Tabela1[[#This Row],[Country]],Table78[Men''s 4x100m Freestyle Relay Classification],"&gt;0")</f>
        <v>0</v>
      </c>
      <c r="KD131" s="6">
        <f>COUNTIFS(Table78[Country],Tabela1[[#This Row],[Country]],Table78[Women''s 4x100m Freestyle Relay Classification],"&gt;0")</f>
        <v>0</v>
      </c>
      <c r="KE131" s="6">
        <f>COUNTIFS(Table78[Country],Tabela1[[#This Row],[Country]],Table78[Men''s 4x200m Freestyle Relay Classification],"&gt;0")</f>
        <v>0</v>
      </c>
      <c r="KF131" s="6">
        <f>COUNTIFS(Table78[Country],Tabela1[[#This Row],[Country]],Table78[Women''s 4x200m Freestyle Relay Classification],"&gt;0")</f>
        <v>0</v>
      </c>
      <c r="KG131" s="6">
        <f>COUNTIFS(Table78[Country],Tabela1[[#This Row],[Country]],Table78[Men''s 4x100m Medley Relay Classification],"&gt;0")</f>
        <v>0</v>
      </c>
      <c r="KH131" s="6">
        <f>COUNTIFS(Table78[Country],Tabela1[[#This Row],[Country]],Table78[Women''s 4x100m Medley Relay Classification],"&gt;0")</f>
        <v>0</v>
      </c>
      <c r="KI131" s="6">
        <f>COUNTIFS(Table78[Country],Tabela1[[#This Row],[Country]],Table78[Mixed 4x100m Medley Relay Classification],"&gt;0")</f>
        <v>0</v>
      </c>
      <c r="KJ131" s="6">
        <f>COUNTIFS(Table20[Country],Tabela1[[#This Row],[Country]],Table20[10km Open Water Classification],"&gt;0")</f>
        <v>0</v>
      </c>
      <c r="KK131" s="6">
        <f>COUNTIFS(Table21[Country],Tabela1[[#This Row],[Country]],Table21[10km Open Water Classification],"&gt;0")</f>
        <v>0</v>
      </c>
      <c r="KL131" s="6">
        <f>COUNTIFS(Table22[Country],Tabela1[[#This Row],[Country]],Table22[Classification],"&gt;0")</f>
        <v>0</v>
      </c>
      <c r="KM131" s="6">
        <f>COUNTIFS(Table30[Country],Tabela1[[#This Row],[Country]],Table30[Classification],"&gt;0")</f>
        <v>0</v>
      </c>
      <c r="KN131" s="6">
        <f>COUNTIFS(Table55[Country],Tabela1[[#This Row],[Country]],Table55[Men''s Classification],"&gt;0")</f>
        <v>0</v>
      </c>
      <c r="KO131" s="6">
        <f>COUNTIFS(Table55[Country],Tabela1[[#This Row],[Country]],Table55[Women''s Classification],"&gt;0")</f>
        <v>0</v>
      </c>
      <c r="KP131" s="6">
        <f>COUNTIFS(Table56[Country],Tabela1[[#This Row],[Country]],Table56[Mixed Classification],"&gt;0")</f>
        <v>0</v>
      </c>
      <c r="KQ131" s="6">
        <f>COUNTIFS(Table29[Country],Tabela1[[#This Row],[Country]],Table29[58kg Classification],"&gt;0")</f>
        <v>0</v>
      </c>
      <c r="KR131" s="6">
        <f>COUNTIFS(Table29[Country],Tabela1[[#This Row],[Country]],Table29[68kg Classification],"&gt;0")</f>
        <v>0</v>
      </c>
      <c r="KS131" s="6">
        <f>COUNTIFS(Table29[Country],Tabela1[[#This Row],[Country]],Table29[80kg Classification],"&gt;0")</f>
        <v>0</v>
      </c>
      <c r="KT131" s="6">
        <f>COUNTIFS(Table29[Country],Tabela1[[#This Row],[Country]],Table29[Plus 80kg Classification],"&gt;0")</f>
        <v>1</v>
      </c>
      <c r="KU131" s="6">
        <f>COUNTIFS(Table34[Country],Tabela1[[#This Row],[Country]],Table34[49kg Classification],"&gt;0")</f>
        <v>0</v>
      </c>
      <c r="KV131" s="6">
        <f>COUNTIFS(Table34[Country],Tabela1[[#This Row],[Country]],Table34[57kg Classification],"&gt;0")</f>
        <v>0</v>
      </c>
      <c r="KW131" s="6">
        <f>COUNTIFS(Table34[Country],Tabela1[[#This Row],[Country]],Table34[67kg Classification],"&gt;0")</f>
        <v>0</v>
      </c>
      <c r="KX131" s="6">
        <f>COUNTIFS(Table34[Country],Tabela1[[#This Row],[Country]],Table34[Plus 67kg Classification],"&gt;0")</f>
        <v>0</v>
      </c>
      <c r="KY131" s="6">
        <f>COUNTIFS(Table57[Country],Tabela1[[#This Row],[Country]],Table57[Classification],"&gt;0")</f>
        <v>0</v>
      </c>
      <c r="KZ131" s="6">
        <f>COUNTIFS(Table58[Country],Tabela1[[#This Row],[Country]],Table58[Classification],"&gt;0")</f>
        <v>0</v>
      </c>
      <c r="LA131" s="6">
        <f>COUNTIFS(Table79[Country],Tabela1[[#This Row],[Country]],Table79[Men''s Classification],"&gt;0")</f>
        <v>0</v>
      </c>
      <c r="LB131" s="6">
        <f>COUNTIFS(Table79[Country],Tabela1[[#This Row],[Country]],Table79[Women''s Classification],"&gt;0")</f>
        <v>0</v>
      </c>
      <c r="LC131" s="6">
        <f>COUNTIFS(Table79[Country],Tabela1[[#This Row],[Country]],Table79[Mixed Classification],"&gt;0")</f>
        <v>0</v>
      </c>
      <c r="LD131" s="6">
        <f>COUNTIFS(Table65[Country],Tabela1[[#This Row],[Country]],Table65[Classification],"&gt;0")</f>
        <v>0</v>
      </c>
      <c r="LE131" s="6">
        <f>COUNTIFS(Table59[Country],Tabela1[[#This Row],[Country]],Table59[Classification],"&gt;0")</f>
        <v>0</v>
      </c>
      <c r="LF131" s="6">
        <f>COUNTIFS(Table87[Country],Tabela1[[#This Row],[Country]],Table87[Mixed Relay Classification],"&gt;0")</f>
        <v>0</v>
      </c>
      <c r="LG131" s="6">
        <f>COUNTIFS(Table91949698100[Country],Tabela1[[#This Row],[Country]],Table91949698100[Men''s Classification],"&gt;0")</f>
        <v>0</v>
      </c>
      <c r="LH131" s="6">
        <f>COUNTIFS(Table91949698100[Country],Tabela1[[#This Row],[Country]],Table91949698100[Women''s Classification],"&gt;0")</f>
        <v>0</v>
      </c>
      <c r="LI131" s="6">
        <f>COUNTIFS(Table91949698100102[Country],Tabela1[[#This Row],[Country]],Table91949698100102[Men''s Classification],"&gt;0")</f>
        <v>0</v>
      </c>
      <c r="LJ131" s="6">
        <f>COUNTIFS(Table91949698100102[Country],Tabela1[[#This Row],[Country]],Table91949698100102[Women''s Classification],"&gt;0")</f>
        <v>0</v>
      </c>
      <c r="LK131" s="6">
        <f>COUNTIFS(Table23[Country],Tabela1[[#This Row],[Country]],Table23[61kg Classification],"&gt;0")</f>
        <v>0</v>
      </c>
      <c r="LL131" s="6">
        <f>COUNTIFS(Table23[Country],Tabela1[[#This Row],[Country]],Table23[73kg Classification],"&gt;0")</f>
        <v>0</v>
      </c>
      <c r="LM131" s="6">
        <f>COUNTIFS(Table23[Country],Tabela1[[#This Row],[Country]],Table23[89kg Classification],"&gt;0")</f>
        <v>0</v>
      </c>
      <c r="LN131" s="6">
        <f>COUNTIFS(Table23[Country],Tabela1[[#This Row],[Country]],Table23[102kg Classification],"&gt;0")</f>
        <v>0</v>
      </c>
      <c r="LO131" s="6">
        <f>COUNTIFS(Table23[Country],Tabela1[[#This Row],[Country]],Table23[Plus 102kg Classification],"&gt;0")</f>
        <v>0</v>
      </c>
      <c r="LP131" s="6">
        <f>COUNTIFS(Table28[Country],Tabela1[[#This Row],[Country]],Table28[49kg Classification],"&gt;0")</f>
        <v>0</v>
      </c>
      <c r="LQ131" s="6">
        <f>COUNTIFS(Table28[Country],Tabela1[[#This Row],[Country]],Table28[59kg Classification],"&gt;0")</f>
        <v>0</v>
      </c>
      <c r="LR131" s="6">
        <f>COUNTIFS(Table28[Country],Tabela1[[#This Row],[Country]],Table28[71kg Classification],"&gt;0")</f>
        <v>0</v>
      </c>
      <c r="LS131" s="6">
        <f>COUNTIFS(Table28[Country],Tabela1[[#This Row],[Country]],Table28[81kg Classification],"&gt;0")</f>
        <v>0</v>
      </c>
      <c r="LT131" s="6">
        <f>COUNTIFS(Table28[Country],Tabela1[[#This Row],[Country]],Table28[Plus 81kg Classification],"&gt;0")</f>
        <v>0</v>
      </c>
      <c r="LU131" s="6">
        <f>COUNTIFS(Table24[Country],Tabela1[[#This Row],[Country]],Table24[Freestyle 57kg Classification],"&gt;0")</f>
        <v>0</v>
      </c>
      <c r="LV131" s="6">
        <f>COUNTIFS(Table24[Country],Tabela1[[#This Row],[Country]],Table24[Freestyle 65kg Classification],"&gt;0")</f>
        <v>0</v>
      </c>
      <c r="LW131" s="6">
        <f>COUNTIFS(Table24[Country],Tabela1[[#This Row],[Country]],Table24[Freestyle 74kg Classification],"&gt;0")</f>
        <v>0</v>
      </c>
      <c r="LX131" s="6">
        <f>COUNTIFS(Table24[Country],Tabela1[[#This Row],[Country]],Table24[Freestyle 86kg Classification],"&gt;0")</f>
        <v>0</v>
      </c>
      <c r="LY131" s="6">
        <f>COUNTIFS(Table24[Country],Tabela1[[#This Row],[Country]],Table24[Freestyle 97kg Classification],"&gt;0")</f>
        <v>0</v>
      </c>
      <c r="LZ131" s="6">
        <f>COUNTIFS(Table24[Country],Tabela1[[#This Row],[Country]],Table24[Freestyle 125kg Classification],"&gt;0")</f>
        <v>0</v>
      </c>
      <c r="MA131" s="6">
        <f>COUNTIFS(Table24[Country],Tabela1[[#This Row],[Country]],Table24[Greco-Roman 60kg Classification],"&gt;0")</f>
        <v>0</v>
      </c>
      <c r="MB131" s="6">
        <f>COUNTIFS(Table24[Country],Tabela1[[#This Row],[Country]],Table24[Greco-Roman 67kg Classification],"&gt;0")</f>
        <v>0</v>
      </c>
      <c r="MC131" s="6">
        <f>COUNTIFS(Table24[Country],Tabela1[[#This Row],[Country]],Table24[Greco-Roman 77kg Classification],"&gt;0")</f>
        <v>0</v>
      </c>
      <c r="MD131" s="6">
        <f>COUNTIFS(Table24[Country],Tabela1[[#This Row],[Country]],Table24[Greco-Roman 87kg Classification],"&gt;0")</f>
        <v>0</v>
      </c>
      <c r="ME131" s="6">
        <f>COUNTIFS(Table24[Country],Tabela1[[#This Row],[Country]],Table24[Greco-Roman 97kg Classification],"&gt;0")</f>
        <v>0</v>
      </c>
      <c r="MF131" s="6">
        <f>COUNTIFS(Table24[Country],Tabela1[[#This Row],[Country]],Table24[Greco-Roman 130kg Classification],"&gt;0")</f>
        <v>0</v>
      </c>
      <c r="MG131" s="6">
        <f>COUNTIFS(Table31[Country],Tabela1[[#This Row],[Country]],Table31[50kg Classification],"&gt;0")</f>
        <v>0</v>
      </c>
      <c r="MH131" s="6">
        <f>COUNTIFS(Table31[Country],Tabela1[[#This Row],[Country]],Table31[53kg Classification],"&gt;0")</f>
        <v>0</v>
      </c>
      <c r="MI131" s="6">
        <f>COUNTIFS(Table31[Country],Tabela1[[#This Row],[Country]],Table31[57kg Classification],"&gt;0")</f>
        <v>0</v>
      </c>
      <c r="MJ131" s="6">
        <f>COUNTIFS(Table31[Country],Tabela1[[#This Row],[Country]],Table31[62kg Classification],"&gt;0")</f>
        <v>0</v>
      </c>
      <c r="MK131" s="6">
        <f>COUNTIFS(Table31[Country],Tabela1[[#This Row],[Country]],Table31[68kg Classification],"&gt;0")</f>
        <v>0</v>
      </c>
      <c r="ML131" s="6">
        <f>COUNTIFS(Table31[Country],Tabela1[[#This Row],[Country]],Table31[76kg Classification],"&gt;0")</f>
        <v>0</v>
      </c>
      <c r="MM131" s="6">
        <f>COUNTIFS(Table102[Country],Tabela1[[#This Row],[Country]],Table102[Downhill Classification],"&gt;0")</f>
        <v>0</v>
      </c>
      <c r="MN131" s="6">
        <f>COUNTIFS(Table102105[Country],Tabela1[[#This Row],[Country]],Table102105[Downhill Classification],"&gt;0")</f>
        <v>0</v>
      </c>
      <c r="MO131" s="6">
        <f>COUNTIFS(Table102[Country],Tabela1[[#This Row],[Country]],Table102[Giant Slalom Classification],"&gt;0")</f>
        <v>0</v>
      </c>
      <c r="MP131" s="6">
        <f>COUNTIFS(Table102105[Country],Tabela1[[#This Row],[Country]],Table102105[Giant Slalom Classification],"&gt;0")</f>
        <v>0</v>
      </c>
      <c r="MQ131" s="6">
        <f>COUNTIFS(Table102[Country],Tabela1[[#This Row],[Country]],Table102[Slalom Classification],"&gt;0")</f>
        <v>0</v>
      </c>
      <c r="MR131" s="6">
        <f>COUNTIFS(Table102105[Country],Tabela1[[#This Row],[Country]],Table102105[Slalom Classification],"&gt;0")</f>
        <v>0</v>
      </c>
      <c r="MS131" s="6">
        <f>COUNTIFS(Table102[Country],Tabela1[[#This Row],[Country]],Table102[Super-G Classification],"&gt;0")</f>
        <v>0</v>
      </c>
      <c r="MT131" s="6">
        <f>COUNTIFS(Table102105[Country],Tabela1[[#This Row],[Country]],Table102105[Super-G Classification],"&gt;0")</f>
        <v>0</v>
      </c>
      <c r="MU131" s="6">
        <f>COUNTIFS(Table105[Country],Tabela1[[#This Row],[Country]],Table105[Men''s Combined Classification],"&gt;0")</f>
        <v>0</v>
      </c>
      <c r="MV131" s="6">
        <f>COUNTIFS(Table105[Country],Tabela1[[#This Row],[Country]],Table105[Women''s Combined Classification],"&gt;0")</f>
        <v>0</v>
      </c>
      <c r="MW131" s="6">
        <f>COUNTIFS(Table106[Country],Tabela1[[#This Row],[Country]],Table106[Individual Classification],"&gt;0")</f>
        <v>0</v>
      </c>
      <c r="MX131" s="6">
        <f>COUNTIFS(Table106109[Country],Tabela1[[#This Row],[Country]],Table106109[Individual Classification],"&gt;0")</f>
        <v>0</v>
      </c>
      <c r="MY131" s="6">
        <f>COUNTIFS(Table106[Country],Tabela1[[#This Row],[Country]],Table106[Mass Start Classification],"&gt;0")</f>
        <v>0</v>
      </c>
      <c r="MZ131" s="6">
        <f>COUNTIFS(Table106109[Country],Tabela1[[#This Row],[Country]],Table106109[Mass Start Classification],"&gt;0")</f>
        <v>0</v>
      </c>
      <c r="NA131" s="6">
        <f>COUNTIFS(Table106[Country],Tabela1[[#This Row],[Country]],Table106[Pursuit Classification],"&gt;0")</f>
        <v>0</v>
      </c>
      <c r="NB131" s="6">
        <f>COUNTIFS(Table106109[Country],Tabela1[[#This Row],[Country]],Table106109[Pursuit Classification],"&gt;0")</f>
        <v>0</v>
      </c>
      <c r="NC131" s="6">
        <f>COUNTIFS(Table106[Country],Tabela1[[#This Row],[Country]],Table106[Sprint Classification],"&gt;0")</f>
        <v>0</v>
      </c>
      <c r="ND131" s="6">
        <f>COUNTIFS(Table106109[Country],Tabela1[[#This Row],[Country]],Table106109[Sprint Classification],"&gt;0")</f>
        <v>0</v>
      </c>
      <c r="NE131" s="6">
        <f>COUNTIFS(Table109[Country],Tabela1[[#This Row],[Country]],Table109[Men''s Relay Classification],"&gt;0")</f>
        <v>0</v>
      </c>
      <c r="NF131" s="6">
        <f>COUNTIFS(Table109[Country],Tabela1[[#This Row],[Country]],Table109[Women''s Relay Classification],"&gt;0")</f>
        <v>0</v>
      </c>
      <c r="NG131" s="6">
        <f>COUNTIFS(Table109[Country],Tabela1[[#This Row],[Country]],Table109[Mixed Relay Classification],"&gt;0")</f>
        <v>0</v>
      </c>
      <c r="NH131" s="6">
        <f>COUNTIFS(Table110[Country],Tabela1[[#This Row],[Country]],Table110[Monobob Classification],"&gt;0")</f>
        <v>0</v>
      </c>
      <c r="NI131" s="6">
        <f>COUNTIFS(Table111[Country],Tabela1[[#This Row],[Country]],Table111[Men''s Classification],"&gt;0")</f>
        <v>0</v>
      </c>
      <c r="NJ131" s="6">
        <f>COUNTIFS(Table111[Country],Tabela1[[#This Row],[Country]],Table111[Women''s Classification],"&gt;0")</f>
        <v>0</v>
      </c>
      <c r="NK131" s="6">
        <f>COUNTIFS(Table112[Country],Tabela1[[#This Row],[Country]],Table112[Men''s Four Classification],"&gt;0")</f>
        <v>0</v>
      </c>
      <c r="NL131" s="6">
        <f>COUNTIFS(Table113[Country],Tabela1[[#This Row],[Country]],Table113[Classical Classification],"&gt;0")</f>
        <v>0</v>
      </c>
      <c r="NM131" s="6">
        <f>COUNTIFS(Table113116[Country],Tabela1[[#This Row],[Country]],Table113116[Classical Classification],"&gt;0")</f>
        <v>0</v>
      </c>
      <c r="NN131" s="6">
        <f>COUNTIFS(Table113[Country],Tabela1[[#This Row],[Country]],Table113[Freestyle Classification],"&gt;0")</f>
        <v>0</v>
      </c>
      <c r="NO131" s="6">
        <f>COUNTIFS(Table113116[Country],Tabela1[[#This Row],[Country]],Table113116[Freestyle Classification],"&gt;0")</f>
        <v>0</v>
      </c>
      <c r="NP131" s="6">
        <f>COUNTIFS(Table117[Country],Tabela1[[#This Row],[Country]],Table117[Men''s Relay Classification],"&gt;0")</f>
        <v>0</v>
      </c>
      <c r="NQ131" s="6">
        <f>COUNTIFS(Table117[Country],Tabela1[[#This Row],[Country]],Table117[Women''s Relay Classification],"&gt;0")</f>
        <v>0</v>
      </c>
      <c r="NR131" s="6">
        <f>COUNTIFS(Table113[Country],Tabela1[[#This Row],[Country]],Table113[Skiathlon Classification],"&gt;0")</f>
        <v>0</v>
      </c>
      <c r="NS131" s="6">
        <f>COUNTIFS(Table113116[Country],Tabela1[[#This Row],[Country]],Table113116[Skiathlon Classification],"&gt;0")</f>
        <v>0</v>
      </c>
      <c r="NT131" s="6">
        <f>COUNTIFS(Table113[Country],Tabela1[[#This Row],[Country]],Table113[Sprint Classification],"&gt;0")</f>
        <v>0</v>
      </c>
      <c r="NU131" s="6">
        <f>COUNTIFS(Table113116[Country],Tabela1[[#This Row],[Country]],Table113116[Sprint Classification],"&gt;0")</f>
        <v>0</v>
      </c>
      <c r="NV131" s="6">
        <f>COUNTIFS(Table116[Country],Tabela1[[#This Row],[Country]],Table116[Men''s Team Sprint Classification],"&gt;0")</f>
        <v>0</v>
      </c>
      <c r="NW131" s="6">
        <f>COUNTIFS(Table116[Country],Tabela1[[#This Row],[Country]],Table116[Women''s Team Sprint Classification],"&gt;0")</f>
        <v>0</v>
      </c>
      <c r="NX131" s="6">
        <f>COUNTIFS(Table119[Country],Tabela1[[#This Row],[Country]],Table119[Men''s Classification],"&gt;0")</f>
        <v>0</v>
      </c>
      <c r="NY131" s="6">
        <f>COUNTIFS(Table119[Country],Tabela1[[#This Row],[Country]],Table119[Women''s Classification],"&gt;0")</f>
        <v>0</v>
      </c>
      <c r="NZ131" s="6">
        <f>COUNTIFS(Table118[Country],Tabela1[[#This Row],[Country]],Table118[Mixed Classification],"&gt;0")</f>
        <v>0</v>
      </c>
      <c r="OA131" s="6">
        <f>COUNTIFS(Table120[Country],Tabela1[[#This Row],[Country]],Table120[Classification],"&gt;0")</f>
        <v>0</v>
      </c>
      <c r="OB131" s="6">
        <f>COUNTIFS(Table120123[Country],Tabela1[[#This Row],[Country]],Table120123[Classification],"&gt;0")</f>
        <v>0</v>
      </c>
      <c r="OC131" s="6">
        <f>COUNTIFS(Table123[Country],Tabela1[[#This Row],[Country]],Table123[Ice Dance Classification],"&gt;0")</f>
        <v>0</v>
      </c>
      <c r="OD131" s="6">
        <f>COUNTIFS(Table123[Country],Tabela1[[#This Row],[Country]],Table123[Pair Skating Classification],"&gt;0")</f>
        <v>0</v>
      </c>
      <c r="OE131" s="6">
        <f>COUNTIFS(Table124[Country],Tabela1[[#This Row],[Country]],Table124[Mixed Classification],"&gt;0")</f>
        <v>0</v>
      </c>
      <c r="OF131" s="6">
        <f>COUNTIFS(Table125[Country],Tabela1[[#This Row],[Country]],Table125[Aerials Classification],"&gt;0")</f>
        <v>0</v>
      </c>
      <c r="OG131" s="6">
        <f>COUNTIFS(Table125128[Country],Tabela1[[#This Row],[Country]],Table125128[Aerials Classification],"&gt;0")</f>
        <v>0</v>
      </c>
      <c r="OH131" s="6">
        <f>COUNTIFS(Table128[Country],Tabela1[[#This Row],[Country]],Table128[Mixed Aerials Classification],"&gt;0")</f>
        <v>0</v>
      </c>
      <c r="OI131" s="6">
        <f>COUNTIFS(Table125[Country],Tabela1[[#This Row],[Country]],Table125[Big Air Classification],"&gt;0")</f>
        <v>0</v>
      </c>
      <c r="OJ131" s="6">
        <f>COUNTIFS(Table125128[Country],Tabela1[[#This Row],[Country]],Table125128[Big Air Classification],"&gt;0")</f>
        <v>0</v>
      </c>
      <c r="OK131" s="6">
        <f>COUNTIFS(Table125[Country],Tabela1[[#This Row],[Country]],Table125[Dual Moguls Classification],"&gt;0")</f>
        <v>0</v>
      </c>
      <c r="OL131" s="6">
        <f>COUNTIFS(Table125128[Country],Tabela1[[#This Row],[Country]],Table125128[Dual Moguls Classification],"&gt;0")</f>
        <v>0</v>
      </c>
      <c r="OM131" s="6">
        <f>COUNTIFS(Table125[Country],Tabela1[[#This Row],[Country]],Table125[Halfpipe Classification],"&gt;0")</f>
        <v>0</v>
      </c>
      <c r="ON131" s="6">
        <f>COUNTIFS(Table125128[Country],Tabela1[[#This Row],[Country]],Table125128[Halfpipe Classification],"&gt;0")</f>
        <v>0</v>
      </c>
      <c r="OO131" s="6">
        <f>COUNTIFS(Table125[Country],Tabela1[[#This Row],[Country]],Table125[Moguls Classification],"&gt;0")</f>
        <v>0</v>
      </c>
      <c r="OP131" s="6">
        <f>COUNTIFS(Table125128[Country],Tabela1[[#This Row],[Country]],Table125128[Moguls Classification],"&gt;0")</f>
        <v>0</v>
      </c>
      <c r="OQ131" s="6">
        <f>COUNTIFS(Table125[Country],Tabela1[[#This Row],[Country]],Table125[Ski Cross Classification],"&gt;0")</f>
        <v>0</v>
      </c>
      <c r="OR131" s="6">
        <f>COUNTIFS(Table125128[Country],Tabela1[[#This Row],[Country]],Table125128[Ski Cross Classification],"&gt;0")</f>
        <v>0</v>
      </c>
      <c r="OS131" s="6">
        <f>COUNTIFS(Table125[Country],Tabela1[[#This Row],[Country]],Table125[Slopestyle Classification],"&gt;0")</f>
        <v>0</v>
      </c>
      <c r="OT131" s="6">
        <f>COUNTIFS(Table125128[Country],Tabela1[[#This Row],[Country]],Table125128[Slopestyle Classification],"&gt;0")</f>
        <v>0</v>
      </c>
      <c r="OU131" s="6">
        <f>COUNTIFS(Table119131[Country],Tabela1[[#This Row],[Country]],Table119131[Men''s Classification],"&gt;0")</f>
        <v>0</v>
      </c>
      <c r="OV131" s="6">
        <f>COUNTIFS(Table119131[Country],Tabela1[[#This Row],[Country]],Table119131[Women''s Classification],"&gt;0")</f>
        <v>0</v>
      </c>
      <c r="OW131" s="6">
        <f>COUNTIFS(Table131[Country],Tabela1[[#This Row],[Country]],Table131[Classification],"&gt;0")</f>
        <v>0</v>
      </c>
      <c r="OX131" s="6">
        <f>COUNTIFS(Table131134[Country],Tabela1[[#This Row],[Country]],Table131134[Classification],"&gt;0")</f>
        <v>0</v>
      </c>
      <c r="OY131" s="6">
        <f>COUNTIFS(Table134[Country],Tabela1[[#This Row],[Country]],Table134[Men''s Classification],"&gt;0")</f>
        <v>0</v>
      </c>
      <c r="OZ131" s="6">
        <f>COUNTIFS(Table134[Country],Tabela1[[#This Row],[Country]],Table134[Women''s Classification],"&gt;0")</f>
        <v>0</v>
      </c>
      <c r="PA131" s="6">
        <f>COUNTIFS(Table135[Country],Tabela1[[#This Row],[Country]],Table135[Mixed Relay Classification],"&gt;0")</f>
        <v>0</v>
      </c>
      <c r="PB131" s="6">
        <f>COUNTIFS(Table136[Country],Tabela1[[#This Row],[Country]],Table136[Individual Classification],"&gt;0")</f>
        <v>0</v>
      </c>
      <c r="PC131" s="6">
        <f>COUNTIFS(Table136[Country],Tabela1[[#This Row],[Country]],Table136[Sprint Classification],"&gt;0")</f>
        <v>0</v>
      </c>
      <c r="PD131" s="6">
        <f>COUNTIFS(Table137[Country],Tabela1[[#This Row],[Country]],Table137[Men''s Team Sprint Large Hill Classification],"&gt;0")</f>
        <v>0</v>
      </c>
      <c r="PE131" s="6">
        <f>COUNTIFS(Table138[Country],Tabela1[[#This Row],[Country]],Table138[500m Classification],"&gt;0")</f>
        <v>0</v>
      </c>
      <c r="PF131" s="6">
        <f>COUNTIFS(Table138141[Country],Tabela1[[#This Row],[Country]],Table138141[500m Classification],"&gt;0")</f>
        <v>0</v>
      </c>
      <c r="PG131" s="6">
        <f>COUNTIFS(Table138[Country],Tabela1[[#This Row],[Country]],Table138[1000m Classification],"&gt;0")</f>
        <v>0</v>
      </c>
      <c r="PH131" s="6">
        <f>COUNTIFS(Table138141[Country],Tabela1[[#This Row],[Country]],Table138141[1000m Classification],"&gt;0")</f>
        <v>0</v>
      </c>
      <c r="PI131" s="6">
        <f>COUNTIFS(Table138[Country],Tabela1[[#This Row],[Country]],Table138[1500m Classification],"&gt;0")</f>
        <v>0</v>
      </c>
      <c r="PJ131" s="6">
        <f>COUNTIFS(Table138141[Country],Tabela1[[#This Row],[Country]],Table138141[1500m Classification],"&gt;0")</f>
        <v>0</v>
      </c>
      <c r="PK131" s="6">
        <f>COUNTIFS(Table141[Country],Tabela1[[#This Row],[Country]],Table141[Men''s 5000m Relay Classification],"&gt;0")</f>
        <v>0</v>
      </c>
      <c r="PL131" s="6">
        <f>COUNTIFS(Table141[Country],Tabela1[[#This Row],[Country]],Table141[Women''s 3000m Relay Classification],"&gt;0")</f>
        <v>0</v>
      </c>
      <c r="PM131" s="6">
        <f>COUNTIFS(Table141[Country],Tabela1[[#This Row],[Country]],Table141[Mixed 2000m Relay Classification],"&gt;0")</f>
        <v>0</v>
      </c>
      <c r="PN131" s="6">
        <f>COUNTIFS(Table142[Country],Tabela1[[#This Row],[Country]],Table142[Classification],"&gt;0")</f>
        <v>0</v>
      </c>
      <c r="PO131" s="6">
        <f>COUNTIFS(Table142145[Country],Tabela1[[#This Row],[Country]],Table142145[Classification],"&gt;0")</f>
        <v>0</v>
      </c>
      <c r="PP131" s="6">
        <f>COUNTIFS(Tabela15[Country],Tabela1[[#This Row],[Country]],Tabela15[Mixed Team Classification],"&gt;0")</f>
        <v>0</v>
      </c>
      <c r="PQ131" s="6">
        <f>COUNTIFS(Table145[Country],Tabela1[[#This Row],[Country]],Table145[Large Hill Classification],"&gt;0")</f>
        <v>0</v>
      </c>
      <c r="PR131" s="6">
        <f>COUNTIFS(Table145[Country],Tabela1[[#This Row],[Country]],Table145[Normal Hill Classification],"&gt;0")</f>
        <v>0</v>
      </c>
      <c r="PS131" s="6">
        <f>COUNTIFS(Table145148[Country],Tabela1[[#This Row],[Country]],Table145148[Large Hill Classification],"&gt;0")</f>
        <v>0</v>
      </c>
      <c r="PT131" s="6">
        <f>COUNTIFS(Table145148[Country],Tabela1[[#This Row],[Country]],Table145148[Normal Hill Classification],"&gt;0")</f>
        <v>0</v>
      </c>
      <c r="PU131" s="6">
        <f>COUNTIFS(Table148[Country],Tabela1[[#This Row],[Country]],Table148[Men''s Super Team Classification],"&gt;0")</f>
        <v>0</v>
      </c>
      <c r="PV131" s="6">
        <f>COUNTIFS(Tabela114[Country],Tabela1[[#This Row],[Country]],Tabela114[Mixed Normal Hill Classification],"&gt;0")</f>
        <v>0</v>
      </c>
      <c r="PW131" s="6">
        <f>COUNTIFS(Tabela50[Country],Tabela1[[#This Row],[Country]],Tabela50[Sprint Classification],"&gt;0")</f>
        <v>0</v>
      </c>
      <c r="PX131" s="6">
        <f>COUNTIFS(Tabela50101[Country],Tabela1[[#This Row],[Country]],Tabela50101[Sprint Classification],"&gt;0")</f>
        <v>0</v>
      </c>
      <c r="PY131" s="6">
        <f>COUNTIFS(Tabela103[Country],Tabela1[[#This Row],[Country]],Tabela103[Mixed Relay Classification],"&gt;0")</f>
        <v>0</v>
      </c>
      <c r="PZ131" s="6">
        <f>COUNTIFS(Table149[Country],Tabela1[[#This Row],[Country]],Table149[Big Air Classification],"&gt;0")</f>
        <v>0</v>
      </c>
      <c r="QA131" s="6">
        <f>COUNTIFS(Table149152[Country],Tabela1[[#This Row],[Country]],Table149152[Big Air Classification],"&gt;0")</f>
        <v>0</v>
      </c>
      <c r="QB131" s="6">
        <f>COUNTIFS(Table149[Country],Tabela1[[#This Row],[Country]],Table149[Halfpipe Classification],"&gt;0")</f>
        <v>0</v>
      </c>
      <c r="QC131" s="6">
        <f>COUNTIFS(Table149152[Country],Tabela1[[#This Row],[Country]],Table149152[Halfpipe Classification],"&gt;0")</f>
        <v>0</v>
      </c>
      <c r="QD131" s="6">
        <f>COUNTIFS(Table149[Country],Tabela1[[#This Row],[Country]],Table149[Parallel Giant Slalom Classification],"&gt;0")</f>
        <v>0</v>
      </c>
      <c r="QE131" s="6">
        <f>COUNTIFS(Table149152[Country],Tabela1[[#This Row],[Country]],Table149152[Parallel Giant Slalom Classification],"&gt;0")</f>
        <v>0</v>
      </c>
      <c r="QF131" s="6">
        <f>COUNTIFS(Table149[Country],Tabela1[[#This Row],[Country]],Table149[Slopestyle Classification],"&gt;0")</f>
        <v>0</v>
      </c>
      <c r="QG131" s="6">
        <f>COUNTIFS(Table149152[Country],Tabela1[[#This Row],[Country]],Table149152[Slopestyle Classification],"&gt;0")</f>
        <v>0</v>
      </c>
      <c r="QH131" s="6">
        <f>COUNTIFS(Table149[Country],Tabela1[[#This Row],[Country]],Table149[Snowboard Cross Classification],"&gt;0")</f>
        <v>0</v>
      </c>
      <c r="QI131" s="6">
        <f>COUNTIFS(Table149152[Country],Tabela1[[#This Row],[Country]],Table149152[Snowboard Cross Classification],"&gt;0")</f>
        <v>0</v>
      </c>
      <c r="QJ131" s="6">
        <f>COUNTIFS(Table153[Country],Tabela1[[#This Row],[Country]],Table153[Mixed Team Snowboard Cross Classification],"&gt;0")</f>
        <v>0</v>
      </c>
      <c r="QK131" s="6">
        <f>COUNTIFS(Table154[Country],Tabela1[[#This Row],[Country]],Table154[500m Classification],"&gt;0")</f>
        <v>0</v>
      </c>
      <c r="QL131" s="6">
        <f>COUNTIFS(Table154157[Country],Tabela1[[#This Row],[Country]],Table154157[500m Classification],"&gt;0")</f>
        <v>0</v>
      </c>
      <c r="QM131" s="6">
        <f>COUNTIFS(Table154[Country],Tabela1[[#This Row],[Country]],Table154[1000m Classification],"&gt;0")</f>
        <v>0</v>
      </c>
      <c r="QN131" s="6">
        <f>COUNTIFS(Table154157[Country],Tabela1[[#This Row],[Country]],Table154157[1000m Classification],"&gt;0")</f>
        <v>0</v>
      </c>
      <c r="QO131" s="6">
        <f>COUNTIFS(Table154[Country],Tabela1[[#This Row],[Country]],Table154[1500m Classification],"&gt;0")</f>
        <v>0</v>
      </c>
      <c r="QP131" s="6">
        <f>COUNTIFS(Table154157[Country],Tabela1[[#This Row],[Country]],Table154157[1500m Classification],"&gt;0")</f>
        <v>0</v>
      </c>
      <c r="QQ131" s="6">
        <f>COUNTIFS(Table154157[Country],Tabela1[[#This Row],[Country]],Table154157[3000m Classification],"&gt;0")</f>
        <v>0</v>
      </c>
      <c r="QR131" s="6">
        <f>COUNTIFS(Table154[Country],Tabela1[[#This Row],[Country]],Table154[5000m Classification],"&gt;0")</f>
        <v>0</v>
      </c>
      <c r="QS131" s="6">
        <f>COUNTIFS(Table154157[Country],Tabela1[[#This Row],[Country]],Table154157[5000m Classification],"&gt;0")</f>
        <v>0</v>
      </c>
      <c r="QT131" s="6">
        <f>COUNTIFS(Table154[Country],Tabela1[[#This Row],[Country]],Table154[10000m Classification],"&gt;0")</f>
        <v>0</v>
      </c>
      <c r="QU131" s="6">
        <f>COUNTIFS(Table154[Country],Tabela1[[#This Row],[Country]],Table154[Mass Start Classification],"&gt;0")</f>
        <v>0</v>
      </c>
      <c r="QV131" s="6">
        <f>COUNTIFS(Table154157[Country],Tabela1[[#This Row],[Country]],Table154157[Mass Start Classification],"&gt;0")</f>
        <v>0</v>
      </c>
      <c r="QW131" s="6">
        <f>COUNTIFS(Table157[Country],Tabela1[[#This Row],[Country]],Table157[Men''s Pursuit Classification],"&gt;0")</f>
        <v>0</v>
      </c>
      <c r="QX131" s="6">
        <f>COUNTIFS(Table157[Country],Tabela1[[#This Row],[Country]],Table157[Women''s Pursuit Classification],"&gt;0")</f>
        <v>0</v>
      </c>
      <c r="QY131" s="4" t="s">
        <v>389</v>
      </c>
    </row>
    <row r="132" spans="1:467" x14ac:dyDescent="0.3">
      <c r="A132" s="6">
        <v>131</v>
      </c>
      <c r="B132" s="6" t="s">
        <v>430</v>
      </c>
      <c r="C132" t="e" vm="131">
        <f>IF(ISBLANK(Tabela1[[#This Row],[Image Link]]), "", _xlfn.IMAGE(Tabela1[[#This Row],[Image Link]],1,1))</f>
        <v>#VALUE!</v>
      </c>
      <c r="D132" s="6">
        <f>SUM(Tabela1[[#This Row],[Archery - Men''s Individual Recurve]:[Speed Skating - Women''s Team Pursuit]])</f>
        <v>2</v>
      </c>
      <c r="E132" s="6">
        <f>COUNTIF(Tabela1[[#This Row],[Archery - Men''s Individual Recurve]:[Speed Skating - Women''s Team Pursuit]],"&gt;0")</f>
        <v>2</v>
      </c>
      <c r="F132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32" s="6">
        <f>SUM(Tabela1[[#This Row],[Archery - Men''s Individual Recurve]:[Wrestling - Women''s Freestyle 76kg]])</f>
        <v>2</v>
      </c>
      <c r="H132" s="6">
        <f>SUM(Tabela1[[#This Row],[Alpine Skiing - Men''s Downhill]:[Speed Skating - Women''s Team Pursuit]])</f>
        <v>0</v>
      </c>
      <c r="I132" s="6">
        <f>Tabela1[[#This Row],[Summer Gold Medals]]+Tabela1[[#This Row],[Winter Gold Medals]]</f>
        <v>0</v>
      </c>
      <c r="J132" s="6">
        <f>Tabela1[[#This Row],[Summer Silver Medals]]+Tabela1[[#This Row],[Winter Silver Medals]]</f>
        <v>0</v>
      </c>
      <c r="K132" s="6">
        <f>Tabela1[[#This Row],[Summer Bronze Medals]]+Tabela1[[#This Row],[Winter Bronze Medals]]</f>
        <v>0</v>
      </c>
      <c r="L132" s="6">
        <f>SUM(Tabela1[[#This Row],[Total Gold Medals]:[Total Bronze Medals]])</f>
        <v>0</v>
      </c>
      <c r="M132" s="6"/>
      <c r="N132" s="6"/>
      <c r="O132" s="6"/>
      <c r="P132" s="6">
        <f>SUM(Tabela1[[#This Row],[Summer Gold Medals]:[Summer Bronze Medals]])</f>
        <v>0</v>
      </c>
      <c r="Q132" s="6"/>
      <c r="R132" s="6"/>
      <c r="S132" s="6"/>
      <c r="T132" s="6">
        <f>Tabela1[[#This Row],[Winter Gold Medals]]+Tabela1[[#This Row],[Winter Silver Medals]]+Tabela1[[#This Row],[Winter Bronze Medals]]</f>
        <v>0</v>
      </c>
      <c r="U132" s="7">
        <f>Tabela1[[#This Row],[Total Medals]]/Tabela1[[#This Row],[Total Quotas]]</f>
        <v>0</v>
      </c>
      <c r="V132" s="6">
        <f>COUNTIFS(Table3[Country],Tabela1[[#This Row],[Country]],Table3[Recurve Classification],"&gt;0")</f>
        <v>0</v>
      </c>
      <c r="W132" s="6">
        <f>COUNTIFS(Table33[Country],Tabela1[[#This Row],[Country]],Table33[Recurve Classification],"&gt;0")</f>
        <v>0</v>
      </c>
      <c r="X132" s="6">
        <f>COUNTIFS(Table35[Country],Tabela1[[#This Row],[Country]],Table35[Men''s Team Recurve Classification],"&gt;0")</f>
        <v>0</v>
      </c>
      <c r="Y132" s="6">
        <f>COUNTIFS(Table35[Country],Tabela1[[#This Row],[Country]],Table35[Women''s Team Recurve Classification],"&gt;0")</f>
        <v>0</v>
      </c>
      <c r="Z132" s="6">
        <f>COUNTIFS(Tabela88[Country],Tabela1[[#This Row],[Country]],Tabela88[Mixed Team Recurve Classification],"&gt;0")</f>
        <v>0</v>
      </c>
      <c r="AA132" s="6">
        <f>COUNTIFS(Table36[Country],Tabela1[[#This Row],[Country]],Table36[Classification],"&gt;0")</f>
        <v>0</v>
      </c>
      <c r="AB132" s="6">
        <f>COUNTIFS(Table37[Country],Tabela1[[#This Row],[Country]],Table37[Classification],"&gt;0")</f>
        <v>0</v>
      </c>
      <c r="AC132" s="6">
        <f>COUNTIFS(Table4[Country],Tabela1[[#This Row],[Country]],Table4[100m Classification],"&gt;0")</f>
        <v>0</v>
      </c>
      <c r="AD132" s="6">
        <f>COUNTIFS(Table5[Country],Tabela1[[#This Row],[Country]],Table5[100m Classification],"&gt;0")</f>
        <v>0</v>
      </c>
      <c r="AE132" s="6">
        <f>COUNTIFS(Table4[Country],Tabela1[[#This Row],[Country]],Table4[200m Classification],"&gt;0")</f>
        <v>1</v>
      </c>
      <c r="AF132" s="6">
        <f>COUNTIFS(Table5[Country],Tabela1[[#This Row],[Country]],Table5[200m Classification],"&gt;0")</f>
        <v>0</v>
      </c>
      <c r="AG132" s="6">
        <f>COUNTIFS(Table4[Country],Tabela1[[#This Row],[Country]],Table4[400m Classification],"&gt;0")</f>
        <v>0</v>
      </c>
      <c r="AH132" s="6">
        <f>COUNTIFS(Table5[Country],Tabela1[[#This Row],[Country]],Table5[400m Classification],"&gt;0")</f>
        <v>0</v>
      </c>
      <c r="AI132" s="6">
        <f>COUNTIFS(Table4[Country],Tabela1[[#This Row],[Country]],Table4[800m Classification],"&gt;0")</f>
        <v>0</v>
      </c>
      <c r="AJ132" s="6">
        <f>COUNTIFS(Table5[Country],Tabela1[[#This Row],[Country]],Table5[800m Classification],"&gt;0")</f>
        <v>0</v>
      </c>
      <c r="AK132" s="6">
        <f>COUNTIFS(Table4[Country],Tabela1[[#This Row],[Country]],Table4[1500m Classification],"&gt;0")</f>
        <v>0</v>
      </c>
      <c r="AL132" s="6">
        <f>COUNTIFS(Table5[Country],Tabela1[[#This Row],[Country]],Table5[1500m Classification],"&gt;0")</f>
        <v>0</v>
      </c>
      <c r="AM132" s="6">
        <f>COUNTIFS(Table4[Country],Tabela1[[#This Row],[Country]],Table4[5000m Classification],"&gt;0")</f>
        <v>0</v>
      </c>
      <c r="AN132" s="6">
        <f>COUNTIFS(Table5[Country],Tabela1[[#This Row],[Country]],Table5[5000m Classification],"&gt;0")</f>
        <v>0</v>
      </c>
      <c r="AO132" s="6">
        <f>COUNTIFS(Table4[Country],Tabela1[[#This Row],[Country]],Table4[10000m Classification],"&gt;0")</f>
        <v>0</v>
      </c>
      <c r="AP132" s="6">
        <f>COUNTIFS(Table5[Country],Tabela1[[#This Row],[Country]],Table5[10000m Classification],"&gt;0")</f>
        <v>0</v>
      </c>
      <c r="AQ132" s="6">
        <f>COUNTIFS(Table4[Country],Tabela1[[#This Row],[Country]],Table4[110m Hurdles Classification],"&gt;0")</f>
        <v>0</v>
      </c>
      <c r="AR132" s="6">
        <f>COUNTIFS(Table5[Country],Tabela1[[#This Row],[Country]],Table5[100m Hurdles Classification],"&gt;0")</f>
        <v>0</v>
      </c>
      <c r="AS132" s="6">
        <f>COUNTIFS(Table4[Country],Tabela1[[#This Row],[Country]],Table4[400m Hurdles Classification],"&gt;0")</f>
        <v>0</v>
      </c>
      <c r="AT132" s="6">
        <f>COUNTIFS(Table5[Country],Tabela1[[#This Row],[Country]],Table5[400m Hurdles Classification],"&gt;0")</f>
        <v>0</v>
      </c>
      <c r="AU132" s="6">
        <f>COUNTIFS(Table4[Country],Tabela1[[#This Row],[Country]],Table4[3000m Steeplechase Classification],"&gt;0")</f>
        <v>0</v>
      </c>
      <c r="AV132" s="6">
        <f>COUNTIFS(Table5[Country],Tabela1[[#This Row],[Country]],Table5[3000m Steeplechase Classification],"&gt;0")</f>
        <v>0</v>
      </c>
      <c r="AW132" s="6">
        <f>COUNTIFS(Table27[Country],Tabela1[[#This Row],[Country]],Table27[Men''s 4x100m Relay Classification],"&gt;0")</f>
        <v>1</v>
      </c>
      <c r="AX132" s="6">
        <f>COUNTIFS(Table27[Country],Tabela1[[#This Row],[Country]],Table27[Women''s 4x100m Relay Classification],"&gt;0")</f>
        <v>0</v>
      </c>
      <c r="AY132" s="6">
        <f>COUNTIFS(Table27[Country],Tabela1[[#This Row],[Country]],Table27[Men''s 4x400m Relay Classification],"&gt;0")</f>
        <v>0</v>
      </c>
      <c r="AZ132" s="6">
        <f>COUNTIFS(Table27[Country],Tabela1[[#This Row],[Country]],Table27[Women''s 4x400m Relay Classification],"&gt;0")</f>
        <v>0</v>
      </c>
      <c r="BA132" s="6">
        <f>COUNTIFS(Table27[Country],Tabela1[[#This Row],[Country]],Table27[Mixed 4x400m Relay Classification],"&gt;0")</f>
        <v>0</v>
      </c>
      <c r="BB132" s="6">
        <f>COUNTIFS(Table4[Country],Tabela1[[#This Row],[Country]],Table4[Marathon Classification],"&gt;0")</f>
        <v>0</v>
      </c>
      <c r="BC132" s="6">
        <f>COUNTIFS(Table5[Country],Tabela1[[#This Row],[Country]],Table5[Marathon Classification],"&gt;0")</f>
        <v>0</v>
      </c>
      <c r="BD132" s="6">
        <f>COUNTIFS(Table4[Country],Tabela1[[#This Row],[Country]],Table4[20km Race Walk Classification],"&gt;0")</f>
        <v>0</v>
      </c>
      <c r="BE132" s="6">
        <f>COUNTIFS(Table5[Country],Tabela1[[#This Row],[Country]],Table5[20km Race Walk Classification],"&gt;0")</f>
        <v>0</v>
      </c>
      <c r="BF132" s="6">
        <f>COUNTIFS(Tabela96[Country],Tabela1[[#This Row],[Country]],Tabela96[Mixed Marathon Race Walk Relay Classification],"&gt;0")</f>
        <v>0</v>
      </c>
      <c r="BG132" s="6">
        <f>COUNTIFS(Table4[Country],Tabela1[[#This Row],[Country]],Table4[Discus Throw Classification],"&gt;0")</f>
        <v>0</v>
      </c>
      <c r="BH132" s="6">
        <f>COUNTIFS(Table5[Country],Tabela1[[#This Row],[Country]],Table5[Discus Throw Classification],"&gt;0")</f>
        <v>0</v>
      </c>
      <c r="BI132" s="6">
        <f>COUNTIFS(Table4[Country],Tabela1[[#This Row],[Country]],Table4[Hammer Throw Classification],"&gt;0")</f>
        <v>0</v>
      </c>
      <c r="BJ132" s="6">
        <f>COUNTIFS(Table5[Country],Tabela1[[#This Row],[Country]],Table5[Hammer Throw Classification],"&gt;0")</f>
        <v>0</v>
      </c>
      <c r="BK132" s="6">
        <f>COUNTIFS(Table4[Country],Tabela1[[#This Row],[Country]],Table4[High Jump Classification],"&gt;0")</f>
        <v>0</v>
      </c>
      <c r="BL132" s="6">
        <f>COUNTIFS(Table5[Country],Tabela1[[#This Row],[Country]],Table5[High Jump Classification],"&gt;0")</f>
        <v>0</v>
      </c>
      <c r="BM132" s="6">
        <f>COUNTIFS(Table4[Country],Tabela1[[#This Row],[Country]],Table4[Javelin Throw Classification],"&gt;0")</f>
        <v>0</v>
      </c>
      <c r="BN132" s="6">
        <f>COUNTIFS(Table5[Country],Tabela1[[#This Row],[Country]],Table5[Javelin Throw Classification],"&gt;0")</f>
        <v>0</v>
      </c>
      <c r="BO132" s="6">
        <f>COUNTIFS(Table4[Country],Tabela1[[#This Row],[Country]],Table4[Long Jump Classification],"&gt;0")</f>
        <v>0</v>
      </c>
      <c r="BP132" s="6">
        <f>COUNTIFS(Table5[Country],Tabela1[[#This Row],[Country]],Table5[Long Jump Classification],"&gt;0")</f>
        <v>0</v>
      </c>
      <c r="BQ132" s="6">
        <f>COUNTIFS(Table4[Country],Tabela1[[#This Row],[Country]],Table4[Pole Vault Classification],"&gt;0")</f>
        <v>0</v>
      </c>
      <c r="BR132" s="6">
        <f>COUNTIFS(Table5[Country],Tabela1[[#This Row],[Country]],Table5[Pole Vault Classification],"&gt;0")</f>
        <v>0</v>
      </c>
      <c r="BS132" s="6">
        <f>COUNTIFS(Table4[Country],Tabela1[[#This Row],[Country]],Table4[Shot Put Classification],"&gt;0")</f>
        <v>0</v>
      </c>
      <c r="BT132" s="6">
        <f>COUNTIFS(Table5[Country],Tabela1[[#This Row],[Country]],Table5[Shot Put Classification],"&gt;0")</f>
        <v>0</v>
      </c>
      <c r="BU132" s="6">
        <f>COUNTIFS(Table4[Country],Tabela1[[#This Row],[Country]],Table4[Triple Jump Classification],"&gt;0")</f>
        <v>0</v>
      </c>
      <c r="BV132" s="6">
        <f>COUNTIFS(Table5[Country],Tabela1[[#This Row],[Country]],Table5[Triple Jump Classification],"&gt;0")</f>
        <v>0</v>
      </c>
      <c r="BW132" s="6">
        <f>COUNTIFS(Table4[Country],Tabela1[[#This Row],[Country]],Table4[Decathlon Classification],"&gt;0")</f>
        <v>0</v>
      </c>
      <c r="BX132" s="6">
        <f>COUNTIFS(Table5[Country],Tabela1[[#This Row],[Country]],Table5[Heptathlon Classification],"&gt;0")</f>
        <v>0</v>
      </c>
      <c r="BY132" s="6">
        <f>COUNTIFS(Table61[Country],Tabela1[[#This Row],[Country]],Table61[Classification],"&gt;0")</f>
        <v>0</v>
      </c>
      <c r="BZ132" s="6">
        <f>COUNTIFS(Table38[Country],Tabela1[[#This Row],[Country]],Table38[Classification],"&gt;0")</f>
        <v>0</v>
      </c>
      <c r="CA132" s="6">
        <f>COUNTIFS(Table39[Country],Tabela1[[#This Row],[Country]],Table39[Men''s Classification],"&gt;0")</f>
        <v>0</v>
      </c>
      <c r="CB132" s="6">
        <f>COUNTIFS(Table39[Country],Tabela1[[#This Row],[Country]],Table39[Women''s Classification],"&gt;0")</f>
        <v>0</v>
      </c>
      <c r="CC132" s="6">
        <f>COUNTIFS(Table39[Country],Tabela1[[#This Row],[Country]],Table39[Mixed Classification],"&gt;0")</f>
        <v>0</v>
      </c>
      <c r="CD132" s="6">
        <f>COUNTIFS(Table89[Country],Tabela1[[#This Row],[Country]],Table89[Men''s Classification],"&gt;0")</f>
        <v>0</v>
      </c>
      <c r="CE132" s="6">
        <f>COUNTIFS(Table89[Country],Tabela1[[#This Row],[Country]],Table89[Women''s Classification],"&gt;0")</f>
        <v>0</v>
      </c>
      <c r="CF132" s="6">
        <f>COUNTIFS(Table90[Country],Tabela1[[#This Row],[Country]],Table90[Men''s Classification],"&gt;0")</f>
        <v>0</v>
      </c>
      <c r="CG132" s="6">
        <f>COUNTIFS(Table90[Country],Tabela1[[#This Row],[Country]],Table90[Women''s Classification],"&gt;0")</f>
        <v>0</v>
      </c>
      <c r="CH132" s="6">
        <f>COUNTIFS(Table60[Country],Tabela1[[#This Row],[Country]],Table60[Men''s Classification],"&gt;0")</f>
        <v>0</v>
      </c>
      <c r="CI132" s="6">
        <f>COUNTIFS(Table60[Country],Tabela1[[#This Row],[Country]],Table60[Women''s Classification],"&gt;0")</f>
        <v>0</v>
      </c>
      <c r="CJ132" s="6">
        <f>COUNTIFS(Table6[Country],Tabela1[[#This Row],[Country]],Table6[51kg Classification],"&gt;0")</f>
        <v>0</v>
      </c>
      <c r="CK132" s="6">
        <f>COUNTIFS(Table6[Country],Tabela1[[#This Row],[Country]],Table6[57kg Classification],"&gt;0")</f>
        <v>0</v>
      </c>
      <c r="CL132" s="6">
        <f>COUNTIFS(Table6[Country],Tabela1[[#This Row],[Country]],Table6[63.5kg Classification],"&gt;0")</f>
        <v>0</v>
      </c>
      <c r="CM132" s="6">
        <f>COUNTIFS(Table6[Country],Tabela1[[#This Row],[Country]],Table6[71kg Classification],"&gt;0")</f>
        <v>0</v>
      </c>
      <c r="CN132" s="6">
        <f>COUNTIFS(Table6[Country],Tabela1[[#This Row],[Country]],Table6[80kg Classification],"&gt;0")</f>
        <v>0</v>
      </c>
      <c r="CO132" s="6">
        <f>COUNTIFS(Table6[Country],Tabela1[[#This Row],[Country]],Table6[92kg Classification],"&gt;0")</f>
        <v>0</v>
      </c>
      <c r="CP132" s="6">
        <f>COUNTIFS(Table6[Country],Tabela1[[#This Row],[Country]],Table6[Plus 92kg Classification],"&gt;0")</f>
        <v>0</v>
      </c>
      <c r="CQ132" s="6">
        <f>COUNTIFS(Table7[Country],Tabela1[[#This Row],[Country]],Table7[50kg Classification],"&gt;0")</f>
        <v>0</v>
      </c>
      <c r="CR132" s="6">
        <f>COUNTIFS(Table7[Country],Tabela1[[#This Row],[Country]],Table7[54kg Classification],"&gt;0")</f>
        <v>0</v>
      </c>
      <c r="CS132" s="6">
        <f>COUNTIFS(Table7[Country],Tabela1[[#This Row],[Country]],Table7[57kg Classification],"&gt;0")</f>
        <v>0</v>
      </c>
      <c r="CT132" s="6">
        <f>COUNTIFS(Table7[Country],Tabela1[[#This Row],[Country]],Table7[60kg Classification],"&gt;0")</f>
        <v>0</v>
      </c>
      <c r="CU132" s="6">
        <f>COUNTIFS(Table7[Country],Tabela1[[#This Row],[Country]],Table7[66kg Classification],"&gt;0")</f>
        <v>0</v>
      </c>
      <c r="CV132" s="6">
        <f>COUNTIFS(Table7[Country],Tabela1[[#This Row],[Country]],Table7[75kg Classification],"&gt;0")</f>
        <v>0</v>
      </c>
      <c r="CW132" s="6">
        <f>COUNTIFS(Tabela94[Country],Tabela1[[#This Row],[Country]],Tabela94[Classification],"&gt;0")</f>
        <v>0</v>
      </c>
      <c r="CX132" s="6">
        <f>COUNTIFS(Tabela9499[Country],Tabela1[[#This Row],[Country]],Tabela9499[Classification],"&gt;0")</f>
        <v>0</v>
      </c>
      <c r="CY132" s="6">
        <f>COUNTIFS(Tabela107[Country],Tabela1[[#This Row],[Country]],Tabela107[C1 Slalom Classification],"&gt;0")</f>
        <v>0</v>
      </c>
      <c r="CZ132" s="6">
        <f>COUNTIFS(Tabela107122[Country],Tabela1[[#This Row],[Country]],Tabela107122[C1 Slalom Classification],"&gt;0")</f>
        <v>0</v>
      </c>
      <c r="DA132" s="6">
        <f>COUNTIFS(Tabela107[Country],Tabela1[[#This Row],[Country]],Tabela107[K1 Slalom Classification],"&gt;0")</f>
        <v>0</v>
      </c>
      <c r="DB132" s="6">
        <f>COUNTIFS(Tabela107122[Country],Tabela1[[#This Row],[Country]],Tabela107122[K1 Slalom Classification],"&gt;0")</f>
        <v>0</v>
      </c>
      <c r="DC132" s="6">
        <f>COUNTIFS(Tabela107[Country],Tabela1[[#This Row],[Country]],Tabela107[Kayak Cross Slalom Classification],"&gt;0")</f>
        <v>0</v>
      </c>
      <c r="DD132" s="6">
        <f>COUNTIFS(Tabela107122[Country],Tabela1[[#This Row],[Country]],Tabela107122[Kayak Cross Slalom Classification],"&gt;0")</f>
        <v>0</v>
      </c>
      <c r="DE132" s="6">
        <f>COUNTIFS(Table8[Country],Tabela1[[#This Row],[Country]],Table8[C1 200m Classification],"&gt;0")</f>
        <v>0</v>
      </c>
      <c r="DF132" s="6">
        <f>COUNTIFS(Table40[Country],Tabela1[[#This Row],[Country]],Table40[C1 1000m Classification],"&gt;0")</f>
        <v>0</v>
      </c>
      <c r="DG132" s="6">
        <f>COUNTIFS(Table68[Country],Tabela1[[#This Row],[Country]],Table68[Men''s C2 500m Classification],"&gt;0")</f>
        <v>0</v>
      </c>
      <c r="DH132" s="6">
        <f>COUNTIFS(Table68[Country],Tabela1[[#This Row],[Country]],Table68[Women''s C2 500m Classification],"&gt;0")</f>
        <v>0</v>
      </c>
      <c r="DI132" s="6">
        <f>COUNTIFS(Table8[Country],Tabela1[[#This Row],[Country]],Table8[K1 500m Classification],"&gt;0")</f>
        <v>0</v>
      </c>
      <c r="DJ132" s="6">
        <f>COUNTIFS(Table40[Country],Tabela1[[#This Row],[Country]],Table40[K1 1000m Classification],"&gt;0")</f>
        <v>0</v>
      </c>
      <c r="DK132" s="6">
        <f>COUNTIFS(Table68[Country],Tabela1[[#This Row],[Country]],Table68[Men''s K2 500m Classification],"&gt;0")</f>
        <v>0</v>
      </c>
      <c r="DL132" s="6">
        <f>COUNTIFS(Table68[Country],Tabela1[[#This Row],[Country]],Table68[Women''s K2 500m Classification],"&gt;0")</f>
        <v>0</v>
      </c>
      <c r="DM132" s="6">
        <f>COUNTIFS(Table83[Country],Tabela1[[#This Row],[Country]],Table83[Men''s K4 500m Classification],"&gt;0")</f>
        <v>0</v>
      </c>
      <c r="DN132" s="6">
        <f>COUNTIFS(Table83[Country],Tabela1[[#This Row],[Country]],Table83[Women''s K4 500m Classification],"&gt;0")</f>
        <v>0</v>
      </c>
      <c r="DO132" s="6">
        <f>COUNTIFS(Tabela126[Country],Tabela1[[#This Row],[Country]],Tabela126[Classification],"&gt;0")</f>
        <v>0</v>
      </c>
      <c r="DP132" s="6">
        <f>COUNTIFS(Tabela126130[Country],Tabela1[[#This Row],[Country]],Tabela126130[Classification],"&gt;0")</f>
        <v>0</v>
      </c>
      <c r="DQ132" s="6">
        <f>COUNTIFS(Table70[Country],Tabela1[[#This Row],[Country]],Table70[Classification],"&gt;0")</f>
        <v>0</v>
      </c>
      <c r="DR132" s="6">
        <f>COUNTIFS(Table80[Country],Tabela1[[#This Row],[Country]],Table80[Classification],"&gt;0")</f>
        <v>0</v>
      </c>
      <c r="DS132" s="6">
        <f>COUNTIFS(Table66[Country],Tabela1[[#This Row],[Country]],Table66[Classification],"&gt;0")</f>
        <v>0</v>
      </c>
      <c r="DT132" s="6">
        <f>COUNTIFS(Table67[Country],Tabela1[[#This Row],[Country]],Table67[Classification],"&gt;0")</f>
        <v>0</v>
      </c>
      <c r="DU132" s="6">
        <f>COUNTIFS(Table69[Country],Tabela1[[#This Row],[Country]],Table69[Keirin Classification],"&gt;0")</f>
        <v>0</v>
      </c>
      <c r="DV132" s="6">
        <f>COUNTIFS(Table41[Country],Tabela1[[#This Row],[Country]],Table41[Keirin Classification],"&gt;0")</f>
        <v>0</v>
      </c>
      <c r="DW132" s="6">
        <f>COUNTIFS(Table84[Country],Tabela1[[#This Row],[Country]],Table84[Men''s Madison Classification],"&gt;0")</f>
        <v>0</v>
      </c>
      <c r="DX132" s="6">
        <f>COUNTIFS(Table84[Country],Tabela1[[#This Row],[Country]],Table84[Women''s Madison Classification],"&gt;0")</f>
        <v>0</v>
      </c>
      <c r="DY132" s="6">
        <f>COUNTIFS(Table69[Country],Tabela1[[#This Row],[Country]],Table69[Omnium Classification],"&gt;0")</f>
        <v>0</v>
      </c>
      <c r="DZ132" s="6">
        <f>COUNTIFS(Table41[Country],Tabela1[[#This Row],[Country]],Table41[Omnium Classification],"&gt;0")</f>
        <v>0</v>
      </c>
      <c r="EA132" s="6">
        <f>COUNTIFS(Table9[Country],Tabela1[[#This Row],[Country]],Table9[Road Race Classification],"&gt;0")</f>
        <v>0</v>
      </c>
      <c r="EB132" s="6">
        <f>COUNTIFS(Table14[Country],Tabela1[[#This Row],[Country]],Table14[Road Race Classification],"&gt;0")</f>
        <v>0</v>
      </c>
      <c r="EC132" s="6">
        <f>COUNTIFS(Table69[Country],Tabela1[[#This Row],[Country]],Table69[Sprint Classification],"&gt;0")</f>
        <v>0</v>
      </c>
      <c r="ED132" s="6">
        <f>COUNTIFS(Table41[Country],Tabela1[[#This Row],[Country]],Table41[Sprint Classification],"&gt;0")</f>
        <v>0</v>
      </c>
      <c r="EE132" s="6">
        <f>COUNTIFS(Table85[Country],Tabela1[[#This Row],[Country]],Table85[Men''s Sprint Classification],"&gt;0")</f>
        <v>0</v>
      </c>
      <c r="EF132" s="6">
        <f>COUNTIFS(Table85[Country],Tabela1[[#This Row],[Country]],Table85[Women''s Sprint Classification],"&gt;0")</f>
        <v>0</v>
      </c>
      <c r="EG132" s="6">
        <f>COUNTIFS(Table85[Country],Tabela1[[#This Row],[Country]],Table85[Men''s Pursuit Classification],"&gt;0")</f>
        <v>0</v>
      </c>
      <c r="EH132" s="6">
        <f>COUNTIFS(Table85[Country],Tabela1[[#This Row],[Country]],Table85[Women''s Pursuit Classification],"&gt;0")</f>
        <v>0</v>
      </c>
      <c r="EI132" s="6">
        <f>COUNTIFS(Table9[Country],Tabela1[[#This Row],[Country]],Table9[Time-Trial Classification],"&gt;0")</f>
        <v>0</v>
      </c>
      <c r="EJ132" s="6">
        <f>COUNTIFS(Table14[Country],Tabela1[[#This Row],[Country]],Table14[Time-Trial Classification],"&gt;0")</f>
        <v>0</v>
      </c>
      <c r="EK132" s="6">
        <f>COUNTIFS(Table42[Country],Tabela1[[#This Row],[Country]],Table42[Springboard Classification],"&gt;0")</f>
        <v>0</v>
      </c>
      <c r="EL132" s="6">
        <f>COUNTIFS(Table43[Country],Tabela1[[#This Row],[Country]],Table43[Springboard Classification],"&gt;0")</f>
        <v>0</v>
      </c>
      <c r="EM132" s="6">
        <f>COUNTIFS(Table42[Country],Tabela1[[#This Row],[Country]],Table42[Platform Classification],"&gt;0")</f>
        <v>0</v>
      </c>
      <c r="EN132" s="6">
        <f>COUNTIFS(Table43[Country],Tabela1[[#This Row],[Country]],Table43[Platform Classification],"&gt;0")</f>
        <v>0</v>
      </c>
      <c r="EO132" s="6">
        <f>COUNTIFS(Table86[Country],Tabela1[[#This Row],[Country]],Table86[Men''s Synchronized Springboard Classification],"&gt;0")</f>
        <v>0</v>
      </c>
      <c r="EP132" s="6">
        <f>COUNTIFS(Table86[Country],Tabela1[[#This Row],[Country]],Table86[Women''s Synchronized Springboard Classification],"&gt;0")</f>
        <v>0</v>
      </c>
      <c r="EQ132" s="6">
        <f>COUNTIFS(Table86[Country],Tabela1[[#This Row],[Country]],Table86[Men''s Synchronized Platform Classification],"&gt;0")</f>
        <v>0</v>
      </c>
      <c r="ER132" s="6">
        <f>COUNTIFS(Table86[Country],Tabela1[[#This Row],[Country]],Table86[Women''s Synchronized Platform Classification],"&gt;0")</f>
        <v>0</v>
      </c>
      <c r="ES132" s="6">
        <f>COUNTIFS(Table44[Country],Tabela1[[#This Row],[Country]],Table44[Dressage Classification],"&gt;0")</f>
        <v>0</v>
      </c>
      <c r="ET132" s="6">
        <f>COUNTIFS(Table45[Country],Tabela1[[#This Row],[Country]],Table45[Dressage Classification],"&gt;0")</f>
        <v>0</v>
      </c>
      <c r="EU132" s="6">
        <f>COUNTIFS(Table44[Country],Tabela1[[#This Row],[Country]],Table44[Eventing Classification],"&gt;0")</f>
        <v>0</v>
      </c>
      <c r="EV132" s="6">
        <f>COUNTIFS(Table45[Country],Tabela1[[#This Row],[Country]],Table45[Eventing Classification],"&gt;0")</f>
        <v>0</v>
      </c>
      <c r="EW132" s="6">
        <f>COUNTIFS(Table44[Country],Tabela1[[#This Row],[Country]],Table44[Jumping Classification],"&gt;0")</f>
        <v>0</v>
      </c>
      <c r="EX132" s="6">
        <f>COUNTIFS(Table45[Country],Tabela1[[#This Row],[Country]],Table45[Jumping Classification],"&gt;0")</f>
        <v>0</v>
      </c>
      <c r="EY132" s="6">
        <f>COUNTIFS(Table10[Country],Tabela1[[#This Row],[Country]],Table10[Épée Classification],"&gt;0")</f>
        <v>0</v>
      </c>
      <c r="EZ132" s="6">
        <f>COUNTIFS(Table11[Country],Tabela1[[#This Row],[Country]],Table11[Épée Classification],"&gt;0")</f>
        <v>0</v>
      </c>
      <c r="FA132" s="6">
        <f>COUNTIFS(Table46[Country],Tabela1[[#This Row],[Country]],Table46[Men''s Épée Classification],"&gt;0")</f>
        <v>0</v>
      </c>
      <c r="FB132" s="6">
        <f>COUNTIFS(Table46[Country],Tabela1[[#This Row],[Country]],Table46[Women''s Épée Classification],"&gt;0")</f>
        <v>0</v>
      </c>
      <c r="FC132" s="6">
        <f>COUNTIFS(Table10[Country],Tabela1[[#This Row],[Country]],Table10[Foil Classification],"&gt;0")</f>
        <v>0</v>
      </c>
      <c r="FD132" s="6">
        <f>COUNTIFS(Table11[Country],Tabela1[[#This Row],[Country]],Table11[Foil Classification],"&gt;0")</f>
        <v>0</v>
      </c>
      <c r="FE132" s="6">
        <f>COUNTIFS(Table46[Country],Tabela1[[#This Row],[Country]],Table46[Men''s Foil Classification],"&gt;0")</f>
        <v>0</v>
      </c>
      <c r="FF132" s="6">
        <f>COUNTIFS(Table46[Country],Tabela1[[#This Row],[Country]],Table46[Women''s Foil Classification],"&gt;0")</f>
        <v>0</v>
      </c>
      <c r="FG132" s="6">
        <f>COUNTIFS(Table10[Country],Tabela1[[#This Row],[Country]],Table10[Sabre Classification],"&gt;0")</f>
        <v>0</v>
      </c>
      <c r="FH132" s="6">
        <f>COUNTIFS(Table11[Country],Tabela1[[#This Row],[Country]],Table11[Sabre Classification],"&gt;0")</f>
        <v>0</v>
      </c>
      <c r="FI132" s="6">
        <f>COUNTIFS(Table46[Country],Tabela1[[#This Row],[Country]],Table46[Men''s Sabre Classification],"&gt;0")</f>
        <v>0</v>
      </c>
      <c r="FJ132" s="6">
        <f>COUNTIFS(Table46[Country],Tabela1[[#This Row],[Country]],Table46[Women''s Sabre Classification],"&gt;0")</f>
        <v>0</v>
      </c>
      <c r="FK132" s="6">
        <f>COUNTIFS(Table91[Country],Tabela1[[#This Row],[Country]],Table91[Men''s Classification],"&gt;0")</f>
        <v>0</v>
      </c>
      <c r="FL132" s="6">
        <f>COUNTIFS(Table91[Country],Tabela1[[#This Row],[Country]],Table91[Women''s Classification],"&gt;0")</f>
        <v>0</v>
      </c>
      <c r="FM132" s="6">
        <f>COUNTIFS(Table9194[Country],Tabela1[[#This Row],[Country]],Table9194[Men''s Classification],"&gt;0")</f>
        <v>0</v>
      </c>
      <c r="FN132" s="6">
        <f>COUNTIFS(Table9194[Country],Tabela1[[#This Row],[Country]],Table9194[Women''s Classification],"&gt;0")</f>
        <v>0</v>
      </c>
      <c r="FO132" s="6">
        <f>COUNTIFS(Table71[Country],Tabela1[[#This Row],[Country]],Table71[Classification],"&gt;0")</f>
        <v>0</v>
      </c>
      <c r="FP132" s="6">
        <f>COUNTIFS(Table62[Country],Tabela1[[#This Row],[Country]],Table62[Classification],"&gt;0")</f>
        <v>0</v>
      </c>
      <c r="FQ132" s="6">
        <f>COUNTIFS(Table47[Country],Tabela1[[#This Row],[Country]],Table47[All-Around Classification],"&gt;0")</f>
        <v>0</v>
      </c>
      <c r="FR132" s="6">
        <f>COUNTIFS(Table48[Country],Tabela1[[#This Row],[Country]],Table48[All-Around Classification],"&gt;0")</f>
        <v>0</v>
      </c>
      <c r="FS132" s="6">
        <f>COUNTIFS(Table81[Country],Tabela1[[#This Row],[Country]],Table81[Men''s All-Around Classification],"&gt;0")</f>
        <v>0</v>
      </c>
      <c r="FT132" s="6">
        <f>COUNTIFS(Table81[Country],Tabela1[[#This Row],[Country]],Table81[Women''s All-Around Classification],"&gt;0")</f>
        <v>0</v>
      </c>
      <c r="FU132" s="6">
        <f>COUNTIFS(Table48[Country],Tabela1[[#This Row],[Country]],Table48[Balance Beam Classification],"&gt;0")</f>
        <v>0</v>
      </c>
      <c r="FV132" s="6">
        <f>COUNTIFS(Table47[Country],Tabela1[[#This Row],[Country]],Table47[Floor Exercise Classification],"&gt;0")</f>
        <v>0</v>
      </c>
      <c r="FW132" s="6">
        <f>COUNTIFS(Table48[Country],Tabela1[[#This Row],[Country]],Table48[Floor Exercise Classification],"&gt;0")</f>
        <v>0</v>
      </c>
      <c r="FX132" s="6">
        <f>COUNTIFS(Table47[Country],Tabela1[[#This Row],[Country]],Table47[Horizontal Bar Classification],"&gt;0")</f>
        <v>0</v>
      </c>
      <c r="FY132" s="6">
        <f>COUNTIFS(Table47[Country],Tabela1[[#This Row],[Country]],Table47[Parallel Bars Classification],"&gt;0")</f>
        <v>0</v>
      </c>
      <c r="FZ132" s="6">
        <f>COUNTIFS(Table47[Country],Tabela1[[#This Row],[Country]],Table47[Pommel Horse Classification],"&gt;0")</f>
        <v>0</v>
      </c>
      <c r="GA132" s="6">
        <f>COUNTIFS(Table47[Country],Tabela1[[#This Row],[Country]],Table47[Rings Classification],"&gt;0")</f>
        <v>0</v>
      </c>
      <c r="GB132" s="6">
        <f>COUNTIFS(Tabela132[Country],Tabela1[[#This Row],[Country]],Tabela132[Classification],"&gt;0")</f>
        <v>0</v>
      </c>
      <c r="GC132" s="6">
        <f>COUNTIFS(Tabela139[Country],Tabela1[[#This Row],[Country]],Tabela139[Classification],"&gt;0")</f>
        <v>0</v>
      </c>
      <c r="GD132" s="6">
        <f>COUNTIFS(Table48[Country],Tabela1[[#This Row],[Country]],Table48[Uneven Bars Classification],"&gt;0")</f>
        <v>0</v>
      </c>
      <c r="GE132" s="6">
        <f>COUNTIFS(Table47[Country],Tabela1[[#This Row],[Country]],Table47[Vault Classification],"&gt;0")</f>
        <v>0</v>
      </c>
      <c r="GF132" s="6">
        <f>COUNTIFS(Table48[Country],Tabela1[[#This Row],[Country]],Table48[Vault Classification],"&gt;0")</f>
        <v>0</v>
      </c>
      <c r="GG132" s="6">
        <f>COUNTIFS(Table919496[Country],Tabela1[[#This Row],[Country]],Table919496[Men''s Classification],"&gt;0")</f>
        <v>0</v>
      </c>
      <c r="GH132" s="6">
        <f>COUNTIFS(Table919496[Country],Tabela1[[#This Row],[Country]],Table919496[Women''s Classification],"&gt;0")</f>
        <v>0</v>
      </c>
      <c r="GI132" s="6">
        <f>COUNTIFS(Table12[Country],Tabela1[[#This Row],[Country]],Table12[60kg Classification],"&gt;0")</f>
        <v>0</v>
      </c>
      <c r="GJ132" s="6">
        <f>COUNTIFS(Table12[Country],Tabela1[[#This Row],[Country]],Table12[66kg Classification],"&gt;0")</f>
        <v>0</v>
      </c>
      <c r="GK132" s="6">
        <f>COUNTIFS(Table12[Country],Tabela1[[#This Row],[Country]],Table12[73kg Classification],"&gt;0")</f>
        <v>0</v>
      </c>
      <c r="GL132" s="6">
        <f>COUNTIFS(Table12[Country],Tabela1[[#This Row],[Country]],Table12[81kg Classification],"&gt;0")</f>
        <v>0</v>
      </c>
      <c r="GM132" s="6">
        <f>COUNTIFS(Table12[Country],Tabela1[[#This Row],[Country]],Table12[90kg Classification],"&gt;0")</f>
        <v>0</v>
      </c>
      <c r="GN132" s="6">
        <f>COUNTIFS(Table12[Country],Tabela1[[#This Row],[Country]],Table12[100kg Classification],"&gt;0")</f>
        <v>0</v>
      </c>
      <c r="GO132" s="6">
        <f>COUNTIFS(Table12[Country],Tabela1[[#This Row],[Country]],Table12[Plus 100kg Classification],"&gt;0")</f>
        <v>0</v>
      </c>
      <c r="GP132" s="6">
        <f>COUNTIFS(Table13[Country],Tabela1[[#This Row],[Country]],Table13[48kg Classification],"&gt;0")</f>
        <v>0</v>
      </c>
      <c r="GQ132" s="6">
        <f>COUNTIFS(Table13[Country],Tabela1[[#This Row],[Country]],Table13[52kg Classification],"&gt;0")</f>
        <v>0</v>
      </c>
      <c r="GR132" s="6">
        <f>COUNTIFS(Table13[Country],Tabela1[[#This Row],[Country]],Table13[57kg Classification],"&gt;0")</f>
        <v>0</v>
      </c>
      <c r="GS132" s="6">
        <f>COUNTIFS(Table13[Country],Tabela1[[#This Row],[Country]],Table13[63kg Classification],"&gt;0")</f>
        <v>0</v>
      </c>
      <c r="GT132" s="6">
        <f>COUNTIFS(Table13[Country],Tabela1[[#This Row],[Country]],Table13[70kg Classification],"&gt;0")</f>
        <v>0</v>
      </c>
      <c r="GU132" s="6">
        <f>COUNTIFS(Table13[Country],Tabela1[[#This Row],[Country]],Table13[78kg Classification],"&gt;0")</f>
        <v>0</v>
      </c>
      <c r="GV132" s="6">
        <f>COUNTIFS(Table13[Country],Tabela1[[#This Row],[Country]],Table13[Plus 78kg Classification],"&gt;0")</f>
        <v>0</v>
      </c>
      <c r="GW132" s="6">
        <f>COUNTIFS(Table82[Country],Tabela1[[#This Row],[Country]],Table82[Mixed Classification],"&gt;0")</f>
        <v>0</v>
      </c>
      <c r="GX132" s="6">
        <f>COUNTIFS(Table51[Country],Tabela1[[#This Row],[Country]],Table51[Classification],"&gt;0")</f>
        <v>0</v>
      </c>
      <c r="GY132" s="6">
        <f>COUNTIFS(Table52[Country],Tabela1[[#This Row],[Country]],Table52[Classification],"&gt;0")</f>
        <v>0</v>
      </c>
      <c r="GZ132" s="6">
        <f>COUNTIFS(Table32[Country],Tabela1[[#This Row],[Country]],Table32[All-Around Classification],"&gt;0")</f>
        <v>0</v>
      </c>
      <c r="HA132" s="6">
        <f>COUNTIFS(Table49[Country],Tabela1[[#This Row],[Country]],Table49[All-Around Classification],"&gt;0")</f>
        <v>0</v>
      </c>
      <c r="HB132" s="6">
        <f>COUNTIFS(Table26[Country],Tabela1[[#This Row],[Country]],Table26[Single Sculls Classification],"&gt;0")</f>
        <v>0</v>
      </c>
      <c r="HC132" s="6">
        <f>COUNTIFS(Table63[Country],Tabela1[[#This Row],[Country]],Table63[Single Sculls Classification],"&gt;0")</f>
        <v>0</v>
      </c>
      <c r="HD132" s="6">
        <f>COUNTIFS(Table16[Country],Tabela1[[#This Row],[Country]],Table16[Men''s Double Sculls Classification],"&gt;0")</f>
        <v>0</v>
      </c>
      <c r="HE132" s="6">
        <f>COUNTIFS(Table16[Country],Tabela1[[#This Row],[Country]],Table16[Women''s Double Sculls Classification],"&gt;0")</f>
        <v>0</v>
      </c>
      <c r="HF132" s="6">
        <f>COUNTIFS(Table72[Country],Tabela1[[#This Row],[Country]],Table72[Men''s Quadruple Sculls Classification],"&gt;0")</f>
        <v>0</v>
      </c>
      <c r="HG132" s="6">
        <f>COUNTIFS(Table72[Country],Tabela1[[#This Row],[Country]],Table72[Women''s Quadruple Sculls Classification],"&gt;0")</f>
        <v>0</v>
      </c>
      <c r="HH132" s="6">
        <f>COUNTIFS(Table16[Country],Tabela1[[#This Row],[Country]],Table16[Men''s Coxless Pairs Classification],"&gt;0")</f>
        <v>0</v>
      </c>
      <c r="HI132" s="6">
        <f>COUNTIFS(Table16[Country],Tabela1[[#This Row],[Country]],Table16[Women''s Coxless Pairs Classification],"&gt;0")</f>
        <v>0</v>
      </c>
      <c r="HJ132" s="6">
        <f>COUNTIFS(Table72[Country],Tabela1[[#This Row],[Country]],Table72[Men''s Coxless Fours Classification],"&gt;0")</f>
        <v>0</v>
      </c>
      <c r="HK132" s="6">
        <f>COUNTIFS(Table72[Country],Tabela1[[#This Row],[Country]],Table72[Women''s Coxless Fours Classification],"&gt;0")</f>
        <v>0</v>
      </c>
      <c r="HL132" s="6">
        <f>COUNTIFS(Table72[Country],Tabela1[[#This Row],[Country]],Table72[Men''s Eights Classification],"&gt;0")</f>
        <v>0</v>
      </c>
      <c r="HM132" s="6">
        <f>COUNTIFS(Table72[Country],Tabela1[[#This Row],[Country]],Table72[Women''s Eights Classification],"&gt;0")</f>
        <v>0</v>
      </c>
      <c r="HN132" s="6">
        <f>COUNTIFS(Table16[Country],Tabela1[[#This Row],[Country]],Table16[Men''s Lwt. Double Sculls Classification],"&gt;0")</f>
        <v>0</v>
      </c>
      <c r="HO132" s="6">
        <f>COUNTIFS(Table16[Country],Tabela1[[#This Row],[Country]],Table16[Women''s Lwt. Double Sculls Classification],"&gt;0")</f>
        <v>0</v>
      </c>
      <c r="HP132" s="6">
        <f>COUNTIFS(Table91949698[Country],Tabela1[[#This Row],[Country]],Table91949698[Men''s Classification],"&gt;0")</f>
        <v>0</v>
      </c>
      <c r="HQ132" s="6">
        <f>COUNTIFS(Table91949698[Country],Tabela1[[#This Row],[Country]],Table91949698[Women''s Classification],"&gt;0")</f>
        <v>0</v>
      </c>
      <c r="HR132" s="6">
        <f>COUNTIFS(Table25[Country],Tabela1[[#This Row],[Country]],Table25[Mixed 470 Classification],"&gt;0")</f>
        <v>0</v>
      </c>
      <c r="HS132" s="6">
        <f>COUNTIFS(Table25[Country],Tabela1[[#This Row],[Country]],Table25[Men''s 49er Classification],"&gt;0")</f>
        <v>0</v>
      </c>
      <c r="HT132" s="6">
        <f>COUNTIFS(Table25[Country],Tabela1[[#This Row],[Country]],Table25[Women''s 49er FX Classification],"&gt;0")</f>
        <v>0</v>
      </c>
      <c r="HU132" s="6">
        <f>COUNTIFS(Table17[Country],Tabela1[[#This Row],[Country]],Table17[Formula Kite Classification],"&gt;0")</f>
        <v>0</v>
      </c>
      <c r="HV132" s="6">
        <f>COUNTIFS(Table18[Country],Tabela1[[#This Row],[Country]],Table18[Formula Kite Classification],"&gt;0")</f>
        <v>0</v>
      </c>
      <c r="HW132" s="6">
        <f>COUNTIFS(Table17[Country],Tabela1[[#This Row],[Country]],Table17[ILCA 7 Classification],"&gt;0")</f>
        <v>0</v>
      </c>
      <c r="HX132" s="6">
        <f>COUNTIFS(Table18[Country],Tabela1[[#This Row],[Country]],Table18[ILCA 6 Classification],"&gt;0")</f>
        <v>0</v>
      </c>
      <c r="HY132" s="6">
        <f>COUNTIFS(Table17[Country],Tabela1[[#This Row],[Country]],Table17[IQFoil Classification],"&gt;0")</f>
        <v>0</v>
      </c>
      <c r="HZ132" s="6">
        <f>COUNTIFS(Table18[Country],Tabela1[[#This Row],[Country]],Table18[IQFoil Classification],"&gt;0")</f>
        <v>0</v>
      </c>
      <c r="IA132" s="6">
        <f>COUNTIFS(Table25[Country],Tabela1[[#This Row],[Country]],Table25[Mixed Nacra 17 Classification],"&gt;0")</f>
        <v>0</v>
      </c>
      <c r="IB132" s="6">
        <f>COUNTIFS(Table53[Country],Tabela1[[#This Row],[Country]],Table53[10m Air Pistol Classification],"&gt;0")</f>
        <v>0</v>
      </c>
      <c r="IC132" s="6">
        <f>COUNTIFS(Table19[Country],Tabela1[[#This Row],[Country]],Table19[10m Air Pistol Classification],"&gt;0")</f>
        <v>0</v>
      </c>
      <c r="ID132" s="6">
        <f>COUNTIFS(Table54[Country],Tabela1[[#This Row],[Country]],Table54[Mixed 10m Air Pistol Team Classification],"&gt;0")</f>
        <v>0</v>
      </c>
      <c r="IE132" s="6">
        <f>COUNTIFS(Table53[Country],Tabela1[[#This Row],[Country]],Table53[10m Air Rifle Classification],"&gt;0")</f>
        <v>0</v>
      </c>
      <c r="IF132" s="6">
        <f>COUNTIFS(Table19[Country],Tabela1[[#This Row],[Country]],Table19[10m Air Rifle Classification],"&gt;0")</f>
        <v>0</v>
      </c>
      <c r="IG132" s="6">
        <f>COUNTIFS(Table54[Country],Tabela1[[#This Row],[Country]],Table54[Mixed 10m Air Rifle Team Classification],"&gt;0")</f>
        <v>0</v>
      </c>
      <c r="IH132" s="6">
        <f>COUNTIFS(Table53[Country],Tabela1[[#This Row],[Country]],Table53[25m Rapid Fire Pistol Classification],"&gt;0")</f>
        <v>0</v>
      </c>
      <c r="II132" s="6">
        <f>COUNTIFS(Table19[Country],Tabela1[[#This Row],[Country]],Table19[25m Pistol Classification],"&gt;0")</f>
        <v>0</v>
      </c>
      <c r="IJ132" s="6">
        <f>COUNTIFS(Table53[Country],Tabela1[[#This Row],[Country]],Table53[50m Rifle 3 Positions Classification],"&gt;0")</f>
        <v>0</v>
      </c>
      <c r="IK132" s="6">
        <f>COUNTIFS(Table19[Country],Tabela1[[#This Row],[Country]],Table19[50m Rifle 3 Positions Classification],"&gt;0")</f>
        <v>0</v>
      </c>
      <c r="IL132" s="6">
        <f>COUNTIFS(Table53[Country],Tabela1[[#This Row],[Country]],Table53[Skeet Classification],"&gt;0")</f>
        <v>0</v>
      </c>
      <c r="IM132" s="6">
        <f>COUNTIFS(Table19[Country],Tabela1[[#This Row],[Country]],Table19[Skeet Classification],"&gt;0")</f>
        <v>0</v>
      </c>
      <c r="IN132" s="6">
        <f>COUNTIFS(Table54[Country],Tabela1[[#This Row],[Country]],Table54[Mixed Skeet Team Classification],"&gt;0")</f>
        <v>0</v>
      </c>
      <c r="IO132" s="6">
        <f>COUNTIFS(Table53[Country],Tabela1[[#This Row],[Country]],Table53[Trap Classification],"&gt;0")</f>
        <v>0</v>
      </c>
      <c r="IP132" s="6">
        <f>COUNTIFS(Table19[Country],Tabela1[[#This Row],[Country]],Table19[Trap Classification],"&gt;0")</f>
        <v>0</v>
      </c>
      <c r="IQ132" s="6">
        <f>COUNTIFS(Table73[Country],Tabela1[[#This Row],[Country]],Table73[Park Classification],"&gt;0")</f>
        <v>0</v>
      </c>
      <c r="IR132" s="6">
        <f>COUNTIFS(Table74[Country],Tabela1[[#This Row],[Country]],Table74[Park Classification],"&gt;0")</f>
        <v>0</v>
      </c>
      <c r="IS132" s="6">
        <f>COUNTIFS(Table73[Country],Tabela1[[#This Row],[Country]],Table73[Street Classification],"&gt;0")</f>
        <v>0</v>
      </c>
      <c r="IT132" s="6">
        <f>COUNTIFS(Table74[Country],Tabela1[[#This Row],[Country]],Table74[Street Classification],"&gt;0")</f>
        <v>0</v>
      </c>
      <c r="IU132" s="6">
        <f>COUNTIFS(Table75[Country],Tabela1[[#This Row],[Country]],Table75[Boulder and Lead Classification],"&gt;0")</f>
        <v>0</v>
      </c>
      <c r="IV132" s="6">
        <f>COUNTIFS(Table76[Country],Tabela1[[#This Row],[Country]],Table76[Boulder and Lead Classification],"&gt;0")</f>
        <v>0</v>
      </c>
      <c r="IW132" s="6">
        <f>COUNTIFS(Table75[Country],Tabela1[[#This Row],[Country]],Table75[Speed Classification],"&gt;0")</f>
        <v>0</v>
      </c>
      <c r="IX132" s="6">
        <f>COUNTIFS(Table76[Country],Tabela1[[#This Row],[Country]],Table76[Speed Classification],"&gt;0")</f>
        <v>0</v>
      </c>
      <c r="IY132" s="6">
        <f>COUNTIFS(Table64[Country],Tabela1[[#This Row],[Country]],Table64[Shortboard Classification],"&gt;0")</f>
        <v>0</v>
      </c>
      <c r="IZ132" s="6">
        <f>COUNTIFS(Table77[Country],Tabela1[[#This Row],[Country]],Table77[Shortboard Classification],"&gt;0")</f>
        <v>0</v>
      </c>
      <c r="JA132" s="6">
        <f>COUNTIFS(Table20[Country],Tabela1[[#This Row],[Country]],Table20[50m Freestyle Classification],"&gt;0")</f>
        <v>0</v>
      </c>
      <c r="JB132" s="6">
        <f>COUNTIFS(Table21[Country],Tabela1[[#This Row],[Country]],Table21[50m Freestyle Classification],"&gt;0")</f>
        <v>0</v>
      </c>
      <c r="JC132" s="6">
        <f>COUNTIFS(Table20[Country],Tabela1[[#This Row],[Country]],Table20[100m Freestyle Classification],"&gt;0")</f>
        <v>0</v>
      </c>
      <c r="JD132" s="6">
        <f>COUNTIFS(Table21[Country],Tabela1[[#This Row],[Country]],Table21[100m Freestyle Classification],"&gt;0")</f>
        <v>0</v>
      </c>
      <c r="JE132" s="6">
        <f>COUNTIFS(Table20[Country],Tabela1[[#This Row],[Country]],Table20[200m Freestyle Classification],"&gt;0")</f>
        <v>0</v>
      </c>
      <c r="JF132" s="6">
        <f>COUNTIFS(Table21[Country],Tabela1[[#This Row],[Country]],Table21[200m Freestyle Classification],"&gt;0")</f>
        <v>0</v>
      </c>
      <c r="JG132" s="6">
        <f>COUNTIFS(Table20[Country],Tabela1[[#This Row],[Country]],Table20[400m Freestyle Classification],"&gt;0")</f>
        <v>0</v>
      </c>
      <c r="JH132" s="6">
        <f>COUNTIFS(Table21[Country],Tabela1[[#This Row],[Country]],Table21[400m Freestyle Classification],"&gt;0")</f>
        <v>0</v>
      </c>
      <c r="JI132" s="6">
        <f>COUNTIFS(Table20[Country],Tabela1[[#This Row],[Country]],Table20[800m Freestyle Classification],"&gt;0")</f>
        <v>0</v>
      </c>
      <c r="JJ132" s="6">
        <f>COUNTIFS(Table21[Country],Tabela1[[#This Row],[Country]],Table21[800m Freestyle Classification],"&gt;0")</f>
        <v>0</v>
      </c>
      <c r="JK132" s="6">
        <f>COUNTIFS(Table20[Country],Tabela1[[#This Row],[Country]],Table20[1500m Freestyle Classification],"&gt;0")</f>
        <v>0</v>
      </c>
      <c r="JL132" s="6">
        <f>COUNTIFS(Table21[Country],Tabela1[[#This Row],[Country]],Table21[1500m Freestyle Classification],"&gt;0")</f>
        <v>0</v>
      </c>
      <c r="JM132" s="6">
        <f>COUNTIFS(Table20[Country],Tabela1[[#This Row],[Country]],Table20[100m Backstroke Classification],"&gt;0")</f>
        <v>0</v>
      </c>
      <c r="JN132" s="6">
        <f>COUNTIFS(Table21[Country],Tabela1[[#This Row],[Country]],Table21[100m Backstroke Classification],"&gt;0")</f>
        <v>0</v>
      </c>
      <c r="JO132" s="6">
        <f>COUNTIFS(Table20[Country],Tabela1[[#This Row],[Country]],Table20[200m Backstroke Classification],"&gt;0")</f>
        <v>0</v>
      </c>
      <c r="JP132" s="6">
        <f>COUNTIFS(Table21[Country],Tabela1[[#This Row],[Country]],Table21[200m Backstroke Classification],"&gt;0")</f>
        <v>0</v>
      </c>
      <c r="JQ132" s="6">
        <f>COUNTIFS(Table20[Country],Tabela1[[#This Row],[Country]],Table20[100m Breaststroke Classification],"&gt;0")</f>
        <v>0</v>
      </c>
      <c r="JR132" s="6">
        <f>COUNTIFS(Table21[Country],Tabela1[[#This Row],[Country]],Table21[100m Breaststroke Classification],"&gt;0")</f>
        <v>0</v>
      </c>
      <c r="JS132" s="6">
        <f>COUNTIFS(Table20[Country],Tabela1[[#This Row],[Country]],Table20[200m Breaststroke Classification],"&gt;0")</f>
        <v>0</v>
      </c>
      <c r="JT132" s="6">
        <f>COUNTIFS(Table21[Country],Tabela1[[#This Row],[Country]],Table21[200m Breaststroke Classification],"&gt;0")</f>
        <v>0</v>
      </c>
      <c r="JU132" s="6">
        <f>COUNTIFS(Table20[Country],Tabela1[[#This Row],[Country]],Table20[100m Butterfly Classification],"&gt;0")</f>
        <v>0</v>
      </c>
      <c r="JV132" s="6">
        <f>COUNTIFS(Table21[Country],Tabela1[[#This Row],[Country]],Table21[100m Butterfly Classification],"&gt;0")</f>
        <v>0</v>
      </c>
      <c r="JW132" s="6">
        <f>COUNTIFS(Table20[Country],Tabela1[[#This Row],[Country]],Table20[200m Butterfly Classification],"&gt;0")</f>
        <v>0</v>
      </c>
      <c r="JX132" s="6">
        <f>COUNTIFS(Table21[Country],Tabela1[[#This Row],[Country]],Table21[200m Butterfly Classification],"&gt;0")</f>
        <v>0</v>
      </c>
      <c r="JY132" s="6">
        <f>COUNTIFS(Table20[Country],Tabela1[[#This Row],[Country]],Table20[200m Medley Classification],"&gt;0")</f>
        <v>0</v>
      </c>
      <c r="JZ132" s="6">
        <f>COUNTIFS(Table21[Country],Tabela1[[#This Row],[Country]],Table21[200m Medley Classification],"&gt;0")</f>
        <v>0</v>
      </c>
      <c r="KA132" s="6">
        <f>COUNTIFS(Table20[Country],Tabela1[[#This Row],[Country]],Table20[400m Medley Classification],"&gt;0")</f>
        <v>0</v>
      </c>
      <c r="KB132" s="6">
        <f>COUNTIFS(Table21[Country],Tabela1[[#This Row],[Country]],Table21[400m Medley Classification],"&gt;0")</f>
        <v>0</v>
      </c>
      <c r="KC132" s="6">
        <f>COUNTIFS(Table78[Country],Tabela1[[#This Row],[Country]],Table78[Men''s 4x100m Freestyle Relay Classification],"&gt;0")</f>
        <v>0</v>
      </c>
      <c r="KD132" s="6">
        <f>COUNTIFS(Table78[Country],Tabela1[[#This Row],[Country]],Table78[Women''s 4x100m Freestyle Relay Classification],"&gt;0")</f>
        <v>0</v>
      </c>
      <c r="KE132" s="6">
        <f>COUNTIFS(Table78[Country],Tabela1[[#This Row],[Country]],Table78[Men''s 4x200m Freestyle Relay Classification],"&gt;0")</f>
        <v>0</v>
      </c>
      <c r="KF132" s="6">
        <f>COUNTIFS(Table78[Country],Tabela1[[#This Row],[Country]],Table78[Women''s 4x200m Freestyle Relay Classification],"&gt;0")</f>
        <v>0</v>
      </c>
      <c r="KG132" s="6">
        <f>COUNTIFS(Table78[Country],Tabela1[[#This Row],[Country]],Table78[Men''s 4x100m Medley Relay Classification],"&gt;0")</f>
        <v>0</v>
      </c>
      <c r="KH132" s="6">
        <f>COUNTIFS(Table78[Country],Tabela1[[#This Row],[Country]],Table78[Women''s 4x100m Medley Relay Classification],"&gt;0")</f>
        <v>0</v>
      </c>
      <c r="KI132" s="6">
        <f>COUNTIFS(Table78[Country],Tabela1[[#This Row],[Country]],Table78[Mixed 4x100m Medley Relay Classification],"&gt;0")</f>
        <v>0</v>
      </c>
      <c r="KJ132" s="6">
        <f>COUNTIFS(Table20[Country],Tabela1[[#This Row],[Country]],Table20[10km Open Water Classification],"&gt;0")</f>
        <v>0</v>
      </c>
      <c r="KK132" s="6">
        <f>COUNTIFS(Table21[Country],Tabela1[[#This Row],[Country]],Table21[10km Open Water Classification],"&gt;0")</f>
        <v>0</v>
      </c>
      <c r="KL132" s="6">
        <f>COUNTIFS(Table22[Country],Tabela1[[#This Row],[Country]],Table22[Classification],"&gt;0")</f>
        <v>0</v>
      </c>
      <c r="KM132" s="6">
        <f>COUNTIFS(Table30[Country],Tabela1[[#This Row],[Country]],Table30[Classification],"&gt;0")</f>
        <v>0</v>
      </c>
      <c r="KN132" s="6">
        <f>COUNTIFS(Table55[Country],Tabela1[[#This Row],[Country]],Table55[Men''s Classification],"&gt;0")</f>
        <v>0</v>
      </c>
      <c r="KO132" s="6">
        <f>COUNTIFS(Table55[Country],Tabela1[[#This Row],[Country]],Table55[Women''s Classification],"&gt;0")</f>
        <v>0</v>
      </c>
      <c r="KP132" s="6">
        <f>COUNTIFS(Table56[Country],Tabela1[[#This Row],[Country]],Table56[Mixed Classification],"&gt;0")</f>
        <v>0</v>
      </c>
      <c r="KQ132" s="6">
        <f>COUNTIFS(Table29[Country],Tabela1[[#This Row],[Country]],Table29[58kg Classification],"&gt;0")</f>
        <v>0</v>
      </c>
      <c r="KR132" s="6">
        <f>COUNTIFS(Table29[Country],Tabela1[[#This Row],[Country]],Table29[68kg Classification],"&gt;0")</f>
        <v>0</v>
      </c>
      <c r="KS132" s="6">
        <f>COUNTIFS(Table29[Country],Tabela1[[#This Row],[Country]],Table29[80kg Classification],"&gt;0")</f>
        <v>0</v>
      </c>
      <c r="KT132" s="6">
        <f>COUNTIFS(Table29[Country],Tabela1[[#This Row],[Country]],Table29[Plus 80kg Classification],"&gt;0")</f>
        <v>0</v>
      </c>
      <c r="KU132" s="6">
        <f>COUNTIFS(Table34[Country],Tabela1[[#This Row],[Country]],Table34[49kg Classification],"&gt;0")</f>
        <v>0</v>
      </c>
      <c r="KV132" s="6">
        <f>COUNTIFS(Table34[Country],Tabela1[[#This Row],[Country]],Table34[57kg Classification],"&gt;0")</f>
        <v>0</v>
      </c>
      <c r="KW132" s="6">
        <f>COUNTIFS(Table34[Country],Tabela1[[#This Row],[Country]],Table34[67kg Classification],"&gt;0")</f>
        <v>0</v>
      </c>
      <c r="KX132" s="6">
        <f>COUNTIFS(Table34[Country],Tabela1[[#This Row],[Country]],Table34[Plus 67kg Classification],"&gt;0")</f>
        <v>0</v>
      </c>
      <c r="KY132" s="6">
        <f>COUNTIFS(Table57[Country],Tabela1[[#This Row],[Country]],Table57[Classification],"&gt;0")</f>
        <v>0</v>
      </c>
      <c r="KZ132" s="6">
        <f>COUNTIFS(Table58[Country],Tabela1[[#This Row],[Country]],Table58[Classification],"&gt;0")</f>
        <v>0</v>
      </c>
      <c r="LA132" s="6">
        <f>COUNTIFS(Table79[Country],Tabela1[[#This Row],[Country]],Table79[Men''s Classification],"&gt;0")</f>
        <v>0</v>
      </c>
      <c r="LB132" s="6">
        <f>COUNTIFS(Table79[Country],Tabela1[[#This Row],[Country]],Table79[Women''s Classification],"&gt;0")</f>
        <v>0</v>
      </c>
      <c r="LC132" s="6">
        <f>COUNTIFS(Table79[Country],Tabela1[[#This Row],[Country]],Table79[Mixed Classification],"&gt;0")</f>
        <v>0</v>
      </c>
      <c r="LD132" s="6">
        <f>COUNTIFS(Table65[Country],Tabela1[[#This Row],[Country]],Table65[Classification],"&gt;0")</f>
        <v>0</v>
      </c>
      <c r="LE132" s="6">
        <f>COUNTIFS(Table59[Country],Tabela1[[#This Row],[Country]],Table59[Classification],"&gt;0")</f>
        <v>0</v>
      </c>
      <c r="LF132" s="6">
        <f>COUNTIFS(Table87[Country],Tabela1[[#This Row],[Country]],Table87[Mixed Relay Classification],"&gt;0")</f>
        <v>0</v>
      </c>
      <c r="LG132" s="6">
        <f>COUNTIFS(Table91949698100[Country],Tabela1[[#This Row],[Country]],Table91949698100[Men''s Classification],"&gt;0")</f>
        <v>0</v>
      </c>
      <c r="LH132" s="6">
        <f>COUNTIFS(Table91949698100[Country],Tabela1[[#This Row],[Country]],Table91949698100[Women''s Classification],"&gt;0")</f>
        <v>0</v>
      </c>
      <c r="LI132" s="6">
        <f>COUNTIFS(Table91949698100102[Country],Tabela1[[#This Row],[Country]],Table91949698100102[Men''s Classification],"&gt;0")</f>
        <v>0</v>
      </c>
      <c r="LJ132" s="6">
        <f>COUNTIFS(Table91949698100102[Country],Tabela1[[#This Row],[Country]],Table91949698100102[Women''s Classification],"&gt;0")</f>
        <v>0</v>
      </c>
      <c r="LK132" s="6">
        <f>COUNTIFS(Table23[Country],Tabela1[[#This Row],[Country]],Table23[61kg Classification],"&gt;0")</f>
        <v>0</v>
      </c>
      <c r="LL132" s="6">
        <f>COUNTIFS(Table23[Country],Tabela1[[#This Row],[Country]],Table23[73kg Classification],"&gt;0")</f>
        <v>0</v>
      </c>
      <c r="LM132" s="6">
        <f>COUNTIFS(Table23[Country],Tabela1[[#This Row],[Country]],Table23[89kg Classification],"&gt;0")</f>
        <v>0</v>
      </c>
      <c r="LN132" s="6">
        <f>COUNTIFS(Table23[Country],Tabela1[[#This Row],[Country]],Table23[102kg Classification],"&gt;0")</f>
        <v>0</v>
      </c>
      <c r="LO132" s="6">
        <f>COUNTIFS(Table23[Country],Tabela1[[#This Row],[Country]],Table23[Plus 102kg Classification],"&gt;0")</f>
        <v>0</v>
      </c>
      <c r="LP132" s="6">
        <f>COUNTIFS(Table28[Country],Tabela1[[#This Row],[Country]],Table28[49kg Classification],"&gt;0")</f>
        <v>0</v>
      </c>
      <c r="LQ132" s="6">
        <f>COUNTIFS(Table28[Country],Tabela1[[#This Row],[Country]],Table28[59kg Classification],"&gt;0")</f>
        <v>0</v>
      </c>
      <c r="LR132" s="6">
        <f>COUNTIFS(Table28[Country],Tabela1[[#This Row],[Country]],Table28[71kg Classification],"&gt;0")</f>
        <v>0</v>
      </c>
      <c r="LS132" s="6">
        <f>COUNTIFS(Table28[Country],Tabela1[[#This Row],[Country]],Table28[81kg Classification],"&gt;0")</f>
        <v>0</v>
      </c>
      <c r="LT132" s="6">
        <f>COUNTIFS(Table28[Country],Tabela1[[#This Row],[Country]],Table28[Plus 81kg Classification],"&gt;0")</f>
        <v>0</v>
      </c>
      <c r="LU132" s="6">
        <f>COUNTIFS(Table24[Country],Tabela1[[#This Row],[Country]],Table24[Freestyle 57kg Classification],"&gt;0")</f>
        <v>0</v>
      </c>
      <c r="LV132" s="6">
        <f>COUNTIFS(Table24[Country],Tabela1[[#This Row],[Country]],Table24[Freestyle 65kg Classification],"&gt;0")</f>
        <v>0</v>
      </c>
      <c r="LW132" s="6">
        <f>COUNTIFS(Table24[Country],Tabela1[[#This Row],[Country]],Table24[Freestyle 74kg Classification],"&gt;0")</f>
        <v>0</v>
      </c>
      <c r="LX132" s="6">
        <f>COUNTIFS(Table24[Country],Tabela1[[#This Row],[Country]],Table24[Freestyle 86kg Classification],"&gt;0")</f>
        <v>0</v>
      </c>
      <c r="LY132" s="6">
        <f>COUNTIFS(Table24[Country],Tabela1[[#This Row],[Country]],Table24[Freestyle 97kg Classification],"&gt;0")</f>
        <v>0</v>
      </c>
      <c r="LZ132" s="6">
        <f>COUNTIFS(Table24[Country],Tabela1[[#This Row],[Country]],Table24[Freestyle 125kg Classification],"&gt;0")</f>
        <v>0</v>
      </c>
      <c r="MA132" s="6">
        <f>COUNTIFS(Table24[Country],Tabela1[[#This Row],[Country]],Table24[Greco-Roman 60kg Classification],"&gt;0")</f>
        <v>0</v>
      </c>
      <c r="MB132" s="6">
        <f>COUNTIFS(Table24[Country],Tabela1[[#This Row],[Country]],Table24[Greco-Roman 67kg Classification],"&gt;0")</f>
        <v>0</v>
      </c>
      <c r="MC132" s="6">
        <f>COUNTIFS(Table24[Country],Tabela1[[#This Row],[Country]],Table24[Greco-Roman 77kg Classification],"&gt;0")</f>
        <v>0</v>
      </c>
      <c r="MD132" s="6">
        <f>COUNTIFS(Table24[Country],Tabela1[[#This Row],[Country]],Table24[Greco-Roman 87kg Classification],"&gt;0")</f>
        <v>0</v>
      </c>
      <c r="ME132" s="6">
        <f>COUNTIFS(Table24[Country],Tabela1[[#This Row],[Country]],Table24[Greco-Roman 97kg Classification],"&gt;0")</f>
        <v>0</v>
      </c>
      <c r="MF132" s="6">
        <f>COUNTIFS(Table24[Country],Tabela1[[#This Row],[Country]],Table24[Greco-Roman 130kg Classification],"&gt;0")</f>
        <v>0</v>
      </c>
      <c r="MG132" s="6">
        <f>COUNTIFS(Table31[Country],Tabela1[[#This Row],[Country]],Table31[50kg Classification],"&gt;0")</f>
        <v>0</v>
      </c>
      <c r="MH132" s="6">
        <f>COUNTIFS(Table31[Country],Tabela1[[#This Row],[Country]],Table31[53kg Classification],"&gt;0")</f>
        <v>0</v>
      </c>
      <c r="MI132" s="6">
        <f>COUNTIFS(Table31[Country],Tabela1[[#This Row],[Country]],Table31[57kg Classification],"&gt;0")</f>
        <v>0</v>
      </c>
      <c r="MJ132" s="6">
        <f>COUNTIFS(Table31[Country],Tabela1[[#This Row],[Country]],Table31[62kg Classification],"&gt;0")</f>
        <v>0</v>
      </c>
      <c r="MK132" s="6">
        <f>COUNTIFS(Table31[Country],Tabela1[[#This Row],[Country]],Table31[68kg Classification],"&gt;0")</f>
        <v>0</v>
      </c>
      <c r="ML132" s="6">
        <f>COUNTIFS(Table31[Country],Tabela1[[#This Row],[Country]],Table31[76kg Classification],"&gt;0")</f>
        <v>0</v>
      </c>
      <c r="MM132" s="6">
        <f>COUNTIFS(Table102[Country],Tabela1[[#This Row],[Country]],Table102[Downhill Classification],"&gt;0")</f>
        <v>0</v>
      </c>
      <c r="MN132" s="6">
        <f>COUNTIFS(Table102105[Country],Tabela1[[#This Row],[Country]],Table102105[Downhill Classification],"&gt;0")</f>
        <v>0</v>
      </c>
      <c r="MO132" s="6">
        <f>COUNTIFS(Table102[Country],Tabela1[[#This Row],[Country]],Table102[Giant Slalom Classification],"&gt;0")</f>
        <v>0</v>
      </c>
      <c r="MP132" s="6">
        <f>COUNTIFS(Table102105[Country],Tabela1[[#This Row],[Country]],Table102105[Giant Slalom Classification],"&gt;0")</f>
        <v>0</v>
      </c>
      <c r="MQ132" s="6">
        <f>COUNTIFS(Table102[Country],Tabela1[[#This Row],[Country]],Table102[Slalom Classification],"&gt;0")</f>
        <v>0</v>
      </c>
      <c r="MR132" s="6">
        <f>COUNTIFS(Table102105[Country],Tabela1[[#This Row],[Country]],Table102105[Slalom Classification],"&gt;0")</f>
        <v>0</v>
      </c>
      <c r="MS132" s="6">
        <f>COUNTIFS(Table102[Country],Tabela1[[#This Row],[Country]],Table102[Super-G Classification],"&gt;0")</f>
        <v>0</v>
      </c>
      <c r="MT132" s="6">
        <f>COUNTIFS(Table102105[Country],Tabela1[[#This Row],[Country]],Table102105[Super-G Classification],"&gt;0")</f>
        <v>0</v>
      </c>
      <c r="MU132" s="6">
        <f>COUNTIFS(Table105[Country],Tabela1[[#This Row],[Country]],Table105[Men''s Combined Classification],"&gt;0")</f>
        <v>0</v>
      </c>
      <c r="MV132" s="6">
        <f>COUNTIFS(Table105[Country],Tabela1[[#This Row],[Country]],Table105[Women''s Combined Classification],"&gt;0")</f>
        <v>0</v>
      </c>
      <c r="MW132" s="6">
        <f>COUNTIFS(Table106[Country],Tabela1[[#This Row],[Country]],Table106[Individual Classification],"&gt;0")</f>
        <v>0</v>
      </c>
      <c r="MX132" s="6">
        <f>COUNTIFS(Table106109[Country],Tabela1[[#This Row],[Country]],Table106109[Individual Classification],"&gt;0")</f>
        <v>0</v>
      </c>
      <c r="MY132" s="6">
        <f>COUNTIFS(Table106[Country],Tabela1[[#This Row],[Country]],Table106[Mass Start Classification],"&gt;0")</f>
        <v>0</v>
      </c>
      <c r="MZ132" s="6">
        <f>COUNTIFS(Table106109[Country],Tabela1[[#This Row],[Country]],Table106109[Mass Start Classification],"&gt;0")</f>
        <v>0</v>
      </c>
      <c r="NA132" s="6">
        <f>COUNTIFS(Table106[Country],Tabela1[[#This Row],[Country]],Table106[Pursuit Classification],"&gt;0")</f>
        <v>0</v>
      </c>
      <c r="NB132" s="6">
        <f>COUNTIFS(Table106109[Country],Tabela1[[#This Row],[Country]],Table106109[Pursuit Classification],"&gt;0")</f>
        <v>0</v>
      </c>
      <c r="NC132" s="6">
        <f>COUNTIFS(Table106[Country],Tabela1[[#This Row],[Country]],Table106[Sprint Classification],"&gt;0")</f>
        <v>0</v>
      </c>
      <c r="ND132" s="6">
        <f>COUNTIFS(Table106109[Country],Tabela1[[#This Row],[Country]],Table106109[Sprint Classification],"&gt;0")</f>
        <v>0</v>
      </c>
      <c r="NE132" s="6">
        <f>COUNTIFS(Table109[Country],Tabela1[[#This Row],[Country]],Table109[Men''s Relay Classification],"&gt;0")</f>
        <v>0</v>
      </c>
      <c r="NF132" s="6">
        <f>COUNTIFS(Table109[Country],Tabela1[[#This Row],[Country]],Table109[Women''s Relay Classification],"&gt;0")</f>
        <v>0</v>
      </c>
      <c r="NG132" s="6">
        <f>COUNTIFS(Table109[Country],Tabela1[[#This Row],[Country]],Table109[Mixed Relay Classification],"&gt;0")</f>
        <v>0</v>
      </c>
      <c r="NH132" s="6">
        <f>COUNTIFS(Table110[Country],Tabela1[[#This Row],[Country]],Table110[Monobob Classification],"&gt;0")</f>
        <v>0</v>
      </c>
      <c r="NI132" s="6">
        <f>COUNTIFS(Table111[Country],Tabela1[[#This Row],[Country]],Table111[Men''s Classification],"&gt;0")</f>
        <v>0</v>
      </c>
      <c r="NJ132" s="6">
        <f>COUNTIFS(Table111[Country],Tabela1[[#This Row],[Country]],Table111[Women''s Classification],"&gt;0")</f>
        <v>0</v>
      </c>
      <c r="NK132" s="6">
        <f>COUNTIFS(Table112[Country],Tabela1[[#This Row],[Country]],Table112[Men''s Four Classification],"&gt;0")</f>
        <v>0</v>
      </c>
      <c r="NL132" s="6">
        <f>COUNTIFS(Table113[Country],Tabela1[[#This Row],[Country]],Table113[Classical Classification],"&gt;0")</f>
        <v>0</v>
      </c>
      <c r="NM132" s="6">
        <f>COUNTIFS(Table113116[Country],Tabela1[[#This Row],[Country]],Table113116[Classical Classification],"&gt;0")</f>
        <v>0</v>
      </c>
      <c r="NN132" s="6">
        <f>COUNTIFS(Table113[Country],Tabela1[[#This Row],[Country]],Table113[Freestyle Classification],"&gt;0")</f>
        <v>0</v>
      </c>
      <c r="NO132" s="6">
        <f>COUNTIFS(Table113116[Country],Tabela1[[#This Row],[Country]],Table113116[Freestyle Classification],"&gt;0")</f>
        <v>0</v>
      </c>
      <c r="NP132" s="6">
        <f>COUNTIFS(Table117[Country],Tabela1[[#This Row],[Country]],Table117[Men''s Relay Classification],"&gt;0")</f>
        <v>0</v>
      </c>
      <c r="NQ132" s="6">
        <f>COUNTIFS(Table117[Country],Tabela1[[#This Row],[Country]],Table117[Women''s Relay Classification],"&gt;0")</f>
        <v>0</v>
      </c>
      <c r="NR132" s="6">
        <f>COUNTIFS(Table113[Country],Tabela1[[#This Row],[Country]],Table113[Skiathlon Classification],"&gt;0")</f>
        <v>0</v>
      </c>
      <c r="NS132" s="6">
        <f>COUNTIFS(Table113116[Country],Tabela1[[#This Row],[Country]],Table113116[Skiathlon Classification],"&gt;0")</f>
        <v>0</v>
      </c>
      <c r="NT132" s="6">
        <f>COUNTIFS(Table113[Country],Tabela1[[#This Row],[Country]],Table113[Sprint Classification],"&gt;0")</f>
        <v>0</v>
      </c>
      <c r="NU132" s="6">
        <f>COUNTIFS(Table113116[Country],Tabela1[[#This Row],[Country]],Table113116[Sprint Classification],"&gt;0")</f>
        <v>0</v>
      </c>
      <c r="NV132" s="6">
        <f>COUNTIFS(Table116[Country],Tabela1[[#This Row],[Country]],Table116[Men''s Team Sprint Classification],"&gt;0")</f>
        <v>0</v>
      </c>
      <c r="NW132" s="6">
        <f>COUNTIFS(Table116[Country],Tabela1[[#This Row],[Country]],Table116[Women''s Team Sprint Classification],"&gt;0")</f>
        <v>0</v>
      </c>
      <c r="NX132" s="6">
        <f>COUNTIFS(Table119[Country],Tabela1[[#This Row],[Country]],Table119[Men''s Classification],"&gt;0")</f>
        <v>0</v>
      </c>
      <c r="NY132" s="6">
        <f>COUNTIFS(Table119[Country],Tabela1[[#This Row],[Country]],Table119[Women''s Classification],"&gt;0")</f>
        <v>0</v>
      </c>
      <c r="NZ132" s="6">
        <f>COUNTIFS(Table118[Country],Tabela1[[#This Row],[Country]],Table118[Mixed Classification],"&gt;0")</f>
        <v>0</v>
      </c>
      <c r="OA132" s="6">
        <f>COUNTIFS(Table120[Country],Tabela1[[#This Row],[Country]],Table120[Classification],"&gt;0")</f>
        <v>0</v>
      </c>
      <c r="OB132" s="6">
        <f>COUNTIFS(Table120123[Country],Tabela1[[#This Row],[Country]],Table120123[Classification],"&gt;0")</f>
        <v>0</v>
      </c>
      <c r="OC132" s="6">
        <f>COUNTIFS(Table123[Country],Tabela1[[#This Row],[Country]],Table123[Ice Dance Classification],"&gt;0")</f>
        <v>0</v>
      </c>
      <c r="OD132" s="6">
        <f>COUNTIFS(Table123[Country],Tabela1[[#This Row],[Country]],Table123[Pair Skating Classification],"&gt;0")</f>
        <v>0</v>
      </c>
      <c r="OE132" s="6">
        <f>COUNTIFS(Table124[Country],Tabela1[[#This Row],[Country]],Table124[Mixed Classification],"&gt;0")</f>
        <v>0</v>
      </c>
      <c r="OF132" s="6">
        <f>COUNTIFS(Table125[Country],Tabela1[[#This Row],[Country]],Table125[Aerials Classification],"&gt;0")</f>
        <v>0</v>
      </c>
      <c r="OG132" s="6">
        <f>COUNTIFS(Table125128[Country],Tabela1[[#This Row],[Country]],Table125128[Aerials Classification],"&gt;0")</f>
        <v>0</v>
      </c>
      <c r="OH132" s="6">
        <f>COUNTIFS(Table128[Country],Tabela1[[#This Row],[Country]],Table128[Mixed Aerials Classification],"&gt;0")</f>
        <v>0</v>
      </c>
      <c r="OI132" s="6">
        <f>COUNTIFS(Table125[Country],Tabela1[[#This Row],[Country]],Table125[Big Air Classification],"&gt;0")</f>
        <v>0</v>
      </c>
      <c r="OJ132" s="6">
        <f>COUNTIFS(Table125128[Country],Tabela1[[#This Row],[Country]],Table125128[Big Air Classification],"&gt;0")</f>
        <v>0</v>
      </c>
      <c r="OK132" s="6">
        <f>COUNTIFS(Table125[Country],Tabela1[[#This Row],[Country]],Table125[Dual Moguls Classification],"&gt;0")</f>
        <v>0</v>
      </c>
      <c r="OL132" s="6">
        <f>COUNTIFS(Table125128[Country],Tabela1[[#This Row],[Country]],Table125128[Dual Moguls Classification],"&gt;0")</f>
        <v>0</v>
      </c>
      <c r="OM132" s="6">
        <f>COUNTIFS(Table125[Country],Tabela1[[#This Row],[Country]],Table125[Halfpipe Classification],"&gt;0")</f>
        <v>0</v>
      </c>
      <c r="ON132" s="6">
        <f>COUNTIFS(Table125128[Country],Tabela1[[#This Row],[Country]],Table125128[Halfpipe Classification],"&gt;0")</f>
        <v>0</v>
      </c>
      <c r="OO132" s="6">
        <f>COUNTIFS(Table125[Country],Tabela1[[#This Row],[Country]],Table125[Moguls Classification],"&gt;0")</f>
        <v>0</v>
      </c>
      <c r="OP132" s="6">
        <f>COUNTIFS(Table125128[Country],Tabela1[[#This Row],[Country]],Table125128[Moguls Classification],"&gt;0")</f>
        <v>0</v>
      </c>
      <c r="OQ132" s="6">
        <f>COUNTIFS(Table125[Country],Tabela1[[#This Row],[Country]],Table125[Ski Cross Classification],"&gt;0")</f>
        <v>0</v>
      </c>
      <c r="OR132" s="6">
        <f>COUNTIFS(Table125128[Country],Tabela1[[#This Row],[Country]],Table125128[Ski Cross Classification],"&gt;0")</f>
        <v>0</v>
      </c>
      <c r="OS132" s="6">
        <f>COUNTIFS(Table125[Country],Tabela1[[#This Row],[Country]],Table125[Slopestyle Classification],"&gt;0")</f>
        <v>0</v>
      </c>
      <c r="OT132" s="6">
        <f>COUNTIFS(Table125128[Country],Tabela1[[#This Row],[Country]],Table125128[Slopestyle Classification],"&gt;0")</f>
        <v>0</v>
      </c>
      <c r="OU132" s="6">
        <f>COUNTIFS(Table119131[Country],Tabela1[[#This Row],[Country]],Table119131[Men''s Classification],"&gt;0")</f>
        <v>0</v>
      </c>
      <c r="OV132" s="6">
        <f>COUNTIFS(Table119131[Country],Tabela1[[#This Row],[Country]],Table119131[Women''s Classification],"&gt;0")</f>
        <v>0</v>
      </c>
      <c r="OW132" s="6">
        <f>COUNTIFS(Table131[Country],Tabela1[[#This Row],[Country]],Table131[Classification],"&gt;0")</f>
        <v>0</v>
      </c>
      <c r="OX132" s="6">
        <f>COUNTIFS(Table131134[Country],Tabela1[[#This Row],[Country]],Table131134[Classification],"&gt;0")</f>
        <v>0</v>
      </c>
      <c r="OY132" s="6">
        <f>COUNTIFS(Table134[Country],Tabela1[[#This Row],[Country]],Table134[Men''s Classification],"&gt;0")</f>
        <v>0</v>
      </c>
      <c r="OZ132" s="6">
        <f>COUNTIFS(Table134[Country],Tabela1[[#This Row],[Country]],Table134[Women''s Classification],"&gt;0")</f>
        <v>0</v>
      </c>
      <c r="PA132" s="6">
        <f>COUNTIFS(Table135[Country],Tabela1[[#This Row],[Country]],Table135[Mixed Relay Classification],"&gt;0")</f>
        <v>0</v>
      </c>
      <c r="PB132" s="6">
        <f>COUNTIFS(Table136[Country],Tabela1[[#This Row],[Country]],Table136[Individual Classification],"&gt;0")</f>
        <v>0</v>
      </c>
      <c r="PC132" s="6">
        <f>COUNTIFS(Table136[Country],Tabela1[[#This Row],[Country]],Table136[Sprint Classification],"&gt;0")</f>
        <v>0</v>
      </c>
      <c r="PD132" s="6">
        <f>COUNTIFS(Table137[Country],Tabela1[[#This Row],[Country]],Table137[Men''s Team Sprint Large Hill Classification],"&gt;0")</f>
        <v>0</v>
      </c>
      <c r="PE132" s="6">
        <f>COUNTIFS(Table138[Country],Tabela1[[#This Row],[Country]],Table138[500m Classification],"&gt;0")</f>
        <v>0</v>
      </c>
      <c r="PF132" s="6">
        <f>COUNTIFS(Table138141[Country],Tabela1[[#This Row],[Country]],Table138141[500m Classification],"&gt;0")</f>
        <v>0</v>
      </c>
      <c r="PG132" s="6">
        <f>COUNTIFS(Table138[Country],Tabela1[[#This Row],[Country]],Table138[1000m Classification],"&gt;0")</f>
        <v>0</v>
      </c>
      <c r="PH132" s="6">
        <f>COUNTIFS(Table138141[Country],Tabela1[[#This Row],[Country]],Table138141[1000m Classification],"&gt;0")</f>
        <v>0</v>
      </c>
      <c r="PI132" s="6">
        <f>COUNTIFS(Table138[Country],Tabela1[[#This Row],[Country]],Table138[1500m Classification],"&gt;0")</f>
        <v>0</v>
      </c>
      <c r="PJ132" s="6">
        <f>COUNTIFS(Table138141[Country],Tabela1[[#This Row],[Country]],Table138141[1500m Classification],"&gt;0")</f>
        <v>0</v>
      </c>
      <c r="PK132" s="6">
        <f>COUNTIFS(Table141[Country],Tabela1[[#This Row],[Country]],Table141[Men''s 5000m Relay Classification],"&gt;0")</f>
        <v>0</v>
      </c>
      <c r="PL132" s="6">
        <f>COUNTIFS(Table141[Country],Tabela1[[#This Row],[Country]],Table141[Women''s 3000m Relay Classification],"&gt;0")</f>
        <v>0</v>
      </c>
      <c r="PM132" s="6">
        <f>COUNTIFS(Table141[Country],Tabela1[[#This Row],[Country]],Table141[Mixed 2000m Relay Classification],"&gt;0")</f>
        <v>0</v>
      </c>
      <c r="PN132" s="6">
        <f>COUNTIFS(Table142[Country],Tabela1[[#This Row],[Country]],Table142[Classification],"&gt;0")</f>
        <v>0</v>
      </c>
      <c r="PO132" s="6">
        <f>COUNTIFS(Table142145[Country],Tabela1[[#This Row],[Country]],Table142145[Classification],"&gt;0")</f>
        <v>0</v>
      </c>
      <c r="PP132" s="6">
        <f>COUNTIFS(Tabela15[Country],Tabela1[[#This Row],[Country]],Tabela15[Mixed Team Classification],"&gt;0")</f>
        <v>0</v>
      </c>
      <c r="PQ132" s="6">
        <f>COUNTIFS(Table145[Country],Tabela1[[#This Row],[Country]],Table145[Large Hill Classification],"&gt;0")</f>
        <v>0</v>
      </c>
      <c r="PR132" s="6">
        <f>COUNTIFS(Table145[Country],Tabela1[[#This Row],[Country]],Table145[Normal Hill Classification],"&gt;0")</f>
        <v>0</v>
      </c>
      <c r="PS132" s="6">
        <f>COUNTIFS(Table145148[Country],Tabela1[[#This Row],[Country]],Table145148[Large Hill Classification],"&gt;0")</f>
        <v>0</v>
      </c>
      <c r="PT132" s="6">
        <f>COUNTIFS(Table145148[Country],Tabela1[[#This Row],[Country]],Table145148[Normal Hill Classification],"&gt;0")</f>
        <v>0</v>
      </c>
      <c r="PU132" s="6">
        <f>COUNTIFS(Table148[Country],Tabela1[[#This Row],[Country]],Table148[Men''s Super Team Classification],"&gt;0")</f>
        <v>0</v>
      </c>
      <c r="PV132" s="6">
        <f>COUNTIFS(Tabela114[Country],Tabela1[[#This Row],[Country]],Tabela114[Mixed Normal Hill Classification],"&gt;0")</f>
        <v>0</v>
      </c>
      <c r="PW132" s="6">
        <f>COUNTIFS(Tabela50[Country],Tabela1[[#This Row],[Country]],Tabela50[Sprint Classification],"&gt;0")</f>
        <v>0</v>
      </c>
      <c r="PX132" s="6">
        <f>COUNTIFS(Tabela50101[Country],Tabela1[[#This Row],[Country]],Tabela50101[Sprint Classification],"&gt;0")</f>
        <v>0</v>
      </c>
      <c r="PY132" s="6">
        <f>COUNTIFS(Tabela103[Country],Tabela1[[#This Row],[Country]],Tabela103[Mixed Relay Classification],"&gt;0")</f>
        <v>0</v>
      </c>
      <c r="PZ132" s="6">
        <f>COUNTIFS(Table149[Country],Tabela1[[#This Row],[Country]],Table149[Big Air Classification],"&gt;0")</f>
        <v>0</v>
      </c>
      <c r="QA132" s="6">
        <f>COUNTIFS(Table149152[Country],Tabela1[[#This Row],[Country]],Table149152[Big Air Classification],"&gt;0")</f>
        <v>0</v>
      </c>
      <c r="QB132" s="6">
        <f>COUNTIFS(Table149[Country],Tabela1[[#This Row],[Country]],Table149[Halfpipe Classification],"&gt;0")</f>
        <v>0</v>
      </c>
      <c r="QC132" s="6">
        <f>COUNTIFS(Table149152[Country],Tabela1[[#This Row],[Country]],Table149152[Halfpipe Classification],"&gt;0")</f>
        <v>0</v>
      </c>
      <c r="QD132" s="6">
        <f>COUNTIFS(Table149[Country],Tabela1[[#This Row],[Country]],Table149[Parallel Giant Slalom Classification],"&gt;0")</f>
        <v>0</v>
      </c>
      <c r="QE132" s="6">
        <f>COUNTIFS(Table149152[Country],Tabela1[[#This Row],[Country]],Table149152[Parallel Giant Slalom Classification],"&gt;0")</f>
        <v>0</v>
      </c>
      <c r="QF132" s="6">
        <f>COUNTIFS(Table149[Country],Tabela1[[#This Row],[Country]],Table149[Slopestyle Classification],"&gt;0")</f>
        <v>0</v>
      </c>
      <c r="QG132" s="6">
        <f>COUNTIFS(Table149152[Country],Tabela1[[#This Row],[Country]],Table149152[Slopestyle Classification],"&gt;0")</f>
        <v>0</v>
      </c>
      <c r="QH132" s="6">
        <f>COUNTIFS(Table149[Country],Tabela1[[#This Row],[Country]],Table149[Snowboard Cross Classification],"&gt;0")</f>
        <v>0</v>
      </c>
      <c r="QI132" s="6">
        <f>COUNTIFS(Table149152[Country],Tabela1[[#This Row],[Country]],Table149152[Snowboard Cross Classification],"&gt;0")</f>
        <v>0</v>
      </c>
      <c r="QJ132" s="6">
        <f>COUNTIFS(Table153[Country],Tabela1[[#This Row],[Country]],Table153[Mixed Team Snowboard Cross Classification],"&gt;0")</f>
        <v>0</v>
      </c>
      <c r="QK132" s="6">
        <f>COUNTIFS(Table154[Country],Tabela1[[#This Row],[Country]],Table154[500m Classification],"&gt;0")</f>
        <v>0</v>
      </c>
      <c r="QL132" s="6">
        <f>COUNTIFS(Table154157[Country],Tabela1[[#This Row],[Country]],Table154157[500m Classification],"&gt;0")</f>
        <v>0</v>
      </c>
      <c r="QM132" s="6">
        <f>COUNTIFS(Table154[Country],Tabela1[[#This Row],[Country]],Table154[1000m Classification],"&gt;0")</f>
        <v>0</v>
      </c>
      <c r="QN132" s="6">
        <f>COUNTIFS(Table154157[Country],Tabela1[[#This Row],[Country]],Table154157[1000m Classification],"&gt;0")</f>
        <v>0</v>
      </c>
      <c r="QO132" s="6">
        <f>COUNTIFS(Table154[Country],Tabela1[[#This Row],[Country]],Table154[1500m Classification],"&gt;0")</f>
        <v>0</v>
      </c>
      <c r="QP132" s="6">
        <f>COUNTIFS(Table154157[Country],Tabela1[[#This Row],[Country]],Table154157[1500m Classification],"&gt;0")</f>
        <v>0</v>
      </c>
      <c r="QQ132" s="6">
        <f>COUNTIFS(Table154157[Country],Tabela1[[#This Row],[Country]],Table154157[3000m Classification],"&gt;0")</f>
        <v>0</v>
      </c>
      <c r="QR132" s="6">
        <f>COUNTIFS(Table154[Country],Tabela1[[#This Row],[Country]],Table154[5000m Classification],"&gt;0")</f>
        <v>0</v>
      </c>
      <c r="QS132" s="6">
        <f>COUNTIFS(Table154157[Country],Tabela1[[#This Row],[Country]],Table154157[5000m Classification],"&gt;0")</f>
        <v>0</v>
      </c>
      <c r="QT132" s="6">
        <f>COUNTIFS(Table154[Country],Tabela1[[#This Row],[Country]],Table154[10000m Classification],"&gt;0")</f>
        <v>0</v>
      </c>
      <c r="QU132" s="6">
        <f>COUNTIFS(Table154[Country],Tabela1[[#This Row],[Country]],Table154[Mass Start Classification],"&gt;0")</f>
        <v>0</v>
      </c>
      <c r="QV132" s="6">
        <f>COUNTIFS(Table154157[Country],Tabela1[[#This Row],[Country]],Table154157[Mass Start Classification],"&gt;0")</f>
        <v>0</v>
      </c>
      <c r="QW132" s="6">
        <f>COUNTIFS(Table157[Country],Tabela1[[#This Row],[Country]],Table157[Men''s Pursuit Classification],"&gt;0")</f>
        <v>0</v>
      </c>
      <c r="QX132" s="6">
        <f>COUNTIFS(Table157[Country],Tabela1[[#This Row],[Country]],Table157[Women''s Pursuit Classification],"&gt;0")</f>
        <v>0</v>
      </c>
      <c r="QY132" s="4" t="s">
        <v>431</v>
      </c>
    </row>
    <row r="133" spans="1:467" x14ac:dyDescent="0.3">
      <c r="A133" s="6">
        <v>132</v>
      </c>
      <c r="B133" s="6" t="s">
        <v>472</v>
      </c>
      <c r="C133" t="e" vm="132">
        <f>IF(ISBLANK(Tabela1[[#This Row],[Image Link]]), "", _xlfn.IMAGE(Tabela1[[#This Row],[Image Link]],1,1))</f>
        <v>#VALUE!</v>
      </c>
      <c r="D133" s="6">
        <f>SUM(Tabela1[[#This Row],[Archery - Men''s Individual Recurve]:[Speed Skating - Women''s Team Pursuit]])</f>
        <v>2</v>
      </c>
      <c r="E133" s="6">
        <f>COUNTIF(Tabela1[[#This Row],[Archery - Men''s Individual Recurve]:[Speed Skating - Women''s Team Pursuit]],"&gt;0")</f>
        <v>2</v>
      </c>
      <c r="F133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33" s="6">
        <f>SUM(Tabela1[[#This Row],[Archery - Men''s Individual Recurve]:[Wrestling - Women''s Freestyle 76kg]])</f>
        <v>2</v>
      </c>
      <c r="H133" s="6">
        <f>SUM(Tabela1[[#This Row],[Alpine Skiing - Men''s Downhill]:[Speed Skating - Women''s Team Pursuit]])</f>
        <v>0</v>
      </c>
      <c r="I133" s="6">
        <f>Tabela1[[#This Row],[Summer Gold Medals]]+Tabela1[[#This Row],[Winter Gold Medals]]</f>
        <v>0</v>
      </c>
      <c r="J133" s="6">
        <f>Tabela1[[#This Row],[Summer Silver Medals]]+Tabela1[[#This Row],[Winter Silver Medals]]</f>
        <v>0</v>
      </c>
      <c r="K133" s="6">
        <f>Tabela1[[#This Row],[Summer Bronze Medals]]+Tabela1[[#This Row],[Winter Bronze Medals]]</f>
        <v>0</v>
      </c>
      <c r="L133" s="6">
        <f>SUM(Tabela1[[#This Row],[Total Gold Medals]:[Total Bronze Medals]])</f>
        <v>0</v>
      </c>
      <c r="M133" s="6"/>
      <c r="N133" s="6"/>
      <c r="O133" s="6"/>
      <c r="P133" s="6">
        <f>SUM(Tabela1[[#This Row],[Summer Gold Medals]:[Summer Bronze Medals]])</f>
        <v>0</v>
      </c>
      <c r="Q133" s="6"/>
      <c r="R133" s="6"/>
      <c r="S133" s="6"/>
      <c r="T133" s="6">
        <f>Tabela1[[#This Row],[Winter Gold Medals]]+Tabela1[[#This Row],[Winter Silver Medals]]+Tabela1[[#This Row],[Winter Bronze Medals]]</f>
        <v>0</v>
      </c>
      <c r="U133" s="7">
        <f>Tabela1[[#This Row],[Total Medals]]/Tabela1[[#This Row],[Total Quotas]]</f>
        <v>0</v>
      </c>
      <c r="V133" s="6">
        <f>COUNTIFS(Table3[Country],Tabela1[[#This Row],[Country]],Table3[Recurve Classification],"&gt;0")</f>
        <v>0</v>
      </c>
      <c r="W133" s="6">
        <f>COUNTIFS(Table33[Country],Tabela1[[#This Row],[Country]],Table33[Recurve Classification],"&gt;0")</f>
        <v>0</v>
      </c>
      <c r="X133" s="6">
        <f>COUNTIFS(Table35[Country],Tabela1[[#This Row],[Country]],Table35[Men''s Team Recurve Classification],"&gt;0")</f>
        <v>0</v>
      </c>
      <c r="Y133" s="6">
        <f>COUNTIFS(Table35[Country],Tabela1[[#This Row],[Country]],Table35[Women''s Team Recurve Classification],"&gt;0")</f>
        <v>0</v>
      </c>
      <c r="Z133" s="6">
        <f>COUNTIFS(Tabela88[Country],Tabela1[[#This Row],[Country]],Tabela88[Mixed Team Recurve Classification],"&gt;0")</f>
        <v>0</v>
      </c>
      <c r="AA133" s="6">
        <f>COUNTIFS(Table36[Country],Tabela1[[#This Row],[Country]],Table36[Classification],"&gt;0")</f>
        <v>0</v>
      </c>
      <c r="AB133" s="6">
        <f>COUNTIFS(Table37[Country],Tabela1[[#This Row],[Country]],Table37[Classification],"&gt;0")</f>
        <v>0</v>
      </c>
      <c r="AC133" s="6">
        <f>COUNTIFS(Table4[Country],Tabela1[[#This Row],[Country]],Table4[100m Classification],"&gt;0")</f>
        <v>0</v>
      </c>
      <c r="AD133" s="6">
        <f>COUNTIFS(Table5[Country],Tabela1[[#This Row],[Country]],Table5[100m Classification],"&gt;0")</f>
        <v>0</v>
      </c>
      <c r="AE133" s="6">
        <f>COUNTIFS(Table4[Country],Tabela1[[#This Row],[Country]],Table4[200m Classification],"&gt;0")</f>
        <v>0</v>
      </c>
      <c r="AF133" s="6">
        <f>COUNTIFS(Table5[Country],Tabela1[[#This Row],[Country]],Table5[200m Classification],"&gt;0")</f>
        <v>0</v>
      </c>
      <c r="AG133" s="6">
        <f>COUNTIFS(Table4[Country],Tabela1[[#This Row],[Country]],Table4[400m Classification],"&gt;0")</f>
        <v>0</v>
      </c>
      <c r="AH133" s="6">
        <f>COUNTIFS(Table5[Country],Tabela1[[#This Row],[Country]],Table5[400m Classification],"&gt;0")</f>
        <v>0</v>
      </c>
      <c r="AI133" s="6">
        <f>COUNTIFS(Table4[Country],Tabela1[[#This Row],[Country]],Table4[800m Classification],"&gt;0")</f>
        <v>0</v>
      </c>
      <c r="AJ133" s="6">
        <f>COUNTIFS(Table5[Country],Tabela1[[#This Row],[Country]],Table5[800m Classification],"&gt;0")</f>
        <v>0</v>
      </c>
      <c r="AK133" s="6">
        <f>COUNTIFS(Table4[Country],Tabela1[[#This Row],[Country]],Table4[1500m Classification],"&gt;0")</f>
        <v>0</v>
      </c>
      <c r="AL133" s="6">
        <f>COUNTIFS(Table5[Country],Tabela1[[#This Row],[Country]],Table5[1500m Classification],"&gt;0")</f>
        <v>0</v>
      </c>
      <c r="AM133" s="6">
        <f>COUNTIFS(Table4[Country],Tabela1[[#This Row],[Country]],Table4[5000m Classification],"&gt;0")</f>
        <v>0</v>
      </c>
      <c r="AN133" s="6">
        <f>COUNTIFS(Table5[Country],Tabela1[[#This Row],[Country]],Table5[5000m Classification],"&gt;0")</f>
        <v>0</v>
      </c>
      <c r="AO133" s="6">
        <f>COUNTIFS(Table4[Country],Tabela1[[#This Row],[Country]],Table4[10000m Classification],"&gt;0")</f>
        <v>0</v>
      </c>
      <c r="AP133" s="6">
        <f>COUNTIFS(Table5[Country],Tabela1[[#This Row],[Country]],Table5[10000m Classification],"&gt;0")</f>
        <v>0</v>
      </c>
      <c r="AQ133" s="6">
        <f>COUNTIFS(Table4[Country],Tabela1[[#This Row],[Country]],Table4[110m Hurdles Classification],"&gt;0")</f>
        <v>0</v>
      </c>
      <c r="AR133" s="6">
        <f>COUNTIFS(Table5[Country],Tabela1[[#This Row],[Country]],Table5[100m Hurdles Classification],"&gt;0")</f>
        <v>0</v>
      </c>
      <c r="AS133" s="6">
        <f>COUNTIFS(Table4[Country],Tabela1[[#This Row],[Country]],Table4[400m Hurdles Classification],"&gt;0")</f>
        <v>0</v>
      </c>
      <c r="AT133" s="6">
        <f>COUNTIFS(Table5[Country],Tabela1[[#This Row],[Country]],Table5[400m Hurdles Classification],"&gt;0")</f>
        <v>0</v>
      </c>
      <c r="AU133" s="6">
        <f>COUNTIFS(Table4[Country],Tabela1[[#This Row],[Country]],Table4[3000m Steeplechase Classification],"&gt;0")</f>
        <v>0</v>
      </c>
      <c r="AV133" s="6">
        <f>COUNTIFS(Table5[Country],Tabela1[[#This Row],[Country]],Table5[3000m Steeplechase Classification],"&gt;0")</f>
        <v>0</v>
      </c>
      <c r="AW133" s="6">
        <f>COUNTIFS(Table27[Country],Tabela1[[#This Row],[Country]],Table27[Men''s 4x100m Relay Classification],"&gt;0")</f>
        <v>0</v>
      </c>
      <c r="AX133" s="6">
        <f>COUNTIFS(Table27[Country],Tabela1[[#This Row],[Country]],Table27[Women''s 4x100m Relay Classification],"&gt;0")</f>
        <v>0</v>
      </c>
      <c r="AY133" s="6">
        <f>COUNTIFS(Table27[Country],Tabela1[[#This Row],[Country]],Table27[Men''s 4x400m Relay Classification],"&gt;0")</f>
        <v>0</v>
      </c>
      <c r="AZ133" s="6">
        <f>COUNTIFS(Table27[Country],Tabela1[[#This Row],[Country]],Table27[Women''s 4x400m Relay Classification],"&gt;0")</f>
        <v>0</v>
      </c>
      <c r="BA133" s="6">
        <f>COUNTIFS(Table27[Country],Tabela1[[#This Row],[Country]],Table27[Mixed 4x400m Relay Classification],"&gt;0")</f>
        <v>0</v>
      </c>
      <c r="BB133" s="6">
        <f>COUNTIFS(Table4[Country],Tabela1[[#This Row],[Country]],Table4[Marathon Classification],"&gt;0")</f>
        <v>0</v>
      </c>
      <c r="BC133" s="6">
        <f>COUNTIFS(Table5[Country],Tabela1[[#This Row],[Country]],Table5[Marathon Classification],"&gt;0")</f>
        <v>0</v>
      </c>
      <c r="BD133" s="6">
        <f>COUNTIFS(Table4[Country],Tabela1[[#This Row],[Country]],Table4[20km Race Walk Classification],"&gt;0")</f>
        <v>0</v>
      </c>
      <c r="BE133" s="6">
        <f>COUNTIFS(Table5[Country],Tabela1[[#This Row],[Country]],Table5[20km Race Walk Classification],"&gt;0")</f>
        <v>0</v>
      </c>
      <c r="BF133" s="6">
        <f>COUNTIFS(Tabela96[Country],Tabela1[[#This Row],[Country]],Tabela96[Mixed Marathon Race Walk Relay Classification],"&gt;0")</f>
        <v>0</v>
      </c>
      <c r="BG133" s="6">
        <f>COUNTIFS(Table4[Country],Tabela1[[#This Row],[Country]],Table4[Discus Throw Classification],"&gt;0")</f>
        <v>0</v>
      </c>
      <c r="BH133" s="6">
        <f>COUNTIFS(Table5[Country],Tabela1[[#This Row],[Country]],Table5[Discus Throw Classification],"&gt;0")</f>
        <v>0</v>
      </c>
      <c r="BI133" s="6">
        <f>COUNTIFS(Table4[Country],Tabela1[[#This Row],[Country]],Table4[Hammer Throw Classification],"&gt;0")</f>
        <v>0</v>
      </c>
      <c r="BJ133" s="6">
        <f>COUNTIFS(Table5[Country],Tabela1[[#This Row],[Country]],Table5[Hammer Throw Classification],"&gt;0")</f>
        <v>0</v>
      </c>
      <c r="BK133" s="6">
        <f>COUNTIFS(Table4[Country],Tabela1[[#This Row],[Country]],Table4[High Jump Classification],"&gt;0")</f>
        <v>0</v>
      </c>
      <c r="BL133" s="6">
        <f>COUNTIFS(Table5[Country],Tabela1[[#This Row],[Country]],Table5[High Jump Classification],"&gt;0")</f>
        <v>0</v>
      </c>
      <c r="BM133" s="6">
        <f>COUNTIFS(Table4[Country],Tabela1[[#This Row],[Country]],Table4[Javelin Throw Classification],"&gt;0")</f>
        <v>0</v>
      </c>
      <c r="BN133" s="6">
        <f>COUNTIFS(Table5[Country],Tabela1[[#This Row],[Country]],Table5[Javelin Throw Classification],"&gt;0")</f>
        <v>0</v>
      </c>
      <c r="BO133" s="6">
        <f>COUNTIFS(Table4[Country],Tabela1[[#This Row],[Country]],Table4[Long Jump Classification],"&gt;0")</f>
        <v>0</v>
      </c>
      <c r="BP133" s="6">
        <f>COUNTIFS(Table5[Country],Tabela1[[#This Row],[Country]],Table5[Long Jump Classification],"&gt;0")</f>
        <v>0</v>
      </c>
      <c r="BQ133" s="6">
        <f>COUNTIFS(Table4[Country],Tabela1[[#This Row],[Country]],Table4[Pole Vault Classification],"&gt;0")</f>
        <v>0</v>
      </c>
      <c r="BR133" s="6">
        <f>COUNTIFS(Table5[Country],Tabela1[[#This Row],[Country]],Table5[Pole Vault Classification],"&gt;0")</f>
        <v>0</v>
      </c>
      <c r="BS133" s="6">
        <f>COUNTIFS(Table4[Country],Tabela1[[#This Row],[Country]],Table4[Shot Put Classification],"&gt;0")</f>
        <v>0</v>
      </c>
      <c r="BT133" s="6">
        <f>COUNTIFS(Table5[Country],Tabela1[[#This Row],[Country]],Table5[Shot Put Classification],"&gt;0")</f>
        <v>0</v>
      </c>
      <c r="BU133" s="6">
        <f>COUNTIFS(Table4[Country],Tabela1[[#This Row],[Country]],Table4[Triple Jump Classification],"&gt;0")</f>
        <v>0</v>
      </c>
      <c r="BV133" s="6">
        <f>COUNTIFS(Table5[Country],Tabela1[[#This Row],[Country]],Table5[Triple Jump Classification],"&gt;0")</f>
        <v>0</v>
      </c>
      <c r="BW133" s="6">
        <f>COUNTIFS(Table4[Country],Tabela1[[#This Row],[Country]],Table4[Decathlon Classification],"&gt;0")</f>
        <v>0</v>
      </c>
      <c r="BX133" s="6">
        <f>COUNTIFS(Table5[Country],Tabela1[[#This Row],[Country]],Table5[Heptathlon Classification],"&gt;0")</f>
        <v>0</v>
      </c>
      <c r="BY133" s="6">
        <f>COUNTIFS(Table61[Country],Tabela1[[#This Row],[Country]],Table61[Classification],"&gt;0")</f>
        <v>0</v>
      </c>
      <c r="BZ133" s="6">
        <f>COUNTIFS(Table38[Country],Tabela1[[#This Row],[Country]],Table38[Classification],"&gt;0")</f>
        <v>0</v>
      </c>
      <c r="CA133" s="6">
        <f>COUNTIFS(Table39[Country],Tabela1[[#This Row],[Country]],Table39[Men''s Classification],"&gt;0")</f>
        <v>0</v>
      </c>
      <c r="CB133" s="6">
        <f>COUNTIFS(Table39[Country],Tabela1[[#This Row],[Country]],Table39[Women''s Classification],"&gt;0")</f>
        <v>0</v>
      </c>
      <c r="CC133" s="6">
        <f>COUNTIFS(Table39[Country],Tabela1[[#This Row],[Country]],Table39[Mixed Classification],"&gt;0")</f>
        <v>0</v>
      </c>
      <c r="CD133" s="6">
        <f>COUNTIFS(Table89[Country],Tabela1[[#This Row],[Country]],Table89[Men''s Classification],"&gt;0")</f>
        <v>0</v>
      </c>
      <c r="CE133" s="6">
        <f>COUNTIFS(Table89[Country],Tabela1[[#This Row],[Country]],Table89[Women''s Classification],"&gt;0")</f>
        <v>0</v>
      </c>
      <c r="CF133" s="6">
        <f>COUNTIFS(Table90[Country],Tabela1[[#This Row],[Country]],Table90[Men''s Classification],"&gt;0")</f>
        <v>0</v>
      </c>
      <c r="CG133" s="6">
        <f>COUNTIFS(Table90[Country],Tabela1[[#This Row],[Country]],Table90[Women''s Classification],"&gt;0")</f>
        <v>0</v>
      </c>
      <c r="CH133" s="6">
        <f>COUNTIFS(Table60[Country],Tabela1[[#This Row],[Country]],Table60[Men''s Classification],"&gt;0")</f>
        <v>0</v>
      </c>
      <c r="CI133" s="6">
        <f>COUNTIFS(Table60[Country],Tabela1[[#This Row],[Country]],Table60[Women''s Classification],"&gt;0")</f>
        <v>0</v>
      </c>
      <c r="CJ133" s="6">
        <f>COUNTIFS(Table6[Country],Tabela1[[#This Row],[Country]],Table6[51kg Classification],"&gt;0")</f>
        <v>0</v>
      </c>
      <c r="CK133" s="6">
        <f>COUNTIFS(Table6[Country],Tabela1[[#This Row],[Country]],Table6[57kg Classification],"&gt;0")</f>
        <v>0</v>
      </c>
      <c r="CL133" s="6">
        <f>COUNTIFS(Table6[Country],Tabela1[[#This Row],[Country]],Table6[63.5kg Classification],"&gt;0")</f>
        <v>0</v>
      </c>
      <c r="CM133" s="6">
        <f>COUNTIFS(Table6[Country],Tabela1[[#This Row],[Country]],Table6[71kg Classification],"&gt;0")</f>
        <v>0</v>
      </c>
      <c r="CN133" s="6">
        <f>COUNTIFS(Table6[Country],Tabela1[[#This Row],[Country]],Table6[80kg Classification],"&gt;0")</f>
        <v>0</v>
      </c>
      <c r="CO133" s="6">
        <f>COUNTIFS(Table6[Country],Tabela1[[#This Row],[Country]],Table6[92kg Classification],"&gt;0")</f>
        <v>0</v>
      </c>
      <c r="CP133" s="6">
        <f>COUNTIFS(Table6[Country],Tabela1[[#This Row],[Country]],Table6[Plus 92kg Classification],"&gt;0")</f>
        <v>0</v>
      </c>
      <c r="CQ133" s="6">
        <f>COUNTIFS(Table7[Country],Tabela1[[#This Row],[Country]],Table7[50kg Classification],"&gt;0")</f>
        <v>0</v>
      </c>
      <c r="CR133" s="6">
        <f>COUNTIFS(Table7[Country],Tabela1[[#This Row],[Country]],Table7[54kg Classification],"&gt;0")</f>
        <v>0</v>
      </c>
      <c r="CS133" s="6">
        <f>COUNTIFS(Table7[Country],Tabela1[[#This Row],[Country]],Table7[57kg Classification],"&gt;0")</f>
        <v>0</v>
      </c>
      <c r="CT133" s="6">
        <f>COUNTIFS(Table7[Country],Tabela1[[#This Row],[Country]],Table7[60kg Classification],"&gt;0")</f>
        <v>0</v>
      </c>
      <c r="CU133" s="6">
        <f>COUNTIFS(Table7[Country],Tabela1[[#This Row],[Country]],Table7[66kg Classification],"&gt;0")</f>
        <v>0</v>
      </c>
      <c r="CV133" s="6">
        <f>COUNTIFS(Table7[Country],Tabela1[[#This Row],[Country]],Table7[75kg Classification],"&gt;0")</f>
        <v>0</v>
      </c>
      <c r="CW133" s="6">
        <f>COUNTIFS(Tabela94[Country],Tabela1[[#This Row],[Country]],Tabela94[Classification],"&gt;0")</f>
        <v>0</v>
      </c>
      <c r="CX133" s="6">
        <f>COUNTIFS(Tabela9499[Country],Tabela1[[#This Row],[Country]],Tabela9499[Classification],"&gt;0")</f>
        <v>0</v>
      </c>
      <c r="CY133" s="6">
        <f>COUNTIFS(Tabela107[Country],Tabela1[[#This Row],[Country]],Tabela107[C1 Slalom Classification],"&gt;0")</f>
        <v>0</v>
      </c>
      <c r="CZ133" s="6">
        <f>COUNTIFS(Tabela107122[Country],Tabela1[[#This Row],[Country]],Tabela107122[C1 Slalom Classification],"&gt;0")</f>
        <v>0</v>
      </c>
      <c r="DA133" s="6">
        <f>COUNTIFS(Tabela107[Country],Tabela1[[#This Row],[Country]],Tabela107[K1 Slalom Classification],"&gt;0")</f>
        <v>0</v>
      </c>
      <c r="DB133" s="6">
        <f>COUNTIFS(Tabela107122[Country],Tabela1[[#This Row],[Country]],Tabela107122[K1 Slalom Classification],"&gt;0")</f>
        <v>0</v>
      </c>
      <c r="DC133" s="6">
        <f>COUNTIFS(Tabela107[Country],Tabela1[[#This Row],[Country]],Tabela107[Kayak Cross Slalom Classification],"&gt;0")</f>
        <v>0</v>
      </c>
      <c r="DD133" s="6">
        <f>COUNTIFS(Tabela107122[Country],Tabela1[[#This Row],[Country]],Tabela107122[Kayak Cross Slalom Classification],"&gt;0")</f>
        <v>0</v>
      </c>
      <c r="DE133" s="6">
        <f>COUNTIFS(Table8[Country],Tabela1[[#This Row],[Country]],Table8[C1 200m Classification],"&gt;0")</f>
        <v>0</v>
      </c>
      <c r="DF133" s="6">
        <f>COUNTIFS(Table40[Country],Tabela1[[#This Row],[Country]],Table40[C1 1000m Classification],"&gt;0")</f>
        <v>0</v>
      </c>
      <c r="DG133" s="6">
        <f>COUNTIFS(Table68[Country],Tabela1[[#This Row],[Country]],Table68[Men''s C2 500m Classification],"&gt;0")</f>
        <v>0</v>
      </c>
      <c r="DH133" s="6">
        <f>COUNTIFS(Table68[Country],Tabela1[[#This Row],[Country]],Table68[Women''s C2 500m Classification],"&gt;0")</f>
        <v>0</v>
      </c>
      <c r="DI133" s="6">
        <f>COUNTIFS(Table8[Country],Tabela1[[#This Row],[Country]],Table8[K1 500m Classification],"&gt;0")</f>
        <v>0</v>
      </c>
      <c r="DJ133" s="6">
        <f>COUNTIFS(Table40[Country],Tabela1[[#This Row],[Country]],Table40[K1 1000m Classification],"&gt;0")</f>
        <v>0</v>
      </c>
      <c r="DK133" s="6">
        <f>COUNTIFS(Table68[Country],Tabela1[[#This Row],[Country]],Table68[Men''s K2 500m Classification],"&gt;0")</f>
        <v>0</v>
      </c>
      <c r="DL133" s="6">
        <f>COUNTIFS(Table68[Country],Tabela1[[#This Row],[Country]],Table68[Women''s K2 500m Classification],"&gt;0")</f>
        <v>0</v>
      </c>
      <c r="DM133" s="6">
        <f>COUNTIFS(Table83[Country],Tabela1[[#This Row],[Country]],Table83[Men''s K4 500m Classification],"&gt;0")</f>
        <v>0</v>
      </c>
      <c r="DN133" s="6">
        <f>COUNTIFS(Table83[Country],Tabela1[[#This Row],[Country]],Table83[Women''s K4 500m Classification],"&gt;0")</f>
        <v>0</v>
      </c>
      <c r="DO133" s="6">
        <f>COUNTIFS(Tabela126[Country],Tabela1[[#This Row],[Country]],Tabela126[Classification],"&gt;0")</f>
        <v>0</v>
      </c>
      <c r="DP133" s="6">
        <f>COUNTIFS(Tabela126130[Country],Tabela1[[#This Row],[Country]],Tabela126130[Classification],"&gt;0")</f>
        <v>0</v>
      </c>
      <c r="DQ133" s="6">
        <f>COUNTIFS(Table70[Country],Tabela1[[#This Row],[Country]],Table70[Classification],"&gt;0")</f>
        <v>0</v>
      </c>
      <c r="DR133" s="6">
        <f>COUNTIFS(Table80[Country],Tabela1[[#This Row],[Country]],Table80[Classification],"&gt;0")</f>
        <v>0</v>
      </c>
      <c r="DS133" s="6">
        <f>COUNTIFS(Table66[Country],Tabela1[[#This Row],[Country]],Table66[Classification],"&gt;0")</f>
        <v>0</v>
      </c>
      <c r="DT133" s="6">
        <f>COUNTIFS(Table67[Country],Tabela1[[#This Row],[Country]],Table67[Classification],"&gt;0")</f>
        <v>0</v>
      </c>
      <c r="DU133" s="6">
        <f>COUNTIFS(Table69[Country],Tabela1[[#This Row],[Country]],Table69[Keirin Classification],"&gt;0")</f>
        <v>0</v>
      </c>
      <c r="DV133" s="6">
        <f>COUNTIFS(Table41[Country],Tabela1[[#This Row],[Country]],Table41[Keirin Classification],"&gt;0")</f>
        <v>0</v>
      </c>
      <c r="DW133" s="6">
        <f>COUNTIFS(Table84[Country],Tabela1[[#This Row],[Country]],Table84[Men''s Madison Classification],"&gt;0")</f>
        <v>0</v>
      </c>
      <c r="DX133" s="6">
        <f>COUNTIFS(Table84[Country],Tabela1[[#This Row],[Country]],Table84[Women''s Madison Classification],"&gt;0")</f>
        <v>0</v>
      </c>
      <c r="DY133" s="6">
        <f>COUNTIFS(Table69[Country],Tabela1[[#This Row],[Country]],Table69[Omnium Classification],"&gt;0")</f>
        <v>0</v>
      </c>
      <c r="DZ133" s="6">
        <f>COUNTIFS(Table41[Country],Tabela1[[#This Row],[Country]],Table41[Omnium Classification],"&gt;0")</f>
        <v>0</v>
      </c>
      <c r="EA133" s="6">
        <f>COUNTIFS(Table9[Country],Tabela1[[#This Row],[Country]],Table9[Road Race Classification],"&gt;0")</f>
        <v>0</v>
      </c>
      <c r="EB133" s="6">
        <f>COUNTIFS(Table14[Country],Tabela1[[#This Row],[Country]],Table14[Road Race Classification],"&gt;0")</f>
        <v>0</v>
      </c>
      <c r="EC133" s="6">
        <f>COUNTIFS(Table69[Country],Tabela1[[#This Row],[Country]],Table69[Sprint Classification],"&gt;0")</f>
        <v>0</v>
      </c>
      <c r="ED133" s="6">
        <f>COUNTIFS(Table41[Country],Tabela1[[#This Row],[Country]],Table41[Sprint Classification],"&gt;0")</f>
        <v>0</v>
      </c>
      <c r="EE133" s="6">
        <f>COUNTIFS(Table85[Country],Tabela1[[#This Row],[Country]],Table85[Men''s Sprint Classification],"&gt;0")</f>
        <v>0</v>
      </c>
      <c r="EF133" s="6">
        <f>COUNTIFS(Table85[Country],Tabela1[[#This Row],[Country]],Table85[Women''s Sprint Classification],"&gt;0")</f>
        <v>0</v>
      </c>
      <c r="EG133" s="6">
        <f>COUNTIFS(Table85[Country],Tabela1[[#This Row],[Country]],Table85[Men''s Pursuit Classification],"&gt;0")</f>
        <v>0</v>
      </c>
      <c r="EH133" s="6">
        <f>COUNTIFS(Table85[Country],Tabela1[[#This Row],[Country]],Table85[Women''s Pursuit Classification],"&gt;0")</f>
        <v>0</v>
      </c>
      <c r="EI133" s="6">
        <f>COUNTIFS(Table9[Country],Tabela1[[#This Row],[Country]],Table9[Time-Trial Classification],"&gt;0")</f>
        <v>0</v>
      </c>
      <c r="EJ133" s="6">
        <f>COUNTIFS(Table14[Country],Tabela1[[#This Row],[Country]],Table14[Time-Trial Classification],"&gt;0")</f>
        <v>0</v>
      </c>
      <c r="EK133" s="6">
        <f>COUNTIFS(Table42[Country],Tabela1[[#This Row],[Country]],Table42[Springboard Classification],"&gt;0")</f>
        <v>0</v>
      </c>
      <c r="EL133" s="6">
        <f>COUNTIFS(Table43[Country],Tabela1[[#This Row],[Country]],Table43[Springboard Classification],"&gt;0")</f>
        <v>0</v>
      </c>
      <c r="EM133" s="6">
        <f>COUNTIFS(Table42[Country],Tabela1[[#This Row],[Country]],Table42[Platform Classification],"&gt;0")</f>
        <v>0</v>
      </c>
      <c r="EN133" s="6">
        <f>COUNTIFS(Table43[Country],Tabela1[[#This Row],[Country]],Table43[Platform Classification],"&gt;0")</f>
        <v>0</v>
      </c>
      <c r="EO133" s="6">
        <f>COUNTIFS(Table86[Country],Tabela1[[#This Row],[Country]],Table86[Men''s Synchronized Springboard Classification],"&gt;0")</f>
        <v>0</v>
      </c>
      <c r="EP133" s="6">
        <f>COUNTIFS(Table86[Country],Tabela1[[#This Row],[Country]],Table86[Women''s Synchronized Springboard Classification],"&gt;0")</f>
        <v>0</v>
      </c>
      <c r="EQ133" s="6">
        <f>COUNTIFS(Table86[Country],Tabela1[[#This Row],[Country]],Table86[Men''s Synchronized Platform Classification],"&gt;0")</f>
        <v>0</v>
      </c>
      <c r="ER133" s="6">
        <f>COUNTIFS(Table86[Country],Tabela1[[#This Row],[Country]],Table86[Women''s Synchronized Platform Classification],"&gt;0")</f>
        <v>0</v>
      </c>
      <c r="ES133" s="6">
        <f>COUNTIFS(Table44[Country],Tabela1[[#This Row],[Country]],Table44[Dressage Classification],"&gt;0")</f>
        <v>0</v>
      </c>
      <c r="ET133" s="6">
        <f>COUNTIFS(Table45[Country],Tabela1[[#This Row],[Country]],Table45[Dressage Classification],"&gt;0")</f>
        <v>0</v>
      </c>
      <c r="EU133" s="6">
        <f>COUNTIFS(Table44[Country],Tabela1[[#This Row],[Country]],Table44[Eventing Classification],"&gt;0")</f>
        <v>0</v>
      </c>
      <c r="EV133" s="6">
        <f>COUNTIFS(Table45[Country],Tabela1[[#This Row],[Country]],Table45[Eventing Classification],"&gt;0")</f>
        <v>0</v>
      </c>
      <c r="EW133" s="6">
        <f>COUNTIFS(Table44[Country],Tabela1[[#This Row],[Country]],Table44[Jumping Classification],"&gt;0")</f>
        <v>0</v>
      </c>
      <c r="EX133" s="6">
        <f>COUNTIFS(Table45[Country],Tabela1[[#This Row],[Country]],Table45[Jumping Classification],"&gt;0")</f>
        <v>0</v>
      </c>
      <c r="EY133" s="6">
        <f>COUNTIFS(Table10[Country],Tabela1[[#This Row],[Country]],Table10[Épée Classification],"&gt;0")</f>
        <v>0</v>
      </c>
      <c r="EZ133" s="6">
        <f>COUNTIFS(Table11[Country],Tabela1[[#This Row],[Country]],Table11[Épée Classification],"&gt;0")</f>
        <v>0</v>
      </c>
      <c r="FA133" s="6">
        <f>COUNTIFS(Table46[Country],Tabela1[[#This Row],[Country]],Table46[Men''s Épée Classification],"&gt;0")</f>
        <v>0</v>
      </c>
      <c r="FB133" s="6">
        <f>COUNTIFS(Table46[Country],Tabela1[[#This Row],[Country]],Table46[Women''s Épée Classification],"&gt;0")</f>
        <v>0</v>
      </c>
      <c r="FC133" s="6">
        <f>COUNTIFS(Table10[Country],Tabela1[[#This Row],[Country]],Table10[Foil Classification],"&gt;0")</f>
        <v>0</v>
      </c>
      <c r="FD133" s="6">
        <f>COUNTIFS(Table11[Country],Tabela1[[#This Row],[Country]],Table11[Foil Classification],"&gt;0")</f>
        <v>0</v>
      </c>
      <c r="FE133" s="6">
        <f>COUNTIFS(Table46[Country],Tabela1[[#This Row],[Country]],Table46[Men''s Foil Classification],"&gt;0")</f>
        <v>0</v>
      </c>
      <c r="FF133" s="6">
        <f>COUNTIFS(Table46[Country],Tabela1[[#This Row],[Country]],Table46[Women''s Foil Classification],"&gt;0")</f>
        <v>0</v>
      </c>
      <c r="FG133" s="6">
        <f>COUNTIFS(Table10[Country],Tabela1[[#This Row],[Country]],Table10[Sabre Classification],"&gt;0")</f>
        <v>0</v>
      </c>
      <c r="FH133" s="6">
        <f>COUNTIFS(Table11[Country],Tabela1[[#This Row],[Country]],Table11[Sabre Classification],"&gt;0")</f>
        <v>0</v>
      </c>
      <c r="FI133" s="6">
        <f>COUNTIFS(Table46[Country],Tabela1[[#This Row],[Country]],Table46[Men''s Sabre Classification],"&gt;0")</f>
        <v>0</v>
      </c>
      <c r="FJ133" s="6">
        <f>COUNTIFS(Table46[Country],Tabela1[[#This Row],[Country]],Table46[Women''s Sabre Classification],"&gt;0")</f>
        <v>0</v>
      </c>
      <c r="FK133" s="6">
        <f>COUNTIFS(Table91[Country],Tabela1[[#This Row],[Country]],Table91[Men''s Classification],"&gt;0")</f>
        <v>0</v>
      </c>
      <c r="FL133" s="6">
        <f>COUNTIFS(Table91[Country],Tabela1[[#This Row],[Country]],Table91[Women''s Classification],"&gt;0")</f>
        <v>0</v>
      </c>
      <c r="FM133" s="6">
        <f>COUNTIFS(Table9194[Country],Tabela1[[#This Row],[Country]],Table9194[Men''s Classification],"&gt;0")</f>
        <v>0</v>
      </c>
      <c r="FN133" s="6">
        <f>COUNTIFS(Table9194[Country],Tabela1[[#This Row],[Country]],Table9194[Women''s Classification],"&gt;0")</f>
        <v>0</v>
      </c>
      <c r="FO133" s="6">
        <f>COUNTIFS(Table71[Country],Tabela1[[#This Row],[Country]],Table71[Classification],"&gt;0")</f>
        <v>0</v>
      </c>
      <c r="FP133" s="6">
        <f>COUNTIFS(Table62[Country],Tabela1[[#This Row],[Country]],Table62[Classification],"&gt;0")</f>
        <v>0</v>
      </c>
      <c r="FQ133" s="6">
        <f>COUNTIFS(Table47[Country],Tabela1[[#This Row],[Country]],Table47[All-Around Classification],"&gt;0")</f>
        <v>0</v>
      </c>
      <c r="FR133" s="6">
        <f>COUNTIFS(Table48[Country],Tabela1[[#This Row],[Country]],Table48[All-Around Classification],"&gt;0")</f>
        <v>0</v>
      </c>
      <c r="FS133" s="6">
        <f>COUNTIFS(Table81[Country],Tabela1[[#This Row],[Country]],Table81[Men''s All-Around Classification],"&gt;0")</f>
        <v>0</v>
      </c>
      <c r="FT133" s="6">
        <f>COUNTIFS(Table81[Country],Tabela1[[#This Row],[Country]],Table81[Women''s All-Around Classification],"&gt;0")</f>
        <v>0</v>
      </c>
      <c r="FU133" s="6">
        <f>COUNTIFS(Table48[Country],Tabela1[[#This Row],[Country]],Table48[Balance Beam Classification],"&gt;0")</f>
        <v>0</v>
      </c>
      <c r="FV133" s="6">
        <f>COUNTIFS(Table47[Country],Tabela1[[#This Row],[Country]],Table47[Floor Exercise Classification],"&gt;0")</f>
        <v>0</v>
      </c>
      <c r="FW133" s="6">
        <f>COUNTIFS(Table48[Country],Tabela1[[#This Row],[Country]],Table48[Floor Exercise Classification],"&gt;0")</f>
        <v>0</v>
      </c>
      <c r="FX133" s="6">
        <f>COUNTIFS(Table47[Country],Tabela1[[#This Row],[Country]],Table47[Horizontal Bar Classification],"&gt;0")</f>
        <v>0</v>
      </c>
      <c r="FY133" s="6">
        <f>COUNTIFS(Table47[Country],Tabela1[[#This Row],[Country]],Table47[Parallel Bars Classification],"&gt;0")</f>
        <v>0</v>
      </c>
      <c r="FZ133" s="6">
        <f>COUNTIFS(Table47[Country],Tabela1[[#This Row],[Country]],Table47[Pommel Horse Classification],"&gt;0")</f>
        <v>0</v>
      </c>
      <c r="GA133" s="6">
        <f>COUNTIFS(Table47[Country],Tabela1[[#This Row],[Country]],Table47[Rings Classification],"&gt;0")</f>
        <v>0</v>
      </c>
      <c r="GB133" s="6">
        <f>COUNTIFS(Tabela132[Country],Tabela1[[#This Row],[Country]],Tabela132[Classification],"&gt;0")</f>
        <v>0</v>
      </c>
      <c r="GC133" s="6">
        <f>COUNTIFS(Tabela139[Country],Tabela1[[#This Row],[Country]],Tabela139[Classification],"&gt;0")</f>
        <v>0</v>
      </c>
      <c r="GD133" s="6">
        <f>COUNTIFS(Table48[Country],Tabela1[[#This Row],[Country]],Table48[Uneven Bars Classification],"&gt;0")</f>
        <v>0</v>
      </c>
      <c r="GE133" s="6">
        <f>COUNTIFS(Table47[Country],Tabela1[[#This Row],[Country]],Table47[Vault Classification],"&gt;0")</f>
        <v>0</v>
      </c>
      <c r="GF133" s="6">
        <f>COUNTIFS(Table48[Country],Tabela1[[#This Row],[Country]],Table48[Vault Classification],"&gt;0")</f>
        <v>0</v>
      </c>
      <c r="GG133" s="6">
        <f>COUNTIFS(Table919496[Country],Tabela1[[#This Row],[Country]],Table919496[Men''s Classification],"&gt;0")</f>
        <v>0</v>
      </c>
      <c r="GH133" s="6">
        <f>COUNTIFS(Table919496[Country],Tabela1[[#This Row],[Country]],Table919496[Women''s Classification],"&gt;0")</f>
        <v>0</v>
      </c>
      <c r="GI133" s="6">
        <f>COUNTIFS(Table12[Country],Tabela1[[#This Row],[Country]],Table12[60kg Classification],"&gt;0")</f>
        <v>1</v>
      </c>
      <c r="GJ133" s="6">
        <f>COUNTIFS(Table12[Country],Tabela1[[#This Row],[Country]],Table12[66kg Classification],"&gt;0")</f>
        <v>0</v>
      </c>
      <c r="GK133" s="6">
        <f>COUNTIFS(Table12[Country],Tabela1[[#This Row],[Country]],Table12[73kg Classification],"&gt;0")</f>
        <v>0</v>
      </c>
      <c r="GL133" s="6">
        <f>COUNTIFS(Table12[Country],Tabela1[[#This Row],[Country]],Table12[81kg Classification],"&gt;0")</f>
        <v>0</v>
      </c>
      <c r="GM133" s="6">
        <f>COUNTIFS(Table12[Country],Tabela1[[#This Row],[Country]],Table12[90kg Classification],"&gt;0")</f>
        <v>0</v>
      </c>
      <c r="GN133" s="6">
        <f>COUNTIFS(Table12[Country],Tabela1[[#This Row],[Country]],Table12[100kg Classification],"&gt;0")</f>
        <v>0</v>
      </c>
      <c r="GO133" s="6">
        <f>COUNTIFS(Table12[Country],Tabela1[[#This Row],[Country]],Table12[Plus 100kg Classification],"&gt;0")</f>
        <v>0</v>
      </c>
      <c r="GP133" s="6">
        <f>COUNTIFS(Table13[Country],Tabela1[[#This Row],[Country]],Table13[48kg Classification],"&gt;0")</f>
        <v>0</v>
      </c>
      <c r="GQ133" s="6">
        <f>COUNTIFS(Table13[Country],Tabela1[[#This Row],[Country]],Table13[52kg Classification],"&gt;0")</f>
        <v>0</v>
      </c>
      <c r="GR133" s="6">
        <f>COUNTIFS(Table13[Country],Tabela1[[#This Row],[Country]],Table13[57kg Classification],"&gt;0")</f>
        <v>0</v>
      </c>
      <c r="GS133" s="6">
        <f>COUNTIFS(Table13[Country],Tabela1[[#This Row],[Country]],Table13[63kg Classification],"&gt;0")</f>
        <v>0</v>
      </c>
      <c r="GT133" s="6">
        <f>COUNTIFS(Table13[Country],Tabela1[[#This Row],[Country]],Table13[70kg Classification],"&gt;0")</f>
        <v>0</v>
      </c>
      <c r="GU133" s="6">
        <f>COUNTIFS(Table13[Country],Tabela1[[#This Row],[Country]],Table13[78kg Classification],"&gt;0")</f>
        <v>0</v>
      </c>
      <c r="GV133" s="6">
        <f>COUNTIFS(Table13[Country],Tabela1[[#This Row],[Country]],Table13[Plus 78kg Classification],"&gt;0")</f>
        <v>0</v>
      </c>
      <c r="GW133" s="6">
        <f>COUNTIFS(Table82[Country],Tabela1[[#This Row],[Country]],Table82[Mixed Classification],"&gt;0")</f>
        <v>0</v>
      </c>
      <c r="GX133" s="6">
        <f>COUNTIFS(Table51[Country],Tabela1[[#This Row],[Country]],Table51[Classification],"&gt;0")</f>
        <v>0</v>
      </c>
      <c r="GY133" s="6">
        <f>COUNTIFS(Table52[Country],Tabela1[[#This Row],[Country]],Table52[Classification],"&gt;0")</f>
        <v>0</v>
      </c>
      <c r="GZ133" s="6">
        <f>COUNTIFS(Table32[Country],Tabela1[[#This Row],[Country]],Table32[All-Around Classification],"&gt;0")</f>
        <v>0</v>
      </c>
      <c r="HA133" s="6">
        <f>COUNTIFS(Table49[Country],Tabela1[[#This Row],[Country]],Table49[All-Around Classification],"&gt;0")</f>
        <v>0</v>
      </c>
      <c r="HB133" s="6">
        <f>COUNTIFS(Table26[Country],Tabela1[[#This Row],[Country]],Table26[Single Sculls Classification],"&gt;0")</f>
        <v>0</v>
      </c>
      <c r="HC133" s="6">
        <f>COUNTIFS(Table63[Country],Tabela1[[#This Row],[Country]],Table63[Single Sculls Classification],"&gt;0")</f>
        <v>0</v>
      </c>
      <c r="HD133" s="6">
        <f>COUNTIFS(Table16[Country],Tabela1[[#This Row],[Country]],Table16[Men''s Double Sculls Classification],"&gt;0")</f>
        <v>0</v>
      </c>
      <c r="HE133" s="6">
        <f>COUNTIFS(Table16[Country],Tabela1[[#This Row],[Country]],Table16[Women''s Double Sculls Classification],"&gt;0")</f>
        <v>0</v>
      </c>
      <c r="HF133" s="6">
        <f>COUNTIFS(Table72[Country],Tabela1[[#This Row],[Country]],Table72[Men''s Quadruple Sculls Classification],"&gt;0")</f>
        <v>0</v>
      </c>
      <c r="HG133" s="6">
        <f>COUNTIFS(Table72[Country],Tabela1[[#This Row],[Country]],Table72[Women''s Quadruple Sculls Classification],"&gt;0")</f>
        <v>0</v>
      </c>
      <c r="HH133" s="6">
        <f>COUNTIFS(Table16[Country],Tabela1[[#This Row],[Country]],Table16[Men''s Coxless Pairs Classification],"&gt;0")</f>
        <v>0</v>
      </c>
      <c r="HI133" s="6">
        <f>COUNTIFS(Table16[Country],Tabela1[[#This Row],[Country]],Table16[Women''s Coxless Pairs Classification],"&gt;0")</f>
        <v>0</v>
      </c>
      <c r="HJ133" s="6">
        <f>COUNTIFS(Table72[Country],Tabela1[[#This Row],[Country]],Table72[Men''s Coxless Fours Classification],"&gt;0")</f>
        <v>0</v>
      </c>
      <c r="HK133" s="6">
        <f>COUNTIFS(Table72[Country],Tabela1[[#This Row],[Country]],Table72[Women''s Coxless Fours Classification],"&gt;0")</f>
        <v>0</v>
      </c>
      <c r="HL133" s="6">
        <f>COUNTIFS(Table72[Country],Tabela1[[#This Row],[Country]],Table72[Men''s Eights Classification],"&gt;0")</f>
        <v>0</v>
      </c>
      <c r="HM133" s="6">
        <f>COUNTIFS(Table72[Country],Tabela1[[#This Row],[Country]],Table72[Women''s Eights Classification],"&gt;0")</f>
        <v>0</v>
      </c>
      <c r="HN133" s="6">
        <f>COUNTIFS(Table16[Country],Tabela1[[#This Row],[Country]],Table16[Men''s Lwt. Double Sculls Classification],"&gt;0")</f>
        <v>0</v>
      </c>
      <c r="HO133" s="6">
        <f>COUNTIFS(Table16[Country],Tabela1[[#This Row],[Country]],Table16[Women''s Lwt. Double Sculls Classification],"&gt;0")</f>
        <v>0</v>
      </c>
      <c r="HP133" s="6">
        <f>COUNTIFS(Table91949698[Country],Tabela1[[#This Row],[Country]],Table91949698[Men''s Classification],"&gt;0")</f>
        <v>0</v>
      </c>
      <c r="HQ133" s="6">
        <f>COUNTIFS(Table91949698[Country],Tabela1[[#This Row],[Country]],Table91949698[Women''s Classification],"&gt;0")</f>
        <v>0</v>
      </c>
      <c r="HR133" s="6">
        <f>COUNTIFS(Table25[Country],Tabela1[[#This Row],[Country]],Table25[Mixed 470 Classification],"&gt;0")</f>
        <v>0</v>
      </c>
      <c r="HS133" s="6">
        <f>COUNTIFS(Table25[Country],Tabela1[[#This Row],[Country]],Table25[Men''s 49er Classification],"&gt;0")</f>
        <v>0</v>
      </c>
      <c r="HT133" s="6">
        <f>COUNTIFS(Table25[Country],Tabela1[[#This Row],[Country]],Table25[Women''s 49er FX Classification],"&gt;0")</f>
        <v>0</v>
      </c>
      <c r="HU133" s="6">
        <f>COUNTIFS(Table17[Country],Tabela1[[#This Row],[Country]],Table17[Formula Kite Classification],"&gt;0")</f>
        <v>0</v>
      </c>
      <c r="HV133" s="6">
        <f>COUNTIFS(Table18[Country],Tabela1[[#This Row],[Country]],Table18[Formula Kite Classification],"&gt;0")</f>
        <v>0</v>
      </c>
      <c r="HW133" s="6">
        <f>COUNTIFS(Table17[Country],Tabela1[[#This Row],[Country]],Table17[ILCA 7 Classification],"&gt;0")</f>
        <v>0</v>
      </c>
      <c r="HX133" s="6">
        <f>COUNTIFS(Table18[Country],Tabela1[[#This Row],[Country]],Table18[ILCA 6 Classification],"&gt;0")</f>
        <v>0</v>
      </c>
      <c r="HY133" s="6">
        <f>COUNTIFS(Table17[Country],Tabela1[[#This Row],[Country]],Table17[IQFoil Classification],"&gt;0")</f>
        <v>0</v>
      </c>
      <c r="HZ133" s="6">
        <f>COUNTIFS(Table18[Country],Tabela1[[#This Row],[Country]],Table18[IQFoil Classification],"&gt;0")</f>
        <v>0</v>
      </c>
      <c r="IA133" s="6">
        <f>COUNTIFS(Table25[Country],Tabela1[[#This Row],[Country]],Table25[Mixed Nacra 17 Classification],"&gt;0")</f>
        <v>0</v>
      </c>
      <c r="IB133" s="6">
        <f>COUNTIFS(Table53[Country],Tabela1[[#This Row],[Country]],Table53[10m Air Pistol Classification],"&gt;0")</f>
        <v>0</v>
      </c>
      <c r="IC133" s="6">
        <f>COUNTIFS(Table19[Country],Tabela1[[#This Row],[Country]],Table19[10m Air Pistol Classification],"&gt;0")</f>
        <v>0</v>
      </c>
      <c r="ID133" s="6">
        <f>COUNTIFS(Table54[Country],Tabela1[[#This Row],[Country]],Table54[Mixed 10m Air Pistol Team Classification],"&gt;0")</f>
        <v>0</v>
      </c>
      <c r="IE133" s="6">
        <f>COUNTIFS(Table53[Country],Tabela1[[#This Row],[Country]],Table53[10m Air Rifle Classification],"&gt;0")</f>
        <v>0</v>
      </c>
      <c r="IF133" s="6">
        <f>COUNTIFS(Table19[Country],Tabela1[[#This Row],[Country]],Table19[10m Air Rifle Classification],"&gt;0")</f>
        <v>0</v>
      </c>
      <c r="IG133" s="6">
        <f>COUNTIFS(Table54[Country],Tabela1[[#This Row],[Country]],Table54[Mixed 10m Air Rifle Team Classification],"&gt;0")</f>
        <v>0</v>
      </c>
      <c r="IH133" s="6">
        <f>COUNTIFS(Table53[Country],Tabela1[[#This Row],[Country]],Table53[25m Rapid Fire Pistol Classification],"&gt;0")</f>
        <v>0</v>
      </c>
      <c r="II133" s="6">
        <f>COUNTIFS(Table19[Country],Tabela1[[#This Row],[Country]],Table19[25m Pistol Classification],"&gt;0")</f>
        <v>0</v>
      </c>
      <c r="IJ133" s="6">
        <f>COUNTIFS(Table53[Country],Tabela1[[#This Row],[Country]],Table53[50m Rifle 3 Positions Classification],"&gt;0")</f>
        <v>0</v>
      </c>
      <c r="IK133" s="6">
        <f>COUNTIFS(Table19[Country],Tabela1[[#This Row],[Country]],Table19[50m Rifle 3 Positions Classification],"&gt;0")</f>
        <v>0</v>
      </c>
      <c r="IL133" s="6">
        <f>COUNTIFS(Table53[Country],Tabela1[[#This Row],[Country]],Table53[Skeet Classification],"&gt;0")</f>
        <v>0</v>
      </c>
      <c r="IM133" s="6">
        <f>COUNTIFS(Table19[Country],Tabela1[[#This Row],[Country]],Table19[Skeet Classification],"&gt;0")</f>
        <v>0</v>
      </c>
      <c r="IN133" s="6">
        <f>COUNTIFS(Table54[Country],Tabela1[[#This Row],[Country]],Table54[Mixed Skeet Team Classification],"&gt;0")</f>
        <v>0</v>
      </c>
      <c r="IO133" s="6">
        <f>COUNTIFS(Table53[Country],Tabela1[[#This Row],[Country]],Table53[Trap Classification],"&gt;0")</f>
        <v>0</v>
      </c>
      <c r="IP133" s="6">
        <f>COUNTIFS(Table19[Country],Tabela1[[#This Row],[Country]],Table19[Trap Classification],"&gt;0")</f>
        <v>0</v>
      </c>
      <c r="IQ133" s="6">
        <f>COUNTIFS(Table73[Country],Tabela1[[#This Row],[Country]],Table73[Park Classification],"&gt;0")</f>
        <v>0</v>
      </c>
      <c r="IR133" s="6">
        <f>COUNTIFS(Table74[Country],Tabela1[[#This Row],[Country]],Table74[Park Classification],"&gt;0")</f>
        <v>0</v>
      </c>
      <c r="IS133" s="6">
        <f>COUNTIFS(Table73[Country],Tabela1[[#This Row],[Country]],Table73[Street Classification],"&gt;0")</f>
        <v>0</v>
      </c>
      <c r="IT133" s="6">
        <f>COUNTIFS(Table74[Country],Tabela1[[#This Row],[Country]],Table74[Street Classification],"&gt;0")</f>
        <v>0</v>
      </c>
      <c r="IU133" s="6">
        <f>COUNTIFS(Table75[Country],Tabela1[[#This Row],[Country]],Table75[Boulder and Lead Classification],"&gt;0")</f>
        <v>0</v>
      </c>
      <c r="IV133" s="6">
        <f>COUNTIFS(Table76[Country],Tabela1[[#This Row],[Country]],Table76[Boulder and Lead Classification],"&gt;0")</f>
        <v>0</v>
      </c>
      <c r="IW133" s="6">
        <f>COUNTIFS(Table75[Country],Tabela1[[#This Row],[Country]],Table75[Speed Classification],"&gt;0")</f>
        <v>0</v>
      </c>
      <c r="IX133" s="6">
        <f>COUNTIFS(Table76[Country],Tabela1[[#This Row],[Country]],Table76[Speed Classification],"&gt;0")</f>
        <v>0</v>
      </c>
      <c r="IY133" s="6">
        <f>COUNTIFS(Table64[Country],Tabela1[[#This Row],[Country]],Table64[Shortboard Classification],"&gt;0")</f>
        <v>1</v>
      </c>
      <c r="IZ133" s="6">
        <f>COUNTIFS(Table77[Country],Tabela1[[#This Row],[Country]],Table77[Shortboard Classification],"&gt;0")</f>
        <v>0</v>
      </c>
      <c r="JA133" s="6">
        <f>COUNTIFS(Table20[Country],Tabela1[[#This Row],[Country]],Table20[50m Freestyle Classification],"&gt;0")</f>
        <v>0</v>
      </c>
      <c r="JB133" s="6">
        <f>COUNTIFS(Table21[Country],Tabela1[[#This Row],[Country]],Table21[50m Freestyle Classification],"&gt;0")</f>
        <v>0</v>
      </c>
      <c r="JC133" s="6">
        <f>COUNTIFS(Table20[Country],Tabela1[[#This Row],[Country]],Table20[100m Freestyle Classification],"&gt;0")</f>
        <v>0</v>
      </c>
      <c r="JD133" s="6">
        <f>COUNTIFS(Table21[Country],Tabela1[[#This Row],[Country]],Table21[100m Freestyle Classification],"&gt;0")</f>
        <v>0</v>
      </c>
      <c r="JE133" s="6">
        <f>COUNTIFS(Table20[Country],Tabela1[[#This Row],[Country]],Table20[200m Freestyle Classification],"&gt;0")</f>
        <v>0</v>
      </c>
      <c r="JF133" s="6">
        <f>COUNTIFS(Table21[Country],Tabela1[[#This Row],[Country]],Table21[200m Freestyle Classification],"&gt;0")</f>
        <v>0</v>
      </c>
      <c r="JG133" s="6">
        <f>COUNTIFS(Table20[Country],Tabela1[[#This Row],[Country]],Table20[400m Freestyle Classification],"&gt;0")</f>
        <v>0</v>
      </c>
      <c r="JH133" s="6">
        <f>COUNTIFS(Table21[Country],Tabela1[[#This Row],[Country]],Table21[400m Freestyle Classification],"&gt;0")</f>
        <v>0</v>
      </c>
      <c r="JI133" s="6">
        <f>COUNTIFS(Table20[Country],Tabela1[[#This Row],[Country]],Table20[800m Freestyle Classification],"&gt;0")</f>
        <v>0</v>
      </c>
      <c r="JJ133" s="6">
        <f>COUNTIFS(Table21[Country],Tabela1[[#This Row],[Country]],Table21[800m Freestyle Classification],"&gt;0")</f>
        <v>0</v>
      </c>
      <c r="JK133" s="6">
        <f>COUNTIFS(Table20[Country],Tabela1[[#This Row],[Country]],Table20[1500m Freestyle Classification],"&gt;0")</f>
        <v>0</v>
      </c>
      <c r="JL133" s="6">
        <f>COUNTIFS(Table21[Country],Tabela1[[#This Row],[Country]],Table21[1500m Freestyle Classification],"&gt;0")</f>
        <v>0</v>
      </c>
      <c r="JM133" s="6">
        <f>COUNTIFS(Table20[Country],Tabela1[[#This Row],[Country]],Table20[100m Backstroke Classification],"&gt;0")</f>
        <v>0</v>
      </c>
      <c r="JN133" s="6">
        <f>COUNTIFS(Table21[Country],Tabela1[[#This Row],[Country]],Table21[100m Backstroke Classification],"&gt;0")</f>
        <v>0</v>
      </c>
      <c r="JO133" s="6">
        <f>COUNTIFS(Table20[Country],Tabela1[[#This Row],[Country]],Table20[200m Backstroke Classification],"&gt;0")</f>
        <v>0</v>
      </c>
      <c r="JP133" s="6">
        <f>COUNTIFS(Table21[Country],Tabela1[[#This Row],[Country]],Table21[200m Backstroke Classification],"&gt;0")</f>
        <v>0</v>
      </c>
      <c r="JQ133" s="6">
        <f>COUNTIFS(Table20[Country],Tabela1[[#This Row],[Country]],Table20[100m Breaststroke Classification],"&gt;0")</f>
        <v>0</v>
      </c>
      <c r="JR133" s="6">
        <f>COUNTIFS(Table21[Country],Tabela1[[#This Row],[Country]],Table21[100m Breaststroke Classification],"&gt;0")</f>
        <v>0</v>
      </c>
      <c r="JS133" s="6">
        <f>COUNTIFS(Table20[Country],Tabela1[[#This Row],[Country]],Table20[200m Breaststroke Classification],"&gt;0")</f>
        <v>0</v>
      </c>
      <c r="JT133" s="6">
        <f>COUNTIFS(Table21[Country],Tabela1[[#This Row],[Country]],Table21[200m Breaststroke Classification],"&gt;0")</f>
        <v>0</v>
      </c>
      <c r="JU133" s="6">
        <f>COUNTIFS(Table20[Country],Tabela1[[#This Row],[Country]],Table20[100m Butterfly Classification],"&gt;0")</f>
        <v>0</v>
      </c>
      <c r="JV133" s="6">
        <f>COUNTIFS(Table21[Country],Tabela1[[#This Row],[Country]],Table21[100m Butterfly Classification],"&gt;0")</f>
        <v>0</v>
      </c>
      <c r="JW133" s="6">
        <f>COUNTIFS(Table20[Country],Tabela1[[#This Row],[Country]],Table20[200m Butterfly Classification],"&gt;0")</f>
        <v>0</v>
      </c>
      <c r="JX133" s="6">
        <f>COUNTIFS(Table21[Country],Tabela1[[#This Row],[Country]],Table21[200m Butterfly Classification],"&gt;0")</f>
        <v>0</v>
      </c>
      <c r="JY133" s="6">
        <f>COUNTIFS(Table20[Country],Tabela1[[#This Row],[Country]],Table20[200m Medley Classification],"&gt;0")</f>
        <v>0</v>
      </c>
      <c r="JZ133" s="6">
        <f>COUNTIFS(Table21[Country],Tabela1[[#This Row],[Country]],Table21[200m Medley Classification],"&gt;0")</f>
        <v>0</v>
      </c>
      <c r="KA133" s="6">
        <f>COUNTIFS(Table20[Country],Tabela1[[#This Row],[Country]],Table20[400m Medley Classification],"&gt;0")</f>
        <v>0</v>
      </c>
      <c r="KB133" s="6">
        <f>COUNTIFS(Table21[Country],Tabela1[[#This Row],[Country]],Table21[400m Medley Classification],"&gt;0")</f>
        <v>0</v>
      </c>
      <c r="KC133" s="6">
        <f>COUNTIFS(Table78[Country],Tabela1[[#This Row],[Country]],Table78[Men''s 4x100m Freestyle Relay Classification],"&gt;0")</f>
        <v>0</v>
      </c>
      <c r="KD133" s="6">
        <f>COUNTIFS(Table78[Country],Tabela1[[#This Row],[Country]],Table78[Women''s 4x100m Freestyle Relay Classification],"&gt;0")</f>
        <v>0</v>
      </c>
      <c r="KE133" s="6">
        <f>COUNTIFS(Table78[Country],Tabela1[[#This Row],[Country]],Table78[Men''s 4x200m Freestyle Relay Classification],"&gt;0")</f>
        <v>0</v>
      </c>
      <c r="KF133" s="6">
        <f>COUNTIFS(Table78[Country],Tabela1[[#This Row],[Country]],Table78[Women''s 4x200m Freestyle Relay Classification],"&gt;0")</f>
        <v>0</v>
      </c>
      <c r="KG133" s="6">
        <f>COUNTIFS(Table78[Country],Tabela1[[#This Row],[Country]],Table78[Men''s 4x100m Medley Relay Classification],"&gt;0")</f>
        <v>0</v>
      </c>
      <c r="KH133" s="6">
        <f>COUNTIFS(Table78[Country],Tabela1[[#This Row],[Country]],Table78[Women''s 4x100m Medley Relay Classification],"&gt;0")</f>
        <v>0</v>
      </c>
      <c r="KI133" s="6">
        <f>COUNTIFS(Table78[Country],Tabela1[[#This Row],[Country]],Table78[Mixed 4x100m Medley Relay Classification],"&gt;0")</f>
        <v>0</v>
      </c>
      <c r="KJ133" s="6">
        <f>COUNTIFS(Table20[Country],Tabela1[[#This Row],[Country]],Table20[10km Open Water Classification],"&gt;0")</f>
        <v>0</v>
      </c>
      <c r="KK133" s="6">
        <f>COUNTIFS(Table21[Country],Tabela1[[#This Row],[Country]],Table21[10km Open Water Classification],"&gt;0")</f>
        <v>0</v>
      </c>
      <c r="KL133" s="6">
        <f>COUNTIFS(Table22[Country],Tabela1[[#This Row],[Country]],Table22[Classification],"&gt;0")</f>
        <v>0</v>
      </c>
      <c r="KM133" s="6">
        <f>COUNTIFS(Table30[Country],Tabela1[[#This Row],[Country]],Table30[Classification],"&gt;0")</f>
        <v>0</v>
      </c>
      <c r="KN133" s="6">
        <f>COUNTIFS(Table55[Country],Tabela1[[#This Row],[Country]],Table55[Men''s Classification],"&gt;0")</f>
        <v>0</v>
      </c>
      <c r="KO133" s="6">
        <f>COUNTIFS(Table55[Country],Tabela1[[#This Row],[Country]],Table55[Women''s Classification],"&gt;0")</f>
        <v>0</v>
      </c>
      <c r="KP133" s="6">
        <f>COUNTIFS(Table56[Country],Tabela1[[#This Row],[Country]],Table56[Mixed Classification],"&gt;0")</f>
        <v>0</v>
      </c>
      <c r="KQ133" s="6">
        <f>COUNTIFS(Table29[Country],Tabela1[[#This Row],[Country]],Table29[58kg Classification],"&gt;0")</f>
        <v>0</v>
      </c>
      <c r="KR133" s="6">
        <f>COUNTIFS(Table29[Country],Tabela1[[#This Row],[Country]],Table29[68kg Classification],"&gt;0")</f>
        <v>0</v>
      </c>
      <c r="KS133" s="6">
        <f>COUNTIFS(Table29[Country],Tabela1[[#This Row],[Country]],Table29[80kg Classification],"&gt;0")</f>
        <v>0</v>
      </c>
      <c r="KT133" s="6">
        <f>COUNTIFS(Table29[Country],Tabela1[[#This Row],[Country]],Table29[Plus 80kg Classification],"&gt;0")</f>
        <v>0</v>
      </c>
      <c r="KU133" s="6">
        <f>COUNTIFS(Table34[Country],Tabela1[[#This Row],[Country]],Table34[49kg Classification],"&gt;0")</f>
        <v>0</v>
      </c>
      <c r="KV133" s="6">
        <f>COUNTIFS(Table34[Country],Tabela1[[#This Row],[Country]],Table34[57kg Classification],"&gt;0")</f>
        <v>0</v>
      </c>
      <c r="KW133" s="6">
        <f>COUNTIFS(Table34[Country],Tabela1[[#This Row],[Country]],Table34[67kg Classification],"&gt;0")</f>
        <v>0</v>
      </c>
      <c r="KX133" s="6">
        <f>COUNTIFS(Table34[Country],Tabela1[[#This Row],[Country]],Table34[Plus 67kg Classification],"&gt;0")</f>
        <v>0</v>
      </c>
      <c r="KY133" s="6">
        <f>COUNTIFS(Table57[Country],Tabela1[[#This Row],[Country]],Table57[Classification],"&gt;0")</f>
        <v>0</v>
      </c>
      <c r="KZ133" s="6">
        <f>COUNTIFS(Table58[Country],Tabela1[[#This Row],[Country]],Table58[Classification],"&gt;0")</f>
        <v>0</v>
      </c>
      <c r="LA133" s="6">
        <f>COUNTIFS(Table79[Country],Tabela1[[#This Row],[Country]],Table79[Men''s Classification],"&gt;0")</f>
        <v>0</v>
      </c>
      <c r="LB133" s="6">
        <f>COUNTIFS(Table79[Country],Tabela1[[#This Row],[Country]],Table79[Women''s Classification],"&gt;0")</f>
        <v>0</v>
      </c>
      <c r="LC133" s="6">
        <f>COUNTIFS(Table79[Country],Tabela1[[#This Row],[Country]],Table79[Mixed Classification],"&gt;0")</f>
        <v>0</v>
      </c>
      <c r="LD133" s="6">
        <f>COUNTIFS(Table65[Country],Tabela1[[#This Row],[Country]],Table65[Classification],"&gt;0")</f>
        <v>0</v>
      </c>
      <c r="LE133" s="6">
        <f>COUNTIFS(Table59[Country],Tabela1[[#This Row],[Country]],Table59[Classification],"&gt;0")</f>
        <v>0</v>
      </c>
      <c r="LF133" s="6">
        <f>COUNTIFS(Table87[Country],Tabela1[[#This Row],[Country]],Table87[Mixed Relay Classification],"&gt;0")</f>
        <v>0</v>
      </c>
      <c r="LG133" s="6">
        <f>COUNTIFS(Table91949698100[Country],Tabela1[[#This Row],[Country]],Table91949698100[Men''s Classification],"&gt;0")</f>
        <v>0</v>
      </c>
      <c r="LH133" s="6">
        <f>COUNTIFS(Table91949698100[Country],Tabela1[[#This Row],[Country]],Table91949698100[Women''s Classification],"&gt;0")</f>
        <v>0</v>
      </c>
      <c r="LI133" s="6">
        <f>COUNTIFS(Table91949698100102[Country],Tabela1[[#This Row],[Country]],Table91949698100102[Men''s Classification],"&gt;0")</f>
        <v>0</v>
      </c>
      <c r="LJ133" s="6">
        <f>COUNTIFS(Table91949698100102[Country],Tabela1[[#This Row],[Country]],Table91949698100102[Women''s Classification],"&gt;0")</f>
        <v>0</v>
      </c>
      <c r="LK133" s="6">
        <f>COUNTIFS(Table23[Country],Tabela1[[#This Row],[Country]],Table23[61kg Classification],"&gt;0")</f>
        <v>0</v>
      </c>
      <c r="LL133" s="6">
        <f>COUNTIFS(Table23[Country],Tabela1[[#This Row],[Country]],Table23[73kg Classification],"&gt;0")</f>
        <v>0</v>
      </c>
      <c r="LM133" s="6">
        <f>COUNTIFS(Table23[Country],Tabela1[[#This Row],[Country]],Table23[89kg Classification],"&gt;0")</f>
        <v>0</v>
      </c>
      <c r="LN133" s="6">
        <f>COUNTIFS(Table23[Country],Tabela1[[#This Row],[Country]],Table23[102kg Classification],"&gt;0")</f>
        <v>0</v>
      </c>
      <c r="LO133" s="6">
        <f>COUNTIFS(Table23[Country],Tabela1[[#This Row],[Country]],Table23[Plus 102kg Classification],"&gt;0")</f>
        <v>0</v>
      </c>
      <c r="LP133" s="6">
        <f>COUNTIFS(Table28[Country],Tabela1[[#This Row],[Country]],Table28[49kg Classification],"&gt;0")</f>
        <v>0</v>
      </c>
      <c r="LQ133" s="6">
        <f>COUNTIFS(Table28[Country],Tabela1[[#This Row],[Country]],Table28[59kg Classification],"&gt;0")</f>
        <v>0</v>
      </c>
      <c r="LR133" s="6">
        <f>COUNTIFS(Table28[Country],Tabela1[[#This Row],[Country]],Table28[71kg Classification],"&gt;0")</f>
        <v>0</v>
      </c>
      <c r="LS133" s="6">
        <f>COUNTIFS(Table28[Country],Tabela1[[#This Row],[Country]],Table28[81kg Classification],"&gt;0")</f>
        <v>0</v>
      </c>
      <c r="LT133" s="6">
        <f>COUNTIFS(Table28[Country],Tabela1[[#This Row],[Country]],Table28[Plus 81kg Classification],"&gt;0")</f>
        <v>0</v>
      </c>
      <c r="LU133" s="6">
        <f>COUNTIFS(Table24[Country],Tabela1[[#This Row],[Country]],Table24[Freestyle 57kg Classification],"&gt;0")</f>
        <v>0</v>
      </c>
      <c r="LV133" s="6">
        <f>COUNTIFS(Table24[Country],Tabela1[[#This Row],[Country]],Table24[Freestyle 65kg Classification],"&gt;0")</f>
        <v>0</v>
      </c>
      <c r="LW133" s="6">
        <f>COUNTIFS(Table24[Country],Tabela1[[#This Row],[Country]],Table24[Freestyle 74kg Classification],"&gt;0")</f>
        <v>0</v>
      </c>
      <c r="LX133" s="6">
        <f>COUNTIFS(Table24[Country],Tabela1[[#This Row],[Country]],Table24[Freestyle 86kg Classification],"&gt;0")</f>
        <v>0</v>
      </c>
      <c r="LY133" s="6">
        <f>COUNTIFS(Table24[Country],Tabela1[[#This Row],[Country]],Table24[Freestyle 97kg Classification],"&gt;0")</f>
        <v>0</v>
      </c>
      <c r="LZ133" s="6">
        <f>COUNTIFS(Table24[Country],Tabela1[[#This Row],[Country]],Table24[Freestyle 125kg Classification],"&gt;0")</f>
        <v>0</v>
      </c>
      <c r="MA133" s="6">
        <f>COUNTIFS(Table24[Country],Tabela1[[#This Row],[Country]],Table24[Greco-Roman 60kg Classification],"&gt;0")</f>
        <v>0</v>
      </c>
      <c r="MB133" s="6">
        <f>COUNTIFS(Table24[Country],Tabela1[[#This Row],[Country]],Table24[Greco-Roman 67kg Classification],"&gt;0")</f>
        <v>0</v>
      </c>
      <c r="MC133" s="6">
        <f>COUNTIFS(Table24[Country],Tabela1[[#This Row],[Country]],Table24[Greco-Roman 77kg Classification],"&gt;0")</f>
        <v>0</v>
      </c>
      <c r="MD133" s="6">
        <f>COUNTIFS(Table24[Country],Tabela1[[#This Row],[Country]],Table24[Greco-Roman 87kg Classification],"&gt;0")</f>
        <v>0</v>
      </c>
      <c r="ME133" s="6">
        <f>COUNTIFS(Table24[Country],Tabela1[[#This Row],[Country]],Table24[Greco-Roman 97kg Classification],"&gt;0")</f>
        <v>0</v>
      </c>
      <c r="MF133" s="6">
        <f>COUNTIFS(Table24[Country],Tabela1[[#This Row],[Country]],Table24[Greco-Roman 130kg Classification],"&gt;0")</f>
        <v>0</v>
      </c>
      <c r="MG133" s="6">
        <f>COUNTIFS(Table31[Country],Tabela1[[#This Row],[Country]],Table31[50kg Classification],"&gt;0")</f>
        <v>0</v>
      </c>
      <c r="MH133" s="6">
        <f>COUNTIFS(Table31[Country],Tabela1[[#This Row],[Country]],Table31[53kg Classification],"&gt;0")</f>
        <v>0</v>
      </c>
      <c r="MI133" s="6">
        <f>COUNTIFS(Table31[Country],Tabela1[[#This Row],[Country]],Table31[57kg Classification],"&gt;0")</f>
        <v>0</v>
      </c>
      <c r="MJ133" s="6">
        <f>COUNTIFS(Table31[Country],Tabela1[[#This Row],[Country]],Table31[62kg Classification],"&gt;0")</f>
        <v>0</v>
      </c>
      <c r="MK133" s="6">
        <f>COUNTIFS(Table31[Country],Tabela1[[#This Row],[Country]],Table31[68kg Classification],"&gt;0")</f>
        <v>0</v>
      </c>
      <c r="ML133" s="6">
        <f>COUNTIFS(Table31[Country],Tabela1[[#This Row],[Country]],Table31[76kg Classification],"&gt;0")</f>
        <v>0</v>
      </c>
      <c r="MM133" s="6">
        <f>COUNTIFS(Table102[Country],Tabela1[[#This Row],[Country]],Table102[Downhill Classification],"&gt;0")</f>
        <v>0</v>
      </c>
      <c r="MN133" s="6">
        <f>COUNTIFS(Table102105[Country],Tabela1[[#This Row],[Country]],Table102105[Downhill Classification],"&gt;0")</f>
        <v>0</v>
      </c>
      <c r="MO133" s="6">
        <f>COUNTIFS(Table102[Country],Tabela1[[#This Row],[Country]],Table102[Giant Slalom Classification],"&gt;0")</f>
        <v>0</v>
      </c>
      <c r="MP133" s="6">
        <f>COUNTIFS(Table102105[Country],Tabela1[[#This Row],[Country]],Table102105[Giant Slalom Classification],"&gt;0")</f>
        <v>0</v>
      </c>
      <c r="MQ133" s="6">
        <f>COUNTIFS(Table102[Country],Tabela1[[#This Row],[Country]],Table102[Slalom Classification],"&gt;0")</f>
        <v>0</v>
      </c>
      <c r="MR133" s="6">
        <f>COUNTIFS(Table102105[Country],Tabela1[[#This Row],[Country]],Table102105[Slalom Classification],"&gt;0")</f>
        <v>0</v>
      </c>
      <c r="MS133" s="6">
        <f>COUNTIFS(Table102[Country],Tabela1[[#This Row],[Country]],Table102[Super-G Classification],"&gt;0")</f>
        <v>0</v>
      </c>
      <c r="MT133" s="6">
        <f>COUNTIFS(Table102105[Country],Tabela1[[#This Row],[Country]],Table102105[Super-G Classification],"&gt;0")</f>
        <v>0</v>
      </c>
      <c r="MU133" s="6">
        <f>COUNTIFS(Table105[Country],Tabela1[[#This Row],[Country]],Table105[Men''s Combined Classification],"&gt;0")</f>
        <v>0</v>
      </c>
      <c r="MV133" s="6">
        <f>COUNTIFS(Table105[Country],Tabela1[[#This Row],[Country]],Table105[Women''s Combined Classification],"&gt;0")</f>
        <v>0</v>
      </c>
      <c r="MW133" s="6">
        <f>COUNTIFS(Table106[Country],Tabela1[[#This Row],[Country]],Table106[Individual Classification],"&gt;0")</f>
        <v>0</v>
      </c>
      <c r="MX133" s="6">
        <f>COUNTIFS(Table106109[Country],Tabela1[[#This Row],[Country]],Table106109[Individual Classification],"&gt;0")</f>
        <v>0</v>
      </c>
      <c r="MY133" s="6">
        <f>COUNTIFS(Table106[Country],Tabela1[[#This Row],[Country]],Table106[Mass Start Classification],"&gt;0")</f>
        <v>0</v>
      </c>
      <c r="MZ133" s="6">
        <f>COUNTIFS(Table106109[Country],Tabela1[[#This Row],[Country]],Table106109[Mass Start Classification],"&gt;0")</f>
        <v>0</v>
      </c>
      <c r="NA133" s="6">
        <f>COUNTIFS(Table106[Country],Tabela1[[#This Row],[Country]],Table106[Pursuit Classification],"&gt;0")</f>
        <v>0</v>
      </c>
      <c r="NB133" s="6">
        <f>COUNTIFS(Table106109[Country],Tabela1[[#This Row],[Country]],Table106109[Pursuit Classification],"&gt;0")</f>
        <v>0</v>
      </c>
      <c r="NC133" s="6">
        <f>COUNTIFS(Table106[Country],Tabela1[[#This Row],[Country]],Table106[Sprint Classification],"&gt;0")</f>
        <v>0</v>
      </c>
      <c r="ND133" s="6">
        <f>COUNTIFS(Table106109[Country],Tabela1[[#This Row],[Country]],Table106109[Sprint Classification],"&gt;0")</f>
        <v>0</v>
      </c>
      <c r="NE133" s="6">
        <f>COUNTIFS(Table109[Country],Tabela1[[#This Row],[Country]],Table109[Men''s Relay Classification],"&gt;0")</f>
        <v>0</v>
      </c>
      <c r="NF133" s="6">
        <f>COUNTIFS(Table109[Country],Tabela1[[#This Row],[Country]],Table109[Women''s Relay Classification],"&gt;0")</f>
        <v>0</v>
      </c>
      <c r="NG133" s="6">
        <f>COUNTIFS(Table109[Country],Tabela1[[#This Row],[Country]],Table109[Mixed Relay Classification],"&gt;0")</f>
        <v>0</v>
      </c>
      <c r="NH133" s="6">
        <f>COUNTIFS(Table110[Country],Tabela1[[#This Row],[Country]],Table110[Monobob Classification],"&gt;0")</f>
        <v>0</v>
      </c>
      <c r="NI133" s="6">
        <f>COUNTIFS(Table111[Country],Tabela1[[#This Row],[Country]],Table111[Men''s Classification],"&gt;0")</f>
        <v>0</v>
      </c>
      <c r="NJ133" s="6">
        <f>COUNTIFS(Table111[Country],Tabela1[[#This Row],[Country]],Table111[Women''s Classification],"&gt;0")</f>
        <v>0</v>
      </c>
      <c r="NK133" s="6">
        <f>COUNTIFS(Table112[Country],Tabela1[[#This Row],[Country]],Table112[Men''s Four Classification],"&gt;0")</f>
        <v>0</v>
      </c>
      <c r="NL133" s="6">
        <f>COUNTIFS(Table113[Country],Tabela1[[#This Row],[Country]],Table113[Classical Classification],"&gt;0")</f>
        <v>0</v>
      </c>
      <c r="NM133" s="6">
        <f>COUNTIFS(Table113116[Country],Tabela1[[#This Row],[Country]],Table113116[Classical Classification],"&gt;0")</f>
        <v>0</v>
      </c>
      <c r="NN133" s="6">
        <f>COUNTIFS(Table113[Country],Tabela1[[#This Row],[Country]],Table113[Freestyle Classification],"&gt;0")</f>
        <v>0</v>
      </c>
      <c r="NO133" s="6">
        <f>COUNTIFS(Table113116[Country],Tabela1[[#This Row],[Country]],Table113116[Freestyle Classification],"&gt;0")</f>
        <v>0</v>
      </c>
      <c r="NP133" s="6">
        <f>COUNTIFS(Table117[Country],Tabela1[[#This Row],[Country]],Table117[Men''s Relay Classification],"&gt;0")</f>
        <v>0</v>
      </c>
      <c r="NQ133" s="6">
        <f>COUNTIFS(Table117[Country],Tabela1[[#This Row],[Country]],Table117[Women''s Relay Classification],"&gt;0")</f>
        <v>0</v>
      </c>
      <c r="NR133" s="6">
        <f>COUNTIFS(Table113[Country],Tabela1[[#This Row],[Country]],Table113[Skiathlon Classification],"&gt;0")</f>
        <v>0</v>
      </c>
      <c r="NS133" s="6">
        <f>COUNTIFS(Table113116[Country],Tabela1[[#This Row],[Country]],Table113116[Skiathlon Classification],"&gt;0")</f>
        <v>0</v>
      </c>
      <c r="NT133" s="6">
        <f>COUNTIFS(Table113[Country],Tabela1[[#This Row],[Country]],Table113[Sprint Classification],"&gt;0")</f>
        <v>0</v>
      </c>
      <c r="NU133" s="6">
        <f>COUNTIFS(Table113116[Country],Tabela1[[#This Row],[Country]],Table113116[Sprint Classification],"&gt;0")</f>
        <v>0</v>
      </c>
      <c r="NV133" s="6">
        <f>COUNTIFS(Table116[Country],Tabela1[[#This Row],[Country]],Table116[Men''s Team Sprint Classification],"&gt;0")</f>
        <v>0</v>
      </c>
      <c r="NW133" s="6">
        <f>COUNTIFS(Table116[Country],Tabela1[[#This Row],[Country]],Table116[Women''s Team Sprint Classification],"&gt;0")</f>
        <v>0</v>
      </c>
      <c r="NX133" s="6">
        <f>COUNTIFS(Table119[Country],Tabela1[[#This Row],[Country]],Table119[Men''s Classification],"&gt;0")</f>
        <v>0</v>
      </c>
      <c r="NY133" s="6">
        <f>COUNTIFS(Table119[Country],Tabela1[[#This Row],[Country]],Table119[Women''s Classification],"&gt;0")</f>
        <v>0</v>
      </c>
      <c r="NZ133" s="6">
        <f>COUNTIFS(Table118[Country],Tabela1[[#This Row],[Country]],Table118[Mixed Classification],"&gt;0")</f>
        <v>0</v>
      </c>
      <c r="OA133" s="6">
        <f>COUNTIFS(Table120[Country],Tabela1[[#This Row],[Country]],Table120[Classification],"&gt;0")</f>
        <v>0</v>
      </c>
      <c r="OB133" s="6">
        <f>COUNTIFS(Table120123[Country],Tabela1[[#This Row],[Country]],Table120123[Classification],"&gt;0")</f>
        <v>0</v>
      </c>
      <c r="OC133" s="6">
        <f>COUNTIFS(Table123[Country],Tabela1[[#This Row],[Country]],Table123[Ice Dance Classification],"&gt;0")</f>
        <v>0</v>
      </c>
      <c r="OD133" s="6">
        <f>COUNTIFS(Table123[Country],Tabela1[[#This Row],[Country]],Table123[Pair Skating Classification],"&gt;0")</f>
        <v>0</v>
      </c>
      <c r="OE133" s="6">
        <f>COUNTIFS(Table124[Country],Tabela1[[#This Row],[Country]],Table124[Mixed Classification],"&gt;0")</f>
        <v>0</v>
      </c>
      <c r="OF133" s="6">
        <f>COUNTIFS(Table125[Country],Tabela1[[#This Row],[Country]],Table125[Aerials Classification],"&gt;0")</f>
        <v>0</v>
      </c>
      <c r="OG133" s="6">
        <f>COUNTIFS(Table125128[Country],Tabela1[[#This Row],[Country]],Table125128[Aerials Classification],"&gt;0")</f>
        <v>0</v>
      </c>
      <c r="OH133" s="6">
        <f>COUNTIFS(Table128[Country],Tabela1[[#This Row],[Country]],Table128[Mixed Aerials Classification],"&gt;0")</f>
        <v>0</v>
      </c>
      <c r="OI133" s="6">
        <f>COUNTIFS(Table125[Country],Tabela1[[#This Row],[Country]],Table125[Big Air Classification],"&gt;0")</f>
        <v>0</v>
      </c>
      <c r="OJ133" s="6">
        <f>COUNTIFS(Table125128[Country],Tabela1[[#This Row],[Country]],Table125128[Big Air Classification],"&gt;0")</f>
        <v>0</v>
      </c>
      <c r="OK133" s="6">
        <f>COUNTIFS(Table125[Country],Tabela1[[#This Row],[Country]],Table125[Dual Moguls Classification],"&gt;0")</f>
        <v>0</v>
      </c>
      <c r="OL133" s="6">
        <f>COUNTIFS(Table125128[Country],Tabela1[[#This Row],[Country]],Table125128[Dual Moguls Classification],"&gt;0")</f>
        <v>0</v>
      </c>
      <c r="OM133" s="6">
        <f>COUNTIFS(Table125[Country],Tabela1[[#This Row],[Country]],Table125[Halfpipe Classification],"&gt;0")</f>
        <v>0</v>
      </c>
      <c r="ON133" s="6">
        <f>COUNTIFS(Table125128[Country],Tabela1[[#This Row],[Country]],Table125128[Halfpipe Classification],"&gt;0")</f>
        <v>0</v>
      </c>
      <c r="OO133" s="6">
        <f>COUNTIFS(Table125[Country],Tabela1[[#This Row],[Country]],Table125[Moguls Classification],"&gt;0")</f>
        <v>0</v>
      </c>
      <c r="OP133" s="6">
        <f>COUNTIFS(Table125128[Country],Tabela1[[#This Row],[Country]],Table125128[Moguls Classification],"&gt;0")</f>
        <v>0</v>
      </c>
      <c r="OQ133" s="6">
        <f>COUNTIFS(Table125[Country],Tabela1[[#This Row],[Country]],Table125[Ski Cross Classification],"&gt;0")</f>
        <v>0</v>
      </c>
      <c r="OR133" s="6">
        <f>COUNTIFS(Table125128[Country],Tabela1[[#This Row],[Country]],Table125128[Ski Cross Classification],"&gt;0")</f>
        <v>0</v>
      </c>
      <c r="OS133" s="6">
        <f>COUNTIFS(Table125[Country],Tabela1[[#This Row],[Country]],Table125[Slopestyle Classification],"&gt;0")</f>
        <v>0</v>
      </c>
      <c r="OT133" s="6">
        <f>COUNTIFS(Table125128[Country],Tabela1[[#This Row],[Country]],Table125128[Slopestyle Classification],"&gt;0")</f>
        <v>0</v>
      </c>
      <c r="OU133" s="6">
        <f>COUNTIFS(Table119131[Country],Tabela1[[#This Row],[Country]],Table119131[Men''s Classification],"&gt;0")</f>
        <v>0</v>
      </c>
      <c r="OV133" s="6">
        <f>COUNTIFS(Table119131[Country],Tabela1[[#This Row],[Country]],Table119131[Women''s Classification],"&gt;0")</f>
        <v>0</v>
      </c>
      <c r="OW133" s="6">
        <f>COUNTIFS(Table131[Country],Tabela1[[#This Row],[Country]],Table131[Classification],"&gt;0")</f>
        <v>0</v>
      </c>
      <c r="OX133" s="6">
        <f>COUNTIFS(Table131134[Country],Tabela1[[#This Row],[Country]],Table131134[Classification],"&gt;0")</f>
        <v>0</v>
      </c>
      <c r="OY133" s="6">
        <f>COUNTIFS(Table134[Country],Tabela1[[#This Row],[Country]],Table134[Men''s Classification],"&gt;0")</f>
        <v>0</v>
      </c>
      <c r="OZ133" s="6">
        <f>COUNTIFS(Table134[Country],Tabela1[[#This Row],[Country]],Table134[Women''s Classification],"&gt;0")</f>
        <v>0</v>
      </c>
      <c r="PA133" s="6">
        <f>COUNTIFS(Table135[Country],Tabela1[[#This Row],[Country]],Table135[Mixed Relay Classification],"&gt;0")</f>
        <v>0</v>
      </c>
      <c r="PB133" s="6">
        <f>COUNTIFS(Table136[Country],Tabela1[[#This Row],[Country]],Table136[Individual Classification],"&gt;0")</f>
        <v>0</v>
      </c>
      <c r="PC133" s="6">
        <f>COUNTIFS(Table136[Country],Tabela1[[#This Row],[Country]],Table136[Sprint Classification],"&gt;0")</f>
        <v>0</v>
      </c>
      <c r="PD133" s="6">
        <f>COUNTIFS(Table137[Country],Tabela1[[#This Row],[Country]],Table137[Men''s Team Sprint Large Hill Classification],"&gt;0")</f>
        <v>0</v>
      </c>
      <c r="PE133" s="6">
        <f>COUNTIFS(Table138[Country],Tabela1[[#This Row],[Country]],Table138[500m Classification],"&gt;0")</f>
        <v>0</v>
      </c>
      <c r="PF133" s="6">
        <f>COUNTIFS(Table138141[Country],Tabela1[[#This Row],[Country]],Table138141[500m Classification],"&gt;0")</f>
        <v>0</v>
      </c>
      <c r="PG133" s="6">
        <f>COUNTIFS(Table138[Country],Tabela1[[#This Row],[Country]],Table138[1000m Classification],"&gt;0")</f>
        <v>0</v>
      </c>
      <c r="PH133" s="6">
        <f>COUNTIFS(Table138141[Country],Tabela1[[#This Row],[Country]],Table138141[1000m Classification],"&gt;0")</f>
        <v>0</v>
      </c>
      <c r="PI133" s="6">
        <f>COUNTIFS(Table138[Country],Tabela1[[#This Row],[Country]],Table138[1500m Classification],"&gt;0")</f>
        <v>0</v>
      </c>
      <c r="PJ133" s="6">
        <f>COUNTIFS(Table138141[Country],Tabela1[[#This Row],[Country]],Table138141[1500m Classification],"&gt;0")</f>
        <v>0</v>
      </c>
      <c r="PK133" s="6">
        <f>COUNTIFS(Table141[Country],Tabela1[[#This Row],[Country]],Table141[Men''s 5000m Relay Classification],"&gt;0")</f>
        <v>0</v>
      </c>
      <c r="PL133" s="6">
        <f>COUNTIFS(Table141[Country],Tabela1[[#This Row],[Country]],Table141[Women''s 3000m Relay Classification],"&gt;0")</f>
        <v>0</v>
      </c>
      <c r="PM133" s="6">
        <f>COUNTIFS(Table141[Country],Tabela1[[#This Row],[Country]],Table141[Mixed 2000m Relay Classification],"&gt;0")</f>
        <v>0</v>
      </c>
      <c r="PN133" s="6">
        <f>COUNTIFS(Table142[Country],Tabela1[[#This Row],[Country]],Table142[Classification],"&gt;0")</f>
        <v>0</v>
      </c>
      <c r="PO133" s="6">
        <f>COUNTIFS(Table142145[Country],Tabela1[[#This Row],[Country]],Table142145[Classification],"&gt;0")</f>
        <v>0</v>
      </c>
      <c r="PP133" s="6">
        <f>COUNTIFS(Tabela15[Country],Tabela1[[#This Row],[Country]],Tabela15[Mixed Team Classification],"&gt;0")</f>
        <v>0</v>
      </c>
      <c r="PQ133" s="6">
        <f>COUNTIFS(Table145[Country],Tabela1[[#This Row],[Country]],Table145[Large Hill Classification],"&gt;0")</f>
        <v>0</v>
      </c>
      <c r="PR133" s="6">
        <f>COUNTIFS(Table145[Country],Tabela1[[#This Row],[Country]],Table145[Normal Hill Classification],"&gt;0")</f>
        <v>0</v>
      </c>
      <c r="PS133" s="6">
        <f>COUNTIFS(Table145148[Country],Tabela1[[#This Row],[Country]],Table145148[Large Hill Classification],"&gt;0")</f>
        <v>0</v>
      </c>
      <c r="PT133" s="6">
        <f>COUNTIFS(Table145148[Country],Tabela1[[#This Row],[Country]],Table145148[Normal Hill Classification],"&gt;0")</f>
        <v>0</v>
      </c>
      <c r="PU133" s="6">
        <f>COUNTIFS(Table148[Country],Tabela1[[#This Row],[Country]],Table148[Men''s Super Team Classification],"&gt;0")</f>
        <v>0</v>
      </c>
      <c r="PV133" s="6">
        <f>COUNTIFS(Tabela114[Country],Tabela1[[#This Row],[Country]],Tabela114[Mixed Normal Hill Classification],"&gt;0")</f>
        <v>0</v>
      </c>
      <c r="PW133" s="6">
        <f>COUNTIFS(Tabela50[Country],Tabela1[[#This Row],[Country]],Tabela50[Sprint Classification],"&gt;0")</f>
        <v>0</v>
      </c>
      <c r="PX133" s="6">
        <f>COUNTIFS(Tabela50101[Country],Tabela1[[#This Row],[Country]],Tabela50101[Sprint Classification],"&gt;0")</f>
        <v>0</v>
      </c>
      <c r="PY133" s="6">
        <f>COUNTIFS(Tabela103[Country],Tabela1[[#This Row],[Country]],Tabela103[Mixed Relay Classification],"&gt;0")</f>
        <v>0</v>
      </c>
      <c r="PZ133" s="6">
        <f>COUNTIFS(Table149[Country],Tabela1[[#This Row],[Country]],Table149[Big Air Classification],"&gt;0")</f>
        <v>0</v>
      </c>
      <c r="QA133" s="6">
        <f>COUNTIFS(Table149152[Country],Tabela1[[#This Row],[Country]],Table149152[Big Air Classification],"&gt;0")</f>
        <v>0</v>
      </c>
      <c r="QB133" s="6">
        <f>COUNTIFS(Table149[Country],Tabela1[[#This Row],[Country]],Table149[Halfpipe Classification],"&gt;0")</f>
        <v>0</v>
      </c>
      <c r="QC133" s="6">
        <f>COUNTIFS(Table149152[Country],Tabela1[[#This Row],[Country]],Table149152[Halfpipe Classification],"&gt;0")</f>
        <v>0</v>
      </c>
      <c r="QD133" s="6">
        <f>COUNTIFS(Table149[Country],Tabela1[[#This Row],[Country]],Table149[Parallel Giant Slalom Classification],"&gt;0")</f>
        <v>0</v>
      </c>
      <c r="QE133" s="6">
        <f>COUNTIFS(Table149152[Country],Tabela1[[#This Row],[Country]],Table149152[Parallel Giant Slalom Classification],"&gt;0")</f>
        <v>0</v>
      </c>
      <c r="QF133" s="6">
        <f>COUNTIFS(Table149[Country],Tabela1[[#This Row],[Country]],Table149[Slopestyle Classification],"&gt;0")</f>
        <v>0</v>
      </c>
      <c r="QG133" s="6">
        <f>COUNTIFS(Table149152[Country],Tabela1[[#This Row],[Country]],Table149152[Slopestyle Classification],"&gt;0")</f>
        <v>0</v>
      </c>
      <c r="QH133" s="6">
        <f>COUNTIFS(Table149[Country],Tabela1[[#This Row],[Country]],Table149[Snowboard Cross Classification],"&gt;0")</f>
        <v>0</v>
      </c>
      <c r="QI133" s="6">
        <f>COUNTIFS(Table149152[Country],Tabela1[[#This Row],[Country]],Table149152[Snowboard Cross Classification],"&gt;0")</f>
        <v>0</v>
      </c>
      <c r="QJ133" s="6">
        <f>COUNTIFS(Table153[Country],Tabela1[[#This Row],[Country]],Table153[Mixed Team Snowboard Cross Classification],"&gt;0")</f>
        <v>0</v>
      </c>
      <c r="QK133" s="6">
        <f>COUNTIFS(Table154[Country],Tabela1[[#This Row],[Country]],Table154[500m Classification],"&gt;0")</f>
        <v>0</v>
      </c>
      <c r="QL133" s="6">
        <f>COUNTIFS(Table154157[Country],Tabela1[[#This Row],[Country]],Table154157[500m Classification],"&gt;0")</f>
        <v>0</v>
      </c>
      <c r="QM133" s="6">
        <f>COUNTIFS(Table154[Country],Tabela1[[#This Row],[Country]],Table154[1000m Classification],"&gt;0")</f>
        <v>0</v>
      </c>
      <c r="QN133" s="6">
        <f>COUNTIFS(Table154157[Country],Tabela1[[#This Row],[Country]],Table154157[1000m Classification],"&gt;0")</f>
        <v>0</v>
      </c>
      <c r="QO133" s="6">
        <f>COUNTIFS(Table154[Country],Tabela1[[#This Row],[Country]],Table154[1500m Classification],"&gt;0")</f>
        <v>0</v>
      </c>
      <c r="QP133" s="6">
        <f>COUNTIFS(Table154157[Country],Tabela1[[#This Row],[Country]],Table154157[1500m Classification],"&gt;0")</f>
        <v>0</v>
      </c>
      <c r="QQ133" s="6">
        <f>COUNTIFS(Table154157[Country],Tabela1[[#This Row],[Country]],Table154157[3000m Classification],"&gt;0")</f>
        <v>0</v>
      </c>
      <c r="QR133" s="6">
        <f>COUNTIFS(Table154[Country],Tabela1[[#This Row],[Country]],Table154[5000m Classification],"&gt;0")</f>
        <v>0</v>
      </c>
      <c r="QS133" s="6">
        <f>COUNTIFS(Table154157[Country],Tabela1[[#This Row],[Country]],Table154157[5000m Classification],"&gt;0")</f>
        <v>0</v>
      </c>
      <c r="QT133" s="6">
        <f>COUNTIFS(Table154[Country],Tabela1[[#This Row],[Country]],Table154[10000m Classification],"&gt;0")</f>
        <v>0</v>
      </c>
      <c r="QU133" s="6">
        <f>COUNTIFS(Table154[Country],Tabela1[[#This Row],[Country]],Table154[Mass Start Classification],"&gt;0")</f>
        <v>0</v>
      </c>
      <c r="QV133" s="6">
        <f>COUNTIFS(Table154157[Country],Tabela1[[#This Row],[Country]],Table154157[Mass Start Classification],"&gt;0")</f>
        <v>0</v>
      </c>
      <c r="QW133" s="6">
        <f>COUNTIFS(Table157[Country],Tabela1[[#This Row],[Country]],Table157[Men''s Pursuit Classification],"&gt;0")</f>
        <v>0</v>
      </c>
      <c r="QX133" s="6">
        <f>COUNTIFS(Table157[Country],Tabela1[[#This Row],[Country]],Table157[Women''s Pursuit Classification],"&gt;0")</f>
        <v>0</v>
      </c>
      <c r="QY133" s="4" t="s">
        <v>473</v>
      </c>
    </row>
    <row r="134" spans="1:467" x14ac:dyDescent="0.3">
      <c r="A134" s="6">
        <v>133</v>
      </c>
      <c r="B134" s="6" t="s">
        <v>658</v>
      </c>
      <c r="C134" t="e" vm="133">
        <f>IF(ISBLANK(Tabela1[[#This Row],[Image Link]]), "", _xlfn.IMAGE(Tabela1[[#This Row],[Image Link]],1,1))</f>
        <v>#VALUE!</v>
      </c>
      <c r="D134" s="6">
        <f>SUM(Tabela1[[#This Row],[Archery - Men''s Individual Recurve]:[Speed Skating - Women''s Team Pursuit]])</f>
        <v>1</v>
      </c>
      <c r="E134" s="6">
        <f>COUNTIF(Tabela1[[#This Row],[Archery - Men''s Individual Recurve]:[Speed Skating - Women''s Team Pursuit]],"&gt;0")</f>
        <v>1</v>
      </c>
      <c r="F134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34" s="6">
        <f>SUM(Tabela1[[#This Row],[Archery - Men''s Individual Recurve]:[Wrestling - Women''s Freestyle 76kg]])</f>
        <v>1</v>
      </c>
      <c r="H134" s="6">
        <f>SUM(Tabela1[[#This Row],[Alpine Skiing - Men''s Downhill]:[Speed Skating - Women''s Team Pursuit]])</f>
        <v>0</v>
      </c>
      <c r="I134" s="6">
        <f>Tabela1[[#This Row],[Summer Gold Medals]]+Tabela1[[#This Row],[Winter Gold Medals]]</f>
        <v>0</v>
      </c>
      <c r="J134" s="6">
        <f>Tabela1[[#This Row],[Summer Silver Medals]]+Tabela1[[#This Row],[Winter Silver Medals]]</f>
        <v>2</v>
      </c>
      <c r="K134" s="6">
        <f>Tabela1[[#This Row],[Summer Bronze Medals]]+Tabela1[[#This Row],[Winter Bronze Medals]]</f>
        <v>4</v>
      </c>
      <c r="L134" s="6">
        <f>SUM(Tabela1[[#This Row],[Total Gold Medals]:[Total Bronze Medals]])</f>
        <v>6</v>
      </c>
      <c r="M134" s="6"/>
      <c r="N134" s="6">
        <v>2</v>
      </c>
      <c r="O134" s="6">
        <v>4</v>
      </c>
      <c r="P134" s="6">
        <f>SUM(Tabela1[[#This Row],[Summer Gold Medals]:[Summer Bronze Medals]])</f>
        <v>6</v>
      </c>
      <c r="Q134" s="6"/>
      <c r="R134" s="6"/>
      <c r="S134" s="6"/>
      <c r="T134" s="6">
        <f>Tabela1[[#This Row],[Winter Gold Medals]]+Tabela1[[#This Row],[Winter Silver Medals]]+Tabela1[[#This Row],[Winter Bronze Medals]]</f>
        <v>0</v>
      </c>
      <c r="U134" s="7">
        <f>Tabela1[[#This Row],[Total Medals]]/Tabela1[[#This Row],[Total Quotas]]</f>
        <v>6</v>
      </c>
      <c r="V134" s="6">
        <f>COUNTIFS(Table3[Country],Tabela1[[#This Row],[Country]],Table3[Recurve Classification],"&gt;0")</f>
        <v>0</v>
      </c>
      <c r="W134" s="6">
        <f>COUNTIFS(Table33[Country],Tabela1[[#This Row],[Country]],Table33[Recurve Classification],"&gt;0")</f>
        <v>0</v>
      </c>
      <c r="X134" s="6">
        <f>COUNTIFS(Table35[Country],Tabela1[[#This Row],[Country]],Table35[Men''s Team Recurve Classification],"&gt;0")</f>
        <v>0</v>
      </c>
      <c r="Y134" s="6">
        <f>COUNTIFS(Table35[Country],Tabela1[[#This Row],[Country]],Table35[Women''s Team Recurve Classification],"&gt;0")</f>
        <v>0</v>
      </c>
      <c r="Z134" s="6">
        <f>COUNTIFS(Tabela88[Country],Tabela1[[#This Row],[Country]],Tabela88[Mixed Team Recurve Classification],"&gt;0")</f>
        <v>0</v>
      </c>
      <c r="AA134" s="6">
        <f>COUNTIFS(Table36[Country],Tabela1[[#This Row],[Country]],Table36[Classification],"&gt;0")</f>
        <v>0</v>
      </c>
      <c r="AB134" s="6">
        <f>COUNTIFS(Table37[Country],Tabela1[[#This Row],[Country]],Table37[Classification],"&gt;0")</f>
        <v>0</v>
      </c>
      <c r="AC134" s="6">
        <f>COUNTIFS(Table4[Country],Tabela1[[#This Row],[Country]],Table4[100m Classification],"&gt;0")</f>
        <v>0</v>
      </c>
      <c r="AD134" s="6">
        <f>COUNTIFS(Table5[Country],Tabela1[[#This Row],[Country]],Table5[100m Classification],"&gt;0")</f>
        <v>0</v>
      </c>
      <c r="AE134" s="6">
        <f>COUNTIFS(Table4[Country],Tabela1[[#This Row],[Country]],Table4[200m Classification],"&gt;0")</f>
        <v>0</v>
      </c>
      <c r="AF134" s="6">
        <f>COUNTIFS(Table5[Country],Tabela1[[#This Row],[Country]],Table5[200m Classification],"&gt;0")</f>
        <v>0</v>
      </c>
      <c r="AG134" s="6">
        <f>COUNTIFS(Table4[Country],Tabela1[[#This Row],[Country]],Table4[400m Classification],"&gt;0")</f>
        <v>0</v>
      </c>
      <c r="AH134" s="6">
        <f>COUNTIFS(Table5[Country],Tabela1[[#This Row],[Country]],Table5[400m Classification],"&gt;0")</f>
        <v>0</v>
      </c>
      <c r="AI134" s="6">
        <f>COUNTIFS(Table4[Country],Tabela1[[#This Row],[Country]],Table4[800m Classification],"&gt;0")</f>
        <v>0</v>
      </c>
      <c r="AJ134" s="6">
        <f>COUNTIFS(Table5[Country],Tabela1[[#This Row],[Country]],Table5[800m Classification],"&gt;0")</f>
        <v>0</v>
      </c>
      <c r="AK134" s="6">
        <f>COUNTIFS(Table4[Country],Tabela1[[#This Row],[Country]],Table4[1500m Classification],"&gt;0")</f>
        <v>0</v>
      </c>
      <c r="AL134" s="6">
        <f>COUNTIFS(Table5[Country],Tabela1[[#This Row],[Country]],Table5[1500m Classification],"&gt;0")</f>
        <v>0</v>
      </c>
      <c r="AM134" s="6">
        <f>COUNTIFS(Table4[Country],Tabela1[[#This Row],[Country]],Table4[5000m Classification],"&gt;0")</f>
        <v>0</v>
      </c>
      <c r="AN134" s="6">
        <f>COUNTIFS(Table5[Country],Tabela1[[#This Row],[Country]],Table5[5000m Classification],"&gt;0")</f>
        <v>0</v>
      </c>
      <c r="AO134" s="6">
        <f>COUNTIFS(Table4[Country],Tabela1[[#This Row],[Country]],Table4[10000m Classification],"&gt;0")</f>
        <v>0</v>
      </c>
      <c r="AP134" s="6">
        <f>COUNTIFS(Table5[Country],Tabela1[[#This Row],[Country]],Table5[10000m Classification],"&gt;0")</f>
        <v>0</v>
      </c>
      <c r="AQ134" s="6">
        <f>COUNTIFS(Table4[Country],Tabela1[[#This Row],[Country]],Table4[110m Hurdles Classification],"&gt;0")</f>
        <v>0</v>
      </c>
      <c r="AR134" s="6">
        <f>COUNTIFS(Table5[Country],Tabela1[[#This Row],[Country]],Table5[100m Hurdles Classification],"&gt;0")</f>
        <v>0</v>
      </c>
      <c r="AS134" s="6">
        <f>COUNTIFS(Table4[Country],Tabela1[[#This Row],[Country]],Table4[400m Hurdles Classification],"&gt;0")</f>
        <v>0</v>
      </c>
      <c r="AT134" s="6">
        <f>COUNTIFS(Table5[Country],Tabela1[[#This Row],[Country]],Table5[400m Hurdles Classification],"&gt;0")</f>
        <v>0</v>
      </c>
      <c r="AU134" s="6">
        <f>COUNTIFS(Table4[Country],Tabela1[[#This Row],[Country]],Table4[3000m Steeplechase Classification],"&gt;0")</f>
        <v>0</v>
      </c>
      <c r="AV134" s="6">
        <f>COUNTIFS(Table5[Country],Tabela1[[#This Row],[Country]],Table5[3000m Steeplechase Classification],"&gt;0")</f>
        <v>0</v>
      </c>
      <c r="AW134" s="6">
        <f>COUNTIFS(Table27[Country],Tabela1[[#This Row],[Country]],Table27[Men''s 4x100m Relay Classification],"&gt;0")</f>
        <v>0</v>
      </c>
      <c r="AX134" s="6">
        <f>COUNTIFS(Table27[Country],Tabela1[[#This Row],[Country]],Table27[Women''s 4x100m Relay Classification],"&gt;0")</f>
        <v>0</v>
      </c>
      <c r="AY134" s="6">
        <f>COUNTIFS(Table27[Country],Tabela1[[#This Row],[Country]],Table27[Men''s 4x400m Relay Classification],"&gt;0")</f>
        <v>0</v>
      </c>
      <c r="AZ134" s="6">
        <f>COUNTIFS(Table27[Country],Tabela1[[#This Row],[Country]],Table27[Women''s 4x400m Relay Classification],"&gt;0")</f>
        <v>0</v>
      </c>
      <c r="BA134" s="6">
        <f>COUNTIFS(Table27[Country],Tabela1[[#This Row],[Country]],Table27[Mixed 4x400m Relay Classification],"&gt;0")</f>
        <v>0</v>
      </c>
      <c r="BB134" s="6">
        <f>COUNTIFS(Table4[Country],Tabela1[[#This Row],[Country]],Table4[Marathon Classification],"&gt;0")</f>
        <v>0</v>
      </c>
      <c r="BC134" s="6">
        <f>COUNTIFS(Table5[Country],Tabela1[[#This Row],[Country]],Table5[Marathon Classification],"&gt;0")</f>
        <v>0</v>
      </c>
      <c r="BD134" s="6">
        <f>COUNTIFS(Table4[Country],Tabela1[[#This Row],[Country]],Table4[20km Race Walk Classification],"&gt;0")</f>
        <v>0</v>
      </c>
      <c r="BE134" s="6">
        <f>COUNTIFS(Table5[Country],Tabela1[[#This Row],[Country]],Table5[20km Race Walk Classification],"&gt;0")</f>
        <v>0</v>
      </c>
      <c r="BF134" s="6">
        <f>COUNTIFS(Tabela96[Country],Tabela1[[#This Row],[Country]],Tabela96[Mixed Marathon Race Walk Relay Classification],"&gt;0")</f>
        <v>0</v>
      </c>
      <c r="BG134" s="6">
        <f>COUNTIFS(Table4[Country],Tabela1[[#This Row],[Country]],Table4[Discus Throw Classification],"&gt;0")</f>
        <v>0</v>
      </c>
      <c r="BH134" s="6">
        <f>COUNTIFS(Table5[Country],Tabela1[[#This Row],[Country]],Table5[Discus Throw Classification],"&gt;0")</f>
        <v>0</v>
      </c>
      <c r="BI134" s="6">
        <f>COUNTIFS(Table4[Country],Tabela1[[#This Row],[Country]],Table4[Hammer Throw Classification],"&gt;0")</f>
        <v>0</v>
      </c>
      <c r="BJ134" s="6">
        <f>COUNTIFS(Table5[Country],Tabela1[[#This Row],[Country]],Table5[Hammer Throw Classification],"&gt;0")</f>
        <v>0</v>
      </c>
      <c r="BK134" s="6">
        <f>COUNTIFS(Table4[Country],Tabela1[[#This Row],[Country]],Table4[High Jump Classification],"&gt;0")</f>
        <v>0</v>
      </c>
      <c r="BL134" s="6">
        <f>COUNTIFS(Table5[Country],Tabela1[[#This Row],[Country]],Table5[High Jump Classification],"&gt;0")</f>
        <v>0</v>
      </c>
      <c r="BM134" s="6">
        <f>COUNTIFS(Table4[Country],Tabela1[[#This Row],[Country]],Table4[Javelin Throw Classification],"&gt;0")</f>
        <v>0</v>
      </c>
      <c r="BN134" s="6">
        <f>COUNTIFS(Table5[Country],Tabela1[[#This Row],[Country]],Table5[Javelin Throw Classification],"&gt;0")</f>
        <v>0</v>
      </c>
      <c r="BO134" s="6">
        <f>COUNTIFS(Table4[Country],Tabela1[[#This Row],[Country]],Table4[Long Jump Classification],"&gt;0")</f>
        <v>0</v>
      </c>
      <c r="BP134" s="6">
        <f>COUNTIFS(Table5[Country],Tabela1[[#This Row],[Country]],Table5[Long Jump Classification],"&gt;0")</f>
        <v>0</v>
      </c>
      <c r="BQ134" s="6">
        <f>COUNTIFS(Table4[Country],Tabela1[[#This Row],[Country]],Table4[Pole Vault Classification],"&gt;0")</f>
        <v>0</v>
      </c>
      <c r="BR134" s="6">
        <f>COUNTIFS(Table5[Country],Tabela1[[#This Row],[Country]],Table5[Pole Vault Classification],"&gt;0")</f>
        <v>0</v>
      </c>
      <c r="BS134" s="6">
        <f>COUNTIFS(Table4[Country],Tabela1[[#This Row],[Country]],Table4[Shot Put Classification],"&gt;0")</f>
        <v>0</v>
      </c>
      <c r="BT134" s="6">
        <f>COUNTIFS(Table5[Country],Tabela1[[#This Row],[Country]],Table5[Shot Put Classification],"&gt;0")</f>
        <v>0</v>
      </c>
      <c r="BU134" s="6">
        <f>COUNTIFS(Table4[Country],Tabela1[[#This Row],[Country]],Table4[Triple Jump Classification],"&gt;0")</f>
        <v>0</v>
      </c>
      <c r="BV134" s="6">
        <f>COUNTIFS(Table5[Country],Tabela1[[#This Row],[Country]],Table5[Triple Jump Classification],"&gt;0")</f>
        <v>0</v>
      </c>
      <c r="BW134" s="6">
        <f>COUNTIFS(Table4[Country],Tabela1[[#This Row],[Country]],Table4[Decathlon Classification],"&gt;0")</f>
        <v>0</v>
      </c>
      <c r="BX134" s="6">
        <f>COUNTIFS(Table5[Country],Tabela1[[#This Row],[Country]],Table5[Heptathlon Classification],"&gt;0")</f>
        <v>0</v>
      </c>
      <c r="BY134" s="6">
        <f>COUNTIFS(Table61[Country],Tabela1[[#This Row],[Country]],Table61[Classification],"&gt;0")</f>
        <v>0</v>
      </c>
      <c r="BZ134" s="6">
        <f>COUNTIFS(Table38[Country],Tabela1[[#This Row],[Country]],Table38[Classification],"&gt;0")</f>
        <v>0</v>
      </c>
      <c r="CA134" s="6">
        <f>COUNTIFS(Table39[Country],Tabela1[[#This Row],[Country]],Table39[Men''s Classification],"&gt;0")</f>
        <v>0</v>
      </c>
      <c r="CB134" s="6">
        <f>COUNTIFS(Table39[Country],Tabela1[[#This Row],[Country]],Table39[Women''s Classification],"&gt;0")</f>
        <v>0</v>
      </c>
      <c r="CC134" s="6">
        <f>COUNTIFS(Table39[Country],Tabela1[[#This Row],[Country]],Table39[Mixed Classification],"&gt;0")</f>
        <v>0</v>
      </c>
      <c r="CD134" s="6">
        <f>COUNTIFS(Table89[Country],Tabela1[[#This Row],[Country]],Table89[Men''s Classification],"&gt;0")</f>
        <v>0</v>
      </c>
      <c r="CE134" s="6">
        <f>COUNTIFS(Table89[Country],Tabela1[[#This Row],[Country]],Table89[Women''s Classification],"&gt;0")</f>
        <v>0</v>
      </c>
      <c r="CF134" s="6">
        <f>COUNTIFS(Table90[Country],Tabela1[[#This Row],[Country]],Table90[Men''s Classification],"&gt;0")</f>
        <v>0</v>
      </c>
      <c r="CG134" s="6">
        <f>COUNTIFS(Table90[Country],Tabela1[[#This Row],[Country]],Table90[Women''s Classification],"&gt;0")</f>
        <v>0</v>
      </c>
      <c r="CH134" s="6">
        <f>COUNTIFS(Table60[Country],Tabela1[[#This Row],[Country]],Table60[Men''s Classification],"&gt;0")</f>
        <v>0</v>
      </c>
      <c r="CI134" s="6">
        <f>COUNTIFS(Table60[Country],Tabela1[[#This Row],[Country]],Table60[Women''s Classification],"&gt;0")</f>
        <v>0</v>
      </c>
      <c r="CJ134" s="6">
        <f>COUNTIFS(Table6[Country],Tabela1[[#This Row],[Country]],Table6[51kg Classification],"&gt;0")</f>
        <v>0</v>
      </c>
      <c r="CK134" s="6">
        <f>COUNTIFS(Table6[Country],Tabela1[[#This Row],[Country]],Table6[57kg Classification],"&gt;0")</f>
        <v>0</v>
      </c>
      <c r="CL134" s="6">
        <f>COUNTIFS(Table6[Country],Tabela1[[#This Row],[Country]],Table6[63.5kg Classification],"&gt;0")</f>
        <v>0</v>
      </c>
      <c r="CM134" s="6">
        <f>COUNTIFS(Table6[Country],Tabela1[[#This Row],[Country]],Table6[71kg Classification],"&gt;0")</f>
        <v>0</v>
      </c>
      <c r="CN134" s="6">
        <f>COUNTIFS(Table6[Country],Tabela1[[#This Row],[Country]],Table6[80kg Classification],"&gt;0")</f>
        <v>0</v>
      </c>
      <c r="CO134" s="6">
        <f>COUNTIFS(Table6[Country],Tabela1[[#This Row],[Country]],Table6[92kg Classification],"&gt;0")</f>
        <v>0</v>
      </c>
      <c r="CP134" s="6">
        <f>COUNTIFS(Table6[Country],Tabela1[[#This Row],[Country]],Table6[Plus 92kg Classification],"&gt;0")</f>
        <v>0</v>
      </c>
      <c r="CQ134" s="6">
        <f>COUNTIFS(Table7[Country],Tabela1[[#This Row],[Country]],Table7[50kg Classification],"&gt;0")</f>
        <v>0</v>
      </c>
      <c r="CR134" s="6">
        <f>COUNTIFS(Table7[Country],Tabela1[[#This Row],[Country]],Table7[54kg Classification],"&gt;0")</f>
        <v>1</v>
      </c>
      <c r="CS134" s="6">
        <f>COUNTIFS(Table7[Country],Tabela1[[#This Row],[Country]],Table7[57kg Classification],"&gt;0")</f>
        <v>0</v>
      </c>
      <c r="CT134" s="6">
        <f>COUNTIFS(Table7[Country],Tabela1[[#This Row],[Country]],Table7[60kg Classification],"&gt;0")</f>
        <v>0</v>
      </c>
      <c r="CU134" s="6">
        <f>COUNTIFS(Table7[Country],Tabela1[[#This Row],[Country]],Table7[66kg Classification],"&gt;0")</f>
        <v>0</v>
      </c>
      <c r="CV134" s="6">
        <f>COUNTIFS(Table7[Country],Tabela1[[#This Row],[Country]],Table7[75kg Classification],"&gt;0")</f>
        <v>0</v>
      </c>
      <c r="CW134" s="6">
        <f>COUNTIFS(Tabela94[Country],Tabela1[[#This Row],[Country]],Tabela94[Classification],"&gt;0")</f>
        <v>0</v>
      </c>
      <c r="CX134" s="6">
        <f>COUNTIFS(Tabela9499[Country],Tabela1[[#This Row],[Country]],Tabela9499[Classification],"&gt;0")</f>
        <v>0</v>
      </c>
      <c r="CY134" s="6">
        <f>COUNTIFS(Tabela107[Country],Tabela1[[#This Row],[Country]],Tabela107[C1 Slalom Classification],"&gt;0")</f>
        <v>0</v>
      </c>
      <c r="CZ134" s="6">
        <f>COUNTIFS(Tabela107122[Country],Tabela1[[#This Row],[Country]],Tabela107122[C1 Slalom Classification],"&gt;0")</f>
        <v>0</v>
      </c>
      <c r="DA134" s="6">
        <f>COUNTIFS(Tabela107[Country],Tabela1[[#This Row],[Country]],Tabela107[K1 Slalom Classification],"&gt;0")</f>
        <v>0</v>
      </c>
      <c r="DB134" s="6">
        <f>COUNTIFS(Tabela107122[Country],Tabela1[[#This Row],[Country]],Tabela107122[K1 Slalom Classification],"&gt;0")</f>
        <v>0</v>
      </c>
      <c r="DC134" s="6">
        <f>COUNTIFS(Tabela107[Country],Tabela1[[#This Row],[Country]],Tabela107[Kayak Cross Slalom Classification],"&gt;0")</f>
        <v>0</v>
      </c>
      <c r="DD134" s="6">
        <f>COUNTIFS(Tabela107122[Country],Tabela1[[#This Row],[Country]],Tabela107122[Kayak Cross Slalom Classification],"&gt;0")</f>
        <v>0</v>
      </c>
      <c r="DE134" s="6">
        <f>COUNTIFS(Table8[Country],Tabela1[[#This Row],[Country]],Table8[C1 200m Classification],"&gt;0")</f>
        <v>0</v>
      </c>
      <c r="DF134" s="6">
        <f>COUNTIFS(Table40[Country],Tabela1[[#This Row],[Country]],Table40[C1 1000m Classification],"&gt;0")</f>
        <v>0</v>
      </c>
      <c r="DG134" s="6">
        <f>COUNTIFS(Table68[Country],Tabela1[[#This Row],[Country]],Table68[Men''s C2 500m Classification],"&gt;0")</f>
        <v>0</v>
      </c>
      <c r="DH134" s="6">
        <f>COUNTIFS(Table68[Country],Tabela1[[#This Row],[Country]],Table68[Women''s C2 500m Classification],"&gt;0")</f>
        <v>0</v>
      </c>
      <c r="DI134" s="6">
        <f>COUNTIFS(Table8[Country],Tabela1[[#This Row],[Country]],Table8[K1 500m Classification],"&gt;0")</f>
        <v>0</v>
      </c>
      <c r="DJ134" s="6">
        <f>COUNTIFS(Table40[Country],Tabela1[[#This Row],[Country]],Table40[K1 1000m Classification],"&gt;0")</f>
        <v>0</v>
      </c>
      <c r="DK134" s="6">
        <f>COUNTIFS(Table68[Country],Tabela1[[#This Row],[Country]],Table68[Men''s K2 500m Classification],"&gt;0")</f>
        <v>0</v>
      </c>
      <c r="DL134" s="6">
        <f>COUNTIFS(Table68[Country],Tabela1[[#This Row],[Country]],Table68[Women''s K2 500m Classification],"&gt;0")</f>
        <v>0</v>
      </c>
      <c r="DM134" s="6">
        <f>COUNTIFS(Table83[Country],Tabela1[[#This Row],[Country]],Table83[Men''s K4 500m Classification],"&gt;0")</f>
        <v>0</v>
      </c>
      <c r="DN134" s="6">
        <f>COUNTIFS(Table83[Country],Tabela1[[#This Row],[Country]],Table83[Women''s K4 500m Classification],"&gt;0")</f>
        <v>0</v>
      </c>
      <c r="DO134" s="6">
        <f>COUNTIFS(Tabela126[Country],Tabela1[[#This Row],[Country]],Tabela126[Classification],"&gt;0")</f>
        <v>0</v>
      </c>
      <c r="DP134" s="6">
        <f>COUNTIFS(Tabela126130[Country],Tabela1[[#This Row],[Country]],Tabela126130[Classification],"&gt;0")</f>
        <v>0</v>
      </c>
      <c r="DQ134" s="6">
        <f>COUNTIFS(Table70[Country],Tabela1[[#This Row],[Country]],Table70[Classification],"&gt;0")</f>
        <v>0</v>
      </c>
      <c r="DR134" s="6">
        <f>COUNTIFS(Table80[Country],Tabela1[[#This Row],[Country]],Table80[Classification],"&gt;0")</f>
        <v>0</v>
      </c>
      <c r="DS134" s="6">
        <f>COUNTIFS(Table66[Country],Tabela1[[#This Row],[Country]],Table66[Classification],"&gt;0")</f>
        <v>0</v>
      </c>
      <c r="DT134" s="6">
        <f>COUNTIFS(Table67[Country],Tabela1[[#This Row],[Country]],Table67[Classification],"&gt;0")</f>
        <v>0</v>
      </c>
      <c r="DU134" s="6">
        <f>COUNTIFS(Table69[Country],Tabela1[[#This Row],[Country]],Table69[Keirin Classification],"&gt;0")</f>
        <v>0</v>
      </c>
      <c r="DV134" s="6">
        <f>COUNTIFS(Table41[Country],Tabela1[[#This Row],[Country]],Table41[Keirin Classification],"&gt;0")</f>
        <v>0</v>
      </c>
      <c r="DW134" s="6">
        <f>COUNTIFS(Table84[Country],Tabela1[[#This Row],[Country]],Table84[Men''s Madison Classification],"&gt;0")</f>
        <v>0</v>
      </c>
      <c r="DX134" s="6">
        <f>COUNTIFS(Table84[Country],Tabela1[[#This Row],[Country]],Table84[Women''s Madison Classification],"&gt;0")</f>
        <v>0</v>
      </c>
      <c r="DY134" s="6">
        <f>COUNTIFS(Table69[Country],Tabela1[[#This Row],[Country]],Table69[Omnium Classification],"&gt;0")</f>
        <v>0</v>
      </c>
      <c r="DZ134" s="6">
        <f>COUNTIFS(Table41[Country],Tabela1[[#This Row],[Country]],Table41[Omnium Classification],"&gt;0")</f>
        <v>0</v>
      </c>
      <c r="EA134" s="6">
        <f>COUNTIFS(Table9[Country],Tabela1[[#This Row],[Country]],Table9[Road Race Classification],"&gt;0")</f>
        <v>0</v>
      </c>
      <c r="EB134" s="6">
        <f>COUNTIFS(Table14[Country],Tabela1[[#This Row],[Country]],Table14[Road Race Classification],"&gt;0")</f>
        <v>0</v>
      </c>
      <c r="EC134" s="6">
        <f>COUNTIFS(Table69[Country],Tabela1[[#This Row],[Country]],Table69[Sprint Classification],"&gt;0")</f>
        <v>0</v>
      </c>
      <c r="ED134" s="6">
        <f>COUNTIFS(Table41[Country],Tabela1[[#This Row],[Country]],Table41[Sprint Classification],"&gt;0")</f>
        <v>0</v>
      </c>
      <c r="EE134" s="6">
        <f>COUNTIFS(Table85[Country],Tabela1[[#This Row],[Country]],Table85[Men''s Sprint Classification],"&gt;0")</f>
        <v>0</v>
      </c>
      <c r="EF134" s="6">
        <f>COUNTIFS(Table85[Country],Tabela1[[#This Row],[Country]],Table85[Women''s Sprint Classification],"&gt;0")</f>
        <v>0</v>
      </c>
      <c r="EG134" s="6">
        <f>COUNTIFS(Table85[Country],Tabela1[[#This Row],[Country]],Table85[Men''s Pursuit Classification],"&gt;0")</f>
        <v>0</v>
      </c>
      <c r="EH134" s="6">
        <f>COUNTIFS(Table85[Country],Tabela1[[#This Row],[Country]],Table85[Women''s Pursuit Classification],"&gt;0")</f>
        <v>0</v>
      </c>
      <c r="EI134" s="6">
        <f>COUNTIFS(Table9[Country],Tabela1[[#This Row],[Country]],Table9[Time-Trial Classification],"&gt;0")</f>
        <v>0</v>
      </c>
      <c r="EJ134" s="6">
        <f>COUNTIFS(Table14[Country],Tabela1[[#This Row],[Country]],Table14[Time-Trial Classification],"&gt;0")</f>
        <v>0</v>
      </c>
      <c r="EK134" s="6">
        <f>COUNTIFS(Table42[Country],Tabela1[[#This Row],[Country]],Table42[Springboard Classification],"&gt;0")</f>
        <v>0</v>
      </c>
      <c r="EL134" s="6">
        <f>COUNTIFS(Table43[Country],Tabela1[[#This Row],[Country]],Table43[Springboard Classification],"&gt;0")</f>
        <v>0</v>
      </c>
      <c r="EM134" s="6">
        <f>COUNTIFS(Table42[Country],Tabela1[[#This Row],[Country]],Table42[Platform Classification],"&gt;0")</f>
        <v>0</v>
      </c>
      <c r="EN134" s="6">
        <f>COUNTIFS(Table43[Country],Tabela1[[#This Row],[Country]],Table43[Platform Classification],"&gt;0")</f>
        <v>0</v>
      </c>
      <c r="EO134" s="6">
        <f>COUNTIFS(Table86[Country],Tabela1[[#This Row],[Country]],Table86[Men''s Synchronized Springboard Classification],"&gt;0")</f>
        <v>0</v>
      </c>
      <c r="EP134" s="6">
        <f>COUNTIFS(Table86[Country],Tabela1[[#This Row],[Country]],Table86[Women''s Synchronized Springboard Classification],"&gt;0")</f>
        <v>0</v>
      </c>
      <c r="EQ134" s="6">
        <f>COUNTIFS(Table86[Country],Tabela1[[#This Row],[Country]],Table86[Men''s Synchronized Platform Classification],"&gt;0")</f>
        <v>0</v>
      </c>
      <c r="ER134" s="6">
        <f>COUNTIFS(Table86[Country],Tabela1[[#This Row],[Country]],Table86[Women''s Synchronized Platform Classification],"&gt;0")</f>
        <v>0</v>
      </c>
      <c r="ES134" s="6">
        <f>COUNTIFS(Table44[Country],Tabela1[[#This Row],[Country]],Table44[Dressage Classification],"&gt;0")</f>
        <v>0</v>
      </c>
      <c r="ET134" s="6">
        <f>COUNTIFS(Table45[Country],Tabela1[[#This Row],[Country]],Table45[Dressage Classification],"&gt;0")</f>
        <v>0</v>
      </c>
      <c r="EU134" s="6">
        <f>COUNTIFS(Table44[Country],Tabela1[[#This Row],[Country]],Table44[Eventing Classification],"&gt;0")</f>
        <v>0</v>
      </c>
      <c r="EV134" s="6">
        <f>COUNTIFS(Table45[Country],Tabela1[[#This Row],[Country]],Table45[Eventing Classification],"&gt;0")</f>
        <v>0</v>
      </c>
      <c r="EW134" s="6">
        <f>COUNTIFS(Table44[Country],Tabela1[[#This Row],[Country]],Table44[Jumping Classification],"&gt;0")</f>
        <v>0</v>
      </c>
      <c r="EX134" s="6">
        <f>COUNTIFS(Table45[Country],Tabela1[[#This Row],[Country]],Table45[Jumping Classification],"&gt;0")</f>
        <v>0</v>
      </c>
      <c r="EY134" s="6">
        <f>COUNTIFS(Table10[Country],Tabela1[[#This Row],[Country]],Table10[Épée Classification],"&gt;0")</f>
        <v>0</v>
      </c>
      <c r="EZ134" s="6">
        <f>COUNTIFS(Table11[Country],Tabela1[[#This Row],[Country]],Table11[Épée Classification],"&gt;0")</f>
        <v>0</v>
      </c>
      <c r="FA134" s="6">
        <f>COUNTIFS(Table46[Country],Tabela1[[#This Row],[Country]],Table46[Men''s Épée Classification],"&gt;0")</f>
        <v>0</v>
      </c>
      <c r="FB134" s="6">
        <f>COUNTIFS(Table46[Country],Tabela1[[#This Row],[Country]],Table46[Women''s Épée Classification],"&gt;0")</f>
        <v>0</v>
      </c>
      <c r="FC134" s="6">
        <f>COUNTIFS(Table10[Country],Tabela1[[#This Row],[Country]],Table10[Foil Classification],"&gt;0")</f>
        <v>0</v>
      </c>
      <c r="FD134" s="6">
        <f>COUNTIFS(Table11[Country],Tabela1[[#This Row],[Country]],Table11[Foil Classification],"&gt;0")</f>
        <v>0</v>
      </c>
      <c r="FE134" s="6">
        <f>COUNTIFS(Table46[Country],Tabela1[[#This Row],[Country]],Table46[Men''s Foil Classification],"&gt;0")</f>
        <v>0</v>
      </c>
      <c r="FF134" s="6">
        <f>COUNTIFS(Table46[Country],Tabela1[[#This Row],[Country]],Table46[Women''s Foil Classification],"&gt;0")</f>
        <v>0</v>
      </c>
      <c r="FG134" s="6">
        <f>COUNTIFS(Table10[Country],Tabela1[[#This Row],[Country]],Table10[Sabre Classification],"&gt;0")</f>
        <v>0</v>
      </c>
      <c r="FH134" s="6">
        <f>COUNTIFS(Table11[Country],Tabela1[[#This Row],[Country]],Table11[Sabre Classification],"&gt;0")</f>
        <v>0</v>
      </c>
      <c r="FI134" s="6">
        <f>COUNTIFS(Table46[Country],Tabela1[[#This Row],[Country]],Table46[Men''s Sabre Classification],"&gt;0")</f>
        <v>0</v>
      </c>
      <c r="FJ134" s="6">
        <f>COUNTIFS(Table46[Country],Tabela1[[#This Row],[Country]],Table46[Women''s Sabre Classification],"&gt;0")</f>
        <v>0</v>
      </c>
      <c r="FK134" s="6">
        <f>COUNTIFS(Table91[Country],Tabela1[[#This Row],[Country]],Table91[Men''s Classification],"&gt;0")</f>
        <v>0</v>
      </c>
      <c r="FL134" s="6">
        <f>COUNTIFS(Table91[Country],Tabela1[[#This Row],[Country]],Table91[Women''s Classification],"&gt;0")</f>
        <v>0</v>
      </c>
      <c r="FM134" s="6">
        <f>COUNTIFS(Table9194[Country],Tabela1[[#This Row],[Country]],Table9194[Men''s Classification],"&gt;0")</f>
        <v>0</v>
      </c>
      <c r="FN134" s="6">
        <f>COUNTIFS(Table9194[Country],Tabela1[[#This Row],[Country]],Table9194[Women''s Classification],"&gt;0")</f>
        <v>0</v>
      </c>
      <c r="FO134" s="6">
        <f>COUNTIFS(Table71[Country],Tabela1[[#This Row],[Country]],Table71[Classification],"&gt;0")</f>
        <v>0</v>
      </c>
      <c r="FP134" s="6">
        <f>COUNTIFS(Table62[Country],Tabela1[[#This Row],[Country]],Table62[Classification],"&gt;0")</f>
        <v>0</v>
      </c>
      <c r="FQ134" s="6">
        <f>COUNTIFS(Table47[Country],Tabela1[[#This Row],[Country]],Table47[All-Around Classification],"&gt;0")</f>
        <v>0</v>
      </c>
      <c r="FR134" s="6">
        <f>COUNTIFS(Table48[Country],Tabela1[[#This Row],[Country]],Table48[All-Around Classification],"&gt;0")</f>
        <v>0</v>
      </c>
      <c r="FS134" s="6">
        <f>COUNTIFS(Table81[Country],Tabela1[[#This Row],[Country]],Table81[Men''s All-Around Classification],"&gt;0")</f>
        <v>0</v>
      </c>
      <c r="FT134" s="6">
        <f>COUNTIFS(Table81[Country],Tabela1[[#This Row],[Country]],Table81[Women''s All-Around Classification],"&gt;0")</f>
        <v>0</v>
      </c>
      <c r="FU134" s="6">
        <f>COUNTIFS(Table48[Country],Tabela1[[#This Row],[Country]],Table48[Balance Beam Classification],"&gt;0")</f>
        <v>0</v>
      </c>
      <c r="FV134" s="6">
        <f>COUNTIFS(Table47[Country],Tabela1[[#This Row],[Country]],Table47[Floor Exercise Classification],"&gt;0")</f>
        <v>0</v>
      </c>
      <c r="FW134" s="6">
        <f>COUNTIFS(Table48[Country],Tabela1[[#This Row],[Country]],Table48[Floor Exercise Classification],"&gt;0")</f>
        <v>0</v>
      </c>
      <c r="FX134" s="6">
        <f>COUNTIFS(Table47[Country],Tabela1[[#This Row],[Country]],Table47[Horizontal Bar Classification],"&gt;0")</f>
        <v>0</v>
      </c>
      <c r="FY134" s="6">
        <f>COUNTIFS(Table47[Country],Tabela1[[#This Row],[Country]],Table47[Parallel Bars Classification],"&gt;0")</f>
        <v>0</v>
      </c>
      <c r="FZ134" s="6">
        <f>COUNTIFS(Table47[Country],Tabela1[[#This Row],[Country]],Table47[Pommel Horse Classification],"&gt;0")</f>
        <v>0</v>
      </c>
      <c r="GA134" s="6">
        <f>COUNTIFS(Table47[Country],Tabela1[[#This Row],[Country]],Table47[Rings Classification],"&gt;0")</f>
        <v>0</v>
      </c>
      <c r="GB134" s="6">
        <f>COUNTIFS(Tabela132[Country],Tabela1[[#This Row],[Country]],Tabela132[Classification],"&gt;0")</f>
        <v>0</v>
      </c>
      <c r="GC134" s="6">
        <f>COUNTIFS(Tabela139[Country],Tabela1[[#This Row],[Country]],Tabela139[Classification],"&gt;0")</f>
        <v>0</v>
      </c>
      <c r="GD134" s="6">
        <f>COUNTIFS(Table48[Country],Tabela1[[#This Row],[Country]],Table48[Uneven Bars Classification],"&gt;0")</f>
        <v>0</v>
      </c>
      <c r="GE134" s="6">
        <f>COUNTIFS(Table47[Country],Tabela1[[#This Row],[Country]],Table47[Vault Classification],"&gt;0")</f>
        <v>0</v>
      </c>
      <c r="GF134" s="6">
        <f>COUNTIFS(Table48[Country],Tabela1[[#This Row],[Country]],Table48[Vault Classification],"&gt;0")</f>
        <v>0</v>
      </c>
      <c r="GG134" s="6">
        <f>COUNTIFS(Table919496[Country],Tabela1[[#This Row],[Country]],Table919496[Men''s Classification],"&gt;0")</f>
        <v>0</v>
      </c>
      <c r="GH134" s="6">
        <f>COUNTIFS(Table919496[Country],Tabela1[[#This Row],[Country]],Table919496[Women''s Classification],"&gt;0")</f>
        <v>0</v>
      </c>
      <c r="GI134" s="6">
        <f>COUNTIFS(Table12[Country],Tabela1[[#This Row],[Country]],Table12[60kg Classification],"&gt;0")</f>
        <v>0</v>
      </c>
      <c r="GJ134" s="6">
        <f>COUNTIFS(Table12[Country],Tabela1[[#This Row],[Country]],Table12[66kg Classification],"&gt;0")</f>
        <v>0</v>
      </c>
      <c r="GK134" s="6">
        <f>COUNTIFS(Table12[Country],Tabela1[[#This Row],[Country]],Table12[73kg Classification],"&gt;0")</f>
        <v>0</v>
      </c>
      <c r="GL134" s="6">
        <f>COUNTIFS(Table12[Country],Tabela1[[#This Row],[Country]],Table12[81kg Classification],"&gt;0")</f>
        <v>0</v>
      </c>
      <c r="GM134" s="6">
        <f>COUNTIFS(Table12[Country],Tabela1[[#This Row],[Country]],Table12[90kg Classification],"&gt;0")</f>
        <v>0</v>
      </c>
      <c r="GN134" s="6">
        <f>COUNTIFS(Table12[Country],Tabela1[[#This Row],[Country]],Table12[100kg Classification],"&gt;0")</f>
        <v>0</v>
      </c>
      <c r="GO134" s="6">
        <f>COUNTIFS(Table12[Country],Tabela1[[#This Row],[Country]],Table12[Plus 100kg Classification],"&gt;0")</f>
        <v>0</v>
      </c>
      <c r="GP134" s="6">
        <f>COUNTIFS(Table13[Country],Tabela1[[#This Row],[Country]],Table13[48kg Classification],"&gt;0")</f>
        <v>0</v>
      </c>
      <c r="GQ134" s="6">
        <f>COUNTIFS(Table13[Country],Tabela1[[#This Row],[Country]],Table13[52kg Classification],"&gt;0")</f>
        <v>0</v>
      </c>
      <c r="GR134" s="6">
        <f>COUNTIFS(Table13[Country],Tabela1[[#This Row],[Country]],Table13[57kg Classification],"&gt;0")</f>
        <v>0</v>
      </c>
      <c r="GS134" s="6">
        <f>COUNTIFS(Table13[Country],Tabela1[[#This Row],[Country]],Table13[63kg Classification],"&gt;0")</f>
        <v>0</v>
      </c>
      <c r="GT134" s="6">
        <f>COUNTIFS(Table13[Country],Tabela1[[#This Row],[Country]],Table13[70kg Classification],"&gt;0")</f>
        <v>0</v>
      </c>
      <c r="GU134" s="6">
        <f>COUNTIFS(Table13[Country],Tabela1[[#This Row],[Country]],Table13[78kg Classification],"&gt;0")</f>
        <v>0</v>
      </c>
      <c r="GV134" s="6">
        <f>COUNTIFS(Table13[Country],Tabela1[[#This Row],[Country]],Table13[Plus 78kg Classification],"&gt;0")</f>
        <v>0</v>
      </c>
      <c r="GW134" s="6">
        <f>COUNTIFS(Table82[Country],Tabela1[[#This Row],[Country]],Table82[Mixed Classification],"&gt;0")</f>
        <v>0</v>
      </c>
      <c r="GX134" s="6">
        <f>COUNTIFS(Table51[Country],Tabela1[[#This Row],[Country]],Table51[Classification],"&gt;0")</f>
        <v>0</v>
      </c>
      <c r="GY134" s="6">
        <f>COUNTIFS(Table52[Country],Tabela1[[#This Row],[Country]],Table52[Classification],"&gt;0")</f>
        <v>0</v>
      </c>
      <c r="GZ134" s="6">
        <f>COUNTIFS(Table32[Country],Tabela1[[#This Row],[Country]],Table32[All-Around Classification],"&gt;0")</f>
        <v>0</v>
      </c>
      <c r="HA134" s="6">
        <f>COUNTIFS(Table49[Country],Tabela1[[#This Row],[Country]],Table49[All-Around Classification],"&gt;0")</f>
        <v>0</v>
      </c>
      <c r="HB134" s="6">
        <f>COUNTIFS(Table26[Country],Tabela1[[#This Row],[Country]],Table26[Single Sculls Classification],"&gt;0")</f>
        <v>0</v>
      </c>
      <c r="HC134" s="6">
        <f>COUNTIFS(Table63[Country],Tabela1[[#This Row],[Country]],Table63[Single Sculls Classification],"&gt;0")</f>
        <v>0</v>
      </c>
      <c r="HD134" s="6">
        <f>COUNTIFS(Table16[Country],Tabela1[[#This Row],[Country]],Table16[Men''s Double Sculls Classification],"&gt;0")</f>
        <v>0</v>
      </c>
      <c r="HE134" s="6">
        <f>COUNTIFS(Table16[Country],Tabela1[[#This Row],[Country]],Table16[Women''s Double Sculls Classification],"&gt;0")</f>
        <v>0</v>
      </c>
      <c r="HF134" s="6">
        <f>COUNTIFS(Table72[Country],Tabela1[[#This Row],[Country]],Table72[Men''s Quadruple Sculls Classification],"&gt;0")</f>
        <v>0</v>
      </c>
      <c r="HG134" s="6">
        <f>COUNTIFS(Table72[Country],Tabela1[[#This Row],[Country]],Table72[Women''s Quadruple Sculls Classification],"&gt;0")</f>
        <v>0</v>
      </c>
      <c r="HH134" s="6">
        <f>COUNTIFS(Table16[Country],Tabela1[[#This Row],[Country]],Table16[Men''s Coxless Pairs Classification],"&gt;0")</f>
        <v>0</v>
      </c>
      <c r="HI134" s="6">
        <f>COUNTIFS(Table16[Country],Tabela1[[#This Row],[Country]],Table16[Women''s Coxless Pairs Classification],"&gt;0")</f>
        <v>0</v>
      </c>
      <c r="HJ134" s="6">
        <f>COUNTIFS(Table72[Country],Tabela1[[#This Row],[Country]],Table72[Men''s Coxless Fours Classification],"&gt;0")</f>
        <v>0</v>
      </c>
      <c r="HK134" s="6">
        <f>COUNTIFS(Table72[Country],Tabela1[[#This Row],[Country]],Table72[Women''s Coxless Fours Classification],"&gt;0")</f>
        <v>0</v>
      </c>
      <c r="HL134" s="6">
        <f>COUNTIFS(Table72[Country],Tabela1[[#This Row],[Country]],Table72[Men''s Eights Classification],"&gt;0")</f>
        <v>0</v>
      </c>
      <c r="HM134" s="6">
        <f>COUNTIFS(Table72[Country],Tabela1[[#This Row],[Country]],Table72[Women''s Eights Classification],"&gt;0")</f>
        <v>0</v>
      </c>
      <c r="HN134" s="6">
        <f>COUNTIFS(Table16[Country],Tabela1[[#This Row],[Country]],Table16[Men''s Lwt. Double Sculls Classification],"&gt;0")</f>
        <v>0</v>
      </c>
      <c r="HO134" s="6">
        <f>COUNTIFS(Table16[Country],Tabela1[[#This Row],[Country]],Table16[Women''s Lwt. Double Sculls Classification],"&gt;0")</f>
        <v>0</v>
      </c>
      <c r="HP134" s="6">
        <f>COUNTIFS(Table91949698[Country],Tabela1[[#This Row],[Country]],Table91949698[Men''s Classification],"&gt;0")</f>
        <v>0</v>
      </c>
      <c r="HQ134" s="6">
        <f>COUNTIFS(Table91949698[Country],Tabela1[[#This Row],[Country]],Table91949698[Women''s Classification],"&gt;0")</f>
        <v>0</v>
      </c>
      <c r="HR134" s="6">
        <f>COUNTIFS(Table25[Country],Tabela1[[#This Row],[Country]],Table25[Mixed 470 Classification],"&gt;0")</f>
        <v>0</v>
      </c>
      <c r="HS134" s="6">
        <f>COUNTIFS(Table25[Country],Tabela1[[#This Row],[Country]],Table25[Men''s 49er Classification],"&gt;0")</f>
        <v>0</v>
      </c>
      <c r="HT134" s="6">
        <f>COUNTIFS(Table25[Country],Tabela1[[#This Row],[Country]],Table25[Women''s 49er FX Classification],"&gt;0")</f>
        <v>0</v>
      </c>
      <c r="HU134" s="6">
        <f>COUNTIFS(Table17[Country],Tabela1[[#This Row],[Country]],Table17[Formula Kite Classification],"&gt;0")</f>
        <v>0</v>
      </c>
      <c r="HV134" s="6">
        <f>COUNTIFS(Table18[Country],Tabela1[[#This Row],[Country]],Table18[Formula Kite Classification],"&gt;0")</f>
        <v>0</v>
      </c>
      <c r="HW134" s="6">
        <f>COUNTIFS(Table17[Country],Tabela1[[#This Row],[Country]],Table17[ILCA 7 Classification],"&gt;0")</f>
        <v>0</v>
      </c>
      <c r="HX134" s="6">
        <f>COUNTIFS(Table18[Country],Tabela1[[#This Row],[Country]],Table18[ILCA 6 Classification],"&gt;0")</f>
        <v>0</v>
      </c>
      <c r="HY134" s="6">
        <f>COUNTIFS(Table17[Country],Tabela1[[#This Row],[Country]],Table17[IQFoil Classification],"&gt;0")</f>
        <v>0</v>
      </c>
      <c r="HZ134" s="6">
        <f>COUNTIFS(Table18[Country],Tabela1[[#This Row],[Country]],Table18[IQFoil Classification],"&gt;0")</f>
        <v>0</v>
      </c>
      <c r="IA134" s="6">
        <f>COUNTIFS(Table25[Country],Tabela1[[#This Row],[Country]],Table25[Mixed Nacra 17 Classification],"&gt;0")</f>
        <v>0</v>
      </c>
      <c r="IB134" s="6">
        <f>COUNTIFS(Table53[Country],Tabela1[[#This Row],[Country]],Table53[10m Air Pistol Classification],"&gt;0")</f>
        <v>0</v>
      </c>
      <c r="IC134" s="6">
        <f>COUNTIFS(Table19[Country],Tabela1[[#This Row],[Country]],Table19[10m Air Pistol Classification],"&gt;0")</f>
        <v>0</v>
      </c>
      <c r="ID134" s="6">
        <f>COUNTIFS(Table54[Country],Tabela1[[#This Row],[Country]],Table54[Mixed 10m Air Pistol Team Classification],"&gt;0")</f>
        <v>0</v>
      </c>
      <c r="IE134" s="6">
        <f>COUNTIFS(Table53[Country],Tabela1[[#This Row],[Country]],Table53[10m Air Rifle Classification],"&gt;0")</f>
        <v>0</v>
      </c>
      <c r="IF134" s="6">
        <f>COUNTIFS(Table19[Country],Tabela1[[#This Row],[Country]],Table19[10m Air Rifle Classification],"&gt;0")</f>
        <v>0</v>
      </c>
      <c r="IG134" s="6">
        <f>COUNTIFS(Table54[Country],Tabela1[[#This Row],[Country]],Table54[Mixed 10m Air Rifle Team Classification],"&gt;0")</f>
        <v>0</v>
      </c>
      <c r="IH134" s="6">
        <f>COUNTIFS(Table53[Country],Tabela1[[#This Row],[Country]],Table53[25m Rapid Fire Pistol Classification],"&gt;0")</f>
        <v>0</v>
      </c>
      <c r="II134" s="6">
        <f>COUNTIFS(Table19[Country],Tabela1[[#This Row],[Country]],Table19[25m Pistol Classification],"&gt;0")</f>
        <v>0</v>
      </c>
      <c r="IJ134" s="6">
        <f>COUNTIFS(Table53[Country],Tabela1[[#This Row],[Country]],Table53[50m Rifle 3 Positions Classification],"&gt;0")</f>
        <v>0</v>
      </c>
      <c r="IK134" s="6">
        <f>COUNTIFS(Table19[Country],Tabela1[[#This Row],[Country]],Table19[50m Rifle 3 Positions Classification],"&gt;0")</f>
        <v>0</v>
      </c>
      <c r="IL134" s="6">
        <f>COUNTIFS(Table53[Country],Tabela1[[#This Row],[Country]],Table53[Skeet Classification],"&gt;0")</f>
        <v>0</v>
      </c>
      <c r="IM134" s="6">
        <f>COUNTIFS(Table19[Country],Tabela1[[#This Row],[Country]],Table19[Skeet Classification],"&gt;0")</f>
        <v>0</v>
      </c>
      <c r="IN134" s="6">
        <f>COUNTIFS(Table54[Country],Tabela1[[#This Row],[Country]],Table54[Mixed Skeet Team Classification],"&gt;0")</f>
        <v>0</v>
      </c>
      <c r="IO134" s="6">
        <f>COUNTIFS(Table53[Country],Tabela1[[#This Row],[Country]],Table53[Trap Classification],"&gt;0")</f>
        <v>0</v>
      </c>
      <c r="IP134" s="6">
        <f>COUNTIFS(Table19[Country],Tabela1[[#This Row],[Country]],Table19[Trap Classification],"&gt;0")</f>
        <v>0</v>
      </c>
      <c r="IQ134" s="6">
        <f>COUNTIFS(Table73[Country],Tabela1[[#This Row],[Country]],Table73[Park Classification],"&gt;0")</f>
        <v>0</v>
      </c>
      <c r="IR134" s="6">
        <f>COUNTIFS(Table74[Country],Tabela1[[#This Row],[Country]],Table74[Park Classification],"&gt;0")</f>
        <v>0</v>
      </c>
      <c r="IS134" s="6">
        <f>COUNTIFS(Table73[Country],Tabela1[[#This Row],[Country]],Table73[Street Classification],"&gt;0")</f>
        <v>0</v>
      </c>
      <c r="IT134" s="6">
        <f>COUNTIFS(Table74[Country],Tabela1[[#This Row],[Country]],Table74[Street Classification],"&gt;0")</f>
        <v>0</v>
      </c>
      <c r="IU134" s="6">
        <f>COUNTIFS(Table75[Country],Tabela1[[#This Row],[Country]],Table75[Boulder and Lead Classification],"&gt;0")</f>
        <v>0</v>
      </c>
      <c r="IV134" s="6">
        <f>COUNTIFS(Table76[Country],Tabela1[[#This Row],[Country]],Table76[Boulder and Lead Classification],"&gt;0")</f>
        <v>0</v>
      </c>
      <c r="IW134" s="6">
        <f>COUNTIFS(Table75[Country],Tabela1[[#This Row],[Country]],Table75[Speed Classification],"&gt;0")</f>
        <v>0</v>
      </c>
      <c r="IX134" s="6">
        <f>COUNTIFS(Table76[Country],Tabela1[[#This Row],[Country]],Table76[Speed Classification],"&gt;0")</f>
        <v>0</v>
      </c>
      <c r="IY134" s="6">
        <f>COUNTIFS(Table64[Country],Tabela1[[#This Row],[Country]],Table64[Shortboard Classification],"&gt;0")</f>
        <v>0</v>
      </c>
      <c r="IZ134" s="6">
        <f>COUNTIFS(Table77[Country],Tabela1[[#This Row],[Country]],Table77[Shortboard Classification],"&gt;0")</f>
        <v>0</v>
      </c>
      <c r="JA134" s="6">
        <f>COUNTIFS(Table20[Country],Tabela1[[#This Row],[Country]],Table20[50m Freestyle Classification],"&gt;0")</f>
        <v>0</v>
      </c>
      <c r="JB134" s="6">
        <f>COUNTIFS(Table21[Country],Tabela1[[#This Row],[Country]],Table21[50m Freestyle Classification],"&gt;0")</f>
        <v>0</v>
      </c>
      <c r="JC134" s="6">
        <f>COUNTIFS(Table20[Country],Tabela1[[#This Row],[Country]],Table20[100m Freestyle Classification],"&gt;0")</f>
        <v>0</v>
      </c>
      <c r="JD134" s="6">
        <f>COUNTIFS(Table21[Country],Tabela1[[#This Row],[Country]],Table21[100m Freestyle Classification],"&gt;0")</f>
        <v>0</v>
      </c>
      <c r="JE134" s="6">
        <f>COUNTIFS(Table20[Country],Tabela1[[#This Row],[Country]],Table20[200m Freestyle Classification],"&gt;0")</f>
        <v>0</v>
      </c>
      <c r="JF134" s="6">
        <f>COUNTIFS(Table21[Country],Tabela1[[#This Row],[Country]],Table21[200m Freestyle Classification],"&gt;0")</f>
        <v>0</v>
      </c>
      <c r="JG134" s="6">
        <f>COUNTIFS(Table20[Country],Tabela1[[#This Row],[Country]],Table20[400m Freestyle Classification],"&gt;0")</f>
        <v>0</v>
      </c>
      <c r="JH134" s="6">
        <f>COUNTIFS(Table21[Country],Tabela1[[#This Row],[Country]],Table21[400m Freestyle Classification],"&gt;0")</f>
        <v>0</v>
      </c>
      <c r="JI134" s="6">
        <f>COUNTIFS(Table20[Country],Tabela1[[#This Row],[Country]],Table20[800m Freestyle Classification],"&gt;0")</f>
        <v>0</v>
      </c>
      <c r="JJ134" s="6">
        <f>COUNTIFS(Table21[Country],Tabela1[[#This Row],[Country]],Table21[800m Freestyle Classification],"&gt;0")</f>
        <v>0</v>
      </c>
      <c r="JK134" s="6">
        <f>COUNTIFS(Table20[Country],Tabela1[[#This Row],[Country]],Table20[1500m Freestyle Classification],"&gt;0")</f>
        <v>0</v>
      </c>
      <c r="JL134" s="6">
        <f>COUNTIFS(Table21[Country],Tabela1[[#This Row],[Country]],Table21[1500m Freestyle Classification],"&gt;0")</f>
        <v>0</v>
      </c>
      <c r="JM134" s="6">
        <f>COUNTIFS(Table20[Country],Tabela1[[#This Row],[Country]],Table20[100m Backstroke Classification],"&gt;0")</f>
        <v>0</v>
      </c>
      <c r="JN134" s="6">
        <f>COUNTIFS(Table21[Country],Tabela1[[#This Row],[Country]],Table21[100m Backstroke Classification],"&gt;0")</f>
        <v>0</v>
      </c>
      <c r="JO134" s="6">
        <f>COUNTIFS(Table20[Country],Tabela1[[#This Row],[Country]],Table20[200m Backstroke Classification],"&gt;0")</f>
        <v>0</v>
      </c>
      <c r="JP134" s="6">
        <f>COUNTIFS(Table21[Country],Tabela1[[#This Row],[Country]],Table21[200m Backstroke Classification],"&gt;0")</f>
        <v>0</v>
      </c>
      <c r="JQ134" s="6">
        <f>COUNTIFS(Table20[Country],Tabela1[[#This Row],[Country]],Table20[100m Breaststroke Classification],"&gt;0")</f>
        <v>0</v>
      </c>
      <c r="JR134" s="6">
        <f>COUNTIFS(Table21[Country],Tabela1[[#This Row],[Country]],Table21[100m Breaststroke Classification],"&gt;0")</f>
        <v>0</v>
      </c>
      <c r="JS134" s="6">
        <f>COUNTIFS(Table20[Country],Tabela1[[#This Row],[Country]],Table20[200m Breaststroke Classification],"&gt;0")</f>
        <v>0</v>
      </c>
      <c r="JT134" s="6">
        <f>COUNTIFS(Table21[Country],Tabela1[[#This Row],[Country]],Table21[200m Breaststroke Classification],"&gt;0")</f>
        <v>0</v>
      </c>
      <c r="JU134" s="6">
        <f>COUNTIFS(Table20[Country],Tabela1[[#This Row],[Country]],Table20[100m Butterfly Classification],"&gt;0")</f>
        <v>0</v>
      </c>
      <c r="JV134" s="6">
        <f>COUNTIFS(Table21[Country],Tabela1[[#This Row],[Country]],Table21[100m Butterfly Classification],"&gt;0")</f>
        <v>0</v>
      </c>
      <c r="JW134" s="6">
        <f>COUNTIFS(Table20[Country],Tabela1[[#This Row],[Country]],Table20[200m Butterfly Classification],"&gt;0")</f>
        <v>0</v>
      </c>
      <c r="JX134" s="6">
        <f>COUNTIFS(Table21[Country],Tabela1[[#This Row],[Country]],Table21[200m Butterfly Classification],"&gt;0")</f>
        <v>0</v>
      </c>
      <c r="JY134" s="6">
        <f>COUNTIFS(Table20[Country],Tabela1[[#This Row],[Country]],Table20[200m Medley Classification],"&gt;0")</f>
        <v>0</v>
      </c>
      <c r="JZ134" s="6">
        <f>COUNTIFS(Table21[Country],Tabela1[[#This Row],[Country]],Table21[200m Medley Classification],"&gt;0")</f>
        <v>0</v>
      </c>
      <c r="KA134" s="6">
        <f>COUNTIFS(Table20[Country],Tabela1[[#This Row],[Country]],Table20[400m Medley Classification],"&gt;0")</f>
        <v>0</v>
      </c>
      <c r="KB134" s="6">
        <f>COUNTIFS(Table21[Country],Tabela1[[#This Row],[Country]],Table21[400m Medley Classification],"&gt;0")</f>
        <v>0</v>
      </c>
      <c r="KC134" s="6">
        <f>COUNTIFS(Table78[Country],Tabela1[[#This Row],[Country]],Table78[Men''s 4x100m Freestyle Relay Classification],"&gt;0")</f>
        <v>0</v>
      </c>
      <c r="KD134" s="6">
        <f>COUNTIFS(Table78[Country],Tabela1[[#This Row],[Country]],Table78[Women''s 4x100m Freestyle Relay Classification],"&gt;0")</f>
        <v>0</v>
      </c>
      <c r="KE134" s="6">
        <f>COUNTIFS(Table78[Country],Tabela1[[#This Row],[Country]],Table78[Men''s 4x200m Freestyle Relay Classification],"&gt;0")</f>
        <v>0</v>
      </c>
      <c r="KF134" s="6">
        <f>COUNTIFS(Table78[Country],Tabela1[[#This Row],[Country]],Table78[Women''s 4x200m Freestyle Relay Classification],"&gt;0")</f>
        <v>0</v>
      </c>
      <c r="KG134" s="6">
        <f>COUNTIFS(Table78[Country],Tabela1[[#This Row],[Country]],Table78[Men''s 4x100m Medley Relay Classification],"&gt;0")</f>
        <v>0</v>
      </c>
      <c r="KH134" s="6">
        <f>COUNTIFS(Table78[Country],Tabela1[[#This Row],[Country]],Table78[Women''s 4x100m Medley Relay Classification],"&gt;0")</f>
        <v>0</v>
      </c>
      <c r="KI134" s="6">
        <f>COUNTIFS(Table78[Country],Tabela1[[#This Row],[Country]],Table78[Mixed 4x100m Medley Relay Classification],"&gt;0")</f>
        <v>0</v>
      </c>
      <c r="KJ134" s="6">
        <f>COUNTIFS(Table20[Country],Tabela1[[#This Row],[Country]],Table20[10km Open Water Classification],"&gt;0")</f>
        <v>0</v>
      </c>
      <c r="KK134" s="6">
        <f>COUNTIFS(Table21[Country],Tabela1[[#This Row],[Country]],Table21[10km Open Water Classification],"&gt;0")</f>
        <v>0</v>
      </c>
      <c r="KL134" s="6">
        <f>COUNTIFS(Table22[Country],Tabela1[[#This Row],[Country]],Table22[Classification],"&gt;0")</f>
        <v>0</v>
      </c>
      <c r="KM134" s="6">
        <f>COUNTIFS(Table30[Country],Tabela1[[#This Row],[Country]],Table30[Classification],"&gt;0")</f>
        <v>0</v>
      </c>
      <c r="KN134" s="6">
        <f>COUNTIFS(Table55[Country],Tabela1[[#This Row],[Country]],Table55[Men''s Classification],"&gt;0")</f>
        <v>0</v>
      </c>
      <c r="KO134" s="6">
        <f>COUNTIFS(Table55[Country],Tabela1[[#This Row],[Country]],Table55[Women''s Classification],"&gt;0")</f>
        <v>0</v>
      </c>
      <c r="KP134" s="6">
        <f>COUNTIFS(Table56[Country],Tabela1[[#This Row],[Country]],Table56[Mixed Classification],"&gt;0")</f>
        <v>0</v>
      </c>
      <c r="KQ134" s="6">
        <f>COUNTIFS(Table29[Country],Tabela1[[#This Row],[Country]],Table29[58kg Classification],"&gt;0")</f>
        <v>0</v>
      </c>
      <c r="KR134" s="6">
        <f>COUNTIFS(Table29[Country],Tabela1[[#This Row],[Country]],Table29[68kg Classification],"&gt;0")</f>
        <v>0</v>
      </c>
      <c r="KS134" s="6">
        <f>COUNTIFS(Table29[Country],Tabela1[[#This Row],[Country]],Table29[80kg Classification],"&gt;0")</f>
        <v>0</v>
      </c>
      <c r="KT134" s="6">
        <f>COUNTIFS(Table29[Country],Tabela1[[#This Row],[Country]],Table29[Plus 80kg Classification],"&gt;0")</f>
        <v>0</v>
      </c>
      <c r="KU134" s="6">
        <f>COUNTIFS(Table34[Country],Tabela1[[#This Row],[Country]],Table34[49kg Classification],"&gt;0")</f>
        <v>0</v>
      </c>
      <c r="KV134" s="6">
        <f>COUNTIFS(Table34[Country],Tabela1[[#This Row],[Country]],Table34[57kg Classification],"&gt;0")</f>
        <v>0</v>
      </c>
      <c r="KW134" s="6">
        <f>COUNTIFS(Table34[Country],Tabela1[[#This Row],[Country]],Table34[67kg Classification],"&gt;0")</f>
        <v>0</v>
      </c>
      <c r="KX134" s="6">
        <f>COUNTIFS(Table34[Country],Tabela1[[#This Row],[Country]],Table34[Plus 67kg Classification],"&gt;0")</f>
        <v>0</v>
      </c>
      <c r="KY134" s="6">
        <f>COUNTIFS(Table57[Country],Tabela1[[#This Row],[Country]],Table57[Classification],"&gt;0")</f>
        <v>0</v>
      </c>
      <c r="KZ134" s="6">
        <f>COUNTIFS(Table58[Country],Tabela1[[#This Row],[Country]],Table58[Classification],"&gt;0")</f>
        <v>0</v>
      </c>
      <c r="LA134" s="6">
        <f>COUNTIFS(Table79[Country],Tabela1[[#This Row],[Country]],Table79[Men''s Classification],"&gt;0")</f>
        <v>0</v>
      </c>
      <c r="LB134" s="6">
        <f>COUNTIFS(Table79[Country],Tabela1[[#This Row],[Country]],Table79[Women''s Classification],"&gt;0")</f>
        <v>0</v>
      </c>
      <c r="LC134" s="6">
        <f>COUNTIFS(Table79[Country],Tabela1[[#This Row],[Country]],Table79[Mixed Classification],"&gt;0")</f>
        <v>0</v>
      </c>
      <c r="LD134" s="6">
        <f>COUNTIFS(Table65[Country],Tabela1[[#This Row],[Country]],Table65[Classification],"&gt;0")</f>
        <v>0</v>
      </c>
      <c r="LE134" s="6">
        <f>COUNTIFS(Table59[Country],Tabela1[[#This Row],[Country]],Table59[Classification],"&gt;0")</f>
        <v>0</v>
      </c>
      <c r="LF134" s="6">
        <f>COUNTIFS(Table87[Country],Tabela1[[#This Row],[Country]],Table87[Mixed Relay Classification],"&gt;0")</f>
        <v>0</v>
      </c>
      <c r="LG134" s="6">
        <f>COUNTIFS(Table91949698100[Country],Tabela1[[#This Row],[Country]],Table91949698100[Men''s Classification],"&gt;0")</f>
        <v>0</v>
      </c>
      <c r="LH134" s="6">
        <f>COUNTIFS(Table91949698100[Country],Tabela1[[#This Row],[Country]],Table91949698100[Women''s Classification],"&gt;0")</f>
        <v>0</v>
      </c>
      <c r="LI134" s="6">
        <f>COUNTIFS(Table91949698100102[Country],Tabela1[[#This Row],[Country]],Table91949698100102[Men''s Classification],"&gt;0")</f>
        <v>0</v>
      </c>
      <c r="LJ134" s="6">
        <f>COUNTIFS(Table91949698100102[Country],Tabela1[[#This Row],[Country]],Table91949698100102[Women''s Classification],"&gt;0")</f>
        <v>0</v>
      </c>
      <c r="LK134" s="6">
        <f>COUNTIFS(Table23[Country],Tabela1[[#This Row],[Country]],Table23[61kg Classification],"&gt;0")</f>
        <v>0</v>
      </c>
      <c r="LL134" s="6">
        <f>COUNTIFS(Table23[Country],Tabela1[[#This Row],[Country]],Table23[73kg Classification],"&gt;0")</f>
        <v>0</v>
      </c>
      <c r="LM134" s="6">
        <f>COUNTIFS(Table23[Country],Tabela1[[#This Row],[Country]],Table23[89kg Classification],"&gt;0")</f>
        <v>0</v>
      </c>
      <c r="LN134" s="6">
        <f>COUNTIFS(Table23[Country],Tabela1[[#This Row],[Country]],Table23[102kg Classification],"&gt;0")</f>
        <v>0</v>
      </c>
      <c r="LO134" s="6">
        <f>COUNTIFS(Table23[Country],Tabela1[[#This Row],[Country]],Table23[Plus 102kg Classification],"&gt;0")</f>
        <v>0</v>
      </c>
      <c r="LP134" s="6">
        <f>COUNTIFS(Table28[Country],Tabela1[[#This Row],[Country]],Table28[49kg Classification],"&gt;0")</f>
        <v>0</v>
      </c>
      <c r="LQ134" s="6">
        <f>COUNTIFS(Table28[Country],Tabela1[[#This Row],[Country]],Table28[59kg Classification],"&gt;0")</f>
        <v>0</v>
      </c>
      <c r="LR134" s="6">
        <f>COUNTIFS(Table28[Country],Tabela1[[#This Row],[Country]],Table28[71kg Classification],"&gt;0")</f>
        <v>0</v>
      </c>
      <c r="LS134" s="6">
        <f>COUNTIFS(Table28[Country],Tabela1[[#This Row],[Country]],Table28[81kg Classification],"&gt;0")</f>
        <v>0</v>
      </c>
      <c r="LT134" s="6">
        <f>COUNTIFS(Table28[Country],Tabela1[[#This Row],[Country]],Table28[Plus 81kg Classification],"&gt;0")</f>
        <v>0</v>
      </c>
      <c r="LU134" s="6">
        <f>COUNTIFS(Table24[Country],Tabela1[[#This Row],[Country]],Table24[Freestyle 57kg Classification],"&gt;0")</f>
        <v>0</v>
      </c>
      <c r="LV134" s="6">
        <f>COUNTIFS(Table24[Country],Tabela1[[#This Row],[Country]],Table24[Freestyle 65kg Classification],"&gt;0")</f>
        <v>0</v>
      </c>
      <c r="LW134" s="6">
        <f>COUNTIFS(Table24[Country],Tabela1[[#This Row],[Country]],Table24[Freestyle 74kg Classification],"&gt;0")</f>
        <v>0</v>
      </c>
      <c r="LX134" s="6">
        <f>COUNTIFS(Table24[Country],Tabela1[[#This Row],[Country]],Table24[Freestyle 86kg Classification],"&gt;0")</f>
        <v>0</v>
      </c>
      <c r="LY134" s="6">
        <f>COUNTIFS(Table24[Country],Tabela1[[#This Row],[Country]],Table24[Freestyle 97kg Classification],"&gt;0")</f>
        <v>0</v>
      </c>
      <c r="LZ134" s="6">
        <f>COUNTIFS(Table24[Country],Tabela1[[#This Row],[Country]],Table24[Freestyle 125kg Classification],"&gt;0")</f>
        <v>0</v>
      </c>
      <c r="MA134" s="6">
        <f>COUNTIFS(Table24[Country],Tabela1[[#This Row],[Country]],Table24[Greco-Roman 60kg Classification],"&gt;0")</f>
        <v>0</v>
      </c>
      <c r="MB134" s="6">
        <f>COUNTIFS(Table24[Country],Tabela1[[#This Row],[Country]],Table24[Greco-Roman 67kg Classification],"&gt;0")</f>
        <v>0</v>
      </c>
      <c r="MC134" s="6">
        <f>COUNTIFS(Table24[Country],Tabela1[[#This Row],[Country]],Table24[Greco-Roman 77kg Classification],"&gt;0")</f>
        <v>0</v>
      </c>
      <c r="MD134" s="6">
        <f>COUNTIFS(Table24[Country],Tabela1[[#This Row],[Country]],Table24[Greco-Roman 87kg Classification],"&gt;0")</f>
        <v>0</v>
      </c>
      <c r="ME134" s="6">
        <f>COUNTIFS(Table24[Country],Tabela1[[#This Row],[Country]],Table24[Greco-Roman 97kg Classification],"&gt;0")</f>
        <v>0</v>
      </c>
      <c r="MF134" s="6">
        <f>COUNTIFS(Table24[Country],Tabela1[[#This Row],[Country]],Table24[Greco-Roman 130kg Classification],"&gt;0")</f>
        <v>0</v>
      </c>
      <c r="MG134" s="6">
        <f>COUNTIFS(Table31[Country],Tabela1[[#This Row],[Country]],Table31[50kg Classification],"&gt;0")</f>
        <v>0</v>
      </c>
      <c r="MH134" s="6">
        <f>COUNTIFS(Table31[Country],Tabela1[[#This Row],[Country]],Table31[53kg Classification],"&gt;0")</f>
        <v>0</v>
      </c>
      <c r="MI134" s="6">
        <f>COUNTIFS(Table31[Country],Tabela1[[#This Row],[Country]],Table31[57kg Classification],"&gt;0")</f>
        <v>0</v>
      </c>
      <c r="MJ134" s="6">
        <f>COUNTIFS(Table31[Country],Tabela1[[#This Row],[Country]],Table31[62kg Classification],"&gt;0")</f>
        <v>0</v>
      </c>
      <c r="MK134" s="6">
        <f>COUNTIFS(Table31[Country],Tabela1[[#This Row],[Country]],Table31[68kg Classification],"&gt;0")</f>
        <v>0</v>
      </c>
      <c r="ML134" s="6">
        <f>COUNTIFS(Table31[Country],Tabela1[[#This Row],[Country]],Table31[76kg Classification],"&gt;0")</f>
        <v>0</v>
      </c>
      <c r="MM134" s="6">
        <f>COUNTIFS(Table102[Country],Tabela1[[#This Row],[Country]],Table102[Downhill Classification],"&gt;0")</f>
        <v>0</v>
      </c>
      <c r="MN134" s="6">
        <f>COUNTIFS(Table102105[Country],Tabela1[[#This Row],[Country]],Table102105[Downhill Classification],"&gt;0")</f>
        <v>0</v>
      </c>
      <c r="MO134" s="6">
        <f>COUNTIFS(Table102[Country],Tabela1[[#This Row],[Country]],Table102[Giant Slalom Classification],"&gt;0")</f>
        <v>0</v>
      </c>
      <c r="MP134" s="6">
        <f>COUNTIFS(Table102105[Country],Tabela1[[#This Row],[Country]],Table102105[Giant Slalom Classification],"&gt;0")</f>
        <v>0</v>
      </c>
      <c r="MQ134" s="6">
        <f>COUNTIFS(Table102[Country],Tabela1[[#This Row],[Country]],Table102[Slalom Classification],"&gt;0")</f>
        <v>0</v>
      </c>
      <c r="MR134" s="6">
        <f>COUNTIFS(Table102105[Country],Tabela1[[#This Row],[Country]],Table102105[Slalom Classification],"&gt;0")</f>
        <v>0</v>
      </c>
      <c r="MS134" s="6">
        <f>COUNTIFS(Table102[Country],Tabela1[[#This Row],[Country]],Table102[Super-G Classification],"&gt;0")</f>
        <v>0</v>
      </c>
      <c r="MT134" s="6">
        <f>COUNTIFS(Table102105[Country],Tabela1[[#This Row],[Country]],Table102105[Super-G Classification],"&gt;0")</f>
        <v>0</v>
      </c>
      <c r="MU134" s="6">
        <f>COUNTIFS(Table105[Country],Tabela1[[#This Row],[Country]],Table105[Men''s Combined Classification],"&gt;0")</f>
        <v>0</v>
      </c>
      <c r="MV134" s="6">
        <f>COUNTIFS(Table105[Country],Tabela1[[#This Row],[Country]],Table105[Women''s Combined Classification],"&gt;0")</f>
        <v>0</v>
      </c>
      <c r="MW134" s="6">
        <f>COUNTIFS(Table106[Country],Tabela1[[#This Row],[Country]],Table106[Individual Classification],"&gt;0")</f>
        <v>0</v>
      </c>
      <c r="MX134" s="6">
        <f>COUNTIFS(Table106109[Country],Tabela1[[#This Row],[Country]],Table106109[Individual Classification],"&gt;0")</f>
        <v>0</v>
      </c>
      <c r="MY134" s="6">
        <f>COUNTIFS(Table106[Country],Tabela1[[#This Row],[Country]],Table106[Mass Start Classification],"&gt;0")</f>
        <v>0</v>
      </c>
      <c r="MZ134" s="6">
        <f>COUNTIFS(Table106109[Country],Tabela1[[#This Row],[Country]],Table106109[Mass Start Classification],"&gt;0")</f>
        <v>0</v>
      </c>
      <c r="NA134" s="6">
        <f>COUNTIFS(Table106[Country],Tabela1[[#This Row],[Country]],Table106[Pursuit Classification],"&gt;0")</f>
        <v>0</v>
      </c>
      <c r="NB134" s="6">
        <f>COUNTIFS(Table106109[Country],Tabela1[[#This Row],[Country]],Table106109[Pursuit Classification],"&gt;0")</f>
        <v>0</v>
      </c>
      <c r="NC134" s="6">
        <f>COUNTIFS(Table106[Country],Tabela1[[#This Row],[Country]],Table106[Sprint Classification],"&gt;0")</f>
        <v>0</v>
      </c>
      <c r="ND134" s="6">
        <f>COUNTIFS(Table106109[Country],Tabela1[[#This Row],[Country]],Table106109[Sprint Classification],"&gt;0")</f>
        <v>0</v>
      </c>
      <c r="NE134" s="6">
        <f>COUNTIFS(Table109[Country],Tabela1[[#This Row],[Country]],Table109[Men''s Relay Classification],"&gt;0")</f>
        <v>0</v>
      </c>
      <c r="NF134" s="6">
        <f>COUNTIFS(Table109[Country],Tabela1[[#This Row],[Country]],Table109[Women''s Relay Classification],"&gt;0")</f>
        <v>0</v>
      </c>
      <c r="NG134" s="6">
        <f>COUNTIFS(Table109[Country],Tabela1[[#This Row],[Country]],Table109[Mixed Relay Classification],"&gt;0")</f>
        <v>0</v>
      </c>
      <c r="NH134" s="6">
        <f>COUNTIFS(Table110[Country],Tabela1[[#This Row],[Country]],Table110[Monobob Classification],"&gt;0")</f>
        <v>0</v>
      </c>
      <c r="NI134" s="6">
        <f>COUNTIFS(Table111[Country],Tabela1[[#This Row],[Country]],Table111[Men''s Classification],"&gt;0")</f>
        <v>0</v>
      </c>
      <c r="NJ134" s="6">
        <f>COUNTIFS(Table111[Country],Tabela1[[#This Row],[Country]],Table111[Women''s Classification],"&gt;0")</f>
        <v>0</v>
      </c>
      <c r="NK134" s="6">
        <f>COUNTIFS(Table112[Country],Tabela1[[#This Row],[Country]],Table112[Men''s Four Classification],"&gt;0")</f>
        <v>0</v>
      </c>
      <c r="NL134" s="6">
        <f>COUNTIFS(Table113[Country],Tabela1[[#This Row],[Country]],Table113[Classical Classification],"&gt;0")</f>
        <v>0</v>
      </c>
      <c r="NM134" s="6">
        <f>COUNTIFS(Table113116[Country],Tabela1[[#This Row],[Country]],Table113116[Classical Classification],"&gt;0")</f>
        <v>0</v>
      </c>
      <c r="NN134" s="6">
        <f>COUNTIFS(Table113[Country],Tabela1[[#This Row],[Country]],Table113[Freestyle Classification],"&gt;0")</f>
        <v>0</v>
      </c>
      <c r="NO134" s="6">
        <f>COUNTIFS(Table113116[Country],Tabela1[[#This Row],[Country]],Table113116[Freestyle Classification],"&gt;0")</f>
        <v>0</v>
      </c>
      <c r="NP134" s="6">
        <f>COUNTIFS(Table117[Country],Tabela1[[#This Row],[Country]],Table117[Men''s Relay Classification],"&gt;0")</f>
        <v>0</v>
      </c>
      <c r="NQ134" s="6">
        <f>COUNTIFS(Table117[Country],Tabela1[[#This Row],[Country]],Table117[Women''s Relay Classification],"&gt;0")</f>
        <v>0</v>
      </c>
      <c r="NR134" s="6">
        <f>COUNTIFS(Table113[Country],Tabela1[[#This Row],[Country]],Table113[Skiathlon Classification],"&gt;0")</f>
        <v>0</v>
      </c>
      <c r="NS134" s="6">
        <f>COUNTIFS(Table113116[Country],Tabela1[[#This Row],[Country]],Table113116[Skiathlon Classification],"&gt;0")</f>
        <v>0</v>
      </c>
      <c r="NT134" s="6">
        <f>COUNTIFS(Table113[Country],Tabela1[[#This Row],[Country]],Table113[Sprint Classification],"&gt;0")</f>
        <v>0</v>
      </c>
      <c r="NU134" s="6">
        <f>COUNTIFS(Table113116[Country],Tabela1[[#This Row],[Country]],Table113116[Sprint Classification],"&gt;0")</f>
        <v>0</v>
      </c>
      <c r="NV134" s="6">
        <f>COUNTIFS(Table116[Country],Tabela1[[#This Row],[Country]],Table116[Men''s Team Sprint Classification],"&gt;0")</f>
        <v>0</v>
      </c>
      <c r="NW134" s="6">
        <f>COUNTIFS(Table116[Country],Tabela1[[#This Row],[Country]],Table116[Women''s Team Sprint Classification],"&gt;0")</f>
        <v>0</v>
      </c>
      <c r="NX134" s="6">
        <f>COUNTIFS(Table119[Country],Tabela1[[#This Row],[Country]],Table119[Men''s Classification],"&gt;0")</f>
        <v>0</v>
      </c>
      <c r="NY134" s="6">
        <f>COUNTIFS(Table119[Country],Tabela1[[#This Row],[Country]],Table119[Women''s Classification],"&gt;0")</f>
        <v>0</v>
      </c>
      <c r="NZ134" s="6">
        <f>COUNTIFS(Table118[Country],Tabela1[[#This Row],[Country]],Table118[Mixed Classification],"&gt;0")</f>
        <v>0</v>
      </c>
      <c r="OA134" s="6">
        <f>COUNTIFS(Table120[Country],Tabela1[[#This Row],[Country]],Table120[Classification],"&gt;0")</f>
        <v>0</v>
      </c>
      <c r="OB134" s="6">
        <f>COUNTIFS(Table120123[Country],Tabela1[[#This Row],[Country]],Table120123[Classification],"&gt;0")</f>
        <v>0</v>
      </c>
      <c r="OC134" s="6">
        <f>COUNTIFS(Table123[Country],Tabela1[[#This Row],[Country]],Table123[Ice Dance Classification],"&gt;0")</f>
        <v>0</v>
      </c>
      <c r="OD134" s="6">
        <f>COUNTIFS(Table123[Country],Tabela1[[#This Row],[Country]],Table123[Pair Skating Classification],"&gt;0")</f>
        <v>0</v>
      </c>
      <c r="OE134" s="6">
        <f>COUNTIFS(Table124[Country],Tabela1[[#This Row],[Country]],Table124[Mixed Classification],"&gt;0")</f>
        <v>0</v>
      </c>
      <c r="OF134" s="6">
        <f>COUNTIFS(Table125[Country],Tabela1[[#This Row],[Country]],Table125[Aerials Classification],"&gt;0")</f>
        <v>0</v>
      </c>
      <c r="OG134" s="6">
        <f>COUNTIFS(Table125128[Country],Tabela1[[#This Row],[Country]],Table125128[Aerials Classification],"&gt;0")</f>
        <v>0</v>
      </c>
      <c r="OH134" s="6">
        <f>COUNTIFS(Table128[Country],Tabela1[[#This Row],[Country]],Table128[Mixed Aerials Classification],"&gt;0")</f>
        <v>0</v>
      </c>
      <c r="OI134" s="6">
        <f>COUNTIFS(Table125[Country],Tabela1[[#This Row],[Country]],Table125[Big Air Classification],"&gt;0")</f>
        <v>0</v>
      </c>
      <c r="OJ134" s="6">
        <f>COUNTIFS(Table125128[Country],Tabela1[[#This Row],[Country]],Table125128[Big Air Classification],"&gt;0")</f>
        <v>0</v>
      </c>
      <c r="OK134" s="6">
        <f>COUNTIFS(Table125[Country],Tabela1[[#This Row],[Country]],Table125[Dual Moguls Classification],"&gt;0")</f>
        <v>0</v>
      </c>
      <c r="OL134" s="6">
        <f>COUNTIFS(Table125128[Country],Tabela1[[#This Row],[Country]],Table125128[Dual Moguls Classification],"&gt;0")</f>
        <v>0</v>
      </c>
      <c r="OM134" s="6">
        <f>COUNTIFS(Table125[Country],Tabela1[[#This Row],[Country]],Table125[Halfpipe Classification],"&gt;0")</f>
        <v>0</v>
      </c>
      <c r="ON134" s="6">
        <f>COUNTIFS(Table125128[Country],Tabela1[[#This Row],[Country]],Table125128[Halfpipe Classification],"&gt;0")</f>
        <v>0</v>
      </c>
      <c r="OO134" s="6">
        <f>COUNTIFS(Table125[Country],Tabela1[[#This Row],[Country]],Table125[Moguls Classification],"&gt;0")</f>
        <v>0</v>
      </c>
      <c r="OP134" s="6">
        <f>COUNTIFS(Table125128[Country],Tabela1[[#This Row],[Country]],Table125128[Moguls Classification],"&gt;0")</f>
        <v>0</v>
      </c>
      <c r="OQ134" s="6">
        <f>COUNTIFS(Table125[Country],Tabela1[[#This Row],[Country]],Table125[Ski Cross Classification],"&gt;0")</f>
        <v>0</v>
      </c>
      <c r="OR134" s="6">
        <f>COUNTIFS(Table125128[Country],Tabela1[[#This Row],[Country]],Table125128[Ski Cross Classification],"&gt;0")</f>
        <v>0</v>
      </c>
      <c r="OS134" s="6">
        <f>COUNTIFS(Table125[Country],Tabela1[[#This Row],[Country]],Table125[Slopestyle Classification],"&gt;0")</f>
        <v>0</v>
      </c>
      <c r="OT134" s="6">
        <f>COUNTIFS(Table125128[Country],Tabela1[[#This Row],[Country]],Table125128[Slopestyle Classification],"&gt;0")</f>
        <v>0</v>
      </c>
      <c r="OU134" s="6">
        <f>COUNTIFS(Table119131[Country],Tabela1[[#This Row],[Country]],Table119131[Men''s Classification],"&gt;0")</f>
        <v>0</v>
      </c>
      <c r="OV134" s="6">
        <f>COUNTIFS(Table119131[Country],Tabela1[[#This Row],[Country]],Table119131[Women''s Classification],"&gt;0")</f>
        <v>0</v>
      </c>
      <c r="OW134" s="6">
        <f>COUNTIFS(Table131[Country],Tabela1[[#This Row],[Country]],Table131[Classification],"&gt;0")</f>
        <v>0</v>
      </c>
      <c r="OX134" s="6">
        <f>COUNTIFS(Table131134[Country],Tabela1[[#This Row],[Country]],Table131134[Classification],"&gt;0")</f>
        <v>0</v>
      </c>
      <c r="OY134" s="6">
        <f>COUNTIFS(Table134[Country],Tabela1[[#This Row],[Country]],Table134[Men''s Classification],"&gt;0")</f>
        <v>0</v>
      </c>
      <c r="OZ134" s="6">
        <f>COUNTIFS(Table134[Country],Tabela1[[#This Row],[Country]],Table134[Women''s Classification],"&gt;0")</f>
        <v>0</v>
      </c>
      <c r="PA134" s="6">
        <f>COUNTIFS(Table135[Country],Tabela1[[#This Row],[Country]],Table135[Mixed Relay Classification],"&gt;0")</f>
        <v>0</v>
      </c>
      <c r="PB134" s="6">
        <f>COUNTIFS(Table136[Country],Tabela1[[#This Row],[Country]],Table136[Individual Classification],"&gt;0")</f>
        <v>0</v>
      </c>
      <c r="PC134" s="6">
        <f>COUNTIFS(Table136[Country],Tabela1[[#This Row],[Country]],Table136[Sprint Classification],"&gt;0")</f>
        <v>0</v>
      </c>
      <c r="PD134" s="6">
        <f>COUNTIFS(Table137[Country],Tabela1[[#This Row],[Country]],Table137[Men''s Team Sprint Large Hill Classification],"&gt;0")</f>
        <v>0</v>
      </c>
      <c r="PE134" s="6">
        <f>COUNTIFS(Table138[Country],Tabela1[[#This Row],[Country]],Table138[500m Classification],"&gt;0")</f>
        <v>0</v>
      </c>
      <c r="PF134" s="6">
        <f>COUNTIFS(Table138141[Country],Tabela1[[#This Row],[Country]],Table138141[500m Classification],"&gt;0")</f>
        <v>0</v>
      </c>
      <c r="PG134" s="6">
        <f>COUNTIFS(Table138[Country],Tabela1[[#This Row],[Country]],Table138[1000m Classification],"&gt;0")</f>
        <v>0</v>
      </c>
      <c r="PH134" s="6">
        <f>COUNTIFS(Table138141[Country],Tabela1[[#This Row],[Country]],Table138141[1000m Classification],"&gt;0")</f>
        <v>0</v>
      </c>
      <c r="PI134" s="6">
        <f>COUNTIFS(Table138[Country],Tabela1[[#This Row],[Country]],Table138[1500m Classification],"&gt;0")</f>
        <v>0</v>
      </c>
      <c r="PJ134" s="6">
        <f>COUNTIFS(Table138141[Country],Tabela1[[#This Row],[Country]],Table138141[1500m Classification],"&gt;0")</f>
        <v>0</v>
      </c>
      <c r="PK134" s="6">
        <f>COUNTIFS(Table141[Country],Tabela1[[#This Row],[Country]],Table141[Men''s 5000m Relay Classification],"&gt;0")</f>
        <v>0</v>
      </c>
      <c r="PL134" s="6">
        <f>COUNTIFS(Table141[Country],Tabela1[[#This Row],[Country]],Table141[Women''s 3000m Relay Classification],"&gt;0")</f>
        <v>0</v>
      </c>
      <c r="PM134" s="6">
        <f>COUNTIFS(Table141[Country],Tabela1[[#This Row],[Country]],Table141[Mixed 2000m Relay Classification],"&gt;0")</f>
        <v>0</v>
      </c>
      <c r="PN134" s="6">
        <f>COUNTIFS(Table142[Country],Tabela1[[#This Row],[Country]],Table142[Classification],"&gt;0")</f>
        <v>0</v>
      </c>
      <c r="PO134" s="6">
        <f>COUNTIFS(Table142145[Country],Tabela1[[#This Row],[Country]],Table142145[Classification],"&gt;0")</f>
        <v>0</v>
      </c>
      <c r="PP134" s="6">
        <f>COUNTIFS(Tabela15[Country],Tabela1[[#This Row],[Country]],Tabela15[Mixed Team Classification],"&gt;0")</f>
        <v>0</v>
      </c>
      <c r="PQ134" s="6">
        <f>COUNTIFS(Table145[Country],Tabela1[[#This Row],[Country]],Table145[Large Hill Classification],"&gt;0")</f>
        <v>0</v>
      </c>
      <c r="PR134" s="6">
        <f>COUNTIFS(Table145[Country],Tabela1[[#This Row],[Country]],Table145[Normal Hill Classification],"&gt;0")</f>
        <v>0</v>
      </c>
      <c r="PS134" s="6">
        <f>COUNTIFS(Table145148[Country],Tabela1[[#This Row],[Country]],Table145148[Large Hill Classification],"&gt;0")</f>
        <v>0</v>
      </c>
      <c r="PT134" s="6">
        <f>COUNTIFS(Table145148[Country],Tabela1[[#This Row],[Country]],Table145148[Normal Hill Classification],"&gt;0")</f>
        <v>0</v>
      </c>
      <c r="PU134" s="6">
        <f>COUNTIFS(Table148[Country],Tabela1[[#This Row],[Country]],Table148[Men''s Super Team Classification],"&gt;0")</f>
        <v>0</v>
      </c>
      <c r="PV134" s="6">
        <f>COUNTIFS(Tabela114[Country],Tabela1[[#This Row],[Country]],Tabela114[Mixed Normal Hill Classification],"&gt;0")</f>
        <v>0</v>
      </c>
      <c r="PW134" s="6">
        <f>COUNTIFS(Tabela50[Country],Tabela1[[#This Row],[Country]],Tabela50[Sprint Classification],"&gt;0")</f>
        <v>0</v>
      </c>
      <c r="PX134" s="6">
        <f>COUNTIFS(Tabela50101[Country],Tabela1[[#This Row],[Country]],Tabela50101[Sprint Classification],"&gt;0")</f>
        <v>0</v>
      </c>
      <c r="PY134" s="6">
        <f>COUNTIFS(Tabela103[Country],Tabela1[[#This Row],[Country]],Tabela103[Mixed Relay Classification],"&gt;0")</f>
        <v>0</v>
      </c>
      <c r="PZ134" s="6">
        <f>COUNTIFS(Table149[Country],Tabela1[[#This Row],[Country]],Table149[Big Air Classification],"&gt;0")</f>
        <v>0</v>
      </c>
      <c r="QA134" s="6">
        <f>COUNTIFS(Table149152[Country],Tabela1[[#This Row],[Country]],Table149152[Big Air Classification],"&gt;0")</f>
        <v>0</v>
      </c>
      <c r="QB134" s="6">
        <f>COUNTIFS(Table149[Country],Tabela1[[#This Row],[Country]],Table149[Halfpipe Classification],"&gt;0")</f>
        <v>0</v>
      </c>
      <c r="QC134" s="6">
        <f>COUNTIFS(Table149152[Country],Tabela1[[#This Row],[Country]],Table149152[Halfpipe Classification],"&gt;0")</f>
        <v>0</v>
      </c>
      <c r="QD134" s="6">
        <f>COUNTIFS(Table149[Country],Tabela1[[#This Row],[Country]],Table149[Parallel Giant Slalom Classification],"&gt;0")</f>
        <v>0</v>
      </c>
      <c r="QE134" s="6">
        <f>COUNTIFS(Table149152[Country],Tabela1[[#This Row],[Country]],Table149152[Parallel Giant Slalom Classification],"&gt;0")</f>
        <v>0</v>
      </c>
      <c r="QF134" s="6">
        <f>COUNTIFS(Table149[Country],Tabela1[[#This Row],[Country]],Table149[Slopestyle Classification],"&gt;0")</f>
        <v>0</v>
      </c>
      <c r="QG134" s="6">
        <f>COUNTIFS(Table149152[Country],Tabela1[[#This Row],[Country]],Table149152[Slopestyle Classification],"&gt;0")</f>
        <v>0</v>
      </c>
      <c r="QH134" s="6">
        <f>COUNTIFS(Table149[Country],Tabela1[[#This Row],[Country]],Table149[Snowboard Cross Classification],"&gt;0")</f>
        <v>0</v>
      </c>
      <c r="QI134" s="6">
        <f>COUNTIFS(Table149152[Country],Tabela1[[#This Row],[Country]],Table149152[Snowboard Cross Classification],"&gt;0")</f>
        <v>0</v>
      </c>
      <c r="QJ134" s="6">
        <f>COUNTIFS(Table153[Country],Tabela1[[#This Row],[Country]],Table153[Mixed Team Snowboard Cross Classification],"&gt;0")</f>
        <v>0</v>
      </c>
      <c r="QK134" s="6">
        <f>COUNTIFS(Table154[Country],Tabela1[[#This Row],[Country]],Table154[500m Classification],"&gt;0")</f>
        <v>0</v>
      </c>
      <c r="QL134" s="6">
        <f>COUNTIFS(Table154157[Country],Tabela1[[#This Row],[Country]],Table154157[500m Classification],"&gt;0")</f>
        <v>0</v>
      </c>
      <c r="QM134" s="6">
        <f>COUNTIFS(Table154[Country],Tabela1[[#This Row],[Country]],Table154[1000m Classification],"&gt;0")</f>
        <v>0</v>
      </c>
      <c r="QN134" s="6">
        <f>COUNTIFS(Table154157[Country],Tabela1[[#This Row],[Country]],Table154157[1000m Classification],"&gt;0")</f>
        <v>0</v>
      </c>
      <c r="QO134" s="6">
        <f>COUNTIFS(Table154[Country],Tabela1[[#This Row],[Country]],Table154[1500m Classification],"&gt;0")</f>
        <v>0</v>
      </c>
      <c r="QP134" s="6">
        <f>COUNTIFS(Table154157[Country],Tabela1[[#This Row],[Country]],Table154157[1500m Classification],"&gt;0")</f>
        <v>0</v>
      </c>
      <c r="QQ134" s="6">
        <f>COUNTIFS(Table154157[Country],Tabela1[[#This Row],[Country]],Table154157[3000m Classification],"&gt;0")</f>
        <v>0</v>
      </c>
      <c r="QR134" s="6">
        <f>COUNTIFS(Table154[Country],Tabela1[[#This Row],[Country]],Table154[5000m Classification],"&gt;0")</f>
        <v>0</v>
      </c>
      <c r="QS134" s="6">
        <f>COUNTIFS(Table154157[Country],Tabela1[[#This Row],[Country]],Table154157[5000m Classification],"&gt;0")</f>
        <v>0</v>
      </c>
      <c r="QT134" s="6">
        <f>COUNTIFS(Table154[Country],Tabela1[[#This Row],[Country]],Table154[10000m Classification],"&gt;0")</f>
        <v>0</v>
      </c>
      <c r="QU134" s="6">
        <f>COUNTIFS(Table154[Country],Tabela1[[#This Row],[Country]],Table154[Mass Start Classification],"&gt;0")</f>
        <v>0</v>
      </c>
      <c r="QV134" s="6">
        <f>COUNTIFS(Table154157[Country],Tabela1[[#This Row],[Country]],Table154157[Mass Start Classification],"&gt;0")</f>
        <v>0</v>
      </c>
      <c r="QW134" s="6">
        <f>COUNTIFS(Table157[Country],Tabela1[[#This Row],[Country]],Table157[Men''s Pursuit Classification],"&gt;0")</f>
        <v>0</v>
      </c>
      <c r="QX134" s="6">
        <f>COUNTIFS(Table157[Country],Tabela1[[#This Row],[Country]],Table157[Women''s Pursuit Classification],"&gt;0")</f>
        <v>0</v>
      </c>
      <c r="QY134" s="4" t="s">
        <v>659</v>
      </c>
    </row>
    <row r="135" spans="1:467" x14ac:dyDescent="0.3">
      <c r="A135" s="6">
        <v>134</v>
      </c>
      <c r="B135" s="6" t="s">
        <v>582</v>
      </c>
      <c r="C135" t="e" vm="134">
        <f>IF(ISBLANK(Tabela1[[#This Row],[Image Link]]), "", _xlfn.IMAGE(Tabela1[[#This Row],[Image Link]],1,1))</f>
        <v>#VALUE!</v>
      </c>
      <c r="D135" s="6">
        <f>SUM(Tabela1[[#This Row],[Archery - Men''s Individual Recurve]:[Speed Skating - Women''s Team Pursuit]])</f>
        <v>1</v>
      </c>
      <c r="E135" s="6">
        <f>COUNTIF(Tabela1[[#This Row],[Archery - Men''s Individual Recurve]:[Speed Skating - Women''s Team Pursuit]],"&gt;0")</f>
        <v>1</v>
      </c>
      <c r="F135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35" s="6">
        <f>SUM(Tabela1[[#This Row],[Archery - Men''s Individual Recurve]:[Wrestling - Women''s Freestyle 76kg]])</f>
        <v>1</v>
      </c>
      <c r="H135" s="6">
        <f>SUM(Tabela1[[#This Row],[Alpine Skiing - Men''s Downhill]:[Speed Skating - Women''s Team Pursuit]])</f>
        <v>0</v>
      </c>
      <c r="I135" s="6">
        <f>Tabela1[[#This Row],[Summer Gold Medals]]+Tabela1[[#This Row],[Winter Gold Medals]]</f>
        <v>0</v>
      </c>
      <c r="J135" s="6">
        <f>Tabela1[[#This Row],[Summer Silver Medals]]+Tabela1[[#This Row],[Winter Silver Medals]]</f>
        <v>0</v>
      </c>
      <c r="K135" s="6">
        <f>Tabela1[[#This Row],[Summer Bronze Medals]]+Tabela1[[#This Row],[Winter Bronze Medals]]</f>
        <v>2</v>
      </c>
      <c r="L135" s="6">
        <f>SUM(Tabela1[[#This Row],[Total Gold Medals]:[Total Bronze Medals]])</f>
        <v>2</v>
      </c>
      <c r="M135" s="6"/>
      <c r="N135" s="6"/>
      <c r="O135" s="6">
        <v>2</v>
      </c>
      <c r="P135" s="6">
        <f>SUM(Tabela1[[#This Row],[Summer Gold Medals]:[Summer Bronze Medals]])</f>
        <v>2</v>
      </c>
      <c r="Q135" s="6"/>
      <c r="R135" s="6"/>
      <c r="S135" s="6"/>
      <c r="T135" s="6">
        <f>Tabela1[[#This Row],[Winter Gold Medals]]+Tabela1[[#This Row],[Winter Silver Medals]]+Tabela1[[#This Row],[Winter Bronze Medals]]</f>
        <v>0</v>
      </c>
      <c r="U135" s="7">
        <f>Tabela1[[#This Row],[Total Medals]]/Tabela1[[#This Row],[Total Quotas]]</f>
        <v>2</v>
      </c>
      <c r="V135" s="6">
        <f>COUNTIFS(Table3[Country],Tabela1[[#This Row],[Country]],Table3[Recurve Classification],"&gt;0")</f>
        <v>0</v>
      </c>
      <c r="W135" s="6">
        <f>COUNTIFS(Table33[Country],Tabela1[[#This Row],[Country]],Table33[Recurve Classification],"&gt;0")</f>
        <v>0</v>
      </c>
      <c r="X135" s="6">
        <f>COUNTIFS(Table35[Country],Tabela1[[#This Row],[Country]],Table35[Men''s Team Recurve Classification],"&gt;0")</f>
        <v>0</v>
      </c>
      <c r="Y135" s="6">
        <f>COUNTIFS(Table35[Country],Tabela1[[#This Row],[Country]],Table35[Women''s Team Recurve Classification],"&gt;0")</f>
        <v>0</v>
      </c>
      <c r="Z135" s="6">
        <f>COUNTIFS(Tabela88[Country],Tabela1[[#This Row],[Country]],Tabela88[Mixed Team Recurve Classification],"&gt;0")</f>
        <v>0</v>
      </c>
      <c r="AA135" s="6">
        <f>COUNTIFS(Table36[Country],Tabela1[[#This Row],[Country]],Table36[Classification],"&gt;0")</f>
        <v>0</v>
      </c>
      <c r="AB135" s="6">
        <f>COUNTIFS(Table37[Country],Tabela1[[#This Row],[Country]],Table37[Classification],"&gt;0")</f>
        <v>0</v>
      </c>
      <c r="AC135" s="6">
        <f>COUNTIFS(Table4[Country],Tabela1[[#This Row],[Country]],Table4[100m Classification],"&gt;0")</f>
        <v>0</v>
      </c>
      <c r="AD135" s="6">
        <f>COUNTIFS(Table5[Country],Tabela1[[#This Row],[Country]],Table5[100m Classification],"&gt;0")</f>
        <v>0</v>
      </c>
      <c r="AE135" s="6">
        <f>COUNTIFS(Table4[Country],Tabela1[[#This Row],[Country]],Table4[200m Classification],"&gt;0")</f>
        <v>0</v>
      </c>
      <c r="AF135" s="6">
        <f>COUNTIFS(Table5[Country],Tabela1[[#This Row],[Country]],Table5[200m Classification],"&gt;0")</f>
        <v>0</v>
      </c>
      <c r="AG135" s="6">
        <f>COUNTIFS(Table4[Country],Tabela1[[#This Row],[Country]],Table4[400m Classification],"&gt;0")</f>
        <v>0</v>
      </c>
      <c r="AH135" s="6">
        <f>COUNTIFS(Table5[Country],Tabela1[[#This Row],[Country]],Table5[400m Classification],"&gt;0")</f>
        <v>0</v>
      </c>
      <c r="AI135" s="6">
        <f>COUNTIFS(Table4[Country],Tabela1[[#This Row],[Country]],Table4[800m Classification],"&gt;0")</f>
        <v>0</v>
      </c>
      <c r="AJ135" s="6">
        <f>COUNTIFS(Table5[Country],Tabela1[[#This Row],[Country]],Table5[800m Classification],"&gt;0")</f>
        <v>0</v>
      </c>
      <c r="AK135" s="6">
        <f>COUNTIFS(Table4[Country],Tabela1[[#This Row],[Country]],Table4[1500m Classification],"&gt;0")</f>
        <v>0</v>
      </c>
      <c r="AL135" s="6">
        <f>COUNTIFS(Table5[Country],Tabela1[[#This Row],[Country]],Table5[1500m Classification],"&gt;0")</f>
        <v>0</v>
      </c>
      <c r="AM135" s="6">
        <f>COUNTIFS(Table4[Country],Tabela1[[#This Row],[Country]],Table4[5000m Classification],"&gt;0")</f>
        <v>0</v>
      </c>
      <c r="AN135" s="6">
        <f>COUNTIFS(Table5[Country],Tabela1[[#This Row],[Country]],Table5[5000m Classification],"&gt;0")</f>
        <v>0</v>
      </c>
      <c r="AO135" s="6">
        <f>COUNTIFS(Table4[Country],Tabela1[[#This Row],[Country]],Table4[10000m Classification],"&gt;0")</f>
        <v>0</v>
      </c>
      <c r="AP135" s="6">
        <f>COUNTIFS(Table5[Country],Tabela1[[#This Row],[Country]],Table5[10000m Classification],"&gt;0")</f>
        <v>0</v>
      </c>
      <c r="AQ135" s="6">
        <f>COUNTIFS(Table4[Country],Tabela1[[#This Row],[Country]],Table4[110m Hurdles Classification],"&gt;0")</f>
        <v>0</v>
      </c>
      <c r="AR135" s="6">
        <f>COUNTIFS(Table5[Country],Tabela1[[#This Row],[Country]],Table5[100m Hurdles Classification],"&gt;0")</f>
        <v>0</v>
      </c>
      <c r="AS135" s="6">
        <f>COUNTIFS(Table4[Country],Tabela1[[#This Row],[Country]],Table4[400m Hurdles Classification],"&gt;0")</f>
        <v>0</v>
      </c>
      <c r="AT135" s="6">
        <f>COUNTIFS(Table5[Country],Tabela1[[#This Row],[Country]],Table5[400m Hurdles Classification],"&gt;0")</f>
        <v>0</v>
      </c>
      <c r="AU135" s="6">
        <f>COUNTIFS(Table4[Country],Tabela1[[#This Row],[Country]],Table4[3000m Steeplechase Classification],"&gt;0")</f>
        <v>0</v>
      </c>
      <c r="AV135" s="6">
        <f>COUNTIFS(Table5[Country],Tabela1[[#This Row],[Country]],Table5[3000m Steeplechase Classification],"&gt;0")</f>
        <v>0</v>
      </c>
      <c r="AW135" s="6">
        <f>COUNTIFS(Table27[Country],Tabela1[[#This Row],[Country]],Table27[Men''s 4x100m Relay Classification],"&gt;0")</f>
        <v>0</v>
      </c>
      <c r="AX135" s="6">
        <f>COUNTIFS(Table27[Country],Tabela1[[#This Row],[Country]],Table27[Women''s 4x100m Relay Classification],"&gt;0")</f>
        <v>0</v>
      </c>
      <c r="AY135" s="6">
        <f>COUNTIFS(Table27[Country],Tabela1[[#This Row],[Country]],Table27[Men''s 4x400m Relay Classification],"&gt;0")</f>
        <v>0</v>
      </c>
      <c r="AZ135" s="6">
        <f>COUNTIFS(Table27[Country],Tabela1[[#This Row],[Country]],Table27[Women''s 4x400m Relay Classification],"&gt;0")</f>
        <v>0</v>
      </c>
      <c r="BA135" s="6">
        <f>COUNTIFS(Table27[Country],Tabela1[[#This Row],[Country]],Table27[Mixed 4x400m Relay Classification],"&gt;0")</f>
        <v>0</v>
      </c>
      <c r="BB135" s="6">
        <f>COUNTIFS(Table4[Country],Tabela1[[#This Row],[Country]],Table4[Marathon Classification],"&gt;0")</f>
        <v>0</v>
      </c>
      <c r="BC135" s="6">
        <f>COUNTIFS(Table5[Country],Tabela1[[#This Row],[Country]],Table5[Marathon Classification],"&gt;0")</f>
        <v>0</v>
      </c>
      <c r="BD135" s="6">
        <f>COUNTIFS(Table4[Country],Tabela1[[#This Row],[Country]],Table4[20km Race Walk Classification],"&gt;0")</f>
        <v>0</v>
      </c>
      <c r="BE135" s="6">
        <f>COUNTIFS(Table5[Country],Tabela1[[#This Row],[Country]],Table5[20km Race Walk Classification],"&gt;0")</f>
        <v>0</v>
      </c>
      <c r="BF135" s="6">
        <f>COUNTIFS(Tabela96[Country],Tabela1[[#This Row],[Country]],Tabela96[Mixed Marathon Race Walk Relay Classification],"&gt;0")</f>
        <v>0</v>
      </c>
      <c r="BG135" s="6">
        <f>COUNTIFS(Table4[Country],Tabela1[[#This Row],[Country]],Table4[Discus Throw Classification],"&gt;0")</f>
        <v>0</v>
      </c>
      <c r="BH135" s="6">
        <f>COUNTIFS(Table5[Country],Tabela1[[#This Row],[Country]],Table5[Discus Throw Classification],"&gt;0")</f>
        <v>0</v>
      </c>
      <c r="BI135" s="6">
        <f>COUNTIFS(Table4[Country],Tabela1[[#This Row],[Country]],Table4[Hammer Throw Classification],"&gt;0")</f>
        <v>0</v>
      </c>
      <c r="BJ135" s="6">
        <f>COUNTIFS(Table5[Country],Tabela1[[#This Row],[Country]],Table5[Hammer Throw Classification],"&gt;0")</f>
        <v>0</v>
      </c>
      <c r="BK135" s="6">
        <f>COUNTIFS(Table4[Country],Tabela1[[#This Row],[Country]],Table4[High Jump Classification],"&gt;0")</f>
        <v>0</v>
      </c>
      <c r="BL135" s="6">
        <f>COUNTIFS(Table5[Country],Tabela1[[#This Row],[Country]],Table5[High Jump Classification],"&gt;0")</f>
        <v>0</v>
      </c>
      <c r="BM135" s="6">
        <f>COUNTIFS(Table4[Country],Tabela1[[#This Row],[Country]],Table4[Javelin Throw Classification],"&gt;0")</f>
        <v>0</v>
      </c>
      <c r="BN135" s="6">
        <f>COUNTIFS(Table5[Country],Tabela1[[#This Row],[Country]],Table5[Javelin Throw Classification],"&gt;0")</f>
        <v>0</v>
      </c>
      <c r="BO135" s="6">
        <f>COUNTIFS(Table4[Country],Tabela1[[#This Row],[Country]],Table4[Long Jump Classification],"&gt;0")</f>
        <v>0</v>
      </c>
      <c r="BP135" s="6">
        <f>COUNTIFS(Table5[Country],Tabela1[[#This Row],[Country]],Table5[Long Jump Classification],"&gt;0")</f>
        <v>0</v>
      </c>
      <c r="BQ135" s="6">
        <f>COUNTIFS(Table4[Country],Tabela1[[#This Row],[Country]],Table4[Pole Vault Classification],"&gt;0")</f>
        <v>0</v>
      </c>
      <c r="BR135" s="6">
        <f>COUNTIFS(Table5[Country],Tabela1[[#This Row],[Country]],Table5[Pole Vault Classification],"&gt;0")</f>
        <v>0</v>
      </c>
      <c r="BS135" s="6">
        <f>COUNTIFS(Table4[Country],Tabela1[[#This Row],[Country]],Table4[Shot Put Classification],"&gt;0")</f>
        <v>0</v>
      </c>
      <c r="BT135" s="6">
        <f>COUNTIFS(Table5[Country],Tabela1[[#This Row],[Country]],Table5[Shot Put Classification],"&gt;0")</f>
        <v>0</v>
      </c>
      <c r="BU135" s="6">
        <f>COUNTIFS(Table4[Country],Tabela1[[#This Row],[Country]],Table4[Triple Jump Classification],"&gt;0")</f>
        <v>0</v>
      </c>
      <c r="BV135" s="6">
        <f>COUNTIFS(Table5[Country],Tabela1[[#This Row],[Country]],Table5[Triple Jump Classification],"&gt;0")</f>
        <v>0</v>
      </c>
      <c r="BW135" s="6">
        <f>COUNTIFS(Table4[Country],Tabela1[[#This Row],[Country]],Table4[Decathlon Classification],"&gt;0")</f>
        <v>0</v>
      </c>
      <c r="BX135" s="6">
        <f>COUNTIFS(Table5[Country],Tabela1[[#This Row],[Country]],Table5[Heptathlon Classification],"&gt;0")</f>
        <v>0</v>
      </c>
      <c r="BY135" s="6">
        <f>COUNTIFS(Table61[Country],Tabela1[[#This Row],[Country]],Table61[Classification],"&gt;0")</f>
        <v>0</v>
      </c>
      <c r="BZ135" s="6">
        <f>COUNTIFS(Table38[Country],Tabela1[[#This Row],[Country]],Table38[Classification],"&gt;0")</f>
        <v>0</v>
      </c>
      <c r="CA135" s="6">
        <f>COUNTIFS(Table39[Country],Tabela1[[#This Row],[Country]],Table39[Men''s Classification],"&gt;0")</f>
        <v>0</v>
      </c>
      <c r="CB135" s="6">
        <f>COUNTIFS(Table39[Country],Tabela1[[#This Row],[Country]],Table39[Women''s Classification],"&gt;0")</f>
        <v>0</v>
      </c>
      <c r="CC135" s="6">
        <f>COUNTIFS(Table39[Country],Tabela1[[#This Row],[Country]],Table39[Mixed Classification],"&gt;0")</f>
        <v>0</v>
      </c>
      <c r="CD135" s="6">
        <f>COUNTIFS(Table89[Country],Tabela1[[#This Row],[Country]],Table89[Men''s Classification],"&gt;0")</f>
        <v>0</v>
      </c>
      <c r="CE135" s="6">
        <f>COUNTIFS(Table89[Country],Tabela1[[#This Row],[Country]],Table89[Women''s Classification],"&gt;0")</f>
        <v>0</v>
      </c>
      <c r="CF135" s="6">
        <f>COUNTIFS(Table90[Country],Tabela1[[#This Row],[Country]],Table90[Men''s Classification],"&gt;0")</f>
        <v>0</v>
      </c>
      <c r="CG135" s="6">
        <f>COUNTIFS(Table90[Country],Tabela1[[#This Row],[Country]],Table90[Women''s Classification],"&gt;0")</f>
        <v>0</v>
      </c>
      <c r="CH135" s="6">
        <f>COUNTIFS(Table60[Country],Tabela1[[#This Row],[Country]],Table60[Men''s Classification],"&gt;0")</f>
        <v>0</v>
      </c>
      <c r="CI135" s="6">
        <f>COUNTIFS(Table60[Country],Tabela1[[#This Row],[Country]],Table60[Women''s Classification],"&gt;0")</f>
        <v>0</v>
      </c>
      <c r="CJ135" s="6">
        <f>COUNTIFS(Table6[Country],Tabela1[[#This Row],[Country]],Table6[51kg Classification],"&gt;0")</f>
        <v>0</v>
      </c>
      <c r="CK135" s="6">
        <f>COUNTIFS(Table6[Country],Tabela1[[#This Row],[Country]],Table6[57kg Classification],"&gt;0")</f>
        <v>0</v>
      </c>
      <c r="CL135" s="6">
        <f>COUNTIFS(Table6[Country],Tabela1[[#This Row],[Country]],Table6[63.5kg Classification],"&gt;0")</f>
        <v>0</v>
      </c>
      <c r="CM135" s="6">
        <f>COUNTIFS(Table6[Country],Tabela1[[#This Row],[Country]],Table6[71kg Classification],"&gt;0")</f>
        <v>0</v>
      </c>
      <c r="CN135" s="6">
        <f>COUNTIFS(Table6[Country],Tabela1[[#This Row],[Country]],Table6[80kg Classification],"&gt;0")</f>
        <v>0</v>
      </c>
      <c r="CO135" s="6">
        <f>COUNTIFS(Table6[Country],Tabela1[[#This Row],[Country]],Table6[92kg Classification],"&gt;0")</f>
        <v>0</v>
      </c>
      <c r="CP135" s="6">
        <f>COUNTIFS(Table6[Country],Tabela1[[#This Row],[Country]],Table6[Plus 92kg Classification],"&gt;0")</f>
        <v>0</v>
      </c>
      <c r="CQ135" s="6">
        <f>COUNTIFS(Table7[Country],Tabela1[[#This Row],[Country]],Table7[50kg Classification],"&gt;0")</f>
        <v>0</v>
      </c>
      <c r="CR135" s="6">
        <f>COUNTIFS(Table7[Country],Tabela1[[#This Row],[Country]],Table7[54kg Classification],"&gt;0")</f>
        <v>0</v>
      </c>
      <c r="CS135" s="6">
        <f>COUNTIFS(Table7[Country],Tabela1[[#This Row],[Country]],Table7[57kg Classification],"&gt;0")</f>
        <v>0</v>
      </c>
      <c r="CT135" s="6">
        <f>COUNTIFS(Table7[Country],Tabela1[[#This Row],[Country]],Table7[60kg Classification],"&gt;0")</f>
        <v>0</v>
      </c>
      <c r="CU135" s="6">
        <f>COUNTIFS(Table7[Country],Tabela1[[#This Row],[Country]],Table7[66kg Classification],"&gt;0")</f>
        <v>0</v>
      </c>
      <c r="CV135" s="6">
        <f>COUNTIFS(Table7[Country],Tabela1[[#This Row],[Country]],Table7[75kg Classification],"&gt;0")</f>
        <v>0</v>
      </c>
      <c r="CW135" s="6">
        <f>COUNTIFS(Tabela94[Country],Tabela1[[#This Row],[Country]],Tabela94[Classification],"&gt;0")</f>
        <v>0</v>
      </c>
      <c r="CX135" s="6">
        <f>COUNTIFS(Tabela9499[Country],Tabela1[[#This Row],[Country]],Tabela9499[Classification],"&gt;0")</f>
        <v>0</v>
      </c>
      <c r="CY135" s="6">
        <f>COUNTIFS(Tabela107[Country],Tabela1[[#This Row],[Country]],Tabela107[C1 Slalom Classification],"&gt;0")</f>
        <v>0</v>
      </c>
      <c r="CZ135" s="6">
        <f>COUNTIFS(Tabela107122[Country],Tabela1[[#This Row],[Country]],Tabela107122[C1 Slalom Classification],"&gt;0")</f>
        <v>0</v>
      </c>
      <c r="DA135" s="6">
        <f>COUNTIFS(Tabela107[Country],Tabela1[[#This Row],[Country]],Tabela107[K1 Slalom Classification],"&gt;0")</f>
        <v>0</v>
      </c>
      <c r="DB135" s="6">
        <f>COUNTIFS(Tabela107122[Country],Tabela1[[#This Row],[Country]],Tabela107122[K1 Slalom Classification],"&gt;0")</f>
        <v>0</v>
      </c>
      <c r="DC135" s="6">
        <f>COUNTIFS(Tabela107[Country],Tabela1[[#This Row],[Country]],Tabela107[Kayak Cross Slalom Classification],"&gt;0")</f>
        <v>0</v>
      </c>
      <c r="DD135" s="6">
        <f>COUNTIFS(Tabela107122[Country],Tabela1[[#This Row],[Country]],Tabela107122[Kayak Cross Slalom Classification],"&gt;0")</f>
        <v>0</v>
      </c>
      <c r="DE135" s="6">
        <f>COUNTIFS(Table8[Country],Tabela1[[#This Row],[Country]],Table8[C1 200m Classification],"&gt;0")</f>
        <v>0</v>
      </c>
      <c r="DF135" s="6">
        <f>COUNTIFS(Table40[Country],Tabela1[[#This Row],[Country]],Table40[C1 1000m Classification],"&gt;0")</f>
        <v>0</v>
      </c>
      <c r="DG135" s="6">
        <f>COUNTIFS(Table68[Country],Tabela1[[#This Row],[Country]],Table68[Men''s C2 500m Classification],"&gt;0")</f>
        <v>0</v>
      </c>
      <c r="DH135" s="6">
        <f>COUNTIFS(Table68[Country],Tabela1[[#This Row],[Country]],Table68[Women''s C2 500m Classification],"&gt;0")</f>
        <v>0</v>
      </c>
      <c r="DI135" s="6">
        <f>COUNTIFS(Table8[Country],Tabela1[[#This Row],[Country]],Table8[K1 500m Classification],"&gt;0")</f>
        <v>0</v>
      </c>
      <c r="DJ135" s="6">
        <f>COUNTIFS(Table40[Country],Tabela1[[#This Row],[Country]],Table40[K1 1000m Classification],"&gt;0")</f>
        <v>0</v>
      </c>
      <c r="DK135" s="6">
        <f>COUNTIFS(Table68[Country],Tabela1[[#This Row],[Country]],Table68[Men''s K2 500m Classification],"&gt;0")</f>
        <v>0</v>
      </c>
      <c r="DL135" s="6">
        <f>COUNTIFS(Table68[Country],Tabela1[[#This Row],[Country]],Table68[Women''s K2 500m Classification],"&gt;0")</f>
        <v>0</v>
      </c>
      <c r="DM135" s="6">
        <f>COUNTIFS(Table83[Country],Tabela1[[#This Row],[Country]],Table83[Men''s K4 500m Classification],"&gt;0")</f>
        <v>0</v>
      </c>
      <c r="DN135" s="6">
        <f>COUNTIFS(Table83[Country],Tabela1[[#This Row],[Country]],Table83[Women''s K4 500m Classification],"&gt;0")</f>
        <v>0</v>
      </c>
      <c r="DO135" s="6">
        <f>COUNTIFS(Tabela126[Country],Tabela1[[#This Row],[Country]],Tabela126[Classification],"&gt;0")</f>
        <v>0</v>
      </c>
      <c r="DP135" s="6">
        <f>COUNTIFS(Tabela126130[Country],Tabela1[[#This Row],[Country]],Tabela126130[Classification],"&gt;0")</f>
        <v>0</v>
      </c>
      <c r="DQ135" s="6">
        <f>COUNTIFS(Table70[Country],Tabela1[[#This Row],[Country]],Table70[Classification],"&gt;0")</f>
        <v>0</v>
      </c>
      <c r="DR135" s="6">
        <f>COUNTIFS(Table80[Country],Tabela1[[#This Row],[Country]],Table80[Classification],"&gt;0")</f>
        <v>0</v>
      </c>
      <c r="DS135" s="6">
        <f>COUNTIFS(Table66[Country],Tabela1[[#This Row],[Country]],Table66[Classification],"&gt;0")</f>
        <v>0</v>
      </c>
      <c r="DT135" s="6">
        <f>COUNTIFS(Table67[Country],Tabela1[[#This Row],[Country]],Table67[Classification],"&gt;0")</f>
        <v>0</v>
      </c>
      <c r="DU135" s="6">
        <f>COUNTIFS(Table69[Country],Tabela1[[#This Row],[Country]],Table69[Keirin Classification],"&gt;0")</f>
        <v>0</v>
      </c>
      <c r="DV135" s="6">
        <f>COUNTIFS(Table41[Country],Tabela1[[#This Row],[Country]],Table41[Keirin Classification],"&gt;0")</f>
        <v>0</v>
      </c>
      <c r="DW135" s="6">
        <f>COUNTIFS(Table84[Country],Tabela1[[#This Row],[Country]],Table84[Men''s Madison Classification],"&gt;0")</f>
        <v>0</v>
      </c>
      <c r="DX135" s="6">
        <f>COUNTIFS(Table84[Country],Tabela1[[#This Row],[Country]],Table84[Women''s Madison Classification],"&gt;0")</f>
        <v>0</v>
      </c>
      <c r="DY135" s="6">
        <f>COUNTIFS(Table69[Country],Tabela1[[#This Row],[Country]],Table69[Omnium Classification],"&gt;0")</f>
        <v>0</v>
      </c>
      <c r="DZ135" s="6">
        <f>COUNTIFS(Table41[Country],Tabela1[[#This Row],[Country]],Table41[Omnium Classification],"&gt;0")</f>
        <v>0</v>
      </c>
      <c r="EA135" s="6">
        <f>COUNTIFS(Table9[Country],Tabela1[[#This Row],[Country]],Table9[Road Race Classification],"&gt;0")</f>
        <v>0</v>
      </c>
      <c r="EB135" s="6">
        <f>COUNTIFS(Table14[Country],Tabela1[[#This Row],[Country]],Table14[Road Race Classification],"&gt;0")</f>
        <v>0</v>
      </c>
      <c r="EC135" s="6">
        <f>COUNTIFS(Table69[Country],Tabela1[[#This Row],[Country]],Table69[Sprint Classification],"&gt;0")</f>
        <v>0</v>
      </c>
      <c r="ED135" s="6">
        <f>COUNTIFS(Table41[Country],Tabela1[[#This Row],[Country]],Table41[Sprint Classification],"&gt;0")</f>
        <v>0</v>
      </c>
      <c r="EE135" s="6">
        <f>COUNTIFS(Table85[Country],Tabela1[[#This Row],[Country]],Table85[Men''s Sprint Classification],"&gt;0")</f>
        <v>0</v>
      </c>
      <c r="EF135" s="6">
        <f>COUNTIFS(Table85[Country],Tabela1[[#This Row],[Country]],Table85[Women''s Sprint Classification],"&gt;0")</f>
        <v>0</v>
      </c>
      <c r="EG135" s="6">
        <f>COUNTIFS(Table85[Country],Tabela1[[#This Row],[Country]],Table85[Men''s Pursuit Classification],"&gt;0")</f>
        <v>0</v>
      </c>
      <c r="EH135" s="6">
        <f>COUNTIFS(Table85[Country],Tabela1[[#This Row],[Country]],Table85[Women''s Pursuit Classification],"&gt;0")</f>
        <v>0</v>
      </c>
      <c r="EI135" s="6">
        <f>COUNTIFS(Table9[Country],Tabela1[[#This Row],[Country]],Table9[Time-Trial Classification],"&gt;0")</f>
        <v>0</v>
      </c>
      <c r="EJ135" s="6">
        <f>COUNTIFS(Table14[Country],Tabela1[[#This Row],[Country]],Table14[Time-Trial Classification],"&gt;0")</f>
        <v>0</v>
      </c>
      <c r="EK135" s="6">
        <f>COUNTIFS(Table42[Country],Tabela1[[#This Row],[Country]],Table42[Springboard Classification],"&gt;0")</f>
        <v>0</v>
      </c>
      <c r="EL135" s="6">
        <f>COUNTIFS(Table43[Country],Tabela1[[#This Row],[Country]],Table43[Springboard Classification],"&gt;0")</f>
        <v>0</v>
      </c>
      <c r="EM135" s="6">
        <f>COUNTIFS(Table42[Country],Tabela1[[#This Row],[Country]],Table42[Platform Classification],"&gt;0")</f>
        <v>0</v>
      </c>
      <c r="EN135" s="6">
        <f>COUNTIFS(Table43[Country],Tabela1[[#This Row],[Country]],Table43[Platform Classification],"&gt;0")</f>
        <v>0</v>
      </c>
      <c r="EO135" s="6">
        <f>COUNTIFS(Table86[Country],Tabela1[[#This Row],[Country]],Table86[Men''s Synchronized Springboard Classification],"&gt;0")</f>
        <v>0</v>
      </c>
      <c r="EP135" s="6">
        <f>COUNTIFS(Table86[Country],Tabela1[[#This Row],[Country]],Table86[Women''s Synchronized Springboard Classification],"&gt;0")</f>
        <v>0</v>
      </c>
      <c r="EQ135" s="6">
        <f>COUNTIFS(Table86[Country],Tabela1[[#This Row],[Country]],Table86[Men''s Synchronized Platform Classification],"&gt;0")</f>
        <v>0</v>
      </c>
      <c r="ER135" s="6">
        <f>COUNTIFS(Table86[Country],Tabela1[[#This Row],[Country]],Table86[Women''s Synchronized Platform Classification],"&gt;0")</f>
        <v>0</v>
      </c>
      <c r="ES135" s="6">
        <f>COUNTIFS(Table44[Country],Tabela1[[#This Row],[Country]],Table44[Dressage Classification],"&gt;0")</f>
        <v>0</v>
      </c>
      <c r="ET135" s="6">
        <f>COUNTIFS(Table45[Country],Tabela1[[#This Row],[Country]],Table45[Dressage Classification],"&gt;0")</f>
        <v>0</v>
      </c>
      <c r="EU135" s="6">
        <f>COUNTIFS(Table44[Country],Tabela1[[#This Row],[Country]],Table44[Eventing Classification],"&gt;0")</f>
        <v>0</v>
      </c>
      <c r="EV135" s="6">
        <f>COUNTIFS(Table45[Country],Tabela1[[#This Row],[Country]],Table45[Eventing Classification],"&gt;0")</f>
        <v>0</v>
      </c>
      <c r="EW135" s="6">
        <f>COUNTIFS(Table44[Country],Tabela1[[#This Row],[Country]],Table44[Jumping Classification],"&gt;0")</f>
        <v>0</v>
      </c>
      <c r="EX135" s="6">
        <f>COUNTIFS(Table45[Country],Tabela1[[#This Row],[Country]],Table45[Jumping Classification],"&gt;0")</f>
        <v>0</v>
      </c>
      <c r="EY135" s="6">
        <f>COUNTIFS(Table10[Country],Tabela1[[#This Row],[Country]],Table10[Épée Classification],"&gt;0")</f>
        <v>0</v>
      </c>
      <c r="EZ135" s="6">
        <f>COUNTIFS(Table11[Country],Tabela1[[#This Row],[Country]],Table11[Épée Classification],"&gt;0")</f>
        <v>0</v>
      </c>
      <c r="FA135" s="6">
        <f>COUNTIFS(Table46[Country],Tabela1[[#This Row],[Country]],Table46[Men''s Épée Classification],"&gt;0")</f>
        <v>0</v>
      </c>
      <c r="FB135" s="6">
        <f>COUNTIFS(Table46[Country],Tabela1[[#This Row],[Country]],Table46[Women''s Épée Classification],"&gt;0")</f>
        <v>0</v>
      </c>
      <c r="FC135" s="6">
        <f>COUNTIFS(Table10[Country],Tabela1[[#This Row],[Country]],Table10[Foil Classification],"&gt;0")</f>
        <v>0</v>
      </c>
      <c r="FD135" s="6">
        <f>COUNTIFS(Table11[Country],Tabela1[[#This Row],[Country]],Table11[Foil Classification],"&gt;0")</f>
        <v>0</v>
      </c>
      <c r="FE135" s="6">
        <f>COUNTIFS(Table46[Country],Tabela1[[#This Row],[Country]],Table46[Men''s Foil Classification],"&gt;0")</f>
        <v>0</v>
      </c>
      <c r="FF135" s="6">
        <f>COUNTIFS(Table46[Country],Tabela1[[#This Row],[Country]],Table46[Women''s Foil Classification],"&gt;0")</f>
        <v>0</v>
      </c>
      <c r="FG135" s="6">
        <f>COUNTIFS(Table10[Country],Tabela1[[#This Row],[Country]],Table10[Sabre Classification],"&gt;0")</f>
        <v>0</v>
      </c>
      <c r="FH135" s="6">
        <f>COUNTIFS(Table11[Country],Tabela1[[#This Row],[Country]],Table11[Sabre Classification],"&gt;0")</f>
        <v>0</v>
      </c>
      <c r="FI135" s="6">
        <f>COUNTIFS(Table46[Country],Tabela1[[#This Row],[Country]],Table46[Men''s Sabre Classification],"&gt;0")</f>
        <v>0</v>
      </c>
      <c r="FJ135" s="6">
        <f>COUNTIFS(Table46[Country],Tabela1[[#This Row],[Country]],Table46[Women''s Sabre Classification],"&gt;0")</f>
        <v>0</v>
      </c>
      <c r="FK135" s="6">
        <f>COUNTIFS(Table91[Country],Tabela1[[#This Row],[Country]],Table91[Men''s Classification],"&gt;0")</f>
        <v>0</v>
      </c>
      <c r="FL135" s="6">
        <f>COUNTIFS(Table91[Country],Tabela1[[#This Row],[Country]],Table91[Women''s Classification],"&gt;0")</f>
        <v>0</v>
      </c>
      <c r="FM135" s="6">
        <f>COUNTIFS(Table9194[Country],Tabela1[[#This Row],[Country]],Table9194[Men''s Classification],"&gt;0")</f>
        <v>0</v>
      </c>
      <c r="FN135" s="6">
        <f>COUNTIFS(Table9194[Country],Tabela1[[#This Row],[Country]],Table9194[Women''s Classification],"&gt;0")</f>
        <v>0</v>
      </c>
      <c r="FO135" s="6">
        <f>COUNTIFS(Table71[Country],Tabela1[[#This Row],[Country]],Table71[Classification],"&gt;0")</f>
        <v>0</v>
      </c>
      <c r="FP135" s="6">
        <f>COUNTIFS(Table62[Country],Tabela1[[#This Row],[Country]],Table62[Classification],"&gt;0")</f>
        <v>0</v>
      </c>
      <c r="FQ135" s="6">
        <f>COUNTIFS(Table47[Country],Tabela1[[#This Row],[Country]],Table47[All-Around Classification],"&gt;0")</f>
        <v>0</v>
      </c>
      <c r="FR135" s="6">
        <f>COUNTIFS(Table48[Country],Tabela1[[#This Row],[Country]],Table48[All-Around Classification],"&gt;0")</f>
        <v>0</v>
      </c>
      <c r="FS135" s="6">
        <f>COUNTIFS(Table81[Country],Tabela1[[#This Row],[Country]],Table81[Men''s All-Around Classification],"&gt;0")</f>
        <v>0</v>
      </c>
      <c r="FT135" s="6">
        <f>COUNTIFS(Table81[Country],Tabela1[[#This Row],[Country]],Table81[Women''s All-Around Classification],"&gt;0")</f>
        <v>0</v>
      </c>
      <c r="FU135" s="6">
        <f>COUNTIFS(Table48[Country],Tabela1[[#This Row],[Country]],Table48[Balance Beam Classification],"&gt;0")</f>
        <v>0</v>
      </c>
      <c r="FV135" s="6">
        <f>COUNTIFS(Table47[Country],Tabela1[[#This Row],[Country]],Table47[Floor Exercise Classification],"&gt;0")</f>
        <v>0</v>
      </c>
      <c r="FW135" s="6">
        <f>COUNTIFS(Table48[Country],Tabela1[[#This Row],[Country]],Table48[Floor Exercise Classification],"&gt;0")</f>
        <v>0</v>
      </c>
      <c r="FX135" s="6">
        <f>COUNTIFS(Table47[Country],Tabela1[[#This Row],[Country]],Table47[Horizontal Bar Classification],"&gt;0")</f>
        <v>0</v>
      </c>
      <c r="FY135" s="6">
        <f>COUNTIFS(Table47[Country],Tabela1[[#This Row],[Country]],Table47[Parallel Bars Classification],"&gt;0")</f>
        <v>0</v>
      </c>
      <c r="FZ135" s="6">
        <f>COUNTIFS(Table47[Country],Tabela1[[#This Row],[Country]],Table47[Pommel Horse Classification],"&gt;0")</f>
        <v>0</v>
      </c>
      <c r="GA135" s="6">
        <f>COUNTIFS(Table47[Country],Tabela1[[#This Row],[Country]],Table47[Rings Classification],"&gt;0")</f>
        <v>0</v>
      </c>
      <c r="GB135" s="6">
        <f>COUNTIFS(Tabela132[Country],Tabela1[[#This Row],[Country]],Tabela132[Classification],"&gt;0")</f>
        <v>0</v>
      </c>
      <c r="GC135" s="6">
        <f>COUNTIFS(Tabela139[Country],Tabela1[[#This Row],[Country]],Tabela139[Classification],"&gt;0")</f>
        <v>0</v>
      </c>
      <c r="GD135" s="6">
        <f>COUNTIFS(Table48[Country],Tabela1[[#This Row],[Country]],Table48[Uneven Bars Classification],"&gt;0")</f>
        <v>0</v>
      </c>
      <c r="GE135" s="6">
        <f>COUNTIFS(Table47[Country],Tabela1[[#This Row],[Country]],Table47[Vault Classification],"&gt;0")</f>
        <v>0</v>
      </c>
      <c r="GF135" s="6">
        <f>COUNTIFS(Table48[Country],Tabela1[[#This Row],[Country]],Table48[Vault Classification],"&gt;0")</f>
        <v>0</v>
      </c>
      <c r="GG135" s="6">
        <f>COUNTIFS(Table919496[Country],Tabela1[[#This Row],[Country]],Table919496[Men''s Classification],"&gt;0")</f>
        <v>0</v>
      </c>
      <c r="GH135" s="6">
        <f>COUNTIFS(Table919496[Country],Tabela1[[#This Row],[Country]],Table919496[Women''s Classification],"&gt;0")</f>
        <v>0</v>
      </c>
      <c r="GI135" s="6">
        <f>COUNTIFS(Table12[Country],Tabela1[[#This Row],[Country]],Table12[60kg Classification],"&gt;0")</f>
        <v>0</v>
      </c>
      <c r="GJ135" s="6">
        <f>COUNTIFS(Table12[Country],Tabela1[[#This Row],[Country]],Table12[66kg Classification],"&gt;0")</f>
        <v>0</v>
      </c>
      <c r="GK135" s="6">
        <f>COUNTIFS(Table12[Country],Tabela1[[#This Row],[Country]],Table12[73kg Classification],"&gt;0")</f>
        <v>0</v>
      </c>
      <c r="GL135" s="6">
        <f>COUNTIFS(Table12[Country],Tabela1[[#This Row],[Country]],Table12[81kg Classification],"&gt;0")</f>
        <v>0</v>
      </c>
      <c r="GM135" s="6">
        <f>COUNTIFS(Table12[Country],Tabela1[[#This Row],[Country]],Table12[90kg Classification],"&gt;0")</f>
        <v>0</v>
      </c>
      <c r="GN135" s="6">
        <f>COUNTIFS(Table12[Country],Tabela1[[#This Row],[Country]],Table12[100kg Classification],"&gt;0")</f>
        <v>0</v>
      </c>
      <c r="GO135" s="6">
        <f>COUNTIFS(Table12[Country],Tabela1[[#This Row],[Country]],Table12[Plus 100kg Classification],"&gt;0")</f>
        <v>0</v>
      </c>
      <c r="GP135" s="6">
        <f>COUNTIFS(Table13[Country],Tabela1[[#This Row],[Country]],Table13[48kg Classification],"&gt;0")</f>
        <v>0</v>
      </c>
      <c r="GQ135" s="6">
        <f>COUNTIFS(Table13[Country],Tabela1[[#This Row],[Country]],Table13[52kg Classification],"&gt;0")</f>
        <v>0</v>
      </c>
      <c r="GR135" s="6">
        <f>COUNTIFS(Table13[Country],Tabela1[[#This Row],[Country]],Table13[57kg Classification],"&gt;0")</f>
        <v>0</v>
      </c>
      <c r="GS135" s="6">
        <f>COUNTIFS(Table13[Country],Tabela1[[#This Row],[Country]],Table13[63kg Classification],"&gt;0")</f>
        <v>0</v>
      </c>
      <c r="GT135" s="6">
        <f>COUNTIFS(Table13[Country],Tabela1[[#This Row],[Country]],Table13[70kg Classification],"&gt;0")</f>
        <v>0</v>
      </c>
      <c r="GU135" s="6">
        <f>COUNTIFS(Table13[Country],Tabela1[[#This Row],[Country]],Table13[78kg Classification],"&gt;0")</f>
        <v>0</v>
      </c>
      <c r="GV135" s="6">
        <f>COUNTIFS(Table13[Country],Tabela1[[#This Row],[Country]],Table13[Plus 78kg Classification],"&gt;0")</f>
        <v>0</v>
      </c>
      <c r="GW135" s="6">
        <f>COUNTIFS(Table82[Country],Tabela1[[#This Row],[Country]],Table82[Mixed Classification],"&gt;0")</f>
        <v>0</v>
      </c>
      <c r="GX135" s="6">
        <f>COUNTIFS(Table51[Country],Tabela1[[#This Row],[Country]],Table51[Classification],"&gt;0")</f>
        <v>0</v>
      </c>
      <c r="GY135" s="6">
        <f>COUNTIFS(Table52[Country],Tabela1[[#This Row],[Country]],Table52[Classification],"&gt;0")</f>
        <v>0</v>
      </c>
      <c r="GZ135" s="6">
        <f>COUNTIFS(Table32[Country],Tabela1[[#This Row],[Country]],Table32[All-Around Classification],"&gt;0")</f>
        <v>0</v>
      </c>
      <c r="HA135" s="6">
        <f>COUNTIFS(Table49[Country],Tabela1[[#This Row],[Country]],Table49[All-Around Classification],"&gt;0")</f>
        <v>0</v>
      </c>
      <c r="HB135" s="6">
        <f>COUNTIFS(Table26[Country],Tabela1[[#This Row],[Country]],Table26[Single Sculls Classification],"&gt;0")</f>
        <v>0</v>
      </c>
      <c r="HC135" s="6">
        <f>COUNTIFS(Table63[Country],Tabela1[[#This Row],[Country]],Table63[Single Sculls Classification],"&gt;0")</f>
        <v>0</v>
      </c>
      <c r="HD135" s="6">
        <f>COUNTIFS(Table16[Country],Tabela1[[#This Row],[Country]],Table16[Men''s Double Sculls Classification],"&gt;0")</f>
        <v>0</v>
      </c>
      <c r="HE135" s="6">
        <f>COUNTIFS(Table16[Country],Tabela1[[#This Row],[Country]],Table16[Women''s Double Sculls Classification],"&gt;0")</f>
        <v>0</v>
      </c>
      <c r="HF135" s="6">
        <f>COUNTIFS(Table72[Country],Tabela1[[#This Row],[Country]],Table72[Men''s Quadruple Sculls Classification],"&gt;0")</f>
        <v>0</v>
      </c>
      <c r="HG135" s="6">
        <f>COUNTIFS(Table72[Country],Tabela1[[#This Row],[Country]],Table72[Women''s Quadruple Sculls Classification],"&gt;0")</f>
        <v>0</v>
      </c>
      <c r="HH135" s="6">
        <f>COUNTIFS(Table16[Country],Tabela1[[#This Row],[Country]],Table16[Men''s Coxless Pairs Classification],"&gt;0")</f>
        <v>0</v>
      </c>
      <c r="HI135" s="6">
        <f>COUNTIFS(Table16[Country],Tabela1[[#This Row],[Country]],Table16[Women''s Coxless Pairs Classification],"&gt;0")</f>
        <v>0</v>
      </c>
      <c r="HJ135" s="6">
        <f>COUNTIFS(Table72[Country],Tabela1[[#This Row],[Country]],Table72[Men''s Coxless Fours Classification],"&gt;0")</f>
        <v>0</v>
      </c>
      <c r="HK135" s="6">
        <f>COUNTIFS(Table72[Country],Tabela1[[#This Row],[Country]],Table72[Women''s Coxless Fours Classification],"&gt;0")</f>
        <v>0</v>
      </c>
      <c r="HL135" s="6">
        <f>COUNTIFS(Table72[Country],Tabela1[[#This Row],[Country]],Table72[Men''s Eights Classification],"&gt;0")</f>
        <v>0</v>
      </c>
      <c r="HM135" s="6">
        <f>COUNTIFS(Table72[Country],Tabela1[[#This Row],[Country]],Table72[Women''s Eights Classification],"&gt;0")</f>
        <v>0</v>
      </c>
      <c r="HN135" s="6">
        <f>COUNTIFS(Table16[Country],Tabela1[[#This Row],[Country]],Table16[Men''s Lwt. Double Sculls Classification],"&gt;0")</f>
        <v>0</v>
      </c>
      <c r="HO135" s="6">
        <f>COUNTIFS(Table16[Country],Tabela1[[#This Row],[Country]],Table16[Women''s Lwt. Double Sculls Classification],"&gt;0")</f>
        <v>0</v>
      </c>
      <c r="HP135" s="6">
        <f>COUNTIFS(Table91949698[Country],Tabela1[[#This Row],[Country]],Table91949698[Men''s Classification],"&gt;0")</f>
        <v>0</v>
      </c>
      <c r="HQ135" s="6">
        <f>COUNTIFS(Table91949698[Country],Tabela1[[#This Row],[Country]],Table91949698[Women''s Classification],"&gt;0")</f>
        <v>0</v>
      </c>
      <c r="HR135" s="6">
        <f>COUNTIFS(Table25[Country],Tabela1[[#This Row],[Country]],Table25[Mixed 470 Classification],"&gt;0")</f>
        <v>0</v>
      </c>
      <c r="HS135" s="6">
        <f>COUNTIFS(Table25[Country],Tabela1[[#This Row],[Country]],Table25[Men''s 49er Classification],"&gt;0")</f>
        <v>0</v>
      </c>
      <c r="HT135" s="6">
        <f>COUNTIFS(Table25[Country],Tabela1[[#This Row],[Country]],Table25[Women''s 49er FX Classification],"&gt;0")</f>
        <v>0</v>
      </c>
      <c r="HU135" s="6">
        <f>COUNTIFS(Table17[Country],Tabela1[[#This Row],[Country]],Table17[Formula Kite Classification],"&gt;0")</f>
        <v>0</v>
      </c>
      <c r="HV135" s="6">
        <f>COUNTIFS(Table18[Country],Tabela1[[#This Row],[Country]],Table18[Formula Kite Classification],"&gt;0")</f>
        <v>0</v>
      </c>
      <c r="HW135" s="6">
        <f>COUNTIFS(Table17[Country],Tabela1[[#This Row],[Country]],Table17[ILCA 7 Classification],"&gt;0")</f>
        <v>0</v>
      </c>
      <c r="HX135" s="6">
        <f>COUNTIFS(Table18[Country],Tabela1[[#This Row],[Country]],Table18[ILCA 6 Classification],"&gt;0")</f>
        <v>0</v>
      </c>
      <c r="HY135" s="6">
        <f>COUNTIFS(Table17[Country],Tabela1[[#This Row],[Country]],Table17[IQFoil Classification],"&gt;0")</f>
        <v>0</v>
      </c>
      <c r="HZ135" s="6">
        <f>COUNTIFS(Table18[Country],Tabela1[[#This Row],[Country]],Table18[IQFoil Classification],"&gt;0")</f>
        <v>0</v>
      </c>
      <c r="IA135" s="6">
        <f>COUNTIFS(Table25[Country],Tabela1[[#This Row],[Country]],Table25[Mixed Nacra 17 Classification],"&gt;0")</f>
        <v>0</v>
      </c>
      <c r="IB135" s="6">
        <f>COUNTIFS(Table53[Country],Tabela1[[#This Row],[Country]],Table53[10m Air Pistol Classification],"&gt;0")</f>
        <v>0</v>
      </c>
      <c r="IC135" s="6">
        <f>COUNTIFS(Table19[Country],Tabela1[[#This Row],[Country]],Table19[10m Air Pistol Classification],"&gt;0")</f>
        <v>0</v>
      </c>
      <c r="ID135" s="6">
        <f>COUNTIFS(Table54[Country],Tabela1[[#This Row],[Country]],Table54[Mixed 10m Air Pistol Team Classification],"&gt;0")</f>
        <v>0</v>
      </c>
      <c r="IE135" s="6">
        <f>COUNTIFS(Table53[Country],Tabela1[[#This Row],[Country]],Table53[10m Air Rifle Classification],"&gt;0")</f>
        <v>0</v>
      </c>
      <c r="IF135" s="6">
        <f>COUNTIFS(Table19[Country],Tabela1[[#This Row],[Country]],Table19[10m Air Rifle Classification],"&gt;0")</f>
        <v>0</v>
      </c>
      <c r="IG135" s="6">
        <f>COUNTIFS(Table54[Country],Tabela1[[#This Row],[Country]],Table54[Mixed 10m Air Rifle Team Classification],"&gt;0")</f>
        <v>0</v>
      </c>
      <c r="IH135" s="6">
        <f>COUNTIFS(Table53[Country],Tabela1[[#This Row],[Country]],Table53[25m Rapid Fire Pistol Classification],"&gt;0")</f>
        <v>0</v>
      </c>
      <c r="II135" s="6">
        <f>COUNTIFS(Table19[Country],Tabela1[[#This Row],[Country]],Table19[25m Pistol Classification],"&gt;0")</f>
        <v>0</v>
      </c>
      <c r="IJ135" s="6">
        <f>COUNTIFS(Table53[Country],Tabela1[[#This Row],[Country]],Table53[50m Rifle 3 Positions Classification],"&gt;0")</f>
        <v>0</v>
      </c>
      <c r="IK135" s="6">
        <f>COUNTIFS(Table19[Country],Tabela1[[#This Row],[Country]],Table19[50m Rifle 3 Positions Classification],"&gt;0")</f>
        <v>0</v>
      </c>
      <c r="IL135" s="6">
        <f>COUNTIFS(Table53[Country],Tabela1[[#This Row],[Country]],Table53[Skeet Classification],"&gt;0")</f>
        <v>0</v>
      </c>
      <c r="IM135" s="6">
        <f>COUNTIFS(Table19[Country],Tabela1[[#This Row],[Country]],Table19[Skeet Classification],"&gt;0")</f>
        <v>0</v>
      </c>
      <c r="IN135" s="6">
        <f>COUNTIFS(Table54[Country],Tabela1[[#This Row],[Country]],Table54[Mixed Skeet Team Classification],"&gt;0")</f>
        <v>0</v>
      </c>
      <c r="IO135" s="6">
        <f>COUNTIFS(Table53[Country],Tabela1[[#This Row],[Country]],Table53[Trap Classification],"&gt;0")</f>
        <v>0</v>
      </c>
      <c r="IP135" s="6">
        <f>COUNTIFS(Table19[Country],Tabela1[[#This Row],[Country]],Table19[Trap Classification],"&gt;0")</f>
        <v>0</v>
      </c>
      <c r="IQ135" s="6">
        <f>COUNTIFS(Table73[Country],Tabela1[[#This Row],[Country]],Table73[Park Classification],"&gt;0")</f>
        <v>0</v>
      </c>
      <c r="IR135" s="6">
        <f>COUNTIFS(Table74[Country],Tabela1[[#This Row],[Country]],Table74[Park Classification],"&gt;0")</f>
        <v>0</v>
      </c>
      <c r="IS135" s="6">
        <f>COUNTIFS(Table73[Country],Tabela1[[#This Row],[Country]],Table73[Street Classification],"&gt;0")</f>
        <v>0</v>
      </c>
      <c r="IT135" s="6">
        <f>COUNTIFS(Table74[Country],Tabela1[[#This Row],[Country]],Table74[Street Classification],"&gt;0")</f>
        <v>0</v>
      </c>
      <c r="IU135" s="6">
        <f>COUNTIFS(Table75[Country],Tabela1[[#This Row],[Country]],Table75[Boulder and Lead Classification],"&gt;0")</f>
        <v>0</v>
      </c>
      <c r="IV135" s="6">
        <f>COUNTIFS(Table76[Country],Tabela1[[#This Row],[Country]],Table76[Boulder and Lead Classification],"&gt;0")</f>
        <v>0</v>
      </c>
      <c r="IW135" s="6">
        <f>COUNTIFS(Table75[Country],Tabela1[[#This Row],[Country]],Table75[Speed Classification],"&gt;0")</f>
        <v>0</v>
      </c>
      <c r="IX135" s="6">
        <f>COUNTIFS(Table76[Country],Tabela1[[#This Row],[Country]],Table76[Speed Classification],"&gt;0")</f>
        <v>0</v>
      </c>
      <c r="IY135" s="6">
        <f>COUNTIFS(Table64[Country],Tabela1[[#This Row],[Country]],Table64[Shortboard Classification],"&gt;0")</f>
        <v>0</v>
      </c>
      <c r="IZ135" s="6">
        <f>COUNTIFS(Table77[Country],Tabela1[[#This Row],[Country]],Table77[Shortboard Classification],"&gt;0")</f>
        <v>0</v>
      </c>
      <c r="JA135" s="6">
        <f>COUNTIFS(Table20[Country],Tabela1[[#This Row],[Country]],Table20[50m Freestyle Classification],"&gt;0")</f>
        <v>0</v>
      </c>
      <c r="JB135" s="6">
        <f>COUNTIFS(Table21[Country],Tabela1[[#This Row],[Country]],Table21[50m Freestyle Classification],"&gt;0")</f>
        <v>0</v>
      </c>
      <c r="JC135" s="6">
        <f>COUNTIFS(Table20[Country],Tabela1[[#This Row],[Country]],Table20[100m Freestyle Classification],"&gt;0")</f>
        <v>0</v>
      </c>
      <c r="JD135" s="6">
        <f>COUNTIFS(Table21[Country],Tabela1[[#This Row],[Country]],Table21[100m Freestyle Classification],"&gt;0")</f>
        <v>0</v>
      </c>
      <c r="JE135" s="6">
        <f>COUNTIFS(Table20[Country],Tabela1[[#This Row],[Country]],Table20[200m Freestyle Classification],"&gt;0")</f>
        <v>0</v>
      </c>
      <c r="JF135" s="6">
        <f>COUNTIFS(Table21[Country],Tabela1[[#This Row],[Country]],Table21[200m Freestyle Classification],"&gt;0")</f>
        <v>0</v>
      </c>
      <c r="JG135" s="6">
        <f>COUNTIFS(Table20[Country],Tabela1[[#This Row],[Country]],Table20[400m Freestyle Classification],"&gt;0")</f>
        <v>0</v>
      </c>
      <c r="JH135" s="6">
        <f>COUNTIFS(Table21[Country],Tabela1[[#This Row],[Country]],Table21[400m Freestyle Classification],"&gt;0")</f>
        <v>0</v>
      </c>
      <c r="JI135" s="6">
        <f>COUNTIFS(Table20[Country],Tabela1[[#This Row],[Country]],Table20[800m Freestyle Classification],"&gt;0")</f>
        <v>0</v>
      </c>
      <c r="JJ135" s="6">
        <f>COUNTIFS(Table21[Country],Tabela1[[#This Row],[Country]],Table21[800m Freestyle Classification],"&gt;0")</f>
        <v>0</v>
      </c>
      <c r="JK135" s="6">
        <f>COUNTIFS(Table20[Country],Tabela1[[#This Row],[Country]],Table20[1500m Freestyle Classification],"&gt;0")</f>
        <v>0</v>
      </c>
      <c r="JL135" s="6">
        <f>COUNTIFS(Table21[Country],Tabela1[[#This Row],[Country]],Table21[1500m Freestyle Classification],"&gt;0")</f>
        <v>0</v>
      </c>
      <c r="JM135" s="6">
        <f>COUNTIFS(Table20[Country],Tabela1[[#This Row],[Country]],Table20[100m Backstroke Classification],"&gt;0")</f>
        <v>1</v>
      </c>
      <c r="JN135" s="6">
        <f>COUNTIFS(Table21[Country],Tabela1[[#This Row],[Country]],Table21[100m Backstroke Classification],"&gt;0")</f>
        <v>0</v>
      </c>
      <c r="JO135" s="6">
        <f>COUNTIFS(Table20[Country],Tabela1[[#This Row],[Country]],Table20[200m Backstroke Classification],"&gt;0")</f>
        <v>0</v>
      </c>
      <c r="JP135" s="6">
        <f>COUNTIFS(Table21[Country],Tabela1[[#This Row],[Country]],Table21[200m Backstroke Classification],"&gt;0")</f>
        <v>0</v>
      </c>
      <c r="JQ135" s="6">
        <f>COUNTIFS(Table20[Country],Tabela1[[#This Row],[Country]],Table20[100m Breaststroke Classification],"&gt;0")</f>
        <v>0</v>
      </c>
      <c r="JR135" s="6">
        <f>COUNTIFS(Table21[Country],Tabela1[[#This Row],[Country]],Table21[100m Breaststroke Classification],"&gt;0")</f>
        <v>0</v>
      </c>
      <c r="JS135" s="6">
        <f>COUNTIFS(Table20[Country],Tabela1[[#This Row],[Country]],Table20[200m Breaststroke Classification],"&gt;0")</f>
        <v>0</v>
      </c>
      <c r="JT135" s="6">
        <f>COUNTIFS(Table21[Country],Tabela1[[#This Row],[Country]],Table21[200m Breaststroke Classification],"&gt;0")</f>
        <v>0</v>
      </c>
      <c r="JU135" s="6">
        <f>COUNTIFS(Table20[Country],Tabela1[[#This Row],[Country]],Table20[100m Butterfly Classification],"&gt;0")</f>
        <v>0</v>
      </c>
      <c r="JV135" s="6">
        <f>COUNTIFS(Table21[Country],Tabela1[[#This Row],[Country]],Table21[100m Butterfly Classification],"&gt;0")</f>
        <v>0</v>
      </c>
      <c r="JW135" s="6">
        <f>COUNTIFS(Table20[Country],Tabela1[[#This Row],[Country]],Table20[200m Butterfly Classification],"&gt;0")</f>
        <v>0</v>
      </c>
      <c r="JX135" s="6">
        <f>COUNTIFS(Table21[Country],Tabela1[[#This Row],[Country]],Table21[200m Butterfly Classification],"&gt;0")</f>
        <v>0</v>
      </c>
      <c r="JY135" s="6">
        <f>COUNTIFS(Table20[Country],Tabela1[[#This Row],[Country]],Table20[200m Medley Classification],"&gt;0")</f>
        <v>0</v>
      </c>
      <c r="JZ135" s="6">
        <f>COUNTIFS(Table21[Country],Tabela1[[#This Row],[Country]],Table21[200m Medley Classification],"&gt;0")</f>
        <v>0</v>
      </c>
      <c r="KA135" s="6">
        <f>COUNTIFS(Table20[Country],Tabela1[[#This Row],[Country]],Table20[400m Medley Classification],"&gt;0")</f>
        <v>0</v>
      </c>
      <c r="KB135" s="6">
        <f>COUNTIFS(Table21[Country],Tabela1[[#This Row],[Country]],Table21[400m Medley Classification],"&gt;0")</f>
        <v>0</v>
      </c>
      <c r="KC135" s="6">
        <f>COUNTIFS(Table78[Country],Tabela1[[#This Row],[Country]],Table78[Men''s 4x100m Freestyle Relay Classification],"&gt;0")</f>
        <v>0</v>
      </c>
      <c r="KD135" s="6">
        <f>COUNTIFS(Table78[Country],Tabela1[[#This Row],[Country]],Table78[Women''s 4x100m Freestyle Relay Classification],"&gt;0")</f>
        <v>0</v>
      </c>
      <c r="KE135" s="6">
        <f>COUNTIFS(Table78[Country],Tabela1[[#This Row],[Country]],Table78[Men''s 4x200m Freestyle Relay Classification],"&gt;0")</f>
        <v>0</v>
      </c>
      <c r="KF135" s="6">
        <f>COUNTIFS(Table78[Country],Tabela1[[#This Row],[Country]],Table78[Women''s 4x200m Freestyle Relay Classification],"&gt;0")</f>
        <v>0</v>
      </c>
      <c r="KG135" s="6">
        <f>COUNTIFS(Table78[Country],Tabela1[[#This Row],[Country]],Table78[Men''s 4x100m Medley Relay Classification],"&gt;0")</f>
        <v>0</v>
      </c>
      <c r="KH135" s="6">
        <f>COUNTIFS(Table78[Country],Tabela1[[#This Row],[Country]],Table78[Women''s 4x100m Medley Relay Classification],"&gt;0")</f>
        <v>0</v>
      </c>
      <c r="KI135" s="6">
        <f>COUNTIFS(Table78[Country],Tabela1[[#This Row],[Country]],Table78[Mixed 4x100m Medley Relay Classification],"&gt;0")</f>
        <v>0</v>
      </c>
      <c r="KJ135" s="6">
        <f>COUNTIFS(Table20[Country],Tabela1[[#This Row],[Country]],Table20[10km Open Water Classification],"&gt;0")</f>
        <v>0</v>
      </c>
      <c r="KK135" s="6">
        <f>COUNTIFS(Table21[Country],Tabela1[[#This Row],[Country]],Table21[10km Open Water Classification],"&gt;0")</f>
        <v>0</v>
      </c>
      <c r="KL135" s="6">
        <f>COUNTIFS(Table22[Country],Tabela1[[#This Row],[Country]],Table22[Classification],"&gt;0")</f>
        <v>0</v>
      </c>
      <c r="KM135" s="6">
        <f>COUNTIFS(Table30[Country],Tabela1[[#This Row],[Country]],Table30[Classification],"&gt;0")</f>
        <v>0</v>
      </c>
      <c r="KN135" s="6">
        <f>COUNTIFS(Table55[Country],Tabela1[[#This Row],[Country]],Table55[Men''s Classification],"&gt;0")</f>
        <v>0</v>
      </c>
      <c r="KO135" s="6">
        <f>COUNTIFS(Table55[Country],Tabela1[[#This Row],[Country]],Table55[Women''s Classification],"&gt;0")</f>
        <v>0</v>
      </c>
      <c r="KP135" s="6">
        <f>COUNTIFS(Table56[Country],Tabela1[[#This Row],[Country]],Table56[Mixed Classification],"&gt;0")</f>
        <v>0</v>
      </c>
      <c r="KQ135" s="6">
        <f>COUNTIFS(Table29[Country],Tabela1[[#This Row],[Country]],Table29[58kg Classification],"&gt;0")</f>
        <v>0</v>
      </c>
      <c r="KR135" s="6">
        <f>COUNTIFS(Table29[Country],Tabela1[[#This Row],[Country]],Table29[68kg Classification],"&gt;0")</f>
        <v>0</v>
      </c>
      <c r="KS135" s="6">
        <f>COUNTIFS(Table29[Country],Tabela1[[#This Row],[Country]],Table29[80kg Classification],"&gt;0")</f>
        <v>0</v>
      </c>
      <c r="KT135" s="6">
        <f>COUNTIFS(Table29[Country],Tabela1[[#This Row],[Country]],Table29[Plus 80kg Classification],"&gt;0")</f>
        <v>0</v>
      </c>
      <c r="KU135" s="6">
        <f>COUNTIFS(Table34[Country],Tabela1[[#This Row],[Country]],Table34[49kg Classification],"&gt;0")</f>
        <v>0</v>
      </c>
      <c r="KV135" s="6">
        <f>COUNTIFS(Table34[Country],Tabela1[[#This Row],[Country]],Table34[57kg Classification],"&gt;0")</f>
        <v>0</v>
      </c>
      <c r="KW135" s="6">
        <f>COUNTIFS(Table34[Country],Tabela1[[#This Row],[Country]],Table34[67kg Classification],"&gt;0")</f>
        <v>0</v>
      </c>
      <c r="KX135" s="6">
        <f>COUNTIFS(Table34[Country],Tabela1[[#This Row],[Country]],Table34[Plus 67kg Classification],"&gt;0")</f>
        <v>0</v>
      </c>
      <c r="KY135" s="6">
        <f>COUNTIFS(Table57[Country],Tabela1[[#This Row],[Country]],Table57[Classification],"&gt;0")</f>
        <v>0</v>
      </c>
      <c r="KZ135" s="6">
        <f>COUNTIFS(Table58[Country],Tabela1[[#This Row],[Country]],Table58[Classification],"&gt;0")</f>
        <v>0</v>
      </c>
      <c r="LA135" s="6">
        <f>COUNTIFS(Table79[Country],Tabela1[[#This Row],[Country]],Table79[Men''s Classification],"&gt;0")</f>
        <v>0</v>
      </c>
      <c r="LB135" s="6">
        <f>COUNTIFS(Table79[Country],Tabela1[[#This Row],[Country]],Table79[Women''s Classification],"&gt;0")</f>
        <v>0</v>
      </c>
      <c r="LC135" s="6">
        <f>COUNTIFS(Table79[Country],Tabela1[[#This Row],[Country]],Table79[Mixed Classification],"&gt;0")</f>
        <v>0</v>
      </c>
      <c r="LD135" s="6">
        <f>COUNTIFS(Table65[Country],Tabela1[[#This Row],[Country]],Table65[Classification],"&gt;0")</f>
        <v>0</v>
      </c>
      <c r="LE135" s="6">
        <f>COUNTIFS(Table59[Country],Tabela1[[#This Row],[Country]],Table59[Classification],"&gt;0")</f>
        <v>0</v>
      </c>
      <c r="LF135" s="6">
        <f>COUNTIFS(Table87[Country],Tabela1[[#This Row],[Country]],Table87[Mixed Relay Classification],"&gt;0")</f>
        <v>0</v>
      </c>
      <c r="LG135" s="6">
        <f>COUNTIFS(Table91949698100[Country],Tabela1[[#This Row],[Country]],Table91949698100[Men''s Classification],"&gt;0")</f>
        <v>0</v>
      </c>
      <c r="LH135" s="6">
        <f>COUNTIFS(Table91949698100[Country],Tabela1[[#This Row],[Country]],Table91949698100[Women''s Classification],"&gt;0")</f>
        <v>0</v>
      </c>
      <c r="LI135" s="6">
        <f>COUNTIFS(Table91949698100102[Country],Tabela1[[#This Row],[Country]],Table91949698100102[Men''s Classification],"&gt;0")</f>
        <v>0</v>
      </c>
      <c r="LJ135" s="6">
        <f>COUNTIFS(Table91949698100102[Country],Tabela1[[#This Row],[Country]],Table91949698100102[Women''s Classification],"&gt;0")</f>
        <v>0</v>
      </c>
      <c r="LK135" s="6">
        <f>COUNTIFS(Table23[Country],Tabela1[[#This Row],[Country]],Table23[61kg Classification],"&gt;0")</f>
        <v>0</v>
      </c>
      <c r="LL135" s="6">
        <f>COUNTIFS(Table23[Country],Tabela1[[#This Row],[Country]],Table23[73kg Classification],"&gt;0")</f>
        <v>0</v>
      </c>
      <c r="LM135" s="6">
        <f>COUNTIFS(Table23[Country],Tabela1[[#This Row],[Country]],Table23[89kg Classification],"&gt;0")</f>
        <v>0</v>
      </c>
      <c r="LN135" s="6">
        <f>COUNTIFS(Table23[Country],Tabela1[[#This Row],[Country]],Table23[102kg Classification],"&gt;0")</f>
        <v>0</v>
      </c>
      <c r="LO135" s="6">
        <f>COUNTIFS(Table23[Country],Tabela1[[#This Row],[Country]],Table23[Plus 102kg Classification],"&gt;0")</f>
        <v>0</v>
      </c>
      <c r="LP135" s="6">
        <f>COUNTIFS(Table28[Country],Tabela1[[#This Row],[Country]],Table28[49kg Classification],"&gt;0")</f>
        <v>0</v>
      </c>
      <c r="LQ135" s="6">
        <f>COUNTIFS(Table28[Country],Tabela1[[#This Row],[Country]],Table28[59kg Classification],"&gt;0")</f>
        <v>0</v>
      </c>
      <c r="LR135" s="6">
        <f>COUNTIFS(Table28[Country],Tabela1[[#This Row],[Country]],Table28[71kg Classification],"&gt;0")</f>
        <v>0</v>
      </c>
      <c r="LS135" s="6">
        <f>COUNTIFS(Table28[Country],Tabela1[[#This Row],[Country]],Table28[81kg Classification],"&gt;0")</f>
        <v>0</v>
      </c>
      <c r="LT135" s="6">
        <f>COUNTIFS(Table28[Country],Tabela1[[#This Row],[Country]],Table28[Plus 81kg Classification],"&gt;0")</f>
        <v>0</v>
      </c>
      <c r="LU135" s="6">
        <f>COUNTIFS(Table24[Country],Tabela1[[#This Row],[Country]],Table24[Freestyle 57kg Classification],"&gt;0")</f>
        <v>0</v>
      </c>
      <c r="LV135" s="6">
        <f>COUNTIFS(Table24[Country],Tabela1[[#This Row],[Country]],Table24[Freestyle 65kg Classification],"&gt;0")</f>
        <v>0</v>
      </c>
      <c r="LW135" s="6">
        <f>COUNTIFS(Table24[Country],Tabela1[[#This Row],[Country]],Table24[Freestyle 74kg Classification],"&gt;0")</f>
        <v>0</v>
      </c>
      <c r="LX135" s="6">
        <f>COUNTIFS(Table24[Country],Tabela1[[#This Row],[Country]],Table24[Freestyle 86kg Classification],"&gt;0")</f>
        <v>0</v>
      </c>
      <c r="LY135" s="6">
        <f>COUNTIFS(Table24[Country],Tabela1[[#This Row],[Country]],Table24[Freestyle 97kg Classification],"&gt;0")</f>
        <v>0</v>
      </c>
      <c r="LZ135" s="6">
        <f>COUNTIFS(Table24[Country],Tabela1[[#This Row],[Country]],Table24[Freestyle 125kg Classification],"&gt;0")</f>
        <v>0</v>
      </c>
      <c r="MA135" s="6">
        <f>COUNTIFS(Table24[Country],Tabela1[[#This Row],[Country]],Table24[Greco-Roman 60kg Classification],"&gt;0")</f>
        <v>0</v>
      </c>
      <c r="MB135" s="6">
        <f>COUNTIFS(Table24[Country],Tabela1[[#This Row],[Country]],Table24[Greco-Roman 67kg Classification],"&gt;0")</f>
        <v>0</v>
      </c>
      <c r="MC135" s="6">
        <f>COUNTIFS(Table24[Country],Tabela1[[#This Row],[Country]],Table24[Greco-Roman 77kg Classification],"&gt;0")</f>
        <v>0</v>
      </c>
      <c r="MD135" s="6">
        <f>COUNTIFS(Table24[Country],Tabela1[[#This Row],[Country]],Table24[Greco-Roman 87kg Classification],"&gt;0")</f>
        <v>0</v>
      </c>
      <c r="ME135" s="6">
        <f>COUNTIFS(Table24[Country],Tabela1[[#This Row],[Country]],Table24[Greco-Roman 97kg Classification],"&gt;0")</f>
        <v>0</v>
      </c>
      <c r="MF135" s="6">
        <f>COUNTIFS(Table24[Country],Tabela1[[#This Row],[Country]],Table24[Greco-Roman 130kg Classification],"&gt;0")</f>
        <v>0</v>
      </c>
      <c r="MG135" s="6">
        <f>COUNTIFS(Table31[Country],Tabela1[[#This Row],[Country]],Table31[50kg Classification],"&gt;0")</f>
        <v>0</v>
      </c>
      <c r="MH135" s="6">
        <f>COUNTIFS(Table31[Country],Tabela1[[#This Row],[Country]],Table31[53kg Classification],"&gt;0")</f>
        <v>0</v>
      </c>
      <c r="MI135" s="6">
        <f>COUNTIFS(Table31[Country],Tabela1[[#This Row],[Country]],Table31[57kg Classification],"&gt;0")</f>
        <v>0</v>
      </c>
      <c r="MJ135" s="6">
        <f>COUNTIFS(Table31[Country],Tabela1[[#This Row],[Country]],Table31[62kg Classification],"&gt;0")</f>
        <v>0</v>
      </c>
      <c r="MK135" s="6">
        <f>COUNTIFS(Table31[Country],Tabela1[[#This Row],[Country]],Table31[68kg Classification],"&gt;0")</f>
        <v>0</v>
      </c>
      <c r="ML135" s="6">
        <f>COUNTIFS(Table31[Country],Tabela1[[#This Row],[Country]],Table31[76kg Classification],"&gt;0")</f>
        <v>0</v>
      </c>
      <c r="MM135" s="6">
        <f>COUNTIFS(Table102[Country],Tabela1[[#This Row],[Country]],Table102[Downhill Classification],"&gt;0")</f>
        <v>0</v>
      </c>
      <c r="MN135" s="6">
        <f>COUNTIFS(Table102105[Country],Tabela1[[#This Row],[Country]],Table102105[Downhill Classification],"&gt;0")</f>
        <v>0</v>
      </c>
      <c r="MO135" s="6">
        <f>COUNTIFS(Table102[Country],Tabela1[[#This Row],[Country]],Table102[Giant Slalom Classification],"&gt;0")</f>
        <v>0</v>
      </c>
      <c r="MP135" s="6">
        <f>COUNTIFS(Table102105[Country],Tabela1[[#This Row],[Country]],Table102105[Giant Slalom Classification],"&gt;0")</f>
        <v>0</v>
      </c>
      <c r="MQ135" s="6">
        <f>COUNTIFS(Table102[Country],Tabela1[[#This Row],[Country]],Table102[Slalom Classification],"&gt;0")</f>
        <v>0</v>
      </c>
      <c r="MR135" s="6">
        <f>COUNTIFS(Table102105[Country],Tabela1[[#This Row],[Country]],Table102105[Slalom Classification],"&gt;0")</f>
        <v>0</v>
      </c>
      <c r="MS135" s="6">
        <f>COUNTIFS(Table102[Country],Tabela1[[#This Row],[Country]],Table102[Super-G Classification],"&gt;0")</f>
        <v>0</v>
      </c>
      <c r="MT135" s="6">
        <f>COUNTIFS(Table102105[Country],Tabela1[[#This Row],[Country]],Table102105[Super-G Classification],"&gt;0")</f>
        <v>0</v>
      </c>
      <c r="MU135" s="6">
        <f>COUNTIFS(Table105[Country],Tabela1[[#This Row],[Country]],Table105[Men''s Combined Classification],"&gt;0")</f>
        <v>0</v>
      </c>
      <c r="MV135" s="6">
        <f>COUNTIFS(Table105[Country],Tabela1[[#This Row],[Country]],Table105[Women''s Combined Classification],"&gt;0")</f>
        <v>0</v>
      </c>
      <c r="MW135" s="6">
        <f>COUNTIFS(Table106[Country],Tabela1[[#This Row],[Country]],Table106[Individual Classification],"&gt;0")</f>
        <v>0</v>
      </c>
      <c r="MX135" s="6">
        <f>COUNTIFS(Table106109[Country],Tabela1[[#This Row],[Country]],Table106109[Individual Classification],"&gt;0")</f>
        <v>0</v>
      </c>
      <c r="MY135" s="6">
        <f>COUNTIFS(Table106[Country],Tabela1[[#This Row],[Country]],Table106[Mass Start Classification],"&gt;0")</f>
        <v>0</v>
      </c>
      <c r="MZ135" s="6">
        <f>COUNTIFS(Table106109[Country],Tabela1[[#This Row],[Country]],Table106109[Mass Start Classification],"&gt;0")</f>
        <v>0</v>
      </c>
      <c r="NA135" s="6">
        <f>COUNTIFS(Table106[Country],Tabela1[[#This Row],[Country]],Table106[Pursuit Classification],"&gt;0")</f>
        <v>0</v>
      </c>
      <c r="NB135" s="6">
        <f>COUNTIFS(Table106109[Country],Tabela1[[#This Row],[Country]],Table106109[Pursuit Classification],"&gt;0")</f>
        <v>0</v>
      </c>
      <c r="NC135" s="6">
        <f>COUNTIFS(Table106[Country],Tabela1[[#This Row],[Country]],Table106[Sprint Classification],"&gt;0")</f>
        <v>0</v>
      </c>
      <c r="ND135" s="6">
        <f>COUNTIFS(Table106109[Country],Tabela1[[#This Row],[Country]],Table106109[Sprint Classification],"&gt;0")</f>
        <v>0</v>
      </c>
      <c r="NE135" s="6">
        <f>COUNTIFS(Table109[Country],Tabela1[[#This Row],[Country]],Table109[Men''s Relay Classification],"&gt;0")</f>
        <v>0</v>
      </c>
      <c r="NF135" s="6">
        <f>COUNTIFS(Table109[Country],Tabela1[[#This Row],[Country]],Table109[Women''s Relay Classification],"&gt;0")</f>
        <v>0</v>
      </c>
      <c r="NG135" s="6">
        <f>COUNTIFS(Table109[Country],Tabela1[[#This Row],[Country]],Table109[Mixed Relay Classification],"&gt;0")</f>
        <v>0</v>
      </c>
      <c r="NH135" s="6">
        <f>COUNTIFS(Table110[Country],Tabela1[[#This Row],[Country]],Table110[Monobob Classification],"&gt;0")</f>
        <v>0</v>
      </c>
      <c r="NI135" s="6">
        <f>COUNTIFS(Table111[Country],Tabela1[[#This Row],[Country]],Table111[Men''s Classification],"&gt;0")</f>
        <v>0</v>
      </c>
      <c r="NJ135" s="6">
        <f>COUNTIFS(Table111[Country],Tabela1[[#This Row],[Country]],Table111[Women''s Classification],"&gt;0")</f>
        <v>0</v>
      </c>
      <c r="NK135" s="6">
        <f>COUNTIFS(Table112[Country],Tabela1[[#This Row],[Country]],Table112[Men''s Four Classification],"&gt;0")</f>
        <v>0</v>
      </c>
      <c r="NL135" s="6">
        <f>COUNTIFS(Table113[Country],Tabela1[[#This Row],[Country]],Table113[Classical Classification],"&gt;0")</f>
        <v>0</v>
      </c>
      <c r="NM135" s="6">
        <f>COUNTIFS(Table113116[Country],Tabela1[[#This Row],[Country]],Table113116[Classical Classification],"&gt;0")</f>
        <v>0</v>
      </c>
      <c r="NN135" s="6">
        <f>COUNTIFS(Table113[Country],Tabela1[[#This Row],[Country]],Table113[Freestyle Classification],"&gt;0")</f>
        <v>0</v>
      </c>
      <c r="NO135" s="6">
        <f>COUNTIFS(Table113116[Country],Tabela1[[#This Row],[Country]],Table113116[Freestyle Classification],"&gt;0")</f>
        <v>0</v>
      </c>
      <c r="NP135" s="6">
        <f>COUNTIFS(Table117[Country],Tabela1[[#This Row],[Country]],Table117[Men''s Relay Classification],"&gt;0")</f>
        <v>0</v>
      </c>
      <c r="NQ135" s="6">
        <f>COUNTIFS(Table117[Country],Tabela1[[#This Row],[Country]],Table117[Women''s Relay Classification],"&gt;0")</f>
        <v>0</v>
      </c>
      <c r="NR135" s="6">
        <f>COUNTIFS(Table113[Country],Tabela1[[#This Row],[Country]],Table113[Skiathlon Classification],"&gt;0")</f>
        <v>0</v>
      </c>
      <c r="NS135" s="6">
        <f>COUNTIFS(Table113116[Country],Tabela1[[#This Row],[Country]],Table113116[Skiathlon Classification],"&gt;0")</f>
        <v>0</v>
      </c>
      <c r="NT135" s="6">
        <f>COUNTIFS(Table113[Country],Tabela1[[#This Row],[Country]],Table113[Sprint Classification],"&gt;0")</f>
        <v>0</v>
      </c>
      <c r="NU135" s="6">
        <f>COUNTIFS(Table113116[Country],Tabela1[[#This Row],[Country]],Table113116[Sprint Classification],"&gt;0")</f>
        <v>0</v>
      </c>
      <c r="NV135" s="6">
        <f>COUNTIFS(Table116[Country],Tabela1[[#This Row],[Country]],Table116[Men''s Team Sprint Classification],"&gt;0")</f>
        <v>0</v>
      </c>
      <c r="NW135" s="6">
        <f>COUNTIFS(Table116[Country],Tabela1[[#This Row],[Country]],Table116[Women''s Team Sprint Classification],"&gt;0")</f>
        <v>0</v>
      </c>
      <c r="NX135" s="6">
        <f>COUNTIFS(Table119[Country],Tabela1[[#This Row],[Country]],Table119[Men''s Classification],"&gt;0")</f>
        <v>0</v>
      </c>
      <c r="NY135" s="6">
        <f>COUNTIFS(Table119[Country],Tabela1[[#This Row],[Country]],Table119[Women''s Classification],"&gt;0")</f>
        <v>0</v>
      </c>
      <c r="NZ135" s="6">
        <f>COUNTIFS(Table118[Country],Tabela1[[#This Row],[Country]],Table118[Mixed Classification],"&gt;0")</f>
        <v>0</v>
      </c>
      <c r="OA135" s="6">
        <f>COUNTIFS(Table120[Country],Tabela1[[#This Row],[Country]],Table120[Classification],"&gt;0")</f>
        <v>0</v>
      </c>
      <c r="OB135" s="6">
        <f>COUNTIFS(Table120123[Country],Tabela1[[#This Row],[Country]],Table120123[Classification],"&gt;0")</f>
        <v>0</v>
      </c>
      <c r="OC135" s="6">
        <f>COUNTIFS(Table123[Country],Tabela1[[#This Row],[Country]],Table123[Ice Dance Classification],"&gt;0")</f>
        <v>0</v>
      </c>
      <c r="OD135" s="6">
        <f>COUNTIFS(Table123[Country],Tabela1[[#This Row],[Country]],Table123[Pair Skating Classification],"&gt;0")</f>
        <v>0</v>
      </c>
      <c r="OE135" s="6">
        <f>COUNTIFS(Table124[Country],Tabela1[[#This Row],[Country]],Table124[Mixed Classification],"&gt;0")</f>
        <v>0</v>
      </c>
      <c r="OF135" s="6">
        <f>COUNTIFS(Table125[Country],Tabela1[[#This Row],[Country]],Table125[Aerials Classification],"&gt;0")</f>
        <v>0</v>
      </c>
      <c r="OG135" s="6">
        <f>COUNTIFS(Table125128[Country],Tabela1[[#This Row],[Country]],Table125128[Aerials Classification],"&gt;0")</f>
        <v>0</v>
      </c>
      <c r="OH135" s="6">
        <f>COUNTIFS(Table128[Country],Tabela1[[#This Row],[Country]],Table128[Mixed Aerials Classification],"&gt;0")</f>
        <v>0</v>
      </c>
      <c r="OI135" s="6">
        <f>COUNTIFS(Table125[Country],Tabela1[[#This Row],[Country]],Table125[Big Air Classification],"&gt;0")</f>
        <v>0</v>
      </c>
      <c r="OJ135" s="6">
        <f>COUNTIFS(Table125128[Country],Tabela1[[#This Row],[Country]],Table125128[Big Air Classification],"&gt;0")</f>
        <v>0</v>
      </c>
      <c r="OK135" s="6">
        <f>COUNTIFS(Table125[Country],Tabela1[[#This Row],[Country]],Table125[Dual Moguls Classification],"&gt;0")</f>
        <v>0</v>
      </c>
      <c r="OL135" s="6">
        <f>COUNTIFS(Table125128[Country],Tabela1[[#This Row],[Country]],Table125128[Dual Moguls Classification],"&gt;0")</f>
        <v>0</v>
      </c>
      <c r="OM135" s="6">
        <f>COUNTIFS(Table125[Country],Tabela1[[#This Row],[Country]],Table125[Halfpipe Classification],"&gt;0")</f>
        <v>0</v>
      </c>
      <c r="ON135" s="6">
        <f>COUNTIFS(Table125128[Country],Tabela1[[#This Row],[Country]],Table125128[Halfpipe Classification],"&gt;0")</f>
        <v>0</v>
      </c>
      <c r="OO135" s="6">
        <f>COUNTIFS(Table125[Country],Tabela1[[#This Row],[Country]],Table125[Moguls Classification],"&gt;0")</f>
        <v>0</v>
      </c>
      <c r="OP135" s="6">
        <f>COUNTIFS(Table125128[Country],Tabela1[[#This Row],[Country]],Table125128[Moguls Classification],"&gt;0")</f>
        <v>0</v>
      </c>
      <c r="OQ135" s="6">
        <f>COUNTIFS(Table125[Country],Tabela1[[#This Row],[Country]],Table125[Ski Cross Classification],"&gt;0")</f>
        <v>0</v>
      </c>
      <c r="OR135" s="6">
        <f>COUNTIFS(Table125128[Country],Tabela1[[#This Row],[Country]],Table125128[Ski Cross Classification],"&gt;0")</f>
        <v>0</v>
      </c>
      <c r="OS135" s="6">
        <f>COUNTIFS(Table125[Country],Tabela1[[#This Row],[Country]],Table125[Slopestyle Classification],"&gt;0")</f>
        <v>0</v>
      </c>
      <c r="OT135" s="6">
        <f>COUNTIFS(Table125128[Country],Tabela1[[#This Row],[Country]],Table125128[Slopestyle Classification],"&gt;0")</f>
        <v>0</v>
      </c>
      <c r="OU135" s="6">
        <f>COUNTIFS(Table119131[Country],Tabela1[[#This Row],[Country]],Table119131[Men''s Classification],"&gt;0")</f>
        <v>0</v>
      </c>
      <c r="OV135" s="6">
        <f>COUNTIFS(Table119131[Country],Tabela1[[#This Row],[Country]],Table119131[Women''s Classification],"&gt;0")</f>
        <v>0</v>
      </c>
      <c r="OW135" s="6">
        <f>COUNTIFS(Table131[Country],Tabela1[[#This Row],[Country]],Table131[Classification],"&gt;0")</f>
        <v>0</v>
      </c>
      <c r="OX135" s="6">
        <f>COUNTIFS(Table131134[Country],Tabela1[[#This Row],[Country]],Table131134[Classification],"&gt;0")</f>
        <v>0</v>
      </c>
      <c r="OY135" s="6">
        <f>COUNTIFS(Table134[Country],Tabela1[[#This Row],[Country]],Table134[Men''s Classification],"&gt;0")</f>
        <v>0</v>
      </c>
      <c r="OZ135" s="6">
        <f>COUNTIFS(Table134[Country],Tabela1[[#This Row],[Country]],Table134[Women''s Classification],"&gt;0")</f>
        <v>0</v>
      </c>
      <c r="PA135" s="6">
        <f>COUNTIFS(Table135[Country],Tabela1[[#This Row],[Country]],Table135[Mixed Relay Classification],"&gt;0")</f>
        <v>0</v>
      </c>
      <c r="PB135" s="6">
        <f>COUNTIFS(Table136[Country],Tabela1[[#This Row],[Country]],Table136[Individual Classification],"&gt;0")</f>
        <v>0</v>
      </c>
      <c r="PC135" s="6">
        <f>COUNTIFS(Table136[Country],Tabela1[[#This Row],[Country]],Table136[Sprint Classification],"&gt;0")</f>
        <v>0</v>
      </c>
      <c r="PD135" s="6">
        <f>COUNTIFS(Table137[Country],Tabela1[[#This Row],[Country]],Table137[Men''s Team Sprint Large Hill Classification],"&gt;0")</f>
        <v>0</v>
      </c>
      <c r="PE135" s="6">
        <f>COUNTIFS(Table138[Country],Tabela1[[#This Row],[Country]],Table138[500m Classification],"&gt;0")</f>
        <v>0</v>
      </c>
      <c r="PF135" s="6">
        <f>COUNTIFS(Table138141[Country],Tabela1[[#This Row],[Country]],Table138141[500m Classification],"&gt;0")</f>
        <v>0</v>
      </c>
      <c r="PG135" s="6">
        <f>COUNTIFS(Table138[Country],Tabela1[[#This Row],[Country]],Table138[1000m Classification],"&gt;0")</f>
        <v>0</v>
      </c>
      <c r="PH135" s="6">
        <f>COUNTIFS(Table138141[Country],Tabela1[[#This Row],[Country]],Table138141[1000m Classification],"&gt;0")</f>
        <v>0</v>
      </c>
      <c r="PI135" s="6">
        <f>COUNTIFS(Table138[Country],Tabela1[[#This Row],[Country]],Table138[1500m Classification],"&gt;0")</f>
        <v>0</v>
      </c>
      <c r="PJ135" s="6">
        <f>COUNTIFS(Table138141[Country],Tabela1[[#This Row],[Country]],Table138141[1500m Classification],"&gt;0")</f>
        <v>0</v>
      </c>
      <c r="PK135" s="6">
        <f>COUNTIFS(Table141[Country],Tabela1[[#This Row],[Country]],Table141[Men''s 5000m Relay Classification],"&gt;0")</f>
        <v>0</v>
      </c>
      <c r="PL135" s="6">
        <f>COUNTIFS(Table141[Country],Tabela1[[#This Row],[Country]],Table141[Women''s 3000m Relay Classification],"&gt;0")</f>
        <v>0</v>
      </c>
      <c r="PM135" s="6">
        <f>COUNTIFS(Table141[Country],Tabela1[[#This Row],[Country]],Table141[Mixed 2000m Relay Classification],"&gt;0")</f>
        <v>0</v>
      </c>
      <c r="PN135" s="6">
        <f>COUNTIFS(Table142[Country],Tabela1[[#This Row],[Country]],Table142[Classification],"&gt;0")</f>
        <v>0</v>
      </c>
      <c r="PO135" s="6">
        <f>COUNTIFS(Table142145[Country],Tabela1[[#This Row],[Country]],Table142145[Classification],"&gt;0")</f>
        <v>0</v>
      </c>
      <c r="PP135" s="6">
        <f>COUNTIFS(Tabela15[Country],Tabela1[[#This Row],[Country]],Tabela15[Mixed Team Classification],"&gt;0")</f>
        <v>0</v>
      </c>
      <c r="PQ135" s="6">
        <f>COUNTIFS(Table145[Country],Tabela1[[#This Row],[Country]],Table145[Large Hill Classification],"&gt;0")</f>
        <v>0</v>
      </c>
      <c r="PR135" s="6">
        <f>COUNTIFS(Table145[Country],Tabela1[[#This Row],[Country]],Table145[Normal Hill Classification],"&gt;0")</f>
        <v>0</v>
      </c>
      <c r="PS135" s="6">
        <f>COUNTIFS(Table145148[Country],Tabela1[[#This Row],[Country]],Table145148[Large Hill Classification],"&gt;0")</f>
        <v>0</v>
      </c>
      <c r="PT135" s="6">
        <f>COUNTIFS(Table145148[Country],Tabela1[[#This Row],[Country]],Table145148[Normal Hill Classification],"&gt;0")</f>
        <v>0</v>
      </c>
      <c r="PU135" s="6">
        <f>COUNTIFS(Table148[Country],Tabela1[[#This Row],[Country]],Table148[Men''s Super Team Classification],"&gt;0")</f>
        <v>0</v>
      </c>
      <c r="PV135" s="6">
        <f>COUNTIFS(Tabela114[Country],Tabela1[[#This Row],[Country]],Tabela114[Mixed Normal Hill Classification],"&gt;0")</f>
        <v>0</v>
      </c>
      <c r="PW135" s="6">
        <f>COUNTIFS(Tabela50[Country],Tabela1[[#This Row],[Country]],Tabela50[Sprint Classification],"&gt;0")</f>
        <v>0</v>
      </c>
      <c r="PX135" s="6">
        <f>COUNTIFS(Tabela50101[Country],Tabela1[[#This Row],[Country]],Tabela50101[Sprint Classification],"&gt;0")</f>
        <v>0</v>
      </c>
      <c r="PY135" s="6">
        <f>COUNTIFS(Tabela103[Country],Tabela1[[#This Row],[Country]],Tabela103[Mixed Relay Classification],"&gt;0")</f>
        <v>0</v>
      </c>
      <c r="PZ135" s="6">
        <f>COUNTIFS(Table149[Country],Tabela1[[#This Row],[Country]],Table149[Big Air Classification],"&gt;0")</f>
        <v>0</v>
      </c>
      <c r="QA135" s="6">
        <f>COUNTIFS(Table149152[Country],Tabela1[[#This Row],[Country]],Table149152[Big Air Classification],"&gt;0")</f>
        <v>0</v>
      </c>
      <c r="QB135" s="6">
        <f>COUNTIFS(Table149[Country],Tabela1[[#This Row],[Country]],Table149[Halfpipe Classification],"&gt;0")</f>
        <v>0</v>
      </c>
      <c r="QC135" s="6">
        <f>COUNTIFS(Table149152[Country],Tabela1[[#This Row],[Country]],Table149152[Halfpipe Classification],"&gt;0")</f>
        <v>0</v>
      </c>
      <c r="QD135" s="6">
        <f>COUNTIFS(Table149[Country],Tabela1[[#This Row],[Country]],Table149[Parallel Giant Slalom Classification],"&gt;0")</f>
        <v>0</v>
      </c>
      <c r="QE135" s="6">
        <f>COUNTIFS(Table149152[Country],Tabela1[[#This Row],[Country]],Table149152[Parallel Giant Slalom Classification],"&gt;0")</f>
        <v>0</v>
      </c>
      <c r="QF135" s="6">
        <f>COUNTIFS(Table149[Country],Tabela1[[#This Row],[Country]],Table149[Slopestyle Classification],"&gt;0")</f>
        <v>0</v>
      </c>
      <c r="QG135" s="6">
        <f>COUNTIFS(Table149152[Country],Tabela1[[#This Row],[Country]],Table149152[Slopestyle Classification],"&gt;0")</f>
        <v>0</v>
      </c>
      <c r="QH135" s="6">
        <f>COUNTIFS(Table149[Country],Tabela1[[#This Row],[Country]],Table149[Snowboard Cross Classification],"&gt;0")</f>
        <v>0</v>
      </c>
      <c r="QI135" s="6">
        <f>COUNTIFS(Table149152[Country],Tabela1[[#This Row],[Country]],Table149152[Snowboard Cross Classification],"&gt;0")</f>
        <v>0</v>
      </c>
      <c r="QJ135" s="6">
        <f>COUNTIFS(Table153[Country],Tabela1[[#This Row],[Country]],Table153[Mixed Team Snowboard Cross Classification],"&gt;0")</f>
        <v>0</v>
      </c>
      <c r="QK135" s="6">
        <f>COUNTIFS(Table154[Country],Tabela1[[#This Row],[Country]],Table154[500m Classification],"&gt;0")</f>
        <v>0</v>
      </c>
      <c r="QL135" s="6">
        <f>COUNTIFS(Table154157[Country],Tabela1[[#This Row],[Country]],Table154157[500m Classification],"&gt;0")</f>
        <v>0</v>
      </c>
      <c r="QM135" s="6">
        <f>COUNTIFS(Table154[Country],Tabela1[[#This Row],[Country]],Table154[1000m Classification],"&gt;0")</f>
        <v>0</v>
      </c>
      <c r="QN135" s="6">
        <f>COUNTIFS(Table154157[Country],Tabela1[[#This Row],[Country]],Table154157[1000m Classification],"&gt;0")</f>
        <v>0</v>
      </c>
      <c r="QO135" s="6">
        <f>COUNTIFS(Table154[Country],Tabela1[[#This Row],[Country]],Table154[1500m Classification],"&gt;0")</f>
        <v>0</v>
      </c>
      <c r="QP135" s="6">
        <f>COUNTIFS(Table154157[Country],Tabela1[[#This Row],[Country]],Table154157[1500m Classification],"&gt;0")</f>
        <v>0</v>
      </c>
      <c r="QQ135" s="6">
        <f>COUNTIFS(Table154157[Country],Tabela1[[#This Row],[Country]],Table154157[3000m Classification],"&gt;0")</f>
        <v>0</v>
      </c>
      <c r="QR135" s="6">
        <f>COUNTIFS(Table154[Country],Tabela1[[#This Row],[Country]],Table154[5000m Classification],"&gt;0")</f>
        <v>0</v>
      </c>
      <c r="QS135" s="6">
        <f>COUNTIFS(Table154157[Country],Tabela1[[#This Row],[Country]],Table154157[5000m Classification],"&gt;0")</f>
        <v>0</v>
      </c>
      <c r="QT135" s="6">
        <f>COUNTIFS(Table154[Country],Tabela1[[#This Row],[Country]],Table154[10000m Classification],"&gt;0")</f>
        <v>0</v>
      </c>
      <c r="QU135" s="6">
        <f>COUNTIFS(Table154[Country],Tabela1[[#This Row],[Country]],Table154[Mass Start Classification],"&gt;0")</f>
        <v>0</v>
      </c>
      <c r="QV135" s="6">
        <f>COUNTIFS(Table154157[Country],Tabela1[[#This Row],[Country]],Table154157[Mass Start Classification],"&gt;0")</f>
        <v>0</v>
      </c>
      <c r="QW135" s="6">
        <f>COUNTIFS(Table157[Country],Tabela1[[#This Row],[Country]],Table157[Men''s Pursuit Classification],"&gt;0")</f>
        <v>0</v>
      </c>
      <c r="QX135" s="6">
        <f>COUNTIFS(Table157[Country],Tabela1[[#This Row],[Country]],Table157[Women''s Pursuit Classification],"&gt;0")</f>
        <v>0</v>
      </c>
      <c r="QY135" s="3" t="s">
        <v>583</v>
      </c>
    </row>
    <row r="136" spans="1:467" x14ac:dyDescent="0.3">
      <c r="A136" s="6">
        <v>135</v>
      </c>
      <c r="B136" s="6" t="s">
        <v>552</v>
      </c>
      <c r="C136" t="e" vm="135">
        <f>IF(ISBLANK(Tabela1[[#This Row],[Image Link]]), "", _xlfn.IMAGE(Tabela1[[#This Row],[Image Link]],1,1))</f>
        <v>#VALUE!</v>
      </c>
      <c r="D136" s="6">
        <f>SUM(Tabela1[[#This Row],[Archery - Men''s Individual Recurve]:[Speed Skating - Women''s Team Pursuit]])</f>
        <v>1</v>
      </c>
      <c r="E136" s="6">
        <f>COUNTIF(Tabela1[[#This Row],[Archery - Men''s Individual Recurve]:[Speed Skating - Women''s Team Pursuit]],"&gt;0")</f>
        <v>1</v>
      </c>
      <c r="F136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36" s="6">
        <f>SUM(Tabela1[[#This Row],[Archery - Men''s Individual Recurve]:[Wrestling - Women''s Freestyle 76kg]])</f>
        <v>1</v>
      </c>
      <c r="H136" s="6">
        <f>SUM(Tabela1[[#This Row],[Alpine Skiing - Men''s Downhill]:[Speed Skating - Women''s Team Pursuit]])</f>
        <v>0</v>
      </c>
      <c r="I136" s="6">
        <f>Tabela1[[#This Row],[Summer Gold Medals]]+Tabela1[[#This Row],[Winter Gold Medals]]</f>
        <v>0</v>
      </c>
      <c r="J136" s="6">
        <f>Tabela1[[#This Row],[Summer Silver Medals]]+Tabela1[[#This Row],[Winter Silver Medals]]</f>
        <v>0</v>
      </c>
      <c r="K136" s="6">
        <f>Tabela1[[#This Row],[Summer Bronze Medals]]+Tabela1[[#This Row],[Winter Bronze Medals]]</f>
        <v>0</v>
      </c>
      <c r="L136" s="6">
        <f>SUM(Tabela1[[#This Row],[Total Gold Medals]:[Total Bronze Medals]])</f>
        <v>0</v>
      </c>
      <c r="M136" s="6"/>
      <c r="N136" s="6"/>
      <c r="O136" s="6"/>
      <c r="P136" s="6">
        <f>SUM(Tabela1[[#This Row],[Summer Gold Medals]:[Summer Bronze Medals]])</f>
        <v>0</v>
      </c>
      <c r="Q136" s="6"/>
      <c r="R136" s="6"/>
      <c r="S136" s="6"/>
      <c r="T136" s="6">
        <f>Tabela1[[#This Row],[Winter Gold Medals]]+Tabela1[[#This Row],[Winter Silver Medals]]+Tabela1[[#This Row],[Winter Bronze Medals]]</f>
        <v>0</v>
      </c>
      <c r="U136" s="7">
        <f>Tabela1[[#This Row],[Total Medals]]/Tabela1[[#This Row],[Total Quotas]]</f>
        <v>0</v>
      </c>
      <c r="V136" s="6">
        <f>COUNTIFS(Table3[Country],Tabela1[[#This Row],[Country]],Table3[Recurve Classification],"&gt;0")</f>
        <v>0</v>
      </c>
      <c r="W136" s="6">
        <f>COUNTIFS(Table33[Country],Tabela1[[#This Row],[Country]],Table33[Recurve Classification],"&gt;0")</f>
        <v>0</v>
      </c>
      <c r="X136" s="6">
        <f>COUNTIFS(Table35[Country],Tabela1[[#This Row],[Country]],Table35[Men''s Team Recurve Classification],"&gt;0")</f>
        <v>0</v>
      </c>
      <c r="Y136" s="6">
        <f>COUNTIFS(Table35[Country],Tabela1[[#This Row],[Country]],Table35[Women''s Team Recurve Classification],"&gt;0")</f>
        <v>0</v>
      </c>
      <c r="Z136" s="6">
        <f>COUNTIFS(Tabela88[Country],Tabela1[[#This Row],[Country]],Tabela88[Mixed Team Recurve Classification],"&gt;0")</f>
        <v>0</v>
      </c>
      <c r="AA136" s="6">
        <f>COUNTIFS(Table36[Country],Tabela1[[#This Row],[Country]],Table36[Classification],"&gt;0")</f>
        <v>0</v>
      </c>
      <c r="AB136" s="6">
        <f>COUNTIFS(Table37[Country],Tabela1[[#This Row],[Country]],Table37[Classification],"&gt;0")</f>
        <v>0</v>
      </c>
      <c r="AC136" s="6">
        <f>COUNTIFS(Table4[Country],Tabela1[[#This Row],[Country]],Table4[100m Classification],"&gt;0")</f>
        <v>1</v>
      </c>
      <c r="AD136" s="6">
        <f>COUNTIFS(Table5[Country],Tabela1[[#This Row],[Country]],Table5[100m Classification],"&gt;0")</f>
        <v>0</v>
      </c>
      <c r="AE136" s="6">
        <f>COUNTIFS(Table4[Country],Tabela1[[#This Row],[Country]],Table4[200m Classification],"&gt;0")</f>
        <v>0</v>
      </c>
      <c r="AF136" s="6">
        <f>COUNTIFS(Table5[Country],Tabela1[[#This Row],[Country]],Table5[200m Classification],"&gt;0")</f>
        <v>0</v>
      </c>
      <c r="AG136" s="6">
        <f>COUNTIFS(Table4[Country],Tabela1[[#This Row],[Country]],Table4[400m Classification],"&gt;0")</f>
        <v>0</v>
      </c>
      <c r="AH136" s="6">
        <f>COUNTIFS(Table5[Country],Tabela1[[#This Row],[Country]],Table5[400m Classification],"&gt;0")</f>
        <v>0</v>
      </c>
      <c r="AI136" s="6">
        <f>COUNTIFS(Table4[Country],Tabela1[[#This Row],[Country]],Table4[800m Classification],"&gt;0")</f>
        <v>0</v>
      </c>
      <c r="AJ136" s="6">
        <f>COUNTIFS(Table5[Country],Tabela1[[#This Row],[Country]],Table5[800m Classification],"&gt;0")</f>
        <v>0</v>
      </c>
      <c r="AK136" s="6">
        <f>COUNTIFS(Table4[Country],Tabela1[[#This Row],[Country]],Table4[1500m Classification],"&gt;0")</f>
        <v>0</v>
      </c>
      <c r="AL136" s="6">
        <f>COUNTIFS(Table5[Country],Tabela1[[#This Row],[Country]],Table5[1500m Classification],"&gt;0")</f>
        <v>0</v>
      </c>
      <c r="AM136" s="6">
        <f>COUNTIFS(Table4[Country],Tabela1[[#This Row],[Country]],Table4[5000m Classification],"&gt;0")</f>
        <v>0</v>
      </c>
      <c r="AN136" s="6">
        <f>COUNTIFS(Table5[Country],Tabela1[[#This Row],[Country]],Table5[5000m Classification],"&gt;0")</f>
        <v>0</v>
      </c>
      <c r="AO136" s="6">
        <f>COUNTIFS(Table4[Country],Tabela1[[#This Row],[Country]],Table4[10000m Classification],"&gt;0")</f>
        <v>0</v>
      </c>
      <c r="AP136" s="6">
        <f>COUNTIFS(Table5[Country],Tabela1[[#This Row],[Country]],Table5[10000m Classification],"&gt;0")</f>
        <v>0</v>
      </c>
      <c r="AQ136" s="6">
        <f>COUNTIFS(Table4[Country],Tabela1[[#This Row],[Country]],Table4[110m Hurdles Classification],"&gt;0")</f>
        <v>0</v>
      </c>
      <c r="AR136" s="6">
        <f>COUNTIFS(Table5[Country],Tabela1[[#This Row],[Country]],Table5[100m Hurdles Classification],"&gt;0")</f>
        <v>0</v>
      </c>
      <c r="AS136" s="6">
        <f>COUNTIFS(Table4[Country],Tabela1[[#This Row],[Country]],Table4[400m Hurdles Classification],"&gt;0")</f>
        <v>0</v>
      </c>
      <c r="AT136" s="6">
        <f>COUNTIFS(Table5[Country],Tabela1[[#This Row],[Country]],Table5[400m Hurdles Classification],"&gt;0")</f>
        <v>0</v>
      </c>
      <c r="AU136" s="6">
        <f>COUNTIFS(Table4[Country],Tabela1[[#This Row],[Country]],Table4[3000m Steeplechase Classification],"&gt;0")</f>
        <v>0</v>
      </c>
      <c r="AV136" s="6">
        <f>COUNTIFS(Table5[Country],Tabela1[[#This Row],[Country]],Table5[3000m Steeplechase Classification],"&gt;0")</f>
        <v>0</v>
      </c>
      <c r="AW136" s="6">
        <f>COUNTIFS(Table27[Country],Tabela1[[#This Row],[Country]],Table27[Men''s 4x100m Relay Classification],"&gt;0")</f>
        <v>0</v>
      </c>
      <c r="AX136" s="6">
        <f>COUNTIFS(Table27[Country],Tabela1[[#This Row],[Country]],Table27[Women''s 4x100m Relay Classification],"&gt;0")</f>
        <v>0</v>
      </c>
      <c r="AY136" s="6">
        <f>COUNTIFS(Table27[Country],Tabela1[[#This Row],[Country]],Table27[Men''s 4x400m Relay Classification],"&gt;0")</f>
        <v>0</v>
      </c>
      <c r="AZ136" s="6">
        <f>COUNTIFS(Table27[Country],Tabela1[[#This Row],[Country]],Table27[Women''s 4x400m Relay Classification],"&gt;0")</f>
        <v>0</v>
      </c>
      <c r="BA136" s="6">
        <f>COUNTIFS(Table27[Country],Tabela1[[#This Row],[Country]],Table27[Mixed 4x400m Relay Classification],"&gt;0")</f>
        <v>0</v>
      </c>
      <c r="BB136" s="6">
        <f>COUNTIFS(Table4[Country],Tabela1[[#This Row],[Country]],Table4[Marathon Classification],"&gt;0")</f>
        <v>0</v>
      </c>
      <c r="BC136" s="6">
        <f>COUNTIFS(Table5[Country],Tabela1[[#This Row],[Country]],Table5[Marathon Classification],"&gt;0")</f>
        <v>0</v>
      </c>
      <c r="BD136" s="6">
        <f>COUNTIFS(Table4[Country],Tabela1[[#This Row],[Country]],Table4[20km Race Walk Classification],"&gt;0")</f>
        <v>0</v>
      </c>
      <c r="BE136" s="6">
        <f>COUNTIFS(Table5[Country],Tabela1[[#This Row],[Country]],Table5[20km Race Walk Classification],"&gt;0")</f>
        <v>0</v>
      </c>
      <c r="BF136" s="6">
        <f>COUNTIFS(Tabela96[Country],Tabela1[[#This Row],[Country]],Tabela96[Mixed Marathon Race Walk Relay Classification],"&gt;0")</f>
        <v>0</v>
      </c>
      <c r="BG136" s="6">
        <f>COUNTIFS(Table4[Country],Tabela1[[#This Row],[Country]],Table4[Discus Throw Classification],"&gt;0")</f>
        <v>0</v>
      </c>
      <c r="BH136" s="6">
        <f>COUNTIFS(Table5[Country],Tabela1[[#This Row],[Country]],Table5[Discus Throw Classification],"&gt;0")</f>
        <v>0</v>
      </c>
      <c r="BI136" s="6">
        <f>COUNTIFS(Table4[Country],Tabela1[[#This Row],[Country]],Table4[Hammer Throw Classification],"&gt;0")</f>
        <v>0</v>
      </c>
      <c r="BJ136" s="6">
        <f>COUNTIFS(Table5[Country],Tabela1[[#This Row],[Country]],Table5[Hammer Throw Classification],"&gt;0")</f>
        <v>0</v>
      </c>
      <c r="BK136" s="6">
        <f>COUNTIFS(Table4[Country],Tabela1[[#This Row],[Country]],Table4[High Jump Classification],"&gt;0")</f>
        <v>0</v>
      </c>
      <c r="BL136" s="6">
        <f>COUNTIFS(Table5[Country],Tabela1[[#This Row],[Country]],Table5[High Jump Classification],"&gt;0")</f>
        <v>0</v>
      </c>
      <c r="BM136" s="6">
        <f>COUNTIFS(Table4[Country],Tabela1[[#This Row],[Country]],Table4[Javelin Throw Classification],"&gt;0")</f>
        <v>0</v>
      </c>
      <c r="BN136" s="6">
        <f>COUNTIFS(Table5[Country],Tabela1[[#This Row],[Country]],Table5[Javelin Throw Classification],"&gt;0")</f>
        <v>0</v>
      </c>
      <c r="BO136" s="6">
        <f>COUNTIFS(Table4[Country],Tabela1[[#This Row],[Country]],Table4[Long Jump Classification],"&gt;0")</f>
        <v>0</v>
      </c>
      <c r="BP136" s="6">
        <f>COUNTIFS(Table5[Country],Tabela1[[#This Row],[Country]],Table5[Long Jump Classification],"&gt;0")</f>
        <v>0</v>
      </c>
      <c r="BQ136" s="6">
        <f>COUNTIFS(Table4[Country],Tabela1[[#This Row],[Country]],Table4[Pole Vault Classification],"&gt;0")</f>
        <v>0</v>
      </c>
      <c r="BR136" s="6">
        <f>COUNTIFS(Table5[Country],Tabela1[[#This Row],[Country]],Table5[Pole Vault Classification],"&gt;0")</f>
        <v>0</v>
      </c>
      <c r="BS136" s="6">
        <f>COUNTIFS(Table4[Country],Tabela1[[#This Row],[Country]],Table4[Shot Put Classification],"&gt;0")</f>
        <v>0</v>
      </c>
      <c r="BT136" s="6">
        <f>COUNTIFS(Table5[Country],Tabela1[[#This Row],[Country]],Table5[Shot Put Classification],"&gt;0")</f>
        <v>0</v>
      </c>
      <c r="BU136" s="6">
        <f>COUNTIFS(Table4[Country],Tabela1[[#This Row],[Country]],Table4[Triple Jump Classification],"&gt;0")</f>
        <v>0</v>
      </c>
      <c r="BV136" s="6">
        <f>COUNTIFS(Table5[Country],Tabela1[[#This Row],[Country]],Table5[Triple Jump Classification],"&gt;0")</f>
        <v>0</v>
      </c>
      <c r="BW136" s="6">
        <f>COUNTIFS(Table4[Country],Tabela1[[#This Row],[Country]],Table4[Decathlon Classification],"&gt;0")</f>
        <v>0</v>
      </c>
      <c r="BX136" s="6">
        <f>COUNTIFS(Table5[Country],Tabela1[[#This Row],[Country]],Table5[Heptathlon Classification],"&gt;0")</f>
        <v>0</v>
      </c>
      <c r="BY136" s="6">
        <f>COUNTIFS(Table61[Country],Tabela1[[#This Row],[Country]],Table61[Classification],"&gt;0")</f>
        <v>0</v>
      </c>
      <c r="BZ136" s="6">
        <f>COUNTIFS(Table38[Country],Tabela1[[#This Row],[Country]],Table38[Classification],"&gt;0")</f>
        <v>0</v>
      </c>
      <c r="CA136" s="6">
        <f>COUNTIFS(Table39[Country],Tabela1[[#This Row],[Country]],Table39[Men''s Classification],"&gt;0")</f>
        <v>0</v>
      </c>
      <c r="CB136" s="6">
        <f>COUNTIFS(Table39[Country],Tabela1[[#This Row],[Country]],Table39[Women''s Classification],"&gt;0")</f>
        <v>0</v>
      </c>
      <c r="CC136" s="6">
        <f>COUNTIFS(Table39[Country],Tabela1[[#This Row],[Country]],Table39[Mixed Classification],"&gt;0")</f>
        <v>0</v>
      </c>
      <c r="CD136" s="6">
        <f>COUNTIFS(Table89[Country],Tabela1[[#This Row],[Country]],Table89[Men''s Classification],"&gt;0")</f>
        <v>0</v>
      </c>
      <c r="CE136" s="6">
        <f>COUNTIFS(Table89[Country],Tabela1[[#This Row],[Country]],Table89[Women''s Classification],"&gt;0")</f>
        <v>0</v>
      </c>
      <c r="CF136" s="6">
        <f>COUNTIFS(Table90[Country],Tabela1[[#This Row],[Country]],Table90[Men''s Classification],"&gt;0")</f>
        <v>0</v>
      </c>
      <c r="CG136" s="6">
        <f>COUNTIFS(Table90[Country],Tabela1[[#This Row],[Country]],Table90[Women''s Classification],"&gt;0")</f>
        <v>0</v>
      </c>
      <c r="CH136" s="6">
        <f>COUNTIFS(Table60[Country],Tabela1[[#This Row],[Country]],Table60[Men''s Classification],"&gt;0")</f>
        <v>0</v>
      </c>
      <c r="CI136" s="6">
        <f>COUNTIFS(Table60[Country],Tabela1[[#This Row],[Country]],Table60[Women''s Classification],"&gt;0")</f>
        <v>0</v>
      </c>
      <c r="CJ136" s="6">
        <f>COUNTIFS(Table6[Country],Tabela1[[#This Row],[Country]],Table6[51kg Classification],"&gt;0")</f>
        <v>0</v>
      </c>
      <c r="CK136" s="6">
        <f>COUNTIFS(Table6[Country],Tabela1[[#This Row],[Country]],Table6[57kg Classification],"&gt;0")</f>
        <v>0</v>
      </c>
      <c r="CL136" s="6">
        <f>COUNTIFS(Table6[Country],Tabela1[[#This Row],[Country]],Table6[63.5kg Classification],"&gt;0")</f>
        <v>0</v>
      </c>
      <c r="CM136" s="6">
        <f>COUNTIFS(Table6[Country],Tabela1[[#This Row],[Country]],Table6[71kg Classification],"&gt;0")</f>
        <v>0</v>
      </c>
      <c r="CN136" s="6">
        <f>COUNTIFS(Table6[Country],Tabela1[[#This Row],[Country]],Table6[80kg Classification],"&gt;0")</f>
        <v>0</v>
      </c>
      <c r="CO136" s="6">
        <f>COUNTIFS(Table6[Country],Tabela1[[#This Row],[Country]],Table6[92kg Classification],"&gt;0")</f>
        <v>0</v>
      </c>
      <c r="CP136" s="6">
        <f>COUNTIFS(Table6[Country],Tabela1[[#This Row],[Country]],Table6[Plus 92kg Classification],"&gt;0")</f>
        <v>0</v>
      </c>
      <c r="CQ136" s="6">
        <f>COUNTIFS(Table7[Country],Tabela1[[#This Row],[Country]],Table7[50kg Classification],"&gt;0")</f>
        <v>0</v>
      </c>
      <c r="CR136" s="6">
        <f>COUNTIFS(Table7[Country],Tabela1[[#This Row],[Country]],Table7[54kg Classification],"&gt;0")</f>
        <v>0</v>
      </c>
      <c r="CS136" s="6">
        <f>COUNTIFS(Table7[Country],Tabela1[[#This Row],[Country]],Table7[57kg Classification],"&gt;0")</f>
        <v>0</v>
      </c>
      <c r="CT136" s="6">
        <f>COUNTIFS(Table7[Country],Tabela1[[#This Row],[Country]],Table7[60kg Classification],"&gt;0")</f>
        <v>0</v>
      </c>
      <c r="CU136" s="6">
        <f>COUNTIFS(Table7[Country],Tabela1[[#This Row],[Country]],Table7[66kg Classification],"&gt;0")</f>
        <v>0</v>
      </c>
      <c r="CV136" s="6">
        <f>COUNTIFS(Table7[Country],Tabela1[[#This Row],[Country]],Table7[75kg Classification],"&gt;0")</f>
        <v>0</v>
      </c>
      <c r="CW136" s="6">
        <f>COUNTIFS(Tabela94[Country],Tabela1[[#This Row],[Country]],Tabela94[Classification],"&gt;0")</f>
        <v>0</v>
      </c>
      <c r="CX136" s="6">
        <f>COUNTIFS(Tabela9499[Country],Tabela1[[#This Row],[Country]],Tabela9499[Classification],"&gt;0")</f>
        <v>0</v>
      </c>
      <c r="CY136" s="6">
        <f>COUNTIFS(Tabela107[Country],Tabela1[[#This Row],[Country]],Tabela107[C1 Slalom Classification],"&gt;0")</f>
        <v>0</v>
      </c>
      <c r="CZ136" s="6">
        <f>COUNTIFS(Tabela107122[Country],Tabela1[[#This Row],[Country]],Tabela107122[C1 Slalom Classification],"&gt;0")</f>
        <v>0</v>
      </c>
      <c r="DA136" s="6">
        <f>COUNTIFS(Tabela107[Country],Tabela1[[#This Row],[Country]],Tabela107[K1 Slalom Classification],"&gt;0")</f>
        <v>0</v>
      </c>
      <c r="DB136" s="6">
        <f>COUNTIFS(Tabela107122[Country],Tabela1[[#This Row],[Country]],Tabela107122[K1 Slalom Classification],"&gt;0")</f>
        <v>0</v>
      </c>
      <c r="DC136" s="6">
        <f>COUNTIFS(Tabela107[Country],Tabela1[[#This Row],[Country]],Tabela107[Kayak Cross Slalom Classification],"&gt;0")</f>
        <v>0</v>
      </c>
      <c r="DD136" s="6">
        <f>COUNTIFS(Tabela107122[Country],Tabela1[[#This Row],[Country]],Tabela107122[Kayak Cross Slalom Classification],"&gt;0")</f>
        <v>0</v>
      </c>
      <c r="DE136" s="6">
        <f>COUNTIFS(Table8[Country],Tabela1[[#This Row],[Country]],Table8[C1 200m Classification],"&gt;0")</f>
        <v>0</v>
      </c>
      <c r="DF136" s="6">
        <f>COUNTIFS(Table40[Country],Tabela1[[#This Row],[Country]],Table40[C1 1000m Classification],"&gt;0")</f>
        <v>0</v>
      </c>
      <c r="DG136" s="6">
        <f>COUNTIFS(Table68[Country],Tabela1[[#This Row],[Country]],Table68[Men''s C2 500m Classification],"&gt;0")</f>
        <v>0</v>
      </c>
      <c r="DH136" s="6">
        <f>COUNTIFS(Table68[Country],Tabela1[[#This Row],[Country]],Table68[Women''s C2 500m Classification],"&gt;0")</f>
        <v>0</v>
      </c>
      <c r="DI136" s="6">
        <f>COUNTIFS(Table8[Country],Tabela1[[#This Row],[Country]],Table8[K1 500m Classification],"&gt;0")</f>
        <v>0</v>
      </c>
      <c r="DJ136" s="6">
        <f>COUNTIFS(Table40[Country],Tabela1[[#This Row],[Country]],Table40[K1 1000m Classification],"&gt;0")</f>
        <v>0</v>
      </c>
      <c r="DK136" s="6">
        <f>COUNTIFS(Table68[Country],Tabela1[[#This Row],[Country]],Table68[Men''s K2 500m Classification],"&gt;0")</f>
        <v>0</v>
      </c>
      <c r="DL136" s="6">
        <f>COUNTIFS(Table68[Country],Tabela1[[#This Row],[Country]],Table68[Women''s K2 500m Classification],"&gt;0")</f>
        <v>0</v>
      </c>
      <c r="DM136" s="6">
        <f>COUNTIFS(Table83[Country],Tabela1[[#This Row],[Country]],Table83[Men''s K4 500m Classification],"&gt;0")</f>
        <v>0</v>
      </c>
      <c r="DN136" s="6">
        <f>COUNTIFS(Table83[Country],Tabela1[[#This Row],[Country]],Table83[Women''s K4 500m Classification],"&gt;0")</f>
        <v>0</v>
      </c>
      <c r="DO136" s="6">
        <f>COUNTIFS(Tabela126[Country],Tabela1[[#This Row],[Country]],Tabela126[Classification],"&gt;0")</f>
        <v>0</v>
      </c>
      <c r="DP136" s="6">
        <f>COUNTIFS(Tabela126130[Country],Tabela1[[#This Row],[Country]],Tabela126130[Classification],"&gt;0")</f>
        <v>0</v>
      </c>
      <c r="DQ136" s="6">
        <f>COUNTIFS(Table70[Country],Tabela1[[#This Row],[Country]],Table70[Classification],"&gt;0")</f>
        <v>0</v>
      </c>
      <c r="DR136" s="6">
        <f>COUNTIFS(Table80[Country],Tabela1[[#This Row],[Country]],Table80[Classification],"&gt;0")</f>
        <v>0</v>
      </c>
      <c r="DS136" s="6">
        <f>COUNTIFS(Table66[Country],Tabela1[[#This Row],[Country]],Table66[Classification],"&gt;0")</f>
        <v>0</v>
      </c>
      <c r="DT136" s="6">
        <f>COUNTIFS(Table67[Country],Tabela1[[#This Row],[Country]],Table67[Classification],"&gt;0")</f>
        <v>0</v>
      </c>
      <c r="DU136" s="6">
        <f>COUNTIFS(Table69[Country],Tabela1[[#This Row],[Country]],Table69[Keirin Classification],"&gt;0")</f>
        <v>0</v>
      </c>
      <c r="DV136" s="6">
        <f>COUNTIFS(Table41[Country],Tabela1[[#This Row],[Country]],Table41[Keirin Classification],"&gt;0")</f>
        <v>0</v>
      </c>
      <c r="DW136" s="6">
        <f>COUNTIFS(Table84[Country],Tabela1[[#This Row],[Country]],Table84[Men''s Madison Classification],"&gt;0")</f>
        <v>0</v>
      </c>
      <c r="DX136" s="6">
        <f>COUNTIFS(Table84[Country],Tabela1[[#This Row],[Country]],Table84[Women''s Madison Classification],"&gt;0")</f>
        <v>0</v>
      </c>
      <c r="DY136" s="6">
        <f>COUNTIFS(Table69[Country],Tabela1[[#This Row],[Country]],Table69[Omnium Classification],"&gt;0")</f>
        <v>0</v>
      </c>
      <c r="DZ136" s="6">
        <f>COUNTIFS(Table41[Country],Tabela1[[#This Row],[Country]],Table41[Omnium Classification],"&gt;0")</f>
        <v>0</v>
      </c>
      <c r="EA136" s="6">
        <f>COUNTIFS(Table9[Country],Tabela1[[#This Row],[Country]],Table9[Road Race Classification],"&gt;0")</f>
        <v>0</v>
      </c>
      <c r="EB136" s="6">
        <f>COUNTIFS(Table14[Country],Tabela1[[#This Row],[Country]],Table14[Road Race Classification],"&gt;0")</f>
        <v>0</v>
      </c>
      <c r="EC136" s="6">
        <f>COUNTIFS(Table69[Country],Tabela1[[#This Row],[Country]],Table69[Sprint Classification],"&gt;0")</f>
        <v>0</v>
      </c>
      <c r="ED136" s="6">
        <f>COUNTIFS(Table41[Country],Tabela1[[#This Row],[Country]],Table41[Sprint Classification],"&gt;0")</f>
        <v>0</v>
      </c>
      <c r="EE136" s="6">
        <f>COUNTIFS(Table85[Country],Tabela1[[#This Row],[Country]],Table85[Men''s Sprint Classification],"&gt;0")</f>
        <v>0</v>
      </c>
      <c r="EF136" s="6">
        <f>COUNTIFS(Table85[Country],Tabela1[[#This Row],[Country]],Table85[Women''s Sprint Classification],"&gt;0")</f>
        <v>0</v>
      </c>
      <c r="EG136" s="6">
        <f>COUNTIFS(Table85[Country],Tabela1[[#This Row],[Country]],Table85[Men''s Pursuit Classification],"&gt;0")</f>
        <v>0</v>
      </c>
      <c r="EH136" s="6">
        <f>COUNTIFS(Table85[Country],Tabela1[[#This Row],[Country]],Table85[Women''s Pursuit Classification],"&gt;0")</f>
        <v>0</v>
      </c>
      <c r="EI136" s="6">
        <f>COUNTIFS(Table9[Country],Tabela1[[#This Row],[Country]],Table9[Time-Trial Classification],"&gt;0")</f>
        <v>0</v>
      </c>
      <c r="EJ136" s="6">
        <f>COUNTIFS(Table14[Country],Tabela1[[#This Row],[Country]],Table14[Time-Trial Classification],"&gt;0")</f>
        <v>0</v>
      </c>
      <c r="EK136" s="6">
        <f>COUNTIFS(Table42[Country],Tabela1[[#This Row],[Country]],Table42[Springboard Classification],"&gt;0")</f>
        <v>0</v>
      </c>
      <c r="EL136" s="6">
        <f>COUNTIFS(Table43[Country],Tabela1[[#This Row],[Country]],Table43[Springboard Classification],"&gt;0")</f>
        <v>0</v>
      </c>
      <c r="EM136" s="6">
        <f>COUNTIFS(Table42[Country],Tabela1[[#This Row],[Country]],Table42[Platform Classification],"&gt;0")</f>
        <v>0</v>
      </c>
      <c r="EN136" s="6">
        <f>COUNTIFS(Table43[Country],Tabela1[[#This Row],[Country]],Table43[Platform Classification],"&gt;0")</f>
        <v>0</v>
      </c>
      <c r="EO136" s="6">
        <f>COUNTIFS(Table86[Country],Tabela1[[#This Row],[Country]],Table86[Men''s Synchronized Springboard Classification],"&gt;0")</f>
        <v>0</v>
      </c>
      <c r="EP136" s="6">
        <f>COUNTIFS(Table86[Country],Tabela1[[#This Row],[Country]],Table86[Women''s Synchronized Springboard Classification],"&gt;0")</f>
        <v>0</v>
      </c>
      <c r="EQ136" s="6">
        <f>COUNTIFS(Table86[Country],Tabela1[[#This Row],[Country]],Table86[Men''s Synchronized Platform Classification],"&gt;0")</f>
        <v>0</v>
      </c>
      <c r="ER136" s="6">
        <f>COUNTIFS(Table86[Country],Tabela1[[#This Row],[Country]],Table86[Women''s Synchronized Platform Classification],"&gt;0")</f>
        <v>0</v>
      </c>
      <c r="ES136" s="6">
        <f>COUNTIFS(Table44[Country],Tabela1[[#This Row],[Country]],Table44[Dressage Classification],"&gt;0")</f>
        <v>0</v>
      </c>
      <c r="ET136" s="6">
        <f>COUNTIFS(Table45[Country],Tabela1[[#This Row],[Country]],Table45[Dressage Classification],"&gt;0")</f>
        <v>0</v>
      </c>
      <c r="EU136" s="6">
        <f>COUNTIFS(Table44[Country],Tabela1[[#This Row],[Country]],Table44[Eventing Classification],"&gt;0")</f>
        <v>0</v>
      </c>
      <c r="EV136" s="6">
        <f>COUNTIFS(Table45[Country],Tabela1[[#This Row],[Country]],Table45[Eventing Classification],"&gt;0")</f>
        <v>0</v>
      </c>
      <c r="EW136" s="6">
        <f>COUNTIFS(Table44[Country],Tabela1[[#This Row],[Country]],Table44[Jumping Classification],"&gt;0")</f>
        <v>0</v>
      </c>
      <c r="EX136" s="6">
        <f>COUNTIFS(Table45[Country],Tabela1[[#This Row],[Country]],Table45[Jumping Classification],"&gt;0")</f>
        <v>0</v>
      </c>
      <c r="EY136" s="6">
        <f>COUNTIFS(Table10[Country],Tabela1[[#This Row],[Country]],Table10[Épée Classification],"&gt;0")</f>
        <v>0</v>
      </c>
      <c r="EZ136" s="6">
        <f>COUNTIFS(Table11[Country],Tabela1[[#This Row],[Country]],Table11[Épée Classification],"&gt;0")</f>
        <v>0</v>
      </c>
      <c r="FA136" s="6">
        <f>COUNTIFS(Table46[Country],Tabela1[[#This Row],[Country]],Table46[Men''s Épée Classification],"&gt;0")</f>
        <v>0</v>
      </c>
      <c r="FB136" s="6">
        <f>COUNTIFS(Table46[Country],Tabela1[[#This Row],[Country]],Table46[Women''s Épée Classification],"&gt;0")</f>
        <v>0</v>
      </c>
      <c r="FC136" s="6">
        <f>COUNTIFS(Table10[Country],Tabela1[[#This Row],[Country]],Table10[Foil Classification],"&gt;0")</f>
        <v>0</v>
      </c>
      <c r="FD136" s="6">
        <f>COUNTIFS(Table11[Country],Tabela1[[#This Row],[Country]],Table11[Foil Classification],"&gt;0")</f>
        <v>0</v>
      </c>
      <c r="FE136" s="6">
        <f>COUNTIFS(Table46[Country],Tabela1[[#This Row],[Country]],Table46[Men''s Foil Classification],"&gt;0")</f>
        <v>0</v>
      </c>
      <c r="FF136" s="6">
        <f>COUNTIFS(Table46[Country],Tabela1[[#This Row],[Country]],Table46[Women''s Foil Classification],"&gt;0")</f>
        <v>0</v>
      </c>
      <c r="FG136" s="6">
        <f>COUNTIFS(Table10[Country],Tabela1[[#This Row],[Country]],Table10[Sabre Classification],"&gt;0")</f>
        <v>0</v>
      </c>
      <c r="FH136" s="6">
        <f>COUNTIFS(Table11[Country],Tabela1[[#This Row],[Country]],Table11[Sabre Classification],"&gt;0")</f>
        <v>0</v>
      </c>
      <c r="FI136" s="6">
        <f>COUNTIFS(Table46[Country],Tabela1[[#This Row],[Country]],Table46[Men''s Sabre Classification],"&gt;0")</f>
        <v>0</v>
      </c>
      <c r="FJ136" s="6">
        <f>COUNTIFS(Table46[Country],Tabela1[[#This Row],[Country]],Table46[Women''s Sabre Classification],"&gt;0")</f>
        <v>0</v>
      </c>
      <c r="FK136" s="6">
        <f>COUNTIFS(Table91[Country],Tabela1[[#This Row],[Country]],Table91[Men''s Classification],"&gt;0")</f>
        <v>0</v>
      </c>
      <c r="FL136" s="6">
        <f>COUNTIFS(Table91[Country],Tabela1[[#This Row],[Country]],Table91[Women''s Classification],"&gt;0")</f>
        <v>0</v>
      </c>
      <c r="FM136" s="6">
        <f>COUNTIFS(Table9194[Country],Tabela1[[#This Row],[Country]],Table9194[Men''s Classification],"&gt;0")</f>
        <v>0</v>
      </c>
      <c r="FN136" s="6">
        <f>COUNTIFS(Table9194[Country],Tabela1[[#This Row],[Country]],Table9194[Women''s Classification],"&gt;0")</f>
        <v>0</v>
      </c>
      <c r="FO136" s="6">
        <f>COUNTIFS(Table71[Country],Tabela1[[#This Row],[Country]],Table71[Classification],"&gt;0")</f>
        <v>0</v>
      </c>
      <c r="FP136" s="6">
        <f>COUNTIFS(Table62[Country],Tabela1[[#This Row],[Country]],Table62[Classification],"&gt;0")</f>
        <v>0</v>
      </c>
      <c r="FQ136" s="6">
        <f>COUNTIFS(Table47[Country],Tabela1[[#This Row],[Country]],Table47[All-Around Classification],"&gt;0")</f>
        <v>0</v>
      </c>
      <c r="FR136" s="6">
        <f>COUNTIFS(Table48[Country],Tabela1[[#This Row],[Country]],Table48[All-Around Classification],"&gt;0")</f>
        <v>0</v>
      </c>
      <c r="FS136" s="6">
        <f>COUNTIFS(Table81[Country],Tabela1[[#This Row],[Country]],Table81[Men''s All-Around Classification],"&gt;0")</f>
        <v>0</v>
      </c>
      <c r="FT136" s="6">
        <f>COUNTIFS(Table81[Country],Tabela1[[#This Row],[Country]],Table81[Women''s All-Around Classification],"&gt;0")</f>
        <v>0</v>
      </c>
      <c r="FU136" s="6">
        <f>COUNTIFS(Table48[Country],Tabela1[[#This Row],[Country]],Table48[Balance Beam Classification],"&gt;0")</f>
        <v>0</v>
      </c>
      <c r="FV136" s="6">
        <f>COUNTIFS(Table47[Country],Tabela1[[#This Row],[Country]],Table47[Floor Exercise Classification],"&gt;0")</f>
        <v>0</v>
      </c>
      <c r="FW136" s="6">
        <f>COUNTIFS(Table48[Country],Tabela1[[#This Row],[Country]],Table48[Floor Exercise Classification],"&gt;0")</f>
        <v>0</v>
      </c>
      <c r="FX136" s="6">
        <f>COUNTIFS(Table47[Country],Tabela1[[#This Row],[Country]],Table47[Horizontal Bar Classification],"&gt;0")</f>
        <v>0</v>
      </c>
      <c r="FY136" s="6">
        <f>COUNTIFS(Table47[Country],Tabela1[[#This Row],[Country]],Table47[Parallel Bars Classification],"&gt;0")</f>
        <v>0</v>
      </c>
      <c r="FZ136" s="6">
        <f>COUNTIFS(Table47[Country],Tabela1[[#This Row],[Country]],Table47[Pommel Horse Classification],"&gt;0")</f>
        <v>0</v>
      </c>
      <c r="GA136" s="6">
        <f>COUNTIFS(Table47[Country],Tabela1[[#This Row],[Country]],Table47[Rings Classification],"&gt;0")</f>
        <v>0</v>
      </c>
      <c r="GB136" s="6">
        <f>COUNTIFS(Tabela132[Country],Tabela1[[#This Row],[Country]],Tabela132[Classification],"&gt;0")</f>
        <v>0</v>
      </c>
      <c r="GC136" s="6">
        <f>COUNTIFS(Tabela139[Country],Tabela1[[#This Row],[Country]],Tabela139[Classification],"&gt;0")</f>
        <v>0</v>
      </c>
      <c r="GD136" s="6">
        <f>COUNTIFS(Table48[Country],Tabela1[[#This Row],[Country]],Table48[Uneven Bars Classification],"&gt;0")</f>
        <v>0</v>
      </c>
      <c r="GE136" s="6">
        <f>COUNTIFS(Table47[Country],Tabela1[[#This Row],[Country]],Table47[Vault Classification],"&gt;0")</f>
        <v>0</v>
      </c>
      <c r="GF136" s="6">
        <f>COUNTIFS(Table48[Country],Tabela1[[#This Row],[Country]],Table48[Vault Classification],"&gt;0")</f>
        <v>0</v>
      </c>
      <c r="GG136" s="6">
        <f>COUNTIFS(Table919496[Country],Tabela1[[#This Row],[Country]],Table919496[Men''s Classification],"&gt;0")</f>
        <v>0</v>
      </c>
      <c r="GH136" s="6">
        <f>COUNTIFS(Table919496[Country],Tabela1[[#This Row],[Country]],Table919496[Women''s Classification],"&gt;0")</f>
        <v>0</v>
      </c>
      <c r="GI136" s="6">
        <f>COUNTIFS(Table12[Country],Tabela1[[#This Row],[Country]],Table12[60kg Classification],"&gt;0")</f>
        <v>0</v>
      </c>
      <c r="GJ136" s="6">
        <f>COUNTIFS(Table12[Country],Tabela1[[#This Row],[Country]],Table12[66kg Classification],"&gt;0")</f>
        <v>0</v>
      </c>
      <c r="GK136" s="6">
        <f>COUNTIFS(Table12[Country],Tabela1[[#This Row],[Country]],Table12[73kg Classification],"&gt;0")</f>
        <v>0</v>
      </c>
      <c r="GL136" s="6">
        <f>COUNTIFS(Table12[Country],Tabela1[[#This Row],[Country]],Table12[81kg Classification],"&gt;0")</f>
        <v>0</v>
      </c>
      <c r="GM136" s="6">
        <f>COUNTIFS(Table12[Country],Tabela1[[#This Row],[Country]],Table12[90kg Classification],"&gt;0")</f>
        <v>0</v>
      </c>
      <c r="GN136" s="6">
        <f>COUNTIFS(Table12[Country],Tabela1[[#This Row],[Country]],Table12[100kg Classification],"&gt;0")</f>
        <v>0</v>
      </c>
      <c r="GO136" s="6">
        <f>COUNTIFS(Table12[Country],Tabela1[[#This Row],[Country]],Table12[Plus 100kg Classification],"&gt;0")</f>
        <v>0</v>
      </c>
      <c r="GP136" s="6">
        <f>COUNTIFS(Table13[Country],Tabela1[[#This Row],[Country]],Table13[48kg Classification],"&gt;0")</f>
        <v>0</v>
      </c>
      <c r="GQ136" s="6">
        <f>COUNTIFS(Table13[Country],Tabela1[[#This Row],[Country]],Table13[52kg Classification],"&gt;0")</f>
        <v>0</v>
      </c>
      <c r="GR136" s="6">
        <f>COUNTIFS(Table13[Country],Tabela1[[#This Row],[Country]],Table13[57kg Classification],"&gt;0")</f>
        <v>0</v>
      </c>
      <c r="GS136" s="6">
        <f>COUNTIFS(Table13[Country],Tabela1[[#This Row],[Country]],Table13[63kg Classification],"&gt;0")</f>
        <v>0</v>
      </c>
      <c r="GT136" s="6">
        <f>COUNTIFS(Table13[Country],Tabela1[[#This Row],[Country]],Table13[70kg Classification],"&gt;0")</f>
        <v>0</v>
      </c>
      <c r="GU136" s="6">
        <f>COUNTIFS(Table13[Country],Tabela1[[#This Row],[Country]],Table13[78kg Classification],"&gt;0")</f>
        <v>0</v>
      </c>
      <c r="GV136" s="6">
        <f>COUNTIFS(Table13[Country],Tabela1[[#This Row],[Country]],Table13[Plus 78kg Classification],"&gt;0")</f>
        <v>0</v>
      </c>
      <c r="GW136" s="6">
        <f>COUNTIFS(Table82[Country],Tabela1[[#This Row],[Country]],Table82[Mixed Classification],"&gt;0")</f>
        <v>0</v>
      </c>
      <c r="GX136" s="6">
        <f>COUNTIFS(Table51[Country],Tabela1[[#This Row],[Country]],Table51[Classification],"&gt;0")</f>
        <v>0</v>
      </c>
      <c r="GY136" s="6">
        <f>COUNTIFS(Table52[Country],Tabela1[[#This Row],[Country]],Table52[Classification],"&gt;0")</f>
        <v>0</v>
      </c>
      <c r="GZ136" s="6">
        <f>COUNTIFS(Table32[Country],Tabela1[[#This Row],[Country]],Table32[All-Around Classification],"&gt;0")</f>
        <v>0</v>
      </c>
      <c r="HA136" s="6">
        <f>COUNTIFS(Table49[Country],Tabela1[[#This Row],[Country]],Table49[All-Around Classification],"&gt;0")</f>
        <v>0</v>
      </c>
      <c r="HB136" s="6">
        <f>COUNTIFS(Table26[Country],Tabela1[[#This Row],[Country]],Table26[Single Sculls Classification],"&gt;0")</f>
        <v>0</v>
      </c>
      <c r="HC136" s="6">
        <f>COUNTIFS(Table63[Country],Tabela1[[#This Row],[Country]],Table63[Single Sculls Classification],"&gt;0")</f>
        <v>0</v>
      </c>
      <c r="HD136" s="6">
        <f>COUNTIFS(Table16[Country],Tabela1[[#This Row],[Country]],Table16[Men''s Double Sculls Classification],"&gt;0")</f>
        <v>0</v>
      </c>
      <c r="HE136" s="6">
        <f>COUNTIFS(Table16[Country],Tabela1[[#This Row],[Country]],Table16[Women''s Double Sculls Classification],"&gt;0")</f>
        <v>0</v>
      </c>
      <c r="HF136" s="6">
        <f>COUNTIFS(Table72[Country],Tabela1[[#This Row],[Country]],Table72[Men''s Quadruple Sculls Classification],"&gt;0")</f>
        <v>0</v>
      </c>
      <c r="HG136" s="6">
        <f>COUNTIFS(Table72[Country],Tabela1[[#This Row],[Country]],Table72[Women''s Quadruple Sculls Classification],"&gt;0")</f>
        <v>0</v>
      </c>
      <c r="HH136" s="6">
        <f>COUNTIFS(Table16[Country],Tabela1[[#This Row],[Country]],Table16[Men''s Coxless Pairs Classification],"&gt;0")</f>
        <v>0</v>
      </c>
      <c r="HI136" s="6">
        <f>COUNTIFS(Table16[Country],Tabela1[[#This Row],[Country]],Table16[Women''s Coxless Pairs Classification],"&gt;0")</f>
        <v>0</v>
      </c>
      <c r="HJ136" s="6">
        <f>COUNTIFS(Table72[Country],Tabela1[[#This Row],[Country]],Table72[Men''s Coxless Fours Classification],"&gt;0")</f>
        <v>0</v>
      </c>
      <c r="HK136" s="6">
        <f>COUNTIFS(Table72[Country],Tabela1[[#This Row],[Country]],Table72[Women''s Coxless Fours Classification],"&gt;0")</f>
        <v>0</v>
      </c>
      <c r="HL136" s="6">
        <f>COUNTIFS(Table72[Country],Tabela1[[#This Row],[Country]],Table72[Men''s Eights Classification],"&gt;0")</f>
        <v>0</v>
      </c>
      <c r="HM136" s="6">
        <f>COUNTIFS(Table72[Country],Tabela1[[#This Row],[Country]],Table72[Women''s Eights Classification],"&gt;0")</f>
        <v>0</v>
      </c>
      <c r="HN136" s="6">
        <f>COUNTIFS(Table16[Country],Tabela1[[#This Row],[Country]],Table16[Men''s Lwt. Double Sculls Classification],"&gt;0")</f>
        <v>0</v>
      </c>
      <c r="HO136" s="6">
        <f>COUNTIFS(Table16[Country],Tabela1[[#This Row],[Country]],Table16[Women''s Lwt. Double Sculls Classification],"&gt;0")</f>
        <v>0</v>
      </c>
      <c r="HP136" s="6">
        <f>COUNTIFS(Table91949698[Country],Tabela1[[#This Row],[Country]],Table91949698[Men''s Classification],"&gt;0")</f>
        <v>0</v>
      </c>
      <c r="HQ136" s="6">
        <f>COUNTIFS(Table91949698[Country],Tabela1[[#This Row],[Country]],Table91949698[Women''s Classification],"&gt;0")</f>
        <v>0</v>
      </c>
      <c r="HR136" s="6">
        <f>COUNTIFS(Table25[Country],Tabela1[[#This Row],[Country]],Table25[Mixed 470 Classification],"&gt;0")</f>
        <v>0</v>
      </c>
      <c r="HS136" s="6">
        <f>COUNTIFS(Table25[Country],Tabela1[[#This Row],[Country]],Table25[Men''s 49er Classification],"&gt;0")</f>
        <v>0</v>
      </c>
      <c r="HT136" s="6">
        <f>COUNTIFS(Table25[Country],Tabela1[[#This Row],[Country]],Table25[Women''s 49er FX Classification],"&gt;0")</f>
        <v>0</v>
      </c>
      <c r="HU136" s="6">
        <f>COUNTIFS(Table17[Country],Tabela1[[#This Row],[Country]],Table17[Formula Kite Classification],"&gt;0")</f>
        <v>0</v>
      </c>
      <c r="HV136" s="6">
        <f>COUNTIFS(Table18[Country],Tabela1[[#This Row],[Country]],Table18[Formula Kite Classification],"&gt;0")</f>
        <v>0</v>
      </c>
      <c r="HW136" s="6">
        <f>COUNTIFS(Table17[Country],Tabela1[[#This Row],[Country]],Table17[ILCA 7 Classification],"&gt;0")</f>
        <v>0</v>
      </c>
      <c r="HX136" s="6">
        <f>COUNTIFS(Table18[Country],Tabela1[[#This Row],[Country]],Table18[ILCA 6 Classification],"&gt;0")</f>
        <v>0</v>
      </c>
      <c r="HY136" s="6">
        <f>COUNTIFS(Table17[Country],Tabela1[[#This Row],[Country]],Table17[IQFoil Classification],"&gt;0")</f>
        <v>0</v>
      </c>
      <c r="HZ136" s="6">
        <f>COUNTIFS(Table18[Country],Tabela1[[#This Row],[Country]],Table18[IQFoil Classification],"&gt;0")</f>
        <v>0</v>
      </c>
      <c r="IA136" s="6">
        <f>COUNTIFS(Table25[Country],Tabela1[[#This Row],[Country]],Table25[Mixed Nacra 17 Classification],"&gt;0")</f>
        <v>0</v>
      </c>
      <c r="IB136" s="6">
        <f>COUNTIFS(Table53[Country],Tabela1[[#This Row],[Country]],Table53[10m Air Pistol Classification],"&gt;0")</f>
        <v>0</v>
      </c>
      <c r="IC136" s="6">
        <f>COUNTIFS(Table19[Country],Tabela1[[#This Row],[Country]],Table19[10m Air Pistol Classification],"&gt;0")</f>
        <v>0</v>
      </c>
      <c r="ID136" s="6">
        <f>COUNTIFS(Table54[Country],Tabela1[[#This Row],[Country]],Table54[Mixed 10m Air Pistol Team Classification],"&gt;0")</f>
        <v>0</v>
      </c>
      <c r="IE136" s="6">
        <f>COUNTIFS(Table53[Country],Tabela1[[#This Row],[Country]],Table53[10m Air Rifle Classification],"&gt;0")</f>
        <v>0</v>
      </c>
      <c r="IF136" s="6">
        <f>COUNTIFS(Table19[Country],Tabela1[[#This Row],[Country]],Table19[10m Air Rifle Classification],"&gt;0")</f>
        <v>0</v>
      </c>
      <c r="IG136" s="6">
        <f>COUNTIFS(Table54[Country],Tabela1[[#This Row],[Country]],Table54[Mixed 10m Air Rifle Team Classification],"&gt;0")</f>
        <v>0</v>
      </c>
      <c r="IH136" s="6">
        <f>COUNTIFS(Table53[Country],Tabela1[[#This Row],[Country]],Table53[25m Rapid Fire Pistol Classification],"&gt;0")</f>
        <v>0</v>
      </c>
      <c r="II136" s="6">
        <f>COUNTIFS(Table19[Country],Tabela1[[#This Row],[Country]],Table19[25m Pistol Classification],"&gt;0")</f>
        <v>0</v>
      </c>
      <c r="IJ136" s="6">
        <f>COUNTIFS(Table53[Country],Tabela1[[#This Row],[Country]],Table53[50m Rifle 3 Positions Classification],"&gt;0")</f>
        <v>0</v>
      </c>
      <c r="IK136" s="6">
        <f>COUNTIFS(Table19[Country],Tabela1[[#This Row],[Country]],Table19[50m Rifle 3 Positions Classification],"&gt;0")</f>
        <v>0</v>
      </c>
      <c r="IL136" s="6">
        <f>COUNTIFS(Table53[Country],Tabela1[[#This Row],[Country]],Table53[Skeet Classification],"&gt;0")</f>
        <v>0</v>
      </c>
      <c r="IM136" s="6">
        <f>COUNTIFS(Table19[Country],Tabela1[[#This Row],[Country]],Table19[Skeet Classification],"&gt;0")</f>
        <v>0</v>
      </c>
      <c r="IN136" s="6">
        <f>COUNTIFS(Table54[Country],Tabela1[[#This Row],[Country]],Table54[Mixed Skeet Team Classification],"&gt;0")</f>
        <v>0</v>
      </c>
      <c r="IO136" s="6">
        <f>COUNTIFS(Table53[Country],Tabela1[[#This Row],[Country]],Table53[Trap Classification],"&gt;0")</f>
        <v>0</v>
      </c>
      <c r="IP136" s="6">
        <f>COUNTIFS(Table19[Country],Tabela1[[#This Row],[Country]],Table19[Trap Classification],"&gt;0")</f>
        <v>0</v>
      </c>
      <c r="IQ136" s="6">
        <f>COUNTIFS(Table73[Country],Tabela1[[#This Row],[Country]],Table73[Park Classification],"&gt;0")</f>
        <v>0</v>
      </c>
      <c r="IR136" s="6">
        <f>COUNTIFS(Table74[Country],Tabela1[[#This Row],[Country]],Table74[Park Classification],"&gt;0")</f>
        <v>0</v>
      </c>
      <c r="IS136" s="6">
        <f>COUNTIFS(Table73[Country],Tabela1[[#This Row],[Country]],Table73[Street Classification],"&gt;0")</f>
        <v>0</v>
      </c>
      <c r="IT136" s="6">
        <f>COUNTIFS(Table74[Country],Tabela1[[#This Row],[Country]],Table74[Street Classification],"&gt;0")</f>
        <v>0</v>
      </c>
      <c r="IU136" s="6">
        <f>COUNTIFS(Table75[Country],Tabela1[[#This Row],[Country]],Table75[Boulder and Lead Classification],"&gt;0")</f>
        <v>0</v>
      </c>
      <c r="IV136" s="6">
        <f>COUNTIFS(Table76[Country],Tabela1[[#This Row],[Country]],Table76[Boulder and Lead Classification],"&gt;0")</f>
        <v>0</v>
      </c>
      <c r="IW136" s="6">
        <f>COUNTIFS(Table75[Country],Tabela1[[#This Row],[Country]],Table75[Speed Classification],"&gt;0")</f>
        <v>0</v>
      </c>
      <c r="IX136" s="6">
        <f>COUNTIFS(Table76[Country],Tabela1[[#This Row],[Country]],Table76[Speed Classification],"&gt;0")</f>
        <v>0</v>
      </c>
      <c r="IY136" s="6">
        <f>COUNTIFS(Table64[Country],Tabela1[[#This Row],[Country]],Table64[Shortboard Classification],"&gt;0")</f>
        <v>0</v>
      </c>
      <c r="IZ136" s="6">
        <f>COUNTIFS(Table77[Country],Tabela1[[#This Row],[Country]],Table77[Shortboard Classification],"&gt;0")</f>
        <v>0</v>
      </c>
      <c r="JA136" s="6">
        <f>COUNTIFS(Table20[Country],Tabela1[[#This Row],[Country]],Table20[50m Freestyle Classification],"&gt;0")</f>
        <v>0</v>
      </c>
      <c r="JB136" s="6">
        <f>COUNTIFS(Table21[Country],Tabela1[[#This Row],[Country]],Table21[50m Freestyle Classification],"&gt;0")</f>
        <v>0</v>
      </c>
      <c r="JC136" s="6">
        <f>COUNTIFS(Table20[Country],Tabela1[[#This Row],[Country]],Table20[100m Freestyle Classification],"&gt;0")</f>
        <v>0</v>
      </c>
      <c r="JD136" s="6">
        <f>COUNTIFS(Table21[Country],Tabela1[[#This Row],[Country]],Table21[100m Freestyle Classification],"&gt;0")</f>
        <v>0</v>
      </c>
      <c r="JE136" s="6">
        <f>COUNTIFS(Table20[Country],Tabela1[[#This Row],[Country]],Table20[200m Freestyle Classification],"&gt;0")</f>
        <v>0</v>
      </c>
      <c r="JF136" s="6">
        <f>COUNTIFS(Table21[Country],Tabela1[[#This Row],[Country]],Table21[200m Freestyle Classification],"&gt;0")</f>
        <v>0</v>
      </c>
      <c r="JG136" s="6">
        <f>COUNTIFS(Table20[Country],Tabela1[[#This Row],[Country]],Table20[400m Freestyle Classification],"&gt;0")</f>
        <v>0</v>
      </c>
      <c r="JH136" s="6">
        <f>COUNTIFS(Table21[Country],Tabela1[[#This Row],[Country]],Table21[400m Freestyle Classification],"&gt;0")</f>
        <v>0</v>
      </c>
      <c r="JI136" s="6">
        <f>COUNTIFS(Table20[Country],Tabela1[[#This Row],[Country]],Table20[800m Freestyle Classification],"&gt;0")</f>
        <v>0</v>
      </c>
      <c r="JJ136" s="6">
        <f>COUNTIFS(Table21[Country],Tabela1[[#This Row],[Country]],Table21[800m Freestyle Classification],"&gt;0")</f>
        <v>0</v>
      </c>
      <c r="JK136" s="6">
        <f>COUNTIFS(Table20[Country],Tabela1[[#This Row],[Country]],Table20[1500m Freestyle Classification],"&gt;0")</f>
        <v>0</v>
      </c>
      <c r="JL136" s="6">
        <f>COUNTIFS(Table21[Country],Tabela1[[#This Row],[Country]],Table21[1500m Freestyle Classification],"&gt;0")</f>
        <v>0</v>
      </c>
      <c r="JM136" s="6">
        <f>COUNTIFS(Table20[Country],Tabela1[[#This Row],[Country]],Table20[100m Backstroke Classification],"&gt;0")</f>
        <v>0</v>
      </c>
      <c r="JN136" s="6">
        <f>COUNTIFS(Table21[Country],Tabela1[[#This Row],[Country]],Table21[100m Backstroke Classification],"&gt;0")</f>
        <v>0</v>
      </c>
      <c r="JO136" s="6">
        <f>COUNTIFS(Table20[Country],Tabela1[[#This Row],[Country]],Table20[200m Backstroke Classification],"&gt;0")</f>
        <v>0</v>
      </c>
      <c r="JP136" s="6">
        <f>COUNTIFS(Table21[Country],Tabela1[[#This Row],[Country]],Table21[200m Backstroke Classification],"&gt;0")</f>
        <v>0</v>
      </c>
      <c r="JQ136" s="6">
        <f>COUNTIFS(Table20[Country],Tabela1[[#This Row],[Country]],Table20[100m Breaststroke Classification],"&gt;0")</f>
        <v>0</v>
      </c>
      <c r="JR136" s="6">
        <f>COUNTIFS(Table21[Country],Tabela1[[#This Row],[Country]],Table21[100m Breaststroke Classification],"&gt;0")</f>
        <v>0</v>
      </c>
      <c r="JS136" s="6">
        <f>COUNTIFS(Table20[Country],Tabela1[[#This Row],[Country]],Table20[200m Breaststroke Classification],"&gt;0")</f>
        <v>0</v>
      </c>
      <c r="JT136" s="6">
        <f>COUNTIFS(Table21[Country],Tabela1[[#This Row],[Country]],Table21[200m Breaststroke Classification],"&gt;0")</f>
        <v>0</v>
      </c>
      <c r="JU136" s="6">
        <f>COUNTIFS(Table20[Country],Tabela1[[#This Row],[Country]],Table20[100m Butterfly Classification],"&gt;0")</f>
        <v>0</v>
      </c>
      <c r="JV136" s="6">
        <f>COUNTIFS(Table21[Country],Tabela1[[#This Row],[Country]],Table21[100m Butterfly Classification],"&gt;0")</f>
        <v>0</v>
      </c>
      <c r="JW136" s="6">
        <f>COUNTIFS(Table20[Country],Tabela1[[#This Row],[Country]],Table20[200m Butterfly Classification],"&gt;0")</f>
        <v>0</v>
      </c>
      <c r="JX136" s="6">
        <f>COUNTIFS(Table21[Country],Tabela1[[#This Row],[Country]],Table21[200m Butterfly Classification],"&gt;0")</f>
        <v>0</v>
      </c>
      <c r="JY136" s="6">
        <f>COUNTIFS(Table20[Country],Tabela1[[#This Row],[Country]],Table20[200m Medley Classification],"&gt;0")</f>
        <v>0</v>
      </c>
      <c r="JZ136" s="6">
        <f>COUNTIFS(Table21[Country],Tabela1[[#This Row],[Country]],Table21[200m Medley Classification],"&gt;0")</f>
        <v>0</v>
      </c>
      <c r="KA136" s="6">
        <f>COUNTIFS(Table20[Country],Tabela1[[#This Row],[Country]],Table20[400m Medley Classification],"&gt;0")</f>
        <v>0</v>
      </c>
      <c r="KB136" s="6">
        <f>COUNTIFS(Table21[Country],Tabela1[[#This Row],[Country]],Table21[400m Medley Classification],"&gt;0")</f>
        <v>0</v>
      </c>
      <c r="KC136" s="6">
        <f>COUNTIFS(Table78[Country],Tabela1[[#This Row],[Country]],Table78[Men''s 4x100m Freestyle Relay Classification],"&gt;0")</f>
        <v>0</v>
      </c>
      <c r="KD136" s="6">
        <f>COUNTIFS(Table78[Country],Tabela1[[#This Row],[Country]],Table78[Women''s 4x100m Freestyle Relay Classification],"&gt;0")</f>
        <v>0</v>
      </c>
      <c r="KE136" s="6">
        <f>COUNTIFS(Table78[Country],Tabela1[[#This Row],[Country]],Table78[Men''s 4x200m Freestyle Relay Classification],"&gt;0")</f>
        <v>0</v>
      </c>
      <c r="KF136" s="6">
        <f>COUNTIFS(Table78[Country],Tabela1[[#This Row],[Country]],Table78[Women''s 4x200m Freestyle Relay Classification],"&gt;0")</f>
        <v>0</v>
      </c>
      <c r="KG136" s="6">
        <f>COUNTIFS(Table78[Country],Tabela1[[#This Row],[Country]],Table78[Men''s 4x100m Medley Relay Classification],"&gt;0")</f>
        <v>0</v>
      </c>
      <c r="KH136" s="6">
        <f>COUNTIFS(Table78[Country],Tabela1[[#This Row],[Country]],Table78[Women''s 4x100m Medley Relay Classification],"&gt;0")</f>
        <v>0</v>
      </c>
      <c r="KI136" s="6">
        <f>COUNTIFS(Table78[Country],Tabela1[[#This Row],[Country]],Table78[Mixed 4x100m Medley Relay Classification],"&gt;0")</f>
        <v>0</v>
      </c>
      <c r="KJ136" s="6">
        <f>COUNTIFS(Table20[Country],Tabela1[[#This Row],[Country]],Table20[10km Open Water Classification],"&gt;0")</f>
        <v>0</v>
      </c>
      <c r="KK136" s="6">
        <f>COUNTIFS(Table21[Country],Tabela1[[#This Row],[Country]],Table21[10km Open Water Classification],"&gt;0")</f>
        <v>0</v>
      </c>
      <c r="KL136" s="6">
        <f>COUNTIFS(Table22[Country],Tabela1[[#This Row],[Country]],Table22[Classification],"&gt;0")</f>
        <v>0</v>
      </c>
      <c r="KM136" s="6">
        <f>COUNTIFS(Table30[Country],Tabela1[[#This Row],[Country]],Table30[Classification],"&gt;0")</f>
        <v>0</v>
      </c>
      <c r="KN136" s="6">
        <f>COUNTIFS(Table55[Country],Tabela1[[#This Row],[Country]],Table55[Men''s Classification],"&gt;0")</f>
        <v>0</v>
      </c>
      <c r="KO136" s="6">
        <f>COUNTIFS(Table55[Country],Tabela1[[#This Row],[Country]],Table55[Women''s Classification],"&gt;0")</f>
        <v>0</v>
      </c>
      <c r="KP136" s="6">
        <f>COUNTIFS(Table56[Country],Tabela1[[#This Row],[Country]],Table56[Mixed Classification],"&gt;0")</f>
        <v>0</v>
      </c>
      <c r="KQ136" s="6">
        <f>COUNTIFS(Table29[Country],Tabela1[[#This Row],[Country]],Table29[58kg Classification],"&gt;0")</f>
        <v>0</v>
      </c>
      <c r="KR136" s="6">
        <f>COUNTIFS(Table29[Country],Tabela1[[#This Row],[Country]],Table29[68kg Classification],"&gt;0")</f>
        <v>0</v>
      </c>
      <c r="KS136" s="6">
        <f>COUNTIFS(Table29[Country],Tabela1[[#This Row],[Country]],Table29[80kg Classification],"&gt;0")</f>
        <v>0</v>
      </c>
      <c r="KT136" s="6">
        <f>COUNTIFS(Table29[Country],Tabela1[[#This Row],[Country]],Table29[Plus 80kg Classification],"&gt;0")</f>
        <v>0</v>
      </c>
      <c r="KU136" s="6">
        <f>COUNTIFS(Table34[Country],Tabela1[[#This Row],[Country]],Table34[49kg Classification],"&gt;0")</f>
        <v>0</v>
      </c>
      <c r="KV136" s="6">
        <f>COUNTIFS(Table34[Country],Tabela1[[#This Row],[Country]],Table34[57kg Classification],"&gt;0")</f>
        <v>0</v>
      </c>
      <c r="KW136" s="6">
        <f>COUNTIFS(Table34[Country],Tabela1[[#This Row],[Country]],Table34[67kg Classification],"&gt;0")</f>
        <v>0</v>
      </c>
      <c r="KX136" s="6">
        <f>COUNTIFS(Table34[Country],Tabela1[[#This Row],[Country]],Table34[Plus 67kg Classification],"&gt;0")</f>
        <v>0</v>
      </c>
      <c r="KY136" s="6">
        <f>COUNTIFS(Table57[Country],Tabela1[[#This Row],[Country]],Table57[Classification],"&gt;0")</f>
        <v>0</v>
      </c>
      <c r="KZ136" s="6">
        <f>COUNTIFS(Table58[Country],Tabela1[[#This Row],[Country]],Table58[Classification],"&gt;0")</f>
        <v>0</v>
      </c>
      <c r="LA136" s="6">
        <f>COUNTIFS(Table79[Country],Tabela1[[#This Row],[Country]],Table79[Men''s Classification],"&gt;0")</f>
        <v>0</v>
      </c>
      <c r="LB136" s="6">
        <f>COUNTIFS(Table79[Country],Tabela1[[#This Row],[Country]],Table79[Women''s Classification],"&gt;0")</f>
        <v>0</v>
      </c>
      <c r="LC136" s="6">
        <f>COUNTIFS(Table79[Country],Tabela1[[#This Row],[Country]],Table79[Mixed Classification],"&gt;0")</f>
        <v>0</v>
      </c>
      <c r="LD136" s="6">
        <f>COUNTIFS(Table65[Country],Tabela1[[#This Row],[Country]],Table65[Classification],"&gt;0")</f>
        <v>0</v>
      </c>
      <c r="LE136" s="6">
        <f>COUNTIFS(Table59[Country],Tabela1[[#This Row],[Country]],Table59[Classification],"&gt;0")</f>
        <v>0</v>
      </c>
      <c r="LF136" s="6">
        <f>COUNTIFS(Table87[Country],Tabela1[[#This Row],[Country]],Table87[Mixed Relay Classification],"&gt;0")</f>
        <v>0</v>
      </c>
      <c r="LG136" s="6">
        <f>COUNTIFS(Table91949698100[Country],Tabela1[[#This Row],[Country]],Table91949698100[Men''s Classification],"&gt;0")</f>
        <v>0</v>
      </c>
      <c r="LH136" s="6">
        <f>COUNTIFS(Table91949698100[Country],Tabela1[[#This Row],[Country]],Table91949698100[Women''s Classification],"&gt;0")</f>
        <v>0</v>
      </c>
      <c r="LI136" s="6">
        <f>COUNTIFS(Table91949698100102[Country],Tabela1[[#This Row],[Country]],Table91949698100102[Men''s Classification],"&gt;0")</f>
        <v>0</v>
      </c>
      <c r="LJ136" s="6">
        <f>COUNTIFS(Table91949698100102[Country],Tabela1[[#This Row],[Country]],Table91949698100102[Women''s Classification],"&gt;0")</f>
        <v>0</v>
      </c>
      <c r="LK136" s="6">
        <f>COUNTIFS(Table23[Country],Tabela1[[#This Row],[Country]],Table23[61kg Classification],"&gt;0")</f>
        <v>0</v>
      </c>
      <c r="LL136" s="6">
        <f>COUNTIFS(Table23[Country],Tabela1[[#This Row],[Country]],Table23[73kg Classification],"&gt;0")</f>
        <v>0</v>
      </c>
      <c r="LM136" s="6">
        <f>COUNTIFS(Table23[Country],Tabela1[[#This Row],[Country]],Table23[89kg Classification],"&gt;0")</f>
        <v>0</v>
      </c>
      <c r="LN136" s="6">
        <f>COUNTIFS(Table23[Country],Tabela1[[#This Row],[Country]],Table23[102kg Classification],"&gt;0")</f>
        <v>0</v>
      </c>
      <c r="LO136" s="6">
        <f>COUNTIFS(Table23[Country],Tabela1[[#This Row],[Country]],Table23[Plus 102kg Classification],"&gt;0")</f>
        <v>0</v>
      </c>
      <c r="LP136" s="6">
        <f>COUNTIFS(Table28[Country],Tabela1[[#This Row],[Country]],Table28[49kg Classification],"&gt;0")</f>
        <v>0</v>
      </c>
      <c r="LQ136" s="6">
        <f>COUNTIFS(Table28[Country],Tabela1[[#This Row],[Country]],Table28[59kg Classification],"&gt;0")</f>
        <v>0</v>
      </c>
      <c r="LR136" s="6">
        <f>COUNTIFS(Table28[Country],Tabela1[[#This Row],[Country]],Table28[71kg Classification],"&gt;0")</f>
        <v>0</v>
      </c>
      <c r="LS136" s="6">
        <f>COUNTIFS(Table28[Country],Tabela1[[#This Row],[Country]],Table28[81kg Classification],"&gt;0")</f>
        <v>0</v>
      </c>
      <c r="LT136" s="6">
        <f>COUNTIFS(Table28[Country],Tabela1[[#This Row],[Country]],Table28[Plus 81kg Classification],"&gt;0")</f>
        <v>0</v>
      </c>
      <c r="LU136" s="6">
        <f>COUNTIFS(Table24[Country],Tabela1[[#This Row],[Country]],Table24[Freestyle 57kg Classification],"&gt;0")</f>
        <v>0</v>
      </c>
      <c r="LV136" s="6">
        <f>COUNTIFS(Table24[Country],Tabela1[[#This Row],[Country]],Table24[Freestyle 65kg Classification],"&gt;0")</f>
        <v>0</v>
      </c>
      <c r="LW136" s="6">
        <f>COUNTIFS(Table24[Country],Tabela1[[#This Row],[Country]],Table24[Freestyle 74kg Classification],"&gt;0")</f>
        <v>0</v>
      </c>
      <c r="LX136" s="6">
        <f>COUNTIFS(Table24[Country],Tabela1[[#This Row],[Country]],Table24[Freestyle 86kg Classification],"&gt;0")</f>
        <v>0</v>
      </c>
      <c r="LY136" s="6">
        <f>COUNTIFS(Table24[Country],Tabela1[[#This Row],[Country]],Table24[Freestyle 97kg Classification],"&gt;0")</f>
        <v>0</v>
      </c>
      <c r="LZ136" s="6">
        <f>COUNTIFS(Table24[Country],Tabela1[[#This Row],[Country]],Table24[Freestyle 125kg Classification],"&gt;0")</f>
        <v>0</v>
      </c>
      <c r="MA136" s="6">
        <f>COUNTIFS(Table24[Country],Tabela1[[#This Row],[Country]],Table24[Greco-Roman 60kg Classification],"&gt;0")</f>
        <v>0</v>
      </c>
      <c r="MB136" s="6">
        <f>COUNTIFS(Table24[Country],Tabela1[[#This Row],[Country]],Table24[Greco-Roman 67kg Classification],"&gt;0")</f>
        <v>0</v>
      </c>
      <c r="MC136" s="6">
        <f>COUNTIFS(Table24[Country],Tabela1[[#This Row],[Country]],Table24[Greco-Roman 77kg Classification],"&gt;0")</f>
        <v>0</v>
      </c>
      <c r="MD136" s="6">
        <f>COUNTIFS(Table24[Country],Tabela1[[#This Row],[Country]],Table24[Greco-Roman 87kg Classification],"&gt;0")</f>
        <v>0</v>
      </c>
      <c r="ME136" s="6">
        <f>COUNTIFS(Table24[Country],Tabela1[[#This Row],[Country]],Table24[Greco-Roman 97kg Classification],"&gt;0")</f>
        <v>0</v>
      </c>
      <c r="MF136" s="6">
        <f>COUNTIFS(Table24[Country],Tabela1[[#This Row],[Country]],Table24[Greco-Roman 130kg Classification],"&gt;0")</f>
        <v>0</v>
      </c>
      <c r="MG136" s="6">
        <f>COUNTIFS(Table31[Country],Tabela1[[#This Row],[Country]],Table31[50kg Classification],"&gt;0")</f>
        <v>0</v>
      </c>
      <c r="MH136" s="6">
        <f>COUNTIFS(Table31[Country],Tabela1[[#This Row],[Country]],Table31[53kg Classification],"&gt;0")</f>
        <v>0</v>
      </c>
      <c r="MI136" s="6">
        <f>COUNTIFS(Table31[Country],Tabela1[[#This Row],[Country]],Table31[57kg Classification],"&gt;0")</f>
        <v>0</v>
      </c>
      <c r="MJ136" s="6">
        <f>COUNTIFS(Table31[Country],Tabela1[[#This Row],[Country]],Table31[62kg Classification],"&gt;0")</f>
        <v>0</v>
      </c>
      <c r="MK136" s="6">
        <f>COUNTIFS(Table31[Country],Tabela1[[#This Row],[Country]],Table31[68kg Classification],"&gt;0")</f>
        <v>0</v>
      </c>
      <c r="ML136" s="6">
        <f>COUNTIFS(Table31[Country],Tabela1[[#This Row],[Country]],Table31[76kg Classification],"&gt;0")</f>
        <v>0</v>
      </c>
      <c r="MM136" s="6">
        <f>COUNTIFS(Table102[Country],Tabela1[[#This Row],[Country]],Table102[Downhill Classification],"&gt;0")</f>
        <v>0</v>
      </c>
      <c r="MN136" s="6">
        <f>COUNTIFS(Table102105[Country],Tabela1[[#This Row],[Country]],Table102105[Downhill Classification],"&gt;0")</f>
        <v>0</v>
      </c>
      <c r="MO136" s="6">
        <f>COUNTIFS(Table102[Country],Tabela1[[#This Row],[Country]],Table102[Giant Slalom Classification],"&gt;0")</f>
        <v>0</v>
      </c>
      <c r="MP136" s="6">
        <f>COUNTIFS(Table102105[Country],Tabela1[[#This Row],[Country]],Table102105[Giant Slalom Classification],"&gt;0")</f>
        <v>0</v>
      </c>
      <c r="MQ136" s="6">
        <f>COUNTIFS(Table102[Country],Tabela1[[#This Row],[Country]],Table102[Slalom Classification],"&gt;0")</f>
        <v>0</v>
      </c>
      <c r="MR136" s="6">
        <f>COUNTIFS(Table102105[Country],Tabela1[[#This Row],[Country]],Table102105[Slalom Classification],"&gt;0")</f>
        <v>0</v>
      </c>
      <c r="MS136" s="6">
        <f>COUNTIFS(Table102[Country],Tabela1[[#This Row],[Country]],Table102[Super-G Classification],"&gt;0")</f>
        <v>0</v>
      </c>
      <c r="MT136" s="6">
        <f>COUNTIFS(Table102105[Country],Tabela1[[#This Row],[Country]],Table102105[Super-G Classification],"&gt;0")</f>
        <v>0</v>
      </c>
      <c r="MU136" s="6">
        <f>COUNTIFS(Table105[Country],Tabela1[[#This Row],[Country]],Table105[Men''s Combined Classification],"&gt;0")</f>
        <v>0</v>
      </c>
      <c r="MV136" s="6">
        <f>COUNTIFS(Table105[Country],Tabela1[[#This Row],[Country]],Table105[Women''s Combined Classification],"&gt;0")</f>
        <v>0</v>
      </c>
      <c r="MW136" s="6">
        <f>COUNTIFS(Table106[Country],Tabela1[[#This Row],[Country]],Table106[Individual Classification],"&gt;0")</f>
        <v>0</v>
      </c>
      <c r="MX136" s="6">
        <f>COUNTIFS(Table106109[Country],Tabela1[[#This Row],[Country]],Table106109[Individual Classification],"&gt;0")</f>
        <v>0</v>
      </c>
      <c r="MY136" s="6">
        <f>COUNTIFS(Table106[Country],Tabela1[[#This Row],[Country]],Table106[Mass Start Classification],"&gt;0")</f>
        <v>0</v>
      </c>
      <c r="MZ136" s="6">
        <f>COUNTIFS(Table106109[Country],Tabela1[[#This Row],[Country]],Table106109[Mass Start Classification],"&gt;0")</f>
        <v>0</v>
      </c>
      <c r="NA136" s="6">
        <f>COUNTIFS(Table106[Country],Tabela1[[#This Row],[Country]],Table106[Pursuit Classification],"&gt;0")</f>
        <v>0</v>
      </c>
      <c r="NB136" s="6">
        <f>COUNTIFS(Table106109[Country],Tabela1[[#This Row],[Country]],Table106109[Pursuit Classification],"&gt;0")</f>
        <v>0</v>
      </c>
      <c r="NC136" s="6">
        <f>COUNTIFS(Table106[Country],Tabela1[[#This Row],[Country]],Table106[Sprint Classification],"&gt;0")</f>
        <v>0</v>
      </c>
      <c r="ND136" s="6">
        <f>COUNTIFS(Table106109[Country],Tabela1[[#This Row],[Country]],Table106109[Sprint Classification],"&gt;0")</f>
        <v>0</v>
      </c>
      <c r="NE136" s="6">
        <f>COUNTIFS(Table109[Country],Tabela1[[#This Row],[Country]],Table109[Men''s Relay Classification],"&gt;0")</f>
        <v>0</v>
      </c>
      <c r="NF136" s="6">
        <f>COUNTIFS(Table109[Country],Tabela1[[#This Row],[Country]],Table109[Women''s Relay Classification],"&gt;0")</f>
        <v>0</v>
      </c>
      <c r="NG136" s="6">
        <f>COUNTIFS(Table109[Country],Tabela1[[#This Row],[Country]],Table109[Mixed Relay Classification],"&gt;0")</f>
        <v>0</v>
      </c>
      <c r="NH136" s="6">
        <f>COUNTIFS(Table110[Country],Tabela1[[#This Row],[Country]],Table110[Monobob Classification],"&gt;0")</f>
        <v>0</v>
      </c>
      <c r="NI136" s="6">
        <f>COUNTIFS(Table111[Country],Tabela1[[#This Row],[Country]],Table111[Men''s Classification],"&gt;0")</f>
        <v>0</v>
      </c>
      <c r="NJ136" s="6">
        <f>COUNTIFS(Table111[Country],Tabela1[[#This Row],[Country]],Table111[Women''s Classification],"&gt;0")</f>
        <v>0</v>
      </c>
      <c r="NK136" s="6">
        <f>COUNTIFS(Table112[Country],Tabela1[[#This Row],[Country]],Table112[Men''s Four Classification],"&gt;0")</f>
        <v>0</v>
      </c>
      <c r="NL136" s="6">
        <f>COUNTIFS(Table113[Country],Tabela1[[#This Row],[Country]],Table113[Classical Classification],"&gt;0")</f>
        <v>0</v>
      </c>
      <c r="NM136" s="6">
        <f>COUNTIFS(Table113116[Country],Tabela1[[#This Row],[Country]],Table113116[Classical Classification],"&gt;0")</f>
        <v>0</v>
      </c>
      <c r="NN136" s="6">
        <f>COUNTIFS(Table113[Country],Tabela1[[#This Row],[Country]],Table113[Freestyle Classification],"&gt;0")</f>
        <v>0</v>
      </c>
      <c r="NO136" s="6">
        <f>COUNTIFS(Table113116[Country],Tabela1[[#This Row],[Country]],Table113116[Freestyle Classification],"&gt;0")</f>
        <v>0</v>
      </c>
      <c r="NP136" s="6">
        <f>COUNTIFS(Table117[Country],Tabela1[[#This Row],[Country]],Table117[Men''s Relay Classification],"&gt;0")</f>
        <v>0</v>
      </c>
      <c r="NQ136" s="6">
        <f>COUNTIFS(Table117[Country],Tabela1[[#This Row],[Country]],Table117[Women''s Relay Classification],"&gt;0")</f>
        <v>0</v>
      </c>
      <c r="NR136" s="6">
        <f>COUNTIFS(Table113[Country],Tabela1[[#This Row],[Country]],Table113[Skiathlon Classification],"&gt;0")</f>
        <v>0</v>
      </c>
      <c r="NS136" s="6">
        <f>COUNTIFS(Table113116[Country],Tabela1[[#This Row],[Country]],Table113116[Skiathlon Classification],"&gt;0")</f>
        <v>0</v>
      </c>
      <c r="NT136" s="6">
        <f>COUNTIFS(Table113[Country],Tabela1[[#This Row],[Country]],Table113[Sprint Classification],"&gt;0")</f>
        <v>0</v>
      </c>
      <c r="NU136" s="6">
        <f>COUNTIFS(Table113116[Country],Tabela1[[#This Row],[Country]],Table113116[Sprint Classification],"&gt;0")</f>
        <v>0</v>
      </c>
      <c r="NV136" s="6">
        <f>COUNTIFS(Table116[Country],Tabela1[[#This Row],[Country]],Table116[Men''s Team Sprint Classification],"&gt;0")</f>
        <v>0</v>
      </c>
      <c r="NW136" s="6">
        <f>COUNTIFS(Table116[Country],Tabela1[[#This Row],[Country]],Table116[Women''s Team Sprint Classification],"&gt;0")</f>
        <v>0</v>
      </c>
      <c r="NX136" s="6">
        <f>COUNTIFS(Table119[Country],Tabela1[[#This Row],[Country]],Table119[Men''s Classification],"&gt;0")</f>
        <v>0</v>
      </c>
      <c r="NY136" s="6">
        <f>COUNTIFS(Table119[Country],Tabela1[[#This Row],[Country]],Table119[Women''s Classification],"&gt;0")</f>
        <v>0</v>
      </c>
      <c r="NZ136" s="6">
        <f>COUNTIFS(Table118[Country],Tabela1[[#This Row],[Country]],Table118[Mixed Classification],"&gt;0")</f>
        <v>0</v>
      </c>
      <c r="OA136" s="6">
        <f>COUNTIFS(Table120[Country],Tabela1[[#This Row],[Country]],Table120[Classification],"&gt;0")</f>
        <v>0</v>
      </c>
      <c r="OB136" s="6">
        <f>COUNTIFS(Table120123[Country],Tabela1[[#This Row],[Country]],Table120123[Classification],"&gt;0")</f>
        <v>0</v>
      </c>
      <c r="OC136" s="6">
        <f>COUNTIFS(Table123[Country],Tabela1[[#This Row],[Country]],Table123[Ice Dance Classification],"&gt;0")</f>
        <v>0</v>
      </c>
      <c r="OD136" s="6">
        <f>COUNTIFS(Table123[Country],Tabela1[[#This Row],[Country]],Table123[Pair Skating Classification],"&gt;0")</f>
        <v>0</v>
      </c>
      <c r="OE136" s="6">
        <f>COUNTIFS(Table124[Country],Tabela1[[#This Row],[Country]],Table124[Mixed Classification],"&gt;0")</f>
        <v>0</v>
      </c>
      <c r="OF136" s="6">
        <f>COUNTIFS(Table125[Country],Tabela1[[#This Row],[Country]],Table125[Aerials Classification],"&gt;0")</f>
        <v>0</v>
      </c>
      <c r="OG136" s="6">
        <f>COUNTIFS(Table125128[Country],Tabela1[[#This Row],[Country]],Table125128[Aerials Classification],"&gt;0")</f>
        <v>0</v>
      </c>
      <c r="OH136" s="6">
        <f>COUNTIFS(Table128[Country],Tabela1[[#This Row],[Country]],Table128[Mixed Aerials Classification],"&gt;0")</f>
        <v>0</v>
      </c>
      <c r="OI136" s="6">
        <f>COUNTIFS(Table125[Country],Tabela1[[#This Row],[Country]],Table125[Big Air Classification],"&gt;0")</f>
        <v>0</v>
      </c>
      <c r="OJ136" s="6">
        <f>COUNTIFS(Table125128[Country],Tabela1[[#This Row],[Country]],Table125128[Big Air Classification],"&gt;0")</f>
        <v>0</v>
      </c>
      <c r="OK136" s="6">
        <f>COUNTIFS(Table125[Country],Tabela1[[#This Row],[Country]],Table125[Dual Moguls Classification],"&gt;0")</f>
        <v>0</v>
      </c>
      <c r="OL136" s="6">
        <f>COUNTIFS(Table125128[Country],Tabela1[[#This Row],[Country]],Table125128[Dual Moguls Classification],"&gt;0")</f>
        <v>0</v>
      </c>
      <c r="OM136" s="6">
        <f>COUNTIFS(Table125[Country],Tabela1[[#This Row],[Country]],Table125[Halfpipe Classification],"&gt;0")</f>
        <v>0</v>
      </c>
      <c r="ON136" s="6">
        <f>COUNTIFS(Table125128[Country],Tabela1[[#This Row],[Country]],Table125128[Halfpipe Classification],"&gt;0")</f>
        <v>0</v>
      </c>
      <c r="OO136" s="6">
        <f>COUNTIFS(Table125[Country],Tabela1[[#This Row],[Country]],Table125[Moguls Classification],"&gt;0")</f>
        <v>0</v>
      </c>
      <c r="OP136" s="6">
        <f>COUNTIFS(Table125128[Country],Tabela1[[#This Row],[Country]],Table125128[Moguls Classification],"&gt;0")</f>
        <v>0</v>
      </c>
      <c r="OQ136" s="6">
        <f>COUNTIFS(Table125[Country],Tabela1[[#This Row],[Country]],Table125[Ski Cross Classification],"&gt;0")</f>
        <v>0</v>
      </c>
      <c r="OR136" s="6">
        <f>COUNTIFS(Table125128[Country],Tabela1[[#This Row],[Country]],Table125128[Ski Cross Classification],"&gt;0")</f>
        <v>0</v>
      </c>
      <c r="OS136" s="6">
        <f>COUNTIFS(Table125[Country],Tabela1[[#This Row],[Country]],Table125[Slopestyle Classification],"&gt;0")</f>
        <v>0</v>
      </c>
      <c r="OT136" s="6">
        <f>COUNTIFS(Table125128[Country],Tabela1[[#This Row],[Country]],Table125128[Slopestyle Classification],"&gt;0")</f>
        <v>0</v>
      </c>
      <c r="OU136" s="6">
        <f>COUNTIFS(Table119131[Country],Tabela1[[#This Row],[Country]],Table119131[Men''s Classification],"&gt;0")</f>
        <v>0</v>
      </c>
      <c r="OV136" s="6">
        <f>COUNTIFS(Table119131[Country],Tabela1[[#This Row],[Country]],Table119131[Women''s Classification],"&gt;0")</f>
        <v>0</v>
      </c>
      <c r="OW136" s="6">
        <f>COUNTIFS(Table131[Country],Tabela1[[#This Row],[Country]],Table131[Classification],"&gt;0")</f>
        <v>0</v>
      </c>
      <c r="OX136" s="6">
        <f>COUNTIFS(Table131134[Country],Tabela1[[#This Row],[Country]],Table131134[Classification],"&gt;0")</f>
        <v>0</v>
      </c>
      <c r="OY136" s="6">
        <f>COUNTIFS(Table134[Country],Tabela1[[#This Row],[Country]],Table134[Men''s Classification],"&gt;0")</f>
        <v>0</v>
      </c>
      <c r="OZ136" s="6">
        <f>COUNTIFS(Table134[Country],Tabela1[[#This Row],[Country]],Table134[Women''s Classification],"&gt;0")</f>
        <v>0</v>
      </c>
      <c r="PA136" s="6">
        <f>COUNTIFS(Table135[Country],Tabela1[[#This Row],[Country]],Table135[Mixed Relay Classification],"&gt;0")</f>
        <v>0</v>
      </c>
      <c r="PB136" s="6">
        <f>COUNTIFS(Table136[Country],Tabela1[[#This Row],[Country]],Table136[Individual Classification],"&gt;0")</f>
        <v>0</v>
      </c>
      <c r="PC136" s="6">
        <f>COUNTIFS(Table136[Country],Tabela1[[#This Row],[Country]],Table136[Sprint Classification],"&gt;0")</f>
        <v>0</v>
      </c>
      <c r="PD136" s="6">
        <f>COUNTIFS(Table137[Country],Tabela1[[#This Row],[Country]],Table137[Men''s Team Sprint Large Hill Classification],"&gt;0")</f>
        <v>0</v>
      </c>
      <c r="PE136" s="6">
        <f>COUNTIFS(Table138[Country],Tabela1[[#This Row],[Country]],Table138[500m Classification],"&gt;0")</f>
        <v>0</v>
      </c>
      <c r="PF136" s="6">
        <f>COUNTIFS(Table138141[Country],Tabela1[[#This Row],[Country]],Table138141[500m Classification],"&gt;0")</f>
        <v>0</v>
      </c>
      <c r="PG136" s="6">
        <f>COUNTIFS(Table138[Country],Tabela1[[#This Row],[Country]],Table138[1000m Classification],"&gt;0")</f>
        <v>0</v>
      </c>
      <c r="PH136" s="6">
        <f>COUNTIFS(Table138141[Country],Tabela1[[#This Row],[Country]],Table138141[1000m Classification],"&gt;0")</f>
        <v>0</v>
      </c>
      <c r="PI136" s="6">
        <f>COUNTIFS(Table138[Country],Tabela1[[#This Row],[Country]],Table138[1500m Classification],"&gt;0")</f>
        <v>0</v>
      </c>
      <c r="PJ136" s="6">
        <f>COUNTIFS(Table138141[Country],Tabela1[[#This Row],[Country]],Table138141[1500m Classification],"&gt;0")</f>
        <v>0</v>
      </c>
      <c r="PK136" s="6">
        <f>COUNTIFS(Table141[Country],Tabela1[[#This Row],[Country]],Table141[Men''s 5000m Relay Classification],"&gt;0")</f>
        <v>0</v>
      </c>
      <c r="PL136" s="6">
        <f>COUNTIFS(Table141[Country],Tabela1[[#This Row],[Country]],Table141[Women''s 3000m Relay Classification],"&gt;0")</f>
        <v>0</v>
      </c>
      <c r="PM136" s="6">
        <f>COUNTIFS(Table141[Country],Tabela1[[#This Row],[Country]],Table141[Mixed 2000m Relay Classification],"&gt;0")</f>
        <v>0</v>
      </c>
      <c r="PN136" s="6">
        <f>COUNTIFS(Table142[Country],Tabela1[[#This Row],[Country]],Table142[Classification],"&gt;0")</f>
        <v>0</v>
      </c>
      <c r="PO136" s="6">
        <f>COUNTIFS(Table142145[Country],Tabela1[[#This Row],[Country]],Table142145[Classification],"&gt;0")</f>
        <v>0</v>
      </c>
      <c r="PP136" s="6">
        <f>COUNTIFS(Tabela15[Country],Tabela1[[#This Row],[Country]],Tabela15[Mixed Team Classification],"&gt;0")</f>
        <v>0</v>
      </c>
      <c r="PQ136" s="6">
        <f>COUNTIFS(Table145[Country],Tabela1[[#This Row],[Country]],Table145[Large Hill Classification],"&gt;0")</f>
        <v>0</v>
      </c>
      <c r="PR136" s="6">
        <f>COUNTIFS(Table145[Country],Tabela1[[#This Row],[Country]],Table145[Normal Hill Classification],"&gt;0")</f>
        <v>0</v>
      </c>
      <c r="PS136" s="6">
        <f>COUNTIFS(Table145148[Country],Tabela1[[#This Row],[Country]],Table145148[Large Hill Classification],"&gt;0")</f>
        <v>0</v>
      </c>
      <c r="PT136" s="6">
        <f>COUNTIFS(Table145148[Country],Tabela1[[#This Row],[Country]],Table145148[Normal Hill Classification],"&gt;0")</f>
        <v>0</v>
      </c>
      <c r="PU136" s="6">
        <f>COUNTIFS(Table148[Country],Tabela1[[#This Row],[Country]],Table148[Men''s Super Team Classification],"&gt;0")</f>
        <v>0</v>
      </c>
      <c r="PV136" s="6">
        <f>COUNTIFS(Tabela114[Country],Tabela1[[#This Row],[Country]],Tabela114[Mixed Normal Hill Classification],"&gt;0")</f>
        <v>0</v>
      </c>
      <c r="PW136" s="6">
        <f>COUNTIFS(Tabela50[Country],Tabela1[[#This Row],[Country]],Tabela50[Sprint Classification],"&gt;0")</f>
        <v>0</v>
      </c>
      <c r="PX136" s="6">
        <f>COUNTIFS(Tabela50101[Country],Tabela1[[#This Row],[Country]],Tabela50101[Sprint Classification],"&gt;0")</f>
        <v>0</v>
      </c>
      <c r="PY136" s="6">
        <f>COUNTIFS(Tabela103[Country],Tabela1[[#This Row],[Country]],Tabela103[Mixed Relay Classification],"&gt;0")</f>
        <v>0</v>
      </c>
      <c r="PZ136" s="6">
        <f>COUNTIFS(Table149[Country],Tabela1[[#This Row],[Country]],Table149[Big Air Classification],"&gt;0")</f>
        <v>0</v>
      </c>
      <c r="QA136" s="6">
        <f>COUNTIFS(Table149152[Country],Tabela1[[#This Row],[Country]],Table149152[Big Air Classification],"&gt;0")</f>
        <v>0</v>
      </c>
      <c r="QB136" s="6">
        <f>COUNTIFS(Table149[Country],Tabela1[[#This Row],[Country]],Table149[Halfpipe Classification],"&gt;0")</f>
        <v>0</v>
      </c>
      <c r="QC136" s="6">
        <f>COUNTIFS(Table149152[Country],Tabela1[[#This Row],[Country]],Table149152[Halfpipe Classification],"&gt;0")</f>
        <v>0</v>
      </c>
      <c r="QD136" s="6">
        <f>COUNTIFS(Table149[Country],Tabela1[[#This Row],[Country]],Table149[Parallel Giant Slalom Classification],"&gt;0")</f>
        <v>0</v>
      </c>
      <c r="QE136" s="6">
        <f>COUNTIFS(Table149152[Country],Tabela1[[#This Row],[Country]],Table149152[Parallel Giant Slalom Classification],"&gt;0")</f>
        <v>0</v>
      </c>
      <c r="QF136" s="6">
        <f>COUNTIFS(Table149[Country],Tabela1[[#This Row],[Country]],Table149[Slopestyle Classification],"&gt;0")</f>
        <v>0</v>
      </c>
      <c r="QG136" s="6">
        <f>COUNTIFS(Table149152[Country],Tabela1[[#This Row],[Country]],Table149152[Slopestyle Classification],"&gt;0")</f>
        <v>0</v>
      </c>
      <c r="QH136" s="6">
        <f>COUNTIFS(Table149[Country],Tabela1[[#This Row],[Country]],Table149[Snowboard Cross Classification],"&gt;0")</f>
        <v>0</v>
      </c>
      <c r="QI136" s="6">
        <f>COUNTIFS(Table149152[Country],Tabela1[[#This Row],[Country]],Table149152[Snowboard Cross Classification],"&gt;0")</f>
        <v>0</v>
      </c>
      <c r="QJ136" s="6">
        <f>COUNTIFS(Table153[Country],Tabela1[[#This Row],[Country]],Table153[Mixed Team Snowboard Cross Classification],"&gt;0")</f>
        <v>0</v>
      </c>
      <c r="QK136" s="6">
        <f>COUNTIFS(Table154[Country],Tabela1[[#This Row],[Country]],Table154[500m Classification],"&gt;0")</f>
        <v>0</v>
      </c>
      <c r="QL136" s="6">
        <f>COUNTIFS(Table154157[Country],Tabela1[[#This Row],[Country]],Table154157[500m Classification],"&gt;0")</f>
        <v>0</v>
      </c>
      <c r="QM136" s="6">
        <f>COUNTIFS(Table154[Country],Tabela1[[#This Row],[Country]],Table154[1000m Classification],"&gt;0")</f>
        <v>0</v>
      </c>
      <c r="QN136" s="6">
        <f>COUNTIFS(Table154157[Country],Tabela1[[#This Row],[Country]],Table154157[1000m Classification],"&gt;0")</f>
        <v>0</v>
      </c>
      <c r="QO136" s="6">
        <f>COUNTIFS(Table154[Country],Tabela1[[#This Row],[Country]],Table154[1500m Classification],"&gt;0")</f>
        <v>0</v>
      </c>
      <c r="QP136" s="6">
        <f>COUNTIFS(Table154157[Country],Tabela1[[#This Row],[Country]],Table154157[1500m Classification],"&gt;0")</f>
        <v>0</v>
      </c>
      <c r="QQ136" s="6">
        <f>COUNTIFS(Table154157[Country],Tabela1[[#This Row],[Country]],Table154157[3000m Classification],"&gt;0")</f>
        <v>0</v>
      </c>
      <c r="QR136" s="6">
        <f>COUNTIFS(Table154[Country],Tabela1[[#This Row],[Country]],Table154[5000m Classification],"&gt;0")</f>
        <v>0</v>
      </c>
      <c r="QS136" s="6">
        <f>COUNTIFS(Table154157[Country],Tabela1[[#This Row],[Country]],Table154157[5000m Classification],"&gt;0")</f>
        <v>0</v>
      </c>
      <c r="QT136" s="6">
        <f>COUNTIFS(Table154[Country],Tabela1[[#This Row],[Country]],Table154[10000m Classification],"&gt;0")</f>
        <v>0</v>
      </c>
      <c r="QU136" s="6">
        <f>COUNTIFS(Table154[Country],Tabela1[[#This Row],[Country]],Table154[Mass Start Classification],"&gt;0")</f>
        <v>0</v>
      </c>
      <c r="QV136" s="6">
        <f>COUNTIFS(Table154157[Country],Tabela1[[#This Row],[Country]],Table154157[Mass Start Classification],"&gt;0")</f>
        <v>0</v>
      </c>
      <c r="QW136" s="6">
        <f>COUNTIFS(Table157[Country],Tabela1[[#This Row],[Country]],Table157[Men''s Pursuit Classification],"&gt;0")</f>
        <v>0</v>
      </c>
      <c r="QX136" s="6">
        <f>COUNTIFS(Table157[Country],Tabela1[[#This Row],[Country]],Table157[Women''s Pursuit Classification],"&gt;0")</f>
        <v>0</v>
      </c>
      <c r="QY136" s="4" t="s">
        <v>553</v>
      </c>
    </row>
    <row r="137" spans="1:467" x14ac:dyDescent="0.3">
      <c r="A137" s="6">
        <v>136</v>
      </c>
      <c r="B137" s="6" t="s">
        <v>554</v>
      </c>
      <c r="C137" t="e" vm="136">
        <f>IF(ISBLANK(Tabela1[[#This Row],[Image Link]]), "", _xlfn.IMAGE(Tabela1[[#This Row],[Image Link]],1,1))</f>
        <v>#VALUE!</v>
      </c>
      <c r="D137" s="6">
        <f>SUM(Tabela1[[#This Row],[Archery - Men''s Individual Recurve]:[Speed Skating - Women''s Team Pursuit]])</f>
        <v>1</v>
      </c>
      <c r="E137" s="6">
        <f>COUNTIF(Tabela1[[#This Row],[Archery - Men''s Individual Recurve]:[Speed Skating - Women''s Team Pursuit]],"&gt;0")</f>
        <v>1</v>
      </c>
      <c r="F137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37" s="6">
        <f>SUM(Tabela1[[#This Row],[Archery - Men''s Individual Recurve]:[Wrestling - Women''s Freestyle 76kg]])</f>
        <v>1</v>
      </c>
      <c r="H137" s="6">
        <f>SUM(Tabela1[[#This Row],[Alpine Skiing - Men''s Downhill]:[Speed Skating - Women''s Team Pursuit]])</f>
        <v>0</v>
      </c>
      <c r="I137" s="6">
        <f>Tabela1[[#This Row],[Summer Gold Medals]]+Tabela1[[#This Row],[Winter Gold Medals]]</f>
        <v>0</v>
      </c>
      <c r="J137" s="6">
        <f>Tabela1[[#This Row],[Summer Silver Medals]]+Tabela1[[#This Row],[Winter Silver Medals]]</f>
        <v>0</v>
      </c>
      <c r="K137" s="6">
        <f>Tabela1[[#This Row],[Summer Bronze Medals]]+Tabela1[[#This Row],[Winter Bronze Medals]]</f>
        <v>0</v>
      </c>
      <c r="L137" s="6">
        <f>SUM(Tabela1[[#This Row],[Total Gold Medals]:[Total Bronze Medals]])</f>
        <v>0</v>
      </c>
      <c r="M137" s="6"/>
      <c r="N137" s="6"/>
      <c r="O137" s="6"/>
      <c r="P137" s="6">
        <f>SUM(Tabela1[[#This Row],[Summer Gold Medals]:[Summer Bronze Medals]])</f>
        <v>0</v>
      </c>
      <c r="Q137" s="6"/>
      <c r="R137" s="6"/>
      <c r="S137" s="6"/>
      <c r="T137" s="6">
        <f>Tabela1[[#This Row],[Winter Gold Medals]]+Tabela1[[#This Row],[Winter Silver Medals]]+Tabela1[[#This Row],[Winter Bronze Medals]]</f>
        <v>0</v>
      </c>
      <c r="U137" s="7">
        <f>Tabela1[[#This Row],[Total Medals]]/Tabela1[[#This Row],[Total Quotas]]</f>
        <v>0</v>
      </c>
      <c r="V137" s="6">
        <f>COUNTIFS(Table3[Country],Tabela1[[#This Row],[Country]],Table3[Recurve Classification],"&gt;0")</f>
        <v>0</v>
      </c>
      <c r="W137" s="6">
        <f>COUNTIFS(Table33[Country],Tabela1[[#This Row],[Country]],Table33[Recurve Classification],"&gt;0")</f>
        <v>0</v>
      </c>
      <c r="X137" s="6">
        <f>COUNTIFS(Table35[Country],Tabela1[[#This Row],[Country]],Table35[Men''s Team Recurve Classification],"&gt;0")</f>
        <v>0</v>
      </c>
      <c r="Y137" s="6">
        <f>COUNTIFS(Table35[Country],Tabela1[[#This Row],[Country]],Table35[Women''s Team Recurve Classification],"&gt;0")</f>
        <v>0</v>
      </c>
      <c r="Z137" s="6">
        <f>COUNTIFS(Tabela88[Country],Tabela1[[#This Row],[Country]],Tabela88[Mixed Team Recurve Classification],"&gt;0")</f>
        <v>0</v>
      </c>
      <c r="AA137" s="6">
        <f>COUNTIFS(Table36[Country],Tabela1[[#This Row],[Country]],Table36[Classification],"&gt;0")</f>
        <v>0</v>
      </c>
      <c r="AB137" s="6">
        <f>COUNTIFS(Table37[Country],Tabela1[[#This Row],[Country]],Table37[Classification],"&gt;0")</f>
        <v>0</v>
      </c>
      <c r="AC137" s="6">
        <f>COUNTIFS(Table4[Country],Tabela1[[#This Row],[Country]],Table4[100m Classification],"&gt;0")</f>
        <v>0</v>
      </c>
      <c r="AD137" s="6">
        <f>COUNTIFS(Table5[Country],Tabela1[[#This Row],[Country]],Table5[100m Classification],"&gt;0")</f>
        <v>0</v>
      </c>
      <c r="AE137" s="6">
        <f>COUNTIFS(Table4[Country],Tabela1[[#This Row],[Country]],Table4[200m Classification],"&gt;0")</f>
        <v>0</v>
      </c>
      <c r="AF137" s="6">
        <f>COUNTIFS(Table5[Country],Tabela1[[#This Row],[Country]],Table5[200m Classification],"&gt;0")</f>
        <v>0</v>
      </c>
      <c r="AG137" s="6">
        <f>COUNTIFS(Table4[Country],Tabela1[[#This Row],[Country]],Table4[400m Classification],"&gt;0")</f>
        <v>0</v>
      </c>
      <c r="AH137" s="6">
        <f>COUNTIFS(Table5[Country],Tabela1[[#This Row],[Country]],Table5[400m Classification],"&gt;0")</f>
        <v>0</v>
      </c>
      <c r="AI137" s="6">
        <f>COUNTIFS(Table4[Country],Tabela1[[#This Row],[Country]],Table4[800m Classification],"&gt;0")</f>
        <v>0</v>
      </c>
      <c r="AJ137" s="6">
        <f>COUNTIFS(Table5[Country],Tabela1[[#This Row],[Country]],Table5[800m Classification],"&gt;0")</f>
        <v>0</v>
      </c>
      <c r="AK137" s="6">
        <f>COUNTIFS(Table4[Country],Tabela1[[#This Row],[Country]],Table4[1500m Classification],"&gt;0")</f>
        <v>0</v>
      </c>
      <c r="AL137" s="6">
        <f>COUNTIFS(Table5[Country],Tabela1[[#This Row],[Country]],Table5[1500m Classification],"&gt;0")</f>
        <v>0</v>
      </c>
      <c r="AM137" s="6">
        <f>COUNTIFS(Table4[Country],Tabela1[[#This Row],[Country]],Table4[5000m Classification],"&gt;0")</f>
        <v>0</v>
      </c>
      <c r="AN137" s="6">
        <f>COUNTIFS(Table5[Country],Tabela1[[#This Row],[Country]],Table5[5000m Classification],"&gt;0")</f>
        <v>0</v>
      </c>
      <c r="AO137" s="6">
        <f>COUNTIFS(Table4[Country],Tabela1[[#This Row],[Country]],Table4[10000m Classification],"&gt;0")</f>
        <v>0</v>
      </c>
      <c r="AP137" s="6">
        <f>COUNTIFS(Table5[Country],Tabela1[[#This Row],[Country]],Table5[10000m Classification],"&gt;0")</f>
        <v>0</v>
      </c>
      <c r="AQ137" s="6">
        <f>COUNTIFS(Table4[Country],Tabela1[[#This Row],[Country]],Table4[110m Hurdles Classification],"&gt;0")</f>
        <v>0</v>
      </c>
      <c r="AR137" s="6">
        <f>COUNTIFS(Table5[Country],Tabela1[[#This Row],[Country]],Table5[100m Hurdles Classification],"&gt;0")</f>
        <v>0</v>
      </c>
      <c r="AS137" s="6">
        <f>COUNTIFS(Table4[Country],Tabela1[[#This Row],[Country]],Table4[400m Hurdles Classification],"&gt;0")</f>
        <v>0</v>
      </c>
      <c r="AT137" s="6">
        <f>COUNTIFS(Table5[Country],Tabela1[[#This Row],[Country]],Table5[400m Hurdles Classification],"&gt;0")</f>
        <v>0</v>
      </c>
      <c r="AU137" s="6">
        <f>COUNTIFS(Table4[Country],Tabela1[[#This Row],[Country]],Table4[3000m Steeplechase Classification],"&gt;0")</f>
        <v>0</v>
      </c>
      <c r="AV137" s="6">
        <f>COUNTIFS(Table5[Country],Tabela1[[#This Row],[Country]],Table5[3000m Steeplechase Classification],"&gt;0")</f>
        <v>0</v>
      </c>
      <c r="AW137" s="6">
        <f>COUNTIFS(Table27[Country],Tabela1[[#This Row],[Country]],Table27[Men''s 4x100m Relay Classification],"&gt;0")</f>
        <v>0</v>
      </c>
      <c r="AX137" s="6">
        <f>COUNTIFS(Table27[Country],Tabela1[[#This Row],[Country]],Table27[Women''s 4x100m Relay Classification],"&gt;0")</f>
        <v>0</v>
      </c>
      <c r="AY137" s="6">
        <f>COUNTIFS(Table27[Country],Tabela1[[#This Row],[Country]],Table27[Men''s 4x400m Relay Classification],"&gt;0")</f>
        <v>0</v>
      </c>
      <c r="AZ137" s="6">
        <f>COUNTIFS(Table27[Country],Tabela1[[#This Row],[Country]],Table27[Women''s 4x400m Relay Classification],"&gt;0")</f>
        <v>0</v>
      </c>
      <c r="BA137" s="6">
        <f>COUNTIFS(Table27[Country],Tabela1[[#This Row],[Country]],Table27[Mixed 4x400m Relay Classification],"&gt;0")</f>
        <v>0</v>
      </c>
      <c r="BB137" s="6">
        <f>COUNTIFS(Table4[Country],Tabela1[[#This Row],[Country]],Table4[Marathon Classification],"&gt;0")</f>
        <v>0</v>
      </c>
      <c r="BC137" s="6">
        <f>COUNTIFS(Table5[Country],Tabela1[[#This Row],[Country]],Table5[Marathon Classification],"&gt;0")</f>
        <v>0</v>
      </c>
      <c r="BD137" s="6">
        <f>COUNTIFS(Table4[Country],Tabela1[[#This Row],[Country]],Table4[20km Race Walk Classification],"&gt;0")</f>
        <v>0</v>
      </c>
      <c r="BE137" s="6">
        <f>COUNTIFS(Table5[Country],Tabela1[[#This Row],[Country]],Table5[20km Race Walk Classification],"&gt;0")</f>
        <v>0</v>
      </c>
      <c r="BF137" s="6">
        <f>COUNTIFS(Tabela96[Country],Tabela1[[#This Row],[Country]],Tabela96[Mixed Marathon Race Walk Relay Classification],"&gt;0")</f>
        <v>0</v>
      </c>
      <c r="BG137" s="6">
        <f>COUNTIFS(Table4[Country],Tabela1[[#This Row],[Country]],Table4[Discus Throw Classification],"&gt;0")</f>
        <v>0</v>
      </c>
      <c r="BH137" s="6">
        <f>COUNTIFS(Table5[Country],Tabela1[[#This Row],[Country]],Table5[Discus Throw Classification],"&gt;0")</f>
        <v>0</v>
      </c>
      <c r="BI137" s="6">
        <f>COUNTIFS(Table4[Country],Tabela1[[#This Row],[Country]],Table4[Hammer Throw Classification],"&gt;0")</f>
        <v>0</v>
      </c>
      <c r="BJ137" s="6">
        <f>COUNTIFS(Table5[Country],Tabela1[[#This Row],[Country]],Table5[Hammer Throw Classification],"&gt;0")</f>
        <v>0</v>
      </c>
      <c r="BK137" s="6">
        <f>COUNTIFS(Table4[Country],Tabela1[[#This Row],[Country]],Table4[High Jump Classification],"&gt;0")</f>
        <v>0</v>
      </c>
      <c r="BL137" s="6">
        <f>COUNTIFS(Table5[Country],Tabela1[[#This Row],[Country]],Table5[High Jump Classification],"&gt;0")</f>
        <v>0</v>
      </c>
      <c r="BM137" s="6">
        <f>COUNTIFS(Table4[Country],Tabela1[[#This Row],[Country]],Table4[Javelin Throw Classification],"&gt;0")</f>
        <v>0</v>
      </c>
      <c r="BN137" s="6">
        <f>COUNTIFS(Table5[Country],Tabela1[[#This Row],[Country]],Table5[Javelin Throw Classification],"&gt;0")</f>
        <v>0</v>
      </c>
      <c r="BO137" s="6">
        <f>COUNTIFS(Table4[Country],Tabela1[[#This Row],[Country]],Table4[Long Jump Classification],"&gt;0")</f>
        <v>0</v>
      </c>
      <c r="BP137" s="6">
        <f>COUNTIFS(Table5[Country],Tabela1[[#This Row],[Country]],Table5[Long Jump Classification],"&gt;0")</f>
        <v>0</v>
      </c>
      <c r="BQ137" s="6">
        <f>COUNTIFS(Table4[Country],Tabela1[[#This Row],[Country]],Table4[Pole Vault Classification],"&gt;0")</f>
        <v>0</v>
      </c>
      <c r="BR137" s="6">
        <f>COUNTIFS(Table5[Country],Tabela1[[#This Row],[Country]],Table5[Pole Vault Classification],"&gt;0")</f>
        <v>0</v>
      </c>
      <c r="BS137" s="6">
        <f>COUNTIFS(Table4[Country],Tabela1[[#This Row],[Country]],Table4[Shot Put Classification],"&gt;0")</f>
        <v>0</v>
      </c>
      <c r="BT137" s="6">
        <f>COUNTIFS(Table5[Country],Tabela1[[#This Row],[Country]],Table5[Shot Put Classification],"&gt;0")</f>
        <v>0</v>
      </c>
      <c r="BU137" s="6">
        <f>COUNTIFS(Table4[Country],Tabela1[[#This Row],[Country]],Table4[Triple Jump Classification],"&gt;0")</f>
        <v>0</v>
      </c>
      <c r="BV137" s="6">
        <f>COUNTIFS(Table5[Country],Tabela1[[#This Row],[Country]],Table5[Triple Jump Classification],"&gt;0")</f>
        <v>0</v>
      </c>
      <c r="BW137" s="6">
        <f>COUNTIFS(Table4[Country],Tabela1[[#This Row],[Country]],Table4[Decathlon Classification],"&gt;0")</f>
        <v>0</v>
      </c>
      <c r="BX137" s="6">
        <f>COUNTIFS(Table5[Country],Tabela1[[#This Row],[Country]],Table5[Heptathlon Classification],"&gt;0")</f>
        <v>0</v>
      </c>
      <c r="BY137" s="6">
        <f>COUNTIFS(Table61[Country],Tabela1[[#This Row],[Country]],Table61[Classification],"&gt;0")</f>
        <v>0</v>
      </c>
      <c r="BZ137" s="6">
        <f>COUNTIFS(Table38[Country],Tabela1[[#This Row],[Country]],Table38[Classification],"&gt;0")</f>
        <v>0</v>
      </c>
      <c r="CA137" s="6">
        <f>COUNTIFS(Table39[Country],Tabela1[[#This Row],[Country]],Table39[Men''s Classification],"&gt;0")</f>
        <v>0</v>
      </c>
      <c r="CB137" s="6">
        <f>COUNTIFS(Table39[Country],Tabela1[[#This Row],[Country]],Table39[Women''s Classification],"&gt;0")</f>
        <v>0</v>
      </c>
      <c r="CC137" s="6">
        <f>COUNTIFS(Table39[Country],Tabela1[[#This Row],[Country]],Table39[Mixed Classification],"&gt;0")</f>
        <v>0</v>
      </c>
      <c r="CD137" s="6">
        <f>COUNTIFS(Table89[Country],Tabela1[[#This Row],[Country]],Table89[Men''s Classification],"&gt;0")</f>
        <v>0</v>
      </c>
      <c r="CE137" s="6">
        <f>COUNTIFS(Table89[Country],Tabela1[[#This Row],[Country]],Table89[Women''s Classification],"&gt;0")</f>
        <v>0</v>
      </c>
      <c r="CF137" s="6">
        <f>COUNTIFS(Table90[Country],Tabela1[[#This Row],[Country]],Table90[Men''s Classification],"&gt;0")</f>
        <v>0</v>
      </c>
      <c r="CG137" s="6">
        <f>COUNTIFS(Table90[Country],Tabela1[[#This Row],[Country]],Table90[Women''s Classification],"&gt;0")</f>
        <v>0</v>
      </c>
      <c r="CH137" s="6">
        <f>COUNTIFS(Table60[Country],Tabela1[[#This Row],[Country]],Table60[Men''s Classification],"&gt;0")</f>
        <v>0</v>
      </c>
      <c r="CI137" s="6">
        <f>COUNTIFS(Table60[Country],Tabela1[[#This Row],[Country]],Table60[Women''s Classification],"&gt;0")</f>
        <v>0</v>
      </c>
      <c r="CJ137" s="6">
        <f>COUNTIFS(Table6[Country],Tabela1[[#This Row],[Country]],Table6[51kg Classification],"&gt;0")</f>
        <v>0</v>
      </c>
      <c r="CK137" s="6">
        <f>COUNTIFS(Table6[Country],Tabela1[[#This Row],[Country]],Table6[57kg Classification],"&gt;0")</f>
        <v>0</v>
      </c>
      <c r="CL137" s="6">
        <f>COUNTIFS(Table6[Country],Tabela1[[#This Row],[Country]],Table6[63.5kg Classification],"&gt;0")</f>
        <v>0</v>
      </c>
      <c r="CM137" s="6">
        <f>COUNTIFS(Table6[Country],Tabela1[[#This Row],[Country]],Table6[71kg Classification],"&gt;0")</f>
        <v>0</v>
      </c>
      <c r="CN137" s="6">
        <f>COUNTIFS(Table6[Country],Tabela1[[#This Row],[Country]],Table6[80kg Classification],"&gt;0")</f>
        <v>0</v>
      </c>
      <c r="CO137" s="6">
        <f>COUNTIFS(Table6[Country],Tabela1[[#This Row],[Country]],Table6[92kg Classification],"&gt;0")</f>
        <v>0</v>
      </c>
      <c r="CP137" s="6">
        <f>COUNTIFS(Table6[Country],Tabela1[[#This Row],[Country]],Table6[Plus 92kg Classification],"&gt;0")</f>
        <v>0</v>
      </c>
      <c r="CQ137" s="6">
        <f>COUNTIFS(Table7[Country],Tabela1[[#This Row],[Country]],Table7[50kg Classification],"&gt;0")</f>
        <v>0</v>
      </c>
      <c r="CR137" s="6">
        <f>COUNTIFS(Table7[Country],Tabela1[[#This Row],[Country]],Table7[54kg Classification],"&gt;0")</f>
        <v>0</v>
      </c>
      <c r="CS137" s="6">
        <f>COUNTIFS(Table7[Country],Tabela1[[#This Row],[Country]],Table7[57kg Classification],"&gt;0")</f>
        <v>0</v>
      </c>
      <c r="CT137" s="6">
        <f>COUNTIFS(Table7[Country],Tabela1[[#This Row],[Country]],Table7[60kg Classification],"&gt;0")</f>
        <v>0</v>
      </c>
      <c r="CU137" s="6">
        <f>COUNTIFS(Table7[Country],Tabela1[[#This Row],[Country]],Table7[66kg Classification],"&gt;0")</f>
        <v>0</v>
      </c>
      <c r="CV137" s="6">
        <f>COUNTIFS(Table7[Country],Tabela1[[#This Row],[Country]],Table7[75kg Classification],"&gt;0")</f>
        <v>0</v>
      </c>
      <c r="CW137" s="6">
        <f>COUNTIFS(Tabela94[Country],Tabela1[[#This Row],[Country]],Tabela94[Classification],"&gt;0")</f>
        <v>0</v>
      </c>
      <c r="CX137" s="6">
        <f>COUNTIFS(Tabela9499[Country],Tabela1[[#This Row],[Country]],Tabela9499[Classification],"&gt;0")</f>
        <v>0</v>
      </c>
      <c r="CY137" s="6">
        <f>COUNTIFS(Tabela107[Country],Tabela1[[#This Row],[Country]],Tabela107[C1 Slalom Classification],"&gt;0")</f>
        <v>0</v>
      </c>
      <c r="CZ137" s="6">
        <f>COUNTIFS(Tabela107122[Country],Tabela1[[#This Row],[Country]],Tabela107122[C1 Slalom Classification],"&gt;0")</f>
        <v>0</v>
      </c>
      <c r="DA137" s="6">
        <f>COUNTIFS(Tabela107[Country],Tabela1[[#This Row],[Country]],Tabela107[K1 Slalom Classification],"&gt;0")</f>
        <v>0</v>
      </c>
      <c r="DB137" s="6">
        <f>COUNTIFS(Tabela107122[Country],Tabela1[[#This Row],[Country]],Tabela107122[K1 Slalom Classification],"&gt;0")</f>
        <v>0</v>
      </c>
      <c r="DC137" s="6">
        <f>COUNTIFS(Tabela107[Country],Tabela1[[#This Row],[Country]],Tabela107[Kayak Cross Slalom Classification],"&gt;0")</f>
        <v>0</v>
      </c>
      <c r="DD137" s="6">
        <f>COUNTIFS(Tabela107122[Country],Tabela1[[#This Row],[Country]],Tabela107122[Kayak Cross Slalom Classification],"&gt;0")</f>
        <v>0</v>
      </c>
      <c r="DE137" s="6">
        <f>COUNTIFS(Table8[Country],Tabela1[[#This Row],[Country]],Table8[C1 200m Classification],"&gt;0")</f>
        <v>0</v>
      </c>
      <c r="DF137" s="6">
        <f>COUNTIFS(Table40[Country],Tabela1[[#This Row],[Country]],Table40[C1 1000m Classification],"&gt;0")</f>
        <v>0</v>
      </c>
      <c r="DG137" s="6">
        <f>COUNTIFS(Table68[Country],Tabela1[[#This Row],[Country]],Table68[Men''s C2 500m Classification],"&gt;0")</f>
        <v>0</v>
      </c>
      <c r="DH137" s="6">
        <f>COUNTIFS(Table68[Country],Tabela1[[#This Row],[Country]],Table68[Women''s C2 500m Classification],"&gt;0")</f>
        <v>0</v>
      </c>
      <c r="DI137" s="6">
        <f>COUNTIFS(Table8[Country],Tabela1[[#This Row],[Country]],Table8[K1 500m Classification],"&gt;0")</f>
        <v>0</v>
      </c>
      <c r="DJ137" s="6">
        <f>COUNTIFS(Table40[Country],Tabela1[[#This Row],[Country]],Table40[K1 1000m Classification],"&gt;0")</f>
        <v>0</v>
      </c>
      <c r="DK137" s="6">
        <f>COUNTIFS(Table68[Country],Tabela1[[#This Row],[Country]],Table68[Men''s K2 500m Classification],"&gt;0")</f>
        <v>0</v>
      </c>
      <c r="DL137" s="6">
        <f>COUNTIFS(Table68[Country],Tabela1[[#This Row],[Country]],Table68[Women''s K2 500m Classification],"&gt;0")</f>
        <v>0</v>
      </c>
      <c r="DM137" s="6">
        <f>COUNTIFS(Table83[Country],Tabela1[[#This Row],[Country]],Table83[Men''s K4 500m Classification],"&gt;0")</f>
        <v>0</v>
      </c>
      <c r="DN137" s="6">
        <f>COUNTIFS(Table83[Country],Tabela1[[#This Row],[Country]],Table83[Women''s K4 500m Classification],"&gt;0")</f>
        <v>0</v>
      </c>
      <c r="DO137" s="6">
        <f>COUNTIFS(Tabela126[Country],Tabela1[[#This Row],[Country]],Tabela126[Classification],"&gt;0")</f>
        <v>0</v>
      </c>
      <c r="DP137" s="6">
        <f>COUNTIFS(Tabela126130[Country],Tabela1[[#This Row],[Country]],Tabela126130[Classification],"&gt;0")</f>
        <v>0</v>
      </c>
      <c r="DQ137" s="6">
        <f>COUNTIFS(Table70[Country],Tabela1[[#This Row],[Country]],Table70[Classification],"&gt;0")</f>
        <v>0</v>
      </c>
      <c r="DR137" s="6">
        <f>COUNTIFS(Table80[Country],Tabela1[[#This Row],[Country]],Table80[Classification],"&gt;0")</f>
        <v>0</v>
      </c>
      <c r="DS137" s="6">
        <f>COUNTIFS(Table66[Country],Tabela1[[#This Row],[Country]],Table66[Classification],"&gt;0")</f>
        <v>0</v>
      </c>
      <c r="DT137" s="6">
        <f>COUNTIFS(Table67[Country],Tabela1[[#This Row],[Country]],Table67[Classification],"&gt;0")</f>
        <v>0</v>
      </c>
      <c r="DU137" s="6">
        <f>COUNTIFS(Table69[Country],Tabela1[[#This Row],[Country]],Table69[Keirin Classification],"&gt;0")</f>
        <v>0</v>
      </c>
      <c r="DV137" s="6">
        <f>COUNTIFS(Table41[Country],Tabela1[[#This Row],[Country]],Table41[Keirin Classification],"&gt;0")</f>
        <v>0</v>
      </c>
      <c r="DW137" s="6">
        <f>COUNTIFS(Table84[Country],Tabela1[[#This Row],[Country]],Table84[Men''s Madison Classification],"&gt;0")</f>
        <v>0</v>
      </c>
      <c r="DX137" s="6">
        <f>COUNTIFS(Table84[Country],Tabela1[[#This Row],[Country]],Table84[Women''s Madison Classification],"&gt;0")</f>
        <v>0</v>
      </c>
      <c r="DY137" s="6">
        <f>COUNTIFS(Table69[Country],Tabela1[[#This Row],[Country]],Table69[Omnium Classification],"&gt;0")</f>
        <v>0</v>
      </c>
      <c r="DZ137" s="6">
        <f>COUNTIFS(Table41[Country],Tabela1[[#This Row],[Country]],Table41[Omnium Classification],"&gt;0")</f>
        <v>0</v>
      </c>
      <c r="EA137" s="6">
        <f>COUNTIFS(Table9[Country],Tabela1[[#This Row],[Country]],Table9[Road Race Classification],"&gt;0")</f>
        <v>0</v>
      </c>
      <c r="EB137" s="6">
        <f>COUNTIFS(Table14[Country],Tabela1[[#This Row],[Country]],Table14[Road Race Classification],"&gt;0")</f>
        <v>0</v>
      </c>
      <c r="EC137" s="6">
        <f>COUNTIFS(Table69[Country],Tabela1[[#This Row],[Country]],Table69[Sprint Classification],"&gt;0")</f>
        <v>0</v>
      </c>
      <c r="ED137" s="6">
        <f>COUNTIFS(Table41[Country],Tabela1[[#This Row],[Country]],Table41[Sprint Classification],"&gt;0")</f>
        <v>0</v>
      </c>
      <c r="EE137" s="6">
        <f>COUNTIFS(Table85[Country],Tabela1[[#This Row],[Country]],Table85[Men''s Sprint Classification],"&gt;0")</f>
        <v>0</v>
      </c>
      <c r="EF137" s="6">
        <f>COUNTIFS(Table85[Country],Tabela1[[#This Row],[Country]],Table85[Women''s Sprint Classification],"&gt;0")</f>
        <v>0</v>
      </c>
      <c r="EG137" s="6">
        <f>COUNTIFS(Table85[Country],Tabela1[[#This Row],[Country]],Table85[Men''s Pursuit Classification],"&gt;0")</f>
        <v>0</v>
      </c>
      <c r="EH137" s="6">
        <f>COUNTIFS(Table85[Country],Tabela1[[#This Row],[Country]],Table85[Women''s Pursuit Classification],"&gt;0")</f>
        <v>0</v>
      </c>
      <c r="EI137" s="6">
        <f>COUNTIFS(Table9[Country],Tabela1[[#This Row],[Country]],Table9[Time-Trial Classification],"&gt;0")</f>
        <v>0</v>
      </c>
      <c r="EJ137" s="6">
        <f>COUNTIFS(Table14[Country],Tabela1[[#This Row],[Country]],Table14[Time-Trial Classification],"&gt;0")</f>
        <v>0</v>
      </c>
      <c r="EK137" s="6">
        <f>COUNTIFS(Table42[Country],Tabela1[[#This Row],[Country]],Table42[Springboard Classification],"&gt;0")</f>
        <v>0</v>
      </c>
      <c r="EL137" s="6">
        <f>COUNTIFS(Table43[Country],Tabela1[[#This Row],[Country]],Table43[Springboard Classification],"&gt;0")</f>
        <v>0</v>
      </c>
      <c r="EM137" s="6">
        <f>COUNTIFS(Table42[Country],Tabela1[[#This Row],[Country]],Table42[Platform Classification],"&gt;0")</f>
        <v>0</v>
      </c>
      <c r="EN137" s="6">
        <f>COUNTIFS(Table43[Country],Tabela1[[#This Row],[Country]],Table43[Platform Classification],"&gt;0")</f>
        <v>0</v>
      </c>
      <c r="EO137" s="6">
        <f>COUNTIFS(Table86[Country],Tabela1[[#This Row],[Country]],Table86[Men''s Synchronized Springboard Classification],"&gt;0")</f>
        <v>0</v>
      </c>
      <c r="EP137" s="6">
        <f>COUNTIFS(Table86[Country],Tabela1[[#This Row],[Country]],Table86[Women''s Synchronized Springboard Classification],"&gt;0")</f>
        <v>0</v>
      </c>
      <c r="EQ137" s="6">
        <f>COUNTIFS(Table86[Country],Tabela1[[#This Row],[Country]],Table86[Men''s Synchronized Platform Classification],"&gt;0")</f>
        <v>0</v>
      </c>
      <c r="ER137" s="6">
        <f>COUNTIFS(Table86[Country],Tabela1[[#This Row],[Country]],Table86[Women''s Synchronized Platform Classification],"&gt;0")</f>
        <v>0</v>
      </c>
      <c r="ES137" s="6">
        <f>COUNTIFS(Table44[Country],Tabela1[[#This Row],[Country]],Table44[Dressage Classification],"&gt;0")</f>
        <v>0</v>
      </c>
      <c r="ET137" s="6">
        <f>COUNTIFS(Table45[Country],Tabela1[[#This Row],[Country]],Table45[Dressage Classification],"&gt;0")</f>
        <v>0</v>
      </c>
      <c r="EU137" s="6">
        <f>COUNTIFS(Table44[Country],Tabela1[[#This Row],[Country]],Table44[Eventing Classification],"&gt;0")</f>
        <v>0</v>
      </c>
      <c r="EV137" s="6">
        <f>COUNTIFS(Table45[Country],Tabela1[[#This Row],[Country]],Table45[Eventing Classification],"&gt;0")</f>
        <v>0</v>
      </c>
      <c r="EW137" s="6">
        <f>COUNTIFS(Table44[Country],Tabela1[[#This Row],[Country]],Table44[Jumping Classification],"&gt;0")</f>
        <v>0</v>
      </c>
      <c r="EX137" s="6">
        <f>COUNTIFS(Table45[Country],Tabela1[[#This Row],[Country]],Table45[Jumping Classification],"&gt;0")</f>
        <v>0</v>
      </c>
      <c r="EY137" s="6">
        <f>COUNTIFS(Table10[Country],Tabela1[[#This Row],[Country]],Table10[Épée Classification],"&gt;0")</f>
        <v>0</v>
      </c>
      <c r="EZ137" s="6">
        <f>COUNTIFS(Table11[Country],Tabela1[[#This Row],[Country]],Table11[Épée Classification],"&gt;0")</f>
        <v>0</v>
      </c>
      <c r="FA137" s="6">
        <f>COUNTIFS(Table46[Country],Tabela1[[#This Row],[Country]],Table46[Men''s Épée Classification],"&gt;0")</f>
        <v>0</v>
      </c>
      <c r="FB137" s="6">
        <f>COUNTIFS(Table46[Country],Tabela1[[#This Row],[Country]],Table46[Women''s Épée Classification],"&gt;0")</f>
        <v>0</v>
      </c>
      <c r="FC137" s="6">
        <f>COUNTIFS(Table10[Country],Tabela1[[#This Row],[Country]],Table10[Foil Classification],"&gt;0")</f>
        <v>0</v>
      </c>
      <c r="FD137" s="6">
        <f>COUNTIFS(Table11[Country],Tabela1[[#This Row],[Country]],Table11[Foil Classification],"&gt;0")</f>
        <v>0</v>
      </c>
      <c r="FE137" s="6">
        <f>COUNTIFS(Table46[Country],Tabela1[[#This Row],[Country]],Table46[Men''s Foil Classification],"&gt;0")</f>
        <v>0</v>
      </c>
      <c r="FF137" s="6">
        <f>COUNTIFS(Table46[Country],Tabela1[[#This Row],[Country]],Table46[Women''s Foil Classification],"&gt;0")</f>
        <v>0</v>
      </c>
      <c r="FG137" s="6">
        <f>COUNTIFS(Table10[Country],Tabela1[[#This Row],[Country]],Table10[Sabre Classification],"&gt;0")</f>
        <v>0</v>
      </c>
      <c r="FH137" s="6">
        <f>COUNTIFS(Table11[Country],Tabela1[[#This Row],[Country]],Table11[Sabre Classification],"&gt;0")</f>
        <v>0</v>
      </c>
      <c r="FI137" s="6">
        <f>COUNTIFS(Table46[Country],Tabela1[[#This Row],[Country]],Table46[Men''s Sabre Classification],"&gt;0")</f>
        <v>0</v>
      </c>
      <c r="FJ137" s="6">
        <f>COUNTIFS(Table46[Country],Tabela1[[#This Row],[Country]],Table46[Women''s Sabre Classification],"&gt;0")</f>
        <v>0</v>
      </c>
      <c r="FK137" s="6">
        <f>COUNTIFS(Table91[Country],Tabela1[[#This Row],[Country]],Table91[Men''s Classification],"&gt;0")</f>
        <v>0</v>
      </c>
      <c r="FL137" s="6">
        <f>COUNTIFS(Table91[Country],Tabela1[[#This Row],[Country]],Table91[Women''s Classification],"&gt;0")</f>
        <v>0</v>
      </c>
      <c r="FM137" s="6">
        <f>COUNTIFS(Table9194[Country],Tabela1[[#This Row],[Country]],Table9194[Men''s Classification],"&gt;0")</f>
        <v>0</v>
      </c>
      <c r="FN137" s="6">
        <f>COUNTIFS(Table9194[Country],Tabela1[[#This Row],[Country]],Table9194[Women''s Classification],"&gt;0")</f>
        <v>0</v>
      </c>
      <c r="FO137" s="6">
        <f>COUNTIFS(Table71[Country],Tabela1[[#This Row],[Country]],Table71[Classification],"&gt;0")</f>
        <v>0</v>
      </c>
      <c r="FP137" s="6">
        <f>COUNTIFS(Table62[Country],Tabela1[[#This Row],[Country]],Table62[Classification],"&gt;0")</f>
        <v>0</v>
      </c>
      <c r="FQ137" s="6">
        <f>COUNTIFS(Table47[Country],Tabela1[[#This Row],[Country]],Table47[All-Around Classification],"&gt;0")</f>
        <v>0</v>
      </c>
      <c r="FR137" s="6">
        <f>COUNTIFS(Table48[Country],Tabela1[[#This Row],[Country]],Table48[All-Around Classification],"&gt;0")</f>
        <v>0</v>
      </c>
      <c r="FS137" s="6">
        <f>COUNTIFS(Table81[Country],Tabela1[[#This Row],[Country]],Table81[Men''s All-Around Classification],"&gt;0")</f>
        <v>0</v>
      </c>
      <c r="FT137" s="6">
        <f>COUNTIFS(Table81[Country],Tabela1[[#This Row],[Country]],Table81[Women''s All-Around Classification],"&gt;0")</f>
        <v>0</v>
      </c>
      <c r="FU137" s="6">
        <f>COUNTIFS(Table48[Country],Tabela1[[#This Row],[Country]],Table48[Balance Beam Classification],"&gt;0")</f>
        <v>0</v>
      </c>
      <c r="FV137" s="6">
        <f>COUNTIFS(Table47[Country],Tabela1[[#This Row],[Country]],Table47[Floor Exercise Classification],"&gt;0")</f>
        <v>0</v>
      </c>
      <c r="FW137" s="6">
        <f>COUNTIFS(Table48[Country],Tabela1[[#This Row],[Country]],Table48[Floor Exercise Classification],"&gt;0")</f>
        <v>0</v>
      </c>
      <c r="FX137" s="6">
        <f>COUNTIFS(Table47[Country],Tabela1[[#This Row],[Country]],Table47[Horizontal Bar Classification],"&gt;0")</f>
        <v>0</v>
      </c>
      <c r="FY137" s="6">
        <f>COUNTIFS(Table47[Country],Tabela1[[#This Row],[Country]],Table47[Parallel Bars Classification],"&gt;0")</f>
        <v>0</v>
      </c>
      <c r="FZ137" s="6">
        <f>COUNTIFS(Table47[Country],Tabela1[[#This Row],[Country]],Table47[Pommel Horse Classification],"&gt;0")</f>
        <v>0</v>
      </c>
      <c r="GA137" s="6">
        <f>COUNTIFS(Table47[Country],Tabela1[[#This Row],[Country]],Table47[Rings Classification],"&gt;0")</f>
        <v>0</v>
      </c>
      <c r="GB137" s="6">
        <f>COUNTIFS(Tabela132[Country],Tabela1[[#This Row],[Country]],Tabela132[Classification],"&gt;0")</f>
        <v>0</v>
      </c>
      <c r="GC137" s="6">
        <f>COUNTIFS(Tabela139[Country],Tabela1[[#This Row],[Country]],Tabela139[Classification],"&gt;0")</f>
        <v>0</v>
      </c>
      <c r="GD137" s="6">
        <f>COUNTIFS(Table48[Country],Tabela1[[#This Row],[Country]],Table48[Uneven Bars Classification],"&gt;0")</f>
        <v>0</v>
      </c>
      <c r="GE137" s="6">
        <f>COUNTIFS(Table47[Country],Tabela1[[#This Row],[Country]],Table47[Vault Classification],"&gt;0")</f>
        <v>0</v>
      </c>
      <c r="GF137" s="6">
        <f>COUNTIFS(Table48[Country],Tabela1[[#This Row],[Country]],Table48[Vault Classification],"&gt;0")</f>
        <v>0</v>
      </c>
      <c r="GG137" s="6">
        <f>COUNTIFS(Table919496[Country],Tabela1[[#This Row],[Country]],Table919496[Men''s Classification],"&gt;0")</f>
        <v>0</v>
      </c>
      <c r="GH137" s="6">
        <f>COUNTIFS(Table919496[Country],Tabela1[[#This Row],[Country]],Table919496[Women''s Classification],"&gt;0")</f>
        <v>0</v>
      </c>
      <c r="GI137" s="6">
        <f>COUNTIFS(Table12[Country],Tabela1[[#This Row],[Country]],Table12[60kg Classification],"&gt;0")</f>
        <v>0</v>
      </c>
      <c r="GJ137" s="6">
        <f>COUNTIFS(Table12[Country],Tabela1[[#This Row],[Country]],Table12[66kg Classification],"&gt;0")</f>
        <v>0</v>
      </c>
      <c r="GK137" s="6">
        <f>COUNTIFS(Table12[Country],Tabela1[[#This Row],[Country]],Table12[73kg Classification],"&gt;0")</f>
        <v>0</v>
      </c>
      <c r="GL137" s="6">
        <f>COUNTIFS(Table12[Country],Tabela1[[#This Row],[Country]],Table12[81kg Classification],"&gt;0")</f>
        <v>0</v>
      </c>
      <c r="GM137" s="6">
        <f>COUNTIFS(Table12[Country],Tabela1[[#This Row],[Country]],Table12[90kg Classification],"&gt;0")</f>
        <v>0</v>
      </c>
      <c r="GN137" s="6">
        <f>COUNTIFS(Table12[Country],Tabela1[[#This Row],[Country]],Table12[100kg Classification],"&gt;0")</f>
        <v>0</v>
      </c>
      <c r="GO137" s="6">
        <f>COUNTIFS(Table12[Country],Tabela1[[#This Row],[Country]],Table12[Plus 100kg Classification],"&gt;0")</f>
        <v>0</v>
      </c>
      <c r="GP137" s="6">
        <f>COUNTIFS(Table13[Country],Tabela1[[#This Row],[Country]],Table13[48kg Classification],"&gt;0")</f>
        <v>0</v>
      </c>
      <c r="GQ137" s="6">
        <f>COUNTIFS(Table13[Country],Tabela1[[#This Row],[Country]],Table13[52kg Classification],"&gt;0")</f>
        <v>0</v>
      </c>
      <c r="GR137" s="6">
        <f>COUNTIFS(Table13[Country],Tabela1[[#This Row],[Country]],Table13[57kg Classification],"&gt;0")</f>
        <v>0</v>
      </c>
      <c r="GS137" s="6">
        <f>COUNTIFS(Table13[Country],Tabela1[[#This Row],[Country]],Table13[63kg Classification],"&gt;0")</f>
        <v>0</v>
      </c>
      <c r="GT137" s="6">
        <f>COUNTIFS(Table13[Country],Tabela1[[#This Row],[Country]],Table13[70kg Classification],"&gt;0")</f>
        <v>0</v>
      </c>
      <c r="GU137" s="6">
        <f>COUNTIFS(Table13[Country],Tabela1[[#This Row],[Country]],Table13[78kg Classification],"&gt;0")</f>
        <v>0</v>
      </c>
      <c r="GV137" s="6">
        <f>COUNTIFS(Table13[Country],Tabela1[[#This Row],[Country]],Table13[Plus 78kg Classification],"&gt;0")</f>
        <v>0</v>
      </c>
      <c r="GW137" s="6">
        <f>COUNTIFS(Table82[Country],Tabela1[[#This Row],[Country]],Table82[Mixed Classification],"&gt;0")</f>
        <v>0</v>
      </c>
      <c r="GX137" s="6">
        <f>COUNTIFS(Table51[Country],Tabela1[[#This Row],[Country]],Table51[Classification],"&gt;0")</f>
        <v>0</v>
      </c>
      <c r="GY137" s="6">
        <f>COUNTIFS(Table52[Country],Tabela1[[#This Row],[Country]],Table52[Classification],"&gt;0")</f>
        <v>0</v>
      </c>
      <c r="GZ137" s="6">
        <f>COUNTIFS(Table32[Country],Tabela1[[#This Row],[Country]],Table32[All-Around Classification],"&gt;0")</f>
        <v>0</v>
      </c>
      <c r="HA137" s="6">
        <f>COUNTIFS(Table49[Country],Tabela1[[#This Row],[Country]],Table49[All-Around Classification],"&gt;0")</f>
        <v>0</v>
      </c>
      <c r="HB137" s="6">
        <f>COUNTIFS(Table26[Country],Tabela1[[#This Row],[Country]],Table26[Single Sculls Classification],"&gt;0")</f>
        <v>0</v>
      </c>
      <c r="HC137" s="6">
        <f>COUNTIFS(Table63[Country],Tabela1[[#This Row],[Country]],Table63[Single Sculls Classification],"&gt;0")</f>
        <v>0</v>
      </c>
      <c r="HD137" s="6">
        <f>COUNTIFS(Table16[Country],Tabela1[[#This Row],[Country]],Table16[Men''s Double Sculls Classification],"&gt;0")</f>
        <v>0</v>
      </c>
      <c r="HE137" s="6">
        <f>COUNTIFS(Table16[Country],Tabela1[[#This Row],[Country]],Table16[Women''s Double Sculls Classification],"&gt;0")</f>
        <v>0</v>
      </c>
      <c r="HF137" s="6">
        <f>COUNTIFS(Table72[Country],Tabela1[[#This Row],[Country]],Table72[Men''s Quadruple Sculls Classification],"&gt;0")</f>
        <v>0</v>
      </c>
      <c r="HG137" s="6">
        <f>COUNTIFS(Table72[Country],Tabela1[[#This Row],[Country]],Table72[Women''s Quadruple Sculls Classification],"&gt;0")</f>
        <v>0</v>
      </c>
      <c r="HH137" s="6">
        <f>COUNTIFS(Table16[Country],Tabela1[[#This Row],[Country]],Table16[Men''s Coxless Pairs Classification],"&gt;0")</f>
        <v>0</v>
      </c>
      <c r="HI137" s="6">
        <f>COUNTIFS(Table16[Country],Tabela1[[#This Row],[Country]],Table16[Women''s Coxless Pairs Classification],"&gt;0")</f>
        <v>0</v>
      </c>
      <c r="HJ137" s="6">
        <f>COUNTIFS(Table72[Country],Tabela1[[#This Row],[Country]],Table72[Men''s Coxless Fours Classification],"&gt;0")</f>
        <v>0</v>
      </c>
      <c r="HK137" s="6">
        <f>COUNTIFS(Table72[Country],Tabela1[[#This Row],[Country]],Table72[Women''s Coxless Fours Classification],"&gt;0")</f>
        <v>0</v>
      </c>
      <c r="HL137" s="6">
        <f>COUNTIFS(Table72[Country],Tabela1[[#This Row],[Country]],Table72[Men''s Eights Classification],"&gt;0")</f>
        <v>0</v>
      </c>
      <c r="HM137" s="6">
        <f>COUNTIFS(Table72[Country],Tabela1[[#This Row],[Country]],Table72[Women''s Eights Classification],"&gt;0")</f>
        <v>0</v>
      </c>
      <c r="HN137" s="6">
        <f>COUNTIFS(Table16[Country],Tabela1[[#This Row],[Country]],Table16[Men''s Lwt. Double Sculls Classification],"&gt;0")</f>
        <v>0</v>
      </c>
      <c r="HO137" s="6">
        <f>COUNTIFS(Table16[Country],Tabela1[[#This Row],[Country]],Table16[Women''s Lwt. Double Sculls Classification],"&gt;0")</f>
        <v>0</v>
      </c>
      <c r="HP137" s="6">
        <f>COUNTIFS(Table91949698[Country],Tabela1[[#This Row],[Country]],Table91949698[Men''s Classification],"&gt;0")</f>
        <v>0</v>
      </c>
      <c r="HQ137" s="6">
        <f>COUNTIFS(Table91949698[Country],Tabela1[[#This Row],[Country]],Table91949698[Women''s Classification],"&gt;0")</f>
        <v>0</v>
      </c>
      <c r="HR137" s="6">
        <f>COUNTIFS(Table25[Country],Tabela1[[#This Row],[Country]],Table25[Mixed 470 Classification],"&gt;0")</f>
        <v>0</v>
      </c>
      <c r="HS137" s="6">
        <f>COUNTIFS(Table25[Country],Tabela1[[#This Row],[Country]],Table25[Men''s 49er Classification],"&gt;0")</f>
        <v>0</v>
      </c>
      <c r="HT137" s="6">
        <f>COUNTIFS(Table25[Country],Tabela1[[#This Row],[Country]],Table25[Women''s 49er FX Classification],"&gt;0")</f>
        <v>0</v>
      </c>
      <c r="HU137" s="6">
        <f>COUNTIFS(Table17[Country],Tabela1[[#This Row],[Country]],Table17[Formula Kite Classification],"&gt;0")</f>
        <v>0</v>
      </c>
      <c r="HV137" s="6">
        <f>COUNTIFS(Table18[Country],Tabela1[[#This Row],[Country]],Table18[Formula Kite Classification],"&gt;0")</f>
        <v>0</v>
      </c>
      <c r="HW137" s="6">
        <f>COUNTIFS(Table17[Country],Tabela1[[#This Row],[Country]],Table17[ILCA 7 Classification],"&gt;0")</f>
        <v>0</v>
      </c>
      <c r="HX137" s="6">
        <f>COUNTIFS(Table18[Country],Tabela1[[#This Row],[Country]],Table18[ILCA 6 Classification],"&gt;0")</f>
        <v>0</v>
      </c>
      <c r="HY137" s="6">
        <f>COUNTIFS(Table17[Country],Tabela1[[#This Row],[Country]],Table17[IQFoil Classification],"&gt;0")</f>
        <v>0</v>
      </c>
      <c r="HZ137" s="6">
        <f>COUNTIFS(Table18[Country],Tabela1[[#This Row],[Country]],Table18[IQFoil Classification],"&gt;0")</f>
        <v>0</v>
      </c>
      <c r="IA137" s="6">
        <f>COUNTIFS(Table25[Country],Tabela1[[#This Row],[Country]],Table25[Mixed Nacra 17 Classification],"&gt;0")</f>
        <v>0</v>
      </c>
      <c r="IB137" s="6">
        <f>COUNTIFS(Table53[Country],Tabela1[[#This Row],[Country]],Table53[10m Air Pistol Classification],"&gt;0")</f>
        <v>0</v>
      </c>
      <c r="IC137" s="6">
        <f>COUNTIFS(Table19[Country],Tabela1[[#This Row],[Country]],Table19[10m Air Pistol Classification],"&gt;0")</f>
        <v>0</v>
      </c>
      <c r="ID137" s="6">
        <f>COUNTIFS(Table54[Country],Tabela1[[#This Row],[Country]],Table54[Mixed 10m Air Pistol Team Classification],"&gt;0")</f>
        <v>0</v>
      </c>
      <c r="IE137" s="6">
        <f>COUNTIFS(Table53[Country],Tabela1[[#This Row],[Country]],Table53[10m Air Rifle Classification],"&gt;0")</f>
        <v>0</v>
      </c>
      <c r="IF137" s="6">
        <f>COUNTIFS(Table19[Country],Tabela1[[#This Row],[Country]],Table19[10m Air Rifle Classification],"&gt;0")</f>
        <v>0</v>
      </c>
      <c r="IG137" s="6">
        <f>COUNTIFS(Table54[Country],Tabela1[[#This Row],[Country]],Table54[Mixed 10m Air Rifle Team Classification],"&gt;0")</f>
        <v>0</v>
      </c>
      <c r="IH137" s="6">
        <f>COUNTIFS(Table53[Country],Tabela1[[#This Row],[Country]],Table53[25m Rapid Fire Pistol Classification],"&gt;0")</f>
        <v>0</v>
      </c>
      <c r="II137" s="6">
        <f>COUNTIFS(Table19[Country],Tabela1[[#This Row],[Country]],Table19[25m Pistol Classification],"&gt;0")</f>
        <v>0</v>
      </c>
      <c r="IJ137" s="6">
        <f>COUNTIFS(Table53[Country],Tabela1[[#This Row],[Country]],Table53[50m Rifle 3 Positions Classification],"&gt;0")</f>
        <v>0</v>
      </c>
      <c r="IK137" s="6">
        <f>COUNTIFS(Table19[Country],Tabela1[[#This Row],[Country]],Table19[50m Rifle 3 Positions Classification],"&gt;0")</f>
        <v>0</v>
      </c>
      <c r="IL137" s="6">
        <f>COUNTIFS(Table53[Country],Tabela1[[#This Row],[Country]],Table53[Skeet Classification],"&gt;0")</f>
        <v>0</v>
      </c>
      <c r="IM137" s="6">
        <f>COUNTIFS(Table19[Country],Tabela1[[#This Row],[Country]],Table19[Skeet Classification],"&gt;0")</f>
        <v>0</v>
      </c>
      <c r="IN137" s="6">
        <f>COUNTIFS(Table54[Country],Tabela1[[#This Row],[Country]],Table54[Mixed Skeet Team Classification],"&gt;0")</f>
        <v>0</v>
      </c>
      <c r="IO137" s="6">
        <f>COUNTIFS(Table53[Country],Tabela1[[#This Row],[Country]],Table53[Trap Classification],"&gt;0")</f>
        <v>0</v>
      </c>
      <c r="IP137" s="6">
        <f>COUNTIFS(Table19[Country],Tabela1[[#This Row],[Country]],Table19[Trap Classification],"&gt;0")</f>
        <v>0</v>
      </c>
      <c r="IQ137" s="6">
        <f>COUNTIFS(Table73[Country],Tabela1[[#This Row],[Country]],Table73[Park Classification],"&gt;0")</f>
        <v>0</v>
      </c>
      <c r="IR137" s="6">
        <f>COUNTIFS(Table74[Country],Tabela1[[#This Row],[Country]],Table74[Park Classification],"&gt;0")</f>
        <v>0</v>
      </c>
      <c r="IS137" s="6">
        <f>COUNTIFS(Table73[Country],Tabela1[[#This Row],[Country]],Table73[Street Classification],"&gt;0")</f>
        <v>0</v>
      </c>
      <c r="IT137" s="6">
        <f>COUNTIFS(Table74[Country],Tabela1[[#This Row],[Country]],Table74[Street Classification],"&gt;0")</f>
        <v>0</v>
      </c>
      <c r="IU137" s="6">
        <f>COUNTIFS(Table75[Country],Tabela1[[#This Row],[Country]],Table75[Boulder and Lead Classification],"&gt;0")</f>
        <v>0</v>
      </c>
      <c r="IV137" s="6">
        <f>COUNTIFS(Table76[Country],Tabela1[[#This Row],[Country]],Table76[Boulder and Lead Classification],"&gt;0")</f>
        <v>0</v>
      </c>
      <c r="IW137" s="6">
        <f>COUNTIFS(Table75[Country],Tabela1[[#This Row],[Country]],Table75[Speed Classification],"&gt;0")</f>
        <v>0</v>
      </c>
      <c r="IX137" s="6">
        <f>COUNTIFS(Table76[Country],Tabela1[[#This Row],[Country]],Table76[Speed Classification],"&gt;0")</f>
        <v>0</v>
      </c>
      <c r="IY137" s="6">
        <f>COUNTIFS(Table64[Country],Tabela1[[#This Row],[Country]],Table64[Shortboard Classification],"&gt;0")</f>
        <v>0</v>
      </c>
      <c r="IZ137" s="6">
        <f>COUNTIFS(Table77[Country],Tabela1[[#This Row],[Country]],Table77[Shortboard Classification],"&gt;0")</f>
        <v>0</v>
      </c>
      <c r="JA137" s="6">
        <f>COUNTIFS(Table20[Country],Tabela1[[#This Row],[Country]],Table20[50m Freestyle Classification],"&gt;0")</f>
        <v>0</v>
      </c>
      <c r="JB137" s="6">
        <f>COUNTIFS(Table21[Country],Tabela1[[#This Row],[Country]],Table21[50m Freestyle Classification],"&gt;0")</f>
        <v>0</v>
      </c>
      <c r="JC137" s="6">
        <f>COUNTIFS(Table20[Country],Tabela1[[#This Row],[Country]],Table20[100m Freestyle Classification],"&gt;0")</f>
        <v>0</v>
      </c>
      <c r="JD137" s="6">
        <f>COUNTIFS(Table21[Country],Tabela1[[#This Row],[Country]],Table21[100m Freestyle Classification],"&gt;0")</f>
        <v>0</v>
      </c>
      <c r="JE137" s="6">
        <f>COUNTIFS(Table20[Country],Tabela1[[#This Row],[Country]],Table20[200m Freestyle Classification],"&gt;0")</f>
        <v>0</v>
      </c>
      <c r="JF137" s="6">
        <f>COUNTIFS(Table21[Country],Tabela1[[#This Row],[Country]],Table21[200m Freestyle Classification],"&gt;0")</f>
        <v>0</v>
      </c>
      <c r="JG137" s="6">
        <f>COUNTIFS(Table20[Country],Tabela1[[#This Row],[Country]],Table20[400m Freestyle Classification],"&gt;0")</f>
        <v>0</v>
      </c>
      <c r="JH137" s="6">
        <f>COUNTIFS(Table21[Country],Tabela1[[#This Row],[Country]],Table21[400m Freestyle Classification],"&gt;0")</f>
        <v>0</v>
      </c>
      <c r="JI137" s="6">
        <f>COUNTIFS(Table20[Country],Tabela1[[#This Row],[Country]],Table20[800m Freestyle Classification],"&gt;0")</f>
        <v>0</v>
      </c>
      <c r="JJ137" s="6">
        <f>COUNTIFS(Table21[Country],Tabela1[[#This Row],[Country]],Table21[800m Freestyle Classification],"&gt;0")</f>
        <v>0</v>
      </c>
      <c r="JK137" s="6">
        <f>COUNTIFS(Table20[Country],Tabela1[[#This Row],[Country]],Table20[1500m Freestyle Classification],"&gt;0")</f>
        <v>0</v>
      </c>
      <c r="JL137" s="6">
        <f>COUNTIFS(Table21[Country],Tabela1[[#This Row],[Country]],Table21[1500m Freestyle Classification],"&gt;0")</f>
        <v>0</v>
      </c>
      <c r="JM137" s="6">
        <f>COUNTIFS(Table20[Country],Tabela1[[#This Row],[Country]],Table20[100m Backstroke Classification],"&gt;0")</f>
        <v>0</v>
      </c>
      <c r="JN137" s="6">
        <f>COUNTIFS(Table21[Country],Tabela1[[#This Row],[Country]],Table21[100m Backstroke Classification],"&gt;0")</f>
        <v>0</v>
      </c>
      <c r="JO137" s="6">
        <f>COUNTIFS(Table20[Country],Tabela1[[#This Row],[Country]],Table20[200m Backstroke Classification],"&gt;0")</f>
        <v>0</v>
      </c>
      <c r="JP137" s="6">
        <f>COUNTIFS(Table21[Country],Tabela1[[#This Row],[Country]],Table21[200m Backstroke Classification],"&gt;0")</f>
        <v>0</v>
      </c>
      <c r="JQ137" s="6">
        <f>COUNTIFS(Table20[Country],Tabela1[[#This Row],[Country]],Table20[100m Breaststroke Classification],"&gt;0")</f>
        <v>0</v>
      </c>
      <c r="JR137" s="6">
        <f>COUNTIFS(Table21[Country],Tabela1[[#This Row],[Country]],Table21[100m Breaststroke Classification],"&gt;0")</f>
        <v>0</v>
      </c>
      <c r="JS137" s="6">
        <f>COUNTIFS(Table20[Country],Tabela1[[#This Row],[Country]],Table20[200m Breaststroke Classification],"&gt;0")</f>
        <v>0</v>
      </c>
      <c r="JT137" s="6">
        <f>COUNTIFS(Table21[Country],Tabela1[[#This Row],[Country]],Table21[200m Breaststroke Classification],"&gt;0")</f>
        <v>0</v>
      </c>
      <c r="JU137" s="6">
        <f>COUNTIFS(Table20[Country],Tabela1[[#This Row],[Country]],Table20[100m Butterfly Classification],"&gt;0")</f>
        <v>0</v>
      </c>
      <c r="JV137" s="6">
        <f>COUNTIFS(Table21[Country],Tabela1[[#This Row],[Country]],Table21[100m Butterfly Classification],"&gt;0")</f>
        <v>0</v>
      </c>
      <c r="JW137" s="6">
        <f>COUNTIFS(Table20[Country],Tabela1[[#This Row],[Country]],Table20[200m Butterfly Classification],"&gt;0")</f>
        <v>0</v>
      </c>
      <c r="JX137" s="6">
        <f>COUNTIFS(Table21[Country],Tabela1[[#This Row],[Country]],Table21[200m Butterfly Classification],"&gt;0")</f>
        <v>0</v>
      </c>
      <c r="JY137" s="6">
        <f>COUNTIFS(Table20[Country],Tabela1[[#This Row],[Country]],Table20[200m Medley Classification],"&gt;0")</f>
        <v>0</v>
      </c>
      <c r="JZ137" s="6">
        <f>COUNTIFS(Table21[Country],Tabela1[[#This Row],[Country]],Table21[200m Medley Classification],"&gt;0")</f>
        <v>0</v>
      </c>
      <c r="KA137" s="6">
        <f>COUNTIFS(Table20[Country],Tabela1[[#This Row],[Country]],Table20[400m Medley Classification],"&gt;0")</f>
        <v>0</v>
      </c>
      <c r="KB137" s="6">
        <f>COUNTIFS(Table21[Country],Tabela1[[#This Row],[Country]],Table21[400m Medley Classification],"&gt;0")</f>
        <v>0</v>
      </c>
      <c r="KC137" s="6">
        <f>COUNTIFS(Table78[Country],Tabela1[[#This Row],[Country]],Table78[Men''s 4x100m Freestyle Relay Classification],"&gt;0")</f>
        <v>0</v>
      </c>
      <c r="KD137" s="6">
        <f>COUNTIFS(Table78[Country],Tabela1[[#This Row],[Country]],Table78[Women''s 4x100m Freestyle Relay Classification],"&gt;0")</f>
        <v>0</v>
      </c>
      <c r="KE137" s="6">
        <f>COUNTIFS(Table78[Country],Tabela1[[#This Row],[Country]],Table78[Men''s 4x200m Freestyle Relay Classification],"&gt;0")</f>
        <v>0</v>
      </c>
      <c r="KF137" s="6">
        <f>COUNTIFS(Table78[Country],Tabela1[[#This Row],[Country]],Table78[Women''s 4x200m Freestyle Relay Classification],"&gt;0")</f>
        <v>0</v>
      </c>
      <c r="KG137" s="6">
        <f>COUNTIFS(Table78[Country],Tabela1[[#This Row],[Country]],Table78[Men''s 4x100m Medley Relay Classification],"&gt;0")</f>
        <v>0</v>
      </c>
      <c r="KH137" s="6">
        <f>COUNTIFS(Table78[Country],Tabela1[[#This Row],[Country]],Table78[Women''s 4x100m Medley Relay Classification],"&gt;0")</f>
        <v>0</v>
      </c>
      <c r="KI137" s="6">
        <f>COUNTIFS(Table78[Country],Tabela1[[#This Row],[Country]],Table78[Mixed 4x100m Medley Relay Classification],"&gt;0")</f>
        <v>0</v>
      </c>
      <c r="KJ137" s="6">
        <f>COUNTIFS(Table20[Country],Tabela1[[#This Row],[Country]],Table20[10km Open Water Classification],"&gt;0")</f>
        <v>0</v>
      </c>
      <c r="KK137" s="6">
        <f>COUNTIFS(Table21[Country],Tabela1[[#This Row],[Country]],Table21[10km Open Water Classification],"&gt;0")</f>
        <v>0</v>
      </c>
      <c r="KL137" s="6">
        <f>COUNTIFS(Table22[Country],Tabela1[[#This Row],[Country]],Table22[Classification],"&gt;0")</f>
        <v>1</v>
      </c>
      <c r="KM137" s="6">
        <f>COUNTIFS(Table30[Country],Tabela1[[#This Row],[Country]],Table30[Classification],"&gt;0")</f>
        <v>0</v>
      </c>
      <c r="KN137" s="6">
        <f>COUNTIFS(Table55[Country],Tabela1[[#This Row],[Country]],Table55[Men''s Classification],"&gt;0")</f>
        <v>0</v>
      </c>
      <c r="KO137" s="6">
        <f>COUNTIFS(Table55[Country],Tabela1[[#This Row],[Country]],Table55[Women''s Classification],"&gt;0")</f>
        <v>0</v>
      </c>
      <c r="KP137" s="6">
        <f>COUNTIFS(Table56[Country],Tabela1[[#This Row],[Country]],Table56[Mixed Classification],"&gt;0")</f>
        <v>0</v>
      </c>
      <c r="KQ137" s="6">
        <f>COUNTIFS(Table29[Country],Tabela1[[#This Row],[Country]],Table29[58kg Classification],"&gt;0")</f>
        <v>0</v>
      </c>
      <c r="KR137" s="6">
        <f>COUNTIFS(Table29[Country],Tabela1[[#This Row],[Country]],Table29[68kg Classification],"&gt;0")</f>
        <v>0</v>
      </c>
      <c r="KS137" s="6">
        <f>COUNTIFS(Table29[Country],Tabela1[[#This Row],[Country]],Table29[80kg Classification],"&gt;0")</f>
        <v>0</v>
      </c>
      <c r="KT137" s="6">
        <f>COUNTIFS(Table29[Country],Tabela1[[#This Row],[Country]],Table29[Plus 80kg Classification],"&gt;0")</f>
        <v>0</v>
      </c>
      <c r="KU137" s="6">
        <f>COUNTIFS(Table34[Country],Tabela1[[#This Row],[Country]],Table34[49kg Classification],"&gt;0")</f>
        <v>0</v>
      </c>
      <c r="KV137" s="6">
        <f>COUNTIFS(Table34[Country],Tabela1[[#This Row],[Country]],Table34[57kg Classification],"&gt;0")</f>
        <v>0</v>
      </c>
      <c r="KW137" s="6">
        <f>COUNTIFS(Table34[Country],Tabela1[[#This Row],[Country]],Table34[67kg Classification],"&gt;0")</f>
        <v>0</v>
      </c>
      <c r="KX137" s="6">
        <f>COUNTIFS(Table34[Country],Tabela1[[#This Row],[Country]],Table34[Plus 67kg Classification],"&gt;0")</f>
        <v>0</v>
      </c>
      <c r="KY137" s="6">
        <f>COUNTIFS(Table57[Country],Tabela1[[#This Row],[Country]],Table57[Classification],"&gt;0")</f>
        <v>0</v>
      </c>
      <c r="KZ137" s="6">
        <f>COUNTIFS(Table58[Country],Tabela1[[#This Row],[Country]],Table58[Classification],"&gt;0")</f>
        <v>0</v>
      </c>
      <c r="LA137" s="6">
        <f>COUNTIFS(Table79[Country],Tabela1[[#This Row],[Country]],Table79[Men''s Classification],"&gt;0")</f>
        <v>0</v>
      </c>
      <c r="LB137" s="6">
        <f>COUNTIFS(Table79[Country],Tabela1[[#This Row],[Country]],Table79[Women''s Classification],"&gt;0")</f>
        <v>0</v>
      </c>
      <c r="LC137" s="6">
        <f>COUNTIFS(Table79[Country],Tabela1[[#This Row],[Country]],Table79[Mixed Classification],"&gt;0")</f>
        <v>0</v>
      </c>
      <c r="LD137" s="6">
        <f>COUNTIFS(Table65[Country],Tabela1[[#This Row],[Country]],Table65[Classification],"&gt;0")</f>
        <v>0</v>
      </c>
      <c r="LE137" s="6">
        <f>COUNTIFS(Table59[Country],Tabela1[[#This Row],[Country]],Table59[Classification],"&gt;0")</f>
        <v>0</v>
      </c>
      <c r="LF137" s="6">
        <f>COUNTIFS(Table87[Country],Tabela1[[#This Row],[Country]],Table87[Mixed Relay Classification],"&gt;0")</f>
        <v>0</v>
      </c>
      <c r="LG137" s="6">
        <f>COUNTIFS(Table91949698100[Country],Tabela1[[#This Row],[Country]],Table91949698100[Men''s Classification],"&gt;0")</f>
        <v>0</v>
      </c>
      <c r="LH137" s="6">
        <f>COUNTIFS(Table91949698100[Country],Tabela1[[#This Row],[Country]],Table91949698100[Women''s Classification],"&gt;0")</f>
        <v>0</v>
      </c>
      <c r="LI137" s="6">
        <f>COUNTIFS(Table91949698100102[Country],Tabela1[[#This Row],[Country]],Table91949698100102[Men''s Classification],"&gt;0")</f>
        <v>0</v>
      </c>
      <c r="LJ137" s="6">
        <f>COUNTIFS(Table91949698100102[Country],Tabela1[[#This Row],[Country]],Table91949698100102[Women''s Classification],"&gt;0")</f>
        <v>0</v>
      </c>
      <c r="LK137" s="6">
        <f>COUNTIFS(Table23[Country],Tabela1[[#This Row],[Country]],Table23[61kg Classification],"&gt;0")</f>
        <v>0</v>
      </c>
      <c r="LL137" s="6">
        <f>COUNTIFS(Table23[Country],Tabela1[[#This Row],[Country]],Table23[73kg Classification],"&gt;0")</f>
        <v>0</v>
      </c>
      <c r="LM137" s="6">
        <f>COUNTIFS(Table23[Country],Tabela1[[#This Row],[Country]],Table23[89kg Classification],"&gt;0")</f>
        <v>0</v>
      </c>
      <c r="LN137" s="6">
        <f>COUNTIFS(Table23[Country],Tabela1[[#This Row],[Country]],Table23[102kg Classification],"&gt;0")</f>
        <v>0</v>
      </c>
      <c r="LO137" s="6">
        <f>COUNTIFS(Table23[Country],Tabela1[[#This Row],[Country]],Table23[Plus 102kg Classification],"&gt;0")</f>
        <v>0</v>
      </c>
      <c r="LP137" s="6">
        <f>COUNTIFS(Table28[Country],Tabela1[[#This Row],[Country]],Table28[49kg Classification],"&gt;0")</f>
        <v>0</v>
      </c>
      <c r="LQ137" s="6">
        <f>COUNTIFS(Table28[Country],Tabela1[[#This Row],[Country]],Table28[59kg Classification],"&gt;0")</f>
        <v>0</v>
      </c>
      <c r="LR137" s="6">
        <f>COUNTIFS(Table28[Country],Tabela1[[#This Row],[Country]],Table28[71kg Classification],"&gt;0")</f>
        <v>0</v>
      </c>
      <c r="LS137" s="6">
        <f>COUNTIFS(Table28[Country],Tabela1[[#This Row],[Country]],Table28[81kg Classification],"&gt;0")</f>
        <v>0</v>
      </c>
      <c r="LT137" s="6">
        <f>COUNTIFS(Table28[Country],Tabela1[[#This Row],[Country]],Table28[Plus 81kg Classification],"&gt;0")</f>
        <v>0</v>
      </c>
      <c r="LU137" s="6">
        <f>COUNTIFS(Table24[Country],Tabela1[[#This Row],[Country]],Table24[Freestyle 57kg Classification],"&gt;0")</f>
        <v>0</v>
      </c>
      <c r="LV137" s="6">
        <f>COUNTIFS(Table24[Country],Tabela1[[#This Row],[Country]],Table24[Freestyle 65kg Classification],"&gt;0")</f>
        <v>0</v>
      </c>
      <c r="LW137" s="6">
        <f>COUNTIFS(Table24[Country],Tabela1[[#This Row],[Country]],Table24[Freestyle 74kg Classification],"&gt;0")</f>
        <v>0</v>
      </c>
      <c r="LX137" s="6">
        <f>COUNTIFS(Table24[Country],Tabela1[[#This Row],[Country]],Table24[Freestyle 86kg Classification],"&gt;0")</f>
        <v>0</v>
      </c>
      <c r="LY137" s="6">
        <f>COUNTIFS(Table24[Country],Tabela1[[#This Row],[Country]],Table24[Freestyle 97kg Classification],"&gt;0")</f>
        <v>0</v>
      </c>
      <c r="LZ137" s="6">
        <f>COUNTIFS(Table24[Country],Tabela1[[#This Row],[Country]],Table24[Freestyle 125kg Classification],"&gt;0")</f>
        <v>0</v>
      </c>
      <c r="MA137" s="6">
        <f>COUNTIFS(Table24[Country],Tabela1[[#This Row],[Country]],Table24[Greco-Roman 60kg Classification],"&gt;0")</f>
        <v>0</v>
      </c>
      <c r="MB137" s="6">
        <f>COUNTIFS(Table24[Country],Tabela1[[#This Row],[Country]],Table24[Greco-Roman 67kg Classification],"&gt;0")</f>
        <v>0</v>
      </c>
      <c r="MC137" s="6">
        <f>COUNTIFS(Table24[Country],Tabela1[[#This Row],[Country]],Table24[Greco-Roman 77kg Classification],"&gt;0")</f>
        <v>0</v>
      </c>
      <c r="MD137" s="6">
        <f>COUNTIFS(Table24[Country],Tabela1[[#This Row],[Country]],Table24[Greco-Roman 87kg Classification],"&gt;0")</f>
        <v>0</v>
      </c>
      <c r="ME137" s="6">
        <f>COUNTIFS(Table24[Country],Tabela1[[#This Row],[Country]],Table24[Greco-Roman 97kg Classification],"&gt;0")</f>
        <v>0</v>
      </c>
      <c r="MF137" s="6">
        <f>COUNTIFS(Table24[Country],Tabela1[[#This Row],[Country]],Table24[Greco-Roman 130kg Classification],"&gt;0")</f>
        <v>0</v>
      </c>
      <c r="MG137" s="6">
        <f>COUNTIFS(Table31[Country],Tabela1[[#This Row],[Country]],Table31[50kg Classification],"&gt;0")</f>
        <v>0</v>
      </c>
      <c r="MH137" s="6">
        <f>COUNTIFS(Table31[Country],Tabela1[[#This Row],[Country]],Table31[53kg Classification],"&gt;0")</f>
        <v>0</v>
      </c>
      <c r="MI137" s="6">
        <f>COUNTIFS(Table31[Country],Tabela1[[#This Row],[Country]],Table31[57kg Classification],"&gt;0")</f>
        <v>0</v>
      </c>
      <c r="MJ137" s="6">
        <f>COUNTIFS(Table31[Country],Tabela1[[#This Row],[Country]],Table31[62kg Classification],"&gt;0")</f>
        <v>0</v>
      </c>
      <c r="MK137" s="6">
        <f>COUNTIFS(Table31[Country],Tabela1[[#This Row],[Country]],Table31[68kg Classification],"&gt;0")</f>
        <v>0</v>
      </c>
      <c r="ML137" s="6">
        <f>COUNTIFS(Table31[Country],Tabela1[[#This Row],[Country]],Table31[76kg Classification],"&gt;0")</f>
        <v>0</v>
      </c>
      <c r="MM137" s="6">
        <f>COUNTIFS(Table102[Country],Tabela1[[#This Row],[Country]],Table102[Downhill Classification],"&gt;0")</f>
        <v>0</v>
      </c>
      <c r="MN137" s="6">
        <f>COUNTIFS(Table102105[Country],Tabela1[[#This Row],[Country]],Table102105[Downhill Classification],"&gt;0")</f>
        <v>0</v>
      </c>
      <c r="MO137" s="6">
        <f>COUNTIFS(Table102[Country],Tabela1[[#This Row],[Country]],Table102[Giant Slalom Classification],"&gt;0")</f>
        <v>0</v>
      </c>
      <c r="MP137" s="6">
        <f>COUNTIFS(Table102105[Country],Tabela1[[#This Row],[Country]],Table102105[Giant Slalom Classification],"&gt;0")</f>
        <v>0</v>
      </c>
      <c r="MQ137" s="6">
        <f>COUNTIFS(Table102[Country],Tabela1[[#This Row],[Country]],Table102[Slalom Classification],"&gt;0")</f>
        <v>0</v>
      </c>
      <c r="MR137" s="6">
        <f>COUNTIFS(Table102105[Country],Tabela1[[#This Row],[Country]],Table102105[Slalom Classification],"&gt;0")</f>
        <v>0</v>
      </c>
      <c r="MS137" s="6">
        <f>COUNTIFS(Table102[Country],Tabela1[[#This Row],[Country]],Table102[Super-G Classification],"&gt;0")</f>
        <v>0</v>
      </c>
      <c r="MT137" s="6">
        <f>COUNTIFS(Table102105[Country],Tabela1[[#This Row],[Country]],Table102105[Super-G Classification],"&gt;0")</f>
        <v>0</v>
      </c>
      <c r="MU137" s="6">
        <f>COUNTIFS(Table105[Country],Tabela1[[#This Row],[Country]],Table105[Men''s Combined Classification],"&gt;0")</f>
        <v>0</v>
      </c>
      <c r="MV137" s="6">
        <f>COUNTIFS(Table105[Country],Tabela1[[#This Row],[Country]],Table105[Women''s Combined Classification],"&gt;0")</f>
        <v>0</v>
      </c>
      <c r="MW137" s="6">
        <f>COUNTIFS(Table106[Country],Tabela1[[#This Row],[Country]],Table106[Individual Classification],"&gt;0")</f>
        <v>0</v>
      </c>
      <c r="MX137" s="6">
        <f>COUNTIFS(Table106109[Country],Tabela1[[#This Row],[Country]],Table106109[Individual Classification],"&gt;0")</f>
        <v>0</v>
      </c>
      <c r="MY137" s="6">
        <f>COUNTIFS(Table106[Country],Tabela1[[#This Row],[Country]],Table106[Mass Start Classification],"&gt;0")</f>
        <v>0</v>
      </c>
      <c r="MZ137" s="6">
        <f>COUNTIFS(Table106109[Country],Tabela1[[#This Row],[Country]],Table106109[Mass Start Classification],"&gt;0")</f>
        <v>0</v>
      </c>
      <c r="NA137" s="6">
        <f>COUNTIFS(Table106[Country],Tabela1[[#This Row],[Country]],Table106[Pursuit Classification],"&gt;0")</f>
        <v>0</v>
      </c>
      <c r="NB137" s="6">
        <f>COUNTIFS(Table106109[Country],Tabela1[[#This Row],[Country]],Table106109[Pursuit Classification],"&gt;0")</f>
        <v>0</v>
      </c>
      <c r="NC137" s="6">
        <f>COUNTIFS(Table106[Country],Tabela1[[#This Row],[Country]],Table106[Sprint Classification],"&gt;0")</f>
        <v>0</v>
      </c>
      <c r="ND137" s="6">
        <f>COUNTIFS(Table106109[Country],Tabela1[[#This Row],[Country]],Table106109[Sprint Classification],"&gt;0")</f>
        <v>0</v>
      </c>
      <c r="NE137" s="6">
        <f>COUNTIFS(Table109[Country],Tabela1[[#This Row],[Country]],Table109[Men''s Relay Classification],"&gt;0")</f>
        <v>0</v>
      </c>
      <c r="NF137" s="6">
        <f>COUNTIFS(Table109[Country],Tabela1[[#This Row],[Country]],Table109[Women''s Relay Classification],"&gt;0")</f>
        <v>0</v>
      </c>
      <c r="NG137" s="6">
        <f>COUNTIFS(Table109[Country],Tabela1[[#This Row],[Country]],Table109[Mixed Relay Classification],"&gt;0")</f>
        <v>0</v>
      </c>
      <c r="NH137" s="6">
        <f>COUNTIFS(Table110[Country],Tabela1[[#This Row],[Country]],Table110[Monobob Classification],"&gt;0")</f>
        <v>0</v>
      </c>
      <c r="NI137" s="6">
        <f>COUNTIFS(Table111[Country],Tabela1[[#This Row],[Country]],Table111[Men''s Classification],"&gt;0")</f>
        <v>0</v>
      </c>
      <c r="NJ137" s="6">
        <f>COUNTIFS(Table111[Country],Tabela1[[#This Row],[Country]],Table111[Women''s Classification],"&gt;0")</f>
        <v>0</v>
      </c>
      <c r="NK137" s="6">
        <f>COUNTIFS(Table112[Country],Tabela1[[#This Row],[Country]],Table112[Men''s Four Classification],"&gt;0")</f>
        <v>0</v>
      </c>
      <c r="NL137" s="6">
        <f>COUNTIFS(Table113[Country],Tabela1[[#This Row],[Country]],Table113[Classical Classification],"&gt;0")</f>
        <v>0</v>
      </c>
      <c r="NM137" s="6">
        <f>COUNTIFS(Table113116[Country],Tabela1[[#This Row],[Country]],Table113116[Classical Classification],"&gt;0")</f>
        <v>0</v>
      </c>
      <c r="NN137" s="6">
        <f>COUNTIFS(Table113[Country],Tabela1[[#This Row],[Country]],Table113[Freestyle Classification],"&gt;0")</f>
        <v>0</v>
      </c>
      <c r="NO137" s="6">
        <f>COUNTIFS(Table113116[Country],Tabela1[[#This Row],[Country]],Table113116[Freestyle Classification],"&gt;0")</f>
        <v>0</v>
      </c>
      <c r="NP137" s="6">
        <f>COUNTIFS(Table117[Country],Tabela1[[#This Row],[Country]],Table117[Men''s Relay Classification],"&gt;0")</f>
        <v>0</v>
      </c>
      <c r="NQ137" s="6">
        <f>COUNTIFS(Table117[Country],Tabela1[[#This Row],[Country]],Table117[Women''s Relay Classification],"&gt;0")</f>
        <v>0</v>
      </c>
      <c r="NR137" s="6">
        <f>COUNTIFS(Table113[Country],Tabela1[[#This Row],[Country]],Table113[Skiathlon Classification],"&gt;0")</f>
        <v>0</v>
      </c>
      <c r="NS137" s="6">
        <f>COUNTIFS(Table113116[Country],Tabela1[[#This Row],[Country]],Table113116[Skiathlon Classification],"&gt;0")</f>
        <v>0</v>
      </c>
      <c r="NT137" s="6">
        <f>COUNTIFS(Table113[Country],Tabela1[[#This Row],[Country]],Table113[Sprint Classification],"&gt;0")</f>
        <v>0</v>
      </c>
      <c r="NU137" s="6">
        <f>COUNTIFS(Table113116[Country],Tabela1[[#This Row],[Country]],Table113116[Sprint Classification],"&gt;0")</f>
        <v>0</v>
      </c>
      <c r="NV137" s="6">
        <f>COUNTIFS(Table116[Country],Tabela1[[#This Row],[Country]],Table116[Men''s Team Sprint Classification],"&gt;0")</f>
        <v>0</v>
      </c>
      <c r="NW137" s="6">
        <f>COUNTIFS(Table116[Country],Tabela1[[#This Row],[Country]],Table116[Women''s Team Sprint Classification],"&gt;0")</f>
        <v>0</v>
      </c>
      <c r="NX137" s="6">
        <f>COUNTIFS(Table119[Country],Tabela1[[#This Row],[Country]],Table119[Men''s Classification],"&gt;0")</f>
        <v>0</v>
      </c>
      <c r="NY137" s="6">
        <f>COUNTIFS(Table119[Country],Tabela1[[#This Row],[Country]],Table119[Women''s Classification],"&gt;0")</f>
        <v>0</v>
      </c>
      <c r="NZ137" s="6">
        <f>COUNTIFS(Table118[Country],Tabela1[[#This Row],[Country]],Table118[Mixed Classification],"&gt;0")</f>
        <v>0</v>
      </c>
      <c r="OA137" s="6">
        <f>COUNTIFS(Table120[Country],Tabela1[[#This Row],[Country]],Table120[Classification],"&gt;0")</f>
        <v>0</v>
      </c>
      <c r="OB137" s="6">
        <f>COUNTIFS(Table120123[Country],Tabela1[[#This Row],[Country]],Table120123[Classification],"&gt;0")</f>
        <v>0</v>
      </c>
      <c r="OC137" s="6">
        <f>COUNTIFS(Table123[Country],Tabela1[[#This Row],[Country]],Table123[Ice Dance Classification],"&gt;0")</f>
        <v>0</v>
      </c>
      <c r="OD137" s="6">
        <f>COUNTIFS(Table123[Country],Tabela1[[#This Row],[Country]],Table123[Pair Skating Classification],"&gt;0")</f>
        <v>0</v>
      </c>
      <c r="OE137" s="6">
        <f>COUNTIFS(Table124[Country],Tabela1[[#This Row],[Country]],Table124[Mixed Classification],"&gt;0")</f>
        <v>0</v>
      </c>
      <c r="OF137" s="6">
        <f>COUNTIFS(Table125[Country],Tabela1[[#This Row],[Country]],Table125[Aerials Classification],"&gt;0")</f>
        <v>0</v>
      </c>
      <c r="OG137" s="6">
        <f>COUNTIFS(Table125128[Country],Tabela1[[#This Row],[Country]],Table125128[Aerials Classification],"&gt;0")</f>
        <v>0</v>
      </c>
      <c r="OH137" s="6">
        <f>COUNTIFS(Table128[Country],Tabela1[[#This Row],[Country]],Table128[Mixed Aerials Classification],"&gt;0")</f>
        <v>0</v>
      </c>
      <c r="OI137" s="6">
        <f>COUNTIFS(Table125[Country],Tabela1[[#This Row],[Country]],Table125[Big Air Classification],"&gt;0")</f>
        <v>0</v>
      </c>
      <c r="OJ137" s="6">
        <f>COUNTIFS(Table125128[Country],Tabela1[[#This Row],[Country]],Table125128[Big Air Classification],"&gt;0")</f>
        <v>0</v>
      </c>
      <c r="OK137" s="6">
        <f>COUNTIFS(Table125[Country],Tabela1[[#This Row],[Country]],Table125[Dual Moguls Classification],"&gt;0")</f>
        <v>0</v>
      </c>
      <c r="OL137" s="6">
        <f>COUNTIFS(Table125128[Country],Tabela1[[#This Row],[Country]],Table125128[Dual Moguls Classification],"&gt;0")</f>
        <v>0</v>
      </c>
      <c r="OM137" s="6">
        <f>COUNTIFS(Table125[Country],Tabela1[[#This Row],[Country]],Table125[Halfpipe Classification],"&gt;0")</f>
        <v>0</v>
      </c>
      <c r="ON137" s="6">
        <f>COUNTIFS(Table125128[Country],Tabela1[[#This Row],[Country]],Table125128[Halfpipe Classification],"&gt;0")</f>
        <v>0</v>
      </c>
      <c r="OO137" s="6">
        <f>COUNTIFS(Table125[Country],Tabela1[[#This Row],[Country]],Table125[Moguls Classification],"&gt;0")</f>
        <v>0</v>
      </c>
      <c r="OP137" s="6">
        <f>COUNTIFS(Table125128[Country],Tabela1[[#This Row],[Country]],Table125128[Moguls Classification],"&gt;0")</f>
        <v>0</v>
      </c>
      <c r="OQ137" s="6">
        <f>COUNTIFS(Table125[Country],Tabela1[[#This Row],[Country]],Table125[Ski Cross Classification],"&gt;0")</f>
        <v>0</v>
      </c>
      <c r="OR137" s="6">
        <f>COUNTIFS(Table125128[Country],Tabela1[[#This Row],[Country]],Table125128[Ski Cross Classification],"&gt;0")</f>
        <v>0</v>
      </c>
      <c r="OS137" s="6">
        <f>COUNTIFS(Table125[Country],Tabela1[[#This Row],[Country]],Table125[Slopestyle Classification],"&gt;0")</f>
        <v>0</v>
      </c>
      <c r="OT137" s="6">
        <f>COUNTIFS(Table125128[Country],Tabela1[[#This Row],[Country]],Table125128[Slopestyle Classification],"&gt;0")</f>
        <v>0</v>
      </c>
      <c r="OU137" s="6">
        <f>COUNTIFS(Table119131[Country],Tabela1[[#This Row],[Country]],Table119131[Men''s Classification],"&gt;0")</f>
        <v>0</v>
      </c>
      <c r="OV137" s="6">
        <f>COUNTIFS(Table119131[Country],Tabela1[[#This Row],[Country]],Table119131[Women''s Classification],"&gt;0")</f>
        <v>0</v>
      </c>
      <c r="OW137" s="6">
        <f>COUNTIFS(Table131[Country],Tabela1[[#This Row],[Country]],Table131[Classification],"&gt;0")</f>
        <v>0</v>
      </c>
      <c r="OX137" s="6">
        <f>COUNTIFS(Table131134[Country],Tabela1[[#This Row],[Country]],Table131134[Classification],"&gt;0")</f>
        <v>0</v>
      </c>
      <c r="OY137" s="6">
        <f>COUNTIFS(Table134[Country],Tabela1[[#This Row],[Country]],Table134[Men''s Classification],"&gt;0")</f>
        <v>0</v>
      </c>
      <c r="OZ137" s="6">
        <f>COUNTIFS(Table134[Country],Tabela1[[#This Row],[Country]],Table134[Women''s Classification],"&gt;0")</f>
        <v>0</v>
      </c>
      <c r="PA137" s="6">
        <f>COUNTIFS(Table135[Country],Tabela1[[#This Row],[Country]],Table135[Mixed Relay Classification],"&gt;0")</f>
        <v>0</v>
      </c>
      <c r="PB137" s="6">
        <f>COUNTIFS(Table136[Country],Tabela1[[#This Row],[Country]],Table136[Individual Classification],"&gt;0")</f>
        <v>0</v>
      </c>
      <c r="PC137" s="6">
        <f>COUNTIFS(Table136[Country],Tabela1[[#This Row],[Country]],Table136[Sprint Classification],"&gt;0")</f>
        <v>0</v>
      </c>
      <c r="PD137" s="6">
        <f>COUNTIFS(Table137[Country],Tabela1[[#This Row],[Country]],Table137[Men''s Team Sprint Large Hill Classification],"&gt;0")</f>
        <v>0</v>
      </c>
      <c r="PE137" s="6">
        <f>COUNTIFS(Table138[Country],Tabela1[[#This Row],[Country]],Table138[500m Classification],"&gt;0")</f>
        <v>0</v>
      </c>
      <c r="PF137" s="6">
        <f>COUNTIFS(Table138141[Country],Tabela1[[#This Row],[Country]],Table138141[500m Classification],"&gt;0")</f>
        <v>0</v>
      </c>
      <c r="PG137" s="6">
        <f>COUNTIFS(Table138[Country],Tabela1[[#This Row],[Country]],Table138[1000m Classification],"&gt;0")</f>
        <v>0</v>
      </c>
      <c r="PH137" s="6">
        <f>COUNTIFS(Table138141[Country],Tabela1[[#This Row],[Country]],Table138141[1000m Classification],"&gt;0")</f>
        <v>0</v>
      </c>
      <c r="PI137" s="6">
        <f>COUNTIFS(Table138[Country],Tabela1[[#This Row],[Country]],Table138[1500m Classification],"&gt;0")</f>
        <v>0</v>
      </c>
      <c r="PJ137" s="6">
        <f>COUNTIFS(Table138141[Country],Tabela1[[#This Row],[Country]],Table138141[1500m Classification],"&gt;0")</f>
        <v>0</v>
      </c>
      <c r="PK137" s="6">
        <f>COUNTIFS(Table141[Country],Tabela1[[#This Row],[Country]],Table141[Men''s 5000m Relay Classification],"&gt;0")</f>
        <v>0</v>
      </c>
      <c r="PL137" s="6">
        <f>COUNTIFS(Table141[Country],Tabela1[[#This Row],[Country]],Table141[Women''s 3000m Relay Classification],"&gt;0")</f>
        <v>0</v>
      </c>
      <c r="PM137" s="6">
        <f>COUNTIFS(Table141[Country],Tabela1[[#This Row],[Country]],Table141[Mixed 2000m Relay Classification],"&gt;0")</f>
        <v>0</v>
      </c>
      <c r="PN137" s="6">
        <f>COUNTIFS(Table142[Country],Tabela1[[#This Row],[Country]],Table142[Classification],"&gt;0")</f>
        <v>0</v>
      </c>
      <c r="PO137" s="6">
        <f>COUNTIFS(Table142145[Country],Tabela1[[#This Row],[Country]],Table142145[Classification],"&gt;0")</f>
        <v>0</v>
      </c>
      <c r="PP137" s="6">
        <f>COUNTIFS(Tabela15[Country],Tabela1[[#This Row],[Country]],Tabela15[Mixed Team Classification],"&gt;0")</f>
        <v>0</v>
      </c>
      <c r="PQ137" s="6">
        <f>COUNTIFS(Table145[Country],Tabela1[[#This Row],[Country]],Table145[Large Hill Classification],"&gt;0")</f>
        <v>0</v>
      </c>
      <c r="PR137" s="6">
        <f>COUNTIFS(Table145[Country],Tabela1[[#This Row],[Country]],Table145[Normal Hill Classification],"&gt;0")</f>
        <v>0</v>
      </c>
      <c r="PS137" s="6">
        <f>COUNTIFS(Table145148[Country],Tabela1[[#This Row],[Country]],Table145148[Large Hill Classification],"&gt;0")</f>
        <v>0</v>
      </c>
      <c r="PT137" s="6">
        <f>COUNTIFS(Table145148[Country],Tabela1[[#This Row],[Country]],Table145148[Normal Hill Classification],"&gt;0")</f>
        <v>0</v>
      </c>
      <c r="PU137" s="6">
        <f>COUNTIFS(Table148[Country],Tabela1[[#This Row],[Country]],Table148[Men''s Super Team Classification],"&gt;0")</f>
        <v>0</v>
      </c>
      <c r="PV137" s="6">
        <f>COUNTIFS(Tabela114[Country],Tabela1[[#This Row],[Country]],Tabela114[Mixed Normal Hill Classification],"&gt;0")</f>
        <v>0</v>
      </c>
      <c r="PW137" s="6">
        <f>COUNTIFS(Tabela50[Country],Tabela1[[#This Row],[Country]],Tabela50[Sprint Classification],"&gt;0")</f>
        <v>0</v>
      </c>
      <c r="PX137" s="6">
        <f>COUNTIFS(Tabela50101[Country],Tabela1[[#This Row],[Country]],Tabela50101[Sprint Classification],"&gt;0")</f>
        <v>0</v>
      </c>
      <c r="PY137" s="6">
        <f>COUNTIFS(Tabela103[Country],Tabela1[[#This Row],[Country]],Tabela103[Mixed Relay Classification],"&gt;0")</f>
        <v>0</v>
      </c>
      <c r="PZ137" s="6">
        <f>COUNTIFS(Table149[Country],Tabela1[[#This Row],[Country]],Table149[Big Air Classification],"&gt;0")</f>
        <v>0</v>
      </c>
      <c r="QA137" s="6">
        <f>COUNTIFS(Table149152[Country],Tabela1[[#This Row],[Country]],Table149152[Big Air Classification],"&gt;0")</f>
        <v>0</v>
      </c>
      <c r="QB137" s="6">
        <f>COUNTIFS(Table149[Country],Tabela1[[#This Row],[Country]],Table149[Halfpipe Classification],"&gt;0")</f>
        <v>0</v>
      </c>
      <c r="QC137" s="6">
        <f>COUNTIFS(Table149152[Country],Tabela1[[#This Row],[Country]],Table149152[Halfpipe Classification],"&gt;0")</f>
        <v>0</v>
      </c>
      <c r="QD137" s="6">
        <f>COUNTIFS(Table149[Country],Tabela1[[#This Row],[Country]],Table149[Parallel Giant Slalom Classification],"&gt;0")</f>
        <v>0</v>
      </c>
      <c r="QE137" s="6">
        <f>COUNTIFS(Table149152[Country],Tabela1[[#This Row],[Country]],Table149152[Parallel Giant Slalom Classification],"&gt;0")</f>
        <v>0</v>
      </c>
      <c r="QF137" s="6">
        <f>COUNTIFS(Table149[Country],Tabela1[[#This Row],[Country]],Table149[Slopestyle Classification],"&gt;0")</f>
        <v>0</v>
      </c>
      <c r="QG137" s="6">
        <f>COUNTIFS(Table149152[Country],Tabela1[[#This Row],[Country]],Table149152[Slopestyle Classification],"&gt;0")</f>
        <v>0</v>
      </c>
      <c r="QH137" s="6">
        <f>COUNTIFS(Table149[Country],Tabela1[[#This Row],[Country]],Table149[Snowboard Cross Classification],"&gt;0")</f>
        <v>0</v>
      </c>
      <c r="QI137" s="6">
        <f>COUNTIFS(Table149152[Country],Tabela1[[#This Row],[Country]],Table149152[Snowboard Cross Classification],"&gt;0")</f>
        <v>0</v>
      </c>
      <c r="QJ137" s="6">
        <f>COUNTIFS(Table153[Country],Tabela1[[#This Row],[Country]],Table153[Mixed Team Snowboard Cross Classification],"&gt;0")</f>
        <v>0</v>
      </c>
      <c r="QK137" s="6">
        <f>COUNTIFS(Table154[Country],Tabela1[[#This Row],[Country]],Table154[500m Classification],"&gt;0")</f>
        <v>0</v>
      </c>
      <c r="QL137" s="6">
        <f>COUNTIFS(Table154157[Country],Tabela1[[#This Row],[Country]],Table154157[500m Classification],"&gt;0")</f>
        <v>0</v>
      </c>
      <c r="QM137" s="6">
        <f>COUNTIFS(Table154[Country],Tabela1[[#This Row],[Country]],Table154[1000m Classification],"&gt;0")</f>
        <v>0</v>
      </c>
      <c r="QN137" s="6">
        <f>COUNTIFS(Table154157[Country],Tabela1[[#This Row],[Country]],Table154157[1000m Classification],"&gt;0")</f>
        <v>0</v>
      </c>
      <c r="QO137" s="6">
        <f>COUNTIFS(Table154[Country],Tabela1[[#This Row],[Country]],Table154[1500m Classification],"&gt;0")</f>
        <v>0</v>
      </c>
      <c r="QP137" s="6">
        <f>COUNTIFS(Table154157[Country],Tabela1[[#This Row],[Country]],Table154157[1500m Classification],"&gt;0")</f>
        <v>0</v>
      </c>
      <c r="QQ137" s="6">
        <f>COUNTIFS(Table154157[Country],Tabela1[[#This Row],[Country]],Table154157[3000m Classification],"&gt;0")</f>
        <v>0</v>
      </c>
      <c r="QR137" s="6">
        <f>COUNTIFS(Table154[Country],Tabela1[[#This Row],[Country]],Table154[5000m Classification],"&gt;0")</f>
        <v>0</v>
      </c>
      <c r="QS137" s="6">
        <f>COUNTIFS(Table154157[Country],Tabela1[[#This Row],[Country]],Table154157[5000m Classification],"&gt;0")</f>
        <v>0</v>
      </c>
      <c r="QT137" s="6">
        <f>COUNTIFS(Table154[Country],Tabela1[[#This Row],[Country]],Table154[10000m Classification],"&gt;0")</f>
        <v>0</v>
      </c>
      <c r="QU137" s="6">
        <f>COUNTIFS(Table154[Country],Tabela1[[#This Row],[Country]],Table154[Mass Start Classification],"&gt;0")</f>
        <v>0</v>
      </c>
      <c r="QV137" s="6">
        <f>COUNTIFS(Table154157[Country],Tabela1[[#This Row],[Country]],Table154157[Mass Start Classification],"&gt;0")</f>
        <v>0</v>
      </c>
      <c r="QW137" s="6">
        <f>COUNTIFS(Table157[Country],Tabela1[[#This Row],[Country]],Table157[Men''s Pursuit Classification],"&gt;0")</f>
        <v>0</v>
      </c>
      <c r="QX137" s="6">
        <f>COUNTIFS(Table157[Country],Tabela1[[#This Row],[Country]],Table157[Women''s Pursuit Classification],"&gt;0")</f>
        <v>0</v>
      </c>
      <c r="QY137" s="4" t="s">
        <v>555</v>
      </c>
    </row>
    <row r="138" spans="1:467" x14ac:dyDescent="0.3">
      <c r="A138" s="6">
        <v>137</v>
      </c>
      <c r="B138" s="6" t="s">
        <v>626</v>
      </c>
      <c r="C138" t="e" vm="137">
        <f>IF(ISBLANK(Tabela1[[#This Row],[Image Link]]), "", _xlfn.IMAGE(Tabela1[[#This Row],[Image Link]],1,1))</f>
        <v>#VALUE!</v>
      </c>
      <c r="D138" s="6">
        <f>SUM(Tabela1[[#This Row],[Archery - Men''s Individual Recurve]:[Speed Skating - Women''s Team Pursuit]])</f>
        <v>1</v>
      </c>
      <c r="E138" s="6">
        <f>COUNTIF(Tabela1[[#This Row],[Archery - Men''s Individual Recurve]:[Speed Skating - Women''s Team Pursuit]],"&gt;0")</f>
        <v>1</v>
      </c>
      <c r="F138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Winter Olympics</v>
      </c>
      <c r="G138" s="6">
        <f>SUM(Tabela1[[#This Row],[Archery - Men''s Individual Recurve]:[Wrestling - Women''s Freestyle 76kg]])</f>
        <v>0</v>
      </c>
      <c r="H138" s="6">
        <f>SUM(Tabela1[[#This Row],[Alpine Skiing - Men''s Downhill]:[Speed Skating - Women''s Team Pursuit]])</f>
        <v>1</v>
      </c>
      <c r="I138" s="6">
        <f>Tabela1[[#This Row],[Summer Gold Medals]]+Tabela1[[#This Row],[Winter Gold Medals]]</f>
        <v>0</v>
      </c>
      <c r="J138" s="6">
        <f>Tabela1[[#This Row],[Summer Silver Medals]]+Tabela1[[#This Row],[Winter Silver Medals]]</f>
        <v>0</v>
      </c>
      <c r="K138" s="6">
        <f>Tabela1[[#This Row],[Summer Bronze Medals]]+Tabela1[[#This Row],[Winter Bronze Medals]]</f>
        <v>0</v>
      </c>
      <c r="L138" s="6">
        <f>SUM(Tabela1[[#This Row],[Total Gold Medals]:[Total Bronze Medals]])</f>
        <v>0</v>
      </c>
      <c r="M138" s="6"/>
      <c r="N138" s="6"/>
      <c r="O138" s="6"/>
      <c r="P138" s="6">
        <f>SUM(Tabela1[[#This Row],[Summer Gold Medals]:[Summer Bronze Medals]])</f>
        <v>0</v>
      </c>
      <c r="Q138" s="6"/>
      <c r="R138" s="6"/>
      <c r="S138" s="6"/>
      <c r="T138" s="6">
        <f>Tabela1[[#This Row],[Winter Gold Medals]]+Tabela1[[#This Row],[Winter Silver Medals]]+Tabela1[[#This Row],[Winter Bronze Medals]]</f>
        <v>0</v>
      </c>
      <c r="U138" s="7">
        <f>Tabela1[[#This Row],[Total Medals]]/Tabela1[[#This Row],[Total Quotas]]</f>
        <v>0</v>
      </c>
      <c r="V138" s="6">
        <f>COUNTIFS(Table3[Country],Tabela1[[#This Row],[Country]],Table3[Recurve Classification],"&gt;0")</f>
        <v>0</v>
      </c>
      <c r="W138" s="6">
        <f>COUNTIFS(Table33[Country],Tabela1[[#This Row],[Country]],Table33[Recurve Classification],"&gt;0")</f>
        <v>0</v>
      </c>
      <c r="X138" s="6">
        <f>COUNTIFS(Table35[Country],Tabela1[[#This Row],[Country]],Table35[Men''s Team Recurve Classification],"&gt;0")</f>
        <v>0</v>
      </c>
      <c r="Y138" s="6">
        <f>COUNTIFS(Table35[Country],Tabela1[[#This Row],[Country]],Table35[Women''s Team Recurve Classification],"&gt;0")</f>
        <v>0</v>
      </c>
      <c r="Z138" s="6">
        <f>COUNTIFS(Tabela88[Country],Tabela1[[#This Row],[Country]],Tabela88[Mixed Team Recurve Classification],"&gt;0")</f>
        <v>0</v>
      </c>
      <c r="AA138" s="6">
        <f>COUNTIFS(Table36[Country],Tabela1[[#This Row],[Country]],Table36[Classification],"&gt;0")</f>
        <v>0</v>
      </c>
      <c r="AB138" s="6">
        <f>COUNTIFS(Table37[Country],Tabela1[[#This Row],[Country]],Table37[Classification],"&gt;0")</f>
        <v>0</v>
      </c>
      <c r="AC138" s="6">
        <f>COUNTIFS(Table4[Country],Tabela1[[#This Row],[Country]],Table4[100m Classification],"&gt;0")</f>
        <v>0</v>
      </c>
      <c r="AD138" s="6">
        <f>COUNTIFS(Table5[Country],Tabela1[[#This Row],[Country]],Table5[100m Classification],"&gt;0")</f>
        <v>0</v>
      </c>
      <c r="AE138" s="6">
        <f>COUNTIFS(Table4[Country],Tabela1[[#This Row],[Country]],Table4[200m Classification],"&gt;0")</f>
        <v>0</v>
      </c>
      <c r="AF138" s="6">
        <f>COUNTIFS(Table5[Country],Tabela1[[#This Row],[Country]],Table5[200m Classification],"&gt;0")</f>
        <v>0</v>
      </c>
      <c r="AG138" s="6">
        <f>COUNTIFS(Table4[Country],Tabela1[[#This Row],[Country]],Table4[400m Classification],"&gt;0")</f>
        <v>0</v>
      </c>
      <c r="AH138" s="6">
        <f>COUNTIFS(Table5[Country],Tabela1[[#This Row],[Country]],Table5[400m Classification],"&gt;0")</f>
        <v>0</v>
      </c>
      <c r="AI138" s="6">
        <f>COUNTIFS(Table4[Country],Tabela1[[#This Row],[Country]],Table4[800m Classification],"&gt;0")</f>
        <v>0</v>
      </c>
      <c r="AJ138" s="6">
        <f>COUNTIFS(Table5[Country],Tabela1[[#This Row],[Country]],Table5[800m Classification],"&gt;0")</f>
        <v>0</v>
      </c>
      <c r="AK138" s="6">
        <f>COUNTIFS(Table4[Country],Tabela1[[#This Row],[Country]],Table4[1500m Classification],"&gt;0")</f>
        <v>0</v>
      </c>
      <c r="AL138" s="6">
        <f>COUNTIFS(Table5[Country],Tabela1[[#This Row],[Country]],Table5[1500m Classification],"&gt;0")</f>
        <v>0</v>
      </c>
      <c r="AM138" s="6">
        <f>COUNTIFS(Table4[Country],Tabela1[[#This Row],[Country]],Table4[5000m Classification],"&gt;0")</f>
        <v>0</v>
      </c>
      <c r="AN138" s="6">
        <f>COUNTIFS(Table5[Country],Tabela1[[#This Row],[Country]],Table5[5000m Classification],"&gt;0")</f>
        <v>0</v>
      </c>
      <c r="AO138" s="6">
        <f>COUNTIFS(Table4[Country],Tabela1[[#This Row],[Country]],Table4[10000m Classification],"&gt;0")</f>
        <v>0</v>
      </c>
      <c r="AP138" s="6">
        <f>COUNTIFS(Table5[Country],Tabela1[[#This Row],[Country]],Table5[10000m Classification],"&gt;0")</f>
        <v>0</v>
      </c>
      <c r="AQ138" s="6">
        <f>COUNTIFS(Table4[Country],Tabela1[[#This Row],[Country]],Table4[110m Hurdles Classification],"&gt;0")</f>
        <v>0</v>
      </c>
      <c r="AR138" s="6">
        <f>COUNTIFS(Table5[Country],Tabela1[[#This Row],[Country]],Table5[100m Hurdles Classification],"&gt;0")</f>
        <v>0</v>
      </c>
      <c r="AS138" s="6">
        <f>COUNTIFS(Table4[Country],Tabela1[[#This Row],[Country]],Table4[400m Hurdles Classification],"&gt;0")</f>
        <v>0</v>
      </c>
      <c r="AT138" s="6">
        <f>COUNTIFS(Table5[Country],Tabela1[[#This Row],[Country]],Table5[400m Hurdles Classification],"&gt;0")</f>
        <v>0</v>
      </c>
      <c r="AU138" s="6">
        <f>COUNTIFS(Table4[Country],Tabela1[[#This Row],[Country]],Table4[3000m Steeplechase Classification],"&gt;0")</f>
        <v>0</v>
      </c>
      <c r="AV138" s="6">
        <f>COUNTIFS(Table5[Country],Tabela1[[#This Row],[Country]],Table5[3000m Steeplechase Classification],"&gt;0")</f>
        <v>0</v>
      </c>
      <c r="AW138" s="6">
        <f>COUNTIFS(Table27[Country],Tabela1[[#This Row],[Country]],Table27[Men''s 4x100m Relay Classification],"&gt;0")</f>
        <v>0</v>
      </c>
      <c r="AX138" s="6">
        <f>COUNTIFS(Table27[Country],Tabela1[[#This Row],[Country]],Table27[Women''s 4x100m Relay Classification],"&gt;0")</f>
        <v>0</v>
      </c>
      <c r="AY138" s="6">
        <f>COUNTIFS(Table27[Country],Tabela1[[#This Row],[Country]],Table27[Men''s 4x400m Relay Classification],"&gt;0")</f>
        <v>0</v>
      </c>
      <c r="AZ138" s="6">
        <f>COUNTIFS(Table27[Country],Tabela1[[#This Row],[Country]],Table27[Women''s 4x400m Relay Classification],"&gt;0")</f>
        <v>0</v>
      </c>
      <c r="BA138" s="6">
        <f>COUNTIFS(Table27[Country],Tabela1[[#This Row],[Country]],Table27[Mixed 4x400m Relay Classification],"&gt;0")</f>
        <v>0</v>
      </c>
      <c r="BB138" s="6">
        <f>COUNTIFS(Table4[Country],Tabela1[[#This Row],[Country]],Table4[Marathon Classification],"&gt;0")</f>
        <v>0</v>
      </c>
      <c r="BC138" s="6">
        <f>COUNTIFS(Table5[Country],Tabela1[[#This Row],[Country]],Table5[Marathon Classification],"&gt;0")</f>
        <v>0</v>
      </c>
      <c r="BD138" s="6">
        <f>COUNTIFS(Table4[Country],Tabela1[[#This Row],[Country]],Table4[20km Race Walk Classification],"&gt;0")</f>
        <v>0</v>
      </c>
      <c r="BE138" s="6">
        <f>COUNTIFS(Table5[Country],Tabela1[[#This Row],[Country]],Table5[20km Race Walk Classification],"&gt;0")</f>
        <v>0</v>
      </c>
      <c r="BF138" s="6">
        <f>COUNTIFS(Tabela96[Country],Tabela1[[#This Row],[Country]],Tabela96[Mixed Marathon Race Walk Relay Classification],"&gt;0")</f>
        <v>0</v>
      </c>
      <c r="BG138" s="6">
        <f>COUNTIFS(Table4[Country],Tabela1[[#This Row],[Country]],Table4[Discus Throw Classification],"&gt;0")</f>
        <v>0</v>
      </c>
      <c r="BH138" s="6">
        <f>COUNTIFS(Table5[Country],Tabela1[[#This Row],[Country]],Table5[Discus Throw Classification],"&gt;0")</f>
        <v>0</v>
      </c>
      <c r="BI138" s="6">
        <f>COUNTIFS(Table4[Country],Tabela1[[#This Row],[Country]],Table4[Hammer Throw Classification],"&gt;0")</f>
        <v>0</v>
      </c>
      <c r="BJ138" s="6">
        <f>COUNTIFS(Table5[Country],Tabela1[[#This Row],[Country]],Table5[Hammer Throw Classification],"&gt;0")</f>
        <v>0</v>
      </c>
      <c r="BK138" s="6">
        <f>COUNTIFS(Table4[Country],Tabela1[[#This Row],[Country]],Table4[High Jump Classification],"&gt;0")</f>
        <v>0</v>
      </c>
      <c r="BL138" s="6">
        <f>COUNTIFS(Table5[Country],Tabela1[[#This Row],[Country]],Table5[High Jump Classification],"&gt;0")</f>
        <v>0</v>
      </c>
      <c r="BM138" s="6">
        <f>COUNTIFS(Table4[Country],Tabela1[[#This Row],[Country]],Table4[Javelin Throw Classification],"&gt;0")</f>
        <v>0</v>
      </c>
      <c r="BN138" s="6">
        <f>COUNTIFS(Table5[Country],Tabela1[[#This Row],[Country]],Table5[Javelin Throw Classification],"&gt;0")</f>
        <v>0</v>
      </c>
      <c r="BO138" s="6">
        <f>COUNTIFS(Table4[Country],Tabela1[[#This Row],[Country]],Table4[Long Jump Classification],"&gt;0")</f>
        <v>0</v>
      </c>
      <c r="BP138" s="6">
        <f>COUNTIFS(Table5[Country],Tabela1[[#This Row],[Country]],Table5[Long Jump Classification],"&gt;0")</f>
        <v>0</v>
      </c>
      <c r="BQ138" s="6">
        <f>COUNTIFS(Table4[Country],Tabela1[[#This Row],[Country]],Table4[Pole Vault Classification],"&gt;0")</f>
        <v>0</v>
      </c>
      <c r="BR138" s="6">
        <f>COUNTIFS(Table5[Country],Tabela1[[#This Row],[Country]],Table5[Pole Vault Classification],"&gt;0")</f>
        <v>0</v>
      </c>
      <c r="BS138" s="6">
        <f>COUNTIFS(Table4[Country],Tabela1[[#This Row],[Country]],Table4[Shot Put Classification],"&gt;0")</f>
        <v>0</v>
      </c>
      <c r="BT138" s="6">
        <f>COUNTIFS(Table5[Country],Tabela1[[#This Row],[Country]],Table5[Shot Put Classification],"&gt;0")</f>
        <v>0</v>
      </c>
      <c r="BU138" s="6">
        <f>COUNTIFS(Table4[Country],Tabela1[[#This Row],[Country]],Table4[Triple Jump Classification],"&gt;0")</f>
        <v>0</v>
      </c>
      <c r="BV138" s="6">
        <f>COUNTIFS(Table5[Country],Tabela1[[#This Row],[Country]],Table5[Triple Jump Classification],"&gt;0")</f>
        <v>0</v>
      </c>
      <c r="BW138" s="6">
        <f>COUNTIFS(Table4[Country],Tabela1[[#This Row],[Country]],Table4[Decathlon Classification],"&gt;0")</f>
        <v>0</v>
      </c>
      <c r="BX138" s="6">
        <f>COUNTIFS(Table5[Country],Tabela1[[#This Row],[Country]],Table5[Heptathlon Classification],"&gt;0")</f>
        <v>0</v>
      </c>
      <c r="BY138" s="6">
        <f>COUNTIFS(Table61[Country],Tabela1[[#This Row],[Country]],Table61[Classification],"&gt;0")</f>
        <v>0</v>
      </c>
      <c r="BZ138" s="6">
        <f>COUNTIFS(Table38[Country],Tabela1[[#This Row],[Country]],Table38[Classification],"&gt;0")</f>
        <v>0</v>
      </c>
      <c r="CA138" s="6">
        <f>COUNTIFS(Table39[Country],Tabela1[[#This Row],[Country]],Table39[Men''s Classification],"&gt;0")</f>
        <v>0</v>
      </c>
      <c r="CB138" s="6">
        <f>COUNTIFS(Table39[Country],Tabela1[[#This Row],[Country]],Table39[Women''s Classification],"&gt;0")</f>
        <v>0</v>
      </c>
      <c r="CC138" s="6">
        <f>COUNTIFS(Table39[Country],Tabela1[[#This Row],[Country]],Table39[Mixed Classification],"&gt;0")</f>
        <v>0</v>
      </c>
      <c r="CD138" s="6">
        <f>COUNTIFS(Table89[Country],Tabela1[[#This Row],[Country]],Table89[Men''s Classification],"&gt;0")</f>
        <v>0</v>
      </c>
      <c r="CE138" s="6">
        <f>COUNTIFS(Table89[Country],Tabela1[[#This Row],[Country]],Table89[Women''s Classification],"&gt;0")</f>
        <v>0</v>
      </c>
      <c r="CF138" s="6">
        <f>COUNTIFS(Table90[Country],Tabela1[[#This Row],[Country]],Table90[Men''s Classification],"&gt;0")</f>
        <v>0</v>
      </c>
      <c r="CG138" s="6">
        <f>COUNTIFS(Table90[Country],Tabela1[[#This Row],[Country]],Table90[Women''s Classification],"&gt;0")</f>
        <v>0</v>
      </c>
      <c r="CH138" s="6">
        <f>COUNTIFS(Table60[Country],Tabela1[[#This Row],[Country]],Table60[Men''s Classification],"&gt;0")</f>
        <v>0</v>
      </c>
      <c r="CI138" s="6">
        <f>COUNTIFS(Table60[Country],Tabela1[[#This Row],[Country]],Table60[Women''s Classification],"&gt;0")</f>
        <v>0</v>
      </c>
      <c r="CJ138" s="6">
        <f>COUNTIFS(Table6[Country],Tabela1[[#This Row],[Country]],Table6[51kg Classification],"&gt;0")</f>
        <v>0</v>
      </c>
      <c r="CK138" s="6">
        <f>COUNTIFS(Table6[Country],Tabela1[[#This Row],[Country]],Table6[57kg Classification],"&gt;0")</f>
        <v>0</v>
      </c>
      <c r="CL138" s="6">
        <f>COUNTIFS(Table6[Country],Tabela1[[#This Row],[Country]],Table6[63.5kg Classification],"&gt;0")</f>
        <v>0</v>
      </c>
      <c r="CM138" s="6">
        <f>COUNTIFS(Table6[Country],Tabela1[[#This Row],[Country]],Table6[71kg Classification],"&gt;0")</f>
        <v>0</v>
      </c>
      <c r="CN138" s="6">
        <f>COUNTIFS(Table6[Country],Tabela1[[#This Row],[Country]],Table6[80kg Classification],"&gt;0")</f>
        <v>0</v>
      </c>
      <c r="CO138" s="6">
        <f>COUNTIFS(Table6[Country],Tabela1[[#This Row],[Country]],Table6[92kg Classification],"&gt;0")</f>
        <v>0</v>
      </c>
      <c r="CP138" s="6">
        <f>COUNTIFS(Table6[Country],Tabela1[[#This Row],[Country]],Table6[Plus 92kg Classification],"&gt;0")</f>
        <v>0</v>
      </c>
      <c r="CQ138" s="6">
        <f>COUNTIFS(Table7[Country],Tabela1[[#This Row],[Country]],Table7[50kg Classification],"&gt;0")</f>
        <v>0</v>
      </c>
      <c r="CR138" s="6">
        <f>COUNTIFS(Table7[Country],Tabela1[[#This Row],[Country]],Table7[54kg Classification],"&gt;0")</f>
        <v>0</v>
      </c>
      <c r="CS138" s="6">
        <f>COUNTIFS(Table7[Country],Tabela1[[#This Row],[Country]],Table7[57kg Classification],"&gt;0")</f>
        <v>0</v>
      </c>
      <c r="CT138" s="6">
        <f>COUNTIFS(Table7[Country],Tabela1[[#This Row],[Country]],Table7[60kg Classification],"&gt;0")</f>
        <v>0</v>
      </c>
      <c r="CU138" s="6">
        <f>COUNTIFS(Table7[Country],Tabela1[[#This Row],[Country]],Table7[66kg Classification],"&gt;0")</f>
        <v>0</v>
      </c>
      <c r="CV138" s="6">
        <f>COUNTIFS(Table7[Country],Tabela1[[#This Row],[Country]],Table7[75kg Classification],"&gt;0")</f>
        <v>0</v>
      </c>
      <c r="CW138" s="6">
        <f>COUNTIFS(Tabela94[Country],Tabela1[[#This Row],[Country]],Tabela94[Classification],"&gt;0")</f>
        <v>0</v>
      </c>
      <c r="CX138" s="6">
        <f>COUNTIFS(Tabela9499[Country],Tabela1[[#This Row],[Country]],Tabela9499[Classification],"&gt;0")</f>
        <v>0</v>
      </c>
      <c r="CY138" s="6">
        <f>COUNTIFS(Tabela107[Country],Tabela1[[#This Row],[Country]],Tabela107[C1 Slalom Classification],"&gt;0")</f>
        <v>0</v>
      </c>
      <c r="CZ138" s="6">
        <f>COUNTIFS(Tabela107122[Country],Tabela1[[#This Row],[Country]],Tabela107122[C1 Slalom Classification],"&gt;0")</f>
        <v>0</v>
      </c>
      <c r="DA138" s="6">
        <f>COUNTIFS(Tabela107[Country],Tabela1[[#This Row],[Country]],Tabela107[K1 Slalom Classification],"&gt;0")</f>
        <v>0</v>
      </c>
      <c r="DB138" s="6">
        <f>COUNTIFS(Tabela107122[Country],Tabela1[[#This Row],[Country]],Tabela107122[K1 Slalom Classification],"&gt;0")</f>
        <v>0</v>
      </c>
      <c r="DC138" s="6">
        <f>COUNTIFS(Tabela107[Country],Tabela1[[#This Row],[Country]],Tabela107[Kayak Cross Slalom Classification],"&gt;0")</f>
        <v>0</v>
      </c>
      <c r="DD138" s="6">
        <f>COUNTIFS(Tabela107122[Country],Tabela1[[#This Row],[Country]],Tabela107122[Kayak Cross Slalom Classification],"&gt;0")</f>
        <v>0</v>
      </c>
      <c r="DE138" s="6">
        <f>COUNTIFS(Table8[Country],Tabela1[[#This Row],[Country]],Table8[C1 200m Classification],"&gt;0")</f>
        <v>0</v>
      </c>
      <c r="DF138" s="6">
        <f>COUNTIFS(Table40[Country],Tabela1[[#This Row],[Country]],Table40[C1 1000m Classification],"&gt;0")</f>
        <v>0</v>
      </c>
      <c r="DG138" s="6">
        <f>COUNTIFS(Table68[Country],Tabela1[[#This Row],[Country]],Table68[Men''s C2 500m Classification],"&gt;0")</f>
        <v>0</v>
      </c>
      <c r="DH138" s="6">
        <f>COUNTIFS(Table68[Country],Tabela1[[#This Row],[Country]],Table68[Women''s C2 500m Classification],"&gt;0")</f>
        <v>0</v>
      </c>
      <c r="DI138" s="6">
        <f>COUNTIFS(Table8[Country],Tabela1[[#This Row],[Country]],Table8[K1 500m Classification],"&gt;0")</f>
        <v>0</v>
      </c>
      <c r="DJ138" s="6">
        <f>COUNTIFS(Table40[Country],Tabela1[[#This Row],[Country]],Table40[K1 1000m Classification],"&gt;0")</f>
        <v>0</v>
      </c>
      <c r="DK138" s="6">
        <f>COUNTIFS(Table68[Country],Tabela1[[#This Row],[Country]],Table68[Men''s K2 500m Classification],"&gt;0")</f>
        <v>0</v>
      </c>
      <c r="DL138" s="6">
        <f>COUNTIFS(Table68[Country],Tabela1[[#This Row],[Country]],Table68[Women''s K2 500m Classification],"&gt;0")</f>
        <v>0</v>
      </c>
      <c r="DM138" s="6">
        <f>COUNTIFS(Table83[Country],Tabela1[[#This Row],[Country]],Table83[Men''s K4 500m Classification],"&gt;0")</f>
        <v>0</v>
      </c>
      <c r="DN138" s="6">
        <f>COUNTIFS(Table83[Country],Tabela1[[#This Row],[Country]],Table83[Women''s K4 500m Classification],"&gt;0")</f>
        <v>0</v>
      </c>
      <c r="DO138" s="6">
        <f>COUNTIFS(Tabela126[Country],Tabela1[[#This Row],[Country]],Tabela126[Classification],"&gt;0")</f>
        <v>0</v>
      </c>
      <c r="DP138" s="6">
        <f>COUNTIFS(Tabela126130[Country],Tabela1[[#This Row],[Country]],Tabela126130[Classification],"&gt;0")</f>
        <v>0</v>
      </c>
      <c r="DQ138" s="6">
        <f>COUNTIFS(Table70[Country],Tabela1[[#This Row],[Country]],Table70[Classification],"&gt;0")</f>
        <v>0</v>
      </c>
      <c r="DR138" s="6">
        <f>COUNTIFS(Table80[Country],Tabela1[[#This Row],[Country]],Table80[Classification],"&gt;0")</f>
        <v>0</v>
      </c>
      <c r="DS138" s="6">
        <f>COUNTIFS(Table66[Country],Tabela1[[#This Row],[Country]],Table66[Classification],"&gt;0")</f>
        <v>0</v>
      </c>
      <c r="DT138" s="6">
        <f>COUNTIFS(Table67[Country],Tabela1[[#This Row],[Country]],Table67[Classification],"&gt;0")</f>
        <v>0</v>
      </c>
      <c r="DU138" s="6">
        <f>COUNTIFS(Table69[Country],Tabela1[[#This Row],[Country]],Table69[Keirin Classification],"&gt;0")</f>
        <v>0</v>
      </c>
      <c r="DV138" s="6">
        <f>COUNTIFS(Table41[Country],Tabela1[[#This Row],[Country]],Table41[Keirin Classification],"&gt;0")</f>
        <v>0</v>
      </c>
      <c r="DW138" s="6">
        <f>COUNTIFS(Table84[Country],Tabela1[[#This Row],[Country]],Table84[Men''s Madison Classification],"&gt;0")</f>
        <v>0</v>
      </c>
      <c r="DX138" s="6">
        <f>COUNTIFS(Table84[Country],Tabela1[[#This Row],[Country]],Table84[Women''s Madison Classification],"&gt;0")</f>
        <v>0</v>
      </c>
      <c r="DY138" s="6">
        <f>COUNTIFS(Table69[Country],Tabela1[[#This Row],[Country]],Table69[Omnium Classification],"&gt;0")</f>
        <v>0</v>
      </c>
      <c r="DZ138" s="6">
        <f>COUNTIFS(Table41[Country],Tabela1[[#This Row],[Country]],Table41[Omnium Classification],"&gt;0")</f>
        <v>0</v>
      </c>
      <c r="EA138" s="6">
        <f>COUNTIFS(Table9[Country],Tabela1[[#This Row],[Country]],Table9[Road Race Classification],"&gt;0")</f>
        <v>0</v>
      </c>
      <c r="EB138" s="6">
        <f>COUNTIFS(Table14[Country],Tabela1[[#This Row],[Country]],Table14[Road Race Classification],"&gt;0")</f>
        <v>0</v>
      </c>
      <c r="EC138" s="6">
        <f>COUNTIFS(Table69[Country],Tabela1[[#This Row],[Country]],Table69[Sprint Classification],"&gt;0")</f>
        <v>0</v>
      </c>
      <c r="ED138" s="6">
        <f>COUNTIFS(Table41[Country],Tabela1[[#This Row],[Country]],Table41[Sprint Classification],"&gt;0")</f>
        <v>0</v>
      </c>
      <c r="EE138" s="6">
        <f>COUNTIFS(Table85[Country],Tabela1[[#This Row],[Country]],Table85[Men''s Sprint Classification],"&gt;0")</f>
        <v>0</v>
      </c>
      <c r="EF138" s="6">
        <f>COUNTIFS(Table85[Country],Tabela1[[#This Row],[Country]],Table85[Women''s Sprint Classification],"&gt;0")</f>
        <v>0</v>
      </c>
      <c r="EG138" s="6">
        <f>COUNTIFS(Table85[Country],Tabela1[[#This Row],[Country]],Table85[Men''s Pursuit Classification],"&gt;0")</f>
        <v>0</v>
      </c>
      <c r="EH138" s="6">
        <f>COUNTIFS(Table85[Country],Tabela1[[#This Row],[Country]],Table85[Women''s Pursuit Classification],"&gt;0")</f>
        <v>0</v>
      </c>
      <c r="EI138" s="6">
        <f>COUNTIFS(Table9[Country],Tabela1[[#This Row],[Country]],Table9[Time-Trial Classification],"&gt;0")</f>
        <v>0</v>
      </c>
      <c r="EJ138" s="6">
        <f>COUNTIFS(Table14[Country],Tabela1[[#This Row],[Country]],Table14[Time-Trial Classification],"&gt;0")</f>
        <v>0</v>
      </c>
      <c r="EK138" s="6">
        <f>COUNTIFS(Table42[Country],Tabela1[[#This Row],[Country]],Table42[Springboard Classification],"&gt;0")</f>
        <v>0</v>
      </c>
      <c r="EL138" s="6">
        <f>COUNTIFS(Table43[Country],Tabela1[[#This Row],[Country]],Table43[Springboard Classification],"&gt;0")</f>
        <v>0</v>
      </c>
      <c r="EM138" s="6">
        <f>COUNTIFS(Table42[Country],Tabela1[[#This Row],[Country]],Table42[Platform Classification],"&gt;0")</f>
        <v>0</v>
      </c>
      <c r="EN138" s="6">
        <f>COUNTIFS(Table43[Country],Tabela1[[#This Row],[Country]],Table43[Platform Classification],"&gt;0")</f>
        <v>0</v>
      </c>
      <c r="EO138" s="6">
        <f>COUNTIFS(Table86[Country],Tabela1[[#This Row],[Country]],Table86[Men''s Synchronized Springboard Classification],"&gt;0")</f>
        <v>0</v>
      </c>
      <c r="EP138" s="6">
        <f>COUNTIFS(Table86[Country],Tabela1[[#This Row],[Country]],Table86[Women''s Synchronized Springboard Classification],"&gt;0")</f>
        <v>0</v>
      </c>
      <c r="EQ138" s="6">
        <f>COUNTIFS(Table86[Country],Tabela1[[#This Row],[Country]],Table86[Men''s Synchronized Platform Classification],"&gt;0")</f>
        <v>0</v>
      </c>
      <c r="ER138" s="6">
        <f>COUNTIFS(Table86[Country],Tabela1[[#This Row],[Country]],Table86[Women''s Synchronized Platform Classification],"&gt;0")</f>
        <v>0</v>
      </c>
      <c r="ES138" s="6">
        <f>COUNTIFS(Table44[Country],Tabela1[[#This Row],[Country]],Table44[Dressage Classification],"&gt;0")</f>
        <v>0</v>
      </c>
      <c r="ET138" s="6">
        <f>COUNTIFS(Table45[Country],Tabela1[[#This Row],[Country]],Table45[Dressage Classification],"&gt;0")</f>
        <v>0</v>
      </c>
      <c r="EU138" s="6">
        <f>COUNTIFS(Table44[Country],Tabela1[[#This Row],[Country]],Table44[Eventing Classification],"&gt;0")</f>
        <v>0</v>
      </c>
      <c r="EV138" s="6">
        <f>COUNTIFS(Table45[Country],Tabela1[[#This Row],[Country]],Table45[Eventing Classification],"&gt;0")</f>
        <v>0</v>
      </c>
      <c r="EW138" s="6">
        <f>COUNTIFS(Table44[Country],Tabela1[[#This Row],[Country]],Table44[Jumping Classification],"&gt;0")</f>
        <v>0</v>
      </c>
      <c r="EX138" s="6">
        <f>COUNTIFS(Table45[Country],Tabela1[[#This Row],[Country]],Table45[Jumping Classification],"&gt;0")</f>
        <v>0</v>
      </c>
      <c r="EY138" s="6">
        <f>COUNTIFS(Table10[Country],Tabela1[[#This Row],[Country]],Table10[Épée Classification],"&gt;0")</f>
        <v>0</v>
      </c>
      <c r="EZ138" s="6">
        <f>COUNTIFS(Table11[Country],Tabela1[[#This Row],[Country]],Table11[Épée Classification],"&gt;0")</f>
        <v>0</v>
      </c>
      <c r="FA138" s="6">
        <f>COUNTIFS(Table46[Country],Tabela1[[#This Row],[Country]],Table46[Men''s Épée Classification],"&gt;0")</f>
        <v>0</v>
      </c>
      <c r="FB138" s="6">
        <f>COUNTIFS(Table46[Country],Tabela1[[#This Row],[Country]],Table46[Women''s Épée Classification],"&gt;0")</f>
        <v>0</v>
      </c>
      <c r="FC138" s="6">
        <f>COUNTIFS(Table10[Country],Tabela1[[#This Row],[Country]],Table10[Foil Classification],"&gt;0")</f>
        <v>0</v>
      </c>
      <c r="FD138" s="6">
        <f>COUNTIFS(Table11[Country],Tabela1[[#This Row],[Country]],Table11[Foil Classification],"&gt;0")</f>
        <v>0</v>
      </c>
      <c r="FE138" s="6">
        <f>COUNTIFS(Table46[Country],Tabela1[[#This Row],[Country]],Table46[Men''s Foil Classification],"&gt;0")</f>
        <v>0</v>
      </c>
      <c r="FF138" s="6">
        <f>COUNTIFS(Table46[Country],Tabela1[[#This Row],[Country]],Table46[Women''s Foil Classification],"&gt;0")</f>
        <v>0</v>
      </c>
      <c r="FG138" s="6">
        <f>COUNTIFS(Table10[Country],Tabela1[[#This Row],[Country]],Table10[Sabre Classification],"&gt;0")</f>
        <v>0</v>
      </c>
      <c r="FH138" s="6">
        <f>COUNTIFS(Table11[Country],Tabela1[[#This Row],[Country]],Table11[Sabre Classification],"&gt;0")</f>
        <v>0</v>
      </c>
      <c r="FI138" s="6">
        <f>COUNTIFS(Table46[Country],Tabela1[[#This Row],[Country]],Table46[Men''s Sabre Classification],"&gt;0")</f>
        <v>0</v>
      </c>
      <c r="FJ138" s="6">
        <f>COUNTIFS(Table46[Country],Tabela1[[#This Row],[Country]],Table46[Women''s Sabre Classification],"&gt;0")</f>
        <v>0</v>
      </c>
      <c r="FK138" s="6">
        <f>COUNTIFS(Table91[Country],Tabela1[[#This Row],[Country]],Table91[Men''s Classification],"&gt;0")</f>
        <v>0</v>
      </c>
      <c r="FL138" s="6">
        <f>COUNTIFS(Table91[Country],Tabela1[[#This Row],[Country]],Table91[Women''s Classification],"&gt;0")</f>
        <v>0</v>
      </c>
      <c r="FM138" s="6">
        <f>COUNTIFS(Table9194[Country],Tabela1[[#This Row],[Country]],Table9194[Men''s Classification],"&gt;0")</f>
        <v>0</v>
      </c>
      <c r="FN138" s="6">
        <f>COUNTIFS(Table9194[Country],Tabela1[[#This Row],[Country]],Table9194[Women''s Classification],"&gt;0")</f>
        <v>0</v>
      </c>
      <c r="FO138" s="6">
        <f>COUNTIFS(Table71[Country],Tabela1[[#This Row],[Country]],Table71[Classification],"&gt;0")</f>
        <v>0</v>
      </c>
      <c r="FP138" s="6">
        <f>COUNTIFS(Table62[Country],Tabela1[[#This Row],[Country]],Table62[Classification],"&gt;0")</f>
        <v>0</v>
      </c>
      <c r="FQ138" s="6">
        <f>COUNTIFS(Table47[Country],Tabela1[[#This Row],[Country]],Table47[All-Around Classification],"&gt;0")</f>
        <v>0</v>
      </c>
      <c r="FR138" s="6">
        <f>COUNTIFS(Table48[Country],Tabela1[[#This Row],[Country]],Table48[All-Around Classification],"&gt;0")</f>
        <v>0</v>
      </c>
      <c r="FS138" s="6">
        <f>COUNTIFS(Table81[Country],Tabela1[[#This Row],[Country]],Table81[Men''s All-Around Classification],"&gt;0")</f>
        <v>0</v>
      </c>
      <c r="FT138" s="6">
        <f>COUNTIFS(Table81[Country],Tabela1[[#This Row],[Country]],Table81[Women''s All-Around Classification],"&gt;0")</f>
        <v>0</v>
      </c>
      <c r="FU138" s="6">
        <f>COUNTIFS(Table48[Country],Tabela1[[#This Row],[Country]],Table48[Balance Beam Classification],"&gt;0")</f>
        <v>0</v>
      </c>
      <c r="FV138" s="6">
        <f>COUNTIFS(Table47[Country],Tabela1[[#This Row],[Country]],Table47[Floor Exercise Classification],"&gt;0")</f>
        <v>0</v>
      </c>
      <c r="FW138" s="6">
        <f>COUNTIFS(Table48[Country],Tabela1[[#This Row],[Country]],Table48[Floor Exercise Classification],"&gt;0")</f>
        <v>0</v>
      </c>
      <c r="FX138" s="6">
        <f>COUNTIFS(Table47[Country],Tabela1[[#This Row],[Country]],Table47[Horizontal Bar Classification],"&gt;0")</f>
        <v>0</v>
      </c>
      <c r="FY138" s="6">
        <f>COUNTIFS(Table47[Country],Tabela1[[#This Row],[Country]],Table47[Parallel Bars Classification],"&gt;0")</f>
        <v>0</v>
      </c>
      <c r="FZ138" s="6">
        <f>COUNTIFS(Table47[Country],Tabela1[[#This Row],[Country]],Table47[Pommel Horse Classification],"&gt;0")</f>
        <v>0</v>
      </c>
      <c r="GA138" s="6">
        <f>COUNTIFS(Table47[Country],Tabela1[[#This Row],[Country]],Table47[Rings Classification],"&gt;0")</f>
        <v>0</v>
      </c>
      <c r="GB138" s="6">
        <f>COUNTIFS(Tabela132[Country],Tabela1[[#This Row],[Country]],Tabela132[Classification],"&gt;0")</f>
        <v>0</v>
      </c>
      <c r="GC138" s="6">
        <f>COUNTIFS(Tabela139[Country],Tabela1[[#This Row],[Country]],Tabela139[Classification],"&gt;0")</f>
        <v>0</v>
      </c>
      <c r="GD138" s="6">
        <f>COUNTIFS(Table48[Country],Tabela1[[#This Row],[Country]],Table48[Uneven Bars Classification],"&gt;0")</f>
        <v>0</v>
      </c>
      <c r="GE138" s="6">
        <f>COUNTIFS(Table47[Country],Tabela1[[#This Row],[Country]],Table47[Vault Classification],"&gt;0")</f>
        <v>0</v>
      </c>
      <c r="GF138" s="6">
        <f>COUNTIFS(Table48[Country],Tabela1[[#This Row],[Country]],Table48[Vault Classification],"&gt;0")</f>
        <v>0</v>
      </c>
      <c r="GG138" s="6">
        <f>COUNTIFS(Table919496[Country],Tabela1[[#This Row],[Country]],Table919496[Men''s Classification],"&gt;0")</f>
        <v>0</v>
      </c>
      <c r="GH138" s="6">
        <f>COUNTIFS(Table919496[Country],Tabela1[[#This Row],[Country]],Table919496[Women''s Classification],"&gt;0")</f>
        <v>0</v>
      </c>
      <c r="GI138" s="6">
        <f>COUNTIFS(Table12[Country],Tabela1[[#This Row],[Country]],Table12[60kg Classification],"&gt;0")</f>
        <v>0</v>
      </c>
      <c r="GJ138" s="6">
        <f>COUNTIFS(Table12[Country],Tabela1[[#This Row],[Country]],Table12[66kg Classification],"&gt;0")</f>
        <v>0</v>
      </c>
      <c r="GK138" s="6">
        <f>COUNTIFS(Table12[Country],Tabela1[[#This Row],[Country]],Table12[73kg Classification],"&gt;0")</f>
        <v>0</v>
      </c>
      <c r="GL138" s="6">
        <f>COUNTIFS(Table12[Country],Tabela1[[#This Row],[Country]],Table12[81kg Classification],"&gt;0")</f>
        <v>0</v>
      </c>
      <c r="GM138" s="6">
        <f>COUNTIFS(Table12[Country],Tabela1[[#This Row],[Country]],Table12[90kg Classification],"&gt;0")</f>
        <v>0</v>
      </c>
      <c r="GN138" s="6">
        <f>COUNTIFS(Table12[Country],Tabela1[[#This Row],[Country]],Table12[100kg Classification],"&gt;0")</f>
        <v>0</v>
      </c>
      <c r="GO138" s="6">
        <f>COUNTIFS(Table12[Country],Tabela1[[#This Row],[Country]],Table12[Plus 100kg Classification],"&gt;0")</f>
        <v>0</v>
      </c>
      <c r="GP138" s="6">
        <f>COUNTIFS(Table13[Country],Tabela1[[#This Row],[Country]],Table13[48kg Classification],"&gt;0")</f>
        <v>0</v>
      </c>
      <c r="GQ138" s="6">
        <f>COUNTIFS(Table13[Country],Tabela1[[#This Row],[Country]],Table13[52kg Classification],"&gt;0")</f>
        <v>0</v>
      </c>
      <c r="GR138" s="6">
        <f>COUNTIFS(Table13[Country],Tabela1[[#This Row],[Country]],Table13[57kg Classification],"&gt;0")</f>
        <v>0</v>
      </c>
      <c r="GS138" s="6">
        <f>COUNTIFS(Table13[Country],Tabela1[[#This Row],[Country]],Table13[63kg Classification],"&gt;0")</f>
        <v>0</v>
      </c>
      <c r="GT138" s="6">
        <f>COUNTIFS(Table13[Country],Tabela1[[#This Row],[Country]],Table13[70kg Classification],"&gt;0")</f>
        <v>0</v>
      </c>
      <c r="GU138" s="6">
        <f>COUNTIFS(Table13[Country],Tabela1[[#This Row],[Country]],Table13[78kg Classification],"&gt;0")</f>
        <v>0</v>
      </c>
      <c r="GV138" s="6">
        <f>COUNTIFS(Table13[Country],Tabela1[[#This Row],[Country]],Table13[Plus 78kg Classification],"&gt;0")</f>
        <v>0</v>
      </c>
      <c r="GW138" s="6">
        <f>COUNTIFS(Table82[Country],Tabela1[[#This Row],[Country]],Table82[Mixed Classification],"&gt;0")</f>
        <v>0</v>
      </c>
      <c r="GX138" s="6">
        <f>COUNTIFS(Table51[Country],Tabela1[[#This Row],[Country]],Table51[Classification],"&gt;0")</f>
        <v>0</v>
      </c>
      <c r="GY138" s="6">
        <f>COUNTIFS(Table52[Country],Tabela1[[#This Row],[Country]],Table52[Classification],"&gt;0")</f>
        <v>0</v>
      </c>
      <c r="GZ138" s="6">
        <f>COUNTIFS(Table32[Country],Tabela1[[#This Row],[Country]],Table32[All-Around Classification],"&gt;0")</f>
        <v>0</v>
      </c>
      <c r="HA138" s="6">
        <f>COUNTIFS(Table49[Country],Tabela1[[#This Row],[Country]],Table49[All-Around Classification],"&gt;0")</f>
        <v>0</v>
      </c>
      <c r="HB138" s="6">
        <f>COUNTIFS(Table26[Country],Tabela1[[#This Row],[Country]],Table26[Single Sculls Classification],"&gt;0")</f>
        <v>0</v>
      </c>
      <c r="HC138" s="6">
        <f>COUNTIFS(Table63[Country],Tabela1[[#This Row],[Country]],Table63[Single Sculls Classification],"&gt;0")</f>
        <v>0</v>
      </c>
      <c r="HD138" s="6">
        <f>COUNTIFS(Table16[Country],Tabela1[[#This Row],[Country]],Table16[Men''s Double Sculls Classification],"&gt;0")</f>
        <v>0</v>
      </c>
      <c r="HE138" s="6">
        <f>COUNTIFS(Table16[Country],Tabela1[[#This Row],[Country]],Table16[Women''s Double Sculls Classification],"&gt;0")</f>
        <v>0</v>
      </c>
      <c r="HF138" s="6">
        <f>COUNTIFS(Table72[Country],Tabela1[[#This Row],[Country]],Table72[Men''s Quadruple Sculls Classification],"&gt;0")</f>
        <v>0</v>
      </c>
      <c r="HG138" s="6">
        <f>COUNTIFS(Table72[Country],Tabela1[[#This Row],[Country]],Table72[Women''s Quadruple Sculls Classification],"&gt;0")</f>
        <v>0</v>
      </c>
      <c r="HH138" s="6">
        <f>COUNTIFS(Table16[Country],Tabela1[[#This Row],[Country]],Table16[Men''s Coxless Pairs Classification],"&gt;0")</f>
        <v>0</v>
      </c>
      <c r="HI138" s="6">
        <f>COUNTIFS(Table16[Country],Tabela1[[#This Row],[Country]],Table16[Women''s Coxless Pairs Classification],"&gt;0")</f>
        <v>0</v>
      </c>
      <c r="HJ138" s="6">
        <f>COUNTIFS(Table72[Country],Tabela1[[#This Row],[Country]],Table72[Men''s Coxless Fours Classification],"&gt;0")</f>
        <v>0</v>
      </c>
      <c r="HK138" s="6">
        <f>COUNTIFS(Table72[Country],Tabela1[[#This Row],[Country]],Table72[Women''s Coxless Fours Classification],"&gt;0")</f>
        <v>0</v>
      </c>
      <c r="HL138" s="6">
        <f>COUNTIFS(Table72[Country],Tabela1[[#This Row],[Country]],Table72[Men''s Eights Classification],"&gt;0")</f>
        <v>0</v>
      </c>
      <c r="HM138" s="6">
        <f>COUNTIFS(Table72[Country],Tabela1[[#This Row],[Country]],Table72[Women''s Eights Classification],"&gt;0")</f>
        <v>0</v>
      </c>
      <c r="HN138" s="6">
        <f>COUNTIFS(Table16[Country],Tabela1[[#This Row],[Country]],Table16[Men''s Lwt. Double Sculls Classification],"&gt;0")</f>
        <v>0</v>
      </c>
      <c r="HO138" s="6">
        <f>COUNTIFS(Table16[Country],Tabela1[[#This Row],[Country]],Table16[Women''s Lwt. Double Sculls Classification],"&gt;0")</f>
        <v>0</v>
      </c>
      <c r="HP138" s="6">
        <f>COUNTIFS(Table91949698[Country],Tabela1[[#This Row],[Country]],Table91949698[Men''s Classification],"&gt;0")</f>
        <v>0</v>
      </c>
      <c r="HQ138" s="6">
        <f>COUNTIFS(Table91949698[Country],Tabela1[[#This Row],[Country]],Table91949698[Women''s Classification],"&gt;0")</f>
        <v>0</v>
      </c>
      <c r="HR138" s="6">
        <f>COUNTIFS(Table25[Country],Tabela1[[#This Row],[Country]],Table25[Mixed 470 Classification],"&gt;0")</f>
        <v>0</v>
      </c>
      <c r="HS138" s="6">
        <f>COUNTIFS(Table25[Country],Tabela1[[#This Row],[Country]],Table25[Men''s 49er Classification],"&gt;0")</f>
        <v>0</v>
      </c>
      <c r="HT138" s="6">
        <f>COUNTIFS(Table25[Country],Tabela1[[#This Row],[Country]],Table25[Women''s 49er FX Classification],"&gt;0")</f>
        <v>0</v>
      </c>
      <c r="HU138" s="6">
        <f>COUNTIFS(Table17[Country],Tabela1[[#This Row],[Country]],Table17[Formula Kite Classification],"&gt;0")</f>
        <v>0</v>
      </c>
      <c r="HV138" s="6">
        <f>COUNTIFS(Table18[Country],Tabela1[[#This Row],[Country]],Table18[Formula Kite Classification],"&gt;0")</f>
        <v>0</v>
      </c>
      <c r="HW138" s="6">
        <f>COUNTIFS(Table17[Country],Tabela1[[#This Row],[Country]],Table17[ILCA 7 Classification],"&gt;0")</f>
        <v>0</v>
      </c>
      <c r="HX138" s="6">
        <f>COUNTIFS(Table18[Country],Tabela1[[#This Row],[Country]],Table18[ILCA 6 Classification],"&gt;0")</f>
        <v>0</v>
      </c>
      <c r="HY138" s="6">
        <f>COUNTIFS(Table17[Country],Tabela1[[#This Row],[Country]],Table17[IQFoil Classification],"&gt;0")</f>
        <v>0</v>
      </c>
      <c r="HZ138" s="6">
        <f>COUNTIFS(Table18[Country],Tabela1[[#This Row],[Country]],Table18[IQFoil Classification],"&gt;0")</f>
        <v>0</v>
      </c>
      <c r="IA138" s="6">
        <f>COUNTIFS(Table25[Country],Tabela1[[#This Row],[Country]],Table25[Mixed Nacra 17 Classification],"&gt;0")</f>
        <v>0</v>
      </c>
      <c r="IB138" s="6">
        <f>COUNTIFS(Table53[Country],Tabela1[[#This Row],[Country]],Table53[10m Air Pistol Classification],"&gt;0")</f>
        <v>0</v>
      </c>
      <c r="IC138" s="6">
        <f>COUNTIFS(Table19[Country],Tabela1[[#This Row],[Country]],Table19[10m Air Pistol Classification],"&gt;0")</f>
        <v>0</v>
      </c>
      <c r="ID138" s="6">
        <f>COUNTIFS(Table54[Country],Tabela1[[#This Row],[Country]],Table54[Mixed 10m Air Pistol Team Classification],"&gt;0")</f>
        <v>0</v>
      </c>
      <c r="IE138" s="6">
        <f>COUNTIFS(Table53[Country],Tabela1[[#This Row],[Country]],Table53[10m Air Rifle Classification],"&gt;0")</f>
        <v>0</v>
      </c>
      <c r="IF138" s="6">
        <f>COUNTIFS(Table19[Country],Tabela1[[#This Row],[Country]],Table19[10m Air Rifle Classification],"&gt;0")</f>
        <v>0</v>
      </c>
      <c r="IG138" s="6">
        <f>COUNTIFS(Table54[Country],Tabela1[[#This Row],[Country]],Table54[Mixed 10m Air Rifle Team Classification],"&gt;0")</f>
        <v>0</v>
      </c>
      <c r="IH138" s="6">
        <f>COUNTIFS(Table53[Country],Tabela1[[#This Row],[Country]],Table53[25m Rapid Fire Pistol Classification],"&gt;0")</f>
        <v>0</v>
      </c>
      <c r="II138" s="6">
        <f>COUNTIFS(Table19[Country],Tabela1[[#This Row],[Country]],Table19[25m Pistol Classification],"&gt;0")</f>
        <v>0</v>
      </c>
      <c r="IJ138" s="6">
        <f>COUNTIFS(Table53[Country],Tabela1[[#This Row],[Country]],Table53[50m Rifle 3 Positions Classification],"&gt;0")</f>
        <v>0</v>
      </c>
      <c r="IK138" s="6">
        <f>COUNTIFS(Table19[Country],Tabela1[[#This Row],[Country]],Table19[50m Rifle 3 Positions Classification],"&gt;0")</f>
        <v>0</v>
      </c>
      <c r="IL138" s="6">
        <f>COUNTIFS(Table53[Country],Tabela1[[#This Row],[Country]],Table53[Skeet Classification],"&gt;0")</f>
        <v>0</v>
      </c>
      <c r="IM138" s="6">
        <f>COUNTIFS(Table19[Country],Tabela1[[#This Row],[Country]],Table19[Skeet Classification],"&gt;0")</f>
        <v>0</v>
      </c>
      <c r="IN138" s="6">
        <f>COUNTIFS(Table54[Country],Tabela1[[#This Row],[Country]],Table54[Mixed Skeet Team Classification],"&gt;0")</f>
        <v>0</v>
      </c>
      <c r="IO138" s="6">
        <f>COUNTIFS(Table53[Country],Tabela1[[#This Row],[Country]],Table53[Trap Classification],"&gt;0")</f>
        <v>0</v>
      </c>
      <c r="IP138" s="6">
        <f>COUNTIFS(Table19[Country],Tabela1[[#This Row],[Country]],Table19[Trap Classification],"&gt;0")</f>
        <v>0</v>
      </c>
      <c r="IQ138" s="6">
        <f>COUNTIFS(Table73[Country],Tabela1[[#This Row],[Country]],Table73[Park Classification],"&gt;0")</f>
        <v>0</v>
      </c>
      <c r="IR138" s="6">
        <f>COUNTIFS(Table74[Country],Tabela1[[#This Row],[Country]],Table74[Park Classification],"&gt;0")</f>
        <v>0</v>
      </c>
      <c r="IS138" s="6">
        <f>COUNTIFS(Table73[Country],Tabela1[[#This Row],[Country]],Table73[Street Classification],"&gt;0")</f>
        <v>0</v>
      </c>
      <c r="IT138" s="6">
        <f>COUNTIFS(Table74[Country],Tabela1[[#This Row],[Country]],Table74[Street Classification],"&gt;0")</f>
        <v>0</v>
      </c>
      <c r="IU138" s="6">
        <f>COUNTIFS(Table75[Country],Tabela1[[#This Row],[Country]],Table75[Boulder and Lead Classification],"&gt;0")</f>
        <v>0</v>
      </c>
      <c r="IV138" s="6">
        <f>COUNTIFS(Table76[Country],Tabela1[[#This Row],[Country]],Table76[Boulder and Lead Classification],"&gt;0")</f>
        <v>0</v>
      </c>
      <c r="IW138" s="6">
        <f>COUNTIFS(Table75[Country],Tabela1[[#This Row],[Country]],Table75[Speed Classification],"&gt;0")</f>
        <v>0</v>
      </c>
      <c r="IX138" s="6">
        <f>COUNTIFS(Table76[Country],Tabela1[[#This Row],[Country]],Table76[Speed Classification],"&gt;0")</f>
        <v>0</v>
      </c>
      <c r="IY138" s="6">
        <f>COUNTIFS(Table64[Country],Tabela1[[#This Row],[Country]],Table64[Shortboard Classification],"&gt;0")</f>
        <v>0</v>
      </c>
      <c r="IZ138" s="6">
        <f>COUNTIFS(Table77[Country],Tabela1[[#This Row],[Country]],Table77[Shortboard Classification],"&gt;0")</f>
        <v>0</v>
      </c>
      <c r="JA138" s="6">
        <f>COUNTIFS(Table20[Country],Tabela1[[#This Row],[Country]],Table20[50m Freestyle Classification],"&gt;0")</f>
        <v>0</v>
      </c>
      <c r="JB138" s="6">
        <f>COUNTIFS(Table21[Country],Tabela1[[#This Row],[Country]],Table21[50m Freestyle Classification],"&gt;0")</f>
        <v>0</v>
      </c>
      <c r="JC138" s="6">
        <f>COUNTIFS(Table20[Country],Tabela1[[#This Row],[Country]],Table20[100m Freestyle Classification],"&gt;0")</f>
        <v>0</v>
      </c>
      <c r="JD138" s="6">
        <f>COUNTIFS(Table21[Country],Tabela1[[#This Row],[Country]],Table21[100m Freestyle Classification],"&gt;0")</f>
        <v>0</v>
      </c>
      <c r="JE138" s="6">
        <f>COUNTIFS(Table20[Country],Tabela1[[#This Row],[Country]],Table20[200m Freestyle Classification],"&gt;0")</f>
        <v>0</v>
      </c>
      <c r="JF138" s="6">
        <f>COUNTIFS(Table21[Country],Tabela1[[#This Row],[Country]],Table21[200m Freestyle Classification],"&gt;0")</f>
        <v>0</v>
      </c>
      <c r="JG138" s="6">
        <f>COUNTIFS(Table20[Country],Tabela1[[#This Row],[Country]],Table20[400m Freestyle Classification],"&gt;0")</f>
        <v>0</v>
      </c>
      <c r="JH138" s="6">
        <f>COUNTIFS(Table21[Country],Tabela1[[#This Row],[Country]],Table21[400m Freestyle Classification],"&gt;0")</f>
        <v>0</v>
      </c>
      <c r="JI138" s="6">
        <f>COUNTIFS(Table20[Country],Tabela1[[#This Row],[Country]],Table20[800m Freestyle Classification],"&gt;0")</f>
        <v>0</v>
      </c>
      <c r="JJ138" s="6">
        <f>COUNTIFS(Table21[Country],Tabela1[[#This Row],[Country]],Table21[800m Freestyle Classification],"&gt;0")</f>
        <v>0</v>
      </c>
      <c r="JK138" s="6">
        <f>COUNTIFS(Table20[Country],Tabela1[[#This Row],[Country]],Table20[1500m Freestyle Classification],"&gt;0")</f>
        <v>0</v>
      </c>
      <c r="JL138" s="6">
        <f>COUNTIFS(Table21[Country],Tabela1[[#This Row],[Country]],Table21[1500m Freestyle Classification],"&gt;0")</f>
        <v>0</v>
      </c>
      <c r="JM138" s="6">
        <f>COUNTIFS(Table20[Country],Tabela1[[#This Row],[Country]],Table20[100m Backstroke Classification],"&gt;0")</f>
        <v>0</v>
      </c>
      <c r="JN138" s="6">
        <f>COUNTIFS(Table21[Country],Tabela1[[#This Row],[Country]],Table21[100m Backstroke Classification],"&gt;0")</f>
        <v>0</v>
      </c>
      <c r="JO138" s="6">
        <f>COUNTIFS(Table20[Country],Tabela1[[#This Row],[Country]],Table20[200m Backstroke Classification],"&gt;0")</f>
        <v>0</v>
      </c>
      <c r="JP138" s="6">
        <f>COUNTIFS(Table21[Country],Tabela1[[#This Row],[Country]],Table21[200m Backstroke Classification],"&gt;0")</f>
        <v>0</v>
      </c>
      <c r="JQ138" s="6">
        <f>COUNTIFS(Table20[Country],Tabela1[[#This Row],[Country]],Table20[100m Breaststroke Classification],"&gt;0")</f>
        <v>0</v>
      </c>
      <c r="JR138" s="6">
        <f>COUNTIFS(Table21[Country],Tabela1[[#This Row],[Country]],Table21[100m Breaststroke Classification],"&gt;0")</f>
        <v>0</v>
      </c>
      <c r="JS138" s="6">
        <f>COUNTIFS(Table20[Country],Tabela1[[#This Row],[Country]],Table20[200m Breaststroke Classification],"&gt;0")</f>
        <v>0</v>
      </c>
      <c r="JT138" s="6">
        <f>COUNTIFS(Table21[Country],Tabela1[[#This Row],[Country]],Table21[200m Breaststroke Classification],"&gt;0")</f>
        <v>0</v>
      </c>
      <c r="JU138" s="6">
        <f>COUNTIFS(Table20[Country],Tabela1[[#This Row],[Country]],Table20[100m Butterfly Classification],"&gt;0")</f>
        <v>0</v>
      </c>
      <c r="JV138" s="6">
        <f>COUNTIFS(Table21[Country],Tabela1[[#This Row],[Country]],Table21[100m Butterfly Classification],"&gt;0")</f>
        <v>0</v>
      </c>
      <c r="JW138" s="6">
        <f>COUNTIFS(Table20[Country],Tabela1[[#This Row],[Country]],Table20[200m Butterfly Classification],"&gt;0")</f>
        <v>0</v>
      </c>
      <c r="JX138" s="6">
        <f>COUNTIFS(Table21[Country],Tabela1[[#This Row],[Country]],Table21[200m Butterfly Classification],"&gt;0")</f>
        <v>0</v>
      </c>
      <c r="JY138" s="6">
        <f>COUNTIFS(Table20[Country],Tabela1[[#This Row],[Country]],Table20[200m Medley Classification],"&gt;0")</f>
        <v>0</v>
      </c>
      <c r="JZ138" s="6">
        <f>COUNTIFS(Table21[Country],Tabela1[[#This Row],[Country]],Table21[200m Medley Classification],"&gt;0")</f>
        <v>0</v>
      </c>
      <c r="KA138" s="6">
        <f>COUNTIFS(Table20[Country],Tabela1[[#This Row],[Country]],Table20[400m Medley Classification],"&gt;0")</f>
        <v>0</v>
      </c>
      <c r="KB138" s="6">
        <f>COUNTIFS(Table21[Country],Tabela1[[#This Row],[Country]],Table21[400m Medley Classification],"&gt;0")</f>
        <v>0</v>
      </c>
      <c r="KC138" s="6">
        <f>COUNTIFS(Table78[Country],Tabela1[[#This Row],[Country]],Table78[Men''s 4x100m Freestyle Relay Classification],"&gt;0")</f>
        <v>0</v>
      </c>
      <c r="KD138" s="6">
        <f>COUNTIFS(Table78[Country],Tabela1[[#This Row],[Country]],Table78[Women''s 4x100m Freestyle Relay Classification],"&gt;0")</f>
        <v>0</v>
      </c>
      <c r="KE138" s="6">
        <f>COUNTIFS(Table78[Country],Tabela1[[#This Row],[Country]],Table78[Men''s 4x200m Freestyle Relay Classification],"&gt;0")</f>
        <v>0</v>
      </c>
      <c r="KF138" s="6">
        <f>COUNTIFS(Table78[Country],Tabela1[[#This Row],[Country]],Table78[Women''s 4x200m Freestyle Relay Classification],"&gt;0")</f>
        <v>0</v>
      </c>
      <c r="KG138" s="6">
        <f>COUNTIFS(Table78[Country],Tabela1[[#This Row],[Country]],Table78[Men''s 4x100m Medley Relay Classification],"&gt;0")</f>
        <v>0</v>
      </c>
      <c r="KH138" s="6">
        <f>COUNTIFS(Table78[Country],Tabela1[[#This Row],[Country]],Table78[Women''s 4x100m Medley Relay Classification],"&gt;0")</f>
        <v>0</v>
      </c>
      <c r="KI138" s="6">
        <f>COUNTIFS(Table78[Country],Tabela1[[#This Row],[Country]],Table78[Mixed 4x100m Medley Relay Classification],"&gt;0")</f>
        <v>0</v>
      </c>
      <c r="KJ138" s="6">
        <f>COUNTIFS(Table20[Country],Tabela1[[#This Row],[Country]],Table20[10km Open Water Classification],"&gt;0")</f>
        <v>0</v>
      </c>
      <c r="KK138" s="6">
        <f>COUNTIFS(Table21[Country],Tabela1[[#This Row],[Country]],Table21[10km Open Water Classification],"&gt;0")</f>
        <v>0</v>
      </c>
      <c r="KL138" s="6">
        <f>COUNTIFS(Table22[Country],Tabela1[[#This Row],[Country]],Table22[Classification],"&gt;0")</f>
        <v>0</v>
      </c>
      <c r="KM138" s="6">
        <f>COUNTIFS(Table30[Country],Tabela1[[#This Row],[Country]],Table30[Classification],"&gt;0")</f>
        <v>0</v>
      </c>
      <c r="KN138" s="6">
        <f>COUNTIFS(Table55[Country],Tabela1[[#This Row],[Country]],Table55[Men''s Classification],"&gt;0")</f>
        <v>0</v>
      </c>
      <c r="KO138" s="6">
        <f>COUNTIFS(Table55[Country],Tabela1[[#This Row],[Country]],Table55[Women''s Classification],"&gt;0")</f>
        <v>0</v>
      </c>
      <c r="KP138" s="6">
        <f>COUNTIFS(Table56[Country],Tabela1[[#This Row],[Country]],Table56[Mixed Classification],"&gt;0")</f>
        <v>0</v>
      </c>
      <c r="KQ138" s="6">
        <f>COUNTIFS(Table29[Country],Tabela1[[#This Row],[Country]],Table29[58kg Classification],"&gt;0")</f>
        <v>0</v>
      </c>
      <c r="KR138" s="6">
        <f>COUNTIFS(Table29[Country],Tabela1[[#This Row],[Country]],Table29[68kg Classification],"&gt;0")</f>
        <v>0</v>
      </c>
      <c r="KS138" s="6">
        <f>COUNTIFS(Table29[Country],Tabela1[[#This Row],[Country]],Table29[80kg Classification],"&gt;0")</f>
        <v>0</v>
      </c>
      <c r="KT138" s="6">
        <f>COUNTIFS(Table29[Country],Tabela1[[#This Row],[Country]],Table29[Plus 80kg Classification],"&gt;0")</f>
        <v>0</v>
      </c>
      <c r="KU138" s="6">
        <f>COUNTIFS(Table34[Country],Tabela1[[#This Row],[Country]],Table34[49kg Classification],"&gt;0")</f>
        <v>0</v>
      </c>
      <c r="KV138" s="6">
        <f>COUNTIFS(Table34[Country],Tabela1[[#This Row],[Country]],Table34[57kg Classification],"&gt;0")</f>
        <v>0</v>
      </c>
      <c r="KW138" s="6">
        <f>COUNTIFS(Table34[Country],Tabela1[[#This Row],[Country]],Table34[67kg Classification],"&gt;0")</f>
        <v>0</v>
      </c>
      <c r="KX138" s="6">
        <f>COUNTIFS(Table34[Country],Tabela1[[#This Row],[Country]],Table34[Plus 67kg Classification],"&gt;0")</f>
        <v>0</v>
      </c>
      <c r="KY138" s="6">
        <f>COUNTIFS(Table57[Country],Tabela1[[#This Row],[Country]],Table57[Classification],"&gt;0")</f>
        <v>0</v>
      </c>
      <c r="KZ138" s="6">
        <f>COUNTIFS(Table58[Country],Tabela1[[#This Row],[Country]],Table58[Classification],"&gt;0")</f>
        <v>0</v>
      </c>
      <c r="LA138" s="6">
        <f>COUNTIFS(Table79[Country],Tabela1[[#This Row],[Country]],Table79[Men''s Classification],"&gt;0")</f>
        <v>0</v>
      </c>
      <c r="LB138" s="6">
        <f>COUNTIFS(Table79[Country],Tabela1[[#This Row],[Country]],Table79[Women''s Classification],"&gt;0")</f>
        <v>0</v>
      </c>
      <c r="LC138" s="6">
        <f>COUNTIFS(Table79[Country],Tabela1[[#This Row],[Country]],Table79[Mixed Classification],"&gt;0")</f>
        <v>0</v>
      </c>
      <c r="LD138" s="6">
        <f>COUNTIFS(Table65[Country],Tabela1[[#This Row],[Country]],Table65[Classification],"&gt;0")</f>
        <v>0</v>
      </c>
      <c r="LE138" s="6">
        <f>COUNTIFS(Table59[Country],Tabela1[[#This Row],[Country]],Table59[Classification],"&gt;0")</f>
        <v>0</v>
      </c>
      <c r="LF138" s="6">
        <f>COUNTIFS(Table87[Country],Tabela1[[#This Row],[Country]],Table87[Mixed Relay Classification],"&gt;0")</f>
        <v>0</v>
      </c>
      <c r="LG138" s="6">
        <f>COUNTIFS(Table91949698100[Country],Tabela1[[#This Row],[Country]],Table91949698100[Men''s Classification],"&gt;0")</f>
        <v>0</v>
      </c>
      <c r="LH138" s="6">
        <f>COUNTIFS(Table91949698100[Country],Tabela1[[#This Row],[Country]],Table91949698100[Women''s Classification],"&gt;0")</f>
        <v>0</v>
      </c>
      <c r="LI138" s="6">
        <f>COUNTIFS(Table91949698100102[Country],Tabela1[[#This Row],[Country]],Table91949698100102[Men''s Classification],"&gt;0")</f>
        <v>0</v>
      </c>
      <c r="LJ138" s="6">
        <f>COUNTIFS(Table91949698100102[Country],Tabela1[[#This Row],[Country]],Table91949698100102[Women''s Classification],"&gt;0")</f>
        <v>0</v>
      </c>
      <c r="LK138" s="6">
        <f>COUNTIFS(Table23[Country],Tabela1[[#This Row],[Country]],Table23[61kg Classification],"&gt;0")</f>
        <v>0</v>
      </c>
      <c r="LL138" s="6">
        <f>COUNTIFS(Table23[Country],Tabela1[[#This Row],[Country]],Table23[73kg Classification],"&gt;0")</f>
        <v>0</v>
      </c>
      <c r="LM138" s="6">
        <f>COUNTIFS(Table23[Country],Tabela1[[#This Row],[Country]],Table23[89kg Classification],"&gt;0")</f>
        <v>0</v>
      </c>
      <c r="LN138" s="6">
        <f>COUNTIFS(Table23[Country],Tabela1[[#This Row],[Country]],Table23[102kg Classification],"&gt;0")</f>
        <v>0</v>
      </c>
      <c r="LO138" s="6">
        <f>COUNTIFS(Table23[Country],Tabela1[[#This Row],[Country]],Table23[Plus 102kg Classification],"&gt;0")</f>
        <v>0</v>
      </c>
      <c r="LP138" s="6">
        <f>COUNTIFS(Table28[Country],Tabela1[[#This Row],[Country]],Table28[49kg Classification],"&gt;0")</f>
        <v>0</v>
      </c>
      <c r="LQ138" s="6">
        <f>COUNTIFS(Table28[Country],Tabela1[[#This Row],[Country]],Table28[59kg Classification],"&gt;0")</f>
        <v>0</v>
      </c>
      <c r="LR138" s="6">
        <f>COUNTIFS(Table28[Country],Tabela1[[#This Row],[Country]],Table28[71kg Classification],"&gt;0")</f>
        <v>0</v>
      </c>
      <c r="LS138" s="6">
        <f>COUNTIFS(Table28[Country],Tabela1[[#This Row],[Country]],Table28[81kg Classification],"&gt;0")</f>
        <v>0</v>
      </c>
      <c r="LT138" s="6">
        <f>COUNTIFS(Table28[Country],Tabela1[[#This Row],[Country]],Table28[Plus 81kg Classification],"&gt;0")</f>
        <v>0</v>
      </c>
      <c r="LU138" s="6">
        <f>COUNTIFS(Table24[Country],Tabela1[[#This Row],[Country]],Table24[Freestyle 57kg Classification],"&gt;0")</f>
        <v>0</v>
      </c>
      <c r="LV138" s="6">
        <f>COUNTIFS(Table24[Country],Tabela1[[#This Row],[Country]],Table24[Freestyle 65kg Classification],"&gt;0")</f>
        <v>0</v>
      </c>
      <c r="LW138" s="6">
        <f>COUNTIFS(Table24[Country],Tabela1[[#This Row],[Country]],Table24[Freestyle 74kg Classification],"&gt;0")</f>
        <v>0</v>
      </c>
      <c r="LX138" s="6">
        <f>COUNTIFS(Table24[Country],Tabela1[[#This Row],[Country]],Table24[Freestyle 86kg Classification],"&gt;0")</f>
        <v>0</v>
      </c>
      <c r="LY138" s="6">
        <f>COUNTIFS(Table24[Country],Tabela1[[#This Row],[Country]],Table24[Freestyle 97kg Classification],"&gt;0")</f>
        <v>0</v>
      </c>
      <c r="LZ138" s="6">
        <f>COUNTIFS(Table24[Country],Tabela1[[#This Row],[Country]],Table24[Freestyle 125kg Classification],"&gt;0")</f>
        <v>0</v>
      </c>
      <c r="MA138" s="6">
        <f>COUNTIFS(Table24[Country],Tabela1[[#This Row],[Country]],Table24[Greco-Roman 60kg Classification],"&gt;0")</f>
        <v>0</v>
      </c>
      <c r="MB138" s="6">
        <f>COUNTIFS(Table24[Country],Tabela1[[#This Row],[Country]],Table24[Greco-Roman 67kg Classification],"&gt;0")</f>
        <v>0</v>
      </c>
      <c r="MC138" s="6">
        <f>COUNTIFS(Table24[Country],Tabela1[[#This Row],[Country]],Table24[Greco-Roman 77kg Classification],"&gt;0")</f>
        <v>0</v>
      </c>
      <c r="MD138" s="6">
        <f>COUNTIFS(Table24[Country],Tabela1[[#This Row],[Country]],Table24[Greco-Roman 87kg Classification],"&gt;0")</f>
        <v>0</v>
      </c>
      <c r="ME138" s="6">
        <f>COUNTIFS(Table24[Country],Tabela1[[#This Row],[Country]],Table24[Greco-Roman 97kg Classification],"&gt;0")</f>
        <v>0</v>
      </c>
      <c r="MF138" s="6">
        <f>COUNTIFS(Table24[Country],Tabela1[[#This Row],[Country]],Table24[Greco-Roman 130kg Classification],"&gt;0")</f>
        <v>0</v>
      </c>
      <c r="MG138" s="6">
        <f>COUNTIFS(Table31[Country],Tabela1[[#This Row],[Country]],Table31[50kg Classification],"&gt;0")</f>
        <v>0</v>
      </c>
      <c r="MH138" s="6">
        <f>COUNTIFS(Table31[Country],Tabela1[[#This Row],[Country]],Table31[53kg Classification],"&gt;0")</f>
        <v>0</v>
      </c>
      <c r="MI138" s="6">
        <f>COUNTIFS(Table31[Country],Tabela1[[#This Row],[Country]],Table31[57kg Classification],"&gt;0")</f>
        <v>0</v>
      </c>
      <c r="MJ138" s="6">
        <f>COUNTIFS(Table31[Country],Tabela1[[#This Row],[Country]],Table31[62kg Classification],"&gt;0")</f>
        <v>0</v>
      </c>
      <c r="MK138" s="6">
        <f>COUNTIFS(Table31[Country],Tabela1[[#This Row],[Country]],Table31[68kg Classification],"&gt;0")</f>
        <v>0</v>
      </c>
      <c r="ML138" s="6">
        <f>COUNTIFS(Table31[Country],Tabela1[[#This Row],[Country]],Table31[76kg Classification],"&gt;0")</f>
        <v>0</v>
      </c>
      <c r="MM138" s="6">
        <f>COUNTIFS(Table102[Country],Tabela1[[#This Row],[Country]],Table102[Downhill Classification],"&gt;0")</f>
        <v>0</v>
      </c>
      <c r="MN138" s="6">
        <f>COUNTIFS(Table102105[Country],Tabela1[[#This Row],[Country]],Table102105[Downhill Classification],"&gt;0")</f>
        <v>0</v>
      </c>
      <c r="MO138" s="6">
        <f>COUNTIFS(Table102[Country],Tabela1[[#This Row],[Country]],Table102[Giant Slalom Classification],"&gt;0")</f>
        <v>1</v>
      </c>
      <c r="MP138" s="6">
        <f>COUNTIFS(Table102105[Country],Tabela1[[#This Row],[Country]],Table102105[Giant Slalom Classification],"&gt;0")</f>
        <v>0</v>
      </c>
      <c r="MQ138" s="6">
        <f>COUNTIFS(Table102[Country],Tabela1[[#This Row],[Country]],Table102[Slalom Classification],"&gt;0")</f>
        <v>0</v>
      </c>
      <c r="MR138" s="6">
        <f>COUNTIFS(Table102105[Country],Tabela1[[#This Row],[Country]],Table102105[Slalom Classification],"&gt;0")</f>
        <v>0</v>
      </c>
      <c r="MS138" s="6">
        <f>COUNTIFS(Table102[Country],Tabela1[[#This Row],[Country]],Table102[Super-G Classification],"&gt;0")</f>
        <v>0</v>
      </c>
      <c r="MT138" s="6">
        <f>COUNTIFS(Table102105[Country],Tabela1[[#This Row],[Country]],Table102105[Super-G Classification],"&gt;0")</f>
        <v>0</v>
      </c>
      <c r="MU138" s="6">
        <f>COUNTIFS(Table105[Country],Tabela1[[#This Row],[Country]],Table105[Men''s Combined Classification],"&gt;0")</f>
        <v>0</v>
      </c>
      <c r="MV138" s="6">
        <f>COUNTIFS(Table105[Country],Tabela1[[#This Row],[Country]],Table105[Women''s Combined Classification],"&gt;0")</f>
        <v>0</v>
      </c>
      <c r="MW138" s="6">
        <f>COUNTIFS(Table106[Country],Tabela1[[#This Row],[Country]],Table106[Individual Classification],"&gt;0")</f>
        <v>0</v>
      </c>
      <c r="MX138" s="6">
        <f>COUNTIFS(Table106109[Country],Tabela1[[#This Row],[Country]],Table106109[Individual Classification],"&gt;0")</f>
        <v>0</v>
      </c>
      <c r="MY138" s="6">
        <f>COUNTIFS(Table106[Country],Tabela1[[#This Row],[Country]],Table106[Mass Start Classification],"&gt;0")</f>
        <v>0</v>
      </c>
      <c r="MZ138" s="6">
        <f>COUNTIFS(Table106109[Country],Tabela1[[#This Row],[Country]],Table106109[Mass Start Classification],"&gt;0")</f>
        <v>0</v>
      </c>
      <c r="NA138" s="6">
        <f>COUNTIFS(Table106[Country],Tabela1[[#This Row],[Country]],Table106[Pursuit Classification],"&gt;0")</f>
        <v>0</v>
      </c>
      <c r="NB138" s="6">
        <f>COUNTIFS(Table106109[Country],Tabela1[[#This Row],[Country]],Table106109[Pursuit Classification],"&gt;0")</f>
        <v>0</v>
      </c>
      <c r="NC138" s="6">
        <f>COUNTIFS(Table106[Country],Tabela1[[#This Row],[Country]],Table106[Sprint Classification],"&gt;0")</f>
        <v>0</v>
      </c>
      <c r="ND138" s="6">
        <f>COUNTIFS(Table106109[Country],Tabela1[[#This Row],[Country]],Table106109[Sprint Classification],"&gt;0")</f>
        <v>0</v>
      </c>
      <c r="NE138" s="6">
        <f>COUNTIFS(Table109[Country],Tabela1[[#This Row],[Country]],Table109[Men''s Relay Classification],"&gt;0")</f>
        <v>0</v>
      </c>
      <c r="NF138" s="6">
        <f>COUNTIFS(Table109[Country],Tabela1[[#This Row],[Country]],Table109[Women''s Relay Classification],"&gt;0")</f>
        <v>0</v>
      </c>
      <c r="NG138" s="6">
        <f>COUNTIFS(Table109[Country],Tabela1[[#This Row],[Country]],Table109[Mixed Relay Classification],"&gt;0")</f>
        <v>0</v>
      </c>
      <c r="NH138" s="6">
        <f>COUNTIFS(Table110[Country],Tabela1[[#This Row],[Country]],Table110[Monobob Classification],"&gt;0")</f>
        <v>0</v>
      </c>
      <c r="NI138" s="6">
        <f>COUNTIFS(Table111[Country],Tabela1[[#This Row],[Country]],Table111[Men''s Classification],"&gt;0")</f>
        <v>0</v>
      </c>
      <c r="NJ138" s="6">
        <f>COUNTIFS(Table111[Country],Tabela1[[#This Row],[Country]],Table111[Women''s Classification],"&gt;0")</f>
        <v>0</v>
      </c>
      <c r="NK138" s="6">
        <f>COUNTIFS(Table112[Country],Tabela1[[#This Row],[Country]],Table112[Men''s Four Classification],"&gt;0")</f>
        <v>0</v>
      </c>
      <c r="NL138" s="6">
        <f>COUNTIFS(Table113[Country],Tabela1[[#This Row],[Country]],Table113[Classical Classification],"&gt;0")</f>
        <v>0</v>
      </c>
      <c r="NM138" s="6">
        <f>COUNTIFS(Table113116[Country],Tabela1[[#This Row],[Country]],Table113116[Classical Classification],"&gt;0")</f>
        <v>0</v>
      </c>
      <c r="NN138" s="6">
        <f>COUNTIFS(Table113[Country],Tabela1[[#This Row],[Country]],Table113[Freestyle Classification],"&gt;0")</f>
        <v>0</v>
      </c>
      <c r="NO138" s="6">
        <f>COUNTIFS(Table113116[Country],Tabela1[[#This Row],[Country]],Table113116[Freestyle Classification],"&gt;0")</f>
        <v>0</v>
      </c>
      <c r="NP138" s="6">
        <f>COUNTIFS(Table117[Country],Tabela1[[#This Row],[Country]],Table117[Men''s Relay Classification],"&gt;0")</f>
        <v>0</v>
      </c>
      <c r="NQ138" s="6">
        <f>COUNTIFS(Table117[Country],Tabela1[[#This Row],[Country]],Table117[Women''s Relay Classification],"&gt;0")</f>
        <v>0</v>
      </c>
      <c r="NR138" s="6">
        <f>COUNTIFS(Table113[Country],Tabela1[[#This Row],[Country]],Table113[Skiathlon Classification],"&gt;0")</f>
        <v>0</v>
      </c>
      <c r="NS138" s="6">
        <f>COUNTIFS(Table113116[Country],Tabela1[[#This Row],[Country]],Table113116[Skiathlon Classification],"&gt;0")</f>
        <v>0</v>
      </c>
      <c r="NT138" s="6">
        <f>COUNTIFS(Table113[Country],Tabela1[[#This Row],[Country]],Table113[Sprint Classification],"&gt;0")</f>
        <v>0</v>
      </c>
      <c r="NU138" s="6">
        <f>COUNTIFS(Table113116[Country],Tabela1[[#This Row],[Country]],Table113116[Sprint Classification],"&gt;0")</f>
        <v>0</v>
      </c>
      <c r="NV138" s="6">
        <f>COUNTIFS(Table116[Country],Tabela1[[#This Row],[Country]],Table116[Men''s Team Sprint Classification],"&gt;0")</f>
        <v>0</v>
      </c>
      <c r="NW138" s="6">
        <f>COUNTIFS(Table116[Country],Tabela1[[#This Row],[Country]],Table116[Women''s Team Sprint Classification],"&gt;0")</f>
        <v>0</v>
      </c>
      <c r="NX138" s="6">
        <f>COUNTIFS(Table119[Country],Tabela1[[#This Row],[Country]],Table119[Men''s Classification],"&gt;0")</f>
        <v>0</v>
      </c>
      <c r="NY138" s="6">
        <f>COUNTIFS(Table119[Country],Tabela1[[#This Row],[Country]],Table119[Women''s Classification],"&gt;0")</f>
        <v>0</v>
      </c>
      <c r="NZ138" s="6">
        <f>COUNTIFS(Table118[Country],Tabela1[[#This Row],[Country]],Table118[Mixed Classification],"&gt;0")</f>
        <v>0</v>
      </c>
      <c r="OA138" s="6">
        <f>COUNTIFS(Table120[Country],Tabela1[[#This Row],[Country]],Table120[Classification],"&gt;0")</f>
        <v>0</v>
      </c>
      <c r="OB138" s="6">
        <f>COUNTIFS(Table120123[Country],Tabela1[[#This Row],[Country]],Table120123[Classification],"&gt;0")</f>
        <v>0</v>
      </c>
      <c r="OC138" s="6">
        <f>COUNTIFS(Table123[Country],Tabela1[[#This Row],[Country]],Table123[Ice Dance Classification],"&gt;0")</f>
        <v>0</v>
      </c>
      <c r="OD138" s="6">
        <f>COUNTIFS(Table123[Country],Tabela1[[#This Row],[Country]],Table123[Pair Skating Classification],"&gt;0")</f>
        <v>0</v>
      </c>
      <c r="OE138" s="6">
        <f>COUNTIFS(Table124[Country],Tabela1[[#This Row],[Country]],Table124[Mixed Classification],"&gt;0")</f>
        <v>0</v>
      </c>
      <c r="OF138" s="6">
        <f>COUNTIFS(Table125[Country],Tabela1[[#This Row],[Country]],Table125[Aerials Classification],"&gt;0")</f>
        <v>0</v>
      </c>
      <c r="OG138" s="6">
        <f>COUNTIFS(Table125128[Country],Tabela1[[#This Row],[Country]],Table125128[Aerials Classification],"&gt;0")</f>
        <v>0</v>
      </c>
      <c r="OH138" s="6">
        <f>COUNTIFS(Table128[Country],Tabela1[[#This Row],[Country]],Table128[Mixed Aerials Classification],"&gt;0")</f>
        <v>0</v>
      </c>
      <c r="OI138" s="6">
        <f>COUNTIFS(Table125[Country],Tabela1[[#This Row],[Country]],Table125[Big Air Classification],"&gt;0")</f>
        <v>0</v>
      </c>
      <c r="OJ138" s="6">
        <f>COUNTIFS(Table125128[Country],Tabela1[[#This Row],[Country]],Table125128[Big Air Classification],"&gt;0")</f>
        <v>0</v>
      </c>
      <c r="OK138" s="6">
        <f>COUNTIFS(Table125[Country],Tabela1[[#This Row],[Country]],Table125[Dual Moguls Classification],"&gt;0")</f>
        <v>0</v>
      </c>
      <c r="OL138" s="6">
        <f>COUNTIFS(Table125128[Country],Tabela1[[#This Row],[Country]],Table125128[Dual Moguls Classification],"&gt;0")</f>
        <v>0</v>
      </c>
      <c r="OM138" s="6">
        <f>COUNTIFS(Table125[Country],Tabela1[[#This Row],[Country]],Table125[Halfpipe Classification],"&gt;0")</f>
        <v>0</v>
      </c>
      <c r="ON138" s="6">
        <f>COUNTIFS(Table125128[Country],Tabela1[[#This Row],[Country]],Table125128[Halfpipe Classification],"&gt;0")</f>
        <v>0</v>
      </c>
      <c r="OO138" s="6">
        <f>COUNTIFS(Table125[Country],Tabela1[[#This Row],[Country]],Table125[Moguls Classification],"&gt;0")</f>
        <v>0</v>
      </c>
      <c r="OP138" s="6">
        <f>COUNTIFS(Table125128[Country],Tabela1[[#This Row],[Country]],Table125128[Moguls Classification],"&gt;0")</f>
        <v>0</v>
      </c>
      <c r="OQ138" s="6">
        <f>COUNTIFS(Table125[Country],Tabela1[[#This Row],[Country]],Table125[Ski Cross Classification],"&gt;0")</f>
        <v>0</v>
      </c>
      <c r="OR138" s="6">
        <f>COUNTIFS(Table125128[Country],Tabela1[[#This Row],[Country]],Table125128[Ski Cross Classification],"&gt;0")</f>
        <v>0</v>
      </c>
      <c r="OS138" s="6">
        <f>COUNTIFS(Table125[Country],Tabela1[[#This Row],[Country]],Table125[Slopestyle Classification],"&gt;0")</f>
        <v>0</v>
      </c>
      <c r="OT138" s="6">
        <f>COUNTIFS(Table125128[Country],Tabela1[[#This Row],[Country]],Table125128[Slopestyle Classification],"&gt;0")</f>
        <v>0</v>
      </c>
      <c r="OU138" s="6">
        <f>COUNTIFS(Table119131[Country],Tabela1[[#This Row],[Country]],Table119131[Men''s Classification],"&gt;0")</f>
        <v>0</v>
      </c>
      <c r="OV138" s="6">
        <f>COUNTIFS(Table119131[Country],Tabela1[[#This Row],[Country]],Table119131[Women''s Classification],"&gt;0")</f>
        <v>0</v>
      </c>
      <c r="OW138" s="6">
        <f>COUNTIFS(Table131[Country],Tabela1[[#This Row],[Country]],Table131[Classification],"&gt;0")</f>
        <v>0</v>
      </c>
      <c r="OX138" s="6">
        <f>COUNTIFS(Table131134[Country],Tabela1[[#This Row],[Country]],Table131134[Classification],"&gt;0")</f>
        <v>0</v>
      </c>
      <c r="OY138" s="6">
        <f>COUNTIFS(Table134[Country],Tabela1[[#This Row],[Country]],Table134[Men''s Classification],"&gt;0")</f>
        <v>0</v>
      </c>
      <c r="OZ138" s="6">
        <f>COUNTIFS(Table134[Country],Tabela1[[#This Row],[Country]],Table134[Women''s Classification],"&gt;0")</f>
        <v>0</v>
      </c>
      <c r="PA138" s="6">
        <f>COUNTIFS(Table135[Country],Tabela1[[#This Row],[Country]],Table135[Mixed Relay Classification],"&gt;0")</f>
        <v>0</v>
      </c>
      <c r="PB138" s="6">
        <f>COUNTIFS(Table136[Country],Tabela1[[#This Row],[Country]],Table136[Individual Classification],"&gt;0")</f>
        <v>0</v>
      </c>
      <c r="PC138" s="6">
        <f>COUNTIFS(Table136[Country],Tabela1[[#This Row],[Country]],Table136[Sprint Classification],"&gt;0")</f>
        <v>0</v>
      </c>
      <c r="PD138" s="6">
        <f>COUNTIFS(Table137[Country],Tabela1[[#This Row],[Country]],Table137[Men''s Team Sprint Large Hill Classification],"&gt;0")</f>
        <v>0</v>
      </c>
      <c r="PE138" s="6">
        <f>COUNTIFS(Table138[Country],Tabela1[[#This Row],[Country]],Table138[500m Classification],"&gt;0")</f>
        <v>0</v>
      </c>
      <c r="PF138" s="6">
        <f>COUNTIFS(Table138141[Country],Tabela1[[#This Row],[Country]],Table138141[500m Classification],"&gt;0")</f>
        <v>0</v>
      </c>
      <c r="PG138" s="6">
        <f>COUNTIFS(Table138[Country],Tabela1[[#This Row],[Country]],Table138[1000m Classification],"&gt;0")</f>
        <v>0</v>
      </c>
      <c r="PH138" s="6">
        <f>COUNTIFS(Table138141[Country],Tabela1[[#This Row],[Country]],Table138141[1000m Classification],"&gt;0")</f>
        <v>0</v>
      </c>
      <c r="PI138" s="6">
        <f>COUNTIFS(Table138[Country],Tabela1[[#This Row],[Country]],Table138[1500m Classification],"&gt;0")</f>
        <v>0</v>
      </c>
      <c r="PJ138" s="6">
        <f>COUNTIFS(Table138141[Country],Tabela1[[#This Row],[Country]],Table138141[1500m Classification],"&gt;0")</f>
        <v>0</v>
      </c>
      <c r="PK138" s="6">
        <f>COUNTIFS(Table141[Country],Tabela1[[#This Row],[Country]],Table141[Men''s 5000m Relay Classification],"&gt;0")</f>
        <v>0</v>
      </c>
      <c r="PL138" s="6">
        <f>COUNTIFS(Table141[Country],Tabela1[[#This Row],[Country]],Table141[Women''s 3000m Relay Classification],"&gt;0")</f>
        <v>0</v>
      </c>
      <c r="PM138" s="6">
        <f>COUNTIFS(Table141[Country],Tabela1[[#This Row],[Country]],Table141[Mixed 2000m Relay Classification],"&gt;0")</f>
        <v>0</v>
      </c>
      <c r="PN138" s="6">
        <f>COUNTIFS(Table142[Country],Tabela1[[#This Row],[Country]],Table142[Classification],"&gt;0")</f>
        <v>0</v>
      </c>
      <c r="PO138" s="6">
        <f>COUNTIFS(Table142145[Country],Tabela1[[#This Row],[Country]],Table142145[Classification],"&gt;0")</f>
        <v>0</v>
      </c>
      <c r="PP138" s="6">
        <f>COUNTIFS(Tabela15[Country],Tabela1[[#This Row],[Country]],Tabela15[Mixed Team Classification],"&gt;0")</f>
        <v>0</v>
      </c>
      <c r="PQ138" s="6">
        <f>COUNTIFS(Table145[Country],Tabela1[[#This Row],[Country]],Table145[Large Hill Classification],"&gt;0")</f>
        <v>0</v>
      </c>
      <c r="PR138" s="6">
        <f>COUNTIFS(Table145[Country],Tabela1[[#This Row],[Country]],Table145[Normal Hill Classification],"&gt;0")</f>
        <v>0</v>
      </c>
      <c r="PS138" s="6">
        <f>COUNTIFS(Table145148[Country],Tabela1[[#This Row],[Country]],Table145148[Large Hill Classification],"&gt;0")</f>
        <v>0</v>
      </c>
      <c r="PT138" s="6">
        <f>COUNTIFS(Table145148[Country],Tabela1[[#This Row],[Country]],Table145148[Normal Hill Classification],"&gt;0")</f>
        <v>0</v>
      </c>
      <c r="PU138" s="6">
        <f>COUNTIFS(Table148[Country],Tabela1[[#This Row],[Country]],Table148[Men''s Super Team Classification],"&gt;0")</f>
        <v>0</v>
      </c>
      <c r="PV138" s="6">
        <f>COUNTIFS(Tabela114[Country],Tabela1[[#This Row],[Country]],Tabela114[Mixed Normal Hill Classification],"&gt;0")</f>
        <v>0</v>
      </c>
      <c r="PW138" s="6">
        <f>COUNTIFS(Tabela50[Country],Tabela1[[#This Row],[Country]],Tabela50[Sprint Classification],"&gt;0")</f>
        <v>0</v>
      </c>
      <c r="PX138" s="6">
        <f>COUNTIFS(Tabela50101[Country],Tabela1[[#This Row],[Country]],Tabela50101[Sprint Classification],"&gt;0")</f>
        <v>0</v>
      </c>
      <c r="PY138" s="6">
        <f>COUNTIFS(Tabela103[Country],Tabela1[[#This Row],[Country]],Tabela103[Mixed Relay Classification],"&gt;0")</f>
        <v>0</v>
      </c>
      <c r="PZ138" s="6">
        <f>COUNTIFS(Table149[Country],Tabela1[[#This Row],[Country]],Table149[Big Air Classification],"&gt;0")</f>
        <v>0</v>
      </c>
      <c r="QA138" s="6">
        <f>COUNTIFS(Table149152[Country],Tabela1[[#This Row],[Country]],Table149152[Big Air Classification],"&gt;0")</f>
        <v>0</v>
      </c>
      <c r="QB138" s="6">
        <f>COUNTIFS(Table149[Country],Tabela1[[#This Row],[Country]],Table149[Halfpipe Classification],"&gt;0")</f>
        <v>0</v>
      </c>
      <c r="QC138" s="6">
        <f>COUNTIFS(Table149152[Country],Tabela1[[#This Row],[Country]],Table149152[Halfpipe Classification],"&gt;0")</f>
        <v>0</v>
      </c>
      <c r="QD138" s="6">
        <f>COUNTIFS(Table149[Country],Tabela1[[#This Row],[Country]],Table149[Parallel Giant Slalom Classification],"&gt;0")</f>
        <v>0</v>
      </c>
      <c r="QE138" s="6">
        <f>COUNTIFS(Table149152[Country],Tabela1[[#This Row],[Country]],Table149152[Parallel Giant Slalom Classification],"&gt;0")</f>
        <v>0</v>
      </c>
      <c r="QF138" s="6">
        <f>COUNTIFS(Table149[Country],Tabela1[[#This Row],[Country]],Table149[Slopestyle Classification],"&gt;0")</f>
        <v>0</v>
      </c>
      <c r="QG138" s="6">
        <f>COUNTIFS(Table149152[Country],Tabela1[[#This Row],[Country]],Table149152[Slopestyle Classification],"&gt;0")</f>
        <v>0</v>
      </c>
      <c r="QH138" s="6">
        <f>COUNTIFS(Table149[Country],Tabela1[[#This Row],[Country]],Table149[Snowboard Cross Classification],"&gt;0")</f>
        <v>0</v>
      </c>
      <c r="QI138" s="6">
        <f>COUNTIFS(Table149152[Country],Tabela1[[#This Row],[Country]],Table149152[Snowboard Cross Classification],"&gt;0")</f>
        <v>0</v>
      </c>
      <c r="QJ138" s="6">
        <f>COUNTIFS(Table153[Country],Tabela1[[#This Row],[Country]],Table153[Mixed Team Snowboard Cross Classification],"&gt;0")</f>
        <v>0</v>
      </c>
      <c r="QK138" s="6">
        <f>COUNTIFS(Table154[Country],Tabela1[[#This Row],[Country]],Table154[500m Classification],"&gt;0")</f>
        <v>0</v>
      </c>
      <c r="QL138" s="6">
        <f>COUNTIFS(Table154157[Country],Tabela1[[#This Row],[Country]],Table154157[500m Classification],"&gt;0")</f>
        <v>0</v>
      </c>
      <c r="QM138" s="6">
        <f>COUNTIFS(Table154[Country],Tabela1[[#This Row],[Country]],Table154[1000m Classification],"&gt;0")</f>
        <v>0</v>
      </c>
      <c r="QN138" s="6">
        <f>COUNTIFS(Table154157[Country],Tabela1[[#This Row],[Country]],Table154157[1000m Classification],"&gt;0")</f>
        <v>0</v>
      </c>
      <c r="QO138" s="6">
        <f>COUNTIFS(Table154[Country],Tabela1[[#This Row],[Country]],Table154[1500m Classification],"&gt;0")</f>
        <v>0</v>
      </c>
      <c r="QP138" s="6">
        <f>COUNTIFS(Table154157[Country],Tabela1[[#This Row],[Country]],Table154157[1500m Classification],"&gt;0")</f>
        <v>0</v>
      </c>
      <c r="QQ138" s="6">
        <f>COUNTIFS(Table154157[Country],Tabela1[[#This Row],[Country]],Table154157[3000m Classification],"&gt;0")</f>
        <v>0</v>
      </c>
      <c r="QR138" s="6">
        <f>COUNTIFS(Table154[Country],Tabela1[[#This Row],[Country]],Table154[5000m Classification],"&gt;0")</f>
        <v>0</v>
      </c>
      <c r="QS138" s="6">
        <f>COUNTIFS(Table154157[Country],Tabela1[[#This Row],[Country]],Table154157[5000m Classification],"&gt;0")</f>
        <v>0</v>
      </c>
      <c r="QT138" s="6">
        <f>COUNTIFS(Table154[Country],Tabela1[[#This Row],[Country]],Table154[10000m Classification],"&gt;0")</f>
        <v>0</v>
      </c>
      <c r="QU138" s="6">
        <f>COUNTIFS(Table154[Country],Tabela1[[#This Row],[Country]],Table154[Mass Start Classification],"&gt;0")</f>
        <v>0</v>
      </c>
      <c r="QV138" s="6">
        <f>COUNTIFS(Table154157[Country],Tabela1[[#This Row],[Country]],Table154157[Mass Start Classification],"&gt;0")</f>
        <v>0</v>
      </c>
      <c r="QW138" s="6">
        <f>COUNTIFS(Table157[Country],Tabela1[[#This Row],[Country]],Table157[Men''s Pursuit Classification],"&gt;0")</f>
        <v>0</v>
      </c>
      <c r="QX138" s="6">
        <f>COUNTIFS(Table157[Country],Tabela1[[#This Row],[Country]],Table157[Women''s Pursuit Classification],"&gt;0")</f>
        <v>0</v>
      </c>
      <c r="QY138" s="3" t="s">
        <v>627</v>
      </c>
    </row>
    <row r="139" spans="1:467" x14ac:dyDescent="0.3">
      <c r="A139" s="6">
        <v>138</v>
      </c>
      <c r="B139" s="6" t="s">
        <v>634</v>
      </c>
      <c r="C139" t="e" vm="138">
        <f>IF(ISBLANK(Tabela1[[#This Row],[Image Link]]), "", _xlfn.IMAGE(Tabela1[[#This Row],[Image Link]],1,1))</f>
        <v>#VALUE!</v>
      </c>
      <c r="D139" s="6">
        <f>SUM(Tabela1[[#This Row],[Archery - Men''s Individual Recurve]:[Speed Skating - Women''s Team Pursuit]])</f>
        <v>1</v>
      </c>
      <c r="E139" s="6">
        <f>COUNTIF(Tabela1[[#This Row],[Archery - Men''s Individual Recurve]:[Speed Skating - Women''s Team Pursuit]],"&gt;0")</f>
        <v>1</v>
      </c>
      <c r="F139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39" s="6">
        <f>SUM(Tabela1[[#This Row],[Archery - Men''s Individual Recurve]:[Wrestling - Women''s Freestyle 76kg]])</f>
        <v>1</v>
      </c>
      <c r="H139" s="6">
        <f>SUM(Tabela1[[#This Row],[Alpine Skiing - Men''s Downhill]:[Speed Skating - Women''s Team Pursuit]])</f>
        <v>0</v>
      </c>
      <c r="I139" s="6">
        <f>Tabela1[[#This Row],[Summer Gold Medals]]+Tabela1[[#This Row],[Winter Gold Medals]]</f>
        <v>0</v>
      </c>
      <c r="J139" s="6">
        <f>Tabela1[[#This Row],[Summer Silver Medals]]+Tabela1[[#This Row],[Winter Silver Medals]]</f>
        <v>0</v>
      </c>
      <c r="K139" s="6">
        <f>Tabela1[[#This Row],[Summer Bronze Medals]]+Tabela1[[#This Row],[Winter Bronze Medals]]</f>
        <v>0</v>
      </c>
      <c r="L139" s="6">
        <f>SUM(Tabela1[[#This Row],[Total Gold Medals]:[Total Bronze Medals]])</f>
        <v>0</v>
      </c>
      <c r="M139" s="6"/>
      <c r="N139" s="6"/>
      <c r="O139" s="6"/>
      <c r="P139" s="6">
        <f>SUM(Tabela1[[#This Row],[Summer Gold Medals]:[Summer Bronze Medals]])</f>
        <v>0</v>
      </c>
      <c r="Q139" s="6"/>
      <c r="R139" s="6"/>
      <c r="S139" s="6"/>
      <c r="T139" s="6">
        <f>Tabela1[[#This Row],[Winter Gold Medals]]+Tabela1[[#This Row],[Winter Silver Medals]]+Tabela1[[#This Row],[Winter Bronze Medals]]</f>
        <v>0</v>
      </c>
      <c r="U139" s="7">
        <f>Tabela1[[#This Row],[Total Medals]]/Tabela1[[#This Row],[Total Quotas]]</f>
        <v>0</v>
      </c>
      <c r="V139" s="6">
        <f>COUNTIFS(Table3[Country],Tabela1[[#This Row],[Country]],Table3[Recurve Classification],"&gt;0")</f>
        <v>0</v>
      </c>
      <c r="W139" s="6">
        <f>COUNTIFS(Table33[Country],Tabela1[[#This Row],[Country]],Table33[Recurve Classification],"&gt;0")</f>
        <v>0</v>
      </c>
      <c r="X139" s="6">
        <f>COUNTIFS(Table35[Country],Tabela1[[#This Row],[Country]],Table35[Men''s Team Recurve Classification],"&gt;0")</f>
        <v>0</v>
      </c>
      <c r="Y139" s="6">
        <f>COUNTIFS(Table35[Country],Tabela1[[#This Row],[Country]],Table35[Women''s Team Recurve Classification],"&gt;0")</f>
        <v>0</v>
      </c>
      <c r="Z139" s="6">
        <f>COUNTIFS(Tabela88[Country],Tabela1[[#This Row],[Country]],Tabela88[Mixed Team Recurve Classification],"&gt;0")</f>
        <v>0</v>
      </c>
      <c r="AA139" s="6">
        <f>COUNTIFS(Table36[Country],Tabela1[[#This Row],[Country]],Table36[Classification],"&gt;0")</f>
        <v>0</v>
      </c>
      <c r="AB139" s="6">
        <f>COUNTIFS(Table37[Country],Tabela1[[#This Row],[Country]],Table37[Classification],"&gt;0")</f>
        <v>0</v>
      </c>
      <c r="AC139" s="6">
        <f>COUNTIFS(Table4[Country],Tabela1[[#This Row],[Country]],Table4[100m Classification],"&gt;0")</f>
        <v>0</v>
      </c>
      <c r="AD139" s="6">
        <f>COUNTIFS(Table5[Country],Tabela1[[#This Row],[Country]],Table5[100m Classification],"&gt;0")</f>
        <v>0</v>
      </c>
      <c r="AE139" s="6">
        <f>COUNTIFS(Table4[Country],Tabela1[[#This Row],[Country]],Table4[200m Classification],"&gt;0")</f>
        <v>0</v>
      </c>
      <c r="AF139" s="6">
        <f>COUNTIFS(Table5[Country],Tabela1[[#This Row],[Country]],Table5[200m Classification],"&gt;0")</f>
        <v>0</v>
      </c>
      <c r="AG139" s="6">
        <f>COUNTIFS(Table4[Country],Tabela1[[#This Row],[Country]],Table4[400m Classification],"&gt;0")</f>
        <v>0</v>
      </c>
      <c r="AH139" s="6">
        <f>COUNTIFS(Table5[Country],Tabela1[[#This Row],[Country]],Table5[400m Classification],"&gt;0")</f>
        <v>0</v>
      </c>
      <c r="AI139" s="6">
        <f>COUNTIFS(Table4[Country],Tabela1[[#This Row],[Country]],Table4[800m Classification],"&gt;0")</f>
        <v>0</v>
      </c>
      <c r="AJ139" s="6">
        <f>COUNTIFS(Table5[Country],Tabela1[[#This Row],[Country]],Table5[800m Classification],"&gt;0")</f>
        <v>0</v>
      </c>
      <c r="AK139" s="6">
        <f>COUNTIFS(Table4[Country],Tabela1[[#This Row],[Country]],Table4[1500m Classification],"&gt;0")</f>
        <v>0</v>
      </c>
      <c r="AL139" s="6">
        <f>COUNTIFS(Table5[Country],Tabela1[[#This Row],[Country]],Table5[1500m Classification],"&gt;0")</f>
        <v>0</v>
      </c>
      <c r="AM139" s="6">
        <f>COUNTIFS(Table4[Country],Tabela1[[#This Row],[Country]],Table4[5000m Classification],"&gt;0")</f>
        <v>0</v>
      </c>
      <c r="AN139" s="6">
        <f>COUNTIFS(Table5[Country],Tabela1[[#This Row],[Country]],Table5[5000m Classification],"&gt;0")</f>
        <v>0</v>
      </c>
      <c r="AO139" s="6">
        <f>COUNTIFS(Table4[Country],Tabela1[[#This Row],[Country]],Table4[10000m Classification],"&gt;0")</f>
        <v>0</v>
      </c>
      <c r="AP139" s="6">
        <f>COUNTIFS(Table5[Country],Tabela1[[#This Row],[Country]],Table5[10000m Classification],"&gt;0")</f>
        <v>0</v>
      </c>
      <c r="AQ139" s="6">
        <f>COUNTIFS(Table4[Country],Tabela1[[#This Row],[Country]],Table4[110m Hurdles Classification],"&gt;0")</f>
        <v>0</v>
      </c>
      <c r="AR139" s="6">
        <f>COUNTIFS(Table5[Country],Tabela1[[#This Row],[Country]],Table5[100m Hurdles Classification],"&gt;0")</f>
        <v>0</v>
      </c>
      <c r="AS139" s="6">
        <f>COUNTIFS(Table4[Country],Tabela1[[#This Row],[Country]],Table4[400m Hurdles Classification],"&gt;0")</f>
        <v>0</v>
      </c>
      <c r="AT139" s="6">
        <f>COUNTIFS(Table5[Country],Tabela1[[#This Row],[Country]],Table5[400m Hurdles Classification],"&gt;0")</f>
        <v>0</v>
      </c>
      <c r="AU139" s="6">
        <f>COUNTIFS(Table4[Country],Tabela1[[#This Row],[Country]],Table4[3000m Steeplechase Classification],"&gt;0")</f>
        <v>0</v>
      </c>
      <c r="AV139" s="6">
        <f>COUNTIFS(Table5[Country],Tabela1[[#This Row],[Country]],Table5[3000m Steeplechase Classification],"&gt;0")</f>
        <v>0</v>
      </c>
      <c r="AW139" s="6">
        <f>COUNTIFS(Table27[Country],Tabela1[[#This Row],[Country]],Table27[Men''s 4x100m Relay Classification],"&gt;0")</f>
        <v>0</v>
      </c>
      <c r="AX139" s="6">
        <f>COUNTIFS(Table27[Country],Tabela1[[#This Row],[Country]],Table27[Women''s 4x100m Relay Classification],"&gt;0")</f>
        <v>0</v>
      </c>
      <c r="AY139" s="6">
        <f>COUNTIFS(Table27[Country],Tabela1[[#This Row],[Country]],Table27[Men''s 4x400m Relay Classification],"&gt;0")</f>
        <v>0</v>
      </c>
      <c r="AZ139" s="6">
        <f>COUNTIFS(Table27[Country],Tabela1[[#This Row],[Country]],Table27[Women''s 4x400m Relay Classification],"&gt;0")</f>
        <v>0</v>
      </c>
      <c r="BA139" s="6">
        <f>COUNTIFS(Table27[Country],Tabela1[[#This Row],[Country]],Table27[Mixed 4x400m Relay Classification],"&gt;0")</f>
        <v>0</v>
      </c>
      <c r="BB139" s="6">
        <f>COUNTIFS(Table4[Country],Tabela1[[#This Row],[Country]],Table4[Marathon Classification],"&gt;0")</f>
        <v>0</v>
      </c>
      <c r="BC139" s="6">
        <f>COUNTIFS(Table5[Country],Tabela1[[#This Row],[Country]],Table5[Marathon Classification],"&gt;0")</f>
        <v>0</v>
      </c>
      <c r="BD139" s="6">
        <f>COUNTIFS(Table4[Country],Tabela1[[#This Row],[Country]],Table4[20km Race Walk Classification],"&gt;0")</f>
        <v>0</v>
      </c>
      <c r="BE139" s="6">
        <f>COUNTIFS(Table5[Country],Tabela1[[#This Row],[Country]],Table5[20km Race Walk Classification],"&gt;0")</f>
        <v>0</v>
      </c>
      <c r="BF139" s="6">
        <f>COUNTIFS(Tabela96[Country],Tabela1[[#This Row],[Country]],Tabela96[Mixed Marathon Race Walk Relay Classification],"&gt;0")</f>
        <v>0</v>
      </c>
      <c r="BG139" s="6">
        <f>COUNTIFS(Table4[Country],Tabela1[[#This Row],[Country]],Table4[Discus Throw Classification],"&gt;0")</f>
        <v>0</v>
      </c>
      <c r="BH139" s="6">
        <f>COUNTIFS(Table5[Country],Tabela1[[#This Row],[Country]],Table5[Discus Throw Classification],"&gt;0")</f>
        <v>0</v>
      </c>
      <c r="BI139" s="6">
        <f>COUNTIFS(Table4[Country],Tabela1[[#This Row],[Country]],Table4[Hammer Throw Classification],"&gt;0")</f>
        <v>0</v>
      </c>
      <c r="BJ139" s="6">
        <f>COUNTIFS(Table5[Country],Tabela1[[#This Row],[Country]],Table5[Hammer Throw Classification],"&gt;0")</f>
        <v>0</v>
      </c>
      <c r="BK139" s="6">
        <f>COUNTIFS(Table4[Country],Tabela1[[#This Row],[Country]],Table4[High Jump Classification],"&gt;0")</f>
        <v>0</v>
      </c>
      <c r="BL139" s="6">
        <f>COUNTIFS(Table5[Country],Tabela1[[#This Row],[Country]],Table5[High Jump Classification],"&gt;0")</f>
        <v>0</v>
      </c>
      <c r="BM139" s="6">
        <f>COUNTIFS(Table4[Country],Tabela1[[#This Row],[Country]],Table4[Javelin Throw Classification],"&gt;0")</f>
        <v>0</v>
      </c>
      <c r="BN139" s="6">
        <f>COUNTIFS(Table5[Country],Tabela1[[#This Row],[Country]],Table5[Javelin Throw Classification],"&gt;0")</f>
        <v>0</v>
      </c>
      <c r="BO139" s="6">
        <f>COUNTIFS(Table4[Country],Tabela1[[#This Row],[Country]],Table4[Long Jump Classification],"&gt;0")</f>
        <v>0</v>
      </c>
      <c r="BP139" s="6">
        <f>COUNTIFS(Table5[Country],Tabela1[[#This Row],[Country]],Table5[Long Jump Classification],"&gt;0")</f>
        <v>0</v>
      </c>
      <c r="BQ139" s="6">
        <f>COUNTIFS(Table4[Country],Tabela1[[#This Row],[Country]],Table4[Pole Vault Classification],"&gt;0")</f>
        <v>0</v>
      </c>
      <c r="BR139" s="6">
        <f>COUNTIFS(Table5[Country],Tabela1[[#This Row],[Country]],Table5[Pole Vault Classification],"&gt;0")</f>
        <v>0</v>
      </c>
      <c r="BS139" s="6">
        <f>COUNTIFS(Table4[Country],Tabela1[[#This Row],[Country]],Table4[Shot Put Classification],"&gt;0")</f>
        <v>0</v>
      </c>
      <c r="BT139" s="6">
        <f>COUNTIFS(Table5[Country],Tabela1[[#This Row],[Country]],Table5[Shot Put Classification],"&gt;0")</f>
        <v>0</v>
      </c>
      <c r="BU139" s="6">
        <f>COUNTIFS(Table4[Country],Tabela1[[#This Row],[Country]],Table4[Triple Jump Classification],"&gt;0")</f>
        <v>0</v>
      </c>
      <c r="BV139" s="6">
        <f>COUNTIFS(Table5[Country],Tabela1[[#This Row],[Country]],Table5[Triple Jump Classification],"&gt;0")</f>
        <v>0</v>
      </c>
      <c r="BW139" s="6">
        <f>COUNTIFS(Table4[Country],Tabela1[[#This Row],[Country]],Table4[Decathlon Classification],"&gt;0")</f>
        <v>0</v>
      </c>
      <c r="BX139" s="6">
        <f>COUNTIFS(Table5[Country],Tabela1[[#This Row],[Country]],Table5[Heptathlon Classification],"&gt;0")</f>
        <v>0</v>
      </c>
      <c r="BY139" s="6">
        <f>COUNTIFS(Table61[Country],Tabela1[[#This Row],[Country]],Table61[Classification],"&gt;0")</f>
        <v>0</v>
      </c>
      <c r="BZ139" s="6">
        <f>COUNTIFS(Table38[Country],Tabela1[[#This Row],[Country]],Table38[Classification],"&gt;0")</f>
        <v>0</v>
      </c>
      <c r="CA139" s="6">
        <f>COUNTIFS(Table39[Country],Tabela1[[#This Row],[Country]],Table39[Men''s Classification],"&gt;0")</f>
        <v>0</v>
      </c>
      <c r="CB139" s="6">
        <f>COUNTIFS(Table39[Country],Tabela1[[#This Row],[Country]],Table39[Women''s Classification],"&gt;0")</f>
        <v>0</v>
      </c>
      <c r="CC139" s="6">
        <f>COUNTIFS(Table39[Country],Tabela1[[#This Row],[Country]],Table39[Mixed Classification],"&gt;0")</f>
        <v>0</v>
      </c>
      <c r="CD139" s="6">
        <f>COUNTIFS(Table89[Country],Tabela1[[#This Row],[Country]],Table89[Men''s Classification],"&gt;0")</f>
        <v>0</v>
      </c>
      <c r="CE139" s="6">
        <f>COUNTIFS(Table89[Country],Tabela1[[#This Row],[Country]],Table89[Women''s Classification],"&gt;0")</f>
        <v>0</v>
      </c>
      <c r="CF139" s="6">
        <f>COUNTIFS(Table90[Country],Tabela1[[#This Row],[Country]],Table90[Men''s Classification],"&gt;0")</f>
        <v>0</v>
      </c>
      <c r="CG139" s="6">
        <f>COUNTIFS(Table90[Country],Tabela1[[#This Row],[Country]],Table90[Women''s Classification],"&gt;0")</f>
        <v>0</v>
      </c>
      <c r="CH139" s="6">
        <f>COUNTIFS(Table60[Country],Tabela1[[#This Row],[Country]],Table60[Men''s Classification],"&gt;0")</f>
        <v>0</v>
      </c>
      <c r="CI139" s="6">
        <f>COUNTIFS(Table60[Country],Tabela1[[#This Row],[Country]],Table60[Women''s Classification],"&gt;0")</f>
        <v>0</v>
      </c>
      <c r="CJ139" s="6">
        <f>COUNTIFS(Table6[Country],Tabela1[[#This Row],[Country]],Table6[51kg Classification],"&gt;0")</f>
        <v>0</v>
      </c>
      <c r="CK139" s="6">
        <f>COUNTIFS(Table6[Country],Tabela1[[#This Row],[Country]],Table6[57kg Classification],"&gt;0")</f>
        <v>0</v>
      </c>
      <c r="CL139" s="6">
        <f>COUNTIFS(Table6[Country],Tabela1[[#This Row],[Country]],Table6[63.5kg Classification],"&gt;0")</f>
        <v>0</v>
      </c>
      <c r="CM139" s="6">
        <f>COUNTIFS(Table6[Country],Tabela1[[#This Row],[Country]],Table6[71kg Classification],"&gt;0")</f>
        <v>0</v>
      </c>
      <c r="CN139" s="6">
        <f>COUNTIFS(Table6[Country],Tabela1[[#This Row],[Country]],Table6[80kg Classification],"&gt;0")</f>
        <v>0</v>
      </c>
      <c r="CO139" s="6">
        <f>COUNTIFS(Table6[Country],Tabela1[[#This Row],[Country]],Table6[92kg Classification],"&gt;0")</f>
        <v>0</v>
      </c>
      <c r="CP139" s="6">
        <f>COUNTIFS(Table6[Country],Tabela1[[#This Row],[Country]],Table6[Plus 92kg Classification],"&gt;0")</f>
        <v>0</v>
      </c>
      <c r="CQ139" s="6">
        <f>COUNTIFS(Table7[Country],Tabela1[[#This Row],[Country]],Table7[50kg Classification],"&gt;0")</f>
        <v>0</v>
      </c>
      <c r="CR139" s="6">
        <f>COUNTIFS(Table7[Country],Tabela1[[#This Row],[Country]],Table7[54kg Classification],"&gt;0")</f>
        <v>0</v>
      </c>
      <c r="CS139" s="6">
        <f>COUNTIFS(Table7[Country],Tabela1[[#This Row],[Country]],Table7[57kg Classification],"&gt;0")</f>
        <v>0</v>
      </c>
      <c r="CT139" s="6">
        <f>COUNTIFS(Table7[Country],Tabela1[[#This Row],[Country]],Table7[60kg Classification],"&gt;0")</f>
        <v>0</v>
      </c>
      <c r="CU139" s="6">
        <f>COUNTIFS(Table7[Country],Tabela1[[#This Row],[Country]],Table7[66kg Classification],"&gt;0")</f>
        <v>0</v>
      </c>
      <c r="CV139" s="6">
        <f>COUNTIFS(Table7[Country],Tabela1[[#This Row],[Country]],Table7[75kg Classification],"&gt;0")</f>
        <v>0</v>
      </c>
      <c r="CW139" s="6">
        <f>COUNTIFS(Tabela94[Country],Tabela1[[#This Row],[Country]],Tabela94[Classification],"&gt;0")</f>
        <v>0</v>
      </c>
      <c r="CX139" s="6">
        <f>COUNTIFS(Tabela9499[Country],Tabela1[[#This Row],[Country]],Tabela9499[Classification],"&gt;0")</f>
        <v>0</v>
      </c>
      <c r="CY139" s="6">
        <f>COUNTIFS(Tabela107[Country],Tabela1[[#This Row],[Country]],Tabela107[C1 Slalom Classification],"&gt;0")</f>
        <v>0</v>
      </c>
      <c r="CZ139" s="6">
        <f>COUNTIFS(Tabela107122[Country],Tabela1[[#This Row],[Country]],Tabela107122[C1 Slalom Classification],"&gt;0")</f>
        <v>0</v>
      </c>
      <c r="DA139" s="6">
        <f>COUNTIFS(Tabela107[Country],Tabela1[[#This Row],[Country]],Tabela107[K1 Slalom Classification],"&gt;0")</f>
        <v>0</v>
      </c>
      <c r="DB139" s="6">
        <f>COUNTIFS(Tabela107122[Country],Tabela1[[#This Row],[Country]],Tabela107122[K1 Slalom Classification],"&gt;0")</f>
        <v>0</v>
      </c>
      <c r="DC139" s="6">
        <f>COUNTIFS(Tabela107[Country],Tabela1[[#This Row],[Country]],Tabela107[Kayak Cross Slalom Classification],"&gt;0")</f>
        <v>0</v>
      </c>
      <c r="DD139" s="6">
        <f>COUNTIFS(Tabela107122[Country],Tabela1[[#This Row],[Country]],Tabela107122[Kayak Cross Slalom Classification],"&gt;0")</f>
        <v>0</v>
      </c>
      <c r="DE139" s="6">
        <f>COUNTIFS(Table8[Country],Tabela1[[#This Row],[Country]],Table8[C1 200m Classification],"&gt;0")</f>
        <v>0</v>
      </c>
      <c r="DF139" s="6">
        <f>COUNTIFS(Table40[Country],Tabela1[[#This Row],[Country]],Table40[C1 1000m Classification],"&gt;0")</f>
        <v>0</v>
      </c>
      <c r="DG139" s="6">
        <f>COUNTIFS(Table68[Country],Tabela1[[#This Row],[Country]],Table68[Men''s C2 500m Classification],"&gt;0")</f>
        <v>0</v>
      </c>
      <c r="DH139" s="6">
        <f>COUNTIFS(Table68[Country],Tabela1[[#This Row],[Country]],Table68[Women''s C2 500m Classification],"&gt;0")</f>
        <v>0</v>
      </c>
      <c r="DI139" s="6">
        <f>COUNTIFS(Table8[Country],Tabela1[[#This Row],[Country]],Table8[K1 500m Classification],"&gt;0")</f>
        <v>0</v>
      </c>
      <c r="DJ139" s="6">
        <f>COUNTIFS(Table40[Country],Tabela1[[#This Row],[Country]],Table40[K1 1000m Classification],"&gt;0")</f>
        <v>0</v>
      </c>
      <c r="DK139" s="6">
        <f>COUNTIFS(Table68[Country],Tabela1[[#This Row],[Country]],Table68[Men''s K2 500m Classification],"&gt;0")</f>
        <v>0</v>
      </c>
      <c r="DL139" s="6">
        <f>COUNTIFS(Table68[Country],Tabela1[[#This Row],[Country]],Table68[Women''s K2 500m Classification],"&gt;0")</f>
        <v>0</v>
      </c>
      <c r="DM139" s="6">
        <f>COUNTIFS(Table83[Country],Tabela1[[#This Row],[Country]],Table83[Men''s K4 500m Classification],"&gt;0")</f>
        <v>0</v>
      </c>
      <c r="DN139" s="6">
        <f>COUNTIFS(Table83[Country],Tabela1[[#This Row],[Country]],Table83[Women''s K4 500m Classification],"&gt;0")</f>
        <v>0</v>
      </c>
      <c r="DO139" s="6">
        <f>COUNTIFS(Tabela126[Country],Tabela1[[#This Row],[Country]],Tabela126[Classification],"&gt;0")</f>
        <v>0</v>
      </c>
      <c r="DP139" s="6">
        <f>COUNTIFS(Tabela126130[Country],Tabela1[[#This Row],[Country]],Tabela126130[Classification],"&gt;0")</f>
        <v>0</v>
      </c>
      <c r="DQ139" s="6">
        <f>COUNTIFS(Table70[Country],Tabela1[[#This Row],[Country]],Table70[Classification],"&gt;0")</f>
        <v>0</v>
      </c>
      <c r="DR139" s="6">
        <f>COUNTIFS(Table80[Country],Tabela1[[#This Row],[Country]],Table80[Classification],"&gt;0")</f>
        <v>0</v>
      </c>
      <c r="DS139" s="6">
        <f>COUNTIFS(Table66[Country],Tabela1[[#This Row],[Country]],Table66[Classification],"&gt;0")</f>
        <v>0</v>
      </c>
      <c r="DT139" s="6">
        <f>COUNTIFS(Table67[Country],Tabela1[[#This Row],[Country]],Table67[Classification],"&gt;0")</f>
        <v>0</v>
      </c>
      <c r="DU139" s="6">
        <f>COUNTIFS(Table69[Country],Tabela1[[#This Row],[Country]],Table69[Keirin Classification],"&gt;0")</f>
        <v>0</v>
      </c>
      <c r="DV139" s="6">
        <f>COUNTIFS(Table41[Country],Tabela1[[#This Row],[Country]],Table41[Keirin Classification],"&gt;0")</f>
        <v>0</v>
      </c>
      <c r="DW139" s="6">
        <f>COUNTIFS(Table84[Country],Tabela1[[#This Row],[Country]],Table84[Men''s Madison Classification],"&gt;0")</f>
        <v>0</v>
      </c>
      <c r="DX139" s="6">
        <f>COUNTIFS(Table84[Country],Tabela1[[#This Row],[Country]],Table84[Women''s Madison Classification],"&gt;0")</f>
        <v>0</v>
      </c>
      <c r="DY139" s="6">
        <f>COUNTIFS(Table69[Country],Tabela1[[#This Row],[Country]],Table69[Omnium Classification],"&gt;0")</f>
        <v>0</v>
      </c>
      <c r="DZ139" s="6">
        <f>COUNTIFS(Table41[Country],Tabela1[[#This Row],[Country]],Table41[Omnium Classification],"&gt;0")</f>
        <v>0</v>
      </c>
      <c r="EA139" s="6">
        <f>COUNTIFS(Table9[Country],Tabela1[[#This Row],[Country]],Table9[Road Race Classification],"&gt;0")</f>
        <v>0</v>
      </c>
      <c r="EB139" s="6">
        <f>COUNTIFS(Table14[Country],Tabela1[[#This Row],[Country]],Table14[Road Race Classification],"&gt;0")</f>
        <v>0</v>
      </c>
      <c r="EC139" s="6">
        <f>COUNTIFS(Table69[Country],Tabela1[[#This Row],[Country]],Table69[Sprint Classification],"&gt;0")</f>
        <v>0</v>
      </c>
      <c r="ED139" s="6">
        <f>COUNTIFS(Table41[Country],Tabela1[[#This Row],[Country]],Table41[Sprint Classification],"&gt;0")</f>
        <v>0</v>
      </c>
      <c r="EE139" s="6">
        <f>COUNTIFS(Table85[Country],Tabela1[[#This Row],[Country]],Table85[Men''s Sprint Classification],"&gt;0")</f>
        <v>0</v>
      </c>
      <c r="EF139" s="6">
        <f>COUNTIFS(Table85[Country],Tabela1[[#This Row],[Country]],Table85[Women''s Sprint Classification],"&gt;0")</f>
        <v>0</v>
      </c>
      <c r="EG139" s="6">
        <f>COUNTIFS(Table85[Country],Tabela1[[#This Row],[Country]],Table85[Men''s Pursuit Classification],"&gt;0")</f>
        <v>0</v>
      </c>
      <c r="EH139" s="6">
        <f>COUNTIFS(Table85[Country],Tabela1[[#This Row],[Country]],Table85[Women''s Pursuit Classification],"&gt;0")</f>
        <v>0</v>
      </c>
      <c r="EI139" s="6">
        <f>COUNTIFS(Table9[Country],Tabela1[[#This Row],[Country]],Table9[Time-Trial Classification],"&gt;0")</f>
        <v>0</v>
      </c>
      <c r="EJ139" s="6">
        <f>COUNTIFS(Table14[Country],Tabela1[[#This Row],[Country]],Table14[Time-Trial Classification],"&gt;0")</f>
        <v>0</v>
      </c>
      <c r="EK139" s="6">
        <f>COUNTIFS(Table42[Country],Tabela1[[#This Row],[Country]],Table42[Springboard Classification],"&gt;0")</f>
        <v>0</v>
      </c>
      <c r="EL139" s="6">
        <f>COUNTIFS(Table43[Country],Tabela1[[#This Row],[Country]],Table43[Springboard Classification],"&gt;0")</f>
        <v>0</v>
      </c>
      <c r="EM139" s="6">
        <f>COUNTIFS(Table42[Country],Tabela1[[#This Row],[Country]],Table42[Platform Classification],"&gt;0")</f>
        <v>0</v>
      </c>
      <c r="EN139" s="6">
        <f>COUNTIFS(Table43[Country],Tabela1[[#This Row],[Country]],Table43[Platform Classification],"&gt;0")</f>
        <v>0</v>
      </c>
      <c r="EO139" s="6">
        <f>COUNTIFS(Table86[Country],Tabela1[[#This Row],[Country]],Table86[Men''s Synchronized Springboard Classification],"&gt;0")</f>
        <v>0</v>
      </c>
      <c r="EP139" s="6">
        <f>COUNTIFS(Table86[Country],Tabela1[[#This Row],[Country]],Table86[Women''s Synchronized Springboard Classification],"&gt;0")</f>
        <v>0</v>
      </c>
      <c r="EQ139" s="6">
        <f>COUNTIFS(Table86[Country],Tabela1[[#This Row],[Country]],Table86[Men''s Synchronized Platform Classification],"&gt;0")</f>
        <v>0</v>
      </c>
      <c r="ER139" s="6">
        <f>COUNTIFS(Table86[Country],Tabela1[[#This Row],[Country]],Table86[Women''s Synchronized Platform Classification],"&gt;0")</f>
        <v>0</v>
      </c>
      <c r="ES139" s="6">
        <f>COUNTIFS(Table44[Country],Tabela1[[#This Row],[Country]],Table44[Dressage Classification],"&gt;0")</f>
        <v>0</v>
      </c>
      <c r="ET139" s="6">
        <f>COUNTIFS(Table45[Country],Tabela1[[#This Row],[Country]],Table45[Dressage Classification],"&gt;0")</f>
        <v>0</v>
      </c>
      <c r="EU139" s="6">
        <f>COUNTIFS(Table44[Country],Tabela1[[#This Row],[Country]],Table44[Eventing Classification],"&gt;0")</f>
        <v>0</v>
      </c>
      <c r="EV139" s="6">
        <f>COUNTIFS(Table45[Country],Tabela1[[#This Row],[Country]],Table45[Eventing Classification],"&gt;0")</f>
        <v>0</v>
      </c>
      <c r="EW139" s="6">
        <f>COUNTIFS(Table44[Country],Tabela1[[#This Row],[Country]],Table44[Jumping Classification],"&gt;0")</f>
        <v>0</v>
      </c>
      <c r="EX139" s="6">
        <f>COUNTIFS(Table45[Country],Tabela1[[#This Row],[Country]],Table45[Jumping Classification],"&gt;0")</f>
        <v>0</v>
      </c>
      <c r="EY139" s="6">
        <f>COUNTIFS(Table10[Country],Tabela1[[#This Row],[Country]],Table10[Épée Classification],"&gt;0")</f>
        <v>0</v>
      </c>
      <c r="EZ139" s="6">
        <f>COUNTIFS(Table11[Country],Tabela1[[#This Row],[Country]],Table11[Épée Classification],"&gt;0")</f>
        <v>0</v>
      </c>
      <c r="FA139" s="6">
        <f>COUNTIFS(Table46[Country],Tabela1[[#This Row],[Country]],Table46[Men''s Épée Classification],"&gt;0")</f>
        <v>0</v>
      </c>
      <c r="FB139" s="6">
        <f>COUNTIFS(Table46[Country],Tabela1[[#This Row],[Country]],Table46[Women''s Épée Classification],"&gt;0")</f>
        <v>0</v>
      </c>
      <c r="FC139" s="6">
        <f>COUNTIFS(Table10[Country],Tabela1[[#This Row],[Country]],Table10[Foil Classification],"&gt;0")</f>
        <v>0</v>
      </c>
      <c r="FD139" s="6">
        <f>COUNTIFS(Table11[Country],Tabela1[[#This Row],[Country]],Table11[Foil Classification],"&gt;0")</f>
        <v>0</v>
      </c>
      <c r="FE139" s="6">
        <f>COUNTIFS(Table46[Country],Tabela1[[#This Row],[Country]],Table46[Men''s Foil Classification],"&gt;0")</f>
        <v>0</v>
      </c>
      <c r="FF139" s="6">
        <f>COUNTIFS(Table46[Country],Tabela1[[#This Row],[Country]],Table46[Women''s Foil Classification],"&gt;0")</f>
        <v>0</v>
      </c>
      <c r="FG139" s="6">
        <f>COUNTIFS(Table10[Country],Tabela1[[#This Row],[Country]],Table10[Sabre Classification],"&gt;0")</f>
        <v>0</v>
      </c>
      <c r="FH139" s="6">
        <f>COUNTIFS(Table11[Country],Tabela1[[#This Row],[Country]],Table11[Sabre Classification],"&gt;0")</f>
        <v>0</v>
      </c>
      <c r="FI139" s="6">
        <f>COUNTIFS(Table46[Country],Tabela1[[#This Row],[Country]],Table46[Men''s Sabre Classification],"&gt;0")</f>
        <v>0</v>
      </c>
      <c r="FJ139" s="6">
        <f>COUNTIFS(Table46[Country],Tabela1[[#This Row],[Country]],Table46[Women''s Sabre Classification],"&gt;0")</f>
        <v>0</v>
      </c>
      <c r="FK139" s="6">
        <f>COUNTIFS(Table91[Country],Tabela1[[#This Row],[Country]],Table91[Men''s Classification],"&gt;0")</f>
        <v>0</v>
      </c>
      <c r="FL139" s="6">
        <f>COUNTIFS(Table91[Country],Tabela1[[#This Row],[Country]],Table91[Women''s Classification],"&gt;0")</f>
        <v>0</v>
      </c>
      <c r="FM139" s="6">
        <f>COUNTIFS(Table9194[Country],Tabela1[[#This Row],[Country]],Table9194[Men''s Classification],"&gt;0")</f>
        <v>0</v>
      </c>
      <c r="FN139" s="6">
        <f>COUNTIFS(Table9194[Country],Tabela1[[#This Row],[Country]],Table9194[Women''s Classification],"&gt;0")</f>
        <v>0</v>
      </c>
      <c r="FO139" s="6">
        <f>COUNTIFS(Table71[Country],Tabela1[[#This Row],[Country]],Table71[Classification],"&gt;0")</f>
        <v>0</v>
      </c>
      <c r="FP139" s="6">
        <f>COUNTIFS(Table62[Country],Tabela1[[#This Row],[Country]],Table62[Classification],"&gt;0")</f>
        <v>0</v>
      </c>
      <c r="FQ139" s="6">
        <f>COUNTIFS(Table47[Country],Tabela1[[#This Row],[Country]],Table47[All-Around Classification],"&gt;0")</f>
        <v>0</v>
      </c>
      <c r="FR139" s="6">
        <f>COUNTIFS(Table48[Country],Tabela1[[#This Row],[Country]],Table48[All-Around Classification],"&gt;0")</f>
        <v>0</v>
      </c>
      <c r="FS139" s="6">
        <f>COUNTIFS(Table81[Country],Tabela1[[#This Row],[Country]],Table81[Men''s All-Around Classification],"&gt;0")</f>
        <v>0</v>
      </c>
      <c r="FT139" s="6">
        <f>COUNTIFS(Table81[Country],Tabela1[[#This Row],[Country]],Table81[Women''s All-Around Classification],"&gt;0")</f>
        <v>0</v>
      </c>
      <c r="FU139" s="6">
        <f>COUNTIFS(Table48[Country],Tabela1[[#This Row],[Country]],Table48[Balance Beam Classification],"&gt;0")</f>
        <v>0</v>
      </c>
      <c r="FV139" s="6">
        <f>COUNTIFS(Table47[Country],Tabela1[[#This Row],[Country]],Table47[Floor Exercise Classification],"&gt;0")</f>
        <v>0</v>
      </c>
      <c r="FW139" s="6">
        <f>COUNTIFS(Table48[Country],Tabela1[[#This Row],[Country]],Table48[Floor Exercise Classification],"&gt;0")</f>
        <v>0</v>
      </c>
      <c r="FX139" s="6">
        <f>COUNTIFS(Table47[Country],Tabela1[[#This Row],[Country]],Table47[Horizontal Bar Classification],"&gt;0")</f>
        <v>0</v>
      </c>
      <c r="FY139" s="6">
        <f>COUNTIFS(Table47[Country],Tabela1[[#This Row],[Country]],Table47[Parallel Bars Classification],"&gt;0")</f>
        <v>0</v>
      </c>
      <c r="FZ139" s="6">
        <f>COUNTIFS(Table47[Country],Tabela1[[#This Row],[Country]],Table47[Pommel Horse Classification],"&gt;0")</f>
        <v>0</v>
      </c>
      <c r="GA139" s="6">
        <f>COUNTIFS(Table47[Country],Tabela1[[#This Row],[Country]],Table47[Rings Classification],"&gt;0")</f>
        <v>0</v>
      </c>
      <c r="GB139" s="6">
        <f>COUNTIFS(Tabela132[Country],Tabela1[[#This Row],[Country]],Tabela132[Classification],"&gt;0")</f>
        <v>0</v>
      </c>
      <c r="GC139" s="6">
        <f>COUNTIFS(Tabela139[Country],Tabela1[[#This Row],[Country]],Tabela139[Classification],"&gt;0")</f>
        <v>0</v>
      </c>
      <c r="GD139" s="6">
        <f>COUNTIFS(Table48[Country],Tabela1[[#This Row],[Country]],Table48[Uneven Bars Classification],"&gt;0")</f>
        <v>0</v>
      </c>
      <c r="GE139" s="6">
        <f>COUNTIFS(Table47[Country],Tabela1[[#This Row],[Country]],Table47[Vault Classification],"&gt;0")</f>
        <v>0</v>
      </c>
      <c r="GF139" s="6">
        <f>COUNTIFS(Table48[Country],Tabela1[[#This Row],[Country]],Table48[Vault Classification],"&gt;0")</f>
        <v>0</v>
      </c>
      <c r="GG139" s="6">
        <f>COUNTIFS(Table919496[Country],Tabela1[[#This Row],[Country]],Table919496[Men''s Classification],"&gt;0")</f>
        <v>0</v>
      </c>
      <c r="GH139" s="6">
        <f>COUNTIFS(Table919496[Country],Tabela1[[#This Row],[Country]],Table919496[Women''s Classification],"&gt;0")</f>
        <v>0</v>
      </c>
      <c r="GI139" s="6">
        <f>COUNTIFS(Table12[Country],Tabela1[[#This Row],[Country]],Table12[60kg Classification],"&gt;0")</f>
        <v>0</v>
      </c>
      <c r="GJ139" s="6">
        <f>COUNTIFS(Table12[Country],Tabela1[[#This Row],[Country]],Table12[66kg Classification],"&gt;0")</f>
        <v>0</v>
      </c>
      <c r="GK139" s="6">
        <f>COUNTIFS(Table12[Country],Tabela1[[#This Row],[Country]],Table12[73kg Classification],"&gt;0")</f>
        <v>0</v>
      </c>
      <c r="GL139" s="6">
        <f>COUNTIFS(Table12[Country],Tabela1[[#This Row],[Country]],Table12[81kg Classification],"&gt;0")</f>
        <v>0</v>
      </c>
      <c r="GM139" s="6">
        <f>COUNTIFS(Table12[Country],Tabela1[[#This Row],[Country]],Table12[90kg Classification],"&gt;0")</f>
        <v>0</v>
      </c>
      <c r="GN139" s="6">
        <f>COUNTIFS(Table12[Country],Tabela1[[#This Row],[Country]],Table12[100kg Classification],"&gt;0")</f>
        <v>0</v>
      </c>
      <c r="GO139" s="6">
        <f>COUNTIFS(Table12[Country],Tabela1[[#This Row],[Country]],Table12[Plus 100kg Classification],"&gt;0")</f>
        <v>0</v>
      </c>
      <c r="GP139" s="6">
        <f>COUNTIFS(Table13[Country],Tabela1[[#This Row],[Country]],Table13[48kg Classification],"&gt;0")</f>
        <v>0</v>
      </c>
      <c r="GQ139" s="6">
        <f>COUNTIFS(Table13[Country],Tabela1[[#This Row],[Country]],Table13[52kg Classification],"&gt;0")</f>
        <v>0</v>
      </c>
      <c r="GR139" s="6">
        <f>COUNTIFS(Table13[Country],Tabela1[[#This Row],[Country]],Table13[57kg Classification],"&gt;0")</f>
        <v>0</v>
      </c>
      <c r="GS139" s="6">
        <f>COUNTIFS(Table13[Country],Tabela1[[#This Row],[Country]],Table13[63kg Classification],"&gt;0")</f>
        <v>0</v>
      </c>
      <c r="GT139" s="6">
        <f>COUNTIFS(Table13[Country],Tabela1[[#This Row],[Country]],Table13[70kg Classification],"&gt;0")</f>
        <v>0</v>
      </c>
      <c r="GU139" s="6">
        <f>COUNTIFS(Table13[Country],Tabela1[[#This Row],[Country]],Table13[78kg Classification],"&gt;0")</f>
        <v>0</v>
      </c>
      <c r="GV139" s="6">
        <f>COUNTIFS(Table13[Country],Tabela1[[#This Row],[Country]],Table13[Plus 78kg Classification],"&gt;0")</f>
        <v>0</v>
      </c>
      <c r="GW139" s="6">
        <f>COUNTIFS(Table82[Country],Tabela1[[#This Row],[Country]],Table82[Mixed Classification],"&gt;0")</f>
        <v>0</v>
      </c>
      <c r="GX139" s="6">
        <f>COUNTIFS(Table51[Country],Tabela1[[#This Row],[Country]],Table51[Classification],"&gt;0")</f>
        <v>0</v>
      </c>
      <c r="GY139" s="6">
        <f>COUNTIFS(Table52[Country],Tabela1[[#This Row],[Country]],Table52[Classification],"&gt;0")</f>
        <v>0</v>
      </c>
      <c r="GZ139" s="6">
        <f>COUNTIFS(Table32[Country],Tabela1[[#This Row],[Country]],Table32[All-Around Classification],"&gt;0")</f>
        <v>0</v>
      </c>
      <c r="HA139" s="6">
        <f>COUNTIFS(Table49[Country],Tabela1[[#This Row],[Country]],Table49[All-Around Classification],"&gt;0")</f>
        <v>0</v>
      </c>
      <c r="HB139" s="6">
        <f>COUNTIFS(Table26[Country],Tabela1[[#This Row],[Country]],Table26[Single Sculls Classification],"&gt;0")</f>
        <v>0</v>
      </c>
      <c r="HC139" s="6">
        <f>COUNTIFS(Table63[Country],Tabela1[[#This Row],[Country]],Table63[Single Sculls Classification],"&gt;0")</f>
        <v>0</v>
      </c>
      <c r="HD139" s="6">
        <f>COUNTIFS(Table16[Country],Tabela1[[#This Row],[Country]],Table16[Men''s Double Sculls Classification],"&gt;0")</f>
        <v>0</v>
      </c>
      <c r="HE139" s="6">
        <f>COUNTIFS(Table16[Country],Tabela1[[#This Row],[Country]],Table16[Women''s Double Sculls Classification],"&gt;0")</f>
        <v>0</v>
      </c>
      <c r="HF139" s="6">
        <f>COUNTIFS(Table72[Country],Tabela1[[#This Row],[Country]],Table72[Men''s Quadruple Sculls Classification],"&gt;0")</f>
        <v>0</v>
      </c>
      <c r="HG139" s="6">
        <f>COUNTIFS(Table72[Country],Tabela1[[#This Row],[Country]],Table72[Women''s Quadruple Sculls Classification],"&gt;0")</f>
        <v>0</v>
      </c>
      <c r="HH139" s="6">
        <f>COUNTIFS(Table16[Country],Tabela1[[#This Row],[Country]],Table16[Men''s Coxless Pairs Classification],"&gt;0")</f>
        <v>0</v>
      </c>
      <c r="HI139" s="6">
        <f>COUNTIFS(Table16[Country],Tabela1[[#This Row],[Country]],Table16[Women''s Coxless Pairs Classification],"&gt;0")</f>
        <v>0</v>
      </c>
      <c r="HJ139" s="6">
        <f>COUNTIFS(Table72[Country],Tabela1[[#This Row],[Country]],Table72[Men''s Coxless Fours Classification],"&gt;0")</f>
        <v>0</v>
      </c>
      <c r="HK139" s="6">
        <f>COUNTIFS(Table72[Country],Tabela1[[#This Row],[Country]],Table72[Women''s Coxless Fours Classification],"&gt;0")</f>
        <v>0</v>
      </c>
      <c r="HL139" s="6">
        <f>COUNTIFS(Table72[Country],Tabela1[[#This Row],[Country]],Table72[Men''s Eights Classification],"&gt;0")</f>
        <v>0</v>
      </c>
      <c r="HM139" s="6">
        <f>COUNTIFS(Table72[Country],Tabela1[[#This Row],[Country]],Table72[Women''s Eights Classification],"&gt;0")</f>
        <v>0</v>
      </c>
      <c r="HN139" s="6">
        <f>COUNTIFS(Table16[Country],Tabela1[[#This Row],[Country]],Table16[Men''s Lwt. Double Sculls Classification],"&gt;0")</f>
        <v>0</v>
      </c>
      <c r="HO139" s="6">
        <f>COUNTIFS(Table16[Country],Tabela1[[#This Row],[Country]],Table16[Women''s Lwt. Double Sculls Classification],"&gt;0")</f>
        <v>0</v>
      </c>
      <c r="HP139" s="6">
        <f>COUNTIFS(Table91949698[Country],Tabela1[[#This Row],[Country]],Table91949698[Men''s Classification],"&gt;0")</f>
        <v>0</v>
      </c>
      <c r="HQ139" s="6">
        <f>COUNTIFS(Table91949698[Country],Tabela1[[#This Row],[Country]],Table91949698[Women''s Classification],"&gt;0")</f>
        <v>0</v>
      </c>
      <c r="HR139" s="6">
        <f>COUNTIFS(Table25[Country],Tabela1[[#This Row],[Country]],Table25[Mixed 470 Classification],"&gt;0")</f>
        <v>0</v>
      </c>
      <c r="HS139" s="6">
        <f>COUNTIFS(Table25[Country],Tabela1[[#This Row],[Country]],Table25[Men''s 49er Classification],"&gt;0")</f>
        <v>0</v>
      </c>
      <c r="HT139" s="6">
        <f>COUNTIFS(Table25[Country],Tabela1[[#This Row],[Country]],Table25[Women''s 49er FX Classification],"&gt;0")</f>
        <v>0</v>
      </c>
      <c r="HU139" s="6">
        <f>COUNTIFS(Table17[Country],Tabela1[[#This Row],[Country]],Table17[Formula Kite Classification],"&gt;0")</f>
        <v>0</v>
      </c>
      <c r="HV139" s="6">
        <f>COUNTIFS(Table18[Country],Tabela1[[#This Row],[Country]],Table18[Formula Kite Classification],"&gt;0")</f>
        <v>0</v>
      </c>
      <c r="HW139" s="6">
        <f>COUNTIFS(Table17[Country],Tabela1[[#This Row],[Country]],Table17[ILCA 7 Classification],"&gt;0")</f>
        <v>0</v>
      </c>
      <c r="HX139" s="6">
        <f>COUNTIFS(Table18[Country],Tabela1[[#This Row],[Country]],Table18[ILCA 6 Classification],"&gt;0")</f>
        <v>0</v>
      </c>
      <c r="HY139" s="6">
        <f>COUNTIFS(Table17[Country],Tabela1[[#This Row],[Country]],Table17[IQFoil Classification],"&gt;0")</f>
        <v>0</v>
      </c>
      <c r="HZ139" s="6">
        <f>COUNTIFS(Table18[Country],Tabela1[[#This Row],[Country]],Table18[IQFoil Classification],"&gt;0")</f>
        <v>0</v>
      </c>
      <c r="IA139" s="6">
        <f>COUNTIFS(Table25[Country],Tabela1[[#This Row],[Country]],Table25[Mixed Nacra 17 Classification],"&gt;0")</f>
        <v>0</v>
      </c>
      <c r="IB139" s="6">
        <f>COUNTIFS(Table53[Country],Tabela1[[#This Row],[Country]],Table53[10m Air Pistol Classification],"&gt;0")</f>
        <v>0</v>
      </c>
      <c r="IC139" s="6">
        <f>COUNTIFS(Table19[Country],Tabela1[[#This Row],[Country]],Table19[10m Air Pistol Classification],"&gt;0")</f>
        <v>0</v>
      </c>
      <c r="ID139" s="6">
        <f>COUNTIFS(Table54[Country],Tabela1[[#This Row],[Country]],Table54[Mixed 10m Air Pistol Team Classification],"&gt;0")</f>
        <v>0</v>
      </c>
      <c r="IE139" s="6">
        <f>COUNTIFS(Table53[Country],Tabela1[[#This Row],[Country]],Table53[10m Air Rifle Classification],"&gt;0")</f>
        <v>0</v>
      </c>
      <c r="IF139" s="6">
        <f>COUNTIFS(Table19[Country],Tabela1[[#This Row],[Country]],Table19[10m Air Rifle Classification],"&gt;0")</f>
        <v>0</v>
      </c>
      <c r="IG139" s="6">
        <f>COUNTIFS(Table54[Country],Tabela1[[#This Row],[Country]],Table54[Mixed 10m Air Rifle Team Classification],"&gt;0")</f>
        <v>0</v>
      </c>
      <c r="IH139" s="6">
        <f>COUNTIFS(Table53[Country],Tabela1[[#This Row],[Country]],Table53[25m Rapid Fire Pistol Classification],"&gt;0")</f>
        <v>0</v>
      </c>
      <c r="II139" s="6">
        <f>COUNTIFS(Table19[Country],Tabela1[[#This Row],[Country]],Table19[25m Pistol Classification],"&gt;0")</f>
        <v>0</v>
      </c>
      <c r="IJ139" s="6">
        <f>COUNTIFS(Table53[Country],Tabela1[[#This Row],[Country]],Table53[50m Rifle 3 Positions Classification],"&gt;0")</f>
        <v>0</v>
      </c>
      <c r="IK139" s="6">
        <f>COUNTIFS(Table19[Country],Tabela1[[#This Row],[Country]],Table19[50m Rifle 3 Positions Classification],"&gt;0")</f>
        <v>0</v>
      </c>
      <c r="IL139" s="6">
        <f>COUNTIFS(Table53[Country],Tabela1[[#This Row],[Country]],Table53[Skeet Classification],"&gt;0")</f>
        <v>0</v>
      </c>
      <c r="IM139" s="6">
        <f>COUNTIFS(Table19[Country],Tabela1[[#This Row],[Country]],Table19[Skeet Classification],"&gt;0")</f>
        <v>0</v>
      </c>
      <c r="IN139" s="6">
        <f>COUNTIFS(Table54[Country],Tabela1[[#This Row],[Country]],Table54[Mixed Skeet Team Classification],"&gt;0")</f>
        <v>0</v>
      </c>
      <c r="IO139" s="6">
        <f>COUNTIFS(Table53[Country],Tabela1[[#This Row],[Country]],Table53[Trap Classification],"&gt;0")</f>
        <v>0</v>
      </c>
      <c r="IP139" s="6">
        <f>COUNTIFS(Table19[Country],Tabela1[[#This Row],[Country]],Table19[Trap Classification],"&gt;0")</f>
        <v>0</v>
      </c>
      <c r="IQ139" s="6">
        <f>COUNTIFS(Table73[Country],Tabela1[[#This Row],[Country]],Table73[Park Classification],"&gt;0")</f>
        <v>0</v>
      </c>
      <c r="IR139" s="6">
        <f>COUNTIFS(Table74[Country],Tabela1[[#This Row],[Country]],Table74[Park Classification],"&gt;0")</f>
        <v>0</v>
      </c>
      <c r="IS139" s="6">
        <f>COUNTIFS(Table73[Country],Tabela1[[#This Row],[Country]],Table73[Street Classification],"&gt;0")</f>
        <v>0</v>
      </c>
      <c r="IT139" s="6">
        <f>COUNTIFS(Table74[Country],Tabela1[[#This Row],[Country]],Table74[Street Classification],"&gt;0")</f>
        <v>0</v>
      </c>
      <c r="IU139" s="6">
        <f>COUNTIFS(Table75[Country],Tabela1[[#This Row],[Country]],Table75[Boulder and Lead Classification],"&gt;0")</f>
        <v>0</v>
      </c>
      <c r="IV139" s="6">
        <f>COUNTIFS(Table76[Country],Tabela1[[#This Row],[Country]],Table76[Boulder and Lead Classification],"&gt;0")</f>
        <v>0</v>
      </c>
      <c r="IW139" s="6">
        <f>COUNTIFS(Table75[Country],Tabela1[[#This Row],[Country]],Table75[Speed Classification],"&gt;0")</f>
        <v>0</v>
      </c>
      <c r="IX139" s="6">
        <f>COUNTIFS(Table76[Country],Tabela1[[#This Row],[Country]],Table76[Speed Classification],"&gt;0")</f>
        <v>0</v>
      </c>
      <c r="IY139" s="6">
        <f>COUNTIFS(Table64[Country],Tabela1[[#This Row],[Country]],Table64[Shortboard Classification],"&gt;0")</f>
        <v>0</v>
      </c>
      <c r="IZ139" s="6">
        <f>COUNTIFS(Table77[Country],Tabela1[[#This Row],[Country]],Table77[Shortboard Classification],"&gt;0")</f>
        <v>0</v>
      </c>
      <c r="JA139" s="6">
        <f>COUNTIFS(Table20[Country],Tabela1[[#This Row],[Country]],Table20[50m Freestyle Classification],"&gt;0")</f>
        <v>1</v>
      </c>
      <c r="JB139" s="6">
        <f>COUNTIFS(Table21[Country],Tabela1[[#This Row],[Country]],Table21[50m Freestyle Classification],"&gt;0")</f>
        <v>0</v>
      </c>
      <c r="JC139" s="6">
        <f>COUNTIFS(Table20[Country],Tabela1[[#This Row],[Country]],Table20[100m Freestyle Classification],"&gt;0")</f>
        <v>0</v>
      </c>
      <c r="JD139" s="6">
        <f>COUNTIFS(Table21[Country],Tabela1[[#This Row],[Country]],Table21[100m Freestyle Classification],"&gt;0")</f>
        <v>0</v>
      </c>
      <c r="JE139" s="6">
        <f>COUNTIFS(Table20[Country],Tabela1[[#This Row],[Country]],Table20[200m Freestyle Classification],"&gt;0")</f>
        <v>0</v>
      </c>
      <c r="JF139" s="6">
        <f>COUNTIFS(Table21[Country],Tabela1[[#This Row],[Country]],Table21[200m Freestyle Classification],"&gt;0")</f>
        <v>0</v>
      </c>
      <c r="JG139" s="6">
        <f>COUNTIFS(Table20[Country],Tabela1[[#This Row],[Country]],Table20[400m Freestyle Classification],"&gt;0")</f>
        <v>0</v>
      </c>
      <c r="JH139" s="6">
        <f>COUNTIFS(Table21[Country],Tabela1[[#This Row],[Country]],Table21[400m Freestyle Classification],"&gt;0")</f>
        <v>0</v>
      </c>
      <c r="JI139" s="6">
        <f>COUNTIFS(Table20[Country],Tabela1[[#This Row],[Country]],Table20[800m Freestyle Classification],"&gt;0")</f>
        <v>0</v>
      </c>
      <c r="JJ139" s="6">
        <f>COUNTIFS(Table21[Country],Tabela1[[#This Row],[Country]],Table21[800m Freestyle Classification],"&gt;0")</f>
        <v>0</v>
      </c>
      <c r="JK139" s="6">
        <f>COUNTIFS(Table20[Country],Tabela1[[#This Row],[Country]],Table20[1500m Freestyle Classification],"&gt;0")</f>
        <v>0</v>
      </c>
      <c r="JL139" s="6">
        <f>COUNTIFS(Table21[Country],Tabela1[[#This Row],[Country]],Table21[1500m Freestyle Classification],"&gt;0")</f>
        <v>0</v>
      </c>
      <c r="JM139" s="6">
        <f>COUNTIFS(Table20[Country],Tabela1[[#This Row],[Country]],Table20[100m Backstroke Classification],"&gt;0")</f>
        <v>0</v>
      </c>
      <c r="JN139" s="6">
        <f>COUNTIFS(Table21[Country],Tabela1[[#This Row],[Country]],Table21[100m Backstroke Classification],"&gt;0")</f>
        <v>0</v>
      </c>
      <c r="JO139" s="6">
        <f>COUNTIFS(Table20[Country],Tabela1[[#This Row],[Country]],Table20[200m Backstroke Classification],"&gt;0")</f>
        <v>0</v>
      </c>
      <c r="JP139" s="6">
        <f>COUNTIFS(Table21[Country],Tabela1[[#This Row],[Country]],Table21[200m Backstroke Classification],"&gt;0")</f>
        <v>0</v>
      </c>
      <c r="JQ139" s="6">
        <f>COUNTIFS(Table20[Country],Tabela1[[#This Row],[Country]],Table20[100m Breaststroke Classification],"&gt;0")</f>
        <v>0</v>
      </c>
      <c r="JR139" s="6">
        <f>COUNTIFS(Table21[Country],Tabela1[[#This Row],[Country]],Table21[100m Breaststroke Classification],"&gt;0")</f>
        <v>0</v>
      </c>
      <c r="JS139" s="6">
        <f>COUNTIFS(Table20[Country],Tabela1[[#This Row],[Country]],Table20[200m Breaststroke Classification],"&gt;0")</f>
        <v>0</v>
      </c>
      <c r="JT139" s="6">
        <f>COUNTIFS(Table21[Country],Tabela1[[#This Row],[Country]],Table21[200m Breaststroke Classification],"&gt;0")</f>
        <v>0</v>
      </c>
      <c r="JU139" s="6">
        <f>COUNTIFS(Table20[Country],Tabela1[[#This Row],[Country]],Table20[100m Butterfly Classification],"&gt;0")</f>
        <v>0</v>
      </c>
      <c r="JV139" s="6">
        <f>COUNTIFS(Table21[Country],Tabela1[[#This Row],[Country]],Table21[100m Butterfly Classification],"&gt;0")</f>
        <v>0</v>
      </c>
      <c r="JW139" s="6">
        <f>COUNTIFS(Table20[Country],Tabela1[[#This Row],[Country]],Table20[200m Butterfly Classification],"&gt;0")</f>
        <v>0</v>
      </c>
      <c r="JX139" s="6">
        <f>COUNTIFS(Table21[Country],Tabela1[[#This Row],[Country]],Table21[200m Butterfly Classification],"&gt;0")</f>
        <v>0</v>
      </c>
      <c r="JY139" s="6">
        <f>COUNTIFS(Table20[Country],Tabela1[[#This Row],[Country]],Table20[200m Medley Classification],"&gt;0")</f>
        <v>0</v>
      </c>
      <c r="JZ139" s="6">
        <f>COUNTIFS(Table21[Country],Tabela1[[#This Row],[Country]],Table21[200m Medley Classification],"&gt;0")</f>
        <v>0</v>
      </c>
      <c r="KA139" s="6">
        <f>COUNTIFS(Table20[Country],Tabela1[[#This Row],[Country]],Table20[400m Medley Classification],"&gt;0")</f>
        <v>0</v>
      </c>
      <c r="KB139" s="6">
        <f>COUNTIFS(Table21[Country],Tabela1[[#This Row],[Country]],Table21[400m Medley Classification],"&gt;0")</f>
        <v>0</v>
      </c>
      <c r="KC139" s="6">
        <f>COUNTIFS(Table78[Country],Tabela1[[#This Row],[Country]],Table78[Men''s 4x100m Freestyle Relay Classification],"&gt;0")</f>
        <v>0</v>
      </c>
      <c r="KD139" s="6">
        <f>COUNTIFS(Table78[Country],Tabela1[[#This Row],[Country]],Table78[Women''s 4x100m Freestyle Relay Classification],"&gt;0")</f>
        <v>0</v>
      </c>
      <c r="KE139" s="6">
        <f>COUNTIFS(Table78[Country],Tabela1[[#This Row],[Country]],Table78[Men''s 4x200m Freestyle Relay Classification],"&gt;0")</f>
        <v>0</v>
      </c>
      <c r="KF139" s="6">
        <f>COUNTIFS(Table78[Country],Tabela1[[#This Row],[Country]],Table78[Women''s 4x200m Freestyle Relay Classification],"&gt;0")</f>
        <v>0</v>
      </c>
      <c r="KG139" s="6">
        <f>COUNTIFS(Table78[Country],Tabela1[[#This Row],[Country]],Table78[Men''s 4x100m Medley Relay Classification],"&gt;0")</f>
        <v>0</v>
      </c>
      <c r="KH139" s="6">
        <f>COUNTIFS(Table78[Country],Tabela1[[#This Row],[Country]],Table78[Women''s 4x100m Medley Relay Classification],"&gt;0")</f>
        <v>0</v>
      </c>
      <c r="KI139" s="6">
        <f>COUNTIFS(Table78[Country],Tabela1[[#This Row],[Country]],Table78[Mixed 4x100m Medley Relay Classification],"&gt;0")</f>
        <v>0</v>
      </c>
      <c r="KJ139" s="6">
        <f>COUNTIFS(Table20[Country],Tabela1[[#This Row],[Country]],Table20[10km Open Water Classification],"&gt;0")</f>
        <v>0</v>
      </c>
      <c r="KK139" s="6">
        <f>COUNTIFS(Table21[Country],Tabela1[[#This Row],[Country]],Table21[10km Open Water Classification],"&gt;0")</f>
        <v>0</v>
      </c>
      <c r="KL139" s="6">
        <f>COUNTIFS(Table22[Country],Tabela1[[#This Row],[Country]],Table22[Classification],"&gt;0")</f>
        <v>0</v>
      </c>
      <c r="KM139" s="6">
        <f>COUNTIFS(Table30[Country],Tabela1[[#This Row],[Country]],Table30[Classification],"&gt;0")</f>
        <v>0</v>
      </c>
      <c r="KN139" s="6">
        <f>COUNTIFS(Table55[Country],Tabela1[[#This Row],[Country]],Table55[Men''s Classification],"&gt;0")</f>
        <v>0</v>
      </c>
      <c r="KO139" s="6">
        <f>COUNTIFS(Table55[Country],Tabela1[[#This Row],[Country]],Table55[Women''s Classification],"&gt;0")</f>
        <v>0</v>
      </c>
      <c r="KP139" s="6">
        <f>COUNTIFS(Table56[Country],Tabela1[[#This Row],[Country]],Table56[Mixed Classification],"&gt;0")</f>
        <v>0</v>
      </c>
      <c r="KQ139" s="6">
        <f>COUNTIFS(Table29[Country],Tabela1[[#This Row],[Country]],Table29[58kg Classification],"&gt;0")</f>
        <v>0</v>
      </c>
      <c r="KR139" s="6">
        <f>COUNTIFS(Table29[Country],Tabela1[[#This Row],[Country]],Table29[68kg Classification],"&gt;0")</f>
        <v>0</v>
      </c>
      <c r="KS139" s="6">
        <f>COUNTIFS(Table29[Country],Tabela1[[#This Row],[Country]],Table29[80kg Classification],"&gt;0")</f>
        <v>0</v>
      </c>
      <c r="KT139" s="6">
        <f>COUNTIFS(Table29[Country],Tabela1[[#This Row],[Country]],Table29[Plus 80kg Classification],"&gt;0")</f>
        <v>0</v>
      </c>
      <c r="KU139" s="6">
        <f>COUNTIFS(Table34[Country],Tabela1[[#This Row],[Country]],Table34[49kg Classification],"&gt;0")</f>
        <v>0</v>
      </c>
      <c r="KV139" s="6">
        <f>COUNTIFS(Table34[Country],Tabela1[[#This Row],[Country]],Table34[57kg Classification],"&gt;0")</f>
        <v>0</v>
      </c>
      <c r="KW139" s="6">
        <f>COUNTIFS(Table34[Country],Tabela1[[#This Row],[Country]],Table34[67kg Classification],"&gt;0")</f>
        <v>0</v>
      </c>
      <c r="KX139" s="6">
        <f>COUNTIFS(Table34[Country],Tabela1[[#This Row],[Country]],Table34[Plus 67kg Classification],"&gt;0")</f>
        <v>0</v>
      </c>
      <c r="KY139" s="6">
        <f>COUNTIFS(Table57[Country],Tabela1[[#This Row],[Country]],Table57[Classification],"&gt;0")</f>
        <v>0</v>
      </c>
      <c r="KZ139" s="6">
        <f>COUNTIFS(Table58[Country],Tabela1[[#This Row],[Country]],Table58[Classification],"&gt;0")</f>
        <v>0</v>
      </c>
      <c r="LA139" s="6">
        <f>COUNTIFS(Table79[Country],Tabela1[[#This Row],[Country]],Table79[Men''s Classification],"&gt;0")</f>
        <v>0</v>
      </c>
      <c r="LB139" s="6">
        <f>COUNTIFS(Table79[Country],Tabela1[[#This Row],[Country]],Table79[Women''s Classification],"&gt;0")</f>
        <v>0</v>
      </c>
      <c r="LC139" s="6">
        <f>COUNTIFS(Table79[Country],Tabela1[[#This Row],[Country]],Table79[Mixed Classification],"&gt;0")</f>
        <v>0</v>
      </c>
      <c r="LD139" s="6">
        <f>COUNTIFS(Table65[Country],Tabela1[[#This Row],[Country]],Table65[Classification],"&gt;0")</f>
        <v>0</v>
      </c>
      <c r="LE139" s="6">
        <f>COUNTIFS(Table59[Country],Tabela1[[#This Row],[Country]],Table59[Classification],"&gt;0")</f>
        <v>0</v>
      </c>
      <c r="LF139" s="6">
        <f>COUNTIFS(Table87[Country],Tabela1[[#This Row],[Country]],Table87[Mixed Relay Classification],"&gt;0")</f>
        <v>0</v>
      </c>
      <c r="LG139" s="6">
        <f>COUNTIFS(Table91949698100[Country],Tabela1[[#This Row],[Country]],Table91949698100[Men''s Classification],"&gt;0")</f>
        <v>0</v>
      </c>
      <c r="LH139" s="6">
        <f>COUNTIFS(Table91949698100[Country],Tabela1[[#This Row],[Country]],Table91949698100[Women''s Classification],"&gt;0")</f>
        <v>0</v>
      </c>
      <c r="LI139" s="6">
        <f>COUNTIFS(Table91949698100102[Country],Tabela1[[#This Row],[Country]],Table91949698100102[Men''s Classification],"&gt;0")</f>
        <v>0</v>
      </c>
      <c r="LJ139" s="6">
        <f>COUNTIFS(Table91949698100102[Country],Tabela1[[#This Row],[Country]],Table91949698100102[Women''s Classification],"&gt;0")</f>
        <v>0</v>
      </c>
      <c r="LK139" s="6">
        <f>COUNTIFS(Table23[Country],Tabela1[[#This Row],[Country]],Table23[61kg Classification],"&gt;0")</f>
        <v>0</v>
      </c>
      <c r="LL139" s="6">
        <f>COUNTIFS(Table23[Country],Tabela1[[#This Row],[Country]],Table23[73kg Classification],"&gt;0")</f>
        <v>0</v>
      </c>
      <c r="LM139" s="6">
        <f>COUNTIFS(Table23[Country],Tabela1[[#This Row],[Country]],Table23[89kg Classification],"&gt;0")</f>
        <v>0</v>
      </c>
      <c r="LN139" s="6">
        <f>COUNTIFS(Table23[Country],Tabela1[[#This Row],[Country]],Table23[102kg Classification],"&gt;0")</f>
        <v>0</v>
      </c>
      <c r="LO139" s="6">
        <f>COUNTIFS(Table23[Country],Tabela1[[#This Row],[Country]],Table23[Plus 102kg Classification],"&gt;0")</f>
        <v>0</v>
      </c>
      <c r="LP139" s="6">
        <f>COUNTIFS(Table28[Country],Tabela1[[#This Row],[Country]],Table28[49kg Classification],"&gt;0")</f>
        <v>0</v>
      </c>
      <c r="LQ139" s="6">
        <f>COUNTIFS(Table28[Country],Tabela1[[#This Row],[Country]],Table28[59kg Classification],"&gt;0")</f>
        <v>0</v>
      </c>
      <c r="LR139" s="6">
        <f>COUNTIFS(Table28[Country],Tabela1[[#This Row],[Country]],Table28[71kg Classification],"&gt;0")</f>
        <v>0</v>
      </c>
      <c r="LS139" s="6">
        <f>COUNTIFS(Table28[Country],Tabela1[[#This Row],[Country]],Table28[81kg Classification],"&gt;0")</f>
        <v>0</v>
      </c>
      <c r="LT139" s="6">
        <f>COUNTIFS(Table28[Country],Tabela1[[#This Row],[Country]],Table28[Plus 81kg Classification],"&gt;0")</f>
        <v>0</v>
      </c>
      <c r="LU139" s="6">
        <f>COUNTIFS(Table24[Country],Tabela1[[#This Row],[Country]],Table24[Freestyle 57kg Classification],"&gt;0")</f>
        <v>0</v>
      </c>
      <c r="LV139" s="6">
        <f>COUNTIFS(Table24[Country],Tabela1[[#This Row],[Country]],Table24[Freestyle 65kg Classification],"&gt;0")</f>
        <v>0</v>
      </c>
      <c r="LW139" s="6">
        <f>COUNTIFS(Table24[Country],Tabela1[[#This Row],[Country]],Table24[Freestyle 74kg Classification],"&gt;0")</f>
        <v>0</v>
      </c>
      <c r="LX139" s="6">
        <f>COUNTIFS(Table24[Country],Tabela1[[#This Row],[Country]],Table24[Freestyle 86kg Classification],"&gt;0")</f>
        <v>0</v>
      </c>
      <c r="LY139" s="6">
        <f>COUNTIFS(Table24[Country],Tabela1[[#This Row],[Country]],Table24[Freestyle 97kg Classification],"&gt;0")</f>
        <v>0</v>
      </c>
      <c r="LZ139" s="6">
        <f>COUNTIFS(Table24[Country],Tabela1[[#This Row],[Country]],Table24[Freestyle 125kg Classification],"&gt;0")</f>
        <v>0</v>
      </c>
      <c r="MA139" s="6">
        <f>COUNTIFS(Table24[Country],Tabela1[[#This Row],[Country]],Table24[Greco-Roman 60kg Classification],"&gt;0")</f>
        <v>0</v>
      </c>
      <c r="MB139" s="6">
        <f>COUNTIFS(Table24[Country],Tabela1[[#This Row],[Country]],Table24[Greco-Roman 67kg Classification],"&gt;0")</f>
        <v>0</v>
      </c>
      <c r="MC139" s="6">
        <f>COUNTIFS(Table24[Country],Tabela1[[#This Row],[Country]],Table24[Greco-Roman 77kg Classification],"&gt;0")</f>
        <v>0</v>
      </c>
      <c r="MD139" s="6">
        <f>COUNTIFS(Table24[Country],Tabela1[[#This Row],[Country]],Table24[Greco-Roman 87kg Classification],"&gt;0")</f>
        <v>0</v>
      </c>
      <c r="ME139" s="6">
        <f>COUNTIFS(Table24[Country],Tabela1[[#This Row],[Country]],Table24[Greco-Roman 97kg Classification],"&gt;0")</f>
        <v>0</v>
      </c>
      <c r="MF139" s="6">
        <f>COUNTIFS(Table24[Country],Tabela1[[#This Row],[Country]],Table24[Greco-Roman 130kg Classification],"&gt;0")</f>
        <v>0</v>
      </c>
      <c r="MG139" s="6">
        <f>COUNTIFS(Table31[Country],Tabela1[[#This Row],[Country]],Table31[50kg Classification],"&gt;0")</f>
        <v>0</v>
      </c>
      <c r="MH139" s="6">
        <f>COUNTIFS(Table31[Country],Tabela1[[#This Row],[Country]],Table31[53kg Classification],"&gt;0")</f>
        <v>0</v>
      </c>
      <c r="MI139" s="6">
        <f>COUNTIFS(Table31[Country],Tabela1[[#This Row],[Country]],Table31[57kg Classification],"&gt;0")</f>
        <v>0</v>
      </c>
      <c r="MJ139" s="6">
        <f>COUNTIFS(Table31[Country],Tabela1[[#This Row],[Country]],Table31[62kg Classification],"&gt;0")</f>
        <v>0</v>
      </c>
      <c r="MK139" s="6">
        <f>COUNTIFS(Table31[Country],Tabela1[[#This Row],[Country]],Table31[68kg Classification],"&gt;0")</f>
        <v>0</v>
      </c>
      <c r="ML139" s="6">
        <f>COUNTIFS(Table31[Country],Tabela1[[#This Row],[Country]],Table31[76kg Classification],"&gt;0")</f>
        <v>0</v>
      </c>
      <c r="MM139" s="6">
        <f>COUNTIFS(Table102[Country],Tabela1[[#This Row],[Country]],Table102[Downhill Classification],"&gt;0")</f>
        <v>0</v>
      </c>
      <c r="MN139" s="6">
        <f>COUNTIFS(Table102105[Country],Tabela1[[#This Row],[Country]],Table102105[Downhill Classification],"&gt;0")</f>
        <v>0</v>
      </c>
      <c r="MO139" s="6">
        <f>COUNTIFS(Table102[Country],Tabela1[[#This Row],[Country]],Table102[Giant Slalom Classification],"&gt;0")</f>
        <v>0</v>
      </c>
      <c r="MP139" s="6">
        <f>COUNTIFS(Table102105[Country],Tabela1[[#This Row],[Country]],Table102105[Giant Slalom Classification],"&gt;0")</f>
        <v>0</v>
      </c>
      <c r="MQ139" s="6">
        <f>COUNTIFS(Table102[Country],Tabela1[[#This Row],[Country]],Table102[Slalom Classification],"&gt;0")</f>
        <v>0</v>
      </c>
      <c r="MR139" s="6">
        <f>COUNTIFS(Table102105[Country],Tabela1[[#This Row],[Country]],Table102105[Slalom Classification],"&gt;0")</f>
        <v>0</v>
      </c>
      <c r="MS139" s="6">
        <f>COUNTIFS(Table102[Country],Tabela1[[#This Row],[Country]],Table102[Super-G Classification],"&gt;0")</f>
        <v>0</v>
      </c>
      <c r="MT139" s="6">
        <f>COUNTIFS(Table102105[Country],Tabela1[[#This Row],[Country]],Table102105[Super-G Classification],"&gt;0")</f>
        <v>0</v>
      </c>
      <c r="MU139" s="6">
        <f>COUNTIFS(Table105[Country],Tabela1[[#This Row],[Country]],Table105[Men''s Combined Classification],"&gt;0")</f>
        <v>0</v>
      </c>
      <c r="MV139" s="6">
        <f>COUNTIFS(Table105[Country],Tabela1[[#This Row],[Country]],Table105[Women''s Combined Classification],"&gt;0")</f>
        <v>0</v>
      </c>
      <c r="MW139" s="6">
        <f>COUNTIFS(Table106[Country],Tabela1[[#This Row],[Country]],Table106[Individual Classification],"&gt;0")</f>
        <v>0</v>
      </c>
      <c r="MX139" s="6">
        <f>COUNTIFS(Table106109[Country],Tabela1[[#This Row],[Country]],Table106109[Individual Classification],"&gt;0")</f>
        <v>0</v>
      </c>
      <c r="MY139" s="6">
        <f>COUNTIFS(Table106[Country],Tabela1[[#This Row],[Country]],Table106[Mass Start Classification],"&gt;0")</f>
        <v>0</v>
      </c>
      <c r="MZ139" s="6">
        <f>COUNTIFS(Table106109[Country],Tabela1[[#This Row],[Country]],Table106109[Mass Start Classification],"&gt;0")</f>
        <v>0</v>
      </c>
      <c r="NA139" s="6">
        <f>COUNTIFS(Table106[Country],Tabela1[[#This Row],[Country]],Table106[Pursuit Classification],"&gt;0")</f>
        <v>0</v>
      </c>
      <c r="NB139" s="6">
        <f>COUNTIFS(Table106109[Country],Tabela1[[#This Row],[Country]],Table106109[Pursuit Classification],"&gt;0")</f>
        <v>0</v>
      </c>
      <c r="NC139" s="6">
        <f>COUNTIFS(Table106[Country],Tabela1[[#This Row],[Country]],Table106[Sprint Classification],"&gt;0")</f>
        <v>0</v>
      </c>
      <c r="ND139" s="6">
        <f>COUNTIFS(Table106109[Country],Tabela1[[#This Row],[Country]],Table106109[Sprint Classification],"&gt;0")</f>
        <v>0</v>
      </c>
      <c r="NE139" s="6">
        <f>COUNTIFS(Table109[Country],Tabela1[[#This Row],[Country]],Table109[Men''s Relay Classification],"&gt;0")</f>
        <v>0</v>
      </c>
      <c r="NF139" s="6">
        <f>COUNTIFS(Table109[Country],Tabela1[[#This Row],[Country]],Table109[Women''s Relay Classification],"&gt;0")</f>
        <v>0</v>
      </c>
      <c r="NG139" s="6">
        <f>COUNTIFS(Table109[Country],Tabela1[[#This Row],[Country]],Table109[Mixed Relay Classification],"&gt;0")</f>
        <v>0</v>
      </c>
      <c r="NH139" s="6">
        <f>COUNTIFS(Table110[Country],Tabela1[[#This Row],[Country]],Table110[Monobob Classification],"&gt;0")</f>
        <v>0</v>
      </c>
      <c r="NI139" s="6">
        <f>COUNTIFS(Table111[Country],Tabela1[[#This Row],[Country]],Table111[Men''s Classification],"&gt;0")</f>
        <v>0</v>
      </c>
      <c r="NJ139" s="6">
        <f>COUNTIFS(Table111[Country],Tabela1[[#This Row],[Country]],Table111[Women''s Classification],"&gt;0")</f>
        <v>0</v>
      </c>
      <c r="NK139" s="6">
        <f>COUNTIFS(Table112[Country],Tabela1[[#This Row],[Country]],Table112[Men''s Four Classification],"&gt;0")</f>
        <v>0</v>
      </c>
      <c r="NL139" s="6">
        <f>COUNTIFS(Table113[Country],Tabela1[[#This Row],[Country]],Table113[Classical Classification],"&gt;0")</f>
        <v>0</v>
      </c>
      <c r="NM139" s="6">
        <f>COUNTIFS(Table113116[Country],Tabela1[[#This Row],[Country]],Table113116[Classical Classification],"&gt;0")</f>
        <v>0</v>
      </c>
      <c r="NN139" s="6">
        <f>COUNTIFS(Table113[Country],Tabela1[[#This Row],[Country]],Table113[Freestyle Classification],"&gt;0")</f>
        <v>0</v>
      </c>
      <c r="NO139" s="6">
        <f>COUNTIFS(Table113116[Country],Tabela1[[#This Row],[Country]],Table113116[Freestyle Classification],"&gt;0")</f>
        <v>0</v>
      </c>
      <c r="NP139" s="6">
        <f>COUNTIFS(Table117[Country],Tabela1[[#This Row],[Country]],Table117[Men''s Relay Classification],"&gt;0")</f>
        <v>0</v>
      </c>
      <c r="NQ139" s="6">
        <f>COUNTIFS(Table117[Country],Tabela1[[#This Row],[Country]],Table117[Women''s Relay Classification],"&gt;0")</f>
        <v>0</v>
      </c>
      <c r="NR139" s="6">
        <f>COUNTIFS(Table113[Country],Tabela1[[#This Row],[Country]],Table113[Skiathlon Classification],"&gt;0")</f>
        <v>0</v>
      </c>
      <c r="NS139" s="6">
        <f>COUNTIFS(Table113116[Country],Tabela1[[#This Row],[Country]],Table113116[Skiathlon Classification],"&gt;0")</f>
        <v>0</v>
      </c>
      <c r="NT139" s="6">
        <f>COUNTIFS(Table113[Country],Tabela1[[#This Row],[Country]],Table113[Sprint Classification],"&gt;0")</f>
        <v>0</v>
      </c>
      <c r="NU139" s="6">
        <f>COUNTIFS(Table113116[Country],Tabela1[[#This Row],[Country]],Table113116[Sprint Classification],"&gt;0")</f>
        <v>0</v>
      </c>
      <c r="NV139" s="6">
        <f>COUNTIFS(Table116[Country],Tabela1[[#This Row],[Country]],Table116[Men''s Team Sprint Classification],"&gt;0")</f>
        <v>0</v>
      </c>
      <c r="NW139" s="6">
        <f>COUNTIFS(Table116[Country],Tabela1[[#This Row],[Country]],Table116[Women''s Team Sprint Classification],"&gt;0")</f>
        <v>0</v>
      </c>
      <c r="NX139" s="6">
        <f>COUNTIFS(Table119[Country],Tabela1[[#This Row],[Country]],Table119[Men''s Classification],"&gt;0")</f>
        <v>0</v>
      </c>
      <c r="NY139" s="6">
        <f>COUNTIFS(Table119[Country],Tabela1[[#This Row],[Country]],Table119[Women''s Classification],"&gt;0")</f>
        <v>0</v>
      </c>
      <c r="NZ139" s="6">
        <f>COUNTIFS(Table118[Country],Tabela1[[#This Row],[Country]],Table118[Mixed Classification],"&gt;0")</f>
        <v>0</v>
      </c>
      <c r="OA139" s="6">
        <f>COUNTIFS(Table120[Country],Tabela1[[#This Row],[Country]],Table120[Classification],"&gt;0")</f>
        <v>0</v>
      </c>
      <c r="OB139" s="6">
        <f>COUNTIFS(Table120123[Country],Tabela1[[#This Row],[Country]],Table120123[Classification],"&gt;0")</f>
        <v>0</v>
      </c>
      <c r="OC139" s="6">
        <f>COUNTIFS(Table123[Country],Tabela1[[#This Row],[Country]],Table123[Ice Dance Classification],"&gt;0")</f>
        <v>0</v>
      </c>
      <c r="OD139" s="6">
        <f>COUNTIFS(Table123[Country],Tabela1[[#This Row],[Country]],Table123[Pair Skating Classification],"&gt;0")</f>
        <v>0</v>
      </c>
      <c r="OE139" s="6">
        <f>COUNTIFS(Table124[Country],Tabela1[[#This Row],[Country]],Table124[Mixed Classification],"&gt;0")</f>
        <v>0</v>
      </c>
      <c r="OF139" s="6">
        <f>COUNTIFS(Table125[Country],Tabela1[[#This Row],[Country]],Table125[Aerials Classification],"&gt;0")</f>
        <v>0</v>
      </c>
      <c r="OG139" s="6">
        <f>COUNTIFS(Table125128[Country],Tabela1[[#This Row],[Country]],Table125128[Aerials Classification],"&gt;0")</f>
        <v>0</v>
      </c>
      <c r="OH139" s="6">
        <f>COUNTIFS(Table128[Country],Tabela1[[#This Row],[Country]],Table128[Mixed Aerials Classification],"&gt;0")</f>
        <v>0</v>
      </c>
      <c r="OI139" s="6">
        <f>COUNTIFS(Table125[Country],Tabela1[[#This Row],[Country]],Table125[Big Air Classification],"&gt;0")</f>
        <v>0</v>
      </c>
      <c r="OJ139" s="6">
        <f>COUNTIFS(Table125128[Country],Tabela1[[#This Row],[Country]],Table125128[Big Air Classification],"&gt;0")</f>
        <v>0</v>
      </c>
      <c r="OK139" s="6">
        <f>COUNTIFS(Table125[Country],Tabela1[[#This Row],[Country]],Table125[Dual Moguls Classification],"&gt;0")</f>
        <v>0</v>
      </c>
      <c r="OL139" s="6">
        <f>COUNTIFS(Table125128[Country],Tabela1[[#This Row],[Country]],Table125128[Dual Moguls Classification],"&gt;0")</f>
        <v>0</v>
      </c>
      <c r="OM139" s="6">
        <f>COUNTIFS(Table125[Country],Tabela1[[#This Row],[Country]],Table125[Halfpipe Classification],"&gt;0")</f>
        <v>0</v>
      </c>
      <c r="ON139" s="6">
        <f>COUNTIFS(Table125128[Country],Tabela1[[#This Row],[Country]],Table125128[Halfpipe Classification],"&gt;0")</f>
        <v>0</v>
      </c>
      <c r="OO139" s="6">
        <f>COUNTIFS(Table125[Country],Tabela1[[#This Row],[Country]],Table125[Moguls Classification],"&gt;0")</f>
        <v>0</v>
      </c>
      <c r="OP139" s="6">
        <f>COUNTIFS(Table125128[Country],Tabela1[[#This Row],[Country]],Table125128[Moguls Classification],"&gt;0")</f>
        <v>0</v>
      </c>
      <c r="OQ139" s="6">
        <f>COUNTIFS(Table125[Country],Tabela1[[#This Row],[Country]],Table125[Ski Cross Classification],"&gt;0")</f>
        <v>0</v>
      </c>
      <c r="OR139" s="6">
        <f>COUNTIFS(Table125128[Country],Tabela1[[#This Row],[Country]],Table125128[Ski Cross Classification],"&gt;0")</f>
        <v>0</v>
      </c>
      <c r="OS139" s="6">
        <f>COUNTIFS(Table125[Country],Tabela1[[#This Row],[Country]],Table125[Slopestyle Classification],"&gt;0")</f>
        <v>0</v>
      </c>
      <c r="OT139" s="6">
        <f>COUNTIFS(Table125128[Country],Tabela1[[#This Row],[Country]],Table125128[Slopestyle Classification],"&gt;0")</f>
        <v>0</v>
      </c>
      <c r="OU139" s="6">
        <f>COUNTIFS(Table119131[Country],Tabela1[[#This Row],[Country]],Table119131[Men''s Classification],"&gt;0")</f>
        <v>0</v>
      </c>
      <c r="OV139" s="6">
        <f>COUNTIFS(Table119131[Country],Tabela1[[#This Row],[Country]],Table119131[Women''s Classification],"&gt;0")</f>
        <v>0</v>
      </c>
      <c r="OW139" s="6">
        <f>COUNTIFS(Table131[Country],Tabela1[[#This Row],[Country]],Table131[Classification],"&gt;0")</f>
        <v>0</v>
      </c>
      <c r="OX139" s="6">
        <f>COUNTIFS(Table131134[Country],Tabela1[[#This Row],[Country]],Table131134[Classification],"&gt;0")</f>
        <v>0</v>
      </c>
      <c r="OY139" s="6">
        <f>COUNTIFS(Table134[Country],Tabela1[[#This Row],[Country]],Table134[Men''s Classification],"&gt;0")</f>
        <v>0</v>
      </c>
      <c r="OZ139" s="6">
        <f>COUNTIFS(Table134[Country],Tabela1[[#This Row],[Country]],Table134[Women''s Classification],"&gt;0")</f>
        <v>0</v>
      </c>
      <c r="PA139" s="6">
        <f>COUNTIFS(Table135[Country],Tabela1[[#This Row],[Country]],Table135[Mixed Relay Classification],"&gt;0")</f>
        <v>0</v>
      </c>
      <c r="PB139" s="6">
        <f>COUNTIFS(Table136[Country],Tabela1[[#This Row],[Country]],Table136[Individual Classification],"&gt;0")</f>
        <v>0</v>
      </c>
      <c r="PC139" s="6">
        <f>COUNTIFS(Table136[Country],Tabela1[[#This Row],[Country]],Table136[Sprint Classification],"&gt;0")</f>
        <v>0</v>
      </c>
      <c r="PD139" s="6">
        <f>COUNTIFS(Table137[Country],Tabela1[[#This Row],[Country]],Table137[Men''s Team Sprint Large Hill Classification],"&gt;0")</f>
        <v>0</v>
      </c>
      <c r="PE139" s="6">
        <f>COUNTIFS(Table138[Country],Tabela1[[#This Row],[Country]],Table138[500m Classification],"&gt;0")</f>
        <v>0</v>
      </c>
      <c r="PF139" s="6">
        <f>COUNTIFS(Table138141[Country],Tabela1[[#This Row],[Country]],Table138141[500m Classification],"&gt;0")</f>
        <v>0</v>
      </c>
      <c r="PG139" s="6">
        <f>COUNTIFS(Table138[Country],Tabela1[[#This Row],[Country]],Table138[1000m Classification],"&gt;0")</f>
        <v>0</v>
      </c>
      <c r="PH139" s="6">
        <f>COUNTIFS(Table138141[Country],Tabela1[[#This Row],[Country]],Table138141[1000m Classification],"&gt;0")</f>
        <v>0</v>
      </c>
      <c r="PI139" s="6">
        <f>COUNTIFS(Table138[Country],Tabela1[[#This Row],[Country]],Table138[1500m Classification],"&gt;0")</f>
        <v>0</v>
      </c>
      <c r="PJ139" s="6">
        <f>COUNTIFS(Table138141[Country],Tabela1[[#This Row],[Country]],Table138141[1500m Classification],"&gt;0")</f>
        <v>0</v>
      </c>
      <c r="PK139" s="6">
        <f>COUNTIFS(Table141[Country],Tabela1[[#This Row],[Country]],Table141[Men''s 5000m Relay Classification],"&gt;0")</f>
        <v>0</v>
      </c>
      <c r="PL139" s="6">
        <f>COUNTIFS(Table141[Country],Tabela1[[#This Row],[Country]],Table141[Women''s 3000m Relay Classification],"&gt;0")</f>
        <v>0</v>
      </c>
      <c r="PM139" s="6">
        <f>COUNTIFS(Table141[Country],Tabela1[[#This Row],[Country]],Table141[Mixed 2000m Relay Classification],"&gt;0")</f>
        <v>0</v>
      </c>
      <c r="PN139" s="6">
        <f>COUNTIFS(Table142[Country],Tabela1[[#This Row],[Country]],Table142[Classification],"&gt;0")</f>
        <v>0</v>
      </c>
      <c r="PO139" s="6">
        <f>COUNTIFS(Table142145[Country],Tabela1[[#This Row],[Country]],Table142145[Classification],"&gt;0")</f>
        <v>0</v>
      </c>
      <c r="PP139" s="6">
        <f>COUNTIFS(Tabela15[Country],Tabela1[[#This Row],[Country]],Tabela15[Mixed Team Classification],"&gt;0")</f>
        <v>0</v>
      </c>
      <c r="PQ139" s="6">
        <f>COUNTIFS(Table145[Country],Tabela1[[#This Row],[Country]],Table145[Large Hill Classification],"&gt;0")</f>
        <v>0</v>
      </c>
      <c r="PR139" s="6">
        <f>COUNTIFS(Table145[Country],Tabela1[[#This Row],[Country]],Table145[Normal Hill Classification],"&gt;0")</f>
        <v>0</v>
      </c>
      <c r="PS139" s="6">
        <f>COUNTIFS(Table145148[Country],Tabela1[[#This Row],[Country]],Table145148[Large Hill Classification],"&gt;0")</f>
        <v>0</v>
      </c>
      <c r="PT139" s="6">
        <f>COUNTIFS(Table145148[Country],Tabela1[[#This Row],[Country]],Table145148[Normal Hill Classification],"&gt;0")</f>
        <v>0</v>
      </c>
      <c r="PU139" s="6">
        <f>COUNTIFS(Table148[Country],Tabela1[[#This Row],[Country]],Table148[Men''s Super Team Classification],"&gt;0")</f>
        <v>0</v>
      </c>
      <c r="PV139" s="6">
        <f>COUNTIFS(Tabela114[Country],Tabela1[[#This Row],[Country]],Tabela114[Mixed Normal Hill Classification],"&gt;0")</f>
        <v>0</v>
      </c>
      <c r="PW139" s="6">
        <f>COUNTIFS(Tabela50[Country],Tabela1[[#This Row],[Country]],Tabela50[Sprint Classification],"&gt;0")</f>
        <v>0</v>
      </c>
      <c r="PX139" s="6">
        <f>COUNTIFS(Tabela50101[Country],Tabela1[[#This Row],[Country]],Tabela50101[Sprint Classification],"&gt;0")</f>
        <v>0</v>
      </c>
      <c r="PY139" s="6">
        <f>COUNTIFS(Tabela103[Country],Tabela1[[#This Row],[Country]],Tabela103[Mixed Relay Classification],"&gt;0")</f>
        <v>0</v>
      </c>
      <c r="PZ139" s="6">
        <f>COUNTIFS(Table149[Country],Tabela1[[#This Row],[Country]],Table149[Big Air Classification],"&gt;0")</f>
        <v>0</v>
      </c>
      <c r="QA139" s="6">
        <f>COUNTIFS(Table149152[Country],Tabela1[[#This Row],[Country]],Table149152[Big Air Classification],"&gt;0")</f>
        <v>0</v>
      </c>
      <c r="QB139" s="6">
        <f>COUNTIFS(Table149[Country],Tabela1[[#This Row],[Country]],Table149[Halfpipe Classification],"&gt;0")</f>
        <v>0</v>
      </c>
      <c r="QC139" s="6">
        <f>COUNTIFS(Table149152[Country],Tabela1[[#This Row],[Country]],Table149152[Halfpipe Classification],"&gt;0")</f>
        <v>0</v>
      </c>
      <c r="QD139" s="6">
        <f>COUNTIFS(Table149[Country],Tabela1[[#This Row],[Country]],Table149[Parallel Giant Slalom Classification],"&gt;0")</f>
        <v>0</v>
      </c>
      <c r="QE139" s="6">
        <f>COUNTIFS(Table149152[Country],Tabela1[[#This Row],[Country]],Table149152[Parallel Giant Slalom Classification],"&gt;0")</f>
        <v>0</v>
      </c>
      <c r="QF139" s="6">
        <f>COUNTIFS(Table149[Country],Tabela1[[#This Row],[Country]],Table149[Slopestyle Classification],"&gt;0")</f>
        <v>0</v>
      </c>
      <c r="QG139" s="6">
        <f>COUNTIFS(Table149152[Country],Tabela1[[#This Row],[Country]],Table149152[Slopestyle Classification],"&gt;0")</f>
        <v>0</v>
      </c>
      <c r="QH139" s="6">
        <f>COUNTIFS(Table149[Country],Tabela1[[#This Row],[Country]],Table149[Snowboard Cross Classification],"&gt;0")</f>
        <v>0</v>
      </c>
      <c r="QI139" s="6">
        <f>COUNTIFS(Table149152[Country],Tabela1[[#This Row],[Country]],Table149152[Snowboard Cross Classification],"&gt;0")</f>
        <v>0</v>
      </c>
      <c r="QJ139" s="6">
        <f>COUNTIFS(Table153[Country],Tabela1[[#This Row],[Country]],Table153[Mixed Team Snowboard Cross Classification],"&gt;0")</f>
        <v>0</v>
      </c>
      <c r="QK139" s="6">
        <f>COUNTIFS(Table154[Country],Tabela1[[#This Row],[Country]],Table154[500m Classification],"&gt;0")</f>
        <v>0</v>
      </c>
      <c r="QL139" s="6">
        <f>COUNTIFS(Table154157[Country],Tabela1[[#This Row],[Country]],Table154157[500m Classification],"&gt;0")</f>
        <v>0</v>
      </c>
      <c r="QM139" s="6">
        <f>COUNTIFS(Table154[Country],Tabela1[[#This Row],[Country]],Table154[1000m Classification],"&gt;0")</f>
        <v>0</v>
      </c>
      <c r="QN139" s="6">
        <f>COUNTIFS(Table154157[Country],Tabela1[[#This Row],[Country]],Table154157[1000m Classification],"&gt;0")</f>
        <v>0</v>
      </c>
      <c r="QO139" s="6">
        <f>COUNTIFS(Table154[Country],Tabela1[[#This Row],[Country]],Table154[1500m Classification],"&gt;0")</f>
        <v>0</v>
      </c>
      <c r="QP139" s="6">
        <f>COUNTIFS(Table154157[Country],Tabela1[[#This Row],[Country]],Table154157[1500m Classification],"&gt;0")</f>
        <v>0</v>
      </c>
      <c r="QQ139" s="6">
        <f>COUNTIFS(Table154157[Country],Tabela1[[#This Row],[Country]],Table154157[3000m Classification],"&gt;0")</f>
        <v>0</v>
      </c>
      <c r="QR139" s="6">
        <f>COUNTIFS(Table154[Country],Tabela1[[#This Row],[Country]],Table154[5000m Classification],"&gt;0")</f>
        <v>0</v>
      </c>
      <c r="QS139" s="6">
        <f>COUNTIFS(Table154157[Country],Tabela1[[#This Row],[Country]],Table154157[5000m Classification],"&gt;0")</f>
        <v>0</v>
      </c>
      <c r="QT139" s="6">
        <f>COUNTIFS(Table154[Country],Tabela1[[#This Row],[Country]],Table154[10000m Classification],"&gt;0")</f>
        <v>0</v>
      </c>
      <c r="QU139" s="6">
        <f>COUNTIFS(Table154[Country],Tabela1[[#This Row],[Country]],Table154[Mass Start Classification],"&gt;0")</f>
        <v>0</v>
      </c>
      <c r="QV139" s="6">
        <f>COUNTIFS(Table154157[Country],Tabela1[[#This Row],[Country]],Table154157[Mass Start Classification],"&gt;0")</f>
        <v>0</v>
      </c>
      <c r="QW139" s="6">
        <f>COUNTIFS(Table157[Country],Tabela1[[#This Row],[Country]],Table157[Men''s Pursuit Classification],"&gt;0")</f>
        <v>0</v>
      </c>
      <c r="QX139" s="6">
        <f>COUNTIFS(Table157[Country],Tabela1[[#This Row],[Country]],Table157[Women''s Pursuit Classification],"&gt;0")</f>
        <v>0</v>
      </c>
      <c r="QY139" s="4" t="s">
        <v>635</v>
      </c>
    </row>
    <row r="140" spans="1:467" x14ac:dyDescent="0.3">
      <c r="A140" s="6">
        <v>139</v>
      </c>
      <c r="B140" s="6" t="s">
        <v>650</v>
      </c>
      <c r="C140" t="e" vm="139">
        <f>IF(ISBLANK(Tabela1[[#This Row],[Image Link]]), "", _xlfn.IMAGE(Tabela1[[#This Row],[Image Link]],1,1))</f>
        <v>#VALUE!</v>
      </c>
      <c r="D140" s="6">
        <f>SUM(Tabela1[[#This Row],[Archery - Men''s Individual Recurve]:[Speed Skating - Women''s Team Pursuit]])</f>
        <v>1</v>
      </c>
      <c r="E140" s="6">
        <f>COUNTIF(Tabela1[[#This Row],[Archery - Men''s Individual Recurve]:[Speed Skating - Women''s Team Pursuit]],"&gt;0")</f>
        <v>1</v>
      </c>
      <c r="F140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40" s="6">
        <f>SUM(Tabela1[[#This Row],[Archery - Men''s Individual Recurve]:[Wrestling - Women''s Freestyle 76kg]])</f>
        <v>1</v>
      </c>
      <c r="H140" s="6">
        <f>SUM(Tabela1[[#This Row],[Alpine Skiing - Men''s Downhill]:[Speed Skating - Women''s Team Pursuit]])</f>
        <v>0</v>
      </c>
      <c r="I140" s="6">
        <f>Tabela1[[#This Row],[Summer Gold Medals]]+Tabela1[[#This Row],[Winter Gold Medals]]</f>
        <v>0</v>
      </c>
      <c r="J140" s="6">
        <f>Tabela1[[#This Row],[Summer Silver Medals]]+Tabela1[[#This Row],[Winter Silver Medals]]</f>
        <v>0</v>
      </c>
      <c r="K140" s="6">
        <f>Tabela1[[#This Row],[Summer Bronze Medals]]+Tabela1[[#This Row],[Winter Bronze Medals]]</f>
        <v>0</v>
      </c>
      <c r="L140" s="6">
        <f>SUM(Tabela1[[#This Row],[Total Gold Medals]:[Total Bronze Medals]])</f>
        <v>0</v>
      </c>
      <c r="M140" s="6"/>
      <c r="N140" s="6"/>
      <c r="O140" s="6"/>
      <c r="P140" s="6">
        <f>SUM(Tabela1[[#This Row],[Summer Gold Medals]:[Summer Bronze Medals]])</f>
        <v>0</v>
      </c>
      <c r="Q140" s="6"/>
      <c r="R140" s="6"/>
      <c r="S140" s="6"/>
      <c r="T140" s="6">
        <f>Tabela1[[#This Row],[Winter Gold Medals]]+Tabela1[[#This Row],[Winter Silver Medals]]+Tabela1[[#This Row],[Winter Bronze Medals]]</f>
        <v>0</v>
      </c>
      <c r="U140" s="7">
        <f>Tabela1[[#This Row],[Total Medals]]/Tabela1[[#This Row],[Total Quotas]]</f>
        <v>0</v>
      </c>
      <c r="V140" s="6">
        <f>COUNTIFS(Table3[Country],Tabela1[[#This Row],[Country]],Table3[Recurve Classification],"&gt;0")</f>
        <v>0</v>
      </c>
      <c r="W140" s="6">
        <f>COUNTIFS(Table33[Country],Tabela1[[#This Row],[Country]],Table33[Recurve Classification],"&gt;0")</f>
        <v>0</v>
      </c>
      <c r="X140" s="6">
        <f>COUNTIFS(Table35[Country],Tabela1[[#This Row],[Country]],Table35[Men''s Team Recurve Classification],"&gt;0")</f>
        <v>0</v>
      </c>
      <c r="Y140" s="6">
        <f>COUNTIFS(Table35[Country],Tabela1[[#This Row],[Country]],Table35[Women''s Team Recurve Classification],"&gt;0")</f>
        <v>0</v>
      </c>
      <c r="Z140" s="6">
        <f>COUNTIFS(Tabela88[Country],Tabela1[[#This Row],[Country]],Tabela88[Mixed Team Recurve Classification],"&gt;0")</f>
        <v>0</v>
      </c>
      <c r="AA140" s="6">
        <f>COUNTIFS(Table36[Country],Tabela1[[#This Row],[Country]],Table36[Classification],"&gt;0")</f>
        <v>0</v>
      </c>
      <c r="AB140" s="6">
        <f>COUNTIFS(Table37[Country],Tabela1[[#This Row],[Country]],Table37[Classification],"&gt;0")</f>
        <v>0</v>
      </c>
      <c r="AC140" s="6">
        <f>COUNTIFS(Table4[Country],Tabela1[[#This Row],[Country]],Table4[100m Classification],"&gt;0")</f>
        <v>0</v>
      </c>
      <c r="AD140" s="6">
        <f>COUNTIFS(Table5[Country],Tabela1[[#This Row],[Country]],Table5[100m Classification],"&gt;0")</f>
        <v>0</v>
      </c>
      <c r="AE140" s="6">
        <f>COUNTIFS(Table4[Country],Tabela1[[#This Row],[Country]],Table4[200m Classification],"&gt;0")</f>
        <v>0</v>
      </c>
      <c r="AF140" s="6">
        <f>COUNTIFS(Table5[Country],Tabela1[[#This Row],[Country]],Table5[200m Classification],"&gt;0")</f>
        <v>0</v>
      </c>
      <c r="AG140" s="6">
        <f>COUNTIFS(Table4[Country],Tabela1[[#This Row],[Country]],Table4[400m Classification],"&gt;0")</f>
        <v>0</v>
      </c>
      <c r="AH140" s="6">
        <f>COUNTIFS(Table5[Country],Tabela1[[#This Row],[Country]],Table5[400m Classification],"&gt;0")</f>
        <v>0</v>
      </c>
      <c r="AI140" s="6">
        <f>COUNTIFS(Table4[Country],Tabela1[[#This Row],[Country]],Table4[800m Classification],"&gt;0")</f>
        <v>0</v>
      </c>
      <c r="AJ140" s="6">
        <f>COUNTIFS(Table5[Country],Tabela1[[#This Row],[Country]],Table5[800m Classification],"&gt;0")</f>
        <v>0</v>
      </c>
      <c r="AK140" s="6">
        <f>COUNTIFS(Table4[Country],Tabela1[[#This Row],[Country]],Table4[1500m Classification],"&gt;0")</f>
        <v>0</v>
      </c>
      <c r="AL140" s="6">
        <f>COUNTIFS(Table5[Country],Tabela1[[#This Row],[Country]],Table5[1500m Classification],"&gt;0")</f>
        <v>0</v>
      </c>
      <c r="AM140" s="6">
        <f>COUNTIFS(Table4[Country],Tabela1[[#This Row],[Country]],Table4[5000m Classification],"&gt;0")</f>
        <v>0</v>
      </c>
      <c r="AN140" s="6">
        <f>COUNTIFS(Table5[Country],Tabela1[[#This Row],[Country]],Table5[5000m Classification],"&gt;0")</f>
        <v>0</v>
      </c>
      <c r="AO140" s="6">
        <f>COUNTIFS(Table4[Country],Tabela1[[#This Row],[Country]],Table4[10000m Classification],"&gt;0")</f>
        <v>0</v>
      </c>
      <c r="AP140" s="6">
        <f>COUNTIFS(Table5[Country],Tabela1[[#This Row],[Country]],Table5[10000m Classification],"&gt;0")</f>
        <v>0</v>
      </c>
      <c r="AQ140" s="6">
        <f>COUNTIFS(Table4[Country],Tabela1[[#This Row],[Country]],Table4[110m Hurdles Classification],"&gt;0")</f>
        <v>0</v>
      </c>
      <c r="AR140" s="6">
        <f>COUNTIFS(Table5[Country],Tabela1[[#This Row],[Country]],Table5[100m Hurdles Classification],"&gt;0")</f>
        <v>0</v>
      </c>
      <c r="AS140" s="6">
        <f>COUNTIFS(Table4[Country],Tabela1[[#This Row],[Country]],Table4[400m Hurdles Classification],"&gt;0")</f>
        <v>0</v>
      </c>
      <c r="AT140" s="6">
        <f>COUNTIFS(Table5[Country],Tabela1[[#This Row],[Country]],Table5[400m Hurdles Classification],"&gt;0")</f>
        <v>0</v>
      </c>
      <c r="AU140" s="6">
        <f>COUNTIFS(Table4[Country],Tabela1[[#This Row],[Country]],Table4[3000m Steeplechase Classification],"&gt;0")</f>
        <v>0</v>
      </c>
      <c r="AV140" s="6">
        <f>COUNTIFS(Table5[Country],Tabela1[[#This Row],[Country]],Table5[3000m Steeplechase Classification],"&gt;0")</f>
        <v>0</v>
      </c>
      <c r="AW140" s="6">
        <f>COUNTIFS(Table27[Country],Tabela1[[#This Row],[Country]],Table27[Men''s 4x100m Relay Classification],"&gt;0")</f>
        <v>0</v>
      </c>
      <c r="AX140" s="6">
        <f>COUNTIFS(Table27[Country],Tabela1[[#This Row],[Country]],Table27[Women''s 4x100m Relay Classification],"&gt;0")</f>
        <v>0</v>
      </c>
      <c r="AY140" s="6">
        <f>COUNTIFS(Table27[Country],Tabela1[[#This Row],[Country]],Table27[Men''s 4x400m Relay Classification],"&gt;0")</f>
        <v>0</v>
      </c>
      <c r="AZ140" s="6">
        <f>COUNTIFS(Table27[Country],Tabela1[[#This Row],[Country]],Table27[Women''s 4x400m Relay Classification],"&gt;0")</f>
        <v>0</v>
      </c>
      <c r="BA140" s="6">
        <f>COUNTIFS(Table27[Country],Tabela1[[#This Row],[Country]],Table27[Mixed 4x400m Relay Classification],"&gt;0")</f>
        <v>0</v>
      </c>
      <c r="BB140" s="6">
        <f>COUNTIFS(Table4[Country],Tabela1[[#This Row],[Country]],Table4[Marathon Classification],"&gt;0")</f>
        <v>0</v>
      </c>
      <c r="BC140" s="6">
        <f>COUNTIFS(Table5[Country],Tabela1[[#This Row],[Country]],Table5[Marathon Classification],"&gt;0")</f>
        <v>0</v>
      </c>
      <c r="BD140" s="6">
        <f>COUNTIFS(Table4[Country],Tabela1[[#This Row],[Country]],Table4[20km Race Walk Classification],"&gt;0")</f>
        <v>0</v>
      </c>
      <c r="BE140" s="6">
        <f>COUNTIFS(Table5[Country],Tabela1[[#This Row],[Country]],Table5[20km Race Walk Classification],"&gt;0")</f>
        <v>0</v>
      </c>
      <c r="BF140" s="6">
        <f>COUNTIFS(Tabela96[Country],Tabela1[[#This Row],[Country]],Tabela96[Mixed Marathon Race Walk Relay Classification],"&gt;0")</f>
        <v>0</v>
      </c>
      <c r="BG140" s="6">
        <f>COUNTIFS(Table4[Country],Tabela1[[#This Row],[Country]],Table4[Discus Throw Classification],"&gt;0")</f>
        <v>0</v>
      </c>
      <c r="BH140" s="6">
        <f>COUNTIFS(Table5[Country],Tabela1[[#This Row],[Country]],Table5[Discus Throw Classification],"&gt;0")</f>
        <v>0</v>
      </c>
      <c r="BI140" s="6">
        <f>COUNTIFS(Table4[Country],Tabela1[[#This Row],[Country]],Table4[Hammer Throw Classification],"&gt;0")</f>
        <v>0</v>
      </c>
      <c r="BJ140" s="6">
        <f>COUNTIFS(Table5[Country],Tabela1[[#This Row],[Country]],Table5[Hammer Throw Classification],"&gt;0")</f>
        <v>0</v>
      </c>
      <c r="BK140" s="6">
        <f>COUNTIFS(Table4[Country],Tabela1[[#This Row],[Country]],Table4[High Jump Classification],"&gt;0")</f>
        <v>0</v>
      </c>
      <c r="BL140" s="6">
        <f>COUNTIFS(Table5[Country],Tabela1[[#This Row],[Country]],Table5[High Jump Classification],"&gt;0")</f>
        <v>0</v>
      </c>
      <c r="BM140" s="6">
        <f>COUNTIFS(Table4[Country],Tabela1[[#This Row],[Country]],Table4[Javelin Throw Classification],"&gt;0")</f>
        <v>0</v>
      </c>
      <c r="BN140" s="6">
        <f>COUNTIFS(Table5[Country],Tabela1[[#This Row],[Country]],Table5[Javelin Throw Classification],"&gt;0")</f>
        <v>0</v>
      </c>
      <c r="BO140" s="6">
        <f>COUNTIFS(Table4[Country],Tabela1[[#This Row],[Country]],Table4[Long Jump Classification],"&gt;0")</f>
        <v>0</v>
      </c>
      <c r="BP140" s="6">
        <f>COUNTIFS(Table5[Country],Tabela1[[#This Row],[Country]],Table5[Long Jump Classification],"&gt;0")</f>
        <v>0</v>
      </c>
      <c r="BQ140" s="6">
        <f>COUNTIFS(Table4[Country],Tabela1[[#This Row],[Country]],Table4[Pole Vault Classification],"&gt;0")</f>
        <v>0</v>
      </c>
      <c r="BR140" s="6">
        <f>COUNTIFS(Table5[Country],Tabela1[[#This Row],[Country]],Table5[Pole Vault Classification],"&gt;0")</f>
        <v>0</v>
      </c>
      <c r="BS140" s="6">
        <f>COUNTIFS(Table4[Country],Tabela1[[#This Row],[Country]],Table4[Shot Put Classification],"&gt;0")</f>
        <v>0</v>
      </c>
      <c r="BT140" s="6">
        <f>COUNTIFS(Table5[Country],Tabela1[[#This Row],[Country]],Table5[Shot Put Classification],"&gt;0")</f>
        <v>0</v>
      </c>
      <c r="BU140" s="6">
        <f>COUNTIFS(Table4[Country],Tabela1[[#This Row],[Country]],Table4[Triple Jump Classification],"&gt;0")</f>
        <v>0</v>
      </c>
      <c r="BV140" s="6">
        <f>COUNTIFS(Table5[Country],Tabela1[[#This Row],[Country]],Table5[Triple Jump Classification],"&gt;0")</f>
        <v>0</v>
      </c>
      <c r="BW140" s="6">
        <f>COUNTIFS(Table4[Country],Tabela1[[#This Row],[Country]],Table4[Decathlon Classification],"&gt;0")</f>
        <v>0</v>
      </c>
      <c r="BX140" s="6">
        <f>COUNTIFS(Table5[Country],Tabela1[[#This Row],[Country]],Table5[Heptathlon Classification],"&gt;0")</f>
        <v>0</v>
      </c>
      <c r="BY140" s="6">
        <f>COUNTIFS(Table61[Country],Tabela1[[#This Row],[Country]],Table61[Classification],"&gt;0")</f>
        <v>0</v>
      </c>
      <c r="BZ140" s="6">
        <f>COUNTIFS(Table38[Country],Tabela1[[#This Row],[Country]],Table38[Classification],"&gt;0")</f>
        <v>0</v>
      </c>
      <c r="CA140" s="6">
        <f>COUNTIFS(Table39[Country],Tabela1[[#This Row],[Country]],Table39[Men''s Classification],"&gt;0")</f>
        <v>0</v>
      </c>
      <c r="CB140" s="6">
        <f>COUNTIFS(Table39[Country],Tabela1[[#This Row],[Country]],Table39[Women''s Classification],"&gt;0")</f>
        <v>0</v>
      </c>
      <c r="CC140" s="6">
        <f>COUNTIFS(Table39[Country],Tabela1[[#This Row],[Country]],Table39[Mixed Classification],"&gt;0")</f>
        <v>0</v>
      </c>
      <c r="CD140" s="6">
        <f>COUNTIFS(Table89[Country],Tabela1[[#This Row],[Country]],Table89[Men''s Classification],"&gt;0")</f>
        <v>0</v>
      </c>
      <c r="CE140" s="6">
        <f>COUNTIFS(Table89[Country],Tabela1[[#This Row],[Country]],Table89[Women''s Classification],"&gt;0")</f>
        <v>0</v>
      </c>
      <c r="CF140" s="6">
        <f>COUNTIFS(Table90[Country],Tabela1[[#This Row],[Country]],Table90[Men''s Classification],"&gt;0")</f>
        <v>0</v>
      </c>
      <c r="CG140" s="6">
        <f>COUNTIFS(Table90[Country],Tabela1[[#This Row],[Country]],Table90[Women''s Classification],"&gt;0")</f>
        <v>0</v>
      </c>
      <c r="CH140" s="6">
        <f>COUNTIFS(Table60[Country],Tabela1[[#This Row],[Country]],Table60[Men''s Classification],"&gt;0")</f>
        <v>0</v>
      </c>
      <c r="CI140" s="6">
        <f>COUNTIFS(Table60[Country],Tabela1[[#This Row],[Country]],Table60[Women''s Classification],"&gt;0")</f>
        <v>0</v>
      </c>
      <c r="CJ140" s="6">
        <f>COUNTIFS(Table6[Country],Tabela1[[#This Row],[Country]],Table6[51kg Classification],"&gt;0")</f>
        <v>0</v>
      </c>
      <c r="CK140" s="6">
        <f>COUNTIFS(Table6[Country],Tabela1[[#This Row],[Country]],Table6[57kg Classification],"&gt;0")</f>
        <v>0</v>
      </c>
      <c r="CL140" s="6">
        <f>COUNTIFS(Table6[Country],Tabela1[[#This Row],[Country]],Table6[63.5kg Classification],"&gt;0")</f>
        <v>0</v>
      </c>
      <c r="CM140" s="6">
        <f>COUNTIFS(Table6[Country],Tabela1[[#This Row],[Country]],Table6[71kg Classification],"&gt;0")</f>
        <v>0</v>
      </c>
      <c r="CN140" s="6">
        <f>COUNTIFS(Table6[Country],Tabela1[[#This Row],[Country]],Table6[80kg Classification],"&gt;0")</f>
        <v>0</v>
      </c>
      <c r="CO140" s="6">
        <f>COUNTIFS(Table6[Country],Tabela1[[#This Row],[Country]],Table6[92kg Classification],"&gt;0")</f>
        <v>0</v>
      </c>
      <c r="CP140" s="6">
        <f>COUNTIFS(Table6[Country],Tabela1[[#This Row],[Country]],Table6[Plus 92kg Classification],"&gt;0")</f>
        <v>0</v>
      </c>
      <c r="CQ140" s="6">
        <f>COUNTIFS(Table7[Country],Tabela1[[#This Row],[Country]],Table7[50kg Classification],"&gt;0")</f>
        <v>0</v>
      </c>
      <c r="CR140" s="6">
        <f>COUNTIFS(Table7[Country],Tabela1[[#This Row],[Country]],Table7[54kg Classification],"&gt;0")</f>
        <v>0</v>
      </c>
      <c r="CS140" s="6">
        <f>COUNTIFS(Table7[Country],Tabela1[[#This Row],[Country]],Table7[57kg Classification],"&gt;0")</f>
        <v>0</v>
      </c>
      <c r="CT140" s="6">
        <f>COUNTIFS(Table7[Country],Tabela1[[#This Row],[Country]],Table7[60kg Classification],"&gt;0")</f>
        <v>0</v>
      </c>
      <c r="CU140" s="6">
        <f>COUNTIFS(Table7[Country],Tabela1[[#This Row],[Country]],Table7[66kg Classification],"&gt;0")</f>
        <v>0</v>
      </c>
      <c r="CV140" s="6">
        <f>COUNTIFS(Table7[Country],Tabela1[[#This Row],[Country]],Table7[75kg Classification],"&gt;0")</f>
        <v>0</v>
      </c>
      <c r="CW140" s="6">
        <f>COUNTIFS(Tabela94[Country],Tabela1[[#This Row],[Country]],Tabela94[Classification],"&gt;0")</f>
        <v>0</v>
      </c>
      <c r="CX140" s="6">
        <f>COUNTIFS(Tabela9499[Country],Tabela1[[#This Row],[Country]],Tabela9499[Classification],"&gt;0")</f>
        <v>0</v>
      </c>
      <c r="CY140" s="6">
        <f>COUNTIFS(Tabela107[Country],Tabela1[[#This Row],[Country]],Tabela107[C1 Slalom Classification],"&gt;0")</f>
        <v>0</v>
      </c>
      <c r="CZ140" s="6">
        <f>COUNTIFS(Tabela107122[Country],Tabela1[[#This Row],[Country]],Tabela107122[C1 Slalom Classification],"&gt;0")</f>
        <v>0</v>
      </c>
      <c r="DA140" s="6">
        <f>COUNTIFS(Tabela107[Country],Tabela1[[#This Row],[Country]],Tabela107[K1 Slalom Classification],"&gt;0")</f>
        <v>0</v>
      </c>
      <c r="DB140" s="6">
        <f>COUNTIFS(Tabela107122[Country],Tabela1[[#This Row],[Country]],Tabela107122[K1 Slalom Classification],"&gt;0")</f>
        <v>0</v>
      </c>
      <c r="DC140" s="6">
        <f>COUNTIFS(Tabela107[Country],Tabela1[[#This Row],[Country]],Tabela107[Kayak Cross Slalom Classification],"&gt;0")</f>
        <v>0</v>
      </c>
      <c r="DD140" s="6">
        <f>COUNTIFS(Tabela107122[Country],Tabela1[[#This Row],[Country]],Tabela107122[Kayak Cross Slalom Classification],"&gt;0")</f>
        <v>0</v>
      </c>
      <c r="DE140" s="6">
        <f>COUNTIFS(Table8[Country],Tabela1[[#This Row],[Country]],Table8[C1 200m Classification],"&gt;0")</f>
        <v>0</v>
      </c>
      <c r="DF140" s="6">
        <f>COUNTIFS(Table40[Country],Tabela1[[#This Row],[Country]],Table40[C1 1000m Classification],"&gt;0")</f>
        <v>0</v>
      </c>
      <c r="DG140" s="6">
        <f>COUNTIFS(Table68[Country],Tabela1[[#This Row],[Country]],Table68[Men''s C2 500m Classification],"&gt;0")</f>
        <v>0</v>
      </c>
      <c r="DH140" s="6">
        <f>COUNTIFS(Table68[Country],Tabela1[[#This Row],[Country]],Table68[Women''s C2 500m Classification],"&gt;0")</f>
        <v>0</v>
      </c>
      <c r="DI140" s="6">
        <f>COUNTIFS(Table8[Country],Tabela1[[#This Row],[Country]],Table8[K1 500m Classification],"&gt;0")</f>
        <v>0</v>
      </c>
      <c r="DJ140" s="6">
        <f>COUNTIFS(Table40[Country],Tabela1[[#This Row],[Country]],Table40[K1 1000m Classification],"&gt;0")</f>
        <v>0</v>
      </c>
      <c r="DK140" s="6">
        <f>COUNTIFS(Table68[Country],Tabela1[[#This Row],[Country]],Table68[Men''s K2 500m Classification],"&gt;0")</f>
        <v>0</v>
      </c>
      <c r="DL140" s="6">
        <f>COUNTIFS(Table68[Country],Tabela1[[#This Row],[Country]],Table68[Women''s K2 500m Classification],"&gt;0")</f>
        <v>0</v>
      </c>
      <c r="DM140" s="6">
        <f>COUNTIFS(Table83[Country],Tabela1[[#This Row],[Country]],Table83[Men''s K4 500m Classification],"&gt;0")</f>
        <v>0</v>
      </c>
      <c r="DN140" s="6">
        <f>COUNTIFS(Table83[Country],Tabela1[[#This Row],[Country]],Table83[Women''s K4 500m Classification],"&gt;0")</f>
        <v>0</v>
      </c>
      <c r="DO140" s="6">
        <f>COUNTIFS(Tabela126[Country],Tabela1[[#This Row],[Country]],Tabela126[Classification],"&gt;0")</f>
        <v>0</v>
      </c>
      <c r="DP140" s="6">
        <f>COUNTIFS(Tabela126130[Country],Tabela1[[#This Row],[Country]],Tabela126130[Classification],"&gt;0")</f>
        <v>0</v>
      </c>
      <c r="DQ140" s="6">
        <f>COUNTIFS(Table70[Country],Tabela1[[#This Row],[Country]],Table70[Classification],"&gt;0")</f>
        <v>0</v>
      </c>
      <c r="DR140" s="6">
        <f>COUNTIFS(Table80[Country],Tabela1[[#This Row],[Country]],Table80[Classification],"&gt;0")</f>
        <v>0</v>
      </c>
      <c r="DS140" s="6">
        <f>COUNTIFS(Table66[Country],Tabela1[[#This Row],[Country]],Table66[Classification],"&gt;0")</f>
        <v>0</v>
      </c>
      <c r="DT140" s="6">
        <f>COUNTIFS(Table67[Country],Tabela1[[#This Row],[Country]],Table67[Classification],"&gt;0")</f>
        <v>0</v>
      </c>
      <c r="DU140" s="6">
        <f>COUNTIFS(Table69[Country],Tabela1[[#This Row],[Country]],Table69[Keirin Classification],"&gt;0")</f>
        <v>0</v>
      </c>
      <c r="DV140" s="6">
        <f>COUNTIFS(Table41[Country],Tabela1[[#This Row],[Country]],Table41[Keirin Classification],"&gt;0")</f>
        <v>0</v>
      </c>
      <c r="DW140" s="6">
        <f>COUNTIFS(Table84[Country],Tabela1[[#This Row],[Country]],Table84[Men''s Madison Classification],"&gt;0")</f>
        <v>0</v>
      </c>
      <c r="DX140" s="6">
        <f>COUNTIFS(Table84[Country],Tabela1[[#This Row],[Country]],Table84[Women''s Madison Classification],"&gt;0")</f>
        <v>0</v>
      </c>
      <c r="DY140" s="6">
        <f>COUNTIFS(Table69[Country],Tabela1[[#This Row],[Country]],Table69[Omnium Classification],"&gt;0")</f>
        <v>0</v>
      </c>
      <c r="DZ140" s="6">
        <f>COUNTIFS(Table41[Country],Tabela1[[#This Row],[Country]],Table41[Omnium Classification],"&gt;0")</f>
        <v>0</v>
      </c>
      <c r="EA140" s="6">
        <f>COUNTIFS(Table9[Country],Tabela1[[#This Row],[Country]],Table9[Road Race Classification],"&gt;0")</f>
        <v>0</v>
      </c>
      <c r="EB140" s="6">
        <f>COUNTIFS(Table14[Country],Tabela1[[#This Row],[Country]],Table14[Road Race Classification],"&gt;0")</f>
        <v>1</v>
      </c>
      <c r="EC140" s="6">
        <f>COUNTIFS(Table69[Country],Tabela1[[#This Row],[Country]],Table69[Sprint Classification],"&gt;0")</f>
        <v>0</v>
      </c>
      <c r="ED140" s="6">
        <f>COUNTIFS(Table41[Country],Tabela1[[#This Row],[Country]],Table41[Sprint Classification],"&gt;0")</f>
        <v>0</v>
      </c>
      <c r="EE140" s="6">
        <f>COUNTIFS(Table85[Country],Tabela1[[#This Row],[Country]],Table85[Men''s Sprint Classification],"&gt;0")</f>
        <v>0</v>
      </c>
      <c r="EF140" s="6">
        <f>COUNTIFS(Table85[Country],Tabela1[[#This Row],[Country]],Table85[Women''s Sprint Classification],"&gt;0")</f>
        <v>0</v>
      </c>
      <c r="EG140" s="6">
        <f>COUNTIFS(Table85[Country],Tabela1[[#This Row],[Country]],Table85[Men''s Pursuit Classification],"&gt;0")</f>
        <v>0</v>
      </c>
      <c r="EH140" s="6">
        <f>COUNTIFS(Table85[Country],Tabela1[[#This Row],[Country]],Table85[Women''s Pursuit Classification],"&gt;0")</f>
        <v>0</v>
      </c>
      <c r="EI140" s="6">
        <f>COUNTIFS(Table9[Country],Tabela1[[#This Row],[Country]],Table9[Time-Trial Classification],"&gt;0")</f>
        <v>0</v>
      </c>
      <c r="EJ140" s="6">
        <f>COUNTIFS(Table14[Country],Tabela1[[#This Row],[Country]],Table14[Time-Trial Classification],"&gt;0")</f>
        <v>0</v>
      </c>
      <c r="EK140" s="6">
        <f>COUNTIFS(Table42[Country],Tabela1[[#This Row],[Country]],Table42[Springboard Classification],"&gt;0")</f>
        <v>0</v>
      </c>
      <c r="EL140" s="6">
        <f>COUNTIFS(Table43[Country],Tabela1[[#This Row],[Country]],Table43[Springboard Classification],"&gt;0")</f>
        <v>0</v>
      </c>
      <c r="EM140" s="6">
        <f>COUNTIFS(Table42[Country],Tabela1[[#This Row],[Country]],Table42[Platform Classification],"&gt;0")</f>
        <v>0</v>
      </c>
      <c r="EN140" s="6">
        <f>COUNTIFS(Table43[Country],Tabela1[[#This Row],[Country]],Table43[Platform Classification],"&gt;0")</f>
        <v>0</v>
      </c>
      <c r="EO140" s="6">
        <f>COUNTIFS(Table86[Country],Tabela1[[#This Row],[Country]],Table86[Men''s Synchronized Springboard Classification],"&gt;0")</f>
        <v>0</v>
      </c>
      <c r="EP140" s="6">
        <f>COUNTIFS(Table86[Country],Tabela1[[#This Row],[Country]],Table86[Women''s Synchronized Springboard Classification],"&gt;0")</f>
        <v>0</v>
      </c>
      <c r="EQ140" s="6">
        <f>COUNTIFS(Table86[Country],Tabela1[[#This Row],[Country]],Table86[Men''s Synchronized Platform Classification],"&gt;0")</f>
        <v>0</v>
      </c>
      <c r="ER140" s="6">
        <f>COUNTIFS(Table86[Country],Tabela1[[#This Row],[Country]],Table86[Women''s Synchronized Platform Classification],"&gt;0")</f>
        <v>0</v>
      </c>
      <c r="ES140" s="6">
        <f>COUNTIFS(Table44[Country],Tabela1[[#This Row],[Country]],Table44[Dressage Classification],"&gt;0")</f>
        <v>0</v>
      </c>
      <c r="ET140" s="6">
        <f>COUNTIFS(Table45[Country],Tabela1[[#This Row],[Country]],Table45[Dressage Classification],"&gt;0")</f>
        <v>0</v>
      </c>
      <c r="EU140" s="6">
        <f>COUNTIFS(Table44[Country],Tabela1[[#This Row],[Country]],Table44[Eventing Classification],"&gt;0")</f>
        <v>0</v>
      </c>
      <c r="EV140" s="6">
        <f>COUNTIFS(Table45[Country],Tabela1[[#This Row],[Country]],Table45[Eventing Classification],"&gt;0")</f>
        <v>0</v>
      </c>
      <c r="EW140" s="6">
        <f>COUNTIFS(Table44[Country],Tabela1[[#This Row],[Country]],Table44[Jumping Classification],"&gt;0")</f>
        <v>0</v>
      </c>
      <c r="EX140" s="6">
        <f>COUNTIFS(Table45[Country],Tabela1[[#This Row],[Country]],Table45[Jumping Classification],"&gt;0")</f>
        <v>0</v>
      </c>
      <c r="EY140" s="6">
        <f>COUNTIFS(Table10[Country],Tabela1[[#This Row],[Country]],Table10[Épée Classification],"&gt;0")</f>
        <v>0</v>
      </c>
      <c r="EZ140" s="6">
        <f>COUNTIFS(Table11[Country],Tabela1[[#This Row],[Country]],Table11[Épée Classification],"&gt;0")</f>
        <v>0</v>
      </c>
      <c r="FA140" s="6">
        <f>COUNTIFS(Table46[Country],Tabela1[[#This Row],[Country]],Table46[Men''s Épée Classification],"&gt;0")</f>
        <v>0</v>
      </c>
      <c r="FB140" s="6">
        <f>COUNTIFS(Table46[Country],Tabela1[[#This Row],[Country]],Table46[Women''s Épée Classification],"&gt;0")</f>
        <v>0</v>
      </c>
      <c r="FC140" s="6">
        <f>COUNTIFS(Table10[Country],Tabela1[[#This Row],[Country]],Table10[Foil Classification],"&gt;0")</f>
        <v>0</v>
      </c>
      <c r="FD140" s="6">
        <f>COUNTIFS(Table11[Country],Tabela1[[#This Row],[Country]],Table11[Foil Classification],"&gt;0")</f>
        <v>0</v>
      </c>
      <c r="FE140" s="6">
        <f>COUNTIFS(Table46[Country],Tabela1[[#This Row],[Country]],Table46[Men''s Foil Classification],"&gt;0")</f>
        <v>0</v>
      </c>
      <c r="FF140" s="6">
        <f>COUNTIFS(Table46[Country],Tabela1[[#This Row],[Country]],Table46[Women''s Foil Classification],"&gt;0")</f>
        <v>0</v>
      </c>
      <c r="FG140" s="6">
        <f>COUNTIFS(Table10[Country],Tabela1[[#This Row],[Country]],Table10[Sabre Classification],"&gt;0")</f>
        <v>0</v>
      </c>
      <c r="FH140" s="6">
        <f>COUNTIFS(Table11[Country],Tabela1[[#This Row],[Country]],Table11[Sabre Classification],"&gt;0")</f>
        <v>0</v>
      </c>
      <c r="FI140" s="6">
        <f>COUNTIFS(Table46[Country],Tabela1[[#This Row],[Country]],Table46[Men''s Sabre Classification],"&gt;0")</f>
        <v>0</v>
      </c>
      <c r="FJ140" s="6">
        <f>COUNTIFS(Table46[Country],Tabela1[[#This Row],[Country]],Table46[Women''s Sabre Classification],"&gt;0")</f>
        <v>0</v>
      </c>
      <c r="FK140" s="6">
        <f>COUNTIFS(Table91[Country],Tabela1[[#This Row],[Country]],Table91[Men''s Classification],"&gt;0")</f>
        <v>0</v>
      </c>
      <c r="FL140" s="6">
        <f>COUNTIFS(Table91[Country],Tabela1[[#This Row],[Country]],Table91[Women''s Classification],"&gt;0")</f>
        <v>0</v>
      </c>
      <c r="FM140" s="6">
        <f>COUNTIFS(Table9194[Country],Tabela1[[#This Row],[Country]],Table9194[Men''s Classification],"&gt;0")</f>
        <v>0</v>
      </c>
      <c r="FN140" s="6">
        <f>COUNTIFS(Table9194[Country],Tabela1[[#This Row],[Country]],Table9194[Women''s Classification],"&gt;0")</f>
        <v>0</v>
      </c>
      <c r="FO140" s="6">
        <f>COUNTIFS(Table71[Country],Tabela1[[#This Row],[Country]],Table71[Classification],"&gt;0")</f>
        <v>0</v>
      </c>
      <c r="FP140" s="6">
        <f>COUNTIFS(Table62[Country],Tabela1[[#This Row],[Country]],Table62[Classification],"&gt;0")</f>
        <v>0</v>
      </c>
      <c r="FQ140" s="6">
        <f>COUNTIFS(Table47[Country],Tabela1[[#This Row],[Country]],Table47[All-Around Classification],"&gt;0")</f>
        <v>0</v>
      </c>
      <c r="FR140" s="6">
        <f>COUNTIFS(Table48[Country],Tabela1[[#This Row],[Country]],Table48[All-Around Classification],"&gt;0")</f>
        <v>0</v>
      </c>
      <c r="FS140" s="6">
        <f>COUNTIFS(Table81[Country],Tabela1[[#This Row],[Country]],Table81[Men''s All-Around Classification],"&gt;0")</f>
        <v>0</v>
      </c>
      <c r="FT140" s="6">
        <f>COUNTIFS(Table81[Country],Tabela1[[#This Row],[Country]],Table81[Women''s All-Around Classification],"&gt;0")</f>
        <v>0</v>
      </c>
      <c r="FU140" s="6">
        <f>COUNTIFS(Table48[Country],Tabela1[[#This Row],[Country]],Table48[Balance Beam Classification],"&gt;0")</f>
        <v>0</v>
      </c>
      <c r="FV140" s="6">
        <f>COUNTIFS(Table47[Country],Tabela1[[#This Row],[Country]],Table47[Floor Exercise Classification],"&gt;0")</f>
        <v>0</v>
      </c>
      <c r="FW140" s="6">
        <f>COUNTIFS(Table48[Country],Tabela1[[#This Row],[Country]],Table48[Floor Exercise Classification],"&gt;0")</f>
        <v>0</v>
      </c>
      <c r="FX140" s="6">
        <f>COUNTIFS(Table47[Country],Tabela1[[#This Row],[Country]],Table47[Horizontal Bar Classification],"&gt;0")</f>
        <v>0</v>
      </c>
      <c r="FY140" s="6">
        <f>COUNTIFS(Table47[Country],Tabela1[[#This Row],[Country]],Table47[Parallel Bars Classification],"&gt;0")</f>
        <v>0</v>
      </c>
      <c r="FZ140" s="6">
        <f>COUNTIFS(Table47[Country],Tabela1[[#This Row],[Country]],Table47[Pommel Horse Classification],"&gt;0")</f>
        <v>0</v>
      </c>
      <c r="GA140" s="6">
        <f>COUNTIFS(Table47[Country],Tabela1[[#This Row],[Country]],Table47[Rings Classification],"&gt;0")</f>
        <v>0</v>
      </c>
      <c r="GB140" s="6">
        <f>COUNTIFS(Tabela132[Country],Tabela1[[#This Row],[Country]],Tabela132[Classification],"&gt;0")</f>
        <v>0</v>
      </c>
      <c r="GC140" s="6">
        <f>COUNTIFS(Tabela139[Country],Tabela1[[#This Row],[Country]],Tabela139[Classification],"&gt;0")</f>
        <v>0</v>
      </c>
      <c r="GD140" s="6">
        <f>COUNTIFS(Table48[Country],Tabela1[[#This Row],[Country]],Table48[Uneven Bars Classification],"&gt;0")</f>
        <v>0</v>
      </c>
      <c r="GE140" s="6">
        <f>COUNTIFS(Table47[Country],Tabela1[[#This Row],[Country]],Table47[Vault Classification],"&gt;0")</f>
        <v>0</v>
      </c>
      <c r="GF140" s="6">
        <f>COUNTIFS(Table48[Country],Tabela1[[#This Row],[Country]],Table48[Vault Classification],"&gt;0")</f>
        <v>0</v>
      </c>
      <c r="GG140" s="6">
        <f>COUNTIFS(Table919496[Country],Tabela1[[#This Row],[Country]],Table919496[Men''s Classification],"&gt;0")</f>
        <v>0</v>
      </c>
      <c r="GH140" s="6">
        <f>COUNTIFS(Table919496[Country],Tabela1[[#This Row],[Country]],Table919496[Women''s Classification],"&gt;0")</f>
        <v>0</v>
      </c>
      <c r="GI140" s="6">
        <f>COUNTIFS(Table12[Country],Tabela1[[#This Row],[Country]],Table12[60kg Classification],"&gt;0")</f>
        <v>0</v>
      </c>
      <c r="GJ140" s="6">
        <f>COUNTIFS(Table12[Country],Tabela1[[#This Row],[Country]],Table12[66kg Classification],"&gt;0")</f>
        <v>0</v>
      </c>
      <c r="GK140" s="6">
        <f>COUNTIFS(Table12[Country],Tabela1[[#This Row],[Country]],Table12[73kg Classification],"&gt;0")</f>
        <v>0</v>
      </c>
      <c r="GL140" s="6">
        <f>COUNTIFS(Table12[Country],Tabela1[[#This Row],[Country]],Table12[81kg Classification],"&gt;0")</f>
        <v>0</v>
      </c>
      <c r="GM140" s="6">
        <f>COUNTIFS(Table12[Country],Tabela1[[#This Row],[Country]],Table12[90kg Classification],"&gt;0")</f>
        <v>0</v>
      </c>
      <c r="GN140" s="6">
        <f>COUNTIFS(Table12[Country],Tabela1[[#This Row],[Country]],Table12[100kg Classification],"&gt;0")</f>
        <v>0</v>
      </c>
      <c r="GO140" s="6">
        <f>COUNTIFS(Table12[Country],Tabela1[[#This Row],[Country]],Table12[Plus 100kg Classification],"&gt;0")</f>
        <v>0</v>
      </c>
      <c r="GP140" s="6">
        <f>COUNTIFS(Table13[Country],Tabela1[[#This Row],[Country]],Table13[48kg Classification],"&gt;0")</f>
        <v>0</v>
      </c>
      <c r="GQ140" s="6">
        <f>COUNTIFS(Table13[Country],Tabela1[[#This Row],[Country]],Table13[52kg Classification],"&gt;0")</f>
        <v>0</v>
      </c>
      <c r="GR140" s="6">
        <f>COUNTIFS(Table13[Country],Tabela1[[#This Row],[Country]],Table13[57kg Classification],"&gt;0")</f>
        <v>0</v>
      </c>
      <c r="GS140" s="6">
        <f>COUNTIFS(Table13[Country],Tabela1[[#This Row],[Country]],Table13[63kg Classification],"&gt;0")</f>
        <v>0</v>
      </c>
      <c r="GT140" s="6">
        <f>COUNTIFS(Table13[Country],Tabela1[[#This Row],[Country]],Table13[70kg Classification],"&gt;0")</f>
        <v>0</v>
      </c>
      <c r="GU140" s="6">
        <f>COUNTIFS(Table13[Country],Tabela1[[#This Row],[Country]],Table13[78kg Classification],"&gt;0")</f>
        <v>0</v>
      </c>
      <c r="GV140" s="6">
        <f>COUNTIFS(Table13[Country],Tabela1[[#This Row],[Country]],Table13[Plus 78kg Classification],"&gt;0")</f>
        <v>0</v>
      </c>
      <c r="GW140" s="6">
        <f>COUNTIFS(Table82[Country],Tabela1[[#This Row],[Country]],Table82[Mixed Classification],"&gt;0")</f>
        <v>0</v>
      </c>
      <c r="GX140" s="6">
        <f>COUNTIFS(Table51[Country],Tabela1[[#This Row],[Country]],Table51[Classification],"&gt;0")</f>
        <v>0</v>
      </c>
      <c r="GY140" s="6">
        <f>COUNTIFS(Table52[Country],Tabela1[[#This Row],[Country]],Table52[Classification],"&gt;0")</f>
        <v>0</v>
      </c>
      <c r="GZ140" s="6">
        <f>COUNTIFS(Table32[Country],Tabela1[[#This Row],[Country]],Table32[All-Around Classification],"&gt;0")</f>
        <v>0</v>
      </c>
      <c r="HA140" s="6">
        <f>COUNTIFS(Table49[Country],Tabela1[[#This Row],[Country]],Table49[All-Around Classification],"&gt;0")</f>
        <v>0</v>
      </c>
      <c r="HB140" s="6">
        <f>COUNTIFS(Table26[Country],Tabela1[[#This Row],[Country]],Table26[Single Sculls Classification],"&gt;0")</f>
        <v>0</v>
      </c>
      <c r="HC140" s="6">
        <f>COUNTIFS(Table63[Country],Tabela1[[#This Row],[Country]],Table63[Single Sculls Classification],"&gt;0")</f>
        <v>0</v>
      </c>
      <c r="HD140" s="6">
        <f>COUNTIFS(Table16[Country],Tabela1[[#This Row],[Country]],Table16[Men''s Double Sculls Classification],"&gt;0")</f>
        <v>0</v>
      </c>
      <c r="HE140" s="6">
        <f>COUNTIFS(Table16[Country],Tabela1[[#This Row],[Country]],Table16[Women''s Double Sculls Classification],"&gt;0")</f>
        <v>0</v>
      </c>
      <c r="HF140" s="6">
        <f>COUNTIFS(Table72[Country],Tabela1[[#This Row],[Country]],Table72[Men''s Quadruple Sculls Classification],"&gt;0")</f>
        <v>0</v>
      </c>
      <c r="HG140" s="6">
        <f>COUNTIFS(Table72[Country],Tabela1[[#This Row],[Country]],Table72[Women''s Quadruple Sculls Classification],"&gt;0")</f>
        <v>0</v>
      </c>
      <c r="HH140" s="6">
        <f>COUNTIFS(Table16[Country],Tabela1[[#This Row],[Country]],Table16[Men''s Coxless Pairs Classification],"&gt;0")</f>
        <v>0</v>
      </c>
      <c r="HI140" s="6">
        <f>COUNTIFS(Table16[Country],Tabela1[[#This Row],[Country]],Table16[Women''s Coxless Pairs Classification],"&gt;0")</f>
        <v>0</v>
      </c>
      <c r="HJ140" s="6">
        <f>COUNTIFS(Table72[Country],Tabela1[[#This Row],[Country]],Table72[Men''s Coxless Fours Classification],"&gt;0")</f>
        <v>0</v>
      </c>
      <c r="HK140" s="6">
        <f>COUNTIFS(Table72[Country],Tabela1[[#This Row],[Country]],Table72[Women''s Coxless Fours Classification],"&gt;0")</f>
        <v>0</v>
      </c>
      <c r="HL140" s="6">
        <f>COUNTIFS(Table72[Country],Tabela1[[#This Row],[Country]],Table72[Men''s Eights Classification],"&gt;0")</f>
        <v>0</v>
      </c>
      <c r="HM140" s="6">
        <f>COUNTIFS(Table72[Country],Tabela1[[#This Row],[Country]],Table72[Women''s Eights Classification],"&gt;0")</f>
        <v>0</v>
      </c>
      <c r="HN140" s="6">
        <f>COUNTIFS(Table16[Country],Tabela1[[#This Row],[Country]],Table16[Men''s Lwt. Double Sculls Classification],"&gt;0")</f>
        <v>0</v>
      </c>
      <c r="HO140" s="6">
        <f>COUNTIFS(Table16[Country],Tabela1[[#This Row],[Country]],Table16[Women''s Lwt. Double Sculls Classification],"&gt;0")</f>
        <v>0</v>
      </c>
      <c r="HP140" s="6">
        <f>COUNTIFS(Table91949698[Country],Tabela1[[#This Row],[Country]],Table91949698[Men''s Classification],"&gt;0")</f>
        <v>0</v>
      </c>
      <c r="HQ140" s="6">
        <f>COUNTIFS(Table91949698[Country],Tabela1[[#This Row],[Country]],Table91949698[Women''s Classification],"&gt;0")</f>
        <v>0</v>
      </c>
      <c r="HR140" s="6">
        <f>COUNTIFS(Table25[Country],Tabela1[[#This Row],[Country]],Table25[Mixed 470 Classification],"&gt;0")</f>
        <v>0</v>
      </c>
      <c r="HS140" s="6">
        <f>COUNTIFS(Table25[Country],Tabela1[[#This Row],[Country]],Table25[Men''s 49er Classification],"&gt;0")</f>
        <v>0</v>
      </c>
      <c r="HT140" s="6">
        <f>COUNTIFS(Table25[Country],Tabela1[[#This Row],[Country]],Table25[Women''s 49er FX Classification],"&gt;0")</f>
        <v>0</v>
      </c>
      <c r="HU140" s="6">
        <f>COUNTIFS(Table17[Country],Tabela1[[#This Row],[Country]],Table17[Formula Kite Classification],"&gt;0")</f>
        <v>0</v>
      </c>
      <c r="HV140" s="6">
        <f>COUNTIFS(Table18[Country],Tabela1[[#This Row],[Country]],Table18[Formula Kite Classification],"&gt;0")</f>
        <v>0</v>
      </c>
      <c r="HW140" s="6">
        <f>COUNTIFS(Table17[Country],Tabela1[[#This Row],[Country]],Table17[ILCA 7 Classification],"&gt;0")</f>
        <v>0</v>
      </c>
      <c r="HX140" s="6">
        <f>COUNTIFS(Table18[Country],Tabela1[[#This Row],[Country]],Table18[ILCA 6 Classification],"&gt;0")</f>
        <v>0</v>
      </c>
      <c r="HY140" s="6">
        <f>COUNTIFS(Table17[Country],Tabela1[[#This Row],[Country]],Table17[IQFoil Classification],"&gt;0")</f>
        <v>0</v>
      </c>
      <c r="HZ140" s="6">
        <f>COUNTIFS(Table18[Country],Tabela1[[#This Row],[Country]],Table18[IQFoil Classification],"&gt;0")</f>
        <v>0</v>
      </c>
      <c r="IA140" s="6">
        <f>COUNTIFS(Table25[Country],Tabela1[[#This Row],[Country]],Table25[Mixed Nacra 17 Classification],"&gt;0")</f>
        <v>0</v>
      </c>
      <c r="IB140" s="6">
        <f>COUNTIFS(Table53[Country],Tabela1[[#This Row],[Country]],Table53[10m Air Pistol Classification],"&gt;0")</f>
        <v>0</v>
      </c>
      <c r="IC140" s="6">
        <f>COUNTIFS(Table19[Country],Tabela1[[#This Row],[Country]],Table19[10m Air Pistol Classification],"&gt;0")</f>
        <v>0</v>
      </c>
      <c r="ID140" s="6">
        <f>COUNTIFS(Table54[Country],Tabela1[[#This Row],[Country]],Table54[Mixed 10m Air Pistol Team Classification],"&gt;0")</f>
        <v>0</v>
      </c>
      <c r="IE140" s="6">
        <f>COUNTIFS(Table53[Country],Tabela1[[#This Row],[Country]],Table53[10m Air Rifle Classification],"&gt;0")</f>
        <v>0</v>
      </c>
      <c r="IF140" s="6">
        <f>COUNTIFS(Table19[Country],Tabela1[[#This Row],[Country]],Table19[10m Air Rifle Classification],"&gt;0")</f>
        <v>0</v>
      </c>
      <c r="IG140" s="6">
        <f>COUNTIFS(Table54[Country],Tabela1[[#This Row],[Country]],Table54[Mixed 10m Air Rifle Team Classification],"&gt;0")</f>
        <v>0</v>
      </c>
      <c r="IH140" s="6">
        <f>COUNTIFS(Table53[Country],Tabela1[[#This Row],[Country]],Table53[25m Rapid Fire Pistol Classification],"&gt;0")</f>
        <v>0</v>
      </c>
      <c r="II140" s="6">
        <f>COUNTIFS(Table19[Country],Tabela1[[#This Row],[Country]],Table19[25m Pistol Classification],"&gt;0")</f>
        <v>0</v>
      </c>
      <c r="IJ140" s="6">
        <f>COUNTIFS(Table53[Country],Tabela1[[#This Row],[Country]],Table53[50m Rifle 3 Positions Classification],"&gt;0")</f>
        <v>0</v>
      </c>
      <c r="IK140" s="6">
        <f>COUNTIFS(Table19[Country],Tabela1[[#This Row],[Country]],Table19[50m Rifle 3 Positions Classification],"&gt;0")</f>
        <v>0</v>
      </c>
      <c r="IL140" s="6">
        <f>COUNTIFS(Table53[Country],Tabela1[[#This Row],[Country]],Table53[Skeet Classification],"&gt;0")</f>
        <v>0</v>
      </c>
      <c r="IM140" s="6">
        <f>COUNTIFS(Table19[Country],Tabela1[[#This Row],[Country]],Table19[Skeet Classification],"&gt;0")</f>
        <v>0</v>
      </c>
      <c r="IN140" s="6">
        <f>COUNTIFS(Table54[Country],Tabela1[[#This Row],[Country]],Table54[Mixed Skeet Team Classification],"&gt;0")</f>
        <v>0</v>
      </c>
      <c r="IO140" s="6">
        <f>COUNTIFS(Table53[Country],Tabela1[[#This Row],[Country]],Table53[Trap Classification],"&gt;0")</f>
        <v>0</v>
      </c>
      <c r="IP140" s="6">
        <f>COUNTIFS(Table19[Country],Tabela1[[#This Row],[Country]],Table19[Trap Classification],"&gt;0")</f>
        <v>0</v>
      </c>
      <c r="IQ140" s="6">
        <f>COUNTIFS(Table73[Country],Tabela1[[#This Row],[Country]],Table73[Park Classification],"&gt;0")</f>
        <v>0</v>
      </c>
      <c r="IR140" s="6">
        <f>COUNTIFS(Table74[Country],Tabela1[[#This Row],[Country]],Table74[Park Classification],"&gt;0")</f>
        <v>0</v>
      </c>
      <c r="IS140" s="6">
        <f>COUNTIFS(Table73[Country],Tabela1[[#This Row],[Country]],Table73[Street Classification],"&gt;0")</f>
        <v>0</v>
      </c>
      <c r="IT140" s="6">
        <f>COUNTIFS(Table74[Country],Tabela1[[#This Row],[Country]],Table74[Street Classification],"&gt;0")</f>
        <v>0</v>
      </c>
      <c r="IU140" s="6">
        <f>COUNTIFS(Table75[Country],Tabela1[[#This Row],[Country]],Table75[Boulder and Lead Classification],"&gt;0")</f>
        <v>0</v>
      </c>
      <c r="IV140" s="6">
        <f>COUNTIFS(Table76[Country],Tabela1[[#This Row],[Country]],Table76[Boulder and Lead Classification],"&gt;0")</f>
        <v>0</v>
      </c>
      <c r="IW140" s="6">
        <f>COUNTIFS(Table75[Country],Tabela1[[#This Row],[Country]],Table75[Speed Classification],"&gt;0")</f>
        <v>0</v>
      </c>
      <c r="IX140" s="6">
        <f>COUNTIFS(Table76[Country],Tabela1[[#This Row],[Country]],Table76[Speed Classification],"&gt;0")</f>
        <v>0</v>
      </c>
      <c r="IY140" s="6">
        <f>COUNTIFS(Table64[Country],Tabela1[[#This Row],[Country]],Table64[Shortboard Classification],"&gt;0")</f>
        <v>0</v>
      </c>
      <c r="IZ140" s="6">
        <f>COUNTIFS(Table77[Country],Tabela1[[#This Row],[Country]],Table77[Shortboard Classification],"&gt;0")</f>
        <v>0</v>
      </c>
      <c r="JA140" s="6">
        <f>COUNTIFS(Table20[Country],Tabela1[[#This Row],[Country]],Table20[50m Freestyle Classification],"&gt;0")</f>
        <v>0</v>
      </c>
      <c r="JB140" s="6">
        <f>COUNTIFS(Table21[Country],Tabela1[[#This Row],[Country]],Table21[50m Freestyle Classification],"&gt;0")</f>
        <v>0</v>
      </c>
      <c r="JC140" s="6">
        <f>COUNTIFS(Table20[Country],Tabela1[[#This Row],[Country]],Table20[100m Freestyle Classification],"&gt;0")</f>
        <v>0</v>
      </c>
      <c r="JD140" s="6">
        <f>COUNTIFS(Table21[Country],Tabela1[[#This Row],[Country]],Table21[100m Freestyle Classification],"&gt;0")</f>
        <v>0</v>
      </c>
      <c r="JE140" s="6">
        <f>COUNTIFS(Table20[Country],Tabela1[[#This Row],[Country]],Table20[200m Freestyle Classification],"&gt;0")</f>
        <v>0</v>
      </c>
      <c r="JF140" s="6">
        <f>COUNTIFS(Table21[Country],Tabela1[[#This Row],[Country]],Table21[200m Freestyle Classification],"&gt;0")</f>
        <v>0</v>
      </c>
      <c r="JG140" s="6">
        <f>COUNTIFS(Table20[Country],Tabela1[[#This Row],[Country]],Table20[400m Freestyle Classification],"&gt;0")</f>
        <v>0</v>
      </c>
      <c r="JH140" s="6">
        <f>COUNTIFS(Table21[Country],Tabela1[[#This Row],[Country]],Table21[400m Freestyle Classification],"&gt;0")</f>
        <v>0</v>
      </c>
      <c r="JI140" s="6">
        <f>COUNTIFS(Table20[Country],Tabela1[[#This Row],[Country]],Table20[800m Freestyle Classification],"&gt;0")</f>
        <v>0</v>
      </c>
      <c r="JJ140" s="6">
        <f>COUNTIFS(Table21[Country],Tabela1[[#This Row],[Country]],Table21[800m Freestyle Classification],"&gt;0")</f>
        <v>0</v>
      </c>
      <c r="JK140" s="6">
        <f>COUNTIFS(Table20[Country],Tabela1[[#This Row],[Country]],Table20[1500m Freestyle Classification],"&gt;0")</f>
        <v>0</v>
      </c>
      <c r="JL140" s="6">
        <f>COUNTIFS(Table21[Country],Tabela1[[#This Row],[Country]],Table21[1500m Freestyle Classification],"&gt;0")</f>
        <v>0</v>
      </c>
      <c r="JM140" s="6">
        <f>COUNTIFS(Table20[Country],Tabela1[[#This Row],[Country]],Table20[100m Backstroke Classification],"&gt;0")</f>
        <v>0</v>
      </c>
      <c r="JN140" s="6">
        <f>COUNTIFS(Table21[Country],Tabela1[[#This Row],[Country]],Table21[100m Backstroke Classification],"&gt;0")</f>
        <v>0</v>
      </c>
      <c r="JO140" s="6">
        <f>COUNTIFS(Table20[Country],Tabela1[[#This Row],[Country]],Table20[200m Backstroke Classification],"&gt;0")</f>
        <v>0</v>
      </c>
      <c r="JP140" s="6">
        <f>COUNTIFS(Table21[Country],Tabela1[[#This Row],[Country]],Table21[200m Backstroke Classification],"&gt;0")</f>
        <v>0</v>
      </c>
      <c r="JQ140" s="6">
        <f>COUNTIFS(Table20[Country],Tabela1[[#This Row],[Country]],Table20[100m Breaststroke Classification],"&gt;0")</f>
        <v>0</v>
      </c>
      <c r="JR140" s="6">
        <f>COUNTIFS(Table21[Country],Tabela1[[#This Row],[Country]],Table21[100m Breaststroke Classification],"&gt;0")</f>
        <v>0</v>
      </c>
      <c r="JS140" s="6">
        <f>COUNTIFS(Table20[Country],Tabela1[[#This Row],[Country]],Table20[200m Breaststroke Classification],"&gt;0")</f>
        <v>0</v>
      </c>
      <c r="JT140" s="6">
        <f>COUNTIFS(Table21[Country],Tabela1[[#This Row],[Country]],Table21[200m Breaststroke Classification],"&gt;0")</f>
        <v>0</v>
      </c>
      <c r="JU140" s="6">
        <f>COUNTIFS(Table20[Country],Tabela1[[#This Row],[Country]],Table20[100m Butterfly Classification],"&gt;0")</f>
        <v>0</v>
      </c>
      <c r="JV140" s="6">
        <f>COUNTIFS(Table21[Country],Tabela1[[#This Row],[Country]],Table21[100m Butterfly Classification],"&gt;0")</f>
        <v>0</v>
      </c>
      <c r="JW140" s="6">
        <f>COUNTIFS(Table20[Country],Tabela1[[#This Row],[Country]],Table20[200m Butterfly Classification],"&gt;0")</f>
        <v>0</v>
      </c>
      <c r="JX140" s="6">
        <f>COUNTIFS(Table21[Country],Tabela1[[#This Row],[Country]],Table21[200m Butterfly Classification],"&gt;0")</f>
        <v>0</v>
      </c>
      <c r="JY140" s="6">
        <f>COUNTIFS(Table20[Country],Tabela1[[#This Row],[Country]],Table20[200m Medley Classification],"&gt;0")</f>
        <v>0</v>
      </c>
      <c r="JZ140" s="6">
        <f>COUNTIFS(Table21[Country],Tabela1[[#This Row],[Country]],Table21[200m Medley Classification],"&gt;0")</f>
        <v>0</v>
      </c>
      <c r="KA140" s="6">
        <f>COUNTIFS(Table20[Country],Tabela1[[#This Row],[Country]],Table20[400m Medley Classification],"&gt;0")</f>
        <v>0</v>
      </c>
      <c r="KB140" s="6">
        <f>COUNTIFS(Table21[Country],Tabela1[[#This Row],[Country]],Table21[400m Medley Classification],"&gt;0")</f>
        <v>0</v>
      </c>
      <c r="KC140" s="6">
        <f>COUNTIFS(Table78[Country],Tabela1[[#This Row],[Country]],Table78[Men''s 4x100m Freestyle Relay Classification],"&gt;0")</f>
        <v>0</v>
      </c>
      <c r="KD140" s="6">
        <f>COUNTIFS(Table78[Country],Tabela1[[#This Row],[Country]],Table78[Women''s 4x100m Freestyle Relay Classification],"&gt;0")</f>
        <v>0</v>
      </c>
      <c r="KE140" s="6">
        <f>COUNTIFS(Table78[Country],Tabela1[[#This Row],[Country]],Table78[Men''s 4x200m Freestyle Relay Classification],"&gt;0")</f>
        <v>0</v>
      </c>
      <c r="KF140" s="6">
        <f>COUNTIFS(Table78[Country],Tabela1[[#This Row],[Country]],Table78[Women''s 4x200m Freestyle Relay Classification],"&gt;0")</f>
        <v>0</v>
      </c>
      <c r="KG140" s="6">
        <f>COUNTIFS(Table78[Country],Tabela1[[#This Row],[Country]],Table78[Men''s 4x100m Medley Relay Classification],"&gt;0")</f>
        <v>0</v>
      </c>
      <c r="KH140" s="6">
        <f>COUNTIFS(Table78[Country],Tabela1[[#This Row],[Country]],Table78[Women''s 4x100m Medley Relay Classification],"&gt;0")</f>
        <v>0</v>
      </c>
      <c r="KI140" s="6">
        <f>COUNTIFS(Table78[Country],Tabela1[[#This Row],[Country]],Table78[Mixed 4x100m Medley Relay Classification],"&gt;0")</f>
        <v>0</v>
      </c>
      <c r="KJ140" s="6">
        <f>COUNTIFS(Table20[Country],Tabela1[[#This Row],[Country]],Table20[10km Open Water Classification],"&gt;0")</f>
        <v>0</v>
      </c>
      <c r="KK140" s="6">
        <f>COUNTIFS(Table21[Country],Tabela1[[#This Row],[Country]],Table21[10km Open Water Classification],"&gt;0")</f>
        <v>0</v>
      </c>
      <c r="KL140" s="6">
        <f>COUNTIFS(Table22[Country],Tabela1[[#This Row],[Country]],Table22[Classification],"&gt;0")</f>
        <v>0</v>
      </c>
      <c r="KM140" s="6">
        <f>COUNTIFS(Table30[Country],Tabela1[[#This Row],[Country]],Table30[Classification],"&gt;0")</f>
        <v>0</v>
      </c>
      <c r="KN140" s="6">
        <f>COUNTIFS(Table55[Country],Tabela1[[#This Row],[Country]],Table55[Men''s Classification],"&gt;0")</f>
        <v>0</v>
      </c>
      <c r="KO140" s="6">
        <f>COUNTIFS(Table55[Country],Tabela1[[#This Row],[Country]],Table55[Women''s Classification],"&gt;0")</f>
        <v>0</v>
      </c>
      <c r="KP140" s="6">
        <f>COUNTIFS(Table56[Country],Tabela1[[#This Row],[Country]],Table56[Mixed Classification],"&gt;0")</f>
        <v>0</v>
      </c>
      <c r="KQ140" s="6">
        <f>COUNTIFS(Table29[Country],Tabela1[[#This Row],[Country]],Table29[58kg Classification],"&gt;0")</f>
        <v>0</v>
      </c>
      <c r="KR140" s="6">
        <f>COUNTIFS(Table29[Country],Tabela1[[#This Row],[Country]],Table29[68kg Classification],"&gt;0")</f>
        <v>0</v>
      </c>
      <c r="KS140" s="6">
        <f>COUNTIFS(Table29[Country],Tabela1[[#This Row],[Country]],Table29[80kg Classification],"&gt;0")</f>
        <v>0</v>
      </c>
      <c r="KT140" s="6">
        <f>COUNTIFS(Table29[Country],Tabela1[[#This Row],[Country]],Table29[Plus 80kg Classification],"&gt;0")</f>
        <v>0</v>
      </c>
      <c r="KU140" s="6">
        <f>COUNTIFS(Table34[Country],Tabela1[[#This Row],[Country]],Table34[49kg Classification],"&gt;0")</f>
        <v>0</v>
      </c>
      <c r="KV140" s="6">
        <f>COUNTIFS(Table34[Country],Tabela1[[#This Row],[Country]],Table34[57kg Classification],"&gt;0")</f>
        <v>0</v>
      </c>
      <c r="KW140" s="6">
        <f>COUNTIFS(Table34[Country],Tabela1[[#This Row],[Country]],Table34[67kg Classification],"&gt;0")</f>
        <v>0</v>
      </c>
      <c r="KX140" s="6">
        <f>COUNTIFS(Table34[Country],Tabela1[[#This Row],[Country]],Table34[Plus 67kg Classification],"&gt;0")</f>
        <v>0</v>
      </c>
      <c r="KY140" s="6">
        <f>COUNTIFS(Table57[Country],Tabela1[[#This Row],[Country]],Table57[Classification],"&gt;0")</f>
        <v>0</v>
      </c>
      <c r="KZ140" s="6">
        <f>COUNTIFS(Table58[Country],Tabela1[[#This Row],[Country]],Table58[Classification],"&gt;0")</f>
        <v>0</v>
      </c>
      <c r="LA140" s="6">
        <f>COUNTIFS(Table79[Country],Tabela1[[#This Row],[Country]],Table79[Men''s Classification],"&gt;0")</f>
        <v>0</v>
      </c>
      <c r="LB140" s="6">
        <f>COUNTIFS(Table79[Country],Tabela1[[#This Row],[Country]],Table79[Women''s Classification],"&gt;0")</f>
        <v>0</v>
      </c>
      <c r="LC140" s="6">
        <f>COUNTIFS(Table79[Country],Tabela1[[#This Row],[Country]],Table79[Mixed Classification],"&gt;0")</f>
        <v>0</v>
      </c>
      <c r="LD140" s="6">
        <f>COUNTIFS(Table65[Country],Tabela1[[#This Row],[Country]],Table65[Classification],"&gt;0")</f>
        <v>0</v>
      </c>
      <c r="LE140" s="6">
        <f>COUNTIFS(Table59[Country],Tabela1[[#This Row],[Country]],Table59[Classification],"&gt;0")</f>
        <v>0</v>
      </c>
      <c r="LF140" s="6">
        <f>COUNTIFS(Table87[Country],Tabela1[[#This Row],[Country]],Table87[Mixed Relay Classification],"&gt;0")</f>
        <v>0</v>
      </c>
      <c r="LG140" s="6">
        <f>COUNTIFS(Table91949698100[Country],Tabela1[[#This Row],[Country]],Table91949698100[Men''s Classification],"&gt;0")</f>
        <v>0</v>
      </c>
      <c r="LH140" s="6">
        <f>COUNTIFS(Table91949698100[Country],Tabela1[[#This Row],[Country]],Table91949698100[Women''s Classification],"&gt;0")</f>
        <v>0</v>
      </c>
      <c r="LI140" s="6">
        <f>COUNTIFS(Table91949698100102[Country],Tabela1[[#This Row],[Country]],Table91949698100102[Men''s Classification],"&gt;0")</f>
        <v>0</v>
      </c>
      <c r="LJ140" s="6">
        <f>COUNTIFS(Table91949698100102[Country],Tabela1[[#This Row],[Country]],Table91949698100102[Women''s Classification],"&gt;0")</f>
        <v>0</v>
      </c>
      <c r="LK140" s="6">
        <f>COUNTIFS(Table23[Country],Tabela1[[#This Row],[Country]],Table23[61kg Classification],"&gt;0")</f>
        <v>0</v>
      </c>
      <c r="LL140" s="6">
        <f>COUNTIFS(Table23[Country],Tabela1[[#This Row],[Country]],Table23[73kg Classification],"&gt;0")</f>
        <v>0</v>
      </c>
      <c r="LM140" s="6">
        <f>COUNTIFS(Table23[Country],Tabela1[[#This Row],[Country]],Table23[89kg Classification],"&gt;0")</f>
        <v>0</v>
      </c>
      <c r="LN140" s="6">
        <f>COUNTIFS(Table23[Country],Tabela1[[#This Row],[Country]],Table23[102kg Classification],"&gt;0")</f>
        <v>0</v>
      </c>
      <c r="LO140" s="6">
        <f>COUNTIFS(Table23[Country],Tabela1[[#This Row],[Country]],Table23[Plus 102kg Classification],"&gt;0")</f>
        <v>0</v>
      </c>
      <c r="LP140" s="6">
        <f>COUNTIFS(Table28[Country],Tabela1[[#This Row],[Country]],Table28[49kg Classification],"&gt;0")</f>
        <v>0</v>
      </c>
      <c r="LQ140" s="6">
        <f>COUNTIFS(Table28[Country],Tabela1[[#This Row],[Country]],Table28[59kg Classification],"&gt;0")</f>
        <v>0</v>
      </c>
      <c r="LR140" s="6">
        <f>COUNTIFS(Table28[Country],Tabela1[[#This Row],[Country]],Table28[71kg Classification],"&gt;0")</f>
        <v>0</v>
      </c>
      <c r="LS140" s="6">
        <f>COUNTIFS(Table28[Country],Tabela1[[#This Row],[Country]],Table28[81kg Classification],"&gt;0")</f>
        <v>0</v>
      </c>
      <c r="LT140" s="6">
        <f>COUNTIFS(Table28[Country],Tabela1[[#This Row],[Country]],Table28[Plus 81kg Classification],"&gt;0")</f>
        <v>0</v>
      </c>
      <c r="LU140" s="6">
        <f>COUNTIFS(Table24[Country],Tabela1[[#This Row],[Country]],Table24[Freestyle 57kg Classification],"&gt;0")</f>
        <v>0</v>
      </c>
      <c r="LV140" s="6">
        <f>COUNTIFS(Table24[Country],Tabela1[[#This Row],[Country]],Table24[Freestyle 65kg Classification],"&gt;0")</f>
        <v>0</v>
      </c>
      <c r="LW140" s="6">
        <f>COUNTIFS(Table24[Country],Tabela1[[#This Row],[Country]],Table24[Freestyle 74kg Classification],"&gt;0")</f>
        <v>0</v>
      </c>
      <c r="LX140" s="6">
        <f>COUNTIFS(Table24[Country],Tabela1[[#This Row],[Country]],Table24[Freestyle 86kg Classification],"&gt;0")</f>
        <v>0</v>
      </c>
      <c r="LY140" s="6">
        <f>COUNTIFS(Table24[Country],Tabela1[[#This Row],[Country]],Table24[Freestyle 97kg Classification],"&gt;0")</f>
        <v>0</v>
      </c>
      <c r="LZ140" s="6">
        <f>COUNTIFS(Table24[Country],Tabela1[[#This Row],[Country]],Table24[Freestyle 125kg Classification],"&gt;0")</f>
        <v>0</v>
      </c>
      <c r="MA140" s="6">
        <f>COUNTIFS(Table24[Country],Tabela1[[#This Row],[Country]],Table24[Greco-Roman 60kg Classification],"&gt;0")</f>
        <v>0</v>
      </c>
      <c r="MB140" s="6">
        <f>COUNTIFS(Table24[Country],Tabela1[[#This Row],[Country]],Table24[Greco-Roman 67kg Classification],"&gt;0")</f>
        <v>0</v>
      </c>
      <c r="MC140" s="6">
        <f>COUNTIFS(Table24[Country],Tabela1[[#This Row],[Country]],Table24[Greco-Roman 77kg Classification],"&gt;0")</f>
        <v>0</v>
      </c>
      <c r="MD140" s="6">
        <f>COUNTIFS(Table24[Country],Tabela1[[#This Row],[Country]],Table24[Greco-Roman 87kg Classification],"&gt;0")</f>
        <v>0</v>
      </c>
      <c r="ME140" s="6">
        <f>COUNTIFS(Table24[Country],Tabela1[[#This Row],[Country]],Table24[Greco-Roman 97kg Classification],"&gt;0")</f>
        <v>0</v>
      </c>
      <c r="MF140" s="6">
        <f>COUNTIFS(Table24[Country],Tabela1[[#This Row],[Country]],Table24[Greco-Roman 130kg Classification],"&gt;0")</f>
        <v>0</v>
      </c>
      <c r="MG140" s="6">
        <f>COUNTIFS(Table31[Country],Tabela1[[#This Row],[Country]],Table31[50kg Classification],"&gt;0")</f>
        <v>0</v>
      </c>
      <c r="MH140" s="6">
        <f>COUNTIFS(Table31[Country],Tabela1[[#This Row],[Country]],Table31[53kg Classification],"&gt;0")</f>
        <v>0</v>
      </c>
      <c r="MI140" s="6">
        <f>COUNTIFS(Table31[Country],Tabela1[[#This Row],[Country]],Table31[57kg Classification],"&gt;0")</f>
        <v>0</v>
      </c>
      <c r="MJ140" s="6">
        <f>COUNTIFS(Table31[Country],Tabela1[[#This Row],[Country]],Table31[62kg Classification],"&gt;0")</f>
        <v>0</v>
      </c>
      <c r="MK140" s="6">
        <f>COUNTIFS(Table31[Country],Tabela1[[#This Row],[Country]],Table31[68kg Classification],"&gt;0")</f>
        <v>0</v>
      </c>
      <c r="ML140" s="6">
        <f>COUNTIFS(Table31[Country],Tabela1[[#This Row],[Country]],Table31[76kg Classification],"&gt;0")</f>
        <v>0</v>
      </c>
      <c r="MM140" s="6">
        <f>COUNTIFS(Table102[Country],Tabela1[[#This Row],[Country]],Table102[Downhill Classification],"&gt;0")</f>
        <v>0</v>
      </c>
      <c r="MN140" s="6">
        <f>COUNTIFS(Table102105[Country],Tabela1[[#This Row],[Country]],Table102105[Downhill Classification],"&gt;0")</f>
        <v>0</v>
      </c>
      <c r="MO140" s="6">
        <f>COUNTIFS(Table102[Country],Tabela1[[#This Row],[Country]],Table102[Giant Slalom Classification],"&gt;0")</f>
        <v>0</v>
      </c>
      <c r="MP140" s="6">
        <f>COUNTIFS(Table102105[Country],Tabela1[[#This Row],[Country]],Table102105[Giant Slalom Classification],"&gt;0")</f>
        <v>0</v>
      </c>
      <c r="MQ140" s="6">
        <f>COUNTIFS(Table102[Country],Tabela1[[#This Row],[Country]],Table102[Slalom Classification],"&gt;0")</f>
        <v>0</v>
      </c>
      <c r="MR140" s="6">
        <f>COUNTIFS(Table102105[Country],Tabela1[[#This Row],[Country]],Table102105[Slalom Classification],"&gt;0")</f>
        <v>0</v>
      </c>
      <c r="MS140" s="6">
        <f>COUNTIFS(Table102[Country],Tabela1[[#This Row],[Country]],Table102[Super-G Classification],"&gt;0")</f>
        <v>0</v>
      </c>
      <c r="MT140" s="6">
        <f>COUNTIFS(Table102105[Country],Tabela1[[#This Row],[Country]],Table102105[Super-G Classification],"&gt;0")</f>
        <v>0</v>
      </c>
      <c r="MU140" s="6">
        <f>COUNTIFS(Table105[Country],Tabela1[[#This Row],[Country]],Table105[Men''s Combined Classification],"&gt;0")</f>
        <v>0</v>
      </c>
      <c r="MV140" s="6">
        <f>COUNTIFS(Table105[Country],Tabela1[[#This Row],[Country]],Table105[Women''s Combined Classification],"&gt;0")</f>
        <v>0</v>
      </c>
      <c r="MW140" s="6">
        <f>COUNTIFS(Table106[Country],Tabela1[[#This Row],[Country]],Table106[Individual Classification],"&gt;0")</f>
        <v>0</v>
      </c>
      <c r="MX140" s="6">
        <f>COUNTIFS(Table106109[Country],Tabela1[[#This Row],[Country]],Table106109[Individual Classification],"&gt;0")</f>
        <v>0</v>
      </c>
      <c r="MY140" s="6">
        <f>COUNTIFS(Table106[Country],Tabela1[[#This Row],[Country]],Table106[Mass Start Classification],"&gt;0")</f>
        <v>0</v>
      </c>
      <c r="MZ140" s="6">
        <f>COUNTIFS(Table106109[Country],Tabela1[[#This Row],[Country]],Table106109[Mass Start Classification],"&gt;0")</f>
        <v>0</v>
      </c>
      <c r="NA140" s="6">
        <f>COUNTIFS(Table106[Country],Tabela1[[#This Row],[Country]],Table106[Pursuit Classification],"&gt;0")</f>
        <v>0</v>
      </c>
      <c r="NB140" s="6">
        <f>COUNTIFS(Table106109[Country],Tabela1[[#This Row],[Country]],Table106109[Pursuit Classification],"&gt;0")</f>
        <v>0</v>
      </c>
      <c r="NC140" s="6">
        <f>COUNTIFS(Table106[Country],Tabela1[[#This Row],[Country]],Table106[Sprint Classification],"&gt;0")</f>
        <v>0</v>
      </c>
      <c r="ND140" s="6">
        <f>COUNTIFS(Table106109[Country],Tabela1[[#This Row],[Country]],Table106109[Sprint Classification],"&gt;0")</f>
        <v>0</v>
      </c>
      <c r="NE140" s="6">
        <f>COUNTIFS(Table109[Country],Tabela1[[#This Row],[Country]],Table109[Men''s Relay Classification],"&gt;0")</f>
        <v>0</v>
      </c>
      <c r="NF140" s="6">
        <f>COUNTIFS(Table109[Country],Tabela1[[#This Row],[Country]],Table109[Women''s Relay Classification],"&gt;0")</f>
        <v>0</v>
      </c>
      <c r="NG140" s="6">
        <f>COUNTIFS(Table109[Country],Tabela1[[#This Row],[Country]],Table109[Mixed Relay Classification],"&gt;0")</f>
        <v>0</v>
      </c>
      <c r="NH140" s="6">
        <f>COUNTIFS(Table110[Country],Tabela1[[#This Row],[Country]],Table110[Monobob Classification],"&gt;0")</f>
        <v>0</v>
      </c>
      <c r="NI140" s="6">
        <f>COUNTIFS(Table111[Country],Tabela1[[#This Row],[Country]],Table111[Men''s Classification],"&gt;0")</f>
        <v>0</v>
      </c>
      <c r="NJ140" s="6">
        <f>COUNTIFS(Table111[Country],Tabela1[[#This Row],[Country]],Table111[Women''s Classification],"&gt;0")</f>
        <v>0</v>
      </c>
      <c r="NK140" s="6">
        <f>COUNTIFS(Table112[Country],Tabela1[[#This Row],[Country]],Table112[Men''s Four Classification],"&gt;0")</f>
        <v>0</v>
      </c>
      <c r="NL140" s="6">
        <f>COUNTIFS(Table113[Country],Tabela1[[#This Row],[Country]],Table113[Classical Classification],"&gt;0")</f>
        <v>0</v>
      </c>
      <c r="NM140" s="6">
        <f>COUNTIFS(Table113116[Country],Tabela1[[#This Row],[Country]],Table113116[Classical Classification],"&gt;0")</f>
        <v>0</v>
      </c>
      <c r="NN140" s="6">
        <f>COUNTIFS(Table113[Country],Tabela1[[#This Row],[Country]],Table113[Freestyle Classification],"&gt;0")</f>
        <v>0</v>
      </c>
      <c r="NO140" s="6">
        <f>COUNTIFS(Table113116[Country],Tabela1[[#This Row],[Country]],Table113116[Freestyle Classification],"&gt;0")</f>
        <v>0</v>
      </c>
      <c r="NP140" s="6">
        <f>COUNTIFS(Table117[Country],Tabela1[[#This Row],[Country]],Table117[Men''s Relay Classification],"&gt;0")</f>
        <v>0</v>
      </c>
      <c r="NQ140" s="6">
        <f>COUNTIFS(Table117[Country],Tabela1[[#This Row],[Country]],Table117[Women''s Relay Classification],"&gt;0")</f>
        <v>0</v>
      </c>
      <c r="NR140" s="6">
        <f>COUNTIFS(Table113[Country],Tabela1[[#This Row],[Country]],Table113[Skiathlon Classification],"&gt;0")</f>
        <v>0</v>
      </c>
      <c r="NS140" s="6">
        <f>COUNTIFS(Table113116[Country],Tabela1[[#This Row],[Country]],Table113116[Skiathlon Classification],"&gt;0")</f>
        <v>0</v>
      </c>
      <c r="NT140" s="6">
        <f>COUNTIFS(Table113[Country],Tabela1[[#This Row],[Country]],Table113[Sprint Classification],"&gt;0")</f>
        <v>0</v>
      </c>
      <c r="NU140" s="6">
        <f>COUNTIFS(Table113116[Country],Tabela1[[#This Row],[Country]],Table113116[Sprint Classification],"&gt;0")</f>
        <v>0</v>
      </c>
      <c r="NV140" s="6">
        <f>COUNTIFS(Table116[Country],Tabela1[[#This Row],[Country]],Table116[Men''s Team Sprint Classification],"&gt;0")</f>
        <v>0</v>
      </c>
      <c r="NW140" s="6">
        <f>COUNTIFS(Table116[Country],Tabela1[[#This Row],[Country]],Table116[Women''s Team Sprint Classification],"&gt;0")</f>
        <v>0</v>
      </c>
      <c r="NX140" s="6">
        <f>COUNTIFS(Table119[Country],Tabela1[[#This Row],[Country]],Table119[Men''s Classification],"&gt;0")</f>
        <v>0</v>
      </c>
      <c r="NY140" s="6">
        <f>COUNTIFS(Table119[Country],Tabela1[[#This Row],[Country]],Table119[Women''s Classification],"&gt;0")</f>
        <v>0</v>
      </c>
      <c r="NZ140" s="6">
        <f>COUNTIFS(Table118[Country],Tabela1[[#This Row],[Country]],Table118[Mixed Classification],"&gt;0")</f>
        <v>0</v>
      </c>
      <c r="OA140" s="6">
        <f>COUNTIFS(Table120[Country],Tabela1[[#This Row],[Country]],Table120[Classification],"&gt;0")</f>
        <v>0</v>
      </c>
      <c r="OB140" s="6">
        <f>COUNTIFS(Table120123[Country],Tabela1[[#This Row],[Country]],Table120123[Classification],"&gt;0")</f>
        <v>0</v>
      </c>
      <c r="OC140" s="6">
        <f>COUNTIFS(Table123[Country],Tabela1[[#This Row],[Country]],Table123[Ice Dance Classification],"&gt;0")</f>
        <v>0</v>
      </c>
      <c r="OD140" s="6">
        <f>COUNTIFS(Table123[Country],Tabela1[[#This Row],[Country]],Table123[Pair Skating Classification],"&gt;0")</f>
        <v>0</v>
      </c>
      <c r="OE140" s="6">
        <f>COUNTIFS(Table124[Country],Tabela1[[#This Row],[Country]],Table124[Mixed Classification],"&gt;0")</f>
        <v>0</v>
      </c>
      <c r="OF140" s="6">
        <f>COUNTIFS(Table125[Country],Tabela1[[#This Row],[Country]],Table125[Aerials Classification],"&gt;0")</f>
        <v>0</v>
      </c>
      <c r="OG140" s="6">
        <f>COUNTIFS(Table125128[Country],Tabela1[[#This Row],[Country]],Table125128[Aerials Classification],"&gt;0")</f>
        <v>0</v>
      </c>
      <c r="OH140" s="6">
        <f>COUNTIFS(Table128[Country],Tabela1[[#This Row],[Country]],Table128[Mixed Aerials Classification],"&gt;0")</f>
        <v>0</v>
      </c>
      <c r="OI140" s="6">
        <f>COUNTIFS(Table125[Country],Tabela1[[#This Row],[Country]],Table125[Big Air Classification],"&gt;0")</f>
        <v>0</v>
      </c>
      <c r="OJ140" s="6">
        <f>COUNTIFS(Table125128[Country],Tabela1[[#This Row],[Country]],Table125128[Big Air Classification],"&gt;0")</f>
        <v>0</v>
      </c>
      <c r="OK140" s="6">
        <f>COUNTIFS(Table125[Country],Tabela1[[#This Row],[Country]],Table125[Dual Moguls Classification],"&gt;0")</f>
        <v>0</v>
      </c>
      <c r="OL140" s="6">
        <f>COUNTIFS(Table125128[Country],Tabela1[[#This Row],[Country]],Table125128[Dual Moguls Classification],"&gt;0")</f>
        <v>0</v>
      </c>
      <c r="OM140" s="6">
        <f>COUNTIFS(Table125[Country],Tabela1[[#This Row],[Country]],Table125[Halfpipe Classification],"&gt;0")</f>
        <v>0</v>
      </c>
      <c r="ON140" s="6">
        <f>COUNTIFS(Table125128[Country],Tabela1[[#This Row],[Country]],Table125128[Halfpipe Classification],"&gt;0")</f>
        <v>0</v>
      </c>
      <c r="OO140" s="6">
        <f>COUNTIFS(Table125[Country],Tabela1[[#This Row],[Country]],Table125[Moguls Classification],"&gt;0")</f>
        <v>0</v>
      </c>
      <c r="OP140" s="6">
        <f>COUNTIFS(Table125128[Country],Tabela1[[#This Row],[Country]],Table125128[Moguls Classification],"&gt;0")</f>
        <v>0</v>
      </c>
      <c r="OQ140" s="6">
        <f>COUNTIFS(Table125[Country],Tabela1[[#This Row],[Country]],Table125[Ski Cross Classification],"&gt;0")</f>
        <v>0</v>
      </c>
      <c r="OR140" s="6">
        <f>COUNTIFS(Table125128[Country],Tabela1[[#This Row],[Country]],Table125128[Ski Cross Classification],"&gt;0")</f>
        <v>0</v>
      </c>
      <c r="OS140" s="6">
        <f>COUNTIFS(Table125[Country],Tabela1[[#This Row],[Country]],Table125[Slopestyle Classification],"&gt;0")</f>
        <v>0</v>
      </c>
      <c r="OT140" s="6">
        <f>COUNTIFS(Table125128[Country],Tabela1[[#This Row],[Country]],Table125128[Slopestyle Classification],"&gt;0")</f>
        <v>0</v>
      </c>
      <c r="OU140" s="6">
        <f>COUNTIFS(Table119131[Country],Tabela1[[#This Row],[Country]],Table119131[Men''s Classification],"&gt;0")</f>
        <v>0</v>
      </c>
      <c r="OV140" s="6">
        <f>COUNTIFS(Table119131[Country],Tabela1[[#This Row],[Country]],Table119131[Women''s Classification],"&gt;0")</f>
        <v>0</v>
      </c>
      <c r="OW140" s="6">
        <f>COUNTIFS(Table131[Country],Tabela1[[#This Row],[Country]],Table131[Classification],"&gt;0")</f>
        <v>0</v>
      </c>
      <c r="OX140" s="6">
        <f>COUNTIFS(Table131134[Country],Tabela1[[#This Row],[Country]],Table131134[Classification],"&gt;0")</f>
        <v>0</v>
      </c>
      <c r="OY140" s="6">
        <f>COUNTIFS(Table134[Country],Tabela1[[#This Row],[Country]],Table134[Men''s Classification],"&gt;0")</f>
        <v>0</v>
      </c>
      <c r="OZ140" s="6">
        <f>COUNTIFS(Table134[Country],Tabela1[[#This Row],[Country]],Table134[Women''s Classification],"&gt;0")</f>
        <v>0</v>
      </c>
      <c r="PA140" s="6">
        <f>COUNTIFS(Table135[Country],Tabela1[[#This Row],[Country]],Table135[Mixed Relay Classification],"&gt;0")</f>
        <v>0</v>
      </c>
      <c r="PB140" s="6">
        <f>COUNTIFS(Table136[Country],Tabela1[[#This Row],[Country]],Table136[Individual Classification],"&gt;0")</f>
        <v>0</v>
      </c>
      <c r="PC140" s="6">
        <f>COUNTIFS(Table136[Country],Tabela1[[#This Row],[Country]],Table136[Sprint Classification],"&gt;0")</f>
        <v>0</v>
      </c>
      <c r="PD140" s="6">
        <f>COUNTIFS(Table137[Country],Tabela1[[#This Row],[Country]],Table137[Men''s Team Sprint Large Hill Classification],"&gt;0")</f>
        <v>0</v>
      </c>
      <c r="PE140" s="6">
        <f>COUNTIFS(Table138[Country],Tabela1[[#This Row],[Country]],Table138[500m Classification],"&gt;0")</f>
        <v>0</v>
      </c>
      <c r="PF140" s="6">
        <f>COUNTIFS(Table138141[Country],Tabela1[[#This Row],[Country]],Table138141[500m Classification],"&gt;0")</f>
        <v>0</v>
      </c>
      <c r="PG140" s="6">
        <f>COUNTIFS(Table138[Country],Tabela1[[#This Row],[Country]],Table138[1000m Classification],"&gt;0")</f>
        <v>0</v>
      </c>
      <c r="PH140" s="6">
        <f>COUNTIFS(Table138141[Country],Tabela1[[#This Row],[Country]],Table138141[1000m Classification],"&gt;0")</f>
        <v>0</v>
      </c>
      <c r="PI140" s="6">
        <f>COUNTIFS(Table138[Country],Tabela1[[#This Row],[Country]],Table138[1500m Classification],"&gt;0")</f>
        <v>0</v>
      </c>
      <c r="PJ140" s="6">
        <f>COUNTIFS(Table138141[Country],Tabela1[[#This Row],[Country]],Table138141[1500m Classification],"&gt;0")</f>
        <v>0</v>
      </c>
      <c r="PK140" s="6">
        <f>COUNTIFS(Table141[Country],Tabela1[[#This Row],[Country]],Table141[Men''s 5000m Relay Classification],"&gt;0")</f>
        <v>0</v>
      </c>
      <c r="PL140" s="6">
        <f>COUNTIFS(Table141[Country],Tabela1[[#This Row],[Country]],Table141[Women''s 3000m Relay Classification],"&gt;0")</f>
        <v>0</v>
      </c>
      <c r="PM140" s="6">
        <f>COUNTIFS(Table141[Country],Tabela1[[#This Row],[Country]],Table141[Mixed 2000m Relay Classification],"&gt;0")</f>
        <v>0</v>
      </c>
      <c r="PN140" s="6">
        <f>COUNTIFS(Table142[Country],Tabela1[[#This Row],[Country]],Table142[Classification],"&gt;0")</f>
        <v>0</v>
      </c>
      <c r="PO140" s="6">
        <f>COUNTIFS(Table142145[Country],Tabela1[[#This Row],[Country]],Table142145[Classification],"&gt;0")</f>
        <v>0</v>
      </c>
      <c r="PP140" s="6">
        <f>COUNTIFS(Tabela15[Country],Tabela1[[#This Row],[Country]],Tabela15[Mixed Team Classification],"&gt;0")</f>
        <v>0</v>
      </c>
      <c r="PQ140" s="6">
        <f>COUNTIFS(Table145[Country],Tabela1[[#This Row],[Country]],Table145[Large Hill Classification],"&gt;0")</f>
        <v>0</v>
      </c>
      <c r="PR140" s="6">
        <f>COUNTIFS(Table145[Country],Tabela1[[#This Row],[Country]],Table145[Normal Hill Classification],"&gt;0")</f>
        <v>0</v>
      </c>
      <c r="PS140" s="6">
        <f>COUNTIFS(Table145148[Country],Tabela1[[#This Row],[Country]],Table145148[Large Hill Classification],"&gt;0")</f>
        <v>0</v>
      </c>
      <c r="PT140" s="6">
        <f>COUNTIFS(Table145148[Country],Tabela1[[#This Row],[Country]],Table145148[Normal Hill Classification],"&gt;0")</f>
        <v>0</v>
      </c>
      <c r="PU140" s="6">
        <f>COUNTIFS(Table148[Country],Tabela1[[#This Row],[Country]],Table148[Men''s Super Team Classification],"&gt;0")</f>
        <v>0</v>
      </c>
      <c r="PV140" s="6">
        <f>COUNTIFS(Tabela114[Country],Tabela1[[#This Row],[Country]],Tabela114[Mixed Normal Hill Classification],"&gt;0")</f>
        <v>0</v>
      </c>
      <c r="PW140" s="6">
        <f>COUNTIFS(Tabela50[Country],Tabela1[[#This Row],[Country]],Tabela50[Sprint Classification],"&gt;0")</f>
        <v>0</v>
      </c>
      <c r="PX140" s="6">
        <f>COUNTIFS(Tabela50101[Country],Tabela1[[#This Row],[Country]],Tabela50101[Sprint Classification],"&gt;0")</f>
        <v>0</v>
      </c>
      <c r="PY140" s="6">
        <f>COUNTIFS(Tabela103[Country],Tabela1[[#This Row],[Country]],Tabela103[Mixed Relay Classification],"&gt;0")</f>
        <v>0</v>
      </c>
      <c r="PZ140" s="6">
        <f>COUNTIFS(Table149[Country],Tabela1[[#This Row],[Country]],Table149[Big Air Classification],"&gt;0")</f>
        <v>0</v>
      </c>
      <c r="QA140" s="6">
        <f>COUNTIFS(Table149152[Country],Tabela1[[#This Row],[Country]],Table149152[Big Air Classification],"&gt;0")</f>
        <v>0</v>
      </c>
      <c r="QB140" s="6">
        <f>COUNTIFS(Table149[Country],Tabela1[[#This Row],[Country]],Table149[Halfpipe Classification],"&gt;0")</f>
        <v>0</v>
      </c>
      <c r="QC140" s="6">
        <f>COUNTIFS(Table149152[Country],Tabela1[[#This Row],[Country]],Table149152[Halfpipe Classification],"&gt;0")</f>
        <v>0</v>
      </c>
      <c r="QD140" s="6">
        <f>COUNTIFS(Table149[Country],Tabela1[[#This Row],[Country]],Table149[Parallel Giant Slalom Classification],"&gt;0")</f>
        <v>0</v>
      </c>
      <c r="QE140" s="6">
        <f>COUNTIFS(Table149152[Country],Tabela1[[#This Row],[Country]],Table149152[Parallel Giant Slalom Classification],"&gt;0")</f>
        <v>0</v>
      </c>
      <c r="QF140" s="6">
        <f>COUNTIFS(Table149[Country],Tabela1[[#This Row],[Country]],Table149[Slopestyle Classification],"&gt;0")</f>
        <v>0</v>
      </c>
      <c r="QG140" s="6">
        <f>COUNTIFS(Table149152[Country],Tabela1[[#This Row],[Country]],Table149152[Slopestyle Classification],"&gt;0")</f>
        <v>0</v>
      </c>
      <c r="QH140" s="6">
        <f>COUNTIFS(Table149[Country],Tabela1[[#This Row],[Country]],Table149[Snowboard Cross Classification],"&gt;0")</f>
        <v>0</v>
      </c>
      <c r="QI140" s="6">
        <f>COUNTIFS(Table149152[Country],Tabela1[[#This Row],[Country]],Table149152[Snowboard Cross Classification],"&gt;0")</f>
        <v>0</v>
      </c>
      <c r="QJ140" s="6">
        <f>COUNTIFS(Table153[Country],Tabela1[[#This Row],[Country]],Table153[Mixed Team Snowboard Cross Classification],"&gt;0")</f>
        <v>0</v>
      </c>
      <c r="QK140" s="6">
        <f>COUNTIFS(Table154[Country],Tabela1[[#This Row],[Country]],Table154[500m Classification],"&gt;0")</f>
        <v>0</v>
      </c>
      <c r="QL140" s="6">
        <f>COUNTIFS(Table154157[Country],Tabela1[[#This Row],[Country]],Table154157[500m Classification],"&gt;0")</f>
        <v>0</v>
      </c>
      <c r="QM140" s="6">
        <f>COUNTIFS(Table154[Country],Tabela1[[#This Row],[Country]],Table154[1000m Classification],"&gt;0")</f>
        <v>0</v>
      </c>
      <c r="QN140" s="6">
        <f>COUNTIFS(Table154157[Country],Tabela1[[#This Row],[Country]],Table154157[1000m Classification],"&gt;0")</f>
        <v>0</v>
      </c>
      <c r="QO140" s="6">
        <f>COUNTIFS(Table154[Country],Tabela1[[#This Row],[Country]],Table154[1500m Classification],"&gt;0")</f>
        <v>0</v>
      </c>
      <c r="QP140" s="6">
        <f>COUNTIFS(Table154157[Country],Tabela1[[#This Row],[Country]],Table154157[1500m Classification],"&gt;0")</f>
        <v>0</v>
      </c>
      <c r="QQ140" s="6">
        <f>COUNTIFS(Table154157[Country],Tabela1[[#This Row],[Country]],Table154157[3000m Classification],"&gt;0")</f>
        <v>0</v>
      </c>
      <c r="QR140" s="6">
        <f>COUNTIFS(Table154[Country],Tabela1[[#This Row],[Country]],Table154[5000m Classification],"&gt;0")</f>
        <v>0</v>
      </c>
      <c r="QS140" s="6">
        <f>COUNTIFS(Table154157[Country],Tabela1[[#This Row],[Country]],Table154157[5000m Classification],"&gt;0")</f>
        <v>0</v>
      </c>
      <c r="QT140" s="6">
        <f>COUNTIFS(Table154[Country],Tabela1[[#This Row],[Country]],Table154[10000m Classification],"&gt;0")</f>
        <v>0</v>
      </c>
      <c r="QU140" s="6">
        <f>COUNTIFS(Table154[Country],Tabela1[[#This Row],[Country]],Table154[Mass Start Classification],"&gt;0")</f>
        <v>0</v>
      </c>
      <c r="QV140" s="6">
        <f>COUNTIFS(Table154157[Country],Tabela1[[#This Row],[Country]],Table154157[Mass Start Classification],"&gt;0")</f>
        <v>0</v>
      </c>
      <c r="QW140" s="6">
        <f>COUNTIFS(Table157[Country],Tabela1[[#This Row],[Country]],Table157[Men''s Pursuit Classification],"&gt;0")</f>
        <v>0</v>
      </c>
      <c r="QX140" s="6">
        <f>COUNTIFS(Table157[Country],Tabela1[[#This Row],[Country]],Table157[Women''s Pursuit Classification],"&gt;0")</f>
        <v>0</v>
      </c>
      <c r="QY140" s="4" t="s">
        <v>651</v>
      </c>
    </row>
    <row r="141" spans="1:467" x14ac:dyDescent="0.3">
      <c r="A141" s="6">
        <v>140</v>
      </c>
      <c r="B141" s="6" t="s">
        <v>486</v>
      </c>
      <c r="C141" t="e" vm="140">
        <f>IF(ISBLANK(Tabela1[[#This Row],[Image Link]]), "", _xlfn.IMAGE(Tabela1[[#This Row],[Image Link]],1,1))</f>
        <v>#VALUE!</v>
      </c>
      <c r="D141" s="6">
        <f>SUM(Tabela1[[#This Row],[Archery - Men''s Individual Recurve]:[Speed Skating - Women''s Team Pursuit]])</f>
        <v>1</v>
      </c>
      <c r="E141" s="6">
        <f>COUNTIF(Tabela1[[#This Row],[Archery - Men''s Individual Recurve]:[Speed Skating - Women''s Team Pursuit]],"&gt;0")</f>
        <v>1</v>
      </c>
      <c r="F141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41" s="6">
        <f>SUM(Tabela1[[#This Row],[Archery - Men''s Individual Recurve]:[Wrestling - Women''s Freestyle 76kg]])</f>
        <v>1</v>
      </c>
      <c r="H141" s="6">
        <f>SUM(Tabela1[[#This Row],[Alpine Skiing - Men''s Downhill]:[Speed Skating - Women''s Team Pursuit]])</f>
        <v>0</v>
      </c>
      <c r="I141" s="6">
        <f>Tabela1[[#This Row],[Summer Gold Medals]]+Tabela1[[#This Row],[Winter Gold Medals]]</f>
        <v>0</v>
      </c>
      <c r="J141" s="6">
        <f>Tabela1[[#This Row],[Summer Silver Medals]]+Tabela1[[#This Row],[Winter Silver Medals]]</f>
        <v>0</v>
      </c>
      <c r="K141" s="6">
        <f>Tabela1[[#This Row],[Summer Bronze Medals]]+Tabela1[[#This Row],[Winter Bronze Medals]]</f>
        <v>0</v>
      </c>
      <c r="L141" s="6">
        <f>SUM(Tabela1[[#This Row],[Total Gold Medals]:[Total Bronze Medals]])</f>
        <v>0</v>
      </c>
      <c r="M141" s="6"/>
      <c r="N141" s="6"/>
      <c r="O141" s="6"/>
      <c r="P141" s="6">
        <f>SUM(Tabela1[[#This Row],[Summer Gold Medals]:[Summer Bronze Medals]])</f>
        <v>0</v>
      </c>
      <c r="Q141" s="6"/>
      <c r="R141" s="6"/>
      <c r="S141" s="6"/>
      <c r="T141" s="6">
        <f>Tabela1[[#This Row],[Winter Gold Medals]]+Tabela1[[#This Row],[Winter Silver Medals]]+Tabela1[[#This Row],[Winter Bronze Medals]]</f>
        <v>0</v>
      </c>
      <c r="U141" s="7">
        <f>Tabela1[[#This Row],[Total Medals]]/Tabela1[[#This Row],[Total Quotas]]</f>
        <v>0</v>
      </c>
      <c r="V141" s="6">
        <f>COUNTIFS(Table3[Country],Tabela1[[#This Row],[Country]],Table3[Recurve Classification],"&gt;0")</f>
        <v>0</v>
      </c>
      <c r="W141" s="6">
        <f>COUNTIFS(Table33[Country],Tabela1[[#This Row],[Country]],Table33[Recurve Classification],"&gt;0")</f>
        <v>0</v>
      </c>
      <c r="X141" s="6">
        <f>COUNTIFS(Table35[Country],Tabela1[[#This Row],[Country]],Table35[Men''s Team Recurve Classification],"&gt;0")</f>
        <v>0</v>
      </c>
      <c r="Y141" s="6">
        <f>COUNTIFS(Table35[Country],Tabela1[[#This Row],[Country]],Table35[Women''s Team Recurve Classification],"&gt;0")</f>
        <v>0</v>
      </c>
      <c r="Z141" s="6">
        <f>COUNTIFS(Tabela88[Country],Tabela1[[#This Row],[Country]],Tabela88[Mixed Team Recurve Classification],"&gt;0")</f>
        <v>0</v>
      </c>
      <c r="AA141" s="6">
        <f>COUNTIFS(Table36[Country],Tabela1[[#This Row],[Country]],Table36[Classification],"&gt;0")</f>
        <v>0</v>
      </c>
      <c r="AB141" s="6">
        <f>COUNTIFS(Table37[Country],Tabela1[[#This Row],[Country]],Table37[Classification],"&gt;0")</f>
        <v>0</v>
      </c>
      <c r="AC141" s="6">
        <f>COUNTIFS(Table4[Country],Tabela1[[#This Row],[Country]],Table4[100m Classification],"&gt;0")</f>
        <v>0</v>
      </c>
      <c r="AD141" s="6">
        <f>COUNTIFS(Table5[Country],Tabela1[[#This Row],[Country]],Table5[100m Classification],"&gt;0")</f>
        <v>0</v>
      </c>
      <c r="AE141" s="6">
        <f>COUNTIFS(Table4[Country],Tabela1[[#This Row],[Country]],Table4[200m Classification],"&gt;0")</f>
        <v>0</v>
      </c>
      <c r="AF141" s="6">
        <f>COUNTIFS(Table5[Country],Tabela1[[#This Row],[Country]],Table5[200m Classification],"&gt;0")</f>
        <v>0</v>
      </c>
      <c r="AG141" s="6">
        <f>COUNTIFS(Table4[Country],Tabela1[[#This Row],[Country]],Table4[400m Classification],"&gt;0")</f>
        <v>0</v>
      </c>
      <c r="AH141" s="6">
        <f>COUNTIFS(Table5[Country],Tabela1[[#This Row],[Country]],Table5[400m Classification],"&gt;0")</f>
        <v>0</v>
      </c>
      <c r="AI141" s="6">
        <f>COUNTIFS(Table4[Country],Tabela1[[#This Row],[Country]],Table4[800m Classification],"&gt;0")</f>
        <v>0</v>
      </c>
      <c r="AJ141" s="6">
        <f>COUNTIFS(Table5[Country],Tabela1[[#This Row],[Country]],Table5[800m Classification],"&gt;0")</f>
        <v>0</v>
      </c>
      <c r="AK141" s="6">
        <f>COUNTIFS(Table4[Country],Tabela1[[#This Row],[Country]],Table4[1500m Classification],"&gt;0")</f>
        <v>0</v>
      </c>
      <c r="AL141" s="6">
        <f>COUNTIFS(Table5[Country],Tabela1[[#This Row],[Country]],Table5[1500m Classification],"&gt;0")</f>
        <v>0</v>
      </c>
      <c r="AM141" s="6">
        <f>COUNTIFS(Table4[Country],Tabela1[[#This Row],[Country]],Table4[5000m Classification],"&gt;0")</f>
        <v>0</v>
      </c>
      <c r="AN141" s="6">
        <f>COUNTIFS(Table5[Country],Tabela1[[#This Row],[Country]],Table5[5000m Classification],"&gt;0")</f>
        <v>0</v>
      </c>
      <c r="AO141" s="6">
        <f>COUNTIFS(Table4[Country],Tabela1[[#This Row],[Country]],Table4[10000m Classification],"&gt;0")</f>
        <v>0</v>
      </c>
      <c r="AP141" s="6">
        <f>COUNTIFS(Table5[Country],Tabela1[[#This Row],[Country]],Table5[10000m Classification],"&gt;0")</f>
        <v>0</v>
      </c>
      <c r="AQ141" s="6">
        <f>COUNTIFS(Table4[Country],Tabela1[[#This Row],[Country]],Table4[110m Hurdles Classification],"&gt;0")</f>
        <v>0</v>
      </c>
      <c r="AR141" s="6">
        <f>COUNTIFS(Table5[Country],Tabela1[[#This Row],[Country]],Table5[100m Hurdles Classification],"&gt;0")</f>
        <v>0</v>
      </c>
      <c r="AS141" s="6">
        <f>COUNTIFS(Table4[Country],Tabela1[[#This Row],[Country]],Table4[400m Hurdles Classification],"&gt;0")</f>
        <v>0</v>
      </c>
      <c r="AT141" s="6">
        <f>COUNTIFS(Table5[Country],Tabela1[[#This Row],[Country]],Table5[400m Hurdles Classification],"&gt;0")</f>
        <v>0</v>
      </c>
      <c r="AU141" s="6">
        <f>COUNTIFS(Table4[Country],Tabela1[[#This Row],[Country]],Table4[3000m Steeplechase Classification],"&gt;0")</f>
        <v>0</v>
      </c>
      <c r="AV141" s="6">
        <f>COUNTIFS(Table5[Country],Tabela1[[#This Row],[Country]],Table5[3000m Steeplechase Classification],"&gt;0")</f>
        <v>0</v>
      </c>
      <c r="AW141" s="6">
        <f>COUNTIFS(Table27[Country],Tabela1[[#This Row],[Country]],Table27[Men''s 4x100m Relay Classification],"&gt;0")</f>
        <v>0</v>
      </c>
      <c r="AX141" s="6">
        <f>COUNTIFS(Table27[Country],Tabela1[[#This Row],[Country]],Table27[Women''s 4x100m Relay Classification],"&gt;0")</f>
        <v>0</v>
      </c>
      <c r="AY141" s="6">
        <f>COUNTIFS(Table27[Country],Tabela1[[#This Row],[Country]],Table27[Men''s 4x400m Relay Classification],"&gt;0")</f>
        <v>0</v>
      </c>
      <c r="AZ141" s="6">
        <f>COUNTIFS(Table27[Country],Tabela1[[#This Row],[Country]],Table27[Women''s 4x400m Relay Classification],"&gt;0")</f>
        <v>0</v>
      </c>
      <c r="BA141" s="6">
        <f>COUNTIFS(Table27[Country],Tabela1[[#This Row],[Country]],Table27[Mixed 4x400m Relay Classification],"&gt;0")</f>
        <v>0</v>
      </c>
      <c r="BB141" s="6">
        <f>COUNTIFS(Table4[Country],Tabela1[[#This Row],[Country]],Table4[Marathon Classification],"&gt;0")</f>
        <v>0</v>
      </c>
      <c r="BC141" s="6">
        <f>COUNTIFS(Table5[Country],Tabela1[[#This Row],[Country]],Table5[Marathon Classification],"&gt;0")</f>
        <v>0</v>
      </c>
      <c r="BD141" s="6">
        <f>COUNTIFS(Table4[Country],Tabela1[[#This Row],[Country]],Table4[20km Race Walk Classification],"&gt;0")</f>
        <v>0</v>
      </c>
      <c r="BE141" s="6">
        <f>COUNTIFS(Table5[Country],Tabela1[[#This Row],[Country]],Table5[20km Race Walk Classification],"&gt;0")</f>
        <v>0</v>
      </c>
      <c r="BF141" s="6">
        <f>COUNTIFS(Tabela96[Country],Tabela1[[#This Row],[Country]],Tabela96[Mixed Marathon Race Walk Relay Classification],"&gt;0")</f>
        <v>0</v>
      </c>
      <c r="BG141" s="6">
        <f>COUNTIFS(Table4[Country],Tabela1[[#This Row],[Country]],Table4[Discus Throw Classification],"&gt;0")</f>
        <v>0</v>
      </c>
      <c r="BH141" s="6">
        <f>COUNTIFS(Table5[Country],Tabela1[[#This Row],[Country]],Table5[Discus Throw Classification],"&gt;0")</f>
        <v>0</v>
      </c>
      <c r="BI141" s="6">
        <f>COUNTIFS(Table4[Country],Tabela1[[#This Row],[Country]],Table4[Hammer Throw Classification],"&gt;0")</f>
        <v>0</v>
      </c>
      <c r="BJ141" s="6">
        <f>COUNTIFS(Table5[Country],Tabela1[[#This Row],[Country]],Table5[Hammer Throw Classification],"&gt;0")</f>
        <v>0</v>
      </c>
      <c r="BK141" s="6">
        <f>COUNTIFS(Table4[Country],Tabela1[[#This Row],[Country]],Table4[High Jump Classification],"&gt;0")</f>
        <v>0</v>
      </c>
      <c r="BL141" s="6">
        <f>COUNTIFS(Table5[Country],Tabela1[[#This Row],[Country]],Table5[High Jump Classification],"&gt;0")</f>
        <v>0</v>
      </c>
      <c r="BM141" s="6">
        <f>COUNTIFS(Table4[Country],Tabela1[[#This Row],[Country]],Table4[Javelin Throw Classification],"&gt;0")</f>
        <v>0</v>
      </c>
      <c r="BN141" s="6">
        <f>COUNTIFS(Table5[Country],Tabela1[[#This Row],[Country]],Table5[Javelin Throw Classification],"&gt;0")</f>
        <v>0</v>
      </c>
      <c r="BO141" s="6">
        <f>COUNTIFS(Table4[Country],Tabela1[[#This Row],[Country]],Table4[Long Jump Classification],"&gt;0")</f>
        <v>0</v>
      </c>
      <c r="BP141" s="6">
        <f>COUNTIFS(Table5[Country],Tabela1[[#This Row],[Country]],Table5[Long Jump Classification],"&gt;0")</f>
        <v>0</v>
      </c>
      <c r="BQ141" s="6">
        <f>COUNTIFS(Table4[Country],Tabela1[[#This Row],[Country]],Table4[Pole Vault Classification],"&gt;0")</f>
        <v>0</v>
      </c>
      <c r="BR141" s="6">
        <f>COUNTIFS(Table5[Country],Tabela1[[#This Row],[Country]],Table5[Pole Vault Classification],"&gt;0")</f>
        <v>0</v>
      </c>
      <c r="BS141" s="6">
        <f>COUNTIFS(Table4[Country],Tabela1[[#This Row],[Country]],Table4[Shot Put Classification],"&gt;0")</f>
        <v>0</v>
      </c>
      <c r="BT141" s="6">
        <f>COUNTIFS(Table5[Country],Tabela1[[#This Row],[Country]],Table5[Shot Put Classification],"&gt;0")</f>
        <v>0</v>
      </c>
      <c r="BU141" s="6">
        <f>COUNTIFS(Table4[Country],Tabela1[[#This Row],[Country]],Table4[Triple Jump Classification],"&gt;0")</f>
        <v>0</v>
      </c>
      <c r="BV141" s="6">
        <f>COUNTIFS(Table5[Country],Tabela1[[#This Row],[Country]],Table5[Triple Jump Classification],"&gt;0")</f>
        <v>0</v>
      </c>
      <c r="BW141" s="6">
        <f>COUNTIFS(Table4[Country],Tabela1[[#This Row],[Country]],Table4[Decathlon Classification],"&gt;0")</f>
        <v>0</v>
      </c>
      <c r="BX141" s="6">
        <f>COUNTIFS(Table5[Country],Tabela1[[#This Row],[Country]],Table5[Heptathlon Classification],"&gt;0")</f>
        <v>0</v>
      </c>
      <c r="BY141" s="6">
        <f>COUNTIFS(Table61[Country],Tabela1[[#This Row],[Country]],Table61[Classification],"&gt;0")</f>
        <v>0</v>
      </c>
      <c r="BZ141" s="6">
        <f>COUNTIFS(Table38[Country],Tabela1[[#This Row],[Country]],Table38[Classification],"&gt;0")</f>
        <v>0</v>
      </c>
      <c r="CA141" s="6">
        <f>COUNTIFS(Table39[Country],Tabela1[[#This Row],[Country]],Table39[Men''s Classification],"&gt;0")</f>
        <v>0</v>
      </c>
      <c r="CB141" s="6">
        <f>COUNTIFS(Table39[Country],Tabela1[[#This Row],[Country]],Table39[Women''s Classification],"&gt;0")</f>
        <v>0</v>
      </c>
      <c r="CC141" s="6">
        <f>COUNTIFS(Table39[Country],Tabela1[[#This Row],[Country]],Table39[Mixed Classification],"&gt;0")</f>
        <v>0</v>
      </c>
      <c r="CD141" s="6">
        <f>COUNTIFS(Table89[Country],Tabela1[[#This Row],[Country]],Table89[Men''s Classification],"&gt;0")</f>
        <v>0</v>
      </c>
      <c r="CE141" s="6">
        <f>COUNTIFS(Table89[Country],Tabela1[[#This Row],[Country]],Table89[Women''s Classification],"&gt;0")</f>
        <v>0</v>
      </c>
      <c r="CF141" s="6">
        <f>COUNTIFS(Table90[Country],Tabela1[[#This Row],[Country]],Table90[Men''s Classification],"&gt;0")</f>
        <v>0</v>
      </c>
      <c r="CG141" s="6">
        <f>COUNTIFS(Table90[Country],Tabela1[[#This Row],[Country]],Table90[Women''s Classification],"&gt;0")</f>
        <v>0</v>
      </c>
      <c r="CH141" s="6">
        <f>COUNTIFS(Table60[Country],Tabela1[[#This Row],[Country]],Table60[Men''s Classification],"&gt;0")</f>
        <v>0</v>
      </c>
      <c r="CI141" s="6">
        <f>COUNTIFS(Table60[Country],Tabela1[[#This Row],[Country]],Table60[Women''s Classification],"&gt;0")</f>
        <v>0</v>
      </c>
      <c r="CJ141" s="6">
        <f>COUNTIFS(Table6[Country],Tabela1[[#This Row],[Country]],Table6[51kg Classification],"&gt;0")</f>
        <v>0</v>
      </c>
      <c r="CK141" s="6">
        <f>COUNTIFS(Table6[Country],Tabela1[[#This Row],[Country]],Table6[57kg Classification],"&gt;0")</f>
        <v>0</v>
      </c>
      <c r="CL141" s="6">
        <f>COUNTIFS(Table6[Country],Tabela1[[#This Row],[Country]],Table6[63.5kg Classification],"&gt;0")</f>
        <v>0</v>
      </c>
      <c r="CM141" s="6">
        <f>COUNTIFS(Table6[Country],Tabela1[[#This Row],[Country]],Table6[71kg Classification],"&gt;0")</f>
        <v>0</v>
      </c>
      <c r="CN141" s="6">
        <f>COUNTIFS(Table6[Country],Tabela1[[#This Row],[Country]],Table6[80kg Classification],"&gt;0")</f>
        <v>0</v>
      </c>
      <c r="CO141" s="6">
        <f>COUNTIFS(Table6[Country],Tabela1[[#This Row],[Country]],Table6[92kg Classification],"&gt;0")</f>
        <v>0</v>
      </c>
      <c r="CP141" s="6">
        <f>COUNTIFS(Table6[Country],Tabela1[[#This Row],[Country]],Table6[Plus 92kg Classification],"&gt;0")</f>
        <v>0</v>
      </c>
      <c r="CQ141" s="6">
        <f>COUNTIFS(Table7[Country],Tabela1[[#This Row],[Country]],Table7[50kg Classification],"&gt;0")</f>
        <v>0</v>
      </c>
      <c r="CR141" s="6">
        <f>COUNTIFS(Table7[Country],Tabela1[[#This Row],[Country]],Table7[54kg Classification],"&gt;0")</f>
        <v>0</v>
      </c>
      <c r="CS141" s="6">
        <f>COUNTIFS(Table7[Country],Tabela1[[#This Row],[Country]],Table7[57kg Classification],"&gt;0")</f>
        <v>0</v>
      </c>
      <c r="CT141" s="6">
        <f>COUNTIFS(Table7[Country],Tabela1[[#This Row],[Country]],Table7[60kg Classification],"&gt;0")</f>
        <v>0</v>
      </c>
      <c r="CU141" s="6">
        <f>COUNTIFS(Table7[Country],Tabela1[[#This Row],[Country]],Table7[66kg Classification],"&gt;0")</f>
        <v>0</v>
      </c>
      <c r="CV141" s="6">
        <f>COUNTIFS(Table7[Country],Tabela1[[#This Row],[Country]],Table7[75kg Classification],"&gt;0")</f>
        <v>0</v>
      </c>
      <c r="CW141" s="6">
        <f>COUNTIFS(Tabela94[Country],Tabela1[[#This Row],[Country]],Tabela94[Classification],"&gt;0")</f>
        <v>0</v>
      </c>
      <c r="CX141" s="6">
        <f>COUNTIFS(Tabela9499[Country],Tabela1[[#This Row],[Country]],Tabela9499[Classification],"&gt;0")</f>
        <v>0</v>
      </c>
      <c r="CY141" s="6">
        <f>COUNTIFS(Tabela107[Country],Tabela1[[#This Row],[Country]],Tabela107[C1 Slalom Classification],"&gt;0")</f>
        <v>0</v>
      </c>
      <c r="CZ141" s="6">
        <f>COUNTIFS(Tabela107122[Country],Tabela1[[#This Row],[Country]],Tabela107122[C1 Slalom Classification],"&gt;0")</f>
        <v>0</v>
      </c>
      <c r="DA141" s="6">
        <f>COUNTIFS(Tabela107[Country],Tabela1[[#This Row],[Country]],Tabela107[K1 Slalom Classification],"&gt;0")</f>
        <v>0</v>
      </c>
      <c r="DB141" s="6">
        <f>COUNTIFS(Tabela107122[Country],Tabela1[[#This Row],[Country]],Tabela107122[K1 Slalom Classification],"&gt;0")</f>
        <v>0</v>
      </c>
      <c r="DC141" s="6">
        <f>COUNTIFS(Tabela107[Country],Tabela1[[#This Row],[Country]],Tabela107[Kayak Cross Slalom Classification],"&gt;0")</f>
        <v>0</v>
      </c>
      <c r="DD141" s="6">
        <f>COUNTIFS(Tabela107122[Country],Tabela1[[#This Row],[Country]],Tabela107122[Kayak Cross Slalom Classification],"&gt;0")</f>
        <v>0</v>
      </c>
      <c r="DE141" s="6">
        <f>COUNTIFS(Table8[Country],Tabela1[[#This Row],[Country]],Table8[C1 200m Classification],"&gt;0")</f>
        <v>0</v>
      </c>
      <c r="DF141" s="6">
        <f>COUNTIFS(Table40[Country],Tabela1[[#This Row],[Country]],Table40[C1 1000m Classification],"&gt;0")</f>
        <v>0</v>
      </c>
      <c r="DG141" s="6">
        <f>COUNTIFS(Table68[Country],Tabela1[[#This Row],[Country]],Table68[Men''s C2 500m Classification],"&gt;0")</f>
        <v>0</v>
      </c>
      <c r="DH141" s="6">
        <f>COUNTIFS(Table68[Country],Tabela1[[#This Row],[Country]],Table68[Women''s C2 500m Classification],"&gt;0")</f>
        <v>0</v>
      </c>
      <c r="DI141" s="6">
        <f>COUNTIFS(Table8[Country],Tabela1[[#This Row],[Country]],Table8[K1 500m Classification],"&gt;0")</f>
        <v>0</v>
      </c>
      <c r="DJ141" s="6">
        <f>COUNTIFS(Table40[Country],Tabela1[[#This Row],[Country]],Table40[K1 1000m Classification],"&gt;0")</f>
        <v>0</v>
      </c>
      <c r="DK141" s="6">
        <f>COUNTIFS(Table68[Country],Tabela1[[#This Row],[Country]],Table68[Men''s K2 500m Classification],"&gt;0")</f>
        <v>0</v>
      </c>
      <c r="DL141" s="6">
        <f>COUNTIFS(Table68[Country],Tabela1[[#This Row],[Country]],Table68[Women''s K2 500m Classification],"&gt;0")</f>
        <v>0</v>
      </c>
      <c r="DM141" s="6">
        <f>COUNTIFS(Table83[Country],Tabela1[[#This Row],[Country]],Table83[Men''s K4 500m Classification],"&gt;0")</f>
        <v>0</v>
      </c>
      <c r="DN141" s="6">
        <f>COUNTIFS(Table83[Country],Tabela1[[#This Row],[Country]],Table83[Women''s K4 500m Classification],"&gt;0")</f>
        <v>0</v>
      </c>
      <c r="DO141" s="6">
        <f>COUNTIFS(Tabela126[Country],Tabela1[[#This Row],[Country]],Tabela126[Classification],"&gt;0")</f>
        <v>0</v>
      </c>
      <c r="DP141" s="6">
        <f>COUNTIFS(Tabela126130[Country],Tabela1[[#This Row],[Country]],Tabela126130[Classification],"&gt;0")</f>
        <v>0</v>
      </c>
      <c r="DQ141" s="6">
        <f>COUNTIFS(Table70[Country],Tabela1[[#This Row],[Country]],Table70[Classification],"&gt;0")</f>
        <v>0</v>
      </c>
      <c r="DR141" s="6">
        <f>COUNTIFS(Table80[Country],Tabela1[[#This Row],[Country]],Table80[Classification],"&gt;0")</f>
        <v>0</v>
      </c>
      <c r="DS141" s="6">
        <f>COUNTIFS(Table66[Country],Tabela1[[#This Row],[Country]],Table66[Classification],"&gt;0")</f>
        <v>0</v>
      </c>
      <c r="DT141" s="6">
        <f>COUNTIFS(Table67[Country],Tabela1[[#This Row],[Country]],Table67[Classification],"&gt;0")</f>
        <v>0</v>
      </c>
      <c r="DU141" s="6">
        <f>COUNTIFS(Table69[Country],Tabela1[[#This Row],[Country]],Table69[Keirin Classification],"&gt;0")</f>
        <v>0</v>
      </c>
      <c r="DV141" s="6">
        <f>COUNTIFS(Table41[Country],Tabela1[[#This Row],[Country]],Table41[Keirin Classification],"&gt;0")</f>
        <v>0</v>
      </c>
      <c r="DW141" s="6">
        <f>COUNTIFS(Table84[Country],Tabela1[[#This Row],[Country]],Table84[Men''s Madison Classification],"&gt;0")</f>
        <v>0</v>
      </c>
      <c r="DX141" s="6">
        <f>COUNTIFS(Table84[Country],Tabela1[[#This Row],[Country]],Table84[Women''s Madison Classification],"&gt;0")</f>
        <v>0</v>
      </c>
      <c r="DY141" s="6">
        <f>COUNTIFS(Table69[Country],Tabela1[[#This Row],[Country]],Table69[Omnium Classification],"&gt;0")</f>
        <v>0</v>
      </c>
      <c r="DZ141" s="6">
        <f>COUNTIFS(Table41[Country],Tabela1[[#This Row],[Country]],Table41[Omnium Classification],"&gt;0")</f>
        <v>0</v>
      </c>
      <c r="EA141" s="6">
        <f>COUNTIFS(Table9[Country],Tabela1[[#This Row],[Country]],Table9[Road Race Classification],"&gt;0")</f>
        <v>0</v>
      </c>
      <c r="EB141" s="6">
        <f>COUNTIFS(Table14[Country],Tabela1[[#This Row],[Country]],Table14[Road Race Classification],"&gt;0")</f>
        <v>0</v>
      </c>
      <c r="EC141" s="6">
        <f>COUNTIFS(Table69[Country],Tabela1[[#This Row],[Country]],Table69[Sprint Classification],"&gt;0")</f>
        <v>0</v>
      </c>
      <c r="ED141" s="6">
        <f>COUNTIFS(Table41[Country],Tabela1[[#This Row],[Country]],Table41[Sprint Classification],"&gt;0")</f>
        <v>0</v>
      </c>
      <c r="EE141" s="6">
        <f>COUNTIFS(Table85[Country],Tabela1[[#This Row],[Country]],Table85[Men''s Sprint Classification],"&gt;0")</f>
        <v>0</v>
      </c>
      <c r="EF141" s="6">
        <f>COUNTIFS(Table85[Country],Tabela1[[#This Row],[Country]],Table85[Women''s Sprint Classification],"&gt;0")</f>
        <v>0</v>
      </c>
      <c r="EG141" s="6">
        <f>COUNTIFS(Table85[Country],Tabela1[[#This Row],[Country]],Table85[Men''s Pursuit Classification],"&gt;0")</f>
        <v>0</v>
      </c>
      <c r="EH141" s="6">
        <f>COUNTIFS(Table85[Country],Tabela1[[#This Row],[Country]],Table85[Women''s Pursuit Classification],"&gt;0")</f>
        <v>0</v>
      </c>
      <c r="EI141" s="6">
        <f>COUNTIFS(Table9[Country],Tabela1[[#This Row],[Country]],Table9[Time-Trial Classification],"&gt;0")</f>
        <v>0</v>
      </c>
      <c r="EJ141" s="6">
        <f>COUNTIFS(Table14[Country],Tabela1[[#This Row],[Country]],Table14[Time-Trial Classification],"&gt;0")</f>
        <v>0</v>
      </c>
      <c r="EK141" s="6">
        <f>COUNTIFS(Table42[Country],Tabela1[[#This Row],[Country]],Table42[Springboard Classification],"&gt;0")</f>
        <v>0</v>
      </c>
      <c r="EL141" s="6">
        <f>COUNTIFS(Table43[Country],Tabela1[[#This Row],[Country]],Table43[Springboard Classification],"&gt;0")</f>
        <v>0</v>
      </c>
      <c r="EM141" s="6">
        <f>COUNTIFS(Table42[Country],Tabela1[[#This Row],[Country]],Table42[Platform Classification],"&gt;0")</f>
        <v>0</v>
      </c>
      <c r="EN141" s="6">
        <f>COUNTIFS(Table43[Country],Tabela1[[#This Row],[Country]],Table43[Platform Classification],"&gt;0")</f>
        <v>0</v>
      </c>
      <c r="EO141" s="6">
        <f>COUNTIFS(Table86[Country],Tabela1[[#This Row],[Country]],Table86[Men''s Synchronized Springboard Classification],"&gt;0")</f>
        <v>0</v>
      </c>
      <c r="EP141" s="6">
        <f>COUNTIFS(Table86[Country],Tabela1[[#This Row],[Country]],Table86[Women''s Synchronized Springboard Classification],"&gt;0")</f>
        <v>0</v>
      </c>
      <c r="EQ141" s="6">
        <f>COUNTIFS(Table86[Country],Tabela1[[#This Row],[Country]],Table86[Men''s Synchronized Platform Classification],"&gt;0")</f>
        <v>0</v>
      </c>
      <c r="ER141" s="6">
        <f>COUNTIFS(Table86[Country],Tabela1[[#This Row],[Country]],Table86[Women''s Synchronized Platform Classification],"&gt;0")</f>
        <v>0</v>
      </c>
      <c r="ES141" s="6">
        <f>COUNTIFS(Table44[Country],Tabela1[[#This Row],[Country]],Table44[Dressage Classification],"&gt;0")</f>
        <v>0</v>
      </c>
      <c r="ET141" s="6">
        <f>COUNTIFS(Table45[Country],Tabela1[[#This Row],[Country]],Table45[Dressage Classification],"&gt;0")</f>
        <v>0</v>
      </c>
      <c r="EU141" s="6">
        <f>COUNTIFS(Table44[Country],Tabela1[[#This Row],[Country]],Table44[Eventing Classification],"&gt;0")</f>
        <v>0</v>
      </c>
      <c r="EV141" s="6">
        <f>COUNTIFS(Table45[Country],Tabela1[[#This Row],[Country]],Table45[Eventing Classification],"&gt;0")</f>
        <v>0</v>
      </c>
      <c r="EW141" s="6">
        <f>COUNTIFS(Table44[Country],Tabela1[[#This Row],[Country]],Table44[Jumping Classification],"&gt;0")</f>
        <v>0</v>
      </c>
      <c r="EX141" s="6">
        <f>COUNTIFS(Table45[Country],Tabela1[[#This Row],[Country]],Table45[Jumping Classification],"&gt;0")</f>
        <v>0</v>
      </c>
      <c r="EY141" s="6">
        <f>COUNTIFS(Table10[Country],Tabela1[[#This Row],[Country]],Table10[Épée Classification],"&gt;0")</f>
        <v>0</v>
      </c>
      <c r="EZ141" s="6">
        <f>COUNTIFS(Table11[Country],Tabela1[[#This Row],[Country]],Table11[Épée Classification],"&gt;0")</f>
        <v>0</v>
      </c>
      <c r="FA141" s="6">
        <f>COUNTIFS(Table46[Country],Tabela1[[#This Row],[Country]],Table46[Men''s Épée Classification],"&gt;0")</f>
        <v>0</v>
      </c>
      <c r="FB141" s="6">
        <f>COUNTIFS(Table46[Country],Tabela1[[#This Row],[Country]],Table46[Women''s Épée Classification],"&gt;0")</f>
        <v>0</v>
      </c>
      <c r="FC141" s="6">
        <f>COUNTIFS(Table10[Country],Tabela1[[#This Row],[Country]],Table10[Foil Classification],"&gt;0")</f>
        <v>0</v>
      </c>
      <c r="FD141" s="6">
        <f>COUNTIFS(Table11[Country],Tabela1[[#This Row],[Country]],Table11[Foil Classification],"&gt;0")</f>
        <v>0</v>
      </c>
      <c r="FE141" s="6">
        <f>COUNTIFS(Table46[Country],Tabela1[[#This Row],[Country]],Table46[Men''s Foil Classification],"&gt;0")</f>
        <v>0</v>
      </c>
      <c r="FF141" s="6">
        <f>COUNTIFS(Table46[Country],Tabela1[[#This Row],[Country]],Table46[Women''s Foil Classification],"&gt;0")</f>
        <v>0</v>
      </c>
      <c r="FG141" s="6">
        <f>COUNTIFS(Table10[Country],Tabela1[[#This Row],[Country]],Table10[Sabre Classification],"&gt;0")</f>
        <v>0</v>
      </c>
      <c r="FH141" s="6">
        <f>COUNTIFS(Table11[Country],Tabela1[[#This Row],[Country]],Table11[Sabre Classification],"&gt;0")</f>
        <v>0</v>
      </c>
      <c r="FI141" s="6">
        <f>COUNTIFS(Table46[Country],Tabela1[[#This Row],[Country]],Table46[Men''s Sabre Classification],"&gt;0")</f>
        <v>0</v>
      </c>
      <c r="FJ141" s="6">
        <f>COUNTIFS(Table46[Country],Tabela1[[#This Row],[Country]],Table46[Women''s Sabre Classification],"&gt;0")</f>
        <v>0</v>
      </c>
      <c r="FK141" s="6">
        <f>COUNTIFS(Table91[Country],Tabela1[[#This Row],[Country]],Table91[Men''s Classification],"&gt;0")</f>
        <v>0</v>
      </c>
      <c r="FL141" s="6">
        <f>COUNTIFS(Table91[Country],Tabela1[[#This Row],[Country]],Table91[Women''s Classification],"&gt;0")</f>
        <v>0</v>
      </c>
      <c r="FM141" s="6">
        <f>COUNTIFS(Table9194[Country],Tabela1[[#This Row],[Country]],Table9194[Men''s Classification],"&gt;0")</f>
        <v>0</v>
      </c>
      <c r="FN141" s="6">
        <f>COUNTIFS(Table9194[Country],Tabela1[[#This Row],[Country]],Table9194[Women''s Classification],"&gt;0")</f>
        <v>0</v>
      </c>
      <c r="FO141" s="6">
        <f>COUNTIFS(Table71[Country],Tabela1[[#This Row],[Country]],Table71[Classification],"&gt;0")</f>
        <v>0</v>
      </c>
      <c r="FP141" s="6">
        <f>COUNTIFS(Table62[Country],Tabela1[[#This Row],[Country]],Table62[Classification],"&gt;0")</f>
        <v>0</v>
      </c>
      <c r="FQ141" s="6">
        <f>COUNTIFS(Table47[Country],Tabela1[[#This Row],[Country]],Table47[All-Around Classification],"&gt;0")</f>
        <v>0</v>
      </c>
      <c r="FR141" s="6">
        <f>COUNTIFS(Table48[Country],Tabela1[[#This Row],[Country]],Table48[All-Around Classification],"&gt;0")</f>
        <v>0</v>
      </c>
      <c r="FS141" s="6">
        <f>COUNTIFS(Table81[Country],Tabela1[[#This Row],[Country]],Table81[Men''s All-Around Classification],"&gt;0")</f>
        <v>0</v>
      </c>
      <c r="FT141" s="6">
        <f>COUNTIFS(Table81[Country],Tabela1[[#This Row],[Country]],Table81[Women''s All-Around Classification],"&gt;0")</f>
        <v>0</v>
      </c>
      <c r="FU141" s="6">
        <f>COUNTIFS(Table48[Country],Tabela1[[#This Row],[Country]],Table48[Balance Beam Classification],"&gt;0")</f>
        <v>0</v>
      </c>
      <c r="FV141" s="6">
        <f>COUNTIFS(Table47[Country],Tabela1[[#This Row],[Country]],Table47[Floor Exercise Classification],"&gt;0")</f>
        <v>0</v>
      </c>
      <c r="FW141" s="6">
        <f>COUNTIFS(Table48[Country],Tabela1[[#This Row],[Country]],Table48[Floor Exercise Classification],"&gt;0")</f>
        <v>0</v>
      </c>
      <c r="FX141" s="6">
        <f>COUNTIFS(Table47[Country],Tabela1[[#This Row],[Country]],Table47[Horizontal Bar Classification],"&gt;0")</f>
        <v>0</v>
      </c>
      <c r="FY141" s="6">
        <f>COUNTIFS(Table47[Country],Tabela1[[#This Row],[Country]],Table47[Parallel Bars Classification],"&gt;0")</f>
        <v>0</v>
      </c>
      <c r="FZ141" s="6">
        <f>COUNTIFS(Table47[Country],Tabela1[[#This Row],[Country]],Table47[Pommel Horse Classification],"&gt;0")</f>
        <v>0</v>
      </c>
      <c r="GA141" s="6">
        <f>COUNTIFS(Table47[Country],Tabela1[[#This Row],[Country]],Table47[Rings Classification],"&gt;0")</f>
        <v>0</v>
      </c>
      <c r="GB141" s="6">
        <f>COUNTIFS(Tabela132[Country],Tabela1[[#This Row],[Country]],Tabela132[Classification],"&gt;0")</f>
        <v>0</v>
      </c>
      <c r="GC141" s="6">
        <f>COUNTIFS(Tabela139[Country],Tabela1[[#This Row],[Country]],Tabela139[Classification],"&gt;0")</f>
        <v>0</v>
      </c>
      <c r="GD141" s="6">
        <f>COUNTIFS(Table48[Country],Tabela1[[#This Row],[Country]],Table48[Uneven Bars Classification],"&gt;0")</f>
        <v>0</v>
      </c>
      <c r="GE141" s="6">
        <f>COUNTIFS(Table47[Country],Tabela1[[#This Row],[Country]],Table47[Vault Classification],"&gt;0")</f>
        <v>0</v>
      </c>
      <c r="GF141" s="6">
        <f>COUNTIFS(Table48[Country],Tabela1[[#This Row],[Country]],Table48[Vault Classification],"&gt;0")</f>
        <v>0</v>
      </c>
      <c r="GG141" s="6">
        <f>COUNTIFS(Table919496[Country],Tabela1[[#This Row],[Country]],Table919496[Men''s Classification],"&gt;0")</f>
        <v>0</v>
      </c>
      <c r="GH141" s="6">
        <f>COUNTIFS(Table919496[Country],Tabela1[[#This Row],[Country]],Table919496[Women''s Classification],"&gt;0")</f>
        <v>0</v>
      </c>
      <c r="GI141" s="6">
        <f>COUNTIFS(Table12[Country],Tabela1[[#This Row],[Country]],Table12[60kg Classification],"&gt;0")</f>
        <v>0</v>
      </c>
      <c r="GJ141" s="6">
        <f>COUNTIFS(Table12[Country],Tabela1[[#This Row],[Country]],Table12[66kg Classification],"&gt;0")</f>
        <v>0</v>
      </c>
      <c r="GK141" s="6">
        <f>COUNTIFS(Table12[Country],Tabela1[[#This Row],[Country]],Table12[73kg Classification],"&gt;0")</f>
        <v>0</v>
      </c>
      <c r="GL141" s="6">
        <f>COUNTIFS(Table12[Country],Tabela1[[#This Row],[Country]],Table12[81kg Classification],"&gt;0")</f>
        <v>0</v>
      </c>
      <c r="GM141" s="6">
        <f>COUNTIFS(Table12[Country],Tabela1[[#This Row],[Country]],Table12[90kg Classification],"&gt;0")</f>
        <v>0</v>
      </c>
      <c r="GN141" s="6">
        <f>COUNTIFS(Table12[Country],Tabela1[[#This Row],[Country]],Table12[100kg Classification],"&gt;0")</f>
        <v>0</v>
      </c>
      <c r="GO141" s="6">
        <f>COUNTIFS(Table12[Country],Tabela1[[#This Row],[Country]],Table12[Plus 100kg Classification],"&gt;0")</f>
        <v>0</v>
      </c>
      <c r="GP141" s="6">
        <f>COUNTIFS(Table13[Country],Tabela1[[#This Row],[Country]],Table13[48kg Classification],"&gt;0")</f>
        <v>0</v>
      </c>
      <c r="GQ141" s="6">
        <f>COUNTIFS(Table13[Country],Tabela1[[#This Row],[Country]],Table13[52kg Classification],"&gt;0")</f>
        <v>0</v>
      </c>
      <c r="GR141" s="6">
        <f>COUNTIFS(Table13[Country],Tabela1[[#This Row],[Country]],Table13[57kg Classification],"&gt;0")</f>
        <v>0</v>
      </c>
      <c r="GS141" s="6">
        <f>COUNTIFS(Table13[Country],Tabela1[[#This Row],[Country]],Table13[63kg Classification],"&gt;0")</f>
        <v>0</v>
      </c>
      <c r="GT141" s="6">
        <f>COUNTIFS(Table13[Country],Tabela1[[#This Row],[Country]],Table13[70kg Classification],"&gt;0")</f>
        <v>0</v>
      </c>
      <c r="GU141" s="6">
        <f>COUNTIFS(Table13[Country],Tabela1[[#This Row],[Country]],Table13[78kg Classification],"&gt;0")</f>
        <v>0</v>
      </c>
      <c r="GV141" s="6">
        <f>COUNTIFS(Table13[Country],Tabela1[[#This Row],[Country]],Table13[Plus 78kg Classification],"&gt;0")</f>
        <v>0</v>
      </c>
      <c r="GW141" s="6">
        <f>COUNTIFS(Table82[Country],Tabela1[[#This Row],[Country]],Table82[Mixed Classification],"&gt;0")</f>
        <v>0</v>
      </c>
      <c r="GX141" s="6">
        <f>COUNTIFS(Table51[Country],Tabela1[[#This Row],[Country]],Table51[Classification],"&gt;0")</f>
        <v>0</v>
      </c>
      <c r="GY141" s="6">
        <f>COUNTIFS(Table52[Country],Tabela1[[#This Row],[Country]],Table52[Classification],"&gt;0")</f>
        <v>0</v>
      </c>
      <c r="GZ141" s="6">
        <f>COUNTIFS(Table32[Country],Tabela1[[#This Row],[Country]],Table32[All-Around Classification],"&gt;0")</f>
        <v>0</v>
      </c>
      <c r="HA141" s="6">
        <f>COUNTIFS(Table49[Country],Tabela1[[#This Row],[Country]],Table49[All-Around Classification],"&gt;0")</f>
        <v>0</v>
      </c>
      <c r="HB141" s="6">
        <f>COUNTIFS(Table26[Country],Tabela1[[#This Row],[Country]],Table26[Single Sculls Classification],"&gt;0")</f>
        <v>0</v>
      </c>
      <c r="HC141" s="6">
        <f>COUNTIFS(Table63[Country],Tabela1[[#This Row],[Country]],Table63[Single Sculls Classification],"&gt;0")</f>
        <v>0</v>
      </c>
      <c r="HD141" s="6">
        <f>COUNTIFS(Table16[Country],Tabela1[[#This Row],[Country]],Table16[Men''s Double Sculls Classification],"&gt;0")</f>
        <v>0</v>
      </c>
      <c r="HE141" s="6">
        <f>COUNTIFS(Table16[Country],Tabela1[[#This Row],[Country]],Table16[Women''s Double Sculls Classification],"&gt;0")</f>
        <v>0</v>
      </c>
      <c r="HF141" s="6">
        <f>COUNTIFS(Table72[Country],Tabela1[[#This Row],[Country]],Table72[Men''s Quadruple Sculls Classification],"&gt;0")</f>
        <v>0</v>
      </c>
      <c r="HG141" s="6">
        <f>COUNTIFS(Table72[Country],Tabela1[[#This Row],[Country]],Table72[Women''s Quadruple Sculls Classification],"&gt;0")</f>
        <v>0</v>
      </c>
      <c r="HH141" s="6">
        <f>COUNTIFS(Table16[Country],Tabela1[[#This Row],[Country]],Table16[Men''s Coxless Pairs Classification],"&gt;0")</f>
        <v>0</v>
      </c>
      <c r="HI141" s="6">
        <f>COUNTIFS(Table16[Country],Tabela1[[#This Row],[Country]],Table16[Women''s Coxless Pairs Classification],"&gt;0")</f>
        <v>0</v>
      </c>
      <c r="HJ141" s="6">
        <f>COUNTIFS(Table72[Country],Tabela1[[#This Row],[Country]],Table72[Men''s Coxless Fours Classification],"&gt;0")</f>
        <v>0</v>
      </c>
      <c r="HK141" s="6">
        <f>COUNTIFS(Table72[Country],Tabela1[[#This Row],[Country]],Table72[Women''s Coxless Fours Classification],"&gt;0")</f>
        <v>0</v>
      </c>
      <c r="HL141" s="6">
        <f>COUNTIFS(Table72[Country],Tabela1[[#This Row],[Country]],Table72[Men''s Eights Classification],"&gt;0")</f>
        <v>0</v>
      </c>
      <c r="HM141" s="6">
        <f>COUNTIFS(Table72[Country],Tabela1[[#This Row],[Country]],Table72[Women''s Eights Classification],"&gt;0")</f>
        <v>0</v>
      </c>
      <c r="HN141" s="6">
        <f>COUNTIFS(Table16[Country],Tabela1[[#This Row],[Country]],Table16[Men''s Lwt. Double Sculls Classification],"&gt;0")</f>
        <v>0</v>
      </c>
      <c r="HO141" s="6">
        <f>COUNTIFS(Table16[Country],Tabela1[[#This Row],[Country]],Table16[Women''s Lwt. Double Sculls Classification],"&gt;0")</f>
        <v>0</v>
      </c>
      <c r="HP141" s="6">
        <f>COUNTIFS(Table91949698[Country],Tabela1[[#This Row],[Country]],Table91949698[Men''s Classification],"&gt;0")</f>
        <v>0</v>
      </c>
      <c r="HQ141" s="6">
        <f>COUNTIFS(Table91949698[Country],Tabela1[[#This Row],[Country]],Table91949698[Women''s Classification],"&gt;0")</f>
        <v>0</v>
      </c>
      <c r="HR141" s="6">
        <f>COUNTIFS(Table25[Country],Tabela1[[#This Row],[Country]],Table25[Mixed 470 Classification],"&gt;0")</f>
        <v>0</v>
      </c>
      <c r="HS141" s="6">
        <f>COUNTIFS(Table25[Country],Tabela1[[#This Row],[Country]],Table25[Men''s 49er Classification],"&gt;0")</f>
        <v>0</v>
      </c>
      <c r="HT141" s="6">
        <f>COUNTIFS(Table25[Country],Tabela1[[#This Row],[Country]],Table25[Women''s 49er FX Classification],"&gt;0")</f>
        <v>0</v>
      </c>
      <c r="HU141" s="6">
        <f>COUNTIFS(Table17[Country],Tabela1[[#This Row],[Country]],Table17[Formula Kite Classification],"&gt;0")</f>
        <v>0</v>
      </c>
      <c r="HV141" s="6">
        <f>COUNTIFS(Table18[Country],Tabela1[[#This Row],[Country]],Table18[Formula Kite Classification],"&gt;0")</f>
        <v>0</v>
      </c>
      <c r="HW141" s="6">
        <f>COUNTIFS(Table17[Country],Tabela1[[#This Row],[Country]],Table17[ILCA 7 Classification],"&gt;0")</f>
        <v>0</v>
      </c>
      <c r="HX141" s="6">
        <f>COUNTIFS(Table18[Country],Tabela1[[#This Row],[Country]],Table18[ILCA 6 Classification],"&gt;0")</f>
        <v>0</v>
      </c>
      <c r="HY141" s="6">
        <f>COUNTIFS(Table17[Country],Tabela1[[#This Row],[Country]],Table17[IQFoil Classification],"&gt;0")</f>
        <v>0</v>
      </c>
      <c r="HZ141" s="6">
        <f>COUNTIFS(Table18[Country],Tabela1[[#This Row],[Country]],Table18[IQFoil Classification],"&gt;0")</f>
        <v>0</v>
      </c>
      <c r="IA141" s="6">
        <f>COUNTIFS(Table25[Country],Tabela1[[#This Row],[Country]],Table25[Mixed Nacra 17 Classification],"&gt;0")</f>
        <v>0</v>
      </c>
      <c r="IB141" s="6">
        <f>COUNTIFS(Table53[Country],Tabela1[[#This Row],[Country]],Table53[10m Air Pistol Classification],"&gt;0")</f>
        <v>0</v>
      </c>
      <c r="IC141" s="6">
        <f>COUNTIFS(Table19[Country],Tabela1[[#This Row],[Country]],Table19[10m Air Pistol Classification],"&gt;0")</f>
        <v>0</v>
      </c>
      <c r="ID141" s="6">
        <f>COUNTIFS(Table54[Country],Tabela1[[#This Row],[Country]],Table54[Mixed 10m Air Pistol Team Classification],"&gt;0")</f>
        <v>0</v>
      </c>
      <c r="IE141" s="6">
        <f>COUNTIFS(Table53[Country],Tabela1[[#This Row],[Country]],Table53[10m Air Rifle Classification],"&gt;0")</f>
        <v>0</v>
      </c>
      <c r="IF141" s="6">
        <f>COUNTIFS(Table19[Country],Tabela1[[#This Row],[Country]],Table19[10m Air Rifle Classification],"&gt;0")</f>
        <v>0</v>
      </c>
      <c r="IG141" s="6">
        <f>COUNTIFS(Table54[Country],Tabela1[[#This Row],[Country]],Table54[Mixed 10m Air Rifle Team Classification],"&gt;0")</f>
        <v>0</v>
      </c>
      <c r="IH141" s="6">
        <f>COUNTIFS(Table53[Country],Tabela1[[#This Row],[Country]],Table53[25m Rapid Fire Pistol Classification],"&gt;0")</f>
        <v>0</v>
      </c>
      <c r="II141" s="6">
        <f>COUNTIFS(Table19[Country],Tabela1[[#This Row],[Country]],Table19[25m Pistol Classification],"&gt;0")</f>
        <v>0</v>
      </c>
      <c r="IJ141" s="6">
        <f>COUNTIFS(Table53[Country],Tabela1[[#This Row],[Country]],Table53[50m Rifle 3 Positions Classification],"&gt;0")</f>
        <v>0</v>
      </c>
      <c r="IK141" s="6">
        <f>COUNTIFS(Table19[Country],Tabela1[[#This Row],[Country]],Table19[50m Rifle 3 Positions Classification],"&gt;0")</f>
        <v>0</v>
      </c>
      <c r="IL141" s="6">
        <f>COUNTIFS(Table53[Country],Tabela1[[#This Row],[Country]],Table53[Skeet Classification],"&gt;0")</f>
        <v>0</v>
      </c>
      <c r="IM141" s="6">
        <f>COUNTIFS(Table19[Country],Tabela1[[#This Row],[Country]],Table19[Skeet Classification],"&gt;0")</f>
        <v>0</v>
      </c>
      <c r="IN141" s="6">
        <f>COUNTIFS(Table54[Country],Tabela1[[#This Row],[Country]],Table54[Mixed Skeet Team Classification],"&gt;0")</f>
        <v>0</v>
      </c>
      <c r="IO141" s="6">
        <f>COUNTIFS(Table53[Country],Tabela1[[#This Row],[Country]],Table53[Trap Classification],"&gt;0")</f>
        <v>0</v>
      </c>
      <c r="IP141" s="6">
        <f>COUNTIFS(Table19[Country],Tabela1[[#This Row],[Country]],Table19[Trap Classification],"&gt;0")</f>
        <v>0</v>
      </c>
      <c r="IQ141" s="6">
        <f>COUNTIFS(Table73[Country],Tabela1[[#This Row],[Country]],Table73[Park Classification],"&gt;0")</f>
        <v>0</v>
      </c>
      <c r="IR141" s="6">
        <f>COUNTIFS(Table74[Country],Tabela1[[#This Row],[Country]],Table74[Park Classification],"&gt;0")</f>
        <v>0</v>
      </c>
      <c r="IS141" s="6">
        <f>COUNTIFS(Table73[Country],Tabela1[[#This Row],[Country]],Table73[Street Classification],"&gt;0")</f>
        <v>0</v>
      </c>
      <c r="IT141" s="6">
        <f>COUNTIFS(Table74[Country],Tabela1[[#This Row],[Country]],Table74[Street Classification],"&gt;0")</f>
        <v>0</v>
      </c>
      <c r="IU141" s="6">
        <f>COUNTIFS(Table75[Country],Tabela1[[#This Row],[Country]],Table75[Boulder and Lead Classification],"&gt;0")</f>
        <v>0</v>
      </c>
      <c r="IV141" s="6">
        <f>COUNTIFS(Table76[Country],Tabela1[[#This Row],[Country]],Table76[Boulder and Lead Classification],"&gt;0")</f>
        <v>0</v>
      </c>
      <c r="IW141" s="6">
        <f>COUNTIFS(Table75[Country],Tabela1[[#This Row],[Country]],Table75[Speed Classification],"&gt;0")</f>
        <v>0</v>
      </c>
      <c r="IX141" s="6">
        <f>COUNTIFS(Table76[Country],Tabela1[[#This Row],[Country]],Table76[Speed Classification],"&gt;0")</f>
        <v>0</v>
      </c>
      <c r="IY141" s="6">
        <f>COUNTIFS(Table64[Country],Tabela1[[#This Row],[Country]],Table64[Shortboard Classification],"&gt;0")</f>
        <v>0</v>
      </c>
      <c r="IZ141" s="6">
        <f>COUNTIFS(Table77[Country],Tabela1[[#This Row],[Country]],Table77[Shortboard Classification],"&gt;0")</f>
        <v>0</v>
      </c>
      <c r="JA141" s="6">
        <f>COUNTIFS(Table20[Country],Tabela1[[#This Row],[Country]],Table20[50m Freestyle Classification],"&gt;0")</f>
        <v>0</v>
      </c>
      <c r="JB141" s="6">
        <f>COUNTIFS(Table21[Country],Tabela1[[#This Row],[Country]],Table21[50m Freestyle Classification],"&gt;0")</f>
        <v>0</v>
      </c>
      <c r="JC141" s="6">
        <f>COUNTIFS(Table20[Country],Tabela1[[#This Row],[Country]],Table20[100m Freestyle Classification],"&gt;0")</f>
        <v>0</v>
      </c>
      <c r="JD141" s="6">
        <f>COUNTIFS(Table21[Country],Tabela1[[#This Row],[Country]],Table21[100m Freestyle Classification],"&gt;0")</f>
        <v>0</v>
      </c>
      <c r="JE141" s="6">
        <f>COUNTIFS(Table20[Country],Tabela1[[#This Row],[Country]],Table20[200m Freestyle Classification],"&gt;0")</f>
        <v>0</v>
      </c>
      <c r="JF141" s="6">
        <f>COUNTIFS(Table21[Country],Tabela1[[#This Row],[Country]],Table21[200m Freestyle Classification],"&gt;0")</f>
        <v>0</v>
      </c>
      <c r="JG141" s="6">
        <f>COUNTIFS(Table20[Country],Tabela1[[#This Row],[Country]],Table20[400m Freestyle Classification],"&gt;0")</f>
        <v>0</v>
      </c>
      <c r="JH141" s="6">
        <f>COUNTIFS(Table21[Country],Tabela1[[#This Row],[Country]],Table21[400m Freestyle Classification],"&gt;0")</f>
        <v>0</v>
      </c>
      <c r="JI141" s="6">
        <f>COUNTIFS(Table20[Country],Tabela1[[#This Row],[Country]],Table20[800m Freestyle Classification],"&gt;0")</f>
        <v>0</v>
      </c>
      <c r="JJ141" s="6">
        <f>COUNTIFS(Table21[Country],Tabela1[[#This Row],[Country]],Table21[800m Freestyle Classification],"&gt;0")</f>
        <v>0</v>
      </c>
      <c r="JK141" s="6">
        <f>COUNTIFS(Table20[Country],Tabela1[[#This Row],[Country]],Table20[1500m Freestyle Classification],"&gt;0")</f>
        <v>0</v>
      </c>
      <c r="JL141" s="6">
        <f>COUNTIFS(Table21[Country],Tabela1[[#This Row],[Country]],Table21[1500m Freestyle Classification],"&gt;0")</f>
        <v>0</v>
      </c>
      <c r="JM141" s="6">
        <f>COUNTIFS(Table20[Country],Tabela1[[#This Row],[Country]],Table20[100m Backstroke Classification],"&gt;0")</f>
        <v>0</v>
      </c>
      <c r="JN141" s="6">
        <f>COUNTIFS(Table21[Country],Tabela1[[#This Row],[Country]],Table21[100m Backstroke Classification],"&gt;0")</f>
        <v>0</v>
      </c>
      <c r="JO141" s="6">
        <f>COUNTIFS(Table20[Country],Tabela1[[#This Row],[Country]],Table20[200m Backstroke Classification],"&gt;0")</f>
        <v>0</v>
      </c>
      <c r="JP141" s="6">
        <f>COUNTIFS(Table21[Country],Tabela1[[#This Row],[Country]],Table21[200m Backstroke Classification],"&gt;0")</f>
        <v>0</v>
      </c>
      <c r="JQ141" s="6">
        <f>COUNTIFS(Table20[Country],Tabela1[[#This Row],[Country]],Table20[100m Breaststroke Classification],"&gt;0")</f>
        <v>0</v>
      </c>
      <c r="JR141" s="6">
        <f>COUNTIFS(Table21[Country],Tabela1[[#This Row],[Country]],Table21[100m Breaststroke Classification],"&gt;0")</f>
        <v>0</v>
      </c>
      <c r="JS141" s="6">
        <f>COUNTIFS(Table20[Country],Tabela1[[#This Row],[Country]],Table20[200m Breaststroke Classification],"&gt;0")</f>
        <v>0</v>
      </c>
      <c r="JT141" s="6">
        <f>COUNTIFS(Table21[Country],Tabela1[[#This Row],[Country]],Table21[200m Breaststroke Classification],"&gt;0")</f>
        <v>0</v>
      </c>
      <c r="JU141" s="6">
        <f>COUNTIFS(Table20[Country],Tabela1[[#This Row],[Country]],Table20[100m Butterfly Classification],"&gt;0")</f>
        <v>0</v>
      </c>
      <c r="JV141" s="6">
        <f>COUNTIFS(Table21[Country],Tabela1[[#This Row],[Country]],Table21[100m Butterfly Classification],"&gt;0")</f>
        <v>0</v>
      </c>
      <c r="JW141" s="6">
        <f>COUNTIFS(Table20[Country],Tabela1[[#This Row],[Country]],Table20[200m Butterfly Classification],"&gt;0")</f>
        <v>0</v>
      </c>
      <c r="JX141" s="6">
        <f>COUNTIFS(Table21[Country],Tabela1[[#This Row],[Country]],Table21[200m Butterfly Classification],"&gt;0")</f>
        <v>0</v>
      </c>
      <c r="JY141" s="6">
        <f>COUNTIFS(Table20[Country],Tabela1[[#This Row],[Country]],Table20[200m Medley Classification],"&gt;0")</f>
        <v>0</v>
      </c>
      <c r="JZ141" s="6">
        <f>COUNTIFS(Table21[Country],Tabela1[[#This Row],[Country]],Table21[200m Medley Classification],"&gt;0")</f>
        <v>0</v>
      </c>
      <c r="KA141" s="6">
        <f>COUNTIFS(Table20[Country],Tabela1[[#This Row],[Country]],Table20[400m Medley Classification],"&gt;0")</f>
        <v>0</v>
      </c>
      <c r="KB141" s="6">
        <f>COUNTIFS(Table21[Country],Tabela1[[#This Row],[Country]],Table21[400m Medley Classification],"&gt;0")</f>
        <v>0</v>
      </c>
      <c r="KC141" s="6">
        <f>COUNTIFS(Table78[Country],Tabela1[[#This Row],[Country]],Table78[Men''s 4x100m Freestyle Relay Classification],"&gt;0")</f>
        <v>0</v>
      </c>
      <c r="KD141" s="6">
        <f>COUNTIFS(Table78[Country],Tabela1[[#This Row],[Country]],Table78[Women''s 4x100m Freestyle Relay Classification],"&gt;0")</f>
        <v>0</v>
      </c>
      <c r="KE141" s="6">
        <f>COUNTIFS(Table78[Country],Tabela1[[#This Row],[Country]],Table78[Men''s 4x200m Freestyle Relay Classification],"&gt;0")</f>
        <v>0</v>
      </c>
      <c r="KF141" s="6">
        <f>COUNTIFS(Table78[Country],Tabela1[[#This Row],[Country]],Table78[Women''s 4x200m Freestyle Relay Classification],"&gt;0")</f>
        <v>0</v>
      </c>
      <c r="KG141" s="6">
        <f>COUNTIFS(Table78[Country],Tabela1[[#This Row],[Country]],Table78[Men''s 4x100m Medley Relay Classification],"&gt;0")</f>
        <v>0</v>
      </c>
      <c r="KH141" s="6">
        <f>COUNTIFS(Table78[Country],Tabela1[[#This Row],[Country]],Table78[Women''s 4x100m Medley Relay Classification],"&gt;0")</f>
        <v>0</v>
      </c>
      <c r="KI141" s="6">
        <f>COUNTIFS(Table78[Country],Tabela1[[#This Row],[Country]],Table78[Mixed 4x100m Medley Relay Classification],"&gt;0")</f>
        <v>0</v>
      </c>
      <c r="KJ141" s="6">
        <f>COUNTIFS(Table20[Country],Tabela1[[#This Row],[Country]],Table20[10km Open Water Classification],"&gt;0")</f>
        <v>0</v>
      </c>
      <c r="KK141" s="6">
        <f>COUNTIFS(Table21[Country],Tabela1[[#This Row],[Country]],Table21[10km Open Water Classification],"&gt;0")</f>
        <v>0</v>
      </c>
      <c r="KL141" s="6">
        <f>COUNTIFS(Table22[Country],Tabela1[[#This Row],[Country]],Table22[Classification],"&gt;0")</f>
        <v>0</v>
      </c>
      <c r="KM141" s="6">
        <f>COUNTIFS(Table30[Country],Tabela1[[#This Row],[Country]],Table30[Classification],"&gt;0")</f>
        <v>1</v>
      </c>
      <c r="KN141" s="6">
        <f>COUNTIFS(Table55[Country],Tabela1[[#This Row],[Country]],Table55[Men''s Classification],"&gt;0")</f>
        <v>0</v>
      </c>
      <c r="KO141" s="6">
        <f>COUNTIFS(Table55[Country],Tabela1[[#This Row],[Country]],Table55[Women''s Classification],"&gt;0")</f>
        <v>0</v>
      </c>
      <c r="KP141" s="6">
        <f>COUNTIFS(Table56[Country],Tabela1[[#This Row],[Country]],Table56[Mixed Classification],"&gt;0")</f>
        <v>0</v>
      </c>
      <c r="KQ141" s="6">
        <f>COUNTIFS(Table29[Country],Tabela1[[#This Row],[Country]],Table29[58kg Classification],"&gt;0")</f>
        <v>0</v>
      </c>
      <c r="KR141" s="6">
        <f>COUNTIFS(Table29[Country],Tabela1[[#This Row],[Country]],Table29[68kg Classification],"&gt;0")</f>
        <v>0</v>
      </c>
      <c r="KS141" s="6">
        <f>COUNTIFS(Table29[Country],Tabela1[[#This Row],[Country]],Table29[80kg Classification],"&gt;0")</f>
        <v>0</v>
      </c>
      <c r="KT141" s="6">
        <f>COUNTIFS(Table29[Country],Tabela1[[#This Row],[Country]],Table29[Plus 80kg Classification],"&gt;0")</f>
        <v>0</v>
      </c>
      <c r="KU141" s="6">
        <f>COUNTIFS(Table34[Country],Tabela1[[#This Row],[Country]],Table34[49kg Classification],"&gt;0")</f>
        <v>0</v>
      </c>
      <c r="KV141" s="6">
        <f>COUNTIFS(Table34[Country],Tabela1[[#This Row],[Country]],Table34[57kg Classification],"&gt;0")</f>
        <v>0</v>
      </c>
      <c r="KW141" s="6">
        <f>COUNTIFS(Table34[Country],Tabela1[[#This Row],[Country]],Table34[67kg Classification],"&gt;0")</f>
        <v>0</v>
      </c>
      <c r="KX141" s="6">
        <f>COUNTIFS(Table34[Country],Tabela1[[#This Row],[Country]],Table34[Plus 67kg Classification],"&gt;0")</f>
        <v>0</v>
      </c>
      <c r="KY141" s="6">
        <f>COUNTIFS(Table57[Country],Tabela1[[#This Row],[Country]],Table57[Classification],"&gt;0")</f>
        <v>0</v>
      </c>
      <c r="KZ141" s="6">
        <f>COUNTIFS(Table58[Country],Tabela1[[#This Row],[Country]],Table58[Classification],"&gt;0")</f>
        <v>0</v>
      </c>
      <c r="LA141" s="6">
        <f>COUNTIFS(Table79[Country],Tabela1[[#This Row],[Country]],Table79[Men''s Classification],"&gt;0")</f>
        <v>0</v>
      </c>
      <c r="LB141" s="6">
        <f>COUNTIFS(Table79[Country],Tabela1[[#This Row],[Country]],Table79[Women''s Classification],"&gt;0")</f>
        <v>0</v>
      </c>
      <c r="LC141" s="6">
        <f>COUNTIFS(Table79[Country],Tabela1[[#This Row],[Country]],Table79[Mixed Classification],"&gt;0")</f>
        <v>0</v>
      </c>
      <c r="LD141" s="6">
        <f>COUNTIFS(Table65[Country],Tabela1[[#This Row],[Country]],Table65[Classification],"&gt;0")</f>
        <v>0</v>
      </c>
      <c r="LE141" s="6">
        <f>COUNTIFS(Table59[Country],Tabela1[[#This Row],[Country]],Table59[Classification],"&gt;0")</f>
        <v>0</v>
      </c>
      <c r="LF141" s="6">
        <f>COUNTIFS(Table87[Country],Tabela1[[#This Row],[Country]],Table87[Mixed Relay Classification],"&gt;0")</f>
        <v>0</v>
      </c>
      <c r="LG141" s="6">
        <f>COUNTIFS(Table91949698100[Country],Tabela1[[#This Row],[Country]],Table91949698100[Men''s Classification],"&gt;0")</f>
        <v>0</v>
      </c>
      <c r="LH141" s="6">
        <f>COUNTIFS(Table91949698100[Country],Tabela1[[#This Row],[Country]],Table91949698100[Women''s Classification],"&gt;0")</f>
        <v>0</v>
      </c>
      <c r="LI141" s="6">
        <f>COUNTIFS(Table91949698100102[Country],Tabela1[[#This Row],[Country]],Table91949698100102[Men''s Classification],"&gt;0")</f>
        <v>0</v>
      </c>
      <c r="LJ141" s="6">
        <f>COUNTIFS(Table91949698100102[Country],Tabela1[[#This Row],[Country]],Table91949698100102[Women''s Classification],"&gt;0")</f>
        <v>0</v>
      </c>
      <c r="LK141" s="6">
        <f>COUNTIFS(Table23[Country],Tabela1[[#This Row],[Country]],Table23[61kg Classification],"&gt;0")</f>
        <v>0</v>
      </c>
      <c r="LL141" s="6">
        <f>COUNTIFS(Table23[Country],Tabela1[[#This Row],[Country]],Table23[73kg Classification],"&gt;0")</f>
        <v>0</v>
      </c>
      <c r="LM141" s="6">
        <f>COUNTIFS(Table23[Country],Tabela1[[#This Row],[Country]],Table23[89kg Classification],"&gt;0")</f>
        <v>0</v>
      </c>
      <c r="LN141" s="6">
        <f>COUNTIFS(Table23[Country],Tabela1[[#This Row],[Country]],Table23[102kg Classification],"&gt;0")</f>
        <v>0</v>
      </c>
      <c r="LO141" s="6">
        <f>COUNTIFS(Table23[Country],Tabela1[[#This Row],[Country]],Table23[Plus 102kg Classification],"&gt;0")</f>
        <v>0</v>
      </c>
      <c r="LP141" s="6">
        <f>COUNTIFS(Table28[Country],Tabela1[[#This Row],[Country]],Table28[49kg Classification],"&gt;0")</f>
        <v>0</v>
      </c>
      <c r="LQ141" s="6">
        <f>COUNTIFS(Table28[Country],Tabela1[[#This Row],[Country]],Table28[59kg Classification],"&gt;0")</f>
        <v>0</v>
      </c>
      <c r="LR141" s="6">
        <f>COUNTIFS(Table28[Country],Tabela1[[#This Row],[Country]],Table28[71kg Classification],"&gt;0")</f>
        <v>0</v>
      </c>
      <c r="LS141" s="6">
        <f>COUNTIFS(Table28[Country],Tabela1[[#This Row],[Country]],Table28[81kg Classification],"&gt;0")</f>
        <v>0</v>
      </c>
      <c r="LT141" s="6">
        <f>COUNTIFS(Table28[Country],Tabela1[[#This Row],[Country]],Table28[Plus 81kg Classification],"&gt;0")</f>
        <v>0</v>
      </c>
      <c r="LU141" s="6">
        <f>COUNTIFS(Table24[Country],Tabela1[[#This Row],[Country]],Table24[Freestyle 57kg Classification],"&gt;0")</f>
        <v>0</v>
      </c>
      <c r="LV141" s="6">
        <f>COUNTIFS(Table24[Country],Tabela1[[#This Row],[Country]],Table24[Freestyle 65kg Classification],"&gt;0")</f>
        <v>0</v>
      </c>
      <c r="LW141" s="6">
        <f>COUNTIFS(Table24[Country],Tabela1[[#This Row],[Country]],Table24[Freestyle 74kg Classification],"&gt;0")</f>
        <v>0</v>
      </c>
      <c r="LX141" s="6">
        <f>COUNTIFS(Table24[Country],Tabela1[[#This Row],[Country]],Table24[Freestyle 86kg Classification],"&gt;0")</f>
        <v>0</v>
      </c>
      <c r="LY141" s="6">
        <f>COUNTIFS(Table24[Country],Tabela1[[#This Row],[Country]],Table24[Freestyle 97kg Classification],"&gt;0")</f>
        <v>0</v>
      </c>
      <c r="LZ141" s="6">
        <f>COUNTIFS(Table24[Country],Tabela1[[#This Row],[Country]],Table24[Freestyle 125kg Classification],"&gt;0")</f>
        <v>0</v>
      </c>
      <c r="MA141" s="6">
        <f>COUNTIFS(Table24[Country],Tabela1[[#This Row],[Country]],Table24[Greco-Roman 60kg Classification],"&gt;0")</f>
        <v>0</v>
      </c>
      <c r="MB141" s="6">
        <f>COUNTIFS(Table24[Country],Tabela1[[#This Row],[Country]],Table24[Greco-Roman 67kg Classification],"&gt;0")</f>
        <v>0</v>
      </c>
      <c r="MC141" s="6">
        <f>COUNTIFS(Table24[Country],Tabela1[[#This Row],[Country]],Table24[Greco-Roman 77kg Classification],"&gt;0")</f>
        <v>0</v>
      </c>
      <c r="MD141" s="6">
        <f>COUNTIFS(Table24[Country],Tabela1[[#This Row],[Country]],Table24[Greco-Roman 87kg Classification],"&gt;0")</f>
        <v>0</v>
      </c>
      <c r="ME141" s="6">
        <f>COUNTIFS(Table24[Country],Tabela1[[#This Row],[Country]],Table24[Greco-Roman 97kg Classification],"&gt;0")</f>
        <v>0</v>
      </c>
      <c r="MF141" s="6">
        <f>COUNTIFS(Table24[Country],Tabela1[[#This Row],[Country]],Table24[Greco-Roman 130kg Classification],"&gt;0")</f>
        <v>0</v>
      </c>
      <c r="MG141" s="6">
        <f>COUNTIFS(Table31[Country],Tabela1[[#This Row],[Country]],Table31[50kg Classification],"&gt;0")</f>
        <v>0</v>
      </c>
      <c r="MH141" s="6">
        <f>COUNTIFS(Table31[Country],Tabela1[[#This Row],[Country]],Table31[53kg Classification],"&gt;0")</f>
        <v>0</v>
      </c>
      <c r="MI141" s="6">
        <f>COUNTIFS(Table31[Country],Tabela1[[#This Row],[Country]],Table31[57kg Classification],"&gt;0")</f>
        <v>0</v>
      </c>
      <c r="MJ141" s="6">
        <f>COUNTIFS(Table31[Country],Tabela1[[#This Row],[Country]],Table31[62kg Classification],"&gt;0")</f>
        <v>0</v>
      </c>
      <c r="MK141" s="6">
        <f>COUNTIFS(Table31[Country],Tabela1[[#This Row],[Country]],Table31[68kg Classification],"&gt;0")</f>
        <v>0</v>
      </c>
      <c r="ML141" s="6">
        <f>COUNTIFS(Table31[Country],Tabela1[[#This Row],[Country]],Table31[76kg Classification],"&gt;0")</f>
        <v>0</v>
      </c>
      <c r="MM141" s="6">
        <f>COUNTIFS(Table102[Country],Tabela1[[#This Row],[Country]],Table102[Downhill Classification],"&gt;0")</f>
        <v>0</v>
      </c>
      <c r="MN141" s="6">
        <f>COUNTIFS(Table102105[Country],Tabela1[[#This Row],[Country]],Table102105[Downhill Classification],"&gt;0")</f>
        <v>0</v>
      </c>
      <c r="MO141" s="6">
        <f>COUNTIFS(Table102[Country],Tabela1[[#This Row],[Country]],Table102[Giant Slalom Classification],"&gt;0")</f>
        <v>0</v>
      </c>
      <c r="MP141" s="6">
        <f>COUNTIFS(Table102105[Country],Tabela1[[#This Row],[Country]],Table102105[Giant Slalom Classification],"&gt;0")</f>
        <v>0</v>
      </c>
      <c r="MQ141" s="6">
        <f>COUNTIFS(Table102[Country],Tabela1[[#This Row],[Country]],Table102[Slalom Classification],"&gt;0")</f>
        <v>0</v>
      </c>
      <c r="MR141" s="6">
        <f>COUNTIFS(Table102105[Country],Tabela1[[#This Row],[Country]],Table102105[Slalom Classification],"&gt;0")</f>
        <v>0</v>
      </c>
      <c r="MS141" s="6">
        <f>COUNTIFS(Table102[Country],Tabela1[[#This Row],[Country]],Table102[Super-G Classification],"&gt;0")</f>
        <v>0</v>
      </c>
      <c r="MT141" s="6">
        <f>COUNTIFS(Table102105[Country],Tabela1[[#This Row],[Country]],Table102105[Super-G Classification],"&gt;0")</f>
        <v>0</v>
      </c>
      <c r="MU141" s="6">
        <f>COUNTIFS(Table105[Country],Tabela1[[#This Row],[Country]],Table105[Men''s Combined Classification],"&gt;0")</f>
        <v>0</v>
      </c>
      <c r="MV141" s="6">
        <f>COUNTIFS(Table105[Country],Tabela1[[#This Row],[Country]],Table105[Women''s Combined Classification],"&gt;0")</f>
        <v>0</v>
      </c>
      <c r="MW141" s="6">
        <f>COUNTIFS(Table106[Country],Tabela1[[#This Row],[Country]],Table106[Individual Classification],"&gt;0")</f>
        <v>0</v>
      </c>
      <c r="MX141" s="6">
        <f>COUNTIFS(Table106109[Country],Tabela1[[#This Row],[Country]],Table106109[Individual Classification],"&gt;0")</f>
        <v>0</v>
      </c>
      <c r="MY141" s="6">
        <f>COUNTIFS(Table106[Country],Tabela1[[#This Row],[Country]],Table106[Mass Start Classification],"&gt;0")</f>
        <v>0</v>
      </c>
      <c r="MZ141" s="6">
        <f>COUNTIFS(Table106109[Country],Tabela1[[#This Row],[Country]],Table106109[Mass Start Classification],"&gt;0")</f>
        <v>0</v>
      </c>
      <c r="NA141" s="6">
        <f>COUNTIFS(Table106[Country],Tabela1[[#This Row],[Country]],Table106[Pursuit Classification],"&gt;0")</f>
        <v>0</v>
      </c>
      <c r="NB141" s="6">
        <f>COUNTIFS(Table106109[Country],Tabela1[[#This Row],[Country]],Table106109[Pursuit Classification],"&gt;0")</f>
        <v>0</v>
      </c>
      <c r="NC141" s="6">
        <f>COUNTIFS(Table106[Country],Tabela1[[#This Row],[Country]],Table106[Sprint Classification],"&gt;0")</f>
        <v>0</v>
      </c>
      <c r="ND141" s="6">
        <f>COUNTIFS(Table106109[Country],Tabela1[[#This Row],[Country]],Table106109[Sprint Classification],"&gt;0")</f>
        <v>0</v>
      </c>
      <c r="NE141" s="6">
        <f>COUNTIFS(Table109[Country],Tabela1[[#This Row],[Country]],Table109[Men''s Relay Classification],"&gt;0")</f>
        <v>0</v>
      </c>
      <c r="NF141" s="6">
        <f>COUNTIFS(Table109[Country],Tabela1[[#This Row],[Country]],Table109[Women''s Relay Classification],"&gt;0")</f>
        <v>0</v>
      </c>
      <c r="NG141" s="6">
        <f>COUNTIFS(Table109[Country],Tabela1[[#This Row],[Country]],Table109[Mixed Relay Classification],"&gt;0")</f>
        <v>0</v>
      </c>
      <c r="NH141" s="6">
        <f>COUNTIFS(Table110[Country],Tabela1[[#This Row],[Country]],Table110[Monobob Classification],"&gt;0")</f>
        <v>0</v>
      </c>
      <c r="NI141" s="6">
        <f>COUNTIFS(Table111[Country],Tabela1[[#This Row],[Country]],Table111[Men''s Classification],"&gt;0")</f>
        <v>0</v>
      </c>
      <c r="NJ141" s="6">
        <f>COUNTIFS(Table111[Country],Tabela1[[#This Row],[Country]],Table111[Women''s Classification],"&gt;0")</f>
        <v>0</v>
      </c>
      <c r="NK141" s="6">
        <f>COUNTIFS(Table112[Country],Tabela1[[#This Row],[Country]],Table112[Men''s Four Classification],"&gt;0")</f>
        <v>0</v>
      </c>
      <c r="NL141" s="6">
        <f>COUNTIFS(Table113[Country],Tabela1[[#This Row],[Country]],Table113[Classical Classification],"&gt;0")</f>
        <v>0</v>
      </c>
      <c r="NM141" s="6">
        <f>COUNTIFS(Table113116[Country],Tabela1[[#This Row],[Country]],Table113116[Classical Classification],"&gt;0")</f>
        <v>0</v>
      </c>
      <c r="NN141" s="6">
        <f>COUNTIFS(Table113[Country],Tabela1[[#This Row],[Country]],Table113[Freestyle Classification],"&gt;0")</f>
        <v>0</v>
      </c>
      <c r="NO141" s="6">
        <f>COUNTIFS(Table113116[Country],Tabela1[[#This Row],[Country]],Table113116[Freestyle Classification],"&gt;0")</f>
        <v>0</v>
      </c>
      <c r="NP141" s="6">
        <f>COUNTIFS(Table117[Country],Tabela1[[#This Row],[Country]],Table117[Men''s Relay Classification],"&gt;0")</f>
        <v>0</v>
      </c>
      <c r="NQ141" s="6">
        <f>COUNTIFS(Table117[Country],Tabela1[[#This Row],[Country]],Table117[Women''s Relay Classification],"&gt;0")</f>
        <v>0</v>
      </c>
      <c r="NR141" s="6">
        <f>COUNTIFS(Table113[Country],Tabela1[[#This Row],[Country]],Table113[Skiathlon Classification],"&gt;0")</f>
        <v>0</v>
      </c>
      <c r="NS141" s="6">
        <f>COUNTIFS(Table113116[Country],Tabela1[[#This Row],[Country]],Table113116[Skiathlon Classification],"&gt;0")</f>
        <v>0</v>
      </c>
      <c r="NT141" s="6">
        <f>COUNTIFS(Table113[Country],Tabela1[[#This Row],[Country]],Table113[Sprint Classification],"&gt;0")</f>
        <v>0</v>
      </c>
      <c r="NU141" s="6">
        <f>COUNTIFS(Table113116[Country],Tabela1[[#This Row],[Country]],Table113116[Sprint Classification],"&gt;0")</f>
        <v>0</v>
      </c>
      <c r="NV141" s="6">
        <f>COUNTIFS(Table116[Country],Tabela1[[#This Row],[Country]],Table116[Men''s Team Sprint Classification],"&gt;0")</f>
        <v>0</v>
      </c>
      <c r="NW141" s="6">
        <f>COUNTIFS(Table116[Country],Tabela1[[#This Row],[Country]],Table116[Women''s Team Sprint Classification],"&gt;0")</f>
        <v>0</v>
      </c>
      <c r="NX141" s="6">
        <f>COUNTIFS(Table119[Country],Tabela1[[#This Row],[Country]],Table119[Men''s Classification],"&gt;0")</f>
        <v>0</v>
      </c>
      <c r="NY141" s="6">
        <f>COUNTIFS(Table119[Country],Tabela1[[#This Row],[Country]],Table119[Women''s Classification],"&gt;0")</f>
        <v>0</v>
      </c>
      <c r="NZ141" s="6">
        <f>COUNTIFS(Table118[Country],Tabela1[[#This Row],[Country]],Table118[Mixed Classification],"&gt;0")</f>
        <v>0</v>
      </c>
      <c r="OA141" s="6">
        <f>COUNTIFS(Table120[Country],Tabela1[[#This Row],[Country]],Table120[Classification],"&gt;0")</f>
        <v>0</v>
      </c>
      <c r="OB141" s="6">
        <f>COUNTIFS(Table120123[Country],Tabela1[[#This Row],[Country]],Table120123[Classification],"&gt;0")</f>
        <v>0</v>
      </c>
      <c r="OC141" s="6">
        <f>COUNTIFS(Table123[Country],Tabela1[[#This Row],[Country]],Table123[Ice Dance Classification],"&gt;0")</f>
        <v>0</v>
      </c>
      <c r="OD141" s="6">
        <f>COUNTIFS(Table123[Country],Tabela1[[#This Row],[Country]],Table123[Pair Skating Classification],"&gt;0")</f>
        <v>0</v>
      </c>
      <c r="OE141" s="6">
        <f>COUNTIFS(Table124[Country],Tabela1[[#This Row],[Country]],Table124[Mixed Classification],"&gt;0")</f>
        <v>0</v>
      </c>
      <c r="OF141" s="6">
        <f>COUNTIFS(Table125[Country],Tabela1[[#This Row],[Country]],Table125[Aerials Classification],"&gt;0")</f>
        <v>0</v>
      </c>
      <c r="OG141" s="6">
        <f>COUNTIFS(Table125128[Country],Tabela1[[#This Row],[Country]],Table125128[Aerials Classification],"&gt;0")</f>
        <v>0</v>
      </c>
      <c r="OH141" s="6">
        <f>COUNTIFS(Table128[Country],Tabela1[[#This Row],[Country]],Table128[Mixed Aerials Classification],"&gt;0")</f>
        <v>0</v>
      </c>
      <c r="OI141" s="6">
        <f>COUNTIFS(Table125[Country],Tabela1[[#This Row],[Country]],Table125[Big Air Classification],"&gt;0")</f>
        <v>0</v>
      </c>
      <c r="OJ141" s="6">
        <f>COUNTIFS(Table125128[Country],Tabela1[[#This Row],[Country]],Table125128[Big Air Classification],"&gt;0")</f>
        <v>0</v>
      </c>
      <c r="OK141" s="6">
        <f>COUNTIFS(Table125[Country],Tabela1[[#This Row],[Country]],Table125[Dual Moguls Classification],"&gt;0")</f>
        <v>0</v>
      </c>
      <c r="OL141" s="6">
        <f>COUNTIFS(Table125128[Country],Tabela1[[#This Row],[Country]],Table125128[Dual Moguls Classification],"&gt;0")</f>
        <v>0</v>
      </c>
      <c r="OM141" s="6">
        <f>COUNTIFS(Table125[Country],Tabela1[[#This Row],[Country]],Table125[Halfpipe Classification],"&gt;0")</f>
        <v>0</v>
      </c>
      <c r="ON141" s="6">
        <f>COUNTIFS(Table125128[Country],Tabela1[[#This Row],[Country]],Table125128[Halfpipe Classification],"&gt;0")</f>
        <v>0</v>
      </c>
      <c r="OO141" s="6">
        <f>COUNTIFS(Table125[Country],Tabela1[[#This Row],[Country]],Table125[Moguls Classification],"&gt;0")</f>
        <v>0</v>
      </c>
      <c r="OP141" s="6">
        <f>COUNTIFS(Table125128[Country],Tabela1[[#This Row],[Country]],Table125128[Moguls Classification],"&gt;0")</f>
        <v>0</v>
      </c>
      <c r="OQ141" s="6">
        <f>COUNTIFS(Table125[Country],Tabela1[[#This Row],[Country]],Table125[Ski Cross Classification],"&gt;0")</f>
        <v>0</v>
      </c>
      <c r="OR141" s="6">
        <f>COUNTIFS(Table125128[Country],Tabela1[[#This Row],[Country]],Table125128[Ski Cross Classification],"&gt;0")</f>
        <v>0</v>
      </c>
      <c r="OS141" s="6">
        <f>COUNTIFS(Table125[Country],Tabela1[[#This Row],[Country]],Table125[Slopestyle Classification],"&gt;0")</f>
        <v>0</v>
      </c>
      <c r="OT141" s="6">
        <f>COUNTIFS(Table125128[Country],Tabela1[[#This Row],[Country]],Table125128[Slopestyle Classification],"&gt;0")</f>
        <v>0</v>
      </c>
      <c r="OU141" s="6">
        <f>COUNTIFS(Table119131[Country],Tabela1[[#This Row],[Country]],Table119131[Men''s Classification],"&gt;0")</f>
        <v>0</v>
      </c>
      <c r="OV141" s="6">
        <f>COUNTIFS(Table119131[Country],Tabela1[[#This Row],[Country]],Table119131[Women''s Classification],"&gt;0")</f>
        <v>0</v>
      </c>
      <c r="OW141" s="6">
        <f>COUNTIFS(Table131[Country],Tabela1[[#This Row],[Country]],Table131[Classification],"&gt;0")</f>
        <v>0</v>
      </c>
      <c r="OX141" s="6">
        <f>COUNTIFS(Table131134[Country],Tabela1[[#This Row],[Country]],Table131134[Classification],"&gt;0")</f>
        <v>0</v>
      </c>
      <c r="OY141" s="6">
        <f>COUNTIFS(Table134[Country],Tabela1[[#This Row],[Country]],Table134[Men''s Classification],"&gt;0")</f>
        <v>0</v>
      </c>
      <c r="OZ141" s="6">
        <f>COUNTIFS(Table134[Country],Tabela1[[#This Row],[Country]],Table134[Women''s Classification],"&gt;0")</f>
        <v>0</v>
      </c>
      <c r="PA141" s="6">
        <f>COUNTIFS(Table135[Country],Tabela1[[#This Row],[Country]],Table135[Mixed Relay Classification],"&gt;0")</f>
        <v>0</v>
      </c>
      <c r="PB141" s="6">
        <f>COUNTIFS(Table136[Country],Tabela1[[#This Row],[Country]],Table136[Individual Classification],"&gt;0")</f>
        <v>0</v>
      </c>
      <c r="PC141" s="6">
        <f>COUNTIFS(Table136[Country],Tabela1[[#This Row],[Country]],Table136[Sprint Classification],"&gt;0")</f>
        <v>0</v>
      </c>
      <c r="PD141" s="6">
        <f>COUNTIFS(Table137[Country],Tabela1[[#This Row],[Country]],Table137[Men''s Team Sprint Large Hill Classification],"&gt;0")</f>
        <v>0</v>
      </c>
      <c r="PE141" s="6">
        <f>COUNTIFS(Table138[Country],Tabela1[[#This Row],[Country]],Table138[500m Classification],"&gt;0")</f>
        <v>0</v>
      </c>
      <c r="PF141" s="6">
        <f>COUNTIFS(Table138141[Country],Tabela1[[#This Row],[Country]],Table138141[500m Classification],"&gt;0")</f>
        <v>0</v>
      </c>
      <c r="PG141" s="6">
        <f>COUNTIFS(Table138[Country],Tabela1[[#This Row],[Country]],Table138[1000m Classification],"&gt;0")</f>
        <v>0</v>
      </c>
      <c r="PH141" s="6">
        <f>COUNTIFS(Table138141[Country],Tabela1[[#This Row],[Country]],Table138141[1000m Classification],"&gt;0")</f>
        <v>0</v>
      </c>
      <c r="PI141" s="6">
        <f>COUNTIFS(Table138[Country],Tabela1[[#This Row],[Country]],Table138[1500m Classification],"&gt;0")</f>
        <v>0</v>
      </c>
      <c r="PJ141" s="6">
        <f>COUNTIFS(Table138141[Country],Tabela1[[#This Row],[Country]],Table138141[1500m Classification],"&gt;0")</f>
        <v>0</v>
      </c>
      <c r="PK141" s="6">
        <f>COUNTIFS(Table141[Country],Tabela1[[#This Row],[Country]],Table141[Men''s 5000m Relay Classification],"&gt;0")</f>
        <v>0</v>
      </c>
      <c r="PL141" s="6">
        <f>COUNTIFS(Table141[Country],Tabela1[[#This Row],[Country]],Table141[Women''s 3000m Relay Classification],"&gt;0")</f>
        <v>0</v>
      </c>
      <c r="PM141" s="6">
        <f>COUNTIFS(Table141[Country],Tabela1[[#This Row],[Country]],Table141[Mixed 2000m Relay Classification],"&gt;0")</f>
        <v>0</v>
      </c>
      <c r="PN141" s="6">
        <f>COUNTIFS(Table142[Country],Tabela1[[#This Row],[Country]],Table142[Classification],"&gt;0")</f>
        <v>0</v>
      </c>
      <c r="PO141" s="6">
        <f>COUNTIFS(Table142145[Country],Tabela1[[#This Row],[Country]],Table142145[Classification],"&gt;0")</f>
        <v>0</v>
      </c>
      <c r="PP141" s="6">
        <f>COUNTIFS(Tabela15[Country],Tabela1[[#This Row],[Country]],Tabela15[Mixed Team Classification],"&gt;0")</f>
        <v>0</v>
      </c>
      <c r="PQ141" s="6">
        <f>COUNTIFS(Table145[Country],Tabela1[[#This Row],[Country]],Table145[Large Hill Classification],"&gt;0")</f>
        <v>0</v>
      </c>
      <c r="PR141" s="6">
        <f>COUNTIFS(Table145[Country],Tabela1[[#This Row],[Country]],Table145[Normal Hill Classification],"&gt;0")</f>
        <v>0</v>
      </c>
      <c r="PS141" s="6">
        <f>COUNTIFS(Table145148[Country],Tabela1[[#This Row],[Country]],Table145148[Large Hill Classification],"&gt;0")</f>
        <v>0</v>
      </c>
      <c r="PT141" s="6">
        <f>COUNTIFS(Table145148[Country],Tabela1[[#This Row],[Country]],Table145148[Normal Hill Classification],"&gt;0")</f>
        <v>0</v>
      </c>
      <c r="PU141" s="6">
        <f>COUNTIFS(Table148[Country],Tabela1[[#This Row],[Country]],Table148[Men''s Super Team Classification],"&gt;0")</f>
        <v>0</v>
      </c>
      <c r="PV141" s="6">
        <f>COUNTIFS(Tabela114[Country],Tabela1[[#This Row],[Country]],Tabela114[Mixed Normal Hill Classification],"&gt;0")</f>
        <v>0</v>
      </c>
      <c r="PW141" s="6">
        <f>COUNTIFS(Tabela50[Country],Tabela1[[#This Row],[Country]],Tabela50[Sprint Classification],"&gt;0")</f>
        <v>0</v>
      </c>
      <c r="PX141" s="6">
        <f>COUNTIFS(Tabela50101[Country],Tabela1[[#This Row],[Country]],Tabela50101[Sprint Classification],"&gt;0")</f>
        <v>0</v>
      </c>
      <c r="PY141" s="6">
        <f>COUNTIFS(Tabela103[Country],Tabela1[[#This Row],[Country]],Tabela103[Mixed Relay Classification],"&gt;0")</f>
        <v>0</v>
      </c>
      <c r="PZ141" s="6">
        <f>COUNTIFS(Table149[Country],Tabela1[[#This Row],[Country]],Table149[Big Air Classification],"&gt;0")</f>
        <v>0</v>
      </c>
      <c r="QA141" s="6">
        <f>COUNTIFS(Table149152[Country],Tabela1[[#This Row],[Country]],Table149152[Big Air Classification],"&gt;0")</f>
        <v>0</v>
      </c>
      <c r="QB141" s="6">
        <f>COUNTIFS(Table149[Country],Tabela1[[#This Row],[Country]],Table149[Halfpipe Classification],"&gt;0")</f>
        <v>0</v>
      </c>
      <c r="QC141" s="6">
        <f>COUNTIFS(Table149152[Country],Tabela1[[#This Row],[Country]],Table149152[Halfpipe Classification],"&gt;0")</f>
        <v>0</v>
      </c>
      <c r="QD141" s="6">
        <f>COUNTIFS(Table149[Country],Tabela1[[#This Row],[Country]],Table149[Parallel Giant Slalom Classification],"&gt;0")</f>
        <v>0</v>
      </c>
      <c r="QE141" s="6">
        <f>COUNTIFS(Table149152[Country],Tabela1[[#This Row],[Country]],Table149152[Parallel Giant Slalom Classification],"&gt;0")</f>
        <v>0</v>
      </c>
      <c r="QF141" s="6">
        <f>COUNTIFS(Table149[Country],Tabela1[[#This Row],[Country]],Table149[Slopestyle Classification],"&gt;0")</f>
        <v>0</v>
      </c>
      <c r="QG141" s="6">
        <f>COUNTIFS(Table149152[Country],Tabela1[[#This Row],[Country]],Table149152[Slopestyle Classification],"&gt;0")</f>
        <v>0</v>
      </c>
      <c r="QH141" s="6">
        <f>COUNTIFS(Table149[Country],Tabela1[[#This Row],[Country]],Table149[Snowboard Cross Classification],"&gt;0")</f>
        <v>0</v>
      </c>
      <c r="QI141" s="6">
        <f>COUNTIFS(Table149152[Country],Tabela1[[#This Row],[Country]],Table149152[Snowboard Cross Classification],"&gt;0")</f>
        <v>0</v>
      </c>
      <c r="QJ141" s="6">
        <f>COUNTIFS(Table153[Country],Tabela1[[#This Row],[Country]],Table153[Mixed Team Snowboard Cross Classification],"&gt;0")</f>
        <v>0</v>
      </c>
      <c r="QK141" s="6">
        <f>COUNTIFS(Table154[Country],Tabela1[[#This Row],[Country]],Table154[500m Classification],"&gt;0")</f>
        <v>0</v>
      </c>
      <c r="QL141" s="6">
        <f>COUNTIFS(Table154157[Country],Tabela1[[#This Row],[Country]],Table154157[500m Classification],"&gt;0")</f>
        <v>0</v>
      </c>
      <c r="QM141" s="6">
        <f>COUNTIFS(Table154[Country],Tabela1[[#This Row],[Country]],Table154[1000m Classification],"&gt;0")</f>
        <v>0</v>
      </c>
      <c r="QN141" s="6">
        <f>COUNTIFS(Table154157[Country],Tabela1[[#This Row],[Country]],Table154157[1000m Classification],"&gt;0")</f>
        <v>0</v>
      </c>
      <c r="QO141" s="6">
        <f>COUNTIFS(Table154[Country],Tabela1[[#This Row],[Country]],Table154[1500m Classification],"&gt;0")</f>
        <v>0</v>
      </c>
      <c r="QP141" s="6">
        <f>COUNTIFS(Table154157[Country],Tabela1[[#This Row],[Country]],Table154157[1500m Classification],"&gt;0")</f>
        <v>0</v>
      </c>
      <c r="QQ141" s="6">
        <f>COUNTIFS(Table154157[Country],Tabela1[[#This Row],[Country]],Table154157[3000m Classification],"&gt;0")</f>
        <v>0</v>
      </c>
      <c r="QR141" s="6">
        <f>COUNTIFS(Table154[Country],Tabela1[[#This Row],[Country]],Table154[5000m Classification],"&gt;0")</f>
        <v>0</v>
      </c>
      <c r="QS141" s="6">
        <f>COUNTIFS(Table154157[Country],Tabela1[[#This Row],[Country]],Table154157[5000m Classification],"&gt;0")</f>
        <v>0</v>
      </c>
      <c r="QT141" s="6">
        <f>COUNTIFS(Table154[Country],Tabela1[[#This Row],[Country]],Table154[10000m Classification],"&gt;0")</f>
        <v>0</v>
      </c>
      <c r="QU141" s="6">
        <f>COUNTIFS(Table154[Country],Tabela1[[#This Row],[Country]],Table154[Mass Start Classification],"&gt;0")</f>
        <v>0</v>
      </c>
      <c r="QV141" s="6">
        <f>COUNTIFS(Table154157[Country],Tabela1[[#This Row],[Country]],Table154157[Mass Start Classification],"&gt;0")</f>
        <v>0</v>
      </c>
      <c r="QW141" s="6">
        <f>COUNTIFS(Table157[Country],Tabela1[[#This Row],[Country]],Table157[Men''s Pursuit Classification],"&gt;0")</f>
        <v>0</v>
      </c>
      <c r="QX141" s="6">
        <f>COUNTIFS(Table157[Country],Tabela1[[#This Row],[Country]],Table157[Women''s Pursuit Classification],"&gt;0")</f>
        <v>0</v>
      </c>
      <c r="QY141" s="4" t="s">
        <v>487</v>
      </c>
    </row>
    <row r="142" spans="1:467" x14ac:dyDescent="0.3">
      <c r="A142" s="6">
        <v>141</v>
      </c>
      <c r="B142" s="6" t="s">
        <v>702</v>
      </c>
      <c r="C142" t="e" vm="141">
        <f>IF(ISBLANK(Tabela1[[#This Row],[Image Link]]), "", _xlfn.IMAGE(Tabela1[[#This Row],[Image Link]],1,1))</f>
        <v>#VALUE!</v>
      </c>
      <c r="D142" s="6">
        <f>SUM(Tabela1[[#This Row],[Archery - Men''s Individual Recurve]:[Speed Skating - Women''s Team Pursuit]])</f>
        <v>1</v>
      </c>
      <c r="E142" s="6">
        <f>COUNTIF(Tabela1[[#This Row],[Archery - Men''s Individual Recurve]:[Speed Skating - Women''s Team Pursuit]],"&gt;0")</f>
        <v>1</v>
      </c>
      <c r="F142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42" s="6">
        <f>SUM(Tabela1[[#This Row],[Archery - Men''s Individual Recurve]:[Wrestling - Women''s Freestyle 76kg]])</f>
        <v>1</v>
      </c>
      <c r="H142" s="6">
        <f>SUM(Tabela1[[#This Row],[Alpine Skiing - Men''s Downhill]:[Speed Skating - Women''s Team Pursuit]])</f>
        <v>0</v>
      </c>
      <c r="I142" s="6">
        <f>Tabela1[[#This Row],[Summer Gold Medals]]+Tabela1[[#This Row],[Winter Gold Medals]]</f>
        <v>0</v>
      </c>
      <c r="J142" s="6">
        <f>Tabela1[[#This Row],[Summer Silver Medals]]+Tabela1[[#This Row],[Winter Silver Medals]]</f>
        <v>0</v>
      </c>
      <c r="K142" s="6">
        <f>Tabela1[[#This Row],[Summer Bronze Medals]]+Tabela1[[#This Row],[Winter Bronze Medals]]</f>
        <v>0</v>
      </c>
      <c r="L142" s="6">
        <f>SUM(Tabela1[[#This Row],[Total Gold Medals]:[Total Bronze Medals]])</f>
        <v>0</v>
      </c>
      <c r="M142" s="6"/>
      <c r="N142" s="6"/>
      <c r="O142" s="6"/>
      <c r="P142" s="6">
        <f>SUM(Tabela1[[#This Row],[Summer Gold Medals]:[Summer Bronze Medals]])</f>
        <v>0</v>
      </c>
      <c r="Q142" s="6"/>
      <c r="R142" s="6"/>
      <c r="S142" s="6"/>
      <c r="T142" s="6">
        <f>Tabela1[[#This Row],[Winter Gold Medals]]+Tabela1[[#This Row],[Winter Silver Medals]]+Tabela1[[#This Row],[Winter Bronze Medals]]</f>
        <v>0</v>
      </c>
      <c r="U142" s="7">
        <f>Tabela1[[#This Row],[Total Medals]]/Tabela1[[#This Row],[Total Quotas]]</f>
        <v>0</v>
      </c>
      <c r="V142" s="6">
        <f>COUNTIFS(Table3[Country],Tabela1[[#This Row],[Country]],Table3[Recurve Classification],"&gt;0")</f>
        <v>0</v>
      </c>
      <c r="W142" s="6">
        <f>COUNTIFS(Table33[Country],Tabela1[[#This Row],[Country]],Table33[Recurve Classification],"&gt;0")</f>
        <v>0</v>
      </c>
      <c r="X142" s="6">
        <f>COUNTIFS(Table35[Country],Tabela1[[#This Row],[Country]],Table35[Men''s Team Recurve Classification],"&gt;0")</f>
        <v>0</v>
      </c>
      <c r="Y142" s="6">
        <f>COUNTIFS(Table35[Country],Tabela1[[#This Row],[Country]],Table35[Women''s Team Recurve Classification],"&gt;0")</f>
        <v>0</v>
      </c>
      <c r="Z142" s="6">
        <f>COUNTIFS(Tabela88[Country],Tabela1[[#This Row],[Country]],Tabela88[Mixed Team Recurve Classification],"&gt;0")</f>
        <v>0</v>
      </c>
      <c r="AA142" s="6">
        <f>COUNTIFS(Table36[Country],Tabela1[[#This Row],[Country]],Table36[Classification],"&gt;0")</f>
        <v>0</v>
      </c>
      <c r="AB142" s="6">
        <f>COUNTIFS(Table37[Country],Tabela1[[#This Row],[Country]],Table37[Classification],"&gt;0")</f>
        <v>0</v>
      </c>
      <c r="AC142" s="6">
        <f>COUNTIFS(Table4[Country],Tabela1[[#This Row],[Country]],Table4[100m Classification],"&gt;0")</f>
        <v>0</v>
      </c>
      <c r="AD142" s="6">
        <f>COUNTIFS(Table5[Country],Tabela1[[#This Row],[Country]],Table5[100m Classification],"&gt;0")</f>
        <v>0</v>
      </c>
      <c r="AE142" s="6">
        <f>COUNTIFS(Table4[Country],Tabela1[[#This Row],[Country]],Table4[200m Classification],"&gt;0")</f>
        <v>0</v>
      </c>
      <c r="AF142" s="6">
        <f>COUNTIFS(Table5[Country],Tabela1[[#This Row],[Country]],Table5[200m Classification],"&gt;0")</f>
        <v>0</v>
      </c>
      <c r="AG142" s="6">
        <f>COUNTIFS(Table4[Country],Tabela1[[#This Row],[Country]],Table4[400m Classification],"&gt;0")</f>
        <v>0</v>
      </c>
      <c r="AH142" s="6">
        <f>COUNTIFS(Table5[Country],Tabela1[[#This Row],[Country]],Table5[400m Classification],"&gt;0")</f>
        <v>0</v>
      </c>
      <c r="AI142" s="6">
        <f>COUNTIFS(Table4[Country],Tabela1[[#This Row],[Country]],Table4[800m Classification],"&gt;0")</f>
        <v>0</v>
      </c>
      <c r="AJ142" s="6">
        <f>COUNTIFS(Table5[Country],Tabela1[[#This Row],[Country]],Table5[800m Classification],"&gt;0")</f>
        <v>0</v>
      </c>
      <c r="AK142" s="6">
        <f>COUNTIFS(Table4[Country],Tabela1[[#This Row],[Country]],Table4[1500m Classification],"&gt;0")</f>
        <v>0</v>
      </c>
      <c r="AL142" s="6">
        <f>COUNTIFS(Table5[Country],Tabela1[[#This Row],[Country]],Table5[1500m Classification],"&gt;0")</f>
        <v>0</v>
      </c>
      <c r="AM142" s="6">
        <f>COUNTIFS(Table4[Country],Tabela1[[#This Row],[Country]],Table4[5000m Classification],"&gt;0")</f>
        <v>0</v>
      </c>
      <c r="AN142" s="6">
        <f>COUNTIFS(Table5[Country],Tabela1[[#This Row],[Country]],Table5[5000m Classification],"&gt;0")</f>
        <v>0</v>
      </c>
      <c r="AO142" s="6">
        <f>COUNTIFS(Table4[Country],Tabela1[[#This Row],[Country]],Table4[10000m Classification],"&gt;0")</f>
        <v>0</v>
      </c>
      <c r="AP142" s="6">
        <f>COUNTIFS(Table5[Country],Tabela1[[#This Row],[Country]],Table5[10000m Classification],"&gt;0")</f>
        <v>0</v>
      </c>
      <c r="AQ142" s="6">
        <f>COUNTIFS(Table4[Country],Tabela1[[#This Row],[Country]],Table4[110m Hurdles Classification],"&gt;0")</f>
        <v>0</v>
      </c>
      <c r="AR142" s="6">
        <f>COUNTIFS(Table5[Country],Tabela1[[#This Row],[Country]],Table5[100m Hurdles Classification],"&gt;0")</f>
        <v>0</v>
      </c>
      <c r="AS142" s="6">
        <f>COUNTIFS(Table4[Country],Tabela1[[#This Row],[Country]],Table4[400m Hurdles Classification],"&gt;0")</f>
        <v>0</v>
      </c>
      <c r="AT142" s="6">
        <f>COUNTIFS(Table5[Country],Tabela1[[#This Row],[Country]],Table5[400m Hurdles Classification],"&gt;0")</f>
        <v>0</v>
      </c>
      <c r="AU142" s="6">
        <f>COUNTIFS(Table4[Country],Tabela1[[#This Row],[Country]],Table4[3000m Steeplechase Classification],"&gt;0")</f>
        <v>0</v>
      </c>
      <c r="AV142" s="6">
        <f>COUNTIFS(Table5[Country],Tabela1[[#This Row],[Country]],Table5[3000m Steeplechase Classification],"&gt;0")</f>
        <v>0</v>
      </c>
      <c r="AW142" s="6">
        <f>COUNTIFS(Table27[Country],Tabela1[[#This Row],[Country]],Table27[Men''s 4x100m Relay Classification],"&gt;0")</f>
        <v>0</v>
      </c>
      <c r="AX142" s="6">
        <f>COUNTIFS(Table27[Country],Tabela1[[#This Row],[Country]],Table27[Women''s 4x100m Relay Classification],"&gt;0")</f>
        <v>0</v>
      </c>
      <c r="AY142" s="6">
        <f>COUNTIFS(Table27[Country],Tabela1[[#This Row],[Country]],Table27[Men''s 4x400m Relay Classification],"&gt;0")</f>
        <v>0</v>
      </c>
      <c r="AZ142" s="6">
        <f>COUNTIFS(Table27[Country],Tabela1[[#This Row],[Country]],Table27[Women''s 4x400m Relay Classification],"&gt;0")</f>
        <v>0</v>
      </c>
      <c r="BA142" s="6">
        <f>COUNTIFS(Table27[Country],Tabela1[[#This Row],[Country]],Table27[Mixed 4x400m Relay Classification],"&gt;0")</f>
        <v>0</v>
      </c>
      <c r="BB142" s="6">
        <f>COUNTIFS(Table4[Country],Tabela1[[#This Row],[Country]],Table4[Marathon Classification],"&gt;0")</f>
        <v>0</v>
      </c>
      <c r="BC142" s="6">
        <f>COUNTIFS(Table5[Country],Tabela1[[#This Row],[Country]],Table5[Marathon Classification],"&gt;0")</f>
        <v>0</v>
      </c>
      <c r="BD142" s="6">
        <f>COUNTIFS(Table4[Country],Tabela1[[#This Row],[Country]],Table4[20km Race Walk Classification],"&gt;0")</f>
        <v>0</v>
      </c>
      <c r="BE142" s="6">
        <f>COUNTIFS(Table5[Country],Tabela1[[#This Row],[Country]],Table5[20km Race Walk Classification],"&gt;0")</f>
        <v>0</v>
      </c>
      <c r="BF142" s="6">
        <f>COUNTIFS(Tabela96[Country],Tabela1[[#This Row],[Country]],Tabela96[Mixed Marathon Race Walk Relay Classification],"&gt;0")</f>
        <v>0</v>
      </c>
      <c r="BG142" s="6">
        <f>COUNTIFS(Table4[Country],Tabela1[[#This Row],[Country]],Table4[Discus Throw Classification],"&gt;0")</f>
        <v>0</v>
      </c>
      <c r="BH142" s="6">
        <f>COUNTIFS(Table5[Country],Tabela1[[#This Row],[Country]],Table5[Discus Throw Classification],"&gt;0")</f>
        <v>0</v>
      </c>
      <c r="BI142" s="6">
        <f>COUNTIFS(Table4[Country],Tabela1[[#This Row],[Country]],Table4[Hammer Throw Classification],"&gt;0")</f>
        <v>0</v>
      </c>
      <c r="BJ142" s="6">
        <f>COUNTIFS(Table5[Country],Tabela1[[#This Row],[Country]],Table5[Hammer Throw Classification],"&gt;0")</f>
        <v>0</v>
      </c>
      <c r="BK142" s="6">
        <f>COUNTIFS(Table4[Country],Tabela1[[#This Row],[Country]],Table4[High Jump Classification],"&gt;0")</f>
        <v>0</v>
      </c>
      <c r="BL142" s="6">
        <f>COUNTIFS(Table5[Country],Tabela1[[#This Row],[Country]],Table5[High Jump Classification],"&gt;0")</f>
        <v>0</v>
      </c>
      <c r="BM142" s="6">
        <f>COUNTIFS(Table4[Country],Tabela1[[#This Row],[Country]],Table4[Javelin Throw Classification],"&gt;0")</f>
        <v>0</v>
      </c>
      <c r="BN142" s="6">
        <f>COUNTIFS(Table5[Country],Tabela1[[#This Row],[Country]],Table5[Javelin Throw Classification],"&gt;0")</f>
        <v>0</v>
      </c>
      <c r="BO142" s="6">
        <f>COUNTIFS(Table4[Country],Tabela1[[#This Row],[Country]],Table4[Long Jump Classification],"&gt;0")</f>
        <v>0</v>
      </c>
      <c r="BP142" s="6">
        <f>COUNTIFS(Table5[Country],Tabela1[[#This Row],[Country]],Table5[Long Jump Classification],"&gt;0")</f>
        <v>0</v>
      </c>
      <c r="BQ142" s="6">
        <f>COUNTIFS(Table4[Country],Tabela1[[#This Row],[Country]],Table4[Pole Vault Classification],"&gt;0")</f>
        <v>0</v>
      </c>
      <c r="BR142" s="6">
        <f>COUNTIFS(Table5[Country],Tabela1[[#This Row],[Country]],Table5[Pole Vault Classification],"&gt;0")</f>
        <v>0</v>
      </c>
      <c r="BS142" s="6">
        <f>COUNTIFS(Table4[Country],Tabela1[[#This Row],[Country]],Table4[Shot Put Classification],"&gt;0")</f>
        <v>0</v>
      </c>
      <c r="BT142" s="6">
        <f>COUNTIFS(Table5[Country],Tabela1[[#This Row],[Country]],Table5[Shot Put Classification],"&gt;0")</f>
        <v>0</v>
      </c>
      <c r="BU142" s="6">
        <f>COUNTIFS(Table4[Country],Tabela1[[#This Row],[Country]],Table4[Triple Jump Classification],"&gt;0")</f>
        <v>0</v>
      </c>
      <c r="BV142" s="6">
        <f>COUNTIFS(Table5[Country],Tabela1[[#This Row],[Country]],Table5[Triple Jump Classification],"&gt;0")</f>
        <v>0</v>
      </c>
      <c r="BW142" s="6">
        <f>COUNTIFS(Table4[Country],Tabela1[[#This Row],[Country]],Table4[Decathlon Classification],"&gt;0")</f>
        <v>0</v>
      </c>
      <c r="BX142" s="6">
        <f>COUNTIFS(Table5[Country],Tabela1[[#This Row],[Country]],Table5[Heptathlon Classification],"&gt;0")</f>
        <v>0</v>
      </c>
      <c r="BY142" s="6">
        <f>COUNTIFS(Table61[Country],Tabela1[[#This Row],[Country]],Table61[Classification],"&gt;0")</f>
        <v>1</v>
      </c>
      <c r="BZ142" s="6">
        <f>COUNTIFS(Table38[Country],Tabela1[[#This Row],[Country]],Table38[Classification],"&gt;0")</f>
        <v>0</v>
      </c>
      <c r="CA142" s="6">
        <f>COUNTIFS(Table39[Country],Tabela1[[#This Row],[Country]],Table39[Men''s Classification],"&gt;0")</f>
        <v>0</v>
      </c>
      <c r="CB142" s="6">
        <f>COUNTIFS(Table39[Country],Tabela1[[#This Row],[Country]],Table39[Women''s Classification],"&gt;0")</f>
        <v>0</v>
      </c>
      <c r="CC142" s="6">
        <f>COUNTIFS(Table39[Country],Tabela1[[#This Row],[Country]],Table39[Mixed Classification],"&gt;0")</f>
        <v>0</v>
      </c>
      <c r="CD142" s="6">
        <f>COUNTIFS(Table89[Country],Tabela1[[#This Row],[Country]],Table89[Men''s Classification],"&gt;0")</f>
        <v>0</v>
      </c>
      <c r="CE142" s="6">
        <f>COUNTIFS(Table89[Country],Tabela1[[#This Row],[Country]],Table89[Women''s Classification],"&gt;0")</f>
        <v>0</v>
      </c>
      <c r="CF142" s="6">
        <f>COUNTIFS(Table90[Country],Tabela1[[#This Row],[Country]],Table90[Men''s Classification],"&gt;0")</f>
        <v>0</v>
      </c>
      <c r="CG142" s="6">
        <f>COUNTIFS(Table90[Country],Tabela1[[#This Row],[Country]],Table90[Women''s Classification],"&gt;0")</f>
        <v>0</v>
      </c>
      <c r="CH142" s="6">
        <f>COUNTIFS(Table60[Country],Tabela1[[#This Row],[Country]],Table60[Men''s Classification],"&gt;0")</f>
        <v>0</v>
      </c>
      <c r="CI142" s="6">
        <f>COUNTIFS(Table60[Country],Tabela1[[#This Row],[Country]],Table60[Women''s Classification],"&gt;0")</f>
        <v>0</v>
      </c>
      <c r="CJ142" s="6">
        <f>COUNTIFS(Table6[Country],Tabela1[[#This Row],[Country]],Table6[51kg Classification],"&gt;0")</f>
        <v>0</v>
      </c>
      <c r="CK142" s="6">
        <f>COUNTIFS(Table6[Country],Tabela1[[#This Row],[Country]],Table6[57kg Classification],"&gt;0")</f>
        <v>0</v>
      </c>
      <c r="CL142" s="6">
        <f>COUNTIFS(Table6[Country],Tabela1[[#This Row],[Country]],Table6[63.5kg Classification],"&gt;0")</f>
        <v>0</v>
      </c>
      <c r="CM142" s="6">
        <f>COUNTIFS(Table6[Country],Tabela1[[#This Row],[Country]],Table6[71kg Classification],"&gt;0")</f>
        <v>0</v>
      </c>
      <c r="CN142" s="6">
        <f>COUNTIFS(Table6[Country],Tabela1[[#This Row],[Country]],Table6[80kg Classification],"&gt;0")</f>
        <v>0</v>
      </c>
      <c r="CO142" s="6">
        <f>COUNTIFS(Table6[Country],Tabela1[[#This Row],[Country]],Table6[92kg Classification],"&gt;0")</f>
        <v>0</v>
      </c>
      <c r="CP142" s="6">
        <f>COUNTIFS(Table6[Country],Tabela1[[#This Row],[Country]],Table6[Plus 92kg Classification],"&gt;0")</f>
        <v>0</v>
      </c>
      <c r="CQ142" s="6">
        <f>COUNTIFS(Table7[Country],Tabela1[[#This Row],[Country]],Table7[50kg Classification],"&gt;0")</f>
        <v>0</v>
      </c>
      <c r="CR142" s="6">
        <f>COUNTIFS(Table7[Country],Tabela1[[#This Row],[Country]],Table7[54kg Classification],"&gt;0")</f>
        <v>0</v>
      </c>
      <c r="CS142" s="6">
        <f>COUNTIFS(Table7[Country],Tabela1[[#This Row],[Country]],Table7[57kg Classification],"&gt;0")</f>
        <v>0</v>
      </c>
      <c r="CT142" s="6">
        <f>COUNTIFS(Table7[Country],Tabela1[[#This Row],[Country]],Table7[60kg Classification],"&gt;0")</f>
        <v>0</v>
      </c>
      <c r="CU142" s="6">
        <f>COUNTIFS(Table7[Country],Tabela1[[#This Row],[Country]],Table7[66kg Classification],"&gt;0")</f>
        <v>0</v>
      </c>
      <c r="CV142" s="6">
        <f>COUNTIFS(Table7[Country],Tabela1[[#This Row],[Country]],Table7[75kg Classification],"&gt;0")</f>
        <v>0</v>
      </c>
      <c r="CW142" s="6">
        <f>COUNTIFS(Tabela94[Country],Tabela1[[#This Row],[Country]],Tabela94[Classification],"&gt;0")</f>
        <v>0</v>
      </c>
      <c r="CX142" s="6">
        <f>COUNTIFS(Tabela9499[Country],Tabela1[[#This Row],[Country]],Tabela9499[Classification],"&gt;0")</f>
        <v>0</v>
      </c>
      <c r="CY142" s="6">
        <f>COUNTIFS(Tabela107[Country],Tabela1[[#This Row],[Country]],Tabela107[C1 Slalom Classification],"&gt;0")</f>
        <v>0</v>
      </c>
      <c r="CZ142" s="6">
        <f>COUNTIFS(Tabela107122[Country],Tabela1[[#This Row],[Country]],Tabela107122[C1 Slalom Classification],"&gt;0")</f>
        <v>0</v>
      </c>
      <c r="DA142" s="6">
        <f>COUNTIFS(Tabela107[Country],Tabela1[[#This Row],[Country]],Tabela107[K1 Slalom Classification],"&gt;0")</f>
        <v>0</v>
      </c>
      <c r="DB142" s="6">
        <f>COUNTIFS(Tabela107122[Country],Tabela1[[#This Row],[Country]],Tabela107122[K1 Slalom Classification],"&gt;0")</f>
        <v>0</v>
      </c>
      <c r="DC142" s="6">
        <f>COUNTIFS(Tabela107[Country],Tabela1[[#This Row],[Country]],Tabela107[Kayak Cross Slalom Classification],"&gt;0")</f>
        <v>0</v>
      </c>
      <c r="DD142" s="6">
        <f>COUNTIFS(Tabela107122[Country],Tabela1[[#This Row],[Country]],Tabela107122[Kayak Cross Slalom Classification],"&gt;0")</f>
        <v>0</v>
      </c>
      <c r="DE142" s="6">
        <f>COUNTIFS(Table8[Country],Tabela1[[#This Row],[Country]],Table8[C1 200m Classification],"&gt;0")</f>
        <v>0</v>
      </c>
      <c r="DF142" s="6">
        <f>COUNTIFS(Table40[Country],Tabela1[[#This Row],[Country]],Table40[C1 1000m Classification],"&gt;0")</f>
        <v>0</v>
      </c>
      <c r="DG142" s="6">
        <f>COUNTIFS(Table68[Country],Tabela1[[#This Row],[Country]],Table68[Men''s C2 500m Classification],"&gt;0")</f>
        <v>0</v>
      </c>
      <c r="DH142" s="6">
        <f>COUNTIFS(Table68[Country],Tabela1[[#This Row],[Country]],Table68[Women''s C2 500m Classification],"&gt;0")</f>
        <v>0</v>
      </c>
      <c r="DI142" s="6">
        <f>COUNTIFS(Table8[Country],Tabela1[[#This Row],[Country]],Table8[K1 500m Classification],"&gt;0")</f>
        <v>0</v>
      </c>
      <c r="DJ142" s="6">
        <f>COUNTIFS(Table40[Country],Tabela1[[#This Row],[Country]],Table40[K1 1000m Classification],"&gt;0")</f>
        <v>0</v>
      </c>
      <c r="DK142" s="6">
        <f>COUNTIFS(Table68[Country],Tabela1[[#This Row],[Country]],Table68[Men''s K2 500m Classification],"&gt;0")</f>
        <v>0</v>
      </c>
      <c r="DL142" s="6">
        <f>COUNTIFS(Table68[Country],Tabela1[[#This Row],[Country]],Table68[Women''s K2 500m Classification],"&gt;0")</f>
        <v>0</v>
      </c>
      <c r="DM142" s="6">
        <f>COUNTIFS(Table83[Country],Tabela1[[#This Row],[Country]],Table83[Men''s K4 500m Classification],"&gt;0")</f>
        <v>0</v>
      </c>
      <c r="DN142" s="6">
        <f>COUNTIFS(Table83[Country],Tabela1[[#This Row],[Country]],Table83[Women''s K4 500m Classification],"&gt;0")</f>
        <v>0</v>
      </c>
      <c r="DO142" s="6">
        <f>COUNTIFS(Tabela126[Country],Tabela1[[#This Row],[Country]],Tabela126[Classification],"&gt;0")</f>
        <v>0</v>
      </c>
      <c r="DP142" s="6">
        <f>COUNTIFS(Tabela126130[Country],Tabela1[[#This Row],[Country]],Tabela126130[Classification],"&gt;0")</f>
        <v>0</v>
      </c>
      <c r="DQ142" s="6">
        <f>COUNTIFS(Table70[Country],Tabela1[[#This Row],[Country]],Table70[Classification],"&gt;0")</f>
        <v>0</v>
      </c>
      <c r="DR142" s="6">
        <f>COUNTIFS(Table80[Country],Tabela1[[#This Row],[Country]],Table80[Classification],"&gt;0")</f>
        <v>0</v>
      </c>
      <c r="DS142" s="6">
        <f>COUNTIFS(Table66[Country],Tabela1[[#This Row],[Country]],Table66[Classification],"&gt;0")</f>
        <v>0</v>
      </c>
      <c r="DT142" s="6">
        <f>COUNTIFS(Table67[Country],Tabela1[[#This Row],[Country]],Table67[Classification],"&gt;0")</f>
        <v>0</v>
      </c>
      <c r="DU142" s="6">
        <f>COUNTIFS(Table69[Country],Tabela1[[#This Row],[Country]],Table69[Keirin Classification],"&gt;0")</f>
        <v>0</v>
      </c>
      <c r="DV142" s="6">
        <f>COUNTIFS(Table41[Country],Tabela1[[#This Row],[Country]],Table41[Keirin Classification],"&gt;0")</f>
        <v>0</v>
      </c>
      <c r="DW142" s="6">
        <f>COUNTIFS(Table84[Country],Tabela1[[#This Row],[Country]],Table84[Men''s Madison Classification],"&gt;0")</f>
        <v>0</v>
      </c>
      <c r="DX142" s="6">
        <f>COUNTIFS(Table84[Country],Tabela1[[#This Row],[Country]],Table84[Women''s Madison Classification],"&gt;0")</f>
        <v>0</v>
      </c>
      <c r="DY142" s="6">
        <f>COUNTIFS(Table69[Country],Tabela1[[#This Row],[Country]],Table69[Omnium Classification],"&gt;0")</f>
        <v>0</v>
      </c>
      <c r="DZ142" s="6">
        <f>COUNTIFS(Table41[Country],Tabela1[[#This Row],[Country]],Table41[Omnium Classification],"&gt;0")</f>
        <v>0</v>
      </c>
      <c r="EA142" s="6">
        <f>COUNTIFS(Table9[Country],Tabela1[[#This Row],[Country]],Table9[Road Race Classification],"&gt;0")</f>
        <v>0</v>
      </c>
      <c r="EB142" s="6">
        <f>COUNTIFS(Table14[Country],Tabela1[[#This Row],[Country]],Table14[Road Race Classification],"&gt;0")</f>
        <v>0</v>
      </c>
      <c r="EC142" s="6">
        <f>COUNTIFS(Table69[Country],Tabela1[[#This Row],[Country]],Table69[Sprint Classification],"&gt;0")</f>
        <v>0</v>
      </c>
      <c r="ED142" s="6">
        <f>COUNTIFS(Table41[Country],Tabela1[[#This Row],[Country]],Table41[Sprint Classification],"&gt;0")</f>
        <v>0</v>
      </c>
      <c r="EE142" s="6">
        <f>COUNTIFS(Table85[Country],Tabela1[[#This Row],[Country]],Table85[Men''s Sprint Classification],"&gt;0")</f>
        <v>0</v>
      </c>
      <c r="EF142" s="6">
        <f>COUNTIFS(Table85[Country],Tabela1[[#This Row],[Country]],Table85[Women''s Sprint Classification],"&gt;0")</f>
        <v>0</v>
      </c>
      <c r="EG142" s="6">
        <f>COUNTIFS(Table85[Country],Tabela1[[#This Row],[Country]],Table85[Men''s Pursuit Classification],"&gt;0")</f>
        <v>0</v>
      </c>
      <c r="EH142" s="6">
        <f>COUNTIFS(Table85[Country],Tabela1[[#This Row],[Country]],Table85[Women''s Pursuit Classification],"&gt;0")</f>
        <v>0</v>
      </c>
      <c r="EI142" s="6">
        <f>COUNTIFS(Table9[Country],Tabela1[[#This Row],[Country]],Table9[Time-Trial Classification],"&gt;0")</f>
        <v>0</v>
      </c>
      <c r="EJ142" s="6">
        <f>COUNTIFS(Table14[Country],Tabela1[[#This Row],[Country]],Table14[Time-Trial Classification],"&gt;0")</f>
        <v>0</v>
      </c>
      <c r="EK142" s="6">
        <f>COUNTIFS(Table42[Country],Tabela1[[#This Row],[Country]],Table42[Springboard Classification],"&gt;0")</f>
        <v>0</v>
      </c>
      <c r="EL142" s="6">
        <f>COUNTIFS(Table43[Country],Tabela1[[#This Row],[Country]],Table43[Springboard Classification],"&gt;0")</f>
        <v>0</v>
      </c>
      <c r="EM142" s="6">
        <f>COUNTIFS(Table42[Country],Tabela1[[#This Row],[Country]],Table42[Platform Classification],"&gt;0")</f>
        <v>0</v>
      </c>
      <c r="EN142" s="6">
        <f>COUNTIFS(Table43[Country],Tabela1[[#This Row],[Country]],Table43[Platform Classification],"&gt;0")</f>
        <v>0</v>
      </c>
      <c r="EO142" s="6">
        <f>COUNTIFS(Table86[Country],Tabela1[[#This Row],[Country]],Table86[Men''s Synchronized Springboard Classification],"&gt;0")</f>
        <v>0</v>
      </c>
      <c r="EP142" s="6">
        <f>COUNTIFS(Table86[Country],Tabela1[[#This Row],[Country]],Table86[Women''s Synchronized Springboard Classification],"&gt;0")</f>
        <v>0</v>
      </c>
      <c r="EQ142" s="6">
        <f>COUNTIFS(Table86[Country],Tabela1[[#This Row],[Country]],Table86[Men''s Synchronized Platform Classification],"&gt;0")</f>
        <v>0</v>
      </c>
      <c r="ER142" s="6">
        <f>COUNTIFS(Table86[Country],Tabela1[[#This Row],[Country]],Table86[Women''s Synchronized Platform Classification],"&gt;0")</f>
        <v>0</v>
      </c>
      <c r="ES142" s="6">
        <f>COUNTIFS(Table44[Country],Tabela1[[#This Row],[Country]],Table44[Dressage Classification],"&gt;0")</f>
        <v>0</v>
      </c>
      <c r="ET142" s="6">
        <f>COUNTIFS(Table45[Country],Tabela1[[#This Row],[Country]],Table45[Dressage Classification],"&gt;0")</f>
        <v>0</v>
      </c>
      <c r="EU142" s="6">
        <f>COUNTIFS(Table44[Country],Tabela1[[#This Row],[Country]],Table44[Eventing Classification],"&gt;0")</f>
        <v>0</v>
      </c>
      <c r="EV142" s="6">
        <f>COUNTIFS(Table45[Country],Tabela1[[#This Row],[Country]],Table45[Eventing Classification],"&gt;0")</f>
        <v>0</v>
      </c>
      <c r="EW142" s="6">
        <f>COUNTIFS(Table44[Country],Tabela1[[#This Row],[Country]],Table44[Jumping Classification],"&gt;0")</f>
        <v>0</v>
      </c>
      <c r="EX142" s="6">
        <f>COUNTIFS(Table45[Country],Tabela1[[#This Row],[Country]],Table45[Jumping Classification],"&gt;0")</f>
        <v>0</v>
      </c>
      <c r="EY142" s="6">
        <f>COUNTIFS(Table10[Country],Tabela1[[#This Row],[Country]],Table10[Épée Classification],"&gt;0")</f>
        <v>0</v>
      </c>
      <c r="EZ142" s="6">
        <f>COUNTIFS(Table11[Country],Tabela1[[#This Row],[Country]],Table11[Épée Classification],"&gt;0")</f>
        <v>0</v>
      </c>
      <c r="FA142" s="6">
        <f>COUNTIFS(Table46[Country],Tabela1[[#This Row],[Country]],Table46[Men''s Épée Classification],"&gt;0")</f>
        <v>0</v>
      </c>
      <c r="FB142" s="6">
        <f>COUNTIFS(Table46[Country],Tabela1[[#This Row],[Country]],Table46[Women''s Épée Classification],"&gt;0")</f>
        <v>0</v>
      </c>
      <c r="FC142" s="6">
        <f>COUNTIFS(Table10[Country],Tabela1[[#This Row],[Country]],Table10[Foil Classification],"&gt;0")</f>
        <v>0</v>
      </c>
      <c r="FD142" s="6">
        <f>COUNTIFS(Table11[Country],Tabela1[[#This Row],[Country]],Table11[Foil Classification],"&gt;0")</f>
        <v>0</v>
      </c>
      <c r="FE142" s="6">
        <f>COUNTIFS(Table46[Country],Tabela1[[#This Row],[Country]],Table46[Men''s Foil Classification],"&gt;0")</f>
        <v>0</v>
      </c>
      <c r="FF142" s="6">
        <f>COUNTIFS(Table46[Country],Tabela1[[#This Row],[Country]],Table46[Women''s Foil Classification],"&gt;0")</f>
        <v>0</v>
      </c>
      <c r="FG142" s="6">
        <f>COUNTIFS(Table10[Country],Tabela1[[#This Row],[Country]],Table10[Sabre Classification],"&gt;0")</f>
        <v>0</v>
      </c>
      <c r="FH142" s="6">
        <f>COUNTIFS(Table11[Country],Tabela1[[#This Row],[Country]],Table11[Sabre Classification],"&gt;0")</f>
        <v>0</v>
      </c>
      <c r="FI142" s="6">
        <f>COUNTIFS(Table46[Country],Tabela1[[#This Row],[Country]],Table46[Men''s Sabre Classification],"&gt;0")</f>
        <v>0</v>
      </c>
      <c r="FJ142" s="6">
        <f>COUNTIFS(Table46[Country],Tabela1[[#This Row],[Country]],Table46[Women''s Sabre Classification],"&gt;0")</f>
        <v>0</v>
      </c>
      <c r="FK142" s="6">
        <f>COUNTIFS(Table91[Country],Tabela1[[#This Row],[Country]],Table91[Men''s Classification],"&gt;0")</f>
        <v>0</v>
      </c>
      <c r="FL142" s="6">
        <f>COUNTIFS(Table91[Country],Tabela1[[#This Row],[Country]],Table91[Women''s Classification],"&gt;0")</f>
        <v>0</v>
      </c>
      <c r="FM142" s="6">
        <f>COUNTIFS(Table9194[Country],Tabela1[[#This Row],[Country]],Table9194[Men''s Classification],"&gt;0")</f>
        <v>0</v>
      </c>
      <c r="FN142" s="6">
        <f>COUNTIFS(Table9194[Country],Tabela1[[#This Row],[Country]],Table9194[Women''s Classification],"&gt;0")</f>
        <v>0</v>
      </c>
      <c r="FO142" s="6">
        <f>COUNTIFS(Table71[Country],Tabela1[[#This Row],[Country]],Table71[Classification],"&gt;0")</f>
        <v>0</v>
      </c>
      <c r="FP142" s="6">
        <f>COUNTIFS(Table62[Country],Tabela1[[#This Row],[Country]],Table62[Classification],"&gt;0")</f>
        <v>0</v>
      </c>
      <c r="FQ142" s="6">
        <f>COUNTIFS(Table47[Country],Tabela1[[#This Row],[Country]],Table47[All-Around Classification],"&gt;0")</f>
        <v>0</v>
      </c>
      <c r="FR142" s="6">
        <f>COUNTIFS(Table48[Country],Tabela1[[#This Row],[Country]],Table48[All-Around Classification],"&gt;0")</f>
        <v>0</v>
      </c>
      <c r="FS142" s="6">
        <f>COUNTIFS(Table81[Country],Tabela1[[#This Row],[Country]],Table81[Men''s All-Around Classification],"&gt;0")</f>
        <v>0</v>
      </c>
      <c r="FT142" s="6">
        <f>COUNTIFS(Table81[Country],Tabela1[[#This Row],[Country]],Table81[Women''s All-Around Classification],"&gt;0")</f>
        <v>0</v>
      </c>
      <c r="FU142" s="6">
        <f>COUNTIFS(Table48[Country],Tabela1[[#This Row],[Country]],Table48[Balance Beam Classification],"&gt;0")</f>
        <v>0</v>
      </c>
      <c r="FV142" s="6">
        <f>COUNTIFS(Table47[Country],Tabela1[[#This Row],[Country]],Table47[Floor Exercise Classification],"&gt;0")</f>
        <v>0</v>
      </c>
      <c r="FW142" s="6">
        <f>COUNTIFS(Table48[Country],Tabela1[[#This Row],[Country]],Table48[Floor Exercise Classification],"&gt;0")</f>
        <v>0</v>
      </c>
      <c r="FX142" s="6">
        <f>COUNTIFS(Table47[Country],Tabela1[[#This Row],[Country]],Table47[Horizontal Bar Classification],"&gt;0")</f>
        <v>0</v>
      </c>
      <c r="FY142" s="6">
        <f>COUNTIFS(Table47[Country],Tabela1[[#This Row],[Country]],Table47[Parallel Bars Classification],"&gt;0")</f>
        <v>0</v>
      </c>
      <c r="FZ142" s="6">
        <f>COUNTIFS(Table47[Country],Tabela1[[#This Row],[Country]],Table47[Pommel Horse Classification],"&gt;0")</f>
        <v>0</v>
      </c>
      <c r="GA142" s="6">
        <f>COUNTIFS(Table47[Country],Tabela1[[#This Row],[Country]],Table47[Rings Classification],"&gt;0")</f>
        <v>0</v>
      </c>
      <c r="GB142" s="6">
        <f>COUNTIFS(Tabela132[Country],Tabela1[[#This Row],[Country]],Tabela132[Classification],"&gt;0")</f>
        <v>0</v>
      </c>
      <c r="GC142" s="6">
        <f>COUNTIFS(Tabela139[Country],Tabela1[[#This Row],[Country]],Tabela139[Classification],"&gt;0")</f>
        <v>0</v>
      </c>
      <c r="GD142" s="6">
        <f>COUNTIFS(Table48[Country],Tabela1[[#This Row],[Country]],Table48[Uneven Bars Classification],"&gt;0")</f>
        <v>0</v>
      </c>
      <c r="GE142" s="6">
        <f>COUNTIFS(Table47[Country],Tabela1[[#This Row],[Country]],Table47[Vault Classification],"&gt;0")</f>
        <v>0</v>
      </c>
      <c r="GF142" s="6">
        <f>COUNTIFS(Table48[Country],Tabela1[[#This Row],[Country]],Table48[Vault Classification],"&gt;0")</f>
        <v>0</v>
      </c>
      <c r="GG142" s="6">
        <f>COUNTIFS(Table919496[Country],Tabela1[[#This Row],[Country]],Table919496[Men''s Classification],"&gt;0")</f>
        <v>0</v>
      </c>
      <c r="GH142" s="6">
        <f>COUNTIFS(Table919496[Country],Tabela1[[#This Row],[Country]],Table919496[Women''s Classification],"&gt;0")</f>
        <v>0</v>
      </c>
      <c r="GI142" s="6">
        <f>COUNTIFS(Table12[Country],Tabela1[[#This Row],[Country]],Table12[60kg Classification],"&gt;0")</f>
        <v>0</v>
      </c>
      <c r="GJ142" s="6">
        <f>COUNTIFS(Table12[Country],Tabela1[[#This Row],[Country]],Table12[66kg Classification],"&gt;0")</f>
        <v>0</v>
      </c>
      <c r="GK142" s="6">
        <f>COUNTIFS(Table12[Country],Tabela1[[#This Row],[Country]],Table12[73kg Classification],"&gt;0")</f>
        <v>0</v>
      </c>
      <c r="GL142" s="6">
        <f>COUNTIFS(Table12[Country],Tabela1[[#This Row],[Country]],Table12[81kg Classification],"&gt;0")</f>
        <v>0</v>
      </c>
      <c r="GM142" s="6">
        <f>COUNTIFS(Table12[Country],Tabela1[[#This Row],[Country]],Table12[90kg Classification],"&gt;0")</f>
        <v>0</v>
      </c>
      <c r="GN142" s="6">
        <f>COUNTIFS(Table12[Country],Tabela1[[#This Row],[Country]],Table12[100kg Classification],"&gt;0")</f>
        <v>0</v>
      </c>
      <c r="GO142" s="6">
        <f>COUNTIFS(Table12[Country],Tabela1[[#This Row],[Country]],Table12[Plus 100kg Classification],"&gt;0")</f>
        <v>0</v>
      </c>
      <c r="GP142" s="6">
        <f>COUNTIFS(Table13[Country],Tabela1[[#This Row],[Country]],Table13[48kg Classification],"&gt;0")</f>
        <v>0</v>
      </c>
      <c r="GQ142" s="6">
        <f>COUNTIFS(Table13[Country],Tabela1[[#This Row],[Country]],Table13[52kg Classification],"&gt;0")</f>
        <v>0</v>
      </c>
      <c r="GR142" s="6">
        <f>COUNTIFS(Table13[Country],Tabela1[[#This Row],[Country]],Table13[57kg Classification],"&gt;0")</f>
        <v>0</v>
      </c>
      <c r="GS142" s="6">
        <f>COUNTIFS(Table13[Country],Tabela1[[#This Row],[Country]],Table13[63kg Classification],"&gt;0")</f>
        <v>0</v>
      </c>
      <c r="GT142" s="6">
        <f>COUNTIFS(Table13[Country],Tabela1[[#This Row],[Country]],Table13[70kg Classification],"&gt;0")</f>
        <v>0</v>
      </c>
      <c r="GU142" s="6">
        <f>COUNTIFS(Table13[Country],Tabela1[[#This Row],[Country]],Table13[78kg Classification],"&gt;0")</f>
        <v>0</v>
      </c>
      <c r="GV142" s="6">
        <f>COUNTIFS(Table13[Country],Tabela1[[#This Row],[Country]],Table13[Plus 78kg Classification],"&gt;0")</f>
        <v>0</v>
      </c>
      <c r="GW142" s="6">
        <f>COUNTIFS(Table82[Country],Tabela1[[#This Row],[Country]],Table82[Mixed Classification],"&gt;0")</f>
        <v>0</v>
      </c>
      <c r="GX142" s="6">
        <f>COUNTIFS(Table51[Country],Tabela1[[#This Row],[Country]],Table51[Classification],"&gt;0")</f>
        <v>0</v>
      </c>
      <c r="GY142" s="6">
        <f>COUNTIFS(Table52[Country],Tabela1[[#This Row],[Country]],Table52[Classification],"&gt;0")</f>
        <v>0</v>
      </c>
      <c r="GZ142" s="6">
        <f>COUNTIFS(Table32[Country],Tabela1[[#This Row],[Country]],Table32[All-Around Classification],"&gt;0")</f>
        <v>0</v>
      </c>
      <c r="HA142" s="6">
        <f>COUNTIFS(Table49[Country],Tabela1[[#This Row],[Country]],Table49[All-Around Classification],"&gt;0")</f>
        <v>0</v>
      </c>
      <c r="HB142" s="6">
        <f>COUNTIFS(Table26[Country],Tabela1[[#This Row],[Country]],Table26[Single Sculls Classification],"&gt;0")</f>
        <v>0</v>
      </c>
      <c r="HC142" s="6">
        <f>COUNTIFS(Table63[Country],Tabela1[[#This Row],[Country]],Table63[Single Sculls Classification],"&gt;0")</f>
        <v>0</v>
      </c>
      <c r="HD142" s="6">
        <f>COUNTIFS(Table16[Country],Tabela1[[#This Row],[Country]],Table16[Men''s Double Sculls Classification],"&gt;0")</f>
        <v>0</v>
      </c>
      <c r="HE142" s="6">
        <f>COUNTIFS(Table16[Country],Tabela1[[#This Row],[Country]],Table16[Women''s Double Sculls Classification],"&gt;0")</f>
        <v>0</v>
      </c>
      <c r="HF142" s="6">
        <f>COUNTIFS(Table72[Country],Tabela1[[#This Row],[Country]],Table72[Men''s Quadruple Sculls Classification],"&gt;0")</f>
        <v>0</v>
      </c>
      <c r="HG142" s="6">
        <f>COUNTIFS(Table72[Country],Tabela1[[#This Row],[Country]],Table72[Women''s Quadruple Sculls Classification],"&gt;0")</f>
        <v>0</v>
      </c>
      <c r="HH142" s="6">
        <f>COUNTIFS(Table16[Country],Tabela1[[#This Row],[Country]],Table16[Men''s Coxless Pairs Classification],"&gt;0")</f>
        <v>0</v>
      </c>
      <c r="HI142" s="6">
        <f>COUNTIFS(Table16[Country],Tabela1[[#This Row],[Country]],Table16[Women''s Coxless Pairs Classification],"&gt;0")</f>
        <v>0</v>
      </c>
      <c r="HJ142" s="6">
        <f>COUNTIFS(Table72[Country],Tabela1[[#This Row],[Country]],Table72[Men''s Coxless Fours Classification],"&gt;0")</f>
        <v>0</v>
      </c>
      <c r="HK142" s="6">
        <f>COUNTIFS(Table72[Country],Tabela1[[#This Row],[Country]],Table72[Women''s Coxless Fours Classification],"&gt;0")</f>
        <v>0</v>
      </c>
      <c r="HL142" s="6">
        <f>COUNTIFS(Table72[Country],Tabela1[[#This Row],[Country]],Table72[Men''s Eights Classification],"&gt;0")</f>
        <v>0</v>
      </c>
      <c r="HM142" s="6">
        <f>COUNTIFS(Table72[Country],Tabela1[[#This Row],[Country]],Table72[Women''s Eights Classification],"&gt;0")</f>
        <v>0</v>
      </c>
      <c r="HN142" s="6">
        <f>COUNTIFS(Table16[Country],Tabela1[[#This Row],[Country]],Table16[Men''s Lwt. Double Sculls Classification],"&gt;0")</f>
        <v>0</v>
      </c>
      <c r="HO142" s="6">
        <f>COUNTIFS(Table16[Country],Tabela1[[#This Row],[Country]],Table16[Women''s Lwt. Double Sculls Classification],"&gt;0")</f>
        <v>0</v>
      </c>
      <c r="HP142" s="6">
        <f>COUNTIFS(Table91949698[Country],Tabela1[[#This Row],[Country]],Table91949698[Men''s Classification],"&gt;0")</f>
        <v>0</v>
      </c>
      <c r="HQ142" s="6">
        <f>COUNTIFS(Table91949698[Country],Tabela1[[#This Row],[Country]],Table91949698[Women''s Classification],"&gt;0")</f>
        <v>0</v>
      </c>
      <c r="HR142" s="6">
        <f>COUNTIFS(Table25[Country],Tabela1[[#This Row],[Country]],Table25[Mixed 470 Classification],"&gt;0")</f>
        <v>0</v>
      </c>
      <c r="HS142" s="6">
        <f>COUNTIFS(Table25[Country],Tabela1[[#This Row],[Country]],Table25[Men''s 49er Classification],"&gt;0")</f>
        <v>0</v>
      </c>
      <c r="HT142" s="6">
        <f>COUNTIFS(Table25[Country],Tabela1[[#This Row],[Country]],Table25[Women''s 49er FX Classification],"&gt;0")</f>
        <v>0</v>
      </c>
      <c r="HU142" s="6">
        <f>COUNTIFS(Table17[Country],Tabela1[[#This Row],[Country]],Table17[Formula Kite Classification],"&gt;0")</f>
        <v>0</v>
      </c>
      <c r="HV142" s="6">
        <f>COUNTIFS(Table18[Country],Tabela1[[#This Row],[Country]],Table18[Formula Kite Classification],"&gt;0")</f>
        <v>0</v>
      </c>
      <c r="HW142" s="6">
        <f>COUNTIFS(Table17[Country],Tabela1[[#This Row],[Country]],Table17[ILCA 7 Classification],"&gt;0")</f>
        <v>0</v>
      </c>
      <c r="HX142" s="6">
        <f>COUNTIFS(Table18[Country],Tabela1[[#This Row],[Country]],Table18[ILCA 6 Classification],"&gt;0")</f>
        <v>0</v>
      </c>
      <c r="HY142" s="6">
        <f>COUNTIFS(Table17[Country],Tabela1[[#This Row],[Country]],Table17[IQFoil Classification],"&gt;0")</f>
        <v>0</v>
      </c>
      <c r="HZ142" s="6">
        <f>COUNTIFS(Table18[Country],Tabela1[[#This Row],[Country]],Table18[IQFoil Classification],"&gt;0")</f>
        <v>0</v>
      </c>
      <c r="IA142" s="6">
        <f>COUNTIFS(Table25[Country],Tabela1[[#This Row],[Country]],Table25[Mixed Nacra 17 Classification],"&gt;0")</f>
        <v>0</v>
      </c>
      <c r="IB142" s="6">
        <f>COUNTIFS(Table53[Country],Tabela1[[#This Row],[Country]],Table53[10m Air Pistol Classification],"&gt;0")</f>
        <v>0</v>
      </c>
      <c r="IC142" s="6">
        <f>COUNTIFS(Table19[Country],Tabela1[[#This Row],[Country]],Table19[10m Air Pistol Classification],"&gt;0")</f>
        <v>0</v>
      </c>
      <c r="ID142" s="6">
        <f>COUNTIFS(Table54[Country],Tabela1[[#This Row],[Country]],Table54[Mixed 10m Air Pistol Team Classification],"&gt;0")</f>
        <v>0</v>
      </c>
      <c r="IE142" s="6">
        <f>COUNTIFS(Table53[Country],Tabela1[[#This Row],[Country]],Table53[10m Air Rifle Classification],"&gt;0")</f>
        <v>0</v>
      </c>
      <c r="IF142" s="6">
        <f>COUNTIFS(Table19[Country],Tabela1[[#This Row],[Country]],Table19[10m Air Rifle Classification],"&gt;0")</f>
        <v>0</v>
      </c>
      <c r="IG142" s="6">
        <f>COUNTIFS(Table54[Country],Tabela1[[#This Row],[Country]],Table54[Mixed 10m Air Rifle Team Classification],"&gt;0")</f>
        <v>0</v>
      </c>
      <c r="IH142" s="6">
        <f>COUNTIFS(Table53[Country],Tabela1[[#This Row],[Country]],Table53[25m Rapid Fire Pistol Classification],"&gt;0")</f>
        <v>0</v>
      </c>
      <c r="II142" s="6">
        <f>COUNTIFS(Table19[Country],Tabela1[[#This Row],[Country]],Table19[25m Pistol Classification],"&gt;0")</f>
        <v>0</v>
      </c>
      <c r="IJ142" s="6">
        <f>COUNTIFS(Table53[Country],Tabela1[[#This Row],[Country]],Table53[50m Rifle 3 Positions Classification],"&gt;0")</f>
        <v>0</v>
      </c>
      <c r="IK142" s="6">
        <f>COUNTIFS(Table19[Country],Tabela1[[#This Row],[Country]],Table19[50m Rifle 3 Positions Classification],"&gt;0")</f>
        <v>0</v>
      </c>
      <c r="IL142" s="6">
        <f>COUNTIFS(Table53[Country],Tabela1[[#This Row],[Country]],Table53[Skeet Classification],"&gt;0")</f>
        <v>0</v>
      </c>
      <c r="IM142" s="6">
        <f>COUNTIFS(Table19[Country],Tabela1[[#This Row],[Country]],Table19[Skeet Classification],"&gt;0")</f>
        <v>0</v>
      </c>
      <c r="IN142" s="6">
        <f>COUNTIFS(Table54[Country],Tabela1[[#This Row],[Country]],Table54[Mixed Skeet Team Classification],"&gt;0")</f>
        <v>0</v>
      </c>
      <c r="IO142" s="6">
        <f>COUNTIFS(Table53[Country],Tabela1[[#This Row],[Country]],Table53[Trap Classification],"&gt;0")</f>
        <v>0</v>
      </c>
      <c r="IP142" s="6">
        <f>COUNTIFS(Table19[Country],Tabela1[[#This Row],[Country]],Table19[Trap Classification],"&gt;0")</f>
        <v>0</v>
      </c>
      <c r="IQ142" s="6">
        <f>COUNTIFS(Table73[Country],Tabela1[[#This Row],[Country]],Table73[Park Classification],"&gt;0")</f>
        <v>0</v>
      </c>
      <c r="IR142" s="6">
        <f>COUNTIFS(Table74[Country],Tabela1[[#This Row],[Country]],Table74[Park Classification],"&gt;0")</f>
        <v>0</v>
      </c>
      <c r="IS142" s="6">
        <f>COUNTIFS(Table73[Country],Tabela1[[#This Row],[Country]],Table73[Street Classification],"&gt;0")</f>
        <v>0</v>
      </c>
      <c r="IT142" s="6">
        <f>COUNTIFS(Table74[Country],Tabela1[[#This Row],[Country]],Table74[Street Classification],"&gt;0")</f>
        <v>0</v>
      </c>
      <c r="IU142" s="6">
        <f>COUNTIFS(Table75[Country],Tabela1[[#This Row],[Country]],Table75[Boulder and Lead Classification],"&gt;0")</f>
        <v>0</v>
      </c>
      <c r="IV142" s="6">
        <f>COUNTIFS(Table76[Country],Tabela1[[#This Row],[Country]],Table76[Boulder and Lead Classification],"&gt;0")</f>
        <v>0</v>
      </c>
      <c r="IW142" s="6">
        <f>COUNTIFS(Table75[Country],Tabela1[[#This Row],[Country]],Table75[Speed Classification],"&gt;0")</f>
        <v>0</v>
      </c>
      <c r="IX142" s="6">
        <f>COUNTIFS(Table76[Country],Tabela1[[#This Row],[Country]],Table76[Speed Classification],"&gt;0")</f>
        <v>0</v>
      </c>
      <c r="IY142" s="6">
        <f>COUNTIFS(Table64[Country],Tabela1[[#This Row],[Country]],Table64[Shortboard Classification],"&gt;0")</f>
        <v>0</v>
      </c>
      <c r="IZ142" s="6">
        <f>COUNTIFS(Table77[Country],Tabela1[[#This Row],[Country]],Table77[Shortboard Classification],"&gt;0")</f>
        <v>0</v>
      </c>
      <c r="JA142" s="6">
        <f>COUNTIFS(Table20[Country],Tabela1[[#This Row],[Country]],Table20[50m Freestyle Classification],"&gt;0")</f>
        <v>0</v>
      </c>
      <c r="JB142" s="6">
        <f>COUNTIFS(Table21[Country],Tabela1[[#This Row],[Country]],Table21[50m Freestyle Classification],"&gt;0")</f>
        <v>0</v>
      </c>
      <c r="JC142" s="6">
        <f>COUNTIFS(Table20[Country],Tabela1[[#This Row],[Country]],Table20[100m Freestyle Classification],"&gt;0")</f>
        <v>0</v>
      </c>
      <c r="JD142" s="6">
        <f>COUNTIFS(Table21[Country],Tabela1[[#This Row],[Country]],Table21[100m Freestyle Classification],"&gt;0")</f>
        <v>0</v>
      </c>
      <c r="JE142" s="6">
        <f>COUNTIFS(Table20[Country],Tabela1[[#This Row],[Country]],Table20[200m Freestyle Classification],"&gt;0")</f>
        <v>0</v>
      </c>
      <c r="JF142" s="6">
        <f>COUNTIFS(Table21[Country],Tabela1[[#This Row],[Country]],Table21[200m Freestyle Classification],"&gt;0")</f>
        <v>0</v>
      </c>
      <c r="JG142" s="6">
        <f>COUNTIFS(Table20[Country],Tabela1[[#This Row],[Country]],Table20[400m Freestyle Classification],"&gt;0")</f>
        <v>0</v>
      </c>
      <c r="JH142" s="6">
        <f>COUNTIFS(Table21[Country],Tabela1[[#This Row],[Country]],Table21[400m Freestyle Classification],"&gt;0")</f>
        <v>0</v>
      </c>
      <c r="JI142" s="6">
        <f>COUNTIFS(Table20[Country],Tabela1[[#This Row],[Country]],Table20[800m Freestyle Classification],"&gt;0")</f>
        <v>0</v>
      </c>
      <c r="JJ142" s="6">
        <f>COUNTIFS(Table21[Country],Tabela1[[#This Row],[Country]],Table21[800m Freestyle Classification],"&gt;0")</f>
        <v>0</v>
      </c>
      <c r="JK142" s="6">
        <f>COUNTIFS(Table20[Country],Tabela1[[#This Row],[Country]],Table20[1500m Freestyle Classification],"&gt;0")</f>
        <v>0</v>
      </c>
      <c r="JL142" s="6">
        <f>COUNTIFS(Table21[Country],Tabela1[[#This Row],[Country]],Table21[1500m Freestyle Classification],"&gt;0")</f>
        <v>0</v>
      </c>
      <c r="JM142" s="6">
        <f>COUNTIFS(Table20[Country],Tabela1[[#This Row],[Country]],Table20[100m Backstroke Classification],"&gt;0")</f>
        <v>0</v>
      </c>
      <c r="JN142" s="6">
        <f>COUNTIFS(Table21[Country],Tabela1[[#This Row],[Country]],Table21[100m Backstroke Classification],"&gt;0")</f>
        <v>0</v>
      </c>
      <c r="JO142" s="6">
        <f>COUNTIFS(Table20[Country],Tabela1[[#This Row],[Country]],Table20[200m Backstroke Classification],"&gt;0")</f>
        <v>0</v>
      </c>
      <c r="JP142" s="6">
        <f>COUNTIFS(Table21[Country],Tabela1[[#This Row],[Country]],Table21[200m Backstroke Classification],"&gt;0")</f>
        <v>0</v>
      </c>
      <c r="JQ142" s="6">
        <f>COUNTIFS(Table20[Country],Tabela1[[#This Row],[Country]],Table20[100m Breaststroke Classification],"&gt;0")</f>
        <v>0</v>
      </c>
      <c r="JR142" s="6">
        <f>COUNTIFS(Table21[Country],Tabela1[[#This Row],[Country]],Table21[100m Breaststroke Classification],"&gt;0")</f>
        <v>0</v>
      </c>
      <c r="JS142" s="6">
        <f>COUNTIFS(Table20[Country],Tabela1[[#This Row],[Country]],Table20[200m Breaststroke Classification],"&gt;0")</f>
        <v>0</v>
      </c>
      <c r="JT142" s="6">
        <f>COUNTIFS(Table21[Country],Tabela1[[#This Row],[Country]],Table21[200m Breaststroke Classification],"&gt;0")</f>
        <v>0</v>
      </c>
      <c r="JU142" s="6">
        <f>COUNTIFS(Table20[Country],Tabela1[[#This Row],[Country]],Table20[100m Butterfly Classification],"&gt;0")</f>
        <v>0</v>
      </c>
      <c r="JV142" s="6">
        <f>COUNTIFS(Table21[Country],Tabela1[[#This Row],[Country]],Table21[100m Butterfly Classification],"&gt;0")</f>
        <v>0</v>
      </c>
      <c r="JW142" s="6">
        <f>COUNTIFS(Table20[Country],Tabela1[[#This Row],[Country]],Table20[200m Butterfly Classification],"&gt;0")</f>
        <v>0</v>
      </c>
      <c r="JX142" s="6">
        <f>COUNTIFS(Table21[Country],Tabela1[[#This Row],[Country]],Table21[200m Butterfly Classification],"&gt;0")</f>
        <v>0</v>
      </c>
      <c r="JY142" s="6">
        <f>COUNTIFS(Table20[Country],Tabela1[[#This Row],[Country]],Table20[200m Medley Classification],"&gt;0")</f>
        <v>0</v>
      </c>
      <c r="JZ142" s="6">
        <f>COUNTIFS(Table21[Country],Tabela1[[#This Row],[Country]],Table21[200m Medley Classification],"&gt;0")</f>
        <v>0</v>
      </c>
      <c r="KA142" s="6">
        <f>COUNTIFS(Table20[Country],Tabela1[[#This Row],[Country]],Table20[400m Medley Classification],"&gt;0")</f>
        <v>0</v>
      </c>
      <c r="KB142" s="6">
        <f>COUNTIFS(Table21[Country],Tabela1[[#This Row],[Country]],Table21[400m Medley Classification],"&gt;0")</f>
        <v>0</v>
      </c>
      <c r="KC142" s="6">
        <f>COUNTIFS(Table78[Country],Tabela1[[#This Row],[Country]],Table78[Men''s 4x100m Freestyle Relay Classification],"&gt;0")</f>
        <v>0</v>
      </c>
      <c r="KD142" s="6">
        <f>COUNTIFS(Table78[Country],Tabela1[[#This Row],[Country]],Table78[Women''s 4x100m Freestyle Relay Classification],"&gt;0")</f>
        <v>0</v>
      </c>
      <c r="KE142" s="6">
        <f>COUNTIFS(Table78[Country],Tabela1[[#This Row],[Country]],Table78[Men''s 4x200m Freestyle Relay Classification],"&gt;0")</f>
        <v>0</v>
      </c>
      <c r="KF142" s="6">
        <f>COUNTIFS(Table78[Country],Tabela1[[#This Row],[Country]],Table78[Women''s 4x200m Freestyle Relay Classification],"&gt;0")</f>
        <v>0</v>
      </c>
      <c r="KG142" s="6">
        <f>COUNTIFS(Table78[Country],Tabela1[[#This Row],[Country]],Table78[Men''s 4x100m Medley Relay Classification],"&gt;0")</f>
        <v>0</v>
      </c>
      <c r="KH142" s="6">
        <f>COUNTIFS(Table78[Country],Tabela1[[#This Row],[Country]],Table78[Women''s 4x100m Medley Relay Classification],"&gt;0")</f>
        <v>0</v>
      </c>
      <c r="KI142" s="6">
        <f>COUNTIFS(Table78[Country],Tabela1[[#This Row],[Country]],Table78[Mixed 4x100m Medley Relay Classification],"&gt;0")</f>
        <v>0</v>
      </c>
      <c r="KJ142" s="6">
        <f>COUNTIFS(Table20[Country],Tabela1[[#This Row],[Country]],Table20[10km Open Water Classification],"&gt;0")</f>
        <v>0</v>
      </c>
      <c r="KK142" s="6">
        <f>COUNTIFS(Table21[Country],Tabela1[[#This Row],[Country]],Table21[10km Open Water Classification],"&gt;0")</f>
        <v>0</v>
      </c>
      <c r="KL142" s="6">
        <f>COUNTIFS(Table22[Country],Tabela1[[#This Row],[Country]],Table22[Classification],"&gt;0")</f>
        <v>0</v>
      </c>
      <c r="KM142" s="6">
        <f>COUNTIFS(Table30[Country],Tabela1[[#This Row],[Country]],Table30[Classification],"&gt;0")</f>
        <v>0</v>
      </c>
      <c r="KN142" s="6">
        <f>COUNTIFS(Table55[Country],Tabela1[[#This Row],[Country]],Table55[Men''s Classification],"&gt;0")</f>
        <v>0</v>
      </c>
      <c r="KO142" s="6">
        <f>COUNTIFS(Table55[Country],Tabela1[[#This Row],[Country]],Table55[Women''s Classification],"&gt;0")</f>
        <v>0</v>
      </c>
      <c r="KP142" s="6">
        <f>COUNTIFS(Table56[Country],Tabela1[[#This Row],[Country]],Table56[Mixed Classification],"&gt;0")</f>
        <v>0</v>
      </c>
      <c r="KQ142" s="6">
        <f>COUNTIFS(Table29[Country],Tabela1[[#This Row],[Country]],Table29[58kg Classification],"&gt;0")</f>
        <v>0</v>
      </c>
      <c r="KR142" s="6">
        <f>COUNTIFS(Table29[Country],Tabela1[[#This Row],[Country]],Table29[68kg Classification],"&gt;0")</f>
        <v>0</v>
      </c>
      <c r="KS142" s="6">
        <f>COUNTIFS(Table29[Country],Tabela1[[#This Row],[Country]],Table29[80kg Classification],"&gt;0")</f>
        <v>0</v>
      </c>
      <c r="KT142" s="6">
        <f>COUNTIFS(Table29[Country],Tabela1[[#This Row],[Country]],Table29[Plus 80kg Classification],"&gt;0")</f>
        <v>0</v>
      </c>
      <c r="KU142" s="6">
        <f>COUNTIFS(Table34[Country],Tabela1[[#This Row],[Country]],Table34[49kg Classification],"&gt;0")</f>
        <v>0</v>
      </c>
      <c r="KV142" s="6">
        <f>COUNTIFS(Table34[Country],Tabela1[[#This Row],[Country]],Table34[57kg Classification],"&gt;0")</f>
        <v>0</v>
      </c>
      <c r="KW142" s="6">
        <f>COUNTIFS(Table34[Country],Tabela1[[#This Row],[Country]],Table34[67kg Classification],"&gt;0")</f>
        <v>0</v>
      </c>
      <c r="KX142" s="6">
        <f>COUNTIFS(Table34[Country],Tabela1[[#This Row],[Country]],Table34[Plus 67kg Classification],"&gt;0")</f>
        <v>0</v>
      </c>
      <c r="KY142" s="6">
        <f>COUNTIFS(Table57[Country],Tabela1[[#This Row],[Country]],Table57[Classification],"&gt;0")</f>
        <v>0</v>
      </c>
      <c r="KZ142" s="6">
        <f>COUNTIFS(Table58[Country],Tabela1[[#This Row],[Country]],Table58[Classification],"&gt;0")</f>
        <v>0</v>
      </c>
      <c r="LA142" s="6">
        <f>COUNTIFS(Table79[Country],Tabela1[[#This Row],[Country]],Table79[Men''s Classification],"&gt;0")</f>
        <v>0</v>
      </c>
      <c r="LB142" s="6">
        <f>COUNTIFS(Table79[Country],Tabela1[[#This Row],[Country]],Table79[Women''s Classification],"&gt;0")</f>
        <v>0</v>
      </c>
      <c r="LC142" s="6">
        <f>COUNTIFS(Table79[Country],Tabela1[[#This Row],[Country]],Table79[Mixed Classification],"&gt;0")</f>
        <v>0</v>
      </c>
      <c r="LD142" s="6">
        <f>COUNTIFS(Table65[Country],Tabela1[[#This Row],[Country]],Table65[Classification],"&gt;0")</f>
        <v>0</v>
      </c>
      <c r="LE142" s="6">
        <f>COUNTIFS(Table59[Country],Tabela1[[#This Row],[Country]],Table59[Classification],"&gt;0")</f>
        <v>0</v>
      </c>
      <c r="LF142" s="6">
        <f>COUNTIFS(Table87[Country],Tabela1[[#This Row],[Country]],Table87[Mixed Relay Classification],"&gt;0")</f>
        <v>0</v>
      </c>
      <c r="LG142" s="6">
        <f>COUNTIFS(Table91949698100[Country],Tabela1[[#This Row],[Country]],Table91949698100[Men''s Classification],"&gt;0")</f>
        <v>0</v>
      </c>
      <c r="LH142" s="6">
        <f>COUNTIFS(Table91949698100[Country],Tabela1[[#This Row],[Country]],Table91949698100[Women''s Classification],"&gt;0")</f>
        <v>0</v>
      </c>
      <c r="LI142" s="6">
        <f>COUNTIFS(Table91949698100102[Country],Tabela1[[#This Row],[Country]],Table91949698100102[Men''s Classification],"&gt;0")</f>
        <v>0</v>
      </c>
      <c r="LJ142" s="6">
        <f>COUNTIFS(Table91949698100102[Country],Tabela1[[#This Row],[Country]],Table91949698100102[Women''s Classification],"&gt;0")</f>
        <v>0</v>
      </c>
      <c r="LK142" s="6">
        <f>COUNTIFS(Table23[Country],Tabela1[[#This Row],[Country]],Table23[61kg Classification],"&gt;0")</f>
        <v>0</v>
      </c>
      <c r="LL142" s="6">
        <f>COUNTIFS(Table23[Country],Tabela1[[#This Row],[Country]],Table23[73kg Classification],"&gt;0")</f>
        <v>0</v>
      </c>
      <c r="LM142" s="6">
        <f>COUNTIFS(Table23[Country],Tabela1[[#This Row],[Country]],Table23[89kg Classification],"&gt;0")</f>
        <v>0</v>
      </c>
      <c r="LN142" s="6">
        <f>COUNTIFS(Table23[Country],Tabela1[[#This Row],[Country]],Table23[102kg Classification],"&gt;0")</f>
        <v>0</v>
      </c>
      <c r="LO142" s="6">
        <f>COUNTIFS(Table23[Country],Tabela1[[#This Row],[Country]],Table23[Plus 102kg Classification],"&gt;0")</f>
        <v>0</v>
      </c>
      <c r="LP142" s="6">
        <f>COUNTIFS(Table28[Country],Tabela1[[#This Row],[Country]],Table28[49kg Classification],"&gt;0")</f>
        <v>0</v>
      </c>
      <c r="LQ142" s="6">
        <f>COUNTIFS(Table28[Country],Tabela1[[#This Row],[Country]],Table28[59kg Classification],"&gt;0")</f>
        <v>0</v>
      </c>
      <c r="LR142" s="6">
        <f>COUNTIFS(Table28[Country],Tabela1[[#This Row],[Country]],Table28[71kg Classification],"&gt;0")</f>
        <v>0</v>
      </c>
      <c r="LS142" s="6">
        <f>COUNTIFS(Table28[Country],Tabela1[[#This Row],[Country]],Table28[81kg Classification],"&gt;0")</f>
        <v>0</v>
      </c>
      <c r="LT142" s="6">
        <f>COUNTIFS(Table28[Country],Tabela1[[#This Row],[Country]],Table28[Plus 81kg Classification],"&gt;0")</f>
        <v>0</v>
      </c>
      <c r="LU142" s="6">
        <f>COUNTIFS(Table24[Country],Tabela1[[#This Row],[Country]],Table24[Freestyle 57kg Classification],"&gt;0")</f>
        <v>0</v>
      </c>
      <c r="LV142" s="6">
        <f>COUNTIFS(Table24[Country],Tabela1[[#This Row],[Country]],Table24[Freestyle 65kg Classification],"&gt;0")</f>
        <v>0</v>
      </c>
      <c r="LW142" s="6">
        <f>COUNTIFS(Table24[Country],Tabela1[[#This Row],[Country]],Table24[Freestyle 74kg Classification],"&gt;0")</f>
        <v>0</v>
      </c>
      <c r="LX142" s="6">
        <f>COUNTIFS(Table24[Country],Tabela1[[#This Row],[Country]],Table24[Freestyle 86kg Classification],"&gt;0")</f>
        <v>0</v>
      </c>
      <c r="LY142" s="6">
        <f>COUNTIFS(Table24[Country],Tabela1[[#This Row],[Country]],Table24[Freestyle 97kg Classification],"&gt;0")</f>
        <v>0</v>
      </c>
      <c r="LZ142" s="6">
        <f>COUNTIFS(Table24[Country],Tabela1[[#This Row],[Country]],Table24[Freestyle 125kg Classification],"&gt;0")</f>
        <v>0</v>
      </c>
      <c r="MA142" s="6">
        <f>COUNTIFS(Table24[Country],Tabela1[[#This Row],[Country]],Table24[Greco-Roman 60kg Classification],"&gt;0")</f>
        <v>0</v>
      </c>
      <c r="MB142" s="6">
        <f>COUNTIFS(Table24[Country],Tabela1[[#This Row],[Country]],Table24[Greco-Roman 67kg Classification],"&gt;0")</f>
        <v>0</v>
      </c>
      <c r="MC142" s="6">
        <f>COUNTIFS(Table24[Country],Tabela1[[#This Row],[Country]],Table24[Greco-Roman 77kg Classification],"&gt;0")</f>
        <v>0</v>
      </c>
      <c r="MD142" s="6">
        <f>COUNTIFS(Table24[Country],Tabela1[[#This Row],[Country]],Table24[Greco-Roman 87kg Classification],"&gt;0")</f>
        <v>0</v>
      </c>
      <c r="ME142" s="6">
        <f>COUNTIFS(Table24[Country],Tabela1[[#This Row],[Country]],Table24[Greco-Roman 97kg Classification],"&gt;0")</f>
        <v>0</v>
      </c>
      <c r="MF142" s="6">
        <f>COUNTIFS(Table24[Country],Tabela1[[#This Row],[Country]],Table24[Greco-Roman 130kg Classification],"&gt;0")</f>
        <v>0</v>
      </c>
      <c r="MG142" s="6">
        <f>COUNTIFS(Table31[Country],Tabela1[[#This Row],[Country]],Table31[50kg Classification],"&gt;0")</f>
        <v>0</v>
      </c>
      <c r="MH142" s="6">
        <f>COUNTIFS(Table31[Country],Tabela1[[#This Row],[Country]],Table31[53kg Classification],"&gt;0")</f>
        <v>0</v>
      </c>
      <c r="MI142" s="6">
        <f>COUNTIFS(Table31[Country],Tabela1[[#This Row],[Country]],Table31[57kg Classification],"&gt;0")</f>
        <v>0</v>
      </c>
      <c r="MJ142" s="6">
        <f>COUNTIFS(Table31[Country],Tabela1[[#This Row],[Country]],Table31[62kg Classification],"&gt;0")</f>
        <v>0</v>
      </c>
      <c r="MK142" s="6">
        <f>COUNTIFS(Table31[Country],Tabela1[[#This Row],[Country]],Table31[68kg Classification],"&gt;0")</f>
        <v>0</v>
      </c>
      <c r="ML142" s="6">
        <f>COUNTIFS(Table31[Country],Tabela1[[#This Row],[Country]],Table31[76kg Classification],"&gt;0")</f>
        <v>0</v>
      </c>
      <c r="MM142" s="6">
        <f>COUNTIFS(Table102[Country],Tabela1[[#This Row],[Country]],Table102[Downhill Classification],"&gt;0")</f>
        <v>0</v>
      </c>
      <c r="MN142" s="6">
        <f>COUNTIFS(Table102105[Country],Tabela1[[#This Row],[Country]],Table102105[Downhill Classification],"&gt;0")</f>
        <v>0</v>
      </c>
      <c r="MO142" s="6">
        <f>COUNTIFS(Table102[Country],Tabela1[[#This Row],[Country]],Table102[Giant Slalom Classification],"&gt;0")</f>
        <v>0</v>
      </c>
      <c r="MP142" s="6">
        <f>COUNTIFS(Table102105[Country],Tabela1[[#This Row],[Country]],Table102105[Giant Slalom Classification],"&gt;0")</f>
        <v>0</v>
      </c>
      <c r="MQ142" s="6">
        <f>COUNTIFS(Table102[Country],Tabela1[[#This Row],[Country]],Table102[Slalom Classification],"&gt;0")</f>
        <v>0</v>
      </c>
      <c r="MR142" s="6">
        <f>COUNTIFS(Table102105[Country],Tabela1[[#This Row],[Country]],Table102105[Slalom Classification],"&gt;0")</f>
        <v>0</v>
      </c>
      <c r="MS142" s="6">
        <f>COUNTIFS(Table102[Country],Tabela1[[#This Row],[Country]],Table102[Super-G Classification],"&gt;0")</f>
        <v>0</v>
      </c>
      <c r="MT142" s="6">
        <f>COUNTIFS(Table102105[Country],Tabela1[[#This Row],[Country]],Table102105[Super-G Classification],"&gt;0")</f>
        <v>0</v>
      </c>
      <c r="MU142" s="6">
        <f>COUNTIFS(Table105[Country],Tabela1[[#This Row],[Country]],Table105[Men''s Combined Classification],"&gt;0")</f>
        <v>0</v>
      </c>
      <c r="MV142" s="6">
        <f>COUNTIFS(Table105[Country],Tabela1[[#This Row],[Country]],Table105[Women''s Combined Classification],"&gt;0")</f>
        <v>0</v>
      </c>
      <c r="MW142" s="6">
        <f>COUNTIFS(Table106[Country],Tabela1[[#This Row],[Country]],Table106[Individual Classification],"&gt;0")</f>
        <v>0</v>
      </c>
      <c r="MX142" s="6">
        <f>COUNTIFS(Table106109[Country],Tabela1[[#This Row],[Country]],Table106109[Individual Classification],"&gt;0")</f>
        <v>0</v>
      </c>
      <c r="MY142" s="6">
        <f>COUNTIFS(Table106[Country],Tabela1[[#This Row],[Country]],Table106[Mass Start Classification],"&gt;0")</f>
        <v>0</v>
      </c>
      <c r="MZ142" s="6">
        <f>COUNTIFS(Table106109[Country],Tabela1[[#This Row],[Country]],Table106109[Mass Start Classification],"&gt;0")</f>
        <v>0</v>
      </c>
      <c r="NA142" s="6">
        <f>COUNTIFS(Table106[Country],Tabela1[[#This Row],[Country]],Table106[Pursuit Classification],"&gt;0")</f>
        <v>0</v>
      </c>
      <c r="NB142" s="6">
        <f>COUNTIFS(Table106109[Country],Tabela1[[#This Row],[Country]],Table106109[Pursuit Classification],"&gt;0")</f>
        <v>0</v>
      </c>
      <c r="NC142" s="6">
        <f>COUNTIFS(Table106[Country],Tabela1[[#This Row],[Country]],Table106[Sprint Classification],"&gt;0")</f>
        <v>0</v>
      </c>
      <c r="ND142" s="6">
        <f>COUNTIFS(Table106109[Country],Tabela1[[#This Row],[Country]],Table106109[Sprint Classification],"&gt;0")</f>
        <v>0</v>
      </c>
      <c r="NE142" s="6">
        <f>COUNTIFS(Table109[Country],Tabela1[[#This Row],[Country]],Table109[Men''s Relay Classification],"&gt;0")</f>
        <v>0</v>
      </c>
      <c r="NF142" s="6">
        <f>COUNTIFS(Table109[Country],Tabela1[[#This Row],[Country]],Table109[Women''s Relay Classification],"&gt;0")</f>
        <v>0</v>
      </c>
      <c r="NG142" s="6">
        <f>COUNTIFS(Table109[Country],Tabela1[[#This Row],[Country]],Table109[Mixed Relay Classification],"&gt;0")</f>
        <v>0</v>
      </c>
      <c r="NH142" s="6">
        <f>COUNTIFS(Table110[Country],Tabela1[[#This Row],[Country]],Table110[Monobob Classification],"&gt;0")</f>
        <v>0</v>
      </c>
      <c r="NI142" s="6">
        <f>COUNTIFS(Table111[Country],Tabela1[[#This Row],[Country]],Table111[Men''s Classification],"&gt;0")</f>
        <v>0</v>
      </c>
      <c r="NJ142" s="6">
        <f>COUNTIFS(Table111[Country],Tabela1[[#This Row],[Country]],Table111[Women''s Classification],"&gt;0")</f>
        <v>0</v>
      </c>
      <c r="NK142" s="6">
        <f>COUNTIFS(Table112[Country],Tabela1[[#This Row],[Country]],Table112[Men''s Four Classification],"&gt;0")</f>
        <v>0</v>
      </c>
      <c r="NL142" s="6">
        <f>COUNTIFS(Table113[Country],Tabela1[[#This Row],[Country]],Table113[Classical Classification],"&gt;0")</f>
        <v>0</v>
      </c>
      <c r="NM142" s="6">
        <f>COUNTIFS(Table113116[Country],Tabela1[[#This Row],[Country]],Table113116[Classical Classification],"&gt;0")</f>
        <v>0</v>
      </c>
      <c r="NN142" s="6">
        <f>COUNTIFS(Table113[Country],Tabela1[[#This Row],[Country]],Table113[Freestyle Classification],"&gt;0")</f>
        <v>0</v>
      </c>
      <c r="NO142" s="6">
        <f>COUNTIFS(Table113116[Country],Tabela1[[#This Row],[Country]],Table113116[Freestyle Classification],"&gt;0")</f>
        <v>0</v>
      </c>
      <c r="NP142" s="6">
        <f>COUNTIFS(Table117[Country],Tabela1[[#This Row],[Country]],Table117[Men''s Relay Classification],"&gt;0")</f>
        <v>0</v>
      </c>
      <c r="NQ142" s="6">
        <f>COUNTIFS(Table117[Country],Tabela1[[#This Row],[Country]],Table117[Women''s Relay Classification],"&gt;0")</f>
        <v>0</v>
      </c>
      <c r="NR142" s="6">
        <f>COUNTIFS(Table113[Country],Tabela1[[#This Row],[Country]],Table113[Skiathlon Classification],"&gt;0")</f>
        <v>0</v>
      </c>
      <c r="NS142" s="6">
        <f>COUNTIFS(Table113116[Country],Tabela1[[#This Row],[Country]],Table113116[Skiathlon Classification],"&gt;0")</f>
        <v>0</v>
      </c>
      <c r="NT142" s="6">
        <f>COUNTIFS(Table113[Country],Tabela1[[#This Row],[Country]],Table113[Sprint Classification],"&gt;0")</f>
        <v>0</v>
      </c>
      <c r="NU142" s="6">
        <f>COUNTIFS(Table113116[Country],Tabela1[[#This Row],[Country]],Table113116[Sprint Classification],"&gt;0")</f>
        <v>0</v>
      </c>
      <c r="NV142" s="6">
        <f>COUNTIFS(Table116[Country],Tabela1[[#This Row],[Country]],Table116[Men''s Team Sprint Classification],"&gt;0")</f>
        <v>0</v>
      </c>
      <c r="NW142" s="6">
        <f>COUNTIFS(Table116[Country],Tabela1[[#This Row],[Country]],Table116[Women''s Team Sprint Classification],"&gt;0")</f>
        <v>0</v>
      </c>
      <c r="NX142" s="6">
        <f>COUNTIFS(Table119[Country],Tabela1[[#This Row],[Country]],Table119[Men''s Classification],"&gt;0")</f>
        <v>0</v>
      </c>
      <c r="NY142" s="6">
        <f>COUNTIFS(Table119[Country],Tabela1[[#This Row],[Country]],Table119[Women''s Classification],"&gt;0")</f>
        <v>0</v>
      </c>
      <c r="NZ142" s="6">
        <f>COUNTIFS(Table118[Country],Tabela1[[#This Row],[Country]],Table118[Mixed Classification],"&gt;0")</f>
        <v>0</v>
      </c>
      <c r="OA142" s="6">
        <f>COUNTIFS(Table120[Country],Tabela1[[#This Row],[Country]],Table120[Classification],"&gt;0")</f>
        <v>0</v>
      </c>
      <c r="OB142" s="6">
        <f>COUNTIFS(Table120123[Country],Tabela1[[#This Row],[Country]],Table120123[Classification],"&gt;0")</f>
        <v>0</v>
      </c>
      <c r="OC142" s="6">
        <f>COUNTIFS(Table123[Country],Tabela1[[#This Row],[Country]],Table123[Ice Dance Classification],"&gt;0")</f>
        <v>0</v>
      </c>
      <c r="OD142" s="6">
        <f>COUNTIFS(Table123[Country],Tabela1[[#This Row],[Country]],Table123[Pair Skating Classification],"&gt;0")</f>
        <v>0</v>
      </c>
      <c r="OE142" s="6">
        <f>COUNTIFS(Table124[Country],Tabela1[[#This Row],[Country]],Table124[Mixed Classification],"&gt;0")</f>
        <v>0</v>
      </c>
      <c r="OF142" s="6">
        <f>COUNTIFS(Table125[Country],Tabela1[[#This Row],[Country]],Table125[Aerials Classification],"&gt;0")</f>
        <v>0</v>
      </c>
      <c r="OG142" s="6">
        <f>COUNTIFS(Table125128[Country],Tabela1[[#This Row],[Country]],Table125128[Aerials Classification],"&gt;0")</f>
        <v>0</v>
      </c>
      <c r="OH142" s="6">
        <f>COUNTIFS(Table128[Country],Tabela1[[#This Row],[Country]],Table128[Mixed Aerials Classification],"&gt;0")</f>
        <v>0</v>
      </c>
      <c r="OI142" s="6">
        <f>COUNTIFS(Table125[Country],Tabela1[[#This Row],[Country]],Table125[Big Air Classification],"&gt;0")</f>
        <v>0</v>
      </c>
      <c r="OJ142" s="6">
        <f>COUNTIFS(Table125128[Country],Tabela1[[#This Row],[Country]],Table125128[Big Air Classification],"&gt;0")</f>
        <v>0</v>
      </c>
      <c r="OK142" s="6">
        <f>COUNTIFS(Table125[Country],Tabela1[[#This Row],[Country]],Table125[Dual Moguls Classification],"&gt;0")</f>
        <v>0</v>
      </c>
      <c r="OL142" s="6">
        <f>COUNTIFS(Table125128[Country],Tabela1[[#This Row],[Country]],Table125128[Dual Moguls Classification],"&gt;0")</f>
        <v>0</v>
      </c>
      <c r="OM142" s="6">
        <f>COUNTIFS(Table125[Country],Tabela1[[#This Row],[Country]],Table125[Halfpipe Classification],"&gt;0")</f>
        <v>0</v>
      </c>
      <c r="ON142" s="6">
        <f>COUNTIFS(Table125128[Country],Tabela1[[#This Row],[Country]],Table125128[Halfpipe Classification],"&gt;0")</f>
        <v>0</v>
      </c>
      <c r="OO142" s="6">
        <f>COUNTIFS(Table125[Country],Tabela1[[#This Row],[Country]],Table125[Moguls Classification],"&gt;0")</f>
        <v>0</v>
      </c>
      <c r="OP142" s="6">
        <f>COUNTIFS(Table125128[Country],Tabela1[[#This Row],[Country]],Table125128[Moguls Classification],"&gt;0")</f>
        <v>0</v>
      </c>
      <c r="OQ142" s="6">
        <f>COUNTIFS(Table125[Country],Tabela1[[#This Row],[Country]],Table125[Ski Cross Classification],"&gt;0")</f>
        <v>0</v>
      </c>
      <c r="OR142" s="6">
        <f>COUNTIFS(Table125128[Country],Tabela1[[#This Row],[Country]],Table125128[Ski Cross Classification],"&gt;0")</f>
        <v>0</v>
      </c>
      <c r="OS142" s="6">
        <f>COUNTIFS(Table125[Country],Tabela1[[#This Row],[Country]],Table125[Slopestyle Classification],"&gt;0")</f>
        <v>0</v>
      </c>
      <c r="OT142" s="6">
        <f>COUNTIFS(Table125128[Country],Tabela1[[#This Row],[Country]],Table125128[Slopestyle Classification],"&gt;0")</f>
        <v>0</v>
      </c>
      <c r="OU142" s="6">
        <f>COUNTIFS(Table119131[Country],Tabela1[[#This Row],[Country]],Table119131[Men''s Classification],"&gt;0")</f>
        <v>0</v>
      </c>
      <c r="OV142" s="6">
        <f>COUNTIFS(Table119131[Country],Tabela1[[#This Row],[Country]],Table119131[Women''s Classification],"&gt;0")</f>
        <v>0</v>
      </c>
      <c r="OW142" s="6">
        <f>COUNTIFS(Table131[Country],Tabela1[[#This Row],[Country]],Table131[Classification],"&gt;0")</f>
        <v>0</v>
      </c>
      <c r="OX142" s="6">
        <f>COUNTIFS(Table131134[Country],Tabela1[[#This Row],[Country]],Table131134[Classification],"&gt;0")</f>
        <v>0</v>
      </c>
      <c r="OY142" s="6">
        <f>COUNTIFS(Table134[Country],Tabela1[[#This Row],[Country]],Table134[Men''s Classification],"&gt;0")</f>
        <v>0</v>
      </c>
      <c r="OZ142" s="6">
        <f>COUNTIFS(Table134[Country],Tabela1[[#This Row],[Country]],Table134[Women''s Classification],"&gt;0")</f>
        <v>0</v>
      </c>
      <c r="PA142" s="6">
        <f>COUNTIFS(Table135[Country],Tabela1[[#This Row],[Country]],Table135[Mixed Relay Classification],"&gt;0")</f>
        <v>0</v>
      </c>
      <c r="PB142" s="6">
        <f>COUNTIFS(Table136[Country],Tabela1[[#This Row],[Country]],Table136[Individual Classification],"&gt;0")</f>
        <v>0</v>
      </c>
      <c r="PC142" s="6">
        <f>COUNTIFS(Table136[Country],Tabela1[[#This Row],[Country]],Table136[Sprint Classification],"&gt;0")</f>
        <v>0</v>
      </c>
      <c r="PD142" s="6">
        <f>COUNTIFS(Table137[Country],Tabela1[[#This Row],[Country]],Table137[Men''s Team Sprint Large Hill Classification],"&gt;0")</f>
        <v>0</v>
      </c>
      <c r="PE142" s="6">
        <f>COUNTIFS(Table138[Country],Tabela1[[#This Row],[Country]],Table138[500m Classification],"&gt;0")</f>
        <v>0</v>
      </c>
      <c r="PF142" s="6">
        <f>COUNTIFS(Table138141[Country],Tabela1[[#This Row],[Country]],Table138141[500m Classification],"&gt;0")</f>
        <v>0</v>
      </c>
      <c r="PG142" s="6">
        <f>COUNTIFS(Table138[Country],Tabela1[[#This Row],[Country]],Table138[1000m Classification],"&gt;0")</f>
        <v>0</v>
      </c>
      <c r="PH142" s="6">
        <f>COUNTIFS(Table138141[Country],Tabela1[[#This Row],[Country]],Table138141[1000m Classification],"&gt;0")</f>
        <v>0</v>
      </c>
      <c r="PI142" s="6">
        <f>COUNTIFS(Table138[Country],Tabela1[[#This Row],[Country]],Table138[1500m Classification],"&gt;0")</f>
        <v>0</v>
      </c>
      <c r="PJ142" s="6">
        <f>COUNTIFS(Table138141[Country],Tabela1[[#This Row],[Country]],Table138141[1500m Classification],"&gt;0")</f>
        <v>0</v>
      </c>
      <c r="PK142" s="6">
        <f>COUNTIFS(Table141[Country],Tabela1[[#This Row],[Country]],Table141[Men''s 5000m Relay Classification],"&gt;0")</f>
        <v>0</v>
      </c>
      <c r="PL142" s="6">
        <f>COUNTIFS(Table141[Country],Tabela1[[#This Row],[Country]],Table141[Women''s 3000m Relay Classification],"&gt;0")</f>
        <v>0</v>
      </c>
      <c r="PM142" s="6">
        <f>COUNTIFS(Table141[Country],Tabela1[[#This Row],[Country]],Table141[Mixed 2000m Relay Classification],"&gt;0")</f>
        <v>0</v>
      </c>
      <c r="PN142" s="6">
        <f>COUNTIFS(Table142[Country],Tabela1[[#This Row],[Country]],Table142[Classification],"&gt;0")</f>
        <v>0</v>
      </c>
      <c r="PO142" s="6">
        <f>COUNTIFS(Table142145[Country],Tabela1[[#This Row],[Country]],Table142145[Classification],"&gt;0")</f>
        <v>0</v>
      </c>
      <c r="PP142" s="6">
        <f>COUNTIFS(Tabela15[Country],Tabela1[[#This Row],[Country]],Tabela15[Mixed Team Classification],"&gt;0")</f>
        <v>0</v>
      </c>
      <c r="PQ142" s="6">
        <f>COUNTIFS(Table145[Country],Tabela1[[#This Row],[Country]],Table145[Large Hill Classification],"&gt;0")</f>
        <v>0</v>
      </c>
      <c r="PR142" s="6">
        <f>COUNTIFS(Table145[Country],Tabela1[[#This Row],[Country]],Table145[Normal Hill Classification],"&gt;0")</f>
        <v>0</v>
      </c>
      <c r="PS142" s="6">
        <f>COUNTIFS(Table145148[Country],Tabela1[[#This Row],[Country]],Table145148[Large Hill Classification],"&gt;0")</f>
        <v>0</v>
      </c>
      <c r="PT142" s="6">
        <f>COUNTIFS(Table145148[Country],Tabela1[[#This Row],[Country]],Table145148[Normal Hill Classification],"&gt;0")</f>
        <v>0</v>
      </c>
      <c r="PU142" s="6">
        <f>COUNTIFS(Table148[Country],Tabela1[[#This Row],[Country]],Table148[Men''s Super Team Classification],"&gt;0")</f>
        <v>0</v>
      </c>
      <c r="PV142" s="6">
        <f>COUNTIFS(Tabela114[Country],Tabela1[[#This Row],[Country]],Tabela114[Mixed Normal Hill Classification],"&gt;0")</f>
        <v>0</v>
      </c>
      <c r="PW142" s="6">
        <f>COUNTIFS(Tabela50[Country],Tabela1[[#This Row],[Country]],Tabela50[Sprint Classification],"&gt;0")</f>
        <v>0</v>
      </c>
      <c r="PX142" s="6">
        <f>COUNTIFS(Tabela50101[Country],Tabela1[[#This Row],[Country]],Tabela50101[Sprint Classification],"&gt;0")</f>
        <v>0</v>
      </c>
      <c r="PY142" s="6">
        <f>COUNTIFS(Tabela103[Country],Tabela1[[#This Row],[Country]],Tabela103[Mixed Relay Classification],"&gt;0")</f>
        <v>0</v>
      </c>
      <c r="PZ142" s="6">
        <f>COUNTIFS(Table149[Country],Tabela1[[#This Row],[Country]],Table149[Big Air Classification],"&gt;0")</f>
        <v>0</v>
      </c>
      <c r="QA142" s="6">
        <f>COUNTIFS(Table149152[Country],Tabela1[[#This Row],[Country]],Table149152[Big Air Classification],"&gt;0")</f>
        <v>0</v>
      </c>
      <c r="QB142" s="6">
        <f>COUNTIFS(Table149[Country],Tabela1[[#This Row],[Country]],Table149[Halfpipe Classification],"&gt;0")</f>
        <v>0</v>
      </c>
      <c r="QC142" s="6">
        <f>COUNTIFS(Table149152[Country],Tabela1[[#This Row],[Country]],Table149152[Halfpipe Classification],"&gt;0")</f>
        <v>0</v>
      </c>
      <c r="QD142" s="6">
        <f>COUNTIFS(Table149[Country],Tabela1[[#This Row],[Country]],Table149[Parallel Giant Slalom Classification],"&gt;0")</f>
        <v>0</v>
      </c>
      <c r="QE142" s="6">
        <f>COUNTIFS(Table149152[Country],Tabela1[[#This Row],[Country]],Table149152[Parallel Giant Slalom Classification],"&gt;0")</f>
        <v>0</v>
      </c>
      <c r="QF142" s="6">
        <f>COUNTIFS(Table149[Country],Tabela1[[#This Row],[Country]],Table149[Slopestyle Classification],"&gt;0")</f>
        <v>0</v>
      </c>
      <c r="QG142" s="6">
        <f>COUNTIFS(Table149152[Country],Tabela1[[#This Row],[Country]],Table149152[Slopestyle Classification],"&gt;0")</f>
        <v>0</v>
      </c>
      <c r="QH142" s="6">
        <f>COUNTIFS(Table149[Country],Tabela1[[#This Row],[Country]],Table149[Snowboard Cross Classification],"&gt;0")</f>
        <v>0</v>
      </c>
      <c r="QI142" s="6">
        <f>COUNTIFS(Table149152[Country],Tabela1[[#This Row],[Country]],Table149152[Snowboard Cross Classification],"&gt;0")</f>
        <v>0</v>
      </c>
      <c r="QJ142" s="6">
        <f>COUNTIFS(Table153[Country],Tabela1[[#This Row],[Country]],Table153[Mixed Team Snowboard Cross Classification],"&gt;0")</f>
        <v>0</v>
      </c>
      <c r="QK142" s="6">
        <f>COUNTIFS(Table154[Country],Tabela1[[#This Row],[Country]],Table154[500m Classification],"&gt;0")</f>
        <v>0</v>
      </c>
      <c r="QL142" s="6">
        <f>COUNTIFS(Table154157[Country],Tabela1[[#This Row],[Country]],Table154157[500m Classification],"&gt;0")</f>
        <v>0</v>
      </c>
      <c r="QM142" s="6">
        <f>COUNTIFS(Table154[Country],Tabela1[[#This Row],[Country]],Table154[1000m Classification],"&gt;0")</f>
        <v>0</v>
      </c>
      <c r="QN142" s="6">
        <f>COUNTIFS(Table154157[Country],Tabela1[[#This Row],[Country]],Table154157[1000m Classification],"&gt;0")</f>
        <v>0</v>
      </c>
      <c r="QO142" s="6">
        <f>COUNTIFS(Table154[Country],Tabela1[[#This Row],[Country]],Table154[1500m Classification],"&gt;0")</f>
        <v>0</v>
      </c>
      <c r="QP142" s="6">
        <f>COUNTIFS(Table154157[Country],Tabela1[[#This Row],[Country]],Table154157[1500m Classification],"&gt;0")</f>
        <v>0</v>
      </c>
      <c r="QQ142" s="6">
        <f>COUNTIFS(Table154157[Country],Tabela1[[#This Row],[Country]],Table154157[3000m Classification],"&gt;0")</f>
        <v>0</v>
      </c>
      <c r="QR142" s="6">
        <f>COUNTIFS(Table154[Country],Tabela1[[#This Row],[Country]],Table154[5000m Classification],"&gt;0")</f>
        <v>0</v>
      </c>
      <c r="QS142" s="6">
        <f>COUNTIFS(Table154157[Country],Tabela1[[#This Row],[Country]],Table154157[5000m Classification],"&gt;0")</f>
        <v>0</v>
      </c>
      <c r="QT142" s="6">
        <f>COUNTIFS(Table154[Country],Tabela1[[#This Row],[Country]],Table154[10000m Classification],"&gt;0")</f>
        <v>0</v>
      </c>
      <c r="QU142" s="6">
        <f>COUNTIFS(Table154[Country],Tabela1[[#This Row],[Country]],Table154[Mass Start Classification],"&gt;0")</f>
        <v>0</v>
      </c>
      <c r="QV142" s="6">
        <f>COUNTIFS(Table154157[Country],Tabela1[[#This Row],[Country]],Table154157[Mass Start Classification],"&gt;0")</f>
        <v>0</v>
      </c>
      <c r="QW142" s="6">
        <f>COUNTIFS(Table157[Country],Tabela1[[#This Row],[Country]],Table157[Men''s Pursuit Classification],"&gt;0")</f>
        <v>0</v>
      </c>
      <c r="QX142" s="6">
        <f>COUNTIFS(Table157[Country],Tabela1[[#This Row],[Country]],Table157[Women''s Pursuit Classification],"&gt;0")</f>
        <v>0</v>
      </c>
      <c r="QY142" s="4" t="s">
        <v>703</v>
      </c>
    </row>
    <row r="143" spans="1:467" x14ac:dyDescent="0.3">
      <c r="A143" s="6">
        <v>142</v>
      </c>
      <c r="B143" s="6" t="s">
        <v>734</v>
      </c>
      <c r="C143" t="e" vm="142">
        <f>IF(ISBLANK(Tabela1[[#This Row],[Image Link]]), "", _xlfn.IMAGE(Tabela1[[#This Row],[Image Link]],1,1))</f>
        <v>#VALUE!</v>
      </c>
      <c r="D143" s="6">
        <f>SUM(Tabela1[[#This Row],[Archery - Men''s Individual Recurve]:[Speed Skating - Women''s Team Pursuit]])</f>
        <v>1</v>
      </c>
      <c r="E143" s="6">
        <f>COUNTIF(Tabela1[[#This Row],[Archery - Men''s Individual Recurve]:[Speed Skating - Women''s Team Pursuit]],"&gt;0")</f>
        <v>1</v>
      </c>
      <c r="F143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43" s="6">
        <f>SUM(Tabela1[[#This Row],[Archery - Men''s Individual Recurve]:[Wrestling - Women''s Freestyle 76kg]])</f>
        <v>1</v>
      </c>
      <c r="H143" s="6">
        <f>SUM(Tabela1[[#This Row],[Alpine Skiing - Men''s Downhill]:[Speed Skating - Women''s Team Pursuit]])</f>
        <v>0</v>
      </c>
      <c r="I143" s="6">
        <f>Tabela1[[#This Row],[Summer Gold Medals]]+Tabela1[[#This Row],[Winter Gold Medals]]</f>
        <v>0</v>
      </c>
      <c r="J143" s="6">
        <f>Tabela1[[#This Row],[Summer Silver Medals]]+Tabela1[[#This Row],[Winter Silver Medals]]</f>
        <v>0</v>
      </c>
      <c r="K143" s="6">
        <f>Tabela1[[#This Row],[Summer Bronze Medals]]+Tabela1[[#This Row],[Winter Bronze Medals]]</f>
        <v>0</v>
      </c>
      <c r="L143" s="6">
        <f>SUM(Tabela1[[#This Row],[Total Gold Medals]:[Total Bronze Medals]])</f>
        <v>0</v>
      </c>
      <c r="M143" s="6"/>
      <c r="N143" s="6"/>
      <c r="O143" s="6"/>
      <c r="P143" s="6">
        <f>SUM(Tabela1[[#This Row],[Summer Gold Medals]:[Summer Bronze Medals]])</f>
        <v>0</v>
      </c>
      <c r="Q143" s="6"/>
      <c r="R143" s="6"/>
      <c r="S143" s="6"/>
      <c r="T143" s="6">
        <f>Tabela1[[#This Row],[Winter Gold Medals]]+Tabela1[[#This Row],[Winter Silver Medals]]+Tabela1[[#This Row],[Winter Bronze Medals]]</f>
        <v>0</v>
      </c>
      <c r="U143" s="7">
        <f>Tabela1[[#This Row],[Total Medals]]/Tabela1[[#This Row],[Total Quotas]]</f>
        <v>0</v>
      </c>
      <c r="V143" s="6">
        <f>COUNTIFS(Table3[Country],Tabela1[[#This Row],[Country]],Table3[Recurve Classification],"&gt;0")</f>
        <v>0</v>
      </c>
      <c r="W143" s="6">
        <f>COUNTIFS(Table33[Country],Tabela1[[#This Row],[Country]],Table33[Recurve Classification],"&gt;0")</f>
        <v>0</v>
      </c>
      <c r="X143" s="6">
        <f>COUNTIFS(Table35[Country],Tabela1[[#This Row],[Country]],Table35[Men''s Team Recurve Classification],"&gt;0")</f>
        <v>0</v>
      </c>
      <c r="Y143" s="6">
        <f>COUNTIFS(Table35[Country],Tabela1[[#This Row],[Country]],Table35[Women''s Team Recurve Classification],"&gt;0")</f>
        <v>0</v>
      </c>
      <c r="Z143" s="6">
        <f>COUNTIFS(Tabela88[Country],Tabela1[[#This Row],[Country]],Tabela88[Mixed Team Recurve Classification],"&gt;0")</f>
        <v>0</v>
      </c>
      <c r="AA143" s="6">
        <f>COUNTIFS(Table36[Country],Tabela1[[#This Row],[Country]],Table36[Classification],"&gt;0")</f>
        <v>0</v>
      </c>
      <c r="AB143" s="6">
        <f>COUNTIFS(Table37[Country],Tabela1[[#This Row],[Country]],Table37[Classification],"&gt;0")</f>
        <v>0</v>
      </c>
      <c r="AC143" s="6">
        <f>COUNTIFS(Table4[Country],Tabela1[[#This Row],[Country]],Table4[100m Classification],"&gt;0")</f>
        <v>0</v>
      </c>
      <c r="AD143" s="6">
        <f>COUNTIFS(Table5[Country],Tabela1[[#This Row],[Country]],Table5[100m Classification],"&gt;0")</f>
        <v>0</v>
      </c>
      <c r="AE143" s="6">
        <f>COUNTIFS(Table4[Country],Tabela1[[#This Row],[Country]],Table4[200m Classification],"&gt;0")</f>
        <v>0</v>
      </c>
      <c r="AF143" s="6">
        <f>COUNTIFS(Table5[Country],Tabela1[[#This Row],[Country]],Table5[200m Classification],"&gt;0")</f>
        <v>0</v>
      </c>
      <c r="AG143" s="6">
        <f>COUNTIFS(Table4[Country],Tabela1[[#This Row],[Country]],Table4[400m Classification],"&gt;0")</f>
        <v>0</v>
      </c>
      <c r="AH143" s="6">
        <f>COUNTIFS(Table5[Country],Tabela1[[#This Row],[Country]],Table5[400m Classification],"&gt;0")</f>
        <v>0</v>
      </c>
      <c r="AI143" s="6">
        <f>COUNTIFS(Table4[Country],Tabela1[[#This Row],[Country]],Table4[800m Classification],"&gt;0")</f>
        <v>0</v>
      </c>
      <c r="AJ143" s="6">
        <f>COUNTIFS(Table5[Country],Tabela1[[#This Row],[Country]],Table5[800m Classification],"&gt;0")</f>
        <v>0</v>
      </c>
      <c r="AK143" s="6">
        <f>COUNTIFS(Table4[Country],Tabela1[[#This Row],[Country]],Table4[1500m Classification],"&gt;0")</f>
        <v>0</v>
      </c>
      <c r="AL143" s="6">
        <f>COUNTIFS(Table5[Country],Tabela1[[#This Row],[Country]],Table5[1500m Classification],"&gt;0")</f>
        <v>0</v>
      </c>
      <c r="AM143" s="6">
        <f>COUNTIFS(Table4[Country],Tabela1[[#This Row],[Country]],Table4[5000m Classification],"&gt;0")</f>
        <v>0</v>
      </c>
      <c r="AN143" s="6">
        <f>COUNTIFS(Table5[Country],Tabela1[[#This Row],[Country]],Table5[5000m Classification],"&gt;0")</f>
        <v>0</v>
      </c>
      <c r="AO143" s="6">
        <f>COUNTIFS(Table4[Country],Tabela1[[#This Row],[Country]],Table4[10000m Classification],"&gt;0")</f>
        <v>0</v>
      </c>
      <c r="AP143" s="6">
        <f>COUNTIFS(Table5[Country],Tabela1[[#This Row],[Country]],Table5[10000m Classification],"&gt;0")</f>
        <v>0</v>
      </c>
      <c r="AQ143" s="6">
        <f>COUNTIFS(Table4[Country],Tabela1[[#This Row],[Country]],Table4[110m Hurdles Classification],"&gt;0")</f>
        <v>0</v>
      </c>
      <c r="AR143" s="6">
        <f>COUNTIFS(Table5[Country],Tabela1[[#This Row],[Country]],Table5[100m Hurdles Classification],"&gt;0")</f>
        <v>0</v>
      </c>
      <c r="AS143" s="6">
        <f>COUNTIFS(Table4[Country],Tabela1[[#This Row],[Country]],Table4[400m Hurdles Classification],"&gt;0")</f>
        <v>0</v>
      </c>
      <c r="AT143" s="6">
        <f>COUNTIFS(Table5[Country],Tabela1[[#This Row],[Country]],Table5[400m Hurdles Classification],"&gt;0")</f>
        <v>0</v>
      </c>
      <c r="AU143" s="6">
        <f>COUNTIFS(Table4[Country],Tabela1[[#This Row],[Country]],Table4[3000m Steeplechase Classification],"&gt;0")</f>
        <v>0</v>
      </c>
      <c r="AV143" s="6">
        <f>COUNTIFS(Table5[Country],Tabela1[[#This Row],[Country]],Table5[3000m Steeplechase Classification],"&gt;0")</f>
        <v>0</v>
      </c>
      <c r="AW143" s="6">
        <f>COUNTIFS(Table27[Country],Tabela1[[#This Row],[Country]],Table27[Men''s 4x100m Relay Classification],"&gt;0")</f>
        <v>0</v>
      </c>
      <c r="AX143" s="6">
        <f>COUNTIFS(Table27[Country],Tabela1[[#This Row],[Country]],Table27[Women''s 4x100m Relay Classification],"&gt;0")</f>
        <v>0</v>
      </c>
      <c r="AY143" s="6">
        <f>COUNTIFS(Table27[Country],Tabela1[[#This Row],[Country]],Table27[Men''s 4x400m Relay Classification],"&gt;0")</f>
        <v>0</v>
      </c>
      <c r="AZ143" s="6">
        <f>COUNTIFS(Table27[Country],Tabela1[[#This Row],[Country]],Table27[Women''s 4x400m Relay Classification],"&gt;0")</f>
        <v>0</v>
      </c>
      <c r="BA143" s="6">
        <f>COUNTIFS(Table27[Country],Tabela1[[#This Row],[Country]],Table27[Mixed 4x400m Relay Classification],"&gt;0")</f>
        <v>0</v>
      </c>
      <c r="BB143" s="6">
        <f>COUNTIFS(Table4[Country],Tabela1[[#This Row],[Country]],Table4[Marathon Classification],"&gt;0")</f>
        <v>0</v>
      </c>
      <c r="BC143" s="6">
        <f>COUNTIFS(Table5[Country],Tabela1[[#This Row],[Country]],Table5[Marathon Classification],"&gt;0")</f>
        <v>0</v>
      </c>
      <c r="BD143" s="6">
        <f>COUNTIFS(Table4[Country],Tabela1[[#This Row],[Country]],Table4[20km Race Walk Classification],"&gt;0")</f>
        <v>0</v>
      </c>
      <c r="BE143" s="6">
        <f>COUNTIFS(Table5[Country],Tabela1[[#This Row],[Country]],Table5[20km Race Walk Classification],"&gt;0")</f>
        <v>0</v>
      </c>
      <c r="BF143" s="6">
        <f>COUNTIFS(Tabela96[Country],Tabela1[[#This Row],[Country]],Tabela96[Mixed Marathon Race Walk Relay Classification],"&gt;0")</f>
        <v>0</v>
      </c>
      <c r="BG143" s="6">
        <f>COUNTIFS(Table4[Country],Tabela1[[#This Row],[Country]],Table4[Discus Throw Classification],"&gt;0")</f>
        <v>0</v>
      </c>
      <c r="BH143" s="6">
        <f>COUNTIFS(Table5[Country],Tabela1[[#This Row],[Country]],Table5[Discus Throw Classification],"&gt;0")</f>
        <v>0</v>
      </c>
      <c r="BI143" s="6">
        <f>COUNTIFS(Table4[Country],Tabela1[[#This Row],[Country]],Table4[Hammer Throw Classification],"&gt;0")</f>
        <v>0</v>
      </c>
      <c r="BJ143" s="6">
        <f>COUNTIFS(Table5[Country],Tabela1[[#This Row],[Country]],Table5[Hammer Throw Classification],"&gt;0")</f>
        <v>0</v>
      </c>
      <c r="BK143" s="6">
        <f>COUNTIFS(Table4[Country],Tabela1[[#This Row],[Country]],Table4[High Jump Classification],"&gt;0")</f>
        <v>0</v>
      </c>
      <c r="BL143" s="6">
        <f>COUNTIFS(Table5[Country],Tabela1[[#This Row],[Country]],Table5[High Jump Classification],"&gt;0")</f>
        <v>0</v>
      </c>
      <c r="BM143" s="6">
        <f>COUNTIFS(Table4[Country],Tabela1[[#This Row],[Country]],Table4[Javelin Throw Classification],"&gt;0")</f>
        <v>0</v>
      </c>
      <c r="BN143" s="6">
        <f>COUNTIFS(Table5[Country],Tabela1[[#This Row],[Country]],Table5[Javelin Throw Classification],"&gt;0")</f>
        <v>0</v>
      </c>
      <c r="BO143" s="6">
        <f>COUNTIFS(Table4[Country],Tabela1[[#This Row],[Country]],Table4[Long Jump Classification],"&gt;0")</f>
        <v>0</v>
      </c>
      <c r="BP143" s="6">
        <f>COUNTIFS(Table5[Country],Tabela1[[#This Row],[Country]],Table5[Long Jump Classification],"&gt;0")</f>
        <v>0</v>
      </c>
      <c r="BQ143" s="6">
        <f>COUNTIFS(Table4[Country],Tabela1[[#This Row],[Country]],Table4[Pole Vault Classification],"&gt;0")</f>
        <v>0</v>
      </c>
      <c r="BR143" s="6">
        <f>COUNTIFS(Table5[Country],Tabela1[[#This Row],[Country]],Table5[Pole Vault Classification],"&gt;0")</f>
        <v>0</v>
      </c>
      <c r="BS143" s="6">
        <f>COUNTIFS(Table4[Country],Tabela1[[#This Row],[Country]],Table4[Shot Put Classification],"&gt;0")</f>
        <v>0</v>
      </c>
      <c r="BT143" s="6">
        <f>COUNTIFS(Table5[Country],Tabela1[[#This Row],[Country]],Table5[Shot Put Classification],"&gt;0")</f>
        <v>0</v>
      </c>
      <c r="BU143" s="6">
        <f>COUNTIFS(Table4[Country],Tabela1[[#This Row],[Country]],Table4[Triple Jump Classification],"&gt;0")</f>
        <v>0</v>
      </c>
      <c r="BV143" s="6">
        <f>COUNTIFS(Table5[Country],Tabela1[[#This Row],[Country]],Table5[Triple Jump Classification],"&gt;0")</f>
        <v>0</v>
      </c>
      <c r="BW143" s="6">
        <f>COUNTIFS(Table4[Country],Tabela1[[#This Row],[Country]],Table4[Decathlon Classification],"&gt;0")</f>
        <v>0</v>
      </c>
      <c r="BX143" s="6">
        <f>COUNTIFS(Table5[Country],Tabela1[[#This Row],[Country]],Table5[Heptathlon Classification],"&gt;0")</f>
        <v>0</v>
      </c>
      <c r="BY143" s="6">
        <f>COUNTIFS(Table61[Country],Tabela1[[#This Row],[Country]],Table61[Classification],"&gt;0")</f>
        <v>0</v>
      </c>
      <c r="BZ143" s="6">
        <f>COUNTIFS(Table38[Country],Tabela1[[#This Row],[Country]],Table38[Classification],"&gt;0")</f>
        <v>0</v>
      </c>
      <c r="CA143" s="6">
        <f>COUNTIFS(Table39[Country],Tabela1[[#This Row],[Country]],Table39[Men''s Classification],"&gt;0")</f>
        <v>0</v>
      </c>
      <c r="CB143" s="6">
        <f>COUNTIFS(Table39[Country],Tabela1[[#This Row],[Country]],Table39[Women''s Classification],"&gt;0")</f>
        <v>0</v>
      </c>
      <c r="CC143" s="6">
        <f>COUNTIFS(Table39[Country],Tabela1[[#This Row],[Country]],Table39[Mixed Classification],"&gt;0")</f>
        <v>0</v>
      </c>
      <c r="CD143" s="6">
        <f>COUNTIFS(Table89[Country],Tabela1[[#This Row],[Country]],Table89[Men''s Classification],"&gt;0")</f>
        <v>0</v>
      </c>
      <c r="CE143" s="6">
        <f>COUNTIFS(Table89[Country],Tabela1[[#This Row],[Country]],Table89[Women''s Classification],"&gt;0")</f>
        <v>0</v>
      </c>
      <c r="CF143" s="6">
        <f>COUNTIFS(Table90[Country],Tabela1[[#This Row],[Country]],Table90[Men''s Classification],"&gt;0")</f>
        <v>0</v>
      </c>
      <c r="CG143" s="6">
        <f>COUNTIFS(Table90[Country],Tabela1[[#This Row],[Country]],Table90[Women''s Classification],"&gt;0")</f>
        <v>0</v>
      </c>
      <c r="CH143" s="6">
        <f>COUNTIFS(Table60[Country],Tabela1[[#This Row],[Country]],Table60[Men''s Classification],"&gt;0")</f>
        <v>0</v>
      </c>
      <c r="CI143" s="6">
        <f>COUNTIFS(Table60[Country],Tabela1[[#This Row],[Country]],Table60[Women''s Classification],"&gt;0")</f>
        <v>0</v>
      </c>
      <c r="CJ143" s="6">
        <f>COUNTIFS(Table6[Country],Tabela1[[#This Row],[Country]],Table6[51kg Classification],"&gt;0")</f>
        <v>0</v>
      </c>
      <c r="CK143" s="6">
        <f>COUNTIFS(Table6[Country],Tabela1[[#This Row],[Country]],Table6[57kg Classification],"&gt;0")</f>
        <v>0</v>
      </c>
      <c r="CL143" s="6">
        <f>COUNTIFS(Table6[Country],Tabela1[[#This Row],[Country]],Table6[63.5kg Classification],"&gt;0")</f>
        <v>0</v>
      </c>
      <c r="CM143" s="6">
        <f>COUNTIFS(Table6[Country],Tabela1[[#This Row],[Country]],Table6[71kg Classification],"&gt;0")</f>
        <v>0</v>
      </c>
      <c r="CN143" s="6">
        <f>COUNTIFS(Table6[Country],Tabela1[[#This Row],[Country]],Table6[80kg Classification],"&gt;0")</f>
        <v>0</v>
      </c>
      <c r="CO143" s="6">
        <f>COUNTIFS(Table6[Country],Tabela1[[#This Row],[Country]],Table6[92kg Classification],"&gt;0")</f>
        <v>0</v>
      </c>
      <c r="CP143" s="6">
        <f>COUNTIFS(Table6[Country],Tabela1[[#This Row],[Country]],Table6[Plus 92kg Classification],"&gt;0")</f>
        <v>0</v>
      </c>
      <c r="CQ143" s="6">
        <f>COUNTIFS(Table7[Country],Tabela1[[#This Row],[Country]],Table7[50kg Classification],"&gt;0")</f>
        <v>0</v>
      </c>
      <c r="CR143" s="6">
        <f>COUNTIFS(Table7[Country],Tabela1[[#This Row],[Country]],Table7[54kg Classification],"&gt;0")</f>
        <v>0</v>
      </c>
      <c r="CS143" s="6">
        <f>COUNTIFS(Table7[Country],Tabela1[[#This Row],[Country]],Table7[57kg Classification],"&gt;0")</f>
        <v>0</v>
      </c>
      <c r="CT143" s="6">
        <f>COUNTIFS(Table7[Country],Tabela1[[#This Row],[Country]],Table7[60kg Classification],"&gt;0")</f>
        <v>0</v>
      </c>
      <c r="CU143" s="6">
        <f>COUNTIFS(Table7[Country],Tabela1[[#This Row],[Country]],Table7[66kg Classification],"&gt;0")</f>
        <v>0</v>
      </c>
      <c r="CV143" s="6">
        <f>COUNTIFS(Table7[Country],Tabela1[[#This Row],[Country]],Table7[75kg Classification],"&gt;0")</f>
        <v>0</v>
      </c>
      <c r="CW143" s="6">
        <f>COUNTIFS(Tabela94[Country],Tabela1[[#This Row],[Country]],Tabela94[Classification],"&gt;0")</f>
        <v>0</v>
      </c>
      <c r="CX143" s="6">
        <f>COUNTIFS(Tabela9499[Country],Tabela1[[#This Row],[Country]],Tabela9499[Classification],"&gt;0")</f>
        <v>0</v>
      </c>
      <c r="CY143" s="6">
        <f>COUNTIFS(Tabela107[Country],Tabela1[[#This Row],[Country]],Tabela107[C1 Slalom Classification],"&gt;0")</f>
        <v>0</v>
      </c>
      <c r="CZ143" s="6">
        <f>COUNTIFS(Tabela107122[Country],Tabela1[[#This Row],[Country]],Tabela107122[C1 Slalom Classification],"&gt;0")</f>
        <v>0</v>
      </c>
      <c r="DA143" s="6">
        <f>COUNTIFS(Tabela107[Country],Tabela1[[#This Row],[Country]],Tabela107[K1 Slalom Classification],"&gt;0")</f>
        <v>0</v>
      </c>
      <c r="DB143" s="6">
        <f>COUNTIFS(Tabela107122[Country],Tabela1[[#This Row],[Country]],Tabela107122[K1 Slalom Classification],"&gt;0")</f>
        <v>0</v>
      </c>
      <c r="DC143" s="6">
        <f>COUNTIFS(Tabela107[Country],Tabela1[[#This Row],[Country]],Tabela107[Kayak Cross Slalom Classification],"&gt;0")</f>
        <v>0</v>
      </c>
      <c r="DD143" s="6">
        <f>COUNTIFS(Tabela107122[Country],Tabela1[[#This Row],[Country]],Tabela107122[Kayak Cross Slalom Classification],"&gt;0")</f>
        <v>0</v>
      </c>
      <c r="DE143" s="6">
        <f>COUNTIFS(Table8[Country],Tabela1[[#This Row],[Country]],Table8[C1 200m Classification],"&gt;0")</f>
        <v>0</v>
      </c>
      <c r="DF143" s="6">
        <f>COUNTIFS(Table40[Country],Tabela1[[#This Row],[Country]],Table40[C1 1000m Classification],"&gt;0")</f>
        <v>0</v>
      </c>
      <c r="DG143" s="6">
        <f>COUNTIFS(Table68[Country],Tabela1[[#This Row],[Country]],Table68[Men''s C2 500m Classification],"&gt;0")</f>
        <v>0</v>
      </c>
      <c r="DH143" s="6">
        <f>COUNTIFS(Table68[Country],Tabela1[[#This Row],[Country]],Table68[Women''s C2 500m Classification],"&gt;0")</f>
        <v>0</v>
      </c>
      <c r="DI143" s="6">
        <f>COUNTIFS(Table8[Country],Tabela1[[#This Row],[Country]],Table8[K1 500m Classification],"&gt;0")</f>
        <v>0</v>
      </c>
      <c r="DJ143" s="6">
        <f>COUNTIFS(Table40[Country],Tabela1[[#This Row],[Country]],Table40[K1 1000m Classification],"&gt;0")</f>
        <v>0</v>
      </c>
      <c r="DK143" s="6">
        <f>COUNTIFS(Table68[Country],Tabela1[[#This Row],[Country]],Table68[Men''s K2 500m Classification],"&gt;0")</f>
        <v>0</v>
      </c>
      <c r="DL143" s="6">
        <f>COUNTIFS(Table68[Country],Tabela1[[#This Row],[Country]],Table68[Women''s K2 500m Classification],"&gt;0")</f>
        <v>0</v>
      </c>
      <c r="DM143" s="6">
        <f>COUNTIFS(Table83[Country],Tabela1[[#This Row],[Country]],Table83[Men''s K4 500m Classification],"&gt;0")</f>
        <v>0</v>
      </c>
      <c r="DN143" s="6">
        <f>COUNTIFS(Table83[Country],Tabela1[[#This Row],[Country]],Table83[Women''s K4 500m Classification],"&gt;0")</f>
        <v>0</v>
      </c>
      <c r="DO143" s="6">
        <f>COUNTIFS(Tabela126[Country],Tabela1[[#This Row],[Country]],Tabela126[Classification],"&gt;0")</f>
        <v>0</v>
      </c>
      <c r="DP143" s="6">
        <f>COUNTIFS(Tabela126130[Country],Tabela1[[#This Row],[Country]],Tabela126130[Classification],"&gt;0")</f>
        <v>0</v>
      </c>
      <c r="DQ143" s="6">
        <f>COUNTIFS(Table70[Country],Tabela1[[#This Row],[Country]],Table70[Classification],"&gt;0")</f>
        <v>0</v>
      </c>
      <c r="DR143" s="6">
        <f>COUNTIFS(Table80[Country],Tabela1[[#This Row],[Country]],Table80[Classification],"&gt;0")</f>
        <v>0</v>
      </c>
      <c r="DS143" s="6">
        <f>COUNTIFS(Table66[Country],Tabela1[[#This Row],[Country]],Table66[Classification],"&gt;0")</f>
        <v>0</v>
      </c>
      <c r="DT143" s="6">
        <f>COUNTIFS(Table67[Country],Tabela1[[#This Row],[Country]],Table67[Classification],"&gt;0")</f>
        <v>0</v>
      </c>
      <c r="DU143" s="6">
        <f>COUNTIFS(Table69[Country],Tabela1[[#This Row],[Country]],Table69[Keirin Classification],"&gt;0")</f>
        <v>0</v>
      </c>
      <c r="DV143" s="6">
        <f>COUNTIFS(Table41[Country],Tabela1[[#This Row],[Country]],Table41[Keirin Classification],"&gt;0")</f>
        <v>0</v>
      </c>
      <c r="DW143" s="6">
        <f>COUNTIFS(Table84[Country],Tabela1[[#This Row],[Country]],Table84[Men''s Madison Classification],"&gt;0")</f>
        <v>0</v>
      </c>
      <c r="DX143" s="6">
        <f>COUNTIFS(Table84[Country],Tabela1[[#This Row],[Country]],Table84[Women''s Madison Classification],"&gt;0")</f>
        <v>0</v>
      </c>
      <c r="DY143" s="6">
        <f>COUNTIFS(Table69[Country],Tabela1[[#This Row],[Country]],Table69[Omnium Classification],"&gt;0")</f>
        <v>0</v>
      </c>
      <c r="DZ143" s="6">
        <f>COUNTIFS(Table41[Country],Tabela1[[#This Row],[Country]],Table41[Omnium Classification],"&gt;0")</f>
        <v>0</v>
      </c>
      <c r="EA143" s="6">
        <f>COUNTIFS(Table9[Country],Tabela1[[#This Row],[Country]],Table9[Road Race Classification],"&gt;0")</f>
        <v>0</v>
      </c>
      <c r="EB143" s="6">
        <f>COUNTIFS(Table14[Country],Tabela1[[#This Row],[Country]],Table14[Road Race Classification],"&gt;0")</f>
        <v>0</v>
      </c>
      <c r="EC143" s="6">
        <f>COUNTIFS(Table69[Country],Tabela1[[#This Row],[Country]],Table69[Sprint Classification],"&gt;0")</f>
        <v>0</v>
      </c>
      <c r="ED143" s="6">
        <f>COUNTIFS(Table41[Country],Tabela1[[#This Row],[Country]],Table41[Sprint Classification],"&gt;0")</f>
        <v>0</v>
      </c>
      <c r="EE143" s="6">
        <f>COUNTIFS(Table85[Country],Tabela1[[#This Row],[Country]],Table85[Men''s Sprint Classification],"&gt;0")</f>
        <v>0</v>
      </c>
      <c r="EF143" s="6">
        <f>COUNTIFS(Table85[Country],Tabela1[[#This Row],[Country]],Table85[Women''s Sprint Classification],"&gt;0")</f>
        <v>0</v>
      </c>
      <c r="EG143" s="6">
        <f>COUNTIFS(Table85[Country],Tabela1[[#This Row],[Country]],Table85[Men''s Pursuit Classification],"&gt;0")</f>
        <v>0</v>
      </c>
      <c r="EH143" s="6">
        <f>COUNTIFS(Table85[Country],Tabela1[[#This Row],[Country]],Table85[Women''s Pursuit Classification],"&gt;0")</f>
        <v>0</v>
      </c>
      <c r="EI143" s="6">
        <f>COUNTIFS(Table9[Country],Tabela1[[#This Row],[Country]],Table9[Time-Trial Classification],"&gt;0")</f>
        <v>0</v>
      </c>
      <c r="EJ143" s="6">
        <f>COUNTIFS(Table14[Country],Tabela1[[#This Row],[Country]],Table14[Time-Trial Classification],"&gt;0")</f>
        <v>0</v>
      </c>
      <c r="EK143" s="6">
        <f>COUNTIFS(Table42[Country],Tabela1[[#This Row],[Country]],Table42[Springboard Classification],"&gt;0")</f>
        <v>0</v>
      </c>
      <c r="EL143" s="6">
        <f>COUNTIFS(Table43[Country],Tabela1[[#This Row],[Country]],Table43[Springboard Classification],"&gt;0")</f>
        <v>0</v>
      </c>
      <c r="EM143" s="6">
        <f>COUNTIFS(Table42[Country],Tabela1[[#This Row],[Country]],Table42[Platform Classification],"&gt;0")</f>
        <v>0</v>
      </c>
      <c r="EN143" s="6">
        <f>COUNTIFS(Table43[Country],Tabela1[[#This Row],[Country]],Table43[Platform Classification],"&gt;0")</f>
        <v>0</v>
      </c>
      <c r="EO143" s="6">
        <f>COUNTIFS(Table86[Country],Tabela1[[#This Row],[Country]],Table86[Men''s Synchronized Springboard Classification],"&gt;0")</f>
        <v>0</v>
      </c>
      <c r="EP143" s="6">
        <f>COUNTIFS(Table86[Country],Tabela1[[#This Row],[Country]],Table86[Women''s Synchronized Springboard Classification],"&gt;0")</f>
        <v>0</v>
      </c>
      <c r="EQ143" s="6">
        <f>COUNTIFS(Table86[Country],Tabela1[[#This Row],[Country]],Table86[Men''s Synchronized Platform Classification],"&gt;0")</f>
        <v>0</v>
      </c>
      <c r="ER143" s="6">
        <f>COUNTIFS(Table86[Country],Tabela1[[#This Row],[Country]],Table86[Women''s Synchronized Platform Classification],"&gt;0")</f>
        <v>0</v>
      </c>
      <c r="ES143" s="6">
        <f>COUNTIFS(Table44[Country],Tabela1[[#This Row],[Country]],Table44[Dressage Classification],"&gt;0")</f>
        <v>0</v>
      </c>
      <c r="ET143" s="6">
        <f>COUNTIFS(Table45[Country],Tabela1[[#This Row],[Country]],Table45[Dressage Classification],"&gt;0")</f>
        <v>0</v>
      </c>
      <c r="EU143" s="6">
        <f>COUNTIFS(Table44[Country],Tabela1[[#This Row],[Country]],Table44[Eventing Classification],"&gt;0")</f>
        <v>0</v>
      </c>
      <c r="EV143" s="6">
        <f>COUNTIFS(Table45[Country],Tabela1[[#This Row],[Country]],Table45[Eventing Classification],"&gt;0")</f>
        <v>0</v>
      </c>
      <c r="EW143" s="6">
        <f>COUNTIFS(Table44[Country],Tabela1[[#This Row],[Country]],Table44[Jumping Classification],"&gt;0")</f>
        <v>0</v>
      </c>
      <c r="EX143" s="6">
        <f>COUNTIFS(Table45[Country],Tabela1[[#This Row],[Country]],Table45[Jumping Classification],"&gt;0")</f>
        <v>0</v>
      </c>
      <c r="EY143" s="6">
        <f>COUNTIFS(Table10[Country],Tabela1[[#This Row],[Country]],Table10[Épée Classification],"&gt;0")</f>
        <v>0</v>
      </c>
      <c r="EZ143" s="6">
        <f>COUNTIFS(Table11[Country],Tabela1[[#This Row],[Country]],Table11[Épée Classification],"&gt;0")</f>
        <v>0</v>
      </c>
      <c r="FA143" s="6">
        <f>COUNTIFS(Table46[Country],Tabela1[[#This Row],[Country]],Table46[Men''s Épée Classification],"&gt;0")</f>
        <v>0</v>
      </c>
      <c r="FB143" s="6">
        <f>COUNTIFS(Table46[Country],Tabela1[[#This Row],[Country]],Table46[Women''s Épée Classification],"&gt;0")</f>
        <v>0</v>
      </c>
      <c r="FC143" s="6">
        <f>COUNTIFS(Table10[Country],Tabela1[[#This Row],[Country]],Table10[Foil Classification],"&gt;0")</f>
        <v>0</v>
      </c>
      <c r="FD143" s="6">
        <f>COUNTIFS(Table11[Country],Tabela1[[#This Row],[Country]],Table11[Foil Classification],"&gt;0")</f>
        <v>0</v>
      </c>
      <c r="FE143" s="6">
        <f>COUNTIFS(Table46[Country],Tabela1[[#This Row],[Country]],Table46[Men''s Foil Classification],"&gt;0")</f>
        <v>0</v>
      </c>
      <c r="FF143" s="6">
        <f>COUNTIFS(Table46[Country],Tabela1[[#This Row],[Country]],Table46[Women''s Foil Classification],"&gt;0")</f>
        <v>0</v>
      </c>
      <c r="FG143" s="6">
        <f>COUNTIFS(Table10[Country],Tabela1[[#This Row],[Country]],Table10[Sabre Classification],"&gt;0")</f>
        <v>0</v>
      </c>
      <c r="FH143" s="6">
        <f>COUNTIFS(Table11[Country],Tabela1[[#This Row],[Country]],Table11[Sabre Classification],"&gt;0")</f>
        <v>0</v>
      </c>
      <c r="FI143" s="6">
        <f>COUNTIFS(Table46[Country],Tabela1[[#This Row],[Country]],Table46[Men''s Sabre Classification],"&gt;0")</f>
        <v>0</v>
      </c>
      <c r="FJ143" s="6">
        <f>COUNTIFS(Table46[Country],Tabela1[[#This Row],[Country]],Table46[Women''s Sabre Classification],"&gt;0")</f>
        <v>0</v>
      </c>
      <c r="FK143" s="6">
        <f>COUNTIFS(Table91[Country],Tabela1[[#This Row],[Country]],Table91[Men''s Classification],"&gt;0")</f>
        <v>0</v>
      </c>
      <c r="FL143" s="6">
        <f>COUNTIFS(Table91[Country],Tabela1[[#This Row],[Country]],Table91[Women''s Classification],"&gt;0")</f>
        <v>0</v>
      </c>
      <c r="FM143" s="6">
        <f>COUNTIFS(Table9194[Country],Tabela1[[#This Row],[Country]],Table9194[Men''s Classification],"&gt;0")</f>
        <v>0</v>
      </c>
      <c r="FN143" s="6">
        <f>COUNTIFS(Table9194[Country],Tabela1[[#This Row],[Country]],Table9194[Women''s Classification],"&gt;0")</f>
        <v>0</v>
      </c>
      <c r="FO143" s="6">
        <f>COUNTIFS(Table71[Country],Tabela1[[#This Row],[Country]],Table71[Classification],"&gt;0")</f>
        <v>0</v>
      </c>
      <c r="FP143" s="6">
        <f>COUNTIFS(Table62[Country],Tabela1[[#This Row],[Country]],Table62[Classification],"&gt;0")</f>
        <v>0</v>
      </c>
      <c r="FQ143" s="6">
        <f>COUNTIFS(Table47[Country],Tabela1[[#This Row],[Country]],Table47[All-Around Classification],"&gt;0")</f>
        <v>0</v>
      </c>
      <c r="FR143" s="6">
        <f>COUNTIFS(Table48[Country],Tabela1[[#This Row],[Country]],Table48[All-Around Classification],"&gt;0")</f>
        <v>0</v>
      </c>
      <c r="FS143" s="6">
        <f>COUNTIFS(Table81[Country],Tabela1[[#This Row],[Country]],Table81[Men''s All-Around Classification],"&gt;0")</f>
        <v>0</v>
      </c>
      <c r="FT143" s="6">
        <f>COUNTIFS(Table81[Country],Tabela1[[#This Row],[Country]],Table81[Women''s All-Around Classification],"&gt;0")</f>
        <v>0</v>
      </c>
      <c r="FU143" s="6">
        <f>COUNTIFS(Table48[Country],Tabela1[[#This Row],[Country]],Table48[Balance Beam Classification],"&gt;0")</f>
        <v>0</v>
      </c>
      <c r="FV143" s="6">
        <f>COUNTIFS(Table47[Country],Tabela1[[#This Row],[Country]],Table47[Floor Exercise Classification],"&gt;0")</f>
        <v>0</v>
      </c>
      <c r="FW143" s="6">
        <f>COUNTIFS(Table48[Country],Tabela1[[#This Row],[Country]],Table48[Floor Exercise Classification],"&gt;0")</f>
        <v>0</v>
      </c>
      <c r="FX143" s="6">
        <f>COUNTIFS(Table47[Country],Tabela1[[#This Row],[Country]],Table47[Horizontal Bar Classification],"&gt;0")</f>
        <v>0</v>
      </c>
      <c r="FY143" s="6">
        <f>COUNTIFS(Table47[Country],Tabela1[[#This Row],[Country]],Table47[Parallel Bars Classification],"&gt;0")</f>
        <v>0</v>
      </c>
      <c r="FZ143" s="6">
        <f>COUNTIFS(Table47[Country],Tabela1[[#This Row],[Country]],Table47[Pommel Horse Classification],"&gt;0")</f>
        <v>0</v>
      </c>
      <c r="GA143" s="6">
        <f>COUNTIFS(Table47[Country],Tabela1[[#This Row],[Country]],Table47[Rings Classification],"&gt;0")</f>
        <v>0</v>
      </c>
      <c r="GB143" s="6">
        <f>COUNTIFS(Tabela132[Country],Tabela1[[#This Row],[Country]],Tabela132[Classification],"&gt;0")</f>
        <v>0</v>
      </c>
      <c r="GC143" s="6">
        <f>COUNTIFS(Tabela139[Country],Tabela1[[#This Row],[Country]],Tabela139[Classification],"&gt;0")</f>
        <v>0</v>
      </c>
      <c r="GD143" s="6">
        <f>COUNTIFS(Table48[Country],Tabela1[[#This Row],[Country]],Table48[Uneven Bars Classification],"&gt;0")</f>
        <v>0</v>
      </c>
      <c r="GE143" s="6">
        <f>COUNTIFS(Table47[Country],Tabela1[[#This Row],[Country]],Table47[Vault Classification],"&gt;0")</f>
        <v>0</v>
      </c>
      <c r="GF143" s="6">
        <f>COUNTIFS(Table48[Country],Tabela1[[#This Row],[Country]],Table48[Vault Classification],"&gt;0")</f>
        <v>0</v>
      </c>
      <c r="GG143" s="6">
        <f>COUNTIFS(Table919496[Country],Tabela1[[#This Row],[Country]],Table919496[Men''s Classification],"&gt;0")</f>
        <v>0</v>
      </c>
      <c r="GH143" s="6">
        <f>COUNTIFS(Table919496[Country],Tabela1[[#This Row],[Country]],Table919496[Women''s Classification],"&gt;0")</f>
        <v>0</v>
      </c>
      <c r="GI143" s="6">
        <f>COUNTIFS(Table12[Country],Tabela1[[#This Row],[Country]],Table12[60kg Classification],"&gt;0")</f>
        <v>0</v>
      </c>
      <c r="GJ143" s="6">
        <f>COUNTIFS(Table12[Country],Tabela1[[#This Row],[Country]],Table12[66kg Classification],"&gt;0")</f>
        <v>0</v>
      </c>
      <c r="GK143" s="6">
        <f>COUNTIFS(Table12[Country],Tabela1[[#This Row],[Country]],Table12[73kg Classification],"&gt;0")</f>
        <v>0</v>
      </c>
      <c r="GL143" s="6">
        <f>COUNTIFS(Table12[Country],Tabela1[[#This Row],[Country]],Table12[81kg Classification],"&gt;0")</f>
        <v>0</v>
      </c>
      <c r="GM143" s="6">
        <f>COUNTIFS(Table12[Country],Tabela1[[#This Row],[Country]],Table12[90kg Classification],"&gt;0")</f>
        <v>0</v>
      </c>
      <c r="GN143" s="6">
        <f>COUNTIFS(Table12[Country],Tabela1[[#This Row],[Country]],Table12[100kg Classification],"&gt;0")</f>
        <v>0</v>
      </c>
      <c r="GO143" s="6">
        <f>COUNTIFS(Table12[Country],Tabela1[[#This Row],[Country]],Table12[Plus 100kg Classification],"&gt;0")</f>
        <v>0</v>
      </c>
      <c r="GP143" s="6">
        <f>COUNTIFS(Table13[Country],Tabela1[[#This Row],[Country]],Table13[48kg Classification],"&gt;0")</f>
        <v>0</v>
      </c>
      <c r="GQ143" s="6">
        <f>COUNTIFS(Table13[Country],Tabela1[[#This Row],[Country]],Table13[52kg Classification],"&gt;0")</f>
        <v>0</v>
      </c>
      <c r="GR143" s="6">
        <f>COUNTIFS(Table13[Country],Tabela1[[#This Row],[Country]],Table13[57kg Classification],"&gt;0")</f>
        <v>0</v>
      </c>
      <c r="GS143" s="6">
        <f>COUNTIFS(Table13[Country],Tabela1[[#This Row],[Country]],Table13[63kg Classification],"&gt;0")</f>
        <v>0</v>
      </c>
      <c r="GT143" s="6">
        <f>COUNTIFS(Table13[Country],Tabela1[[#This Row],[Country]],Table13[70kg Classification],"&gt;0")</f>
        <v>0</v>
      </c>
      <c r="GU143" s="6">
        <f>COUNTIFS(Table13[Country],Tabela1[[#This Row],[Country]],Table13[78kg Classification],"&gt;0")</f>
        <v>0</v>
      </c>
      <c r="GV143" s="6">
        <f>COUNTIFS(Table13[Country],Tabela1[[#This Row],[Country]],Table13[Plus 78kg Classification],"&gt;0")</f>
        <v>0</v>
      </c>
      <c r="GW143" s="6">
        <f>COUNTIFS(Table82[Country],Tabela1[[#This Row],[Country]],Table82[Mixed Classification],"&gt;0")</f>
        <v>0</v>
      </c>
      <c r="GX143" s="6">
        <f>COUNTIFS(Table51[Country],Tabela1[[#This Row],[Country]],Table51[Classification],"&gt;0")</f>
        <v>0</v>
      </c>
      <c r="GY143" s="6">
        <f>COUNTIFS(Table52[Country],Tabela1[[#This Row],[Country]],Table52[Classification],"&gt;0")</f>
        <v>0</v>
      </c>
      <c r="GZ143" s="6">
        <f>COUNTIFS(Table32[Country],Tabela1[[#This Row],[Country]],Table32[All-Around Classification],"&gt;0")</f>
        <v>0</v>
      </c>
      <c r="HA143" s="6">
        <f>COUNTIFS(Table49[Country],Tabela1[[#This Row],[Country]],Table49[All-Around Classification],"&gt;0")</f>
        <v>0</v>
      </c>
      <c r="HB143" s="6">
        <f>COUNTIFS(Table26[Country],Tabela1[[#This Row],[Country]],Table26[Single Sculls Classification],"&gt;0")</f>
        <v>0</v>
      </c>
      <c r="HC143" s="6">
        <f>COUNTIFS(Table63[Country],Tabela1[[#This Row],[Country]],Table63[Single Sculls Classification],"&gt;0")</f>
        <v>0</v>
      </c>
      <c r="HD143" s="6">
        <f>COUNTIFS(Table16[Country],Tabela1[[#This Row],[Country]],Table16[Men''s Double Sculls Classification],"&gt;0")</f>
        <v>0</v>
      </c>
      <c r="HE143" s="6">
        <f>COUNTIFS(Table16[Country],Tabela1[[#This Row],[Country]],Table16[Women''s Double Sculls Classification],"&gt;0")</f>
        <v>0</v>
      </c>
      <c r="HF143" s="6">
        <f>COUNTIFS(Table72[Country],Tabela1[[#This Row],[Country]],Table72[Men''s Quadruple Sculls Classification],"&gt;0")</f>
        <v>0</v>
      </c>
      <c r="HG143" s="6">
        <f>COUNTIFS(Table72[Country],Tabela1[[#This Row],[Country]],Table72[Women''s Quadruple Sculls Classification],"&gt;0")</f>
        <v>0</v>
      </c>
      <c r="HH143" s="6">
        <f>COUNTIFS(Table16[Country],Tabela1[[#This Row],[Country]],Table16[Men''s Coxless Pairs Classification],"&gt;0")</f>
        <v>0</v>
      </c>
      <c r="HI143" s="6">
        <f>COUNTIFS(Table16[Country],Tabela1[[#This Row],[Country]],Table16[Women''s Coxless Pairs Classification],"&gt;0")</f>
        <v>0</v>
      </c>
      <c r="HJ143" s="6">
        <f>COUNTIFS(Table72[Country],Tabela1[[#This Row],[Country]],Table72[Men''s Coxless Fours Classification],"&gt;0")</f>
        <v>0</v>
      </c>
      <c r="HK143" s="6">
        <f>COUNTIFS(Table72[Country],Tabela1[[#This Row],[Country]],Table72[Women''s Coxless Fours Classification],"&gt;0")</f>
        <v>0</v>
      </c>
      <c r="HL143" s="6">
        <f>COUNTIFS(Table72[Country],Tabela1[[#This Row],[Country]],Table72[Men''s Eights Classification],"&gt;0")</f>
        <v>0</v>
      </c>
      <c r="HM143" s="6">
        <f>COUNTIFS(Table72[Country],Tabela1[[#This Row],[Country]],Table72[Women''s Eights Classification],"&gt;0")</f>
        <v>0</v>
      </c>
      <c r="HN143" s="6">
        <f>COUNTIFS(Table16[Country],Tabela1[[#This Row],[Country]],Table16[Men''s Lwt. Double Sculls Classification],"&gt;0")</f>
        <v>0</v>
      </c>
      <c r="HO143" s="6">
        <f>COUNTIFS(Table16[Country],Tabela1[[#This Row],[Country]],Table16[Women''s Lwt. Double Sculls Classification],"&gt;0")</f>
        <v>0</v>
      </c>
      <c r="HP143" s="6">
        <f>COUNTIFS(Table91949698[Country],Tabela1[[#This Row],[Country]],Table91949698[Men''s Classification],"&gt;0")</f>
        <v>0</v>
      </c>
      <c r="HQ143" s="6">
        <f>COUNTIFS(Table91949698[Country],Tabela1[[#This Row],[Country]],Table91949698[Women''s Classification],"&gt;0")</f>
        <v>0</v>
      </c>
      <c r="HR143" s="6">
        <f>COUNTIFS(Table25[Country],Tabela1[[#This Row],[Country]],Table25[Mixed 470 Classification],"&gt;0")</f>
        <v>0</v>
      </c>
      <c r="HS143" s="6">
        <f>COUNTIFS(Table25[Country],Tabela1[[#This Row],[Country]],Table25[Men''s 49er Classification],"&gt;0")</f>
        <v>0</v>
      </c>
      <c r="HT143" s="6">
        <f>COUNTIFS(Table25[Country],Tabela1[[#This Row],[Country]],Table25[Women''s 49er FX Classification],"&gt;0")</f>
        <v>0</v>
      </c>
      <c r="HU143" s="6">
        <f>COUNTIFS(Table17[Country],Tabela1[[#This Row],[Country]],Table17[Formula Kite Classification],"&gt;0")</f>
        <v>0</v>
      </c>
      <c r="HV143" s="6">
        <f>COUNTIFS(Table18[Country],Tabela1[[#This Row],[Country]],Table18[Formula Kite Classification],"&gt;0")</f>
        <v>0</v>
      </c>
      <c r="HW143" s="6">
        <f>COUNTIFS(Table17[Country],Tabela1[[#This Row],[Country]],Table17[ILCA 7 Classification],"&gt;0")</f>
        <v>0</v>
      </c>
      <c r="HX143" s="6">
        <f>COUNTIFS(Table18[Country],Tabela1[[#This Row],[Country]],Table18[ILCA 6 Classification],"&gt;0")</f>
        <v>0</v>
      </c>
      <c r="HY143" s="6">
        <f>COUNTIFS(Table17[Country],Tabela1[[#This Row],[Country]],Table17[IQFoil Classification],"&gt;0")</f>
        <v>0</v>
      </c>
      <c r="HZ143" s="6">
        <f>COUNTIFS(Table18[Country],Tabela1[[#This Row],[Country]],Table18[IQFoil Classification],"&gt;0")</f>
        <v>0</v>
      </c>
      <c r="IA143" s="6">
        <f>COUNTIFS(Table25[Country],Tabela1[[#This Row],[Country]],Table25[Mixed Nacra 17 Classification],"&gt;0")</f>
        <v>0</v>
      </c>
      <c r="IB143" s="6">
        <f>COUNTIFS(Table53[Country],Tabela1[[#This Row],[Country]],Table53[10m Air Pistol Classification],"&gt;0")</f>
        <v>0</v>
      </c>
      <c r="IC143" s="6">
        <f>COUNTIFS(Table19[Country],Tabela1[[#This Row],[Country]],Table19[10m Air Pistol Classification],"&gt;0")</f>
        <v>1</v>
      </c>
      <c r="ID143" s="6">
        <f>COUNTIFS(Table54[Country],Tabela1[[#This Row],[Country]],Table54[Mixed 10m Air Pistol Team Classification],"&gt;0")</f>
        <v>0</v>
      </c>
      <c r="IE143" s="6">
        <f>COUNTIFS(Table53[Country],Tabela1[[#This Row],[Country]],Table53[10m Air Rifle Classification],"&gt;0")</f>
        <v>0</v>
      </c>
      <c r="IF143" s="6">
        <f>COUNTIFS(Table19[Country],Tabela1[[#This Row],[Country]],Table19[10m Air Rifle Classification],"&gt;0")</f>
        <v>0</v>
      </c>
      <c r="IG143" s="6">
        <f>COUNTIFS(Table54[Country],Tabela1[[#This Row],[Country]],Table54[Mixed 10m Air Rifle Team Classification],"&gt;0")</f>
        <v>0</v>
      </c>
      <c r="IH143" s="6">
        <f>COUNTIFS(Table53[Country],Tabela1[[#This Row],[Country]],Table53[25m Rapid Fire Pistol Classification],"&gt;0")</f>
        <v>0</v>
      </c>
      <c r="II143" s="6">
        <f>COUNTIFS(Table19[Country],Tabela1[[#This Row],[Country]],Table19[25m Pistol Classification],"&gt;0")</f>
        <v>0</v>
      </c>
      <c r="IJ143" s="6">
        <f>COUNTIFS(Table53[Country],Tabela1[[#This Row],[Country]],Table53[50m Rifle 3 Positions Classification],"&gt;0")</f>
        <v>0</v>
      </c>
      <c r="IK143" s="6">
        <f>COUNTIFS(Table19[Country],Tabela1[[#This Row],[Country]],Table19[50m Rifle 3 Positions Classification],"&gt;0")</f>
        <v>0</v>
      </c>
      <c r="IL143" s="6">
        <f>COUNTIFS(Table53[Country],Tabela1[[#This Row],[Country]],Table53[Skeet Classification],"&gt;0")</f>
        <v>0</v>
      </c>
      <c r="IM143" s="6">
        <f>COUNTIFS(Table19[Country],Tabela1[[#This Row],[Country]],Table19[Skeet Classification],"&gt;0")</f>
        <v>0</v>
      </c>
      <c r="IN143" s="6">
        <f>COUNTIFS(Table54[Country],Tabela1[[#This Row],[Country]],Table54[Mixed Skeet Team Classification],"&gt;0")</f>
        <v>0</v>
      </c>
      <c r="IO143" s="6">
        <f>COUNTIFS(Table53[Country],Tabela1[[#This Row],[Country]],Table53[Trap Classification],"&gt;0")</f>
        <v>0</v>
      </c>
      <c r="IP143" s="6">
        <f>COUNTIFS(Table19[Country],Tabela1[[#This Row],[Country]],Table19[Trap Classification],"&gt;0")</f>
        <v>0</v>
      </c>
      <c r="IQ143" s="6">
        <f>COUNTIFS(Table73[Country],Tabela1[[#This Row],[Country]],Table73[Park Classification],"&gt;0")</f>
        <v>0</v>
      </c>
      <c r="IR143" s="6">
        <f>COUNTIFS(Table74[Country],Tabela1[[#This Row],[Country]],Table74[Park Classification],"&gt;0")</f>
        <v>0</v>
      </c>
      <c r="IS143" s="6">
        <f>COUNTIFS(Table73[Country],Tabela1[[#This Row],[Country]],Table73[Street Classification],"&gt;0")</f>
        <v>0</v>
      </c>
      <c r="IT143" s="6">
        <f>COUNTIFS(Table74[Country],Tabela1[[#This Row],[Country]],Table74[Street Classification],"&gt;0")</f>
        <v>0</v>
      </c>
      <c r="IU143" s="6">
        <f>COUNTIFS(Table75[Country],Tabela1[[#This Row],[Country]],Table75[Boulder and Lead Classification],"&gt;0")</f>
        <v>0</v>
      </c>
      <c r="IV143" s="6">
        <f>COUNTIFS(Table76[Country],Tabela1[[#This Row],[Country]],Table76[Boulder and Lead Classification],"&gt;0")</f>
        <v>0</v>
      </c>
      <c r="IW143" s="6">
        <f>COUNTIFS(Table75[Country],Tabela1[[#This Row],[Country]],Table75[Speed Classification],"&gt;0")</f>
        <v>0</v>
      </c>
      <c r="IX143" s="6">
        <f>COUNTIFS(Table76[Country],Tabela1[[#This Row],[Country]],Table76[Speed Classification],"&gt;0")</f>
        <v>0</v>
      </c>
      <c r="IY143" s="6">
        <f>COUNTIFS(Table64[Country],Tabela1[[#This Row],[Country]],Table64[Shortboard Classification],"&gt;0")</f>
        <v>0</v>
      </c>
      <c r="IZ143" s="6">
        <f>COUNTIFS(Table77[Country],Tabela1[[#This Row],[Country]],Table77[Shortboard Classification],"&gt;0")</f>
        <v>0</v>
      </c>
      <c r="JA143" s="6">
        <f>COUNTIFS(Table20[Country],Tabela1[[#This Row],[Country]],Table20[50m Freestyle Classification],"&gt;0")</f>
        <v>0</v>
      </c>
      <c r="JB143" s="6">
        <f>COUNTIFS(Table21[Country],Tabela1[[#This Row],[Country]],Table21[50m Freestyle Classification],"&gt;0")</f>
        <v>0</v>
      </c>
      <c r="JC143" s="6">
        <f>COUNTIFS(Table20[Country],Tabela1[[#This Row],[Country]],Table20[100m Freestyle Classification],"&gt;0")</f>
        <v>0</v>
      </c>
      <c r="JD143" s="6">
        <f>COUNTIFS(Table21[Country],Tabela1[[#This Row],[Country]],Table21[100m Freestyle Classification],"&gt;0")</f>
        <v>0</v>
      </c>
      <c r="JE143" s="6">
        <f>COUNTIFS(Table20[Country],Tabela1[[#This Row],[Country]],Table20[200m Freestyle Classification],"&gt;0")</f>
        <v>0</v>
      </c>
      <c r="JF143" s="6">
        <f>COUNTIFS(Table21[Country],Tabela1[[#This Row],[Country]],Table21[200m Freestyle Classification],"&gt;0")</f>
        <v>0</v>
      </c>
      <c r="JG143" s="6">
        <f>COUNTIFS(Table20[Country],Tabela1[[#This Row],[Country]],Table20[400m Freestyle Classification],"&gt;0")</f>
        <v>0</v>
      </c>
      <c r="JH143" s="6">
        <f>COUNTIFS(Table21[Country],Tabela1[[#This Row],[Country]],Table21[400m Freestyle Classification],"&gt;0")</f>
        <v>0</v>
      </c>
      <c r="JI143" s="6">
        <f>COUNTIFS(Table20[Country],Tabela1[[#This Row],[Country]],Table20[800m Freestyle Classification],"&gt;0")</f>
        <v>0</v>
      </c>
      <c r="JJ143" s="6">
        <f>COUNTIFS(Table21[Country],Tabela1[[#This Row],[Country]],Table21[800m Freestyle Classification],"&gt;0")</f>
        <v>0</v>
      </c>
      <c r="JK143" s="6">
        <f>COUNTIFS(Table20[Country],Tabela1[[#This Row],[Country]],Table20[1500m Freestyle Classification],"&gt;0")</f>
        <v>0</v>
      </c>
      <c r="JL143" s="6">
        <f>COUNTIFS(Table21[Country],Tabela1[[#This Row],[Country]],Table21[1500m Freestyle Classification],"&gt;0")</f>
        <v>0</v>
      </c>
      <c r="JM143" s="6">
        <f>COUNTIFS(Table20[Country],Tabela1[[#This Row],[Country]],Table20[100m Backstroke Classification],"&gt;0")</f>
        <v>0</v>
      </c>
      <c r="JN143" s="6">
        <f>COUNTIFS(Table21[Country],Tabela1[[#This Row],[Country]],Table21[100m Backstroke Classification],"&gt;0")</f>
        <v>0</v>
      </c>
      <c r="JO143" s="6">
        <f>COUNTIFS(Table20[Country],Tabela1[[#This Row],[Country]],Table20[200m Backstroke Classification],"&gt;0")</f>
        <v>0</v>
      </c>
      <c r="JP143" s="6">
        <f>COUNTIFS(Table21[Country],Tabela1[[#This Row],[Country]],Table21[200m Backstroke Classification],"&gt;0")</f>
        <v>0</v>
      </c>
      <c r="JQ143" s="6">
        <f>COUNTIFS(Table20[Country],Tabela1[[#This Row],[Country]],Table20[100m Breaststroke Classification],"&gt;0")</f>
        <v>0</v>
      </c>
      <c r="JR143" s="6">
        <f>COUNTIFS(Table21[Country],Tabela1[[#This Row],[Country]],Table21[100m Breaststroke Classification],"&gt;0")</f>
        <v>0</v>
      </c>
      <c r="JS143" s="6">
        <f>COUNTIFS(Table20[Country],Tabela1[[#This Row],[Country]],Table20[200m Breaststroke Classification],"&gt;0")</f>
        <v>0</v>
      </c>
      <c r="JT143" s="6">
        <f>COUNTIFS(Table21[Country],Tabela1[[#This Row],[Country]],Table21[200m Breaststroke Classification],"&gt;0")</f>
        <v>0</v>
      </c>
      <c r="JU143" s="6">
        <f>COUNTIFS(Table20[Country],Tabela1[[#This Row],[Country]],Table20[100m Butterfly Classification],"&gt;0")</f>
        <v>0</v>
      </c>
      <c r="JV143" s="6">
        <f>COUNTIFS(Table21[Country],Tabela1[[#This Row],[Country]],Table21[100m Butterfly Classification],"&gt;0")</f>
        <v>0</v>
      </c>
      <c r="JW143" s="6">
        <f>COUNTIFS(Table20[Country],Tabela1[[#This Row],[Country]],Table20[200m Butterfly Classification],"&gt;0")</f>
        <v>0</v>
      </c>
      <c r="JX143" s="6">
        <f>COUNTIFS(Table21[Country],Tabela1[[#This Row],[Country]],Table21[200m Butterfly Classification],"&gt;0")</f>
        <v>0</v>
      </c>
      <c r="JY143" s="6">
        <f>COUNTIFS(Table20[Country],Tabela1[[#This Row],[Country]],Table20[200m Medley Classification],"&gt;0")</f>
        <v>0</v>
      </c>
      <c r="JZ143" s="6">
        <f>COUNTIFS(Table21[Country],Tabela1[[#This Row],[Country]],Table21[200m Medley Classification],"&gt;0")</f>
        <v>0</v>
      </c>
      <c r="KA143" s="6">
        <f>COUNTIFS(Table20[Country],Tabela1[[#This Row],[Country]],Table20[400m Medley Classification],"&gt;0")</f>
        <v>0</v>
      </c>
      <c r="KB143" s="6">
        <f>COUNTIFS(Table21[Country],Tabela1[[#This Row],[Country]],Table21[400m Medley Classification],"&gt;0")</f>
        <v>0</v>
      </c>
      <c r="KC143" s="6">
        <f>COUNTIFS(Table78[Country],Tabela1[[#This Row],[Country]],Table78[Men''s 4x100m Freestyle Relay Classification],"&gt;0")</f>
        <v>0</v>
      </c>
      <c r="KD143" s="6">
        <f>COUNTIFS(Table78[Country],Tabela1[[#This Row],[Country]],Table78[Women''s 4x100m Freestyle Relay Classification],"&gt;0")</f>
        <v>0</v>
      </c>
      <c r="KE143" s="6">
        <f>COUNTIFS(Table78[Country],Tabela1[[#This Row],[Country]],Table78[Men''s 4x200m Freestyle Relay Classification],"&gt;0")</f>
        <v>0</v>
      </c>
      <c r="KF143" s="6">
        <f>COUNTIFS(Table78[Country],Tabela1[[#This Row],[Country]],Table78[Women''s 4x200m Freestyle Relay Classification],"&gt;0")</f>
        <v>0</v>
      </c>
      <c r="KG143" s="6">
        <f>COUNTIFS(Table78[Country],Tabela1[[#This Row],[Country]],Table78[Men''s 4x100m Medley Relay Classification],"&gt;0")</f>
        <v>0</v>
      </c>
      <c r="KH143" s="6">
        <f>COUNTIFS(Table78[Country],Tabela1[[#This Row],[Country]],Table78[Women''s 4x100m Medley Relay Classification],"&gt;0")</f>
        <v>0</v>
      </c>
      <c r="KI143" s="6">
        <f>COUNTIFS(Table78[Country],Tabela1[[#This Row],[Country]],Table78[Mixed 4x100m Medley Relay Classification],"&gt;0")</f>
        <v>0</v>
      </c>
      <c r="KJ143" s="6">
        <f>COUNTIFS(Table20[Country],Tabela1[[#This Row],[Country]],Table20[10km Open Water Classification],"&gt;0")</f>
        <v>0</v>
      </c>
      <c r="KK143" s="6">
        <f>COUNTIFS(Table21[Country],Tabela1[[#This Row],[Country]],Table21[10km Open Water Classification],"&gt;0")</f>
        <v>0</v>
      </c>
      <c r="KL143" s="6">
        <f>COUNTIFS(Table22[Country],Tabela1[[#This Row],[Country]],Table22[Classification],"&gt;0")</f>
        <v>0</v>
      </c>
      <c r="KM143" s="6">
        <f>COUNTIFS(Table30[Country],Tabela1[[#This Row],[Country]],Table30[Classification],"&gt;0")</f>
        <v>0</v>
      </c>
      <c r="KN143" s="6">
        <f>COUNTIFS(Table55[Country],Tabela1[[#This Row],[Country]],Table55[Men''s Classification],"&gt;0")</f>
        <v>0</v>
      </c>
      <c r="KO143" s="6">
        <f>COUNTIFS(Table55[Country],Tabela1[[#This Row],[Country]],Table55[Women''s Classification],"&gt;0")</f>
        <v>0</v>
      </c>
      <c r="KP143" s="6">
        <f>COUNTIFS(Table56[Country],Tabela1[[#This Row],[Country]],Table56[Mixed Classification],"&gt;0")</f>
        <v>0</v>
      </c>
      <c r="KQ143" s="6">
        <f>COUNTIFS(Table29[Country],Tabela1[[#This Row],[Country]],Table29[58kg Classification],"&gt;0")</f>
        <v>0</v>
      </c>
      <c r="KR143" s="6">
        <f>COUNTIFS(Table29[Country],Tabela1[[#This Row],[Country]],Table29[68kg Classification],"&gt;0")</f>
        <v>0</v>
      </c>
      <c r="KS143" s="6">
        <f>COUNTIFS(Table29[Country],Tabela1[[#This Row],[Country]],Table29[80kg Classification],"&gt;0")</f>
        <v>0</v>
      </c>
      <c r="KT143" s="6">
        <f>COUNTIFS(Table29[Country],Tabela1[[#This Row],[Country]],Table29[Plus 80kg Classification],"&gt;0")</f>
        <v>0</v>
      </c>
      <c r="KU143" s="6">
        <f>COUNTIFS(Table34[Country],Tabela1[[#This Row],[Country]],Table34[49kg Classification],"&gt;0")</f>
        <v>0</v>
      </c>
      <c r="KV143" s="6">
        <f>COUNTIFS(Table34[Country],Tabela1[[#This Row],[Country]],Table34[57kg Classification],"&gt;0")</f>
        <v>0</v>
      </c>
      <c r="KW143" s="6">
        <f>COUNTIFS(Table34[Country],Tabela1[[#This Row],[Country]],Table34[67kg Classification],"&gt;0")</f>
        <v>0</v>
      </c>
      <c r="KX143" s="6">
        <f>COUNTIFS(Table34[Country],Tabela1[[#This Row],[Country]],Table34[Plus 67kg Classification],"&gt;0")</f>
        <v>0</v>
      </c>
      <c r="KY143" s="6">
        <f>COUNTIFS(Table57[Country],Tabela1[[#This Row],[Country]],Table57[Classification],"&gt;0")</f>
        <v>0</v>
      </c>
      <c r="KZ143" s="6">
        <f>COUNTIFS(Table58[Country],Tabela1[[#This Row],[Country]],Table58[Classification],"&gt;0")</f>
        <v>0</v>
      </c>
      <c r="LA143" s="6">
        <f>COUNTIFS(Table79[Country],Tabela1[[#This Row],[Country]],Table79[Men''s Classification],"&gt;0")</f>
        <v>0</v>
      </c>
      <c r="LB143" s="6">
        <f>COUNTIFS(Table79[Country],Tabela1[[#This Row],[Country]],Table79[Women''s Classification],"&gt;0")</f>
        <v>0</v>
      </c>
      <c r="LC143" s="6">
        <f>COUNTIFS(Table79[Country],Tabela1[[#This Row],[Country]],Table79[Mixed Classification],"&gt;0")</f>
        <v>0</v>
      </c>
      <c r="LD143" s="6">
        <f>COUNTIFS(Table65[Country],Tabela1[[#This Row],[Country]],Table65[Classification],"&gt;0")</f>
        <v>0</v>
      </c>
      <c r="LE143" s="6">
        <f>COUNTIFS(Table59[Country],Tabela1[[#This Row],[Country]],Table59[Classification],"&gt;0")</f>
        <v>0</v>
      </c>
      <c r="LF143" s="6">
        <f>COUNTIFS(Table87[Country],Tabela1[[#This Row],[Country]],Table87[Mixed Relay Classification],"&gt;0")</f>
        <v>0</v>
      </c>
      <c r="LG143" s="6">
        <f>COUNTIFS(Table91949698100[Country],Tabela1[[#This Row],[Country]],Table91949698100[Men''s Classification],"&gt;0")</f>
        <v>0</v>
      </c>
      <c r="LH143" s="6">
        <f>COUNTIFS(Table91949698100[Country],Tabela1[[#This Row],[Country]],Table91949698100[Women''s Classification],"&gt;0")</f>
        <v>0</v>
      </c>
      <c r="LI143" s="6">
        <f>COUNTIFS(Table91949698100102[Country],Tabela1[[#This Row],[Country]],Table91949698100102[Men''s Classification],"&gt;0")</f>
        <v>0</v>
      </c>
      <c r="LJ143" s="6">
        <f>COUNTIFS(Table91949698100102[Country],Tabela1[[#This Row],[Country]],Table91949698100102[Women''s Classification],"&gt;0")</f>
        <v>0</v>
      </c>
      <c r="LK143" s="6">
        <f>COUNTIFS(Table23[Country],Tabela1[[#This Row],[Country]],Table23[61kg Classification],"&gt;0")</f>
        <v>0</v>
      </c>
      <c r="LL143" s="6">
        <f>COUNTIFS(Table23[Country],Tabela1[[#This Row],[Country]],Table23[73kg Classification],"&gt;0")</f>
        <v>0</v>
      </c>
      <c r="LM143" s="6">
        <f>COUNTIFS(Table23[Country],Tabela1[[#This Row],[Country]],Table23[89kg Classification],"&gt;0")</f>
        <v>0</v>
      </c>
      <c r="LN143" s="6">
        <f>COUNTIFS(Table23[Country],Tabela1[[#This Row],[Country]],Table23[102kg Classification],"&gt;0")</f>
        <v>0</v>
      </c>
      <c r="LO143" s="6">
        <f>COUNTIFS(Table23[Country],Tabela1[[#This Row],[Country]],Table23[Plus 102kg Classification],"&gt;0")</f>
        <v>0</v>
      </c>
      <c r="LP143" s="6">
        <f>COUNTIFS(Table28[Country],Tabela1[[#This Row],[Country]],Table28[49kg Classification],"&gt;0")</f>
        <v>0</v>
      </c>
      <c r="LQ143" s="6">
        <f>COUNTIFS(Table28[Country],Tabela1[[#This Row],[Country]],Table28[59kg Classification],"&gt;0")</f>
        <v>0</v>
      </c>
      <c r="LR143" s="6">
        <f>COUNTIFS(Table28[Country],Tabela1[[#This Row],[Country]],Table28[71kg Classification],"&gt;0")</f>
        <v>0</v>
      </c>
      <c r="LS143" s="6">
        <f>COUNTIFS(Table28[Country],Tabela1[[#This Row],[Country]],Table28[81kg Classification],"&gt;0")</f>
        <v>0</v>
      </c>
      <c r="LT143" s="6">
        <f>COUNTIFS(Table28[Country],Tabela1[[#This Row],[Country]],Table28[Plus 81kg Classification],"&gt;0")</f>
        <v>0</v>
      </c>
      <c r="LU143" s="6">
        <f>COUNTIFS(Table24[Country],Tabela1[[#This Row],[Country]],Table24[Freestyle 57kg Classification],"&gt;0")</f>
        <v>0</v>
      </c>
      <c r="LV143" s="6">
        <f>COUNTIFS(Table24[Country],Tabela1[[#This Row],[Country]],Table24[Freestyle 65kg Classification],"&gt;0")</f>
        <v>0</v>
      </c>
      <c r="LW143" s="6">
        <f>COUNTIFS(Table24[Country],Tabela1[[#This Row],[Country]],Table24[Freestyle 74kg Classification],"&gt;0")</f>
        <v>0</v>
      </c>
      <c r="LX143" s="6">
        <f>COUNTIFS(Table24[Country],Tabela1[[#This Row],[Country]],Table24[Freestyle 86kg Classification],"&gt;0")</f>
        <v>0</v>
      </c>
      <c r="LY143" s="6">
        <f>COUNTIFS(Table24[Country],Tabela1[[#This Row],[Country]],Table24[Freestyle 97kg Classification],"&gt;0")</f>
        <v>0</v>
      </c>
      <c r="LZ143" s="6">
        <f>COUNTIFS(Table24[Country],Tabela1[[#This Row],[Country]],Table24[Freestyle 125kg Classification],"&gt;0")</f>
        <v>0</v>
      </c>
      <c r="MA143" s="6">
        <f>COUNTIFS(Table24[Country],Tabela1[[#This Row],[Country]],Table24[Greco-Roman 60kg Classification],"&gt;0")</f>
        <v>0</v>
      </c>
      <c r="MB143" s="6">
        <f>COUNTIFS(Table24[Country],Tabela1[[#This Row],[Country]],Table24[Greco-Roman 67kg Classification],"&gt;0")</f>
        <v>0</v>
      </c>
      <c r="MC143" s="6">
        <f>COUNTIFS(Table24[Country],Tabela1[[#This Row],[Country]],Table24[Greco-Roman 77kg Classification],"&gt;0")</f>
        <v>0</v>
      </c>
      <c r="MD143" s="6">
        <f>COUNTIFS(Table24[Country],Tabela1[[#This Row],[Country]],Table24[Greco-Roman 87kg Classification],"&gt;0")</f>
        <v>0</v>
      </c>
      <c r="ME143" s="6">
        <f>COUNTIFS(Table24[Country],Tabela1[[#This Row],[Country]],Table24[Greco-Roman 97kg Classification],"&gt;0")</f>
        <v>0</v>
      </c>
      <c r="MF143" s="6">
        <f>COUNTIFS(Table24[Country],Tabela1[[#This Row],[Country]],Table24[Greco-Roman 130kg Classification],"&gt;0")</f>
        <v>0</v>
      </c>
      <c r="MG143" s="6">
        <f>COUNTIFS(Table31[Country],Tabela1[[#This Row],[Country]],Table31[50kg Classification],"&gt;0")</f>
        <v>0</v>
      </c>
      <c r="MH143" s="6">
        <f>COUNTIFS(Table31[Country],Tabela1[[#This Row],[Country]],Table31[53kg Classification],"&gt;0")</f>
        <v>0</v>
      </c>
      <c r="MI143" s="6">
        <f>COUNTIFS(Table31[Country],Tabela1[[#This Row],[Country]],Table31[57kg Classification],"&gt;0")</f>
        <v>0</v>
      </c>
      <c r="MJ143" s="6">
        <f>COUNTIFS(Table31[Country],Tabela1[[#This Row],[Country]],Table31[62kg Classification],"&gt;0")</f>
        <v>0</v>
      </c>
      <c r="MK143" s="6">
        <f>COUNTIFS(Table31[Country],Tabela1[[#This Row],[Country]],Table31[68kg Classification],"&gt;0")</f>
        <v>0</v>
      </c>
      <c r="ML143" s="6">
        <f>COUNTIFS(Table31[Country],Tabela1[[#This Row],[Country]],Table31[76kg Classification],"&gt;0")</f>
        <v>0</v>
      </c>
      <c r="MM143" s="6">
        <f>COUNTIFS(Table102[Country],Tabela1[[#This Row],[Country]],Table102[Downhill Classification],"&gt;0")</f>
        <v>0</v>
      </c>
      <c r="MN143" s="6">
        <f>COUNTIFS(Table102105[Country],Tabela1[[#This Row],[Country]],Table102105[Downhill Classification],"&gt;0")</f>
        <v>0</v>
      </c>
      <c r="MO143" s="6">
        <f>COUNTIFS(Table102[Country],Tabela1[[#This Row],[Country]],Table102[Giant Slalom Classification],"&gt;0")</f>
        <v>0</v>
      </c>
      <c r="MP143" s="6">
        <f>COUNTIFS(Table102105[Country],Tabela1[[#This Row],[Country]],Table102105[Giant Slalom Classification],"&gt;0")</f>
        <v>0</v>
      </c>
      <c r="MQ143" s="6">
        <f>COUNTIFS(Table102[Country],Tabela1[[#This Row],[Country]],Table102[Slalom Classification],"&gt;0")</f>
        <v>0</v>
      </c>
      <c r="MR143" s="6">
        <f>COUNTIFS(Table102105[Country],Tabela1[[#This Row],[Country]],Table102105[Slalom Classification],"&gt;0")</f>
        <v>0</v>
      </c>
      <c r="MS143" s="6">
        <f>COUNTIFS(Table102[Country],Tabela1[[#This Row],[Country]],Table102[Super-G Classification],"&gt;0")</f>
        <v>0</v>
      </c>
      <c r="MT143" s="6">
        <f>COUNTIFS(Table102105[Country],Tabela1[[#This Row],[Country]],Table102105[Super-G Classification],"&gt;0")</f>
        <v>0</v>
      </c>
      <c r="MU143" s="6">
        <f>COUNTIFS(Table105[Country],Tabela1[[#This Row],[Country]],Table105[Men''s Combined Classification],"&gt;0")</f>
        <v>0</v>
      </c>
      <c r="MV143" s="6">
        <f>COUNTIFS(Table105[Country],Tabela1[[#This Row],[Country]],Table105[Women''s Combined Classification],"&gt;0")</f>
        <v>0</v>
      </c>
      <c r="MW143" s="6">
        <f>COUNTIFS(Table106[Country],Tabela1[[#This Row],[Country]],Table106[Individual Classification],"&gt;0")</f>
        <v>0</v>
      </c>
      <c r="MX143" s="6">
        <f>COUNTIFS(Table106109[Country],Tabela1[[#This Row],[Country]],Table106109[Individual Classification],"&gt;0")</f>
        <v>0</v>
      </c>
      <c r="MY143" s="6">
        <f>COUNTIFS(Table106[Country],Tabela1[[#This Row],[Country]],Table106[Mass Start Classification],"&gt;0")</f>
        <v>0</v>
      </c>
      <c r="MZ143" s="6">
        <f>COUNTIFS(Table106109[Country],Tabela1[[#This Row],[Country]],Table106109[Mass Start Classification],"&gt;0")</f>
        <v>0</v>
      </c>
      <c r="NA143" s="6">
        <f>COUNTIFS(Table106[Country],Tabela1[[#This Row],[Country]],Table106[Pursuit Classification],"&gt;0")</f>
        <v>0</v>
      </c>
      <c r="NB143" s="6">
        <f>COUNTIFS(Table106109[Country],Tabela1[[#This Row],[Country]],Table106109[Pursuit Classification],"&gt;0")</f>
        <v>0</v>
      </c>
      <c r="NC143" s="6">
        <f>COUNTIFS(Table106[Country],Tabela1[[#This Row],[Country]],Table106[Sprint Classification],"&gt;0")</f>
        <v>0</v>
      </c>
      <c r="ND143" s="6">
        <f>COUNTIFS(Table106109[Country],Tabela1[[#This Row],[Country]],Table106109[Sprint Classification],"&gt;0")</f>
        <v>0</v>
      </c>
      <c r="NE143" s="6">
        <f>COUNTIFS(Table109[Country],Tabela1[[#This Row],[Country]],Table109[Men''s Relay Classification],"&gt;0")</f>
        <v>0</v>
      </c>
      <c r="NF143" s="6">
        <f>COUNTIFS(Table109[Country],Tabela1[[#This Row],[Country]],Table109[Women''s Relay Classification],"&gt;0")</f>
        <v>0</v>
      </c>
      <c r="NG143" s="6">
        <f>COUNTIFS(Table109[Country],Tabela1[[#This Row],[Country]],Table109[Mixed Relay Classification],"&gt;0")</f>
        <v>0</v>
      </c>
      <c r="NH143" s="6">
        <f>COUNTIFS(Table110[Country],Tabela1[[#This Row],[Country]],Table110[Monobob Classification],"&gt;0")</f>
        <v>0</v>
      </c>
      <c r="NI143" s="6">
        <f>COUNTIFS(Table111[Country],Tabela1[[#This Row],[Country]],Table111[Men''s Classification],"&gt;0")</f>
        <v>0</v>
      </c>
      <c r="NJ143" s="6">
        <f>COUNTIFS(Table111[Country],Tabela1[[#This Row],[Country]],Table111[Women''s Classification],"&gt;0")</f>
        <v>0</v>
      </c>
      <c r="NK143" s="6">
        <f>COUNTIFS(Table112[Country],Tabela1[[#This Row],[Country]],Table112[Men''s Four Classification],"&gt;0")</f>
        <v>0</v>
      </c>
      <c r="NL143" s="6">
        <f>COUNTIFS(Table113[Country],Tabela1[[#This Row],[Country]],Table113[Classical Classification],"&gt;0")</f>
        <v>0</v>
      </c>
      <c r="NM143" s="6">
        <f>COUNTIFS(Table113116[Country],Tabela1[[#This Row],[Country]],Table113116[Classical Classification],"&gt;0")</f>
        <v>0</v>
      </c>
      <c r="NN143" s="6">
        <f>COUNTIFS(Table113[Country],Tabela1[[#This Row],[Country]],Table113[Freestyle Classification],"&gt;0")</f>
        <v>0</v>
      </c>
      <c r="NO143" s="6">
        <f>COUNTIFS(Table113116[Country],Tabela1[[#This Row],[Country]],Table113116[Freestyle Classification],"&gt;0")</f>
        <v>0</v>
      </c>
      <c r="NP143" s="6">
        <f>COUNTIFS(Table117[Country],Tabela1[[#This Row],[Country]],Table117[Men''s Relay Classification],"&gt;0")</f>
        <v>0</v>
      </c>
      <c r="NQ143" s="6">
        <f>COUNTIFS(Table117[Country],Tabela1[[#This Row],[Country]],Table117[Women''s Relay Classification],"&gt;0")</f>
        <v>0</v>
      </c>
      <c r="NR143" s="6">
        <f>COUNTIFS(Table113[Country],Tabela1[[#This Row],[Country]],Table113[Skiathlon Classification],"&gt;0")</f>
        <v>0</v>
      </c>
      <c r="NS143" s="6">
        <f>COUNTIFS(Table113116[Country],Tabela1[[#This Row],[Country]],Table113116[Skiathlon Classification],"&gt;0")</f>
        <v>0</v>
      </c>
      <c r="NT143" s="6">
        <f>COUNTIFS(Table113[Country],Tabela1[[#This Row],[Country]],Table113[Sprint Classification],"&gt;0")</f>
        <v>0</v>
      </c>
      <c r="NU143" s="6">
        <f>COUNTIFS(Table113116[Country],Tabela1[[#This Row],[Country]],Table113116[Sprint Classification],"&gt;0")</f>
        <v>0</v>
      </c>
      <c r="NV143" s="6">
        <f>COUNTIFS(Table116[Country],Tabela1[[#This Row],[Country]],Table116[Men''s Team Sprint Classification],"&gt;0")</f>
        <v>0</v>
      </c>
      <c r="NW143" s="6">
        <f>COUNTIFS(Table116[Country],Tabela1[[#This Row],[Country]],Table116[Women''s Team Sprint Classification],"&gt;0")</f>
        <v>0</v>
      </c>
      <c r="NX143" s="6">
        <f>COUNTIFS(Table119[Country],Tabela1[[#This Row],[Country]],Table119[Men''s Classification],"&gt;0")</f>
        <v>0</v>
      </c>
      <c r="NY143" s="6">
        <f>COUNTIFS(Table119[Country],Tabela1[[#This Row],[Country]],Table119[Women''s Classification],"&gt;0")</f>
        <v>0</v>
      </c>
      <c r="NZ143" s="6">
        <f>COUNTIFS(Table118[Country],Tabela1[[#This Row],[Country]],Table118[Mixed Classification],"&gt;0")</f>
        <v>0</v>
      </c>
      <c r="OA143" s="6">
        <f>COUNTIFS(Table120[Country],Tabela1[[#This Row],[Country]],Table120[Classification],"&gt;0")</f>
        <v>0</v>
      </c>
      <c r="OB143" s="6">
        <f>COUNTIFS(Table120123[Country],Tabela1[[#This Row],[Country]],Table120123[Classification],"&gt;0")</f>
        <v>0</v>
      </c>
      <c r="OC143" s="6">
        <f>COUNTIFS(Table123[Country],Tabela1[[#This Row],[Country]],Table123[Ice Dance Classification],"&gt;0")</f>
        <v>0</v>
      </c>
      <c r="OD143" s="6">
        <f>COUNTIFS(Table123[Country],Tabela1[[#This Row],[Country]],Table123[Pair Skating Classification],"&gt;0")</f>
        <v>0</v>
      </c>
      <c r="OE143" s="6">
        <f>COUNTIFS(Table124[Country],Tabela1[[#This Row],[Country]],Table124[Mixed Classification],"&gt;0")</f>
        <v>0</v>
      </c>
      <c r="OF143" s="6">
        <f>COUNTIFS(Table125[Country],Tabela1[[#This Row],[Country]],Table125[Aerials Classification],"&gt;0")</f>
        <v>0</v>
      </c>
      <c r="OG143" s="6">
        <f>COUNTIFS(Table125128[Country],Tabela1[[#This Row],[Country]],Table125128[Aerials Classification],"&gt;0")</f>
        <v>0</v>
      </c>
      <c r="OH143" s="6">
        <f>COUNTIFS(Table128[Country],Tabela1[[#This Row],[Country]],Table128[Mixed Aerials Classification],"&gt;0")</f>
        <v>0</v>
      </c>
      <c r="OI143" s="6">
        <f>COUNTIFS(Table125[Country],Tabela1[[#This Row],[Country]],Table125[Big Air Classification],"&gt;0")</f>
        <v>0</v>
      </c>
      <c r="OJ143" s="6">
        <f>COUNTIFS(Table125128[Country],Tabela1[[#This Row],[Country]],Table125128[Big Air Classification],"&gt;0")</f>
        <v>0</v>
      </c>
      <c r="OK143" s="6">
        <f>COUNTIFS(Table125[Country],Tabela1[[#This Row],[Country]],Table125[Dual Moguls Classification],"&gt;0")</f>
        <v>0</v>
      </c>
      <c r="OL143" s="6">
        <f>COUNTIFS(Table125128[Country],Tabela1[[#This Row],[Country]],Table125128[Dual Moguls Classification],"&gt;0")</f>
        <v>0</v>
      </c>
      <c r="OM143" s="6">
        <f>COUNTIFS(Table125[Country],Tabela1[[#This Row],[Country]],Table125[Halfpipe Classification],"&gt;0")</f>
        <v>0</v>
      </c>
      <c r="ON143" s="6">
        <f>COUNTIFS(Table125128[Country],Tabela1[[#This Row],[Country]],Table125128[Halfpipe Classification],"&gt;0")</f>
        <v>0</v>
      </c>
      <c r="OO143" s="6">
        <f>COUNTIFS(Table125[Country],Tabela1[[#This Row],[Country]],Table125[Moguls Classification],"&gt;0")</f>
        <v>0</v>
      </c>
      <c r="OP143" s="6">
        <f>COUNTIFS(Table125128[Country],Tabela1[[#This Row],[Country]],Table125128[Moguls Classification],"&gt;0")</f>
        <v>0</v>
      </c>
      <c r="OQ143" s="6">
        <f>COUNTIFS(Table125[Country],Tabela1[[#This Row],[Country]],Table125[Ski Cross Classification],"&gt;0")</f>
        <v>0</v>
      </c>
      <c r="OR143" s="6">
        <f>COUNTIFS(Table125128[Country],Tabela1[[#This Row],[Country]],Table125128[Ski Cross Classification],"&gt;0")</f>
        <v>0</v>
      </c>
      <c r="OS143" s="6">
        <f>COUNTIFS(Table125[Country],Tabela1[[#This Row],[Country]],Table125[Slopestyle Classification],"&gt;0")</f>
        <v>0</v>
      </c>
      <c r="OT143" s="6">
        <f>COUNTIFS(Table125128[Country],Tabela1[[#This Row],[Country]],Table125128[Slopestyle Classification],"&gt;0")</f>
        <v>0</v>
      </c>
      <c r="OU143" s="6">
        <f>COUNTIFS(Table119131[Country],Tabela1[[#This Row],[Country]],Table119131[Men''s Classification],"&gt;0")</f>
        <v>0</v>
      </c>
      <c r="OV143" s="6">
        <f>COUNTIFS(Table119131[Country],Tabela1[[#This Row],[Country]],Table119131[Women''s Classification],"&gt;0")</f>
        <v>0</v>
      </c>
      <c r="OW143" s="6">
        <f>COUNTIFS(Table131[Country],Tabela1[[#This Row],[Country]],Table131[Classification],"&gt;0")</f>
        <v>0</v>
      </c>
      <c r="OX143" s="6">
        <f>COUNTIFS(Table131134[Country],Tabela1[[#This Row],[Country]],Table131134[Classification],"&gt;0")</f>
        <v>0</v>
      </c>
      <c r="OY143" s="6">
        <f>COUNTIFS(Table134[Country],Tabela1[[#This Row],[Country]],Table134[Men''s Classification],"&gt;0")</f>
        <v>0</v>
      </c>
      <c r="OZ143" s="6">
        <f>COUNTIFS(Table134[Country],Tabela1[[#This Row],[Country]],Table134[Women''s Classification],"&gt;0")</f>
        <v>0</v>
      </c>
      <c r="PA143" s="6">
        <f>COUNTIFS(Table135[Country],Tabela1[[#This Row],[Country]],Table135[Mixed Relay Classification],"&gt;0")</f>
        <v>0</v>
      </c>
      <c r="PB143" s="6">
        <f>COUNTIFS(Table136[Country],Tabela1[[#This Row],[Country]],Table136[Individual Classification],"&gt;0")</f>
        <v>0</v>
      </c>
      <c r="PC143" s="6">
        <f>COUNTIFS(Table136[Country],Tabela1[[#This Row],[Country]],Table136[Sprint Classification],"&gt;0")</f>
        <v>0</v>
      </c>
      <c r="PD143" s="6">
        <f>COUNTIFS(Table137[Country],Tabela1[[#This Row],[Country]],Table137[Men''s Team Sprint Large Hill Classification],"&gt;0")</f>
        <v>0</v>
      </c>
      <c r="PE143" s="6">
        <f>COUNTIFS(Table138[Country],Tabela1[[#This Row],[Country]],Table138[500m Classification],"&gt;0")</f>
        <v>0</v>
      </c>
      <c r="PF143" s="6">
        <f>COUNTIFS(Table138141[Country],Tabela1[[#This Row],[Country]],Table138141[500m Classification],"&gt;0")</f>
        <v>0</v>
      </c>
      <c r="PG143" s="6">
        <f>COUNTIFS(Table138[Country],Tabela1[[#This Row],[Country]],Table138[1000m Classification],"&gt;0")</f>
        <v>0</v>
      </c>
      <c r="PH143" s="6">
        <f>COUNTIFS(Table138141[Country],Tabela1[[#This Row],[Country]],Table138141[1000m Classification],"&gt;0")</f>
        <v>0</v>
      </c>
      <c r="PI143" s="6">
        <f>COUNTIFS(Table138[Country],Tabela1[[#This Row],[Country]],Table138[1500m Classification],"&gt;0")</f>
        <v>0</v>
      </c>
      <c r="PJ143" s="6">
        <f>COUNTIFS(Table138141[Country],Tabela1[[#This Row],[Country]],Table138141[1500m Classification],"&gt;0")</f>
        <v>0</v>
      </c>
      <c r="PK143" s="6">
        <f>COUNTIFS(Table141[Country],Tabela1[[#This Row],[Country]],Table141[Men''s 5000m Relay Classification],"&gt;0")</f>
        <v>0</v>
      </c>
      <c r="PL143" s="6">
        <f>COUNTIFS(Table141[Country],Tabela1[[#This Row],[Country]],Table141[Women''s 3000m Relay Classification],"&gt;0")</f>
        <v>0</v>
      </c>
      <c r="PM143" s="6">
        <f>COUNTIFS(Table141[Country],Tabela1[[#This Row],[Country]],Table141[Mixed 2000m Relay Classification],"&gt;0")</f>
        <v>0</v>
      </c>
      <c r="PN143" s="6">
        <f>COUNTIFS(Table142[Country],Tabela1[[#This Row],[Country]],Table142[Classification],"&gt;0")</f>
        <v>0</v>
      </c>
      <c r="PO143" s="6">
        <f>COUNTIFS(Table142145[Country],Tabela1[[#This Row],[Country]],Table142145[Classification],"&gt;0")</f>
        <v>0</v>
      </c>
      <c r="PP143" s="6">
        <f>COUNTIFS(Tabela15[Country],Tabela1[[#This Row],[Country]],Tabela15[Mixed Team Classification],"&gt;0")</f>
        <v>0</v>
      </c>
      <c r="PQ143" s="6">
        <f>COUNTIFS(Table145[Country],Tabela1[[#This Row],[Country]],Table145[Large Hill Classification],"&gt;0")</f>
        <v>0</v>
      </c>
      <c r="PR143" s="6">
        <f>COUNTIFS(Table145[Country],Tabela1[[#This Row],[Country]],Table145[Normal Hill Classification],"&gt;0")</f>
        <v>0</v>
      </c>
      <c r="PS143" s="6">
        <f>COUNTIFS(Table145148[Country],Tabela1[[#This Row],[Country]],Table145148[Large Hill Classification],"&gt;0")</f>
        <v>0</v>
      </c>
      <c r="PT143" s="6">
        <f>COUNTIFS(Table145148[Country],Tabela1[[#This Row],[Country]],Table145148[Normal Hill Classification],"&gt;0")</f>
        <v>0</v>
      </c>
      <c r="PU143" s="6">
        <f>COUNTIFS(Table148[Country],Tabela1[[#This Row],[Country]],Table148[Men''s Super Team Classification],"&gt;0")</f>
        <v>0</v>
      </c>
      <c r="PV143" s="6">
        <f>COUNTIFS(Tabela114[Country],Tabela1[[#This Row],[Country]],Tabela114[Mixed Normal Hill Classification],"&gt;0")</f>
        <v>0</v>
      </c>
      <c r="PW143" s="6">
        <f>COUNTIFS(Tabela50[Country],Tabela1[[#This Row],[Country]],Tabela50[Sprint Classification],"&gt;0")</f>
        <v>0</v>
      </c>
      <c r="PX143" s="6">
        <f>COUNTIFS(Tabela50101[Country],Tabela1[[#This Row],[Country]],Tabela50101[Sprint Classification],"&gt;0")</f>
        <v>0</v>
      </c>
      <c r="PY143" s="6">
        <f>COUNTIFS(Tabela103[Country],Tabela1[[#This Row],[Country]],Tabela103[Mixed Relay Classification],"&gt;0")</f>
        <v>0</v>
      </c>
      <c r="PZ143" s="6">
        <f>COUNTIFS(Table149[Country],Tabela1[[#This Row],[Country]],Table149[Big Air Classification],"&gt;0")</f>
        <v>0</v>
      </c>
      <c r="QA143" s="6">
        <f>COUNTIFS(Table149152[Country],Tabela1[[#This Row],[Country]],Table149152[Big Air Classification],"&gt;0")</f>
        <v>0</v>
      </c>
      <c r="QB143" s="6">
        <f>COUNTIFS(Table149[Country],Tabela1[[#This Row],[Country]],Table149[Halfpipe Classification],"&gt;0")</f>
        <v>0</v>
      </c>
      <c r="QC143" s="6">
        <f>COUNTIFS(Table149152[Country],Tabela1[[#This Row],[Country]],Table149152[Halfpipe Classification],"&gt;0")</f>
        <v>0</v>
      </c>
      <c r="QD143" s="6">
        <f>COUNTIFS(Table149[Country],Tabela1[[#This Row],[Country]],Table149[Parallel Giant Slalom Classification],"&gt;0")</f>
        <v>0</v>
      </c>
      <c r="QE143" s="6">
        <f>COUNTIFS(Table149152[Country],Tabela1[[#This Row],[Country]],Table149152[Parallel Giant Slalom Classification],"&gt;0")</f>
        <v>0</v>
      </c>
      <c r="QF143" s="6">
        <f>COUNTIFS(Table149[Country],Tabela1[[#This Row],[Country]],Table149[Slopestyle Classification],"&gt;0")</f>
        <v>0</v>
      </c>
      <c r="QG143" s="6">
        <f>COUNTIFS(Table149152[Country],Tabela1[[#This Row],[Country]],Table149152[Slopestyle Classification],"&gt;0")</f>
        <v>0</v>
      </c>
      <c r="QH143" s="6">
        <f>COUNTIFS(Table149[Country],Tabela1[[#This Row],[Country]],Table149[Snowboard Cross Classification],"&gt;0")</f>
        <v>0</v>
      </c>
      <c r="QI143" s="6">
        <f>COUNTIFS(Table149152[Country],Tabela1[[#This Row],[Country]],Table149152[Snowboard Cross Classification],"&gt;0")</f>
        <v>0</v>
      </c>
      <c r="QJ143" s="6">
        <f>COUNTIFS(Table153[Country],Tabela1[[#This Row],[Country]],Table153[Mixed Team Snowboard Cross Classification],"&gt;0")</f>
        <v>0</v>
      </c>
      <c r="QK143" s="6">
        <f>COUNTIFS(Table154[Country],Tabela1[[#This Row],[Country]],Table154[500m Classification],"&gt;0")</f>
        <v>0</v>
      </c>
      <c r="QL143" s="6">
        <f>COUNTIFS(Table154157[Country],Tabela1[[#This Row],[Country]],Table154157[500m Classification],"&gt;0")</f>
        <v>0</v>
      </c>
      <c r="QM143" s="6">
        <f>COUNTIFS(Table154[Country],Tabela1[[#This Row],[Country]],Table154[1000m Classification],"&gt;0")</f>
        <v>0</v>
      </c>
      <c r="QN143" s="6">
        <f>COUNTIFS(Table154157[Country],Tabela1[[#This Row],[Country]],Table154157[1000m Classification],"&gt;0")</f>
        <v>0</v>
      </c>
      <c r="QO143" s="6">
        <f>COUNTIFS(Table154[Country],Tabela1[[#This Row],[Country]],Table154[1500m Classification],"&gt;0")</f>
        <v>0</v>
      </c>
      <c r="QP143" s="6">
        <f>COUNTIFS(Table154157[Country],Tabela1[[#This Row],[Country]],Table154157[1500m Classification],"&gt;0")</f>
        <v>0</v>
      </c>
      <c r="QQ143" s="6">
        <f>COUNTIFS(Table154157[Country],Tabela1[[#This Row],[Country]],Table154157[3000m Classification],"&gt;0")</f>
        <v>0</v>
      </c>
      <c r="QR143" s="6">
        <f>COUNTIFS(Table154[Country],Tabela1[[#This Row],[Country]],Table154[5000m Classification],"&gt;0")</f>
        <v>0</v>
      </c>
      <c r="QS143" s="6">
        <f>COUNTIFS(Table154157[Country],Tabela1[[#This Row],[Country]],Table154157[5000m Classification],"&gt;0")</f>
        <v>0</v>
      </c>
      <c r="QT143" s="6">
        <f>COUNTIFS(Table154[Country],Tabela1[[#This Row],[Country]],Table154[10000m Classification],"&gt;0")</f>
        <v>0</v>
      </c>
      <c r="QU143" s="6">
        <f>COUNTIFS(Table154[Country],Tabela1[[#This Row],[Country]],Table154[Mass Start Classification],"&gt;0")</f>
        <v>0</v>
      </c>
      <c r="QV143" s="6">
        <f>COUNTIFS(Table154157[Country],Tabela1[[#This Row],[Country]],Table154157[Mass Start Classification],"&gt;0")</f>
        <v>0</v>
      </c>
      <c r="QW143" s="6">
        <f>COUNTIFS(Table157[Country],Tabela1[[#This Row],[Country]],Table157[Men''s Pursuit Classification],"&gt;0")</f>
        <v>0</v>
      </c>
      <c r="QX143" s="6">
        <f>COUNTIFS(Table157[Country],Tabela1[[#This Row],[Country]],Table157[Women''s Pursuit Classification],"&gt;0")</f>
        <v>0</v>
      </c>
      <c r="QY143" s="4" t="s">
        <v>735</v>
      </c>
    </row>
    <row r="144" spans="1:467" x14ac:dyDescent="0.3">
      <c r="A144" s="6">
        <v>143</v>
      </c>
      <c r="B144" s="6" t="s">
        <v>656</v>
      </c>
      <c r="C144" t="e" vm="143">
        <f>IF(ISBLANK(Tabela1[[#This Row],[Image Link]]), "", _xlfn.IMAGE(Tabela1[[#This Row],[Image Link]],1,1))</f>
        <v>#VALUE!</v>
      </c>
      <c r="D144" s="6">
        <f>SUM(Tabela1[[#This Row],[Archery - Men''s Individual Recurve]:[Speed Skating - Women''s Team Pursuit]])</f>
        <v>1</v>
      </c>
      <c r="E144" s="6">
        <f>COUNTIF(Tabela1[[#This Row],[Archery - Men''s Individual Recurve]:[Speed Skating - Women''s Team Pursuit]],"&gt;0")</f>
        <v>1</v>
      </c>
      <c r="F144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44" s="6">
        <f>SUM(Tabela1[[#This Row],[Archery - Men''s Individual Recurve]:[Wrestling - Women''s Freestyle 76kg]])</f>
        <v>1</v>
      </c>
      <c r="H144" s="6">
        <f>SUM(Tabela1[[#This Row],[Alpine Skiing - Men''s Downhill]:[Speed Skating - Women''s Team Pursuit]])</f>
        <v>0</v>
      </c>
      <c r="I144" s="6">
        <f>Tabela1[[#This Row],[Summer Gold Medals]]+Tabela1[[#This Row],[Winter Gold Medals]]</f>
        <v>0</v>
      </c>
      <c r="J144" s="6">
        <f>Tabela1[[#This Row],[Summer Silver Medals]]+Tabela1[[#This Row],[Winter Silver Medals]]</f>
        <v>0</v>
      </c>
      <c r="K144" s="6">
        <f>Tabela1[[#This Row],[Summer Bronze Medals]]+Tabela1[[#This Row],[Winter Bronze Medals]]</f>
        <v>0</v>
      </c>
      <c r="L144" s="6">
        <f>SUM(Tabela1[[#This Row],[Total Gold Medals]:[Total Bronze Medals]])</f>
        <v>0</v>
      </c>
      <c r="M144" s="6"/>
      <c r="N144" s="6"/>
      <c r="O144" s="6"/>
      <c r="P144" s="6">
        <f>SUM(Tabela1[[#This Row],[Summer Gold Medals]:[Summer Bronze Medals]])</f>
        <v>0</v>
      </c>
      <c r="Q144" s="6"/>
      <c r="R144" s="6"/>
      <c r="S144" s="6"/>
      <c r="T144" s="6">
        <f>Tabela1[[#This Row],[Winter Gold Medals]]+Tabela1[[#This Row],[Winter Silver Medals]]+Tabela1[[#This Row],[Winter Bronze Medals]]</f>
        <v>0</v>
      </c>
      <c r="U144" s="7">
        <f>Tabela1[[#This Row],[Total Medals]]/Tabela1[[#This Row],[Total Quotas]]</f>
        <v>0</v>
      </c>
      <c r="V144" s="6">
        <f>COUNTIFS(Table3[Country],Tabela1[[#This Row],[Country]],Table3[Recurve Classification],"&gt;0")</f>
        <v>0</v>
      </c>
      <c r="W144" s="6">
        <f>COUNTIFS(Table33[Country],Tabela1[[#This Row],[Country]],Table33[Recurve Classification],"&gt;0")</f>
        <v>0</v>
      </c>
      <c r="X144" s="6">
        <f>COUNTIFS(Table35[Country],Tabela1[[#This Row],[Country]],Table35[Men''s Team Recurve Classification],"&gt;0")</f>
        <v>0</v>
      </c>
      <c r="Y144" s="6">
        <f>COUNTIFS(Table35[Country],Tabela1[[#This Row],[Country]],Table35[Women''s Team Recurve Classification],"&gt;0")</f>
        <v>0</v>
      </c>
      <c r="Z144" s="6">
        <f>COUNTIFS(Tabela88[Country],Tabela1[[#This Row],[Country]],Tabela88[Mixed Team Recurve Classification],"&gt;0")</f>
        <v>0</v>
      </c>
      <c r="AA144" s="6">
        <f>COUNTIFS(Table36[Country],Tabela1[[#This Row],[Country]],Table36[Classification],"&gt;0")</f>
        <v>0</v>
      </c>
      <c r="AB144" s="6">
        <f>COUNTIFS(Table37[Country],Tabela1[[#This Row],[Country]],Table37[Classification],"&gt;0")</f>
        <v>0</v>
      </c>
      <c r="AC144" s="6">
        <f>COUNTIFS(Table4[Country],Tabela1[[#This Row],[Country]],Table4[100m Classification],"&gt;0")</f>
        <v>0</v>
      </c>
      <c r="AD144" s="6">
        <f>COUNTIFS(Table5[Country],Tabela1[[#This Row],[Country]],Table5[100m Classification],"&gt;0")</f>
        <v>0</v>
      </c>
      <c r="AE144" s="6">
        <f>COUNTIFS(Table4[Country],Tabela1[[#This Row],[Country]],Table4[200m Classification],"&gt;0")</f>
        <v>0</v>
      </c>
      <c r="AF144" s="6">
        <f>COUNTIFS(Table5[Country],Tabela1[[#This Row],[Country]],Table5[200m Classification],"&gt;0")</f>
        <v>0</v>
      </c>
      <c r="AG144" s="6">
        <f>COUNTIFS(Table4[Country],Tabela1[[#This Row],[Country]],Table4[400m Classification],"&gt;0")</f>
        <v>0</v>
      </c>
      <c r="AH144" s="6">
        <f>COUNTIFS(Table5[Country],Tabela1[[#This Row],[Country]],Table5[400m Classification],"&gt;0")</f>
        <v>0</v>
      </c>
      <c r="AI144" s="6">
        <f>COUNTIFS(Table4[Country],Tabela1[[#This Row],[Country]],Table4[800m Classification],"&gt;0")</f>
        <v>0</v>
      </c>
      <c r="AJ144" s="6">
        <f>COUNTIFS(Table5[Country],Tabela1[[#This Row],[Country]],Table5[800m Classification],"&gt;0")</f>
        <v>0</v>
      </c>
      <c r="AK144" s="6">
        <f>COUNTIFS(Table4[Country],Tabela1[[#This Row],[Country]],Table4[1500m Classification],"&gt;0")</f>
        <v>0</v>
      </c>
      <c r="AL144" s="6">
        <f>COUNTIFS(Table5[Country],Tabela1[[#This Row],[Country]],Table5[1500m Classification],"&gt;0")</f>
        <v>0</v>
      </c>
      <c r="AM144" s="6">
        <f>COUNTIFS(Table4[Country],Tabela1[[#This Row],[Country]],Table4[5000m Classification],"&gt;0")</f>
        <v>0</v>
      </c>
      <c r="AN144" s="6">
        <f>COUNTIFS(Table5[Country],Tabela1[[#This Row],[Country]],Table5[5000m Classification],"&gt;0")</f>
        <v>0</v>
      </c>
      <c r="AO144" s="6">
        <f>COUNTIFS(Table4[Country],Tabela1[[#This Row],[Country]],Table4[10000m Classification],"&gt;0")</f>
        <v>0</v>
      </c>
      <c r="AP144" s="6">
        <f>COUNTIFS(Table5[Country],Tabela1[[#This Row],[Country]],Table5[10000m Classification],"&gt;0")</f>
        <v>0</v>
      </c>
      <c r="AQ144" s="6">
        <f>COUNTIFS(Table4[Country],Tabela1[[#This Row],[Country]],Table4[110m Hurdles Classification],"&gt;0")</f>
        <v>0</v>
      </c>
      <c r="AR144" s="6">
        <f>COUNTIFS(Table5[Country],Tabela1[[#This Row],[Country]],Table5[100m Hurdles Classification],"&gt;0")</f>
        <v>0</v>
      </c>
      <c r="AS144" s="6">
        <f>COUNTIFS(Table4[Country],Tabela1[[#This Row],[Country]],Table4[400m Hurdles Classification],"&gt;0")</f>
        <v>0</v>
      </c>
      <c r="AT144" s="6">
        <f>COUNTIFS(Table5[Country],Tabela1[[#This Row],[Country]],Table5[400m Hurdles Classification],"&gt;0")</f>
        <v>0</v>
      </c>
      <c r="AU144" s="6">
        <f>COUNTIFS(Table4[Country],Tabela1[[#This Row],[Country]],Table4[3000m Steeplechase Classification],"&gt;0")</f>
        <v>0</v>
      </c>
      <c r="AV144" s="6">
        <f>COUNTIFS(Table5[Country],Tabela1[[#This Row],[Country]],Table5[3000m Steeplechase Classification],"&gt;0")</f>
        <v>0</v>
      </c>
      <c r="AW144" s="6">
        <f>COUNTIFS(Table27[Country],Tabela1[[#This Row],[Country]],Table27[Men''s 4x100m Relay Classification],"&gt;0")</f>
        <v>0</v>
      </c>
      <c r="AX144" s="6">
        <f>COUNTIFS(Table27[Country],Tabela1[[#This Row],[Country]],Table27[Women''s 4x100m Relay Classification],"&gt;0")</f>
        <v>0</v>
      </c>
      <c r="AY144" s="6">
        <f>COUNTIFS(Table27[Country],Tabela1[[#This Row],[Country]],Table27[Men''s 4x400m Relay Classification],"&gt;0")</f>
        <v>0</v>
      </c>
      <c r="AZ144" s="6">
        <f>COUNTIFS(Table27[Country],Tabela1[[#This Row],[Country]],Table27[Women''s 4x400m Relay Classification],"&gt;0")</f>
        <v>0</v>
      </c>
      <c r="BA144" s="6">
        <f>COUNTIFS(Table27[Country],Tabela1[[#This Row],[Country]],Table27[Mixed 4x400m Relay Classification],"&gt;0")</f>
        <v>0</v>
      </c>
      <c r="BB144" s="6">
        <f>COUNTIFS(Table4[Country],Tabela1[[#This Row],[Country]],Table4[Marathon Classification],"&gt;0")</f>
        <v>0</v>
      </c>
      <c r="BC144" s="6">
        <f>COUNTIFS(Table5[Country],Tabela1[[#This Row],[Country]],Table5[Marathon Classification],"&gt;0")</f>
        <v>0</v>
      </c>
      <c r="BD144" s="6">
        <f>COUNTIFS(Table4[Country],Tabela1[[#This Row],[Country]],Table4[20km Race Walk Classification],"&gt;0")</f>
        <v>0</v>
      </c>
      <c r="BE144" s="6">
        <f>COUNTIFS(Table5[Country],Tabela1[[#This Row],[Country]],Table5[20km Race Walk Classification],"&gt;0")</f>
        <v>0</v>
      </c>
      <c r="BF144" s="6">
        <f>COUNTIFS(Tabela96[Country],Tabela1[[#This Row],[Country]],Tabela96[Mixed Marathon Race Walk Relay Classification],"&gt;0")</f>
        <v>0</v>
      </c>
      <c r="BG144" s="6">
        <f>COUNTIFS(Table4[Country],Tabela1[[#This Row],[Country]],Table4[Discus Throw Classification],"&gt;0")</f>
        <v>0</v>
      </c>
      <c r="BH144" s="6">
        <f>COUNTIFS(Table5[Country],Tabela1[[#This Row],[Country]],Table5[Discus Throw Classification],"&gt;0")</f>
        <v>0</v>
      </c>
      <c r="BI144" s="6">
        <f>COUNTIFS(Table4[Country],Tabela1[[#This Row],[Country]],Table4[Hammer Throw Classification],"&gt;0")</f>
        <v>0</v>
      </c>
      <c r="BJ144" s="6">
        <f>COUNTIFS(Table5[Country],Tabela1[[#This Row],[Country]],Table5[Hammer Throw Classification],"&gt;0")</f>
        <v>0</v>
      </c>
      <c r="BK144" s="6">
        <f>COUNTIFS(Table4[Country],Tabela1[[#This Row],[Country]],Table4[High Jump Classification],"&gt;0")</f>
        <v>0</v>
      </c>
      <c r="BL144" s="6">
        <f>COUNTIFS(Table5[Country],Tabela1[[#This Row],[Country]],Table5[High Jump Classification],"&gt;0")</f>
        <v>0</v>
      </c>
      <c r="BM144" s="6">
        <f>COUNTIFS(Table4[Country],Tabela1[[#This Row],[Country]],Table4[Javelin Throw Classification],"&gt;0")</f>
        <v>0</v>
      </c>
      <c r="BN144" s="6">
        <f>COUNTIFS(Table5[Country],Tabela1[[#This Row],[Country]],Table5[Javelin Throw Classification],"&gt;0")</f>
        <v>0</v>
      </c>
      <c r="BO144" s="6">
        <f>COUNTIFS(Table4[Country],Tabela1[[#This Row],[Country]],Table4[Long Jump Classification],"&gt;0")</f>
        <v>0</v>
      </c>
      <c r="BP144" s="6">
        <f>COUNTIFS(Table5[Country],Tabela1[[#This Row],[Country]],Table5[Long Jump Classification],"&gt;0")</f>
        <v>0</v>
      </c>
      <c r="BQ144" s="6">
        <f>COUNTIFS(Table4[Country],Tabela1[[#This Row],[Country]],Table4[Pole Vault Classification],"&gt;0")</f>
        <v>0</v>
      </c>
      <c r="BR144" s="6">
        <f>COUNTIFS(Table5[Country],Tabela1[[#This Row],[Country]],Table5[Pole Vault Classification],"&gt;0")</f>
        <v>0</v>
      </c>
      <c r="BS144" s="6">
        <f>COUNTIFS(Table4[Country],Tabela1[[#This Row],[Country]],Table4[Shot Put Classification],"&gt;0")</f>
        <v>0</v>
      </c>
      <c r="BT144" s="6">
        <f>COUNTIFS(Table5[Country],Tabela1[[#This Row],[Country]],Table5[Shot Put Classification],"&gt;0")</f>
        <v>0</v>
      </c>
      <c r="BU144" s="6">
        <f>COUNTIFS(Table4[Country],Tabela1[[#This Row],[Country]],Table4[Triple Jump Classification],"&gt;0")</f>
        <v>0</v>
      </c>
      <c r="BV144" s="6">
        <f>COUNTIFS(Table5[Country],Tabela1[[#This Row],[Country]],Table5[Triple Jump Classification],"&gt;0")</f>
        <v>0</v>
      </c>
      <c r="BW144" s="6">
        <f>COUNTIFS(Table4[Country],Tabela1[[#This Row],[Country]],Table4[Decathlon Classification],"&gt;0")</f>
        <v>0</v>
      </c>
      <c r="BX144" s="6">
        <f>COUNTIFS(Table5[Country],Tabela1[[#This Row],[Country]],Table5[Heptathlon Classification],"&gt;0")</f>
        <v>0</v>
      </c>
      <c r="BY144" s="6">
        <f>COUNTIFS(Table61[Country],Tabela1[[#This Row],[Country]],Table61[Classification],"&gt;0")</f>
        <v>0</v>
      </c>
      <c r="BZ144" s="6">
        <f>COUNTIFS(Table38[Country],Tabela1[[#This Row],[Country]],Table38[Classification],"&gt;0")</f>
        <v>0</v>
      </c>
      <c r="CA144" s="6">
        <f>COUNTIFS(Table39[Country],Tabela1[[#This Row],[Country]],Table39[Men''s Classification],"&gt;0")</f>
        <v>0</v>
      </c>
      <c r="CB144" s="6">
        <f>COUNTIFS(Table39[Country],Tabela1[[#This Row],[Country]],Table39[Women''s Classification],"&gt;0")</f>
        <v>0</v>
      </c>
      <c r="CC144" s="6">
        <f>COUNTIFS(Table39[Country],Tabela1[[#This Row],[Country]],Table39[Mixed Classification],"&gt;0")</f>
        <v>0</v>
      </c>
      <c r="CD144" s="6">
        <f>COUNTIFS(Table89[Country],Tabela1[[#This Row],[Country]],Table89[Men''s Classification],"&gt;0")</f>
        <v>0</v>
      </c>
      <c r="CE144" s="6">
        <f>COUNTIFS(Table89[Country],Tabela1[[#This Row],[Country]],Table89[Women''s Classification],"&gt;0")</f>
        <v>0</v>
      </c>
      <c r="CF144" s="6">
        <f>COUNTIFS(Table90[Country],Tabela1[[#This Row],[Country]],Table90[Men''s Classification],"&gt;0")</f>
        <v>0</v>
      </c>
      <c r="CG144" s="6">
        <f>COUNTIFS(Table90[Country],Tabela1[[#This Row],[Country]],Table90[Women''s Classification],"&gt;0")</f>
        <v>0</v>
      </c>
      <c r="CH144" s="6">
        <f>COUNTIFS(Table60[Country],Tabela1[[#This Row],[Country]],Table60[Men''s Classification],"&gt;0")</f>
        <v>0</v>
      </c>
      <c r="CI144" s="6">
        <f>COUNTIFS(Table60[Country],Tabela1[[#This Row],[Country]],Table60[Women''s Classification],"&gt;0")</f>
        <v>0</v>
      </c>
      <c r="CJ144" s="6">
        <f>COUNTIFS(Table6[Country],Tabela1[[#This Row],[Country]],Table6[51kg Classification],"&gt;0")</f>
        <v>0</v>
      </c>
      <c r="CK144" s="6">
        <f>COUNTIFS(Table6[Country],Tabela1[[#This Row],[Country]],Table6[57kg Classification],"&gt;0")</f>
        <v>0</v>
      </c>
      <c r="CL144" s="6">
        <f>COUNTIFS(Table6[Country],Tabela1[[#This Row],[Country]],Table6[63.5kg Classification],"&gt;0")</f>
        <v>0</v>
      </c>
      <c r="CM144" s="6">
        <f>COUNTIFS(Table6[Country],Tabela1[[#This Row],[Country]],Table6[71kg Classification],"&gt;0")</f>
        <v>0</v>
      </c>
      <c r="CN144" s="6">
        <f>COUNTIFS(Table6[Country],Tabela1[[#This Row],[Country]],Table6[80kg Classification],"&gt;0")</f>
        <v>0</v>
      </c>
      <c r="CO144" s="6">
        <f>COUNTIFS(Table6[Country],Tabela1[[#This Row],[Country]],Table6[92kg Classification],"&gt;0")</f>
        <v>0</v>
      </c>
      <c r="CP144" s="6">
        <f>COUNTIFS(Table6[Country],Tabela1[[#This Row],[Country]],Table6[Plus 92kg Classification],"&gt;0")</f>
        <v>0</v>
      </c>
      <c r="CQ144" s="6">
        <f>COUNTIFS(Table7[Country],Tabela1[[#This Row],[Country]],Table7[50kg Classification],"&gt;0")</f>
        <v>0</v>
      </c>
      <c r="CR144" s="6">
        <f>COUNTIFS(Table7[Country],Tabela1[[#This Row],[Country]],Table7[54kg Classification],"&gt;0")</f>
        <v>0</v>
      </c>
      <c r="CS144" s="6">
        <f>COUNTIFS(Table7[Country],Tabela1[[#This Row],[Country]],Table7[57kg Classification],"&gt;0")</f>
        <v>0</v>
      </c>
      <c r="CT144" s="6">
        <f>COUNTIFS(Table7[Country],Tabela1[[#This Row],[Country]],Table7[60kg Classification],"&gt;0")</f>
        <v>0</v>
      </c>
      <c r="CU144" s="6">
        <f>COUNTIFS(Table7[Country],Tabela1[[#This Row],[Country]],Table7[66kg Classification],"&gt;0")</f>
        <v>0</v>
      </c>
      <c r="CV144" s="6">
        <f>COUNTIFS(Table7[Country],Tabela1[[#This Row],[Country]],Table7[75kg Classification],"&gt;0")</f>
        <v>0</v>
      </c>
      <c r="CW144" s="6">
        <f>COUNTIFS(Tabela94[Country],Tabela1[[#This Row],[Country]],Tabela94[Classification],"&gt;0")</f>
        <v>0</v>
      </c>
      <c r="CX144" s="6">
        <f>COUNTIFS(Tabela9499[Country],Tabela1[[#This Row],[Country]],Tabela9499[Classification],"&gt;0")</f>
        <v>0</v>
      </c>
      <c r="CY144" s="6">
        <f>COUNTIFS(Tabela107[Country],Tabela1[[#This Row],[Country]],Tabela107[C1 Slalom Classification],"&gt;0")</f>
        <v>0</v>
      </c>
      <c r="CZ144" s="6">
        <f>COUNTIFS(Tabela107122[Country],Tabela1[[#This Row],[Country]],Tabela107122[C1 Slalom Classification],"&gt;0")</f>
        <v>0</v>
      </c>
      <c r="DA144" s="6">
        <f>COUNTIFS(Tabela107[Country],Tabela1[[#This Row],[Country]],Tabela107[K1 Slalom Classification],"&gt;0")</f>
        <v>0</v>
      </c>
      <c r="DB144" s="6">
        <f>COUNTIFS(Tabela107122[Country],Tabela1[[#This Row],[Country]],Tabela107122[K1 Slalom Classification],"&gt;0")</f>
        <v>0</v>
      </c>
      <c r="DC144" s="6">
        <f>COUNTIFS(Tabela107[Country],Tabela1[[#This Row],[Country]],Tabela107[Kayak Cross Slalom Classification],"&gt;0")</f>
        <v>0</v>
      </c>
      <c r="DD144" s="6">
        <f>COUNTIFS(Tabela107122[Country],Tabela1[[#This Row],[Country]],Tabela107122[Kayak Cross Slalom Classification],"&gt;0")</f>
        <v>0</v>
      </c>
      <c r="DE144" s="6">
        <f>COUNTIFS(Table8[Country],Tabela1[[#This Row],[Country]],Table8[C1 200m Classification],"&gt;0")</f>
        <v>0</v>
      </c>
      <c r="DF144" s="6">
        <f>COUNTIFS(Table40[Country],Tabela1[[#This Row],[Country]],Table40[C1 1000m Classification],"&gt;0")</f>
        <v>0</v>
      </c>
      <c r="DG144" s="6">
        <f>COUNTIFS(Table68[Country],Tabela1[[#This Row],[Country]],Table68[Men''s C2 500m Classification],"&gt;0")</f>
        <v>0</v>
      </c>
      <c r="DH144" s="6">
        <f>COUNTIFS(Table68[Country],Tabela1[[#This Row],[Country]],Table68[Women''s C2 500m Classification],"&gt;0")</f>
        <v>0</v>
      </c>
      <c r="DI144" s="6">
        <f>COUNTIFS(Table8[Country],Tabela1[[#This Row],[Country]],Table8[K1 500m Classification],"&gt;0")</f>
        <v>0</v>
      </c>
      <c r="DJ144" s="6">
        <f>COUNTIFS(Table40[Country],Tabela1[[#This Row],[Country]],Table40[K1 1000m Classification],"&gt;0")</f>
        <v>0</v>
      </c>
      <c r="DK144" s="6">
        <f>COUNTIFS(Table68[Country],Tabela1[[#This Row],[Country]],Table68[Men''s K2 500m Classification],"&gt;0")</f>
        <v>0</v>
      </c>
      <c r="DL144" s="6">
        <f>COUNTIFS(Table68[Country],Tabela1[[#This Row],[Country]],Table68[Women''s K2 500m Classification],"&gt;0")</f>
        <v>0</v>
      </c>
      <c r="DM144" s="6">
        <f>COUNTIFS(Table83[Country],Tabela1[[#This Row],[Country]],Table83[Men''s K4 500m Classification],"&gt;0")</f>
        <v>0</v>
      </c>
      <c r="DN144" s="6">
        <f>COUNTIFS(Table83[Country],Tabela1[[#This Row],[Country]],Table83[Women''s K4 500m Classification],"&gt;0")</f>
        <v>0</v>
      </c>
      <c r="DO144" s="6">
        <f>COUNTIFS(Tabela126[Country],Tabela1[[#This Row],[Country]],Tabela126[Classification],"&gt;0")</f>
        <v>0</v>
      </c>
      <c r="DP144" s="6">
        <f>COUNTIFS(Tabela126130[Country],Tabela1[[#This Row],[Country]],Tabela126130[Classification],"&gt;0")</f>
        <v>0</v>
      </c>
      <c r="DQ144" s="6">
        <f>COUNTIFS(Table70[Country],Tabela1[[#This Row],[Country]],Table70[Classification],"&gt;0")</f>
        <v>0</v>
      </c>
      <c r="DR144" s="6">
        <f>COUNTIFS(Table80[Country],Tabela1[[#This Row],[Country]],Table80[Classification],"&gt;0")</f>
        <v>0</v>
      </c>
      <c r="DS144" s="6">
        <f>COUNTIFS(Table66[Country],Tabela1[[#This Row],[Country]],Table66[Classification],"&gt;0")</f>
        <v>0</v>
      </c>
      <c r="DT144" s="6">
        <f>COUNTIFS(Table67[Country],Tabela1[[#This Row],[Country]],Table67[Classification],"&gt;0")</f>
        <v>0</v>
      </c>
      <c r="DU144" s="6">
        <f>COUNTIFS(Table69[Country],Tabela1[[#This Row],[Country]],Table69[Keirin Classification],"&gt;0")</f>
        <v>0</v>
      </c>
      <c r="DV144" s="6">
        <f>COUNTIFS(Table41[Country],Tabela1[[#This Row],[Country]],Table41[Keirin Classification],"&gt;0")</f>
        <v>0</v>
      </c>
      <c r="DW144" s="6">
        <f>COUNTIFS(Table84[Country],Tabela1[[#This Row],[Country]],Table84[Men''s Madison Classification],"&gt;0")</f>
        <v>0</v>
      </c>
      <c r="DX144" s="6">
        <f>COUNTIFS(Table84[Country],Tabela1[[#This Row],[Country]],Table84[Women''s Madison Classification],"&gt;0")</f>
        <v>0</v>
      </c>
      <c r="DY144" s="6">
        <f>COUNTIFS(Table69[Country],Tabela1[[#This Row],[Country]],Table69[Omnium Classification],"&gt;0")</f>
        <v>0</v>
      </c>
      <c r="DZ144" s="6">
        <f>COUNTIFS(Table41[Country],Tabela1[[#This Row],[Country]],Table41[Omnium Classification],"&gt;0")</f>
        <v>0</v>
      </c>
      <c r="EA144" s="6">
        <f>COUNTIFS(Table9[Country],Tabela1[[#This Row],[Country]],Table9[Road Race Classification],"&gt;0")</f>
        <v>0</v>
      </c>
      <c r="EB144" s="6">
        <f>COUNTIFS(Table14[Country],Tabela1[[#This Row],[Country]],Table14[Road Race Classification],"&gt;0")</f>
        <v>0</v>
      </c>
      <c r="EC144" s="6">
        <f>COUNTIFS(Table69[Country],Tabela1[[#This Row],[Country]],Table69[Sprint Classification],"&gt;0")</f>
        <v>0</v>
      </c>
      <c r="ED144" s="6">
        <f>COUNTIFS(Table41[Country],Tabela1[[#This Row],[Country]],Table41[Sprint Classification],"&gt;0")</f>
        <v>0</v>
      </c>
      <c r="EE144" s="6">
        <f>COUNTIFS(Table85[Country],Tabela1[[#This Row],[Country]],Table85[Men''s Sprint Classification],"&gt;0")</f>
        <v>0</v>
      </c>
      <c r="EF144" s="6">
        <f>COUNTIFS(Table85[Country],Tabela1[[#This Row],[Country]],Table85[Women''s Sprint Classification],"&gt;0")</f>
        <v>0</v>
      </c>
      <c r="EG144" s="6">
        <f>COUNTIFS(Table85[Country],Tabela1[[#This Row],[Country]],Table85[Men''s Pursuit Classification],"&gt;0")</f>
        <v>0</v>
      </c>
      <c r="EH144" s="6">
        <f>COUNTIFS(Table85[Country],Tabela1[[#This Row],[Country]],Table85[Women''s Pursuit Classification],"&gt;0")</f>
        <v>0</v>
      </c>
      <c r="EI144" s="6">
        <f>COUNTIFS(Table9[Country],Tabela1[[#This Row],[Country]],Table9[Time-Trial Classification],"&gt;0")</f>
        <v>0</v>
      </c>
      <c r="EJ144" s="6">
        <f>COUNTIFS(Table14[Country],Tabela1[[#This Row],[Country]],Table14[Time-Trial Classification],"&gt;0")</f>
        <v>0</v>
      </c>
      <c r="EK144" s="6">
        <f>COUNTIFS(Table42[Country],Tabela1[[#This Row],[Country]],Table42[Springboard Classification],"&gt;0")</f>
        <v>0</v>
      </c>
      <c r="EL144" s="6">
        <f>COUNTIFS(Table43[Country],Tabela1[[#This Row],[Country]],Table43[Springboard Classification],"&gt;0")</f>
        <v>0</v>
      </c>
      <c r="EM144" s="6">
        <f>COUNTIFS(Table42[Country],Tabela1[[#This Row],[Country]],Table42[Platform Classification],"&gt;0")</f>
        <v>0</v>
      </c>
      <c r="EN144" s="6">
        <f>COUNTIFS(Table43[Country],Tabela1[[#This Row],[Country]],Table43[Platform Classification],"&gt;0")</f>
        <v>0</v>
      </c>
      <c r="EO144" s="6">
        <f>COUNTIFS(Table86[Country],Tabela1[[#This Row],[Country]],Table86[Men''s Synchronized Springboard Classification],"&gt;0")</f>
        <v>0</v>
      </c>
      <c r="EP144" s="6">
        <f>COUNTIFS(Table86[Country],Tabela1[[#This Row],[Country]],Table86[Women''s Synchronized Springboard Classification],"&gt;0")</f>
        <v>0</v>
      </c>
      <c r="EQ144" s="6">
        <f>COUNTIFS(Table86[Country],Tabela1[[#This Row],[Country]],Table86[Men''s Synchronized Platform Classification],"&gt;0")</f>
        <v>0</v>
      </c>
      <c r="ER144" s="6">
        <f>COUNTIFS(Table86[Country],Tabela1[[#This Row],[Country]],Table86[Women''s Synchronized Platform Classification],"&gt;0")</f>
        <v>0</v>
      </c>
      <c r="ES144" s="6">
        <f>COUNTIFS(Table44[Country],Tabela1[[#This Row],[Country]],Table44[Dressage Classification],"&gt;0")</f>
        <v>0</v>
      </c>
      <c r="ET144" s="6">
        <f>COUNTIFS(Table45[Country],Tabela1[[#This Row],[Country]],Table45[Dressage Classification],"&gt;0")</f>
        <v>0</v>
      </c>
      <c r="EU144" s="6">
        <f>COUNTIFS(Table44[Country],Tabela1[[#This Row],[Country]],Table44[Eventing Classification],"&gt;0")</f>
        <v>0</v>
      </c>
      <c r="EV144" s="6">
        <f>COUNTIFS(Table45[Country],Tabela1[[#This Row],[Country]],Table45[Eventing Classification],"&gt;0")</f>
        <v>0</v>
      </c>
      <c r="EW144" s="6">
        <f>COUNTIFS(Table44[Country],Tabela1[[#This Row],[Country]],Table44[Jumping Classification],"&gt;0")</f>
        <v>0</v>
      </c>
      <c r="EX144" s="6">
        <f>COUNTIFS(Table45[Country],Tabela1[[#This Row],[Country]],Table45[Jumping Classification],"&gt;0")</f>
        <v>0</v>
      </c>
      <c r="EY144" s="6">
        <f>COUNTIFS(Table10[Country],Tabela1[[#This Row],[Country]],Table10[Épée Classification],"&gt;0")</f>
        <v>0</v>
      </c>
      <c r="EZ144" s="6">
        <f>COUNTIFS(Table11[Country],Tabela1[[#This Row],[Country]],Table11[Épée Classification],"&gt;0")</f>
        <v>0</v>
      </c>
      <c r="FA144" s="6">
        <f>COUNTIFS(Table46[Country],Tabela1[[#This Row],[Country]],Table46[Men''s Épée Classification],"&gt;0")</f>
        <v>0</v>
      </c>
      <c r="FB144" s="6">
        <f>COUNTIFS(Table46[Country],Tabela1[[#This Row],[Country]],Table46[Women''s Épée Classification],"&gt;0")</f>
        <v>0</v>
      </c>
      <c r="FC144" s="6">
        <f>COUNTIFS(Table10[Country],Tabela1[[#This Row],[Country]],Table10[Foil Classification],"&gt;0")</f>
        <v>0</v>
      </c>
      <c r="FD144" s="6">
        <f>COUNTIFS(Table11[Country],Tabela1[[#This Row],[Country]],Table11[Foil Classification],"&gt;0")</f>
        <v>0</v>
      </c>
      <c r="FE144" s="6">
        <f>COUNTIFS(Table46[Country],Tabela1[[#This Row],[Country]],Table46[Men''s Foil Classification],"&gt;0")</f>
        <v>0</v>
      </c>
      <c r="FF144" s="6">
        <f>COUNTIFS(Table46[Country],Tabela1[[#This Row],[Country]],Table46[Women''s Foil Classification],"&gt;0")</f>
        <v>0</v>
      </c>
      <c r="FG144" s="6">
        <f>COUNTIFS(Table10[Country],Tabela1[[#This Row],[Country]],Table10[Sabre Classification],"&gt;0")</f>
        <v>1</v>
      </c>
      <c r="FH144" s="6">
        <f>COUNTIFS(Table11[Country],Tabela1[[#This Row],[Country]],Table11[Sabre Classification],"&gt;0")</f>
        <v>0</v>
      </c>
      <c r="FI144" s="6">
        <f>COUNTIFS(Table46[Country],Tabela1[[#This Row],[Country]],Table46[Men''s Sabre Classification],"&gt;0")</f>
        <v>0</v>
      </c>
      <c r="FJ144" s="6">
        <f>COUNTIFS(Table46[Country],Tabela1[[#This Row],[Country]],Table46[Women''s Sabre Classification],"&gt;0")</f>
        <v>0</v>
      </c>
      <c r="FK144" s="6">
        <f>COUNTIFS(Table91[Country],Tabela1[[#This Row],[Country]],Table91[Men''s Classification],"&gt;0")</f>
        <v>0</v>
      </c>
      <c r="FL144" s="6">
        <f>COUNTIFS(Table91[Country],Tabela1[[#This Row],[Country]],Table91[Women''s Classification],"&gt;0")</f>
        <v>0</v>
      </c>
      <c r="FM144" s="6">
        <f>COUNTIFS(Table9194[Country],Tabela1[[#This Row],[Country]],Table9194[Men''s Classification],"&gt;0")</f>
        <v>0</v>
      </c>
      <c r="FN144" s="6">
        <f>COUNTIFS(Table9194[Country],Tabela1[[#This Row],[Country]],Table9194[Women''s Classification],"&gt;0")</f>
        <v>0</v>
      </c>
      <c r="FO144" s="6">
        <f>COUNTIFS(Table71[Country],Tabela1[[#This Row],[Country]],Table71[Classification],"&gt;0")</f>
        <v>0</v>
      </c>
      <c r="FP144" s="6">
        <f>COUNTIFS(Table62[Country],Tabela1[[#This Row],[Country]],Table62[Classification],"&gt;0")</f>
        <v>0</v>
      </c>
      <c r="FQ144" s="6">
        <f>COUNTIFS(Table47[Country],Tabela1[[#This Row],[Country]],Table47[All-Around Classification],"&gt;0")</f>
        <v>0</v>
      </c>
      <c r="FR144" s="6">
        <f>COUNTIFS(Table48[Country],Tabela1[[#This Row],[Country]],Table48[All-Around Classification],"&gt;0")</f>
        <v>0</v>
      </c>
      <c r="FS144" s="6">
        <f>COUNTIFS(Table81[Country],Tabela1[[#This Row],[Country]],Table81[Men''s All-Around Classification],"&gt;0")</f>
        <v>0</v>
      </c>
      <c r="FT144" s="6">
        <f>COUNTIFS(Table81[Country],Tabela1[[#This Row],[Country]],Table81[Women''s All-Around Classification],"&gt;0")</f>
        <v>0</v>
      </c>
      <c r="FU144" s="6">
        <f>COUNTIFS(Table48[Country],Tabela1[[#This Row],[Country]],Table48[Balance Beam Classification],"&gt;0")</f>
        <v>0</v>
      </c>
      <c r="FV144" s="6">
        <f>COUNTIFS(Table47[Country],Tabela1[[#This Row],[Country]],Table47[Floor Exercise Classification],"&gt;0")</f>
        <v>0</v>
      </c>
      <c r="FW144" s="6">
        <f>COUNTIFS(Table48[Country],Tabela1[[#This Row],[Country]],Table48[Floor Exercise Classification],"&gt;0")</f>
        <v>0</v>
      </c>
      <c r="FX144" s="6">
        <f>COUNTIFS(Table47[Country],Tabela1[[#This Row],[Country]],Table47[Horizontal Bar Classification],"&gt;0")</f>
        <v>0</v>
      </c>
      <c r="FY144" s="6">
        <f>COUNTIFS(Table47[Country],Tabela1[[#This Row],[Country]],Table47[Parallel Bars Classification],"&gt;0")</f>
        <v>0</v>
      </c>
      <c r="FZ144" s="6">
        <f>COUNTIFS(Table47[Country],Tabela1[[#This Row],[Country]],Table47[Pommel Horse Classification],"&gt;0")</f>
        <v>0</v>
      </c>
      <c r="GA144" s="6">
        <f>COUNTIFS(Table47[Country],Tabela1[[#This Row],[Country]],Table47[Rings Classification],"&gt;0")</f>
        <v>0</v>
      </c>
      <c r="GB144" s="6">
        <f>COUNTIFS(Tabela132[Country],Tabela1[[#This Row],[Country]],Tabela132[Classification],"&gt;0")</f>
        <v>0</v>
      </c>
      <c r="GC144" s="6">
        <f>COUNTIFS(Tabela139[Country],Tabela1[[#This Row],[Country]],Tabela139[Classification],"&gt;0")</f>
        <v>0</v>
      </c>
      <c r="GD144" s="6">
        <f>COUNTIFS(Table48[Country],Tabela1[[#This Row],[Country]],Table48[Uneven Bars Classification],"&gt;0")</f>
        <v>0</v>
      </c>
      <c r="GE144" s="6">
        <f>COUNTIFS(Table47[Country],Tabela1[[#This Row],[Country]],Table47[Vault Classification],"&gt;0")</f>
        <v>0</v>
      </c>
      <c r="GF144" s="6">
        <f>COUNTIFS(Table48[Country],Tabela1[[#This Row],[Country]],Table48[Vault Classification],"&gt;0")</f>
        <v>0</v>
      </c>
      <c r="GG144" s="6">
        <f>COUNTIFS(Table919496[Country],Tabela1[[#This Row],[Country]],Table919496[Men''s Classification],"&gt;0")</f>
        <v>0</v>
      </c>
      <c r="GH144" s="6">
        <f>COUNTIFS(Table919496[Country],Tabela1[[#This Row],[Country]],Table919496[Women''s Classification],"&gt;0")</f>
        <v>0</v>
      </c>
      <c r="GI144" s="6">
        <f>COUNTIFS(Table12[Country],Tabela1[[#This Row],[Country]],Table12[60kg Classification],"&gt;0")</f>
        <v>0</v>
      </c>
      <c r="GJ144" s="6">
        <f>COUNTIFS(Table12[Country],Tabela1[[#This Row],[Country]],Table12[66kg Classification],"&gt;0")</f>
        <v>0</v>
      </c>
      <c r="GK144" s="6">
        <f>COUNTIFS(Table12[Country],Tabela1[[#This Row],[Country]],Table12[73kg Classification],"&gt;0")</f>
        <v>0</v>
      </c>
      <c r="GL144" s="6">
        <f>COUNTIFS(Table12[Country],Tabela1[[#This Row],[Country]],Table12[81kg Classification],"&gt;0")</f>
        <v>0</v>
      </c>
      <c r="GM144" s="6">
        <f>COUNTIFS(Table12[Country],Tabela1[[#This Row],[Country]],Table12[90kg Classification],"&gt;0")</f>
        <v>0</v>
      </c>
      <c r="GN144" s="6">
        <f>COUNTIFS(Table12[Country],Tabela1[[#This Row],[Country]],Table12[100kg Classification],"&gt;0")</f>
        <v>0</v>
      </c>
      <c r="GO144" s="6">
        <f>COUNTIFS(Table12[Country],Tabela1[[#This Row],[Country]],Table12[Plus 100kg Classification],"&gt;0")</f>
        <v>0</v>
      </c>
      <c r="GP144" s="6">
        <f>COUNTIFS(Table13[Country],Tabela1[[#This Row],[Country]],Table13[48kg Classification],"&gt;0")</f>
        <v>0</v>
      </c>
      <c r="GQ144" s="6">
        <f>COUNTIFS(Table13[Country],Tabela1[[#This Row],[Country]],Table13[52kg Classification],"&gt;0")</f>
        <v>0</v>
      </c>
      <c r="GR144" s="6">
        <f>COUNTIFS(Table13[Country],Tabela1[[#This Row],[Country]],Table13[57kg Classification],"&gt;0")</f>
        <v>0</v>
      </c>
      <c r="GS144" s="6">
        <f>COUNTIFS(Table13[Country],Tabela1[[#This Row],[Country]],Table13[63kg Classification],"&gt;0")</f>
        <v>0</v>
      </c>
      <c r="GT144" s="6">
        <f>COUNTIFS(Table13[Country],Tabela1[[#This Row],[Country]],Table13[70kg Classification],"&gt;0")</f>
        <v>0</v>
      </c>
      <c r="GU144" s="6">
        <f>COUNTIFS(Table13[Country],Tabela1[[#This Row],[Country]],Table13[78kg Classification],"&gt;0")</f>
        <v>0</v>
      </c>
      <c r="GV144" s="6">
        <f>COUNTIFS(Table13[Country],Tabela1[[#This Row],[Country]],Table13[Plus 78kg Classification],"&gt;0")</f>
        <v>0</v>
      </c>
      <c r="GW144" s="6">
        <f>COUNTIFS(Table82[Country],Tabela1[[#This Row],[Country]],Table82[Mixed Classification],"&gt;0")</f>
        <v>0</v>
      </c>
      <c r="GX144" s="6">
        <f>COUNTIFS(Table51[Country],Tabela1[[#This Row],[Country]],Table51[Classification],"&gt;0")</f>
        <v>0</v>
      </c>
      <c r="GY144" s="6">
        <f>COUNTIFS(Table52[Country],Tabela1[[#This Row],[Country]],Table52[Classification],"&gt;0")</f>
        <v>0</v>
      </c>
      <c r="GZ144" s="6">
        <f>COUNTIFS(Table32[Country],Tabela1[[#This Row],[Country]],Table32[All-Around Classification],"&gt;0")</f>
        <v>0</v>
      </c>
      <c r="HA144" s="6">
        <f>COUNTIFS(Table49[Country],Tabela1[[#This Row],[Country]],Table49[All-Around Classification],"&gt;0")</f>
        <v>0</v>
      </c>
      <c r="HB144" s="6">
        <f>COUNTIFS(Table26[Country],Tabela1[[#This Row],[Country]],Table26[Single Sculls Classification],"&gt;0")</f>
        <v>0</v>
      </c>
      <c r="HC144" s="6">
        <f>COUNTIFS(Table63[Country],Tabela1[[#This Row],[Country]],Table63[Single Sculls Classification],"&gt;0")</f>
        <v>0</v>
      </c>
      <c r="HD144" s="6">
        <f>COUNTIFS(Table16[Country],Tabela1[[#This Row],[Country]],Table16[Men''s Double Sculls Classification],"&gt;0")</f>
        <v>0</v>
      </c>
      <c r="HE144" s="6">
        <f>COUNTIFS(Table16[Country],Tabela1[[#This Row],[Country]],Table16[Women''s Double Sculls Classification],"&gt;0")</f>
        <v>0</v>
      </c>
      <c r="HF144" s="6">
        <f>COUNTIFS(Table72[Country],Tabela1[[#This Row],[Country]],Table72[Men''s Quadruple Sculls Classification],"&gt;0")</f>
        <v>0</v>
      </c>
      <c r="HG144" s="6">
        <f>COUNTIFS(Table72[Country],Tabela1[[#This Row],[Country]],Table72[Women''s Quadruple Sculls Classification],"&gt;0")</f>
        <v>0</v>
      </c>
      <c r="HH144" s="6">
        <f>COUNTIFS(Table16[Country],Tabela1[[#This Row],[Country]],Table16[Men''s Coxless Pairs Classification],"&gt;0")</f>
        <v>0</v>
      </c>
      <c r="HI144" s="6">
        <f>COUNTIFS(Table16[Country],Tabela1[[#This Row],[Country]],Table16[Women''s Coxless Pairs Classification],"&gt;0")</f>
        <v>0</v>
      </c>
      <c r="HJ144" s="6">
        <f>COUNTIFS(Table72[Country],Tabela1[[#This Row],[Country]],Table72[Men''s Coxless Fours Classification],"&gt;0")</f>
        <v>0</v>
      </c>
      <c r="HK144" s="6">
        <f>COUNTIFS(Table72[Country],Tabela1[[#This Row],[Country]],Table72[Women''s Coxless Fours Classification],"&gt;0")</f>
        <v>0</v>
      </c>
      <c r="HL144" s="6">
        <f>COUNTIFS(Table72[Country],Tabela1[[#This Row],[Country]],Table72[Men''s Eights Classification],"&gt;0")</f>
        <v>0</v>
      </c>
      <c r="HM144" s="6">
        <f>COUNTIFS(Table72[Country],Tabela1[[#This Row],[Country]],Table72[Women''s Eights Classification],"&gt;0")</f>
        <v>0</v>
      </c>
      <c r="HN144" s="6">
        <f>COUNTIFS(Table16[Country],Tabela1[[#This Row],[Country]],Table16[Men''s Lwt. Double Sculls Classification],"&gt;0")</f>
        <v>0</v>
      </c>
      <c r="HO144" s="6">
        <f>COUNTIFS(Table16[Country],Tabela1[[#This Row],[Country]],Table16[Women''s Lwt. Double Sculls Classification],"&gt;0")</f>
        <v>0</v>
      </c>
      <c r="HP144" s="6">
        <f>COUNTIFS(Table91949698[Country],Tabela1[[#This Row],[Country]],Table91949698[Men''s Classification],"&gt;0")</f>
        <v>0</v>
      </c>
      <c r="HQ144" s="6">
        <f>COUNTIFS(Table91949698[Country],Tabela1[[#This Row],[Country]],Table91949698[Women''s Classification],"&gt;0")</f>
        <v>0</v>
      </c>
      <c r="HR144" s="6">
        <f>COUNTIFS(Table25[Country],Tabela1[[#This Row],[Country]],Table25[Mixed 470 Classification],"&gt;0")</f>
        <v>0</v>
      </c>
      <c r="HS144" s="6">
        <f>COUNTIFS(Table25[Country],Tabela1[[#This Row],[Country]],Table25[Men''s 49er Classification],"&gt;0")</f>
        <v>0</v>
      </c>
      <c r="HT144" s="6">
        <f>COUNTIFS(Table25[Country],Tabela1[[#This Row],[Country]],Table25[Women''s 49er FX Classification],"&gt;0")</f>
        <v>0</v>
      </c>
      <c r="HU144" s="6">
        <f>COUNTIFS(Table17[Country],Tabela1[[#This Row],[Country]],Table17[Formula Kite Classification],"&gt;0")</f>
        <v>0</v>
      </c>
      <c r="HV144" s="6">
        <f>COUNTIFS(Table18[Country],Tabela1[[#This Row],[Country]],Table18[Formula Kite Classification],"&gt;0")</f>
        <v>0</v>
      </c>
      <c r="HW144" s="6">
        <f>COUNTIFS(Table17[Country],Tabela1[[#This Row],[Country]],Table17[ILCA 7 Classification],"&gt;0")</f>
        <v>0</v>
      </c>
      <c r="HX144" s="6">
        <f>COUNTIFS(Table18[Country],Tabela1[[#This Row],[Country]],Table18[ILCA 6 Classification],"&gt;0")</f>
        <v>0</v>
      </c>
      <c r="HY144" s="6">
        <f>COUNTIFS(Table17[Country],Tabela1[[#This Row],[Country]],Table17[IQFoil Classification],"&gt;0")</f>
        <v>0</v>
      </c>
      <c r="HZ144" s="6">
        <f>COUNTIFS(Table18[Country],Tabela1[[#This Row],[Country]],Table18[IQFoil Classification],"&gt;0")</f>
        <v>0</v>
      </c>
      <c r="IA144" s="6">
        <f>COUNTIFS(Table25[Country],Tabela1[[#This Row],[Country]],Table25[Mixed Nacra 17 Classification],"&gt;0")</f>
        <v>0</v>
      </c>
      <c r="IB144" s="6">
        <f>COUNTIFS(Table53[Country],Tabela1[[#This Row],[Country]],Table53[10m Air Pistol Classification],"&gt;0")</f>
        <v>0</v>
      </c>
      <c r="IC144" s="6">
        <f>COUNTIFS(Table19[Country],Tabela1[[#This Row],[Country]],Table19[10m Air Pistol Classification],"&gt;0")</f>
        <v>0</v>
      </c>
      <c r="ID144" s="6">
        <f>COUNTIFS(Table54[Country],Tabela1[[#This Row],[Country]],Table54[Mixed 10m Air Pistol Team Classification],"&gt;0")</f>
        <v>0</v>
      </c>
      <c r="IE144" s="6">
        <f>COUNTIFS(Table53[Country],Tabela1[[#This Row],[Country]],Table53[10m Air Rifle Classification],"&gt;0")</f>
        <v>0</v>
      </c>
      <c r="IF144" s="6">
        <f>COUNTIFS(Table19[Country],Tabela1[[#This Row],[Country]],Table19[10m Air Rifle Classification],"&gt;0")</f>
        <v>0</v>
      </c>
      <c r="IG144" s="6">
        <f>COUNTIFS(Table54[Country],Tabela1[[#This Row],[Country]],Table54[Mixed 10m Air Rifle Team Classification],"&gt;0")</f>
        <v>0</v>
      </c>
      <c r="IH144" s="6">
        <f>COUNTIFS(Table53[Country],Tabela1[[#This Row],[Country]],Table53[25m Rapid Fire Pistol Classification],"&gt;0")</f>
        <v>0</v>
      </c>
      <c r="II144" s="6">
        <f>COUNTIFS(Table19[Country],Tabela1[[#This Row],[Country]],Table19[25m Pistol Classification],"&gt;0")</f>
        <v>0</v>
      </c>
      <c r="IJ144" s="6">
        <f>COUNTIFS(Table53[Country],Tabela1[[#This Row],[Country]],Table53[50m Rifle 3 Positions Classification],"&gt;0")</f>
        <v>0</v>
      </c>
      <c r="IK144" s="6">
        <f>COUNTIFS(Table19[Country],Tabela1[[#This Row],[Country]],Table19[50m Rifle 3 Positions Classification],"&gt;0")</f>
        <v>0</v>
      </c>
      <c r="IL144" s="6">
        <f>COUNTIFS(Table53[Country],Tabela1[[#This Row],[Country]],Table53[Skeet Classification],"&gt;0")</f>
        <v>0</v>
      </c>
      <c r="IM144" s="6">
        <f>COUNTIFS(Table19[Country],Tabela1[[#This Row],[Country]],Table19[Skeet Classification],"&gt;0")</f>
        <v>0</v>
      </c>
      <c r="IN144" s="6">
        <f>COUNTIFS(Table54[Country],Tabela1[[#This Row],[Country]],Table54[Mixed Skeet Team Classification],"&gt;0")</f>
        <v>0</v>
      </c>
      <c r="IO144" s="6">
        <f>COUNTIFS(Table53[Country],Tabela1[[#This Row],[Country]],Table53[Trap Classification],"&gt;0")</f>
        <v>0</v>
      </c>
      <c r="IP144" s="6">
        <f>COUNTIFS(Table19[Country],Tabela1[[#This Row],[Country]],Table19[Trap Classification],"&gt;0")</f>
        <v>0</v>
      </c>
      <c r="IQ144" s="6">
        <f>COUNTIFS(Table73[Country],Tabela1[[#This Row],[Country]],Table73[Park Classification],"&gt;0")</f>
        <v>0</v>
      </c>
      <c r="IR144" s="6">
        <f>COUNTIFS(Table74[Country],Tabela1[[#This Row],[Country]],Table74[Park Classification],"&gt;0")</f>
        <v>0</v>
      </c>
      <c r="IS144" s="6">
        <f>COUNTIFS(Table73[Country],Tabela1[[#This Row],[Country]],Table73[Street Classification],"&gt;0")</f>
        <v>0</v>
      </c>
      <c r="IT144" s="6">
        <f>COUNTIFS(Table74[Country],Tabela1[[#This Row],[Country]],Table74[Street Classification],"&gt;0")</f>
        <v>0</v>
      </c>
      <c r="IU144" s="6">
        <f>COUNTIFS(Table75[Country],Tabela1[[#This Row],[Country]],Table75[Boulder and Lead Classification],"&gt;0")</f>
        <v>0</v>
      </c>
      <c r="IV144" s="6">
        <f>COUNTIFS(Table76[Country],Tabela1[[#This Row],[Country]],Table76[Boulder and Lead Classification],"&gt;0")</f>
        <v>0</v>
      </c>
      <c r="IW144" s="6">
        <f>COUNTIFS(Table75[Country],Tabela1[[#This Row],[Country]],Table75[Speed Classification],"&gt;0")</f>
        <v>0</v>
      </c>
      <c r="IX144" s="6">
        <f>COUNTIFS(Table76[Country],Tabela1[[#This Row],[Country]],Table76[Speed Classification],"&gt;0")</f>
        <v>0</v>
      </c>
      <c r="IY144" s="6">
        <f>COUNTIFS(Table64[Country],Tabela1[[#This Row],[Country]],Table64[Shortboard Classification],"&gt;0")</f>
        <v>0</v>
      </c>
      <c r="IZ144" s="6">
        <f>COUNTIFS(Table77[Country],Tabela1[[#This Row],[Country]],Table77[Shortboard Classification],"&gt;0")</f>
        <v>0</v>
      </c>
      <c r="JA144" s="6">
        <f>COUNTIFS(Table20[Country],Tabela1[[#This Row],[Country]],Table20[50m Freestyle Classification],"&gt;0")</f>
        <v>0</v>
      </c>
      <c r="JB144" s="6">
        <f>COUNTIFS(Table21[Country],Tabela1[[#This Row],[Country]],Table21[50m Freestyle Classification],"&gt;0")</f>
        <v>0</v>
      </c>
      <c r="JC144" s="6">
        <f>COUNTIFS(Table20[Country],Tabela1[[#This Row],[Country]],Table20[100m Freestyle Classification],"&gt;0")</f>
        <v>0</v>
      </c>
      <c r="JD144" s="6">
        <f>COUNTIFS(Table21[Country],Tabela1[[#This Row],[Country]],Table21[100m Freestyle Classification],"&gt;0")</f>
        <v>0</v>
      </c>
      <c r="JE144" s="6">
        <f>COUNTIFS(Table20[Country],Tabela1[[#This Row],[Country]],Table20[200m Freestyle Classification],"&gt;0")</f>
        <v>0</v>
      </c>
      <c r="JF144" s="6">
        <f>COUNTIFS(Table21[Country],Tabela1[[#This Row],[Country]],Table21[200m Freestyle Classification],"&gt;0")</f>
        <v>0</v>
      </c>
      <c r="JG144" s="6">
        <f>COUNTIFS(Table20[Country],Tabela1[[#This Row],[Country]],Table20[400m Freestyle Classification],"&gt;0")</f>
        <v>0</v>
      </c>
      <c r="JH144" s="6">
        <f>COUNTIFS(Table21[Country],Tabela1[[#This Row],[Country]],Table21[400m Freestyle Classification],"&gt;0")</f>
        <v>0</v>
      </c>
      <c r="JI144" s="6">
        <f>COUNTIFS(Table20[Country],Tabela1[[#This Row],[Country]],Table20[800m Freestyle Classification],"&gt;0")</f>
        <v>0</v>
      </c>
      <c r="JJ144" s="6">
        <f>COUNTIFS(Table21[Country],Tabela1[[#This Row],[Country]],Table21[800m Freestyle Classification],"&gt;0")</f>
        <v>0</v>
      </c>
      <c r="JK144" s="6">
        <f>COUNTIFS(Table20[Country],Tabela1[[#This Row],[Country]],Table20[1500m Freestyle Classification],"&gt;0")</f>
        <v>0</v>
      </c>
      <c r="JL144" s="6">
        <f>COUNTIFS(Table21[Country],Tabela1[[#This Row],[Country]],Table21[1500m Freestyle Classification],"&gt;0")</f>
        <v>0</v>
      </c>
      <c r="JM144" s="6">
        <f>COUNTIFS(Table20[Country],Tabela1[[#This Row],[Country]],Table20[100m Backstroke Classification],"&gt;0")</f>
        <v>0</v>
      </c>
      <c r="JN144" s="6">
        <f>COUNTIFS(Table21[Country],Tabela1[[#This Row],[Country]],Table21[100m Backstroke Classification],"&gt;0")</f>
        <v>0</v>
      </c>
      <c r="JO144" s="6">
        <f>COUNTIFS(Table20[Country],Tabela1[[#This Row],[Country]],Table20[200m Backstroke Classification],"&gt;0")</f>
        <v>0</v>
      </c>
      <c r="JP144" s="6">
        <f>COUNTIFS(Table21[Country],Tabela1[[#This Row],[Country]],Table21[200m Backstroke Classification],"&gt;0")</f>
        <v>0</v>
      </c>
      <c r="JQ144" s="6">
        <f>COUNTIFS(Table20[Country],Tabela1[[#This Row],[Country]],Table20[100m Breaststroke Classification],"&gt;0")</f>
        <v>0</v>
      </c>
      <c r="JR144" s="6">
        <f>COUNTIFS(Table21[Country],Tabela1[[#This Row],[Country]],Table21[100m Breaststroke Classification],"&gt;0")</f>
        <v>0</v>
      </c>
      <c r="JS144" s="6">
        <f>COUNTIFS(Table20[Country],Tabela1[[#This Row],[Country]],Table20[200m Breaststroke Classification],"&gt;0")</f>
        <v>0</v>
      </c>
      <c r="JT144" s="6">
        <f>COUNTIFS(Table21[Country],Tabela1[[#This Row],[Country]],Table21[200m Breaststroke Classification],"&gt;0")</f>
        <v>0</v>
      </c>
      <c r="JU144" s="6">
        <f>COUNTIFS(Table20[Country],Tabela1[[#This Row],[Country]],Table20[100m Butterfly Classification],"&gt;0")</f>
        <v>0</v>
      </c>
      <c r="JV144" s="6">
        <f>COUNTIFS(Table21[Country],Tabela1[[#This Row],[Country]],Table21[100m Butterfly Classification],"&gt;0")</f>
        <v>0</v>
      </c>
      <c r="JW144" s="6">
        <f>COUNTIFS(Table20[Country],Tabela1[[#This Row],[Country]],Table20[200m Butterfly Classification],"&gt;0")</f>
        <v>0</v>
      </c>
      <c r="JX144" s="6">
        <f>COUNTIFS(Table21[Country],Tabela1[[#This Row],[Country]],Table21[200m Butterfly Classification],"&gt;0")</f>
        <v>0</v>
      </c>
      <c r="JY144" s="6">
        <f>COUNTIFS(Table20[Country],Tabela1[[#This Row],[Country]],Table20[200m Medley Classification],"&gt;0")</f>
        <v>0</v>
      </c>
      <c r="JZ144" s="6">
        <f>COUNTIFS(Table21[Country],Tabela1[[#This Row],[Country]],Table21[200m Medley Classification],"&gt;0")</f>
        <v>0</v>
      </c>
      <c r="KA144" s="6">
        <f>COUNTIFS(Table20[Country],Tabela1[[#This Row],[Country]],Table20[400m Medley Classification],"&gt;0")</f>
        <v>0</v>
      </c>
      <c r="KB144" s="6">
        <f>COUNTIFS(Table21[Country],Tabela1[[#This Row],[Country]],Table21[400m Medley Classification],"&gt;0")</f>
        <v>0</v>
      </c>
      <c r="KC144" s="6">
        <f>COUNTIFS(Table78[Country],Tabela1[[#This Row],[Country]],Table78[Men''s 4x100m Freestyle Relay Classification],"&gt;0")</f>
        <v>0</v>
      </c>
      <c r="KD144" s="6">
        <f>COUNTIFS(Table78[Country],Tabela1[[#This Row],[Country]],Table78[Women''s 4x100m Freestyle Relay Classification],"&gt;0")</f>
        <v>0</v>
      </c>
      <c r="KE144" s="6">
        <f>COUNTIFS(Table78[Country],Tabela1[[#This Row],[Country]],Table78[Men''s 4x200m Freestyle Relay Classification],"&gt;0")</f>
        <v>0</v>
      </c>
      <c r="KF144" s="6">
        <f>COUNTIFS(Table78[Country],Tabela1[[#This Row],[Country]],Table78[Women''s 4x200m Freestyle Relay Classification],"&gt;0")</f>
        <v>0</v>
      </c>
      <c r="KG144" s="6">
        <f>COUNTIFS(Table78[Country],Tabela1[[#This Row],[Country]],Table78[Men''s 4x100m Medley Relay Classification],"&gt;0")</f>
        <v>0</v>
      </c>
      <c r="KH144" s="6">
        <f>COUNTIFS(Table78[Country],Tabela1[[#This Row],[Country]],Table78[Women''s 4x100m Medley Relay Classification],"&gt;0")</f>
        <v>0</v>
      </c>
      <c r="KI144" s="6">
        <f>COUNTIFS(Table78[Country],Tabela1[[#This Row],[Country]],Table78[Mixed 4x100m Medley Relay Classification],"&gt;0")</f>
        <v>0</v>
      </c>
      <c r="KJ144" s="6">
        <f>COUNTIFS(Table20[Country],Tabela1[[#This Row],[Country]],Table20[10km Open Water Classification],"&gt;0")</f>
        <v>0</v>
      </c>
      <c r="KK144" s="6">
        <f>COUNTIFS(Table21[Country],Tabela1[[#This Row],[Country]],Table21[10km Open Water Classification],"&gt;0")</f>
        <v>0</v>
      </c>
      <c r="KL144" s="6">
        <f>COUNTIFS(Table22[Country],Tabela1[[#This Row],[Country]],Table22[Classification],"&gt;0")</f>
        <v>0</v>
      </c>
      <c r="KM144" s="6">
        <f>COUNTIFS(Table30[Country],Tabela1[[#This Row],[Country]],Table30[Classification],"&gt;0")</f>
        <v>0</v>
      </c>
      <c r="KN144" s="6">
        <f>COUNTIFS(Table55[Country],Tabela1[[#This Row],[Country]],Table55[Men''s Classification],"&gt;0")</f>
        <v>0</v>
      </c>
      <c r="KO144" s="6">
        <f>COUNTIFS(Table55[Country],Tabela1[[#This Row],[Country]],Table55[Women''s Classification],"&gt;0")</f>
        <v>0</v>
      </c>
      <c r="KP144" s="6">
        <f>COUNTIFS(Table56[Country],Tabela1[[#This Row],[Country]],Table56[Mixed Classification],"&gt;0")</f>
        <v>0</v>
      </c>
      <c r="KQ144" s="6">
        <f>COUNTIFS(Table29[Country],Tabela1[[#This Row],[Country]],Table29[58kg Classification],"&gt;0")</f>
        <v>0</v>
      </c>
      <c r="KR144" s="6">
        <f>COUNTIFS(Table29[Country],Tabela1[[#This Row],[Country]],Table29[68kg Classification],"&gt;0")</f>
        <v>0</v>
      </c>
      <c r="KS144" s="6">
        <f>COUNTIFS(Table29[Country],Tabela1[[#This Row],[Country]],Table29[80kg Classification],"&gt;0")</f>
        <v>0</v>
      </c>
      <c r="KT144" s="6">
        <f>COUNTIFS(Table29[Country],Tabela1[[#This Row],[Country]],Table29[Plus 80kg Classification],"&gt;0")</f>
        <v>0</v>
      </c>
      <c r="KU144" s="6">
        <f>COUNTIFS(Table34[Country],Tabela1[[#This Row],[Country]],Table34[49kg Classification],"&gt;0")</f>
        <v>0</v>
      </c>
      <c r="KV144" s="6">
        <f>COUNTIFS(Table34[Country],Tabela1[[#This Row],[Country]],Table34[57kg Classification],"&gt;0")</f>
        <v>0</v>
      </c>
      <c r="KW144" s="6">
        <f>COUNTIFS(Table34[Country],Tabela1[[#This Row],[Country]],Table34[67kg Classification],"&gt;0")</f>
        <v>0</v>
      </c>
      <c r="KX144" s="6">
        <f>COUNTIFS(Table34[Country],Tabela1[[#This Row],[Country]],Table34[Plus 67kg Classification],"&gt;0")</f>
        <v>0</v>
      </c>
      <c r="KY144" s="6">
        <f>COUNTIFS(Table57[Country],Tabela1[[#This Row],[Country]],Table57[Classification],"&gt;0")</f>
        <v>0</v>
      </c>
      <c r="KZ144" s="6">
        <f>COUNTIFS(Table58[Country],Tabela1[[#This Row],[Country]],Table58[Classification],"&gt;0")</f>
        <v>0</v>
      </c>
      <c r="LA144" s="6">
        <f>COUNTIFS(Table79[Country],Tabela1[[#This Row],[Country]],Table79[Men''s Classification],"&gt;0")</f>
        <v>0</v>
      </c>
      <c r="LB144" s="6">
        <f>COUNTIFS(Table79[Country],Tabela1[[#This Row],[Country]],Table79[Women''s Classification],"&gt;0")</f>
        <v>0</v>
      </c>
      <c r="LC144" s="6">
        <f>COUNTIFS(Table79[Country],Tabela1[[#This Row],[Country]],Table79[Mixed Classification],"&gt;0")</f>
        <v>0</v>
      </c>
      <c r="LD144" s="6">
        <f>COUNTIFS(Table65[Country],Tabela1[[#This Row],[Country]],Table65[Classification],"&gt;0")</f>
        <v>0</v>
      </c>
      <c r="LE144" s="6">
        <f>COUNTIFS(Table59[Country],Tabela1[[#This Row],[Country]],Table59[Classification],"&gt;0")</f>
        <v>0</v>
      </c>
      <c r="LF144" s="6">
        <f>COUNTIFS(Table87[Country],Tabela1[[#This Row],[Country]],Table87[Mixed Relay Classification],"&gt;0")</f>
        <v>0</v>
      </c>
      <c r="LG144" s="6">
        <f>COUNTIFS(Table91949698100[Country],Tabela1[[#This Row],[Country]],Table91949698100[Men''s Classification],"&gt;0")</f>
        <v>0</v>
      </c>
      <c r="LH144" s="6">
        <f>COUNTIFS(Table91949698100[Country],Tabela1[[#This Row],[Country]],Table91949698100[Women''s Classification],"&gt;0")</f>
        <v>0</v>
      </c>
      <c r="LI144" s="6">
        <f>COUNTIFS(Table91949698100102[Country],Tabela1[[#This Row],[Country]],Table91949698100102[Men''s Classification],"&gt;0")</f>
        <v>0</v>
      </c>
      <c r="LJ144" s="6">
        <f>COUNTIFS(Table91949698100102[Country],Tabela1[[#This Row],[Country]],Table91949698100102[Women''s Classification],"&gt;0")</f>
        <v>0</v>
      </c>
      <c r="LK144" s="6">
        <f>COUNTIFS(Table23[Country],Tabela1[[#This Row],[Country]],Table23[61kg Classification],"&gt;0")</f>
        <v>0</v>
      </c>
      <c r="LL144" s="6">
        <f>COUNTIFS(Table23[Country],Tabela1[[#This Row],[Country]],Table23[73kg Classification],"&gt;0")</f>
        <v>0</v>
      </c>
      <c r="LM144" s="6">
        <f>COUNTIFS(Table23[Country],Tabela1[[#This Row],[Country]],Table23[89kg Classification],"&gt;0")</f>
        <v>0</v>
      </c>
      <c r="LN144" s="6">
        <f>COUNTIFS(Table23[Country],Tabela1[[#This Row],[Country]],Table23[102kg Classification],"&gt;0")</f>
        <v>0</v>
      </c>
      <c r="LO144" s="6">
        <f>COUNTIFS(Table23[Country],Tabela1[[#This Row],[Country]],Table23[Plus 102kg Classification],"&gt;0")</f>
        <v>0</v>
      </c>
      <c r="LP144" s="6">
        <f>COUNTIFS(Table28[Country],Tabela1[[#This Row],[Country]],Table28[49kg Classification],"&gt;0")</f>
        <v>0</v>
      </c>
      <c r="LQ144" s="6">
        <f>COUNTIFS(Table28[Country],Tabela1[[#This Row],[Country]],Table28[59kg Classification],"&gt;0")</f>
        <v>0</v>
      </c>
      <c r="LR144" s="6">
        <f>COUNTIFS(Table28[Country],Tabela1[[#This Row],[Country]],Table28[71kg Classification],"&gt;0")</f>
        <v>0</v>
      </c>
      <c r="LS144" s="6">
        <f>COUNTIFS(Table28[Country],Tabela1[[#This Row],[Country]],Table28[81kg Classification],"&gt;0")</f>
        <v>0</v>
      </c>
      <c r="LT144" s="6">
        <f>COUNTIFS(Table28[Country],Tabela1[[#This Row],[Country]],Table28[Plus 81kg Classification],"&gt;0")</f>
        <v>0</v>
      </c>
      <c r="LU144" s="6">
        <f>COUNTIFS(Table24[Country],Tabela1[[#This Row],[Country]],Table24[Freestyle 57kg Classification],"&gt;0")</f>
        <v>0</v>
      </c>
      <c r="LV144" s="6">
        <f>COUNTIFS(Table24[Country],Tabela1[[#This Row],[Country]],Table24[Freestyle 65kg Classification],"&gt;0")</f>
        <v>0</v>
      </c>
      <c r="LW144" s="6">
        <f>COUNTIFS(Table24[Country],Tabela1[[#This Row],[Country]],Table24[Freestyle 74kg Classification],"&gt;0")</f>
        <v>0</v>
      </c>
      <c r="LX144" s="6">
        <f>COUNTIFS(Table24[Country],Tabela1[[#This Row],[Country]],Table24[Freestyle 86kg Classification],"&gt;0")</f>
        <v>0</v>
      </c>
      <c r="LY144" s="6">
        <f>COUNTIFS(Table24[Country],Tabela1[[#This Row],[Country]],Table24[Freestyle 97kg Classification],"&gt;0")</f>
        <v>0</v>
      </c>
      <c r="LZ144" s="6">
        <f>COUNTIFS(Table24[Country],Tabela1[[#This Row],[Country]],Table24[Freestyle 125kg Classification],"&gt;0")</f>
        <v>0</v>
      </c>
      <c r="MA144" s="6">
        <f>COUNTIFS(Table24[Country],Tabela1[[#This Row],[Country]],Table24[Greco-Roman 60kg Classification],"&gt;0")</f>
        <v>0</v>
      </c>
      <c r="MB144" s="6">
        <f>COUNTIFS(Table24[Country],Tabela1[[#This Row],[Country]],Table24[Greco-Roman 67kg Classification],"&gt;0")</f>
        <v>0</v>
      </c>
      <c r="MC144" s="6">
        <f>COUNTIFS(Table24[Country],Tabela1[[#This Row],[Country]],Table24[Greco-Roman 77kg Classification],"&gt;0")</f>
        <v>0</v>
      </c>
      <c r="MD144" s="6">
        <f>COUNTIFS(Table24[Country],Tabela1[[#This Row],[Country]],Table24[Greco-Roman 87kg Classification],"&gt;0")</f>
        <v>0</v>
      </c>
      <c r="ME144" s="6">
        <f>COUNTIFS(Table24[Country],Tabela1[[#This Row],[Country]],Table24[Greco-Roman 97kg Classification],"&gt;0")</f>
        <v>0</v>
      </c>
      <c r="MF144" s="6">
        <f>COUNTIFS(Table24[Country],Tabela1[[#This Row],[Country]],Table24[Greco-Roman 130kg Classification],"&gt;0")</f>
        <v>0</v>
      </c>
      <c r="MG144" s="6">
        <f>COUNTIFS(Table31[Country],Tabela1[[#This Row],[Country]],Table31[50kg Classification],"&gt;0")</f>
        <v>0</v>
      </c>
      <c r="MH144" s="6">
        <f>COUNTIFS(Table31[Country],Tabela1[[#This Row],[Country]],Table31[53kg Classification],"&gt;0")</f>
        <v>0</v>
      </c>
      <c r="MI144" s="6">
        <f>COUNTIFS(Table31[Country],Tabela1[[#This Row],[Country]],Table31[57kg Classification],"&gt;0")</f>
        <v>0</v>
      </c>
      <c r="MJ144" s="6">
        <f>COUNTIFS(Table31[Country],Tabela1[[#This Row],[Country]],Table31[62kg Classification],"&gt;0")</f>
        <v>0</v>
      </c>
      <c r="MK144" s="6">
        <f>COUNTIFS(Table31[Country],Tabela1[[#This Row],[Country]],Table31[68kg Classification],"&gt;0")</f>
        <v>0</v>
      </c>
      <c r="ML144" s="6">
        <f>COUNTIFS(Table31[Country],Tabela1[[#This Row],[Country]],Table31[76kg Classification],"&gt;0")</f>
        <v>0</v>
      </c>
      <c r="MM144" s="6">
        <f>COUNTIFS(Table102[Country],Tabela1[[#This Row],[Country]],Table102[Downhill Classification],"&gt;0")</f>
        <v>0</v>
      </c>
      <c r="MN144" s="6">
        <f>COUNTIFS(Table102105[Country],Tabela1[[#This Row],[Country]],Table102105[Downhill Classification],"&gt;0")</f>
        <v>0</v>
      </c>
      <c r="MO144" s="6">
        <f>COUNTIFS(Table102[Country],Tabela1[[#This Row],[Country]],Table102[Giant Slalom Classification],"&gt;0")</f>
        <v>0</v>
      </c>
      <c r="MP144" s="6">
        <f>COUNTIFS(Table102105[Country],Tabela1[[#This Row],[Country]],Table102105[Giant Slalom Classification],"&gt;0")</f>
        <v>0</v>
      </c>
      <c r="MQ144" s="6">
        <f>COUNTIFS(Table102[Country],Tabela1[[#This Row],[Country]],Table102[Slalom Classification],"&gt;0")</f>
        <v>0</v>
      </c>
      <c r="MR144" s="6">
        <f>COUNTIFS(Table102105[Country],Tabela1[[#This Row],[Country]],Table102105[Slalom Classification],"&gt;0")</f>
        <v>0</v>
      </c>
      <c r="MS144" s="6">
        <f>COUNTIFS(Table102[Country],Tabela1[[#This Row],[Country]],Table102[Super-G Classification],"&gt;0")</f>
        <v>0</v>
      </c>
      <c r="MT144" s="6">
        <f>COUNTIFS(Table102105[Country],Tabela1[[#This Row],[Country]],Table102105[Super-G Classification],"&gt;0")</f>
        <v>0</v>
      </c>
      <c r="MU144" s="6">
        <f>COUNTIFS(Table105[Country],Tabela1[[#This Row],[Country]],Table105[Men''s Combined Classification],"&gt;0")</f>
        <v>0</v>
      </c>
      <c r="MV144" s="6">
        <f>COUNTIFS(Table105[Country],Tabela1[[#This Row],[Country]],Table105[Women''s Combined Classification],"&gt;0")</f>
        <v>0</v>
      </c>
      <c r="MW144" s="6">
        <f>COUNTIFS(Table106[Country],Tabela1[[#This Row],[Country]],Table106[Individual Classification],"&gt;0")</f>
        <v>0</v>
      </c>
      <c r="MX144" s="6">
        <f>COUNTIFS(Table106109[Country],Tabela1[[#This Row],[Country]],Table106109[Individual Classification],"&gt;0")</f>
        <v>0</v>
      </c>
      <c r="MY144" s="6">
        <f>COUNTIFS(Table106[Country],Tabela1[[#This Row],[Country]],Table106[Mass Start Classification],"&gt;0")</f>
        <v>0</v>
      </c>
      <c r="MZ144" s="6">
        <f>COUNTIFS(Table106109[Country],Tabela1[[#This Row],[Country]],Table106109[Mass Start Classification],"&gt;0")</f>
        <v>0</v>
      </c>
      <c r="NA144" s="6">
        <f>COUNTIFS(Table106[Country],Tabela1[[#This Row],[Country]],Table106[Pursuit Classification],"&gt;0")</f>
        <v>0</v>
      </c>
      <c r="NB144" s="6">
        <f>COUNTIFS(Table106109[Country],Tabela1[[#This Row],[Country]],Table106109[Pursuit Classification],"&gt;0")</f>
        <v>0</v>
      </c>
      <c r="NC144" s="6">
        <f>COUNTIFS(Table106[Country],Tabela1[[#This Row],[Country]],Table106[Sprint Classification],"&gt;0")</f>
        <v>0</v>
      </c>
      <c r="ND144" s="6">
        <f>COUNTIFS(Table106109[Country],Tabela1[[#This Row],[Country]],Table106109[Sprint Classification],"&gt;0")</f>
        <v>0</v>
      </c>
      <c r="NE144" s="6">
        <f>COUNTIFS(Table109[Country],Tabela1[[#This Row],[Country]],Table109[Men''s Relay Classification],"&gt;0")</f>
        <v>0</v>
      </c>
      <c r="NF144" s="6">
        <f>COUNTIFS(Table109[Country],Tabela1[[#This Row],[Country]],Table109[Women''s Relay Classification],"&gt;0")</f>
        <v>0</v>
      </c>
      <c r="NG144" s="6">
        <f>COUNTIFS(Table109[Country],Tabela1[[#This Row],[Country]],Table109[Mixed Relay Classification],"&gt;0")</f>
        <v>0</v>
      </c>
      <c r="NH144" s="6">
        <f>COUNTIFS(Table110[Country],Tabela1[[#This Row],[Country]],Table110[Monobob Classification],"&gt;0")</f>
        <v>0</v>
      </c>
      <c r="NI144" s="6">
        <f>COUNTIFS(Table111[Country],Tabela1[[#This Row],[Country]],Table111[Men''s Classification],"&gt;0")</f>
        <v>0</v>
      </c>
      <c r="NJ144" s="6">
        <f>COUNTIFS(Table111[Country],Tabela1[[#This Row],[Country]],Table111[Women''s Classification],"&gt;0")</f>
        <v>0</v>
      </c>
      <c r="NK144" s="6">
        <f>COUNTIFS(Table112[Country],Tabela1[[#This Row],[Country]],Table112[Men''s Four Classification],"&gt;0")</f>
        <v>0</v>
      </c>
      <c r="NL144" s="6">
        <f>COUNTIFS(Table113[Country],Tabela1[[#This Row],[Country]],Table113[Classical Classification],"&gt;0")</f>
        <v>0</v>
      </c>
      <c r="NM144" s="6">
        <f>COUNTIFS(Table113116[Country],Tabela1[[#This Row],[Country]],Table113116[Classical Classification],"&gt;0")</f>
        <v>0</v>
      </c>
      <c r="NN144" s="6">
        <f>COUNTIFS(Table113[Country],Tabela1[[#This Row],[Country]],Table113[Freestyle Classification],"&gt;0")</f>
        <v>0</v>
      </c>
      <c r="NO144" s="6">
        <f>COUNTIFS(Table113116[Country],Tabela1[[#This Row],[Country]],Table113116[Freestyle Classification],"&gt;0")</f>
        <v>0</v>
      </c>
      <c r="NP144" s="6">
        <f>COUNTIFS(Table117[Country],Tabela1[[#This Row],[Country]],Table117[Men''s Relay Classification],"&gt;0")</f>
        <v>0</v>
      </c>
      <c r="NQ144" s="6">
        <f>COUNTIFS(Table117[Country],Tabela1[[#This Row],[Country]],Table117[Women''s Relay Classification],"&gt;0")</f>
        <v>0</v>
      </c>
      <c r="NR144" s="6">
        <f>COUNTIFS(Table113[Country],Tabela1[[#This Row],[Country]],Table113[Skiathlon Classification],"&gt;0")</f>
        <v>0</v>
      </c>
      <c r="NS144" s="6">
        <f>COUNTIFS(Table113116[Country],Tabela1[[#This Row],[Country]],Table113116[Skiathlon Classification],"&gt;0")</f>
        <v>0</v>
      </c>
      <c r="NT144" s="6">
        <f>COUNTIFS(Table113[Country],Tabela1[[#This Row],[Country]],Table113[Sprint Classification],"&gt;0")</f>
        <v>0</v>
      </c>
      <c r="NU144" s="6">
        <f>COUNTIFS(Table113116[Country],Tabela1[[#This Row],[Country]],Table113116[Sprint Classification],"&gt;0")</f>
        <v>0</v>
      </c>
      <c r="NV144" s="6">
        <f>COUNTIFS(Table116[Country],Tabela1[[#This Row],[Country]],Table116[Men''s Team Sprint Classification],"&gt;0")</f>
        <v>0</v>
      </c>
      <c r="NW144" s="6">
        <f>COUNTIFS(Table116[Country],Tabela1[[#This Row],[Country]],Table116[Women''s Team Sprint Classification],"&gt;0")</f>
        <v>0</v>
      </c>
      <c r="NX144" s="6">
        <f>COUNTIFS(Table119[Country],Tabela1[[#This Row],[Country]],Table119[Men''s Classification],"&gt;0")</f>
        <v>0</v>
      </c>
      <c r="NY144" s="6">
        <f>COUNTIFS(Table119[Country],Tabela1[[#This Row],[Country]],Table119[Women''s Classification],"&gt;0")</f>
        <v>0</v>
      </c>
      <c r="NZ144" s="6">
        <f>COUNTIFS(Table118[Country],Tabela1[[#This Row],[Country]],Table118[Mixed Classification],"&gt;0")</f>
        <v>0</v>
      </c>
      <c r="OA144" s="6">
        <f>COUNTIFS(Table120[Country],Tabela1[[#This Row],[Country]],Table120[Classification],"&gt;0")</f>
        <v>0</v>
      </c>
      <c r="OB144" s="6">
        <f>COUNTIFS(Table120123[Country],Tabela1[[#This Row],[Country]],Table120123[Classification],"&gt;0")</f>
        <v>0</v>
      </c>
      <c r="OC144" s="6">
        <f>COUNTIFS(Table123[Country],Tabela1[[#This Row],[Country]],Table123[Ice Dance Classification],"&gt;0")</f>
        <v>0</v>
      </c>
      <c r="OD144" s="6">
        <f>COUNTIFS(Table123[Country],Tabela1[[#This Row],[Country]],Table123[Pair Skating Classification],"&gt;0")</f>
        <v>0</v>
      </c>
      <c r="OE144" s="6">
        <f>COUNTIFS(Table124[Country],Tabela1[[#This Row],[Country]],Table124[Mixed Classification],"&gt;0")</f>
        <v>0</v>
      </c>
      <c r="OF144" s="6">
        <f>COUNTIFS(Table125[Country],Tabela1[[#This Row],[Country]],Table125[Aerials Classification],"&gt;0")</f>
        <v>0</v>
      </c>
      <c r="OG144" s="6">
        <f>COUNTIFS(Table125128[Country],Tabela1[[#This Row],[Country]],Table125128[Aerials Classification],"&gt;0")</f>
        <v>0</v>
      </c>
      <c r="OH144" s="6">
        <f>COUNTIFS(Table128[Country],Tabela1[[#This Row],[Country]],Table128[Mixed Aerials Classification],"&gt;0")</f>
        <v>0</v>
      </c>
      <c r="OI144" s="6">
        <f>COUNTIFS(Table125[Country],Tabela1[[#This Row],[Country]],Table125[Big Air Classification],"&gt;0")</f>
        <v>0</v>
      </c>
      <c r="OJ144" s="6">
        <f>COUNTIFS(Table125128[Country],Tabela1[[#This Row],[Country]],Table125128[Big Air Classification],"&gt;0")</f>
        <v>0</v>
      </c>
      <c r="OK144" s="6">
        <f>COUNTIFS(Table125[Country],Tabela1[[#This Row],[Country]],Table125[Dual Moguls Classification],"&gt;0")</f>
        <v>0</v>
      </c>
      <c r="OL144" s="6">
        <f>COUNTIFS(Table125128[Country],Tabela1[[#This Row],[Country]],Table125128[Dual Moguls Classification],"&gt;0")</f>
        <v>0</v>
      </c>
      <c r="OM144" s="6">
        <f>COUNTIFS(Table125[Country],Tabela1[[#This Row],[Country]],Table125[Halfpipe Classification],"&gt;0")</f>
        <v>0</v>
      </c>
      <c r="ON144" s="6">
        <f>COUNTIFS(Table125128[Country],Tabela1[[#This Row],[Country]],Table125128[Halfpipe Classification],"&gt;0")</f>
        <v>0</v>
      </c>
      <c r="OO144" s="6">
        <f>COUNTIFS(Table125[Country],Tabela1[[#This Row],[Country]],Table125[Moguls Classification],"&gt;0")</f>
        <v>0</v>
      </c>
      <c r="OP144" s="6">
        <f>COUNTIFS(Table125128[Country],Tabela1[[#This Row],[Country]],Table125128[Moguls Classification],"&gt;0")</f>
        <v>0</v>
      </c>
      <c r="OQ144" s="6">
        <f>COUNTIFS(Table125[Country],Tabela1[[#This Row],[Country]],Table125[Ski Cross Classification],"&gt;0")</f>
        <v>0</v>
      </c>
      <c r="OR144" s="6">
        <f>COUNTIFS(Table125128[Country],Tabela1[[#This Row],[Country]],Table125128[Ski Cross Classification],"&gt;0")</f>
        <v>0</v>
      </c>
      <c r="OS144" s="6">
        <f>COUNTIFS(Table125[Country],Tabela1[[#This Row],[Country]],Table125[Slopestyle Classification],"&gt;0")</f>
        <v>0</v>
      </c>
      <c r="OT144" s="6">
        <f>COUNTIFS(Table125128[Country],Tabela1[[#This Row],[Country]],Table125128[Slopestyle Classification],"&gt;0")</f>
        <v>0</v>
      </c>
      <c r="OU144" s="6">
        <f>COUNTIFS(Table119131[Country],Tabela1[[#This Row],[Country]],Table119131[Men''s Classification],"&gt;0")</f>
        <v>0</v>
      </c>
      <c r="OV144" s="6">
        <f>COUNTIFS(Table119131[Country],Tabela1[[#This Row],[Country]],Table119131[Women''s Classification],"&gt;0")</f>
        <v>0</v>
      </c>
      <c r="OW144" s="6">
        <f>COUNTIFS(Table131[Country],Tabela1[[#This Row],[Country]],Table131[Classification],"&gt;0")</f>
        <v>0</v>
      </c>
      <c r="OX144" s="6">
        <f>COUNTIFS(Table131134[Country],Tabela1[[#This Row],[Country]],Table131134[Classification],"&gt;0")</f>
        <v>0</v>
      </c>
      <c r="OY144" s="6">
        <f>COUNTIFS(Table134[Country],Tabela1[[#This Row],[Country]],Table134[Men''s Classification],"&gt;0")</f>
        <v>0</v>
      </c>
      <c r="OZ144" s="6">
        <f>COUNTIFS(Table134[Country],Tabela1[[#This Row],[Country]],Table134[Women''s Classification],"&gt;0")</f>
        <v>0</v>
      </c>
      <c r="PA144" s="6">
        <f>COUNTIFS(Table135[Country],Tabela1[[#This Row],[Country]],Table135[Mixed Relay Classification],"&gt;0")</f>
        <v>0</v>
      </c>
      <c r="PB144" s="6">
        <f>COUNTIFS(Table136[Country],Tabela1[[#This Row],[Country]],Table136[Individual Classification],"&gt;0")</f>
        <v>0</v>
      </c>
      <c r="PC144" s="6">
        <f>COUNTIFS(Table136[Country],Tabela1[[#This Row],[Country]],Table136[Sprint Classification],"&gt;0")</f>
        <v>0</v>
      </c>
      <c r="PD144" s="6">
        <f>COUNTIFS(Table137[Country],Tabela1[[#This Row],[Country]],Table137[Men''s Team Sprint Large Hill Classification],"&gt;0")</f>
        <v>0</v>
      </c>
      <c r="PE144" s="6">
        <f>COUNTIFS(Table138[Country],Tabela1[[#This Row],[Country]],Table138[500m Classification],"&gt;0")</f>
        <v>0</v>
      </c>
      <c r="PF144" s="6">
        <f>COUNTIFS(Table138141[Country],Tabela1[[#This Row],[Country]],Table138141[500m Classification],"&gt;0")</f>
        <v>0</v>
      </c>
      <c r="PG144" s="6">
        <f>COUNTIFS(Table138[Country],Tabela1[[#This Row],[Country]],Table138[1000m Classification],"&gt;0")</f>
        <v>0</v>
      </c>
      <c r="PH144" s="6">
        <f>COUNTIFS(Table138141[Country],Tabela1[[#This Row],[Country]],Table138141[1000m Classification],"&gt;0")</f>
        <v>0</v>
      </c>
      <c r="PI144" s="6">
        <f>COUNTIFS(Table138[Country],Tabela1[[#This Row],[Country]],Table138[1500m Classification],"&gt;0")</f>
        <v>0</v>
      </c>
      <c r="PJ144" s="6">
        <f>COUNTIFS(Table138141[Country],Tabela1[[#This Row],[Country]],Table138141[1500m Classification],"&gt;0")</f>
        <v>0</v>
      </c>
      <c r="PK144" s="6">
        <f>COUNTIFS(Table141[Country],Tabela1[[#This Row],[Country]],Table141[Men''s 5000m Relay Classification],"&gt;0")</f>
        <v>0</v>
      </c>
      <c r="PL144" s="6">
        <f>COUNTIFS(Table141[Country],Tabela1[[#This Row],[Country]],Table141[Women''s 3000m Relay Classification],"&gt;0")</f>
        <v>0</v>
      </c>
      <c r="PM144" s="6">
        <f>COUNTIFS(Table141[Country],Tabela1[[#This Row],[Country]],Table141[Mixed 2000m Relay Classification],"&gt;0")</f>
        <v>0</v>
      </c>
      <c r="PN144" s="6">
        <f>COUNTIFS(Table142[Country],Tabela1[[#This Row],[Country]],Table142[Classification],"&gt;0")</f>
        <v>0</v>
      </c>
      <c r="PO144" s="6">
        <f>COUNTIFS(Table142145[Country],Tabela1[[#This Row],[Country]],Table142145[Classification],"&gt;0")</f>
        <v>0</v>
      </c>
      <c r="PP144" s="6">
        <f>COUNTIFS(Tabela15[Country],Tabela1[[#This Row],[Country]],Tabela15[Mixed Team Classification],"&gt;0")</f>
        <v>0</v>
      </c>
      <c r="PQ144" s="6">
        <f>COUNTIFS(Table145[Country],Tabela1[[#This Row],[Country]],Table145[Large Hill Classification],"&gt;0")</f>
        <v>0</v>
      </c>
      <c r="PR144" s="6">
        <f>COUNTIFS(Table145[Country],Tabela1[[#This Row],[Country]],Table145[Normal Hill Classification],"&gt;0")</f>
        <v>0</v>
      </c>
      <c r="PS144" s="6">
        <f>COUNTIFS(Table145148[Country],Tabela1[[#This Row],[Country]],Table145148[Large Hill Classification],"&gt;0")</f>
        <v>0</v>
      </c>
      <c r="PT144" s="6">
        <f>COUNTIFS(Table145148[Country],Tabela1[[#This Row],[Country]],Table145148[Normal Hill Classification],"&gt;0")</f>
        <v>0</v>
      </c>
      <c r="PU144" s="6">
        <f>COUNTIFS(Table148[Country],Tabela1[[#This Row],[Country]],Table148[Men''s Super Team Classification],"&gt;0")</f>
        <v>0</v>
      </c>
      <c r="PV144" s="6">
        <f>COUNTIFS(Tabela114[Country],Tabela1[[#This Row],[Country]],Tabela114[Mixed Normal Hill Classification],"&gt;0")</f>
        <v>0</v>
      </c>
      <c r="PW144" s="6">
        <f>COUNTIFS(Tabela50[Country],Tabela1[[#This Row],[Country]],Tabela50[Sprint Classification],"&gt;0")</f>
        <v>0</v>
      </c>
      <c r="PX144" s="6">
        <f>COUNTIFS(Tabela50101[Country],Tabela1[[#This Row],[Country]],Tabela50101[Sprint Classification],"&gt;0")</f>
        <v>0</v>
      </c>
      <c r="PY144" s="6">
        <f>COUNTIFS(Tabela103[Country],Tabela1[[#This Row],[Country]],Tabela103[Mixed Relay Classification],"&gt;0")</f>
        <v>0</v>
      </c>
      <c r="PZ144" s="6">
        <f>COUNTIFS(Table149[Country],Tabela1[[#This Row],[Country]],Table149[Big Air Classification],"&gt;0")</f>
        <v>0</v>
      </c>
      <c r="QA144" s="6">
        <f>COUNTIFS(Table149152[Country],Tabela1[[#This Row],[Country]],Table149152[Big Air Classification],"&gt;0")</f>
        <v>0</v>
      </c>
      <c r="QB144" s="6">
        <f>COUNTIFS(Table149[Country],Tabela1[[#This Row],[Country]],Table149[Halfpipe Classification],"&gt;0")</f>
        <v>0</v>
      </c>
      <c r="QC144" s="6">
        <f>COUNTIFS(Table149152[Country],Tabela1[[#This Row],[Country]],Table149152[Halfpipe Classification],"&gt;0")</f>
        <v>0</v>
      </c>
      <c r="QD144" s="6">
        <f>COUNTIFS(Table149[Country],Tabela1[[#This Row],[Country]],Table149[Parallel Giant Slalom Classification],"&gt;0")</f>
        <v>0</v>
      </c>
      <c r="QE144" s="6">
        <f>COUNTIFS(Table149152[Country],Tabela1[[#This Row],[Country]],Table149152[Parallel Giant Slalom Classification],"&gt;0")</f>
        <v>0</v>
      </c>
      <c r="QF144" s="6">
        <f>COUNTIFS(Table149[Country],Tabela1[[#This Row],[Country]],Table149[Slopestyle Classification],"&gt;0")</f>
        <v>0</v>
      </c>
      <c r="QG144" s="6">
        <f>COUNTIFS(Table149152[Country],Tabela1[[#This Row],[Country]],Table149152[Slopestyle Classification],"&gt;0")</f>
        <v>0</v>
      </c>
      <c r="QH144" s="6">
        <f>COUNTIFS(Table149[Country],Tabela1[[#This Row],[Country]],Table149[Snowboard Cross Classification],"&gt;0")</f>
        <v>0</v>
      </c>
      <c r="QI144" s="6">
        <f>COUNTIFS(Table149152[Country],Tabela1[[#This Row],[Country]],Table149152[Snowboard Cross Classification],"&gt;0")</f>
        <v>0</v>
      </c>
      <c r="QJ144" s="6">
        <f>COUNTIFS(Table153[Country],Tabela1[[#This Row],[Country]],Table153[Mixed Team Snowboard Cross Classification],"&gt;0")</f>
        <v>0</v>
      </c>
      <c r="QK144" s="6">
        <f>COUNTIFS(Table154[Country],Tabela1[[#This Row],[Country]],Table154[500m Classification],"&gt;0")</f>
        <v>0</v>
      </c>
      <c r="QL144" s="6">
        <f>COUNTIFS(Table154157[Country],Tabela1[[#This Row],[Country]],Table154157[500m Classification],"&gt;0")</f>
        <v>0</v>
      </c>
      <c r="QM144" s="6">
        <f>COUNTIFS(Table154[Country],Tabela1[[#This Row],[Country]],Table154[1000m Classification],"&gt;0")</f>
        <v>0</v>
      </c>
      <c r="QN144" s="6">
        <f>COUNTIFS(Table154157[Country],Tabela1[[#This Row],[Country]],Table154157[1000m Classification],"&gt;0")</f>
        <v>0</v>
      </c>
      <c r="QO144" s="6">
        <f>COUNTIFS(Table154[Country],Tabela1[[#This Row],[Country]],Table154[1500m Classification],"&gt;0")</f>
        <v>0</v>
      </c>
      <c r="QP144" s="6">
        <f>COUNTIFS(Table154157[Country],Tabela1[[#This Row],[Country]],Table154157[1500m Classification],"&gt;0")</f>
        <v>0</v>
      </c>
      <c r="QQ144" s="6">
        <f>COUNTIFS(Table154157[Country],Tabela1[[#This Row],[Country]],Table154157[3000m Classification],"&gt;0")</f>
        <v>0</v>
      </c>
      <c r="QR144" s="6">
        <f>COUNTIFS(Table154[Country],Tabela1[[#This Row],[Country]],Table154[5000m Classification],"&gt;0")</f>
        <v>0</v>
      </c>
      <c r="QS144" s="6">
        <f>COUNTIFS(Table154157[Country],Tabela1[[#This Row],[Country]],Table154157[5000m Classification],"&gt;0")</f>
        <v>0</v>
      </c>
      <c r="QT144" s="6">
        <f>COUNTIFS(Table154[Country],Tabela1[[#This Row],[Country]],Table154[10000m Classification],"&gt;0")</f>
        <v>0</v>
      </c>
      <c r="QU144" s="6">
        <f>COUNTIFS(Table154[Country],Tabela1[[#This Row],[Country]],Table154[Mass Start Classification],"&gt;0")</f>
        <v>0</v>
      </c>
      <c r="QV144" s="6">
        <f>COUNTIFS(Table154157[Country],Tabela1[[#This Row],[Country]],Table154157[Mass Start Classification],"&gt;0")</f>
        <v>0</v>
      </c>
      <c r="QW144" s="6">
        <f>COUNTIFS(Table157[Country],Tabela1[[#This Row],[Country]],Table157[Men''s Pursuit Classification],"&gt;0")</f>
        <v>0</v>
      </c>
      <c r="QX144" s="6">
        <f>COUNTIFS(Table157[Country],Tabela1[[#This Row],[Country]],Table157[Women''s Pursuit Classification],"&gt;0")</f>
        <v>0</v>
      </c>
      <c r="QY144" s="4" t="s">
        <v>657</v>
      </c>
    </row>
    <row r="145" spans="1:467" x14ac:dyDescent="0.3">
      <c r="A145" s="6">
        <v>144</v>
      </c>
      <c r="B145" s="6" t="s">
        <v>710</v>
      </c>
      <c r="C145" t="e" vm="144">
        <f>IF(ISBLANK(Tabela1[[#This Row],[Image Link]]), "", _xlfn.IMAGE(Tabela1[[#This Row],[Image Link]],1,1))</f>
        <v>#VALUE!</v>
      </c>
      <c r="D145" s="6">
        <f>SUM(Tabela1[[#This Row],[Archery - Men''s Individual Recurve]:[Speed Skating - Women''s Team Pursuit]])</f>
        <v>1</v>
      </c>
      <c r="E145" s="6">
        <f>COUNTIF(Tabela1[[#This Row],[Archery - Men''s Individual Recurve]:[Speed Skating - Women''s Team Pursuit]],"&gt;0")</f>
        <v>1</v>
      </c>
      <c r="F145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45" s="6">
        <f>SUM(Tabela1[[#This Row],[Archery - Men''s Individual Recurve]:[Wrestling - Women''s Freestyle 76kg]])</f>
        <v>1</v>
      </c>
      <c r="H145" s="6">
        <f>SUM(Tabela1[[#This Row],[Alpine Skiing - Men''s Downhill]:[Speed Skating - Women''s Team Pursuit]])</f>
        <v>0</v>
      </c>
      <c r="I145" s="6">
        <f>Tabela1[[#This Row],[Summer Gold Medals]]+Tabela1[[#This Row],[Winter Gold Medals]]</f>
        <v>0</v>
      </c>
      <c r="J145" s="6">
        <f>Tabela1[[#This Row],[Summer Silver Medals]]+Tabela1[[#This Row],[Winter Silver Medals]]</f>
        <v>0</v>
      </c>
      <c r="K145" s="6">
        <f>Tabela1[[#This Row],[Summer Bronze Medals]]+Tabela1[[#This Row],[Winter Bronze Medals]]</f>
        <v>3</v>
      </c>
      <c r="L145" s="6">
        <f>SUM(Tabela1[[#This Row],[Total Gold Medals]:[Total Bronze Medals]])</f>
        <v>3</v>
      </c>
      <c r="M145" s="6"/>
      <c r="N145" s="6"/>
      <c r="O145" s="6">
        <v>3</v>
      </c>
      <c r="P145" s="6">
        <f>SUM(Tabela1[[#This Row],[Summer Gold Medals]:[Summer Bronze Medals]])</f>
        <v>3</v>
      </c>
      <c r="Q145" s="6"/>
      <c r="R145" s="6"/>
      <c r="S145" s="6"/>
      <c r="T145" s="6">
        <f>Tabela1[[#This Row],[Winter Gold Medals]]+Tabela1[[#This Row],[Winter Silver Medals]]+Tabela1[[#This Row],[Winter Bronze Medals]]</f>
        <v>0</v>
      </c>
      <c r="U145" s="7">
        <f>Tabela1[[#This Row],[Total Medals]]/Tabela1[[#This Row],[Total Quotas]]</f>
        <v>3</v>
      </c>
      <c r="V145" s="6">
        <f>COUNTIFS(Table3[Country],Tabela1[[#This Row],[Country]],Table3[Recurve Classification],"&gt;0")</f>
        <v>0</v>
      </c>
      <c r="W145" s="6">
        <f>COUNTIFS(Table33[Country],Tabela1[[#This Row],[Country]],Table33[Recurve Classification],"&gt;0")</f>
        <v>0</v>
      </c>
      <c r="X145" s="6">
        <f>COUNTIFS(Table35[Country],Tabela1[[#This Row],[Country]],Table35[Men''s Team Recurve Classification],"&gt;0")</f>
        <v>0</v>
      </c>
      <c r="Y145" s="6">
        <f>COUNTIFS(Table35[Country],Tabela1[[#This Row],[Country]],Table35[Women''s Team Recurve Classification],"&gt;0")</f>
        <v>0</v>
      </c>
      <c r="Z145" s="6">
        <f>COUNTIFS(Tabela88[Country],Tabela1[[#This Row],[Country]],Tabela88[Mixed Team Recurve Classification],"&gt;0")</f>
        <v>0</v>
      </c>
      <c r="AA145" s="6">
        <f>COUNTIFS(Table36[Country],Tabela1[[#This Row],[Country]],Table36[Classification],"&gt;0")</f>
        <v>0</v>
      </c>
      <c r="AB145" s="6">
        <f>COUNTIFS(Table37[Country],Tabela1[[#This Row],[Country]],Table37[Classification],"&gt;0")</f>
        <v>0</v>
      </c>
      <c r="AC145" s="6">
        <f>COUNTIFS(Table4[Country],Tabela1[[#This Row],[Country]],Table4[100m Classification],"&gt;0")</f>
        <v>0</v>
      </c>
      <c r="AD145" s="6">
        <f>COUNTIFS(Table5[Country],Tabela1[[#This Row],[Country]],Table5[100m Classification],"&gt;0")</f>
        <v>0</v>
      </c>
      <c r="AE145" s="6">
        <f>COUNTIFS(Table4[Country],Tabela1[[#This Row],[Country]],Table4[200m Classification],"&gt;0")</f>
        <v>0</v>
      </c>
      <c r="AF145" s="6">
        <f>COUNTIFS(Table5[Country],Tabela1[[#This Row],[Country]],Table5[200m Classification],"&gt;0")</f>
        <v>0</v>
      </c>
      <c r="AG145" s="6">
        <f>COUNTIFS(Table4[Country],Tabela1[[#This Row],[Country]],Table4[400m Classification],"&gt;0")</f>
        <v>0</v>
      </c>
      <c r="AH145" s="6">
        <f>COUNTIFS(Table5[Country],Tabela1[[#This Row],[Country]],Table5[400m Classification],"&gt;0")</f>
        <v>0</v>
      </c>
      <c r="AI145" s="6">
        <f>COUNTIFS(Table4[Country],Tabela1[[#This Row],[Country]],Table4[800m Classification],"&gt;0")</f>
        <v>0</v>
      </c>
      <c r="AJ145" s="6">
        <f>COUNTIFS(Table5[Country],Tabela1[[#This Row],[Country]],Table5[800m Classification],"&gt;0")</f>
        <v>0</v>
      </c>
      <c r="AK145" s="6">
        <f>COUNTIFS(Table4[Country],Tabela1[[#This Row],[Country]],Table4[1500m Classification],"&gt;0")</f>
        <v>0</v>
      </c>
      <c r="AL145" s="6">
        <f>COUNTIFS(Table5[Country],Tabela1[[#This Row],[Country]],Table5[1500m Classification],"&gt;0")</f>
        <v>0</v>
      </c>
      <c r="AM145" s="6">
        <f>COUNTIFS(Table4[Country],Tabela1[[#This Row],[Country]],Table4[5000m Classification],"&gt;0")</f>
        <v>0</v>
      </c>
      <c r="AN145" s="6">
        <f>COUNTIFS(Table5[Country],Tabela1[[#This Row],[Country]],Table5[5000m Classification],"&gt;0")</f>
        <v>0</v>
      </c>
      <c r="AO145" s="6">
        <f>COUNTIFS(Table4[Country],Tabela1[[#This Row],[Country]],Table4[10000m Classification],"&gt;0")</f>
        <v>0</v>
      </c>
      <c r="AP145" s="6">
        <f>COUNTIFS(Table5[Country],Tabela1[[#This Row],[Country]],Table5[10000m Classification],"&gt;0")</f>
        <v>0</v>
      </c>
      <c r="AQ145" s="6">
        <f>COUNTIFS(Table4[Country],Tabela1[[#This Row],[Country]],Table4[110m Hurdles Classification],"&gt;0")</f>
        <v>0</v>
      </c>
      <c r="AR145" s="6">
        <f>COUNTIFS(Table5[Country],Tabela1[[#This Row],[Country]],Table5[100m Hurdles Classification],"&gt;0")</f>
        <v>0</v>
      </c>
      <c r="AS145" s="6">
        <f>COUNTIFS(Table4[Country],Tabela1[[#This Row],[Country]],Table4[400m Hurdles Classification],"&gt;0")</f>
        <v>0</v>
      </c>
      <c r="AT145" s="6">
        <f>COUNTIFS(Table5[Country],Tabela1[[#This Row],[Country]],Table5[400m Hurdles Classification],"&gt;0")</f>
        <v>0</v>
      </c>
      <c r="AU145" s="6">
        <f>COUNTIFS(Table4[Country],Tabela1[[#This Row],[Country]],Table4[3000m Steeplechase Classification],"&gt;0")</f>
        <v>0</v>
      </c>
      <c r="AV145" s="6">
        <f>COUNTIFS(Table5[Country],Tabela1[[#This Row],[Country]],Table5[3000m Steeplechase Classification],"&gt;0")</f>
        <v>0</v>
      </c>
      <c r="AW145" s="6">
        <f>COUNTIFS(Table27[Country],Tabela1[[#This Row],[Country]],Table27[Men''s 4x100m Relay Classification],"&gt;0")</f>
        <v>0</v>
      </c>
      <c r="AX145" s="6">
        <f>COUNTIFS(Table27[Country],Tabela1[[#This Row],[Country]],Table27[Women''s 4x100m Relay Classification],"&gt;0")</f>
        <v>0</v>
      </c>
      <c r="AY145" s="6">
        <f>COUNTIFS(Table27[Country],Tabela1[[#This Row],[Country]],Table27[Men''s 4x400m Relay Classification],"&gt;0")</f>
        <v>0</v>
      </c>
      <c r="AZ145" s="6">
        <f>COUNTIFS(Table27[Country],Tabela1[[#This Row],[Country]],Table27[Women''s 4x400m Relay Classification],"&gt;0")</f>
        <v>0</v>
      </c>
      <c r="BA145" s="6">
        <f>COUNTIFS(Table27[Country],Tabela1[[#This Row],[Country]],Table27[Mixed 4x400m Relay Classification],"&gt;0")</f>
        <v>0</v>
      </c>
      <c r="BB145" s="6">
        <f>COUNTIFS(Table4[Country],Tabela1[[#This Row],[Country]],Table4[Marathon Classification],"&gt;0")</f>
        <v>0</v>
      </c>
      <c r="BC145" s="6">
        <f>COUNTIFS(Table5[Country],Tabela1[[#This Row],[Country]],Table5[Marathon Classification],"&gt;0")</f>
        <v>0</v>
      </c>
      <c r="BD145" s="6">
        <f>COUNTIFS(Table4[Country],Tabela1[[#This Row],[Country]],Table4[20km Race Walk Classification],"&gt;0")</f>
        <v>0</v>
      </c>
      <c r="BE145" s="6">
        <f>COUNTIFS(Table5[Country],Tabela1[[#This Row],[Country]],Table5[20km Race Walk Classification],"&gt;0")</f>
        <v>0</v>
      </c>
      <c r="BF145" s="6">
        <f>COUNTIFS(Tabela96[Country],Tabela1[[#This Row],[Country]],Tabela96[Mixed Marathon Race Walk Relay Classification],"&gt;0")</f>
        <v>0</v>
      </c>
      <c r="BG145" s="6">
        <f>COUNTIFS(Table4[Country],Tabela1[[#This Row],[Country]],Table4[Discus Throw Classification],"&gt;0")</f>
        <v>0</v>
      </c>
      <c r="BH145" s="6">
        <f>COUNTIFS(Table5[Country],Tabela1[[#This Row],[Country]],Table5[Discus Throw Classification],"&gt;0")</f>
        <v>0</v>
      </c>
      <c r="BI145" s="6">
        <f>COUNTIFS(Table4[Country],Tabela1[[#This Row],[Country]],Table4[Hammer Throw Classification],"&gt;0")</f>
        <v>0</v>
      </c>
      <c r="BJ145" s="6">
        <f>COUNTIFS(Table5[Country],Tabela1[[#This Row],[Country]],Table5[Hammer Throw Classification],"&gt;0")</f>
        <v>0</v>
      </c>
      <c r="BK145" s="6">
        <f>COUNTIFS(Table4[Country],Tabela1[[#This Row],[Country]],Table4[High Jump Classification],"&gt;0")</f>
        <v>0</v>
      </c>
      <c r="BL145" s="6">
        <f>COUNTIFS(Table5[Country],Tabela1[[#This Row],[Country]],Table5[High Jump Classification],"&gt;0")</f>
        <v>0</v>
      </c>
      <c r="BM145" s="6">
        <f>COUNTIFS(Table4[Country],Tabela1[[#This Row],[Country]],Table4[Javelin Throw Classification],"&gt;0")</f>
        <v>0</v>
      </c>
      <c r="BN145" s="6">
        <f>COUNTIFS(Table5[Country],Tabela1[[#This Row],[Country]],Table5[Javelin Throw Classification],"&gt;0")</f>
        <v>0</v>
      </c>
      <c r="BO145" s="6">
        <f>COUNTIFS(Table4[Country],Tabela1[[#This Row],[Country]],Table4[Long Jump Classification],"&gt;0")</f>
        <v>0</v>
      </c>
      <c r="BP145" s="6">
        <f>COUNTIFS(Table5[Country],Tabela1[[#This Row],[Country]],Table5[Long Jump Classification],"&gt;0")</f>
        <v>0</v>
      </c>
      <c r="BQ145" s="6">
        <f>COUNTIFS(Table4[Country],Tabela1[[#This Row],[Country]],Table4[Pole Vault Classification],"&gt;0")</f>
        <v>0</v>
      </c>
      <c r="BR145" s="6">
        <f>COUNTIFS(Table5[Country],Tabela1[[#This Row],[Country]],Table5[Pole Vault Classification],"&gt;0")</f>
        <v>0</v>
      </c>
      <c r="BS145" s="6">
        <f>COUNTIFS(Table4[Country],Tabela1[[#This Row],[Country]],Table4[Shot Put Classification],"&gt;0")</f>
        <v>0</v>
      </c>
      <c r="BT145" s="6">
        <f>COUNTIFS(Table5[Country],Tabela1[[#This Row],[Country]],Table5[Shot Put Classification],"&gt;0")</f>
        <v>0</v>
      </c>
      <c r="BU145" s="6">
        <f>COUNTIFS(Table4[Country],Tabela1[[#This Row],[Country]],Table4[Triple Jump Classification],"&gt;0")</f>
        <v>0</v>
      </c>
      <c r="BV145" s="6">
        <f>COUNTIFS(Table5[Country],Tabela1[[#This Row],[Country]],Table5[Triple Jump Classification],"&gt;0")</f>
        <v>0</v>
      </c>
      <c r="BW145" s="6">
        <f>COUNTIFS(Table4[Country],Tabela1[[#This Row],[Country]],Table4[Decathlon Classification],"&gt;0")</f>
        <v>0</v>
      </c>
      <c r="BX145" s="6">
        <f>COUNTIFS(Table5[Country],Tabela1[[#This Row],[Country]],Table5[Heptathlon Classification],"&gt;0")</f>
        <v>0</v>
      </c>
      <c r="BY145" s="6">
        <f>COUNTIFS(Table61[Country],Tabela1[[#This Row],[Country]],Table61[Classification],"&gt;0")</f>
        <v>0</v>
      </c>
      <c r="BZ145" s="6">
        <f>COUNTIFS(Table38[Country],Tabela1[[#This Row],[Country]],Table38[Classification],"&gt;0")</f>
        <v>0</v>
      </c>
      <c r="CA145" s="6">
        <f>COUNTIFS(Table39[Country],Tabela1[[#This Row],[Country]],Table39[Men''s Classification],"&gt;0")</f>
        <v>0</v>
      </c>
      <c r="CB145" s="6">
        <f>COUNTIFS(Table39[Country],Tabela1[[#This Row],[Country]],Table39[Women''s Classification],"&gt;0")</f>
        <v>0</v>
      </c>
      <c r="CC145" s="6">
        <f>COUNTIFS(Table39[Country],Tabela1[[#This Row],[Country]],Table39[Mixed Classification],"&gt;0")</f>
        <v>0</v>
      </c>
      <c r="CD145" s="6">
        <f>COUNTIFS(Table89[Country],Tabela1[[#This Row],[Country]],Table89[Men''s Classification],"&gt;0")</f>
        <v>0</v>
      </c>
      <c r="CE145" s="6">
        <f>COUNTIFS(Table89[Country],Tabela1[[#This Row],[Country]],Table89[Women''s Classification],"&gt;0")</f>
        <v>0</v>
      </c>
      <c r="CF145" s="6">
        <f>COUNTIFS(Table90[Country],Tabela1[[#This Row],[Country]],Table90[Men''s Classification],"&gt;0")</f>
        <v>0</v>
      </c>
      <c r="CG145" s="6">
        <f>COUNTIFS(Table90[Country],Tabela1[[#This Row],[Country]],Table90[Women''s Classification],"&gt;0")</f>
        <v>0</v>
      </c>
      <c r="CH145" s="6">
        <f>COUNTIFS(Table60[Country],Tabela1[[#This Row],[Country]],Table60[Men''s Classification],"&gt;0")</f>
        <v>0</v>
      </c>
      <c r="CI145" s="6">
        <f>COUNTIFS(Table60[Country],Tabela1[[#This Row],[Country]],Table60[Women''s Classification],"&gt;0")</f>
        <v>0</v>
      </c>
      <c r="CJ145" s="6">
        <f>COUNTIFS(Table6[Country],Tabela1[[#This Row],[Country]],Table6[51kg Classification],"&gt;0")</f>
        <v>0</v>
      </c>
      <c r="CK145" s="6">
        <f>COUNTIFS(Table6[Country],Tabela1[[#This Row],[Country]],Table6[57kg Classification],"&gt;0")</f>
        <v>0</v>
      </c>
      <c r="CL145" s="6">
        <f>COUNTIFS(Table6[Country],Tabela1[[#This Row],[Country]],Table6[63.5kg Classification],"&gt;0")</f>
        <v>0</v>
      </c>
      <c r="CM145" s="6">
        <f>COUNTIFS(Table6[Country],Tabela1[[#This Row],[Country]],Table6[71kg Classification],"&gt;0")</f>
        <v>0</v>
      </c>
      <c r="CN145" s="6">
        <f>COUNTIFS(Table6[Country],Tabela1[[#This Row],[Country]],Table6[80kg Classification],"&gt;0")</f>
        <v>0</v>
      </c>
      <c r="CO145" s="6">
        <f>COUNTIFS(Table6[Country],Tabela1[[#This Row],[Country]],Table6[92kg Classification],"&gt;0")</f>
        <v>0</v>
      </c>
      <c r="CP145" s="6">
        <f>COUNTIFS(Table6[Country],Tabela1[[#This Row],[Country]],Table6[Plus 92kg Classification],"&gt;0")</f>
        <v>0</v>
      </c>
      <c r="CQ145" s="6">
        <f>COUNTIFS(Table7[Country],Tabela1[[#This Row],[Country]],Table7[50kg Classification],"&gt;0")</f>
        <v>0</v>
      </c>
      <c r="CR145" s="6">
        <f>COUNTIFS(Table7[Country],Tabela1[[#This Row],[Country]],Table7[54kg Classification],"&gt;0")</f>
        <v>0</v>
      </c>
      <c r="CS145" s="6">
        <f>COUNTIFS(Table7[Country],Tabela1[[#This Row],[Country]],Table7[57kg Classification],"&gt;0")</f>
        <v>0</v>
      </c>
      <c r="CT145" s="6">
        <f>COUNTIFS(Table7[Country],Tabela1[[#This Row],[Country]],Table7[60kg Classification],"&gt;0")</f>
        <v>0</v>
      </c>
      <c r="CU145" s="6">
        <f>COUNTIFS(Table7[Country],Tabela1[[#This Row],[Country]],Table7[66kg Classification],"&gt;0")</f>
        <v>0</v>
      </c>
      <c r="CV145" s="6">
        <f>COUNTIFS(Table7[Country],Tabela1[[#This Row],[Country]],Table7[75kg Classification],"&gt;0")</f>
        <v>0</v>
      </c>
      <c r="CW145" s="6">
        <f>COUNTIFS(Tabela94[Country],Tabela1[[#This Row],[Country]],Tabela94[Classification],"&gt;0")</f>
        <v>0</v>
      </c>
      <c r="CX145" s="6">
        <f>COUNTIFS(Tabela9499[Country],Tabela1[[#This Row],[Country]],Tabela9499[Classification],"&gt;0")</f>
        <v>0</v>
      </c>
      <c r="CY145" s="6">
        <f>COUNTIFS(Tabela107[Country],Tabela1[[#This Row],[Country]],Tabela107[C1 Slalom Classification],"&gt;0")</f>
        <v>0</v>
      </c>
      <c r="CZ145" s="6">
        <f>COUNTIFS(Tabela107122[Country],Tabela1[[#This Row],[Country]],Tabela107122[C1 Slalom Classification],"&gt;0")</f>
        <v>0</v>
      </c>
      <c r="DA145" s="6">
        <f>COUNTIFS(Tabela107[Country],Tabela1[[#This Row],[Country]],Tabela107[K1 Slalom Classification],"&gt;0")</f>
        <v>0</v>
      </c>
      <c r="DB145" s="6">
        <f>COUNTIFS(Tabela107122[Country],Tabela1[[#This Row],[Country]],Tabela107122[K1 Slalom Classification],"&gt;0")</f>
        <v>0</v>
      </c>
      <c r="DC145" s="6">
        <f>COUNTIFS(Tabela107[Country],Tabela1[[#This Row],[Country]],Tabela107[Kayak Cross Slalom Classification],"&gt;0")</f>
        <v>0</v>
      </c>
      <c r="DD145" s="6">
        <f>COUNTIFS(Tabela107122[Country],Tabela1[[#This Row],[Country]],Tabela107122[Kayak Cross Slalom Classification],"&gt;0")</f>
        <v>0</v>
      </c>
      <c r="DE145" s="6">
        <f>COUNTIFS(Table8[Country],Tabela1[[#This Row],[Country]],Table8[C1 200m Classification],"&gt;0")</f>
        <v>0</v>
      </c>
      <c r="DF145" s="6">
        <f>COUNTIFS(Table40[Country],Tabela1[[#This Row],[Country]],Table40[C1 1000m Classification],"&gt;0")</f>
        <v>0</v>
      </c>
      <c r="DG145" s="6">
        <f>COUNTIFS(Table68[Country],Tabela1[[#This Row],[Country]],Table68[Men''s C2 500m Classification],"&gt;0")</f>
        <v>0</v>
      </c>
      <c r="DH145" s="6">
        <f>COUNTIFS(Table68[Country],Tabela1[[#This Row],[Country]],Table68[Women''s C2 500m Classification],"&gt;0")</f>
        <v>0</v>
      </c>
      <c r="DI145" s="6">
        <f>COUNTIFS(Table8[Country],Tabela1[[#This Row],[Country]],Table8[K1 500m Classification],"&gt;0")</f>
        <v>0</v>
      </c>
      <c r="DJ145" s="6">
        <f>COUNTIFS(Table40[Country],Tabela1[[#This Row],[Country]],Table40[K1 1000m Classification],"&gt;0")</f>
        <v>0</v>
      </c>
      <c r="DK145" s="6">
        <f>COUNTIFS(Table68[Country],Tabela1[[#This Row],[Country]],Table68[Men''s K2 500m Classification],"&gt;0")</f>
        <v>0</v>
      </c>
      <c r="DL145" s="6">
        <f>COUNTIFS(Table68[Country],Tabela1[[#This Row],[Country]],Table68[Women''s K2 500m Classification],"&gt;0")</f>
        <v>0</v>
      </c>
      <c r="DM145" s="6">
        <f>COUNTIFS(Table83[Country],Tabela1[[#This Row],[Country]],Table83[Men''s K4 500m Classification],"&gt;0")</f>
        <v>0</v>
      </c>
      <c r="DN145" s="6">
        <f>COUNTIFS(Table83[Country],Tabela1[[#This Row],[Country]],Table83[Women''s K4 500m Classification],"&gt;0")</f>
        <v>0</v>
      </c>
      <c r="DO145" s="6">
        <f>COUNTIFS(Tabela126[Country],Tabela1[[#This Row],[Country]],Tabela126[Classification],"&gt;0")</f>
        <v>0</v>
      </c>
      <c r="DP145" s="6">
        <f>COUNTIFS(Tabela126130[Country],Tabela1[[#This Row],[Country]],Tabela126130[Classification],"&gt;0")</f>
        <v>0</v>
      </c>
      <c r="DQ145" s="6">
        <f>COUNTIFS(Table70[Country],Tabela1[[#This Row],[Country]],Table70[Classification],"&gt;0")</f>
        <v>0</v>
      </c>
      <c r="DR145" s="6">
        <f>COUNTIFS(Table80[Country],Tabela1[[#This Row],[Country]],Table80[Classification],"&gt;0")</f>
        <v>0</v>
      </c>
      <c r="DS145" s="6">
        <f>COUNTIFS(Table66[Country],Tabela1[[#This Row],[Country]],Table66[Classification],"&gt;0")</f>
        <v>0</v>
      </c>
      <c r="DT145" s="6">
        <f>COUNTIFS(Table67[Country],Tabela1[[#This Row],[Country]],Table67[Classification],"&gt;0")</f>
        <v>0</v>
      </c>
      <c r="DU145" s="6">
        <f>COUNTIFS(Table69[Country],Tabela1[[#This Row],[Country]],Table69[Keirin Classification],"&gt;0")</f>
        <v>0</v>
      </c>
      <c r="DV145" s="6">
        <f>COUNTIFS(Table41[Country],Tabela1[[#This Row],[Country]],Table41[Keirin Classification],"&gt;0")</f>
        <v>0</v>
      </c>
      <c r="DW145" s="6">
        <f>COUNTIFS(Table84[Country],Tabela1[[#This Row],[Country]],Table84[Men''s Madison Classification],"&gt;0")</f>
        <v>0</v>
      </c>
      <c r="DX145" s="6">
        <f>COUNTIFS(Table84[Country],Tabela1[[#This Row],[Country]],Table84[Women''s Madison Classification],"&gt;0")</f>
        <v>0</v>
      </c>
      <c r="DY145" s="6">
        <f>COUNTIFS(Table69[Country],Tabela1[[#This Row],[Country]],Table69[Omnium Classification],"&gt;0")</f>
        <v>0</v>
      </c>
      <c r="DZ145" s="6">
        <f>COUNTIFS(Table41[Country],Tabela1[[#This Row],[Country]],Table41[Omnium Classification],"&gt;0")</f>
        <v>0</v>
      </c>
      <c r="EA145" s="6">
        <f>COUNTIFS(Table9[Country],Tabela1[[#This Row],[Country]],Table9[Road Race Classification],"&gt;0")</f>
        <v>0</v>
      </c>
      <c r="EB145" s="6">
        <f>COUNTIFS(Table14[Country],Tabela1[[#This Row],[Country]],Table14[Road Race Classification],"&gt;0")</f>
        <v>0</v>
      </c>
      <c r="EC145" s="6">
        <f>COUNTIFS(Table69[Country],Tabela1[[#This Row],[Country]],Table69[Sprint Classification],"&gt;0")</f>
        <v>0</v>
      </c>
      <c r="ED145" s="6">
        <f>COUNTIFS(Table41[Country],Tabela1[[#This Row],[Country]],Table41[Sprint Classification],"&gt;0")</f>
        <v>0</v>
      </c>
      <c r="EE145" s="6">
        <f>COUNTIFS(Table85[Country],Tabela1[[#This Row],[Country]],Table85[Men''s Sprint Classification],"&gt;0")</f>
        <v>0</v>
      </c>
      <c r="EF145" s="6">
        <f>COUNTIFS(Table85[Country],Tabela1[[#This Row],[Country]],Table85[Women''s Sprint Classification],"&gt;0")</f>
        <v>0</v>
      </c>
      <c r="EG145" s="6">
        <f>COUNTIFS(Table85[Country],Tabela1[[#This Row],[Country]],Table85[Men''s Pursuit Classification],"&gt;0")</f>
        <v>0</v>
      </c>
      <c r="EH145" s="6">
        <f>COUNTIFS(Table85[Country],Tabela1[[#This Row],[Country]],Table85[Women''s Pursuit Classification],"&gt;0")</f>
        <v>0</v>
      </c>
      <c r="EI145" s="6">
        <f>COUNTIFS(Table9[Country],Tabela1[[#This Row],[Country]],Table9[Time-Trial Classification],"&gt;0")</f>
        <v>0</v>
      </c>
      <c r="EJ145" s="6">
        <f>COUNTIFS(Table14[Country],Tabela1[[#This Row],[Country]],Table14[Time-Trial Classification],"&gt;0")</f>
        <v>0</v>
      </c>
      <c r="EK145" s="6">
        <f>COUNTIFS(Table42[Country],Tabela1[[#This Row],[Country]],Table42[Springboard Classification],"&gt;0")</f>
        <v>0</v>
      </c>
      <c r="EL145" s="6">
        <f>COUNTIFS(Table43[Country],Tabela1[[#This Row],[Country]],Table43[Springboard Classification],"&gt;0")</f>
        <v>0</v>
      </c>
      <c r="EM145" s="6">
        <f>COUNTIFS(Table42[Country],Tabela1[[#This Row],[Country]],Table42[Platform Classification],"&gt;0")</f>
        <v>0</v>
      </c>
      <c r="EN145" s="6">
        <f>COUNTIFS(Table43[Country],Tabela1[[#This Row],[Country]],Table43[Platform Classification],"&gt;0")</f>
        <v>0</v>
      </c>
      <c r="EO145" s="6">
        <f>COUNTIFS(Table86[Country],Tabela1[[#This Row],[Country]],Table86[Men''s Synchronized Springboard Classification],"&gt;0")</f>
        <v>0</v>
      </c>
      <c r="EP145" s="6">
        <f>COUNTIFS(Table86[Country],Tabela1[[#This Row],[Country]],Table86[Women''s Synchronized Springboard Classification],"&gt;0")</f>
        <v>0</v>
      </c>
      <c r="EQ145" s="6">
        <f>COUNTIFS(Table86[Country],Tabela1[[#This Row],[Country]],Table86[Men''s Synchronized Platform Classification],"&gt;0")</f>
        <v>0</v>
      </c>
      <c r="ER145" s="6">
        <f>COUNTIFS(Table86[Country],Tabela1[[#This Row],[Country]],Table86[Women''s Synchronized Platform Classification],"&gt;0")</f>
        <v>0</v>
      </c>
      <c r="ES145" s="6">
        <f>COUNTIFS(Table44[Country],Tabela1[[#This Row],[Country]],Table44[Dressage Classification],"&gt;0")</f>
        <v>0</v>
      </c>
      <c r="ET145" s="6">
        <f>COUNTIFS(Table45[Country],Tabela1[[#This Row],[Country]],Table45[Dressage Classification],"&gt;0")</f>
        <v>0</v>
      </c>
      <c r="EU145" s="6">
        <f>COUNTIFS(Table44[Country],Tabela1[[#This Row],[Country]],Table44[Eventing Classification],"&gt;0")</f>
        <v>0</v>
      </c>
      <c r="EV145" s="6">
        <f>COUNTIFS(Table45[Country],Tabela1[[#This Row],[Country]],Table45[Eventing Classification],"&gt;0")</f>
        <v>0</v>
      </c>
      <c r="EW145" s="6">
        <f>COUNTIFS(Table44[Country],Tabela1[[#This Row],[Country]],Table44[Jumping Classification],"&gt;0")</f>
        <v>0</v>
      </c>
      <c r="EX145" s="6">
        <f>COUNTIFS(Table45[Country],Tabela1[[#This Row],[Country]],Table45[Jumping Classification],"&gt;0")</f>
        <v>0</v>
      </c>
      <c r="EY145" s="6">
        <f>COUNTIFS(Table10[Country],Tabela1[[#This Row],[Country]],Table10[Épée Classification],"&gt;0")</f>
        <v>0</v>
      </c>
      <c r="EZ145" s="6">
        <f>COUNTIFS(Table11[Country],Tabela1[[#This Row],[Country]],Table11[Épée Classification],"&gt;0")</f>
        <v>0</v>
      </c>
      <c r="FA145" s="6">
        <f>COUNTIFS(Table46[Country],Tabela1[[#This Row],[Country]],Table46[Men''s Épée Classification],"&gt;0")</f>
        <v>0</v>
      </c>
      <c r="FB145" s="6">
        <f>COUNTIFS(Table46[Country],Tabela1[[#This Row],[Country]],Table46[Women''s Épée Classification],"&gt;0")</f>
        <v>0</v>
      </c>
      <c r="FC145" s="6">
        <f>COUNTIFS(Table10[Country],Tabela1[[#This Row],[Country]],Table10[Foil Classification],"&gt;0")</f>
        <v>0</v>
      </c>
      <c r="FD145" s="6">
        <f>COUNTIFS(Table11[Country],Tabela1[[#This Row],[Country]],Table11[Foil Classification],"&gt;0")</f>
        <v>0</v>
      </c>
      <c r="FE145" s="6">
        <f>COUNTIFS(Table46[Country],Tabela1[[#This Row],[Country]],Table46[Men''s Foil Classification],"&gt;0")</f>
        <v>0</v>
      </c>
      <c r="FF145" s="6">
        <f>COUNTIFS(Table46[Country],Tabela1[[#This Row],[Country]],Table46[Women''s Foil Classification],"&gt;0")</f>
        <v>0</v>
      </c>
      <c r="FG145" s="6">
        <f>COUNTIFS(Table10[Country],Tabela1[[#This Row],[Country]],Table10[Sabre Classification],"&gt;0")</f>
        <v>0</v>
      </c>
      <c r="FH145" s="6">
        <f>COUNTIFS(Table11[Country],Tabela1[[#This Row],[Country]],Table11[Sabre Classification],"&gt;0")</f>
        <v>0</v>
      </c>
      <c r="FI145" s="6">
        <f>COUNTIFS(Table46[Country],Tabela1[[#This Row],[Country]],Table46[Men''s Sabre Classification],"&gt;0")</f>
        <v>0</v>
      </c>
      <c r="FJ145" s="6">
        <f>COUNTIFS(Table46[Country],Tabela1[[#This Row],[Country]],Table46[Women''s Sabre Classification],"&gt;0")</f>
        <v>0</v>
      </c>
      <c r="FK145" s="6">
        <f>COUNTIFS(Table91[Country],Tabela1[[#This Row],[Country]],Table91[Men''s Classification],"&gt;0")</f>
        <v>0</v>
      </c>
      <c r="FL145" s="6">
        <f>COUNTIFS(Table91[Country],Tabela1[[#This Row],[Country]],Table91[Women''s Classification],"&gt;0")</f>
        <v>0</v>
      </c>
      <c r="FM145" s="6">
        <f>COUNTIFS(Table9194[Country],Tabela1[[#This Row],[Country]],Table9194[Men''s Classification],"&gt;0")</f>
        <v>0</v>
      </c>
      <c r="FN145" s="6">
        <f>COUNTIFS(Table9194[Country],Tabela1[[#This Row],[Country]],Table9194[Women''s Classification],"&gt;0")</f>
        <v>0</v>
      </c>
      <c r="FO145" s="6">
        <f>COUNTIFS(Table71[Country],Tabela1[[#This Row],[Country]],Table71[Classification],"&gt;0")</f>
        <v>0</v>
      </c>
      <c r="FP145" s="6">
        <f>COUNTIFS(Table62[Country],Tabela1[[#This Row],[Country]],Table62[Classification],"&gt;0")</f>
        <v>0</v>
      </c>
      <c r="FQ145" s="6">
        <f>COUNTIFS(Table47[Country],Tabela1[[#This Row],[Country]],Table47[All-Around Classification],"&gt;0")</f>
        <v>0</v>
      </c>
      <c r="FR145" s="6">
        <f>COUNTIFS(Table48[Country],Tabela1[[#This Row],[Country]],Table48[All-Around Classification],"&gt;0")</f>
        <v>0</v>
      </c>
      <c r="FS145" s="6">
        <f>COUNTIFS(Table81[Country],Tabela1[[#This Row],[Country]],Table81[Men''s All-Around Classification],"&gt;0")</f>
        <v>0</v>
      </c>
      <c r="FT145" s="6">
        <f>COUNTIFS(Table81[Country],Tabela1[[#This Row],[Country]],Table81[Women''s All-Around Classification],"&gt;0")</f>
        <v>0</v>
      </c>
      <c r="FU145" s="6">
        <f>COUNTIFS(Table48[Country],Tabela1[[#This Row],[Country]],Table48[Balance Beam Classification],"&gt;0")</f>
        <v>0</v>
      </c>
      <c r="FV145" s="6">
        <f>COUNTIFS(Table47[Country],Tabela1[[#This Row],[Country]],Table47[Floor Exercise Classification],"&gt;0")</f>
        <v>0</v>
      </c>
      <c r="FW145" s="6">
        <f>COUNTIFS(Table48[Country],Tabela1[[#This Row],[Country]],Table48[Floor Exercise Classification],"&gt;0")</f>
        <v>0</v>
      </c>
      <c r="FX145" s="6">
        <f>COUNTIFS(Table47[Country],Tabela1[[#This Row],[Country]],Table47[Horizontal Bar Classification],"&gt;0")</f>
        <v>0</v>
      </c>
      <c r="FY145" s="6">
        <f>COUNTIFS(Table47[Country],Tabela1[[#This Row],[Country]],Table47[Parallel Bars Classification],"&gt;0")</f>
        <v>0</v>
      </c>
      <c r="FZ145" s="6">
        <f>COUNTIFS(Table47[Country],Tabela1[[#This Row],[Country]],Table47[Pommel Horse Classification],"&gt;0")</f>
        <v>0</v>
      </c>
      <c r="GA145" s="6">
        <f>COUNTIFS(Table47[Country],Tabela1[[#This Row],[Country]],Table47[Rings Classification],"&gt;0")</f>
        <v>0</v>
      </c>
      <c r="GB145" s="6">
        <f>COUNTIFS(Tabela132[Country],Tabela1[[#This Row],[Country]],Tabela132[Classification],"&gt;0")</f>
        <v>0</v>
      </c>
      <c r="GC145" s="6">
        <f>COUNTIFS(Tabela139[Country],Tabela1[[#This Row],[Country]],Tabela139[Classification],"&gt;0")</f>
        <v>0</v>
      </c>
      <c r="GD145" s="6">
        <f>COUNTIFS(Table48[Country],Tabela1[[#This Row],[Country]],Table48[Uneven Bars Classification],"&gt;0")</f>
        <v>0</v>
      </c>
      <c r="GE145" s="6">
        <f>COUNTIFS(Table47[Country],Tabela1[[#This Row],[Country]],Table47[Vault Classification],"&gt;0")</f>
        <v>0</v>
      </c>
      <c r="GF145" s="6">
        <f>COUNTIFS(Table48[Country],Tabela1[[#This Row],[Country]],Table48[Vault Classification],"&gt;0")</f>
        <v>0</v>
      </c>
      <c r="GG145" s="6">
        <f>COUNTIFS(Table919496[Country],Tabela1[[#This Row],[Country]],Table919496[Men''s Classification],"&gt;0")</f>
        <v>0</v>
      </c>
      <c r="GH145" s="6">
        <f>COUNTIFS(Table919496[Country],Tabela1[[#This Row],[Country]],Table919496[Women''s Classification],"&gt;0")</f>
        <v>0</v>
      </c>
      <c r="GI145" s="6">
        <f>COUNTIFS(Table12[Country],Tabela1[[#This Row],[Country]],Table12[60kg Classification],"&gt;0")</f>
        <v>0</v>
      </c>
      <c r="GJ145" s="6">
        <f>COUNTIFS(Table12[Country],Tabela1[[#This Row],[Country]],Table12[66kg Classification],"&gt;0")</f>
        <v>0</v>
      </c>
      <c r="GK145" s="6">
        <f>COUNTIFS(Table12[Country],Tabela1[[#This Row],[Country]],Table12[73kg Classification],"&gt;0")</f>
        <v>0</v>
      </c>
      <c r="GL145" s="6">
        <f>COUNTIFS(Table12[Country],Tabela1[[#This Row],[Country]],Table12[81kg Classification],"&gt;0")</f>
        <v>0</v>
      </c>
      <c r="GM145" s="6">
        <f>COUNTIFS(Table12[Country],Tabela1[[#This Row],[Country]],Table12[90kg Classification],"&gt;0")</f>
        <v>1</v>
      </c>
      <c r="GN145" s="6">
        <f>COUNTIFS(Table12[Country],Tabela1[[#This Row],[Country]],Table12[100kg Classification],"&gt;0")</f>
        <v>0</v>
      </c>
      <c r="GO145" s="6">
        <f>COUNTIFS(Table12[Country],Tabela1[[#This Row],[Country]],Table12[Plus 100kg Classification],"&gt;0")</f>
        <v>0</v>
      </c>
      <c r="GP145" s="6">
        <f>COUNTIFS(Table13[Country],Tabela1[[#This Row],[Country]],Table13[48kg Classification],"&gt;0")</f>
        <v>0</v>
      </c>
      <c r="GQ145" s="6">
        <f>COUNTIFS(Table13[Country],Tabela1[[#This Row],[Country]],Table13[52kg Classification],"&gt;0")</f>
        <v>0</v>
      </c>
      <c r="GR145" s="6">
        <f>COUNTIFS(Table13[Country],Tabela1[[#This Row],[Country]],Table13[57kg Classification],"&gt;0")</f>
        <v>0</v>
      </c>
      <c r="GS145" s="6">
        <f>COUNTIFS(Table13[Country],Tabela1[[#This Row],[Country]],Table13[63kg Classification],"&gt;0")</f>
        <v>0</v>
      </c>
      <c r="GT145" s="6">
        <f>COUNTIFS(Table13[Country],Tabela1[[#This Row],[Country]],Table13[70kg Classification],"&gt;0")</f>
        <v>0</v>
      </c>
      <c r="GU145" s="6">
        <f>COUNTIFS(Table13[Country],Tabela1[[#This Row],[Country]],Table13[78kg Classification],"&gt;0")</f>
        <v>0</v>
      </c>
      <c r="GV145" s="6">
        <f>COUNTIFS(Table13[Country],Tabela1[[#This Row],[Country]],Table13[Plus 78kg Classification],"&gt;0")</f>
        <v>0</v>
      </c>
      <c r="GW145" s="6">
        <f>COUNTIFS(Table82[Country],Tabela1[[#This Row],[Country]],Table82[Mixed Classification],"&gt;0")</f>
        <v>0</v>
      </c>
      <c r="GX145" s="6">
        <f>COUNTIFS(Table51[Country],Tabela1[[#This Row],[Country]],Table51[Classification],"&gt;0")</f>
        <v>0</v>
      </c>
      <c r="GY145" s="6">
        <f>COUNTIFS(Table52[Country],Tabela1[[#This Row],[Country]],Table52[Classification],"&gt;0")</f>
        <v>0</v>
      </c>
      <c r="GZ145" s="6">
        <f>COUNTIFS(Table32[Country],Tabela1[[#This Row],[Country]],Table32[All-Around Classification],"&gt;0")</f>
        <v>0</v>
      </c>
      <c r="HA145" s="6">
        <f>COUNTIFS(Table49[Country],Tabela1[[#This Row],[Country]],Table49[All-Around Classification],"&gt;0")</f>
        <v>0</v>
      </c>
      <c r="HB145" s="6">
        <f>COUNTIFS(Table26[Country],Tabela1[[#This Row],[Country]],Table26[Single Sculls Classification],"&gt;0")</f>
        <v>0</v>
      </c>
      <c r="HC145" s="6">
        <f>COUNTIFS(Table63[Country],Tabela1[[#This Row],[Country]],Table63[Single Sculls Classification],"&gt;0")</f>
        <v>0</v>
      </c>
      <c r="HD145" s="6">
        <f>COUNTIFS(Table16[Country],Tabela1[[#This Row],[Country]],Table16[Men''s Double Sculls Classification],"&gt;0")</f>
        <v>0</v>
      </c>
      <c r="HE145" s="6">
        <f>COUNTIFS(Table16[Country],Tabela1[[#This Row],[Country]],Table16[Women''s Double Sculls Classification],"&gt;0")</f>
        <v>0</v>
      </c>
      <c r="HF145" s="6">
        <f>COUNTIFS(Table72[Country],Tabela1[[#This Row],[Country]],Table72[Men''s Quadruple Sculls Classification],"&gt;0")</f>
        <v>0</v>
      </c>
      <c r="HG145" s="6">
        <f>COUNTIFS(Table72[Country],Tabela1[[#This Row],[Country]],Table72[Women''s Quadruple Sculls Classification],"&gt;0")</f>
        <v>0</v>
      </c>
      <c r="HH145" s="6">
        <f>COUNTIFS(Table16[Country],Tabela1[[#This Row],[Country]],Table16[Men''s Coxless Pairs Classification],"&gt;0")</f>
        <v>0</v>
      </c>
      <c r="HI145" s="6">
        <f>COUNTIFS(Table16[Country],Tabela1[[#This Row],[Country]],Table16[Women''s Coxless Pairs Classification],"&gt;0")</f>
        <v>0</v>
      </c>
      <c r="HJ145" s="6">
        <f>COUNTIFS(Table72[Country],Tabela1[[#This Row],[Country]],Table72[Men''s Coxless Fours Classification],"&gt;0")</f>
        <v>0</v>
      </c>
      <c r="HK145" s="6">
        <f>COUNTIFS(Table72[Country],Tabela1[[#This Row],[Country]],Table72[Women''s Coxless Fours Classification],"&gt;0")</f>
        <v>0</v>
      </c>
      <c r="HL145" s="6">
        <f>COUNTIFS(Table72[Country],Tabela1[[#This Row],[Country]],Table72[Men''s Eights Classification],"&gt;0")</f>
        <v>0</v>
      </c>
      <c r="HM145" s="6">
        <f>COUNTIFS(Table72[Country],Tabela1[[#This Row],[Country]],Table72[Women''s Eights Classification],"&gt;0")</f>
        <v>0</v>
      </c>
      <c r="HN145" s="6">
        <f>COUNTIFS(Table16[Country],Tabela1[[#This Row],[Country]],Table16[Men''s Lwt. Double Sculls Classification],"&gt;0")</f>
        <v>0</v>
      </c>
      <c r="HO145" s="6">
        <f>COUNTIFS(Table16[Country],Tabela1[[#This Row],[Country]],Table16[Women''s Lwt. Double Sculls Classification],"&gt;0")</f>
        <v>0</v>
      </c>
      <c r="HP145" s="6">
        <f>COUNTIFS(Table91949698[Country],Tabela1[[#This Row],[Country]],Table91949698[Men''s Classification],"&gt;0")</f>
        <v>0</v>
      </c>
      <c r="HQ145" s="6">
        <f>COUNTIFS(Table91949698[Country],Tabela1[[#This Row],[Country]],Table91949698[Women''s Classification],"&gt;0")</f>
        <v>0</v>
      </c>
      <c r="HR145" s="6">
        <f>COUNTIFS(Table25[Country],Tabela1[[#This Row],[Country]],Table25[Mixed 470 Classification],"&gt;0")</f>
        <v>0</v>
      </c>
      <c r="HS145" s="6">
        <f>COUNTIFS(Table25[Country],Tabela1[[#This Row],[Country]],Table25[Men''s 49er Classification],"&gt;0")</f>
        <v>0</v>
      </c>
      <c r="HT145" s="6">
        <f>COUNTIFS(Table25[Country],Tabela1[[#This Row],[Country]],Table25[Women''s 49er FX Classification],"&gt;0")</f>
        <v>0</v>
      </c>
      <c r="HU145" s="6">
        <f>COUNTIFS(Table17[Country],Tabela1[[#This Row],[Country]],Table17[Formula Kite Classification],"&gt;0")</f>
        <v>0</v>
      </c>
      <c r="HV145" s="6">
        <f>COUNTIFS(Table18[Country],Tabela1[[#This Row],[Country]],Table18[Formula Kite Classification],"&gt;0")</f>
        <v>0</v>
      </c>
      <c r="HW145" s="6">
        <f>COUNTIFS(Table17[Country],Tabela1[[#This Row],[Country]],Table17[ILCA 7 Classification],"&gt;0")</f>
        <v>0</v>
      </c>
      <c r="HX145" s="6">
        <f>COUNTIFS(Table18[Country],Tabela1[[#This Row],[Country]],Table18[ILCA 6 Classification],"&gt;0")</f>
        <v>0</v>
      </c>
      <c r="HY145" s="6">
        <f>COUNTIFS(Table17[Country],Tabela1[[#This Row],[Country]],Table17[IQFoil Classification],"&gt;0")</f>
        <v>0</v>
      </c>
      <c r="HZ145" s="6">
        <f>COUNTIFS(Table18[Country],Tabela1[[#This Row],[Country]],Table18[IQFoil Classification],"&gt;0")</f>
        <v>0</v>
      </c>
      <c r="IA145" s="6">
        <f>COUNTIFS(Table25[Country],Tabela1[[#This Row],[Country]],Table25[Mixed Nacra 17 Classification],"&gt;0")</f>
        <v>0</v>
      </c>
      <c r="IB145" s="6">
        <f>COUNTIFS(Table53[Country],Tabela1[[#This Row],[Country]],Table53[10m Air Pistol Classification],"&gt;0")</f>
        <v>0</v>
      </c>
      <c r="IC145" s="6">
        <f>COUNTIFS(Table19[Country],Tabela1[[#This Row],[Country]],Table19[10m Air Pistol Classification],"&gt;0")</f>
        <v>0</v>
      </c>
      <c r="ID145" s="6">
        <f>COUNTIFS(Table54[Country],Tabela1[[#This Row],[Country]],Table54[Mixed 10m Air Pistol Team Classification],"&gt;0")</f>
        <v>0</v>
      </c>
      <c r="IE145" s="6">
        <f>COUNTIFS(Table53[Country],Tabela1[[#This Row],[Country]],Table53[10m Air Rifle Classification],"&gt;0")</f>
        <v>0</v>
      </c>
      <c r="IF145" s="6">
        <f>COUNTIFS(Table19[Country],Tabela1[[#This Row],[Country]],Table19[10m Air Rifle Classification],"&gt;0")</f>
        <v>0</v>
      </c>
      <c r="IG145" s="6">
        <f>COUNTIFS(Table54[Country],Tabela1[[#This Row],[Country]],Table54[Mixed 10m Air Rifle Team Classification],"&gt;0")</f>
        <v>0</v>
      </c>
      <c r="IH145" s="6">
        <f>COUNTIFS(Table53[Country],Tabela1[[#This Row],[Country]],Table53[25m Rapid Fire Pistol Classification],"&gt;0")</f>
        <v>0</v>
      </c>
      <c r="II145" s="6">
        <f>COUNTIFS(Table19[Country],Tabela1[[#This Row],[Country]],Table19[25m Pistol Classification],"&gt;0")</f>
        <v>0</v>
      </c>
      <c r="IJ145" s="6">
        <f>COUNTIFS(Table53[Country],Tabela1[[#This Row],[Country]],Table53[50m Rifle 3 Positions Classification],"&gt;0")</f>
        <v>0</v>
      </c>
      <c r="IK145" s="6">
        <f>COUNTIFS(Table19[Country],Tabela1[[#This Row],[Country]],Table19[50m Rifle 3 Positions Classification],"&gt;0")</f>
        <v>0</v>
      </c>
      <c r="IL145" s="6">
        <f>COUNTIFS(Table53[Country],Tabela1[[#This Row],[Country]],Table53[Skeet Classification],"&gt;0")</f>
        <v>0</v>
      </c>
      <c r="IM145" s="6">
        <f>COUNTIFS(Table19[Country],Tabela1[[#This Row],[Country]],Table19[Skeet Classification],"&gt;0")</f>
        <v>0</v>
      </c>
      <c r="IN145" s="6">
        <f>COUNTIFS(Table54[Country],Tabela1[[#This Row],[Country]],Table54[Mixed Skeet Team Classification],"&gt;0")</f>
        <v>0</v>
      </c>
      <c r="IO145" s="6">
        <f>COUNTIFS(Table53[Country],Tabela1[[#This Row],[Country]],Table53[Trap Classification],"&gt;0")</f>
        <v>0</v>
      </c>
      <c r="IP145" s="6">
        <f>COUNTIFS(Table19[Country],Tabela1[[#This Row],[Country]],Table19[Trap Classification],"&gt;0")</f>
        <v>0</v>
      </c>
      <c r="IQ145" s="6">
        <f>COUNTIFS(Table73[Country],Tabela1[[#This Row],[Country]],Table73[Park Classification],"&gt;0")</f>
        <v>0</v>
      </c>
      <c r="IR145" s="6">
        <f>COUNTIFS(Table74[Country],Tabela1[[#This Row],[Country]],Table74[Park Classification],"&gt;0")</f>
        <v>0</v>
      </c>
      <c r="IS145" s="6">
        <f>COUNTIFS(Table73[Country],Tabela1[[#This Row],[Country]],Table73[Street Classification],"&gt;0")</f>
        <v>0</v>
      </c>
      <c r="IT145" s="6">
        <f>COUNTIFS(Table74[Country],Tabela1[[#This Row],[Country]],Table74[Street Classification],"&gt;0")</f>
        <v>0</v>
      </c>
      <c r="IU145" s="6">
        <f>COUNTIFS(Table75[Country],Tabela1[[#This Row],[Country]],Table75[Boulder and Lead Classification],"&gt;0")</f>
        <v>0</v>
      </c>
      <c r="IV145" s="6">
        <f>COUNTIFS(Table76[Country],Tabela1[[#This Row],[Country]],Table76[Boulder and Lead Classification],"&gt;0")</f>
        <v>0</v>
      </c>
      <c r="IW145" s="6">
        <f>COUNTIFS(Table75[Country],Tabela1[[#This Row],[Country]],Table75[Speed Classification],"&gt;0")</f>
        <v>0</v>
      </c>
      <c r="IX145" s="6">
        <f>COUNTIFS(Table76[Country],Tabela1[[#This Row],[Country]],Table76[Speed Classification],"&gt;0")</f>
        <v>0</v>
      </c>
      <c r="IY145" s="6">
        <f>COUNTIFS(Table64[Country],Tabela1[[#This Row],[Country]],Table64[Shortboard Classification],"&gt;0")</f>
        <v>0</v>
      </c>
      <c r="IZ145" s="6">
        <f>COUNTIFS(Table77[Country],Tabela1[[#This Row],[Country]],Table77[Shortboard Classification],"&gt;0")</f>
        <v>0</v>
      </c>
      <c r="JA145" s="6">
        <f>COUNTIFS(Table20[Country],Tabela1[[#This Row],[Country]],Table20[50m Freestyle Classification],"&gt;0")</f>
        <v>0</v>
      </c>
      <c r="JB145" s="6">
        <f>COUNTIFS(Table21[Country],Tabela1[[#This Row],[Country]],Table21[50m Freestyle Classification],"&gt;0")</f>
        <v>0</v>
      </c>
      <c r="JC145" s="6">
        <f>COUNTIFS(Table20[Country],Tabela1[[#This Row],[Country]],Table20[100m Freestyle Classification],"&gt;0")</f>
        <v>0</v>
      </c>
      <c r="JD145" s="6">
        <f>COUNTIFS(Table21[Country],Tabela1[[#This Row],[Country]],Table21[100m Freestyle Classification],"&gt;0")</f>
        <v>0</v>
      </c>
      <c r="JE145" s="6">
        <f>COUNTIFS(Table20[Country],Tabela1[[#This Row],[Country]],Table20[200m Freestyle Classification],"&gt;0")</f>
        <v>0</v>
      </c>
      <c r="JF145" s="6">
        <f>COUNTIFS(Table21[Country],Tabela1[[#This Row],[Country]],Table21[200m Freestyle Classification],"&gt;0")</f>
        <v>0</v>
      </c>
      <c r="JG145" s="6">
        <f>COUNTIFS(Table20[Country],Tabela1[[#This Row],[Country]],Table20[400m Freestyle Classification],"&gt;0")</f>
        <v>0</v>
      </c>
      <c r="JH145" s="6">
        <f>COUNTIFS(Table21[Country],Tabela1[[#This Row],[Country]],Table21[400m Freestyle Classification],"&gt;0")</f>
        <v>0</v>
      </c>
      <c r="JI145" s="6">
        <f>COUNTIFS(Table20[Country],Tabela1[[#This Row],[Country]],Table20[800m Freestyle Classification],"&gt;0")</f>
        <v>0</v>
      </c>
      <c r="JJ145" s="6">
        <f>COUNTIFS(Table21[Country],Tabela1[[#This Row],[Country]],Table21[800m Freestyle Classification],"&gt;0")</f>
        <v>0</v>
      </c>
      <c r="JK145" s="6">
        <f>COUNTIFS(Table20[Country],Tabela1[[#This Row],[Country]],Table20[1500m Freestyle Classification],"&gt;0")</f>
        <v>0</v>
      </c>
      <c r="JL145" s="6">
        <f>COUNTIFS(Table21[Country],Tabela1[[#This Row],[Country]],Table21[1500m Freestyle Classification],"&gt;0")</f>
        <v>0</v>
      </c>
      <c r="JM145" s="6">
        <f>COUNTIFS(Table20[Country],Tabela1[[#This Row],[Country]],Table20[100m Backstroke Classification],"&gt;0")</f>
        <v>0</v>
      </c>
      <c r="JN145" s="6">
        <f>COUNTIFS(Table21[Country],Tabela1[[#This Row],[Country]],Table21[100m Backstroke Classification],"&gt;0")</f>
        <v>0</v>
      </c>
      <c r="JO145" s="6">
        <f>COUNTIFS(Table20[Country],Tabela1[[#This Row],[Country]],Table20[200m Backstroke Classification],"&gt;0")</f>
        <v>0</v>
      </c>
      <c r="JP145" s="6">
        <f>COUNTIFS(Table21[Country],Tabela1[[#This Row],[Country]],Table21[200m Backstroke Classification],"&gt;0")</f>
        <v>0</v>
      </c>
      <c r="JQ145" s="6">
        <f>COUNTIFS(Table20[Country],Tabela1[[#This Row],[Country]],Table20[100m Breaststroke Classification],"&gt;0")</f>
        <v>0</v>
      </c>
      <c r="JR145" s="6">
        <f>COUNTIFS(Table21[Country],Tabela1[[#This Row],[Country]],Table21[100m Breaststroke Classification],"&gt;0")</f>
        <v>0</v>
      </c>
      <c r="JS145" s="6">
        <f>COUNTIFS(Table20[Country],Tabela1[[#This Row],[Country]],Table20[200m Breaststroke Classification],"&gt;0")</f>
        <v>0</v>
      </c>
      <c r="JT145" s="6">
        <f>COUNTIFS(Table21[Country],Tabela1[[#This Row],[Country]],Table21[200m Breaststroke Classification],"&gt;0")</f>
        <v>0</v>
      </c>
      <c r="JU145" s="6">
        <f>COUNTIFS(Table20[Country],Tabela1[[#This Row],[Country]],Table20[100m Butterfly Classification],"&gt;0")</f>
        <v>0</v>
      </c>
      <c r="JV145" s="6">
        <f>COUNTIFS(Table21[Country],Tabela1[[#This Row],[Country]],Table21[100m Butterfly Classification],"&gt;0")</f>
        <v>0</v>
      </c>
      <c r="JW145" s="6">
        <f>COUNTIFS(Table20[Country],Tabela1[[#This Row],[Country]],Table20[200m Butterfly Classification],"&gt;0")</f>
        <v>0</v>
      </c>
      <c r="JX145" s="6">
        <f>COUNTIFS(Table21[Country],Tabela1[[#This Row],[Country]],Table21[200m Butterfly Classification],"&gt;0")</f>
        <v>0</v>
      </c>
      <c r="JY145" s="6">
        <f>COUNTIFS(Table20[Country],Tabela1[[#This Row],[Country]],Table20[200m Medley Classification],"&gt;0")</f>
        <v>0</v>
      </c>
      <c r="JZ145" s="6">
        <f>COUNTIFS(Table21[Country],Tabela1[[#This Row],[Country]],Table21[200m Medley Classification],"&gt;0")</f>
        <v>0</v>
      </c>
      <c r="KA145" s="6">
        <f>COUNTIFS(Table20[Country],Tabela1[[#This Row],[Country]],Table20[400m Medley Classification],"&gt;0")</f>
        <v>0</v>
      </c>
      <c r="KB145" s="6">
        <f>COUNTIFS(Table21[Country],Tabela1[[#This Row],[Country]],Table21[400m Medley Classification],"&gt;0")</f>
        <v>0</v>
      </c>
      <c r="KC145" s="6">
        <f>COUNTIFS(Table78[Country],Tabela1[[#This Row],[Country]],Table78[Men''s 4x100m Freestyle Relay Classification],"&gt;0")</f>
        <v>0</v>
      </c>
      <c r="KD145" s="6">
        <f>COUNTIFS(Table78[Country],Tabela1[[#This Row],[Country]],Table78[Women''s 4x100m Freestyle Relay Classification],"&gt;0")</f>
        <v>0</v>
      </c>
      <c r="KE145" s="6">
        <f>COUNTIFS(Table78[Country],Tabela1[[#This Row],[Country]],Table78[Men''s 4x200m Freestyle Relay Classification],"&gt;0")</f>
        <v>0</v>
      </c>
      <c r="KF145" s="6">
        <f>COUNTIFS(Table78[Country],Tabela1[[#This Row],[Country]],Table78[Women''s 4x200m Freestyle Relay Classification],"&gt;0")</f>
        <v>0</v>
      </c>
      <c r="KG145" s="6">
        <f>COUNTIFS(Table78[Country],Tabela1[[#This Row],[Country]],Table78[Men''s 4x100m Medley Relay Classification],"&gt;0")</f>
        <v>0</v>
      </c>
      <c r="KH145" s="6">
        <f>COUNTIFS(Table78[Country],Tabela1[[#This Row],[Country]],Table78[Women''s 4x100m Medley Relay Classification],"&gt;0")</f>
        <v>0</v>
      </c>
      <c r="KI145" s="6">
        <f>COUNTIFS(Table78[Country],Tabela1[[#This Row],[Country]],Table78[Mixed 4x100m Medley Relay Classification],"&gt;0")</f>
        <v>0</v>
      </c>
      <c r="KJ145" s="6">
        <f>COUNTIFS(Table20[Country],Tabela1[[#This Row],[Country]],Table20[10km Open Water Classification],"&gt;0")</f>
        <v>0</v>
      </c>
      <c r="KK145" s="6">
        <f>COUNTIFS(Table21[Country],Tabela1[[#This Row],[Country]],Table21[10km Open Water Classification],"&gt;0")</f>
        <v>0</v>
      </c>
      <c r="KL145" s="6">
        <f>COUNTIFS(Table22[Country],Tabela1[[#This Row],[Country]],Table22[Classification],"&gt;0")</f>
        <v>0</v>
      </c>
      <c r="KM145" s="6">
        <f>COUNTIFS(Table30[Country],Tabela1[[#This Row],[Country]],Table30[Classification],"&gt;0")</f>
        <v>0</v>
      </c>
      <c r="KN145" s="6">
        <f>COUNTIFS(Table55[Country],Tabela1[[#This Row],[Country]],Table55[Men''s Classification],"&gt;0")</f>
        <v>0</v>
      </c>
      <c r="KO145" s="6">
        <f>COUNTIFS(Table55[Country],Tabela1[[#This Row],[Country]],Table55[Women''s Classification],"&gt;0")</f>
        <v>0</v>
      </c>
      <c r="KP145" s="6">
        <f>COUNTIFS(Table56[Country],Tabela1[[#This Row],[Country]],Table56[Mixed Classification],"&gt;0")</f>
        <v>0</v>
      </c>
      <c r="KQ145" s="6">
        <f>COUNTIFS(Table29[Country],Tabela1[[#This Row],[Country]],Table29[58kg Classification],"&gt;0")</f>
        <v>0</v>
      </c>
      <c r="KR145" s="6">
        <f>COUNTIFS(Table29[Country],Tabela1[[#This Row],[Country]],Table29[68kg Classification],"&gt;0")</f>
        <v>0</v>
      </c>
      <c r="KS145" s="6">
        <f>COUNTIFS(Table29[Country],Tabela1[[#This Row],[Country]],Table29[80kg Classification],"&gt;0")</f>
        <v>0</v>
      </c>
      <c r="KT145" s="6">
        <f>COUNTIFS(Table29[Country],Tabela1[[#This Row],[Country]],Table29[Plus 80kg Classification],"&gt;0")</f>
        <v>0</v>
      </c>
      <c r="KU145" s="6">
        <f>COUNTIFS(Table34[Country],Tabela1[[#This Row],[Country]],Table34[49kg Classification],"&gt;0")</f>
        <v>0</v>
      </c>
      <c r="KV145" s="6">
        <f>COUNTIFS(Table34[Country],Tabela1[[#This Row],[Country]],Table34[57kg Classification],"&gt;0")</f>
        <v>0</v>
      </c>
      <c r="KW145" s="6">
        <f>COUNTIFS(Table34[Country],Tabela1[[#This Row],[Country]],Table34[67kg Classification],"&gt;0")</f>
        <v>0</v>
      </c>
      <c r="KX145" s="6">
        <f>COUNTIFS(Table34[Country],Tabela1[[#This Row],[Country]],Table34[Plus 67kg Classification],"&gt;0")</f>
        <v>0</v>
      </c>
      <c r="KY145" s="6">
        <f>COUNTIFS(Table57[Country],Tabela1[[#This Row],[Country]],Table57[Classification],"&gt;0")</f>
        <v>0</v>
      </c>
      <c r="KZ145" s="6">
        <f>COUNTIFS(Table58[Country],Tabela1[[#This Row],[Country]],Table58[Classification],"&gt;0")</f>
        <v>0</v>
      </c>
      <c r="LA145" s="6">
        <f>COUNTIFS(Table79[Country],Tabela1[[#This Row],[Country]],Table79[Men''s Classification],"&gt;0")</f>
        <v>0</v>
      </c>
      <c r="LB145" s="6">
        <f>COUNTIFS(Table79[Country],Tabela1[[#This Row],[Country]],Table79[Women''s Classification],"&gt;0")</f>
        <v>0</v>
      </c>
      <c r="LC145" s="6">
        <f>COUNTIFS(Table79[Country],Tabela1[[#This Row],[Country]],Table79[Mixed Classification],"&gt;0")</f>
        <v>0</v>
      </c>
      <c r="LD145" s="6">
        <f>COUNTIFS(Table65[Country],Tabela1[[#This Row],[Country]],Table65[Classification],"&gt;0")</f>
        <v>0</v>
      </c>
      <c r="LE145" s="6">
        <f>COUNTIFS(Table59[Country],Tabela1[[#This Row],[Country]],Table59[Classification],"&gt;0")</f>
        <v>0</v>
      </c>
      <c r="LF145" s="6">
        <f>COUNTIFS(Table87[Country],Tabela1[[#This Row],[Country]],Table87[Mixed Relay Classification],"&gt;0")</f>
        <v>0</v>
      </c>
      <c r="LG145" s="6">
        <f>COUNTIFS(Table91949698100[Country],Tabela1[[#This Row],[Country]],Table91949698100[Men''s Classification],"&gt;0")</f>
        <v>0</v>
      </c>
      <c r="LH145" s="6">
        <f>COUNTIFS(Table91949698100[Country],Tabela1[[#This Row],[Country]],Table91949698100[Women''s Classification],"&gt;0")</f>
        <v>0</v>
      </c>
      <c r="LI145" s="6">
        <f>COUNTIFS(Table91949698100102[Country],Tabela1[[#This Row],[Country]],Table91949698100102[Men''s Classification],"&gt;0")</f>
        <v>0</v>
      </c>
      <c r="LJ145" s="6">
        <f>COUNTIFS(Table91949698100102[Country],Tabela1[[#This Row],[Country]],Table91949698100102[Women''s Classification],"&gt;0")</f>
        <v>0</v>
      </c>
      <c r="LK145" s="6">
        <f>COUNTIFS(Table23[Country],Tabela1[[#This Row],[Country]],Table23[61kg Classification],"&gt;0")</f>
        <v>0</v>
      </c>
      <c r="LL145" s="6">
        <f>COUNTIFS(Table23[Country],Tabela1[[#This Row],[Country]],Table23[73kg Classification],"&gt;0")</f>
        <v>0</v>
      </c>
      <c r="LM145" s="6">
        <f>COUNTIFS(Table23[Country],Tabela1[[#This Row],[Country]],Table23[89kg Classification],"&gt;0")</f>
        <v>0</v>
      </c>
      <c r="LN145" s="6">
        <f>COUNTIFS(Table23[Country],Tabela1[[#This Row],[Country]],Table23[102kg Classification],"&gt;0")</f>
        <v>0</v>
      </c>
      <c r="LO145" s="6">
        <f>COUNTIFS(Table23[Country],Tabela1[[#This Row],[Country]],Table23[Plus 102kg Classification],"&gt;0")</f>
        <v>0</v>
      </c>
      <c r="LP145" s="6">
        <f>COUNTIFS(Table28[Country],Tabela1[[#This Row],[Country]],Table28[49kg Classification],"&gt;0")</f>
        <v>0</v>
      </c>
      <c r="LQ145" s="6">
        <f>COUNTIFS(Table28[Country],Tabela1[[#This Row],[Country]],Table28[59kg Classification],"&gt;0")</f>
        <v>0</v>
      </c>
      <c r="LR145" s="6">
        <f>COUNTIFS(Table28[Country],Tabela1[[#This Row],[Country]],Table28[71kg Classification],"&gt;0")</f>
        <v>0</v>
      </c>
      <c r="LS145" s="6">
        <f>COUNTIFS(Table28[Country],Tabela1[[#This Row],[Country]],Table28[81kg Classification],"&gt;0")</f>
        <v>0</v>
      </c>
      <c r="LT145" s="6">
        <f>COUNTIFS(Table28[Country],Tabela1[[#This Row],[Country]],Table28[Plus 81kg Classification],"&gt;0")</f>
        <v>0</v>
      </c>
      <c r="LU145" s="6">
        <f>COUNTIFS(Table24[Country],Tabela1[[#This Row],[Country]],Table24[Freestyle 57kg Classification],"&gt;0")</f>
        <v>0</v>
      </c>
      <c r="LV145" s="6">
        <f>COUNTIFS(Table24[Country],Tabela1[[#This Row],[Country]],Table24[Freestyle 65kg Classification],"&gt;0")</f>
        <v>0</v>
      </c>
      <c r="LW145" s="6">
        <f>COUNTIFS(Table24[Country],Tabela1[[#This Row],[Country]],Table24[Freestyle 74kg Classification],"&gt;0")</f>
        <v>0</v>
      </c>
      <c r="LX145" s="6">
        <f>COUNTIFS(Table24[Country],Tabela1[[#This Row],[Country]],Table24[Freestyle 86kg Classification],"&gt;0")</f>
        <v>0</v>
      </c>
      <c r="LY145" s="6">
        <f>COUNTIFS(Table24[Country],Tabela1[[#This Row],[Country]],Table24[Freestyle 97kg Classification],"&gt;0")</f>
        <v>0</v>
      </c>
      <c r="LZ145" s="6">
        <f>COUNTIFS(Table24[Country],Tabela1[[#This Row],[Country]],Table24[Freestyle 125kg Classification],"&gt;0")</f>
        <v>0</v>
      </c>
      <c r="MA145" s="6">
        <f>COUNTIFS(Table24[Country],Tabela1[[#This Row],[Country]],Table24[Greco-Roman 60kg Classification],"&gt;0")</f>
        <v>0</v>
      </c>
      <c r="MB145" s="6">
        <f>COUNTIFS(Table24[Country],Tabela1[[#This Row],[Country]],Table24[Greco-Roman 67kg Classification],"&gt;0")</f>
        <v>0</v>
      </c>
      <c r="MC145" s="6">
        <f>COUNTIFS(Table24[Country],Tabela1[[#This Row],[Country]],Table24[Greco-Roman 77kg Classification],"&gt;0")</f>
        <v>0</v>
      </c>
      <c r="MD145" s="6">
        <f>COUNTIFS(Table24[Country],Tabela1[[#This Row],[Country]],Table24[Greco-Roman 87kg Classification],"&gt;0")</f>
        <v>0</v>
      </c>
      <c r="ME145" s="6">
        <f>COUNTIFS(Table24[Country],Tabela1[[#This Row],[Country]],Table24[Greco-Roman 97kg Classification],"&gt;0")</f>
        <v>0</v>
      </c>
      <c r="MF145" s="6">
        <f>COUNTIFS(Table24[Country],Tabela1[[#This Row],[Country]],Table24[Greco-Roman 130kg Classification],"&gt;0")</f>
        <v>0</v>
      </c>
      <c r="MG145" s="6">
        <f>COUNTIFS(Table31[Country],Tabela1[[#This Row],[Country]],Table31[50kg Classification],"&gt;0")</f>
        <v>0</v>
      </c>
      <c r="MH145" s="6">
        <f>COUNTIFS(Table31[Country],Tabela1[[#This Row],[Country]],Table31[53kg Classification],"&gt;0")</f>
        <v>0</v>
      </c>
      <c r="MI145" s="6">
        <f>COUNTIFS(Table31[Country],Tabela1[[#This Row],[Country]],Table31[57kg Classification],"&gt;0")</f>
        <v>0</v>
      </c>
      <c r="MJ145" s="6">
        <f>COUNTIFS(Table31[Country],Tabela1[[#This Row],[Country]],Table31[62kg Classification],"&gt;0")</f>
        <v>0</v>
      </c>
      <c r="MK145" s="6">
        <f>COUNTIFS(Table31[Country],Tabela1[[#This Row],[Country]],Table31[68kg Classification],"&gt;0")</f>
        <v>0</v>
      </c>
      <c r="ML145" s="6">
        <f>COUNTIFS(Table31[Country],Tabela1[[#This Row],[Country]],Table31[76kg Classification],"&gt;0")</f>
        <v>0</v>
      </c>
      <c r="MM145" s="6">
        <f>COUNTIFS(Table102[Country],Tabela1[[#This Row],[Country]],Table102[Downhill Classification],"&gt;0")</f>
        <v>0</v>
      </c>
      <c r="MN145" s="6">
        <f>COUNTIFS(Table102105[Country],Tabela1[[#This Row],[Country]],Table102105[Downhill Classification],"&gt;0")</f>
        <v>0</v>
      </c>
      <c r="MO145" s="6">
        <f>COUNTIFS(Table102[Country],Tabela1[[#This Row],[Country]],Table102[Giant Slalom Classification],"&gt;0")</f>
        <v>0</v>
      </c>
      <c r="MP145" s="6">
        <f>COUNTIFS(Table102105[Country],Tabela1[[#This Row],[Country]],Table102105[Giant Slalom Classification],"&gt;0")</f>
        <v>0</v>
      </c>
      <c r="MQ145" s="6">
        <f>COUNTIFS(Table102[Country],Tabela1[[#This Row],[Country]],Table102[Slalom Classification],"&gt;0")</f>
        <v>0</v>
      </c>
      <c r="MR145" s="6">
        <f>COUNTIFS(Table102105[Country],Tabela1[[#This Row],[Country]],Table102105[Slalom Classification],"&gt;0")</f>
        <v>0</v>
      </c>
      <c r="MS145" s="6">
        <f>COUNTIFS(Table102[Country],Tabela1[[#This Row],[Country]],Table102[Super-G Classification],"&gt;0")</f>
        <v>0</v>
      </c>
      <c r="MT145" s="6">
        <f>COUNTIFS(Table102105[Country],Tabela1[[#This Row],[Country]],Table102105[Super-G Classification],"&gt;0")</f>
        <v>0</v>
      </c>
      <c r="MU145" s="6">
        <f>COUNTIFS(Table105[Country],Tabela1[[#This Row],[Country]],Table105[Men''s Combined Classification],"&gt;0")</f>
        <v>0</v>
      </c>
      <c r="MV145" s="6">
        <f>COUNTIFS(Table105[Country],Tabela1[[#This Row],[Country]],Table105[Women''s Combined Classification],"&gt;0")</f>
        <v>0</v>
      </c>
      <c r="MW145" s="6">
        <f>COUNTIFS(Table106[Country],Tabela1[[#This Row],[Country]],Table106[Individual Classification],"&gt;0")</f>
        <v>0</v>
      </c>
      <c r="MX145" s="6">
        <f>COUNTIFS(Table106109[Country],Tabela1[[#This Row],[Country]],Table106109[Individual Classification],"&gt;0")</f>
        <v>0</v>
      </c>
      <c r="MY145" s="6">
        <f>COUNTIFS(Table106[Country],Tabela1[[#This Row],[Country]],Table106[Mass Start Classification],"&gt;0")</f>
        <v>0</v>
      </c>
      <c r="MZ145" s="6">
        <f>COUNTIFS(Table106109[Country],Tabela1[[#This Row],[Country]],Table106109[Mass Start Classification],"&gt;0")</f>
        <v>0</v>
      </c>
      <c r="NA145" s="6">
        <f>COUNTIFS(Table106[Country],Tabela1[[#This Row],[Country]],Table106[Pursuit Classification],"&gt;0")</f>
        <v>0</v>
      </c>
      <c r="NB145" s="6">
        <f>COUNTIFS(Table106109[Country],Tabela1[[#This Row],[Country]],Table106109[Pursuit Classification],"&gt;0")</f>
        <v>0</v>
      </c>
      <c r="NC145" s="6">
        <f>COUNTIFS(Table106[Country],Tabela1[[#This Row],[Country]],Table106[Sprint Classification],"&gt;0")</f>
        <v>0</v>
      </c>
      <c r="ND145" s="6">
        <f>COUNTIFS(Table106109[Country],Tabela1[[#This Row],[Country]],Table106109[Sprint Classification],"&gt;0")</f>
        <v>0</v>
      </c>
      <c r="NE145" s="6">
        <f>COUNTIFS(Table109[Country],Tabela1[[#This Row],[Country]],Table109[Men''s Relay Classification],"&gt;0")</f>
        <v>0</v>
      </c>
      <c r="NF145" s="6">
        <f>COUNTIFS(Table109[Country],Tabela1[[#This Row],[Country]],Table109[Women''s Relay Classification],"&gt;0")</f>
        <v>0</v>
      </c>
      <c r="NG145" s="6">
        <f>COUNTIFS(Table109[Country],Tabela1[[#This Row],[Country]],Table109[Mixed Relay Classification],"&gt;0")</f>
        <v>0</v>
      </c>
      <c r="NH145" s="6">
        <f>COUNTIFS(Table110[Country],Tabela1[[#This Row],[Country]],Table110[Monobob Classification],"&gt;0")</f>
        <v>0</v>
      </c>
      <c r="NI145" s="6">
        <f>COUNTIFS(Table111[Country],Tabela1[[#This Row],[Country]],Table111[Men''s Classification],"&gt;0")</f>
        <v>0</v>
      </c>
      <c r="NJ145" s="6">
        <f>COUNTIFS(Table111[Country],Tabela1[[#This Row],[Country]],Table111[Women''s Classification],"&gt;0")</f>
        <v>0</v>
      </c>
      <c r="NK145" s="6">
        <f>COUNTIFS(Table112[Country],Tabela1[[#This Row],[Country]],Table112[Men''s Four Classification],"&gt;0")</f>
        <v>0</v>
      </c>
      <c r="NL145" s="6">
        <f>COUNTIFS(Table113[Country],Tabela1[[#This Row],[Country]],Table113[Classical Classification],"&gt;0")</f>
        <v>0</v>
      </c>
      <c r="NM145" s="6">
        <f>COUNTIFS(Table113116[Country],Tabela1[[#This Row],[Country]],Table113116[Classical Classification],"&gt;0")</f>
        <v>0</v>
      </c>
      <c r="NN145" s="6">
        <f>COUNTIFS(Table113[Country],Tabela1[[#This Row],[Country]],Table113[Freestyle Classification],"&gt;0")</f>
        <v>0</v>
      </c>
      <c r="NO145" s="6">
        <f>COUNTIFS(Table113116[Country],Tabela1[[#This Row],[Country]],Table113116[Freestyle Classification],"&gt;0")</f>
        <v>0</v>
      </c>
      <c r="NP145" s="6">
        <f>COUNTIFS(Table117[Country],Tabela1[[#This Row],[Country]],Table117[Men''s Relay Classification],"&gt;0")</f>
        <v>0</v>
      </c>
      <c r="NQ145" s="6">
        <f>COUNTIFS(Table117[Country],Tabela1[[#This Row],[Country]],Table117[Women''s Relay Classification],"&gt;0")</f>
        <v>0</v>
      </c>
      <c r="NR145" s="6">
        <f>COUNTIFS(Table113[Country],Tabela1[[#This Row],[Country]],Table113[Skiathlon Classification],"&gt;0")</f>
        <v>0</v>
      </c>
      <c r="NS145" s="6">
        <f>COUNTIFS(Table113116[Country],Tabela1[[#This Row],[Country]],Table113116[Skiathlon Classification],"&gt;0")</f>
        <v>0</v>
      </c>
      <c r="NT145" s="6">
        <f>COUNTIFS(Table113[Country],Tabela1[[#This Row],[Country]],Table113[Sprint Classification],"&gt;0")</f>
        <v>0</v>
      </c>
      <c r="NU145" s="6">
        <f>COUNTIFS(Table113116[Country],Tabela1[[#This Row],[Country]],Table113116[Sprint Classification],"&gt;0")</f>
        <v>0</v>
      </c>
      <c r="NV145" s="6">
        <f>COUNTIFS(Table116[Country],Tabela1[[#This Row],[Country]],Table116[Men''s Team Sprint Classification],"&gt;0")</f>
        <v>0</v>
      </c>
      <c r="NW145" s="6">
        <f>COUNTIFS(Table116[Country],Tabela1[[#This Row],[Country]],Table116[Women''s Team Sprint Classification],"&gt;0")</f>
        <v>0</v>
      </c>
      <c r="NX145" s="6">
        <f>COUNTIFS(Table119[Country],Tabela1[[#This Row],[Country]],Table119[Men''s Classification],"&gt;0")</f>
        <v>0</v>
      </c>
      <c r="NY145" s="6">
        <f>COUNTIFS(Table119[Country],Tabela1[[#This Row],[Country]],Table119[Women''s Classification],"&gt;0")</f>
        <v>0</v>
      </c>
      <c r="NZ145" s="6">
        <f>COUNTIFS(Table118[Country],Tabela1[[#This Row],[Country]],Table118[Mixed Classification],"&gt;0")</f>
        <v>0</v>
      </c>
      <c r="OA145" s="6">
        <f>COUNTIFS(Table120[Country],Tabela1[[#This Row],[Country]],Table120[Classification],"&gt;0")</f>
        <v>0</v>
      </c>
      <c r="OB145" s="6">
        <f>COUNTIFS(Table120123[Country],Tabela1[[#This Row],[Country]],Table120123[Classification],"&gt;0")</f>
        <v>0</v>
      </c>
      <c r="OC145" s="6">
        <f>COUNTIFS(Table123[Country],Tabela1[[#This Row],[Country]],Table123[Ice Dance Classification],"&gt;0")</f>
        <v>0</v>
      </c>
      <c r="OD145" s="6">
        <f>COUNTIFS(Table123[Country],Tabela1[[#This Row],[Country]],Table123[Pair Skating Classification],"&gt;0")</f>
        <v>0</v>
      </c>
      <c r="OE145" s="6">
        <f>COUNTIFS(Table124[Country],Tabela1[[#This Row],[Country]],Table124[Mixed Classification],"&gt;0")</f>
        <v>0</v>
      </c>
      <c r="OF145" s="6">
        <f>COUNTIFS(Table125[Country],Tabela1[[#This Row],[Country]],Table125[Aerials Classification],"&gt;0")</f>
        <v>0</v>
      </c>
      <c r="OG145" s="6">
        <f>COUNTIFS(Table125128[Country],Tabela1[[#This Row],[Country]],Table125128[Aerials Classification],"&gt;0")</f>
        <v>0</v>
      </c>
      <c r="OH145" s="6">
        <f>COUNTIFS(Table128[Country],Tabela1[[#This Row],[Country]],Table128[Mixed Aerials Classification],"&gt;0")</f>
        <v>0</v>
      </c>
      <c r="OI145" s="6">
        <f>COUNTIFS(Table125[Country],Tabela1[[#This Row],[Country]],Table125[Big Air Classification],"&gt;0")</f>
        <v>0</v>
      </c>
      <c r="OJ145" s="6">
        <f>COUNTIFS(Table125128[Country],Tabela1[[#This Row],[Country]],Table125128[Big Air Classification],"&gt;0")</f>
        <v>0</v>
      </c>
      <c r="OK145" s="6">
        <f>COUNTIFS(Table125[Country],Tabela1[[#This Row],[Country]],Table125[Dual Moguls Classification],"&gt;0")</f>
        <v>0</v>
      </c>
      <c r="OL145" s="6">
        <f>COUNTIFS(Table125128[Country],Tabela1[[#This Row],[Country]],Table125128[Dual Moguls Classification],"&gt;0")</f>
        <v>0</v>
      </c>
      <c r="OM145" s="6">
        <f>COUNTIFS(Table125[Country],Tabela1[[#This Row],[Country]],Table125[Halfpipe Classification],"&gt;0")</f>
        <v>0</v>
      </c>
      <c r="ON145" s="6">
        <f>COUNTIFS(Table125128[Country],Tabela1[[#This Row],[Country]],Table125128[Halfpipe Classification],"&gt;0")</f>
        <v>0</v>
      </c>
      <c r="OO145" s="6">
        <f>COUNTIFS(Table125[Country],Tabela1[[#This Row],[Country]],Table125[Moguls Classification],"&gt;0")</f>
        <v>0</v>
      </c>
      <c r="OP145" s="6">
        <f>COUNTIFS(Table125128[Country],Tabela1[[#This Row],[Country]],Table125128[Moguls Classification],"&gt;0")</f>
        <v>0</v>
      </c>
      <c r="OQ145" s="6">
        <f>COUNTIFS(Table125[Country],Tabela1[[#This Row],[Country]],Table125[Ski Cross Classification],"&gt;0")</f>
        <v>0</v>
      </c>
      <c r="OR145" s="6">
        <f>COUNTIFS(Table125128[Country],Tabela1[[#This Row],[Country]],Table125128[Ski Cross Classification],"&gt;0")</f>
        <v>0</v>
      </c>
      <c r="OS145" s="6">
        <f>COUNTIFS(Table125[Country],Tabela1[[#This Row],[Country]],Table125[Slopestyle Classification],"&gt;0")</f>
        <v>0</v>
      </c>
      <c r="OT145" s="6">
        <f>COUNTIFS(Table125128[Country],Tabela1[[#This Row],[Country]],Table125128[Slopestyle Classification],"&gt;0")</f>
        <v>0</v>
      </c>
      <c r="OU145" s="6">
        <f>COUNTIFS(Table119131[Country],Tabela1[[#This Row],[Country]],Table119131[Men''s Classification],"&gt;0")</f>
        <v>0</v>
      </c>
      <c r="OV145" s="6">
        <f>COUNTIFS(Table119131[Country],Tabela1[[#This Row],[Country]],Table119131[Women''s Classification],"&gt;0")</f>
        <v>0</v>
      </c>
      <c r="OW145" s="6">
        <f>COUNTIFS(Table131[Country],Tabela1[[#This Row],[Country]],Table131[Classification],"&gt;0")</f>
        <v>0</v>
      </c>
      <c r="OX145" s="6">
        <f>COUNTIFS(Table131134[Country],Tabela1[[#This Row],[Country]],Table131134[Classification],"&gt;0")</f>
        <v>0</v>
      </c>
      <c r="OY145" s="6">
        <f>COUNTIFS(Table134[Country],Tabela1[[#This Row],[Country]],Table134[Men''s Classification],"&gt;0")</f>
        <v>0</v>
      </c>
      <c r="OZ145" s="6">
        <f>COUNTIFS(Table134[Country],Tabela1[[#This Row],[Country]],Table134[Women''s Classification],"&gt;0")</f>
        <v>0</v>
      </c>
      <c r="PA145" s="6">
        <f>COUNTIFS(Table135[Country],Tabela1[[#This Row],[Country]],Table135[Mixed Relay Classification],"&gt;0")</f>
        <v>0</v>
      </c>
      <c r="PB145" s="6">
        <f>COUNTIFS(Table136[Country],Tabela1[[#This Row],[Country]],Table136[Individual Classification],"&gt;0")</f>
        <v>0</v>
      </c>
      <c r="PC145" s="6">
        <f>COUNTIFS(Table136[Country],Tabela1[[#This Row],[Country]],Table136[Sprint Classification],"&gt;0")</f>
        <v>0</v>
      </c>
      <c r="PD145" s="6">
        <f>COUNTIFS(Table137[Country],Tabela1[[#This Row],[Country]],Table137[Men''s Team Sprint Large Hill Classification],"&gt;0")</f>
        <v>0</v>
      </c>
      <c r="PE145" s="6">
        <f>COUNTIFS(Table138[Country],Tabela1[[#This Row],[Country]],Table138[500m Classification],"&gt;0")</f>
        <v>0</v>
      </c>
      <c r="PF145" s="6">
        <f>COUNTIFS(Table138141[Country],Tabela1[[#This Row],[Country]],Table138141[500m Classification],"&gt;0")</f>
        <v>0</v>
      </c>
      <c r="PG145" s="6">
        <f>COUNTIFS(Table138[Country],Tabela1[[#This Row],[Country]],Table138[1000m Classification],"&gt;0")</f>
        <v>0</v>
      </c>
      <c r="PH145" s="6">
        <f>COUNTIFS(Table138141[Country],Tabela1[[#This Row],[Country]],Table138141[1000m Classification],"&gt;0")</f>
        <v>0</v>
      </c>
      <c r="PI145" s="6">
        <f>COUNTIFS(Table138[Country],Tabela1[[#This Row],[Country]],Table138[1500m Classification],"&gt;0")</f>
        <v>0</v>
      </c>
      <c r="PJ145" s="6">
        <f>COUNTIFS(Table138141[Country],Tabela1[[#This Row],[Country]],Table138141[1500m Classification],"&gt;0")</f>
        <v>0</v>
      </c>
      <c r="PK145" s="6">
        <f>COUNTIFS(Table141[Country],Tabela1[[#This Row],[Country]],Table141[Men''s 5000m Relay Classification],"&gt;0")</f>
        <v>0</v>
      </c>
      <c r="PL145" s="6">
        <f>COUNTIFS(Table141[Country],Tabela1[[#This Row],[Country]],Table141[Women''s 3000m Relay Classification],"&gt;0")</f>
        <v>0</v>
      </c>
      <c r="PM145" s="6">
        <f>COUNTIFS(Table141[Country],Tabela1[[#This Row],[Country]],Table141[Mixed 2000m Relay Classification],"&gt;0")</f>
        <v>0</v>
      </c>
      <c r="PN145" s="6">
        <f>COUNTIFS(Table142[Country],Tabela1[[#This Row],[Country]],Table142[Classification],"&gt;0")</f>
        <v>0</v>
      </c>
      <c r="PO145" s="6">
        <f>COUNTIFS(Table142145[Country],Tabela1[[#This Row],[Country]],Table142145[Classification],"&gt;0")</f>
        <v>0</v>
      </c>
      <c r="PP145" s="6">
        <f>COUNTIFS(Tabela15[Country],Tabela1[[#This Row],[Country]],Tabela15[Mixed Team Classification],"&gt;0")</f>
        <v>0</v>
      </c>
      <c r="PQ145" s="6">
        <f>COUNTIFS(Table145[Country],Tabela1[[#This Row],[Country]],Table145[Large Hill Classification],"&gt;0")</f>
        <v>0</v>
      </c>
      <c r="PR145" s="6">
        <f>COUNTIFS(Table145[Country],Tabela1[[#This Row],[Country]],Table145[Normal Hill Classification],"&gt;0")</f>
        <v>0</v>
      </c>
      <c r="PS145" s="6">
        <f>COUNTIFS(Table145148[Country],Tabela1[[#This Row],[Country]],Table145148[Large Hill Classification],"&gt;0")</f>
        <v>0</v>
      </c>
      <c r="PT145" s="6">
        <f>COUNTIFS(Table145148[Country],Tabela1[[#This Row],[Country]],Table145148[Normal Hill Classification],"&gt;0")</f>
        <v>0</v>
      </c>
      <c r="PU145" s="6">
        <f>COUNTIFS(Table148[Country],Tabela1[[#This Row],[Country]],Table148[Men''s Super Team Classification],"&gt;0")</f>
        <v>0</v>
      </c>
      <c r="PV145" s="6">
        <f>COUNTIFS(Tabela114[Country],Tabela1[[#This Row],[Country]],Tabela114[Mixed Normal Hill Classification],"&gt;0")</f>
        <v>0</v>
      </c>
      <c r="PW145" s="6">
        <f>COUNTIFS(Tabela50[Country],Tabela1[[#This Row],[Country]],Tabela50[Sprint Classification],"&gt;0")</f>
        <v>0</v>
      </c>
      <c r="PX145" s="6">
        <f>COUNTIFS(Tabela50101[Country],Tabela1[[#This Row],[Country]],Tabela50101[Sprint Classification],"&gt;0")</f>
        <v>0</v>
      </c>
      <c r="PY145" s="6">
        <f>COUNTIFS(Tabela103[Country],Tabela1[[#This Row],[Country]],Tabela103[Mixed Relay Classification],"&gt;0")</f>
        <v>0</v>
      </c>
      <c r="PZ145" s="6">
        <f>COUNTIFS(Table149[Country],Tabela1[[#This Row],[Country]],Table149[Big Air Classification],"&gt;0")</f>
        <v>0</v>
      </c>
      <c r="QA145" s="6">
        <f>COUNTIFS(Table149152[Country],Tabela1[[#This Row],[Country]],Table149152[Big Air Classification],"&gt;0")</f>
        <v>0</v>
      </c>
      <c r="QB145" s="6">
        <f>COUNTIFS(Table149[Country],Tabela1[[#This Row],[Country]],Table149[Halfpipe Classification],"&gt;0")</f>
        <v>0</v>
      </c>
      <c r="QC145" s="6">
        <f>COUNTIFS(Table149152[Country],Tabela1[[#This Row],[Country]],Table149152[Halfpipe Classification],"&gt;0")</f>
        <v>0</v>
      </c>
      <c r="QD145" s="6">
        <f>COUNTIFS(Table149[Country],Tabela1[[#This Row],[Country]],Table149[Parallel Giant Slalom Classification],"&gt;0")</f>
        <v>0</v>
      </c>
      <c r="QE145" s="6">
        <f>COUNTIFS(Table149152[Country],Tabela1[[#This Row],[Country]],Table149152[Parallel Giant Slalom Classification],"&gt;0")</f>
        <v>0</v>
      </c>
      <c r="QF145" s="6">
        <f>COUNTIFS(Table149[Country],Tabela1[[#This Row],[Country]],Table149[Slopestyle Classification],"&gt;0")</f>
        <v>0</v>
      </c>
      <c r="QG145" s="6">
        <f>COUNTIFS(Table149152[Country],Tabela1[[#This Row],[Country]],Table149152[Slopestyle Classification],"&gt;0")</f>
        <v>0</v>
      </c>
      <c r="QH145" s="6">
        <f>COUNTIFS(Table149[Country],Tabela1[[#This Row],[Country]],Table149[Snowboard Cross Classification],"&gt;0")</f>
        <v>0</v>
      </c>
      <c r="QI145" s="6">
        <f>COUNTIFS(Table149152[Country],Tabela1[[#This Row],[Country]],Table149152[Snowboard Cross Classification],"&gt;0")</f>
        <v>0</v>
      </c>
      <c r="QJ145" s="6">
        <f>COUNTIFS(Table153[Country],Tabela1[[#This Row],[Country]],Table153[Mixed Team Snowboard Cross Classification],"&gt;0")</f>
        <v>0</v>
      </c>
      <c r="QK145" s="6">
        <f>COUNTIFS(Table154[Country],Tabela1[[#This Row],[Country]],Table154[500m Classification],"&gt;0")</f>
        <v>0</v>
      </c>
      <c r="QL145" s="6">
        <f>COUNTIFS(Table154157[Country],Tabela1[[#This Row],[Country]],Table154157[500m Classification],"&gt;0")</f>
        <v>0</v>
      </c>
      <c r="QM145" s="6">
        <f>COUNTIFS(Table154[Country],Tabela1[[#This Row],[Country]],Table154[1000m Classification],"&gt;0")</f>
        <v>0</v>
      </c>
      <c r="QN145" s="6">
        <f>COUNTIFS(Table154157[Country],Tabela1[[#This Row],[Country]],Table154157[1000m Classification],"&gt;0")</f>
        <v>0</v>
      </c>
      <c r="QO145" s="6">
        <f>COUNTIFS(Table154[Country],Tabela1[[#This Row],[Country]],Table154[1500m Classification],"&gt;0")</f>
        <v>0</v>
      </c>
      <c r="QP145" s="6">
        <f>COUNTIFS(Table154157[Country],Tabela1[[#This Row],[Country]],Table154157[1500m Classification],"&gt;0")</f>
        <v>0</v>
      </c>
      <c r="QQ145" s="6">
        <f>COUNTIFS(Table154157[Country],Tabela1[[#This Row],[Country]],Table154157[3000m Classification],"&gt;0")</f>
        <v>0</v>
      </c>
      <c r="QR145" s="6">
        <f>COUNTIFS(Table154[Country],Tabela1[[#This Row],[Country]],Table154[5000m Classification],"&gt;0")</f>
        <v>0</v>
      </c>
      <c r="QS145" s="6">
        <f>COUNTIFS(Table154157[Country],Tabela1[[#This Row],[Country]],Table154157[5000m Classification],"&gt;0")</f>
        <v>0</v>
      </c>
      <c r="QT145" s="6">
        <f>COUNTIFS(Table154[Country],Tabela1[[#This Row],[Country]],Table154[10000m Classification],"&gt;0")</f>
        <v>0</v>
      </c>
      <c r="QU145" s="6">
        <f>COUNTIFS(Table154[Country],Tabela1[[#This Row],[Country]],Table154[Mass Start Classification],"&gt;0")</f>
        <v>0</v>
      </c>
      <c r="QV145" s="6">
        <f>COUNTIFS(Table154157[Country],Tabela1[[#This Row],[Country]],Table154157[Mass Start Classification],"&gt;0")</f>
        <v>0</v>
      </c>
      <c r="QW145" s="6">
        <f>COUNTIFS(Table157[Country],Tabela1[[#This Row],[Country]],Table157[Men''s Pursuit Classification],"&gt;0")</f>
        <v>0</v>
      </c>
      <c r="QX145" s="6">
        <f>COUNTIFS(Table157[Country],Tabela1[[#This Row],[Country]],Table157[Women''s Pursuit Classification],"&gt;0")</f>
        <v>0</v>
      </c>
      <c r="QY145" s="3" t="s">
        <v>711</v>
      </c>
    </row>
    <row r="146" spans="1:467" x14ac:dyDescent="0.3">
      <c r="A146" s="6">
        <v>145</v>
      </c>
      <c r="B146" s="6" t="s">
        <v>464</v>
      </c>
      <c r="C146" t="e" vm="145">
        <f>IF(ISBLANK(Tabela1[[#This Row],[Image Link]]), "", _xlfn.IMAGE(Tabela1[[#This Row],[Image Link]],1,1))</f>
        <v>#VALUE!</v>
      </c>
      <c r="D146" s="6">
        <f>SUM(Tabela1[[#This Row],[Archery - Men''s Individual Recurve]:[Speed Skating - Women''s Team Pursuit]])</f>
        <v>1</v>
      </c>
      <c r="E146" s="6">
        <f>COUNTIF(Tabela1[[#This Row],[Archery - Men''s Individual Recurve]:[Speed Skating - Women''s Team Pursuit]],"&gt;0")</f>
        <v>1</v>
      </c>
      <c r="F146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46" s="6">
        <f>SUM(Tabela1[[#This Row],[Archery - Men''s Individual Recurve]:[Wrestling - Women''s Freestyle 76kg]])</f>
        <v>1</v>
      </c>
      <c r="H146" s="6">
        <f>SUM(Tabela1[[#This Row],[Alpine Skiing - Men''s Downhill]:[Speed Skating - Women''s Team Pursuit]])</f>
        <v>0</v>
      </c>
      <c r="I146" s="6">
        <f>Tabela1[[#This Row],[Summer Gold Medals]]+Tabela1[[#This Row],[Winter Gold Medals]]</f>
        <v>0</v>
      </c>
      <c r="J146" s="6">
        <f>Tabela1[[#This Row],[Summer Silver Medals]]+Tabela1[[#This Row],[Winter Silver Medals]]</f>
        <v>0</v>
      </c>
      <c r="K146" s="6">
        <f>Tabela1[[#This Row],[Summer Bronze Medals]]+Tabela1[[#This Row],[Winter Bronze Medals]]</f>
        <v>0</v>
      </c>
      <c r="L146" s="6">
        <f>SUM(Tabela1[[#This Row],[Total Gold Medals]:[Total Bronze Medals]])</f>
        <v>0</v>
      </c>
      <c r="M146" s="6"/>
      <c r="N146" s="6"/>
      <c r="O146" s="6"/>
      <c r="P146" s="6">
        <f>SUM(Tabela1[[#This Row],[Summer Gold Medals]:[Summer Bronze Medals]])</f>
        <v>0</v>
      </c>
      <c r="Q146" s="6"/>
      <c r="R146" s="6"/>
      <c r="S146" s="6"/>
      <c r="T146" s="6">
        <f>Tabela1[[#This Row],[Winter Gold Medals]]+Tabela1[[#This Row],[Winter Silver Medals]]+Tabela1[[#This Row],[Winter Bronze Medals]]</f>
        <v>0</v>
      </c>
      <c r="U146" s="7">
        <f>Tabela1[[#This Row],[Total Medals]]/Tabela1[[#This Row],[Total Quotas]]</f>
        <v>0</v>
      </c>
      <c r="V146" s="6">
        <f>COUNTIFS(Table3[Country],Tabela1[[#This Row],[Country]],Table3[Recurve Classification],"&gt;0")</f>
        <v>0</v>
      </c>
      <c r="W146" s="6">
        <f>COUNTIFS(Table33[Country],Tabela1[[#This Row],[Country]],Table33[Recurve Classification],"&gt;0")</f>
        <v>0</v>
      </c>
      <c r="X146" s="6">
        <f>COUNTIFS(Table35[Country],Tabela1[[#This Row],[Country]],Table35[Men''s Team Recurve Classification],"&gt;0")</f>
        <v>0</v>
      </c>
      <c r="Y146" s="6">
        <f>COUNTIFS(Table35[Country],Tabela1[[#This Row],[Country]],Table35[Women''s Team Recurve Classification],"&gt;0")</f>
        <v>0</v>
      </c>
      <c r="Z146" s="6">
        <f>COUNTIFS(Tabela88[Country],Tabela1[[#This Row],[Country]],Tabela88[Mixed Team Recurve Classification],"&gt;0")</f>
        <v>0</v>
      </c>
      <c r="AA146" s="6">
        <f>COUNTIFS(Table36[Country],Tabela1[[#This Row],[Country]],Table36[Classification],"&gt;0")</f>
        <v>0</v>
      </c>
      <c r="AB146" s="6">
        <f>COUNTIFS(Table37[Country],Tabela1[[#This Row],[Country]],Table37[Classification],"&gt;0")</f>
        <v>0</v>
      </c>
      <c r="AC146" s="6">
        <f>COUNTIFS(Table4[Country],Tabela1[[#This Row],[Country]],Table4[100m Classification],"&gt;0")</f>
        <v>0</v>
      </c>
      <c r="AD146" s="6">
        <f>COUNTIFS(Table5[Country],Tabela1[[#This Row],[Country]],Table5[100m Classification],"&gt;0")</f>
        <v>0</v>
      </c>
      <c r="AE146" s="6">
        <f>COUNTIFS(Table4[Country],Tabela1[[#This Row],[Country]],Table4[200m Classification],"&gt;0")</f>
        <v>0</v>
      </c>
      <c r="AF146" s="6">
        <f>COUNTIFS(Table5[Country],Tabela1[[#This Row],[Country]],Table5[200m Classification],"&gt;0")</f>
        <v>0</v>
      </c>
      <c r="AG146" s="6">
        <f>COUNTIFS(Table4[Country],Tabela1[[#This Row],[Country]],Table4[400m Classification],"&gt;0")</f>
        <v>0</v>
      </c>
      <c r="AH146" s="6">
        <f>COUNTIFS(Table5[Country],Tabela1[[#This Row],[Country]],Table5[400m Classification],"&gt;0")</f>
        <v>0</v>
      </c>
      <c r="AI146" s="6">
        <f>COUNTIFS(Table4[Country],Tabela1[[#This Row],[Country]],Table4[800m Classification],"&gt;0")</f>
        <v>0</v>
      </c>
      <c r="AJ146" s="6">
        <f>COUNTIFS(Table5[Country],Tabela1[[#This Row],[Country]],Table5[800m Classification],"&gt;0")</f>
        <v>0</v>
      </c>
      <c r="AK146" s="6">
        <f>COUNTIFS(Table4[Country],Tabela1[[#This Row],[Country]],Table4[1500m Classification],"&gt;0")</f>
        <v>0</v>
      </c>
      <c r="AL146" s="6">
        <f>COUNTIFS(Table5[Country],Tabela1[[#This Row],[Country]],Table5[1500m Classification],"&gt;0")</f>
        <v>0</v>
      </c>
      <c r="AM146" s="6">
        <f>COUNTIFS(Table4[Country],Tabela1[[#This Row],[Country]],Table4[5000m Classification],"&gt;0")</f>
        <v>0</v>
      </c>
      <c r="AN146" s="6">
        <f>COUNTIFS(Table5[Country],Tabela1[[#This Row],[Country]],Table5[5000m Classification],"&gt;0")</f>
        <v>0</v>
      </c>
      <c r="AO146" s="6">
        <f>COUNTIFS(Table4[Country],Tabela1[[#This Row],[Country]],Table4[10000m Classification],"&gt;0")</f>
        <v>0</v>
      </c>
      <c r="AP146" s="6">
        <f>COUNTIFS(Table5[Country],Tabela1[[#This Row],[Country]],Table5[10000m Classification],"&gt;0")</f>
        <v>0</v>
      </c>
      <c r="AQ146" s="6">
        <f>COUNTIFS(Table4[Country],Tabela1[[#This Row],[Country]],Table4[110m Hurdles Classification],"&gt;0")</f>
        <v>0</v>
      </c>
      <c r="AR146" s="6">
        <f>COUNTIFS(Table5[Country],Tabela1[[#This Row],[Country]],Table5[100m Hurdles Classification],"&gt;0")</f>
        <v>0</v>
      </c>
      <c r="AS146" s="6">
        <f>COUNTIFS(Table4[Country],Tabela1[[#This Row],[Country]],Table4[400m Hurdles Classification],"&gt;0")</f>
        <v>0</v>
      </c>
      <c r="AT146" s="6">
        <f>COUNTIFS(Table5[Country],Tabela1[[#This Row],[Country]],Table5[400m Hurdles Classification],"&gt;0")</f>
        <v>0</v>
      </c>
      <c r="AU146" s="6">
        <f>COUNTIFS(Table4[Country],Tabela1[[#This Row],[Country]],Table4[3000m Steeplechase Classification],"&gt;0")</f>
        <v>0</v>
      </c>
      <c r="AV146" s="6">
        <f>COUNTIFS(Table5[Country],Tabela1[[#This Row],[Country]],Table5[3000m Steeplechase Classification],"&gt;0")</f>
        <v>0</v>
      </c>
      <c r="AW146" s="6">
        <f>COUNTIFS(Table27[Country],Tabela1[[#This Row],[Country]],Table27[Men''s 4x100m Relay Classification],"&gt;0")</f>
        <v>0</v>
      </c>
      <c r="AX146" s="6">
        <f>COUNTIFS(Table27[Country],Tabela1[[#This Row],[Country]],Table27[Women''s 4x100m Relay Classification],"&gt;0")</f>
        <v>0</v>
      </c>
      <c r="AY146" s="6">
        <f>COUNTIFS(Table27[Country],Tabela1[[#This Row],[Country]],Table27[Men''s 4x400m Relay Classification],"&gt;0")</f>
        <v>0</v>
      </c>
      <c r="AZ146" s="6">
        <f>COUNTIFS(Table27[Country],Tabela1[[#This Row],[Country]],Table27[Women''s 4x400m Relay Classification],"&gt;0")</f>
        <v>0</v>
      </c>
      <c r="BA146" s="6">
        <f>COUNTIFS(Table27[Country],Tabela1[[#This Row],[Country]],Table27[Mixed 4x400m Relay Classification],"&gt;0")</f>
        <v>0</v>
      </c>
      <c r="BB146" s="6">
        <f>COUNTIFS(Table4[Country],Tabela1[[#This Row],[Country]],Table4[Marathon Classification],"&gt;0")</f>
        <v>0</v>
      </c>
      <c r="BC146" s="6">
        <f>COUNTIFS(Table5[Country],Tabela1[[#This Row],[Country]],Table5[Marathon Classification],"&gt;0")</f>
        <v>0</v>
      </c>
      <c r="BD146" s="6">
        <f>COUNTIFS(Table4[Country],Tabela1[[#This Row],[Country]],Table4[20km Race Walk Classification],"&gt;0")</f>
        <v>0</v>
      </c>
      <c r="BE146" s="6">
        <f>COUNTIFS(Table5[Country],Tabela1[[#This Row],[Country]],Table5[20km Race Walk Classification],"&gt;0")</f>
        <v>0</v>
      </c>
      <c r="BF146" s="6">
        <f>COUNTIFS(Tabela96[Country],Tabela1[[#This Row],[Country]],Tabela96[Mixed Marathon Race Walk Relay Classification],"&gt;0")</f>
        <v>0</v>
      </c>
      <c r="BG146" s="6">
        <f>COUNTIFS(Table4[Country],Tabela1[[#This Row],[Country]],Table4[Discus Throw Classification],"&gt;0")</f>
        <v>0</v>
      </c>
      <c r="BH146" s="6">
        <f>COUNTIFS(Table5[Country],Tabela1[[#This Row],[Country]],Table5[Discus Throw Classification],"&gt;0")</f>
        <v>0</v>
      </c>
      <c r="BI146" s="6">
        <f>COUNTIFS(Table4[Country],Tabela1[[#This Row],[Country]],Table4[Hammer Throw Classification],"&gt;0")</f>
        <v>0</v>
      </c>
      <c r="BJ146" s="6">
        <f>COUNTIFS(Table5[Country],Tabela1[[#This Row],[Country]],Table5[Hammer Throw Classification],"&gt;0")</f>
        <v>0</v>
      </c>
      <c r="BK146" s="6">
        <f>COUNTIFS(Table4[Country],Tabela1[[#This Row],[Country]],Table4[High Jump Classification],"&gt;0")</f>
        <v>0</v>
      </c>
      <c r="BL146" s="6">
        <f>COUNTIFS(Table5[Country],Tabela1[[#This Row],[Country]],Table5[High Jump Classification],"&gt;0")</f>
        <v>0</v>
      </c>
      <c r="BM146" s="6">
        <f>COUNTIFS(Table4[Country],Tabela1[[#This Row],[Country]],Table4[Javelin Throw Classification],"&gt;0")</f>
        <v>0</v>
      </c>
      <c r="BN146" s="6">
        <f>COUNTIFS(Table5[Country],Tabela1[[#This Row],[Country]],Table5[Javelin Throw Classification],"&gt;0")</f>
        <v>0</v>
      </c>
      <c r="BO146" s="6">
        <f>COUNTIFS(Table4[Country],Tabela1[[#This Row],[Country]],Table4[Long Jump Classification],"&gt;0")</f>
        <v>0</v>
      </c>
      <c r="BP146" s="6">
        <f>COUNTIFS(Table5[Country],Tabela1[[#This Row],[Country]],Table5[Long Jump Classification],"&gt;0")</f>
        <v>0</v>
      </c>
      <c r="BQ146" s="6">
        <f>COUNTIFS(Table4[Country],Tabela1[[#This Row],[Country]],Table4[Pole Vault Classification],"&gt;0")</f>
        <v>0</v>
      </c>
      <c r="BR146" s="6">
        <f>COUNTIFS(Table5[Country],Tabela1[[#This Row],[Country]],Table5[Pole Vault Classification],"&gt;0")</f>
        <v>0</v>
      </c>
      <c r="BS146" s="6">
        <f>COUNTIFS(Table4[Country],Tabela1[[#This Row],[Country]],Table4[Shot Put Classification],"&gt;0")</f>
        <v>0</v>
      </c>
      <c r="BT146" s="6">
        <f>COUNTIFS(Table5[Country],Tabela1[[#This Row],[Country]],Table5[Shot Put Classification],"&gt;0")</f>
        <v>0</v>
      </c>
      <c r="BU146" s="6">
        <f>COUNTIFS(Table4[Country],Tabela1[[#This Row],[Country]],Table4[Triple Jump Classification],"&gt;0")</f>
        <v>0</v>
      </c>
      <c r="BV146" s="6">
        <f>COUNTIFS(Table5[Country],Tabela1[[#This Row],[Country]],Table5[Triple Jump Classification],"&gt;0")</f>
        <v>0</v>
      </c>
      <c r="BW146" s="6">
        <f>COUNTIFS(Table4[Country],Tabela1[[#This Row],[Country]],Table4[Decathlon Classification],"&gt;0")</f>
        <v>0</v>
      </c>
      <c r="BX146" s="6">
        <f>COUNTIFS(Table5[Country],Tabela1[[#This Row],[Country]],Table5[Heptathlon Classification],"&gt;0")</f>
        <v>0</v>
      </c>
      <c r="BY146" s="6">
        <f>COUNTIFS(Table61[Country],Tabela1[[#This Row],[Country]],Table61[Classification],"&gt;0")</f>
        <v>0</v>
      </c>
      <c r="BZ146" s="6">
        <f>COUNTIFS(Table38[Country],Tabela1[[#This Row],[Country]],Table38[Classification],"&gt;0")</f>
        <v>0</v>
      </c>
      <c r="CA146" s="6">
        <f>COUNTIFS(Table39[Country],Tabela1[[#This Row],[Country]],Table39[Men''s Classification],"&gt;0")</f>
        <v>0</v>
      </c>
      <c r="CB146" s="6">
        <f>COUNTIFS(Table39[Country],Tabela1[[#This Row],[Country]],Table39[Women''s Classification],"&gt;0")</f>
        <v>0</v>
      </c>
      <c r="CC146" s="6">
        <f>COUNTIFS(Table39[Country],Tabela1[[#This Row],[Country]],Table39[Mixed Classification],"&gt;0")</f>
        <v>0</v>
      </c>
      <c r="CD146" s="6">
        <f>COUNTIFS(Table89[Country],Tabela1[[#This Row],[Country]],Table89[Men''s Classification],"&gt;0")</f>
        <v>0</v>
      </c>
      <c r="CE146" s="6">
        <f>COUNTIFS(Table89[Country],Tabela1[[#This Row],[Country]],Table89[Women''s Classification],"&gt;0")</f>
        <v>0</v>
      </c>
      <c r="CF146" s="6">
        <f>COUNTIFS(Table90[Country],Tabela1[[#This Row],[Country]],Table90[Men''s Classification],"&gt;0")</f>
        <v>0</v>
      </c>
      <c r="CG146" s="6">
        <f>COUNTIFS(Table90[Country],Tabela1[[#This Row],[Country]],Table90[Women''s Classification],"&gt;0")</f>
        <v>0</v>
      </c>
      <c r="CH146" s="6">
        <f>COUNTIFS(Table60[Country],Tabela1[[#This Row],[Country]],Table60[Men''s Classification],"&gt;0")</f>
        <v>0</v>
      </c>
      <c r="CI146" s="6">
        <f>COUNTIFS(Table60[Country],Tabela1[[#This Row],[Country]],Table60[Women''s Classification],"&gt;0")</f>
        <v>0</v>
      </c>
      <c r="CJ146" s="6">
        <f>COUNTIFS(Table6[Country],Tabela1[[#This Row],[Country]],Table6[51kg Classification],"&gt;0")</f>
        <v>0</v>
      </c>
      <c r="CK146" s="6">
        <f>COUNTIFS(Table6[Country],Tabela1[[#This Row],[Country]],Table6[57kg Classification],"&gt;0")</f>
        <v>0</v>
      </c>
      <c r="CL146" s="6">
        <f>COUNTIFS(Table6[Country],Tabela1[[#This Row],[Country]],Table6[63.5kg Classification],"&gt;0")</f>
        <v>0</v>
      </c>
      <c r="CM146" s="6">
        <f>COUNTIFS(Table6[Country],Tabela1[[#This Row],[Country]],Table6[71kg Classification],"&gt;0")</f>
        <v>0</v>
      </c>
      <c r="CN146" s="6">
        <f>COUNTIFS(Table6[Country],Tabela1[[#This Row],[Country]],Table6[80kg Classification],"&gt;0")</f>
        <v>0</v>
      </c>
      <c r="CO146" s="6">
        <f>COUNTIFS(Table6[Country],Tabela1[[#This Row],[Country]],Table6[92kg Classification],"&gt;0")</f>
        <v>0</v>
      </c>
      <c r="CP146" s="6">
        <f>COUNTIFS(Table6[Country],Tabela1[[#This Row],[Country]],Table6[Plus 92kg Classification],"&gt;0")</f>
        <v>0</v>
      </c>
      <c r="CQ146" s="6">
        <f>COUNTIFS(Table7[Country],Tabela1[[#This Row],[Country]],Table7[50kg Classification],"&gt;0")</f>
        <v>0</v>
      </c>
      <c r="CR146" s="6">
        <f>COUNTIFS(Table7[Country],Tabela1[[#This Row],[Country]],Table7[54kg Classification],"&gt;0")</f>
        <v>0</v>
      </c>
      <c r="CS146" s="6">
        <f>COUNTIFS(Table7[Country],Tabela1[[#This Row],[Country]],Table7[57kg Classification],"&gt;0")</f>
        <v>0</v>
      </c>
      <c r="CT146" s="6">
        <f>COUNTIFS(Table7[Country],Tabela1[[#This Row],[Country]],Table7[60kg Classification],"&gt;0")</f>
        <v>0</v>
      </c>
      <c r="CU146" s="6">
        <f>COUNTIFS(Table7[Country],Tabela1[[#This Row],[Country]],Table7[66kg Classification],"&gt;0")</f>
        <v>0</v>
      </c>
      <c r="CV146" s="6">
        <f>COUNTIFS(Table7[Country],Tabela1[[#This Row],[Country]],Table7[75kg Classification],"&gt;0")</f>
        <v>0</v>
      </c>
      <c r="CW146" s="6">
        <f>COUNTIFS(Tabela94[Country],Tabela1[[#This Row],[Country]],Tabela94[Classification],"&gt;0")</f>
        <v>0</v>
      </c>
      <c r="CX146" s="6">
        <f>COUNTIFS(Tabela9499[Country],Tabela1[[#This Row],[Country]],Tabela9499[Classification],"&gt;0")</f>
        <v>0</v>
      </c>
      <c r="CY146" s="6">
        <f>COUNTIFS(Tabela107[Country],Tabela1[[#This Row],[Country]],Tabela107[C1 Slalom Classification],"&gt;0")</f>
        <v>0</v>
      </c>
      <c r="CZ146" s="6">
        <f>COUNTIFS(Tabela107122[Country],Tabela1[[#This Row],[Country]],Tabela107122[C1 Slalom Classification],"&gt;0")</f>
        <v>0</v>
      </c>
      <c r="DA146" s="6">
        <f>COUNTIFS(Tabela107[Country],Tabela1[[#This Row],[Country]],Tabela107[K1 Slalom Classification],"&gt;0")</f>
        <v>0</v>
      </c>
      <c r="DB146" s="6">
        <f>COUNTIFS(Tabela107122[Country],Tabela1[[#This Row],[Country]],Tabela107122[K1 Slalom Classification],"&gt;0")</f>
        <v>0</v>
      </c>
      <c r="DC146" s="6">
        <f>COUNTIFS(Tabela107[Country],Tabela1[[#This Row],[Country]],Tabela107[Kayak Cross Slalom Classification],"&gt;0")</f>
        <v>0</v>
      </c>
      <c r="DD146" s="6">
        <f>COUNTIFS(Tabela107122[Country],Tabela1[[#This Row],[Country]],Tabela107122[Kayak Cross Slalom Classification],"&gt;0")</f>
        <v>0</v>
      </c>
      <c r="DE146" s="6">
        <f>COUNTIFS(Table8[Country],Tabela1[[#This Row],[Country]],Table8[C1 200m Classification],"&gt;0")</f>
        <v>0</v>
      </c>
      <c r="DF146" s="6">
        <f>COUNTIFS(Table40[Country],Tabela1[[#This Row],[Country]],Table40[C1 1000m Classification],"&gt;0")</f>
        <v>0</v>
      </c>
      <c r="DG146" s="6">
        <f>COUNTIFS(Table68[Country],Tabela1[[#This Row],[Country]],Table68[Men''s C2 500m Classification],"&gt;0")</f>
        <v>0</v>
      </c>
      <c r="DH146" s="6">
        <f>COUNTIFS(Table68[Country],Tabela1[[#This Row],[Country]],Table68[Women''s C2 500m Classification],"&gt;0")</f>
        <v>0</v>
      </c>
      <c r="DI146" s="6">
        <f>COUNTIFS(Table8[Country],Tabela1[[#This Row],[Country]],Table8[K1 500m Classification],"&gt;0")</f>
        <v>0</v>
      </c>
      <c r="DJ146" s="6">
        <f>COUNTIFS(Table40[Country],Tabela1[[#This Row],[Country]],Table40[K1 1000m Classification],"&gt;0")</f>
        <v>0</v>
      </c>
      <c r="DK146" s="6">
        <f>COUNTIFS(Table68[Country],Tabela1[[#This Row],[Country]],Table68[Men''s K2 500m Classification],"&gt;0")</f>
        <v>0</v>
      </c>
      <c r="DL146" s="6">
        <f>COUNTIFS(Table68[Country],Tabela1[[#This Row],[Country]],Table68[Women''s K2 500m Classification],"&gt;0")</f>
        <v>0</v>
      </c>
      <c r="DM146" s="6">
        <f>COUNTIFS(Table83[Country],Tabela1[[#This Row],[Country]],Table83[Men''s K4 500m Classification],"&gt;0")</f>
        <v>0</v>
      </c>
      <c r="DN146" s="6">
        <f>COUNTIFS(Table83[Country],Tabela1[[#This Row],[Country]],Table83[Women''s K4 500m Classification],"&gt;0")</f>
        <v>0</v>
      </c>
      <c r="DO146" s="6">
        <f>COUNTIFS(Tabela126[Country],Tabela1[[#This Row],[Country]],Tabela126[Classification],"&gt;0")</f>
        <v>0</v>
      </c>
      <c r="DP146" s="6">
        <f>COUNTIFS(Tabela126130[Country],Tabela1[[#This Row],[Country]],Tabela126130[Classification],"&gt;0")</f>
        <v>0</v>
      </c>
      <c r="DQ146" s="6">
        <f>COUNTIFS(Table70[Country],Tabela1[[#This Row],[Country]],Table70[Classification],"&gt;0")</f>
        <v>0</v>
      </c>
      <c r="DR146" s="6">
        <f>COUNTIFS(Table80[Country],Tabela1[[#This Row],[Country]],Table80[Classification],"&gt;0")</f>
        <v>0</v>
      </c>
      <c r="DS146" s="6">
        <f>COUNTIFS(Table66[Country],Tabela1[[#This Row],[Country]],Table66[Classification],"&gt;0")</f>
        <v>0</v>
      </c>
      <c r="DT146" s="6">
        <f>COUNTIFS(Table67[Country],Tabela1[[#This Row],[Country]],Table67[Classification],"&gt;0")</f>
        <v>0</v>
      </c>
      <c r="DU146" s="6">
        <f>COUNTIFS(Table69[Country],Tabela1[[#This Row],[Country]],Table69[Keirin Classification],"&gt;0")</f>
        <v>0</v>
      </c>
      <c r="DV146" s="6">
        <f>COUNTIFS(Table41[Country],Tabela1[[#This Row],[Country]],Table41[Keirin Classification],"&gt;0")</f>
        <v>0</v>
      </c>
      <c r="DW146" s="6">
        <f>COUNTIFS(Table84[Country],Tabela1[[#This Row],[Country]],Table84[Men''s Madison Classification],"&gt;0")</f>
        <v>0</v>
      </c>
      <c r="DX146" s="6">
        <f>COUNTIFS(Table84[Country],Tabela1[[#This Row],[Country]],Table84[Women''s Madison Classification],"&gt;0")</f>
        <v>0</v>
      </c>
      <c r="DY146" s="6">
        <f>COUNTIFS(Table69[Country],Tabela1[[#This Row],[Country]],Table69[Omnium Classification],"&gt;0")</f>
        <v>0</v>
      </c>
      <c r="DZ146" s="6">
        <f>COUNTIFS(Table41[Country],Tabela1[[#This Row],[Country]],Table41[Omnium Classification],"&gt;0")</f>
        <v>0</v>
      </c>
      <c r="EA146" s="6">
        <f>COUNTIFS(Table9[Country],Tabela1[[#This Row],[Country]],Table9[Road Race Classification],"&gt;0")</f>
        <v>0</v>
      </c>
      <c r="EB146" s="6">
        <f>COUNTIFS(Table14[Country],Tabela1[[#This Row],[Country]],Table14[Road Race Classification],"&gt;0")</f>
        <v>0</v>
      </c>
      <c r="EC146" s="6">
        <f>COUNTIFS(Table69[Country],Tabela1[[#This Row],[Country]],Table69[Sprint Classification],"&gt;0")</f>
        <v>0</v>
      </c>
      <c r="ED146" s="6">
        <f>COUNTIFS(Table41[Country],Tabela1[[#This Row],[Country]],Table41[Sprint Classification],"&gt;0")</f>
        <v>0</v>
      </c>
      <c r="EE146" s="6">
        <f>COUNTIFS(Table85[Country],Tabela1[[#This Row],[Country]],Table85[Men''s Sprint Classification],"&gt;0")</f>
        <v>0</v>
      </c>
      <c r="EF146" s="6">
        <f>COUNTIFS(Table85[Country],Tabela1[[#This Row],[Country]],Table85[Women''s Sprint Classification],"&gt;0")</f>
        <v>0</v>
      </c>
      <c r="EG146" s="6">
        <f>COUNTIFS(Table85[Country],Tabela1[[#This Row],[Country]],Table85[Men''s Pursuit Classification],"&gt;0")</f>
        <v>0</v>
      </c>
      <c r="EH146" s="6">
        <f>COUNTIFS(Table85[Country],Tabela1[[#This Row],[Country]],Table85[Women''s Pursuit Classification],"&gt;0")</f>
        <v>0</v>
      </c>
      <c r="EI146" s="6">
        <f>COUNTIFS(Table9[Country],Tabela1[[#This Row],[Country]],Table9[Time-Trial Classification],"&gt;0")</f>
        <v>0</v>
      </c>
      <c r="EJ146" s="6">
        <f>COUNTIFS(Table14[Country],Tabela1[[#This Row],[Country]],Table14[Time-Trial Classification],"&gt;0")</f>
        <v>0</v>
      </c>
      <c r="EK146" s="6">
        <f>COUNTIFS(Table42[Country],Tabela1[[#This Row],[Country]],Table42[Springboard Classification],"&gt;0")</f>
        <v>0</v>
      </c>
      <c r="EL146" s="6">
        <f>COUNTIFS(Table43[Country],Tabela1[[#This Row],[Country]],Table43[Springboard Classification],"&gt;0")</f>
        <v>0</v>
      </c>
      <c r="EM146" s="6">
        <f>COUNTIFS(Table42[Country],Tabela1[[#This Row],[Country]],Table42[Platform Classification],"&gt;0")</f>
        <v>0</v>
      </c>
      <c r="EN146" s="6">
        <f>COUNTIFS(Table43[Country],Tabela1[[#This Row],[Country]],Table43[Platform Classification],"&gt;0")</f>
        <v>0</v>
      </c>
      <c r="EO146" s="6">
        <f>COUNTIFS(Table86[Country],Tabela1[[#This Row],[Country]],Table86[Men''s Synchronized Springboard Classification],"&gt;0")</f>
        <v>0</v>
      </c>
      <c r="EP146" s="6">
        <f>COUNTIFS(Table86[Country],Tabela1[[#This Row],[Country]],Table86[Women''s Synchronized Springboard Classification],"&gt;0")</f>
        <v>0</v>
      </c>
      <c r="EQ146" s="6">
        <f>COUNTIFS(Table86[Country],Tabela1[[#This Row],[Country]],Table86[Men''s Synchronized Platform Classification],"&gt;0")</f>
        <v>0</v>
      </c>
      <c r="ER146" s="6">
        <f>COUNTIFS(Table86[Country],Tabela1[[#This Row],[Country]],Table86[Women''s Synchronized Platform Classification],"&gt;0")</f>
        <v>0</v>
      </c>
      <c r="ES146" s="6">
        <f>COUNTIFS(Table44[Country],Tabela1[[#This Row],[Country]],Table44[Dressage Classification],"&gt;0")</f>
        <v>0</v>
      </c>
      <c r="ET146" s="6">
        <f>COUNTIFS(Table45[Country],Tabela1[[#This Row],[Country]],Table45[Dressage Classification],"&gt;0")</f>
        <v>0</v>
      </c>
      <c r="EU146" s="6">
        <f>COUNTIFS(Table44[Country],Tabela1[[#This Row],[Country]],Table44[Eventing Classification],"&gt;0")</f>
        <v>0</v>
      </c>
      <c r="EV146" s="6">
        <f>COUNTIFS(Table45[Country],Tabela1[[#This Row],[Country]],Table45[Eventing Classification],"&gt;0")</f>
        <v>0</v>
      </c>
      <c r="EW146" s="6">
        <f>COUNTIFS(Table44[Country],Tabela1[[#This Row],[Country]],Table44[Jumping Classification],"&gt;0")</f>
        <v>0</v>
      </c>
      <c r="EX146" s="6">
        <f>COUNTIFS(Table45[Country],Tabela1[[#This Row],[Country]],Table45[Jumping Classification],"&gt;0")</f>
        <v>0</v>
      </c>
      <c r="EY146" s="6">
        <f>COUNTIFS(Table10[Country],Tabela1[[#This Row],[Country]],Table10[Épée Classification],"&gt;0")</f>
        <v>0</v>
      </c>
      <c r="EZ146" s="6">
        <f>COUNTIFS(Table11[Country],Tabela1[[#This Row],[Country]],Table11[Épée Classification],"&gt;0")</f>
        <v>0</v>
      </c>
      <c r="FA146" s="6">
        <f>COUNTIFS(Table46[Country],Tabela1[[#This Row],[Country]],Table46[Men''s Épée Classification],"&gt;0")</f>
        <v>0</v>
      </c>
      <c r="FB146" s="6">
        <f>COUNTIFS(Table46[Country],Tabela1[[#This Row],[Country]],Table46[Women''s Épée Classification],"&gt;0")</f>
        <v>0</v>
      </c>
      <c r="FC146" s="6">
        <f>COUNTIFS(Table10[Country],Tabela1[[#This Row],[Country]],Table10[Foil Classification],"&gt;0")</f>
        <v>0</v>
      </c>
      <c r="FD146" s="6">
        <f>COUNTIFS(Table11[Country],Tabela1[[#This Row],[Country]],Table11[Foil Classification],"&gt;0")</f>
        <v>0</v>
      </c>
      <c r="FE146" s="6">
        <f>COUNTIFS(Table46[Country],Tabela1[[#This Row],[Country]],Table46[Men''s Foil Classification],"&gt;0")</f>
        <v>0</v>
      </c>
      <c r="FF146" s="6">
        <f>COUNTIFS(Table46[Country],Tabela1[[#This Row],[Country]],Table46[Women''s Foil Classification],"&gt;0")</f>
        <v>0</v>
      </c>
      <c r="FG146" s="6">
        <f>COUNTIFS(Table10[Country],Tabela1[[#This Row],[Country]],Table10[Sabre Classification],"&gt;0")</f>
        <v>0</v>
      </c>
      <c r="FH146" s="6">
        <f>COUNTIFS(Table11[Country],Tabela1[[#This Row],[Country]],Table11[Sabre Classification],"&gt;0")</f>
        <v>0</v>
      </c>
      <c r="FI146" s="6">
        <f>COUNTIFS(Table46[Country],Tabela1[[#This Row],[Country]],Table46[Men''s Sabre Classification],"&gt;0")</f>
        <v>0</v>
      </c>
      <c r="FJ146" s="6">
        <f>COUNTIFS(Table46[Country],Tabela1[[#This Row],[Country]],Table46[Women''s Sabre Classification],"&gt;0")</f>
        <v>0</v>
      </c>
      <c r="FK146" s="6">
        <f>COUNTIFS(Table91[Country],Tabela1[[#This Row],[Country]],Table91[Men''s Classification],"&gt;0")</f>
        <v>0</v>
      </c>
      <c r="FL146" s="6">
        <f>COUNTIFS(Table91[Country],Tabela1[[#This Row],[Country]],Table91[Women''s Classification],"&gt;0")</f>
        <v>0</v>
      </c>
      <c r="FM146" s="6">
        <f>COUNTIFS(Table9194[Country],Tabela1[[#This Row],[Country]],Table9194[Men''s Classification],"&gt;0")</f>
        <v>1</v>
      </c>
      <c r="FN146" s="6">
        <f>COUNTIFS(Table9194[Country],Tabela1[[#This Row],[Country]],Table9194[Women''s Classification],"&gt;0")</f>
        <v>0</v>
      </c>
      <c r="FO146" s="6">
        <f>COUNTIFS(Table71[Country],Tabela1[[#This Row],[Country]],Table71[Classification],"&gt;0")</f>
        <v>0</v>
      </c>
      <c r="FP146" s="6">
        <f>COUNTIFS(Table62[Country],Tabela1[[#This Row],[Country]],Table62[Classification],"&gt;0")</f>
        <v>0</v>
      </c>
      <c r="FQ146" s="6">
        <f>COUNTIFS(Table47[Country],Tabela1[[#This Row],[Country]],Table47[All-Around Classification],"&gt;0")</f>
        <v>0</v>
      </c>
      <c r="FR146" s="6">
        <f>COUNTIFS(Table48[Country],Tabela1[[#This Row],[Country]],Table48[All-Around Classification],"&gt;0")</f>
        <v>0</v>
      </c>
      <c r="FS146" s="6">
        <f>COUNTIFS(Table81[Country],Tabela1[[#This Row],[Country]],Table81[Men''s All-Around Classification],"&gt;0")</f>
        <v>0</v>
      </c>
      <c r="FT146" s="6">
        <f>COUNTIFS(Table81[Country],Tabela1[[#This Row],[Country]],Table81[Women''s All-Around Classification],"&gt;0")</f>
        <v>0</v>
      </c>
      <c r="FU146" s="6">
        <f>COUNTIFS(Table48[Country],Tabela1[[#This Row],[Country]],Table48[Balance Beam Classification],"&gt;0")</f>
        <v>0</v>
      </c>
      <c r="FV146" s="6">
        <f>COUNTIFS(Table47[Country],Tabela1[[#This Row],[Country]],Table47[Floor Exercise Classification],"&gt;0")</f>
        <v>0</v>
      </c>
      <c r="FW146" s="6">
        <f>COUNTIFS(Table48[Country],Tabela1[[#This Row],[Country]],Table48[Floor Exercise Classification],"&gt;0")</f>
        <v>0</v>
      </c>
      <c r="FX146" s="6">
        <f>COUNTIFS(Table47[Country],Tabela1[[#This Row],[Country]],Table47[Horizontal Bar Classification],"&gt;0")</f>
        <v>0</v>
      </c>
      <c r="FY146" s="6">
        <f>COUNTIFS(Table47[Country],Tabela1[[#This Row],[Country]],Table47[Parallel Bars Classification],"&gt;0")</f>
        <v>0</v>
      </c>
      <c r="FZ146" s="6">
        <f>COUNTIFS(Table47[Country],Tabela1[[#This Row],[Country]],Table47[Pommel Horse Classification],"&gt;0")</f>
        <v>0</v>
      </c>
      <c r="GA146" s="6">
        <f>COUNTIFS(Table47[Country],Tabela1[[#This Row],[Country]],Table47[Rings Classification],"&gt;0")</f>
        <v>0</v>
      </c>
      <c r="GB146" s="6">
        <f>COUNTIFS(Tabela132[Country],Tabela1[[#This Row],[Country]],Tabela132[Classification],"&gt;0")</f>
        <v>0</v>
      </c>
      <c r="GC146" s="6">
        <f>COUNTIFS(Tabela139[Country],Tabela1[[#This Row],[Country]],Tabela139[Classification],"&gt;0")</f>
        <v>0</v>
      </c>
      <c r="GD146" s="6">
        <f>COUNTIFS(Table48[Country],Tabela1[[#This Row],[Country]],Table48[Uneven Bars Classification],"&gt;0")</f>
        <v>0</v>
      </c>
      <c r="GE146" s="6">
        <f>COUNTIFS(Table47[Country],Tabela1[[#This Row],[Country]],Table47[Vault Classification],"&gt;0")</f>
        <v>0</v>
      </c>
      <c r="GF146" s="6">
        <f>COUNTIFS(Table48[Country],Tabela1[[#This Row],[Country]],Table48[Vault Classification],"&gt;0")</f>
        <v>0</v>
      </c>
      <c r="GG146" s="6">
        <f>COUNTIFS(Table919496[Country],Tabela1[[#This Row],[Country]],Table919496[Men''s Classification],"&gt;0")</f>
        <v>0</v>
      </c>
      <c r="GH146" s="6">
        <f>COUNTIFS(Table919496[Country],Tabela1[[#This Row],[Country]],Table919496[Women''s Classification],"&gt;0")</f>
        <v>0</v>
      </c>
      <c r="GI146" s="6">
        <f>COUNTIFS(Table12[Country],Tabela1[[#This Row],[Country]],Table12[60kg Classification],"&gt;0")</f>
        <v>0</v>
      </c>
      <c r="GJ146" s="6">
        <f>COUNTIFS(Table12[Country],Tabela1[[#This Row],[Country]],Table12[66kg Classification],"&gt;0")</f>
        <v>0</v>
      </c>
      <c r="GK146" s="6">
        <f>COUNTIFS(Table12[Country],Tabela1[[#This Row],[Country]],Table12[73kg Classification],"&gt;0")</f>
        <v>0</v>
      </c>
      <c r="GL146" s="6">
        <f>COUNTIFS(Table12[Country],Tabela1[[#This Row],[Country]],Table12[81kg Classification],"&gt;0")</f>
        <v>0</v>
      </c>
      <c r="GM146" s="6">
        <f>COUNTIFS(Table12[Country],Tabela1[[#This Row],[Country]],Table12[90kg Classification],"&gt;0")</f>
        <v>0</v>
      </c>
      <c r="GN146" s="6">
        <f>COUNTIFS(Table12[Country],Tabela1[[#This Row],[Country]],Table12[100kg Classification],"&gt;0")</f>
        <v>0</v>
      </c>
      <c r="GO146" s="6">
        <f>COUNTIFS(Table12[Country],Tabela1[[#This Row],[Country]],Table12[Plus 100kg Classification],"&gt;0")</f>
        <v>0</v>
      </c>
      <c r="GP146" s="6">
        <f>COUNTIFS(Table13[Country],Tabela1[[#This Row],[Country]],Table13[48kg Classification],"&gt;0")</f>
        <v>0</v>
      </c>
      <c r="GQ146" s="6">
        <f>COUNTIFS(Table13[Country],Tabela1[[#This Row],[Country]],Table13[52kg Classification],"&gt;0")</f>
        <v>0</v>
      </c>
      <c r="GR146" s="6">
        <f>COUNTIFS(Table13[Country],Tabela1[[#This Row],[Country]],Table13[57kg Classification],"&gt;0")</f>
        <v>0</v>
      </c>
      <c r="GS146" s="6">
        <f>COUNTIFS(Table13[Country],Tabela1[[#This Row],[Country]],Table13[63kg Classification],"&gt;0")</f>
        <v>0</v>
      </c>
      <c r="GT146" s="6">
        <f>COUNTIFS(Table13[Country],Tabela1[[#This Row],[Country]],Table13[70kg Classification],"&gt;0")</f>
        <v>0</v>
      </c>
      <c r="GU146" s="6">
        <f>COUNTIFS(Table13[Country],Tabela1[[#This Row],[Country]],Table13[78kg Classification],"&gt;0")</f>
        <v>0</v>
      </c>
      <c r="GV146" s="6">
        <f>COUNTIFS(Table13[Country],Tabela1[[#This Row],[Country]],Table13[Plus 78kg Classification],"&gt;0")</f>
        <v>0</v>
      </c>
      <c r="GW146" s="6">
        <f>COUNTIFS(Table82[Country],Tabela1[[#This Row],[Country]],Table82[Mixed Classification],"&gt;0")</f>
        <v>0</v>
      </c>
      <c r="GX146" s="6">
        <f>COUNTIFS(Table51[Country],Tabela1[[#This Row],[Country]],Table51[Classification],"&gt;0")</f>
        <v>0</v>
      </c>
      <c r="GY146" s="6">
        <f>COUNTIFS(Table52[Country],Tabela1[[#This Row],[Country]],Table52[Classification],"&gt;0")</f>
        <v>0</v>
      </c>
      <c r="GZ146" s="6">
        <f>COUNTIFS(Table32[Country],Tabela1[[#This Row],[Country]],Table32[All-Around Classification],"&gt;0")</f>
        <v>0</v>
      </c>
      <c r="HA146" s="6">
        <f>COUNTIFS(Table49[Country],Tabela1[[#This Row],[Country]],Table49[All-Around Classification],"&gt;0")</f>
        <v>0</v>
      </c>
      <c r="HB146" s="6">
        <f>COUNTIFS(Table26[Country],Tabela1[[#This Row],[Country]],Table26[Single Sculls Classification],"&gt;0")</f>
        <v>0</v>
      </c>
      <c r="HC146" s="6">
        <f>COUNTIFS(Table63[Country],Tabela1[[#This Row],[Country]],Table63[Single Sculls Classification],"&gt;0")</f>
        <v>0</v>
      </c>
      <c r="HD146" s="6">
        <f>COUNTIFS(Table16[Country],Tabela1[[#This Row],[Country]],Table16[Men''s Double Sculls Classification],"&gt;0")</f>
        <v>0</v>
      </c>
      <c r="HE146" s="6">
        <f>COUNTIFS(Table16[Country],Tabela1[[#This Row],[Country]],Table16[Women''s Double Sculls Classification],"&gt;0")</f>
        <v>0</v>
      </c>
      <c r="HF146" s="6">
        <f>COUNTIFS(Table72[Country],Tabela1[[#This Row],[Country]],Table72[Men''s Quadruple Sculls Classification],"&gt;0")</f>
        <v>0</v>
      </c>
      <c r="HG146" s="6">
        <f>COUNTIFS(Table72[Country],Tabela1[[#This Row],[Country]],Table72[Women''s Quadruple Sculls Classification],"&gt;0")</f>
        <v>0</v>
      </c>
      <c r="HH146" s="6">
        <f>COUNTIFS(Table16[Country],Tabela1[[#This Row],[Country]],Table16[Men''s Coxless Pairs Classification],"&gt;0")</f>
        <v>0</v>
      </c>
      <c r="HI146" s="6">
        <f>COUNTIFS(Table16[Country],Tabela1[[#This Row],[Country]],Table16[Women''s Coxless Pairs Classification],"&gt;0")</f>
        <v>0</v>
      </c>
      <c r="HJ146" s="6">
        <f>COUNTIFS(Table72[Country],Tabela1[[#This Row],[Country]],Table72[Men''s Coxless Fours Classification],"&gt;0")</f>
        <v>0</v>
      </c>
      <c r="HK146" s="6">
        <f>COUNTIFS(Table72[Country],Tabela1[[#This Row],[Country]],Table72[Women''s Coxless Fours Classification],"&gt;0")</f>
        <v>0</v>
      </c>
      <c r="HL146" s="6">
        <f>COUNTIFS(Table72[Country],Tabela1[[#This Row],[Country]],Table72[Men''s Eights Classification],"&gt;0")</f>
        <v>0</v>
      </c>
      <c r="HM146" s="6">
        <f>COUNTIFS(Table72[Country],Tabela1[[#This Row],[Country]],Table72[Women''s Eights Classification],"&gt;0")</f>
        <v>0</v>
      </c>
      <c r="HN146" s="6">
        <f>COUNTIFS(Table16[Country],Tabela1[[#This Row],[Country]],Table16[Men''s Lwt. Double Sculls Classification],"&gt;0")</f>
        <v>0</v>
      </c>
      <c r="HO146" s="6">
        <f>COUNTIFS(Table16[Country],Tabela1[[#This Row],[Country]],Table16[Women''s Lwt. Double Sculls Classification],"&gt;0")</f>
        <v>0</v>
      </c>
      <c r="HP146" s="6">
        <f>COUNTIFS(Table91949698[Country],Tabela1[[#This Row],[Country]],Table91949698[Men''s Classification],"&gt;0")</f>
        <v>0</v>
      </c>
      <c r="HQ146" s="6">
        <f>COUNTIFS(Table91949698[Country],Tabela1[[#This Row],[Country]],Table91949698[Women''s Classification],"&gt;0")</f>
        <v>0</v>
      </c>
      <c r="HR146" s="6">
        <f>COUNTIFS(Table25[Country],Tabela1[[#This Row],[Country]],Table25[Mixed 470 Classification],"&gt;0")</f>
        <v>0</v>
      </c>
      <c r="HS146" s="6">
        <f>COUNTIFS(Table25[Country],Tabela1[[#This Row],[Country]],Table25[Men''s 49er Classification],"&gt;0")</f>
        <v>0</v>
      </c>
      <c r="HT146" s="6">
        <f>COUNTIFS(Table25[Country],Tabela1[[#This Row],[Country]],Table25[Women''s 49er FX Classification],"&gt;0")</f>
        <v>0</v>
      </c>
      <c r="HU146" s="6">
        <f>COUNTIFS(Table17[Country],Tabela1[[#This Row],[Country]],Table17[Formula Kite Classification],"&gt;0")</f>
        <v>0</v>
      </c>
      <c r="HV146" s="6">
        <f>COUNTIFS(Table18[Country],Tabela1[[#This Row],[Country]],Table18[Formula Kite Classification],"&gt;0")</f>
        <v>0</v>
      </c>
      <c r="HW146" s="6">
        <f>COUNTIFS(Table17[Country],Tabela1[[#This Row],[Country]],Table17[ILCA 7 Classification],"&gt;0")</f>
        <v>0</v>
      </c>
      <c r="HX146" s="6">
        <f>COUNTIFS(Table18[Country],Tabela1[[#This Row],[Country]],Table18[ILCA 6 Classification],"&gt;0")</f>
        <v>0</v>
      </c>
      <c r="HY146" s="6">
        <f>COUNTIFS(Table17[Country],Tabela1[[#This Row],[Country]],Table17[IQFoil Classification],"&gt;0")</f>
        <v>0</v>
      </c>
      <c r="HZ146" s="6">
        <f>COUNTIFS(Table18[Country],Tabela1[[#This Row],[Country]],Table18[IQFoil Classification],"&gt;0")</f>
        <v>0</v>
      </c>
      <c r="IA146" s="6">
        <f>COUNTIFS(Table25[Country],Tabela1[[#This Row],[Country]],Table25[Mixed Nacra 17 Classification],"&gt;0")</f>
        <v>0</v>
      </c>
      <c r="IB146" s="6">
        <f>COUNTIFS(Table53[Country],Tabela1[[#This Row],[Country]],Table53[10m Air Pistol Classification],"&gt;0")</f>
        <v>0</v>
      </c>
      <c r="IC146" s="6">
        <f>COUNTIFS(Table19[Country],Tabela1[[#This Row],[Country]],Table19[10m Air Pistol Classification],"&gt;0")</f>
        <v>0</v>
      </c>
      <c r="ID146" s="6">
        <f>COUNTIFS(Table54[Country],Tabela1[[#This Row],[Country]],Table54[Mixed 10m Air Pistol Team Classification],"&gt;0")</f>
        <v>0</v>
      </c>
      <c r="IE146" s="6">
        <f>COUNTIFS(Table53[Country],Tabela1[[#This Row],[Country]],Table53[10m Air Rifle Classification],"&gt;0")</f>
        <v>0</v>
      </c>
      <c r="IF146" s="6">
        <f>COUNTIFS(Table19[Country],Tabela1[[#This Row],[Country]],Table19[10m Air Rifle Classification],"&gt;0")</f>
        <v>0</v>
      </c>
      <c r="IG146" s="6">
        <f>COUNTIFS(Table54[Country],Tabela1[[#This Row],[Country]],Table54[Mixed 10m Air Rifle Team Classification],"&gt;0")</f>
        <v>0</v>
      </c>
      <c r="IH146" s="6">
        <f>COUNTIFS(Table53[Country],Tabela1[[#This Row],[Country]],Table53[25m Rapid Fire Pistol Classification],"&gt;0")</f>
        <v>0</v>
      </c>
      <c r="II146" s="6">
        <f>COUNTIFS(Table19[Country],Tabela1[[#This Row],[Country]],Table19[25m Pistol Classification],"&gt;0")</f>
        <v>0</v>
      </c>
      <c r="IJ146" s="6">
        <f>COUNTIFS(Table53[Country],Tabela1[[#This Row],[Country]],Table53[50m Rifle 3 Positions Classification],"&gt;0")</f>
        <v>0</v>
      </c>
      <c r="IK146" s="6">
        <f>COUNTIFS(Table19[Country],Tabela1[[#This Row],[Country]],Table19[50m Rifle 3 Positions Classification],"&gt;0")</f>
        <v>0</v>
      </c>
      <c r="IL146" s="6">
        <f>COUNTIFS(Table53[Country],Tabela1[[#This Row],[Country]],Table53[Skeet Classification],"&gt;0")</f>
        <v>0</v>
      </c>
      <c r="IM146" s="6">
        <f>COUNTIFS(Table19[Country],Tabela1[[#This Row],[Country]],Table19[Skeet Classification],"&gt;0")</f>
        <v>0</v>
      </c>
      <c r="IN146" s="6">
        <f>COUNTIFS(Table54[Country],Tabela1[[#This Row],[Country]],Table54[Mixed Skeet Team Classification],"&gt;0")</f>
        <v>0</v>
      </c>
      <c r="IO146" s="6">
        <f>COUNTIFS(Table53[Country],Tabela1[[#This Row],[Country]],Table53[Trap Classification],"&gt;0")</f>
        <v>0</v>
      </c>
      <c r="IP146" s="6">
        <f>COUNTIFS(Table19[Country],Tabela1[[#This Row],[Country]],Table19[Trap Classification],"&gt;0")</f>
        <v>0</v>
      </c>
      <c r="IQ146" s="6">
        <f>COUNTIFS(Table73[Country],Tabela1[[#This Row],[Country]],Table73[Park Classification],"&gt;0")</f>
        <v>0</v>
      </c>
      <c r="IR146" s="6">
        <f>COUNTIFS(Table74[Country],Tabela1[[#This Row],[Country]],Table74[Park Classification],"&gt;0")</f>
        <v>0</v>
      </c>
      <c r="IS146" s="6">
        <f>COUNTIFS(Table73[Country],Tabela1[[#This Row],[Country]],Table73[Street Classification],"&gt;0")</f>
        <v>0</v>
      </c>
      <c r="IT146" s="6">
        <f>COUNTIFS(Table74[Country],Tabela1[[#This Row],[Country]],Table74[Street Classification],"&gt;0")</f>
        <v>0</v>
      </c>
      <c r="IU146" s="6">
        <f>COUNTIFS(Table75[Country],Tabela1[[#This Row],[Country]],Table75[Boulder and Lead Classification],"&gt;0")</f>
        <v>0</v>
      </c>
      <c r="IV146" s="6">
        <f>COUNTIFS(Table76[Country],Tabela1[[#This Row],[Country]],Table76[Boulder and Lead Classification],"&gt;0")</f>
        <v>0</v>
      </c>
      <c r="IW146" s="6">
        <f>COUNTIFS(Table75[Country],Tabela1[[#This Row],[Country]],Table75[Speed Classification],"&gt;0")</f>
        <v>0</v>
      </c>
      <c r="IX146" s="6">
        <f>COUNTIFS(Table76[Country],Tabela1[[#This Row],[Country]],Table76[Speed Classification],"&gt;0")</f>
        <v>0</v>
      </c>
      <c r="IY146" s="6">
        <f>COUNTIFS(Table64[Country],Tabela1[[#This Row],[Country]],Table64[Shortboard Classification],"&gt;0")</f>
        <v>0</v>
      </c>
      <c r="IZ146" s="6">
        <f>COUNTIFS(Table77[Country],Tabela1[[#This Row],[Country]],Table77[Shortboard Classification],"&gt;0")</f>
        <v>0</v>
      </c>
      <c r="JA146" s="6">
        <f>COUNTIFS(Table20[Country],Tabela1[[#This Row],[Country]],Table20[50m Freestyle Classification],"&gt;0")</f>
        <v>0</v>
      </c>
      <c r="JB146" s="6">
        <f>COUNTIFS(Table21[Country],Tabela1[[#This Row],[Country]],Table21[50m Freestyle Classification],"&gt;0")</f>
        <v>0</v>
      </c>
      <c r="JC146" s="6">
        <f>COUNTIFS(Table20[Country],Tabela1[[#This Row],[Country]],Table20[100m Freestyle Classification],"&gt;0")</f>
        <v>0</v>
      </c>
      <c r="JD146" s="6">
        <f>COUNTIFS(Table21[Country],Tabela1[[#This Row],[Country]],Table21[100m Freestyle Classification],"&gt;0")</f>
        <v>0</v>
      </c>
      <c r="JE146" s="6">
        <f>COUNTIFS(Table20[Country],Tabela1[[#This Row],[Country]],Table20[200m Freestyle Classification],"&gt;0")</f>
        <v>0</v>
      </c>
      <c r="JF146" s="6">
        <f>COUNTIFS(Table21[Country],Tabela1[[#This Row],[Country]],Table21[200m Freestyle Classification],"&gt;0")</f>
        <v>0</v>
      </c>
      <c r="JG146" s="6">
        <f>COUNTIFS(Table20[Country],Tabela1[[#This Row],[Country]],Table20[400m Freestyle Classification],"&gt;0")</f>
        <v>0</v>
      </c>
      <c r="JH146" s="6">
        <f>COUNTIFS(Table21[Country],Tabela1[[#This Row],[Country]],Table21[400m Freestyle Classification],"&gt;0")</f>
        <v>0</v>
      </c>
      <c r="JI146" s="6">
        <f>COUNTIFS(Table20[Country],Tabela1[[#This Row],[Country]],Table20[800m Freestyle Classification],"&gt;0")</f>
        <v>0</v>
      </c>
      <c r="JJ146" s="6">
        <f>COUNTIFS(Table21[Country],Tabela1[[#This Row],[Country]],Table21[800m Freestyle Classification],"&gt;0")</f>
        <v>0</v>
      </c>
      <c r="JK146" s="6">
        <f>COUNTIFS(Table20[Country],Tabela1[[#This Row],[Country]],Table20[1500m Freestyle Classification],"&gt;0")</f>
        <v>0</v>
      </c>
      <c r="JL146" s="6">
        <f>COUNTIFS(Table21[Country],Tabela1[[#This Row],[Country]],Table21[1500m Freestyle Classification],"&gt;0")</f>
        <v>0</v>
      </c>
      <c r="JM146" s="6">
        <f>COUNTIFS(Table20[Country],Tabela1[[#This Row],[Country]],Table20[100m Backstroke Classification],"&gt;0")</f>
        <v>0</v>
      </c>
      <c r="JN146" s="6">
        <f>COUNTIFS(Table21[Country],Tabela1[[#This Row],[Country]],Table21[100m Backstroke Classification],"&gt;0")</f>
        <v>0</v>
      </c>
      <c r="JO146" s="6">
        <f>COUNTIFS(Table20[Country],Tabela1[[#This Row],[Country]],Table20[200m Backstroke Classification],"&gt;0")</f>
        <v>0</v>
      </c>
      <c r="JP146" s="6">
        <f>COUNTIFS(Table21[Country],Tabela1[[#This Row],[Country]],Table21[200m Backstroke Classification],"&gt;0")</f>
        <v>0</v>
      </c>
      <c r="JQ146" s="6">
        <f>COUNTIFS(Table20[Country],Tabela1[[#This Row],[Country]],Table20[100m Breaststroke Classification],"&gt;0")</f>
        <v>0</v>
      </c>
      <c r="JR146" s="6">
        <f>COUNTIFS(Table21[Country],Tabela1[[#This Row],[Country]],Table21[100m Breaststroke Classification],"&gt;0")</f>
        <v>0</v>
      </c>
      <c r="JS146" s="6">
        <f>COUNTIFS(Table20[Country],Tabela1[[#This Row],[Country]],Table20[200m Breaststroke Classification],"&gt;0")</f>
        <v>0</v>
      </c>
      <c r="JT146" s="6">
        <f>COUNTIFS(Table21[Country],Tabela1[[#This Row],[Country]],Table21[200m Breaststroke Classification],"&gt;0")</f>
        <v>0</v>
      </c>
      <c r="JU146" s="6">
        <f>COUNTIFS(Table20[Country],Tabela1[[#This Row],[Country]],Table20[100m Butterfly Classification],"&gt;0")</f>
        <v>0</v>
      </c>
      <c r="JV146" s="6">
        <f>COUNTIFS(Table21[Country],Tabela1[[#This Row],[Country]],Table21[100m Butterfly Classification],"&gt;0")</f>
        <v>0</v>
      </c>
      <c r="JW146" s="6">
        <f>COUNTIFS(Table20[Country],Tabela1[[#This Row],[Country]],Table20[200m Butterfly Classification],"&gt;0")</f>
        <v>0</v>
      </c>
      <c r="JX146" s="6">
        <f>COUNTIFS(Table21[Country],Tabela1[[#This Row],[Country]],Table21[200m Butterfly Classification],"&gt;0")</f>
        <v>0</v>
      </c>
      <c r="JY146" s="6">
        <f>COUNTIFS(Table20[Country],Tabela1[[#This Row],[Country]],Table20[200m Medley Classification],"&gt;0")</f>
        <v>0</v>
      </c>
      <c r="JZ146" s="6">
        <f>COUNTIFS(Table21[Country],Tabela1[[#This Row],[Country]],Table21[200m Medley Classification],"&gt;0")</f>
        <v>0</v>
      </c>
      <c r="KA146" s="6">
        <f>COUNTIFS(Table20[Country],Tabela1[[#This Row],[Country]],Table20[400m Medley Classification],"&gt;0")</f>
        <v>0</v>
      </c>
      <c r="KB146" s="6">
        <f>COUNTIFS(Table21[Country],Tabela1[[#This Row],[Country]],Table21[400m Medley Classification],"&gt;0")</f>
        <v>0</v>
      </c>
      <c r="KC146" s="6">
        <f>COUNTIFS(Table78[Country],Tabela1[[#This Row],[Country]],Table78[Men''s 4x100m Freestyle Relay Classification],"&gt;0")</f>
        <v>0</v>
      </c>
      <c r="KD146" s="6">
        <f>COUNTIFS(Table78[Country],Tabela1[[#This Row],[Country]],Table78[Women''s 4x100m Freestyle Relay Classification],"&gt;0")</f>
        <v>0</v>
      </c>
      <c r="KE146" s="6">
        <f>COUNTIFS(Table78[Country],Tabela1[[#This Row],[Country]],Table78[Men''s 4x200m Freestyle Relay Classification],"&gt;0")</f>
        <v>0</v>
      </c>
      <c r="KF146" s="6">
        <f>COUNTIFS(Table78[Country],Tabela1[[#This Row],[Country]],Table78[Women''s 4x200m Freestyle Relay Classification],"&gt;0")</f>
        <v>0</v>
      </c>
      <c r="KG146" s="6">
        <f>COUNTIFS(Table78[Country],Tabela1[[#This Row],[Country]],Table78[Men''s 4x100m Medley Relay Classification],"&gt;0")</f>
        <v>0</v>
      </c>
      <c r="KH146" s="6">
        <f>COUNTIFS(Table78[Country],Tabela1[[#This Row],[Country]],Table78[Women''s 4x100m Medley Relay Classification],"&gt;0")</f>
        <v>0</v>
      </c>
      <c r="KI146" s="6">
        <f>COUNTIFS(Table78[Country],Tabela1[[#This Row],[Country]],Table78[Mixed 4x100m Medley Relay Classification],"&gt;0")</f>
        <v>0</v>
      </c>
      <c r="KJ146" s="6">
        <f>COUNTIFS(Table20[Country],Tabela1[[#This Row],[Country]],Table20[10km Open Water Classification],"&gt;0")</f>
        <v>0</v>
      </c>
      <c r="KK146" s="6">
        <f>COUNTIFS(Table21[Country],Tabela1[[#This Row],[Country]],Table21[10km Open Water Classification],"&gt;0")</f>
        <v>0</v>
      </c>
      <c r="KL146" s="6">
        <f>COUNTIFS(Table22[Country],Tabela1[[#This Row],[Country]],Table22[Classification],"&gt;0")</f>
        <v>0</v>
      </c>
      <c r="KM146" s="6">
        <f>COUNTIFS(Table30[Country],Tabela1[[#This Row],[Country]],Table30[Classification],"&gt;0")</f>
        <v>0</v>
      </c>
      <c r="KN146" s="6">
        <f>COUNTIFS(Table55[Country],Tabela1[[#This Row],[Country]],Table55[Men''s Classification],"&gt;0")</f>
        <v>0</v>
      </c>
      <c r="KO146" s="6">
        <f>COUNTIFS(Table55[Country],Tabela1[[#This Row],[Country]],Table55[Women''s Classification],"&gt;0")</f>
        <v>0</v>
      </c>
      <c r="KP146" s="6">
        <f>COUNTIFS(Table56[Country],Tabela1[[#This Row],[Country]],Table56[Mixed Classification],"&gt;0")</f>
        <v>0</v>
      </c>
      <c r="KQ146" s="6">
        <f>COUNTIFS(Table29[Country],Tabela1[[#This Row],[Country]],Table29[58kg Classification],"&gt;0")</f>
        <v>0</v>
      </c>
      <c r="KR146" s="6">
        <f>COUNTIFS(Table29[Country],Tabela1[[#This Row],[Country]],Table29[68kg Classification],"&gt;0")</f>
        <v>0</v>
      </c>
      <c r="KS146" s="6">
        <f>COUNTIFS(Table29[Country],Tabela1[[#This Row],[Country]],Table29[80kg Classification],"&gt;0")</f>
        <v>0</v>
      </c>
      <c r="KT146" s="6">
        <f>COUNTIFS(Table29[Country],Tabela1[[#This Row],[Country]],Table29[Plus 80kg Classification],"&gt;0")</f>
        <v>0</v>
      </c>
      <c r="KU146" s="6">
        <f>COUNTIFS(Table34[Country],Tabela1[[#This Row],[Country]],Table34[49kg Classification],"&gt;0")</f>
        <v>0</v>
      </c>
      <c r="KV146" s="6">
        <f>COUNTIFS(Table34[Country],Tabela1[[#This Row],[Country]],Table34[57kg Classification],"&gt;0")</f>
        <v>0</v>
      </c>
      <c r="KW146" s="6">
        <f>COUNTIFS(Table34[Country],Tabela1[[#This Row],[Country]],Table34[67kg Classification],"&gt;0")</f>
        <v>0</v>
      </c>
      <c r="KX146" s="6">
        <f>COUNTIFS(Table34[Country],Tabela1[[#This Row],[Country]],Table34[Plus 67kg Classification],"&gt;0")</f>
        <v>0</v>
      </c>
      <c r="KY146" s="6">
        <f>COUNTIFS(Table57[Country],Tabela1[[#This Row],[Country]],Table57[Classification],"&gt;0")</f>
        <v>0</v>
      </c>
      <c r="KZ146" s="6">
        <f>COUNTIFS(Table58[Country],Tabela1[[#This Row],[Country]],Table58[Classification],"&gt;0")</f>
        <v>0</v>
      </c>
      <c r="LA146" s="6">
        <f>COUNTIFS(Table79[Country],Tabela1[[#This Row],[Country]],Table79[Men''s Classification],"&gt;0")</f>
        <v>0</v>
      </c>
      <c r="LB146" s="6">
        <f>COUNTIFS(Table79[Country],Tabela1[[#This Row],[Country]],Table79[Women''s Classification],"&gt;0")</f>
        <v>0</v>
      </c>
      <c r="LC146" s="6">
        <f>COUNTIFS(Table79[Country],Tabela1[[#This Row],[Country]],Table79[Mixed Classification],"&gt;0")</f>
        <v>0</v>
      </c>
      <c r="LD146" s="6">
        <f>COUNTIFS(Table65[Country],Tabela1[[#This Row],[Country]],Table65[Classification],"&gt;0")</f>
        <v>0</v>
      </c>
      <c r="LE146" s="6">
        <f>COUNTIFS(Table59[Country],Tabela1[[#This Row],[Country]],Table59[Classification],"&gt;0")</f>
        <v>0</v>
      </c>
      <c r="LF146" s="6">
        <f>COUNTIFS(Table87[Country],Tabela1[[#This Row],[Country]],Table87[Mixed Relay Classification],"&gt;0")</f>
        <v>0</v>
      </c>
      <c r="LG146" s="6">
        <f>COUNTIFS(Table91949698100[Country],Tabela1[[#This Row],[Country]],Table91949698100[Men''s Classification],"&gt;0")</f>
        <v>0</v>
      </c>
      <c r="LH146" s="6">
        <f>COUNTIFS(Table91949698100[Country],Tabela1[[#This Row],[Country]],Table91949698100[Women''s Classification],"&gt;0")</f>
        <v>0</v>
      </c>
      <c r="LI146" s="6">
        <f>COUNTIFS(Table91949698100102[Country],Tabela1[[#This Row],[Country]],Table91949698100102[Men''s Classification],"&gt;0")</f>
        <v>0</v>
      </c>
      <c r="LJ146" s="6">
        <f>COUNTIFS(Table91949698100102[Country],Tabela1[[#This Row],[Country]],Table91949698100102[Women''s Classification],"&gt;0")</f>
        <v>0</v>
      </c>
      <c r="LK146" s="6">
        <f>COUNTIFS(Table23[Country],Tabela1[[#This Row],[Country]],Table23[61kg Classification],"&gt;0")</f>
        <v>0</v>
      </c>
      <c r="LL146" s="6">
        <f>COUNTIFS(Table23[Country],Tabela1[[#This Row],[Country]],Table23[73kg Classification],"&gt;0")</f>
        <v>0</v>
      </c>
      <c r="LM146" s="6">
        <f>COUNTIFS(Table23[Country],Tabela1[[#This Row],[Country]],Table23[89kg Classification],"&gt;0")</f>
        <v>0</v>
      </c>
      <c r="LN146" s="6">
        <f>COUNTIFS(Table23[Country],Tabela1[[#This Row],[Country]],Table23[102kg Classification],"&gt;0")</f>
        <v>0</v>
      </c>
      <c r="LO146" s="6">
        <f>COUNTIFS(Table23[Country],Tabela1[[#This Row],[Country]],Table23[Plus 102kg Classification],"&gt;0")</f>
        <v>0</v>
      </c>
      <c r="LP146" s="6">
        <f>COUNTIFS(Table28[Country],Tabela1[[#This Row],[Country]],Table28[49kg Classification],"&gt;0")</f>
        <v>0</v>
      </c>
      <c r="LQ146" s="6">
        <f>COUNTIFS(Table28[Country],Tabela1[[#This Row],[Country]],Table28[59kg Classification],"&gt;0")</f>
        <v>0</v>
      </c>
      <c r="LR146" s="6">
        <f>COUNTIFS(Table28[Country],Tabela1[[#This Row],[Country]],Table28[71kg Classification],"&gt;0")</f>
        <v>0</v>
      </c>
      <c r="LS146" s="6">
        <f>COUNTIFS(Table28[Country],Tabela1[[#This Row],[Country]],Table28[81kg Classification],"&gt;0")</f>
        <v>0</v>
      </c>
      <c r="LT146" s="6">
        <f>COUNTIFS(Table28[Country],Tabela1[[#This Row],[Country]],Table28[Plus 81kg Classification],"&gt;0")</f>
        <v>0</v>
      </c>
      <c r="LU146" s="6">
        <f>COUNTIFS(Table24[Country],Tabela1[[#This Row],[Country]],Table24[Freestyle 57kg Classification],"&gt;0")</f>
        <v>0</v>
      </c>
      <c r="LV146" s="6">
        <f>COUNTIFS(Table24[Country],Tabela1[[#This Row],[Country]],Table24[Freestyle 65kg Classification],"&gt;0")</f>
        <v>0</v>
      </c>
      <c r="LW146" s="6">
        <f>COUNTIFS(Table24[Country],Tabela1[[#This Row],[Country]],Table24[Freestyle 74kg Classification],"&gt;0")</f>
        <v>0</v>
      </c>
      <c r="LX146" s="6">
        <f>COUNTIFS(Table24[Country],Tabela1[[#This Row],[Country]],Table24[Freestyle 86kg Classification],"&gt;0")</f>
        <v>0</v>
      </c>
      <c r="LY146" s="6">
        <f>COUNTIFS(Table24[Country],Tabela1[[#This Row],[Country]],Table24[Freestyle 97kg Classification],"&gt;0")</f>
        <v>0</v>
      </c>
      <c r="LZ146" s="6">
        <f>COUNTIFS(Table24[Country],Tabela1[[#This Row],[Country]],Table24[Freestyle 125kg Classification],"&gt;0")</f>
        <v>0</v>
      </c>
      <c r="MA146" s="6">
        <f>COUNTIFS(Table24[Country],Tabela1[[#This Row],[Country]],Table24[Greco-Roman 60kg Classification],"&gt;0")</f>
        <v>0</v>
      </c>
      <c r="MB146" s="6">
        <f>COUNTIFS(Table24[Country],Tabela1[[#This Row],[Country]],Table24[Greco-Roman 67kg Classification],"&gt;0")</f>
        <v>0</v>
      </c>
      <c r="MC146" s="6">
        <f>COUNTIFS(Table24[Country],Tabela1[[#This Row],[Country]],Table24[Greco-Roman 77kg Classification],"&gt;0")</f>
        <v>0</v>
      </c>
      <c r="MD146" s="6">
        <f>COUNTIFS(Table24[Country],Tabela1[[#This Row],[Country]],Table24[Greco-Roman 87kg Classification],"&gt;0")</f>
        <v>0</v>
      </c>
      <c r="ME146" s="6">
        <f>COUNTIFS(Table24[Country],Tabela1[[#This Row],[Country]],Table24[Greco-Roman 97kg Classification],"&gt;0")</f>
        <v>0</v>
      </c>
      <c r="MF146" s="6">
        <f>COUNTIFS(Table24[Country],Tabela1[[#This Row],[Country]],Table24[Greco-Roman 130kg Classification],"&gt;0")</f>
        <v>0</v>
      </c>
      <c r="MG146" s="6">
        <f>COUNTIFS(Table31[Country],Tabela1[[#This Row],[Country]],Table31[50kg Classification],"&gt;0")</f>
        <v>0</v>
      </c>
      <c r="MH146" s="6">
        <f>COUNTIFS(Table31[Country],Tabela1[[#This Row],[Country]],Table31[53kg Classification],"&gt;0")</f>
        <v>0</v>
      </c>
      <c r="MI146" s="6">
        <f>COUNTIFS(Table31[Country],Tabela1[[#This Row],[Country]],Table31[57kg Classification],"&gt;0")</f>
        <v>0</v>
      </c>
      <c r="MJ146" s="6">
        <f>COUNTIFS(Table31[Country],Tabela1[[#This Row],[Country]],Table31[62kg Classification],"&gt;0")</f>
        <v>0</v>
      </c>
      <c r="MK146" s="6">
        <f>COUNTIFS(Table31[Country],Tabela1[[#This Row],[Country]],Table31[68kg Classification],"&gt;0")</f>
        <v>0</v>
      </c>
      <c r="ML146" s="6">
        <f>COUNTIFS(Table31[Country],Tabela1[[#This Row],[Country]],Table31[76kg Classification],"&gt;0")</f>
        <v>0</v>
      </c>
      <c r="MM146" s="6">
        <f>COUNTIFS(Table102[Country],Tabela1[[#This Row],[Country]],Table102[Downhill Classification],"&gt;0")</f>
        <v>0</v>
      </c>
      <c r="MN146" s="6">
        <f>COUNTIFS(Table102105[Country],Tabela1[[#This Row],[Country]],Table102105[Downhill Classification],"&gt;0")</f>
        <v>0</v>
      </c>
      <c r="MO146" s="6">
        <f>COUNTIFS(Table102[Country],Tabela1[[#This Row],[Country]],Table102[Giant Slalom Classification],"&gt;0")</f>
        <v>0</v>
      </c>
      <c r="MP146" s="6">
        <f>COUNTIFS(Table102105[Country],Tabela1[[#This Row],[Country]],Table102105[Giant Slalom Classification],"&gt;0")</f>
        <v>0</v>
      </c>
      <c r="MQ146" s="6">
        <f>COUNTIFS(Table102[Country],Tabela1[[#This Row],[Country]],Table102[Slalom Classification],"&gt;0")</f>
        <v>0</v>
      </c>
      <c r="MR146" s="6">
        <f>COUNTIFS(Table102105[Country],Tabela1[[#This Row],[Country]],Table102105[Slalom Classification],"&gt;0")</f>
        <v>0</v>
      </c>
      <c r="MS146" s="6">
        <f>COUNTIFS(Table102[Country],Tabela1[[#This Row],[Country]],Table102[Super-G Classification],"&gt;0")</f>
        <v>0</v>
      </c>
      <c r="MT146" s="6">
        <f>COUNTIFS(Table102105[Country],Tabela1[[#This Row],[Country]],Table102105[Super-G Classification],"&gt;0")</f>
        <v>0</v>
      </c>
      <c r="MU146" s="6">
        <f>COUNTIFS(Table105[Country],Tabela1[[#This Row],[Country]],Table105[Men''s Combined Classification],"&gt;0")</f>
        <v>0</v>
      </c>
      <c r="MV146" s="6">
        <f>COUNTIFS(Table105[Country],Tabela1[[#This Row],[Country]],Table105[Women''s Combined Classification],"&gt;0")</f>
        <v>0</v>
      </c>
      <c r="MW146" s="6">
        <f>COUNTIFS(Table106[Country],Tabela1[[#This Row],[Country]],Table106[Individual Classification],"&gt;0")</f>
        <v>0</v>
      </c>
      <c r="MX146" s="6">
        <f>COUNTIFS(Table106109[Country],Tabela1[[#This Row],[Country]],Table106109[Individual Classification],"&gt;0")</f>
        <v>0</v>
      </c>
      <c r="MY146" s="6">
        <f>COUNTIFS(Table106[Country],Tabela1[[#This Row],[Country]],Table106[Mass Start Classification],"&gt;0")</f>
        <v>0</v>
      </c>
      <c r="MZ146" s="6">
        <f>COUNTIFS(Table106109[Country],Tabela1[[#This Row],[Country]],Table106109[Mass Start Classification],"&gt;0")</f>
        <v>0</v>
      </c>
      <c r="NA146" s="6">
        <f>COUNTIFS(Table106[Country],Tabela1[[#This Row],[Country]],Table106[Pursuit Classification],"&gt;0")</f>
        <v>0</v>
      </c>
      <c r="NB146" s="6">
        <f>COUNTIFS(Table106109[Country],Tabela1[[#This Row],[Country]],Table106109[Pursuit Classification],"&gt;0")</f>
        <v>0</v>
      </c>
      <c r="NC146" s="6">
        <f>COUNTIFS(Table106[Country],Tabela1[[#This Row],[Country]],Table106[Sprint Classification],"&gt;0")</f>
        <v>0</v>
      </c>
      <c r="ND146" s="6">
        <f>COUNTIFS(Table106109[Country],Tabela1[[#This Row],[Country]],Table106109[Sprint Classification],"&gt;0")</f>
        <v>0</v>
      </c>
      <c r="NE146" s="6">
        <f>COUNTIFS(Table109[Country],Tabela1[[#This Row],[Country]],Table109[Men''s Relay Classification],"&gt;0")</f>
        <v>0</v>
      </c>
      <c r="NF146" s="6">
        <f>COUNTIFS(Table109[Country],Tabela1[[#This Row],[Country]],Table109[Women''s Relay Classification],"&gt;0")</f>
        <v>0</v>
      </c>
      <c r="NG146" s="6">
        <f>COUNTIFS(Table109[Country],Tabela1[[#This Row],[Country]],Table109[Mixed Relay Classification],"&gt;0")</f>
        <v>0</v>
      </c>
      <c r="NH146" s="6">
        <f>COUNTIFS(Table110[Country],Tabela1[[#This Row],[Country]],Table110[Monobob Classification],"&gt;0")</f>
        <v>0</v>
      </c>
      <c r="NI146" s="6">
        <f>COUNTIFS(Table111[Country],Tabela1[[#This Row],[Country]],Table111[Men''s Classification],"&gt;0")</f>
        <v>0</v>
      </c>
      <c r="NJ146" s="6">
        <f>COUNTIFS(Table111[Country],Tabela1[[#This Row],[Country]],Table111[Women''s Classification],"&gt;0")</f>
        <v>0</v>
      </c>
      <c r="NK146" s="6">
        <f>COUNTIFS(Table112[Country],Tabela1[[#This Row],[Country]],Table112[Men''s Four Classification],"&gt;0")</f>
        <v>0</v>
      </c>
      <c r="NL146" s="6">
        <f>COUNTIFS(Table113[Country],Tabela1[[#This Row],[Country]],Table113[Classical Classification],"&gt;0")</f>
        <v>0</v>
      </c>
      <c r="NM146" s="6">
        <f>COUNTIFS(Table113116[Country],Tabela1[[#This Row],[Country]],Table113116[Classical Classification],"&gt;0")</f>
        <v>0</v>
      </c>
      <c r="NN146" s="6">
        <f>COUNTIFS(Table113[Country],Tabela1[[#This Row],[Country]],Table113[Freestyle Classification],"&gt;0")</f>
        <v>0</v>
      </c>
      <c r="NO146" s="6">
        <f>COUNTIFS(Table113116[Country],Tabela1[[#This Row],[Country]],Table113116[Freestyle Classification],"&gt;0")</f>
        <v>0</v>
      </c>
      <c r="NP146" s="6">
        <f>COUNTIFS(Table117[Country],Tabela1[[#This Row],[Country]],Table117[Men''s Relay Classification],"&gt;0")</f>
        <v>0</v>
      </c>
      <c r="NQ146" s="6">
        <f>COUNTIFS(Table117[Country],Tabela1[[#This Row],[Country]],Table117[Women''s Relay Classification],"&gt;0")</f>
        <v>0</v>
      </c>
      <c r="NR146" s="6">
        <f>COUNTIFS(Table113[Country],Tabela1[[#This Row],[Country]],Table113[Skiathlon Classification],"&gt;0")</f>
        <v>0</v>
      </c>
      <c r="NS146" s="6">
        <f>COUNTIFS(Table113116[Country],Tabela1[[#This Row],[Country]],Table113116[Skiathlon Classification],"&gt;0")</f>
        <v>0</v>
      </c>
      <c r="NT146" s="6">
        <f>COUNTIFS(Table113[Country],Tabela1[[#This Row],[Country]],Table113[Sprint Classification],"&gt;0")</f>
        <v>0</v>
      </c>
      <c r="NU146" s="6">
        <f>COUNTIFS(Table113116[Country],Tabela1[[#This Row],[Country]],Table113116[Sprint Classification],"&gt;0")</f>
        <v>0</v>
      </c>
      <c r="NV146" s="6">
        <f>COUNTIFS(Table116[Country],Tabela1[[#This Row],[Country]],Table116[Men''s Team Sprint Classification],"&gt;0")</f>
        <v>0</v>
      </c>
      <c r="NW146" s="6">
        <f>COUNTIFS(Table116[Country],Tabela1[[#This Row],[Country]],Table116[Women''s Team Sprint Classification],"&gt;0")</f>
        <v>0</v>
      </c>
      <c r="NX146" s="6">
        <f>COUNTIFS(Table119[Country],Tabela1[[#This Row],[Country]],Table119[Men''s Classification],"&gt;0")</f>
        <v>0</v>
      </c>
      <c r="NY146" s="6">
        <f>COUNTIFS(Table119[Country],Tabela1[[#This Row],[Country]],Table119[Women''s Classification],"&gt;0")</f>
        <v>0</v>
      </c>
      <c r="NZ146" s="6">
        <f>COUNTIFS(Table118[Country],Tabela1[[#This Row],[Country]],Table118[Mixed Classification],"&gt;0")</f>
        <v>0</v>
      </c>
      <c r="OA146" s="6">
        <f>COUNTIFS(Table120[Country],Tabela1[[#This Row],[Country]],Table120[Classification],"&gt;0")</f>
        <v>0</v>
      </c>
      <c r="OB146" s="6">
        <f>COUNTIFS(Table120123[Country],Tabela1[[#This Row],[Country]],Table120123[Classification],"&gt;0")</f>
        <v>0</v>
      </c>
      <c r="OC146" s="6">
        <f>COUNTIFS(Table123[Country],Tabela1[[#This Row],[Country]],Table123[Ice Dance Classification],"&gt;0")</f>
        <v>0</v>
      </c>
      <c r="OD146" s="6">
        <f>COUNTIFS(Table123[Country],Tabela1[[#This Row],[Country]],Table123[Pair Skating Classification],"&gt;0")</f>
        <v>0</v>
      </c>
      <c r="OE146" s="6">
        <f>COUNTIFS(Table124[Country],Tabela1[[#This Row],[Country]],Table124[Mixed Classification],"&gt;0")</f>
        <v>0</v>
      </c>
      <c r="OF146" s="6">
        <f>COUNTIFS(Table125[Country],Tabela1[[#This Row],[Country]],Table125[Aerials Classification],"&gt;0")</f>
        <v>0</v>
      </c>
      <c r="OG146" s="6">
        <f>COUNTIFS(Table125128[Country],Tabela1[[#This Row],[Country]],Table125128[Aerials Classification],"&gt;0")</f>
        <v>0</v>
      </c>
      <c r="OH146" s="6">
        <f>COUNTIFS(Table128[Country],Tabela1[[#This Row],[Country]],Table128[Mixed Aerials Classification],"&gt;0")</f>
        <v>0</v>
      </c>
      <c r="OI146" s="6">
        <f>COUNTIFS(Table125[Country],Tabela1[[#This Row],[Country]],Table125[Big Air Classification],"&gt;0")</f>
        <v>0</v>
      </c>
      <c r="OJ146" s="6">
        <f>COUNTIFS(Table125128[Country],Tabela1[[#This Row],[Country]],Table125128[Big Air Classification],"&gt;0")</f>
        <v>0</v>
      </c>
      <c r="OK146" s="6">
        <f>COUNTIFS(Table125[Country],Tabela1[[#This Row],[Country]],Table125[Dual Moguls Classification],"&gt;0")</f>
        <v>0</v>
      </c>
      <c r="OL146" s="6">
        <f>COUNTIFS(Table125128[Country],Tabela1[[#This Row],[Country]],Table125128[Dual Moguls Classification],"&gt;0")</f>
        <v>0</v>
      </c>
      <c r="OM146" s="6">
        <f>COUNTIFS(Table125[Country],Tabela1[[#This Row],[Country]],Table125[Halfpipe Classification],"&gt;0")</f>
        <v>0</v>
      </c>
      <c r="ON146" s="6">
        <f>COUNTIFS(Table125128[Country],Tabela1[[#This Row],[Country]],Table125128[Halfpipe Classification],"&gt;0")</f>
        <v>0</v>
      </c>
      <c r="OO146" s="6">
        <f>COUNTIFS(Table125[Country],Tabela1[[#This Row],[Country]],Table125[Moguls Classification],"&gt;0")</f>
        <v>0</v>
      </c>
      <c r="OP146" s="6">
        <f>COUNTIFS(Table125128[Country],Tabela1[[#This Row],[Country]],Table125128[Moguls Classification],"&gt;0")</f>
        <v>0</v>
      </c>
      <c r="OQ146" s="6">
        <f>COUNTIFS(Table125[Country],Tabela1[[#This Row],[Country]],Table125[Ski Cross Classification],"&gt;0")</f>
        <v>0</v>
      </c>
      <c r="OR146" s="6">
        <f>COUNTIFS(Table125128[Country],Tabela1[[#This Row],[Country]],Table125128[Ski Cross Classification],"&gt;0")</f>
        <v>0</v>
      </c>
      <c r="OS146" s="6">
        <f>COUNTIFS(Table125[Country],Tabela1[[#This Row],[Country]],Table125[Slopestyle Classification],"&gt;0")</f>
        <v>0</v>
      </c>
      <c r="OT146" s="6">
        <f>COUNTIFS(Table125128[Country],Tabela1[[#This Row],[Country]],Table125128[Slopestyle Classification],"&gt;0")</f>
        <v>0</v>
      </c>
      <c r="OU146" s="6">
        <f>COUNTIFS(Table119131[Country],Tabela1[[#This Row],[Country]],Table119131[Men''s Classification],"&gt;0")</f>
        <v>0</v>
      </c>
      <c r="OV146" s="6">
        <f>COUNTIFS(Table119131[Country],Tabela1[[#This Row],[Country]],Table119131[Women''s Classification],"&gt;0")</f>
        <v>0</v>
      </c>
      <c r="OW146" s="6">
        <f>COUNTIFS(Table131[Country],Tabela1[[#This Row],[Country]],Table131[Classification],"&gt;0")</f>
        <v>0</v>
      </c>
      <c r="OX146" s="6">
        <f>COUNTIFS(Table131134[Country],Tabela1[[#This Row],[Country]],Table131134[Classification],"&gt;0")</f>
        <v>0</v>
      </c>
      <c r="OY146" s="6">
        <f>COUNTIFS(Table134[Country],Tabela1[[#This Row],[Country]],Table134[Men''s Classification],"&gt;0")</f>
        <v>0</v>
      </c>
      <c r="OZ146" s="6">
        <f>COUNTIFS(Table134[Country],Tabela1[[#This Row],[Country]],Table134[Women''s Classification],"&gt;0")</f>
        <v>0</v>
      </c>
      <c r="PA146" s="6">
        <f>COUNTIFS(Table135[Country],Tabela1[[#This Row],[Country]],Table135[Mixed Relay Classification],"&gt;0")</f>
        <v>0</v>
      </c>
      <c r="PB146" s="6">
        <f>COUNTIFS(Table136[Country],Tabela1[[#This Row],[Country]],Table136[Individual Classification],"&gt;0")</f>
        <v>0</v>
      </c>
      <c r="PC146" s="6">
        <f>COUNTIFS(Table136[Country],Tabela1[[#This Row],[Country]],Table136[Sprint Classification],"&gt;0")</f>
        <v>0</v>
      </c>
      <c r="PD146" s="6">
        <f>COUNTIFS(Table137[Country],Tabela1[[#This Row],[Country]],Table137[Men''s Team Sprint Large Hill Classification],"&gt;0")</f>
        <v>0</v>
      </c>
      <c r="PE146" s="6">
        <f>COUNTIFS(Table138[Country],Tabela1[[#This Row],[Country]],Table138[500m Classification],"&gt;0")</f>
        <v>0</v>
      </c>
      <c r="PF146" s="6">
        <f>COUNTIFS(Table138141[Country],Tabela1[[#This Row],[Country]],Table138141[500m Classification],"&gt;0")</f>
        <v>0</v>
      </c>
      <c r="PG146" s="6">
        <f>COUNTIFS(Table138[Country],Tabela1[[#This Row],[Country]],Table138[1000m Classification],"&gt;0")</f>
        <v>0</v>
      </c>
      <c r="PH146" s="6">
        <f>COUNTIFS(Table138141[Country],Tabela1[[#This Row],[Country]],Table138141[1000m Classification],"&gt;0")</f>
        <v>0</v>
      </c>
      <c r="PI146" s="6">
        <f>COUNTIFS(Table138[Country],Tabela1[[#This Row],[Country]],Table138[1500m Classification],"&gt;0")</f>
        <v>0</v>
      </c>
      <c r="PJ146" s="6">
        <f>COUNTIFS(Table138141[Country],Tabela1[[#This Row],[Country]],Table138141[1500m Classification],"&gt;0")</f>
        <v>0</v>
      </c>
      <c r="PK146" s="6">
        <f>COUNTIFS(Table141[Country],Tabela1[[#This Row],[Country]],Table141[Men''s 5000m Relay Classification],"&gt;0")</f>
        <v>0</v>
      </c>
      <c r="PL146" s="6">
        <f>COUNTIFS(Table141[Country],Tabela1[[#This Row],[Country]],Table141[Women''s 3000m Relay Classification],"&gt;0")</f>
        <v>0</v>
      </c>
      <c r="PM146" s="6">
        <f>COUNTIFS(Table141[Country],Tabela1[[#This Row],[Country]],Table141[Mixed 2000m Relay Classification],"&gt;0")</f>
        <v>0</v>
      </c>
      <c r="PN146" s="6">
        <f>COUNTIFS(Table142[Country],Tabela1[[#This Row],[Country]],Table142[Classification],"&gt;0")</f>
        <v>0</v>
      </c>
      <c r="PO146" s="6">
        <f>COUNTIFS(Table142145[Country],Tabela1[[#This Row],[Country]],Table142145[Classification],"&gt;0")</f>
        <v>0</v>
      </c>
      <c r="PP146" s="6">
        <f>COUNTIFS(Tabela15[Country],Tabela1[[#This Row],[Country]],Tabela15[Mixed Team Classification],"&gt;0")</f>
        <v>0</v>
      </c>
      <c r="PQ146" s="6">
        <f>COUNTIFS(Table145[Country],Tabela1[[#This Row],[Country]],Table145[Large Hill Classification],"&gt;0")</f>
        <v>0</v>
      </c>
      <c r="PR146" s="6">
        <f>COUNTIFS(Table145[Country],Tabela1[[#This Row],[Country]],Table145[Normal Hill Classification],"&gt;0")</f>
        <v>0</v>
      </c>
      <c r="PS146" s="6">
        <f>COUNTIFS(Table145148[Country],Tabela1[[#This Row],[Country]],Table145148[Large Hill Classification],"&gt;0")</f>
        <v>0</v>
      </c>
      <c r="PT146" s="6">
        <f>COUNTIFS(Table145148[Country],Tabela1[[#This Row],[Country]],Table145148[Normal Hill Classification],"&gt;0")</f>
        <v>0</v>
      </c>
      <c r="PU146" s="6">
        <f>COUNTIFS(Table148[Country],Tabela1[[#This Row],[Country]],Table148[Men''s Super Team Classification],"&gt;0")</f>
        <v>0</v>
      </c>
      <c r="PV146" s="6">
        <f>COUNTIFS(Tabela114[Country],Tabela1[[#This Row],[Country]],Tabela114[Mixed Normal Hill Classification],"&gt;0")</f>
        <v>0</v>
      </c>
      <c r="PW146" s="6">
        <f>COUNTIFS(Tabela50[Country],Tabela1[[#This Row],[Country]],Tabela50[Sprint Classification],"&gt;0")</f>
        <v>0</v>
      </c>
      <c r="PX146" s="6">
        <f>COUNTIFS(Tabela50101[Country],Tabela1[[#This Row],[Country]],Tabela50101[Sprint Classification],"&gt;0")</f>
        <v>0</v>
      </c>
      <c r="PY146" s="6">
        <f>COUNTIFS(Tabela103[Country],Tabela1[[#This Row],[Country]],Tabela103[Mixed Relay Classification],"&gt;0")</f>
        <v>0</v>
      </c>
      <c r="PZ146" s="6">
        <f>COUNTIFS(Table149[Country],Tabela1[[#This Row],[Country]],Table149[Big Air Classification],"&gt;0")</f>
        <v>0</v>
      </c>
      <c r="QA146" s="6">
        <f>COUNTIFS(Table149152[Country],Tabela1[[#This Row],[Country]],Table149152[Big Air Classification],"&gt;0")</f>
        <v>0</v>
      </c>
      <c r="QB146" s="6">
        <f>COUNTIFS(Table149[Country],Tabela1[[#This Row],[Country]],Table149[Halfpipe Classification],"&gt;0")</f>
        <v>0</v>
      </c>
      <c r="QC146" s="6">
        <f>COUNTIFS(Table149152[Country],Tabela1[[#This Row],[Country]],Table149152[Halfpipe Classification],"&gt;0")</f>
        <v>0</v>
      </c>
      <c r="QD146" s="6">
        <f>COUNTIFS(Table149[Country],Tabela1[[#This Row],[Country]],Table149[Parallel Giant Slalom Classification],"&gt;0")</f>
        <v>0</v>
      </c>
      <c r="QE146" s="6">
        <f>COUNTIFS(Table149152[Country],Tabela1[[#This Row],[Country]],Table149152[Parallel Giant Slalom Classification],"&gt;0")</f>
        <v>0</v>
      </c>
      <c r="QF146" s="6">
        <f>COUNTIFS(Table149[Country],Tabela1[[#This Row],[Country]],Table149[Slopestyle Classification],"&gt;0")</f>
        <v>0</v>
      </c>
      <c r="QG146" s="6">
        <f>COUNTIFS(Table149152[Country],Tabela1[[#This Row],[Country]],Table149152[Slopestyle Classification],"&gt;0")</f>
        <v>0</v>
      </c>
      <c r="QH146" s="6">
        <f>COUNTIFS(Table149[Country],Tabela1[[#This Row],[Country]],Table149[Snowboard Cross Classification],"&gt;0")</f>
        <v>0</v>
      </c>
      <c r="QI146" s="6">
        <f>COUNTIFS(Table149152[Country],Tabela1[[#This Row],[Country]],Table149152[Snowboard Cross Classification],"&gt;0")</f>
        <v>0</v>
      </c>
      <c r="QJ146" s="6">
        <f>COUNTIFS(Table153[Country],Tabela1[[#This Row],[Country]],Table153[Mixed Team Snowboard Cross Classification],"&gt;0")</f>
        <v>0</v>
      </c>
      <c r="QK146" s="6">
        <f>COUNTIFS(Table154[Country],Tabela1[[#This Row],[Country]],Table154[500m Classification],"&gt;0")</f>
        <v>0</v>
      </c>
      <c r="QL146" s="6">
        <f>COUNTIFS(Table154157[Country],Tabela1[[#This Row],[Country]],Table154157[500m Classification],"&gt;0")</f>
        <v>0</v>
      </c>
      <c r="QM146" s="6">
        <f>COUNTIFS(Table154[Country],Tabela1[[#This Row],[Country]],Table154[1000m Classification],"&gt;0")</f>
        <v>0</v>
      </c>
      <c r="QN146" s="6">
        <f>COUNTIFS(Table154157[Country],Tabela1[[#This Row],[Country]],Table154157[1000m Classification],"&gt;0")</f>
        <v>0</v>
      </c>
      <c r="QO146" s="6">
        <f>COUNTIFS(Table154[Country],Tabela1[[#This Row],[Country]],Table154[1500m Classification],"&gt;0")</f>
        <v>0</v>
      </c>
      <c r="QP146" s="6">
        <f>COUNTIFS(Table154157[Country],Tabela1[[#This Row],[Country]],Table154157[1500m Classification],"&gt;0")</f>
        <v>0</v>
      </c>
      <c r="QQ146" s="6">
        <f>COUNTIFS(Table154157[Country],Tabela1[[#This Row],[Country]],Table154157[3000m Classification],"&gt;0")</f>
        <v>0</v>
      </c>
      <c r="QR146" s="6">
        <f>COUNTIFS(Table154[Country],Tabela1[[#This Row],[Country]],Table154[5000m Classification],"&gt;0")</f>
        <v>0</v>
      </c>
      <c r="QS146" s="6">
        <f>COUNTIFS(Table154157[Country],Tabela1[[#This Row],[Country]],Table154157[5000m Classification],"&gt;0")</f>
        <v>0</v>
      </c>
      <c r="QT146" s="6">
        <f>COUNTIFS(Table154[Country],Tabela1[[#This Row],[Country]],Table154[10000m Classification],"&gt;0")</f>
        <v>0</v>
      </c>
      <c r="QU146" s="6">
        <f>COUNTIFS(Table154[Country],Tabela1[[#This Row],[Country]],Table154[Mass Start Classification],"&gt;0")</f>
        <v>0</v>
      </c>
      <c r="QV146" s="6">
        <f>COUNTIFS(Table154157[Country],Tabela1[[#This Row],[Country]],Table154157[Mass Start Classification],"&gt;0")</f>
        <v>0</v>
      </c>
      <c r="QW146" s="6">
        <f>COUNTIFS(Table157[Country],Tabela1[[#This Row],[Country]],Table157[Men''s Pursuit Classification],"&gt;0")</f>
        <v>0</v>
      </c>
      <c r="QX146" s="6">
        <f>COUNTIFS(Table157[Country],Tabela1[[#This Row],[Country]],Table157[Women''s Pursuit Classification],"&gt;0")</f>
        <v>0</v>
      </c>
      <c r="QY146" s="4" t="s">
        <v>465</v>
      </c>
    </row>
    <row r="147" spans="1:467" x14ac:dyDescent="0.3">
      <c r="A147" s="6">
        <v>146</v>
      </c>
      <c r="B147" s="6" t="s">
        <v>648</v>
      </c>
      <c r="C147" t="e" vm="146">
        <f>IF(ISBLANK(Tabela1[[#This Row],[Image Link]]), "", _xlfn.IMAGE(Tabela1[[#This Row],[Image Link]],1,1))</f>
        <v>#VALUE!</v>
      </c>
      <c r="D147" s="6">
        <f>SUM(Tabela1[[#This Row],[Archery - Men''s Individual Recurve]:[Speed Skating - Women''s Team Pursuit]])</f>
        <v>1</v>
      </c>
      <c r="E147" s="6">
        <f>COUNTIF(Tabela1[[#This Row],[Archery - Men''s Individual Recurve]:[Speed Skating - Women''s Team Pursuit]],"&gt;0")</f>
        <v>1</v>
      </c>
      <c r="F147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47" s="6">
        <f>SUM(Tabela1[[#This Row],[Archery - Men''s Individual Recurve]:[Wrestling - Women''s Freestyle 76kg]])</f>
        <v>1</v>
      </c>
      <c r="H147" s="6">
        <f>SUM(Tabela1[[#This Row],[Alpine Skiing - Men''s Downhill]:[Speed Skating - Women''s Team Pursuit]])</f>
        <v>0</v>
      </c>
      <c r="I147" s="6">
        <f>Tabela1[[#This Row],[Summer Gold Medals]]+Tabela1[[#This Row],[Winter Gold Medals]]</f>
        <v>0</v>
      </c>
      <c r="J147" s="6">
        <f>Tabela1[[#This Row],[Summer Silver Medals]]+Tabela1[[#This Row],[Winter Silver Medals]]</f>
        <v>0</v>
      </c>
      <c r="K147" s="6">
        <f>Tabela1[[#This Row],[Summer Bronze Medals]]+Tabela1[[#This Row],[Winter Bronze Medals]]</f>
        <v>0</v>
      </c>
      <c r="L147" s="6">
        <f>SUM(Tabela1[[#This Row],[Total Gold Medals]:[Total Bronze Medals]])</f>
        <v>0</v>
      </c>
      <c r="M147" s="6"/>
      <c r="N147" s="6"/>
      <c r="O147" s="6"/>
      <c r="P147" s="6">
        <f>SUM(Tabela1[[#This Row],[Summer Gold Medals]:[Summer Bronze Medals]])</f>
        <v>0</v>
      </c>
      <c r="Q147" s="6"/>
      <c r="R147" s="6"/>
      <c r="S147" s="6"/>
      <c r="T147" s="6">
        <f>Tabela1[[#This Row],[Winter Gold Medals]]+Tabela1[[#This Row],[Winter Silver Medals]]+Tabela1[[#This Row],[Winter Bronze Medals]]</f>
        <v>0</v>
      </c>
      <c r="U147" s="7">
        <f>Tabela1[[#This Row],[Total Medals]]/Tabela1[[#This Row],[Total Quotas]]</f>
        <v>0</v>
      </c>
      <c r="V147" s="6">
        <f>COUNTIFS(Table3[Country],Tabela1[[#This Row],[Country]],Table3[Recurve Classification],"&gt;0")</f>
        <v>0</v>
      </c>
      <c r="W147" s="6">
        <f>COUNTIFS(Table33[Country],Tabela1[[#This Row],[Country]],Table33[Recurve Classification],"&gt;0")</f>
        <v>0</v>
      </c>
      <c r="X147" s="6">
        <f>COUNTIFS(Table35[Country],Tabela1[[#This Row],[Country]],Table35[Men''s Team Recurve Classification],"&gt;0")</f>
        <v>0</v>
      </c>
      <c r="Y147" s="6">
        <f>COUNTIFS(Table35[Country],Tabela1[[#This Row],[Country]],Table35[Women''s Team Recurve Classification],"&gt;0")</f>
        <v>0</v>
      </c>
      <c r="Z147" s="6">
        <f>COUNTIFS(Tabela88[Country],Tabela1[[#This Row],[Country]],Tabela88[Mixed Team Recurve Classification],"&gt;0")</f>
        <v>0</v>
      </c>
      <c r="AA147" s="6">
        <f>COUNTIFS(Table36[Country],Tabela1[[#This Row],[Country]],Table36[Classification],"&gt;0")</f>
        <v>0</v>
      </c>
      <c r="AB147" s="6">
        <f>COUNTIFS(Table37[Country],Tabela1[[#This Row],[Country]],Table37[Classification],"&gt;0")</f>
        <v>0</v>
      </c>
      <c r="AC147" s="6">
        <f>COUNTIFS(Table4[Country],Tabela1[[#This Row],[Country]],Table4[100m Classification],"&gt;0")</f>
        <v>0</v>
      </c>
      <c r="AD147" s="6">
        <f>COUNTIFS(Table5[Country],Tabela1[[#This Row],[Country]],Table5[100m Classification],"&gt;0")</f>
        <v>0</v>
      </c>
      <c r="AE147" s="6">
        <f>COUNTIFS(Table4[Country],Tabela1[[#This Row],[Country]],Table4[200m Classification],"&gt;0")</f>
        <v>0</v>
      </c>
      <c r="AF147" s="6">
        <f>COUNTIFS(Table5[Country],Tabela1[[#This Row],[Country]],Table5[200m Classification],"&gt;0")</f>
        <v>0</v>
      </c>
      <c r="AG147" s="6">
        <f>COUNTIFS(Table4[Country],Tabela1[[#This Row],[Country]],Table4[400m Classification],"&gt;0")</f>
        <v>0</v>
      </c>
      <c r="AH147" s="6">
        <f>COUNTIFS(Table5[Country],Tabela1[[#This Row],[Country]],Table5[400m Classification],"&gt;0")</f>
        <v>0</v>
      </c>
      <c r="AI147" s="6">
        <f>COUNTIFS(Table4[Country],Tabela1[[#This Row],[Country]],Table4[800m Classification],"&gt;0")</f>
        <v>0</v>
      </c>
      <c r="AJ147" s="6">
        <f>COUNTIFS(Table5[Country],Tabela1[[#This Row],[Country]],Table5[800m Classification],"&gt;0")</f>
        <v>0</v>
      </c>
      <c r="AK147" s="6">
        <f>COUNTIFS(Table4[Country],Tabela1[[#This Row],[Country]],Table4[1500m Classification],"&gt;0")</f>
        <v>0</v>
      </c>
      <c r="AL147" s="6">
        <f>COUNTIFS(Table5[Country],Tabela1[[#This Row],[Country]],Table5[1500m Classification],"&gt;0")</f>
        <v>0</v>
      </c>
      <c r="AM147" s="6">
        <f>COUNTIFS(Table4[Country],Tabela1[[#This Row],[Country]],Table4[5000m Classification],"&gt;0")</f>
        <v>0</v>
      </c>
      <c r="AN147" s="6">
        <f>COUNTIFS(Table5[Country],Tabela1[[#This Row],[Country]],Table5[5000m Classification],"&gt;0")</f>
        <v>0</v>
      </c>
      <c r="AO147" s="6">
        <f>COUNTIFS(Table4[Country],Tabela1[[#This Row],[Country]],Table4[10000m Classification],"&gt;0")</f>
        <v>0</v>
      </c>
      <c r="AP147" s="6">
        <f>COUNTIFS(Table5[Country],Tabela1[[#This Row],[Country]],Table5[10000m Classification],"&gt;0")</f>
        <v>0</v>
      </c>
      <c r="AQ147" s="6">
        <f>COUNTIFS(Table4[Country],Tabela1[[#This Row],[Country]],Table4[110m Hurdles Classification],"&gt;0")</f>
        <v>0</v>
      </c>
      <c r="AR147" s="6">
        <f>COUNTIFS(Table5[Country],Tabela1[[#This Row],[Country]],Table5[100m Hurdles Classification],"&gt;0")</f>
        <v>0</v>
      </c>
      <c r="AS147" s="6">
        <f>COUNTIFS(Table4[Country],Tabela1[[#This Row],[Country]],Table4[400m Hurdles Classification],"&gt;0")</f>
        <v>0</v>
      </c>
      <c r="AT147" s="6">
        <f>COUNTIFS(Table5[Country],Tabela1[[#This Row],[Country]],Table5[400m Hurdles Classification],"&gt;0")</f>
        <v>0</v>
      </c>
      <c r="AU147" s="6">
        <f>COUNTIFS(Table4[Country],Tabela1[[#This Row],[Country]],Table4[3000m Steeplechase Classification],"&gt;0")</f>
        <v>0</v>
      </c>
      <c r="AV147" s="6">
        <f>COUNTIFS(Table5[Country],Tabela1[[#This Row],[Country]],Table5[3000m Steeplechase Classification],"&gt;0")</f>
        <v>0</v>
      </c>
      <c r="AW147" s="6">
        <f>COUNTIFS(Table27[Country],Tabela1[[#This Row],[Country]],Table27[Men''s 4x100m Relay Classification],"&gt;0")</f>
        <v>0</v>
      </c>
      <c r="AX147" s="6">
        <f>COUNTIFS(Table27[Country],Tabela1[[#This Row],[Country]],Table27[Women''s 4x100m Relay Classification],"&gt;0")</f>
        <v>0</v>
      </c>
      <c r="AY147" s="6">
        <f>COUNTIFS(Table27[Country],Tabela1[[#This Row],[Country]],Table27[Men''s 4x400m Relay Classification],"&gt;0")</f>
        <v>0</v>
      </c>
      <c r="AZ147" s="6">
        <f>COUNTIFS(Table27[Country],Tabela1[[#This Row],[Country]],Table27[Women''s 4x400m Relay Classification],"&gt;0")</f>
        <v>0</v>
      </c>
      <c r="BA147" s="6">
        <f>COUNTIFS(Table27[Country],Tabela1[[#This Row],[Country]],Table27[Mixed 4x400m Relay Classification],"&gt;0")</f>
        <v>0</v>
      </c>
      <c r="BB147" s="6">
        <f>COUNTIFS(Table4[Country],Tabela1[[#This Row],[Country]],Table4[Marathon Classification],"&gt;0")</f>
        <v>0</v>
      </c>
      <c r="BC147" s="6">
        <f>COUNTIFS(Table5[Country],Tabela1[[#This Row],[Country]],Table5[Marathon Classification],"&gt;0")</f>
        <v>0</v>
      </c>
      <c r="BD147" s="6">
        <f>COUNTIFS(Table4[Country],Tabela1[[#This Row],[Country]],Table4[20km Race Walk Classification],"&gt;0")</f>
        <v>0</v>
      </c>
      <c r="BE147" s="6">
        <f>COUNTIFS(Table5[Country],Tabela1[[#This Row],[Country]],Table5[20km Race Walk Classification],"&gt;0")</f>
        <v>0</v>
      </c>
      <c r="BF147" s="6">
        <f>COUNTIFS(Tabela96[Country],Tabela1[[#This Row],[Country]],Tabela96[Mixed Marathon Race Walk Relay Classification],"&gt;0")</f>
        <v>0</v>
      </c>
      <c r="BG147" s="6">
        <f>COUNTIFS(Table4[Country],Tabela1[[#This Row],[Country]],Table4[Discus Throw Classification],"&gt;0")</f>
        <v>0</v>
      </c>
      <c r="BH147" s="6">
        <f>COUNTIFS(Table5[Country],Tabela1[[#This Row],[Country]],Table5[Discus Throw Classification],"&gt;0")</f>
        <v>0</v>
      </c>
      <c r="BI147" s="6">
        <f>COUNTIFS(Table4[Country],Tabela1[[#This Row],[Country]],Table4[Hammer Throw Classification],"&gt;0")</f>
        <v>0</v>
      </c>
      <c r="BJ147" s="6">
        <f>COUNTIFS(Table5[Country],Tabela1[[#This Row],[Country]],Table5[Hammer Throw Classification],"&gt;0")</f>
        <v>0</v>
      </c>
      <c r="BK147" s="6">
        <f>COUNTIFS(Table4[Country],Tabela1[[#This Row],[Country]],Table4[High Jump Classification],"&gt;0")</f>
        <v>0</v>
      </c>
      <c r="BL147" s="6">
        <f>COUNTIFS(Table5[Country],Tabela1[[#This Row],[Country]],Table5[High Jump Classification],"&gt;0")</f>
        <v>0</v>
      </c>
      <c r="BM147" s="6">
        <f>COUNTIFS(Table4[Country],Tabela1[[#This Row],[Country]],Table4[Javelin Throw Classification],"&gt;0")</f>
        <v>0</v>
      </c>
      <c r="BN147" s="6">
        <f>COUNTIFS(Table5[Country],Tabela1[[#This Row],[Country]],Table5[Javelin Throw Classification],"&gt;0")</f>
        <v>0</v>
      </c>
      <c r="BO147" s="6">
        <f>COUNTIFS(Table4[Country],Tabela1[[#This Row],[Country]],Table4[Long Jump Classification],"&gt;0")</f>
        <v>0</v>
      </c>
      <c r="BP147" s="6">
        <f>COUNTIFS(Table5[Country],Tabela1[[#This Row],[Country]],Table5[Long Jump Classification],"&gt;0")</f>
        <v>0</v>
      </c>
      <c r="BQ147" s="6">
        <f>COUNTIFS(Table4[Country],Tabela1[[#This Row],[Country]],Table4[Pole Vault Classification],"&gt;0")</f>
        <v>0</v>
      </c>
      <c r="BR147" s="6">
        <f>COUNTIFS(Table5[Country],Tabela1[[#This Row],[Country]],Table5[Pole Vault Classification],"&gt;0")</f>
        <v>0</v>
      </c>
      <c r="BS147" s="6">
        <f>COUNTIFS(Table4[Country],Tabela1[[#This Row],[Country]],Table4[Shot Put Classification],"&gt;0")</f>
        <v>0</v>
      </c>
      <c r="BT147" s="6">
        <f>COUNTIFS(Table5[Country],Tabela1[[#This Row],[Country]],Table5[Shot Put Classification],"&gt;0")</f>
        <v>0</v>
      </c>
      <c r="BU147" s="6">
        <f>COUNTIFS(Table4[Country],Tabela1[[#This Row],[Country]],Table4[Triple Jump Classification],"&gt;0")</f>
        <v>0</v>
      </c>
      <c r="BV147" s="6">
        <f>COUNTIFS(Table5[Country],Tabela1[[#This Row],[Country]],Table5[Triple Jump Classification],"&gt;0")</f>
        <v>0</v>
      </c>
      <c r="BW147" s="6">
        <f>COUNTIFS(Table4[Country],Tabela1[[#This Row],[Country]],Table4[Decathlon Classification],"&gt;0")</f>
        <v>0</v>
      </c>
      <c r="BX147" s="6">
        <f>COUNTIFS(Table5[Country],Tabela1[[#This Row],[Country]],Table5[Heptathlon Classification],"&gt;0")</f>
        <v>0</v>
      </c>
      <c r="BY147" s="6">
        <f>COUNTIFS(Table61[Country],Tabela1[[#This Row],[Country]],Table61[Classification],"&gt;0")</f>
        <v>0</v>
      </c>
      <c r="BZ147" s="6">
        <f>COUNTIFS(Table38[Country],Tabela1[[#This Row],[Country]],Table38[Classification],"&gt;0")</f>
        <v>1</v>
      </c>
      <c r="CA147" s="6">
        <f>COUNTIFS(Table39[Country],Tabela1[[#This Row],[Country]],Table39[Men''s Classification],"&gt;0")</f>
        <v>0</v>
      </c>
      <c r="CB147" s="6">
        <f>COUNTIFS(Table39[Country],Tabela1[[#This Row],[Country]],Table39[Women''s Classification],"&gt;0")</f>
        <v>0</v>
      </c>
      <c r="CC147" s="6">
        <f>COUNTIFS(Table39[Country],Tabela1[[#This Row],[Country]],Table39[Mixed Classification],"&gt;0")</f>
        <v>0</v>
      </c>
      <c r="CD147" s="6">
        <f>COUNTIFS(Table89[Country],Tabela1[[#This Row],[Country]],Table89[Men''s Classification],"&gt;0")</f>
        <v>0</v>
      </c>
      <c r="CE147" s="6">
        <f>COUNTIFS(Table89[Country],Tabela1[[#This Row],[Country]],Table89[Women''s Classification],"&gt;0")</f>
        <v>0</v>
      </c>
      <c r="CF147" s="6">
        <f>COUNTIFS(Table90[Country],Tabela1[[#This Row],[Country]],Table90[Men''s Classification],"&gt;0")</f>
        <v>0</v>
      </c>
      <c r="CG147" s="6">
        <f>COUNTIFS(Table90[Country],Tabela1[[#This Row],[Country]],Table90[Women''s Classification],"&gt;0")</f>
        <v>0</v>
      </c>
      <c r="CH147" s="6">
        <f>COUNTIFS(Table60[Country],Tabela1[[#This Row],[Country]],Table60[Men''s Classification],"&gt;0")</f>
        <v>0</v>
      </c>
      <c r="CI147" s="6">
        <f>COUNTIFS(Table60[Country],Tabela1[[#This Row],[Country]],Table60[Women''s Classification],"&gt;0")</f>
        <v>0</v>
      </c>
      <c r="CJ147" s="6">
        <f>COUNTIFS(Table6[Country],Tabela1[[#This Row],[Country]],Table6[51kg Classification],"&gt;0")</f>
        <v>0</v>
      </c>
      <c r="CK147" s="6">
        <f>COUNTIFS(Table6[Country],Tabela1[[#This Row],[Country]],Table6[57kg Classification],"&gt;0")</f>
        <v>0</v>
      </c>
      <c r="CL147" s="6">
        <f>COUNTIFS(Table6[Country],Tabela1[[#This Row],[Country]],Table6[63.5kg Classification],"&gt;0")</f>
        <v>0</v>
      </c>
      <c r="CM147" s="6">
        <f>COUNTIFS(Table6[Country],Tabela1[[#This Row],[Country]],Table6[71kg Classification],"&gt;0")</f>
        <v>0</v>
      </c>
      <c r="CN147" s="6">
        <f>COUNTIFS(Table6[Country],Tabela1[[#This Row],[Country]],Table6[80kg Classification],"&gt;0")</f>
        <v>0</v>
      </c>
      <c r="CO147" s="6">
        <f>COUNTIFS(Table6[Country],Tabela1[[#This Row],[Country]],Table6[92kg Classification],"&gt;0")</f>
        <v>0</v>
      </c>
      <c r="CP147" s="6">
        <f>COUNTIFS(Table6[Country],Tabela1[[#This Row],[Country]],Table6[Plus 92kg Classification],"&gt;0")</f>
        <v>0</v>
      </c>
      <c r="CQ147" s="6">
        <f>COUNTIFS(Table7[Country],Tabela1[[#This Row],[Country]],Table7[50kg Classification],"&gt;0")</f>
        <v>0</v>
      </c>
      <c r="CR147" s="6">
        <f>COUNTIFS(Table7[Country],Tabela1[[#This Row],[Country]],Table7[54kg Classification],"&gt;0")</f>
        <v>0</v>
      </c>
      <c r="CS147" s="6">
        <f>COUNTIFS(Table7[Country],Tabela1[[#This Row],[Country]],Table7[57kg Classification],"&gt;0")</f>
        <v>0</v>
      </c>
      <c r="CT147" s="6">
        <f>COUNTIFS(Table7[Country],Tabela1[[#This Row],[Country]],Table7[60kg Classification],"&gt;0")</f>
        <v>0</v>
      </c>
      <c r="CU147" s="6">
        <f>COUNTIFS(Table7[Country],Tabela1[[#This Row],[Country]],Table7[66kg Classification],"&gt;0")</f>
        <v>0</v>
      </c>
      <c r="CV147" s="6">
        <f>COUNTIFS(Table7[Country],Tabela1[[#This Row],[Country]],Table7[75kg Classification],"&gt;0")</f>
        <v>0</v>
      </c>
      <c r="CW147" s="6">
        <f>COUNTIFS(Tabela94[Country],Tabela1[[#This Row],[Country]],Tabela94[Classification],"&gt;0")</f>
        <v>0</v>
      </c>
      <c r="CX147" s="6">
        <f>COUNTIFS(Tabela9499[Country],Tabela1[[#This Row],[Country]],Tabela9499[Classification],"&gt;0")</f>
        <v>0</v>
      </c>
      <c r="CY147" s="6">
        <f>COUNTIFS(Tabela107[Country],Tabela1[[#This Row],[Country]],Tabela107[C1 Slalom Classification],"&gt;0")</f>
        <v>0</v>
      </c>
      <c r="CZ147" s="6">
        <f>COUNTIFS(Tabela107122[Country],Tabela1[[#This Row],[Country]],Tabela107122[C1 Slalom Classification],"&gt;0")</f>
        <v>0</v>
      </c>
      <c r="DA147" s="6">
        <f>COUNTIFS(Tabela107[Country],Tabela1[[#This Row],[Country]],Tabela107[K1 Slalom Classification],"&gt;0")</f>
        <v>0</v>
      </c>
      <c r="DB147" s="6">
        <f>COUNTIFS(Tabela107122[Country],Tabela1[[#This Row],[Country]],Tabela107122[K1 Slalom Classification],"&gt;0")</f>
        <v>0</v>
      </c>
      <c r="DC147" s="6">
        <f>COUNTIFS(Tabela107[Country],Tabela1[[#This Row],[Country]],Tabela107[Kayak Cross Slalom Classification],"&gt;0")</f>
        <v>0</v>
      </c>
      <c r="DD147" s="6">
        <f>COUNTIFS(Tabela107122[Country],Tabela1[[#This Row],[Country]],Tabela107122[Kayak Cross Slalom Classification],"&gt;0")</f>
        <v>0</v>
      </c>
      <c r="DE147" s="6">
        <f>COUNTIFS(Table8[Country],Tabela1[[#This Row],[Country]],Table8[C1 200m Classification],"&gt;0")</f>
        <v>0</v>
      </c>
      <c r="DF147" s="6">
        <f>COUNTIFS(Table40[Country],Tabela1[[#This Row],[Country]],Table40[C1 1000m Classification],"&gt;0")</f>
        <v>0</v>
      </c>
      <c r="DG147" s="6">
        <f>COUNTIFS(Table68[Country],Tabela1[[#This Row],[Country]],Table68[Men''s C2 500m Classification],"&gt;0")</f>
        <v>0</v>
      </c>
      <c r="DH147" s="6">
        <f>COUNTIFS(Table68[Country],Tabela1[[#This Row],[Country]],Table68[Women''s C2 500m Classification],"&gt;0")</f>
        <v>0</v>
      </c>
      <c r="DI147" s="6">
        <f>COUNTIFS(Table8[Country],Tabela1[[#This Row],[Country]],Table8[K1 500m Classification],"&gt;0")</f>
        <v>0</v>
      </c>
      <c r="DJ147" s="6">
        <f>COUNTIFS(Table40[Country],Tabela1[[#This Row],[Country]],Table40[K1 1000m Classification],"&gt;0")</f>
        <v>0</v>
      </c>
      <c r="DK147" s="6">
        <f>COUNTIFS(Table68[Country],Tabela1[[#This Row],[Country]],Table68[Men''s K2 500m Classification],"&gt;0")</f>
        <v>0</v>
      </c>
      <c r="DL147" s="6">
        <f>COUNTIFS(Table68[Country],Tabela1[[#This Row],[Country]],Table68[Women''s K2 500m Classification],"&gt;0")</f>
        <v>0</v>
      </c>
      <c r="DM147" s="6">
        <f>COUNTIFS(Table83[Country],Tabela1[[#This Row],[Country]],Table83[Men''s K4 500m Classification],"&gt;0")</f>
        <v>0</v>
      </c>
      <c r="DN147" s="6">
        <f>COUNTIFS(Table83[Country],Tabela1[[#This Row],[Country]],Table83[Women''s K4 500m Classification],"&gt;0")</f>
        <v>0</v>
      </c>
      <c r="DO147" s="6">
        <f>COUNTIFS(Tabela126[Country],Tabela1[[#This Row],[Country]],Tabela126[Classification],"&gt;0")</f>
        <v>0</v>
      </c>
      <c r="DP147" s="6">
        <f>COUNTIFS(Tabela126130[Country],Tabela1[[#This Row],[Country]],Tabela126130[Classification],"&gt;0")</f>
        <v>0</v>
      </c>
      <c r="DQ147" s="6">
        <f>COUNTIFS(Table70[Country],Tabela1[[#This Row],[Country]],Table70[Classification],"&gt;0")</f>
        <v>0</v>
      </c>
      <c r="DR147" s="6">
        <f>COUNTIFS(Table80[Country],Tabela1[[#This Row],[Country]],Table80[Classification],"&gt;0")</f>
        <v>0</v>
      </c>
      <c r="DS147" s="6">
        <f>COUNTIFS(Table66[Country],Tabela1[[#This Row],[Country]],Table66[Classification],"&gt;0")</f>
        <v>0</v>
      </c>
      <c r="DT147" s="6">
        <f>COUNTIFS(Table67[Country],Tabela1[[#This Row],[Country]],Table67[Classification],"&gt;0")</f>
        <v>0</v>
      </c>
      <c r="DU147" s="6">
        <f>COUNTIFS(Table69[Country],Tabela1[[#This Row],[Country]],Table69[Keirin Classification],"&gt;0")</f>
        <v>0</v>
      </c>
      <c r="DV147" s="6">
        <f>COUNTIFS(Table41[Country],Tabela1[[#This Row],[Country]],Table41[Keirin Classification],"&gt;0")</f>
        <v>0</v>
      </c>
      <c r="DW147" s="6">
        <f>COUNTIFS(Table84[Country],Tabela1[[#This Row],[Country]],Table84[Men''s Madison Classification],"&gt;0")</f>
        <v>0</v>
      </c>
      <c r="DX147" s="6">
        <f>COUNTIFS(Table84[Country],Tabela1[[#This Row],[Country]],Table84[Women''s Madison Classification],"&gt;0")</f>
        <v>0</v>
      </c>
      <c r="DY147" s="6">
        <f>COUNTIFS(Table69[Country],Tabela1[[#This Row],[Country]],Table69[Omnium Classification],"&gt;0")</f>
        <v>0</v>
      </c>
      <c r="DZ147" s="6">
        <f>COUNTIFS(Table41[Country],Tabela1[[#This Row],[Country]],Table41[Omnium Classification],"&gt;0")</f>
        <v>0</v>
      </c>
      <c r="EA147" s="6">
        <f>COUNTIFS(Table9[Country],Tabela1[[#This Row],[Country]],Table9[Road Race Classification],"&gt;0")</f>
        <v>0</v>
      </c>
      <c r="EB147" s="6">
        <f>COUNTIFS(Table14[Country],Tabela1[[#This Row],[Country]],Table14[Road Race Classification],"&gt;0")</f>
        <v>0</v>
      </c>
      <c r="EC147" s="6">
        <f>COUNTIFS(Table69[Country],Tabela1[[#This Row],[Country]],Table69[Sprint Classification],"&gt;0")</f>
        <v>0</v>
      </c>
      <c r="ED147" s="6">
        <f>COUNTIFS(Table41[Country],Tabela1[[#This Row],[Country]],Table41[Sprint Classification],"&gt;0")</f>
        <v>0</v>
      </c>
      <c r="EE147" s="6">
        <f>COUNTIFS(Table85[Country],Tabela1[[#This Row],[Country]],Table85[Men''s Sprint Classification],"&gt;0")</f>
        <v>0</v>
      </c>
      <c r="EF147" s="6">
        <f>COUNTIFS(Table85[Country],Tabela1[[#This Row],[Country]],Table85[Women''s Sprint Classification],"&gt;0")</f>
        <v>0</v>
      </c>
      <c r="EG147" s="6">
        <f>COUNTIFS(Table85[Country],Tabela1[[#This Row],[Country]],Table85[Men''s Pursuit Classification],"&gt;0")</f>
        <v>0</v>
      </c>
      <c r="EH147" s="6">
        <f>COUNTIFS(Table85[Country],Tabela1[[#This Row],[Country]],Table85[Women''s Pursuit Classification],"&gt;0")</f>
        <v>0</v>
      </c>
      <c r="EI147" s="6">
        <f>COUNTIFS(Table9[Country],Tabela1[[#This Row],[Country]],Table9[Time-Trial Classification],"&gt;0")</f>
        <v>0</v>
      </c>
      <c r="EJ147" s="6">
        <f>COUNTIFS(Table14[Country],Tabela1[[#This Row],[Country]],Table14[Time-Trial Classification],"&gt;0")</f>
        <v>0</v>
      </c>
      <c r="EK147" s="6">
        <f>COUNTIFS(Table42[Country],Tabela1[[#This Row],[Country]],Table42[Springboard Classification],"&gt;0")</f>
        <v>0</v>
      </c>
      <c r="EL147" s="6">
        <f>COUNTIFS(Table43[Country],Tabela1[[#This Row],[Country]],Table43[Springboard Classification],"&gt;0")</f>
        <v>0</v>
      </c>
      <c r="EM147" s="6">
        <f>COUNTIFS(Table42[Country],Tabela1[[#This Row],[Country]],Table42[Platform Classification],"&gt;0")</f>
        <v>0</v>
      </c>
      <c r="EN147" s="6">
        <f>COUNTIFS(Table43[Country],Tabela1[[#This Row],[Country]],Table43[Platform Classification],"&gt;0")</f>
        <v>0</v>
      </c>
      <c r="EO147" s="6">
        <f>COUNTIFS(Table86[Country],Tabela1[[#This Row],[Country]],Table86[Men''s Synchronized Springboard Classification],"&gt;0")</f>
        <v>0</v>
      </c>
      <c r="EP147" s="6">
        <f>COUNTIFS(Table86[Country],Tabela1[[#This Row],[Country]],Table86[Women''s Synchronized Springboard Classification],"&gt;0")</f>
        <v>0</v>
      </c>
      <c r="EQ147" s="6">
        <f>COUNTIFS(Table86[Country],Tabela1[[#This Row],[Country]],Table86[Men''s Synchronized Platform Classification],"&gt;0")</f>
        <v>0</v>
      </c>
      <c r="ER147" s="6">
        <f>COUNTIFS(Table86[Country],Tabela1[[#This Row],[Country]],Table86[Women''s Synchronized Platform Classification],"&gt;0")</f>
        <v>0</v>
      </c>
      <c r="ES147" s="6">
        <f>COUNTIFS(Table44[Country],Tabela1[[#This Row],[Country]],Table44[Dressage Classification],"&gt;0")</f>
        <v>0</v>
      </c>
      <c r="ET147" s="6">
        <f>COUNTIFS(Table45[Country],Tabela1[[#This Row],[Country]],Table45[Dressage Classification],"&gt;0")</f>
        <v>0</v>
      </c>
      <c r="EU147" s="6">
        <f>COUNTIFS(Table44[Country],Tabela1[[#This Row],[Country]],Table44[Eventing Classification],"&gt;0")</f>
        <v>0</v>
      </c>
      <c r="EV147" s="6">
        <f>COUNTIFS(Table45[Country],Tabela1[[#This Row],[Country]],Table45[Eventing Classification],"&gt;0")</f>
        <v>0</v>
      </c>
      <c r="EW147" s="6">
        <f>COUNTIFS(Table44[Country],Tabela1[[#This Row],[Country]],Table44[Jumping Classification],"&gt;0")</f>
        <v>0</v>
      </c>
      <c r="EX147" s="6">
        <f>COUNTIFS(Table45[Country],Tabela1[[#This Row],[Country]],Table45[Jumping Classification],"&gt;0")</f>
        <v>0</v>
      </c>
      <c r="EY147" s="6">
        <f>COUNTIFS(Table10[Country],Tabela1[[#This Row],[Country]],Table10[Épée Classification],"&gt;0")</f>
        <v>0</v>
      </c>
      <c r="EZ147" s="6">
        <f>COUNTIFS(Table11[Country],Tabela1[[#This Row],[Country]],Table11[Épée Classification],"&gt;0")</f>
        <v>0</v>
      </c>
      <c r="FA147" s="6">
        <f>COUNTIFS(Table46[Country],Tabela1[[#This Row],[Country]],Table46[Men''s Épée Classification],"&gt;0")</f>
        <v>0</v>
      </c>
      <c r="FB147" s="6">
        <f>COUNTIFS(Table46[Country],Tabela1[[#This Row],[Country]],Table46[Women''s Épée Classification],"&gt;0")</f>
        <v>0</v>
      </c>
      <c r="FC147" s="6">
        <f>COUNTIFS(Table10[Country],Tabela1[[#This Row],[Country]],Table10[Foil Classification],"&gt;0")</f>
        <v>0</v>
      </c>
      <c r="FD147" s="6">
        <f>COUNTIFS(Table11[Country],Tabela1[[#This Row],[Country]],Table11[Foil Classification],"&gt;0")</f>
        <v>0</v>
      </c>
      <c r="FE147" s="6">
        <f>COUNTIFS(Table46[Country],Tabela1[[#This Row],[Country]],Table46[Men''s Foil Classification],"&gt;0")</f>
        <v>0</v>
      </c>
      <c r="FF147" s="6">
        <f>COUNTIFS(Table46[Country],Tabela1[[#This Row],[Country]],Table46[Women''s Foil Classification],"&gt;0")</f>
        <v>0</v>
      </c>
      <c r="FG147" s="6">
        <f>COUNTIFS(Table10[Country],Tabela1[[#This Row],[Country]],Table10[Sabre Classification],"&gt;0")</f>
        <v>0</v>
      </c>
      <c r="FH147" s="6">
        <f>COUNTIFS(Table11[Country],Tabela1[[#This Row],[Country]],Table11[Sabre Classification],"&gt;0")</f>
        <v>0</v>
      </c>
      <c r="FI147" s="6">
        <f>COUNTIFS(Table46[Country],Tabela1[[#This Row],[Country]],Table46[Men''s Sabre Classification],"&gt;0")</f>
        <v>0</v>
      </c>
      <c r="FJ147" s="6">
        <f>COUNTIFS(Table46[Country],Tabela1[[#This Row],[Country]],Table46[Women''s Sabre Classification],"&gt;0")</f>
        <v>0</v>
      </c>
      <c r="FK147" s="6">
        <f>COUNTIFS(Table91[Country],Tabela1[[#This Row],[Country]],Table91[Men''s Classification],"&gt;0")</f>
        <v>0</v>
      </c>
      <c r="FL147" s="6">
        <f>COUNTIFS(Table91[Country],Tabela1[[#This Row],[Country]],Table91[Women''s Classification],"&gt;0")</f>
        <v>0</v>
      </c>
      <c r="FM147" s="6">
        <f>COUNTIFS(Table9194[Country],Tabela1[[#This Row],[Country]],Table9194[Men''s Classification],"&gt;0")</f>
        <v>0</v>
      </c>
      <c r="FN147" s="6">
        <f>COUNTIFS(Table9194[Country],Tabela1[[#This Row],[Country]],Table9194[Women''s Classification],"&gt;0")</f>
        <v>0</v>
      </c>
      <c r="FO147" s="6">
        <f>COUNTIFS(Table71[Country],Tabela1[[#This Row],[Country]],Table71[Classification],"&gt;0")</f>
        <v>0</v>
      </c>
      <c r="FP147" s="6">
        <f>COUNTIFS(Table62[Country],Tabela1[[#This Row],[Country]],Table62[Classification],"&gt;0")</f>
        <v>0</v>
      </c>
      <c r="FQ147" s="6">
        <f>COUNTIFS(Table47[Country],Tabela1[[#This Row],[Country]],Table47[All-Around Classification],"&gt;0")</f>
        <v>0</v>
      </c>
      <c r="FR147" s="6">
        <f>COUNTIFS(Table48[Country],Tabela1[[#This Row],[Country]],Table48[All-Around Classification],"&gt;0")</f>
        <v>0</v>
      </c>
      <c r="FS147" s="6">
        <f>COUNTIFS(Table81[Country],Tabela1[[#This Row],[Country]],Table81[Men''s All-Around Classification],"&gt;0")</f>
        <v>0</v>
      </c>
      <c r="FT147" s="6">
        <f>COUNTIFS(Table81[Country],Tabela1[[#This Row],[Country]],Table81[Women''s All-Around Classification],"&gt;0")</f>
        <v>0</v>
      </c>
      <c r="FU147" s="6">
        <f>COUNTIFS(Table48[Country],Tabela1[[#This Row],[Country]],Table48[Balance Beam Classification],"&gt;0")</f>
        <v>0</v>
      </c>
      <c r="FV147" s="6">
        <f>COUNTIFS(Table47[Country],Tabela1[[#This Row],[Country]],Table47[Floor Exercise Classification],"&gt;0")</f>
        <v>0</v>
      </c>
      <c r="FW147" s="6">
        <f>COUNTIFS(Table48[Country],Tabela1[[#This Row],[Country]],Table48[Floor Exercise Classification],"&gt;0")</f>
        <v>0</v>
      </c>
      <c r="FX147" s="6">
        <f>COUNTIFS(Table47[Country],Tabela1[[#This Row],[Country]],Table47[Horizontal Bar Classification],"&gt;0")</f>
        <v>0</v>
      </c>
      <c r="FY147" s="6">
        <f>COUNTIFS(Table47[Country],Tabela1[[#This Row],[Country]],Table47[Parallel Bars Classification],"&gt;0")</f>
        <v>0</v>
      </c>
      <c r="FZ147" s="6">
        <f>COUNTIFS(Table47[Country],Tabela1[[#This Row],[Country]],Table47[Pommel Horse Classification],"&gt;0")</f>
        <v>0</v>
      </c>
      <c r="GA147" s="6">
        <f>COUNTIFS(Table47[Country],Tabela1[[#This Row],[Country]],Table47[Rings Classification],"&gt;0")</f>
        <v>0</v>
      </c>
      <c r="GB147" s="6">
        <f>COUNTIFS(Tabela132[Country],Tabela1[[#This Row],[Country]],Tabela132[Classification],"&gt;0")</f>
        <v>0</v>
      </c>
      <c r="GC147" s="6">
        <f>COUNTIFS(Tabela139[Country],Tabela1[[#This Row],[Country]],Tabela139[Classification],"&gt;0")</f>
        <v>0</v>
      </c>
      <c r="GD147" s="6">
        <f>COUNTIFS(Table48[Country],Tabela1[[#This Row],[Country]],Table48[Uneven Bars Classification],"&gt;0")</f>
        <v>0</v>
      </c>
      <c r="GE147" s="6">
        <f>COUNTIFS(Table47[Country],Tabela1[[#This Row],[Country]],Table47[Vault Classification],"&gt;0")</f>
        <v>0</v>
      </c>
      <c r="GF147" s="6">
        <f>COUNTIFS(Table48[Country],Tabela1[[#This Row],[Country]],Table48[Vault Classification],"&gt;0")</f>
        <v>0</v>
      </c>
      <c r="GG147" s="6">
        <f>COUNTIFS(Table919496[Country],Tabela1[[#This Row],[Country]],Table919496[Men''s Classification],"&gt;0")</f>
        <v>0</v>
      </c>
      <c r="GH147" s="6">
        <f>COUNTIFS(Table919496[Country],Tabela1[[#This Row],[Country]],Table919496[Women''s Classification],"&gt;0")</f>
        <v>0</v>
      </c>
      <c r="GI147" s="6">
        <f>COUNTIFS(Table12[Country],Tabela1[[#This Row],[Country]],Table12[60kg Classification],"&gt;0")</f>
        <v>0</v>
      </c>
      <c r="GJ147" s="6">
        <f>COUNTIFS(Table12[Country],Tabela1[[#This Row],[Country]],Table12[66kg Classification],"&gt;0")</f>
        <v>0</v>
      </c>
      <c r="GK147" s="6">
        <f>COUNTIFS(Table12[Country],Tabela1[[#This Row],[Country]],Table12[73kg Classification],"&gt;0")</f>
        <v>0</v>
      </c>
      <c r="GL147" s="6">
        <f>COUNTIFS(Table12[Country],Tabela1[[#This Row],[Country]],Table12[81kg Classification],"&gt;0")</f>
        <v>0</v>
      </c>
      <c r="GM147" s="6">
        <f>COUNTIFS(Table12[Country],Tabela1[[#This Row],[Country]],Table12[90kg Classification],"&gt;0")</f>
        <v>0</v>
      </c>
      <c r="GN147" s="6">
        <f>COUNTIFS(Table12[Country],Tabela1[[#This Row],[Country]],Table12[100kg Classification],"&gt;0")</f>
        <v>0</v>
      </c>
      <c r="GO147" s="6">
        <f>COUNTIFS(Table12[Country],Tabela1[[#This Row],[Country]],Table12[Plus 100kg Classification],"&gt;0")</f>
        <v>0</v>
      </c>
      <c r="GP147" s="6">
        <f>COUNTIFS(Table13[Country],Tabela1[[#This Row],[Country]],Table13[48kg Classification],"&gt;0")</f>
        <v>0</v>
      </c>
      <c r="GQ147" s="6">
        <f>COUNTIFS(Table13[Country],Tabela1[[#This Row],[Country]],Table13[52kg Classification],"&gt;0")</f>
        <v>0</v>
      </c>
      <c r="GR147" s="6">
        <f>COUNTIFS(Table13[Country],Tabela1[[#This Row],[Country]],Table13[57kg Classification],"&gt;0")</f>
        <v>0</v>
      </c>
      <c r="GS147" s="6">
        <f>COUNTIFS(Table13[Country],Tabela1[[#This Row],[Country]],Table13[63kg Classification],"&gt;0")</f>
        <v>0</v>
      </c>
      <c r="GT147" s="6">
        <f>COUNTIFS(Table13[Country],Tabela1[[#This Row],[Country]],Table13[70kg Classification],"&gt;0")</f>
        <v>0</v>
      </c>
      <c r="GU147" s="6">
        <f>COUNTIFS(Table13[Country],Tabela1[[#This Row],[Country]],Table13[78kg Classification],"&gt;0")</f>
        <v>0</v>
      </c>
      <c r="GV147" s="6">
        <f>COUNTIFS(Table13[Country],Tabela1[[#This Row],[Country]],Table13[Plus 78kg Classification],"&gt;0")</f>
        <v>0</v>
      </c>
      <c r="GW147" s="6">
        <f>COUNTIFS(Table82[Country],Tabela1[[#This Row],[Country]],Table82[Mixed Classification],"&gt;0")</f>
        <v>0</v>
      </c>
      <c r="GX147" s="6">
        <f>COUNTIFS(Table51[Country],Tabela1[[#This Row],[Country]],Table51[Classification],"&gt;0")</f>
        <v>0</v>
      </c>
      <c r="GY147" s="6">
        <f>COUNTIFS(Table52[Country],Tabela1[[#This Row],[Country]],Table52[Classification],"&gt;0")</f>
        <v>0</v>
      </c>
      <c r="GZ147" s="6">
        <f>COUNTIFS(Table32[Country],Tabela1[[#This Row],[Country]],Table32[All-Around Classification],"&gt;0")</f>
        <v>0</v>
      </c>
      <c r="HA147" s="6">
        <f>COUNTIFS(Table49[Country],Tabela1[[#This Row],[Country]],Table49[All-Around Classification],"&gt;0")</f>
        <v>0</v>
      </c>
      <c r="HB147" s="6">
        <f>COUNTIFS(Table26[Country],Tabela1[[#This Row],[Country]],Table26[Single Sculls Classification],"&gt;0")</f>
        <v>0</v>
      </c>
      <c r="HC147" s="6">
        <f>COUNTIFS(Table63[Country],Tabela1[[#This Row],[Country]],Table63[Single Sculls Classification],"&gt;0")</f>
        <v>0</v>
      </c>
      <c r="HD147" s="6">
        <f>COUNTIFS(Table16[Country],Tabela1[[#This Row],[Country]],Table16[Men''s Double Sculls Classification],"&gt;0")</f>
        <v>0</v>
      </c>
      <c r="HE147" s="6">
        <f>COUNTIFS(Table16[Country],Tabela1[[#This Row],[Country]],Table16[Women''s Double Sculls Classification],"&gt;0")</f>
        <v>0</v>
      </c>
      <c r="HF147" s="6">
        <f>COUNTIFS(Table72[Country],Tabela1[[#This Row],[Country]],Table72[Men''s Quadruple Sculls Classification],"&gt;0")</f>
        <v>0</v>
      </c>
      <c r="HG147" s="6">
        <f>COUNTIFS(Table72[Country],Tabela1[[#This Row],[Country]],Table72[Women''s Quadruple Sculls Classification],"&gt;0")</f>
        <v>0</v>
      </c>
      <c r="HH147" s="6">
        <f>COUNTIFS(Table16[Country],Tabela1[[#This Row],[Country]],Table16[Men''s Coxless Pairs Classification],"&gt;0")</f>
        <v>0</v>
      </c>
      <c r="HI147" s="6">
        <f>COUNTIFS(Table16[Country],Tabela1[[#This Row],[Country]],Table16[Women''s Coxless Pairs Classification],"&gt;0")</f>
        <v>0</v>
      </c>
      <c r="HJ147" s="6">
        <f>COUNTIFS(Table72[Country],Tabela1[[#This Row],[Country]],Table72[Men''s Coxless Fours Classification],"&gt;0")</f>
        <v>0</v>
      </c>
      <c r="HK147" s="6">
        <f>COUNTIFS(Table72[Country],Tabela1[[#This Row],[Country]],Table72[Women''s Coxless Fours Classification],"&gt;0")</f>
        <v>0</v>
      </c>
      <c r="HL147" s="6">
        <f>COUNTIFS(Table72[Country],Tabela1[[#This Row],[Country]],Table72[Men''s Eights Classification],"&gt;0")</f>
        <v>0</v>
      </c>
      <c r="HM147" s="6">
        <f>COUNTIFS(Table72[Country],Tabela1[[#This Row],[Country]],Table72[Women''s Eights Classification],"&gt;0")</f>
        <v>0</v>
      </c>
      <c r="HN147" s="6">
        <f>COUNTIFS(Table16[Country],Tabela1[[#This Row],[Country]],Table16[Men''s Lwt. Double Sculls Classification],"&gt;0")</f>
        <v>0</v>
      </c>
      <c r="HO147" s="6">
        <f>COUNTIFS(Table16[Country],Tabela1[[#This Row],[Country]],Table16[Women''s Lwt. Double Sculls Classification],"&gt;0")</f>
        <v>0</v>
      </c>
      <c r="HP147" s="6">
        <f>COUNTIFS(Table91949698[Country],Tabela1[[#This Row],[Country]],Table91949698[Men''s Classification],"&gt;0")</f>
        <v>0</v>
      </c>
      <c r="HQ147" s="6">
        <f>COUNTIFS(Table91949698[Country],Tabela1[[#This Row],[Country]],Table91949698[Women''s Classification],"&gt;0")</f>
        <v>0</v>
      </c>
      <c r="HR147" s="6">
        <f>COUNTIFS(Table25[Country],Tabela1[[#This Row],[Country]],Table25[Mixed 470 Classification],"&gt;0")</f>
        <v>0</v>
      </c>
      <c r="HS147" s="6">
        <f>COUNTIFS(Table25[Country],Tabela1[[#This Row],[Country]],Table25[Men''s 49er Classification],"&gt;0")</f>
        <v>0</v>
      </c>
      <c r="HT147" s="6">
        <f>COUNTIFS(Table25[Country],Tabela1[[#This Row],[Country]],Table25[Women''s 49er FX Classification],"&gt;0")</f>
        <v>0</v>
      </c>
      <c r="HU147" s="6">
        <f>COUNTIFS(Table17[Country],Tabela1[[#This Row],[Country]],Table17[Formula Kite Classification],"&gt;0")</f>
        <v>0</v>
      </c>
      <c r="HV147" s="6">
        <f>COUNTIFS(Table18[Country],Tabela1[[#This Row],[Country]],Table18[Formula Kite Classification],"&gt;0")</f>
        <v>0</v>
      </c>
      <c r="HW147" s="6">
        <f>COUNTIFS(Table17[Country],Tabela1[[#This Row],[Country]],Table17[ILCA 7 Classification],"&gt;0")</f>
        <v>0</v>
      </c>
      <c r="HX147" s="6">
        <f>COUNTIFS(Table18[Country],Tabela1[[#This Row],[Country]],Table18[ILCA 6 Classification],"&gt;0")</f>
        <v>0</v>
      </c>
      <c r="HY147" s="6">
        <f>COUNTIFS(Table17[Country],Tabela1[[#This Row],[Country]],Table17[IQFoil Classification],"&gt;0")</f>
        <v>0</v>
      </c>
      <c r="HZ147" s="6">
        <f>COUNTIFS(Table18[Country],Tabela1[[#This Row],[Country]],Table18[IQFoil Classification],"&gt;0")</f>
        <v>0</v>
      </c>
      <c r="IA147" s="6">
        <f>COUNTIFS(Table25[Country],Tabela1[[#This Row],[Country]],Table25[Mixed Nacra 17 Classification],"&gt;0")</f>
        <v>0</v>
      </c>
      <c r="IB147" s="6">
        <f>COUNTIFS(Table53[Country],Tabela1[[#This Row],[Country]],Table53[10m Air Pistol Classification],"&gt;0")</f>
        <v>0</v>
      </c>
      <c r="IC147" s="6">
        <f>COUNTIFS(Table19[Country],Tabela1[[#This Row],[Country]],Table19[10m Air Pistol Classification],"&gt;0")</f>
        <v>0</v>
      </c>
      <c r="ID147" s="6">
        <f>COUNTIFS(Table54[Country],Tabela1[[#This Row],[Country]],Table54[Mixed 10m Air Pistol Team Classification],"&gt;0")</f>
        <v>0</v>
      </c>
      <c r="IE147" s="6">
        <f>COUNTIFS(Table53[Country],Tabela1[[#This Row],[Country]],Table53[10m Air Rifle Classification],"&gt;0")</f>
        <v>0</v>
      </c>
      <c r="IF147" s="6">
        <f>COUNTIFS(Table19[Country],Tabela1[[#This Row],[Country]],Table19[10m Air Rifle Classification],"&gt;0")</f>
        <v>0</v>
      </c>
      <c r="IG147" s="6">
        <f>COUNTIFS(Table54[Country],Tabela1[[#This Row],[Country]],Table54[Mixed 10m Air Rifle Team Classification],"&gt;0")</f>
        <v>0</v>
      </c>
      <c r="IH147" s="6">
        <f>COUNTIFS(Table53[Country],Tabela1[[#This Row],[Country]],Table53[25m Rapid Fire Pistol Classification],"&gt;0")</f>
        <v>0</v>
      </c>
      <c r="II147" s="6">
        <f>COUNTIFS(Table19[Country],Tabela1[[#This Row],[Country]],Table19[25m Pistol Classification],"&gt;0")</f>
        <v>0</v>
      </c>
      <c r="IJ147" s="6">
        <f>COUNTIFS(Table53[Country],Tabela1[[#This Row],[Country]],Table53[50m Rifle 3 Positions Classification],"&gt;0")</f>
        <v>0</v>
      </c>
      <c r="IK147" s="6">
        <f>COUNTIFS(Table19[Country],Tabela1[[#This Row],[Country]],Table19[50m Rifle 3 Positions Classification],"&gt;0")</f>
        <v>0</v>
      </c>
      <c r="IL147" s="6">
        <f>COUNTIFS(Table53[Country],Tabela1[[#This Row],[Country]],Table53[Skeet Classification],"&gt;0")</f>
        <v>0</v>
      </c>
      <c r="IM147" s="6">
        <f>COUNTIFS(Table19[Country],Tabela1[[#This Row],[Country]],Table19[Skeet Classification],"&gt;0")</f>
        <v>0</v>
      </c>
      <c r="IN147" s="6">
        <f>COUNTIFS(Table54[Country],Tabela1[[#This Row],[Country]],Table54[Mixed Skeet Team Classification],"&gt;0")</f>
        <v>0</v>
      </c>
      <c r="IO147" s="6">
        <f>COUNTIFS(Table53[Country],Tabela1[[#This Row],[Country]],Table53[Trap Classification],"&gt;0")</f>
        <v>0</v>
      </c>
      <c r="IP147" s="6">
        <f>COUNTIFS(Table19[Country],Tabela1[[#This Row],[Country]],Table19[Trap Classification],"&gt;0")</f>
        <v>0</v>
      </c>
      <c r="IQ147" s="6">
        <f>COUNTIFS(Table73[Country],Tabela1[[#This Row],[Country]],Table73[Park Classification],"&gt;0")</f>
        <v>0</v>
      </c>
      <c r="IR147" s="6">
        <f>COUNTIFS(Table74[Country],Tabela1[[#This Row],[Country]],Table74[Park Classification],"&gt;0")</f>
        <v>0</v>
      </c>
      <c r="IS147" s="6">
        <f>COUNTIFS(Table73[Country],Tabela1[[#This Row],[Country]],Table73[Street Classification],"&gt;0")</f>
        <v>0</v>
      </c>
      <c r="IT147" s="6">
        <f>COUNTIFS(Table74[Country],Tabela1[[#This Row],[Country]],Table74[Street Classification],"&gt;0")</f>
        <v>0</v>
      </c>
      <c r="IU147" s="6">
        <f>COUNTIFS(Table75[Country],Tabela1[[#This Row],[Country]],Table75[Boulder and Lead Classification],"&gt;0")</f>
        <v>0</v>
      </c>
      <c r="IV147" s="6">
        <f>COUNTIFS(Table76[Country],Tabela1[[#This Row],[Country]],Table76[Boulder and Lead Classification],"&gt;0")</f>
        <v>0</v>
      </c>
      <c r="IW147" s="6">
        <f>COUNTIFS(Table75[Country],Tabela1[[#This Row],[Country]],Table75[Speed Classification],"&gt;0")</f>
        <v>0</v>
      </c>
      <c r="IX147" s="6">
        <f>COUNTIFS(Table76[Country],Tabela1[[#This Row],[Country]],Table76[Speed Classification],"&gt;0")</f>
        <v>0</v>
      </c>
      <c r="IY147" s="6">
        <f>COUNTIFS(Table64[Country],Tabela1[[#This Row],[Country]],Table64[Shortboard Classification],"&gt;0")</f>
        <v>0</v>
      </c>
      <c r="IZ147" s="6">
        <f>COUNTIFS(Table77[Country],Tabela1[[#This Row],[Country]],Table77[Shortboard Classification],"&gt;0")</f>
        <v>0</v>
      </c>
      <c r="JA147" s="6">
        <f>COUNTIFS(Table20[Country],Tabela1[[#This Row],[Country]],Table20[50m Freestyle Classification],"&gt;0")</f>
        <v>0</v>
      </c>
      <c r="JB147" s="6">
        <f>COUNTIFS(Table21[Country],Tabela1[[#This Row],[Country]],Table21[50m Freestyle Classification],"&gt;0")</f>
        <v>0</v>
      </c>
      <c r="JC147" s="6">
        <f>COUNTIFS(Table20[Country],Tabela1[[#This Row],[Country]],Table20[100m Freestyle Classification],"&gt;0")</f>
        <v>0</v>
      </c>
      <c r="JD147" s="6">
        <f>COUNTIFS(Table21[Country],Tabela1[[#This Row],[Country]],Table21[100m Freestyle Classification],"&gt;0")</f>
        <v>0</v>
      </c>
      <c r="JE147" s="6">
        <f>COUNTIFS(Table20[Country],Tabela1[[#This Row],[Country]],Table20[200m Freestyle Classification],"&gt;0")</f>
        <v>0</v>
      </c>
      <c r="JF147" s="6">
        <f>COUNTIFS(Table21[Country],Tabela1[[#This Row],[Country]],Table21[200m Freestyle Classification],"&gt;0")</f>
        <v>0</v>
      </c>
      <c r="JG147" s="6">
        <f>COUNTIFS(Table20[Country],Tabela1[[#This Row],[Country]],Table20[400m Freestyle Classification],"&gt;0")</f>
        <v>0</v>
      </c>
      <c r="JH147" s="6">
        <f>COUNTIFS(Table21[Country],Tabela1[[#This Row],[Country]],Table21[400m Freestyle Classification],"&gt;0")</f>
        <v>0</v>
      </c>
      <c r="JI147" s="6">
        <f>COUNTIFS(Table20[Country],Tabela1[[#This Row],[Country]],Table20[800m Freestyle Classification],"&gt;0")</f>
        <v>0</v>
      </c>
      <c r="JJ147" s="6">
        <f>COUNTIFS(Table21[Country],Tabela1[[#This Row],[Country]],Table21[800m Freestyle Classification],"&gt;0")</f>
        <v>0</v>
      </c>
      <c r="JK147" s="6">
        <f>COUNTIFS(Table20[Country],Tabela1[[#This Row],[Country]],Table20[1500m Freestyle Classification],"&gt;0")</f>
        <v>0</v>
      </c>
      <c r="JL147" s="6">
        <f>COUNTIFS(Table21[Country],Tabela1[[#This Row],[Country]],Table21[1500m Freestyle Classification],"&gt;0")</f>
        <v>0</v>
      </c>
      <c r="JM147" s="6">
        <f>COUNTIFS(Table20[Country],Tabela1[[#This Row],[Country]],Table20[100m Backstroke Classification],"&gt;0")</f>
        <v>0</v>
      </c>
      <c r="JN147" s="6">
        <f>COUNTIFS(Table21[Country],Tabela1[[#This Row],[Country]],Table21[100m Backstroke Classification],"&gt;0")</f>
        <v>0</v>
      </c>
      <c r="JO147" s="6">
        <f>COUNTIFS(Table20[Country],Tabela1[[#This Row],[Country]],Table20[200m Backstroke Classification],"&gt;0")</f>
        <v>0</v>
      </c>
      <c r="JP147" s="6">
        <f>COUNTIFS(Table21[Country],Tabela1[[#This Row],[Country]],Table21[200m Backstroke Classification],"&gt;0")</f>
        <v>0</v>
      </c>
      <c r="JQ147" s="6">
        <f>COUNTIFS(Table20[Country],Tabela1[[#This Row],[Country]],Table20[100m Breaststroke Classification],"&gt;0")</f>
        <v>0</v>
      </c>
      <c r="JR147" s="6">
        <f>COUNTIFS(Table21[Country],Tabela1[[#This Row],[Country]],Table21[100m Breaststroke Classification],"&gt;0")</f>
        <v>0</v>
      </c>
      <c r="JS147" s="6">
        <f>COUNTIFS(Table20[Country],Tabela1[[#This Row],[Country]],Table20[200m Breaststroke Classification],"&gt;0")</f>
        <v>0</v>
      </c>
      <c r="JT147" s="6">
        <f>COUNTIFS(Table21[Country],Tabela1[[#This Row],[Country]],Table21[200m Breaststroke Classification],"&gt;0")</f>
        <v>0</v>
      </c>
      <c r="JU147" s="6">
        <f>COUNTIFS(Table20[Country],Tabela1[[#This Row],[Country]],Table20[100m Butterfly Classification],"&gt;0")</f>
        <v>0</v>
      </c>
      <c r="JV147" s="6">
        <f>COUNTIFS(Table21[Country],Tabela1[[#This Row],[Country]],Table21[100m Butterfly Classification],"&gt;0")</f>
        <v>0</v>
      </c>
      <c r="JW147" s="6">
        <f>COUNTIFS(Table20[Country],Tabela1[[#This Row],[Country]],Table20[200m Butterfly Classification],"&gt;0")</f>
        <v>0</v>
      </c>
      <c r="JX147" s="6">
        <f>COUNTIFS(Table21[Country],Tabela1[[#This Row],[Country]],Table21[200m Butterfly Classification],"&gt;0")</f>
        <v>0</v>
      </c>
      <c r="JY147" s="6">
        <f>COUNTIFS(Table20[Country],Tabela1[[#This Row],[Country]],Table20[200m Medley Classification],"&gt;0")</f>
        <v>0</v>
      </c>
      <c r="JZ147" s="6">
        <f>COUNTIFS(Table21[Country],Tabela1[[#This Row],[Country]],Table21[200m Medley Classification],"&gt;0")</f>
        <v>0</v>
      </c>
      <c r="KA147" s="6">
        <f>COUNTIFS(Table20[Country],Tabela1[[#This Row],[Country]],Table20[400m Medley Classification],"&gt;0")</f>
        <v>0</v>
      </c>
      <c r="KB147" s="6">
        <f>COUNTIFS(Table21[Country],Tabela1[[#This Row],[Country]],Table21[400m Medley Classification],"&gt;0")</f>
        <v>0</v>
      </c>
      <c r="KC147" s="6">
        <f>COUNTIFS(Table78[Country],Tabela1[[#This Row],[Country]],Table78[Men''s 4x100m Freestyle Relay Classification],"&gt;0")</f>
        <v>0</v>
      </c>
      <c r="KD147" s="6">
        <f>COUNTIFS(Table78[Country],Tabela1[[#This Row],[Country]],Table78[Women''s 4x100m Freestyle Relay Classification],"&gt;0")</f>
        <v>0</v>
      </c>
      <c r="KE147" s="6">
        <f>COUNTIFS(Table78[Country],Tabela1[[#This Row],[Country]],Table78[Men''s 4x200m Freestyle Relay Classification],"&gt;0")</f>
        <v>0</v>
      </c>
      <c r="KF147" s="6">
        <f>COUNTIFS(Table78[Country],Tabela1[[#This Row],[Country]],Table78[Women''s 4x200m Freestyle Relay Classification],"&gt;0")</f>
        <v>0</v>
      </c>
      <c r="KG147" s="6">
        <f>COUNTIFS(Table78[Country],Tabela1[[#This Row],[Country]],Table78[Men''s 4x100m Medley Relay Classification],"&gt;0")</f>
        <v>0</v>
      </c>
      <c r="KH147" s="6">
        <f>COUNTIFS(Table78[Country],Tabela1[[#This Row],[Country]],Table78[Women''s 4x100m Medley Relay Classification],"&gt;0")</f>
        <v>0</v>
      </c>
      <c r="KI147" s="6">
        <f>COUNTIFS(Table78[Country],Tabela1[[#This Row],[Country]],Table78[Mixed 4x100m Medley Relay Classification],"&gt;0")</f>
        <v>0</v>
      </c>
      <c r="KJ147" s="6">
        <f>COUNTIFS(Table20[Country],Tabela1[[#This Row],[Country]],Table20[10km Open Water Classification],"&gt;0")</f>
        <v>0</v>
      </c>
      <c r="KK147" s="6">
        <f>COUNTIFS(Table21[Country],Tabela1[[#This Row],[Country]],Table21[10km Open Water Classification],"&gt;0")</f>
        <v>0</v>
      </c>
      <c r="KL147" s="6">
        <f>COUNTIFS(Table22[Country],Tabela1[[#This Row],[Country]],Table22[Classification],"&gt;0")</f>
        <v>0</v>
      </c>
      <c r="KM147" s="6">
        <f>COUNTIFS(Table30[Country],Tabela1[[#This Row],[Country]],Table30[Classification],"&gt;0")</f>
        <v>0</v>
      </c>
      <c r="KN147" s="6">
        <f>COUNTIFS(Table55[Country],Tabela1[[#This Row],[Country]],Table55[Men''s Classification],"&gt;0")</f>
        <v>0</v>
      </c>
      <c r="KO147" s="6">
        <f>COUNTIFS(Table55[Country],Tabela1[[#This Row],[Country]],Table55[Women''s Classification],"&gt;0")</f>
        <v>0</v>
      </c>
      <c r="KP147" s="6">
        <f>COUNTIFS(Table56[Country],Tabela1[[#This Row],[Country]],Table56[Mixed Classification],"&gt;0")</f>
        <v>0</v>
      </c>
      <c r="KQ147" s="6">
        <f>COUNTIFS(Table29[Country],Tabela1[[#This Row],[Country]],Table29[58kg Classification],"&gt;0")</f>
        <v>0</v>
      </c>
      <c r="KR147" s="6">
        <f>COUNTIFS(Table29[Country],Tabela1[[#This Row],[Country]],Table29[68kg Classification],"&gt;0")</f>
        <v>0</v>
      </c>
      <c r="KS147" s="6">
        <f>COUNTIFS(Table29[Country],Tabela1[[#This Row],[Country]],Table29[80kg Classification],"&gt;0")</f>
        <v>0</v>
      </c>
      <c r="KT147" s="6">
        <f>COUNTIFS(Table29[Country],Tabela1[[#This Row],[Country]],Table29[Plus 80kg Classification],"&gt;0")</f>
        <v>0</v>
      </c>
      <c r="KU147" s="6">
        <f>COUNTIFS(Table34[Country],Tabela1[[#This Row],[Country]],Table34[49kg Classification],"&gt;0")</f>
        <v>0</v>
      </c>
      <c r="KV147" s="6">
        <f>COUNTIFS(Table34[Country],Tabela1[[#This Row],[Country]],Table34[57kg Classification],"&gt;0")</f>
        <v>0</v>
      </c>
      <c r="KW147" s="6">
        <f>COUNTIFS(Table34[Country],Tabela1[[#This Row],[Country]],Table34[67kg Classification],"&gt;0")</f>
        <v>0</v>
      </c>
      <c r="KX147" s="6">
        <f>COUNTIFS(Table34[Country],Tabela1[[#This Row],[Country]],Table34[Plus 67kg Classification],"&gt;0")</f>
        <v>0</v>
      </c>
      <c r="KY147" s="6">
        <f>COUNTIFS(Table57[Country],Tabela1[[#This Row],[Country]],Table57[Classification],"&gt;0")</f>
        <v>0</v>
      </c>
      <c r="KZ147" s="6">
        <f>COUNTIFS(Table58[Country],Tabela1[[#This Row],[Country]],Table58[Classification],"&gt;0")</f>
        <v>0</v>
      </c>
      <c r="LA147" s="6">
        <f>COUNTIFS(Table79[Country],Tabela1[[#This Row],[Country]],Table79[Men''s Classification],"&gt;0")</f>
        <v>0</v>
      </c>
      <c r="LB147" s="6">
        <f>COUNTIFS(Table79[Country],Tabela1[[#This Row],[Country]],Table79[Women''s Classification],"&gt;0")</f>
        <v>0</v>
      </c>
      <c r="LC147" s="6">
        <f>COUNTIFS(Table79[Country],Tabela1[[#This Row],[Country]],Table79[Mixed Classification],"&gt;0")</f>
        <v>0</v>
      </c>
      <c r="LD147" s="6">
        <f>COUNTIFS(Table65[Country],Tabela1[[#This Row],[Country]],Table65[Classification],"&gt;0")</f>
        <v>0</v>
      </c>
      <c r="LE147" s="6">
        <f>COUNTIFS(Table59[Country],Tabela1[[#This Row],[Country]],Table59[Classification],"&gt;0")</f>
        <v>0</v>
      </c>
      <c r="LF147" s="6">
        <f>COUNTIFS(Table87[Country],Tabela1[[#This Row],[Country]],Table87[Mixed Relay Classification],"&gt;0")</f>
        <v>0</v>
      </c>
      <c r="LG147" s="6">
        <f>COUNTIFS(Table91949698100[Country],Tabela1[[#This Row],[Country]],Table91949698100[Men''s Classification],"&gt;0")</f>
        <v>0</v>
      </c>
      <c r="LH147" s="6">
        <f>COUNTIFS(Table91949698100[Country],Tabela1[[#This Row],[Country]],Table91949698100[Women''s Classification],"&gt;0")</f>
        <v>0</v>
      </c>
      <c r="LI147" s="6">
        <f>COUNTIFS(Table91949698100102[Country],Tabela1[[#This Row],[Country]],Table91949698100102[Men''s Classification],"&gt;0")</f>
        <v>0</v>
      </c>
      <c r="LJ147" s="6">
        <f>COUNTIFS(Table91949698100102[Country],Tabela1[[#This Row],[Country]],Table91949698100102[Women''s Classification],"&gt;0")</f>
        <v>0</v>
      </c>
      <c r="LK147" s="6">
        <f>COUNTIFS(Table23[Country],Tabela1[[#This Row],[Country]],Table23[61kg Classification],"&gt;0")</f>
        <v>0</v>
      </c>
      <c r="LL147" s="6">
        <f>COUNTIFS(Table23[Country],Tabela1[[#This Row],[Country]],Table23[73kg Classification],"&gt;0")</f>
        <v>0</v>
      </c>
      <c r="LM147" s="6">
        <f>COUNTIFS(Table23[Country],Tabela1[[#This Row],[Country]],Table23[89kg Classification],"&gt;0")</f>
        <v>0</v>
      </c>
      <c r="LN147" s="6">
        <f>COUNTIFS(Table23[Country],Tabela1[[#This Row],[Country]],Table23[102kg Classification],"&gt;0")</f>
        <v>0</v>
      </c>
      <c r="LO147" s="6">
        <f>COUNTIFS(Table23[Country],Tabela1[[#This Row],[Country]],Table23[Plus 102kg Classification],"&gt;0")</f>
        <v>0</v>
      </c>
      <c r="LP147" s="6">
        <f>COUNTIFS(Table28[Country],Tabela1[[#This Row],[Country]],Table28[49kg Classification],"&gt;0")</f>
        <v>0</v>
      </c>
      <c r="LQ147" s="6">
        <f>COUNTIFS(Table28[Country],Tabela1[[#This Row],[Country]],Table28[59kg Classification],"&gt;0")</f>
        <v>0</v>
      </c>
      <c r="LR147" s="6">
        <f>COUNTIFS(Table28[Country],Tabela1[[#This Row],[Country]],Table28[71kg Classification],"&gt;0")</f>
        <v>0</v>
      </c>
      <c r="LS147" s="6">
        <f>COUNTIFS(Table28[Country],Tabela1[[#This Row],[Country]],Table28[81kg Classification],"&gt;0")</f>
        <v>0</v>
      </c>
      <c r="LT147" s="6">
        <f>COUNTIFS(Table28[Country],Tabela1[[#This Row],[Country]],Table28[Plus 81kg Classification],"&gt;0")</f>
        <v>0</v>
      </c>
      <c r="LU147" s="6">
        <f>COUNTIFS(Table24[Country],Tabela1[[#This Row],[Country]],Table24[Freestyle 57kg Classification],"&gt;0")</f>
        <v>0</v>
      </c>
      <c r="LV147" s="6">
        <f>COUNTIFS(Table24[Country],Tabela1[[#This Row],[Country]],Table24[Freestyle 65kg Classification],"&gt;0")</f>
        <v>0</v>
      </c>
      <c r="LW147" s="6">
        <f>COUNTIFS(Table24[Country],Tabela1[[#This Row],[Country]],Table24[Freestyle 74kg Classification],"&gt;0")</f>
        <v>0</v>
      </c>
      <c r="LX147" s="6">
        <f>COUNTIFS(Table24[Country],Tabela1[[#This Row],[Country]],Table24[Freestyle 86kg Classification],"&gt;0")</f>
        <v>0</v>
      </c>
      <c r="LY147" s="6">
        <f>COUNTIFS(Table24[Country],Tabela1[[#This Row],[Country]],Table24[Freestyle 97kg Classification],"&gt;0")</f>
        <v>0</v>
      </c>
      <c r="LZ147" s="6">
        <f>COUNTIFS(Table24[Country],Tabela1[[#This Row],[Country]],Table24[Freestyle 125kg Classification],"&gt;0")</f>
        <v>0</v>
      </c>
      <c r="MA147" s="6">
        <f>COUNTIFS(Table24[Country],Tabela1[[#This Row],[Country]],Table24[Greco-Roman 60kg Classification],"&gt;0")</f>
        <v>0</v>
      </c>
      <c r="MB147" s="6">
        <f>COUNTIFS(Table24[Country],Tabela1[[#This Row],[Country]],Table24[Greco-Roman 67kg Classification],"&gt;0")</f>
        <v>0</v>
      </c>
      <c r="MC147" s="6">
        <f>COUNTIFS(Table24[Country],Tabela1[[#This Row],[Country]],Table24[Greco-Roman 77kg Classification],"&gt;0")</f>
        <v>0</v>
      </c>
      <c r="MD147" s="6">
        <f>COUNTIFS(Table24[Country],Tabela1[[#This Row],[Country]],Table24[Greco-Roman 87kg Classification],"&gt;0")</f>
        <v>0</v>
      </c>
      <c r="ME147" s="6">
        <f>COUNTIFS(Table24[Country],Tabela1[[#This Row],[Country]],Table24[Greco-Roman 97kg Classification],"&gt;0")</f>
        <v>0</v>
      </c>
      <c r="MF147" s="6">
        <f>COUNTIFS(Table24[Country],Tabela1[[#This Row],[Country]],Table24[Greco-Roman 130kg Classification],"&gt;0")</f>
        <v>0</v>
      </c>
      <c r="MG147" s="6">
        <f>COUNTIFS(Table31[Country],Tabela1[[#This Row],[Country]],Table31[50kg Classification],"&gt;0")</f>
        <v>0</v>
      </c>
      <c r="MH147" s="6">
        <f>COUNTIFS(Table31[Country],Tabela1[[#This Row],[Country]],Table31[53kg Classification],"&gt;0")</f>
        <v>0</v>
      </c>
      <c r="MI147" s="6">
        <f>COUNTIFS(Table31[Country],Tabela1[[#This Row],[Country]],Table31[57kg Classification],"&gt;0")</f>
        <v>0</v>
      </c>
      <c r="MJ147" s="6">
        <f>COUNTIFS(Table31[Country],Tabela1[[#This Row],[Country]],Table31[62kg Classification],"&gt;0")</f>
        <v>0</v>
      </c>
      <c r="MK147" s="6">
        <f>COUNTIFS(Table31[Country],Tabela1[[#This Row],[Country]],Table31[68kg Classification],"&gt;0")</f>
        <v>0</v>
      </c>
      <c r="ML147" s="6">
        <f>COUNTIFS(Table31[Country],Tabela1[[#This Row],[Country]],Table31[76kg Classification],"&gt;0")</f>
        <v>0</v>
      </c>
      <c r="MM147" s="6">
        <f>COUNTIFS(Table102[Country],Tabela1[[#This Row],[Country]],Table102[Downhill Classification],"&gt;0")</f>
        <v>0</v>
      </c>
      <c r="MN147" s="6">
        <f>COUNTIFS(Table102105[Country],Tabela1[[#This Row],[Country]],Table102105[Downhill Classification],"&gt;0")</f>
        <v>0</v>
      </c>
      <c r="MO147" s="6">
        <f>COUNTIFS(Table102[Country],Tabela1[[#This Row],[Country]],Table102[Giant Slalom Classification],"&gt;0")</f>
        <v>0</v>
      </c>
      <c r="MP147" s="6">
        <f>COUNTIFS(Table102105[Country],Tabela1[[#This Row],[Country]],Table102105[Giant Slalom Classification],"&gt;0")</f>
        <v>0</v>
      </c>
      <c r="MQ147" s="6">
        <f>COUNTIFS(Table102[Country],Tabela1[[#This Row],[Country]],Table102[Slalom Classification],"&gt;0")</f>
        <v>0</v>
      </c>
      <c r="MR147" s="6">
        <f>COUNTIFS(Table102105[Country],Tabela1[[#This Row],[Country]],Table102105[Slalom Classification],"&gt;0")</f>
        <v>0</v>
      </c>
      <c r="MS147" s="6">
        <f>COUNTIFS(Table102[Country],Tabela1[[#This Row],[Country]],Table102[Super-G Classification],"&gt;0")</f>
        <v>0</v>
      </c>
      <c r="MT147" s="6">
        <f>COUNTIFS(Table102105[Country],Tabela1[[#This Row],[Country]],Table102105[Super-G Classification],"&gt;0")</f>
        <v>0</v>
      </c>
      <c r="MU147" s="6">
        <f>COUNTIFS(Table105[Country],Tabela1[[#This Row],[Country]],Table105[Men''s Combined Classification],"&gt;0")</f>
        <v>0</v>
      </c>
      <c r="MV147" s="6">
        <f>COUNTIFS(Table105[Country],Tabela1[[#This Row],[Country]],Table105[Women''s Combined Classification],"&gt;0")</f>
        <v>0</v>
      </c>
      <c r="MW147" s="6">
        <f>COUNTIFS(Table106[Country],Tabela1[[#This Row],[Country]],Table106[Individual Classification],"&gt;0")</f>
        <v>0</v>
      </c>
      <c r="MX147" s="6">
        <f>COUNTIFS(Table106109[Country],Tabela1[[#This Row],[Country]],Table106109[Individual Classification],"&gt;0")</f>
        <v>0</v>
      </c>
      <c r="MY147" s="6">
        <f>COUNTIFS(Table106[Country],Tabela1[[#This Row],[Country]],Table106[Mass Start Classification],"&gt;0")</f>
        <v>0</v>
      </c>
      <c r="MZ147" s="6">
        <f>COUNTIFS(Table106109[Country],Tabela1[[#This Row],[Country]],Table106109[Mass Start Classification],"&gt;0")</f>
        <v>0</v>
      </c>
      <c r="NA147" s="6">
        <f>COUNTIFS(Table106[Country],Tabela1[[#This Row],[Country]],Table106[Pursuit Classification],"&gt;0")</f>
        <v>0</v>
      </c>
      <c r="NB147" s="6">
        <f>COUNTIFS(Table106109[Country],Tabela1[[#This Row],[Country]],Table106109[Pursuit Classification],"&gt;0")</f>
        <v>0</v>
      </c>
      <c r="NC147" s="6">
        <f>COUNTIFS(Table106[Country],Tabela1[[#This Row],[Country]],Table106[Sprint Classification],"&gt;0")</f>
        <v>0</v>
      </c>
      <c r="ND147" s="6">
        <f>COUNTIFS(Table106109[Country],Tabela1[[#This Row],[Country]],Table106109[Sprint Classification],"&gt;0")</f>
        <v>0</v>
      </c>
      <c r="NE147" s="6">
        <f>COUNTIFS(Table109[Country],Tabela1[[#This Row],[Country]],Table109[Men''s Relay Classification],"&gt;0")</f>
        <v>0</v>
      </c>
      <c r="NF147" s="6">
        <f>COUNTIFS(Table109[Country],Tabela1[[#This Row],[Country]],Table109[Women''s Relay Classification],"&gt;0")</f>
        <v>0</v>
      </c>
      <c r="NG147" s="6">
        <f>COUNTIFS(Table109[Country],Tabela1[[#This Row],[Country]],Table109[Mixed Relay Classification],"&gt;0")</f>
        <v>0</v>
      </c>
      <c r="NH147" s="6">
        <f>COUNTIFS(Table110[Country],Tabela1[[#This Row],[Country]],Table110[Monobob Classification],"&gt;0")</f>
        <v>0</v>
      </c>
      <c r="NI147" s="6">
        <f>COUNTIFS(Table111[Country],Tabela1[[#This Row],[Country]],Table111[Men''s Classification],"&gt;0")</f>
        <v>0</v>
      </c>
      <c r="NJ147" s="6">
        <f>COUNTIFS(Table111[Country],Tabela1[[#This Row],[Country]],Table111[Women''s Classification],"&gt;0")</f>
        <v>0</v>
      </c>
      <c r="NK147" s="6">
        <f>COUNTIFS(Table112[Country],Tabela1[[#This Row],[Country]],Table112[Men''s Four Classification],"&gt;0")</f>
        <v>0</v>
      </c>
      <c r="NL147" s="6">
        <f>COUNTIFS(Table113[Country],Tabela1[[#This Row],[Country]],Table113[Classical Classification],"&gt;0")</f>
        <v>0</v>
      </c>
      <c r="NM147" s="6">
        <f>COUNTIFS(Table113116[Country],Tabela1[[#This Row],[Country]],Table113116[Classical Classification],"&gt;0")</f>
        <v>0</v>
      </c>
      <c r="NN147" s="6">
        <f>COUNTIFS(Table113[Country],Tabela1[[#This Row],[Country]],Table113[Freestyle Classification],"&gt;0")</f>
        <v>0</v>
      </c>
      <c r="NO147" s="6">
        <f>COUNTIFS(Table113116[Country],Tabela1[[#This Row],[Country]],Table113116[Freestyle Classification],"&gt;0")</f>
        <v>0</v>
      </c>
      <c r="NP147" s="6">
        <f>COUNTIFS(Table117[Country],Tabela1[[#This Row],[Country]],Table117[Men''s Relay Classification],"&gt;0")</f>
        <v>0</v>
      </c>
      <c r="NQ147" s="6">
        <f>COUNTIFS(Table117[Country],Tabela1[[#This Row],[Country]],Table117[Women''s Relay Classification],"&gt;0")</f>
        <v>0</v>
      </c>
      <c r="NR147" s="6">
        <f>COUNTIFS(Table113[Country],Tabela1[[#This Row],[Country]],Table113[Skiathlon Classification],"&gt;0")</f>
        <v>0</v>
      </c>
      <c r="NS147" s="6">
        <f>COUNTIFS(Table113116[Country],Tabela1[[#This Row],[Country]],Table113116[Skiathlon Classification],"&gt;0")</f>
        <v>0</v>
      </c>
      <c r="NT147" s="6">
        <f>COUNTIFS(Table113[Country],Tabela1[[#This Row],[Country]],Table113[Sprint Classification],"&gt;0")</f>
        <v>0</v>
      </c>
      <c r="NU147" s="6">
        <f>COUNTIFS(Table113116[Country],Tabela1[[#This Row],[Country]],Table113116[Sprint Classification],"&gt;0")</f>
        <v>0</v>
      </c>
      <c r="NV147" s="6">
        <f>COUNTIFS(Table116[Country],Tabela1[[#This Row],[Country]],Table116[Men''s Team Sprint Classification],"&gt;0")</f>
        <v>0</v>
      </c>
      <c r="NW147" s="6">
        <f>COUNTIFS(Table116[Country],Tabela1[[#This Row],[Country]],Table116[Women''s Team Sprint Classification],"&gt;0")</f>
        <v>0</v>
      </c>
      <c r="NX147" s="6">
        <f>COUNTIFS(Table119[Country],Tabela1[[#This Row],[Country]],Table119[Men''s Classification],"&gt;0")</f>
        <v>0</v>
      </c>
      <c r="NY147" s="6">
        <f>COUNTIFS(Table119[Country],Tabela1[[#This Row],[Country]],Table119[Women''s Classification],"&gt;0")</f>
        <v>0</v>
      </c>
      <c r="NZ147" s="6">
        <f>COUNTIFS(Table118[Country],Tabela1[[#This Row],[Country]],Table118[Mixed Classification],"&gt;0")</f>
        <v>0</v>
      </c>
      <c r="OA147" s="6">
        <f>COUNTIFS(Table120[Country],Tabela1[[#This Row],[Country]],Table120[Classification],"&gt;0")</f>
        <v>0</v>
      </c>
      <c r="OB147" s="6">
        <f>COUNTIFS(Table120123[Country],Tabela1[[#This Row],[Country]],Table120123[Classification],"&gt;0")</f>
        <v>0</v>
      </c>
      <c r="OC147" s="6">
        <f>COUNTIFS(Table123[Country],Tabela1[[#This Row],[Country]],Table123[Ice Dance Classification],"&gt;0")</f>
        <v>0</v>
      </c>
      <c r="OD147" s="6">
        <f>COUNTIFS(Table123[Country],Tabela1[[#This Row],[Country]],Table123[Pair Skating Classification],"&gt;0")</f>
        <v>0</v>
      </c>
      <c r="OE147" s="6">
        <f>COUNTIFS(Table124[Country],Tabela1[[#This Row],[Country]],Table124[Mixed Classification],"&gt;0")</f>
        <v>0</v>
      </c>
      <c r="OF147" s="6">
        <f>COUNTIFS(Table125[Country],Tabela1[[#This Row],[Country]],Table125[Aerials Classification],"&gt;0")</f>
        <v>0</v>
      </c>
      <c r="OG147" s="6">
        <f>COUNTIFS(Table125128[Country],Tabela1[[#This Row],[Country]],Table125128[Aerials Classification],"&gt;0")</f>
        <v>0</v>
      </c>
      <c r="OH147" s="6">
        <f>COUNTIFS(Table128[Country],Tabela1[[#This Row],[Country]],Table128[Mixed Aerials Classification],"&gt;0")</f>
        <v>0</v>
      </c>
      <c r="OI147" s="6">
        <f>COUNTIFS(Table125[Country],Tabela1[[#This Row],[Country]],Table125[Big Air Classification],"&gt;0")</f>
        <v>0</v>
      </c>
      <c r="OJ147" s="6">
        <f>COUNTIFS(Table125128[Country],Tabela1[[#This Row],[Country]],Table125128[Big Air Classification],"&gt;0")</f>
        <v>0</v>
      </c>
      <c r="OK147" s="6">
        <f>COUNTIFS(Table125[Country],Tabela1[[#This Row],[Country]],Table125[Dual Moguls Classification],"&gt;0")</f>
        <v>0</v>
      </c>
      <c r="OL147" s="6">
        <f>COUNTIFS(Table125128[Country],Tabela1[[#This Row],[Country]],Table125128[Dual Moguls Classification],"&gt;0")</f>
        <v>0</v>
      </c>
      <c r="OM147" s="6">
        <f>COUNTIFS(Table125[Country],Tabela1[[#This Row],[Country]],Table125[Halfpipe Classification],"&gt;0")</f>
        <v>0</v>
      </c>
      <c r="ON147" s="6">
        <f>COUNTIFS(Table125128[Country],Tabela1[[#This Row],[Country]],Table125128[Halfpipe Classification],"&gt;0")</f>
        <v>0</v>
      </c>
      <c r="OO147" s="6">
        <f>COUNTIFS(Table125[Country],Tabela1[[#This Row],[Country]],Table125[Moguls Classification],"&gt;0")</f>
        <v>0</v>
      </c>
      <c r="OP147" s="6">
        <f>COUNTIFS(Table125128[Country],Tabela1[[#This Row],[Country]],Table125128[Moguls Classification],"&gt;0")</f>
        <v>0</v>
      </c>
      <c r="OQ147" s="6">
        <f>COUNTIFS(Table125[Country],Tabela1[[#This Row],[Country]],Table125[Ski Cross Classification],"&gt;0")</f>
        <v>0</v>
      </c>
      <c r="OR147" s="6">
        <f>COUNTIFS(Table125128[Country],Tabela1[[#This Row],[Country]],Table125128[Ski Cross Classification],"&gt;0")</f>
        <v>0</v>
      </c>
      <c r="OS147" s="6">
        <f>COUNTIFS(Table125[Country],Tabela1[[#This Row],[Country]],Table125[Slopestyle Classification],"&gt;0")</f>
        <v>0</v>
      </c>
      <c r="OT147" s="6">
        <f>COUNTIFS(Table125128[Country],Tabela1[[#This Row],[Country]],Table125128[Slopestyle Classification],"&gt;0")</f>
        <v>0</v>
      </c>
      <c r="OU147" s="6">
        <f>COUNTIFS(Table119131[Country],Tabela1[[#This Row],[Country]],Table119131[Men''s Classification],"&gt;0")</f>
        <v>0</v>
      </c>
      <c r="OV147" s="6">
        <f>COUNTIFS(Table119131[Country],Tabela1[[#This Row],[Country]],Table119131[Women''s Classification],"&gt;0")</f>
        <v>0</v>
      </c>
      <c r="OW147" s="6">
        <f>COUNTIFS(Table131[Country],Tabela1[[#This Row],[Country]],Table131[Classification],"&gt;0")</f>
        <v>0</v>
      </c>
      <c r="OX147" s="6">
        <f>COUNTIFS(Table131134[Country],Tabela1[[#This Row],[Country]],Table131134[Classification],"&gt;0")</f>
        <v>0</v>
      </c>
      <c r="OY147" s="6">
        <f>COUNTIFS(Table134[Country],Tabela1[[#This Row],[Country]],Table134[Men''s Classification],"&gt;0")</f>
        <v>0</v>
      </c>
      <c r="OZ147" s="6">
        <f>COUNTIFS(Table134[Country],Tabela1[[#This Row],[Country]],Table134[Women''s Classification],"&gt;0")</f>
        <v>0</v>
      </c>
      <c r="PA147" s="6">
        <f>COUNTIFS(Table135[Country],Tabela1[[#This Row],[Country]],Table135[Mixed Relay Classification],"&gt;0")</f>
        <v>0</v>
      </c>
      <c r="PB147" s="6">
        <f>COUNTIFS(Table136[Country],Tabela1[[#This Row],[Country]],Table136[Individual Classification],"&gt;0")</f>
        <v>0</v>
      </c>
      <c r="PC147" s="6">
        <f>COUNTIFS(Table136[Country],Tabela1[[#This Row],[Country]],Table136[Sprint Classification],"&gt;0")</f>
        <v>0</v>
      </c>
      <c r="PD147" s="6">
        <f>COUNTIFS(Table137[Country],Tabela1[[#This Row],[Country]],Table137[Men''s Team Sprint Large Hill Classification],"&gt;0")</f>
        <v>0</v>
      </c>
      <c r="PE147" s="6">
        <f>COUNTIFS(Table138[Country],Tabela1[[#This Row],[Country]],Table138[500m Classification],"&gt;0")</f>
        <v>0</v>
      </c>
      <c r="PF147" s="6">
        <f>COUNTIFS(Table138141[Country],Tabela1[[#This Row],[Country]],Table138141[500m Classification],"&gt;0")</f>
        <v>0</v>
      </c>
      <c r="PG147" s="6">
        <f>COUNTIFS(Table138[Country],Tabela1[[#This Row],[Country]],Table138[1000m Classification],"&gt;0")</f>
        <v>0</v>
      </c>
      <c r="PH147" s="6">
        <f>COUNTIFS(Table138141[Country],Tabela1[[#This Row],[Country]],Table138141[1000m Classification],"&gt;0")</f>
        <v>0</v>
      </c>
      <c r="PI147" s="6">
        <f>COUNTIFS(Table138[Country],Tabela1[[#This Row],[Country]],Table138[1500m Classification],"&gt;0")</f>
        <v>0</v>
      </c>
      <c r="PJ147" s="6">
        <f>COUNTIFS(Table138141[Country],Tabela1[[#This Row],[Country]],Table138141[1500m Classification],"&gt;0")</f>
        <v>0</v>
      </c>
      <c r="PK147" s="6">
        <f>COUNTIFS(Table141[Country],Tabela1[[#This Row],[Country]],Table141[Men''s 5000m Relay Classification],"&gt;0")</f>
        <v>0</v>
      </c>
      <c r="PL147" s="6">
        <f>COUNTIFS(Table141[Country],Tabela1[[#This Row],[Country]],Table141[Women''s 3000m Relay Classification],"&gt;0")</f>
        <v>0</v>
      </c>
      <c r="PM147" s="6">
        <f>COUNTIFS(Table141[Country],Tabela1[[#This Row],[Country]],Table141[Mixed 2000m Relay Classification],"&gt;0")</f>
        <v>0</v>
      </c>
      <c r="PN147" s="6">
        <f>COUNTIFS(Table142[Country],Tabela1[[#This Row],[Country]],Table142[Classification],"&gt;0")</f>
        <v>0</v>
      </c>
      <c r="PO147" s="6">
        <f>COUNTIFS(Table142145[Country],Tabela1[[#This Row],[Country]],Table142145[Classification],"&gt;0")</f>
        <v>0</v>
      </c>
      <c r="PP147" s="6">
        <f>COUNTIFS(Tabela15[Country],Tabela1[[#This Row],[Country]],Tabela15[Mixed Team Classification],"&gt;0")</f>
        <v>0</v>
      </c>
      <c r="PQ147" s="6">
        <f>COUNTIFS(Table145[Country],Tabela1[[#This Row],[Country]],Table145[Large Hill Classification],"&gt;0")</f>
        <v>0</v>
      </c>
      <c r="PR147" s="6">
        <f>COUNTIFS(Table145[Country],Tabela1[[#This Row],[Country]],Table145[Normal Hill Classification],"&gt;0")</f>
        <v>0</v>
      </c>
      <c r="PS147" s="6">
        <f>COUNTIFS(Table145148[Country],Tabela1[[#This Row],[Country]],Table145148[Large Hill Classification],"&gt;0")</f>
        <v>0</v>
      </c>
      <c r="PT147" s="6">
        <f>COUNTIFS(Table145148[Country],Tabela1[[#This Row],[Country]],Table145148[Normal Hill Classification],"&gt;0")</f>
        <v>0</v>
      </c>
      <c r="PU147" s="6">
        <f>COUNTIFS(Table148[Country],Tabela1[[#This Row],[Country]],Table148[Men''s Super Team Classification],"&gt;0")</f>
        <v>0</v>
      </c>
      <c r="PV147" s="6">
        <f>COUNTIFS(Tabela114[Country],Tabela1[[#This Row],[Country]],Tabela114[Mixed Normal Hill Classification],"&gt;0")</f>
        <v>0</v>
      </c>
      <c r="PW147" s="6">
        <f>COUNTIFS(Tabela50[Country],Tabela1[[#This Row],[Country]],Tabela50[Sprint Classification],"&gt;0")</f>
        <v>0</v>
      </c>
      <c r="PX147" s="6">
        <f>COUNTIFS(Tabela50101[Country],Tabela1[[#This Row],[Country]],Tabela50101[Sprint Classification],"&gt;0")</f>
        <v>0</v>
      </c>
      <c r="PY147" s="6">
        <f>COUNTIFS(Tabela103[Country],Tabela1[[#This Row],[Country]],Tabela103[Mixed Relay Classification],"&gt;0")</f>
        <v>0</v>
      </c>
      <c r="PZ147" s="6">
        <f>COUNTIFS(Table149[Country],Tabela1[[#This Row],[Country]],Table149[Big Air Classification],"&gt;0")</f>
        <v>0</v>
      </c>
      <c r="QA147" s="6">
        <f>COUNTIFS(Table149152[Country],Tabela1[[#This Row],[Country]],Table149152[Big Air Classification],"&gt;0")</f>
        <v>0</v>
      </c>
      <c r="QB147" s="6">
        <f>COUNTIFS(Table149[Country],Tabela1[[#This Row],[Country]],Table149[Halfpipe Classification],"&gt;0")</f>
        <v>0</v>
      </c>
      <c r="QC147" s="6">
        <f>COUNTIFS(Table149152[Country],Tabela1[[#This Row],[Country]],Table149152[Halfpipe Classification],"&gt;0")</f>
        <v>0</v>
      </c>
      <c r="QD147" s="6">
        <f>COUNTIFS(Table149[Country],Tabela1[[#This Row],[Country]],Table149[Parallel Giant Slalom Classification],"&gt;0")</f>
        <v>0</v>
      </c>
      <c r="QE147" s="6">
        <f>COUNTIFS(Table149152[Country],Tabela1[[#This Row],[Country]],Table149152[Parallel Giant Slalom Classification],"&gt;0")</f>
        <v>0</v>
      </c>
      <c r="QF147" s="6">
        <f>COUNTIFS(Table149[Country],Tabela1[[#This Row],[Country]],Table149[Slopestyle Classification],"&gt;0")</f>
        <v>0</v>
      </c>
      <c r="QG147" s="6">
        <f>COUNTIFS(Table149152[Country],Tabela1[[#This Row],[Country]],Table149152[Slopestyle Classification],"&gt;0")</f>
        <v>0</v>
      </c>
      <c r="QH147" s="6">
        <f>COUNTIFS(Table149[Country],Tabela1[[#This Row],[Country]],Table149[Snowboard Cross Classification],"&gt;0")</f>
        <v>0</v>
      </c>
      <c r="QI147" s="6">
        <f>COUNTIFS(Table149152[Country],Tabela1[[#This Row],[Country]],Table149152[Snowboard Cross Classification],"&gt;0")</f>
        <v>0</v>
      </c>
      <c r="QJ147" s="6">
        <f>COUNTIFS(Table153[Country],Tabela1[[#This Row],[Country]],Table153[Mixed Team Snowboard Cross Classification],"&gt;0")</f>
        <v>0</v>
      </c>
      <c r="QK147" s="6">
        <f>COUNTIFS(Table154[Country],Tabela1[[#This Row],[Country]],Table154[500m Classification],"&gt;0")</f>
        <v>0</v>
      </c>
      <c r="QL147" s="6">
        <f>COUNTIFS(Table154157[Country],Tabela1[[#This Row],[Country]],Table154157[500m Classification],"&gt;0")</f>
        <v>0</v>
      </c>
      <c r="QM147" s="6">
        <f>COUNTIFS(Table154[Country],Tabela1[[#This Row],[Country]],Table154[1000m Classification],"&gt;0")</f>
        <v>0</v>
      </c>
      <c r="QN147" s="6">
        <f>COUNTIFS(Table154157[Country],Tabela1[[#This Row],[Country]],Table154157[1000m Classification],"&gt;0")</f>
        <v>0</v>
      </c>
      <c r="QO147" s="6">
        <f>COUNTIFS(Table154[Country],Tabela1[[#This Row],[Country]],Table154[1500m Classification],"&gt;0")</f>
        <v>0</v>
      </c>
      <c r="QP147" s="6">
        <f>COUNTIFS(Table154157[Country],Tabela1[[#This Row],[Country]],Table154157[1500m Classification],"&gt;0")</f>
        <v>0</v>
      </c>
      <c r="QQ147" s="6">
        <f>COUNTIFS(Table154157[Country],Tabela1[[#This Row],[Country]],Table154157[3000m Classification],"&gt;0")</f>
        <v>0</v>
      </c>
      <c r="QR147" s="6">
        <f>COUNTIFS(Table154[Country],Tabela1[[#This Row],[Country]],Table154[5000m Classification],"&gt;0")</f>
        <v>0</v>
      </c>
      <c r="QS147" s="6">
        <f>COUNTIFS(Table154157[Country],Tabela1[[#This Row],[Country]],Table154157[5000m Classification],"&gt;0")</f>
        <v>0</v>
      </c>
      <c r="QT147" s="6">
        <f>COUNTIFS(Table154[Country],Tabela1[[#This Row],[Country]],Table154[10000m Classification],"&gt;0")</f>
        <v>0</v>
      </c>
      <c r="QU147" s="6">
        <f>COUNTIFS(Table154[Country],Tabela1[[#This Row],[Country]],Table154[Mass Start Classification],"&gt;0")</f>
        <v>0</v>
      </c>
      <c r="QV147" s="6">
        <f>COUNTIFS(Table154157[Country],Tabela1[[#This Row],[Country]],Table154157[Mass Start Classification],"&gt;0")</f>
        <v>0</v>
      </c>
      <c r="QW147" s="6">
        <f>COUNTIFS(Table157[Country],Tabela1[[#This Row],[Country]],Table157[Men''s Pursuit Classification],"&gt;0")</f>
        <v>0</v>
      </c>
      <c r="QX147" s="6">
        <f>COUNTIFS(Table157[Country],Tabela1[[#This Row],[Country]],Table157[Women''s Pursuit Classification],"&gt;0")</f>
        <v>0</v>
      </c>
      <c r="QY147" s="4" t="s">
        <v>649</v>
      </c>
    </row>
    <row r="148" spans="1:467" x14ac:dyDescent="0.3">
      <c r="A148" s="6">
        <v>147</v>
      </c>
      <c r="B148" s="6" t="s">
        <v>454</v>
      </c>
      <c r="C148" t="e" vm="147">
        <f>IF(ISBLANK(Tabela1[[#This Row],[Image Link]]), "", _xlfn.IMAGE(Tabela1[[#This Row],[Image Link]],1,1))</f>
        <v>#VALUE!</v>
      </c>
      <c r="D148" s="6">
        <f>SUM(Tabela1[[#This Row],[Archery - Men''s Individual Recurve]:[Speed Skating - Women''s Team Pursuit]])</f>
        <v>1</v>
      </c>
      <c r="E148" s="6">
        <f>COUNTIF(Tabela1[[#This Row],[Archery - Men''s Individual Recurve]:[Speed Skating - Women''s Team Pursuit]],"&gt;0")</f>
        <v>1</v>
      </c>
      <c r="F148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48" s="6">
        <f>SUM(Tabela1[[#This Row],[Archery - Men''s Individual Recurve]:[Wrestling - Women''s Freestyle 76kg]])</f>
        <v>1</v>
      </c>
      <c r="H148" s="6">
        <f>SUM(Tabela1[[#This Row],[Alpine Skiing - Men''s Downhill]:[Speed Skating - Women''s Team Pursuit]])</f>
        <v>0</v>
      </c>
      <c r="I148" s="6">
        <f>Tabela1[[#This Row],[Summer Gold Medals]]+Tabela1[[#This Row],[Winter Gold Medals]]</f>
        <v>0</v>
      </c>
      <c r="J148" s="6">
        <f>Tabela1[[#This Row],[Summer Silver Medals]]+Tabela1[[#This Row],[Winter Silver Medals]]</f>
        <v>0</v>
      </c>
      <c r="K148" s="6">
        <f>Tabela1[[#This Row],[Summer Bronze Medals]]+Tabela1[[#This Row],[Winter Bronze Medals]]</f>
        <v>0</v>
      </c>
      <c r="L148" s="6">
        <f>SUM(Tabela1[[#This Row],[Total Gold Medals]:[Total Bronze Medals]])</f>
        <v>0</v>
      </c>
      <c r="M148" s="6"/>
      <c r="N148" s="6"/>
      <c r="O148" s="6"/>
      <c r="P148" s="6">
        <f>SUM(Tabela1[[#This Row],[Summer Gold Medals]:[Summer Bronze Medals]])</f>
        <v>0</v>
      </c>
      <c r="Q148" s="6"/>
      <c r="R148" s="6"/>
      <c r="S148" s="6"/>
      <c r="T148" s="6">
        <f>Tabela1[[#This Row],[Winter Gold Medals]]+Tabela1[[#This Row],[Winter Silver Medals]]+Tabela1[[#This Row],[Winter Bronze Medals]]</f>
        <v>0</v>
      </c>
      <c r="U148" s="7">
        <f>Tabela1[[#This Row],[Total Medals]]/Tabela1[[#This Row],[Total Quotas]]</f>
        <v>0</v>
      </c>
      <c r="V148" s="6">
        <f>COUNTIFS(Table3[Country],Tabela1[[#This Row],[Country]],Table3[Recurve Classification],"&gt;0")</f>
        <v>0</v>
      </c>
      <c r="W148" s="6">
        <f>COUNTIFS(Table33[Country],Tabela1[[#This Row],[Country]],Table33[Recurve Classification],"&gt;0")</f>
        <v>0</v>
      </c>
      <c r="X148" s="6">
        <f>COUNTIFS(Table35[Country],Tabela1[[#This Row],[Country]],Table35[Men''s Team Recurve Classification],"&gt;0")</f>
        <v>0</v>
      </c>
      <c r="Y148" s="6">
        <f>COUNTIFS(Table35[Country],Tabela1[[#This Row],[Country]],Table35[Women''s Team Recurve Classification],"&gt;0")</f>
        <v>0</v>
      </c>
      <c r="Z148" s="6">
        <f>COUNTIFS(Tabela88[Country],Tabela1[[#This Row],[Country]],Tabela88[Mixed Team Recurve Classification],"&gt;0")</f>
        <v>0</v>
      </c>
      <c r="AA148" s="6">
        <f>COUNTIFS(Table36[Country],Tabela1[[#This Row],[Country]],Table36[Classification],"&gt;0")</f>
        <v>0</v>
      </c>
      <c r="AB148" s="6">
        <f>COUNTIFS(Table37[Country],Tabela1[[#This Row],[Country]],Table37[Classification],"&gt;0")</f>
        <v>0</v>
      </c>
      <c r="AC148" s="6">
        <f>COUNTIFS(Table4[Country],Tabela1[[#This Row],[Country]],Table4[100m Classification],"&gt;0")</f>
        <v>0</v>
      </c>
      <c r="AD148" s="6">
        <f>COUNTIFS(Table5[Country],Tabela1[[#This Row],[Country]],Table5[100m Classification],"&gt;0")</f>
        <v>0</v>
      </c>
      <c r="AE148" s="6">
        <f>COUNTIFS(Table4[Country],Tabela1[[#This Row],[Country]],Table4[200m Classification],"&gt;0")</f>
        <v>0</v>
      </c>
      <c r="AF148" s="6">
        <f>COUNTIFS(Table5[Country],Tabela1[[#This Row],[Country]],Table5[200m Classification],"&gt;0")</f>
        <v>0</v>
      </c>
      <c r="AG148" s="6">
        <f>COUNTIFS(Table4[Country],Tabela1[[#This Row],[Country]],Table4[400m Classification],"&gt;0")</f>
        <v>0</v>
      </c>
      <c r="AH148" s="6">
        <f>COUNTIFS(Table5[Country],Tabela1[[#This Row],[Country]],Table5[400m Classification],"&gt;0")</f>
        <v>0</v>
      </c>
      <c r="AI148" s="6">
        <f>COUNTIFS(Table4[Country],Tabela1[[#This Row],[Country]],Table4[800m Classification],"&gt;0")</f>
        <v>0</v>
      </c>
      <c r="AJ148" s="6">
        <f>COUNTIFS(Table5[Country],Tabela1[[#This Row],[Country]],Table5[800m Classification],"&gt;0")</f>
        <v>0</v>
      </c>
      <c r="AK148" s="6">
        <f>COUNTIFS(Table4[Country],Tabela1[[#This Row],[Country]],Table4[1500m Classification],"&gt;0")</f>
        <v>0</v>
      </c>
      <c r="AL148" s="6">
        <f>COUNTIFS(Table5[Country],Tabela1[[#This Row],[Country]],Table5[1500m Classification],"&gt;0")</f>
        <v>0</v>
      </c>
      <c r="AM148" s="6">
        <f>COUNTIFS(Table4[Country],Tabela1[[#This Row],[Country]],Table4[5000m Classification],"&gt;0")</f>
        <v>0</v>
      </c>
      <c r="AN148" s="6">
        <f>COUNTIFS(Table5[Country],Tabela1[[#This Row],[Country]],Table5[5000m Classification],"&gt;0")</f>
        <v>0</v>
      </c>
      <c r="AO148" s="6">
        <f>COUNTIFS(Table4[Country],Tabela1[[#This Row],[Country]],Table4[10000m Classification],"&gt;0")</f>
        <v>0</v>
      </c>
      <c r="AP148" s="6">
        <f>COUNTIFS(Table5[Country],Tabela1[[#This Row],[Country]],Table5[10000m Classification],"&gt;0")</f>
        <v>0</v>
      </c>
      <c r="AQ148" s="6">
        <f>COUNTIFS(Table4[Country],Tabela1[[#This Row],[Country]],Table4[110m Hurdles Classification],"&gt;0")</f>
        <v>0</v>
      </c>
      <c r="AR148" s="6">
        <f>COUNTIFS(Table5[Country],Tabela1[[#This Row],[Country]],Table5[100m Hurdles Classification],"&gt;0")</f>
        <v>0</v>
      </c>
      <c r="AS148" s="6">
        <f>COUNTIFS(Table4[Country],Tabela1[[#This Row],[Country]],Table4[400m Hurdles Classification],"&gt;0")</f>
        <v>0</v>
      </c>
      <c r="AT148" s="6">
        <f>COUNTIFS(Table5[Country],Tabela1[[#This Row],[Country]],Table5[400m Hurdles Classification],"&gt;0")</f>
        <v>0</v>
      </c>
      <c r="AU148" s="6">
        <f>COUNTIFS(Table4[Country],Tabela1[[#This Row],[Country]],Table4[3000m Steeplechase Classification],"&gt;0")</f>
        <v>0</v>
      </c>
      <c r="AV148" s="6">
        <f>COUNTIFS(Table5[Country],Tabela1[[#This Row],[Country]],Table5[3000m Steeplechase Classification],"&gt;0")</f>
        <v>0</v>
      </c>
      <c r="AW148" s="6">
        <f>COUNTIFS(Table27[Country],Tabela1[[#This Row],[Country]],Table27[Men''s 4x100m Relay Classification],"&gt;0")</f>
        <v>0</v>
      </c>
      <c r="AX148" s="6">
        <f>COUNTIFS(Table27[Country],Tabela1[[#This Row],[Country]],Table27[Women''s 4x100m Relay Classification],"&gt;0")</f>
        <v>0</v>
      </c>
      <c r="AY148" s="6">
        <f>COUNTIFS(Table27[Country],Tabela1[[#This Row],[Country]],Table27[Men''s 4x400m Relay Classification],"&gt;0")</f>
        <v>0</v>
      </c>
      <c r="AZ148" s="6">
        <f>COUNTIFS(Table27[Country],Tabela1[[#This Row],[Country]],Table27[Women''s 4x400m Relay Classification],"&gt;0")</f>
        <v>0</v>
      </c>
      <c r="BA148" s="6">
        <f>COUNTIFS(Table27[Country],Tabela1[[#This Row],[Country]],Table27[Mixed 4x400m Relay Classification],"&gt;0")</f>
        <v>0</v>
      </c>
      <c r="BB148" s="6">
        <f>COUNTIFS(Table4[Country],Tabela1[[#This Row],[Country]],Table4[Marathon Classification],"&gt;0")</f>
        <v>0</v>
      </c>
      <c r="BC148" s="6">
        <f>COUNTIFS(Table5[Country],Tabela1[[#This Row],[Country]],Table5[Marathon Classification],"&gt;0")</f>
        <v>0</v>
      </c>
      <c r="BD148" s="6">
        <f>COUNTIFS(Table4[Country],Tabela1[[#This Row],[Country]],Table4[20km Race Walk Classification],"&gt;0")</f>
        <v>0</v>
      </c>
      <c r="BE148" s="6">
        <f>COUNTIFS(Table5[Country],Tabela1[[#This Row],[Country]],Table5[20km Race Walk Classification],"&gt;0")</f>
        <v>0</v>
      </c>
      <c r="BF148" s="6">
        <f>COUNTIFS(Tabela96[Country],Tabela1[[#This Row],[Country]],Tabela96[Mixed Marathon Race Walk Relay Classification],"&gt;0")</f>
        <v>0</v>
      </c>
      <c r="BG148" s="6">
        <f>COUNTIFS(Table4[Country],Tabela1[[#This Row],[Country]],Table4[Discus Throw Classification],"&gt;0")</f>
        <v>0</v>
      </c>
      <c r="BH148" s="6">
        <f>COUNTIFS(Table5[Country],Tabela1[[#This Row],[Country]],Table5[Discus Throw Classification],"&gt;0")</f>
        <v>0</v>
      </c>
      <c r="BI148" s="6">
        <f>COUNTIFS(Table4[Country],Tabela1[[#This Row],[Country]],Table4[Hammer Throw Classification],"&gt;0")</f>
        <v>0</v>
      </c>
      <c r="BJ148" s="6">
        <f>COUNTIFS(Table5[Country],Tabela1[[#This Row],[Country]],Table5[Hammer Throw Classification],"&gt;0")</f>
        <v>0</v>
      </c>
      <c r="BK148" s="6">
        <f>COUNTIFS(Table4[Country],Tabela1[[#This Row],[Country]],Table4[High Jump Classification],"&gt;0")</f>
        <v>0</v>
      </c>
      <c r="BL148" s="6">
        <f>COUNTIFS(Table5[Country],Tabela1[[#This Row],[Country]],Table5[High Jump Classification],"&gt;0")</f>
        <v>0</v>
      </c>
      <c r="BM148" s="6">
        <f>COUNTIFS(Table4[Country],Tabela1[[#This Row],[Country]],Table4[Javelin Throw Classification],"&gt;0")</f>
        <v>0</v>
      </c>
      <c r="BN148" s="6">
        <f>COUNTIFS(Table5[Country],Tabela1[[#This Row],[Country]],Table5[Javelin Throw Classification],"&gt;0")</f>
        <v>0</v>
      </c>
      <c r="BO148" s="6">
        <f>COUNTIFS(Table4[Country],Tabela1[[#This Row],[Country]],Table4[Long Jump Classification],"&gt;0")</f>
        <v>0</v>
      </c>
      <c r="BP148" s="6">
        <f>COUNTIFS(Table5[Country],Tabela1[[#This Row],[Country]],Table5[Long Jump Classification],"&gt;0")</f>
        <v>0</v>
      </c>
      <c r="BQ148" s="6">
        <f>COUNTIFS(Table4[Country],Tabela1[[#This Row],[Country]],Table4[Pole Vault Classification],"&gt;0")</f>
        <v>0</v>
      </c>
      <c r="BR148" s="6">
        <f>COUNTIFS(Table5[Country],Tabela1[[#This Row],[Country]],Table5[Pole Vault Classification],"&gt;0")</f>
        <v>0</v>
      </c>
      <c r="BS148" s="6">
        <f>COUNTIFS(Table4[Country],Tabela1[[#This Row],[Country]],Table4[Shot Put Classification],"&gt;0")</f>
        <v>0</v>
      </c>
      <c r="BT148" s="6">
        <f>COUNTIFS(Table5[Country],Tabela1[[#This Row],[Country]],Table5[Shot Put Classification],"&gt;0")</f>
        <v>0</v>
      </c>
      <c r="BU148" s="6">
        <f>COUNTIFS(Table4[Country],Tabela1[[#This Row],[Country]],Table4[Triple Jump Classification],"&gt;0")</f>
        <v>0</v>
      </c>
      <c r="BV148" s="6">
        <f>COUNTIFS(Table5[Country],Tabela1[[#This Row],[Country]],Table5[Triple Jump Classification],"&gt;0")</f>
        <v>0</v>
      </c>
      <c r="BW148" s="6">
        <f>COUNTIFS(Table4[Country],Tabela1[[#This Row],[Country]],Table4[Decathlon Classification],"&gt;0")</f>
        <v>0</v>
      </c>
      <c r="BX148" s="6">
        <f>COUNTIFS(Table5[Country],Tabela1[[#This Row],[Country]],Table5[Heptathlon Classification],"&gt;0")</f>
        <v>0</v>
      </c>
      <c r="BY148" s="6">
        <f>COUNTIFS(Table61[Country],Tabela1[[#This Row],[Country]],Table61[Classification],"&gt;0")</f>
        <v>0</v>
      </c>
      <c r="BZ148" s="6">
        <f>COUNTIFS(Table38[Country],Tabela1[[#This Row],[Country]],Table38[Classification],"&gt;0")</f>
        <v>0</v>
      </c>
      <c r="CA148" s="6">
        <f>COUNTIFS(Table39[Country],Tabela1[[#This Row],[Country]],Table39[Men''s Classification],"&gt;0")</f>
        <v>0</v>
      </c>
      <c r="CB148" s="6">
        <f>COUNTIFS(Table39[Country],Tabela1[[#This Row],[Country]],Table39[Women''s Classification],"&gt;0")</f>
        <v>0</v>
      </c>
      <c r="CC148" s="6">
        <f>COUNTIFS(Table39[Country],Tabela1[[#This Row],[Country]],Table39[Mixed Classification],"&gt;0")</f>
        <v>0</v>
      </c>
      <c r="CD148" s="6">
        <f>COUNTIFS(Table89[Country],Tabela1[[#This Row],[Country]],Table89[Men''s Classification],"&gt;0")</f>
        <v>0</v>
      </c>
      <c r="CE148" s="6">
        <f>COUNTIFS(Table89[Country],Tabela1[[#This Row],[Country]],Table89[Women''s Classification],"&gt;0")</f>
        <v>0</v>
      </c>
      <c r="CF148" s="6">
        <f>COUNTIFS(Table90[Country],Tabela1[[#This Row],[Country]],Table90[Men''s Classification],"&gt;0")</f>
        <v>0</v>
      </c>
      <c r="CG148" s="6">
        <f>COUNTIFS(Table90[Country],Tabela1[[#This Row],[Country]],Table90[Women''s Classification],"&gt;0")</f>
        <v>0</v>
      </c>
      <c r="CH148" s="6">
        <f>COUNTIFS(Table60[Country],Tabela1[[#This Row],[Country]],Table60[Men''s Classification],"&gt;0")</f>
        <v>0</v>
      </c>
      <c r="CI148" s="6">
        <f>COUNTIFS(Table60[Country],Tabela1[[#This Row],[Country]],Table60[Women''s Classification],"&gt;0")</f>
        <v>0</v>
      </c>
      <c r="CJ148" s="6">
        <f>COUNTIFS(Table6[Country],Tabela1[[#This Row],[Country]],Table6[51kg Classification],"&gt;0")</f>
        <v>0</v>
      </c>
      <c r="CK148" s="6">
        <f>COUNTIFS(Table6[Country],Tabela1[[#This Row],[Country]],Table6[57kg Classification],"&gt;0")</f>
        <v>0</v>
      </c>
      <c r="CL148" s="6">
        <f>COUNTIFS(Table6[Country],Tabela1[[#This Row],[Country]],Table6[63.5kg Classification],"&gt;0")</f>
        <v>0</v>
      </c>
      <c r="CM148" s="6">
        <f>COUNTIFS(Table6[Country],Tabela1[[#This Row],[Country]],Table6[71kg Classification],"&gt;0")</f>
        <v>0</v>
      </c>
      <c r="CN148" s="6">
        <f>COUNTIFS(Table6[Country],Tabela1[[#This Row],[Country]],Table6[80kg Classification],"&gt;0")</f>
        <v>0</v>
      </c>
      <c r="CO148" s="6">
        <f>COUNTIFS(Table6[Country],Tabela1[[#This Row],[Country]],Table6[92kg Classification],"&gt;0")</f>
        <v>0</v>
      </c>
      <c r="CP148" s="6">
        <f>COUNTIFS(Table6[Country],Tabela1[[#This Row],[Country]],Table6[Plus 92kg Classification],"&gt;0")</f>
        <v>0</v>
      </c>
      <c r="CQ148" s="6">
        <f>COUNTIFS(Table7[Country],Tabela1[[#This Row],[Country]],Table7[50kg Classification],"&gt;0")</f>
        <v>0</v>
      </c>
      <c r="CR148" s="6">
        <f>COUNTIFS(Table7[Country],Tabela1[[#This Row],[Country]],Table7[54kg Classification],"&gt;0")</f>
        <v>0</v>
      </c>
      <c r="CS148" s="6">
        <f>COUNTIFS(Table7[Country],Tabela1[[#This Row],[Country]],Table7[57kg Classification],"&gt;0")</f>
        <v>0</v>
      </c>
      <c r="CT148" s="6">
        <f>COUNTIFS(Table7[Country],Tabela1[[#This Row],[Country]],Table7[60kg Classification],"&gt;0")</f>
        <v>0</v>
      </c>
      <c r="CU148" s="6">
        <f>COUNTIFS(Table7[Country],Tabela1[[#This Row],[Country]],Table7[66kg Classification],"&gt;0")</f>
        <v>0</v>
      </c>
      <c r="CV148" s="6">
        <f>COUNTIFS(Table7[Country],Tabela1[[#This Row],[Country]],Table7[75kg Classification],"&gt;0")</f>
        <v>0</v>
      </c>
      <c r="CW148" s="6">
        <f>COUNTIFS(Tabela94[Country],Tabela1[[#This Row],[Country]],Tabela94[Classification],"&gt;0")</f>
        <v>0</v>
      </c>
      <c r="CX148" s="6">
        <f>COUNTIFS(Tabela9499[Country],Tabela1[[#This Row],[Country]],Tabela9499[Classification],"&gt;0")</f>
        <v>0</v>
      </c>
      <c r="CY148" s="6">
        <f>COUNTIFS(Tabela107[Country],Tabela1[[#This Row],[Country]],Tabela107[C1 Slalom Classification],"&gt;0")</f>
        <v>0</v>
      </c>
      <c r="CZ148" s="6">
        <f>COUNTIFS(Tabela107122[Country],Tabela1[[#This Row],[Country]],Tabela107122[C1 Slalom Classification],"&gt;0")</f>
        <v>0</v>
      </c>
      <c r="DA148" s="6">
        <f>COUNTIFS(Tabela107[Country],Tabela1[[#This Row],[Country]],Tabela107[K1 Slalom Classification],"&gt;0")</f>
        <v>0</v>
      </c>
      <c r="DB148" s="6">
        <f>COUNTIFS(Tabela107122[Country],Tabela1[[#This Row],[Country]],Tabela107122[K1 Slalom Classification],"&gt;0")</f>
        <v>0</v>
      </c>
      <c r="DC148" s="6">
        <f>COUNTIFS(Tabela107[Country],Tabela1[[#This Row],[Country]],Tabela107[Kayak Cross Slalom Classification],"&gt;0")</f>
        <v>0</v>
      </c>
      <c r="DD148" s="6">
        <f>COUNTIFS(Tabela107122[Country],Tabela1[[#This Row],[Country]],Tabela107122[Kayak Cross Slalom Classification],"&gt;0")</f>
        <v>0</v>
      </c>
      <c r="DE148" s="6">
        <f>COUNTIFS(Table8[Country],Tabela1[[#This Row],[Country]],Table8[C1 200m Classification],"&gt;0")</f>
        <v>0</v>
      </c>
      <c r="DF148" s="6">
        <f>COUNTIFS(Table40[Country],Tabela1[[#This Row],[Country]],Table40[C1 1000m Classification],"&gt;0")</f>
        <v>0</v>
      </c>
      <c r="DG148" s="6">
        <f>COUNTIFS(Table68[Country],Tabela1[[#This Row],[Country]],Table68[Men''s C2 500m Classification],"&gt;0")</f>
        <v>0</v>
      </c>
      <c r="DH148" s="6">
        <f>COUNTIFS(Table68[Country],Tabela1[[#This Row],[Country]],Table68[Women''s C2 500m Classification],"&gt;0")</f>
        <v>0</v>
      </c>
      <c r="DI148" s="6">
        <f>COUNTIFS(Table8[Country],Tabela1[[#This Row],[Country]],Table8[K1 500m Classification],"&gt;0")</f>
        <v>0</v>
      </c>
      <c r="DJ148" s="6">
        <f>COUNTIFS(Table40[Country],Tabela1[[#This Row],[Country]],Table40[K1 1000m Classification],"&gt;0")</f>
        <v>0</v>
      </c>
      <c r="DK148" s="6">
        <f>COUNTIFS(Table68[Country],Tabela1[[#This Row],[Country]],Table68[Men''s K2 500m Classification],"&gt;0")</f>
        <v>0</v>
      </c>
      <c r="DL148" s="6">
        <f>COUNTIFS(Table68[Country],Tabela1[[#This Row],[Country]],Table68[Women''s K2 500m Classification],"&gt;0")</f>
        <v>0</v>
      </c>
      <c r="DM148" s="6">
        <f>COUNTIFS(Table83[Country],Tabela1[[#This Row],[Country]],Table83[Men''s K4 500m Classification],"&gt;0")</f>
        <v>0</v>
      </c>
      <c r="DN148" s="6">
        <f>COUNTIFS(Table83[Country],Tabela1[[#This Row],[Country]],Table83[Women''s K4 500m Classification],"&gt;0")</f>
        <v>0</v>
      </c>
      <c r="DO148" s="6">
        <f>COUNTIFS(Tabela126[Country],Tabela1[[#This Row],[Country]],Tabela126[Classification],"&gt;0")</f>
        <v>0</v>
      </c>
      <c r="DP148" s="6">
        <f>COUNTIFS(Tabela126130[Country],Tabela1[[#This Row],[Country]],Tabela126130[Classification],"&gt;0")</f>
        <v>0</v>
      </c>
      <c r="DQ148" s="6">
        <f>COUNTIFS(Table70[Country],Tabela1[[#This Row],[Country]],Table70[Classification],"&gt;0")</f>
        <v>0</v>
      </c>
      <c r="DR148" s="6">
        <f>COUNTIFS(Table80[Country],Tabela1[[#This Row],[Country]],Table80[Classification],"&gt;0")</f>
        <v>0</v>
      </c>
      <c r="DS148" s="6">
        <f>COUNTIFS(Table66[Country],Tabela1[[#This Row],[Country]],Table66[Classification],"&gt;0")</f>
        <v>0</v>
      </c>
      <c r="DT148" s="6">
        <f>COUNTIFS(Table67[Country],Tabela1[[#This Row],[Country]],Table67[Classification],"&gt;0")</f>
        <v>0</v>
      </c>
      <c r="DU148" s="6">
        <f>COUNTIFS(Table69[Country],Tabela1[[#This Row],[Country]],Table69[Keirin Classification],"&gt;0")</f>
        <v>0</v>
      </c>
      <c r="DV148" s="6">
        <f>COUNTIFS(Table41[Country],Tabela1[[#This Row],[Country]],Table41[Keirin Classification],"&gt;0")</f>
        <v>0</v>
      </c>
      <c r="DW148" s="6">
        <f>COUNTIFS(Table84[Country],Tabela1[[#This Row],[Country]],Table84[Men''s Madison Classification],"&gt;0")</f>
        <v>0</v>
      </c>
      <c r="DX148" s="6">
        <f>COUNTIFS(Table84[Country],Tabela1[[#This Row],[Country]],Table84[Women''s Madison Classification],"&gt;0")</f>
        <v>0</v>
      </c>
      <c r="DY148" s="6">
        <f>COUNTIFS(Table69[Country],Tabela1[[#This Row],[Country]],Table69[Omnium Classification],"&gt;0")</f>
        <v>0</v>
      </c>
      <c r="DZ148" s="6">
        <f>COUNTIFS(Table41[Country],Tabela1[[#This Row],[Country]],Table41[Omnium Classification],"&gt;0")</f>
        <v>0</v>
      </c>
      <c r="EA148" s="6">
        <f>COUNTIFS(Table9[Country],Tabela1[[#This Row],[Country]],Table9[Road Race Classification],"&gt;0")</f>
        <v>0</v>
      </c>
      <c r="EB148" s="6">
        <f>COUNTIFS(Table14[Country],Tabela1[[#This Row],[Country]],Table14[Road Race Classification],"&gt;0")</f>
        <v>0</v>
      </c>
      <c r="EC148" s="6">
        <f>COUNTIFS(Table69[Country],Tabela1[[#This Row],[Country]],Table69[Sprint Classification],"&gt;0")</f>
        <v>0</v>
      </c>
      <c r="ED148" s="6">
        <f>COUNTIFS(Table41[Country],Tabela1[[#This Row],[Country]],Table41[Sprint Classification],"&gt;0")</f>
        <v>0</v>
      </c>
      <c r="EE148" s="6">
        <f>COUNTIFS(Table85[Country],Tabela1[[#This Row],[Country]],Table85[Men''s Sprint Classification],"&gt;0")</f>
        <v>0</v>
      </c>
      <c r="EF148" s="6">
        <f>COUNTIFS(Table85[Country],Tabela1[[#This Row],[Country]],Table85[Women''s Sprint Classification],"&gt;0")</f>
        <v>0</v>
      </c>
      <c r="EG148" s="6">
        <f>COUNTIFS(Table85[Country],Tabela1[[#This Row],[Country]],Table85[Men''s Pursuit Classification],"&gt;0")</f>
        <v>0</v>
      </c>
      <c r="EH148" s="6">
        <f>COUNTIFS(Table85[Country],Tabela1[[#This Row],[Country]],Table85[Women''s Pursuit Classification],"&gt;0")</f>
        <v>0</v>
      </c>
      <c r="EI148" s="6">
        <f>COUNTIFS(Table9[Country],Tabela1[[#This Row],[Country]],Table9[Time-Trial Classification],"&gt;0")</f>
        <v>0</v>
      </c>
      <c r="EJ148" s="6">
        <f>COUNTIFS(Table14[Country],Tabela1[[#This Row],[Country]],Table14[Time-Trial Classification],"&gt;0")</f>
        <v>0</v>
      </c>
      <c r="EK148" s="6">
        <f>COUNTIFS(Table42[Country],Tabela1[[#This Row],[Country]],Table42[Springboard Classification],"&gt;0")</f>
        <v>0</v>
      </c>
      <c r="EL148" s="6">
        <f>COUNTIFS(Table43[Country],Tabela1[[#This Row],[Country]],Table43[Springboard Classification],"&gt;0")</f>
        <v>0</v>
      </c>
      <c r="EM148" s="6">
        <f>COUNTIFS(Table42[Country],Tabela1[[#This Row],[Country]],Table42[Platform Classification],"&gt;0")</f>
        <v>0</v>
      </c>
      <c r="EN148" s="6">
        <f>COUNTIFS(Table43[Country],Tabela1[[#This Row],[Country]],Table43[Platform Classification],"&gt;0")</f>
        <v>0</v>
      </c>
      <c r="EO148" s="6">
        <f>COUNTIFS(Table86[Country],Tabela1[[#This Row],[Country]],Table86[Men''s Synchronized Springboard Classification],"&gt;0")</f>
        <v>0</v>
      </c>
      <c r="EP148" s="6">
        <f>COUNTIFS(Table86[Country],Tabela1[[#This Row],[Country]],Table86[Women''s Synchronized Springboard Classification],"&gt;0")</f>
        <v>0</v>
      </c>
      <c r="EQ148" s="6">
        <f>COUNTIFS(Table86[Country],Tabela1[[#This Row],[Country]],Table86[Men''s Synchronized Platform Classification],"&gt;0")</f>
        <v>0</v>
      </c>
      <c r="ER148" s="6">
        <f>COUNTIFS(Table86[Country],Tabela1[[#This Row],[Country]],Table86[Women''s Synchronized Platform Classification],"&gt;0")</f>
        <v>0</v>
      </c>
      <c r="ES148" s="6">
        <f>COUNTIFS(Table44[Country],Tabela1[[#This Row],[Country]],Table44[Dressage Classification],"&gt;0")</f>
        <v>0</v>
      </c>
      <c r="ET148" s="6">
        <f>COUNTIFS(Table45[Country],Tabela1[[#This Row],[Country]],Table45[Dressage Classification],"&gt;0")</f>
        <v>0</v>
      </c>
      <c r="EU148" s="6">
        <f>COUNTIFS(Table44[Country],Tabela1[[#This Row],[Country]],Table44[Eventing Classification],"&gt;0")</f>
        <v>0</v>
      </c>
      <c r="EV148" s="6">
        <f>COUNTIFS(Table45[Country],Tabela1[[#This Row],[Country]],Table45[Eventing Classification],"&gt;0")</f>
        <v>0</v>
      </c>
      <c r="EW148" s="6">
        <f>COUNTIFS(Table44[Country],Tabela1[[#This Row],[Country]],Table44[Jumping Classification],"&gt;0")</f>
        <v>0</v>
      </c>
      <c r="EX148" s="6">
        <f>COUNTIFS(Table45[Country],Tabela1[[#This Row],[Country]],Table45[Jumping Classification],"&gt;0")</f>
        <v>0</v>
      </c>
      <c r="EY148" s="6">
        <f>COUNTIFS(Table10[Country],Tabela1[[#This Row],[Country]],Table10[Épée Classification],"&gt;0")</f>
        <v>0</v>
      </c>
      <c r="EZ148" s="6">
        <f>COUNTIFS(Table11[Country],Tabela1[[#This Row],[Country]],Table11[Épée Classification],"&gt;0")</f>
        <v>0</v>
      </c>
      <c r="FA148" s="6">
        <f>COUNTIFS(Table46[Country],Tabela1[[#This Row],[Country]],Table46[Men''s Épée Classification],"&gt;0")</f>
        <v>0</v>
      </c>
      <c r="FB148" s="6">
        <f>COUNTIFS(Table46[Country],Tabela1[[#This Row],[Country]],Table46[Women''s Épée Classification],"&gt;0")</f>
        <v>0</v>
      </c>
      <c r="FC148" s="6">
        <f>COUNTIFS(Table10[Country],Tabela1[[#This Row],[Country]],Table10[Foil Classification],"&gt;0")</f>
        <v>0</v>
      </c>
      <c r="FD148" s="6">
        <f>COUNTIFS(Table11[Country],Tabela1[[#This Row],[Country]],Table11[Foil Classification],"&gt;0")</f>
        <v>0</v>
      </c>
      <c r="FE148" s="6">
        <f>COUNTIFS(Table46[Country],Tabela1[[#This Row],[Country]],Table46[Men''s Foil Classification],"&gt;0")</f>
        <v>0</v>
      </c>
      <c r="FF148" s="6">
        <f>COUNTIFS(Table46[Country],Tabela1[[#This Row],[Country]],Table46[Women''s Foil Classification],"&gt;0")</f>
        <v>0</v>
      </c>
      <c r="FG148" s="6">
        <f>COUNTIFS(Table10[Country],Tabela1[[#This Row],[Country]],Table10[Sabre Classification],"&gt;0")</f>
        <v>0</v>
      </c>
      <c r="FH148" s="6">
        <f>COUNTIFS(Table11[Country],Tabela1[[#This Row],[Country]],Table11[Sabre Classification],"&gt;0")</f>
        <v>0</v>
      </c>
      <c r="FI148" s="6">
        <f>COUNTIFS(Table46[Country],Tabela1[[#This Row],[Country]],Table46[Men''s Sabre Classification],"&gt;0")</f>
        <v>0</v>
      </c>
      <c r="FJ148" s="6">
        <f>COUNTIFS(Table46[Country],Tabela1[[#This Row],[Country]],Table46[Women''s Sabre Classification],"&gt;0")</f>
        <v>0</v>
      </c>
      <c r="FK148" s="6">
        <f>COUNTIFS(Table91[Country],Tabela1[[#This Row],[Country]],Table91[Men''s Classification],"&gt;0")</f>
        <v>0</v>
      </c>
      <c r="FL148" s="6">
        <f>COUNTIFS(Table91[Country],Tabela1[[#This Row],[Country]],Table91[Women''s Classification],"&gt;0")</f>
        <v>0</v>
      </c>
      <c r="FM148" s="6">
        <f>COUNTIFS(Table9194[Country],Tabela1[[#This Row],[Country]],Table9194[Men''s Classification],"&gt;0")</f>
        <v>0</v>
      </c>
      <c r="FN148" s="6">
        <f>COUNTIFS(Table9194[Country],Tabela1[[#This Row],[Country]],Table9194[Women''s Classification],"&gt;0")</f>
        <v>0</v>
      </c>
      <c r="FO148" s="6">
        <f>COUNTIFS(Table71[Country],Tabela1[[#This Row],[Country]],Table71[Classification],"&gt;0")</f>
        <v>0</v>
      </c>
      <c r="FP148" s="6">
        <f>COUNTIFS(Table62[Country],Tabela1[[#This Row],[Country]],Table62[Classification],"&gt;0")</f>
        <v>0</v>
      </c>
      <c r="FQ148" s="6">
        <f>COUNTIFS(Table47[Country],Tabela1[[#This Row],[Country]],Table47[All-Around Classification],"&gt;0")</f>
        <v>0</v>
      </c>
      <c r="FR148" s="6">
        <f>COUNTIFS(Table48[Country],Tabela1[[#This Row],[Country]],Table48[All-Around Classification],"&gt;0")</f>
        <v>0</v>
      </c>
      <c r="FS148" s="6">
        <f>COUNTIFS(Table81[Country],Tabela1[[#This Row],[Country]],Table81[Men''s All-Around Classification],"&gt;0")</f>
        <v>0</v>
      </c>
      <c r="FT148" s="6">
        <f>COUNTIFS(Table81[Country],Tabela1[[#This Row],[Country]],Table81[Women''s All-Around Classification],"&gt;0")</f>
        <v>0</v>
      </c>
      <c r="FU148" s="6">
        <f>COUNTIFS(Table48[Country],Tabela1[[#This Row],[Country]],Table48[Balance Beam Classification],"&gt;0")</f>
        <v>0</v>
      </c>
      <c r="FV148" s="6">
        <f>COUNTIFS(Table47[Country],Tabela1[[#This Row],[Country]],Table47[Floor Exercise Classification],"&gt;0")</f>
        <v>0</v>
      </c>
      <c r="FW148" s="6">
        <f>COUNTIFS(Table48[Country],Tabela1[[#This Row],[Country]],Table48[Floor Exercise Classification],"&gt;0")</f>
        <v>0</v>
      </c>
      <c r="FX148" s="6">
        <f>COUNTIFS(Table47[Country],Tabela1[[#This Row],[Country]],Table47[Horizontal Bar Classification],"&gt;0")</f>
        <v>0</v>
      </c>
      <c r="FY148" s="6">
        <f>COUNTIFS(Table47[Country],Tabela1[[#This Row],[Country]],Table47[Parallel Bars Classification],"&gt;0")</f>
        <v>0</v>
      </c>
      <c r="FZ148" s="6">
        <f>COUNTIFS(Table47[Country],Tabela1[[#This Row],[Country]],Table47[Pommel Horse Classification],"&gt;0")</f>
        <v>0</v>
      </c>
      <c r="GA148" s="6">
        <f>COUNTIFS(Table47[Country],Tabela1[[#This Row],[Country]],Table47[Rings Classification],"&gt;0")</f>
        <v>0</v>
      </c>
      <c r="GB148" s="6">
        <f>COUNTIFS(Tabela132[Country],Tabela1[[#This Row],[Country]],Tabela132[Classification],"&gt;0")</f>
        <v>0</v>
      </c>
      <c r="GC148" s="6">
        <f>COUNTIFS(Tabela139[Country],Tabela1[[#This Row],[Country]],Tabela139[Classification],"&gt;0")</f>
        <v>0</v>
      </c>
      <c r="GD148" s="6">
        <f>COUNTIFS(Table48[Country],Tabela1[[#This Row],[Country]],Table48[Uneven Bars Classification],"&gt;0")</f>
        <v>0</v>
      </c>
      <c r="GE148" s="6">
        <f>COUNTIFS(Table47[Country],Tabela1[[#This Row],[Country]],Table47[Vault Classification],"&gt;0")</f>
        <v>0</v>
      </c>
      <c r="GF148" s="6">
        <f>COUNTIFS(Table48[Country],Tabela1[[#This Row],[Country]],Table48[Vault Classification],"&gt;0")</f>
        <v>0</v>
      </c>
      <c r="GG148" s="6">
        <f>COUNTIFS(Table919496[Country],Tabela1[[#This Row],[Country]],Table919496[Men''s Classification],"&gt;0")</f>
        <v>0</v>
      </c>
      <c r="GH148" s="6">
        <f>COUNTIFS(Table919496[Country],Tabela1[[#This Row],[Country]],Table919496[Women''s Classification],"&gt;0")</f>
        <v>0</v>
      </c>
      <c r="GI148" s="6">
        <f>COUNTIFS(Table12[Country],Tabela1[[#This Row],[Country]],Table12[60kg Classification],"&gt;0")</f>
        <v>0</v>
      </c>
      <c r="GJ148" s="6">
        <f>COUNTIFS(Table12[Country],Tabela1[[#This Row],[Country]],Table12[66kg Classification],"&gt;0")</f>
        <v>0</v>
      </c>
      <c r="GK148" s="6">
        <f>COUNTIFS(Table12[Country],Tabela1[[#This Row],[Country]],Table12[73kg Classification],"&gt;0")</f>
        <v>0</v>
      </c>
      <c r="GL148" s="6">
        <f>COUNTIFS(Table12[Country],Tabela1[[#This Row],[Country]],Table12[81kg Classification],"&gt;0")</f>
        <v>1</v>
      </c>
      <c r="GM148" s="6">
        <f>COUNTIFS(Table12[Country],Tabela1[[#This Row],[Country]],Table12[90kg Classification],"&gt;0")</f>
        <v>0</v>
      </c>
      <c r="GN148" s="6">
        <f>COUNTIFS(Table12[Country],Tabela1[[#This Row],[Country]],Table12[100kg Classification],"&gt;0")</f>
        <v>0</v>
      </c>
      <c r="GO148" s="6">
        <f>COUNTIFS(Table12[Country],Tabela1[[#This Row],[Country]],Table12[Plus 100kg Classification],"&gt;0")</f>
        <v>0</v>
      </c>
      <c r="GP148" s="6">
        <f>COUNTIFS(Table13[Country],Tabela1[[#This Row],[Country]],Table13[48kg Classification],"&gt;0")</f>
        <v>0</v>
      </c>
      <c r="GQ148" s="6">
        <f>COUNTIFS(Table13[Country],Tabela1[[#This Row],[Country]],Table13[52kg Classification],"&gt;0")</f>
        <v>0</v>
      </c>
      <c r="GR148" s="6">
        <f>COUNTIFS(Table13[Country],Tabela1[[#This Row],[Country]],Table13[57kg Classification],"&gt;0")</f>
        <v>0</v>
      </c>
      <c r="GS148" s="6">
        <f>COUNTIFS(Table13[Country],Tabela1[[#This Row],[Country]],Table13[63kg Classification],"&gt;0")</f>
        <v>0</v>
      </c>
      <c r="GT148" s="6">
        <f>COUNTIFS(Table13[Country],Tabela1[[#This Row],[Country]],Table13[70kg Classification],"&gt;0")</f>
        <v>0</v>
      </c>
      <c r="GU148" s="6">
        <f>COUNTIFS(Table13[Country],Tabela1[[#This Row],[Country]],Table13[78kg Classification],"&gt;0")</f>
        <v>0</v>
      </c>
      <c r="GV148" s="6">
        <f>COUNTIFS(Table13[Country],Tabela1[[#This Row],[Country]],Table13[Plus 78kg Classification],"&gt;0")</f>
        <v>0</v>
      </c>
      <c r="GW148" s="6">
        <f>COUNTIFS(Table82[Country],Tabela1[[#This Row],[Country]],Table82[Mixed Classification],"&gt;0")</f>
        <v>0</v>
      </c>
      <c r="GX148" s="6">
        <f>COUNTIFS(Table51[Country],Tabela1[[#This Row],[Country]],Table51[Classification],"&gt;0")</f>
        <v>0</v>
      </c>
      <c r="GY148" s="6">
        <f>COUNTIFS(Table52[Country],Tabela1[[#This Row],[Country]],Table52[Classification],"&gt;0")</f>
        <v>0</v>
      </c>
      <c r="GZ148" s="6">
        <f>COUNTIFS(Table32[Country],Tabela1[[#This Row],[Country]],Table32[All-Around Classification],"&gt;0")</f>
        <v>0</v>
      </c>
      <c r="HA148" s="6">
        <f>COUNTIFS(Table49[Country],Tabela1[[#This Row],[Country]],Table49[All-Around Classification],"&gt;0")</f>
        <v>0</v>
      </c>
      <c r="HB148" s="6">
        <f>COUNTIFS(Table26[Country],Tabela1[[#This Row],[Country]],Table26[Single Sculls Classification],"&gt;0")</f>
        <v>0</v>
      </c>
      <c r="HC148" s="6">
        <f>COUNTIFS(Table63[Country],Tabela1[[#This Row],[Country]],Table63[Single Sculls Classification],"&gt;0")</f>
        <v>0</v>
      </c>
      <c r="HD148" s="6">
        <f>COUNTIFS(Table16[Country],Tabela1[[#This Row],[Country]],Table16[Men''s Double Sculls Classification],"&gt;0")</f>
        <v>0</v>
      </c>
      <c r="HE148" s="6">
        <f>COUNTIFS(Table16[Country],Tabela1[[#This Row],[Country]],Table16[Women''s Double Sculls Classification],"&gt;0")</f>
        <v>0</v>
      </c>
      <c r="HF148" s="6">
        <f>COUNTIFS(Table72[Country],Tabela1[[#This Row],[Country]],Table72[Men''s Quadruple Sculls Classification],"&gt;0")</f>
        <v>0</v>
      </c>
      <c r="HG148" s="6">
        <f>COUNTIFS(Table72[Country],Tabela1[[#This Row],[Country]],Table72[Women''s Quadruple Sculls Classification],"&gt;0")</f>
        <v>0</v>
      </c>
      <c r="HH148" s="6">
        <f>COUNTIFS(Table16[Country],Tabela1[[#This Row],[Country]],Table16[Men''s Coxless Pairs Classification],"&gt;0")</f>
        <v>0</v>
      </c>
      <c r="HI148" s="6">
        <f>COUNTIFS(Table16[Country],Tabela1[[#This Row],[Country]],Table16[Women''s Coxless Pairs Classification],"&gt;0")</f>
        <v>0</v>
      </c>
      <c r="HJ148" s="6">
        <f>COUNTIFS(Table72[Country],Tabela1[[#This Row],[Country]],Table72[Men''s Coxless Fours Classification],"&gt;0")</f>
        <v>0</v>
      </c>
      <c r="HK148" s="6">
        <f>COUNTIFS(Table72[Country],Tabela1[[#This Row],[Country]],Table72[Women''s Coxless Fours Classification],"&gt;0")</f>
        <v>0</v>
      </c>
      <c r="HL148" s="6">
        <f>COUNTIFS(Table72[Country],Tabela1[[#This Row],[Country]],Table72[Men''s Eights Classification],"&gt;0")</f>
        <v>0</v>
      </c>
      <c r="HM148" s="6">
        <f>COUNTIFS(Table72[Country],Tabela1[[#This Row],[Country]],Table72[Women''s Eights Classification],"&gt;0")</f>
        <v>0</v>
      </c>
      <c r="HN148" s="6">
        <f>COUNTIFS(Table16[Country],Tabela1[[#This Row],[Country]],Table16[Men''s Lwt. Double Sculls Classification],"&gt;0")</f>
        <v>0</v>
      </c>
      <c r="HO148" s="6">
        <f>COUNTIFS(Table16[Country],Tabela1[[#This Row],[Country]],Table16[Women''s Lwt. Double Sculls Classification],"&gt;0")</f>
        <v>0</v>
      </c>
      <c r="HP148" s="6">
        <f>COUNTIFS(Table91949698[Country],Tabela1[[#This Row],[Country]],Table91949698[Men''s Classification],"&gt;0")</f>
        <v>0</v>
      </c>
      <c r="HQ148" s="6">
        <f>COUNTIFS(Table91949698[Country],Tabela1[[#This Row],[Country]],Table91949698[Women''s Classification],"&gt;0")</f>
        <v>0</v>
      </c>
      <c r="HR148" s="6">
        <f>COUNTIFS(Table25[Country],Tabela1[[#This Row],[Country]],Table25[Mixed 470 Classification],"&gt;0")</f>
        <v>0</v>
      </c>
      <c r="HS148" s="6">
        <f>COUNTIFS(Table25[Country],Tabela1[[#This Row],[Country]],Table25[Men''s 49er Classification],"&gt;0")</f>
        <v>0</v>
      </c>
      <c r="HT148" s="6">
        <f>COUNTIFS(Table25[Country],Tabela1[[#This Row],[Country]],Table25[Women''s 49er FX Classification],"&gt;0")</f>
        <v>0</v>
      </c>
      <c r="HU148" s="6">
        <f>COUNTIFS(Table17[Country],Tabela1[[#This Row],[Country]],Table17[Formula Kite Classification],"&gt;0")</f>
        <v>0</v>
      </c>
      <c r="HV148" s="6">
        <f>COUNTIFS(Table18[Country],Tabela1[[#This Row],[Country]],Table18[Formula Kite Classification],"&gt;0")</f>
        <v>0</v>
      </c>
      <c r="HW148" s="6">
        <f>COUNTIFS(Table17[Country],Tabela1[[#This Row],[Country]],Table17[ILCA 7 Classification],"&gt;0")</f>
        <v>0</v>
      </c>
      <c r="HX148" s="6">
        <f>COUNTIFS(Table18[Country],Tabela1[[#This Row],[Country]],Table18[ILCA 6 Classification],"&gt;0")</f>
        <v>0</v>
      </c>
      <c r="HY148" s="6">
        <f>COUNTIFS(Table17[Country],Tabela1[[#This Row],[Country]],Table17[IQFoil Classification],"&gt;0")</f>
        <v>0</v>
      </c>
      <c r="HZ148" s="6">
        <f>COUNTIFS(Table18[Country],Tabela1[[#This Row],[Country]],Table18[IQFoil Classification],"&gt;0")</f>
        <v>0</v>
      </c>
      <c r="IA148" s="6">
        <f>COUNTIFS(Table25[Country],Tabela1[[#This Row],[Country]],Table25[Mixed Nacra 17 Classification],"&gt;0")</f>
        <v>0</v>
      </c>
      <c r="IB148" s="6">
        <f>COUNTIFS(Table53[Country],Tabela1[[#This Row],[Country]],Table53[10m Air Pistol Classification],"&gt;0")</f>
        <v>0</v>
      </c>
      <c r="IC148" s="6">
        <f>COUNTIFS(Table19[Country],Tabela1[[#This Row],[Country]],Table19[10m Air Pistol Classification],"&gt;0")</f>
        <v>0</v>
      </c>
      <c r="ID148" s="6">
        <f>COUNTIFS(Table54[Country],Tabela1[[#This Row],[Country]],Table54[Mixed 10m Air Pistol Team Classification],"&gt;0")</f>
        <v>0</v>
      </c>
      <c r="IE148" s="6">
        <f>COUNTIFS(Table53[Country],Tabela1[[#This Row],[Country]],Table53[10m Air Rifle Classification],"&gt;0")</f>
        <v>0</v>
      </c>
      <c r="IF148" s="6">
        <f>COUNTIFS(Table19[Country],Tabela1[[#This Row],[Country]],Table19[10m Air Rifle Classification],"&gt;0")</f>
        <v>0</v>
      </c>
      <c r="IG148" s="6">
        <f>COUNTIFS(Table54[Country],Tabela1[[#This Row],[Country]],Table54[Mixed 10m Air Rifle Team Classification],"&gt;0")</f>
        <v>0</v>
      </c>
      <c r="IH148" s="6">
        <f>COUNTIFS(Table53[Country],Tabela1[[#This Row],[Country]],Table53[25m Rapid Fire Pistol Classification],"&gt;0")</f>
        <v>0</v>
      </c>
      <c r="II148" s="6">
        <f>COUNTIFS(Table19[Country],Tabela1[[#This Row],[Country]],Table19[25m Pistol Classification],"&gt;0")</f>
        <v>0</v>
      </c>
      <c r="IJ148" s="6">
        <f>COUNTIFS(Table53[Country],Tabela1[[#This Row],[Country]],Table53[50m Rifle 3 Positions Classification],"&gt;0")</f>
        <v>0</v>
      </c>
      <c r="IK148" s="6">
        <f>COUNTIFS(Table19[Country],Tabela1[[#This Row],[Country]],Table19[50m Rifle 3 Positions Classification],"&gt;0")</f>
        <v>0</v>
      </c>
      <c r="IL148" s="6">
        <f>COUNTIFS(Table53[Country],Tabela1[[#This Row],[Country]],Table53[Skeet Classification],"&gt;0")</f>
        <v>0</v>
      </c>
      <c r="IM148" s="6">
        <f>COUNTIFS(Table19[Country],Tabela1[[#This Row],[Country]],Table19[Skeet Classification],"&gt;0")</f>
        <v>0</v>
      </c>
      <c r="IN148" s="6">
        <f>COUNTIFS(Table54[Country],Tabela1[[#This Row],[Country]],Table54[Mixed Skeet Team Classification],"&gt;0")</f>
        <v>0</v>
      </c>
      <c r="IO148" s="6">
        <f>COUNTIFS(Table53[Country],Tabela1[[#This Row],[Country]],Table53[Trap Classification],"&gt;0")</f>
        <v>0</v>
      </c>
      <c r="IP148" s="6">
        <f>COUNTIFS(Table19[Country],Tabela1[[#This Row],[Country]],Table19[Trap Classification],"&gt;0")</f>
        <v>0</v>
      </c>
      <c r="IQ148" s="6">
        <f>COUNTIFS(Table73[Country],Tabela1[[#This Row],[Country]],Table73[Park Classification],"&gt;0")</f>
        <v>0</v>
      </c>
      <c r="IR148" s="6">
        <f>COUNTIFS(Table74[Country],Tabela1[[#This Row],[Country]],Table74[Park Classification],"&gt;0")</f>
        <v>0</v>
      </c>
      <c r="IS148" s="6">
        <f>COUNTIFS(Table73[Country],Tabela1[[#This Row],[Country]],Table73[Street Classification],"&gt;0")</f>
        <v>0</v>
      </c>
      <c r="IT148" s="6">
        <f>COUNTIFS(Table74[Country],Tabela1[[#This Row],[Country]],Table74[Street Classification],"&gt;0")</f>
        <v>0</v>
      </c>
      <c r="IU148" s="6">
        <f>COUNTIFS(Table75[Country],Tabela1[[#This Row],[Country]],Table75[Boulder and Lead Classification],"&gt;0")</f>
        <v>0</v>
      </c>
      <c r="IV148" s="6">
        <f>COUNTIFS(Table76[Country],Tabela1[[#This Row],[Country]],Table76[Boulder and Lead Classification],"&gt;0")</f>
        <v>0</v>
      </c>
      <c r="IW148" s="6">
        <f>COUNTIFS(Table75[Country],Tabela1[[#This Row],[Country]],Table75[Speed Classification],"&gt;0")</f>
        <v>0</v>
      </c>
      <c r="IX148" s="6">
        <f>COUNTIFS(Table76[Country],Tabela1[[#This Row],[Country]],Table76[Speed Classification],"&gt;0")</f>
        <v>0</v>
      </c>
      <c r="IY148" s="6">
        <f>COUNTIFS(Table64[Country],Tabela1[[#This Row],[Country]],Table64[Shortboard Classification],"&gt;0")</f>
        <v>0</v>
      </c>
      <c r="IZ148" s="6">
        <f>COUNTIFS(Table77[Country],Tabela1[[#This Row],[Country]],Table77[Shortboard Classification],"&gt;0")</f>
        <v>0</v>
      </c>
      <c r="JA148" s="6">
        <f>COUNTIFS(Table20[Country],Tabela1[[#This Row],[Country]],Table20[50m Freestyle Classification],"&gt;0")</f>
        <v>0</v>
      </c>
      <c r="JB148" s="6">
        <f>COUNTIFS(Table21[Country],Tabela1[[#This Row],[Country]],Table21[50m Freestyle Classification],"&gt;0")</f>
        <v>0</v>
      </c>
      <c r="JC148" s="6">
        <f>COUNTIFS(Table20[Country],Tabela1[[#This Row],[Country]],Table20[100m Freestyle Classification],"&gt;0")</f>
        <v>0</v>
      </c>
      <c r="JD148" s="6">
        <f>COUNTIFS(Table21[Country],Tabela1[[#This Row],[Country]],Table21[100m Freestyle Classification],"&gt;0")</f>
        <v>0</v>
      </c>
      <c r="JE148" s="6">
        <f>COUNTIFS(Table20[Country],Tabela1[[#This Row],[Country]],Table20[200m Freestyle Classification],"&gt;0")</f>
        <v>0</v>
      </c>
      <c r="JF148" s="6">
        <f>COUNTIFS(Table21[Country],Tabela1[[#This Row],[Country]],Table21[200m Freestyle Classification],"&gt;0")</f>
        <v>0</v>
      </c>
      <c r="JG148" s="6">
        <f>COUNTIFS(Table20[Country],Tabela1[[#This Row],[Country]],Table20[400m Freestyle Classification],"&gt;0")</f>
        <v>0</v>
      </c>
      <c r="JH148" s="6">
        <f>COUNTIFS(Table21[Country],Tabela1[[#This Row],[Country]],Table21[400m Freestyle Classification],"&gt;0")</f>
        <v>0</v>
      </c>
      <c r="JI148" s="6">
        <f>COUNTIFS(Table20[Country],Tabela1[[#This Row],[Country]],Table20[800m Freestyle Classification],"&gt;0")</f>
        <v>0</v>
      </c>
      <c r="JJ148" s="6">
        <f>COUNTIFS(Table21[Country],Tabela1[[#This Row],[Country]],Table21[800m Freestyle Classification],"&gt;0")</f>
        <v>0</v>
      </c>
      <c r="JK148" s="6">
        <f>COUNTIFS(Table20[Country],Tabela1[[#This Row],[Country]],Table20[1500m Freestyle Classification],"&gt;0")</f>
        <v>0</v>
      </c>
      <c r="JL148" s="6">
        <f>COUNTIFS(Table21[Country],Tabela1[[#This Row],[Country]],Table21[1500m Freestyle Classification],"&gt;0")</f>
        <v>0</v>
      </c>
      <c r="JM148" s="6">
        <f>COUNTIFS(Table20[Country],Tabela1[[#This Row],[Country]],Table20[100m Backstroke Classification],"&gt;0")</f>
        <v>0</v>
      </c>
      <c r="JN148" s="6">
        <f>COUNTIFS(Table21[Country],Tabela1[[#This Row],[Country]],Table21[100m Backstroke Classification],"&gt;0")</f>
        <v>0</v>
      </c>
      <c r="JO148" s="6">
        <f>COUNTIFS(Table20[Country],Tabela1[[#This Row],[Country]],Table20[200m Backstroke Classification],"&gt;0")</f>
        <v>0</v>
      </c>
      <c r="JP148" s="6">
        <f>COUNTIFS(Table21[Country],Tabela1[[#This Row],[Country]],Table21[200m Backstroke Classification],"&gt;0")</f>
        <v>0</v>
      </c>
      <c r="JQ148" s="6">
        <f>COUNTIFS(Table20[Country],Tabela1[[#This Row],[Country]],Table20[100m Breaststroke Classification],"&gt;0")</f>
        <v>0</v>
      </c>
      <c r="JR148" s="6">
        <f>COUNTIFS(Table21[Country],Tabela1[[#This Row],[Country]],Table21[100m Breaststroke Classification],"&gt;0")</f>
        <v>0</v>
      </c>
      <c r="JS148" s="6">
        <f>COUNTIFS(Table20[Country],Tabela1[[#This Row],[Country]],Table20[200m Breaststroke Classification],"&gt;0")</f>
        <v>0</v>
      </c>
      <c r="JT148" s="6">
        <f>COUNTIFS(Table21[Country],Tabela1[[#This Row],[Country]],Table21[200m Breaststroke Classification],"&gt;0")</f>
        <v>0</v>
      </c>
      <c r="JU148" s="6">
        <f>COUNTIFS(Table20[Country],Tabela1[[#This Row],[Country]],Table20[100m Butterfly Classification],"&gt;0")</f>
        <v>0</v>
      </c>
      <c r="JV148" s="6">
        <f>COUNTIFS(Table21[Country],Tabela1[[#This Row],[Country]],Table21[100m Butterfly Classification],"&gt;0")</f>
        <v>0</v>
      </c>
      <c r="JW148" s="6">
        <f>COUNTIFS(Table20[Country],Tabela1[[#This Row],[Country]],Table20[200m Butterfly Classification],"&gt;0")</f>
        <v>0</v>
      </c>
      <c r="JX148" s="6">
        <f>COUNTIFS(Table21[Country],Tabela1[[#This Row],[Country]],Table21[200m Butterfly Classification],"&gt;0")</f>
        <v>0</v>
      </c>
      <c r="JY148" s="6">
        <f>COUNTIFS(Table20[Country],Tabela1[[#This Row],[Country]],Table20[200m Medley Classification],"&gt;0")</f>
        <v>0</v>
      </c>
      <c r="JZ148" s="6">
        <f>COUNTIFS(Table21[Country],Tabela1[[#This Row],[Country]],Table21[200m Medley Classification],"&gt;0")</f>
        <v>0</v>
      </c>
      <c r="KA148" s="6">
        <f>COUNTIFS(Table20[Country],Tabela1[[#This Row],[Country]],Table20[400m Medley Classification],"&gt;0")</f>
        <v>0</v>
      </c>
      <c r="KB148" s="6">
        <f>COUNTIFS(Table21[Country],Tabela1[[#This Row],[Country]],Table21[400m Medley Classification],"&gt;0")</f>
        <v>0</v>
      </c>
      <c r="KC148" s="6">
        <f>COUNTIFS(Table78[Country],Tabela1[[#This Row],[Country]],Table78[Men''s 4x100m Freestyle Relay Classification],"&gt;0")</f>
        <v>0</v>
      </c>
      <c r="KD148" s="6">
        <f>COUNTIFS(Table78[Country],Tabela1[[#This Row],[Country]],Table78[Women''s 4x100m Freestyle Relay Classification],"&gt;0")</f>
        <v>0</v>
      </c>
      <c r="KE148" s="6">
        <f>COUNTIFS(Table78[Country],Tabela1[[#This Row],[Country]],Table78[Men''s 4x200m Freestyle Relay Classification],"&gt;0")</f>
        <v>0</v>
      </c>
      <c r="KF148" s="6">
        <f>COUNTIFS(Table78[Country],Tabela1[[#This Row],[Country]],Table78[Women''s 4x200m Freestyle Relay Classification],"&gt;0")</f>
        <v>0</v>
      </c>
      <c r="KG148" s="6">
        <f>COUNTIFS(Table78[Country],Tabela1[[#This Row],[Country]],Table78[Men''s 4x100m Medley Relay Classification],"&gt;0")</f>
        <v>0</v>
      </c>
      <c r="KH148" s="6">
        <f>COUNTIFS(Table78[Country],Tabela1[[#This Row],[Country]],Table78[Women''s 4x100m Medley Relay Classification],"&gt;0")</f>
        <v>0</v>
      </c>
      <c r="KI148" s="6">
        <f>COUNTIFS(Table78[Country],Tabela1[[#This Row],[Country]],Table78[Mixed 4x100m Medley Relay Classification],"&gt;0")</f>
        <v>0</v>
      </c>
      <c r="KJ148" s="6">
        <f>COUNTIFS(Table20[Country],Tabela1[[#This Row],[Country]],Table20[10km Open Water Classification],"&gt;0")</f>
        <v>0</v>
      </c>
      <c r="KK148" s="6">
        <f>COUNTIFS(Table21[Country],Tabela1[[#This Row],[Country]],Table21[10km Open Water Classification],"&gt;0")</f>
        <v>0</v>
      </c>
      <c r="KL148" s="6">
        <f>COUNTIFS(Table22[Country],Tabela1[[#This Row],[Country]],Table22[Classification],"&gt;0")</f>
        <v>0</v>
      </c>
      <c r="KM148" s="6">
        <f>COUNTIFS(Table30[Country],Tabela1[[#This Row],[Country]],Table30[Classification],"&gt;0")</f>
        <v>0</v>
      </c>
      <c r="KN148" s="6">
        <f>COUNTIFS(Table55[Country],Tabela1[[#This Row],[Country]],Table55[Men''s Classification],"&gt;0")</f>
        <v>0</v>
      </c>
      <c r="KO148" s="6">
        <f>COUNTIFS(Table55[Country],Tabela1[[#This Row],[Country]],Table55[Women''s Classification],"&gt;0")</f>
        <v>0</v>
      </c>
      <c r="KP148" s="6">
        <f>COUNTIFS(Table56[Country],Tabela1[[#This Row],[Country]],Table56[Mixed Classification],"&gt;0")</f>
        <v>0</v>
      </c>
      <c r="KQ148" s="6">
        <f>COUNTIFS(Table29[Country],Tabela1[[#This Row],[Country]],Table29[58kg Classification],"&gt;0")</f>
        <v>0</v>
      </c>
      <c r="KR148" s="6">
        <f>COUNTIFS(Table29[Country],Tabela1[[#This Row],[Country]],Table29[68kg Classification],"&gt;0")</f>
        <v>0</v>
      </c>
      <c r="KS148" s="6">
        <f>COUNTIFS(Table29[Country],Tabela1[[#This Row],[Country]],Table29[80kg Classification],"&gt;0")</f>
        <v>0</v>
      </c>
      <c r="KT148" s="6">
        <f>COUNTIFS(Table29[Country],Tabela1[[#This Row],[Country]],Table29[Plus 80kg Classification],"&gt;0")</f>
        <v>0</v>
      </c>
      <c r="KU148" s="6">
        <f>COUNTIFS(Table34[Country],Tabela1[[#This Row],[Country]],Table34[49kg Classification],"&gt;0")</f>
        <v>0</v>
      </c>
      <c r="KV148" s="6">
        <f>COUNTIFS(Table34[Country],Tabela1[[#This Row],[Country]],Table34[57kg Classification],"&gt;0")</f>
        <v>0</v>
      </c>
      <c r="KW148" s="6">
        <f>COUNTIFS(Table34[Country],Tabela1[[#This Row],[Country]],Table34[67kg Classification],"&gt;0")</f>
        <v>0</v>
      </c>
      <c r="KX148" s="6">
        <f>COUNTIFS(Table34[Country],Tabela1[[#This Row],[Country]],Table34[Plus 67kg Classification],"&gt;0")</f>
        <v>0</v>
      </c>
      <c r="KY148" s="6">
        <f>COUNTIFS(Table57[Country],Tabela1[[#This Row],[Country]],Table57[Classification],"&gt;0")</f>
        <v>0</v>
      </c>
      <c r="KZ148" s="6">
        <f>COUNTIFS(Table58[Country],Tabela1[[#This Row],[Country]],Table58[Classification],"&gt;0")</f>
        <v>0</v>
      </c>
      <c r="LA148" s="6">
        <f>COUNTIFS(Table79[Country],Tabela1[[#This Row],[Country]],Table79[Men''s Classification],"&gt;0")</f>
        <v>0</v>
      </c>
      <c r="LB148" s="6">
        <f>COUNTIFS(Table79[Country],Tabela1[[#This Row],[Country]],Table79[Women''s Classification],"&gt;0")</f>
        <v>0</v>
      </c>
      <c r="LC148" s="6">
        <f>COUNTIFS(Table79[Country],Tabela1[[#This Row],[Country]],Table79[Mixed Classification],"&gt;0")</f>
        <v>0</v>
      </c>
      <c r="LD148" s="6">
        <f>COUNTIFS(Table65[Country],Tabela1[[#This Row],[Country]],Table65[Classification],"&gt;0")</f>
        <v>0</v>
      </c>
      <c r="LE148" s="6">
        <f>COUNTIFS(Table59[Country],Tabela1[[#This Row],[Country]],Table59[Classification],"&gt;0")</f>
        <v>0</v>
      </c>
      <c r="LF148" s="6">
        <f>COUNTIFS(Table87[Country],Tabela1[[#This Row],[Country]],Table87[Mixed Relay Classification],"&gt;0")</f>
        <v>0</v>
      </c>
      <c r="LG148" s="6">
        <f>COUNTIFS(Table91949698100[Country],Tabela1[[#This Row],[Country]],Table91949698100[Men''s Classification],"&gt;0")</f>
        <v>0</v>
      </c>
      <c r="LH148" s="6">
        <f>COUNTIFS(Table91949698100[Country],Tabela1[[#This Row],[Country]],Table91949698100[Women''s Classification],"&gt;0")</f>
        <v>0</v>
      </c>
      <c r="LI148" s="6">
        <f>COUNTIFS(Table91949698100102[Country],Tabela1[[#This Row],[Country]],Table91949698100102[Men''s Classification],"&gt;0")</f>
        <v>0</v>
      </c>
      <c r="LJ148" s="6">
        <f>COUNTIFS(Table91949698100102[Country],Tabela1[[#This Row],[Country]],Table91949698100102[Women''s Classification],"&gt;0")</f>
        <v>0</v>
      </c>
      <c r="LK148" s="6">
        <f>COUNTIFS(Table23[Country],Tabela1[[#This Row],[Country]],Table23[61kg Classification],"&gt;0")</f>
        <v>0</v>
      </c>
      <c r="LL148" s="6">
        <f>COUNTIFS(Table23[Country],Tabela1[[#This Row],[Country]],Table23[73kg Classification],"&gt;0")</f>
        <v>0</v>
      </c>
      <c r="LM148" s="6">
        <f>COUNTIFS(Table23[Country],Tabela1[[#This Row],[Country]],Table23[89kg Classification],"&gt;0")</f>
        <v>0</v>
      </c>
      <c r="LN148" s="6">
        <f>COUNTIFS(Table23[Country],Tabela1[[#This Row],[Country]],Table23[102kg Classification],"&gt;0")</f>
        <v>0</v>
      </c>
      <c r="LO148" s="6">
        <f>COUNTIFS(Table23[Country],Tabela1[[#This Row],[Country]],Table23[Plus 102kg Classification],"&gt;0")</f>
        <v>0</v>
      </c>
      <c r="LP148" s="6">
        <f>COUNTIFS(Table28[Country],Tabela1[[#This Row],[Country]],Table28[49kg Classification],"&gt;0")</f>
        <v>0</v>
      </c>
      <c r="LQ148" s="6">
        <f>COUNTIFS(Table28[Country],Tabela1[[#This Row],[Country]],Table28[59kg Classification],"&gt;0")</f>
        <v>0</v>
      </c>
      <c r="LR148" s="6">
        <f>COUNTIFS(Table28[Country],Tabela1[[#This Row],[Country]],Table28[71kg Classification],"&gt;0")</f>
        <v>0</v>
      </c>
      <c r="LS148" s="6">
        <f>COUNTIFS(Table28[Country],Tabela1[[#This Row],[Country]],Table28[81kg Classification],"&gt;0")</f>
        <v>0</v>
      </c>
      <c r="LT148" s="6">
        <f>COUNTIFS(Table28[Country],Tabela1[[#This Row],[Country]],Table28[Plus 81kg Classification],"&gt;0")</f>
        <v>0</v>
      </c>
      <c r="LU148" s="6">
        <f>COUNTIFS(Table24[Country],Tabela1[[#This Row],[Country]],Table24[Freestyle 57kg Classification],"&gt;0")</f>
        <v>0</v>
      </c>
      <c r="LV148" s="6">
        <f>COUNTIFS(Table24[Country],Tabela1[[#This Row],[Country]],Table24[Freestyle 65kg Classification],"&gt;0")</f>
        <v>0</v>
      </c>
      <c r="LW148" s="6">
        <f>COUNTIFS(Table24[Country],Tabela1[[#This Row],[Country]],Table24[Freestyle 74kg Classification],"&gt;0")</f>
        <v>0</v>
      </c>
      <c r="LX148" s="6">
        <f>COUNTIFS(Table24[Country],Tabela1[[#This Row],[Country]],Table24[Freestyle 86kg Classification],"&gt;0")</f>
        <v>0</v>
      </c>
      <c r="LY148" s="6">
        <f>COUNTIFS(Table24[Country],Tabela1[[#This Row],[Country]],Table24[Freestyle 97kg Classification],"&gt;0")</f>
        <v>0</v>
      </c>
      <c r="LZ148" s="6">
        <f>COUNTIFS(Table24[Country],Tabela1[[#This Row],[Country]],Table24[Freestyle 125kg Classification],"&gt;0")</f>
        <v>0</v>
      </c>
      <c r="MA148" s="6">
        <f>COUNTIFS(Table24[Country],Tabela1[[#This Row],[Country]],Table24[Greco-Roman 60kg Classification],"&gt;0")</f>
        <v>0</v>
      </c>
      <c r="MB148" s="6">
        <f>COUNTIFS(Table24[Country],Tabela1[[#This Row],[Country]],Table24[Greco-Roman 67kg Classification],"&gt;0")</f>
        <v>0</v>
      </c>
      <c r="MC148" s="6">
        <f>COUNTIFS(Table24[Country],Tabela1[[#This Row],[Country]],Table24[Greco-Roman 77kg Classification],"&gt;0")</f>
        <v>0</v>
      </c>
      <c r="MD148" s="6">
        <f>COUNTIFS(Table24[Country],Tabela1[[#This Row],[Country]],Table24[Greco-Roman 87kg Classification],"&gt;0")</f>
        <v>0</v>
      </c>
      <c r="ME148" s="6">
        <f>COUNTIFS(Table24[Country],Tabela1[[#This Row],[Country]],Table24[Greco-Roman 97kg Classification],"&gt;0")</f>
        <v>0</v>
      </c>
      <c r="MF148" s="6">
        <f>COUNTIFS(Table24[Country],Tabela1[[#This Row],[Country]],Table24[Greco-Roman 130kg Classification],"&gt;0")</f>
        <v>0</v>
      </c>
      <c r="MG148" s="6">
        <f>COUNTIFS(Table31[Country],Tabela1[[#This Row],[Country]],Table31[50kg Classification],"&gt;0")</f>
        <v>0</v>
      </c>
      <c r="MH148" s="6">
        <f>COUNTIFS(Table31[Country],Tabela1[[#This Row],[Country]],Table31[53kg Classification],"&gt;0")</f>
        <v>0</v>
      </c>
      <c r="MI148" s="6">
        <f>COUNTIFS(Table31[Country],Tabela1[[#This Row],[Country]],Table31[57kg Classification],"&gt;0")</f>
        <v>0</v>
      </c>
      <c r="MJ148" s="6">
        <f>COUNTIFS(Table31[Country],Tabela1[[#This Row],[Country]],Table31[62kg Classification],"&gt;0")</f>
        <v>0</v>
      </c>
      <c r="MK148" s="6">
        <f>COUNTIFS(Table31[Country],Tabela1[[#This Row],[Country]],Table31[68kg Classification],"&gt;0")</f>
        <v>0</v>
      </c>
      <c r="ML148" s="6">
        <f>COUNTIFS(Table31[Country],Tabela1[[#This Row],[Country]],Table31[76kg Classification],"&gt;0")</f>
        <v>0</v>
      </c>
      <c r="MM148" s="6">
        <f>COUNTIFS(Table102[Country],Tabela1[[#This Row],[Country]],Table102[Downhill Classification],"&gt;0")</f>
        <v>0</v>
      </c>
      <c r="MN148" s="6">
        <f>COUNTIFS(Table102105[Country],Tabela1[[#This Row],[Country]],Table102105[Downhill Classification],"&gt;0")</f>
        <v>0</v>
      </c>
      <c r="MO148" s="6">
        <f>COUNTIFS(Table102[Country],Tabela1[[#This Row],[Country]],Table102[Giant Slalom Classification],"&gt;0")</f>
        <v>0</v>
      </c>
      <c r="MP148" s="6">
        <f>COUNTIFS(Table102105[Country],Tabela1[[#This Row],[Country]],Table102105[Giant Slalom Classification],"&gt;0")</f>
        <v>0</v>
      </c>
      <c r="MQ148" s="6">
        <f>COUNTIFS(Table102[Country],Tabela1[[#This Row],[Country]],Table102[Slalom Classification],"&gt;0")</f>
        <v>0</v>
      </c>
      <c r="MR148" s="6">
        <f>COUNTIFS(Table102105[Country],Tabela1[[#This Row],[Country]],Table102105[Slalom Classification],"&gt;0")</f>
        <v>0</v>
      </c>
      <c r="MS148" s="6">
        <f>COUNTIFS(Table102[Country],Tabela1[[#This Row],[Country]],Table102[Super-G Classification],"&gt;0")</f>
        <v>0</v>
      </c>
      <c r="MT148" s="6">
        <f>COUNTIFS(Table102105[Country],Tabela1[[#This Row],[Country]],Table102105[Super-G Classification],"&gt;0")</f>
        <v>0</v>
      </c>
      <c r="MU148" s="6">
        <f>COUNTIFS(Table105[Country],Tabela1[[#This Row],[Country]],Table105[Men''s Combined Classification],"&gt;0")</f>
        <v>0</v>
      </c>
      <c r="MV148" s="6">
        <f>COUNTIFS(Table105[Country],Tabela1[[#This Row],[Country]],Table105[Women''s Combined Classification],"&gt;0")</f>
        <v>0</v>
      </c>
      <c r="MW148" s="6">
        <f>COUNTIFS(Table106[Country],Tabela1[[#This Row],[Country]],Table106[Individual Classification],"&gt;0")</f>
        <v>0</v>
      </c>
      <c r="MX148" s="6">
        <f>COUNTIFS(Table106109[Country],Tabela1[[#This Row],[Country]],Table106109[Individual Classification],"&gt;0")</f>
        <v>0</v>
      </c>
      <c r="MY148" s="6">
        <f>COUNTIFS(Table106[Country],Tabela1[[#This Row],[Country]],Table106[Mass Start Classification],"&gt;0")</f>
        <v>0</v>
      </c>
      <c r="MZ148" s="6">
        <f>COUNTIFS(Table106109[Country],Tabela1[[#This Row],[Country]],Table106109[Mass Start Classification],"&gt;0")</f>
        <v>0</v>
      </c>
      <c r="NA148" s="6">
        <f>COUNTIFS(Table106[Country],Tabela1[[#This Row],[Country]],Table106[Pursuit Classification],"&gt;0")</f>
        <v>0</v>
      </c>
      <c r="NB148" s="6">
        <f>COUNTIFS(Table106109[Country],Tabela1[[#This Row],[Country]],Table106109[Pursuit Classification],"&gt;0")</f>
        <v>0</v>
      </c>
      <c r="NC148" s="6">
        <f>COUNTIFS(Table106[Country],Tabela1[[#This Row],[Country]],Table106[Sprint Classification],"&gt;0")</f>
        <v>0</v>
      </c>
      <c r="ND148" s="6">
        <f>COUNTIFS(Table106109[Country],Tabela1[[#This Row],[Country]],Table106109[Sprint Classification],"&gt;0")</f>
        <v>0</v>
      </c>
      <c r="NE148" s="6">
        <f>COUNTIFS(Table109[Country],Tabela1[[#This Row],[Country]],Table109[Men''s Relay Classification],"&gt;0")</f>
        <v>0</v>
      </c>
      <c r="NF148" s="6">
        <f>COUNTIFS(Table109[Country],Tabela1[[#This Row],[Country]],Table109[Women''s Relay Classification],"&gt;0")</f>
        <v>0</v>
      </c>
      <c r="NG148" s="6">
        <f>COUNTIFS(Table109[Country],Tabela1[[#This Row],[Country]],Table109[Mixed Relay Classification],"&gt;0")</f>
        <v>0</v>
      </c>
      <c r="NH148" s="6">
        <f>COUNTIFS(Table110[Country],Tabela1[[#This Row],[Country]],Table110[Monobob Classification],"&gt;0")</f>
        <v>0</v>
      </c>
      <c r="NI148" s="6">
        <f>COUNTIFS(Table111[Country],Tabela1[[#This Row],[Country]],Table111[Men''s Classification],"&gt;0")</f>
        <v>0</v>
      </c>
      <c r="NJ148" s="6">
        <f>COUNTIFS(Table111[Country],Tabela1[[#This Row],[Country]],Table111[Women''s Classification],"&gt;0")</f>
        <v>0</v>
      </c>
      <c r="NK148" s="6">
        <f>COUNTIFS(Table112[Country],Tabela1[[#This Row],[Country]],Table112[Men''s Four Classification],"&gt;0")</f>
        <v>0</v>
      </c>
      <c r="NL148" s="6">
        <f>COUNTIFS(Table113[Country],Tabela1[[#This Row],[Country]],Table113[Classical Classification],"&gt;0")</f>
        <v>0</v>
      </c>
      <c r="NM148" s="6">
        <f>COUNTIFS(Table113116[Country],Tabela1[[#This Row],[Country]],Table113116[Classical Classification],"&gt;0")</f>
        <v>0</v>
      </c>
      <c r="NN148" s="6">
        <f>COUNTIFS(Table113[Country],Tabela1[[#This Row],[Country]],Table113[Freestyle Classification],"&gt;0")</f>
        <v>0</v>
      </c>
      <c r="NO148" s="6">
        <f>COUNTIFS(Table113116[Country],Tabela1[[#This Row],[Country]],Table113116[Freestyle Classification],"&gt;0")</f>
        <v>0</v>
      </c>
      <c r="NP148" s="6">
        <f>COUNTIFS(Table117[Country],Tabela1[[#This Row],[Country]],Table117[Men''s Relay Classification],"&gt;0")</f>
        <v>0</v>
      </c>
      <c r="NQ148" s="6">
        <f>COUNTIFS(Table117[Country],Tabela1[[#This Row],[Country]],Table117[Women''s Relay Classification],"&gt;0")</f>
        <v>0</v>
      </c>
      <c r="NR148" s="6">
        <f>COUNTIFS(Table113[Country],Tabela1[[#This Row],[Country]],Table113[Skiathlon Classification],"&gt;0")</f>
        <v>0</v>
      </c>
      <c r="NS148" s="6">
        <f>COUNTIFS(Table113116[Country],Tabela1[[#This Row],[Country]],Table113116[Skiathlon Classification],"&gt;0")</f>
        <v>0</v>
      </c>
      <c r="NT148" s="6">
        <f>COUNTIFS(Table113[Country],Tabela1[[#This Row],[Country]],Table113[Sprint Classification],"&gt;0")</f>
        <v>0</v>
      </c>
      <c r="NU148" s="6">
        <f>COUNTIFS(Table113116[Country],Tabela1[[#This Row],[Country]],Table113116[Sprint Classification],"&gt;0")</f>
        <v>0</v>
      </c>
      <c r="NV148" s="6">
        <f>COUNTIFS(Table116[Country],Tabela1[[#This Row],[Country]],Table116[Men''s Team Sprint Classification],"&gt;0")</f>
        <v>0</v>
      </c>
      <c r="NW148" s="6">
        <f>COUNTIFS(Table116[Country],Tabela1[[#This Row],[Country]],Table116[Women''s Team Sprint Classification],"&gt;0")</f>
        <v>0</v>
      </c>
      <c r="NX148" s="6">
        <f>COUNTIFS(Table119[Country],Tabela1[[#This Row],[Country]],Table119[Men''s Classification],"&gt;0")</f>
        <v>0</v>
      </c>
      <c r="NY148" s="6">
        <f>COUNTIFS(Table119[Country],Tabela1[[#This Row],[Country]],Table119[Women''s Classification],"&gt;0")</f>
        <v>0</v>
      </c>
      <c r="NZ148" s="6">
        <f>COUNTIFS(Table118[Country],Tabela1[[#This Row],[Country]],Table118[Mixed Classification],"&gt;0")</f>
        <v>0</v>
      </c>
      <c r="OA148" s="6">
        <f>COUNTIFS(Table120[Country],Tabela1[[#This Row],[Country]],Table120[Classification],"&gt;0")</f>
        <v>0</v>
      </c>
      <c r="OB148" s="6">
        <f>COUNTIFS(Table120123[Country],Tabela1[[#This Row],[Country]],Table120123[Classification],"&gt;0")</f>
        <v>0</v>
      </c>
      <c r="OC148" s="6">
        <f>COUNTIFS(Table123[Country],Tabela1[[#This Row],[Country]],Table123[Ice Dance Classification],"&gt;0")</f>
        <v>0</v>
      </c>
      <c r="OD148" s="6">
        <f>COUNTIFS(Table123[Country],Tabela1[[#This Row],[Country]],Table123[Pair Skating Classification],"&gt;0")</f>
        <v>0</v>
      </c>
      <c r="OE148" s="6">
        <f>COUNTIFS(Table124[Country],Tabela1[[#This Row],[Country]],Table124[Mixed Classification],"&gt;0")</f>
        <v>0</v>
      </c>
      <c r="OF148" s="6">
        <f>COUNTIFS(Table125[Country],Tabela1[[#This Row],[Country]],Table125[Aerials Classification],"&gt;0")</f>
        <v>0</v>
      </c>
      <c r="OG148" s="6">
        <f>COUNTIFS(Table125128[Country],Tabela1[[#This Row],[Country]],Table125128[Aerials Classification],"&gt;0")</f>
        <v>0</v>
      </c>
      <c r="OH148" s="6">
        <f>COUNTIFS(Table128[Country],Tabela1[[#This Row],[Country]],Table128[Mixed Aerials Classification],"&gt;0")</f>
        <v>0</v>
      </c>
      <c r="OI148" s="6">
        <f>COUNTIFS(Table125[Country],Tabela1[[#This Row],[Country]],Table125[Big Air Classification],"&gt;0")</f>
        <v>0</v>
      </c>
      <c r="OJ148" s="6">
        <f>COUNTIFS(Table125128[Country],Tabela1[[#This Row],[Country]],Table125128[Big Air Classification],"&gt;0")</f>
        <v>0</v>
      </c>
      <c r="OK148" s="6">
        <f>COUNTIFS(Table125[Country],Tabela1[[#This Row],[Country]],Table125[Dual Moguls Classification],"&gt;0")</f>
        <v>0</v>
      </c>
      <c r="OL148" s="6">
        <f>COUNTIFS(Table125128[Country],Tabela1[[#This Row],[Country]],Table125128[Dual Moguls Classification],"&gt;0")</f>
        <v>0</v>
      </c>
      <c r="OM148" s="6">
        <f>COUNTIFS(Table125[Country],Tabela1[[#This Row],[Country]],Table125[Halfpipe Classification],"&gt;0")</f>
        <v>0</v>
      </c>
      <c r="ON148" s="6">
        <f>COUNTIFS(Table125128[Country],Tabela1[[#This Row],[Country]],Table125128[Halfpipe Classification],"&gt;0")</f>
        <v>0</v>
      </c>
      <c r="OO148" s="6">
        <f>COUNTIFS(Table125[Country],Tabela1[[#This Row],[Country]],Table125[Moguls Classification],"&gt;0")</f>
        <v>0</v>
      </c>
      <c r="OP148" s="6">
        <f>COUNTIFS(Table125128[Country],Tabela1[[#This Row],[Country]],Table125128[Moguls Classification],"&gt;0")</f>
        <v>0</v>
      </c>
      <c r="OQ148" s="6">
        <f>COUNTIFS(Table125[Country],Tabela1[[#This Row],[Country]],Table125[Ski Cross Classification],"&gt;0")</f>
        <v>0</v>
      </c>
      <c r="OR148" s="6">
        <f>COUNTIFS(Table125128[Country],Tabela1[[#This Row],[Country]],Table125128[Ski Cross Classification],"&gt;0")</f>
        <v>0</v>
      </c>
      <c r="OS148" s="6">
        <f>COUNTIFS(Table125[Country],Tabela1[[#This Row],[Country]],Table125[Slopestyle Classification],"&gt;0")</f>
        <v>0</v>
      </c>
      <c r="OT148" s="6">
        <f>COUNTIFS(Table125128[Country],Tabela1[[#This Row],[Country]],Table125128[Slopestyle Classification],"&gt;0")</f>
        <v>0</v>
      </c>
      <c r="OU148" s="6">
        <f>COUNTIFS(Table119131[Country],Tabela1[[#This Row],[Country]],Table119131[Men''s Classification],"&gt;0")</f>
        <v>0</v>
      </c>
      <c r="OV148" s="6">
        <f>COUNTIFS(Table119131[Country],Tabela1[[#This Row],[Country]],Table119131[Women''s Classification],"&gt;0")</f>
        <v>0</v>
      </c>
      <c r="OW148" s="6">
        <f>COUNTIFS(Table131[Country],Tabela1[[#This Row],[Country]],Table131[Classification],"&gt;0")</f>
        <v>0</v>
      </c>
      <c r="OX148" s="6">
        <f>COUNTIFS(Table131134[Country],Tabela1[[#This Row],[Country]],Table131134[Classification],"&gt;0")</f>
        <v>0</v>
      </c>
      <c r="OY148" s="6">
        <f>COUNTIFS(Table134[Country],Tabela1[[#This Row],[Country]],Table134[Men''s Classification],"&gt;0")</f>
        <v>0</v>
      </c>
      <c r="OZ148" s="6">
        <f>COUNTIFS(Table134[Country],Tabela1[[#This Row],[Country]],Table134[Women''s Classification],"&gt;0")</f>
        <v>0</v>
      </c>
      <c r="PA148" s="6">
        <f>COUNTIFS(Table135[Country],Tabela1[[#This Row],[Country]],Table135[Mixed Relay Classification],"&gt;0")</f>
        <v>0</v>
      </c>
      <c r="PB148" s="6">
        <f>COUNTIFS(Table136[Country],Tabela1[[#This Row],[Country]],Table136[Individual Classification],"&gt;0")</f>
        <v>0</v>
      </c>
      <c r="PC148" s="6">
        <f>COUNTIFS(Table136[Country],Tabela1[[#This Row],[Country]],Table136[Sprint Classification],"&gt;0")</f>
        <v>0</v>
      </c>
      <c r="PD148" s="6">
        <f>COUNTIFS(Table137[Country],Tabela1[[#This Row],[Country]],Table137[Men''s Team Sprint Large Hill Classification],"&gt;0")</f>
        <v>0</v>
      </c>
      <c r="PE148" s="6">
        <f>COUNTIFS(Table138[Country],Tabela1[[#This Row],[Country]],Table138[500m Classification],"&gt;0")</f>
        <v>0</v>
      </c>
      <c r="PF148" s="6">
        <f>COUNTIFS(Table138141[Country],Tabela1[[#This Row],[Country]],Table138141[500m Classification],"&gt;0")</f>
        <v>0</v>
      </c>
      <c r="PG148" s="6">
        <f>COUNTIFS(Table138[Country],Tabela1[[#This Row],[Country]],Table138[1000m Classification],"&gt;0")</f>
        <v>0</v>
      </c>
      <c r="PH148" s="6">
        <f>COUNTIFS(Table138141[Country],Tabela1[[#This Row],[Country]],Table138141[1000m Classification],"&gt;0")</f>
        <v>0</v>
      </c>
      <c r="PI148" s="6">
        <f>COUNTIFS(Table138[Country],Tabela1[[#This Row],[Country]],Table138[1500m Classification],"&gt;0")</f>
        <v>0</v>
      </c>
      <c r="PJ148" s="6">
        <f>COUNTIFS(Table138141[Country],Tabela1[[#This Row],[Country]],Table138141[1500m Classification],"&gt;0")</f>
        <v>0</v>
      </c>
      <c r="PK148" s="6">
        <f>COUNTIFS(Table141[Country],Tabela1[[#This Row],[Country]],Table141[Men''s 5000m Relay Classification],"&gt;0")</f>
        <v>0</v>
      </c>
      <c r="PL148" s="6">
        <f>COUNTIFS(Table141[Country],Tabela1[[#This Row],[Country]],Table141[Women''s 3000m Relay Classification],"&gt;0")</f>
        <v>0</v>
      </c>
      <c r="PM148" s="6">
        <f>COUNTIFS(Table141[Country],Tabela1[[#This Row],[Country]],Table141[Mixed 2000m Relay Classification],"&gt;0")</f>
        <v>0</v>
      </c>
      <c r="PN148" s="6">
        <f>COUNTIFS(Table142[Country],Tabela1[[#This Row],[Country]],Table142[Classification],"&gt;0")</f>
        <v>0</v>
      </c>
      <c r="PO148" s="6">
        <f>COUNTIFS(Table142145[Country],Tabela1[[#This Row],[Country]],Table142145[Classification],"&gt;0")</f>
        <v>0</v>
      </c>
      <c r="PP148" s="6">
        <f>COUNTIFS(Tabela15[Country],Tabela1[[#This Row],[Country]],Tabela15[Mixed Team Classification],"&gt;0")</f>
        <v>0</v>
      </c>
      <c r="PQ148" s="6">
        <f>COUNTIFS(Table145[Country],Tabela1[[#This Row],[Country]],Table145[Large Hill Classification],"&gt;0")</f>
        <v>0</v>
      </c>
      <c r="PR148" s="6">
        <f>COUNTIFS(Table145[Country],Tabela1[[#This Row],[Country]],Table145[Normal Hill Classification],"&gt;0")</f>
        <v>0</v>
      </c>
      <c r="PS148" s="6">
        <f>COUNTIFS(Table145148[Country],Tabela1[[#This Row],[Country]],Table145148[Large Hill Classification],"&gt;0")</f>
        <v>0</v>
      </c>
      <c r="PT148" s="6">
        <f>COUNTIFS(Table145148[Country],Tabela1[[#This Row],[Country]],Table145148[Normal Hill Classification],"&gt;0")</f>
        <v>0</v>
      </c>
      <c r="PU148" s="6">
        <f>COUNTIFS(Table148[Country],Tabela1[[#This Row],[Country]],Table148[Men''s Super Team Classification],"&gt;0")</f>
        <v>0</v>
      </c>
      <c r="PV148" s="6">
        <f>COUNTIFS(Tabela114[Country],Tabela1[[#This Row],[Country]],Tabela114[Mixed Normal Hill Classification],"&gt;0")</f>
        <v>0</v>
      </c>
      <c r="PW148" s="6">
        <f>COUNTIFS(Tabela50[Country],Tabela1[[#This Row],[Country]],Tabela50[Sprint Classification],"&gt;0")</f>
        <v>0</v>
      </c>
      <c r="PX148" s="6">
        <f>COUNTIFS(Tabela50101[Country],Tabela1[[#This Row],[Country]],Tabela50101[Sprint Classification],"&gt;0")</f>
        <v>0</v>
      </c>
      <c r="PY148" s="6">
        <f>COUNTIFS(Tabela103[Country],Tabela1[[#This Row],[Country]],Tabela103[Mixed Relay Classification],"&gt;0")</f>
        <v>0</v>
      </c>
      <c r="PZ148" s="6">
        <f>COUNTIFS(Table149[Country],Tabela1[[#This Row],[Country]],Table149[Big Air Classification],"&gt;0")</f>
        <v>0</v>
      </c>
      <c r="QA148" s="6">
        <f>COUNTIFS(Table149152[Country],Tabela1[[#This Row],[Country]],Table149152[Big Air Classification],"&gt;0")</f>
        <v>0</v>
      </c>
      <c r="QB148" s="6">
        <f>COUNTIFS(Table149[Country],Tabela1[[#This Row],[Country]],Table149[Halfpipe Classification],"&gt;0")</f>
        <v>0</v>
      </c>
      <c r="QC148" s="6">
        <f>COUNTIFS(Table149152[Country],Tabela1[[#This Row],[Country]],Table149152[Halfpipe Classification],"&gt;0")</f>
        <v>0</v>
      </c>
      <c r="QD148" s="6">
        <f>COUNTIFS(Table149[Country],Tabela1[[#This Row],[Country]],Table149[Parallel Giant Slalom Classification],"&gt;0")</f>
        <v>0</v>
      </c>
      <c r="QE148" s="6">
        <f>COUNTIFS(Table149152[Country],Tabela1[[#This Row],[Country]],Table149152[Parallel Giant Slalom Classification],"&gt;0")</f>
        <v>0</v>
      </c>
      <c r="QF148" s="6">
        <f>COUNTIFS(Table149[Country],Tabela1[[#This Row],[Country]],Table149[Slopestyle Classification],"&gt;0")</f>
        <v>0</v>
      </c>
      <c r="QG148" s="6">
        <f>COUNTIFS(Table149152[Country],Tabela1[[#This Row],[Country]],Table149152[Slopestyle Classification],"&gt;0")</f>
        <v>0</v>
      </c>
      <c r="QH148" s="6">
        <f>COUNTIFS(Table149[Country],Tabela1[[#This Row],[Country]],Table149[Snowboard Cross Classification],"&gt;0")</f>
        <v>0</v>
      </c>
      <c r="QI148" s="6">
        <f>COUNTIFS(Table149152[Country],Tabela1[[#This Row],[Country]],Table149152[Snowboard Cross Classification],"&gt;0")</f>
        <v>0</v>
      </c>
      <c r="QJ148" s="6">
        <f>COUNTIFS(Table153[Country],Tabela1[[#This Row],[Country]],Table153[Mixed Team Snowboard Cross Classification],"&gt;0")</f>
        <v>0</v>
      </c>
      <c r="QK148" s="6">
        <f>COUNTIFS(Table154[Country],Tabela1[[#This Row],[Country]],Table154[500m Classification],"&gt;0")</f>
        <v>0</v>
      </c>
      <c r="QL148" s="6">
        <f>COUNTIFS(Table154157[Country],Tabela1[[#This Row],[Country]],Table154157[500m Classification],"&gt;0")</f>
        <v>0</v>
      </c>
      <c r="QM148" s="6">
        <f>COUNTIFS(Table154[Country],Tabela1[[#This Row],[Country]],Table154[1000m Classification],"&gt;0")</f>
        <v>0</v>
      </c>
      <c r="QN148" s="6">
        <f>COUNTIFS(Table154157[Country],Tabela1[[#This Row],[Country]],Table154157[1000m Classification],"&gt;0")</f>
        <v>0</v>
      </c>
      <c r="QO148" s="6">
        <f>COUNTIFS(Table154[Country],Tabela1[[#This Row],[Country]],Table154[1500m Classification],"&gt;0")</f>
        <v>0</v>
      </c>
      <c r="QP148" s="6">
        <f>COUNTIFS(Table154157[Country],Tabela1[[#This Row],[Country]],Table154157[1500m Classification],"&gt;0")</f>
        <v>0</v>
      </c>
      <c r="QQ148" s="6">
        <f>COUNTIFS(Table154157[Country],Tabela1[[#This Row],[Country]],Table154157[3000m Classification],"&gt;0")</f>
        <v>0</v>
      </c>
      <c r="QR148" s="6">
        <f>COUNTIFS(Table154[Country],Tabela1[[#This Row],[Country]],Table154[5000m Classification],"&gt;0")</f>
        <v>0</v>
      </c>
      <c r="QS148" s="6">
        <f>COUNTIFS(Table154157[Country],Tabela1[[#This Row],[Country]],Table154157[5000m Classification],"&gt;0")</f>
        <v>0</v>
      </c>
      <c r="QT148" s="6">
        <f>COUNTIFS(Table154[Country],Tabela1[[#This Row],[Country]],Table154[10000m Classification],"&gt;0")</f>
        <v>0</v>
      </c>
      <c r="QU148" s="6">
        <f>COUNTIFS(Table154[Country],Tabela1[[#This Row],[Country]],Table154[Mass Start Classification],"&gt;0")</f>
        <v>0</v>
      </c>
      <c r="QV148" s="6">
        <f>COUNTIFS(Table154157[Country],Tabela1[[#This Row],[Country]],Table154157[Mass Start Classification],"&gt;0")</f>
        <v>0</v>
      </c>
      <c r="QW148" s="6">
        <f>COUNTIFS(Table157[Country],Tabela1[[#This Row],[Country]],Table157[Men''s Pursuit Classification],"&gt;0")</f>
        <v>0</v>
      </c>
      <c r="QX148" s="6">
        <f>COUNTIFS(Table157[Country],Tabela1[[#This Row],[Country]],Table157[Women''s Pursuit Classification],"&gt;0")</f>
        <v>0</v>
      </c>
      <c r="QY148" s="4" t="s">
        <v>455</v>
      </c>
    </row>
    <row r="149" spans="1:467" x14ac:dyDescent="0.3">
      <c r="A149" s="6">
        <v>148</v>
      </c>
      <c r="B149" s="6" t="s">
        <v>542</v>
      </c>
      <c r="C149" t="e" vm="148">
        <f>IF(ISBLANK(Tabela1[[#This Row],[Image Link]]), "", _xlfn.IMAGE(Tabela1[[#This Row],[Image Link]],1,1))</f>
        <v>#VALUE!</v>
      </c>
      <c r="D149" s="6">
        <f>SUM(Tabela1[[#This Row],[Archery - Men''s Individual Recurve]:[Speed Skating - Women''s Team Pursuit]])</f>
        <v>1</v>
      </c>
      <c r="E149" s="6">
        <f>COUNTIF(Tabela1[[#This Row],[Archery - Men''s Individual Recurve]:[Speed Skating - Women''s Team Pursuit]],"&gt;0")</f>
        <v>1</v>
      </c>
      <c r="F149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49" s="6">
        <f>SUM(Tabela1[[#This Row],[Archery - Men''s Individual Recurve]:[Wrestling - Women''s Freestyle 76kg]])</f>
        <v>1</v>
      </c>
      <c r="H149" s="6">
        <f>SUM(Tabela1[[#This Row],[Alpine Skiing - Men''s Downhill]:[Speed Skating - Women''s Team Pursuit]])</f>
        <v>0</v>
      </c>
      <c r="I149" s="6">
        <f>Tabela1[[#This Row],[Summer Gold Medals]]+Tabela1[[#This Row],[Winter Gold Medals]]</f>
        <v>0</v>
      </c>
      <c r="J149" s="6">
        <f>Tabela1[[#This Row],[Summer Silver Medals]]+Tabela1[[#This Row],[Winter Silver Medals]]</f>
        <v>0</v>
      </c>
      <c r="K149" s="6">
        <f>Tabela1[[#This Row],[Summer Bronze Medals]]+Tabela1[[#This Row],[Winter Bronze Medals]]</f>
        <v>0</v>
      </c>
      <c r="L149" s="6">
        <f>SUM(Tabela1[[#This Row],[Total Gold Medals]:[Total Bronze Medals]])</f>
        <v>0</v>
      </c>
      <c r="M149" s="6"/>
      <c r="N149" s="6"/>
      <c r="O149" s="6"/>
      <c r="P149" s="6">
        <f>SUM(Tabela1[[#This Row],[Summer Gold Medals]:[Summer Bronze Medals]])</f>
        <v>0</v>
      </c>
      <c r="Q149" s="6"/>
      <c r="R149" s="6"/>
      <c r="S149" s="6"/>
      <c r="T149" s="6">
        <f>Tabela1[[#This Row],[Winter Gold Medals]]+Tabela1[[#This Row],[Winter Silver Medals]]+Tabela1[[#This Row],[Winter Bronze Medals]]</f>
        <v>0</v>
      </c>
      <c r="U149" s="7">
        <f>Tabela1[[#This Row],[Total Medals]]/Tabela1[[#This Row],[Total Quotas]]</f>
        <v>0</v>
      </c>
      <c r="V149" s="6">
        <f>COUNTIFS(Table3[Country],Tabela1[[#This Row],[Country]],Table3[Recurve Classification],"&gt;0")</f>
        <v>0</v>
      </c>
      <c r="W149" s="6">
        <f>COUNTIFS(Table33[Country],Tabela1[[#This Row],[Country]],Table33[Recurve Classification],"&gt;0")</f>
        <v>0</v>
      </c>
      <c r="X149" s="6">
        <f>COUNTIFS(Table35[Country],Tabela1[[#This Row],[Country]],Table35[Men''s Team Recurve Classification],"&gt;0")</f>
        <v>0</v>
      </c>
      <c r="Y149" s="6">
        <f>COUNTIFS(Table35[Country],Tabela1[[#This Row],[Country]],Table35[Women''s Team Recurve Classification],"&gt;0")</f>
        <v>0</v>
      </c>
      <c r="Z149" s="6">
        <f>COUNTIFS(Tabela88[Country],Tabela1[[#This Row],[Country]],Tabela88[Mixed Team Recurve Classification],"&gt;0")</f>
        <v>0</v>
      </c>
      <c r="AA149" s="6">
        <f>COUNTIFS(Table36[Country],Tabela1[[#This Row],[Country]],Table36[Classification],"&gt;0")</f>
        <v>0</v>
      </c>
      <c r="AB149" s="6">
        <f>COUNTIFS(Table37[Country],Tabela1[[#This Row],[Country]],Table37[Classification],"&gt;0")</f>
        <v>0</v>
      </c>
      <c r="AC149" s="6">
        <f>COUNTIFS(Table4[Country],Tabela1[[#This Row],[Country]],Table4[100m Classification],"&gt;0")</f>
        <v>0</v>
      </c>
      <c r="AD149" s="6">
        <f>COUNTIFS(Table5[Country],Tabela1[[#This Row],[Country]],Table5[100m Classification],"&gt;0")</f>
        <v>0</v>
      </c>
      <c r="AE149" s="6">
        <f>COUNTIFS(Table4[Country],Tabela1[[#This Row],[Country]],Table4[200m Classification],"&gt;0")</f>
        <v>0</v>
      </c>
      <c r="AF149" s="6">
        <f>COUNTIFS(Table5[Country],Tabela1[[#This Row],[Country]],Table5[200m Classification],"&gt;0")</f>
        <v>0</v>
      </c>
      <c r="AG149" s="6">
        <f>COUNTIFS(Table4[Country],Tabela1[[#This Row],[Country]],Table4[400m Classification],"&gt;0")</f>
        <v>0</v>
      </c>
      <c r="AH149" s="6">
        <f>COUNTIFS(Table5[Country],Tabela1[[#This Row],[Country]],Table5[400m Classification],"&gt;0")</f>
        <v>0</v>
      </c>
      <c r="AI149" s="6">
        <f>COUNTIFS(Table4[Country],Tabela1[[#This Row],[Country]],Table4[800m Classification],"&gt;0")</f>
        <v>0</v>
      </c>
      <c r="AJ149" s="6">
        <f>COUNTIFS(Table5[Country],Tabela1[[#This Row],[Country]],Table5[800m Classification],"&gt;0")</f>
        <v>0</v>
      </c>
      <c r="AK149" s="6">
        <f>COUNTIFS(Table4[Country],Tabela1[[#This Row],[Country]],Table4[1500m Classification],"&gt;0")</f>
        <v>0</v>
      </c>
      <c r="AL149" s="6">
        <f>COUNTIFS(Table5[Country],Tabela1[[#This Row],[Country]],Table5[1500m Classification],"&gt;0")</f>
        <v>0</v>
      </c>
      <c r="AM149" s="6">
        <f>COUNTIFS(Table4[Country],Tabela1[[#This Row],[Country]],Table4[5000m Classification],"&gt;0")</f>
        <v>0</v>
      </c>
      <c r="AN149" s="6">
        <f>COUNTIFS(Table5[Country],Tabela1[[#This Row],[Country]],Table5[5000m Classification],"&gt;0")</f>
        <v>0</v>
      </c>
      <c r="AO149" s="6">
        <f>COUNTIFS(Table4[Country],Tabela1[[#This Row],[Country]],Table4[10000m Classification],"&gt;0")</f>
        <v>0</v>
      </c>
      <c r="AP149" s="6">
        <f>COUNTIFS(Table5[Country],Tabela1[[#This Row],[Country]],Table5[10000m Classification],"&gt;0")</f>
        <v>0</v>
      </c>
      <c r="AQ149" s="6">
        <f>COUNTIFS(Table4[Country],Tabela1[[#This Row],[Country]],Table4[110m Hurdles Classification],"&gt;0")</f>
        <v>0</v>
      </c>
      <c r="AR149" s="6">
        <f>COUNTIFS(Table5[Country],Tabela1[[#This Row],[Country]],Table5[100m Hurdles Classification],"&gt;0")</f>
        <v>0</v>
      </c>
      <c r="AS149" s="6">
        <f>COUNTIFS(Table4[Country],Tabela1[[#This Row],[Country]],Table4[400m Hurdles Classification],"&gt;0")</f>
        <v>0</v>
      </c>
      <c r="AT149" s="6">
        <f>COUNTIFS(Table5[Country],Tabela1[[#This Row],[Country]],Table5[400m Hurdles Classification],"&gt;0")</f>
        <v>0</v>
      </c>
      <c r="AU149" s="6">
        <f>COUNTIFS(Table4[Country],Tabela1[[#This Row],[Country]],Table4[3000m Steeplechase Classification],"&gt;0")</f>
        <v>0</v>
      </c>
      <c r="AV149" s="6">
        <f>COUNTIFS(Table5[Country],Tabela1[[#This Row],[Country]],Table5[3000m Steeplechase Classification],"&gt;0")</f>
        <v>0</v>
      </c>
      <c r="AW149" s="6">
        <f>COUNTIFS(Table27[Country],Tabela1[[#This Row],[Country]],Table27[Men''s 4x100m Relay Classification],"&gt;0")</f>
        <v>0</v>
      </c>
      <c r="AX149" s="6">
        <f>COUNTIFS(Table27[Country],Tabela1[[#This Row],[Country]],Table27[Women''s 4x100m Relay Classification],"&gt;0")</f>
        <v>0</v>
      </c>
      <c r="AY149" s="6">
        <f>COUNTIFS(Table27[Country],Tabela1[[#This Row],[Country]],Table27[Men''s 4x400m Relay Classification],"&gt;0")</f>
        <v>0</v>
      </c>
      <c r="AZ149" s="6">
        <f>COUNTIFS(Table27[Country],Tabela1[[#This Row],[Country]],Table27[Women''s 4x400m Relay Classification],"&gt;0")</f>
        <v>0</v>
      </c>
      <c r="BA149" s="6">
        <f>COUNTIFS(Table27[Country],Tabela1[[#This Row],[Country]],Table27[Mixed 4x400m Relay Classification],"&gt;0")</f>
        <v>0</v>
      </c>
      <c r="BB149" s="6">
        <f>COUNTIFS(Table4[Country],Tabela1[[#This Row],[Country]],Table4[Marathon Classification],"&gt;0")</f>
        <v>0</v>
      </c>
      <c r="BC149" s="6">
        <f>COUNTIFS(Table5[Country],Tabela1[[#This Row],[Country]],Table5[Marathon Classification],"&gt;0")</f>
        <v>0</v>
      </c>
      <c r="BD149" s="6">
        <f>COUNTIFS(Table4[Country],Tabela1[[#This Row],[Country]],Table4[20km Race Walk Classification],"&gt;0")</f>
        <v>0</v>
      </c>
      <c r="BE149" s="6">
        <f>COUNTIFS(Table5[Country],Tabela1[[#This Row],[Country]],Table5[20km Race Walk Classification],"&gt;0")</f>
        <v>0</v>
      </c>
      <c r="BF149" s="6">
        <f>COUNTIFS(Tabela96[Country],Tabela1[[#This Row],[Country]],Tabela96[Mixed Marathon Race Walk Relay Classification],"&gt;0")</f>
        <v>0</v>
      </c>
      <c r="BG149" s="6">
        <f>COUNTIFS(Table4[Country],Tabela1[[#This Row],[Country]],Table4[Discus Throw Classification],"&gt;0")</f>
        <v>0</v>
      </c>
      <c r="BH149" s="6">
        <f>COUNTIFS(Table5[Country],Tabela1[[#This Row],[Country]],Table5[Discus Throw Classification],"&gt;0")</f>
        <v>0</v>
      </c>
      <c r="BI149" s="6">
        <f>COUNTIFS(Table4[Country],Tabela1[[#This Row],[Country]],Table4[Hammer Throw Classification],"&gt;0")</f>
        <v>0</v>
      </c>
      <c r="BJ149" s="6">
        <f>COUNTIFS(Table5[Country],Tabela1[[#This Row],[Country]],Table5[Hammer Throw Classification],"&gt;0")</f>
        <v>0</v>
      </c>
      <c r="BK149" s="6">
        <f>COUNTIFS(Table4[Country],Tabela1[[#This Row],[Country]],Table4[High Jump Classification],"&gt;0")</f>
        <v>0</v>
      </c>
      <c r="BL149" s="6">
        <f>COUNTIFS(Table5[Country],Tabela1[[#This Row],[Country]],Table5[High Jump Classification],"&gt;0")</f>
        <v>0</v>
      </c>
      <c r="BM149" s="6">
        <f>COUNTIFS(Table4[Country],Tabela1[[#This Row],[Country]],Table4[Javelin Throw Classification],"&gt;0")</f>
        <v>0</v>
      </c>
      <c r="BN149" s="6">
        <f>COUNTIFS(Table5[Country],Tabela1[[#This Row],[Country]],Table5[Javelin Throw Classification],"&gt;0")</f>
        <v>0</v>
      </c>
      <c r="BO149" s="6">
        <f>COUNTIFS(Table4[Country],Tabela1[[#This Row],[Country]],Table4[Long Jump Classification],"&gt;0")</f>
        <v>0</v>
      </c>
      <c r="BP149" s="6">
        <f>COUNTIFS(Table5[Country],Tabela1[[#This Row],[Country]],Table5[Long Jump Classification],"&gt;0")</f>
        <v>0</v>
      </c>
      <c r="BQ149" s="6">
        <f>COUNTIFS(Table4[Country],Tabela1[[#This Row],[Country]],Table4[Pole Vault Classification],"&gt;0")</f>
        <v>0</v>
      </c>
      <c r="BR149" s="6">
        <f>COUNTIFS(Table5[Country],Tabela1[[#This Row],[Country]],Table5[Pole Vault Classification],"&gt;0")</f>
        <v>0</v>
      </c>
      <c r="BS149" s="6">
        <f>COUNTIFS(Table4[Country],Tabela1[[#This Row],[Country]],Table4[Shot Put Classification],"&gt;0")</f>
        <v>0</v>
      </c>
      <c r="BT149" s="6">
        <f>COUNTIFS(Table5[Country],Tabela1[[#This Row],[Country]],Table5[Shot Put Classification],"&gt;0")</f>
        <v>0</v>
      </c>
      <c r="BU149" s="6">
        <f>COUNTIFS(Table4[Country],Tabela1[[#This Row],[Country]],Table4[Triple Jump Classification],"&gt;0")</f>
        <v>0</v>
      </c>
      <c r="BV149" s="6">
        <f>COUNTIFS(Table5[Country],Tabela1[[#This Row],[Country]],Table5[Triple Jump Classification],"&gt;0")</f>
        <v>0</v>
      </c>
      <c r="BW149" s="6">
        <f>COUNTIFS(Table4[Country],Tabela1[[#This Row],[Country]],Table4[Decathlon Classification],"&gt;0")</f>
        <v>0</v>
      </c>
      <c r="BX149" s="6">
        <f>COUNTIFS(Table5[Country],Tabela1[[#This Row],[Country]],Table5[Heptathlon Classification],"&gt;0")</f>
        <v>0</v>
      </c>
      <c r="BY149" s="6">
        <f>COUNTIFS(Table61[Country],Tabela1[[#This Row],[Country]],Table61[Classification],"&gt;0")</f>
        <v>0</v>
      </c>
      <c r="BZ149" s="6">
        <f>COUNTIFS(Table38[Country],Tabela1[[#This Row],[Country]],Table38[Classification],"&gt;0")</f>
        <v>0</v>
      </c>
      <c r="CA149" s="6">
        <f>COUNTIFS(Table39[Country],Tabela1[[#This Row],[Country]],Table39[Men''s Classification],"&gt;0")</f>
        <v>0</v>
      </c>
      <c r="CB149" s="6">
        <f>COUNTIFS(Table39[Country],Tabela1[[#This Row],[Country]],Table39[Women''s Classification],"&gt;0")</f>
        <v>0</v>
      </c>
      <c r="CC149" s="6">
        <f>COUNTIFS(Table39[Country],Tabela1[[#This Row],[Country]],Table39[Mixed Classification],"&gt;0")</f>
        <v>0</v>
      </c>
      <c r="CD149" s="6">
        <f>COUNTIFS(Table89[Country],Tabela1[[#This Row],[Country]],Table89[Men''s Classification],"&gt;0")</f>
        <v>0</v>
      </c>
      <c r="CE149" s="6">
        <f>COUNTIFS(Table89[Country],Tabela1[[#This Row],[Country]],Table89[Women''s Classification],"&gt;0")</f>
        <v>0</v>
      </c>
      <c r="CF149" s="6">
        <f>COUNTIFS(Table90[Country],Tabela1[[#This Row],[Country]],Table90[Men''s Classification],"&gt;0")</f>
        <v>0</v>
      </c>
      <c r="CG149" s="6">
        <f>COUNTIFS(Table90[Country],Tabela1[[#This Row],[Country]],Table90[Women''s Classification],"&gt;0")</f>
        <v>0</v>
      </c>
      <c r="CH149" s="6">
        <f>COUNTIFS(Table60[Country],Tabela1[[#This Row],[Country]],Table60[Men''s Classification],"&gt;0")</f>
        <v>0</v>
      </c>
      <c r="CI149" s="6">
        <f>COUNTIFS(Table60[Country],Tabela1[[#This Row],[Country]],Table60[Women''s Classification],"&gt;0")</f>
        <v>0</v>
      </c>
      <c r="CJ149" s="6">
        <f>COUNTIFS(Table6[Country],Tabela1[[#This Row],[Country]],Table6[51kg Classification],"&gt;0")</f>
        <v>0</v>
      </c>
      <c r="CK149" s="6">
        <f>COUNTIFS(Table6[Country],Tabela1[[#This Row],[Country]],Table6[57kg Classification],"&gt;0")</f>
        <v>0</v>
      </c>
      <c r="CL149" s="6">
        <f>COUNTIFS(Table6[Country],Tabela1[[#This Row],[Country]],Table6[63.5kg Classification],"&gt;0")</f>
        <v>0</v>
      </c>
      <c r="CM149" s="6">
        <f>COUNTIFS(Table6[Country],Tabela1[[#This Row],[Country]],Table6[71kg Classification],"&gt;0")</f>
        <v>0</v>
      </c>
      <c r="CN149" s="6">
        <f>COUNTIFS(Table6[Country],Tabela1[[#This Row],[Country]],Table6[80kg Classification],"&gt;0")</f>
        <v>0</v>
      </c>
      <c r="CO149" s="6">
        <f>COUNTIFS(Table6[Country],Tabela1[[#This Row],[Country]],Table6[92kg Classification],"&gt;0")</f>
        <v>0</v>
      </c>
      <c r="CP149" s="6">
        <f>COUNTIFS(Table6[Country],Tabela1[[#This Row],[Country]],Table6[Plus 92kg Classification],"&gt;0")</f>
        <v>0</v>
      </c>
      <c r="CQ149" s="6">
        <f>COUNTIFS(Table7[Country],Tabela1[[#This Row],[Country]],Table7[50kg Classification],"&gt;0")</f>
        <v>0</v>
      </c>
      <c r="CR149" s="6">
        <f>COUNTIFS(Table7[Country],Tabela1[[#This Row],[Country]],Table7[54kg Classification],"&gt;0")</f>
        <v>0</v>
      </c>
      <c r="CS149" s="6">
        <f>COUNTIFS(Table7[Country],Tabela1[[#This Row],[Country]],Table7[57kg Classification],"&gt;0")</f>
        <v>0</v>
      </c>
      <c r="CT149" s="6">
        <f>COUNTIFS(Table7[Country],Tabela1[[#This Row],[Country]],Table7[60kg Classification],"&gt;0")</f>
        <v>0</v>
      </c>
      <c r="CU149" s="6">
        <f>COUNTIFS(Table7[Country],Tabela1[[#This Row],[Country]],Table7[66kg Classification],"&gt;0")</f>
        <v>0</v>
      </c>
      <c r="CV149" s="6">
        <f>COUNTIFS(Table7[Country],Tabela1[[#This Row],[Country]],Table7[75kg Classification],"&gt;0")</f>
        <v>0</v>
      </c>
      <c r="CW149" s="6">
        <f>COUNTIFS(Tabela94[Country],Tabela1[[#This Row],[Country]],Tabela94[Classification],"&gt;0")</f>
        <v>0</v>
      </c>
      <c r="CX149" s="6">
        <f>COUNTIFS(Tabela9499[Country],Tabela1[[#This Row],[Country]],Tabela9499[Classification],"&gt;0")</f>
        <v>0</v>
      </c>
      <c r="CY149" s="6">
        <f>COUNTIFS(Tabela107[Country],Tabela1[[#This Row],[Country]],Tabela107[C1 Slalom Classification],"&gt;0")</f>
        <v>0</v>
      </c>
      <c r="CZ149" s="6">
        <f>COUNTIFS(Tabela107122[Country],Tabela1[[#This Row],[Country]],Tabela107122[C1 Slalom Classification],"&gt;0")</f>
        <v>0</v>
      </c>
      <c r="DA149" s="6">
        <f>COUNTIFS(Tabela107[Country],Tabela1[[#This Row],[Country]],Tabela107[K1 Slalom Classification],"&gt;0")</f>
        <v>0</v>
      </c>
      <c r="DB149" s="6">
        <f>COUNTIFS(Tabela107122[Country],Tabela1[[#This Row],[Country]],Tabela107122[K1 Slalom Classification],"&gt;0")</f>
        <v>0</v>
      </c>
      <c r="DC149" s="6">
        <f>COUNTIFS(Tabela107[Country],Tabela1[[#This Row],[Country]],Tabela107[Kayak Cross Slalom Classification],"&gt;0")</f>
        <v>0</v>
      </c>
      <c r="DD149" s="6">
        <f>COUNTIFS(Tabela107122[Country],Tabela1[[#This Row],[Country]],Tabela107122[Kayak Cross Slalom Classification],"&gt;0")</f>
        <v>0</v>
      </c>
      <c r="DE149" s="6">
        <f>COUNTIFS(Table8[Country],Tabela1[[#This Row],[Country]],Table8[C1 200m Classification],"&gt;0")</f>
        <v>0</v>
      </c>
      <c r="DF149" s="6">
        <f>COUNTIFS(Table40[Country],Tabela1[[#This Row],[Country]],Table40[C1 1000m Classification],"&gt;0")</f>
        <v>0</v>
      </c>
      <c r="DG149" s="6">
        <f>COUNTIFS(Table68[Country],Tabela1[[#This Row],[Country]],Table68[Men''s C2 500m Classification],"&gt;0")</f>
        <v>0</v>
      </c>
      <c r="DH149" s="6">
        <f>COUNTIFS(Table68[Country],Tabela1[[#This Row],[Country]],Table68[Women''s C2 500m Classification],"&gt;0")</f>
        <v>0</v>
      </c>
      <c r="DI149" s="6">
        <f>COUNTIFS(Table8[Country],Tabela1[[#This Row],[Country]],Table8[K1 500m Classification],"&gt;0")</f>
        <v>0</v>
      </c>
      <c r="DJ149" s="6">
        <f>COUNTIFS(Table40[Country],Tabela1[[#This Row],[Country]],Table40[K1 1000m Classification],"&gt;0")</f>
        <v>0</v>
      </c>
      <c r="DK149" s="6">
        <f>COUNTIFS(Table68[Country],Tabela1[[#This Row],[Country]],Table68[Men''s K2 500m Classification],"&gt;0")</f>
        <v>0</v>
      </c>
      <c r="DL149" s="6">
        <f>COUNTIFS(Table68[Country],Tabela1[[#This Row],[Country]],Table68[Women''s K2 500m Classification],"&gt;0")</f>
        <v>0</v>
      </c>
      <c r="DM149" s="6">
        <f>COUNTIFS(Table83[Country],Tabela1[[#This Row],[Country]],Table83[Men''s K4 500m Classification],"&gt;0")</f>
        <v>0</v>
      </c>
      <c r="DN149" s="6">
        <f>COUNTIFS(Table83[Country],Tabela1[[#This Row],[Country]],Table83[Women''s K4 500m Classification],"&gt;0")</f>
        <v>0</v>
      </c>
      <c r="DO149" s="6">
        <f>COUNTIFS(Tabela126[Country],Tabela1[[#This Row],[Country]],Tabela126[Classification],"&gt;0")</f>
        <v>0</v>
      </c>
      <c r="DP149" s="6">
        <f>COUNTIFS(Tabela126130[Country],Tabela1[[#This Row],[Country]],Tabela126130[Classification],"&gt;0")</f>
        <v>0</v>
      </c>
      <c r="DQ149" s="6">
        <f>COUNTIFS(Table70[Country],Tabela1[[#This Row],[Country]],Table70[Classification],"&gt;0")</f>
        <v>0</v>
      </c>
      <c r="DR149" s="6">
        <f>COUNTIFS(Table80[Country],Tabela1[[#This Row],[Country]],Table80[Classification],"&gt;0")</f>
        <v>0</v>
      </c>
      <c r="DS149" s="6">
        <f>COUNTIFS(Table66[Country],Tabela1[[#This Row],[Country]],Table66[Classification],"&gt;0")</f>
        <v>0</v>
      </c>
      <c r="DT149" s="6">
        <f>COUNTIFS(Table67[Country],Tabela1[[#This Row],[Country]],Table67[Classification],"&gt;0")</f>
        <v>0</v>
      </c>
      <c r="DU149" s="6">
        <f>COUNTIFS(Table69[Country],Tabela1[[#This Row],[Country]],Table69[Keirin Classification],"&gt;0")</f>
        <v>0</v>
      </c>
      <c r="DV149" s="6">
        <f>COUNTIFS(Table41[Country],Tabela1[[#This Row],[Country]],Table41[Keirin Classification],"&gt;0")</f>
        <v>0</v>
      </c>
      <c r="DW149" s="6">
        <f>COUNTIFS(Table84[Country],Tabela1[[#This Row],[Country]],Table84[Men''s Madison Classification],"&gt;0")</f>
        <v>0</v>
      </c>
      <c r="DX149" s="6">
        <f>COUNTIFS(Table84[Country],Tabela1[[#This Row],[Country]],Table84[Women''s Madison Classification],"&gt;0")</f>
        <v>0</v>
      </c>
      <c r="DY149" s="6">
        <f>COUNTIFS(Table69[Country],Tabela1[[#This Row],[Country]],Table69[Omnium Classification],"&gt;0")</f>
        <v>0</v>
      </c>
      <c r="DZ149" s="6">
        <f>COUNTIFS(Table41[Country],Tabela1[[#This Row],[Country]],Table41[Omnium Classification],"&gt;0")</f>
        <v>0</v>
      </c>
      <c r="EA149" s="6">
        <f>COUNTIFS(Table9[Country],Tabela1[[#This Row],[Country]],Table9[Road Race Classification],"&gt;0")</f>
        <v>0</v>
      </c>
      <c r="EB149" s="6">
        <f>COUNTIFS(Table14[Country],Tabela1[[#This Row],[Country]],Table14[Road Race Classification],"&gt;0")</f>
        <v>0</v>
      </c>
      <c r="EC149" s="6">
        <f>COUNTIFS(Table69[Country],Tabela1[[#This Row],[Country]],Table69[Sprint Classification],"&gt;0")</f>
        <v>0</v>
      </c>
      <c r="ED149" s="6">
        <f>COUNTIFS(Table41[Country],Tabela1[[#This Row],[Country]],Table41[Sprint Classification],"&gt;0")</f>
        <v>0</v>
      </c>
      <c r="EE149" s="6">
        <f>COUNTIFS(Table85[Country],Tabela1[[#This Row],[Country]],Table85[Men''s Sprint Classification],"&gt;0")</f>
        <v>0</v>
      </c>
      <c r="EF149" s="6">
        <f>COUNTIFS(Table85[Country],Tabela1[[#This Row],[Country]],Table85[Women''s Sprint Classification],"&gt;0")</f>
        <v>0</v>
      </c>
      <c r="EG149" s="6">
        <f>COUNTIFS(Table85[Country],Tabela1[[#This Row],[Country]],Table85[Men''s Pursuit Classification],"&gt;0")</f>
        <v>0</v>
      </c>
      <c r="EH149" s="6">
        <f>COUNTIFS(Table85[Country],Tabela1[[#This Row],[Country]],Table85[Women''s Pursuit Classification],"&gt;0")</f>
        <v>0</v>
      </c>
      <c r="EI149" s="6">
        <f>COUNTIFS(Table9[Country],Tabela1[[#This Row],[Country]],Table9[Time-Trial Classification],"&gt;0")</f>
        <v>0</v>
      </c>
      <c r="EJ149" s="6">
        <f>COUNTIFS(Table14[Country],Tabela1[[#This Row],[Country]],Table14[Time-Trial Classification],"&gt;0")</f>
        <v>0</v>
      </c>
      <c r="EK149" s="6">
        <f>COUNTIFS(Table42[Country],Tabela1[[#This Row],[Country]],Table42[Springboard Classification],"&gt;0")</f>
        <v>0</v>
      </c>
      <c r="EL149" s="6">
        <f>COUNTIFS(Table43[Country],Tabela1[[#This Row],[Country]],Table43[Springboard Classification],"&gt;0")</f>
        <v>0</v>
      </c>
      <c r="EM149" s="6">
        <f>COUNTIFS(Table42[Country],Tabela1[[#This Row],[Country]],Table42[Platform Classification],"&gt;0")</f>
        <v>0</v>
      </c>
      <c r="EN149" s="6">
        <f>COUNTIFS(Table43[Country],Tabela1[[#This Row],[Country]],Table43[Platform Classification],"&gt;0")</f>
        <v>0</v>
      </c>
      <c r="EO149" s="6">
        <f>COUNTIFS(Table86[Country],Tabela1[[#This Row],[Country]],Table86[Men''s Synchronized Springboard Classification],"&gt;0")</f>
        <v>0</v>
      </c>
      <c r="EP149" s="6">
        <f>COUNTIFS(Table86[Country],Tabela1[[#This Row],[Country]],Table86[Women''s Synchronized Springboard Classification],"&gt;0")</f>
        <v>0</v>
      </c>
      <c r="EQ149" s="6">
        <f>COUNTIFS(Table86[Country],Tabela1[[#This Row],[Country]],Table86[Men''s Synchronized Platform Classification],"&gt;0")</f>
        <v>0</v>
      </c>
      <c r="ER149" s="6">
        <f>COUNTIFS(Table86[Country],Tabela1[[#This Row],[Country]],Table86[Women''s Synchronized Platform Classification],"&gt;0")</f>
        <v>0</v>
      </c>
      <c r="ES149" s="6">
        <f>COUNTIFS(Table44[Country],Tabela1[[#This Row],[Country]],Table44[Dressage Classification],"&gt;0")</f>
        <v>0</v>
      </c>
      <c r="ET149" s="6">
        <f>COUNTIFS(Table45[Country],Tabela1[[#This Row],[Country]],Table45[Dressage Classification],"&gt;0")</f>
        <v>0</v>
      </c>
      <c r="EU149" s="6">
        <f>COUNTIFS(Table44[Country],Tabela1[[#This Row],[Country]],Table44[Eventing Classification],"&gt;0")</f>
        <v>0</v>
      </c>
      <c r="EV149" s="6">
        <f>COUNTIFS(Table45[Country],Tabela1[[#This Row],[Country]],Table45[Eventing Classification],"&gt;0")</f>
        <v>0</v>
      </c>
      <c r="EW149" s="6">
        <f>COUNTIFS(Table44[Country],Tabela1[[#This Row],[Country]],Table44[Jumping Classification],"&gt;0")</f>
        <v>0</v>
      </c>
      <c r="EX149" s="6">
        <f>COUNTIFS(Table45[Country],Tabela1[[#This Row],[Country]],Table45[Jumping Classification],"&gt;0")</f>
        <v>0</v>
      </c>
      <c r="EY149" s="6">
        <f>COUNTIFS(Table10[Country],Tabela1[[#This Row],[Country]],Table10[Épée Classification],"&gt;0")</f>
        <v>0</v>
      </c>
      <c r="EZ149" s="6">
        <f>COUNTIFS(Table11[Country],Tabela1[[#This Row],[Country]],Table11[Épée Classification],"&gt;0")</f>
        <v>0</v>
      </c>
      <c r="FA149" s="6">
        <f>COUNTIFS(Table46[Country],Tabela1[[#This Row],[Country]],Table46[Men''s Épée Classification],"&gt;0")</f>
        <v>0</v>
      </c>
      <c r="FB149" s="6">
        <f>COUNTIFS(Table46[Country],Tabela1[[#This Row],[Country]],Table46[Women''s Épée Classification],"&gt;0")</f>
        <v>0</v>
      </c>
      <c r="FC149" s="6">
        <f>COUNTIFS(Table10[Country],Tabela1[[#This Row],[Country]],Table10[Foil Classification],"&gt;0")</f>
        <v>0</v>
      </c>
      <c r="FD149" s="6">
        <f>COUNTIFS(Table11[Country],Tabela1[[#This Row],[Country]],Table11[Foil Classification],"&gt;0")</f>
        <v>0</v>
      </c>
      <c r="FE149" s="6">
        <f>COUNTIFS(Table46[Country],Tabela1[[#This Row],[Country]],Table46[Men''s Foil Classification],"&gt;0")</f>
        <v>0</v>
      </c>
      <c r="FF149" s="6">
        <f>COUNTIFS(Table46[Country],Tabela1[[#This Row],[Country]],Table46[Women''s Foil Classification],"&gt;0")</f>
        <v>0</v>
      </c>
      <c r="FG149" s="6">
        <f>COUNTIFS(Table10[Country],Tabela1[[#This Row],[Country]],Table10[Sabre Classification],"&gt;0")</f>
        <v>0</v>
      </c>
      <c r="FH149" s="6">
        <f>COUNTIFS(Table11[Country],Tabela1[[#This Row],[Country]],Table11[Sabre Classification],"&gt;0")</f>
        <v>0</v>
      </c>
      <c r="FI149" s="6">
        <f>COUNTIFS(Table46[Country],Tabela1[[#This Row],[Country]],Table46[Men''s Sabre Classification],"&gt;0")</f>
        <v>0</v>
      </c>
      <c r="FJ149" s="6">
        <f>COUNTIFS(Table46[Country],Tabela1[[#This Row],[Country]],Table46[Women''s Sabre Classification],"&gt;0")</f>
        <v>0</v>
      </c>
      <c r="FK149" s="6">
        <f>COUNTIFS(Table91[Country],Tabela1[[#This Row],[Country]],Table91[Men''s Classification],"&gt;0")</f>
        <v>0</v>
      </c>
      <c r="FL149" s="6">
        <f>COUNTIFS(Table91[Country],Tabela1[[#This Row],[Country]],Table91[Women''s Classification],"&gt;0")</f>
        <v>0</v>
      </c>
      <c r="FM149" s="6">
        <f>COUNTIFS(Table9194[Country],Tabela1[[#This Row],[Country]],Table9194[Men''s Classification],"&gt;0")</f>
        <v>0</v>
      </c>
      <c r="FN149" s="6">
        <f>COUNTIFS(Table9194[Country],Tabela1[[#This Row],[Country]],Table9194[Women''s Classification],"&gt;0")</f>
        <v>0</v>
      </c>
      <c r="FO149" s="6">
        <f>COUNTIFS(Table71[Country],Tabela1[[#This Row],[Country]],Table71[Classification],"&gt;0")</f>
        <v>0</v>
      </c>
      <c r="FP149" s="6">
        <f>COUNTIFS(Table62[Country],Tabela1[[#This Row],[Country]],Table62[Classification],"&gt;0")</f>
        <v>0</v>
      </c>
      <c r="FQ149" s="6">
        <f>COUNTIFS(Table47[Country],Tabela1[[#This Row],[Country]],Table47[All-Around Classification],"&gt;0")</f>
        <v>0</v>
      </c>
      <c r="FR149" s="6">
        <f>COUNTIFS(Table48[Country],Tabela1[[#This Row],[Country]],Table48[All-Around Classification],"&gt;0")</f>
        <v>0</v>
      </c>
      <c r="FS149" s="6">
        <f>COUNTIFS(Table81[Country],Tabela1[[#This Row],[Country]],Table81[Men''s All-Around Classification],"&gt;0")</f>
        <v>0</v>
      </c>
      <c r="FT149" s="6">
        <f>COUNTIFS(Table81[Country],Tabela1[[#This Row],[Country]],Table81[Women''s All-Around Classification],"&gt;0")</f>
        <v>0</v>
      </c>
      <c r="FU149" s="6">
        <f>COUNTIFS(Table48[Country],Tabela1[[#This Row],[Country]],Table48[Balance Beam Classification],"&gt;0")</f>
        <v>0</v>
      </c>
      <c r="FV149" s="6">
        <f>COUNTIFS(Table47[Country],Tabela1[[#This Row],[Country]],Table47[Floor Exercise Classification],"&gt;0")</f>
        <v>0</v>
      </c>
      <c r="FW149" s="6">
        <f>COUNTIFS(Table48[Country],Tabela1[[#This Row],[Country]],Table48[Floor Exercise Classification],"&gt;0")</f>
        <v>0</v>
      </c>
      <c r="FX149" s="6">
        <f>COUNTIFS(Table47[Country],Tabela1[[#This Row],[Country]],Table47[Horizontal Bar Classification],"&gt;0")</f>
        <v>0</v>
      </c>
      <c r="FY149" s="6">
        <f>COUNTIFS(Table47[Country],Tabela1[[#This Row],[Country]],Table47[Parallel Bars Classification],"&gt;0")</f>
        <v>0</v>
      </c>
      <c r="FZ149" s="6">
        <f>COUNTIFS(Table47[Country],Tabela1[[#This Row],[Country]],Table47[Pommel Horse Classification],"&gt;0")</f>
        <v>0</v>
      </c>
      <c r="GA149" s="6">
        <f>COUNTIFS(Table47[Country],Tabela1[[#This Row],[Country]],Table47[Rings Classification],"&gt;0")</f>
        <v>0</v>
      </c>
      <c r="GB149" s="6">
        <f>COUNTIFS(Tabela132[Country],Tabela1[[#This Row],[Country]],Tabela132[Classification],"&gt;0")</f>
        <v>0</v>
      </c>
      <c r="GC149" s="6">
        <f>COUNTIFS(Tabela139[Country],Tabela1[[#This Row],[Country]],Tabela139[Classification],"&gt;0")</f>
        <v>0</v>
      </c>
      <c r="GD149" s="6">
        <f>COUNTIFS(Table48[Country],Tabela1[[#This Row],[Country]],Table48[Uneven Bars Classification],"&gt;0")</f>
        <v>0</v>
      </c>
      <c r="GE149" s="6">
        <f>COUNTIFS(Table47[Country],Tabela1[[#This Row],[Country]],Table47[Vault Classification],"&gt;0")</f>
        <v>0</v>
      </c>
      <c r="GF149" s="6">
        <f>COUNTIFS(Table48[Country],Tabela1[[#This Row],[Country]],Table48[Vault Classification],"&gt;0")</f>
        <v>0</v>
      </c>
      <c r="GG149" s="6">
        <f>COUNTIFS(Table919496[Country],Tabela1[[#This Row],[Country]],Table919496[Men''s Classification],"&gt;0")</f>
        <v>0</v>
      </c>
      <c r="GH149" s="6">
        <f>COUNTIFS(Table919496[Country],Tabela1[[#This Row],[Country]],Table919496[Women''s Classification],"&gt;0")</f>
        <v>0</v>
      </c>
      <c r="GI149" s="6">
        <f>COUNTIFS(Table12[Country],Tabela1[[#This Row],[Country]],Table12[60kg Classification],"&gt;0")</f>
        <v>0</v>
      </c>
      <c r="GJ149" s="6">
        <f>COUNTIFS(Table12[Country],Tabela1[[#This Row],[Country]],Table12[66kg Classification],"&gt;0")</f>
        <v>0</v>
      </c>
      <c r="GK149" s="6">
        <f>COUNTIFS(Table12[Country],Tabela1[[#This Row],[Country]],Table12[73kg Classification],"&gt;0")</f>
        <v>0</v>
      </c>
      <c r="GL149" s="6">
        <f>COUNTIFS(Table12[Country],Tabela1[[#This Row],[Country]],Table12[81kg Classification],"&gt;0")</f>
        <v>0</v>
      </c>
      <c r="GM149" s="6">
        <f>COUNTIFS(Table12[Country],Tabela1[[#This Row],[Country]],Table12[90kg Classification],"&gt;0")</f>
        <v>0</v>
      </c>
      <c r="GN149" s="6">
        <f>COUNTIFS(Table12[Country],Tabela1[[#This Row],[Country]],Table12[100kg Classification],"&gt;0")</f>
        <v>0</v>
      </c>
      <c r="GO149" s="6">
        <f>COUNTIFS(Table12[Country],Tabela1[[#This Row],[Country]],Table12[Plus 100kg Classification],"&gt;0")</f>
        <v>0</v>
      </c>
      <c r="GP149" s="6">
        <f>COUNTIFS(Table13[Country],Tabela1[[#This Row],[Country]],Table13[48kg Classification],"&gt;0")</f>
        <v>0</v>
      </c>
      <c r="GQ149" s="6">
        <f>COUNTIFS(Table13[Country],Tabela1[[#This Row],[Country]],Table13[52kg Classification],"&gt;0")</f>
        <v>0</v>
      </c>
      <c r="GR149" s="6">
        <f>COUNTIFS(Table13[Country],Tabela1[[#This Row],[Country]],Table13[57kg Classification],"&gt;0")</f>
        <v>0</v>
      </c>
      <c r="GS149" s="6">
        <f>COUNTIFS(Table13[Country],Tabela1[[#This Row],[Country]],Table13[63kg Classification],"&gt;0")</f>
        <v>0</v>
      </c>
      <c r="GT149" s="6">
        <f>COUNTIFS(Table13[Country],Tabela1[[#This Row],[Country]],Table13[70kg Classification],"&gt;0")</f>
        <v>0</v>
      </c>
      <c r="GU149" s="6">
        <f>COUNTIFS(Table13[Country],Tabela1[[#This Row],[Country]],Table13[78kg Classification],"&gt;0")</f>
        <v>0</v>
      </c>
      <c r="GV149" s="6">
        <f>COUNTIFS(Table13[Country],Tabela1[[#This Row],[Country]],Table13[Plus 78kg Classification],"&gt;0")</f>
        <v>0</v>
      </c>
      <c r="GW149" s="6">
        <f>COUNTIFS(Table82[Country],Tabela1[[#This Row],[Country]],Table82[Mixed Classification],"&gt;0")</f>
        <v>0</v>
      </c>
      <c r="GX149" s="6">
        <f>COUNTIFS(Table51[Country],Tabela1[[#This Row],[Country]],Table51[Classification],"&gt;0")</f>
        <v>0</v>
      </c>
      <c r="GY149" s="6">
        <f>COUNTIFS(Table52[Country],Tabela1[[#This Row],[Country]],Table52[Classification],"&gt;0")</f>
        <v>0</v>
      </c>
      <c r="GZ149" s="6">
        <f>COUNTIFS(Table32[Country],Tabela1[[#This Row],[Country]],Table32[All-Around Classification],"&gt;0")</f>
        <v>0</v>
      </c>
      <c r="HA149" s="6">
        <f>COUNTIFS(Table49[Country],Tabela1[[#This Row],[Country]],Table49[All-Around Classification],"&gt;0")</f>
        <v>0</v>
      </c>
      <c r="HB149" s="6">
        <f>COUNTIFS(Table26[Country],Tabela1[[#This Row],[Country]],Table26[Single Sculls Classification],"&gt;0")</f>
        <v>0</v>
      </c>
      <c r="HC149" s="6">
        <f>COUNTIFS(Table63[Country],Tabela1[[#This Row],[Country]],Table63[Single Sculls Classification],"&gt;0")</f>
        <v>0</v>
      </c>
      <c r="HD149" s="6">
        <f>COUNTIFS(Table16[Country],Tabela1[[#This Row],[Country]],Table16[Men''s Double Sculls Classification],"&gt;0")</f>
        <v>0</v>
      </c>
      <c r="HE149" s="6">
        <f>COUNTIFS(Table16[Country],Tabela1[[#This Row],[Country]],Table16[Women''s Double Sculls Classification],"&gt;0")</f>
        <v>0</v>
      </c>
      <c r="HF149" s="6">
        <f>COUNTIFS(Table72[Country],Tabela1[[#This Row],[Country]],Table72[Men''s Quadruple Sculls Classification],"&gt;0")</f>
        <v>0</v>
      </c>
      <c r="HG149" s="6">
        <f>COUNTIFS(Table72[Country],Tabela1[[#This Row],[Country]],Table72[Women''s Quadruple Sculls Classification],"&gt;0")</f>
        <v>0</v>
      </c>
      <c r="HH149" s="6">
        <f>COUNTIFS(Table16[Country],Tabela1[[#This Row],[Country]],Table16[Men''s Coxless Pairs Classification],"&gt;0")</f>
        <v>0</v>
      </c>
      <c r="HI149" s="6">
        <f>COUNTIFS(Table16[Country],Tabela1[[#This Row],[Country]],Table16[Women''s Coxless Pairs Classification],"&gt;0")</f>
        <v>0</v>
      </c>
      <c r="HJ149" s="6">
        <f>COUNTIFS(Table72[Country],Tabela1[[#This Row],[Country]],Table72[Men''s Coxless Fours Classification],"&gt;0")</f>
        <v>0</v>
      </c>
      <c r="HK149" s="6">
        <f>COUNTIFS(Table72[Country],Tabela1[[#This Row],[Country]],Table72[Women''s Coxless Fours Classification],"&gt;0")</f>
        <v>0</v>
      </c>
      <c r="HL149" s="6">
        <f>COUNTIFS(Table72[Country],Tabela1[[#This Row],[Country]],Table72[Men''s Eights Classification],"&gt;0")</f>
        <v>0</v>
      </c>
      <c r="HM149" s="6">
        <f>COUNTIFS(Table72[Country],Tabela1[[#This Row],[Country]],Table72[Women''s Eights Classification],"&gt;0")</f>
        <v>0</v>
      </c>
      <c r="HN149" s="6">
        <f>COUNTIFS(Table16[Country],Tabela1[[#This Row],[Country]],Table16[Men''s Lwt. Double Sculls Classification],"&gt;0")</f>
        <v>0</v>
      </c>
      <c r="HO149" s="6">
        <f>COUNTIFS(Table16[Country],Tabela1[[#This Row],[Country]],Table16[Women''s Lwt. Double Sculls Classification],"&gt;0")</f>
        <v>0</v>
      </c>
      <c r="HP149" s="6">
        <f>COUNTIFS(Table91949698[Country],Tabela1[[#This Row],[Country]],Table91949698[Men''s Classification],"&gt;0")</f>
        <v>0</v>
      </c>
      <c r="HQ149" s="6">
        <f>COUNTIFS(Table91949698[Country],Tabela1[[#This Row],[Country]],Table91949698[Women''s Classification],"&gt;0")</f>
        <v>0</v>
      </c>
      <c r="HR149" s="6">
        <f>COUNTIFS(Table25[Country],Tabela1[[#This Row],[Country]],Table25[Mixed 470 Classification],"&gt;0")</f>
        <v>0</v>
      </c>
      <c r="HS149" s="6">
        <f>COUNTIFS(Table25[Country],Tabela1[[#This Row],[Country]],Table25[Men''s 49er Classification],"&gt;0")</f>
        <v>0</v>
      </c>
      <c r="HT149" s="6">
        <f>COUNTIFS(Table25[Country],Tabela1[[#This Row],[Country]],Table25[Women''s 49er FX Classification],"&gt;0")</f>
        <v>0</v>
      </c>
      <c r="HU149" s="6">
        <f>COUNTIFS(Table17[Country],Tabela1[[#This Row],[Country]],Table17[Formula Kite Classification],"&gt;0")</f>
        <v>0</v>
      </c>
      <c r="HV149" s="6">
        <f>COUNTIFS(Table18[Country],Tabela1[[#This Row],[Country]],Table18[Formula Kite Classification],"&gt;0")</f>
        <v>0</v>
      </c>
      <c r="HW149" s="6">
        <f>COUNTIFS(Table17[Country],Tabela1[[#This Row],[Country]],Table17[ILCA 7 Classification],"&gt;0")</f>
        <v>0</v>
      </c>
      <c r="HX149" s="6">
        <f>COUNTIFS(Table18[Country],Tabela1[[#This Row],[Country]],Table18[ILCA 6 Classification],"&gt;0")</f>
        <v>0</v>
      </c>
      <c r="HY149" s="6">
        <f>COUNTIFS(Table17[Country],Tabela1[[#This Row],[Country]],Table17[IQFoil Classification],"&gt;0")</f>
        <v>0</v>
      </c>
      <c r="HZ149" s="6">
        <f>COUNTIFS(Table18[Country],Tabela1[[#This Row],[Country]],Table18[IQFoil Classification],"&gt;0")</f>
        <v>0</v>
      </c>
      <c r="IA149" s="6">
        <f>COUNTIFS(Table25[Country],Tabela1[[#This Row],[Country]],Table25[Mixed Nacra 17 Classification],"&gt;0")</f>
        <v>0</v>
      </c>
      <c r="IB149" s="6">
        <f>COUNTIFS(Table53[Country],Tabela1[[#This Row],[Country]],Table53[10m Air Pistol Classification],"&gt;0")</f>
        <v>0</v>
      </c>
      <c r="IC149" s="6">
        <f>COUNTIFS(Table19[Country],Tabela1[[#This Row],[Country]],Table19[10m Air Pistol Classification],"&gt;0")</f>
        <v>0</v>
      </c>
      <c r="ID149" s="6">
        <f>COUNTIFS(Table54[Country],Tabela1[[#This Row],[Country]],Table54[Mixed 10m Air Pistol Team Classification],"&gt;0")</f>
        <v>0</v>
      </c>
      <c r="IE149" s="6">
        <f>COUNTIFS(Table53[Country],Tabela1[[#This Row],[Country]],Table53[10m Air Rifle Classification],"&gt;0")</f>
        <v>0</v>
      </c>
      <c r="IF149" s="6">
        <f>COUNTIFS(Table19[Country],Tabela1[[#This Row],[Country]],Table19[10m Air Rifle Classification],"&gt;0")</f>
        <v>0</v>
      </c>
      <c r="IG149" s="6">
        <f>COUNTIFS(Table54[Country],Tabela1[[#This Row],[Country]],Table54[Mixed 10m Air Rifle Team Classification],"&gt;0")</f>
        <v>0</v>
      </c>
      <c r="IH149" s="6">
        <f>COUNTIFS(Table53[Country],Tabela1[[#This Row],[Country]],Table53[25m Rapid Fire Pistol Classification],"&gt;0")</f>
        <v>0</v>
      </c>
      <c r="II149" s="6">
        <f>COUNTIFS(Table19[Country],Tabela1[[#This Row],[Country]],Table19[25m Pistol Classification],"&gt;0")</f>
        <v>0</v>
      </c>
      <c r="IJ149" s="6">
        <f>COUNTIFS(Table53[Country],Tabela1[[#This Row],[Country]],Table53[50m Rifle 3 Positions Classification],"&gt;0")</f>
        <v>0</v>
      </c>
      <c r="IK149" s="6">
        <f>COUNTIFS(Table19[Country],Tabela1[[#This Row],[Country]],Table19[50m Rifle 3 Positions Classification],"&gt;0")</f>
        <v>0</v>
      </c>
      <c r="IL149" s="6">
        <f>COUNTIFS(Table53[Country],Tabela1[[#This Row],[Country]],Table53[Skeet Classification],"&gt;0")</f>
        <v>0</v>
      </c>
      <c r="IM149" s="6">
        <f>COUNTIFS(Table19[Country],Tabela1[[#This Row],[Country]],Table19[Skeet Classification],"&gt;0")</f>
        <v>0</v>
      </c>
      <c r="IN149" s="6">
        <f>COUNTIFS(Table54[Country],Tabela1[[#This Row],[Country]],Table54[Mixed Skeet Team Classification],"&gt;0")</f>
        <v>0</v>
      </c>
      <c r="IO149" s="6">
        <f>COUNTIFS(Table53[Country],Tabela1[[#This Row],[Country]],Table53[Trap Classification],"&gt;0")</f>
        <v>0</v>
      </c>
      <c r="IP149" s="6">
        <f>COUNTIFS(Table19[Country],Tabela1[[#This Row],[Country]],Table19[Trap Classification],"&gt;0")</f>
        <v>0</v>
      </c>
      <c r="IQ149" s="6">
        <f>COUNTIFS(Table73[Country],Tabela1[[#This Row],[Country]],Table73[Park Classification],"&gt;0")</f>
        <v>0</v>
      </c>
      <c r="IR149" s="6">
        <f>COUNTIFS(Table74[Country],Tabela1[[#This Row],[Country]],Table74[Park Classification],"&gt;0")</f>
        <v>0</v>
      </c>
      <c r="IS149" s="6">
        <f>COUNTIFS(Table73[Country],Tabela1[[#This Row],[Country]],Table73[Street Classification],"&gt;0")</f>
        <v>0</v>
      </c>
      <c r="IT149" s="6">
        <f>COUNTIFS(Table74[Country],Tabela1[[#This Row],[Country]],Table74[Street Classification],"&gt;0")</f>
        <v>0</v>
      </c>
      <c r="IU149" s="6">
        <f>COUNTIFS(Table75[Country],Tabela1[[#This Row],[Country]],Table75[Boulder and Lead Classification],"&gt;0")</f>
        <v>0</v>
      </c>
      <c r="IV149" s="6">
        <f>COUNTIFS(Table76[Country],Tabela1[[#This Row],[Country]],Table76[Boulder and Lead Classification],"&gt;0")</f>
        <v>0</v>
      </c>
      <c r="IW149" s="6">
        <f>COUNTIFS(Table75[Country],Tabela1[[#This Row],[Country]],Table75[Speed Classification],"&gt;0")</f>
        <v>0</v>
      </c>
      <c r="IX149" s="6">
        <f>COUNTIFS(Table76[Country],Tabela1[[#This Row],[Country]],Table76[Speed Classification],"&gt;0")</f>
        <v>0</v>
      </c>
      <c r="IY149" s="6">
        <f>COUNTIFS(Table64[Country],Tabela1[[#This Row],[Country]],Table64[Shortboard Classification],"&gt;0")</f>
        <v>0</v>
      </c>
      <c r="IZ149" s="6">
        <f>COUNTIFS(Table77[Country],Tabela1[[#This Row],[Country]],Table77[Shortboard Classification],"&gt;0")</f>
        <v>0</v>
      </c>
      <c r="JA149" s="6">
        <f>COUNTIFS(Table20[Country],Tabela1[[#This Row],[Country]],Table20[50m Freestyle Classification],"&gt;0")</f>
        <v>0</v>
      </c>
      <c r="JB149" s="6">
        <f>COUNTIFS(Table21[Country],Tabela1[[#This Row],[Country]],Table21[50m Freestyle Classification],"&gt;0")</f>
        <v>0</v>
      </c>
      <c r="JC149" s="6">
        <f>COUNTIFS(Table20[Country],Tabela1[[#This Row],[Country]],Table20[100m Freestyle Classification],"&gt;0")</f>
        <v>1</v>
      </c>
      <c r="JD149" s="6">
        <f>COUNTIFS(Table21[Country],Tabela1[[#This Row],[Country]],Table21[100m Freestyle Classification],"&gt;0")</f>
        <v>0</v>
      </c>
      <c r="JE149" s="6">
        <f>COUNTIFS(Table20[Country],Tabela1[[#This Row],[Country]],Table20[200m Freestyle Classification],"&gt;0")</f>
        <v>0</v>
      </c>
      <c r="JF149" s="6">
        <f>COUNTIFS(Table21[Country],Tabela1[[#This Row],[Country]],Table21[200m Freestyle Classification],"&gt;0")</f>
        <v>0</v>
      </c>
      <c r="JG149" s="6">
        <f>COUNTIFS(Table20[Country],Tabela1[[#This Row],[Country]],Table20[400m Freestyle Classification],"&gt;0")</f>
        <v>0</v>
      </c>
      <c r="JH149" s="6">
        <f>COUNTIFS(Table21[Country],Tabela1[[#This Row],[Country]],Table21[400m Freestyle Classification],"&gt;0")</f>
        <v>0</v>
      </c>
      <c r="JI149" s="6">
        <f>COUNTIFS(Table20[Country],Tabela1[[#This Row],[Country]],Table20[800m Freestyle Classification],"&gt;0")</f>
        <v>0</v>
      </c>
      <c r="JJ149" s="6">
        <f>COUNTIFS(Table21[Country],Tabela1[[#This Row],[Country]],Table21[800m Freestyle Classification],"&gt;0")</f>
        <v>0</v>
      </c>
      <c r="JK149" s="6">
        <f>COUNTIFS(Table20[Country],Tabela1[[#This Row],[Country]],Table20[1500m Freestyle Classification],"&gt;0")</f>
        <v>0</v>
      </c>
      <c r="JL149" s="6">
        <f>COUNTIFS(Table21[Country],Tabela1[[#This Row],[Country]],Table21[1500m Freestyle Classification],"&gt;0")</f>
        <v>0</v>
      </c>
      <c r="JM149" s="6">
        <f>COUNTIFS(Table20[Country],Tabela1[[#This Row],[Country]],Table20[100m Backstroke Classification],"&gt;0")</f>
        <v>0</v>
      </c>
      <c r="JN149" s="6">
        <f>COUNTIFS(Table21[Country],Tabela1[[#This Row],[Country]],Table21[100m Backstroke Classification],"&gt;0")</f>
        <v>0</v>
      </c>
      <c r="JO149" s="6">
        <f>COUNTIFS(Table20[Country],Tabela1[[#This Row],[Country]],Table20[200m Backstroke Classification],"&gt;0")</f>
        <v>0</v>
      </c>
      <c r="JP149" s="6">
        <f>COUNTIFS(Table21[Country],Tabela1[[#This Row],[Country]],Table21[200m Backstroke Classification],"&gt;0")</f>
        <v>0</v>
      </c>
      <c r="JQ149" s="6">
        <f>COUNTIFS(Table20[Country],Tabela1[[#This Row],[Country]],Table20[100m Breaststroke Classification],"&gt;0")</f>
        <v>0</v>
      </c>
      <c r="JR149" s="6">
        <f>COUNTIFS(Table21[Country],Tabela1[[#This Row],[Country]],Table21[100m Breaststroke Classification],"&gt;0")</f>
        <v>0</v>
      </c>
      <c r="JS149" s="6">
        <f>COUNTIFS(Table20[Country],Tabela1[[#This Row],[Country]],Table20[200m Breaststroke Classification],"&gt;0")</f>
        <v>0</v>
      </c>
      <c r="JT149" s="6">
        <f>COUNTIFS(Table21[Country],Tabela1[[#This Row],[Country]],Table21[200m Breaststroke Classification],"&gt;0")</f>
        <v>0</v>
      </c>
      <c r="JU149" s="6">
        <f>COUNTIFS(Table20[Country],Tabela1[[#This Row],[Country]],Table20[100m Butterfly Classification],"&gt;0")</f>
        <v>0</v>
      </c>
      <c r="JV149" s="6">
        <f>COUNTIFS(Table21[Country],Tabela1[[#This Row],[Country]],Table21[100m Butterfly Classification],"&gt;0")</f>
        <v>0</v>
      </c>
      <c r="JW149" s="6">
        <f>COUNTIFS(Table20[Country],Tabela1[[#This Row],[Country]],Table20[200m Butterfly Classification],"&gt;0")</f>
        <v>0</v>
      </c>
      <c r="JX149" s="6">
        <f>COUNTIFS(Table21[Country],Tabela1[[#This Row],[Country]],Table21[200m Butterfly Classification],"&gt;0")</f>
        <v>0</v>
      </c>
      <c r="JY149" s="6">
        <f>COUNTIFS(Table20[Country],Tabela1[[#This Row],[Country]],Table20[200m Medley Classification],"&gt;0")</f>
        <v>0</v>
      </c>
      <c r="JZ149" s="6">
        <f>COUNTIFS(Table21[Country],Tabela1[[#This Row],[Country]],Table21[200m Medley Classification],"&gt;0")</f>
        <v>0</v>
      </c>
      <c r="KA149" s="6">
        <f>COUNTIFS(Table20[Country],Tabela1[[#This Row],[Country]],Table20[400m Medley Classification],"&gt;0")</f>
        <v>0</v>
      </c>
      <c r="KB149" s="6">
        <f>COUNTIFS(Table21[Country],Tabela1[[#This Row],[Country]],Table21[400m Medley Classification],"&gt;0")</f>
        <v>0</v>
      </c>
      <c r="KC149" s="6">
        <f>COUNTIFS(Table78[Country],Tabela1[[#This Row],[Country]],Table78[Men''s 4x100m Freestyle Relay Classification],"&gt;0")</f>
        <v>0</v>
      </c>
      <c r="KD149" s="6">
        <f>COUNTIFS(Table78[Country],Tabela1[[#This Row],[Country]],Table78[Women''s 4x100m Freestyle Relay Classification],"&gt;0")</f>
        <v>0</v>
      </c>
      <c r="KE149" s="6">
        <f>COUNTIFS(Table78[Country],Tabela1[[#This Row],[Country]],Table78[Men''s 4x200m Freestyle Relay Classification],"&gt;0")</f>
        <v>0</v>
      </c>
      <c r="KF149" s="6">
        <f>COUNTIFS(Table78[Country],Tabela1[[#This Row],[Country]],Table78[Women''s 4x200m Freestyle Relay Classification],"&gt;0")</f>
        <v>0</v>
      </c>
      <c r="KG149" s="6">
        <f>COUNTIFS(Table78[Country],Tabela1[[#This Row],[Country]],Table78[Men''s 4x100m Medley Relay Classification],"&gt;0")</f>
        <v>0</v>
      </c>
      <c r="KH149" s="6">
        <f>COUNTIFS(Table78[Country],Tabela1[[#This Row],[Country]],Table78[Women''s 4x100m Medley Relay Classification],"&gt;0")</f>
        <v>0</v>
      </c>
      <c r="KI149" s="6">
        <f>COUNTIFS(Table78[Country],Tabela1[[#This Row],[Country]],Table78[Mixed 4x100m Medley Relay Classification],"&gt;0")</f>
        <v>0</v>
      </c>
      <c r="KJ149" s="6">
        <f>COUNTIFS(Table20[Country],Tabela1[[#This Row],[Country]],Table20[10km Open Water Classification],"&gt;0")</f>
        <v>0</v>
      </c>
      <c r="KK149" s="6">
        <f>COUNTIFS(Table21[Country],Tabela1[[#This Row],[Country]],Table21[10km Open Water Classification],"&gt;0")</f>
        <v>0</v>
      </c>
      <c r="KL149" s="6">
        <f>COUNTIFS(Table22[Country],Tabela1[[#This Row],[Country]],Table22[Classification],"&gt;0")</f>
        <v>0</v>
      </c>
      <c r="KM149" s="6">
        <f>COUNTIFS(Table30[Country],Tabela1[[#This Row],[Country]],Table30[Classification],"&gt;0")</f>
        <v>0</v>
      </c>
      <c r="KN149" s="6">
        <f>COUNTIFS(Table55[Country],Tabela1[[#This Row],[Country]],Table55[Men''s Classification],"&gt;0")</f>
        <v>0</v>
      </c>
      <c r="KO149" s="6">
        <f>COUNTIFS(Table55[Country],Tabela1[[#This Row],[Country]],Table55[Women''s Classification],"&gt;0")</f>
        <v>0</v>
      </c>
      <c r="KP149" s="6">
        <f>COUNTIFS(Table56[Country],Tabela1[[#This Row],[Country]],Table56[Mixed Classification],"&gt;0")</f>
        <v>0</v>
      </c>
      <c r="KQ149" s="6">
        <f>COUNTIFS(Table29[Country],Tabela1[[#This Row],[Country]],Table29[58kg Classification],"&gt;0")</f>
        <v>0</v>
      </c>
      <c r="KR149" s="6">
        <f>COUNTIFS(Table29[Country],Tabela1[[#This Row],[Country]],Table29[68kg Classification],"&gt;0")</f>
        <v>0</v>
      </c>
      <c r="KS149" s="6">
        <f>COUNTIFS(Table29[Country],Tabela1[[#This Row],[Country]],Table29[80kg Classification],"&gt;0")</f>
        <v>0</v>
      </c>
      <c r="KT149" s="6">
        <f>COUNTIFS(Table29[Country],Tabela1[[#This Row],[Country]],Table29[Plus 80kg Classification],"&gt;0")</f>
        <v>0</v>
      </c>
      <c r="KU149" s="6">
        <f>COUNTIFS(Table34[Country],Tabela1[[#This Row],[Country]],Table34[49kg Classification],"&gt;0")</f>
        <v>0</v>
      </c>
      <c r="KV149" s="6">
        <f>COUNTIFS(Table34[Country],Tabela1[[#This Row],[Country]],Table34[57kg Classification],"&gt;0")</f>
        <v>0</v>
      </c>
      <c r="KW149" s="6">
        <f>COUNTIFS(Table34[Country],Tabela1[[#This Row],[Country]],Table34[67kg Classification],"&gt;0")</f>
        <v>0</v>
      </c>
      <c r="KX149" s="6">
        <f>COUNTIFS(Table34[Country],Tabela1[[#This Row],[Country]],Table34[Plus 67kg Classification],"&gt;0")</f>
        <v>0</v>
      </c>
      <c r="KY149" s="6">
        <f>COUNTIFS(Table57[Country],Tabela1[[#This Row],[Country]],Table57[Classification],"&gt;0")</f>
        <v>0</v>
      </c>
      <c r="KZ149" s="6">
        <f>COUNTIFS(Table58[Country],Tabela1[[#This Row],[Country]],Table58[Classification],"&gt;0")</f>
        <v>0</v>
      </c>
      <c r="LA149" s="6">
        <f>COUNTIFS(Table79[Country],Tabela1[[#This Row],[Country]],Table79[Men''s Classification],"&gt;0")</f>
        <v>0</v>
      </c>
      <c r="LB149" s="6">
        <f>COUNTIFS(Table79[Country],Tabela1[[#This Row],[Country]],Table79[Women''s Classification],"&gt;0")</f>
        <v>0</v>
      </c>
      <c r="LC149" s="6">
        <f>COUNTIFS(Table79[Country],Tabela1[[#This Row],[Country]],Table79[Mixed Classification],"&gt;0")</f>
        <v>0</v>
      </c>
      <c r="LD149" s="6">
        <f>COUNTIFS(Table65[Country],Tabela1[[#This Row],[Country]],Table65[Classification],"&gt;0")</f>
        <v>0</v>
      </c>
      <c r="LE149" s="6">
        <f>COUNTIFS(Table59[Country],Tabela1[[#This Row],[Country]],Table59[Classification],"&gt;0")</f>
        <v>0</v>
      </c>
      <c r="LF149" s="6">
        <f>COUNTIFS(Table87[Country],Tabela1[[#This Row],[Country]],Table87[Mixed Relay Classification],"&gt;0")</f>
        <v>0</v>
      </c>
      <c r="LG149" s="6">
        <f>COUNTIFS(Table91949698100[Country],Tabela1[[#This Row],[Country]],Table91949698100[Men''s Classification],"&gt;0")</f>
        <v>0</v>
      </c>
      <c r="LH149" s="6">
        <f>COUNTIFS(Table91949698100[Country],Tabela1[[#This Row],[Country]],Table91949698100[Women''s Classification],"&gt;0")</f>
        <v>0</v>
      </c>
      <c r="LI149" s="6">
        <f>COUNTIFS(Table91949698100102[Country],Tabela1[[#This Row],[Country]],Table91949698100102[Men''s Classification],"&gt;0")</f>
        <v>0</v>
      </c>
      <c r="LJ149" s="6">
        <f>COUNTIFS(Table91949698100102[Country],Tabela1[[#This Row],[Country]],Table91949698100102[Women''s Classification],"&gt;0")</f>
        <v>0</v>
      </c>
      <c r="LK149" s="6">
        <f>COUNTIFS(Table23[Country],Tabela1[[#This Row],[Country]],Table23[61kg Classification],"&gt;0")</f>
        <v>0</v>
      </c>
      <c r="LL149" s="6">
        <f>COUNTIFS(Table23[Country],Tabela1[[#This Row],[Country]],Table23[73kg Classification],"&gt;0")</f>
        <v>0</v>
      </c>
      <c r="LM149" s="6">
        <f>COUNTIFS(Table23[Country],Tabela1[[#This Row],[Country]],Table23[89kg Classification],"&gt;0")</f>
        <v>0</v>
      </c>
      <c r="LN149" s="6">
        <f>COUNTIFS(Table23[Country],Tabela1[[#This Row],[Country]],Table23[102kg Classification],"&gt;0")</f>
        <v>0</v>
      </c>
      <c r="LO149" s="6">
        <f>COUNTIFS(Table23[Country],Tabela1[[#This Row],[Country]],Table23[Plus 102kg Classification],"&gt;0")</f>
        <v>0</v>
      </c>
      <c r="LP149" s="6">
        <f>COUNTIFS(Table28[Country],Tabela1[[#This Row],[Country]],Table28[49kg Classification],"&gt;0")</f>
        <v>0</v>
      </c>
      <c r="LQ149" s="6">
        <f>COUNTIFS(Table28[Country],Tabela1[[#This Row],[Country]],Table28[59kg Classification],"&gt;0")</f>
        <v>0</v>
      </c>
      <c r="LR149" s="6">
        <f>COUNTIFS(Table28[Country],Tabela1[[#This Row],[Country]],Table28[71kg Classification],"&gt;0")</f>
        <v>0</v>
      </c>
      <c r="LS149" s="6">
        <f>COUNTIFS(Table28[Country],Tabela1[[#This Row],[Country]],Table28[81kg Classification],"&gt;0")</f>
        <v>0</v>
      </c>
      <c r="LT149" s="6">
        <f>COUNTIFS(Table28[Country],Tabela1[[#This Row],[Country]],Table28[Plus 81kg Classification],"&gt;0")</f>
        <v>0</v>
      </c>
      <c r="LU149" s="6">
        <f>COUNTIFS(Table24[Country],Tabela1[[#This Row],[Country]],Table24[Freestyle 57kg Classification],"&gt;0")</f>
        <v>0</v>
      </c>
      <c r="LV149" s="6">
        <f>COUNTIFS(Table24[Country],Tabela1[[#This Row],[Country]],Table24[Freestyle 65kg Classification],"&gt;0")</f>
        <v>0</v>
      </c>
      <c r="LW149" s="6">
        <f>COUNTIFS(Table24[Country],Tabela1[[#This Row],[Country]],Table24[Freestyle 74kg Classification],"&gt;0")</f>
        <v>0</v>
      </c>
      <c r="LX149" s="6">
        <f>COUNTIFS(Table24[Country],Tabela1[[#This Row],[Country]],Table24[Freestyle 86kg Classification],"&gt;0")</f>
        <v>0</v>
      </c>
      <c r="LY149" s="6">
        <f>COUNTIFS(Table24[Country],Tabela1[[#This Row],[Country]],Table24[Freestyle 97kg Classification],"&gt;0")</f>
        <v>0</v>
      </c>
      <c r="LZ149" s="6">
        <f>COUNTIFS(Table24[Country],Tabela1[[#This Row],[Country]],Table24[Freestyle 125kg Classification],"&gt;0")</f>
        <v>0</v>
      </c>
      <c r="MA149" s="6">
        <f>COUNTIFS(Table24[Country],Tabela1[[#This Row],[Country]],Table24[Greco-Roman 60kg Classification],"&gt;0")</f>
        <v>0</v>
      </c>
      <c r="MB149" s="6">
        <f>COUNTIFS(Table24[Country],Tabela1[[#This Row],[Country]],Table24[Greco-Roman 67kg Classification],"&gt;0")</f>
        <v>0</v>
      </c>
      <c r="MC149" s="6">
        <f>COUNTIFS(Table24[Country],Tabela1[[#This Row],[Country]],Table24[Greco-Roman 77kg Classification],"&gt;0")</f>
        <v>0</v>
      </c>
      <c r="MD149" s="6">
        <f>COUNTIFS(Table24[Country],Tabela1[[#This Row],[Country]],Table24[Greco-Roman 87kg Classification],"&gt;0")</f>
        <v>0</v>
      </c>
      <c r="ME149" s="6">
        <f>COUNTIFS(Table24[Country],Tabela1[[#This Row],[Country]],Table24[Greco-Roman 97kg Classification],"&gt;0")</f>
        <v>0</v>
      </c>
      <c r="MF149" s="6">
        <f>COUNTIFS(Table24[Country],Tabela1[[#This Row],[Country]],Table24[Greco-Roman 130kg Classification],"&gt;0")</f>
        <v>0</v>
      </c>
      <c r="MG149" s="6">
        <f>COUNTIFS(Table31[Country],Tabela1[[#This Row],[Country]],Table31[50kg Classification],"&gt;0")</f>
        <v>0</v>
      </c>
      <c r="MH149" s="6">
        <f>COUNTIFS(Table31[Country],Tabela1[[#This Row],[Country]],Table31[53kg Classification],"&gt;0")</f>
        <v>0</v>
      </c>
      <c r="MI149" s="6">
        <f>COUNTIFS(Table31[Country],Tabela1[[#This Row],[Country]],Table31[57kg Classification],"&gt;0")</f>
        <v>0</v>
      </c>
      <c r="MJ149" s="6">
        <f>COUNTIFS(Table31[Country],Tabela1[[#This Row],[Country]],Table31[62kg Classification],"&gt;0")</f>
        <v>0</v>
      </c>
      <c r="MK149" s="6">
        <f>COUNTIFS(Table31[Country],Tabela1[[#This Row],[Country]],Table31[68kg Classification],"&gt;0")</f>
        <v>0</v>
      </c>
      <c r="ML149" s="6">
        <f>COUNTIFS(Table31[Country],Tabela1[[#This Row],[Country]],Table31[76kg Classification],"&gt;0")</f>
        <v>0</v>
      </c>
      <c r="MM149" s="6">
        <f>COUNTIFS(Table102[Country],Tabela1[[#This Row],[Country]],Table102[Downhill Classification],"&gt;0")</f>
        <v>0</v>
      </c>
      <c r="MN149" s="6">
        <f>COUNTIFS(Table102105[Country],Tabela1[[#This Row],[Country]],Table102105[Downhill Classification],"&gt;0")</f>
        <v>0</v>
      </c>
      <c r="MO149" s="6">
        <f>COUNTIFS(Table102[Country],Tabela1[[#This Row],[Country]],Table102[Giant Slalom Classification],"&gt;0")</f>
        <v>0</v>
      </c>
      <c r="MP149" s="6">
        <f>COUNTIFS(Table102105[Country],Tabela1[[#This Row],[Country]],Table102105[Giant Slalom Classification],"&gt;0")</f>
        <v>0</v>
      </c>
      <c r="MQ149" s="6">
        <f>COUNTIFS(Table102[Country],Tabela1[[#This Row],[Country]],Table102[Slalom Classification],"&gt;0")</f>
        <v>0</v>
      </c>
      <c r="MR149" s="6">
        <f>COUNTIFS(Table102105[Country],Tabela1[[#This Row],[Country]],Table102105[Slalom Classification],"&gt;0")</f>
        <v>0</v>
      </c>
      <c r="MS149" s="6">
        <f>COUNTIFS(Table102[Country],Tabela1[[#This Row],[Country]],Table102[Super-G Classification],"&gt;0")</f>
        <v>0</v>
      </c>
      <c r="MT149" s="6">
        <f>COUNTIFS(Table102105[Country],Tabela1[[#This Row],[Country]],Table102105[Super-G Classification],"&gt;0")</f>
        <v>0</v>
      </c>
      <c r="MU149" s="6">
        <f>COUNTIFS(Table105[Country],Tabela1[[#This Row],[Country]],Table105[Men''s Combined Classification],"&gt;0")</f>
        <v>0</v>
      </c>
      <c r="MV149" s="6">
        <f>COUNTIFS(Table105[Country],Tabela1[[#This Row],[Country]],Table105[Women''s Combined Classification],"&gt;0")</f>
        <v>0</v>
      </c>
      <c r="MW149" s="6">
        <f>COUNTIFS(Table106[Country],Tabela1[[#This Row],[Country]],Table106[Individual Classification],"&gt;0")</f>
        <v>0</v>
      </c>
      <c r="MX149" s="6">
        <f>COUNTIFS(Table106109[Country],Tabela1[[#This Row],[Country]],Table106109[Individual Classification],"&gt;0")</f>
        <v>0</v>
      </c>
      <c r="MY149" s="6">
        <f>COUNTIFS(Table106[Country],Tabela1[[#This Row],[Country]],Table106[Mass Start Classification],"&gt;0")</f>
        <v>0</v>
      </c>
      <c r="MZ149" s="6">
        <f>COUNTIFS(Table106109[Country],Tabela1[[#This Row],[Country]],Table106109[Mass Start Classification],"&gt;0")</f>
        <v>0</v>
      </c>
      <c r="NA149" s="6">
        <f>COUNTIFS(Table106[Country],Tabela1[[#This Row],[Country]],Table106[Pursuit Classification],"&gt;0")</f>
        <v>0</v>
      </c>
      <c r="NB149" s="6">
        <f>COUNTIFS(Table106109[Country],Tabela1[[#This Row],[Country]],Table106109[Pursuit Classification],"&gt;0")</f>
        <v>0</v>
      </c>
      <c r="NC149" s="6">
        <f>COUNTIFS(Table106[Country],Tabela1[[#This Row],[Country]],Table106[Sprint Classification],"&gt;0")</f>
        <v>0</v>
      </c>
      <c r="ND149" s="6">
        <f>COUNTIFS(Table106109[Country],Tabela1[[#This Row],[Country]],Table106109[Sprint Classification],"&gt;0")</f>
        <v>0</v>
      </c>
      <c r="NE149" s="6">
        <f>COUNTIFS(Table109[Country],Tabela1[[#This Row],[Country]],Table109[Men''s Relay Classification],"&gt;0")</f>
        <v>0</v>
      </c>
      <c r="NF149" s="6">
        <f>COUNTIFS(Table109[Country],Tabela1[[#This Row],[Country]],Table109[Women''s Relay Classification],"&gt;0")</f>
        <v>0</v>
      </c>
      <c r="NG149" s="6">
        <f>COUNTIFS(Table109[Country],Tabela1[[#This Row],[Country]],Table109[Mixed Relay Classification],"&gt;0")</f>
        <v>0</v>
      </c>
      <c r="NH149" s="6">
        <f>COUNTIFS(Table110[Country],Tabela1[[#This Row],[Country]],Table110[Monobob Classification],"&gt;0")</f>
        <v>0</v>
      </c>
      <c r="NI149" s="6">
        <f>COUNTIFS(Table111[Country],Tabela1[[#This Row],[Country]],Table111[Men''s Classification],"&gt;0")</f>
        <v>0</v>
      </c>
      <c r="NJ149" s="6">
        <f>COUNTIFS(Table111[Country],Tabela1[[#This Row],[Country]],Table111[Women''s Classification],"&gt;0")</f>
        <v>0</v>
      </c>
      <c r="NK149" s="6">
        <f>COUNTIFS(Table112[Country],Tabela1[[#This Row],[Country]],Table112[Men''s Four Classification],"&gt;0")</f>
        <v>0</v>
      </c>
      <c r="NL149" s="6">
        <f>COUNTIFS(Table113[Country],Tabela1[[#This Row],[Country]],Table113[Classical Classification],"&gt;0")</f>
        <v>0</v>
      </c>
      <c r="NM149" s="6">
        <f>COUNTIFS(Table113116[Country],Tabela1[[#This Row],[Country]],Table113116[Classical Classification],"&gt;0")</f>
        <v>0</v>
      </c>
      <c r="NN149" s="6">
        <f>COUNTIFS(Table113[Country],Tabela1[[#This Row],[Country]],Table113[Freestyle Classification],"&gt;0")</f>
        <v>0</v>
      </c>
      <c r="NO149" s="6">
        <f>COUNTIFS(Table113116[Country],Tabela1[[#This Row],[Country]],Table113116[Freestyle Classification],"&gt;0")</f>
        <v>0</v>
      </c>
      <c r="NP149" s="6">
        <f>COUNTIFS(Table117[Country],Tabela1[[#This Row],[Country]],Table117[Men''s Relay Classification],"&gt;0")</f>
        <v>0</v>
      </c>
      <c r="NQ149" s="6">
        <f>COUNTIFS(Table117[Country],Tabela1[[#This Row],[Country]],Table117[Women''s Relay Classification],"&gt;0")</f>
        <v>0</v>
      </c>
      <c r="NR149" s="6">
        <f>COUNTIFS(Table113[Country],Tabela1[[#This Row],[Country]],Table113[Skiathlon Classification],"&gt;0")</f>
        <v>0</v>
      </c>
      <c r="NS149" s="6">
        <f>COUNTIFS(Table113116[Country],Tabela1[[#This Row],[Country]],Table113116[Skiathlon Classification],"&gt;0")</f>
        <v>0</v>
      </c>
      <c r="NT149" s="6">
        <f>COUNTIFS(Table113[Country],Tabela1[[#This Row],[Country]],Table113[Sprint Classification],"&gt;0")</f>
        <v>0</v>
      </c>
      <c r="NU149" s="6">
        <f>COUNTIFS(Table113116[Country],Tabela1[[#This Row],[Country]],Table113116[Sprint Classification],"&gt;0")</f>
        <v>0</v>
      </c>
      <c r="NV149" s="6">
        <f>COUNTIFS(Table116[Country],Tabela1[[#This Row],[Country]],Table116[Men''s Team Sprint Classification],"&gt;0")</f>
        <v>0</v>
      </c>
      <c r="NW149" s="6">
        <f>COUNTIFS(Table116[Country],Tabela1[[#This Row],[Country]],Table116[Women''s Team Sprint Classification],"&gt;0")</f>
        <v>0</v>
      </c>
      <c r="NX149" s="6">
        <f>COUNTIFS(Table119[Country],Tabela1[[#This Row],[Country]],Table119[Men''s Classification],"&gt;0")</f>
        <v>0</v>
      </c>
      <c r="NY149" s="6">
        <f>COUNTIFS(Table119[Country],Tabela1[[#This Row],[Country]],Table119[Women''s Classification],"&gt;0")</f>
        <v>0</v>
      </c>
      <c r="NZ149" s="6">
        <f>COUNTIFS(Table118[Country],Tabela1[[#This Row],[Country]],Table118[Mixed Classification],"&gt;0")</f>
        <v>0</v>
      </c>
      <c r="OA149" s="6">
        <f>COUNTIFS(Table120[Country],Tabela1[[#This Row],[Country]],Table120[Classification],"&gt;0")</f>
        <v>0</v>
      </c>
      <c r="OB149" s="6">
        <f>COUNTIFS(Table120123[Country],Tabela1[[#This Row],[Country]],Table120123[Classification],"&gt;0")</f>
        <v>0</v>
      </c>
      <c r="OC149" s="6">
        <f>COUNTIFS(Table123[Country],Tabela1[[#This Row],[Country]],Table123[Ice Dance Classification],"&gt;0")</f>
        <v>0</v>
      </c>
      <c r="OD149" s="6">
        <f>COUNTIFS(Table123[Country],Tabela1[[#This Row],[Country]],Table123[Pair Skating Classification],"&gt;0")</f>
        <v>0</v>
      </c>
      <c r="OE149" s="6">
        <f>COUNTIFS(Table124[Country],Tabela1[[#This Row],[Country]],Table124[Mixed Classification],"&gt;0")</f>
        <v>0</v>
      </c>
      <c r="OF149" s="6">
        <f>COUNTIFS(Table125[Country],Tabela1[[#This Row],[Country]],Table125[Aerials Classification],"&gt;0")</f>
        <v>0</v>
      </c>
      <c r="OG149" s="6">
        <f>COUNTIFS(Table125128[Country],Tabela1[[#This Row],[Country]],Table125128[Aerials Classification],"&gt;0")</f>
        <v>0</v>
      </c>
      <c r="OH149" s="6">
        <f>COUNTIFS(Table128[Country],Tabela1[[#This Row],[Country]],Table128[Mixed Aerials Classification],"&gt;0")</f>
        <v>0</v>
      </c>
      <c r="OI149" s="6">
        <f>COUNTIFS(Table125[Country],Tabela1[[#This Row],[Country]],Table125[Big Air Classification],"&gt;0")</f>
        <v>0</v>
      </c>
      <c r="OJ149" s="6">
        <f>COUNTIFS(Table125128[Country],Tabela1[[#This Row],[Country]],Table125128[Big Air Classification],"&gt;0")</f>
        <v>0</v>
      </c>
      <c r="OK149" s="6">
        <f>COUNTIFS(Table125[Country],Tabela1[[#This Row],[Country]],Table125[Dual Moguls Classification],"&gt;0")</f>
        <v>0</v>
      </c>
      <c r="OL149" s="6">
        <f>COUNTIFS(Table125128[Country],Tabela1[[#This Row],[Country]],Table125128[Dual Moguls Classification],"&gt;0")</f>
        <v>0</v>
      </c>
      <c r="OM149" s="6">
        <f>COUNTIFS(Table125[Country],Tabela1[[#This Row],[Country]],Table125[Halfpipe Classification],"&gt;0")</f>
        <v>0</v>
      </c>
      <c r="ON149" s="6">
        <f>COUNTIFS(Table125128[Country],Tabela1[[#This Row],[Country]],Table125128[Halfpipe Classification],"&gt;0")</f>
        <v>0</v>
      </c>
      <c r="OO149" s="6">
        <f>COUNTIFS(Table125[Country],Tabela1[[#This Row],[Country]],Table125[Moguls Classification],"&gt;0")</f>
        <v>0</v>
      </c>
      <c r="OP149" s="6">
        <f>COUNTIFS(Table125128[Country],Tabela1[[#This Row],[Country]],Table125128[Moguls Classification],"&gt;0")</f>
        <v>0</v>
      </c>
      <c r="OQ149" s="6">
        <f>COUNTIFS(Table125[Country],Tabela1[[#This Row],[Country]],Table125[Ski Cross Classification],"&gt;0")</f>
        <v>0</v>
      </c>
      <c r="OR149" s="6">
        <f>COUNTIFS(Table125128[Country],Tabela1[[#This Row],[Country]],Table125128[Ski Cross Classification],"&gt;0")</f>
        <v>0</v>
      </c>
      <c r="OS149" s="6">
        <f>COUNTIFS(Table125[Country],Tabela1[[#This Row],[Country]],Table125[Slopestyle Classification],"&gt;0")</f>
        <v>0</v>
      </c>
      <c r="OT149" s="6">
        <f>COUNTIFS(Table125128[Country],Tabela1[[#This Row],[Country]],Table125128[Slopestyle Classification],"&gt;0")</f>
        <v>0</v>
      </c>
      <c r="OU149" s="6">
        <f>COUNTIFS(Table119131[Country],Tabela1[[#This Row],[Country]],Table119131[Men''s Classification],"&gt;0")</f>
        <v>0</v>
      </c>
      <c r="OV149" s="6">
        <f>COUNTIFS(Table119131[Country],Tabela1[[#This Row],[Country]],Table119131[Women''s Classification],"&gt;0")</f>
        <v>0</v>
      </c>
      <c r="OW149" s="6">
        <f>COUNTIFS(Table131[Country],Tabela1[[#This Row],[Country]],Table131[Classification],"&gt;0")</f>
        <v>0</v>
      </c>
      <c r="OX149" s="6">
        <f>COUNTIFS(Table131134[Country],Tabela1[[#This Row],[Country]],Table131134[Classification],"&gt;0")</f>
        <v>0</v>
      </c>
      <c r="OY149" s="6">
        <f>COUNTIFS(Table134[Country],Tabela1[[#This Row],[Country]],Table134[Men''s Classification],"&gt;0")</f>
        <v>0</v>
      </c>
      <c r="OZ149" s="6">
        <f>COUNTIFS(Table134[Country],Tabela1[[#This Row],[Country]],Table134[Women''s Classification],"&gt;0")</f>
        <v>0</v>
      </c>
      <c r="PA149" s="6">
        <f>COUNTIFS(Table135[Country],Tabela1[[#This Row],[Country]],Table135[Mixed Relay Classification],"&gt;0")</f>
        <v>0</v>
      </c>
      <c r="PB149" s="6">
        <f>COUNTIFS(Table136[Country],Tabela1[[#This Row],[Country]],Table136[Individual Classification],"&gt;0")</f>
        <v>0</v>
      </c>
      <c r="PC149" s="6">
        <f>COUNTIFS(Table136[Country],Tabela1[[#This Row],[Country]],Table136[Sprint Classification],"&gt;0")</f>
        <v>0</v>
      </c>
      <c r="PD149" s="6">
        <f>COUNTIFS(Table137[Country],Tabela1[[#This Row],[Country]],Table137[Men''s Team Sprint Large Hill Classification],"&gt;0")</f>
        <v>0</v>
      </c>
      <c r="PE149" s="6">
        <f>COUNTIFS(Table138[Country],Tabela1[[#This Row],[Country]],Table138[500m Classification],"&gt;0")</f>
        <v>0</v>
      </c>
      <c r="PF149" s="6">
        <f>COUNTIFS(Table138141[Country],Tabela1[[#This Row],[Country]],Table138141[500m Classification],"&gt;0")</f>
        <v>0</v>
      </c>
      <c r="PG149" s="6">
        <f>COUNTIFS(Table138[Country],Tabela1[[#This Row],[Country]],Table138[1000m Classification],"&gt;0")</f>
        <v>0</v>
      </c>
      <c r="PH149" s="6">
        <f>COUNTIFS(Table138141[Country],Tabela1[[#This Row],[Country]],Table138141[1000m Classification],"&gt;0")</f>
        <v>0</v>
      </c>
      <c r="PI149" s="6">
        <f>COUNTIFS(Table138[Country],Tabela1[[#This Row],[Country]],Table138[1500m Classification],"&gt;0")</f>
        <v>0</v>
      </c>
      <c r="PJ149" s="6">
        <f>COUNTIFS(Table138141[Country],Tabela1[[#This Row],[Country]],Table138141[1500m Classification],"&gt;0")</f>
        <v>0</v>
      </c>
      <c r="PK149" s="6">
        <f>COUNTIFS(Table141[Country],Tabela1[[#This Row],[Country]],Table141[Men''s 5000m Relay Classification],"&gt;0")</f>
        <v>0</v>
      </c>
      <c r="PL149" s="6">
        <f>COUNTIFS(Table141[Country],Tabela1[[#This Row],[Country]],Table141[Women''s 3000m Relay Classification],"&gt;0")</f>
        <v>0</v>
      </c>
      <c r="PM149" s="6">
        <f>COUNTIFS(Table141[Country],Tabela1[[#This Row],[Country]],Table141[Mixed 2000m Relay Classification],"&gt;0")</f>
        <v>0</v>
      </c>
      <c r="PN149" s="6">
        <f>COUNTIFS(Table142[Country],Tabela1[[#This Row],[Country]],Table142[Classification],"&gt;0")</f>
        <v>0</v>
      </c>
      <c r="PO149" s="6">
        <f>COUNTIFS(Table142145[Country],Tabela1[[#This Row],[Country]],Table142145[Classification],"&gt;0")</f>
        <v>0</v>
      </c>
      <c r="PP149" s="6">
        <f>COUNTIFS(Tabela15[Country],Tabela1[[#This Row],[Country]],Tabela15[Mixed Team Classification],"&gt;0")</f>
        <v>0</v>
      </c>
      <c r="PQ149" s="6">
        <f>COUNTIFS(Table145[Country],Tabela1[[#This Row],[Country]],Table145[Large Hill Classification],"&gt;0")</f>
        <v>0</v>
      </c>
      <c r="PR149" s="6">
        <f>COUNTIFS(Table145[Country],Tabela1[[#This Row],[Country]],Table145[Normal Hill Classification],"&gt;0")</f>
        <v>0</v>
      </c>
      <c r="PS149" s="6">
        <f>COUNTIFS(Table145148[Country],Tabela1[[#This Row],[Country]],Table145148[Large Hill Classification],"&gt;0")</f>
        <v>0</v>
      </c>
      <c r="PT149" s="6">
        <f>COUNTIFS(Table145148[Country],Tabela1[[#This Row],[Country]],Table145148[Normal Hill Classification],"&gt;0")</f>
        <v>0</v>
      </c>
      <c r="PU149" s="6">
        <f>COUNTIFS(Table148[Country],Tabela1[[#This Row],[Country]],Table148[Men''s Super Team Classification],"&gt;0")</f>
        <v>0</v>
      </c>
      <c r="PV149" s="6">
        <f>COUNTIFS(Tabela114[Country],Tabela1[[#This Row],[Country]],Tabela114[Mixed Normal Hill Classification],"&gt;0")</f>
        <v>0</v>
      </c>
      <c r="PW149" s="6">
        <f>COUNTIFS(Tabela50[Country],Tabela1[[#This Row],[Country]],Tabela50[Sprint Classification],"&gt;0")</f>
        <v>0</v>
      </c>
      <c r="PX149" s="6">
        <f>COUNTIFS(Tabela50101[Country],Tabela1[[#This Row],[Country]],Tabela50101[Sprint Classification],"&gt;0")</f>
        <v>0</v>
      </c>
      <c r="PY149" s="6">
        <f>COUNTIFS(Tabela103[Country],Tabela1[[#This Row],[Country]],Tabela103[Mixed Relay Classification],"&gt;0")</f>
        <v>0</v>
      </c>
      <c r="PZ149" s="6">
        <f>COUNTIFS(Table149[Country],Tabela1[[#This Row],[Country]],Table149[Big Air Classification],"&gt;0")</f>
        <v>0</v>
      </c>
      <c r="QA149" s="6">
        <f>COUNTIFS(Table149152[Country],Tabela1[[#This Row],[Country]],Table149152[Big Air Classification],"&gt;0")</f>
        <v>0</v>
      </c>
      <c r="QB149" s="6">
        <f>COUNTIFS(Table149[Country],Tabela1[[#This Row],[Country]],Table149[Halfpipe Classification],"&gt;0")</f>
        <v>0</v>
      </c>
      <c r="QC149" s="6">
        <f>COUNTIFS(Table149152[Country],Tabela1[[#This Row],[Country]],Table149152[Halfpipe Classification],"&gt;0")</f>
        <v>0</v>
      </c>
      <c r="QD149" s="6">
        <f>COUNTIFS(Table149[Country],Tabela1[[#This Row],[Country]],Table149[Parallel Giant Slalom Classification],"&gt;0")</f>
        <v>0</v>
      </c>
      <c r="QE149" s="6">
        <f>COUNTIFS(Table149152[Country],Tabela1[[#This Row],[Country]],Table149152[Parallel Giant Slalom Classification],"&gt;0")</f>
        <v>0</v>
      </c>
      <c r="QF149" s="6">
        <f>COUNTIFS(Table149[Country],Tabela1[[#This Row],[Country]],Table149[Slopestyle Classification],"&gt;0")</f>
        <v>0</v>
      </c>
      <c r="QG149" s="6">
        <f>COUNTIFS(Table149152[Country],Tabela1[[#This Row],[Country]],Table149152[Slopestyle Classification],"&gt;0")</f>
        <v>0</v>
      </c>
      <c r="QH149" s="6">
        <f>COUNTIFS(Table149[Country],Tabela1[[#This Row],[Country]],Table149[Snowboard Cross Classification],"&gt;0")</f>
        <v>0</v>
      </c>
      <c r="QI149" s="6">
        <f>COUNTIFS(Table149152[Country],Tabela1[[#This Row],[Country]],Table149152[Snowboard Cross Classification],"&gt;0")</f>
        <v>0</v>
      </c>
      <c r="QJ149" s="6">
        <f>COUNTIFS(Table153[Country],Tabela1[[#This Row],[Country]],Table153[Mixed Team Snowboard Cross Classification],"&gt;0")</f>
        <v>0</v>
      </c>
      <c r="QK149" s="6">
        <f>COUNTIFS(Table154[Country],Tabela1[[#This Row],[Country]],Table154[500m Classification],"&gt;0")</f>
        <v>0</v>
      </c>
      <c r="QL149" s="6">
        <f>COUNTIFS(Table154157[Country],Tabela1[[#This Row],[Country]],Table154157[500m Classification],"&gt;0")</f>
        <v>0</v>
      </c>
      <c r="QM149" s="6">
        <f>COUNTIFS(Table154[Country],Tabela1[[#This Row],[Country]],Table154[1000m Classification],"&gt;0")</f>
        <v>0</v>
      </c>
      <c r="QN149" s="6">
        <f>COUNTIFS(Table154157[Country],Tabela1[[#This Row],[Country]],Table154157[1000m Classification],"&gt;0")</f>
        <v>0</v>
      </c>
      <c r="QO149" s="6">
        <f>COUNTIFS(Table154[Country],Tabela1[[#This Row],[Country]],Table154[1500m Classification],"&gt;0")</f>
        <v>0</v>
      </c>
      <c r="QP149" s="6">
        <f>COUNTIFS(Table154157[Country],Tabela1[[#This Row],[Country]],Table154157[1500m Classification],"&gt;0")</f>
        <v>0</v>
      </c>
      <c r="QQ149" s="6">
        <f>COUNTIFS(Table154157[Country],Tabela1[[#This Row],[Country]],Table154157[3000m Classification],"&gt;0")</f>
        <v>0</v>
      </c>
      <c r="QR149" s="6">
        <f>COUNTIFS(Table154[Country],Tabela1[[#This Row],[Country]],Table154[5000m Classification],"&gt;0")</f>
        <v>0</v>
      </c>
      <c r="QS149" s="6">
        <f>COUNTIFS(Table154157[Country],Tabela1[[#This Row],[Country]],Table154157[5000m Classification],"&gt;0")</f>
        <v>0</v>
      </c>
      <c r="QT149" s="6">
        <f>COUNTIFS(Table154[Country],Tabela1[[#This Row],[Country]],Table154[10000m Classification],"&gt;0")</f>
        <v>0</v>
      </c>
      <c r="QU149" s="6">
        <f>COUNTIFS(Table154[Country],Tabela1[[#This Row],[Country]],Table154[Mass Start Classification],"&gt;0")</f>
        <v>0</v>
      </c>
      <c r="QV149" s="6">
        <f>COUNTIFS(Table154157[Country],Tabela1[[#This Row],[Country]],Table154157[Mass Start Classification],"&gt;0")</f>
        <v>0</v>
      </c>
      <c r="QW149" s="6">
        <f>COUNTIFS(Table157[Country],Tabela1[[#This Row],[Country]],Table157[Men''s Pursuit Classification],"&gt;0")</f>
        <v>0</v>
      </c>
      <c r="QX149" s="6">
        <f>COUNTIFS(Table157[Country],Tabela1[[#This Row],[Country]],Table157[Women''s Pursuit Classification],"&gt;0")</f>
        <v>0</v>
      </c>
      <c r="QY149" s="3" t="s">
        <v>543</v>
      </c>
    </row>
    <row r="150" spans="1:467" x14ac:dyDescent="0.3">
      <c r="A150" s="6">
        <v>149</v>
      </c>
      <c r="B150" s="6" t="s">
        <v>676</v>
      </c>
      <c r="C150" t="e" vm="149">
        <f>IF(ISBLANK(Tabela1[[#This Row],[Image Link]]), "", _xlfn.IMAGE(Tabela1[[#This Row],[Image Link]],1,1))</f>
        <v>#VALUE!</v>
      </c>
      <c r="D150" s="6">
        <f>SUM(Tabela1[[#This Row],[Archery - Men''s Individual Recurve]:[Speed Skating - Women''s Team Pursuit]])</f>
        <v>1</v>
      </c>
      <c r="E150" s="6">
        <f>COUNTIF(Tabela1[[#This Row],[Archery - Men''s Individual Recurve]:[Speed Skating - Women''s Team Pursuit]],"&gt;0")</f>
        <v>1</v>
      </c>
      <c r="F150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50" s="6">
        <f>SUM(Tabela1[[#This Row],[Archery - Men''s Individual Recurve]:[Wrestling - Women''s Freestyle 76kg]])</f>
        <v>1</v>
      </c>
      <c r="H150" s="6">
        <f>SUM(Tabela1[[#This Row],[Alpine Skiing - Men''s Downhill]:[Speed Skating - Women''s Team Pursuit]])</f>
        <v>0</v>
      </c>
      <c r="I150" s="6">
        <f>Tabela1[[#This Row],[Summer Gold Medals]]+Tabela1[[#This Row],[Winter Gold Medals]]</f>
        <v>0</v>
      </c>
      <c r="J150" s="6">
        <f>Tabela1[[#This Row],[Summer Silver Medals]]+Tabela1[[#This Row],[Winter Silver Medals]]</f>
        <v>0</v>
      </c>
      <c r="K150" s="6">
        <f>Tabela1[[#This Row],[Summer Bronze Medals]]+Tabela1[[#This Row],[Winter Bronze Medals]]</f>
        <v>0</v>
      </c>
      <c r="L150" s="6">
        <f>SUM(Tabela1[[#This Row],[Total Gold Medals]:[Total Bronze Medals]])</f>
        <v>0</v>
      </c>
      <c r="M150" s="6"/>
      <c r="N150" s="6"/>
      <c r="O150" s="6"/>
      <c r="P150" s="6">
        <f>SUM(Tabela1[[#This Row],[Summer Gold Medals]:[Summer Bronze Medals]])</f>
        <v>0</v>
      </c>
      <c r="Q150" s="6"/>
      <c r="R150" s="6"/>
      <c r="S150" s="6"/>
      <c r="T150" s="6">
        <f>Tabela1[[#This Row],[Winter Gold Medals]]+Tabela1[[#This Row],[Winter Silver Medals]]+Tabela1[[#This Row],[Winter Bronze Medals]]</f>
        <v>0</v>
      </c>
      <c r="U150" s="7">
        <f>Tabela1[[#This Row],[Total Medals]]/Tabela1[[#This Row],[Total Quotas]]</f>
        <v>0</v>
      </c>
      <c r="V150" s="6">
        <f>COUNTIFS(Table3[Country],Tabela1[[#This Row],[Country]],Table3[Recurve Classification],"&gt;0")</f>
        <v>0</v>
      </c>
      <c r="W150" s="6">
        <f>COUNTIFS(Table33[Country],Tabela1[[#This Row],[Country]],Table33[Recurve Classification],"&gt;0")</f>
        <v>0</v>
      </c>
      <c r="X150" s="6">
        <f>COUNTIFS(Table35[Country],Tabela1[[#This Row],[Country]],Table35[Men''s Team Recurve Classification],"&gt;0")</f>
        <v>0</v>
      </c>
      <c r="Y150" s="6">
        <f>COUNTIFS(Table35[Country],Tabela1[[#This Row],[Country]],Table35[Women''s Team Recurve Classification],"&gt;0")</f>
        <v>0</v>
      </c>
      <c r="Z150" s="6">
        <f>COUNTIFS(Tabela88[Country],Tabela1[[#This Row],[Country]],Tabela88[Mixed Team Recurve Classification],"&gt;0")</f>
        <v>0</v>
      </c>
      <c r="AA150" s="6">
        <f>COUNTIFS(Table36[Country],Tabela1[[#This Row],[Country]],Table36[Classification],"&gt;0")</f>
        <v>0</v>
      </c>
      <c r="AB150" s="6">
        <f>COUNTIFS(Table37[Country],Tabela1[[#This Row],[Country]],Table37[Classification],"&gt;0")</f>
        <v>0</v>
      </c>
      <c r="AC150" s="6">
        <f>COUNTIFS(Table4[Country],Tabela1[[#This Row],[Country]],Table4[100m Classification],"&gt;0")</f>
        <v>0</v>
      </c>
      <c r="AD150" s="6">
        <f>COUNTIFS(Table5[Country],Tabela1[[#This Row],[Country]],Table5[100m Classification],"&gt;0")</f>
        <v>0</v>
      </c>
      <c r="AE150" s="6">
        <f>COUNTIFS(Table4[Country],Tabela1[[#This Row],[Country]],Table4[200m Classification],"&gt;0")</f>
        <v>0</v>
      </c>
      <c r="AF150" s="6">
        <f>COUNTIFS(Table5[Country],Tabela1[[#This Row],[Country]],Table5[200m Classification],"&gt;0")</f>
        <v>0</v>
      </c>
      <c r="AG150" s="6">
        <f>COUNTIFS(Table4[Country],Tabela1[[#This Row],[Country]],Table4[400m Classification],"&gt;0")</f>
        <v>0</v>
      </c>
      <c r="AH150" s="6">
        <f>COUNTIFS(Table5[Country],Tabela1[[#This Row],[Country]],Table5[400m Classification],"&gt;0")</f>
        <v>0</v>
      </c>
      <c r="AI150" s="6">
        <f>COUNTIFS(Table4[Country],Tabela1[[#This Row],[Country]],Table4[800m Classification],"&gt;0")</f>
        <v>0</v>
      </c>
      <c r="AJ150" s="6">
        <f>COUNTIFS(Table5[Country],Tabela1[[#This Row],[Country]],Table5[800m Classification],"&gt;0")</f>
        <v>0</v>
      </c>
      <c r="AK150" s="6">
        <f>COUNTIFS(Table4[Country],Tabela1[[#This Row],[Country]],Table4[1500m Classification],"&gt;0")</f>
        <v>0</v>
      </c>
      <c r="AL150" s="6">
        <f>COUNTIFS(Table5[Country],Tabela1[[#This Row],[Country]],Table5[1500m Classification],"&gt;0")</f>
        <v>0</v>
      </c>
      <c r="AM150" s="6">
        <f>COUNTIFS(Table4[Country],Tabela1[[#This Row],[Country]],Table4[5000m Classification],"&gt;0")</f>
        <v>0</v>
      </c>
      <c r="AN150" s="6">
        <f>COUNTIFS(Table5[Country],Tabela1[[#This Row],[Country]],Table5[5000m Classification],"&gt;0")</f>
        <v>0</v>
      </c>
      <c r="AO150" s="6">
        <f>COUNTIFS(Table4[Country],Tabela1[[#This Row],[Country]],Table4[10000m Classification],"&gt;0")</f>
        <v>0</v>
      </c>
      <c r="AP150" s="6">
        <f>COUNTIFS(Table5[Country],Tabela1[[#This Row],[Country]],Table5[10000m Classification],"&gt;0")</f>
        <v>0</v>
      </c>
      <c r="AQ150" s="6">
        <f>COUNTIFS(Table4[Country],Tabela1[[#This Row],[Country]],Table4[110m Hurdles Classification],"&gt;0")</f>
        <v>0</v>
      </c>
      <c r="AR150" s="6">
        <f>COUNTIFS(Table5[Country],Tabela1[[#This Row],[Country]],Table5[100m Hurdles Classification],"&gt;0")</f>
        <v>0</v>
      </c>
      <c r="AS150" s="6">
        <f>COUNTIFS(Table4[Country],Tabela1[[#This Row],[Country]],Table4[400m Hurdles Classification],"&gt;0")</f>
        <v>0</v>
      </c>
      <c r="AT150" s="6">
        <f>COUNTIFS(Table5[Country],Tabela1[[#This Row],[Country]],Table5[400m Hurdles Classification],"&gt;0")</f>
        <v>0</v>
      </c>
      <c r="AU150" s="6">
        <f>COUNTIFS(Table4[Country],Tabela1[[#This Row],[Country]],Table4[3000m Steeplechase Classification],"&gt;0")</f>
        <v>0</v>
      </c>
      <c r="AV150" s="6">
        <f>COUNTIFS(Table5[Country],Tabela1[[#This Row],[Country]],Table5[3000m Steeplechase Classification],"&gt;0")</f>
        <v>0</v>
      </c>
      <c r="AW150" s="6">
        <f>COUNTIFS(Table27[Country],Tabela1[[#This Row],[Country]],Table27[Men''s 4x100m Relay Classification],"&gt;0")</f>
        <v>0</v>
      </c>
      <c r="AX150" s="6">
        <f>COUNTIFS(Table27[Country],Tabela1[[#This Row],[Country]],Table27[Women''s 4x100m Relay Classification],"&gt;0")</f>
        <v>0</v>
      </c>
      <c r="AY150" s="6">
        <f>COUNTIFS(Table27[Country],Tabela1[[#This Row],[Country]],Table27[Men''s 4x400m Relay Classification],"&gt;0")</f>
        <v>0</v>
      </c>
      <c r="AZ150" s="6">
        <f>COUNTIFS(Table27[Country],Tabela1[[#This Row],[Country]],Table27[Women''s 4x400m Relay Classification],"&gt;0")</f>
        <v>0</v>
      </c>
      <c r="BA150" s="6">
        <f>COUNTIFS(Table27[Country],Tabela1[[#This Row],[Country]],Table27[Mixed 4x400m Relay Classification],"&gt;0")</f>
        <v>0</v>
      </c>
      <c r="BB150" s="6">
        <f>COUNTIFS(Table4[Country],Tabela1[[#This Row],[Country]],Table4[Marathon Classification],"&gt;0")</f>
        <v>0</v>
      </c>
      <c r="BC150" s="6">
        <f>COUNTIFS(Table5[Country],Tabela1[[#This Row],[Country]],Table5[Marathon Classification],"&gt;0")</f>
        <v>0</v>
      </c>
      <c r="BD150" s="6">
        <f>COUNTIFS(Table4[Country],Tabela1[[#This Row],[Country]],Table4[20km Race Walk Classification],"&gt;0")</f>
        <v>0</v>
      </c>
      <c r="BE150" s="6">
        <f>COUNTIFS(Table5[Country],Tabela1[[#This Row],[Country]],Table5[20km Race Walk Classification],"&gt;0")</f>
        <v>0</v>
      </c>
      <c r="BF150" s="6">
        <f>COUNTIFS(Tabela96[Country],Tabela1[[#This Row],[Country]],Tabela96[Mixed Marathon Race Walk Relay Classification],"&gt;0")</f>
        <v>0</v>
      </c>
      <c r="BG150" s="6">
        <f>COUNTIFS(Table4[Country],Tabela1[[#This Row],[Country]],Table4[Discus Throw Classification],"&gt;0")</f>
        <v>0</v>
      </c>
      <c r="BH150" s="6">
        <f>COUNTIFS(Table5[Country],Tabela1[[#This Row],[Country]],Table5[Discus Throw Classification],"&gt;0")</f>
        <v>0</v>
      </c>
      <c r="BI150" s="6">
        <f>COUNTIFS(Table4[Country],Tabela1[[#This Row],[Country]],Table4[Hammer Throw Classification],"&gt;0")</f>
        <v>0</v>
      </c>
      <c r="BJ150" s="6">
        <f>COUNTIFS(Table5[Country],Tabela1[[#This Row],[Country]],Table5[Hammer Throw Classification],"&gt;0")</f>
        <v>0</v>
      </c>
      <c r="BK150" s="6">
        <f>COUNTIFS(Table4[Country],Tabela1[[#This Row],[Country]],Table4[High Jump Classification],"&gt;0")</f>
        <v>0</v>
      </c>
      <c r="BL150" s="6">
        <f>COUNTIFS(Table5[Country],Tabela1[[#This Row],[Country]],Table5[High Jump Classification],"&gt;0")</f>
        <v>0</v>
      </c>
      <c r="BM150" s="6">
        <f>COUNTIFS(Table4[Country],Tabela1[[#This Row],[Country]],Table4[Javelin Throw Classification],"&gt;0")</f>
        <v>0</v>
      </c>
      <c r="BN150" s="6">
        <f>COUNTIFS(Table5[Country],Tabela1[[#This Row],[Country]],Table5[Javelin Throw Classification],"&gt;0")</f>
        <v>0</v>
      </c>
      <c r="BO150" s="6">
        <f>COUNTIFS(Table4[Country],Tabela1[[#This Row],[Country]],Table4[Long Jump Classification],"&gt;0")</f>
        <v>0</v>
      </c>
      <c r="BP150" s="6">
        <f>COUNTIFS(Table5[Country],Tabela1[[#This Row],[Country]],Table5[Long Jump Classification],"&gt;0")</f>
        <v>0</v>
      </c>
      <c r="BQ150" s="6">
        <f>COUNTIFS(Table4[Country],Tabela1[[#This Row],[Country]],Table4[Pole Vault Classification],"&gt;0")</f>
        <v>0</v>
      </c>
      <c r="BR150" s="6">
        <f>COUNTIFS(Table5[Country],Tabela1[[#This Row],[Country]],Table5[Pole Vault Classification],"&gt;0")</f>
        <v>0</v>
      </c>
      <c r="BS150" s="6">
        <f>COUNTIFS(Table4[Country],Tabela1[[#This Row],[Country]],Table4[Shot Put Classification],"&gt;0")</f>
        <v>0</v>
      </c>
      <c r="BT150" s="6">
        <f>COUNTIFS(Table5[Country],Tabela1[[#This Row],[Country]],Table5[Shot Put Classification],"&gt;0")</f>
        <v>0</v>
      </c>
      <c r="BU150" s="6">
        <f>COUNTIFS(Table4[Country],Tabela1[[#This Row],[Country]],Table4[Triple Jump Classification],"&gt;0")</f>
        <v>0</v>
      </c>
      <c r="BV150" s="6">
        <f>COUNTIFS(Table5[Country],Tabela1[[#This Row],[Country]],Table5[Triple Jump Classification],"&gt;0")</f>
        <v>0</v>
      </c>
      <c r="BW150" s="6">
        <f>COUNTIFS(Table4[Country],Tabela1[[#This Row],[Country]],Table4[Decathlon Classification],"&gt;0")</f>
        <v>0</v>
      </c>
      <c r="BX150" s="6">
        <f>COUNTIFS(Table5[Country],Tabela1[[#This Row],[Country]],Table5[Heptathlon Classification],"&gt;0")</f>
        <v>0</v>
      </c>
      <c r="BY150" s="6">
        <f>COUNTIFS(Table61[Country],Tabela1[[#This Row],[Country]],Table61[Classification],"&gt;0")</f>
        <v>0</v>
      </c>
      <c r="BZ150" s="6">
        <f>COUNTIFS(Table38[Country],Tabela1[[#This Row],[Country]],Table38[Classification],"&gt;0")</f>
        <v>0</v>
      </c>
      <c r="CA150" s="6">
        <f>COUNTIFS(Table39[Country],Tabela1[[#This Row],[Country]],Table39[Men''s Classification],"&gt;0")</f>
        <v>0</v>
      </c>
      <c r="CB150" s="6">
        <f>COUNTIFS(Table39[Country],Tabela1[[#This Row],[Country]],Table39[Women''s Classification],"&gt;0")</f>
        <v>0</v>
      </c>
      <c r="CC150" s="6">
        <f>COUNTIFS(Table39[Country],Tabela1[[#This Row],[Country]],Table39[Mixed Classification],"&gt;0")</f>
        <v>0</v>
      </c>
      <c r="CD150" s="6">
        <f>COUNTIFS(Table89[Country],Tabela1[[#This Row],[Country]],Table89[Men''s Classification],"&gt;0")</f>
        <v>0</v>
      </c>
      <c r="CE150" s="6">
        <f>COUNTIFS(Table89[Country],Tabela1[[#This Row],[Country]],Table89[Women''s Classification],"&gt;0")</f>
        <v>0</v>
      </c>
      <c r="CF150" s="6">
        <f>COUNTIFS(Table90[Country],Tabela1[[#This Row],[Country]],Table90[Men''s Classification],"&gt;0")</f>
        <v>0</v>
      </c>
      <c r="CG150" s="6">
        <f>COUNTIFS(Table90[Country],Tabela1[[#This Row],[Country]],Table90[Women''s Classification],"&gt;0")</f>
        <v>0</v>
      </c>
      <c r="CH150" s="6">
        <f>COUNTIFS(Table60[Country],Tabela1[[#This Row],[Country]],Table60[Men''s Classification],"&gt;0")</f>
        <v>0</v>
      </c>
      <c r="CI150" s="6">
        <f>COUNTIFS(Table60[Country],Tabela1[[#This Row],[Country]],Table60[Women''s Classification],"&gt;0")</f>
        <v>0</v>
      </c>
      <c r="CJ150" s="6">
        <f>COUNTIFS(Table6[Country],Tabela1[[#This Row],[Country]],Table6[51kg Classification],"&gt;0")</f>
        <v>0</v>
      </c>
      <c r="CK150" s="6">
        <f>COUNTIFS(Table6[Country],Tabela1[[#This Row],[Country]],Table6[57kg Classification],"&gt;0")</f>
        <v>0</v>
      </c>
      <c r="CL150" s="6">
        <f>COUNTIFS(Table6[Country],Tabela1[[#This Row],[Country]],Table6[63.5kg Classification],"&gt;0")</f>
        <v>0</v>
      </c>
      <c r="CM150" s="6">
        <f>COUNTIFS(Table6[Country],Tabela1[[#This Row],[Country]],Table6[71kg Classification],"&gt;0")</f>
        <v>0</v>
      </c>
      <c r="CN150" s="6">
        <f>COUNTIFS(Table6[Country],Tabela1[[#This Row],[Country]],Table6[80kg Classification],"&gt;0")</f>
        <v>0</v>
      </c>
      <c r="CO150" s="6">
        <f>COUNTIFS(Table6[Country],Tabela1[[#This Row],[Country]],Table6[92kg Classification],"&gt;0")</f>
        <v>0</v>
      </c>
      <c r="CP150" s="6">
        <f>COUNTIFS(Table6[Country],Tabela1[[#This Row],[Country]],Table6[Plus 92kg Classification],"&gt;0")</f>
        <v>0</v>
      </c>
      <c r="CQ150" s="6">
        <f>COUNTIFS(Table7[Country],Tabela1[[#This Row],[Country]],Table7[50kg Classification],"&gt;0")</f>
        <v>0</v>
      </c>
      <c r="CR150" s="6">
        <f>COUNTIFS(Table7[Country],Tabela1[[#This Row],[Country]],Table7[54kg Classification],"&gt;0")</f>
        <v>0</v>
      </c>
      <c r="CS150" s="6">
        <f>COUNTIFS(Table7[Country],Tabela1[[#This Row],[Country]],Table7[57kg Classification],"&gt;0")</f>
        <v>0</v>
      </c>
      <c r="CT150" s="6">
        <f>COUNTIFS(Table7[Country],Tabela1[[#This Row],[Country]],Table7[60kg Classification],"&gt;0")</f>
        <v>0</v>
      </c>
      <c r="CU150" s="6">
        <f>COUNTIFS(Table7[Country],Tabela1[[#This Row],[Country]],Table7[66kg Classification],"&gt;0")</f>
        <v>0</v>
      </c>
      <c r="CV150" s="6">
        <f>COUNTIFS(Table7[Country],Tabela1[[#This Row],[Country]],Table7[75kg Classification],"&gt;0")</f>
        <v>0</v>
      </c>
      <c r="CW150" s="6">
        <f>COUNTIFS(Tabela94[Country],Tabela1[[#This Row],[Country]],Tabela94[Classification],"&gt;0")</f>
        <v>0</v>
      </c>
      <c r="CX150" s="6">
        <f>COUNTIFS(Tabela9499[Country],Tabela1[[#This Row],[Country]],Tabela9499[Classification],"&gt;0")</f>
        <v>0</v>
      </c>
      <c r="CY150" s="6">
        <f>COUNTIFS(Tabela107[Country],Tabela1[[#This Row],[Country]],Tabela107[C1 Slalom Classification],"&gt;0")</f>
        <v>0</v>
      </c>
      <c r="CZ150" s="6">
        <f>COUNTIFS(Tabela107122[Country],Tabela1[[#This Row],[Country]],Tabela107122[C1 Slalom Classification],"&gt;0")</f>
        <v>0</v>
      </c>
      <c r="DA150" s="6">
        <f>COUNTIFS(Tabela107[Country],Tabela1[[#This Row],[Country]],Tabela107[K1 Slalom Classification],"&gt;0")</f>
        <v>0</v>
      </c>
      <c r="DB150" s="6">
        <f>COUNTIFS(Tabela107122[Country],Tabela1[[#This Row],[Country]],Tabela107122[K1 Slalom Classification],"&gt;0")</f>
        <v>0</v>
      </c>
      <c r="DC150" s="6">
        <f>COUNTIFS(Tabela107[Country],Tabela1[[#This Row],[Country]],Tabela107[Kayak Cross Slalom Classification],"&gt;0")</f>
        <v>0</v>
      </c>
      <c r="DD150" s="6">
        <f>COUNTIFS(Tabela107122[Country],Tabela1[[#This Row],[Country]],Tabela107122[Kayak Cross Slalom Classification],"&gt;0")</f>
        <v>0</v>
      </c>
      <c r="DE150" s="6">
        <f>COUNTIFS(Table8[Country],Tabela1[[#This Row],[Country]],Table8[C1 200m Classification],"&gt;0")</f>
        <v>0</v>
      </c>
      <c r="DF150" s="6">
        <f>COUNTIFS(Table40[Country],Tabela1[[#This Row],[Country]],Table40[C1 1000m Classification],"&gt;0")</f>
        <v>0</v>
      </c>
      <c r="DG150" s="6">
        <f>COUNTIFS(Table68[Country],Tabela1[[#This Row],[Country]],Table68[Men''s C2 500m Classification],"&gt;0")</f>
        <v>0</v>
      </c>
      <c r="DH150" s="6">
        <f>COUNTIFS(Table68[Country],Tabela1[[#This Row],[Country]],Table68[Women''s C2 500m Classification],"&gt;0")</f>
        <v>0</v>
      </c>
      <c r="DI150" s="6">
        <f>COUNTIFS(Table8[Country],Tabela1[[#This Row],[Country]],Table8[K1 500m Classification],"&gt;0")</f>
        <v>0</v>
      </c>
      <c r="DJ150" s="6">
        <f>COUNTIFS(Table40[Country],Tabela1[[#This Row],[Country]],Table40[K1 1000m Classification],"&gt;0")</f>
        <v>0</v>
      </c>
      <c r="DK150" s="6">
        <f>COUNTIFS(Table68[Country],Tabela1[[#This Row],[Country]],Table68[Men''s K2 500m Classification],"&gt;0")</f>
        <v>0</v>
      </c>
      <c r="DL150" s="6">
        <f>COUNTIFS(Table68[Country],Tabela1[[#This Row],[Country]],Table68[Women''s K2 500m Classification],"&gt;0")</f>
        <v>0</v>
      </c>
      <c r="DM150" s="6">
        <f>COUNTIFS(Table83[Country],Tabela1[[#This Row],[Country]],Table83[Men''s K4 500m Classification],"&gt;0")</f>
        <v>0</v>
      </c>
      <c r="DN150" s="6">
        <f>COUNTIFS(Table83[Country],Tabela1[[#This Row],[Country]],Table83[Women''s K4 500m Classification],"&gt;0")</f>
        <v>0</v>
      </c>
      <c r="DO150" s="6">
        <f>COUNTIFS(Tabela126[Country],Tabela1[[#This Row],[Country]],Tabela126[Classification],"&gt;0")</f>
        <v>0</v>
      </c>
      <c r="DP150" s="6">
        <f>COUNTIFS(Tabela126130[Country],Tabela1[[#This Row],[Country]],Tabela126130[Classification],"&gt;0")</f>
        <v>0</v>
      </c>
      <c r="DQ150" s="6">
        <f>COUNTIFS(Table70[Country],Tabela1[[#This Row],[Country]],Table70[Classification],"&gt;0")</f>
        <v>0</v>
      </c>
      <c r="DR150" s="6">
        <f>COUNTIFS(Table80[Country],Tabela1[[#This Row],[Country]],Table80[Classification],"&gt;0")</f>
        <v>0</v>
      </c>
      <c r="DS150" s="6">
        <f>COUNTIFS(Table66[Country],Tabela1[[#This Row],[Country]],Table66[Classification],"&gt;0")</f>
        <v>0</v>
      </c>
      <c r="DT150" s="6">
        <f>COUNTIFS(Table67[Country],Tabela1[[#This Row],[Country]],Table67[Classification],"&gt;0")</f>
        <v>0</v>
      </c>
      <c r="DU150" s="6">
        <f>COUNTIFS(Table69[Country],Tabela1[[#This Row],[Country]],Table69[Keirin Classification],"&gt;0")</f>
        <v>0</v>
      </c>
      <c r="DV150" s="6">
        <f>COUNTIFS(Table41[Country],Tabela1[[#This Row],[Country]],Table41[Keirin Classification],"&gt;0")</f>
        <v>0</v>
      </c>
      <c r="DW150" s="6">
        <f>COUNTIFS(Table84[Country],Tabela1[[#This Row],[Country]],Table84[Men''s Madison Classification],"&gt;0")</f>
        <v>0</v>
      </c>
      <c r="DX150" s="6">
        <f>COUNTIFS(Table84[Country],Tabela1[[#This Row],[Country]],Table84[Women''s Madison Classification],"&gt;0")</f>
        <v>0</v>
      </c>
      <c r="DY150" s="6">
        <f>COUNTIFS(Table69[Country],Tabela1[[#This Row],[Country]],Table69[Omnium Classification],"&gt;0")</f>
        <v>0</v>
      </c>
      <c r="DZ150" s="6">
        <f>COUNTIFS(Table41[Country],Tabela1[[#This Row],[Country]],Table41[Omnium Classification],"&gt;0")</f>
        <v>0</v>
      </c>
      <c r="EA150" s="6">
        <f>COUNTIFS(Table9[Country],Tabela1[[#This Row],[Country]],Table9[Road Race Classification],"&gt;0")</f>
        <v>1</v>
      </c>
      <c r="EB150" s="6">
        <f>COUNTIFS(Table14[Country],Tabela1[[#This Row],[Country]],Table14[Road Race Classification],"&gt;0")</f>
        <v>0</v>
      </c>
      <c r="EC150" s="6">
        <f>COUNTIFS(Table69[Country],Tabela1[[#This Row],[Country]],Table69[Sprint Classification],"&gt;0")</f>
        <v>0</v>
      </c>
      <c r="ED150" s="6">
        <f>COUNTIFS(Table41[Country],Tabela1[[#This Row],[Country]],Table41[Sprint Classification],"&gt;0")</f>
        <v>0</v>
      </c>
      <c r="EE150" s="6">
        <f>COUNTIFS(Table85[Country],Tabela1[[#This Row],[Country]],Table85[Men''s Sprint Classification],"&gt;0")</f>
        <v>0</v>
      </c>
      <c r="EF150" s="6">
        <f>COUNTIFS(Table85[Country],Tabela1[[#This Row],[Country]],Table85[Women''s Sprint Classification],"&gt;0")</f>
        <v>0</v>
      </c>
      <c r="EG150" s="6">
        <f>COUNTIFS(Table85[Country],Tabela1[[#This Row],[Country]],Table85[Men''s Pursuit Classification],"&gt;0")</f>
        <v>0</v>
      </c>
      <c r="EH150" s="6">
        <f>COUNTIFS(Table85[Country],Tabela1[[#This Row],[Country]],Table85[Women''s Pursuit Classification],"&gt;0")</f>
        <v>0</v>
      </c>
      <c r="EI150" s="6">
        <f>COUNTIFS(Table9[Country],Tabela1[[#This Row],[Country]],Table9[Time-Trial Classification],"&gt;0")</f>
        <v>0</v>
      </c>
      <c r="EJ150" s="6">
        <f>COUNTIFS(Table14[Country],Tabela1[[#This Row],[Country]],Table14[Time-Trial Classification],"&gt;0")</f>
        <v>0</v>
      </c>
      <c r="EK150" s="6">
        <f>COUNTIFS(Table42[Country],Tabela1[[#This Row],[Country]],Table42[Springboard Classification],"&gt;0")</f>
        <v>0</v>
      </c>
      <c r="EL150" s="6">
        <f>COUNTIFS(Table43[Country],Tabela1[[#This Row],[Country]],Table43[Springboard Classification],"&gt;0")</f>
        <v>0</v>
      </c>
      <c r="EM150" s="6">
        <f>COUNTIFS(Table42[Country],Tabela1[[#This Row],[Country]],Table42[Platform Classification],"&gt;0")</f>
        <v>0</v>
      </c>
      <c r="EN150" s="6">
        <f>COUNTIFS(Table43[Country],Tabela1[[#This Row],[Country]],Table43[Platform Classification],"&gt;0")</f>
        <v>0</v>
      </c>
      <c r="EO150" s="6">
        <f>COUNTIFS(Table86[Country],Tabela1[[#This Row],[Country]],Table86[Men''s Synchronized Springboard Classification],"&gt;0")</f>
        <v>0</v>
      </c>
      <c r="EP150" s="6">
        <f>COUNTIFS(Table86[Country],Tabela1[[#This Row],[Country]],Table86[Women''s Synchronized Springboard Classification],"&gt;0")</f>
        <v>0</v>
      </c>
      <c r="EQ150" s="6">
        <f>COUNTIFS(Table86[Country],Tabela1[[#This Row],[Country]],Table86[Men''s Synchronized Platform Classification],"&gt;0")</f>
        <v>0</v>
      </c>
      <c r="ER150" s="6">
        <f>COUNTIFS(Table86[Country],Tabela1[[#This Row],[Country]],Table86[Women''s Synchronized Platform Classification],"&gt;0")</f>
        <v>0</v>
      </c>
      <c r="ES150" s="6">
        <f>COUNTIFS(Table44[Country],Tabela1[[#This Row],[Country]],Table44[Dressage Classification],"&gt;0")</f>
        <v>0</v>
      </c>
      <c r="ET150" s="6">
        <f>COUNTIFS(Table45[Country],Tabela1[[#This Row],[Country]],Table45[Dressage Classification],"&gt;0")</f>
        <v>0</v>
      </c>
      <c r="EU150" s="6">
        <f>COUNTIFS(Table44[Country],Tabela1[[#This Row],[Country]],Table44[Eventing Classification],"&gt;0")</f>
        <v>0</v>
      </c>
      <c r="EV150" s="6">
        <f>COUNTIFS(Table45[Country],Tabela1[[#This Row],[Country]],Table45[Eventing Classification],"&gt;0")</f>
        <v>0</v>
      </c>
      <c r="EW150" s="6">
        <f>COUNTIFS(Table44[Country],Tabela1[[#This Row],[Country]],Table44[Jumping Classification],"&gt;0")</f>
        <v>0</v>
      </c>
      <c r="EX150" s="6">
        <f>COUNTIFS(Table45[Country],Tabela1[[#This Row],[Country]],Table45[Jumping Classification],"&gt;0")</f>
        <v>0</v>
      </c>
      <c r="EY150" s="6">
        <f>COUNTIFS(Table10[Country],Tabela1[[#This Row],[Country]],Table10[Épée Classification],"&gt;0")</f>
        <v>0</v>
      </c>
      <c r="EZ150" s="6">
        <f>COUNTIFS(Table11[Country],Tabela1[[#This Row],[Country]],Table11[Épée Classification],"&gt;0")</f>
        <v>0</v>
      </c>
      <c r="FA150" s="6">
        <f>COUNTIFS(Table46[Country],Tabela1[[#This Row],[Country]],Table46[Men''s Épée Classification],"&gt;0")</f>
        <v>0</v>
      </c>
      <c r="FB150" s="6">
        <f>COUNTIFS(Table46[Country],Tabela1[[#This Row],[Country]],Table46[Women''s Épée Classification],"&gt;0")</f>
        <v>0</v>
      </c>
      <c r="FC150" s="6">
        <f>COUNTIFS(Table10[Country],Tabela1[[#This Row],[Country]],Table10[Foil Classification],"&gt;0")</f>
        <v>0</v>
      </c>
      <c r="FD150" s="6">
        <f>COUNTIFS(Table11[Country],Tabela1[[#This Row],[Country]],Table11[Foil Classification],"&gt;0")</f>
        <v>0</v>
      </c>
      <c r="FE150" s="6">
        <f>COUNTIFS(Table46[Country],Tabela1[[#This Row],[Country]],Table46[Men''s Foil Classification],"&gt;0")</f>
        <v>0</v>
      </c>
      <c r="FF150" s="6">
        <f>COUNTIFS(Table46[Country],Tabela1[[#This Row],[Country]],Table46[Women''s Foil Classification],"&gt;0")</f>
        <v>0</v>
      </c>
      <c r="FG150" s="6">
        <f>COUNTIFS(Table10[Country],Tabela1[[#This Row],[Country]],Table10[Sabre Classification],"&gt;0")</f>
        <v>0</v>
      </c>
      <c r="FH150" s="6">
        <f>COUNTIFS(Table11[Country],Tabela1[[#This Row],[Country]],Table11[Sabre Classification],"&gt;0")</f>
        <v>0</v>
      </c>
      <c r="FI150" s="6">
        <f>COUNTIFS(Table46[Country],Tabela1[[#This Row],[Country]],Table46[Men''s Sabre Classification],"&gt;0")</f>
        <v>0</v>
      </c>
      <c r="FJ150" s="6">
        <f>COUNTIFS(Table46[Country],Tabela1[[#This Row],[Country]],Table46[Women''s Sabre Classification],"&gt;0")</f>
        <v>0</v>
      </c>
      <c r="FK150" s="6">
        <f>COUNTIFS(Table91[Country],Tabela1[[#This Row],[Country]],Table91[Men''s Classification],"&gt;0")</f>
        <v>0</v>
      </c>
      <c r="FL150" s="6">
        <f>COUNTIFS(Table91[Country],Tabela1[[#This Row],[Country]],Table91[Women''s Classification],"&gt;0")</f>
        <v>0</v>
      </c>
      <c r="FM150" s="6">
        <f>COUNTIFS(Table9194[Country],Tabela1[[#This Row],[Country]],Table9194[Men''s Classification],"&gt;0")</f>
        <v>0</v>
      </c>
      <c r="FN150" s="6">
        <f>COUNTIFS(Table9194[Country],Tabela1[[#This Row],[Country]],Table9194[Women''s Classification],"&gt;0")</f>
        <v>0</v>
      </c>
      <c r="FO150" s="6">
        <f>COUNTIFS(Table71[Country],Tabela1[[#This Row],[Country]],Table71[Classification],"&gt;0")</f>
        <v>0</v>
      </c>
      <c r="FP150" s="6">
        <f>COUNTIFS(Table62[Country],Tabela1[[#This Row],[Country]],Table62[Classification],"&gt;0")</f>
        <v>0</v>
      </c>
      <c r="FQ150" s="6">
        <f>COUNTIFS(Table47[Country],Tabela1[[#This Row],[Country]],Table47[All-Around Classification],"&gt;0")</f>
        <v>0</v>
      </c>
      <c r="FR150" s="6">
        <f>COUNTIFS(Table48[Country],Tabela1[[#This Row],[Country]],Table48[All-Around Classification],"&gt;0")</f>
        <v>0</v>
      </c>
      <c r="FS150" s="6">
        <f>COUNTIFS(Table81[Country],Tabela1[[#This Row],[Country]],Table81[Men''s All-Around Classification],"&gt;0")</f>
        <v>0</v>
      </c>
      <c r="FT150" s="6">
        <f>COUNTIFS(Table81[Country],Tabela1[[#This Row],[Country]],Table81[Women''s All-Around Classification],"&gt;0")</f>
        <v>0</v>
      </c>
      <c r="FU150" s="6">
        <f>COUNTIFS(Table48[Country],Tabela1[[#This Row],[Country]],Table48[Balance Beam Classification],"&gt;0")</f>
        <v>0</v>
      </c>
      <c r="FV150" s="6">
        <f>COUNTIFS(Table47[Country],Tabela1[[#This Row],[Country]],Table47[Floor Exercise Classification],"&gt;0")</f>
        <v>0</v>
      </c>
      <c r="FW150" s="6">
        <f>COUNTIFS(Table48[Country],Tabela1[[#This Row],[Country]],Table48[Floor Exercise Classification],"&gt;0")</f>
        <v>0</v>
      </c>
      <c r="FX150" s="6">
        <f>COUNTIFS(Table47[Country],Tabela1[[#This Row],[Country]],Table47[Horizontal Bar Classification],"&gt;0")</f>
        <v>0</v>
      </c>
      <c r="FY150" s="6">
        <f>COUNTIFS(Table47[Country],Tabela1[[#This Row],[Country]],Table47[Parallel Bars Classification],"&gt;0")</f>
        <v>0</v>
      </c>
      <c r="FZ150" s="6">
        <f>COUNTIFS(Table47[Country],Tabela1[[#This Row],[Country]],Table47[Pommel Horse Classification],"&gt;0")</f>
        <v>0</v>
      </c>
      <c r="GA150" s="6">
        <f>COUNTIFS(Table47[Country],Tabela1[[#This Row],[Country]],Table47[Rings Classification],"&gt;0")</f>
        <v>0</v>
      </c>
      <c r="GB150" s="6">
        <f>COUNTIFS(Tabela132[Country],Tabela1[[#This Row],[Country]],Tabela132[Classification],"&gt;0")</f>
        <v>0</v>
      </c>
      <c r="GC150" s="6">
        <f>COUNTIFS(Tabela139[Country],Tabela1[[#This Row],[Country]],Tabela139[Classification],"&gt;0")</f>
        <v>0</v>
      </c>
      <c r="GD150" s="6">
        <f>COUNTIFS(Table48[Country],Tabela1[[#This Row],[Country]],Table48[Uneven Bars Classification],"&gt;0")</f>
        <v>0</v>
      </c>
      <c r="GE150" s="6">
        <f>COUNTIFS(Table47[Country],Tabela1[[#This Row],[Country]],Table47[Vault Classification],"&gt;0")</f>
        <v>0</v>
      </c>
      <c r="GF150" s="6">
        <f>COUNTIFS(Table48[Country],Tabela1[[#This Row],[Country]],Table48[Vault Classification],"&gt;0")</f>
        <v>0</v>
      </c>
      <c r="GG150" s="6">
        <f>COUNTIFS(Table919496[Country],Tabela1[[#This Row],[Country]],Table919496[Men''s Classification],"&gt;0")</f>
        <v>0</v>
      </c>
      <c r="GH150" s="6">
        <f>COUNTIFS(Table919496[Country],Tabela1[[#This Row],[Country]],Table919496[Women''s Classification],"&gt;0")</f>
        <v>0</v>
      </c>
      <c r="GI150" s="6">
        <f>COUNTIFS(Table12[Country],Tabela1[[#This Row],[Country]],Table12[60kg Classification],"&gt;0")</f>
        <v>0</v>
      </c>
      <c r="GJ150" s="6">
        <f>COUNTIFS(Table12[Country],Tabela1[[#This Row],[Country]],Table12[66kg Classification],"&gt;0")</f>
        <v>0</v>
      </c>
      <c r="GK150" s="6">
        <f>COUNTIFS(Table12[Country],Tabela1[[#This Row],[Country]],Table12[73kg Classification],"&gt;0")</f>
        <v>0</v>
      </c>
      <c r="GL150" s="6">
        <f>COUNTIFS(Table12[Country],Tabela1[[#This Row],[Country]],Table12[81kg Classification],"&gt;0")</f>
        <v>0</v>
      </c>
      <c r="GM150" s="6">
        <f>COUNTIFS(Table12[Country],Tabela1[[#This Row],[Country]],Table12[90kg Classification],"&gt;0")</f>
        <v>0</v>
      </c>
      <c r="GN150" s="6">
        <f>COUNTIFS(Table12[Country],Tabela1[[#This Row],[Country]],Table12[100kg Classification],"&gt;0")</f>
        <v>0</v>
      </c>
      <c r="GO150" s="6">
        <f>COUNTIFS(Table12[Country],Tabela1[[#This Row],[Country]],Table12[Plus 100kg Classification],"&gt;0")</f>
        <v>0</v>
      </c>
      <c r="GP150" s="6">
        <f>COUNTIFS(Table13[Country],Tabela1[[#This Row],[Country]],Table13[48kg Classification],"&gt;0")</f>
        <v>0</v>
      </c>
      <c r="GQ150" s="6">
        <f>COUNTIFS(Table13[Country],Tabela1[[#This Row],[Country]],Table13[52kg Classification],"&gt;0")</f>
        <v>0</v>
      </c>
      <c r="GR150" s="6">
        <f>COUNTIFS(Table13[Country],Tabela1[[#This Row],[Country]],Table13[57kg Classification],"&gt;0")</f>
        <v>0</v>
      </c>
      <c r="GS150" s="6">
        <f>COUNTIFS(Table13[Country],Tabela1[[#This Row],[Country]],Table13[63kg Classification],"&gt;0")</f>
        <v>0</v>
      </c>
      <c r="GT150" s="6">
        <f>COUNTIFS(Table13[Country],Tabela1[[#This Row],[Country]],Table13[70kg Classification],"&gt;0")</f>
        <v>0</v>
      </c>
      <c r="GU150" s="6">
        <f>COUNTIFS(Table13[Country],Tabela1[[#This Row],[Country]],Table13[78kg Classification],"&gt;0")</f>
        <v>0</v>
      </c>
      <c r="GV150" s="6">
        <f>COUNTIFS(Table13[Country],Tabela1[[#This Row],[Country]],Table13[Plus 78kg Classification],"&gt;0")</f>
        <v>0</v>
      </c>
      <c r="GW150" s="6">
        <f>COUNTIFS(Table82[Country],Tabela1[[#This Row],[Country]],Table82[Mixed Classification],"&gt;0")</f>
        <v>0</v>
      </c>
      <c r="GX150" s="6">
        <f>COUNTIFS(Table51[Country],Tabela1[[#This Row],[Country]],Table51[Classification],"&gt;0")</f>
        <v>0</v>
      </c>
      <c r="GY150" s="6">
        <f>COUNTIFS(Table52[Country],Tabela1[[#This Row],[Country]],Table52[Classification],"&gt;0")</f>
        <v>0</v>
      </c>
      <c r="GZ150" s="6">
        <f>COUNTIFS(Table32[Country],Tabela1[[#This Row],[Country]],Table32[All-Around Classification],"&gt;0")</f>
        <v>0</v>
      </c>
      <c r="HA150" s="6">
        <f>COUNTIFS(Table49[Country],Tabela1[[#This Row],[Country]],Table49[All-Around Classification],"&gt;0")</f>
        <v>0</v>
      </c>
      <c r="HB150" s="6">
        <f>COUNTIFS(Table26[Country],Tabela1[[#This Row],[Country]],Table26[Single Sculls Classification],"&gt;0")</f>
        <v>0</v>
      </c>
      <c r="HC150" s="6">
        <f>COUNTIFS(Table63[Country],Tabela1[[#This Row],[Country]],Table63[Single Sculls Classification],"&gt;0")</f>
        <v>0</v>
      </c>
      <c r="HD150" s="6">
        <f>COUNTIFS(Table16[Country],Tabela1[[#This Row],[Country]],Table16[Men''s Double Sculls Classification],"&gt;0")</f>
        <v>0</v>
      </c>
      <c r="HE150" s="6">
        <f>COUNTIFS(Table16[Country],Tabela1[[#This Row],[Country]],Table16[Women''s Double Sculls Classification],"&gt;0")</f>
        <v>0</v>
      </c>
      <c r="HF150" s="6">
        <f>COUNTIFS(Table72[Country],Tabela1[[#This Row],[Country]],Table72[Men''s Quadruple Sculls Classification],"&gt;0")</f>
        <v>0</v>
      </c>
      <c r="HG150" s="6">
        <f>COUNTIFS(Table72[Country],Tabela1[[#This Row],[Country]],Table72[Women''s Quadruple Sculls Classification],"&gt;0")</f>
        <v>0</v>
      </c>
      <c r="HH150" s="6">
        <f>COUNTIFS(Table16[Country],Tabela1[[#This Row],[Country]],Table16[Men''s Coxless Pairs Classification],"&gt;0")</f>
        <v>0</v>
      </c>
      <c r="HI150" s="6">
        <f>COUNTIFS(Table16[Country],Tabela1[[#This Row],[Country]],Table16[Women''s Coxless Pairs Classification],"&gt;0")</f>
        <v>0</v>
      </c>
      <c r="HJ150" s="6">
        <f>COUNTIFS(Table72[Country],Tabela1[[#This Row],[Country]],Table72[Men''s Coxless Fours Classification],"&gt;0")</f>
        <v>0</v>
      </c>
      <c r="HK150" s="6">
        <f>COUNTIFS(Table72[Country],Tabela1[[#This Row],[Country]],Table72[Women''s Coxless Fours Classification],"&gt;0")</f>
        <v>0</v>
      </c>
      <c r="HL150" s="6">
        <f>COUNTIFS(Table72[Country],Tabela1[[#This Row],[Country]],Table72[Men''s Eights Classification],"&gt;0")</f>
        <v>0</v>
      </c>
      <c r="HM150" s="6">
        <f>COUNTIFS(Table72[Country],Tabela1[[#This Row],[Country]],Table72[Women''s Eights Classification],"&gt;0")</f>
        <v>0</v>
      </c>
      <c r="HN150" s="6">
        <f>COUNTIFS(Table16[Country],Tabela1[[#This Row],[Country]],Table16[Men''s Lwt. Double Sculls Classification],"&gt;0")</f>
        <v>0</v>
      </c>
      <c r="HO150" s="6">
        <f>COUNTIFS(Table16[Country],Tabela1[[#This Row],[Country]],Table16[Women''s Lwt. Double Sculls Classification],"&gt;0")</f>
        <v>0</v>
      </c>
      <c r="HP150" s="6">
        <f>COUNTIFS(Table91949698[Country],Tabela1[[#This Row],[Country]],Table91949698[Men''s Classification],"&gt;0")</f>
        <v>0</v>
      </c>
      <c r="HQ150" s="6">
        <f>COUNTIFS(Table91949698[Country],Tabela1[[#This Row],[Country]],Table91949698[Women''s Classification],"&gt;0")</f>
        <v>0</v>
      </c>
      <c r="HR150" s="6">
        <f>COUNTIFS(Table25[Country],Tabela1[[#This Row],[Country]],Table25[Mixed 470 Classification],"&gt;0")</f>
        <v>0</v>
      </c>
      <c r="HS150" s="6">
        <f>COUNTIFS(Table25[Country],Tabela1[[#This Row],[Country]],Table25[Men''s 49er Classification],"&gt;0")</f>
        <v>0</v>
      </c>
      <c r="HT150" s="6">
        <f>COUNTIFS(Table25[Country],Tabela1[[#This Row],[Country]],Table25[Women''s 49er FX Classification],"&gt;0")</f>
        <v>0</v>
      </c>
      <c r="HU150" s="6">
        <f>COUNTIFS(Table17[Country],Tabela1[[#This Row],[Country]],Table17[Formula Kite Classification],"&gt;0")</f>
        <v>0</v>
      </c>
      <c r="HV150" s="6">
        <f>COUNTIFS(Table18[Country],Tabela1[[#This Row],[Country]],Table18[Formula Kite Classification],"&gt;0")</f>
        <v>0</v>
      </c>
      <c r="HW150" s="6">
        <f>COUNTIFS(Table17[Country],Tabela1[[#This Row],[Country]],Table17[ILCA 7 Classification],"&gt;0")</f>
        <v>0</v>
      </c>
      <c r="HX150" s="6">
        <f>COUNTIFS(Table18[Country],Tabela1[[#This Row],[Country]],Table18[ILCA 6 Classification],"&gt;0")</f>
        <v>0</v>
      </c>
      <c r="HY150" s="6">
        <f>COUNTIFS(Table17[Country],Tabela1[[#This Row],[Country]],Table17[IQFoil Classification],"&gt;0")</f>
        <v>0</v>
      </c>
      <c r="HZ150" s="6">
        <f>COUNTIFS(Table18[Country],Tabela1[[#This Row],[Country]],Table18[IQFoil Classification],"&gt;0")</f>
        <v>0</v>
      </c>
      <c r="IA150" s="6">
        <f>COUNTIFS(Table25[Country],Tabela1[[#This Row],[Country]],Table25[Mixed Nacra 17 Classification],"&gt;0")</f>
        <v>0</v>
      </c>
      <c r="IB150" s="6">
        <f>COUNTIFS(Table53[Country],Tabela1[[#This Row],[Country]],Table53[10m Air Pistol Classification],"&gt;0")</f>
        <v>0</v>
      </c>
      <c r="IC150" s="6">
        <f>COUNTIFS(Table19[Country],Tabela1[[#This Row],[Country]],Table19[10m Air Pistol Classification],"&gt;0")</f>
        <v>0</v>
      </c>
      <c r="ID150" s="6">
        <f>COUNTIFS(Table54[Country],Tabela1[[#This Row],[Country]],Table54[Mixed 10m Air Pistol Team Classification],"&gt;0")</f>
        <v>0</v>
      </c>
      <c r="IE150" s="6">
        <f>COUNTIFS(Table53[Country],Tabela1[[#This Row],[Country]],Table53[10m Air Rifle Classification],"&gt;0")</f>
        <v>0</v>
      </c>
      <c r="IF150" s="6">
        <f>COUNTIFS(Table19[Country],Tabela1[[#This Row],[Country]],Table19[10m Air Rifle Classification],"&gt;0")</f>
        <v>0</v>
      </c>
      <c r="IG150" s="6">
        <f>COUNTIFS(Table54[Country],Tabela1[[#This Row],[Country]],Table54[Mixed 10m Air Rifle Team Classification],"&gt;0")</f>
        <v>0</v>
      </c>
      <c r="IH150" s="6">
        <f>COUNTIFS(Table53[Country],Tabela1[[#This Row],[Country]],Table53[25m Rapid Fire Pistol Classification],"&gt;0")</f>
        <v>0</v>
      </c>
      <c r="II150" s="6">
        <f>COUNTIFS(Table19[Country],Tabela1[[#This Row],[Country]],Table19[25m Pistol Classification],"&gt;0")</f>
        <v>0</v>
      </c>
      <c r="IJ150" s="6">
        <f>COUNTIFS(Table53[Country],Tabela1[[#This Row],[Country]],Table53[50m Rifle 3 Positions Classification],"&gt;0")</f>
        <v>0</v>
      </c>
      <c r="IK150" s="6">
        <f>COUNTIFS(Table19[Country],Tabela1[[#This Row],[Country]],Table19[50m Rifle 3 Positions Classification],"&gt;0")</f>
        <v>0</v>
      </c>
      <c r="IL150" s="6">
        <f>COUNTIFS(Table53[Country],Tabela1[[#This Row],[Country]],Table53[Skeet Classification],"&gt;0")</f>
        <v>0</v>
      </c>
      <c r="IM150" s="6">
        <f>COUNTIFS(Table19[Country],Tabela1[[#This Row],[Country]],Table19[Skeet Classification],"&gt;0")</f>
        <v>0</v>
      </c>
      <c r="IN150" s="6">
        <f>COUNTIFS(Table54[Country],Tabela1[[#This Row],[Country]],Table54[Mixed Skeet Team Classification],"&gt;0")</f>
        <v>0</v>
      </c>
      <c r="IO150" s="6">
        <f>COUNTIFS(Table53[Country],Tabela1[[#This Row],[Country]],Table53[Trap Classification],"&gt;0")</f>
        <v>0</v>
      </c>
      <c r="IP150" s="6">
        <f>COUNTIFS(Table19[Country],Tabela1[[#This Row],[Country]],Table19[Trap Classification],"&gt;0")</f>
        <v>0</v>
      </c>
      <c r="IQ150" s="6">
        <f>COUNTIFS(Table73[Country],Tabela1[[#This Row],[Country]],Table73[Park Classification],"&gt;0")</f>
        <v>0</v>
      </c>
      <c r="IR150" s="6">
        <f>COUNTIFS(Table74[Country],Tabela1[[#This Row],[Country]],Table74[Park Classification],"&gt;0")</f>
        <v>0</v>
      </c>
      <c r="IS150" s="6">
        <f>COUNTIFS(Table73[Country],Tabela1[[#This Row],[Country]],Table73[Street Classification],"&gt;0")</f>
        <v>0</v>
      </c>
      <c r="IT150" s="6">
        <f>COUNTIFS(Table74[Country],Tabela1[[#This Row],[Country]],Table74[Street Classification],"&gt;0")</f>
        <v>0</v>
      </c>
      <c r="IU150" s="6">
        <f>COUNTIFS(Table75[Country],Tabela1[[#This Row],[Country]],Table75[Boulder and Lead Classification],"&gt;0")</f>
        <v>0</v>
      </c>
      <c r="IV150" s="6">
        <f>COUNTIFS(Table76[Country],Tabela1[[#This Row],[Country]],Table76[Boulder and Lead Classification],"&gt;0")</f>
        <v>0</v>
      </c>
      <c r="IW150" s="6">
        <f>COUNTIFS(Table75[Country],Tabela1[[#This Row],[Country]],Table75[Speed Classification],"&gt;0")</f>
        <v>0</v>
      </c>
      <c r="IX150" s="6">
        <f>COUNTIFS(Table76[Country],Tabela1[[#This Row],[Country]],Table76[Speed Classification],"&gt;0")</f>
        <v>0</v>
      </c>
      <c r="IY150" s="6">
        <f>COUNTIFS(Table64[Country],Tabela1[[#This Row],[Country]],Table64[Shortboard Classification],"&gt;0")</f>
        <v>0</v>
      </c>
      <c r="IZ150" s="6">
        <f>COUNTIFS(Table77[Country],Tabela1[[#This Row],[Country]],Table77[Shortboard Classification],"&gt;0")</f>
        <v>0</v>
      </c>
      <c r="JA150" s="6">
        <f>COUNTIFS(Table20[Country],Tabela1[[#This Row],[Country]],Table20[50m Freestyle Classification],"&gt;0")</f>
        <v>0</v>
      </c>
      <c r="JB150" s="6">
        <f>COUNTIFS(Table21[Country],Tabela1[[#This Row],[Country]],Table21[50m Freestyle Classification],"&gt;0")</f>
        <v>0</v>
      </c>
      <c r="JC150" s="6">
        <f>COUNTIFS(Table20[Country],Tabela1[[#This Row],[Country]],Table20[100m Freestyle Classification],"&gt;0")</f>
        <v>0</v>
      </c>
      <c r="JD150" s="6">
        <f>COUNTIFS(Table21[Country],Tabela1[[#This Row],[Country]],Table21[100m Freestyle Classification],"&gt;0")</f>
        <v>0</v>
      </c>
      <c r="JE150" s="6">
        <f>COUNTIFS(Table20[Country],Tabela1[[#This Row],[Country]],Table20[200m Freestyle Classification],"&gt;0")</f>
        <v>0</v>
      </c>
      <c r="JF150" s="6">
        <f>COUNTIFS(Table21[Country],Tabela1[[#This Row],[Country]],Table21[200m Freestyle Classification],"&gt;0")</f>
        <v>0</v>
      </c>
      <c r="JG150" s="6">
        <f>COUNTIFS(Table20[Country],Tabela1[[#This Row],[Country]],Table20[400m Freestyle Classification],"&gt;0")</f>
        <v>0</v>
      </c>
      <c r="JH150" s="6">
        <f>COUNTIFS(Table21[Country],Tabela1[[#This Row],[Country]],Table21[400m Freestyle Classification],"&gt;0")</f>
        <v>0</v>
      </c>
      <c r="JI150" s="6">
        <f>COUNTIFS(Table20[Country],Tabela1[[#This Row],[Country]],Table20[800m Freestyle Classification],"&gt;0")</f>
        <v>0</v>
      </c>
      <c r="JJ150" s="6">
        <f>COUNTIFS(Table21[Country],Tabela1[[#This Row],[Country]],Table21[800m Freestyle Classification],"&gt;0")</f>
        <v>0</v>
      </c>
      <c r="JK150" s="6">
        <f>COUNTIFS(Table20[Country],Tabela1[[#This Row],[Country]],Table20[1500m Freestyle Classification],"&gt;0")</f>
        <v>0</v>
      </c>
      <c r="JL150" s="6">
        <f>COUNTIFS(Table21[Country],Tabela1[[#This Row],[Country]],Table21[1500m Freestyle Classification],"&gt;0")</f>
        <v>0</v>
      </c>
      <c r="JM150" s="6">
        <f>COUNTIFS(Table20[Country],Tabela1[[#This Row],[Country]],Table20[100m Backstroke Classification],"&gt;0")</f>
        <v>0</v>
      </c>
      <c r="JN150" s="6">
        <f>COUNTIFS(Table21[Country],Tabela1[[#This Row],[Country]],Table21[100m Backstroke Classification],"&gt;0")</f>
        <v>0</v>
      </c>
      <c r="JO150" s="6">
        <f>COUNTIFS(Table20[Country],Tabela1[[#This Row],[Country]],Table20[200m Backstroke Classification],"&gt;0")</f>
        <v>0</v>
      </c>
      <c r="JP150" s="6">
        <f>COUNTIFS(Table21[Country],Tabela1[[#This Row],[Country]],Table21[200m Backstroke Classification],"&gt;0")</f>
        <v>0</v>
      </c>
      <c r="JQ150" s="6">
        <f>COUNTIFS(Table20[Country],Tabela1[[#This Row],[Country]],Table20[100m Breaststroke Classification],"&gt;0")</f>
        <v>0</v>
      </c>
      <c r="JR150" s="6">
        <f>COUNTIFS(Table21[Country],Tabela1[[#This Row],[Country]],Table21[100m Breaststroke Classification],"&gt;0")</f>
        <v>0</v>
      </c>
      <c r="JS150" s="6">
        <f>COUNTIFS(Table20[Country],Tabela1[[#This Row],[Country]],Table20[200m Breaststroke Classification],"&gt;0")</f>
        <v>0</v>
      </c>
      <c r="JT150" s="6">
        <f>COUNTIFS(Table21[Country],Tabela1[[#This Row],[Country]],Table21[200m Breaststroke Classification],"&gt;0")</f>
        <v>0</v>
      </c>
      <c r="JU150" s="6">
        <f>COUNTIFS(Table20[Country],Tabela1[[#This Row],[Country]],Table20[100m Butterfly Classification],"&gt;0")</f>
        <v>0</v>
      </c>
      <c r="JV150" s="6">
        <f>COUNTIFS(Table21[Country],Tabela1[[#This Row],[Country]],Table21[100m Butterfly Classification],"&gt;0")</f>
        <v>0</v>
      </c>
      <c r="JW150" s="6">
        <f>COUNTIFS(Table20[Country],Tabela1[[#This Row],[Country]],Table20[200m Butterfly Classification],"&gt;0")</f>
        <v>0</v>
      </c>
      <c r="JX150" s="6">
        <f>COUNTIFS(Table21[Country],Tabela1[[#This Row],[Country]],Table21[200m Butterfly Classification],"&gt;0")</f>
        <v>0</v>
      </c>
      <c r="JY150" s="6">
        <f>COUNTIFS(Table20[Country],Tabela1[[#This Row],[Country]],Table20[200m Medley Classification],"&gt;0")</f>
        <v>0</v>
      </c>
      <c r="JZ150" s="6">
        <f>COUNTIFS(Table21[Country],Tabela1[[#This Row],[Country]],Table21[200m Medley Classification],"&gt;0")</f>
        <v>0</v>
      </c>
      <c r="KA150" s="6">
        <f>COUNTIFS(Table20[Country],Tabela1[[#This Row],[Country]],Table20[400m Medley Classification],"&gt;0")</f>
        <v>0</v>
      </c>
      <c r="KB150" s="6">
        <f>COUNTIFS(Table21[Country],Tabela1[[#This Row],[Country]],Table21[400m Medley Classification],"&gt;0")</f>
        <v>0</v>
      </c>
      <c r="KC150" s="6">
        <f>COUNTIFS(Table78[Country],Tabela1[[#This Row],[Country]],Table78[Men''s 4x100m Freestyle Relay Classification],"&gt;0")</f>
        <v>0</v>
      </c>
      <c r="KD150" s="6">
        <f>COUNTIFS(Table78[Country],Tabela1[[#This Row],[Country]],Table78[Women''s 4x100m Freestyle Relay Classification],"&gt;0")</f>
        <v>0</v>
      </c>
      <c r="KE150" s="6">
        <f>COUNTIFS(Table78[Country],Tabela1[[#This Row],[Country]],Table78[Men''s 4x200m Freestyle Relay Classification],"&gt;0")</f>
        <v>0</v>
      </c>
      <c r="KF150" s="6">
        <f>COUNTIFS(Table78[Country],Tabela1[[#This Row],[Country]],Table78[Women''s 4x200m Freestyle Relay Classification],"&gt;0")</f>
        <v>0</v>
      </c>
      <c r="KG150" s="6">
        <f>COUNTIFS(Table78[Country],Tabela1[[#This Row],[Country]],Table78[Men''s 4x100m Medley Relay Classification],"&gt;0")</f>
        <v>0</v>
      </c>
      <c r="KH150" s="6">
        <f>COUNTIFS(Table78[Country],Tabela1[[#This Row],[Country]],Table78[Women''s 4x100m Medley Relay Classification],"&gt;0")</f>
        <v>0</v>
      </c>
      <c r="KI150" s="6">
        <f>COUNTIFS(Table78[Country],Tabela1[[#This Row],[Country]],Table78[Mixed 4x100m Medley Relay Classification],"&gt;0")</f>
        <v>0</v>
      </c>
      <c r="KJ150" s="6">
        <f>COUNTIFS(Table20[Country],Tabela1[[#This Row],[Country]],Table20[10km Open Water Classification],"&gt;0")</f>
        <v>0</v>
      </c>
      <c r="KK150" s="6">
        <f>COUNTIFS(Table21[Country],Tabela1[[#This Row],[Country]],Table21[10km Open Water Classification],"&gt;0")</f>
        <v>0</v>
      </c>
      <c r="KL150" s="6">
        <f>COUNTIFS(Table22[Country],Tabela1[[#This Row],[Country]],Table22[Classification],"&gt;0")</f>
        <v>0</v>
      </c>
      <c r="KM150" s="6">
        <f>COUNTIFS(Table30[Country],Tabela1[[#This Row],[Country]],Table30[Classification],"&gt;0")</f>
        <v>0</v>
      </c>
      <c r="KN150" s="6">
        <f>COUNTIFS(Table55[Country],Tabela1[[#This Row],[Country]],Table55[Men''s Classification],"&gt;0")</f>
        <v>0</v>
      </c>
      <c r="KO150" s="6">
        <f>COUNTIFS(Table55[Country],Tabela1[[#This Row],[Country]],Table55[Women''s Classification],"&gt;0")</f>
        <v>0</v>
      </c>
      <c r="KP150" s="6">
        <f>COUNTIFS(Table56[Country],Tabela1[[#This Row],[Country]],Table56[Mixed Classification],"&gt;0")</f>
        <v>0</v>
      </c>
      <c r="KQ150" s="6">
        <f>COUNTIFS(Table29[Country],Tabela1[[#This Row],[Country]],Table29[58kg Classification],"&gt;0")</f>
        <v>0</v>
      </c>
      <c r="KR150" s="6">
        <f>COUNTIFS(Table29[Country],Tabela1[[#This Row],[Country]],Table29[68kg Classification],"&gt;0")</f>
        <v>0</v>
      </c>
      <c r="KS150" s="6">
        <f>COUNTIFS(Table29[Country],Tabela1[[#This Row],[Country]],Table29[80kg Classification],"&gt;0")</f>
        <v>0</v>
      </c>
      <c r="KT150" s="6">
        <f>COUNTIFS(Table29[Country],Tabela1[[#This Row],[Country]],Table29[Plus 80kg Classification],"&gt;0")</f>
        <v>0</v>
      </c>
      <c r="KU150" s="6">
        <f>COUNTIFS(Table34[Country],Tabela1[[#This Row],[Country]],Table34[49kg Classification],"&gt;0")</f>
        <v>0</v>
      </c>
      <c r="KV150" s="6">
        <f>COUNTIFS(Table34[Country],Tabela1[[#This Row],[Country]],Table34[57kg Classification],"&gt;0")</f>
        <v>0</v>
      </c>
      <c r="KW150" s="6">
        <f>COUNTIFS(Table34[Country],Tabela1[[#This Row],[Country]],Table34[67kg Classification],"&gt;0")</f>
        <v>0</v>
      </c>
      <c r="KX150" s="6">
        <f>COUNTIFS(Table34[Country],Tabela1[[#This Row],[Country]],Table34[Plus 67kg Classification],"&gt;0")</f>
        <v>0</v>
      </c>
      <c r="KY150" s="6">
        <f>COUNTIFS(Table57[Country],Tabela1[[#This Row],[Country]],Table57[Classification],"&gt;0")</f>
        <v>0</v>
      </c>
      <c r="KZ150" s="6">
        <f>COUNTIFS(Table58[Country],Tabela1[[#This Row],[Country]],Table58[Classification],"&gt;0")</f>
        <v>0</v>
      </c>
      <c r="LA150" s="6">
        <f>COUNTIFS(Table79[Country],Tabela1[[#This Row],[Country]],Table79[Men''s Classification],"&gt;0")</f>
        <v>0</v>
      </c>
      <c r="LB150" s="6">
        <f>COUNTIFS(Table79[Country],Tabela1[[#This Row],[Country]],Table79[Women''s Classification],"&gt;0")</f>
        <v>0</v>
      </c>
      <c r="LC150" s="6">
        <f>COUNTIFS(Table79[Country],Tabela1[[#This Row],[Country]],Table79[Mixed Classification],"&gt;0")</f>
        <v>0</v>
      </c>
      <c r="LD150" s="6">
        <f>COUNTIFS(Table65[Country],Tabela1[[#This Row],[Country]],Table65[Classification],"&gt;0")</f>
        <v>0</v>
      </c>
      <c r="LE150" s="6">
        <f>COUNTIFS(Table59[Country],Tabela1[[#This Row],[Country]],Table59[Classification],"&gt;0")</f>
        <v>0</v>
      </c>
      <c r="LF150" s="6">
        <f>COUNTIFS(Table87[Country],Tabela1[[#This Row],[Country]],Table87[Mixed Relay Classification],"&gt;0")</f>
        <v>0</v>
      </c>
      <c r="LG150" s="6">
        <f>COUNTIFS(Table91949698100[Country],Tabela1[[#This Row],[Country]],Table91949698100[Men''s Classification],"&gt;0")</f>
        <v>0</v>
      </c>
      <c r="LH150" s="6">
        <f>COUNTIFS(Table91949698100[Country],Tabela1[[#This Row],[Country]],Table91949698100[Women''s Classification],"&gt;0")</f>
        <v>0</v>
      </c>
      <c r="LI150" s="6">
        <f>COUNTIFS(Table91949698100102[Country],Tabela1[[#This Row],[Country]],Table91949698100102[Men''s Classification],"&gt;0")</f>
        <v>0</v>
      </c>
      <c r="LJ150" s="6">
        <f>COUNTIFS(Table91949698100102[Country],Tabela1[[#This Row],[Country]],Table91949698100102[Women''s Classification],"&gt;0")</f>
        <v>0</v>
      </c>
      <c r="LK150" s="6">
        <f>COUNTIFS(Table23[Country],Tabela1[[#This Row],[Country]],Table23[61kg Classification],"&gt;0")</f>
        <v>0</v>
      </c>
      <c r="LL150" s="6">
        <f>COUNTIFS(Table23[Country],Tabela1[[#This Row],[Country]],Table23[73kg Classification],"&gt;0")</f>
        <v>0</v>
      </c>
      <c r="LM150" s="6">
        <f>COUNTIFS(Table23[Country],Tabela1[[#This Row],[Country]],Table23[89kg Classification],"&gt;0")</f>
        <v>0</v>
      </c>
      <c r="LN150" s="6">
        <f>COUNTIFS(Table23[Country],Tabela1[[#This Row],[Country]],Table23[102kg Classification],"&gt;0")</f>
        <v>0</v>
      </c>
      <c r="LO150" s="6">
        <f>COUNTIFS(Table23[Country],Tabela1[[#This Row],[Country]],Table23[Plus 102kg Classification],"&gt;0")</f>
        <v>0</v>
      </c>
      <c r="LP150" s="6">
        <f>COUNTIFS(Table28[Country],Tabela1[[#This Row],[Country]],Table28[49kg Classification],"&gt;0")</f>
        <v>0</v>
      </c>
      <c r="LQ150" s="6">
        <f>COUNTIFS(Table28[Country],Tabela1[[#This Row],[Country]],Table28[59kg Classification],"&gt;0")</f>
        <v>0</v>
      </c>
      <c r="LR150" s="6">
        <f>COUNTIFS(Table28[Country],Tabela1[[#This Row],[Country]],Table28[71kg Classification],"&gt;0")</f>
        <v>0</v>
      </c>
      <c r="LS150" s="6">
        <f>COUNTIFS(Table28[Country],Tabela1[[#This Row],[Country]],Table28[81kg Classification],"&gt;0")</f>
        <v>0</v>
      </c>
      <c r="LT150" s="6">
        <f>COUNTIFS(Table28[Country],Tabela1[[#This Row],[Country]],Table28[Plus 81kg Classification],"&gt;0")</f>
        <v>0</v>
      </c>
      <c r="LU150" s="6">
        <f>COUNTIFS(Table24[Country],Tabela1[[#This Row],[Country]],Table24[Freestyle 57kg Classification],"&gt;0")</f>
        <v>0</v>
      </c>
      <c r="LV150" s="6">
        <f>COUNTIFS(Table24[Country],Tabela1[[#This Row],[Country]],Table24[Freestyle 65kg Classification],"&gt;0")</f>
        <v>0</v>
      </c>
      <c r="LW150" s="6">
        <f>COUNTIFS(Table24[Country],Tabela1[[#This Row],[Country]],Table24[Freestyle 74kg Classification],"&gt;0")</f>
        <v>0</v>
      </c>
      <c r="LX150" s="6">
        <f>COUNTIFS(Table24[Country],Tabela1[[#This Row],[Country]],Table24[Freestyle 86kg Classification],"&gt;0")</f>
        <v>0</v>
      </c>
      <c r="LY150" s="6">
        <f>COUNTIFS(Table24[Country],Tabela1[[#This Row],[Country]],Table24[Freestyle 97kg Classification],"&gt;0")</f>
        <v>0</v>
      </c>
      <c r="LZ150" s="6">
        <f>COUNTIFS(Table24[Country],Tabela1[[#This Row],[Country]],Table24[Freestyle 125kg Classification],"&gt;0")</f>
        <v>0</v>
      </c>
      <c r="MA150" s="6">
        <f>COUNTIFS(Table24[Country],Tabela1[[#This Row],[Country]],Table24[Greco-Roman 60kg Classification],"&gt;0")</f>
        <v>0</v>
      </c>
      <c r="MB150" s="6">
        <f>COUNTIFS(Table24[Country],Tabela1[[#This Row],[Country]],Table24[Greco-Roman 67kg Classification],"&gt;0")</f>
        <v>0</v>
      </c>
      <c r="MC150" s="6">
        <f>COUNTIFS(Table24[Country],Tabela1[[#This Row],[Country]],Table24[Greco-Roman 77kg Classification],"&gt;0")</f>
        <v>0</v>
      </c>
      <c r="MD150" s="6">
        <f>COUNTIFS(Table24[Country],Tabela1[[#This Row],[Country]],Table24[Greco-Roman 87kg Classification],"&gt;0")</f>
        <v>0</v>
      </c>
      <c r="ME150" s="6">
        <f>COUNTIFS(Table24[Country],Tabela1[[#This Row],[Country]],Table24[Greco-Roman 97kg Classification],"&gt;0")</f>
        <v>0</v>
      </c>
      <c r="MF150" s="6">
        <f>COUNTIFS(Table24[Country],Tabela1[[#This Row],[Country]],Table24[Greco-Roman 130kg Classification],"&gt;0")</f>
        <v>0</v>
      </c>
      <c r="MG150" s="6">
        <f>COUNTIFS(Table31[Country],Tabela1[[#This Row],[Country]],Table31[50kg Classification],"&gt;0")</f>
        <v>0</v>
      </c>
      <c r="MH150" s="6">
        <f>COUNTIFS(Table31[Country],Tabela1[[#This Row],[Country]],Table31[53kg Classification],"&gt;0")</f>
        <v>0</v>
      </c>
      <c r="MI150" s="6">
        <f>COUNTIFS(Table31[Country],Tabela1[[#This Row],[Country]],Table31[57kg Classification],"&gt;0")</f>
        <v>0</v>
      </c>
      <c r="MJ150" s="6">
        <f>COUNTIFS(Table31[Country],Tabela1[[#This Row],[Country]],Table31[62kg Classification],"&gt;0")</f>
        <v>0</v>
      </c>
      <c r="MK150" s="6">
        <f>COUNTIFS(Table31[Country],Tabela1[[#This Row],[Country]],Table31[68kg Classification],"&gt;0")</f>
        <v>0</v>
      </c>
      <c r="ML150" s="6">
        <f>COUNTIFS(Table31[Country],Tabela1[[#This Row],[Country]],Table31[76kg Classification],"&gt;0")</f>
        <v>0</v>
      </c>
      <c r="MM150" s="6">
        <f>COUNTIFS(Table102[Country],Tabela1[[#This Row],[Country]],Table102[Downhill Classification],"&gt;0")</f>
        <v>0</v>
      </c>
      <c r="MN150" s="6">
        <f>COUNTIFS(Table102105[Country],Tabela1[[#This Row],[Country]],Table102105[Downhill Classification],"&gt;0")</f>
        <v>0</v>
      </c>
      <c r="MO150" s="6">
        <f>COUNTIFS(Table102[Country],Tabela1[[#This Row],[Country]],Table102[Giant Slalom Classification],"&gt;0")</f>
        <v>0</v>
      </c>
      <c r="MP150" s="6">
        <f>COUNTIFS(Table102105[Country],Tabela1[[#This Row],[Country]],Table102105[Giant Slalom Classification],"&gt;0")</f>
        <v>0</v>
      </c>
      <c r="MQ150" s="6">
        <f>COUNTIFS(Table102[Country],Tabela1[[#This Row],[Country]],Table102[Slalom Classification],"&gt;0")</f>
        <v>0</v>
      </c>
      <c r="MR150" s="6">
        <f>COUNTIFS(Table102105[Country],Tabela1[[#This Row],[Country]],Table102105[Slalom Classification],"&gt;0")</f>
        <v>0</v>
      </c>
      <c r="MS150" s="6">
        <f>COUNTIFS(Table102[Country],Tabela1[[#This Row],[Country]],Table102[Super-G Classification],"&gt;0")</f>
        <v>0</v>
      </c>
      <c r="MT150" s="6">
        <f>COUNTIFS(Table102105[Country],Tabela1[[#This Row],[Country]],Table102105[Super-G Classification],"&gt;0")</f>
        <v>0</v>
      </c>
      <c r="MU150" s="6">
        <f>COUNTIFS(Table105[Country],Tabela1[[#This Row],[Country]],Table105[Men''s Combined Classification],"&gt;0")</f>
        <v>0</v>
      </c>
      <c r="MV150" s="6">
        <f>COUNTIFS(Table105[Country],Tabela1[[#This Row],[Country]],Table105[Women''s Combined Classification],"&gt;0")</f>
        <v>0</v>
      </c>
      <c r="MW150" s="6">
        <f>COUNTIFS(Table106[Country],Tabela1[[#This Row],[Country]],Table106[Individual Classification],"&gt;0")</f>
        <v>0</v>
      </c>
      <c r="MX150" s="6">
        <f>COUNTIFS(Table106109[Country],Tabela1[[#This Row],[Country]],Table106109[Individual Classification],"&gt;0")</f>
        <v>0</v>
      </c>
      <c r="MY150" s="6">
        <f>COUNTIFS(Table106[Country],Tabela1[[#This Row],[Country]],Table106[Mass Start Classification],"&gt;0")</f>
        <v>0</v>
      </c>
      <c r="MZ150" s="6">
        <f>COUNTIFS(Table106109[Country],Tabela1[[#This Row],[Country]],Table106109[Mass Start Classification],"&gt;0")</f>
        <v>0</v>
      </c>
      <c r="NA150" s="6">
        <f>COUNTIFS(Table106[Country],Tabela1[[#This Row],[Country]],Table106[Pursuit Classification],"&gt;0")</f>
        <v>0</v>
      </c>
      <c r="NB150" s="6">
        <f>COUNTIFS(Table106109[Country],Tabela1[[#This Row],[Country]],Table106109[Pursuit Classification],"&gt;0")</f>
        <v>0</v>
      </c>
      <c r="NC150" s="6">
        <f>COUNTIFS(Table106[Country],Tabela1[[#This Row],[Country]],Table106[Sprint Classification],"&gt;0")</f>
        <v>0</v>
      </c>
      <c r="ND150" s="6">
        <f>COUNTIFS(Table106109[Country],Tabela1[[#This Row],[Country]],Table106109[Sprint Classification],"&gt;0")</f>
        <v>0</v>
      </c>
      <c r="NE150" s="6">
        <f>COUNTIFS(Table109[Country],Tabela1[[#This Row],[Country]],Table109[Men''s Relay Classification],"&gt;0")</f>
        <v>0</v>
      </c>
      <c r="NF150" s="6">
        <f>COUNTIFS(Table109[Country],Tabela1[[#This Row],[Country]],Table109[Women''s Relay Classification],"&gt;0")</f>
        <v>0</v>
      </c>
      <c r="NG150" s="6">
        <f>COUNTIFS(Table109[Country],Tabela1[[#This Row],[Country]],Table109[Mixed Relay Classification],"&gt;0")</f>
        <v>0</v>
      </c>
      <c r="NH150" s="6">
        <f>COUNTIFS(Table110[Country],Tabela1[[#This Row],[Country]],Table110[Monobob Classification],"&gt;0")</f>
        <v>0</v>
      </c>
      <c r="NI150" s="6">
        <f>COUNTIFS(Table111[Country],Tabela1[[#This Row],[Country]],Table111[Men''s Classification],"&gt;0")</f>
        <v>0</v>
      </c>
      <c r="NJ150" s="6">
        <f>COUNTIFS(Table111[Country],Tabela1[[#This Row],[Country]],Table111[Women''s Classification],"&gt;0")</f>
        <v>0</v>
      </c>
      <c r="NK150" s="6">
        <f>COUNTIFS(Table112[Country],Tabela1[[#This Row],[Country]],Table112[Men''s Four Classification],"&gt;0")</f>
        <v>0</v>
      </c>
      <c r="NL150" s="6">
        <f>COUNTIFS(Table113[Country],Tabela1[[#This Row],[Country]],Table113[Classical Classification],"&gt;0")</f>
        <v>0</v>
      </c>
      <c r="NM150" s="6">
        <f>COUNTIFS(Table113116[Country],Tabela1[[#This Row],[Country]],Table113116[Classical Classification],"&gt;0")</f>
        <v>0</v>
      </c>
      <c r="NN150" s="6">
        <f>COUNTIFS(Table113[Country],Tabela1[[#This Row],[Country]],Table113[Freestyle Classification],"&gt;0")</f>
        <v>0</v>
      </c>
      <c r="NO150" s="6">
        <f>COUNTIFS(Table113116[Country],Tabela1[[#This Row],[Country]],Table113116[Freestyle Classification],"&gt;0")</f>
        <v>0</v>
      </c>
      <c r="NP150" s="6">
        <f>COUNTIFS(Table117[Country],Tabela1[[#This Row],[Country]],Table117[Men''s Relay Classification],"&gt;0")</f>
        <v>0</v>
      </c>
      <c r="NQ150" s="6">
        <f>COUNTIFS(Table117[Country],Tabela1[[#This Row],[Country]],Table117[Women''s Relay Classification],"&gt;0")</f>
        <v>0</v>
      </c>
      <c r="NR150" s="6">
        <f>COUNTIFS(Table113[Country],Tabela1[[#This Row],[Country]],Table113[Skiathlon Classification],"&gt;0")</f>
        <v>0</v>
      </c>
      <c r="NS150" s="6">
        <f>COUNTIFS(Table113116[Country],Tabela1[[#This Row],[Country]],Table113116[Skiathlon Classification],"&gt;0")</f>
        <v>0</v>
      </c>
      <c r="NT150" s="6">
        <f>COUNTIFS(Table113[Country],Tabela1[[#This Row],[Country]],Table113[Sprint Classification],"&gt;0")</f>
        <v>0</v>
      </c>
      <c r="NU150" s="6">
        <f>COUNTIFS(Table113116[Country],Tabela1[[#This Row],[Country]],Table113116[Sprint Classification],"&gt;0")</f>
        <v>0</v>
      </c>
      <c r="NV150" s="6">
        <f>COUNTIFS(Table116[Country],Tabela1[[#This Row],[Country]],Table116[Men''s Team Sprint Classification],"&gt;0")</f>
        <v>0</v>
      </c>
      <c r="NW150" s="6">
        <f>COUNTIFS(Table116[Country],Tabela1[[#This Row],[Country]],Table116[Women''s Team Sprint Classification],"&gt;0")</f>
        <v>0</v>
      </c>
      <c r="NX150" s="6">
        <f>COUNTIFS(Table119[Country],Tabela1[[#This Row],[Country]],Table119[Men''s Classification],"&gt;0")</f>
        <v>0</v>
      </c>
      <c r="NY150" s="6">
        <f>COUNTIFS(Table119[Country],Tabela1[[#This Row],[Country]],Table119[Women''s Classification],"&gt;0")</f>
        <v>0</v>
      </c>
      <c r="NZ150" s="6">
        <f>COUNTIFS(Table118[Country],Tabela1[[#This Row],[Country]],Table118[Mixed Classification],"&gt;0")</f>
        <v>0</v>
      </c>
      <c r="OA150" s="6">
        <f>COUNTIFS(Table120[Country],Tabela1[[#This Row],[Country]],Table120[Classification],"&gt;0")</f>
        <v>0</v>
      </c>
      <c r="OB150" s="6">
        <f>COUNTIFS(Table120123[Country],Tabela1[[#This Row],[Country]],Table120123[Classification],"&gt;0")</f>
        <v>0</v>
      </c>
      <c r="OC150" s="6">
        <f>COUNTIFS(Table123[Country],Tabela1[[#This Row],[Country]],Table123[Ice Dance Classification],"&gt;0")</f>
        <v>0</v>
      </c>
      <c r="OD150" s="6">
        <f>COUNTIFS(Table123[Country],Tabela1[[#This Row],[Country]],Table123[Pair Skating Classification],"&gt;0")</f>
        <v>0</v>
      </c>
      <c r="OE150" s="6">
        <f>COUNTIFS(Table124[Country],Tabela1[[#This Row],[Country]],Table124[Mixed Classification],"&gt;0")</f>
        <v>0</v>
      </c>
      <c r="OF150" s="6">
        <f>COUNTIFS(Table125[Country],Tabela1[[#This Row],[Country]],Table125[Aerials Classification],"&gt;0")</f>
        <v>0</v>
      </c>
      <c r="OG150" s="6">
        <f>COUNTIFS(Table125128[Country],Tabela1[[#This Row],[Country]],Table125128[Aerials Classification],"&gt;0")</f>
        <v>0</v>
      </c>
      <c r="OH150" s="6">
        <f>COUNTIFS(Table128[Country],Tabela1[[#This Row],[Country]],Table128[Mixed Aerials Classification],"&gt;0")</f>
        <v>0</v>
      </c>
      <c r="OI150" s="6">
        <f>COUNTIFS(Table125[Country],Tabela1[[#This Row],[Country]],Table125[Big Air Classification],"&gt;0")</f>
        <v>0</v>
      </c>
      <c r="OJ150" s="6">
        <f>COUNTIFS(Table125128[Country],Tabela1[[#This Row],[Country]],Table125128[Big Air Classification],"&gt;0")</f>
        <v>0</v>
      </c>
      <c r="OK150" s="6">
        <f>COUNTIFS(Table125[Country],Tabela1[[#This Row],[Country]],Table125[Dual Moguls Classification],"&gt;0")</f>
        <v>0</v>
      </c>
      <c r="OL150" s="6">
        <f>COUNTIFS(Table125128[Country],Tabela1[[#This Row],[Country]],Table125128[Dual Moguls Classification],"&gt;0")</f>
        <v>0</v>
      </c>
      <c r="OM150" s="6">
        <f>COUNTIFS(Table125[Country],Tabela1[[#This Row],[Country]],Table125[Halfpipe Classification],"&gt;0")</f>
        <v>0</v>
      </c>
      <c r="ON150" s="6">
        <f>COUNTIFS(Table125128[Country],Tabela1[[#This Row],[Country]],Table125128[Halfpipe Classification],"&gt;0")</f>
        <v>0</v>
      </c>
      <c r="OO150" s="6">
        <f>COUNTIFS(Table125[Country],Tabela1[[#This Row],[Country]],Table125[Moguls Classification],"&gt;0")</f>
        <v>0</v>
      </c>
      <c r="OP150" s="6">
        <f>COUNTIFS(Table125128[Country],Tabela1[[#This Row],[Country]],Table125128[Moguls Classification],"&gt;0")</f>
        <v>0</v>
      </c>
      <c r="OQ150" s="6">
        <f>COUNTIFS(Table125[Country],Tabela1[[#This Row],[Country]],Table125[Ski Cross Classification],"&gt;0")</f>
        <v>0</v>
      </c>
      <c r="OR150" s="6">
        <f>COUNTIFS(Table125128[Country],Tabela1[[#This Row],[Country]],Table125128[Ski Cross Classification],"&gt;0")</f>
        <v>0</v>
      </c>
      <c r="OS150" s="6">
        <f>COUNTIFS(Table125[Country],Tabela1[[#This Row],[Country]],Table125[Slopestyle Classification],"&gt;0")</f>
        <v>0</v>
      </c>
      <c r="OT150" s="6">
        <f>COUNTIFS(Table125128[Country],Tabela1[[#This Row],[Country]],Table125128[Slopestyle Classification],"&gt;0")</f>
        <v>0</v>
      </c>
      <c r="OU150" s="6">
        <f>COUNTIFS(Table119131[Country],Tabela1[[#This Row],[Country]],Table119131[Men''s Classification],"&gt;0")</f>
        <v>0</v>
      </c>
      <c r="OV150" s="6">
        <f>COUNTIFS(Table119131[Country],Tabela1[[#This Row],[Country]],Table119131[Women''s Classification],"&gt;0")</f>
        <v>0</v>
      </c>
      <c r="OW150" s="6">
        <f>COUNTIFS(Table131[Country],Tabela1[[#This Row],[Country]],Table131[Classification],"&gt;0")</f>
        <v>0</v>
      </c>
      <c r="OX150" s="6">
        <f>COUNTIFS(Table131134[Country],Tabela1[[#This Row],[Country]],Table131134[Classification],"&gt;0")</f>
        <v>0</v>
      </c>
      <c r="OY150" s="6">
        <f>COUNTIFS(Table134[Country],Tabela1[[#This Row],[Country]],Table134[Men''s Classification],"&gt;0")</f>
        <v>0</v>
      </c>
      <c r="OZ150" s="6">
        <f>COUNTIFS(Table134[Country],Tabela1[[#This Row],[Country]],Table134[Women''s Classification],"&gt;0")</f>
        <v>0</v>
      </c>
      <c r="PA150" s="6">
        <f>COUNTIFS(Table135[Country],Tabela1[[#This Row],[Country]],Table135[Mixed Relay Classification],"&gt;0")</f>
        <v>0</v>
      </c>
      <c r="PB150" s="6">
        <f>COUNTIFS(Table136[Country],Tabela1[[#This Row],[Country]],Table136[Individual Classification],"&gt;0")</f>
        <v>0</v>
      </c>
      <c r="PC150" s="6">
        <f>COUNTIFS(Table136[Country],Tabela1[[#This Row],[Country]],Table136[Sprint Classification],"&gt;0")</f>
        <v>0</v>
      </c>
      <c r="PD150" s="6">
        <f>COUNTIFS(Table137[Country],Tabela1[[#This Row],[Country]],Table137[Men''s Team Sprint Large Hill Classification],"&gt;0")</f>
        <v>0</v>
      </c>
      <c r="PE150" s="6">
        <f>COUNTIFS(Table138[Country],Tabela1[[#This Row],[Country]],Table138[500m Classification],"&gt;0")</f>
        <v>0</v>
      </c>
      <c r="PF150" s="6">
        <f>COUNTIFS(Table138141[Country],Tabela1[[#This Row],[Country]],Table138141[500m Classification],"&gt;0")</f>
        <v>0</v>
      </c>
      <c r="PG150" s="6">
        <f>COUNTIFS(Table138[Country],Tabela1[[#This Row],[Country]],Table138[1000m Classification],"&gt;0")</f>
        <v>0</v>
      </c>
      <c r="PH150" s="6">
        <f>COUNTIFS(Table138141[Country],Tabela1[[#This Row],[Country]],Table138141[1000m Classification],"&gt;0")</f>
        <v>0</v>
      </c>
      <c r="PI150" s="6">
        <f>COUNTIFS(Table138[Country],Tabela1[[#This Row],[Country]],Table138[1500m Classification],"&gt;0")</f>
        <v>0</v>
      </c>
      <c r="PJ150" s="6">
        <f>COUNTIFS(Table138141[Country],Tabela1[[#This Row],[Country]],Table138141[1500m Classification],"&gt;0")</f>
        <v>0</v>
      </c>
      <c r="PK150" s="6">
        <f>COUNTIFS(Table141[Country],Tabela1[[#This Row],[Country]],Table141[Men''s 5000m Relay Classification],"&gt;0")</f>
        <v>0</v>
      </c>
      <c r="PL150" s="6">
        <f>COUNTIFS(Table141[Country],Tabela1[[#This Row],[Country]],Table141[Women''s 3000m Relay Classification],"&gt;0")</f>
        <v>0</v>
      </c>
      <c r="PM150" s="6">
        <f>COUNTIFS(Table141[Country],Tabela1[[#This Row],[Country]],Table141[Mixed 2000m Relay Classification],"&gt;0")</f>
        <v>0</v>
      </c>
      <c r="PN150" s="6">
        <f>COUNTIFS(Table142[Country],Tabela1[[#This Row],[Country]],Table142[Classification],"&gt;0")</f>
        <v>0</v>
      </c>
      <c r="PO150" s="6">
        <f>COUNTIFS(Table142145[Country],Tabela1[[#This Row],[Country]],Table142145[Classification],"&gt;0")</f>
        <v>0</v>
      </c>
      <c r="PP150" s="6">
        <f>COUNTIFS(Tabela15[Country],Tabela1[[#This Row],[Country]],Tabela15[Mixed Team Classification],"&gt;0")</f>
        <v>0</v>
      </c>
      <c r="PQ150" s="6">
        <f>COUNTIFS(Table145[Country],Tabela1[[#This Row],[Country]],Table145[Large Hill Classification],"&gt;0")</f>
        <v>0</v>
      </c>
      <c r="PR150" s="6">
        <f>COUNTIFS(Table145[Country],Tabela1[[#This Row],[Country]],Table145[Normal Hill Classification],"&gt;0")</f>
        <v>0</v>
      </c>
      <c r="PS150" s="6">
        <f>COUNTIFS(Table145148[Country],Tabela1[[#This Row],[Country]],Table145148[Large Hill Classification],"&gt;0")</f>
        <v>0</v>
      </c>
      <c r="PT150" s="6">
        <f>COUNTIFS(Table145148[Country],Tabela1[[#This Row],[Country]],Table145148[Normal Hill Classification],"&gt;0")</f>
        <v>0</v>
      </c>
      <c r="PU150" s="6">
        <f>COUNTIFS(Table148[Country],Tabela1[[#This Row],[Country]],Table148[Men''s Super Team Classification],"&gt;0")</f>
        <v>0</v>
      </c>
      <c r="PV150" s="6">
        <f>COUNTIFS(Tabela114[Country],Tabela1[[#This Row],[Country]],Tabela114[Mixed Normal Hill Classification],"&gt;0")</f>
        <v>0</v>
      </c>
      <c r="PW150" s="6">
        <f>COUNTIFS(Tabela50[Country],Tabela1[[#This Row],[Country]],Tabela50[Sprint Classification],"&gt;0")</f>
        <v>0</v>
      </c>
      <c r="PX150" s="6">
        <f>COUNTIFS(Tabela50101[Country],Tabela1[[#This Row],[Country]],Tabela50101[Sprint Classification],"&gt;0")</f>
        <v>0</v>
      </c>
      <c r="PY150" s="6">
        <f>COUNTIFS(Tabela103[Country],Tabela1[[#This Row],[Country]],Tabela103[Mixed Relay Classification],"&gt;0")</f>
        <v>0</v>
      </c>
      <c r="PZ150" s="6">
        <f>COUNTIFS(Table149[Country],Tabela1[[#This Row],[Country]],Table149[Big Air Classification],"&gt;0")</f>
        <v>0</v>
      </c>
      <c r="QA150" s="6">
        <f>COUNTIFS(Table149152[Country],Tabela1[[#This Row],[Country]],Table149152[Big Air Classification],"&gt;0")</f>
        <v>0</v>
      </c>
      <c r="QB150" s="6">
        <f>COUNTIFS(Table149[Country],Tabela1[[#This Row],[Country]],Table149[Halfpipe Classification],"&gt;0")</f>
        <v>0</v>
      </c>
      <c r="QC150" s="6">
        <f>COUNTIFS(Table149152[Country],Tabela1[[#This Row],[Country]],Table149152[Halfpipe Classification],"&gt;0")</f>
        <v>0</v>
      </c>
      <c r="QD150" s="6">
        <f>COUNTIFS(Table149[Country],Tabela1[[#This Row],[Country]],Table149[Parallel Giant Slalom Classification],"&gt;0")</f>
        <v>0</v>
      </c>
      <c r="QE150" s="6">
        <f>COUNTIFS(Table149152[Country],Tabela1[[#This Row],[Country]],Table149152[Parallel Giant Slalom Classification],"&gt;0")</f>
        <v>0</v>
      </c>
      <c r="QF150" s="6">
        <f>COUNTIFS(Table149[Country],Tabela1[[#This Row],[Country]],Table149[Slopestyle Classification],"&gt;0")</f>
        <v>0</v>
      </c>
      <c r="QG150" s="6">
        <f>COUNTIFS(Table149152[Country],Tabela1[[#This Row],[Country]],Table149152[Slopestyle Classification],"&gt;0")</f>
        <v>0</v>
      </c>
      <c r="QH150" s="6">
        <f>COUNTIFS(Table149[Country],Tabela1[[#This Row],[Country]],Table149[Snowboard Cross Classification],"&gt;0")</f>
        <v>0</v>
      </c>
      <c r="QI150" s="6">
        <f>COUNTIFS(Table149152[Country],Tabela1[[#This Row],[Country]],Table149152[Snowboard Cross Classification],"&gt;0")</f>
        <v>0</v>
      </c>
      <c r="QJ150" s="6">
        <f>COUNTIFS(Table153[Country],Tabela1[[#This Row],[Country]],Table153[Mixed Team Snowboard Cross Classification],"&gt;0")</f>
        <v>0</v>
      </c>
      <c r="QK150" s="6">
        <f>COUNTIFS(Table154[Country],Tabela1[[#This Row],[Country]],Table154[500m Classification],"&gt;0")</f>
        <v>0</v>
      </c>
      <c r="QL150" s="6">
        <f>COUNTIFS(Table154157[Country],Tabela1[[#This Row],[Country]],Table154157[500m Classification],"&gt;0")</f>
        <v>0</v>
      </c>
      <c r="QM150" s="6">
        <f>COUNTIFS(Table154[Country],Tabela1[[#This Row],[Country]],Table154[1000m Classification],"&gt;0")</f>
        <v>0</v>
      </c>
      <c r="QN150" s="6">
        <f>COUNTIFS(Table154157[Country],Tabela1[[#This Row],[Country]],Table154157[1000m Classification],"&gt;0")</f>
        <v>0</v>
      </c>
      <c r="QO150" s="6">
        <f>COUNTIFS(Table154[Country],Tabela1[[#This Row],[Country]],Table154[1500m Classification],"&gt;0")</f>
        <v>0</v>
      </c>
      <c r="QP150" s="6">
        <f>COUNTIFS(Table154157[Country],Tabela1[[#This Row],[Country]],Table154157[1500m Classification],"&gt;0")</f>
        <v>0</v>
      </c>
      <c r="QQ150" s="6">
        <f>COUNTIFS(Table154157[Country],Tabela1[[#This Row],[Country]],Table154157[3000m Classification],"&gt;0")</f>
        <v>0</v>
      </c>
      <c r="QR150" s="6">
        <f>COUNTIFS(Table154[Country],Tabela1[[#This Row],[Country]],Table154[5000m Classification],"&gt;0")</f>
        <v>0</v>
      </c>
      <c r="QS150" s="6">
        <f>COUNTIFS(Table154157[Country],Tabela1[[#This Row],[Country]],Table154157[5000m Classification],"&gt;0")</f>
        <v>0</v>
      </c>
      <c r="QT150" s="6">
        <f>COUNTIFS(Table154[Country],Tabela1[[#This Row],[Country]],Table154[10000m Classification],"&gt;0")</f>
        <v>0</v>
      </c>
      <c r="QU150" s="6">
        <f>COUNTIFS(Table154[Country],Tabela1[[#This Row],[Country]],Table154[Mass Start Classification],"&gt;0")</f>
        <v>0</v>
      </c>
      <c r="QV150" s="6">
        <f>COUNTIFS(Table154157[Country],Tabela1[[#This Row],[Country]],Table154157[Mass Start Classification],"&gt;0")</f>
        <v>0</v>
      </c>
      <c r="QW150" s="6">
        <f>COUNTIFS(Table157[Country],Tabela1[[#This Row],[Country]],Table157[Men''s Pursuit Classification],"&gt;0")</f>
        <v>0</v>
      </c>
      <c r="QX150" s="6">
        <f>COUNTIFS(Table157[Country],Tabela1[[#This Row],[Country]],Table157[Women''s Pursuit Classification],"&gt;0")</f>
        <v>0</v>
      </c>
      <c r="QY150" s="4" t="s">
        <v>677</v>
      </c>
    </row>
    <row r="151" spans="1:467" x14ac:dyDescent="0.3">
      <c r="A151" s="6">
        <v>150</v>
      </c>
      <c r="B151" s="6" t="s">
        <v>514</v>
      </c>
      <c r="C151" t="e" vm="150">
        <f>IF(ISBLANK(Tabela1[[#This Row],[Image Link]]), "", _xlfn.IMAGE(Tabela1[[#This Row],[Image Link]],1,1))</f>
        <v>#VALUE!</v>
      </c>
      <c r="D151" s="6">
        <f>SUM(Tabela1[[#This Row],[Archery - Men''s Individual Recurve]:[Speed Skating - Women''s Team Pursuit]])</f>
        <v>1</v>
      </c>
      <c r="E151" s="6">
        <f>COUNTIF(Tabela1[[#This Row],[Archery - Men''s Individual Recurve]:[Speed Skating - Women''s Team Pursuit]],"&gt;0")</f>
        <v>1</v>
      </c>
      <c r="F151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51" s="6">
        <f>SUM(Tabela1[[#This Row],[Archery - Men''s Individual Recurve]:[Wrestling - Women''s Freestyle 76kg]])</f>
        <v>1</v>
      </c>
      <c r="H151" s="6">
        <f>SUM(Tabela1[[#This Row],[Alpine Skiing - Men''s Downhill]:[Speed Skating - Women''s Team Pursuit]])</f>
        <v>0</v>
      </c>
      <c r="I151" s="6">
        <f>Tabela1[[#This Row],[Summer Gold Medals]]+Tabela1[[#This Row],[Winter Gold Medals]]</f>
        <v>0</v>
      </c>
      <c r="J151" s="6">
        <f>Tabela1[[#This Row],[Summer Silver Medals]]+Tabela1[[#This Row],[Winter Silver Medals]]</f>
        <v>0</v>
      </c>
      <c r="K151" s="6">
        <f>Tabela1[[#This Row],[Summer Bronze Medals]]+Tabela1[[#This Row],[Winter Bronze Medals]]</f>
        <v>0</v>
      </c>
      <c r="L151" s="6">
        <f>SUM(Tabela1[[#This Row],[Total Gold Medals]:[Total Bronze Medals]])</f>
        <v>0</v>
      </c>
      <c r="M151" s="6"/>
      <c r="N151" s="6"/>
      <c r="O151" s="6"/>
      <c r="P151" s="6">
        <f>SUM(Tabela1[[#This Row],[Summer Gold Medals]:[Summer Bronze Medals]])</f>
        <v>0</v>
      </c>
      <c r="Q151" s="6"/>
      <c r="R151" s="6"/>
      <c r="S151" s="6"/>
      <c r="T151" s="6">
        <f>Tabela1[[#This Row],[Winter Gold Medals]]+Tabela1[[#This Row],[Winter Silver Medals]]+Tabela1[[#This Row],[Winter Bronze Medals]]</f>
        <v>0</v>
      </c>
      <c r="U151" s="7">
        <f>Tabela1[[#This Row],[Total Medals]]/Tabela1[[#This Row],[Total Quotas]]</f>
        <v>0</v>
      </c>
      <c r="V151" s="6">
        <f>COUNTIFS(Table3[Country],Tabela1[[#This Row],[Country]],Table3[Recurve Classification],"&gt;0")</f>
        <v>0</v>
      </c>
      <c r="W151" s="6">
        <f>COUNTIFS(Table33[Country],Tabela1[[#This Row],[Country]],Table33[Recurve Classification],"&gt;0")</f>
        <v>0</v>
      </c>
      <c r="X151" s="6">
        <f>COUNTIFS(Table35[Country],Tabela1[[#This Row],[Country]],Table35[Men''s Team Recurve Classification],"&gt;0")</f>
        <v>0</v>
      </c>
      <c r="Y151" s="6">
        <f>COUNTIFS(Table35[Country],Tabela1[[#This Row],[Country]],Table35[Women''s Team Recurve Classification],"&gt;0")</f>
        <v>0</v>
      </c>
      <c r="Z151" s="6">
        <f>COUNTIFS(Tabela88[Country],Tabela1[[#This Row],[Country]],Tabela88[Mixed Team Recurve Classification],"&gt;0")</f>
        <v>0</v>
      </c>
      <c r="AA151" s="6">
        <f>COUNTIFS(Table36[Country],Tabela1[[#This Row],[Country]],Table36[Classification],"&gt;0")</f>
        <v>0</v>
      </c>
      <c r="AB151" s="6">
        <f>COUNTIFS(Table37[Country],Tabela1[[#This Row],[Country]],Table37[Classification],"&gt;0")</f>
        <v>0</v>
      </c>
      <c r="AC151" s="6">
        <f>COUNTIFS(Table4[Country],Tabela1[[#This Row],[Country]],Table4[100m Classification],"&gt;0")</f>
        <v>0</v>
      </c>
      <c r="AD151" s="6">
        <f>COUNTIFS(Table5[Country],Tabela1[[#This Row],[Country]],Table5[100m Classification],"&gt;0")</f>
        <v>0</v>
      </c>
      <c r="AE151" s="6">
        <f>COUNTIFS(Table4[Country],Tabela1[[#This Row],[Country]],Table4[200m Classification],"&gt;0")</f>
        <v>0</v>
      </c>
      <c r="AF151" s="6">
        <f>COUNTIFS(Table5[Country],Tabela1[[#This Row],[Country]],Table5[200m Classification],"&gt;0")</f>
        <v>0</v>
      </c>
      <c r="AG151" s="6">
        <f>COUNTIFS(Table4[Country],Tabela1[[#This Row],[Country]],Table4[400m Classification],"&gt;0")</f>
        <v>0</v>
      </c>
      <c r="AH151" s="6">
        <f>COUNTIFS(Table5[Country],Tabela1[[#This Row],[Country]],Table5[400m Classification],"&gt;0")</f>
        <v>0</v>
      </c>
      <c r="AI151" s="6">
        <f>COUNTIFS(Table4[Country],Tabela1[[#This Row],[Country]],Table4[800m Classification],"&gt;0")</f>
        <v>0</v>
      </c>
      <c r="AJ151" s="6">
        <f>COUNTIFS(Table5[Country],Tabela1[[#This Row],[Country]],Table5[800m Classification],"&gt;0")</f>
        <v>0</v>
      </c>
      <c r="AK151" s="6">
        <f>COUNTIFS(Table4[Country],Tabela1[[#This Row],[Country]],Table4[1500m Classification],"&gt;0")</f>
        <v>0</v>
      </c>
      <c r="AL151" s="6">
        <f>COUNTIFS(Table5[Country],Tabela1[[#This Row],[Country]],Table5[1500m Classification],"&gt;0")</f>
        <v>0</v>
      </c>
      <c r="AM151" s="6">
        <f>COUNTIFS(Table4[Country],Tabela1[[#This Row],[Country]],Table4[5000m Classification],"&gt;0")</f>
        <v>0</v>
      </c>
      <c r="AN151" s="6">
        <f>COUNTIFS(Table5[Country],Tabela1[[#This Row],[Country]],Table5[5000m Classification],"&gt;0")</f>
        <v>0</v>
      </c>
      <c r="AO151" s="6">
        <f>COUNTIFS(Table4[Country],Tabela1[[#This Row],[Country]],Table4[10000m Classification],"&gt;0")</f>
        <v>0</v>
      </c>
      <c r="AP151" s="6">
        <f>COUNTIFS(Table5[Country],Tabela1[[#This Row],[Country]],Table5[10000m Classification],"&gt;0")</f>
        <v>0</v>
      </c>
      <c r="AQ151" s="6">
        <f>COUNTIFS(Table4[Country],Tabela1[[#This Row],[Country]],Table4[110m Hurdles Classification],"&gt;0")</f>
        <v>0</v>
      </c>
      <c r="AR151" s="6">
        <f>COUNTIFS(Table5[Country],Tabela1[[#This Row],[Country]],Table5[100m Hurdles Classification],"&gt;0")</f>
        <v>0</v>
      </c>
      <c r="AS151" s="6">
        <f>COUNTIFS(Table4[Country],Tabela1[[#This Row],[Country]],Table4[400m Hurdles Classification],"&gt;0")</f>
        <v>0</v>
      </c>
      <c r="AT151" s="6">
        <f>COUNTIFS(Table5[Country],Tabela1[[#This Row],[Country]],Table5[400m Hurdles Classification],"&gt;0")</f>
        <v>0</v>
      </c>
      <c r="AU151" s="6">
        <f>COUNTIFS(Table4[Country],Tabela1[[#This Row],[Country]],Table4[3000m Steeplechase Classification],"&gt;0")</f>
        <v>0</v>
      </c>
      <c r="AV151" s="6">
        <f>COUNTIFS(Table5[Country],Tabela1[[#This Row],[Country]],Table5[3000m Steeplechase Classification],"&gt;0")</f>
        <v>0</v>
      </c>
      <c r="AW151" s="6">
        <f>COUNTIFS(Table27[Country],Tabela1[[#This Row],[Country]],Table27[Men''s 4x100m Relay Classification],"&gt;0")</f>
        <v>0</v>
      </c>
      <c r="AX151" s="6">
        <f>COUNTIFS(Table27[Country],Tabela1[[#This Row],[Country]],Table27[Women''s 4x100m Relay Classification],"&gt;0")</f>
        <v>0</v>
      </c>
      <c r="AY151" s="6">
        <f>COUNTIFS(Table27[Country],Tabela1[[#This Row],[Country]],Table27[Men''s 4x400m Relay Classification],"&gt;0")</f>
        <v>0</v>
      </c>
      <c r="AZ151" s="6">
        <f>COUNTIFS(Table27[Country],Tabela1[[#This Row],[Country]],Table27[Women''s 4x400m Relay Classification],"&gt;0")</f>
        <v>0</v>
      </c>
      <c r="BA151" s="6">
        <f>COUNTIFS(Table27[Country],Tabela1[[#This Row],[Country]],Table27[Mixed 4x400m Relay Classification],"&gt;0")</f>
        <v>0</v>
      </c>
      <c r="BB151" s="6">
        <f>COUNTIFS(Table4[Country],Tabela1[[#This Row],[Country]],Table4[Marathon Classification],"&gt;0")</f>
        <v>0</v>
      </c>
      <c r="BC151" s="6">
        <f>COUNTIFS(Table5[Country],Tabela1[[#This Row],[Country]],Table5[Marathon Classification],"&gt;0")</f>
        <v>0</v>
      </c>
      <c r="BD151" s="6">
        <f>COUNTIFS(Table4[Country],Tabela1[[#This Row],[Country]],Table4[20km Race Walk Classification],"&gt;0")</f>
        <v>0</v>
      </c>
      <c r="BE151" s="6">
        <f>COUNTIFS(Table5[Country],Tabela1[[#This Row],[Country]],Table5[20km Race Walk Classification],"&gt;0")</f>
        <v>0</v>
      </c>
      <c r="BF151" s="6">
        <f>COUNTIFS(Tabela96[Country],Tabela1[[#This Row],[Country]],Tabela96[Mixed Marathon Race Walk Relay Classification],"&gt;0")</f>
        <v>0</v>
      </c>
      <c r="BG151" s="6">
        <f>COUNTIFS(Table4[Country],Tabela1[[#This Row],[Country]],Table4[Discus Throw Classification],"&gt;0")</f>
        <v>0</v>
      </c>
      <c r="BH151" s="6">
        <f>COUNTIFS(Table5[Country],Tabela1[[#This Row],[Country]],Table5[Discus Throw Classification],"&gt;0")</f>
        <v>0</v>
      </c>
      <c r="BI151" s="6">
        <f>COUNTIFS(Table4[Country],Tabela1[[#This Row],[Country]],Table4[Hammer Throw Classification],"&gt;0")</f>
        <v>0</v>
      </c>
      <c r="BJ151" s="6">
        <f>COUNTIFS(Table5[Country],Tabela1[[#This Row],[Country]],Table5[Hammer Throw Classification],"&gt;0")</f>
        <v>0</v>
      </c>
      <c r="BK151" s="6">
        <f>COUNTIFS(Table4[Country],Tabela1[[#This Row],[Country]],Table4[High Jump Classification],"&gt;0")</f>
        <v>0</v>
      </c>
      <c r="BL151" s="6">
        <f>COUNTIFS(Table5[Country],Tabela1[[#This Row],[Country]],Table5[High Jump Classification],"&gt;0")</f>
        <v>0</v>
      </c>
      <c r="BM151" s="6">
        <f>COUNTIFS(Table4[Country],Tabela1[[#This Row],[Country]],Table4[Javelin Throw Classification],"&gt;0")</f>
        <v>0</v>
      </c>
      <c r="BN151" s="6">
        <f>COUNTIFS(Table5[Country],Tabela1[[#This Row],[Country]],Table5[Javelin Throw Classification],"&gt;0")</f>
        <v>0</v>
      </c>
      <c r="BO151" s="6">
        <f>COUNTIFS(Table4[Country],Tabela1[[#This Row],[Country]],Table4[Long Jump Classification],"&gt;0")</f>
        <v>0</v>
      </c>
      <c r="BP151" s="6">
        <f>COUNTIFS(Table5[Country],Tabela1[[#This Row],[Country]],Table5[Long Jump Classification],"&gt;0")</f>
        <v>0</v>
      </c>
      <c r="BQ151" s="6">
        <f>COUNTIFS(Table4[Country],Tabela1[[#This Row],[Country]],Table4[Pole Vault Classification],"&gt;0")</f>
        <v>0</v>
      </c>
      <c r="BR151" s="6">
        <f>COUNTIFS(Table5[Country],Tabela1[[#This Row],[Country]],Table5[Pole Vault Classification],"&gt;0")</f>
        <v>0</v>
      </c>
      <c r="BS151" s="6">
        <f>COUNTIFS(Table4[Country],Tabela1[[#This Row],[Country]],Table4[Shot Put Classification],"&gt;0")</f>
        <v>0</v>
      </c>
      <c r="BT151" s="6">
        <f>COUNTIFS(Table5[Country],Tabela1[[#This Row],[Country]],Table5[Shot Put Classification],"&gt;0")</f>
        <v>0</v>
      </c>
      <c r="BU151" s="6">
        <f>COUNTIFS(Table4[Country],Tabela1[[#This Row],[Country]],Table4[Triple Jump Classification],"&gt;0")</f>
        <v>0</v>
      </c>
      <c r="BV151" s="6">
        <f>COUNTIFS(Table5[Country],Tabela1[[#This Row],[Country]],Table5[Triple Jump Classification],"&gt;0")</f>
        <v>0</v>
      </c>
      <c r="BW151" s="6">
        <f>COUNTIFS(Table4[Country],Tabela1[[#This Row],[Country]],Table4[Decathlon Classification],"&gt;0")</f>
        <v>0</v>
      </c>
      <c r="BX151" s="6">
        <f>COUNTIFS(Table5[Country],Tabela1[[#This Row],[Country]],Table5[Heptathlon Classification],"&gt;0")</f>
        <v>0</v>
      </c>
      <c r="BY151" s="6">
        <f>COUNTIFS(Table61[Country],Tabela1[[#This Row],[Country]],Table61[Classification],"&gt;0")</f>
        <v>0</v>
      </c>
      <c r="BZ151" s="6">
        <f>COUNTIFS(Table38[Country],Tabela1[[#This Row],[Country]],Table38[Classification],"&gt;0")</f>
        <v>0</v>
      </c>
      <c r="CA151" s="6">
        <f>COUNTIFS(Table39[Country],Tabela1[[#This Row],[Country]],Table39[Men''s Classification],"&gt;0")</f>
        <v>0</v>
      </c>
      <c r="CB151" s="6">
        <f>COUNTIFS(Table39[Country],Tabela1[[#This Row],[Country]],Table39[Women''s Classification],"&gt;0")</f>
        <v>0</v>
      </c>
      <c r="CC151" s="6">
        <f>COUNTIFS(Table39[Country],Tabela1[[#This Row],[Country]],Table39[Mixed Classification],"&gt;0")</f>
        <v>0</v>
      </c>
      <c r="CD151" s="6">
        <f>COUNTIFS(Table89[Country],Tabela1[[#This Row],[Country]],Table89[Men''s Classification],"&gt;0")</f>
        <v>0</v>
      </c>
      <c r="CE151" s="6">
        <f>COUNTIFS(Table89[Country],Tabela1[[#This Row],[Country]],Table89[Women''s Classification],"&gt;0")</f>
        <v>0</v>
      </c>
      <c r="CF151" s="6">
        <f>COUNTIFS(Table90[Country],Tabela1[[#This Row],[Country]],Table90[Men''s Classification],"&gt;0")</f>
        <v>0</v>
      </c>
      <c r="CG151" s="6">
        <f>COUNTIFS(Table90[Country],Tabela1[[#This Row],[Country]],Table90[Women''s Classification],"&gt;0")</f>
        <v>0</v>
      </c>
      <c r="CH151" s="6">
        <f>COUNTIFS(Table60[Country],Tabela1[[#This Row],[Country]],Table60[Men''s Classification],"&gt;0")</f>
        <v>0</v>
      </c>
      <c r="CI151" s="6">
        <f>COUNTIFS(Table60[Country],Tabela1[[#This Row],[Country]],Table60[Women''s Classification],"&gt;0")</f>
        <v>0</v>
      </c>
      <c r="CJ151" s="6">
        <f>COUNTIFS(Table6[Country],Tabela1[[#This Row],[Country]],Table6[51kg Classification],"&gt;0")</f>
        <v>0</v>
      </c>
      <c r="CK151" s="6">
        <f>COUNTIFS(Table6[Country],Tabela1[[#This Row],[Country]],Table6[57kg Classification],"&gt;0")</f>
        <v>0</v>
      </c>
      <c r="CL151" s="6">
        <f>COUNTIFS(Table6[Country],Tabela1[[#This Row],[Country]],Table6[63.5kg Classification],"&gt;0")</f>
        <v>0</v>
      </c>
      <c r="CM151" s="6">
        <f>COUNTIFS(Table6[Country],Tabela1[[#This Row],[Country]],Table6[71kg Classification],"&gt;0")</f>
        <v>0</v>
      </c>
      <c r="CN151" s="6">
        <f>COUNTIFS(Table6[Country],Tabela1[[#This Row],[Country]],Table6[80kg Classification],"&gt;0")</f>
        <v>0</v>
      </c>
      <c r="CO151" s="6">
        <f>COUNTIFS(Table6[Country],Tabela1[[#This Row],[Country]],Table6[92kg Classification],"&gt;0")</f>
        <v>0</v>
      </c>
      <c r="CP151" s="6">
        <f>COUNTIFS(Table6[Country],Tabela1[[#This Row],[Country]],Table6[Plus 92kg Classification],"&gt;0")</f>
        <v>0</v>
      </c>
      <c r="CQ151" s="6">
        <f>COUNTIFS(Table7[Country],Tabela1[[#This Row],[Country]],Table7[50kg Classification],"&gt;0")</f>
        <v>0</v>
      </c>
      <c r="CR151" s="6">
        <f>COUNTIFS(Table7[Country],Tabela1[[#This Row],[Country]],Table7[54kg Classification],"&gt;0")</f>
        <v>0</v>
      </c>
      <c r="CS151" s="6">
        <f>COUNTIFS(Table7[Country],Tabela1[[#This Row],[Country]],Table7[57kg Classification],"&gt;0")</f>
        <v>0</v>
      </c>
      <c r="CT151" s="6">
        <f>COUNTIFS(Table7[Country],Tabela1[[#This Row],[Country]],Table7[60kg Classification],"&gt;0")</f>
        <v>0</v>
      </c>
      <c r="CU151" s="6">
        <f>COUNTIFS(Table7[Country],Tabela1[[#This Row],[Country]],Table7[66kg Classification],"&gt;0")</f>
        <v>0</v>
      </c>
      <c r="CV151" s="6">
        <f>COUNTIFS(Table7[Country],Tabela1[[#This Row],[Country]],Table7[75kg Classification],"&gt;0")</f>
        <v>0</v>
      </c>
      <c r="CW151" s="6">
        <f>COUNTIFS(Tabela94[Country],Tabela1[[#This Row],[Country]],Tabela94[Classification],"&gt;0")</f>
        <v>0</v>
      </c>
      <c r="CX151" s="6">
        <f>COUNTIFS(Tabela9499[Country],Tabela1[[#This Row],[Country]],Tabela9499[Classification],"&gt;0")</f>
        <v>0</v>
      </c>
      <c r="CY151" s="6">
        <f>COUNTIFS(Tabela107[Country],Tabela1[[#This Row],[Country]],Tabela107[C1 Slalom Classification],"&gt;0")</f>
        <v>0</v>
      </c>
      <c r="CZ151" s="6">
        <f>COUNTIFS(Tabela107122[Country],Tabela1[[#This Row],[Country]],Tabela107122[C1 Slalom Classification],"&gt;0")</f>
        <v>0</v>
      </c>
      <c r="DA151" s="6">
        <f>COUNTIFS(Tabela107[Country],Tabela1[[#This Row],[Country]],Tabela107[K1 Slalom Classification],"&gt;0")</f>
        <v>0</v>
      </c>
      <c r="DB151" s="6">
        <f>COUNTIFS(Tabela107122[Country],Tabela1[[#This Row],[Country]],Tabela107122[K1 Slalom Classification],"&gt;0")</f>
        <v>0</v>
      </c>
      <c r="DC151" s="6">
        <f>COUNTIFS(Tabela107[Country],Tabela1[[#This Row],[Country]],Tabela107[Kayak Cross Slalom Classification],"&gt;0")</f>
        <v>0</v>
      </c>
      <c r="DD151" s="6">
        <f>COUNTIFS(Tabela107122[Country],Tabela1[[#This Row],[Country]],Tabela107122[Kayak Cross Slalom Classification],"&gt;0")</f>
        <v>0</v>
      </c>
      <c r="DE151" s="6">
        <f>COUNTIFS(Table8[Country],Tabela1[[#This Row],[Country]],Table8[C1 200m Classification],"&gt;0")</f>
        <v>0</v>
      </c>
      <c r="DF151" s="6">
        <f>COUNTIFS(Table40[Country],Tabela1[[#This Row],[Country]],Table40[C1 1000m Classification],"&gt;0")</f>
        <v>0</v>
      </c>
      <c r="DG151" s="6">
        <f>COUNTIFS(Table68[Country],Tabela1[[#This Row],[Country]],Table68[Men''s C2 500m Classification],"&gt;0")</f>
        <v>0</v>
      </c>
      <c r="DH151" s="6">
        <f>COUNTIFS(Table68[Country],Tabela1[[#This Row],[Country]],Table68[Women''s C2 500m Classification],"&gt;0")</f>
        <v>0</v>
      </c>
      <c r="DI151" s="6">
        <f>COUNTIFS(Table8[Country],Tabela1[[#This Row],[Country]],Table8[K1 500m Classification],"&gt;0")</f>
        <v>0</v>
      </c>
      <c r="DJ151" s="6">
        <f>COUNTIFS(Table40[Country],Tabela1[[#This Row],[Country]],Table40[K1 1000m Classification],"&gt;0")</f>
        <v>0</v>
      </c>
      <c r="DK151" s="6">
        <f>COUNTIFS(Table68[Country],Tabela1[[#This Row],[Country]],Table68[Men''s K2 500m Classification],"&gt;0")</f>
        <v>0</v>
      </c>
      <c r="DL151" s="6">
        <f>COUNTIFS(Table68[Country],Tabela1[[#This Row],[Country]],Table68[Women''s K2 500m Classification],"&gt;0")</f>
        <v>0</v>
      </c>
      <c r="DM151" s="6">
        <f>COUNTIFS(Table83[Country],Tabela1[[#This Row],[Country]],Table83[Men''s K4 500m Classification],"&gt;0")</f>
        <v>0</v>
      </c>
      <c r="DN151" s="6">
        <f>COUNTIFS(Table83[Country],Tabela1[[#This Row],[Country]],Table83[Women''s K4 500m Classification],"&gt;0")</f>
        <v>0</v>
      </c>
      <c r="DO151" s="6">
        <f>COUNTIFS(Tabela126[Country],Tabela1[[#This Row],[Country]],Tabela126[Classification],"&gt;0")</f>
        <v>0</v>
      </c>
      <c r="DP151" s="6">
        <f>COUNTIFS(Tabela126130[Country],Tabela1[[#This Row],[Country]],Tabela126130[Classification],"&gt;0")</f>
        <v>0</v>
      </c>
      <c r="DQ151" s="6">
        <f>COUNTIFS(Table70[Country],Tabela1[[#This Row],[Country]],Table70[Classification],"&gt;0")</f>
        <v>0</v>
      </c>
      <c r="DR151" s="6">
        <f>COUNTIFS(Table80[Country],Tabela1[[#This Row],[Country]],Table80[Classification],"&gt;0")</f>
        <v>0</v>
      </c>
      <c r="DS151" s="6">
        <f>COUNTIFS(Table66[Country],Tabela1[[#This Row],[Country]],Table66[Classification],"&gt;0")</f>
        <v>0</v>
      </c>
      <c r="DT151" s="6">
        <f>COUNTIFS(Table67[Country],Tabela1[[#This Row],[Country]],Table67[Classification],"&gt;0")</f>
        <v>0</v>
      </c>
      <c r="DU151" s="6">
        <f>COUNTIFS(Table69[Country],Tabela1[[#This Row],[Country]],Table69[Keirin Classification],"&gt;0")</f>
        <v>0</v>
      </c>
      <c r="DV151" s="6">
        <f>COUNTIFS(Table41[Country],Tabela1[[#This Row],[Country]],Table41[Keirin Classification],"&gt;0")</f>
        <v>0</v>
      </c>
      <c r="DW151" s="6">
        <f>COUNTIFS(Table84[Country],Tabela1[[#This Row],[Country]],Table84[Men''s Madison Classification],"&gt;0")</f>
        <v>0</v>
      </c>
      <c r="DX151" s="6">
        <f>COUNTIFS(Table84[Country],Tabela1[[#This Row],[Country]],Table84[Women''s Madison Classification],"&gt;0")</f>
        <v>0</v>
      </c>
      <c r="DY151" s="6">
        <f>COUNTIFS(Table69[Country],Tabela1[[#This Row],[Country]],Table69[Omnium Classification],"&gt;0")</f>
        <v>0</v>
      </c>
      <c r="DZ151" s="6">
        <f>COUNTIFS(Table41[Country],Tabela1[[#This Row],[Country]],Table41[Omnium Classification],"&gt;0")</f>
        <v>0</v>
      </c>
      <c r="EA151" s="6">
        <f>COUNTIFS(Table9[Country],Tabela1[[#This Row],[Country]],Table9[Road Race Classification],"&gt;0")</f>
        <v>0</v>
      </c>
      <c r="EB151" s="6">
        <f>COUNTIFS(Table14[Country],Tabela1[[#This Row],[Country]],Table14[Road Race Classification],"&gt;0")</f>
        <v>0</v>
      </c>
      <c r="EC151" s="6">
        <f>COUNTIFS(Table69[Country],Tabela1[[#This Row],[Country]],Table69[Sprint Classification],"&gt;0")</f>
        <v>0</v>
      </c>
      <c r="ED151" s="6">
        <f>COUNTIFS(Table41[Country],Tabela1[[#This Row],[Country]],Table41[Sprint Classification],"&gt;0")</f>
        <v>0</v>
      </c>
      <c r="EE151" s="6">
        <f>COUNTIFS(Table85[Country],Tabela1[[#This Row],[Country]],Table85[Men''s Sprint Classification],"&gt;0")</f>
        <v>0</v>
      </c>
      <c r="EF151" s="6">
        <f>COUNTIFS(Table85[Country],Tabela1[[#This Row],[Country]],Table85[Women''s Sprint Classification],"&gt;0")</f>
        <v>0</v>
      </c>
      <c r="EG151" s="6">
        <f>COUNTIFS(Table85[Country],Tabela1[[#This Row],[Country]],Table85[Men''s Pursuit Classification],"&gt;0")</f>
        <v>0</v>
      </c>
      <c r="EH151" s="6">
        <f>COUNTIFS(Table85[Country],Tabela1[[#This Row],[Country]],Table85[Women''s Pursuit Classification],"&gt;0")</f>
        <v>0</v>
      </c>
      <c r="EI151" s="6">
        <f>COUNTIFS(Table9[Country],Tabela1[[#This Row],[Country]],Table9[Time-Trial Classification],"&gt;0")</f>
        <v>0</v>
      </c>
      <c r="EJ151" s="6">
        <f>COUNTIFS(Table14[Country],Tabela1[[#This Row],[Country]],Table14[Time-Trial Classification],"&gt;0")</f>
        <v>0</v>
      </c>
      <c r="EK151" s="6">
        <f>COUNTIFS(Table42[Country],Tabela1[[#This Row],[Country]],Table42[Springboard Classification],"&gt;0")</f>
        <v>0</v>
      </c>
      <c r="EL151" s="6">
        <f>COUNTIFS(Table43[Country],Tabela1[[#This Row],[Country]],Table43[Springboard Classification],"&gt;0")</f>
        <v>0</v>
      </c>
      <c r="EM151" s="6">
        <f>COUNTIFS(Table42[Country],Tabela1[[#This Row],[Country]],Table42[Platform Classification],"&gt;0")</f>
        <v>0</v>
      </c>
      <c r="EN151" s="6">
        <f>COUNTIFS(Table43[Country],Tabela1[[#This Row],[Country]],Table43[Platform Classification],"&gt;0")</f>
        <v>0</v>
      </c>
      <c r="EO151" s="6">
        <f>COUNTIFS(Table86[Country],Tabela1[[#This Row],[Country]],Table86[Men''s Synchronized Springboard Classification],"&gt;0")</f>
        <v>0</v>
      </c>
      <c r="EP151" s="6">
        <f>COUNTIFS(Table86[Country],Tabela1[[#This Row],[Country]],Table86[Women''s Synchronized Springboard Classification],"&gt;0")</f>
        <v>0</v>
      </c>
      <c r="EQ151" s="6">
        <f>COUNTIFS(Table86[Country],Tabela1[[#This Row],[Country]],Table86[Men''s Synchronized Platform Classification],"&gt;0")</f>
        <v>0</v>
      </c>
      <c r="ER151" s="6">
        <f>COUNTIFS(Table86[Country],Tabela1[[#This Row],[Country]],Table86[Women''s Synchronized Platform Classification],"&gt;0")</f>
        <v>0</v>
      </c>
      <c r="ES151" s="6">
        <f>COUNTIFS(Table44[Country],Tabela1[[#This Row],[Country]],Table44[Dressage Classification],"&gt;0")</f>
        <v>0</v>
      </c>
      <c r="ET151" s="6">
        <f>COUNTIFS(Table45[Country],Tabela1[[#This Row],[Country]],Table45[Dressage Classification],"&gt;0")</f>
        <v>0</v>
      </c>
      <c r="EU151" s="6">
        <f>COUNTIFS(Table44[Country],Tabela1[[#This Row],[Country]],Table44[Eventing Classification],"&gt;0")</f>
        <v>0</v>
      </c>
      <c r="EV151" s="6">
        <f>COUNTIFS(Table45[Country],Tabela1[[#This Row],[Country]],Table45[Eventing Classification],"&gt;0")</f>
        <v>0</v>
      </c>
      <c r="EW151" s="6">
        <f>COUNTIFS(Table44[Country],Tabela1[[#This Row],[Country]],Table44[Jumping Classification],"&gt;0")</f>
        <v>0</v>
      </c>
      <c r="EX151" s="6">
        <f>COUNTIFS(Table45[Country],Tabela1[[#This Row],[Country]],Table45[Jumping Classification],"&gt;0")</f>
        <v>0</v>
      </c>
      <c r="EY151" s="6">
        <f>COUNTIFS(Table10[Country],Tabela1[[#This Row],[Country]],Table10[Épée Classification],"&gt;0")</f>
        <v>0</v>
      </c>
      <c r="EZ151" s="6">
        <f>COUNTIFS(Table11[Country],Tabela1[[#This Row],[Country]],Table11[Épée Classification],"&gt;0")</f>
        <v>0</v>
      </c>
      <c r="FA151" s="6">
        <f>COUNTIFS(Table46[Country],Tabela1[[#This Row],[Country]],Table46[Men''s Épée Classification],"&gt;0")</f>
        <v>0</v>
      </c>
      <c r="FB151" s="6">
        <f>COUNTIFS(Table46[Country],Tabela1[[#This Row],[Country]],Table46[Women''s Épée Classification],"&gt;0")</f>
        <v>0</v>
      </c>
      <c r="FC151" s="6">
        <f>COUNTIFS(Table10[Country],Tabela1[[#This Row],[Country]],Table10[Foil Classification],"&gt;0")</f>
        <v>0</v>
      </c>
      <c r="FD151" s="6">
        <f>COUNTIFS(Table11[Country],Tabela1[[#This Row],[Country]],Table11[Foil Classification],"&gt;0")</f>
        <v>0</v>
      </c>
      <c r="FE151" s="6">
        <f>COUNTIFS(Table46[Country],Tabela1[[#This Row],[Country]],Table46[Men''s Foil Classification],"&gt;0")</f>
        <v>0</v>
      </c>
      <c r="FF151" s="6">
        <f>COUNTIFS(Table46[Country],Tabela1[[#This Row],[Country]],Table46[Women''s Foil Classification],"&gt;0")</f>
        <v>0</v>
      </c>
      <c r="FG151" s="6">
        <f>COUNTIFS(Table10[Country],Tabela1[[#This Row],[Country]],Table10[Sabre Classification],"&gt;0")</f>
        <v>0</v>
      </c>
      <c r="FH151" s="6">
        <f>COUNTIFS(Table11[Country],Tabela1[[#This Row],[Country]],Table11[Sabre Classification],"&gt;0")</f>
        <v>0</v>
      </c>
      <c r="FI151" s="6">
        <f>COUNTIFS(Table46[Country],Tabela1[[#This Row],[Country]],Table46[Men''s Sabre Classification],"&gt;0")</f>
        <v>0</v>
      </c>
      <c r="FJ151" s="6">
        <f>COUNTIFS(Table46[Country],Tabela1[[#This Row],[Country]],Table46[Women''s Sabre Classification],"&gt;0")</f>
        <v>0</v>
      </c>
      <c r="FK151" s="6">
        <f>COUNTIFS(Table91[Country],Tabela1[[#This Row],[Country]],Table91[Men''s Classification],"&gt;0")</f>
        <v>0</v>
      </c>
      <c r="FL151" s="6">
        <f>COUNTIFS(Table91[Country],Tabela1[[#This Row],[Country]],Table91[Women''s Classification],"&gt;0")</f>
        <v>0</v>
      </c>
      <c r="FM151" s="6">
        <f>COUNTIFS(Table9194[Country],Tabela1[[#This Row],[Country]],Table9194[Men''s Classification],"&gt;0")</f>
        <v>0</v>
      </c>
      <c r="FN151" s="6">
        <f>COUNTIFS(Table9194[Country],Tabela1[[#This Row],[Country]],Table9194[Women''s Classification],"&gt;0")</f>
        <v>0</v>
      </c>
      <c r="FO151" s="6">
        <f>COUNTIFS(Table71[Country],Tabela1[[#This Row],[Country]],Table71[Classification],"&gt;0")</f>
        <v>0</v>
      </c>
      <c r="FP151" s="6">
        <f>COUNTIFS(Table62[Country],Tabela1[[#This Row],[Country]],Table62[Classification],"&gt;0")</f>
        <v>0</v>
      </c>
      <c r="FQ151" s="6">
        <f>COUNTIFS(Table47[Country],Tabela1[[#This Row],[Country]],Table47[All-Around Classification],"&gt;0")</f>
        <v>0</v>
      </c>
      <c r="FR151" s="6">
        <f>COUNTIFS(Table48[Country],Tabela1[[#This Row],[Country]],Table48[All-Around Classification],"&gt;0")</f>
        <v>0</v>
      </c>
      <c r="FS151" s="6">
        <f>COUNTIFS(Table81[Country],Tabela1[[#This Row],[Country]],Table81[Men''s All-Around Classification],"&gt;0")</f>
        <v>0</v>
      </c>
      <c r="FT151" s="6">
        <f>COUNTIFS(Table81[Country],Tabela1[[#This Row],[Country]],Table81[Women''s All-Around Classification],"&gt;0")</f>
        <v>0</v>
      </c>
      <c r="FU151" s="6">
        <f>COUNTIFS(Table48[Country],Tabela1[[#This Row],[Country]],Table48[Balance Beam Classification],"&gt;0")</f>
        <v>0</v>
      </c>
      <c r="FV151" s="6">
        <f>COUNTIFS(Table47[Country],Tabela1[[#This Row],[Country]],Table47[Floor Exercise Classification],"&gt;0")</f>
        <v>0</v>
      </c>
      <c r="FW151" s="6">
        <f>COUNTIFS(Table48[Country],Tabela1[[#This Row],[Country]],Table48[Floor Exercise Classification],"&gt;0")</f>
        <v>0</v>
      </c>
      <c r="FX151" s="6">
        <f>COUNTIFS(Table47[Country],Tabela1[[#This Row],[Country]],Table47[Horizontal Bar Classification],"&gt;0")</f>
        <v>0</v>
      </c>
      <c r="FY151" s="6">
        <f>COUNTIFS(Table47[Country],Tabela1[[#This Row],[Country]],Table47[Parallel Bars Classification],"&gt;0")</f>
        <v>0</v>
      </c>
      <c r="FZ151" s="6">
        <f>COUNTIFS(Table47[Country],Tabela1[[#This Row],[Country]],Table47[Pommel Horse Classification],"&gt;0")</f>
        <v>0</v>
      </c>
      <c r="GA151" s="6">
        <f>COUNTIFS(Table47[Country],Tabela1[[#This Row],[Country]],Table47[Rings Classification],"&gt;0")</f>
        <v>0</v>
      </c>
      <c r="GB151" s="6">
        <f>COUNTIFS(Tabela132[Country],Tabela1[[#This Row],[Country]],Tabela132[Classification],"&gt;0")</f>
        <v>0</v>
      </c>
      <c r="GC151" s="6">
        <f>COUNTIFS(Tabela139[Country],Tabela1[[#This Row],[Country]],Tabela139[Classification],"&gt;0")</f>
        <v>0</v>
      </c>
      <c r="GD151" s="6">
        <f>COUNTIFS(Table48[Country],Tabela1[[#This Row],[Country]],Table48[Uneven Bars Classification],"&gt;0")</f>
        <v>0</v>
      </c>
      <c r="GE151" s="6">
        <f>COUNTIFS(Table47[Country],Tabela1[[#This Row],[Country]],Table47[Vault Classification],"&gt;0")</f>
        <v>0</v>
      </c>
      <c r="GF151" s="6">
        <f>COUNTIFS(Table48[Country],Tabela1[[#This Row],[Country]],Table48[Vault Classification],"&gt;0")</f>
        <v>0</v>
      </c>
      <c r="GG151" s="6">
        <f>COUNTIFS(Table919496[Country],Tabela1[[#This Row],[Country]],Table919496[Men''s Classification],"&gt;0")</f>
        <v>0</v>
      </c>
      <c r="GH151" s="6">
        <f>COUNTIFS(Table919496[Country],Tabela1[[#This Row],[Country]],Table919496[Women''s Classification],"&gt;0")</f>
        <v>0</v>
      </c>
      <c r="GI151" s="6">
        <f>COUNTIFS(Table12[Country],Tabela1[[#This Row],[Country]],Table12[60kg Classification],"&gt;0")</f>
        <v>0</v>
      </c>
      <c r="GJ151" s="6">
        <f>COUNTIFS(Table12[Country],Tabela1[[#This Row],[Country]],Table12[66kg Classification],"&gt;0")</f>
        <v>0</v>
      </c>
      <c r="GK151" s="6">
        <f>COUNTIFS(Table12[Country],Tabela1[[#This Row],[Country]],Table12[73kg Classification],"&gt;0")</f>
        <v>0</v>
      </c>
      <c r="GL151" s="6">
        <f>COUNTIFS(Table12[Country],Tabela1[[#This Row],[Country]],Table12[81kg Classification],"&gt;0")</f>
        <v>0</v>
      </c>
      <c r="GM151" s="6">
        <f>COUNTIFS(Table12[Country],Tabela1[[#This Row],[Country]],Table12[90kg Classification],"&gt;0")</f>
        <v>0</v>
      </c>
      <c r="GN151" s="6">
        <f>COUNTIFS(Table12[Country],Tabela1[[#This Row],[Country]],Table12[100kg Classification],"&gt;0")</f>
        <v>0</v>
      </c>
      <c r="GO151" s="6">
        <f>COUNTIFS(Table12[Country],Tabela1[[#This Row],[Country]],Table12[Plus 100kg Classification],"&gt;0")</f>
        <v>0</v>
      </c>
      <c r="GP151" s="6">
        <f>COUNTIFS(Table13[Country],Tabela1[[#This Row],[Country]],Table13[48kg Classification],"&gt;0")</f>
        <v>0</v>
      </c>
      <c r="GQ151" s="6">
        <f>COUNTIFS(Table13[Country],Tabela1[[#This Row],[Country]],Table13[52kg Classification],"&gt;0")</f>
        <v>0</v>
      </c>
      <c r="GR151" s="6">
        <f>COUNTIFS(Table13[Country],Tabela1[[#This Row],[Country]],Table13[57kg Classification],"&gt;0")</f>
        <v>0</v>
      </c>
      <c r="GS151" s="6">
        <f>COUNTIFS(Table13[Country],Tabela1[[#This Row],[Country]],Table13[63kg Classification],"&gt;0")</f>
        <v>0</v>
      </c>
      <c r="GT151" s="6">
        <f>COUNTIFS(Table13[Country],Tabela1[[#This Row],[Country]],Table13[70kg Classification],"&gt;0")</f>
        <v>0</v>
      </c>
      <c r="GU151" s="6">
        <f>COUNTIFS(Table13[Country],Tabela1[[#This Row],[Country]],Table13[78kg Classification],"&gt;0")</f>
        <v>0</v>
      </c>
      <c r="GV151" s="6">
        <f>COUNTIFS(Table13[Country],Tabela1[[#This Row],[Country]],Table13[Plus 78kg Classification],"&gt;0")</f>
        <v>0</v>
      </c>
      <c r="GW151" s="6">
        <f>COUNTIFS(Table82[Country],Tabela1[[#This Row],[Country]],Table82[Mixed Classification],"&gt;0")</f>
        <v>0</v>
      </c>
      <c r="GX151" s="6">
        <f>COUNTIFS(Table51[Country],Tabela1[[#This Row],[Country]],Table51[Classification],"&gt;0")</f>
        <v>0</v>
      </c>
      <c r="GY151" s="6">
        <f>COUNTIFS(Table52[Country],Tabela1[[#This Row],[Country]],Table52[Classification],"&gt;0")</f>
        <v>0</v>
      </c>
      <c r="GZ151" s="6">
        <f>COUNTIFS(Table32[Country],Tabela1[[#This Row],[Country]],Table32[All-Around Classification],"&gt;0")</f>
        <v>0</v>
      </c>
      <c r="HA151" s="6">
        <f>COUNTIFS(Table49[Country],Tabela1[[#This Row],[Country]],Table49[All-Around Classification],"&gt;0")</f>
        <v>0</v>
      </c>
      <c r="HB151" s="6">
        <f>COUNTIFS(Table26[Country],Tabela1[[#This Row],[Country]],Table26[Single Sculls Classification],"&gt;0")</f>
        <v>0</v>
      </c>
      <c r="HC151" s="6">
        <f>COUNTIFS(Table63[Country],Tabela1[[#This Row],[Country]],Table63[Single Sculls Classification],"&gt;0")</f>
        <v>0</v>
      </c>
      <c r="HD151" s="6">
        <f>COUNTIFS(Table16[Country],Tabela1[[#This Row],[Country]],Table16[Men''s Double Sculls Classification],"&gt;0")</f>
        <v>0</v>
      </c>
      <c r="HE151" s="6">
        <f>COUNTIFS(Table16[Country],Tabela1[[#This Row],[Country]],Table16[Women''s Double Sculls Classification],"&gt;0")</f>
        <v>0</v>
      </c>
      <c r="HF151" s="6">
        <f>COUNTIFS(Table72[Country],Tabela1[[#This Row],[Country]],Table72[Men''s Quadruple Sculls Classification],"&gt;0")</f>
        <v>0</v>
      </c>
      <c r="HG151" s="6">
        <f>COUNTIFS(Table72[Country],Tabela1[[#This Row],[Country]],Table72[Women''s Quadruple Sculls Classification],"&gt;0")</f>
        <v>0</v>
      </c>
      <c r="HH151" s="6">
        <f>COUNTIFS(Table16[Country],Tabela1[[#This Row],[Country]],Table16[Men''s Coxless Pairs Classification],"&gt;0")</f>
        <v>0</v>
      </c>
      <c r="HI151" s="6">
        <f>COUNTIFS(Table16[Country],Tabela1[[#This Row],[Country]],Table16[Women''s Coxless Pairs Classification],"&gt;0")</f>
        <v>0</v>
      </c>
      <c r="HJ151" s="6">
        <f>COUNTIFS(Table72[Country],Tabela1[[#This Row],[Country]],Table72[Men''s Coxless Fours Classification],"&gt;0")</f>
        <v>0</v>
      </c>
      <c r="HK151" s="6">
        <f>COUNTIFS(Table72[Country],Tabela1[[#This Row],[Country]],Table72[Women''s Coxless Fours Classification],"&gt;0")</f>
        <v>0</v>
      </c>
      <c r="HL151" s="6">
        <f>COUNTIFS(Table72[Country],Tabela1[[#This Row],[Country]],Table72[Men''s Eights Classification],"&gt;0")</f>
        <v>0</v>
      </c>
      <c r="HM151" s="6">
        <f>COUNTIFS(Table72[Country],Tabela1[[#This Row],[Country]],Table72[Women''s Eights Classification],"&gt;0")</f>
        <v>0</v>
      </c>
      <c r="HN151" s="6">
        <f>COUNTIFS(Table16[Country],Tabela1[[#This Row],[Country]],Table16[Men''s Lwt. Double Sculls Classification],"&gt;0")</f>
        <v>0</v>
      </c>
      <c r="HO151" s="6">
        <f>COUNTIFS(Table16[Country],Tabela1[[#This Row],[Country]],Table16[Women''s Lwt. Double Sculls Classification],"&gt;0")</f>
        <v>0</v>
      </c>
      <c r="HP151" s="6">
        <f>COUNTIFS(Table91949698[Country],Tabela1[[#This Row],[Country]],Table91949698[Men''s Classification],"&gt;0")</f>
        <v>0</v>
      </c>
      <c r="HQ151" s="6">
        <f>COUNTIFS(Table91949698[Country],Tabela1[[#This Row],[Country]],Table91949698[Women''s Classification],"&gt;0")</f>
        <v>0</v>
      </c>
      <c r="HR151" s="6">
        <f>COUNTIFS(Table25[Country],Tabela1[[#This Row],[Country]],Table25[Mixed 470 Classification],"&gt;0")</f>
        <v>0</v>
      </c>
      <c r="HS151" s="6">
        <f>COUNTIFS(Table25[Country],Tabela1[[#This Row],[Country]],Table25[Men''s 49er Classification],"&gt;0")</f>
        <v>0</v>
      </c>
      <c r="HT151" s="6">
        <f>COUNTIFS(Table25[Country],Tabela1[[#This Row],[Country]],Table25[Women''s 49er FX Classification],"&gt;0")</f>
        <v>0</v>
      </c>
      <c r="HU151" s="6">
        <f>COUNTIFS(Table17[Country],Tabela1[[#This Row],[Country]],Table17[Formula Kite Classification],"&gt;0")</f>
        <v>0</v>
      </c>
      <c r="HV151" s="6">
        <f>COUNTIFS(Table18[Country],Tabela1[[#This Row],[Country]],Table18[Formula Kite Classification],"&gt;0")</f>
        <v>0</v>
      </c>
      <c r="HW151" s="6">
        <f>COUNTIFS(Table17[Country],Tabela1[[#This Row],[Country]],Table17[ILCA 7 Classification],"&gt;0")</f>
        <v>0</v>
      </c>
      <c r="HX151" s="6">
        <f>COUNTIFS(Table18[Country],Tabela1[[#This Row],[Country]],Table18[ILCA 6 Classification],"&gt;0")</f>
        <v>0</v>
      </c>
      <c r="HY151" s="6">
        <f>COUNTIFS(Table17[Country],Tabela1[[#This Row],[Country]],Table17[IQFoil Classification],"&gt;0")</f>
        <v>0</v>
      </c>
      <c r="HZ151" s="6">
        <f>COUNTIFS(Table18[Country],Tabela1[[#This Row],[Country]],Table18[IQFoil Classification],"&gt;0")</f>
        <v>0</v>
      </c>
      <c r="IA151" s="6">
        <f>COUNTIFS(Table25[Country],Tabela1[[#This Row],[Country]],Table25[Mixed Nacra 17 Classification],"&gt;0")</f>
        <v>0</v>
      </c>
      <c r="IB151" s="6">
        <f>COUNTIFS(Table53[Country],Tabela1[[#This Row],[Country]],Table53[10m Air Pistol Classification],"&gt;0")</f>
        <v>0</v>
      </c>
      <c r="IC151" s="6">
        <f>COUNTIFS(Table19[Country],Tabela1[[#This Row],[Country]],Table19[10m Air Pistol Classification],"&gt;0")</f>
        <v>0</v>
      </c>
      <c r="ID151" s="6">
        <f>COUNTIFS(Table54[Country],Tabela1[[#This Row],[Country]],Table54[Mixed 10m Air Pistol Team Classification],"&gt;0")</f>
        <v>0</v>
      </c>
      <c r="IE151" s="6">
        <f>COUNTIFS(Table53[Country],Tabela1[[#This Row],[Country]],Table53[10m Air Rifle Classification],"&gt;0")</f>
        <v>0</v>
      </c>
      <c r="IF151" s="6">
        <f>COUNTIFS(Table19[Country],Tabela1[[#This Row],[Country]],Table19[10m Air Rifle Classification],"&gt;0")</f>
        <v>0</v>
      </c>
      <c r="IG151" s="6">
        <f>COUNTIFS(Table54[Country],Tabela1[[#This Row],[Country]],Table54[Mixed 10m Air Rifle Team Classification],"&gt;0")</f>
        <v>0</v>
      </c>
      <c r="IH151" s="6">
        <f>COUNTIFS(Table53[Country],Tabela1[[#This Row],[Country]],Table53[25m Rapid Fire Pistol Classification],"&gt;0")</f>
        <v>0</v>
      </c>
      <c r="II151" s="6">
        <f>COUNTIFS(Table19[Country],Tabela1[[#This Row],[Country]],Table19[25m Pistol Classification],"&gt;0")</f>
        <v>0</v>
      </c>
      <c r="IJ151" s="6">
        <f>COUNTIFS(Table53[Country],Tabela1[[#This Row],[Country]],Table53[50m Rifle 3 Positions Classification],"&gt;0")</f>
        <v>0</v>
      </c>
      <c r="IK151" s="6">
        <f>COUNTIFS(Table19[Country],Tabela1[[#This Row],[Country]],Table19[50m Rifle 3 Positions Classification],"&gt;0")</f>
        <v>0</v>
      </c>
      <c r="IL151" s="6">
        <f>COUNTIFS(Table53[Country],Tabela1[[#This Row],[Country]],Table53[Skeet Classification],"&gt;0")</f>
        <v>0</v>
      </c>
      <c r="IM151" s="6">
        <f>COUNTIFS(Table19[Country],Tabela1[[#This Row],[Country]],Table19[Skeet Classification],"&gt;0")</f>
        <v>0</v>
      </c>
      <c r="IN151" s="6">
        <f>COUNTIFS(Table54[Country],Tabela1[[#This Row],[Country]],Table54[Mixed Skeet Team Classification],"&gt;0")</f>
        <v>0</v>
      </c>
      <c r="IO151" s="6">
        <f>COUNTIFS(Table53[Country],Tabela1[[#This Row],[Country]],Table53[Trap Classification],"&gt;0")</f>
        <v>0</v>
      </c>
      <c r="IP151" s="6">
        <f>COUNTIFS(Table19[Country],Tabela1[[#This Row],[Country]],Table19[Trap Classification],"&gt;0")</f>
        <v>0</v>
      </c>
      <c r="IQ151" s="6">
        <f>COUNTIFS(Table73[Country],Tabela1[[#This Row],[Country]],Table73[Park Classification],"&gt;0")</f>
        <v>0</v>
      </c>
      <c r="IR151" s="6">
        <f>COUNTIFS(Table74[Country],Tabela1[[#This Row],[Country]],Table74[Park Classification],"&gt;0")</f>
        <v>0</v>
      </c>
      <c r="IS151" s="6">
        <f>COUNTIFS(Table73[Country],Tabela1[[#This Row],[Country]],Table73[Street Classification],"&gt;0")</f>
        <v>0</v>
      </c>
      <c r="IT151" s="6">
        <f>COUNTIFS(Table74[Country],Tabela1[[#This Row],[Country]],Table74[Street Classification],"&gt;0")</f>
        <v>0</v>
      </c>
      <c r="IU151" s="6">
        <f>COUNTIFS(Table75[Country],Tabela1[[#This Row],[Country]],Table75[Boulder and Lead Classification],"&gt;0")</f>
        <v>0</v>
      </c>
      <c r="IV151" s="6">
        <f>COUNTIFS(Table76[Country],Tabela1[[#This Row],[Country]],Table76[Boulder and Lead Classification],"&gt;0")</f>
        <v>0</v>
      </c>
      <c r="IW151" s="6">
        <f>COUNTIFS(Table75[Country],Tabela1[[#This Row],[Country]],Table75[Speed Classification],"&gt;0")</f>
        <v>0</v>
      </c>
      <c r="IX151" s="6">
        <f>COUNTIFS(Table76[Country],Tabela1[[#This Row],[Country]],Table76[Speed Classification],"&gt;0")</f>
        <v>0</v>
      </c>
      <c r="IY151" s="6">
        <f>COUNTIFS(Table64[Country],Tabela1[[#This Row],[Country]],Table64[Shortboard Classification],"&gt;0")</f>
        <v>0</v>
      </c>
      <c r="IZ151" s="6">
        <f>COUNTIFS(Table77[Country],Tabela1[[#This Row],[Country]],Table77[Shortboard Classification],"&gt;0")</f>
        <v>0</v>
      </c>
      <c r="JA151" s="6">
        <f>COUNTIFS(Table20[Country],Tabela1[[#This Row],[Country]],Table20[50m Freestyle Classification],"&gt;0")</f>
        <v>0</v>
      </c>
      <c r="JB151" s="6">
        <f>COUNTIFS(Table21[Country],Tabela1[[#This Row],[Country]],Table21[50m Freestyle Classification],"&gt;0")</f>
        <v>0</v>
      </c>
      <c r="JC151" s="6">
        <f>COUNTIFS(Table20[Country],Tabela1[[#This Row],[Country]],Table20[100m Freestyle Classification],"&gt;0")</f>
        <v>1</v>
      </c>
      <c r="JD151" s="6">
        <f>COUNTIFS(Table21[Country],Tabela1[[#This Row],[Country]],Table21[100m Freestyle Classification],"&gt;0")</f>
        <v>0</v>
      </c>
      <c r="JE151" s="6">
        <f>COUNTIFS(Table20[Country],Tabela1[[#This Row],[Country]],Table20[200m Freestyle Classification],"&gt;0")</f>
        <v>0</v>
      </c>
      <c r="JF151" s="6">
        <f>COUNTIFS(Table21[Country],Tabela1[[#This Row],[Country]],Table21[200m Freestyle Classification],"&gt;0")</f>
        <v>0</v>
      </c>
      <c r="JG151" s="6">
        <f>COUNTIFS(Table20[Country],Tabela1[[#This Row],[Country]],Table20[400m Freestyle Classification],"&gt;0")</f>
        <v>0</v>
      </c>
      <c r="JH151" s="6">
        <f>COUNTIFS(Table21[Country],Tabela1[[#This Row],[Country]],Table21[400m Freestyle Classification],"&gt;0")</f>
        <v>0</v>
      </c>
      <c r="JI151" s="6">
        <f>COUNTIFS(Table20[Country],Tabela1[[#This Row],[Country]],Table20[800m Freestyle Classification],"&gt;0")</f>
        <v>0</v>
      </c>
      <c r="JJ151" s="6">
        <f>COUNTIFS(Table21[Country],Tabela1[[#This Row],[Country]],Table21[800m Freestyle Classification],"&gt;0")</f>
        <v>0</v>
      </c>
      <c r="JK151" s="6">
        <f>COUNTIFS(Table20[Country],Tabela1[[#This Row],[Country]],Table20[1500m Freestyle Classification],"&gt;0")</f>
        <v>0</v>
      </c>
      <c r="JL151" s="6">
        <f>COUNTIFS(Table21[Country],Tabela1[[#This Row],[Country]],Table21[1500m Freestyle Classification],"&gt;0")</f>
        <v>0</v>
      </c>
      <c r="JM151" s="6">
        <f>COUNTIFS(Table20[Country],Tabela1[[#This Row],[Country]],Table20[100m Backstroke Classification],"&gt;0")</f>
        <v>0</v>
      </c>
      <c r="JN151" s="6">
        <f>COUNTIFS(Table21[Country],Tabela1[[#This Row],[Country]],Table21[100m Backstroke Classification],"&gt;0")</f>
        <v>0</v>
      </c>
      <c r="JO151" s="6">
        <f>COUNTIFS(Table20[Country],Tabela1[[#This Row],[Country]],Table20[200m Backstroke Classification],"&gt;0")</f>
        <v>0</v>
      </c>
      <c r="JP151" s="6">
        <f>COUNTIFS(Table21[Country],Tabela1[[#This Row],[Country]],Table21[200m Backstroke Classification],"&gt;0")</f>
        <v>0</v>
      </c>
      <c r="JQ151" s="6">
        <f>COUNTIFS(Table20[Country],Tabela1[[#This Row],[Country]],Table20[100m Breaststroke Classification],"&gt;0")</f>
        <v>0</v>
      </c>
      <c r="JR151" s="6">
        <f>COUNTIFS(Table21[Country],Tabela1[[#This Row],[Country]],Table21[100m Breaststroke Classification],"&gt;0")</f>
        <v>0</v>
      </c>
      <c r="JS151" s="6">
        <f>COUNTIFS(Table20[Country],Tabela1[[#This Row],[Country]],Table20[200m Breaststroke Classification],"&gt;0")</f>
        <v>0</v>
      </c>
      <c r="JT151" s="6">
        <f>COUNTIFS(Table21[Country],Tabela1[[#This Row],[Country]],Table21[200m Breaststroke Classification],"&gt;0")</f>
        <v>0</v>
      </c>
      <c r="JU151" s="6">
        <f>COUNTIFS(Table20[Country],Tabela1[[#This Row],[Country]],Table20[100m Butterfly Classification],"&gt;0")</f>
        <v>0</v>
      </c>
      <c r="JV151" s="6">
        <f>COUNTIFS(Table21[Country],Tabela1[[#This Row],[Country]],Table21[100m Butterfly Classification],"&gt;0")</f>
        <v>0</v>
      </c>
      <c r="JW151" s="6">
        <f>COUNTIFS(Table20[Country],Tabela1[[#This Row],[Country]],Table20[200m Butterfly Classification],"&gt;0")</f>
        <v>0</v>
      </c>
      <c r="JX151" s="6">
        <f>COUNTIFS(Table21[Country],Tabela1[[#This Row],[Country]],Table21[200m Butterfly Classification],"&gt;0")</f>
        <v>0</v>
      </c>
      <c r="JY151" s="6">
        <f>COUNTIFS(Table20[Country],Tabela1[[#This Row],[Country]],Table20[200m Medley Classification],"&gt;0")</f>
        <v>0</v>
      </c>
      <c r="JZ151" s="6">
        <f>COUNTIFS(Table21[Country],Tabela1[[#This Row],[Country]],Table21[200m Medley Classification],"&gt;0")</f>
        <v>0</v>
      </c>
      <c r="KA151" s="6">
        <f>COUNTIFS(Table20[Country],Tabela1[[#This Row],[Country]],Table20[400m Medley Classification],"&gt;0")</f>
        <v>0</v>
      </c>
      <c r="KB151" s="6">
        <f>COUNTIFS(Table21[Country],Tabela1[[#This Row],[Country]],Table21[400m Medley Classification],"&gt;0")</f>
        <v>0</v>
      </c>
      <c r="KC151" s="6">
        <f>COUNTIFS(Table78[Country],Tabela1[[#This Row],[Country]],Table78[Men''s 4x100m Freestyle Relay Classification],"&gt;0")</f>
        <v>0</v>
      </c>
      <c r="KD151" s="6">
        <f>COUNTIFS(Table78[Country],Tabela1[[#This Row],[Country]],Table78[Women''s 4x100m Freestyle Relay Classification],"&gt;0")</f>
        <v>0</v>
      </c>
      <c r="KE151" s="6">
        <f>COUNTIFS(Table78[Country],Tabela1[[#This Row],[Country]],Table78[Men''s 4x200m Freestyle Relay Classification],"&gt;0")</f>
        <v>0</v>
      </c>
      <c r="KF151" s="6">
        <f>COUNTIFS(Table78[Country],Tabela1[[#This Row],[Country]],Table78[Women''s 4x200m Freestyle Relay Classification],"&gt;0")</f>
        <v>0</v>
      </c>
      <c r="KG151" s="6">
        <f>COUNTIFS(Table78[Country],Tabela1[[#This Row],[Country]],Table78[Men''s 4x100m Medley Relay Classification],"&gt;0")</f>
        <v>0</v>
      </c>
      <c r="KH151" s="6">
        <f>COUNTIFS(Table78[Country],Tabela1[[#This Row],[Country]],Table78[Women''s 4x100m Medley Relay Classification],"&gt;0")</f>
        <v>0</v>
      </c>
      <c r="KI151" s="6">
        <f>COUNTIFS(Table78[Country],Tabela1[[#This Row],[Country]],Table78[Mixed 4x100m Medley Relay Classification],"&gt;0")</f>
        <v>0</v>
      </c>
      <c r="KJ151" s="6">
        <f>COUNTIFS(Table20[Country],Tabela1[[#This Row],[Country]],Table20[10km Open Water Classification],"&gt;0")</f>
        <v>0</v>
      </c>
      <c r="KK151" s="6">
        <f>COUNTIFS(Table21[Country],Tabela1[[#This Row],[Country]],Table21[10km Open Water Classification],"&gt;0")</f>
        <v>0</v>
      </c>
      <c r="KL151" s="6">
        <f>COUNTIFS(Table22[Country],Tabela1[[#This Row],[Country]],Table22[Classification],"&gt;0")</f>
        <v>0</v>
      </c>
      <c r="KM151" s="6">
        <f>COUNTIFS(Table30[Country],Tabela1[[#This Row],[Country]],Table30[Classification],"&gt;0")</f>
        <v>0</v>
      </c>
      <c r="KN151" s="6">
        <f>COUNTIFS(Table55[Country],Tabela1[[#This Row],[Country]],Table55[Men''s Classification],"&gt;0")</f>
        <v>0</v>
      </c>
      <c r="KO151" s="6">
        <f>COUNTIFS(Table55[Country],Tabela1[[#This Row],[Country]],Table55[Women''s Classification],"&gt;0")</f>
        <v>0</v>
      </c>
      <c r="KP151" s="6">
        <f>COUNTIFS(Table56[Country],Tabela1[[#This Row],[Country]],Table56[Mixed Classification],"&gt;0")</f>
        <v>0</v>
      </c>
      <c r="KQ151" s="6">
        <f>COUNTIFS(Table29[Country],Tabela1[[#This Row],[Country]],Table29[58kg Classification],"&gt;0")</f>
        <v>0</v>
      </c>
      <c r="KR151" s="6">
        <f>COUNTIFS(Table29[Country],Tabela1[[#This Row],[Country]],Table29[68kg Classification],"&gt;0")</f>
        <v>0</v>
      </c>
      <c r="KS151" s="6">
        <f>COUNTIFS(Table29[Country],Tabela1[[#This Row],[Country]],Table29[80kg Classification],"&gt;0")</f>
        <v>0</v>
      </c>
      <c r="KT151" s="6">
        <f>COUNTIFS(Table29[Country],Tabela1[[#This Row],[Country]],Table29[Plus 80kg Classification],"&gt;0")</f>
        <v>0</v>
      </c>
      <c r="KU151" s="6">
        <f>COUNTIFS(Table34[Country],Tabela1[[#This Row],[Country]],Table34[49kg Classification],"&gt;0")</f>
        <v>0</v>
      </c>
      <c r="KV151" s="6">
        <f>COUNTIFS(Table34[Country],Tabela1[[#This Row],[Country]],Table34[57kg Classification],"&gt;0")</f>
        <v>0</v>
      </c>
      <c r="KW151" s="6">
        <f>COUNTIFS(Table34[Country],Tabela1[[#This Row],[Country]],Table34[67kg Classification],"&gt;0")</f>
        <v>0</v>
      </c>
      <c r="KX151" s="6">
        <f>COUNTIFS(Table34[Country],Tabela1[[#This Row],[Country]],Table34[Plus 67kg Classification],"&gt;0")</f>
        <v>0</v>
      </c>
      <c r="KY151" s="6">
        <f>COUNTIFS(Table57[Country],Tabela1[[#This Row],[Country]],Table57[Classification],"&gt;0")</f>
        <v>0</v>
      </c>
      <c r="KZ151" s="6">
        <f>COUNTIFS(Table58[Country],Tabela1[[#This Row],[Country]],Table58[Classification],"&gt;0")</f>
        <v>0</v>
      </c>
      <c r="LA151" s="6">
        <f>COUNTIFS(Table79[Country],Tabela1[[#This Row],[Country]],Table79[Men''s Classification],"&gt;0")</f>
        <v>0</v>
      </c>
      <c r="LB151" s="6">
        <f>COUNTIFS(Table79[Country],Tabela1[[#This Row],[Country]],Table79[Women''s Classification],"&gt;0")</f>
        <v>0</v>
      </c>
      <c r="LC151" s="6">
        <f>COUNTIFS(Table79[Country],Tabela1[[#This Row],[Country]],Table79[Mixed Classification],"&gt;0")</f>
        <v>0</v>
      </c>
      <c r="LD151" s="6">
        <f>COUNTIFS(Table65[Country],Tabela1[[#This Row],[Country]],Table65[Classification],"&gt;0")</f>
        <v>0</v>
      </c>
      <c r="LE151" s="6">
        <f>COUNTIFS(Table59[Country],Tabela1[[#This Row],[Country]],Table59[Classification],"&gt;0")</f>
        <v>0</v>
      </c>
      <c r="LF151" s="6">
        <f>COUNTIFS(Table87[Country],Tabela1[[#This Row],[Country]],Table87[Mixed Relay Classification],"&gt;0")</f>
        <v>0</v>
      </c>
      <c r="LG151" s="6">
        <f>COUNTIFS(Table91949698100[Country],Tabela1[[#This Row],[Country]],Table91949698100[Men''s Classification],"&gt;0")</f>
        <v>0</v>
      </c>
      <c r="LH151" s="6">
        <f>COUNTIFS(Table91949698100[Country],Tabela1[[#This Row],[Country]],Table91949698100[Women''s Classification],"&gt;0")</f>
        <v>0</v>
      </c>
      <c r="LI151" s="6">
        <f>COUNTIFS(Table91949698100102[Country],Tabela1[[#This Row],[Country]],Table91949698100102[Men''s Classification],"&gt;0")</f>
        <v>0</v>
      </c>
      <c r="LJ151" s="6">
        <f>COUNTIFS(Table91949698100102[Country],Tabela1[[#This Row],[Country]],Table91949698100102[Women''s Classification],"&gt;0")</f>
        <v>0</v>
      </c>
      <c r="LK151" s="6">
        <f>COUNTIFS(Table23[Country],Tabela1[[#This Row],[Country]],Table23[61kg Classification],"&gt;0")</f>
        <v>0</v>
      </c>
      <c r="LL151" s="6">
        <f>COUNTIFS(Table23[Country],Tabela1[[#This Row],[Country]],Table23[73kg Classification],"&gt;0")</f>
        <v>0</v>
      </c>
      <c r="LM151" s="6">
        <f>COUNTIFS(Table23[Country],Tabela1[[#This Row],[Country]],Table23[89kg Classification],"&gt;0")</f>
        <v>0</v>
      </c>
      <c r="LN151" s="6">
        <f>COUNTIFS(Table23[Country],Tabela1[[#This Row],[Country]],Table23[102kg Classification],"&gt;0")</f>
        <v>0</v>
      </c>
      <c r="LO151" s="6">
        <f>COUNTIFS(Table23[Country],Tabela1[[#This Row],[Country]],Table23[Plus 102kg Classification],"&gt;0")</f>
        <v>0</v>
      </c>
      <c r="LP151" s="6">
        <f>COUNTIFS(Table28[Country],Tabela1[[#This Row],[Country]],Table28[49kg Classification],"&gt;0")</f>
        <v>0</v>
      </c>
      <c r="LQ151" s="6">
        <f>COUNTIFS(Table28[Country],Tabela1[[#This Row],[Country]],Table28[59kg Classification],"&gt;0")</f>
        <v>0</v>
      </c>
      <c r="LR151" s="6">
        <f>COUNTIFS(Table28[Country],Tabela1[[#This Row],[Country]],Table28[71kg Classification],"&gt;0")</f>
        <v>0</v>
      </c>
      <c r="LS151" s="6">
        <f>COUNTIFS(Table28[Country],Tabela1[[#This Row],[Country]],Table28[81kg Classification],"&gt;0")</f>
        <v>0</v>
      </c>
      <c r="LT151" s="6">
        <f>COUNTIFS(Table28[Country],Tabela1[[#This Row],[Country]],Table28[Plus 81kg Classification],"&gt;0")</f>
        <v>0</v>
      </c>
      <c r="LU151" s="6">
        <f>COUNTIFS(Table24[Country],Tabela1[[#This Row],[Country]],Table24[Freestyle 57kg Classification],"&gt;0")</f>
        <v>0</v>
      </c>
      <c r="LV151" s="6">
        <f>COUNTIFS(Table24[Country],Tabela1[[#This Row],[Country]],Table24[Freestyle 65kg Classification],"&gt;0")</f>
        <v>0</v>
      </c>
      <c r="LW151" s="6">
        <f>COUNTIFS(Table24[Country],Tabela1[[#This Row],[Country]],Table24[Freestyle 74kg Classification],"&gt;0")</f>
        <v>0</v>
      </c>
      <c r="LX151" s="6">
        <f>COUNTIFS(Table24[Country],Tabela1[[#This Row],[Country]],Table24[Freestyle 86kg Classification],"&gt;0")</f>
        <v>0</v>
      </c>
      <c r="LY151" s="6">
        <f>COUNTIFS(Table24[Country],Tabela1[[#This Row],[Country]],Table24[Freestyle 97kg Classification],"&gt;0")</f>
        <v>0</v>
      </c>
      <c r="LZ151" s="6">
        <f>COUNTIFS(Table24[Country],Tabela1[[#This Row],[Country]],Table24[Freestyle 125kg Classification],"&gt;0")</f>
        <v>0</v>
      </c>
      <c r="MA151" s="6">
        <f>COUNTIFS(Table24[Country],Tabela1[[#This Row],[Country]],Table24[Greco-Roman 60kg Classification],"&gt;0")</f>
        <v>0</v>
      </c>
      <c r="MB151" s="6">
        <f>COUNTIFS(Table24[Country],Tabela1[[#This Row],[Country]],Table24[Greco-Roman 67kg Classification],"&gt;0")</f>
        <v>0</v>
      </c>
      <c r="MC151" s="6">
        <f>COUNTIFS(Table24[Country],Tabela1[[#This Row],[Country]],Table24[Greco-Roman 77kg Classification],"&gt;0")</f>
        <v>0</v>
      </c>
      <c r="MD151" s="6">
        <f>COUNTIFS(Table24[Country],Tabela1[[#This Row],[Country]],Table24[Greco-Roman 87kg Classification],"&gt;0")</f>
        <v>0</v>
      </c>
      <c r="ME151" s="6">
        <f>COUNTIFS(Table24[Country],Tabela1[[#This Row],[Country]],Table24[Greco-Roman 97kg Classification],"&gt;0")</f>
        <v>0</v>
      </c>
      <c r="MF151" s="6">
        <f>COUNTIFS(Table24[Country],Tabela1[[#This Row],[Country]],Table24[Greco-Roman 130kg Classification],"&gt;0")</f>
        <v>0</v>
      </c>
      <c r="MG151" s="6">
        <f>COUNTIFS(Table31[Country],Tabela1[[#This Row],[Country]],Table31[50kg Classification],"&gt;0")</f>
        <v>0</v>
      </c>
      <c r="MH151" s="6">
        <f>COUNTIFS(Table31[Country],Tabela1[[#This Row],[Country]],Table31[53kg Classification],"&gt;0")</f>
        <v>0</v>
      </c>
      <c r="MI151" s="6">
        <f>COUNTIFS(Table31[Country],Tabela1[[#This Row],[Country]],Table31[57kg Classification],"&gt;0")</f>
        <v>0</v>
      </c>
      <c r="MJ151" s="6">
        <f>COUNTIFS(Table31[Country],Tabela1[[#This Row],[Country]],Table31[62kg Classification],"&gt;0")</f>
        <v>0</v>
      </c>
      <c r="MK151" s="6">
        <f>COUNTIFS(Table31[Country],Tabela1[[#This Row],[Country]],Table31[68kg Classification],"&gt;0")</f>
        <v>0</v>
      </c>
      <c r="ML151" s="6">
        <f>COUNTIFS(Table31[Country],Tabela1[[#This Row],[Country]],Table31[76kg Classification],"&gt;0")</f>
        <v>0</v>
      </c>
      <c r="MM151" s="6">
        <f>COUNTIFS(Table102[Country],Tabela1[[#This Row],[Country]],Table102[Downhill Classification],"&gt;0")</f>
        <v>0</v>
      </c>
      <c r="MN151" s="6">
        <f>COUNTIFS(Table102105[Country],Tabela1[[#This Row],[Country]],Table102105[Downhill Classification],"&gt;0")</f>
        <v>0</v>
      </c>
      <c r="MO151" s="6">
        <f>COUNTIFS(Table102[Country],Tabela1[[#This Row],[Country]],Table102[Giant Slalom Classification],"&gt;0")</f>
        <v>0</v>
      </c>
      <c r="MP151" s="6">
        <f>COUNTIFS(Table102105[Country],Tabela1[[#This Row],[Country]],Table102105[Giant Slalom Classification],"&gt;0")</f>
        <v>0</v>
      </c>
      <c r="MQ151" s="6">
        <f>COUNTIFS(Table102[Country],Tabela1[[#This Row],[Country]],Table102[Slalom Classification],"&gt;0")</f>
        <v>0</v>
      </c>
      <c r="MR151" s="6">
        <f>COUNTIFS(Table102105[Country],Tabela1[[#This Row],[Country]],Table102105[Slalom Classification],"&gt;0")</f>
        <v>0</v>
      </c>
      <c r="MS151" s="6">
        <f>COUNTIFS(Table102[Country],Tabela1[[#This Row],[Country]],Table102[Super-G Classification],"&gt;0")</f>
        <v>0</v>
      </c>
      <c r="MT151" s="6">
        <f>COUNTIFS(Table102105[Country],Tabela1[[#This Row],[Country]],Table102105[Super-G Classification],"&gt;0")</f>
        <v>0</v>
      </c>
      <c r="MU151" s="6">
        <f>COUNTIFS(Table105[Country],Tabela1[[#This Row],[Country]],Table105[Men''s Combined Classification],"&gt;0")</f>
        <v>0</v>
      </c>
      <c r="MV151" s="6">
        <f>COUNTIFS(Table105[Country],Tabela1[[#This Row],[Country]],Table105[Women''s Combined Classification],"&gt;0")</f>
        <v>0</v>
      </c>
      <c r="MW151" s="6">
        <f>COUNTIFS(Table106[Country],Tabela1[[#This Row],[Country]],Table106[Individual Classification],"&gt;0")</f>
        <v>0</v>
      </c>
      <c r="MX151" s="6">
        <f>COUNTIFS(Table106109[Country],Tabela1[[#This Row],[Country]],Table106109[Individual Classification],"&gt;0")</f>
        <v>0</v>
      </c>
      <c r="MY151" s="6">
        <f>COUNTIFS(Table106[Country],Tabela1[[#This Row],[Country]],Table106[Mass Start Classification],"&gt;0")</f>
        <v>0</v>
      </c>
      <c r="MZ151" s="6">
        <f>COUNTIFS(Table106109[Country],Tabela1[[#This Row],[Country]],Table106109[Mass Start Classification],"&gt;0")</f>
        <v>0</v>
      </c>
      <c r="NA151" s="6">
        <f>COUNTIFS(Table106[Country],Tabela1[[#This Row],[Country]],Table106[Pursuit Classification],"&gt;0")</f>
        <v>0</v>
      </c>
      <c r="NB151" s="6">
        <f>COUNTIFS(Table106109[Country],Tabela1[[#This Row],[Country]],Table106109[Pursuit Classification],"&gt;0")</f>
        <v>0</v>
      </c>
      <c r="NC151" s="6">
        <f>COUNTIFS(Table106[Country],Tabela1[[#This Row],[Country]],Table106[Sprint Classification],"&gt;0")</f>
        <v>0</v>
      </c>
      <c r="ND151" s="6">
        <f>COUNTIFS(Table106109[Country],Tabela1[[#This Row],[Country]],Table106109[Sprint Classification],"&gt;0")</f>
        <v>0</v>
      </c>
      <c r="NE151" s="6">
        <f>COUNTIFS(Table109[Country],Tabela1[[#This Row],[Country]],Table109[Men''s Relay Classification],"&gt;0")</f>
        <v>0</v>
      </c>
      <c r="NF151" s="6">
        <f>COUNTIFS(Table109[Country],Tabela1[[#This Row],[Country]],Table109[Women''s Relay Classification],"&gt;0")</f>
        <v>0</v>
      </c>
      <c r="NG151" s="6">
        <f>COUNTIFS(Table109[Country],Tabela1[[#This Row],[Country]],Table109[Mixed Relay Classification],"&gt;0")</f>
        <v>0</v>
      </c>
      <c r="NH151" s="6">
        <f>COUNTIFS(Table110[Country],Tabela1[[#This Row],[Country]],Table110[Monobob Classification],"&gt;0")</f>
        <v>0</v>
      </c>
      <c r="NI151" s="6">
        <f>COUNTIFS(Table111[Country],Tabela1[[#This Row],[Country]],Table111[Men''s Classification],"&gt;0")</f>
        <v>0</v>
      </c>
      <c r="NJ151" s="6">
        <f>COUNTIFS(Table111[Country],Tabela1[[#This Row],[Country]],Table111[Women''s Classification],"&gt;0")</f>
        <v>0</v>
      </c>
      <c r="NK151" s="6">
        <f>COUNTIFS(Table112[Country],Tabela1[[#This Row],[Country]],Table112[Men''s Four Classification],"&gt;0")</f>
        <v>0</v>
      </c>
      <c r="NL151" s="6">
        <f>COUNTIFS(Table113[Country],Tabela1[[#This Row],[Country]],Table113[Classical Classification],"&gt;0")</f>
        <v>0</v>
      </c>
      <c r="NM151" s="6">
        <f>COUNTIFS(Table113116[Country],Tabela1[[#This Row],[Country]],Table113116[Classical Classification],"&gt;0")</f>
        <v>0</v>
      </c>
      <c r="NN151" s="6">
        <f>COUNTIFS(Table113[Country],Tabela1[[#This Row],[Country]],Table113[Freestyle Classification],"&gt;0")</f>
        <v>0</v>
      </c>
      <c r="NO151" s="6">
        <f>COUNTIFS(Table113116[Country],Tabela1[[#This Row],[Country]],Table113116[Freestyle Classification],"&gt;0")</f>
        <v>0</v>
      </c>
      <c r="NP151" s="6">
        <f>COUNTIFS(Table117[Country],Tabela1[[#This Row],[Country]],Table117[Men''s Relay Classification],"&gt;0")</f>
        <v>0</v>
      </c>
      <c r="NQ151" s="6">
        <f>COUNTIFS(Table117[Country],Tabela1[[#This Row],[Country]],Table117[Women''s Relay Classification],"&gt;0")</f>
        <v>0</v>
      </c>
      <c r="NR151" s="6">
        <f>COUNTIFS(Table113[Country],Tabela1[[#This Row],[Country]],Table113[Skiathlon Classification],"&gt;0")</f>
        <v>0</v>
      </c>
      <c r="NS151" s="6">
        <f>COUNTIFS(Table113116[Country],Tabela1[[#This Row],[Country]],Table113116[Skiathlon Classification],"&gt;0")</f>
        <v>0</v>
      </c>
      <c r="NT151" s="6">
        <f>COUNTIFS(Table113[Country],Tabela1[[#This Row],[Country]],Table113[Sprint Classification],"&gt;0")</f>
        <v>0</v>
      </c>
      <c r="NU151" s="6">
        <f>COUNTIFS(Table113116[Country],Tabela1[[#This Row],[Country]],Table113116[Sprint Classification],"&gt;0")</f>
        <v>0</v>
      </c>
      <c r="NV151" s="6">
        <f>COUNTIFS(Table116[Country],Tabela1[[#This Row],[Country]],Table116[Men''s Team Sprint Classification],"&gt;0")</f>
        <v>0</v>
      </c>
      <c r="NW151" s="6">
        <f>COUNTIFS(Table116[Country],Tabela1[[#This Row],[Country]],Table116[Women''s Team Sprint Classification],"&gt;0")</f>
        <v>0</v>
      </c>
      <c r="NX151" s="6">
        <f>COUNTIFS(Table119[Country],Tabela1[[#This Row],[Country]],Table119[Men''s Classification],"&gt;0")</f>
        <v>0</v>
      </c>
      <c r="NY151" s="6">
        <f>COUNTIFS(Table119[Country],Tabela1[[#This Row],[Country]],Table119[Women''s Classification],"&gt;0")</f>
        <v>0</v>
      </c>
      <c r="NZ151" s="6">
        <f>COUNTIFS(Table118[Country],Tabela1[[#This Row],[Country]],Table118[Mixed Classification],"&gt;0")</f>
        <v>0</v>
      </c>
      <c r="OA151" s="6">
        <f>COUNTIFS(Table120[Country],Tabela1[[#This Row],[Country]],Table120[Classification],"&gt;0")</f>
        <v>0</v>
      </c>
      <c r="OB151" s="6">
        <f>COUNTIFS(Table120123[Country],Tabela1[[#This Row],[Country]],Table120123[Classification],"&gt;0")</f>
        <v>0</v>
      </c>
      <c r="OC151" s="6">
        <f>COUNTIFS(Table123[Country],Tabela1[[#This Row],[Country]],Table123[Ice Dance Classification],"&gt;0")</f>
        <v>0</v>
      </c>
      <c r="OD151" s="6">
        <f>COUNTIFS(Table123[Country],Tabela1[[#This Row],[Country]],Table123[Pair Skating Classification],"&gt;0")</f>
        <v>0</v>
      </c>
      <c r="OE151" s="6">
        <f>COUNTIFS(Table124[Country],Tabela1[[#This Row],[Country]],Table124[Mixed Classification],"&gt;0")</f>
        <v>0</v>
      </c>
      <c r="OF151" s="6">
        <f>COUNTIFS(Table125[Country],Tabela1[[#This Row],[Country]],Table125[Aerials Classification],"&gt;0")</f>
        <v>0</v>
      </c>
      <c r="OG151" s="6">
        <f>COUNTIFS(Table125128[Country],Tabela1[[#This Row],[Country]],Table125128[Aerials Classification],"&gt;0")</f>
        <v>0</v>
      </c>
      <c r="OH151" s="6">
        <f>COUNTIFS(Table128[Country],Tabela1[[#This Row],[Country]],Table128[Mixed Aerials Classification],"&gt;0")</f>
        <v>0</v>
      </c>
      <c r="OI151" s="6">
        <f>COUNTIFS(Table125[Country],Tabela1[[#This Row],[Country]],Table125[Big Air Classification],"&gt;0")</f>
        <v>0</v>
      </c>
      <c r="OJ151" s="6">
        <f>COUNTIFS(Table125128[Country],Tabela1[[#This Row],[Country]],Table125128[Big Air Classification],"&gt;0")</f>
        <v>0</v>
      </c>
      <c r="OK151" s="6">
        <f>COUNTIFS(Table125[Country],Tabela1[[#This Row],[Country]],Table125[Dual Moguls Classification],"&gt;0")</f>
        <v>0</v>
      </c>
      <c r="OL151" s="6">
        <f>COUNTIFS(Table125128[Country],Tabela1[[#This Row],[Country]],Table125128[Dual Moguls Classification],"&gt;0")</f>
        <v>0</v>
      </c>
      <c r="OM151" s="6">
        <f>COUNTIFS(Table125[Country],Tabela1[[#This Row],[Country]],Table125[Halfpipe Classification],"&gt;0")</f>
        <v>0</v>
      </c>
      <c r="ON151" s="6">
        <f>COUNTIFS(Table125128[Country],Tabela1[[#This Row],[Country]],Table125128[Halfpipe Classification],"&gt;0")</f>
        <v>0</v>
      </c>
      <c r="OO151" s="6">
        <f>COUNTIFS(Table125[Country],Tabela1[[#This Row],[Country]],Table125[Moguls Classification],"&gt;0")</f>
        <v>0</v>
      </c>
      <c r="OP151" s="6">
        <f>COUNTIFS(Table125128[Country],Tabela1[[#This Row],[Country]],Table125128[Moguls Classification],"&gt;0")</f>
        <v>0</v>
      </c>
      <c r="OQ151" s="6">
        <f>COUNTIFS(Table125[Country],Tabela1[[#This Row],[Country]],Table125[Ski Cross Classification],"&gt;0")</f>
        <v>0</v>
      </c>
      <c r="OR151" s="6">
        <f>COUNTIFS(Table125128[Country],Tabela1[[#This Row],[Country]],Table125128[Ski Cross Classification],"&gt;0")</f>
        <v>0</v>
      </c>
      <c r="OS151" s="6">
        <f>COUNTIFS(Table125[Country],Tabela1[[#This Row],[Country]],Table125[Slopestyle Classification],"&gt;0")</f>
        <v>0</v>
      </c>
      <c r="OT151" s="6">
        <f>COUNTIFS(Table125128[Country],Tabela1[[#This Row],[Country]],Table125128[Slopestyle Classification],"&gt;0")</f>
        <v>0</v>
      </c>
      <c r="OU151" s="6">
        <f>COUNTIFS(Table119131[Country],Tabela1[[#This Row],[Country]],Table119131[Men''s Classification],"&gt;0")</f>
        <v>0</v>
      </c>
      <c r="OV151" s="6">
        <f>COUNTIFS(Table119131[Country],Tabela1[[#This Row],[Country]],Table119131[Women''s Classification],"&gt;0")</f>
        <v>0</v>
      </c>
      <c r="OW151" s="6">
        <f>COUNTIFS(Table131[Country],Tabela1[[#This Row],[Country]],Table131[Classification],"&gt;0")</f>
        <v>0</v>
      </c>
      <c r="OX151" s="6">
        <f>COUNTIFS(Table131134[Country],Tabela1[[#This Row],[Country]],Table131134[Classification],"&gt;0")</f>
        <v>0</v>
      </c>
      <c r="OY151" s="6">
        <f>COUNTIFS(Table134[Country],Tabela1[[#This Row],[Country]],Table134[Men''s Classification],"&gt;0")</f>
        <v>0</v>
      </c>
      <c r="OZ151" s="6">
        <f>COUNTIFS(Table134[Country],Tabela1[[#This Row],[Country]],Table134[Women''s Classification],"&gt;0")</f>
        <v>0</v>
      </c>
      <c r="PA151" s="6">
        <f>COUNTIFS(Table135[Country],Tabela1[[#This Row],[Country]],Table135[Mixed Relay Classification],"&gt;0")</f>
        <v>0</v>
      </c>
      <c r="PB151" s="6">
        <f>COUNTIFS(Table136[Country],Tabela1[[#This Row],[Country]],Table136[Individual Classification],"&gt;0")</f>
        <v>0</v>
      </c>
      <c r="PC151" s="6">
        <f>COUNTIFS(Table136[Country],Tabela1[[#This Row],[Country]],Table136[Sprint Classification],"&gt;0")</f>
        <v>0</v>
      </c>
      <c r="PD151" s="6">
        <f>COUNTIFS(Table137[Country],Tabela1[[#This Row],[Country]],Table137[Men''s Team Sprint Large Hill Classification],"&gt;0")</f>
        <v>0</v>
      </c>
      <c r="PE151" s="6">
        <f>COUNTIFS(Table138[Country],Tabela1[[#This Row],[Country]],Table138[500m Classification],"&gt;0")</f>
        <v>0</v>
      </c>
      <c r="PF151" s="6">
        <f>COUNTIFS(Table138141[Country],Tabela1[[#This Row],[Country]],Table138141[500m Classification],"&gt;0")</f>
        <v>0</v>
      </c>
      <c r="PG151" s="6">
        <f>COUNTIFS(Table138[Country],Tabela1[[#This Row],[Country]],Table138[1000m Classification],"&gt;0")</f>
        <v>0</v>
      </c>
      <c r="PH151" s="6">
        <f>COUNTIFS(Table138141[Country],Tabela1[[#This Row],[Country]],Table138141[1000m Classification],"&gt;0")</f>
        <v>0</v>
      </c>
      <c r="PI151" s="6">
        <f>COUNTIFS(Table138[Country],Tabela1[[#This Row],[Country]],Table138[1500m Classification],"&gt;0")</f>
        <v>0</v>
      </c>
      <c r="PJ151" s="6">
        <f>COUNTIFS(Table138141[Country],Tabela1[[#This Row],[Country]],Table138141[1500m Classification],"&gt;0")</f>
        <v>0</v>
      </c>
      <c r="PK151" s="6">
        <f>COUNTIFS(Table141[Country],Tabela1[[#This Row],[Country]],Table141[Men''s 5000m Relay Classification],"&gt;0")</f>
        <v>0</v>
      </c>
      <c r="PL151" s="6">
        <f>COUNTIFS(Table141[Country],Tabela1[[#This Row],[Country]],Table141[Women''s 3000m Relay Classification],"&gt;0")</f>
        <v>0</v>
      </c>
      <c r="PM151" s="6">
        <f>COUNTIFS(Table141[Country],Tabela1[[#This Row],[Country]],Table141[Mixed 2000m Relay Classification],"&gt;0")</f>
        <v>0</v>
      </c>
      <c r="PN151" s="6">
        <f>COUNTIFS(Table142[Country],Tabela1[[#This Row],[Country]],Table142[Classification],"&gt;0")</f>
        <v>0</v>
      </c>
      <c r="PO151" s="6">
        <f>COUNTIFS(Table142145[Country],Tabela1[[#This Row],[Country]],Table142145[Classification],"&gt;0")</f>
        <v>0</v>
      </c>
      <c r="PP151" s="6">
        <f>COUNTIFS(Tabela15[Country],Tabela1[[#This Row],[Country]],Tabela15[Mixed Team Classification],"&gt;0")</f>
        <v>0</v>
      </c>
      <c r="PQ151" s="6">
        <f>COUNTIFS(Table145[Country],Tabela1[[#This Row],[Country]],Table145[Large Hill Classification],"&gt;0")</f>
        <v>0</v>
      </c>
      <c r="PR151" s="6">
        <f>COUNTIFS(Table145[Country],Tabela1[[#This Row],[Country]],Table145[Normal Hill Classification],"&gt;0")</f>
        <v>0</v>
      </c>
      <c r="PS151" s="6">
        <f>COUNTIFS(Table145148[Country],Tabela1[[#This Row],[Country]],Table145148[Large Hill Classification],"&gt;0")</f>
        <v>0</v>
      </c>
      <c r="PT151" s="6">
        <f>COUNTIFS(Table145148[Country],Tabela1[[#This Row],[Country]],Table145148[Normal Hill Classification],"&gt;0")</f>
        <v>0</v>
      </c>
      <c r="PU151" s="6">
        <f>COUNTIFS(Table148[Country],Tabela1[[#This Row],[Country]],Table148[Men''s Super Team Classification],"&gt;0")</f>
        <v>0</v>
      </c>
      <c r="PV151" s="6">
        <f>COUNTIFS(Tabela114[Country],Tabela1[[#This Row],[Country]],Tabela114[Mixed Normal Hill Classification],"&gt;0")</f>
        <v>0</v>
      </c>
      <c r="PW151" s="6">
        <f>COUNTIFS(Tabela50[Country],Tabela1[[#This Row],[Country]],Tabela50[Sprint Classification],"&gt;0")</f>
        <v>0</v>
      </c>
      <c r="PX151" s="6">
        <f>COUNTIFS(Tabela50101[Country],Tabela1[[#This Row],[Country]],Tabela50101[Sprint Classification],"&gt;0")</f>
        <v>0</v>
      </c>
      <c r="PY151" s="6">
        <f>COUNTIFS(Tabela103[Country],Tabela1[[#This Row],[Country]],Tabela103[Mixed Relay Classification],"&gt;0")</f>
        <v>0</v>
      </c>
      <c r="PZ151" s="6">
        <f>COUNTIFS(Table149[Country],Tabela1[[#This Row],[Country]],Table149[Big Air Classification],"&gt;0")</f>
        <v>0</v>
      </c>
      <c r="QA151" s="6">
        <f>COUNTIFS(Table149152[Country],Tabela1[[#This Row],[Country]],Table149152[Big Air Classification],"&gt;0")</f>
        <v>0</v>
      </c>
      <c r="QB151" s="6">
        <f>COUNTIFS(Table149[Country],Tabela1[[#This Row],[Country]],Table149[Halfpipe Classification],"&gt;0")</f>
        <v>0</v>
      </c>
      <c r="QC151" s="6">
        <f>COUNTIFS(Table149152[Country],Tabela1[[#This Row],[Country]],Table149152[Halfpipe Classification],"&gt;0")</f>
        <v>0</v>
      </c>
      <c r="QD151" s="6">
        <f>COUNTIFS(Table149[Country],Tabela1[[#This Row],[Country]],Table149[Parallel Giant Slalom Classification],"&gt;0")</f>
        <v>0</v>
      </c>
      <c r="QE151" s="6">
        <f>COUNTIFS(Table149152[Country],Tabela1[[#This Row],[Country]],Table149152[Parallel Giant Slalom Classification],"&gt;0")</f>
        <v>0</v>
      </c>
      <c r="QF151" s="6">
        <f>COUNTIFS(Table149[Country],Tabela1[[#This Row],[Country]],Table149[Slopestyle Classification],"&gt;0")</f>
        <v>0</v>
      </c>
      <c r="QG151" s="6">
        <f>COUNTIFS(Table149152[Country],Tabela1[[#This Row],[Country]],Table149152[Slopestyle Classification],"&gt;0")</f>
        <v>0</v>
      </c>
      <c r="QH151" s="6">
        <f>COUNTIFS(Table149[Country],Tabela1[[#This Row],[Country]],Table149[Snowboard Cross Classification],"&gt;0")</f>
        <v>0</v>
      </c>
      <c r="QI151" s="6">
        <f>COUNTIFS(Table149152[Country],Tabela1[[#This Row],[Country]],Table149152[Snowboard Cross Classification],"&gt;0")</f>
        <v>0</v>
      </c>
      <c r="QJ151" s="6">
        <f>COUNTIFS(Table153[Country],Tabela1[[#This Row],[Country]],Table153[Mixed Team Snowboard Cross Classification],"&gt;0")</f>
        <v>0</v>
      </c>
      <c r="QK151" s="6">
        <f>COUNTIFS(Table154[Country],Tabela1[[#This Row],[Country]],Table154[500m Classification],"&gt;0")</f>
        <v>0</v>
      </c>
      <c r="QL151" s="6">
        <f>COUNTIFS(Table154157[Country],Tabela1[[#This Row],[Country]],Table154157[500m Classification],"&gt;0")</f>
        <v>0</v>
      </c>
      <c r="QM151" s="6">
        <f>COUNTIFS(Table154[Country],Tabela1[[#This Row],[Country]],Table154[1000m Classification],"&gt;0")</f>
        <v>0</v>
      </c>
      <c r="QN151" s="6">
        <f>COUNTIFS(Table154157[Country],Tabela1[[#This Row],[Country]],Table154157[1000m Classification],"&gt;0")</f>
        <v>0</v>
      </c>
      <c r="QO151" s="6">
        <f>COUNTIFS(Table154[Country],Tabela1[[#This Row],[Country]],Table154[1500m Classification],"&gt;0")</f>
        <v>0</v>
      </c>
      <c r="QP151" s="6">
        <f>COUNTIFS(Table154157[Country],Tabela1[[#This Row],[Country]],Table154157[1500m Classification],"&gt;0")</f>
        <v>0</v>
      </c>
      <c r="QQ151" s="6">
        <f>COUNTIFS(Table154157[Country],Tabela1[[#This Row],[Country]],Table154157[3000m Classification],"&gt;0")</f>
        <v>0</v>
      </c>
      <c r="QR151" s="6">
        <f>COUNTIFS(Table154[Country],Tabela1[[#This Row],[Country]],Table154[5000m Classification],"&gt;0")</f>
        <v>0</v>
      </c>
      <c r="QS151" s="6">
        <f>COUNTIFS(Table154157[Country],Tabela1[[#This Row],[Country]],Table154157[5000m Classification],"&gt;0")</f>
        <v>0</v>
      </c>
      <c r="QT151" s="6">
        <f>COUNTIFS(Table154[Country],Tabela1[[#This Row],[Country]],Table154[10000m Classification],"&gt;0")</f>
        <v>0</v>
      </c>
      <c r="QU151" s="6">
        <f>COUNTIFS(Table154[Country],Tabela1[[#This Row],[Country]],Table154[Mass Start Classification],"&gt;0")</f>
        <v>0</v>
      </c>
      <c r="QV151" s="6">
        <f>COUNTIFS(Table154157[Country],Tabela1[[#This Row],[Country]],Table154157[Mass Start Classification],"&gt;0")</f>
        <v>0</v>
      </c>
      <c r="QW151" s="6">
        <f>COUNTIFS(Table157[Country],Tabela1[[#This Row],[Country]],Table157[Men''s Pursuit Classification],"&gt;0")</f>
        <v>0</v>
      </c>
      <c r="QX151" s="6">
        <f>COUNTIFS(Table157[Country],Tabela1[[#This Row],[Country]],Table157[Women''s Pursuit Classification],"&gt;0")</f>
        <v>0</v>
      </c>
      <c r="QY151" s="3" t="s">
        <v>515</v>
      </c>
    </row>
    <row r="152" spans="1:467" x14ac:dyDescent="0.3">
      <c r="A152" s="6">
        <v>151</v>
      </c>
      <c r="B152" s="6" t="s">
        <v>546</v>
      </c>
      <c r="C152" t="e" vm="151">
        <f>IF(ISBLANK(Tabela1[[#This Row],[Image Link]]), "", _xlfn.IMAGE(Tabela1[[#This Row],[Image Link]],1,1))</f>
        <v>#VALUE!</v>
      </c>
      <c r="D152" s="6">
        <f>SUM(Tabela1[[#This Row],[Archery - Men''s Individual Recurve]:[Speed Skating - Women''s Team Pursuit]])</f>
        <v>1</v>
      </c>
      <c r="E152" s="6">
        <f>COUNTIF(Tabela1[[#This Row],[Archery - Men''s Individual Recurve]:[Speed Skating - Women''s Team Pursuit]],"&gt;0")</f>
        <v>1</v>
      </c>
      <c r="F152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52" s="6">
        <f>SUM(Tabela1[[#This Row],[Archery - Men''s Individual Recurve]:[Wrestling - Women''s Freestyle 76kg]])</f>
        <v>1</v>
      </c>
      <c r="H152" s="6">
        <f>SUM(Tabela1[[#This Row],[Alpine Skiing - Men''s Downhill]:[Speed Skating - Women''s Team Pursuit]])</f>
        <v>0</v>
      </c>
      <c r="I152" s="6">
        <f>Tabela1[[#This Row],[Summer Gold Medals]]+Tabela1[[#This Row],[Winter Gold Medals]]</f>
        <v>0</v>
      </c>
      <c r="J152" s="6">
        <f>Tabela1[[#This Row],[Summer Silver Medals]]+Tabela1[[#This Row],[Winter Silver Medals]]</f>
        <v>0</v>
      </c>
      <c r="K152" s="6">
        <f>Tabela1[[#This Row],[Summer Bronze Medals]]+Tabela1[[#This Row],[Winter Bronze Medals]]</f>
        <v>0</v>
      </c>
      <c r="L152" s="6">
        <f>SUM(Tabela1[[#This Row],[Total Gold Medals]:[Total Bronze Medals]])</f>
        <v>0</v>
      </c>
      <c r="M152" s="6"/>
      <c r="N152" s="6"/>
      <c r="O152" s="6"/>
      <c r="P152" s="6">
        <f>SUM(Tabela1[[#This Row],[Summer Gold Medals]:[Summer Bronze Medals]])</f>
        <v>0</v>
      </c>
      <c r="Q152" s="6"/>
      <c r="R152" s="6"/>
      <c r="S152" s="6"/>
      <c r="T152" s="6">
        <f>Tabela1[[#This Row],[Winter Gold Medals]]+Tabela1[[#This Row],[Winter Silver Medals]]+Tabela1[[#This Row],[Winter Bronze Medals]]</f>
        <v>0</v>
      </c>
      <c r="U152" s="7">
        <f>Tabela1[[#This Row],[Total Medals]]/Tabela1[[#This Row],[Total Quotas]]</f>
        <v>0</v>
      </c>
      <c r="V152" s="6">
        <f>COUNTIFS(Table3[Country],Tabela1[[#This Row],[Country]],Table3[Recurve Classification],"&gt;0")</f>
        <v>0</v>
      </c>
      <c r="W152" s="6">
        <f>COUNTIFS(Table33[Country],Tabela1[[#This Row],[Country]],Table33[Recurve Classification],"&gt;0")</f>
        <v>0</v>
      </c>
      <c r="X152" s="6">
        <f>COUNTIFS(Table35[Country],Tabela1[[#This Row],[Country]],Table35[Men''s Team Recurve Classification],"&gt;0")</f>
        <v>0</v>
      </c>
      <c r="Y152" s="6">
        <f>COUNTIFS(Table35[Country],Tabela1[[#This Row],[Country]],Table35[Women''s Team Recurve Classification],"&gt;0")</f>
        <v>0</v>
      </c>
      <c r="Z152" s="6">
        <f>COUNTIFS(Tabela88[Country],Tabela1[[#This Row],[Country]],Tabela88[Mixed Team Recurve Classification],"&gt;0")</f>
        <v>0</v>
      </c>
      <c r="AA152" s="6">
        <f>COUNTIFS(Table36[Country],Tabela1[[#This Row],[Country]],Table36[Classification],"&gt;0")</f>
        <v>0</v>
      </c>
      <c r="AB152" s="6">
        <f>COUNTIFS(Table37[Country],Tabela1[[#This Row],[Country]],Table37[Classification],"&gt;0")</f>
        <v>0</v>
      </c>
      <c r="AC152" s="6">
        <f>COUNTIFS(Table4[Country],Tabela1[[#This Row],[Country]],Table4[100m Classification],"&gt;0")</f>
        <v>0</v>
      </c>
      <c r="AD152" s="6">
        <f>COUNTIFS(Table5[Country],Tabela1[[#This Row],[Country]],Table5[100m Classification],"&gt;0")</f>
        <v>0</v>
      </c>
      <c r="AE152" s="6">
        <f>COUNTIFS(Table4[Country],Tabela1[[#This Row],[Country]],Table4[200m Classification],"&gt;0")</f>
        <v>0</v>
      </c>
      <c r="AF152" s="6">
        <f>COUNTIFS(Table5[Country],Tabela1[[#This Row],[Country]],Table5[200m Classification],"&gt;0")</f>
        <v>0</v>
      </c>
      <c r="AG152" s="6">
        <f>COUNTIFS(Table4[Country],Tabela1[[#This Row],[Country]],Table4[400m Classification],"&gt;0")</f>
        <v>0</v>
      </c>
      <c r="AH152" s="6">
        <f>COUNTIFS(Table5[Country],Tabela1[[#This Row],[Country]],Table5[400m Classification],"&gt;0")</f>
        <v>0</v>
      </c>
      <c r="AI152" s="6">
        <f>COUNTIFS(Table4[Country],Tabela1[[#This Row],[Country]],Table4[800m Classification],"&gt;0")</f>
        <v>0</v>
      </c>
      <c r="AJ152" s="6">
        <f>COUNTIFS(Table5[Country],Tabela1[[#This Row],[Country]],Table5[800m Classification],"&gt;0")</f>
        <v>0</v>
      </c>
      <c r="AK152" s="6">
        <f>COUNTIFS(Table4[Country],Tabela1[[#This Row],[Country]],Table4[1500m Classification],"&gt;0")</f>
        <v>0</v>
      </c>
      <c r="AL152" s="6">
        <f>COUNTIFS(Table5[Country],Tabela1[[#This Row],[Country]],Table5[1500m Classification],"&gt;0")</f>
        <v>0</v>
      </c>
      <c r="AM152" s="6">
        <f>COUNTIFS(Table4[Country],Tabela1[[#This Row],[Country]],Table4[5000m Classification],"&gt;0")</f>
        <v>0</v>
      </c>
      <c r="AN152" s="6">
        <f>COUNTIFS(Table5[Country],Tabela1[[#This Row],[Country]],Table5[5000m Classification],"&gt;0")</f>
        <v>0</v>
      </c>
      <c r="AO152" s="6">
        <f>COUNTIFS(Table4[Country],Tabela1[[#This Row],[Country]],Table4[10000m Classification],"&gt;0")</f>
        <v>0</v>
      </c>
      <c r="AP152" s="6">
        <f>COUNTIFS(Table5[Country],Tabela1[[#This Row],[Country]],Table5[10000m Classification],"&gt;0")</f>
        <v>0</v>
      </c>
      <c r="AQ152" s="6">
        <f>COUNTIFS(Table4[Country],Tabela1[[#This Row],[Country]],Table4[110m Hurdles Classification],"&gt;0")</f>
        <v>0</v>
      </c>
      <c r="AR152" s="6">
        <f>COUNTIFS(Table5[Country],Tabela1[[#This Row],[Country]],Table5[100m Hurdles Classification],"&gt;0")</f>
        <v>0</v>
      </c>
      <c r="AS152" s="6">
        <f>COUNTIFS(Table4[Country],Tabela1[[#This Row],[Country]],Table4[400m Hurdles Classification],"&gt;0")</f>
        <v>0</v>
      </c>
      <c r="AT152" s="6">
        <f>COUNTIFS(Table5[Country],Tabela1[[#This Row],[Country]],Table5[400m Hurdles Classification],"&gt;0")</f>
        <v>0</v>
      </c>
      <c r="AU152" s="6">
        <f>COUNTIFS(Table4[Country],Tabela1[[#This Row],[Country]],Table4[3000m Steeplechase Classification],"&gt;0")</f>
        <v>0</v>
      </c>
      <c r="AV152" s="6">
        <f>COUNTIFS(Table5[Country],Tabela1[[#This Row],[Country]],Table5[3000m Steeplechase Classification],"&gt;0")</f>
        <v>0</v>
      </c>
      <c r="AW152" s="6">
        <f>COUNTIFS(Table27[Country],Tabela1[[#This Row],[Country]],Table27[Men''s 4x100m Relay Classification],"&gt;0")</f>
        <v>0</v>
      </c>
      <c r="AX152" s="6">
        <f>COUNTIFS(Table27[Country],Tabela1[[#This Row],[Country]],Table27[Women''s 4x100m Relay Classification],"&gt;0")</f>
        <v>0</v>
      </c>
      <c r="AY152" s="6">
        <f>COUNTIFS(Table27[Country],Tabela1[[#This Row],[Country]],Table27[Men''s 4x400m Relay Classification],"&gt;0")</f>
        <v>0</v>
      </c>
      <c r="AZ152" s="6">
        <f>COUNTIFS(Table27[Country],Tabela1[[#This Row],[Country]],Table27[Women''s 4x400m Relay Classification],"&gt;0")</f>
        <v>0</v>
      </c>
      <c r="BA152" s="6">
        <f>COUNTIFS(Table27[Country],Tabela1[[#This Row],[Country]],Table27[Mixed 4x400m Relay Classification],"&gt;0")</f>
        <v>0</v>
      </c>
      <c r="BB152" s="6">
        <f>COUNTIFS(Table4[Country],Tabela1[[#This Row],[Country]],Table4[Marathon Classification],"&gt;0")</f>
        <v>0</v>
      </c>
      <c r="BC152" s="6">
        <f>COUNTIFS(Table5[Country],Tabela1[[#This Row],[Country]],Table5[Marathon Classification],"&gt;0")</f>
        <v>0</v>
      </c>
      <c r="BD152" s="6">
        <f>COUNTIFS(Table4[Country],Tabela1[[#This Row],[Country]],Table4[20km Race Walk Classification],"&gt;0")</f>
        <v>0</v>
      </c>
      <c r="BE152" s="6">
        <f>COUNTIFS(Table5[Country],Tabela1[[#This Row],[Country]],Table5[20km Race Walk Classification],"&gt;0")</f>
        <v>0</v>
      </c>
      <c r="BF152" s="6">
        <f>COUNTIFS(Tabela96[Country],Tabela1[[#This Row],[Country]],Tabela96[Mixed Marathon Race Walk Relay Classification],"&gt;0")</f>
        <v>0</v>
      </c>
      <c r="BG152" s="6">
        <f>COUNTIFS(Table4[Country],Tabela1[[#This Row],[Country]],Table4[Discus Throw Classification],"&gt;0")</f>
        <v>0</v>
      </c>
      <c r="BH152" s="6">
        <f>COUNTIFS(Table5[Country],Tabela1[[#This Row],[Country]],Table5[Discus Throw Classification],"&gt;0")</f>
        <v>0</v>
      </c>
      <c r="BI152" s="6">
        <f>COUNTIFS(Table4[Country],Tabela1[[#This Row],[Country]],Table4[Hammer Throw Classification],"&gt;0")</f>
        <v>0</v>
      </c>
      <c r="BJ152" s="6">
        <f>COUNTIFS(Table5[Country],Tabela1[[#This Row],[Country]],Table5[Hammer Throw Classification],"&gt;0")</f>
        <v>0</v>
      </c>
      <c r="BK152" s="6">
        <f>COUNTIFS(Table4[Country],Tabela1[[#This Row],[Country]],Table4[High Jump Classification],"&gt;0")</f>
        <v>0</v>
      </c>
      <c r="BL152" s="6">
        <f>COUNTIFS(Table5[Country],Tabela1[[#This Row],[Country]],Table5[High Jump Classification],"&gt;0")</f>
        <v>0</v>
      </c>
      <c r="BM152" s="6">
        <f>COUNTIFS(Table4[Country],Tabela1[[#This Row],[Country]],Table4[Javelin Throw Classification],"&gt;0")</f>
        <v>0</v>
      </c>
      <c r="BN152" s="6">
        <f>COUNTIFS(Table5[Country],Tabela1[[#This Row],[Country]],Table5[Javelin Throw Classification],"&gt;0")</f>
        <v>0</v>
      </c>
      <c r="BO152" s="6">
        <f>COUNTIFS(Table4[Country],Tabela1[[#This Row],[Country]],Table4[Long Jump Classification],"&gt;0")</f>
        <v>0</v>
      </c>
      <c r="BP152" s="6">
        <f>COUNTIFS(Table5[Country],Tabela1[[#This Row],[Country]],Table5[Long Jump Classification],"&gt;0")</f>
        <v>0</v>
      </c>
      <c r="BQ152" s="6">
        <f>COUNTIFS(Table4[Country],Tabela1[[#This Row],[Country]],Table4[Pole Vault Classification],"&gt;0")</f>
        <v>0</v>
      </c>
      <c r="BR152" s="6">
        <f>COUNTIFS(Table5[Country],Tabela1[[#This Row],[Country]],Table5[Pole Vault Classification],"&gt;0")</f>
        <v>0</v>
      </c>
      <c r="BS152" s="6">
        <f>COUNTIFS(Table4[Country],Tabela1[[#This Row],[Country]],Table4[Shot Put Classification],"&gt;0")</f>
        <v>0</v>
      </c>
      <c r="BT152" s="6">
        <f>COUNTIFS(Table5[Country],Tabela1[[#This Row],[Country]],Table5[Shot Put Classification],"&gt;0")</f>
        <v>0</v>
      </c>
      <c r="BU152" s="6">
        <f>COUNTIFS(Table4[Country],Tabela1[[#This Row],[Country]],Table4[Triple Jump Classification],"&gt;0")</f>
        <v>0</v>
      </c>
      <c r="BV152" s="6">
        <f>COUNTIFS(Table5[Country],Tabela1[[#This Row],[Country]],Table5[Triple Jump Classification],"&gt;0")</f>
        <v>0</v>
      </c>
      <c r="BW152" s="6">
        <f>COUNTIFS(Table4[Country],Tabela1[[#This Row],[Country]],Table4[Decathlon Classification],"&gt;0")</f>
        <v>0</v>
      </c>
      <c r="BX152" s="6">
        <f>COUNTIFS(Table5[Country],Tabela1[[#This Row],[Country]],Table5[Heptathlon Classification],"&gt;0")</f>
        <v>0</v>
      </c>
      <c r="BY152" s="6">
        <f>COUNTIFS(Table61[Country],Tabela1[[#This Row],[Country]],Table61[Classification],"&gt;0")</f>
        <v>0</v>
      </c>
      <c r="BZ152" s="6">
        <f>COUNTIFS(Table38[Country],Tabela1[[#This Row],[Country]],Table38[Classification],"&gt;0")</f>
        <v>0</v>
      </c>
      <c r="CA152" s="6">
        <f>COUNTIFS(Table39[Country],Tabela1[[#This Row],[Country]],Table39[Men''s Classification],"&gt;0")</f>
        <v>0</v>
      </c>
      <c r="CB152" s="6">
        <f>COUNTIFS(Table39[Country],Tabela1[[#This Row],[Country]],Table39[Women''s Classification],"&gt;0")</f>
        <v>0</v>
      </c>
      <c r="CC152" s="6">
        <f>COUNTIFS(Table39[Country],Tabela1[[#This Row],[Country]],Table39[Mixed Classification],"&gt;0")</f>
        <v>0</v>
      </c>
      <c r="CD152" s="6">
        <f>COUNTIFS(Table89[Country],Tabela1[[#This Row],[Country]],Table89[Men''s Classification],"&gt;0")</f>
        <v>0</v>
      </c>
      <c r="CE152" s="6">
        <f>COUNTIFS(Table89[Country],Tabela1[[#This Row],[Country]],Table89[Women''s Classification],"&gt;0")</f>
        <v>0</v>
      </c>
      <c r="CF152" s="6">
        <f>COUNTIFS(Table90[Country],Tabela1[[#This Row],[Country]],Table90[Men''s Classification],"&gt;0")</f>
        <v>0</v>
      </c>
      <c r="CG152" s="6">
        <f>COUNTIFS(Table90[Country],Tabela1[[#This Row],[Country]],Table90[Women''s Classification],"&gt;0")</f>
        <v>0</v>
      </c>
      <c r="CH152" s="6">
        <f>COUNTIFS(Table60[Country],Tabela1[[#This Row],[Country]],Table60[Men''s Classification],"&gt;0")</f>
        <v>0</v>
      </c>
      <c r="CI152" s="6">
        <f>COUNTIFS(Table60[Country],Tabela1[[#This Row],[Country]],Table60[Women''s Classification],"&gt;0")</f>
        <v>0</v>
      </c>
      <c r="CJ152" s="6">
        <f>COUNTIFS(Table6[Country],Tabela1[[#This Row],[Country]],Table6[51kg Classification],"&gt;0")</f>
        <v>0</v>
      </c>
      <c r="CK152" s="6">
        <f>COUNTIFS(Table6[Country],Tabela1[[#This Row],[Country]],Table6[57kg Classification],"&gt;0")</f>
        <v>0</v>
      </c>
      <c r="CL152" s="6">
        <f>COUNTIFS(Table6[Country],Tabela1[[#This Row],[Country]],Table6[63.5kg Classification],"&gt;0")</f>
        <v>0</v>
      </c>
      <c r="CM152" s="6">
        <f>COUNTIFS(Table6[Country],Tabela1[[#This Row],[Country]],Table6[71kg Classification],"&gt;0")</f>
        <v>0</v>
      </c>
      <c r="CN152" s="6">
        <f>COUNTIFS(Table6[Country],Tabela1[[#This Row],[Country]],Table6[80kg Classification],"&gt;0")</f>
        <v>0</v>
      </c>
      <c r="CO152" s="6">
        <f>COUNTIFS(Table6[Country],Tabela1[[#This Row],[Country]],Table6[92kg Classification],"&gt;0")</f>
        <v>0</v>
      </c>
      <c r="CP152" s="6">
        <f>COUNTIFS(Table6[Country],Tabela1[[#This Row],[Country]],Table6[Plus 92kg Classification],"&gt;0")</f>
        <v>0</v>
      </c>
      <c r="CQ152" s="6">
        <f>COUNTIFS(Table7[Country],Tabela1[[#This Row],[Country]],Table7[50kg Classification],"&gt;0")</f>
        <v>0</v>
      </c>
      <c r="CR152" s="6">
        <f>COUNTIFS(Table7[Country],Tabela1[[#This Row],[Country]],Table7[54kg Classification],"&gt;0")</f>
        <v>0</v>
      </c>
      <c r="CS152" s="6">
        <f>COUNTIFS(Table7[Country],Tabela1[[#This Row],[Country]],Table7[57kg Classification],"&gt;0")</f>
        <v>0</v>
      </c>
      <c r="CT152" s="6">
        <f>COUNTIFS(Table7[Country],Tabela1[[#This Row],[Country]],Table7[60kg Classification],"&gt;0")</f>
        <v>0</v>
      </c>
      <c r="CU152" s="6">
        <f>COUNTIFS(Table7[Country],Tabela1[[#This Row],[Country]],Table7[66kg Classification],"&gt;0")</f>
        <v>0</v>
      </c>
      <c r="CV152" s="6">
        <f>COUNTIFS(Table7[Country],Tabela1[[#This Row],[Country]],Table7[75kg Classification],"&gt;0")</f>
        <v>0</v>
      </c>
      <c r="CW152" s="6">
        <f>COUNTIFS(Tabela94[Country],Tabela1[[#This Row],[Country]],Tabela94[Classification],"&gt;0")</f>
        <v>0</v>
      </c>
      <c r="CX152" s="6">
        <f>COUNTIFS(Tabela9499[Country],Tabela1[[#This Row],[Country]],Tabela9499[Classification],"&gt;0")</f>
        <v>0</v>
      </c>
      <c r="CY152" s="6">
        <f>COUNTIFS(Tabela107[Country],Tabela1[[#This Row],[Country]],Tabela107[C1 Slalom Classification],"&gt;0")</f>
        <v>0</v>
      </c>
      <c r="CZ152" s="6">
        <f>COUNTIFS(Tabela107122[Country],Tabela1[[#This Row],[Country]],Tabela107122[C1 Slalom Classification],"&gt;0")</f>
        <v>0</v>
      </c>
      <c r="DA152" s="6">
        <f>COUNTIFS(Tabela107[Country],Tabela1[[#This Row],[Country]],Tabela107[K1 Slalom Classification],"&gt;0")</f>
        <v>0</v>
      </c>
      <c r="DB152" s="6">
        <f>COUNTIFS(Tabela107122[Country],Tabela1[[#This Row],[Country]],Tabela107122[K1 Slalom Classification],"&gt;0")</f>
        <v>0</v>
      </c>
      <c r="DC152" s="6">
        <f>COUNTIFS(Tabela107[Country],Tabela1[[#This Row],[Country]],Tabela107[Kayak Cross Slalom Classification],"&gt;0")</f>
        <v>0</v>
      </c>
      <c r="DD152" s="6">
        <f>COUNTIFS(Tabela107122[Country],Tabela1[[#This Row],[Country]],Tabela107122[Kayak Cross Slalom Classification],"&gt;0")</f>
        <v>0</v>
      </c>
      <c r="DE152" s="6">
        <f>COUNTIFS(Table8[Country],Tabela1[[#This Row],[Country]],Table8[C1 200m Classification],"&gt;0")</f>
        <v>0</v>
      </c>
      <c r="DF152" s="6">
        <f>COUNTIFS(Table40[Country],Tabela1[[#This Row],[Country]],Table40[C1 1000m Classification],"&gt;0")</f>
        <v>0</v>
      </c>
      <c r="DG152" s="6">
        <f>COUNTIFS(Table68[Country],Tabela1[[#This Row],[Country]],Table68[Men''s C2 500m Classification],"&gt;0")</f>
        <v>0</v>
      </c>
      <c r="DH152" s="6">
        <f>COUNTIFS(Table68[Country],Tabela1[[#This Row],[Country]],Table68[Women''s C2 500m Classification],"&gt;0")</f>
        <v>0</v>
      </c>
      <c r="DI152" s="6">
        <f>COUNTIFS(Table8[Country],Tabela1[[#This Row],[Country]],Table8[K1 500m Classification],"&gt;0")</f>
        <v>0</v>
      </c>
      <c r="DJ152" s="6">
        <f>COUNTIFS(Table40[Country],Tabela1[[#This Row],[Country]],Table40[K1 1000m Classification],"&gt;0")</f>
        <v>0</v>
      </c>
      <c r="DK152" s="6">
        <f>COUNTIFS(Table68[Country],Tabela1[[#This Row],[Country]],Table68[Men''s K2 500m Classification],"&gt;0")</f>
        <v>0</v>
      </c>
      <c r="DL152" s="6">
        <f>COUNTIFS(Table68[Country],Tabela1[[#This Row],[Country]],Table68[Women''s K2 500m Classification],"&gt;0")</f>
        <v>0</v>
      </c>
      <c r="DM152" s="6">
        <f>COUNTIFS(Table83[Country],Tabela1[[#This Row],[Country]],Table83[Men''s K4 500m Classification],"&gt;0")</f>
        <v>0</v>
      </c>
      <c r="DN152" s="6">
        <f>COUNTIFS(Table83[Country],Tabela1[[#This Row],[Country]],Table83[Women''s K4 500m Classification],"&gt;0")</f>
        <v>0</v>
      </c>
      <c r="DO152" s="6">
        <f>COUNTIFS(Tabela126[Country],Tabela1[[#This Row],[Country]],Tabela126[Classification],"&gt;0")</f>
        <v>0</v>
      </c>
      <c r="DP152" s="6">
        <f>COUNTIFS(Tabela126130[Country],Tabela1[[#This Row],[Country]],Tabela126130[Classification],"&gt;0")</f>
        <v>0</v>
      </c>
      <c r="DQ152" s="6">
        <f>COUNTIFS(Table70[Country],Tabela1[[#This Row],[Country]],Table70[Classification],"&gt;0")</f>
        <v>0</v>
      </c>
      <c r="DR152" s="6">
        <f>COUNTIFS(Table80[Country],Tabela1[[#This Row],[Country]],Table80[Classification],"&gt;0")</f>
        <v>0</v>
      </c>
      <c r="DS152" s="6">
        <f>COUNTIFS(Table66[Country],Tabela1[[#This Row],[Country]],Table66[Classification],"&gt;0")</f>
        <v>0</v>
      </c>
      <c r="DT152" s="6">
        <f>COUNTIFS(Table67[Country],Tabela1[[#This Row],[Country]],Table67[Classification],"&gt;0")</f>
        <v>0</v>
      </c>
      <c r="DU152" s="6">
        <f>COUNTIFS(Table69[Country],Tabela1[[#This Row],[Country]],Table69[Keirin Classification],"&gt;0")</f>
        <v>0</v>
      </c>
      <c r="DV152" s="6">
        <f>COUNTIFS(Table41[Country],Tabela1[[#This Row],[Country]],Table41[Keirin Classification],"&gt;0")</f>
        <v>0</v>
      </c>
      <c r="DW152" s="6">
        <f>COUNTIFS(Table84[Country],Tabela1[[#This Row],[Country]],Table84[Men''s Madison Classification],"&gt;0")</f>
        <v>0</v>
      </c>
      <c r="DX152" s="6">
        <f>COUNTIFS(Table84[Country],Tabela1[[#This Row],[Country]],Table84[Women''s Madison Classification],"&gt;0")</f>
        <v>0</v>
      </c>
      <c r="DY152" s="6">
        <f>COUNTIFS(Table69[Country],Tabela1[[#This Row],[Country]],Table69[Omnium Classification],"&gt;0")</f>
        <v>0</v>
      </c>
      <c r="DZ152" s="6">
        <f>COUNTIFS(Table41[Country],Tabela1[[#This Row],[Country]],Table41[Omnium Classification],"&gt;0")</f>
        <v>0</v>
      </c>
      <c r="EA152" s="6">
        <f>COUNTIFS(Table9[Country],Tabela1[[#This Row],[Country]],Table9[Road Race Classification],"&gt;0")</f>
        <v>0</v>
      </c>
      <c r="EB152" s="6">
        <f>COUNTIFS(Table14[Country],Tabela1[[#This Row],[Country]],Table14[Road Race Classification],"&gt;0")</f>
        <v>0</v>
      </c>
      <c r="EC152" s="6">
        <f>COUNTIFS(Table69[Country],Tabela1[[#This Row],[Country]],Table69[Sprint Classification],"&gt;0")</f>
        <v>0</v>
      </c>
      <c r="ED152" s="6">
        <f>COUNTIFS(Table41[Country],Tabela1[[#This Row],[Country]],Table41[Sprint Classification],"&gt;0")</f>
        <v>0</v>
      </c>
      <c r="EE152" s="6">
        <f>COUNTIFS(Table85[Country],Tabela1[[#This Row],[Country]],Table85[Men''s Sprint Classification],"&gt;0")</f>
        <v>0</v>
      </c>
      <c r="EF152" s="6">
        <f>COUNTIFS(Table85[Country],Tabela1[[#This Row],[Country]],Table85[Women''s Sprint Classification],"&gt;0")</f>
        <v>0</v>
      </c>
      <c r="EG152" s="6">
        <f>COUNTIFS(Table85[Country],Tabela1[[#This Row],[Country]],Table85[Men''s Pursuit Classification],"&gt;0")</f>
        <v>0</v>
      </c>
      <c r="EH152" s="6">
        <f>COUNTIFS(Table85[Country],Tabela1[[#This Row],[Country]],Table85[Women''s Pursuit Classification],"&gt;0")</f>
        <v>0</v>
      </c>
      <c r="EI152" s="6">
        <f>COUNTIFS(Table9[Country],Tabela1[[#This Row],[Country]],Table9[Time-Trial Classification],"&gt;0")</f>
        <v>0</v>
      </c>
      <c r="EJ152" s="6">
        <f>COUNTIFS(Table14[Country],Tabela1[[#This Row],[Country]],Table14[Time-Trial Classification],"&gt;0")</f>
        <v>0</v>
      </c>
      <c r="EK152" s="6">
        <f>COUNTIFS(Table42[Country],Tabela1[[#This Row],[Country]],Table42[Springboard Classification],"&gt;0")</f>
        <v>0</v>
      </c>
      <c r="EL152" s="6">
        <f>COUNTIFS(Table43[Country],Tabela1[[#This Row],[Country]],Table43[Springboard Classification],"&gt;0")</f>
        <v>0</v>
      </c>
      <c r="EM152" s="6">
        <f>COUNTIFS(Table42[Country],Tabela1[[#This Row],[Country]],Table42[Platform Classification],"&gt;0")</f>
        <v>0</v>
      </c>
      <c r="EN152" s="6">
        <f>COUNTIFS(Table43[Country],Tabela1[[#This Row],[Country]],Table43[Platform Classification],"&gt;0")</f>
        <v>0</v>
      </c>
      <c r="EO152" s="6">
        <f>COUNTIFS(Table86[Country],Tabela1[[#This Row],[Country]],Table86[Men''s Synchronized Springboard Classification],"&gt;0")</f>
        <v>0</v>
      </c>
      <c r="EP152" s="6">
        <f>COUNTIFS(Table86[Country],Tabela1[[#This Row],[Country]],Table86[Women''s Synchronized Springboard Classification],"&gt;0")</f>
        <v>0</v>
      </c>
      <c r="EQ152" s="6">
        <f>COUNTIFS(Table86[Country],Tabela1[[#This Row],[Country]],Table86[Men''s Synchronized Platform Classification],"&gt;0")</f>
        <v>0</v>
      </c>
      <c r="ER152" s="6">
        <f>COUNTIFS(Table86[Country],Tabela1[[#This Row],[Country]],Table86[Women''s Synchronized Platform Classification],"&gt;0")</f>
        <v>0</v>
      </c>
      <c r="ES152" s="6">
        <f>COUNTIFS(Table44[Country],Tabela1[[#This Row],[Country]],Table44[Dressage Classification],"&gt;0")</f>
        <v>0</v>
      </c>
      <c r="ET152" s="6">
        <f>COUNTIFS(Table45[Country],Tabela1[[#This Row],[Country]],Table45[Dressage Classification],"&gt;0")</f>
        <v>0</v>
      </c>
      <c r="EU152" s="6">
        <f>COUNTIFS(Table44[Country],Tabela1[[#This Row],[Country]],Table44[Eventing Classification],"&gt;0")</f>
        <v>0</v>
      </c>
      <c r="EV152" s="6">
        <f>COUNTIFS(Table45[Country],Tabela1[[#This Row],[Country]],Table45[Eventing Classification],"&gt;0")</f>
        <v>0</v>
      </c>
      <c r="EW152" s="6">
        <f>COUNTIFS(Table44[Country],Tabela1[[#This Row],[Country]],Table44[Jumping Classification],"&gt;0")</f>
        <v>0</v>
      </c>
      <c r="EX152" s="6">
        <f>COUNTIFS(Table45[Country],Tabela1[[#This Row],[Country]],Table45[Jumping Classification],"&gt;0")</f>
        <v>0</v>
      </c>
      <c r="EY152" s="6">
        <f>COUNTIFS(Table10[Country],Tabela1[[#This Row],[Country]],Table10[Épée Classification],"&gt;0")</f>
        <v>0</v>
      </c>
      <c r="EZ152" s="6">
        <f>COUNTIFS(Table11[Country],Tabela1[[#This Row],[Country]],Table11[Épée Classification],"&gt;0")</f>
        <v>0</v>
      </c>
      <c r="FA152" s="6">
        <f>COUNTIFS(Table46[Country],Tabela1[[#This Row],[Country]],Table46[Men''s Épée Classification],"&gt;0")</f>
        <v>0</v>
      </c>
      <c r="FB152" s="6">
        <f>COUNTIFS(Table46[Country],Tabela1[[#This Row],[Country]],Table46[Women''s Épée Classification],"&gt;0")</f>
        <v>0</v>
      </c>
      <c r="FC152" s="6">
        <f>COUNTIFS(Table10[Country],Tabela1[[#This Row],[Country]],Table10[Foil Classification],"&gt;0")</f>
        <v>0</v>
      </c>
      <c r="FD152" s="6">
        <f>COUNTIFS(Table11[Country],Tabela1[[#This Row],[Country]],Table11[Foil Classification],"&gt;0")</f>
        <v>0</v>
      </c>
      <c r="FE152" s="6">
        <f>COUNTIFS(Table46[Country],Tabela1[[#This Row],[Country]],Table46[Men''s Foil Classification],"&gt;0")</f>
        <v>0</v>
      </c>
      <c r="FF152" s="6">
        <f>COUNTIFS(Table46[Country],Tabela1[[#This Row],[Country]],Table46[Women''s Foil Classification],"&gt;0")</f>
        <v>0</v>
      </c>
      <c r="FG152" s="6">
        <f>COUNTIFS(Table10[Country],Tabela1[[#This Row],[Country]],Table10[Sabre Classification],"&gt;0")</f>
        <v>0</v>
      </c>
      <c r="FH152" s="6">
        <f>COUNTIFS(Table11[Country],Tabela1[[#This Row],[Country]],Table11[Sabre Classification],"&gt;0")</f>
        <v>0</v>
      </c>
      <c r="FI152" s="6">
        <f>COUNTIFS(Table46[Country],Tabela1[[#This Row],[Country]],Table46[Men''s Sabre Classification],"&gt;0")</f>
        <v>0</v>
      </c>
      <c r="FJ152" s="6">
        <f>COUNTIFS(Table46[Country],Tabela1[[#This Row],[Country]],Table46[Women''s Sabre Classification],"&gt;0")</f>
        <v>0</v>
      </c>
      <c r="FK152" s="6">
        <f>COUNTIFS(Table91[Country],Tabela1[[#This Row],[Country]],Table91[Men''s Classification],"&gt;0")</f>
        <v>0</v>
      </c>
      <c r="FL152" s="6">
        <f>COUNTIFS(Table91[Country],Tabela1[[#This Row],[Country]],Table91[Women''s Classification],"&gt;0")</f>
        <v>0</v>
      </c>
      <c r="FM152" s="6">
        <f>COUNTIFS(Table9194[Country],Tabela1[[#This Row],[Country]],Table9194[Men''s Classification],"&gt;0")</f>
        <v>0</v>
      </c>
      <c r="FN152" s="6">
        <f>COUNTIFS(Table9194[Country],Tabela1[[#This Row],[Country]],Table9194[Women''s Classification],"&gt;0")</f>
        <v>0</v>
      </c>
      <c r="FO152" s="6">
        <f>COUNTIFS(Table71[Country],Tabela1[[#This Row],[Country]],Table71[Classification],"&gt;0")</f>
        <v>0</v>
      </c>
      <c r="FP152" s="6">
        <f>COUNTIFS(Table62[Country],Tabela1[[#This Row],[Country]],Table62[Classification],"&gt;0")</f>
        <v>0</v>
      </c>
      <c r="FQ152" s="6">
        <f>COUNTIFS(Table47[Country],Tabela1[[#This Row],[Country]],Table47[All-Around Classification],"&gt;0")</f>
        <v>0</v>
      </c>
      <c r="FR152" s="6">
        <f>COUNTIFS(Table48[Country],Tabela1[[#This Row],[Country]],Table48[All-Around Classification],"&gt;0")</f>
        <v>0</v>
      </c>
      <c r="FS152" s="6">
        <f>COUNTIFS(Table81[Country],Tabela1[[#This Row],[Country]],Table81[Men''s All-Around Classification],"&gt;0")</f>
        <v>0</v>
      </c>
      <c r="FT152" s="6">
        <f>COUNTIFS(Table81[Country],Tabela1[[#This Row],[Country]],Table81[Women''s All-Around Classification],"&gt;0")</f>
        <v>0</v>
      </c>
      <c r="FU152" s="6">
        <f>COUNTIFS(Table48[Country],Tabela1[[#This Row],[Country]],Table48[Balance Beam Classification],"&gt;0")</f>
        <v>0</v>
      </c>
      <c r="FV152" s="6">
        <f>COUNTIFS(Table47[Country],Tabela1[[#This Row],[Country]],Table47[Floor Exercise Classification],"&gt;0")</f>
        <v>0</v>
      </c>
      <c r="FW152" s="6">
        <f>COUNTIFS(Table48[Country],Tabela1[[#This Row],[Country]],Table48[Floor Exercise Classification],"&gt;0")</f>
        <v>0</v>
      </c>
      <c r="FX152" s="6">
        <f>COUNTIFS(Table47[Country],Tabela1[[#This Row],[Country]],Table47[Horizontal Bar Classification],"&gt;0")</f>
        <v>0</v>
      </c>
      <c r="FY152" s="6">
        <f>COUNTIFS(Table47[Country],Tabela1[[#This Row],[Country]],Table47[Parallel Bars Classification],"&gt;0")</f>
        <v>0</v>
      </c>
      <c r="FZ152" s="6">
        <f>COUNTIFS(Table47[Country],Tabela1[[#This Row],[Country]],Table47[Pommel Horse Classification],"&gt;0")</f>
        <v>0</v>
      </c>
      <c r="GA152" s="6">
        <f>COUNTIFS(Table47[Country],Tabela1[[#This Row],[Country]],Table47[Rings Classification],"&gt;0")</f>
        <v>0</v>
      </c>
      <c r="GB152" s="6">
        <f>COUNTIFS(Tabela132[Country],Tabela1[[#This Row],[Country]],Tabela132[Classification],"&gt;0")</f>
        <v>0</v>
      </c>
      <c r="GC152" s="6">
        <f>COUNTIFS(Tabela139[Country],Tabela1[[#This Row],[Country]],Tabela139[Classification],"&gt;0")</f>
        <v>0</v>
      </c>
      <c r="GD152" s="6">
        <f>COUNTIFS(Table48[Country],Tabela1[[#This Row],[Country]],Table48[Uneven Bars Classification],"&gt;0")</f>
        <v>0</v>
      </c>
      <c r="GE152" s="6">
        <f>COUNTIFS(Table47[Country],Tabela1[[#This Row],[Country]],Table47[Vault Classification],"&gt;0")</f>
        <v>0</v>
      </c>
      <c r="GF152" s="6">
        <f>COUNTIFS(Table48[Country],Tabela1[[#This Row],[Country]],Table48[Vault Classification],"&gt;0")</f>
        <v>0</v>
      </c>
      <c r="GG152" s="6">
        <f>COUNTIFS(Table919496[Country],Tabela1[[#This Row],[Country]],Table919496[Men''s Classification],"&gt;0")</f>
        <v>0</v>
      </c>
      <c r="GH152" s="6">
        <f>COUNTIFS(Table919496[Country],Tabela1[[#This Row],[Country]],Table919496[Women''s Classification],"&gt;0")</f>
        <v>0</v>
      </c>
      <c r="GI152" s="6">
        <f>COUNTIFS(Table12[Country],Tabela1[[#This Row],[Country]],Table12[60kg Classification],"&gt;0")</f>
        <v>0</v>
      </c>
      <c r="GJ152" s="6">
        <f>COUNTIFS(Table12[Country],Tabela1[[#This Row],[Country]],Table12[66kg Classification],"&gt;0")</f>
        <v>0</v>
      </c>
      <c r="GK152" s="6">
        <f>COUNTIFS(Table12[Country],Tabela1[[#This Row],[Country]],Table12[73kg Classification],"&gt;0")</f>
        <v>0</v>
      </c>
      <c r="GL152" s="6">
        <f>COUNTIFS(Table12[Country],Tabela1[[#This Row],[Country]],Table12[81kg Classification],"&gt;0")</f>
        <v>0</v>
      </c>
      <c r="GM152" s="6">
        <f>COUNTIFS(Table12[Country],Tabela1[[#This Row],[Country]],Table12[90kg Classification],"&gt;0")</f>
        <v>0</v>
      </c>
      <c r="GN152" s="6">
        <f>COUNTIFS(Table12[Country],Tabela1[[#This Row],[Country]],Table12[100kg Classification],"&gt;0")</f>
        <v>0</v>
      </c>
      <c r="GO152" s="6">
        <f>COUNTIFS(Table12[Country],Tabela1[[#This Row],[Country]],Table12[Plus 100kg Classification],"&gt;0")</f>
        <v>0</v>
      </c>
      <c r="GP152" s="6">
        <f>COUNTIFS(Table13[Country],Tabela1[[#This Row],[Country]],Table13[48kg Classification],"&gt;0")</f>
        <v>0</v>
      </c>
      <c r="GQ152" s="6">
        <f>COUNTIFS(Table13[Country],Tabela1[[#This Row],[Country]],Table13[52kg Classification],"&gt;0")</f>
        <v>0</v>
      </c>
      <c r="GR152" s="6">
        <f>COUNTIFS(Table13[Country],Tabela1[[#This Row],[Country]],Table13[57kg Classification],"&gt;0")</f>
        <v>0</v>
      </c>
      <c r="GS152" s="6">
        <f>COUNTIFS(Table13[Country],Tabela1[[#This Row],[Country]],Table13[63kg Classification],"&gt;0")</f>
        <v>0</v>
      </c>
      <c r="GT152" s="6">
        <f>COUNTIFS(Table13[Country],Tabela1[[#This Row],[Country]],Table13[70kg Classification],"&gt;0")</f>
        <v>0</v>
      </c>
      <c r="GU152" s="6">
        <f>COUNTIFS(Table13[Country],Tabela1[[#This Row],[Country]],Table13[78kg Classification],"&gt;0")</f>
        <v>0</v>
      </c>
      <c r="GV152" s="6">
        <f>COUNTIFS(Table13[Country],Tabela1[[#This Row],[Country]],Table13[Plus 78kg Classification],"&gt;0")</f>
        <v>0</v>
      </c>
      <c r="GW152" s="6">
        <f>COUNTIFS(Table82[Country],Tabela1[[#This Row],[Country]],Table82[Mixed Classification],"&gt;0")</f>
        <v>0</v>
      </c>
      <c r="GX152" s="6">
        <f>COUNTIFS(Table51[Country],Tabela1[[#This Row],[Country]],Table51[Classification],"&gt;0")</f>
        <v>0</v>
      </c>
      <c r="GY152" s="6">
        <f>COUNTIFS(Table52[Country],Tabela1[[#This Row],[Country]],Table52[Classification],"&gt;0")</f>
        <v>0</v>
      </c>
      <c r="GZ152" s="6">
        <f>COUNTIFS(Table32[Country],Tabela1[[#This Row],[Country]],Table32[All-Around Classification],"&gt;0")</f>
        <v>0</v>
      </c>
      <c r="HA152" s="6">
        <f>COUNTIFS(Table49[Country],Tabela1[[#This Row],[Country]],Table49[All-Around Classification],"&gt;0")</f>
        <v>0</v>
      </c>
      <c r="HB152" s="6">
        <f>COUNTIFS(Table26[Country],Tabela1[[#This Row],[Country]],Table26[Single Sculls Classification],"&gt;0")</f>
        <v>0</v>
      </c>
      <c r="HC152" s="6">
        <f>COUNTIFS(Table63[Country],Tabela1[[#This Row],[Country]],Table63[Single Sculls Classification],"&gt;0")</f>
        <v>0</v>
      </c>
      <c r="HD152" s="6">
        <f>COUNTIFS(Table16[Country],Tabela1[[#This Row],[Country]],Table16[Men''s Double Sculls Classification],"&gt;0")</f>
        <v>0</v>
      </c>
      <c r="HE152" s="6">
        <f>COUNTIFS(Table16[Country],Tabela1[[#This Row],[Country]],Table16[Women''s Double Sculls Classification],"&gt;0")</f>
        <v>0</v>
      </c>
      <c r="HF152" s="6">
        <f>COUNTIFS(Table72[Country],Tabela1[[#This Row],[Country]],Table72[Men''s Quadruple Sculls Classification],"&gt;0")</f>
        <v>0</v>
      </c>
      <c r="HG152" s="6">
        <f>COUNTIFS(Table72[Country],Tabela1[[#This Row],[Country]],Table72[Women''s Quadruple Sculls Classification],"&gt;0")</f>
        <v>0</v>
      </c>
      <c r="HH152" s="6">
        <f>COUNTIFS(Table16[Country],Tabela1[[#This Row],[Country]],Table16[Men''s Coxless Pairs Classification],"&gt;0")</f>
        <v>0</v>
      </c>
      <c r="HI152" s="6">
        <f>COUNTIFS(Table16[Country],Tabela1[[#This Row],[Country]],Table16[Women''s Coxless Pairs Classification],"&gt;0")</f>
        <v>0</v>
      </c>
      <c r="HJ152" s="6">
        <f>COUNTIFS(Table72[Country],Tabela1[[#This Row],[Country]],Table72[Men''s Coxless Fours Classification],"&gt;0")</f>
        <v>0</v>
      </c>
      <c r="HK152" s="6">
        <f>COUNTIFS(Table72[Country],Tabela1[[#This Row],[Country]],Table72[Women''s Coxless Fours Classification],"&gt;0")</f>
        <v>0</v>
      </c>
      <c r="HL152" s="6">
        <f>COUNTIFS(Table72[Country],Tabela1[[#This Row],[Country]],Table72[Men''s Eights Classification],"&gt;0")</f>
        <v>0</v>
      </c>
      <c r="HM152" s="6">
        <f>COUNTIFS(Table72[Country],Tabela1[[#This Row],[Country]],Table72[Women''s Eights Classification],"&gt;0")</f>
        <v>0</v>
      </c>
      <c r="HN152" s="6">
        <f>COUNTIFS(Table16[Country],Tabela1[[#This Row],[Country]],Table16[Men''s Lwt. Double Sculls Classification],"&gt;0")</f>
        <v>0</v>
      </c>
      <c r="HO152" s="6">
        <f>COUNTIFS(Table16[Country],Tabela1[[#This Row],[Country]],Table16[Women''s Lwt. Double Sculls Classification],"&gt;0")</f>
        <v>0</v>
      </c>
      <c r="HP152" s="6">
        <f>COUNTIFS(Table91949698[Country],Tabela1[[#This Row],[Country]],Table91949698[Men''s Classification],"&gt;0")</f>
        <v>0</v>
      </c>
      <c r="HQ152" s="6">
        <f>COUNTIFS(Table91949698[Country],Tabela1[[#This Row],[Country]],Table91949698[Women''s Classification],"&gt;0")</f>
        <v>0</v>
      </c>
      <c r="HR152" s="6">
        <f>COUNTIFS(Table25[Country],Tabela1[[#This Row],[Country]],Table25[Mixed 470 Classification],"&gt;0")</f>
        <v>0</v>
      </c>
      <c r="HS152" s="6">
        <f>COUNTIFS(Table25[Country],Tabela1[[#This Row],[Country]],Table25[Men''s 49er Classification],"&gt;0")</f>
        <v>0</v>
      </c>
      <c r="HT152" s="6">
        <f>COUNTIFS(Table25[Country],Tabela1[[#This Row],[Country]],Table25[Women''s 49er FX Classification],"&gt;0")</f>
        <v>0</v>
      </c>
      <c r="HU152" s="6">
        <f>COUNTIFS(Table17[Country],Tabela1[[#This Row],[Country]],Table17[Formula Kite Classification],"&gt;0")</f>
        <v>0</v>
      </c>
      <c r="HV152" s="6">
        <f>COUNTIFS(Table18[Country],Tabela1[[#This Row],[Country]],Table18[Formula Kite Classification],"&gt;0")</f>
        <v>0</v>
      </c>
      <c r="HW152" s="6">
        <f>COUNTIFS(Table17[Country],Tabela1[[#This Row],[Country]],Table17[ILCA 7 Classification],"&gt;0")</f>
        <v>0</v>
      </c>
      <c r="HX152" s="6">
        <f>COUNTIFS(Table18[Country],Tabela1[[#This Row],[Country]],Table18[ILCA 6 Classification],"&gt;0")</f>
        <v>1</v>
      </c>
      <c r="HY152" s="6">
        <f>COUNTIFS(Table17[Country],Tabela1[[#This Row],[Country]],Table17[IQFoil Classification],"&gt;0")</f>
        <v>0</v>
      </c>
      <c r="HZ152" s="6">
        <f>COUNTIFS(Table18[Country],Tabela1[[#This Row],[Country]],Table18[IQFoil Classification],"&gt;0")</f>
        <v>0</v>
      </c>
      <c r="IA152" s="6">
        <f>COUNTIFS(Table25[Country],Tabela1[[#This Row],[Country]],Table25[Mixed Nacra 17 Classification],"&gt;0")</f>
        <v>0</v>
      </c>
      <c r="IB152" s="6">
        <f>COUNTIFS(Table53[Country],Tabela1[[#This Row],[Country]],Table53[10m Air Pistol Classification],"&gt;0")</f>
        <v>0</v>
      </c>
      <c r="IC152" s="6">
        <f>COUNTIFS(Table19[Country],Tabela1[[#This Row],[Country]],Table19[10m Air Pistol Classification],"&gt;0")</f>
        <v>0</v>
      </c>
      <c r="ID152" s="6">
        <f>COUNTIFS(Table54[Country],Tabela1[[#This Row],[Country]],Table54[Mixed 10m Air Pistol Team Classification],"&gt;0")</f>
        <v>0</v>
      </c>
      <c r="IE152" s="6">
        <f>COUNTIFS(Table53[Country],Tabela1[[#This Row],[Country]],Table53[10m Air Rifle Classification],"&gt;0")</f>
        <v>0</v>
      </c>
      <c r="IF152" s="6">
        <f>COUNTIFS(Table19[Country],Tabela1[[#This Row],[Country]],Table19[10m Air Rifle Classification],"&gt;0")</f>
        <v>0</v>
      </c>
      <c r="IG152" s="6">
        <f>COUNTIFS(Table54[Country],Tabela1[[#This Row],[Country]],Table54[Mixed 10m Air Rifle Team Classification],"&gt;0")</f>
        <v>0</v>
      </c>
      <c r="IH152" s="6">
        <f>COUNTIFS(Table53[Country],Tabela1[[#This Row],[Country]],Table53[25m Rapid Fire Pistol Classification],"&gt;0")</f>
        <v>0</v>
      </c>
      <c r="II152" s="6">
        <f>COUNTIFS(Table19[Country],Tabela1[[#This Row],[Country]],Table19[25m Pistol Classification],"&gt;0")</f>
        <v>0</v>
      </c>
      <c r="IJ152" s="6">
        <f>COUNTIFS(Table53[Country],Tabela1[[#This Row],[Country]],Table53[50m Rifle 3 Positions Classification],"&gt;0")</f>
        <v>0</v>
      </c>
      <c r="IK152" s="6">
        <f>COUNTIFS(Table19[Country],Tabela1[[#This Row],[Country]],Table19[50m Rifle 3 Positions Classification],"&gt;0")</f>
        <v>0</v>
      </c>
      <c r="IL152" s="6">
        <f>COUNTIFS(Table53[Country],Tabela1[[#This Row],[Country]],Table53[Skeet Classification],"&gt;0")</f>
        <v>0</v>
      </c>
      <c r="IM152" s="6">
        <f>COUNTIFS(Table19[Country],Tabela1[[#This Row],[Country]],Table19[Skeet Classification],"&gt;0")</f>
        <v>0</v>
      </c>
      <c r="IN152" s="6">
        <f>COUNTIFS(Table54[Country],Tabela1[[#This Row],[Country]],Table54[Mixed Skeet Team Classification],"&gt;0")</f>
        <v>0</v>
      </c>
      <c r="IO152" s="6">
        <f>COUNTIFS(Table53[Country],Tabela1[[#This Row],[Country]],Table53[Trap Classification],"&gt;0")</f>
        <v>0</v>
      </c>
      <c r="IP152" s="6">
        <f>COUNTIFS(Table19[Country],Tabela1[[#This Row],[Country]],Table19[Trap Classification],"&gt;0")</f>
        <v>0</v>
      </c>
      <c r="IQ152" s="6">
        <f>COUNTIFS(Table73[Country],Tabela1[[#This Row],[Country]],Table73[Park Classification],"&gt;0")</f>
        <v>0</v>
      </c>
      <c r="IR152" s="6">
        <f>COUNTIFS(Table74[Country],Tabela1[[#This Row],[Country]],Table74[Park Classification],"&gt;0")</f>
        <v>0</v>
      </c>
      <c r="IS152" s="6">
        <f>COUNTIFS(Table73[Country],Tabela1[[#This Row],[Country]],Table73[Street Classification],"&gt;0")</f>
        <v>0</v>
      </c>
      <c r="IT152" s="6">
        <f>COUNTIFS(Table74[Country],Tabela1[[#This Row],[Country]],Table74[Street Classification],"&gt;0")</f>
        <v>0</v>
      </c>
      <c r="IU152" s="6">
        <f>COUNTIFS(Table75[Country],Tabela1[[#This Row],[Country]],Table75[Boulder and Lead Classification],"&gt;0")</f>
        <v>0</v>
      </c>
      <c r="IV152" s="6">
        <f>COUNTIFS(Table76[Country],Tabela1[[#This Row],[Country]],Table76[Boulder and Lead Classification],"&gt;0")</f>
        <v>0</v>
      </c>
      <c r="IW152" s="6">
        <f>COUNTIFS(Table75[Country],Tabela1[[#This Row],[Country]],Table75[Speed Classification],"&gt;0")</f>
        <v>0</v>
      </c>
      <c r="IX152" s="6">
        <f>COUNTIFS(Table76[Country],Tabela1[[#This Row],[Country]],Table76[Speed Classification],"&gt;0")</f>
        <v>0</v>
      </c>
      <c r="IY152" s="6">
        <f>COUNTIFS(Table64[Country],Tabela1[[#This Row],[Country]],Table64[Shortboard Classification],"&gt;0")</f>
        <v>0</v>
      </c>
      <c r="IZ152" s="6">
        <f>COUNTIFS(Table77[Country],Tabela1[[#This Row],[Country]],Table77[Shortboard Classification],"&gt;0")</f>
        <v>0</v>
      </c>
      <c r="JA152" s="6">
        <f>COUNTIFS(Table20[Country],Tabela1[[#This Row],[Country]],Table20[50m Freestyle Classification],"&gt;0")</f>
        <v>0</v>
      </c>
      <c r="JB152" s="6">
        <f>COUNTIFS(Table21[Country],Tabela1[[#This Row],[Country]],Table21[50m Freestyle Classification],"&gt;0")</f>
        <v>0</v>
      </c>
      <c r="JC152" s="6">
        <f>COUNTIFS(Table20[Country],Tabela1[[#This Row],[Country]],Table20[100m Freestyle Classification],"&gt;0")</f>
        <v>0</v>
      </c>
      <c r="JD152" s="6">
        <f>COUNTIFS(Table21[Country],Tabela1[[#This Row],[Country]],Table21[100m Freestyle Classification],"&gt;0")</f>
        <v>0</v>
      </c>
      <c r="JE152" s="6">
        <f>COUNTIFS(Table20[Country],Tabela1[[#This Row],[Country]],Table20[200m Freestyle Classification],"&gt;0")</f>
        <v>0</v>
      </c>
      <c r="JF152" s="6">
        <f>COUNTIFS(Table21[Country],Tabela1[[#This Row],[Country]],Table21[200m Freestyle Classification],"&gt;0")</f>
        <v>0</v>
      </c>
      <c r="JG152" s="6">
        <f>COUNTIFS(Table20[Country],Tabela1[[#This Row],[Country]],Table20[400m Freestyle Classification],"&gt;0")</f>
        <v>0</v>
      </c>
      <c r="JH152" s="6">
        <f>COUNTIFS(Table21[Country],Tabela1[[#This Row],[Country]],Table21[400m Freestyle Classification],"&gt;0")</f>
        <v>0</v>
      </c>
      <c r="JI152" s="6">
        <f>COUNTIFS(Table20[Country],Tabela1[[#This Row],[Country]],Table20[800m Freestyle Classification],"&gt;0")</f>
        <v>0</v>
      </c>
      <c r="JJ152" s="6">
        <f>COUNTIFS(Table21[Country],Tabela1[[#This Row],[Country]],Table21[800m Freestyle Classification],"&gt;0")</f>
        <v>0</v>
      </c>
      <c r="JK152" s="6">
        <f>COUNTIFS(Table20[Country],Tabela1[[#This Row],[Country]],Table20[1500m Freestyle Classification],"&gt;0")</f>
        <v>0</v>
      </c>
      <c r="JL152" s="6">
        <f>COUNTIFS(Table21[Country],Tabela1[[#This Row],[Country]],Table21[1500m Freestyle Classification],"&gt;0")</f>
        <v>0</v>
      </c>
      <c r="JM152" s="6">
        <f>COUNTIFS(Table20[Country],Tabela1[[#This Row],[Country]],Table20[100m Backstroke Classification],"&gt;0")</f>
        <v>0</v>
      </c>
      <c r="JN152" s="6">
        <f>COUNTIFS(Table21[Country],Tabela1[[#This Row],[Country]],Table21[100m Backstroke Classification],"&gt;0")</f>
        <v>0</v>
      </c>
      <c r="JO152" s="6">
        <f>COUNTIFS(Table20[Country],Tabela1[[#This Row],[Country]],Table20[200m Backstroke Classification],"&gt;0")</f>
        <v>0</v>
      </c>
      <c r="JP152" s="6">
        <f>COUNTIFS(Table21[Country],Tabela1[[#This Row],[Country]],Table21[200m Backstroke Classification],"&gt;0")</f>
        <v>0</v>
      </c>
      <c r="JQ152" s="6">
        <f>COUNTIFS(Table20[Country],Tabela1[[#This Row],[Country]],Table20[100m Breaststroke Classification],"&gt;0")</f>
        <v>0</v>
      </c>
      <c r="JR152" s="6">
        <f>COUNTIFS(Table21[Country],Tabela1[[#This Row],[Country]],Table21[100m Breaststroke Classification],"&gt;0")</f>
        <v>0</v>
      </c>
      <c r="JS152" s="6">
        <f>COUNTIFS(Table20[Country],Tabela1[[#This Row],[Country]],Table20[200m Breaststroke Classification],"&gt;0")</f>
        <v>0</v>
      </c>
      <c r="JT152" s="6">
        <f>COUNTIFS(Table21[Country],Tabela1[[#This Row],[Country]],Table21[200m Breaststroke Classification],"&gt;0")</f>
        <v>0</v>
      </c>
      <c r="JU152" s="6">
        <f>COUNTIFS(Table20[Country],Tabela1[[#This Row],[Country]],Table20[100m Butterfly Classification],"&gt;0")</f>
        <v>0</v>
      </c>
      <c r="JV152" s="6">
        <f>COUNTIFS(Table21[Country],Tabela1[[#This Row],[Country]],Table21[100m Butterfly Classification],"&gt;0")</f>
        <v>0</v>
      </c>
      <c r="JW152" s="6">
        <f>COUNTIFS(Table20[Country],Tabela1[[#This Row],[Country]],Table20[200m Butterfly Classification],"&gt;0")</f>
        <v>0</v>
      </c>
      <c r="JX152" s="6">
        <f>COUNTIFS(Table21[Country],Tabela1[[#This Row],[Country]],Table21[200m Butterfly Classification],"&gt;0")</f>
        <v>0</v>
      </c>
      <c r="JY152" s="6">
        <f>COUNTIFS(Table20[Country],Tabela1[[#This Row],[Country]],Table20[200m Medley Classification],"&gt;0")</f>
        <v>0</v>
      </c>
      <c r="JZ152" s="6">
        <f>COUNTIFS(Table21[Country],Tabela1[[#This Row],[Country]],Table21[200m Medley Classification],"&gt;0")</f>
        <v>0</v>
      </c>
      <c r="KA152" s="6">
        <f>COUNTIFS(Table20[Country],Tabela1[[#This Row],[Country]],Table20[400m Medley Classification],"&gt;0")</f>
        <v>0</v>
      </c>
      <c r="KB152" s="6">
        <f>COUNTIFS(Table21[Country],Tabela1[[#This Row],[Country]],Table21[400m Medley Classification],"&gt;0")</f>
        <v>0</v>
      </c>
      <c r="KC152" s="6">
        <f>COUNTIFS(Table78[Country],Tabela1[[#This Row],[Country]],Table78[Men''s 4x100m Freestyle Relay Classification],"&gt;0")</f>
        <v>0</v>
      </c>
      <c r="KD152" s="6">
        <f>COUNTIFS(Table78[Country],Tabela1[[#This Row],[Country]],Table78[Women''s 4x100m Freestyle Relay Classification],"&gt;0")</f>
        <v>0</v>
      </c>
      <c r="KE152" s="6">
        <f>COUNTIFS(Table78[Country],Tabela1[[#This Row],[Country]],Table78[Men''s 4x200m Freestyle Relay Classification],"&gt;0")</f>
        <v>0</v>
      </c>
      <c r="KF152" s="6">
        <f>COUNTIFS(Table78[Country],Tabela1[[#This Row],[Country]],Table78[Women''s 4x200m Freestyle Relay Classification],"&gt;0")</f>
        <v>0</v>
      </c>
      <c r="KG152" s="6">
        <f>COUNTIFS(Table78[Country],Tabela1[[#This Row],[Country]],Table78[Men''s 4x100m Medley Relay Classification],"&gt;0")</f>
        <v>0</v>
      </c>
      <c r="KH152" s="6">
        <f>COUNTIFS(Table78[Country],Tabela1[[#This Row],[Country]],Table78[Women''s 4x100m Medley Relay Classification],"&gt;0")</f>
        <v>0</v>
      </c>
      <c r="KI152" s="6">
        <f>COUNTIFS(Table78[Country],Tabela1[[#This Row],[Country]],Table78[Mixed 4x100m Medley Relay Classification],"&gt;0")</f>
        <v>0</v>
      </c>
      <c r="KJ152" s="6">
        <f>COUNTIFS(Table20[Country],Tabela1[[#This Row],[Country]],Table20[10km Open Water Classification],"&gt;0")</f>
        <v>0</v>
      </c>
      <c r="KK152" s="6">
        <f>COUNTIFS(Table21[Country],Tabela1[[#This Row],[Country]],Table21[10km Open Water Classification],"&gt;0")</f>
        <v>0</v>
      </c>
      <c r="KL152" s="6">
        <f>COUNTIFS(Table22[Country],Tabela1[[#This Row],[Country]],Table22[Classification],"&gt;0")</f>
        <v>0</v>
      </c>
      <c r="KM152" s="6">
        <f>COUNTIFS(Table30[Country],Tabela1[[#This Row],[Country]],Table30[Classification],"&gt;0")</f>
        <v>0</v>
      </c>
      <c r="KN152" s="6">
        <f>COUNTIFS(Table55[Country],Tabela1[[#This Row],[Country]],Table55[Men''s Classification],"&gt;0")</f>
        <v>0</v>
      </c>
      <c r="KO152" s="6">
        <f>COUNTIFS(Table55[Country],Tabela1[[#This Row],[Country]],Table55[Women''s Classification],"&gt;0")</f>
        <v>0</v>
      </c>
      <c r="KP152" s="6">
        <f>COUNTIFS(Table56[Country],Tabela1[[#This Row],[Country]],Table56[Mixed Classification],"&gt;0")</f>
        <v>0</v>
      </c>
      <c r="KQ152" s="6">
        <f>COUNTIFS(Table29[Country],Tabela1[[#This Row],[Country]],Table29[58kg Classification],"&gt;0")</f>
        <v>0</v>
      </c>
      <c r="KR152" s="6">
        <f>COUNTIFS(Table29[Country],Tabela1[[#This Row],[Country]],Table29[68kg Classification],"&gt;0")</f>
        <v>0</v>
      </c>
      <c r="KS152" s="6">
        <f>COUNTIFS(Table29[Country],Tabela1[[#This Row],[Country]],Table29[80kg Classification],"&gt;0")</f>
        <v>0</v>
      </c>
      <c r="KT152" s="6">
        <f>COUNTIFS(Table29[Country],Tabela1[[#This Row],[Country]],Table29[Plus 80kg Classification],"&gt;0")</f>
        <v>0</v>
      </c>
      <c r="KU152" s="6">
        <f>COUNTIFS(Table34[Country],Tabela1[[#This Row],[Country]],Table34[49kg Classification],"&gt;0")</f>
        <v>0</v>
      </c>
      <c r="KV152" s="6">
        <f>COUNTIFS(Table34[Country],Tabela1[[#This Row],[Country]],Table34[57kg Classification],"&gt;0")</f>
        <v>0</v>
      </c>
      <c r="KW152" s="6">
        <f>COUNTIFS(Table34[Country],Tabela1[[#This Row],[Country]],Table34[67kg Classification],"&gt;0")</f>
        <v>0</v>
      </c>
      <c r="KX152" s="6">
        <f>COUNTIFS(Table34[Country],Tabela1[[#This Row],[Country]],Table34[Plus 67kg Classification],"&gt;0")</f>
        <v>0</v>
      </c>
      <c r="KY152" s="6">
        <f>COUNTIFS(Table57[Country],Tabela1[[#This Row],[Country]],Table57[Classification],"&gt;0")</f>
        <v>0</v>
      </c>
      <c r="KZ152" s="6">
        <f>COUNTIFS(Table58[Country],Tabela1[[#This Row],[Country]],Table58[Classification],"&gt;0")</f>
        <v>0</v>
      </c>
      <c r="LA152" s="6">
        <f>COUNTIFS(Table79[Country],Tabela1[[#This Row],[Country]],Table79[Men''s Classification],"&gt;0")</f>
        <v>0</v>
      </c>
      <c r="LB152" s="6">
        <f>COUNTIFS(Table79[Country],Tabela1[[#This Row],[Country]],Table79[Women''s Classification],"&gt;0")</f>
        <v>0</v>
      </c>
      <c r="LC152" s="6">
        <f>COUNTIFS(Table79[Country],Tabela1[[#This Row],[Country]],Table79[Mixed Classification],"&gt;0")</f>
        <v>0</v>
      </c>
      <c r="LD152" s="6">
        <f>COUNTIFS(Table65[Country],Tabela1[[#This Row],[Country]],Table65[Classification],"&gt;0")</f>
        <v>0</v>
      </c>
      <c r="LE152" s="6">
        <f>COUNTIFS(Table59[Country],Tabela1[[#This Row],[Country]],Table59[Classification],"&gt;0")</f>
        <v>0</v>
      </c>
      <c r="LF152" s="6">
        <f>COUNTIFS(Table87[Country],Tabela1[[#This Row],[Country]],Table87[Mixed Relay Classification],"&gt;0")</f>
        <v>0</v>
      </c>
      <c r="LG152" s="6">
        <f>COUNTIFS(Table91949698100[Country],Tabela1[[#This Row],[Country]],Table91949698100[Men''s Classification],"&gt;0")</f>
        <v>0</v>
      </c>
      <c r="LH152" s="6">
        <f>COUNTIFS(Table91949698100[Country],Tabela1[[#This Row],[Country]],Table91949698100[Women''s Classification],"&gt;0")</f>
        <v>0</v>
      </c>
      <c r="LI152" s="6">
        <f>COUNTIFS(Table91949698100102[Country],Tabela1[[#This Row],[Country]],Table91949698100102[Men''s Classification],"&gt;0")</f>
        <v>0</v>
      </c>
      <c r="LJ152" s="6">
        <f>COUNTIFS(Table91949698100102[Country],Tabela1[[#This Row],[Country]],Table91949698100102[Women''s Classification],"&gt;0")</f>
        <v>0</v>
      </c>
      <c r="LK152" s="6">
        <f>COUNTIFS(Table23[Country],Tabela1[[#This Row],[Country]],Table23[61kg Classification],"&gt;0")</f>
        <v>0</v>
      </c>
      <c r="LL152" s="6">
        <f>COUNTIFS(Table23[Country],Tabela1[[#This Row],[Country]],Table23[73kg Classification],"&gt;0")</f>
        <v>0</v>
      </c>
      <c r="LM152" s="6">
        <f>COUNTIFS(Table23[Country],Tabela1[[#This Row],[Country]],Table23[89kg Classification],"&gt;0")</f>
        <v>0</v>
      </c>
      <c r="LN152" s="6">
        <f>COUNTIFS(Table23[Country],Tabela1[[#This Row],[Country]],Table23[102kg Classification],"&gt;0")</f>
        <v>0</v>
      </c>
      <c r="LO152" s="6">
        <f>COUNTIFS(Table23[Country],Tabela1[[#This Row],[Country]],Table23[Plus 102kg Classification],"&gt;0")</f>
        <v>0</v>
      </c>
      <c r="LP152" s="6">
        <f>COUNTIFS(Table28[Country],Tabela1[[#This Row],[Country]],Table28[49kg Classification],"&gt;0")</f>
        <v>0</v>
      </c>
      <c r="LQ152" s="6">
        <f>COUNTIFS(Table28[Country],Tabela1[[#This Row],[Country]],Table28[59kg Classification],"&gt;0")</f>
        <v>0</v>
      </c>
      <c r="LR152" s="6">
        <f>COUNTIFS(Table28[Country],Tabela1[[#This Row],[Country]],Table28[71kg Classification],"&gt;0")</f>
        <v>0</v>
      </c>
      <c r="LS152" s="6">
        <f>COUNTIFS(Table28[Country],Tabela1[[#This Row],[Country]],Table28[81kg Classification],"&gt;0")</f>
        <v>0</v>
      </c>
      <c r="LT152" s="6">
        <f>COUNTIFS(Table28[Country],Tabela1[[#This Row],[Country]],Table28[Plus 81kg Classification],"&gt;0")</f>
        <v>0</v>
      </c>
      <c r="LU152" s="6">
        <f>COUNTIFS(Table24[Country],Tabela1[[#This Row],[Country]],Table24[Freestyle 57kg Classification],"&gt;0")</f>
        <v>0</v>
      </c>
      <c r="LV152" s="6">
        <f>COUNTIFS(Table24[Country],Tabela1[[#This Row],[Country]],Table24[Freestyle 65kg Classification],"&gt;0")</f>
        <v>0</v>
      </c>
      <c r="LW152" s="6">
        <f>COUNTIFS(Table24[Country],Tabela1[[#This Row],[Country]],Table24[Freestyle 74kg Classification],"&gt;0")</f>
        <v>0</v>
      </c>
      <c r="LX152" s="6">
        <f>COUNTIFS(Table24[Country],Tabela1[[#This Row],[Country]],Table24[Freestyle 86kg Classification],"&gt;0")</f>
        <v>0</v>
      </c>
      <c r="LY152" s="6">
        <f>COUNTIFS(Table24[Country],Tabela1[[#This Row],[Country]],Table24[Freestyle 97kg Classification],"&gt;0")</f>
        <v>0</v>
      </c>
      <c r="LZ152" s="6">
        <f>COUNTIFS(Table24[Country],Tabela1[[#This Row],[Country]],Table24[Freestyle 125kg Classification],"&gt;0")</f>
        <v>0</v>
      </c>
      <c r="MA152" s="6">
        <f>COUNTIFS(Table24[Country],Tabela1[[#This Row],[Country]],Table24[Greco-Roman 60kg Classification],"&gt;0")</f>
        <v>0</v>
      </c>
      <c r="MB152" s="6">
        <f>COUNTIFS(Table24[Country],Tabela1[[#This Row],[Country]],Table24[Greco-Roman 67kg Classification],"&gt;0")</f>
        <v>0</v>
      </c>
      <c r="MC152" s="6">
        <f>COUNTIFS(Table24[Country],Tabela1[[#This Row],[Country]],Table24[Greco-Roman 77kg Classification],"&gt;0")</f>
        <v>0</v>
      </c>
      <c r="MD152" s="6">
        <f>COUNTIFS(Table24[Country],Tabela1[[#This Row],[Country]],Table24[Greco-Roman 87kg Classification],"&gt;0")</f>
        <v>0</v>
      </c>
      <c r="ME152" s="6">
        <f>COUNTIFS(Table24[Country],Tabela1[[#This Row],[Country]],Table24[Greco-Roman 97kg Classification],"&gt;0")</f>
        <v>0</v>
      </c>
      <c r="MF152" s="6">
        <f>COUNTIFS(Table24[Country],Tabela1[[#This Row],[Country]],Table24[Greco-Roman 130kg Classification],"&gt;0")</f>
        <v>0</v>
      </c>
      <c r="MG152" s="6">
        <f>COUNTIFS(Table31[Country],Tabela1[[#This Row],[Country]],Table31[50kg Classification],"&gt;0")</f>
        <v>0</v>
      </c>
      <c r="MH152" s="6">
        <f>COUNTIFS(Table31[Country],Tabela1[[#This Row],[Country]],Table31[53kg Classification],"&gt;0")</f>
        <v>0</v>
      </c>
      <c r="MI152" s="6">
        <f>COUNTIFS(Table31[Country],Tabela1[[#This Row],[Country]],Table31[57kg Classification],"&gt;0")</f>
        <v>0</v>
      </c>
      <c r="MJ152" s="6">
        <f>COUNTIFS(Table31[Country],Tabela1[[#This Row],[Country]],Table31[62kg Classification],"&gt;0")</f>
        <v>0</v>
      </c>
      <c r="MK152" s="6">
        <f>COUNTIFS(Table31[Country],Tabela1[[#This Row],[Country]],Table31[68kg Classification],"&gt;0")</f>
        <v>0</v>
      </c>
      <c r="ML152" s="6">
        <f>COUNTIFS(Table31[Country],Tabela1[[#This Row],[Country]],Table31[76kg Classification],"&gt;0")</f>
        <v>0</v>
      </c>
      <c r="MM152" s="6">
        <f>COUNTIFS(Table102[Country],Tabela1[[#This Row],[Country]],Table102[Downhill Classification],"&gt;0")</f>
        <v>0</v>
      </c>
      <c r="MN152" s="6">
        <f>COUNTIFS(Table102105[Country],Tabela1[[#This Row],[Country]],Table102105[Downhill Classification],"&gt;0")</f>
        <v>0</v>
      </c>
      <c r="MO152" s="6">
        <f>COUNTIFS(Table102[Country],Tabela1[[#This Row],[Country]],Table102[Giant Slalom Classification],"&gt;0")</f>
        <v>0</v>
      </c>
      <c r="MP152" s="6">
        <f>COUNTIFS(Table102105[Country],Tabela1[[#This Row],[Country]],Table102105[Giant Slalom Classification],"&gt;0")</f>
        <v>0</v>
      </c>
      <c r="MQ152" s="6">
        <f>COUNTIFS(Table102[Country],Tabela1[[#This Row],[Country]],Table102[Slalom Classification],"&gt;0")</f>
        <v>0</v>
      </c>
      <c r="MR152" s="6">
        <f>COUNTIFS(Table102105[Country],Tabela1[[#This Row],[Country]],Table102105[Slalom Classification],"&gt;0")</f>
        <v>0</v>
      </c>
      <c r="MS152" s="6">
        <f>COUNTIFS(Table102[Country],Tabela1[[#This Row],[Country]],Table102[Super-G Classification],"&gt;0")</f>
        <v>0</v>
      </c>
      <c r="MT152" s="6">
        <f>COUNTIFS(Table102105[Country],Tabela1[[#This Row],[Country]],Table102105[Super-G Classification],"&gt;0")</f>
        <v>0</v>
      </c>
      <c r="MU152" s="6">
        <f>COUNTIFS(Table105[Country],Tabela1[[#This Row],[Country]],Table105[Men''s Combined Classification],"&gt;0")</f>
        <v>0</v>
      </c>
      <c r="MV152" s="6">
        <f>COUNTIFS(Table105[Country],Tabela1[[#This Row],[Country]],Table105[Women''s Combined Classification],"&gt;0")</f>
        <v>0</v>
      </c>
      <c r="MW152" s="6">
        <f>COUNTIFS(Table106[Country],Tabela1[[#This Row],[Country]],Table106[Individual Classification],"&gt;0")</f>
        <v>0</v>
      </c>
      <c r="MX152" s="6">
        <f>COUNTIFS(Table106109[Country],Tabela1[[#This Row],[Country]],Table106109[Individual Classification],"&gt;0")</f>
        <v>0</v>
      </c>
      <c r="MY152" s="6">
        <f>COUNTIFS(Table106[Country],Tabela1[[#This Row],[Country]],Table106[Mass Start Classification],"&gt;0")</f>
        <v>0</v>
      </c>
      <c r="MZ152" s="6">
        <f>COUNTIFS(Table106109[Country],Tabela1[[#This Row],[Country]],Table106109[Mass Start Classification],"&gt;0")</f>
        <v>0</v>
      </c>
      <c r="NA152" s="6">
        <f>COUNTIFS(Table106[Country],Tabela1[[#This Row],[Country]],Table106[Pursuit Classification],"&gt;0")</f>
        <v>0</v>
      </c>
      <c r="NB152" s="6">
        <f>COUNTIFS(Table106109[Country],Tabela1[[#This Row],[Country]],Table106109[Pursuit Classification],"&gt;0")</f>
        <v>0</v>
      </c>
      <c r="NC152" s="6">
        <f>COUNTIFS(Table106[Country],Tabela1[[#This Row],[Country]],Table106[Sprint Classification],"&gt;0")</f>
        <v>0</v>
      </c>
      <c r="ND152" s="6">
        <f>COUNTIFS(Table106109[Country],Tabela1[[#This Row],[Country]],Table106109[Sprint Classification],"&gt;0")</f>
        <v>0</v>
      </c>
      <c r="NE152" s="6">
        <f>COUNTIFS(Table109[Country],Tabela1[[#This Row],[Country]],Table109[Men''s Relay Classification],"&gt;0")</f>
        <v>0</v>
      </c>
      <c r="NF152" s="6">
        <f>COUNTIFS(Table109[Country],Tabela1[[#This Row],[Country]],Table109[Women''s Relay Classification],"&gt;0")</f>
        <v>0</v>
      </c>
      <c r="NG152" s="6">
        <f>COUNTIFS(Table109[Country],Tabela1[[#This Row],[Country]],Table109[Mixed Relay Classification],"&gt;0")</f>
        <v>0</v>
      </c>
      <c r="NH152" s="6">
        <f>COUNTIFS(Table110[Country],Tabela1[[#This Row],[Country]],Table110[Monobob Classification],"&gt;0")</f>
        <v>0</v>
      </c>
      <c r="NI152" s="6">
        <f>COUNTIFS(Table111[Country],Tabela1[[#This Row],[Country]],Table111[Men''s Classification],"&gt;0")</f>
        <v>0</v>
      </c>
      <c r="NJ152" s="6">
        <f>COUNTIFS(Table111[Country],Tabela1[[#This Row],[Country]],Table111[Women''s Classification],"&gt;0")</f>
        <v>0</v>
      </c>
      <c r="NK152" s="6">
        <f>COUNTIFS(Table112[Country],Tabela1[[#This Row],[Country]],Table112[Men''s Four Classification],"&gt;0")</f>
        <v>0</v>
      </c>
      <c r="NL152" s="6">
        <f>COUNTIFS(Table113[Country],Tabela1[[#This Row],[Country]],Table113[Classical Classification],"&gt;0")</f>
        <v>0</v>
      </c>
      <c r="NM152" s="6">
        <f>COUNTIFS(Table113116[Country],Tabela1[[#This Row],[Country]],Table113116[Classical Classification],"&gt;0")</f>
        <v>0</v>
      </c>
      <c r="NN152" s="6">
        <f>COUNTIFS(Table113[Country],Tabela1[[#This Row],[Country]],Table113[Freestyle Classification],"&gt;0")</f>
        <v>0</v>
      </c>
      <c r="NO152" s="6">
        <f>COUNTIFS(Table113116[Country],Tabela1[[#This Row],[Country]],Table113116[Freestyle Classification],"&gt;0")</f>
        <v>0</v>
      </c>
      <c r="NP152" s="6">
        <f>COUNTIFS(Table117[Country],Tabela1[[#This Row],[Country]],Table117[Men''s Relay Classification],"&gt;0")</f>
        <v>0</v>
      </c>
      <c r="NQ152" s="6">
        <f>COUNTIFS(Table117[Country],Tabela1[[#This Row],[Country]],Table117[Women''s Relay Classification],"&gt;0")</f>
        <v>0</v>
      </c>
      <c r="NR152" s="6">
        <f>COUNTIFS(Table113[Country],Tabela1[[#This Row],[Country]],Table113[Skiathlon Classification],"&gt;0")</f>
        <v>0</v>
      </c>
      <c r="NS152" s="6">
        <f>COUNTIFS(Table113116[Country],Tabela1[[#This Row],[Country]],Table113116[Skiathlon Classification],"&gt;0")</f>
        <v>0</v>
      </c>
      <c r="NT152" s="6">
        <f>COUNTIFS(Table113[Country],Tabela1[[#This Row],[Country]],Table113[Sprint Classification],"&gt;0")</f>
        <v>0</v>
      </c>
      <c r="NU152" s="6">
        <f>COUNTIFS(Table113116[Country],Tabela1[[#This Row],[Country]],Table113116[Sprint Classification],"&gt;0")</f>
        <v>0</v>
      </c>
      <c r="NV152" s="6">
        <f>COUNTIFS(Table116[Country],Tabela1[[#This Row],[Country]],Table116[Men''s Team Sprint Classification],"&gt;0")</f>
        <v>0</v>
      </c>
      <c r="NW152" s="6">
        <f>COUNTIFS(Table116[Country],Tabela1[[#This Row],[Country]],Table116[Women''s Team Sprint Classification],"&gt;0")</f>
        <v>0</v>
      </c>
      <c r="NX152" s="6">
        <f>COUNTIFS(Table119[Country],Tabela1[[#This Row],[Country]],Table119[Men''s Classification],"&gt;0")</f>
        <v>0</v>
      </c>
      <c r="NY152" s="6">
        <f>COUNTIFS(Table119[Country],Tabela1[[#This Row],[Country]],Table119[Women''s Classification],"&gt;0")</f>
        <v>0</v>
      </c>
      <c r="NZ152" s="6">
        <f>COUNTIFS(Table118[Country],Tabela1[[#This Row],[Country]],Table118[Mixed Classification],"&gt;0")</f>
        <v>0</v>
      </c>
      <c r="OA152" s="6">
        <f>COUNTIFS(Table120[Country],Tabela1[[#This Row],[Country]],Table120[Classification],"&gt;0")</f>
        <v>0</v>
      </c>
      <c r="OB152" s="6">
        <f>COUNTIFS(Table120123[Country],Tabela1[[#This Row],[Country]],Table120123[Classification],"&gt;0")</f>
        <v>0</v>
      </c>
      <c r="OC152" s="6">
        <f>COUNTIFS(Table123[Country],Tabela1[[#This Row],[Country]],Table123[Ice Dance Classification],"&gt;0")</f>
        <v>0</v>
      </c>
      <c r="OD152" s="6">
        <f>COUNTIFS(Table123[Country],Tabela1[[#This Row],[Country]],Table123[Pair Skating Classification],"&gt;0")</f>
        <v>0</v>
      </c>
      <c r="OE152" s="6">
        <f>COUNTIFS(Table124[Country],Tabela1[[#This Row],[Country]],Table124[Mixed Classification],"&gt;0")</f>
        <v>0</v>
      </c>
      <c r="OF152" s="6">
        <f>COUNTIFS(Table125[Country],Tabela1[[#This Row],[Country]],Table125[Aerials Classification],"&gt;0")</f>
        <v>0</v>
      </c>
      <c r="OG152" s="6">
        <f>COUNTIFS(Table125128[Country],Tabela1[[#This Row],[Country]],Table125128[Aerials Classification],"&gt;0")</f>
        <v>0</v>
      </c>
      <c r="OH152" s="6">
        <f>COUNTIFS(Table128[Country],Tabela1[[#This Row],[Country]],Table128[Mixed Aerials Classification],"&gt;0")</f>
        <v>0</v>
      </c>
      <c r="OI152" s="6">
        <f>COUNTIFS(Table125[Country],Tabela1[[#This Row],[Country]],Table125[Big Air Classification],"&gt;0")</f>
        <v>0</v>
      </c>
      <c r="OJ152" s="6">
        <f>COUNTIFS(Table125128[Country],Tabela1[[#This Row],[Country]],Table125128[Big Air Classification],"&gt;0")</f>
        <v>0</v>
      </c>
      <c r="OK152" s="6">
        <f>COUNTIFS(Table125[Country],Tabela1[[#This Row],[Country]],Table125[Dual Moguls Classification],"&gt;0")</f>
        <v>0</v>
      </c>
      <c r="OL152" s="6">
        <f>COUNTIFS(Table125128[Country],Tabela1[[#This Row],[Country]],Table125128[Dual Moguls Classification],"&gt;0")</f>
        <v>0</v>
      </c>
      <c r="OM152" s="6">
        <f>COUNTIFS(Table125[Country],Tabela1[[#This Row],[Country]],Table125[Halfpipe Classification],"&gt;0")</f>
        <v>0</v>
      </c>
      <c r="ON152" s="6">
        <f>COUNTIFS(Table125128[Country],Tabela1[[#This Row],[Country]],Table125128[Halfpipe Classification],"&gt;0")</f>
        <v>0</v>
      </c>
      <c r="OO152" s="6">
        <f>COUNTIFS(Table125[Country],Tabela1[[#This Row],[Country]],Table125[Moguls Classification],"&gt;0")</f>
        <v>0</v>
      </c>
      <c r="OP152" s="6">
        <f>COUNTIFS(Table125128[Country],Tabela1[[#This Row],[Country]],Table125128[Moguls Classification],"&gt;0")</f>
        <v>0</v>
      </c>
      <c r="OQ152" s="6">
        <f>COUNTIFS(Table125[Country],Tabela1[[#This Row],[Country]],Table125[Ski Cross Classification],"&gt;0")</f>
        <v>0</v>
      </c>
      <c r="OR152" s="6">
        <f>COUNTIFS(Table125128[Country],Tabela1[[#This Row],[Country]],Table125128[Ski Cross Classification],"&gt;0")</f>
        <v>0</v>
      </c>
      <c r="OS152" s="6">
        <f>COUNTIFS(Table125[Country],Tabela1[[#This Row],[Country]],Table125[Slopestyle Classification],"&gt;0")</f>
        <v>0</v>
      </c>
      <c r="OT152" s="6">
        <f>COUNTIFS(Table125128[Country],Tabela1[[#This Row],[Country]],Table125128[Slopestyle Classification],"&gt;0")</f>
        <v>0</v>
      </c>
      <c r="OU152" s="6">
        <f>COUNTIFS(Table119131[Country],Tabela1[[#This Row],[Country]],Table119131[Men''s Classification],"&gt;0")</f>
        <v>0</v>
      </c>
      <c r="OV152" s="6">
        <f>COUNTIFS(Table119131[Country],Tabela1[[#This Row],[Country]],Table119131[Women''s Classification],"&gt;0")</f>
        <v>0</v>
      </c>
      <c r="OW152" s="6">
        <f>COUNTIFS(Table131[Country],Tabela1[[#This Row],[Country]],Table131[Classification],"&gt;0")</f>
        <v>0</v>
      </c>
      <c r="OX152" s="6">
        <f>COUNTIFS(Table131134[Country],Tabela1[[#This Row],[Country]],Table131134[Classification],"&gt;0")</f>
        <v>0</v>
      </c>
      <c r="OY152" s="6">
        <f>COUNTIFS(Table134[Country],Tabela1[[#This Row],[Country]],Table134[Men''s Classification],"&gt;0")</f>
        <v>0</v>
      </c>
      <c r="OZ152" s="6">
        <f>COUNTIFS(Table134[Country],Tabela1[[#This Row],[Country]],Table134[Women''s Classification],"&gt;0")</f>
        <v>0</v>
      </c>
      <c r="PA152" s="6">
        <f>COUNTIFS(Table135[Country],Tabela1[[#This Row],[Country]],Table135[Mixed Relay Classification],"&gt;0")</f>
        <v>0</v>
      </c>
      <c r="PB152" s="6">
        <f>COUNTIFS(Table136[Country],Tabela1[[#This Row],[Country]],Table136[Individual Classification],"&gt;0")</f>
        <v>0</v>
      </c>
      <c r="PC152" s="6">
        <f>COUNTIFS(Table136[Country],Tabela1[[#This Row],[Country]],Table136[Sprint Classification],"&gt;0")</f>
        <v>0</v>
      </c>
      <c r="PD152" s="6">
        <f>COUNTIFS(Table137[Country],Tabela1[[#This Row],[Country]],Table137[Men''s Team Sprint Large Hill Classification],"&gt;0")</f>
        <v>0</v>
      </c>
      <c r="PE152" s="6">
        <f>COUNTIFS(Table138[Country],Tabela1[[#This Row],[Country]],Table138[500m Classification],"&gt;0")</f>
        <v>0</v>
      </c>
      <c r="PF152" s="6">
        <f>COUNTIFS(Table138141[Country],Tabela1[[#This Row],[Country]],Table138141[500m Classification],"&gt;0")</f>
        <v>0</v>
      </c>
      <c r="PG152" s="6">
        <f>COUNTIFS(Table138[Country],Tabela1[[#This Row],[Country]],Table138[1000m Classification],"&gt;0")</f>
        <v>0</v>
      </c>
      <c r="PH152" s="6">
        <f>COUNTIFS(Table138141[Country],Tabela1[[#This Row],[Country]],Table138141[1000m Classification],"&gt;0")</f>
        <v>0</v>
      </c>
      <c r="PI152" s="6">
        <f>COUNTIFS(Table138[Country],Tabela1[[#This Row],[Country]],Table138[1500m Classification],"&gt;0")</f>
        <v>0</v>
      </c>
      <c r="PJ152" s="6">
        <f>COUNTIFS(Table138141[Country],Tabela1[[#This Row],[Country]],Table138141[1500m Classification],"&gt;0")</f>
        <v>0</v>
      </c>
      <c r="PK152" s="6">
        <f>COUNTIFS(Table141[Country],Tabela1[[#This Row],[Country]],Table141[Men''s 5000m Relay Classification],"&gt;0")</f>
        <v>0</v>
      </c>
      <c r="PL152" s="6">
        <f>COUNTIFS(Table141[Country],Tabela1[[#This Row],[Country]],Table141[Women''s 3000m Relay Classification],"&gt;0")</f>
        <v>0</v>
      </c>
      <c r="PM152" s="6">
        <f>COUNTIFS(Table141[Country],Tabela1[[#This Row],[Country]],Table141[Mixed 2000m Relay Classification],"&gt;0")</f>
        <v>0</v>
      </c>
      <c r="PN152" s="6">
        <f>COUNTIFS(Table142[Country],Tabela1[[#This Row],[Country]],Table142[Classification],"&gt;0")</f>
        <v>0</v>
      </c>
      <c r="PO152" s="6">
        <f>COUNTIFS(Table142145[Country],Tabela1[[#This Row],[Country]],Table142145[Classification],"&gt;0")</f>
        <v>0</v>
      </c>
      <c r="PP152" s="6">
        <f>COUNTIFS(Tabela15[Country],Tabela1[[#This Row],[Country]],Tabela15[Mixed Team Classification],"&gt;0")</f>
        <v>0</v>
      </c>
      <c r="PQ152" s="6">
        <f>COUNTIFS(Table145[Country],Tabela1[[#This Row],[Country]],Table145[Large Hill Classification],"&gt;0")</f>
        <v>0</v>
      </c>
      <c r="PR152" s="6">
        <f>COUNTIFS(Table145[Country],Tabela1[[#This Row],[Country]],Table145[Normal Hill Classification],"&gt;0")</f>
        <v>0</v>
      </c>
      <c r="PS152" s="6">
        <f>COUNTIFS(Table145148[Country],Tabela1[[#This Row],[Country]],Table145148[Large Hill Classification],"&gt;0")</f>
        <v>0</v>
      </c>
      <c r="PT152" s="6">
        <f>COUNTIFS(Table145148[Country],Tabela1[[#This Row],[Country]],Table145148[Normal Hill Classification],"&gt;0")</f>
        <v>0</v>
      </c>
      <c r="PU152" s="6">
        <f>COUNTIFS(Table148[Country],Tabela1[[#This Row],[Country]],Table148[Men''s Super Team Classification],"&gt;0")</f>
        <v>0</v>
      </c>
      <c r="PV152" s="6">
        <f>COUNTIFS(Tabela114[Country],Tabela1[[#This Row],[Country]],Tabela114[Mixed Normal Hill Classification],"&gt;0")</f>
        <v>0</v>
      </c>
      <c r="PW152" s="6">
        <f>COUNTIFS(Tabela50[Country],Tabela1[[#This Row],[Country]],Tabela50[Sprint Classification],"&gt;0")</f>
        <v>0</v>
      </c>
      <c r="PX152" s="6">
        <f>COUNTIFS(Tabela50101[Country],Tabela1[[#This Row],[Country]],Tabela50101[Sprint Classification],"&gt;0")</f>
        <v>0</v>
      </c>
      <c r="PY152" s="6">
        <f>COUNTIFS(Tabela103[Country],Tabela1[[#This Row],[Country]],Tabela103[Mixed Relay Classification],"&gt;0")</f>
        <v>0</v>
      </c>
      <c r="PZ152" s="6">
        <f>COUNTIFS(Table149[Country],Tabela1[[#This Row],[Country]],Table149[Big Air Classification],"&gt;0")</f>
        <v>0</v>
      </c>
      <c r="QA152" s="6">
        <f>COUNTIFS(Table149152[Country],Tabela1[[#This Row],[Country]],Table149152[Big Air Classification],"&gt;0")</f>
        <v>0</v>
      </c>
      <c r="QB152" s="6">
        <f>COUNTIFS(Table149[Country],Tabela1[[#This Row],[Country]],Table149[Halfpipe Classification],"&gt;0")</f>
        <v>0</v>
      </c>
      <c r="QC152" s="6">
        <f>COUNTIFS(Table149152[Country],Tabela1[[#This Row],[Country]],Table149152[Halfpipe Classification],"&gt;0")</f>
        <v>0</v>
      </c>
      <c r="QD152" s="6">
        <f>COUNTIFS(Table149[Country],Tabela1[[#This Row],[Country]],Table149[Parallel Giant Slalom Classification],"&gt;0")</f>
        <v>0</v>
      </c>
      <c r="QE152" s="6">
        <f>COUNTIFS(Table149152[Country],Tabela1[[#This Row],[Country]],Table149152[Parallel Giant Slalom Classification],"&gt;0")</f>
        <v>0</v>
      </c>
      <c r="QF152" s="6">
        <f>COUNTIFS(Table149[Country],Tabela1[[#This Row],[Country]],Table149[Slopestyle Classification],"&gt;0")</f>
        <v>0</v>
      </c>
      <c r="QG152" s="6">
        <f>COUNTIFS(Table149152[Country],Tabela1[[#This Row],[Country]],Table149152[Slopestyle Classification],"&gt;0")</f>
        <v>0</v>
      </c>
      <c r="QH152" s="6">
        <f>COUNTIFS(Table149[Country],Tabela1[[#This Row],[Country]],Table149[Snowboard Cross Classification],"&gt;0")</f>
        <v>0</v>
      </c>
      <c r="QI152" s="6">
        <f>COUNTIFS(Table149152[Country],Tabela1[[#This Row],[Country]],Table149152[Snowboard Cross Classification],"&gt;0")</f>
        <v>0</v>
      </c>
      <c r="QJ152" s="6">
        <f>COUNTIFS(Table153[Country],Tabela1[[#This Row],[Country]],Table153[Mixed Team Snowboard Cross Classification],"&gt;0")</f>
        <v>0</v>
      </c>
      <c r="QK152" s="6">
        <f>COUNTIFS(Table154[Country],Tabela1[[#This Row],[Country]],Table154[500m Classification],"&gt;0")</f>
        <v>0</v>
      </c>
      <c r="QL152" s="6">
        <f>COUNTIFS(Table154157[Country],Tabela1[[#This Row],[Country]],Table154157[500m Classification],"&gt;0")</f>
        <v>0</v>
      </c>
      <c r="QM152" s="6">
        <f>COUNTIFS(Table154[Country],Tabela1[[#This Row],[Country]],Table154[1000m Classification],"&gt;0")</f>
        <v>0</v>
      </c>
      <c r="QN152" s="6">
        <f>COUNTIFS(Table154157[Country],Tabela1[[#This Row],[Country]],Table154157[1000m Classification],"&gt;0")</f>
        <v>0</v>
      </c>
      <c r="QO152" s="6">
        <f>COUNTIFS(Table154[Country],Tabela1[[#This Row],[Country]],Table154[1500m Classification],"&gt;0")</f>
        <v>0</v>
      </c>
      <c r="QP152" s="6">
        <f>COUNTIFS(Table154157[Country],Tabela1[[#This Row],[Country]],Table154157[1500m Classification],"&gt;0")</f>
        <v>0</v>
      </c>
      <c r="QQ152" s="6">
        <f>COUNTIFS(Table154157[Country],Tabela1[[#This Row],[Country]],Table154157[3000m Classification],"&gt;0")</f>
        <v>0</v>
      </c>
      <c r="QR152" s="6">
        <f>COUNTIFS(Table154[Country],Tabela1[[#This Row],[Country]],Table154[5000m Classification],"&gt;0")</f>
        <v>0</v>
      </c>
      <c r="QS152" s="6">
        <f>COUNTIFS(Table154157[Country],Tabela1[[#This Row],[Country]],Table154157[5000m Classification],"&gt;0")</f>
        <v>0</v>
      </c>
      <c r="QT152" s="6">
        <f>COUNTIFS(Table154[Country],Tabela1[[#This Row],[Country]],Table154[10000m Classification],"&gt;0")</f>
        <v>0</v>
      </c>
      <c r="QU152" s="6">
        <f>COUNTIFS(Table154[Country],Tabela1[[#This Row],[Country]],Table154[Mass Start Classification],"&gt;0")</f>
        <v>0</v>
      </c>
      <c r="QV152" s="6">
        <f>COUNTIFS(Table154157[Country],Tabela1[[#This Row],[Country]],Table154157[Mass Start Classification],"&gt;0")</f>
        <v>0</v>
      </c>
      <c r="QW152" s="6">
        <f>COUNTIFS(Table157[Country],Tabela1[[#This Row],[Country]],Table157[Men''s Pursuit Classification],"&gt;0")</f>
        <v>0</v>
      </c>
      <c r="QX152" s="6">
        <f>COUNTIFS(Table157[Country],Tabela1[[#This Row],[Country]],Table157[Women''s Pursuit Classification],"&gt;0")</f>
        <v>0</v>
      </c>
      <c r="QY152" s="4" t="s">
        <v>547</v>
      </c>
    </row>
    <row r="153" spans="1:467" x14ac:dyDescent="0.3">
      <c r="A153" s="6">
        <v>152</v>
      </c>
      <c r="B153" s="6" t="s">
        <v>462</v>
      </c>
      <c r="C153" t="e" vm="152">
        <f>IF(ISBLANK(Tabela1[[#This Row],[Image Link]]), "", _xlfn.IMAGE(Tabela1[[#This Row],[Image Link]],1,1))</f>
        <v>#VALUE!</v>
      </c>
      <c r="D153" s="6">
        <f>SUM(Tabela1[[#This Row],[Archery - Men''s Individual Recurve]:[Speed Skating - Women''s Team Pursuit]])</f>
        <v>1</v>
      </c>
      <c r="E153" s="6">
        <f>COUNTIF(Tabela1[[#This Row],[Archery - Men''s Individual Recurve]:[Speed Skating - Women''s Team Pursuit]],"&gt;0")</f>
        <v>1</v>
      </c>
      <c r="F153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53" s="6">
        <f>SUM(Tabela1[[#This Row],[Archery - Men''s Individual Recurve]:[Wrestling - Women''s Freestyle 76kg]])</f>
        <v>1</v>
      </c>
      <c r="H153" s="6">
        <f>SUM(Tabela1[[#This Row],[Alpine Skiing - Men''s Downhill]:[Speed Skating - Women''s Team Pursuit]])</f>
        <v>0</v>
      </c>
      <c r="I153" s="6">
        <f>Tabela1[[#This Row],[Summer Gold Medals]]+Tabela1[[#This Row],[Winter Gold Medals]]</f>
        <v>0</v>
      </c>
      <c r="J153" s="6">
        <f>Tabela1[[#This Row],[Summer Silver Medals]]+Tabela1[[#This Row],[Winter Silver Medals]]</f>
        <v>0</v>
      </c>
      <c r="K153" s="6">
        <f>Tabela1[[#This Row],[Summer Bronze Medals]]+Tabela1[[#This Row],[Winter Bronze Medals]]</f>
        <v>0</v>
      </c>
      <c r="L153" s="6">
        <f>SUM(Tabela1[[#This Row],[Total Gold Medals]:[Total Bronze Medals]])</f>
        <v>0</v>
      </c>
      <c r="M153" s="6"/>
      <c r="N153" s="6"/>
      <c r="O153" s="6"/>
      <c r="P153" s="6">
        <f>SUM(Tabela1[[#This Row],[Summer Gold Medals]:[Summer Bronze Medals]])</f>
        <v>0</v>
      </c>
      <c r="Q153" s="6"/>
      <c r="R153" s="6"/>
      <c r="S153" s="6"/>
      <c r="T153" s="6">
        <f>Tabela1[[#This Row],[Winter Gold Medals]]+Tabela1[[#This Row],[Winter Silver Medals]]+Tabela1[[#This Row],[Winter Bronze Medals]]</f>
        <v>0</v>
      </c>
      <c r="U153" s="7">
        <f>Tabela1[[#This Row],[Total Medals]]/Tabela1[[#This Row],[Total Quotas]]</f>
        <v>0</v>
      </c>
      <c r="V153" s="6">
        <f>COUNTIFS(Table3[Country],Tabela1[[#This Row],[Country]],Table3[Recurve Classification],"&gt;0")</f>
        <v>0</v>
      </c>
      <c r="W153" s="6">
        <f>COUNTIFS(Table33[Country],Tabela1[[#This Row],[Country]],Table33[Recurve Classification],"&gt;0")</f>
        <v>0</v>
      </c>
      <c r="X153" s="6">
        <f>COUNTIFS(Table35[Country],Tabela1[[#This Row],[Country]],Table35[Men''s Team Recurve Classification],"&gt;0")</f>
        <v>0</v>
      </c>
      <c r="Y153" s="6">
        <f>COUNTIFS(Table35[Country],Tabela1[[#This Row],[Country]],Table35[Women''s Team Recurve Classification],"&gt;0")</f>
        <v>0</v>
      </c>
      <c r="Z153" s="6">
        <f>COUNTIFS(Tabela88[Country],Tabela1[[#This Row],[Country]],Tabela88[Mixed Team Recurve Classification],"&gt;0")</f>
        <v>0</v>
      </c>
      <c r="AA153" s="6">
        <f>COUNTIFS(Table36[Country],Tabela1[[#This Row],[Country]],Table36[Classification],"&gt;0")</f>
        <v>0</v>
      </c>
      <c r="AB153" s="6">
        <f>COUNTIFS(Table37[Country],Tabela1[[#This Row],[Country]],Table37[Classification],"&gt;0")</f>
        <v>0</v>
      </c>
      <c r="AC153" s="6">
        <f>COUNTIFS(Table4[Country],Tabela1[[#This Row],[Country]],Table4[100m Classification],"&gt;0")</f>
        <v>0</v>
      </c>
      <c r="AD153" s="6">
        <f>COUNTIFS(Table5[Country],Tabela1[[#This Row],[Country]],Table5[100m Classification],"&gt;0")</f>
        <v>0</v>
      </c>
      <c r="AE153" s="6">
        <f>COUNTIFS(Table4[Country],Tabela1[[#This Row],[Country]],Table4[200m Classification],"&gt;0")</f>
        <v>0</v>
      </c>
      <c r="AF153" s="6">
        <f>COUNTIFS(Table5[Country],Tabela1[[#This Row],[Country]],Table5[200m Classification],"&gt;0")</f>
        <v>0</v>
      </c>
      <c r="AG153" s="6">
        <f>COUNTIFS(Table4[Country],Tabela1[[#This Row],[Country]],Table4[400m Classification],"&gt;0")</f>
        <v>0</v>
      </c>
      <c r="AH153" s="6">
        <f>COUNTIFS(Table5[Country],Tabela1[[#This Row],[Country]],Table5[400m Classification],"&gt;0")</f>
        <v>0</v>
      </c>
      <c r="AI153" s="6">
        <f>COUNTIFS(Table4[Country],Tabela1[[#This Row],[Country]],Table4[800m Classification],"&gt;0")</f>
        <v>0</v>
      </c>
      <c r="AJ153" s="6">
        <f>COUNTIFS(Table5[Country],Tabela1[[#This Row],[Country]],Table5[800m Classification],"&gt;0")</f>
        <v>0</v>
      </c>
      <c r="AK153" s="6">
        <f>COUNTIFS(Table4[Country],Tabela1[[#This Row],[Country]],Table4[1500m Classification],"&gt;0")</f>
        <v>0</v>
      </c>
      <c r="AL153" s="6">
        <f>COUNTIFS(Table5[Country],Tabela1[[#This Row],[Country]],Table5[1500m Classification],"&gt;0")</f>
        <v>0</v>
      </c>
      <c r="AM153" s="6">
        <f>COUNTIFS(Table4[Country],Tabela1[[#This Row],[Country]],Table4[5000m Classification],"&gt;0")</f>
        <v>0</v>
      </c>
      <c r="AN153" s="6">
        <f>COUNTIFS(Table5[Country],Tabela1[[#This Row],[Country]],Table5[5000m Classification],"&gt;0")</f>
        <v>0</v>
      </c>
      <c r="AO153" s="6">
        <f>COUNTIFS(Table4[Country],Tabela1[[#This Row],[Country]],Table4[10000m Classification],"&gt;0")</f>
        <v>0</v>
      </c>
      <c r="AP153" s="6">
        <f>COUNTIFS(Table5[Country],Tabela1[[#This Row],[Country]],Table5[10000m Classification],"&gt;0")</f>
        <v>0</v>
      </c>
      <c r="AQ153" s="6">
        <f>COUNTIFS(Table4[Country],Tabela1[[#This Row],[Country]],Table4[110m Hurdles Classification],"&gt;0")</f>
        <v>0</v>
      </c>
      <c r="AR153" s="6">
        <f>COUNTIFS(Table5[Country],Tabela1[[#This Row],[Country]],Table5[100m Hurdles Classification],"&gt;0")</f>
        <v>0</v>
      </c>
      <c r="AS153" s="6">
        <f>COUNTIFS(Table4[Country],Tabela1[[#This Row],[Country]],Table4[400m Hurdles Classification],"&gt;0")</f>
        <v>0</v>
      </c>
      <c r="AT153" s="6">
        <f>COUNTIFS(Table5[Country],Tabela1[[#This Row],[Country]],Table5[400m Hurdles Classification],"&gt;0")</f>
        <v>0</v>
      </c>
      <c r="AU153" s="6">
        <f>COUNTIFS(Table4[Country],Tabela1[[#This Row],[Country]],Table4[3000m Steeplechase Classification],"&gt;0")</f>
        <v>0</v>
      </c>
      <c r="AV153" s="6">
        <f>COUNTIFS(Table5[Country],Tabela1[[#This Row],[Country]],Table5[3000m Steeplechase Classification],"&gt;0")</f>
        <v>0</v>
      </c>
      <c r="AW153" s="6">
        <f>COUNTIFS(Table27[Country],Tabela1[[#This Row],[Country]],Table27[Men''s 4x100m Relay Classification],"&gt;0")</f>
        <v>0</v>
      </c>
      <c r="AX153" s="6">
        <f>COUNTIFS(Table27[Country],Tabela1[[#This Row],[Country]],Table27[Women''s 4x100m Relay Classification],"&gt;0")</f>
        <v>0</v>
      </c>
      <c r="AY153" s="6">
        <f>COUNTIFS(Table27[Country],Tabela1[[#This Row],[Country]],Table27[Men''s 4x400m Relay Classification],"&gt;0")</f>
        <v>0</v>
      </c>
      <c r="AZ153" s="6">
        <f>COUNTIFS(Table27[Country],Tabela1[[#This Row],[Country]],Table27[Women''s 4x400m Relay Classification],"&gt;0")</f>
        <v>0</v>
      </c>
      <c r="BA153" s="6">
        <f>COUNTIFS(Table27[Country],Tabela1[[#This Row],[Country]],Table27[Mixed 4x400m Relay Classification],"&gt;0")</f>
        <v>0</v>
      </c>
      <c r="BB153" s="6">
        <f>COUNTIFS(Table4[Country],Tabela1[[#This Row],[Country]],Table4[Marathon Classification],"&gt;0")</f>
        <v>0</v>
      </c>
      <c r="BC153" s="6">
        <f>COUNTIFS(Table5[Country],Tabela1[[#This Row],[Country]],Table5[Marathon Classification],"&gt;0")</f>
        <v>0</v>
      </c>
      <c r="BD153" s="6">
        <f>COUNTIFS(Table4[Country],Tabela1[[#This Row],[Country]],Table4[20km Race Walk Classification],"&gt;0")</f>
        <v>0</v>
      </c>
      <c r="BE153" s="6">
        <f>COUNTIFS(Table5[Country],Tabela1[[#This Row],[Country]],Table5[20km Race Walk Classification],"&gt;0")</f>
        <v>0</v>
      </c>
      <c r="BF153" s="6">
        <f>COUNTIFS(Tabela96[Country],Tabela1[[#This Row],[Country]],Tabela96[Mixed Marathon Race Walk Relay Classification],"&gt;0")</f>
        <v>0</v>
      </c>
      <c r="BG153" s="6">
        <f>COUNTIFS(Table4[Country],Tabela1[[#This Row],[Country]],Table4[Discus Throw Classification],"&gt;0")</f>
        <v>0</v>
      </c>
      <c r="BH153" s="6">
        <f>COUNTIFS(Table5[Country],Tabela1[[#This Row],[Country]],Table5[Discus Throw Classification],"&gt;0")</f>
        <v>0</v>
      </c>
      <c r="BI153" s="6">
        <f>COUNTIFS(Table4[Country],Tabela1[[#This Row],[Country]],Table4[Hammer Throw Classification],"&gt;0")</f>
        <v>0</v>
      </c>
      <c r="BJ153" s="6">
        <f>COUNTIFS(Table5[Country],Tabela1[[#This Row],[Country]],Table5[Hammer Throw Classification],"&gt;0")</f>
        <v>0</v>
      </c>
      <c r="BK153" s="6">
        <f>COUNTIFS(Table4[Country],Tabela1[[#This Row],[Country]],Table4[High Jump Classification],"&gt;0")</f>
        <v>0</v>
      </c>
      <c r="BL153" s="6">
        <f>COUNTIFS(Table5[Country],Tabela1[[#This Row],[Country]],Table5[High Jump Classification],"&gt;0")</f>
        <v>0</v>
      </c>
      <c r="BM153" s="6">
        <f>COUNTIFS(Table4[Country],Tabela1[[#This Row],[Country]],Table4[Javelin Throw Classification],"&gt;0")</f>
        <v>0</v>
      </c>
      <c r="BN153" s="6">
        <f>COUNTIFS(Table5[Country],Tabela1[[#This Row],[Country]],Table5[Javelin Throw Classification],"&gt;0")</f>
        <v>0</v>
      </c>
      <c r="BO153" s="6">
        <f>COUNTIFS(Table4[Country],Tabela1[[#This Row],[Country]],Table4[Long Jump Classification],"&gt;0")</f>
        <v>0</v>
      </c>
      <c r="BP153" s="6">
        <f>COUNTIFS(Table5[Country],Tabela1[[#This Row],[Country]],Table5[Long Jump Classification],"&gt;0")</f>
        <v>0</v>
      </c>
      <c r="BQ153" s="6">
        <f>COUNTIFS(Table4[Country],Tabela1[[#This Row],[Country]],Table4[Pole Vault Classification],"&gt;0")</f>
        <v>0</v>
      </c>
      <c r="BR153" s="6">
        <f>COUNTIFS(Table5[Country],Tabela1[[#This Row],[Country]],Table5[Pole Vault Classification],"&gt;0")</f>
        <v>0</v>
      </c>
      <c r="BS153" s="6">
        <f>COUNTIFS(Table4[Country],Tabela1[[#This Row],[Country]],Table4[Shot Put Classification],"&gt;0")</f>
        <v>0</v>
      </c>
      <c r="BT153" s="6">
        <f>COUNTIFS(Table5[Country],Tabela1[[#This Row],[Country]],Table5[Shot Put Classification],"&gt;0")</f>
        <v>0</v>
      </c>
      <c r="BU153" s="6">
        <f>COUNTIFS(Table4[Country],Tabela1[[#This Row],[Country]],Table4[Triple Jump Classification],"&gt;0")</f>
        <v>0</v>
      </c>
      <c r="BV153" s="6">
        <f>COUNTIFS(Table5[Country],Tabela1[[#This Row],[Country]],Table5[Triple Jump Classification],"&gt;0")</f>
        <v>0</v>
      </c>
      <c r="BW153" s="6">
        <f>COUNTIFS(Table4[Country],Tabela1[[#This Row],[Country]],Table4[Decathlon Classification],"&gt;0")</f>
        <v>0</v>
      </c>
      <c r="BX153" s="6">
        <f>COUNTIFS(Table5[Country],Tabela1[[#This Row],[Country]],Table5[Heptathlon Classification],"&gt;0")</f>
        <v>0</v>
      </c>
      <c r="BY153" s="6">
        <f>COUNTIFS(Table61[Country],Tabela1[[#This Row],[Country]],Table61[Classification],"&gt;0")</f>
        <v>0</v>
      </c>
      <c r="BZ153" s="6">
        <f>COUNTIFS(Table38[Country],Tabela1[[#This Row],[Country]],Table38[Classification],"&gt;0")</f>
        <v>0</v>
      </c>
      <c r="CA153" s="6">
        <f>COUNTIFS(Table39[Country],Tabela1[[#This Row],[Country]],Table39[Men''s Classification],"&gt;0")</f>
        <v>0</v>
      </c>
      <c r="CB153" s="6">
        <f>COUNTIFS(Table39[Country],Tabela1[[#This Row],[Country]],Table39[Women''s Classification],"&gt;0")</f>
        <v>0</v>
      </c>
      <c r="CC153" s="6">
        <f>COUNTIFS(Table39[Country],Tabela1[[#This Row],[Country]],Table39[Mixed Classification],"&gt;0")</f>
        <v>0</v>
      </c>
      <c r="CD153" s="6">
        <f>COUNTIFS(Table89[Country],Tabela1[[#This Row],[Country]],Table89[Men''s Classification],"&gt;0")</f>
        <v>1</v>
      </c>
      <c r="CE153" s="6">
        <f>COUNTIFS(Table89[Country],Tabela1[[#This Row],[Country]],Table89[Women''s Classification],"&gt;0")</f>
        <v>0</v>
      </c>
      <c r="CF153" s="6">
        <f>COUNTIFS(Table90[Country],Tabela1[[#This Row],[Country]],Table90[Men''s Classification],"&gt;0")</f>
        <v>0</v>
      </c>
      <c r="CG153" s="6">
        <f>COUNTIFS(Table90[Country],Tabela1[[#This Row],[Country]],Table90[Women''s Classification],"&gt;0")</f>
        <v>0</v>
      </c>
      <c r="CH153" s="6">
        <f>COUNTIFS(Table60[Country],Tabela1[[#This Row],[Country]],Table60[Men''s Classification],"&gt;0")</f>
        <v>0</v>
      </c>
      <c r="CI153" s="6">
        <f>COUNTIFS(Table60[Country],Tabela1[[#This Row],[Country]],Table60[Women''s Classification],"&gt;0")</f>
        <v>0</v>
      </c>
      <c r="CJ153" s="6">
        <f>COUNTIFS(Table6[Country],Tabela1[[#This Row],[Country]],Table6[51kg Classification],"&gt;0")</f>
        <v>0</v>
      </c>
      <c r="CK153" s="6">
        <f>COUNTIFS(Table6[Country],Tabela1[[#This Row],[Country]],Table6[57kg Classification],"&gt;0")</f>
        <v>0</v>
      </c>
      <c r="CL153" s="6">
        <f>COUNTIFS(Table6[Country],Tabela1[[#This Row],[Country]],Table6[63.5kg Classification],"&gt;0")</f>
        <v>0</v>
      </c>
      <c r="CM153" s="6">
        <f>COUNTIFS(Table6[Country],Tabela1[[#This Row],[Country]],Table6[71kg Classification],"&gt;0")</f>
        <v>0</v>
      </c>
      <c r="CN153" s="6">
        <f>COUNTIFS(Table6[Country],Tabela1[[#This Row],[Country]],Table6[80kg Classification],"&gt;0")</f>
        <v>0</v>
      </c>
      <c r="CO153" s="6">
        <f>COUNTIFS(Table6[Country],Tabela1[[#This Row],[Country]],Table6[92kg Classification],"&gt;0")</f>
        <v>0</v>
      </c>
      <c r="CP153" s="6">
        <f>COUNTIFS(Table6[Country],Tabela1[[#This Row],[Country]],Table6[Plus 92kg Classification],"&gt;0")</f>
        <v>0</v>
      </c>
      <c r="CQ153" s="6">
        <f>COUNTIFS(Table7[Country],Tabela1[[#This Row],[Country]],Table7[50kg Classification],"&gt;0")</f>
        <v>0</v>
      </c>
      <c r="CR153" s="6">
        <f>COUNTIFS(Table7[Country],Tabela1[[#This Row],[Country]],Table7[54kg Classification],"&gt;0")</f>
        <v>0</v>
      </c>
      <c r="CS153" s="6">
        <f>COUNTIFS(Table7[Country],Tabela1[[#This Row],[Country]],Table7[57kg Classification],"&gt;0")</f>
        <v>0</v>
      </c>
      <c r="CT153" s="6">
        <f>COUNTIFS(Table7[Country],Tabela1[[#This Row],[Country]],Table7[60kg Classification],"&gt;0")</f>
        <v>0</v>
      </c>
      <c r="CU153" s="6">
        <f>COUNTIFS(Table7[Country],Tabela1[[#This Row],[Country]],Table7[66kg Classification],"&gt;0")</f>
        <v>0</v>
      </c>
      <c r="CV153" s="6">
        <f>COUNTIFS(Table7[Country],Tabela1[[#This Row],[Country]],Table7[75kg Classification],"&gt;0")</f>
        <v>0</v>
      </c>
      <c r="CW153" s="6">
        <f>COUNTIFS(Tabela94[Country],Tabela1[[#This Row],[Country]],Tabela94[Classification],"&gt;0")</f>
        <v>0</v>
      </c>
      <c r="CX153" s="6">
        <f>COUNTIFS(Tabela9499[Country],Tabela1[[#This Row],[Country]],Tabela9499[Classification],"&gt;0")</f>
        <v>0</v>
      </c>
      <c r="CY153" s="6">
        <f>COUNTIFS(Tabela107[Country],Tabela1[[#This Row],[Country]],Tabela107[C1 Slalom Classification],"&gt;0")</f>
        <v>0</v>
      </c>
      <c r="CZ153" s="6">
        <f>COUNTIFS(Tabela107122[Country],Tabela1[[#This Row],[Country]],Tabela107122[C1 Slalom Classification],"&gt;0")</f>
        <v>0</v>
      </c>
      <c r="DA153" s="6">
        <f>COUNTIFS(Tabela107[Country],Tabela1[[#This Row],[Country]],Tabela107[K1 Slalom Classification],"&gt;0")</f>
        <v>0</v>
      </c>
      <c r="DB153" s="6">
        <f>COUNTIFS(Tabela107122[Country],Tabela1[[#This Row],[Country]],Tabela107122[K1 Slalom Classification],"&gt;0")</f>
        <v>0</v>
      </c>
      <c r="DC153" s="6">
        <f>COUNTIFS(Tabela107[Country],Tabela1[[#This Row],[Country]],Tabela107[Kayak Cross Slalom Classification],"&gt;0")</f>
        <v>0</v>
      </c>
      <c r="DD153" s="6">
        <f>COUNTIFS(Tabela107122[Country],Tabela1[[#This Row],[Country]],Tabela107122[Kayak Cross Slalom Classification],"&gt;0")</f>
        <v>0</v>
      </c>
      <c r="DE153" s="6">
        <f>COUNTIFS(Table8[Country],Tabela1[[#This Row],[Country]],Table8[C1 200m Classification],"&gt;0")</f>
        <v>0</v>
      </c>
      <c r="DF153" s="6">
        <f>COUNTIFS(Table40[Country],Tabela1[[#This Row],[Country]],Table40[C1 1000m Classification],"&gt;0")</f>
        <v>0</v>
      </c>
      <c r="DG153" s="6">
        <f>COUNTIFS(Table68[Country],Tabela1[[#This Row],[Country]],Table68[Men''s C2 500m Classification],"&gt;0")</f>
        <v>0</v>
      </c>
      <c r="DH153" s="6">
        <f>COUNTIFS(Table68[Country],Tabela1[[#This Row],[Country]],Table68[Women''s C2 500m Classification],"&gt;0")</f>
        <v>0</v>
      </c>
      <c r="DI153" s="6">
        <f>COUNTIFS(Table8[Country],Tabela1[[#This Row],[Country]],Table8[K1 500m Classification],"&gt;0")</f>
        <v>0</v>
      </c>
      <c r="DJ153" s="6">
        <f>COUNTIFS(Table40[Country],Tabela1[[#This Row],[Country]],Table40[K1 1000m Classification],"&gt;0")</f>
        <v>0</v>
      </c>
      <c r="DK153" s="6">
        <f>COUNTIFS(Table68[Country],Tabela1[[#This Row],[Country]],Table68[Men''s K2 500m Classification],"&gt;0")</f>
        <v>0</v>
      </c>
      <c r="DL153" s="6">
        <f>COUNTIFS(Table68[Country],Tabela1[[#This Row],[Country]],Table68[Women''s K2 500m Classification],"&gt;0")</f>
        <v>0</v>
      </c>
      <c r="DM153" s="6">
        <f>COUNTIFS(Table83[Country],Tabela1[[#This Row],[Country]],Table83[Men''s K4 500m Classification],"&gt;0")</f>
        <v>0</v>
      </c>
      <c r="DN153" s="6">
        <f>COUNTIFS(Table83[Country],Tabela1[[#This Row],[Country]],Table83[Women''s K4 500m Classification],"&gt;0")</f>
        <v>0</v>
      </c>
      <c r="DO153" s="6">
        <f>COUNTIFS(Tabela126[Country],Tabela1[[#This Row],[Country]],Tabela126[Classification],"&gt;0")</f>
        <v>0</v>
      </c>
      <c r="DP153" s="6">
        <f>COUNTIFS(Tabela126130[Country],Tabela1[[#This Row],[Country]],Tabela126130[Classification],"&gt;0")</f>
        <v>0</v>
      </c>
      <c r="DQ153" s="6">
        <f>COUNTIFS(Table70[Country],Tabela1[[#This Row],[Country]],Table70[Classification],"&gt;0")</f>
        <v>0</v>
      </c>
      <c r="DR153" s="6">
        <f>COUNTIFS(Table80[Country],Tabela1[[#This Row],[Country]],Table80[Classification],"&gt;0")</f>
        <v>0</v>
      </c>
      <c r="DS153" s="6">
        <f>COUNTIFS(Table66[Country],Tabela1[[#This Row],[Country]],Table66[Classification],"&gt;0")</f>
        <v>0</v>
      </c>
      <c r="DT153" s="6">
        <f>COUNTIFS(Table67[Country],Tabela1[[#This Row],[Country]],Table67[Classification],"&gt;0")</f>
        <v>0</v>
      </c>
      <c r="DU153" s="6">
        <f>COUNTIFS(Table69[Country],Tabela1[[#This Row],[Country]],Table69[Keirin Classification],"&gt;0")</f>
        <v>0</v>
      </c>
      <c r="DV153" s="6">
        <f>COUNTIFS(Table41[Country],Tabela1[[#This Row],[Country]],Table41[Keirin Classification],"&gt;0")</f>
        <v>0</v>
      </c>
      <c r="DW153" s="6">
        <f>COUNTIFS(Table84[Country],Tabela1[[#This Row],[Country]],Table84[Men''s Madison Classification],"&gt;0")</f>
        <v>0</v>
      </c>
      <c r="DX153" s="6">
        <f>COUNTIFS(Table84[Country],Tabela1[[#This Row],[Country]],Table84[Women''s Madison Classification],"&gt;0")</f>
        <v>0</v>
      </c>
      <c r="DY153" s="6">
        <f>COUNTIFS(Table69[Country],Tabela1[[#This Row],[Country]],Table69[Omnium Classification],"&gt;0")</f>
        <v>0</v>
      </c>
      <c r="DZ153" s="6">
        <f>COUNTIFS(Table41[Country],Tabela1[[#This Row],[Country]],Table41[Omnium Classification],"&gt;0")</f>
        <v>0</v>
      </c>
      <c r="EA153" s="6">
        <f>COUNTIFS(Table9[Country],Tabela1[[#This Row],[Country]],Table9[Road Race Classification],"&gt;0")</f>
        <v>0</v>
      </c>
      <c r="EB153" s="6">
        <f>COUNTIFS(Table14[Country],Tabela1[[#This Row],[Country]],Table14[Road Race Classification],"&gt;0")</f>
        <v>0</v>
      </c>
      <c r="EC153" s="6">
        <f>COUNTIFS(Table69[Country],Tabela1[[#This Row],[Country]],Table69[Sprint Classification],"&gt;0")</f>
        <v>0</v>
      </c>
      <c r="ED153" s="6">
        <f>COUNTIFS(Table41[Country],Tabela1[[#This Row],[Country]],Table41[Sprint Classification],"&gt;0")</f>
        <v>0</v>
      </c>
      <c r="EE153" s="6">
        <f>COUNTIFS(Table85[Country],Tabela1[[#This Row],[Country]],Table85[Men''s Sprint Classification],"&gt;0")</f>
        <v>0</v>
      </c>
      <c r="EF153" s="6">
        <f>COUNTIFS(Table85[Country],Tabela1[[#This Row],[Country]],Table85[Women''s Sprint Classification],"&gt;0")</f>
        <v>0</v>
      </c>
      <c r="EG153" s="6">
        <f>COUNTIFS(Table85[Country],Tabela1[[#This Row],[Country]],Table85[Men''s Pursuit Classification],"&gt;0")</f>
        <v>0</v>
      </c>
      <c r="EH153" s="6">
        <f>COUNTIFS(Table85[Country],Tabela1[[#This Row],[Country]],Table85[Women''s Pursuit Classification],"&gt;0")</f>
        <v>0</v>
      </c>
      <c r="EI153" s="6">
        <f>COUNTIFS(Table9[Country],Tabela1[[#This Row],[Country]],Table9[Time-Trial Classification],"&gt;0")</f>
        <v>0</v>
      </c>
      <c r="EJ153" s="6">
        <f>COUNTIFS(Table14[Country],Tabela1[[#This Row],[Country]],Table14[Time-Trial Classification],"&gt;0")</f>
        <v>0</v>
      </c>
      <c r="EK153" s="6">
        <f>COUNTIFS(Table42[Country],Tabela1[[#This Row],[Country]],Table42[Springboard Classification],"&gt;0")</f>
        <v>0</v>
      </c>
      <c r="EL153" s="6">
        <f>COUNTIFS(Table43[Country],Tabela1[[#This Row],[Country]],Table43[Springboard Classification],"&gt;0")</f>
        <v>0</v>
      </c>
      <c r="EM153" s="6">
        <f>COUNTIFS(Table42[Country],Tabela1[[#This Row],[Country]],Table42[Platform Classification],"&gt;0")</f>
        <v>0</v>
      </c>
      <c r="EN153" s="6">
        <f>COUNTIFS(Table43[Country],Tabela1[[#This Row],[Country]],Table43[Platform Classification],"&gt;0")</f>
        <v>0</v>
      </c>
      <c r="EO153" s="6">
        <f>COUNTIFS(Table86[Country],Tabela1[[#This Row],[Country]],Table86[Men''s Synchronized Springboard Classification],"&gt;0")</f>
        <v>0</v>
      </c>
      <c r="EP153" s="6">
        <f>COUNTIFS(Table86[Country],Tabela1[[#This Row],[Country]],Table86[Women''s Synchronized Springboard Classification],"&gt;0")</f>
        <v>0</v>
      </c>
      <c r="EQ153" s="6">
        <f>COUNTIFS(Table86[Country],Tabela1[[#This Row],[Country]],Table86[Men''s Synchronized Platform Classification],"&gt;0")</f>
        <v>0</v>
      </c>
      <c r="ER153" s="6">
        <f>COUNTIFS(Table86[Country],Tabela1[[#This Row],[Country]],Table86[Women''s Synchronized Platform Classification],"&gt;0")</f>
        <v>0</v>
      </c>
      <c r="ES153" s="6">
        <f>COUNTIFS(Table44[Country],Tabela1[[#This Row],[Country]],Table44[Dressage Classification],"&gt;0")</f>
        <v>0</v>
      </c>
      <c r="ET153" s="6">
        <f>COUNTIFS(Table45[Country],Tabela1[[#This Row],[Country]],Table45[Dressage Classification],"&gt;0")</f>
        <v>0</v>
      </c>
      <c r="EU153" s="6">
        <f>COUNTIFS(Table44[Country],Tabela1[[#This Row],[Country]],Table44[Eventing Classification],"&gt;0")</f>
        <v>0</v>
      </c>
      <c r="EV153" s="6">
        <f>COUNTIFS(Table45[Country],Tabela1[[#This Row],[Country]],Table45[Eventing Classification],"&gt;0")</f>
        <v>0</v>
      </c>
      <c r="EW153" s="6">
        <f>COUNTIFS(Table44[Country],Tabela1[[#This Row],[Country]],Table44[Jumping Classification],"&gt;0")</f>
        <v>0</v>
      </c>
      <c r="EX153" s="6">
        <f>COUNTIFS(Table45[Country],Tabela1[[#This Row],[Country]],Table45[Jumping Classification],"&gt;0")</f>
        <v>0</v>
      </c>
      <c r="EY153" s="6">
        <f>COUNTIFS(Table10[Country],Tabela1[[#This Row],[Country]],Table10[Épée Classification],"&gt;0")</f>
        <v>0</v>
      </c>
      <c r="EZ153" s="6">
        <f>COUNTIFS(Table11[Country],Tabela1[[#This Row],[Country]],Table11[Épée Classification],"&gt;0")</f>
        <v>0</v>
      </c>
      <c r="FA153" s="6">
        <f>COUNTIFS(Table46[Country],Tabela1[[#This Row],[Country]],Table46[Men''s Épée Classification],"&gt;0")</f>
        <v>0</v>
      </c>
      <c r="FB153" s="6">
        <f>COUNTIFS(Table46[Country],Tabela1[[#This Row],[Country]],Table46[Women''s Épée Classification],"&gt;0")</f>
        <v>0</v>
      </c>
      <c r="FC153" s="6">
        <f>COUNTIFS(Table10[Country],Tabela1[[#This Row],[Country]],Table10[Foil Classification],"&gt;0")</f>
        <v>0</v>
      </c>
      <c r="FD153" s="6">
        <f>COUNTIFS(Table11[Country],Tabela1[[#This Row],[Country]],Table11[Foil Classification],"&gt;0")</f>
        <v>0</v>
      </c>
      <c r="FE153" s="6">
        <f>COUNTIFS(Table46[Country],Tabela1[[#This Row],[Country]],Table46[Men''s Foil Classification],"&gt;0")</f>
        <v>0</v>
      </c>
      <c r="FF153" s="6">
        <f>COUNTIFS(Table46[Country],Tabela1[[#This Row],[Country]],Table46[Women''s Foil Classification],"&gt;0")</f>
        <v>0</v>
      </c>
      <c r="FG153" s="6">
        <f>COUNTIFS(Table10[Country],Tabela1[[#This Row],[Country]],Table10[Sabre Classification],"&gt;0")</f>
        <v>0</v>
      </c>
      <c r="FH153" s="6">
        <f>COUNTIFS(Table11[Country],Tabela1[[#This Row],[Country]],Table11[Sabre Classification],"&gt;0")</f>
        <v>0</v>
      </c>
      <c r="FI153" s="6">
        <f>COUNTIFS(Table46[Country],Tabela1[[#This Row],[Country]],Table46[Men''s Sabre Classification],"&gt;0")</f>
        <v>0</v>
      </c>
      <c r="FJ153" s="6">
        <f>COUNTIFS(Table46[Country],Tabela1[[#This Row],[Country]],Table46[Women''s Sabre Classification],"&gt;0")</f>
        <v>0</v>
      </c>
      <c r="FK153" s="6">
        <f>COUNTIFS(Table91[Country],Tabela1[[#This Row],[Country]],Table91[Men''s Classification],"&gt;0")</f>
        <v>0</v>
      </c>
      <c r="FL153" s="6">
        <f>COUNTIFS(Table91[Country],Tabela1[[#This Row],[Country]],Table91[Women''s Classification],"&gt;0")</f>
        <v>0</v>
      </c>
      <c r="FM153" s="6">
        <f>COUNTIFS(Table9194[Country],Tabela1[[#This Row],[Country]],Table9194[Men''s Classification],"&gt;0")</f>
        <v>0</v>
      </c>
      <c r="FN153" s="6">
        <f>COUNTIFS(Table9194[Country],Tabela1[[#This Row],[Country]],Table9194[Women''s Classification],"&gt;0")</f>
        <v>0</v>
      </c>
      <c r="FO153" s="6">
        <f>COUNTIFS(Table71[Country],Tabela1[[#This Row],[Country]],Table71[Classification],"&gt;0")</f>
        <v>0</v>
      </c>
      <c r="FP153" s="6">
        <f>COUNTIFS(Table62[Country],Tabela1[[#This Row],[Country]],Table62[Classification],"&gt;0")</f>
        <v>0</v>
      </c>
      <c r="FQ153" s="6">
        <f>COUNTIFS(Table47[Country],Tabela1[[#This Row],[Country]],Table47[All-Around Classification],"&gt;0")</f>
        <v>0</v>
      </c>
      <c r="FR153" s="6">
        <f>COUNTIFS(Table48[Country],Tabela1[[#This Row],[Country]],Table48[All-Around Classification],"&gt;0")</f>
        <v>0</v>
      </c>
      <c r="FS153" s="6">
        <f>COUNTIFS(Table81[Country],Tabela1[[#This Row],[Country]],Table81[Men''s All-Around Classification],"&gt;0")</f>
        <v>0</v>
      </c>
      <c r="FT153" s="6">
        <f>COUNTIFS(Table81[Country],Tabela1[[#This Row],[Country]],Table81[Women''s All-Around Classification],"&gt;0")</f>
        <v>0</v>
      </c>
      <c r="FU153" s="6">
        <f>COUNTIFS(Table48[Country],Tabela1[[#This Row],[Country]],Table48[Balance Beam Classification],"&gt;0")</f>
        <v>0</v>
      </c>
      <c r="FV153" s="6">
        <f>COUNTIFS(Table47[Country],Tabela1[[#This Row],[Country]],Table47[Floor Exercise Classification],"&gt;0")</f>
        <v>0</v>
      </c>
      <c r="FW153" s="6">
        <f>COUNTIFS(Table48[Country],Tabela1[[#This Row],[Country]],Table48[Floor Exercise Classification],"&gt;0")</f>
        <v>0</v>
      </c>
      <c r="FX153" s="6">
        <f>COUNTIFS(Table47[Country],Tabela1[[#This Row],[Country]],Table47[Horizontal Bar Classification],"&gt;0")</f>
        <v>0</v>
      </c>
      <c r="FY153" s="6">
        <f>COUNTIFS(Table47[Country],Tabela1[[#This Row],[Country]],Table47[Parallel Bars Classification],"&gt;0")</f>
        <v>0</v>
      </c>
      <c r="FZ153" s="6">
        <f>COUNTIFS(Table47[Country],Tabela1[[#This Row],[Country]],Table47[Pommel Horse Classification],"&gt;0")</f>
        <v>0</v>
      </c>
      <c r="GA153" s="6">
        <f>COUNTIFS(Table47[Country],Tabela1[[#This Row],[Country]],Table47[Rings Classification],"&gt;0")</f>
        <v>0</v>
      </c>
      <c r="GB153" s="6">
        <f>COUNTIFS(Tabela132[Country],Tabela1[[#This Row],[Country]],Tabela132[Classification],"&gt;0")</f>
        <v>0</v>
      </c>
      <c r="GC153" s="6">
        <f>COUNTIFS(Tabela139[Country],Tabela1[[#This Row],[Country]],Tabela139[Classification],"&gt;0")</f>
        <v>0</v>
      </c>
      <c r="GD153" s="6">
        <f>COUNTIFS(Table48[Country],Tabela1[[#This Row],[Country]],Table48[Uneven Bars Classification],"&gt;0")</f>
        <v>0</v>
      </c>
      <c r="GE153" s="6">
        <f>COUNTIFS(Table47[Country],Tabela1[[#This Row],[Country]],Table47[Vault Classification],"&gt;0")</f>
        <v>0</v>
      </c>
      <c r="GF153" s="6">
        <f>COUNTIFS(Table48[Country],Tabela1[[#This Row],[Country]],Table48[Vault Classification],"&gt;0")</f>
        <v>0</v>
      </c>
      <c r="GG153" s="6">
        <f>COUNTIFS(Table919496[Country],Tabela1[[#This Row],[Country]],Table919496[Men''s Classification],"&gt;0")</f>
        <v>0</v>
      </c>
      <c r="GH153" s="6">
        <f>COUNTIFS(Table919496[Country],Tabela1[[#This Row],[Country]],Table919496[Women''s Classification],"&gt;0")</f>
        <v>0</v>
      </c>
      <c r="GI153" s="6">
        <f>COUNTIFS(Table12[Country],Tabela1[[#This Row],[Country]],Table12[60kg Classification],"&gt;0")</f>
        <v>0</v>
      </c>
      <c r="GJ153" s="6">
        <f>COUNTIFS(Table12[Country],Tabela1[[#This Row],[Country]],Table12[66kg Classification],"&gt;0")</f>
        <v>0</v>
      </c>
      <c r="GK153" s="6">
        <f>COUNTIFS(Table12[Country],Tabela1[[#This Row],[Country]],Table12[73kg Classification],"&gt;0")</f>
        <v>0</v>
      </c>
      <c r="GL153" s="6">
        <f>COUNTIFS(Table12[Country],Tabela1[[#This Row],[Country]],Table12[81kg Classification],"&gt;0")</f>
        <v>0</v>
      </c>
      <c r="GM153" s="6">
        <f>COUNTIFS(Table12[Country],Tabela1[[#This Row],[Country]],Table12[90kg Classification],"&gt;0")</f>
        <v>0</v>
      </c>
      <c r="GN153" s="6">
        <f>COUNTIFS(Table12[Country],Tabela1[[#This Row],[Country]],Table12[100kg Classification],"&gt;0")</f>
        <v>0</v>
      </c>
      <c r="GO153" s="6">
        <f>COUNTIFS(Table12[Country],Tabela1[[#This Row],[Country]],Table12[Plus 100kg Classification],"&gt;0")</f>
        <v>0</v>
      </c>
      <c r="GP153" s="6">
        <f>COUNTIFS(Table13[Country],Tabela1[[#This Row],[Country]],Table13[48kg Classification],"&gt;0")</f>
        <v>0</v>
      </c>
      <c r="GQ153" s="6">
        <f>COUNTIFS(Table13[Country],Tabela1[[#This Row],[Country]],Table13[52kg Classification],"&gt;0")</f>
        <v>0</v>
      </c>
      <c r="GR153" s="6">
        <f>COUNTIFS(Table13[Country],Tabela1[[#This Row],[Country]],Table13[57kg Classification],"&gt;0")</f>
        <v>0</v>
      </c>
      <c r="GS153" s="6">
        <f>COUNTIFS(Table13[Country],Tabela1[[#This Row],[Country]],Table13[63kg Classification],"&gt;0")</f>
        <v>0</v>
      </c>
      <c r="GT153" s="6">
        <f>COUNTIFS(Table13[Country],Tabela1[[#This Row],[Country]],Table13[70kg Classification],"&gt;0")</f>
        <v>0</v>
      </c>
      <c r="GU153" s="6">
        <f>COUNTIFS(Table13[Country],Tabela1[[#This Row],[Country]],Table13[78kg Classification],"&gt;0")</f>
        <v>0</v>
      </c>
      <c r="GV153" s="6">
        <f>COUNTIFS(Table13[Country],Tabela1[[#This Row],[Country]],Table13[Plus 78kg Classification],"&gt;0")</f>
        <v>0</v>
      </c>
      <c r="GW153" s="6">
        <f>COUNTIFS(Table82[Country],Tabela1[[#This Row],[Country]],Table82[Mixed Classification],"&gt;0")</f>
        <v>0</v>
      </c>
      <c r="GX153" s="6">
        <f>COUNTIFS(Table51[Country],Tabela1[[#This Row],[Country]],Table51[Classification],"&gt;0")</f>
        <v>0</v>
      </c>
      <c r="GY153" s="6">
        <f>COUNTIFS(Table52[Country],Tabela1[[#This Row],[Country]],Table52[Classification],"&gt;0")</f>
        <v>0</v>
      </c>
      <c r="GZ153" s="6">
        <f>COUNTIFS(Table32[Country],Tabela1[[#This Row],[Country]],Table32[All-Around Classification],"&gt;0")</f>
        <v>0</v>
      </c>
      <c r="HA153" s="6">
        <f>COUNTIFS(Table49[Country],Tabela1[[#This Row],[Country]],Table49[All-Around Classification],"&gt;0")</f>
        <v>0</v>
      </c>
      <c r="HB153" s="6">
        <f>COUNTIFS(Table26[Country],Tabela1[[#This Row],[Country]],Table26[Single Sculls Classification],"&gt;0")</f>
        <v>0</v>
      </c>
      <c r="HC153" s="6">
        <f>COUNTIFS(Table63[Country],Tabela1[[#This Row],[Country]],Table63[Single Sculls Classification],"&gt;0")</f>
        <v>0</v>
      </c>
      <c r="HD153" s="6">
        <f>COUNTIFS(Table16[Country],Tabela1[[#This Row],[Country]],Table16[Men''s Double Sculls Classification],"&gt;0")</f>
        <v>0</v>
      </c>
      <c r="HE153" s="6">
        <f>COUNTIFS(Table16[Country],Tabela1[[#This Row],[Country]],Table16[Women''s Double Sculls Classification],"&gt;0")</f>
        <v>0</v>
      </c>
      <c r="HF153" s="6">
        <f>COUNTIFS(Table72[Country],Tabela1[[#This Row],[Country]],Table72[Men''s Quadruple Sculls Classification],"&gt;0")</f>
        <v>0</v>
      </c>
      <c r="HG153" s="6">
        <f>COUNTIFS(Table72[Country],Tabela1[[#This Row],[Country]],Table72[Women''s Quadruple Sculls Classification],"&gt;0")</f>
        <v>0</v>
      </c>
      <c r="HH153" s="6">
        <f>COUNTIFS(Table16[Country],Tabela1[[#This Row],[Country]],Table16[Men''s Coxless Pairs Classification],"&gt;0")</f>
        <v>0</v>
      </c>
      <c r="HI153" s="6">
        <f>COUNTIFS(Table16[Country],Tabela1[[#This Row],[Country]],Table16[Women''s Coxless Pairs Classification],"&gt;0")</f>
        <v>0</v>
      </c>
      <c r="HJ153" s="6">
        <f>COUNTIFS(Table72[Country],Tabela1[[#This Row],[Country]],Table72[Men''s Coxless Fours Classification],"&gt;0")</f>
        <v>0</v>
      </c>
      <c r="HK153" s="6">
        <f>COUNTIFS(Table72[Country],Tabela1[[#This Row],[Country]],Table72[Women''s Coxless Fours Classification],"&gt;0")</f>
        <v>0</v>
      </c>
      <c r="HL153" s="6">
        <f>COUNTIFS(Table72[Country],Tabela1[[#This Row],[Country]],Table72[Men''s Eights Classification],"&gt;0")</f>
        <v>0</v>
      </c>
      <c r="HM153" s="6">
        <f>COUNTIFS(Table72[Country],Tabela1[[#This Row],[Country]],Table72[Women''s Eights Classification],"&gt;0")</f>
        <v>0</v>
      </c>
      <c r="HN153" s="6">
        <f>COUNTIFS(Table16[Country],Tabela1[[#This Row],[Country]],Table16[Men''s Lwt. Double Sculls Classification],"&gt;0")</f>
        <v>0</v>
      </c>
      <c r="HO153" s="6">
        <f>COUNTIFS(Table16[Country],Tabela1[[#This Row],[Country]],Table16[Women''s Lwt. Double Sculls Classification],"&gt;0")</f>
        <v>0</v>
      </c>
      <c r="HP153" s="6">
        <f>COUNTIFS(Table91949698[Country],Tabela1[[#This Row],[Country]],Table91949698[Men''s Classification],"&gt;0")</f>
        <v>0</v>
      </c>
      <c r="HQ153" s="6">
        <f>COUNTIFS(Table91949698[Country],Tabela1[[#This Row],[Country]],Table91949698[Women''s Classification],"&gt;0")</f>
        <v>0</v>
      </c>
      <c r="HR153" s="6">
        <f>COUNTIFS(Table25[Country],Tabela1[[#This Row],[Country]],Table25[Mixed 470 Classification],"&gt;0")</f>
        <v>0</v>
      </c>
      <c r="HS153" s="6">
        <f>COUNTIFS(Table25[Country],Tabela1[[#This Row],[Country]],Table25[Men''s 49er Classification],"&gt;0")</f>
        <v>0</v>
      </c>
      <c r="HT153" s="6">
        <f>COUNTIFS(Table25[Country],Tabela1[[#This Row],[Country]],Table25[Women''s 49er FX Classification],"&gt;0")</f>
        <v>0</v>
      </c>
      <c r="HU153" s="6">
        <f>COUNTIFS(Table17[Country],Tabela1[[#This Row],[Country]],Table17[Formula Kite Classification],"&gt;0")</f>
        <v>0</v>
      </c>
      <c r="HV153" s="6">
        <f>COUNTIFS(Table18[Country],Tabela1[[#This Row],[Country]],Table18[Formula Kite Classification],"&gt;0")</f>
        <v>0</v>
      </c>
      <c r="HW153" s="6">
        <f>COUNTIFS(Table17[Country],Tabela1[[#This Row],[Country]],Table17[ILCA 7 Classification],"&gt;0")</f>
        <v>0</v>
      </c>
      <c r="HX153" s="6">
        <f>COUNTIFS(Table18[Country],Tabela1[[#This Row],[Country]],Table18[ILCA 6 Classification],"&gt;0")</f>
        <v>0</v>
      </c>
      <c r="HY153" s="6">
        <f>COUNTIFS(Table17[Country],Tabela1[[#This Row],[Country]],Table17[IQFoil Classification],"&gt;0")</f>
        <v>0</v>
      </c>
      <c r="HZ153" s="6">
        <f>COUNTIFS(Table18[Country],Tabela1[[#This Row],[Country]],Table18[IQFoil Classification],"&gt;0")</f>
        <v>0</v>
      </c>
      <c r="IA153" s="6">
        <f>COUNTIFS(Table25[Country],Tabela1[[#This Row],[Country]],Table25[Mixed Nacra 17 Classification],"&gt;0")</f>
        <v>0</v>
      </c>
      <c r="IB153" s="6">
        <f>COUNTIFS(Table53[Country],Tabela1[[#This Row],[Country]],Table53[10m Air Pistol Classification],"&gt;0")</f>
        <v>0</v>
      </c>
      <c r="IC153" s="6">
        <f>COUNTIFS(Table19[Country],Tabela1[[#This Row],[Country]],Table19[10m Air Pistol Classification],"&gt;0")</f>
        <v>0</v>
      </c>
      <c r="ID153" s="6">
        <f>COUNTIFS(Table54[Country],Tabela1[[#This Row],[Country]],Table54[Mixed 10m Air Pistol Team Classification],"&gt;0")</f>
        <v>0</v>
      </c>
      <c r="IE153" s="6">
        <f>COUNTIFS(Table53[Country],Tabela1[[#This Row],[Country]],Table53[10m Air Rifle Classification],"&gt;0")</f>
        <v>0</v>
      </c>
      <c r="IF153" s="6">
        <f>COUNTIFS(Table19[Country],Tabela1[[#This Row],[Country]],Table19[10m Air Rifle Classification],"&gt;0")</f>
        <v>0</v>
      </c>
      <c r="IG153" s="6">
        <f>COUNTIFS(Table54[Country],Tabela1[[#This Row],[Country]],Table54[Mixed 10m Air Rifle Team Classification],"&gt;0")</f>
        <v>0</v>
      </c>
      <c r="IH153" s="6">
        <f>COUNTIFS(Table53[Country],Tabela1[[#This Row],[Country]],Table53[25m Rapid Fire Pistol Classification],"&gt;0")</f>
        <v>0</v>
      </c>
      <c r="II153" s="6">
        <f>COUNTIFS(Table19[Country],Tabela1[[#This Row],[Country]],Table19[25m Pistol Classification],"&gt;0")</f>
        <v>0</v>
      </c>
      <c r="IJ153" s="6">
        <f>COUNTIFS(Table53[Country],Tabela1[[#This Row],[Country]],Table53[50m Rifle 3 Positions Classification],"&gt;0")</f>
        <v>0</v>
      </c>
      <c r="IK153" s="6">
        <f>COUNTIFS(Table19[Country],Tabela1[[#This Row],[Country]],Table19[50m Rifle 3 Positions Classification],"&gt;0")</f>
        <v>0</v>
      </c>
      <c r="IL153" s="6">
        <f>COUNTIFS(Table53[Country],Tabela1[[#This Row],[Country]],Table53[Skeet Classification],"&gt;0")</f>
        <v>0</v>
      </c>
      <c r="IM153" s="6">
        <f>COUNTIFS(Table19[Country],Tabela1[[#This Row],[Country]],Table19[Skeet Classification],"&gt;0")</f>
        <v>0</v>
      </c>
      <c r="IN153" s="6">
        <f>COUNTIFS(Table54[Country],Tabela1[[#This Row],[Country]],Table54[Mixed Skeet Team Classification],"&gt;0")</f>
        <v>0</v>
      </c>
      <c r="IO153" s="6">
        <f>COUNTIFS(Table53[Country],Tabela1[[#This Row],[Country]],Table53[Trap Classification],"&gt;0")</f>
        <v>0</v>
      </c>
      <c r="IP153" s="6">
        <f>COUNTIFS(Table19[Country],Tabela1[[#This Row],[Country]],Table19[Trap Classification],"&gt;0")</f>
        <v>0</v>
      </c>
      <c r="IQ153" s="6">
        <f>COUNTIFS(Table73[Country],Tabela1[[#This Row],[Country]],Table73[Park Classification],"&gt;0")</f>
        <v>0</v>
      </c>
      <c r="IR153" s="6">
        <f>COUNTIFS(Table74[Country],Tabela1[[#This Row],[Country]],Table74[Park Classification],"&gt;0")</f>
        <v>0</v>
      </c>
      <c r="IS153" s="6">
        <f>COUNTIFS(Table73[Country],Tabela1[[#This Row],[Country]],Table73[Street Classification],"&gt;0")</f>
        <v>0</v>
      </c>
      <c r="IT153" s="6">
        <f>COUNTIFS(Table74[Country],Tabela1[[#This Row],[Country]],Table74[Street Classification],"&gt;0")</f>
        <v>0</v>
      </c>
      <c r="IU153" s="6">
        <f>COUNTIFS(Table75[Country],Tabela1[[#This Row],[Country]],Table75[Boulder and Lead Classification],"&gt;0")</f>
        <v>0</v>
      </c>
      <c r="IV153" s="6">
        <f>COUNTIFS(Table76[Country],Tabela1[[#This Row],[Country]],Table76[Boulder and Lead Classification],"&gt;0")</f>
        <v>0</v>
      </c>
      <c r="IW153" s="6">
        <f>COUNTIFS(Table75[Country],Tabela1[[#This Row],[Country]],Table75[Speed Classification],"&gt;0")</f>
        <v>0</v>
      </c>
      <c r="IX153" s="6">
        <f>COUNTIFS(Table76[Country],Tabela1[[#This Row],[Country]],Table76[Speed Classification],"&gt;0")</f>
        <v>0</v>
      </c>
      <c r="IY153" s="6">
        <f>COUNTIFS(Table64[Country],Tabela1[[#This Row],[Country]],Table64[Shortboard Classification],"&gt;0")</f>
        <v>0</v>
      </c>
      <c r="IZ153" s="6">
        <f>COUNTIFS(Table77[Country],Tabela1[[#This Row],[Country]],Table77[Shortboard Classification],"&gt;0")</f>
        <v>0</v>
      </c>
      <c r="JA153" s="6">
        <f>COUNTIFS(Table20[Country],Tabela1[[#This Row],[Country]],Table20[50m Freestyle Classification],"&gt;0")</f>
        <v>0</v>
      </c>
      <c r="JB153" s="6">
        <f>COUNTIFS(Table21[Country],Tabela1[[#This Row],[Country]],Table21[50m Freestyle Classification],"&gt;0")</f>
        <v>0</v>
      </c>
      <c r="JC153" s="6">
        <f>COUNTIFS(Table20[Country],Tabela1[[#This Row],[Country]],Table20[100m Freestyle Classification],"&gt;0")</f>
        <v>0</v>
      </c>
      <c r="JD153" s="6">
        <f>COUNTIFS(Table21[Country],Tabela1[[#This Row],[Country]],Table21[100m Freestyle Classification],"&gt;0")</f>
        <v>0</v>
      </c>
      <c r="JE153" s="6">
        <f>COUNTIFS(Table20[Country],Tabela1[[#This Row],[Country]],Table20[200m Freestyle Classification],"&gt;0")</f>
        <v>0</v>
      </c>
      <c r="JF153" s="6">
        <f>COUNTIFS(Table21[Country],Tabela1[[#This Row],[Country]],Table21[200m Freestyle Classification],"&gt;0")</f>
        <v>0</v>
      </c>
      <c r="JG153" s="6">
        <f>COUNTIFS(Table20[Country],Tabela1[[#This Row],[Country]],Table20[400m Freestyle Classification],"&gt;0")</f>
        <v>0</v>
      </c>
      <c r="JH153" s="6">
        <f>COUNTIFS(Table21[Country],Tabela1[[#This Row],[Country]],Table21[400m Freestyle Classification],"&gt;0")</f>
        <v>0</v>
      </c>
      <c r="JI153" s="6">
        <f>COUNTIFS(Table20[Country],Tabela1[[#This Row],[Country]],Table20[800m Freestyle Classification],"&gt;0")</f>
        <v>0</v>
      </c>
      <c r="JJ153" s="6">
        <f>COUNTIFS(Table21[Country],Tabela1[[#This Row],[Country]],Table21[800m Freestyle Classification],"&gt;0")</f>
        <v>0</v>
      </c>
      <c r="JK153" s="6">
        <f>COUNTIFS(Table20[Country],Tabela1[[#This Row],[Country]],Table20[1500m Freestyle Classification],"&gt;0")</f>
        <v>0</v>
      </c>
      <c r="JL153" s="6">
        <f>COUNTIFS(Table21[Country],Tabela1[[#This Row],[Country]],Table21[1500m Freestyle Classification],"&gt;0")</f>
        <v>0</v>
      </c>
      <c r="JM153" s="6">
        <f>COUNTIFS(Table20[Country],Tabela1[[#This Row],[Country]],Table20[100m Backstroke Classification],"&gt;0")</f>
        <v>0</v>
      </c>
      <c r="JN153" s="6">
        <f>COUNTIFS(Table21[Country],Tabela1[[#This Row],[Country]],Table21[100m Backstroke Classification],"&gt;0")</f>
        <v>0</v>
      </c>
      <c r="JO153" s="6">
        <f>COUNTIFS(Table20[Country],Tabela1[[#This Row],[Country]],Table20[200m Backstroke Classification],"&gt;0")</f>
        <v>0</v>
      </c>
      <c r="JP153" s="6">
        <f>COUNTIFS(Table21[Country],Tabela1[[#This Row],[Country]],Table21[200m Backstroke Classification],"&gt;0")</f>
        <v>0</v>
      </c>
      <c r="JQ153" s="6">
        <f>COUNTIFS(Table20[Country],Tabela1[[#This Row],[Country]],Table20[100m Breaststroke Classification],"&gt;0")</f>
        <v>0</v>
      </c>
      <c r="JR153" s="6">
        <f>COUNTIFS(Table21[Country],Tabela1[[#This Row],[Country]],Table21[100m Breaststroke Classification],"&gt;0")</f>
        <v>0</v>
      </c>
      <c r="JS153" s="6">
        <f>COUNTIFS(Table20[Country],Tabela1[[#This Row],[Country]],Table20[200m Breaststroke Classification],"&gt;0")</f>
        <v>0</v>
      </c>
      <c r="JT153" s="6">
        <f>COUNTIFS(Table21[Country],Tabela1[[#This Row],[Country]],Table21[200m Breaststroke Classification],"&gt;0")</f>
        <v>0</v>
      </c>
      <c r="JU153" s="6">
        <f>COUNTIFS(Table20[Country],Tabela1[[#This Row],[Country]],Table20[100m Butterfly Classification],"&gt;0")</f>
        <v>0</v>
      </c>
      <c r="JV153" s="6">
        <f>COUNTIFS(Table21[Country],Tabela1[[#This Row],[Country]],Table21[100m Butterfly Classification],"&gt;0")</f>
        <v>0</v>
      </c>
      <c r="JW153" s="6">
        <f>COUNTIFS(Table20[Country],Tabela1[[#This Row],[Country]],Table20[200m Butterfly Classification],"&gt;0")</f>
        <v>0</v>
      </c>
      <c r="JX153" s="6">
        <f>COUNTIFS(Table21[Country],Tabela1[[#This Row],[Country]],Table21[200m Butterfly Classification],"&gt;0")</f>
        <v>0</v>
      </c>
      <c r="JY153" s="6">
        <f>COUNTIFS(Table20[Country],Tabela1[[#This Row],[Country]],Table20[200m Medley Classification],"&gt;0")</f>
        <v>0</v>
      </c>
      <c r="JZ153" s="6">
        <f>COUNTIFS(Table21[Country],Tabela1[[#This Row],[Country]],Table21[200m Medley Classification],"&gt;0")</f>
        <v>0</v>
      </c>
      <c r="KA153" s="6">
        <f>COUNTIFS(Table20[Country],Tabela1[[#This Row],[Country]],Table20[400m Medley Classification],"&gt;0")</f>
        <v>0</v>
      </c>
      <c r="KB153" s="6">
        <f>COUNTIFS(Table21[Country],Tabela1[[#This Row],[Country]],Table21[400m Medley Classification],"&gt;0")</f>
        <v>0</v>
      </c>
      <c r="KC153" s="6">
        <f>COUNTIFS(Table78[Country],Tabela1[[#This Row],[Country]],Table78[Men''s 4x100m Freestyle Relay Classification],"&gt;0")</f>
        <v>0</v>
      </c>
      <c r="KD153" s="6">
        <f>COUNTIFS(Table78[Country],Tabela1[[#This Row],[Country]],Table78[Women''s 4x100m Freestyle Relay Classification],"&gt;0")</f>
        <v>0</v>
      </c>
      <c r="KE153" s="6">
        <f>COUNTIFS(Table78[Country],Tabela1[[#This Row],[Country]],Table78[Men''s 4x200m Freestyle Relay Classification],"&gt;0")</f>
        <v>0</v>
      </c>
      <c r="KF153" s="6">
        <f>COUNTIFS(Table78[Country],Tabela1[[#This Row],[Country]],Table78[Women''s 4x200m Freestyle Relay Classification],"&gt;0")</f>
        <v>0</v>
      </c>
      <c r="KG153" s="6">
        <f>COUNTIFS(Table78[Country],Tabela1[[#This Row],[Country]],Table78[Men''s 4x100m Medley Relay Classification],"&gt;0")</f>
        <v>0</v>
      </c>
      <c r="KH153" s="6">
        <f>COUNTIFS(Table78[Country],Tabela1[[#This Row],[Country]],Table78[Women''s 4x100m Medley Relay Classification],"&gt;0")</f>
        <v>0</v>
      </c>
      <c r="KI153" s="6">
        <f>COUNTIFS(Table78[Country],Tabela1[[#This Row],[Country]],Table78[Mixed 4x100m Medley Relay Classification],"&gt;0")</f>
        <v>0</v>
      </c>
      <c r="KJ153" s="6">
        <f>COUNTIFS(Table20[Country],Tabela1[[#This Row],[Country]],Table20[10km Open Water Classification],"&gt;0")</f>
        <v>0</v>
      </c>
      <c r="KK153" s="6">
        <f>COUNTIFS(Table21[Country],Tabela1[[#This Row],[Country]],Table21[10km Open Water Classification],"&gt;0")</f>
        <v>0</v>
      </c>
      <c r="KL153" s="6">
        <f>COUNTIFS(Table22[Country],Tabela1[[#This Row],[Country]],Table22[Classification],"&gt;0")</f>
        <v>0</v>
      </c>
      <c r="KM153" s="6">
        <f>COUNTIFS(Table30[Country],Tabela1[[#This Row],[Country]],Table30[Classification],"&gt;0")</f>
        <v>0</v>
      </c>
      <c r="KN153" s="6">
        <f>COUNTIFS(Table55[Country],Tabela1[[#This Row],[Country]],Table55[Men''s Classification],"&gt;0")</f>
        <v>0</v>
      </c>
      <c r="KO153" s="6">
        <f>COUNTIFS(Table55[Country],Tabela1[[#This Row],[Country]],Table55[Women''s Classification],"&gt;0")</f>
        <v>0</v>
      </c>
      <c r="KP153" s="6">
        <f>COUNTIFS(Table56[Country],Tabela1[[#This Row],[Country]],Table56[Mixed Classification],"&gt;0")</f>
        <v>0</v>
      </c>
      <c r="KQ153" s="6">
        <f>COUNTIFS(Table29[Country],Tabela1[[#This Row],[Country]],Table29[58kg Classification],"&gt;0")</f>
        <v>0</v>
      </c>
      <c r="KR153" s="6">
        <f>COUNTIFS(Table29[Country],Tabela1[[#This Row],[Country]],Table29[68kg Classification],"&gt;0")</f>
        <v>0</v>
      </c>
      <c r="KS153" s="6">
        <f>COUNTIFS(Table29[Country],Tabela1[[#This Row],[Country]],Table29[80kg Classification],"&gt;0")</f>
        <v>0</v>
      </c>
      <c r="KT153" s="6">
        <f>COUNTIFS(Table29[Country],Tabela1[[#This Row],[Country]],Table29[Plus 80kg Classification],"&gt;0")</f>
        <v>0</v>
      </c>
      <c r="KU153" s="6">
        <f>COUNTIFS(Table34[Country],Tabela1[[#This Row],[Country]],Table34[49kg Classification],"&gt;0")</f>
        <v>0</v>
      </c>
      <c r="KV153" s="6">
        <f>COUNTIFS(Table34[Country],Tabela1[[#This Row],[Country]],Table34[57kg Classification],"&gt;0")</f>
        <v>0</v>
      </c>
      <c r="KW153" s="6">
        <f>COUNTIFS(Table34[Country],Tabela1[[#This Row],[Country]],Table34[67kg Classification],"&gt;0")</f>
        <v>0</v>
      </c>
      <c r="KX153" s="6">
        <f>COUNTIFS(Table34[Country],Tabela1[[#This Row],[Country]],Table34[Plus 67kg Classification],"&gt;0")</f>
        <v>0</v>
      </c>
      <c r="KY153" s="6">
        <f>COUNTIFS(Table57[Country],Tabela1[[#This Row],[Country]],Table57[Classification],"&gt;0")</f>
        <v>0</v>
      </c>
      <c r="KZ153" s="6">
        <f>COUNTIFS(Table58[Country],Tabela1[[#This Row],[Country]],Table58[Classification],"&gt;0")</f>
        <v>0</v>
      </c>
      <c r="LA153" s="6">
        <f>COUNTIFS(Table79[Country],Tabela1[[#This Row],[Country]],Table79[Men''s Classification],"&gt;0")</f>
        <v>0</v>
      </c>
      <c r="LB153" s="6">
        <f>COUNTIFS(Table79[Country],Tabela1[[#This Row],[Country]],Table79[Women''s Classification],"&gt;0")</f>
        <v>0</v>
      </c>
      <c r="LC153" s="6">
        <f>COUNTIFS(Table79[Country],Tabela1[[#This Row],[Country]],Table79[Mixed Classification],"&gt;0")</f>
        <v>0</v>
      </c>
      <c r="LD153" s="6">
        <f>COUNTIFS(Table65[Country],Tabela1[[#This Row],[Country]],Table65[Classification],"&gt;0")</f>
        <v>0</v>
      </c>
      <c r="LE153" s="6">
        <f>COUNTIFS(Table59[Country],Tabela1[[#This Row],[Country]],Table59[Classification],"&gt;0")</f>
        <v>0</v>
      </c>
      <c r="LF153" s="6">
        <f>COUNTIFS(Table87[Country],Tabela1[[#This Row],[Country]],Table87[Mixed Relay Classification],"&gt;0")</f>
        <v>0</v>
      </c>
      <c r="LG153" s="6">
        <f>COUNTIFS(Table91949698100[Country],Tabela1[[#This Row],[Country]],Table91949698100[Men''s Classification],"&gt;0")</f>
        <v>0</v>
      </c>
      <c r="LH153" s="6">
        <f>COUNTIFS(Table91949698100[Country],Tabela1[[#This Row],[Country]],Table91949698100[Women''s Classification],"&gt;0")</f>
        <v>0</v>
      </c>
      <c r="LI153" s="6">
        <f>COUNTIFS(Table91949698100102[Country],Tabela1[[#This Row],[Country]],Table91949698100102[Men''s Classification],"&gt;0")</f>
        <v>0</v>
      </c>
      <c r="LJ153" s="6">
        <f>COUNTIFS(Table91949698100102[Country],Tabela1[[#This Row],[Country]],Table91949698100102[Women''s Classification],"&gt;0")</f>
        <v>0</v>
      </c>
      <c r="LK153" s="6">
        <f>COUNTIFS(Table23[Country],Tabela1[[#This Row],[Country]],Table23[61kg Classification],"&gt;0")</f>
        <v>0</v>
      </c>
      <c r="LL153" s="6">
        <f>COUNTIFS(Table23[Country],Tabela1[[#This Row],[Country]],Table23[73kg Classification],"&gt;0")</f>
        <v>0</v>
      </c>
      <c r="LM153" s="6">
        <f>COUNTIFS(Table23[Country],Tabela1[[#This Row],[Country]],Table23[89kg Classification],"&gt;0")</f>
        <v>0</v>
      </c>
      <c r="LN153" s="6">
        <f>COUNTIFS(Table23[Country],Tabela1[[#This Row],[Country]],Table23[102kg Classification],"&gt;0")</f>
        <v>0</v>
      </c>
      <c r="LO153" s="6">
        <f>COUNTIFS(Table23[Country],Tabela1[[#This Row],[Country]],Table23[Plus 102kg Classification],"&gt;0")</f>
        <v>0</v>
      </c>
      <c r="LP153" s="6">
        <f>COUNTIFS(Table28[Country],Tabela1[[#This Row],[Country]],Table28[49kg Classification],"&gt;0")</f>
        <v>0</v>
      </c>
      <c r="LQ153" s="6">
        <f>COUNTIFS(Table28[Country],Tabela1[[#This Row],[Country]],Table28[59kg Classification],"&gt;0")</f>
        <v>0</v>
      </c>
      <c r="LR153" s="6">
        <f>COUNTIFS(Table28[Country],Tabela1[[#This Row],[Country]],Table28[71kg Classification],"&gt;0")</f>
        <v>0</v>
      </c>
      <c r="LS153" s="6">
        <f>COUNTIFS(Table28[Country],Tabela1[[#This Row],[Country]],Table28[81kg Classification],"&gt;0")</f>
        <v>0</v>
      </c>
      <c r="LT153" s="6">
        <f>COUNTIFS(Table28[Country],Tabela1[[#This Row],[Country]],Table28[Plus 81kg Classification],"&gt;0")</f>
        <v>0</v>
      </c>
      <c r="LU153" s="6">
        <f>COUNTIFS(Table24[Country],Tabela1[[#This Row],[Country]],Table24[Freestyle 57kg Classification],"&gt;0")</f>
        <v>0</v>
      </c>
      <c r="LV153" s="6">
        <f>COUNTIFS(Table24[Country],Tabela1[[#This Row],[Country]],Table24[Freestyle 65kg Classification],"&gt;0")</f>
        <v>0</v>
      </c>
      <c r="LW153" s="6">
        <f>COUNTIFS(Table24[Country],Tabela1[[#This Row],[Country]],Table24[Freestyle 74kg Classification],"&gt;0")</f>
        <v>0</v>
      </c>
      <c r="LX153" s="6">
        <f>COUNTIFS(Table24[Country],Tabela1[[#This Row],[Country]],Table24[Freestyle 86kg Classification],"&gt;0")</f>
        <v>0</v>
      </c>
      <c r="LY153" s="6">
        <f>COUNTIFS(Table24[Country],Tabela1[[#This Row],[Country]],Table24[Freestyle 97kg Classification],"&gt;0")</f>
        <v>0</v>
      </c>
      <c r="LZ153" s="6">
        <f>COUNTIFS(Table24[Country],Tabela1[[#This Row],[Country]],Table24[Freestyle 125kg Classification],"&gt;0")</f>
        <v>0</v>
      </c>
      <c r="MA153" s="6">
        <f>COUNTIFS(Table24[Country],Tabela1[[#This Row],[Country]],Table24[Greco-Roman 60kg Classification],"&gt;0")</f>
        <v>0</v>
      </c>
      <c r="MB153" s="6">
        <f>COUNTIFS(Table24[Country],Tabela1[[#This Row],[Country]],Table24[Greco-Roman 67kg Classification],"&gt;0")</f>
        <v>0</v>
      </c>
      <c r="MC153" s="6">
        <f>COUNTIFS(Table24[Country],Tabela1[[#This Row],[Country]],Table24[Greco-Roman 77kg Classification],"&gt;0")</f>
        <v>0</v>
      </c>
      <c r="MD153" s="6">
        <f>COUNTIFS(Table24[Country],Tabela1[[#This Row],[Country]],Table24[Greco-Roman 87kg Classification],"&gt;0")</f>
        <v>0</v>
      </c>
      <c r="ME153" s="6">
        <f>COUNTIFS(Table24[Country],Tabela1[[#This Row],[Country]],Table24[Greco-Roman 97kg Classification],"&gt;0")</f>
        <v>0</v>
      </c>
      <c r="MF153" s="6">
        <f>COUNTIFS(Table24[Country],Tabela1[[#This Row],[Country]],Table24[Greco-Roman 130kg Classification],"&gt;0")</f>
        <v>0</v>
      </c>
      <c r="MG153" s="6">
        <f>COUNTIFS(Table31[Country],Tabela1[[#This Row],[Country]],Table31[50kg Classification],"&gt;0")</f>
        <v>0</v>
      </c>
      <c r="MH153" s="6">
        <f>COUNTIFS(Table31[Country],Tabela1[[#This Row],[Country]],Table31[53kg Classification],"&gt;0")</f>
        <v>0</v>
      </c>
      <c r="MI153" s="6">
        <f>COUNTIFS(Table31[Country],Tabela1[[#This Row],[Country]],Table31[57kg Classification],"&gt;0")</f>
        <v>0</v>
      </c>
      <c r="MJ153" s="6">
        <f>COUNTIFS(Table31[Country],Tabela1[[#This Row],[Country]],Table31[62kg Classification],"&gt;0")</f>
        <v>0</v>
      </c>
      <c r="MK153" s="6">
        <f>COUNTIFS(Table31[Country],Tabela1[[#This Row],[Country]],Table31[68kg Classification],"&gt;0")</f>
        <v>0</v>
      </c>
      <c r="ML153" s="6">
        <f>COUNTIFS(Table31[Country],Tabela1[[#This Row],[Country]],Table31[76kg Classification],"&gt;0")</f>
        <v>0</v>
      </c>
      <c r="MM153" s="6">
        <f>COUNTIFS(Table102[Country],Tabela1[[#This Row],[Country]],Table102[Downhill Classification],"&gt;0")</f>
        <v>0</v>
      </c>
      <c r="MN153" s="6">
        <f>COUNTIFS(Table102105[Country],Tabela1[[#This Row],[Country]],Table102105[Downhill Classification],"&gt;0")</f>
        <v>0</v>
      </c>
      <c r="MO153" s="6">
        <f>COUNTIFS(Table102[Country],Tabela1[[#This Row],[Country]],Table102[Giant Slalom Classification],"&gt;0")</f>
        <v>0</v>
      </c>
      <c r="MP153" s="6">
        <f>COUNTIFS(Table102105[Country],Tabela1[[#This Row],[Country]],Table102105[Giant Slalom Classification],"&gt;0")</f>
        <v>0</v>
      </c>
      <c r="MQ153" s="6">
        <f>COUNTIFS(Table102[Country],Tabela1[[#This Row],[Country]],Table102[Slalom Classification],"&gt;0")</f>
        <v>0</v>
      </c>
      <c r="MR153" s="6">
        <f>COUNTIFS(Table102105[Country],Tabela1[[#This Row],[Country]],Table102105[Slalom Classification],"&gt;0")</f>
        <v>0</v>
      </c>
      <c r="MS153" s="6">
        <f>COUNTIFS(Table102[Country],Tabela1[[#This Row],[Country]],Table102[Super-G Classification],"&gt;0")</f>
        <v>0</v>
      </c>
      <c r="MT153" s="6">
        <f>COUNTIFS(Table102105[Country],Tabela1[[#This Row],[Country]],Table102105[Super-G Classification],"&gt;0")</f>
        <v>0</v>
      </c>
      <c r="MU153" s="6">
        <f>COUNTIFS(Table105[Country],Tabela1[[#This Row],[Country]],Table105[Men''s Combined Classification],"&gt;0")</f>
        <v>0</v>
      </c>
      <c r="MV153" s="6">
        <f>COUNTIFS(Table105[Country],Tabela1[[#This Row],[Country]],Table105[Women''s Combined Classification],"&gt;0")</f>
        <v>0</v>
      </c>
      <c r="MW153" s="6">
        <f>COUNTIFS(Table106[Country],Tabela1[[#This Row],[Country]],Table106[Individual Classification],"&gt;0")</f>
        <v>0</v>
      </c>
      <c r="MX153" s="6">
        <f>COUNTIFS(Table106109[Country],Tabela1[[#This Row],[Country]],Table106109[Individual Classification],"&gt;0")</f>
        <v>0</v>
      </c>
      <c r="MY153" s="6">
        <f>COUNTIFS(Table106[Country],Tabela1[[#This Row],[Country]],Table106[Mass Start Classification],"&gt;0")</f>
        <v>0</v>
      </c>
      <c r="MZ153" s="6">
        <f>COUNTIFS(Table106109[Country],Tabela1[[#This Row],[Country]],Table106109[Mass Start Classification],"&gt;0")</f>
        <v>0</v>
      </c>
      <c r="NA153" s="6">
        <f>COUNTIFS(Table106[Country],Tabela1[[#This Row],[Country]],Table106[Pursuit Classification],"&gt;0")</f>
        <v>0</v>
      </c>
      <c r="NB153" s="6">
        <f>COUNTIFS(Table106109[Country],Tabela1[[#This Row],[Country]],Table106109[Pursuit Classification],"&gt;0")</f>
        <v>0</v>
      </c>
      <c r="NC153" s="6">
        <f>COUNTIFS(Table106[Country],Tabela1[[#This Row],[Country]],Table106[Sprint Classification],"&gt;0")</f>
        <v>0</v>
      </c>
      <c r="ND153" s="6">
        <f>COUNTIFS(Table106109[Country],Tabela1[[#This Row],[Country]],Table106109[Sprint Classification],"&gt;0")</f>
        <v>0</v>
      </c>
      <c r="NE153" s="6">
        <f>COUNTIFS(Table109[Country],Tabela1[[#This Row],[Country]],Table109[Men''s Relay Classification],"&gt;0")</f>
        <v>0</v>
      </c>
      <c r="NF153" s="6">
        <f>COUNTIFS(Table109[Country],Tabela1[[#This Row],[Country]],Table109[Women''s Relay Classification],"&gt;0")</f>
        <v>0</v>
      </c>
      <c r="NG153" s="6">
        <f>COUNTIFS(Table109[Country],Tabela1[[#This Row],[Country]],Table109[Mixed Relay Classification],"&gt;0")</f>
        <v>0</v>
      </c>
      <c r="NH153" s="6">
        <f>COUNTIFS(Table110[Country],Tabela1[[#This Row],[Country]],Table110[Monobob Classification],"&gt;0")</f>
        <v>0</v>
      </c>
      <c r="NI153" s="6">
        <f>COUNTIFS(Table111[Country],Tabela1[[#This Row],[Country]],Table111[Men''s Classification],"&gt;0")</f>
        <v>0</v>
      </c>
      <c r="NJ153" s="6">
        <f>COUNTIFS(Table111[Country],Tabela1[[#This Row],[Country]],Table111[Women''s Classification],"&gt;0")</f>
        <v>0</v>
      </c>
      <c r="NK153" s="6">
        <f>COUNTIFS(Table112[Country],Tabela1[[#This Row],[Country]],Table112[Men''s Four Classification],"&gt;0")</f>
        <v>0</v>
      </c>
      <c r="NL153" s="6">
        <f>COUNTIFS(Table113[Country],Tabela1[[#This Row],[Country]],Table113[Classical Classification],"&gt;0")</f>
        <v>0</v>
      </c>
      <c r="NM153" s="6">
        <f>COUNTIFS(Table113116[Country],Tabela1[[#This Row],[Country]],Table113116[Classical Classification],"&gt;0")</f>
        <v>0</v>
      </c>
      <c r="NN153" s="6">
        <f>COUNTIFS(Table113[Country],Tabela1[[#This Row],[Country]],Table113[Freestyle Classification],"&gt;0")</f>
        <v>0</v>
      </c>
      <c r="NO153" s="6">
        <f>COUNTIFS(Table113116[Country],Tabela1[[#This Row],[Country]],Table113116[Freestyle Classification],"&gt;0")</f>
        <v>0</v>
      </c>
      <c r="NP153" s="6">
        <f>COUNTIFS(Table117[Country],Tabela1[[#This Row],[Country]],Table117[Men''s Relay Classification],"&gt;0")</f>
        <v>0</v>
      </c>
      <c r="NQ153" s="6">
        <f>COUNTIFS(Table117[Country],Tabela1[[#This Row],[Country]],Table117[Women''s Relay Classification],"&gt;0")</f>
        <v>0</v>
      </c>
      <c r="NR153" s="6">
        <f>COUNTIFS(Table113[Country],Tabela1[[#This Row],[Country]],Table113[Skiathlon Classification],"&gt;0")</f>
        <v>0</v>
      </c>
      <c r="NS153" s="6">
        <f>COUNTIFS(Table113116[Country],Tabela1[[#This Row],[Country]],Table113116[Skiathlon Classification],"&gt;0")</f>
        <v>0</v>
      </c>
      <c r="NT153" s="6">
        <f>COUNTIFS(Table113[Country],Tabela1[[#This Row],[Country]],Table113[Sprint Classification],"&gt;0")</f>
        <v>0</v>
      </c>
      <c r="NU153" s="6">
        <f>COUNTIFS(Table113116[Country],Tabela1[[#This Row],[Country]],Table113116[Sprint Classification],"&gt;0")</f>
        <v>0</v>
      </c>
      <c r="NV153" s="6">
        <f>COUNTIFS(Table116[Country],Tabela1[[#This Row],[Country]],Table116[Men''s Team Sprint Classification],"&gt;0")</f>
        <v>0</v>
      </c>
      <c r="NW153" s="6">
        <f>COUNTIFS(Table116[Country],Tabela1[[#This Row],[Country]],Table116[Women''s Team Sprint Classification],"&gt;0")</f>
        <v>0</v>
      </c>
      <c r="NX153" s="6">
        <f>COUNTIFS(Table119[Country],Tabela1[[#This Row],[Country]],Table119[Men''s Classification],"&gt;0")</f>
        <v>0</v>
      </c>
      <c r="NY153" s="6">
        <f>COUNTIFS(Table119[Country],Tabela1[[#This Row],[Country]],Table119[Women''s Classification],"&gt;0")</f>
        <v>0</v>
      </c>
      <c r="NZ153" s="6">
        <f>COUNTIFS(Table118[Country],Tabela1[[#This Row],[Country]],Table118[Mixed Classification],"&gt;0")</f>
        <v>0</v>
      </c>
      <c r="OA153" s="6">
        <f>COUNTIFS(Table120[Country],Tabela1[[#This Row],[Country]],Table120[Classification],"&gt;0")</f>
        <v>0</v>
      </c>
      <c r="OB153" s="6">
        <f>COUNTIFS(Table120123[Country],Tabela1[[#This Row],[Country]],Table120123[Classification],"&gt;0")</f>
        <v>0</v>
      </c>
      <c r="OC153" s="6">
        <f>COUNTIFS(Table123[Country],Tabela1[[#This Row],[Country]],Table123[Ice Dance Classification],"&gt;0")</f>
        <v>0</v>
      </c>
      <c r="OD153" s="6">
        <f>COUNTIFS(Table123[Country],Tabela1[[#This Row],[Country]],Table123[Pair Skating Classification],"&gt;0")</f>
        <v>0</v>
      </c>
      <c r="OE153" s="6">
        <f>COUNTIFS(Table124[Country],Tabela1[[#This Row],[Country]],Table124[Mixed Classification],"&gt;0")</f>
        <v>0</v>
      </c>
      <c r="OF153" s="6">
        <f>COUNTIFS(Table125[Country],Tabela1[[#This Row],[Country]],Table125[Aerials Classification],"&gt;0")</f>
        <v>0</v>
      </c>
      <c r="OG153" s="6">
        <f>COUNTIFS(Table125128[Country],Tabela1[[#This Row],[Country]],Table125128[Aerials Classification],"&gt;0")</f>
        <v>0</v>
      </c>
      <c r="OH153" s="6">
        <f>COUNTIFS(Table128[Country],Tabela1[[#This Row],[Country]],Table128[Mixed Aerials Classification],"&gt;0")</f>
        <v>0</v>
      </c>
      <c r="OI153" s="6">
        <f>COUNTIFS(Table125[Country],Tabela1[[#This Row],[Country]],Table125[Big Air Classification],"&gt;0")</f>
        <v>0</v>
      </c>
      <c r="OJ153" s="6">
        <f>COUNTIFS(Table125128[Country],Tabela1[[#This Row],[Country]],Table125128[Big Air Classification],"&gt;0")</f>
        <v>0</v>
      </c>
      <c r="OK153" s="6">
        <f>COUNTIFS(Table125[Country],Tabela1[[#This Row],[Country]],Table125[Dual Moguls Classification],"&gt;0")</f>
        <v>0</v>
      </c>
      <c r="OL153" s="6">
        <f>COUNTIFS(Table125128[Country],Tabela1[[#This Row],[Country]],Table125128[Dual Moguls Classification],"&gt;0")</f>
        <v>0</v>
      </c>
      <c r="OM153" s="6">
        <f>COUNTIFS(Table125[Country],Tabela1[[#This Row],[Country]],Table125[Halfpipe Classification],"&gt;0")</f>
        <v>0</v>
      </c>
      <c r="ON153" s="6">
        <f>COUNTIFS(Table125128[Country],Tabela1[[#This Row],[Country]],Table125128[Halfpipe Classification],"&gt;0")</f>
        <v>0</v>
      </c>
      <c r="OO153" s="6">
        <f>COUNTIFS(Table125[Country],Tabela1[[#This Row],[Country]],Table125[Moguls Classification],"&gt;0")</f>
        <v>0</v>
      </c>
      <c r="OP153" s="6">
        <f>COUNTIFS(Table125128[Country],Tabela1[[#This Row],[Country]],Table125128[Moguls Classification],"&gt;0")</f>
        <v>0</v>
      </c>
      <c r="OQ153" s="6">
        <f>COUNTIFS(Table125[Country],Tabela1[[#This Row],[Country]],Table125[Ski Cross Classification],"&gt;0")</f>
        <v>0</v>
      </c>
      <c r="OR153" s="6">
        <f>COUNTIFS(Table125128[Country],Tabela1[[#This Row],[Country]],Table125128[Ski Cross Classification],"&gt;0")</f>
        <v>0</v>
      </c>
      <c r="OS153" s="6">
        <f>COUNTIFS(Table125[Country],Tabela1[[#This Row],[Country]],Table125[Slopestyle Classification],"&gt;0")</f>
        <v>0</v>
      </c>
      <c r="OT153" s="6">
        <f>COUNTIFS(Table125128[Country],Tabela1[[#This Row],[Country]],Table125128[Slopestyle Classification],"&gt;0")</f>
        <v>0</v>
      </c>
      <c r="OU153" s="6">
        <f>COUNTIFS(Table119131[Country],Tabela1[[#This Row],[Country]],Table119131[Men''s Classification],"&gt;0")</f>
        <v>0</v>
      </c>
      <c r="OV153" s="6">
        <f>COUNTIFS(Table119131[Country],Tabela1[[#This Row],[Country]],Table119131[Women''s Classification],"&gt;0")</f>
        <v>0</v>
      </c>
      <c r="OW153" s="6">
        <f>COUNTIFS(Table131[Country],Tabela1[[#This Row],[Country]],Table131[Classification],"&gt;0")</f>
        <v>0</v>
      </c>
      <c r="OX153" s="6">
        <f>COUNTIFS(Table131134[Country],Tabela1[[#This Row],[Country]],Table131134[Classification],"&gt;0")</f>
        <v>0</v>
      </c>
      <c r="OY153" s="6">
        <f>COUNTIFS(Table134[Country],Tabela1[[#This Row],[Country]],Table134[Men''s Classification],"&gt;0")</f>
        <v>0</v>
      </c>
      <c r="OZ153" s="6">
        <f>COUNTIFS(Table134[Country],Tabela1[[#This Row],[Country]],Table134[Women''s Classification],"&gt;0")</f>
        <v>0</v>
      </c>
      <c r="PA153" s="6">
        <f>COUNTIFS(Table135[Country],Tabela1[[#This Row],[Country]],Table135[Mixed Relay Classification],"&gt;0")</f>
        <v>0</v>
      </c>
      <c r="PB153" s="6">
        <f>COUNTIFS(Table136[Country],Tabela1[[#This Row],[Country]],Table136[Individual Classification],"&gt;0")</f>
        <v>0</v>
      </c>
      <c r="PC153" s="6">
        <f>COUNTIFS(Table136[Country],Tabela1[[#This Row],[Country]],Table136[Sprint Classification],"&gt;0")</f>
        <v>0</v>
      </c>
      <c r="PD153" s="6">
        <f>COUNTIFS(Table137[Country],Tabela1[[#This Row],[Country]],Table137[Men''s Team Sprint Large Hill Classification],"&gt;0")</f>
        <v>0</v>
      </c>
      <c r="PE153" s="6">
        <f>COUNTIFS(Table138[Country],Tabela1[[#This Row],[Country]],Table138[500m Classification],"&gt;0")</f>
        <v>0</v>
      </c>
      <c r="PF153" s="6">
        <f>COUNTIFS(Table138141[Country],Tabela1[[#This Row],[Country]],Table138141[500m Classification],"&gt;0")</f>
        <v>0</v>
      </c>
      <c r="PG153" s="6">
        <f>COUNTIFS(Table138[Country],Tabela1[[#This Row],[Country]],Table138[1000m Classification],"&gt;0")</f>
        <v>0</v>
      </c>
      <c r="PH153" s="6">
        <f>COUNTIFS(Table138141[Country],Tabela1[[#This Row],[Country]],Table138141[1000m Classification],"&gt;0")</f>
        <v>0</v>
      </c>
      <c r="PI153" s="6">
        <f>COUNTIFS(Table138[Country],Tabela1[[#This Row],[Country]],Table138[1500m Classification],"&gt;0")</f>
        <v>0</v>
      </c>
      <c r="PJ153" s="6">
        <f>COUNTIFS(Table138141[Country],Tabela1[[#This Row],[Country]],Table138141[1500m Classification],"&gt;0")</f>
        <v>0</v>
      </c>
      <c r="PK153" s="6">
        <f>COUNTIFS(Table141[Country],Tabela1[[#This Row],[Country]],Table141[Men''s 5000m Relay Classification],"&gt;0")</f>
        <v>0</v>
      </c>
      <c r="PL153" s="6">
        <f>COUNTIFS(Table141[Country],Tabela1[[#This Row],[Country]],Table141[Women''s 3000m Relay Classification],"&gt;0")</f>
        <v>0</v>
      </c>
      <c r="PM153" s="6">
        <f>COUNTIFS(Table141[Country],Tabela1[[#This Row],[Country]],Table141[Mixed 2000m Relay Classification],"&gt;0")</f>
        <v>0</v>
      </c>
      <c r="PN153" s="6">
        <f>COUNTIFS(Table142[Country],Tabela1[[#This Row],[Country]],Table142[Classification],"&gt;0")</f>
        <v>0</v>
      </c>
      <c r="PO153" s="6">
        <f>COUNTIFS(Table142145[Country],Tabela1[[#This Row],[Country]],Table142145[Classification],"&gt;0")</f>
        <v>0</v>
      </c>
      <c r="PP153" s="6">
        <f>COUNTIFS(Tabela15[Country],Tabela1[[#This Row],[Country]],Tabela15[Mixed Team Classification],"&gt;0")</f>
        <v>0</v>
      </c>
      <c r="PQ153" s="6">
        <f>COUNTIFS(Table145[Country],Tabela1[[#This Row],[Country]],Table145[Large Hill Classification],"&gt;0")</f>
        <v>0</v>
      </c>
      <c r="PR153" s="6">
        <f>COUNTIFS(Table145[Country],Tabela1[[#This Row],[Country]],Table145[Normal Hill Classification],"&gt;0")</f>
        <v>0</v>
      </c>
      <c r="PS153" s="6">
        <f>COUNTIFS(Table145148[Country],Tabela1[[#This Row],[Country]],Table145148[Large Hill Classification],"&gt;0")</f>
        <v>0</v>
      </c>
      <c r="PT153" s="6">
        <f>COUNTIFS(Table145148[Country],Tabela1[[#This Row],[Country]],Table145148[Normal Hill Classification],"&gt;0")</f>
        <v>0</v>
      </c>
      <c r="PU153" s="6">
        <f>COUNTIFS(Table148[Country],Tabela1[[#This Row],[Country]],Table148[Men''s Super Team Classification],"&gt;0")</f>
        <v>0</v>
      </c>
      <c r="PV153" s="6">
        <f>COUNTIFS(Tabela114[Country],Tabela1[[#This Row],[Country]],Tabela114[Mixed Normal Hill Classification],"&gt;0")</f>
        <v>0</v>
      </c>
      <c r="PW153" s="6">
        <f>COUNTIFS(Tabela50[Country],Tabela1[[#This Row],[Country]],Tabela50[Sprint Classification],"&gt;0")</f>
        <v>0</v>
      </c>
      <c r="PX153" s="6">
        <f>COUNTIFS(Tabela50101[Country],Tabela1[[#This Row],[Country]],Tabela50101[Sprint Classification],"&gt;0")</f>
        <v>0</v>
      </c>
      <c r="PY153" s="6">
        <f>COUNTIFS(Tabela103[Country],Tabela1[[#This Row],[Country]],Tabela103[Mixed Relay Classification],"&gt;0")</f>
        <v>0</v>
      </c>
      <c r="PZ153" s="6">
        <f>COUNTIFS(Table149[Country],Tabela1[[#This Row],[Country]],Table149[Big Air Classification],"&gt;0")</f>
        <v>0</v>
      </c>
      <c r="QA153" s="6">
        <f>COUNTIFS(Table149152[Country],Tabela1[[#This Row],[Country]],Table149152[Big Air Classification],"&gt;0")</f>
        <v>0</v>
      </c>
      <c r="QB153" s="6">
        <f>COUNTIFS(Table149[Country],Tabela1[[#This Row],[Country]],Table149[Halfpipe Classification],"&gt;0")</f>
        <v>0</v>
      </c>
      <c r="QC153" s="6">
        <f>COUNTIFS(Table149152[Country],Tabela1[[#This Row],[Country]],Table149152[Halfpipe Classification],"&gt;0")</f>
        <v>0</v>
      </c>
      <c r="QD153" s="6">
        <f>COUNTIFS(Table149[Country],Tabela1[[#This Row],[Country]],Table149[Parallel Giant Slalom Classification],"&gt;0")</f>
        <v>0</v>
      </c>
      <c r="QE153" s="6">
        <f>COUNTIFS(Table149152[Country],Tabela1[[#This Row],[Country]],Table149152[Parallel Giant Slalom Classification],"&gt;0")</f>
        <v>0</v>
      </c>
      <c r="QF153" s="6">
        <f>COUNTIFS(Table149[Country],Tabela1[[#This Row],[Country]],Table149[Slopestyle Classification],"&gt;0")</f>
        <v>0</v>
      </c>
      <c r="QG153" s="6">
        <f>COUNTIFS(Table149152[Country],Tabela1[[#This Row],[Country]],Table149152[Slopestyle Classification],"&gt;0")</f>
        <v>0</v>
      </c>
      <c r="QH153" s="6">
        <f>COUNTIFS(Table149[Country],Tabela1[[#This Row],[Country]],Table149[Snowboard Cross Classification],"&gt;0")</f>
        <v>0</v>
      </c>
      <c r="QI153" s="6">
        <f>COUNTIFS(Table149152[Country],Tabela1[[#This Row],[Country]],Table149152[Snowboard Cross Classification],"&gt;0")</f>
        <v>0</v>
      </c>
      <c r="QJ153" s="6">
        <f>COUNTIFS(Table153[Country],Tabela1[[#This Row],[Country]],Table153[Mixed Team Snowboard Cross Classification],"&gt;0")</f>
        <v>0</v>
      </c>
      <c r="QK153" s="6">
        <f>COUNTIFS(Table154[Country],Tabela1[[#This Row],[Country]],Table154[500m Classification],"&gt;0")</f>
        <v>0</v>
      </c>
      <c r="QL153" s="6">
        <f>COUNTIFS(Table154157[Country],Tabela1[[#This Row],[Country]],Table154157[500m Classification],"&gt;0")</f>
        <v>0</v>
      </c>
      <c r="QM153" s="6">
        <f>COUNTIFS(Table154[Country],Tabela1[[#This Row],[Country]],Table154[1000m Classification],"&gt;0")</f>
        <v>0</v>
      </c>
      <c r="QN153" s="6">
        <f>COUNTIFS(Table154157[Country],Tabela1[[#This Row],[Country]],Table154157[1000m Classification],"&gt;0")</f>
        <v>0</v>
      </c>
      <c r="QO153" s="6">
        <f>COUNTIFS(Table154[Country],Tabela1[[#This Row],[Country]],Table154[1500m Classification],"&gt;0")</f>
        <v>0</v>
      </c>
      <c r="QP153" s="6">
        <f>COUNTIFS(Table154157[Country],Tabela1[[#This Row],[Country]],Table154157[1500m Classification],"&gt;0")</f>
        <v>0</v>
      </c>
      <c r="QQ153" s="6">
        <f>COUNTIFS(Table154157[Country],Tabela1[[#This Row],[Country]],Table154157[3000m Classification],"&gt;0")</f>
        <v>0</v>
      </c>
      <c r="QR153" s="6">
        <f>COUNTIFS(Table154[Country],Tabela1[[#This Row],[Country]],Table154[5000m Classification],"&gt;0")</f>
        <v>0</v>
      </c>
      <c r="QS153" s="6">
        <f>COUNTIFS(Table154157[Country],Tabela1[[#This Row],[Country]],Table154157[5000m Classification],"&gt;0")</f>
        <v>0</v>
      </c>
      <c r="QT153" s="6">
        <f>COUNTIFS(Table154[Country],Tabela1[[#This Row],[Country]],Table154[10000m Classification],"&gt;0")</f>
        <v>0</v>
      </c>
      <c r="QU153" s="6">
        <f>COUNTIFS(Table154[Country],Tabela1[[#This Row],[Country]],Table154[Mass Start Classification],"&gt;0")</f>
        <v>0</v>
      </c>
      <c r="QV153" s="6">
        <f>COUNTIFS(Table154157[Country],Tabela1[[#This Row],[Country]],Table154157[Mass Start Classification],"&gt;0")</f>
        <v>0</v>
      </c>
      <c r="QW153" s="6">
        <f>COUNTIFS(Table157[Country],Tabela1[[#This Row],[Country]],Table157[Men''s Pursuit Classification],"&gt;0")</f>
        <v>0</v>
      </c>
      <c r="QX153" s="6">
        <f>COUNTIFS(Table157[Country],Tabela1[[#This Row],[Country]],Table157[Women''s Pursuit Classification],"&gt;0")</f>
        <v>0</v>
      </c>
      <c r="QY153" s="4" t="s">
        <v>463</v>
      </c>
    </row>
    <row r="154" spans="1:467" x14ac:dyDescent="0.3">
      <c r="A154" s="6">
        <v>153</v>
      </c>
      <c r="B154" s="6" t="s">
        <v>592</v>
      </c>
      <c r="C154" t="e" vm="153">
        <f>IF(ISBLANK(Tabela1[[#This Row],[Image Link]]), "", _xlfn.IMAGE(Tabela1[[#This Row],[Image Link]],1,1))</f>
        <v>#VALUE!</v>
      </c>
      <c r="D154" s="6">
        <f>SUM(Tabela1[[#This Row],[Archery - Men''s Individual Recurve]:[Speed Skating - Women''s Team Pursuit]])</f>
        <v>0</v>
      </c>
      <c r="E154" s="6">
        <f>COUNTIF(Tabela1[[#This Row],[Archery - Men''s Individual Recurve]:[Speed Skating - Women''s Team Pursuit]],"&gt;0")</f>
        <v>0</v>
      </c>
      <c r="F154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54" s="6">
        <f>SUM(Tabela1[[#This Row],[Archery - Men''s Individual Recurve]:[Wrestling - Women''s Freestyle 76kg]])</f>
        <v>0</v>
      </c>
      <c r="H154" s="6">
        <f>SUM(Tabela1[[#This Row],[Alpine Skiing - Men''s Downhill]:[Speed Skating - Women''s Team Pursuit]])</f>
        <v>0</v>
      </c>
      <c r="I154" s="6">
        <f>Tabela1[[#This Row],[Summer Gold Medals]]+Tabela1[[#This Row],[Winter Gold Medals]]</f>
        <v>2</v>
      </c>
      <c r="J154" s="6">
        <f>Tabela1[[#This Row],[Summer Silver Medals]]+Tabela1[[#This Row],[Winter Silver Medals]]</f>
        <v>0</v>
      </c>
      <c r="K154" s="6">
        <f>Tabela1[[#This Row],[Summer Bronze Medals]]+Tabela1[[#This Row],[Winter Bronze Medals]]</f>
        <v>2</v>
      </c>
      <c r="L154" s="6">
        <f>SUM(Tabela1[[#This Row],[Total Gold Medals]:[Total Bronze Medals]])</f>
        <v>4</v>
      </c>
      <c r="M154" s="6">
        <v>2</v>
      </c>
      <c r="N154" s="6"/>
      <c r="O154" s="6">
        <v>2</v>
      </c>
      <c r="P154" s="6">
        <f>SUM(Tabela1[[#This Row],[Summer Gold Medals]:[Summer Bronze Medals]])</f>
        <v>4</v>
      </c>
      <c r="Q154" s="6"/>
      <c r="R154" s="6"/>
      <c r="S154" s="6"/>
      <c r="T154" s="6">
        <f>Tabela1[[#This Row],[Winter Gold Medals]]+Tabela1[[#This Row],[Winter Silver Medals]]+Tabela1[[#This Row],[Winter Bronze Medals]]</f>
        <v>0</v>
      </c>
      <c r="U154" s="7" t="e">
        <f>Tabela1[[#This Row],[Total Medals]]/Tabela1[[#This Row],[Total Quotas]]</f>
        <v>#DIV/0!</v>
      </c>
      <c r="V154" s="6">
        <f>COUNTIFS(Table3[Country],Tabela1[[#This Row],[Country]],Table3[Recurve Classification],"&gt;0")</f>
        <v>0</v>
      </c>
      <c r="W154" s="6">
        <f>COUNTIFS(Table33[Country],Tabela1[[#This Row],[Country]],Table33[Recurve Classification],"&gt;0")</f>
        <v>0</v>
      </c>
      <c r="X154" s="6">
        <f>COUNTIFS(Table35[Country],Tabela1[[#This Row],[Country]],Table35[Men''s Team Recurve Classification],"&gt;0")</f>
        <v>0</v>
      </c>
      <c r="Y154" s="6">
        <f>COUNTIFS(Table35[Country],Tabela1[[#This Row],[Country]],Table35[Women''s Team Recurve Classification],"&gt;0")</f>
        <v>0</v>
      </c>
      <c r="Z154" s="6">
        <f>COUNTIFS(Tabela88[Country],Tabela1[[#This Row],[Country]],Tabela88[Mixed Team Recurve Classification],"&gt;0")</f>
        <v>0</v>
      </c>
      <c r="AA154" s="6">
        <f>COUNTIFS(Table36[Country],Tabela1[[#This Row],[Country]],Table36[Classification],"&gt;0")</f>
        <v>0</v>
      </c>
      <c r="AB154" s="6">
        <f>COUNTIFS(Table37[Country],Tabela1[[#This Row],[Country]],Table37[Classification],"&gt;0")</f>
        <v>0</v>
      </c>
      <c r="AC154" s="6">
        <f>COUNTIFS(Table4[Country],Tabela1[[#This Row],[Country]],Table4[100m Classification],"&gt;0")</f>
        <v>0</v>
      </c>
      <c r="AD154" s="6">
        <f>COUNTIFS(Table5[Country],Tabela1[[#This Row],[Country]],Table5[100m Classification],"&gt;0")</f>
        <v>0</v>
      </c>
      <c r="AE154" s="6">
        <f>COUNTIFS(Table4[Country],Tabela1[[#This Row],[Country]],Table4[200m Classification],"&gt;0")</f>
        <v>0</v>
      </c>
      <c r="AF154" s="6">
        <f>COUNTIFS(Table5[Country],Tabela1[[#This Row],[Country]],Table5[200m Classification],"&gt;0")</f>
        <v>0</v>
      </c>
      <c r="AG154" s="6">
        <f>COUNTIFS(Table4[Country],Tabela1[[#This Row],[Country]],Table4[400m Classification],"&gt;0")</f>
        <v>0</v>
      </c>
      <c r="AH154" s="6">
        <f>COUNTIFS(Table5[Country],Tabela1[[#This Row],[Country]],Table5[400m Classification],"&gt;0")</f>
        <v>0</v>
      </c>
      <c r="AI154" s="6">
        <f>COUNTIFS(Table4[Country],Tabela1[[#This Row],[Country]],Table4[800m Classification],"&gt;0")</f>
        <v>0</v>
      </c>
      <c r="AJ154" s="6">
        <f>COUNTIFS(Table5[Country],Tabela1[[#This Row],[Country]],Table5[800m Classification],"&gt;0")</f>
        <v>0</v>
      </c>
      <c r="AK154" s="6">
        <f>COUNTIFS(Table4[Country],Tabela1[[#This Row],[Country]],Table4[1500m Classification],"&gt;0")</f>
        <v>0</v>
      </c>
      <c r="AL154" s="6">
        <f>COUNTIFS(Table5[Country],Tabela1[[#This Row],[Country]],Table5[1500m Classification],"&gt;0")</f>
        <v>0</v>
      </c>
      <c r="AM154" s="6">
        <f>COUNTIFS(Table4[Country],Tabela1[[#This Row],[Country]],Table4[5000m Classification],"&gt;0")</f>
        <v>0</v>
      </c>
      <c r="AN154" s="6">
        <f>COUNTIFS(Table5[Country],Tabela1[[#This Row],[Country]],Table5[5000m Classification],"&gt;0")</f>
        <v>0</v>
      </c>
      <c r="AO154" s="6">
        <f>COUNTIFS(Table4[Country],Tabela1[[#This Row],[Country]],Table4[10000m Classification],"&gt;0")</f>
        <v>0</v>
      </c>
      <c r="AP154" s="6">
        <f>COUNTIFS(Table5[Country],Tabela1[[#This Row],[Country]],Table5[10000m Classification],"&gt;0")</f>
        <v>0</v>
      </c>
      <c r="AQ154" s="6">
        <f>COUNTIFS(Table4[Country],Tabela1[[#This Row],[Country]],Table4[110m Hurdles Classification],"&gt;0")</f>
        <v>0</v>
      </c>
      <c r="AR154" s="6">
        <f>COUNTIFS(Table5[Country],Tabela1[[#This Row],[Country]],Table5[100m Hurdles Classification],"&gt;0")</f>
        <v>0</v>
      </c>
      <c r="AS154" s="6">
        <f>COUNTIFS(Table4[Country],Tabela1[[#This Row],[Country]],Table4[400m Hurdles Classification],"&gt;0")</f>
        <v>0</v>
      </c>
      <c r="AT154" s="6">
        <f>COUNTIFS(Table5[Country],Tabela1[[#This Row],[Country]],Table5[400m Hurdles Classification],"&gt;0")</f>
        <v>0</v>
      </c>
      <c r="AU154" s="6">
        <f>COUNTIFS(Table4[Country],Tabela1[[#This Row],[Country]],Table4[3000m Steeplechase Classification],"&gt;0")</f>
        <v>0</v>
      </c>
      <c r="AV154" s="6">
        <f>COUNTIFS(Table5[Country],Tabela1[[#This Row],[Country]],Table5[3000m Steeplechase Classification],"&gt;0")</f>
        <v>0</v>
      </c>
      <c r="AW154" s="6">
        <f>COUNTIFS(Table27[Country],Tabela1[[#This Row],[Country]],Table27[Men''s 4x100m Relay Classification],"&gt;0")</f>
        <v>0</v>
      </c>
      <c r="AX154" s="6">
        <f>COUNTIFS(Table27[Country],Tabela1[[#This Row],[Country]],Table27[Women''s 4x100m Relay Classification],"&gt;0")</f>
        <v>0</v>
      </c>
      <c r="AY154" s="6">
        <f>COUNTIFS(Table27[Country],Tabela1[[#This Row],[Country]],Table27[Men''s 4x400m Relay Classification],"&gt;0")</f>
        <v>0</v>
      </c>
      <c r="AZ154" s="6">
        <f>COUNTIFS(Table27[Country],Tabela1[[#This Row],[Country]],Table27[Women''s 4x400m Relay Classification],"&gt;0")</f>
        <v>0</v>
      </c>
      <c r="BA154" s="6">
        <f>COUNTIFS(Table27[Country],Tabela1[[#This Row],[Country]],Table27[Mixed 4x400m Relay Classification],"&gt;0")</f>
        <v>0</v>
      </c>
      <c r="BB154" s="6">
        <f>COUNTIFS(Table4[Country],Tabela1[[#This Row],[Country]],Table4[Marathon Classification],"&gt;0")</f>
        <v>0</v>
      </c>
      <c r="BC154" s="6">
        <f>COUNTIFS(Table5[Country],Tabela1[[#This Row],[Country]],Table5[Marathon Classification],"&gt;0")</f>
        <v>0</v>
      </c>
      <c r="BD154" s="6">
        <f>COUNTIFS(Table4[Country],Tabela1[[#This Row],[Country]],Table4[20km Race Walk Classification],"&gt;0")</f>
        <v>0</v>
      </c>
      <c r="BE154" s="6">
        <f>COUNTIFS(Table5[Country],Tabela1[[#This Row],[Country]],Table5[20km Race Walk Classification],"&gt;0")</f>
        <v>0</v>
      </c>
      <c r="BF154" s="6">
        <f>COUNTIFS(Tabela96[Country],Tabela1[[#This Row],[Country]],Tabela96[Mixed Marathon Race Walk Relay Classification],"&gt;0")</f>
        <v>0</v>
      </c>
      <c r="BG154" s="6">
        <f>COUNTIFS(Table4[Country],Tabela1[[#This Row],[Country]],Table4[Discus Throw Classification],"&gt;0")</f>
        <v>0</v>
      </c>
      <c r="BH154" s="6">
        <f>COUNTIFS(Table5[Country],Tabela1[[#This Row],[Country]],Table5[Discus Throw Classification],"&gt;0")</f>
        <v>0</v>
      </c>
      <c r="BI154" s="6">
        <f>COUNTIFS(Table4[Country],Tabela1[[#This Row],[Country]],Table4[Hammer Throw Classification],"&gt;0")</f>
        <v>0</v>
      </c>
      <c r="BJ154" s="6">
        <f>COUNTIFS(Table5[Country],Tabela1[[#This Row],[Country]],Table5[Hammer Throw Classification],"&gt;0")</f>
        <v>0</v>
      </c>
      <c r="BK154" s="6">
        <f>COUNTIFS(Table4[Country],Tabela1[[#This Row],[Country]],Table4[High Jump Classification],"&gt;0")</f>
        <v>0</v>
      </c>
      <c r="BL154" s="6">
        <f>COUNTIFS(Table5[Country],Tabela1[[#This Row],[Country]],Table5[High Jump Classification],"&gt;0")</f>
        <v>0</v>
      </c>
      <c r="BM154" s="6">
        <f>COUNTIFS(Table4[Country],Tabela1[[#This Row],[Country]],Table4[Javelin Throw Classification],"&gt;0")</f>
        <v>0</v>
      </c>
      <c r="BN154" s="6">
        <f>COUNTIFS(Table5[Country],Tabela1[[#This Row],[Country]],Table5[Javelin Throw Classification],"&gt;0")</f>
        <v>0</v>
      </c>
      <c r="BO154" s="6">
        <f>COUNTIFS(Table4[Country],Tabela1[[#This Row],[Country]],Table4[Long Jump Classification],"&gt;0")</f>
        <v>0</v>
      </c>
      <c r="BP154" s="6">
        <f>COUNTIFS(Table5[Country],Tabela1[[#This Row],[Country]],Table5[Long Jump Classification],"&gt;0")</f>
        <v>0</v>
      </c>
      <c r="BQ154" s="6">
        <f>COUNTIFS(Table4[Country],Tabela1[[#This Row],[Country]],Table4[Pole Vault Classification],"&gt;0")</f>
        <v>0</v>
      </c>
      <c r="BR154" s="6">
        <f>COUNTIFS(Table5[Country],Tabela1[[#This Row],[Country]],Table5[Pole Vault Classification],"&gt;0")</f>
        <v>0</v>
      </c>
      <c r="BS154" s="6">
        <f>COUNTIFS(Table4[Country],Tabela1[[#This Row],[Country]],Table4[Shot Put Classification],"&gt;0")</f>
        <v>0</v>
      </c>
      <c r="BT154" s="6">
        <f>COUNTIFS(Table5[Country],Tabela1[[#This Row],[Country]],Table5[Shot Put Classification],"&gt;0")</f>
        <v>0</v>
      </c>
      <c r="BU154" s="6">
        <f>COUNTIFS(Table4[Country],Tabela1[[#This Row],[Country]],Table4[Triple Jump Classification],"&gt;0")</f>
        <v>0</v>
      </c>
      <c r="BV154" s="6">
        <f>COUNTIFS(Table5[Country],Tabela1[[#This Row],[Country]],Table5[Triple Jump Classification],"&gt;0")</f>
        <v>0</v>
      </c>
      <c r="BW154" s="6">
        <f>COUNTIFS(Table4[Country],Tabela1[[#This Row],[Country]],Table4[Decathlon Classification],"&gt;0")</f>
        <v>0</v>
      </c>
      <c r="BX154" s="6">
        <f>COUNTIFS(Table5[Country],Tabela1[[#This Row],[Country]],Table5[Heptathlon Classification],"&gt;0")</f>
        <v>0</v>
      </c>
      <c r="BY154" s="6">
        <f>COUNTIFS(Table61[Country],Tabela1[[#This Row],[Country]],Table61[Classification],"&gt;0")</f>
        <v>0</v>
      </c>
      <c r="BZ154" s="6">
        <f>COUNTIFS(Table38[Country],Tabela1[[#This Row],[Country]],Table38[Classification],"&gt;0")</f>
        <v>0</v>
      </c>
      <c r="CA154" s="6">
        <f>COUNTIFS(Table39[Country],Tabela1[[#This Row],[Country]],Table39[Men''s Classification],"&gt;0")</f>
        <v>0</v>
      </c>
      <c r="CB154" s="6">
        <f>COUNTIFS(Table39[Country],Tabela1[[#This Row],[Country]],Table39[Women''s Classification],"&gt;0")</f>
        <v>0</v>
      </c>
      <c r="CC154" s="6">
        <f>COUNTIFS(Table39[Country],Tabela1[[#This Row],[Country]],Table39[Mixed Classification],"&gt;0")</f>
        <v>0</v>
      </c>
      <c r="CD154" s="6">
        <f>COUNTIFS(Table89[Country],Tabela1[[#This Row],[Country]],Table89[Men''s Classification],"&gt;0")</f>
        <v>0</v>
      </c>
      <c r="CE154" s="6">
        <f>COUNTIFS(Table89[Country],Tabela1[[#This Row],[Country]],Table89[Women''s Classification],"&gt;0")</f>
        <v>0</v>
      </c>
      <c r="CF154" s="6">
        <f>COUNTIFS(Table90[Country],Tabela1[[#This Row],[Country]],Table90[Men''s Classification],"&gt;0")</f>
        <v>0</v>
      </c>
      <c r="CG154" s="6">
        <f>COUNTIFS(Table90[Country],Tabela1[[#This Row],[Country]],Table90[Women''s Classification],"&gt;0")</f>
        <v>0</v>
      </c>
      <c r="CH154" s="6">
        <f>COUNTIFS(Table60[Country],Tabela1[[#This Row],[Country]],Table60[Men''s Classification],"&gt;0")</f>
        <v>0</v>
      </c>
      <c r="CI154" s="6">
        <f>COUNTIFS(Table60[Country],Tabela1[[#This Row],[Country]],Table60[Women''s Classification],"&gt;0")</f>
        <v>0</v>
      </c>
      <c r="CJ154" s="6">
        <f>COUNTIFS(Table6[Country],Tabela1[[#This Row],[Country]],Table6[51kg Classification],"&gt;0")</f>
        <v>0</v>
      </c>
      <c r="CK154" s="6">
        <f>COUNTIFS(Table6[Country],Tabela1[[#This Row],[Country]],Table6[57kg Classification],"&gt;0")</f>
        <v>0</v>
      </c>
      <c r="CL154" s="6">
        <f>COUNTIFS(Table6[Country],Tabela1[[#This Row],[Country]],Table6[63.5kg Classification],"&gt;0")</f>
        <v>0</v>
      </c>
      <c r="CM154" s="6">
        <f>COUNTIFS(Table6[Country],Tabela1[[#This Row],[Country]],Table6[71kg Classification],"&gt;0")</f>
        <v>0</v>
      </c>
      <c r="CN154" s="6">
        <f>COUNTIFS(Table6[Country],Tabela1[[#This Row],[Country]],Table6[80kg Classification],"&gt;0")</f>
        <v>0</v>
      </c>
      <c r="CO154" s="6">
        <f>COUNTIFS(Table6[Country],Tabela1[[#This Row],[Country]],Table6[92kg Classification],"&gt;0")</f>
        <v>0</v>
      </c>
      <c r="CP154" s="6">
        <f>COUNTIFS(Table6[Country],Tabela1[[#This Row],[Country]],Table6[Plus 92kg Classification],"&gt;0")</f>
        <v>0</v>
      </c>
      <c r="CQ154" s="6">
        <f>COUNTIFS(Table7[Country],Tabela1[[#This Row],[Country]],Table7[50kg Classification],"&gt;0")</f>
        <v>0</v>
      </c>
      <c r="CR154" s="6">
        <f>COUNTIFS(Table7[Country],Tabela1[[#This Row],[Country]],Table7[54kg Classification],"&gt;0")</f>
        <v>0</v>
      </c>
      <c r="CS154" s="6">
        <f>COUNTIFS(Table7[Country],Tabela1[[#This Row],[Country]],Table7[57kg Classification],"&gt;0")</f>
        <v>0</v>
      </c>
      <c r="CT154" s="6">
        <f>COUNTIFS(Table7[Country],Tabela1[[#This Row],[Country]],Table7[60kg Classification],"&gt;0")</f>
        <v>0</v>
      </c>
      <c r="CU154" s="6">
        <f>COUNTIFS(Table7[Country],Tabela1[[#This Row],[Country]],Table7[66kg Classification],"&gt;0")</f>
        <v>0</v>
      </c>
      <c r="CV154" s="6">
        <f>COUNTIFS(Table7[Country],Tabela1[[#This Row],[Country]],Table7[75kg Classification],"&gt;0")</f>
        <v>0</v>
      </c>
      <c r="CW154" s="6">
        <f>COUNTIFS(Tabela94[Country],Tabela1[[#This Row],[Country]],Tabela94[Classification],"&gt;0")</f>
        <v>0</v>
      </c>
      <c r="CX154" s="6">
        <f>COUNTIFS(Tabela9499[Country],Tabela1[[#This Row],[Country]],Tabela9499[Classification],"&gt;0")</f>
        <v>0</v>
      </c>
      <c r="CY154" s="6">
        <f>COUNTIFS(Tabela107[Country],Tabela1[[#This Row],[Country]],Tabela107[C1 Slalom Classification],"&gt;0")</f>
        <v>0</v>
      </c>
      <c r="CZ154" s="6">
        <f>COUNTIFS(Tabela107122[Country],Tabela1[[#This Row],[Country]],Tabela107122[C1 Slalom Classification],"&gt;0")</f>
        <v>0</v>
      </c>
      <c r="DA154" s="6">
        <f>COUNTIFS(Tabela107[Country],Tabela1[[#This Row],[Country]],Tabela107[K1 Slalom Classification],"&gt;0")</f>
        <v>0</v>
      </c>
      <c r="DB154" s="6">
        <f>COUNTIFS(Tabela107122[Country],Tabela1[[#This Row],[Country]],Tabela107122[K1 Slalom Classification],"&gt;0")</f>
        <v>0</v>
      </c>
      <c r="DC154" s="6">
        <f>COUNTIFS(Tabela107[Country],Tabela1[[#This Row],[Country]],Tabela107[Kayak Cross Slalom Classification],"&gt;0")</f>
        <v>0</v>
      </c>
      <c r="DD154" s="6">
        <f>COUNTIFS(Tabela107122[Country],Tabela1[[#This Row],[Country]],Tabela107122[Kayak Cross Slalom Classification],"&gt;0")</f>
        <v>0</v>
      </c>
      <c r="DE154" s="6">
        <f>COUNTIFS(Table8[Country],Tabela1[[#This Row],[Country]],Table8[C1 200m Classification],"&gt;0")</f>
        <v>0</v>
      </c>
      <c r="DF154" s="6">
        <f>COUNTIFS(Table40[Country],Tabela1[[#This Row],[Country]],Table40[C1 1000m Classification],"&gt;0")</f>
        <v>0</v>
      </c>
      <c r="DG154" s="6">
        <f>COUNTIFS(Table68[Country],Tabela1[[#This Row],[Country]],Table68[Men''s C2 500m Classification],"&gt;0")</f>
        <v>0</v>
      </c>
      <c r="DH154" s="6">
        <f>COUNTIFS(Table68[Country],Tabela1[[#This Row],[Country]],Table68[Women''s C2 500m Classification],"&gt;0")</f>
        <v>0</v>
      </c>
      <c r="DI154" s="6">
        <f>COUNTIFS(Table8[Country],Tabela1[[#This Row],[Country]],Table8[K1 500m Classification],"&gt;0")</f>
        <v>0</v>
      </c>
      <c r="DJ154" s="6">
        <f>COUNTIFS(Table40[Country],Tabela1[[#This Row],[Country]],Table40[K1 1000m Classification],"&gt;0")</f>
        <v>0</v>
      </c>
      <c r="DK154" s="6">
        <f>COUNTIFS(Table68[Country],Tabela1[[#This Row],[Country]],Table68[Men''s K2 500m Classification],"&gt;0")</f>
        <v>0</v>
      </c>
      <c r="DL154" s="6">
        <f>COUNTIFS(Table68[Country],Tabela1[[#This Row],[Country]],Table68[Women''s K2 500m Classification],"&gt;0")</f>
        <v>0</v>
      </c>
      <c r="DM154" s="6">
        <f>COUNTIFS(Table83[Country],Tabela1[[#This Row],[Country]],Table83[Men''s K4 500m Classification],"&gt;0")</f>
        <v>0</v>
      </c>
      <c r="DN154" s="6">
        <f>COUNTIFS(Table83[Country],Tabela1[[#This Row],[Country]],Table83[Women''s K4 500m Classification],"&gt;0")</f>
        <v>0</v>
      </c>
      <c r="DO154" s="6">
        <f>COUNTIFS(Tabela126[Country],Tabela1[[#This Row],[Country]],Tabela126[Classification],"&gt;0")</f>
        <v>0</v>
      </c>
      <c r="DP154" s="6">
        <f>COUNTIFS(Tabela126130[Country],Tabela1[[#This Row],[Country]],Tabela126130[Classification],"&gt;0")</f>
        <v>0</v>
      </c>
      <c r="DQ154" s="6">
        <f>COUNTIFS(Table70[Country],Tabela1[[#This Row],[Country]],Table70[Classification],"&gt;0")</f>
        <v>0</v>
      </c>
      <c r="DR154" s="6">
        <f>COUNTIFS(Table80[Country],Tabela1[[#This Row],[Country]],Table80[Classification],"&gt;0")</f>
        <v>0</v>
      </c>
      <c r="DS154" s="6">
        <f>COUNTIFS(Table66[Country],Tabela1[[#This Row],[Country]],Table66[Classification],"&gt;0")</f>
        <v>0</v>
      </c>
      <c r="DT154" s="6">
        <f>COUNTIFS(Table67[Country],Tabela1[[#This Row],[Country]],Table67[Classification],"&gt;0")</f>
        <v>0</v>
      </c>
      <c r="DU154" s="6">
        <f>COUNTIFS(Table69[Country],Tabela1[[#This Row],[Country]],Table69[Keirin Classification],"&gt;0")</f>
        <v>0</v>
      </c>
      <c r="DV154" s="6">
        <f>COUNTIFS(Table41[Country],Tabela1[[#This Row],[Country]],Table41[Keirin Classification],"&gt;0")</f>
        <v>0</v>
      </c>
      <c r="DW154" s="6">
        <f>COUNTIFS(Table84[Country],Tabela1[[#This Row],[Country]],Table84[Men''s Madison Classification],"&gt;0")</f>
        <v>0</v>
      </c>
      <c r="DX154" s="6">
        <f>COUNTIFS(Table84[Country],Tabela1[[#This Row],[Country]],Table84[Women''s Madison Classification],"&gt;0")</f>
        <v>0</v>
      </c>
      <c r="DY154" s="6">
        <f>COUNTIFS(Table69[Country],Tabela1[[#This Row],[Country]],Table69[Omnium Classification],"&gt;0")</f>
        <v>0</v>
      </c>
      <c r="DZ154" s="6">
        <f>COUNTIFS(Table41[Country],Tabela1[[#This Row],[Country]],Table41[Omnium Classification],"&gt;0")</f>
        <v>0</v>
      </c>
      <c r="EA154" s="6">
        <f>COUNTIFS(Table9[Country],Tabela1[[#This Row],[Country]],Table9[Road Race Classification],"&gt;0")</f>
        <v>0</v>
      </c>
      <c r="EB154" s="6">
        <f>COUNTIFS(Table14[Country],Tabela1[[#This Row],[Country]],Table14[Road Race Classification],"&gt;0")</f>
        <v>0</v>
      </c>
      <c r="EC154" s="6">
        <f>COUNTIFS(Table69[Country],Tabela1[[#This Row],[Country]],Table69[Sprint Classification],"&gt;0")</f>
        <v>0</v>
      </c>
      <c r="ED154" s="6">
        <f>COUNTIFS(Table41[Country],Tabela1[[#This Row],[Country]],Table41[Sprint Classification],"&gt;0")</f>
        <v>0</v>
      </c>
      <c r="EE154" s="6">
        <f>COUNTIFS(Table85[Country],Tabela1[[#This Row],[Country]],Table85[Men''s Sprint Classification],"&gt;0")</f>
        <v>0</v>
      </c>
      <c r="EF154" s="6">
        <f>COUNTIFS(Table85[Country],Tabela1[[#This Row],[Country]],Table85[Women''s Sprint Classification],"&gt;0")</f>
        <v>0</v>
      </c>
      <c r="EG154" s="6">
        <f>COUNTIFS(Table85[Country],Tabela1[[#This Row],[Country]],Table85[Men''s Pursuit Classification],"&gt;0")</f>
        <v>0</v>
      </c>
      <c r="EH154" s="6">
        <f>COUNTIFS(Table85[Country],Tabela1[[#This Row],[Country]],Table85[Women''s Pursuit Classification],"&gt;0")</f>
        <v>0</v>
      </c>
      <c r="EI154" s="6">
        <f>COUNTIFS(Table9[Country],Tabela1[[#This Row],[Country]],Table9[Time-Trial Classification],"&gt;0")</f>
        <v>0</v>
      </c>
      <c r="EJ154" s="6">
        <f>COUNTIFS(Table14[Country],Tabela1[[#This Row],[Country]],Table14[Time-Trial Classification],"&gt;0")</f>
        <v>0</v>
      </c>
      <c r="EK154" s="6">
        <f>COUNTIFS(Table42[Country],Tabela1[[#This Row],[Country]],Table42[Springboard Classification],"&gt;0")</f>
        <v>0</v>
      </c>
      <c r="EL154" s="6">
        <f>COUNTIFS(Table43[Country],Tabela1[[#This Row],[Country]],Table43[Springboard Classification],"&gt;0")</f>
        <v>0</v>
      </c>
      <c r="EM154" s="6">
        <f>COUNTIFS(Table42[Country],Tabela1[[#This Row],[Country]],Table42[Platform Classification],"&gt;0")</f>
        <v>0</v>
      </c>
      <c r="EN154" s="6">
        <f>COUNTIFS(Table43[Country],Tabela1[[#This Row],[Country]],Table43[Platform Classification],"&gt;0")</f>
        <v>0</v>
      </c>
      <c r="EO154" s="6">
        <f>COUNTIFS(Table86[Country],Tabela1[[#This Row],[Country]],Table86[Men''s Synchronized Springboard Classification],"&gt;0")</f>
        <v>0</v>
      </c>
      <c r="EP154" s="6">
        <f>COUNTIFS(Table86[Country],Tabela1[[#This Row],[Country]],Table86[Women''s Synchronized Springboard Classification],"&gt;0")</f>
        <v>0</v>
      </c>
      <c r="EQ154" s="6">
        <f>COUNTIFS(Table86[Country],Tabela1[[#This Row],[Country]],Table86[Men''s Synchronized Platform Classification],"&gt;0")</f>
        <v>0</v>
      </c>
      <c r="ER154" s="6">
        <f>COUNTIFS(Table86[Country],Tabela1[[#This Row],[Country]],Table86[Women''s Synchronized Platform Classification],"&gt;0")</f>
        <v>0</v>
      </c>
      <c r="ES154" s="6">
        <f>COUNTIFS(Table44[Country],Tabela1[[#This Row],[Country]],Table44[Dressage Classification],"&gt;0")</f>
        <v>0</v>
      </c>
      <c r="ET154" s="6">
        <f>COUNTIFS(Table45[Country],Tabela1[[#This Row],[Country]],Table45[Dressage Classification],"&gt;0")</f>
        <v>0</v>
      </c>
      <c r="EU154" s="6">
        <f>COUNTIFS(Table44[Country],Tabela1[[#This Row],[Country]],Table44[Eventing Classification],"&gt;0")</f>
        <v>0</v>
      </c>
      <c r="EV154" s="6">
        <f>COUNTIFS(Table45[Country],Tabela1[[#This Row],[Country]],Table45[Eventing Classification],"&gt;0")</f>
        <v>0</v>
      </c>
      <c r="EW154" s="6">
        <f>COUNTIFS(Table44[Country],Tabela1[[#This Row],[Country]],Table44[Jumping Classification],"&gt;0")</f>
        <v>0</v>
      </c>
      <c r="EX154" s="6">
        <f>COUNTIFS(Table45[Country],Tabela1[[#This Row],[Country]],Table45[Jumping Classification],"&gt;0")</f>
        <v>0</v>
      </c>
      <c r="EY154" s="6">
        <f>COUNTIFS(Table10[Country],Tabela1[[#This Row],[Country]],Table10[Épée Classification],"&gt;0")</f>
        <v>0</v>
      </c>
      <c r="EZ154" s="6">
        <f>COUNTIFS(Table11[Country],Tabela1[[#This Row],[Country]],Table11[Épée Classification],"&gt;0")</f>
        <v>0</v>
      </c>
      <c r="FA154" s="6">
        <f>COUNTIFS(Table46[Country],Tabela1[[#This Row],[Country]],Table46[Men''s Épée Classification],"&gt;0")</f>
        <v>0</v>
      </c>
      <c r="FB154" s="6">
        <f>COUNTIFS(Table46[Country],Tabela1[[#This Row],[Country]],Table46[Women''s Épée Classification],"&gt;0")</f>
        <v>0</v>
      </c>
      <c r="FC154" s="6">
        <f>COUNTIFS(Table10[Country],Tabela1[[#This Row],[Country]],Table10[Foil Classification],"&gt;0")</f>
        <v>0</v>
      </c>
      <c r="FD154" s="6">
        <f>COUNTIFS(Table11[Country],Tabela1[[#This Row],[Country]],Table11[Foil Classification],"&gt;0")</f>
        <v>0</v>
      </c>
      <c r="FE154" s="6">
        <f>COUNTIFS(Table46[Country],Tabela1[[#This Row],[Country]],Table46[Men''s Foil Classification],"&gt;0")</f>
        <v>0</v>
      </c>
      <c r="FF154" s="6">
        <f>COUNTIFS(Table46[Country],Tabela1[[#This Row],[Country]],Table46[Women''s Foil Classification],"&gt;0")</f>
        <v>0</v>
      </c>
      <c r="FG154" s="6">
        <f>COUNTIFS(Table10[Country],Tabela1[[#This Row],[Country]],Table10[Sabre Classification],"&gt;0")</f>
        <v>0</v>
      </c>
      <c r="FH154" s="6">
        <f>COUNTIFS(Table11[Country],Tabela1[[#This Row],[Country]],Table11[Sabre Classification],"&gt;0")</f>
        <v>0</v>
      </c>
      <c r="FI154" s="6">
        <f>COUNTIFS(Table46[Country],Tabela1[[#This Row],[Country]],Table46[Men''s Sabre Classification],"&gt;0")</f>
        <v>0</v>
      </c>
      <c r="FJ154" s="6">
        <f>COUNTIFS(Table46[Country],Tabela1[[#This Row],[Country]],Table46[Women''s Sabre Classification],"&gt;0")</f>
        <v>0</v>
      </c>
      <c r="FK154" s="6">
        <f>COUNTIFS(Table91[Country],Tabela1[[#This Row],[Country]],Table91[Men''s Classification],"&gt;0")</f>
        <v>0</v>
      </c>
      <c r="FL154" s="6">
        <f>COUNTIFS(Table91[Country],Tabela1[[#This Row],[Country]],Table91[Women''s Classification],"&gt;0")</f>
        <v>0</v>
      </c>
      <c r="FM154" s="6">
        <f>COUNTIFS(Table9194[Country],Tabela1[[#This Row],[Country]],Table9194[Men''s Classification],"&gt;0")</f>
        <v>0</v>
      </c>
      <c r="FN154" s="6">
        <f>COUNTIFS(Table9194[Country],Tabela1[[#This Row],[Country]],Table9194[Women''s Classification],"&gt;0")</f>
        <v>0</v>
      </c>
      <c r="FO154" s="6">
        <f>COUNTIFS(Table71[Country],Tabela1[[#This Row],[Country]],Table71[Classification],"&gt;0")</f>
        <v>0</v>
      </c>
      <c r="FP154" s="6">
        <f>COUNTIFS(Table62[Country],Tabela1[[#This Row],[Country]],Table62[Classification],"&gt;0")</f>
        <v>0</v>
      </c>
      <c r="FQ154" s="6">
        <f>COUNTIFS(Table47[Country],Tabela1[[#This Row],[Country]],Table47[All-Around Classification],"&gt;0")</f>
        <v>0</v>
      </c>
      <c r="FR154" s="6">
        <f>COUNTIFS(Table48[Country],Tabela1[[#This Row],[Country]],Table48[All-Around Classification],"&gt;0")</f>
        <v>0</v>
      </c>
      <c r="FS154" s="6">
        <f>COUNTIFS(Table81[Country],Tabela1[[#This Row],[Country]],Table81[Men''s All-Around Classification],"&gt;0")</f>
        <v>0</v>
      </c>
      <c r="FT154" s="6">
        <f>COUNTIFS(Table81[Country],Tabela1[[#This Row],[Country]],Table81[Women''s All-Around Classification],"&gt;0")</f>
        <v>0</v>
      </c>
      <c r="FU154" s="6">
        <f>COUNTIFS(Table48[Country],Tabela1[[#This Row],[Country]],Table48[Balance Beam Classification],"&gt;0")</f>
        <v>0</v>
      </c>
      <c r="FV154" s="6">
        <f>COUNTIFS(Table47[Country],Tabela1[[#This Row],[Country]],Table47[Floor Exercise Classification],"&gt;0")</f>
        <v>0</v>
      </c>
      <c r="FW154" s="6">
        <f>COUNTIFS(Table48[Country],Tabela1[[#This Row],[Country]],Table48[Floor Exercise Classification],"&gt;0")</f>
        <v>0</v>
      </c>
      <c r="FX154" s="6">
        <f>COUNTIFS(Table47[Country],Tabela1[[#This Row],[Country]],Table47[Horizontal Bar Classification],"&gt;0")</f>
        <v>0</v>
      </c>
      <c r="FY154" s="6">
        <f>COUNTIFS(Table47[Country],Tabela1[[#This Row],[Country]],Table47[Parallel Bars Classification],"&gt;0")</f>
        <v>0</v>
      </c>
      <c r="FZ154" s="6">
        <f>COUNTIFS(Table47[Country],Tabela1[[#This Row],[Country]],Table47[Pommel Horse Classification],"&gt;0")</f>
        <v>0</v>
      </c>
      <c r="GA154" s="6">
        <f>COUNTIFS(Table47[Country],Tabela1[[#This Row],[Country]],Table47[Rings Classification],"&gt;0")</f>
        <v>0</v>
      </c>
      <c r="GB154" s="6">
        <f>COUNTIFS(Tabela132[Country],Tabela1[[#This Row],[Country]],Tabela132[Classification],"&gt;0")</f>
        <v>0</v>
      </c>
      <c r="GC154" s="6">
        <f>COUNTIFS(Tabela139[Country],Tabela1[[#This Row],[Country]],Tabela139[Classification],"&gt;0")</f>
        <v>0</v>
      </c>
      <c r="GD154" s="6">
        <f>COUNTIFS(Table48[Country],Tabela1[[#This Row],[Country]],Table48[Uneven Bars Classification],"&gt;0")</f>
        <v>0</v>
      </c>
      <c r="GE154" s="6">
        <f>COUNTIFS(Table47[Country],Tabela1[[#This Row],[Country]],Table47[Vault Classification],"&gt;0")</f>
        <v>0</v>
      </c>
      <c r="GF154" s="6">
        <f>COUNTIFS(Table48[Country],Tabela1[[#This Row],[Country]],Table48[Vault Classification],"&gt;0")</f>
        <v>0</v>
      </c>
      <c r="GG154" s="6">
        <f>COUNTIFS(Table919496[Country],Tabela1[[#This Row],[Country]],Table919496[Men''s Classification],"&gt;0")</f>
        <v>0</v>
      </c>
      <c r="GH154" s="6">
        <f>COUNTIFS(Table919496[Country],Tabela1[[#This Row],[Country]],Table919496[Women''s Classification],"&gt;0")</f>
        <v>0</v>
      </c>
      <c r="GI154" s="6">
        <f>COUNTIFS(Table12[Country],Tabela1[[#This Row],[Country]],Table12[60kg Classification],"&gt;0")</f>
        <v>0</v>
      </c>
      <c r="GJ154" s="6">
        <f>COUNTIFS(Table12[Country],Tabela1[[#This Row],[Country]],Table12[66kg Classification],"&gt;0")</f>
        <v>0</v>
      </c>
      <c r="GK154" s="6">
        <f>COUNTIFS(Table12[Country],Tabela1[[#This Row],[Country]],Table12[73kg Classification],"&gt;0")</f>
        <v>0</v>
      </c>
      <c r="GL154" s="6">
        <f>COUNTIFS(Table12[Country],Tabela1[[#This Row],[Country]],Table12[81kg Classification],"&gt;0")</f>
        <v>0</v>
      </c>
      <c r="GM154" s="6">
        <f>COUNTIFS(Table12[Country],Tabela1[[#This Row],[Country]],Table12[90kg Classification],"&gt;0")</f>
        <v>0</v>
      </c>
      <c r="GN154" s="6">
        <f>COUNTIFS(Table12[Country],Tabela1[[#This Row],[Country]],Table12[100kg Classification],"&gt;0")</f>
        <v>0</v>
      </c>
      <c r="GO154" s="6">
        <f>COUNTIFS(Table12[Country],Tabela1[[#This Row],[Country]],Table12[Plus 100kg Classification],"&gt;0")</f>
        <v>0</v>
      </c>
      <c r="GP154" s="6">
        <f>COUNTIFS(Table13[Country],Tabela1[[#This Row],[Country]],Table13[48kg Classification],"&gt;0")</f>
        <v>0</v>
      </c>
      <c r="GQ154" s="6">
        <f>COUNTIFS(Table13[Country],Tabela1[[#This Row],[Country]],Table13[52kg Classification],"&gt;0")</f>
        <v>0</v>
      </c>
      <c r="GR154" s="6">
        <f>COUNTIFS(Table13[Country],Tabela1[[#This Row],[Country]],Table13[57kg Classification],"&gt;0")</f>
        <v>0</v>
      </c>
      <c r="GS154" s="6">
        <f>COUNTIFS(Table13[Country],Tabela1[[#This Row],[Country]],Table13[63kg Classification],"&gt;0")</f>
        <v>0</v>
      </c>
      <c r="GT154" s="6">
        <f>COUNTIFS(Table13[Country],Tabela1[[#This Row],[Country]],Table13[70kg Classification],"&gt;0")</f>
        <v>0</v>
      </c>
      <c r="GU154" s="6">
        <f>COUNTIFS(Table13[Country],Tabela1[[#This Row],[Country]],Table13[78kg Classification],"&gt;0")</f>
        <v>0</v>
      </c>
      <c r="GV154" s="6">
        <f>COUNTIFS(Table13[Country],Tabela1[[#This Row],[Country]],Table13[Plus 78kg Classification],"&gt;0")</f>
        <v>0</v>
      </c>
      <c r="GW154" s="6">
        <f>COUNTIFS(Table82[Country],Tabela1[[#This Row],[Country]],Table82[Mixed Classification],"&gt;0")</f>
        <v>0</v>
      </c>
      <c r="GX154" s="6">
        <f>COUNTIFS(Table51[Country],Tabela1[[#This Row],[Country]],Table51[Classification],"&gt;0")</f>
        <v>0</v>
      </c>
      <c r="GY154" s="6">
        <f>COUNTIFS(Table52[Country],Tabela1[[#This Row],[Country]],Table52[Classification],"&gt;0")</f>
        <v>0</v>
      </c>
      <c r="GZ154" s="6">
        <f>COUNTIFS(Table32[Country],Tabela1[[#This Row],[Country]],Table32[All-Around Classification],"&gt;0")</f>
        <v>0</v>
      </c>
      <c r="HA154" s="6">
        <f>COUNTIFS(Table49[Country],Tabela1[[#This Row],[Country]],Table49[All-Around Classification],"&gt;0")</f>
        <v>0</v>
      </c>
      <c r="HB154" s="6">
        <f>COUNTIFS(Table26[Country],Tabela1[[#This Row],[Country]],Table26[Single Sculls Classification],"&gt;0")</f>
        <v>0</v>
      </c>
      <c r="HC154" s="6">
        <f>COUNTIFS(Table63[Country],Tabela1[[#This Row],[Country]],Table63[Single Sculls Classification],"&gt;0")</f>
        <v>0</v>
      </c>
      <c r="HD154" s="6">
        <f>COUNTIFS(Table16[Country],Tabela1[[#This Row],[Country]],Table16[Men''s Double Sculls Classification],"&gt;0")</f>
        <v>0</v>
      </c>
      <c r="HE154" s="6">
        <f>COUNTIFS(Table16[Country],Tabela1[[#This Row],[Country]],Table16[Women''s Double Sculls Classification],"&gt;0")</f>
        <v>0</v>
      </c>
      <c r="HF154" s="6">
        <f>COUNTIFS(Table72[Country],Tabela1[[#This Row],[Country]],Table72[Men''s Quadruple Sculls Classification],"&gt;0")</f>
        <v>0</v>
      </c>
      <c r="HG154" s="6">
        <f>COUNTIFS(Table72[Country],Tabela1[[#This Row],[Country]],Table72[Women''s Quadruple Sculls Classification],"&gt;0")</f>
        <v>0</v>
      </c>
      <c r="HH154" s="6">
        <f>COUNTIFS(Table16[Country],Tabela1[[#This Row],[Country]],Table16[Men''s Coxless Pairs Classification],"&gt;0")</f>
        <v>0</v>
      </c>
      <c r="HI154" s="6">
        <f>COUNTIFS(Table16[Country],Tabela1[[#This Row],[Country]],Table16[Women''s Coxless Pairs Classification],"&gt;0")</f>
        <v>0</v>
      </c>
      <c r="HJ154" s="6">
        <f>COUNTIFS(Table72[Country],Tabela1[[#This Row],[Country]],Table72[Men''s Coxless Fours Classification],"&gt;0")</f>
        <v>0</v>
      </c>
      <c r="HK154" s="6">
        <f>COUNTIFS(Table72[Country],Tabela1[[#This Row],[Country]],Table72[Women''s Coxless Fours Classification],"&gt;0")</f>
        <v>0</v>
      </c>
      <c r="HL154" s="6">
        <f>COUNTIFS(Table72[Country],Tabela1[[#This Row],[Country]],Table72[Men''s Eights Classification],"&gt;0")</f>
        <v>0</v>
      </c>
      <c r="HM154" s="6">
        <f>COUNTIFS(Table72[Country],Tabela1[[#This Row],[Country]],Table72[Women''s Eights Classification],"&gt;0")</f>
        <v>0</v>
      </c>
      <c r="HN154" s="6">
        <f>COUNTIFS(Table16[Country],Tabela1[[#This Row],[Country]],Table16[Men''s Lwt. Double Sculls Classification],"&gt;0")</f>
        <v>0</v>
      </c>
      <c r="HO154" s="6">
        <f>COUNTIFS(Table16[Country],Tabela1[[#This Row],[Country]],Table16[Women''s Lwt. Double Sculls Classification],"&gt;0")</f>
        <v>0</v>
      </c>
      <c r="HP154" s="6">
        <f>COUNTIFS(Table91949698[Country],Tabela1[[#This Row],[Country]],Table91949698[Men''s Classification],"&gt;0")</f>
        <v>0</v>
      </c>
      <c r="HQ154" s="6">
        <f>COUNTIFS(Table91949698[Country],Tabela1[[#This Row],[Country]],Table91949698[Women''s Classification],"&gt;0")</f>
        <v>0</v>
      </c>
      <c r="HR154" s="6">
        <f>COUNTIFS(Table25[Country],Tabela1[[#This Row],[Country]],Table25[Mixed 470 Classification],"&gt;0")</f>
        <v>0</v>
      </c>
      <c r="HS154" s="6">
        <f>COUNTIFS(Table25[Country],Tabela1[[#This Row],[Country]],Table25[Men''s 49er Classification],"&gt;0")</f>
        <v>0</v>
      </c>
      <c r="HT154" s="6">
        <f>COUNTIFS(Table25[Country],Tabela1[[#This Row],[Country]],Table25[Women''s 49er FX Classification],"&gt;0")</f>
        <v>0</v>
      </c>
      <c r="HU154" s="6">
        <f>COUNTIFS(Table17[Country],Tabela1[[#This Row],[Country]],Table17[Formula Kite Classification],"&gt;0")</f>
        <v>0</v>
      </c>
      <c r="HV154" s="6">
        <f>COUNTIFS(Table18[Country],Tabela1[[#This Row],[Country]],Table18[Formula Kite Classification],"&gt;0")</f>
        <v>0</v>
      </c>
      <c r="HW154" s="6">
        <f>COUNTIFS(Table17[Country],Tabela1[[#This Row],[Country]],Table17[ILCA 7 Classification],"&gt;0")</f>
        <v>0</v>
      </c>
      <c r="HX154" s="6">
        <f>COUNTIFS(Table18[Country],Tabela1[[#This Row],[Country]],Table18[ILCA 6 Classification],"&gt;0")</f>
        <v>0</v>
      </c>
      <c r="HY154" s="6">
        <f>COUNTIFS(Table17[Country],Tabela1[[#This Row],[Country]],Table17[IQFoil Classification],"&gt;0")</f>
        <v>0</v>
      </c>
      <c r="HZ154" s="6">
        <f>COUNTIFS(Table18[Country],Tabela1[[#This Row],[Country]],Table18[IQFoil Classification],"&gt;0")</f>
        <v>0</v>
      </c>
      <c r="IA154" s="6">
        <f>COUNTIFS(Table25[Country],Tabela1[[#This Row],[Country]],Table25[Mixed Nacra 17 Classification],"&gt;0")</f>
        <v>0</v>
      </c>
      <c r="IB154" s="6">
        <f>COUNTIFS(Table53[Country],Tabela1[[#This Row],[Country]],Table53[10m Air Pistol Classification],"&gt;0")</f>
        <v>0</v>
      </c>
      <c r="IC154" s="6">
        <f>COUNTIFS(Table19[Country],Tabela1[[#This Row],[Country]],Table19[10m Air Pistol Classification],"&gt;0")</f>
        <v>0</v>
      </c>
      <c r="ID154" s="6">
        <f>COUNTIFS(Table54[Country],Tabela1[[#This Row],[Country]],Table54[Mixed 10m Air Pistol Team Classification],"&gt;0")</f>
        <v>0</v>
      </c>
      <c r="IE154" s="6">
        <f>COUNTIFS(Table53[Country],Tabela1[[#This Row],[Country]],Table53[10m Air Rifle Classification],"&gt;0")</f>
        <v>0</v>
      </c>
      <c r="IF154" s="6">
        <f>COUNTIFS(Table19[Country],Tabela1[[#This Row],[Country]],Table19[10m Air Rifle Classification],"&gt;0")</f>
        <v>0</v>
      </c>
      <c r="IG154" s="6">
        <f>COUNTIFS(Table54[Country],Tabela1[[#This Row],[Country]],Table54[Mixed 10m Air Rifle Team Classification],"&gt;0")</f>
        <v>0</v>
      </c>
      <c r="IH154" s="6">
        <f>COUNTIFS(Table53[Country],Tabela1[[#This Row],[Country]],Table53[25m Rapid Fire Pistol Classification],"&gt;0")</f>
        <v>0</v>
      </c>
      <c r="II154" s="6">
        <f>COUNTIFS(Table19[Country],Tabela1[[#This Row],[Country]],Table19[25m Pistol Classification],"&gt;0")</f>
        <v>0</v>
      </c>
      <c r="IJ154" s="6">
        <f>COUNTIFS(Table53[Country],Tabela1[[#This Row],[Country]],Table53[50m Rifle 3 Positions Classification],"&gt;0")</f>
        <v>0</v>
      </c>
      <c r="IK154" s="6">
        <f>COUNTIFS(Table19[Country],Tabela1[[#This Row],[Country]],Table19[50m Rifle 3 Positions Classification],"&gt;0")</f>
        <v>0</v>
      </c>
      <c r="IL154" s="6">
        <f>COUNTIFS(Table53[Country],Tabela1[[#This Row],[Country]],Table53[Skeet Classification],"&gt;0")</f>
        <v>0</v>
      </c>
      <c r="IM154" s="6">
        <f>COUNTIFS(Table19[Country],Tabela1[[#This Row],[Country]],Table19[Skeet Classification],"&gt;0")</f>
        <v>0</v>
      </c>
      <c r="IN154" s="6">
        <f>COUNTIFS(Table54[Country],Tabela1[[#This Row],[Country]],Table54[Mixed Skeet Team Classification],"&gt;0")</f>
        <v>0</v>
      </c>
      <c r="IO154" s="6">
        <f>COUNTIFS(Table53[Country],Tabela1[[#This Row],[Country]],Table53[Trap Classification],"&gt;0")</f>
        <v>0</v>
      </c>
      <c r="IP154" s="6">
        <f>COUNTIFS(Table19[Country],Tabela1[[#This Row],[Country]],Table19[Trap Classification],"&gt;0")</f>
        <v>0</v>
      </c>
      <c r="IQ154" s="6">
        <f>COUNTIFS(Table73[Country],Tabela1[[#This Row],[Country]],Table73[Park Classification],"&gt;0")</f>
        <v>0</v>
      </c>
      <c r="IR154" s="6">
        <f>COUNTIFS(Table74[Country],Tabela1[[#This Row],[Country]],Table74[Park Classification],"&gt;0")</f>
        <v>0</v>
      </c>
      <c r="IS154" s="6">
        <f>COUNTIFS(Table73[Country],Tabela1[[#This Row],[Country]],Table73[Street Classification],"&gt;0")</f>
        <v>0</v>
      </c>
      <c r="IT154" s="6">
        <f>COUNTIFS(Table74[Country],Tabela1[[#This Row],[Country]],Table74[Street Classification],"&gt;0")</f>
        <v>0</v>
      </c>
      <c r="IU154" s="6">
        <f>COUNTIFS(Table75[Country],Tabela1[[#This Row],[Country]],Table75[Boulder and Lead Classification],"&gt;0")</f>
        <v>0</v>
      </c>
      <c r="IV154" s="6">
        <f>COUNTIFS(Table76[Country],Tabela1[[#This Row],[Country]],Table76[Boulder and Lead Classification],"&gt;0")</f>
        <v>0</v>
      </c>
      <c r="IW154" s="6">
        <f>COUNTIFS(Table75[Country],Tabela1[[#This Row],[Country]],Table75[Speed Classification],"&gt;0")</f>
        <v>0</v>
      </c>
      <c r="IX154" s="6">
        <f>COUNTIFS(Table76[Country],Tabela1[[#This Row],[Country]],Table76[Speed Classification],"&gt;0")</f>
        <v>0</v>
      </c>
      <c r="IY154" s="6">
        <f>COUNTIFS(Table64[Country],Tabela1[[#This Row],[Country]],Table64[Shortboard Classification],"&gt;0")</f>
        <v>0</v>
      </c>
      <c r="IZ154" s="6">
        <f>COUNTIFS(Table77[Country],Tabela1[[#This Row],[Country]],Table77[Shortboard Classification],"&gt;0")</f>
        <v>0</v>
      </c>
      <c r="JA154" s="6">
        <f>COUNTIFS(Table20[Country],Tabela1[[#This Row],[Country]],Table20[50m Freestyle Classification],"&gt;0")</f>
        <v>0</v>
      </c>
      <c r="JB154" s="6">
        <f>COUNTIFS(Table21[Country],Tabela1[[#This Row],[Country]],Table21[50m Freestyle Classification],"&gt;0")</f>
        <v>0</v>
      </c>
      <c r="JC154" s="6">
        <f>COUNTIFS(Table20[Country],Tabela1[[#This Row],[Country]],Table20[100m Freestyle Classification],"&gt;0")</f>
        <v>0</v>
      </c>
      <c r="JD154" s="6">
        <f>COUNTIFS(Table21[Country],Tabela1[[#This Row],[Country]],Table21[100m Freestyle Classification],"&gt;0")</f>
        <v>0</v>
      </c>
      <c r="JE154" s="6">
        <f>COUNTIFS(Table20[Country],Tabela1[[#This Row],[Country]],Table20[200m Freestyle Classification],"&gt;0")</f>
        <v>0</v>
      </c>
      <c r="JF154" s="6">
        <f>COUNTIFS(Table21[Country],Tabela1[[#This Row],[Country]],Table21[200m Freestyle Classification],"&gt;0")</f>
        <v>0</v>
      </c>
      <c r="JG154" s="6">
        <f>COUNTIFS(Table20[Country],Tabela1[[#This Row],[Country]],Table20[400m Freestyle Classification],"&gt;0")</f>
        <v>0</v>
      </c>
      <c r="JH154" s="6">
        <f>COUNTIFS(Table21[Country],Tabela1[[#This Row],[Country]],Table21[400m Freestyle Classification],"&gt;0")</f>
        <v>0</v>
      </c>
      <c r="JI154" s="6">
        <f>COUNTIFS(Table20[Country],Tabela1[[#This Row],[Country]],Table20[800m Freestyle Classification],"&gt;0")</f>
        <v>0</v>
      </c>
      <c r="JJ154" s="6">
        <f>COUNTIFS(Table21[Country],Tabela1[[#This Row],[Country]],Table21[800m Freestyle Classification],"&gt;0")</f>
        <v>0</v>
      </c>
      <c r="JK154" s="6">
        <f>COUNTIFS(Table20[Country],Tabela1[[#This Row],[Country]],Table20[1500m Freestyle Classification],"&gt;0")</f>
        <v>0</v>
      </c>
      <c r="JL154" s="6">
        <f>COUNTIFS(Table21[Country],Tabela1[[#This Row],[Country]],Table21[1500m Freestyle Classification],"&gt;0")</f>
        <v>0</v>
      </c>
      <c r="JM154" s="6">
        <f>COUNTIFS(Table20[Country],Tabela1[[#This Row],[Country]],Table20[100m Backstroke Classification],"&gt;0")</f>
        <v>0</v>
      </c>
      <c r="JN154" s="6">
        <f>COUNTIFS(Table21[Country],Tabela1[[#This Row],[Country]],Table21[100m Backstroke Classification],"&gt;0")</f>
        <v>0</v>
      </c>
      <c r="JO154" s="6">
        <f>COUNTIFS(Table20[Country],Tabela1[[#This Row],[Country]],Table20[200m Backstroke Classification],"&gt;0")</f>
        <v>0</v>
      </c>
      <c r="JP154" s="6">
        <f>COUNTIFS(Table21[Country],Tabela1[[#This Row],[Country]],Table21[200m Backstroke Classification],"&gt;0")</f>
        <v>0</v>
      </c>
      <c r="JQ154" s="6">
        <f>COUNTIFS(Table20[Country],Tabela1[[#This Row],[Country]],Table20[100m Breaststroke Classification],"&gt;0")</f>
        <v>0</v>
      </c>
      <c r="JR154" s="6">
        <f>COUNTIFS(Table21[Country],Tabela1[[#This Row],[Country]],Table21[100m Breaststroke Classification],"&gt;0")</f>
        <v>0</v>
      </c>
      <c r="JS154" s="6">
        <f>COUNTIFS(Table20[Country],Tabela1[[#This Row],[Country]],Table20[200m Breaststroke Classification],"&gt;0")</f>
        <v>0</v>
      </c>
      <c r="JT154" s="6">
        <f>COUNTIFS(Table21[Country],Tabela1[[#This Row],[Country]],Table21[200m Breaststroke Classification],"&gt;0")</f>
        <v>0</v>
      </c>
      <c r="JU154" s="6">
        <f>COUNTIFS(Table20[Country],Tabela1[[#This Row],[Country]],Table20[100m Butterfly Classification],"&gt;0")</f>
        <v>0</v>
      </c>
      <c r="JV154" s="6">
        <f>COUNTIFS(Table21[Country],Tabela1[[#This Row],[Country]],Table21[100m Butterfly Classification],"&gt;0")</f>
        <v>0</v>
      </c>
      <c r="JW154" s="6">
        <f>COUNTIFS(Table20[Country],Tabela1[[#This Row],[Country]],Table20[200m Butterfly Classification],"&gt;0")</f>
        <v>0</v>
      </c>
      <c r="JX154" s="6">
        <f>COUNTIFS(Table21[Country],Tabela1[[#This Row],[Country]],Table21[200m Butterfly Classification],"&gt;0")</f>
        <v>0</v>
      </c>
      <c r="JY154" s="6">
        <f>COUNTIFS(Table20[Country],Tabela1[[#This Row],[Country]],Table20[200m Medley Classification],"&gt;0")</f>
        <v>0</v>
      </c>
      <c r="JZ154" s="6">
        <f>COUNTIFS(Table21[Country],Tabela1[[#This Row],[Country]],Table21[200m Medley Classification],"&gt;0")</f>
        <v>0</v>
      </c>
      <c r="KA154" s="6">
        <f>COUNTIFS(Table20[Country],Tabela1[[#This Row],[Country]],Table20[400m Medley Classification],"&gt;0")</f>
        <v>0</v>
      </c>
      <c r="KB154" s="6">
        <f>COUNTIFS(Table21[Country],Tabela1[[#This Row],[Country]],Table21[400m Medley Classification],"&gt;0")</f>
        <v>0</v>
      </c>
      <c r="KC154" s="6">
        <f>COUNTIFS(Table78[Country],Tabela1[[#This Row],[Country]],Table78[Men''s 4x100m Freestyle Relay Classification],"&gt;0")</f>
        <v>0</v>
      </c>
      <c r="KD154" s="6">
        <f>COUNTIFS(Table78[Country],Tabela1[[#This Row],[Country]],Table78[Women''s 4x100m Freestyle Relay Classification],"&gt;0")</f>
        <v>0</v>
      </c>
      <c r="KE154" s="6">
        <f>COUNTIFS(Table78[Country],Tabela1[[#This Row],[Country]],Table78[Men''s 4x200m Freestyle Relay Classification],"&gt;0")</f>
        <v>0</v>
      </c>
      <c r="KF154" s="6">
        <f>COUNTIFS(Table78[Country],Tabela1[[#This Row],[Country]],Table78[Women''s 4x200m Freestyle Relay Classification],"&gt;0")</f>
        <v>0</v>
      </c>
      <c r="KG154" s="6">
        <f>COUNTIFS(Table78[Country],Tabela1[[#This Row],[Country]],Table78[Men''s 4x100m Medley Relay Classification],"&gt;0")</f>
        <v>0</v>
      </c>
      <c r="KH154" s="6">
        <f>COUNTIFS(Table78[Country],Tabela1[[#This Row],[Country]],Table78[Women''s 4x100m Medley Relay Classification],"&gt;0")</f>
        <v>0</v>
      </c>
      <c r="KI154" s="6">
        <f>COUNTIFS(Table78[Country],Tabela1[[#This Row],[Country]],Table78[Mixed 4x100m Medley Relay Classification],"&gt;0")</f>
        <v>0</v>
      </c>
      <c r="KJ154" s="6">
        <f>COUNTIFS(Table20[Country],Tabela1[[#This Row],[Country]],Table20[10km Open Water Classification],"&gt;0")</f>
        <v>0</v>
      </c>
      <c r="KK154" s="6">
        <f>COUNTIFS(Table21[Country],Tabela1[[#This Row],[Country]],Table21[10km Open Water Classification],"&gt;0")</f>
        <v>0</v>
      </c>
      <c r="KL154" s="6">
        <f>COUNTIFS(Table22[Country],Tabela1[[#This Row],[Country]],Table22[Classification],"&gt;0")</f>
        <v>0</v>
      </c>
      <c r="KM154" s="6">
        <f>COUNTIFS(Table30[Country],Tabela1[[#This Row],[Country]],Table30[Classification],"&gt;0")</f>
        <v>0</v>
      </c>
      <c r="KN154" s="6">
        <f>COUNTIFS(Table55[Country],Tabela1[[#This Row],[Country]],Table55[Men''s Classification],"&gt;0")</f>
        <v>0</v>
      </c>
      <c r="KO154" s="6">
        <f>COUNTIFS(Table55[Country],Tabela1[[#This Row],[Country]],Table55[Women''s Classification],"&gt;0")</f>
        <v>0</v>
      </c>
      <c r="KP154" s="6">
        <f>COUNTIFS(Table56[Country],Tabela1[[#This Row],[Country]],Table56[Mixed Classification],"&gt;0")</f>
        <v>0</v>
      </c>
      <c r="KQ154" s="6">
        <f>COUNTIFS(Table29[Country],Tabela1[[#This Row],[Country]],Table29[58kg Classification],"&gt;0")</f>
        <v>0</v>
      </c>
      <c r="KR154" s="6">
        <f>COUNTIFS(Table29[Country],Tabela1[[#This Row],[Country]],Table29[68kg Classification],"&gt;0")</f>
        <v>0</v>
      </c>
      <c r="KS154" s="6">
        <f>COUNTIFS(Table29[Country],Tabela1[[#This Row],[Country]],Table29[80kg Classification],"&gt;0")</f>
        <v>0</v>
      </c>
      <c r="KT154" s="6">
        <f>COUNTIFS(Table29[Country],Tabela1[[#This Row],[Country]],Table29[Plus 80kg Classification],"&gt;0")</f>
        <v>0</v>
      </c>
      <c r="KU154" s="6">
        <f>COUNTIFS(Table34[Country],Tabela1[[#This Row],[Country]],Table34[49kg Classification],"&gt;0")</f>
        <v>0</v>
      </c>
      <c r="KV154" s="6">
        <f>COUNTIFS(Table34[Country],Tabela1[[#This Row],[Country]],Table34[57kg Classification],"&gt;0")</f>
        <v>0</v>
      </c>
      <c r="KW154" s="6">
        <f>COUNTIFS(Table34[Country],Tabela1[[#This Row],[Country]],Table34[67kg Classification],"&gt;0")</f>
        <v>0</v>
      </c>
      <c r="KX154" s="6">
        <f>COUNTIFS(Table34[Country],Tabela1[[#This Row],[Country]],Table34[Plus 67kg Classification],"&gt;0")</f>
        <v>0</v>
      </c>
      <c r="KY154" s="6">
        <f>COUNTIFS(Table57[Country],Tabela1[[#This Row],[Country]],Table57[Classification],"&gt;0")</f>
        <v>0</v>
      </c>
      <c r="KZ154" s="6">
        <f>COUNTIFS(Table58[Country],Tabela1[[#This Row],[Country]],Table58[Classification],"&gt;0")</f>
        <v>0</v>
      </c>
      <c r="LA154" s="6">
        <f>COUNTIFS(Table79[Country],Tabela1[[#This Row],[Country]],Table79[Men''s Classification],"&gt;0")</f>
        <v>0</v>
      </c>
      <c r="LB154" s="6">
        <f>COUNTIFS(Table79[Country],Tabela1[[#This Row],[Country]],Table79[Women''s Classification],"&gt;0")</f>
        <v>0</v>
      </c>
      <c r="LC154" s="6">
        <f>COUNTIFS(Table79[Country],Tabela1[[#This Row],[Country]],Table79[Mixed Classification],"&gt;0")</f>
        <v>0</v>
      </c>
      <c r="LD154" s="6">
        <f>COUNTIFS(Table65[Country],Tabela1[[#This Row],[Country]],Table65[Classification],"&gt;0")</f>
        <v>0</v>
      </c>
      <c r="LE154" s="6">
        <f>COUNTIFS(Table59[Country],Tabela1[[#This Row],[Country]],Table59[Classification],"&gt;0")</f>
        <v>0</v>
      </c>
      <c r="LF154" s="6">
        <f>COUNTIFS(Table87[Country],Tabela1[[#This Row],[Country]],Table87[Mixed Relay Classification],"&gt;0")</f>
        <v>0</v>
      </c>
      <c r="LG154" s="6">
        <f>COUNTIFS(Table91949698100[Country],Tabela1[[#This Row],[Country]],Table91949698100[Men''s Classification],"&gt;0")</f>
        <v>0</v>
      </c>
      <c r="LH154" s="6">
        <f>COUNTIFS(Table91949698100[Country],Tabela1[[#This Row],[Country]],Table91949698100[Women''s Classification],"&gt;0")</f>
        <v>0</v>
      </c>
      <c r="LI154" s="6">
        <f>COUNTIFS(Table91949698100102[Country],Tabela1[[#This Row],[Country]],Table91949698100102[Men''s Classification],"&gt;0")</f>
        <v>0</v>
      </c>
      <c r="LJ154" s="6">
        <f>COUNTIFS(Table91949698100102[Country],Tabela1[[#This Row],[Country]],Table91949698100102[Women''s Classification],"&gt;0")</f>
        <v>0</v>
      </c>
      <c r="LK154" s="6">
        <f>COUNTIFS(Table23[Country],Tabela1[[#This Row],[Country]],Table23[61kg Classification],"&gt;0")</f>
        <v>0</v>
      </c>
      <c r="LL154" s="6">
        <f>COUNTIFS(Table23[Country],Tabela1[[#This Row],[Country]],Table23[73kg Classification],"&gt;0")</f>
        <v>0</v>
      </c>
      <c r="LM154" s="6">
        <f>COUNTIFS(Table23[Country],Tabela1[[#This Row],[Country]],Table23[89kg Classification],"&gt;0")</f>
        <v>0</v>
      </c>
      <c r="LN154" s="6">
        <f>COUNTIFS(Table23[Country],Tabela1[[#This Row],[Country]],Table23[102kg Classification],"&gt;0")</f>
        <v>0</v>
      </c>
      <c r="LO154" s="6">
        <f>COUNTIFS(Table23[Country],Tabela1[[#This Row],[Country]],Table23[Plus 102kg Classification],"&gt;0")</f>
        <v>0</v>
      </c>
      <c r="LP154" s="6">
        <f>COUNTIFS(Table28[Country],Tabela1[[#This Row],[Country]],Table28[49kg Classification],"&gt;0")</f>
        <v>0</v>
      </c>
      <c r="LQ154" s="6">
        <f>COUNTIFS(Table28[Country],Tabela1[[#This Row],[Country]],Table28[59kg Classification],"&gt;0")</f>
        <v>0</v>
      </c>
      <c r="LR154" s="6">
        <f>COUNTIFS(Table28[Country],Tabela1[[#This Row],[Country]],Table28[71kg Classification],"&gt;0")</f>
        <v>0</v>
      </c>
      <c r="LS154" s="6">
        <f>COUNTIFS(Table28[Country],Tabela1[[#This Row],[Country]],Table28[81kg Classification],"&gt;0")</f>
        <v>0</v>
      </c>
      <c r="LT154" s="6">
        <f>COUNTIFS(Table28[Country],Tabela1[[#This Row],[Country]],Table28[Plus 81kg Classification],"&gt;0")</f>
        <v>0</v>
      </c>
      <c r="LU154" s="6">
        <f>COUNTIFS(Table24[Country],Tabela1[[#This Row],[Country]],Table24[Freestyle 57kg Classification],"&gt;0")</f>
        <v>0</v>
      </c>
      <c r="LV154" s="6">
        <f>COUNTIFS(Table24[Country],Tabela1[[#This Row],[Country]],Table24[Freestyle 65kg Classification],"&gt;0")</f>
        <v>0</v>
      </c>
      <c r="LW154" s="6">
        <f>COUNTIFS(Table24[Country],Tabela1[[#This Row],[Country]],Table24[Freestyle 74kg Classification],"&gt;0")</f>
        <v>0</v>
      </c>
      <c r="LX154" s="6">
        <f>COUNTIFS(Table24[Country],Tabela1[[#This Row],[Country]],Table24[Freestyle 86kg Classification],"&gt;0")</f>
        <v>0</v>
      </c>
      <c r="LY154" s="6">
        <f>COUNTIFS(Table24[Country],Tabela1[[#This Row],[Country]],Table24[Freestyle 97kg Classification],"&gt;0")</f>
        <v>0</v>
      </c>
      <c r="LZ154" s="6">
        <f>COUNTIFS(Table24[Country],Tabela1[[#This Row],[Country]],Table24[Freestyle 125kg Classification],"&gt;0")</f>
        <v>0</v>
      </c>
      <c r="MA154" s="6">
        <f>COUNTIFS(Table24[Country],Tabela1[[#This Row],[Country]],Table24[Greco-Roman 60kg Classification],"&gt;0")</f>
        <v>0</v>
      </c>
      <c r="MB154" s="6">
        <f>COUNTIFS(Table24[Country],Tabela1[[#This Row],[Country]],Table24[Greco-Roman 67kg Classification],"&gt;0")</f>
        <v>0</v>
      </c>
      <c r="MC154" s="6">
        <f>COUNTIFS(Table24[Country],Tabela1[[#This Row],[Country]],Table24[Greco-Roman 77kg Classification],"&gt;0")</f>
        <v>0</v>
      </c>
      <c r="MD154" s="6">
        <f>COUNTIFS(Table24[Country],Tabela1[[#This Row],[Country]],Table24[Greco-Roman 87kg Classification],"&gt;0")</f>
        <v>0</v>
      </c>
      <c r="ME154" s="6">
        <f>COUNTIFS(Table24[Country],Tabela1[[#This Row],[Country]],Table24[Greco-Roman 97kg Classification],"&gt;0")</f>
        <v>0</v>
      </c>
      <c r="MF154" s="6">
        <f>COUNTIFS(Table24[Country],Tabela1[[#This Row],[Country]],Table24[Greco-Roman 130kg Classification],"&gt;0")</f>
        <v>0</v>
      </c>
      <c r="MG154" s="6">
        <f>COUNTIFS(Table31[Country],Tabela1[[#This Row],[Country]],Table31[50kg Classification],"&gt;0")</f>
        <v>0</v>
      </c>
      <c r="MH154" s="6">
        <f>COUNTIFS(Table31[Country],Tabela1[[#This Row],[Country]],Table31[53kg Classification],"&gt;0")</f>
        <v>0</v>
      </c>
      <c r="MI154" s="6">
        <f>COUNTIFS(Table31[Country],Tabela1[[#This Row],[Country]],Table31[57kg Classification],"&gt;0")</f>
        <v>0</v>
      </c>
      <c r="MJ154" s="6">
        <f>COUNTIFS(Table31[Country],Tabela1[[#This Row],[Country]],Table31[62kg Classification],"&gt;0")</f>
        <v>0</v>
      </c>
      <c r="MK154" s="6">
        <f>COUNTIFS(Table31[Country],Tabela1[[#This Row],[Country]],Table31[68kg Classification],"&gt;0")</f>
        <v>0</v>
      </c>
      <c r="ML154" s="6">
        <f>COUNTIFS(Table31[Country],Tabela1[[#This Row],[Country]],Table31[76kg Classification],"&gt;0")</f>
        <v>0</v>
      </c>
      <c r="MM154" s="6">
        <f>COUNTIFS(Table102[Country],Tabela1[[#This Row],[Country]],Table102[Downhill Classification],"&gt;0")</f>
        <v>0</v>
      </c>
      <c r="MN154" s="6">
        <f>COUNTIFS(Table102105[Country],Tabela1[[#This Row],[Country]],Table102105[Downhill Classification],"&gt;0")</f>
        <v>0</v>
      </c>
      <c r="MO154" s="6">
        <f>COUNTIFS(Table102[Country],Tabela1[[#This Row],[Country]],Table102[Giant Slalom Classification],"&gt;0")</f>
        <v>0</v>
      </c>
      <c r="MP154" s="6">
        <f>COUNTIFS(Table102105[Country],Tabela1[[#This Row],[Country]],Table102105[Giant Slalom Classification],"&gt;0")</f>
        <v>0</v>
      </c>
      <c r="MQ154" s="6">
        <f>COUNTIFS(Table102[Country],Tabela1[[#This Row],[Country]],Table102[Slalom Classification],"&gt;0")</f>
        <v>0</v>
      </c>
      <c r="MR154" s="6">
        <f>COUNTIFS(Table102105[Country],Tabela1[[#This Row],[Country]],Table102105[Slalom Classification],"&gt;0")</f>
        <v>0</v>
      </c>
      <c r="MS154" s="6">
        <f>COUNTIFS(Table102[Country],Tabela1[[#This Row],[Country]],Table102[Super-G Classification],"&gt;0")</f>
        <v>0</v>
      </c>
      <c r="MT154" s="6">
        <f>COUNTIFS(Table102105[Country],Tabela1[[#This Row],[Country]],Table102105[Super-G Classification],"&gt;0")</f>
        <v>0</v>
      </c>
      <c r="MU154" s="6">
        <f>COUNTIFS(Table105[Country],Tabela1[[#This Row],[Country]],Table105[Men''s Combined Classification],"&gt;0")</f>
        <v>0</v>
      </c>
      <c r="MV154" s="6">
        <f>COUNTIFS(Table105[Country],Tabela1[[#This Row],[Country]],Table105[Women''s Combined Classification],"&gt;0")</f>
        <v>0</v>
      </c>
      <c r="MW154" s="6">
        <f>COUNTIFS(Table106[Country],Tabela1[[#This Row],[Country]],Table106[Individual Classification],"&gt;0")</f>
        <v>0</v>
      </c>
      <c r="MX154" s="6">
        <f>COUNTIFS(Table106109[Country],Tabela1[[#This Row],[Country]],Table106109[Individual Classification],"&gt;0")</f>
        <v>0</v>
      </c>
      <c r="MY154" s="6">
        <f>COUNTIFS(Table106[Country],Tabela1[[#This Row],[Country]],Table106[Mass Start Classification],"&gt;0")</f>
        <v>0</v>
      </c>
      <c r="MZ154" s="6">
        <f>COUNTIFS(Table106109[Country],Tabela1[[#This Row],[Country]],Table106109[Mass Start Classification],"&gt;0")</f>
        <v>0</v>
      </c>
      <c r="NA154" s="6">
        <f>COUNTIFS(Table106[Country],Tabela1[[#This Row],[Country]],Table106[Pursuit Classification],"&gt;0")</f>
        <v>0</v>
      </c>
      <c r="NB154" s="6">
        <f>COUNTIFS(Table106109[Country],Tabela1[[#This Row],[Country]],Table106109[Pursuit Classification],"&gt;0")</f>
        <v>0</v>
      </c>
      <c r="NC154" s="6">
        <f>COUNTIFS(Table106[Country],Tabela1[[#This Row],[Country]],Table106[Sprint Classification],"&gt;0")</f>
        <v>0</v>
      </c>
      <c r="ND154" s="6">
        <f>COUNTIFS(Table106109[Country],Tabela1[[#This Row],[Country]],Table106109[Sprint Classification],"&gt;0")</f>
        <v>0</v>
      </c>
      <c r="NE154" s="6">
        <f>COUNTIFS(Table109[Country],Tabela1[[#This Row],[Country]],Table109[Men''s Relay Classification],"&gt;0")</f>
        <v>0</v>
      </c>
      <c r="NF154" s="6">
        <f>COUNTIFS(Table109[Country],Tabela1[[#This Row],[Country]],Table109[Women''s Relay Classification],"&gt;0")</f>
        <v>0</v>
      </c>
      <c r="NG154" s="6">
        <f>COUNTIFS(Table109[Country],Tabela1[[#This Row],[Country]],Table109[Mixed Relay Classification],"&gt;0")</f>
        <v>0</v>
      </c>
      <c r="NH154" s="6">
        <f>COUNTIFS(Table110[Country],Tabela1[[#This Row],[Country]],Table110[Monobob Classification],"&gt;0")</f>
        <v>0</v>
      </c>
      <c r="NI154" s="6">
        <f>COUNTIFS(Table111[Country],Tabela1[[#This Row],[Country]],Table111[Men''s Classification],"&gt;0")</f>
        <v>0</v>
      </c>
      <c r="NJ154" s="6">
        <f>COUNTIFS(Table111[Country],Tabela1[[#This Row],[Country]],Table111[Women''s Classification],"&gt;0")</f>
        <v>0</v>
      </c>
      <c r="NK154" s="6">
        <f>COUNTIFS(Table112[Country],Tabela1[[#This Row],[Country]],Table112[Men''s Four Classification],"&gt;0")</f>
        <v>0</v>
      </c>
      <c r="NL154" s="6">
        <f>COUNTIFS(Table113[Country],Tabela1[[#This Row],[Country]],Table113[Classical Classification],"&gt;0")</f>
        <v>0</v>
      </c>
      <c r="NM154" s="6">
        <f>COUNTIFS(Table113116[Country],Tabela1[[#This Row],[Country]],Table113116[Classical Classification],"&gt;0")</f>
        <v>0</v>
      </c>
      <c r="NN154" s="6">
        <f>COUNTIFS(Table113[Country],Tabela1[[#This Row],[Country]],Table113[Freestyle Classification],"&gt;0")</f>
        <v>0</v>
      </c>
      <c r="NO154" s="6">
        <f>COUNTIFS(Table113116[Country],Tabela1[[#This Row],[Country]],Table113116[Freestyle Classification],"&gt;0")</f>
        <v>0</v>
      </c>
      <c r="NP154" s="6">
        <f>COUNTIFS(Table117[Country],Tabela1[[#This Row],[Country]],Table117[Men''s Relay Classification],"&gt;0")</f>
        <v>0</v>
      </c>
      <c r="NQ154" s="6">
        <f>COUNTIFS(Table117[Country],Tabela1[[#This Row],[Country]],Table117[Women''s Relay Classification],"&gt;0")</f>
        <v>0</v>
      </c>
      <c r="NR154" s="6">
        <f>COUNTIFS(Table113[Country],Tabela1[[#This Row],[Country]],Table113[Skiathlon Classification],"&gt;0")</f>
        <v>0</v>
      </c>
      <c r="NS154" s="6">
        <f>COUNTIFS(Table113116[Country],Tabela1[[#This Row],[Country]],Table113116[Skiathlon Classification],"&gt;0")</f>
        <v>0</v>
      </c>
      <c r="NT154" s="6">
        <f>COUNTIFS(Table113[Country],Tabela1[[#This Row],[Country]],Table113[Sprint Classification],"&gt;0")</f>
        <v>0</v>
      </c>
      <c r="NU154" s="6">
        <f>COUNTIFS(Table113116[Country],Tabela1[[#This Row],[Country]],Table113116[Sprint Classification],"&gt;0")</f>
        <v>0</v>
      </c>
      <c r="NV154" s="6">
        <f>COUNTIFS(Table116[Country],Tabela1[[#This Row],[Country]],Table116[Men''s Team Sprint Classification],"&gt;0")</f>
        <v>0</v>
      </c>
      <c r="NW154" s="6">
        <f>COUNTIFS(Table116[Country],Tabela1[[#This Row],[Country]],Table116[Women''s Team Sprint Classification],"&gt;0")</f>
        <v>0</v>
      </c>
      <c r="NX154" s="6">
        <f>COUNTIFS(Table119[Country],Tabela1[[#This Row],[Country]],Table119[Men''s Classification],"&gt;0")</f>
        <v>0</v>
      </c>
      <c r="NY154" s="6">
        <f>COUNTIFS(Table119[Country],Tabela1[[#This Row],[Country]],Table119[Women''s Classification],"&gt;0")</f>
        <v>0</v>
      </c>
      <c r="NZ154" s="6">
        <f>COUNTIFS(Table118[Country],Tabela1[[#This Row],[Country]],Table118[Mixed Classification],"&gt;0")</f>
        <v>0</v>
      </c>
      <c r="OA154" s="6">
        <f>COUNTIFS(Table120[Country],Tabela1[[#This Row],[Country]],Table120[Classification],"&gt;0")</f>
        <v>0</v>
      </c>
      <c r="OB154" s="6">
        <f>COUNTIFS(Table120123[Country],Tabela1[[#This Row],[Country]],Table120123[Classification],"&gt;0")</f>
        <v>0</v>
      </c>
      <c r="OC154" s="6">
        <f>COUNTIFS(Table123[Country],Tabela1[[#This Row],[Country]],Table123[Ice Dance Classification],"&gt;0")</f>
        <v>0</v>
      </c>
      <c r="OD154" s="6">
        <f>COUNTIFS(Table123[Country],Tabela1[[#This Row],[Country]],Table123[Pair Skating Classification],"&gt;0")</f>
        <v>0</v>
      </c>
      <c r="OE154" s="6">
        <f>COUNTIFS(Table124[Country],Tabela1[[#This Row],[Country]],Table124[Mixed Classification],"&gt;0")</f>
        <v>0</v>
      </c>
      <c r="OF154" s="6">
        <f>COUNTIFS(Table125[Country],Tabela1[[#This Row],[Country]],Table125[Aerials Classification],"&gt;0")</f>
        <v>0</v>
      </c>
      <c r="OG154" s="6">
        <f>COUNTIFS(Table125128[Country],Tabela1[[#This Row],[Country]],Table125128[Aerials Classification],"&gt;0")</f>
        <v>0</v>
      </c>
      <c r="OH154" s="6">
        <f>COUNTIFS(Table128[Country],Tabela1[[#This Row],[Country]],Table128[Mixed Aerials Classification],"&gt;0")</f>
        <v>0</v>
      </c>
      <c r="OI154" s="6">
        <f>COUNTIFS(Table125[Country],Tabela1[[#This Row],[Country]],Table125[Big Air Classification],"&gt;0")</f>
        <v>0</v>
      </c>
      <c r="OJ154" s="6">
        <f>COUNTIFS(Table125128[Country],Tabela1[[#This Row],[Country]],Table125128[Big Air Classification],"&gt;0")</f>
        <v>0</v>
      </c>
      <c r="OK154" s="6">
        <f>COUNTIFS(Table125[Country],Tabela1[[#This Row],[Country]],Table125[Dual Moguls Classification],"&gt;0")</f>
        <v>0</v>
      </c>
      <c r="OL154" s="6">
        <f>COUNTIFS(Table125128[Country],Tabela1[[#This Row],[Country]],Table125128[Dual Moguls Classification],"&gt;0")</f>
        <v>0</v>
      </c>
      <c r="OM154" s="6">
        <f>COUNTIFS(Table125[Country],Tabela1[[#This Row],[Country]],Table125[Halfpipe Classification],"&gt;0")</f>
        <v>0</v>
      </c>
      <c r="ON154" s="6">
        <f>COUNTIFS(Table125128[Country],Tabela1[[#This Row],[Country]],Table125128[Halfpipe Classification],"&gt;0")</f>
        <v>0</v>
      </c>
      <c r="OO154" s="6">
        <f>COUNTIFS(Table125[Country],Tabela1[[#This Row],[Country]],Table125[Moguls Classification],"&gt;0")</f>
        <v>0</v>
      </c>
      <c r="OP154" s="6">
        <f>COUNTIFS(Table125128[Country],Tabela1[[#This Row],[Country]],Table125128[Moguls Classification],"&gt;0")</f>
        <v>0</v>
      </c>
      <c r="OQ154" s="6">
        <f>COUNTIFS(Table125[Country],Tabela1[[#This Row],[Country]],Table125[Ski Cross Classification],"&gt;0")</f>
        <v>0</v>
      </c>
      <c r="OR154" s="6">
        <f>COUNTIFS(Table125128[Country],Tabela1[[#This Row],[Country]],Table125128[Ski Cross Classification],"&gt;0")</f>
        <v>0</v>
      </c>
      <c r="OS154" s="6">
        <f>COUNTIFS(Table125[Country],Tabela1[[#This Row],[Country]],Table125[Slopestyle Classification],"&gt;0")</f>
        <v>0</v>
      </c>
      <c r="OT154" s="6">
        <f>COUNTIFS(Table125128[Country],Tabela1[[#This Row],[Country]],Table125128[Slopestyle Classification],"&gt;0")</f>
        <v>0</v>
      </c>
      <c r="OU154" s="6">
        <f>COUNTIFS(Table119131[Country],Tabela1[[#This Row],[Country]],Table119131[Men''s Classification],"&gt;0")</f>
        <v>0</v>
      </c>
      <c r="OV154" s="6">
        <f>COUNTIFS(Table119131[Country],Tabela1[[#This Row],[Country]],Table119131[Women''s Classification],"&gt;0")</f>
        <v>0</v>
      </c>
      <c r="OW154" s="6">
        <f>COUNTIFS(Table131[Country],Tabela1[[#This Row],[Country]],Table131[Classification],"&gt;0")</f>
        <v>0</v>
      </c>
      <c r="OX154" s="6">
        <f>COUNTIFS(Table131134[Country],Tabela1[[#This Row],[Country]],Table131134[Classification],"&gt;0")</f>
        <v>0</v>
      </c>
      <c r="OY154" s="6">
        <f>COUNTIFS(Table134[Country],Tabela1[[#This Row],[Country]],Table134[Men''s Classification],"&gt;0")</f>
        <v>0</v>
      </c>
      <c r="OZ154" s="6">
        <f>COUNTIFS(Table134[Country],Tabela1[[#This Row],[Country]],Table134[Women''s Classification],"&gt;0")</f>
        <v>0</v>
      </c>
      <c r="PA154" s="6">
        <f>COUNTIFS(Table135[Country],Tabela1[[#This Row],[Country]],Table135[Mixed Relay Classification],"&gt;0")</f>
        <v>0</v>
      </c>
      <c r="PB154" s="6">
        <f>COUNTIFS(Table136[Country],Tabela1[[#This Row],[Country]],Table136[Individual Classification],"&gt;0")</f>
        <v>0</v>
      </c>
      <c r="PC154" s="6">
        <f>COUNTIFS(Table136[Country],Tabela1[[#This Row],[Country]],Table136[Sprint Classification],"&gt;0")</f>
        <v>0</v>
      </c>
      <c r="PD154" s="6">
        <f>COUNTIFS(Table137[Country],Tabela1[[#This Row],[Country]],Table137[Men''s Team Sprint Large Hill Classification],"&gt;0")</f>
        <v>0</v>
      </c>
      <c r="PE154" s="6">
        <f>COUNTIFS(Table138[Country],Tabela1[[#This Row],[Country]],Table138[500m Classification],"&gt;0")</f>
        <v>0</v>
      </c>
      <c r="PF154" s="6">
        <f>COUNTIFS(Table138141[Country],Tabela1[[#This Row],[Country]],Table138141[500m Classification],"&gt;0")</f>
        <v>0</v>
      </c>
      <c r="PG154" s="6">
        <f>COUNTIFS(Table138[Country],Tabela1[[#This Row],[Country]],Table138[1000m Classification],"&gt;0")</f>
        <v>0</v>
      </c>
      <c r="PH154" s="6">
        <f>COUNTIFS(Table138141[Country],Tabela1[[#This Row],[Country]],Table138141[1000m Classification],"&gt;0")</f>
        <v>0</v>
      </c>
      <c r="PI154" s="6">
        <f>COUNTIFS(Table138[Country],Tabela1[[#This Row],[Country]],Table138[1500m Classification],"&gt;0")</f>
        <v>0</v>
      </c>
      <c r="PJ154" s="6">
        <f>COUNTIFS(Table138141[Country],Tabela1[[#This Row],[Country]],Table138141[1500m Classification],"&gt;0")</f>
        <v>0</v>
      </c>
      <c r="PK154" s="6">
        <f>COUNTIFS(Table141[Country],Tabela1[[#This Row],[Country]],Table141[Men''s 5000m Relay Classification],"&gt;0")</f>
        <v>0</v>
      </c>
      <c r="PL154" s="6">
        <f>COUNTIFS(Table141[Country],Tabela1[[#This Row],[Country]],Table141[Women''s 3000m Relay Classification],"&gt;0")</f>
        <v>0</v>
      </c>
      <c r="PM154" s="6">
        <f>COUNTIFS(Table141[Country],Tabela1[[#This Row],[Country]],Table141[Mixed 2000m Relay Classification],"&gt;0")</f>
        <v>0</v>
      </c>
      <c r="PN154" s="6">
        <f>COUNTIFS(Table142[Country],Tabela1[[#This Row],[Country]],Table142[Classification],"&gt;0")</f>
        <v>0</v>
      </c>
      <c r="PO154" s="6">
        <f>COUNTIFS(Table142145[Country],Tabela1[[#This Row],[Country]],Table142145[Classification],"&gt;0")</f>
        <v>0</v>
      </c>
      <c r="PP154" s="6">
        <f>COUNTIFS(Tabela15[Country],Tabela1[[#This Row],[Country]],Tabela15[Mixed Team Classification],"&gt;0")</f>
        <v>0</v>
      </c>
      <c r="PQ154" s="6">
        <f>COUNTIFS(Table145[Country],Tabela1[[#This Row],[Country]],Table145[Large Hill Classification],"&gt;0")</f>
        <v>0</v>
      </c>
      <c r="PR154" s="6">
        <f>COUNTIFS(Table145[Country],Tabela1[[#This Row],[Country]],Table145[Normal Hill Classification],"&gt;0")</f>
        <v>0</v>
      </c>
      <c r="PS154" s="6">
        <f>COUNTIFS(Table145148[Country],Tabela1[[#This Row],[Country]],Table145148[Large Hill Classification],"&gt;0")</f>
        <v>0</v>
      </c>
      <c r="PT154" s="6">
        <f>COUNTIFS(Table145148[Country],Tabela1[[#This Row],[Country]],Table145148[Normal Hill Classification],"&gt;0")</f>
        <v>0</v>
      </c>
      <c r="PU154" s="6">
        <f>COUNTIFS(Table148[Country],Tabela1[[#This Row],[Country]],Table148[Men''s Super Team Classification],"&gt;0")</f>
        <v>0</v>
      </c>
      <c r="PV154" s="6">
        <f>COUNTIFS(Tabela114[Country],Tabela1[[#This Row],[Country]],Tabela114[Mixed Normal Hill Classification],"&gt;0")</f>
        <v>0</v>
      </c>
      <c r="PW154" s="6">
        <f>COUNTIFS(Tabela50[Country],Tabela1[[#This Row],[Country]],Tabela50[Sprint Classification],"&gt;0")</f>
        <v>0</v>
      </c>
      <c r="PX154" s="6">
        <f>COUNTIFS(Tabela50101[Country],Tabela1[[#This Row],[Country]],Tabela50101[Sprint Classification],"&gt;0")</f>
        <v>0</v>
      </c>
      <c r="PY154" s="6">
        <f>COUNTIFS(Tabela103[Country],Tabela1[[#This Row],[Country]],Tabela103[Mixed Relay Classification],"&gt;0")</f>
        <v>0</v>
      </c>
      <c r="PZ154" s="6">
        <f>COUNTIFS(Table149[Country],Tabela1[[#This Row],[Country]],Table149[Big Air Classification],"&gt;0")</f>
        <v>0</v>
      </c>
      <c r="QA154" s="6">
        <f>COUNTIFS(Table149152[Country],Tabela1[[#This Row],[Country]],Table149152[Big Air Classification],"&gt;0")</f>
        <v>0</v>
      </c>
      <c r="QB154" s="6">
        <f>COUNTIFS(Table149[Country],Tabela1[[#This Row],[Country]],Table149[Halfpipe Classification],"&gt;0")</f>
        <v>0</v>
      </c>
      <c r="QC154" s="6">
        <f>COUNTIFS(Table149152[Country],Tabela1[[#This Row],[Country]],Table149152[Halfpipe Classification],"&gt;0")</f>
        <v>0</v>
      </c>
      <c r="QD154" s="6">
        <f>COUNTIFS(Table149[Country],Tabela1[[#This Row],[Country]],Table149[Parallel Giant Slalom Classification],"&gt;0")</f>
        <v>0</v>
      </c>
      <c r="QE154" s="6">
        <f>COUNTIFS(Table149152[Country],Tabela1[[#This Row],[Country]],Table149152[Parallel Giant Slalom Classification],"&gt;0")</f>
        <v>0</v>
      </c>
      <c r="QF154" s="6">
        <f>COUNTIFS(Table149[Country],Tabela1[[#This Row],[Country]],Table149[Slopestyle Classification],"&gt;0")</f>
        <v>0</v>
      </c>
      <c r="QG154" s="6">
        <f>COUNTIFS(Table149152[Country],Tabela1[[#This Row],[Country]],Table149152[Slopestyle Classification],"&gt;0")</f>
        <v>0</v>
      </c>
      <c r="QH154" s="6">
        <f>COUNTIFS(Table149[Country],Tabela1[[#This Row],[Country]],Table149[Snowboard Cross Classification],"&gt;0")</f>
        <v>0</v>
      </c>
      <c r="QI154" s="6">
        <f>COUNTIFS(Table149152[Country],Tabela1[[#This Row],[Country]],Table149152[Snowboard Cross Classification],"&gt;0")</f>
        <v>0</v>
      </c>
      <c r="QJ154" s="6">
        <f>COUNTIFS(Table153[Country],Tabela1[[#This Row],[Country]],Table153[Mixed Team Snowboard Cross Classification],"&gt;0")</f>
        <v>0</v>
      </c>
      <c r="QK154" s="6">
        <f>COUNTIFS(Table154[Country],Tabela1[[#This Row],[Country]],Table154[500m Classification],"&gt;0")</f>
        <v>0</v>
      </c>
      <c r="QL154" s="6">
        <f>COUNTIFS(Table154157[Country],Tabela1[[#This Row],[Country]],Table154157[500m Classification],"&gt;0")</f>
        <v>0</v>
      </c>
      <c r="QM154" s="6">
        <f>COUNTIFS(Table154[Country],Tabela1[[#This Row],[Country]],Table154[1000m Classification],"&gt;0")</f>
        <v>0</v>
      </c>
      <c r="QN154" s="6">
        <f>COUNTIFS(Table154157[Country],Tabela1[[#This Row],[Country]],Table154157[1000m Classification],"&gt;0")</f>
        <v>0</v>
      </c>
      <c r="QO154" s="6">
        <f>COUNTIFS(Table154[Country],Tabela1[[#This Row],[Country]],Table154[1500m Classification],"&gt;0")</f>
        <v>0</v>
      </c>
      <c r="QP154" s="6">
        <f>COUNTIFS(Table154157[Country],Tabela1[[#This Row],[Country]],Table154157[1500m Classification],"&gt;0")</f>
        <v>0</v>
      </c>
      <c r="QQ154" s="6">
        <f>COUNTIFS(Table154157[Country],Tabela1[[#This Row],[Country]],Table154157[3000m Classification],"&gt;0")</f>
        <v>0</v>
      </c>
      <c r="QR154" s="6">
        <f>COUNTIFS(Table154[Country],Tabela1[[#This Row],[Country]],Table154[5000m Classification],"&gt;0")</f>
        <v>0</v>
      </c>
      <c r="QS154" s="6">
        <f>COUNTIFS(Table154157[Country],Tabela1[[#This Row],[Country]],Table154157[5000m Classification],"&gt;0")</f>
        <v>0</v>
      </c>
      <c r="QT154" s="6">
        <f>COUNTIFS(Table154[Country],Tabela1[[#This Row],[Country]],Table154[10000m Classification],"&gt;0")</f>
        <v>0</v>
      </c>
      <c r="QU154" s="6">
        <f>COUNTIFS(Table154[Country],Tabela1[[#This Row],[Country]],Table154[Mass Start Classification],"&gt;0")</f>
        <v>0</v>
      </c>
      <c r="QV154" s="6">
        <f>COUNTIFS(Table154157[Country],Tabela1[[#This Row],[Country]],Table154157[Mass Start Classification],"&gt;0")</f>
        <v>0</v>
      </c>
      <c r="QW154" s="6">
        <f>COUNTIFS(Table157[Country],Tabela1[[#This Row],[Country]],Table157[Men''s Pursuit Classification],"&gt;0")</f>
        <v>0</v>
      </c>
      <c r="QX154" s="6">
        <f>COUNTIFS(Table157[Country],Tabela1[[#This Row],[Country]],Table157[Women''s Pursuit Classification],"&gt;0")</f>
        <v>0</v>
      </c>
      <c r="QY154" s="4" t="s">
        <v>593</v>
      </c>
    </row>
    <row r="155" spans="1:467" x14ac:dyDescent="0.3">
      <c r="A155" s="6">
        <v>154</v>
      </c>
      <c r="B155" s="6" t="s">
        <v>418</v>
      </c>
      <c r="C155" t="e" vm="154">
        <f>IF(ISBLANK(Tabela1[[#This Row],[Image Link]]), "", _xlfn.IMAGE(Tabela1[[#This Row],[Image Link]],1,1))</f>
        <v>#VALUE!</v>
      </c>
      <c r="D155" s="6">
        <f>SUM(Tabela1[[#This Row],[Archery - Men''s Individual Recurve]:[Speed Skating - Women''s Team Pursuit]])</f>
        <v>0</v>
      </c>
      <c r="E155" s="6">
        <f>COUNTIF(Tabela1[[#This Row],[Archery - Men''s Individual Recurve]:[Speed Skating - Women''s Team Pursuit]],"&gt;0")</f>
        <v>0</v>
      </c>
      <c r="F155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55" s="6">
        <f>SUM(Tabela1[[#This Row],[Archery - Men''s Individual Recurve]:[Wrestling - Women''s Freestyle 76kg]])</f>
        <v>0</v>
      </c>
      <c r="H155" s="6">
        <f>SUM(Tabela1[[#This Row],[Alpine Skiing - Men''s Downhill]:[Speed Skating - Women''s Team Pursuit]])</f>
        <v>0</v>
      </c>
      <c r="I155" s="6">
        <f>Tabela1[[#This Row],[Summer Gold Medals]]+Tabela1[[#This Row],[Winter Gold Medals]]</f>
        <v>1</v>
      </c>
      <c r="J155" s="6">
        <f>Tabela1[[#This Row],[Summer Silver Medals]]+Tabela1[[#This Row],[Winter Silver Medals]]</f>
        <v>0</v>
      </c>
      <c r="K155" s="6">
        <f>Tabela1[[#This Row],[Summer Bronze Medals]]+Tabela1[[#This Row],[Winter Bronze Medals]]</f>
        <v>1</v>
      </c>
      <c r="L155" s="6">
        <f>SUM(Tabela1[[#This Row],[Total Gold Medals]:[Total Bronze Medals]])</f>
        <v>2</v>
      </c>
      <c r="M155" s="6">
        <v>1</v>
      </c>
      <c r="N155" s="6"/>
      <c r="O155" s="6">
        <v>1</v>
      </c>
      <c r="P155" s="6">
        <f>SUM(Tabela1[[#This Row],[Summer Gold Medals]:[Summer Bronze Medals]])</f>
        <v>2</v>
      </c>
      <c r="Q155" s="6"/>
      <c r="R155" s="6"/>
      <c r="S155" s="6"/>
      <c r="T155" s="6">
        <f>Tabela1[[#This Row],[Winter Gold Medals]]+Tabela1[[#This Row],[Winter Silver Medals]]+Tabela1[[#This Row],[Winter Bronze Medals]]</f>
        <v>0</v>
      </c>
      <c r="U155" s="7" t="e">
        <f>Tabela1[[#This Row],[Total Medals]]/Tabela1[[#This Row],[Total Quotas]]</f>
        <v>#DIV/0!</v>
      </c>
      <c r="V155" s="6">
        <f>COUNTIFS(Table3[Country],Tabela1[[#This Row],[Country]],Table3[Recurve Classification],"&gt;0")</f>
        <v>0</v>
      </c>
      <c r="W155" s="6">
        <f>COUNTIFS(Table33[Country],Tabela1[[#This Row],[Country]],Table33[Recurve Classification],"&gt;0")</f>
        <v>0</v>
      </c>
      <c r="X155" s="6">
        <f>COUNTIFS(Table35[Country],Tabela1[[#This Row],[Country]],Table35[Men''s Team Recurve Classification],"&gt;0")</f>
        <v>0</v>
      </c>
      <c r="Y155" s="6">
        <f>COUNTIFS(Table35[Country],Tabela1[[#This Row],[Country]],Table35[Women''s Team Recurve Classification],"&gt;0")</f>
        <v>0</v>
      </c>
      <c r="Z155" s="6">
        <f>COUNTIFS(Tabela88[Country],Tabela1[[#This Row],[Country]],Tabela88[Mixed Team Recurve Classification],"&gt;0")</f>
        <v>0</v>
      </c>
      <c r="AA155" s="6">
        <f>COUNTIFS(Table36[Country],Tabela1[[#This Row],[Country]],Table36[Classification],"&gt;0")</f>
        <v>0</v>
      </c>
      <c r="AB155" s="6">
        <f>COUNTIFS(Table37[Country],Tabela1[[#This Row],[Country]],Table37[Classification],"&gt;0")</f>
        <v>0</v>
      </c>
      <c r="AC155" s="6">
        <f>COUNTIFS(Table4[Country],Tabela1[[#This Row],[Country]],Table4[100m Classification],"&gt;0")</f>
        <v>0</v>
      </c>
      <c r="AD155" s="6">
        <f>COUNTIFS(Table5[Country],Tabela1[[#This Row],[Country]],Table5[100m Classification],"&gt;0")</f>
        <v>0</v>
      </c>
      <c r="AE155" s="6">
        <f>COUNTIFS(Table4[Country],Tabela1[[#This Row],[Country]],Table4[200m Classification],"&gt;0")</f>
        <v>0</v>
      </c>
      <c r="AF155" s="6">
        <f>COUNTIFS(Table5[Country],Tabela1[[#This Row],[Country]],Table5[200m Classification],"&gt;0")</f>
        <v>0</v>
      </c>
      <c r="AG155" s="6">
        <f>COUNTIFS(Table4[Country],Tabela1[[#This Row],[Country]],Table4[400m Classification],"&gt;0")</f>
        <v>0</v>
      </c>
      <c r="AH155" s="6">
        <f>COUNTIFS(Table5[Country],Tabela1[[#This Row],[Country]],Table5[400m Classification],"&gt;0")</f>
        <v>0</v>
      </c>
      <c r="AI155" s="6">
        <f>COUNTIFS(Table4[Country],Tabela1[[#This Row],[Country]],Table4[800m Classification],"&gt;0")</f>
        <v>0</v>
      </c>
      <c r="AJ155" s="6">
        <f>COUNTIFS(Table5[Country],Tabela1[[#This Row],[Country]],Table5[800m Classification],"&gt;0")</f>
        <v>0</v>
      </c>
      <c r="AK155" s="6">
        <f>COUNTIFS(Table4[Country],Tabela1[[#This Row],[Country]],Table4[1500m Classification],"&gt;0")</f>
        <v>0</v>
      </c>
      <c r="AL155" s="6">
        <f>COUNTIFS(Table5[Country],Tabela1[[#This Row],[Country]],Table5[1500m Classification],"&gt;0")</f>
        <v>0</v>
      </c>
      <c r="AM155" s="6">
        <f>COUNTIFS(Table4[Country],Tabela1[[#This Row],[Country]],Table4[5000m Classification],"&gt;0")</f>
        <v>0</v>
      </c>
      <c r="AN155" s="6">
        <f>COUNTIFS(Table5[Country],Tabela1[[#This Row],[Country]],Table5[5000m Classification],"&gt;0")</f>
        <v>0</v>
      </c>
      <c r="AO155" s="6">
        <f>COUNTIFS(Table4[Country],Tabela1[[#This Row],[Country]],Table4[10000m Classification],"&gt;0")</f>
        <v>0</v>
      </c>
      <c r="AP155" s="6">
        <f>COUNTIFS(Table5[Country],Tabela1[[#This Row],[Country]],Table5[10000m Classification],"&gt;0")</f>
        <v>0</v>
      </c>
      <c r="AQ155" s="6">
        <f>COUNTIFS(Table4[Country],Tabela1[[#This Row],[Country]],Table4[110m Hurdles Classification],"&gt;0")</f>
        <v>0</v>
      </c>
      <c r="AR155" s="6">
        <f>COUNTIFS(Table5[Country],Tabela1[[#This Row],[Country]],Table5[100m Hurdles Classification],"&gt;0")</f>
        <v>0</v>
      </c>
      <c r="AS155" s="6">
        <f>COUNTIFS(Table4[Country],Tabela1[[#This Row],[Country]],Table4[400m Hurdles Classification],"&gt;0")</f>
        <v>0</v>
      </c>
      <c r="AT155" s="6">
        <f>COUNTIFS(Table5[Country],Tabela1[[#This Row],[Country]],Table5[400m Hurdles Classification],"&gt;0")</f>
        <v>0</v>
      </c>
      <c r="AU155" s="6">
        <f>COUNTIFS(Table4[Country],Tabela1[[#This Row],[Country]],Table4[3000m Steeplechase Classification],"&gt;0")</f>
        <v>0</v>
      </c>
      <c r="AV155" s="6">
        <f>COUNTIFS(Table5[Country],Tabela1[[#This Row],[Country]],Table5[3000m Steeplechase Classification],"&gt;0")</f>
        <v>0</v>
      </c>
      <c r="AW155" s="6">
        <f>COUNTIFS(Table27[Country],Tabela1[[#This Row],[Country]],Table27[Men''s 4x100m Relay Classification],"&gt;0")</f>
        <v>0</v>
      </c>
      <c r="AX155" s="6">
        <f>COUNTIFS(Table27[Country],Tabela1[[#This Row],[Country]],Table27[Women''s 4x100m Relay Classification],"&gt;0")</f>
        <v>0</v>
      </c>
      <c r="AY155" s="6">
        <f>COUNTIFS(Table27[Country],Tabela1[[#This Row],[Country]],Table27[Men''s 4x400m Relay Classification],"&gt;0")</f>
        <v>0</v>
      </c>
      <c r="AZ155" s="6">
        <f>COUNTIFS(Table27[Country],Tabela1[[#This Row],[Country]],Table27[Women''s 4x400m Relay Classification],"&gt;0")</f>
        <v>0</v>
      </c>
      <c r="BA155" s="6">
        <f>COUNTIFS(Table27[Country],Tabela1[[#This Row],[Country]],Table27[Mixed 4x400m Relay Classification],"&gt;0")</f>
        <v>0</v>
      </c>
      <c r="BB155" s="6">
        <f>COUNTIFS(Table4[Country],Tabela1[[#This Row],[Country]],Table4[Marathon Classification],"&gt;0")</f>
        <v>0</v>
      </c>
      <c r="BC155" s="6">
        <f>COUNTIFS(Table5[Country],Tabela1[[#This Row],[Country]],Table5[Marathon Classification],"&gt;0")</f>
        <v>0</v>
      </c>
      <c r="BD155" s="6">
        <f>COUNTIFS(Table4[Country],Tabela1[[#This Row],[Country]],Table4[20km Race Walk Classification],"&gt;0")</f>
        <v>0</v>
      </c>
      <c r="BE155" s="6">
        <f>COUNTIFS(Table5[Country],Tabela1[[#This Row],[Country]],Table5[20km Race Walk Classification],"&gt;0")</f>
        <v>0</v>
      </c>
      <c r="BF155" s="6">
        <f>COUNTIFS(Tabela96[Country],Tabela1[[#This Row],[Country]],Tabela96[Mixed Marathon Race Walk Relay Classification],"&gt;0")</f>
        <v>0</v>
      </c>
      <c r="BG155" s="6">
        <f>COUNTIFS(Table4[Country],Tabela1[[#This Row],[Country]],Table4[Discus Throw Classification],"&gt;0")</f>
        <v>0</v>
      </c>
      <c r="BH155" s="6">
        <f>COUNTIFS(Table5[Country],Tabela1[[#This Row],[Country]],Table5[Discus Throw Classification],"&gt;0")</f>
        <v>0</v>
      </c>
      <c r="BI155" s="6">
        <f>COUNTIFS(Table4[Country],Tabela1[[#This Row],[Country]],Table4[Hammer Throw Classification],"&gt;0")</f>
        <v>0</v>
      </c>
      <c r="BJ155" s="6">
        <f>COUNTIFS(Table5[Country],Tabela1[[#This Row],[Country]],Table5[Hammer Throw Classification],"&gt;0")</f>
        <v>0</v>
      </c>
      <c r="BK155" s="6">
        <f>COUNTIFS(Table4[Country],Tabela1[[#This Row],[Country]],Table4[High Jump Classification],"&gt;0")</f>
        <v>0</v>
      </c>
      <c r="BL155" s="6">
        <f>COUNTIFS(Table5[Country],Tabela1[[#This Row],[Country]],Table5[High Jump Classification],"&gt;0")</f>
        <v>0</v>
      </c>
      <c r="BM155" s="6">
        <f>COUNTIFS(Table4[Country],Tabela1[[#This Row],[Country]],Table4[Javelin Throw Classification],"&gt;0")</f>
        <v>0</v>
      </c>
      <c r="BN155" s="6">
        <f>COUNTIFS(Table5[Country],Tabela1[[#This Row],[Country]],Table5[Javelin Throw Classification],"&gt;0")</f>
        <v>0</v>
      </c>
      <c r="BO155" s="6">
        <f>COUNTIFS(Table4[Country],Tabela1[[#This Row],[Country]],Table4[Long Jump Classification],"&gt;0")</f>
        <v>0</v>
      </c>
      <c r="BP155" s="6">
        <f>COUNTIFS(Table5[Country],Tabela1[[#This Row],[Country]],Table5[Long Jump Classification],"&gt;0")</f>
        <v>0</v>
      </c>
      <c r="BQ155" s="6">
        <f>COUNTIFS(Table4[Country],Tabela1[[#This Row],[Country]],Table4[Pole Vault Classification],"&gt;0")</f>
        <v>0</v>
      </c>
      <c r="BR155" s="6">
        <f>COUNTIFS(Table5[Country],Tabela1[[#This Row],[Country]],Table5[Pole Vault Classification],"&gt;0")</f>
        <v>0</v>
      </c>
      <c r="BS155" s="6">
        <f>COUNTIFS(Table4[Country],Tabela1[[#This Row],[Country]],Table4[Shot Put Classification],"&gt;0")</f>
        <v>0</v>
      </c>
      <c r="BT155" s="6">
        <f>COUNTIFS(Table5[Country],Tabela1[[#This Row],[Country]],Table5[Shot Put Classification],"&gt;0")</f>
        <v>0</v>
      </c>
      <c r="BU155" s="6">
        <f>COUNTIFS(Table4[Country],Tabela1[[#This Row],[Country]],Table4[Triple Jump Classification],"&gt;0")</f>
        <v>0</v>
      </c>
      <c r="BV155" s="6">
        <f>COUNTIFS(Table5[Country],Tabela1[[#This Row],[Country]],Table5[Triple Jump Classification],"&gt;0")</f>
        <v>0</v>
      </c>
      <c r="BW155" s="6">
        <f>COUNTIFS(Table4[Country],Tabela1[[#This Row],[Country]],Table4[Decathlon Classification],"&gt;0")</f>
        <v>0</v>
      </c>
      <c r="BX155" s="6">
        <f>COUNTIFS(Table5[Country],Tabela1[[#This Row],[Country]],Table5[Heptathlon Classification],"&gt;0")</f>
        <v>0</v>
      </c>
      <c r="BY155" s="6">
        <f>COUNTIFS(Table61[Country],Tabela1[[#This Row],[Country]],Table61[Classification],"&gt;0")</f>
        <v>0</v>
      </c>
      <c r="BZ155" s="6">
        <f>COUNTIFS(Table38[Country],Tabela1[[#This Row],[Country]],Table38[Classification],"&gt;0")</f>
        <v>0</v>
      </c>
      <c r="CA155" s="6">
        <f>COUNTIFS(Table39[Country],Tabela1[[#This Row],[Country]],Table39[Men''s Classification],"&gt;0")</f>
        <v>0</v>
      </c>
      <c r="CB155" s="6">
        <f>COUNTIFS(Table39[Country],Tabela1[[#This Row],[Country]],Table39[Women''s Classification],"&gt;0")</f>
        <v>0</v>
      </c>
      <c r="CC155" s="6">
        <f>COUNTIFS(Table39[Country],Tabela1[[#This Row],[Country]],Table39[Mixed Classification],"&gt;0")</f>
        <v>0</v>
      </c>
      <c r="CD155" s="6">
        <f>COUNTIFS(Table89[Country],Tabela1[[#This Row],[Country]],Table89[Men''s Classification],"&gt;0")</f>
        <v>0</v>
      </c>
      <c r="CE155" s="6">
        <f>COUNTIFS(Table89[Country],Tabela1[[#This Row],[Country]],Table89[Women''s Classification],"&gt;0")</f>
        <v>0</v>
      </c>
      <c r="CF155" s="6">
        <f>COUNTIFS(Table90[Country],Tabela1[[#This Row],[Country]],Table90[Men''s Classification],"&gt;0")</f>
        <v>0</v>
      </c>
      <c r="CG155" s="6">
        <f>COUNTIFS(Table90[Country],Tabela1[[#This Row],[Country]],Table90[Women''s Classification],"&gt;0")</f>
        <v>0</v>
      </c>
      <c r="CH155" s="6">
        <f>COUNTIFS(Table60[Country],Tabela1[[#This Row],[Country]],Table60[Men''s Classification],"&gt;0")</f>
        <v>0</v>
      </c>
      <c r="CI155" s="6">
        <f>COUNTIFS(Table60[Country],Tabela1[[#This Row],[Country]],Table60[Women''s Classification],"&gt;0")</f>
        <v>0</v>
      </c>
      <c r="CJ155" s="6">
        <f>COUNTIFS(Table6[Country],Tabela1[[#This Row],[Country]],Table6[51kg Classification],"&gt;0")</f>
        <v>0</v>
      </c>
      <c r="CK155" s="6">
        <f>COUNTIFS(Table6[Country],Tabela1[[#This Row],[Country]],Table6[57kg Classification],"&gt;0")</f>
        <v>0</v>
      </c>
      <c r="CL155" s="6">
        <f>COUNTIFS(Table6[Country],Tabela1[[#This Row],[Country]],Table6[63.5kg Classification],"&gt;0")</f>
        <v>0</v>
      </c>
      <c r="CM155" s="6">
        <f>COUNTIFS(Table6[Country],Tabela1[[#This Row],[Country]],Table6[71kg Classification],"&gt;0")</f>
        <v>0</v>
      </c>
      <c r="CN155" s="6">
        <f>COUNTIFS(Table6[Country],Tabela1[[#This Row],[Country]],Table6[80kg Classification],"&gt;0")</f>
        <v>0</v>
      </c>
      <c r="CO155" s="6">
        <f>COUNTIFS(Table6[Country],Tabela1[[#This Row],[Country]],Table6[92kg Classification],"&gt;0")</f>
        <v>0</v>
      </c>
      <c r="CP155" s="6">
        <f>COUNTIFS(Table6[Country],Tabela1[[#This Row],[Country]],Table6[Plus 92kg Classification],"&gt;0")</f>
        <v>0</v>
      </c>
      <c r="CQ155" s="6">
        <f>COUNTIFS(Table7[Country],Tabela1[[#This Row],[Country]],Table7[50kg Classification],"&gt;0")</f>
        <v>0</v>
      </c>
      <c r="CR155" s="6">
        <f>COUNTIFS(Table7[Country],Tabela1[[#This Row],[Country]],Table7[54kg Classification],"&gt;0")</f>
        <v>0</v>
      </c>
      <c r="CS155" s="6">
        <f>COUNTIFS(Table7[Country],Tabela1[[#This Row],[Country]],Table7[57kg Classification],"&gt;0")</f>
        <v>0</v>
      </c>
      <c r="CT155" s="6">
        <f>COUNTIFS(Table7[Country],Tabela1[[#This Row],[Country]],Table7[60kg Classification],"&gt;0")</f>
        <v>0</v>
      </c>
      <c r="CU155" s="6">
        <f>COUNTIFS(Table7[Country],Tabela1[[#This Row],[Country]],Table7[66kg Classification],"&gt;0")</f>
        <v>0</v>
      </c>
      <c r="CV155" s="6">
        <f>COUNTIFS(Table7[Country],Tabela1[[#This Row],[Country]],Table7[75kg Classification],"&gt;0")</f>
        <v>0</v>
      </c>
      <c r="CW155" s="6">
        <f>COUNTIFS(Tabela94[Country],Tabela1[[#This Row],[Country]],Tabela94[Classification],"&gt;0")</f>
        <v>0</v>
      </c>
      <c r="CX155" s="6">
        <f>COUNTIFS(Tabela9499[Country],Tabela1[[#This Row],[Country]],Tabela9499[Classification],"&gt;0")</f>
        <v>0</v>
      </c>
      <c r="CY155" s="6">
        <f>COUNTIFS(Tabela107[Country],Tabela1[[#This Row],[Country]],Tabela107[C1 Slalom Classification],"&gt;0")</f>
        <v>0</v>
      </c>
      <c r="CZ155" s="6">
        <f>COUNTIFS(Tabela107122[Country],Tabela1[[#This Row],[Country]],Tabela107122[C1 Slalom Classification],"&gt;0")</f>
        <v>0</v>
      </c>
      <c r="DA155" s="6">
        <f>COUNTIFS(Tabela107[Country],Tabela1[[#This Row],[Country]],Tabela107[K1 Slalom Classification],"&gt;0")</f>
        <v>0</v>
      </c>
      <c r="DB155" s="6">
        <f>COUNTIFS(Tabela107122[Country],Tabela1[[#This Row],[Country]],Tabela107122[K1 Slalom Classification],"&gt;0")</f>
        <v>0</v>
      </c>
      <c r="DC155" s="6">
        <f>COUNTIFS(Tabela107[Country],Tabela1[[#This Row],[Country]],Tabela107[Kayak Cross Slalom Classification],"&gt;0")</f>
        <v>0</v>
      </c>
      <c r="DD155" s="6">
        <f>COUNTIFS(Tabela107122[Country],Tabela1[[#This Row],[Country]],Tabela107122[Kayak Cross Slalom Classification],"&gt;0")</f>
        <v>0</v>
      </c>
      <c r="DE155" s="6">
        <f>COUNTIFS(Table8[Country],Tabela1[[#This Row],[Country]],Table8[C1 200m Classification],"&gt;0")</f>
        <v>0</v>
      </c>
      <c r="DF155" s="6">
        <f>COUNTIFS(Table40[Country],Tabela1[[#This Row],[Country]],Table40[C1 1000m Classification],"&gt;0")</f>
        <v>0</v>
      </c>
      <c r="DG155" s="6">
        <f>COUNTIFS(Table68[Country],Tabela1[[#This Row],[Country]],Table68[Men''s C2 500m Classification],"&gt;0")</f>
        <v>0</v>
      </c>
      <c r="DH155" s="6">
        <f>COUNTIFS(Table68[Country],Tabela1[[#This Row],[Country]],Table68[Women''s C2 500m Classification],"&gt;0")</f>
        <v>0</v>
      </c>
      <c r="DI155" s="6">
        <f>COUNTIFS(Table8[Country],Tabela1[[#This Row],[Country]],Table8[K1 500m Classification],"&gt;0")</f>
        <v>0</v>
      </c>
      <c r="DJ155" s="6">
        <f>COUNTIFS(Table40[Country],Tabela1[[#This Row],[Country]],Table40[K1 1000m Classification],"&gt;0")</f>
        <v>0</v>
      </c>
      <c r="DK155" s="6">
        <f>COUNTIFS(Table68[Country],Tabela1[[#This Row],[Country]],Table68[Men''s K2 500m Classification],"&gt;0")</f>
        <v>0</v>
      </c>
      <c r="DL155" s="6">
        <f>COUNTIFS(Table68[Country],Tabela1[[#This Row],[Country]],Table68[Women''s K2 500m Classification],"&gt;0")</f>
        <v>0</v>
      </c>
      <c r="DM155" s="6">
        <f>COUNTIFS(Table83[Country],Tabela1[[#This Row],[Country]],Table83[Men''s K4 500m Classification],"&gt;0")</f>
        <v>0</v>
      </c>
      <c r="DN155" s="6">
        <f>COUNTIFS(Table83[Country],Tabela1[[#This Row],[Country]],Table83[Women''s K4 500m Classification],"&gt;0")</f>
        <v>0</v>
      </c>
      <c r="DO155" s="6">
        <f>COUNTIFS(Tabela126[Country],Tabela1[[#This Row],[Country]],Tabela126[Classification],"&gt;0")</f>
        <v>0</v>
      </c>
      <c r="DP155" s="6">
        <f>COUNTIFS(Tabela126130[Country],Tabela1[[#This Row],[Country]],Tabela126130[Classification],"&gt;0")</f>
        <v>0</v>
      </c>
      <c r="DQ155" s="6">
        <f>COUNTIFS(Table70[Country],Tabela1[[#This Row],[Country]],Table70[Classification],"&gt;0")</f>
        <v>0</v>
      </c>
      <c r="DR155" s="6">
        <f>COUNTIFS(Table80[Country],Tabela1[[#This Row],[Country]],Table80[Classification],"&gt;0")</f>
        <v>0</v>
      </c>
      <c r="DS155" s="6">
        <f>COUNTIFS(Table66[Country],Tabela1[[#This Row],[Country]],Table66[Classification],"&gt;0")</f>
        <v>0</v>
      </c>
      <c r="DT155" s="6">
        <f>COUNTIFS(Table67[Country],Tabela1[[#This Row],[Country]],Table67[Classification],"&gt;0")</f>
        <v>0</v>
      </c>
      <c r="DU155" s="6">
        <f>COUNTIFS(Table69[Country],Tabela1[[#This Row],[Country]],Table69[Keirin Classification],"&gt;0")</f>
        <v>0</v>
      </c>
      <c r="DV155" s="6">
        <f>COUNTIFS(Table41[Country],Tabela1[[#This Row],[Country]],Table41[Keirin Classification],"&gt;0")</f>
        <v>0</v>
      </c>
      <c r="DW155" s="6">
        <f>COUNTIFS(Table84[Country],Tabela1[[#This Row],[Country]],Table84[Men''s Madison Classification],"&gt;0")</f>
        <v>0</v>
      </c>
      <c r="DX155" s="6">
        <f>COUNTIFS(Table84[Country],Tabela1[[#This Row],[Country]],Table84[Women''s Madison Classification],"&gt;0")</f>
        <v>0</v>
      </c>
      <c r="DY155" s="6">
        <f>COUNTIFS(Table69[Country],Tabela1[[#This Row],[Country]],Table69[Omnium Classification],"&gt;0")</f>
        <v>0</v>
      </c>
      <c r="DZ155" s="6">
        <f>COUNTIFS(Table41[Country],Tabela1[[#This Row],[Country]],Table41[Omnium Classification],"&gt;0")</f>
        <v>0</v>
      </c>
      <c r="EA155" s="6">
        <f>COUNTIFS(Table9[Country],Tabela1[[#This Row],[Country]],Table9[Road Race Classification],"&gt;0")</f>
        <v>0</v>
      </c>
      <c r="EB155" s="6">
        <f>COUNTIFS(Table14[Country],Tabela1[[#This Row],[Country]],Table14[Road Race Classification],"&gt;0")</f>
        <v>0</v>
      </c>
      <c r="EC155" s="6">
        <f>COUNTIFS(Table69[Country],Tabela1[[#This Row],[Country]],Table69[Sprint Classification],"&gt;0")</f>
        <v>0</v>
      </c>
      <c r="ED155" s="6">
        <f>COUNTIFS(Table41[Country],Tabela1[[#This Row],[Country]],Table41[Sprint Classification],"&gt;0")</f>
        <v>0</v>
      </c>
      <c r="EE155" s="6">
        <f>COUNTIFS(Table85[Country],Tabela1[[#This Row],[Country]],Table85[Men''s Sprint Classification],"&gt;0")</f>
        <v>0</v>
      </c>
      <c r="EF155" s="6">
        <f>COUNTIFS(Table85[Country],Tabela1[[#This Row],[Country]],Table85[Women''s Sprint Classification],"&gt;0")</f>
        <v>0</v>
      </c>
      <c r="EG155" s="6">
        <f>COUNTIFS(Table85[Country],Tabela1[[#This Row],[Country]],Table85[Men''s Pursuit Classification],"&gt;0")</f>
        <v>0</v>
      </c>
      <c r="EH155" s="6">
        <f>COUNTIFS(Table85[Country],Tabela1[[#This Row],[Country]],Table85[Women''s Pursuit Classification],"&gt;0")</f>
        <v>0</v>
      </c>
      <c r="EI155" s="6">
        <f>COUNTIFS(Table9[Country],Tabela1[[#This Row],[Country]],Table9[Time-Trial Classification],"&gt;0")</f>
        <v>0</v>
      </c>
      <c r="EJ155" s="6">
        <f>COUNTIFS(Table14[Country],Tabela1[[#This Row],[Country]],Table14[Time-Trial Classification],"&gt;0")</f>
        <v>0</v>
      </c>
      <c r="EK155" s="6">
        <f>COUNTIFS(Table42[Country],Tabela1[[#This Row],[Country]],Table42[Springboard Classification],"&gt;0")</f>
        <v>0</v>
      </c>
      <c r="EL155" s="6">
        <f>COUNTIFS(Table43[Country],Tabela1[[#This Row],[Country]],Table43[Springboard Classification],"&gt;0")</f>
        <v>0</v>
      </c>
      <c r="EM155" s="6">
        <f>COUNTIFS(Table42[Country],Tabela1[[#This Row],[Country]],Table42[Platform Classification],"&gt;0")</f>
        <v>0</v>
      </c>
      <c r="EN155" s="6">
        <f>COUNTIFS(Table43[Country],Tabela1[[#This Row],[Country]],Table43[Platform Classification],"&gt;0")</f>
        <v>0</v>
      </c>
      <c r="EO155" s="6">
        <f>COUNTIFS(Table86[Country],Tabela1[[#This Row],[Country]],Table86[Men''s Synchronized Springboard Classification],"&gt;0")</f>
        <v>0</v>
      </c>
      <c r="EP155" s="6">
        <f>COUNTIFS(Table86[Country],Tabela1[[#This Row],[Country]],Table86[Women''s Synchronized Springboard Classification],"&gt;0")</f>
        <v>0</v>
      </c>
      <c r="EQ155" s="6">
        <f>COUNTIFS(Table86[Country],Tabela1[[#This Row],[Country]],Table86[Men''s Synchronized Platform Classification],"&gt;0")</f>
        <v>0</v>
      </c>
      <c r="ER155" s="6">
        <f>COUNTIFS(Table86[Country],Tabela1[[#This Row],[Country]],Table86[Women''s Synchronized Platform Classification],"&gt;0")</f>
        <v>0</v>
      </c>
      <c r="ES155" s="6">
        <f>COUNTIFS(Table44[Country],Tabela1[[#This Row],[Country]],Table44[Dressage Classification],"&gt;0")</f>
        <v>0</v>
      </c>
      <c r="ET155" s="6">
        <f>COUNTIFS(Table45[Country],Tabela1[[#This Row],[Country]],Table45[Dressage Classification],"&gt;0")</f>
        <v>0</v>
      </c>
      <c r="EU155" s="6">
        <f>COUNTIFS(Table44[Country],Tabela1[[#This Row],[Country]],Table44[Eventing Classification],"&gt;0")</f>
        <v>0</v>
      </c>
      <c r="EV155" s="6">
        <f>COUNTIFS(Table45[Country],Tabela1[[#This Row],[Country]],Table45[Eventing Classification],"&gt;0")</f>
        <v>0</v>
      </c>
      <c r="EW155" s="6">
        <f>COUNTIFS(Table44[Country],Tabela1[[#This Row],[Country]],Table44[Jumping Classification],"&gt;0")</f>
        <v>0</v>
      </c>
      <c r="EX155" s="6">
        <f>COUNTIFS(Table45[Country],Tabela1[[#This Row],[Country]],Table45[Jumping Classification],"&gt;0")</f>
        <v>0</v>
      </c>
      <c r="EY155" s="6">
        <f>COUNTIFS(Table10[Country],Tabela1[[#This Row],[Country]],Table10[Épée Classification],"&gt;0")</f>
        <v>0</v>
      </c>
      <c r="EZ155" s="6">
        <f>COUNTIFS(Table11[Country],Tabela1[[#This Row],[Country]],Table11[Épée Classification],"&gt;0")</f>
        <v>0</v>
      </c>
      <c r="FA155" s="6">
        <f>COUNTIFS(Table46[Country],Tabela1[[#This Row],[Country]],Table46[Men''s Épée Classification],"&gt;0")</f>
        <v>0</v>
      </c>
      <c r="FB155" s="6">
        <f>COUNTIFS(Table46[Country],Tabela1[[#This Row],[Country]],Table46[Women''s Épée Classification],"&gt;0")</f>
        <v>0</v>
      </c>
      <c r="FC155" s="6">
        <f>COUNTIFS(Table10[Country],Tabela1[[#This Row],[Country]],Table10[Foil Classification],"&gt;0")</f>
        <v>0</v>
      </c>
      <c r="FD155" s="6">
        <f>COUNTIFS(Table11[Country],Tabela1[[#This Row],[Country]],Table11[Foil Classification],"&gt;0")</f>
        <v>0</v>
      </c>
      <c r="FE155" s="6">
        <f>COUNTIFS(Table46[Country],Tabela1[[#This Row],[Country]],Table46[Men''s Foil Classification],"&gt;0")</f>
        <v>0</v>
      </c>
      <c r="FF155" s="6">
        <f>COUNTIFS(Table46[Country],Tabela1[[#This Row],[Country]],Table46[Women''s Foil Classification],"&gt;0")</f>
        <v>0</v>
      </c>
      <c r="FG155" s="6">
        <f>COUNTIFS(Table10[Country],Tabela1[[#This Row],[Country]],Table10[Sabre Classification],"&gt;0")</f>
        <v>0</v>
      </c>
      <c r="FH155" s="6">
        <f>COUNTIFS(Table11[Country],Tabela1[[#This Row],[Country]],Table11[Sabre Classification],"&gt;0")</f>
        <v>0</v>
      </c>
      <c r="FI155" s="6">
        <f>COUNTIFS(Table46[Country],Tabela1[[#This Row],[Country]],Table46[Men''s Sabre Classification],"&gt;0")</f>
        <v>0</v>
      </c>
      <c r="FJ155" s="6">
        <f>COUNTIFS(Table46[Country],Tabela1[[#This Row],[Country]],Table46[Women''s Sabre Classification],"&gt;0")</f>
        <v>0</v>
      </c>
      <c r="FK155" s="6">
        <f>COUNTIFS(Table91[Country],Tabela1[[#This Row],[Country]],Table91[Men''s Classification],"&gt;0")</f>
        <v>0</v>
      </c>
      <c r="FL155" s="6">
        <f>COUNTIFS(Table91[Country],Tabela1[[#This Row],[Country]],Table91[Women''s Classification],"&gt;0")</f>
        <v>0</v>
      </c>
      <c r="FM155" s="6">
        <f>COUNTIFS(Table9194[Country],Tabela1[[#This Row],[Country]],Table9194[Men''s Classification],"&gt;0")</f>
        <v>0</v>
      </c>
      <c r="FN155" s="6">
        <f>COUNTIFS(Table9194[Country],Tabela1[[#This Row],[Country]],Table9194[Women''s Classification],"&gt;0")</f>
        <v>0</v>
      </c>
      <c r="FO155" s="6">
        <f>COUNTIFS(Table71[Country],Tabela1[[#This Row],[Country]],Table71[Classification],"&gt;0")</f>
        <v>0</v>
      </c>
      <c r="FP155" s="6">
        <f>COUNTIFS(Table62[Country],Tabela1[[#This Row],[Country]],Table62[Classification],"&gt;0")</f>
        <v>0</v>
      </c>
      <c r="FQ155" s="6">
        <f>COUNTIFS(Table47[Country],Tabela1[[#This Row],[Country]],Table47[All-Around Classification],"&gt;0")</f>
        <v>0</v>
      </c>
      <c r="FR155" s="6">
        <f>COUNTIFS(Table48[Country],Tabela1[[#This Row],[Country]],Table48[All-Around Classification],"&gt;0")</f>
        <v>0</v>
      </c>
      <c r="FS155" s="6">
        <f>COUNTIFS(Table81[Country],Tabela1[[#This Row],[Country]],Table81[Men''s All-Around Classification],"&gt;0")</f>
        <v>0</v>
      </c>
      <c r="FT155" s="6">
        <f>COUNTIFS(Table81[Country],Tabela1[[#This Row],[Country]],Table81[Women''s All-Around Classification],"&gt;0")</f>
        <v>0</v>
      </c>
      <c r="FU155" s="6">
        <f>COUNTIFS(Table48[Country],Tabela1[[#This Row],[Country]],Table48[Balance Beam Classification],"&gt;0")</f>
        <v>0</v>
      </c>
      <c r="FV155" s="6">
        <f>COUNTIFS(Table47[Country],Tabela1[[#This Row],[Country]],Table47[Floor Exercise Classification],"&gt;0")</f>
        <v>0</v>
      </c>
      <c r="FW155" s="6">
        <f>COUNTIFS(Table48[Country],Tabela1[[#This Row],[Country]],Table48[Floor Exercise Classification],"&gt;0")</f>
        <v>0</v>
      </c>
      <c r="FX155" s="6">
        <f>COUNTIFS(Table47[Country],Tabela1[[#This Row],[Country]],Table47[Horizontal Bar Classification],"&gt;0")</f>
        <v>0</v>
      </c>
      <c r="FY155" s="6">
        <f>COUNTIFS(Table47[Country],Tabela1[[#This Row],[Country]],Table47[Parallel Bars Classification],"&gt;0")</f>
        <v>0</v>
      </c>
      <c r="FZ155" s="6">
        <f>COUNTIFS(Table47[Country],Tabela1[[#This Row],[Country]],Table47[Pommel Horse Classification],"&gt;0")</f>
        <v>0</v>
      </c>
      <c r="GA155" s="6">
        <f>COUNTIFS(Table47[Country],Tabela1[[#This Row],[Country]],Table47[Rings Classification],"&gt;0")</f>
        <v>0</v>
      </c>
      <c r="GB155" s="6">
        <f>COUNTIFS(Tabela132[Country],Tabela1[[#This Row],[Country]],Tabela132[Classification],"&gt;0")</f>
        <v>0</v>
      </c>
      <c r="GC155" s="6">
        <f>COUNTIFS(Tabela139[Country],Tabela1[[#This Row],[Country]],Tabela139[Classification],"&gt;0")</f>
        <v>0</v>
      </c>
      <c r="GD155" s="6">
        <f>COUNTIFS(Table48[Country],Tabela1[[#This Row],[Country]],Table48[Uneven Bars Classification],"&gt;0")</f>
        <v>0</v>
      </c>
      <c r="GE155" s="6">
        <f>COUNTIFS(Table47[Country],Tabela1[[#This Row],[Country]],Table47[Vault Classification],"&gt;0")</f>
        <v>0</v>
      </c>
      <c r="GF155" s="6">
        <f>COUNTIFS(Table48[Country],Tabela1[[#This Row],[Country]],Table48[Vault Classification],"&gt;0")</f>
        <v>0</v>
      </c>
      <c r="GG155" s="6">
        <f>COUNTIFS(Table919496[Country],Tabela1[[#This Row],[Country]],Table919496[Men''s Classification],"&gt;0")</f>
        <v>0</v>
      </c>
      <c r="GH155" s="6">
        <f>COUNTIFS(Table919496[Country],Tabela1[[#This Row],[Country]],Table919496[Women''s Classification],"&gt;0")</f>
        <v>0</v>
      </c>
      <c r="GI155" s="6">
        <f>COUNTIFS(Table12[Country],Tabela1[[#This Row],[Country]],Table12[60kg Classification],"&gt;0")</f>
        <v>0</v>
      </c>
      <c r="GJ155" s="6">
        <f>COUNTIFS(Table12[Country],Tabela1[[#This Row],[Country]],Table12[66kg Classification],"&gt;0")</f>
        <v>0</v>
      </c>
      <c r="GK155" s="6">
        <f>COUNTIFS(Table12[Country],Tabela1[[#This Row],[Country]],Table12[73kg Classification],"&gt;0")</f>
        <v>0</v>
      </c>
      <c r="GL155" s="6">
        <f>COUNTIFS(Table12[Country],Tabela1[[#This Row],[Country]],Table12[81kg Classification],"&gt;0")</f>
        <v>0</v>
      </c>
      <c r="GM155" s="6">
        <f>COUNTIFS(Table12[Country],Tabela1[[#This Row],[Country]],Table12[90kg Classification],"&gt;0")</f>
        <v>0</v>
      </c>
      <c r="GN155" s="6">
        <f>COUNTIFS(Table12[Country],Tabela1[[#This Row],[Country]],Table12[100kg Classification],"&gt;0")</f>
        <v>0</v>
      </c>
      <c r="GO155" s="6">
        <f>COUNTIFS(Table12[Country],Tabela1[[#This Row],[Country]],Table12[Plus 100kg Classification],"&gt;0")</f>
        <v>0</v>
      </c>
      <c r="GP155" s="6">
        <f>COUNTIFS(Table13[Country],Tabela1[[#This Row],[Country]],Table13[48kg Classification],"&gt;0")</f>
        <v>0</v>
      </c>
      <c r="GQ155" s="6">
        <f>COUNTIFS(Table13[Country],Tabela1[[#This Row],[Country]],Table13[52kg Classification],"&gt;0")</f>
        <v>0</v>
      </c>
      <c r="GR155" s="6">
        <f>COUNTIFS(Table13[Country],Tabela1[[#This Row],[Country]],Table13[57kg Classification],"&gt;0")</f>
        <v>0</v>
      </c>
      <c r="GS155" s="6">
        <f>COUNTIFS(Table13[Country],Tabela1[[#This Row],[Country]],Table13[63kg Classification],"&gt;0")</f>
        <v>0</v>
      </c>
      <c r="GT155" s="6">
        <f>COUNTIFS(Table13[Country],Tabela1[[#This Row],[Country]],Table13[70kg Classification],"&gt;0")</f>
        <v>0</v>
      </c>
      <c r="GU155" s="6">
        <f>COUNTIFS(Table13[Country],Tabela1[[#This Row],[Country]],Table13[78kg Classification],"&gt;0")</f>
        <v>0</v>
      </c>
      <c r="GV155" s="6">
        <f>COUNTIFS(Table13[Country],Tabela1[[#This Row],[Country]],Table13[Plus 78kg Classification],"&gt;0")</f>
        <v>0</v>
      </c>
      <c r="GW155" s="6">
        <f>COUNTIFS(Table82[Country],Tabela1[[#This Row],[Country]],Table82[Mixed Classification],"&gt;0")</f>
        <v>0</v>
      </c>
      <c r="GX155" s="6">
        <f>COUNTIFS(Table51[Country],Tabela1[[#This Row],[Country]],Table51[Classification],"&gt;0")</f>
        <v>0</v>
      </c>
      <c r="GY155" s="6">
        <f>COUNTIFS(Table52[Country],Tabela1[[#This Row],[Country]],Table52[Classification],"&gt;0")</f>
        <v>0</v>
      </c>
      <c r="GZ155" s="6">
        <f>COUNTIFS(Table32[Country],Tabela1[[#This Row],[Country]],Table32[All-Around Classification],"&gt;0")</f>
        <v>0</v>
      </c>
      <c r="HA155" s="6">
        <f>COUNTIFS(Table49[Country],Tabela1[[#This Row],[Country]],Table49[All-Around Classification],"&gt;0")</f>
        <v>0</v>
      </c>
      <c r="HB155" s="6">
        <f>COUNTIFS(Table26[Country],Tabela1[[#This Row],[Country]],Table26[Single Sculls Classification],"&gt;0")</f>
        <v>0</v>
      </c>
      <c r="HC155" s="6">
        <f>COUNTIFS(Table63[Country],Tabela1[[#This Row],[Country]],Table63[Single Sculls Classification],"&gt;0")</f>
        <v>0</v>
      </c>
      <c r="HD155" s="6">
        <f>COUNTIFS(Table16[Country],Tabela1[[#This Row],[Country]],Table16[Men''s Double Sculls Classification],"&gt;0")</f>
        <v>0</v>
      </c>
      <c r="HE155" s="6">
        <f>COUNTIFS(Table16[Country],Tabela1[[#This Row],[Country]],Table16[Women''s Double Sculls Classification],"&gt;0")</f>
        <v>0</v>
      </c>
      <c r="HF155" s="6">
        <f>COUNTIFS(Table72[Country],Tabela1[[#This Row],[Country]],Table72[Men''s Quadruple Sculls Classification],"&gt;0")</f>
        <v>0</v>
      </c>
      <c r="HG155" s="6">
        <f>COUNTIFS(Table72[Country],Tabela1[[#This Row],[Country]],Table72[Women''s Quadruple Sculls Classification],"&gt;0")</f>
        <v>0</v>
      </c>
      <c r="HH155" s="6">
        <f>COUNTIFS(Table16[Country],Tabela1[[#This Row],[Country]],Table16[Men''s Coxless Pairs Classification],"&gt;0")</f>
        <v>0</v>
      </c>
      <c r="HI155" s="6">
        <f>COUNTIFS(Table16[Country],Tabela1[[#This Row],[Country]],Table16[Women''s Coxless Pairs Classification],"&gt;0")</f>
        <v>0</v>
      </c>
      <c r="HJ155" s="6">
        <f>COUNTIFS(Table72[Country],Tabela1[[#This Row],[Country]],Table72[Men''s Coxless Fours Classification],"&gt;0")</f>
        <v>0</v>
      </c>
      <c r="HK155" s="6">
        <f>COUNTIFS(Table72[Country],Tabela1[[#This Row],[Country]],Table72[Women''s Coxless Fours Classification],"&gt;0")</f>
        <v>0</v>
      </c>
      <c r="HL155" s="6">
        <f>COUNTIFS(Table72[Country],Tabela1[[#This Row],[Country]],Table72[Men''s Eights Classification],"&gt;0")</f>
        <v>0</v>
      </c>
      <c r="HM155" s="6">
        <f>COUNTIFS(Table72[Country],Tabela1[[#This Row],[Country]],Table72[Women''s Eights Classification],"&gt;0")</f>
        <v>0</v>
      </c>
      <c r="HN155" s="6">
        <f>COUNTIFS(Table16[Country],Tabela1[[#This Row],[Country]],Table16[Men''s Lwt. Double Sculls Classification],"&gt;0")</f>
        <v>0</v>
      </c>
      <c r="HO155" s="6">
        <f>COUNTIFS(Table16[Country],Tabela1[[#This Row],[Country]],Table16[Women''s Lwt. Double Sculls Classification],"&gt;0")</f>
        <v>0</v>
      </c>
      <c r="HP155" s="6">
        <f>COUNTIFS(Table91949698[Country],Tabela1[[#This Row],[Country]],Table91949698[Men''s Classification],"&gt;0")</f>
        <v>0</v>
      </c>
      <c r="HQ155" s="6">
        <f>COUNTIFS(Table91949698[Country],Tabela1[[#This Row],[Country]],Table91949698[Women''s Classification],"&gt;0")</f>
        <v>0</v>
      </c>
      <c r="HR155" s="6">
        <f>COUNTIFS(Table25[Country],Tabela1[[#This Row],[Country]],Table25[Mixed 470 Classification],"&gt;0")</f>
        <v>0</v>
      </c>
      <c r="HS155" s="6">
        <f>COUNTIFS(Table25[Country],Tabela1[[#This Row],[Country]],Table25[Men''s 49er Classification],"&gt;0")</f>
        <v>0</v>
      </c>
      <c r="HT155" s="6">
        <f>COUNTIFS(Table25[Country],Tabela1[[#This Row],[Country]],Table25[Women''s 49er FX Classification],"&gt;0")</f>
        <v>0</v>
      </c>
      <c r="HU155" s="6">
        <f>COUNTIFS(Table17[Country],Tabela1[[#This Row],[Country]],Table17[Formula Kite Classification],"&gt;0")</f>
        <v>0</v>
      </c>
      <c r="HV155" s="6">
        <f>COUNTIFS(Table18[Country],Tabela1[[#This Row],[Country]],Table18[Formula Kite Classification],"&gt;0")</f>
        <v>0</v>
      </c>
      <c r="HW155" s="6">
        <f>COUNTIFS(Table17[Country],Tabela1[[#This Row],[Country]],Table17[ILCA 7 Classification],"&gt;0")</f>
        <v>0</v>
      </c>
      <c r="HX155" s="6">
        <f>COUNTIFS(Table18[Country],Tabela1[[#This Row],[Country]],Table18[ILCA 6 Classification],"&gt;0")</f>
        <v>0</v>
      </c>
      <c r="HY155" s="6">
        <f>COUNTIFS(Table17[Country],Tabela1[[#This Row],[Country]],Table17[IQFoil Classification],"&gt;0")</f>
        <v>0</v>
      </c>
      <c r="HZ155" s="6">
        <f>COUNTIFS(Table18[Country],Tabela1[[#This Row],[Country]],Table18[IQFoil Classification],"&gt;0")</f>
        <v>0</v>
      </c>
      <c r="IA155" s="6">
        <f>COUNTIFS(Table25[Country],Tabela1[[#This Row],[Country]],Table25[Mixed Nacra 17 Classification],"&gt;0")</f>
        <v>0</v>
      </c>
      <c r="IB155" s="6">
        <f>COUNTIFS(Table53[Country],Tabela1[[#This Row],[Country]],Table53[10m Air Pistol Classification],"&gt;0")</f>
        <v>0</v>
      </c>
      <c r="IC155" s="6">
        <f>COUNTIFS(Table19[Country],Tabela1[[#This Row],[Country]],Table19[10m Air Pistol Classification],"&gt;0")</f>
        <v>0</v>
      </c>
      <c r="ID155" s="6">
        <f>COUNTIFS(Table54[Country],Tabela1[[#This Row],[Country]],Table54[Mixed 10m Air Pistol Team Classification],"&gt;0")</f>
        <v>0</v>
      </c>
      <c r="IE155" s="6">
        <f>COUNTIFS(Table53[Country],Tabela1[[#This Row],[Country]],Table53[10m Air Rifle Classification],"&gt;0")</f>
        <v>0</v>
      </c>
      <c r="IF155" s="6">
        <f>COUNTIFS(Table19[Country],Tabela1[[#This Row],[Country]],Table19[10m Air Rifle Classification],"&gt;0")</f>
        <v>0</v>
      </c>
      <c r="IG155" s="6">
        <f>COUNTIFS(Table54[Country],Tabela1[[#This Row],[Country]],Table54[Mixed 10m Air Rifle Team Classification],"&gt;0")</f>
        <v>0</v>
      </c>
      <c r="IH155" s="6">
        <f>COUNTIFS(Table53[Country],Tabela1[[#This Row],[Country]],Table53[25m Rapid Fire Pistol Classification],"&gt;0")</f>
        <v>0</v>
      </c>
      <c r="II155" s="6">
        <f>COUNTIFS(Table19[Country],Tabela1[[#This Row],[Country]],Table19[25m Pistol Classification],"&gt;0")</f>
        <v>0</v>
      </c>
      <c r="IJ155" s="6">
        <f>COUNTIFS(Table53[Country],Tabela1[[#This Row],[Country]],Table53[50m Rifle 3 Positions Classification],"&gt;0")</f>
        <v>0</v>
      </c>
      <c r="IK155" s="6">
        <f>COUNTIFS(Table19[Country],Tabela1[[#This Row],[Country]],Table19[50m Rifle 3 Positions Classification],"&gt;0")</f>
        <v>0</v>
      </c>
      <c r="IL155" s="6">
        <f>COUNTIFS(Table53[Country],Tabela1[[#This Row],[Country]],Table53[Skeet Classification],"&gt;0")</f>
        <v>0</v>
      </c>
      <c r="IM155" s="6">
        <f>COUNTIFS(Table19[Country],Tabela1[[#This Row],[Country]],Table19[Skeet Classification],"&gt;0")</f>
        <v>0</v>
      </c>
      <c r="IN155" s="6">
        <f>COUNTIFS(Table54[Country],Tabela1[[#This Row],[Country]],Table54[Mixed Skeet Team Classification],"&gt;0")</f>
        <v>0</v>
      </c>
      <c r="IO155" s="6">
        <f>COUNTIFS(Table53[Country],Tabela1[[#This Row],[Country]],Table53[Trap Classification],"&gt;0")</f>
        <v>0</v>
      </c>
      <c r="IP155" s="6">
        <f>COUNTIFS(Table19[Country],Tabela1[[#This Row],[Country]],Table19[Trap Classification],"&gt;0")</f>
        <v>0</v>
      </c>
      <c r="IQ155" s="6">
        <f>COUNTIFS(Table73[Country],Tabela1[[#This Row],[Country]],Table73[Park Classification],"&gt;0")</f>
        <v>0</v>
      </c>
      <c r="IR155" s="6">
        <f>COUNTIFS(Table74[Country],Tabela1[[#This Row],[Country]],Table74[Park Classification],"&gt;0")</f>
        <v>0</v>
      </c>
      <c r="IS155" s="6">
        <f>COUNTIFS(Table73[Country],Tabela1[[#This Row],[Country]],Table73[Street Classification],"&gt;0")</f>
        <v>0</v>
      </c>
      <c r="IT155" s="6">
        <f>COUNTIFS(Table74[Country],Tabela1[[#This Row],[Country]],Table74[Street Classification],"&gt;0")</f>
        <v>0</v>
      </c>
      <c r="IU155" s="6">
        <f>COUNTIFS(Table75[Country],Tabela1[[#This Row],[Country]],Table75[Boulder and Lead Classification],"&gt;0")</f>
        <v>0</v>
      </c>
      <c r="IV155" s="6">
        <f>COUNTIFS(Table76[Country],Tabela1[[#This Row],[Country]],Table76[Boulder and Lead Classification],"&gt;0")</f>
        <v>0</v>
      </c>
      <c r="IW155" s="6">
        <f>COUNTIFS(Table75[Country],Tabela1[[#This Row],[Country]],Table75[Speed Classification],"&gt;0")</f>
        <v>0</v>
      </c>
      <c r="IX155" s="6">
        <f>COUNTIFS(Table76[Country],Tabela1[[#This Row],[Country]],Table76[Speed Classification],"&gt;0")</f>
        <v>0</v>
      </c>
      <c r="IY155" s="6">
        <f>COUNTIFS(Table64[Country],Tabela1[[#This Row],[Country]],Table64[Shortboard Classification],"&gt;0")</f>
        <v>0</v>
      </c>
      <c r="IZ155" s="6">
        <f>COUNTIFS(Table77[Country],Tabela1[[#This Row],[Country]],Table77[Shortboard Classification],"&gt;0")</f>
        <v>0</v>
      </c>
      <c r="JA155" s="6">
        <f>COUNTIFS(Table20[Country],Tabela1[[#This Row],[Country]],Table20[50m Freestyle Classification],"&gt;0")</f>
        <v>0</v>
      </c>
      <c r="JB155" s="6">
        <f>COUNTIFS(Table21[Country],Tabela1[[#This Row],[Country]],Table21[50m Freestyle Classification],"&gt;0")</f>
        <v>0</v>
      </c>
      <c r="JC155" s="6">
        <f>COUNTIFS(Table20[Country],Tabela1[[#This Row],[Country]],Table20[100m Freestyle Classification],"&gt;0")</f>
        <v>0</v>
      </c>
      <c r="JD155" s="6">
        <f>COUNTIFS(Table21[Country],Tabela1[[#This Row],[Country]],Table21[100m Freestyle Classification],"&gt;0")</f>
        <v>0</v>
      </c>
      <c r="JE155" s="6">
        <f>COUNTIFS(Table20[Country],Tabela1[[#This Row],[Country]],Table20[200m Freestyle Classification],"&gt;0")</f>
        <v>0</v>
      </c>
      <c r="JF155" s="6">
        <f>COUNTIFS(Table21[Country],Tabela1[[#This Row],[Country]],Table21[200m Freestyle Classification],"&gt;0")</f>
        <v>0</v>
      </c>
      <c r="JG155" s="6">
        <f>COUNTIFS(Table20[Country],Tabela1[[#This Row],[Country]],Table20[400m Freestyle Classification],"&gt;0")</f>
        <v>0</v>
      </c>
      <c r="JH155" s="6">
        <f>COUNTIFS(Table21[Country],Tabela1[[#This Row],[Country]],Table21[400m Freestyle Classification],"&gt;0")</f>
        <v>0</v>
      </c>
      <c r="JI155" s="6">
        <f>COUNTIFS(Table20[Country],Tabela1[[#This Row],[Country]],Table20[800m Freestyle Classification],"&gt;0")</f>
        <v>0</v>
      </c>
      <c r="JJ155" s="6">
        <f>COUNTIFS(Table21[Country],Tabela1[[#This Row],[Country]],Table21[800m Freestyle Classification],"&gt;0")</f>
        <v>0</v>
      </c>
      <c r="JK155" s="6">
        <f>COUNTIFS(Table20[Country],Tabela1[[#This Row],[Country]],Table20[1500m Freestyle Classification],"&gt;0")</f>
        <v>0</v>
      </c>
      <c r="JL155" s="6">
        <f>COUNTIFS(Table21[Country],Tabela1[[#This Row],[Country]],Table21[1500m Freestyle Classification],"&gt;0")</f>
        <v>0</v>
      </c>
      <c r="JM155" s="6">
        <f>COUNTIFS(Table20[Country],Tabela1[[#This Row],[Country]],Table20[100m Backstroke Classification],"&gt;0")</f>
        <v>0</v>
      </c>
      <c r="JN155" s="6">
        <f>COUNTIFS(Table21[Country],Tabela1[[#This Row],[Country]],Table21[100m Backstroke Classification],"&gt;0")</f>
        <v>0</v>
      </c>
      <c r="JO155" s="6">
        <f>COUNTIFS(Table20[Country],Tabela1[[#This Row],[Country]],Table20[200m Backstroke Classification],"&gt;0")</f>
        <v>0</v>
      </c>
      <c r="JP155" s="6">
        <f>COUNTIFS(Table21[Country],Tabela1[[#This Row],[Country]],Table21[200m Backstroke Classification],"&gt;0")</f>
        <v>0</v>
      </c>
      <c r="JQ155" s="6">
        <f>COUNTIFS(Table20[Country],Tabela1[[#This Row],[Country]],Table20[100m Breaststroke Classification],"&gt;0")</f>
        <v>0</v>
      </c>
      <c r="JR155" s="6">
        <f>COUNTIFS(Table21[Country],Tabela1[[#This Row],[Country]],Table21[100m Breaststroke Classification],"&gt;0")</f>
        <v>0</v>
      </c>
      <c r="JS155" s="6">
        <f>COUNTIFS(Table20[Country],Tabela1[[#This Row],[Country]],Table20[200m Breaststroke Classification],"&gt;0")</f>
        <v>0</v>
      </c>
      <c r="JT155" s="6">
        <f>COUNTIFS(Table21[Country],Tabela1[[#This Row],[Country]],Table21[200m Breaststroke Classification],"&gt;0")</f>
        <v>0</v>
      </c>
      <c r="JU155" s="6">
        <f>COUNTIFS(Table20[Country],Tabela1[[#This Row],[Country]],Table20[100m Butterfly Classification],"&gt;0")</f>
        <v>0</v>
      </c>
      <c r="JV155" s="6">
        <f>COUNTIFS(Table21[Country],Tabela1[[#This Row],[Country]],Table21[100m Butterfly Classification],"&gt;0")</f>
        <v>0</v>
      </c>
      <c r="JW155" s="6">
        <f>COUNTIFS(Table20[Country],Tabela1[[#This Row],[Country]],Table20[200m Butterfly Classification],"&gt;0")</f>
        <v>0</v>
      </c>
      <c r="JX155" s="6">
        <f>COUNTIFS(Table21[Country],Tabela1[[#This Row],[Country]],Table21[200m Butterfly Classification],"&gt;0")</f>
        <v>0</v>
      </c>
      <c r="JY155" s="6">
        <f>COUNTIFS(Table20[Country],Tabela1[[#This Row],[Country]],Table20[200m Medley Classification],"&gt;0")</f>
        <v>0</v>
      </c>
      <c r="JZ155" s="6">
        <f>COUNTIFS(Table21[Country],Tabela1[[#This Row],[Country]],Table21[200m Medley Classification],"&gt;0")</f>
        <v>0</v>
      </c>
      <c r="KA155" s="6">
        <f>COUNTIFS(Table20[Country],Tabela1[[#This Row],[Country]],Table20[400m Medley Classification],"&gt;0")</f>
        <v>0</v>
      </c>
      <c r="KB155" s="6">
        <f>COUNTIFS(Table21[Country],Tabela1[[#This Row],[Country]],Table21[400m Medley Classification],"&gt;0")</f>
        <v>0</v>
      </c>
      <c r="KC155" s="6">
        <f>COUNTIFS(Table78[Country],Tabela1[[#This Row],[Country]],Table78[Men''s 4x100m Freestyle Relay Classification],"&gt;0")</f>
        <v>0</v>
      </c>
      <c r="KD155" s="6">
        <f>COUNTIFS(Table78[Country],Tabela1[[#This Row],[Country]],Table78[Women''s 4x100m Freestyle Relay Classification],"&gt;0")</f>
        <v>0</v>
      </c>
      <c r="KE155" s="6">
        <f>COUNTIFS(Table78[Country],Tabela1[[#This Row],[Country]],Table78[Men''s 4x200m Freestyle Relay Classification],"&gt;0")</f>
        <v>0</v>
      </c>
      <c r="KF155" s="6">
        <f>COUNTIFS(Table78[Country],Tabela1[[#This Row],[Country]],Table78[Women''s 4x200m Freestyle Relay Classification],"&gt;0")</f>
        <v>0</v>
      </c>
      <c r="KG155" s="6">
        <f>COUNTIFS(Table78[Country],Tabela1[[#This Row],[Country]],Table78[Men''s 4x100m Medley Relay Classification],"&gt;0")</f>
        <v>0</v>
      </c>
      <c r="KH155" s="6">
        <f>COUNTIFS(Table78[Country],Tabela1[[#This Row],[Country]],Table78[Women''s 4x100m Medley Relay Classification],"&gt;0")</f>
        <v>0</v>
      </c>
      <c r="KI155" s="6">
        <f>COUNTIFS(Table78[Country],Tabela1[[#This Row],[Country]],Table78[Mixed 4x100m Medley Relay Classification],"&gt;0")</f>
        <v>0</v>
      </c>
      <c r="KJ155" s="6">
        <f>COUNTIFS(Table20[Country],Tabela1[[#This Row],[Country]],Table20[10km Open Water Classification],"&gt;0")</f>
        <v>0</v>
      </c>
      <c r="KK155" s="6">
        <f>COUNTIFS(Table21[Country],Tabela1[[#This Row],[Country]],Table21[10km Open Water Classification],"&gt;0")</f>
        <v>0</v>
      </c>
      <c r="KL155" s="6">
        <f>COUNTIFS(Table22[Country],Tabela1[[#This Row],[Country]],Table22[Classification],"&gt;0")</f>
        <v>0</v>
      </c>
      <c r="KM155" s="6">
        <f>COUNTIFS(Table30[Country],Tabela1[[#This Row],[Country]],Table30[Classification],"&gt;0")</f>
        <v>0</v>
      </c>
      <c r="KN155" s="6">
        <f>COUNTIFS(Table55[Country],Tabela1[[#This Row],[Country]],Table55[Men''s Classification],"&gt;0")</f>
        <v>0</v>
      </c>
      <c r="KO155" s="6">
        <f>COUNTIFS(Table55[Country],Tabela1[[#This Row],[Country]],Table55[Women''s Classification],"&gt;0")</f>
        <v>0</v>
      </c>
      <c r="KP155" s="6">
        <f>COUNTIFS(Table56[Country],Tabela1[[#This Row],[Country]],Table56[Mixed Classification],"&gt;0")</f>
        <v>0</v>
      </c>
      <c r="KQ155" s="6">
        <f>COUNTIFS(Table29[Country],Tabela1[[#This Row],[Country]],Table29[58kg Classification],"&gt;0")</f>
        <v>0</v>
      </c>
      <c r="KR155" s="6">
        <f>COUNTIFS(Table29[Country],Tabela1[[#This Row],[Country]],Table29[68kg Classification],"&gt;0")</f>
        <v>0</v>
      </c>
      <c r="KS155" s="6">
        <f>COUNTIFS(Table29[Country],Tabela1[[#This Row],[Country]],Table29[80kg Classification],"&gt;0")</f>
        <v>0</v>
      </c>
      <c r="KT155" s="6">
        <f>COUNTIFS(Table29[Country],Tabela1[[#This Row],[Country]],Table29[Plus 80kg Classification],"&gt;0")</f>
        <v>0</v>
      </c>
      <c r="KU155" s="6">
        <f>COUNTIFS(Table34[Country],Tabela1[[#This Row],[Country]],Table34[49kg Classification],"&gt;0")</f>
        <v>0</v>
      </c>
      <c r="KV155" s="6">
        <f>COUNTIFS(Table34[Country],Tabela1[[#This Row],[Country]],Table34[57kg Classification],"&gt;0")</f>
        <v>0</v>
      </c>
      <c r="KW155" s="6">
        <f>COUNTIFS(Table34[Country],Tabela1[[#This Row],[Country]],Table34[67kg Classification],"&gt;0")</f>
        <v>0</v>
      </c>
      <c r="KX155" s="6">
        <f>COUNTIFS(Table34[Country],Tabela1[[#This Row],[Country]],Table34[Plus 67kg Classification],"&gt;0")</f>
        <v>0</v>
      </c>
      <c r="KY155" s="6">
        <f>COUNTIFS(Table57[Country],Tabela1[[#This Row],[Country]],Table57[Classification],"&gt;0")</f>
        <v>0</v>
      </c>
      <c r="KZ155" s="6">
        <f>COUNTIFS(Table58[Country],Tabela1[[#This Row],[Country]],Table58[Classification],"&gt;0")</f>
        <v>0</v>
      </c>
      <c r="LA155" s="6">
        <f>COUNTIFS(Table79[Country],Tabela1[[#This Row],[Country]],Table79[Men''s Classification],"&gt;0")</f>
        <v>0</v>
      </c>
      <c r="LB155" s="6">
        <f>COUNTIFS(Table79[Country],Tabela1[[#This Row],[Country]],Table79[Women''s Classification],"&gt;0")</f>
        <v>0</v>
      </c>
      <c r="LC155" s="6">
        <f>COUNTIFS(Table79[Country],Tabela1[[#This Row],[Country]],Table79[Mixed Classification],"&gt;0")</f>
        <v>0</v>
      </c>
      <c r="LD155" s="6">
        <f>COUNTIFS(Table65[Country],Tabela1[[#This Row],[Country]],Table65[Classification],"&gt;0")</f>
        <v>0</v>
      </c>
      <c r="LE155" s="6">
        <f>COUNTIFS(Table59[Country],Tabela1[[#This Row],[Country]],Table59[Classification],"&gt;0")</f>
        <v>0</v>
      </c>
      <c r="LF155" s="6">
        <f>COUNTIFS(Table87[Country],Tabela1[[#This Row],[Country]],Table87[Mixed Relay Classification],"&gt;0")</f>
        <v>0</v>
      </c>
      <c r="LG155" s="6">
        <f>COUNTIFS(Table91949698100[Country],Tabela1[[#This Row],[Country]],Table91949698100[Men''s Classification],"&gt;0")</f>
        <v>0</v>
      </c>
      <c r="LH155" s="6">
        <f>COUNTIFS(Table91949698100[Country],Tabela1[[#This Row],[Country]],Table91949698100[Women''s Classification],"&gt;0")</f>
        <v>0</v>
      </c>
      <c r="LI155" s="6">
        <f>COUNTIFS(Table91949698100102[Country],Tabela1[[#This Row],[Country]],Table91949698100102[Men''s Classification],"&gt;0")</f>
        <v>0</v>
      </c>
      <c r="LJ155" s="6">
        <f>COUNTIFS(Table91949698100102[Country],Tabela1[[#This Row],[Country]],Table91949698100102[Women''s Classification],"&gt;0")</f>
        <v>0</v>
      </c>
      <c r="LK155" s="6">
        <f>COUNTIFS(Table23[Country],Tabela1[[#This Row],[Country]],Table23[61kg Classification],"&gt;0")</f>
        <v>0</v>
      </c>
      <c r="LL155" s="6">
        <f>COUNTIFS(Table23[Country],Tabela1[[#This Row],[Country]],Table23[73kg Classification],"&gt;0")</f>
        <v>0</v>
      </c>
      <c r="LM155" s="6">
        <f>COUNTIFS(Table23[Country],Tabela1[[#This Row],[Country]],Table23[89kg Classification],"&gt;0")</f>
        <v>0</v>
      </c>
      <c r="LN155" s="6">
        <f>COUNTIFS(Table23[Country],Tabela1[[#This Row],[Country]],Table23[102kg Classification],"&gt;0")</f>
        <v>0</v>
      </c>
      <c r="LO155" s="6">
        <f>COUNTIFS(Table23[Country],Tabela1[[#This Row],[Country]],Table23[Plus 102kg Classification],"&gt;0")</f>
        <v>0</v>
      </c>
      <c r="LP155" s="6">
        <f>COUNTIFS(Table28[Country],Tabela1[[#This Row],[Country]],Table28[49kg Classification],"&gt;0")</f>
        <v>0</v>
      </c>
      <c r="LQ155" s="6">
        <f>COUNTIFS(Table28[Country],Tabela1[[#This Row],[Country]],Table28[59kg Classification],"&gt;0")</f>
        <v>0</v>
      </c>
      <c r="LR155" s="6">
        <f>COUNTIFS(Table28[Country],Tabela1[[#This Row],[Country]],Table28[71kg Classification],"&gt;0")</f>
        <v>0</v>
      </c>
      <c r="LS155" s="6">
        <f>COUNTIFS(Table28[Country],Tabela1[[#This Row],[Country]],Table28[81kg Classification],"&gt;0")</f>
        <v>0</v>
      </c>
      <c r="LT155" s="6">
        <f>COUNTIFS(Table28[Country],Tabela1[[#This Row],[Country]],Table28[Plus 81kg Classification],"&gt;0")</f>
        <v>0</v>
      </c>
      <c r="LU155" s="6">
        <f>COUNTIFS(Table24[Country],Tabela1[[#This Row],[Country]],Table24[Freestyle 57kg Classification],"&gt;0")</f>
        <v>0</v>
      </c>
      <c r="LV155" s="6">
        <f>COUNTIFS(Table24[Country],Tabela1[[#This Row],[Country]],Table24[Freestyle 65kg Classification],"&gt;0")</f>
        <v>0</v>
      </c>
      <c r="LW155" s="6">
        <f>COUNTIFS(Table24[Country],Tabela1[[#This Row],[Country]],Table24[Freestyle 74kg Classification],"&gt;0")</f>
        <v>0</v>
      </c>
      <c r="LX155" s="6">
        <f>COUNTIFS(Table24[Country],Tabela1[[#This Row],[Country]],Table24[Freestyle 86kg Classification],"&gt;0")</f>
        <v>0</v>
      </c>
      <c r="LY155" s="6">
        <f>COUNTIFS(Table24[Country],Tabela1[[#This Row],[Country]],Table24[Freestyle 97kg Classification],"&gt;0")</f>
        <v>0</v>
      </c>
      <c r="LZ155" s="6">
        <f>COUNTIFS(Table24[Country],Tabela1[[#This Row],[Country]],Table24[Freestyle 125kg Classification],"&gt;0")</f>
        <v>0</v>
      </c>
      <c r="MA155" s="6">
        <f>COUNTIFS(Table24[Country],Tabela1[[#This Row],[Country]],Table24[Greco-Roman 60kg Classification],"&gt;0")</f>
        <v>0</v>
      </c>
      <c r="MB155" s="6">
        <f>COUNTIFS(Table24[Country],Tabela1[[#This Row],[Country]],Table24[Greco-Roman 67kg Classification],"&gt;0")</f>
        <v>0</v>
      </c>
      <c r="MC155" s="6">
        <f>COUNTIFS(Table24[Country],Tabela1[[#This Row],[Country]],Table24[Greco-Roman 77kg Classification],"&gt;0")</f>
        <v>0</v>
      </c>
      <c r="MD155" s="6">
        <f>COUNTIFS(Table24[Country],Tabela1[[#This Row],[Country]],Table24[Greco-Roman 87kg Classification],"&gt;0")</f>
        <v>0</v>
      </c>
      <c r="ME155" s="6">
        <f>COUNTIFS(Table24[Country],Tabela1[[#This Row],[Country]],Table24[Greco-Roman 97kg Classification],"&gt;0")</f>
        <v>0</v>
      </c>
      <c r="MF155" s="6">
        <f>COUNTIFS(Table24[Country],Tabela1[[#This Row],[Country]],Table24[Greco-Roman 130kg Classification],"&gt;0")</f>
        <v>0</v>
      </c>
      <c r="MG155" s="6">
        <f>COUNTIFS(Table31[Country],Tabela1[[#This Row],[Country]],Table31[50kg Classification],"&gt;0")</f>
        <v>0</v>
      </c>
      <c r="MH155" s="6">
        <f>COUNTIFS(Table31[Country],Tabela1[[#This Row],[Country]],Table31[53kg Classification],"&gt;0")</f>
        <v>0</v>
      </c>
      <c r="MI155" s="6">
        <f>COUNTIFS(Table31[Country],Tabela1[[#This Row],[Country]],Table31[57kg Classification],"&gt;0")</f>
        <v>0</v>
      </c>
      <c r="MJ155" s="6">
        <f>COUNTIFS(Table31[Country],Tabela1[[#This Row],[Country]],Table31[62kg Classification],"&gt;0")</f>
        <v>0</v>
      </c>
      <c r="MK155" s="6">
        <f>COUNTIFS(Table31[Country],Tabela1[[#This Row],[Country]],Table31[68kg Classification],"&gt;0")</f>
        <v>0</v>
      </c>
      <c r="ML155" s="6">
        <f>COUNTIFS(Table31[Country],Tabela1[[#This Row],[Country]],Table31[76kg Classification],"&gt;0")</f>
        <v>0</v>
      </c>
      <c r="MM155" s="6">
        <f>COUNTIFS(Table102[Country],Tabela1[[#This Row],[Country]],Table102[Downhill Classification],"&gt;0")</f>
        <v>0</v>
      </c>
      <c r="MN155" s="6">
        <f>COUNTIFS(Table102105[Country],Tabela1[[#This Row],[Country]],Table102105[Downhill Classification],"&gt;0")</f>
        <v>0</v>
      </c>
      <c r="MO155" s="6">
        <f>COUNTIFS(Table102[Country],Tabela1[[#This Row],[Country]],Table102[Giant Slalom Classification],"&gt;0")</f>
        <v>0</v>
      </c>
      <c r="MP155" s="6">
        <f>COUNTIFS(Table102105[Country],Tabela1[[#This Row],[Country]],Table102105[Giant Slalom Classification],"&gt;0")</f>
        <v>0</v>
      </c>
      <c r="MQ155" s="6">
        <f>COUNTIFS(Table102[Country],Tabela1[[#This Row],[Country]],Table102[Slalom Classification],"&gt;0")</f>
        <v>0</v>
      </c>
      <c r="MR155" s="6">
        <f>COUNTIFS(Table102105[Country],Tabela1[[#This Row],[Country]],Table102105[Slalom Classification],"&gt;0")</f>
        <v>0</v>
      </c>
      <c r="MS155" s="6">
        <f>COUNTIFS(Table102[Country],Tabela1[[#This Row],[Country]],Table102[Super-G Classification],"&gt;0")</f>
        <v>0</v>
      </c>
      <c r="MT155" s="6">
        <f>COUNTIFS(Table102105[Country],Tabela1[[#This Row],[Country]],Table102105[Super-G Classification],"&gt;0")</f>
        <v>0</v>
      </c>
      <c r="MU155" s="6">
        <f>COUNTIFS(Table105[Country],Tabela1[[#This Row],[Country]],Table105[Men''s Combined Classification],"&gt;0")</f>
        <v>0</v>
      </c>
      <c r="MV155" s="6">
        <f>COUNTIFS(Table105[Country],Tabela1[[#This Row],[Country]],Table105[Women''s Combined Classification],"&gt;0")</f>
        <v>0</v>
      </c>
      <c r="MW155" s="6">
        <f>COUNTIFS(Table106[Country],Tabela1[[#This Row],[Country]],Table106[Individual Classification],"&gt;0")</f>
        <v>0</v>
      </c>
      <c r="MX155" s="6">
        <f>COUNTIFS(Table106109[Country],Tabela1[[#This Row],[Country]],Table106109[Individual Classification],"&gt;0")</f>
        <v>0</v>
      </c>
      <c r="MY155" s="6">
        <f>COUNTIFS(Table106[Country],Tabela1[[#This Row],[Country]],Table106[Mass Start Classification],"&gt;0")</f>
        <v>0</v>
      </c>
      <c r="MZ155" s="6">
        <f>COUNTIFS(Table106109[Country],Tabela1[[#This Row],[Country]],Table106109[Mass Start Classification],"&gt;0")</f>
        <v>0</v>
      </c>
      <c r="NA155" s="6">
        <f>COUNTIFS(Table106[Country],Tabela1[[#This Row],[Country]],Table106[Pursuit Classification],"&gt;0")</f>
        <v>0</v>
      </c>
      <c r="NB155" s="6">
        <f>COUNTIFS(Table106109[Country],Tabela1[[#This Row],[Country]],Table106109[Pursuit Classification],"&gt;0")</f>
        <v>0</v>
      </c>
      <c r="NC155" s="6">
        <f>COUNTIFS(Table106[Country],Tabela1[[#This Row],[Country]],Table106[Sprint Classification],"&gt;0")</f>
        <v>0</v>
      </c>
      <c r="ND155" s="6">
        <f>COUNTIFS(Table106109[Country],Tabela1[[#This Row],[Country]],Table106109[Sprint Classification],"&gt;0")</f>
        <v>0</v>
      </c>
      <c r="NE155" s="6">
        <f>COUNTIFS(Table109[Country],Tabela1[[#This Row],[Country]],Table109[Men''s Relay Classification],"&gt;0")</f>
        <v>0</v>
      </c>
      <c r="NF155" s="6">
        <f>COUNTIFS(Table109[Country],Tabela1[[#This Row],[Country]],Table109[Women''s Relay Classification],"&gt;0")</f>
        <v>0</v>
      </c>
      <c r="NG155" s="6">
        <f>COUNTIFS(Table109[Country],Tabela1[[#This Row],[Country]],Table109[Mixed Relay Classification],"&gt;0")</f>
        <v>0</v>
      </c>
      <c r="NH155" s="6">
        <f>COUNTIFS(Table110[Country],Tabela1[[#This Row],[Country]],Table110[Monobob Classification],"&gt;0")</f>
        <v>0</v>
      </c>
      <c r="NI155" s="6">
        <f>COUNTIFS(Table111[Country],Tabela1[[#This Row],[Country]],Table111[Men''s Classification],"&gt;0")</f>
        <v>0</v>
      </c>
      <c r="NJ155" s="6">
        <f>COUNTIFS(Table111[Country],Tabela1[[#This Row],[Country]],Table111[Women''s Classification],"&gt;0")</f>
        <v>0</v>
      </c>
      <c r="NK155" s="6">
        <f>COUNTIFS(Table112[Country],Tabela1[[#This Row],[Country]],Table112[Men''s Four Classification],"&gt;0")</f>
        <v>0</v>
      </c>
      <c r="NL155" s="6">
        <f>COUNTIFS(Table113[Country],Tabela1[[#This Row],[Country]],Table113[Classical Classification],"&gt;0")</f>
        <v>0</v>
      </c>
      <c r="NM155" s="6">
        <f>COUNTIFS(Table113116[Country],Tabela1[[#This Row],[Country]],Table113116[Classical Classification],"&gt;0")</f>
        <v>0</v>
      </c>
      <c r="NN155" s="6">
        <f>COUNTIFS(Table113[Country],Tabela1[[#This Row],[Country]],Table113[Freestyle Classification],"&gt;0")</f>
        <v>0</v>
      </c>
      <c r="NO155" s="6">
        <f>COUNTIFS(Table113116[Country],Tabela1[[#This Row],[Country]],Table113116[Freestyle Classification],"&gt;0")</f>
        <v>0</v>
      </c>
      <c r="NP155" s="6">
        <f>COUNTIFS(Table117[Country],Tabela1[[#This Row],[Country]],Table117[Men''s Relay Classification],"&gt;0")</f>
        <v>0</v>
      </c>
      <c r="NQ155" s="6">
        <f>COUNTIFS(Table117[Country],Tabela1[[#This Row],[Country]],Table117[Women''s Relay Classification],"&gt;0")</f>
        <v>0</v>
      </c>
      <c r="NR155" s="6">
        <f>COUNTIFS(Table113[Country],Tabela1[[#This Row],[Country]],Table113[Skiathlon Classification],"&gt;0")</f>
        <v>0</v>
      </c>
      <c r="NS155" s="6">
        <f>COUNTIFS(Table113116[Country],Tabela1[[#This Row],[Country]],Table113116[Skiathlon Classification],"&gt;0")</f>
        <v>0</v>
      </c>
      <c r="NT155" s="6">
        <f>COUNTIFS(Table113[Country],Tabela1[[#This Row],[Country]],Table113[Sprint Classification],"&gt;0")</f>
        <v>0</v>
      </c>
      <c r="NU155" s="6">
        <f>COUNTIFS(Table113116[Country],Tabela1[[#This Row],[Country]],Table113116[Sprint Classification],"&gt;0")</f>
        <v>0</v>
      </c>
      <c r="NV155" s="6">
        <f>COUNTIFS(Table116[Country],Tabela1[[#This Row],[Country]],Table116[Men''s Team Sprint Classification],"&gt;0")</f>
        <v>0</v>
      </c>
      <c r="NW155" s="6">
        <f>COUNTIFS(Table116[Country],Tabela1[[#This Row],[Country]],Table116[Women''s Team Sprint Classification],"&gt;0")</f>
        <v>0</v>
      </c>
      <c r="NX155" s="6">
        <f>COUNTIFS(Table119[Country],Tabela1[[#This Row],[Country]],Table119[Men''s Classification],"&gt;0")</f>
        <v>0</v>
      </c>
      <c r="NY155" s="6">
        <f>COUNTIFS(Table119[Country],Tabela1[[#This Row],[Country]],Table119[Women''s Classification],"&gt;0")</f>
        <v>0</v>
      </c>
      <c r="NZ155" s="6">
        <f>COUNTIFS(Table118[Country],Tabela1[[#This Row],[Country]],Table118[Mixed Classification],"&gt;0")</f>
        <v>0</v>
      </c>
      <c r="OA155" s="6">
        <f>COUNTIFS(Table120[Country],Tabela1[[#This Row],[Country]],Table120[Classification],"&gt;0")</f>
        <v>0</v>
      </c>
      <c r="OB155" s="6">
        <f>COUNTIFS(Table120123[Country],Tabela1[[#This Row],[Country]],Table120123[Classification],"&gt;0")</f>
        <v>0</v>
      </c>
      <c r="OC155" s="6">
        <f>COUNTIFS(Table123[Country],Tabela1[[#This Row],[Country]],Table123[Ice Dance Classification],"&gt;0")</f>
        <v>0</v>
      </c>
      <c r="OD155" s="6">
        <f>COUNTIFS(Table123[Country],Tabela1[[#This Row],[Country]],Table123[Pair Skating Classification],"&gt;0")</f>
        <v>0</v>
      </c>
      <c r="OE155" s="6">
        <f>COUNTIFS(Table124[Country],Tabela1[[#This Row],[Country]],Table124[Mixed Classification],"&gt;0")</f>
        <v>0</v>
      </c>
      <c r="OF155" s="6">
        <f>COUNTIFS(Table125[Country],Tabela1[[#This Row],[Country]],Table125[Aerials Classification],"&gt;0")</f>
        <v>0</v>
      </c>
      <c r="OG155" s="6">
        <f>COUNTIFS(Table125128[Country],Tabela1[[#This Row],[Country]],Table125128[Aerials Classification],"&gt;0")</f>
        <v>0</v>
      </c>
      <c r="OH155" s="6">
        <f>COUNTIFS(Table128[Country],Tabela1[[#This Row],[Country]],Table128[Mixed Aerials Classification],"&gt;0")</f>
        <v>0</v>
      </c>
      <c r="OI155" s="6">
        <f>COUNTIFS(Table125[Country],Tabela1[[#This Row],[Country]],Table125[Big Air Classification],"&gt;0")</f>
        <v>0</v>
      </c>
      <c r="OJ155" s="6">
        <f>COUNTIFS(Table125128[Country],Tabela1[[#This Row],[Country]],Table125128[Big Air Classification],"&gt;0")</f>
        <v>0</v>
      </c>
      <c r="OK155" s="6">
        <f>COUNTIFS(Table125[Country],Tabela1[[#This Row],[Country]],Table125[Dual Moguls Classification],"&gt;0")</f>
        <v>0</v>
      </c>
      <c r="OL155" s="6">
        <f>COUNTIFS(Table125128[Country],Tabela1[[#This Row],[Country]],Table125128[Dual Moguls Classification],"&gt;0")</f>
        <v>0</v>
      </c>
      <c r="OM155" s="6">
        <f>COUNTIFS(Table125[Country],Tabela1[[#This Row],[Country]],Table125[Halfpipe Classification],"&gt;0")</f>
        <v>0</v>
      </c>
      <c r="ON155" s="6">
        <f>COUNTIFS(Table125128[Country],Tabela1[[#This Row],[Country]],Table125128[Halfpipe Classification],"&gt;0")</f>
        <v>0</v>
      </c>
      <c r="OO155" s="6">
        <f>COUNTIFS(Table125[Country],Tabela1[[#This Row],[Country]],Table125[Moguls Classification],"&gt;0")</f>
        <v>0</v>
      </c>
      <c r="OP155" s="6">
        <f>COUNTIFS(Table125128[Country],Tabela1[[#This Row],[Country]],Table125128[Moguls Classification],"&gt;0")</f>
        <v>0</v>
      </c>
      <c r="OQ155" s="6">
        <f>COUNTIFS(Table125[Country],Tabela1[[#This Row],[Country]],Table125[Ski Cross Classification],"&gt;0")</f>
        <v>0</v>
      </c>
      <c r="OR155" s="6">
        <f>COUNTIFS(Table125128[Country],Tabela1[[#This Row],[Country]],Table125128[Ski Cross Classification],"&gt;0")</f>
        <v>0</v>
      </c>
      <c r="OS155" s="6">
        <f>COUNTIFS(Table125[Country],Tabela1[[#This Row],[Country]],Table125[Slopestyle Classification],"&gt;0")</f>
        <v>0</v>
      </c>
      <c r="OT155" s="6">
        <f>COUNTIFS(Table125128[Country],Tabela1[[#This Row],[Country]],Table125128[Slopestyle Classification],"&gt;0")</f>
        <v>0</v>
      </c>
      <c r="OU155" s="6">
        <f>COUNTIFS(Table119131[Country],Tabela1[[#This Row],[Country]],Table119131[Men''s Classification],"&gt;0")</f>
        <v>0</v>
      </c>
      <c r="OV155" s="6">
        <f>COUNTIFS(Table119131[Country],Tabela1[[#This Row],[Country]],Table119131[Women''s Classification],"&gt;0")</f>
        <v>0</v>
      </c>
      <c r="OW155" s="6">
        <f>COUNTIFS(Table131[Country],Tabela1[[#This Row],[Country]],Table131[Classification],"&gt;0")</f>
        <v>0</v>
      </c>
      <c r="OX155" s="6">
        <f>COUNTIFS(Table131134[Country],Tabela1[[#This Row],[Country]],Table131134[Classification],"&gt;0")</f>
        <v>0</v>
      </c>
      <c r="OY155" s="6">
        <f>COUNTIFS(Table134[Country],Tabela1[[#This Row],[Country]],Table134[Men''s Classification],"&gt;0")</f>
        <v>0</v>
      </c>
      <c r="OZ155" s="6">
        <f>COUNTIFS(Table134[Country],Tabela1[[#This Row],[Country]],Table134[Women''s Classification],"&gt;0")</f>
        <v>0</v>
      </c>
      <c r="PA155" s="6">
        <f>COUNTIFS(Table135[Country],Tabela1[[#This Row],[Country]],Table135[Mixed Relay Classification],"&gt;0")</f>
        <v>0</v>
      </c>
      <c r="PB155" s="6">
        <f>COUNTIFS(Table136[Country],Tabela1[[#This Row],[Country]],Table136[Individual Classification],"&gt;0")</f>
        <v>0</v>
      </c>
      <c r="PC155" s="6">
        <f>COUNTIFS(Table136[Country],Tabela1[[#This Row],[Country]],Table136[Sprint Classification],"&gt;0")</f>
        <v>0</v>
      </c>
      <c r="PD155" s="6">
        <f>COUNTIFS(Table137[Country],Tabela1[[#This Row],[Country]],Table137[Men''s Team Sprint Large Hill Classification],"&gt;0")</f>
        <v>0</v>
      </c>
      <c r="PE155" s="6">
        <f>COUNTIFS(Table138[Country],Tabela1[[#This Row],[Country]],Table138[500m Classification],"&gt;0")</f>
        <v>0</v>
      </c>
      <c r="PF155" s="6">
        <f>COUNTIFS(Table138141[Country],Tabela1[[#This Row],[Country]],Table138141[500m Classification],"&gt;0")</f>
        <v>0</v>
      </c>
      <c r="PG155" s="6">
        <f>COUNTIFS(Table138[Country],Tabela1[[#This Row],[Country]],Table138[1000m Classification],"&gt;0")</f>
        <v>0</v>
      </c>
      <c r="PH155" s="6">
        <f>COUNTIFS(Table138141[Country],Tabela1[[#This Row],[Country]],Table138141[1000m Classification],"&gt;0")</f>
        <v>0</v>
      </c>
      <c r="PI155" s="6">
        <f>COUNTIFS(Table138[Country],Tabela1[[#This Row],[Country]],Table138[1500m Classification],"&gt;0")</f>
        <v>0</v>
      </c>
      <c r="PJ155" s="6">
        <f>COUNTIFS(Table138141[Country],Tabela1[[#This Row],[Country]],Table138141[1500m Classification],"&gt;0")</f>
        <v>0</v>
      </c>
      <c r="PK155" s="6">
        <f>COUNTIFS(Table141[Country],Tabela1[[#This Row],[Country]],Table141[Men''s 5000m Relay Classification],"&gt;0")</f>
        <v>0</v>
      </c>
      <c r="PL155" s="6">
        <f>COUNTIFS(Table141[Country],Tabela1[[#This Row],[Country]],Table141[Women''s 3000m Relay Classification],"&gt;0")</f>
        <v>0</v>
      </c>
      <c r="PM155" s="6">
        <f>COUNTIFS(Table141[Country],Tabela1[[#This Row],[Country]],Table141[Mixed 2000m Relay Classification],"&gt;0")</f>
        <v>0</v>
      </c>
      <c r="PN155" s="6">
        <f>COUNTIFS(Table142[Country],Tabela1[[#This Row],[Country]],Table142[Classification],"&gt;0")</f>
        <v>0</v>
      </c>
      <c r="PO155" s="6">
        <f>COUNTIFS(Table142145[Country],Tabela1[[#This Row],[Country]],Table142145[Classification],"&gt;0")</f>
        <v>0</v>
      </c>
      <c r="PP155" s="6">
        <f>COUNTIFS(Tabela15[Country],Tabela1[[#This Row],[Country]],Tabela15[Mixed Team Classification],"&gt;0")</f>
        <v>0</v>
      </c>
      <c r="PQ155" s="6">
        <f>COUNTIFS(Table145[Country],Tabela1[[#This Row],[Country]],Table145[Large Hill Classification],"&gt;0")</f>
        <v>0</v>
      </c>
      <c r="PR155" s="6">
        <f>COUNTIFS(Table145[Country],Tabela1[[#This Row],[Country]],Table145[Normal Hill Classification],"&gt;0")</f>
        <v>0</v>
      </c>
      <c r="PS155" s="6">
        <f>COUNTIFS(Table145148[Country],Tabela1[[#This Row],[Country]],Table145148[Large Hill Classification],"&gt;0")</f>
        <v>0</v>
      </c>
      <c r="PT155" s="6">
        <f>COUNTIFS(Table145148[Country],Tabela1[[#This Row],[Country]],Table145148[Normal Hill Classification],"&gt;0")</f>
        <v>0</v>
      </c>
      <c r="PU155" s="6">
        <f>COUNTIFS(Table148[Country],Tabela1[[#This Row],[Country]],Table148[Men''s Super Team Classification],"&gt;0")</f>
        <v>0</v>
      </c>
      <c r="PV155" s="6">
        <f>COUNTIFS(Tabela114[Country],Tabela1[[#This Row],[Country]],Tabela114[Mixed Normal Hill Classification],"&gt;0")</f>
        <v>0</v>
      </c>
      <c r="PW155" s="6">
        <f>COUNTIFS(Tabela50[Country],Tabela1[[#This Row],[Country]],Tabela50[Sprint Classification],"&gt;0")</f>
        <v>0</v>
      </c>
      <c r="PX155" s="6">
        <f>COUNTIFS(Tabela50101[Country],Tabela1[[#This Row],[Country]],Tabela50101[Sprint Classification],"&gt;0")</f>
        <v>0</v>
      </c>
      <c r="PY155" s="6">
        <f>COUNTIFS(Tabela103[Country],Tabela1[[#This Row],[Country]],Tabela103[Mixed Relay Classification],"&gt;0")</f>
        <v>0</v>
      </c>
      <c r="PZ155" s="6">
        <f>COUNTIFS(Table149[Country],Tabela1[[#This Row],[Country]],Table149[Big Air Classification],"&gt;0")</f>
        <v>0</v>
      </c>
      <c r="QA155" s="6">
        <f>COUNTIFS(Table149152[Country],Tabela1[[#This Row],[Country]],Table149152[Big Air Classification],"&gt;0")</f>
        <v>0</v>
      </c>
      <c r="QB155" s="6">
        <f>COUNTIFS(Table149[Country],Tabela1[[#This Row],[Country]],Table149[Halfpipe Classification],"&gt;0")</f>
        <v>0</v>
      </c>
      <c r="QC155" s="6">
        <f>COUNTIFS(Table149152[Country],Tabela1[[#This Row],[Country]],Table149152[Halfpipe Classification],"&gt;0")</f>
        <v>0</v>
      </c>
      <c r="QD155" s="6">
        <f>COUNTIFS(Table149[Country],Tabela1[[#This Row],[Country]],Table149[Parallel Giant Slalom Classification],"&gt;0")</f>
        <v>0</v>
      </c>
      <c r="QE155" s="6">
        <f>COUNTIFS(Table149152[Country],Tabela1[[#This Row],[Country]],Table149152[Parallel Giant Slalom Classification],"&gt;0")</f>
        <v>0</v>
      </c>
      <c r="QF155" s="6">
        <f>COUNTIFS(Table149[Country],Tabela1[[#This Row],[Country]],Table149[Slopestyle Classification],"&gt;0")</f>
        <v>0</v>
      </c>
      <c r="QG155" s="6">
        <f>COUNTIFS(Table149152[Country],Tabela1[[#This Row],[Country]],Table149152[Slopestyle Classification],"&gt;0")</f>
        <v>0</v>
      </c>
      <c r="QH155" s="6">
        <f>COUNTIFS(Table149[Country],Tabela1[[#This Row],[Country]],Table149[Snowboard Cross Classification],"&gt;0")</f>
        <v>0</v>
      </c>
      <c r="QI155" s="6">
        <f>COUNTIFS(Table149152[Country],Tabela1[[#This Row],[Country]],Table149152[Snowboard Cross Classification],"&gt;0")</f>
        <v>0</v>
      </c>
      <c r="QJ155" s="6">
        <f>COUNTIFS(Table153[Country],Tabela1[[#This Row],[Country]],Table153[Mixed Team Snowboard Cross Classification],"&gt;0")</f>
        <v>0</v>
      </c>
      <c r="QK155" s="6">
        <f>COUNTIFS(Table154[Country],Tabela1[[#This Row],[Country]],Table154[500m Classification],"&gt;0")</f>
        <v>0</v>
      </c>
      <c r="QL155" s="6">
        <f>COUNTIFS(Table154157[Country],Tabela1[[#This Row],[Country]],Table154157[500m Classification],"&gt;0")</f>
        <v>0</v>
      </c>
      <c r="QM155" s="6">
        <f>COUNTIFS(Table154[Country],Tabela1[[#This Row],[Country]],Table154[1000m Classification],"&gt;0")</f>
        <v>0</v>
      </c>
      <c r="QN155" s="6">
        <f>COUNTIFS(Table154157[Country],Tabela1[[#This Row],[Country]],Table154157[1000m Classification],"&gt;0")</f>
        <v>0</v>
      </c>
      <c r="QO155" s="6">
        <f>COUNTIFS(Table154[Country],Tabela1[[#This Row],[Country]],Table154[1500m Classification],"&gt;0")</f>
        <v>0</v>
      </c>
      <c r="QP155" s="6">
        <f>COUNTIFS(Table154157[Country],Tabela1[[#This Row],[Country]],Table154157[1500m Classification],"&gt;0")</f>
        <v>0</v>
      </c>
      <c r="QQ155" s="6">
        <f>COUNTIFS(Table154157[Country],Tabela1[[#This Row],[Country]],Table154157[3000m Classification],"&gt;0")</f>
        <v>0</v>
      </c>
      <c r="QR155" s="6">
        <f>COUNTIFS(Table154[Country],Tabela1[[#This Row],[Country]],Table154[5000m Classification],"&gt;0")</f>
        <v>0</v>
      </c>
      <c r="QS155" s="6">
        <f>COUNTIFS(Table154157[Country],Tabela1[[#This Row],[Country]],Table154157[5000m Classification],"&gt;0")</f>
        <v>0</v>
      </c>
      <c r="QT155" s="6">
        <f>COUNTIFS(Table154[Country],Tabela1[[#This Row],[Country]],Table154[10000m Classification],"&gt;0")</f>
        <v>0</v>
      </c>
      <c r="QU155" s="6">
        <f>COUNTIFS(Table154[Country],Tabela1[[#This Row],[Country]],Table154[Mass Start Classification],"&gt;0")</f>
        <v>0</v>
      </c>
      <c r="QV155" s="6">
        <f>COUNTIFS(Table154157[Country],Tabela1[[#This Row],[Country]],Table154157[Mass Start Classification],"&gt;0")</f>
        <v>0</v>
      </c>
      <c r="QW155" s="6">
        <f>COUNTIFS(Table157[Country],Tabela1[[#This Row],[Country]],Table157[Men''s Pursuit Classification],"&gt;0")</f>
        <v>0</v>
      </c>
      <c r="QX155" s="6">
        <f>COUNTIFS(Table157[Country],Tabela1[[#This Row],[Country]],Table157[Women''s Pursuit Classification],"&gt;0")</f>
        <v>0</v>
      </c>
      <c r="QY155" s="4" t="s">
        <v>419</v>
      </c>
    </row>
    <row r="156" spans="1:467" x14ac:dyDescent="0.3">
      <c r="A156" s="6">
        <v>155</v>
      </c>
      <c r="B156" s="6" t="s">
        <v>562</v>
      </c>
      <c r="C156" t="e" vm="155">
        <f>IF(ISBLANK(Tabela1[[#This Row],[Image Link]]), "", _xlfn.IMAGE(Tabela1[[#This Row],[Image Link]],1,1))</f>
        <v>#VALUE!</v>
      </c>
      <c r="D156" s="6">
        <f>SUM(Tabela1[[#This Row],[Archery - Men''s Individual Recurve]:[Speed Skating - Women''s Team Pursuit]])</f>
        <v>0</v>
      </c>
      <c r="E156" s="6">
        <f>COUNTIF(Tabela1[[#This Row],[Archery - Men''s Individual Recurve]:[Speed Skating - Women''s Team Pursuit]],"&gt;0")</f>
        <v>0</v>
      </c>
      <c r="F156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56" s="6">
        <f>SUM(Tabela1[[#This Row],[Archery - Men''s Individual Recurve]:[Wrestling - Women''s Freestyle 76kg]])</f>
        <v>0</v>
      </c>
      <c r="H156" s="6">
        <f>SUM(Tabela1[[#This Row],[Alpine Skiing - Men''s Downhill]:[Speed Skating - Women''s Team Pursuit]])</f>
        <v>0</v>
      </c>
      <c r="I156" s="6">
        <f>Tabela1[[#This Row],[Summer Gold Medals]]+Tabela1[[#This Row],[Winter Gold Medals]]</f>
        <v>1</v>
      </c>
      <c r="J156" s="6">
        <f>Tabela1[[#This Row],[Summer Silver Medals]]+Tabela1[[#This Row],[Winter Silver Medals]]</f>
        <v>0</v>
      </c>
      <c r="K156" s="6">
        <f>Tabela1[[#This Row],[Summer Bronze Medals]]+Tabela1[[#This Row],[Winter Bronze Medals]]</f>
        <v>0</v>
      </c>
      <c r="L156" s="6">
        <f>SUM(Tabela1[[#This Row],[Total Gold Medals]:[Total Bronze Medals]])</f>
        <v>1</v>
      </c>
      <c r="M156" s="6">
        <v>1</v>
      </c>
      <c r="N156" s="6"/>
      <c r="O156" s="6"/>
      <c r="P156" s="6">
        <f>SUM(Tabela1[[#This Row],[Summer Gold Medals]:[Summer Bronze Medals]])</f>
        <v>1</v>
      </c>
      <c r="Q156" s="6"/>
      <c r="R156" s="6"/>
      <c r="S156" s="6"/>
      <c r="T156" s="6">
        <f>Tabela1[[#This Row],[Winter Gold Medals]]+Tabela1[[#This Row],[Winter Silver Medals]]+Tabela1[[#This Row],[Winter Bronze Medals]]</f>
        <v>0</v>
      </c>
      <c r="U156" s="7" t="e">
        <f>Tabela1[[#This Row],[Total Medals]]/Tabela1[[#This Row],[Total Quotas]]</f>
        <v>#DIV/0!</v>
      </c>
      <c r="V156" s="6">
        <f>COUNTIFS(Table3[Country],Tabela1[[#This Row],[Country]],Table3[Recurve Classification],"&gt;0")</f>
        <v>0</v>
      </c>
      <c r="W156" s="6">
        <f>COUNTIFS(Table33[Country],Tabela1[[#This Row],[Country]],Table33[Recurve Classification],"&gt;0")</f>
        <v>0</v>
      </c>
      <c r="X156" s="6">
        <f>COUNTIFS(Table35[Country],Tabela1[[#This Row],[Country]],Table35[Men''s Team Recurve Classification],"&gt;0")</f>
        <v>0</v>
      </c>
      <c r="Y156" s="6">
        <f>COUNTIFS(Table35[Country],Tabela1[[#This Row],[Country]],Table35[Women''s Team Recurve Classification],"&gt;0")</f>
        <v>0</v>
      </c>
      <c r="Z156" s="6">
        <f>COUNTIFS(Tabela88[Country],Tabela1[[#This Row],[Country]],Tabela88[Mixed Team Recurve Classification],"&gt;0")</f>
        <v>0</v>
      </c>
      <c r="AA156" s="6">
        <f>COUNTIFS(Table36[Country],Tabela1[[#This Row],[Country]],Table36[Classification],"&gt;0")</f>
        <v>0</v>
      </c>
      <c r="AB156" s="6">
        <f>COUNTIFS(Table37[Country],Tabela1[[#This Row],[Country]],Table37[Classification],"&gt;0")</f>
        <v>0</v>
      </c>
      <c r="AC156" s="6">
        <f>COUNTIFS(Table4[Country],Tabela1[[#This Row],[Country]],Table4[100m Classification],"&gt;0")</f>
        <v>0</v>
      </c>
      <c r="AD156" s="6">
        <f>COUNTIFS(Table5[Country],Tabela1[[#This Row],[Country]],Table5[100m Classification],"&gt;0")</f>
        <v>0</v>
      </c>
      <c r="AE156" s="6">
        <f>COUNTIFS(Table4[Country],Tabela1[[#This Row],[Country]],Table4[200m Classification],"&gt;0")</f>
        <v>0</v>
      </c>
      <c r="AF156" s="6">
        <f>COUNTIFS(Table5[Country],Tabela1[[#This Row],[Country]],Table5[200m Classification],"&gt;0")</f>
        <v>0</v>
      </c>
      <c r="AG156" s="6">
        <f>COUNTIFS(Table4[Country],Tabela1[[#This Row],[Country]],Table4[400m Classification],"&gt;0")</f>
        <v>0</v>
      </c>
      <c r="AH156" s="6">
        <f>COUNTIFS(Table5[Country],Tabela1[[#This Row],[Country]],Table5[400m Classification],"&gt;0")</f>
        <v>0</v>
      </c>
      <c r="AI156" s="6">
        <f>COUNTIFS(Table4[Country],Tabela1[[#This Row],[Country]],Table4[800m Classification],"&gt;0")</f>
        <v>0</v>
      </c>
      <c r="AJ156" s="6">
        <f>COUNTIFS(Table5[Country],Tabela1[[#This Row],[Country]],Table5[800m Classification],"&gt;0")</f>
        <v>0</v>
      </c>
      <c r="AK156" s="6">
        <f>COUNTIFS(Table4[Country],Tabela1[[#This Row],[Country]],Table4[1500m Classification],"&gt;0")</f>
        <v>0</v>
      </c>
      <c r="AL156" s="6">
        <f>COUNTIFS(Table5[Country],Tabela1[[#This Row],[Country]],Table5[1500m Classification],"&gt;0")</f>
        <v>0</v>
      </c>
      <c r="AM156" s="6">
        <f>COUNTIFS(Table4[Country],Tabela1[[#This Row],[Country]],Table4[5000m Classification],"&gt;0")</f>
        <v>0</v>
      </c>
      <c r="AN156" s="6">
        <f>COUNTIFS(Table5[Country],Tabela1[[#This Row],[Country]],Table5[5000m Classification],"&gt;0")</f>
        <v>0</v>
      </c>
      <c r="AO156" s="6">
        <f>COUNTIFS(Table4[Country],Tabela1[[#This Row],[Country]],Table4[10000m Classification],"&gt;0")</f>
        <v>0</v>
      </c>
      <c r="AP156" s="6">
        <f>COUNTIFS(Table5[Country],Tabela1[[#This Row],[Country]],Table5[10000m Classification],"&gt;0")</f>
        <v>0</v>
      </c>
      <c r="AQ156" s="6">
        <f>COUNTIFS(Table4[Country],Tabela1[[#This Row],[Country]],Table4[110m Hurdles Classification],"&gt;0")</f>
        <v>0</v>
      </c>
      <c r="AR156" s="6">
        <f>COUNTIFS(Table5[Country],Tabela1[[#This Row],[Country]],Table5[100m Hurdles Classification],"&gt;0")</f>
        <v>0</v>
      </c>
      <c r="AS156" s="6">
        <f>COUNTIFS(Table4[Country],Tabela1[[#This Row],[Country]],Table4[400m Hurdles Classification],"&gt;0")</f>
        <v>0</v>
      </c>
      <c r="AT156" s="6">
        <f>COUNTIFS(Table5[Country],Tabela1[[#This Row],[Country]],Table5[400m Hurdles Classification],"&gt;0")</f>
        <v>0</v>
      </c>
      <c r="AU156" s="6">
        <f>COUNTIFS(Table4[Country],Tabela1[[#This Row],[Country]],Table4[3000m Steeplechase Classification],"&gt;0")</f>
        <v>0</v>
      </c>
      <c r="AV156" s="6">
        <f>COUNTIFS(Table5[Country],Tabela1[[#This Row],[Country]],Table5[3000m Steeplechase Classification],"&gt;0")</f>
        <v>0</v>
      </c>
      <c r="AW156" s="6">
        <f>COUNTIFS(Table27[Country],Tabela1[[#This Row],[Country]],Table27[Men''s 4x100m Relay Classification],"&gt;0")</f>
        <v>0</v>
      </c>
      <c r="AX156" s="6">
        <f>COUNTIFS(Table27[Country],Tabela1[[#This Row],[Country]],Table27[Women''s 4x100m Relay Classification],"&gt;0")</f>
        <v>0</v>
      </c>
      <c r="AY156" s="6">
        <f>COUNTIFS(Table27[Country],Tabela1[[#This Row],[Country]],Table27[Men''s 4x400m Relay Classification],"&gt;0")</f>
        <v>0</v>
      </c>
      <c r="AZ156" s="6">
        <f>COUNTIFS(Table27[Country],Tabela1[[#This Row],[Country]],Table27[Women''s 4x400m Relay Classification],"&gt;0")</f>
        <v>0</v>
      </c>
      <c r="BA156" s="6">
        <f>COUNTIFS(Table27[Country],Tabela1[[#This Row],[Country]],Table27[Mixed 4x400m Relay Classification],"&gt;0")</f>
        <v>0</v>
      </c>
      <c r="BB156" s="6">
        <f>COUNTIFS(Table4[Country],Tabela1[[#This Row],[Country]],Table4[Marathon Classification],"&gt;0")</f>
        <v>0</v>
      </c>
      <c r="BC156" s="6">
        <f>COUNTIFS(Table5[Country],Tabela1[[#This Row],[Country]],Table5[Marathon Classification],"&gt;0")</f>
        <v>0</v>
      </c>
      <c r="BD156" s="6">
        <f>COUNTIFS(Table4[Country],Tabela1[[#This Row],[Country]],Table4[20km Race Walk Classification],"&gt;0")</f>
        <v>0</v>
      </c>
      <c r="BE156" s="6">
        <f>COUNTIFS(Table5[Country],Tabela1[[#This Row],[Country]],Table5[20km Race Walk Classification],"&gt;0")</f>
        <v>0</v>
      </c>
      <c r="BF156" s="6">
        <f>COUNTIFS(Tabela96[Country],Tabela1[[#This Row],[Country]],Tabela96[Mixed Marathon Race Walk Relay Classification],"&gt;0")</f>
        <v>0</v>
      </c>
      <c r="BG156" s="6">
        <f>COUNTIFS(Table4[Country],Tabela1[[#This Row],[Country]],Table4[Discus Throw Classification],"&gt;0")</f>
        <v>0</v>
      </c>
      <c r="BH156" s="6">
        <f>COUNTIFS(Table5[Country],Tabela1[[#This Row],[Country]],Table5[Discus Throw Classification],"&gt;0")</f>
        <v>0</v>
      </c>
      <c r="BI156" s="6">
        <f>COUNTIFS(Table4[Country],Tabela1[[#This Row],[Country]],Table4[Hammer Throw Classification],"&gt;0")</f>
        <v>0</v>
      </c>
      <c r="BJ156" s="6">
        <f>COUNTIFS(Table5[Country],Tabela1[[#This Row],[Country]],Table5[Hammer Throw Classification],"&gt;0")</f>
        <v>0</v>
      </c>
      <c r="BK156" s="6">
        <f>COUNTIFS(Table4[Country],Tabela1[[#This Row],[Country]],Table4[High Jump Classification],"&gt;0")</f>
        <v>0</v>
      </c>
      <c r="BL156" s="6">
        <f>COUNTIFS(Table5[Country],Tabela1[[#This Row],[Country]],Table5[High Jump Classification],"&gt;0")</f>
        <v>0</v>
      </c>
      <c r="BM156" s="6">
        <f>COUNTIFS(Table4[Country],Tabela1[[#This Row],[Country]],Table4[Javelin Throw Classification],"&gt;0")</f>
        <v>0</v>
      </c>
      <c r="BN156" s="6">
        <f>COUNTIFS(Table5[Country],Tabela1[[#This Row],[Country]],Table5[Javelin Throw Classification],"&gt;0")</f>
        <v>0</v>
      </c>
      <c r="BO156" s="6">
        <f>COUNTIFS(Table4[Country],Tabela1[[#This Row],[Country]],Table4[Long Jump Classification],"&gt;0")</f>
        <v>0</v>
      </c>
      <c r="BP156" s="6">
        <f>COUNTIFS(Table5[Country],Tabela1[[#This Row],[Country]],Table5[Long Jump Classification],"&gt;0")</f>
        <v>0</v>
      </c>
      <c r="BQ156" s="6">
        <f>COUNTIFS(Table4[Country],Tabela1[[#This Row],[Country]],Table4[Pole Vault Classification],"&gt;0")</f>
        <v>0</v>
      </c>
      <c r="BR156" s="6">
        <f>COUNTIFS(Table5[Country],Tabela1[[#This Row],[Country]],Table5[Pole Vault Classification],"&gt;0")</f>
        <v>0</v>
      </c>
      <c r="BS156" s="6">
        <f>COUNTIFS(Table4[Country],Tabela1[[#This Row],[Country]],Table4[Shot Put Classification],"&gt;0")</f>
        <v>0</v>
      </c>
      <c r="BT156" s="6">
        <f>COUNTIFS(Table5[Country],Tabela1[[#This Row],[Country]],Table5[Shot Put Classification],"&gt;0")</f>
        <v>0</v>
      </c>
      <c r="BU156" s="6">
        <f>COUNTIFS(Table4[Country],Tabela1[[#This Row],[Country]],Table4[Triple Jump Classification],"&gt;0")</f>
        <v>0</v>
      </c>
      <c r="BV156" s="6">
        <f>COUNTIFS(Table5[Country],Tabela1[[#This Row],[Country]],Table5[Triple Jump Classification],"&gt;0")</f>
        <v>0</v>
      </c>
      <c r="BW156" s="6">
        <f>COUNTIFS(Table4[Country],Tabela1[[#This Row],[Country]],Table4[Decathlon Classification],"&gt;0")</f>
        <v>0</v>
      </c>
      <c r="BX156" s="6">
        <f>COUNTIFS(Table5[Country],Tabela1[[#This Row],[Country]],Table5[Heptathlon Classification],"&gt;0")</f>
        <v>0</v>
      </c>
      <c r="BY156" s="6">
        <f>COUNTIFS(Table61[Country],Tabela1[[#This Row],[Country]],Table61[Classification],"&gt;0")</f>
        <v>0</v>
      </c>
      <c r="BZ156" s="6">
        <f>COUNTIFS(Table38[Country],Tabela1[[#This Row],[Country]],Table38[Classification],"&gt;0")</f>
        <v>0</v>
      </c>
      <c r="CA156" s="6">
        <f>COUNTIFS(Table39[Country],Tabela1[[#This Row],[Country]],Table39[Men''s Classification],"&gt;0")</f>
        <v>0</v>
      </c>
      <c r="CB156" s="6">
        <f>COUNTIFS(Table39[Country],Tabela1[[#This Row],[Country]],Table39[Women''s Classification],"&gt;0")</f>
        <v>0</v>
      </c>
      <c r="CC156" s="6">
        <f>COUNTIFS(Table39[Country],Tabela1[[#This Row],[Country]],Table39[Mixed Classification],"&gt;0")</f>
        <v>0</v>
      </c>
      <c r="CD156" s="6">
        <f>COUNTIFS(Table89[Country],Tabela1[[#This Row],[Country]],Table89[Men''s Classification],"&gt;0")</f>
        <v>0</v>
      </c>
      <c r="CE156" s="6">
        <f>COUNTIFS(Table89[Country],Tabela1[[#This Row],[Country]],Table89[Women''s Classification],"&gt;0")</f>
        <v>0</v>
      </c>
      <c r="CF156" s="6">
        <f>COUNTIFS(Table90[Country],Tabela1[[#This Row],[Country]],Table90[Men''s Classification],"&gt;0")</f>
        <v>0</v>
      </c>
      <c r="CG156" s="6">
        <f>COUNTIFS(Table90[Country],Tabela1[[#This Row],[Country]],Table90[Women''s Classification],"&gt;0")</f>
        <v>0</v>
      </c>
      <c r="CH156" s="6">
        <f>COUNTIFS(Table60[Country],Tabela1[[#This Row],[Country]],Table60[Men''s Classification],"&gt;0")</f>
        <v>0</v>
      </c>
      <c r="CI156" s="6">
        <f>COUNTIFS(Table60[Country],Tabela1[[#This Row],[Country]],Table60[Women''s Classification],"&gt;0")</f>
        <v>0</v>
      </c>
      <c r="CJ156" s="6">
        <f>COUNTIFS(Table6[Country],Tabela1[[#This Row],[Country]],Table6[51kg Classification],"&gt;0")</f>
        <v>0</v>
      </c>
      <c r="CK156" s="6">
        <f>COUNTIFS(Table6[Country],Tabela1[[#This Row],[Country]],Table6[57kg Classification],"&gt;0")</f>
        <v>0</v>
      </c>
      <c r="CL156" s="6">
        <f>COUNTIFS(Table6[Country],Tabela1[[#This Row],[Country]],Table6[63.5kg Classification],"&gt;0")</f>
        <v>0</v>
      </c>
      <c r="CM156" s="6">
        <f>COUNTIFS(Table6[Country],Tabela1[[#This Row],[Country]],Table6[71kg Classification],"&gt;0")</f>
        <v>0</v>
      </c>
      <c r="CN156" s="6">
        <f>COUNTIFS(Table6[Country],Tabela1[[#This Row],[Country]],Table6[80kg Classification],"&gt;0")</f>
        <v>0</v>
      </c>
      <c r="CO156" s="6">
        <f>COUNTIFS(Table6[Country],Tabela1[[#This Row],[Country]],Table6[92kg Classification],"&gt;0")</f>
        <v>0</v>
      </c>
      <c r="CP156" s="6">
        <f>COUNTIFS(Table6[Country],Tabela1[[#This Row],[Country]],Table6[Plus 92kg Classification],"&gt;0")</f>
        <v>0</v>
      </c>
      <c r="CQ156" s="6">
        <f>COUNTIFS(Table7[Country],Tabela1[[#This Row],[Country]],Table7[50kg Classification],"&gt;0")</f>
        <v>0</v>
      </c>
      <c r="CR156" s="6">
        <f>COUNTIFS(Table7[Country],Tabela1[[#This Row],[Country]],Table7[54kg Classification],"&gt;0")</f>
        <v>0</v>
      </c>
      <c r="CS156" s="6">
        <f>COUNTIFS(Table7[Country],Tabela1[[#This Row],[Country]],Table7[57kg Classification],"&gt;0")</f>
        <v>0</v>
      </c>
      <c r="CT156" s="6">
        <f>COUNTIFS(Table7[Country],Tabela1[[#This Row],[Country]],Table7[60kg Classification],"&gt;0")</f>
        <v>0</v>
      </c>
      <c r="CU156" s="6">
        <f>COUNTIFS(Table7[Country],Tabela1[[#This Row],[Country]],Table7[66kg Classification],"&gt;0")</f>
        <v>0</v>
      </c>
      <c r="CV156" s="6">
        <f>COUNTIFS(Table7[Country],Tabela1[[#This Row],[Country]],Table7[75kg Classification],"&gt;0")</f>
        <v>0</v>
      </c>
      <c r="CW156" s="6">
        <f>COUNTIFS(Tabela94[Country],Tabela1[[#This Row],[Country]],Tabela94[Classification],"&gt;0")</f>
        <v>0</v>
      </c>
      <c r="CX156" s="6">
        <f>COUNTIFS(Tabela9499[Country],Tabela1[[#This Row],[Country]],Tabela9499[Classification],"&gt;0")</f>
        <v>0</v>
      </c>
      <c r="CY156" s="6">
        <f>COUNTIFS(Tabela107[Country],Tabela1[[#This Row],[Country]],Tabela107[C1 Slalom Classification],"&gt;0")</f>
        <v>0</v>
      </c>
      <c r="CZ156" s="6">
        <f>COUNTIFS(Tabela107122[Country],Tabela1[[#This Row],[Country]],Tabela107122[C1 Slalom Classification],"&gt;0")</f>
        <v>0</v>
      </c>
      <c r="DA156" s="6">
        <f>COUNTIFS(Tabela107[Country],Tabela1[[#This Row],[Country]],Tabela107[K1 Slalom Classification],"&gt;0")</f>
        <v>0</v>
      </c>
      <c r="DB156" s="6">
        <f>COUNTIFS(Tabela107122[Country],Tabela1[[#This Row],[Country]],Tabela107122[K1 Slalom Classification],"&gt;0")</f>
        <v>0</v>
      </c>
      <c r="DC156" s="6">
        <f>COUNTIFS(Tabela107[Country],Tabela1[[#This Row],[Country]],Tabela107[Kayak Cross Slalom Classification],"&gt;0")</f>
        <v>0</v>
      </c>
      <c r="DD156" s="6">
        <f>COUNTIFS(Tabela107122[Country],Tabela1[[#This Row],[Country]],Tabela107122[Kayak Cross Slalom Classification],"&gt;0")</f>
        <v>0</v>
      </c>
      <c r="DE156" s="6">
        <f>COUNTIFS(Table8[Country],Tabela1[[#This Row],[Country]],Table8[C1 200m Classification],"&gt;0")</f>
        <v>0</v>
      </c>
      <c r="DF156" s="6">
        <f>COUNTIFS(Table40[Country],Tabela1[[#This Row],[Country]],Table40[C1 1000m Classification],"&gt;0")</f>
        <v>0</v>
      </c>
      <c r="DG156" s="6">
        <f>COUNTIFS(Table68[Country],Tabela1[[#This Row],[Country]],Table68[Men''s C2 500m Classification],"&gt;0")</f>
        <v>0</v>
      </c>
      <c r="DH156" s="6">
        <f>COUNTIFS(Table68[Country],Tabela1[[#This Row],[Country]],Table68[Women''s C2 500m Classification],"&gt;0")</f>
        <v>0</v>
      </c>
      <c r="DI156" s="6">
        <f>COUNTIFS(Table8[Country],Tabela1[[#This Row],[Country]],Table8[K1 500m Classification],"&gt;0")</f>
        <v>0</v>
      </c>
      <c r="DJ156" s="6">
        <f>COUNTIFS(Table40[Country],Tabela1[[#This Row],[Country]],Table40[K1 1000m Classification],"&gt;0")</f>
        <v>0</v>
      </c>
      <c r="DK156" s="6">
        <f>COUNTIFS(Table68[Country],Tabela1[[#This Row],[Country]],Table68[Men''s K2 500m Classification],"&gt;0")</f>
        <v>0</v>
      </c>
      <c r="DL156" s="6">
        <f>COUNTIFS(Table68[Country],Tabela1[[#This Row],[Country]],Table68[Women''s K2 500m Classification],"&gt;0")</f>
        <v>0</v>
      </c>
      <c r="DM156" s="6">
        <f>COUNTIFS(Table83[Country],Tabela1[[#This Row],[Country]],Table83[Men''s K4 500m Classification],"&gt;0")</f>
        <v>0</v>
      </c>
      <c r="DN156" s="6">
        <f>COUNTIFS(Table83[Country],Tabela1[[#This Row],[Country]],Table83[Women''s K4 500m Classification],"&gt;0")</f>
        <v>0</v>
      </c>
      <c r="DO156" s="6">
        <f>COUNTIFS(Tabela126[Country],Tabela1[[#This Row],[Country]],Tabela126[Classification],"&gt;0")</f>
        <v>0</v>
      </c>
      <c r="DP156" s="6">
        <f>COUNTIFS(Tabela126130[Country],Tabela1[[#This Row],[Country]],Tabela126130[Classification],"&gt;0")</f>
        <v>0</v>
      </c>
      <c r="DQ156" s="6">
        <f>COUNTIFS(Table70[Country],Tabela1[[#This Row],[Country]],Table70[Classification],"&gt;0")</f>
        <v>0</v>
      </c>
      <c r="DR156" s="6">
        <f>COUNTIFS(Table80[Country],Tabela1[[#This Row],[Country]],Table80[Classification],"&gt;0")</f>
        <v>0</v>
      </c>
      <c r="DS156" s="6">
        <f>COUNTIFS(Table66[Country],Tabela1[[#This Row],[Country]],Table66[Classification],"&gt;0")</f>
        <v>0</v>
      </c>
      <c r="DT156" s="6">
        <f>COUNTIFS(Table67[Country],Tabela1[[#This Row],[Country]],Table67[Classification],"&gt;0")</f>
        <v>0</v>
      </c>
      <c r="DU156" s="6">
        <f>COUNTIFS(Table69[Country],Tabela1[[#This Row],[Country]],Table69[Keirin Classification],"&gt;0")</f>
        <v>0</v>
      </c>
      <c r="DV156" s="6">
        <f>COUNTIFS(Table41[Country],Tabela1[[#This Row],[Country]],Table41[Keirin Classification],"&gt;0")</f>
        <v>0</v>
      </c>
      <c r="DW156" s="6">
        <f>COUNTIFS(Table84[Country],Tabela1[[#This Row],[Country]],Table84[Men''s Madison Classification],"&gt;0")</f>
        <v>0</v>
      </c>
      <c r="DX156" s="6">
        <f>COUNTIFS(Table84[Country],Tabela1[[#This Row],[Country]],Table84[Women''s Madison Classification],"&gt;0")</f>
        <v>0</v>
      </c>
      <c r="DY156" s="6">
        <f>COUNTIFS(Table69[Country],Tabela1[[#This Row],[Country]],Table69[Omnium Classification],"&gt;0")</f>
        <v>0</v>
      </c>
      <c r="DZ156" s="6">
        <f>COUNTIFS(Table41[Country],Tabela1[[#This Row],[Country]],Table41[Omnium Classification],"&gt;0")</f>
        <v>0</v>
      </c>
      <c r="EA156" s="6">
        <f>COUNTIFS(Table9[Country],Tabela1[[#This Row],[Country]],Table9[Road Race Classification],"&gt;0")</f>
        <v>0</v>
      </c>
      <c r="EB156" s="6">
        <f>COUNTIFS(Table14[Country],Tabela1[[#This Row],[Country]],Table14[Road Race Classification],"&gt;0")</f>
        <v>0</v>
      </c>
      <c r="EC156" s="6">
        <f>COUNTIFS(Table69[Country],Tabela1[[#This Row],[Country]],Table69[Sprint Classification],"&gt;0")</f>
        <v>0</v>
      </c>
      <c r="ED156" s="6">
        <f>COUNTIFS(Table41[Country],Tabela1[[#This Row],[Country]],Table41[Sprint Classification],"&gt;0")</f>
        <v>0</v>
      </c>
      <c r="EE156" s="6">
        <f>COUNTIFS(Table85[Country],Tabela1[[#This Row],[Country]],Table85[Men''s Sprint Classification],"&gt;0")</f>
        <v>0</v>
      </c>
      <c r="EF156" s="6">
        <f>COUNTIFS(Table85[Country],Tabela1[[#This Row],[Country]],Table85[Women''s Sprint Classification],"&gt;0")</f>
        <v>0</v>
      </c>
      <c r="EG156" s="6">
        <f>COUNTIFS(Table85[Country],Tabela1[[#This Row],[Country]],Table85[Men''s Pursuit Classification],"&gt;0")</f>
        <v>0</v>
      </c>
      <c r="EH156" s="6">
        <f>COUNTIFS(Table85[Country],Tabela1[[#This Row],[Country]],Table85[Women''s Pursuit Classification],"&gt;0")</f>
        <v>0</v>
      </c>
      <c r="EI156" s="6">
        <f>COUNTIFS(Table9[Country],Tabela1[[#This Row],[Country]],Table9[Time-Trial Classification],"&gt;0")</f>
        <v>0</v>
      </c>
      <c r="EJ156" s="6">
        <f>COUNTIFS(Table14[Country],Tabela1[[#This Row],[Country]],Table14[Time-Trial Classification],"&gt;0")</f>
        <v>0</v>
      </c>
      <c r="EK156" s="6">
        <f>COUNTIFS(Table42[Country],Tabela1[[#This Row],[Country]],Table42[Springboard Classification],"&gt;0")</f>
        <v>0</v>
      </c>
      <c r="EL156" s="6">
        <f>COUNTIFS(Table43[Country],Tabela1[[#This Row],[Country]],Table43[Springboard Classification],"&gt;0")</f>
        <v>0</v>
      </c>
      <c r="EM156" s="6">
        <f>COUNTIFS(Table42[Country],Tabela1[[#This Row],[Country]],Table42[Platform Classification],"&gt;0")</f>
        <v>0</v>
      </c>
      <c r="EN156" s="6">
        <f>COUNTIFS(Table43[Country],Tabela1[[#This Row],[Country]],Table43[Platform Classification],"&gt;0")</f>
        <v>0</v>
      </c>
      <c r="EO156" s="6">
        <f>COUNTIFS(Table86[Country],Tabela1[[#This Row],[Country]],Table86[Men''s Synchronized Springboard Classification],"&gt;0")</f>
        <v>0</v>
      </c>
      <c r="EP156" s="6">
        <f>COUNTIFS(Table86[Country],Tabela1[[#This Row],[Country]],Table86[Women''s Synchronized Springboard Classification],"&gt;0")</f>
        <v>0</v>
      </c>
      <c r="EQ156" s="6">
        <f>COUNTIFS(Table86[Country],Tabela1[[#This Row],[Country]],Table86[Men''s Synchronized Platform Classification],"&gt;0")</f>
        <v>0</v>
      </c>
      <c r="ER156" s="6">
        <f>COUNTIFS(Table86[Country],Tabela1[[#This Row],[Country]],Table86[Women''s Synchronized Platform Classification],"&gt;0")</f>
        <v>0</v>
      </c>
      <c r="ES156" s="6">
        <f>COUNTIFS(Table44[Country],Tabela1[[#This Row],[Country]],Table44[Dressage Classification],"&gt;0")</f>
        <v>0</v>
      </c>
      <c r="ET156" s="6">
        <f>COUNTIFS(Table45[Country],Tabela1[[#This Row],[Country]],Table45[Dressage Classification],"&gt;0")</f>
        <v>0</v>
      </c>
      <c r="EU156" s="6">
        <f>COUNTIFS(Table44[Country],Tabela1[[#This Row],[Country]],Table44[Eventing Classification],"&gt;0")</f>
        <v>0</v>
      </c>
      <c r="EV156" s="6">
        <f>COUNTIFS(Table45[Country],Tabela1[[#This Row],[Country]],Table45[Eventing Classification],"&gt;0")</f>
        <v>0</v>
      </c>
      <c r="EW156" s="6">
        <f>COUNTIFS(Table44[Country],Tabela1[[#This Row],[Country]],Table44[Jumping Classification],"&gt;0")</f>
        <v>0</v>
      </c>
      <c r="EX156" s="6">
        <f>COUNTIFS(Table45[Country],Tabela1[[#This Row],[Country]],Table45[Jumping Classification],"&gt;0")</f>
        <v>0</v>
      </c>
      <c r="EY156" s="6">
        <f>COUNTIFS(Table10[Country],Tabela1[[#This Row],[Country]],Table10[Épée Classification],"&gt;0")</f>
        <v>0</v>
      </c>
      <c r="EZ156" s="6">
        <f>COUNTIFS(Table11[Country],Tabela1[[#This Row],[Country]],Table11[Épée Classification],"&gt;0")</f>
        <v>0</v>
      </c>
      <c r="FA156" s="6">
        <f>COUNTIFS(Table46[Country],Tabela1[[#This Row],[Country]],Table46[Men''s Épée Classification],"&gt;0")</f>
        <v>0</v>
      </c>
      <c r="FB156" s="6">
        <f>COUNTIFS(Table46[Country],Tabela1[[#This Row],[Country]],Table46[Women''s Épée Classification],"&gt;0")</f>
        <v>0</v>
      </c>
      <c r="FC156" s="6">
        <f>COUNTIFS(Table10[Country],Tabela1[[#This Row],[Country]],Table10[Foil Classification],"&gt;0")</f>
        <v>0</v>
      </c>
      <c r="FD156" s="6">
        <f>COUNTIFS(Table11[Country],Tabela1[[#This Row],[Country]],Table11[Foil Classification],"&gt;0")</f>
        <v>0</v>
      </c>
      <c r="FE156" s="6">
        <f>COUNTIFS(Table46[Country],Tabela1[[#This Row],[Country]],Table46[Men''s Foil Classification],"&gt;0")</f>
        <v>0</v>
      </c>
      <c r="FF156" s="6">
        <f>COUNTIFS(Table46[Country],Tabela1[[#This Row],[Country]],Table46[Women''s Foil Classification],"&gt;0")</f>
        <v>0</v>
      </c>
      <c r="FG156" s="6">
        <f>COUNTIFS(Table10[Country],Tabela1[[#This Row],[Country]],Table10[Sabre Classification],"&gt;0")</f>
        <v>0</v>
      </c>
      <c r="FH156" s="6">
        <f>COUNTIFS(Table11[Country],Tabela1[[#This Row],[Country]],Table11[Sabre Classification],"&gt;0")</f>
        <v>0</v>
      </c>
      <c r="FI156" s="6">
        <f>COUNTIFS(Table46[Country],Tabela1[[#This Row],[Country]],Table46[Men''s Sabre Classification],"&gt;0")</f>
        <v>0</v>
      </c>
      <c r="FJ156" s="6">
        <f>COUNTIFS(Table46[Country],Tabela1[[#This Row],[Country]],Table46[Women''s Sabre Classification],"&gt;0")</f>
        <v>0</v>
      </c>
      <c r="FK156" s="6">
        <f>COUNTIFS(Table91[Country],Tabela1[[#This Row],[Country]],Table91[Men''s Classification],"&gt;0")</f>
        <v>0</v>
      </c>
      <c r="FL156" s="6">
        <f>COUNTIFS(Table91[Country],Tabela1[[#This Row],[Country]],Table91[Women''s Classification],"&gt;0")</f>
        <v>0</v>
      </c>
      <c r="FM156" s="6">
        <f>COUNTIFS(Table9194[Country],Tabela1[[#This Row],[Country]],Table9194[Men''s Classification],"&gt;0")</f>
        <v>0</v>
      </c>
      <c r="FN156" s="6">
        <f>COUNTIFS(Table9194[Country],Tabela1[[#This Row],[Country]],Table9194[Women''s Classification],"&gt;0")</f>
        <v>0</v>
      </c>
      <c r="FO156" s="6">
        <f>COUNTIFS(Table71[Country],Tabela1[[#This Row],[Country]],Table71[Classification],"&gt;0")</f>
        <v>0</v>
      </c>
      <c r="FP156" s="6">
        <f>COUNTIFS(Table62[Country],Tabela1[[#This Row],[Country]],Table62[Classification],"&gt;0")</f>
        <v>0</v>
      </c>
      <c r="FQ156" s="6">
        <f>COUNTIFS(Table47[Country],Tabela1[[#This Row],[Country]],Table47[All-Around Classification],"&gt;0")</f>
        <v>0</v>
      </c>
      <c r="FR156" s="6">
        <f>COUNTIFS(Table48[Country],Tabela1[[#This Row],[Country]],Table48[All-Around Classification],"&gt;0")</f>
        <v>0</v>
      </c>
      <c r="FS156" s="6">
        <f>COUNTIFS(Table81[Country],Tabela1[[#This Row],[Country]],Table81[Men''s All-Around Classification],"&gt;0")</f>
        <v>0</v>
      </c>
      <c r="FT156" s="6">
        <f>COUNTIFS(Table81[Country],Tabela1[[#This Row],[Country]],Table81[Women''s All-Around Classification],"&gt;0")</f>
        <v>0</v>
      </c>
      <c r="FU156" s="6">
        <f>COUNTIFS(Table48[Country],Tabela1[[#This Row],[Country]],Table48[Balance Beam Classification],"&gt;0")</f>
        <v>0</v>
      </c>
      <c r="FV156" s="6">
        <f>COUNTIFS(Table47[Country],Tabela1[[#This Row],[Country]],Table47[Floor Exercise Classification],"&gt;0")</f>
        <v>0</v>
      </c>
      <c r="FW156" s="6">
        <f>COUNTIFS(Table48[Country],Tabela1[[#This Row],[Country]],Table48[Floor Exercise Classification],"&gt;0")</f>
        <v>0</v>
      </c>
      <c r="FX156" s="6">
        <f>COUNTIFS(Table47[Country],Tabela1[[#This Row],[Country]],Table47[Horizontal Bar Classification],"&gt;0")</f>
        <v>0</v>
      </c>
      <c r="FY156" s="6">
        <f>COUNTIFS(Table47[Country],Tabela1[[#This Row],[Country]],Table47[Parallel Bars Classification],"&gt;0")</f>
        <v>0</v>
      </c>
      <c r="FZ156" s="6">
        <f>COUNTIFS(Table47[Country],Tabela1[[#This Row],[Country]],Table47[Pommel Horse Classification],"&gt;0")</f>
        <v>0</v>
      </c>
      <c r="GA156" s="6">
        <f>COUNTIFS(Table47[Country],Tabela1[[#This Row],[Country]],Table47[Rings Classification],"&gt;0")</f>
        <v>0</v>
      </c>
      <c r="GB156" s="6">
        <f>COUNTIFS(Tabela132[Country],Tabela1[[#This Row],[Country]],Tabela132[Classification],"&gt;0")</f>
        <v>0</v>
      </c>
      <c r="GC156" s="6">
        <f>COUNTIFS(Tabela139[Country],Tabela1[[#This Row],[Country]],Tabela139[Classification],"&gt;0")</f>
        <v>0</v>
      </c>
      <c r="GD156" s="6">
        <f>COUNTIFS(Table48[Country],Tabela1[[#This Row],[Country]],Table48[Uneven Bars Classification],"&gt;0")</f>
        <v>0</v>
      </c>
      <c r="GE156" s="6">
        <f>COUNTIFS(Table47[Country],Tabela1[[#This Row],[Country]],Table47[Vault Classification],"&gt;0")</f>
        <v>0</v>
      </c>
      <c r="GF156" s="6">
        <f>COUNTIFS(Table48[Country],Tabela1[[#This Row],[Country]],Table48[Vault Classification],"&gt;0")</f>
        <v>0</v>
      </c>
      <c r="GG156" s="6">
        <f>COUNTIFS(Table919496[Country],Tabela1[[#This Row],[Country]],Table919496[Men''s Classification],"&gt;0")</f>
        <v>0</v>
      </c>
      <c r="GH156" s="6">
        <f>COUNTIFS(Table919496[Country],Tabela1[[#This Row],[Country]],Table919496[Women''s Classification],"&gt;0")</f>
        <v>0</v>
      </c>
      <c r="GI156" s="6">
        <f>COUNTIFS(Table12[Country],Tabela1[[#This Row],[Country]],Table12[60kg Classification],"&gt;0")</f>
        <v>0</v>
      </c>
      <c r="GJ156" s="6">
        <f>COUNTIFS(Table12[Country],Tabela1[[#This Row],[Country]],Table12[66kg Classification],"&gt;0")</f>
        <v>0</v>
      </c>
      <c r="GK156" s="6">
        <f>COUNTIFS(Table12[Country],Tabela1[[#This Row],[Country]],Table12[73kg Classification],"&gt;0")</f>
        <v>0</v>
      </c>
      <c r="GL156" s="6">
        <f>COUNTIFS(Table12[Country],Tabela1[[#This Row],[Country]],Table12[81kg Classification],"&gt;0")</f>
        <v>0</v>
      </c>
      <c r="GM156" s="6">
        <f>COUNTIFS(Table12[Country],Tabela1[[#This Row],[Country]],Table12[90kg Classification],"&gt;0")</f>
        <v>0</v>
      </c>
      <c r="GN156" s="6">
        <f>COUNTIFS(Table12[Country],Tabela1[[#This Row],[Country]],Table12[100kg Classification],"&gt;0")</f>
        <v>0</v>
      </c>
      <c r="GO156" s="6">
        <f>COUNTIFS(Table12[Country],Tabela1[[#This Row],[Country]],Table12[Plus 100kg Classification],"&gt;0")</f>
        <v>0</v>
      </c>
      <c r="GP156" s="6">
        <f>COUNTIFS(Table13[Country],Tabela1[[#This Row],[Country]],Table13[48kg Classification],"&gt;0")</f>
        <v>0</v>
      </c>
      <c r="GQ156" s="6">
        <f>COUNTIFS(Table13[Country],Tabela1[[#This Row],[Country]],Table13[52kg Classification],"&gt;0")</f>
        <v>0</v>
      </c>
      <c r="GR156" s="6">
        <f>COUNTIFS(Table13[Country],Tabela1[[#This Row],[Country]],Table13[57kg Classification],"&gt;0")</f>
        <v>0</v>
      </c>
      <c r="GS156" s="6">
        <f>COUNTIFS(Table13[Country],Tabela1[[#This Row],[Country]],Table13[63kg Classification],"&gt;0")</f>
        <v>0</v>
      </c>
      <c r="GT156" s="6">
        <f>COUNTIFS(Table13[Country],Tabela1[[#This Row],[Country]],Table13[70kg Classification],"&gt;0")</f>
        <v>0</v>
      </c>
      <c r="GU156" s="6">
        <f>COUNTIFS(Table13[Country],Tabela1[[#This Row],[Country]],Table13[78kg Classification],"&gt;0")</f>
        <v>0</v>
      </c>
      <c r="GV156" s="6">
        <f>COUNTIFS(Table13[Country],Tabela1[[#This Row],[Country]],Table13[Plus 78kg Classification],"&gt;0")</f>
        <v>0</v>
      </c>
      <c r="GW156" s="6">
        <f>COUNTIFS(Table82[Country],Tabela1[[#This Row],[Country]],Table82[Mixed Classification],"&gt;0")</f>
        <v>0</v>
      </c>
      <c r="GX156" s="6">
        <f>COUNTIFS(Table51[Country],Tabela1[[#This Row],[Country]],Table51[Classification],"&gt;0")</f>
        <v>0</v>
      </c>
      <c r="GY156" s="6">
        <f>COUNTIFS(Table52[Country],Tabela1[[#This Row],[Country]],Table52[Classification],"&gt;0")</f>
        <v>0</v>
      </c>
      <c r="GZ156" s="6">
        <f>COUNTIFS(Table32[Country],Tabela1[[#This Row],[Country]],Table32[All-Around Classification],"&gt;0")</f>
        <v>0</v>
      </c>
      <c r="HA156" s="6">
        <f>COUNTIFS(Table49[Country],Tabela1[[#This Row],[Country]],Table49[All-Around Classification],"&gt;0")</f>
        <v>0</v>
      </c>
      <c r="HB156" s="6">
        <f>COUNTIFS(Table26[Country],Tabela1[[#This Row],[Country]],Table26[Single Sculls Classification],"&gt;0")</f>
        <v>0</v>
      </c>
      <c r="HC156" s="6">
        <f>COUNTIFS(Table63[Country],Tabela1[[#This Row],[Country]],Table63[Single Sculls Classification],"&gt;0")</f>
        <v>0</v>
      </c>
      <c r="HD156" s="6">
        <f>COUNTIFS(Table16[Country],Tabela1[[#This Row],[Country]],Table16[Men''s Double Sculls Classification],"&gt;0")</f>
        <v>0</v>
      </c>
      <c r="HE156" s="6">
        <f>COUNTIFS(Table16[Country],Tabela1[[#This Row],[Country]],Table16[Women''s Double Sculls Classification],"&gt;0")</f>
        <v>0</v>
      </c>
      <c r="HF156" s="6">
        <f>COUNTIFS(Table72[Country],Tabela1[[#This Row],[Country]],Table72[Men''s Quadruple Sculls Classification],"&gt;0")</f>
        <v>0</v>
      </c>
      <c r="HG156" s="6">
        <f>COUNTIFS(Table72[Country],Tabela1[[#This Row],[Country]],Table72[Women''s Quadruple Sculls Classification],"&gt;0")</f>
        <v>0</v>
      </c>
      <c r="HH156" s="6">
        <f>COUNTIFS(Table16[Country],Tabela1[[#This Row],[Country]],Table16[Men''s Coxless Pairs Classification],"&gt;0")</f>
        <v>0</v>
      </c>
      <c r="HI156" s="6">
        <f>COUNTIFS(Table16[Country],Tabela1[[#This Row],[Country]],Table16[Women''s Coxless Pairs Classification],"&gt;0")</f>
        <v>0</v>
      </c>
      <c r="HJ156" s="6">
        <f>COUNTIFS(Table72[Country],Tabela1[[#This Row],[Country]],Table72[Men''s Coxless Fours Classification],"&gt;0")</f>
        <v>0</v>
      </c>
      <c r="HK156" s="6">
        <f>COUNTIFS(Table72[Country],Tabela1[[#This Row],[Country]],Table72[Women''s Coxless Fours Classification],"&gt;0")</f>
        <v>0</v>
      </c>
      <c r="HL156" s="6">
        <f>COUNTIFS(Table72[Country],Tabela1[[#This Row],[Country]],Table72[Men''s Eights Classification],"&gt;0")</f>
        <v>0</v>
      </c>
      <c r="HM156" s="6">
        <f>COUNTIFS(Table72[Country],Tabela1[[#This Row],[Country]],Table72[Women''s Eights Classification],"&gt;0")</f>
        <v>0</v>
      </c>
      <c r="HN156" s="6">
        <f>COUNTIFS(Table16[Country],Tabela1[[#This Row],[Country]],Table16[Men''s Lwt. Double Sculls Classification],"&gt;0")</f>
        <v>0</v>
      </c>
      <c r="HO156" s="6">
        <f>COUNTIFS(Table16[Country],Tabela1[[#This Row],[Country]],Table16[Women''s Lwt. Double Sculls Classification],"&gt;0")</f>
        <v>0</v>
      </c>
      <c r="HP156" s="6">
        <f>COUNTIFS(Table91949698[Country],Tabela1[[#This Row],[Country]],Table91949698[Men''s Classification],"&gt;0")</f>
        <v>0</v>
      </c>
      <c r="HQ156" s="6">
        <f>COUNTIFS(Table91949698[Country],Tabela1[[#This Row],[Country]],Table91949698[Women''s Classification],"&gt;0")</f>
        <v>0</v>
      </c>
      <c r="HR156" s="6">
        <f>COUNTIFS(Table25[Country],Tabela1[[#This Row],[Country]],Table25[Mixed 470 Classification],"&gt;0")</f>
        <v>0</v>
      </c>
      <c r="HS156" s="6">
        <f>COUNTIFS(Table25[Country],Tabela1[[#This Row],[Country]],Table25[Men''s 49er Classification],"&gt;0")</f>
        <v>0</v>
      </c>
      <c r="HT156" s="6">
        <f>COUNTIFS(Table25[Country],Tabela1[[#This Row],[Country]],Table25[Women''s 49er FX Classification],"&gt;0")</f>
        <v>0</v>
      </c>
      <c r="HU156" s="6">
        <f>COUNTIFS(Table17[Country],Tabela1[[#This Row],[Country]],Table17[Formula Kite Classification],"&gt;0")</f>
        <v>0</v>
      </c>
      <c r="HV156" s="6">
        <f>COUNTIFS(Table18[Country],Tabela1[[#This Row],[Country]],Table18[Formula Kite Classification],"&gt;0")</f>
        <v>0</v>
      </c>
      <c r="HW156" s="6">
        <f>COUNTIFS(Table17[Country],Tabela1[[#This Row],[Country]],Table17[ILCA 7 Classification],"&gt;0")</f>
        <v>0</v>
      </c>
      <c r="HX156" s="6">
        <f>COUNTIFS(Table18[Country],Tabela1[[#This Row],[Country]],Table18[ILCA 6 Classification],"&gt;0")</f>
        <v>0</v>
      </c>
      <c r="HY156" s="6">
        <f>COUNTIFS(Table17[Country],Tabela1[[#This Row],[Country]],Table17[IQFoil Classification],"&gt;0")</f>
        <v>0</v>
      </c>
      <c r="HZ156" s="6">
        <f>COUNTIFS(Table18[Country],Tabela1[[#This Row],[Country]],Table18[IQFoil Classification],"&gt;0")</f>
        <v>0</v>
      </c>
      <c r="IA156" s="6">
        <f>COUNTIFS(Table25[Country],Tabela1[[#This Row],[Country]],Table25[Mixed Nacra 17 Classification],"&gt;0")</f>
        <v>0</v>
      </c>
      <c r="IB156" s="6">
        <f>COUNTIFS(Table53[Country],Tabela1[[#This Row],[Country]],Table53[10m Air Pistol Classification],"&gt;0")</f>
        <v>0</v>
      </c>
      <c r="IC156" s="6">
        <f>COUNTIFS(Table19[Country],Tabela1[[#This Row],[Country]],Table19[10m Air Pistol Classification],"&gt;0")</f>
        <v>0</v>
      </c>
      <c r="ID156" s="6">
        <f>COUNTIFS(Table54[Country],Tabela1[[#This Row],[Country]],Table54[Mixed 10m Air Pistol Team Classification],"&gt;0")</f>
        <v>0</v>
      </c>
      <c r="IE156" s="6">
        <f>COUNTIFS(Table53[Country],Tabela1[[#This Row],[Country]],Table53[10m Air Rifle Classification],"&gt;0")</f>
        <v>0</v>
      </c>
      <c r="IF156" s="6">
        <f>COUNTIFS(Table19[Country],Tabela1[[#This Row],[Country]],Table19[10m Air Rifle Classification],"&gt;0")</f>
        <v>0</v>
      </c>
      <c r="IG156" s="6">
        <f>COUNTIFS(Table54[Country],Tabela1[[#This Row],[Country]],Table54[Mixed 10m Air Rifle Team Classification],"&gt;0")</f>
        <v>0</v>
      </c>
      <c r="IH156" s="6">
        <f>COUNTIFS(Table53[Country],Tabela1[[#This Row],[Country]],Table53[25m Rapid Fire Pistol Classification],"&gt;0")</f>
        <v>0</v>
      </c>
      <c r="II156" s="6">
        <f>COUNTIFS(Table19[Country],Tabela1[[#This Row],[Country]],Table19[25m Pistol Classification],"&gt;0")</f>
        <v>0</v>
      </c>
      <c r="IJ156" s="6">
        <f>COUNTIFS(Table53[Country],Tabela1[[#This Row],[Country]],Table53[50m Rifle 3 Positions Classification],"&gt;0")</f>
        <v>0</v>
      </c>
      <c r="IK156" s="6">
        <f>COUNTIFS(Table19[Country],Tabela1[[#This Row],[Country]],Table19[50m Rifle 3 Positions Classification],"&gt;0")</f>
        <v>0</v>
      </c>
      <c r="IL156" s="6">
        <f>COUNTIFS(Table53[Country],Tabela1[[#This Row],[Country]],Table53[Skeet Classification],"&gt;0")</f>
        <v>0</v>
      </c>
      <c r="IM156" s="6">
        <f>COUNTIFS(Table19[Country],Tabela1[[#This Row],[Country]],Table19[Skeet Classification],"&gt;0")</f>
        <v>0</v>
      </c>
      <c r="IN156" s="6">
        <f>COUNTIFS(Table54[Country],Tabela1[[#This Row],[Country]],Table54[Mixed Skeet Team Classification],"&gt;0")</f>
        <v>0</v>
      </c>
      <c r="IO156" s="6">
        <f>COUNTIFS(Table53[Country],Tabela1[[#This Row],[Country]],Table53[Trap Classification],"&gt;0")</f>
        <v>0</v>
      </c>
      <c r="IP156" s="6">
        <f>COUNTIFS(Table19[Country],Tabela1[[#This Row],[Country]],Table19[Trap Classification],"&gt;0")</f>
        <v>0</v>
      </c>
      <c r="IQ156" s="6">
        <f>COUNTIFS(Table73[Country],Tabela1[[#This Row],[Country]],Table73[Park Classification],"&gt;0")</f>
        <v>0</v>
      </c>
      <c r="IR156" s="6">
        <f>COUNTIFS(Table74[Country],Tabela1[[#This Row],[Country]],Table74[Park Classification],"&gt;0")</f>
        <v>0</v>
      </c>
      <c r="IS156" s="6">
        <f>COUNTIFS(Table73[Country],Tabela1[[#This Row],[Country]],Table73[Street Classification],"&gt;0")</f>
        <v>0</v>
      </c>
      <c r="IT156" s="6">
        <f>COUNTIFS(Table74[Country],Tabela1[[#This Row],[Country]],Table74[Street Classification],"&gt;0")</f>
        <v>0</v>
      </c>
      <c r="IU156" s="6">
        <f>COUNTIFS(Table75[Country],Tabela1[[#This Row],[Country]],Table75[Boulder and Lead Classification],"&gt;0")</f>
        <v>0</v>
      </c>
      <c r="IV156" s="6">
        <f>COUNTIFS(Table76[Country],Tabela1[[#This Row],[Country]],Table76[Boulder and Lead Classification],"&gt;0")</f>
        <v>0</v>
      </c>
      <c r="IW156" s="6">
        <f>COUNTIFS(Table75[Country],Tabela1[[#This Row],[Country]],Table75[Speed Classification],"&gt;0")</f>
        <v>0</v>
      </c>
      <c r="IX156" s="6">
        <f>COUNTIFS(Table76[Country],Tabela1[[#This Row],[Country]],Table76[Speed Classification],"&gt;0")</f>
        <v>0</v>
      </c>
      <c r="IY156" s="6">
        <f>COUNTIFS(Table64[Country],Tabela1[[#This Row],[Country]],Table64[Shortboard Classification],"&gt;0")</f>
        <v>0</v>
      </c>
      <c r="IZ156" s="6">
        <f>COUNTIFS(Table77[Country],Tabela1[[#This Row],[Country]],Table77[Shortboard Classification],"&gt;0")</f>
        <v>0</v>
      </c>
      <c r="JA156" s="6">
        <f>COUNTIFS(Table20[Country],Tabela1[[#This Row],[Country]],Table20[50m Freestyle Classification],"&gt;0")</f>
        <v>0</v>
      </c>
      <c r="JB156" s="6">
        <f>COUNTIFS(Table21[Country],Tabela1[[#This Row],[Country]],Table21[50m Freestyle Classification],"&gt;0")</f>
        <v>0</v>
      </c>
      <c r="JC156" s="6">
        <f>COUNTIFS(Table20[Country],Tabela1[[#This Row],[Country]],Table20[100m Freestyle Classification],"&gt;0")</f>
        <v>0</v>
      </c>
      <c r="JD156" s="6">
        <f>COUNTIFS(Table21[Country],Tabela1[[#This Row],[Country]],Table21[100m Freestyle Classification],"&gt;0")</f>
        <v>0</v>
      </c>
      <c r="JE156" s="6">
        <f>COUNTIFS(Table20[Country],Tabela1[[#This Row],[Country]],Table20[200m Freestyle Classification],"&gt;0")</f>
        <v>0</v>
      </c>
      <c r="JF156" s="6">
        <f>COUNTIFS(Table21[Country],Tabela1[[#This Row],[Country]],Table21[200m Freestyle Classification],"&gt;0")</f>
        <v>0</v>
      </c>
      <c r="JG156" s="6">
        <f>COUNTIFS(Table20[Country],Tabela1[[#This Row],[Country]],Table20[400m Freestyle Classification],"&gt;0")</f>
        <v>0</v>
      </c>
      <c r="JH156" s="6">
        <f>COUNTIFS(Table21[Country],Tabela1[[#This Row],[Country]],Table21[400m Freestyle Classification],"&gt;0")</f>
        <v>0</v>
      </c>
      <c r="JI156" s="6">
        <f>COUNTIFS(Table20[Country],Tabela1[[#This Row],[Country]],Table20[800m Freestyle Classification],"&gt;0")</f>
        <v>0</v>
      </c>
      <c r="JJ156" s="6">
        <f>COUNTIFS(Table21[Country],Tabela1[[#This Row],[Country]],Table21[800m Freestyle Classification],"&gt;0")</f>
        <v>0</v>
      </c>
      <c r="JK156" s="6">
        <f>COUNTIFS(Table20[Country],Tabela1[[#This Row],[Country]],Table20[1500m Freestyle Classification],"&gt;0")</f>
        <v>0</v>
      </c>
      <c r="JL156" s="6">
        <f>COUNTIFS(Table21[Country],Tabela1[[#This Row],[Country]],Table21[1500m Freestyle Classification],"&gt;0")</f>
        <v>0</v>
      </c>
      <c r="JM156" s="6">
        <f>COUNTIFS(Table20[Country],Tabela1[[#This Row],[Country]],Table20[100m Backstroke Classification],"&gt;0")</f>
        <v>0</v>
      </c>
      <c r="JN156" s="6">
        <f>COUNTIFS(Table21[Country],Tabela1[[#This Row],[Country]],Table21[100m Backstroke Classification],"&gt;0")</f>
        <v>0</v>
      </c>
      <c r="JO156" s="6">
        <f>COUNTIFS(Table20[Country],Tabela1[[#This Row],[Country]],Table20[200m Backstroke Classification],"&gt;0")</f>
        <v>0</v>
      </c>
      <c r="JP156" s="6">
        <f>COUNTIFS(Table21[Country],Tabela1[[#This Row],[Country]],Table21[200m Backstroke Classification],"&gt;0")</f>
        <v>0</v>
      </c>
      <c r="JQ156" s="6">
        <f>COUNTIFS(Table20[Country],Tabela1[[#This Row],[Country]],Table20[100m Breaststroke Classification],"&gt;0")</f>
        <v>0</v>
      </c>
      <c r="JR156" s="6">
        <f>COUNTIFS(Table21[Country],Tabela1[[#This Row],[Country]],Table21[100m Breaststroke Classification],"&gt;0")</f>
        <v>0</v>
      </c>
      <c r="JS156" s="6">
        <f>COUNTIFS(Table20[Country],Tabela1[[#This Row],[Country]],Table20[200m Breaststroke Classification],"&gt;0")</f>
        <v>0</v>
      </c>
      <c r="JT156" s="6">
        <f>COUNTIFS(Table21[Country],Tabela1[[#This Row],[Country]],Table21[200m Breaststroke Classification],"&gt;0")</f>
        <v>0</v>
      </c>
      <c r="JU156" s="6">
        <f>COUNTIFS(Table20[Country],Tabela1[[#This Row],[Country]],Table20[100m Butterfly Classification],"&gt;0")</f>
        <v>0</v>
      </c>
      <c r="JV156" s="6">
        <f>COUNTIFS(Table21[Country],Tabela1[[#This Row],[Country]],Table21[100m Butterfly Classification],"&gt;0")</f>
        <v>0</v>
      </c>
      <c r="JW156" s="6">
        <f>COUNTIFS(Table20[Country],Tabela1[[#This Row],[Country]],Table20[200m Butterfly Classification],"&gt;0")</f>
        <v>0</v>
      </c>
      <c r="JX156" s="6">
        <f>COUNTIFS(Table21[Country],Tabela1[[#This Row],[Country]],Table21[200m Butterfly Classification],"&gt;0")</f>
        <v>0</v>
      </c>
      <c r="JY156" s="6">
        <f>COUNTIFS(Table20[Country],Tabela1[[#This Row],[Country]],Table20[200m Medley Classification],"&gt;0")</f>
        <v>0</v>
      </c>
      <c r="JZ156" s="6">
        <f>COUNTIFS(Table21[Country],Tabela1[[#This Row],[Country]],Table21[200m Medley Classification],"&gt;0")</f>
        <v>0</v>
      </c>
      <c r="KA156" s="6">
        <f>COUNTIFS(Table20[Country],Tabela1[[#This Row],[Country]],Table20[400m Medley Classification],"&gt;0")</f>
        <v>0</v>
      </c>
      <c r="KB156" s="6">
        <f>COUNTIFS(Table21[Country],Tabela1[[#This Row],[Country]],Table21[400m Medley Classification],"&gt;0")</f>
        <v>0</v>
      </c>
      <c r="KC156" s="6">
        <f>COUNTIFS(Table78[Country],Tabela1[[#This Row],[Country]],Table78[Men''s 4x100m Freestyle Relay Classification],"&gt;0")</f>
        <v>0</v>
      </c>
      <c r="KD156" s="6">
        <f>COUNTIFS(Table78[Country],Tabela1[[#This Row],[Country]],Table78[Women''s 4x100m Freestyle Relay Classification],"&gt;0")</f>
        <v>0</v>
      </c>
      <c r="KE156" s="6">
        <f>COUNTIFS(Table78[Country],Tabela1[[#This Row],[Country]],Table78[Men''s 4x200m Freestyle Relay Classification],"&gt;0")</f>
        <v>0</v>
      </c>
      <c r="KF156" s="6">
        <f>COUNTIFS(Table78[Country],Tabela1[[#This Row],[Country]],Table78[Women''s 4x200m Freestyle Relay Classification],"&gt;0")</f>
        <v>0</v>
      </c>
      <c r="KG156" s="6">
        <f>COUNTIFS(Table78[Country],Tabela1[[#This Row],[Country]],Table78[Men''s 4x100m Medley Relay Classification],"&gt;0")</f>
        <v>0</v>
      </c>
      <c r="KH156" s="6">
        <f>COUNTIFS(Table78[Country],Tabela1[[#This Row],[Country]],Table78[Women''s 4x100m Medley Relay Classification],"&gt;0")</f>
        <v>0</v>
      </c>
      <c r="KI156" s="6">
        <f>COUNTIFS(Table78[Country],Tabela1[[#This Row],[Country]],Table78[Mixed 4x100m Medley Relay Classification],"&gt;0")</f>
        <v>0</v>
      </c>
      <c r="KJ156" s="6">
        <f>COUNTIFS(Table20[Country],Tabela1[[#This Row],[Country]],Table20[10km Open Water Classification],"&gt;0")</f>
        <v>0</v>
      </c>
      <c r="KK156" s="6">
        <f>COUNTIFS(Table21[Country],Tabela1[[#This Row],[Country]],Table21[10km Open Water Classification],"&gt;0")</f>
        <v>0</v>
      </c>
      <c r="KL156" s="6">
        <f>COUNTIFS(Table22[Country],Tabela1[[#This Row],[Country]],Table22[Classification],"&gt;0")</f>
        <v>0</v>
      </c>
      <c r="KM156" s="6">
        <f>COUNTIFS(Table30[Country],Tabela1[[#This Row],[Country]],Table30[Classification],"&gt;0")</f>
        <v>0</v>
      </c>
      <c r="KN156" s="6">
        <f>COUNTIFS(Table55[Country],Tabela1[[#This Row],[Country]],Table55[Men''s Classification],"&gt;0")</f>
        <v>0</v>
      </c>
      <c r="KO156" s="6">
        <f>COUNTIFS(Table55[Country],Tabela1[[#This Row],[Country]],Table55[Women''s Classification],"&gt;0")</f>
        <v>0</v>
      </c>
      <c r="KP156" s="6">
        <f>COUNTIFS(Table56[Country],Tabela1[[#This Row],[Country]],Table56[Mixed Classification],"&gt;0")</f>
        <v>0</v>
      </c>
      <c r="KQ156" s="6">
        <f>COUNTIFS(Table29[Country],Tabela1[[#This Row],[Country]],Table29[58kg Classification],"&gt;0")</f>
        <v>0</v>
      </c>
      <c r="KR156" s="6">
        <f>COUNTIFS(Table29[Country],Tabela1[[#This Row],[Country]],Table29[68kg Classification],"&gt;0")</f>
        <v>0</v>
      </c>
      <c r="KS156" s="6">
        <f>COUNTIFS(Table29[Country],Tabela1[[#This Row],[Country]],Table29[80kg Classification],"&gt;0")</f>
        <v>0</v>
      </c>
      <c r="KT156" s="6">
        <f>COUNTIFS(Table29[Country],Tabela1[[#This Row],[Country]],Table29[Plus 80kg Classification],"&gt;0")</f>
        <v>0</v>
      </c>
      <c r="KU156" s="6">
        <f>COUNTIFS(Table34[Country],Tabela1[[#This Row],[Country]],Table34[49kg Classification],"&gt;0")</f>
        <v>0</v>
      </c>
      <c r="KV156" s="6">
        <f>COUNTIFS(Table34[Country],Tabela1[[#This Row],[Country]],Table34[57kg Classification],"&gt;0")</f>
        <v>0</v>
      </c>
      <c r="KW156" s="6">
        <f>COUNTIFS(Table34[Country],Tabela1[[#This Row],[Country]],Table34[67kg Classification],"&gt;0")</f>
        <v>0</v>
      </c>
      <c r="KX156" s="6">
        <f>COUNTIFS(Table34[Country],Tabela1[[#This Row],[Country]],Table34[Plus 67kg Classification],"&gt;0")</f>
        <v>0</v>
      </c>
      <c r="KY156" s="6">
        <f>COUNTIFS(Table57[Country],Tabela1[[#This Row],[Country]],Table57[Classification],"&gt;0")</f>
        <v>0</v>
      </c>
      <c r="KZ156" s="6">
        <f>COUNTIFS(Table58[Country],Tabela1[[#This Row],[Country]],Table58[Classification],"&gt;0")</f>
        <v>0</v>
      </c>
      <c r="LA156" s="6">
        <f>COUNTIFS(Table79[Country],Tabela1[[#This Row],[Country]],Table79[Men''s Classification],"&gt;0")</f>
        <v>0</v>
      </c>
      <c r="LB156" s="6">
        <f>COUNTIFS(Table79[Country],Tabela1[[#This Row],[Country]],Table79[Women''s Classification],"&gt;0")</f>
        <v>0</v>
      </c>
      <c r="LC156" s="6">
        <f>COUNTIFS(Table79[Country],Tabela1[[#This Row],[Country]],Table79[Mixed Classification],"&gt;0")</f>
        <v>0</v>
      </c>
      <c r="LD156" s="6">
        <f>COUNTIFS(Table65[Country],Tabela1[[#This Row],[Country]],Table65[Classification],"&gt;0")</f>
        <v>0</v>
      </c>
      <c r="LE156" s="6">
        <f>COUNTIFS(Table59[Country],Tabela1[[#This Row],[Country]],Table59[Classification],"&gt;0")</f>
        <v>0</v>
      </c>
      <c r="LF156" s="6">
        <f>COUNTIFS(Table87[Country],Tabela1[[#This Row],[Country]],Table87[Mixed Relay Classification],"&gt;0")</f>
        <v>0</v>
      </c>
      <c r="LG156" s="6">
        <f>COUNTIFS(Table91949698100[Country],Tabela1[[#This Row],[Country]],Table91949698100[Men''s Classification],"&gt;0")</f>
        <v>0</v>
      </c>
      <c r="LH156" s="6">
        <f>COUNTIFS(Table91949698100[Country],Tabela1[[#This Row],[Country]],Table91949698100[Women''s Classification],"&gt;0")</f>
        <v>0</v>
      </c>
      <c r="LI156" s="6">
        <f>COUNTIFS(Table91949698100102[Country],Tabela1[[#This Row],[Country]],Table91949698100102[Men''s Classification],"&gt;0")</f>
        <v>0</v>
      </c>
      <c r="LJ156" s="6">
        <f>COUNTIFS(Table91949698100102[Country],Tabela1[[#This Row],[Country]],Table91949698100102[Women''s Classification],"&gt;0")</f>
        <v>0</v>
      </c>
      <c r="LK156" s="6">
        <f>COUNTIFS(Table23[Country],Tabela1[[#This Row],[Country]],Table23[61kg Classification],"&gt;0")</f>
        <v>0</v>
      </c>
      <c r="LL156" s="6">
        <f>COUNTIFS(Table23[Country],Tabela1[[#This Row],[Country]],Table23[73kg Classification],"&gt;0")</f>
        <v>0</v>
      </c>
      <c r="LM156" s="6">
        <f>COUNTIFS(Table23[Country],Tabela1[[#This Row],[Country]],Table23[89kg Classification],"&gt;0")</f>
        <v>0</v>
      </c>
      <c r="LN156" s="6">
        <f>COUNTIFS(Table23[Country],Tabela1[[#This Row],[Country]],Table23[102kg Classification],"&gt;0")</f>
        <v>0</v>
      </c>
      <c r="LO156" s="6">
        <f>COUNTIFS(Table23[Country],Tabela1[[#This Row],[Country]],Table23[Plus 102kg Classification],"&gt;0")</f>
        <v>0</v>
      </c>
      <c r="LP156" s="6">
        <f>COUNTIFS(Table28[Country],Tabela1[[#This Row],[Country]],Table28[49kg Classification],"&gt;0")</f>
        <v>0</v>
      </c>
      <c r="LQ156" s="6">
        <f>COUNTIFS(Table28[Country],Tabela1[[#This Row],[Country]],Table28[59kg Classification],"&gt;0")</f>
        <v>0</v>
      </c>
      <c r="LR156" s="6">
        <f>COUNTIFS(Table28[Country],Tabela1[[#This Row],[Country]],Table28[71kg Classification],"&gt;0")</f>
        <v>0</v>
      </c>
      <c r="LS156" s="6">
        <f>COUNTIFS(Table28[Country],Tabela1[[#This Row],[Country]],Table28[81kg Classification],"&gt;0")</f>
        <v>0</v>
      </c>
      <c r="LT156" s="6">
        <f>COUNTIFS(Table28[Country],Tabela1[[#This Row],[Country]],Table28[Plus 81kg Classification],"&gt;0")</f>
        <v>0</v>
      </c>
      <c r="LU156" s="6">
        <f>COUNTIFS(Table24[Country],Tabela1[[#This Row],[Country]],Table24[Freestyle 57kg Classification],"&gt;0")</f>
        <v>0</v>
      </c>
      <c r="LV156" s="6">
        <f>COUNTIFS(Table24[Country],Tabela1[[#This Row],[Country]],Table24[Freestyle 65kg Classification],"&gt;0")</f>
        <v>0</v>
      </c>
      <c r="LW156" s="6">
        <f>COUNTIFS(Table24[Country],Tabela1[[#This Row],[Country]],Table24[Freestyle 74kg Classification],"&gt;0")</f>
        <v>0</v>
      </c>
      <c r="LX156" s="6">
        <f>COUNTIFS(Table24[Country],Tabela1[[#This Row],[Country]],Table24[Freestyle 86kg Classification],"&gt;0")</f>
        <v>0</v>
      </c>
      <c r="LY156" s="6">
        <f>COUNTIFS(Table24[Country],Tabela1[[#This Row],[Country]],Table24[Freestyle 97kg Classification],"&gt;0")</f>
        <v>0</v>
      </c>
      <c r="LZ156" s="6">
        <f>COUNTIFS(Table24[Country],Tabela1[[#This Row],[Country]],Table24[Freestyle 125kg Classification],"&gt;0")</f>
        <v>0</v>
      </c>
      <c r="MA156" s="6">
        <f>COUNTIFS(Table24[Country],Tabela1[[#This Row],[Country]],Table24[Greco-Roman 60kg Classification],"&gt;0")</f>
        <v>0</v>
      </c>
      <c r="MB156" s="6">
        <f>COUNTIFS(Table24[Country],Tabela1[[#This Row],[Country]],Table24[Greco-Roman 67kg Classification],"&gt;0")</f>
        <v>0</v>
      </c>
      <c r="MC156" s="6">
        <f>COUNTIFS(Table24[Country],Tabela1[[#This Row],[Country]],Table24[Greco-Roman 77kg Classification],"&gt;0")</f>
        <v>0</v>
      </c>
      <c r="MD156" s="6">
        <f>COUNTIFS(Table24[Country],Tabela1[[#This Row],[Country]],Table24[Greco-Roman 87kg Classification],"&gt;0")</f>
        <v>0</v>
      </c>
      <c r="ME156" s="6">
        <f>COUNTIFS(Table24[Country],Tabela1[[#This Row],[Country]],Table24[Greco-Roman 97kg Classification],"&gt;0")</f>
        <v>0</v>
      </c>
      <c r="MF156" s="6">
        <f>COUNTIFS(Table24[Country],Tabela1[[#This Row],[Country]],Table24[Greco-Roman 130kg Classification],"&gt;0")</f>
        <v>0</v>
      </c>
      <c r="MG156" s="6">
        <f>COUNTIFS(Table31[Country],Tabela1[[#This Row],[Country]],Table31[50kg Classification],"&gt;0")</f>
        <v>0</v>
      </c>
      <c r="MH156" s="6">
        <f>COUNTIFS(Table31[Country],Tabela1[[#This Row],[Country]],Table31[53kg Classification],"&gt;0")</f>
        <v>0</v>
      </c>
      <c r="MI156" s="6">
        <f>COUNTIFS(Table31[Country],Tabela1[[#This Row],[Country]],Table31[57kg Classification],"&gt;0")</f>
        <v>0</v>
      </c>
      <c r="MJ156" s="6">
        <f>COUNTIFS(Table31[Country],Tabela1[[#This Row],[Country]],Table31[62kg Classification],"&gt;0")</f>
        <v>0</v>
      </c>
      <c r="MK156" s="6">
        <f>COUNTIFS(Table31[Country],Tabela1[[#This Row],[Country]],Table31[68kg Classification],"&gt;0")</f>
        <v>0</v>
      </c>
      <c r="ML156" s="6">
        <f>COUNTIFS(Table31[Country],Tabela1[[#This Row],[Country]],Table31[76kg Classification],"&gt;0")</f>
        <v>0</v>
      </c>
      <c r="MM156" s="6">
        <f>COUNTIFS(Table102[Country],Tabela1[[#This Row],[Country]],Table102[Downhill Classification],"&gt;0")</f>
        <v>0</v>
      </c>
      <c r="MN156" s="6">
        <f>COUNTIFS(Table102105[Country],Tabela1[[#This Row],[Country]],Table102105[Downhill Classification],"&gt;0")</f>
        <v>0</v>
      </c>
      <c r="MO156" s="6">
        <f>COUNTIFS(Table102[Country],Tabela1[[#This Row],[Country]],Table102[Giant Slalom Classification],"&gt;0")</f>
        <v>0</v>
      </c>
      <c r="MP156" s="6">
        <f>COUNTIFS(Table102105[Country],Tabela1[[#This Row],[Country]],Table102105[Giant Slalom Classification],"&gt;0")</f>
        <v>0</v>
      </c>
      <c r="MQ156" s="6">
        <f>COUNTIFS(Table102[Country],Tabela1[[#This Row],[Country]],Table102[Slalom Classification],"&gt;0")</f>
        <v>0</v>
      </c>
      <c r="MR156" s="6">
        <f>COUNTIFS(Table102105[Country],Tabela1[[#This Row],[Country]],Table102105[Slalom Classification],"&gt;0")</f>
        <v>0</v>
      </c>
      <c r="MS156" s="6">
        <f>COUNTIFS(Table102[Country],Tabela1[[#This Row],[Country]],Table102[Super-G Classification],"&gt;0")</f>
        <v>0</v>
      </c>
      <c r="MT156" s="6">
        <f>COUNTIFS(Table102105[Country],Tabela1[[#This Row],[Country]],Table102105[Super-G Classification],"&gt;0")</f>
        <v>0</v>
      </c>
      <c r="MU156" s="6">
        <f>COUNTIFS(Table105[Country],Tabela1[[#This Row],[Country]],Table105[Men''s Combined Classification],"&gt;0")</f>
        <v>0</v>
      </c>
      <c r="MV156" s="6">
        <f>COUNTIFS(Table105[Country],Tabela1[[#This Row],[Country]],Table105[Women''s Combined Classification],"&gt;0")</f>
        <v>0</v>
      </c>
      <c r="MW156" s="6">
        <f>COUNTIFS(Table106[Country],Tabela1[[#This Row],[Country]],Table106[Individual Classification],"&gt;0")</f>
        <v>0</v>
      </c>
      <c r="MX156" s="6">
        <f>COUNTIFS(Table106109[Country],Tabela1[[#This Row],[Country]],Table106109[Individual Classification],"&gt;0")</f>
        <v>0</v>
      </c>
      <c r="MY156" s="6">
        <f>COUNTIFS(Table106[Country],Tabela1[[#This Row],[Country]],Table106[Mass Start Classification],"&gt;0")</f>
        <v>0</v>
      </c>
      <c r="MZ156" s="6">
        <f>COUNTIFS(Table106109[Country],Tabela1[[#This Row],[Country]],Table106109[Mass Start Classification],"&gt;0")</f>
        <v>0</v>
      </c>
      <c r="NA156" s="6">
        <f>COUNTIFS(Table106[Country],Tabela1[[#This Row],[Country]],Table106[Pursuit Classification],"&gt;0")</f>
        <v>0</v>
      </c>
      <c r="NB156" s="6">
        <f>COUNTIFS(Table106109[Country],Tabela1[[#This Row],[Country]],Table106109[Pursuit Classification],"&gt;0")</f>
        <v>0</v>
      </c>
      <c r="NC156" s="6">
        <f>COUNTIFS(Table106[Country],Tabela1[[#This Row],[Country]],Table106[Sprint Classification],"&gt;0")</f>
        <v>0</v>
      </c>
      <c r="ND156" s="6">
        <f>COUNTIFS(Table106109[Country],Tabela1[[#This Row],[Country]],Table106109[Sprint Classification],"&gt;0")</f>
        <v>0</v>
      </c>
      <c r="NE156" s="6">
        <f>COUNTIFS(Table109[Country],Tabela1[[#This Row],[Country]],Table109[Men''s Relay Classification],"&gt;0")</f>
        <v>0</v>
      </c>
      <c r="NF156" s="6">
        <f>COUNTIFS(Table109[Country],Tabela1[[#This Row],[Country]],Table109[Women''s Relay Classification],"&gt;0")</f>
        <v>0</v>
      </c>
      <c r="NG156" s="6">
        <f>COUNTIFS(Table109[Country],Tabela1[[#This Row],[Country]],Table109[Mixed Relay Classification],"&gt;0")</f>
        <v>0</v>
      </c>
      <c r="NH156" s="6">
        <f>COUNTIFS(Table110[Country],Tabela1[[#This Row],[Country]],Table110[Monobob Classification],"&gt;0")</f>
        <v>0</v>
      </c>
      <c r="NI156" s="6">
        <f>COUNTIFS(Table111[Country],Tabela1[[#This Row],[Country]],Table111[Men''s Classification],"&gt;0")</f>
        <v>0</v>
      </c>
      <c r="NJ156" s="6">
        <f>COUNTIFS(Table111[Country],Tabela1[[#This Row],[Country]],Table111[Women''s Classification],"&gt;0")</f>
        <v>0</v>
      </c>
      <c r="NK156" s="6">
        <f>COUNTIFS(Table112[Country],Tabela1[[#This Row],[Country]],Table112[Men''s Four Classification],"&gt;0")</f>
        <v>0</v>
      </c>
      <c r="NL156" s="6">
        <f>COUNTIFS(Table113[Country],Tabela1[[#This Row],[Country]],Table113[Classical Classification],"&gt;0")</f>
        <v>0</v>
      </c>
      <c r="NM156" s="6">
        <f>COUNTIFS(Table113116[Country],Tabela1[[#This Row],[Country]],Table113116[Classical Classification],"&gt;0")</f>
        <v>0</v>
      </c>
      <c r="NN156" s="6">
        <f>COUNTIFS(Table113[Country],Tabela1[[#This Row],[Country]],Table113[Freestyle Classification],"&gt;0")</f>
        <v>0</v>
      </c>
      <c r="NO156" s="6">
        <f>COUNTIFS(Table113116[Country],Tabela1[[#This Row],[Country]],Table113116[Freestyle Classification],"&gt;0")</f>
        <v>0</v>
      </c>
      <c r="NP156" s="6">
        <f>COUNTIFS(Table117[Country],Tabela1[[#This Row],[Country]],Table117[Men''s Relay Classification],"&gt;0")</f>
        <v>0</v>
      </c>
      <c r="NQ156" s="6">
        <f>COUNTIFS(Table117[Country],Tabela1[[#This Row],[Country]],Table117[Women''s Relay Classification],"&gt;0")</f>
        <v>0</v>
      </c>
      <c r="NR156" s="6">
        <f>COUNTIFS(Table113[Country],Tabela1[[#This Row],[Country]],Table113[Skiathlon Classification],"&gt;0")</f>
        <v>0</v>
      </c>
      <c r="NS156" s="6">
        <f>COUNTIFS(Table113116[Country],Tabela1[[#This Row],[Country]],Table113116[Skiathlon Classification],"&gt;0")</f>
        <v>0</v>
      </c>
      <c r="NT156" s="6">
        <f>COUNTIFS(Table113[Country],Tabela1[[#This Row],[Country]],Table113[Sprint Classification],"&gt;0")</f>
        <v>0</v>
      </c>
      <c r="NU156" s="6">
        <f>COUNTIFS(Table113116[Country],Tabela1[[#This Row],[Country]],Table113116[Sprint Classification],"&gt;0")</f>
        <v>0</v>
      </c>
      <c r="NV156" s="6">
        <f>COUNTIFS(Table116[Country],Tabela1[[#This Row],[Country]],Table116[Men''s Team Sprint Classification],"&gt;0")</f>
        <v>0</v>
      </c>
      <c r="NW156" s="6">
        <f>COUNTIFS(Table116[Country],Tabela1[[#This Row],[Country]],Table116[Women''s Team Sprint Classification],"&gt;0")</f>
        <v>0</v>
      </c>
      <c r="NX156" s="6">
        <f>COUNTIFS(Table119[Country],Tabela1[[#This Row],[Country]],Table119[Men''s Classification],"&gt;0")</f>
        <v>0</v>
      </c>
      <c r="NY156" s="6">
        <f>COUNTIFS(Table119[Country],Tabela1[[#This Row],[Country]],Table119[Women''s Classification],"&gt;0")</f>
        <v>0</v>
      </c>
      <c r="NZ156" s="6">
        <f>COUNTIFS(Table118[Country],Tabela1[[#This Row],[Country]],Table118[Mixed Classification],"&gt;0")</f>
        <v>0</v>
      </c>
      <c r="OA156" s="6">
        <f>COUNTIFS(Table120[Country],Tabela1[[#This Row],[Country]],Table120[Classification],"&gt;0")</f>
        <v>0</v>
      </c>
      <c r="OB156" s="6">
        <f>COUNTIFS(Table120123[Country],Tabela1[[#This Row],[Country]],Table120123[Classification],"&gt;0")</f>
        <v>0</v>
      </c>
      <c r="OC156" s="6">
        <f>COUNTIFS(Table123[Country],Tabela1[[#This Row],[Country]],Table123[Ice Dance Classification],"&gt;0")</f>
        <v>0</v>
      </c>
      <c r="OD156" s="6">
        <f>COUNTIFS(Table123[Country],Tabela1[[#This Row],[Country]],Table123[Pair Skating Classification],"&gt;0")</f>
        <v>0</v>
      </c>
      <c r="OE156" s="6">
        <f>COUNTIFS(Table124[Country],Tabela1[[#This Row],[Country]],Table124[Mixed Classification],"&gt;0")</f>
        <v>0</v>
      </c>
      <c r="OF156" s="6">
        <f>COUNTIFS(Table125[Country],Tabela1[[#This Row],[Country]],Table125[Aerials Classification],"&gt;0")</f>
        <v>0</v>
      </c>
      <c r="OG156" s="6">
        <f>COUNTIFS(Table125128[Country],Tabela1[[#This Row],[Country]],Table125128[Aerials Classification],"&gt;0")</f>
        <v>0</v>
      </c>
      <c r="OH156" s="6">
        <f>COUNTIFS(Table128[Country],Tabela1[[#This Row],[Country]],Table128[Mixed Aerials Classification],"&gt;0")</f>
        <v>0</v>
      </c>
      <c r="OI156" s="6">
        <f>COUNTIFS(Table125[Country],Tabela1[[#This Row],[Country]],Table125[Big Air Classification],"&gt;0")</f>
        <v>0</v>
      </c>
      <c r="OJ156" s="6">
        <f>COUNTIFS(Table125128[Country],Tabela1[[#This Row],[Country]],Table125128[Big Air Classification],"&gt;0")</f>
        <v>0</v>
      </c>
      <c r="OK156" s="6">
        <f>COUNTIFS(Table125[Country],Tabela1[[#This Row],[Country]],Table125[Dual Moguls Classification],"&gt;0")</f>
        <v>0</v>
      </c>
      <c r="OL156" s="6">
        <f>COUNTIFS(Table125128[Country],Tabela1[[#This Row],[Country]],Table125128[Dual Moguls Classification],"&gt;0")</f>
        <v>0</v>
      </c>
      <c r="OM156" s="6">
        <f>COUNTIFS(Table125[Country],Tabela1[[#This Row],[Country]],Table125[Halfpipe Classification],"&gt;0")</f>
        <v>0</v>
      </c>
      <c r="ON156" s="6">
        <f>COUNTIFS(Table125128[Country],Tabela1[[#This Row],[Country]],Table125128[Halfpipe Classification],"&gt;0")</f>
        <v>0</v>
      </c>
      <c r="OO156" s="6">
        <f>COUNTIFS(Table125[Country],Tabela1[[#This Row],[Country]],Table125[Moguls Classification],"&gt;0")</f>
        <v>0</v>
      </c>
      <c r="OP156" s="6">
        <f>COUNTIFS(Table125128[Country],Tabela1[[#This Row],[Country]],Table125128[Moguls Classification],"&gt;0")</f>
        <v>0</v>
      </c>
      <c r="OQ156" s="6">
        <f>COUNTIFS(Table125[Country],Tabela1[[#This Row],[Country]],Table125[Ski Cross Classification],"&gt;0")</f>
        <v>0</v>
      </c>
      <c r="OR156" s="6">
        <f>COUNTIFS(Table125128[Country],Tabela1[[#This Row],[Country]],Table125128[Ski Cross Classification],"&gt;0")</f>
        <v>0</v>
      </c>
      <c r="OS156" s="6">
        <f>COUNTIFS(Table125[Country],Tabela1[[#This Row],[Country]],Table125[Slopestyle Classification],"&gt;0")</f>
        <v>0</v>
      </c>
      <c r="OT156" s="6">
        <f>COUNTIFS(Table125128[Country],Tabela1[[#This Row],[Country]],Table125128[Slopestyle Classification],"&gt;0")</f>
        <v>0</v>
      </c>
      <c r="OU156" s="6">
        <f>COUNTIFS(Table119131[Country],Tabela1[[#This Row],[Country]],Table119131[Men''s Classification],"&gt;0")</f>
        <v>0</v>
      </c>
      <c r="OV156" s="6">
        <f>COUNTIFS(Table119131[Country],Tabela1[[#This Row],[Country]],Table119131[Women''s Classification],"&gt;0")</f>
        <v>0</v>
      </c>
      <c r="OW156" s="6">
        <f>COUNTIFS(Table131[Country],Tabela1[[#This Row],[Country]],Table131[Classification],"&gt;0")</f>
        <v>0</v>
      </c>
      <c r="OX156" s="6">
        <f>COUNTIFS(Table131134[Country],Tabela1[[#This Row],[Country]],Table131134[Classification],"&gt;0")</f>
        <v>0</v>
      </c>
      <c r="OY156" s="6">
        <f>COUNTIFS(Table134[Country],Tabela1[[#This Row],[Country]],Table134[Men''s Classification],"&gt;0")</f>
        <v>0</v>
      </c>
      <c r="OZ156" s="6">
        <f>COUNTIFS(Table134[Country],Tabela1[[#This Row],[Country]],Table134[Women''s Classification],"&gt;0")</f>
        <v>0</v>
      </c>
      <c r="PA156" s="6">
        <f>COUNTIFS(Table135[Country],Tabela1[[#This Row],[Country]],Table135[Mixed Relay Classification],"&gt;0")</f>
        <v>0</v>
      </c>
      <c r="PB156" s="6">
        <f>COUNTIFS(Table136[Country],Tabela1[[#This Row],[Country]],Table136[Individual Classification],"&gt;0")</f>
        <v>0</v>
      </c>
      <c r="PC156" s="6">
        <f>COUNTIFS(Table136[Country],Tabela1[[#This Row],[Country]],Table136[Sprint Classification],"&gt;0")</f>
        <v>0</v>
      </c>
      <c r="PD156" s="6">
        <f>COUNTIFS(Table137[Country],Tabela1[[#This Row],[Country]],Table137[Men''s Team Sprint Large Hill Classification],"&gt;0")</f>
        <v>0</v>
      </c>
      <c r="PE156" s="6">
        <f>COUNTIFS(Table138[Country],Tabela1[[#This Row],[Country]],Table138[500m Classification],"&gt;0")</f>
        <v>0</v>
      </c>
      <c r="PF156" s="6">
        <f>COUNTIFS(Table138141[Country],Tabela1[[#This Row],[Country]],Table138141[500m Classification],"&gt;0")</f>
        <v>0</v>
      </c>
      <c r="PG156" s="6">
        <f>COUNTIFS(Table138[Country],Tabela1[[#This Row],[Country]],Table138[1000m Classification],"&gt;0")</f>
        <v>0</v>
      </c>
      <c r="PH156" s="6">
        <f>COUNTIFS(Table138141[Country],Tabela1[[#This Row],[Country]],Table138141[1000m Classification],"&gt;0")</f>
        <v>0</v>
      </c>
      <c r="PI156" s="6">
        <f>COUNTIFS(Table138[Country],Tabela1[[#This Row],[Country]],Table138[1500m Classification],"&gt;0")</f>
        <v>0</v>
      </c>
      <c r="PJ156" s="6">
        <f>COUNTIFS(Table138141[Country],Tabela1[[#This Row],[Country]],Table138141[1500m Classification],"&gt;0")</f>
        <v>0</v>
      </c>
      <c r="PK156" s="6">
        <f>COUNTIFS(Table141[Country],Tabela1[[#This Row],[Country]],Table141[Men''s 5000m Relay Classification],"&gt;0")</f>
        <v>0</v>
      </c>
      <c r="PL156" s="6">
        <f>COUNTIFS(Table141[Country],Tabela1[[#This Row],[Country]],Table141[Women''s 3000m Relay Classification],"&gt;0")</f>
        <v>0</v>
      </c>
      <c r="PM156" s="6">
        <f>COUNTIFS(Table141[Country],Tabela1[[#This Row],[Country]],Table141[Mixed 2000m Relay Classification],"&gt;0")</f>
        <v>0</v>
      </c>
      <c r="PN156" s="6">
        <f>COUNTIFS(Table142[Country],Tabela1[[#This Row],[Country]],Table142[Classification],"&gt;0")</f>
        <v>0</v>
      </c>
      <c r="PO156" s="6">
        <f>COUNTIFS(Table142145[Country],Tabela1[[#This Row],[Country]],Table142145[Classification],"&gt;0")</f>
        <v>0</v>
      </c>
      <c r="PP156" s="6">
        <f>COUNTIFS(Tabela15[Country],Tabela1[[#This Row],[Country]],Tabela15[Mixed Team Classification],"&gt;0")</f>
        <v>0</v>
      </c>
      <c r="PQ156" s="6">
        <f>COUNTIFS(Table145[Country],Tabela1[[#This Row],[Country]],Table145[Large Hill Classification],"&gt;0")</f>
        <v>0</v>
      </c>
      <c r="PR156" s="6">
        <f>COUNTIFS(Table145[Country],Tabela1[[#This Row],[Country]],Table145[Normal Hill Classification],"&gt;0")</f>
        <v>0</v>
      </c>
      <c r="PS156" s="6">
        <f>COUNTIFS(Table145148[Country],Tabela1[[#This Row],[Country]],Table145148[Large Hill Classification],"&gt;0")</f>
        <v>0</v>
      </c>
      <c r="PT156" s="6">
        <f>COUNTIFS(Table145148[Country],Tabela1[[#This Row],[Country]],Table145148[Normal Hill Classification],"&gt;0")</f>
        <v>0</v>
      </c>
      <c r="PU156" s="6">
        <f>COUNTIFS(Table148[Country],Tabela1[[#This Row],[Country]],Table148[Men''s Super Team Classification],"&gt;0")</f>
        <v>0</v>
      </c>
      <c r="PV156" s="6">
        <f>COUNTIFS(Tabela114[Country],Tabela1[[#This Row],[Country]],Tabela114[Mixed Normal Hill Classification],"&gt;0")</f>
        <v>0</v>
      </c>
      <c r="PW156" s="6">
        <f>COUNTIFS(Tabela50[Country],Tabela1[[#This Row],[Country]],Tabela50[Sprint Classification],"&gt;0")</f>
        <v>0</v>
      </c>
      <c r="PX156" s="6">
        <f>COUNTIFS(Tabela50101[Country],Tabela1[[#This Row],[Country]],Tabela50101[Sprint Classification],"&gt;0")</f>
        <v>0</v>
      </c>
      <c r="PY156" s="6">
        <f>COUNTIFS(Tabela103[Country],Tabela1[[#This Row],[Country]],Tabela103[Mixed Relay Classification],"&gt;0")</f>
        <v>0</v>
      </c>
      <c r="PZ156" s="6">
        <f>COUNTIFS(Table149[Country],Tabela1[[#This Row],[Country]],Table149[Big Air Classification],"&gt;0")</f>
        <v>0</v>
      </c>
      <c r="QA156" s="6">
        <f>COUNTIFS(Table149152[Country],Tabela1[[#This Row],[Country]],Table149152[Big Air Classification],"&gt;0")</f>
        <v>0</v>
      </c>
      <c r="QB156" s="6">
        <f>COUNTIFS(Table149[Country],Tabela1[[#This Row],[Country]],Table149[Halfpipe Classification],"&gt;0")</f>
        <v>0</v>
      </c>
      <c r="QC156" s="6">
        <f>COUNTIFS(Table149152[Country],Tabela1[[#This Row],[Country]],Table149152[Halfpipe Classification],"&gt;0")</f>
        <v>0</v>
      </c>
      <c r="QD156" s="6">
        <f>COUNTIFS(Table149[Country],Tabela1[[#This Row],[Country]],Table149[Parallel Giant Slalom Classification],"&gt;0")</f>
        <v>0</v>
      </c>
      <c r="QE156" s="6">
        <f>COUNTIFS(Table149152[Country],Tabela1[[#This Row],[Country]],Table149152[Parallel Giant Slalom Classification],"&gt;0")</f>
        <v>0</v>
      </c>
      <c r="QF156" s="6">
        <f>COUNTIFS(Table149[Country],Tabela1[[#This Row],[Country]],Table149[Slopestyle Classification],"&gt;0")</f>
        <v>0</v>
      </c>
      <c r="QG156" s="6">
        <f>COUNTIFS(Table149152[Country],Tabela1[[#This Row],[Country]],Table149152[Slopestyle Classification],"&gt;0")</f>
        <v>0</v>
      </c>
      <c r="QH156" s="6">
        <f>COUNTIFS(Table149[Country],Tabela1[[#This Row],[Country]],Table149[Snowboard Cross Classification],"&gt;0")</f>
        <v>0</v>
      </c>
      <c r="QI156" s="6">
        <f>COUNTIFS(Table149152[Country],Tabela1[[#This Row],[Country]],Table149152[Snowboard Cross Classification],"&gt;0")</f>
        <v>0</v>
      </c>
      <c r="QJ156" s="6">
        <f>COUNTIFS(Table153[Country],Tabela1[[#This Row],[Country]],Table153[Mixed Team Snowboard Cross Classification],"&gt;0")</f>
        <v>0</v>
      </c>
      <c r="QK156" s="6">
        <f>COUNTIFS(Table154[Country],Tabela1[[#This Row],[Country]],Table154[500m Classification],"&gt;0")</f>
        <v>0</v>
      </c>
      <c r="QL156" s="6">
        <f>COUNTIFS(Table154157[Country],Tabela1[[#This Row],[Country]],Table154157[500m Classification],"&gt;0")</f>
        <v>0</v>
      </c>
      <c r="QM156" s="6">
        <f>COUNTIFS(Table154[Country],Tabela1[[#This Row],[Country]],Table154[1000m Classification],"&gt;0")</f>
        <v>0</v>
      </c>
      <c r="QN156" s="6">
        <f>COUNTIFS(Table154157[Country],Tabela1[[#This Row],[Country]],Table154157[1000m Classification],"&gt;0")</f>
        <v>0</v>
      </c>
      <c r="QO156" s="6">
        <f>COUNTIFS(Table154[Country],Tabela1[[#This Row],[Country]],Table154[1500m Classification],"&gt;0")</f>
        <v>0</v>
      </c>
      <c r="QP156" s="6">
        <f>COUNTIFS(Table154157[Country],Tabela1[[#This Row],[Country]],Table154157[1500m Classification],"&gt;0")</f>
        <v>0</v>
      </c>
      <c r="QQ156" s="6">
        <f>COUNTIFS(Table154157[Country],Tabela1[[#This Row],[Country]],Table154157[3000m Classification],"&gt;0")</f>
        <v>0</v>
      </c>
      <c r="QR156" s="6">
        <f>COUNTIFS(Table154[Country],Tabela1[[#This Row],[Country]],Table154[5000m Classification],"&gt;0")</f>
        <v>0</v>
      </c>
      <c r="QS156" s="6">
        <f>COUNTIFS(Table154157[Country],Tabela1[[#This Row],[Country]],Table154157[5000m Classification],"&gt;0")</f>
        <v>0</v>
      </c>
      <c r="QT156" s="6">
        <f>COUNTIFS(Table154[Country],Tabela1[[#This Row],[Country]],Table154[10000m Classification],"&gt;0")</f>
        <v>0</v>
      </c>
      <c r="QU156" s="6">
        <f>COUNTIFS(Table154[Country],Tabela1[[#This Row],[Country]],Table154[Mass Start Classification],"&gt;0")</f>
        <v>0</v>
      </c>
      <c r="QV156" s="6">
        <f>COUNTIFS(Table154157[Country],Tabela1[[#This Row],[Country]],Table154157[Mass Start Classification],"&gt;0")</f>
        <v>0</v>
      </c>
      <c r="QW156" s="6">
        <f>COUNTIFS(Table157[Country],Tabela1[[#This Row],[Country]],Table157[Men''s Pursuit Classification],"&gt;0")</f>
        <v>0</v>
      </c>
      <c r="QX156" s="6">
        <f>COUNTIFS(Table157[Country],Tabela1[[#This Row],[Country]],Table157[Women''s Pursuit Classification],"&gt;0")</f>
        <v>0</v>
      </c>
      <c r="QY156" s="4" t="s">
        <v>563</v>
      </c>
    </row>
    <row r="157" spans="1:467" x14ac:dyDescent="0.3">
      <c r="A157" s="6">
        <v>156</v>
      </c>
      <c r="B157" s="6" t="s">
        <v>376</v>
      </c>
      <c r="C157" t="e" vm="156">
        <f>IF(ISBLANK(Tabela1[[#This Row],[Image Link]]), "", _xlfn.IMAGE(Tabela1[[#This Row],[Image Link]],1,1))</f>
        <v>#VALUE!</v>
      </c>
      <c r="D157" s="6">
        <f>SUM(Tabela1[[#This Row],[Archery - Men''s Individual Recurve]:[Speed Skating - Women''s Team Pursuit]])</f>
        <v>0</v>
      </c>
      <c r="E157" s="6">
        <f>COUNTIF(Tabela1[[#This Row],[Archery - Men''s Individual Recurve]:[Speed Skating - Women''s Team Pursuit]],"&gt;0")</f>
        <v>0</v>
      </c>
      <c r="F157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57" s="6">
        <f>SUM(Tabela1[[#This Row],[Archery - Men''s Individual Recurve]:[Wrestling - Women''s Freestyle 76kg]])</f>
        <v>0</v>
      </c>
      <c r="H157" s="6">
        <f>SUM(Tabela1[[#This Row],[Alpine Skiing - Men''s Downhill]:[Speed Skating - Women''s Team Pursuit]])</f>
        <v>0</v>
      </c>
      <c r="I157" s="6">
        <f>Tabela1[[#This Row],[Summer Gold Medals]]+Tabela1[[#This Row],[Winter Gold Medals]]</f>
        <v>1</v>
      </c>
      <c r="J157" s="6">
        <f>Tabela1[[#This Row],[Summer Silver Medals]]+Tabela1[[#This Row],[Winter Silver Medals]]</f>
        <v>0</v>
      </c>
      <c r="K157" s="6">
        <f>Tabela1[[#This Row],[Summer Bronze Medals]]+Tabela1[[#This Row],[Winter Bronze Medals]]</f>
        <v>0</v>
      </c>
      <c r="L157" s="6">
        <f>SUM(Tabela1[[#This Row],[Total Gold Medals]:[Total Bronze Medals]])</f>
        <v>1</v>
      </c>
      <c r="M157" s="6">
        <v>1</v>
      </c>
      <c r="N157" s="6"/>
      <c r="O157" s="6"/>
      <c r="P157" s="6">
        <f>SUM(Tabela1[[#This Row],[Summer Gold Medals]:[Summer Bronze Medals]])</f>
        <v>1</v>
      </c>
      <c r="Q157" s="6"/>
      <c r="R157" s="6"/>
      <c r="S157" s="6"/>
      <c r="T157" s="6">
        <f>Tabela1[[#This Row],[Winter Gold Medals]]+Tabela1[[#This Row],[Winter Silver Medals]]+Tabela1[[#This Row],[Winter Bronze Medals]]</f>
        <v>0</v>
      </c>
      <c r="U157" s="7" t="e">
        <f>Tabela1[[#This Row],[Total Medals]]/Tabela1[[#This Row],[Total Quotas]]</f>
        <v>#DIV/0!</v>
      </c>
      <c r="V157" s="6">
        <f>COUNTIFS(Table3[Country],Tabela1[[#This Row],[Country]],Table3[Recurve Classification],"&gt;0")</f>
        <v>0</v>
      </c>
      <c r="W157" s="6">
        <f>COUNTIFS(Table33[Country],Tabela1[[#This Row],[Country]],Table33[Recurve Classification],"&gt;0")</f>
        <v>0</v>
      </c>
      <c r="X157" s="6">
        <f>COUNTIFS(Table35[Country],Tabela1[[#This Row],[Country]],Table35[Men''s Team Recurve Classification],"&gt;0")</f>
        <v>0</v>
      </c>
      <c r="Y157" s="6">
        <f>COUNTIFS(Table35[Country],Tabela1[[#This Row],[Country]],Table35[Women''s Team Recurve Classification],"&gt;0")</f>
        <v>0</v>
      </c>
      <c r="Z157" s="6">
        <f>COUNTIFS(Tabela88[Country],Tabela1[[#This Row],[Country]],Tabela88[Mixed Team Recurve Classification],"&gt;0")</f>
        <v>0</v>
      </c>
      <c r="AA157" s="6">
        <f>COUNTIFS(Table36[Country],Tabela1[[#This Row],[Country]],Table36[Classification],"&gt;0")</f>
        <v>0</v>
      </c>
      <c r="AB157" s="6">
        <f>COUNTIFS(Table37[Country],Tabela1[[#This Row],[Country]],Table37[Classification],"&gt;0")</f>
        <v>0</v>
      </c>
      <c r="AC157" s="6">
        <f>COUNTIFS(Table4[Country],Tabela1[[#This Row],[Country]],Table4[100m Classification],"&gt;0")</f>
        <v>0</v>
      </c>
      <c r="AD157" s="6">
        <f>COUNTIFS(Table5[Country],Tabela1[[#This Row],[Country]],Table5[100m Classification],"&gt;0")</f>
        <v>0</v>
      </c>
      <c r="AE157" s="6">
        <f>COUNTIFS(Table4[Country],Tabela1[[#This Row],[Country]],Table4[200m Classification],"&gt;0")</f>
        <v>0</v>
      </c>
      <c r="AF157" s="6">
        <f>COUNTIFS(Table5[Country],Tabela1[[#This Row],[Country]],Table5[200m Classification],"&gt;0")</f>
        <v>0</v>
      </c>
      <c r="AG157" s="6">
        <f>COUNTIFS(Table4[Country],Tabela1[[#This Row],[Country]],Table4[400m Classification],"&gt;0")</f>
        <v>0</v>
      </c>
      <c r="AH157" s="6">
        <f>COUNTIFS(Table5[Country],Tabela1[[#This Row],[Country]],Table5[400m Classification],"&gt;0")</f>
        <v>0</v>
      </c>
      <c r="AI157" s="6">
        <f>COUNTIFS(Table4[Country],Tabela1[[#This Row],[Country]],Table4[800m Classification],"&gt;0")</f>
        <v>0</v>
      </c>
      <c r="AJ157" s="6">
        <f>COUNTIFS(Table5[Country],Tabela1[[#This Row],[Country]],Table5[800m Classification],"&gt;0")</f>
        <v>0</v>
      </c>
      <c r="AK157" s="6">
        <f>COUNTIFS(Table4[Country],Tabela1[[#This Row],[Country]],Table4[1500m Classification],"&gt;0")</f>
        <v>0</v>
      </c>
      <c r="AL157" s="6">
        <f>COUNTIFS(Table5[Country],Tabela1[[#This Row],[Country]],Table5[1500m Classification],"&gt;0")</f>
        <v>0</v>
      </c>
      <c r="AM157" s="6">
        <f>COUNTIFS(Table4[Country],Tabela1[[#This Row],[Country]],Table4[5000m Classification],"&gt;0")</f>
        <v>0</v>
      </c>
      <c r="AN157" s="6">
        <f>COUNTIFS(Table5[Country],Tabela1[[#This Row],[Country]],Table5[5000m Classification],"&gt;0")</f>
        <v>0</v>
      </c>
      <c r="AO157" s="6">
        <f>COUNTIFS(Table4[Country],Tabela1[[#This Row],[Country]],Table4[10000m Classification],"&gt;0")</f>
        <v>0</v>
      </c>
      <c r="AP157" s="6">
        <f>COUNTIFS(Table5[Country],Tabela1[[#This Row],[Country]],Table5[10000m Classification],"&gt;0")</f>
        <v>0</v>
      </c>
      <c r="AQ157" s="6">
        <f>COUNTIFS(Table4[Country],Tabela1[[#This Row],[Country]],Table4[110m Hurdles Classification],"&gt;0")</f>
        <v>0</v>
      </c>
      <c r="AR157" s="6">
        <f>COUNTIFS(Table5[Country],Tabela1[[#This Row],[Country]],Table5[100m Hurdles Classification],"&gt;0")</f>
        <v>0</v>
      </c>
      <c r="AS157" s="6">
        <f>COUNTIFS(Table4[Country],Tabela1[[#This Row],[Country]],Table4[400m Hurdles Classification],"&gt;0")</f>
        <v>0</v>
      </c>
      <c r="AT157" s="6">
        <f>COUNTIFS(Table5[Country],Tabela1[[#This Row],[Country]],Table5[400m Hurdles Classification],"&gt;0")</f>
        <v>0</v>
      </c>
      <c r="AU157" s="6">
        <f>COUNTIFS(Table4[Country],Tabela1[[#This Row],[Country]],Table4[3000m Steeplechase Classification],"&gt;0")</f>
        <v>0</v>
      </c>
      <c r="AV157" s="6">
        <f>COUNTIFS(Table5[Country],Tabela1[[#This Row],[Country]],Table5[3000m Steeplechase Classification],"&gt;0")</f>
        <v>0</v>
      </c>
      <c r="AW157" s="6">
        <f>COUNTIFS(Table27[Country],Tabela1[[#This Row],[Country]],Table27[Men''s 4x100m Relay Classification],"&gt;0")</f>
        <v>0</v>
      </c>
      <c r="AX157" s="6">
        <f>COUNTIFS(Table27[Country],Tabela1[[#This Row],[Country]],Table27[Women''s 4x100m Relay Classification],"&gt;0")</f>
        <v>0</v>
      </c>
      <c r="AY157" s="6">
        <f>COUNTIFS(Table27[Country],Tabela1[[#This Row],[Country]],Table27[Men''s 4x400m Relay Classification],"&gt;0")</f>
        <v>0</v>
      </c>
      <c r="AZ157" s="6">
        <f>COUNTIFS(Table27[Country],Tabela1[[#This Row],[Country]],Table27[Women''s 4x400m Relay Classification],"&gt;0")</f>
        <v>0</v>
      </c>
      <c r="BA157" s="6">
        <f>COUNTIFS(Table27[Country],Tabela1[[#This Row],[Country]],Table27[Mixed 4x400m Relay Classification],"&gt;0")</f>
        <v>0</v>
      </c>
      <c r="BB157" s="6">
        <f>COUNTIFS(Table4[Country],Tabela1[[#This Row],[Country]],Table4[Marathon Classification],"&gt;0")</f>
        <v>0</v>
      </c>
      <c r="BC157" s="6">
        <f>COUNTIFS(Table5[Country],Tabela1[[#This Row],[Country]],Table5[Marathon Classification],"&gt;0")</f>
        <v>0</v>
      </c>
      <c r="BD157" s="6">
        <f>COUNTIFS(Table4[Country],Tabela1[[#This Row],[Country]],Table4[20km Race Walk Classification],"&gt;0")</f>
        <v>0</v>
      </c>
      <c r="BE157" s="6">
        <f>COUNTIFS(Table5[Country],Tabela1[[#This Row],[Country]],Table5[20km Race Walk Classification],"&gt;0")</f>
        <v>0</v>
      </c>
      <c r="BF157" s="6">
        <f>COUNTIFS(Tabela96[Country],Tabela1[[#This Row],[Country]],Tabela96[Mixed Marathon Race Walk Relay Classification],"&gt;0")</f>
        <v>0</v>
      </c>
      <c r="BG157" s="6">
        <f>COUNTIFS(Table4[Country],Tabela1[[#This Row],[Country]],Table4[Discus Throw Classification],"&gt;0")</f>
        <v>0</v>
      </c>
      <c r="BH157" s="6">
        <f>COUNTIFS(Table5[Country],Tabela1[[#This Row],[Country]],Table5[Discus Throw Classification],"&gt;0")</f>
        <v>0</v>
      </c>
      <c r="BI157" s="6">
        <f>COUNTIFS(Table4[Country],Tabela1[[#This Row],[Country]],Table4[Hammer Throw Classification],"&gt;0")</f>
        <v>0</v>
      </c>
      <c r="BJ157" s="6">
        <f>COUNTIFS(Table5[Country],Tabela1[[#This Row],[Country]],Table5[Hammer Throw Classification],"&gt;0")</f>
        <v>0</v>
      </c>
      <c r="BK157" s="6">
        <f>COUNTIFS(Table4[Country],Tabela1[[#This Row],[Country]],Table4[High Jump Classification],"&gt;0")</f>
        <v>0</v>
      </c>
      <c r="BL157" s="6">
        <f>COUNTIFS(Table5[Country],Tabela1[[#This Row],[Country]],Table5[High Jump Classification],"&gt;0")</f>
        <v>0</v>
      </c>
      <c r="BM157" s="6">
        <f>COUNTIFS(Table4[Country],Tabela1[[#This Row],[Country]],Table4[Javelin Throw Classification],"&gt;0")</f>
        <v>0</v>
      </c>
      <c r="BN157" s="6">
        <f>COUNTIFS(Table5[Country],Tabela1[[#This Row],[Country]],Table5[Javelin Throw Classification],"&gt;0")</f>
        <v>0</v>
      </c>
      <c r="BO157" s="6">
        <f>COUNTIFS(Table4[Country],Tabela1[[#This Row],[Country]],Table4[Long Jump Classification],"&gt;0")</f>
        <v>0</v>
      </c>
      <c r="BP157" s="6">
        <f>COUNTIFS(Table5[Country],Tabela1[[#This Row],[Country]],Table5[Long Jump Classification],"&gt;0")</f>
        <v>0</v>
      </c>
      <c r="BQ157" s="6">
        <f>COUNTIFS(Table4[Country],Tabela1[[#This Row],[Country]],Table4[Pole Vault Classification],"&gt;0")</f>
        <v>0</v>
      </c>
      <c r="BR157" s="6">
        <f>COUNTIFS(Table5[Country],Tabela1[[#This Row],[Country]],Table5[Pole Vault Classification],"&gt;0")</f>
        <v>0</v>
      </c>
      <c r="BS157" s="6">
        <f>COUNTIFS(Table4[Country],Tabela1[[#This Row],[Country]],Table4[Shot Put Classification],"&gt;0")</f>
        <v>0</v>
      </c>
      <c r="BT157" s="6">
        <f>COUNTIFS(Table5[Country],Tabela1[[#This Row],[Country]],Table5[Shot Put Classification],"&gt;0")</f>
        <v>0</v>
      </c>
      <c r="BU157" s="6">
        <f>COUNTIFS(Table4[Country],Tabela1[[#This Row],[Country]],Table4[Triple Jump Classification],"&gt;0")</f>
        <v>0</v>
      </c>
      <c r="BV157" s="6">
        <f>COUNTIFS(Table5[Country],Tabela1[[#This Row],[Country]],Table5[Triple Jump Classification],"&gt;0")</f>
        <v>0</v>
      </c>
      <c r="BW157" s="6">
        <f>COUNTIFS(Table4[Country],Tabela1[[#This Row],[Country]],Table4[Decathlon Classification],"&gt;0")</f>
        <v>0</v>
      </c>
      <c r="BX157" s="6">
        <f>COUNTIFS(Table5[Country],Tabela1[[#This Row],[Country]],Table5[Heptathlon Classification],"&gt;0")</f>
        <v>0</v>
      </c>
      <c r="BY157" s="6">
        <f>COUNTIFS(Table61[Country],Tabela1[[#This Row],[Country]],Table61[Classification],"&gt;0")</f>
        <v>0</v>
      </c>
      <c r="BZ157" s="6">
        <f>COUNTIFS(Table38[Country],Tabela1[[#This Row],[Country]],Table38[Classification],"&gt;0")</f>
        <v>0</v>
      </c>
      <c r="CA157" s="6">
        <f>COUNTIFS(Table39[Country],Tabela1[[#This Row],[Country]],Table39[Men''s Classification],"&gt;0")</f>
        <v>0</v>
      </c>
      <c r="CB157" s="6">
        <f>COUNTIFS(Table39[Country],Tabela1[[#This Row],[Country]],Table39[Women''s Classification],"&gt;0")</f>
        <v>0</v>
      </c>
      <c r="CC157" s="6">
        <f>COUNTIFS(Table39[Country],Tabela1[[#This Row],[Country]],Table39[Mixed Classification],"&gt;0")</f>
        <v>0</v>
      </c>
      <c r="CD157" s="6">
        <f>COUNTIFS(Table89[Country],Tabela1[[#This Row],[Country]],Table89[Men''s Classification],"&gt;0")</f>
        <v>0</v>
      </c>
      <c r="CE157" s="6">
        <f>COUNTIFS(Table89[Country],Tabela1[[#This Row],[Country]],Table89[Women''s Classification],"&gt;0")</f>
        <v>0</v>
      </c>
      <c r="CF157" s="6">
        <f>COUNTIFS(Table90[Country],Tabela1[[#This Row],[Country]],Table90[Men''s Classification],"&gt;0")</f>
        <v>0</v>
      </c>
      <c r="CG157" s="6">
        <f>COUNTIFS(Table90[Country],Tabela1[[#This Row],[Country]],Table90[Women''s Classification],"&gt;0")</f>
        <v>0</v>
      </c>
      <c r="CH157" s="6">
        <f>COUNTIFS(Table60[Country],Tabela1[[#This Row],[Country]],Table60[Men''s Classification],"&gt;0")</f>
        <v>0</v>
      </c>
      <c r="CI157" s="6">
        <f>COUNTIFS(Table60[Country],Tabela1[[#This Row],[Country]],Table60[Women''s Classification],"&gt;0")</f>
        <v>0</v>
      </c>
      <c r="CJ157" s="6">
        <f>COUNTIFS(Table6[Country],Tabela1[[#This Row],[Country]],Table6[51kg Classification],"&gt;0")</f>
        <v>0</v>
      </c>
      <c r="CK157" s="6">
        <f>COUNTIFS(Table6[Country],Tabela1[[#This Row],[Country]],Table6[57kg Classification],"&gt;0")</f>
        <v>0</v>
      </c>
      <c r="CL157" s="6">
        <f>COUNTIFS(Table6[Country],Tabela1[[#This Row],[Country]],Table6[63.5kg Classification],"&gt;0")</f>
        <v>0</v>
      </c>
      <c r="CM157" s="6">
        <f>COUNTIFS(Table6[Country],Tabela1[[#This Row],[Country]],Table6[71kg Classification],"&gt;0")</f>
        <v>0</v>
      </c>
      <c r="CN157" s="6">
        <f>COUNTIFS(Table6[Country],Tabela1[[#This Row],[Country]],Table6[80kg Classification],"&gt;0")</f>
        <v>0</v>
      </c>
      <c r="CO157" s="6">
        <f>COUNTIFS(Table6[Country],Tabela1[[#This Row],[Country]],Table6[92kg Classification],"&gt;0")</f>
        <v>0</v>
      </c>
      <c r="CP157" s="6">
        <f>COUNTIFS(Table6[Country],Tabela1[[#This Row],[Country]],Table6[Plus 92kg Classification],"&gt;0")</f>
        <v>0</v>
      </c>
      <c r="CQ157" s="6">
        <f>COUNTIFS(Table7[Country],Tabela1[[#This Row],[Country]],Table7[50kg Classification],"&gt;0")</f>
        <v>0</v>
      </c>
      <c r="CR157" s="6">
        <f>COUNTIFS(Table7[Country],Tabela1[[#This Row],[Country]],Table7[54kg Classification],"&gt;0")</f>
        <v>0</v>
      </c>
      <c r="CS157" s="6">
        <f>COUNTIFS(Table7[Country],Tabela1[[#This Row],[Country]],Table7[57kg Classification],"&gt;0")</f>
        <v>0</v>
      </c>
      <c r="CT157" s="6">
        <f>COUNTIFS(Table7[Country],Tabela1[[#This Row],[Country]],Table7[60kg Classification],"&gt;0")</f>
        <v>0</v>
      </c>
      <c r="CU157" s="6">
        <f>COUNTIFS(Table7[Country],Tabela1[[#This Row],[Country]],Table7[66kg Classification],"&gt;0")</f>
        <v>0</v>
      </c>
      <c r="CV157" s="6">
        <f>COUNTIFS(Table7[Country],Tabela1[[#This Row],[Country]],Table7[75kg Classification],"&gt;0")</f>
        <v>0</v>
      </c>
      <c r="CW157" s="6">
        <f>COUNTIFS(Tabela94[Country],Tabela1[[#This Row],[Country]],Tabela94[Classification],"&gt;0")</f>
        <v>0</v>
      </c>
      <c r="CX157" s="6">
        <f>COUNTIFS(Tabela9499[Country],Tabela1[[#This Row],[Country]],Tabela9499[Classification],"&gt;0")</f>
        <v>0</v>
      </c>
      <c r="CY157" s="6">
        <f>COUNTIFS(Tabela107[Country],Tabela1[[#This Row],[Country]],Tabela107[C1 Slalom Classification],"&gt;0")</f>
        <v>0</v>
      </c>
      <c r="CZ157" s="6">
        <f>COUNTIFS(Tabela107122[Country],Tabela1[[#This Row],[Country]],Tabela107122[C1 Slalom Classification],"&gt;0")</f>
        <v>0</v>
      </c>
      <c r="DA157" s="6">
        <f>COUNTIFS(Tabela107[Country],Tabela1[[#This Row],[Country]],Tabela107[K1 Slalom Classification],"&gt;0")</f>
        <v>0</v>
      </c>
      <c r="DB157" s="6">
        <f>COUNTIFS(Tabela107122[Country],Tabela1[[#This Row],[Country]],Tabela107122[K1 Slalom Classification],"&gt;0")</f>
        <v>0</v>
      </c>
      <c r="DC157" s="6">
        <f>COUNTIFS(Tabela107[Country],Tabela1[[#This Row],[Country]],Tabela107[Kayak Cross Slalom Classification],"&gt;0")</f>
        <v>0</v>
      </c>
      <c r="DD157" s="6">
        <f>COUNTIFS(Tabela107122[Country],Tabela1[[#This Row],[Country]],Tabela107122[Kayak Cross Slalom Classification],"&gt;0")</f>
        <v>0</v>
      </c>
      <c r="DE157" s="6">
        <f>COUNTIFS(Table8[Country],Tabela1[[#This Row],[Country]],Table8[C1 200m Classification],"&gt;0")</f>
        <v>0</v>
      </c>
      <c r="DF157" s="6">
        <f>COUNTIFS(Table40[Country],Tabela1[[#This Row],[Country]],Table40[C1 1000m Classification],"&gt;0")</f>
        <v>0</v>
      </c>
      <c r="DG157" s="6">
        <f>COUNTIFS(Table68[Country],Tabela1[[#This Row],[Country]],Table68[Men''s C2 500m Classification],"&gt;0")</f>
        <v>0</v>
      </c>
      <c r="DH157" s="6">
        <f>COUNTIFS(Table68[Country],Tabela1[[#This Row],[Country]],Table68[Women''s C2 500m Classification],"&gt;0")</f>
        <v>0</v>
      </c>
      <c r="DI157" s="6">
        <f>COUNTIFS(Table8[Country],Tabela1[[#This Row],[Country]],Table8[K1 500m Classification],"&gt;0")</f>
        <v>0</v>
      </c>
      <c r="DJ157" s="6">
        <f>COUNTIFS(Table40[Country],Tabela1[[#This Row],[Country]],Table40[K1 1000m Classification],"&gt;0")</f>
        <v>0</v>
      </c>
      <c r="DK157" s="6">
        <f>COUNTIFS(Table68[Country],Tabela1[[#This Row],[Country]],Table68[Men''s K2 500m Classification],"&gt;0")</f>
        <v>0</v>
      </c>
      <c r="DL157" s="6">
        <f>COUNTIFS(Table68[Country],Tabela1[[#This Row],[Country]],Table68[Women''s K2 500m Classification],"&gt;0")</f>
        <v>0</v>
      </c>
      <c r="DM157" s="6">
        <f>COUNTIFS(Table83[Country],Tabela1[[#This Row],[Country]],Table83[Men''s K4 500m Classification],"&gt;0")</f>
        <v>0</v>
      </c>
      <c r="DN157" s="6">
        <f>COUNTIFS(Table83[Country],Tabela1[[#This Row],[Country]],Table83[Women''s K4 500m Classification],"&gt;0")</f>
        <v>0</v>
      </c>
      <c r="DO157" s="6">
        <f>COUNTIFS(Tabela126[Country],Tabela1[[#This Row],[Country]],Tabela126[Classification],"&gt;0")</f>
        <v>0</v>
      </c>
      <c r="DP157" s="6">
        <f>COUNTIFS(Tabela126130[Country],Tabela1[[#This Row],[Country]],Tabela126130[Classification],"&gt;0")</f>
        <v>0</v>
      </c>
      <c r="DQ157" s="6">
        <f>COUNTIFS(Table70[Country],Tabela1[[#This Row],[Country]],Table70[Classification],"&gt;0")</f>
        <v>0</v>
      </c>
      <c r="DR157" s="6">
        <f>COUNTIFS(Table80[Country],Tabela1[[#This Row],[Country]],Table80[Classification],"&gt;0")</f>
        <v>0</v>
      </c>
      <c r="DS157" s="6">
        <f>COUNTIFS(Table66[Country],Tabela1[[#This Row],[Country]],Table66[Classification],"&gt;0")</f>
        <v>0</v>
      </c>
      <c r="DT157" s="6">
        <f>COUNTIFS(Table67[Country],Tabela1[[#This Row],[Country]],Table67[Classification],"&gt;0")</f>
        <v>0</v>
      </c>
      <c r="DU157" s="6">
        <f>COUNTIFS(Table69[Country],Tabela1[[#This Row],[Country]],Table69[Keirin Classification],"&gt;0")</f>
        <v>0</v>
      </c>
      <c r="DV157" s="6">
        <f>COUNTIFS(Table41[Country],Tabela1[[#This Row],[Country]],Table41[Keirin Classification],"&gt;0")</f>
        <v>0</v>
      </c>
      <c r="DW157" s="6">
        <f>COUNTIFS(Table84[Country],Tabela1[[#This Row],[Country]],Table84[Men''s Madison Classification],"&gt;0")</f>
        <v>0</v>
      </c>
      <c r="DX157" s="6">
        <f>COUNTIFS(Table84[Country],Tabela1[[#This Row],[Country]],Table84[Women''s Madison Classification],"&gt;0")</f>
        <v>0</v>
      </c>
      <c r="DY157" s="6">
        <f>COUNTIFS(Table69[Country],Tabela1[[#This Row],[Country]],Table69[Omnium Classification],"&gt;0")</f>
        <v>0</v>
      </c>
      <c r="DZ157" s="6">
        <f>COUNTIFS(Table41[Country],Tabela1[[#This Row],[Country]],Table41[Omnium Classification],"&gt;0")</f>
        <v>0</v>
      </c>
      <c r="EA157" s="6">
        <f>COUNTIFS(Table9[Country],Tabela1[[#This Row],[Country]],Table9[Road Race Classification],"&gt;0")</f>
        <v>0</v>
      </c>
      <c r="EB157" s="6">
        <f>COUNTIFS(Table14[Country],Tabela1[[#This Row],[Country]],Table14[Road Race Classification],"&gt;0")</f>
        <v>0</v>
      </c>
      <c r="EC157" s="6">
        <f>COUNTIFS(Table69[Country],Tabela1[[#This Row],[Country]],Table69[Sprint Classification],"&gt;0")</f>
        <v>0</v>
      </c>
      <c r="ED157" s="6">
        <f>COUNTIFS(Table41[Country],Tabela1[[#This Row],[Country]],Table41[Sprint Classification],"&gt;0")</f>
        <v>0</v>
      </c>
      <c r="EE157" s="6">
        <f>COUNTIFS(Table85[Country],Tabela1[[#This Row],[Country]],Table85[Men''s Sprint Classification],"&gt;0")</f>
        <v>0</v>
      </c>
      <c r="EF157" s="6">
        <f>COUNTIFS(Table85[Country],Tabela1[[#This Row],[Country]],Table85[Women''s Sprint Classification],"&gt;0")</f>
        <v>0</v>
      </c>
      <c r="EG157" s="6">
        <f>COUNTIFS(Table85[Country],Tabela1[[#This Row],[Country]],Table85[Men''s Pursuit Classification],"&gt;0")</f>
        <v>0</v>
      </c>
      <c r="EH157" s="6">
        <f>COUNTIFS(Table85[Country],Tabela1[[#This Row],[Country]],Table85[Women''s Pursuit Classification],"&gt;0")</f>
        <v>0</v>
      </c>
      <c r="EI157" s="6">
        <f>COUNTIFS(Table9[Country],Tabela1[[#This Row],[Country]],Table9[Time-Trial Classification],"&gt;0")</f>
        <v>0</v>
      </c>
      <c r="EJ157" s="6">
        <f>COUNTIFS(Table14[Country],Tabela1[[#This Row],[Country]],Table14[Time-Trial Classification],"&gt;0")</f>
        <v>0</v>
      </c>
      <c r="EK157" s="6">
        <f>COUNTIFS(Table42[Country],Tabela1[[#This Row],[Country]],Table42[Springboard Classification],"&gt;0")</f>
        <v>0</v>
      </c>
      <c r="EL157" s="6">
        <f>COUNTIFS(Table43[Country],Tabela1[[#This Row],[Country]],Table43[Springboard Classification],"&gt;0")</f>
        <v>0</v>
      </c>
      <c r="EM157" s="6">
        <f>COUNTIFS(Table42[Country],Tabela1[[#This Row],[Country]],Table42[Platform Classification],"&gt;0")</f>
        <v>0</v>
      </c>
      <c r="EN157" s="6">
        <f>COUNTIFS(Table43[Country],Tabela1[[#This Row],[Country]],Table43[Platform Classification],"&gt;0")</f>
        <v>0</v>
      </c>
      <c r="EO157" s="6">
        <f>COUNTIFS(Table86[Country],Tabela1[[#This Row],[Country]],Table86[Men''s Synchronized Springboard Classification],"&gt;0")</f>
        <v>0</v>
      </c>
      <c r="EP157" s="6">
        <f>COUNTIFS(Table86[Country],Tabela1[[#This Row],[Country]],Table86[Women''s Synchronized Springboard Classification],"&gt;0")</f>
        <v>0</v>
      </c>
      <c r="EQ157" s="6">
        <f>COUNTIFS(Table86[Country],Tabela1[[#This Row],[Country]],Table86[Men''s Synchronized Platform Classification],"&gt;0")</f>
        <v>0</v>
      </c>
      <c r="ER157" s="6">
        <f>COUNTIFS(Table86[Country],Tabela1[[#This Row],[Country]],Table86[Women''s Synchronized Platform Classification],"&gt;0")</f>
        <v>0</v>
      </c>
      <c r="ES157" s="6">
        <f>COUNTIFS(Table44[Country],Tabela1[[#This Row],[Country]],Table44[Dressage Classification],"&gt;0")</f>
        <v>0</v>
      </c>
      <c r="ET157" s="6">
        <f>COUNTIFS(Table45[Country],Tabela1[[#This Row],[Country]],Table45[Dressage Classification],"&gt;0")</f>
        <v>0</v>
      </c>
      <c r="EU157" s="6">
        <f>COUNTIFS(Table44[Country],Tabela1[[#This Row],[Country]],Table44[Eventing Classification],"&gt;0")</f>
        <v>0</v>
      </c>
      <c r="EV157" s="6">
        <f>COUNTIFS(Table45[Country],Tabela1[[#This Row],[Country]],Table45[Eventing Classification],"&gt;0")</f>
        <v>0</v>
      </c>
      <c r="EW157" s="6">
        <f>COUNTIFS(Table44[Country],Tabela1[[#This Row],[Country]],Table44[Jumping Classification],"&gt;0")</f>
        <v>0</v>
      </c>
      <c r="EX157" s="6">
        <f>COUNTIFS(Table45[Country],Tabela1[[#This Row],[Country]],Table45[Jumping Classification],"&gt;0")</f>
        <v>0</v>
      </c>
      <c r="EY157" s="6">
        <f>COUNTIFS(Table10[Country],Tabela1[[#This Row],[Country]],Table10[Épée Classification],"&gt;0")</f>
        <v>0</v>
      </c>
      <c r="EZ157" s="6">
        <f>COUNTIFS(Table11[Country],Tabela1[[#This Row],[Country]],Table11[Épée Classification],"&gt;0")</f>
        <v>0</v>
      </c>
      <c r="FA157" s="6">
        <f>COUNTIFS(Table46[Country],Tabela1[[#This Row],[Country]],Table46[Men''s Épée Classification],"&gt;0")</f>
        <v>0</v>
      </c>
      <c r="FB157" s="6">
        <f>COUNTIFS(Table46[Country],Tabela1[[#This Row],[Country]],Table46[Women''s Épée Classification],"&gt;0")</f>
        <v>0</v>
      </c>
      <c r="FC157" s="6">
        <f>COUNTIFS(Table10[Country],Tabela1[[#This Row],[Country]],Table10[Foil Classification],"&gt;0")</f>
        <v>0</v>
      </c>
      <c r="FD157" s="6">
        <f>COUNTIFS(Table11[Country],Tabela1[[#This Row],[Country]],Table11[Foil Classification],"&gt;0")</f>
        <v>0</v>
      </c>
      <c r="FE157" s="6">
        <f>COUNTIFS(Table46[Country],Tabela1[[#This Row],[Country]],Table46[Men''s Foil Classification],"&gt;0")</f>
        <v>0</v>
      </c>
      <c r="FF157" s="6">
        <f>COUNTIFS(Table46[Country],Tabela1[[#This Row],[Country]],Table46[Women''s Foil Classification],"&gt;0")</f>
        <v>0</v>
      </c>
      <c r="FG157" s="6">
        <f>COUNTIFS(Table10[Country],Tabela1[[#This Row],[Country]],Table10[Sabre Classification],"&gt;0")</f>
        <v>0</v>
      </c>
      <c r="FH157" s="6">
        <f>COUNTIFS(Table11[Country],Tabela1[[#This Row],[Country]],Table11[Sabre Classification],"&gt;0")</f>
        <v>0</v>
      </c>
      <c r="FI157" s="6">
        <f>COUNTIFS(Table46[Country],Tabela1[[#This Row],[Country]],Table46[Men''s Sabre Classification],"&gt;0")</f>
        <v>0</v>
      </c>
      <c r="FJ157" s="6">
        <f>COUNTIFS(Table46[Country],Tabela1[[#This Row],[Country]],Table46[Women''s Sabre Classification],"&gt;0")</f>
        <v>0</v>
      </c>
      <c r="FK157" s="6">
        <f>COUNTIFS(Table91[Country],Tabela1[[#This Row],[Country]],Table91[Men''s Classification],"&gt;0")</f>
        <v>0</v>
      </c>
      <c r="FL157" s="6">
        <f>COUNTIFS(Table91[Country],Tabela1[[#This Row],[Country]],Table91[Women''s Classification],"&gt;0")</f>
        <v>0</v>
      </c>
      <c r="FM157" s="6">
        <f>COUNTIFS(Table9194[Country],Tabela1[[#This Row],[Country]],Table9194[Men''s Classification],"&gt;0")</f>
        <v>0</v>
      </c>
      <c r="FN157" s="6">
        <f>COUNTIFS(Table9194[Country],Tabela1[[#This Row],[Country]],Table9194[Women''s Classification],"&gt;0")</f>
        <v>0</v>
      </c>
      <c r="FO157" s="6">
        <f>COUNTIFS(Table71[Country],Tabela1[[#This Row],[Country]],Table71[Classification],"&gt;0")</f>
        <v>0</v>
      </c>
      <c r="FP157" s="6">
        <f>COUNTIFS(Table62[Country],Tabela1[[#This Row],[Country]],Table62[Classification],"&gt;0")</f>
        <v>0</v>
      </c>
      <c r="FQ157" s="6">
        <f>COUNTIFS(Table47[Country],Tabela1[[#This Row],[Country]],Table47[All-Around Classification],"&gt;0")</f>
        <v>0</v>
      </c>
      <c r="FR157" s="6">
        <f>COUNTIFS(Table48[Country],Tabela1[[#This Row],[Country]],Table48[All-Around Classification],"&gt;0")</f>
        <v>0</v>
      </c>
      <c r="FS157" s="6">
        <f>COUNTIFS(Table81[Country],Tabela1[[#This Row],[Country]],Table81[Men''s All-Around Classification],"&gt;0")</f>
        <v>0</v>
      </c>
      <c r="FT157" s="6">
        <f>COUNTIFS(Table81[Country],Tabela1[[#This Row],[Country]],Table81[Women''s All-Around Classification],"&gt;0")</f>
        <v>0</v>
      </c>
      <c r="FU157" s="6">
        <f>COUNTIFS(Table48[Country],Tabela1[[#This Row],[Country]],Table48[Balance Beam Classification],"&gt;0")</f>
        <v>0</v>
      </c>
      <c r="FV157" s="6">
        <f>COUNTIFS(Table47[Country],Tabela1[[#This Row],[Country]],Table47[Floor Exercise Classification],"&gt;0")</f>
        <v>0</v>
      </c>
      <c r="FW157" s="6">
        <f>COUNTIFS(Table48[Country],Tabela1[[#This Row],[Country]],Table48[Floor Exercise Classification],"&gt;0")</f>
        <v>0</v>
      </c>
      <c r="FX157" s="6">
        <f>COUNTIFS(Table47[Country],Tabela1[[#This Row],[Country]],Table47[Horizontal Bar Classification],"&gt;0")</f>
        <v>0</v>
      </c>
      <c r="FY157" s="6">
        <f>COUNTIFS(Table47[Country],Tabela1[[#This Row],[Country]],Table47[Parallel Bars Classification],"&gt;0")</f>
        <v>0</v>
      </c>
      <c r="FZ157" s="6">
        <f>COUNTIFS(Table47[Country],Tabela1[[#This Row],[Country]],Table47[Pommel Horse Classification],"&gt;0")</f>
        <v>0</v>
      </c>
      <c r="GA157" s="6">
        <f>COUNTIFS(Table47[Country],Tabela1[[#This Row],[Country]],Table47[Rings Classification],"&gt;0")</f>
        <v>0</v>
      </c>
      <c r="GB157" s="6">
        <f>COUNTIFS(Tabela132[Country],Tabela1[[#This Row],[Country]],Tabela132[Classification],"&gt;0")</f>
        <v>0</v>
      </c>
      <c r="GC157" s="6">
        <f>COUNTIFS(Tabela139[Country],Tabela1[[#This Row],[Country]],Tabela139[Classification],"&gt;0")</f>
        <v>0</v>
      </c>
      <c r="GD157" s="6">
        <f>COUNTIFS(Table48[Country],Tabela1[[#This Row],[Country]],Table48[Uneven Bars Classification],"&gt;0")</f>
        <v>0</v>
      </c>
      <c r="GE157" s="6">
        <f>COUNTIFS(Table47[Country],Tabela1[[#This Row],[Country]],Table47[Vault Classification],"&gt;0")</f>
        <v>0</v>
      </c>
      <c r="GF157" s="6">
        <f>COUNTIFS(Table48[Country],Tabela1[[#This Row],[Country]],Table48[Vault Classification],"&gt;0")</f>
        <v>0</v>
      </c>
      <c r="GG157" s="6">
        <f>COUNTIFS(Table919496[Country],Tabela1[[#This Row],[Country]],Table919496[Men''s Classification],"&gt;0")</f>
        <v>0</v>
      </c>
      <c r="GH157" s="6">
        <f>COUNTIFS(Table919496[Country],Tabela1[[#This Row],[Country]],Table919496[Women''s Classification],"&gt;0")</f>
        <v>0</v>
      </c>
      <c r="GI157" s="6">
        <f>COUNTIFS(Table12[Country],Tabela1[[#This Row],[Country]],Table12[60kg Classification],"&gt;0")</f>
        <v>0</v>
      </c>
      <c r="GJ157" s="6">
        <f>COUNTIFS(Table12[Country],Tabela1[[#This Row],[Country]],Table12[66kg Classification],"&gt;0")</f>
        <v>0</v>
      </c>
      <c r="GK157" s="6">
        <f>COUNTIFS(Table12[Country],Tabela1[[#This Row],[Country]],Table12[73kg Classification],"&gt;0")</f>
        <v>0</v>
      </c>
      <c r="GL157" s="6">
        <f>COUNTIFS(Table12[Country],Tabela1[[#This Row],[Country]],Table12[81kg Classification],"&gt;0")</f>
        <v>0</v>
      </c>
      <c r="GM157" s="6">
        <f>COUNTIFS(Table12[Country],Tabela1[[#This Row],[Country]],Table12[90kg Classification],"&gt;0")</f>
        <v>0</v>
      </c>
      <c r="GN157" s="6">
        <f>COUNTIFS(Table12[Country],Tabela1[[#This Row],[Country]],Table12[100kg Classification],"&gt;0")</f>
        <v>0</v>
      </c>
      <c r="GO157" s="6">
        <f>COUNTIFS(Table12[Country],Tabela1[[#This Row],[Country]],Table12[Plus 100kg Classification],"&gt;0")</f>
        <v>0</v>
      </c>
      <c r="GP157" s="6">
        <f>COUNTIFS(Table13[Country],Tabela1[[#This Row],[Country]],Table13[48kg Classification],"&gt;0")</f>
        <v>0</v>
      </c>
      <c r="GQ157" s="6">
        <f>COUNTIFS(Table13[Country],Tabela1[[#This Row],[Country]],Table13[52kg Classification],"&gt;0")</f>
        <v>0</v>
      </c>
      <c r="GR157" s="6">
        <f>COUNTIFS(Table13[Country],Tabela1[[#This Row],[Country]],Table13[57kg Classification],"&gt;0")</f>
        <v>0</v>
      </c>
      <c r="GS157" s="6">
        <f>COUNTIFS(Table13[Country],Tabela1[[#This Row],[Country]],Table13[63kg Classification],"&gt;0")</f>
        <v>0</v>
      </c>
      <c r="GT157" s="6">
        <f>COUNTIFS(Table13[Country],Tabela1[[#This Row],[Country]],Table13[70kg Classification],"&gt;0")</f>
        <v>0</v>
      </c>
      <c r="GU157" s="6">
        <f>COUNTIFS(Table13[Country],Tabela1[[#This Row],[Country]],Table13[78kg Classification],"&gt;0")</f>
        <v>0</v>
      </c>
      <c r="GV157" s="6">
        <f>COUNTIFS(Table13[Country],Tabela1[[#This Row],[Country]],Table13[Plus 78kg Classification],"&gt;0")</f>
        <v>0</v>
      </c>
      <c r="GW157" s="6">
        <f>COUNTIFS(Table82[Country],Tabela1[[#This Row],[Country]],Table82[Mixed Classification],"&gt;0")</f>
        <v>0</v>
      </c>
      <c r="GX157" s="6">
        <f>COUNTIFS(Table51[Country],Tabela1[[#This Row],[Country]],Table51[Classification],"&gt;0")</f>
        <v>0</v>
      </c>
      <c r="GY157" s="6">
        <f>COUNTIFS(Table52[Country],Tabela1[[#This Row],[Country]],Table52[Classification],"&gt;0")</f>
        <v>0</v>
      </c>
      <c r="GZ157" s="6">
        <f>COUNTIFS(Table32[Country],Tabela1[[#This Row],[Country]],Table32[All-Around Classification],"&gt;0")</f>
        <v>0</v>
      </c>
      <c r="HA157" s="6">
        <f>COUNTIFS(Table49[Country],Tabela1[[#This Row],[Country]],Table49[All-Around Classification],"&gt;0")</f>
        <v>0</v>
      </c>
      <c r="HB157" s="6">
        <f>COUNTIFS(Table26[Country],Tabela1[[#This Row],[Country]],Table26[Single Sculls Classification],"&gt;0")</f>
        <v>0</v>
      </c>
      <c r="HC157" s="6">
        <f>COUNTIFS(Table63[Country],Tabela1[[#This Row],[Country]],Table63[Single Sculls Classification],"&gt;0")</f>
        <v>0</v>
      </c>
      <c r="HD157" s="6">
        <f>COUNTIFS(Table16[Country],Tabela1[[#This Row],[Country]],Table16[Men''s Double Sculls Classification],"&gt;0")</f>
        <v>0</v>
      </c>
      <c r="HE157" s="6">
        <f>COUNTIFS(Table16[Country],Tabela1[[#This Row],[Country]],Table16[Women''s Double Sculls Classification],"&gt;0")</f>
        <v>0</v>
      </c>
      <c r="HF157" s="6">
        <f>COUNTIFS(Table72[Country],Tabela1[[#This Row],[Country]],Table72[Men''s Quadruple Sculls Classification],"&gt;0")</f>
        <v>0</v>
      </c>
      <c r="HG157" s="6">
        <f>COUNTIFS(Table72[Country],Tabela1[[#This Row],[Country]],Table72[Women''s Quadruple Sculls Classification],"&gt;0")</f>
        <v>0</v>
      </c>
      <c r="HH157" s="6">
        <f>COUNTIFS(Table16[Country],Tabela1[[#This Row],[Country]],Table16[Men''s Coxless Pairs Classification],"&gt;0")</f>
        <v>0</v>
      </c>
      <c r="HI157" s="6">
        <f>COUNTIFS(Table16[Country],Tabela1[[#This Row],[Country]],Table16[Women''s Coxless Pairs Classification],"&gt;0")</f>
        <v>0</v>
      </c>
      <c r="HJ157" s="6">
        <f>COUNTIFS(Table72[Country],Tabela1[[#This Row],[Country]],Table72[Men''s Coxless Fours Classification],"&gt;0")</f>
        <v>0</v>
      </c>
      <c r="HK157" s="6">
        <f>COUNTIFS(Table72[Country],Tabela1[[#This Row],[Country]],Table72[Women''s Coxless Fours Classification],"&gt;0")</f>
        <v>0</v>
      </c>
      <c r="HL157" s="6">
        <f>COUNTIFS(Table72[Country],Tabela1[[#This Row],[Country]],Table72[Men''s Eights Classification],"&gt;0")</f>
        <v>0</v>
      </c>
      <c r="HM157" s="6">
        <f>COUNTIFS(Table72[Country],Tabela1[[#This Row],[Country]],Table72[Women''s Eights Classification],"&gt;0")</f>
        <v>0</v>
      </c>
      <c r="HN157" s="6">
        <f>COUNTIFS(Table16[Country],Tabela1[[#This Row],[Country]],Table16[Men''s Lwt. Double Sculls Classification],"&gt;0")</f>
        <v>0</v>
      </c>
      <c r="HO157" s="6">
        <f>COUNTIFS(Table16[Country],Tabela1[[#This Row],[Country]],Table16[Women''s Lwt. Double Sculls Classification],"&gt;0")</f>
        <v>0</v>
      </c>
      <c r="HP157" s="6">
        <f>COUNTIFS(Table91949698[Country],Tabela1[[#This Row],[Country]],Table91949698[Men''s Classification],"&gt;0")</f>
        <v>0</v>
      </c>
      <c r="HQ157" s="6">
        <f>COUNTIFS(Table91949698[Country],Tabela1[[#This Row],[Country]],Table91949698[Women''s Classification],"&gt;0")</f>
        <v>0</v>
      </c>
      <c r="HR157" s="6">
        <f>COUNTIFS(Table25[Country],Tabela1[[#This Row],[Country]],Table25[Mixed 470 Classification],"&gt;0")</f>
        <v>0</v>
      </c>
      <c r="HS157" s="6">
        <f>COUNTIFS(Table25[Country],Tabela1[[#This Row],[Country]],Table25[Men''s 49er Classification],"&gt;0")</f>
        <v>0</v>
      </c>
      <c r="HT157" s="6">
        <f>COUNTIFS(Table25[Country],Tabela1[[#This Row],[Country]],Table25[Women''s 49er FX Classification],"&gt;0")</f>
        <v>0</v>
      </c>
      <c r="HU157" s="6">
        <f>COUNTIFS(Table17[Country],Tabela1[[#This Row],[Country]],Table17[Formula Kite Classification],"&gt;0")</f>
        <v>0</v>
      </c>
      <c r="HV157" s="6">
        <f>COUNTIFS(Table18[Country],Tabela1[[#This Row],[Country]],Table18[Formula Kite Classification],"&gt;0")</f>
        <v>0</v>
      </c>
      <c r="HW157" s="6">
        <f>COUNTIFS(Table17[Country],Tabela1[[#This Row],[Country]],Table17[ILCA 7 Classification],"&gt;0")</f>
        <v>0</v>
      </c>
      <c r="HX157" s="6">
        <f>COUNTIFS(Table18[Country],Tabela1[[#This Row],[Country]],Table18[ILCA 6 Classification],"&gt;0")</f>
        <v>0</v>
      </c>
      <c r="HY157" s="6">
        <f>COUNTIFS(Table17[Country],Tabela1[[#This Row],[Country]],Table17[IQFoil Classification],"&gt;0")</f>
        <v>0</v>
      </c>
      <c r="HZ157" s="6">
        <f>COUNTIFS(Table18[Country],Tabela1[[#This Row],[Country]],Table18[IQFoil Classification],"&gt;0")</f>
        <v>0</v>
      </c>
      <c r="IA157" s="6">
        <f>COUNTIFS(Table25[Country],Tabela1[[#This Row],[Country]],Table25[Mixed Nacra 17 Classification],"&gt;0")</f>
        <v>0</v>
      </c>
      <c r="IB157" s="6">
        <f>COUNTIFS(Table53[Country],Tabela1[[#This Row],[Country]],Table53[10m Air Pistol Classification],"&gt;0")</f>
        <v>0</v>
      </c>
      <c r="IC157" s="6">
        <f>COUNTIFS(Table19[Country],Tabela1[[#This Row],[Country]],Table19[10m Air Pistol Classification],"&gt;0")</f>
        <v>0</v>
      </c>
      <c r="ID157" s="6">
        <f>COUNTIFS(Table54[Country],Tabela1[[#This Row],[Country]],Table54[Mixed 10m Air Pistol Team Classification],"&gt;0")</f>
        <v>0</v>
      </c>
      <c r="IE157" s="6">
        <f>COUNTIFS(Table53[Country],Tabela1[[#This Row],[Country]],Table53[10m Air Rifle Classification],"&gt;0")</f>
        <v>0</v>
      </c>
      <c r="IF157" s="6">
        <f>COUNTIFS(Table19[Country],Tabela1[[#This Row],[Country]],Table19[10m Air Rifle Classification],"&gt;0")</f>
        <v>0</v>
      </c>
      <c r="IG157" s="6">
        <f>COUNTIFS(Table54[Country],Tabela1[[#This Row],[Country]],Table54[Mixed 10m Air Rifle Team Classification],"&gt;0")</f>
        <v>0</v>
      </c>
      <c r="IH157" s="6">
        <f>COUNTIFS(Table53[Country],Tabela1[[#This Row],[Country]],Table53[25m Rapid Fire Pistol Classification],"&gt;0")</f>
        <v>0</v>
      </c>
      <c r="II157" s="6">
        <f>COUNTIFS(Table19[Country],Tabela1[[#This Row],[Country]],Table19[25m Pistol Classification],"&gt;0")</f>
        <v>0</v>
      </c>
      <c r="IJ157" s="6">
        <f>COUNTIFS(Table53[Country],Tabela1[[#This Row],[Country]],Table53[50m Rifle 3 Positions Classification],"&gt;0")</f>
        <v>0</v>
      </c>
      <c r="IK157" s="6">
        <f>COUNTIFS(Table19[Country],Tabela1[[#This Row],[Country]],Table19[50m Rifle 3 Positions Classification],"&gt;0")</f>
        <v>0</v>
      </c>
      <c r="IL157" s="6">
        <f>COUNTIFS(Table53[Country],Tabela1[[#This Row],[Country]],Table53[Skeet Classification],"&gt;0")</f>
        <v>0</v>
      </c>
      <c r="IM157" s="6">
        <f>COUNTIFS(Table19[Country],Tabela1[[#This Row],[Country]],Table19[Skeet Classification],"&gt;0")</f>
        <v>0</v>
      </c>
      <c r="IN157" s="6">
        <f>COUNTIFS(Table54[Country],Tabela1[[#This Row],[Country]],Table54[Mixed Skeet Team Classification],"&gt;0")</f>
        <v>0</v>
      </c>
      <c r="IO157" s="6">
        <f>COUNTIFS(Table53[Country],Tabela1[[#This Row],[Country]],Table53[Trap Classification],"&gt;0")</f>
        <v>0</v>
      </c>
      <c r="IP157" s="6">
        <f>COUNTIFS(Table19[Country],Tabela1[[#This Row],[Country]],Table19[Trap Classification],"&gt;0")</f>
        <v>0</v>
      </c>
      <c r="IQ157" s="6">
        <f>COUNTIFS(Table73[Country],Tabela1[[#This Row],[Country]],Table73[Park Classification],"&gt;0")</f>
        <v>0</v>
      </c>
      <c r="IR157" s="6">
        <f>COUNTIFS(Table74[Country],Tabela1[[#This Row],[Country]],Table74[Park Classification],"&gt;0")</f>
        <v>0</v>
      </c>
      <c r="IS157" s="6">
        <f>COUNTIFS(Table73[Country],Tabela1[[#This Row],[Country]],Table73[Street Classification],"&gt;0")</f>
        <v>0</v>
      </c>
      <c r="IT157" s="6">
        <f>COUNTIFS(Table74[Country],Tabela1[[#This Row],[Country]],Table74[Street Classification],"&gt;0")</f>
        <v>0</v>
      </c>
      <c r="IU157" s="6">
        <f>COUNTIFS(Table75[Country],Tabela1[[#This Row],[Country]],Table75[Boulder and Lead Classification],"&gt;0")</f>
        <v>0</v>
      </c>
      <c r="IV157" s="6">
        <f>COUNTIFS(Table76[Country],Tabela1[[#This Row],[Country]],Table76[Boulder and Lead Classification],"&gt;0")</f>
        <v>0</v>
      </c>
      <c r="IW157" s="6">
        <f>COUNTIFS(Table75[Country],Tabela1[[#This Row],[Country]],Table75[Speed Classification],"&gt;0")</f>
        <v>0</v>
      </c>
      <c r="IX157" s="6">
        <f>COUNTIFS(Table76[Country],Tabela1[[#This Row],[Country]],Table76[Speed Classification],"&gt;0")</f>
        <v>0</v>
      </c>
      <c r="IY157" s="6">
        <f>COUNTIFS(Table64[Country],Tabela1[[#This Row],[Country]],Table64[Shortboard Classification],"&gt;0")</f>
        <v>0</v>
      </c>
      <c r="IZ157" s="6">
        <f>COUNTIFS(Table77[Country],Tabela1[[#This Row],[Country]],Table77[Shortboard Classification],"&gt;0")</f>
        <v>0</v>
      </c>
      <c r="JA157" s="6">
        <f>COUNTIFS(Table20[Country],Tabela1[[#This Row],[Country]],Table20[50m Freestyle Classification],"&gt;0")</f>
        <v>0</v>
      </c>
      <c r="JB157" s="6">
        <f>COUNTIFS(Table21[Country],Tabela1[[#This Row],[Country]],Table21[50m Freestyle Classification],"&gt;0")</f>
        <v>0</v>
      </c>
      <c r="JC157" s="6">
        <f>COUNTIFS(Table20[Country],Tabela1[[#This Row],[Country]],Table20[100m Freestyle Classification],"&gt;0")</f>
        <v>0</v>
      </c>
      <c r="JD157" s="6">
        <f>COUNTIFS(Table21[Country],Tabela1[[#This Row],[Country]],Table21[100m Freestyle Classification],"&gt;0")</f>
        <v>0</v>
      </c>
      <c r="JE157" s="6">
        <f>COUNTIFS(Table20[Country],Tabela1[[#This Row],[Country]],Table20[200m Freestyle Classification],"&gt;0")</f>
        <v>0</v>
      </c>
      <c r="JF157" s="6">
        <f>COUNTIFS(Table21[Country],Tabela1[[#This Row],[Country]],Table21[200m Freestyle Classification],"&gt;0")</f>
        <v>0</v>
      </c>
      <c r="JG157" s="6">
        <f>COUNTIFS(Table20[Country],Tabela1[[#This Row],[Country]],Table20[400m Freestyle Classification],"&gt;0")</f>
        <v>0</v>
      </c>
      <c r="JH157" s="6">
        <f>COUNTIFS(Table21[Country],Tabela1[[#This Row],[Country]],Table21[400m Freestyle Classification],"&gt;0")</f>
        <v>0</v>
      </c>
      <c r="JI157" s="6">
        <f>COUNTIFS(Table20[Country],Tabela1[[#This Row],[Country]],Table20[800m Freestyle Classification],"&gt;0")</f>
        <v>0</v>
      </c>
      <c r="JJ157" s="6">
        <f>COUNTIFS(Table21[Country],Tabela1[[#This Row],[Country]],Table21[800m Freestyle Classification],"&gt;0")</f>
        <v>0</v>
      </c>
      <c r="JK157" s="6">
        <f>COUNTIFS(Table20[Country],Tabela1[[#This Row],[Country]],Table20[1500m Freestyle Classification],"&gt;0")</f>
        <v>0</v>
      </c>
      <c r="JL157" s="6">
        <f>COUNTIFS(Table21[Country],Tabela1[[#This Row],[Country]],Table21[1500m Freestyle Classification],"&gt;0")</f>
        <v>0</v>
      </c>
      <c r="JM157" s="6">
        <f>COUNTIFS(Table20[Country],Tabela1[[#This Row],[Country]],Table20[100m Backstroke Classification],"&gt;0")</f>
        <v>0</v>
      </c>
      <c r="JN157" s="6">
        <f>COUNTIFS(Table21[Country],Tabela1[[#This Row],[Country]],Table21[100m Backstroke Classification],"&gt;0")</f>
        <v>0</v>
      </c>
      <c r="JO157" s="6">
        <f>COUNTIFS(Table20[Country],Tabela1[[#This Row],[Country]],Table20[200m Backstroke Classification],"&gt;0")</f>
        <v>0</v>
      </c>
      <c r="JP157" s="6">
        <f>COUNTIFS(Table21[Country],Tabela1[[#This Row],[Country]],Table21[200m Backstroke Classification],"&gt;0")</f>
        <v>0</v>
      </c>
      <c r="JQ157" s="6">
        <f>COUNTIFS(Table20[Country],Tabela1[[#This Row],[Country]],Table20[100m Breaststroke Classification],"&gt;0")</f>
        <v>0</v>
      </c>
      <c r="JR157" s="6">
        <f>COUNTIFS(Table21[Country],Tabela1[[#This Row],[Country]],Table21[100m Breaststroke Classification],"&gt;0")</f>
        <v>0</v>
      </c>
      <c r="JS157" s="6">
        <f>COUNTIFS(Table20[Country],Tabela1[[#This Row],[Country]],Table20[200m Breaststroke Classification],"&gt;0")</f>
        <v>0</v>
      </c>
      <c r="JT157" s="6">
        <f>COUNTIFS(Table21[Country],Tabela1[[#This Row],[Country]],Table21[200m Breaststroke Classification],"&gt;0")</f>
        <v>0</v>
      </c>
      <c r="JU157" s="6">
        <f>COUNTIFS(Table20[Country],Tabela1[[#This Row],[Country]],Table20[100m Butterfly Classification],"&gt;0")</f>
        <v>0</v>
      </c>
      <c r="JV157" s="6">
        <f>COUNTIFS(Table21[Country],Tabela1[[#This Row],[Country]],Table21[100m Butterfly Classification],"&gt;0")</f>
        <v>0</v>
      </c>
      <c r="JW157" s="6">
        <f>COUNTIFS(Table20[Country],Tabela1[[#This Row],[Country]],Table20[200m Butterfly Classification],"&gt;0")</f>
        <v>0</v>
      </c>
      <c r="JX157" s="6">
        <f>COUNTIFS(Table21[Country],Tabela1[[#This Row],[Country]],Table21[200m Butterfly Classification],"&gt;0")</f>
        <v>0</v>
      </c>
      <c r="JY157" s="6">
        <f>COUNTIFS(Table20[Country],Tabela1[[#This Row],[Country]],Table20[200m Medley Classification],"&gt;0")</f>
        <v>0</v>
      </c>
      <c r="JZ157" s="6">
        <f>COUNTIFS(Table21[Country],Tabela1[[#This Row],[Country]],Table21[200m Medley Classification],"&gt;0")</f>
        <v>0</v>
      </c>
      <c r="KA157" s="6">
        <f>COUNTIFS(Table20[Country],Tabela1[[#This Row],[Country]],Table20[400m Medley Classification],"&gt;0")</f>
        <v>0</v>
      </c>
      <c r="KB157" s="6">
        <f>COUNTIFS(Table21[Country],Tabela1[[#This Row],[Country]],Table21[400m Medley Classification],"&gt;0")</f>
        <v>0</v>
      </c>
      <c r="KC157" s="6">
        <f>COUNTIFS(Table78[Country],Tabela1[[#This Row],[Country]],Table78[Men''s 4x100m Freestyle Relay Classification],"&gt;0")</f>
        <v>0</v>
      </c>
      <c r="KD157" s="6">
        <f>COUNTIFS(Table78[Country],Tabela1[[#This Row],[Country]],Table78[Women''s 4x100m Freestyle Relay Classification],"&gt;0")</f>
        <v>0</v>
      </c>
      <c r="KE157" s="6">
        <f>COUNTIFS(Table78[Country],Tabela1[[#This Row],[Country]],Table78[Men''s 4x200m Freestyle Relay Classification],"&gt;0")</f>
        <v>0</v>
      </c>
      <c r="KF157" s="6">
        <f>COUNTIFS(Table78[Country],Tabela1[[#This Row],[Country]],Table78[Women''s 4x200m Freestyle Relay Classification],"&gt;0")</f>
        <v>0</v>
      </c>
      <c r="KG157" s="6">
        <f>COUNTIFS(Table78[Country],Tabela1[[#This Row],[Country]],Table78[Men''s 4x100m Medley Relay Classification],"&gt;0")</f>
        <v>0</v>
      </c>
      <c r="KH157" s="6">
        <f>COUNTIFS(Table78[Country],Tabela1[[#This Row],[Country]],Table78[Women''s 4x100m Medley Relay Classification],"&gt;0")</f>
        <v>0</v>
      </c>
      <c r="KI157" s="6">
        <f>COUNTIFS(Table78[Country],Tabela1[[#This Row],[Country]],Table78[Mixed 4x100m Medley Relay Classification],"&gt;0")</f>
        <v>0</v>
      </c>
      <c r="KJ157" s="6">
        <f>COUNTIFS(Table20[Country],Tabela1[[#This Row],[Country]],Table20[10km Open Water Classification],"&gt;0")</f>
        <v>0</v>
      </c>
      <c r="KK157" s="6">
        <f>COUNTIFS(Table21[Country],Tabela1[[#This Row],[Country]],Table21[10km Open Water Classification],"&gt;0")</f>
        <v>0</v>
      </c>
      <c r="KL157" s="6">
        <f>COUNTIFS(Table22[Country],Tabela1[[#This Row],[Country]],Table22[Classification],"&gt;0")</f>
        <v>0</v>
      </c>
      <c r="KM157" s="6">
        <f>COUNTIFS(Table30[Country],Tabela1[[#This Row],[Country]],Table30[Classification],"&gt;0")</f>
        <v>0</v>
      </c>
      <c r="KN157" s="6">
        <f>COUNTIFS(Table55[Country],Tabela1[[#This Row],[Country]],Table55[Men''s Classification],"&gt;0")</f>
        <v>0</v>
      </c>
      <c r="KO157" s="6">
        <f>COUNTIFS(Table55[Country],Tabela1[[#This Row],[Country]],Table55[Women''s Classification],"&gt;0")</f>
        <v>0</v>
      </c>
      <c r="KP157" s="6">
        <f>COUNTIFS(Table56[Country],Tabela1[[#This Row],[Country]],Table56[Mixed Classification],"&gt;0")</f>
        <v>0</v>
      </c>
      <c r="KQ157" s="6">
        <f>COUNTIFS(Table29[Country],Tabela1[[#This Row],[Country]],Table29[58kg Classification],"&gt;0")</f>
        <v>0</v>
      </c>
      <c r="KR157" s="6">
        <f>COUNTIFS(Table29[Country],Tabela1[[#This Row],[Country]],Table29[68kg Classification],"&gt;0")</f>
        <v>0</v>
      </c>
      <c r="KS157" s="6">
        <f>COUNTIFS(Table29[Country],Tabela1[[#This Row],[Country]],Table29[80kg Classification],"&gt;0")</f>
        <v>0</v>
      </c>
      <c r="KT157" s="6">
        <f>COUNTIFS(Table29[Country],Tabela1[[#This Row],[Country]],Table29[Plus 80kg Classification],"&gt;0")</f>
        <v>0</v>
      </c>
      <c r="KU157" s="6">
        <f>COUNTIFS(Table34[Country],Tabela1[[#This Row],[Country]],Table34[49kg Classification],"&gt;0")</f>
        <v>0</v>
      </c>
      <c r="KV157" s="6">
        <f>COUNTIFS(Table34[Country],Tabela1[[#This Row],[Country]],Table34[57kg Classification],"&gt;0")</f>
        <v>0</v>
      </c>
      <c r="KW157" s="6">
        <f>COUNTIFS(Table34[Country],Tabela1[[#This Row],[Country]],Table34[67kg Classification],"&gt;0")</f>
        <v>0</v>
      </c>
      <c r="KX157" s="6">
        <f>COUNTIFS(Table34[Country],Tabela1[[#This Row],[Country]],Table34[Plus 67kg Classification],"&gt;0")</f>
        <v>0</v>
      </c>
      <c r="KY157" s="6">
        <f>COUNTIFS(Table57[Country],Tabela1[[#This Row],[Country]],Table57[Classification],"&gt;0")</f>
        <v>0</v>
      </c>
      <c r="KZ157" s="6">
        <f>COUNTIFS(Table58[Country],Tabela1[[#This Row],[Country]],Table58[Classification],"&gt;0")</f>
        <v>0</v>
      </c>
      <c r="LA157" s="6">
        <f>COUNTIFS(Table79[Country],Tabela1[[#This Row],[Country]],Table79[Men''s Classification],"&gt;0")</f>
        <v>0</v>
      </c>
      <c r="LB157" s="6">
        <f>COUNTIFS(Table79[Country],Tabela1[[#This Row],[Country]],Table79[Women''s Classification],"&gt;0")</f>
        <v>0</v>
      </c>
      <c r="LC157" s="6">
        <f>COUNTIFS(Table79[Country],Tabela1[[#This Row],[Country]],Table79[Mixed Classification],"&gt;0")</f>
        <v>0</v>
      </c>
      <c r="LD157" s="6">
        <f>COUNTIFS(Table65[Country],Tabela1[[#This Row],[Country]],Table65[Classification],"&gt;0")</f>
        <v>0</v>
      </c>
      <c r="LE157" s="6">
        <f>COUNTIFS(Table59[Country],Tabela1[[#This Row],[Country]],Table59[Classification],"&gt;0")</f>
        <v>0</v>
      </c>
      <c r="LF157" s="6">
        <f>COUNTIFS(Table87[Country],Tabela1[[#This Row],[Country]],Table87[Mixed Relay Classification],"&gt;0")</f>
        <v>0</v>
      </c>
      <c r="LG157" s="6">
        <f>COUNTIFS(Table91949698100[Country],Tabela1[[#This Row],[Country]],Table91949698100[Men''s Classification],"&gt;0")</f>
        <v>0</v>
      </c>
      <c r="LH157" s="6">
        <f>COUNTIFS(Table91949698100[Country],Tabela1[[#This Row],[Country]],Table91949698100[Women''s Classification],"&gt;0")</f>
        <v>0</v>
      </c>
      <c r="LI157" s="6">
        <f>COUNTIFS(Table91949698100102[Country],Tabela1[[#This Row],[Country]],Table91949698100102[Men''s Classification],"&gt;0")</f>
        <v>0</v>
      </c>
      <c r="LJ157" s="6">
        <f>COUNTIFS(Table91949698100102[Country],Tabela1[[#This Row],[Country]],Table91949698100102[Women''s Classification],"&gt;0")</f>
        <v>0</v>
      </c>
      <c r="LK157" s="6">
        <f>COUNTIFS(Table23[Country],Tabela1[[#This Row],[Country]],Table23[61kg Classification],"&gt;0")</f>
        <v>0</v>
      </c>
      <c r="LL157" s="6">
        <f>COUNTIFS(Table23[Country],Tabela1[[#This Row],[Country]],Table23[73kg Classification],"&gt;0")</f>
        <v>0</v>
      </c>
      <c r="LM157" s="6">
        <f>COUNTIFS(Table23[Country],Tabela1[[#This Row],[Country]],Table23[89kg Classification],"&gt;0")</f>
        <v>0</v>
      </c>
      <c r="LN157" s="6">
        <f>COUNTIFS(Table23[Country],Tabela1[[#This Row],[Country]],Table23[102kg Classification],"&gt;0")</f>
        <v>0</v>
      </c>
      <c r="LO157" s="6">
        <f>COUNTIFS(Table23[Country],Tabela1[[#This Row],[Country]],Table23[Plus 102kg Classification],"&gt;0")</f>
        <v>0</v>
      </c>
      <c r="LP157" s="6">
        <f>COUNTIFS(Table28[Country],Tabela1[[#This Row],[Country]],Table28[49kg Classification],"&gt;0")</f>
        <v>0</v>
      </c>
      <c r="LQ157" s="6">
        <f>COUNTIFS(Table28[Country],Tabela1[[#This Row],[Country]],Table28[59kg Classification],"&gt;0")</f>
        <v>0</v>
      </c>
      <c r="LR157" s="6">
        <f>COUNTIFS(Table28[Country],Tabela1[[#This Row],[Country]],Table28[71kg Classification],"&gt;0")</f>
        <v>0</v>
      </c>
      <c r="LS157" s="6">
        <f>COUNTIFS(Table28[Country],Tabela1[[#This Row],[Country]],Table28[81kg Classification],"&gt;0")</f>
        <v>0</v>
      </c>
      <c r="LT157" s="6">
        <f>COUNTIFS(Table28[Country],Tabela1[[#This Row],[Country]],Table28[Plus 81kg Classification],"&gt;0")</f>
        <v>0</v>
      </c>
      <c r="LU157" s="6">
        <f>COUNTIFS(Table24[Country],Tabela1[[#This Row],[Country]],Table24[Freestyle 57kg Classification],"&gt;0")</f>
        <v>0</v>
      </c>
      <c r="LV157" s="6">
        <f>COUNTIFS(Table24[Country],Tabela1[[#This Row],[Country]],Table24[Freestyle 65kg Classification],"&gt;0")</f>
        <v>0</v>
      </c>
      <c r="LW157" s="6">
        <f>COUNTIFS(Table24[Country],Tabela1[[#This Row],[Country]],Table24[Freestyle 74kg Classification],"&gt;0")</f>
        <v>0</v>
      </c>
      <c r="LX157" s="6">
        <f>COUNTIFS(Table24[Country],Tabela1[[#This Row],[Country]],Table24[Freestyle 86kg Classification],"&gt;0")</f>
        <v>0</v>
      </c>
      <c r="LY157" s="6">
        <f>COUNTIFS(Table24[Country],Tabela1[[#This Row],[Country]],Table24[Freestyle 97kg Classification],"&gt;0")</f>
        <v>0</v>
      </c>
      <c r="LZ157" s="6">
        <f>COUNTIFS(Table24[Country],Tabela1[[#This Row],[Country]],Table24[Freestyle 125kg Classification],"&gt;0")</f>
        <v>0</v>
      </c>
      <c r="MA157" s="6">
        <f>COUNTIFS(Table24[Country],Tabela1[[#This Row],[Country]],Table24[Greco-Roman 60kg Classification],"&gt;0")</f>
        <v>0</v>
      </c>
      <c r="MB157" s="6">
        <f>COUNTIFS(Table24[Country],Tabela1[[#This Row],[Country]],Table24[Greco-Roman 67kg Classification],"&gt;0")</f>
        <v>0</v>
      </c>
      <c r="MC157" s="6">
        <f>COUNTIFS(Table24[Country],Tabela1[[#This Row],[Country]],Table24[Greco-Roman 77kg Classification],"&gt;0")</f>
        <v>0</v>
      </c>
      <c r="MD157" s="6">
        <f>COUNTIFS(Table24[Country],Tabela1[[#This Row],[Country]],Table24[Greco-Roman 87kg Classification],"&gt;0")</f>
        <v>0</v>
      </c>
      <c r="ME157" s="6">
        <f>COUNTIFS(Table24[Country],Tabela1[[#This Row],[Country]],Table24[Greco-Roman 97kg Classification],"&gt;0")</f>
        <v>0</v>
      </c>
      <c r="MF157" s="6">
        <f>COUNTIFS(Table24[Country],Tabela1[[#This Row],[Country]],Table24[Greco-Roman 130kg Classification],"&gt;0")</f>
        <v>0</v>
      </c>
      <c r="MG157" s="6">
        <f>COUNTIFS(Table31[Country],Tabela1[[#This Row],[Country]],Table31[50kg Classification],"&gt;0")</f>
        <v>0</v>
      </c>
      <c r="MH157" s="6">
        <f>COUNTIFS(Table31[Country],Tabela1[[#This Row],[Country]],Table31[53kg Classification],"&gt;0")</f>
        <v>0</v>
      </c>
      <c r="MI157" s="6">
        <f>COUNTIFS(Table31[Country],Tabela1[[#This Row],[Country]],Table31[57kg Classification],"&gt;0")</f>
        <v>0</v>
      </c>
      <c r="MJ157" s="6">
        <f>COUNTIFS(Table31[Country],Tabela1[[#This Row],[Country]],Table31[62kg Classification],"&gt;0")</f>
        <v>0</v>
      </c>
      <c r="MK157" s="6">
        <f>COUNTIFS(Table31[Country],Tabela1[[#This Row],[Country]],Table31[68kg Classification],"&gt;0")</f>
        <v>0</v>
      </c>
      <c r="ML157" s="6">
        <f>COUNTIFS(Table31[Country],Tabela1[[#This Row],[Country]],Table31[76kg Classification],"&gt;0")</f>
        <v>0</v>
      </c>
      <c r="MM157" s="6">
        <f>COUNTIFS(Table102[Country],Tabela1[[#This Row],[Country]],Table102[Downhill Classification],"&gt;0")</f>
        <v>0</v>
      </c>
      <c r="MN157" s="6">
        <f>COUNTIFS(Table102105[Country],Tabela1[[#This Row],[Country]],Table102105[Downhill Classification],"&gt;0")</f>
        <v>0</v>
      </c>
      <c r="MO157" s="6">
        <f>COUNTIFS(Table102[Country],Tabela1[[#This Row],[Country]],Table102[Giant Slalom Classification],"&gt;0")</f>
        <v>0</v>
      </c>
      <c r="MP157" s="6">
        <f>COUNTIFS(Table102105[Country],Tabela1[[#This Row],[Country]],Table102105[Giant Slalom Classification],"&gt;0")</f>
        <v>0</v>
      </c>
      <c r="MQ157" s="6">
        <f>COUNTIFS(Table102[Country],Tabela1[[#This Row],[Country]],Table102[Slalom Classification],"&gt;0")</f>
        <v>0</v>
      </c>
      <c r="MR157" s="6">
        <f>COUNTIFS(Table102105[Country],Tabela1[[#This Row],[Country]],Table102105[Slalom Classification],"&gt;0")</f>
        <v>0</v>
      </c>
      <c r="MS157" s="6">
        <f>COUNTIFS(Table102[Country],Tabela1[[#This Row],[Country]],Table102[Super-G Classification],"&gt;0")</f>
        <v>0</v>
      </c>
      <c r="MT157" s="6">
        <f>COUNTIFS(Table102105[Country],Tabela1[[#This Row],[Country]],Table102105[Super-G Classification],"&gt;0")</f>
        <v>0</v>
      </c>
      <c r="MU157" s="6">
        <f>COUNTIFS(Table105[Country],Tabela1[[#This Row],[Country]],Table105[Men''s Combined Classification],"&gt;0")</f>
        <v>0</v>
      </c>
      <c r="MV157" s="6">
        <f>COUNTIFS(Table105[Country],Tabela1[[#This Row],[Country]],Table105[Women''s Combined Classification],"&gt;0")</f>
        <v>0</v>
      </c>
      <c r="MW157" s="6">
        <f>COUNTIFS(Table106[Country],Tabela1[[#This Row],[Country]],Table106[Individual Classification],"&gt;0")</f>
        <v>0</v>
      </c>
      <c r="MX157" s="6">
        <f>COUNTIFS(Table106109[Country],Tabela1[[#This Row],[Country]],Table106109[Individual Classification],"&gt;0")</f>
        <v>0</v>
      </c>
      <c r="MY157" s="6">
        <f>COUNTIFS(Table106[Country],Tabela1[[#This Row],[Country]],Table106[Mass Start Classification],"&gt;0")</f>
        <v>0</v>
      </c>
      <c r="MZ157" s="6">
        <f>COUNTIFS(Table106109[Country],Tabela1[[#This Row],[Country]],Table106109[Mass Start Classification],"&gt;0")</f>
        <v>0</v>
      </c>
      <c r="NA157" s="6">
        <f>COUNTIFS(Table106[Country],Tabela1[[#This Row],[Country]],Table106[Pursuit Classification],"&gt;0")</f>
        <v>0</v>
      </c>
      <c r="NB157" s="6">
        <f>COUNTIFS(Table106109[Country],Tabela1[[#This Row],[Country]],Table106109[Pursuit Classification],"&gt;0")</f>
        <v>0</v>
      </c>
      <c r="NC157" s="6">
        <f>COUNTIFS(Table106[Country],Tabela1[[#This Row],[Country]],Table106[Sprint Classification],"&gt;0")</f>
        <v>0</v>
      </c>
      <c r="ND157" s="6">
        <f>COUNTIFS(Table106109[Country],Tabela1[[#This Row],[Country]],Table106109[Sprint Classification],"&gt;0")</f>
        <v>0</v>
      </c>
      <c r="NE157" s="6">
        <f>COUNTIFS(Table109[Country],Tabela1[[#This Row],[Country]],Table109[Men''s Relay Classification],"&gt;0")</f>
        <v>0</v>
      </c>
      <c r="NF157" s="6">
        <f>COUNTIFS(Table109[Country],Tabela1[[#This Row],[Country]],Table109[Women''s Relay Classification],"&gt;0")</f>
        <v>0</v>
      </c>
      <c r="NG157" s="6">
        <f>COUNTIFS(Table109[Country],Tabela1[[#This Row],[Country]],Table109[Mixed Relay Classification],"&gt;0")</f>
        <v>0</v>
      </c>
      <c r="NH157" s="6">
        <f>COUNTIFS(Table110[Country],Tabela1[[#This Row],[Country]],Table110[Monobob Classification],"&gt;0")</f>
        <v>0</v>
      </c>
      <c r="NI157" s="6">
        <f>COUNTIFS(Table111[Country],Tabela1[[#This Row],[Country]],Table111[Men''s Classification],"&gt;0")</f>
        <v>0</v>
      </c>
      <c r="NJ157" s="6">
        <f>COUNTIFS(Table111[Country],Tabela1[[#This Row],[Country]],Table111[Women''s Classification],"&gt;0")</f>
        <v>0</v>
      </c>
      <c r="NK157" s="6">
        <f>COUNTIFS(Table112[Country],Tabela1[[#This Row],[Country]],Table112[Men''s Four Classification],"&gt;0")</f>
        <v>0</v>
      </c>
      <c r="NL157" s="6">
        <f>COUNTIFS(Table113[Country],Tabela1[[#This Row],[Country]],Table113[Classical Classification],"&gt;0")</f>
        <v>0</v>
      </c>
      <c r="NM157" s="6">
        <f>COUNTIFS(Table113116[Country],Tabela1[[#This Row],[Country]],Table113116[Classical Classification],"&gt;0")</f>
        <v>0</v>
      </c>
      <c r="NN157" s="6">
        <f>COUNTIFS(Table113[Country],Tabela1[[#This Row],[Country]],Table113[Freestyle Classification],"&gt;0")</f>
        <v>0</v>
      </c>
      <c r="NO157" s="6">
        <f>COUNTIFS(Table113116[Country],Tabela1[[#This Row],[Country]],Table113116[Freestyle Classification],"&gt;0")</f>
        <v>0</v>
      </c>
      <c r="NP157" s="6">
        <f>COUNTIFS(Table117[Country],Tabela1[[#This Row],[Country]],Table117[Men''s Relay Classification],"&gt;0")</f>
        <v>0</v>
      </c>
      <c r="NQ157" s="6">
        <f>COUNTIFS(Table117[Country],Tabela1[[#This Row],[Country]],Table117[Women''s Relay Classification],"&gt;0")</f>
        <v>0</v>
      </c>
      <c r="NR157" s="6">
        <f>COUNTIFS(Table113[Country],Tabela1[[#This Row],[Country]],Table113[Skiathlon Classification],"&gt;0")</f>
        <v>0</v>
      </c>
      <c r="NS157" s="6">
        <f>COUNTIFS(Table113116[Country],Tabela1[[#This Row],[Country]],Table113116[Skiathlon Classification],"&gt;0")</f>
        <v>0</v>
      </c>
      <c r="NT157" s="6">
        <f>COUNTIFS(Table113[Country],Tabela1[[#This Row],[Country]],Table113[Sprint Classification],"&gt;0")</f>
        <v>0</v>
      </c>
      <c r="NU157" s="6">
        <f>COUNTIFS(Table113116[Country],Tabela1[[#This Row],[Country]],Table113116[Sprint Classification],"&gt;0")</f>
        <v>0</v>
      </c>
      <c r="NV157" s="6">
        <f>COUNTIFS(Table116[Country],Tabela1[[#This Row],[Country]],Table116[Men''s Team Sprint Classification],"&gt;0")</f>
        <v>0</v>
      </c>
      <c r="NW157" s="6">
        <f>COUNTIFS(Table116[Country],Tabela1[[#This Row],[Country]],Table116[Women''s Team Sprint Classification],"&gt;0")</f>
        <v>0</v>
      </c>
      <c r="NX157" s="6">
        <f>COUNTIFS(Table119[Country],Tabela1[[#This Row],[Country]],Table119[Men''s Classification],"&gt;0")</f>
        <v>0</v>
      </c>
      <c r="NY157" s="6">
        <f>COUNTIFS(Table119[Country],Tabela1[[#This Row],[Country]],Table119[Women''s Classification],"&gt;0")</f>
        <v>0</v>
      </c>
      <c r="NZ157" s="6">
        <f>COUNTIFS(Table118[Country],Tabela1[[#This Row],[Country]],Table118[Mixed Classification],"&gt;0")</f>
        <v>0</v>
      </c>
      <c r="OA157" s="6">
        <f>COUNTIFS(Table120[Country],Tabela1[[#This Row],[Country]],Table120[Classification],"&gt;0")</f>
        <v>0</v>
      </c>
      <c r="OB157" s="6">
        <f>COUNTIFS(Table120123[Country],Tabela1[[#This Row],[Country]],Table120123[Classification],"&gt;0")</f>
        <v>0</v>
      </c>
      <c r="OC157" s="6">
        <f>COUNTIFS(Table123[Country],Tabela1[[#This Row],[Country]],Table123[Ice Dance Classification],"&gt;0")</f>
        <v>0</v>
      </c>
      <c r="OD157" s="6">
        <f>COUNTIFS(Table123[Country],Tabela1[[#This Row],[Country]],Table123[Pair Skating Classification],"&gt;0")</f>
        <v>0</v>
      </c>
      <c r="OE157" s="6">
        <f>COUNTIFS(Table124[Country],Tabela1[[#This Row],[Country]],Table124[Mixed Classification],"&gt;0")</f>
        <v>0</v>
      </c>
      <c r="OF157" s="6">
        <f>COUNTIFS(Table125[Country],Tabela1[[#This Row],[Country]],Table125[Aerials Classification],"&gt;0")</f>
        <v>0</v>
      </c>
      <c r="OG157" s="6">
        <f>COUNTIFS(Table125128[Country],Tabela1[[#This Row],[Country]],Table125128[Aerials Classification],"&gt;0")</f>
        <v>0</v>
      </c>
      <c r="OH157" s="6">
        <f>COUNTIFS(Table128[Country],Tabela1[[#This Row],[Country]],Table128[Mixed Aerials Classification],"&gt;0")</f>
        <v>0</v>
      </c>
      <c r="OI157" s="6">
        <f>COUNTIFS(Table125[Country],Tabela1[[#This Row],[Country]],Table125[Big Air Classification],"&gt;0")</f>
        <v>0</v>
      </c>
      <c r="OJ157" s="6">
        <f>COUNTIFS(Table125128[Country],Tabela1[[#This Row],[Country]],Table125128[Big Air Classification],"&gt;0")</f>
        <v>0</v>
      </c>
      <c r="OK157" s="6">
        <f>COUNTIFS(Table125[Country],Tabela1[[#This Row],[Country]],Table125[Dual Moguls Classification],"&gt;0")</f>
        <v>0</v>
      </c>
      <c r="OL157" s="6">
        <f>COUNTIFS(Table125128[Country],Tabela1[[#This Row],[Country]],Table125128[Dual Moguls Classification],"&gt;0")</f>
        <v>0</v>
      </c>
      <c r="OM157" s="6">
        <f>COUNTIFS(Table125[Country],Tabela1[[#This Row],[Country]],Table125[Halfpipe Classification],"&gt;0")</f>
        <v>0</v>
      </c>
      <c r="ON157" s="6">
        <f>COUNTIFS(Table125128[Country],Tabela1[[#This Row],[Country]],Table125128[Halfpipe Classification],"&gt;0")</f>
        <v>0</v>
      </c>
      <c r="OO157" s="6">
        <f>COUNTIFS(Table125[Country],Tabela1[[#This Row],[Country]],Table125[Moguls Classification],"&gt;0")</f>
        <v>0</v>
      </c>
      <c r="OP157" s="6">
        <f>COUNTIFS(Table125128[Country],Tabela1[[#This Row],[Country]],Table125128[Moguls Classification],"&gt;0")</f>
        <v>0</v>
      </c>
      <c r="OQ157" s="6">
        <f>COUNTIFS(Table125[Country],Tabela1[[#This Row],[Country]],Table125[Ski Cross Classification],"&gt;0")</f>
        <v>0</v>
      </c>
      <c r="OR157" s="6">
        <f>COUNTIFS(Table125128[Country],Tabela1[[#This Row],[Country]],Table125128[Ski Cross Classification],"&gt;0")</f>
        <v>0</v>
      </c>
      <c r="OS157" s="6">
        <f>COUNTIFS(Table125[Country],Tabela1[[#This Row],[Country]],Table125[Slopestyle Classification],"&gt;0")</f>
        <v>0</v>
      </c>
      <c r="OT157" s="6">
        <f>COUNTIFS(Table125128[Country],Tabela1[[#This Row],[Country]],Table125128[Slopestyle Classification],"&gt;0")</f>
        <v>0</v>
      </c>
      <c r="OU157" s="6">
        <f>COUNTIFS(Table119131[Country],Tabela1[[#This Row],[Country]],Table119131[Men''s Classification],"&gt;0")</f>
        <v>0</v>
      </c>
      <c r="OV157" s="6">
        <f>COUNTIFS(Table119131[Country],Tabela1[[#This Row],[Country]],Table119131[Women''s Classification],"&gt;0")</f>
        <v>0</v>
      </c>
      <c r="OW157" s="6">
        <f>COUNTIFS(Table131[Country],Tabela1[[#This Row],[Country]],Table131[Classification],"&gt;0")</f>
        <v>0</v>
      </c>
      <c r="OX157" s="6">
        <f>COUNTIFS(Table131134[Country],Tabela1[[#This Row],[Country]],Table131134[Classification],"&gt;0")</f>
        <v>0</v>
      </c>
      <c r="OY157" s="6">
        <f>COUNTIFS(Table134[Country],Tabela1[[#This Row],[Country]],Table134[Men''s Classification],"&gt;0")</f>
        <v>0</v>
      </c>
      <c r="OZ157" s="6">
        <f>COUNTIFS(Table134[Country],Tabela1[[#This Row],[Country]],Table134[Women''s Classification],"&gt;0")</f>
        <v>0</v>
      </c>
      <c r="PA157" s="6">
        <f>COUNTIFS(Table135[Country],Tabela1[[#This Row],[Country]],Table135[Mixed Relay Classification],"&gt;0")</f>
        <v>0</v>
      </c>
      <c r="PB157" s="6">
        <f>COUNTIFS(Table136[Country],Tabela1[[#This Row],[Country]],Table136[Individual Classification],"&gt;0")</f>
        <v>0</v>
      </c>
      <c r="PC157" s="6">
        <f>COUNTIFS(Table136[Country],Tabela1[[#This Row],[Country]],Table136[Sprint Classification],"&gt;0")</f>
        <v>0</v>
      </c>
      <c r="PD157" s="6">
        <f>COUNTIFS(Table137[Country],Tabela1[[#This Row],[Country]],Table137[Men''s Team Sprint Large Hill Classification],"&gt;0")</f>
        <v>0</v>
      </c>
      <c r="PE157" s="6">
        <f>COUNTIFS(Table138[Country],Tabela1[[#This Row],[Country]],Table138[500m Classification],"&gt;0")</f>
        <v>0</v>
      </c>
      <c r="PF157" s="6">
        <f>COUNTIFS(Table138141[Country],Tabela1[[#This Row],[Country]],Table138141[500m Classification],"&gt;0")</f>
        <v>0</v>
      </c>
      <c r="PG157" s="6">
        <f>COUNTIFS(Table138[Country],Tabela1[[#This Row],[Country]],Table138[1000m Classification],"&gt;0")</f>
        <v>0</v>
      </c>
      <c r="PH157" s="6">
        <f>COUNTIFS(Table138141[Country],Tabela1[[#This Row],[Country]],Table138141[1000m Classification],"&gt;0")</f>
        <v>0</v>
      </c>
      <c r="PI157" s="6">
        <f>COUNTIFS(Table138[Country],Tabela1[[#This Row],[Country]],Table138[1500m Classification],"&gt;0")</f>
        <v>0</v>
      </c>
      <c r="PJ157" s="6">
        <f>COUNTIFS(Table138141[Country],Tabela1[[#This Row],[Country]],Table138141[1500m Classification],"&gt;0")</f>
        <v>0</v>
      </c>
      <c r="PK157" s="6">
        <f>COUNTIFS(Table141[Country],Tabela1[[#This Row],[Country]],Table141[Men''s 5000m Relay Classification],"&gt;0")</f>
        <v>0</v>
      </c>
      <c r="PL157" s="6">
        <f>COUNTIFS(Table141[Country],Tabela1[[#This Row],[Country]],Table141[Women''s 3000m Relay Classification],"&gt;0")</f>
        <v>0</v>
      </c>
      <c r="PM157" s="6">
        <f>COUNTIFS(Table141[Country],Tabela1[[#This Row],[Country]],Table141[Mixed 2000m Relay Classification],"&gt;0")</f>
        <v>0</v>
      </c>
      <c r="PN157" s="6">
        <f>COUNTIFS(Table142[Country],Tabela1[[#This Row],[Country]],Table142[Classification],"&gt;0")</f>
        <v>0</v>
      </c>
      <c r="PO157" s="6">
        <f>COUNTIFS(Table142145[Country],Tabela1[[#This Row],[Country]],Table142145[Classification],"&gt;0")</f>
        <v>0</v>
      </c>
      <c r="PP157" s="6">
        <f>COUNTIFS(Tabela15[Country],Tabela1[[#This Row],[Country]],Tabela15[Mixed Team Classification],"&gt;0")</f>
        <v>0</v>
      </c>
      <c r="PQ157" s="6">
        <f>COUNTIFS(Table145[Country],Tabela1[[#This Row],[Country]],Table145[Large Hill Classification],"&gt;0")</f>
        <v>0</v>
      </c>
      <c r="PR157" s="6">
        <f>COUNTIFS(Table145[Country],Tabela1[[#This Row],[Country]],Table145[Normal Hill Classification],"&gt;0")</f>
        <v>0</v>
      </c>
      <c r="PS157" s="6">
        <f>COUNTIFS(Table145148[Country],Tabela1[[#This Row],[Country]],Table145148[Large Hill Classification],"&gt;0")</f>
        <v>0</v>
      </c>
      <c r="PT157" s="6">
        <f>COUNTIFS(Table145148[Country],Tabela1[[#This Row],[Country]],Table145148[Normal Hill Classification],"&gt;0")</f>
        <v>0</v>
      </c>
      <c r="PU157" s="6">
        <f>COUNTIFS(Table148[Country],Tabela1[[#This Row],[Country]],Table148[Men''s Super Team Classification],"&gt;0")</f>
        <v>0</v>
      </c>
      <c r="PV157" s="6">
        <f>COUNTIFS(Tabela114[Country],Tabela1[[#This Row],[Country]],Tabela114[Mixed Normal Hill Classification],"&gt;0")</f>
        <v>0</v>
      </c>
      <c r="PW157" s="6">
        <f>COUNTIFS(Tabela50[Country],Tabela1[[#This Row],[Country]],Tabela50[Sprint Classification],"&gt;0")</f>
        <v>0</v>
      </c>
      <c r="PX157" s="6">
        <f>COUNTIFS(Tabela50101[Country],Tabela1[[#This Row],[Country]],Tabela50101[Sprint Classification],"&gt;0")</f>
        <v>0</v>
      </c>
      <c r="PY157" s="6">
        <f>COUNTIFS(Tabela103[Country],Tabela1[[#This Row],[Country]],Tabela103[Mixed Relay Classification],"&gt;0")</f>
        <v>0</v>
      </c>
      <c r="PZ157" s="6">
        <f>COUNTIFS(Table149[Country],Tabela1[[#This Row],[Country]],Table149[Big Air Classification],"&gt;0")</f>
        <v>0</v>
      </c>
      <c r="QA157" s="6">
        <f>COUNTIFS(Table149152[Country],Tabela1[[#This Row],[Country]],Table149152[Big Air Classification],"&gt;0")</f>
        <v>0</v>
      </c>
      <c r="QB157" s="6">
        <f>COUNTIFS(Table149[Country],Tabela1[[#This Row],[Country]],Table149[Halfpipe Classification],"&gt;0")</f>
        <v>0</v>
      </c>
      <c r="QC157" s="6">
        <f>COUNTIFS(Table149152[Country],Tabela1[[#This Row],[Country]],Table149152[Halfpipe Classification],"&gt;0")</f>
        <v>0</v>
      </c>
      <c r="QD157" s="6">
        <f>COUNTIFS(Table149[Country],Tabela1[[#This Row],[Country]],Table149[Parallel Giant Slalom Classification],"&gt;0")</f>
        <v>0</v>
      </c>
      <c r="QE157" s="6">
        <f>COUNTIFS(Table149152[Country],Tabela1[[#This Row],[Country]],Table149152[Parallel Giant Slalom Classification],"&gt;0")</f>
        <v>0</v>
      </c>
      <c r="QF157" s="6">
        <f>COUNTIFS(Table149[Country],Tabela1[[#This Row],[Country]],Table149[Slopestyle Classification],"&gt;0")</f>
        <v>0</v>
      </c>
      <c r="QG157" s="6">
        <f>COUNTIFS(Table149152[Country],Tabela1[[#This Row],[Country]],Table149152[Slopestyle Classification],"&gt;0")</f>
        <v>0</v>
      </c>
      <c r="QH157" s="6">
        <f>COUNTIFS(Table149[Country],Tabela1[[#This Row],[Country]],Table149[Snowboard Cross Classification],"&gt;0")</f>
        <v>0</v>
      </c>
      <c r="QI157" s="6">
        <f>COUNTIFS(Table149152[Country],Tabela1[[#This Row],[Country]],Table149152[Snowboard Cross Classification],"&gt;0")</f>
        <v>0</v>
      </c>
      <c r="QJ157" s="6">
        <f>COUNTIFS(Table153[Country],Tabela1[[#This Row],[Country]],Table153[Mixed Team Snowboard Cross Classification],"&gt;0")</f>
        <v>0</v>
      </c>
      <c r="QK157" s="6">
        <f>COUNTIFS(Table154[Country],Tabela1[[#This Row],[Country]],Table154[500m Classification],"&gt;0")</f>
        <v>0</v>
      </c>
      <c r="QL157" s="6">
        <f>COUNTIFS(Table154157[Country],Tabela1[[#This Row],[Country]],Table154157[500m Classification],"&gt;0")</f>
        <v>0</v>
      </c>
      <c r="QM157" s="6">
        <f>COUNTIFS(Table154[Country],Tabela1[[#This Row],[Country]],Table154[1000m Classification],"&gt;0")</f>
        <v>0</v>
      </c>
      <c r="QN157" s="6">
        <f>COUNTIFS(Table154157[Country],Tabela1[[#This Row],[Country]],Table154157[1000m Classification],"&gt;0")</f>
        <v>0</v>
      </c>
      <c r="QO157" s="6">
        <f>COUNTIFS(Table154[Country],Tabela1[[#This Row],[Country]],Table154[1500m Classification],"&gt;0")</f>
        <v>0</v>
      </c>
      <c r="QP157" s="6">
        <f>COUNTIFS(Table154157[Country],Tabela1[[#This Row],[Country]],Table154157[1500m Classification],"&gt;0")</f>
        <v>0</v>
      </c>
      <c r="QQ157" s="6">
        <f>COUNTIFS(Table154157[Country],Tabela1[[#This Row],[Country]],Table154157[3000m Classification],"&gt;0")</f>
        <v>0</v>
      </c>
      <c r="QR157" s="6">
        <f>COUNTIFS(Table154[Country],Tabela1[[#This Row],[Country]],Table154[5000m Classification],"&gt;0")</f>
        <v>0</v>
      </c>
      <c r="QS157" s="6">
        <f>COUNTIFS(Table154157[Country],Tabela1[[#This Row],[Country]],Table154157[5000m Classification],"&gt;0")</f>
        <v>0</v>
      </c>
      <c r="QT157" s="6">
        <f>COUNTIFS(Table154[Country],Tabela1[[#This Row],[Country]],Table154[10000m Classification],"&gt;0")</f>
        <v>0</v>
      </c>
      <c r="QU157" s="6">
        <f>COUNTIFS(Table154[Country],Tabela1[[#This Row],[Country]],Table154[Mass Start Classification],"&gt;0")</f>
        <v>0</v>
      </c>
      <c r="QV157" s="6">
        <f>COUNTIFS(Table154157[Country],Tabela1[[#This Row],[Country]],Table154157[Mass Start Classification],"&gt;0")</f>
        <v>0</v>
      </c>
      <c r="QW157" s="6">
        <f>COUNTIFS(Table157[Country],Tabela1[[#This Row],[Country]],Table157[Men''s Pursuit Classification],"&gt;0")</f>
        <v>0</v>
      </c>
      <c r="QX157" s="6">
        <f>COUNTIFS(Table157[Country],Tabela1[[#This Row],[Country]],Table157[Women''s Pursuit Classification],"&gt;0")</f>
        <v>0</v>
      </c>
      <c r="QY157" s="3" t="s">
        <v>377</v>
      </c>
    </row>
    <row r="158" spans="1:467" x14ac:dyDescent="0.3">
      <c r="A158" s="6">
        <v>157</v>
      </c>
      <c r="B158" s="6" t="s">
        <v>610</v>
      </c>
      <c r="C158" t="e" vm="157">
        <f>IF(ISBLANK(Tabela1[[#This Row],[Image Link]]), "", _xlfn.IMAGE(Tabela1[[#This Row],[Image Link]],1,1))</f>
        <v>#VALUE!</v>
      </c>
      <c r="D158" s="6">
        <f>SUM(Tabela1[[#This Row],[Archery - Men''s Individual Recurve]:[Speed Skating - Women''s Team Pursuit]])</f>
        <v>0</v>
      </c>
      <c r="E158" s="6">
        <f>COUNTIF(Tabela1[[#This Row],[Archery - Men''s Individual Recurve]:[Speed Skating - Women''s Team Pursuit]],"&gt;0")</f>
        <v>0</v>
      </c>
      <c r="F158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58" s="6">
        <f>SUM(Tabela1[[#This Row],[Archery - Men''s Individual Recurve]:[Wrestling - Women''s Freestyle 76kg]])</f>
        <v>0</v>
      </c>
      <c r="H158" s="6">
        <f>SUM(Tabela1[[#This Row],[Alpine Skiing - Men''s Downhill]:[Speed Skating - Women''s Team Pursuit]])</f>
        <v>0</v>
      </c>
      <c r="I158" s="6">
        <f>Tabela1[[#This Row],[Summer Gold Medals]]+Tabela1[[#This Row],[Winter Gold Medals]]</f>
        <v>0</v>
      </c>
      <c r="J158" s="6">
        <f>Tabela1[[#This Row],[Summer Silver Medals]]+Tabela1[[#This Row],[Winter Silver Medals]]</f>
        <v>2</v>
      </c>
      <c r="K158" s="6">
        <f>Tabela1[[#This Row],[Summer Bronze Medals]]+Tabela1[[#This Row],[Winter Bronze Medals]]</f>
        <v>4</v>
      </c>
      <c r="L158" s="6">
        <f>SUM(Tabela1[[#This Row],[Total Gold Medals]:[Total Bronze Medals]])</f>
        <v>6</v>
      </c>
      <c r="M158" s="6"/>
      <c r="N158" s="6">
        <v>2</v>
      </c>
      <c r="O158" s="6">
        <v>4</v>
      </c>
      <c r="P158" s="6">
        <f>SUM(Tabela1[[#This Row],[Summer Gold Medals]:[Summer Bronze Medals]])</f>
        <v>6</v>
      </c>
      <c r="Q158" s="6"/>
      <c r="R158" s="6"/>
      <c r="S158" s="6"/>
      <c r="T158" s="6">
        <f>Tabela1[[#This Row],[Winter Gold Medals]]+Tabela1[[#This Row],[Winter Silver Medals]]+Tabela1[[#This Row],[Winter Bronze Medals]]</f>
        <v>0</v>
      </c>
      <c r="U158" s="7" t="e">
        <f>Tabela1[[#This Row],[Total Medals]]/Tabela1[[#This Row],[Total Quotas]]</f>
        <v>#DIV/0!</v>
      </c>
      <c r="V158" s="6">
        <f>COUNTIFS(Table3[Country],Tabela1[[#This Row],[Country]],Table3[Recurve Classification],"&gt;0")</f>
        <v>0</v>
      </c>
      <c r="W158" s="6">
        <f>COUNTIFS(Table33[Country],Tabela1[[#This Row],[Country]],Table33[Recurve Classification],"&gt;0")</f>
        <v>0</v>
      </c>
      <c r="X158" s="6">
        <f>COUNTIFS(Table35[Country],Tabela1[[#This Row],[Country]],Table35[Men''s Team Recurve Classification],"&gt;0")</f>
        <v>0</v>
      </c>
      <c r="Y158" s="6">
        <f>COUNTIFS(Table35[Country],Tabela1[[#This Row],[Country]],Table35[Women''s Team Recurve Classification],"&gt;0")</f>
        <v>0</v>
      </c>
      <c r="Z158" s="6">
        <f>COUNTIFS(Tabela88[Country],Tabela1[[#This Row],[Country]],Tabela88[Mixed Team Recurve Classification],"&gt;0")</f>
        <v>0</v>
      </c>
      <c r="AA158" s="6">
        <f>COUNTIFS(Table36[Country],Tabela1[[#This Row],[Country]],Table36[Classification],"&gt;0")</f>
        <v>0</v>
      </c>
      <c r="AB158" s="6">
        <f>COUNTIFS(Table37[Country],Tabela1[[#This Row],[Country]],Table37[Classification],"&gt;0")</f>
        <v>0</v>
      </c>
      <c r="AC158" s="6">
        <f>COUNTIFS(Table4[Country],Tabela1[[#This Row],[Country]],Table4[100m Classification],"&gt;0")</f>
        <v>0</v>
      </c>
      <c r="AD158" s="6">
        <f>COUNTIFS(Table5[Country],Tabela1[[#This Row],[Country]],Table5[100m Classification],"&gt;0")</f>
        <v>0</v>
      </c>
      <c r="AE158" s="6">
        <f>COUNTIFS(Table4[Country],Tabela1[[#This Row],[Country]],Table4[200m Classification],"&gt;0")</f>
        <v>0</v>
      </c>
      <c r="AF158" s="6">
        <f>COUNTIFS(Table5[Country],Tabela1[[#This Row],[Country]],Table5[200m Classification],"&gt;0")</f>
        <v>0</v>
      </c>
      <c r="AG158" s="6">
        <f>COUNTIFS(Table4[Country],Tabela1[[#This Row],[Country]],Table4[400m Classification],"&gt;0")</f>
        <v>0</v>
      </c>
      <c r="AH158" s="6">
        <f>COUNTIFS(Table5[Country],Tabela1[[#This Row],[Country]],Table5[400m Classification],"&gt;0")</f>
        <v>0</v>
      </c>
      <c r="AI158" s="6">
        <f>COUNTIFS(Table4[Country],Tabela1[[#This Row],[Country]],Table4[800m Classification],"&gt;0")</f>
        <v>0</v>
      </c>
      <c r="AJ158" s="6">
        <f>COUNTIFS(Table5[Country],Tabela1[[#This Row],[Country]],Table5[800m Classification],"&gt;0")</f>
        <v>0</v>
      </c>
      <c r="AK158" s="6">
        <f>COUNTIFS(Table4[Country],Tabela1[[#This Row],[Country]],Table4[1500m Classification],"&gt;0")</f>
        <v>0</v>
      </c>
      <c r="AL158" s="6">
        <f>COUNTIFS(Table5[Country],Tabela1[[#This Row],[Country]],Table5[1500m Classification],"&gt;0")</f>
        <v>0</v>
      </c>
      <c r="AM158" s="6">
        <f>COUNTIFS(Table4[Country],Tabela1[[#This Row],[Country]],Table4[5000m Classification],"&gt;0")</f>
        <v>0</v>
      </c>
      <c r="AN158" s="6">
        <f>COUNTIFS(Table5[Country],Tabela1[[#This Row],[Country]],Table5[5000m Classification],"&gt;0")</f>
        <v>0</v>
      </c>
      <c r="AO158" s="6">
        <f>COUNTIFS(Table4[Country],Tabela1[[#This Row],[Country]],Table4[10000m Classification],"&gt;0")</f>
        <v>0</v>
      </c>
      <c r="AP158" s="6">
        <f>COUNTIFS(Table5[Country],Tabela1[[#This Row],[Country]],Table5[10000m Classification],"&gt;0")</f>
        <v>0</v>
      </c>
      <c r="AQ158" s="6">
        <f>COUNTIFS(Table4[Country],Tabela1[[#This Row],[Country]],Table4[110m Hurdles Classification],"&gt;0")</f>
        <v>0</v>
      </c>
      <c r="AR158" s="6">
        <f>COUNTIFS(Table5[Country],Tabela1[[#This Row],[Country]],Table5[100m Hurdles Classification],"&gt;0")</f>
        <v>0</v>
      </c>
      <c r="AS158" s="6">
        <f>COUNTIFS(Table4[Country],Tabela1[[#This Row],[Country]],Table4[400m Hurdles Classification],"&gt;0")</f>
        <v>0</v>
      </c>
      <c r="AT158" s="6">
        <f>COUNTIFS(Table5[Country],Tabela1[[#This Row],[Country]],Table5[400m Hurdles Classification],"&gt;0")</f>
        <v>0</v>
      </c>
      <c r="AU158" s="6">
        <f>COUNTIFS(Table4[Country],Tabela1[[#This Row],[Country]],Table4[3000m Steeplechase Classification],"&gt;0")</f>
        <v>0</v>
      </c>
      <c r="AV158" s="6">
        <f>COUNTIFS(Table5[Country],Tabela1[[#This Row],[Country]],Table5[3000m Steeplechase Classification],"&gt;0")</f>
        <v>0</v>
      </c>
      <c r="AW158" s="6">
        <f>COUNTIFS(Table27[Country],Tabela1[[#This Row],[Country]],Table27[Men''s 4x100m Relay Classification],"&gt;0")</f>
        <v>0</v>
      </c>
      <c r="AX158" s="6">
        <f>COUNTIFS(Table27[Country],Tabela1[[#This Row],[Country]],Table27[Women''s 4x100m Relay Classification],"&gt;0")</f>
        <v>0</v>
      </c>
      <c r="AY158" s="6">
        <f>COUNTIFS(Table27[Country],Tabela1[[#This Row],[Country]],Table27[Men''s 4x400m Relay Classification],"&gt;0")</f>
        <v>0</v>
      </c>
      <c r="AZ158" s="6">
        <f>COUNTIFS(Table27[Country],Tabela1[[#This Row],[Country]],Table27[Women''s 4x400m Relay Classification],"&gt;0")</f>
        <v>0</v>
      </c>
      <c r="BA158" s="6">
        <f>COUNTIFS(Table27[Country],Tabela1[[#This Row],[Country]],Table27[Mixed 4x400m Relay Classification],"&gt;0")</f>
        <v>0</v>
      </c>
      <c r="BB158" s="6">
        <f>COUNTIFS(Table4[Country],Tabela1[[#This Row],[Country]],Table4[Marathon Classification],"&gt;0")</f>
        <v>0</v>
      </c>
      <c r="BC158" s="6">
        <f>COUNTIFS(Table5[Country],Tabela1[[#This Row],[Country]],Table5[Marathon Classification],"&gt;0")</f>
        <v>0</v>
      </c>
      <c r="BD158" s="6">
        <f>COUNTIFS(Table4[Country],Tabela1[[#This Row],[Country]],Table4[20km Race Walk Classification],"&gt;0")</f>
        <v>0</v>
      </c>
      <c r="BE158" s="6">
        <f>COUNTIFS(Table5[Country],Tabela1[[#This Row],[Country]],Table5[20km Race Walk Classification],"&gt;0")</f>
        <v>0</v>
      </c>
      <c r="BF158" s="6">
        <f>COUNTIFS(Tabela96[Country],Tabela1[[#This Row],[Country]],Tabela96[Mixed Marathon Race Walk Relay Classification],"&gt;0")</f>
        <v>0</v>
      </c>
      <c r="BG158" s="6">
        <f>COUNTIFS(Table4[Country],Tabela1[[#This Row],[Country]],Table4[Discus Throw Classification],"&gt;0")</f>
        <v>0</v>
      </c>
      <c r="BH158" s="6">
        <f>COUNTIFS(Table5[Country],Tabela1[[#This Row],[Country]],Table5[Discus Throw Classification],"&gt;0")</f>
        <v>0</v>
      </c>
      <c r="BI158" s="6">
        <f>COUNTIFS(Table4[Country],Tabela1[[#This Row],[Country]],Table4[Hammer Throw Classification],"&gt;0")</f>
        <v>0</v>
      </c>
      <c r="BJ158" s="6">
        <f>COUNTIFS(Table5[Country],Tabela1[[#This Row],[Country]],Table5[Hammer Throw Classification],"&gt;0")</f>
        <v>0</v>
      </c>
      <c r="BK158" s="6">
        <f>COUNTIFS(Table4[Country],Tabela1[[#This Row],[Country]],Table4[High Jump Classification],"&gt;0")</f>
        <v>0</v>
      </c>
      <c r="BL158" s="6">
        <f>COUNTIFS(Table5[Country],Tabela1[[#This Row],[Country]],Table5[High Jump Classification],"&gt;0")</f>
        <v>0</v>
      </c>
      <c r="BM158" s="6">
        <f>COUNTIFS(Table4[Country],Tabela1[[#This Row],[Country]],Table4[Javelin Throw Classification],"&gt;0")</f>
        <v>0</v>
      </c>
      <c r="BN158" s="6">
        <f>COUNTIFS(Table5[Country],Tabela1[[#This Row],[Country]],Table5[Javelin Throw Classification],"&gt;0")</f>
        <v>0</v>
      </c>
      <c r="BO158" s="6">
        <f>COUNTIFS(Table4[Country],Tabela1[[#This Row],[Country]],Table4[Long Jump Classification],"&gt;0")</f>
        <v>0</v>
      </c>
      <c r="BP158" s="6">
        <f>COUNTIFS(Table5[Country],Tabela1[[#This Row],[Country]],Table5[Long Jump Classification],"&gt;0")</f>
        <v>0</v>
      </c>
      <c r="BQ158" s="6">
        <f>COUNTIFS(Table4[Country],Tabela1[[#This Row],[Country]],Table4[Pole Vault Classification],"&gt;0")</f>
        <v>0</v>
      </c>
      <c r="BR158" s="6">
        <f>COUNTIFS(Table5[Country],Tabela1[[#This Row],[Country]],Table5[Pole Vault Classification],"&gt;0")</f>
        <v>0</v>
      </c>
      <c r="BS158" s="6">
        <f>COUNTIFS(Table4[Country],Tabela1[[#This Row],[Country]],Table4[Shot Put Classification],"&gt;0")</f>
        <v>0</v>
      </c>
      <c r="BT158" s="6">
        <f>COUNTIFS(Table5[Country],Tabela1[[#This Row],[Country]],Table5[Shot Put Classification],"&gt;0")</f>
        <v>0</v>
      </c>
      <c r="BU158" s="6">
        <f>COUNTIFS(Table4[Country],Tabela1[[#This Row],[Country]],Table4[Triple Jump Classification],"&gt;0")</f>
        <v>0</v>
      </c>
      <c r="BV158" s="6">
        <f>COUNTIFS(Table5[Country],Tabela1[[#This Row],[Country]],Table5[Triple Jump Classification],"&gt;0")</f>
        <v>0</v>
      </c>
      <c r="BW158" s="6">
        <f>COUNTIFS(Table4[Country],Tabela1[[#This Row],[Country]],Table4[Decathlon Classification],"&gt;0")</f>
        <v>0</v>
      </c>
      <c r="BX158" s="6">
        <f>COUNTIFS(Table5[Country],Tabela1[[#This Row],[Country]],Table5[Heptathlon Classification],"&gt;0")</f>
        <v>0</v>
      </c>
      <c r="BY158" s="6">
        <f>COUNTIFS(Table61[Country],Tabela1[[#This Row],[Country]],Table61[Classification],"&gt;0")</f>
        <v>0</v>
      </c>
      <c r="BZ158" s="6">
        <f>COUNTIFS(Table38[Country],Tabela1[[#This Row],[Country]],Table38[Classification],"&gt;0")</f>
        <v>0</v>
      </c>
      <c r="CA158" s="6">
        <f>COUNTIFS(Table39[Country],Tabela1[[#This Row],[Country]],Table39[Men''s Classification],"&gt;0")</f>
        <v>0</v>
      </c>
      <c r="CB158" s="6">
        <f>COUNTIFS(Table39[Country],Tabela1[[#This Row],[Country]],Table39[Women''s Classification],"&gt;0")</f>
        <v>0</v>
      </c>
      <c r="CC158" s="6">
        <f>COUNTIFS(Table39[Country],Tabela1[[#This Row],[Country]],Table39[Mixed Classification],"&gt;0")</f>
        <v>0</v>
      </c>
      <c r="CD158" s="6">
        <f>COUNTIFS(Table89[Country],Tabela1[[#This Row],[Country]],Table89[Men''s Classification],"&gt;0")</f>
        <v>0</v>
      </c>
      <c r="CE158" s="6">
        <f>COUNTIFS(Table89[Country],Tabela1[[#This Row],[Country]],Table89[Women''s Classification],"&gt;0")</f>
        <v>0</v>
      </c>
      <c r="CF158" s="6">
        <f>COUNTIFS(Table90[Country],Tabela1[[#This Row],[Country]],Table90[Men''s Classification],"&gt;0")</f>
        <v>0</v>
      </c>
      <c r="CG158" s="6">
        <f>COUNTIFS(Table90[Country],Tabela1[[#This Row],[Country]],Table90[Women''s Classification],"&gt;0")</f>
        <v>0</v>
      </c>
      <c r="CH158" s="6">
        <f>COUNTIFS(Table60[Country],Tabela1[[#This Row],[Country]],Table60[Men''s Classification],"&gt;0")</f>
        <v>0</v>
      </c>
      <c r="CI158" s="6">
        <f>COUNTIFS(Table60[Country],Tabela1[[#This Row],[Country]],Table60[Women''s Classification],"&gt;0")</f>
        <v>0</v>
      </c>
      <c r="CJ158" s="6">
        <f>COUNTIFS(Table6[Country],Tabela1[[#This Row],[Country]],Table6[51kg Classification],"&gt;0")</f>
        <v>0</v>
      </c>
      <c r="CK158" s="6">
        <f>COUNTIFS(Table6[Country],Tabela1[[#This Row],[Country]],Table6[57kg Classification],"&gt;0")</f>
        <v>0</v>
      </c>
      <c r="CL158" s="6">
        <f>COUNTIFS(Table6[Country],Tabela1[[#This Row],[Country]],Table6[63.5kg Classification],"&gt;0")</f>
        <v>0</v>
      </c>
      <c r="CM158" s="6">
        <f>COUNTIFS(Table6[Country],Tabela1[[#This Row],[Country]],Table6[71kg Classification],"&gt;0")</f>
        <v>0</v>
      </c>
      <c r="CN158" s="6">
        <f>COUNTIFS(Table6[Country],Tabela1[[#This Row],[Country]],Table6[80kg Classification],"&gt;0")</f>
        <v>0</v>
      </c>
      <c r="CO158" s="6">
        <f>COUNTIFS(Table6[Country],Tabela1[[#This Row],[Country]],Table6[92kg Classification],"&gt;0")</f>
        <v>0</v>
      </c>
      <c r="CP158" s="6">
        <f>COUNTIFS(Table6[Country],Tabela1[[#This Row],[Country]],Table6[Plus 92kg Classification],"&gt;0")</f>
        <v>0</v>
      </c>
      <c r="CQ158" s="6">
        <f>COUNTIFS(Table7[Country],Tabela1[[#This Row],[Country]],Table7[50kg Classification],"&gt;0")</f>
        <v>0</v>
      </c>
      <c r="CR158" s="6">
        <f>COUNTIFS(Table7[Country],Tabela1[[#This Row],[Country]],Table7[54kg Classification],"&gt;0")</f>
        <v>0</v>
      </c>
      <c r="CS158" s="6">
        <f>COUNTIFS(Table7[Country],Tabela1[[#This Row],[Country]],Table7[57kg Classification],"&gt;0")</f>
        <v>0</v>
      </c>
      <c r="CT158" s="6">
        <f>COUNTIFS(Table7[Country],Tabela1[[#This Row],[Country]],Table7[60kg Classification],"&gt;0")</f>
        <v>0</v>
      </c>
      <c r="CU158" s="6">
        <f>COUNTIFS(Table7[Country],Tabela1[[#This Row],[Country]],Table7[66kg Classification],"&gt;0")</f>
        <v>0</v>
      </c>
      <c r="CV158" s="6">
        <f>COUNTIFS(Table7[Country],Tabela1[[#This Row],[Country]],Table7[75kg Classification],"&gt;0")</f>
        <v>0</v>
      </c>
      <c r="CW158" s="6">
        <f>COUNTIFS(Tabela94[Country],Tabela1[[#This Row],[Country]],Tabela94[Classification],"&gt;0")</f>
        <v>0</v>
      </c>
      <c r="CX158" s="6">
        <f>COUNTIFS(Tabela9499[Country],Tabela1[[#This Row],[Country]],Tabela9499[Classification],"&gt;0")</f>
        <v>0</v>
      </c>
      <c r="CY158" s="6">
        <f>COUNTIFS(Tabela107[Country],Tabela1[[#This Row],[Country]],Tabela107[C1 Slalom Classification],"&gt;0")</f>
        <v>0</v>
      </c>
      <c r="CZ158" s="6">
        <f>COUNTIFS(Tabela107122[Country],Tabela1[[#This Row],[Country]],Tabela107122[C1 Slalom Classification],"&gt;0")</f>
        <v>0</v>
      </c>
      <c r="DA158" s="6">
        <f>COUNTIFS(Tabela107[Country],Tabela1[[#This Row],[Country]],Tabela107[K1 Slalom Classification],"&gt;0")</f>
        <v>0</v>
      </c>
      <c r="DB158" s="6">
        <f>COUNTIFS(Tabela107122[Country],Tabela1[[#This Row],[Country]],Tabela107122[K1 Slalom Classification],"&gt;0")</f>
        <v>0</v>
      </c>
      <c r="DC158" s="6">
        <f>COUNTIFS(Tabela107[Country],Tabela1[[#This Row],[Country]],Tabela107[Kayak Cross Slalom Classification],"&gt;0")</f>
        <v>0</v>
      </c>
      <c r="DD158" s="6">
        <f>COUNTIFS(Tabela107122[Country],Tabela1[[#This Row],[Country]],Tabela107122[Kayak Cross Slalom Classification],"&gt;0")</f>
        <v>0</v>
      </c>
      <c r="DE158" s="6">
        <f>COUNTIFS(Table8[Country],Tabela1[[#This Row],[Country]],Table8[C1 200m Classification],"&gt;0")</f>
        <v>0</v>
      </c>
      <c r="DF158" s="6">
        <f>COUNTIFS(Table40[Country],Tabela1[[#This Row],[Country]],Table40[C1 1000m Classification],"&gt;0")</f>
        <v>0</v>
      </c>
      <c r="DG158" s="6">
        <f>COUNTIFS(Table68[Country],Tabela1[[#This Row],[Country]],Table68[Men''s C2 500m Classification],"&gt;0")</f>
        <v>0</v>
      </c>
      <c r="DH158" s="6">
        <f>COUNTIFS(Table68[Country],Tabela1[[#This Row],[Country]],Table68[Women''s C2 500m Classification],"&gt;0")</f>
        <v>0</v>
      </c>
      <c r="DI158" s="6">
        <f>COUNTIFS(Table8[Country],Tabela1[[#This Row],[Country]],Table8[K1 500m Classification],"&gt;0")</f>
        <v>0</v>
      </c>
      <c r="DJ158" s="6">
        <f>COUNTIFS(Table40[Country],Tabela1[[#This Row],[Country]],Table40[K1 1000m Classification],"&gt;0")</f>
        <v>0</v>
      </c>
      <c r="DK158" s="6">
        <f>COUNTIFS(Table68[Country],Tabela1[[#This Row],[Country]],Table68[Men''s K2 500m Classification],"&gt;0")</f>
        <v>0</v>
      </c>
      <c r="DL158" s="6">
        <f>COUNTIFS(Table68[Country],Tabela1[[#This Row],[Country]],Table68[Women''s K2 500m Classification],"&gt;0")</f>
        <v>0</v>
      </c>
      <c r="DM158" s="6">
        <f>COUNTIFS(Table83[Country],Tabela1[[#This Row],[Country]],Table83[Men''s K4 500m Classification],"&gt;0")</f>
        <v>0</v>
      </c>
      <c r="DN158" s="6">
        <f>COUNTIFS(Table83[Country],Tabela1[[#This Row],[Country]],Table83[Women''s K4 500m Classification],"&gt;0")</f>
        <v>0</v>
      </c>
      <c r="DO158" s="6">
        <f>COUNTIFS(Tabela126[Country],Tabela1[[#This Row],[Country]],Tabela126[Classification],"&gt;0")</f>
        <v>0</v>
      </c>
      <c r="DP158" s="6">
        <f>COUNTIFS(Tabela126130[Country],Tabela1[[#This Row],[Country]],Tabela126130[Classification],"&gt;0")</f>
        <v>0</v>
      </c>
      <c r="DQ158" s="6">
        <f>COUNTIFS(Table70[Country],Tabela1[[#This Row],[Country]],Table70[Classification],"&gt;0")</f>
        <v>0</v>
      </c>
      <c r="DR158" s="6">
        <f>COUNTIFS(Table80[Country],Tabela1[[#This Row],[Country]],Table80[Classification],"&gt;0")</f>
        <v>0</v>
      </c>
      <c r="DS158" s="6">
        <f>COUNTIFS(Table66[Country],Tabela1[[#This Row],[Country]],Table66[Classification],"&gt;0")</f>
        <v>0</v>
      </c>
      <c r="DT158" s="6">
        <f>COUNTIFS(Table67[Country],Tabela1[[#This Row],[Country]],Table67[Classification],"&gt;0")</f>
        <v>0</v>
      </c>
      <c r="DU158" s="6">
        <f>COUNTIFS(Table69[Country],Tabela1[[#This Row],[Country]],Table69[Keirin Classification],"&gt;0")</f>
        <v>0</v>
      </c>
      <c r="DV158" s="6">
        <f>COUNTIFS(Table41[Country],Tabela1[[#This Row],[Country]],Table41[Keirin Classification],"&gt;0")</f>
        <v>0</v>
      </c>
      <c r="DW158" s="6">
        <f>COUNTIFS(Table84[Country],Tabela1[[#This Row],[Country]],Table84[Men''s Madison Classification],"&gt;0")</f>
        <v>0</v>
      </c>
      <c r="DX158" s="6">
        <f>COUNTIFS(Table84[Country],Tabela1[[#This Row],[Country]],Table84[Women''s Madison Classification],"&gt;0")</f>
        <v>0</v>
      </c>
      <c r="DY158" s="6">
        <f>COUNTIFS(Table69[Country],Tabela1[[#This Row],[Country]],Table69[Omnium Classification],"&gt;0")</f>
        <v>0</v>
      </c>
      <c r="DZ158" s="6">
        <f>COUNTIFS(Table41[Country],Tabela1[[#This Row],[Country]],Table41[Omnium Classification],"&gt;0")</f>
        <v>0</v>
      </c>
      <c r="EA158" s="6">
        <f>COUNTIFS(Table9[Country],Tabela1[[#This Row],[Country]],Table9[Road Race Classification],"&gt;0")</f>
        <v>0</v>
      </c>
      <c r="EB158" s="6">
        <f>COUNTIFS(Table14[Country],Tabela1[[#This Row],[Country]],Table14[Road Race Classification],"&gt;0")</f>
        <v>0</v>
      </c>
      <c r="EC158" s="6">
        <f>COUNTIFS(Table69[Country],Tabela1[[#This Row],[Country]],Table69[Sprint Classification],"&gt;0")</f>
        <v>0</v>
      </c>
      <c r="ED158" s="6">
        <f>COUNTIFS(Table41[Country],Tabela1[[#This Row],[Country]],Table41[Sprint Classification],"&gt;0")</f>
        <v>0</v>
      </c>
      <c r="EE158" s="6">
        <f>COUNTIFS(Table85[Country],Tabela1[[#This Row],[Country]],Table85[Men''s Sprint Classification],"&gt;0")</f>
        <v>0</v>
      </c>
      <c r="EF158" s="6">
        <f>COUNTIFS(Table85[Country],Tabela1[[#This Row],[Country]],Table85[Women''s Sprint Classification],"&gt;0")</f>
        <v>0</v>
      </c>
      <c r="EG158" s="6">
        <f>COUNTIFS(Table85[Country],Tabela1[[#This Row],[Country]],Table85[Men''s Pursuit Classification],"&gt;0")</f>
        <v>0</v>
      </c>
      <c r="EH158" s="6">
        <f>COUNTIFS(Table85[Country],Tabela1[[#This Row],[Country]],Table85[Women''s Pursuit Classification],"&gt;0")</f>
        <v>0</v>
      </c>
      <c r="EI158" s="6">
        <f>COUNTIFS(Table9[Country],Tabela1[[#This Row],[Country]],Table9[Time-Trial Classification],"&gt;0")</f>
        <v>0</v>
      </c>
      <c r="EJ158" s="6">
        <f>COUNTIFS(Table14[Country],Tabela1[[#This Row],[Country]],Table14[Time-Trial Classification],"&gt;0")</f>
        <v>0</v>
      </c>
      <c r="EK158" s="6">
        <f>COUNTIFS(Table42[Country],Tabela1[[#This Row],[Country]],Table42[Springboard Classification],"&gt;0")</f>
        <v>0</v>
      </c>
      <c r="EL158" s="6">
        <f>COUNTIFS(Table43[Country],Tabela1[[#This Row],[Country]],Table43[Springboard Classification],"&gt;0")</f>
        <v>0</v>
      </c>
      <c r="EM158" s="6">
        <f>COUNTIFS(Table42[Country],Tabela1[[#This Row],[Country]],Table42[Platform Classification],"&gt;0")</f>
        <v>0</v>
      </c>
      <c r="EN158" s="6">
        <f>COUNTIFS(Table43[Country],Tabela1[[#This Row],[Country]],Table43[Platform Classification],"&gt;0")</f>
        <v>0</v>
      </c>
      <c r="EO158" s="6">
        <f>COUNTIFS(Table86[Country],Tabela1[[#This Row],[Country]],Table86[Men''s Synchronized Springboard Classification],"&gt;0")</f>
        <v>0</v>
      </c>
      <c r="EP158" s="6">
        <f>COUNTIFS(Table86[Country],Tabela1[[#This Row],[Country]],Table86[Women''s Synchronized Springboard Classification],"&gt;0")</f>
        <v>0</v>
      </c>
      <c r="EQ158" s="6">
        <f>COUNTIFS(Table86[Country],Tabela1[[#This Row],[Country]],Table86[Men''s Synchronized Platform Classification],"&gt;0")</f>
        <v>0</v>
      </c>
      <c r="ER158" s="6">
        <f>COUNTIFS(Table86[Country],Tabela1[[#This Row],[Country]],Table86[Women''s Synchronized Platform Classification],"&gt;0")</f>
        <v>0</v>
      </c>
      <c r="ES158" s="6">
        <f>COUNTIFS(Table44[Country],Tabela1[[#This Row],[Country]],Table44[Dressage Classification],"&gt;0")</f>
        <v>0</v>
      </c>
      <c r="ET158" s="6">
        <f>COUNTIFS(Table45[Country],Tabela1[[#This Row],[Country]],Table45[Dressage Classification],"&gt;0")</f>
        <v>0</v>
      </c>
      <c r="EU158" s="6">
        <f>COUNTIFS(Table44[Country],Tabela1[[#This Row],[Country]],Table44[Eventing Classification],"&gt;0")</f>
        <v>0</v>
      </c>
      <c r="EV158" s="6">
        <f>COUNTIFS(Table45[Country],Tabela1[[#This Row],[Country]],Table45[Eventing Classification],"&gt;0")</f>
        <v>0</v>
      </c>
      <c r="EW158" s="6">
        <f>COUNTIFS(Table44[Country],Tabela1[[#This Row],[Country]],Table44[Jumping Classification],"&gt;0")</f>
        <v>0</v>
      </c>
      <c r="EX158" s="6">
        <f>COUNTIFS(Table45[Country],Tabela1[[#This Row],[Country]],Table45[Jumping Classification],"&gt;0")</f>
        <v>0</v>
      </c>
      <c r="EY158" s="6">
        <f>COUNTIFS(Table10[Country],Tabela1[[#This Row],[Country]],Table10[Épée Classification],"&gt;0")</f>
        <v>0</v>
      </c>
      <c r="EZ158" s="6">
        <f>COUNTIFS(Table11[Country],Tabela1[[#This Row],[Country]],Table11[Épée Classification],"&gt;0")</f>
        <v>0</v>
      </c>
      <c r="FA158" s="6">
        <f>COUNTIFS(Table46[Country],Tabela1[[#This Row],[Country]],Table46[Men''s Épée Classification],"&gt;0")</f>
        <v>0</v>
      </c>
      <c r="FB158" s="6">
        <f>COUNTIFS(Table46[Country],Tabela1[[#This Row],[Country]],Table46[Women''s Épée Classification],"&gt;0")</f>
        <v>0</v>
      </c>
      <c r="FC158" s="6">
        <f>COUNTIFS(Table10[Country],Tabela1[[#This Row],[Country]],Table10[Foil Classification],"&gt;0")</f>
        <v>0</v>
      </c>
      <c r="FD158" s="6">
        <f>COUNTIFS(Table11[Country],Tabela1[[#This Row],[Country]],Table11[Foil Classification],"&gt;0")</f>
        <v>0</v>
      </c>
      <c r="FE158" s="6">
        <f>COUNTIFS(Table46[Country],Tabela1[[#This Row],[Country]],Table46[Men''s Foil Classification],"&gt;0")</f>
        <v>0</v>
      </c>
      <c r="FF158" s="6">
        <f>COUNTIFS(Table46[Country],Tabela1[[#This Row],[Country]],Table46[Women''s Foil Classification],"&gt;0")</f>
        <v>0</v>
      </c>
      <c r="FG158" s="6">
        <f>COUNTIFS(Table10[Country],Tabela1[[#This Row],[Country]],Table10[Sabre Classification],"&gt;0")</f>
        <v>0</v>
      </c>
      <c r="FH158" s="6">
        <f>COUNTIFS(Table11[Country],Tabela1[[#This Row],[Country]],Table11[Sabre Classification],"&gt;0")</f>
        <v>0</v>
      </c>
      <c r="FI158" s="6">
        <f>COUNTIFS(Table46[Country],Tabela1[[#This Row],[Country]],Table46[Men''s Sabre Classification],"&gt;0")</f>
        <v>0</v>
      </c>
      <c r="FJ158" s="6">
        <f>COUNTIFS(Table46[Country],Tabela1[[#This Row],[Country]],Table46[Women''s Sabre Classification],"&gt;0")</f>
        <v>0</v>
      </c>
      <c r="FK158" s="6">
        <f>COUNTIFS(Table91[Country],Tabela1[[#This Row],[Country]],Table91[Men''s Classification],"&gt;0")</f>
        <v>0</v>
      </c>
      <c r="FL158" s="6">
        <f>COUNTIFS(Table91[Country],Tabela1[[#This Row],[Country]],Table91[Women''s Classification],"&gt;0")</f>
        <v>0</v>
      </c>
      <c r="FM158" s="6">
        <f>COUNTIFS(Table9194[Country],Tabela1[[#This Row],[Country]],Table9194[Men''s Classification],"&gt;0")</f>
        <v>0</v>
      </c>
      <c r="FN158" s="6">
        <f>COUNTIFS(Table9194[Country],Tabela1[[#This Row],[Country]],Table9194[Women''s Classification],"&gt;0")</f>
        <v>0</v>
      </c>
      <c r="FO158" s="6">
        <f>COUNTIFS(Table71[Country],Tabela1[[#This Row],[Country]],Table71[Classification],"&gt;0")</f>
        <v>0</v>
      </c>
      <c r="FP158" s="6">
        <f>COUNTIFS(Table62[Country],Tabela1[[#This Row],[Country]],Table62[Classification],"&gt;0")</f>
        <v>0</v>
      </c>
      <c r="FQ158" s="6">
        <f>COUNTIFS(Table47[Country],Tabela1[[#This Row],[Country]],Table47[All-Around Classification],"&gt;0")</f>
        <v>0</v>
      </c>
      <c r="FR158" s="6">
        <f>COUNTIFS(Table48[Country],Tabela1[[#This Row],[Country]],Table48[All-Around Classification],"&gt;0")</f>
        <v>0</v>
      </c>
      <c r="FS158" s="6">
        <f>COUNTIFS(Table81[Country],Tabela1[[#This Row],[Country]],Table81[Men''s All-Around Classification],"&gt;0")</f>
        <v>0</v>
      </c>
      <c r="FT158" s="6">
        <f>COUNTIFS(Table81[Country],Tabela1[[#This Row],[Country]],Table81[Women''s All-Around Classification],"&gt;0")</f>
        <v>0</v>
      </c>
      <c r="FU158" s="6">
        <f>COUNTIFS(Table48[Country],Tabela1[[#This Row],[Country]],Table48[Balance Beam Classification],"&gt;0")</f>
        <v>0</v>
      </c>
      <c r="FV158" s="6">
        <f>COUNTIFS(Table47[Country],Tabela1[[#This Row],[Country]],Table47[Floor Exercise Classification],"&gt;0")</f>
        <v>0</v>
      </c>
      <c r="FW158" s="6">
        <f>COUNTIFS(Table48[Country],Tabela1[[#This Row],[Country]],Table48[Floor Exercise Classification],"&gt;0")</f>
        <v>0</v>
      </c>
      <c r="FX158" s="6">
        <f>COUNTIFS(Table47[Country],Tabela1[[#This Row],[Country]],Table47[Horizontal Bar Classification],"&gt;0")</f>
        <v>0</v>
      </c>
      <c r="FY158" s="6">
        <f>COUNTIFS(Table47[Country],Tabela1[[#This Row],[Country]],Table47[Parallel Bars Classification],"&gt;0")</f>
        <v>0</v>
      </c>
      <c r="FZ158" s="6">
        <f>COUNTIFS(Table47[Country],Tabela1[[#This Row],[Country]],Table47[Pommel Horse Classification],"&gt;0")</f>
        <v>0</v>
      </c>
      <c r="GA158" s="6">
        <f>COUNTIFS(Table47[Country],Tabela1[[#This Row],[Country]],Table47[Rings Classification],"&gt;0")</f>
        <v>0</v>
      </c>
      <c r="GB158" s="6">
        <f>COUNTIFS(Tabela132[Country],Tabela1[[#This Row],[Country]],Tabela132[Classification],"&gt;0")</f>
        <v>0</v>
      </c>
      <c r="GC158" s="6">
        <f>COUNTIFS(Tabela139[Country],Tabela1[[#This Row],[Country]],Tabela139[Classification],"&gt;0")</f>
        <v>0</v>
      </c>
      <c r="GD158" s="6">
        <f>COUNTIFS(Table48[Country],Tabela1[[#This Row],[Country]],Table48[Uneven Bars Classification],"&gt;0")</f>
        <v>0</v>
      </c>
      <c r="GE158" s="6">
        <f>COUNTIFS(Table47[Country],Tabela1[[#This Row],[Country]],Table47[Vault Classification],"&gt;0")</f>
        <v>0</v>
      </c>
      <c r="GF158" s="6">
        <f>COUNTIFS(Table48[Country],Tabela1[[#This Row],[Country]],Table48[Vault Classification],"&gt;0")</f>
        <v>0</v>
      </c>
      <c r="GG158" s="6">
        <f>COUNTIFS(Table919496[Country],Tabela1[[#This Row],[Country]],Table919496[Men''s Classification],"&gt;0")</f>
        <v>0</v>
      </c>
      <c r="GH158" s="6">
        <f>COUNTIFS(Table919496[Country],Tabela1[[#This Row],[Country]],Table919496[Women''s Classification],"&gt;0")</f>
        <v>0</v>
      </c>
      <c r="GI158" s="6">
        <f>COUNTIFS(Table12[Country],Tabela1[[#This Row],[Country]],Table12[60kg Classification],"&gt;0")</f>
        <v>0</v>
      </c>
      <c r="GJ158" s="6">
        <f>COUNTIFS(Table12[Country],Tabela1[[#This Row],[Country]],Table12[66kg Classification],"&gt;0")</f>
        <v>0</v>
      </c>
      <c r="GK158" s="6">
        <f>COUNTIFS(Table12[Country],Tabela1[[#This Row],[Country]],Table12[73kg Classification],"&gt;0")</f>
        <v>0</v>
      </c>
      <c r="GL158" s="6">
        <f>COUNTIFS(Table12[Country],Tabela1[[#This Row],[Country]],Table12[81kg Classification],"&gt;0")</f>
        <v>0</v>
      </c>
      <c r="GM158" s="6">
        <f>COUNTIFS(Table12[Country],Tabela1[[#This Row],[Country]],Table12[90kg Classification],"&gt;0")</f>
        <v>0</v>
      </c>
      <c r="GN158" s="6">
        <f>COUNTIFS(Table12[Country],Tabela1[[#This Row],[Country]],Table12[100kg Classification],"&gt;0")</f>
        <v>0</v>
      </c>
      <c r="GO158" s="6">
        <f>COUNTIFS(Table12[Country],Tabela1[[#This Row],[Country]],Table12[Plus 100kg Classification],"&gt;0")</f>
        <v>0</v>
      </c>
      <c r="GP158" s="6">
        <f>COUNTIFS(Table13[Country],Tabela1[[#This Row],[Country]],Table13[48kg Classification],"&gt;0")</f>
        <v>0</v>
      </c>
      <c r="GQ158" s="6">
        <f>COUNTIFS(Table13[Country],Tabela1[[#This Row],[Country]],Table13[52kg Classification],"&gt;0")</f>
        <v>0</v>
      </c>
      <c r="GR158" s="6">
        <f>COUNTIFS(Table13[Country],Tabela1[[#This Row],[Country]],Table13[57kg Classification],"&gt;0")</f>
        <v>0</v>
      </c>
      <c r="GS158" s="6">
        <f>COUNTIFS(Table13[Country],Tabela1[[#This Row],[Country]],Table13[63kg Classification],"&gt;0")</f>
        <v>0</v>
      </c>
      <c r="GT158" s="6">
        <f>COUNTIFS(Table13[Country],Tabela1[[#This Row],[Country]],Table13[70kg Classification],"&gt;0")</f>
        <v>0</v>
      </c>
      <c r="GU158" s="6">
        <f>COUNTIFS(Table13[Country],Tabela1[[#This Row],[Country]],Table13[78kg Classification],"&gt;0")</f>
        <v>0</v>
      </c>
      <c r="GV158" s="6">
        <f>COUNTIFS(Table13[Country],Tabela1[[#This Row],[Country]],Table13[Plus 78kg Classification],"&gt;0")</f>
        <v>0</v>
      </c>
      <c r="GW158" s="6">
        <f>COUNTIFS(Table82[Country],Tabela1[[#This Row],[Country]],Table82[Mixed Classification],"&gt;0")</f>
        <v>0</v>
      </c>
      <c r="GX158" s="6">
        <f>COUNTIFS(Table51[Country],Tabela1[[#This Row],[Country]],Table51[Classification],"&gt;0")</f>
        <v>0</v>
      </c>
      <c r="GY158" s="6">
        <f>COUNTIFS(Table52[Country],Tabela1[[#This Row],[Country]],Table52[Classification],"&gt;0")</f>
        <v>0</v>
      </c>
      <c r="GZ158" s="6">
        <f>COUNTIFS(Table32[Country],Tabela1[[#This Row],[Country]],Table32[All-Around Classification],"&gt;0")</f>
        <v>0</v>
      </c>
      <c r="HA158" s="6">
        <f>COUNTIFS(Table49[Country],Tabela1[[#This Row],[Country]],Table49[All-Around Classification],"&gt;0")</f>
        <v>0</v>
      </c>
      <c r="HB158" s="6">
        <f>COUNTIFS(Table26[Country],Tabela1[[#This Row],[Country]],Table26[Single Sculls Classification],"&gt;0")</f>
        <v>0</v>
      </c>
      <c r="HC158" s="6">
        <f>COUNTIFS(Table63[Country],Tabela1[[#This Row],[Country]],Table63[Single Sculls Classification],"&gt;0")</f>
        <v>0</v>
      </c>
      <c r="HD158" s="6">
        <f>COUNTIFS(Table16[Country],Tabela1[[#This Row],[Country]],Table16[Men''s Double Sculls Classification],"&gt;0")</f>
        <v>0</v>
      </c>
      <c r="HE158" s="6">
        <f>COUNTIFS(Table16[Country],Tabela1[[#This Row],[Country]],Table16[Women''s Double Sculls Classification],"&gt;0")</f>
        <v>0</v>
      </c>
      <c r="HF158" s="6">
        <f>COUNTIFS(Table72[Country],Tabela1[[#This Row],[Country]],Table72[Men''s Quadruple Sculls Classification],"&gt;0")</f>
        <v>0</v>
      </c>
      <c r="HG158" s="6">
        <f>COUNTIFS(Table72[Country],Tabela1[[#This Row],[Country]],Table72[Women''s Quadruple Sculls Classification],"&gt;0")</f>
        <v>0</v>
      </c>
      <c r="HH158" s="6">
        <f>COUNTIFS(Table16[Country],Tabela1[[#This Row],[Country]],Table16[Men''s Coxless Pairs Classification],"&gt;0")</f>
        <v>0</v>
      </c>
      <c r="HI158" s="6">
        <f>COUNTIFS(Table16[Country],Tabela1[[#This Row],[Country]],Table16[Women''s Coxless Pairs Classification],"&gt;0")</f>
        <v>0</v>
      </c>
      <c r="HJ158" s="6">
        <f>COUNTIFS(Table72[Country],Tabela1[[#This Row],[Country]],Table72[Men''s Coxless Fours Classification],"&gt;0")</f>
        <v>0</v>
      </c>
      <c r="HK158" s="6">
        <f>COUNTIFS(Table72[Country],Tabela1[[#This Row],[Country]],Table72[Women''s Coxless Fours Classification],"&gt;0")</f>
        <v>0</v>
      </c>
      <c r="HL158" s="6">
        <f>COUNTIFS(Table72[Country],Tabela1[[#This Row],[Country]],Table72[Men''s Eights Classification],"&gt;0")</f>
        <v>0</v>
      </c>
      <c r="HM158" s="6">
        <f>COUNTIFS(Table72[Country],Tabela1[[#This Row],[Country]],Table72[Women''s Eights Classification],"&gt;0")</f>
        <v>0</v>
      </c>
      <c r="HN158" s="6">
        <f>COUNTIFS(Table16[Country],Tabela1[[#This Row],[Country]],Table16[Men''s Lwt. Double Sculls Classification],"&gt;0")</f>
        <v>0</v>
      </c>
      <c r="HO158" s="6">
        <f>COUNTIFS(Table16[Country],Tabela1[[#This Row],[Country]],Table16[Women''s Lwt. Double Sculls Classification],"&gt;0")</f>
        <v>0</v>
      </c>
      <c r="HP158" s="6">
        <f>COUNTIFS(Table91949698[Country],Tabela1[[#This Row],[Country]],Table91949698[Men''s Classification],"&gt;0")</f>
        <v>0</v>
      </c>
      <c r="HQ158" s="6">
        <f>COUNTIFS(Table91949698[Country],Tabela1[[#This Row],[Country]],Table91949698[Women''s Classification],"&gt;0")</f>
        <v>0</v>
      </c>
      <c r="HR158" s="6">
        <f>COUNTIFS(Table25[Country],Tabela1[[#This Row],[Country]],Table25[Mixed 470 Classification],"&gt;0")</f>
        <v>0</v>
      </c>
      <c r="HS158" s="6">
        <f>COUNTIFS(Table25[Country],Tabela1[[#This Row],[Country]],Table25[Men''s 49er Classification],"&gt;0")</f>
        <v>0</v>
      </c>
      <c r="HT158" s="6">
        <f>COUNTIFS(Table25[Country],Tabela1[[#This Row],[Country]],Table25[Women''s 49er FX Classification],"&gt;0")</f>
        <v>0</v>
      </c>
      <c r="HU158" s="6">
        <f>COUNTIFS(Table17[Country],Tabela1[[#This Row],[Country]],Table17[Formula Kite Classification],"&gt;0")</f>
        <v>0</v>
      </c>
      <c r="HV158" s="6">
        <f>COUNTIFS(Table18[Country],Tabela1[[#This Row],[Country]],Table18[Formula Kite Classification],"&gt;0")</f>
        <v>0</v>
      </c>
      <c r="HW158" s="6">
        <f>COUNTIFS(Table17[Country],Tabela1[[#This Row],[Country]],Table17[ILCA 7 Classification],"&gt;0")</f>
        <v>0</v>
      </c>
      <c r="HX158" s="6">
        <f>COUNTIFS(Table18[Country],Tabela1[[#This Row],[Country]],Table18[ILCA 6 Classification],"&gt;0")</f>
        <v>0</v>
      </c>
      <c r="HY158" s="6">
        <f>COUNTIFS(Table17[Country],Tabela1[[#This Row],[Country]],Table17[IQFoil Classification],"&gt;0")</f>
        <v>0</v>
      </c>
      <c r="HZ158" s="6">
        <f>COUNTIFS(Table18[Country],Tabela1[[#This Row],[Country]],Table18[IQFoil Classification],"&gt;0")</f>
        <v>0</v>
      </c>
      <c r="IA158" s="6">
        <f>COUNTIFS(Table25[Country],Tabela1[[#This Row],[Country]],Table25[Mixed Nacra 17 Classification],"&gt;0")</f>
        <v>0</v>
      </c>
      <c r="IB158" s="6">
        <f>COUNTIFS(Table53[Country],Tabela1[[#This Row],[Country]],Table53[10m Air Pistol Classification],"&gt;0")</f>
        <v>0</v>
      </c>
      <c r="IC158" s="6">
        <f>COUNTIFS(Table19[Country],Tabela1[[#This Row],[Country]],Table19[10m Air Pistol Classification],"&gt;0")</f>
        <v>0</v>
      </c>
      <c r="ID158" s="6">
        <f>COUNTIFS(Table54[Country],Tabela1[[#This Row],[Country]],Table54[Mixed 10m Air Pistol Team Classification],"&gt;0")</f>
        <v>0</v>
      </c>
      <c r="IE158" s="6">
        <f>COUNTIFS(Table53[Country],Tabela1[[#This Row],[Country]],Table53[10m Air Rifle Classification],"&gt;0")</f>
        <v>0</v>
      </c>
      <c r="IF158" s="6">
        <f>COUNTIFS(Table19[Country],Tabela1[[#This Row],[Country]],Table19[10m Air Rifle Classification],"&gt;0")</f>
        <v>0</v>
      </c>
      <c r="IG158" s="6">
        <f>COUNTIFS(Table54[Country],Tabela1[[#This Row],[Country]],Table54[Mixed 10m Air Rifle Team Classification],"&gt;0")</f>
        <v>0</v>
      </c>
      <c r="IH158" s="6">
        <f>COUNTIFS(Table53[Country],Tabela1[[#This Row],[Country]],Table53[25m Rapid Fire Pistol Classification],"&gt;0")</f>
        <v>0</v>
      </c>
      <c r="II158" s="6">
        <f>COUNTIFS(Table19[Country],Tabela1[[#This Row],[Country]],Table19[25m Pistol Classification],"&gt;0")</f>
        <v>0</v>
      </c>
      <c r="IJ158" s="6">
        <f>COUNTIFS(Table53[Country],Tabela1[[#This Row],[Country]],Table53[50m Rifle 3 Positions Classification],"&gt;0")</f>
        <v>0</v>
      </c>
      <c r="IK158" s="6">
        <f>COUNTIFS(Table19[Country],Tabela1[[#This Row],[Country]],Table19[50m Rifle 3 Positions Classification],"&gt;0")</f>
        <v>0</v>
      </c>
      <c r="IL158" s="6">
        <f>COUNTIFS(Table53[Country],Tabela1[[#This Row],[Country]],Table53[Skeet Classification],"&gt;0")</f>
        <v>0</v>
      </c>
      <c r="IM158" s="6">
        <f>COUNTIFS(Table19[Country],Tabela1[[#This Row],[Country]],Table19[Skeet Classification],"&gt;0")</f>
        <v>0</v>
      </c>
      <c r="IN158" s="6">
        <f>COUNTIFS(Table54[Country],Tabela1[[#This Row],[Country]],Table54[Mixed Skeet Team Classification],"&gt;0")</f>
        <v>0</v>
      </c>
      <c r="IO158" s="6">
        <f>COUNTIFS(Table53[Country],Tabela1[[#This Row],[Country]],Table53[Trap Classification],"&gt;0")</f>
        <v>0</v>
      </c>
      <c r="IP158" s="6">
        <f>COUNTIFS(Table19[Country],Tabela1[[#This Row],[Country]],Table19[Trap Classification],"&gt;0")</f>
        <v>0</v>
      </c>
      <c r="IQ158" s="6">
        <f>COUNTIFS(Table73[Country],Tabela1[[#This Row],[Country]],Table73[Park Classification],"&gt;0")</f>
        <v>0</v>
      </c>
      <c r="IR158" s="6">
        <f>COUNTIFS(Table74[Country],Tabela1[[#This Row],[Country]],Table74[Park Classification],"&gt;0")</f>
        <v>0</v>
      </c>
      <c r="IS158" s="6">
        <f>COUNTIFS(Table73[Country],Tabela1[[#This Row],[Country]],Table73[Street Classification],"&gt;0")</f>
        <v>0</v>
      </c>
      <c r="IT158" s="6">
        <f>COUNTIFS(Table74[Country],Tabela1[[#This Row],[Country]],Table74[Street Classification],"&gt;0")</f>
        <v>0</v>
      </c>
      <c r="IU158" s="6">
        <f>COUNTIFS(Table75[Country],Tabela1[[#This Row],[Country]],Table75[Boulder and Lead Classification],"&gt;0")</f>
        <v>0</v>
      </c>
      <c r="IV158" s="6">
        <f>COUNTIFS(Table76[Country],Tabela1[[#This Row],[Country]],Table76[Boulder and Lead Classification],"&gt;0")</f>
        <v>0</v>
      </c>
      <c r="IW158" s="6">
        <f>COUNTIFS(Table75[Country],Tabela1[[#This Row],[Country]],Table75[Speed Classification],"&gt;0")</f>
        <v>0</v>
      </c>
      <c r="IX158" s="6">
        <f>COUNTIFS(Table76[Country],Tabela1[[#This Row],[Country]],Table76[Speed Classification],"&gt;0")</f>
        <v>0</v>
      </c>
      <c r="IY158" s="6">
        <f>COUNTIFS(Table64[Country],Tabela1[[#This Row],[Country]],Table64[Shortboard Classification],"&gt;0")</f>
        <v>0</v>
      </c>
      <c r="IZ158" s="6">
        <f>COUNTIFS(Table77[Country],Tabela1[[#This Row],[Country]],Table77[Shortboard Classification],"&gt;0")</f>
        <v>0</v>
      </c>
      <c r="JA158" s="6">
        <f>COUNTIFS(Table20[Country],Tabela1[[#This Row],[Country]],Table20[50m Freestyle Classification],"&gt;0")</f>
        <v>0</v>
      </c>
      <c r="JB158" s="6">
        <f>COUNTIFS(Table21[Country],Tabela1[[#This Row],[Country]],Table21[50m Freestyle Classification],"&gt;0")</f>
        <v>0</v>
      </c>
      <c r="JC158" s="6">
        <f>COUNTIFS(Table20[Country],Tabela1[[#This Row],[Country]],Table20[100m Freestyle Classification],"&gt;0")</f>
        <v>0</v>
      </c>
      <c r="JD158" s="6">
        <f>COUNTIFS(Table21[Country],Tabela1[[#This Row],[Country]],Table21[100m Freestyle Classification],"&gt;0")</f>
        <v>0</v>
      </c>
      <c r="JE158" s="6">
        <f>COUNTIFS(Table20[Country],Tabela1[[#This Row],[Country]],Table20[200m Freestyle Classification],"&gt;0")</f>
        <v>0</v>
      </c>
      <c r="JF158" s="6">
        <f>COUNTIFS(Table21[Country],Tabela1[[#This Row],[Country]],Table21[200m Freestyle Classification],"&gt;0")</f>
        <v>0</v>
      </c>
      <c r="JG158" s="6">
        <f>COUNTIFS(Table20[Country],Tabela1[[#This Row],[Country]],Table20[400m Freestyle Classification],"&gt;0")</f>
        <v>0</v>
      </c>
      <c r="JH158" s="6">
        <f>COUNTIFS(Table21[Country],Tabela1[[#This Row],[Country]],Table21[400m Freestyle Classification],"&gt;0")</f>
        <v>0</v>
      </c>
      <c r="JI158" s="6">
        <f>COUNTIFS(Table20[Country],Tabela1[[#This Row],[Country]],Table20[800m Freestyle Classification],"&gt;0")</f>
        <v>0</v>
      </c>
      <c r="JJ158" s="6">
        <f>COUNTIFS(Table21[Country],Tabela1[[#This Row],[Country]],Table21[800m Freestyle Classification],"&gt;0")</f>
        <v>0</v>
      </c>
      <c r="JK158" s="6">
        <f>COUNTIFS(Table20[Country],Tabela1[[#This Row],[Country]],Table20[1500m Freestyle Classification],"&gt;0")</f>
        <v>0</v>
      </c>
      <c r="JL158" s="6">
        <f>COUNTIFS(Table21[Country],Tabela1[[#This Row],[Country]],Table21[1500m Freestyle Classification],"&gt;0")</f>
        <v>0</v>
      </c>
      <c r="JM158" s="6">
        <f>COUNTIFS(Table20[Country],Tabela1[[#This Row],[Country]],Table20[100m Backstroke Classification],"&gt;0")</f>
        <v>0</v>
      </c>
      <c r="JN158" s="6">
        <f>COUNTIFS(Table21[Country],Tabela1[[#This Row],[Country]],Table21[100m Backstroke Classification],"&gt;0")</f>
        <v>0</v>
      </c>
      <c r="JO158" s="6">
        <f>COUNTIFS(Table20[Country],Tabela1[[#This Row],[Country]],Table20[200m Backstroke Classification],"&gt;0")</f>
        <v>0</v>
      </c>
      <c r="JP158" s="6">
        <f>COUNTIFS(Table21[Country],Tabela1[[#This Row],[Country]],Table21[200m Backstroke Classification],"&gt;0")</f>
        <v>0</v>
      </c>
      <c r="JQ158" s="6">
        <f>COUNTIFS(Table20[Country],Tabela1[[#This Row],[Country]],Table20[100m Breaststroke Classification],"&gt;0")</f>
        <v>0</v>
      </c>
      <c r="JR158" s="6">
        <f>COUNTIFS(Table21[Country],Tabela1[[#This Row],[Country]],Table21[100m Breaststroke Classification],"&gt;0")</f>
        <v>0</v>
      </c>
      <c r="JS158" s="6">
        <f>COUNTIFS(Table20[Country],Tabela1[[#This Row],[Country]],Table20[200m Breaststroke Classification],"&gt;0")</f>
        <v>0</v>
      </c>
      <c r="JT158" s="6">
        <f>COUNTIFS(Table21[Country],Tabela1[[#This Row],[Country]],Table21[200m Breaststroke Classification],"&gt;0")</f>
        <v>0</v>
      </c>
      <c r="JU158" s="6">
        <f>COUNTIFS(Table20[Country],Tabela1[[#This Row],[Country]],Table20[100m Butterfly Classification],"&gt;0")</f>
        <v>0</v>
      </c>
      <c r="JV158" s="6">
        <f>COUNTIFS(Table21[Country],Tabela1[[#This Row],[Country]],Table21[100m Butterfly Classification],"&gt;0")</f>
        <v>0</v>
      </c>
      <c r="JW158" s="6">
        <f>COUNTIFS(Table20[Country],Tabela1[[#This Row],[Country]],Table20[200m Butterfly Classification],"&gt;0")</f>
        <v>0</v>
      </c>
      <c r="JX158" s="6">
        <f>COUNTIFS(Table21[Country],Tabela1[[#This Row],[Country]],Table21[200m Butterfly Classification],"&gt;0")</f>
        <v>0</v>
      </c>
      <c r="JY158" s="6">
        <f>COUNTIFS(Table20[Country],Tabela1[[#This Row],[Country]],Table20[200m Medley Classification],"&gt;0")</f>
        <v>0</v>
      </c>
      <c r="JZ158" s="6">
        <f>COUNTIFS(Table21[Country],Tabela1[[#This Row],[Country]],Table21[200m Medley Classification],"&gt;0")</f>
        <v>0</v>
      </c>
      <c r="KA158" s="6">
        <f>COUNTIFS(Table20[Country],Tabela1[[#This Row],[Country]],Table20[400m Medley Classification],"&gt;0")</f>
        <v>0</v>
      </c>
      <c r="KB158" s="6">
        <f>COUNTIFS(Table21[Country],Tabela1[[#This Row],[Country]],Table21[400m Medley Classification],"&gt;0")</f>
        <v>0</v>
      </c>
      <c r="KC158" s="6">
        <f>COUNTIFS(Table78[Country],Tabela1[[#This Row],[Country]],Table78[Men''s 4x100m Freestyle Relay Classification],"&gt;0")</f>
        <v>0</v>
      </c>
      <c r="KD158" s="6">
        <f>COUNTIFS(Table78[Country],Tabela1[[#This Row],[Country]],Table78[Women''s 4x100m Freestyle Relay Classification],"&gt;0")</f>
        <v>0</v>
      </c>
      <c r="KE158" s="6">
        <f>COUNTIFS(Table78[Country],Tabela1[[#This Row],[Country]],Table78[Men''s 4x200m Freestyle Relay Classification],"&gt;0")</f>
        <v>0</v>
      </c>
      <c r="KF158" s="6">
        <f>COUNTIFS(Table78[Country],Tabela1[[#This Row],[Country]],Table78[Women''s 4x200m Freestyle Relay Classification],"&gt;0")</f>
        <v>0</v>
      </c>
      <c r="KG158" s="6">
        <f>COUNTIFS(Table78[Country],Tabela1[[#This Row],[Country]],Table78[Men''s 4x100m Medley Relay Classification],"&gt;0")</f>
        <v>0</v>
      </c>
      <c r="KH158" s="6">
        <f>COUNTIFS(Table78[Country],Tabela1[[#This Row],[Country]],Table78[Women''s 4x100m Medley Relay Classification],"&gt;0")</f>
        <v>0</v>
      </c>
      <c r="KI158" s="6">
        <f>COUNTIFS(Table78[Country],Tabela1[[#This Row],[Country]],Table78[Mixed 4x100m Medley Relay Classification],"&gt;0")</f>
        <v>0</v>
      </c>
      <c r="KJ158" s="6">
        <f>COUNTIFS(Table20[Country],Tabela1[[#This Row],[Country]],Table20[10km Open Water Classification],"&gt;0")</f>
        <v>0</v>
      </c>
      <c r="KK158" s="6">
        <f>COUNTIFS(Table21[Country],Tabela1[[#This Row],[Country]],Table21[10km Open Water Classification],"&gt;0")</f>
        <v>0</v>
      </c>
      <c r="KL158" s="6">
        <f>COUNTIFS(Table22[Country],Tabela1[[#This Row],[Country]],Table22[Classification],"&gt;0")</f>
        <v>0</v>
      </c>
      <c r="KM158" s="6">
        <f>COUNTIFS(Table30[Country],Tabela1[[#This Row],[Country]],Table30[Classification],"&gt;0")</f>
        <v>0</v>
      </c>
      <c r="KN158" s="6">
        <f>COUNTIFS(Table55[Country],Tabela1[[#This Row],[Country]],Table55[Men''s Classification],"&gt;0")</f>
        <v>0</v>
      </c>
      <c r="KO158" s="6">
        <f>COUNTIFS(Table55[Country],Tabela1[[#This Row],[Country]],Table55[Women''s Classification],"&gt;0")</f>
        <v>0</v>
      </c>
      <c r="KP158" s="6">
        <f>COUNTIFS(Table56[Country],Tabela1[[#This Row],[Country]],Table56[Mixed Classification],"&gt;0")</f>
        <v>0</v>
      </c>
      <c r="KQ158" s="6">
        <f>COUNTIFS(Table29[Country],Tabela1[[#This Row],[Country]],Table29[58kg Classification],"&gt;0")</f>
        <v>0</v>
      </c>
      <c r="KR158" s="6">
        <f>COUNTIFS(Table29[Country],Tabela1[[#This Row],[Country]],Table29[68kg Classification],"&gt;0")</f>
        <v>0</v>
      </c>
      <c r="KS158" s="6">
        <f>COUNTIFS(Table29[Country],Tabela1[[#This Row],[Country]],Table29[80kg Classification],"&gt;0")</f>
        <v>0</v>
      </c>
      <c r="KT158" s="6">
        <f>COUNTIFS(Table29[Country],Tabela1[[#This Row],[Country]],Table29[Plus 80kg Classification],"&gt;0")</f>
        <v>0</v>
      </c>
      <c r="KU158" s="6">
        <f>COUNTIFS(Table34[Country],Tabela1[[#This Row],[Country]],Table34[49kg Classification],"&gt;0")</f>
        <v>0</v>
      </c>
      <c r="KV158" s="6">
        <f>COUNTIFS(Table34[Country],Tabela1[[#This Row],[Country]],Table34[57kg Classification],"&gt;0")</f>
        <v>0</v>
      </c>
      <c r="KW158" s="6">
        <f>COUNTIFS(Table34[Country],Tabela1[[#This Row],[Country]],Table34[67kg Classification],"&gt;0")</f>
        <v>0</v>
      </c>
      <c r="KX158" s="6">
        <f>COUNTIFS(Table34[Country],Tabela1[[#This Row],[Country]],Table34[Plus 67kg Classification],"&gt;0")</f>
        <v>0</v>
      </c>
      <c r="KY158" s="6">
        <f>COUNTIFS(Table57[Country],Tabela1[[#This Row],[Country]],Table57[Classification],"&gt;0")</f>
        <v>0</v>
      </c>
      <c r="KZ158" s="6">
        <f>COUNTIFS(Table58[Country],Tabela1[[#This Row],[Country]],Table58[Classification],"&gt;0")</f>
        <v>0</v>
      </c>
      <c r="LA158" s="6">
        <f>COUNTIFS(Table79[Country],Tabela1[[#This Row],[Country]],Table79[Men''s Classification],"&gt;0")</f>
        <v>0</v>
      </c>
      <c r="LB158" s="6">
        <f>COUNTIFS(Table79[Country],Tabela1[[#This Row],[Country]],Table79[Women''s Classification],"&gt;0")</f>
        <v>0</v>
      </c>
      <c r="LC158" s="6">
        <f>COUNTIFS(Table79[Country],Tabela1[[#This Row],[Country]],Table79[Mixed Classification],"&gt;0")</f>
        <v>0</v>
      </c>
      <c r="LD158" s="6">
        <f>COUNTIFS(Table65[Country],Tabela1[[#This Row],[Country]],Table65[Classification],"&gt;0")</f>
        <v>0</v>
      </c>
      <c r="LE158" s="6">
        <f>COUNTIFS(Table59[Country],Tabela1[[#This Row],[Country]],Table59[Classification],"&gt;0")</f>
        <v>0</v>
      </c>
      <c r="LF158" s="6">
        <f>COUNTIFS(Table87[Country],Tabela1[[#This Row],[Country]],Table87[Mixed Relay Classification],"&gt;0")</f>
        <v>0</v>
      </c>
      <c r="LG158" s="6">
        <f>COUNTIFS(Table91949698100[Country],Tabela1[[#This Row],[Country]],Table91949698100[Men''s Classification],"&gt;0")</f>
        <v>0</v>
      </c>
      <c r="LH158" s="6">
        <f>COUNTIFS(Table91949698100[Country],Tabela1[[#This Row],[Country]],Table91949698100[Women''s Classification],"&gt;0")</f>
        <v>0</v>
      </c>
      <c r="LI158" s="6">
        <f>COUNTIFS(Table91949698100102[Country],Tabela1[[#This Row],[Country]],Table91949698100102[Men''s Classification],"&gt;0")</f>
        <v>0</v>
      </c>
      <c r="LJ158" s="6">
        <f>COUNTIFS(Table91949698100102[Country],Tabela1[[#This Row],[Country]],Table91949698100102[Women''s Classification],"&gt;0")</f>
        <v>0</v>
      </c>
      <c r="LK158" s="6">
        <f>COUNTIFS(Table23[Country],Tabela1[[#This Row],[Country]],Table23[61kg Classification],"&gt;0")</f>
        <v>0</v>
      </c>
      <c r="LL158" s="6">
        <f>COUNTIFS(Table23[Country],Tabela1[[#This Row],[Country]],Table23[73kg Classification],"&gt;0")</f>
        <v>0</v>
      </c>
      <c r="LM158" s="6">
        <f>COUNTIFS(Table23[Country],Tabela1[[#This Row],[Country]],Table23[89kg Classification],"&gt;0")</f>
        <v>0</v>
      </c>
      <c r="LN158" s="6">
        <f>COUNTIFS(Table23[Country],Tabela1[[#This Row],[Country]],Table23[102kg Classification],"&gt;0")</f>
        <v>0</v>
      </c>
      <c r="LO158" s="6">
        <f>COUNTIFS(Table23[Country],Tabela1[[#This Row],[Country]],Table23[Plus 102kg Classification],"&gt;0")</f>
        <v>0</v>
      </c>
      <c r="LP158" s="6">
        <f>COUNTIFS(Table28[Country],Tabela1[[#This Row],[Country]],Table28[49kg Classification],"&gt;0")</f>
        <v>0</v>
      </c>
      <c r="LQ158" s="6">
        <f>COUNTIFS(Table28[Country],Tabela1[[#This Row],[Country]],Table28[59kg Classification],"&gt;0")</f>
        <v>0</v>
      </c>
      <c r="LR158" s="6">
        <f>COUNTIFS(Table28[Country],Tabela1[[#This Row],[Country]],Table28[71kg Classification],"&gt;0")</f>
        <v>0</v>
      </c>
      <c r="LS158" s="6">
        <f>COUNTIFS(Table28[Country],Tabela1[[#This Row],[Country]],Table28[81kg Classification],"&gt;0")</f>
        <v>0</v>
      </c>
      <c r="LT158" s="6">
        <f>COUNTIFS(Table28[Country],Tabela1[[#This Row],[Country]],Table28[Plus 81kg Classification],"&gt;0")</f>
        <v>0</v>
      </c>
      <c r="LU158" s="6">
        <f>COUNTIFS(Table24[Country],Tabela1[[#This Row],[Country]],Table24[Freestyle 57kg Classification],"&gt;0")</f>
        <v>0</v>
      </c>
      <c r="LV158" s="6">
        <f>COUNTIFS(Table24[Country],Tabela1[[#This Row],[Country]],Table24[Freestyle 65kg Classification],"&gt;0")</f>
        <v>0</v>
      </c>
      <c r="LW158" s="6">
        <f>COUNTIFS(Table24[Country],Tabela1[[#This Row],[Country]],Table24[Freestyle 74kg Classification],"&gt;0")</f>
        <v>0</v>
      </c>
      <c r="LX158" s="6">
        <f>COUNTIFS(Table24[Country],Tabela1[[#This Row],[Country]],Table24[Freestyle 86kg Classification],"&gt;0")</f>
        <v>0</v>
      </c>
      <c r="LY158" s="6">
        <f>COUNTIFS(Table24[Country],Tabela1[[#This Row],[Country]],Table24[Freestyle 97kg Classification],"&gt;0")</f>
        <v>0</v>
      </c>
      <c r="LZ158" s="6">
        <f>COUNTIFS(Table24[Country],Tabela1[[#This Row],[Country]],Table24[Freestyle 125kg Classification],"&gt;0")</f>
        <v>0</v>
      </c>
      <c r="MA158" s="6">
        <f>COUNTIFS(Table24[Country],Tabela1[[#This Row],[Country]],Table24[Greco-Roman 60kg Classification],"&gt;0")</f>
        <v>0</v>
      </c>
      <c r="MB158" s="6">
        <f>COUNTIFS(Table24[Country],Tabela1[[#This Row],[Country]],Table24[Greco-Roman 67kg Classification],"&gt;0")</f>
        <v>0</v>
      </c>
      <c r="MC158" s="6">
        <f>COUNTIFS(Table24[Country],Tabela1[[#This Row],[Country]],Table24[Greco-Roman 77kg Classification],"&gt;0")</f>
        <v>0</v>
      </c>
      <c r="MD158" s="6">
        <f>COUNTIFS(Table24[Country],Tabela1[[#This Row],[Country]],Table24[Greco-Roman 87kg Classification],"&gt;0")</f>
        <v>0</v>
      </c>
      <c r="ME158" s="6">
        <f>COUNTIFS(Table24[Country],Tabela1[[#This Row],[Country]],Table24[Greco-Roman 97kg Classification],"&gt;0")</f>
        <v>0</v>
      </c>
      <c r="MF158" s="6">
        <f>COUNTIFS(Table24[Country],Tabela1[[#This Row],[Country]],Table24[Greco-Roman 130kg Classification],"&gt;0")</f>
        <v>0</v>
      </c>
      <c r="MG158" s="6">
        <f>COUNTIFS(Table31[Country],Tabela1[[#This Row],[Country]],Table31[50kg Classification],"&gt;0")</f>
        <v>0</v>
      </c>
      <c r="MH158" s="6">
        <f>COUNTIFS(Table31[Country],Tabela1[[#This Row],[Country]],Table31[53kg Classification],"&gt;0")</f>
        <v>0</v>
      </c>
      <c r="MI158" s="6">
        <f>COUNTIFS(Table31[Country],Tabela1[[#This Row],[Country]],Table31[57kg Classification],"&gt;0")</f>
        <v>0</v>
      </c>
      <c r="MJ158" s="6">
        <f>COUNTIFS(Table31[Country],Tabela1[[#This Row],[Country]],Table31[62kg Classification],"&gt;0")</f>
        <v>0</v>
      </c>
      <c r="MK158" s="6">
        <f>COUNTIFS(Table31[Country],Tabela1[[#This Row],[Country]],Table31[68kg Classification],"&gt;0")</f>
        <v>0</v>
      </c>
      <c r="ML158" s="6">
        <f>COUNTIFS(Table31[Country],Tabela1[[#This Row],[Country]],Table31[76kg Classification],"&gt;0")</f>
        <v>0</v>
      </c>
      <c r="MM158" s="6">
        <f>COUNTIFS(Table102[Country],Tabela1[[#This Row],[Country]],Table102[Downhill Classification],"&gt;0")</f>
        <v>0</v>
      </c>
      <c r="MN158" s="6">
        <f>COUNTIFS(Table102105[Country],Tabela1[[#This Row],[Country]],Table102105[Downhill Classification],"&gt;0")</f>
        <v>0</v>
      </c>
      <c r="MO158" s="6">
        <f>COUNTIFS(Table102[Country],Tabela1[[#This Row],[Country]],Table102[Giant Slalom Classification],"&gt;0")</f>
        <v>0</v>
      </c>
      <c r="MP158" s="6">
        <f>COUNTIFS(Table102105[Country],Tabela1[[#This Row],[Country]],Table102105[Giant Slalom Classification],"&gt;0")</f>
        <v>0</v>
      </c>
      <c r="MQ158" s="6">
        <f>COUNTIFS(Table102[Country],Tabela1[[#This Row],[Country]],Table102[Slalom Classification],"&gt;0")</f>
        <v>0</v>
      </c>
      <c r="MR158" s="6">
        <f>COUNTIFS(Table102105[Country],Tabela1[[#This Row],[Country]],Table102105[Slalom Classification],"&gt;0")</f>
        <v>0</v>
      </c>
      <c r="MS158" s="6">
        <f>COUNTIFS(Table102[Country],Tabela1[[#This Row],[Country]],Table102[Super-G Classification],"&gt;0")</f>
        <v>0</v>
      </c>
      <c r="MT158" s="6">
        <f>COUNTIFS(Table102105[Country],Tabela1[[#This Row],[Country]],Table102105[Super-G Classification],"&gt;0")</f>
        <v>0</v>
      </c>
      <c r="MU158" s="6">
        <f>COUNTIFS(Table105[Country],Tabela1[[#This Row],[Country]],Table105[Men''s Combined Classification],"&gt;0")</f>
        <v>0</v>
      </c>
      <c r="MV158" s="6">
        <f>COUNTIFS(Table105[Country],Tabela1[[#This Row],[Country]],Table105[Women''s Combined Classification],"&gt;0")</f>
        <v>0</v>
      </c>
      <c r="MW158" s="6">
        <f>COUNTIFS(Table106[Country],Tabela1[[#This Row],[Country]],Table106[Individual Classification],"&gt;0")</f>
        <v>0</v>
      </c>
      <c r="MX158" s="6">
        <f>COUNTIFS(Table106109[Country],Tabela1[[#This Row],[Country]],Table106109[Individual Classification],"&gt;0")</f>
        <v>0</v>
      </c>
      <c r="MY158" s="6">
        <f>COUNTIFS(Table106[Country],Tabela1[[#This Row],[Country]],Table106[Mass Start Classification],"&gt;0")</f>
        <v>0</v>
      </c>
      <c r="MZ158" s="6">
        <f>COUNTIFS(Table106109[Country],Tabela1[[#This Row],[Country]],Table106109[Mass Start Classification],"&gt;0")</f>
        <v>0</v>
      </c>
      <c r="NA158" s="6">
        <f>COUNTIFS(Table106[Country],Tabela1[[#This Row],[Country]],Table106[Pursuit Classification],"&gt;0")</f>
        <v>0</v>
      </c>
      <c r="NB158" s="6">
        <f>COUNTIFS(Table106109[Country],Tabela1[[#This Row],[Country]],Table106109[Pursuit Classification],"&gt;0")</f>
        <v>0</v>
      </c>
      <c r="NC158" s="6">
        <f>COUNTIFS(Table106[Country],Tabela1[[#This Row],[Country]],Table106[Sprint Classification],"&gt;0")</f>
        <v>0</v>
      </c>
      <c r="ND158" s="6">
        <f>COUNTIFS(Table106109[Country],Tabela1[[#This Row],[Country]],Table106109[Sprint Classification],"&gt;0")</f>
        <v>0</v>
      </c>
      <c r="NE158" s="6">
        <f>COUNTIFS(Table109[Country],Tabela1[[#This Row],[Country]],Table109[Men''s Relay Classification],"&gt;0")</f>
        <v>0</v>
      </c>
      <c r="NF158" s="6">
        <f>COUNTIFS(Table109[Country],Tabela1[[#This Row],[Country]],Table109[Women''s Relay Classification],"&gt;0")</f>
        <v>0</v>
      </c>
      <c r="NG158" s="6">
        <f>COUNTIFS(Table109[Country],Tabela1[[#This Row],[Country]],Table109[Mixed Relay Classification],"&gt;0")</f>
        <v>0</v>
      </c>
      <c r="NH158" s="6">
        <f>COUNTIFS(Table110[Country],Tabela1[[#This Row],[Country]],Table110[Monobob Classification],"&gt;0")</f>
        <v>0</v>
      </c>
      <c r="NI158" s="6">
        <f>COUNTIFS(Table111[Country],Tabela1[[#This Row],[Country]],Table111[Men''s Classification],"&gt;0")</f>
        <v>0</v>
      </c>
      <c r="NJ158" s="6">
        <f>COUNTIFS(Table111[Country],Tabela1[[#This Row],[Country]],Table111[Women''s Classification],"&gt;0")</f>
        <v>0</v>
      </c>
      <c r="NK158" s="6">
        <f>COUNTIFS(Table112[Country],Tabela1[[#This Row],[Country]],Table112[Men''s Four Classification],"&gt;0")</f>
        <v>0</v>
      </c>
      <c r="NL158" s="6">
        <f>COUNTIFS(Table113[Country],Tabela1[[#This Row],[Country]],Table113[Classical Classification],"&gt;0")</f>
        <v>0</v>
      </c>
      <c r="NM158" s="6">
        <f>COUNTIFS(Table113116[Country],Tabela1[[#This Row],[Country]],Table113116[Classical Classification],"&gt;0")</f>
        <v>0</v>
      </c>
      <c r="NN158" s="6">
        <f>COUNTIFS(Table113[Country],Tabela1[[#This Row],[Country]],Table113[Freestyle Classification],"&gt;0")</f>
        <v>0</v>
      </c>
      <c r="NO158" s="6">
        <f>COUNTIFS(Table113116[Country],Tabela1[[#This Row],[Country]],Table113116[Freestyle Classification],"&gt;0")</f>
        <v>0</v>
      </c>
      <c r="NP158" s="6">
        <f>COUNTIFS(Table117[Country],Tabela1[[#This Row],[Country]],Table117[Men''s Relay Classification],"&gt;0")</f>
        <v>0</v>
      </c>
      <c r="NQ158" s="6">
        <f>COUNTIFS(Table117[Country],Tabela1[[#This Row],[Country]],Table117[Women''s Relay Classification],"&gt;0")</f>
        <v>0</v>
      </c>
      <c r="NR158" s="6">
        <f>COUNTIFS(Table113[Country],Tabela1[[#This Row],[Country]],Table113[Skiathlon Classification],"&gt;0")</f>
        <v>0</v>
      </c>
      <c r="NS158" s="6">
        <f>COUNTIFS(Table113116[Country],Tabela1[[#This Row],[Country]],Table113116[Skiathlon Classification],"&gt;0")</f>
        <v>0</v>
      </c>
      <c r="NT158" s="6">
        <f>COUNTIFS(Table113[Country],Tabela1[[#This Row],[Country]],Table113[Sprint Classification],"&gt;0")</f>
        <v>0</v>
      </c>
      <c r="NU158" s="6">
        <f>COUNTIFS(Table113116[Country],Tabela1[[#This Row],[Country]],Table113116[Sprint Classification],"&gt;0")</f>
        <v>0</v>
      </c>
      <c r="NV158" s="6">
        <f>COUNTIFS(Table116[Country],Tabela1[[#This Row],[Country]],Table116[Men''s Team Sprint Classification],"&gt;0")</f>
        <v>0</v>
      </c>
      <c r="NW158" s="6">
        <f>COUNTIFS(Table116[Country],Tabela1[[#This Row],[Country]],Table116[Women''s Team Sprint Classification],"&gt;0")</f>
        <v>0</v>
      </c>
      <c r="NX158" s="6">
        <f>COUNTIFS(Table119[Country],Tabela1[[#This Row],[Country]],Table119[Men''s Classification],"&gt;0")</f>
        <v>0</v>
      </c>
      <c r="NY158" s="6">
        <f>COUNTIFS(Table119[Country],Tabela1[[#This Row],[Country]],Table119[Women''s Classification],"&gt;0")</f>
        <v>0</v>
      </c>
      <c r="NZ158" s="6">
        <f>COUNTIFS(Table118[Country],Tabela1[[#This Row],[Country]],Table118[Mixed Classification],"&gt;0")</f>
        <v>0</v>
      </c>
      <c r="OA158" s="6">
        <f>COUNTIFS(Table120[Country],Tabela1[[#This Row],[Country]],Table120[Classification],"&gt;0")</f>
        <v>0</v>
      </c>
      <c r="OB158" s="6">
        <f>COUNTIFS(Table120123[Country],Tabela1[[#This Row],[Country]],Table120123[Classification],"&gt;0")</f>
        <v>0</v>
      </c>
      <c r="OC158" s="6">
        <f>COUNTIFS(Table123[Country],Tabela1[[#This Row],[Country]],Table123[Ice Dance Classification],"&gt;0")</f>
        <v>0</v>
      </c>
      <c r="OD158" s="6">
        <f>COUNTIFS(Table123[Country],Tabela1[[#This Row],[Country]],Table123[Pair Skating Classification],"&gt;0")</f>
        <v>0</v>
      </c>
      <c r="OE158" s="6">
        <f>COUNTIFS(Table124[Country],Tabela1[[#This Row],[Country]],Table124[Mixed Classification],"&gt;0")</f>
        <v>0</v>
      </c>
      <c r="OF158" s="6">
        <f>COUNTIFS(Table125[Country],Tabela1[[#This Row],[Country]],Table125[Aerials Classification],"&gt;0")</f>
        <v>0</v>
      </c>
      <c r="OG158" s="6">
        <f>COUNTIFS(Table125128[Country],Tabela1[[#This Row],[Country]],Table125128[Aerials Classification],"&gt;0")</f>
        <v>0</v>
      </c>
      <c r="OH158" s="6">
        <f>COUNTIFS(Table128[Country],Tabela1[[#This Row],[Country]],Table128[Mixed Aerials Classification],"&gt;0")</f>
        <v>0</v>
      </c>
      <c r="OI158" s="6">
        <f>COUNTIFS(Table125[Country],Tabela1[[#This Row],[Country]],Table125[Big Air Classification],"&gt;0")</f>
        <v>0</v>
      </c>
      <c r="OJ158" s="6">
        <f>COUNTIFS(Table125128[Country],Tabela1[[#This Row],[Country]],Table125128[Big Air Classification],"&gt;0")</f>
        <v>0</v>
      </c>
      <c r="OK158" s="6">
        <f>COUNTIFS(Table125[Country],Tabela1[[#This Row],[Country]],Table125[Dual Moguls Classification],"&gt;0")</f>
        <v>0</v>
      </c>
      <c r="OL158" s="6">
        <f>COUNTIFS(Table125128[Country],Tabela1[[#This Row],[Country]],Table125128[Dual Moguls Classification],"&gt;0")</f>
        <v>0</v>
      </c>
      <c r="OM158" s="6">
        <f>COUNTIFS(Table125[Country],Tabela1[[#This Row],[Country]],Table125[Halfpipe Classification],"&gt;0")</f>
        <v>0</v>
      </c>
      <c r="ON158" s="6">
        <f>COUNTIFS(Table125128[Country],Tabela1[[#This Row],[Country]],Table125128[Halfpipe Classification],"&gt;0")</f>
        <v>0</v>
      </c>
      <c r="OO158" s="6">
        <f>COUNTIFS(Table125[Country],Tabela1[[#This Row],[Country]],Table125[Moguls Classification],"&gt;0")</f>
        <v>0</v>
      </c>
      <c r="OP158" s="6">
        <f>COUNTIFS(Table125128[Country],Tabela1[[#This Row],[Country]],Table125128[Moguls Classification],"&gt;0")</f>
        <v>0</v>
      </c>
      <c r="OQ158" s="6">
        <f>COUNTIFS(Table125[Country],Tabela1[[#This Row],[Country]],Table125[Ski Cross Classification],"&gt;0")</f>
        <v>0</v>
      </c>
      <c r="OR158" s="6">
        <f>COUNTIFS(Table125128[Country],Tabela1[[#This Row],[Country]],Table125128[Ski Cross Classification],"&gt;0")</f>
        <v>0</v>
      </c>
      <c r="OS158" s="6">
        <f>COUNTIFS(Table125[Country],Tabela1[[#This Row],[Country]],Table125[Slopestyle Classification],"&gt;0")</f>
        <v>0</v>
      </c>
      <c r="OT158" s="6">
        <f>COUNTIFS(Table125128[Country],Tabela1[[#This Row],[Country]],Table125128[Slopestyle Classification],"&gt;0")</f>
        <v>0</v>
      </c>
      <c r="OU158" s="6">
        <f>COUNTIFS(Table119131[Country],Tabela1[[#This Row],[Country]],Table119131[Men''s Classification],"&gt;0")</f>
        <v>0</v>
      </c>
      <c r="OV158" s="6">
        <f>COUNTIFS(Table119131[Country],Tabela1[[#This Row],[Country]],Table119131[Women''s Classification],"&gt;0")</f>
        <v>0</v>
      </c>
      <c r="OW158" s="6">
        <f>COUNTIFS(Table131[Country],Tabela1[[#This Row],[Country]],Table131[Classification],"&gt;0")</f>
        <v>0</v>
      </c>
      <c r="OX158" s="6">
        <f>COUNTIFS(Table131134[Country],Tabela1[[#This Row],[Country]],Table131134[Classification],"&gt;0")</f>
        <v>0</v>
      </c>
      <c r="OY158" s="6">
        <f>COUNTIFS(Table134[Country],Tabela1[[#This Row],[Country]],Table134[Men''s Classification],"&gt;0")</f>
        <v>0</v>
      </c>
      <c r="OZ158" s="6">
        <f>COUNTIFS(Table134[Country],Tabela1[[#This Row],[Country]],Table134[Women''s Classification],"&gt;0")</f>
        <v>0</v>
      </c>
      <c r="PA158" s="6">
        <f>COUNTIFS(Table135[Country],Tabela1[[#This Row],[Country]],Table135[Mixed Relay Classification],"&gt;0")</f>
        <v>0</v>
      </c>
      <c r="PB158" s="6">
        <f>COUNTIFS(Table136[Country],Tabela1[[#This Row],[Country]],Table136[Individual Classification],"&gt;0")</f>
        <v>0</v>
      </c>
      <c r="PC158" s="6">
        <f>COUNTIFS(Table136[Country],Tabela1[[#This Row],[Country]],Table136[Sprint Classification],"&gt;0")</f>
        <v>0</v>
      </c>
      <c r="PD158" s="6">
        <f>COUNTIFS(Table137[Country],Tabela1[[#This Row],[Country]],Table137[Men''s Team Sprint Large Hill Classification],"&gt;0")</f>
        <v>0</v>
      </c>
      <c r="PE158" s="6">
        <f>COUNTIFS(Table138[Country],Tabela1[[#This Row],[Country]],Table138[500m Classification],"&gt;0")</f>
        <v>0</v>
      </c>
      <c r="PF158" s="6">
        <f>COUNTIFS(Table138141[Country],Tabela1[[#This Row],[Country]],Table138141[500m Classification],"&gt;0")</f>
        <v>0</v>
      </c>
      <c r="PG158" s="6">
        <f>COUNTIFS(Table138[Country],Tabela1[[#This Row],[Country]],Table138[1000m Classification],"&gt;0")</f>
        <v>0</v>
      </c>
      <c r="PH158" s="6">
        <f>COUNTIFS(Table138141[Country],Tabela1[[#This Row],[Country]],Table138141[1000m Classification],"&gt;0")</f>
        <v>0</v>
      </c>
      <c r="PI158" s="6">
        <f>COUNTIFS(Table138[Country],Tabela1[[#This Row],[Country]],Table138[1500m Classification],"&gt;0")</f>
        <v>0</v>
      </c>
      <c r="PJ158" s="6">
        <f>COUNTIFS(Table138141[Country],Tabela1[[#This Row],[Country]],Table138141[1500m Classification],"&gt;0")</f>
        <v>0</v>
      </c>
      <c r="PK158" s="6">
        <f>COUNTIFS(Table141[Country],Tabela1[[#This Row],[Country]],Table141[Men''s 5000m Relay Classification],"&gt;0")</f>
        <v>0</v>
      </c>
      <c r="PL158" s="6">
        <f>COUNTIFS(Table141[Country],Tabela1[[#This Row],[Country]],Table141[Women''s 3000m Relay Classification],"&gt;0")</f>
        <v>0</v>
      </c>
      <c r="PM158" s="6">
        <f>COUNTIFS(Table141[Country],Tabela1[[#This Row],[Country]],Table141[Mixed 2000m Relay Classification],"&gt;0")</f>
        <v>0</v>
      </c>
      <c r="PN158" s="6">
        <f>COUNTIFS(Table142[Country],Tabela1[[#This Row],[Country]],Table142[Classification],"&gt;0")</f>
        <v>0</v>
      </c>
      <c r="PO158" s="6">
        <f>COUNTIFS(Table142145[Country],Tabela1[[#This Row],[Country]],Table142145[Classification],"&gt;0")</f>
        <v>0</v>
      </c>
      <c r="PP158" s="6">
        <f>COUNTIFS(Tabela15[Country],Tabela1[[#This Row],[Country]],Tabela15[Mixed Team Classification],"&gt;0")</f>
        <v>0</v>
      </c>
      <c r="PQ158" s="6">
        <f>COUNTIFS(Table145[Country],Tabela1[[#This Row],[Country]],Table145[Large Hill Classification],"&gt;0")</f>
        <v>0</v>
      </c>
      <c r="PR158" s="6">
        <f>COUNTIFS(Table145[Country],Tabela1[[#This Row],[Country]],Table145[Normal Hill Classification],"&gt;0")</f>
        <v>0</v>
      </c>
      <c r="PS158" s="6">
        <f>COUNTIFS(Table145148[Country],Tabela1[[#This Row],[Country]],Table145148[Large Hill Classification],"&gt;0")</f>
        <v>0</v>
      </c>
      <c r="PT158" s="6">
        <f>COUNTIFS(Table145148[Country],Tabela1[[#This Row],[Country]],Table145148[Normal Hill Classification],"&gt;0")</f>
        <v>0</v>
      </c>
      <c r="PU158" s="6">
        <f>COUNTIFS(Table148[Country],Tabela1[[#This Row],[Country]],Table148[Men''s Super Team Classification],"&gt;0")</f>
        <v>0</v>
      </c>
      <c r="PV158" s="6">
        <f>COUNTIFS(Tabela114[Country],Tabela1[[#This Row],[Country]],Tabela114[Mixed Normal Hill Classification],"&gt;0")</f>
        <v>0</v>
      </c>
      <c r="PW158" s="6">
        <f>COUNTIFS(Tabela50[Country],Tabela1[[#This Row],[Country]],Tabela50[Sprint Classification],"&gt;0")</f>
        <v>0</v>
      </c>
      <c r="PX158" s="6">
        <f>COUNTIFS(Tabela50101[Country],Tabela1[[#This Row],[Country]],Tabela50101[Sprint Classification],"&gt;0")</f>
        <v>0</v>
      </c>
      <c r="PY158" s="6">
        <f>COUNTIFS(Tabela103[Country],Tabela1[[#This Row],[Country]],Tabela103[Mixed Relay Classification],"&gt;0")</f>
        <v>0</v>
      </c>
      <c r="PZ158" s="6">
        <f>COUNTIFS(Table149[Country],Tabela1[[#This Row],[Country]],Table149[Big Air Classification],"&gt;0")</f>
        <v>0</v>
      </c>
      <c r="QA158" s="6">
        <f>COUNTIFS(Table149152[Country],Tabela1[[#This Row],[Country]],Table149152[Big Air Classification],"&gt;0")</f>
        <v>0</v>
      </c>
      <c r="QB158" s="6">
        <f>COUNTIFS(Table149[Country],Tabela1[[#This Row],[Country]],Table149[Halfpipe Classification],"&gt;0")</f>
        <v>0</v>
      </c>
      <c r="QC158" s="6">
        <f>COUNTIFS(Table149152[Country],Tabela1[[#This Row],[Country]],Table149152[Halfpipe Classification],"&gt;0")</f>
        <v>0</v>
      </c>
      <c r="QD158" s="6">
        <f>COUNTIFS(Table149[Country],Tabela1[[#This Row],[Country]],Table149[Parallel Giant Slalom Classification],"&gt;0")</f>
        <v>0</v>
      </c>
      <c r="QE158" s="6">
        <f>COUNTIFS(Table149152[Country],Tabela1[[#This Row],[Country]],Table149152[Parallel Giant Slalom Classification],"&gt;0")</f>
        <v>0</v>
      </c>
      <c r="QF158" s="6">
        <f>COUNTIFS(Table149[Country],Tabela1[[#This Row],[Country]],Table149[Slopestyle Classification],"&gt;0")</f>
        <v>0</v>
      </c>
      <c r="QG158" s="6">
        <f>COUNTIFS(Table149152[Country],Tabela1[[#This Row],[Country]],Table149152[Slopestyle Classification],"&gt;0")</f>
        <v>0</v>
      </c>
      <c r="QH158" s="6">
        <f>COUNTIFS(Table149[Country],Tabela1[[#This Row],[Country]],Table149[Snowboard Cross Classification],"&gt;0")</f>
        <v>0</v>
      </c>
      <c r="QI158" s="6">
        <f>COUNTIFS(Table149152[Country],Tabela1[[#This Row],[Country]],Table149152[Snowboard Cross Classification],"&gt;0")</f>
        <v>0</v>
      </c>
      <c r="QJ158" s="6">
        <f>COUNTIFS(Table153[Country],Tabela1[[#This Row],[Country]],Table153[Mixed Team Snowboard Cross Classification],"&gt;0")</f>
        <v>0</v>
      </c>
      <c r="QK158" s="6">
        <f>COUNTIFS(Table154[Country],Tabela1[[#This Row],[Country]],Table154[500m Classification],"&gt;0")</f>
        <v>0</v>
      </c>
      <c r="QL158" s="6">
        <f>COUNTIFS(Table154157[Country],Tabela1[[#This Row],[Country]],Table154157[500m Classification],"&gt;0")</f>
        <v>0</v>
      </c>
      <c r="QM158" s="6">
        <f>COUNTIFS(Table154[Country],Tabela1[[#This Row],[Country]],Table154[1000m Classification],"&gt;0")</f>
        <v>0</v>
      </c>
      <c r="QN158" s="6">
        <f>COUNTIFS(Table154157[Country],Tabela1[[#This Row],[Country]],Table154157[1000m Classification],"&gt;0")</f>
        <v>0</v>
      </c>
      <c r="QO158" s="6">
        <f>COUNTIFS(Table154[Country],Tabela1[[#This Row],[Country]],Table154[1500m Classification],"&gt;0")</f>
        <v>0</v>
      </c>
      <c r="QP158" s="6">
        <f>COUNTIFS(Table154157[Country],Tabela1[[#This Row],[Country]],Table154157[1500m Classification],"&gt;0")</f>
        <v>0</v>
      </c>
      <c r="QQ158" s="6">
        <f>COUNTIFS(Table154157[Country],Tabela1[[#This Row],[Country]],Table154157[3000m Classification],"&gt;0")</f>
        <v>0</v>
      </c>
      <c r="QR158" s="6">
        <f>COUNTIFS(Table154[Country],Tabela1[[#This Row],[Country]],Table154[5000m Classification],"&gt;0")</f>
        <v>0</v>
      </c>
      <c r="QS158" s="6">
        <f>COUNTIFS(Table154157[Country],Tabela1[[#This Row],[Country]],Table154157[5000m Classification],"&gt;0")</f>
        <v>0</v>
      </c>
      <c r="QT158" s="6">
        <f>COUNTIFS(Table154[Country],Tabela1[[#This Row],[Country]],Table154[10000m Classification],"&gt;0")</f>
        <v>0</v>
      </c>
      <c r="QU158" s="6">
        <f>COUNTIFS(Table154[Country],Tabela1[[#This Row],[Country]],Table154[Mass Start Classification],"&gt;0")</f>
        <v>0</v>
      </c>
      <c r="QV158" s="6">
        <f>COUNTIFS(Table154157[Country],Tabela1[[#This Row],[Country]],Table154157[Mass Start Classification],"&gt;0")</f>
        <v>0</v>
      </c>
      <c r="QW158" s="6">
        <f>COUNTIFS(Table157[Country],Tabela1[[#This Row],[Country]],Table157[Men''s Pursuit Classification],"&gt;0")</f>
        <v>0</v>
      </c>
      <c r="QX158" s="6">
        <f>COUNTIFS(Table157[Country],Tabela1[[#This Row],[Country]],Table157[Women''s Pursuit Classification],"&gt;0")</f>
        <v>0</v>
      </c>
      <c r="QY158" s="3" t="s">
        <v>611</v>
      </c>
    </row>
    <row r="159" spans="1:467" x14ac:dyDescent="0.3">
      <c r="A159" s="6">
        <v>158</v>
      </c>
      <c r="B159" s="6" t="s">
        <v>468</v>
      </c>
      <c r="C159" t="e" vm="158">
        <f>IF(ISBLANK(Tabela1[[#This Row],[Image Link]]), "", _xlfn.IMAGE(Tabela1[[#This Row],[Image Link]],1,1))</f>
        <v>#VALUE!</v>
      </c>
      <c r="D159" s="6">
        <f>SUM(Tabela1[[#This Row],[Archery - Men''s Individual Recurve]:[Speed Skating - Women''s Team Pursuit]])</f>
        <v>0</v>
      </c>
      <c r="E159" s="6">
        <f>COUNTIF(Tabela1[[#This Row],[Archery - Men''s Individual Recurve]:[Speed Skating - Women''s Team Pursuit]],"&gt;0")</f>
        <v>0</v>
      </c>
      <c r="F159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59" s="6">
        <f>SUM(Tabela1[[#This Row],[Archery - Men''s Individual Recurve]:[Wrestling - Women''s Freestyle 76kg]])</f>
        <v>0</v>
      </c>
      <c r="H159" s="6">
        <f>SUM(Tabela1[[#This Row],[Alpine Skiing - Men''s Downhill]:[Speed Skating - Women''s Team Pursuit]])</f>
        <v>0</v>
      </c>
      <c r="I159" s="6">
        <f>Tabela1[[#This Row],[Summer Gold Medals]]+Tabela1[[#This Row],[Winter Gold Medals]]</f>
        <v>0</v>
      </c>
      <c r="J159" s="6">
        <f>Tabela1[[#This Row],[Summer Silver Medals]]+Tabela1[[#This Row],[Winter Silver Medals]]</f>
        <v>0</v>
      </c>
      <c r="K159" s="6">
        <f>Tabela1[[#This Row],[Summer Bronze Medals]]+Tabela1[[#This Row],[Winter Bronze Medals]]</f>
        <v>1</v>
      </c>
      <c r="L159" s="6">
        <f>SUM(Tabela1[[#This Row],[Total Gold Medals]:[Total Bronze Medals]])</f>
        <v>1</v>
      </c>
      <c r="M159" s="6"/>
      <c r="N159" s="6"/>
      <c r="O159" s="6">
        <v>1</v>
      </c>
      <c r="P159" s="6">
        <f>SUM(Tabela1[[#This Row],[Summer Gold Medals]:[Summer Bronze Medals]])</f>
        <v>1</v>
      </c>
      <c r="Q159" s="6"/>
      <c r="R159" s="6"/>
      <c r="S159" s="6"/>
      <c r="T159" s="6">
        <f>Tabela1[[#This Row],[Winter Gold Medals]]+Tabela1[[#This Row],[Winter Silver Medals]]+Tabela1[[#This Row],[Winter Bronze Medals]]</f>
        <v>0</v>
      </c>
      <c r="U159" s="7" t="e">
        <f>Tabela1[[#This Row],[Total Medals]]/Tabela1[[#This Row],[Total Quotas]]</f>
        <v>#DIV/0!</v>
      </c>
      <c r="V159" s="6">
        <f>COUNTIFS(Table3[Country],Tabela1[[#This Row],[Country]],Table3[Recurve Classification],"&gt;0")</f>
        <v>0</v>
      </c>
      <c r="W159" s="6">
        <f>COUNTIFS(Table33[Country],Tabela1[[#This Row],[Country]],Table33[Recurve Classification],"&gt;0")</f>
        <v>0</v>
      </c>
      <c r="X159" s="6">
        <f>COUNTIFS(Table35[Country],Tabela1[[#This Row],[Country]],Table35[Men''s Team Recurve Classification],"&gt;0")</f>
        <v>0</v>
      </c>
      <c r="Y159" s="6">
        <f>COUNTIFS(Table35[Country],Tabela1[[#This Row],[Country]],Table35[Women''s Team Recurve Classification],"&gt;0")</f>
        <v>0</v>
      </c>
      <c r="Z159" s="6">
        <f>COUNTIFS(Tabela88[Country],Tabela1[[#This Row],[Country]],Tabela88[Mixed Team Recurve Classification],"&gt;0")</f>
        <v>0</v>
      </c>
      <c r="AA159" s="6">
        <f>COUNTIFS(Table36[Country],Tabela1[[#This Row],[Country]],Table36[Classification],"&gt;0")</f>
        <v>0</v>
      </c>
      <c r="AB159" s="6">
        <f>COUNTIFS(Table37[Country],Tabela1[[#This Row],[Country]],Table37[Classification],"&gt;0")</f>
        <v>0</v>
      </c>
      <c r="AC159" s="6">
        <f>COUNTIFS(Table4[Country],Tabela1[[#This Row],[Country]],Table4[100m Classification],"&gt;0")</f>
        <v>0</v>
      </c>
      <c r="AD159" s="6">
        <f>COUNTIFS(Table5[Country],Tabela1[[#This Row],[Country]],Table5[100m Classification],"&gt;0")</f>
        <v>0</v>
      </c>
      <c r="AE159" s="6">
        <f>COUNTIFS(Table4[Country],Tabela1[[#This Row],[Country]],Table4[200m Classification],"&gt;0")</f>
        <v>0</v>
      </c>
      <c r="AF159" s="6">
        <f>COUNTIFS(Table5[Country],Tabela1[[#This Row],[Country]],Table5[200m Classification],"&gt;0")</f>
        <v>0</v>
      </c>
      <c r="AG159" s="6">
        <f>COUNTIFS(Table4[Country],Tabela1[[#This Row],[Country]],Table4[400m Classification],"&gt;0")</f>
        <v>0</v>
      </c>
      <c r="AH159" s="6">
        <f>COUNTIFS(Table5[Country],Tabela1[[#This Row],[Country]],Table5[400m Classification],"&gt;0")</f>
        <v>0</v>
      </c>
      <c r="AI159" s="6">
        <f>COUNTIFS(Table4[Country],Tabela1[[#This Row],[Country]],Table4[800m Classification],"&gt;0")</f>
        <v>0</v>
      </c>
      <c r="AJ159" s="6">
        <f>COUNTIFS(Table5[Country],Tabela1[[#This Row],[Country]],Table5[800m Classification],"&gt;0")</f>
        <v>0</v>
      </c>
      <c r="AK159" s="6">
        <f>COUNTIFS(Table4[Country],Tabela1[[#This Row],[Country]],Table4[1500m Classification],"&gt;0")</f>
        <v>0</v>
      </c>
      <c r="AL159" s="6">
        <f>COUNTIFS(Table5[Country],Tabela1[[#This Row],[Country]],Table5[1500m Classification],"&gt;0")</f>
        <v>0</v>
      </c>
      <c r="AM159" s="6">
        <f>COUNTIFS(Table4[Country],Tabela1[[#This Row],[Country]],Table4[5000m Classification],"&gt;0")</f>
        <v>0</v>
      </c>
      <c r="AN159" s="6">
        <f>COUNTIFS(Table5[Country],Tabela1[[#This Row],[Country]],Table5[5000m Classification],"&gt;0")</f>
        <v>0</v>
      </c>
      <c r="AO159" s="6">
        <f>COUNTIFS(Table4[Country],Tabela1[[#This Row],[Country]],Table4[10000m Classification],"&gt;0")</f>
        <v>0</v>
      </c>
      <c r="AP159" s="6">
        <f>COUNTIFS(Table5[Country],Tabela1[[#This Row],[Country]],Table5[10000m Classification],"&gt;0")</f>
        <v>0</v>
      </c>
      <c r="AQ159" s="6">
        <f>COUNTIFS(Table4[Country],Tabela1[[#This Row],[Country]],Table4[110m Hurdles Classification],"&gt;0")</f>
        <v>0</v>
      </c>
      <c r="AR159" s="6">
        <f>COUNTIFS(Table5[Country],Tabela1[[#This Row],[Country]],Table5[100m Hurdles Classification],"&gt;0")</f>
        <v>0</v>
      </c>
      <c r="AS159" s="6">
        <f>COUNTIFS(Table4[Country],Tabela1[[#This Row],[Country]],Table4[400m Hurdles Classification],"&gt;0")</f>
        <v>0</v>
      </c>
      <c r="AT159" s="6">
        <f>COUNTIFS(Table5[Country],Tabela1[[#This Row],[Country]],Table5[400m Hurdles Classification],"&gt;0")</f>
        <v>0</v>
      </c>
      <c r="AU159" s="6">
        <f>COUNTIFS(Table4[Country],Tabela1[[#This Row],[Country]],Table4[3000m Steeplechase Classification],"&gt;0")</f>
        <v>0</v>
      </c>
      <c r="AV159" s="6">
        <f>COUNTIFS(Table5[Country],Tabela1[[#This Row],[Country]],Table5[3000m Steeplechase Classification],"&gt;0")</f>
        <v>0</v>
      </c>
      <c r="AW159" s="6">
        <f>COUNTIFS(Table27[Country],Tabela1[[#This Row],[Country]],Table27[Men''s 4x100m Relay Classification],"&gt;0")</f>
        <v>0</v>
      </c>
      <c r="AX159" s="6">
        <f>COUNTIFS(Table27[Country],Tabela1[[#This Row],[Country]],Table27[Women''s 4x100m Relay Classification],"&gt;0")</f>
        <v>0</v>
      </c>
      <c r="AY159" s="6">
        <f>COUNTIFS(Table27[Country],Tabela1[[#This Row],[Country]],Table27[Men''s 4x400m Relay Classification],"&gt;0")</f>
        <v>0</v>
      </c>
      <c r="AZ159" s="6">
        <f>COUNTIFS(Table27[Country],Tabela1[[#This Row],[Country]],Table27[Women''s 4x400m Relay Classification],"&gt;0")</f>
        <v>0</v>
      </c>
      <c r="BA159" s="6">
        <f>COUNTIFS(Table27[Country],Tabela1[[#This Row],[Country]],Table27[Mixed 4x400m Relay Classification],"&gt;0")</f>
        <v>0</v>
      </c>
      <c r="BB159" s="6">
        <f>COUNTIFS(Table4[Country],Tabela1[[#This Row],[Country]],Table4[Marathon Classification],"&gt;0")</f>
        <v>0</v>
      </c>
      <c r="BC159" s="6">
        <f>COUNTIFS(Table5[Country],Tabela1[[#This Row],[Country]],Table5[Marathon Classification],"&gt;0")</f>
        <v>0</v>
      </c>
      <c r="BD159" s="6">
        <f>COUNTIFS(Table4[Country],Tabela1[[#This Row],[Country]],Table4[20km Race Walk Classification],"&gt;0")</f>
        <v>0</v>
      </c>
      <c r="BE159" s="6">
        <f>COUNTIFS(Table5[Country],Tabela1[[#This Row],[Country]],Table5[20km Race Walk Classification],"&gt;0")</f>
        <v>0</v>
      </c>
      <c r="BF159" s="6">
        <f>COUNTIFS(Tabela96[Country],Tabela1[[#This Row],[Country]],Tabela96[Mixed Marathon Race Walk Relay Classification],"&gt;0")</f>
        <v>0</v>
      </c>
      <c r="BG159" s="6">
        <f>COUNTIFS(Table4[Country],Tabela1[[#This Row],[Country]],Table4[Discus Throw Classification],"&gt;0")</f>
        <v>0</v>
      </c>
      <c r="BH159" s="6">
        <f>COUNTIFS(Table5[Country],Tabela1[[#This Row],[Country]],Table5[Discus Throw Classification],"&gt;0")</f>
        <v>0</v>
      </c>
      <c r="BI159" s="6">
        <f>COUNTIFS(Table4[Country],Tabela1[[#This Row],[Country]],Table4[Hammer Throw Classification],"&gt;0")</f>
        <v>0</v>
      </c>
      <c r="BJ159" s="6">
        <f>COUNTIFS(Table5[Country],Tabela1[[#This Row],[Country]],Table5[Hammer Throw Classification],"&gt;0")</f>
        <v>0</v>
      </c>
      <c r="BK159" s="6">
        <f>COUNTIFS(Table4[Country],Tabela1[[#This Row],[Country]],Table4[High Jump Classification],"&gt;0")</f>
        <v>0</v>
      </c>
      <c r="BL159" s="6">
        <f>COUNTIFS(Table5[Country],Tabela1[[#This Row],[Country]],Table5[High Jump Classification],"&gt;0")</f>
        <v>0</v>
      </c>
      <c r="BM159" s="6">
        <f>COUNTIFS(Table4[Country],Tabela1[[#This Row],[Country]],Table4[Javelin Throw Classification],"&gt;0")</f>
        <v>0</v>
      </c>
      <c r="BN159" s="6">
        <f>COUNTIFS(Table5[Country],Tabela1[[#This Row],[Country]],Table5[Javelin Throw Classification],"&gt;0")</f>
        <v>0</v>
      </c>
      <c r="BO159" s="6">
        <f>COUNTIFS(Table4[Country],Tabela1[[#This Row],[Country]],Table4[Long Jump Classification],"&gt;0")</f>
        <v>0</v>
      </c>
      <c r="BP159" s="6">
        <f>COUNTIFS(Table5[Country],Tabela1[[#This Row],[Country]],Table5[Long Jump Classification],"&gt;0")</f>
        <v>0</v>
      </c>
      <c r="BQ159" s="6">
        <f>COUNTIFS(Table4[Country],Tabela1[[#This Row],[Country]],Table4[Pole Vault Classification],"&gt;0")</f>
        <v>0</v>
      </c>
      <c r="BR159" s="6">
        <f>COUNTIFS(Table5[Country],Tabela1[[#This Row],[Country]],Table5[Pole Vault Classification],"&gt;0")</f>
        <v>0</v>
      </c>
      <c r="BS159" s="6">
        <f>COUNTIFS(Table4[Country],Tabela1[[#This Row],[Country]],Table4[Shot Put Classification],"&gt;0")</f>
        <v>0</v>
      </c>
      <c r="BT159" s="6">
        <f>COUNTIFS(Table5[Country],Tabela1[[#This Row],[Country]],Table5[Shot Put Classification],"&gt;0")</f>
        <v>0</v>
      </c>
      <c r="BU159" s="6">
        <f>COUNTIFS(Table4[Country],Tabela1[[#This Row],[Country]],Table4[Triple Jump Classification],"&gt;0")</f>
        <v>0</v>
      </c>
      <c r="BV159" s="6">
        <f>COUNTIFS(Table5[Country],Tabela1[[#This Row],[Country]],Table5[Triple Jump Classification],"&gt;0")</f>
        <v>0</v>
      </c>
      <c r="BW159" s="6">
        <f>COUNTIFS(Table4[Country],Tabela1[[#This Row],[Country]],Table4[Decathlon Classification],"&gt;0")</f>
        <v>0</v>
      </c>
      <c r="BX159" s="6">
        <f>COUNTIFS(Table5[Country],Tabela1[[#This Row],[Country]],Table5[Heptathlon Classification],"&gt;0")</f>
        <v>0</v>
      </c>
      <c r="BY159" s="6">
        <f>COUNTIFS(Table61[Country],Tabela1[[#This Row],[Country]],Table61[Classification],"&gt;0")</f>
        <v>0</v>
      </c>
      <c r="BZ159" s="6">
        <f>COUNTIFS(Table38[Country],Tabela1[[#This Row],[Country]],Table38[Classification],"&gt;0")</f>
        <v>0</v>
      </c>
      <c r="CA159" s="6">
        <f>COUNTIFS(Table39[Country],Tabela1[[#This Row],[Country]],Table39[Men''s Classification],"&gt;0")</f>
        <v>0</v>
      </c>
      <c r="CB159" s="6">
        <f>COUNTIFS(Table39[Country],Tabela1[[#This Row],[Country]],Table39[Women''s Classification],"&gt;0")</f>
        <v>0</v>
      </c>
      <c r="CC159" s="6">
        <f>COUNTIFS(Table39[Country],Tabela1[[#This Row],[Country]],Table39[Mixed Classification],"&gt;0")</f>
        <v>0</v>
      </c>
      <c r="CD159" s="6">
        <f>COUNTIFS(Table89[Country],Tabela1[[#This Row],[Country]],Table89[Men''s Classification],"&gt;0")</f>
        <v>0</v>
      </c>
      <c r="CE159" s="6">
        <f>COUNTIFS(Table89[Country],Tabela1[[#This Row],[Country]],Table89[Women''s Classification],"&gt;0")</f>
        <v>0</v>
      </c>
      <c r="CF159" s="6">
        <f>COUNTIFS(Table90[Country],Tabela1[[#This Row],[Country]],Table90[Men''s Classification],"&gt;0")</f>
        <v>0</v>
      </c>
      <c r="CG159" s="6">
        <f>COUNTIFS(Table90[Country],Tabela1[[#This Row],[Country]],Table90[Women''s Classification],"&gt;0")</f>
        <v>0</v>
      </c>
      <c r="CH159" s="6">
        <f>COUNTIFS(Table60[Country],Tabela1[[#This Row],[Country]],Table60[Men''s Classification],"&gt;0")</f>
        <v>0</v>
      </c>
      <c r="CI159" s="6">
        <f>COUNTIFS(Table60[Country],Tabela1[[#This Row],[Country]],Table60[Women''s Classification],"&gt;0")</f>
        <v>0</v>
      </c>
      <c r="CJ159" s="6">
        <f>COUNTIFS(Table6[Country],Tabela1[[#This Row],[Country]],Table6[51kg Classification],"&gt;0")</f>
        <v>0</v>
      </c>
      <c r="CK159" s="6">
        <f>COUNTIFS(Table6[Country],Tabela1[[#This Row],[Country]],Table6[57kg Classification],"&gt;0")</f>
        <v>0</v>
      </c>
      <c r="CL159" s="6">
        <f>COUNTIFS(Table6[Country],Tabela1[[#This Row],[Country]],Table6[63.5kg Classification],"&gt;0")</f>
        <v>0</v>
      </c>
      <c r="CM159" s="6">
        <f>COUNTIFS(Table6[Country],Tabela1[[#This Row],[Country]],Table6[71kg Classification],"&gt;0")</f>
        <v>0</v>
      </c>
      <c r="CN159" s="6">
        <f>COUNTIFS(Table6[Country],Tabela1[[#This Row],[Country]],Table6[80kg Classification],"&gt;0")</f>
        <v>0</v>
      </c>
      <c r="CO159" s="6">
        <f>COUNTIFS(Table6[Country],Tabela1[[#This Row],[Country]],Table6[92kg Classification],"&gt;0")</f>
        <v>0</v>
      </c>
      <c r="CP159" s="6">
        <f>COUNTIFS(Table6[Country],Tabela1[[#This Row],[Country]],Table6[Plus 92kg Classification],"&gt;0")</f>
        <v>0</v>
      </c>
      <c r="CQ159" s="6">
        <f>COUNTIFS(Table7[Country],Tabela1[[#This Row],[Country]],Table7[50kg Classification],"&gt;0")</f>
        <v>0</v>
      </c>
      <c r="CR159" s="6">
        <f>COUNTIFS(Table7[Country],Tabela1[[#This Row],[Country]],Table7[54kg Classification],"&gt;0")</f>
        <v>0</v>
      </c>
      <c r="CS159" s="6">
        <f>COUNTIFS(Table7[Country],Tabela1[[#This Row],[Country]],Table7[57kg Classification],"&gt;0")</f>
        <v>0</v>
      </c>
      <c r="CT159" s="6">
        <f>COUNTIFS(Table7[Country],Tabela1[[#This Row],[Country]],Table7[60kg Classification],"&gt;0")</f>
        <v>0</v>
      </c>
      <c r="CU159" s="6">
        <f>COUNTIFS(Table7[Country],Tabela1[[#This Row],[Country]],Table7[66kg Classification],"&gt;0")</f>
        <v>0</v>
      </c>
      <c r="CV159" s="6">
        <f>COUNTIFS(Table7[Country],Tabela1[[#This Row],[Country]],Table7[75kg Classification],"&gt;0")</f>
        <v>0</v>
      </c>
      <c r="CW159" s="6">
        <f>COUNTIFS(Tabela94[Country],Tabela1[[#This Row],[Country]],Tabela94[Classification],"&gt;0")</f>
        <v>0</v>
      </c>
      <c r="CX159" s="6">
        <f>COUNTIFS(Tabela9499[Country],Tabela1[[#This Row],[Country]],Tabela9499[Classification],"&gt;0")</f>
        <v>0</v>
      </c>
      <c r="CY159" s="6">
        <f>COUNTIFS(Tabela107[Country],Tabela1[[#This Row],[Country]],Tabela107[C1 Slalom Classification],"&gt;0")</f>
        <v>0</v>
      </c>
      <c r="CZ159" s="6">
        <f>COUNTIFS(Tabela107122[Country],Tabela1[[#This Row],[Country]],Tabela107122[C1 Slalom Classification],"&gt;0")</f>
        <v>0</v>
      </c>
      <c r="DA159" s="6">
        <f>COUNTIFS(Tabela107[Country],Tabela1[[#This Row],[Country]],Tabela107[K1 Slalom Classification],"&gt;0")</f>
        <v>0</v>
      </c>
      <c r="DB159" s="6">
        <f>COUNTIFS(Tabela107122[Country],Tabela1[[#This Row],[Country]],Tabela107122[K1 Slalom Classification],"&gt;0")</f>
        <v>0</v>
      </c>
      <c r="DC159" s="6">
        <f>COUNTIFS(Tabela107[Country],Tabela1[[#This Row],[Country]],Tabela107[Kayak Cross Slalom Classification],"&gt;0")</f>
        <v>0</v>
      </c>
      <c r="DD159" s="6">
        <f>COUNTIFS(Tabela107122[Country],Tabela1[[#This Row],[Country]],Tabela107122[Kayak Cross Slalom Classification],"&gt;0")</f>
        <v>0</v>
      </c>
      <c r="DE159" s="6">
        <f>COUNTIFS(Table8[Country],Tabela1[[#This Row],[Country]],Table8[C1 200m Classification],"&gt;0")</f>
        <v>0</v>
      </c>
      <c r="DF159" s="6">
        <f>COUNTIFS(Table40[Country],Tabela1[[#This Row],[Country]],Table40[C1 1000m Classification],"&gt;0")</f>
        <v>0</v>
      </c>
      <c r="DG159" s="6">
        <f>COUNTIFS(Table68[Country],Tabela1[[#This Row],[Country]],Table68[Men''s C2 500m Classification],"&gt;0")</f>
        <v>0</v>
      </c>
      <c r="DH159" s="6">
        <f>COUNTIFS(Table68[Country],Tabela1[[#This Row],[Country]],Table68[Women''s C2 500m Classification],"&gt;0")</f>
        <v>0</v>
      </c>
      <c r="DI159" s="6">
        <f>COUNTIFS(Table8[Country],Tabela1[[#This Row],[Country]],Table8[K1 500m Classification],"&gt;0")</f>
        <v>0</v>
      </c>
      <c r="DJ159" s="6">
        <f>COUNTIFS(Table40[Country],Tabela1[[#This Row],[Country]],Table40[K1 1000m Classification],"&gt;0")</f>
        <v>0</v>
      </c>
      <c r="DK159" s="6">
        <f>COUNTIFS(Table68[Country],Tabela1[[#This Row],[Country]],Table68[Men''s K2 500m Classification],"&gt;0")</f>
        <v>0</v>
      </c>
      <c r="DL159" s="6">
        <f>COUNTIFS(Table68[Country],Tabela1[[#This Row],[Country]],Table68[Women''s K2 500m Classification],"&gt;0")</f>
        <v>0</v>
      </c>
      <c r="DM159" s="6">
        <f>COUNTIFS(Table83[Country],Tabela1[[#This Row],[Country]],Table83[Men''s K4 500m Classification],"&gt;0")</f>
        <v>0</v>
      </c>
      <c r="DN159" s="6">
        <f>COUNTIFS(Table83[Country],Tabela1[[#This Row],[Country]],Table83[Women''s K4 500m Classification],"&gt;0")</f>
        <v>0</v>
      </c>
      <c r="DO159" s="6">
        <f>COUNTIFS(Tabela126[Country],Tabela1[[#This Row],[Country]],Tabela126[Classification],"&gt;0")</f>
        <v>0</v>
      </c>
      <c r="DP159" s="6">
        <f>COUNTIFS(Tabela126130[Country],Tabela1[[#This Row],[Country]],Tabela126130[Classification],"&gt;0")</f>
        <v>0</v>
      </c>
      <c r="DQ159" s="6">
        <f>COUNTIFS(Table70[Country],Tabela1[[#This Row],[Country]],Table70[Classification],"&gt;0")</f>
        <v>0</v>
      </c>
      <c r="DR159" s="6">
        <f>COUNTIFS(Table80[Country],Tabela1[[#This Row],[Country]],Table80[Classification],"&gt;0")</f>
        <v>0</v>
      </c>
      <c r="DS159" s="6">
        <f>COUNTIFS(Table66[Country],Tabela1[[#This Row],[Country]],Table66[Classification],"&gt;0")</f>
        <v>0</v>
      </c>
      <c r="DT159" s="6">
        <f>COUNTIFS(Table67[Country],Tabela1[[#This Row],[Country]],Table67[Classification],"&gt;0")</f>
        <v>0</v>
      </c>
      <c r="DU159" s="6">
        <f>COUNTIFS(Table69[Country],Tabela1[[#This Row],[Country]],Table69[Keirin Classification],"&gt;0")</f>
        <v>0</v>
      </c>
      <c r="DV159" s="6">
        <f>COUNTIFS(Table41[Country],Tabela1[[#This Row],[Country]],Table41[Keirin Classification],"&gt;0")</f>
        <v>0</v>
      </c>
      <c r="DW159" s="6">
        <f>COUNTIFS(Table84[Country],Tabela1[[#This Row],[Country]],Table84[Men''s Madison Classification],"&gt;0")</f>
        <v>0</v>
      </c>
      <c r="DX159" s="6">
        <f>COUNTIFS(Table84[Country],Tabela1[[#This Row],[Country]],Table84[Women''s Madison Classification],"&gt;0")</f>
        <v>0</v>
      </c>
      <c r="DY159" s="6">
        <f>COUNTIFS(Table69[Country],Tabela1[[#This Row],[Country]],Table69[Omnium Classification],"&gt;0")</f>
        <v>0</v>
      </c>
      <c r="DZ159" s="6">
        <f>COUNTIFS(Table41[Country],Tabela1[[#This Row],[Country]],Table41[Omnium Classification],"&gt;0")</f>
        <v>0</v>
      </c>
      <c r="EA159" s="6">
        <f>COUNTIFS(Table9[Country],Tabela1[[#This Row],[Country]],Table9[Road Race Classification],"&gt;0")</f>
        <v>0</v>
      </c>
      <c r="EB159" s="6">
        <f>COUNTIFS(Table14[Country],Tabela1[[#This Row],[Country]],Table14[Road Race Classification],"&gt;0")</f>
        <v>0</v>
      </c>
      <c r="EC159" s="6">
        <f>COUNTIFS(Table69[Country],Tabela1[[#This Row],[Country]],Table69[Sprint Classification],"&gt;0")</f>
        <v>0</v>
      </c>
      <c r="ED159" s="6">
        <f>COUNTIFS(Table41[Country],Tabela1[[#This Row],[Country]],Table41[Sprint Classification],"&gt;0")</f>
        <v>0</v>
      </c>
      <c r="EE159" s="6">
        <f>COUNTIFS(Table85[Country],Tabela1[[#This Row],[Country]],Table85[Men''s Sprint Classification],"&gt;0")</f>
        <v>0</v>
      </c>
      <c r="EF159" s="6">
        <f>COUNTIFS(Table85[Country],Tabela1[[#This Row],[Country]],Table85[Women''s Sprint Classification],"&gt;0")</f>
        <v>0</v>
      </c>
      <c r="EG159" s="6">
        <f>COUNTIFS(Table85[Country],Tabela1[[#This Row],[Country]],Table85[Men''s Pursuit Classification],"&gt;0")</f>
        <v>0</v>
      </c>
      <c r="EH159" s="6">
        <f>COUNTIFS(Table85[Country],Tabela1[[#This Row],[Country]],Table85[Women''s Pursuit Classification],"&gt;0")</f>
        <v>0</v>
      </c>
      <c r="EI159" s="6">
        <f>COUNTIFS(Table9[Country],Tabela1[[#This Row],[Country]],Table9[Time-Trial Classification],"&gt;0")</f>
        <v>0</v>
      </c>
      <c r="EJ159" s="6">
        <f>COUNTIFS(Table14[Country],Tabela1[[#This Row],[Country]],Table14[Time-Trial Classification],"&gt;0")</f>
        <v>0</v>
      </c>
      <c r="EK159" s="6">
        <f>COUNTIFS(Table42[Country],Tabela1[[#This Row],[Country]],Table42[Springboard Classification],"&gt;0")</f>
        <v>0</v>
      </c>
      <c r="EL159" s="6">
        <f>COUNTIFS(Table43[Country],Tabela1[[#This Row],[Country]],Table43[Springboard Classification],"&gt;0")</f>
        <v>0</v>
      </c>
      <c r="EM159" s="6">
        <f>COUNTIFS(Table42[Country],Tabela1[[#This Row],[Country]],Table42[Platform Classification],"&gt;0")</f>
        <v>0</v>
      </c>
      <c r="EN159" s="6">
        <f>COUNTIFS(Table43[Country],Tabela1[[#This Row],[Country]],Table43[Platform Classification],"&gt;0")</f>
        <v>0</v>
      </c>
      <c r="EO159" s="6">
        <f>COUNTIFS(Table86[Country],Tabela1[[#This Row],[Country]],Table86[Men''s Synchronized Springboard Classification],"&gt;0")</f>
        <v>0</v>
      </c>
      <c r="EP159" s="6">
        <f>COUNTIFS(Table86[Country],Tabela1[[#This Row],[Country]],Table86[Women''s Synchronized Springboard Classification],"&gt;0")</f>
        <v>0</v>
      </c>
      <c r="EQ159" s="6">
        <f>COUNTIFS(Table86[Country],Tabela1[[#This Row],[Country]],Table86[Men''s Synchronized Platform Classification],"&gt;0")</f>
        <v>0</v>
      </c>
      <c r="ER159" s="6">
        <f>COUNTIFS(Table86[Country],Tabela1[[#This Row],[Country]],Table86[Women''s Synchronized Platform Classification],"&gt;0")</f>
        <v>0</v>
      </c>
      <c r="ES159" s="6">
        <f>COUNTIFS(Table44[Country],Tabela1[[#This Row],[Country]],Table44[Dressage Classification],"&gt;0")</f>
        <v>0</v>
      </c>
      <c r="ET159" s="6">
        <f>COUNTIFS(Table45[Country],Tabela1[[#This Row],[Country]],Table45[Dressage Classification],"&gt;0")</f>
        <v>0</v>
      </c>
      <c r="EU159" s="6">
        <f>COUNTIFS(Table44[Country],Tabela1[[#This Row],[Country]],Table44[Eventing Classification],"&gt;0")</f>
        <v>0</v>
      </c>
      <c r="EV159" s="6">
        <f>COUNTIFS(Table45[Country],Tabela1[[#This Row],[Country]],Table45[Eventing Classification],"&gt;0")</f>
        <v>0</v>
      </c>
      <c r="EW159" s="6">
        <f>COUNTIFS(Table44[Country],Tabela1[[#This Row],[Country]],Table44[Jumping Classification],"&gt;0")</f>
        <v>0</v>
      </c>
      <c r="EX159" s="6">
        <f>COUNTIFS(Table45[Country],Tabela1[[#This Row],[Country]],Table45[Jumping Classification],"&gt;0")</f>
        <v>0</v>
      </c>
      <c r="EY159" s="6">
        <f>COUNTIFS(Table10[Country],Tabela1[[#This Row],[Country]],Table10[Épée Classification],"&gt;0")</f>
        <v>0</v>
      </c>
      <c r="EZ159" s="6">
        <f>COUNTIFS(Table11[Country],Tabela1[[#This Row],[Country]],Table11[Épée Classification],"&gt;0")</f>
        <v>0</v>
      </c>
      <c r="FA159" s="6">
        <f>COUNTIFS(Table46[Country],Tabela1[[#This Row],[Country]],Table46[Men''s Épée Classification],"&gt;0")</f>
        <v>0</v>
      </c>
      <c r="FB159" s="6">
        <f>COUNTIFS(Table46[Country],Tabela1[[#This Row],[Country]],Table46[Women''s Épée Classification],"&gt;0")</f>
        <v>0</v>
      </c>
      <c r="FC159" s="6">
        <f>COUNTIFS(Table10[Country],Tabela1[[#This Row],[Country]],Table10[Foil Classification],"&gt;0")</f>
        <v>0</v>
      </c>
      <c r="FD159" s="6">
        <f>COUNTIFS(Table11[Country],Tabela1[[#This Row],[Country]],Table11[Foil Classification],"&gt;0")</f>
        <v>0</v>
      </c>
      <c r="FE159" s="6">
        <f>COUNTIFS(Table46[Country],Tabela1[[#This Row],[Country]],Table46[Men''s Foil Classification],"&gt;0")</f>
        <v>0</v>
      </c>
      <c r="FF159" s="6">
        <f>COUNTIFS(Table46[Country],Tabela1[[#This Row],[Country]],Table46[Women''s Foil Classification],"&gt;0")</f>
        <v>0</v>
      </c>
      <c r="FG159" s="6">
        <f>COUNTIFS(Table10[Country],Tabela1[[#This Row],[Country]],Table10[Sabre Classification],"&gt;0")</f>
        <v>0</v>
      </c>
      <c r="FH159" s="6">
        <f>COUNTIFS(Table11[Country],Tabela1[[#This Row],[Country]],Table11[Sabre Classification],"&gt;0")</f>
        <v>0</v>
      </c>
      <c r="FI159" s="6">
        <f>COUNTIFS(Table46[Country],Tabela1[[#This Row],[Country]],Table46[Men''s Sabre Classification],"&gt;0")</f>
        <v>0</v>
      </c>
      <c r="FJ159" s="6">
        <f>COUNTIFS(Table46[Country],Tabela1[[#This Row],[Country]],Table46[Women''s Sabre Classification],"&gt;0")</f>
        <v>0</v>
      </c>
      <c r="FK159" s="6">
        <f>COUNTIFS(Table91[Country],Tabela1[[#This Row],[Country]],Table91[Men''s Classification],"&gt;0")</f>
        <v>0</v>
      </c>
      <c r="FL159" s="6">
        <f>COUNTIFS(Table91[Country],Tabela1[[#This Row],[Country]],Table91[Women''s Classification],"&gt;0")</f>
        <v>0</v>
      </c>
      <c r="FM159" s="6">
        <f>COUNTIFS(Table9194[Country],Tabela1[[#This Row],[Country]],Table9194[Men''s Classification],"&gt;0")</f>
        <v>0</v>
      </c>
      <c r="FN159" s="6">
        <f>COUNTIFS(Table9194[Country],Tabela1[[#This Row],[Country]],Table9194[Women''s Classification],"&gt;0")</f>
        <v>0</v>
      </c>
      <c r="FO159" s="6">
        <f>COUNTIFS(Table71[Country],Tabela1[[#This Row],[Country]],Table71[Classification],"&gt;0")</f>
        <v>0</v>
      </c>
      <c r="FP159" s="6">
        <f>COUNTIFS(Table62[Country],Tabela1[[#This Row],[Country]],Table62[Classification],"&gt;0")</f>
        <v>0</v>
      </c>
      <c r="FQ159" s="6">
        <f>COUNTIFS(Table47[Country],Tabela1[[#This Row],[Country]],Table47[All-Around Classification],"&gt;0")</f>
        <v>0</v>
      </c>
      <c r="FR159" s="6">
        <f>COUNTIFS(Table48[Country],Tabela1[[#This Row],[Country]],Table48[All-Around Classification],"&gt;0")</f>
        <v>0</v>
      </c>
      <c r="FS159" s="6">
        <f>COUNTIFS(Table81[Country],Tabela1[[#This Row],[Country]],Table81[Men''s All-Around Classification],"&gt;0")</f>
        <v>0</v>
      </c>
      <c r="FT159" s="6">
        <f>COUNTIFS(Table81[Country],Tabela1[[#This Row],[Country]],Table81[Women''s All-Around Classification],"&gt;0")</f>
        <v>0</v>
      </c>
      <c r="FU159" s="6">
        <f>COUNTIFS(Table48[Country],Tabela1[[#This Row],[Country]],Table48[Balance Beam Classification],"&gt;0")</f>
        <v>0</v>
      </c>
      <c r="FV159" s="6">
        <f>COUNTIFS(Table47[Country],Tabela1[[#This Row],[Country]],Table47[Floor Exercise Classification],"&gt;0")</f>
        <v>0</v>
      </c>
      <c r="FW159" s="6">
        <f>COUNTIFS(Table48[Country],Tabela1[[#This Row],[Country]],Table48[Floor Exercise Classification],"&gt;0")</f>
        <v>0</v>
      </c>
      <c r="FX159" s="6">
        <f>COUNTIFS(Table47[Country],Tabela1[[#This Row],[Country]],Table47[Horizontal Bar Classification],"&gt;0")</f>
        <v>0</v>
      </c>
      <c r="FY159" s="6">
        <f>COUNTIFS(Table47[Country],Tabela1[[#This Row],[Country]],Table47[Parallel Bars Classification],"&gt;0")</f>
        <v>0</v>
      </c>
      <c r="FZ159" s="6">
        <f>COUNTIFS(Table47[Country],Tabela1[[#This Row],[Country]],Table47[Pommel Horse Classification],"&gt;0")</f>
        <v>0</v>
      </c>
      <c r="GA159" s="6">
        <f>COUNTIFS(Table47[Country],Tabela1[[#This Row],[Country]],Table47[Rings Classification],"&gt;0")</f>
        <v>0</v>
      </c>
      <c r="GB159" s="6">
        <f>COUNTIFS(Tabela132[Country],Tabela1[[#This Row],[Country]],Tabela132[Classification],"&gt;0")</f>
        <v>0</v>
      </c>
      <c r="GC159" s="6">
        <f>COUNTIFS(Tabela139[Country],Tabela1[[#This Row],[Country]],Tabela139[Classification],"&gt;0")</f>
        <v>0</v>
      </c>
      <c r="GD159" s="6">
        <f>COUNTIFS(Table48[Country],Tabela1[[#This Row],[Country]],Table48[Uneven Bars Classification],"&gt;0")</f>
        <v>0</v>
      </c>
      <c r="GE159" s="6">
        <f>COUNTIFS(Table47[Country],Tabela1[[#This Row],[Country]],Table47[Vault Classification],"&gt;0")</f>
        <v>0</v>
      </c>
      <c r="GF159" s="6">
        <f>COUNTIFS(Table48[Country],Tabela1[[#This Row],[Country]],Table48[Vault Classification],"&gt;0")</f>
        <v>0</v>
      </c>
      <c r="GG159" s="6">
        <f>COUNTIFS(Table919496[Country],Tabela1[[#This Row],[Country]],Table919496[Men''s Classification],"&gt;0")</f>
        <v>0</v>
      </c>
      <c r="GH159" s="6">
        <f>COUNTIFS(Table919496[Country],Tabela1[[#This Row],[Country]],Table919496[Women''s Classification],"&gt;0")</f>
        <v>0</v>
      </c>
      <c r="GI159" s="6">
        <f>COUNTIFS(Table12[Country],Tabela1[[#This Row],[Country]],Table12[60kg Classification],"&gt;0")</f>
        <v>0</v>
      </c>
      <c r="GJ159" s="6">
        <f>COUNTIFS(Table12[Country],Tabela1[[#This Row],[Country]],Table12[66kg Classification],"&gt;0")</f>
        <v>0</v>
      </c>
      <c r="GK159" s="6">
        <f>COUNTIFS(Table12[Country],Tabela1[[#This Row],[Country]],Table12[73kg Classification],"&gt;0")</f>
        <v>0</v>
      </c>
      <c r="GL159" s="6">
        <f>COUNTIFS(Table12[Country],Tabela1[[#This Row],[Country]],Table12[81kg Classification],"&gt;0")</f>
        <v>0</v>
      </c>
      <c r="GM159" s="6">
        <f>COUNTIFS(Table12[Country],Tabela1[[#This Row],[Country]],Table12[90kg Classification],"&gt;0")</f>
        <v>0</v>
      </c>
      <c r="GN159" s="6">
        <f>COUNTIFS(Table12[Country],Tabela1[[#This Row],[Country]],Table12[100kg Classification],"&gt;0")</f>
        <v>0</v>
      </c>
      <c r="GO159" s="6">
        <f>COUNTIFS(Table12[Country],Tabela1[[#This Row],[Country]],Table12[Plus 100kg Classification],"&gt;0")</f>
        <v>0</v>
      </c>
      <c r="GP159" s="6">
        <f>COUNTIFS(Table13[Country],Tabela1[[#This Row],[Country]],Table13[48kg Classification],"&gt;0")</f>
        <v>0</v>
      </c>
      <c r="GQ159" s="6">
        <f>COUNTIFS(Table13[Country],Tabela1[[#This Row],[Country]],Table13[52kg Classification],"&gt;0")</f>
        <v>0</v>
      </c>
      <c r="GR159" s="6">
        <f>COUNTIFS(Table13[Country],Tabela1[[#This Row],[Country]],Table13[57kg Classification],"&gt;0")</f>
        <v>0</v>
      </c>
      <c r="GS159" s="6">
        <f>COUNTIFS(Table13[Country],Tabela1[[#This Row],[Country]],Table13[63kg Classification],"&gt;0")</f>
        <v>0</v>
      </c>
      <c r="GT159" s="6">
        <f>COUNTIFS(Table13[Country],Tabela1[[#This Row],[Country]],Table13[70kg Classification],"&gt;0")</f>
        <v>0</v>
      </c>
      <c r="GU159" s="6">
        <f>COUNTIFS(Table13[Country],Tabela1[[#This Row],[Country]],Table13[78kg Classification],"&gt;0")</f>
        <v>0</v>
      </c>
      <c r="GV159" s="6">
        <f>COUNTIFS(Table13[Country],Tabela1[[#This Row],[Country]],Table13[Plus 78kg Classification],"&gt;0")</f>
        <v>0</v>
      </c>
      <c r="GW159" s="6">
        <f>COUNTIFS(Table82[Country],Tabela1[[#This Row],[Country]],Table82[Mixed Classification],"&gt;0")</f>
        <v>0</v>
      </c>
      <c r="GX159" s="6">
        <f>COUNTIFS(Table51[Country],Tabela1[[#This Row],[Country]],Table51[Classification],"&gt;0")</f>
        <v>0</v>
      </c>
      <c r="GY159" s="6">
        <f>COUNTIFS(Table52[Country],Tabela1[[#This Row],[Country]],Table52[Classification],"&gt;0")</f>
        <v>0</v>
      </c>
      <c r="GZ159" s="6">
        <f>COUNTIFS(Table32[Country],Tabela1[[#This Row],[Country]],Table32[All-Around Classification],"&gt;0")</f>
        <v>0</v>
      </c>
      <c r="HA159" s="6">
        <f>COUNTIFS(Table49[Country],Tabela1[[#This Row],[Country]],Table49[All-Around Classification],"&gt;0")</f>
        <v>0</v>
      </c>
      <c r="HB159" s="6">
        <f>COUNTIFS(Table26[Country],Tabela1[[#This Row],[Country]],Table26[Single Sculls Classification],"&gt;0")</f>
        <v>0</v>
      </c>
      <c r="HC159" s="6">
        <f>COUNTIFS(Table63[Country],Tabela1[[#This Row],[Country]],Table63[Single Sculls Classification],"&gt;0")</f>
        <v>0</v>
      </c>
      <c r="HD159" s="6">
        <f>COUNTIFS(Table16[Country],Tabela1[[#This Row],[Country]],Table16[Men''s Double Sculls Classification],"&gt;0")</f>
        <v>0</v>
      </c>
      <c r="HE159" s="6">
        <f>COUNTIFS(Table16[Country],Tabela1[[#This Row],[Country]],Table16[Women''s Double Sculls Classification],"&gt;0")</f>
        <v>0</v>
      </c>
      <c r="HF159" s="6">
        <f>COUNTIFS(Table72[Country],Tabela1[[#This Row],[Country]],Table72[Men''s Quadruple Sculls Classification],"&gt;0")</f>
        <v>0</v>
      </c>
      <c r="HG159" s="6">
        <f>COUNTIFS(Table72[Country],Tabela1[[#This Row],[Country]],Table72[Women''s Quadruple Sculls Classification],"&gt;0")</f>
        <v>0</v>
      </c>
      <c r="HH159" s="6">
        <f>COUNTIFS(Table16[Country],Tabela1[[#This Row],[Country]],Table16[Men''s Coxless Pairs Classification],"&gt;0")</f>
        <v>0</v>
      </c>
      <c r="HI159" s="6">
        <f>COUNTIFS(Table16[Country],Tabela1[[#This Row],[Country]],Table16[Women''s Coxless Pairs Classification],"&gt;0")</f>
        <v>0</v>
      </c>
      <c r="HJ159" s="6">
        <f>COUNTIFS(Table72[Country],Tabela1[[#This Row],[Country]],Table72[Men''s Coxless Fours Classification],"&gt;0")</f>
        <v>0</v>
      </c>
      <c r="HK159" s="6">
        <f>COUNTIFS(Table72[Country],Tabela1[[#This Row],[Country]],Table72[Women''s Coxless Fours Classification],"&gt;0")</f>
        <v>0</v>
      </c>
      <c r="HL159" s="6">
        <f>COUNTIFS(Table72[Country],Tabela1[[#This Row],[Country]],Table72[Men''s Eights Classification],"&gt;0")</f>
        <v>0</v>
      </c>
      <c r="HM159" s="6">
        <f>COUNTIFS(Table72[Country],Tabela1[[#This Row],[Country]],Table72[Women''s Eights Classification],"&gt;0")</f>
        <v>0</v>
      </c>
      <c r="HN159" s="6">
        <f>COUNTIFS(Table16[Country],Tabela1[[#This Row],[Country]],Table16[Men''s Lwt. Double Sculls Classification],"&gt;0")</f>
        <v>0</v>
      </c>
      <c r="HO159" s="6">
        <f>COUNTIFS(Table16[Country],Tabela1[[#This Row],[Country]],Table16[Women''s Lwt. Double Sculls Classification],"&gt;0")</f>
        <v>0</v>
      </c>
      <c r="HP159" s="6">
        <f>COUNTIFS(Table91949698[Country],Tabela1[[#This Row],[Country]],Table91949698[Men''s Classification],"&gt;0")</f>
        <v>0</v>
      </c>
      <c r="HQ159" s="6">
        <f>COUNTIFS(Table91949698[Country],Tabela1[[#This Row],[Country]],Table91949698[Women''s Classification],"&gt;0")</f>
        <v>0</v>
      </c>
      <c r="HR159" s="6">
        <f>COUNTIFS(Table25[Country],Tabela1[[#This Row],[Country]],Table25[Mixed 470 Classification],"&gt;0")</f>
        <v>0</v>
      </c>
      <c r="HS159" s="6">
        <f>COUNTIFS(Table25[Country],Tabela1[[#This Row],[Country]],Table25[Men''s 49er Classification],"&gt;0")</f>
        <v>0</v>
      </c>
      <c r="HT159" s="6">
        <f>COUNTIFS(Table25[Country],Tabela1[[#This Row],[Country]],Table25[Women''s 49er FX Classification],"&gt;0")</f>
        <v>0</v>
      </c>
      <c r="HU159" s="6">
        <f>COUNTIFS(Table17[Country],Tabela1[[#This Row],[Country]],Table17[Formula Kite Classification],"&gt;0")</f>
        <v>0</v>
      </c>
      <c r="HV159" s="6">
        <f>COUNTIFS(Table18[Country],Tabela1[[#This Row],[Country]],Table18[Formula Kite Classification],"&gt;0")</f>
        <v>0</v>
      </c>
      <c r="HW159" s="6">
        <f>COUNTIFS(Table17[Country],Tabela1[[#This Row],[Country]],Table17[ILCA 7 Classification],"&gt;0")</f>
        <v>0</v>
      </c>
      <c r="HX159" s="6">
        <f>COUNTIFS(Table18[Country],Tabela1[[#This Row],[Country]],Table18[ILCA 6 Classification],"&gt;0")</f>
        <v>0</v>
      </c>
      <c r="HY159" s="6">
        <f>COUNTIFS(Table17[Country],Tabela1[[#This Row],[Country]],Table17[IQFoil Classification],"&gt;0")</f>
        <v>0</v>
      </c>
      <c r="HZ159" s="6">
        <f>COUNTIFS(Table18[Country],Tabela1[[#This Row],[Country]],Table18[IQFoil Classification],"&gt;0")</f>
        <v>0</v>
      </c>
      <c r="IA159" s="6">
        <f>COUNTIFS(Table25[Country],Tabela1[[#This Row],[Country]],Table25[Mixed Nacra 17 Classification],"&gt;0")</f>
        <v>0</v>
      </c>
      <c r="IB159" s="6">
        <f>COUNTIFS(Table53[Country],Tabela1[[#This Row],[Country]],Table53[10m Air Pistol Classification],"&gt;0")</f>
        <v>0</v>
      </c>
      <c r="IC159" s="6">
        <f>COUNTIFS(Table19[Country],Tabela1[[#This Row],[Country]],Table19[10m Air Pistol Classification],"&gt;0")</f>
        <v>0</v>
      </c>
      <c r="ID159" s="6">
        <f>COUNTIFS(Table54[Country],Tabela1[[#This Row],[Country]],Table54[Mixed 10m Air Pistol Team Classification],"&gt;0")</f>
        <v>0</v>
      </c>
      <c r="IE159" s="6">
        <f>COUNTIFS(Table53[Country],Tabela1[[#This Row],[Country]],Table53[10m Air Rifle Classification],"&gt;0")</f>
        <v>0</v>
      </c>
      <c r="IF159" s="6">
        <f>COUNTIFS(Table19[Country],Tabela1[[#This Row],[Country]],Table19[10m Air Rifle Classification],"&gt;0")</f>
        <v>0</v>
      </c>
      <c r="IG159" s="6">
        <f>COUNTIFS(Table54[Country],Tabela1[[#This Row],[Country]],Table54[Mixed 10m Air Rifle Team Classification],"&gt;0")</f>
        <v>0</v>
      </c>
      <c r="IH159" s="6">
        <f>COUNTIFS(Table53[Country],Tabela1[[#This Row],[Country]],Table53[25m Rapid Fire Pistol Classification],"&gt;0")</f>
        <v>0</v>
      </c>
      <c r="II159" s="6">
        <f>COUNTIFS(Table19[Country],Tabela1[[#This Row],[Country]],Table19[25m Pistol Classification],"&gt;0")</f>
        <v>0</v>
      </c>
      <c r="IJ159" s="6">
        <f>COUNTIFS(Table53[Country],Tabela1[[#This Row],[Country]],Table53[50m Rifle 3 Positions Classification],"&gt;0")</f>
        <v>0</v>
      </c>
      <c r="IK159" s="6">
        <f>COUNTIFS(Table19[Country],Tabela1[[#This Row],[Country]],Table19[50m Rifle 3 Positions Classification],"&gt;0")</f>
        <v>0</v>
      </c>
      <c r="IL159" s="6">
        <f>COUNTIFS(Table53[Country],Tabela1[[#This Row],[Country]],Table53[Skeet Classification],"&gt;0")</f>
        <v>0</v>
      </c>
      <c r="IM159" s="6">
        <f>COUNTIFS(Table19[Country],Tabela1[[#This Row],[Country]],Table19[Skeet Classification],"&gt;0")</f>
        <v>0</v>
      </c>
      <c r="IN159" s="6">
        <f>COUNTIFS(Table54[Country],Tabela1[[#This Row],[Country]],Table54[Mixed Skeet Team Classification],"&gt;0")</f>
        <v>0</v>
      </c>
      <c r="IO159" s="6">
        <f>COUNTIFS(Table53[Country],Tabela1[[#This Row],[Country]],Table53[Trap Classification],"&gt;0")</f>
        <v>0</v>
      </c>
      <c r="IP159" s="6">
        <f>COUNTIFS(Table19[Country],Tabela1[[#This Row],[Country]],Table19[Trap Classification],"&gt;0")</f>
        <v>0</v>
      </c>
      <c r="IQ159" s="6">
        <f>COUNTIFS(Table73[Country],Tabela1[[#This Row],[Country]],Table73[Park Classification],"&gt;0")</f>
        <v>0</v>
      </c>
      <c r="IR159" s="6">
        <f>COUNTIFS(Table74[Country],Tabela1[[#This Row],[Country]],Table74[Park Classification],"&gt;0")</f>
        <v>0</v>
      </c>
      <c r="IS159" s="6">
        <f>COUNTIFS(Table73[Country],Tabela1[[#This Row],[Country]],Table73[Street Classification],"&gt;0")</f>
        <v>0</v>
      </c>
      <c r="IT159" s="6">
        <f>COUNTIFS(Table74[Country],Tabela1[[#This Row],[Country]],Table74[Street Classification],"&gt;0")</f>
        <v>0</v>
      </c>
      <c r="IU159" s="6">
        <f>COUNTIFS(Table75[Country],Tabela1[[#This Row],[Country]],Table75[Boulder and Lead Classification],"&gt;0")</f>
        <v>0</v>
      </c>
      <c r="IV159" s="6">
        <f>COUNTIFS(Table76[Country],Tabela1[[#This Row],[Country]],Table76[Boulder and Lead Classification],"&gt;0")</f>
        <v>0</v>
      </c>
      <c r="IW159" s="6">
        <f>COUNTIFS(Table75[Country],Tabela1[[#This Row],[Country]],Table75[Speed Classification],"&gt;0")</f>
        <v>0</v>
      </c>
      <c r="IX159" s="6">
        <f>COUNTIFS(Table76[Country],Tabela1[[#This Row],[Country]],Table76[Speed Classification],"&gt;0")</f>
        <v>0</v>
      </c>
      <c r="IY159" s="6">
        <f>COUNTIFS(Table64[Country],Tabela1[[#This Row],[Country]],Table64[Shortboard Classification],"&gt;0")</f>
        <v>0</v>
      </c>
      <c r="IZ159" s="6">
        <f>COUNTIFS(Table77[Country],Tabela1[[#This Row],[Country]],Table77[Shortboard Classification],"&gt;0")</f>
        <v>0</v>
      </c>
      <c r="JA159" s="6">
        <f>COUNTIFS(Table20[Country],Tabela1[[#This Row],[Country]],Table20[50m Freestyle Classification],"&gt;0")</f>
        <v>0</v>
      </c>
      <c r="JB159" s="6">
        <f>COUNTIFS(Table21[Country],Tabela1[[#This Row],[Country]],Table21[50m Freestyle Classification],"&gt;0")</f>
        <v>0</v>
      </c>
      <c r="JC159" s="6">
        <f>COUNTIFS(Table20[Country],Tabela1[[#This Row],[Country]],Table20[100m Freestyle Classification],"&gt;0")</f>
        <v>0</v>
      </c>
      <c r="JD159" s="6">
        <f>COUNTIFS(Table21[Country],Tabela1[[#This Row],[Country]],Table21[100m Freestyle Classification],"&gt;0")</f>
        <v>0</v>
      </c>
      <c r="JE159" s="6">
        <f>COUNTIFS(Table20[Country],Tabela1[[#This Row],[Country]],Table20[200m Freestyle Classification],"&gt;0")</f>
        <v>0</v>
      </c>
      <c r="JF159" s="6">
        <f>COUNTIFS(Table21[Country],Tabela1[[#This Row],[Country]],Table21[200m Freestyle Classification],"&gt;0")</f>
        <v>0</v>
      </c>
      <c r="JG159" s="6">
        <f>COUNTIFS(Table20[Country],Tabela1[[#This Row],[Country]],Table20[400m Freestyle Classification],"&gt;0")</f>
        <v>0</v>
      </c>
      <c r="JH159" s="6">
        <f>COUNTIFS(Table21[Country],Tabela1[[#This Row],[Country]],Table21[400m Freestyle Classification],"&gt;0")</f>
        <v>0</v>
      </c>
      <c r="JI159" s="6">
        <f>COUNTIFS(Table20[Country],Tabela1[[#This Row],[Country]],Table20[800m Freestyle Classification],"&gt;0")</f>
        <v>0</v>
      </c>
      <c r="JJ159" s="6">
        <f>COUNTIFS(Table21[Country],Tabela1[[#This Row],[Country]],Table21[800m Freestyle Classification],"&gt;0")</f>
        <v>0</v>
      </c>
      <c r="JK159" s="6">
        <f>COUNTIFS(Table20[Country],Tabela1[[#This Row],[Country]],Table20[1500m Freestyle Classification],"&gt;0")</f>
        <v>0</v>
      </c>
      <c r="JL159" s="6">
        <f>COUNTIFS(Table21[Country],Tabela1[[#This Row],[Country]],Table21[1500m Freestyle Classification],"&gt;0")</f>
        <v>0</v>
      </c>
      <c r="JM159" s="6">
        <f>COUNTIFS(Table20[Country],Tabela1[[#This Row],[Country]],Table20[100m Backstroke Classification],"&gt;0")</f>
        <v>0</v>
      </c>
      <c r="JN159" s="6">
        <f>COUNTIFS(Table21[Country],Tabela1[[#This Row],[Country]],Table21[100m Backstroke Classification],"&gt;0")</f>
        <v>0</v>
      </c>
      <c r="JO159" s="6">
        <f>COUNTIFS(Table20[Country],Tabela1[[#This Row],[Country]],Table20[200m Backstroke Classification],"&gt;0")</f>
        <v>0</v>
      </c>
      <c r="JP159" s="6">
        <f>COUNTIFS(Table21[Country],Tabela1[[#This Row],[Country]],Table21[200m Backstroke Classification],"&gt;0")</f>
        <v>0</v>
      </c>
      <c r="JQ159" s="6">
        <f>COUNTIFS(Table20[Country],Tabela1[[#This Row],[Country]],Table20[100m Breaststroke Classification],"&gt;0")</f>
        <v>0</v>
      </c>
      <c r="JR159" s="6">
        <f>COUNTIFS(Table21[Country],Tabela1[[#This Row],[Country]],Table21[100m Breaststroke Classification],"&gt;0")</f>
        <v>0</v>
      </c>
      <c r="JS159" s="6">
        <f>COUNTIFS(Table20[Country],Tabela1[[#This Row],[Country]],Table20[200m Breaststroke Classification],"&gt;0")</f>
        <v>0</v>
      </c>
      <c r="JT159" s="6">
        <f>COUNTIFS(Table21[Country],Tabela1[[#This Row],[Country]],Table21[200m Breaststroke Classification],"&gt;0")</f>
        <v>0</v>
      </c>
      <c r="JU159" s="6">
        <f>COUNTIFS(Table20[Country],Tabela1[[#This Row],[Country]],Table20[100m Butterfly Classification],"&gt;0")</f>
        <v>0</v>
      </c>
      <c r="JV159" s="6">
        <f>COUNTIFS(Table21[Country],Tabela1[[#This Row],[Country]],Table21[100m Butterfly Classification],"&gt;0")</f>
        <v>0</v>
      </c>
      <c r="JW159" s="6">
        <f>COUNTIFS(Table20[Country],Tabela1[[#This Row],[Country]],Table20[200m Butterfly Classification],"&gt;0")</f>
        <v>0</v>
      </c>
      <c r="JX159" s="6">
        <f>COUNTIFS(Table21[Country],Tabela1[[#This Row],[Country]],Table21[200m Butterfly Classification],"&gt;0")</f>
        <v>0</v>
      </c>
      <c r="JY159" s="6">
        <f>COUNTIFS(Table20[Country],Tabela1[[#This Row],[Country]],Table20[200m Medley Classification],"&gt;0")</f>
        <v>0</v>
      </c>
      <c r="JZ159" s="6">
        <f>COUNTIFS(Table21[Country],Tabela1[[#This Row],[Country]],Table21[200m Medley Classification],"&gt;0")</f>
        <v>0</v>
      </c>
      <c r="KA159" s="6">
        <f>COUNTIFS(Table20[Country],Tabela1[[#This Row],[Country]],Table20[400m Medley Classification],"&gt;0")</f>
        <v>0</v>
      </c>
      <c r="KB159" s="6">
        <f>COUNTIFS(Table21[Country],Tabela1[[#This Row],[Country]],Table21[400m Medley Classification],"&gt;0")</f>
        <v>0</v>
      </c>
      <c r="KC159" s="6">
        <f>COUNTIFS(Table78[Country],Tabela1[[#This Row],[Country]],Table78[Men''s 4x100m Freestyle Relay Classification],"&gt;0")</f>
        <v>0</v>
      </c>
      <c r="KD159" s="6">
        <f>COUNTIFS(Table78[Country],Tabela1[[#This Row],[Country]],Table78[Women''s 4x100m Freestyle Relay Classification],"&gt;0")</f>
        <v>0</v>
      </c>
      <c r="KE159" s="6">
        <f>COUNTIFS(Table78[Country],Tabela1[[#This Row],[Country]],Table78[Men''s 4x200m Freestyle Relay Classification],"&gt;0")</f>
        <v>0</v>
      </c>
      <c r="KF159" s="6">
        <f>COUNTIFS(Table78[Country],Tabela1[[#This Row],[Country]],Table78[Women''s 4x200m Freestyle Relay Classification],"&gt;0")</f>
        <v>0</v>
      </c>
      <c r="KG159" s="6">
        <f>COUNTIFS(Table78[Country],Tabela1[[#This Row],[Country]],Table78[Men''s 4x100m Medley Relay Classification],"&gt;0")</f>
        <v>0</v>
      </c>
      <c r="KH159" s="6">
        <f>COUNTIFS(Table78[Country],Tabela1[[#This Row],[Country]],Table78[Women''s 4x100m Medley Relay Classification],"&gt;0")</f>
        <v>0</v>
      </c>
      <c r="KI159" s="6">
        <f>COUNTIFS(Table78[Country],Tabela1[[#This Row],[Country]],Table78[Mixed 4x100m Medley Relay Classification],"&gt;0")</f>
        <v>0</v>
      </c>
      <c r="KJ159" s="6">
        <f>COUNTIFS(Table20[Country],Tabela1[[#This Row],[Country]],Table20[10km Open Water Classification],"&gt;0")</f>
        <v>0</v>
      </c>
      <c r="KK159" s="6">
        <f>COUNTIFS(Table21[Country],Tabela1[[#This Row],[Country]],Table21[10km Open Water Classification],"&gt;0")</f>
        <v>0</v>
      </c>
      <c r="KL159" s="6">
        <f>COUNTIFS(Table22[Country],Tabela1[[#This Row],[Country]],Table22[Classification],"&gt;0")</f>
        <v>0</v>
      </c>
      <c r="KM159" s="6">
        <f>COUNTIFS(Table30[Country],Tabela1[[#This Row],[Country]],Table30[Classification],"&gt;0")</f>
        <v>0</v>
      </c>
      <c r="KN159" s="6">
        <f>COUNTIFS(Table55[Country],Tabela1[[#This Row],[Country]],Table55[Men''s Classification],"&gt;0")</f>
        <v>0</v>
      </c>
      <c r="KO159" s="6">
        <f>COUNTIFS(Table55[Country],Tabela1[[#This Row],[Country]],Table55[Women''s Classification],"&gt;0")</f>
        <v>0</v>
      </c>
      <c r="KP159" s="6">
        <f>COUNTIFS(Table56[Country],Tabela1[[#This Row],[Country]],Table56[Mixed Classification],"&gt;0")</f>
        <v>0</v>
      </c>
      <c r="KQ159" s="6">
        <f>COUNTIFS(Table29[Country],Tabela1[[#This Row],[Country]],Table29[58kg Classification],"&gt;0")</f>
        <v>0</v>
      </c>
      <c r="KR159" s="6">
        <f>COUNTIFS(Table29[Country],Tabela1[[#This Row],[Country]],Table29[68kg Classification],"&gt;0")</f>
        <v>0</v>
      </c>
      <c r="KS159" s="6">
        <f>COUNTIFS(Table29[Country],Tabela1[[#This Row],[Country]],Table29[80kg Classification],"&gt;0")</f>
        <v>0</v>
      </c>
      <c r="KT159" s="6">
        <f>COUNTIFS(Table29[Country],Tabela1[[#This Row],[Country]],Table29[Plus 80kg Classification],"&gt;0")</f>
        <v>0</v>
      </c>
      <c r="KU159" s="6">
        <f>COUNTIFS(Table34[Country],Tabela1[[#This Row],[Country]],Table34[49kg Classification],"&gt;0")</f>
        <v>0</v>
      </c>
      <c r="KV159" s="6">
        <f>COUNTIFS(Table34[Country],Tabela1[[#This Row],[Country]],Table34[57kg Classification],"&gt;0")</f>
        <v>0</v>
      </c>
      <c r="KW159" s="6">
        <f>COUNTIFS(Table34[Country],Tabela1[[#This Row],[Country]],Table34[67kg Classification],"&gt;0")</f>
        <v>0</v>
      </c>
      <c r="KX159" s="6">
        <f>COUNTIFS(Table34[Country],Tabela1[[#This Row],[Country]],Table34[Plus 67kg Classification],"&gt;0")</f>
        <v>0</v>
      </c>
      <c r="KY159" s="6">
        <f>COUNTIFS(Table57[Country],Tabela1[[#This Row],[Country]],Table57[Classification],"&gt;0")</f>
        <v>0</v>
      </c>
      <c r="KZ159" s="6">
        <f>COUNTIFS(Table58[Country],Tabela1[[#This Row],[Country]],Table58[Classification],"&gt;0")</f>
        <v>0</v>
      </c>
      <c r="LA159" s="6">
        <f>COUNTIFS(Table79[Country],Tabela1[[#This Row],[Country]],Table79[Men''s Classification],"&gt;0")</f>
        <v>0</v>
      </c>
      <c r="LB159" s="6">
        <f>COUNTIFS(Table79[Country],Tabela1[[#This Row],[Country]],Table79[Women''s Classification],"&gt;0")</f>
        <v>0</v>
      </c>
      <c r="LC159" s="6">
        <f>COUNTIFS(Table79[Country],Tabela1[[#This Row],[Country]],Table79[Mixed Classification],"&gt;0")</f>
        <v>0</v>
      </c>
      <c r="LD159" s="6">
        <f>COUNTIFS(Table65[Country],Tabela1[[#This Row],[Country]],Table65[Classification],"&gt;0")</f>
        <v>0</v>
      </c>
      <c r="LE159" s="6">
        <f>COUNTIFS(Table59[Country],Tabela1[[#This Row],[Country]],Table59[Classification],"&gt;0")</f>
        <v>0</v>
      </c>
      <c r="LF159" s="6">
        <f>COUNTIFS(Table87[Country],Tabela1[[#This Row],[Country]],Table87[Mixed Relay Classification],"&gt;0")</f>
        <v>0</v>
      </c>
      <c r="LG159" s="6">
        <f>COUNTIFS(Table91949698100[Country],Tabela1[[#This Row],[Country]],Table91949698100[Men''s Classification],"&gt;0")</f>
        <v>0</v>
      </c>
      <c r="LH159" s="6">
        <f>COUNTIFS(Table91949698100[Country],Tabela1[[#This Row],[Country]],Table91949698100[Women''s Classification],"&gt;0")</f>
        <v>0</v>
      </c>
      <c r="LI159" s="6">
        <f>COUNTIFS(Table91949698100102[Country],Tabela1[[#This Row],[Country]],Table91949698100102[Men''s Classification],"&gt;0")</f>
        <v>0</v>
      </c>
      <c r="LJ159" s="6">
        <f>COUNTIFS(Table91949698100102[Country],Tabela1[[#This Row],[Country]],Table91949698100102[Women''s Classification],"&gt;0")</f>
        <v>0</v>
      </c>
      <c r="LK159" s="6">
        <f>COUNTIFS(Table23[Country],Tabela1[[#This Row],[Country]],Table23[61kg Classification],"&gt;0")</f>
        <v>0</v>
      </c>
      <c r="LL159" s="6">
        <f>COUNTIFS(Table23[Country],Tabela1[[#This Row],[Country]],Table23[73kg Classification],"&gt;0")</f>
        <v>0</v>
      </c>
      <c r="LM159" s="6">
        <f>COUNTIFS(Table23[Country],Tabela1[[#This Row],[Country]],Table23[89kg Classification],"&gt;0")</f>
        <v>0</v>
      </c>
      <c r="LN159" s="6">
        <f>COUNTIFS(Table23[Country],Tabela1[[#This Row],[Country]],Table23[102kg Classification],"&gt;0")</f>
        <v>0</v>
      </c>
      <c r="LO159" s="6">
        <f>COUNTIFS(Table23[Country],Tabela1[[#This Row],[Country]],Table23[Plus 102kg Classification],"&gt;0")</f>
        <v>0</v>
      </c>
      <c r="LP159" s="6">
        <f>COUNTIFS(Table28[Country],Tabela1[[#This Row],[Country]],Table28[49kg Classification],"&gt;0")</f>
        <v>0</v>
      </c>
      <c r="LQ159" s="6">
        <f>COUNTIFS(Table28[Country],Tabela1[[#This Row],[Country]],Table28[59kg Classification],"&gt;0")</f>
        <v>0</v>
      </c>
      <c r="LR159" s="6">
        <f>COUNTIFS(Table28[Country],Tabela1[[#This Row],[Country]],Table28[71kg Classification],"&gt;0")</f>
        <v>0</v>
      </c>
      <c r="LS159" s="6">
        <f>COUNTIFS(Table28[Country],Tabela1[[#This Row],[Country]],Table28[81kg Classification],"&gt;0")</f>
        <v>0</v>
      </c>
      <c r="LT159" s="6">
        <f>COUNTIFS(Table28[Country],Tabela1[[#This Row],[Country]],Table28[Plus 81kg Classification],"&gt;0")</f>
        <v>0</v>
      </c>
      <c r="LU159" s="6">
        <f>COUNTIFS(Table24[Country],Tabela1[[#This Row],[Country]],Table24[Freestyle 57kg Classification],"&gt;0")</f>
        <v>0</v>
      </c>
      <c r="LV159" s="6">
        <f>COUNTIFS(Table24[Country],Tabela1[[#This Row],[Country]],Table24[Freestyle 65kg Classification],"&gt;0")</f>
        <v>0</v>
      </c>
      <c r="LW159" s="6">
        <f>COUNTIFS(Table24[Country],Tabela1[[#This Row],[Country]],Table24[Freestyle 74kg Classification],"&gt;0")</f>
        <v>0</v>
      </c>
      <c r="LX159" s="6">
        <f>COUNTIFS(Table24[Country],Tabela1[[#This Row],[Country]],Table24[Freestyle 86kg Classification],"&gt;0")</f>
        <v>0</v>
      </c>
      <c r="LY159" s="6">
        <f>COUNTIFS(Table24[Country],Tabela1[[#This Row],[Country]],Table24[Freestyle 97kg Classification],"&gt;0")</f>
        <v>0</v>
      </c>
      <c r="LZ159" s="6">
        <f>COUNTIFS(Table24[Country],Tabela1[[#This Row],[Country]],Table24[Freestyle 125kg Classification],"&gt;0")</f>
        <v>0</v>
      </c>
      <c r="MA159" s="6">
        <f>COUNTIFS(Table24[Country],Tabela1[[#This Row],[Country]],Table24[Greco-Roman 60kg Classification],"&gt;0")</f>
        <v>0</v>
      </c>
      <c r="MB159" s="6">
        <f>COUNTIFS(Table24[Country],Tabela1[[#This Row],[Country]],Table24[Greco-Roman 67kg Classification],"&gt;0")</f>
        <v>0</v>
      </c>
      <c r="MC159" s="6">
        <f>COUNTIFS(Table24[Country],Tabela1[[#This Row],[Country]],Table24[Greco-Roman 77kg Classification],"&gt;0")</f>
        <v>0</v>
      </c>
      <c r="MD159" s="6">
        <f>COUNTIFS(Table24[Country],Tabela1[[#This Row],[Country]],Table24[Greco-Roman 87kg Classification],"&gt;0")</f>
        <v>0</v>
      </c>
      <c r="ME159" s="6">
        <f>COUNTIFS(Table24[Country],Tabela1[[#This Row],[Country]],Table24[Greco-Roman 97kg Classification],"&gt;0")</f>
        <v>0</v>
      </c>
      <c r="MF159" s="6">
        <f>COUNTIFS(Table24[Country],Tabela1[[#This Row],[Country]],Table24[Greco-Roman 130kg Classification],"&gt;0")</f>
        <v>0</v>
      </c>
      <c r="MG159" s="6">
        <f>COUNTIFS(Table31[Country],Tabela1[[#This Row],[Country]],Table31[50kg Classification],"&gt;0")</f>
        <v>0</v>
      </c>
      <c r="MH159" s="6">
        <f>COUNTIFS(Table31[Country],Tabela1[[#This Row],[Country]],Table31[53kg Classification],"&gt;0")</f>
        <v>0</v>
      </c>
      <c r="MI159" s="6">
        <f>COUNTIFS(Table31[Country],Tabela1[[#This Row],[Country]],Table31[57kg Classification],"&gt;0")</f>
        <v>0</v>
      </c>
      <c r="MJ159" s="6">
        <f>COUNTIFS(Table31[Country],Tabela1[[#This Row],[Country]],Table31[62kg Classification],"&gt;0")</f>
        <v>0</v>
      </c>
      <c r="MK159" s="6">
        <f>COUNTIFS(Table31[Country],Tabela1[[#This Row],[Country]],Table31[68kg Classification],"&gt;0")</f>
        <v>0</v>
      </c>
      <c r="ML159" s="6">
        <f>COUNTIFS(Table31[Country],Tabela1[[#This Row],[Country]],Table31[76kg Classification],"&gt;0")</f>
        <v>0</v>
      </c>
      <c r="MM159" s="6">
        <f>COUNTIFS(Table102[Country],Tabela1[[#This Row],[Country]],Table102[Downhill Classification],"&gt;0")</f>
        <v>0</v>
      </c>
      <c r="MN159" s="6">
        <f>COUNTIFS(Table102105[Country],Tabela1[[#This Row],[Country]],Table102105[Downhill Classification],"&gt;0")</f>
        <v>0</v>
      </c>
      <c r="MO159" s="6">
        <f>COUNTIFS(Table102[Country],Tabela1[[#This Row],[Country]],Table102[Giant Slalom Classification],"&gt;0")</f>
        <v>0</v>
      </c>
      <c r="MP159" s="6">
        <f>COUNTIFS(Table102105[Country],Tabela1[[#This Row],[Country]],Table102105[Giant Slalom Classification],"&gt;0")</f>
        <v>0</v>
      </c>
      <c r="MQ159" s="6">
        <f>COUNTIFS(Table102[Country],Tabela1[[#This Row],[Country]],Table102[Slalom Classification],"&gt;0")</f>
        <v>0</v>
      </c>
      <c r="MR159" s="6">
        <f>COUNTIFS(Table102105[Country],Tabela1[[#This Row],[Country]],Table102105[Slalom Classification],"&gt;0")</f>
        <v>0</v>
      </c>
      <c r="MS159" s="6">
        <f>COUNTIFS(Table102[Country],Tabela1[[#This Row],[Country]],Table102[Super-G Classification],"&gt;0")</f>
        <v>0</v>
      </c>
      <c r="MT159" s="6">
        <f>COUNTIFS(Table102105[Country],Tabela1[[#This Row],[Country]],Table102105[Super-G Classification],"&gt;0")</f>
        <v>0</v>
      </c>
      <c r="MU159" s="6">
        <f>COUNTIFS(Table105[Country],Tabela1[[#This Row],[Country]],Table105[Men''s Combined Classification],"&gt;0")</f>
        <v>0</v>
      </c>
      <c r="MV159" s="6">
        <f>COUNTIFS(Table105[Country],Tabela1[[#This Row],[Country]],Table105[Women''s Combined Classification],"&gt;0")</f>
        <v>0</v>
      </c>
      <c r="MW159" s="6">
        <f>COUNTIFS(Table106[Country],Tabela1[[#This Row],[Country]],Table106[Individual Classification],"&gt;0")</f>
        <v>0</v>
      </c>
      <c r="MX159" s="6">
        <f>COUNTIFS(Table106109[Country],Tabela1[[#This Row],[Country]],Table106109[Individual Classification],"&gt;0")</f>
        <v>0</v>
      </c>
      <c r="MY159" s="6">
        <f>COUNTIFS(Table106[Country],Tabela1[[#This Row],[Country]],Table106[Mass Start Classification],"&gt;0")</f>
        <v>0</v>
      </c>
      <c r="MZ159" s="6">
        <f>COUNTIFS(Table106109[Country],Tabela1[[#This Row],[Country]],Table106109[Mass Start Classification],"&gt;0")</f>
        <v>0</v>
      </c>
      <c r="NA159" s="6">
        <f>COUNTIFS(Table106[Country],Tabela1[[#This Row],[Country]],Table106[Pursuit Classification],"&gt;0")</f>
        <v>0</v>
      </c>
      <c r="NB159" s="6">
        <f>COUNTIFS(Table106109[Country],Tabela1[[#This Row],[Country]],Table106109[Pursuit Classification],"&gt;0")</f>
        <v>0</v>
      </c>
      <c r="NC159" s="6">
        <f>COUNTIFS(Table106[Country],Tabela1[[#This Row],[Country]],Table106[Sprint Classification],"&gt;0")</f>
        <v>0</v>
      </c>
      <c r="ND159" s="6">
        <f>COUNTIFS(Table106109[Country],Tabela1[[#This Row],[Country]],Table106109[Sprint Classification],"&gt;0")</f>
        <v>0</v>
      </c>
      <c r="NE159" s="6">
        <f>COUNTIFS(Table109[Country],Tabela1[[#This Row],[Country]],Table109[Men''s Relay Classification],"&gt;0")</f>
        <v>0</v>
      </c>
      <c r="NF159" s="6">
        <f>COUNTIFS(Table109[Country],Tabela1[[#This Row],[Country]],Table109[Women''s Relay Classification],"&gt;0")</f>
        <v>0</v>
      </c>
      <c r="NG159" s="6">
        <f>COUNTIFS(Table109[Country],Tabela1[[#This Row],[Country]],Table109[Mixed Relay Classification],"&gt;0")</f>
        <v>0</v>
      </c>
      <c r="NH159" s="6">
        <f>COUNTIFS(Table110[Country],Tabela1[[#This Row],[Country]],Table110[Monobob Classification],"&gt;0")</f>
        <v>0</v>
      </c>
      <c r="NI159" s="6">
        <f>COUNTIFS(Table111[Country],Tabela1[[#This Row],[Country]],Table111[Men''s Classification],"&gt;0")</f>
        <v>0</v>
      </c>
      <c r="NJ159" s="6">
        <f>COUNTIFS(Table111[Country],Tabela1[[#This Row],[Country]],Table111[Women''s Classification],"&gt;0")</f>
        <v>0</v>
      </c>
      <c r="NK159" s="6">
        <f>COUNTIFS(Table112[Country],Tabela1[[#This Row],[Country]],Table112[Men''s Four Classification],"&gt;0")</f>
        <v>0</v>
      </c>
      <c r="NL159" s="6">
        <f>COUNTIFS(Table113[Country],Tabela1[[#This Row],[Country]],Table113[Classical Classification],"&gt;0")</f>
        <v>0</v>
      </c>
      <c r="NM159" s="6">
        <f>COUNTIFS(Table113116[Country],Tabela1[[#This Row],[Country]],Table113116[Classical Classification],"&gt;0")</f>
        <v>0</v>
      </c>
      <c r="NN159" s="6">
        <f>COUNTIFS(Table113[Country],Tabela1[[#This Row],[Country]],Table113[Freestyle Classification],"&gt;0")</f>
        <v>0</v>
      </c>
      <c r="NO159" s="6">
        <f>COUNTIFS(Table113116[Country],Tabela1[[#This Row],[Country]],Table113116[Freestyle Classification],"&gt;0")</f>
        <v>0</v>
      </c>
      <c r="NP159" s="6">
        <f>COUNTIFS(Table117[Country],Tabela1[[#This Row],[Country]],Table117[Men''s Relay Classification],"&gt;0")</f>
        <v>0</v>
      </c>
      <c r="NQ159" s="6">
        <f>COUNTIFS(Table117[Country],Tabela1[[#This Row],[Country]],Table117[Women''s Relay Classification],"&gt;0")</f>
        <v>0</v>
      </c>
      <c r="NR159" s="6">
        <f>COUNTIFS(Table113[Country],Tabela1[[#This Row],[Country]],Table113[Skiathlon Classification],"&gt;0")</f>
        <v>0</v>
      </c>
      <c r="NS159" s="6">
        <f>COUNTIFS(Table113116[Country],Tabela1[[#This Row],[Country]],Table113116[Skiathlon Classification],"&gt;0")</f>
        <v>0</v>
      </c>
      <c r="NT159" s="6">
        <f>COUNTIFS(Table113[Country],Tabela1[[#This Row],[Country]],Table113[Sprint Classification],"&gt;0")</f>
        <v>0</v>
      </c>
      <c r="NU159" s="6">
        <f>COUNTIFS(Table113116[Country],Tabela1[[#This Row],[Country]],Table113116[Sprint Classification],"&gt;0")</f>
        <v>0</v>
      </c>
      <c r="NV159" s="6">
        <f>COUNTIFS(Table116[Country],Tabela1[[#This Row],[Country]],Table116[Men''s Team Sprint Classification],"&gt;0")</f>
        <v>0</v>
      </c>
      <c r="NW159" s="6">
        <f>COUNTIFS(Table116[Country],Tabela1[[#This Row],[Country]],Table116[Women''s Team Sprint Classification],"&gt;0")</f>
        <v>0</v>
      </c>
      <c r="NX159" s="6">
        <f>COUNTIFS(Table119[Country],Tabela1[[#This Row],[Country]],Table119[Men''s Classification],"&gt;0")</f>
        <v>0</v>
      </c>
      <c r="NY159" s="6">
        <f>COUNTIFS(Table119[Country],Tabela1[[#This Row],[Country]],Table119[Women''s Classification],"&gt;0")</f>
        <v>0</v>
      </c>
      <c r="NZ159" s="6">
        <f>COUNTIFS(Table118[Country],Tabela1[[#This Row],[Country]],Table118[Mixed Classification],"&gt;0")</f>
        <v>0</v>
      </c>
      <c r="OA159" s="6">
        <f>COUNTIFS(Table120[Country],Tabela1[[#This Row],[Country]],Table120[Classification],"&gt;0")</f>
        <v>0</v>
      </c>
      <c r="OB159" s="6">
        <f>COUNTIFS(Table120123[Country],Tabela1[[#This Row],[Country]],Table120123[Classification],"&gt;0")</f>
        <v>0</v>
      </c>
      <c r="OC159" s="6">
        <f>COUNTIFS(Table123[Country],Tabela1[[#This Row],[Country]],Table123[Ice Dance Classification],"&gt;0")</f>
        <v>0</v>
      </c>
      <c r="OD159" s="6">
        <f>COUNTIFS(Table123[Country],Tabela1[[#This Row],[Country]],Table123[Pair Skating Classification],"&gt;0")</f>
        <v>0</v>
      </c>
      <c r="OE159" s="6">
        <f>COUNTIFS(Table124[Country],Tabela1[[#This Row],[Country]],Table124[Mixed Classification],"&gt;0")</f>
        <v>0</v>
      </c>
      <c r="OF159" s="6">
        <f>COUNTIFS(Table125[Country],Tabela1[[#This Row],[Country]],Table125[Aerials Classification],"&gt;0")</f>
        <v>0</v>
      </c>
      <c r="OG159" s="6">
        <f>COUNTIFS(Table125128[Country],Tabela1[[#This Row],[Country]],Table125128[Aerials Classification],"&gt;0")</f>
        <v>0</v>
      </c>
      <c r="OH159" s="6">
        <f>COUNTIFS(Table128[Country],Tabela1[[#This Row],[Country]],Table128[Mixed Aerials Classification],"&gt;0")</f>
        <v>0</v>
      </c>
      <c r="OI159" s="6">
        <f>COUNTIFS(Table125[Country],Tabela1[[#This Row],[Country]],Table125[Big Air Classification],"&gt;0")</f>
        <v>0</v>
      </c>
      <c r="OJ159" s="6">
        <f>COUNTIFS(Table125128[Country],Tabela1[[#This Row],[Country]],Table125128[Big Air Classification],"&gt;0")</f>
        <v>0</v>
      </c>
      <c r="OK159" s="6">
        <f>COUNTIFS(Table125[Country],Tabela1[[#This Row],[Country]],Table125[Dual Moguls Classification],"&gt;0")</f>
        <v>0</v>
      </c>
      <c r="OL159" s="6">
        <f>COUNTIFS(Table125128[Country],Tabela1[[#This Row],[Country]],Table125128[Dual Moguls Classification],"&gt;0")</f>
        <v>0</v>
      </c>
      <c r="OM159" s="6">
        <f>COUNTIFS(Table125[Country],Tabela1[[#This Row],[Country]],Table125[Halfpipe Classification],"&gt;0")</f>
        <v>0</v>
      </c>
      <c r="ON159" s="6">
        <f>COUNTIFS(Table125128[Country],Tabela1[[#This Row],[Country]],Table125128[Halfpipe Classification],"&gt;0")</f>
        <v>0</v>
      </c>
      <c r="OO159" s="6">
        <f>COUNTIFS(Table125[Country],Tabela1[[#This Row],[Country]],Table125[Moguls Classification],"&gt;0")</f>
        <v>0</v>
      </c>
      <c r="OP159" s="6">
        <f>COUNTIFS(Table125128[Country],Tabela1[[#This Row],[Country]],Table125128[Moguls Classification],"&gt;0")</f>
        <v>0</v>
      </c>
      <c r="OQ159" s="6">
        <f>COUNTIFS(Table125[Country],Tabela1[[#This Row],[Country]],Table125[Ski Cross Classification],"&gt;0")</f>
        <v>0</v>
      </c>
      <c r="OR159" s="6">
        <f>COUNTIFS(Table125128[Country],Tabela1[[#This Row],[Country]],Table125128[Ski Cross Classification],"&gt;0")</f>
        <v>0</v>
      </c>
      <c r="OS159" s="6">
        <f>COUNTIFS(Table125[Country],Tabela1[[#This Row],[Country]],Table125[Slopestyle Classification],"&gt;0")</f>
        <v>0</v>
      </c>
      <c r="OT159" s="6">
        <f>COUNTIFS(Table125128[Country],Tabela1[[#This Row],[Country]],Table125128[Slopestyle Classification],"&gt;0")</f>
        <v>0</v>
      </c>
      <c r="OU159" s="6">
        <f>COUNTIFS(Table119131[Country],Tabela1[[#This Row],[Country]],Table119131[Men''s Classification],"&gt;0")</f>
        <v>0</v>
      </c>
      <c r="OV159" s="6">
        <f>COUNTIFS(Table119131[Country],Tabela1[[#This Row],[Country]],Table119131[Women''s Classification],"&gt;0")</f>
        <v>0</v>
      </c>
      <c r="OW159" s="6">
        <f>COUNTIFS(Table131[Country],Tabela1[[#This Row],[Country]],Table131[Classification],"&gt;0")</f>
        <v>0</v>
      </c>
      <c r="OX159" s="6">
        <f>COUNTIFS(Table131134[Country],Tabela1[[#This Row],[Country]],Table131134[Classification],"&gt;0")</f>
        <v>0</v>
      </c>
      <c r="OY159" s="6">
        <f>COUNTIFS(Table134[Country],Tabela1[[#This Row],[Country]],Table134[Men''s Classification],"&gt;0")</f>
        <v>0</v>
      </c>
      <c r="OZ159" s="6">
        <f>COUNTIFS(Table134[Country],Tabela1[[#This Row],[Country]],Table134[Women''s Classification],"&gt;0")</f>
        <v>0</v>
      </c>
      <c r="PA159" s="6">
        <f>COUNTIFS(Table135[Country],Tabela1[[#This Row],[Country]],Table135[Mixed Relay Classification],"&gt;0")</f>
        <v>0</v>
      </c>
      <c r="PB159" s="6">
        <f>COUNTIFS(Table136[Country],Tabela1[[#This Row],[Country]],Table136[Individual Classification],"&gt;0")</f>
        <v>0</v>
      </c>
      <c r="PC159" s="6">
        <f>COUNTIFS(Table136[Country],Tabela1[[#This Row],[Country]],Table136[Sprint Classification],"&gt;0")</f>
        <v>0</v>
      </c>
      <c r="PD159" s="6">
        <f>COUNTIFS(Table137[Country],Tabela1[[#This Row],[Country]],Table137[Men''s Team Sprint Large Hill Classification],"&gt;0")</f>
        <v>0</v>
      </c>
      <c r="PE159" s="6">
        <f>COUNTIFS(Table138[Country],Tabela1[[#This Row],[Country]],Table138[500m Classification],"&gt;0")</f>
        <v>0</v>
      </c>
      <c r="PF159" s="6">
        <f>COUNTIFS(Table138141[Country],Tabela1[[#This Row],[Country]],Table138141[500m Classification],"&gt;0")</f>
        <v>0</v>
      </c>
      <c r="PG159" s="6">
        <f>COUNTIFS(Table138[Country],Tabela1[[#This Row],[Country]],Table138[1000m Classification],"&gt;0")</f>
        <v>0</v>
      </c>
      <c r="PH159" s="6">
        <f>COUNTIFS(Table138141[Country],Tabela1[[#This Row],[Country]],Table138141[1000m Classification],"&gt;0")</f>
        <v>0</v>
      </c>
      <c r="PI159" s="6">
        <f>COUNTIFS(Table138[Country],Tabela1[[#This Row],[Country]],Table138[1500m Classification],"&gt;0")</f>
        <v>0</v>
      </c>
      <c r="PJ159" s="6">
        <f>COUNTIFS(Table138141[Country],Tabela1[[#This Row],[Country]],Table138141[1500m Classification],"&gt;0")</f>
        <v>0</v>
      </c>
      <c r="PK159" s="6">
        <f>COUNTIFS(Table141[Country],Tabela1[[#This Row],[Country]],Table141[Men''s 5000m Relay Classification],"&gt;0")</f>
        <v>0</v>
      </c>
      <c r="PL159" s="6">
        <f>COUNTIFS(Table141[Country],Tabela1[[#This Row],[Country]],Table141[Women''s 3000m Relay Classification],"&gt;0")</f>
        <v>0</v>
      </c>
      <c r="PM159" s="6">
        <f>COUNTIFS(Table141[Country],Tabela1[[#This Row],[Country]],Table141[Mixed 2000m Relay Classification],"&gt;0")</f>
        <v>0</v>
      </c>
      <c r="PN159" s="6">
        <f>COUNTIFS(Table142[Country],Tabela1[[#This Row],[Country]],Table142[Classification],"&gt;0")</f>
        <v>0</v>
      </c>
      <c r="PO159" s="6">
        <f>COUNTIFS(Table142145[Country],Tabela1[[#This Row],[Country]],Table142145[Classification],"&gt;0")</f>
        <v>0</v>
      </c>
      <c r="PP159" s="6">
        <f>COUNTIFS(Tabela15[Country],Tabela1[[#This Row],[Country]],Tabela15[Mixed Team Classification],"&gt;0")</f>
        <v>0</v>
      </c>
      <c r="PQ159" s="6">
        <f>COUNTIFS(Table145[Country],Tabela1[[#This Row],[Country]],Table145[Large Hill Classification],"&gt;0")</f>
        <v>0</v>
      </c>
      <c r="PR159" s="6">
        <f>COUNTIFS(Table145[Country],Tabela1[[#This Row],[Country]],Table145[Normal Hill Classification],"&gt;0")</f>
        <v>0</v>
      </c>
      <c r="PS159" s="6">
        <f>COUNTIFS(Table145148[Country],Tabela1[[#This Row],[Country]],Table145148[Large Hill Classification],"&gt;0")</f>
        <v>0</v>
      </c>
      <c r="PT159" s="6">
        <f>COUNTIFS(Table145148[Country],Tabela1[[#This Row],[Country]],Table145148[Normal Hill Classification],"&gt;0")</f>
        <v>0</v>
      </c>
      <c r="PU159" s="6">
        <f>COUNTIFS(Table148[Country],Tabela1[[#This Row],[Country]],Table148[Men''s Super Team Classification],"&gt;0")</f>
        <v>0</v>
      </c>
      <c r="PV159" s="6">
        <f>COUNTIFS(Tabela114[Country],Tabela1[[#This Row],[Country]],Tabela114[Mixed Normal Hill Classification],"&gt;0")</f>
        <v>0</v>
      </c>
      <c r="PW159" s="6">
        <f>COUNTIFS(Tabela50[Country],Tabela1[[#This Row],[Country]],Tabela50[Sprint Classification],"&gt;0")</f>
        <v>0</v>
      </c>
      <c r="PX159" s="6">
        <f>COUNTIFS(Tabela50101[Country],Tabela1[[#This Row],[Country]],Tabela50101[Sprint Classification],"&gt;0")</f>
        <v>0</v>
      </c>
      <c r="PY159" s="6">
        <f>COUNTIFS(Tabela103[Country],Tabela1[[#This Row],[Country]],Tabela103[Mixed Relay Classification],"&gt;0")</f>
        <v>0</v>
      </c>
      <c r="PZ159" s="6">
        <f>COUNTIFS(Table149[Country],Tabela1[[#This Row],[Country]],Table149[Big Air Classification],"&gt;0")</f>
        <v>0</v>
      </c>
      <c r="QA159" s="6">
        <f>COUNTIFS(Table149152[Country],Tabela1[[#This Row],[Country]],Table149152[Big Air Classification],"&gt;0")</f>
        <v>0</v>
      </c>
      <c r="QB159" s="6">
        <f>COUNTIFS(Table149[Country],Tabela1[[#This Row],[Country]],Table149[Halfpipe Classification],"&gt;0")</f>
        <v>0</v>
      </c>
      <c r="QC159" s="6">
        <f>COUNTIFS(Table149152[Country],Tabela1[[#This Row],[Country]],Table149152[Halfpipe Classification],"&gt;0")</f>
        <v>0</v>
      </c>
      <c r="QD159" s="6">
        <f>COUNTIFS(Table149[Country],Tabela1[[#This Row],[Country]],Table149[Parallel Giant Slalom Classification],"&gt;0")</f>
        <v>0</v>
      </c>
      <c r="QE159" s="6">
        <f>COUNTIFS(Table149152[Country],Tabela1[[#This Row],[Country]],Table149152[Parallel Giant Slalom Classification],"&gt;0")</f>
        <v>0</v>
      </c>
      <c r="QF159" s="6">
        <f>COUNTIFS(Table149[Country],Tabela1[[#This Row],[Country]],Table149[Slopestyle Classification],"&gt;0")</f>
        <v>0</v>
      </c>
      <c r="QG159" s="6">
        <f>COUNTIFS(Table149152[Country],Tabela1[[#This Row],[Country]],Table149152[Slopestyle Classification],"&gt;0")</f>
        <v>0</v>
      </c>
      <c r="QH159" s="6">
        <f>COUNTIFS(Table149[Country],Tabela1[[#This Row],[Country]],Table149[Snowboard Cross Classification],"&gt;0")</f>
        <v>0</v>
      </c>
      <c r="QI159" s="6">
        <f>COUNTIFS(Table149152[Country],Tabela1[[#This Row],[Country]],Table149152[Snowboard Cross Classification],"&gt;0")</f>
        <v>0</v>
      </c>
      <c r="QJ159" s="6">
        <f>COUNTIFS(Table153[Country],Tabela1[[#This Row],[Country]],Table153[Mixed Team Snowboard Cross Classification],"&gt;0")</f>
        <v>0</v>
      </c>
      <c r="QK159" s="6">
        <f>COUNTIFS(Table154[Country],Tabela1[[#This Row],[Country]],Table154[500m Classification],"&gt;0")</f>
        <v>0</v>
      </c>
      <c r="QL159" s="6">
        <f>COUNTIFS(Table154157[Country],Tabela1[[#This Row],[Country]],Table154157[500m Classification],"&gt;0")</f>
        <v>0</v>
      </c>
      <c r="QM159" s="6">
        <f>COUNTIFS(Table154[Country],Tabela1[[#This Row],[Country]],Table154[1000m Classification],"&gt;0")</f>
        <v>0</v>
      </c>
      <c r="QN159" s="6">
        <f>COUNTIFS(Table154157[Country],Tabela1[[#This Row],[Country]],Table154157[1000m Classification],"&gt;0")</f>
        <v>0</v>
      </c>
      <c r="QO159" s="6">
        <f>COUNTIFS(Table154[Country],Tabela1[[#This Row],[Country]],Table154[1500m Classification],"&gt;0")</f>
        <v>0</v>
      </c>
      <c r="QP159" s="6">
        <f>COUNTIFS(Table154157[Country],Tabela1[[#This Row],[Country]],Table154157[1500m Classification],"&gt;0")</f>
        <v>0</v>
      </c>
      <c r="QQ159" s="6">
        <f>COUNTIFS(Table154157[Country],Tabela1[[#This Row],[Country]],Table154157[3000m Classification],"&gt;0")</f>
        <v>0</v>
      </c>
      <c r="QR159" s="6">
        <f>COUNTIFS(Table154[Country],Tabela1[[#This Row],[Country]],Table154[5000m Classification],"&gt;0")</f>
        <v>0</v>
      </c>
      <c r="QS159" s="6">
        <f>COUNTIFS(Table154157[Country],Tabela1[[#This Row],[Country]],Table154157[5000m Classification],"&gt;0")</f>
        <v>0</v>
      </c>
      <c r="QT159" s="6">
        <f>COUNTIFS(Table154[Country],Tabela1[[#This Row],[Country]],Table154[10000m Classification],"&gt;0")</f>
        <v>0</v>
      </c>
      <c r="QU159" s="6">
        <f>COUNTIFS(Table154[Country],Tabela1[[#This Row],[Country]],Table154[Mass Start Classification],"&gt;0")</f>
        <v>0</v>
      </c>
      <c r="QV159" s="6">
        <f>COUNTIFS(Table154157[Country],Tabela1[[#This Row],[Country]],Table154157[Mass Start Classification],"&gt;0")</f>
        <v>0</v>
      </c>
      <c r="QW159" s="6">
        <f>COUNTIFS(Table157[Country],Tabela1[[#This Row],[Country]],Table157[Men''s Pursuit Classification],"&gt;0")</f>
        <v>0</v>
      </c>
      <c r="QX159" s="6">
        <f>COUNTIFS(Table157[Country],Tabela1[[#This Row],[Country]],Table157[Women''s Pursuit Classification],"&gt;0")</f>
        <v>0</v>
      </c>
      <c r="QY159" s="3" t="s">
        <v>469</v>
      </c>
    </row>
    <row r="160" spans="1:467" x14ac:dyDescent="0.3">
      <c r="A160" s="6">
        <v>159</v>
      </c>
      <c r="B160" s="6" t="s">
        <v>672</v>
      </c>
      <c r="C160" t="e" vm="159">
        <f>IF(ISBLANK(Tabela1[[#This Row],[Image Link]]), "", _xlfn.IMAGE(Tabela1[[#This Row],[Image Link]],1,1))</f>
        <v>#VALUE!</v>
      </c>
      <c r="D160" s="6">
        <f>SUM(Tabela1[[#This Row],[Archery - Men''s Individual Recurve]:[Speed Skating - Women''s Team Pursuit]])</f>
        <v>0</v>
      </c>
      <c r="E160" s="6">
        <f>COUNTIF(Tabela1[[#This Row],[Archery - Men''s Individual Recurve]:[Speed Skating - Women''s Team Pursuit]],"&gt;0")</f>
        <v>0</v>
      </c>
      <c r="F160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60" s="6">
        <f>SUM(Tabela1[[#This Row],[Archery - Men''s Individual Recurve]:[Wrestling - Women''s Freestyle 76kg]])</f>
        <v>0</v>
      </c>
      <c r="H160" s="6">
        <f>SUM(Tabela1[[#This Row],[Alpine Skiing - Men''s Downhill]:[Speed Skating - Women''s Team Pursuit]])</f>
        <v>0</v>
      </c>
      <c r="I160" s="6">
        <f>Tabela1[[#This Row],[Summer Gold Medals]]+Tabela1[[#This Row],[Winter Gold Medals]]</f>
        <v>0</v>
      </c>
      <c r="J160" s="6">
        <f>Tabela1[[#This Row],[Summer Silver Medals]]+Tabela1[[#This Row],[Winter Silver Medals]]</f>
        <v>0</v>
      </c>
      <c r="K160" s="6">
        <f>Tabela1[[#This Row],[Summer Bronze Medals]]+Tabela1[[#This Row],[Winter Bronze Medals]]</f>
        <v>1</v>
      </c>
      <c r="L160" s="6">
        <f>SUM(Tabela1[[#This Row],[Total Gold Medals]:[Total Bronze Medals]])</f>
        <v>1</v>
      </c>
      <c r="M160" s="6"/>
      <c r="N160" s="6"/>
      <c r="O160" s="6">
        <v>1</v>
      </c>
      <c r="P160" s="6">
        <f>SUM(Tabela1[[#This Row],[Summer Gold Medals]:[Summer Bronze Medals]])</f>
        <v>1</v>
      </c>
      <c r="Q160" s="6"/>
      <c r="R160" s="6"/>
      <c r="S160" s="6"/>
      <c r="T160" s="6">
        <f>Tabela1[[#This Row],[Winter Gold Medals]]+Tabela1[[#This Row],[Winter Silver Medals]]+Tabela1[[#This Row],[Winter Bronze Medals]]</f>
        <v>0</v>
      </c>
      <c r="U160" s="7" t="e">
        <f>Tabela1[[#This Row],[Total Medals]]/Tabela1[[#This Row],[Total Quotas]]</f>
        <v>#DIV/0!</v>
      </c>
      <c r="V160" s="6">
        <f>COUNTIFS(Table3[Country],Tabela1[[#This Row],[Country]],Table3[Recurve Classification],"&gt;0")</f>
        <v>0</v>
      </c>
      <c r="W160" s="6">
        <f>COUNTIFS(Table33[Country],Tabela1[[#This Row],[Country]],Table33[Recurve Classification],"&gt;0")</f>
        <v>0</v>
      </c>
      <c r="X160" s="6">
        <f>COUNTIFS(Table35[Country],Tabela1[[#This Row],[Country]],Table35[Men''s Team Recurve Classification],"&gt;0")</f>
        <v>0</v>
      </c>
      <c r="Y160" s="6">
        <f>COUNTIFS(Table35[Country],Tabela1[[#This Row],[Country]],Table35[Women''s Team Recurve Classification],"&gt;0")</f>
        <v>0</v>
      </c>
      <c r="Z160" s="6">
        <f>COUNTIFS(Tabela88[Country],Tabela1[[#This Row],[Country]],Tabela88[Mixed Team Recurve Classification],"&gt;0")</f>
        <v>0</v>
      </c>
      <c r="AA160" s="6">
        <f>COUNTIFS(Table36[Country],Tabela1[[#This Row],[Country]],Table36[Classification],"&gt;0")</f>
        <v>0</v>
      </c>
      <c r="AB160" s="6">
        <f>COUNTIFS(Table37[Country],Tabela1[[#This Row],[Country]],Table37[Classification],"&gt;0")</f>
        <v>0</v>
      </c>
      <c r="AC160" s="6">
        <f>COUNTIFS(Table4[Country],Tabela1[[#This Row],[Country]],Table4[100m Classification],"&gt;0")</f>
        <v>0</v>
      </c>
      <c r="AD160" s="6">
        <f>COUNTIFS(Table5[Country],Tabela1[[#This Row],[Country]],Table5[100m Classification],"&gt;0")</f>
        <v>0</v>
      </c>
      <c r="AE160" s="6">
        <f>COUNTIFS(Table4[Country],Tabela1[[#This Row],[Country]],Table4[200m Classification],"&gt;0")</f>
        <v>0</v>
      </c>
      <c r="AF160" s="6">
        <f>COUNTIFS(Table5[Country],Tabela1[[#This Row],[Country]],Table5[200m Classification],"&gt;0")</f>
        <v>0</v>
      </c>
      <c r="AG160" s="6">
        <f>COUNTIFS(Table4[Country],Tabela1[[#This Row],[Country]],Table4[400m Classification],"&gt;0")</f>
        <v>0</v>
      </c>
      <c r="AH160" s="6">
        <f>COUNTIFS(Table5[Country],Tabela1[[#This Row],[Country]],Table5[400m Classification],"&gt;0")</f>
        <v>0</v>
      </c>
      <c r="AI160" s="6">
        <f>COUNTIFS(Table4[Country],Tabela1[[#This Row],[Country]],Table4[800m Classification],"&gt;0")</f>
        <v>0</v>
      </c>
      <c r="AJ160" s="6">
        <f>COUNTIFS(Table5[Country],Tabela1[[#This Row],[Country]],Table5[800m Classification],"&gt;0")</f>
        <v>0</v>
      </c>
      <c r="AK160" s="6">
        <f>COUNTIFS(Table4[Country],Tabela1[[#This Row],[Country]],Table4[1500m Classification],"&gt;0")</f>
        <v>0</v>
      </c>
      <c r="AL160" s="6">
        <f>COUNTIFS(Table5[Country],Tabela1[[#This Row],[Country]],Table5[1500m Classification],"&gt;0")</f>
        <v>0</v>
      </c>
      <c r="AM160" s="6">
        <f>COUNTIFS(Table4[Country],Tabela1[[#This Row],[Country]],Table4[5000m Classification],"&gt;0")</f>
        <v>0</v>
      </c>
      <c r="AN160" s="6">
        <f>COUNTIFS(Table5[Country],Tabela1[[#This Row],[Country]],Table5[5000m Classification],"&gt;0")</f>
        <v>0</v>
      </c>
      <c r="AO160" s="6">
        <f>COUNTIFS(Table4[Country],Tabela1[[#This Row],[Country]],Table4[10000m Classification],"&gt;0")</f>
        <v>0</v>
      </c>
      <c r="AP160" s="6">
        <f>COUNTIFS(Table5[Country],Tabela1[[#This Row],[Country]],Table5[10000m Classification],"&gt;0")</f>
        <v>0</v>
      </c>
      <c r="AQ160" s="6">
        <f>COUNTIFS(Table4[Country],Tabela1[[#This Row],[Country]],Table4[110m Hurdles Classification],"&gt;0")</f>
        <v>0</v>
      </c>
      <c r="AR160" s="6">
        <f>COUNTIFS(Table5[Country],Tabela1[[#This Row],[Country]],Table5[100m Hurdles Classification],"&gt;0")</f>
        <v>0</v>
      </c>
      <c r="AS160" s="6">
        <f>COUNTIFS(Table4[Country],Tabela1[[#This Row],[Country]],Table4[400m Hurdles Classification],"&gt;0")</f>
        <v>0</v>
      </c>
      <c r="AT160" s="6">
        <f>COUNTIFS(Table5[Country],Tabela1[[#This Row],[Country]],Table5[400m Hurdles Classification],"&gt;0")</f>
        <v>0</v>
      </c>
      <c r="AU160" s="6">
        <f>COUNTIFS(Table4[Country],Tabela1[[#This Row],[Country]],Table4[3000m Steeplechase Classification],"&gt;0")</f>
        <v>0</v>
      </c>
      <c r="AV160" s="6">
        <f>COUNTIFS(Table5[Country],Tabela1[[#This Row],[Country]],Table5[3000m Steeplechase Classification],"&gt;0")</f>
        <v>0</v>
      </c>
      <c r="AW160" s="6">
        <f>COUNTIFS(Table27[Country],Tabela1[[#This Row],[Country]],Table27[Men''s 4x100m Relay Classification],"&gt;0")</f>
        <v>0</v>
      </c>
      <c r="AX160" s="6">
        <f>COUNTIFS(Table27[Country],Tabela1[[#This Row],[Country]],Table27[Women''s 4x100m Relay Classification],"&gt;0")</f>
        <v>0</v>
      </c>
      <c r="AY160" s="6">
        <f>COUNTIFS(Table27[Country],Tabela1[[#This Row],[Country]],Table27[Men''s 4x400m Relay Classification],"&gt;0")</f>
        <v>0</v>
      </c>
      <c r="AZ160" s="6">
        <f>COUNTIFS(Table27[Country],Tabela1[[#This Row],[Country]],Table27[Women''s 4x400m Relay Classification],"&gt;0")</f>
        <v>0</v>
      </c>
      <c r="BA160" s="6">
        <f>COUNTIFS(Table27[Country],Tabela1[[#This Row],[Country]],Table27[Mixed 4x400m Relay Classification],"&gt;0")</f>
        <v>0</v>
      </c>
      <c r="BB160" s="6">
        <f>COUNTIFS(Table4[Country],Tabela1[[#This Row],[Country]],Table4[Marathon Classification],"&gt;0")</f>
        <v>0</v>
      </c>
      <c r="BC160" s="6">
        <f>COUNTIFS(Table5[Country],Tabela1[[#This Row],[Country]],Table5[Marathon Classification],"&gt;0")</f>
        <v>0</v>
      </c>
      <c r="BD160" s="6">
        <f>COUNTIFS(Table4[Country],Tabela1[[#This Row],[Country]],Table4[20km Race Walk Classification],"&gt;0")</f>
        <v>0</v>
      </c>
      <c r="BE160" s="6">
        <f>COUNTIFS(Table5[Country],Tabela1[[#This Row],[Country]],Table5[20km Race Walk Classification],"&gt;0")</f>
        <v>0</v>
      </c>
      <c r="BF160" s="6">
        <f>COUNTIFS(Tabela96[Country],Tabela1[[#This Row],[Country]],Tabela96[Mixed Marathon Race Walk Relay Classification],"&gt;0")</f>
        <v>0</v>
      </c>
      <c r="BG160" s="6">
        <f>COUNTIFS(Table4[Country],Tabela1[[#This Row],[Country]],Table4[Discus Throw Classification],"&gt;0")</f>
        <v>0</v>
      </c>
      <c r="BH160" s="6">
        <f>COUNTIFS(Table5[Country],Tabela1[[#This Row],[Country]],Table5[Discus Throw Classification],"&gt;0")</f>
        <v>0</v>
      </c>
      <c r="BI160" s="6">
        <f>COUNTIFS(Table4[Country],Tabela1[[#This Row],[Country]],Table4[Hammer Throw Classification],"&gt;0")</f>
        <v>0</v>
      </c>
      <c r="BJ160" s="6">
        <f>COUNTIFS(Table5[Country],Tabela1[[#This Row],[Country]],Table5[Hammer Throw Classification],"&gt;0")</f>
        <v>0</v>
      </c>
      <c r="BK160" s="6">
        <f>COUNTIFS(Table4[Country],Tabela1[[#This Row],[Country]],Table4[High Jump Classification],"&gt;0")</f>
        <v>0</v>
      </c>
      <c r="BL160" s="6">
        <f>COUNTIFS(Table5[Country],Tabela1[[#This Row],[Country]],Table5[High Jump Classification],"&gt;0")</f>
        <v>0</v>
      </c>
      <c r="BM160" s="6">
        <f>COUNTIFS(Table4[Country],Tabela1[[#This Row],[Country]],Table4[Javelin Throw Classification],"&gt;0")</f>
        <v>0</v>
      </c>
      <c r="BN160" s="6">
        <f>COUNTIFS(Table5[Country],Tabela1[[#This Row],[Country]],Table5[Javelin Throw Classification],"&gt;0")</f>
        <v>0</v>
      </c>
      <c r="BO160" s="6">
        <f>COUNTIFS(Table4[Country],Tabela1[[#This Row],[Country]],Table4[Long Jump Classification],"&gt;0")</f>
        <v>0</v>
      </c>
      <c r="BP160" s="6">
        <f>COUNTIFS(Table5[Country],Tabela1[[#This Row],[Country]],Table5[Long Jump Classification],"&gt;0")</f>
        <v>0</v>
      </c>
      <c r="BQ160" s="6">
        <f>COUNTIFS(Table4[Country],Tabela1[[#This Row],[Country]],Table4[Pole Vault Classification],"&gt;0")</f>
        <v>0</v>
      </c>
      <c r="BR160" s="6">
        <f>COUNTIFS(Table5[Country],Tabela1[[#This Row],[Country]],Table5[Pole Vault Classification],"&gt;0")</f>
        <v>0</v>
      </c>
      <c r="BS160" s="6">
        <f>COUNTIFS(Table4[Country],Tabela1[[#This Row],[Country]],Table4[Shot Put Classification],"&gt;0")</f>
        <v>0</v>
      </c>
      <c r="BT160" s="6">
        <f>COUNTIFS(Table5[Country],Tabela1[[#This Row],[Country]],Table5[Shot Put Classification],"&gt;0")</f>
        <v>0</v>
      </c>
      <c r="BU160" s="6">
        <f>COUNTIFS(Table4[Country],Tabela1[[#This Row],[Country]],Table4[Triple Jump Classification],"&gt;0")</f>
        <v>0</v>
      </c>
      <c r="BV160" s="6">
        <f>COUNTIFS(Table5[Country],Tabela1[[#This Row],[Country]],Table5[Triple Jump Classification],"&gt;0")</f>
        <v>0</v>
      </c>
      <c r="BW160" s="6">
        <f>COUNTIFS(Table4[Country],Tabela1[[#This Row],[Country]],Table4[Decathlon Classification],"&gt;0")</f>
        <v>0</v>
      </c>
      <c r="BX160" s="6">
        <f>COUNTIFS(Table5[Country],Tabela1[[#This Row],[Country]],Table5[Heptathlon Classification],"&gt;0")</f>
        <v>0</v>
      </c>
      <c r="BY160" s="6">
        <f>COUNTIFS(Table61[Country],Tabela1[[#This Row],[Country]],Table61[Classification],"&gt;0")</f>
        <v>0</v>
      </c>
      <c r="BZ160" s="6">
        <f>COUNTIFS(Table38[Country],Tabela1[[#This Row],[Country]],Table38[Classification],"&gt;0")</f>
        <v>0</v>
      </c>
      <c r="CA160" s="6">
        <f>COUNTIFS(Table39[Country],Tabela1[[#This Row],[Country]],Table39[Men''s Classification],"&gt;0")</f>
        <v>0</v>
      </c>
      <c r="CB160" s="6">
        <f>COUNTIFS(Table39[Country],Tabela1[[#This Row],[Country]],Table39[Women''s Classification],"&gt;0")</f>
        <v>0</v>
      </c>
      <c r="CC160" s="6">
        <f>COUNTIFS(Table39[Country],Tabela1[[#This Row],[Country]],Table39[Mixed Classification],"&gt;0")</f>
        <v>0</v>
      </c>
      <c r="CD160" s="6">
        <f>COUNTIFS(Table89[Country],Tabela1[[#This Row],[Country]],Table89[Men''s Classification],"&gt;0")</f>
        <v>0</v>
      </c>
      <c r="CE160" s="6">
        <f>COUNTIFS(Table89[Country],Tabela1[[#This Row],[Country]],Table89[Women''s Classification],"&gt;0")</f>
        <v>0</v>
      </c>
      <c r="CF160" s="6">
        <f>COUNTIFS(Table90[Country],Tabela1[[#This Row],[Country]],Table90[Men''s Classification],"&gt;0")</f>
        <v>0</v>
      </c>
      <c r="CG160" s="6">
        <f>COUNTIFS(Table90[Country],Tabela1[[#This Row],[Country]],Table90[Women''s Classification],"&gt;0")</f>
        <v>0</v>
      </c>
      <c r="CH160" s="6">
        <f>COUNTIFS(Table60[Country],Tabela1[[#This Row],[Country]],Table60[Men''s Classification],"&gt;0")</f>
        <v>0</v>
      </c>
      <c r="CI160" s="6">
        <f>COUNTIFS(Table60[Country],Tabela1[[#This Row],[Country]],Table60[Women''s Classification],"&gt;0")</f>
        <v>0</v>
      </c>
      <c r="CJ160" s="6">
        <f>COUNTIFS(Table6[Country],Tabela1[[#This Row],[Country]],Table6[51kg Classification],"&gt;0")</f>
        <v>0</v>
      </c>
      <c r="CK160" s="6">
        <f>COUNTIFS(Table6[Country],Tabela1[[#This Row],[Country]],Table6[57kg Classification],"&gt;0")</f>
        <v>0</v>
      </c>
      <c r="CL160" s="6">
        <f>COUNTIFS(Table6[Country],Tabela1[[#This Row],[Country]],Table6[63.5kg Classification],"&gt;0")</f>
        <v>0</v>
      </c>
      <c r="CM160" s="6">
        <f>COUNTIFS(Table6[Country],Tabela1[[#This Row],[Country]],Table6[71kg Classification],"&gt;0")</f>
        <v>0</v>
      </c>
      <c r="CN160" s="6">
        <f>COUNTIFS(Table6[Country],Tabela1[[#This Row],[Country]],Table6[80kg Classification],"&gt;0")</f>
        <v>0</v>
      </c>
      <c r="CO160" s="6">
        <f>COUNTIFS(Table6[Country],Tabela1[[#This Row],[Country]],Table6[92kg Classification],"&gt;0")</f>
        <v>0</v>
      </c>
      <c r="CP160" s="6">
        <f>COUNTIFS(Table6[Country],Tabela1[[#This Row],[Country]],Table6[Plus 92kg Classification],"&gt;0")</f>
        <v>0</v>
      </c>
      <c r="CQ160" s="6">
        <f>COUNTIFS(Table7[Country],Tabela1[[#This Row],[Country]],Table7[50kg Classification],"&gt;0")</f>
        <v>0</v>
      </c>
      <c r="CR160" s="6">
        <f>COUNTIFS(Table7[Country],Tabela1[[#This Row],[Country]],Table7[54kg Classification],"&gt;0")</f>
        <v>0</v>
      </c>
      <c r="CS160" s="6">
        <f>COUNTIFS(Table7[Country],Tabela1[[#This Row],[Country]],Table7[57kg Classification],"&gt;0")</f>
        <v>0</v>
      </c>
      <c r="CT160" s="6">
        <f>COUNTIFS(Table7[Country],Tabela1[[#This Row],[Country]],Table7[60kg Classification],"&gt;0")</f>
        <v>0</v>
      </c>
      <c r="CU160" s="6">
        <f>COUNTIFS(Table7[Country],Tabela1[[#This Row],[Country]],Table7[66kg Classification],"&gt;0")</f>
        <v>0</v>
      </c>
      <c r="CV160" s="6">
        <f>COUNTIFS(Table7[Country],Tabela1[[#This Row],[Country]],Table7[75kg Classification],"&gt;0")</f>
        <v>0</v>
      </c>
      <c r="CW160" s="6">
        <f>COUNTIFS(Tabela94[Country],Tabela1[[#This Row],[Country]],Tabela94[Classification],"&gt;0")</f>
        <v>0</v>
      </c>
      <c r="CX160" s="6">
        <f>COUNTIFS(Tabela9499[Country],Tabela1[[#This Row],[Country]],Tabela9499[Classification],"&gt;0")</f>
        <v>0</v>
      </c>
      <c r="CY160" s="6">
        <f>COUNTIFS(Tabela107[Country],Tabela1[[#This Row],[Country]],Tabela107[C1 Slalom Classification],"&gt;0")</f>
        <v>0</v>
      </c>
      <c r="CZ160" s="6">
        <f>COUNTIFS(Tabela107122[Country],Tabela1[[#This Row],[Country]],Tabela107122[C1 Slalom Classification],"&gt;0")</f>
        <v>0</v>
      </c>
      <c r="DA160" s="6">
        <f>COUNTIFS(Tabela107[Country],Tabela1[[#This Row],[Country]],Tabela107[K1 Slalom Classification],"&gt;0")</f>
        <v>0</v>
      </c>
      <c r="DB160" s="6">
        <f>COUNTIFS(Tabela107122[Country],Tabela1[[#This Row],[Country]],Tabela107122[K1 Slalom Classification],"&gt;0")</f>
        <v>0</v>
      </c>
      <c r="DC160" s="6">
        <f>COUNTIFS(Tabela107[Country],Tabela1[[#This Row],[Country]],Tabela107[Kayak Cross Slalom Classification],"&gt;0")</f>
        <v>0</v>
      </c>
      <c r="DD160" s="6">
        <f>COUNTIFS(Tabela107122[Country],Tabela1[[#This Row],[Country]],Tabela107122[Kayak Cross Slalom Classification],"&gt;0")</f>
        <v>0</v>
      </c>
      <c r="DE160" s="6">
        <f>COUNTIFS(Table8[Country],Tabela1[[#This Row],[Country]],Table8[C1 200m Classification],"&gt;0")</f>
        <v>0</v>
      </c>
      <c r="DF160" s="6">
        <f>COUNTIFS(Table40[Country],Tabela1[[#This Row],[Country]],Table40[C1 1000m Classification],"&gt;0")</f>
        <v>0</v>
      </c>
      <c r="DG160" s="6">
        <f>COUNTIFS(Table68[Country],Tabela1[[#This Row],[Country]],Table68[Men''s C2 500m Classification],"&gt;0")</f>
        <v>0</v>
      </c>
      <c r="DH160" s="6">
        <f>COUNTIFS(Table68[Country],Tabela1[[#This Row],[Country]],Table68[Women''s C2 500m Classification],"&gt;0")</f>
        <v>0</v>
      </c>
      <c r="DI160" s="6">
        <f>COUNTIFS(Table8[Country],Tabela1[[#This Row],[Country]],Table8[K1 500m Classification],"&gt;0")</f>
        <v>0</v>
      </c>
      <c r="DJ160" s="6">
        <f>COUNTIFS(Table40[Country],Tabela1[[#This Row],[Country]],Table40[K1 1000m Classification],"&gt;0")</f>
        <v>0</v>
      </c>
      <c r="DK160" s="6">
        <f>COUNTIFS(Table68[Country],Tabela1[[#This Row],[Country]],Table68[Men''s K2 500m Classification],"&gt;0")</f>
        <v>0</v>
      </c>
      <c r="DL160" s="6">
        <f>COUNTIFS(Table68[Country],Tabela1[[#This Row],[Country]],Table68[Women''s K2 500m Classification],"&gt;0")</f>
        <v>0</v>
      </c>
      <c r="DM160" s="6">
        <f>COUNTIFS(Table83[Country],Tabela1[[#This Row],[Country]],Table83[Men''s K4 500m Classification],"&gt;0")</f>
        <v>0</v>
      </c>
      <c r="DN160" s="6">
        <f>COUNTIFS(Table83[Country],Tabela1[[#This Row],[Country]],Table83[Women''s K4 500m Classification],"&gt;0")</f>
        <v>0</v>
      </c>
      <c r="DO160" s="6">
        <f>COUNTIFS(Tabela126[Country],Tabela1[[#This Row],[Country]],Tabela126[Classification],"&gt;0")</f>
        <v>0</v>
      </c>
      <c r="DP160" s="6">
        <f>COUNTIFS(Tabela126130[Country],Tabela1[[#This Row],[Country]],Tabela126130[Classification],"&gt;0")</f>
        <v>0</v>
      </c>
      <c r="DQ160" s="6">
        <f>COUNTIFS(Table70[Country],Tabela1[[#This Row],[Country]],Table70[Classification],"&gt;0")</f>
        <v>0</v>
      </c>
      <c r="DR160" s="6">
        <f>COUNTIFS(Table80[Country],Tabela1[[#This Row],[Country]],Table80[Classification],"&gt;0")</f>
        <v>0</v>
      </c>
      <c r="DS160" s="6">
        <f>COUNTIFS(Table66[Country],Tabela1[[#This Row],[Country]],Table66[Classification],"&gt;0")</f>
        <v>0</v>
      </c>
      <c r="DT160" s="6">
        <f>COUNTIFS(Table67[Country],Tabela1[[#This Row],[Country]],Table67[Classification],"&gt;0")</f>
        <v>0</v>
      </c>
      <c r="DU160" s="6">
        <f>COUNTIFS(Table69[Country],Tabela1[[#This Row],[Country]],Table69[Keirin Classification],"&gt;0")</f>
        <v>0</v>
      </c>
      <c r="DV160" s="6">
        <f>COUNTIFS(Table41[Country],Tabela1[[#This Row],[Country]],Table41[Keirin Classification],"&gt;0")</f>
        <v>0</v>
      </c>
      <c r="DW160" s="6">
        <f>COUNTIFS(Table84[Country],Tabela1[[#This Row],[Country]],Table84[Men''s Madison Classification],"&gt;0")</f>
        <v>0</v>
      </c>
      <c r="DX160" s="6">
        <f>COUNTIFS(Table84[Country],Tabela1[[#This Row],[Country]],Table84[Women''s Madison Classification],"&gt;0")</f>
        <v>0</v>
      </c>
      <c r="DY160" s="6">
        <f>COUNTIFS(Table69[Country],Tabela1[[#This Row],[Country]],Table69[Omnium Classification],"&gt;0")</f>
        <v>0</v>
      </c>
      <c r="DZ160" s="6">
        <f>COUNTIFS(Table41[Country],Tabela1[[#This Row],[Country]],Table41[Omnium Classification],"&gt;0")</f>
        <v>0</v>
      </c>
      <c r="EA160" s="6">
        <f>COUNTIFS(Table9[Country],Tabela1[[#This Row],[Country]],Table9[Road Race Classification],"&gt;0")</f>
        <v>0</v>
      </c>
      <c r="EB160" s="6">
        <f>COUNTIFS(Table14[Country],Tabela1[[#This Row],[Country]],Table14[Road Race Classification],"&gt;0")</f>
        <v>0</v>
      </c>
      <c r="EC160" s="6">
        <f>COUNTIFS(Table69[Country],Tabela1[[#This Row],[Country]],Table69[Sprint Classification],"&gt;0")</f>
        <v>0</v>
      </c>
      <c r="ED160" s="6">
        <f>COUNTIFS(Table41[Country],Tabela1[[#This Row],[Country]],Table41[Sprint Classification],"&gt;0")</f>
        <v>0</v>
      </c>
      <c r="EE160" s="6">
        <f>COUNTIFS(Table85[Country],Tabela1[[#This Row],[Country]],Table85[Men''s Sprint Classification],"&gt;0")</f>
        <v>0</v>
      </c>
      <c r="EF160" s="6">
        <f>COUNTIFS(Table85[Country],Tabela1[[#This Row],[Country]],Table85[Women''s Sprint Classification],"&gt;0")</f>
        <v>0</v>
      </c>
      <c r="EG160" s="6">
        <f>COUNTIFS(Table85[Country],Tabela1[[#This Row],[Country]],Table85[Men''s Pursuit Classification],"&gt;0")</f>
        <v>0</v>
      </c>
      <c r="EH160" s="6">
        <f>COUNTIFS(Table85[Country],Tabela1[[#This Row],[Country]],Table85[Women''s Pursuit Classification],"&gt;0")</f>
        <v>0</v>
      </c>
      <c r="EI160" s="6">
        <f>COUNTIFS(Table9[Country],Tabela1[[#This Row],[Country]],Table9[Time-Trial Classification],"&gt;0")</f>
        <v>0</v>
      </c>
      <c r="EJ160" s="6">
        <f>COUNTIFS(Table14[Country],Tabela1[[#This Row],[Country]],Table14[Time-Trial Classification],"&gt;0")</f>
        <v>0</v>
      </c>
      <c r="EK160" s="6">
        <f>COUNTIFS(Table42[Country],Tabela1[[#This Row],[Country]],Table42[Springboard Classification],"&gt;0")</f>
        <v>0</v>
      </c>
      <c r="EL160" s="6">
        <f>COUNTIFS(Table43[Country],Tabela1[[#This Row],[Country]],Table43[Springboard Classification],"&gt;0")</f>
        <v>0</v>
      </c>
      <c r="EM160" s="6">
        <f>COUNTIFS(Table42[Country],Tabela1[[#This Row],[Country]],Table42[Platform Classification],"&gt;0")</f>
        <v>0</v>
      </c>
      <c r="EN160" s="6">
        <f>COUNTIFS(Table43[Country],Tabela1[[#This Row],[Country]],Table43[Platform Classification],"&gt;0")</f>
        <v>0</v>
      </c>
      <c r="EO160" s="6">
        <f>COUNTIFS(Table86[Country],Tabela1[[#This Row],[Country]],Table86[Men''s Synchronized Springboard Classification],"&gt;0")</f>
        <v>0</v>
      </c>
      <c r="EP160" s="6">
        <f>COUNTIFS(Table86[Country],Tabela1[[#This Row],[Country]],Table86[Women''s Synchronized Springboard Classification],"&gt;0")</f>
        <v>0</v>
      </c>
      <c r="EQ160" s="6">
        <f>COUNTIFS(Table86[Country],Tabela1[[#This Row],[Country]],Table86[Men''s Synchronized Platform Classification],"&gt;0")</f>
        <v>0</v>
      </c>
      <c r="ER160" s="6">
        <f>COUNTIFS(Table86[Country],Tabela1[[#This Row],[Country]],Table86[Women''s Synchronized Platform Classification],"&gt;0")</f>
        <v>0</v>
      </c>
      <c r="ES160" s="6">
        <f>COUNTIFS(Table44[Country],Tabela1[[#This Row],[Country]],Table44[Dressage Classification],"&gt;0")</f>
        <v>0</v>
      </c>
      <c r="ET160" s="6">
        <f>COUNTIFS(Table45[Country],Tabela1[[#This Row],[Country]],Table45[Dressage Classification],"&gt;0")</f>
        <v>0</v>
      </c>
      <c r="EU160" s="6">
        <f>COUNTIFS(Table44[Country],Tabela1[[#This Row],[Country]],Table44[Eventing Classification],"&gt;0")</f>
        <v>0</v>
      </c>
      <c r="EV160" s="6">
        <f>COUNTIFS(Table45[Country],Tabela1[[#This Row],[Country]],Table45[Eventing Classification],"&gt;0")</f>
        <v>0</v>
      </c>
      <c r="EW160" s="6">
        <f>COUNTIFS(Table44[Country],Tabela1[[#This Row],[Country]],Table44[Jumping Classification],"&gt;0")</f>
        <v>0</v>
      </c>
      <c r="EX160" s="6">
        <f>COUNTIFS(Table45[Country],Tabela1[[#This Row],[Country]],Table45[Jumping Classification],"&gt;0")</f>
        <v>0</v>
      </c>
      <c r="EY160" s="6">
        <f>COUNTIFS(Table10[Country],Tabela1[[#This Row],[Country]],Table10[Épée Classification],"&gt;0")</f>
        <v>0</v>
      </c>
      <c r="EZ160" s="6">
        <f>COUNTIFS(Table11[Country],Tabela1[[#This Row],[Country]],Table11[Épée Classification],"&gt;0")</f>
        <v>0</v>
      </c>
      <c r="FA160" s="6">
        <f>COUNTIFS(Table46[Country],Tabela1[[#This Row],[Country]],Table46[Men''s Épée Classification],"&gt;0")</f>
        <v>0</v>
      </c>
      <c r="FB160" s="6">
        <f>COUNTIFS(Table46[Country],Tabela1[[#This Row],[Country]],Table46[Women''s Épée Classification],"&gt;0")</f>
        <v>0</v>
      </c>
      <c r="FC160" s="6">
        <f>COUNTIFS(Table10[Country],Tabela1[[#This Row],[Country]],Table10[Foil Classification],"&gt;0")</f>
        <v>0</v>
      </c>
      <c r="FD160" s="6">
        <f>COUNTIFS(Table11[Country],Tabela1[[#This Row],[Country]],Table11[Foil Classification],"&gt;0")</f>
        <v>0</v>
      </c>
      <c r="FE160" s="6">
        <f>COUNTIFS(Table46[Country],Tabela1[[#This Row],[Country]],Table46[Men''s Foil Classification],"&gt;0")</f>
        <v>0</v>
      </c>
      <c r="FF160" s="6">
        <f>COUNTIFS(Table46[Country],Tabela1[[#This Row],[Country]],Table46[Women''s Foil Classification],"&gt;0")</f>
        <v>0</v>
      </c>
      <c r="FG160" s="6">
        <f>COUNTIFS(Table10[Country],Tabela1[[#This Row],[Country]],Table10[Sabre Classification],"&gt;0")</f>
        <v>0</v>
      </c>
      <c r="FH160" s="6">
        <f>COUNTIFS(Table11[Country],Tabela1[[#This Row],[Country]],Table11[Sabre Classification],"&gt;0")</f>
        <v>0</v>
      </c>
      <c r="FI160" s="6">
        <f>COUNTIFS(Table46[Country],Tabela1[[#This Row],[Country]],Table46[Men''s Sabre Classification],"&gt;0")</f>
        <v>0</v>
      </c>
      <c r="FJ160" s="6">
        <f>COUNTIFS(Table46[Country],Tabela1[[#This Row],[Country]],Table46[Women''s Sabre Classification],"&gt;0")</f>
        <v>0</v>
      </c>
      <c r="FK160" s="6">
        <f>COUNTIFS(Table91[Country],Tabela1[[#This Row],[Country]],Table91[Men''s Classification],"&gt;0")</f>
        <v>0</v>
      </c>
      <c r="FL160" s="6">
        <f>COUNTIFS(Table91[Country],Tabela1[[#This Row],[Country]],Table91[Women''s Classification],"&gt;0")</f>
        <v>0</v>
      </c>
      <c r="FM160" s="6">
        <f>COUNTIFS(Table9194[Country],Tabela1[[#This Row],[Country]],Table9194[Men''s Classification],"&gt;0")</f>
        <v>0</v>
      </c>
      <c r="FN160" s="6">
        <f>COUNTIFS(Table9194[Country],Tabela1[[#This Row],[Country]],Table9194[Women''s Classification],"&gt;0")</f>
        <v>0</v>
      </c>
      <c r="FO160" s="6">
        <f>COUNTIFS(Table71[Country],Tabela1[[#This Row],[Country]],Table71[Classification],"&gt;0")</f>
        <v>0</v>
      </c>
      <c r="FP160" s="6">
        <f>COUNTIFS(Table62[Country],Tabela1[[#This Row],[Country]],Table62[Classification],"&gt;0")</f>
        <v>0</v>
      </c>
      <c r="FQ160" s="6">
        <f>COUNTIFS(Table47[Country],Tabela1[[#This Row],[Country]],Table47[All-Around Classification],"&gt;0")</f>
        <v>0</v>
      </c>
      <c r="FR160" s="6">
        <f>COUNTIFS(Table48[Country],Tabela1[[#This Row],[Country]],Table48[All-Around Classification],"&gt;0")</f>
        <v>0</v>
      </c>
      <c r="FS160" s="6">
        <f>COUNTIFS(Table81[Country],Tabela1[[#This Row],[Country]],Table81[Men''s All-Around Classification],"&gt;0")</f>
        <v>0</v>
      </c>
      <c r="FT160" s="6">
        <f>COUNTIFS(Table81[Country],Tabela1[[#This Row],[Country]],Table81[Women''s All-Around Classification],"&gt;0")</f>
        <v>0</v>
      </c>
      <c r="FU160" s="6">
        <f>COUNTIFS(Table48[Country],Tabela1[[#This Row],[Country]],Table48[Balance Beam Classification],"&gt;0")</f>
        <v>0</v>
      </c>
      <c r="FV160" s="6">
        <f>COUNTIFS(Table47[Country],Tabela1[[#This Row],[Country]],Table47[Floor Exercise Classification],"&gt;0")</f>
        <v>0</v>
      </c>
      <c r="FW160" s="6">
        <f>COUNTIFS(Table48[Country],Tabela1[[#This Row],[Country]],Table48[Floor Exercise Classification],"&gt;0")</f>
        <v>0</v>
      </c>
      <c r="FX160" s="6">
        <f>COUNTIFS(Table47[Country],Tabela1[[#This Row],[Country]],Table47[Horizontal Bar Classification],"&gt;0")</f>
        <v>0</v>
      </c>
      <c r="FY160" s="6">
        <f>COUNTIFS(Table47[Country],Tabela1[[#This Row],[Country]],Table47[Parallel Bars Classification],"&gt;0")</f>
        <v>0</v>
      </c>
      <c r="FZ160" s="6">
        <f>COUNTIFS(Table47[Country],Tabela1[[#This Row],[Country]],Table47[Pommel Horse Classification],"&gt;0")</f>
        <v>0</v>
      </c>
      <c r="GA160" s="6">
        <f>COUNTIFS(Table47[Country],Tabela1[[#This Row],[Country]],Table47[Rings Classification],"&gt;0")</f>
        <v>0</v>
      </c>
      <c r="GB160" s="6">
        <f>COUNTIFS(Tabela132[Country],Tabela1[[#This Row],[Country]],Tabela132[Classification],"&gt;0")</f>
        <v>0</v>
      </c>
      <c r="GC160" s="6">
        <f>COUNTIFS(Tabela139[Country],Tabela1[[#This Row],[Country]],Tabela139[Classification],"&gt;0")</f>
        <v>0</v>
      </c>
      <c r="GD160" s="6">
        <f>COUNTIFS(Table48[Country],Tabela1[[#This Row],[Country]],Table48[Uneven Bars Classification],"&gt;0")</f>
        <v>0</v>
      </c>
      <c r="GE160" s="6">
        <f>COUNTIFS(Table47[Country],Tabela1[[#This Row],[Country]],Table47[Vault Classification],"&gt;0")</f>
        <v>0</v>
      </c>
      <c r="GF160" s="6">
        <f>COUNTIFS(Table48[Country],Tabela1[[#This Row],[Country]],Table48[Vault Classification],"&gt;0")</f>
        <v>0</v>
      </c>
      <c r="GG160" s="6">
        <f>COUNTIFS(Table919496[Country],Tabela1[[#This Row],[Country]],Table919496[Men''s Classification],"&gt;0")</f>
        <v>0</v>
      </c>
      <c r="GH160" s="6">
        <f>COUNTIFS(Table919496[Country],Tabela1[[#This Row],[Country]],Table919496[Women''s Classification],"&gt;0")</f>
        <v>0</v>
      </c>
      <c r="GI160" s="6">
        <f>COUNTIFS(Table12[Country],Tabela1[[#This Row],[Country]],Table12[60kg Classification],"&gt;0")</f>
        <v>0</v>
      </c>
      <c r="GJ160" s="6">
        <f>COUNTIFS(Table12[Country],Tabela1[[#This Row],[Country]],Table12[66kg Classification],"&gt;0")</f>
        <v>0</v>
      </c>
      <c r="GK160" s="6">
        <f>COUNTIFS(Table12[Country],Tabela1[[#This Row],[Country]],Table12[73kg Classification],"&gt;0")</f>
        <v>0</v>
      </c>
      <c r="GL160" s="6">
        <f>COUNTIFS(Table12[Country],Tabela1[[#This Row],[Country]],Table12[81kg Classification],"&gt;0")</f>
        <v>0</v>
      </c>
      <c r="GM160" s="6">
        <f>COUNTIFS(Table12[Country],Tabela1[[#This Row],[Country]],Table12[90kg Classification],"&gt;0")</f>
        <v>0</v>
      </c>
      <c r="GN160" s="6">
        <f>COUNTIFS(Table12[Country],Tabela1[[#This Row],[Country]],Table12[100kg Classification],"&gt;0")</f>
        <v>0</v>
      </c>
      <c r="GO160" s="6">
        <f>COUNTIFS(Table12[Country],Tabela1[[#This Row],[Country]],Table12[Plus 100kg Classification],"&gt;0")</f>
        <v>0</v>
      </c>
      <c r="GP160" s="6">
        <f>COUNTIFS(Table13[Country],Tabela1[[#This Row],[Country]],Table13[48kg Classification],"&gt;0")</f>
        <v>0</v>
      </c>
      <c r="GQ160" s="6">
        <f>COUNTIFS(Table13[Country],Tabela1[[#This Row],[Country]],Table13[52kg Classification],"&gt;0")</f>
        <v>0</v>
      </c>
      <c r="GR160" s="6">
        <f>COUNTIFS(Table13[Country],Tabela1[[#This Row],[Country]],Table13[57kg Classification],"&gt;0")</f>
        <v>0</v>
      </c>
      <c r="GS160" s="6">
        <f>COUNTIFS(Table13[Country],Tabela1[[#This Row],[Country]],Table13[63kg Classification],"&gt;0")</f>
        <v>0</v>
      </c>
      <c r="GT160" s="6">
        <f>COUNTIFS(Table13[Country],Tabela1[[#This Row],[Country]],Table13[70kg Classification],"&gt;0")</f>
        <v>0</v>
      </c>
      <c r="GU160" s="6">
        <f>COUNTIFS(Table13[Country],Tabela1[[#This Row],[Country]],Table13[78kg Classification],"&gt;0")</f>
        <v>0</v>
      </c>
      <c r="GV160" s="6">
        <f>COUNTIFS(Table13[Country],Tabela1[[#This Row],[Country]],Table13[Plus 78kg Classification],"&gt;0")</f>
        <v>0</v>
      </c>
      <c r="GW160" s="6">
        <f>COUNTIFS(Table82[Country],Tabela1[[#This Row],[Country]],Table82[Mixed Classification],"&gt;0")</f>
        <v>0</v>
      </c>
      <c r="GX160" s="6">
        <f>COUNTIFS(Table51[Country],Tabela1[[#This Row],[Country]],Table51[Classification],"&gt;0")</f>
        <v>0</v>
      </c>
      <c r="GY160" s="6">
        <f>COUNTIFS(Table52[Country],Tabela1[[#This Row],[Country]],Table52[Classification],"&gt;0")</f>
        <v>0</v>
      </c>
      <c r="GZ160" s="6">
        <f>COUNTIFS(Table32[Country],Tabela1[[#This Row],[Country]],Table32[All-Around Classification],"&gt;0")</f>
        <v>0</v>
      </c>
      <c r="HA160" s="6">
        <f>COUNTIFS(Table49[Country],Tabela1[[#This Row],[Country]],Table49[All-Around Classification],"&gt;0")</f>
        <v>0</v>
      </c>
      <c r="HB160" s="6">
        <f>COUNTIFS(Table26[Country],Tabela1[[#This Row],[Country]],Table26[Single Sculls Classification],"&gt;0")</f>
        <v>0</v>
      </c>
      <c r="HC160" s="6">
        <f>COUNTIFS(Table63[Country],Tabela1[[#This Row],[Country]],Table63[Single Sculls Classification],"&gt;0")</f>
        <v>0</v>
      </c>
      <c r="HD160" s="6">
        <f>COUNTIFS(Table16[Country],Tabela1[[#This Row],[Country]],Table16[Men''s Double Sculls Classification],"&gt;0")</f>
        <v>0</v>
      </c>
      <c r="HE160" s="6">
        <f>COUNTIFS(Table16[Country],Tabela1[[#This Row],[Country]],Table16[Women''s Double Sculls Classification],"&gt;0")</f>
        <v>0</v>
      </c>
      <c r="HF160" s="6">
        <f>COUNTIFS(Table72[Country],Tabela1[[#This Row],[Country]],Table72[Men''s Quadruple Sculls Classification],"&gt;0")</f>
        <v>0</v>
      </c>
      <c r="HG160" s="6">
        <f>COUNTIFS(Table72[Country],Tabela1[[#This Row],[Country]],Table72[Women''s Quadruple Sculls Classification],"&gt;0")</f>
        <v>0</v>
      </c>
      <c r="HH160" s="6">
        <f>COUNTIFS(Table16[Country],Tabela1[[#This Row],[Country]],Table16[Men''s Coxless Pairs Classification],"&gt;0")</f>
        <v>0</v>
      </c>
      <c r="HI160" s="6">
        <f>COUNTIFS(Table16[Country],Tabela1[[#This Row],[Country]],Table16[Women''s Coxless Pairs Classification],"&gt;0")</f>
        <v>0</v>
      </c>
      <c r="HJ160" s="6">
        <f>COUNTIFS(Table72[Country],Tabela1[[#This Row],[Country]],Table72[Men''s Coxless Fours Classification],"&gt;0")</f>
        <v>0</v>
      </c>
      <c r="HK160" s="6">
        <f>COUNTIFS(Table72[Country],Tabela1[[#This Row],[Country]],Table72[Women''s Coxless Fours Classification],"&gt;0")</f>
        <v>0</v>
      </c>
      <c r="HL160" s="6">
        <f>COUNTIFS(Table72[Country],Tabela1[[#This Row],[Country]],Table72[Men''s Eights Classification],"&gt;0")</f>
        <v>0</v>
      </c>
      <c r="HM160" s="6">
        <f>COUNTIFS(Table72[Country],Tabela1[[#This Row],[Country]],Table72[Women''s Eights Classification],"&gt;0")</f>
        <v>0</v>
      </c>
      <c r="HN160" s="6">
        <f>COUNTIFS(Table16[Country],Tabela1[[#This Row],[Country]],Table16[Men''s Lwt. Double Sculls Classification],"&gt;0")</f>
        <v>0</v>
      </c>
      <c r="HO160" s="6">
        <f>COUNTIFS(Table16[Country],Tabela1[[#This Row],[Country]],Table16[Women''s Lwt. Double Sculls Classification],"&gt;0")</f>
        <v>0</v>
      </c>
      <c r="HP160" s="6">
        <f>COUNTIFS(Table91949698[Country],Tabela1[[#This Row],[Country]],Table91949698[Men''s Classification],"&gt;0")</f>
        <v>0</v>
      </c>
      <c r="HQ160" s="6">
        <f>COUNTIFS(Table91949698[Country],Tabela1[[#This Row],[Country]],Table91949698[Women''s Classification],"&gt;0")</f>
        <v>0</v>
      </c>
      <c r="HR160" s="6">
        <f>COUNTIFS(Table25[Country],Tabela1[[#This Row],[Country]],Table25[Mixed 470 Classification],"&gt;0")</f>
        <v>0</v>
      </c>
      <c r="HS160" s="6">
        <f>COUNTIFS(Table25[Country],Tabela1[[#This Row],[Country]],Table25[Men''s 49er Classification],"&gt;0")</f>
        <v>0</v>
      </c>
      <c r="HT160" s="6">
        <f>COUNTIFS(Table25[Country],Tabela1[[#This Row],[Country]],Table25[Women''s 49er FX Classification],"&gt;0")</f>
        <v>0</v>
      </c>
      <c r="HU160" s="6">
        <f>COUNTIFS(Table17[Country],Tabela1[[#This Row],[Country]],Table17[Formula Kite Classification],"&gt;0")</f>
        <v>0</v>
      </c>
      <c r="HV160" s="6">
        <f>COUNTIFS(Table18[Country],Tabela1[[#This Row],[Country]],Table18[Formula Kite Classification],"&gt;0")</f>
        <v>0</v>
      </c>
      <c r="HW160" s="6">
        <f>COUNTIFS(Table17[Country],Tabela1[[#This Row],[Country]],Table17[ILCA 7 Classification],"&gt;0")</f>
        <v>0</v>
      </c>
      <c r="HX160" s="6">
        <f>COUNTIFS(Table18[Country],Tabela1[[#This Row],[Country]],Table18[ILCA 6 Classification],"&gt;0")</f>
        <v>0</v>
      </c>
      <c r="HY160" s="6">
        <f>COUNTIFS(Table17[Country],Tabela1[[#This Row],[Country]],Table17[IQFoil Classification],"&gt;0")</f>
        <v>0</v>
      </c>
      <c r="HZ160" s="6">
        <f>COUNTIFS(Table18[Country],Tabela1[[#This Row],[Country]],Table18[IQFoil Classification],"&gt;0")</f>
        <v>0</v>
      </c>
      <c r="IA160" s="6">
        <f>COUNTIFS(Table25[Country],Tabela1[[#This Row],[Country]],Table25[Mixed Nacra 17 Classification],"&gt;0")</f>
        <v>0</v>
      </c>
      <c r="IB160" s="6">
        <f>COUNTIFS(Table53[Country],Tabela1[[#This Row],[Country]],Table53[10m Air Pistol Classification],"&gt;0")</f>
        <v>0</v>
      </c>
      <c r="IC160" s="6">
        <f>COUNTIFS(Table19[Country],Tabela1[[#This Row],[Country]],Table19[10m Air Pistol Classification],"&gt;0")</f>
        <v>0</v>
      </c>
      <c r="ID160" s="6">
        <f>COUNTIFS(Table54[Country],Tabela1[[#This Row],[Country]],Table54[Mixed 10m Air Pistol Team Classification],"&gt;0")</f>
        <v>0</v>
      </c>
      <c r="IE160" s="6">
        <f>COUNTIFS(Table53[Country],Tabela1[[#This Row],[Country]],Table53[10m Air Rifle Classification],"&gt;0")</f>
        <v>0</v>
      </c>
      <c r="IF160" s="6">
        <f>COUNTIFS(Table19[Country],Tabela1[[#This Row],[Country]],Table19[10m Air Rifle Classification],"&gt;0")</f>
        <v>0</v>
      </c>
      <c r="IG160" s="6">
        <f>COUNTIFS(Table54[Country],Tabela1[[#This Row],[Country]],Table54[Mixed 10m Air Rifle Team Classification],"&gt;0")</f>
        <v>0</v>
      </c>
      <c r="IH160" s="6">
        <f>COUNTIFS(Table53[Country],Tabela1[[#This Row],[Country]],Table53[25m Rapid Fire Pistol Classification],"&gt;0")</f>
        <v>0</v>
      </c>
      <c r="II160" s="6">
        <f>COUNTIFS(Table19[Country],Tabela1[[#This Row],[Country]],Table19[25m Pistol Classification],"&gt;0")</f>
        <v>0</v>
      </c>
      <c r="IJ160" s="6">
        <f>COUNTIFS(Table53[Country],Tabela1[[#This Row],[Country]],Table53[50m Rifle 3 Positions Classification],"&gt;0")</f>
        <v>0</v>
      </c>
      <c r="IK160" s="6">
        <f>COUNTIFS(Table19[Country],Tabela1[[#This Row],[Country]],Table19[50m Rifle 3 Positions Classification],"&gt;0")</f>
        <v>0</v>
      </c>
      <c r="IL160" s="6">
        <f>COUNTIFS(Table53[Country],Tabela1[[#This Row],[Country]],Table53[Skeet Classification],"&gt;0")</f>
        <v>0</v>
      </c>
      <c r="IM160" s="6">
        <f>COUNTIFS(Table19[Country],Tabela1[[#This Row],[Country]],Table19[Skeet Classification],"&gt;0")</f>
        <v>0</v>
      </c>
      <c r="IN160" s="6">
        <f>COUNTIFS(Table54[Country],Tabela1[[#This Row],[Country]],Table54[Mixed Skeet Team Classification],"&gt;0")</f>
        <v>0</v>
      </c>
      <c r="IO160" s="6">
        <f>COUNTIFS(Table53[Country],Tabela1[[#This Row],[Country]],Table53[Trap Classification],"&gt;0")</f>
        <v>0</v>
      </c>
      <c r="IP160" s="6">
        <f>COUNTIFS(Table19[Country],Tabela1[[#This Row],[Country]],Table19[Trap Classification],"&gt;0")</f>
        <v>0</v>
      </c>
      <c r="IQ160" s="6">
        <f>COUNTIFS(Table73[Country],Tabela1[[#This Row],[Country]],Table73[Park Classification],"&gt;0")</f>
        <v>0</v>
      </c>
      <c r="IR160" s="6">
        <f>COUNTIFS(Table74[Country],Tabela1[[#This Row],[Country]],Table74[Park Classification],"&gt;0")</f>
        <v>0</v>
      </c>
      <c r="IS160" s="6">
        <f>COUNTIFS(Table73[Country],Tabela1[[#This Row],[Country]],Table73[Street Classification],"&gt;0")</f>
        <v>0</v>
      </c>
      <c r="IT160" s="6">
        <f>COUNTIFS(Table74[Country],Tabela1[[#This Row],[Country]],Table74[Street Classification],"&gt;0")</f>
        <v>0</v>
      </c>
      <c r="IU160" s="6">
        <f>COUNTIFS(Table75[Country],Tabela1[[#This Row],[Country]],Table75[Boulder and Lead Classification],"&gt;0")</f>
        <v>0</v>
      </c>
      <c r="IV160" s="6">
        <f>COUNTIFS(Table76[Country],Tabela1[[#This Row],[Country]],Table76[Boulder and Lead Classification],"&gt;0")</f>
        <v>0</v>
      </c>
      <c r="IW160" s="6">
        <f>COUNTIFS(Table75[Country],Tabela1[[#This Row],[Country]],Table75[Speed Classification],"&gt;0")</f>
        <v>0</v>
      </c>
      <c r="IX160" s="6">
        <f>COUNTIFS(Table76[Country],Tabela1[[#This Row],[Country]],Table76[Speed Classification],"&gt;0")</f>
        <v>0</v>
      </c>
      <c r="IY160" s="6">
        <f>COUNTIFS(Table64[Country],Tabela1[[#This Row],[Country]],Table64[Shortboard Classification],"&gt;0")</f>
        <v>0</v>
      </c>
      <c r="IZ160" s="6">
        <f>COUNTIFS(Table77[Country],Tabela1[[#This Row],[Country]],Table77[Shortboard Classification],"&gt;0")</f>
        <v>0</v>
      </c>
      <c r="JA160" s="6">
        <f>COUNTIFS(Table20[Country],Tabela1[[#This Row],[Country]],Table20[50m Freestyle Classification],"&gt;0")</f>
        <v>0</v>
      </c>
      <c r="JB160" s="6">
        <f>COUNTIFS(Table21[Country],Tabela1[[#This Row],[Country]],Table21[50m Freestyle Classification],"&gt;0")</f>
        <v>0</v>
      </c>
      <c r="JC160" s="6">
        <f>COUNTIFS(Table20[Country],Tabela1[[#This Row],[Country]],Table20[100m Freestyle Classification],"&gt;0")</f>
        <v>0</v>
      </c>
      <c r="JD160" s="6">
        <f>COUNTIFS(Table21[Country],Tabela1[[#This Row],[Country]],Table21[100m Freestyle Classification],"&gt;0")</f>
        <v>0</v>
      </c>
      <c r="JE160" s="6">
        <f>COUNTIFS(Table20[Country],Tabela1[[#This Row],[Country]],Table20[200m Freestyle Classification],"&gt;0")</f>
        <v>0</v>
      </c>
      <c r="JF160" s="6">
        <f>COUNTIFS(Table21[Country],Tabela1[[#This Row],[Country]],Table21[200m Freestyle Classification],"&gt;0")</f>
        <v>0</v>
      </c>
      <c r="JG160" s="6">
        <f>COUNTIFS(Table20[Country],Tabela1[[#This Row],[Country]],Table20[400m Freestyle Classification],"&gt;0")</f>
        <v>0</v>
      </c>
      <c r="JH160" s="6">
        <f>COUNTIFS(Table21[Country],Tabela1[[#This Row],[Country]],Table21[400m Freestyle Classification],"&gt;0")</f>
        <v>0</v>
      </c>
      <c r="JI160" s="6">
        <f>COUNTIFS(Table20[Country],Tabela1[[#This Row],[Country]],Table20[800m Freestyle Classification],"&gt;0")</f>
        <v>0</v>
      </c>
      <c r="JJ160" s="6">
        <f>COUNTIFS(Table21[Country],Tabela1[[#This Row],[Country]],Table21[800m Freestyle Classification],"&gt;0")</f>
        <v>0</v>
      </c>
      <c r="JK160" s="6">
        <f>COUNTIFS(Table20[Country],Tabela1[[#This Row],[Country]],Table20[1500m Freestyle Classification],"&gt;0")</f>
        <v>0</v>
      </c>
      <c r="JL160" s="6">
        <f>COUNTIFS(Table21[Country],Tabela1[[#This Row],[Country]],Table21[1500m Freestyle Classification],"&gt;0")</f>
        <v>0</v>
      </c>
      <c r="JM160" s="6">
        <f>COUNTIFS(Table20[Country],Tabela1[[#This Row],[Country]],Table20[100m Backstroke Classification],"&gt;0")</f>
        <v>0</v>
      </c>
      <c r="JN160" s="6">
        <f>COUNTIFS(Table21[Country],Tabela1[[#This Row],[Country]],Table21[100m Backstroke Classification],"&gt;0")</f>
        <v>0</v>
      </c>
      <c r="JO160" s="6">
        <f>COUNTIFS(Table20[Country],Tabela1[[#This Row],[Country]],Table20[200m Backstroke Classification],"&gt;0")</f>
        <v>0</v>
      </c>
      <c r="JP160" s="6">
        <f>COUNTIFS(Table21[Country],Tabela1[[#This Row],[Country]],Table21[200m Backstroke Classification],"&gt;0")</f>
        <v>0</v>
      </c>
      <c r="JQ160" s="6">
        <f>COUNTIFS(Table20[Country],Tabela1[[#This Row],[Country]],Table20[100m Breaststroke Classification],"&gt;0")</f>
        <v>0</v>
      </c>
      <c r="JR160" s="6">
        <f>COUNTIFS(Table21[Country],Tabela1[[#This Row],[Country]],Table21[100m Breaststroke Classification],"&gt;0")</f>
        <v>0</v>
      </c>
      <c r="JS160" s="6">
        <f>COUNTIFS(Table20[Country],Tabela1[[#This Row],[Country]],Table20[200m Breaststroke Classification],"&gt;0")</f>
        <v>0</v>
      </c>
      <c r="JT160" s="6">
        <f>COUNTIFS(Table21[Country],Tabela1[[#This Row],[Country]],Table21[200m Breaststroke Classification],"&gt;0")</f>
        <v>0</v>
      </c>
      <c r="JU160" s="6">
        <f>COUNTIFS(Table20[Country],Tabela1[[#This Row],[Country]],Table20[100m Butterfly Classification],"&gt;0")</f>
        <v>0</v>
      </c>
      <c r="JV160" s="6">
        <f>COUNTIFS(Table21[Country],Tabela1[[#This Row],[Country]],Table21[100m Butterfly Classification],"&gt;0")</f>
        <v>0</v>
      </c>
      <c r="JW160" s="6">
        <f>COUNTIFS(Table20[Country],Tabela1[[#This Row],[Country]],Table20[200m Butterfly Classification],"&gt;0")</f>
        <v>0</v>
      </c>
      <c r="JX160" s="6">
        <f>COUNTIFS(Table21[Country],Tabela1[[#This Row],[Country]],Table21[200m Butterfly Classification],"&gt;0")</f>
        <v>0</v>
      </c>
      <c r="JY160" s="6">
        <f>COUNTIFS(Table20[Country],Tabela1[[#This Row],[Country]],Table20[200m Medley Classification],"&gt;0")</f>
        <v>0</v>
      </c>
      <c r="JZ160" s="6">
        <f>COUNTIFS(Table21[Country],Tabela1[[#This Row],[Country]],Table21[200m Medley Classification],"&gt;0")</f>
        <v>0</v>
      </c>
      <c r="KA160" s="6">
        <f>COUNTIFS(Table20[Country],Tabela1[[#This Row],[Country]],Table20[400m Medley Classification],"&gt;0")</f>
        <v>0</v>
      </c>
      <c r="KB160" s="6">
        <f>COUNTIFS(Table21[Country],Tabela1[[#This Row],[Country]],Table21[400m Medley Classification],"&gt;0")</f>
        <v>0</v>
      </c>
      <c r="KC160" s="6">
        <f>COUNTIFS(Table78[Country],Tabela1[[#This Row],[Country]],Table78[Men''s 4x100m Freestyle Relay Classification],"&gt;0")</f>
        <v>0</v>
      </c>
      <c r="KD160" s="6">
        <f>COUNTIFS(Table78[Country],Tabela1[[#This Row],[Country]],Table78[Women''s 4x100m Freestyle Relay Classification],"&gt;0")</f>
        <v>0</v>
      </c>
      <c r="KE160" s="6">
        <f>COUNTIFS(Table78[Country],Tabela1[[#This Row],[Country]],Table78[Men''s 4x200m Freestyle Relay Classification],"&gt;0")</f>
        <v>0</v>
      </c>
      <c r="KF160" s="6">
        <f>COUNTIFS(Table78[Country],Tabela1[[#This Row],[Country]],Table78[Women''s 4x200m Freestyle Relay Classification],"&gt;0")</f>
        <v>0</v>
      </c>
      <c r="KG160" s="6">
        <f>COUNTIFS(Table78[Country],Tabela1[[#This Row],[Country]],Table78[Men''s 4x100m Medley Relay Classification],"&gt;0")</f>
        <v>0</v>
      </c>
      <c r="KH160" s="6">
        <f>COUNTIFS(Table78[Country],Tabela1[[#This Row],[Country]],Table78[Women''s 4x100m Medley Relay Classification],"&gt;0")</f>
        <v>0</v>
      </c>
      <c r="KI160" s="6">
        <f>COUNTIFS(Table78[Country],Tabela1[[#This Row],[Country]],Table78[Mixed 4x100m Medley Relay Classification],"&gt;0")</f>
        <v>0</v>
      </c>
      <c r="KJ160" s="6">
        <f>COUNTIFS(Table20[Country],Tabela1[[#This Row],[Country]],Table20[10km Open Water Classification],"&gt;0")</f>
        <v>0</v>
      </c>
      <c r="KK160" s="6">
        <f>COUNTIFS(Table21[Country],Tabela1[[#This Row],[Country]],Table21[10km Open Water Classification],"&gt;0")</f>
        <v>0</v>
      </c>
      <c r="KL160" s="6">
        <f>COUNTIFS(Table22[Country],Tabela1[[#This Row],[Country]],Table22[Classification],"&gt;0")</f>
        <v>0</v>
      </c>
      <c r="KM160" s="6">
        <f>COUNTIFS(Table30[Country],Tabela1[[#This Row],[Country]],Table30[Classification],"&gt;0")</f>
        <v>0</v>
      </c>
      <c r="KN160" s="6">
        <f>COUNTIFS(Table55[Country],Tabela1[[#This Row],[Country]],Table55[Men''s Classification],"&gt;0")</f>
        <v>0</v>
      </c>
      <c r="KO160" s="6">
        <f>COUNTIFS(Table55[Country],Tabela1[[#This Row],[Country]],Table55[Women''s Classification],"&gt;0")</f>
        <v>0</v>
      </c>
      <c r="KP160" s="6">
        <f>COUNTIFS(Table56[Country],Tabela1[[#This Row],[Country]],Table56[Mixed Classification],"&gt;0")</f>
        <v>0</v>
      </c>
      <c r="KQ160" s="6">
        <f>COUNTIFS(Table29[Country],Tabela1[[#This Row],[Country]],Table29[58kg Classification],"&gt;0")</f>
        <v>0</v>
      </c>
      <c r="KR160" s="6">
        <f>COUNTIFS(Table29[Country],Tabela1[[#This Row],[Country]],Table29[68kg Classification],"&gt;0")</f>
        <v>0</v>
      </c>
      <c r="KS160" s="6">
        <f>COUNTIFS(Table29[Country],Tabela1[[#This Row],[Country]],Table29[80kg Classification],"&gt;0")</f>
        <v>0</v>
      </c>
      <c r="KT160" s="6">
        <f>COUNTIFS(Table29[Country],Tabela1[[#This Row],[Country]],Table29[Plus 80kg Classification],"&gt;0")</f>
        <v>0</v>
      </c>
      <c r="KU160" s="6">
        <f>COUNTIFS(Table34[Country],Tabela1[[#This Row],[Country]],Table34[49kg Classification],"&gt;0")</f>
        <v>0</v>
      </c>
      <c r="KV160" s="6">
        <f>COUNTIFS(Table34[Country],Tabela1[[#This Row],[Country]],Table34[57kg Classification],"&gt;0")</f>
        <v>0</v>
      </c>
      <c r="KW160" s="6">
        <f>COUNTIFS(Table34[Country],Tabela1[[#This Row],[Country]],Table34[67kg Classification],"&gt;0")</f>
        <v>0</v>
      </c>
      <c r="KX160" s="6">
        <f>COUNTIFS(Table34[Country],Tabela1[[#This Row],[Country]],Table34[Plus 67kg Classification],"&gt;0")</f>
        <v>0</v>
      </c>
      <c r="KY160" s="6">
        <f>COUNTIFS(Table57[Country],Tabela1[[#This Row],[Country]],Table57[Classification],"&gt;0")</f>
        <v>0</v>
      </c>
      <c r="KZ160" s="6">
        <f>COUNTIFS(Table58[Country],Tabela1[[#This Row],[Country]],Table58[Classification],"&gt;0")</f>
        <v>0</v>
      </c>
      <c r="LA160" s="6">
        <f>COUNTIFS(Table79[Country],Tabela1[[#This Row],[Country]],Table79[Men''s Classification],"&gt;0")</f>
        <v>0</v>
      </c>
      <c r="LB160" s="6">
        <f>COUNTIFS(Table79[Country],Tabela1[[#This Row],[Country]],Table79[Women''s Classification],"&gt;0")</f>
        <v>0</v>
      </c>
      <c r="LC160" s="6">
        <f>COUNTIFS(Table79[Country],Tabela1[[#This Row],[Country]],Table79[Mixed Classification],"&gt;0")</f>
        <v>0</v>
      </c>
      <c r="LD160" s="6">
        <f>COUNTIFS(Table65[Country],Tabela1[[#This Row],[Country]],Table65[Classification],"&gt;0")</f>
        <v>0</v>
      </c>
      <c r="LE160" s="6">
        <f>COUNTIFS(Table59[Country],Tabela1[[#This Row],[Country]],Table59[Classification],"&gt;0")</f>
        <v>0</v>
      </c>
      <c r="LF160" s="6">
        <f>COUNTIFS(Table87[Country],Tabela1[[#This Row],[Country]],Table87[Mixed Relay Classification],"&gt;0")</f>
        <v>0</v>
      </c>
      <c r="LG160" s="6">
        <f>COUNTIFS(Table91949698100[Country],Tabela1[[#This Row],[Country]],Table91949698100[Men''s Classification],"&gt;0")</f>
        <v>0</v>
      </c>
      <c r="LH160" s="6">
        <f>COUNTIFS(Table91949698100[Country],Tabela1[[#This Row],[Country]],Table91949698100[Women''s Classification],"&gt;0")</f>
        <v>0</v>
      </c>
      <c r="LI160" s="6">
        <f>COUNTIFS(Table91949698100102[Country],Tabela1[[#This Row],[Country]],Table91949698100102[Men''s Classification],"&gt;0")</f>
        <v>0</v>
      </c>
      <c r="LJ160" s="6">
        <f>COUNTIFS(Table91949698100102[Country],Tabela1[[#This Row],[Country]],Table91949698100102[Women''s Classification],"&gt;0")</f>
        <v>0</v>
      </c>
      <c r="LK160" s="6">
        <f>COUNTIFS(Table23[Country],Tabela1[[#This Row],[Country]],Table23[61kg Classification],"&gt;0")</f>
        <v>0</v>
      </c>
      <c r="LL160" s="6">
        <f>COUNTIFS(Table23[Country],Tabela1[[#This Row],[Country]],Table23[73kg Classification],"&gt;0")</f>
        <v>0</v>
      </c>
      <c r="LM160" s="6">
        <f>COUNTIFS(Table23[Country],Tabela1[[#This Row],[Country]],Table23[89kg Classification],"&gt;0")</f>
        <v>0</v>
      </c>
      <c r="LN160" s="6">
        <f>COUNTIFS(Table23[Country],Tabela1[[#This Row],[Country]],Table23[102kg Classification],"&gt;0")</f>
        <v>0</v>
      </c>
      <c r="LO160" s="6">
        <f>COUNTIFS(Table23[Country],Tabela1[[#This Row],[Country]],Table23[Plus 102kg Classification],"&gt;0")</f>
        <v>0</v>
      </c>
      <c r="LP160" s="6">
        <f>COUNTIFS(Table28[Country],Tabela1[[#This Row],[Country]],Table28[49kg Classification],"&gt;0")</f>
        <v>0</v>
      </c>
      <c r="LQ160" s="6">
        <f>COUNTIFS(Table28[Country],Tabela1[[#This Row],[Country]],Table28[59kg Classification],"&gt;0")</f>
        <v>0</v>
      </c>
      <c r="LR160" s="6">
        <f>COUNTIFS(Table28[Country],Tabela1[[#This Row],[Country]],Table28[71kg Classification],"&gt;0")</f>
        <v>0</v>
      </c>
      <c r="LS160" s="6">
        <f>COUNTIFS(Table28[Country],Tabela1[[#This Row],[Country]],Table28[81kg Classification],"&gt;0")</f>
        <v>0</v>
      </c>
      <c r="LT160" s="6">
        <f>COUNTIFS(Table28[Country],Tabela1[[#This Row],[Country]],Table28[Plus 81kg Classification],"&gt;0")</f>
        <v>0</v>
      </c>
      <c r="LU160" s="6">
        <f>COUNTIFS(Table24[Country],Tabela1[[#This Row],[Country]],Table24[Freestyle 57kg Classification],"&gt;0")</f>
        <v>0</v>
      </c>
      <c r="LV160" s="6">
        <f>COUNTIFS(Table24[Country],Tabela1[[#This Row],[Country]],Table24[Freestyle 65kg Classification],"&gt;0")</f>
        <v>0</v>
      </c>
      <c r="LW160" s="6">
        <f>COUNTIFS(Table24[Country],Tabela1[[#This Row],[Country]],Table24[Freestyle 74kg Classification],"&gt;0")</f>
        <v>0</v>
      </c>
      <c r="LX160" s="6">
        <f>COUNTIFS(Table24[Country],Tabela1[[#This Row],[Country]],Table24[Freestyle 86kg Classification],"&gt;0")</f>
        <v>0</v>
      </c>
      <c r="LY160" s="6">
        <f>COUNTIFS(Table24[Country],Tabela1[[#This Row],[Country]],Table24[Freestyle 97kg Classification],"&gt;0")</f>
        <v>0</v>
      </c>
      <c r="LZ160" s="6">
        <f>COUNTIFS(Table24[Country],Tabela1[[#This Row],[Country]],Table24[Freestyle 125kg Classification],"&gt;0")</f>
        <v>0</v>
      </c>
      <c r="MA160" s="6">
        <f>COUNTIFS(Table24[Country],Tabela1[[#This Row],[Country]],Table24[Greco-Roman 60kg Classification],"&gt;0")</f>
        <v>0</v>
      </c>
      <c r="MB160" s="6">
        <f>COUNTIFS(Table24[Country],Tabela1[[#This Row],[Country]],Table24[Greco-Roman 67kg Classification],"&gt;0")</f>
        <v>0</v>
      </c>
      <c r="MC160" s="6">
        <f>COUNTIFS(Table24[Country],Tabela1[[#This Row],[Country]],Table24[Greco-Roman 77kg Classification],"&gt;0")</f>
        <v>0</v>
      </c>
      <c r="MD160" s="6">
        <f>COUNTIFS(Table24[Country],Tabela1[[#This Row],[Country]],Table24[Greco-Roman 87kg Classification],"&gt;0")</f>
        <v>0</v>
      </c>
      <c r="ME160" s="6">
        <f>COUNTIFS(Table24[Country],Tabela1[[#This Row],[Country]],Table24[Greco-Roman 97kg Classification],"&gt;0")</f>
        <v>0</v>
      </c>
      <c r="MF160" s="6">
        <f>COUNTIFS(Table24[Country],Tabela1[[#This Row],[Country]],Table24[Greco-Roman 130kg Classification],"&gt;0")</f>
        <v>0</v>
      </c>
      <c r="MG160" s="6">
        <f>COUNTIFS(Table31[Country],Tabela1[[#This Row],[Country]],Table31[50kg Classification],"&gt;0")</f>
        <v>0</v>
      </c>
      <c r="MH160" s="6">
        <f>COUNTIFS(Table31[Country],Tabela1[[#This Row],[Country]],Table31[53kg Classification],"&gt;0")</f>
        <v>0</v>
      </c>
      <c r="MI160" s="6">
        <f>COUNTIFS(Table31[Country],Tabela1[[#This Row],[Country]],Table31[57kg Classification],"&gt;0")</f>
        <v>0</v>
      </c>
      <c r="MJ160" s="6">
        <f>COUNTIFS(Table31[Country],Tabela1[[#This Row],[Country]],Table31[62kg Classification],"&gt;0")</f>
        <v>0</v>
      </c>
      <c r="MK160" s="6">
        <f>COUNTIFS(Table31[Country],Tabela1[[#This Row],[Country]],Table31[68kg Classification],"&gt;0")</f>
        <v>0</v>
      </c>
      <c r="ML160" s="6">
        <f>COUNTIFS(Table31[Country],Tabela1[[#This Row],[Country]],Table31[76kg Classification],"&gt;0")</f>
        <v>0</v>
      </c>
      <c r="MM160" s="6">
        <f>COUNTIFS(Table102[Country],Tabela1[[#This Row],[Country]],Table102[Downhill Classification],"&gt;0")</f>
        <v>0</v>
      </c>
      <c r="MN160" s="6">
        <f>COUNTIFS(Table102105[Country],Tabela1[[#This Row],[Country]],Table102105[Downhill Classification],"&gt;0")</f>
        <v>0</v>
      </c>
      <c r="MO160" s="6">
        <f>COUNTIFS(Table102[Country],Tabela1[[#This Row],[Country]],Table102[Giant Slalom Classification],"&gt;0")</f>
        <v>0</v>
      </c>
      <c r="MP160" s="6">
        <f>COUNTIFS(Table102105[Country],Tabela1[[#This Row],[Country]],Table102105[Giant Slalom Classification],"&gt;0")</f>
        <v>0</v>
      </c>
      <c r="MQ160" s="6">
        <f>COUNTIFS(Table102[Country],Tabela1[[#This Row],[Country]],Table102[Slalom Classification],"&gt;0")</f>
        <v>0</v>
      </c>
      <c r="MR160" s="6">
        <f>COUNTIFS(Table102105[Country],Tabela1[[#This Row],[Country]],Table102105[Slalom Classification],"&gt;0")</f>
        <v>0</v>
      </c>
      <c r="MS160" s="6">
        <f>COUNTIFS(Table102[Country],Tabela1[[#This Row],[Country]],Table102[Super-G Classification],"&gt;0")</f>
        <v>0</v>
      </c>
      <c r="MT160" s="6">
        <f>COUNTIFS(Table102105[Country],Tabela1[[#This Row],[Country]],Table102105[Super-G Classification],"&gt;0")</f>
        <v>0</v>
      </c>
      <c r="MU160" s="6">
        <f>COUNTIFS(Table105[Country],Tabela1[[#This Row],[Country]],Table105[Men''s Combined Classification],"&gt;0")</f>
        <v>0</v>
      </c>
      <c r="MV160" s="6">
        <f>COUNTIFS(Table105[Country],Tabela1[[#This Row],[Country]],Table105[Women''s Combined Classification],"&gt;0")</f>
        <v>0</v>
      </c>
      <c r="MW160" s="6">
        <f>COUNTIFS(Table106[Country],Tabela1[[#This Row],[Country]],Table106[Individual Classification],"&gt;0")</f>
        <v>0</v>
      </c>
      <c r="MX160" s="6">
        <f>COUNTIFS(Table106109[Country],Tabela1[[#This Row],[Country]],Table106109[Individual Classification],"&gt;0")</f>
        <v>0</v>
      </c>
      <c r="MY160" s="6">
        <f>COUNTIFS(Table106[Country],Tabela1[[#This Row],[Country]],Table106[Mass Start Classification],"&gt;0")</f>
        <v>0</v>
      </c>
      <c r="MZ160" s="6">
        <f>COUNTIFS(Table106109[Country],Tabela1[[#This Row],[Country]],Table106109[Mass Start Classification],"&gt;0")</f>
        <v>0</v>
      </c>
      <c r="NA160" s="6">
        <f>COUNTIFS(Table106[Country],Tabela1[[#This Row],[Country]],Table106[Pursuit Classification],"&gt;0")</f>
        <v>0</v>
      </c>
      <c r="NB160" s="6">
        <f>COUNTIFS(Table106109[Country],Tabela1[[#This Row],[Country]],Table106109[Pursuit Classification],"&gt;0")</f>
        <v>0</v>
      </c>
      <c r="NC160" s="6">
        <f>COUNTIFS(Table106[Country],Tabela1[[#This Row],[Country]],Table106[Sprint Classification],"&gt;0")</f>
        <v>0</v>
      </c>
      <c r="ND160" s="6">
        <f>COUNTIFS(Table106109[Country],Tabela1[[#This Row],[Country]],Table106109[Sprint Classification],"&gt;0")</f>
        <v>0</v>
      </c>
      <c r="NE160" s="6">
        <f>COUNTIFS(Table109[Country],Tabela1[[#This Row],[Country]],Table109[Men''s Relay Classification],"&gt;0")</f>
        <v>0</v>
      </c>
      <c r="NF160" s="6">
        <f>COUNTIFS(Table109[Country],Tabela1[[#This Row],[Country]],Table109[Women''s Relay Classification],"&gt;0")</f>
        <v>0</v>
      </c>
      <c r="NG160" s="6">
        <f>COUNTIFS(Table109[Country],Tabela1[[#This Row],[Country]],Table109[Mixed Relay Classification],"&gt;0")</f>
        <v>0</v>
      </c>
      <c r="NH160" s="6">
        <f>COUNTIFS(Table110[Country],Tabela1[[#This Row],[Country]],Table110[Monobob Classification],"&gt;0")</f>
        <v>0</v>
      </c>
      <c r="NI160" s="6">
        <f>COUNTIFS(Table111[Country],Tabela1[[#This Row],[Country]],Table111[Men''s Classification],"&gt;0")</f>
        <v>0</v>
      </c>
      <c r="NJ160" s="6">
        <f>COUNTIFS(Table111[Country],Tabela1[[#This Row],[Country]],Table111[Women''s Classification],"&gt;0")</f>
        <v>0</v>
      </c>
      <c r="NK160" s="6">
        <f>COUNTIFS(Table112[Country],Tabela1[[#This Row],[Country]],Table112[Men''s Four Classification],"&gt;0")</f>
        <v>0</v>
      </c>
      <c r="NL160" s="6">
        <f>COUNTIFS(Table113[Country],Tabela1[[#This Row],[Country]],Table113[Classical Classification],"&gt;0")</f>
        <v>0</v>
      </c>
      <c r="NM160" s="6">
        <f>COUNTIFS(Table113116[Country],Tabela1[[#This Row],[Country]],Table113116[Classical Classification],"&gt;0")</f>
        <v>0</v>
      </c>
      <c r="NN160" s="6">
        <f>COUNTIFS(Table113[Country],Tabela1[[#This Row],[Country]],Table113[Freestyle Classification],"&gt;0")</f>
        <v>0</v>
      </c>
      <c r="NO160" s="6">
        <f>COUNTIFS(Table113116[Country],Tabela1[[#This Row],[Country]],Table113116[Freestyle Classification],"&gt;0")</f>
        <v>0</v>
      </c>
      <c r="NP160" s="6">
        <f>COUNTIFS(Table117[Country],Tabela1[[#This Row],[Country]],Table117[Men''s Relay Classification],"&gt;0")</f>
        <v>0</v>
      </c>
      <c r="NQ160" s="6">
        <f>COUNTIFS(Table117[Country],Tabela1[[#This Row],[Country]],Table117[Women''s Relay Classification],"&gt;0")</f>
        <v>0</v>
      </c>
      <c r="NR160" s="6">
        <f>COUNTIFS(Table113[Country],Tabela1[[#This Row],[Country]],Table113[Skiathlon Classification],"&gt;0")</f>
        <v>0</v>
      </c>
      <c r="NS160" s="6">
        <f>COUNTIFS(Table113116[Country],Tabela1[[#This Row],[Country]],Table113116[Skiathlon Classification],"&gt;0")</f>
        <v>0</v>
      </c>
      <c r="NT160" s="6">
        <f>COUNTIFS(Table113[Country],Tabela1[[#This Row],[Country]],Table113[Sprint Classification],"&gt;0")</f>
        <v>0</v>
      </c>
      <c r="NU160" s="6">
        <f>COUNTIFS(Table113116[Country],Tabela1[[#This Row],[Country]],Table113116[Sprint Classification],"&gt;0")</f>
        <v>0</v>
      </c>
      <c r="NV160" s="6">
        <f>COUNTIFS(Table116[Country],Tabela1[[#This Row],[Country]],Table116[Men''s Team Sprint Classification],"&gt;0")</f>
        <v>0</v>
      </c>
      <c r="NW160" s="6">
        <f>COUNTIFS(Table116[Country],Tabela1[[#This Row],[Country]],Table116[Women''s Team Sprint Classification],"&gt;0")</f>
        <v>0</v>
      </c>
      <c r="NX160" s="6">
        <f>COUNTIFS(Table119[Country],Tabela1[[#This Row],[Country]],Table119[Men''s Classification],"&gt;0")</f>
        <v>0</v>
      </c>
      <c r="NY160" s="6">
        <f>COUNTIFS(Table119[Country],Tabela1[[#This Row],[Country]],Table119[Women''s Classification],"&gt;0")</f>
        <v>0</v>
      </c>
      <c r="NZ160" s="6">
        <f>COUNTIFS(Table118[Country],Tabela1[[#This Row],[Country]],Table118[Mixed Classification],"&gt;0")</f>
        <v>0</v>
      </c>
      <c r="OA160" s="6">
        <f>COUNTIFS(Table120[Country],Tabela1[[#This Row],[Country]],Table120[Classification],"&gt;0")</f>
        <v>0</v>
      </c>
      <c r="OB160" s="6">
        <f>COUNTIFS(Table120123[Country],Tabela1[[#This Row],[Country]],Table120123[Classification],"&gt;0")</f>
        <v>0</v>
      </c>
      <c r="OC160" s="6">
        <f>COUNTIFS(Table123[Country],Tabela1[[#This Row],[Country]],Table123[Ice Dance Classification],"&gt;0")</f>
        <v>0</v>
      </c>
      <c r="OD160" s="6">
        <f>COUNTIFS(Table123[Country],Tabela1[[#This Row],[Country]],Table123[Pair Skating Classification],"&gt;0")</f>
        <v>0</v>
      </c>
      <c r="OE160" s="6">
        <f>COUNTIFS(Table124[Country],Tabela1[[#This Row],[Country]],Table124[Mixed Classification],"&gt;0")</f>
        <v>0</v>
      </c>
      <c r="OF160" s="6">
        <f>COUNTIFS(Table125[Country],Tabela1[[#This Row],[Country]],Table125[Aerials Classification],"&gt;0")</f>
        <v>0</v>
      </c>
      <c r="OG160" s="6">
        <f>COUNTIFS(Table125128[Country],Tabela1[[#This Row],[Country]],Table125128[Aerials Classification],"&gt;0")</f>
        <v>0</v>
      </c>
      <c r="OH160" s="6">
        <f>COUNTIFS(Table128[Country],Tabela1[[#This Row],[Country]],Table128[Mixed Aerials Classification],"&gt;0")</f>
        <v>0</v>
      </c>
      <c r="OI160" s="6">
        <f>COUNTIFS(Table125[Country],Tabela1[[#This Row],[Country]],Table125[Big Air Classification],"&gt;0")</f>
        <v>0</v>
      </c>
      <c r="OJ160" s="6">
        <f>COUNTIFS(Table125128[Country],Tabela1[[#This Row],[Country]],Table125128[Big Air Classification],"&gt;0")</f>
        <v>0</v>
      </c>
      <c r="OK160" s="6">
        <f>COUNTIFS(Table125[Country],Tabela1[[#This Row],[Country]],Table125[Dual Moguls Classification],"&gt;0")</f>
        <v>0</v>
      </c>
      <c r="OL160" s="6">
        <f>COUNTIFS(Table125128[Country],Tabela1[[#This Row],[Country]],Table125128[Dual Moguls Classification],"&gt;0")</f>
        <v>0</v>
      </c>
      <c r="OM160" s="6">
        <f>COUNTIFS(Table125[Country],Tabela1[[#This Row],[Country]],Table125[Halfpipe Classification],"&gt;0")</f>
        <v>0</v>
      </c>
      <c r="ON160" s="6">
        <f>COUNTIFS(Table125128[Country],Tabela1[[#This Row],[Country]],Table125128[Halfpipe Classification],"&gt;0")</f>
        <v>0</v>
      </c>
      <c r="OO160" s="6">
        <f>COUNTIFS(Table125[Country],Tabela1[[#This Row],[Country]],Table125[Moguls Classification],"&gt;0")</f>
        <v>0</v>
      </c>
      <c r="OP160" s="6">
        <f>COUNTIFS(Table125128[Country],Tabela1[[#This Row],[Country]],Table125128[Moguls Classification],"&gt;0")</f>
        <v>0</v>
      </c>
      <c r="OQ160" s="6">
        <f>COUNTIFS(Table125[Country],Tabela1[[#This Row],[Country]],Table125[Ski Cross Classification],"&gt;0")</f>
        <v>0</v>
      </c>
      <c r="OR160" s="6">
        <f>COUNTIFS(Table125128[Country],Tabela1[[#This Row],[Country]],Table125128[Ski Cross Classification],"&gt;0")</f>
        <v>0</v>
      </c>
      <c r="OS160" s="6">
        <f>COUNTIFS(Table125[Country],Tabela1[[#This Row],[Country]],Table125[Slopestyle Classification],"&gt;0")</f>
        <v>0</v>
      </c>
      <c r="OT160" s="6">
        <f>COUNTIFS(Table125128[Country],Tabela1[[#This Row],[Country]],Table125128[Slopestyle Classification],"&gt;0")</f>
        <v>0</v>
      </c>
      <c r="OU160" s="6">
        <f>COUNTIFS(Table119131[Country],Tabela1[[#This Row],[Country]],Table119131[Men''s Classification],"&gt;0")</f>
        <v>0</v>
      </c>
      <c r="OV160" s="6">
        <f>COUNTIFS(Table119131[Country],Tabela1[[#This Row],[Country]],Table119131[Women''s Classification],"&gt;0")</f>
        <v>0</v>
      </c>
      <c r="OW160" s="6">
        <f>COUNTIFS(Table131[Country],Tabela1[[#This Row],[Country]],Table131[Classification],"&gt;0")</f>
        <v>0</v>
      </c>
      <c r="OX160" s="6">
        <f>COUNTIFS(Table131134[Country],Tabela1[[#This Row],[Country]],Table131134[Classification],"&gt;0")</f>
        <v>0</v>
      </c>
      <c r="OY160" s="6">
        <f>COUNTIFS(Table134[Country],Tabela1[[#This Row],[Country]],Table134[Men''s Classification],"&gt;0")</f>
        <v>0</v>
      </c>
      <c r="OZ160" s="6">
        <f>COUNTIFS(Table134[Country],Tabela1[[#This Row],[Country]],Table134[Women''s Classification],"&gt;0")</f>
        <v>0</v>
      </c>
      <c r="PA160" s="6">
        <f>COUNTIFS(Table135[Country],Tabela1[[#This Row],[Country]],Table135[Mixed Relay Classification],"&gt;0")</f>
        <v>0</v>
      </c>
      <c r="PB160" s="6">
        <f>COUNTIFS(Table136[Country],Tabela1[[#This Row],[Country]],Table136[Individual Classification],"&gt;0")</f>
        <v>0</v>
      </c>
      <c r="PC160" s="6">
        <f>COUNTIFS(Table136[Country],Tabela1[[#This Row],[Country]],Table136[Sprint Classification],"&gt;0")</f>
        <v>0</v>
      </c>
      <c r="PD160" s="6">
        <f>COUNTIFS(Table137[Country],Tabela1[[#This Row],[Country]],Table137[Men''s Team Sprint Large Hill Classification],"&gt;0")</f>
        <v>0</v>
      </c>
      <c r="PE160" s="6">
        <f>COUNTIFS(Table138[Country],Tabela1[[#This Row],[Country]],Table138[500m Classification],"&gt;0")</f>
        <v>0</v>
      </c>
      <c r="PF160" s="6">
        <f>COUNTIFS(Table138141[Country],Tabela1[[#This Row],[Country]],Table138141[500m Classification],"&gt;0")</f>
        <v>0</v>
      </c>
      <c r="PG160" s="6">
        <f>COUNTIFS(Table138[Country],Tabela1[[#This Row],[Country]],Table138[1000m Classification],"&gt;0")</f>
        <v>0</v>
      </c>
      <c r="PH160" s="6">
        <f>COUNTIFS(Table138141[Country],Tabela1[[#This Row],[Country]],Table138141[1000m Classification],"&gt;0")</f>
        <v>0</v>
      </c>
      <c r="PI160" s="6">
        <f>COUNTIFS(Table138[Country],Tabela1[[#This Row],[Country]],Table138[1500m Classification],"&gt;0")</f>
        <v>0</v>
      </c>
      <c r="PJ160" s="6">
        <f>COUNTIFS(Table138141[Country],Tabela1[[#This Row],[Country]],Table138141[1500m Classification],"&gt;0")</f>
        <v>0</v>
      </c>
      <c r="PK160" s="6">
        <f>COUNTIFS(Table141[Country],Tabela1[[#This Row],[Country]],Table141[Men''s 5000m Relay Classification],"&gt;0")</f>
        <v>0</v>
      </c>
      <c r="PL160" s="6">
        <f>COUNTIFS(Table141[Country],Tabela1[[#This Row],[Country]],Table141[Women''s 3000m Relay Classification],"&gt;0")</f>
        <v>0</v>
      </c>
      <c r="PM160" s="6">
        <f>COUNTIFS(Table141[Country],Tabela1[[#This Row],[Country]],Table141[Mixed 2000m Relay Classification],"&gt;0")</f>
        <v>0</v>
      </c>
      <c r="PN160" s="6">
        <f>COUNTIFS(Table142[Country],Tabela1[[#This Row],[Country]],Table142[Classification],"&gt;0")</f>
        <v>0</v>
      </c>
      <c r="PO160" s="6">
        <f>COUNTIFS(Table142145[Country],Tabela1[[#This Row],[Country]],Table142145[Classification],"&gt;0")</f>
        <v>0</v>
      </c>
      <c r="PP160" s="6">
        <f>COUNTIFS(Tabela15[Country],Tabela1[[#This Row],[Country]],Tabela15[Mixed Team Classification],"&gt;0")</f>
        <v>0</v>
      </c>
      <c r="PQ160" s="6">
        <f>COUNTIFS(Table145[Country],Tabela1[[#This Row],[Country]],Table145[Large Hill Classification],"&gt;0")</f>
        <v>0</v>
      </c>
      <c r="PR160" s="6">
        <f>COUNTIFS(Table145[Country],Tabela1[[#This Row],[Country]],Table145[Normal Hill Classification],"&gt;0")</f>
        <v>0</v>
      </c>
      <c r="PS160" s="6">
        <f>COUNTIFS(Table145148[Country],Tabela1[[#This Row],[Country]],Table145148[Large Hill Classification],"&gt;0")</f>
        <v>0</v>
      </c>
      <c r="PT160" s="6">
        <f>COUNTIFS(Table145148[Country],Tabela1[[#This Row],[Country]],Table145148[Normal Hill Classification],"&gt;0")</f>
        <v>0</v>
      </c>
      <c r="PU160" s="6">
        <f>COUNTIFS(Table148[Country],Tabela1[[#This Row],[Country]],Table148[Men''s Super Team Classification],"&gt;0")</f>
        <v>0</v>
      </c>
      <c r="PV160" s="6">
        <f>COUNTIFS(Tabela114[Country],Tabela1[[#This Row],[Country]],Tabela114[Mixed Normal Hill Classification],"&gt;0")</f>
        <v>0</v>
      </c>
      <c r="PW160" s="6">
        <f>COUNTIFS(Tabela50[Country],Tabela1[[#This Row],[Country]],Tabela50[Sprint Classification],"&gt;0")</f>
        <v>0</v>
      </c>
      <c r="PX160" s="6">
        <f>COUNTIFS(Tabela50101[Country],Tabela1[[#This Row],[Country]],Tabela50101[Sprint Classification],"&gt;0")</f>
        <v>0</v>
      </c>
      <c r="PY160" s="6">
        <f>COUNTIFS(Tabela103[Country],Tabela1[[#This Row],[Country]],Tabela103[Mixed Relay Classification],"&gt;0")</f>
        <v>0</v>
      </c>
      <c r="PZ160" s="6">
        <f>COUNTIFS(Table149[Country],Tabela1[[#This Row],[Country]],Table149[Big Air Classification],"&gt;0")</f>
        <v>0</v>
      </c>
      <c r="QA160" s="6">
        <f>COUNTIFS(Table149152[Country],Tabela1[[#This Row],[Country]],Table149152[Big Air Classification],"&gt;0")</f>
        <v>0</v>
      </c>
      <c r="QB160" s="6">
        <f>COUNTIFS(Table149[Country],Tabela1[[#This Row],[Country]],Table149[Halfpipe Classification],"&gt;0")</f>
        <v>0</v>
      </c>
      <c r="QC160" s="6">
        <f>COUNTIFS(Table149152[Country],Tabela1[[#This Row],[Country]],Table149152[Halfpipe Classification],"&gt;0")</f>
        <v>0</v>
      </c>
      <c r="QD160" s="6">
        <f>COUNTIFS(Table149[Country],Tabela1[[#This Row],[Country]],Table149[Parallel Giant Slalom Classification],"&gt;0")</f>
        <v>0</v>
      </c>
      <c r="QE160" s="6">
        <f>COUNTIFS(Table149152[Country],Tabela1[[#This Row],[Country]],Table149152[Parallel Giant Slalom Classification],"&gt;0")</f>
        <v>0</v>
      </c>
      <c r="QF160" s="6">
        <f>COUNTIFS(Table149[Country],Tabela1[[#This Row],[Country]],Table149[Slopestyle Classification],"&gt;0")</f>
        <v>0</v>
      </c>
      <c r="QG160" s="6">
        <f>COUNTIFS(Table149152[Country],Tabela1[[#This Row],[Country]],Table149152[Slopestyle Classification],"&gt;0")</f>
        <v>0</v>
      </c>
      <c r="QH160" s="6">
        <f>COUNTIFS(Table149[Country],Tabela1[[#This Row],[Country]],Table149[Snowboard Cross Classification],"&gt;0")</f>
        <v>0</v>
      </c>
      <c r="QI160" s="6">
        <f>COUNTIFS(Table149152[Country],Tabela1[[#This Row],[Country]],Table149152[Snowboard Cross Classification],"&gt;0")</f>
        <v>0</v>
      </c>
      <c r="QJ160" s="6">
        <f>COUNTIFS(Table153[Country],Tabela1[[#This Row],[Country]],Table153[Mixed Team Snowboard Cross Classification],"&gt;0")</f>
        <v>0</v>
      </c>
      <c r="QK160" s="6">
        <f>COUNTIFS(Table154[Country],Tabela1[[#This Row],[Country]],Table154[500m Classification],"&gt;0")</f>
        <v>0</v>
      </c>
      <c r="QL160" s="6">
        <f>COUNTIFS(Table154157[Country],Tabela1[[#This Row],[Country]],Table154157[500m Classification],"&gt;0")</f>
        <v>0</v>
      </c>
      <c r="QM160" s="6">
        <f>COUNTIFS(Table154[Country],Tabela1[[#This Row],[Country]],Table154[1000m Classification],"&gt;0")</f>
        <v>0</v>
      </c>
      <c r="QN160" s="6">
        <f>COUNTIFS(Table154157[Country],Tabela1[[#This Row],[Country]],Table154157[1000m Classification],"&gt;0")</f>
        <v>0</v>
      </c>
      <c r="QO160" s="6">
        <f>COUNTIFS(Table154[Country],Tabela1[[#This Row],[Country]],Table154[1500m Classification],"&gt;0")</f>
        <v>0</v>
      </c>
      <c r="QP160" s="6">
        <f>COUNTIFS(Table154157[Country],Tabela1[[#This Row],[Country]],Table154157[1500m Classification],"&gt;0")</f>
        <v>0</v>
      </c>
      <c r="QQ160" s="6">
        <f>COUNTIFS(Table154157[Country],Tabela1[[#This Row],[Country]],Table154157[3000m Classification],"&gt;0")</f>
        <v>0</v>
      </c>
      <c r="QR160" s="6">
        <f>COUNTIFS(Table154[Country],Tabela1[[#This Row],[Country]],Table154[5000m Classification],"&gt;0")</f>
        <v>0</v>
      </c>
      <c r="QS160" s="6">
        <f>COUNTIFS(Table154157[Country],Tabela1[[#This Row],[Country]],Table154157[5000m Classification],"&gt;0")</f>
        <v>0</v>
      </c>
      <c r="QT160" s="6">
        <f>COUNTIFS(Table154[Country],Tabela1[[#This Row],[Country]],Table154[10000m Classification],"&gt;0")</f>
        <v>0</v>
      </c>
      <c r="QU160" s="6">
        <f>COUNTIFS(Table154[Country],Tabela1[[#This Row],[Country]],Table154[Mass Start Classification],"&gt;0")</f>
        <v>0</v>
      </c>
      <c r="QV160" s="6">
        <f>COUNTIFS(Table154157[Country],Tabela1[[#This Row],[Country]],Table154157[Mass Start Classification],"&gt;0")</f>
        <v>0</v>
      </c>
      <c r="QW160" s="6">
        <f>COUNTIFS(Table157[Country],Tabela1[[#This Row],[Country]],Table157[Men''s Pursuit Classification],"&gt;0")</f>
        <v>0</v>
      </c>
      <c r="QX160" s="6">
        <f>COUNTIFS(Table157[Country],Tabela1[[#This Row],[Country]],Table157[Women''s Pursuit Classification],"&gt;0")</f>
        <v>0</v>
      </c>
      <c r="QY160" s="3" t="s">
        <v>673</v>
      </c>
    </row>
    <row r="161" spans="1:467" x14ac:dyDescent="0.3">
      <c r="A161" s="6">
        <v>160</v>
      </c>
      <c r="B161" s="6" t="s">
        <v>446</v>
      </c>
      <c r="C161" t="e" vm="160">
        <f>IF(ISBLANK(Tabela1[[#This Row],[Image Link]]), "", _xlfn.IMAGE(Tabela1[[#This Row],[Image Link]],1,1))</f>
        <v>#VALUE!</v>
      </c>
      <c r="D161" s="6">
        <f>SUM(Tabela1[[#This Row],[Archery - Men''s Individual Recurve]:[Speed Skating - Women''s Team Pursuit]])</f>
        <v>0</v>
      </c>
      <c r="E161" s="6">
        <f>COUNTIF(Tabela1[[#This Row],[Archery - Men''s Individual Recurve]:[Speed Skating - Women''s Team Pursuit]],"&gt;0")</f>
        <v>0</v>
      </c>
      <c r="F161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61" s="6">
        <f>SUM(Tabela1[[#This Row],[Archery - Men''s Individual Recurve]:[Wrestling - Women''s Freestyle 76kg]])</f>
        <v>0</v>
      </c>
      <c r="H161" s="6">
        <f>SUM(Tabela1[[#This Row],[Alpine Skiing - Men''s Downhill]:[Speed Skating - Women''s Team Pursuit]])</f>
        <v>0</v>
      </c>
      <c r="I161" s="6">
        <f>Tabela1[[#This Row],[Summer Gold Medals]]+Tabela1[[#This Row],[Winter Gold Medals]]</f>
        <v>0</v>
      </c>
      <c r="J161" s="6">
        <f>Tabela1[[#This Row],[Summer Silver Medals]]+Tabela1[[#This Row],[Winter Silver Medals]]</f>
        <v>0</v>
      </c>
      <c r="K161" s="6">
        <f>Tabela1[[#This Row],[Summer Bronze Medals]]+Tabela1[[#This Row],[Winter Bronze Medals]]</f>
        <v>1</v>
      </c>
      <c r="L161" s="6">
        <f>SUM(Tabela1[[#This Row],[Total Gold Medals]:[Total Bronze Medals]])</f>
        <v>1</v>
      </c>
      <c r="M161" s="6"/>
      <c r="N161" s="6"/>
      <c r="O161" s="6">
        <v>1</v>
      </c>
      <c r="P161" s="6">
        <f>SUM(Tabela1[[#This Row],[Summer Gold Medals]:[Summer Bronze Medals]])</f>
        <v>1</v>
      </c>
      <c r="Q161" s="6"/>
      <c r="R161" s="6"/>
      <c r="S161" s="6"/>
      <c r="T161" s="6">
        <f>Tabela1[[#This Row],[Winter Gold Medals]]+Tabela1[[#This Row],[Winter Silver Medals]]+Tabela1[[#This Row],[Winter Bronze Medals]]</f>
        <v>0</v>
      </c>
      <c r="U161" s="7" t="e">
        <f>Tabela1[[#This Row],[Total Medals]]/Tabela1[[#This Row],[Total Quotas]]</f>
        <v>#DIV/0!</v>
      </c>
      <c r="V161" s="6">
        <f>COUNTIFS(Table3[Country],Tabela1[[#This Row],[Country]],Table3[Recurve Classification],"&gt;0")</f>
        <v>0</v>
      </c>
      <c r="W161" s="6">
        <f>COUNTIFS(Table33[Country],Tabela1[[#This Row],[Country]],Table33[Recurve Classification],"&gt;0")</f>
        <v>0</v>
      </c>
      <c r="X161" s="6">
        <f>COUNTIFS(Table35[Country],Tabela1[[#This Row],[Country]],Table35[Men''s Team Recurve Classification],"&gt;0")</f>
        <v>0</v>
      </c>
      <c r="Y161" s="6">
        <f>COUNTIFS(Table35[Country],Tabela1[[#This Row],[Country]],Table35[Women''s Team Recurve Classification],"&gt;0")</f>
        <v>0</v>
      </c>
      <c r="Z161" s="6">
        <f>COUNTIFS(Tabela88[Country],Tabela1[[#This Row],[Country]],Tabela88[Mixed Team Recurve Classification],"&gt;0")</f>
        <v>0</v>
      </c>
      <c r="AA161" s="6">
        <f>COUNTIFS(Table36[Country],Tabela1[[#This Row],[Country]],Table36[Classification],"&gt;0")</f>
        <v>0</v>
      </c>
      <c r="AB161" s="6">
        <f>COUNTIFS(Table37[Country],Tabela1[[#This Row],[Country]],Table37[Classification],"&gt;0")</f>
        <v>0</v>
      </c>
      <c r="AC161" s="6">
        <f>COUNTIFS(Table4[Country],Tabela1[[#This Row],[Country]],Table4[100m Classification],"&gt;0")</f>
        <v>0</v>
      </c>
      <c r="AD161" s="6">
        <f>COUNTIFS(Table5[Country],Tabela1[[#This Row],[Country]],Table5[100m Classification],"&gt;0")</f>
        <v>0</v>
      </c>
      <c r="AE161" s="6">
        <f>COUNTIFS(Table4[Country],Tabela1[[#This Row],[Country]],Table4[200m Classification],"&gt;0")</f>
        <v>0</v>
      </c>
      <c r="AF161" s="6">
        <f>COUNTIFS(Table5[Country],Tabela1[[#This Row],[Country]],Table5[200m Classification],"&gt;0")</f>
        <v>0</v>
      </c>
      <c r="AG161" s="6">
        <f>COUNTIFS(Table4[Country],Tabela1[[#This Row],[Country]],Table4[400m Classification],"&gt;0")</f>
        <v>0</v>
      </c>
      <c r="AH161" s="6">
        <f>COUNTIFS(Table5[Country],Tabela1[[#This Row],[Country]],Table5[400m Classification],"&gt;0")</f>
        <v>0</v>
      </c>
      <c r="AI161" s="6">
        <f>COUNTIFS(Table4[Country],Tabela1[[#This Row],[Country]],Table4[800m Classification],"&gt;0")</f>
        <v>0</v>
      </c>
      <c r="AJ161" s="6">
        <f>COUNTIFS(Table5[Country],Tabela1[[#This Row],[Country]],Table5[800m Classification],"&gt;0")</f>
        <v>0</v>
      </c>
      <c r="AK161" s="6">
        <f>COUNTIFS(Table4[Country],Tabela1[[#This Row],[Country]],Table4[1500m Classification],"&gt;0")</f>
        <v>0</v>
      </c>
      <c r="AL161" s="6">
        <f>COUNTIFS(Table5[Country],Tabela1[[#This Row],[Country]],Table5[1500m Classification],"&gt;0")</f>
        <v>0</v>
      </c>
      <c r="AM161" s="6">
        <f>COUNTIFS(Table4[Country],Tabela1[[#This Row],[Country]],Table4[5000m Classification],"&gt;0")</f>
        <v>0</v>
      </c>
      <c r="AN161" s="6">
        <f>COUNTIFS(Table5[Country],Tabela1[[#This Row],[Country]],Table5[5000m Classification],"&gt;0")</f>
        <v>0</v>
      </c>
      <c r="AO161" s="6">
        <f>COUNTIFS(Table4[Country],Tabela1[[#This Row],[Country]],Table4[10000m Classification],"&gt;0")</f>
        <v>0</v>
      </c>
      <c r="AP161" s="6">
        <f>COUNTIFS(Table5[Country],Tabela1[[#This Row],[Country]],Table5[10000m Classification],"&gt;0")</f>
        <v>0</v>
      </c>
      <c r="AQ161" s="6">
        <f>COUNTIFS(Table4[Country],Tabela1[[#This Row],[Country]],Table4[110m Hurdles Classification],"&gt;0")</f>
        <v>0</v>
      </c>
      <c r="AR161" s="6">
        <f>COUNTIFS(Table5[Country],Tabela1[[#This Row],[Country]],Table5[100m Hurdles Classification],"&gt;0")</f>
        <v>0</v>
      </c>
      <c r="AS161" s="6">
        <f>COUNTIFS(Table4[Country],Tabela1[[#This Row],[Country]],Table4[400m Hurdles Classification],"&gt;0")</f>
        <v>0</v>
      </c>
      <c r="AT161" s="6">
        <f>COUNTIFS(Table5[Country],Tabela1[[#This Row],[Country]],Table5[400m Hurdles Classification],"&gt;0")</f>
        <v>0</v>
      </c>
      <c r="AU161" s="6">
        <f>COUNTIFS(Table4[Country],Tabela1[[#This Row],[Country]],Table4[3000m Steeplechase Classification],"&gt;0")</f>
        <v>0</v>
      </c>
      <c r="AV161" s="6">
        <f>COUNTIFS(Table5[Country],Tabela1[[#This Row],[Country]],Table5[3000m Steeplechase Classification],"&gt;0")</f>
        <v>0</v>
      </c>
      <c r="AW161" s="6">
        <f>COUNTIFS(Table27[Country],Tabela1[[#This Row],[Country]],Table27[Men''s 4x100m Relay Classification],"&gt;0")</f>
        <v>0</v>
      </c>
      <c r="AX161" s="6">
        <f>COUNTIFS(Table27[Country],Tabela1[[#This Row],[Country]],Table27[Women''s 4x100m Relay Classification],"&gt;0")</f>
        <v>0</v>
      </c>
      <c r="AY161" s="6">
        <f>COUNTIFS(Table27[Country],Tabela1[[#This Row],[Country]],Table27[Men''s 4x400m Relay Classification],"&gt;0")</f>
        <v>0</v>
      </c>
      <c r="AZ161" s="6">
        <f>COUNTIFS(Table27[Country],Tabela1[[#This Row],[Country]],Table27[Women''s 4x400m Relay Classification],"&gt;0")</f>
        <v>0</v>
      </c>
      <c r="BA161" s="6">
        <f>COUNTIFS(Table27[Country],Tabela1[[#This Row],[Country]],Table27[Mixed 4x400m Relay Classification],"&gt;0")</f>
        <v>0</v>
      </c>
      <c r="BB161" s="6">
        <f>COUNTIFS(Table4[Country],Tabela1[[#This Row],[Country]],Table4[Marathon Classification],"&gt;0")</f>
        <v>0</v>
      </c>
      <c r="BC161" s="6">
        <f>COUNTIFS(Table5[Country],Tabela1[[#This Row],[Country]],Table5[Marathon Classification],"&gt;0")</f>
        <v>0</v>
      </c>
      <c r="BD161" s="6">
        <f>COUNTIFS(Table4[Country],Tabela1[[#This Row],[Country]],Table4[20km Race Walk Classification],"&gt;0")</f>
        <v>0</v>
      </c>
      <c r="BE161" s="6">
        <f>COUNTIFS(Table5[Country],Tabela1[[#This Row],[Country]],Table5[20km Race Walk Classification],"&gt;0")</f>
        <v>0</v>
      </c>
      <c r="BF161" s="6">
        <f>COUNTIFS(Tabela96[Country],Tabela1[[#This Row],[Country]],Tabela96[Mixed Marathon Race Walk Relay Classification],"&gt;0")</f>
        <v>0</v>
      </c>
      <c r="BG161" s="6">
        <f>COUNTIFS(Table4[Country],Tabela1[[#This Row],[Country]],Table4[Discus Throw Classification],"&gt;0")</f>
        <v>0</v>
      </c>
      <c r="BH161" s="6">
        <f>COUNTIFS(Table5[Country],Tabela1[[#This Row],[Country]],Table5[Discus Throw Classification],"&gt;0")</f>
        <v>0</v>
      </c>
      <c r="BI161" s="6">
        <f>COUNTIFS(Table4[Country],Tabela1[[#This Row],[Country]],Table4[Hammer Throw Classification],"&gt;0")</f>
        <v>0</v>
      </c>
      <c r="BJ161" s="6">
        <f>COUNTIFS(Table5[Country],Tabela1[[#This Row],[Country]],Table5[Hammer Throw Classification],"&gt;0")</f>
        <v>0</v>
      </c>
      <c r="BK161" s="6">
        <f>COUNTIFS(Table4[Country],Tabela1[[#This Row],[Country]],Table4[High Jump Classification],"&gt;0")</f>
        <v>0</v>
      </c>
      <c r="BL161" s="6">
        <f>COUNTIFS(Table5[Country],Tabela1[[#This Row],[Country]],Table5[High Jump Classification],"&gt;0")</f>
        <v>0</v>
      </c>
      <c r="BM161" s="6">
        <f>COUNTIFS(Table4[Country],Tabela1[[#This Row],[Country]],Table4[Javelin Throw Classification],"&gt;0")</f>
        <v>0</v>
      </c>
      <c r="BN161" s="6">
        <f>COUNTIFS(Table5[Country],Tabela1[[#This Row],[Country]],Table5[Javelin Throw Classification],"&gt;0")</f>
        <v>0</v>
      </c>
      <c r="BO161" s="6">
        <f>COUNTIFS(Table4[Country],Tabela1[[#This Row],[Country]],Table4[Long Jump Classification],"&gt;0")</f>
        <v>0</v>
      </c>
      <c r="BP161" s="6">
        <f>COUNTIFS(Table5[Country],Tabela1[[#This Row],[Country]],Table5[Long Jump Classification],"&gt;0")</f>
        <v>0</v>
      </c>
      <c r="BQ161" s="6">
        <f>COUNTIFS(Table4[Country],Tabela1[[#This Row],[Country]],Table4[Pole Vault Classification],"&gt;0")</f>
        <v>0</v>
      </c>
      <c r="BR161" s="6">
        <f>COUNTIFS(Table5[Country],Tabela1[[#This Row],[Country]],Table5[Pole Vault Classification],"&gt;0")</f>
        <v>0</v>
      </c>
      <c r="BS161" s="6">
        <f>COUNTIFS(Table4[Country],Tabela1[[#This Row],[Country]],Table4[Shot Put Classification],"&gt;0")</f>
        <v>0</v>
      </c>
      <c r="BT161" s="6">
        <f>COUNTIFS(Table5[Country],Tabela1[[#This Row],[Country]],Table5[Shot Put Classification],"&gt;0")</f>
        <v>0</v>
      </c>
      <c r="BU161" s="6">
        <f>COUNTIFS(Table4[Country],Tabela1[[#This Row],[Country]],Table4[Triple Jump Classification],"&gt;0")</f>
        <v>0</v>
      </c>
      <c r="BV161" s="6">
        <f>COUNTIFS(Table5[Country],Tabela1[[#This Row],[Country]],Table5[Triple Jump Classification],"&gt;0")</f>
        <v>0</v>
      </c>
      <c r="BW161" s="6">
        <f>COUNTIFS(Table4[Country],Tabela1[[#This Row],[Country]],Table4[Decathlon Classification],"&gt;0")</f>
        <v>0</v>
      </c>
      <c r="BX161" s="6">
        <f>COUNTIFS(Table5[Country],Tabela1[[#This Row],[Country]],Table5[Heptathlon Classification],"&gt;0")</f>
        <v>0</v>
      </c>
      <c r="BY161" s="6">
        <f>COUNTIFS(Table61[Country],Tabela1[[#This Row],[Country]],Table61[Classification],"&gt;0")</f>
        <v>0</v>
      </c>
      <c r="BZ161" s="6">
        <f>COUNTIFS(Table38[Country],Tabela1[[#This Row],[Country]],Table38[Classification],"&gt;0")</f>
        <v>0</v>
      </c>
      <c r="CA161" s="6">
        <f>COUNTIFS(Table39[Country],Tabela1[[#This Row],[Country]],Table39[Men''s Classification],"&gt;0")</f>
        <v>0</v>
      </c>
      <c r="CB161" s="6">
        <f>COUNTIFS(Table39[Country],Tabela1[[#This Row],[Country]],Table39[Women''s Classification],"&gt;0")</f>
        <v>0</v>
      </c>
      <c r="CC161" s="6">
        <f>COUNTIFS(Table39[Country],Tabela1[[#This Row],[Country]],Table39[Mixed Classification],"&gt;0")</f>
        <v>0</v>
      </c>
      <c r="CD161" s="6">
        <f>COUNTIFS(Table89[Country],Tabela1[[#This Row],[Country]],Table89[Men''s Classification],"&gt;0")</f>
        <v>0</v>
      </c>
      <c r="CE161" s="6">
        <f>COUNTIFS(Table89[Country],Tabela1[[#This Row],[Country]],Table89[Women''s Classification],"&gt;0")</f>
        <v>0</v>
      </c>
      <c r="CF161" s="6">
        <f>COUNTIFS(Table90[Country],Tabela1[[#This Row],[Country]],Table90[Men''s Classification],"&gt;0")</f>
        <v>0</v>
      </c>
      <c r="CG161" s="6">
        <f>COUNTIFS(Table90[Country],Tabela1[[#This Row],[Country]],Table90[Women''s Classification],"&gt;0")</f>
        <v>0</v>
      </c>
      <c r="CH161" s="6">
        <f>COUNTIFS(Table60[Country],Tabela1[[#This Row],[Country]],Table60[Men''s Classification],"&gt;0")</f>
        <v>0</v>
      </c>
      <c r="CI161" s="6">
        <f>COUNTIFS(Table60[Country],Tabela1[[#This Row],[Country]],Table60[Women''s Classification],"&gt;0")</f>
        <v>0</v>
      </c>
      <c r="CJ161" s="6">
        <f>COUNTIFS(Table6[Country],Tabela1[[#This Row],[Country]],Table6[51kg Classification],"&gt;0")</f>
        <v>0</v>
      </c>
      <c r="CK161" s="6">
        <f>COUNTIFS(Table6[Country],Tabela1[[#This Row],[Country]],Table6[57kg Classification],"&gt;0")</f>
        <v>0</v>
      </c>
      <c r="CL161" s="6">
        <f>COUNTIFS(Table6[Country],Tabela1[[#This Row],[Country]],Table6[63.5kg Classification],"&gt;0")</f>
        <v>0</v>
      </c>
      <c r="CM161" s="6">
        <f>COUNTIFS(Table6[Country],Tabela1[[#This Row],[Country]],Table6[71kg Classification],"&gt;0")</f>
        <v>0</v>
      </c>
      <c r="CN161" s="6">
        <f>COUNTIFS(Table6[Country],Tabela1[[#This Row],[Country]],Table6[80kg Classification],"&gt;0")</f>
        <v>0</v>
      </c>
      <c r="CO161" s="6">
        <f>COUNTIFS(Table6[Country],Tabela1[[#This Row],[Country]],Table6[92kg Classification],"&gt;0")</f>
        <v>0</v>
      </c>
      <c r="CP161" s="6">
        <f>COUNTIFS(Table6[Country],Tabela1[[#This Row],[Country]],Table6[Plus 92kg Classification],"&gt;0")</f>
        <v>0</v>
      </c>
      <c r="CQ161" s="6">
        <f>COUNTIFS(Table7[Country],Tabela1[[#This Row],[Country]],Table7[50kg Classification],"&gt;0")</f>
        <v>0</v>
      </c>
      <c r="CR161" s="6">
        <f>COUNTIFS(Table7[Country],Tabela1[[#This Row],[Country]],Table7[54kg Classification],"&gt;0")</f>
        <v>0</v>
      </c>
      <c r="CS161" s="6">
        <f>COUNTIFS(Table7[Country],Tabela1[[#This Row],[Country]],Table7[57kg Classification],"&gt;0")</f>
        <v>0</v>
      </c>
      <c r="CT161" s="6">
        <f>COUNTIFS(Table7[Country],Tabela1[[#This Row],[Country]],Table7[60kg Classification],"&gt;0")</f>
        <v>0</v>
      </c>
      <c r="CU161" s="6">
        <f>COUNTIFS(Table7[Country],Tabela1[[#This Row],[Country]],Table7[66kg Classification],"&gt;0")</f>
        <v>0</v>
      </c>
      <c r="CV161" s="6">
        <f>COUNTIFS(Table7[Country],Tabela1[[#This Row],[Country]],Table7[75kg Classification],"&gt;0")</f>
        <v>0</v>
      </c>
      <c r="CW161" s="6">
        <f>COUNTIFS(Tabela94[Country],Tabela1[[#This Row],[Country]],Tabela94[Classification],"&gt;0")</f>
        <v>0</v>
      </c>
      <c r="CX161" s="6">
        <f>COUNTIFS(Tabela9499[Country],Tabela1[[#This Row],[Country]],Tabela9499[Classification],"&gt;0")</f>
        <v>0</v>
      </c>
      <c r="CY161" s="6">
        <f>COUNTIFS(Tabela107[Country],Tabela1[[#This Row],[Country]],Tabela107[C1 Slalom Classification],"&gt;0")</f>
        <v>0</v>
      </c>
      <c r="CZ161" s="6">
        <f>COUNTIFS(Tabela107122[Country],Tabela1[[#This Row],[Country]],Tabela107122[C1 Slalom Classification],"&gt;0")</f>
        <v>0</v>
      </c>
      <c r="DA161" s="6">
        <f>COUNTIFS(Tabela107[Country],Tabela1[[#This Row],[Country]],Tabela107[K1 Slalom Classification],"&gt;0")</f>
        <v>0</v>
      </c>
      <c r="DB161" s="6">
        <f>COUNTIFS(Tabela107122[Country],Tabela1[[#This Row],[Country]],Tabela107122[K1 Slalom Classification],"&gt;0")</f>
        <v>0</v>
      </c>
      <c r="DC161" s="6">
        <f>COUNTIFS(Tabela107[Country],Tabela1[[#This Row],[Country]],Tabela107[Kayak Cross Slalom Classification],"&gt;0")</f>
        <v>0</v>
      </c>
      <c r="DD161" s="6">
        <f>COUNTIFS(Tabela107122[Country],Tabela1[[#This Row],[Country]],Tabela107122[Kayak Cross Slalom Classification],"&gt;0")</f>
        <v>0</v>
      </c>
      <c r="DE161" s="6">
        <f>COUNTIFS(Table8[Country],Tabela1[[#This Row],[Country]],Table8[C1 200m Classification],"&gt;0")</f>
        <v>0</v>
      </c>
      <c r="DF161" s="6">
        <f>COUNTIFS(Table40[Country],Tabela1[[#This Row],[Country]],Table40[C1 1000m Classification],"&gt;0")</f>
        <v>0</v>
      </c>
      <c r="DG161" s="6">
        <f>COUNTIFS(Table68[Country],Tabela1[[#This Row],[Country]],Table68[Men''s C2 500m Classification],"&gt;0")</f>
        <v>0</v>
      </c>
      <c r="DH161" s="6">
        <f>COUNTIFS(Table68[Country],Tabela1[[#This Row],[Country]],Table68[Women''s C2 500m Classification],"&gt;0")</f>
        <v>0</v>
      </c>
      <c r="DI161" s="6">
        <f>COUNTIFS(Table8[Country],Tabela1[[#This Row],[Country]],Table8[K1 500m Classification],"&gt;0")</f>
        <v>0</v>
      </c>
      <c r="DJ161" s="6">
        <f>COUNTIFS(Table40[Country],Tabela1[[#This Row],[Country]],Table40[K1 1000m Classification],"&gt;0")</f>
        <v>0</v>
      </c>
      <c r="DK161" s="6">
        <f>COUNTIFS(Table68[Country],Tabela1[[#This Row],[Country]],Table68[Men''s K2 500m Classification],"&gt;0")</f>
        <v>0</v>
      </c>
      <c r="DL161" s="6">
        <f>COUNTIFS(Table68[Country],Tabela1[[#This Row],[Country]],Table68[Women''s K2 500m Classification],"&gt;0")</f>
        <v>0</v>
      </c>
      <c r="DM161" s="6">
        <f>COUNTIFS(Table83[Country],Tabela1[[#This Row],[Country]],Table83[Men''s K4 500m Classification],"&gt;0")</f>
        <v>0</v>
      </c>
      <c r="DN161" s="6">
        <f>COUNTIFS(Table83[Country],Tabela1[[#This Row],[Country]],Table83[Women''s K4 500m Classification],"&gt;0")</f>
        <v>0</v>
      </c>
      <c r="DO161" s="6">
        <f>COUNTIFS(Tabela126[Country],Tabela1[[#This Row],[Country]],Tabela126[Classification],"&gt;0")</f>
        <v>0</v>
      </c>
      <c r="DP161" s="6">
        <f>COUNTIFS(Tabela126130[Country],Tabela1[[#This Row],[Country]],Tabela126130[Classification],"&gt;0")</f>
        <v>0</v>
      </c>
      <c r="DQ161" s="6">
        <f>COUNTIFS(Table70[Country],Tabela1[[#This Row],[Country]],Table70[Classification],"&gt;0")</f>
        <v>0</v>
      </c>
      <c r="DR161" s="6">
        <f>COUNTIFS(Table80[Country],Tabela1[[#This Row],[Country]],Table80[Classification],"&gt;0")</f>
        <v>0</v>
      </c>
      <c r="DS161" s="6">
        <f>COUNTIFS(Table66[Country],Tabela1[[#This Row],[Country]],Table66[Classification],"&gt;0")</f>
        <v>0</v>
      </c>
      <c r="DT161" s="6">
        <f>COUNTIFS(Table67[Country],Tabela1[[#This Row],[Country]],Table67[Classification],"&gt;0")</f>
        <v>0</v>
      </c>
      <c r="DU161" s="6">
        <f>COUNTIFS(Table69[Country],Tabela1[[#This Row],[Country]],Table69[Keirin Classification],"&gt;0")</f>
        <v>0</v>
      </c>
      <c r="DV161" s="6">
        <f>COUNTIFS(Table41[Country],Tabela1[[#This Row],[Country]],Table41[Keirin Classification],"&gt;0")</f>
        <v>0</v>
      </c>
      <c r="DW161" s="6">
        <f>COUNTIFS(Table84[Country],Tabela1[[#This Row],[Country]],Table84[Men''s Madison Classification],"&gt;0")</f>
        <v>0</v>
      </c>
      <c r="DX161" s="6">
        <f>COUNTIFS(Table84[Country],Tabela1[[#This Row],[Country]],Table84[Women''s Madison Classification],"&gt;0")</f>
        <v>0</v>
      </c>
      <c r="DY161" s="6">
        <f>COUNTIFS(Table69[Country],Tabela1[[#This Row],[Country]],Table69[Omnium Classification],"&gt;0")</f>
        <v>0</v>
      </c>
      <c r="DZ161" s="6">
        <f>COUNTIFS(Table41[Country],Tabela1[[#This Row],[Country]],Table41[Omnium Classification],"&gt;0")</f>
        <v>0</v>
      </c>
      <c r="EA161" s="6">
        <f>COUNTIFS(Table9[Country],Tabela1[[#This Row],[Country]],Table9[Road Race Classification],"&gt;0")</f>
        <v>0</v>
      </c>
      <c r="EB161" s="6">
        <f>COUNTIFS(Table14[Country],Tabela1[[#This Row],[Country]],Table14[Road Race Classification],"&gt;0")</f>
        <v>0</v>
      </c>
      <c r="EC161" s="6">
        <f>COUNTIFS(Table69[Country],Tabela1[[#This Row],[Country]],Table69[Sprint Classification],"&gt;0")</f>
        <v>0</v>
      </c>
      <c r="ED161" s="6">
        <f>COUNTIFS(Table41[Country],Tabela1[[#This Row],[Country]],Table41[Sprint Classification],"&gt;0")</f>
        <v>0</v>
      </c>
      <c r="EE161" s="6">
        <f>COUNTIFS(Table85[Country],Tabela1[[#This Row],[Country]],Table85[Men''s Sprint Classification],"&gt;0")</f>
        <v>0</v>
      </c>
      <c r="EF161" s="6">
        <f>COUNTIFS(Table85[Country],Tabela1[[#This Row],[Country]],Table85[Women''s Sprint Classification],"&gt;0")</f>
        <v>0</v>
      </c>
      <c r="EG161" s="6">
        <f>COUNTIFS(Table85[Country],Tabela1[[#This Row],[Country]],Table85[Men''s Pursuit Classification],"&gt;0")</f>
        <v>0</v>
      </c>
      <c r="EH161" s="6">
        <f>COUNTIFS(Table85[Country],Tabela1[[#This Row],[Country]],Table85[Women''s Pursuit Classification],"&gt;0")</f>
        <v>0</v>
      </c>
      <c r="EI161" s="6">
        <f>COUNTIFS(Table9[Country],Tabela1[[#This Row],[Country]],Table9[Time-Trial Classification],"&gt;0")</f>
        <v>0</v>
      </c>
      <c r="EJ161" s="6">
        <f>COUNTIFS(Table14[Country],Tabela1[[#This Row],[Country]],Table14[Time-Trial Classification],"&gt;0")</f>
        <v>0</v>
      </c>
      <c r="EK161" s="6">
        <f>COUNTIFS(Table42[Country],Tabela1[[#This Row],[Country]],Table42[Springboard Classification],"&gt;0")</f>
        <v>0</v>
      </c>
      <c r="EL161" s="6">
        <f>COUNTIFS(Table43[Country],Tabela1[[#This Row],[Country]],Table43[Springboard Classification],"&gt;0")</f>
        <v>0</v>
      </c>
      <c r="EM161" s="6">
        <f>COUNTIFS(Table42[Country],Tabela1[[#This Row],[Country]],Table42[Platform Classification],"&gt;0")</f>
        <v>0</v>
      </c>
      <c r="EN161" s="6">
        <f>COUNTIFS(Table43[Country],Tabela1[[#This Row],[Country]],Table43[Platform Classification],"&gt;0")</f>
        <v>0</v>
      </c>
      <c r="EO161" s="6">
        <f>COUNTIFS(Table86[Country],Tabela1[[#This Row],[Country]],Table86[Men''s Synchronized Springboard Classification],"&gt;0")</f>
        <v>0</v>
      </c>
      <c r="EP161" s="6">
        <f>COUNTIFS(Table86[Country],Tabela1[[#This Row],[Country]],Table86[Women''s Synchronized Springboard Classification],"&gt;0")</f>
        <v>0</v>
      </c>
      <c r="EQ161" s="6">
        <f>COUNTIFS(Table86[Country],Tabela1[[#This Row],[Country]],Table86[Men''s Synchronized Platform Classification],"&gt;0")</f>
        <v>0</v>
      </c>
      <c r="ER161" s="6">
        <f>COUNTIFS(Table86[Country],Tabela1[[#This Row],[Country]],Table86[Women''s Synchronized Platform Classification],"&gt;0")</f>
        <v>0</v>
      </c>
      <c r="ES161" s="6">
        <f>COUNTIFS(Table44[Country],Tabela1[[#This Row],[Country]],Table44[Dressage Classification],"&gt;0")</f>
        <v>0</v>
      </c>
      <c r="ET161" s="6">
        <f>COUNTIFS(Table45[Country],Tabela1[[#This Row],[Country]],Table45[Dressage Classification],"&gt;0")</f>
        <v>0</v>
      </c>
      <c r="EU161" s="6">
        <f>COUNTIFS(Table44[Country],Tabela1[[#This Row],[Country]],Table44[Eventing Classification],"&gt;0")</f>
        <v>0</v>
      </c>
      <c r="EV161" s="6">
        <f>COUNTIFS(Table45[Country],Tabela1[[#This Row],[Country]],Table45[Eventing Classification],"&gt;0")</f>
        <v>0</v>
      </c>
      <c r="EW161" s="6">
        <f>COUNTIFS(Table44[Country],Tabela1[[#This Row],[Country]],Table44[Jumping Classification],"&gt;0")</f>
        <v>0</v>
      </c>
      <c r="EX161" s="6">
        <f>COUNTIFS(Table45[Country],Tabela1[[#This Row],[Country]],Table45[Jumping Classification],"&gt;0")</f>
        <v>0</v>
      </c>
      <c r="EY161" s="6">
        <f>COUNTIFS(Table10[Country],Tabela1[[#This Row],[Country]],Table10[Épée Classification],"&gt;0")</f>
        <v>0</v>
      </c>
      <c r="EZ161" s="6">
        <f>COUNTIFS(Table11[Country],Tabela1[[#This Row],[Country]],Table11[Épée Classification],"&gt;0")</f>
        <v>0</v>
      </c>
      <c r="FA161" s="6">
        <f>COUNTIFS(Table46[Country],Tabela1[[#This Row],[Country]],Table46[Men''s Épée Classification],"&gt;0")</f>
        <v>0</v>
      </c>
      <c r="FB161" s="6">
        <f>COUNTIFS(Table46[Country],Tabela1[[#This Row],[Country]],Table46[Women''s Épée Classification],"&gt;0")</f>
        <v>0</v>
      </c>
      <c r="FC161" s="6">
        <f>COUNTIFS(Table10[Country],Tabela1[[#This Row],[Country]],Table10[Foil Classification],"&gt;0")</f>
        <v>0</v>
      </c>
      <c r="FD161" s="6">
        <f>COUNTIFS(Table11[Country],Tabela1[[#This Row],[Country]],Table11[Foil Classification],"&gt;0")</f>
        <v>0</v>
      </c>
      <c r="FE161" s="6">
        <f>COUNTIFS(Table46[Country],Tabela1[[#This Row],[Country]],Table46[Men''s Foil Classification],"&gt;0")</f>
        <v>0</v>
      </c>
      <c r="FF161" s="6">
        <f>COUNTIFS(Table46[Country],Tabela1[[#This Row],[Country]],Table46[Women''s Foil Classification],"&gt;0")</f>
        <v>0</v>
      </c>
      <c r="FG161" s="6">
        <f>COUNTIFS(Table10[Country],Tabela1[[#This Row],[Country]],Table10[Sabre Classification],"&gt;0")</f>
        <v>0</v>
      </c>
      <c r="FH161" s="6">
        <f>COUNTIFS(Table11[Country],Tabela1[[#This Row],[Country]],Table11[Sabre Classification],"&gt;0")</f>
        <v>0</v>
      </c>
      <c r="FI161" s="6">
        <f>COUNTIFS(Table46[Country],Tabela1[[#This Row],[Country]],Table46[Men''s Sabre Classification],"&gt;0")</f>
        <v>0</v>
      </c>
      <c r="FJ161" s="6">
        <f>COUNTIFS(Table46[Country],Tabela1[[#This Row],[Country]],Table46[Women''s Sabre Classification],"&gt;0")</f>
        <v>0</v>
      </c>
      <c r="FK161" s="6">
        <f>COUNTIFS(Table91[Country],Tabela1[[#This Row],[Country]],Table91[Men''s Classification],"&gt;0")</f>
        <v>0</v>
      </c>
      <c r="FL161" s="6">
        <f>COUNTIFS(Table91[Country],Tabela1[[#This Row],[Country]],Table91[Women''s Classification],"&gt;0")</f>
        <v>0</v>
      </c>
      <c r="FM161" s="6">
        <f>COUNTIFS(Table9194[Country],Tabela1[[#This Row],[Country]],Table9194[Men''s Classification],"&gt;0")</f>
        <v>0</v>
      </c>
      <c r="FN161" s="6">
        <f>COUNTIFS(Table9194[Country],Tabela1[[#This Row],[Country]],Table9194[Women''s Classification],"&gt;0")</f>
        <v>0</v>
      </c>
      <c r="FO161" s="6">
        <f>COUNTIFS(Table71[Country],Tabela1[[#This Row],[Country]],Table71[Classification],"&gt;0")</f>
        <v>0</v>
      </c>
      <c r="FP161" s="6">
        <f>COUNTIFS(Table62[Country],Tabela1[[#This Row],[Country]],Table62[Classification],"&gt;0")</f>
        <v>0</v>
      </c>
      <c r="FQ161" s="6">
        <f>COUNTIFS(Table47[Country],Tabela1[[#This Row],[Country]],Table47[All-Around Classification],"&gt;0")</f>
        <v>0</v>
      </c>
      <c r="FR161" s="6">
        <f>COUNTIFS(Table48[Country],Tabela1[[#This Row],[Country]],Table48[All-Around Classification],"&gt;0")</f>
        <v>0</v>
      </c>
      <c r="FS161" s="6">
        <f>COUNTIFS(Table81[Country],Tabela1[[#This Row],[Country]],Table81[Men''s All-Around Classification],"&gt;0")</f>
        <v>0</v>
      </c>
      <c r="FT161" s="6">
        <f>COUNTIFS(Table81[Country],Tabela1[[#This Row],[Country]],Table81[Women''s All-Around Classification],"&gt;0")</f>
        <v>0</v>
      </c>
      <c r="FU161" s="6">
        <f>COUNTIFS(Table48[Country],Tabela1[[#This Row],[Country]],Table48[Balance Beam Classification],"&gt;0")</f>
        <v>0</v>
      </c>
      <c r="FV161" s="6">
        <f>COUNTIFS(Table47[Country],Tabela1[[#This Row],[Country]],Table47[Floor Exercise Classification],"&gt;0")</f>
        <v>0</v>
      </c>
      <c r="FW161" s="6">
        <f>COUNTIFS(Table48[Country],Tabela1[[#This Row],[Country]],Table48[Floor Exercise Classification],"&gt;0")</f>
        <v>0</v>
      </c>
      <c r="FX161" s="6">
        <f>COUNTIFS(Table47[Country],Tabela1[[#This Row],[Country]],Table47[Horizontal Bar Classification],"&gt;0")</f>
        <v>0</v>
      </c>
      <c r="FY161" s="6">
        <f>COUNTIFS(Table47[Country],Tabela1[[#This Row],[Country]],Table47[Parallel Bars Classification],"&gt;0")</f>
        <v>0</v>
      </c>
      <c r="FZ161" s="6">
        <f>COUNTIFS(Table47[Country],Tabela1[[#This Row],[Country]],Table47[Pommel Horse Classification],"&gt;0")</f>
        <v>0</v>
      </c>
      <c r="GA161" s="6">
        <f>COUNTIFS(Table47[Country],Tabela1[[#This Row],[Country]],Table47[Rings Classification],"&gt;0")</f>
        <v>0</v>
      </c>
      <c r="GB161" s="6">
        <f>COUNTIFS(Tabela132[Country],Tabela1[[#This Row],[Country]],Tabela132[Classification],"&gt;0")</f>
        <v>0</v>
      </c>
      <c r="GC161" s="6">
        <f>COUNTIFS(Tabela139[Country],Tabela1[[#This Row],[Country]],Tabela139[Classification],"&gt;0")</f>
        <v>0</v>
      </c>
      <c r="GD161" s="6">
        <f>COUNTIFS(Table48[Country],Tabela1[[#This Row],[Country]],Table48[Uneven Bars Classification],"&gt;0")</f>
        <v>0</v>
      </c>
      <c r="GE161" s="6">
        <f>COUNTIFS(Table47[Country],Tabela1[[#This Row],[Country]],Table47[Vault Classification],"&gt;0")</f>
        <v>0</v>
      </c>
      <c r="GF161" s="6">
        <f>COUNTIFS(Table48[Country],Tabela1[[#This Row],[Country]],Table48[Vault Classification],"&gt;0")</f>
        <v>0</v>
      </c>
      <c r="GG161" s="6">
        <f>COUNTIFS(Table919496[Country],Tabela1[[#This Row],[Country]],Table919496[Men''s Classification],"&gt;0")</f>
        <v>0</v>
      </c>
      <c r="GH161" s="6">
        <f>COUNTIFS(Table919496[Country],Tabela1[[#This Row],[Country]],Table919496[Women''s Classification],"&gt;0")</f>
        <v>0</v>
      </c>
      <c r="GI161" s="6">
        <f>COUNTIFS(Table12[Country],Tabela1[[#This Row],[Country]],Table12[60kg Classification],"&gt;0")</f>
        <v>0</v>
      </c>
      <c r="GJ161" s="6">
        <f>COUNTIFS(Table12[Country],Tabela1[[#This Row],[Country]],Table12[66kg Classification],"&gt;0")</f>
        <v>0</v>
      </c>
      <c r="GK161" s="6">
        <f>COUNTIFS(Table12[Country],Tabela1[[#This Row],[Country]],Table12[73kg Classification],"&gt;0")</f>
        <v>0</v>
      </c>
      <c r="GL161" s="6">
        <f>COUNTIFS(Table12[Country],Tabela1[[#This Row],[Country]],Table12[81kg Classification],"&gt;0")</f>
        <v>0</v>
      </c>
      <c r="GM161" s="6">
        <f>COUNTIFS(Table12[Country],Tabela1[[#This Row],[Country]],Table12[90kg Classification],"&gt;0")</f>
        <v>0</v>
      </c>
      <c r="GN161" s="6">
        <f>COUNTIFS(Table12[Country],Tabela1[[#This Row],[Country]],Table12[100kg Classification],"&gt;0")</f>
        <v>0</v>
      </c>
      <c r="GO161" s="6">
        <f>COUNTIFS(Table12[Country],Tabela1[[#This Row],[Country]],Table12[Plus 100kg Classification],"&gt;0")</f>
        <v>0</v>
      </c>
      <c r="GP161" s="6">
        <f>COUNTIFS(Table13[Country],Tabela1[[#This Row],[Country]],Table13[48kg Classification],"&gt;0")</f>
        <v>0</v>
      </c>
      <c r="GQ161" s="6">
        <f>COUNTIFS(Table13[Country],Tabela1[[#This Row],[Country]],Table13[52kg Classification],"&gt;0")</f>
        <v>0</v>
      </c>
      <c r="GR161" s="6">
        <f>COUNTIFS(Table13[Country],Tabela1[[#This Row],[Country]],Table13[57kg Classification],"&gt;0")</f>
        <v>0</v>
      </c>
      <c r="GS161" s="6">
        <f>COUNTIFS(Table13[Country],Tabela1[[#This Row],[Country]],Table13[63kg Classification],"&gt;0")</f>
        <v>0</v>
      </c>
      <c r="GT161" s="6">
        <f>COUNTIFS(Table13[Country],Tabela1[[#This Row],[Country]],Table13[70kg Classification],"&gt;0")</f>
        <v>0</v>
      </c>
      <c r="GU161" s="6">
        <f>COUNTIFS(Table13[Country],Tabela1[[#This Row],[Country]],Table13[78kg Classification],"&gt;0")</f>
        <v>0</v>
      </c>
      <c r="GV161" s="6">
        <f>COUNTIFS(Table13[Country],Tabela1[[#This Row],[Country]],Table13[Plus 78kg Classification],"&gt;0")</f>
        <v>0</v>
      </c>
      <c r="GW161" s="6">
        <f>COUNTIFS(Table82[Country],Tabela1[[#This Row],[Country]],Table82[Mixed Classification],"&gt;0")</f>
        <v>0</v>
      </c>
      <c r="GX161" s="6">
        <f>COUNTIFS(Table51[Country],Tabela1[[#This Row],[Country]],Table51[Classification],"&gt;0")</f>
        <v>0</v>
      </c>
      <c r="GY161" s="6">
        <f>COUNTIFS(Table52[Country],Tabela1[[#This Row],[Country]],Table52[Classification],"&gt;0")</f>
        <v>0</v>
      </c>
      <c r="GZ161" s="6">
        <f>COUNTIFS(Table32[Country],Tabela1[[#This Row],[Country]],Table32[All-Around Classification],"&gt;0")</f>
        <v>0</v>
      </c>
      <c r="HA161" s="6">
        <f>COUNTIFS(Table49[Country],Tabela1[[#This Row],[Country]],Table49[All-Around Classification],"&gt;0")</f>
        <v>0</v>
      </c>
      <c r="HB161" s="6">
        <f>COUNTIFS(Table26[Country],Tabela1[[#This Row],[Country]],Table26[Single Sculls Classification],"&gt;0")</f>
        <v>0</v>
      </c>
      <c r="HC161" s="6">
        <f>COUNTIFS(Table63[Country],Tabela1[[#This Row],[Country]],Table63[Single Sculls Classification],"&gt;0")</f>
        <v>0</v>
      </c>
      <c r="HD161" s="6">
        <f>COUNTIFS(Table16[Country],Tabela1[[#This Row],[Country]],Table16[Men''s Double Sculls Classification],"&gt;0")</f>
        <v>0</v>
      </c>
      <c r="HE161" s="6">
        <f>COUNTIFS(Table16[Country],Tabela1[[#This Row],[Country]],Table16[Women''s Double Sculls Classification],"&gt;0")</f>
        <v>0</v>
      </c>
      <c r="HF161" s="6">
        <f>COUNTIFS(Table72[Country],Tabela1[[#This Row],[Country]],Table72[Men''s Quadruple Sculls Classification],"&gt;0")</f>
        <v>0</v>
      </c>
      <c r="HG161" s="6">
        <f>COUNTIFS(Table72[Country],Tabela1[[#This Row],[Country]],Table72[Women''s Quadruple Sculls Classification],"&gt;0")</f>
        <v>0</v>
      </c>
      <c r="HH161" s="6">
        <f>COUNTIFS(Table16[Country],Tabela1[[#This Row],[Country]],Table16[Men''s Coxless Pairs Classification],"&gt;0")</f>
        <v>0</v>
      </c>
      <c r="HI161" s="6">
        <f>COUNTIFS(Table16[Country],Tabela1[[#This Row],[Country]],Table16[Women''s Coxless Pairs Classification],"&gt;0")</f>
        <v>0</v>
      </c>
      <c r="HJ161" s="6">
        <f>COUNTIFS(Table72[Country],Tabela1[[#This Row],[Country]],Table72[Men''s Coxless Fours Classification],"&gt;0")</f>
        <v>0</v>
      </c>
      <c r="HK161" s="6">
        <f>COUNTIFS(Table72[Country],Tabela1[[#This Row],[Country]],Table72[Women''s Coxless Fours Classification],"&gt;0")</f>
        <v>0</v>
      </c>
      <c r="HL161" s="6">
        <f>COUNTIFS(Table72[Country],Tabela1[[#This Row],[Country]],Table72[Men''s Eights Classification],"&gt;0")</f>
        <v>0</v>
      </c>
      <c r="HM161" s="6">
        <f>COUNTIFS(Table72[Country],Tabela1[[#This Row],[Country]],Table72[Women''s Eights Classification],"&gt;0")</f>
        <v>0</v>
      </c>
      <c r="HN161" s="6">
        <f>COUNTIFS(Table16[Country],Tabela1[[#This Row],[Country]],Table16[Men''s Lwt. Double Sculls Classification],"&gt;0")</f>
        <v>0</v>
      </c>
      <c r="HO161" s="6">
        <f>COUNTIFS(Table16[Country],Tabela1[[#This Row],[Country]],Table16[Women''s Lwt. Double Sculls Classification],"&gt;0")</f>
        <v>0</v>
      </c>
      <c r="HP161" s="6">
        <f>COUNTIFS(Table91949698[Country],Tabela1[[#This Row],[Country]],Table91949698[Men''s Classification],"&gt;0")</f>
        <v>0</v>
      </c>
      <c r="HQ161" s="6">
        <f>COUNTIFS(Table91949698[Country],Tabela1[[#This Row],[Country]],Table91949698[Women''s Classification],"&gt;0")</f>
        <v>0</v>
      </c>
      <c r="HR161" s="6">
        <f>COUNTIFS(Table25[Country],Tabela1[[#This Row],[Country]],Table25[Mixed 470 Classification],"&gt;0")</f>
        <v>0</v>
      </c>
      <c r="HS161" s="6">
        <f>COUNTIFS(Table25[Country],Tabela1[[#This Row],[Country]],Table25[Men''s 49er Classification],"&gt;0")</f>
        <v>0</v>
      </c>
      <c r="HT161" s="6">
        <f>COUNTIFS(Table25[Country],Tabela1[[#This Row],[Country]],Table25[Women''s 49er FX Classification],"&gt;0")</f>
        <v>0</v>
      </c>
      <c r="HU161" s="6">
        <f>COUNTIFS(Table17[Country],Tabela1[[#This Row],[Country]],Table17[Formula Kite Classification],"&gt;0")</f>
        <v>0</v>
      </c>
      <c r="HV161" s="6">
        <f>COUNTIFS(Table18[Country],Tabela1[[#This Row],[Country]],Table18[Formula Kite Classification],"&gt;0")</f>
        <v>0</v>
      </c>
      <c r="HW161" s="6">
        <f>COUNTIFS(Table17[Country],Tabela1[[#This Row],[Country]],Table17[ILCA 7 Classification],"&gt;0")</f>
        <v>0</v>
      </c>
      <c r="HX161" s="6">
        <f>COUNTIFS(Table18[Country],Tabela1[[#This Row],[Country]],Table18[ILCA 6 Classification],"&gt;0")</f>
        <v>0</v>
      </c>
      <c r="HY161" s="6">
        <f>COUNTIFS(Table17[Country],Tabela1[[#This Row],[Country]],Table17[IQFoil Classification],"&gt;0")</f>
        <v>0</v>
      </c>
      <c r="HZ161" s="6">
        <f>COUNTIFS(Table18[Country],Tabela1[[#This Row],[Country]],Table18[IQFoil Classification],"&gt;0")</f>
        <v>0</v>
      </c>
      <c r="IA161" s="6">
        <f>COUNTIFS(Table25[Country],Tabela1[[#This Row],[Country]],Table25[Mixed Nacra 17 Classification],"&gt;0")</f>
        <v>0</v>
      </c>
      <c r="IB161" s="6">
        <f>COUNTIFS(Table53[Country],Tabela1[[#This Row],[Country]],Table53[10m Air Pistol Classification],"&gt;0")</f>
        <v>0</v>
      </c>
      <c r="IC161" s="6">
        <f>COUNTIFS(Table19[Country],Tabela1[[#This Row],[Country]],Table19[10m Air Pistol Classification],"&gt;0")</f>
        <v>0</v>
      </c>
      <c r="ID161" s="6">
        <f>COUNTIFS(Table54[Country],Tabela1[[#This Row],[Country]],Table54[Mixed 10m Air Pistol Team Classification],"&gt;0")</f>
        <v>0</v>
      </c>
      <c r="IE161" s="6">
        <f>COUNTIFS(Table53[Country],Tabela1[[#This Row],[Country]],Table53[10m Air Rifle Classification],"&gt;0")</f>
        <v>0</v>
      </c>
      <c r="IF161" s="6">
        <f>COUNTIFS(Table19[Country],Tabela1[[#This Row],[Country]],Table19[10m Air Rifle Classification],"&gt;0")</f>
        <v>0</v>
      </c>
      <c r="IG161" s="6">
        <f>COUNTIFS(Table54[Country],Tabela1[[#This Row],[Country]],Table54[Mixed 10m Air Rifle Team Classification],"&gt;0")</f>
        <v>0</v>
      </c>
      <c r="IH161" s="6">
        <f>COUNTIFS(Table53[Country],Tabela1[[#This Row],[Country]],Table53[25m Rapid Fire Pistol Classification],"&gt;0")</f>
        <v>0</v>
      </c>
      <c r="II161" s="6">
        <f>COUNTIFS(Table19[Country],Tabela1[[#This Row],[Country]],Table19[25m Pistol Classification],"&gt;0")</f>
        <v>0</v>
      </c>
      <c r="IJ161" s="6">
        <f>COUNTIFS(Table53[Country],Tabela1[[#This Row],[Country]],Table53[50m Rifle 3 Positions Classification],"&gt;0")</f>
        <v>0</v>
      </c>
      <c r="IK161" s="6">
        <f>COUNTIFS(Table19[Country],Tabela1[[#This Row],[Country]],Table19[50m Rifle 3 Positions Classification],"&gt;0")</f>
        <v>0</v>
      </c>
      <c r="IL161" s="6">
        <f>COUNTIFS(Table53[Country],Tabela1[[#This Row],[Country]],Table53[Skeet Classification],"&gt;0")</f>
        <v>0</v>
      </c>
      <c r="IM161" s="6">
        <f>COUNTIFS(Table19[Country],Tabela1[[#This Row],[Country]],Table19[Skeet Classification],"&gt;0")</f>
        <v>0</v>
      </c>
      <c r="IN161" s="6">
        <f>COUNTIFS(Table54[Country],Tabela1[[#This Row],[Country]],Table54[Mixed Skeet Team Classification],"&gt;0")</f>
        <v>0</v>
      </c>
      <c r="IO161" s="6">
        <f>COUNTIFS(Table53[Country],Tabela1[[#This Row],[Country]],Table53[Trap Classification],"&gt;0")</f>
        <v>0</v>
      </c>
      <c r="IP161" s="6">
        <f>COUNTIFS(Table19[Country],Tabela1[[#This Row],[Country]],Table19[Trap Classification],"&gt;0")</f>
        <v>0</v>
      </c>
      <c r="IQ161" s="6">
        <f>COUNTIFS(Table73[Country],Tabela1[[#This Row],[Country]],Table73[Park Classification],"&gt;0")</f>
        <v>0</v>
      </c>
      <c r="IR161" s="6">
        <f>COUNTIFS(Table74[Country],Tabela1[[#This Row],[Country]],Table74[Park Classification],"&gt;0")</f>
        <v>0</v>
      </c>
      <c r="IS161" s="6">
        <f>COUNTIFS(Table73[Country],Tabela1[[#This Row],[Country]],Table73[Street Classification],"&gt;0")</f>
        <v>0</v>
      </c>
      <c r="IT161" s="6">
        <f>COUNTIFS(Table74[Country],Tabela1[[#This Row],[Country]],Table74[Street Classification],"&gt;0")</f>
        <v>0</v>
      </c>
      <c r="IU161" s="6">
        <f>COUNTIFS(Table75[Country],Tabela1[[#This Row],[Country]],Table75[Boulder and Lead Classification],"&gt;0")</f>
        <v>0</v>
      </c>
      <c r="IV161" s="6">
        <f>COUNTIFS(Table76[Country],Tabela1[[#This Row],[Country]],Table76[Boulder and Lead Classification],"&gt;0")</f>
        <v>0</v>
      </c>
      <c r="IW161" s="6">
        <f>COUNTIFS(Table75[Country],Tabela1[[#This Row],[Country]],Table75[Speed Classification],"&gt;0")</f>
        <v>0</v>
      </c>
      <c r="IX161" s="6">
        <f>COUNTIFS(Table76[Country],Tabela1[[#This Row],[Country]],Table76[Speed Classification],"&gt;0")</f>
        <v>0</v>
      </c>
      <c r="IY161" s="6">
        <f>COUNTIFS(Table64[Country],Tabela1[[#This Row],[Country]],Table64[Shortboard Classification],"&gt;0")</f>
        <v>0</v>
      </c>
      <c r="IZ161" s="6">
        <f>COUNTIFS(Table77[Country],Tabela1[[#This Row],[Country]],Table77[Shortboard Classification],"&gt;0")</f>
        <v>0</v>
      </c>
      <c r="JA161" s="6">
        <f>COUNTIFS(Table20[Country],Tabela1[[#This Row],[Country]],Table20[50m Freestyle Classification],"&gt;0")</f>
        <v>0</v>
      </c>
      <c r="JB161" s="6">
        <f>COUNTIFS(Table21[Country],Tabela1[[#This Row],[Country]],Table21[50m Freestyle Classification],"&gt;0")</f>
        <v>0</v>
      </c>
      <c r="JC161" s="6">
        <f>COUNTIFS(Table20[Country],Tabela1[[#This Row],[Country]],Table20[100m Freestyle Classification],"&gt;0")</f>
        <v>0</v>
      </c>
      <c r="JD161" s="6">
        <f>COUNTIFS(Table21[Country],Tabela1[[#This Row],[Country]],Table21[100m Freestyle Classification],"&gt;0")</f>
        <v>0</v>
      </c>
      <c r="JE161" s="6">
        <f>COUNTIFS(Table20[Country],Tabela1[[#This Row],[Country]],Table20[200m Freestyle Classification],"&gt;0")</f>
        <v>0</v>
      </c>
      <c r="JF161" s="6">
        <f>COUNTIFS(Table21[Country],Tabela1[[#This Row],[Country]],Table21[200m Freestyle Classification],"&gt;0")</f>
        <v>0</v>
      </c>
      <c r="JG161" s="6">
        <f>COUNTIFS(Table20[Country],Tabela1[[#This Row],[Country]],Table20[400m Freestyle Classification],"&gt;0")</f>
        <v>0</v>
      </c>
      <c r="JH161" s="6">
        <f>COUNTIFS(Table21[Country],Tabela1[[#This Row],[Country]],Table21[400m Freestyle Classification],"&gt;0")</f>
        <v>0</v>
      </c>
      <c r="JI161" s="6">
        <f>COUNTIFS(Table20[Country],Tabela1[[#This Row],[Country]],Table20[800m Freestyle Classification],"&gt;0")</f>
        <v>0</v>
      </c>
      <c r="JJ161" s="6">
        <f>COUNTIFS(Table21[Country],Tabela1[[#This Row],[Country]],Table21[800m Freestyle Classification],"&gt;0")</f>
        <v>0</v>
      </c>
      <c r="JK161" s="6">
        <f>COUNTIFS(Table20[Country],Tabela1[[#This Row],[Country]],Table20[1500m Freestyle Classification],"&gt;0")</f>
        <v>0</v>
      </c>
      <c r="JL161" s="6">
        <f>COUNTIFS(Table21[Country],Tabela1[[#This Row],[Country]],Table21[1500m Freestyle Classification],"&gt;0")</f>
        <v>0</v>
      </c>
      <c r="JM161" s="6">
        <f>COUNTIFS(Table20[Country],Tabela1[[#This Row],[Country]],Table20[100m Backstroke Classification],"&gt;0")</f>
        <v>0</v>
      </c>
      <c r="JN161" s="6">
        <f>COUNTIFS(Table21[Country],Tabela1[[#This Row],[Country]],Table21[100m Backstroke Classification],"&gt;0")</f>
        <v>0</v>
      </c>
      <c r="JO161" s="6">
        <f>COUNTIFS(Table20[Country],Tabela1[[#This Row],[Country]],Table20[200m Backstroke Classification],"&gt;0")</f>
        <v>0</v>
      </c>
      <c r="JP161" s="6">
        <f>COUNTIFS(Table21[Country],Tabela1[[#This Row],[Country]],Table21[200m Backstroke Classification],"&gt;0")</f>
        <v>0</v>
      </c>
      <c r="JQ161" s="6">
        <f>COUNTIFS(Table20[Country],Tabela1[[#This Row],[Country]],Table20[100m Breaststroke Classification],"&gt;0")</f>
        <v>0</v>
      </c>
      <c r="JR161" s="6">
        <f>COUNTIFS(Table21[Country],Tabela1[[#This Row],[Country]],Table21[100m Breaststroke Classification],"&gt;0")</f>
        <v>0</v>
      </c>
      <c r="JS161" s="6">
        <f>COUNTIFS(Table20[Country],Tabela1[[#This Row],[Country]],Table20[200m Breaststroke Classification],"&gt;0")</f>
        <v>0</v>
      </c>
      <c r="JT161" s="6">
        <f>COUNTIFS(Table21[Country],Tabela1[[#This Row],[Country]],Table21[200m Breaststroke Classification],"&gt;0")</f>
        <v>0</v>
      </c>
      <c r="JU161" s="6">
        <f>COUNTIFS(Table20[Country],Tabela1[[#This Row],[Country]],Table20[100m Butterfly Classification],"&gt;0")</f>
        <v>0</v>
      </c>
      <c r="JV161" s="6">
        <f>COUNTIFS(Table21[Country],Tabela1[[#This Row],[Country]],Table21[100m Butterfly Classification],"&gt;0")</f>
        <v>0</v>
      </c>
      <c r="JW161" s="6">
        <f>COUNTIFS(Table20[Country],Tabela1[[#This Row],[Country]],Table20[200m Butterfly Classification],"&gt;0")</f>
        <v>0</v>
      </c>
      <c r="JX161" s="6">
        <f>COUNTIFS(Table21[Country],Tabela1[[#This Row],[Country]],Table21[200m Butterfly Classification],"&gt;0")</f>
        <v>0</v>
      </c>
      <c r="JY161" s="6">
        <f>COUNTIFS(Table20[Country],Tabela1[[#This Row],[Country]],Table20[200m Medley Classification],"&gt;0")</f>
        <v>0</v>
      </c>
      <c r="JZ161" s="6">
        <f>COUNTIFS(Table21[Country],Tabela1[[#This Row],[Country]],Table21[200m Medley Classification],"&gt;0")</f>
        <v>0</v>
      </c>
      <c r="KA161" s="6">
        <f>COUNTIFS(Table20[Country],Tabela1[[#This Row],[Country]],Table20[400m Medley Classification],"&gt;0")</f>
        <v>0</v>
      </c>
      <c r="KB161" s="6">
        <f>COUNTIFS(Table21[Country],Tabela1[[#This Row],[Country]],Table21[400m Medley Classification],"&gt;0")</f>
        <v>0</v>
      </c>
      <c r="KC161" s="6">
        <f>COUNTIFS(Table78[Country],Tabela1[[#This Row],[Country]],Table78[Men''s 4x100m Freestyle Relay Classification],"&gt;0")</f>
        <v>0</v>
      </c>
      <c r="KD161" s="6">
        <f>COUNTIFS(Table78[Country],Tabela1[[#This Row],[Country]],Table78[Women''s 4x100m Freestyle Relay Classification],"&gt;0")</f>
        <v>0</v>
      </c>
      <c r="KE161" s="6">
        <f>COUNTIFS(Table78[Country],Tabela1[[#This Row],[Country]],Table78[Men''s 4x200m Freestyle Relay Classification],"&gt;0")</f>
        <v>0</v>
      </c>
      <c r="KF161" s="6">
        <f>COUNTIFS(Table78[Country],Tabela1[[#This Row],[Country]],Table78[Women''s 4x200m Freestyle Relay Classification],"&gt;0")</f>
        <v>0</v>
      </c>
      <c r="KG161" s="6">
        <f>COUNTIFS(Table78[Country],Tabela1[[#This Row],[Country]],Table78[Men''s 4x100m Medley Relay Classification],"&gt;0")</f>
        <v>0</v>
      </c>
      <c r="KH161" s="6">
        <f>COUNTIFS(Table78[Country],Tabela1[[#This Row],[Country]],Table78[Women''s 4x100m Medley Relay Classification],"&gt;0")</f>
        <v>0</v>
      </c>
      <c r="KI161" s="6">
        <f>COUNTIFS(Table78[Country],Tabela1[[#This Row],[Country]],Table78[Mixed 4x100m Medley Relay Classification],"&gt;0")</f>
        <v>0</v>
      </c>
      <c r="KJ161" s="6">
        <f>COUNTIFS(Table20[Country],Tabela1[[#This Row],[Country]],Table20[10km Open Water Classification],"&gt;0")</f>
        <v>0</v>
      </c>
      <c r="KK161" s="6">
        <f>COUNTIFS(Table21[Country],Tabela1[[#This Row],[Country]],Table21[10km Open Water Classification],"&gt;0")</f>
        <v>0</v>
      </c>
      <c r="KL161" s="6">
        <f>COUNTIFS(Table22[Country],Tabela1[[#This Row],[Country]],Table22[Classification],"&gt;0")</f>
        <v>0</v>
      </c>
      <c r="KM161" s="6">
        <f>COUNTIFS(Table30[Country],Tabela1[[#This Row],[Country]],Table30[Classification],"&gt;0")</f>
        <v>0</v>
      </c>
      <c r="KN161" s="6">
        <f>COUNTIFS(Table55[Country],Tabela1[[#This Row],[Country]],Table55[Men''s Classification],"&gt;0")</f>
        <v>0</v>
      </c>
      <c r="KO161" s="6">
        <f>COUNTIFS(Table55[Country],Tabela1[[#This Row],[Country]],Table55[Women''s Classification],"&gt;0")</f>
        <v>0</v>
      </c>
      <c r="KP161" s="6">
        <f>COUNTIFS(Table56[Country],Tabela1[[#This Row],[Country]],Table56[Mixed Classification],"&gt;0")</f>
        <v>0</v>
      </c>
      <c r="KQ161" s="6">
        <f>COUNTIFS(Table29[Country],Tabela1[[#This Row],[Country]],Table29[58kg Classification],"&gt;0")</f>
        <v>0</v>
      </c>
      <c r="KR161" s="6">
        <f>COUNTIFS(Table29[Country],Tabela1[[#This Row],[Country]],Table29[68kg Classification],"&gt;0")</f>
        <v>0</v>
      </c>
      <c r="KS161" s="6">
        <f>COUNTIFS(Table29[Country],Tabela1[[#This Row],[Country]],Table29[80kg Classification],"&gt;0")</f>
        <v>0</v>
      </c>
      <c r="KT161" s="6">
        <f>COUNTIFS(Table29[Country],Tabela1[[#This Row],[Country]],Table29[Plus 80kg Classification],"&gt;0")</f>
        <v>0</v>
      </c>
      <c r="KU161" s="6">
        <f>COUNTIFS(Table34[Country],Tabela1[[#This Row],[Country]],Table34[49kg Classification],"&gt;0")</f>
        <v>0</v>
      </c>
      <c r="KV161" s="6">
        <f>COUNTIFS(Table34[Country],Tabela1[[#This Row],[Country]],Table34[57kg Classification],"&gt;0")</f>
        <v>0</v>
      </c>
      <c r="KW161" s="6">
        <f>COUNTIFS(Table34[Country],Tabela1[[#This Row],[Country]],Table34[67kg Classification],"&gt;0")</f>
        <v>0</v>
      </c>
      <c r="KX161" s="6">
        <f>COUNTIFS(Table34[Country],Tabela1[[#This Row],[Country]],Table34[Plus 67kg Classification],"&gt;0")</f>
        <v>0</v>
      </c>
      <c r="KY161" s="6">
        <f>COUNTIFS(Table57[Country],Tabela1[[#This Row],[Country]],Table57[Classification],"&gt;0")</f>
        <v>0</v>
      </c>
      <c r="KZ161" s="6">
        <f>COUNTIFS(Table58[Country],Tabela1[[#This Row],[Country]],Table58[Classification],"&gt;0")</f>
        <v>0</v>
      </c>
      <c r="LA161" s="6">
        <f>COUNTIFS(Table79[Country],Tabela1[[#This Row],[Country]],Table79[Men''s Classification],"&gt;0")</f>
        <v>0</v>
      </c>
      <c r="LB161" s="6">
        <f>COUNTIFS(Table79[Country],Tabela1[[#This Row],[Country]],Table79[Women''s Classification],"&gt;0")</f>
        <v>0</v>
      </c>
      <c r="LC161" s="6">
        <f>COUNTIFS(Table79[Country],Tabela1[[#This Row],[Country]],Table79[Mixed Classification],"&gt;0")</f>
        <v>0</v>
      </c>
      <c r="LD161" s="6">
        <f>COUNTIFS(Table65[Country],Tabela1[[#This Row],[Country]],Table65[Classification],"&gt;0")</f>
        <v>0</v>
      </c>
      <c r="LE161" s="6">
        <f>COUNTIFS(Table59[Country],Tabela1[[#This Row],[Country]],Table59[Classification],"&gt;0")</f>
        <v>0</v>
      </c>
      <c r="LF161" s="6">
        <f>COUNTIFS(Table87[Country],Tabela1[[#This Row],[Country]],Table87[Mixed Relay Classification],"&gt;0")</f>
        <v>0</v>
      </c>
      <c r="LG161" s="6">
        <f>COUNTIFS(Table91949698100[Country],Tabela1[[#This Row],[Country]],Table91949698100[Men''s Classification],"&gt;0")</f>
        <v>0</v>
      </c>
      <c r="LH161" s="6">
        <f>COUNTIFS(Table91949698100[Country],Tabela1[[#This Row],[Country]],Table91949698100[Women''s Classification],"&gt;0")</f>
        <v>0</v>
      </c>
      <c r="LI161" s="6">
        <f>COUNTIFS(Table91949698100102[Country],Tabela1[[#This Row],[Country]],Table91949698100102[Men''s Classification],"&gt;0")</f>
        <v>0</v>
      </c>
      <c r="LJ161" s="6">
        <f>COUNTIFS(Table91949698100102[Country],Tabela1[[#This Row],[Country]],Table91949698100102[Women''s Classification],"&gt;0")</f>
        <v>0</v>
      </c>
      <c r="LK161" s="6">
        <f>COUNTIFS(Table23[Country],Tabela1[[#This Row],[Country]],Table23[61kg Classification],"&gt;0")</f>
        <v>0</v>
      </c>
      <c r="LL161" s="6">
        <f>COUNTIFS(Table23[Country],Tabela1[[#This Row],[Country]],Table23[73kg Classification],"&gt;0")</f>
        <v>0</v>
      </c>
      <c r="LM161" s="6">
        <f>COUNTIFS(Table23[Country],Tabela1[[#This Row],[Country]],Table23[89kg Classification],"&gt;0")</f>
        <v>0</v>
      </c>
      <c r="LN161" s="6">
        <f>COUNTIFS(Table23[Country],Tabela1[[#This Row],[Country]],Table23[102kg Classification],"&gt;0")</f>
        <v>0</v>
      </c>
      <c r="LO161" s="6">
        <f>COUNTIFS(Table23[Country],Tabela1[[#This Row],[Country]],Table23[Plus 102kg Classification],"&gt;0")</f>
        <v>0</v>
      </c>
      <c r="LP161" s="6">
        <f>COUNTIFS(Table28[Country],Tabela1[[#This Row],[Country]],Table28[49kg Classification],"&gt;0")</f>
        <v>0</v>
      </c>
      <c r="LQ161" s="6">
        <f>COUNTIFS(Table28[Country],Tabela1[[#This Row],[Country]],Table28[59kg Classification],"&gt;0")</f>
        <v>0</v>
      </c>
      <c r="LR161" s="6">
        <f>COUNTIFS(Table28[Country],Tabela1[[#This Row],[Country]],Table28[71kg Classification],"&gt;0")</f>
        <v>0</v>
      </c>
      <c r="LS161" s="6">
        <f>COUNTIFS(Table28[Country],Tabela1[[#This Row],[Country]],Table28[81kg Classification],"&gt;0")</f>
        <v>0</v>
      </c>
      <c r="LT161" s="6">
        <f>COUNTIFS(Table28[Country],Tabela1[[#This Row],[Country]],Table28[Plus 81kg Classification],"&gt;0")</f>
        <v>0</v>
      </c>
      <c r="LU161" s="6">
        <f>COUNTIFS(Table24[Country],Tabela1[[#This Row],[Country]],Table24[Freestyle 57kg Classification],"&gt;0")</f>
        <v>0</v>
      </c>
      <c r="LV161" s="6">
        <f>COUNTIFS(Table24[Country],Tabela1[[#This Row],[Country]],Table24[Freestyle 65kg Classification],"&gt;0")</f>
        <v>0</v>
      </c>
      <c r="LW161" s="6">
        <f>COUNTIFS(Table24[Country],Tabela1[[#This Row],[Country]],Table24[Freestyle 74kg Classification],"&gt;0")</f>
        <v>0</v>
      </c>
      <c r="LX161" s="6">
        <f>COUNTIFS(Table24[Country],Tabela1[[#This Row],[Country]],Table24[Freestyle 86kg Classification],"&gt;0")</f>
        <v>0</v>
      </c>
      <c r="LY161" s="6">
        <f>COUNTIFS(Table24[Country],Tabela1[[#This Row],[Country]],Table24[Freestyle 97kg Classification],"&gt;0")</f>
        <v>0</v>
      </c>
      <c r="LZ161" s="6">
        <f>COUNTIFS(Table24[Country],Tabela1[[#This Row],[Country]],Table24[Freestyle 125kg Classification],"&gt;0")</f>
        <v>0</v>
      </c>
      <c r="MA161" s="6">
        <f>COUNTIFS(Table24[Country],Tabela1[[#This Row],[Country]],Table24[Greco-Roman 60kg Classification],"&gt;0")</f>
        <v>0</v>
      </c>
      <c r="MB161" s="6">
        <f>COUNTIFS(Table24[Country],Tabela1[[#This Row],[Country]],Table24[Greco-Roman 67kg Classification],"&gt;0")</f>
        <v>0</v>
      </c>
      <c r="MC161" s="6">
        <f>COUNTIFS(Table24[Country],Tabela1[[#This Row],[Country]],Table24[Greco-Roman 77kg Classification],"&gt;0")</f>
        <v>0</v>
      </c>
      <c r="MD161" s="6">
        <f>COUNTIFS(Table24[Country],Tabela1[[#This Row],[Country]],Table24[Greco-Roman 87kg Classification],"&gt;0")</f>
        <v>0</v>
      </c>
      <c r="ME161" s="6">
        <f>COUNTIFS(Table24[Country],Tabela1[[#This Row],[Country]],Table24[Greco-Roman 97kg Classification],"&gt;0")</f>
        <v>0</v>
      </c>
      <c r="MF161" s="6">
        <f>COUNTIFS(Table24[Country],Tabela1[[#This Row],[Country]],Table24[Greco-Roman 130kg Classification],"&gt;0")</f>
        <v>0</v>
      </c>
      <c r="MG161" s="6">
        <f>COUNTIFS(Table31[Country],Tabela1[[#This Row],[Country]],Table31[50kg Classification],"&gt;0")</f>
        <v>0</v>
      </c>
      <c r="MH161" s="6">
        <f>COUNTIFS(Table31[Country],Tabela1[[#This Row],[Country]],Table31[53kg Classification],"&gt;0")</f>
        <v>0</v>
      </c>
      <c r="MI161" s="6">
        <f>COUNTIFS(Table31[Country],Tabela1[[#This Row],[Country]],Table31[57kg Classification],"&gt;0")</f>
        <v>0</v>
      </c>
      <c r="MJ161" s="6">
        <f>COUNTIFS(Table31[Country],Tabela1[[#This Row],[Country]],Table31[62kg Classification],"&gt;0")</f>
        <v>0</v>
      </c>
      <c r="MK161" s="6">
        <f>COUNTIFS(Table31[Country],Tabela1[[#This Row],[Country]],Table31[68kg Classification],"&gt;0")</f>
        <v>0</v>
      </c>
      <c r="ML161" s="6">
        <f>COUNTIFS(Table31[Country],Tabela1[[#This Row],[Country]],Table31[76kg Classification],"&gt;0")</f>
        <v>0</v>
      </c>
      <c r="MM161" s="6">
        <f>COUNTIFS(Table102[Country],Tabela1[[#This Row],[Country]],Table102[Downhill Classification],"&gt;0")</f>
        <v>0</v>
      </c>
      <c r="MN161" s="6">
        <f>COUNTIFS(Table102105[Country],Tabela1[[#This Row],[Country]],Table102105[Downhill Classification],"&gt;0")</f>
        <v>0</v>
      </c>
      <c r="MO161" s="6">
        <f>COUNTIFS(Table102[Country],Tabela1[[#This Row],[Country]],Table102[Giant Slalom Classification],"&gt;0")</f>
        <v>0</v>
      </c>
      <c r="MP161" s="6">
        <f>COUNTIFS(Table102105[Country],Tabela1[[#This Row],[Country]],Table102105[Giant Slalom Classification],"&gt;0")</f>
        <v>0</v>
      </c>
      <c r="MQ161" s="6">
        <f>COUNTIFS(Table102[Country],Tabela1[[#This Row],[Country]],Table102[Slalom Classification],"&gt;0")</f>
        <v>0</v>
      </c>
      <c r="MR161" s="6">
        <f>COUNTIFS(Table102105[Country],Tabela1[[#This Row],[Country]],Table102105[Slalom Classification],"&gt;0")</f>
        <v>0</v>
      </c>
      <c r="MS161" s="6">
        <f>COUNTIFS(Table102[Country],Tabela1[[#This Row],[Country]],Table102[Super-G Classification],"&gt;0")</f>
        <v>0</v>
      </c>
      <c r="MT161" s="6">
        <f>COUNTIFS(Table102105[Country],Tabela1[[#This Row],[Country]],Table102105[Super-G Classification],"&gt;0")</f>
        <v>0</v>
      </c>
      <c r="MU161" s="6">
        <f>COUNTIFS(Table105[Country],Tabela1[[#This Row],[Country]],Table105[Men''s Combined Classification],"&gt;0")</f>
        <v>0</v>
      </c>
      <c r="MV161" s="6">
        <f>COUNTIFS(Table105[Country],Tabela1[[#This Row],[Country]],Table105[Women''s Combined Classification],"&gt;0")</f>
        <v>0</v>
      </c>
      <c r="MW161" s="6">
        <f>COUNTIFS(Table106[Country],Tabela1[[#This Row],[Country]],Table106[Individual Classification],"&gt;0")</f>
        <v>0</v>
      </c>
      <c r="MX161" s="6">
        <f>COUNTIFS(Table106109[Country],Tabela1[[#This Row],[Country]],Table106109[Individual Classification],"&gt;0")</f>
        <v>0</v>
      </c>
      <c r="MY161" s="6">
        <f>COUNTIFS(Table106[Country],Tabela1[[#This Row],[Country]],Table106[Mass Start Classification],"&gt;0")</f>
        <v>0</v>
      </c>
      <c r="MZ161" s="6">
        <f>COUNTIFS(Table106109[Country],Tabela1[[#This Row],[Country]],Table106109[Mass Start Classification],"&gt;0")</f>
        <v>0</v>
      </c>
      <c r="NA161" s="6">
        <f>COUNTIFS(Table106[Country],Tabela1[[#This Row],[Country]],Table106[Pursuit Classification],"&gt;0")</f>
        <v>0</v>
      </c>
      <c r="NB161" s="6">
        <f>COUNTIFS(Table106109[Country],Tabela1[[#This Row],[Country]],Table106109[Pursuit Classification],"&gt;0")</f>
        <v>0</v>
      </c>
      <c r="NC161" s="6">
        <f>COUNTIFS(Table106[Country],Tabela1[[#This Row],[Country]],Table106[Sprint Classification],"&gt;0")</f>
        <v>0</v>
      </c>
      <c r="ND161" s="6">
        <f>COUNTIFS(Table106109[Country],Tabela1[[#This Row],[Country]],Table106109[Sprint Classification],"&gt;0")</f>
        <v>0</v>
      </c>
      <c r="NE161" s="6">
        <f>COUNTIFS(Table109[Country],Tabela1[[#This Row],[Country]],Table109[Men''s Relay Classification],"&gt;0")</f>
        <v>0</v>
      </c>
      <c r="NF161" s="6">
        <f>COUNTIFS(Table109[Country],Tabela1[[#This Row],[Country]],Table109[Women''s Relay Classification],"&gt;0")</f>
        <v>0</v>
      </c>
      <c r="NG161" s="6">
        <f>COUNTIFS(Table109[Country],Tabela1[[#This Row],[Country]],Table109[Mixed Relay Classification],"&gt;0")</f>
        <v>0</v>
      </c>
      <c r="NH161" s="6">
        <f>COUNTIFS(Table110[Country],Tabela1[[#This Row],[Country]],Table110[Monobob Classification],"&gt;0")</f>
        <v>0</v>
      </c>
      <c r="NI161" s="6">
        <f>COUNTIFS(Table111[Country],Tabela1[[#This Row],[Country]],Table111[Men''s Classification],"&gt;0")</f>
        <v>0</v>
      </c>
      <c r="NJ161" s="6">
        <f>COUNTIFS(Table111[Country],Tabela1[[#This Row],[Country]],Table111[Women''s Classification],"&gt;0")</f>
        <v>0</v>
      </c>
      <c r="NK161" s="6">
        <f>COUNTIFS(Table112[Country],Tabela1[[#This Row],[Country]],Table112[Men''s Four Classification],"&gt;0")</f>
        <v>0</v>
      </c>
      <c r="NL161" s="6">
        <f>COUNTIFS(Table113[Country],Tabela1[[#This Row],[Country]],Table113[Classical Classification],"&gt;0")</f>
        <v>0</v>
      </c>
      <c r="NM161" s="6">
        <f>COUNTIFS(Table113116[Country],Tabela1[[#This Row],[Country]],Table113116[Classical Classification],"&gt;0")</f>
        <v>0</v>
      </c>
      <c r="NN161" s="6">
        <f>COUNTIFS(Table113[Country],Tabela1[[#This Row],[Country]],Table113[Freestyle Classification],"&gt;0")</f>
        <v>0</v>
      </c>
      <c r="NO161" s="6">
        <f>COUNTIFS(Table113116[Country],Tabela1[[#This Row],[Country]],Table113116[Freestyle Classification],"&gt;0")</f>
        <v>0</v>
      </c>
      <c r="NP161" s="6">
        <f>COUNTIFS(Table117[Country],Tabela1[[#This Row],[Country]],Table117[Men''s Relay Classification],"&gt;0")</f>
        <v>0</v>
      </c>
      <c r="NQ161" s="6">
        <f>COUNTIFS(Table117[Country],Tabela1[[#This Row],[Country]],Table117[Women''s Relay Classification],"&gt;0")</f>
        <v>0</v>
      </c>
      <c r="NR161" s="6">
        <f>COUNTIFS(Table113[Country],Tabela1[[#This Row],[Country]],Table113[Skiathlon Classification],"&gt;0")</f>
        <v>0</v>
      </c>
      <c r="NS161" s="6">
        <f>COUNTIFS(Table113116[Country],Tabela1[[#This Row],[Country]],Table113116[Skiathlon Classification],"&gt;0")</f>
        <v>0</v>
      </c>
      <c r="NT161" s="6">
        <f>COUNTIFS(Table113[Country],Tabela1[[#This Row],[Country]],Table113[Sprint Classification],"&gt;0")</f>
        <v>0</v>
      </c>
      <c r="NU161" s="6">
        <f>COUNTIFS(Table113116[Country],Tabela1[[#This Row],[Country]],Table113116[Sprint Classification],"&gt;0")</f>
        <v>0</v>
      </c>
      <c r="NV161" s="6">
        <f>COUNTIFS(Table116[Country],Tabela1[[#This Row],[Country]],Table116[Men''s Team Sprint Classification],"&gt;0")</f>
        <v>0</v>
      </c>
      <c r="NW161" s="6">
        <f>COUNTIFS(Table116[Country],Tabela1[[#This Row],[Country]],Table116[Women''s Team Sprint Classification],"&gt;0")</f>
        <v>0</v>
      </c>
      <c r="NX161" s="6">
        <f>COUNTIFS(Table119[Country],Tabela1[[#This Row],[Country]],Table119[Men''s Classification],"&gt;0")</f>
        <v>0</v>
      </c>
      <c r="NY161" s="6">
        <f>COUNTIFS(Table119[Country],Tabela1[[#This Row],[Country]],Table119[Women''s Classification],"&gt;0")</f>
        <v>0</v>
      </c>
      <c r="NZ161" s="6">
        <f>COUNTIFS(Table118[Country],Tabela1[[#This Row],[Country]],Table118[Mixed Classification],"&gt;0")</f>
        <v>0</v>
      </c>
      <c r="OA161" s="6">
        <f>COUNTIFS(Table120[Country],Tabela1[[#This Row],[Country]],Table120[Classification],"&gt;0")</f>
        <v>0</v>
      </c>
      <c r="OB161" s="6">
        <f>COUNTIFS(Table120123[Country],Tabela1[[#This Row],[Country]],Table120123[Classification],"&gt;0")</f>
        <v>0</v>
      </c>
      <c r="OC161" s="6">
        <f>COUNTIFS(Table123[Country],Tabela1[[#This Row],[Country]],Table123[Ice Dance Classification],"&gt;0")</f>
        <v>0</v>
      </c>
      <c r="OD161" s="6">
        <f>COUNTIFS(Table123[Country],Tabela1[[#This Row],[Country]],Table123[Pair Skating Classification],"&gt;0")</f>
        <v>0</v>
      </c>
      <c r="OE161" s="6">
        <f>COUNTIFS(Table124[Country],Tabela1[[#This Row],[Country]],Table124[Mixed Classification],"&gt;0")</f>
        <v>0</v>
      </c>
      <c r="OF161" s="6">
        <f>COUNTIFS(Table125[Country],Tabela1[[#This Row],[Country]],Table125[Aerials Classification],"&gt;0")</f>
        <v>0</v>
      </c>
      <c r="OG161" s="6">
        <f>COUNTIFS(Table125128[Country],Tabela1[[#This Row],[Country]],Table125128[Aerials Classification],"&gt;0")</f>
        <v>0</v>
      </c>
      <c r="OH161" s="6">
        <f>COUNTIFS(Table128[Country],Tabela1[[#This Row],[Country]],Table128[Mixed Aerials Classification],"&gt;0")</f>
        <v>0</v>
      </c>
      <c r="OI161" s="6">
        <f>COUNTIFS(Table125[Country],Tabela1[[#This Row],[Country]],Table125[Big Air Classification],"&gt;0")</f>
        <v>0</v>
      </c>
      <c r="OJ161" s="6">
        <f>COUNTIFS(Table125128[Country],Tabela1[[#This Row],[Country]],Table125128[Big Air Classification],"&gt;0")</f>
        <v>0</v>
      </c>
      <c r="OK161" s="6">
        <f>COUNTIFS(Table125[Country],Tabela1[[#This Row],[Country]],Table125[Dual Moguls Classification],"&gt;0")</f>
        <v>0</v>
      </c>
      <c r="OL161" s="6">
        <f>COUNTIFS(Table125128[Country],Tabela1[[#This Row],[Country]],Table125128[Dual Moguls Classification],"&gt;0")</f>
        <v>0</v>
      </c>
      <c r="OM161" s="6">
        <f>COUNTIFS(Table125[Country],Tabela1[[#This Row],[Country]],Table125[Halfpipe Classification],"&gt;0")</f>
        <v>0</v>
      </c>
      <c r="ON161" s="6">
        <f>COUNTIFS(Table125128[Country],Tabela1[[#This Row],[Country]],Table125128[Halfpipe Classification],"&gt;0")</f>
        <v>0</v>
      </c>
      <c r="OO161" s="6">
        <f>COUNTIFS(Table125[Country],Tabela1[[#This Row],[Country]],Table125[Moguls Classification],"&gt;0")</f>
        <v>0</v>
      </c>
      <c r="OP161" s="6">
        <f>COUNTIFS(Table125128[Country],Tabela1[[#This Row],[Country]],Table125128[Moguls Classification],"&gt;0")</f>
        <v>0</v>
      </c>
      <c r="OQ161" s="6">
        <f>COUNTIFS(Table125[Country],Tabela1[[#This Row],[Country]],Table125[Ski Cross Classification],"&gt;0")</f>
        <v>0</v>
      </c>
      <c r="OR161" s="6">
        <f>COUNTIFS(Table125128[Country],Tabela1[[#This Row],[Country]],Table125128[Ski Cross Classification],"&gt;0")</f>
        <v>0</v>
      </c>
      <c r="OS161" s="6">
        <f>COUNTIFS(Table125[Country],Tabela1[[#This Row],[Country]],Table125[Slopestyle Classification],"&gt;0")</f>
        <v>0</v>
      </c>
      <c r="OT161" s="6">
        <f>COUNTIFS(Table125128[Country],Tabela1[[#This Row],[Country]],Table125128[Slopestyle Classification],"&gt;0")</f>
        <v>0</v>
      </c>
      <c r="OU161" s="6">
        <f>COUNTIFS(Table119131[Country],Tabela1[[#This Row],[Country]],Table119131[Men''s Classification],"&gt;0")</f>
        <v>0</v>
      </c>
      <c r="OV161" s="6">
        <f>COUNTIFS(Table119131[Country],Tabela1[[#This Row],[Country]],Table119131[Women''s Classification],"&gt;0")</f>
        <v>0</v>
      </c>
      <c r="OW161" s="6">
        <f>COUNTIFS(Table131[Country],Tabela1[[#This Row],[Country]],Table131[Classification],"&gt;0")</f>
        <v>0</v>
      </c>
      <c r="OX161" s="6">
        <f>COUNTIFS(Table131134[Country],Tabela1[[#This Row],[Country]],Table131134[Classification],"&gt;0")</f>
        <v>0</v>
      </c>
      <c r="OY161" s="6">
        <f>COUNTIFS(Table134[Country],Tabela1[[#This Row],[Country]],Table134[Men''s Classification],"&gt;0")</f>
        <v>0</v>
      </c>
      <c r="OZ161" s="6">
        <f>COUNTIFS(Table134[Country],Tabela1[[#This Row],[Country]],Table134[Women''s Classification],"&gt;0")</f>
        <v>0</v>
      </c>
      <c r="PA161" s="6">
        <f>COUNTIFS(Table135[Country],Tabela1[[#This Row],[Country]],Table135[Mixed Relay Classification],"&gt;0")</f>
        <v>0</v>
      </c>
      <c r="PB161" s="6">
        <f>COUNTIFS(Table136[Country],Tabela1[[#This Row],[Country]],Table136[Individual Classification],"&gt;0")</f>
        <v>0</v>
      </c>
      <c r="PC161" s="6">
        <f>COUNTIFS(Table136[Country],Tabela1[[#This Row],[Country]],Table136[Sprint Classification],"&gt;0")</f>
        <v>0</v>
      </c>
      <c r="PD161" s="6">
        <f>COUNTIFS(Table137[Country],Tabela1[[#This Row],[Country]],Table137[Men''s Team Sprint Large Hill Classification],"&gt;0")</f>
        <v>0</v>
      </c>
      <c r="PE161" s="6">
        <f>COUNTIFS(Table138[Country],Tabela1[[#This Row],[Country]],Table138[500m Classification],"&gt;0")</f>
        <v>0</v>
      </c>
      <c r="PF161" s="6">
        <f>COUNTIFS(Table138141[Country],Tabela1[[#This Row],[Country]],Table138141[500m Classification],"&gt;0")</f>
        <v>0</v>
      </c>
      <c r="PG161" s="6">
        <f>COUNTIFS(Table138[Country],Tabela1[[#This Row],[Country]],Table138[1000m Classification],"&gt;0")</f>
        <v>0</v>
      </c>
      <c r="PH161" s="6">
        <f>COUNTIFS(Table138141[Country],Tabela1[[#This Row],[Country]],Table138141[1000m Classification],"&gt;0")</f>
        <v>0</v>
      </c>
      <c r="PI161" s="6">
        <f>COUNTIFS(Table138[Country],Tabela1[[#This Row],[Country]],Table138[1500m Classification],"&gt;0")</f>
        <v>0</v>
      </c>
      <c r="PJ161" s="6">
        <f>COUNTIFS(Table138141[Country],Tabela1[[#This Row],[Country]],Table138141[1500m Classification],"&gt;0")</f>
        <v>0</v>
      </c>
      <c r="PK161" s="6">
        <f>COUNTIFS(Table141[Country],Tabela1[[#This Row],[Country]],Table141[Men''s 5000m Relay Classification],"&gt;0")</f>
        <v>0</v>
      </c>
      <c r="PL161" s="6">
        <f>COUNTIFS(Table141[Country],Tabela1[[#This Row],[Country]],Table141[Women''s 3000m Relay Classification],"&gt;0")</f>
        <v>0</v>
      </c>
      <c r="PM161" s="6">
        <f>COUNTIFS(Table141[Country],Tabela1[[#This Row],[Country]],Table141[Mixed 2000m Relay Classification],"&gt;0")</f>
        <v>0</v>
      </c>
      <c r="PN161" s="6">
        <f>COUNTIFS(Table142[Country],Tabela1[[#This Row],[Country]],Table142[Classification],"&gt;0")</f>
        <v>0</v>
      </c>
      <c r="PO161" s="6">
        <f>COUNTIFS(Table142145[Country],Tabela1[[#This Row],[Country]],Table142145[Classification],"&gt;0")</f>
        <v>0</v>
      </c>
      <c r="PP161" s="6">
        <f>COUNTIFS(Tabela15[Country],Tabela1[[#This Row],[Country]],Tabela15[Mixed Team Classification],"&gt;0")</f>
        <v>0</v>
      </c>
      <c r="PQ161" s="6">
        <f>COUNTIFS(Table145[Country],Tabela1[[#This Row],[Country]],Table145[Large Hill Classification],"&gt;0")</f>
        <v>0</v>
      </c>
      <c r="PR161" s="6">
        <f>COUNTIFS(Table145[Country],Tabela1[[#This Row],[Country]],Table145[Normal Hill Classification],"&gt;0")</f>
        <v>0</v>
      </c>
      <c r="PS161" s="6">
        <f>COUNTIFS(Table145148[Country],Tabela1[[#This Row],[Country]],Table145148[Large Hill Classification],"&gt;0")</f>
        <v>0</v>
      </c>
      <c r="PT161" s="6">
        <f>COUNTIFS(Table145148[Country],Tabela1[[#This Row],[Country]],Table145148[Normal Hill Classification],"&gt;0")</f>
        <v>0</v>
      </c>
      <c r="PU161" s="6">
        <f>COUNTIFS(Table148[Country],Tabela1[[#This Row],[Country]],Table148[Men''s Super Team Classification],"&gt;0")</f>
        <v>0</v>
      </c>
      <c r="PV161" s="6">
        <f>COUNTIFS(Tabela114[Country],Tabela1[[#This Row],[Country]],Tabela114[Mixed Normal Hill Classification],"&gt;0")</f>
        <v>0</v>
      </c>
      <c r="PW161" s="6">
        <f>COUNTIFS(Tabela50[Country],Tabela1[[#This Row],[Country]],Tabela50[Sprint Classification],"&gt;0")</f>
        <v>0</v>
      </c>
      <c r="PX161" s="6">
        <f>COUNTIFS(Tabela50101[Country],Tabela1[[#This Row],[Country]],Tabela50101[Sprint Classification],"&gt;0")</f>
        <v>0</v>
      </c>
      <c r="PY161" s="6">
        <f>COUNTIFS(Tabela103[Country],Tabela1[[#This Row],[Country]],Tabela103[Mixed Relay Classification],"&gt;0")</f>
        <v>0</v>
      </c>
      <c r="PZ161" s="6">
        <f>COUNTIFS(Table149[Country],Tabela1[[#This Row],[Country]],Table149[Big Air Classification],"&gt;0")</f>
        <v>0</v>
      </c>
      <c r="QA161" s="6">
        <f>COUNTIFS(Table149152[Country],Tabela1[[#This Row],[Country]],Table149152[Big Air Classification],"&gt;0")</f>
        <v>0</v>
      </c>
      <c r="QB161" s="6">
        <f>COUNTIFS(Table149[Country],Tabela1[[#This Row],[Country]],Table149[Halfpipe Classification],"&gt;0")</f>
        <v>0</v>
      </c>
      <c r="QC161" s="6">
        <f>COUNTIFS(Table149152[Country],Tabela1[[#This Row],[Country]],Table149152[Halfpipe Classification],"&gt;0")</f>
        <v>0</v>
      </c>
      <c r="QD161" s="6">
        <f>COUNTIFS(Table149[Country],Tabela1[[#This Row],[Country]],Table149[Parallel Giant Slalom Classification],"&gt;0")</f>
        <v>0</v>
      </c>
      <c r="QE161" s="6">
        <f>COUNTIFS(Table149152[Country],Tabela1[[#This Row],[Country]],Table149152[Parallel Giant Slalom Classification],"&gt;0")</f>
        <v>0</v>
      </c>
      <c r="QF161" s="6">
        <f>COUNTIFS(Table149[Country],Tabela1[[#This Row],[Country]],Table149[Slopestyle Classification],"&gt;0")</f>
        <v>0</v>
      </c>
      <c r="QG161" s="6">
        <f>COUNTIFS(Table149152[Country],Tabela1[[#This Row],[Country]],Table149152[Slopestyle Classification],"&gt;0")</f>
        <v>0</v>
      </c>
      <c r="QH161" s="6">
        <f>COUNTIFS(Table149[Country],Tabela1[[#This Row],[Country]],Table149[Snowboard Cross Classification],"&gt;0")</f>
        <v>0</v>
      </c>
      <c r="QI161" s="6">
        <f>COUNTIFS(Table149152[Country],Tabela1[[#This Row],[Country]],Table149152[Snowboard Cross Classification],"&gt;0")</f>
        <v>0</v>
      </c>
      <c r="QJ161" s="6">
        <f>COUNTIFS(Table153[Country],Tabela1[[#This Row],[Country]],Table153[Mixed Team Snowboard Cross Classification],"&gt;0")</f>
        <v>0</v>
      </c>
      <c r="QK161" s="6">
        <f>COUNTIFS(Table154[Country],Tabela1[[#This Row],[Country]],Table154[500m Classification],"&gt;0")</f>
        <v>0</v>
      </c>
      <c r="QL161" s="6">
        <f>COUNTIFS(Table154157[Country],Tabela1[[#This Row],[Country]],Table154157[500m Classification],"&gt;0")</f>
        <v>0</v>
      </c>
      <c r="QM161" s="6">
        <f>COUNTIFS(Table154[Country],Tabela1[[#This Row],[Country]],Table154[1000m Classification],"&gt;0")</f>
        <v>0</v>
      </c>
      <c r="QN161" s="6">
        <f>COUNTIFS(Table154157[Country],Tabela1[[#This Row],[Country]],Table154157[1000m Classification],"&gt;0")</f>
        <v>0</v>
      </c>
      <c r="QO161" s="6">
        <f>COUNTIFS(Table154[Country],Tabela1[[#This Row],[Country]],Table154[1500m Classification],"&gt;0")</f>
        <v>0</v>
      </c>
      <c r="QP161" s="6">
        <f>COUNTIFS(Table154157[Country],Tabela1[[#This Row],[Country]],Table154157[1500m Classification],"&gt;0")</f>
        <v>0</v>
      </c>
      <c r="QQ161" s="6">
        <f>COUNTIFS(Table154157[Country],Tabela1[[#This Row],[Country]],Table154157[3000m Classification],"&gt;0")</f>
        <v>0</v>
      </c>
      <c r="QR161" s="6">
        <f>COUNTIFS(Table154[Country],Tabela1[[#This Row],[Country]],Table154[5000m Classification],"&gt;0")</f>
        <v>0</v>
      </c>
      <c r="QS161" s="6">
        <f>COUNTIFS(Table154157[Country],Tabela1[[#This Row],[Country]],Table154157[5000m Classification],"&gt;0")</f>
        <v>0</v>
      </c>
      <c r="QT161" s="6">
        <f>COUNTIFS(Table154[Country],Tabela1[[#This Row],[Country]],Table154[10000m Classification],"&gt;0")</f>
        <v>0</v>
      </c>
      <c r="QU161" s="6">
        <f>COUNTIFS(Table154[Country],Tabela1[[#This Row],[Country]],Table154[Mass Start Classification],"&gt;0")</f>
        <v>0</v>
      </c>
      <c r="QV161" s="6">
        <f>COUNTIFS(Table154157[Country],Tabela1[[#This Row],[Country]],Table154157[Mass Start Classification],"&gt;0")</f>
        <v>0</v>
      </c>
      <c r="QW161" s="6">
        <f>COUNTIFS(Table157[Country],Tabela1[[#This Row],[Country]],Table157[Men''s Pursuit Classification],"&gt;0")</f>
        <v>0</v>
      </c>
      <c r="QX161" s="6">
        <f>COUNTIFS(Table157[Country],Tabela1[[#This Row],[Country]],Table157[Women''s Pursuit Classification],"&gt;0")</f>
        <v>0</v>
      </c>
      <c r="QY161" s="4" t="s">
        <v>447</v>
      </c>
    </row>
    <row r="162" spans="1:467" x14ac:dyDescent="0.3">
      <c r="A162" s="6">
        <v>161</v>
      </c>
      <c r="B162" s="6" t="s">
        <v>492</v>
      </c>
      <c r="C162" t="e" vm="161">
        <f>IF(ISBLANK(Tabela1[[#This Row],[Image Link]]), "", _xlfn.IMAGE(Tabela1[[#This Row],[Image Link]],1,1))</f>
        <v>#VALUE!</v>
      </c>
      <c r="D162" s="6">
        <f>SUM(Tabela1[[#This Row],[Archery - Men''s Individual Recurve]:[Speed Skating - Women''s Team Pursuit]])</f>
        <v>0</v>
      </c>
      <c r="E162" s="6">
        <f>COUNTIF(Tabela1[[#This Row],[Archery - Men''s Individual Recurve]:[Speed Skating - Women''s Team Pursuit]],"&gt;0")</f>
        <v>0</v>
      </c>
      <c r="F162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62" s="6">
        <f>SUM(Tabela1[[#This Row],[Archery - Men''s Individual Recurve]:[Wrestling - Women''s Freestyle 76kg]])</f>
        <v>0</v>
      </c>
      <c r="H162" s="6">
        <f>SUM(Tabela1[[#This Row],[Alpine Skiing - Men''s Downhill]:[Speed Skating - Women''s Team Pursuit]])</f>
        <v>0</v>
      </c>
      <c r="I162" s="6">
        <f>Tabela1[[#This Row],[Summer Gold Medals]]+Tabela1[[#This Row],[Winter Gold Medals]]</f>
        <v>0</v>
      </c>
      <c r="J162" s="6">
        <f>Tabela1[[#This Row],[Summer Silver Medals]]+Tabela1[[#This Row],[Winter Silver Medals]]</f>
        <v>0</v>
      </c>
      <c r="K162" s="6">
        <f>Tabela1[[#This Row],[Summer Bronze Medals]]+Tabela1[[#This Row],[Winter Bronze Medals]]</f>
        <v>0</v>
      </c>
      <c r="L162" s="6">
        <f>SUM(Tabela1[[#This Row],[Total Gold Medals]:[Total Bronze Medals]])</f>
        <v>0</v>
      </c>
      <c r="M162" s="6"/>
      <c r="N162" s="6"/>
      <c r="O162" s="6"/>
      <c r="P162" s="6">
        <f>SUM(Tabela1[[#This Row],[Summer Gold Medals]:[Summer Bronze Medals]])</f>
        <v>0</v>
      </c>
      <c r="Q162" s="6"/>
      <c r="R162" s="6"/>
      <c r="S162" s="6"/>
      <c r="T162" s="6">
        <f>Tabela1[[#This Row],[Winter Gold Medals]]+Tabela1[[#This Row],[Winter Silver Medals]]+Tabela1[[#This Row],[Winter Bronze Medals]]</f>
        <v>0</v>
      </c>
      <c r="U162" s="7" t="e">
        <f>Tabela1[[#This Row],[Total Medals]]/Tabela1[[#This Row],[Total Quotas]]</f>
        <v>#DIV/0!</v>
      </c>
      <c r="V162" s="6">
        <f>COUNTIFS(Table3[Country],Tabela1[[#This Row],[Country]],Table3[Recurve Classification],"&gt;0")</f>
        <v>0</v>
      </c>
      <c r="W162" s="6">
        <f>COUNTIFS(Table33[Country],Tabela1[[#This Row],[Country]],Table33[Recurve Classification],"&gt;0")</f>
        <v>0</v>
      </c>
      <c r="X162" s="6">
        <f>COUNTIFS(Table35[Country],Tabela1[[#This Row],[Country]],Table35[Men''s Team Recurve Classification],"&gt;0")</f>
        <v>0</v>
      </c>
      <c r="Y162" s="6">
        <f>COUNTIFS(Table35[Country],Tabela1[[#This Row],[Country]],Table35[Women''s Team Recurve Classification],"&gt;0")</f>
        <v>0</v>
      </c>
      <c r="Z162" s="6">
        <f>COUNTIFS(Tabela88[Country],Tabela1[[#This Row],[Country]],Tabela88[Mixed Team Recurve Classification],"&gt;0")</f>
        <v>0</v>
      </c>
      <c r="AA162" s="6">
        <f>COUNTIFS(Table36[Country],Tabela1[[#This Row],[Country]],Table36[Classification],"&gt;0")</f>
        <v>0</v>
      </c>
      <c r="AB162" s="6">
        <f>COUNTIFS(Table37[Country],Tabela1[[#This Row],[Country]],Table37[Classification],"&gt;0")</f>
        <v>0</v>
      </c>
      <c r="AC162" s="6">
        <f>COUNTIFS(Table4[Country],Tabela1[[#This Row],[Country]],Table4[100m Classification],"&gt;0")</f>
        <v>0</v>
      </c>
      <c r="AD162" s="6">
        <f>COUNTIFS(Table5[Country],Tabela1[[#This Row],[Country]],Table5[100m Classification],"&gt;0")</f>
        <v>0</v>
      </c>
      <c r="AE162" s="6">
        <f>COUNTIFS(Table4[Country],Tabela1[[#This Row],[Country]],Table4[200m Classification],"&gt;0")</f>
        <v>0</v>
      </c>
      <c r="AF162" s="6">
        <f>COUNTIFS(Table5[Country],Tabela1[[#This Row],[Country]],Table5[200m Classification],"&gt;0")</f>
        <v>0</v>
      </c>
      <c r="AG162" s="6">
        <f>COUNTIFS(Table4[Country],Tabela1[[#This Row],[Country]],Table4[400m Classification],"&gt;0")</f>
        <v>0</v>
      </c>
      <c r="AH162" s="6">
        <f>COUNTIFS(Table5[Country],Tabela1[[#This Row],[Country]],Table5[400m Classification],"&gt;0")</f>
        <v>0</v>
      </c>
      <c r="AI162" s="6">
        <f>COUNTIFS(Table4[Country],Tabela1[[#This Row],[Country]],Table4[800m Classification],"&gt;0")</f>
        <v>0</v>
      </c>
      <c r="AJ162" s="6">
        <f>COUNTIFS(Table5[Country],Tabela1[[#This Row],[Country]],Table5[800m Classification],"&gt;0")</f>
        <v>0</v>
      </c>
      <c r="AK162" s="6">
        <f>COUNTIFS(Table4[Country],Tabela1[[#This Row],[Country]],Table4[1500m Classification],"&gt;0")</f>
        <v>0</v>
      </c>
      <c r="AL162" s="6">
        <f>COUNTIFS(Table5[Country],Tabela1[[#This Row],[Country]],Table5[1500m Classification],"&gt;0")</f>
        <v>0</v>
      </c>
      <c r="AM162" s="6">
        <f>COUNTIFS(Table4[Country],Tabela1[[#This Row],[Country]],Table4[5000m Classification],"&gt;0")</f>
        <v>0</v>
      </c>
      <c r="AN162" s="6">
        <f>COUNTIFS(Table5[Country],Tabela1[[#This Row],[Country]],Table5[5000m Classification],"&gt;0")</f>
        <v>0</v>
      </c>
      <c r="AO162" s="6">
        <f>COUNTIFS(Table4[Country],Tabela1[[#This Row],[Country]],Table4[10000m Classification],"&gt;0")</f>
        <v>0</v>
      </c>
      <c r="AP162" s="6">
        <f>COUNTIFS(Table5[Country],Tabela1[[#This Row],[Country]],Table5[10000m Classification],"&gt;0")</f>
        <v>0</v>
      </c>
      <c r="AQ162" s="6">
        <f>COUNTIFS(Table4[Country],Tabela1[[#This Row],[Country]],Table4[110m Hurdles Classification],"&gt;0")</f>
        <v>0</v>
      </c>
      <c r="AR162" s="6">
        <f>COUNTIFS(Table5[Country],Tabela1[[#This Row],[Country]],Table5[100m Hurdles Classification],"&gt;0")</f>
        <v>0</v>
      </c>
      <c r="AS162" s="6">
        <f>COUNTIFS(Table4[Country],Tabela1[[#This Row],[Country]],Table4[400m Hurdles Classification],"&gt;0")</f>
        <v>0</v>
      </c>
      <c r="AT162" s="6">
        <f>COUNTIFS(Table5[Country],Tabela1[[#This Row],[Country]],Table5[400m Hurdles Classification],"&gt;0")</f>
        <v>0</v>
      </c>
      <c r="AU162" s="6">
        <f>COUNTIFS(Table4[Country],Tabela1[[#This Row],[Country]],Table4[3000m Steeplechase Classification],"&gt;0")</f>
        <v>0</v>
      </c>
      <c r="AV162" s="6">
        <f>COUNTIFS(Table5[Country],Tabela1[[#This Row],[Country]],Table5[3000m Steeplechase Classification],"&gt;0")</f>
        <v>0</v>
      </c>
      <c r="AW162" s="6">
        <f>COUNTIFS(Table27[Country],Tabela1[[#This Row],[Country]],Table27[Men''s 4x100m Relay Classification],"&gt;0")</f>
        <v>0</v>
      </c>
      <c r="AX162" s="6">
        <f>COUNTIFS(Table27[Country],Tabela1[[#This Row],[Country]],Table27[Women''s 4x100m Relay Classification],"&gt;0")</f>
        <v>0</v>
      </c>
      <c r="AY162" s="6">
        <f>COUNTIFS(Table27[Country],Tabela1[[#This Row],[Country]],Table27[Men''s 4x400m Relay Classification],"&gt;0")</f>
        <v>0</v>
      </c>
      <c r="AZ162" s="6">
        <f>COUNTIFS(Table27[Country],Tabela1[[#This Row],[Country]],Table27[Women''s 4x400m Relay Classification],"&gt;0")</f>
        <v>0</v>
      </c>
      <c r="BA162" s="6">
        <f>COUNTIFS(Table27[Country],Tabela1[[#This Row],[Country]],Table27[Mixed 4x400m Relay Classification],"&gt;0")</f>
        <v>0</v>
      </c>
      <c r="BB162" s="6">
        <f>COUNTIFS(Table4[Country],Tabela1[[#This Row],[Country]],Table4[Marathon Classification],"&gt;0")</f>
        <v>0</v>
      </c>
      <c r="BC162" s="6">
        <f>COUNTIFS(Table5[Country],Tabela1[[#This Row],[Country]],Table5[Marathon Classification],"&gt;0")</f>
        <v>0</v>
      </c>
      <c r="BD162" s="6">
        <f>COUNTIFS(Table4[Country],Tabela1[[#This Row],[Country]],Table4[20km Race Walk Classification],"&gt;0")</f>
        <v>0</v>
      </c>
      <c r="BE162" s="6">
        <f>COUNTIFS(Table5[Country],Tabela1[[#This Row],[Country]],Table5[20km Race Walk Classification],"&gt;0")</f>
        <v>0</v>
      </c>
      <c r="BF162" s="6">
        <f>COUNTIFS(Tabela96[Country],Tabela1[[#This Row],[Country]],Tabela96[Mixed Marathon Race Walk Relay Classification],"&gt;0")</f>
        <v>0</v>
      </c>
      <c r="BG162" s="6">
        <f>COUNTIFS(Table4[Country],Tabela1[[#This Row],[Country]],Table4[Discus Throw Classification],"&gt;0")</f>
        <v>0</v>
      </c>
      <c r="BH162" s="6">
        <f>COUNTIFS(Table5[Country],Tabela1[[#This Row],[Country]],Table5[Discus Throw Classification],"&gt;0")</f>
        <v>0</v>
      </c>
      <c r="BI162" s="6">
        <f>COUNTIFS(Table4[Country],Tabela1[[#This Row],[Country]],Table4[Hammer Throw Classification],"&gt;0")</f>
        <v>0</v>
      </c>
      <c r="BJ162" s="6">
        <f>COUNTIFS(Table5[Country],Tabela1[[#This Row],[Country]],Table5[Hammer Throw Classification],"&gt;0")</f>
        <v>0</v>
      </c>
      <c r="BK162" s="6">
        <f>COUNTIFS(Table4[Country],Tabela1[[#This Row],[Country]],Table4[High Jump Classification],"&gt;0")</f>
        <v>0</v>
      </c>
      <c r="BL162" s="6">
        <f>COUNTIFS(Table5[Country],Tabela1[[#This Row],[Country]],Table5[High Jump Classification],"&gt;0")</f>
        <v>0</v>
      </c>
      <c r="BM162" s="6">
        <f>COUNTIFS(Table4[Country],Tabela1[[#This Row],[Country]],Table4[Javelin Throw Classification],"&gt;0")</f>
        <v>0</v>
      </c>
      <c r="BN162" s="6">
        <f>COUNTIFS(Table5[Country],Tabela1[[#This Row],[Country]],Table5[Javelin Throw Classification],"&gt;0")</f>
        <v>0</v>
      </c>
      <c r="BO162" s="6">
        <f>COUNTIFS(Table4[Country],Tabela1[[#This Row],[Country]],Table4[Long Jump Classification],"&gt;0")</f>
        <v>0</v>
      </c>
      <c r="BP162" s="6">
        <f>COUNTIFS(Table5[Country],Tabela1[[#This Row],[Country]],Table5[Long Jump Classification],"&gt;0")</f>
        <v>0</v>
      </c>
      <c r="BQ162" s="6">
        <f>COUNTIFS(Table4[Country],Tabela1[[#This Row],[Country]],Table4[Pole Vault Classification],"&gt;0")</f>
        <v>0</v>
      </c>
      <c r="BR162" s="6">
        <f>COUNTIFS(Table5[Country],Tabela1[[#This Row],[Country]],Table5[Pole Vault Classification],"&gt;0")</f>
        <v>0</v>
      </c>
      <c r="BS162" s="6">
        <f>COUNTIFS(Table4[Country],Tabela1[[#This Row],[Country]],Table4[Shot Put Classification],"&gt;0")</f>
        <v>0</v>
      </c>
      <c r="BT162" s="6">
        <f>COUNTIFS(Table5[Country],Tabela1[[#This Row],[Country]],Table5[Shot Put Classification],"&gt;0")</f>
        <v>0</v>
      </c>
      <c r="BU162" s="6">
        <f>COUNTIFS(Table4[Country],Tabela1[[#This Row],[Country]],Table4[Triple Jump Classification],"&gt;0")</f>
        <v>0</v>
      </c>
      <c r="BV162" s="6">
        <f>COUNTIFS(Table5[Country],Tabela1[[#This Row],[Country]],Table5[Triple Jump Classification],"&gt;0")</f>
        <v>0</v>
      </c>
      <c r="BW162" s="6">
        <f>COUNTIFS(Table4[Country],Tabela1[[#This Row],[Country]],Table4[Decathlon Classification],"&gt;0")</f>
        <v>0</v>
      </c>
      <c r="BX162" s="6">
        <f>COUNTIFS(Table5[Country],Tabela1[[#This Row],[Country]],Table5[Heptathlon Classification],"&gt;0")</f>
        <v>0</v>
      </c>
      <c r="BY162" s="6">
        <f>COUNTIFS(Table61[Country],Tabela1[[#This Row],[Country]],Table61[Classification],"&gt;0")</f>
        <v>0</v>
      </c>
      <c r="BZ162" s="6">
        <f>COUNTIFS(Table38[Country],Tabela1[[#This Row],[Country]],Table38[Classification],"&gt;0")</f>
        <v>0</v>
      </c>
      <c r="CA162" s="6">
        <f>COUNTIFS(Table39[Country],Tabela1[[#This Row],[Country]],Table39[Men''s Classification],"&gt;0")</f>
        <v>0</v>
      </c>
      <c r="CB162" s="6">
        <f>COUNTIFS(Table39[Country],Tabela1[[#This Row],[Country]],Table39[Women''s Classification],"&gt;0")</f>
        <v>0</v>
      </c>
      <c r="CC162" s="6">
        <f>COUNTIFS(Table39[Country],Tabela1[[#This Row],[Country]],Table39[Mixed Classification],"&gt;0")</f>
        <v>0</v>
      </c>
      <c r="CD162" s="6">
        <f>COUNTIFS(Table89[Country],Tabela1[[#This Row],[Country]],Table89[Men''s Classification],"&gt;0")</f>
        <v>0</v>
      </c>
      <c r="CE162" s="6">
        <f>COUNTIFS(Table89[Country],Tabela1[[#This Row],[Country]],Table89[Women''s Classification],"&gt;0")</f>
        <v>0</v>
      </c>
      <c r="CF162" s="6">
        <f>COUNTIFS(Table90[Country],Tabela1[[#This Row],[Country]],Table90[Men''s Classification],"&gt;0")</f>
        <v>0</v>
      </c>
      <c r="CG162" s="6">
        <f>COUNTIFS(Table90[Country],Tabela1[[#This Row],[Country]],Table90[Women''s Classification],"&gt;0")</f>
        <v>0</v>
      </c>
      <c r="CH162" s="6">
        <f>COUNTIFS(Table60[Country],Tabela1[[#This Row],[Country]],Table60[Men''s Classification],"&gt;0")</f>
        <v>0</v>
      </c>
      <c r="CI162" s="6">
        <f>COUNTIFS(Table60[Country],Tabela1[[#This Row],[Country]],Table60[Women''s Classification],"&gt;0")</f>
        <v>0</v>
      </c>
      <c r="CJ162" s="6">
        <f>COUNTIFS(Table6[Country],Tabela1[[#This Row],[Country]],Table6[51kg Classification],"&gt;0")</f>
        <v>0</v>
      </c>
      <c r="CK162" s="6">
        <f>COUNTIFS(Table6[Country],Tabela1[[#This Row],[Country]],Table6[57kg Classification],"&gt;0")</f>
        <v>0</v>
      </c>
      <c r="CL162" s="6">
        <f>COUNTIFS(Table6[Country],Tabela1[[#This Row],[Country]],Table6[63.5kg Classification],"&gt;0")</f>
        <v>0</v>
      </c>
      <c r="CM162" s="6">
        <f>COUNTIFS(Table6[Country],Tabela1[[#This Row],[Country]],Table6[71kg Classification],"&gt;0")</f>
        <v>0</v>
      </c>
      <c r="CN162" s="6">
        <f>COUNTIFS(Table6[Country],Tabela1[[#This Row],[Country]],Table6[80kg Classification],"&gt;0")</f>
        <v>0</v>
      </c>
      <c r="CO162" s="6">
        <f>COUNTIFS(Table6[Country],Tabela1[[#This Row],[Country]],Table6[92kg Classification],"&gt;0")</f>
        <v>0</v>
      </c>
      <c r="CP162" s="6">
        <f>COUNTIFS(Table6[Country],Tabela1[[#This Row],[Country]],Table6[Plus 92kg Classification],"&gt;0")</f>
        <v>0</v>
      </c>
      <c r="CQ162" s="6">
        <f>COUNTIFS(Table7[Country],Tabela1[[#This Row],[Country]],Table7[50kg Classification],"&gt;0")</f>
        <v>0</v>
      </c>
      <c r="CR162" s="6">
        <f>COUNTIFS(Table7[Country],Tabela1[[#This Row],[Country]],Table7[54kg Classification],"&gt;0")</f>
        <v>0</v>
      </c>
      <c r="CS162" s="6">
        <f>COUNTIFS(Table7[Country],Tabela1[[#This Row],[Country]],Table7[57kg Classification],"&gt;0")</f>
        <v>0</v>
      </c>
      <c r="CT162" s="6">
        <f>COUNTIFS(Table7[Country],Tabela1[[#This Row],[Country]],Table7[60kg Classification],"&gt;0")</f>
        <v>0</v>
      </c>
      <c r="CU162" s="6">
        <f>COUNTIFS(Table7[Country],Tabela1[[#This Row],[Country]],Table7[66kg Classification],"&gt;0")</f>
        <v>0</v>
      </c>
      <c r="CV162" s="6">
        <f>COUNTIFS(Table7[Country],Tabela1[[#This Row],[Country]],Table7[75kg Classification],"&gt;0")</f>
        <v>0</v>
      </c>
      <c r="CW162" s="6">
        <f>COUNTIFS(Tabela94[Country],Tabela1[[#This Row],[Country]],Tabela94[Classification],"&gt;0")</f>
        <v>0</v>
      </c>
      <c r="CX162" s="6">
        <f>COUNTIFS(Tabela9499[Country],Tabela1[[#This Row],[Country]],Tabela9499[Classification],"&gt;0")</f>
        <v>0</v>
      </c>
      <c r="CY162" s="6">
        <f>COUNTIFS(Tabela107[Country],Tabela1[[#This Row],[Country]],Tabela107[C1 Slalom Classification],"&gt;0")</f>
        <v>0</v>
      </c>
      <c r="CZ162" s="6">
        <f>COUNTIFS(Tabela107122[Country],Tabela1[[#This Row],[Country]],Tabela107122[C1 Slalom Classification],"&gt;0")</f>
        <v>0</v>
      </c>
      <c r="DA162" s="6">
        <f>COUNTIFS(Tabela107[Country],Tabela1[[#This Row],[Country]],Tabela107[K1 Slalom Classification],"&gt;0")</f>
        <v>0</v>
      </c>
      <c r="DB162" s="6">
        <f>COUNTIFS(Tabela107122[Country],Tabela1[[#This Row],[Country]],Tabela107122[K1 Slalom Classification],"&gt;0")</f>
        <v>0</v>
      </c>
      <c r="DC162" s="6">
        <f>COUNTIFS(Tabela107[Country],Tabela1[[#This Row],[Country]],Tabela107[Kayak Cross Slalom Classification],"&gt;0")</f>
        <v>0</v>
      </c>
      <c r="DD162" s="6">
        <f>COUNTIFS(Tabela107122[Country],Tabela1[[#This Row],[Country]],Tabela107122[Kayak Cross Slalom Classification],"&gt;0")</f>
        <v>0</v>
      </c>
      <c r="DE162" s="6">
        <f>COUNTIFS(Table8[Country],Tabela1[[#This Row],[Country]],Table8[C1 200m Classification],"&gt;0")</f>
        <v>0</v>
      </c>
      <c r="DF162" s="6">
        <f>COUNTIFS(Table40[Country],Tabela1[[#This Row],[Country]],Table40[C1 1000m Classification],"&gt;0")</f>
        <v>0</v>
      </c>
      <c r="DG162" s="6">
        <f>COUNTIFS(Table68[Country],Tabela1[[#This Row],[Country]],Table68[Men''s C2 500m Classification],"&gt;0")</f>
        <v>0</v>
      </c>
      <c r="DH162" s="6">
        <f>COUNTIFS(Table68[Country],Tabela1[[#This Row],[Country]],Table68[Women''s C2 500m Classification],"&gt;0")</f>
        <v>0</v>
      </c>
      <c r="DI162" s="6">
        <f>COUNTIFS(Table8[Country],Tabela1[[#This Row],[Country]],Table8[K1 500m Classification],"&gt;0")</f>
        <v>0</v>
      </c>
      <c r="DJ162" s="6">
        <f>COUNTIFS(Table40[Country],Tabela1[[#This Row],[Country]],Table40[K1 1000m Classification],"&gt;0")</f>
        <v>0</v>
      </c>
      <c r="DK162" s="6">
        <f>COUNTIFS(Table68[Country],Tabela1[[#This Row],[Country]],Table68[Men''s K2 500m Classification],"&gt;0")</f>
        <v>0</v>
      </c>
      <c r="DL162" s="6">
        <f>COUNTIFS(Table68[Country],Tabela1[[#This Row],[Country]],Table68[Women''s K2 500m Classification],"&gt;0")</f>
        <v>0</v>
      </c>
      <c r="DM162" s="6">
        <f>COUNTIFS(Table83[Country],Tabela1[[#This Row],[Country]],Table83[Men''s K4 500m Classification],"&gt;0")</f>
        <v>0</v>
      </c>
      <c r="DN162" s="6">
        <f>COUNTIFS(Table83[Country],Tabela1[[#This Row],[Country]],Table83[Women''s K4 500m Classification],"&gt;0")</f>
        <v>0</v>
      </c>
      <c r="DO162" s="6">
        <f>COUNTIFS(Tabela126[Country],Tabela1[[#This Row],[Country]],Tabela126[Classification],"&gt;0")</f>
        <v>0</v>
      </c>
      <c r="DP162" s="6">
        <f>COUNTIFS(Tabela126130[Country],Tabela1[[#This Row],[Country]],Tabela126130[Classification],"&gt;0")</f>
        <v>0</v>
      </c>
      <c r="DQ162" s="6">
        <f>COUNTIFS(Table70[Country],Tabela1[[#This Row],[Country]],Table70[Classification],"&gt;0")</f>
        <v>0</v>
      </c>
      <c r="DR162" s="6">
        <f>COUNTIFS(Table80[Country],Tabela1[[#This Row],[Country]],Table80[Classification],"&gt;0")</f>
        <v>0</v>
      </c>
      <c r="DS162" s="6">
        <f>COUNTIFS(Table66[Country],Tabela1[[#This Row],[Country]],Table66[Classification],"&gt;0")</f>
        <v>0</v>
      </c>
      <c r="DT162" s="6">
        <f>COUNTIFS(Table67[Country],Tabela1[[#This Row],[Country]],Table67[Classification],"&gt;0")</f>
        <v>0</v>
      </c>
      <c r="DU162" s="6">
        <f>COUNTIFS(Table69[Country],Tabela1[[#This Row],[Country]],Table69[Keirin Classification],"&gt;0")</f>
        <v>0</v>
      </c>
      <c r="DV162" s="6">
        <f>COUNTIFS(Table41[Country],Tabela1[[#This Row],[Country]],Table41[Keirin Classification],"&gt;0")</f>
        <v>0</v>
      </c>
      <c r="DW162" s="6">
        <f>COUNTIFS(Table84[Country],Tabela1[[#This Row],[Country]],Table84[Men''s Madison Classification],"&gt;0")</f>
        <v>0</v>
      </c>
      <c r="DX162" s="6">
        <f>COUNTIFS(Table84[Country],Tabela1[[#This Row],[Country]],Table84[Women''s Madison Classification],"&gt;0")</f>
        <v>0</v>
      </c>
      <c r="DY162" s="6">
        <f>COUNTIFS(Table69[Country],Tabela1[[#This Row],[Country]],Table69[Omnium Classification],"&gt;0")</f>
        <v>0</v>
      </c>
      <c r="DZ162" s="6">
        <f>COUNTIFS(Table41[Country],Tabela1[[#This Row],[Country]],Table41[Omnium Classification],"&gt;0")</f>
        <v>0</v>
      </c>
      <c r="EA162" s="6">
        <f>COUNTIFS(Table9[Country],Tabela1[[#This Row],[Country]],Table9[Road Race Classification],"&gt;0")</f>
        <v>0</v>
      </c>
      <c r="EB162" s="6">
        <f>COUNTIFS(Table14[Country],Tabela1[[#This Row],[Country]],Table14[Road Race Classification],"&gt;0")</f>
        <v>0</v>
      </c>
      <c r="EC162" s="6">
        <f>COUNTIFS(Table69[Country],Tabela1[[#This Row],[Country]],Table69[Sprint Classification],"&gt;0")</f>
        <v>0</v>
      </c>
      <c r="ED162" s="6">
        <f>COUNTIFS(Table41[Country],Tabela1[[#This Row],[Country]],Table41[Sprint Classification],"&gt;0")</f>
        <v>0</v>
      </c>
      <c r="EE162" s="6">
        <f>COUNTIFS(Table85[Country],Tabela1[[#This Row],[Country]],Table85[Men''s Sprint Classification],"&gt;0")</f>
        <v>0</v>
      </c>
      <c r="EF162" s="6">
        <f>COUNTIFS(Table85[Country],Tabela1[[#This Row],[Country]],Table85[Women''s Sprint Classification],"&gt;0")</f>
        <v>0</v>
      </c>
      <c r="EG162" s="6">
        <f>COUNTIFS(Table85[Country],Tabela1[[#This Row],[Country]],Table85[Men''s Pursuit Classification],"&gt;0")</f>
        <v>0</v>
      </c>
      <c r="EH162" s="6">
        <f>COUNTIFS(Table85[Country],Tabela1[[#This Row],[Country]],Table85[Women''s Pursuit Classification],"&gt;0")</f>
        <v>0</v>
      </c>
      <c r="EI162" s="6">
        <f>COUNTIFS(Table9[Country],Tabela1[[#This Row],[Country]],Table9[Time-Trial Classification],"&gt;0")</f>
        <v>0</v>
      </c>
      <c r="EJ162" s="6">
        <f>COUNTIFS(Table14[Country],Tabela1[[#This Row],[Country]],Table14[Time-Trial Classification],"&gt;0")</f>
        <v>0</v>
      </c>
      <c r="EK162" s="6">
        <f>COUNTIFS(Table42[Country],Tabela1[[#This Row],[Country]],Table42[Springboard Classification],"&gt;0")</f>
        <v>0</v>
      </c>
      <c r="EL162" s="6">
        <f>COUNTIFS(Table43[Country],Tabela1[[#This Row],[Country]],Table43[Springboard Classification],"&gt;0")</f>
        <v>0</v>
      </c>
      <c r="EM162" s="6">
        <f>COUNTIFS(Table42[Country],Tabela1[[#This Row],[Country]],Table42[Platform Classification],"&gt;0")</f>
        <v>0</v>
      </c>
      <c r="EN162" s="6">
        <f>COUNTIFS(Table43[Country],Tabela1[[#This Row],[Country]],Table43[Platform Classification],"&gt;0")</f>
        <v>0</v>
      </c>
      <c r="EO162" s="6">
        <f>COUNTIFS(Table86[Country],Tabela1[[#This Row],[Country]],Table86[Men''s Synchronized Springboard Classification],"&gt;0")</f>
        <v>0</v>
      </c>
      <c r="EP162" s="6">
        <f>COUNTIFS(Table86[Country],Tabela1[[#This Row],[Country]],Table86[Women''s Synchronized Springboard Classification],"&gt;0")</f>
        <v>0</v>
      </c>
      <c r="EQ162" s="6">
        <f>COUNTIFS(Table86[Country],Tabela1[[#This Row],[Country]],Table86[Men''s Synchronized Platform Classification],"&gt;0")</f>
        <v>0</v>
      </c>
      <c r="ER162" s="6">
        <f>COUNTIFS(Table86[Country],Tabela1[[#This Row],[Country]],Table86[Women''s Synchronized Platform Classification],"&gt;0")</f>
        <v>0</v>
      </c>
      <c r="ES162" s="6">
        <f>COUNTIFS(Table44[Country],Tabela1[[#This Row],[Country]],Table44[Dressage Classification],"&gt;0")</f>
        <v>0</v>
      </c>
      <c r="ET162" s="6">
        <f>COUNTIFS(Table45[Country],Tabela1[[#This Row],[Country]],Table45[Dressage Classification],"&gt;0")</f>
        <v>0</v>
      </c>
      <c r="EU162" s="6">
        <f>COUNTIFS(Table44[Country],Tabela1[[#This Row],[Country]],Table44[Eventing Classification],"&gt;0")</f>
        <v>0</v>
      </c>
      <c r="EV162" s="6">
        <f>COUNTIFS(Table45[Country],Tabela1[[#This Row],[Country]],Table45[Eventing Classification],"&gt;0")</f>
        <v>0</v>
      </c>
      <c r="EW162" s="6">
        <f>COUNTIFS(Table44[Country],Tabela1[[#This Row],[Country]],Table44[Jumping Classification],"&gt;0")</f>
        <v>0</v>
      </c>
      <c r="EX162" s="6">
        <f>COUNTIFS(Table45[Country],Tabela1[[#This Row],[Country]],Table45[Jumping Classification],"&gt;0")</f>
        <v>0</v>
      </c>
      <c r="EY162" s="6">
        <f>COUNTIFS(Table10[Country],Tabela1[[#This Row],[Country]],Table10[Épée Classification],"&gt;0")</f>
        <v>0</v>
      </c>
      <c r="EZ162" s="6">
        <f>COUNTIFS(Table11[Country],Tabela1[[#This Row],[Country]],Table11[Épée Classification],"&gt;0")</f>
        <v>0</v>
      </c>
      <c r="FA162" s="6">
        <f>COUNTIFS(Table46[Country],Tabela1[[#This Row],[Country]],Table46[Men''s Épée Classification],"&gt;0")</f>
        <v>0</v>
      </c>
      <c r="FB162" s="6">
        <f>COUNTIFS(Table46[Country],Tabela1[[#This Row],[Country]],Table46[Women''s Épée Classification],"&gt;0")</f>
        <v>0</v>
      </c>
      <c r="FC162" s="6">
        <f>COUNTIFS(Table10[Country],Tabela1[[#This Row],[Country]],Table10[Foil Classification],"&gt;0")</f>
        <v>0</v>
      </c>
      <c r="FD162" s="6">
        <f>COUNTIFS(Table11[Country],Tabela1[[#This Row],[Country]],Table11[Foil Classification],"&gt;0")</f>
        <v>0</v>
      </c>
      <c r="FE162" s="6">
        <f>COUNTIFS(Table46[Country],Tabela1[[#This Row],[Country]],Table46[Men''s Foil Classification],"&gt;0")</f>
        <v>0</v>
      </c>
      <c r="FF162" s="6">
        <f>COUNTIFS(Table46[Country],Tabela1[[#This Row],[Country]],Table46[Women''s Foil Classification],"&gt;0")</f>
        <v>0</v>
      </c>
      <c r="FG162" s="6">
        <f>COUNTIFS(Table10[Country],Tabela1[[#This Row],[Country]],Table10[Sabre Classification],"&gt;0")</f>
        <v>0</v>
      </c>
      <c r="FH162" s="6">
        <f>COUNTIFS(Table11[Country],Tabela1[[#This Row],[Country]],Table11[Sabre Classification],"&gt;0")</f>
        <v>0</v>
      </c>
      <c r="FI162" s="6">
        <f>COUNTIFS(Table46[Country],Tabela1[[#This Row],[Country]],Table46[Men''s Sabre Classification],"&gt;0")</f>
        <v>0</v>
      </c>
      <c r="FJ162" s="6">
        <f>COUNTIFS(Table46[Country],Tabela1[[#This Row],[Country]],Table46[Women''s Sabre Classification],"&gt;0")</f>
        <v>0</v>
      </c>
      <c r="FK162" s="6">
        <f>COUNTIFS(Table91[Country],Tabela1[[#This Row],[Country]],Table91[Men''s Classification],"&gt;0")</f>
        <v>0</v>
      </c>
      <c r="FL162" s="6">
        <f>COUNTIFS(Table91[Country],Tabela1[[#This Row],[Country]],Table91[Women''s Classification],"&gt;0")</f>
        <v>0</v>
      </c>
      <c r="FM162" s="6">
        <f>COUNTIFS(Table9194[Country],Tabela1[[#This Row],[Country]],Table9194[Men''s Classification],"&gt;0")</f>
        <v>0</v>
      </c>
      <c r="FN162" s="6">
        <f>COUNTIFS(Table9194[Country],Tabela1[[#This Row],[Country]],Table9194[Women''s Classification],"&gt;0")</f>
        <v>0</v>
      </c>
      <c r="FO162" s="6">
        <f>COUNTIFS(Table71[Country],Tabela1[[#This Row],[Country]],Table71[Classification],"&gt;0")</f>
        <v>0</v>
      </c>
      <c r="FP162" s="6">
        <f>COUNTIFS(Table62[Country],Tabela1[[#This Row],[Country]],Table62[Classification],"&gt;0")</f>
        <v>0</v>
      </c>
      <c r="FQ162" s="6">
        <f>COUNTIFS(Table47[Country],Tabela1[[#This Row],[Country]],Table47[All-Around Classification],"&gt;0")</f>
        <v>0</v>
      </c>
      <c r="FR162" s="6">
        <f>COUNTIFS(Table48[Country],Tabela1[[#This Row],[Country]],Table48[All-Around Classification],"&gt;0")</f>
        <v>0</v>
      </c>
      <c r="FS162" s="6">
        <f>COUNTIFS(Table81[Country],Tabela1[[#This Row],[Country]],Table81[Men''s All-Around Classification],"&gt;0")</f>
        <v>0</v>
      </c>
      <c r="FT162" s="6">
        <f>COUNTIFS(Table81[Country],Tabela1[[#This Row],[Country]],Table81[Women''s All-Around Classification],"&gt;0")</f>
        <v>0</v>
      </c>
      <c r="FU162" s="6">
        <f>COUNTIFS(Table48[Country],Tabela1[[#This Row],[Country]],Table48[Balance Beam Classification],"&gt;0")</f>
        <v>0</v>
      </c>
      <c r="FV162" s="6">
        <f>COUNTIFS(Table47[Country],Tabela1[[#This Row],[Country]],Table47[Floor Exercise Classification],"&gt;0")</f>
        <v>0</v>
      </c>
      <c r="FW162" s="6">
        <f>COUNTIFS(Table48[Country],Tabela1[[#This Row],[Country]],Table48[Floor Exercise Classification],"&gt;0")</f>
        <v>0</v>
      </c>
      <c r="FX162" s="6">
        <f>COUNTIFS(Table47[Country],Tabela1[[#This Row],[Country]],Table47[Horizontal Bar Classification],"&gt;0")</f>
        <v>0</v>
      </c>
      <c r="FY162" s="6">
        <f>COUNTIFS(Table47[Country],Tabela1[[#This Row],[Country]],Table47[Parallel Bars Classification],"&gt;0")</f>
        <v>0</v>
      </c>
      <c r="FZ162" s="6">
        <f>COUNTIFS(Table47[Country],Tabela1[[#This Row],[Country]],Table47[Pommel Horse Classification],"&gt;0")</f>
        <v>0</v>
      </c>
      <c r="GA162" s="6">
        <f>COUNTIFS(Table47[Country],Tabela1[[#This Row],[Country]],Table47[Rings Classification],"&gt;0")</f>
        <v>0</v>
      </c>
      <c r="GB162" s="6">
        <f>COUNTIFS(Tabela132[Country],Tabela1[[#This Row],[Country]],Tabela132[Classification],"&gt;0")</f>
        <v>0</v>
      </c>
      <c r="GC162" s="6">
        <f>COUNTIFS(Tabela139[Country],Tabela1[[#This Row],[Country]],Tabela139[Classification],"&gt;0")</f>
        <v>0</v>
      </c>
      <c r="GD162" s="6">
        <f>COUNTIFS(Table48[Country],Tabela1[[#This Row],[Country]],Table48[Uneven Bars Classification],"&gt;0")</f>
        <v>0</v>
      </c>
      <c r="GE162" s="6">
        <f>COUNTIFS(Table47[Country],Tabela1[[#This Row],[Country]],Table47[Vault Classification],"&gt;0")</f>
        <v>0</v>
      </c>
      <c r="GF162" s="6">
        <f>COUNTIFS(Table48[Country],Tabela1[[#This Row],[Country]],Table48[Vault Classification],"&gt;0")</f>
        <v>0</v>
      </c>
      <c r="GG162" s="6">
        <f>COUNTIFS(Table919496[Country],Tabela1[[#This Row],[Country]],Table919496[Men''s Classification],"&gt;0")</f>
        <v>0</v>
      </c>
      <c r="GH162" s="6">
        <f>COUNTIFS(Table919496[Country],Tabela1[[#This Row],[Country]],Table919496[Women''s Classification],"&gt;0")</f>
        <v>0</v>
      </c>
      <c r="GI162" s="6">
        <f>COUNTIFS(Table12[Country],Tabela1[[#This Row],[Country]],Table12[60kg Classification],"&gt;0")</f>
        <v>0</v>
      </c>
      <c r="GJ162" s="6">
        <f>COUNTIFS(Table12[Country],Tabela1[[#This Row],[Country]],Table12[66kg Classification],"&gt;0")</f>
        <v>0</v>
      </c>
      <c r="GK162" s="6">
        <f>COUNTIFS(Table12[Country],Tabela1[[#This Row],[Country]],Table12[73kg Classification],"&gt;0")</f>
        <v>0</v>
      </c>
      <c r="GL162" s="6">
        <f>COUNTIFS(Table12[Country],Tabela1[[#This Row],[Country]],Table12[81kg Classification],"&gt;0")</f>
        <v>0</v>
      </c>
      <c r="GM162" s="6">
        <f>COUNTIFS(Table12[Country],Tabela1[[#This Row],[Country]],Table12[90kg Classification],"&gt;0")</f>
        <v>0</v>
      </c>
      <c r="GN162" s="6">
        <f>COUNTIFS(Table12[Country],Tabela1[[#This Row],[Country]],Table12[100kg Classification],"&gt;0")</f>
        <v>0</v>
      </c>
      <c r="GO162" s="6">
        <f>COUNTIFS(Table12[Country],Tabela1[[#This Row],[Country]],Table12[Plus 100kg Classification],"&gt;0")</f>
        <v>0</v>
      </c>
      <c r="GP162" s="6">
        <f>COUNTIFS(Table13[Country],Tabela1[[#This Row],[Country]],Table13[48kg Classification],"&gt;0")</f>
        <v>0</v>
      </c>
      <c r="GQ162" s="6">
        <f>COUNTIFS(Table13[Country],Tabela1[[#This Row],[Country]],Table13[52kg Classification],"&gt;0")</f>
        <v>0</v>
      </c>
      <c r="GR162" s="6">
        <f>COUNTIFS(Table13[Country],Tabela1[[#This Row],[Country]],Table13[57kg Classification],"&gt;0")</f>
        <v>0</v>
      </c>
      <c r="GS162" s="6">
        <f>COUNTIFS(Table13[Country],Tabela1[[#This Row],[Country]],Table13[63kg Classification],"&gt;0")</f>
        <v>0</v>
      </c>
      <c r="GT162" s="6">
        <f>COUNTIFS(Table13[Country],Tabela1[[#This Row],[Country]],Table13[70kg Classification],"&gt;0")</f>
        <v>0</v>
      </c>
      <c r="GU162" s="6">
        <f>COUNTIFS(Table13[Country],Tabela1[[#This Row],[Country]],Table13[78kg Classification],"&gt;0")</f>
        <v>0</v>
      </c>
      <c r="GV162" s="6">
        <f>COUNTIFS(Table13[Country],Tabela1[[#This Row],[Country]],Table13[Plus 78kg Classification],"&gt;0")</f>
        <v>0</v>
      </c>
      <c r="GW162" s="6">
        <f>COUNTIFS(Table82[Country],Tabela1[[#This Row],[Country]],Table82[Mixed Classification],"&gt;0")</f>
        <v>0</v>
      </c>
      <c r="GX162" s="6">
        <f>COUNTIFS(Table51[Country],Tabela1[[#This Row],[Country]],Table51[Classification],"&gt;0")</f>
        <v>0</v>
      </c>
      <c r="GY162" s="6">
        <f>COUNTIFS(Table52[Country],Tabela1[[#This Row],[Country]],Table52[Classification],"&gt;0")</f>
        <v>0</v>
      </c>
      <c r="GZ162" s="6">
        <f>COUNTIFS(Table32[Country],Tabela1[[#This Row],[Country]],Table32[All-Around Classification],"&gt;0")</f>
        <v>0</v>
      </c>
      <c r="HA162" s="6">
        <f>COUNTIFS(Table49[Country],Tabela1[[#This Row],[Country]],Table49[All-Around Classification],"&gt;0")</f>
        <v>0</v>
      </c>
      <c r="HB162" s="6">
        <f>COUNTIFS(Table26[Country],Tabela1[[#This Row],[Country]],Table26[Single Sculls Classification],"&gt;0")</f>
        <v>0</v>
      </c>
      <c r="HC162" s="6">
        <f>COUNTIFS(Table63[Country],Tabela1[[#This Row],[Country]],Table63[Single Sculls Classification],"&gt;0")</f>
        <v>0</v>
      </c>
      <c r="HD162" s="6">
        <f>COUNTIFS(Table16[Country],Tabela1[[#This Row],[Country]],Table16[Men''s Double Sculls Classification],"&gt;0")</f>
        <v>0</v>
      </c>
      <c r="HE162" s="6">
        <f>COUNTIFS(Table16[Country],Tabela1[[#This Row],[Country]],Table16[Women''s Double Sculls Classification],"&gt;0")</f>
        <v>0</v>
      </c>
      <c r="HF162" s="6">
        <f>COUNTIFS(Table72[Country],Tabela1[[#This Row],[Country]],Table72[Men''s Quadruple Sculls Classification],"&gt;0")</f>
        <v>0</v>
      </c>
      <c r="HG162" s="6">
        <f>COUNTIFS(Table72[Country],Tabela1[[#This Row],[Country]],Table72[Women''s Quadruple Sculls Classification],"&gt;0")</f>
        <v>0</v>
      </c>
      <c r="HH162" s="6">
        <f>COUNTIFS(Table16[Country],Tabela1[[#This Row],[Country]],Table16[Men''s Coxless Pairs Classification],"&gt;0")</f>
        <v>0</v>
      </c>
      <c r="HI162" s="6">
        <f>COUNTIFS(Table16[Country],Tabela1[[#This Row],[Country]],Table16[Women''s Coxless Pairs Classification],"&gt;0")</f>
        <v>0</v>
      </c>
      <c r="HJ162" s="6">
        <f>COUNTIFS(Table72[Country],Tabela1[[#This Row],[Country]],Table72[Men''s Coxless Fours Classification],"&gt;0")</f>
        <v>0</v>
      </c>
      <c r="HK162" s="6">
        <f>COUNTIFS(Table72[Country],Tabela1[[#This Row],[Country]],Table72[Women''s Coxless Fours Classification],"&gt;0")</f>
        <v>0</v>
      </c>
      <c r="HL162" s="6">
        <f>COUNTIFS(Table72[Country],Tabela1[[#This Row],[Country]],Table72[Men''s Eights Classification],"&gt;0")</f>
        <v>0</v>
      </c>
      <c r="HM162" s="6">
        <f>COUNTIFS(Table72[Country],Tabela1[[#This Row],[Country]],Table72[Women''s Eights Classification],"&gt;0")</f>
        <v>0</v>
      </c>
      <c r="HN162" s="6">
        <f>COUNTIFS(Table16[Country],Tabela1[[#This Row],[Country]],Table16[Men''s Lwt. Double Sculls Classification],"&gt;0")</f>
        <v>0</v>
      </c>
      <c r="HO162" s="6">
        <f>COUNTIFS(Table16[Country],Tabela1[[#This Row],[Country]],Table16[Women''s Lwt. Double Sculls Classification],"&gt;0")</f>
        <v>0</v>
      </c>
      <c r="HP162" s="6">
        <f>COUNTIFS(Table91949698[Country],Tabela1[[#This Row],[Country]],Table91949698[Men''s Classification],"&gt;0")</f>
        <v>0</v>
      </c>
      <c r="HQ162" s="6">
        <f>COUNTIFS(Table91949698[Country],Tabela1[[#This Row],[Country]],Table91949698[Women''s Classification],"&gt;0")</f>
        <v>0</v>
      </c>
      <c r="HR162" s="6">
        <f>COUNTIFS(Table25[Country],Tabela1[[#This Row],[Country]],Table25[Mixed 470 Classification],"&gt;0")</f>
        <v>0</v>
      </c>
      <c r="HS162" s="6">
        <f>COUNTIFS(Table25[Country],Tabela1[[#This Row],[Country]],Table25[Men''s 49er Classification],"&gt;0")</f>
        <v>0</v>
      </c>
      <c r="HT162" s="6">
        <f>COUNTIFS(Table25[Country],Tabela1[[#This Row],[Country]],Table25[Women''s 49er FX Classification],"&gt;0")</f>
        <v>0</v>
      </c>
      <c r="HU162" s="6">
        <f>COUNTIFS(Table17[Country],Tabela1[[#This Row],[Country]],Table17[Formula Kite Classification],"&gt;0")</f>
        <v>0</v>
      </c>
      <c r="HV162" s="6">
        <f>COUNTIFS(Table18[Country],Tabela1[[#This Row],[Country]],Table18[Formula Kite Classification],"&gt;0")</f>
        <v>0</v>
      </c>
      <c r="HW162" s="6">
        <f>COUNTIFS(Table17[Country],Tabela1[[#This Row],[Country]],Table17[ILCA 7 Classification],"&gt;0")</f>
        <v>0</v>
      </c>
      <c r="HX162" s="6">
        <f>COUNTIFS(Table18[Country],Tabela1[[#This Row],[Country]],Table18[ILCA 6 Classification],"&gt;0")</f>
        <v>0</v>
      </c>
      <c r="HY162" s="6">
        <f>COUNTIFS(Table17[Country],Tabela1[[#This Row],[Country]],Table17[IQFoil Classification],"&gt;0")</f>
        <v>0</v>
      </c>
      <c r="HZ162" s="6">
        <f>COUNTIFS(Table18[Country],Tabela1[[#This Row],[Country]],Table18[IQFoil Classification],"&gt;0")</f>
        <v>0</v>
      </c>
      <c r="IA162" s="6">
        <f>COUNTIFS(Table25[Country],Tabela1[[#This Row],[Country]],Table25[Mixed Nacra 17 Classification],"&gt;0")</f>
        <v>0</v>
      </c>
      <c r="IB162" s="6">
        <f>COUNTIFS(Table53[Country],Tabela1[[#This Row],[Country]],Table53[10m Air Pistol Classification],"&gt;0")</f>
        <v>0</v>
      </c>
      <c r="IC162" s="6">
        <f>COUNTIFS(Table19[Country],Tabela1[[#This Row],[Country]],Table19[10m Air Pistol Classification],"&gt;0")</f>
        <v>0</v>
      </c>
      <c r="ID162" s="6">
        <f>COUNTIFS(Table54[Country],Tabela1[[#This Row],[Country]],Table54[Mixed 10m Air Pistol Team Classification],"&gt;0")</f>
        <v>0</v>
      </c>
      <c r="IE162" s="6">
        <f>COUNTIFS(Table53[Country],Tabela1[[#This Row],[Country]],Table53[10m Air Rifle Classification],"&gt;0")</f>
        <v>0</v>
      </c>
      <c r="IF162" s="6">
        <f>COUNTIFS(Table19[Country],Tabela1[[#This Row],[Country]],Table19[10m Air Rifle Classification],"&gt;0")</f>
        <v>0</v>
      </c>
      <c r="IG162" s="6">
        <f>COUNTIFS(Table54[Country],Tabela1[[#This Row],[Country]],Table54[Mixed 10m Air Rifle Team Classification],"&gt;0")</f>
        <v>0</v>
      </c>
      <c r="IH162" s="6">
        <f>COUNTIFS(Table53[Country],Tabela1[[#This Row],[Country]],Table53[25m Rapid Fire Pistol Classification],"&gt;0")</f>
        <v>0</v>
      </c>
      <c r="II162" s="6">
        <f>COUNTIFS(Table19[Country],Tabela1[[#This Row],[Country]],Table19[25m Pistol Classification],"&gt;0")</f>
        <v>0</v>
      </c>
      <c r="IJ162" s="6">
        <f>COUNTIFS(Table53[Country],Tabela1[[#This Row],[Country]],Table53[50m Rifle 3 Positions Classification],"&gt;0")</f>
        <v>0</v>
      </c>
      <c r="IK162" s="6">
        <f>COUNTIFS(Table19[Country],Tabela1[[#This Row],[Country]],Table19[50m Rifle 3 Positions Classification],"&gt;0")</f>
        <v>0</v>
      </c>
      <c r="IL162" s="6">
        <f>COUNTIFS(Table53[Country],Tabela1[[#This Row],[Country]],Table53[Skeet Classification],"&gt;0")</f>
        <v>0</v>
      </c>
      <c r="IM162" s="6">
        <f>COUNTIFS(Table19[Country],Tabela1[[#This Row],[Country]],Table19[Skeet Classification],"&gt;0")</f>
        <v>0</v>
      </c>
      <c r="IN162" s="6">
        <f>COUNTIFS(Table54[Country],Tabela1[[#This Row],[Country]],Table54[Mixed Skeet Team Classification],"&gt;0")</f>
        <v>0</v>
      </c>
      <c r="IO162" s="6">
        <f>COUNTIFS(Table53[Country],Tabela1[[#This Row],[Country]],Table53[Trap Classification],"&gt;0")</f>
        <v>0</v>
      </c>
      <c r="IP162" s="6">
        <f>COUNTIFS(Table19[Country],Tabela1[[#This Row],[Country]],Table19[Trap Classification],"&gt;0")</f>
        <v>0</v>
      </c>
      <c r="IQ162" s="6">
        <f>COUNTIFS(Table73[Country],Tabela1[[#This Row],[Country]],Table73[Park Classification],"&gt;0")</f>
        <v>0</v>
      </c>
      <c r="IR162" s="6">
        <f>COUNTIFS(Table74[Country],Tabela1[[#This Row],[Country]],Table74[Park Classification],"&gt;0")</f>
        <v>0</v>
      </c>
      <c r="IS162" s="6">
        <f>COUNTIFS(Table73[Country],Tabela1[[#This Row],[Country]],Table73[Street Classification],"&gt;0")</f>
        <v>0</v>
      </c>
      <c r="IT162" s="6">
        <f>COUNTIFS(Table74[Country],Tabela1[[#This Row],[Country]],Table74[Street Classification],"&gt;0")</f>
        <v>0</v>
      </c>
      <c r="IU162" s="6">
        <f>COUNTIFS(Table75[Country],Tabela1[[#This Row],[Country]],Table75[Boulder and Lead Classification],"&gt;0")</f>
        <v>0</v>
      </c>
      <c r="IV162" s="6">
        <f>COUNTIFS(Table76[Country],Tabela1[[#This Row],[Country]],Table76[Boulder and Lead Classification],"&gt;0")</f>
        <v>0</v>
      </c>
      <c r="IW162" s="6">
        <f>COUNTIFS(Table75[Country],Tabela1[[#This Row],[Country]],Table75[Speed Classification],"&gt;0")</f>
        <v>0</v>
      </c>
      <c r="IX162" s="6">
        <f>COUNTIFS(Table76[Country],Tabela1[[#This Row],[Country]],Table76[Speed Classification],"&gt;0")</f>
        <v>0</v>
      </c>
      <c r="IY162" s="6">
        <f>COUNTIFS(Table64[Country],Tabela1[[#This Row],[Country]],Table64[Shortboard Classification],"&gt;0")</f>
        <v>0</v>
      </c>
      <c r="IZ162" s="6">
        <f>COUNTIFS(Table77[Country],Tabela1[[#This Row],[Country]],Table77[Shortboard Classification],"&gt;0")</f>
        <v>0</v>
      </c>
      <c r="JA162" s="6">
        <f>COUNTIFS(Table20[Country],Tabela1[[#This Row],[Country]],Table20[50m Freestyle Classification],"&gt;0")</f>
        <v>0</v>
      </c>
      <c r="JB162" s="6">
        <f>COUNTIFS(Table21[Country],Tabela1[[#This Row],[Country]],Table21[50m Freestyle Classification],"&gt;0")</f>
        <v>0</v>
      </c>
      <c r="JC162" s="6">
        <f>COUNTIFS(Table20[Country],Tabela1[[#This Row],[Country]],Table20[100m Freestyle Classification],"&gt;0")</f>
        <v>0</v>
      </c>
      <c r="JD162" s="6">
        <f>COUNTIFS(Table21[Country],Tabela1[[#This Row],[Country]],Table21[100m Freestyle Classification],"&gt;0")</f>
        <v>0</v>
      </c>
      <c r="JE162" s="6">
        <f>COUNTIFS(Table20[Country],Tabela1[[#This Row],[Country]],Table20[200m Freestyle Classification],"&gt;0")</f>
        <v>0</v>
      </c>
      <c r="JF162" s="6">
        <f>COUNTIFS(Table21[Country],Tabela1[[#This Row],[Country]],Table21[200m Freestyle Classification],"&gt;0")</f>
        <v>0</v>
      </c>
      <c r="JG162" s="6">
        <f>COUNTIFS(Table20[Country],Tabela1[[#This Row],[Country]],Table20[400m Freestyle Classification],"&gt;0")</f>
        <v>0</v>
      </c>
      <c r="JH162" s="6">
        <f>COUNTIFS(Table21[Country],Tabela1[[#This Row],[Country]],Table21[400m Freestyle Classification],"&gt;0")</f>
        <v>0</v>
      </c>
      <c r="JI162" s="6">
        <f>COUNTIFS(Table20[Country],Tabela1[[#This Row],[Country]],Table20[800m Freestyle Classification],"&gt;0")</f>
        <v>0</v>
      </c>
      <c r="JJ162" s="6">
        <f>COUNTIFS(Table21[Country],Tabela1[[#This Row],[Country]],Table21[800m Freestyle Classification],"&gt;0")</f>
        <v>0</v>
      </c>
      <c r="JK162" s="6">
        <f>COUNTIFS(Table20[Country],Tabela1[[#This Row],[Country]],Table20[1500m Freestyle Classification],"&gt;0")</f>
        <v>0</v>
      </c>
      <c r="JL162" s="6">
        <f>COUNTIFS(Table21[Country],Tabela1[[#This Row],[Country]],Table21[1500m Freestyle Classification],"&gt;0")</f>
        <v>0</v>
      </c>
      <c r="JM162" s="6">
        <f>COUNTIFS(Table20[Country],Tabela1[[#This Row],[Country]],Table20[100m Backstroke Classification],"&gt;0")</f>
        <v>0</v>
      </c>
      <c r="JN162" s="6">
        <f>COUNTIFS(Table21[Country],Tabela1[[#This Row],[Country]],Table21[100m Backstroke Classification],"&gt;0")</f>
        <v>0</v>
      </c>
      <c r="JO162" s="6">
        <f>COUNTIFS(Table20[Country],Tabela1[[#This Row],[Country]],Table20[200m Backstroke Classification],"&gt;0")</f>
        <v>0</v>
      </c>
      <c r="JP162" s="6">
        <f>COUNTIFS(Table21[Country],Tabela1[[#This Row],[Country]],Table21[200m Backstroke Classification],"&gt;0")</f>
        <v>0</v>
      </c>
      <c r="JQ162" s="6">
        <f>COUNTIFS(Table20[Country],Tabela1[[#This Row],[Country]],Table20[100m Breaststroke Classification],"&gt;0")</f>
        <v>0</v>
      </c>
      <c r="JR162" s="6">
        <f>COUNTIFS(Table21[Country],Tabela1[[#This Row],[Country]],Table21[100m Breaststroke Classification],"&gt;0")</f>
        <v>0</v>
      </c>
      <c r="JS162" s="6">
        <f>COUNTIFS(Table20[Country],Tabela1[[#This Row],[Country]],Table20[200m Breaststroke Classification],"&gt;0")</f>
        <v>0</v>
      </c>
      <c r="JT162" s="6">
        <f>COUNTIFS(Table21[Country],Tabela1[[#This Row],[Country]],Table21[200m Breaststroke Classification],"&gt;0")</f>
        <v>0</v>
      </c>
      <c r="JU162" s="6">
        <f>COUNTIFS(Table20[Country],Tabela1[[#This Row],[Country]],Table20[100m Butterfly Classification],"&gt;0")</f>
        <v>0</v>
      </c>
      <c r="JV162" s="6">
        <f>COUNTIFS(Table21[Country],Tabela1[[#This Row],[Country]],Table21[100m Butterfly Classification],"&gt;0")</f>
        <v>0</v>
      </c>
      <c r="JW162" s="6">
        <f>COUNTIFS(Table20[Country],Tabela1[[#This Row],[Country]],Table20[200m Butterfly Classification],"&gt;0")</f>
        <v>0</v>
      </c>
      <c r="JX162" s="6">
        <f>COUNTIFS(Table21[Country],Tabela1[[#This Row],[Country]],Table21[200m Butterfly Classification],"&gt;0")</f>
        <v>0</v>
      </c>
      <c r="JY162" s="6">
        <f>COUNTIFS(Table20[Country],Tabela1[[#This Row],[Country]],Table20[200m Medley Classification],"&gt;0")</f>
        <v>0</v>
      </c>
      <c r="JZ162" s="6">
        <f>COUNTIFS(Table21[Country],Tabela1[[#This Row],[Country]],Table21[200m Medley Classification],"&gt;0")</f>
        <v>0</v>
      </c>
      <c r="KA162" s="6">
        <f>COUNTIFS(Table20[Country],Tabela1[[#This Row],[Country]],Table20[400m Medley Classification],"&gt;0")</f>
        <v>0</v>
      </c>
      <c r="KB162" s="6">
        <f>COUNTIFS(Table21[Country],Tabela1[[#This Row],[Country]],Table21[400m Medley Classification],"&gt;0")</f>
        <v>0</v>
      </c>
      <c r="KC162" s="6">
        <f>COUNTIFS(Table78[Country],Tabela1[[#This Row],[Country]],Table78[Men''s 4x100m Freestyle Relay Classification],"&gt;0")</f>
        <v>0</v>
      </c>
      <c r="KD162" s="6">
        <f>COUNTIFS(Table78[Country],Tabela1[[#This Row],[Country]],Table78[Women''s 4x100m Freestyle Relay Classification],"&gt;0")</f>
        <v>0</v>
      </c>
      <c r="KE162" s="6">
        <f>COUNTIFS(Table78[Country],Tabela1[[#This Row],[Country]],Table78[Men''s 4x200m Freestyle Relay Classification],"&gt;0")</f>
        <v>0</v>
      </c>
      <c r="KF162" s="6">
        <f>COUNTIFS(Table78[Country],Tabela1[[#This Row],[Country]],Table78[Women''s 4x200m Freestyle Relay Classification],"&gt;0")</f>
        <v>0</v>
      </c>
      <c r="KG162" s="6">
        <f>COUNTIFS(Table78[Country],Tabela1[[#This Row],[Country]],Table78[Men''s 4x100m Medley Relay Classification],"&gt;0")</f>
        <v>0</v>
      </c>
      <c r="KH162" s="6">
        <f>COUNTIFS(Table78[Country],Tabela1[[#This Row],[Country]],Table78[Women''s 4x100m Medley Relay Classification],"&gt;0")</f>
        <v>0</v>
      </c>
      <c r="KI162" s="6">
        <f>COUNTIFS(Table78[Country],Tabela1[[#This Row],[Country]],Table78[Mixed 4x100m Medley Relay Classification],"&gt;0")</f>
        <v>0</v>
      </c>
      <c r="KJ162" s="6">
        <f>COUNTIFS(Table20[Country],Tabela1[[#This Row],[Country]],Table20[10km Open Water Classification],"&gt;0")</f>
        <v>0</v>
      </c>
      <c r="KK162" s="6">
        <f>COUNTIFS(Table21[Country],Tabela1[[#This Row],[Country]],Table21[10km Open Water Classification],"&gt;0")</f>
        <v>0</v>
      </c>
      <c r="KL162" s="6">
        <f>COUNTIFS(Table22[Country],Tabela1[[#This Row],[Country]],Table22[Classification],"&gt;0")</f>
        <v>0</v>
      </c>
      <c r="KM162" s="6">
        <f>COUNTIFS(Table30[Country],Tabela1[[#This Row],[Country]],Table30[Classification],"&gt;0")</f>
        <v>0</v>
      </c>
      <c r="KN162" s="6">
        <f>COUNTIFS(Table55[Country],Tabela1[[#This Row],[Country]],Table55[Men''s Classification],"&gt;0")</f>
        <v>0</v>
      </c>
      <c r="KO162" s="6">
        <f>COUNTIFS(Table55[Country],Tabela1[[#This Row],[Country]],Table55[Women''s Classification],"&gt;0")</f>
        <v>0</v>
      </c>
      <c r="KP162" s="6">
        <f>COUNTIFS(Table56[Country],Tabela1[[#This Row],[Country]],Table56[Mixed Classification],"&gt;0")</f>
        <v>0</v>
      </c>
      <c r="KQ162" s="6">
        <f>COUNTIFS(Table29[Country],Tabela1[[#This Row],[Country]],Table29[58kg Classification],"&gt;0")</f>
        <v>0</v>
      </c>
      <c r="KR162" s="6">
        <f>COUNTIFS(Table29[Country],Tabela1[[#This Row],[Country]],Table29[68kg Classification],"&gt;0")</f>
        <v>0</v>
      </c>
      <c r="KS162" s="6">
        <f>COUNTIFS(Table29[Country],Tabela1[[#This Row],[Country]],Table29[80kg Classification],"&gt;0")</f>
        <v>0</v>
      </c>
      <c r="KT162" s="6">
        <f>COUNTIFS(Table29[Country],Tabela1[[#This Row],[Country]],Table29[Plus 80kg Classification],"&gt;0")</f>
        <v>0</v>
      </c>
      <c r="KU162" s="6">
        <f>COUNTIFS(Table34[Country],Tabela1[[#This Row],[Country]],Table34[49kg Classification],"&gt;0")</f>
        <v>0</v>
      </c>
      <c r="KV162" s="6">
        <f>COUNTIFS(Table34[Country],Tabela1[[#This Row],[Country]],Table34[57kg Classification],"&gt;0")</f>
        <v>0</v>
      </c>
      <c r="KW162" s="6">
        <f>COUNTIFS(Table34[Country],Tabela1[[#This Row],[Country]],Table34[67kg Classification],"&gt;0")</f>
        <v>0</v>
      </c>
      <c r="KX162" s="6">
        <f>COUNTIFS(Table34[Country],Tabela1[[#This Row],[Country]],Table34[Plus 67kg Classification],"&gt;0")</f>
        <v>0</v>
      </c>
      <c r="KY162" s="6">
        <f>COUNTIFS(Table57[Country],Tabela1[[#This Row],[Country]],Table57[Classification],"&gt;0")</f>
        <v>0</v>
      </c>
      <c r="KZ162" s="6">
        <f>COUNTIFS(Table58[Country],Tabela1[[#This Row],[Country]],Table58[Classification],"&gt;0")</f>
        <v>0</v>
      </c>
      <c r="LA162" s="6">
        <f>COUNTIFS(Table79[Country],Tabela1[[#This Row],[Country]],Table79[Men''s Classification],"&gt;0")</f>
        <v>0</v>
      </c>
      <c r="LB162" s="6">
        <f>COUNTIFS(Table79[Country],Tabela1[[#This Row],[Country]],Table79[Women''s Classification],"&gt;0")</f>
        <v>0</v>
      </c>
      <c r="LC162" s="6">
        <f>COUNTIFS(Table79[Country],Tabela1[[#This Row],[Country]],Table79[Mixed Classification],"&gt;0")</f>
        <v>0</v>
      </c>
      <c r="LD162" s="6">
        <f>COUNTIFS(Table65[Country],Tabela1[[#This Row],[Country]],Table65[Classification],"&gt;0")</f>
        <v>0</v>
      </c>
      <c r="LE162" s="6">
        <f>COUNTIFS(Table59[Country],Tabela1[[#This Row],[Country]],Table59[Classification],"&gt;0")</f>
        <v>0</v>
      </c>
      <c r="LF162" s="6">
        <f>COUNTIFS(Table87[Country],Tabela1[[#This Row],[Country]],Table87[Mixed Relay Classification],"&gt;0")</f>
        <v>0</v>
      </c>
      <c r="LG162" s="6">
        <f>COUNTIFS(Table91949698100[Country],Tabela1[[#This Row],[Country]],Table91949698100[Men''s Classification],"&gt;0")</f>
        <v>0</v>
      </c>
      <c r="LH162" s="6">
        <f>COUNTIFS(Table91949698100[Country],Tabela1[[#This Row],[Country]],Table91949698100[Women''s Classification],"&gt;0")</f>
        <v>0</v>
      </c>
      <c r="LI162" s="6">
        <f>COUNTIFS(Table91949698100102[Country],Tabela1[[#This Row],[Country]],Table91949698100102[Men''s Classification],"&gt;0")</f>
        <v>0</v>
      </c>
      <c r="LJ162" s="6">
        <f>COUNTIFS(Table91949698100102[Country],Tabela1[[#This Row],[Country]],Table91949698100102[Women''s Classification],"&gt;0")</f>
        <v>0</v>
      </c>
      <c r="LK162" s="6">
        <f>COUNTIFS(Table23[Country],Tabela1[[#This Row],[Country]],Table23[61kg Classification],"&gt;0")</f>
        <v>0</v>
      </c>
      <c r="LL162" s="6">
        <f>COUNTIFS(Table23[Country],Tabela1[[#This Row],[Country]],Table23[73kg Classification],"&gt;0")</f>
        <v>0</v>
      </c>
      <c r="LM162" s="6">
        <f>COUNTIFS(Table23[Country],Tabela1[[#This Row],[Country]],Table23[89kg Classification],"&gt;0")</f>
        <v>0</v>
      </c>
      <c r="LN162" s="6">
        <f>COUNTIFS(Table23[Country],Tabela1[[#This Row],[Country]],Table23[102kg Classification],"&gt;0")</f>
        <v>0</v>
      </c>
      <c r="LO162" s="6">
        <f>COUNTIFS(Table23[Country],Tabela1[[#This Row],[Country]],Table23[Plus 102kg Classification],"&gt;0")</f>
        <v>0</v>
      </c>
      <c r="LP162" s="6">
        <f>COUNTIFS(Table28[Country],Tabela1[[#This Row],[Country]],Table28[49kg Classification],"&gt;0")</f>
        <v>0</v>
      </c>
      <c r="LQ162" s="6">
        <f>COUNTIFS(Table28[Country],Tabela1[[#This Row],[Country]],Table28[59kg Classification],"&gt;0")</f>
        <v>0</v>
      </c>
      <c r="LR162" s="6">
        <f>COUNTIFS(Table28[Country],Tabela1[[#This Row],[Country]],Table28[71kg Classification],"&gt;0")</f>
        <v>0</v>
      </c>
      <c r="LS162" s="6">
        <f>COUNTIFS(Table28[Country],Tabela1[[#This Row],[Country]],Table28[81kg Classification],"&gt;0")</f>
        <v>0</v>
      </c>
      <c r="LT162" s="6">
        <f>COUNTIFS(Table28[Country],Tabela1[[#This Row],[Country]],Table28[Plus 81kg Classification],"&gt;0")</f>
        <v>0</v>
      </c>
      <c r="LU162" s="6">
        <f>COUNTIFS(Table24[Country],Tabela1[[#This Row],[Country]],Table24[Freestyle 57kg Classification],"&gt;0")</f>
        <v>0</v>
      </c>
      <c r="LV162" s="6">
        <f>COUNTIFS(Table24[Country],Tabela1[[#This Row],[Country]],Table24[Freestyle 65kg Classification],"&gt;0")</f>
        <v>0</v>
      </c>
      <c r="LW162" s="6">
        <f>COUNTIFS(Table24[Country],Tabela1[[#This Row],[Country]],Table24[Freestyle 74kg Classification],"&gt;0")</f>
        <v>0</v>
      </c>
      <c r="LX162" s="6">
        <f>COUNTIFS(Table24[Country],Tabela1[[#This Row],[Country]],Table24[Freestyle 86kg Classification],"&gt;0")</f>
        <v>0</v>
      </c>
      <c r="LY162" s="6">
        <f>COUNTIFS(Table24[Country],Tabela1[[#This Row],[Country]],Table24[Freestyle 97kg Classification],"&gt;0")</f>
        <v>0</v>
      </c>
      <c r="LZ162" s="6">
        <f>COUNTIFS(Table24[Country],Tabela1[[#This Row],[Country]],Table24[Freestyle 125kg Classification],"&gt;0")</f>
        <v>0</v>
      </c>
      <c r="MA162" s="6">
        <f>COUNTIFS(Table24[Country],Tabela1[[#This Row],[Country]],Table24[Greco-Roman 60kg Classification],"&gt;0")</f>
        <v>0</v>
      </c>
      <c r="MB162" s="6">
        <f>COUNTIFS(Table24[Country],Tabela1[[#This Row],[Country]],Table24[Greco-Roman 67kg Classification],"&gt;0")</f>
        <v>0</v>
      </c>
      <c r="MC162" s="6">
        <f>COUNTIFS(Table24[Country],Tabela1[[#This Row],[Country]],Table24[Greco-Roman 77kg Classification],"&gt;0")</f>
        <v>0</v>
      </c>
      <c r="MD162" s="6">
        <f>COUNTIFS(Table24[Country],Tabela1[[#This Row],[Country]],Table24[Greco-Roman 87kg Classification],"&gt;0")</f>
        <v>0</v>
      </c>
      <c r="ME162" s="6">
        <f>COUNTIFS(Table24[Country],Tabela1[[#This Row],[Country]],Table24[Greco-Roman 97kg Classification],"&gt;0")</f>
        <v>0</v>
      </c>
      <c r="MF162" s="6">
        <f>COUNTIFS(Table24[Country],Tabela1[[#This Row],[Country]],Table24[Greco-Roman 130kg Classification],"&gt;0")</f>
        <v>0</v>
      </c>
      <c r="MG162" s="6">
        <f>COUNTIFS(Table31[Country],Tabela1[[#This Row],[Country]],Table31[50kg Classification],"&gt;0")</f>
        <v>0</v>
      </c>
      <c r="MH162" s="6">
        <f>COUNTIFS(Table31[Country],Tabela1[[#This Row],[Country]],Table31[53kg Classification],"&gt;0")</f>
        <v>0</v>
      </c>
      <c r="MI162" s="6">
        <f>COUNTIFS(Table31[Country],Tabela1[[#This Row],[Country]],Table31[57kg Classification],"&gt;0")</f>
        <v>0</v>
      </c>
      <c r="MJ162" s="6">
        <f>COUNTIFS(Table31[Country],Tabela1[[#This Row],[Country]],Table31[62kg Classification],"&gt;0")</f>
        <v>0</v>
      </c>
      <c r="MK162" s="6">
        <f>COUNTIFS(Table31[Country],Tabela1[[#This Row],[Country]],Table31[68kg Classification],"&gt;0")</f>
        <v>0</v>
      </c>
      <c r="ML162" s="6">
        <f>COUNTIFS(Table31[Country],Tabela1[[#This Row],[Country]],Table31[76kg Classification],"&gt;0")</f>
        <v>0</v>
      </c>
      <c r="MM162" s="6">
        <f>COUNTIFS(Table102[Country],Tabela1[[#This Row],[Country]],Table102[Downhill Classification],"&gt;0")</f>
        <v>0</v>
      </c>
      <c r="MN162" s="6">
        <f>COUNTIFS(Table102105[Country],Tabela1[[#This Row],[Country]],Table102105[Downhill Classification],"&gt;0")</f>
        <v>0</v>
      </c>
      <c r="MO162" s="6">
        <f>COUNTIFS(Table102[Country],Tabela1[[#This Row],[Country]],Table102[Giant Slalom Classification],"&gt;0")</f>
        <v>0</v>
      </c>
      <c r="MP162" s="6">
        <f>COUNTIFS(Table102105[Country],Tabela1[[#This Row],[Country]],Table102105[Giant Slalom Classification],"&gt;0")</f>
        <v>0</v>
      </c>
      <c r="MQ162" s="6">
        <f>COUNTIFS(Table102[Country],Tabela1[[#This Row],[Country]],Table102[Slalom Classification],"&gt;0")</f>
        <v>0</v>
      </c>
      <c r="MR162" s="6">
        <f>COUNTIFS(Table102105[Country],Tabela1[[#This Row],[Country]],Table102105[Slalom Classification],"&gt;0")</f>
        <v>0</v>
      </c>
      <c r="MS162" s="6">
        <f>COUNTIFS(Table102[Country],Tabela1[[#This Row],[Country]],Table102[Super-G Classification],"&gt;0")</f>
        <v>0</v>
      </c>
      <c r="MT162" s="6">
        <f>COUNTIFS(Table102105[Country],Tabela1[[#This Row],[Country]],Table102105[Super-G Classification],"&gt;0")</f>
        <v>0</v>
      </c>
      <c r="MU162" s="6">
        <f>COUNTIFS(Table105[Country],Tabela1[[#This Row],[Country]],Table105[Men''s Combined Classification],"&gt;0")</f>
        <v>0</v>
      </c>
      <c r="MV162" s="6">
        <f>COUNTIFS(Table105[Country],Tabela1[[#This Row],[Country]],Table105[Women''s Combined Classification],"&gt;0")</f>
        <v>0</v>
      </c>
      <c r="MW162" s="6">
        <f>COUNTIFS(Table106[Country],Tabela1[[#This Row],[Country]],Table106[Individual Classification],"&gt;0")</f>
        <v>0</v>
      </c>
      <c r="MX162" s="6">
        <f>COUNTIFS(Table106109[Country],Tabela1[[#This Row],[Country]],Table106109[Individual Classification],"&gt;0")</f>
        <v>0</v>
      </c>
      <c r="MY162" s="6">
        <f>COUNTIFS(Table106[Country],Tabela1[[#This Row],[Country]],Table106[Mass Start Classification],"&gt;0")</f>
        <v>0</v>
      </c>
      <c r="MZ162" s="6">
        <f>COUNTIFS(Table106109[Country],Tabela1[[#This Row],[Country]],Table106109[Mass Start Classification],"&gt;0")</f>
        <v>0</v>
      </c>
      <c r="NA162" s="6">
        <f>COUNTIFS(Table106[Country],Tabela1[[#This Row],[Country]],Table106[Pursuit Classification],"&gt;0")</f>
        <v>0</v>
      </c>
      <c r="NB162" s="6">
        <f>COUNTIFS(Table106109[Country],Tabela1[[#This Row],[Country]],Table106109[Pursuit Classification],"&gt;0")</f>
        <v>0</v>
      </c>
      <c r="NC162" s="6">
        <f>COUNTIFS(Table106[Country],Tabela1[[#This Row],[Country]],Table106[Sprint Classification],"&gt;0")</f>
        <v>0</v>
      </c>
      <c r="ND162" s="6">
        <f>COUNTIFS(Table106109[Country],Tabela1[[#This Row],[Country]],Table106109[Sprint Classification],"&gt;0")</f>
        <v>0</v>
      </c>
      <c r="NE162" s="6">
        <f>COUNTIFS(Table109[Country],Tabela1[[#This Row],[Country]],Table109[Men''s Relay Classification],"&gt;0")</f>
        <v>0</v>
      </c>
      <c r="NF162" s="6">
        <f>COUNTIFS(Table109[Country],Tabela1[[#This Row],[Country]],Table109[Women''s Relay Classification],"&gt;0")</f>
        <v>0</v>
      </c>
      <c r="NG162" s="6">
        <f>COUNTIFS(Table109[Country],Tabela1[[#This Row],[Country]],Table109[Mixed Relay Classification],"&gt;0")</f>
        <v>0</v>
      </c>
      <c r="NH162" s="6">
        <f>COUNTIFS(Table110[Country],Tabela1[[#This Row],[Country]],Table110[Monobob Classification],"&gt;0")</f>
        <v>0</v>
      </c>
      <c r="NI162" s="6">
        <f>COUNTIFS(Table111[Country],Tabela1[[#This Row],[Country]],Table111[Men''s Classification],"&gt;0")</f>
        <v>0</v>
      </c>
      <c r="NJ162" s="6">
        <f>COUNTIFS(Table111[Country],Tabela1[[#This Row],[Country]],Table111[Women''s Classification],"&gt;0")</f>
        <v>0</v>
      </c>
      <c r="NK162" s="6">
        <f>COUNTIFS(Table112[Country],Tabela1[[#This Row],[Country]],Table112[Men''s Four Classification],"&gt;0")</f>
        <v>0</v>
      </c>
      <c r="NL162" s="6">
        <f>COUNTIFS(Table113[Country],Tabela1[[#This Row],[Country]],Table113[Classical Classification],"&gt;0")</f>
        <v>0</v>
      </c>
      <c r="NM162" s="6">
        <f>COUNTIFS(Table113116[Country],Tabela1[[#This Row],[Country]],Table113116[Classical Classification],"&gt;0")</f>
        <v>0</v>
      </c>
      <c r="NN162" s="6">
        <f>COUNTIFS(Table113[Country],Tabela1[[#This Row],[Country]],Table113[Freestyle Classification],"&gt;0")</f>
        <v>0</v>
      </c>
      <c r="NO162" s="6">
        <f>COUNTIFS(Table113116[Country],Tabela1[[#This Row],[Country]],Table113116[Freestyle Classification],"&gt;0")</f>
        <v>0</v>
      </c>
      <c r="NP162" s="6">
        <f>COUNTIFS(Table117[Country],Tabela1[[#This Row],[Country]],Table117[Men''s Relay Classification],"&gt;0")</f>
        <v>0</v>
      </c>
      <c r="NQ162" s="6">
        <f>COUNTIFS(Table117[Country],Tabela1[[#This Row],[Country]],Table117[Women''s Relay Classification],"&gt;0")</f>
        <v>0</v>
      </c>
      <c r="NR162" s="6">
        <f>COUNTIFS(Table113[Country],Tabela1[[#This Row],[Country]],Table113[Skiathlon Classification],"&gt;0")</f>
        <v>0</v>
      </c>
      <c r="NS162" s="6">
        <f>COUNTIFS(Table113116[Country],Tabela1[[#This Row],[Country]],Table113116[Skiathlon Classification],"&gt;0")</f>
        <v>0</v>
      </c>
      <c r="NT162" s="6">
        <f>COUNTIFS(Table113[Country],Tabela1[[#This Row],[Country]],Table113[Sprint Classification],"&gt;0")</f>
        <v>0</v>
      </c>
      <c r="NU162" s="6">
        <f>COUNTIFS(Table113116[Country],Tabela1[[#This Row],[Country]],Table113116[Sprint Classification],"&gt;0")</f>
        <v>0</v>
      </c>
      <c r="NV162" s="6">
        <f>COUNTIFS(Table116[Country],Tabela1[[#This Row],[Country]],Table116[Men''s Team Sprint Classification],"&gt;0")</f>
        <v>0</v>
      </c>
      <c r="NW162" s="6">
        <f>COUNTIFS(Table116[Country],Tabela1[[#This Row],[Country]],Table116[Women''s Team Sprint Classification],"&gt;0")</f>
        <v>0</v>
      </c>
      <c r="NX162" s="6">
        <f>COUNTIFS(Table119[Country],Tabela1[[#This Row],[Country]],Table119[Men''s Classification],"&gt;0")</f>
        <v>0</v>
      </c>
      <c r="NY162" s="6">
        <f>COUNTIFS(Table119[Country],Tabela1[[#This Row],[Country]],Table119[Women''s Classification],"&gt;0")</f>
        <v>0</v>
      </c>
      <c r="NZ162" s="6">
        <f>COUNTIFS(Table118[Country],Tabela1[[#This Row],[Country]],Table118[Mixed Classification],"&gt;0")</f>
        <v>0</v>
      </c>
      <c r="OA162" s="6">
        <f>COUNTIFS(Table120[Country],Tabela1[[#This Row],[Country]],Table120[Classification],"&gt;0")</f>
        <v>0</v>
      </c>
      <c r="OB162" s="6">
        <f>COUNTIFS(Table120123[Country],Tabela1[[#This Row],[Country]],Table120123[Classification],"&gt;0")</f>
        <v>0</v>
      </c>
      <c r="OC162" s="6">
        <f>COUNTIFS(Table123[Country],Tabela1[[#This Row],[Country]],Table123[Ice Dance Classification],"&gt;0")</f>
        <v>0</v>
      </c>
      <c r="OD162" s="6">
        <f>COUNTIFS(Table123[Country],Tabela1[[#This Row],[Country]],Table123[Pair Skating Classification],"&gt;0")</f>
        <v>0</v>
      </c>
      <c r="OE162" s="6">
        <f>COUNTIFS(Table124[Country],Tabela1[[#This Row],[Country]],Table124[Mixed Classification],"&gt;0")</f>
        <v>0</v>
      </c>
      <c r="OF162" s="6">
        <f>COUNTIFS(Table125[Country],Tabela1[[#This Row],[Country]],Table125[Aerials Classification],"&gt;0")</f>
        <v>0</v>
      </c>
      <c r="OG162" s="6">
        <f>COUNTIFS(Table125128[Country],Tabela1[[#This Row],[Country]],Table125128[Aerials Classification],"&gt;0")</f>
        <v>0</v>
      </c>
      <c r="OH162" s="6">
        <f>COUNTIFS(Table128[Country],Tabela1[[#This Row],[Country]],Table128[Mixed Aerials Classification],"&gt;0")</f>
        <v>0</v>
      </c>
      <c r="OI162" s="6">
        <f>COUNTIFS(Table125[Country],Tabela1[[#This Row],[Country]],Table125[Big Air Classification],"&gt;0")</f>
        <v>0</v>
      </c>
      <c r="OJ162" s="6">
        <f>COUNTIFS(Table125128[Country],Tabela1[[#This Row],[Country]],Table125128[Big Air Classification],"&gt;0")</f>
        <v>0</v>
      </c>
      <c r="OK162" s="6">
        <f>COUNTIFS(Table125[Country],Tabela1[[#This Row],[Country]],Table125[Dual Moguls Classification],"&gt;0")</f>
        <v>0</v>
      </c>
      <c r="OL162" s="6">
        <f>COUNTIFS(Table125128[Country],Tabela1[[#This Row],[Country]],Table125128[Dual Moguls Classification],"&gt;0")</f>
        <v>0</v>
      </c>
      <c r="OM162" s="6">
        <f>COUNTIFS(Table125[Country],Tabela1[[#This Row],[Country]],Table125[Halfpipe Classification],"&gt;0")</f>
        <v>0</v>
      </c>
      <c r="ON162" s="6">
        <f>COUNTIFS(Table125128[Country],Tabela1[[#This Row],[Country]],Table125128[Halfpipe Classification],"&gt;0")</f>
        <v>0</v>
      </c>
      <c r="OO162" s="6">
        <f>COUNTIFS(Table125[Country],Tabela1[[#This Row],[Country]],Table125[Moguls Classification],"&gt;0")</f>
        <v>0</v>
      </c>
      <c r="OP162" s="6">
        <f>COUNTIFS(Table125128[Country],Tabela1[[#This Row],[Country]],Table125128[Moguls Classification],"&gt;0")</f>
        <v>0</v>
      </c>
      <c r="OQ162" s="6">
        <f>COUNTIFS(Table125[Country],Tabela1[[#This Row],[Country]],Table125[Ski Cross Classification],"&gt;0")</f>
        <v>0</v>
      </c>
      <c r="OR162" s="6">
        <f>COUNTIFS(Table125128[Country],Tabela1[[#This Row],[Country]],Table125128[Ski Cross Classification],"&gt;0")</f>
        <v>0</v>
      </c>
      <c r="OS162" s="6">
        <f>COUNTIFS(Table125[Country],Tabela1[[#This Row],[Country]],Table125[Slopestyle Classification],"&gt;0")</f>
        <v>0</v>
      </c>
      <c r="OT162" s="6">
        <f>COUNTIFS(Table125128[Country],Tabela1[[#This Row],[Country]],Table125128[Slopestyle Classification],"&gt;0")</f>
        <v>0</v>
      </c>
      <c r="OU162" s="6">
        <f>COUNTIFS(Table119131[Country],Tabela1[[#This Row],[Country]],Table119131[Men''s Classification],"&gt;0")</f>
        <v>0</v>
      </c>
      <c r="OV162" s="6">
        <f>COUNTIFS(Table119131[Country],Tabela1[[#This Row],[Country]],Table119131[Women''s Classification],"&gt;0")</f>
        <v>0</v>
      </c>
      <c r="OW162" s="6">
        <f>COUNTIFS(Table131[Country],Tabela1[[#This Row],[Country]],Table131[Classification],"&gt;0")</f>
        <v>0</v>
      </c>
      <c r="OX162" s="6">
        <f>COUNTIFS(Table131134[Country],Tabela1[[#This Row],[Country]],Table131134[Classification],"&gt;0")</f>
        <v>0</v>
      </c>
      <c r="OY162" s="6">
        <f>COUNTIFS(Table134[Country],Tabela1[[#This Row],[Country]],Table134[Men''s Classification],"&gt;0")</f>
        <v>0</v>
      </c>
      <c r="OZ162" s="6">
        <f>COUNTIFS(Table134[Country],Tabela1[[#This Row],[Country]],Table134[Women''s Classification],"&gt;0")</f>
        <v>0</v>
      </c>
      <c r="PA162" s="6">
        <f>COUNTIFS(Table135[Country],Tabela1[[#This Row],[Country]],Table135[Mixed Relay Classification],"&gt;0")</f>
        <v>0</v>
      </c>
      <c r="PB162" s="6">
        <f>COUNTIFS(Table136[Country],Tabela1[[#This Row],[Country]],Table136[Individual Classification],"&gt;0")</f>
        <v>0</v>
      </c>
      <c r="PC162" s="6">
        <f>COUNTIFS(Table136[Country],Tabela1[[#This Row],[Country]],Table136[Sprint Classification],"&gt;0")</f>
        <v>0</v>
      </c>
      <c r="PD162" s="6">
        <f>COUNTIFS(Table137[Country],Tabela1[[#This Row],[Country]],Table137[Men''s Team Sprint Large Hill Classification],"&gt;0")</f>
        <v>0</v>
      </c>
      <c r="PE162" s="6">
        <f>COUNTIFS(Table138[Country],Tabela1[[#This Row],[Country]],Table138[500m Classification],"&gt;0")</f>
        <v>0</v>
      </c>
      <c r="PF162" s="6">
        <f>COUNTIFS(Table138141[Country],Tabela1[[#This Row],[Country]],Table138141[500m Classification],"&gt;0")</f>
        <v>0</v>
      </c>
      <c r="PG162" s="6">
        <f>COUNTIFS(Table138[Country],Tabela1[[#This Row],[Country]],Table138[1000m Classification],"&gt;0")</f>
        <v>0</v>
      </c>
      <c r="PH162" s="6">
        <f>COUNTIFS(Table138141[Country],Tabela1[[#This Row],[Country]],Table138141[1000m Classification],"&gt;0")</f>
        <v>0</v>
      </c>
      <c r="PI162" s="6">
        <f>COUNTIFS(Table138[Country],Tabela1[[#This Row],[Country]],Table138[1500m Classification],"&gt;0")</f>
        <v>0</v>
      </c>
      <c r="PJ162" s="6">
        <f>COUNTIFS(Table138141[Country],Tabela1[[#This Row],[Country]],Table138141[1500m Classification],"&gt;0")</f>
        <v>0</v>
      </c>
      <c r="PK162" s="6">
        <f>COUNTIFS(Table141[Country],Tabela1[[#This Row],[Country]],Table141[Men''s 5000m Relay Classification],"&gt;0")</f>
        <v>0</v>
      </c>
      <c r="PL162" s="6">
        <f>COUNTIFS(Table141[Country],Tabela1[[#This Row],[Country]],Table141[Women''s 3000m Relay Classification],"&gt;0")</f>
        <v>0</v>
      </c>
      <c r="PM162" s="6">
        <f>COUNTIFS(Table141[Country],Tabela1[[#This Row],[Country]],Table141[Mixed 2000m Relay Classification],"&gt;0")</f>
        <v>0</v>
      </c>
      <c r="PN162" s="6">
        <f>COUNTIFS(Table142[Country],Tabela1[[#This Row],[Country]],Table142[Classification],"&gt;0")</f>
        <v>0</v>
      </c>
      <c r="PO162" s="6">
        <f>COUNTIFS(Table142145[Country],Tabela1[[#This Row],[Country]],Table142145[Classification],"&gt;0")</f>
        <v>0</v>
      </c>
      <c r="PP162" s="6">
        <f>COUNTIFS(Tabela15[Country],Tabela1[[#This Row],[Country]],Tabela15[Mixed Team Classification],"&gt;0")</f>
        <v>0</v>
      </c>
      <c r="PQ162" s="6">
        <f>COUNTIFS(Table145[Country],Tabela1[[#This Row],[Country]],Table145[Large Hill Classification],"&gt;0")</f>
        <v>0</v>
      </c>
      <c r="PR162" s="6">
        <f>COUNTIFS(Table145[Country],Tabela1[[#This Row],[Country]],Table145[Normal Hill Classification],"&gt;0")</f>
        <v>0</v>
      </c>
      <c r="PS162" s="6">
        <f>COUNTIFS(Table145148[Country],Tabela1[[#This Row],[Country]],Table145148[Large Hill Classification],"&gt;0")</f>
        <v>0</v>
      </c>
      <c r="PT162" s="6">
        <f>COUNTIFS(Table145148[Country],Tabela1[[#This Row],[Country]],Table145148[Normal Hill Classification],"&gt;0")</f>
        <v>0</v>
      </c>
      <c r="PU162" s="6">
        <f>COUNTIFS(Table148[Country],Tabela1[[#This Row],[Country]],Table148[Men''s Super Team Classification],"&gt;0")</f>
        <v>0</v>
      </c>
      <c r="PV162" s="6">
        <f>COUNTIFS(Tabela114[Country],Tabela1[[#This Row],[Country]],Tabela114[Mixed Normal Hill Classification],"&gt;0")</f>
        <v>0</v>
      </c>
      <c r="PW162" s="6">
        <f>COUNTIFS(Tabela50[Country],Tabela1[[#This Row],[Country]],Tabela50[Sprint Classification],"&gt;0")</f>
        <v>0</v>
      </c>
      <c r="PX162" s="6">
        <f>COUNTIFS(Tabela50101[Country],Tabela1[[#This Row],[Country]],Tabela50101[Sprint Classification],"&gt;0")</f>
        <v>0</v>
      </c>
      <c r="PY162" s="6">
        <f>COUNTIFS(Tabela103[Country],Tabela1[[#This Row],[Country]],Tabela103[Mixed Relay Classification],"&gt;0")</f>
        <v>0</v>
      </c>
      <c r="PZ162" s="6">
        <f>COUNTIFS(Table149[Country],Tabela1[[#This Row],[Country]],Table149[Big Air Classification],"&gt;0")</f>
        <v>0</v>
      </c>
      <c r="QA162" s="6">
        <f>COUNTIFS(Table149152[Country],Tabela1[[#This Row],[Country]],Table149152[Big Air Classification],"&gt;0")</f>
        <v>0</v>
      </c>
      <c r="QB162" s="6">
        <f>COUNTIFS(Table149[Country],Tabela1[[#This Row],[Country]],Table149[Halfpipe Classification],"&gt;0")</f>
        <v>0</v>
      </c>
      <c r="QC162" s="6">
        <f>COUNTIFS(Table149152[Country],Tabela1[[#This Row],[Country]],Table149152[Halfpipe Classification],"&gt;0")</f>
        <v>0</v>
      </c>
      <c r="QD162" s="6">
        <f>COUNTIFS(Table149[Country],Tabela1[[#This Row],[Country]],Table149[Parallel Giant Slalom Classification],"&gt;0")</f>
        <v>0</v>
      </c>
      <c r="QE162" s="6">
        <f>COUNTIFS(Table149152[Country],Tabela1[[#This Row],[Country]],Table149152[Parallel Giant Slalom Classification],"&gt;0")</f>
        <v>0</v>
      </c>
      <c r="QF162" s="6">
        <f>COUNTIFS(Table149[Country],Tabela1[[#This Row],[Country]],Table149[Slopestyle Classification],"&gt;0")</f>
        <v>0</v>
      </c>
      <c r="QG162" s="6">
        <f>COUNTIFS(Table149152[Country],Tabela1[[#This Row],[Country]],Table149152[Slopestyle Classification],"&gt;0")</f>
        <v>0</v>
      </c>
      <c r="QH162" s="6">
        <f>COUNTIFS(Table149[Country],Tabela1[[#This Row],[Country]],Table149[Snowboard Cross Classification],"&gt;0")</f>
        <v>0</v>
      </c>
      <c r="QI162" s="6">
        <f>COUNTIFS(Table149152[Country],Tabela1[[#This Row],[Country]],Table149152[Snowboard Cross Classification],"&gt;0")</f>
        <v>0</v>
      </c>
      <c r="QJ162" s="6">
        <f>COUNTIFS(Table153[Country],Tabela1[[#This Row],[Country]],Table153[Mixed Team Snowboard Cross Classification],"&gt;0")</f>
        <v>0</v>
      </c>
      <c r="QK162" s="6">
        <f>COUNTIFS(Table154[Country],Tabela1[[#This Row],[Country]],Table154[500m Classification],"&gt;0")</f>
        <v>0</v>
      </c>
      <c r="QL162" s="6">
        <f>COUNTIFS(Table154157[Country],Tabela1[[#This Row],[Country]],Table154157[500m Classification],"&gt;0")</f>
        <v>0</v>
      </c>
      <c r="QM162" s="6">
        <f>COUNTIFS(Table154[Country],Tabela1[[#This Row],[Country]],Table154[1000m Classification],"&gt;0")</f>
        <v>0</v>
      </c>
      <c r="QN162" s="6">
        <f>COUNTIFS(Table154157[Country],Tabela1[[#This Row],[Country]],Table154157[1000m Classification],"&gt;0")</f>
        <v>0</v>
      </c>
      <c r="QO162" s="6">
        <f>COUNTIFS(Table154[Country],Tabela1[[#This Row],[Country]],Table154[1500m Classification],"&gt;0")</f>
        <v>0</v>
      </c>
      <c r="QP162" s="6">
        <f>COUNTIFS(Table154157[Country],Tabela1[[#This Row],[Country]],Table154157[1500m Classification],"&gt;0")</f>
        <v>0</v>
      </c>
      <c r="QQ162" s="6">
        <f>COUNTIFS(Table154157[Country],Tabela1[[#This Row],[Country]],Table154157[3000m Classification],"&gt;0")</f>
        <v>0</v>
      </c>
      <c r="QR162" s="6">
        <f>COUNTIFS(Table154[Country],Tabela1[[#This Row],[Country]],Table154[5000m Classification],"&gt;0")</f>
        <v>0</v>
      </c>
      <c r="QS162" s="6">
        <f>COUNTIFS(Table154157[Country],Tabela1[[#This Row],[Country]],Table154157[5000m Classification],"&gt;0")</f>
        <v>0</v>
      </c>
      <c r="QT162" s="6">
        <f>COUNTIFS(Table154[Country],Tabela1[[#This Row],[Country]],Table154[10000m Classification],"&gt;0")</f>
        <v>0</v>
      </c>
      <c r="QU162" s="6">
        <f>COUNTIFS(Table154[Country],Tabela1[[#This Row],[Country]],Table154[Mass Start Classification],"&gt;0")</f>
        <v>0</v>
      </c>
      <c r="QV162" s="6">
        <f>COUNTIFS(Table154157[Country],Tabela1[[#This Row],[Country]],Table154157[Mass Start Classification],"&gt;0")</f>
        <v>0</v>
      </c>
      <c r="QW162" s="6">
        <f>COUNTIFS(Table157[Country],Tabela1[[#This Row],[Country]],Table157[Men''s Pursuit Classification],"&gt;0")</f>
        <v>0</v>
      </c>
      <c r="QX162" s="6">
        <f>COUNTIFS(Table157[Country],Tabela1[[#This Row],[Country]],Table157[Women''s Pursuit Classification],"&gt;0")</f>
        <v>0</v>
      </c>
      <c r="QY162" s="3" t="s">
        <v>493</v>
      </c>
    </row>
    <row r="163" spans="1:467" x14ac:dyDescent="0.3">
      <c r="A163" s="6">
        <v>162</v>
      </c>
      <c r="B163" s="6" t="s">
        <v>498</v>
      </c>
      <c r="C163" t="e" vm="162">
        <f>IF(ISBLANK(Tabela1[[#This Row],[Image Link]]), "", _xlfn.IMAGE(Tabela1[[#This Row],[Image Link]],1,1))</f>
        <v>#VALUE!</v>
      </c>
      <c r="D163" s="6">
        <f>SUM(Tabela1[[#This Row],[Archery - Men''s Individual Recurve]:[Speed Skating - Women''s Team Pursuit]])</f>
        <v>0</v>
      </c>
      <c r="E163" s="6">
        <f>COUNTIF(Tabela1[[#This Row],[Archery - Men''s Individual Recurve]:[Speed Skating - Women''s Team Pursuit]],"&gt;0")</f>
        <v>0</v>
      </c>
      <c r="F163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63" s="6">
        <f>SUM(Tabela1[[#This Row],[Archery - Men''s Individual Recurve]:[Wrestling - Women''s Freestyle 76kg]])</f>
        <v>0</v>
      </c>
      <c r="H163" s="6">
        <f>SUM(Tabela1[[#This Row],[Alpine Skiing - Men''s Downhill]:[Speed Skating - Women''s Team Pursuit]])</f>
        <v>0</v>
      </c>
      <c r="I163" s="6">
        <f>Tabela1[[#This Row],[Summer Gold Medals]]+Tabela1[[#This Row],[Winter Gold Medals]]</f>
        <v>0</v>
      </c>
      <c r="J163" s="6">
        <f>Tabela1[[#This Row],[Summer Silver Medals]]+Tabela1[[#This Row],[Winter Silver Medals]]</f>
        <v>0</v>
      </c>
      <c r="K163" s="6">
        <f>Tabela1[[#This Row],[Summer Bronze Medals]]+Tabela1[[#This Row],[Winter Bronze Medals]]</f>
        <v>0</v>
      </c>
      <c r="L163" s="6">
        <f>SUM(Tabela1[[#This Row],[Total Gold Medals]:[Total Bronze Medals]])</f>
        <v>0</v>
      </c>
      <c r="M163" s="6"/>
      <c r="N163" s="6"/>
      <c r="O163" s="6"/>
      <c r="P163" s="6">
        <f>SUM(Tabela1[[#This Row],[Summer Gold Medals]:[Summer Bronze Medals]])</f>
        <v>0</v>
      </c>
      <c r="Q163" s="6"/>
      <c r="R163" s="6"/>
      <c r="S163" s="6"/>
      <c r="T163" s="6">
        <f>Tabela1[[#This Row],[Winter Gold Medals]]+Tabela1[[#This Row],[Winter Silver Medals]]+Tabela1[[#This Row],[Winter Bronze Medals]]</f>
        <v>0</v>
      </c>
      <c r="U163" s="7" t="e">
        <f>Tabela1[[#This Row],[Total Medals]]/Tabela1[[#This Row],[Total Quotas]]</f>
        <v>#DIV/0!</v>
      </c>
      <c r="V163" s="6">
        <f>COUNTIFS(Table3[Country],Tabela1[[#This Row],[Country]],Table3[Recurve Classification],"&gt;0")</f>
        <v>0</v>
      </c>
      <c r="W163" s="6">
        <f>COUNTIFS(Table33[Country],Tabela1[[#This Row],[Country]],Table33[Recurve Classification],"&gt;0")</f>
        <v>0</v>
      </c>
      <c r="X163" s="6">
        <f>COUNTIFS(Table35[Country],Tabela1[[#This Row],[Country]],Table35[Men''s Team Recurve Classification],"&gt;0")</f>
        <v>0</v>
      </c>
      <c r="Y163" s="6">
        <f>COUNTIFS(Table35[Country],Tabela1[[#This Row],[Country]],Table35[Women''s Team Recurve Classification],"&gt;0")</f>
        <v>0</v>
      </c>
      <c r="Z163" s="6">
        <f>COUNTIFS(Tabela88[Country],Tabela1[[#This Row],[Country]],Tabela88[Mixed Team Recurve Classification],"&gt;0")</f>
        <v>0</v>
      </c>
      <c r="AA163" s="6">
        <f>COUNTIFS(Table36[Country],Tabela1[[#This Row],[Country]],Table36[Classification],"&gt;0")</f>
        <v>0</v>
      </c>
      <c r="AB163" s="6">
        <f>COUNTIFS(Table37[Country],Tabela1[[#This Row],[Country]],Table37[Classification],"&gt;0")</f>
        <v>0</v>
      </c>
      <c r="AC163" s="6">
        <f>COUNTIFS(Table4[Country],Tabela1[[#This Row],[Country]],Table4[100m Classification],"&gt;0")</f>
        <v>0</v>
      </c>
      <c r="AD163" s="6">
        <f>COUNTIFS(Table5[Country],Tabela1[[#This Row],[Country]],Table5[100m Classification],"&gt;0")</f>
        <v>0</v>
      </c>
      <c r="AE163" s="6">
        <f>COUNTIFS(Table4[Country],Tabela1[[#This Row],[Country]],Table4[200m Classification],"&gt;0")</f>
        <v>0</v>
      </c>
      <c r="AF163" s="6">
        <f>COUNTIFS(Table5[Country],Tabela1[[#This Row],[Country]],Table5[200m Classification],"&gt;0")</f>
        <v>0</v>
      </c>
      <c r="AG163" s="6">
        <f>COUNTIFS(Table4[Country],Tabela1[[#This Row],[Country]],Table4[400m Classification],"&gt;0")</f>
        <v>0</v>
      </c>
      <c r="AH163" s="6">
        <f>COUNTIFS(Table5[Country],Tabela1[[#This Row],[Country]],Table5[400m Classification],"&gt;0")</f>
        <v>0</v>
      </c>
      <c r="AI163" s="6">
        <f>COUNTIFS(Table4[Country],Tabela1[[#This Row],[Country]],Table4[800m Classification],"&gt;0")</f>
        <v>0</v>
      </c>
      <c r="AJ163" s="6">
        <f>COUNTIFS(Table5[Country],Tabela1[[#This Row],[Country]],Table5[800m Classification],"&gt;0")</f>
        <v>0</v>
      </c>
      <c r="AK163" s="6">
        <f>COUNTIFS(Table4[Country],Tabela1[[#This Row],[Country]],Table4[1500m Classification],"&gt;0")</f>
        <v>0</v>
      </c>
      <c r="AL163" s="6">
        <f>COUNTIFS(Table5[Country],Tabela1[[#This Row],[Country]],Table5[1500m Classification],"&gt;0")</f>
        <v>0</v>
      </c>
      <c r="AM163" s="6">
        <f>COUNTIFS(Table4[Country],Tabela1[[#This Row],[Country]],Table4[5000m Classification],"&gt;0")</f>
        <v>0</v>
      </c>
      <c r="AN163" s="6">
        <f>COUNTIFS(Table5[Country],Tabela1[[#This Row],[Country]],Table5[5000m Classification],"&gt;0")</f>
        <v>0</v>
      </c>
      <c r="AO163" s="6">
        <f>COUNTIFS(Table4[Country],Tabela1[[#This Row],[Country]],Table4[10000m Classification],"&gt;0")</f>
        <v>0</v>
      </c>
      <c r="AP163" s="6">
        <f>COUNTIFS(Table5[Country],Tabela1[[#This Row],[Country]],Table5[10000m Classification],"&gt;0")</f>
        <v>0</v>
      </c>
      <c r="AQ163" s="6">
        <f>COUNTIFS(Table4[Country],Tabela1[[#This Row],[Country]],Table4[110m Hurdles Classification],"&gt;0")</f>
        <v>0</v>
      </c>
      <c r="AR163" s="6">
        <f>COUNTIFS(Table5[Country],Tabela1[[#This Row],[Country]],Table5[100m Hurdles Classification],"&gt;0")</f>
        <v>0</v>
      </c>
      <c r="AS163" s="6">
        <f>COUNTIFS(Table4[Country],Tabela1[[#This Row],[Country]],Table4[400m Hurdles Classification],"&gt;0")</f>
        <v>0</v>
      </c>
      <c r="AT163" s="6">
        <f>COUNTIFS(Table5[Country],Tabela1[[#This Row],[Country]],Table5[400m Hurdles Classification],"&gt;0")</f>
        <v>0</v>
      </c>
      <c r="AU163" s="6">
        <f>COUNTIFS(Table4[Country],Tabela1[[#This Row],[Country]],Table4[3000m Steeplechase Classification],"&gt;0")</f>
        <v>0</v>
      </c>
      <c r="AV163" s="6">
        <f>COUNTIFS(Table5[Country],Tabela1[[#This Row],[Country]],Table5[3000m Steeplechase Classification],"&gt;0")</f>
        <v>0</v>
      </c>
      <c r="AW163" s="6">
        <f>COUNTIFS(Table27[Country],Tabela1[[#This Row],[Country]],Table27[Men''s 4x100m Relay Classification],"&gt;0")</f>
        <v>0</v>
      </c>
      <c r="AX163" s="6">
        <f>COUNTIFS(Table27[Country],Tabela1[[#This Row],[Country]],Table27[Women''s 4x100m Relay Classification],"&gt;0")</f>
        <v>0</v>
      </c>
      <c r="AY163" s="6">
        <f>COUNTIFS(Table27[Country],Tabela1[[#This Row],[Country]],Table27[Men''s 4x400m Relay Classification],"&gt;0")</f>
        <v>0</v>
      </c>
      <c r="AZ163" s="6">
        <f>COUNTIFS(Table27[Country],Tabela1[[#This Row],[Country]],Table27[Women''s 4x400m Relay Classification],"&gt;0")</f>
        <v>0</v>
      </c>
      <c r="BA163" s="6">
        <f>COUNTIFS(Table27[Country],Tabela1[[#This Row],[Country]],Table27[Mixed 4x400m Relay Classification],"&gt;0")</f>
        <v>0</v>
      </c>
      <c r="BB163" s="6">
        <f>COUNTIFS(Table4[Country],Tabela1[[#This Row],[Country]],Table4[Marathon Classification],"&gt;0")</f>
        <v>0</v>
      </c>
      <c r="BC163" s="6">
        <f>COUNTIFS(Table5[Country],Tabela1[[#This Row],[Country]],Table5[Marathon Classification],"&gt;0")</f>
        <v>0</v>
      </c>
      <c r="BD163" s="6">
        <f>COUNTIFS(Table4[Country],Tabela1[[#This Row],[Country]],Table4[20km Race Walk Classification],"&gt;0")</f>
        <v>0</v>
      </c>
      <c r="BE163" s="6">
        <f>COUNTIFS(Table5[Country],Tabela1[[#This Row],[Country]],Table5[20km Race Walk Classification],"&gt;0")</f>
        <v>0</v>
      </c>
      <c r="BF163" s="6">
        <f>COUNTIFS(Tabela96[Country],Tabela1[[#This Row],[Country]],Tabela96[Mixed Marathon Race Walk Relay Classification],"&gt;0")</f>
        <v>0</v>
      </c>
      <c r="BG163" s="6">
        <f>COUNTIFS(Table4[Country],Tabela1[[#This Row],[Country]],Table4[Discus Throw Classification],"&gt;0")</f>
        <v>0</v>
      </c>
      <c r="BH163" s="6">
        <f>COUNTIFS(Table5[Country],Tabela1[[#This Row],[Country]],Table5[Discus Throw Classification],"&gt;0")</f>
        <v>0</v>
      </c>
      <c r="BI163" s="6">
        <f>COUNTIFS(Table4[Country],Tabela1[[#This Row],[Country]],Table4[Hammer Throw Classification],"&gt;0")</f>
        <v>0</v>
      </c>
      <c r="BJ163" s="6">
        <f>COUNTIFS(Table5[Country],Tabela1[[#This Row],[Country]],Table5[Hammer Throw Classification],"&gt;0")</f>
        <v>0</v>
      </c>
      <c r="BK163" s="6">
        <f>COUNTIFS(Table4[Country],Tabela1[[#This Row],[Country]],Table4[High Jump Classification],"&gt;0")</f>
        <v>0</v>
      </c>
      <c r="BL163" s="6">
        <f>COUNTIFS(Table5[Country],Tabela1[[#This Row],[Country]],Table5[High Jump Classification],"&gt;0")</f>
        <v>0</v>
      </c>
      <c r="BM163" s="6">
        <f>COUNTIFS(Table4[Country],Tabela1[[#This Row],[Country]],Table4[Javelin Throw Classification],"&gt;0")</f>
        <v>0</v>
      </c>
      <c r="BN163" s="6">
        <f>COUNTIFS(Table5[Country],Tabela1[[#This Row],[Country]],Table5[Javelin Throw Classification],"&gt;0")</f>
        <v>0</v>
      </c>
      <c r="BO163" s="6">
        <f>COUNTIFS(Table4[Country],Tabela1[[#This Row],[Country]],Table4[Long Jump Classification],"&gt;0")</f>
        <v>0</v>
      </c>
      <c r="BP163" s="6">
        <f>COUNTIFS(Table5[Country],Tabela1[[#This Row],[Country]],Table5[Long Jump Classification],"&gt;0")</f>
        <v>0</v>
      </c>
      <c r="BQ163" s="6">
        <f>COUNTIFS(Table4[Country],Tabela1[[#This Row],[Country]],Table4[Pole Vault Classification],"&gt;0")</f>
        <v>0</v>
      </c>
      <c r="BR163" s="6">
        <f>COUNTIFS(Table5[Country],Tabela1[[#This Row],[Country]],Table5[Pole Vault Classification],"&gt;0")</f>
        <v>0</v>
      </c>
      <c r="BS163" s="6">
        <f>COUNTIFS(Table4[Country],Tabela1[[#This Row],[Country]],Table4[Shot Put Classification],"&gt;0")</f>
        <v>0</v>
      </c>
      <c r="BT163" s="6">
        <f>COUNTIFS(Table5[Country],Tabela1[[#This Row],[Country]],Table5[Shot Put Classification],"&gt;0")</f>
        <v>0</v>
      </c>
      <c r="BU163" s="6">
        <f>COUNTIFS(Table4[Country],Tabela1[[#This Row],[Country]],Table4[Triple Jump Classification],"&gt;0")</f>
        <v>0</v>
      </c>
      <c r="BV163" s="6">
        <f>COUNTIFS(Table5[Country],Tabela1[[#This Row],[Country]],Table5[Triple Jump Classification],"&gt;0")</f>
        <v>0</v>
      </c>
      <c r="BW163" s="6">
        <f>COUNTIFS(Table4[Country],Tabela1[[#This Row],[Country]],Table4[Decathlon Classification],"&gt;0")</f>
        <v>0</v>
      </c>
      <c r="BX163" s="6">
        <f>COUNTIFS(Table5[Country],Tabela1[[#This Row],[Country]],Table5[Heptathlon Classification],"&gt;0")</f>
        <v>0</v>
      </c>
      <c r="BY163" s="6">
        <f>COUNTIFS(Table61[Country],Tabela1[[#This Row],[Country]],Table61[Classification],"&gt;0")</f>
        <v>0</v>
      </c>
      <c r="BZ163" s="6">
        <f>COUNTIFS(Table38[Country],Tabela1[[#This Row],[Country]],Table38[Classification],"&gt;0")</f>
        <v>0</v>
      </c>
      <c r="CA163" s="6">
        <f>COUNTIFS(Table39[Country],Tabela1[[#This Row],[Country]],Table39[Men''s Classification],"&gt;0")</f>
        <v>0</v>
      </c>
      <c r="CB163" s="6">
        <f>COUNTIFS(Table39[Country],Tabela1[[#This Row],[Country]],Table39[Women''s Classification],"&gt;0")</f>
        <v>0</v>
      </c>
      <c r="CC163" s="6">
        <f>COUNTIFS(Table39[Country],Tabela1[[#This Row],[Country]],Table39[Mixed Classification],"&gt;0")</f>
        <v>0</v>
      </c>
      <c r="CD163" s="6">
        <f>COUNTIFS(Table89[Country],Tabela1[[#This Row],[Country]],Table89[Men''s Classification],"&gt;0")</f>
        <v>0</v>
      </c>
      <c r="CE163" s="6">
        <f>COUNTIFS(Table89[Country],Tabela1[[#This Row],[Country]],Table89[Women''s Classification],"&gt;0")</f>
        <v>0</v>
      </c>
      <c r="CF163" s="6">
        <f>COUNTIFS(Table90[Country],Tabela1[[#This Row],[Country]],Table90[Men''s Classification],"&gt;0")</f>
        <v>0</v>
      </c>
      <c r="CG163" s="6">
        <f>COUNTIFS(Table90[Country],Tabela1[[#This Row],[Country]],Table90[Women''s Classification],"&gt;0")</f>
        <v>0</v>
      </c>
      <c r="CH163" s="6">
        <f>COUNTIFS(Table60[Country],Tabela1[[#This Row],[Country]],Table60[Men''s Classification],"&gt;0")</f>
        <v>0</v>
      </c>
      <c r="CI163" s="6">
        <f>COUNTIFS(Table60[Country],Tabela1[[#This Row],[Country]],Table60[Women''s Classification],"&gt;0")</f>
        <v>0</v>
      </c>
      <c r="CJ163" s="6">
        <f>COUNTIFS(Table6[Country],Tabela1[[#This Row],[Country]],Table6[51kg Classification],"&gt;0")</f>
        <v>0</v>
      </c>
      <c r="CK163" s="6">
        <f>COUNTIFS(Table6[Country],Tabela1[[#This Row],[Country]],Table6[57kg Classification],"&gt;0")</f>
        <v>0</v>
      </c>
      <c r="CL163" s="6">
        <f>COUNTIFS(Table6[Country],Tabela1[[#This Row],[Country]],Table6[63.5kg Classification],"&gt;0")</f>
        <v>0</v>
      </c>
      <c r="CM163" s="6">
        <f>COUNTIFS(Table6[Country],Tabela1[[#This Row],[Country]],Table6[71kg Classification],"&gt;0")</f>
        <v>0</v>
      </c>
      <c r="CN163" s="6">
        <f>COUNTIFS(Table6[Country],Tabela1[[#This Row],[Country]],Table6[80kg Classification],"&gt;0")</f>
        <v>0</v>
      </c>
      <c r="CO163" s="6">
        <f>COUNTIFS(Table6[Country],Tabela1[[#This Row],[Country]],Table6[92kg Classification],"&gt;0")</f>
        <v>0</v>
      </c>
      <c r="CP163" s="6">
        <f>COUNTIFS(Table6[Country],Tabela1[[#This Row],[Country]],Table6[Plus 92kg Classification],"&gt;0")</f>
        <v>0</v>
      </c>
      <c r="CQ163" s="6">
        <f>COUNTIFS(Table7[Country],Tabela1[[#This Row],[Country]],Table7[50kg Classification],"&gt;0")</f>
        <v>0</v>
      </c>
      <c r="CR163" s="6">
        <f>COUNTIFS(Table7[Country],Tabela1[[#This Row],[Country]],Table7[54kg Classification],"&gt;0")</f>
        <v>0</v>
      </c>
      <c r="CS163" s="6">
        <f>COUNTIFS(Table7[Country],Tabela1[[#This Row],[Country]],Table7[57kg Classification],"&gt;0")</f>
        <v>0</v>
      </c>
      <c r="CT163" s="6">
        <f>COUNTIFS(Table7[Country],Tabela1[[#This Row],[Country]],Table7[60kg Classification],"&gt;0")</f>
        <v>0</v>
      </c>
      <c r="CU163" s="6">
        <f>COUNTIFS(Table7[Country],Tabela1[[#This Row],[Country]],Table7[66kg Classification],"&gt;0")</f>
        <v>0</v>
      </c>
      <c r="CV163" s="6">
        <f>COUNTIFS(Table7[Country],Tabela1[[#This Row],[Country]],Table7[75kg Classification],"&gt;0")</f>
        <v>0</v>
      </c>
      <c r="CW163" s="6">
        <f>COUNTIFS(Tabela94[Country],Tabela1[[#This Row],[Country]],Tabela94[Classification],"&gt;0")</f>
        <v>0</v>
      </c>
      <c r="CX163" s="6">
        <f>COUNTIFS(Tabela9499[Country],Tabela1[[#This Row],[Country]],Tabela9499[Classification],"&gt;0")</f>
        <v>0</v>
      </c>
      <c r="CY163" s="6">
        <f>COUNTIFS(Tabela107[Country],Tabela1[[#This Row],[Country]],Tabela107[C1 Slalom Classification],"&gt;0")</f>
        <v>0</v>
      </c>
      <c r="CZ163" s="6">
        <f>COUNTIFS(Tabela107122[Country],Tabela1[[#This Row],[Country]],Tabela107122[C1 Slalom Classification],"&gt;0")</f>
        <v>0</v>
      </c>
      <c r="DA163" s="6">
        <f>COUNTIFS(Tabela107[Country],Tabela1[[#This Row],[Country]],Tabela107[K1 Slalom Classification],"&gt;0")</f>
        <v>0</v>
      </c>
      <c r="DB163" s="6">
        <f>COUNTIFS(Tabela107122[Country],Tabela1[[#This Row],[Country]],Tabela107122[K1 Slalom Classification],"&gt;0")</f>
        <v>0</v>
      </c>
      <c r="DC163" s="6">
        <f>COUNTIFS(Tabela107[Country],Tabela1[[#This Row],[Country]],Tabela107[Kayak Cross Slalom Classification],"&gt;0")</f>
        <v>0</v>
      </c>
      <c r="DD163" s="6">
        <f>COUNTIFS(Tabela107122[Country],Tabela1[[#This Row],[Country]],Tabela107122[Kayak Cross Slalom Classification],"&gt;0")</f>
        <v>0</v>
      </c>
      <c r="DE163" s="6">
        <f>COUNTIFS(Table8[Country],Tabela1[[#This Row],[Country]],Table8[C1 200m Classification],"&gt;0")</f>
        <v>0</v>
      </c>
      <c r="DF163" s="6">
        <f>COUNTIFS(Table40[Country],Tabela1[[#This Row],[Country]],Table40[C1 1000m Classification],"&gt;0")</f>
        <v>0</v>
      </c>
      <c r="DG163" s="6">
        <f>COUNTIFS(Table68[Country],Tabela1[[#This Row],[Country]],Table68[Men''s C2 500m Classification],"&gt;0")</f>
        <v>0</v>
      </c>
      <c r="DH163" s="6">
        <f>COUNTIFS(Table68[Country],Tabela1[[#This Row],[Country]],Table68[Women''s C2 500m Classification],"&gt;0")</f>
        <v>0</v>
      </c>
      <c r="DI163" s="6">
        <f>COUNTIFS(Table8[Country],Tabela1[[#This Row],[Country]],Table8[K1 500m Classification],"&gt;0")</f>
        <v>0</v>
      </c>
      <c r="DJ163" s="6">
        <f>COUNTIFS(Table40[Country],Tabela1[[#This Row],[Country]],Table40[K1 1000m Classification],"&gt;0")</f>
        <v>0</v>
      </c>
      <c r="DK163" s="6">
        <f>COUNTIFS(Table68[Country],Tabela1[[#This Row],[Country]],Table68[Men''s K2 500m Classification],"&gt;0")</f>
        <v>0</v>
      </c>
      <c r="DL163" s="6">
        <f>COUNTIFS(Table68[Country],Tabela1[[#This Row],[Country]],Table68[Women''s K2 500m Classification],"&gt;0")</f>
        <v>0</v>
      </c>
      <c r="DM163" s="6">
        <f>COUNTIFS(Table83[Country],Tabela1[[#This Row],[Country]],Table83[Men''s K4 500m Classification],"&gt;0")</f>
        <v>0</v>
      </c>
      <c r="DN163" s="6">
        <f>COUNTIFS(Table83[Country],Tabela1[[#This Row],[Country]],Table83[Women''s K4 500m Classification],"&gt;0")</f>
        <v>0</v>
      </c>
      <c r="DO163" s="6">
        <f>COUNTIFS(Tabela126[Country],Tabela1[[#This Row],[Country]],Tabela126[Classification],"&gt;0")</f>
        <v>0</v>
      </c>
      <c r="DP163" s="6">
        <f>COUNTIFS(Tabela126130[Country],Tabela1[[#This Row],[Country]],Tabela126130[Classification],"&gt;0")</f>
        <v>0</v>
      </c>
      <c r="DQ163" s="6">
        <f>COUNTIFS(Table70[Country],Tabela1[[#This Row],[Country]],Table70[Classification],"&gt;0")</f>
        <v>0</v>
      </c>
      <c r="DR163" s="6">
        <f>COUNTIFS(Table80[Country],Tabela1[[#This Row],[Country]],Table80[Classification],"&gt;0")</f>
        <v>0</v>
      </c>
      <c r="DS163" s="6">
        <f>COUNTIFS(Table66[Country],Tabela1[[#This Row],[Country]],Table66[Classification],"&gt;0")</f>
        <v>0</v>
      </c>
      <c r="DT163" s="6">
        <f>COUNTIFS(Table67[Country],Tabela1[[#This Row],[Country]],Table67[Classification],"&gt;0")</f>
        <v>0</v>
      </c>
      <c r="DU163" s="6">
        <f>COUNTIFS(Table69[Country],Tabela1[[#This Row],[Country]],Table69[Keirin Classification],"&gt;0")</f>
        <v>0</v>
      </c>
      <c r="DV163" s="6">
        <f>COUNTIFS(Table41[Country],Tabela1[[#This Row],[Country]],Table41[Keirin Classification],"&gt;0")</f>
        <v>0</v>
      </c>
      <c r="DW163" s="6">
        <f>COUNTIFS(Table84[Country],Tabela1[[#This Row],[Country]],Table84[Men''s Madison Classification],"&gt;0")</f>
        <v>0</v>
      </c>
      <c r="DX163" s="6">
        <f>COUNTIFS(Table84[Country],Tabela1[[#This Row],[Country]],Table84[Women''s Madison Classification],"&gt;0")</f>
        <v>0</v>
      </c>
      <c r="DY163" s="6">
        <f>COUNTIFS(Table69[Country],Tabela1[[#This Row],[Country]],Table69[Omnium Classification],"&gt;0")</f>
        <v>0</v>
      </c>
      <c r="DZ163" s="6">
        <f>COUNTIFS(Table41[Country],Tabela1[[#This Row],[Country]],Table41[Omnium Classification],"&gt;0")</f>
        <v>0</v>
      </c>
      <c r="EA163" s="6">
        <f>COUNTIFS(Table9[Country],Tabela1[[#This Row],[Country]],Table9[Road Race Classification],"&gt;0")</f>
        <v>0</v>
      </c>
      <c r="EB163" s="6">
        <f>COUNTIFS(Table14[Country],Tabela1[[#This Row],[Country]],Table14[Road Race Classification],"&gt;0")</f>
        <v>0</v>
      </c>
      <c r="EC163" s="6">
        <f>COUNTIFS(Table69[Country],Tabela1[[#This Row],[Country]],Table69[Sprint Classification],"&gt;0")</f>
        <v>0</v>
      </c>
      <c r="ED163" s="6">
        <f>COUNTIFS(Table41[Country],Tabela1[[#This Row],[Country]],Table41[Sprint Classification],"&gt;0")</f>
        <v>0</v>
      </c>
      <c r="EE163" s="6">
        <f>COUNTIFS(Table85[Country],Tabela1[[#This Row],[Country]],Table85[Men''s Sprint Classification],"&gt;0")</f>
        <v>0</v>
      </c>
      <c r="EF163" s="6">
        <f>COUNTIFS(Table85[Country],Tabela1[[#This Row],[Country]],Table85[Women''s Sprint Classification],"&gt;0")</f>
        <v>0</v>
      </c>
      <c r="EG163" s="6">
        <f>COUNTIFS(Table85[Country],Tabela1[[#This Row],[Country]],Table85[Men''s Pursuit Classification],"&gt;0")</f>
        <v>0</v>
      </c>
      <c r="EH163" s="6">
        <f>COUNTIFS(Table85[Country],Tabela1[[#This Row],[Country]],Table85[Women''s Pursuit Classification],"&gt;0")</f>
        <v>0</v>
      </c>
      <c r="EI163" s="6">
        <f>COUNTIFS(Table9[Country],Tabela1[[#This Row],[Country]],Table9[Time-Trial Classification],"&gt;0")</f>
        <v>0</v>
      </c>
      <c r="EJ163" s="6">
        <f>COUNTIFS(Table14[Country],Tabela1[[#This Row],[Country]],Table14[Time-Trial Classification],"&gt;0")</f>
        <v>0</v>
      </c>
      <c r="EK163" s="6">
        <f>COUNTIFS(Table42[Country],Tabela1[[#This Row],[Country]],Table42[Springboard Classification],"&gt;0")</f>
        <v>0</v>
      </c>
      <c r="EL163" s="6">
        <f>COUNTIFS(Table43[Country],Tabela1[[#This Row],[Country]],Table43[Springboard Classification],"&gt;0")</f>
        <v>0</v>
      </c>
      <c r="EM163" s="6">
        <f>COUNTIFS(Table42[Country],Tabela1[[#This Row],[Country]],Table42[Platform Classification],"&gt;0")</f>
        <v>0</v>
      </c>
      <c r="EN163" s="6">
        <f>COUNTIFS(Table43[Country],Tabela1[[#This Row],[Country]],Table43[Platform Classification],"&gt;0")</f>
        <v>0</v>
      </c>
      <c r="EO163" s="6">
        <f>COUNTIFS(Table86[Country],Tabela1[[#This Row],[Country]],Table86[Men''s Synchronized Springboard Classification],"&gt;0")</f>
        <v>0</v>
      </c>
      <c r="EP163" s="6">
        <f>COUNTIFS(Table86[Country],Tabela1[[#This Row],[Country]],Table86[Women''s Synchronized Springboard Classification],"&gt;0")</f>
        <v>0</v>
      </c>
      <c r="EQ163" s="6">
        <f>COUNTIFS(Table86[Country],Tabela1[[#This Row],[Country]],Table86[Men''s Synchronized Platform Classification],"&gt;0")</f>
        <v>0</v>
      </c>
      <c r="ER163" s="6">
        <f>COUNTIFS(Table86[Country],Tabela1[[#This Row],[Country]],Table86[Women''s Synchronized Platform Classification],"&gt;0")</f>
        <v>0</v>
      </c>
      <c r="ES163" s="6">
        <f>COUNTIFS(Table44[Country],Tabela1[[#This Row],[Country]],Table44[Dressage Classification],"&gt;0")</f>
        <v>0</v>
      </c>
      <c r="ET163" s="6">
        <f>COUNTIFS(Table45[Country],Tabela1[[#This Row],[Country]],Table45[Dressage Classification],"&gt;0")</f>
        <v>0</v>
      </c>
      <c r="EU163" s="6">
        <f>COUNTIFS(Table44[Country],Tabela1[[#This Row],[Country]],Table44[Eventing Classification],"&gt;0")</f>
        <v>0</v>
      </c>
      <c r="EV163" s="6">
        <f>COUNTIFS(Table45[Country],Tabela1[[#This Row],[Country]],Table45[Eventing Classification],"&gt;0")</f>
        <v>0</v>
      </c>
      <c r="EW163" s="6">
        <f>COUNTIFS(Table44[Country],Tabela1[[#This Row],[Country]],Table44[Jumping Classification],"&gt;0")</f>
        <v>0</v>
      </c>
      <c r="EX163" s="6">
        <f>COUNTIFS(Table45[Country],Tabela1[[#This Row],[Country]],Table45[Jumping Classification],"&gt;0")</f>
        <v>0</v>
      </c>
      <c r="EY163" s="6">
        <f>COUNTIFS(Table10[Country],Tabela1[[#This Row],[Country]],Table10[Épée Classification],"&gt;0")</f>
        <v>0</v>
      </c>
      <c r="EZ163" s="6">
        <f>COUNTIFS(Table11[Country],Tabela1[[#This Row],[Country]],Table11[Épée Classification],"&gt;0")</f>
        <v>0</v>
      </c>
      <c r="FA163" s="6">
        <f>COUNTIFS(Table46[Country],Tabela1[[#This Row],[Country]],Table46[Men''s Épée Classification],"&gt;0")</f>
        <v>0</v>
      </c>
      <c r="FB163" s="6">
        <f>COUNTIFS(Table46[Country],Tabela1[[#This Row],[Country]],Table46[Women''s Épée Classification],"&gt;0")</f>
        <v>0</v>
      </c>
      <c r="FC163" s="6">
        <f>COUNTIFS(Table10[Country],Tabela1[[#This Row],[Country]],Table10[Foil Classification],"&gt;0")</f>
        <v>0</v>
      </c>
      <c r="FD163" s="6">
        <f>COUNTIFS(Table11[Country],Tabela1[[#This Row],[Country]],Table11[Foil Classification],"&gt;0")</f>
        <v>0</v>
      </c>
      <c r="FE163" s="6">
        <f>COUNTIFS(Table46[Country],Tabela1[[#This Row],[Country]],Table46[Men''s Foil Classification],"&gt;0")</f>
        <v>0</v>
      </c>
      <c r="FF163" s="6">
        <f>COUNTIFS(Table46[Country],Tabela1[[#This Row],[Country]],Table46[Women''s Foil Classification],"&gt;0")</f>
        <v>0</v>
      </c>
      <c r="FG163" s="6">
        <f>COUNTIFS(Table10[Country],Tabela1[[#This Row],[Country]],Table10[Sabre Classification],"&gt;0")</f>
        <v>0</v>
      </c>
      <c r="FH163" s="6">
        <f>COUNTIFS(Table11[Country],Tabela1[[#This Row],[Country]],Table11[Sabre Classification],"&gt;0")</f>
        <v>0</v>
      </c>
      <c r="FI163" s="6">
        <f>COUNTIFS(Table46[Country],Tabela1[[#This Row],[Country]],Table46[Men''s Sabre Classification],"&gt;0")</f>
        <v>0</v>
      </c>
      <c r="FJ163" s="6">
        <f>COUNTIFS(Table46[Country],Tabela1[[#This Row],[Country]],Table46[Women''s Sabre Classification],"&gt;0")</f>
        <v>0</v>
      </c>
      <c r="FK163" s="6">
        <f>COUNTIFS(Table91[Country],Tabela1[[#This Row],[Country]],Table91[Men''s Classification],"&gt;0")</f>
        <v>0</v>
      </c>
      <c r="FL163" s="6">
        <f>COUNTIFS(Table91[Country],Tabela1[[#This Row],[Country]],Table91[Women''s Classification],"&gt;0")</f>
        <v>0</v>
      </c>
      <c r="FM163" s="6">
        <f>COUNTIFS(Table9194[Country],Tabela1[[#This Row],[Country]],Table9194[Men''s Classification],"&gt;0")</f>
        <v>0</v>
      </c>
      <c r="FN163" s="6">
        <f>COUNTIFS(Table9194[Country],Tabela1[[#This Row],[Country]],Table9194[Women''s Classification],"&gt;0")</f>
        <v>0</v>
      </c>
      <c r="FO163" s="6">
        <f>COUNTIFS(Table71[Country],Tabela1[[#This Row],[Country]],Table71[Classification],"&gt;0")</f>
        <v>0</v>
      </c>
      <c r="FP163" s="6">
        <f>COUNTIFS(Table62[Country],Tabela1[[#This Row],[Country]],Table62[Classification],"&gt;0")</f>
        <v>0</v>
      </c>
      <c r="FQ163" s="6">
        <f>COUNTIFS(Table47[Country],Tabela1[[#This Row],[Country]],Table47[All-Around Classification],"&gt;0")</f>
        <v>0</v>
      </c>
      <c r="FR163" s="6">
        <f>COUNTIFS(Table48[Country],Tabela1[[#This Row],[Country]],Table48[All-Around Classification],"&gt;0")</f>
        <v>0</v>
      </c>
      <c r="FS163" s="6">
        <f>COUNTIFS(Table81[Country],Tabela1[[#This Row],[Country]],Table81[Men''s All-Around Classification],"&gt;0")</f>
        <v>0</v>
      </c>
      <c r="FT163" s="6">
        <f>COUNTIFS(Table81[Country],Tabela1[[#This Row],[Country]],Table81[Women''s All-Around Classification],"&gt;0")</f>
        <v>0</v>
      </c>
      <c r="FU163" s="6">
        <f>COUNTIFS(Table48[Country],Tabela1[[#This Row],[Country]],Table48[Balance Beam Classification],"&gt;0")</f>
        <v>0</v>
      </c>
      <c r="FV163" s="6">
        <f>COUNTIFS(Table47[Country],Tabela1[[#This Row],[Country]],Table47[Floor Exercise Classification],"&gt;0")</f>
        <v>0</v>
      </c>
      <c r="FW163" s="6">
        <f>COUNTIFS(Table48[Country],Tabela1[[#This Row],[Country]],Table48[Floor Exercise Classification],"&gt;0")</f>
        <v>0</v>
      </c>
      <c r="FX163" s="6">
        <f>COUNTIFS(Table47[Country],Tabela1[[#This Row],[Country]],Table47[Horizontal Bar Classification],"&gt;0")</f>
        <v>0</v>
      </c>
      <c r="FY163" s="6">
        <f>COUNTIFS(Table47[Country],Tabela1[[#This Row],[Country]],Table47[Parallel Bars Classification],"&gt;0")</f>
        <v>0</v>
      </c>
      <c r="FZ163" s="6">
        <f>COUNTIFS(Table47[Country],Tabela1[[#This Row],[Country]],Table47[Pommel Horse Classification],"&gt;0")</f>
        <v>0</v>
      </c>
      <c r="GA163" s="6">
        <f>COUNTIFS(Table47[Country],Tabela1[[#This Row],[Country]],Table47[Rings Classification],"&gt;0")</f>
        <v>0</v>
      </c>
      <c r="GB163" s="6">
        <f>COUNTIFS(Tabela132[Country],Tabela1[[#This Row],[Country]],Tabela132[Classification],"&gt;0")</f>
        <v>0</v>
      </c>
      <c r="GC163" s="6">
        <f>COUNTIFS(Tabela139[Country],Tabela1[[#This Row],[Country]],Tabela139[Classification],"&gt;0")</f>
        <v>0</v>
      </c>
      <c r="GD163" s="6">
        <f>COUNTIFS(Table48[Country],Tabela1[[#This Row],[Country]],Table48[Uneven Bars Classification],"&gt;0")</f>
        <v>0</v>
      </c>
      <c r="GE163" s="6">
        <f>COUNTIFS(Table47[Country],Tabela1[[#This Row],[Country]],Table47[Vault Classification],"&gt;0")</f>
        <v>0</v>
      </c>
      <c r="GF163" s="6">
        <f>COUNTIFS(Table48[Country],Tabela1[[#This Row],[Country]],Table48[Vault Classification],"&gt;0")</f>
        <v>0</v>
      </c>
      <c r="GG163" s="6">
        <f>COUNTIFS(Table919496[Country],Tabela1[[#This Row],[Country]],Table919496[Men''s Classification],"&gt;0")</f>
        <v>0</v>
      </c>
      <c r="GH163" s="6">
        <f>COUNTIFS(Table919496[Country],Tabela1[[#This Row],[Country]],Table919496[Women''s Classification],"&gt;0")</f>
        <v>0</v>
      </c>
      <c r="GI163" s="6">
        <f>COUNTIFS(Table12[Country],Tabela1[[#This Row],[Country]],Table12[60kg Classification],"&gt;0")</f>
        <v>0</v>
      </c>
      <c r="GJ163" s="6">
        <f>COUNTIFS(Table12[Country],Tabela1[[#This Row],[Country]],Table12[66kg Classification],"&gt;0")</f>
        <v>0</v>
      </c>
      <c r="GK163" s="6">
        <f>COUNTIFS(Table12[Country],Tabela1[[#This Row],[Country]],Table12[73kg Classification],"&gt;0")</f>
        <v>0</v>
      </c>
      <c r="GL163" s="6">
        <f>COUNTIFS(Table12[Country],Tabela1[[#This Row],[Country]],Table12[81kg Classification],"&gt;0")</f>
        <v>0</v>
      </c>
      <c r="GM163" s="6">
        <f>COUNTIFS(Table12[Country],Tabela1[[#This Row],[Country]],Table12[90kg Classification],"&gt;0")</f>
        <v>0</v>
      </c>
      <c r="GN163" s="6">
        <f>COUNTIFS(Table12[Country],Tabela1[[#This Row],[Country]],Table12[100kg Classification],"&gt;0")</f>
        <v>0</v>
      </c>
      <c r="GO163" s="6">
        <f>COUNTIFS(Table12[Country],Tabela1[[#This Row],[Country]],Table12[Plus 100kg Classification],"&gt;0")</f>
        <v>0</v>
      </c>
      <c r="GP163" s="6">
        <f>COUNTIFS(Table13[Country],Tabela1[[#This Row],[Country]],Table13[48kg Classification],"&gt;0")</f>
        <v>0</v>
      </c>
      <c r="GQ163" s="6">
        <f>COUNTIFS(Table13[Country],Tabela1[[#This Row],[Country]],Table13[52kg Classification],"&gt;0")</f>
        <v>0</v>
      </c>
      <c r="GR163" s="6">
        <f>COUNTIFS(Table13[Country],Tabela1[[#This Row],[Country]],Table13[57kg Classification],"&gt;0")</f>
        <v>0</v>
      </c>
      <c r="GS163" s="6">
        <f>COUNTIFS(Table13[Country],Tabela1[[#This Row],[Country]],Table13[63kg Classification],"&gt;0")</f>
        <v>0</v>
      </c>
      <c r="GT163" s="6">
        <f>COUNTIFS(Table13[Country],Tabela1[[#This Row],[Country]],Table13[70kg Classification],"&gt;0")</f>
        <v>0</v>
      </c>
      <c r="GU163" s="6">
        <f>COUNTIFS(Table13[Country],Tabela1[[#This Row],[Country]],Table13[78kg Classification],"&gt;0")</f>
        <v>0</v>
      </c>
      <c r="GV163" s="6">
        <f>COUNTIFS(Table13[Country],Tabela1[[#This Row],[Country]],Table13[Plus 78kg Classification],"&gt;0")</f>
        <v>0</v>
      </c>
      <c r="GW163" s="6">
        <f>COUNTIFS(Table82[Country],Tabela1[[#This Row],[Country]],Table82[Mixed Classification],"&gt;0")</f>
        <v>0</v>
      </c>
      <c r="GX163" s="6">
        <f>COUNTIFS(Table51[Country],Tabela1[[#This Row],[Country]],Table51[Classification],"&gt;0")</f>
        <v>0</v>
      </c>
      <c r="GY163" s="6">
        <f>COUNTIFS(Table52[Country],Tabela1[[#This Row],[Country]],Table52[Classification],"&gt;0")</f>
        <v>0</v>
      </c>
      <c r="GZ163" s="6">
        <f>COUNTIFS(Table32[Country],Tabela1[[#This Row],[Country]],Table32[All-Around Classification],"&gt;0")</f>
        <v>0</v>
      </c>
      <c r="HA163" s="6">
        <f>COUNTIFS(Table49[Country],Tabela1[[#This Row],[Country]],Table49[All-Around Classification],"&gt;0")</f>
        <v>0</v>
      </c>
      <c r="HB163" s="6">
        <f>COUNTIFS(Table26[Country],Tabela1[[#This Row],[Country]],Table26[Single Sculls Classification],"&gt;0")</f>
        <v>0</v>
      </c>
      <c r="HC163" s="6">
        <f>COUNTIFS(Table63[Country],Tabela1[[#This Row],[Country]],Table63[Single Sculls Classification],"&gt;0")</f>
        <v>0</v>
      </c>
      <c r="HD163" s="6">
        <f>COUNTIFS(Table16[Country],Tabela1[[#This Row],[Country]],Table16[Men''s Double Sculls Classification],"&gt;0")</f>
        <v>0</v>
      </c>
      <c r="HE163" s="6">
        <f>COUNTIFS(Table16[Country],Tabela1[[#This Row],[Country]],Table16[Women''s Double Sculls Classification],"&gt;0")</f>
        <v>0</v>
      </c>
      <c r="HF163" s="6">
        <f>COUNTIFS(Table72[Country],Tabela1[[#This Row],[Country]],Table72[Men''s Quadruple Sculls Classification],"&gt;0")</f>
        <v>0</v>
      </c>
      <c r="HG163" s="6">
        <f>COUNTIFS(Table72[Country],Tabela1[[#This Row],[Country]],Table72[Women''s Quadruple Sculls Classification],"&gt;0")</f>
        <v>0</v>
      </c>
      <c r="HH163" s="6">
        <f>COUNTIFS(Table16[Country],Tabela1[[#This Row],[Country]],Table16[Men''s Coxless Pairs Classification],"&gt;0")</f>
        <v>0</v>
      </c>
      <c r="HI163" s="6">
        <f>COUNTIFS(Table16[Country],Tabela1[[#This Row],[Country]],Table16[Women''s Coxless Pairs Classification],"&gt;0")</f>
        <v>0</v>
      </c>
      <c r="HJ163" s="6">
        <f>COUNTIFS(Table72[Country],Tabela1[[#This Row],[Country]],Table72[Men''s Coxless Fours Classification],"&gt;0")</f>
        <v>0</v>
      </c>
      <c r="HK163" s="6">
        <f>COUNTIFS(Table72[Country],Tabela1[[#This Row],[Country]],Table72[Women''s Coxless Fours Classification],"&gt;0")</f>
        <v>0</v>
      </c>
      <c r="HL163" s="6">
        <f>COUNTIFS(Table72[Country],Tabela1[[#This Row],[Country]],Table72[Men''s Eights Classification],"&gt;0")</f>
        <v>0</v>
      </c>
      <c r="HM163" s="6">
        <f>COUNTIFS(Table72[Country],Tabela1[[#This Row],[Country]],Table72[Women''s Eights Classification],"&gt;0")</f>
        <v>0</v>
      </c>
      <c r="HN163" s="6">
        <f>COUNTIFS(Table16[Country],Tabela1[[#This Row],[Country]],Table16[Men''s Lwt. Double Sculls Classification],"&gt;0")</f>
        <v>0</v>
      </c>
      <c r="HO163" s="6">
        <f>COUNTIFS(Table16[Country],Tabela1[[#This Row],[Country]],Table16[Women''s Lwt. Double Sculls Classification],"&gt;0")</f>
        <v>0</v>
      </c>
      <c r="HP163" s="6">
        <f>COUNTIFS(Table91949698[Country],Tabela1[[#This Row],[Country]],Table91949698[Men''s Classification],"&gt;0")</f>
        <v>0</v>
      </c>
      <c r="HQ163" s="6">
        <f>COUNTIFS(Table91949698[Country],Tabela1[[#This Row],[Country]],Table91949698[Women''s Classification],"&gt;0")</f>
        <v>0</v>
      </c>
      <c r="HR163" s="6">
        <f>COUNTIFS(Table25[Country],Tabela1[[#This Row],[Country]],Table25[Mixed 470 Classification],"&gt;0")</f>
        <v>0</v>
      </c>
      <c r="HS163" s="6">
        <f>COUNTIFS(Table25[Country],Tabela1[[#This Row],[Country]],Table25[Men''s 49er Classification],"&gt;0")</f>
        <v>0</v>
      </c>
      <c r="HT163" s="6">
        <f>COUNTIFS(Table25[Country],Tabela1[[#This Row],[Country]],Table25[Women''s 49er FX Classification],"&gt;0")</f>
        <v>0</v>
      </c>
      <c r="HU163" s="6">
        <f>COUNTIFS(Table17[Country],Tabela1[[#This Row],[Country]],Table17[Formula Kite Classification],"&gt;0")</f>
        <v>0</v>
      </c>
      <c r="HV163" s="6">
        <f>COUNTIFS(Table18[Country],Tabela1[[#This Row],[Country]],Table18[Formula Kite Classification],"&gt;0")</f>
        <v>0</v>
      </c>
      <c r="HW163" s="6">
        <f>COUNTIFS(Table17[Country],Tabela1[[#This Row],[Country]],Table17[ILCA 7 Classification],"&gt;0")</f>
        <v>0</v>
      </c>
      <c r="HX163" s="6">
        <f>COUNTIFS(Table18[Country],Tabela1[[#This Row],[Country]],Table18[ILCA 6 Classification],"&gt;0")</f>
        <v>0</v>
      </c>
      <c r="HY163" s="6">
        <f>COUNTIFS(Table17[Country],Tabela1[[#This Row],[Country]],Table17[IQFoil Classification],"&gt;0")</f>
        <v>0</v>
      </c>
      <c r="HZ163" s="6">
        <f>COUNTIFS(Table18[Country],Tabela1[[#This Row],[Country]],Table18[IQFoil Classification],"&gt;0")</f>
        <v>0</v>
      </c>
      <c r="IA163" s="6">
        <f>COUNTIFS(Table25[Country],Tabela1[[#This Row],[Country]],Table25[Mixed Nacra 17 Classification],"&gt;0")</f>
        <v>0</v>
      </c>
      <c r="IB163" s="6">
        <f>COUNTIFS(Table53[Country],Tabela1[[#This Row],[Country]],Table53[10m Air Pistol Classification],"&gt;0")</f>
        <v>0</v>
      </c>
      <c r="IC163" s="6">
        <f>COUNTIFS(Table19[Country],Tabela1[[#This Row],[Country]],Table19[10m Air Pistol Classification],"&gt;0")</f>
        <v>0</v>
      </c>
      <c r="ID163" s="6">
        <f>COUNTIFS(Table54[Country],Tabela1[[#This Row],[Country]],Table54[Mixed 10m Air Pistol Team Classification],"&gt;0")</f>
        <v>0</v>
      </c>
      <c r="IE163" s="6">
        <f>COUNTIFS(Table53[Country],Tabela1[[#This Row],[Country]],Table53[10m Air Rifle Classification],"&gt;0")</f>
        <v>0</v>
      </c>
      <c r="IF163" s="6">
        <f>COUNTIFS(Table19[Country],Tabela1[[#This Row],[Country]],Table19[10m Air Rifle Classification],"&gt;0")</f>
        <v>0</v>
      </c>
      <c r="IG163" s="6">
        <f>COUNTIFS(Table54[Country],Tabela1[[#This Row],[Country]],Table54[Mixed 10m Air Rifle Team Classification],"&gt;0")</f>
        <v>0</v>
      </c>
      <c r="IH163" s="6">
        <f>COUNTIFS(Table53[Country],Tabela1[[#This Row],[Country]],Table53[25m Rapid Fire Pistol Classification],"&gt;0")</f>
        <v>0</v>
      </c>
      <c r="II163" s="6">
        <f>COUNTIFS(Table19[Country],Tabela1[[#This Row],[Country]],Table19[25m Pistol Classification],"&gt;0")</f>
        <v>0</v>
      </c>
      <c r="IJ163" s="6">
        <f>COUNTIFS(Table53[Country],Tabela1[[#This Row],[Country]],Table53[50m Rifle 3 Positions Classification],"&gt;0")</f>
        <v>0</v>
      </c>
      <c r="IK163" s="6">
        <f>COUNTIFS(Table19[Country],Tabela1[[#This Row],[Country]],Table19[50m Rifle 3 Positions Classification],"&gt;0")</f>
        <v>0</v>
      </c>
      <c r="IL163" s="6">
        <f>COUNTIFS(Table53[Country],Tabela1[[#This Row],[Country]],Table53[Skeet Classification],"&gt;0")</f>
        <v>0</v>
      </c>
      <c r="IM163" s="6">
        <f>COUNTIFS(Table19[Country],Tabela1[[#This Row],[Country]],Table19[Skeet Classification],"&gt;0")</f>
        <v>0</v>
      </c>
      <c r="IN163" s="6">
        <f>COUNTIFS(Table54[Country],Tabela1[[#This Row],[Country]],Table54[Mixed Skeet Team Classification],"&gt;0")</f>
        <v>0</v>
      </c>
      <c r="IO163" s="6">
        <f>COUNTIFS(Table53[Country],Tabela1[[#This Row],[Country]],Table53[Trap Classification],"&gt;0")</f>
        <v>0</v>
      </c>
      <c r="IP163" s="6">
        <f>COUNTIFS(Table19[Country],Tabela1[[#This Row],[Country]],Table19[Trap Classification],"&gt;0")</f>
        <v>0</v>
      </c>
      <c r="IQ163" s="6">
        <f>COUNTIFS(Table73[Country],Tabela1[[#This Row],[Country]],Table73[Park Classification],"&gt;0")</f>
        <v>0</v>
      </c>
      <c r="IR163" s="6">
        <f>COUNTIFS(Table74[Country],Tabela1[[#This Row],[Country]],Table74[Park Classification],"&gt;0")</f>
        <v>0</v>
      </c>
      <c r="IS163" s="6">
        <f>COUNTIFS(Table73[Country],Tabela1[[#This Row],[Country]],Table73[Street Classification],"&gt;0")</f>
        <v>0</v>
      </c>
      <c r="IT163" s="6">
        <f>COUNTIFS(Table74[Country],Tabela1[[#This Row],[Country]],Table74[Street Classification],"&gt;0")</f>
        <v>0</v>
      </c>
      <c r="IU163" s="6">
        <f>COUNTIFS(Table75[Country],Tabela1[[#This Row],[Country]],Table75[Boulder and Lead Classification],"&gt;0")</f>
        <v>0</v>
      </c>
      <c r="IV163" s="6">
        <f>COUNTIFS(Table76[Country],Tabela1[[#This Row],[Country]],Table76[Boulder and Lead Classification],"&gt;0")</f>
        <v>0</v>
      </c>
      <c r="IW163" s="6">
        <f>COUNTIFS(Table75[Country],Tabela1[[#This Row],[Country]],Table75[Speed Classification],"&gt;0")</f>
        <v>0</v>
      </c>
      <c r="IX163" s="6">
        <f>COUNTIFS(Table76[Country],Tabela1[[#This Row],[Country]],Table76[Speed Classification],"&gt;0")</f>
        <v>0</v>
      </c>
      <c r="IY163" s="6">
        <f>COUNTIFS(Table64[Country],Tabela1[[#This Row],[Country]],Table64[Shortboard Classification],"&gt;0")</f>
        <v>0</v>
      </c>
      <c r="IZ163" s="6">
        <f>COUNTIFS(Table77[Country],Tabela1[[#This Row],[Country]],Table77[Shortboard Classification],"&gt;0")</f>
        <v>0</v>
      </c>
      <c r="JA163" s="6">
        <f>COUNTIFS(Table20[Country],Tabela1[[#This Row],[Country]],Table20[50m Freestyle Classification],"&gt;0")</f>
        <v>0</v>
      </c>
      <c r="JB163" s="6">
        <f>COUNTIFS(Table21[Country],Tabela1[[#This Row],[Country]],Table21[50m Freestyle Classification],"&gt;0")</f>
        <v>0</v>
      </c>
      <c r="JC163" s="6">
        <f>COUNTIFS(Table20[Country],Tabela1[[#This Row],[Country]],Table20[100m Freestyle Classification],"&gt;0")</f>
        <v>0</v>
      </c>
      <c r="JD163" s="6">
        <f>COUNTIFS(Table21[Country],Tabela1[[#This Row],[Country]],Table21[100m Freestyle Classification],"&gt;0")</f>
        <v>0</v>
      </c>
      <c r="JE163" s="6">
        <f>COUNTIFS(Table20[Country],Tabela1[[#This Row],[Country]],Table20[200m Freestyle Classification],"&gt;0")</f>
        <v>0</v>
      </c>
      <c r="JF163" s="6">
        <f>COUNTIFS(Table21[Country],Tabela1[[#This Row],[Country]],Table21[200m Freestyle Classification],"&gt;0")</f>
        <v>0</v>
      </c>
      <c r="JG163" s="6">
        <f>COUNTIFS(Table20[Country],Tabela1[[#This Row],[Country]],Table20[400m Freestyle Classification],"&gt;0")</f>
        <v>0</v>
      </c>
      <c r="JH163" s="6">
        <f>COUNTIFS(Table21[Country],Tabela1[[#This Row],[Country]],Table21[400m Freestyle Classification],"&gt;0")</f>
        <v>0</v>
      </c>
      <c r="JI163" s="6">
        <f>COUNTIFS(Table20[Country],Tabela1[[#This Row],[Country]],Table20[800m Freestyle Classification],"&gt;0")</f>
        <v>0</v>
      </c>
      <c r="JJ163" s="6">
        <f>COUNTIFS(Table21[Country],Tabela1[[#This Row],[Country]],Table21[800m Freestyle Classification],"&gt;0")</f>
        <v>0</v>
      </c>
      <c r="JK163" s="6">
        <f>COUNTIFS(Table20[Country],Tabela1[[#This Row],[Country]],Table20[1500m Freestyle Classification],"&gt;0")</f>
        <v>0</v>
      </c>
      <c r="JL163" s="6">
        <f>COUNTIFS(Table21[Country],Tabela1[[#This Row],[Country]],Table21[1500m Freestyle Classification],"&gt;0")</f>
        <v>0</v>
      </c>
      <c r="JM163" s="6">
        <f>COUNTIFS(Table20[Country],Tabela1[[#This Row],[Country]],Table20[100m Backstroke Classification],"&gt;0")</f>
        <v>0</v>
      </c>
      <c r="JN163" s="6">
        <f>COUNTIFS(Table21[Country],Tabela1[[#This Row],[Country]],Table21[100m Backstroke Classification],"&gt;0")</f>
        <v>0</v>
      </c>
      <c r="JO163" s="6">
        <f>COUNTIFS(Table20[Country],Tabela1[[#This Row],[Country]],Table20[200m Backstroke Classification],"&gt;0")</f>
        <v>0</v>
      </c>
      <c r="JP163" s="6">
        <f>COUNTIFS(Table21[Country],Tabela1[[#This Row],[Country]],Table21[200m Backstroke Classification],"&gt;0")</f>
        <v>0</v>
      </c>
      <c r="JQ163" s="6">
        <f>COUNTIFS(Table20[Country],Tabela1[[#This Row],[Country]],Table20[100m Breaststroke Classification],"&gt;0")</f>
        <v>0</v>
      </c>
      <c r="JR163" s="6">
        <f>COUNTIFS(Table21[Country],Tabela1[[#This Row],[Country]],Table21[100m Breaststroke Classification],"&gt;0")</f>
        <v>0</v>
      </c>
      <c r="JS163" s="6">
        <f>COUNTIFS(Table20[Country],Tabela1[[#This Row],[Country]],Table20[200m Breaststroke Classification],"&gt;0")</f>
        <v>0</v>
      </c>
      <c r="JT163" s="6">
        <f>COUNTIFS(Table21[Country],Tabela1[[#This Row],[Country]],Table21[200m Breaststroke Classification],"&gt;0")</f>
        <v>0</v>
      </c>
      <c r="JU163" s="6">
        <f>COUNTIFS(Table20[Country],Tabela1[[#This Row],[Country]],Table20[100m Butterfly Classification],"&gt;0")</f>
        <v>0</v>
      </c>
      <c r="JV163" s="6">
        <f>COUNTIFS(Table21[Country],Tabela1[[#This Row],[Country]],Table21[100m Butterfly Classification],"&gt;0")</f>
        <v>0</v>
      </c>
      <c r="JW163" s="6">
        <f>COUNTIFS(Table20[Country],Tabela1[[#This Row],[Country]],Table20[200m Butterfly Classification],"&gt;0")</f>
        <v>0</v>
      </c>
      <c r="JX163" s="6">
        <f>COUNTIFS(Table21[Country],Tabela1[[#This Row],[Country]],Table21[200m Butterfly Classification],"&gt;0")</f>
        <v>0</v>
      </c>
      <c r="JY163" s="6">
        <f>COUNTIFS(Table20[Country],Tabela1[[#This Row],[Country]],Table20[200m Medley Classification],"&gt;0")</f>
        <v>0</v>
      </c>
      <c r="JZ163" s="6">
        <f>COUNTIFS(Table21[Country],Tabela1[[#This Row],[Country]],Table21[200m Medley Classification],"&gt;0")</f>
        <v>0</v>
      </c>
      <c r="KA163" s="6">
        <f>COUNTIFS(Table20[Country],Tabela1[[#This Row],[Country]],Table20[400m Medley Classification],"&gt;0")</f>
        <v>0</v>
      </c>
      <c r="KB163" s="6">
        <f>COUNTIFS(Table21[Country],Tabela1[[#This Row],[Country]],Table21[400m Medley Classification],"&gt;0")</f>
        <v>0</v>
      </c>
      <c r="KC163" s="6">
        <f>COUNTIFS(Table78[Country],Tabela1[[#This Row],[Country]],Table78[Men''s 4x100m Freestyle Relay Classification],"&gt;0")</f>
        <v>0</v>
      </c>
      <c r="KD163" s="6">
        <f>COUNTIFS(Table78[Country],Tabela1[[#This Row],[Country]],Table78[Women''s 4x100m Freestyle Relay Classification],"&gt;0")</f>
        <v>0</v>
      </c>
      <c r="KE163" s="6">
        <f>COUNTIFS(Table78[Country],Tabela1[[#This Row],[Country]],Table78[Men''s 4x200m Freestyle Relay Classification],"&gt;0")</f>
        <v>0</v>
      </c>
      <c r="KF163" s="6">
        <f>COUNTIFS(Table78[Country],Tabela1[[#This Row],[Country]],Table78[Women''s 4x200m Freestyle Relay Classification],"&gt;0")</f>
        <v>0</v>
      </c>
      <c r="KG163" s="6">
        <f>COUNTIFS(Table78[Country],Tabela1[[#This Row],[Country]],Table78[Men''s 4x100m Medley Relay Classification],"&gt;0")</f>
        <v>0</v>
      </c>
      <c r="KH163" s="6">
        <f>COUNTIFS(Table78[Country],Tabela1[[#This Row],[Country]],Table78[Women''s 4x100m Medley Relay Classification],"&gt;0")</f>
        <v>0</v>
      </c>
      <c r="KI163" s="6">
        <f>COUNTIFS(Table78[Country],Tabela1[[#This Row],[Country]],Table78[Mixed 4x100m Medley Relay Classification],"&gt;0")</f>
        <v>0</v>
      </c>
      <c r="KJ163" s="6">
        <f>COUNTIFS(Table20[Country],Tabela1[[#This Row],[Country]],Table20[10km Open Water Classification],"&gt;0")</f>
        <v>0</v>
      </c>
      <c r="KK163" s="6">
        <f>COUNTIFS(Table21[Country],Tabela1[[#This Row],[Country]],Table21[10km Open Water Classification],"&gt;0")</f>
        <v>0</v>
      </c>
      <c r="KL163" s="6">
        <f>COUNTIFS(Table22[Country],Tabela1[[#This Row],[Country]],Table22[Classification],"&gt;0")</f>
        <v>0</v>
      </c>
      <c r="KM163" s="6">
        <f>COUNTIFS(Table30[Country],Tabela1[[#This Row],[Country]],Table30[Classification],"&gt;0")</f>
        <v>0</v>
      </c>
      <c r="KN163" s="6">
        <f>COUNTIFS(Table55[Country],Tabela1[[#This Row],[Country]],Table55[Men''s Classification],"&gt;0")</f>
        <v>0</v>
      </c>
      <c r="KO163" s="6">
        <f>COUNTIFS(Table55[Country],Tabela1[[#This Row],[Country]],Table55[Women''s Classification],"&gt;0")</f>
        <v>0</v>
      </c>
      <c r="KP163" s="6">
        <f>COUNTIFS(Table56[Country],Tabela1[[#This Row],[Country]],Table56[Mixed Classification],"&gt;0")</f>
        <v>0</v>
      </c>
      <c r="KQ163" s="6">
        <f>COUNTIFS(Table29[Country],Tabela1[[#This Row],[Country]],Table29[58kg Classification],"&gt;0")</f>
        <v>0</v>
      </c>
      <c r="KR163" s="6">
        <f>COUNTIFS(Table29[Country],Tabela1[[#This Row],[Country]],Table29[68kg Classification],"&gt;0")</f>
        <v>0</v>
      </c>
      <c r="KS163" s="6">
        <f>COUNTIFS(Table29[Country],Tabela1[[#This Row],[Country]],Table29[80kg Classification],"&gt;0")</f>
        <v>0</v>
      </c>
      <c r="KT163" s="6">
        <f>COUNTIFS(Table29[Country],Tabela1[[#This Row],[Country]],Table29[Plus 80kg Classification],"&gt;0")</f>
        <v>0</v>
      </c>
      <c r="KU163" s="6">
        <f>COUNTIFS(Table34[Country],Tabela1[[#This Row],[Country]],Table34[49kg Classification],"&gt;0")</f>
        <v>0</v>
      </c>
      <c r="KV163" s="6">
        <f>COUNTIFS(Table34[Country],Tabela1[[#This Row],[Country]],Table34[57kg Classification],"&gt;0")</f>
        <v>0</v>
      </c>
      <c r="KW163" s="6">
        <f>COUNTIFS(Table34[Country],Tabela1[[#This Row],[Country]],Table34[67kg Classification],"&gt;0")</f>
        <v>0</v>
      </c>
      <c r="KX163" s="6">
        <f>COUNTIFS(Table34[Country],Tabela1[[#This Row],[Country]],Table34[Plus 67kg Classification],"&gt;0")</f>
        <v>0</v>
      </c>
      <c r="KY163" s="6">
        <f>COUNTIFS(Table57[Country],Tabela1[[#This Row],[Country]],Table57[Classification],"&gt;0")</f>
        <v>0</v>
      </c>
      <c r="KZ163" s="6">
        <f>COUNTIFS(Table58[Country],Tabela1[[#This Row],[Country]],Table58[Classification],"&gt;0")</f>
        <v>0</v>
      </c>
      <c r="LA163" s="6">
        <f>COUNTIFS(Table79[Country],Tabela1[[#This Row],[Country]],Table79[Men''s Classification],"&gt;0")</f>
        <v>0</v>
      </c>
      <c r="LB163" s="6">
        <f>COUNTIFS(Table79[Country],Tabela1[[#This Row],[Country]],Table79[Women''s Classification],"&gt;0")</f>
        <v>0</v>
      </c>
      <c r="LC163" s="6">
        <f>COUNTIFS(Table79[Country],Tabela1[[#This Row],[Country]],Table79[Mixed Classification],"&gt;0")</f>
        <v>0</v>
      </c>
      <c r="LD163" s="6">
        <f>COUNTIFS(Table65[Country],Tabela1[[#This Row],[Country]],Table65[Classification],"&gt;0")</f>
        <v>0</v>
      </c>
      <c r="LE163" s="6">
        <f>COUNTIFS(Table59[Country],Tabela1[[#This Row],[Country]],Table59[Classification],"&gt;0")</f>
        <v>0</v>
      </c>
      <c r="LF163" s="6">
        <f>COUNTIFS(Table87[Country],Tabela1[[#This Row],[Country]],Table87[Mixed Relay Classification],"&gt;0")</f>
        <v>0</v>
      </c>
      <c r="LG163" s="6">
        <f>COUNTIFS(Table91949698100[Country],Tabela1[[#This Row],[Country]],Table91949698100[Men''s Classification],"&gt;0")</f>
        <v>0</v>
      </c>
      <c r="LH163" s="6">
        <f>COUNTIFS(Table91949698100[Country],Tabela1[[#This Row],[Country]],Table91949698100[Women''s Classification],"&gt;0")</f>
        <v>0</v>
      </c>
      <c r="LI163" s="6">
        <f>COUNTIFS(Table91949698100102[Country],Tabela1[[#This Row],[Country]],Table91949698100102[Men''s Classification],"&gt;0")</f>
        <v>0</v>
      </c>
      <c r="LJ163" s="6">
        <f>COUNTIFS(Table91949698100102[Country],Tabela1[[#This Row],[Country]],Table91949698100102[Women''s Classification],"&gt;0")</f>
        <v>0</v>
      </c>
      <c r="LK163" s="6">
        <f>COUNTIFS(Table23[Country],Tabela1[[#This Row],[Country]],Table23[61kg Classification],"&gt;0")</f>
        <v>0</v>
      </c>
      <c r="LL163" s="6">
        <f>COUNTIFS(Table23[Country],Tabela1[[#This Row],[Country]],Table23[73kg Classification],"&gt;0")</f>
        <v>0</v>
      </c>
      <c r="LM163" s="6">
        <f>COUNTIFS(Table23[Country],Tabela1[[#This Row],[Country]],Table23[89kg Classification],"&gt;0")</f>
        <v>0</v>
      </c>
      <c r="LN163" s="6">
        <f>COUNTIFS(Table23[Country],Tabela1[[#This Row],[Country]],Table23[102kg Classification],"&gt;0")</f>
        <v>0</v>
      </c>
      <c r="LO163" s="6">
        <f>COUNTIFS(Table23[Country],Tabela1[[#This Row],[Country]],Table23[Plus 102kg Classification],"&gt;0")</f>
        <v>0</v>
      </c>
      <c r="LP163" s="6">
        <f>COUNTIFS(Table28[Country],Tabela1[[#This Row],[Country]],Table28[49kg Classification],"&gt;0")</f>
        <v>0</v>
      </c>
      <c r="LQ163" s="6">
        <f>COUNTIFS(Table28[Country],Tabela1[[#This Row],[Country]],Table28[59kg Classification],"&gt;0")</f>
        <v>0</v>
      </c>
      <c r="LR163" s="6">
        <f>COUNTIFS(Table28[Country],Tabela1[[#This Row],[Country]],Table28[71kg Classification],"&gt;0")</f>
        <v>0</v>
      </c>
      <c r="LS163" s="6">
        <f>COUNTIFS(Table28[Country],Tabela1[[#This Row],[Country]],Table28[81kg Classification],"&gt;0")</f>
        <v>0</v>
      </c>
      <c r="LT163" s="6">
        <f>COUNTIFS(Table28[Country],Tabela1[[#This Row],[Country]],Table28[Plus 81kg Classification],"&gt;0")</f>
        <v>0</v>
      </c>
      <c r="LU163" s="6">
        <f>COUNTIFS(Table24[Country],Tabela1[[#This Row],[Country]],Table24[Freestyle 57kg Classification],"&gt;0")</f>
        <v>0</v>
      </c>
      <c r="LV163" s="6">
        <f>COUNTIFS(Table24[Country],Tabela1[[#This Row],[Country]],Table24[Freestyle 65kg Classification],"&gt;0")</f>
        <v>0</v>
      </c>
      <c r="LW163" s="6">
        <f>COUNTIFS(Table24[Country],Tabela1[[#This Row],[Country]],Table24[Freestyle 74kg Classification],"&gt;0")</f>
        <v>0</v>
      </c>
      <c r="LX163" s="6">
        <f>COUNTIFS(Table24[Country],Tabela1[[#This Row],[Country]],Table24[Freestyle 86kg Classification],"&gt;0")</f>
        <v>0</v>
      </c>
      <c r="LY163" s="6">
        <f>COUNTIFS(Table24[Country],Tabela1[[#This Row],[Country]],Table24[Freestyle 97kg Classification],"&gt;0")</f>
        <v>0</v>
      </c>
      <c r="LZ163" s="6">
        <f>COUNTIFS(Table24[Country],Tabela1[[#This Row],[Country]],Table24[Freestyle 125kg Classification],"&gt;0")</f>
        <v>0</v>
      </c>
      <c r="MA163" s="6">
        <f>COUNTIFS(Table24[Country],Tabela1[[#This Row],[Country]],Table24[Greco-Roman 60kg Classification],"&gt;0")</f>
        <v>0</v>
      </c>
      <c r="MB163" s="6">
        <f>COUNTIFS(Table24[Country],Tabela1[[#This Row],[Country]],Table24[Greco-Roman 67kg Classification],"&gt;0")</f>
        <v>0</v>
      </c>
      <c r="MC163" s="6">
        <f>COUNTIFS(Table24[Country],Tabela1[[#This Row],[Country]],Table24[Greco-Roman 77kg Classification],"&gt;0")</f>
        <v>0</v>
      </c>
      <c r="MD163" s="6">
        <f>COUNTIFS(Table24[Country],Tabela1[[#This Row],[Country]],Table24[Greco-Roman 87kg Classification],"&gt;0")</f>
        <v>0</v>
      </c>
      <c r="ME163" s="6">
        <f>COUNTIFS(Table24[Country],Tabela1[[#This Row],[Country]],Table24[Greco-Roman 97kg Classification],"&gt;0")</f>
        <v>0</v>
      </c>
      <c r="MF163" s="6">
        <f>COUNTIFS(Table24[Country],Tabela1[[#This Row],[Country]],Table24[Greco-Roman 130kg Classification],"&gt;0")</f>
        <v>0</v>
      </c>
      <c r="MG163" s="6">
        <f>COUNTIFS(Table31[Country],Tabela1[[#This Row],[Country]],Table31[50kg Classification],"&gt;0")</f>
        <v>0</v>
      </c>
      <c r="MH163" s="6">
        <f>COUNTIFS(Table31[Country],Tabela1[[#This Row],[Country]],Table31[53kg Classification],"&gt;0")</f>
        <v>0</v>
      </c>
      <c r="MI163" s="6">
        <f>COUNTIFS(Table31[Country],Tabela1[[#This Row],[Country]],Table31[57kg Classification],"&gt;0")</f>
        <v>0</v>
      </c>
      <c r="MJ163" s="6">
        <f>COUNTIFS(Table31[Country],Tabela1[[#This Row],[Country]],Table31[62kg Classification],"&gt;0")</f>
        <v>0</v>
      </c>
      <c r="MK163" s="6">
        <f>COUNTIFS(Table31[Country],Tabela1[[#This Row],[Country]],Table31[68kg Classification],"&gt;0")</f>
        <v>0</v>
      </c>
      <c r="ML163" s="6">
        <f>COUNTIFS(Table31[Country],Tabela1[[#This Row],[Country]],Table31[76kg Classification],"&gt;0")</f>
        <v>0</v>
      </c>
      <c r="MM163" s="6">
        <f>COUNTIFS(Table102[Country],Tabela1[[#This Row],[Country]],Table102[Downhill Classification],"&gt;0")</f>
        <v>0</v>
      </c>
      <c r="MN163" s="6">
        <f>COUNTIFS(Table102105[Country],Tabela1[[#This Row],[Country]],Table102105[Downhill Classification],"&gt;0")</f>
        <v>0</v>
      </c>
      <c r="MO163" s="6">
        <f>COUNTIFS(Table102[Country],Tabela1[[#This Row],[Country]],Table102[Giant Slalom Classification],"&gt;0")</f>
        <v>0</v>
      </c>
      <c r="MP163" s="6">
        <f>COUNTIFS(Table102105[Country],Tabela1[[#This Row],[Country]],Table102105[Giant Slalom Classification],"&gt;0")</f>
        <v>0</v>
      </c>
      <c r="MQ163" s="6">
        <f>COUNTIFS(Table102[Country],Tabela1[[#This Row],[Country]],Table102[Slalom Classification],"&gt;0")</f>
        <v>0</v>
      </c>
      <c r="MR163" s="6">
        <f>COUNTIFS(Table102105[Country],Tabela1[[#This Row],[Country]],Table102105[Slalom Classification],"&gt;0")</f>
        <v>0</v>
      </c>
      <c r="MS163" s="6">
        <f>COUNTIFS(Table102[Country],Tabela1[[#This Row],[Country]],Table102[Super-G Classification],"&gt;0")</f>
        <v>0</v>
      </c>
      <c r="MT163" s="6">
        <f>COUNTIFS(Table102105[Country],Tabela1[[#This Row],[Country]],Table102105[Super-G Classification],"&gt;0")</f>
        <v>0</v>
      </c>
      <c r="MU163" s="6">
        <f>COUNTIFS(Table105[Country],Tabela1[[#This Row],[Country]],Table105[Men''s Combined Classification],"&gt;0")</f>
        <v>0</v>
      </c>
      <c r="MV163" s="6">
        <f>COUNTIFS(Table105[Country],Tabela1[[#This Row],[Country]],Table105[Women''s Combined Classification],"&gt;0")</f>
        <v>0</v>
      </c>
      <c r="MW163" s="6">
        <f>COUNTIFS(Table106[Country],Tabela1[[#This Row],[Country]],Table106[Individual Classification],"&gt;0")</f>
        <v>0</v>
      </c>
      <c r="MX163" s="6">
        <f>COUNTIFS(Table106109[Country],Tabela1[[#This Row],[Country]],Table106109[Individual Classification],"&gt;0")</f>
        <v>0</v>
      </c>
      <c r="MY163" s="6">
        <f>COUNTIFS(Table106[Country],Tabela1[[#This Row],[Country]],Table106[Mass Start Classification],"&gt;0")</f>
        <v>0</v>
      </c>
      <c r="MZ163" s="6">
        <f>COUNTIFS(Table106109[Country],Tabela1[[#This Row],[Country]],Table106109[Mass Start Classification],"&gt;0")</f>
        <v>0</v>
      </c>
      <c r="NA163" s="6">
        <f>COUNTIFS(Table106[Country],Tabela1[[#This Row],[Country]],Table106[Pursuit Classification],"&gt;0")</f>
        <v>0</v>
      </c>
      <c r="NB163" s="6">
        <f>COUNTIFS(Table106109[Country],Tabela1[[#This Row],[Country]],Table106109[Pursuit Classification],"&gt;0")</f>
        <v>0</v>
      </c>
      <c r="NC163" s="6">
        <f>COUNTIFS(Table106[Country],Tabela1[[#This Row],[Country]],Table106[Sprint Classification],"&gt;0")</f>
        <v>0</v>
      </c>
      <c r="ND163" s="6">
        <f>COUNTIFS(Table106109[Country],Tabela1[[#This Row],[Country]],Table106109[Sprint Classification],"&gt;0")</f>
        <v>0</v>
      </c>
      <c r="NE163" s="6">
        <f>COUNTIFS(Table109[Country],Tabela1[[#This Row],[Country]],Table109[Men''s Relay Classification],"&gt;0")</f>
        <v>0</v>
      </c>
      <c r="NF163" s="6">
        <f>COUNTIFS(Table109[Country],Tabela1[[#This Row],[Country]],Table109[Women''s Relay Classification],"&gt;0")</f>
        <v>0</v>
      </c>
      <c r="NG163" s="6">
        <f>COUNTIFS(Table109[Country],Tabela1[[#This Row],[Country]],Table109[Mixed Relay Classification],"&gt;0")</f>
        <v>0</v>
      </c>
      <c r="NH163" s="6">
        <f>COUNTIFS(Table110[Country],Tabela1[[#This Row],[Country]],Table110[Monobob Classification],"&gt;0")</f>
        <v>0</v>
      </c>
      <c r="NI163" s="6">
        <f>COUNTIFS(Table111[Country],Tabela1[[#This Row],[Country]],Table111[Men''s Classification],"&gt;0")</f>
        <v>0</v>
      </c>
      <c r="NJ163" s="6">
        <f>COUNTIFS(Table111[Country],Tabela1[[#This Row],[Country]],Table111[Women''s Classification],"&gt;0")</f>
        <v>0</v>
      </c>
      <c r="NK163" s="6">
        <f>COUNTIFS(Table112[Country],Tabela1[[#This Row],[Country]],Table112[Men''s Four Classification],"&gt;0")</f>
        <v>0</v>
      </c>
      <c r="NL163" s="6">
        <f>COUNTIFS(Table113[Country],Tabela1[[#This Row],[Country]],Table113[Classical Classification],"&gt;0")</f>
        <v>0</v>
      </c>
      <c r="NM163" s="6">
        <f>COUNTIFS(Table113116[Country],Tabela1[[#This Row],[Country]],Table113116[Classical Classification],"&gt;0")</f>
        <v>0</v>
      </c>
      <c r="NN163" s="6">
        <f>COUNTIFS(Table113[Country],Tabela1[[#This Row],[Country]],Table113[Freestyle Classification],"&gt;0")</f>
        <v>0</v>
      </c>
      <c r="NO163" s="6">
        <f>COUNTIFS(Table113116[Country],Tabela1[[#This Row],[Country]],Table113116[Freestyle Classification],"&gt;0")</f>
        <v>0</v>
      </c>
      <c r="NP163" s="6">
        <f>COUNTIFS(Table117[Country],Tabela1[[#This Row],[Country]],Table117[Men''s Relay Classification],"&gt;0")</f>
        <v>0</v>
      </c>
      <c r="NQ163" s="6">
        <f>COUNTIFS(Table117[Country],Tabela1[[#This Row],[Country]],Table117[Women''s Relay Classification],"&gt;0")</f>
        <v>0</v>
      </c>
      <c r="NR163" s="6">
        <f>COUNTIFS(Table113[Country],Tabela1[[#This Row],[Country]],Table113[Skiathlon Classification],"&gt;0")</f>
        <v>0</v>
      </c>
      <c r="NS163" s="6">
        <f>COUNTIFS(Table113116[Country],Tabela1[[#This Row],[Country]],Table113116[Skiathlon Classification],"&gt;0")</f>
        <v>0</v>
      </c>
      <c r="NT163" s="6">
        <f>COUNTIFS(Table113[Country],Tabela1[[#This Row],[Country]],Table113[Sprint Classification],"&gt;0")</f>
        <v>0</v>
      </c>
      <c r="NU163" s="6">
        <f>COUNTIFS(Table113116[Country],Tabela1[[#This Row],[Country]],Table113116[Sprint Classification],"&gt;0")</f>
        <v>0</v>
      </c>
      <c r="NV163" s="6">
        <f>COUNTIFS(Table116[Country],Tabela1[[#This Row],[Country]],Table116[Men''s Team Sprint Classification],"&gt;0")</f>
        <v>0</v>
      </c>
      <c r="NW163" s="6">
        <f>COUNTIFS(Table116[Country],Tabela1[[#This Row],[Country]],Table116[Women''s Team Sprint Classification],"&gt;0")</f>
        <v>0</v>
      </c>
      <c r="NX163" s="6">
        <f>COUNTIFS(Table119[Country],Tabela1[[#This Row],[Country]],Table119[Men''s Classification],"&gt;0")</f>
        <v>0</v>
      </c>
      <c r="NY163" s="6">
        <f>COUNTIFS(Table119[Country],Tabela1[[#This Row],[Country]],Table119[Women''s Classification],"&gt;0")</f>
        <v>0</v>
      </c>
      <c r="NZ163" s="6">
        <f>COUNTIFS(Table118[Country],Tabela1[[#This Row],[Country]],Table118[Mixed Classification],"&gt;0")</f>
        <v>0</v>
      </c>
      <c r="OA163" s="6">
        <f>COUNTIFS(Table120[Country],Tabela1[[#This Row],[Country]],Table120[Classification],"&gt;0")</f>
        <v>0</v>
      </c>
      <c r="OB163" s="6">
        <f>COUNTIFS(Table120123[Country],Tabela1[[#This Row],[Country]],Table120123[Classification],"&gt;0")</f>
        <v>0</v>
      </c>
      <c r="OC163" s="6">
        <f>COUNTIFS(Table123[Country],Tabela1[[#This Row],[Country]],Table123[Ice Dance Classification],"&gt;0")</f>
        <v>0</v>
      </c>
      <c r="OD163" s="6">
        <f>COUNTIFS(Table123[Country],Tabela1[[#This Row],[Country]],Table123[Pair Skating Classification],"&gt;0")</f>
        <v>0</v>
      </c>
      <c r="OE163" s="6">
        <f>COUNTIFS(Table124[Country],Tabela1[[#This Row],[Country]],Table124[Mixed Classification],"&gt;0")</f>
        <v>0</v>
      </c>
      <c r="OF163" s="6">
        <f>COUNTIFS(Table125[Country],Tabela1[[#This Row],[Country]],Table125[Aerials Classification],"&gt;0")</f>
        <v>0</v>
      </c>
      <c r="OG163" s="6">
        <f>COUNTIFS(Table125128[Country],Tabela1[[#This Row],[Country]],Table125128[Aerials Classification],"&gt;0")</f>
        <v>0</v>
      </c>
      <c r="OH163" s="6">
        <f>COUNTIFS(Table128[Country],Tabela1[[#This Row],[Country]],Table128[Mixed Aerials Classification],"&gt;0")</f>
        <v>0</v>
      </c>
      <c r="OI163" s="6">
        <f>COUNTIFS(Table125[Country],Tabela1[[#This Row],[Country]],Table125[Big Air Classification],"&gt;0")</f>
        <v>0</v>
      </c>
      <c r="OJ163" s="6">
        <f>COUNTIFS(Table125128[Country],Tabela1[[#This Row],[Country]],Table125128[Big Air Classification],"&gt;0")</f>
        <v>0</v>
      </c>
      <c r="OK163" s="6">
        <f>COUNTIFS(Table125[Country],Tabela1[[#This Row],[Country]],Table125[Dual Moguls Classification],"&gt;0")</f>
        <v>0</v>
      </c>
      <c r="OL163" s="6">
        <f>COUNTIFS(Table125128[Country],Tabela1[[#This Row],[Country]],Table125128[Dual Moguls Classification],"&gt;0")</f>
        <v>0</v>
      </c>
      <c r="OM163" s="6">
        <f>COUNTIFS(Table125[Country],Tabela1[[#This Row],[Country]],Table125[Halfpipe Classification],"&gt;0")</f>
        <v>0</v>
      </c>
      <c r="ON163" s="6">
        <f>COUNTIFS(Table125128[Country],Tabela1[[#This Row],[Country]],Table125128[Halfpipe Classification],"&gt;0")</f>
        <v>0</v>
      </c>
      <c r="OO163" s="6">
        <f>COUNTIFS(Table125[Country],Tabela1[[#This Row],[Country]],Table125[Moguls Classification],"&gt;0")</f>
        <v>0</v>
      </c>
      <c r="OP163" s="6">
        <f>COUNTIFS(Table125128[Country],Tabela1[[#This Row],[Country]],Table125128[Moguls Classification],"&gt;0")</f>
        <v>0</v>
      </c>
      <c r="OQ163" s="6">
        <f>COUNTIFS(Table125[Country],Tabela1[[#This Row],[Country]],Table125[Ski Cross Classification],"&gt;0")</f>
        <v>0</v>
      </c>
      <c r="OR163" s="6">
        <f>COUNTIFS(Table125128[Country],Tabela1[[#This Row],[Country]],Table125128[Ski Cross Classification],"&gt;0")</f>
        <v>0</v>
      </c>
      <c r="OS163" s="6">
        <f>COUNTIFS(Table125[Country],Tabela1[[#This Row],[Country]],Table125[Slopestyle Classification],"&gt;0")</f>
        <v>0</v>
      </c>
      <c r="OT163" s="6">
        <f>COUNTIFS(Table125128[Country],Tabela1[[#This Row],[Country]],Table125128[Slopestyle Classification],"&gt;0")</f>
        <v>0</v>
      </c>
      <c r="OU163" s="6">
        <f>COUNTIFS(Table119131[Country],Tabela1[[#This Row],[Country]],Table119131[Men''s Classification],"&gt;0")</f>
        <v>0</v>
      </c>
      <c r="OV163" s="6">
        <f>COUNTIFS(Table119131[Country],Tabela1[[#This Row],[Country]],Table119131[Women''s Classification],"&gt;0")</f>
        <v>0</v>
      </c>
      <c r="OW163" s="6">
        <f>COUNTIFS(Table131[Country],Tabela1[[#This Row],[Country]],Table131[Classification],"&gt;0")</f>
        <v>0</v>
      </c>
      <c r="OX163" s="6">
        <f>COUNTIFS(Table131134[Country],Tabela1[[#This Row],[Country]],Table131134[Classification],"&gt;0")</f>
        <v>0</v>
      </c>
      <c r="OY163" s="6">
        <f>COUNTIFS(Table134[Country],Tabela1[[#This Row],[Country]],Table134[Men''s Classification],"&gt;0")</f>
        <v>0</v>
      </c>
      <c r="OZ163" s="6">
        <f>COUNTIFS(Table134[Country],Tabela1[[#This Row],[Country]],Table134[Women''s Classification],"&gt;0")</f>
        <v>0</v>
      </c>
      <c r="PA163" s="6">
        <f>COUNTIFS(Table135[Country],Tabela1[[#This Row],[Country]],Table135[Mixed Relay Classification],"&gt;0")</f>
        <v>0</v>
      </c>
      <c r="PB163" s="6">
        <f>COUNTIFS(Table136[Country],Tabela1[[#This Row],[Country]],Table136[Individual Classification],"&gt;0")</f>
        <v>0</v>
      </c>
      <c r="PC163" s="6">
        <f>COUNTIFS(Table136[Country],Tabela1[[#This Row],[Country]],Table136[Sprint Classification],"&gt;0")</f>
        <v>0</v>
      </c>
      <c r="PD163" s="6">
        <f>COUNTIFS(Table137[Country],Tabela1[[#This Row],[Country]],Table137[Men''s Team Sprint Large Hill Classification],"&gt;0")</f>
        <v>0</v>
      </c>
      <c r="PE163" s="6">
        <f>COUNTIFS(Table138[Country],Tabela1[[#This Row],[Country]],Table138[500m Classification],"&gt;0")</f>
        <v>0</v>
      </c>
      <c r="PF163" s="6">
        <f>COUNTIFS(Table138141[Country],Tabela1[[#This Row],[Country]],Table138141[500m Classification],"&gt;0")</f>
        <v>0</v>
      </c>
      <c r="PG163" s="6">
        <f>COUNTIFS(Table138[Country],Tabela1[[#This Row],[Country]],Table138[1000m Classification],"&gt;0")</f>
        <v>0</v>
      </c>
      <c r="PH163" s="6">
        <f>COUNTIFS(Table138141[Country],Tabela1[[#This Row],[Country]],Table138141[1000m Classification],"&gt;0")</f>
        <v>0</v>
      </c>
      <c r="PI163" s="6">
        <f>COUNTIFS(Table138[Country],Tabela1[[#This Row],[Country]],Table138[1500m Classification],"&gt;0")</f>
        <v>0</v>
      </c>
      <c r="PJ163" s="6">
        <f>COUNTIFS(Table138141[Country],Tabela1[[#This Row],[Country]],Table138141[1500m Classification],"&gt;0")</f>
        <v>0</v>
      </c>
      <c r="PK163" s="6">
        <f>COUNTIFS(Table141[Country],Tabela1[[#This Row],[Country]],Table141[Men''s 5000m Relay Classification],"&gt;0")</f>
        <v>0</v>
      </c>
      <c r="PL163" s="6">
        <f>COUNTIFS(Table141[Country],Tabela1[[#This Row],[Country]],Table141[Women''s 3000m Relay Classification],"&gt;0")</f>
        <v>0</v>
      </c>
      <c r="PM163" s="6">
        <f>COUNTIFS(Table141[Country],Tabela1[[#This Row],[Country]],Table141[Mixed 2000m Relay Classification],"&gt;0")</f>
        <v>0</v>
      </c>
      <c r="PN163" s="6">
        <f>COUNTIFS(Table142[Country],Tabela1[[#This Row],[Country]],Table142[Classification],"&gt;0")</f>
        <v>0</v>
      </c>
      <c r="PO163" s="6">
        <f>COUNTIFS(Table142145[Country],Tabela1[[#This Row],[Country]],Table142145[Classification],"&gt;0")</f>
        <v>0</v>
      </c>
      <c r="PP163" s="6">
        <f>COUNTIFS(Tabela15[Country],Tabela1[[#This Row],[Country]],Tabela15[Mixed Team Classification],"&gt;0")</f>
        <v>0</v>
      </c>
      <c r="PQ163" s="6">
        <f>COUNTIFS(Table145[Country],Tabela1[[#This Row],[Country]],Table145[Large Hill Classification],"&gt;0")</f>
        <v>0</v>
      </c>
      <c r="PR163" s="6">
        <f>COUNTIFS(Table145[Country],Tabela1[[#This Row],[Country]],Table145[Normal Hill Classification],"&gt;0")</f>
        <v>0</v>
      </c>
      <c r="PS163" s="6">
        <f>COUNTIFS(Table145148[Country],Tabela1[[#This Row],[Country]],Table145148[Large Hill Classification],"&gt;0")</f>
        <v>0</v>
      </c>
      <c r="PT163" s="6">
        <f>COUNTIFS(Table145148[Country],Tabela1[[#This Row],[Country]],Table145148[Normal Hill Classification],"&gt;0")</f>
        <v>0</v>
      </c>
      <c r="PU163" s="6">
        <f>COUNTIFS(Table148[Country],Tabela1[[#This Row],[Country]],Table148[Men''s Super Team Classification],"&gt;0")</f>
        <v>0</v>
      </c>
      <c r="PV163" s="6">
        <f>COUNTIFS(Tabela114[Country],Tabela1[[#This Row],[Country]],Tabela114[Mixed Normal Hill Classification],"&gt;0")</f>
        <v>0</v>
      </c>
      <c r="PW163" s="6">
        <f>COUNTIFS(Tabela50[Country],Tabela1[[#This Row],[Country]],Tabela50[Sprint Classification],"&gt;0")</f>
        <v>0</v>
      </c>
      <c r="PX163" s="6">
        <f>COUNTIFS(Tabela50101[Country],Tabela1[[#This Row],[Country]],Tabela50101[Sprint Classification],"&gt;0")</f>
        <v>0</v>
      </c>
      <c r="PY163" s="6">
        <f>COUNTIFS(Tabela103[Country],Tabela1[[#This Row],[Country]],Tabela103[Mixed Relay Classification],"&gt;0")</f>
        <v>0</v>
      </c>
      <c r="PZ163" s="6">
        <f>COUNTIFS(Table149[Country],Tabela1[[#This Row],[Country]],Table149[Big Air Classification],"&gt;0")</f>
        <v>0</v>
      </c>
      <c r="QA163" s="6">
        <f>COUNTIFS(Table149152[Country],Tabela1[[#This Row],[Country]],Table149152[Big Air Classification],"&gt;0")</f>
        <v>0</v>
      </c>
      <c r="QB163" s="6">
        <f>COUNTIFS(Table149[Country],Tabela1[[#This Row],[Country]],Table149[Halfpipe Classification],"&gt;0")</f>
        <v>0</v>
      </c>
      <c r="QC163" s="6">
        <f>COUNTIFS(Table149152[Country],Tabela1[[#This Row],[Country]],Table149152[Halfpipe Classification],"&gt;0")</f>
        <v>0</v>
      </c>
      <c r="QD163" s="6">
        <f>COUNTIFS(Table149[Country],Tabela1[[#This Row],[Country]],Table149[Parallel Giant Slalom Classification],"&gt;0")</f>
        <v>0</v>
      </c>
      <c r="QE163" s="6">
        <f>COUNTIFS(Table149152[Country],Tabela1[[#This Row],[Country]],Table149152[Parallel Giant Slalom Classification],"&gt;0")</f>
        <v>0</v>
      </c>
      <c r="QF163" s="6">
        <f>COUNTIFS(Table149[Country],Tabela1[[#This Row],[Country]],Table149[Slopestyle Classification],"&gt;0")</f>
        <v>0</v>
      </c>
      <c r="QG163" s="6">
        <f>COUNTIFS(Table149152[Country],Tabela1[[#This Row],[Country]],Table149152[Slopestyle Classification],"&gt;0")</f>
        <v>0</v>
      </c>
      <c r="QH163" s="6">
        <f>COUNTIFS(Table149[Country],Tabela1[[#This Row],[Country]],Table149[Snowboard Cross Classification],"&gt;0")</f>
        <v>0</v>
      </c>
      <c r="QI163" s="6">
        <f>COUNTIFS(Table149152[Country],Tabela1[[#This Row],[Country]],Table149152[Snowboard Cross Classification],"&gt;0")</f>
        <v>0</v>
      </c>
      <c r="QJ163" s="6">
        <f>COUNTIFS(Table153[Country],Tabela1[[#This Row],[Country]],Table153[Mixed Team Snowboard Cross Classification],"&gt;0")</f>
        <v>0</v>
      </c>
      <c r="QK163" s="6">
        <f>COUNTIFS(Table154[Country],Tabela1[[#This Row],[Country]],Table154[500m Classification],"&gt;0")</f>
        <v>0</v>
      </c>
      <c r="QL163" s="6">
        <f>COUNTIFS(Table154157[Country],Tabela1[[#This Row],[Country]],Table154157[500m Classification],"&gt;0")</f>
        <v>0</v>
      </c>
      <c r="QM163" s="6">
        <f>COUNTIFS(Table154[Country],Tabela1[[#This Row],[Country]],Table154[1000m Classification],"&gt;0")</f>
        <v>0</v>
      </c>
      <c r="QN163" s="6">
        <f>COUNTIFS(Table154157[Country],Tabela1[[#This Row],[Country]],Table154157[1000m Classification],"&gt;0")</f>
        <v>0</v>
      </c>
      <c r="QO163" s="6">
        <f>COUNTIFS(Table154[Country],Tabela1[[#This Row],[Country]],Table154[1500m Classification],"&gt;0")</f>
        <v>0</v>
      </c>
      <c r="QP163" s="6">
        <f>COUNTIFS(Table154157[Country],Tabela1[[#This Row],[Country]],Table154157[1500m Classification],"&gt;0")</f>
        <v>0</v>
      </c>
      <c r="QQ163" s="6">
        <f>COUNTIFS(Table154157[Country],Tabela1[[#This Row],[Country]],Table154157[3000m Classification],"&gt;0")</f>
        <v>0</v>
      </c>
      <c r="QR163" s="6">
        <f>COUNTIFS(Table154[Country],Tabela1[[#This Row],[Country]],Table154[5000m Classification],"&gt;0")</f>
        <v>0</v>
      </c>
      <c r="QS163" s="6">
        <f>COUNTIFS(Table154157[Country],Tabela1[[#This Row],[Country]],Table154157[5000m Classification],"&gt;0")</f>
        <v>0</v>
      </c>
      <c r="QT163" s="6">
        <f>COUNTIFS(Table154[Country],Tabela1[[#This Row],[Country]],Table154[10000m Classification],"&gt;0")</f>
        <v>0</v>
      </c>
      <c r="QU163" s="6">
        <f>COUNTIFS(Table154[Country],Tabela1[[#This Row],[Country]],Table154[Mass Start Classification],"&gt;0")</f>
        <v>0</v>
      </c>
      <c r="QV163" s="6">
        <f>COUNTIFS(Table154157[Country],Tabela1[[#This Row],[Country]],Table154157[Mass Start Classification],"&gt;0")</f>
        <v>0</v>
      </c>
      <c r="QW163" s="6">
        <f>COUNTIFS(Table157[Country],Tabela1[[#This Row],[Country]],Table157[Men''s Pursuit Classification],"&gt;0")</f>
        <v>0</v>
      </c>
      <c r="QX163" s="6">
        <f>COUNTIFS(Table157[Country],Tabela1[[#This Row],[Country]],Table157[Women''s Pursuit Classification],"&gt;0")</f>
        <v>0</v>
      </c>
      <c r="QY163" s="4" t="s">
        <v>499</v>
      </c>
    </row>
    <row r="164" spans="1:467" x14ac:dyDescent="0.3">
      <c r="A164" s="6">
        <v>163</v>
      </c>
      <c r="B164" s="6" t="s">
        <v>502</v>
      </c>
      <c r="C164" t="e" vm="163">
        <f>IF(ISBLANK(Tabela1[[#This Row],[Image Link]]), "", _xlfn.IMAGE(Tabela1[[#This Row],[Image Link]],1,1))</f>
        <v>#VALUE!</v>
      </c>
      <c r="D164" s="6">
        <f>SUM(Tabela1[[#This Row],[Archery - Men''s Individual Recurve]:[Speed Skating - Women''s Team Pursuit]])</f>
        <v>0</v>
      </c>
      <c r="E164" s="6">
        <f>COUNTIF(Tabela1[[#This Row],[Archery - Men''s Individual Recurve]:[Speed Skating - Women''s Team Pursuit]],"&gt;0")</f>
        <v>0</v>
      </c>
      <c r="F164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64" s="6">
        <f>SUM(Tabela1[[#This Row],[Archery - Men''s Individual Recurve]:[Wrestling - Women''s Freestyle 76kg]])</f>
        <v>0</v>
      </c>
      <c r="H164" s="6">
        <f>SUM(Tabela1[[#This Row],[Alpine Skiing - Men''s Downhill]:[Speed Skating - Women''s Team Pursuit]])</f>
        <v>0</v>
      </c>
      <c r="I164" s="6">
        <f>Tabela1[[#This Row],[Summer Gold Medals]]+Tabela1[[#This Row],[Winter Gold Medals]]</f>
        <v>0</v>
      </c>
      <c r="J164" s="6">
        <f>Tabela1[[#This Row],[Summer Silver Medals]]+Tabela1[[#This Row],[Winter Silver Medals]]</f>
        <v>0</v>
      </c>
      <c r="K164" s="6">
        <f>Tabela1[[#This Row],[Summer Bronze Medals]]+Tabela1[[#This Row],[Winter Bronze Medals]]</f>
        <v>0</v>
      </c>
      <c r="L164" s="6">
        <f>SUM(Tabela1[[#This Row],[Total Gold Medals]:[Total Bronze Medals]])</f>
        <v>0</v>
      </c>
      <c r="M164" s="6"/>
      <c r="N164" s="6"/>
      <c r="O164" s="6"/>
      <c r="P164" s="6">
        <f>SUM(Tabela1[[#This Row],[Summer Gold Medals]:[Summer Bronze Medals]])</f>
        <v>0</v>
      </c>
      <c r="Q164" s="6"/>
      <c r="R164" s="6"/>
      <c r="S164" s="6"/>
      <c r="T164" s="6">
        <f>Tabela1[[#This Row],[Winter Gold Medals]]+Tabela1[[#This Row],[Winter Silver Medals]]+Tabela1[[#This Row],[Winter Bronze Medals]]</f>
        <v>0</v>
      </c>
      <c r="U164" s="7" t="e">
        <f>Tabela1[[#This Row],[Total Medals]]/Tabela1[[#This Row],[Total Quotas]]</f>
        <v>#DIV/0!</v>
      </c>
      <c r="V164" s="6">
        <f>COUNTIFS(Table3[Country],Tabela1[[#This Row],[Country]],Table3[Recurve Classification],"&gt;0")</f>
        <v>0</v>
      </c>
      <c r="W164" s="6">
        <f>COUNTIFS(Table33[Country],Tabela1[[#This Row],[Country]],Table33[Recurve Classification],"&gt;0")</f>
        <v>0</v>
      </c>
      <c r="X164" s="6">
        <f>COUNTIFS(Table35[Country],Tabela1[[#This Row],[Country]],Table35[Men''s Team Recurve Classification],"&gt;0")</f>
        <v>0</v>
      </c>
      <c r="Y164" s="6">
        <f>COUNTIFS(Table35[Country],Tabela1[[#This Row],[Country]],Table35[Women''s Team Recurve Classification],"&gt;0")</f>
        <v>0</v>
      </c>
      <c r="Z164" s="6">
        <f>COUNTIFS(Tabela88[Country],Tabela1[[#This Row],[Country]],Tabela88[Mixed Team Recurve Classification],"&gt;0")</f>
        <v>0</v>
      </c>
      <c r="AA164" s="6">
        <f>COUNTIFS(Table36[Country],Tabela1[[#This Row],[Country]],Table36[Classification],"&gt;0")</f>
        <v>0</v>
      </c>
      <c r="AB164" s="6">
        <f>COUNTIFS(Table37[Country],Tabela1[[#This Row],[Country]],Table37[Classification],"&gt;0")</f>
        <v>0</v>
      </c>
      <c r="AC164" s="6">
        <f>COUNTIFS(Table4[Country],Tabela1[[#This Row],[Country]],Table4[100m Classification],"&gt;0")</f>
        <v>0</v>
      </c>
      <c r="AD164" s="6">
        <f>COUNTIFS(Table5[Country],Tabela1[[#This Row],[Country]],Table5[100m Classification],"&gt;0")</f>
        <v>0</v>
      </c>
      <c r="AE164" s="6">
        <f>COUNTIFS(Table4[Country],Tabela1[[#This Row],[Country]],Table4[200m Classification],"&gt;0")</f>
        <v>0</v>
      </c>
      <c r="AF164" s="6">
        <f>COUNTIFS(Table5[Country],Tabela1[[#This Row],[Country]],Table5[200m Classification],"&gt;0")</f>
        <v>0</v>
      </c>
      <c r="AG164" s="6">
        <f>COUNTIFS(Table4[Country],Tabela1[[#This Row],[Country]],Table4[400m Classification],"&gt;0")</f>
        <v>0</v>
      </c>
      <c r="AH164" s="6">
        <f>COUNTIFS(Table5[Country],Tabela1[[#This Row],[Country]],Table5[400m Classification],"&gt;0")</f>
        <v>0</v>
      </c>
      <c r="AI164" s="6">
        <f>COUNTIFS(Table4[Country],Tabela1[[#This Row],[Country]],Table4[800m Classification],"&gt;0")</f>
        <v>0</v>
      </c>
      <c r="AJ164" s="6">
        <f>COUNTIFS(Table5[Country],Tabela1[[#This Row],[Country]],Table5[800m Classification],"&gt;0")</f>
        <v>0</v>
      </c>
      <c r="AK164" s="6">
        <f>COUNTIFS(Table4[Country],Tabela1[[#This Row],[Country]],Table4[1500m Classification],"&gt;0")</f>
        <v>0</v>
      </c>
      <c r="AL164" s="6">
        <f>COUNTIFS(Table5[Country],Tabela1[[#This Row],[Country]],Table5[1500m Classification],"&gt;0")</f>
        <v>0</v>
      </c>
      <c r="AM164" s="6">
        <f>COUNTIFS(Table4[Country],Tabela1[[#This Row],[Country]],Table4[5000m Classification],"&gt;0")</f>
        <v>0</v>
      </c>
      <c r="AN164" s="6">
        <f>COUNTIFS(Table5[Country],Tabela1[[#This Row],[Country]],Table5[5000m Classification],"&gt;0")</f>
        <v>0</v>
      </c>
      <c r="AO164" s="6">
        <f>COUNTIFS(Table4[Country],Tabela1[[#This Row],[Country]],Table4[10000m Classification],"&gt;0")</f>
        <v>0</v>
      </c>
      <c r="AP164" s="6">
        <f>COUNTIFS(Table5[Country],Tabela1[[#This Row],[Country]],Table5[10000m Classification],"&gt;0")</f>
        <v>0</v>
      </c>
      <c r="AQ164" s="6">
        <f>COUNTIFS(Table4[Country],Tabela1[[#This Row],[Country]],Table4[110m Hurdles Classification],"&gt;0")</f>
        <v>0</v>
      </c>
      <c r="AR164" s="6">
        <f>COUNTIFS(Table5[Country],Tabela1[[#This Row],[Country]],Table5[100m Hurdles Classification],"&gt;0")</f>
        <v>0</v>
      </c>
      <c r="AS164" s="6">
        <f>COUNTIFS(Table4[Country],Tabela1[[#This Row],[Country]],Table4[400m Hurdles Classification],"&gt;0")</f>
        <v>0</v>
      </c>
      <c r="AT164" s="6">
        <f>COUNTIFS(Table5[Country],Tabela1[[#This Row],[Country]],Table5[400m Hurdles Classification],"&gt;0")</f>
        <v>0</v>
      </c>
      <c r="AU164" s="6">
        <f>COUNTIFS(Table4[Country],Tabela1[[#This Row],[Country]],Table4[3000m Steeplechase Classification],"&gt;0")</f>
        <v>0</v>
      </c>
      <c r="AV164" s="6">
        <f>COUNTIFS(Table5[Country],Tabela1[[#This Row],[Country]],Table5[3000m Steeplechase Classification],"&gt;0")</f>
        <v>0</v>
      </c>
      <c r="AW164" s="6">
        <f>COUNTIFS(Table27[Country],Tabela1[[#This Row],[Country]],Table27[Men''s 4x100m Relay Classification],"&gt;0")</f>
        <v>0</v>
      </c>
      <c r="AX164" s="6">
        <f>COUNTIFS(Table27[Country],Tabela1[[#This Row],[Country]],Table27[Women''s 4x100m Relay Classification],"&gt;0")</f>
        <v>0</v>
      </c>
      <c r="AY164" s="6">
        <f>COUNTIFS(Table27[Country],Tabela1[[#This Row],[Country]],Table27[Men''s 4x400m Relay Classification],"&gt;0")</f>
        <v>0</v>
      </c>
      <c r="AZ164" s="6">
        <f>COUNTIFS(Table27[Country],Tabela1[[#This Row],[Country]],Table27[Women''s 4x400m Relay Classification],"&gt;0")</f>
        <v>0</v>
      </c>
      <c r="BA164" s="6">
        <f>COUNTIFS(Table27[Country],Tabela1[[#This Row],[Country]],Table27[Mixed 4x400m Relay Classification],"&gt;0")</f>
        <v>0</v>
      </c>
      <c r="BB164" s="6">
        <f>COUNTIFS(Table4[Country],Tabela1[[#This Row],[Country]],Table4[Marathon Classification],"&gt;0")</f>
        <v>0</v>
      </c>
      <c r="BC164" s="6">
        <f>COUNTIFS(Table5[Country],Tabela1[[#This Row],[Country]],Table5[Marathon Classification],"&gt;0")</f>
        <v>0</v>
      </c>
      <c r="BD164" s="6">
        <f>COUNTIFS(Table4[Country],Tabela1[[#This Row],[Country]],Table4[20km Race Walk Classification],"&gt;0")</f>
        <v>0</v>
      </c>
      <c r="BE164" s="6">
        <f>COUNTIFS(Table5[Country],Tabela1[[#This Row],[Country]],Table5[20km Race Walk Classification],"&gt;0")</f>
        <v>0</v>
      </c>
      <c r="BF164" s="6">
        <f>COUNTIFS(Tabela96[Country],Tabela1[[#This Row],[Country]],Tabela96[Mixed Marathon Race Walk Relay Classification],"&gt;0")</f>
        <v>0</v>
      </c>
      <c r="BG164" s="6">
        <f>COUNTIFS(Table4[Country],Tabela1[[#This Row],[Country]],Table4[Discus Throw Classification],"&gt;0")</f>
        <v>0</v>
      </c>
      <c r="BH164" s="6">
        <f>COUNTIFS(Table5[Country],Tabela1[[#This Row],[Country]],Table5[Discus Throw Classification],"&gt;0")</f>
        <v>0</v>
      </c>
      <c r="BI164" s="6">
        <f>COUNTIFS(Table4[Country],Tabela1[[#This Row],[Country]],Table4[Hammer Throw Classification],"&gt;0")</f>
        <v>0</v>
      </c>
      <c r="BJ164" s="6">
        <f>COUNTIFS(Table5[Country],Tabela1[[#This Row],[Country]],Table5[Hammer Throw Classification],"&gt;0")</f>
        <v>0</v>
      </c>
      <c r="BK164" s="6">
        <f>COUNTIFS(Table4[Country],Tabela1[[#This Row],[Country]],Table4[High Jump Classification],"&gt;0")</f>
        <v>0</v>
      </c>
      <c r="BL164" s="6">
        <f>COUNTIFS(Table5[Country],Tabela1[[#This Row],[Country]],Table5[High Jump Classification],"&gt;0")</f>
        <v>0</v>
      </c>
      <c r="BM164" s="6">
        <f>COUNTIFS(Table4[Country],Tabela1[[#This Row],[Country]],Table4[Javelin Throw Classification],"&gt;0")</f>
        <v>0</v>
      </c>
      <c r="BN164" s="6">
        <f>COUNTIFS(Table5[Country],Tabela1[[#This Row],[Country]],Table5[Javelin Throw Classification],"&gt;0")</f>
        <v>0</v>
      </c>
      <c r="BO164" s="6">
        <f>COUNTIFS(Table4[Country],Tabela1[[#This Row],[Country]],Table4[Long Jump Classification],"&gt;0")</f>
        <v>0</v>
      </c>
      <c r="BP164" s="6">
        <f>COUNTIFS(Table5[Country],Tabela1[[#This Row],[Country]],Table5[Long Jump Classification],"&gt;0")</f>
        <v>0</v>
      </c>
      <c r="BQ164" s="6">
        <f>COUNTIFS(Table4[Country],Tabela1[[#This Row],[Country]],Table4[Pole Vault Classification],"&gt;0")</f>
        <v>0</v>
      </c>
      <c r="BR164" s="6">
        <f>COUNTIFS(Table5[Country],Tabela1[[#This Row],[Country]],Table5[Pole Vault Classification],"&gt;0")</f>
        <v>0</v>
      </c>
      <c r="BS164" s="6">
        <f>COUNTIFS(Table4[Country],Tabela1[[#This Row],[Country]],Table4[Shot Put Classification],"&gt;0")</f>
        <v>0</v>
      </c>
      <c r="BT164" s="6">
        <f>COUNTIFS(Table5[Country],Tabela1[[#This Row],[Country]],Table5[Shot Put Classification],"&gt;0")</f>
        <v>0</v>
      </c>
      <c r="BU164" s="6">
        <f>COUNTIFS(Table4[Country],Tabela1[[#This Row],[Country]],Table4[Triple Jump Classification],"&gt;0")</f>
        <v>0</v>
      </c>
      <c r="BV164" s="6">
        <f>COUNTIFS(Table5[Country],Tabela1[[#This Row],[Country]],Table5[Triple Jump Classification],"&gt;0")</f>
        <v>0</v>
      </c>
      <c r="BW164" s="6">
        <f>COUNTIFS(Table4[Country],Tabela1[[#This Row],[Country]],Table4[Decathlon Classification],"&gt;0")</f>
        <v>0</v>
      </c>
      <c r="BX164" s="6">
        <f>COUNTIFS(Table5[Country],Tabela1[[#This Row],[Country]],Table5[Heptathlon Classification],"&gt;0")</f>
        <v>0</v>
      </c>
      <c r="BY164" s="6">
        <f>COUNTIFS(Table61[Country],Tabela1[[#This Row],[Country]],Table61[Classification],"&gt;0")</f>
        <v>0</v>
      </c>
      <c r="BZ164" s="6">
        <f>COUNTIFS(Table38[Country],Tabela1[[#This Row],[Country]],Table38[Classification],"&gt;0")</f>
        <v>0</v>
      </c>
      <c r="CA164" s="6">
        <f>COUNTIFS(Table39[Country],Tabela1[[#This Row],[Country]],Table39[Men''s Classification],"&gt;0")</f>
        <v>0</v>
      </c>
      <c r="CB164" s="6">
        <f>COUNTIFS(Table39[Country],Tabela1[[#This Row],[Country]],Table39[Women''s Classification],"&gt;0")</f>
        <v>0</v>
      </c>
      <c r="CC164" s="6">
        <f>COUNTIFS(Table39[Country],Tabela1[[#This Row],[Country]],Table39[Mixed Classification],"&gt;0")</f>
        <v>0</v>
      </c>
      <c r="CD164" s="6">
        <f>COUNTIFS(Table89[Country],Tabela1[[#This Row],[Country]],Table89[Men''s Classification],"&gt;0")</f>
        <v>0</v>
      </c>
      <c r="CE164" s="6">
        <f>COUNTIFS(Table89[Country],Tabela1[[#This Row],[Country]],Table89[Women''s Classification],"&gt;0")</f>
        <v>0</v>
      </c>
      <c r="CF164" s="6">
        <f>COUNTIFS(Table90[Country],Tabela1[[#This Row],[Country]],Table90[Men''s Classification],"&gt;0")</f>
        <v>0</v>
      </c>
      <c r="CG164" s="6">
        <f>COUNTIFS(Table90[Country],Tabela1[[#This Row],[Country]],Table90[Women''s Classification],"&gt;0")</f>
        <v>0</v>
      </c>
      <c r="CH164" s="6">
        <f>COUNTIFS(Table60[Country],Tabela1[[#This Row],[Country]],Table60[Men''s Classification],"&gt;0")</f>
        <v>0</v>
      </c>
      <c r="CI164" s="6">
        <f>COUNTIFS(Table60[Country],Tabela1[[#This Row],[Country]],Table60[Women''s Classification],"&gt;0")</f>
        <v>0</v>
      </c>
      <c r="CJ164" s="6">
        <f>COUNTIFS(Table6[Country],Tabela1[[#This Row],[Country]],Table6[51kg Classification],"&gt;0")</f>
        <v>0</v>
      </c>
      <c r="CK164" s="6">
        <f>COUNTIFS(Table6[Country],Tabela1[[#This Row],[Country]],Table6[57kg Classification],"&gt;0")</f>
        <v>0</v>
      </c>
      <c r="CL164" s="6">
        <f>COUNTIFS(Table6[Country],Tabela1[[#This Row],[Country]],Table6[63.5kg Classification],"&gt;0")</f>
        <v>0</v>
      </c>
      <c r="CM164" s="6">
        <f>COUNTIFS(Table6[Country],Tabela1[[#This Row],[Country]],Table6[71kg Classification],"&gt;0")</f>
        <v>0</v>
      </c>
      <c r="CN164" s="6">
        <f>COUNTIFS(Table6[Country],Tabela1[[#This Row],[Country]],Table6[80kg Classification],"&gt;0")</f>
        <v>0</v>
      </c>
      <c r="CO164" s="6">
        <f>COUNTIFS(Table6[Country],Tabela1[[#This Row],[Country]],Table6[92kg Classification],"&gt;0")</f>
        <v>0</v>
      </c>
      <c r="CP164" s="6">
        <f>COUNTIFS(Table6[Country],Tabela1[[#This Row],[Country]],Table6[Plus 92kg Classification],"&gt;0")</f>
        <v>0</v>
      </c>
      <c r="CQ164" s="6">
        <f>COUNTIFS(Table7[Country],Tabela1[[#This Row],[Country]],Table7[50kg Classification],"&gt;0")</f>
        <v>0</v>
      </c>
      <c r="CR164" s="6">
        <f>COUNTIFS(Table7[Country],Tabela1[[#This Row],[Country]],Table7[54kg Classification],"&gt;0")</f>
        <v>0</v>
      </c>
      <c r="CS164" s="6">
        <f>COUNTIFS(Table7[Country],Tabela1[[#This Row],[Country]],Table7[57kg Classification],"&gt;0")</f>
        <v>0</v>
      </c>
      <c r="CT164" s="6">
        <f>COUNTIFS(Table7[Country],Tabela1[[#This Row],[Country]],Table7[60kg Classification],"&gt;0")</f>
        <v>0</v>
      </c>
      <c r="CU164" s="6">
        <f>COUNTIFS(Table7[Country],Tabela1[[#This Row],[Country]],Table7[66kg Classification],"&gt;0")</f>
        <v>0</v>
      </c>
      <c r="CV164" s="6">
        <f>COUNTIFS(Table7[Country],Tabela1[[#This Row],[Country]],Table7[75kg Classification],"&gt;0")</f>
        <v>0</v>
      </c>
      <c r="CW164" s="6">
        <f>COUNTIFS(Tabela94[Country],Tabela1[[#This Row],[Country]],Tabela94[Classification],"&gt;0")</f>
        <v>0</v>
      </c>
      <c r="CX164" s="6">
        <f>COUNTIFS(Tabela9499[Country],Tabela1[[#This Row],[Country]],Tabela9499[Classification],"&gt;0")</f>
        <v>0</v>
      </c>
      <c r="CY164" s="6">
        <f>COUNTIFS(Tabela107[Country],Tabela1[[#This Row],[Country]],Tabela107[C1 Slalom Classification],"&gt;0")</f>
        <v>0</v>
      </c>
      <c r="CZ164" s="6">
        <f>COUNTIFS(Tabela107122[Country],Tabela1[[#This Row],[Country]],Tabela107122[C1 Slalom Classification],"&gt;0")</f>
        <v>0</v>
      </c>
      <c r="DA164" s="6">
        <f>COUNTIFS(Tabela107[Country],Tabela1[[#This Row],[Country]],Tabela107[K1 Slalom Classification],"&gt;0")</f>
        <v>0</v>
      </c>
      <c r="DB164" s="6">
        <f>COUNTIFS(Tabela107122[Country],Tabela1[[#This Row],[Country]],Tabela107122[K1 Slalom Classification],"&gt;0")</f>
        <v>0</v>
      </c>
      <c r="DC164" s="6">
        <f>COUNTIFS(Tabela107[Country],Tabela1[[#This Row],[Country]],Tabela107[Kayak Cross Slalom Classification],"&gt;0")</f>
        <v>0</v>
      </c>
      <c r="DD164" s="6">
        <f>COUNTIFS(Tabela107122[Country],Tabela1[[#This Row],[Country]],Tabela107122[Kayak Cross Slalom Classification],"&gt;0")</f>
        <v>0</v>
      </c>
      <c r="DE164" s="6">
        <f>COUNTIFS(Table8[Country],Tabela1[[#This Row],[Country]],Table8[C1 200m Classification],"&gt;0")</f>
        <v>0</v>
      </c>
      <c r="DF164" s="6">
        <f>COUNTIFS(Table40[Country],Tabela1[[#This Row],[Country]],Table40[C1 1000m Classification],"&gt;0")</f>
        <v>0</v>
      </c>
      <c r="DG164" s="6">
        <f>COUNTIFS(Table68[Country],Tabela1[[#This Row],[Country]],Table68[Men''s C2 500m Classification],"&gt;0")</f>
        <v>0</v>
      </c>
      <c r="DH164" s="6">
        <f>COUNTIFS(Table68[Country],Tabela1[[#This Row],[Country]],Table68[Women''s C2 500m Classification],"&gt;0")</f>
        <v>0</v>
      </c>
      <c r="DI164" s="6">
        <f>COUNTIFS(Table8[Country],Tabela1[[#This Row],[Country]],Table8[K1 500m Classification],"&gt;0")</f>
        <v>0</v>
      </c>
      <c r="DJ164" s="6">
        <f>COUNTIFS(Table40[Country],Tabela1[[#This Row],[Country]],Table40[K1 1000m Classification],"&gt;0")</f>
        <v>0</v>
      </c>
      <c r="DK164" s="6">
        <f>COUNTIFS(Table68[Country],Tabela1[[#This Row],[Country]],Table68[Men''s K2 500m Classification],"&gt;0")</f>
        <v>0</v>
      </c>
      <c r="DL164" s="6">
        <f>COUNTIFS(Table68[Country],Tabela1[[#This Row],[Country]],Table68[Women''s K2 500m Classification],"&gt;0")</f>
        <v>0</v>
      </c>
      <c r="DM164" s="6">
        <f>COUNTIFS(Table83[Country],Tabela1[[#This Row],[Country]],Table83[Men''s K4 500m Classification],"&gt;0")</f>
        <v>0</v>
      </c>
      <c r="DN164" s="6">
        <f>COUNTIFS(Table83[Country],Tabela1[[#This Row],[Country]],Table83[Women''s K4 500m Classification],"&gt;0")</f>
        <v>0</v>
      </c>
      <c r="DO164" s="6">
        <f>COUNTIFS(Tabela126[Country],Tabela1[[#This Row],[Country]],Tabela126[Classification],"&gt;0")</f>
        <v>0</v>
      </c>
      <c r="DP164" s="6">
        <f>COUNTIFS(Tabela126130[Country],Tabela1[[#This Row],[Country]],Tabela126130[Classification],"&gt;0")</f>
        <v>0</v>
      </c>
      <c r="DQ164" s="6">
        <f>COUNTIFS(Table70[Country],Tabela1[[#This Row],[Country]],Table70[Classification],"&gt;0")</f>
        <v>0</v>
      </c>
      <c r="DR164" s="6">
        <f>COUNTIFS(Table80[Country],Tabela1[[#This Row],[Country]],Table80[Classification],"&gt;0")</f>
        <v>0</v>
      </c>
      <c r="DS164" s="6">
        <f>COUNTIFS(Table66[Country],Tabela1[[#This Row],[Country]],Table66[Classification],"&gt;0")</f>
        <v>0</v>
      </c>
      <c r="DT164" s="6">
        <f>COUNTIFS(Table67[Country],Tabela1[[#This Row],[Country]],Table67[Classification],"&gt;0")</f>
        <v>0</v>
      </c>
      <c r="DU164" s="6">
        <f>COUNTIFS(Table69[Country],Tabela1[[#This Row],[Country]],Table69[Keirin Classification],"&gt;0")</f>
        <v>0</v>
      </c>
      <c r="DV164" s="6">
        <f>COUNTIFS(Table41[Country],Tabela1[[#This Row],[Country]],Table41[Keirin Classification],"&gt;0")</f>
        <v>0</v>
      </c>
      <c r="DW164" s="6">
        <f>COUNTIFS(Table84[Country],Tabela1[[#This Row],[Country]],Table84[Men''s Madison Classification],"&gt;0")</f>
        <v>0</v>
      </c>
      <c r="DX164" s="6">
        <f>COUNTIFS(Table84[Country],Tabela1[[#This Row],[Country]],Table84[Women''s Madison Classification],"&gt;0")</f>
        <v>0</v>
      </c>
      <c r="DY164" s="6">
        <f>COUNTIFS(Table69[Country],Tabela1[[#This Row],[Country]],Table69[Omnium Classification],"&gt;0")</f>
        <v>0</v>
      </c>
      <c r="DZ164" s="6">
        <f>COUNTIFS(Table41[Country],Tabela1[[#This Row],[Country]],Table41[Omnium Classification],"&gt;0")</f>
        <v>0</v>
      </c>
      <c r="EA164" s="6">
        <f>COUNTIFS(Table9[Country],Tabela1[[#This Row],[Country]],Table9[Road Race Classification],"&gt;0")</f>
        <v>0</v>
      </c>
      <c r="EB164" s="6">
        <f>COUNTIFS(Table14[Country],Tabela1[[#This Row],[Country]],Table14[Road Race Classification],"&gt;0")</f>
        <v>0</v>
      </c>
      <c r="EC164" s="6">
        <f>COUNTIFS(Table69[Country],Tabela1[[#This Row],[Country]],Table69[Sprint Classification],"&gt;0")</f>
        <v>0</v>
      </c>
      <c r="ED164" s="6">
        <f>COUNTIFS(Table41[Country],Tabela1[[#This Row],[Country]],Table41[Sprint Classification],"&gt;0")</f>
        <v>0</v>
      </c>
      <c r="EE164" s="6">
        <f>COUNTIFS(Table85[Country],Tabela1[[#This Row],[Country]],Table85[Men''s Sprint Classification],"&gt;0")</f>
        <v>0</v>
      </c>
      <c r="EF164" s="6">
        <f>COUNTIFS(Table85[Country],Tabela1[[#This Row],[Country]],Table85[Women''s Sprint Classification],"&gt;0")</f>
        <v>0</v>
      </c>
      <c r="EG164" s="6">
        <f>COUNTIFS(Table85[Country],Tabela1[[#This Row],[Country]],Table85[Men''s Pursuit Classification],"&gt;0")</f>
        <v>0</v>
      </c>
      <c r="EH164" s="6">
        <f>COUNTIFS(Table85[Country],Tabela1[[#This Row],[Country]],Table85[Women''s Pursuit Classification],"&gt;0")</f>
        <v>0</v>
      </c>
      <c r="EI164" s="6">
        <f>COUNTIFS(Table9[Country],Tabela1[[#This Row],[Country]],Table9[Time-Trial Classification],"&gt;0")</f>
        <v>0</v>
      </c>
      <c r="EJ164" s="6">
        <f>COUNTIFS(Table14[Country],Tabela1[[#This Row],[Country]],Table14[Time-Trial Classification],"&gt;0")</f>
        <v>0</v>
      </c>
      <c r="EK164" s="6">
        <f>COUNTIFS(Table42[Country],Tabela1[[#This Row],[Country]],Table42[Springboard Classification],"&gt;0")</f>
        <v>0</v>
      </c>
      <c r="EL164" s="6">
        <f>COUNTIFS(Table43[Country],Tabela1[[#This Row],[Country]],Table43[Springboard Classification],"&gt;0")</f>
        <v>0</v>
      </c>
      <c r="EM164" s="6">
        <f>COUNTIFS(Table42[Country],Tabela1[[#This Row],[Country]],Table42[Platform Classification],"&gt;0")</f>
        <v>0</v>
      </c>
      <c r="EN164" s="6">
        <f>COUNTIFS(Table43[Country],Tabela1[[#This Row],[Country]],Table43[Platform Classification],"&gt;0")</f>
        <v>0</v>
      </c>
      <c r="EO164" s="6">
        <f>COUNTIFS(Table86[Country],Tabela1[[#This Row],[Country]],Table86[Men''s Synchronized Springboard Classification],"&gt;0")</f>
        <v>0</v>
      </c>
      <c r="EP164" s="6">
        <f>COUNTIFS(Table86[Country],Tabela1[[#This Row],[Country]],Table86[Women''s Synchronized Springboard Classification],"&gt;0")</f>
        <v>0</v>
      </c>
      <c r="EQ164" s="6">
        <f>COUNTIFS(Table86[Country],Tabela1[[#This Row],[Country]],Table86[Men''s Synchronized Platform Classification],"&gt;0")</f>
        <v>0</v>
      </c>
      <c r="ER164" s="6">
        <f>COUNTIFS(Table86[Country],Tabela1[[#This Row],[Country]],Table86[Women''s Synchronized Platform Classification],"&gt;0")</f>
        <v>0</v>
      </c>
      <c r="ES164" s="6">
        <f>COUNTIFS(Table44[Country],Tabela1[[#This Row],[Country]],Table44[Dressage Classification],"&gt;0")</f>
        <v>0</v>
      </c>
      <c r="ET164" s="6">
        <f>COUNTIFS(Table45[Country],Tabela1[[#This Row],[Country]],Table45[Dressage Classification],"&gt;0")</f>
        <v>0</v>
      </c>
      <c r="EU164" s="6">
        <f>COUNTIFS(Table44[Country],Tabela1[[#This Row],[Country]],Table44[Eventing Classification],"&gt;0")</f>
        <v>0</v>
      </c>
      <c r="EV164" s="6">
        <f>COUNTIFS(Table45[Country],Tabela1[[#This Row],[Country]],Table45[Eventing Classification],"&gt;0")</f>
        <v>0</v>
      </c>
      <c r="EW164" s="6">
        <f>COUNTIFS(Table44[Country],Tabela1[[#This Row],[Country]],Table44[Jumping Classification],"&gt;0")</f>
        <v>0</v>
      </c>
      <c r="EX164" s="6">
        <f>COUNTIFS(Table45[Country],Tabela1[[#This Row],[Country]],Table45[Jumping Classification],"&gt;0")</f>
        <v>0</v>
      </c>
      <c r="EY164" s="6">
        <f>COUNTIFS(Table10[Country],Tabela1[[#This Row],[Country]],Table10[Épée Classification],"&gt;0")</f>
        <v>0</v>
      </c>
      <c r="EZ164" s="6">
        <f>COUNTIFS(Table11[Country],Tabela1[[#This Row],[Country]],Table11[Épée Classification],"&gt;0")</f>
        <v>0</v>
      </c>
      <c r="FA164" s="6">
        <f>COUNTIFS(Table46[Country],Tabela1[[#This Row],[Country]],Table46[Men''s Épée Classification],"&gt;0")</f>
        <v>0</v>
      </c>
      <c r="FB164" s="6">
        <f>COUNTIFS(Table46[Country],Tabela1[[#This Row],[Country]],Table46[Women''s Épée Classification],"&gt;0")</f>
        <v>0</v>
      </c>
      <c r="FC164" s="6">
        <f>COUNTIFS(Table10[Country],Tabela1[[#This Row],[Country]],Table10[Foil Classification],"&gt;0")</f>
        <v>0</v>
      </c>
      <c r="FD164" s="6">
        <f>COUNTIFS(Table11[Country],Tabela1[[#This Row],[Country]],Table11[Foil Classification],"&gt;0")</f>
        <v>0</v>
      </c>
      <c r="FE164" s="6">
        <f>COUNTIFS(Table46[Country],Tabela1[[#This Row],[Country]],Table46[Men''s Foil Classification],"&gt;0")</f>
        <v>0</v>
      </c>
      <c r="FF164" s="6">
        <f>COUNTIFS(Table46[Country],Tabela1[[#This Row],[Country]],Table46[Women''s Foil Classification],"&gt;0")</f>
        <v>0</v>
      </c>
      <c r="FG164" s="6">
        <f>COUNTIFS(Table10[Country],Tabela1[[#This Row],[Country]],Table10[Sabre Classification],"&gt;0")</f>
        <v>0</v>
      </c>
      <c r="FH164" s="6">
        <f>COUNTIFS(Table11[Country],Tabela1[[#This Row],[Country]],Table11[Sabre Classification],"&gt;0")</f>
        <v>0</v>
      </c>
      <c r="FI164" s="6">
        <f>COUNTIFS(Table46[Country],Tabela1[[#This Row],[Country]],Table46[Men''s Sabre Classification],"&gt;0")</f>
        <v>0</v>
      </c>
      <c r="FJ164" s="6">
        <f>COUNTIFS(Table46[Country],Tabela1[[#This Row],[Country]],Table46[Women''s Sabre Classification],"&gt;0")</f>
        <v>0</v>
      </c>
      <c r="FK164" s="6">
        <f>COUNTIFS(Table91[Country],Tabela1[[#This Row],[Country]],Table91[Men''s Classification],"&gt;0")</f>
        <v>0</v>
      </c>
      <c r="FL164" s="6">
        <f>COUNTIFS(Table91[Country],Tabela1[[#This Row],[Country]],Table91[Women''s Classification],"&gt;0")</f>
        <v>0</v>
      </c>
      <c r="FM164" s="6">
        <f>COUNTIFS(Table9194[Country],Tabela1[[#This Row],[Country]],Table9194[Men''s Classification],"&gt;0")</f>
        <v>0</v>
      </c>
      <c r="FN164" s="6">
        <f>COUNTIFS(Table9194[Country],Tabela1[[#This Row],[Country]],Table9194[Women''s Classification],"&gt;0")</f>
        <v>0</v>
      </c>
      <c r="FO164" s="6">
        <f>COUNTIFS(Table71[Country],Tabela1[[#This Row],[Country]],Table71[Classification],"&gt;0")</f>
        <v>0</v>
      </c>
      <c r="FP164" s="6">
        <f>COUNTIFS(Table62[Country],Tabela1[[#This Row],[Country]],Table62[Classification],"&gt;0")</f>
        <v>0</v>
      </c>
      <c r="FQ164" s="6">
        <f>COUNTIFS(Table47[Country],Tabela1[[#This Row],[Country]],Table47[All-Around Classification],"&gt;0")</f>
        <v>0</v>
      </c>
      <c r="FR164" s="6">
        <f>COUNTIFS(Table48[Country],Tabela1[[#This Row],[Country]],Table48[All-Around Classification],"&gt;0")</f>
        <v>0</v>
      </c>
      <c r="FS164" s="6">
        <f>COUNTIFS(Table81[Country],Tabela1[[#This Row],[Country]],Table81[Men''s All-Around Classification],"&gt;0")</f>
        <v>0</v>
      </c>
      <c r="FT164" s="6">
        <f>COUNTIFS(Table81[Country],Tabela1[[#This Row],[Country]],Table81[Women''s All-Around Classification],"&gt;0")</f>
        <v>0</v>
      </c>
      <c r="FU164" s="6">
        <f>COUNTIFS(Table48[Country],Tabela1[[#This Row],[Country]],Table48[Balance Beam Classification],"&gt;0")</f>
        <v>0</v>
      </c>
      <c r="FV164" s="6">
        <f>COUNTIFS(Table47[Country],Tabela1[[#This Row],[Country]],Table47[Floor Exercise Classification],"&gt;0")</f>
        <v>0</v>
      </c>
      <c r="FW164" s="6">
        <f>COUNTIFS(Table48[Country],Tabela1[[#This Row],[Country]],Table48[Floor Exercise Classification],"&gt;0")</f>
        <v>0</v>
      </c>
      <c r="FX164" s="6">
        <f>COUNTIFS(Table47[Country],Tabela1[[#This Row],[Country]],Table47[Horizontal Bar Classification],"&gt;0")</f>
        <v>0</v>
      </c>
      <c r="FY164" s="6">
        <f>COUNTIFS(Table47[Country],Tabela1[[#This Row],[Country]],Table47[Parallel Bars Classification],"&gt;0")</f>
        <v>0</v>
      </c>
      <c r="FZ164" s="6">
        <f>COUNTIFS(Table47[Country],Tabela1[[#This Row],[Country]],Table47[Pommel Horse Classification],"&gt;0")</f>
        <v>0</v>
      </c>
      <c r="GA164" s="6">
        <f>COUNTIFS(Table47[Country],Tabela1[[#This Row],[Country]],Table47[Rings Classification],"&gt;0")</f>
        <v>0</v>
      </c>
      <c r="GB164" s="6">
        <f>COUNTIFS(Tabela132[Country],Tabela1[[#This Row],[Country]],Tabela132[Classification],"&gt;0")</f>
        <v>0</v>
      </c>
      <c r="GC164" s="6">
        <f>COUNTIFS(Tabela139[Country],Tabela1[[#This Row],[Country]],Tabela139[Classification],"&gt;0")</f>
        <v>0</v>
      </c>
      <c r="GD164" s="6">
        <f>COUNTIFS(Table48[Country],Tabela1[[#This Row],[Country]],Table48[Uneven Bars Classification],"&gt;0")</f>
        <v>0</v>
      </c>
      <c r="GE164" s="6">
        <f>COUNTIFS(Table47[Country],Tabela1[[#This Row],[Country]],Table47[Vault Classification],"&gt;0")</f>
        <v>0</v>
      </c>
      <c r="GF164" s="6">
        <f>COUNTIFS(Table48[Country],Tabela1[[#This Row],[Country]],Table48[Vault Classification],"&gt;0")</f>
        <v>0</v>
      </c>
      <c r="GG164" s="6">
        <f>COUNTIFS(Table919496[Country],Tabela1[[#This Row],[Country]],Table919496[Men''s Classification],"&gt;0")</f>
        <v>0</v>
      </c>
      <c r="GH164" s="6">
        <f>COUNTIFS(Table919496[Country],Tabela1[[#This Row],[Country]],Table919496[Women''s Classification],"&gt;0")</f>
        <v>0</v>
      </c>
      <c r="GI164" s="6">
        <f>COUNTIFS(Table12[Country],Tabela1[[#This Row],[Country]],Table12[60kg Classification],"&gt;0")</f>
        <v>0</v>
      </c>
      <c r="GJ164" s="6">
        <f>COUNTIFS(Table12[Country],Tabela1[[#This Row],[Country]],Table12[66kg Classification],"&gt;0")</f>
        <v>0</v>
      </c>
      <c r="GK164" s="6">
        <f>COUNTIFS(Table12[Country],Tabela1[[#This Row],[Country]],Table12[73kg Classification],"&gt;0")</f>
        <v>0</v>
      </c>
      <c r="GL164" s="6">
        <f>COUNTIFS(Table12[Country],Tabela1[[#This Row],[Country]],Table12[81kg Classification],"&gt;0")</f>
        <v>0</v>
      </c>
      <c r="GM164" s="6">
        <f>COUNTIFS(Table12[Country],Tabela1[[#This Row],[Country]],Table12[90kg Classification],"&gt;0")</f>
        <v>0</v>
      </c>
      <c r="GN164" s="6">
        <f>COUNTIFS(Table12[Country],Tabela1[[#This Row],[Country]],Table12[100kg Classification],"&gt;0")</f>
        <v>0</v>
      </c>
      <c r="GO164" s="6">
        <f>COUNTIFS(Table12[Country],Tabela1[[#This Row],[Country]],Table12[Plus 100kg Classification],"&gt;0")</f>
        <v>0</v>
      </c>
      <c r="GP164" s="6">
        <f>COUNTIFS(Table13[Country],Tabela1[[#This Row],[Country]],Table13[48kg Classification],"&gt;0")</f>
        <v>0</v>
      </c>
      <c r="GQ164" s="6">
        <f>COUNTIFS(Table13[Country],Tabela1[[#This Row],[Country]],Table13[52kg Classification],"&gt;0")</f>
        <v>0</v>
      </c>
      <c r="GR164" s="6">
        <f>COUNTIFS(Table13[Country],Tabela1[[#This Row],[Country]],Table13[57kg Classification],"&gt;0")</f>
        <v>0</v>
      </c>
      <c r="GS164" s="6">
        <f>COUNTIFS(Table13[Country],Tabela1[[#This Row],[Country]],Table13[63kg Classification],"&gt;0")</f>
        <v>0</v>
      </c>
      <c r="GT164" s="6">
        <f>COUNTIFS(Table13[Country],Tabela1[[#This Row],[Country]],Table13[70kg Classification],"&gt;0")</f>
        <v>0</v>
      </c>
      <c r="GU164" s="6">
        <f>COUNTIFS(Table13[Country],Tabela1[[#This Row],[Country]],Table13[78kg Classification],"&gt;0")</f>
        <v>0</v>
      </c>
      <c r="GV164" s="6">
        <f>COUNTIFS(Table13[Country],Tabela1[[#This Row],[Country]],Table13[Plus 78kg Classification],"&gt;0")</f>
        <v>0</v>
      </c>
      <c r="GW164" s="6">
        <f>COUNTIFS(Table82[Country],Tabela1[[#This Row],[Country]],Table82[Mixed Classification],"&gt;0")</f>
        <v>0</v>
      </c>
      <c r="GX164" s="6">
        <f>COUNTIFS(Table51[Country],Tabela1[[#This Row],[Country]],Table51[Classification],"&gt;0")</f>
        <v>0</v>
      </c>
      <c r="GY164" s="6">
        <f>COUNTIFS(Table52[Country],Tabela1[[#This Row],[Country]],Table52[Classification],"&gt;0")</f>
        <v>0</v>
      </c>
      <c r="GZ164" s="6">
        <f>COUNTIFS(Table32[Country],Tabela1[[#This Row],[Country]],Table32[All-Around Classification],"&gt;0")</f>
        <v>0</v>
      </c>
      <c r="HA164" s="6">
        <f>COUNTIFS(Table49[Country],Tabela1[[#This Row],[Country]],Table49[All-Around Classification],"&gt;0")</f>
        <v>0</v>
      </c>
      <c r="HB164" s="6">
        <f>COUNTIFS(Table26[Country],Tabela1[[#This Row],[Country]],Table26[Single Sculls Classification],"&gt;0")</f>
        <v>0</v>
      </c>
      <c r="HC164" s="6">
        <f>COUNTIFS(Table63[Country],Tabela1[[#This Row],[Country]],Table63[Single Sculls Classification],"&gt;0")</f>
        <v>0</v>
      </c>
      <c r="HD164" s="6">
        <f>COUNTIFS(Table16[Country],Tabela1[[#This Row],[Country]],Table16[Men''s Double Sculls Classification],"&gt;0")</f>
        <v>0</v>
      </c>
      <c r="HE164" s="6">
        <f>COUNTIFS(Table16[Country],Tabela1[[#This Row],[Country]],Table16[Women''s Double Sculls Classification],"&gt;0")</f>
        <v>0</v>
      </c>
      <c r="HF164" s="6">
        <f>COUNTIFS(Table72[Country],Tabela1[[#This Row],[Country]],Table72[Men''s Quadruple Sculls Classification],"&gt;0")</f>
        <v>0</v>
      </c>
      <c r="HG164" s="6">
        <f>COUNTIFS(Table72[Country],Tabela1[[#This Row],[Country]],Table72[Women''s Quadruple Sculls Classification],"&gt;0")</f>
        <v>0</v>
      </c>
      <c r="HH164" s="6">
        <f>COUNTIFS(Table16[Country],Tabela1[[#This Row],[Country]],Table16[Men''s Coxless Pairs Classification],"&gt;0")</f>
        <v>0</v>
      </c>
      <c r="HI164" s="6">
        <f>COUNTIFS(Table16[Country],Tabela1[[#This Row],[Country]],Table16[Women''s Coxless Pairs Classification],"&gt;0")</f>
        <v>0</v>
      </c>
      <c r="HJ164" s="6">
        <f>COUNTIFS(Table72[Country],Tabela1[[#This Row],[Country]],Table72[Men''s Coxless Fours Classification],"&gt;0")</f>
        <v>0</v>
      </c>
      <c r="HK164" s="6">
        <f>COUNTIFS(Table72[Country],Tabela1[[#This Row],[Country]],Table72[Women''s Coxless Fours Classification],"&gt;0")</f>
        <v>0</v>
      </c>
      <c r="HL164" s="6">
        <f>COUNTIFS(Table72[Country],Tabela1[[#This Row],[Country]],Table72[Men''s Eights Classification],"&gt;0")</f>
        <v>0</v>
      </c>
      <c r="HM164" s="6">
        <f>COUNTIFS(Table72[Country],Tabela1[[#This Row],[Country]],Table72[Women''s Eights Classification],"&gt;0")</f>
        <v>0</v>
      </c>
      <c r="HN164" s="6">
        <f>COUNTIFS(Table16[Country],Tabela1[[#This Row],[Country]],Table16[Men''s Lwt. Double Sculls Classification],"&gt;0")</f>
        <v>0</v>
      </c>
      <c r="HO164" s="6">
        <f>COUNTIFS(Table16[Country],Tabela1[[#This Row],[Country]],Table16[Women''s Lwt. Double Sculls Classification],"&gt;0")</f>
        <v>0</v>
      </c>
      <c r="HP164" s="6">
        <f>COUNTIFS(Table91949698[Country],Tabela1[[#This Row],[Country]],Table91949698[Men''s Classification],"&gt;0")</f>
        <v>0</v>
      </c>
      <c r="HQ164" s="6">
        <f>COUNTIFS(Table91949698[Country],Tabela1[[#This Row],[Country]],Table91949698[Women''s Classification],"&gt;0")</f>
        <v>0</v>
      </c>
      <c r="HR164" s="6">
        <f>COUNTIFS(Table25[Country],Tabela1[[#This Row],[Country]],Table25[Mixed 470 Classification],"&gt;0")</f>
        <v>0</v>
      </c>
      <c r="HS164" s="6">
        <f>COUNTIFS(Table25[Country],Tabela1[[#This Row],[Country]],Table25[Men''s 49er Classification],"&gt;0")</f>
        <v>0</v>
      </c>
      <c r="HT164" s="6">
        <f>COUNTIFS(Table25[Country],Tabela1[[#This Row],[Country]],Table25[Women''s 49er FX Classification],"&gt;0")</f>
        <v>0</v>
      </c>
      <c r="HU164" s="6">
        <f>COUNTIFS(Table17[Country],Tabela1[[#This Row],[Country]],Table17[Formula Kite Classification],"&gt;0")</f>
        <v>0</v>
      </c>
      <c r="HV164" s="6">
        <f>COUNTIFS(Table18[Country],Tabela1[[#This Row],[Country]],Table18[Formula Kite Classification],"&gt;0")</f>
        <v>0</v>
      </c>
      <c r="HW164" s="6">
        <f>COUNTIFS(Table17[Country],Tabela1[[#This Row],[Country]],Table17[ILCA 7 Classification],"&gt;0")</f>
        <v>0</v>
      </c>
      <c r="HX164" s="6">
        <f>COUNTIFS(Table18[Country],Tabela1[[#This Row],[Country]],Table18[ILCA 6 Classification],"&gt;0")</f>
        <v>0</v>
      </c>
      <c r="HY164" s="6">
        <f>COUNTIFS(Table17[Country],Tabela1[[#This Row],[Country]],Table17[IQFoil Classification],"&gt;0")</f>
        <v>0</v>
      </c>
      <c r="HZ164" s="6">
        <f>COUNTIFS(Table18[Country],Tabela1[[#This Row],[Country]],Table18[IQFoil Classification],"&gt;0")</f>
        <v>0</v>
      </c>
      <c r="IA164" s="6">
        <f>COUNTIFS(Table25[Country],Tabela1[[#This Row],[Country]],Table25[Mixed Nacra 17 Classification],"&gt;0")</f>
        <v>0</v>
      </c>
      <c r="IB164" s="6">
        <f>COUNTIFS(Table53[Country],Tabela1[[#This Row],[Country]],Table53[10m Air Pistol Classification],"&gt;0")</f>
        <v>0</v>
      </c>
      <c r="IC164" s="6">
        <f>COUNTIFS(Table19[Country],Tabela1[[#This Row],[Country]],Table19[10m Air Pistol Classification],"&gt;0")</f>
        <v>0</v>
      </c>
      <c r="ID164" s="6">
        <f>COUNTIFS(Table54[Country],Tabela1[[#This Row],[Country]],Table54[Mixed 10m Air Pistol Team Classification],"&gt;0")</f>
        <v>0</v>
      </c>
      <c r="IE164" s="6">
        <f>COUNTIFS(Table53[Country],Tabela1[[#This Row],[Country]],Table53[10m Air Rifle Classification],"&gt;0")</f>
        <v>0</v>
      </c>
      <c r="IF164" s="6">
        <f>COUNTIFS(Table19[Country],Tabela1[[#This Row],[Country]],Table19[10m Air Rifle Classification],"&gt;0")</f>
        <v>0</v>
      </c>
      <c r="IG164" s="6">
        <f>COUNTIFS(Table54[Country],Tabela1[[#This Row],[Country]],Table54[Mixed 10m Air Rifle Team Classification],"&gt;0")</f>
        <v>0</v>
      </c>
      <c r="IH164" s="6">
        <f>COUNTIFS(Table53[Country],Tabela1[[#This Row],[Country]],Table53[25m Rapid Fire Pistol Classification],"&gt;0")</f>
        <v>0</v>
      </c>
      <c r="II164" s="6">
        <f>COUNTIFS(Table19[Country],Tabela1[[#This Row],[Country]],Table19[25m Pistol Classification],"&gt;0")</f>
        <v>0</v>
      </c>
      <c r="IJ164" s="6">
        <f>COUNTIFS(Table53[Country],Tabela1[[#This Row],[Country]],Table53[50m Rifle 3 Positions Classification],"&gt;0")</f>
        <v>0</v>
      </c>
      <c r="IK164" s="6">
        <f>COUNTIFS(Table19[Country],Tabela1[[#This Row],[Country]],Table19[50m Rifle 3 Positions Classification],"&gt;0")</f>
        <v>0</v>
      </c>
      <c r="IL164" s="6">
        <f>COUNTIFS(Table53[Country],Tabela1[[#This Row],[Country]],Table53[Skeet Classification],"&gt;0")</f>
        <v>0</v>
      </c>
      <c r="IM164" s="6">
        <f>COUNTIFS(Table19[Country],Tabela1[[#This Row],[Country]],Table19[Skeet Classification],"&gt;0")</f>
        <v>0</v>
      </c>
      <c r="IN164" s="6">
        <f>COUNTIFS(Table54[Country],Tabela1[[#This Row],[Country]],Table54[Mixed Skeet Team Classification],"&gt;0")</f>
        <v>0</v>
      </c>
      <c r="IO164" s="6">
        <f>COUNTIFS(Table53[Country],Tabela1[[#This Row],[Country]],Table53[Trap Classification],"&gt;0")</f>
        <v>0</v>
      </c>
      <c r="IP164" s="6">
        <f>COUNTIFS(Table19[Country],Tabela1[[#This Row],[Country]],Table19[Trap Classification],"&gt;0")</f>
        <v>0</v>
      </c>
      <c r="IQ164" s="6">
        <f>COUNTIFS(Table73[Country],Tabela1[[#This Row],[Country]],Table73[Park Classification],"&gt;0")</f>
        <v>0</v>
      </c>
      <c r="IR164" s="6">
        <f>COUNTIFS(Table74[Country],Tabela1[[#This Row],[Country]],Table74[Park Classification],"&gt;0")</f>
        <v>0</v>
      </c>
      <c r="IS164" s="6">
        <f>COUNTIFS(Table73[Country],Tabela1[[#This Row],[Country]],Table73[Street Classification],"&gt;0")</f>
        <v>0</v>
      </c>
      <c r="IT164" s="6">
        <f>COUNTIFS(Table74[Country],Tabela1[[#This Row],[Country]],Table74[Street Classification],"&gt;0")</f>
        <v>0</v>
      </c>
      <c r="IU164" s="6">
        <f>COUNTIFS(Table75[Country],Tabela1[[#This Row],[Country]],Table75[Boulder and Lead Classification],"&gt;0")</f>
        <v>0</v>
      </c>
      <c r="IV164" s="6">
        <f>COUNTIFS(Table76[Country],Tabela1[[#This Row],[Country]],Table76[Boulder and Lead Classification],"&gt;0")</f>
        <v>0</v>
      </c>
      <c r="IW164" s="6">
        <f>COUNTIFS(Table75[Country],Tabela1[[#This Row],[Country]],Table75[Speed Classification],"&gt;0")</f>
        <v>0</v>
      </c>
      <c r="IX164" s="6">
        <f>COUNTIFS(Table76[Country],Tabela1[[#This Row],[Country]],Table76[Speed Classification],"&gt;0")</f>
        <v>0</v>
      </c>
      <c r="IY164" s="6">
        <f>COUNTIFS(Table64[Country],Tabela1[[#This Row],[Country]],Table64[Shortboard Classification],"&gt;0")</f>
        <v>0</v>
      </c>
      <c r="IZ164" s="6">
        <f>COUNTIFS(Table77[Country],Tabela1[[#This Row],[Country]],Table77[Shortboard Classification],"&gt;0")</f>
        <v>0</v>
      </c>
      <c r="JA164" s="6">
        <f>COUNTIFS(Table20[Country],Tabela1[[#This Row],[Country]],Table20[50m Freestyle Classification],"&gt;0")</f>
        <v>0</v>
      </c>
      <c r="JB164" s="6">
        <f>COUNTIFS(Table21[Country],Tabela1[[#This Row],[Country]],Table21[50m Freestyle Classification],"&gt;0")</f>
        <v>0</v>
      </c>
      <c r="JC164" s="6">
        <f>COUNTIFS(Table20[Country],Tabela1[[#This Row],[Country]],Table20[100m Freestyle Classification],"&gt;0")</f>
        <v>0</v>
      </c>
      <c r="JD164" s="6">
        <f>COUNTIFS(Table21[Country],Tabela1[[#This Row],[Country]],Table21[100m Freestyle Classification],"&gt;0")</f>
        <v>0</v>
      </c>
      <c r="JE164" s="6">
        <f>COUNTIFS(Table20[Country],Tabela1[[#This Row],[Country]],Table20[200m Freestyle Classification],"&gt;0")</f>
        <v>0</v>
      </c>
      <c r="JF164" s="6">
        <f>COUNTIFS(Table21[Country],Tabela1[[#This Row],[Country]],Table21[200m Freestyle Classification],"&gt;0")</f>
        <v>0</v>
      </c>
      <c r="JG164" s="6">
        <f>COUNTIFS(Table20[Country],Tabela1[[#This Row],[Country]],Table20[400m Freestyle Classification],"&gt;0")</f>
        <v>0</v>
      </c>
      <c r="JH164" s="6">
        <f>COUNTIFS(Table21[Country],Tabela1[[#This Row],[Country]],Table21[400m Freestyle Classification],"&gt;0")</f>
        <v>0</v>
      </c>
      <c r="JI164" s="6">
        <f>COUNTIFS(Table20[Country],Tabela1[[#This Row],[Country]],Table20[800m Freestyle Classification],"&gt;0")</f>
        <v>0</v>
      </c>
      <c r="JJ164" s="6">
        <f>COUNTIFS(Table21[Country],Tabela1[[#This Row],[Country]],Table21[800m Freestyle Classification],"&gt;0")</f>
        <v>0</v>
      </c>
      <c r="JK164" s="6">
        <f>COUNTIFS(Table20[Country],Tabela1[[#This Row],[Country]],Table20[1500m Freestyle Classification],"&gt;0")</f>
        <v>0</v>
      </c>
      <c r="JL164" s="6">
        <f>COUNTIFS(Table21[Country],Tabela1[[#This Row],[Country]],Table21[1500m Freestyle Classification],"&gt;0")</f>
        <v>0</v>
      </c>
      <c r="JM164" s="6">
        <f>COUNTIFS(Table20[Country],Tabela1[[#This Row],[Country]],Table20[100m Backstroke Classification],"&gt;0")</f>
        <v>0</v>
      </c>
      <c r="JN164" s="6">
        <f>COUNTIFS(Table21[Country],Tabela1[[#This Row],[Country]],Table21[100m Backstroke Classification],"&gt;0")</f>
        <v>0</v>
      </c>
      <c r="JO164" s="6">
        <f>COUNTIFS(Table20[Country],Tabela1[[#This Row],[Country]],Table20[200m Backstroke Classification],"&gt;0")</f>
        <v>0</v>
      </c>
      <c r="JP164" s="6">
        <f>COUNTIFS(Table21[Country],Tabela1[[#This Row],[Country]],Table21[200m Backstroke Classification],"&gt;0")</f>
        <v>0</v>
      </c>
      <c r="JQ164" s="6">
        <f>COUNTIFS(Table20[Country],Tabela1[[#This Row],[Country]],Table20[100m Breaststroke Classification],"&gt;0")</f>
        <v>0</v>
      </c>
      <c r="JR164" s="6">
        <f>COUNTIFS(Table21[Country],Tabela1[[#This Row],[Country]],Table21[100m Breaststroke Classification],"&gt;0")</f>
        <v>0</v>
      </c>
      <c r="JS164" s="6">
        <f>COUNTIFS(Table20[Country],Tabela1[[#This Row],[Country]],Table20[200m Breaststroke Classification],"&gt;0")</f>
        <v>0</v>
      </c>
      <c r="JT164" s="6">
        <f>COUNTIFS(Table21[Country],Tabela1[[#This Row],[Country]],Table21[200m Breaststroke Classification],"&gt;0")</f>
        <v>0</v>
      </c>
      <c r="JU164" s="6">
        <f>COUNTIFS(Table20[Country],Tabela1[[#This Row],[Country]],Table20[100m Butterfly Classification],"&gt;0")</f>
        <v>0</v>
      </c>
      <c r="JV164" s="6">
        <f>COUNTIFS(Table21[Country],Tabela1[[#This Row],[Country]],Table21[100m Butterfly Classification],"&gt;0")</f>
        <v>0</v>
      </c>
      <c r="JW164" s="6">
        <f>COUNTIFS(Table20[Country],Tabela1[[#This Row],[Country]],Table20[200m Butterfly Classification],"&gt;0")</f>
        <v>0</v>
      </c>
      <c r="JX164" s="6">
        <f>COUNTIFS(Table21[Country],Tabela1[[#This Row],[Country]],Table21[200m Butterfly Classification],"&gt;0")</f>
        <v>0</v>
      </c>
      <c r="JY164" s="6">
        <f>COUNTIFS(Table20[Country],Tabela1[[#This Row],[Country]],Table20[200m Medley Classification],"&gt;0")</f>
        <v>0</v>
      </c>
      <c r="JZ164" s="6">
        <f>COUNTIFS(Table21[Country],Tabela1[[#This Row],[Country]],Table21[200m Medley Classification],"&gt;0")</f>
        <v>0</v>
      </c>
      <c r="KA164" s="6">
        <f>COUNTIFS(Table20[Country],Tabela1[[#This Row],[Country]],Table20[400m Medley Classification],"&gt;0")</f>
        <v>0</v>
      </c>
      <c r="KB164" s="6">
        <f>COUNTIFS(Table21[Country],Tabela1[[#This Row],[Country]],Table21[400m Medley Classification],"&gt;0")</f>
        <v>0</v>
      </c>
      <c r="KC164" s="6">
        <f>COUNTIFS(Table78[Country],Tabela1[[#This Row],[Country]],Table78[Men''s 4x100m Freestyle Relay Classification],"&gt;0")</f>
        <v>0</v>
      </c>
      <c r="KD164" s="6">
        <f>COUNTIFS(Table78[Country],Tabela1[[#This Row],[Country]],Table78[Women''s 4x100m Freestyle Relay Classification],"&gt;0")</f>
        <v>0</v>
      </c>
      <c r="KE164" s="6">
        <f>COUNTIFS(Table78[Country],Tabela1[[#This Row],[Country]],Table78[Men''s 4x200m Freestyle Relay Classification],"&gt;0")</f>
        <v>0</v>
      </c>
      <c r="KF164" s="6">
        <f>COUNTIFS(Table78[Country],Tabela1[[#This Row],[Country]],Table78[Women''s 4x200m Freestyle Relay Classification],"&gt;0")</f>
        <v>0</v>
      </c>
      <c r="KG164" s="6">
        <f>COUNTIFS(Table78[Country],Tabela1[[#This Row],[Country]],Table78[Men''s 4x100m Medley Relay Classification],"&gt;0")</f>
        <v>0</v>
      </c>
      <c r="KH164" s="6">
        <f>COUNTIFS(Table78[Country],Tabela1[[#This Row],[Country]],Table78[Women''s 4x100m Medley Relay Classification],"&gt;0")</f>
        <v>0</v>
      </c>
      <c r="KI164" s="6">
        <f>COUNTIFS(Table78[Country],Tabela1[[#This Row],[Country]],Table78[Mixed 4x100m Medley Relay Classification],"&gt;0")</f>
        <v>0</v>
      </c>
      <c r="KJ164" s="6">
        <f>COUNTIFS(Table20[Country],Tabela1[[#This Row],[Country]],Table20[10km Open Water Classification],"&gt;0")</f>
        <v>0</v>
      </c>
      <c r="KK164" s="6">
        <f>COUNTIFS(Table21[Country],Tabela1[[#This Row],[Country]],Table21[10km Open Water Classification],"&gt;0")</f>
        <v>0</v>
      </c>
      <c r="KL164" s="6">
        <f>COUNTIFS(Table22[Country],Tabela1[[#This Row],[Country]],Table22[Classification],"&gt;0")</f>
        <v>0</v>
      </c>
      <c r="KM164" s="6">
        <f>COUNTIFS(Table30[Country],Tabela1[[#This Row],[Country]],Table30[Classification],"&gt;0")</f>
        <v>0</v>
      </c>
      <c r="KN164" s="6">
        <f>COUNTIFS(Table55[Country],Tabela1[[#This Row],[Country]],Table55[Men''s Classification],"&gt;0")</f>
        <v>0</v>
      </c>
      <c r="KO164" s="6">
        <f>COUNTIFS(Table55[Country],Tabela1[[#This Row],[Country]],Table55[Women''s Classification],"&gt;0")</f>
        <v>0</v>
      </c>
      <c r="KP164" s="6">
        <f>COUNTIFS(Table56[Country],Tabela1[[#This Row],[Country]],Table56[Mixed Classification],"&gt;0")</f>
        <v>0</v>
      </c>
      <c r="KQ164" s="6">
        <f>COUNTIFS(Table29[Country],Tabela1[[#This Row],[Country]],Table29[58kg Classification],"&gt;0")</f>
        <v>0</v>
      </c>
      <c r="KR164" s="6">
        <f>COUNTIFS(Table29[Country],Tabela1[[#This Row],[Country]],Table29[68kg Classification],"&gt;0")</f>
        <v>0</v>
      </c>
      <c r="KS164" s="6">
        <f>COUNTIFS(Table29[Country],Tabela1[[#This Row],[Country]],Table29[80kg Classification],"&gt;0")</f>
        <v>0</v>
      </c>
      <c r="KT164" s="6">
        <f>COUNTIFS(Table29[Country],Tabela1[[#This Row],[Country]],Table29[Plus 80kg Classification],"&gt;0")</f>
        <v>0</v>
      </c>
      <c r="KU164" s="6">
        <f>COUNTIFS(Table34[Country],Tabela1[[#This Row],[Country]],Table34[49kg Classification],"&gt;0")</f>
        <v>0</v>
      </c>
      <c r="KV164" s="6">
        <f>COUNTIFS(Table34[Country],Tabela1[[#This Row],[Country]],Table34[57kg Classification],"&gt;0")</f>
        <v>0</v>
      </c>
      <c r="KW164" s="6">
        <f>COUNTIFS(Table34[Country],Tabela1[[#This Row],[Country]],Table34[67kg Classification],"&gt;0")</f>
        <v>0</v>
      </c>
      <c r="KX164" s="6">
        <f>COUNTIFS(Table34[Country],Tabela1[[#This Row],[Country]],Table34[Plus 67kg Classification],"&gt;0")</f>
        <v>0</v>
      </c>
      <c r="KY164" s="6">
        <f>COUNTIFS(Table57[Country],Tabela1[[#This Row],[Country]],Table57[Classification],"&gt;0")</f>
        <v>0</v>
      </c>
      <c r="KZ164" s="6">
        <f>COUNTIFS(Table58[Country],Tabela1[[#This Row],[Country]],Table58[Classification],"&gt;0")</f>
        <v>0</v>
      </c>
      <c r="LA164" s="6">
        <f>COUNTIFS(Table79[Country],Tabela1[[#This Row],[Country]],Table79[Men''s Classification],"&gt;0")</f>
        <v>0</v>
      </c>
      <c r="LB164" s="6">
        <f>COUNTIFS(Table79[Country],Tabela1[[#This Row],[Country]],Table79[Women''s Classification],"&gt;0")</f>
        <v>0</v>
      </c>
      <c r="LC164" s="6">
        <f>COUNTIFS(Table79[Country],Tabela1[[#This Row],[Country]],Table79[Mixed Classification],"&gt;0")</f>
        <v>0</v>
      </c>
      <c r="LD164" s="6">
        <f>COUNTIFS(Table65[Country],Tabela1[[#This Row],[Country]],Table65[Classification],"&gt;0")</f>
        <v>0</v>
      </c>
      <c r="LE164" s="6">
        <f>COUNTIFS(Table59[Country],Tabela1[[#This Row],[Country]],Table59[Classification],"&gt;0")</f>
        <v>0</v>
      </c>
      <c r="LF164" s="6">
        <f>COUNTIFS(Table87[Country],Tabela1[[#This Row],[Country]],Table87[Mixed Relay Classification],"&gt;0")</f>
        <v>0</v>
      </c>
      <c r="LG164" s="6">
        <f>COUNTIFS(Table91949698100[Country],Tabela1[[#This Row],[Country]],Table91949698100[Men''s Classification],"&gt;0")</f>
        <v>0</v>
      </c>
      <c r="LH164" s="6">
        <f>COUNTIFS(Table91949698100[Country],Tabela1[[#This Row],[Country]],Table91949698100[Women''s Classification],"&gt;0")</f>
        <v>0</v>
      </c>
      <c r="LI164" s="6">
        <f>COUNTIFS(Table91949698100102[Country],Tabela1[[#This Row],[Country]],Table91949698100102[Men''s Classification],"&gt;0")</f>
        <v>0</v>
      </c>
      <c r="LJ164" s="6">
        <f>COUNTIFS(Table91949698100102[Country],Tabela1[[#This Row],[Country]],Table91949698100102[Women''s Classification],"&gt;0")</f>
        <v>0</v>
      </c>
      <c r="LK164" s="6">
        <f>COUNTIFS(Table23[Country],Tabela1[[#This Row],[Country]],Table23[61kg Classification],"&gt;0")</f>
        <v>0</v>
      </c>
      <c r="LL164" s="6">
        <f>COUNTIFS(Table23[Country],Tabela1[[#This Row],[Country]],Table23[73kg Classification],"&gt;0")</f>
        <v>0</v>
      </c>
      <c r="LM164" s="6">
        <f>COUNTIFS(Table23[Country],Tabela1[[#This Row],[Country]],Table23[89kg Classification],"&gt;0")</f>
        <v>0</v>
      </c>
      <c r="LN164" s="6">
        <f>COUNTIFS(Table23[Country],Tabela1[[#This Row],[Country]],Table23[102kg Classification],"&gt;0")</f>
        <v>0</v>
      </c>
      <c r="LO164" s="6">
        <f>COUNTIFS(Table23[Country],Tabela1[[#This Row],[Country]],Table23[Plus 102kg Classification],"&gt;0")</f>
        <v>0</v>
      </c>
      <c r="LP164" s="6">
        <f>COUNTIFS(Table28[Country],Tabela1[[#This Row],[Country]],Table28[49kg Classification],"&gt;0")</f>
        <v>0</v>
      </c>
      <c r="LQ164" s="6">
        <f>COUNTIFS(Table28[Country],Tabela1[[#This Row],[Country]],Table28[59kg Classification],"&gt;0")</f>
        <v>0</v>
      </c>
      <c r="LR164" s="6">
        <f>COUNTIFS(Table28[Country],Tabela1[[#This Row],[Country]],Table28[71kg Classification],"&gt;0")</f>
        <v>0</v>
      </c>
      <c r="LS164" s="6">
        <f>COUNTIFS(Table28[Country],Tabela1[[#This Row],[Country]],Table28[81kg Classification],"&gt;0")</f>
        <v>0</v>
      </c>
      <c r="LT164" s="6">
        <f>COUNTIFS(Table28[Country],Tabela1[[#This Row],[Country]],Table28[Plus 81kg Classification],"&gt;0")</f>
        <v>0</v>
      </c>
      <c r="LU164" s="6">
        <f>COUNTIFS(Table24[Country],Tabela1[[#This Row],[Country]],Table24[Freestyle 57kg Classification],"&gt;0")</f>
        <v>0</v>
      </c>
      <c r="LV164" s="6">
        <f>COUNTIFS(Table24[Country],Tabela1[[#This Row],[Country]],Table24[Freestyle 65kg Classification],"&gt;0")</f>
        <v>0</v>
      </c>
      <c r="LW164" s="6">
        <f>COUNTIFS(Table24[Country],Tabela1[[#This Row],[Country]],Table24[Freestyle 74kg Classification],"&gt;0")</f>
        <v>0</v>
      </c>
      <c r="LX164" s="6">
        <f>COUNTIFS(Table24[Country],Tabela1[[#This Row],[Country]],Table24[Freestyle 86kg Classification],"&gt;0")</f>
        <v>0</v>
      </c>
      <c r="LY164" s="6">
        <f>COUNTIFS(Table24[Country],Tabela1[[#This Row],[Country]],Table24[Freestyle 97kg Classification],"&gt;0")</f>
        <v>0</v>
      </c>
      <c r="LZ164" s="6">
        <f>COUNTIFS(Table24[Country],Tabela1[[#This Row],[Country]],Table24[Freestyle 125kg Classification],"&gt;0")</f>
        <v>0</v>
      </c>
      <c r="MA164" s="6">
        <f>COUNTIFS(Table24[Country],Tabela1[[#This Row],[Country]],Table24[Greco-Roman 60kg Classification],"&gt;0")</f>
        <v>0</v>
      </c>
      <c r="MB164" s="6">
        <f>COUNTIFS(Table24[Country],Tabela1[[#This Row],[Country]],Table24[Greco-Roman 67kg Classification],"&gt;0")</f>
        <v>0</v>
      </c>
      <c r="MC164" s="6">
        <f>COUNTIFS(Table24[Country],Tabela1[[#This Row],[Country]],Table24[Greco-Roman 77kg Classification],"&gt;0")</f>
        <v>0</v>
      </c>
      <c r="MD164" s="6">
        <f>COUNTIFS(Table24[Country],Tabela1[[#This Row],[Country]],Table24[Greco-Roman 87kg Classification],"&gt;0")</f>
        <v>0</v>
      </c>
      <c r="ME164" s="6">
        <f>COUNTIFS(Table24[Country],Tabela1[[#This Row],[Country]],Table24[Greco-Roman 97kg Classification],"&gt;0")</f>
        <v>0</v>
      </c>
      <c r="MF164" s="6">
        <f>COUNTIFS(Table24[Country],Tabela1[[#This Row],[Country]],Table24[Greco-Roman 130kg Classification],"&gt;0")</f>
        <v>0</v>
      </c>
      <c r="MG164" s="6">
        <f>COUNTIFS(Table31[Country],Tabela1[[#This Row],[Country]],Table31[50kg Classification],"&gt;0")</f>
        <v>0</v>
      </c>
      <c r="MH164" s="6">
        <f>COUNTIFS(Table31[Country],Tabela1[[#This Row],[Country]],Table31[53kg Classification],"&gt;0")</f>
        <v>0</v>
      </c>
      <c r="MI164" s="6">
        <f>COUNTIFS(Table31[Country],Tabela1[[#This Row],[Country]],Table31[57kg Classification],"&gt;0")</f>
        <v>0</v>
      </c>
      <c r="MJ164" s="6">
        <f>COUNTIFS(Table31[Country],Tabela1[[#This Row],[Country]],Table31[62kg Classification],"&gt;0")</f>
        <v>0</v>
      </c>
      <c r="MK164" s="6">
        <f>COUNTIFS(Table31[Country],Tabela1[[#This Row],[Country]],Table31[68kg Classification],"&gt;0")</f>
        <v>0</v>
      </c>
      <c r="ML164" s="6">
        <f>COUNTIFS(Table31[Country],Tabela1[[#This Row],[Country]],Table31[76kg Classification],"&gt;0")</f>
        <v>0</v>
      </c>
      <c r="MM164" s="6">
        <f>COUNTIFS(Table102[Country],Tabela1[[#This Row],[Country]],Table102[Downhill Classification],"&gt;0")</f>
        <v>0</v>
      </c>
      <c r="MN164" s="6">
        <f>COUNTIFS(Table102105[Country],Tabela1[[#This Row],[Country]],Table102105[Downhill Classification],"&gt;0")</f>
        <v>0</v>
      </c>
      <c r="MO164" s="6">
        <f>COUNTIFS(Table102[Country],Tabela1[[#This Row],[Country]],Table102[Giant Slalom Classification],"&gt;0")</f>
        <v>0</v>
      </c>
      <c r="MP164" s="6">
        <f>COUNTIFS(Table102105[Country],Tabela1[[#This Row],[Country]],Table102105[Giant Slalom Classification],"&gt;0")</f>
        <v>0</v>
      </c>
      <c r="MQ164" s="6">
        <f>COUNTIFS(Table102[Country],Tabela1[[#This Row],[Country]],Table102[Slalom Classification],"&gt;0")</f>
        <v>0</v>
      </c>
      <c r="MR164" s="6">
        <f>COUNTIFS(Table102105[Country],Tabela1[[#This Row],[Country]],Table102105[Slalom Classification],"&gt;0")</f>
        <v>0</v>
      </c>
      <c r="MS164" s="6">
        <f>COUNTIFS(Table102[Country],Tabela1[[#This Row],[Country]],Table102[Super-G Classification],"&gt;0")</f>
        <v>0</v>
      </c>
      <c r="MT164" s="6">
        <f>COUNTIFS(Table102105[Country],Tabela1[[#This Row],[Country]],Table102105[Super-G Classification],"&gt;0")</f>
        <v>0</v>
      </c>
      <c r="MU164" s="6">
        <f>COUNTIFS(Table105[Country],Tabela1[[#This Row],[Country]],Table105[Men''s Combined Classification],"&gt;0")</f>
        <v>0</v>
      </c>
      <c r="MV164" s="6">
        <f>COUNTIFS(Table105[Country],Tabela1[[#This Row],[Country]],Table105[Women''s Combined Classification],"&gt;0")</f>
        <v>0</v>
      </c>
      <c r="MW164" s="6">
        <f>COUNTIFS(Table106[Country],Tabela1[[#This Row],[Country]],Table106[Individual Classification],"&gt;0")</f>
        <v>0</v>
      </c>
      <c r="MX164" s="6">
        <f>COUNTIFS(Table106109[Country],Tabela1[[#This Row],[Country]],Table106109[Individual Classification],"&gt;0")</f>
        <v>0</v>
      </c>
      <c r="MY164" s="6">
        <f>COUNTIFS(Table106[Country],Tabela1[[#This Row],[Country]],Table106[Mass Start Classification],"&gt;0")</f>
        <v>0</v>
      </c>
      <c r="MZ164" s="6">
        <f>COUNTIFS(Table106109[Country],Tabela1[[#This Row],[Country]],Table106109[Mass Start Classification],"&gt;0")</f>
        <v>0</v>
      </c>
      <c r="NA164" s="6">
        <f>COUNTIFS(Table106[Country],Tabela1[[#This Row],[Country]],Table106[Pursuit Classification],"&gt;0")</f>
        <v>0</v>
      </c>
      <c r="NB164" s="6">
        <f>COUNTIFS(Table106109[Country],Tabela1[[#This Row],[Country]],Table106109[Pursuit Classification],"&gt;0")</f>
        <v>0</v>
      </c>
      <c r="NC164" s="6">
        <f>COUNTIFS(Table106[Country],Tabela1[[#This Row],[Country]],Table106[Sprint Classification],"&gt;0")</f>
        <v>0</v>
      </c>
      <c r="ND164" s="6">
        <f>COUNTIFS(Table106109[Country],Tabela1[[#This Row],[Country]],Table106109[Sprint Classification],"&gt;0")</f>
        <v>0</v>
      </c>
      <c r="NE164" s="6">
        <f>COUNTIFS(Table109[Country],Tabela1[[#This Row],[Country]],Table109[Men''s Relay Classification],"&gt;0")</f>
        <v>0</v>
      </c>
      <c r="NF164" s="6">
        <f>COUNTIFS(Table109[Country],Tabela1[[#This Row],[Country]],Table109[Women''s Relay Classification],"&gt;0")</f>
        <v>0</v>
      </c>
      <c r="NG164" s="6">
        <f>COUNTIFS(Table109[Country],Tabela1[[#This Row],[Country]],Table109[Mixed Relay Classification],"&gt;0")</f>
        <v>0</v>
      </c>
      <c r="NH164" s="6">
        <f>COUNTIFS(Table110[Country],Tabela1[[#This Row],[Country]],Table110[Monobob Classification],"&gt;0")</f>
        <v>0</v>
      </c>
      <c r="NI164" s="6">
        <f>COUNTIFS(Table111[Country],Tabela1[[#This Row],[Country]],Table111[Men''s Classification],"&gt;0")</f>
        <v>0</v>
      </c>
      <c r="NJ164" s="6">
        <f>COUNTIFS(Table111[Country],Tabela1[[#This Row],[Country]],Table111[Women''s Classification],"&gt;0")</f>
        <v>0</v>
      </c>
      <c r="NK164" s="6">
        <f>COUNTIFS(Table112[Country],Tabela1[[#This Row],[Country]],Table112[Men''s Four Classification],"&gt;0")</f>
        <v>0</v>
      </c>
      <c r="NL164" s="6">
        <f>COUNTIFS(Table113[Country],Tabela1[[#This Row],[Country]],Table113[Classical Classification],"&gt;0")</f>
        <v>0</v>
      </c>
      <c r="NM164" s="6">
        <f>COUNTIFS(Table113116[Country],Tabela1[[#This Row],[Country]],Table113116[Classical Classification],"&gt;0")</f>
        <v>0</v>
      </c>
      <c r="NN164" s="6">
        <f>COUNTIFS(Table113[Country],Tabela1[[#This Row],[Country]],Table113[Freestyle Classification],"&gt;0")</f>
        <v>0</v>
      </c>
      <c r="NO164" s="6">
        <f>COUNTIFS(Table113116[Country],Tabela1[[#This Row],[Country]],Table113116[Freestyle Classification],"&gt;0")</f>
        <v>0</v>
      </c>
      <c r="NP164" s="6">
        <f>COUNTIFS(Table117[Country],Tabela1[[#This Row],[Country]],Table117[Men''s Relay Classification],"&gt;0")</f>
        <v>0</v>
      </c>
      <c r="NQ164" s="6">
        <f>COUNTIFS(Table117[Country],Tabela1[[#This Row],[Country]],Table117[Women''s Relay Classification],"&gt;0")</f>
        <v>0</v>
      </c>
      <c r="NR164" s="6">
        <f>COUNTIFS(Table113[Country],Tabela1[[#This Row],[Country]],Table113[Skiathlon Classification],"&gt;0")</f>
        <v>0</v>
      </c>
      <c r="NS164" s="6">
        <f>COUNTIFS(Table113116[Country],Tabela1[[#This Row],[Country]],Table113116[Skiathlon Classification],"&gt;0")</f>
        <v>0</v>
      </c>
      <c r="NT164" s="6">
        <f>COUNTIFS(Table113[Country],Tabela1[[#This Row],[Country]],Table113[Sprint Classification],"&gt;0")</f>
        <v>0</v>
      </c>
      <c r="NU164" s="6">
        <f>COUNTIFS(Table113116[Country],Tabela1[[#This Row],[Country]],Table113116[Sprint Classification],"&gt;0")</f>
        <v>0</v>
      </c>
      <c r="NV164" s="6">
        <f>COUNTIFS(Table116[Country],Tabela1[[#This Row],[Country]],Table116[Men''s Team Sprint Classification],"&gt;0")</f>
        <v>0</v>
      </c>
      <c r="NW164" s="6">
        <f>COUNTIFS(Table116[Country],Tabela1[[#This Row],[Country]],Table116[Women''s Team Sprint Classification],"&gt;0")</f>
        <v>0</v>
      </c>
      <c r="NX164" s="6">
        <f>COUNTIFS(Table119[Country],Tabela1[[#This Row],[Country]],Table119[Men''s Classification],"&gt;0")</f>
        <v>0</v>
      </c>
      <c r="NY164" s="6">
        <f>COUNTIFS(Table119[Country],Tabela1[[#This Row],[Country]],Table119[Women''s Classification],"&gt;0")</f>
        <v>0</v>
      </c>
      <c r="NZ164" s="6">
        <f>COUNTIFS(Table118[Country],Tabela1[[#This Row],[Country]],Table118[Mixed Classification],"&gt;0")</f>
        <v>0</v>
      </c>
      <c r="OA164" s="6">
        <f>COUNTIFS(Table120[Country],Tabela1[[#This Row],[Country]],Table120[Classification],"&gt;0")</f>
        <v>0</v>
      </c>
      <c r="OB164" s="6">
        <f>COUNTIFS(Table120123[Country],Tabela1[[#This Row],[Country]],Table120123[Classification],"&gt;0")</f>
        <v>0</v>
      </c>
      <c r="OC164" s="6">
        <f>COUNTIFS(Table123[Country],Tabela1[[#This Row],[Country]],Table123[Ice Dance Classification],"&gt;0")</f>
        <v>0</v>
      </c>
      <c r="OD164" s="6">
        <f>COUNTIFS(Table123[Country],Tabela1[[#This Row],[Country]],Table123[Pair Skating Classification],"&gt;0")</f>
        <v>0</v>
      </c>
      <c r="OE164" s="6">
        <f>COUNTIFS(Table124[Country],Tabela1[[#This Row],[Country]],Table124[Mixed Classification],"&gt;0")</f>
        <v>0</v>
      </c>
      <c r="OF164" s="6">
        <f>COUNTIFS(Table125[Country],Tabela1[[#This Row],[Country]],Table125[Aerials Classification],"&gt;0")</f>
        <v>0</v>
      </c>
      <c r="OG164" s="6">
        <f>COUNTIFS(Table125128[Country],Tabela1[[#This Row],[Country]],Table125128[Aerials Classification],"&gt;0")</f>
        <v>0</v>
      </c>
      <c r="OH164" s="6">
        <f>COUNTIFS(Table128[Country],Tabela1[[#This Row],[Country]],Table128[Mixed Aerials Classification],"&gt;0")</f>
        <v>0</v>
      </c>
      <c r="OI164" s="6">
        <f>COUNTIFS(Table125[Country],Tabela1[[#This Row],[Country]],Table125[Big Air Classification],"&gt;0")</f>
        <v>0</v>
      </c>
      <c r="OJ164" s="6">
        <f>COUNTIFS(Table125128[Country],Tabela1[[#This Row],[Country]],Table125128[Big Air Classification],"&gt;0")</f>
        <v>0</v>
      </c>
      <c r="OK164" s="6">
        <f>COUNTIFS(Table125[Country],Tabela1[[#This Row],[Country]],Table125[Dual Moguls Classification],"&gt;0")</f>
        <v>0</v>
      </c>
      <c r="OL164" s="6">
        <f>COUNTIFS(Table125128[Country],Tabela1[[#This Row],[Country]],Table125128[Dual Moguls Classification],"&gt;0")</f>
        <v>0</v>
      </c>
      <c r="OM164" s="6">
        <f>COUNTIFS(Table125[Country],Tabela1[[#This Row],[Country]],Table125[Halfpipe Classification],"&gt;0")</f>
        <v>0</v>
      </c>
      <c r="ON164" s="6">
        <f>COUNTIFS(Table125128[Country],Tabela1[[#This Row],[Country]],Table125128[Halfpipe Classification],"&gt;0")</f>
        <v>0</v>
      </c>
      <c r="OO164" s="6">
        <f>COUNTIFS(Table125[Country],Tabela1[[#This Row],[Country]],Table125[Moguls Classification],"&gt;0")</f>
        <v>0</v>
      </c>
      <c r="OP164" s="6">
        <f>COUNTIFS(Table125128[Country],Tabela1[[#This Row],[Country]],Table125128[Moguls Classification],"&gt;0")</f>
        <v>0</v>
      </c>
      <c r="OQ164" s="6">
        <f>COUNTIFS(Table125[Country],Tabela1[[#This Row],[Country]],Table125[Ski Cross Classification],"&gt;0")</f>
        <v>0</v>
      </c>
      <c r="OR164" s="6">
        <f>COUNTIFS(Table125128[Country],Tabela1[[#This Row],[Country]],Table125128[Ski Cross Classification],"&gt;0")</f>
        <v>0</v>
      </c>
      <c r="OS164" s="6">
        <f>COUNTIFS(Table125[Country],Tabela1[[#This Row],[Country]],Table125[Slopestyle Classification],"&gt;0")</f>
        <v>0</v>
      </c>
      <c r="OT164" s="6">
        <f>COUNTIFS(Table125128[Country],Tabela1[[#This Row],[Country]],Table125128[Slopestyle Classification],"&gt;0")</f>
        <v>0</v>
      </c>
      <c r="OU164" s="6">
        <f>COUNTIFS(Table119131[Country],Tabela1[[#This Row],[Country]],Table119131[Men''s Classification],"&gt;0")</f>
        <v>0</v>
      </c>
      <c r="OV164" s="6">
        <f>COUNTIFS(Table119131[Country],Tabela1[[#This Row],[Country]],Table119131[Women''s Classification],"&gt;0")</f>
        <v>0</v>
      </c>
      <c r="OW164" s="6">
        <f>COUNTIFS(Table131[Country],Tabela1[[#This Row],[Country]],Table131[Classification],"&gt;0")</f>
        <v>0</v>
      </c>
      <c r="OX164" s="6">
        <f>COUNTIFS(Table131134[Country],Tabela1[[#This Row],[Country]],Table131134[Classification],"&gt;0")</f>
        <v>0</v>
      </c>
      <c r="OY164" s="6">
        <f>COUNTIFS(Table134[Country],Tabela1[[#This Row],[Country]],Table134[Men''s Classification],"&gt;0")</f>
        <v>0</v>
      </c>
      <c r="OZ164" s="6">
        <f>COUNTIFS(Table134[Country],Tabela1[[#This Row],[Country]],Table134[Women''s Classification],"&gt;0")</f>
        <v>0</v>
      </c>
      <c r="PA164" s="6">
        <f>COUNTIFS(Table135[Country],Tabela1[[#This Row],[Country]],Table135[Mixed Relay Classification],"&gt;0")</f>
        <v>0</v>
      </c>
      <c r="PB164" s="6">
        <f>COUNTIFS(Table136[Country],Tabela1[[#This Row],[Country]],Table136[Individual Classification],"&gt;0")</f>
        <v>0</v>
      </c>
      <c r="PC164" s="6">
        <f>COUNTIFS(Table136[Country],Tabela1[[#This Row],[Country]],Table136[Sprint Classification],"&gt;0")</f>
        <v>0</v>
      </c>
      <c r="PD164" s="6">
        <f>COUNTIFS(Table137[Country],Tabela1[[#This Row],[Country]],Table137[Men''s Team Sprint Large Hill Classification],"&gt;0")</f>
        <v>0</v>
      </c>
      <c r="PE164" s="6">
        <f>COUNTIFS(Table138[Country],Tabela1[[#This Row],[Country]],Table138[500m Classification],"&gt;0")</f>
        <v>0</v>
      </c>
      <c r="PF164" s="6">
        <f>COUNTIFS(Table138141[Country],Tabela1[[#This Row],[Country]],Table138141[500m Classification],"&gt;0")</f>
        <v>0</v>
      </c>
      <c r="PG164" s="6">
        <f>COUNTIFS(Table138[Country],Tabela1[[#This Row],[Country]],Table138[1000m Classification],"&gt;0")</f>
        <v>0</v>
      </c>
      <c r="PH164" s="6">
        <f>COUNTIFS(Table138141[Country],Tabela1[[#This Row],[Country]],Table138141[1000m Classification],"&gt;0")</f>
        <v>0</v>
      </c>
      <c r="PI164" s="6">
        <f>COUNTIFS(Table138[Country],Tabela1[[#This Row],[Country]],Table138[1500m Classification],"&gt;0")</f>
        <v>0</v>
      </c>
      <c r="PJ164" s="6">
        <f>COUNTIFS(Table138141[Country],Tabela1[[#This Row],[Country]],Table138141[1500m Classification],"&gt;0")</f>
        <v>0</v>
      </c>
      <c r="PK164" s="6">
        <f>COUNTIFS(Table141[Country],Tabela1[[#This Row],[Country]],Table141[Men''s 5000m Relay Classification],"&gt;0")</f>
        <v>0</v>
      </c>
      <c r="PL164" s="6">
        <f>COUNTIFS(Table141[Country],Tabela1[[#This Row],[Country]],Table141[Women''s 3000m Relay Classification],"&gt;0")</f>
        <v>0</v>
      </c>
      <c r="PM164" s="6">
        <f>COUNTIFS(Table141[Country],Tabela1[[#This Row],[Country]],Table141[Mixed 2000m Relay Classification],"&gt;0")</f>
        <v>0</v>
      </c>
      <c r="PN164" s="6">
        <f>COUNTIFS(Table142[Country],Tabela1[[#This Row],[Country]],Table142[Classification],"&gt;0")</f>
        <v>0</v>
      </c>
      <c r="PO164" s="6">
        <f>COUNTIFS(Table142145[Country],Tabela1[[#This Row],[Country]],Table142145[Classification],"&gt;0")</f>
        <v>0</v>
      </c>
      <c r="PP164" s="6">
        <f>COUNTIFS(Tabela15[Country],Tabela1[[#This Row],[Country]],Tabela15[Mixed Team Classification],"&gt;0")</f>
        <v>0</v>
      </c>
      <c r="PQ164" s="6">
        <f>COUNTIFS(Table145[Country],Tabela1[[#This Row],[Country]],Table145[Large Hill Classification],"&gt;0")</f>
        <v>0</v>
      </c>
      <c r="PR164" s="6">
        <f>COUNTIFS(Table145[Country],Tabela1[[#This Row],[Country]],Table145[Normal Hill Classification],"&gt;0")</f>
        <v>0</v>
      </c>
      <c r="PS164" s="6">
        <f>COUNTIFS(Table145148[Country],Tabela1[[#This Row],[Country]],Table145148[Large Hill Classification],"&gt;0")</f>
        <v>0</v>
      </c>
      <c r="PT164" s="6">
        <f>COUNTIFS(Table145148[Country],Tabela1[[#This Row],[Country]],Table145148[Normal Hill Classification],"&gt;0")</f>
        <v>0</v>
      </c>
      <c r="PU164" s="6">
        <f>COUNTIFS(Table148[Country],Tabela1[[#This Row],[Country]],Table148[Men''s Super Team Classification],"&gt;0")</f>
        <v>0</v>
      </c>
      <c r="PV164" s="6">
        <f>COUNTIFS(Tabela114[Country],Tabela1[[#This Row],[Country]],Tabela114[Mixed Normal Hill Classification],"&gt;0")</f>
        <v>0</v>
      </c>
      <c r="PW164" s="6">
        <f>COUNTIFS(Tabela50[Country],Tabela1[[#This Row],[Country]],Tabela50[Sprint Classification],"&gt;0")</f>
        <v>0</v>
      </c>
      <c r="PX164" s="6">
        <f>COUNTIFS(Tabela50101[Country],Tabela1[[#This Row],[Country]],Tabela50101[Sprint Classification],"&gt;0")</f>
        <v>0</v>
      </c>
      <c r="PY164" s="6">
        <f>COUNTIFS(Tabela103[Country],Tabela1[[#This Row],[Country]],Tabela103[Mixed Relay Classification],"&gt;0")</f>
        <v>0</v>
      </c>
      <c r="PZ164" s="6">
        <f>COUNTIFS(Table149[Country],Tabela1[[#This Row],[Country]],Table149[Big Air Classification],"&gt;0")</f>
        <v>0</v>
      </c>
      <c r="QA164" s="6">
        <f>COUNTIFS(Table149152[Country],Tabela1[[#This Row],[Country]],Table149152[Big Air Classification],"&gt;0")</f>
        <v>0</v>
      </c>
      <c r="QB164" s="6">
        <f>COUNTIFS(Table149[Country],Tabela1[[#This Row],[Country]],Table149[Halfpipe Classification],"&gt;0")</f>
        <v>0</v>
      </c>
      <c r="QC164" s="6">
        <f>COUNTIFS(Table149152[Country],Tabela1[[#This Row],[Country]],Table149152[Halfpipe Classification],"&gt;0")</f>
        <v>0</v>
      </c>
      <c r="QD164" s="6">
        <f>COUNTIFS(Table149[Country],Tabela1[[#This Row],[Country]],Table149[Parallel Giant Slalom Classification],"&gt;0")</f>
        <v>0</v>
      </c>
      <c r="QE164" s="6">
        <f>COUNTIFS(Table149152[Country],Tabela1[[#This Row],[Country]],Table149152[Parallel Giant Slalom Classification],"&gt;0")</f>
        <v>0</v>
      </c>
      <c r="QF164" s="6">
        <f>COUNTIFS(Table149[Country],Tabela1[[#This Row],[Country]],Table149[Slopestyle Classification],"&gt;0")</f>
        <v>0</v>
      </c>
      <c r="QG164" s="6">
        <f>COUNTIFS(Table149152[Country],Tabela1[[#This Row],[Country]],Table149152[Slopestyle Classification],"&gt;0")</f>
        <v>0</v>
      </c>
      <c r="QH164" s="6">
        <f>COUNTIFS(Table149[Country],Tabela1[[#This Row],[Country]],Table149[Snowboard Cross Classification],"&gt;0")</f>
        <v>0</v>
      </c>
      <c r="QI164" s="6">
        <f>COUNTIFS(Table149152[Country],Tabela1[[#This Row],[Country]],Table149152[Snowboard Cross Classification],"&gt;0")</f>
        <v>0</v>
      </c>
      <c r="QJ164" s="6">
        <f>COUNTIFS(Table153[Country],Tabela1[[#This Row],[Country]],Table153[Mixed Team Snowboard Cross Classification],"&gt;0")</f>
        <v>0</v>
      </c>
      <c r="QK164" s="6">
        <f>COUNTIFS(Table154[Country],Tabela1[[#This Row],[Country]],Table154[500m Classification],"&gt;0")</f>
        <v>0</v>
      </c>
      <c r="QL164" s="6">
        <f>COUNTIFS(Table154157[Country],Tabela1[[#This Row],[Country]],Table154157[500m Classification],"&gt;0")</f>
        <v>0</v>
      </c>
      <c r="QM164" s="6">
        <f>COUNTIFS(Table154[Country],Tabela1[[#This Row],[Country]],Table154[1000m Classification],"&gt;0")</f>
        <v>0</v>
      </c>
      <c r="QN164" s="6">
        <f>COUNTIFS(Table154157[Country],Tabela1[[#This Row],[Country]],Table154157[1000m Classification],"&gt;0")</f>
        <v>0</v>
      </c>
      <c r="QO164" s="6">
        <f>COUNTIFS(Table154[Country],Tabela1[[#This Row],[Country]],Table154[1500m Classification],"&gt;0")</f>
        <v>0</v>
      </c>
      <c r="QP164" s="6">
        <f>COUNTIFS(Table154157[Country],Tabela1[[#This Row],[Country]],Table154157[1500m Classification],"&gt;0")</f>
        <v>0</v>
      </c>
      <c r="QQ164" s="6">
        <f>COUNTIFS(Table154157[Country],Tabela1[[#This Row],[Country]],Table154157[3000m Classification],"&gt;0")</f>
        <v>0</v>
      </c>
      <c r="QR164" s="6">
        <f>COUNTIFS(Table154[Country],Tabela1[[#This Row],[Country]],Table154[5000m Classification],"&gt;0")</f>
        <v>0</v>
      </c>
      <c r="QS164" s="6">
        <f>COUNTIFS(Table154157[Country],Tabela1[[#This Row],[Country]],Table154157[5000m Classification],"&gt;0")</f>
        <v>0</v>
      </c>
      <c r="QT164" s="6">
        <f>COUNTIFS(Table154[Country],Tabela1[[#This Row],[Country]],Table154[10000m Classification],"&gt;0")</f>
        <v>0</v>
      </c>
      <c r="QU164" s="6">
        <f>COUNTIFS(Table154[Country],Tabela1[[#This Row],[Country]],Table154[Mass Start Classification],"&gt;0")</f>
        <v>0</v>
      </c>
      <c r="QV164" s="6">
        <f>COUNTIFS(Table154157[Country],Tabela1[[#This Row],[Country]],Table154157[Mass Start Classification],"&gt;0")</f>
        <v>0</v>
      </c>
      <c r="QW164" s="6">
        <f>COUNTIFS(Table157[Country],Tabela1[[#This Row],[Country]],Table157[Men''s Pursuit Classification],"&gt;0")</f>
        <v>0</v>
      </c>
      <c r="QX164" s="6">
        <f>COUNTIFS(Table157[Country],Tabela1[[#This Row],[Country]],Table157[Women''s Pursuit Classification],"&gt;0")</f>
        <v>0</v>
      </c>
      <c r="QY164" s="4" t="s">
        <v>503</v>
      </c>
    </row>
    <row r="165" spans="1:467" x14ac:dyDescent="0.3">
      <c r="A165" s="6">
        <v>164</v>
      </c>
      <c r="B165" s="6" t="s">
        <v>510</v>
      </c>
      <c r="C165" t="e" vm="164">
        <f>IF(ISBLANK(Tabela1[[#This Row],[Image Link]]), "", _xlfn.IMAGE(Tabela1[[#This Row],[Image Link]],1,1))</f>
        <v>#VALUE!</v>
      </c>
      <c r="D165" s="6">
        <f>SUM(Tabela1[[#This Row],[Archery - Men''s Individual Recurve]:[Speed Skating - Women''s Team Pursuit]])</f>
        <v>0</v>
      </c>
      <c r="E165" s="6">
        <f>COUNTIF(Tabela1[[#This Row],[Archery - Men''s Individual Recurve]:[Speed Skating - Women''s Team Pursuit]],"&gt;0")</f>
        <v>0</v>
      </c>
      <c r="F165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65" s="6">
        <f>SUM(Tabela1[[#This Row],[Archery - Men''s Individual Recurve]:[Wrestling - Women''s Freestyle 76kg]])</f>
        <v>0</v>
      </c>
      <c r="H165" s="6">
        <f>SUM(Tabela1[[#This Row],[Alpine Skiing - Men''s Downhill]:[Speed Skating - Women''s Team Pursuit]])</f>
        <v>0</v>
      </c>
      <c r="I165" s="6">
        <f>Tabela1[[#This Row],[Summer Gold Medals]]+Tabela1[[#This Row],[Winter Gold Medals]]</f>
        <v>0</v>
      </c>
      <c r="J165" s="6">
        <f>Tabela1[[#This Row],[Summer Silver Medals]]+Tabela1[[#This Row],[Winter Silver Medals]]</f>
        <v>0</v>
      </c>
      <c r="K165" s="6">
        <f>Tabela1[[#This Row],[Summer Bronze Medals]]+Tabela1[[#This Row],[Winter Bronze Medals]]</f>
        <v>0</v>
      </c>
      <c r="L165" s="6">
        <f>SUM(Tabela1[[#This Row],[Total Gold Medals]:[Total Bronze Medals]])</f>
        <v>0</v>
      </c>
      <c r="M165" s="6"/>
      <c r="N165" s="6"/>
      <c r="O165" s="6"/>
      <c r="P165" s="6">
        <f>SUM(Tabela1[[#This Row],[Summer Gold Medals]:[Summer Bronze Medals]])</f>
        <v>0</v>
      </c>
      <c r="Q165" s="6"/>
      <c r="R165" s="6"/>
      <c r="S165" s="6"/>
      <c r="T165" s="6">
        <f>Tabela1[[#This Row],[Winter Gold Medals]]+Tabela1[[#This Row],[Winter Silver Medals]]+Tabela1[[#This Row],[Winter Bronze Medals]]</f>
        <v>0</v>
      </c>
      <c r="U165" s="7" t="e">
        <f>Tabela1[[#This Row],[Total Medals]]/Tabela1[[#This Row],[Total Quotas]]</f>
        <v>#DIV/0!</v>
      </c>
      <c r="V165" s="6">
        <f>COUNTIFS(Table3[Country],Tabela1[[#This Row],[Country]],Table3[Recurve Classification],"&gt;0")</f>
        <v>0</v>
      </c>
      <c r="W165" s="6">
        <f>COUNTIFS(Table33[Country],Tabela1[[#This Row],[Country]],Table33[Recurve Classification],"&gt;0")</f>
        <v>0</v>
      </c>
      <c r="X165" s="6">
        <f>COUNTIFS(Table35[Country],Tabela1[[#This Row],[Country]],Table35[Men''s Team Recurve Classification],"&gt;0")</f>
        <v>0</v>
      </c>
      <c r="Y165" s="6">
        <f>COUNTIFS(Table35[Country],Tabela1[[#This Row],[Country]],Table35[Women''s Team Recurve Classification],"&gt;0")</f>
        <v>0</v>
      </c>
      <c r="Z165" s="6">
        <f>COUNTIFS(Tabela88[Country],Tabela1[[#This Row],[Country]],Tabela88[Mixed Team Recurve Classification],"&gt;0")</f>
        <v>0</v>
      </c>
      <c r="AA165" s="6">
        <f>COUNTIFS(Table36[Country],Tabela1[[#This Row],[Country]],Table36[Classification],"&gt;0")</f>
        <v>0</v>
      </c>
      <c r="AB165" s="6">
        <f>COUNTIFS(Table37[Country],Tabela1[[#This Row],[Country]],Table37[Classification],"&gt;0")</f>
        <v>0</v>
      </c>
      <c r="AC165" s="6">
        <f>COUNTIFS(Table4[Country],Tabela1[[#This Row],[Country]],Table4[100m Classification],"&gt;0")</f>
        <v>0</v>
      </c>
      <c r="AD165" s="6">
        <f>COUNTIFS(Table5[Country],Tabela1[[#This Row],[Country]],Table5[100m Classification],"&gt;0")</f>
        <v>0</v>
      </c>
      <c r="AE165" s="6">
        <f>COUNTIFS(Table4[Country],Tabela1[[#This Row],[Country]],Table4[200m Classification],"&gt;0")</f>
        <v>0</v>
      </c>
      <c r="AF165" s="6">
        <f>COUNTIFS(Table5[Country],Tabela1[[#This Row],[Country]],Table5[200m Classification],"&gt;0")</f>
        <v>0</v>
      </c>
      <c r="AG165" s="6">
        <f>COUNTIFS(Table4[Country],Tabela1[[#This Row],[Country]],Table4[400m Classification],"&gt;0")</f>
        <v>0</v>
      </c>
      <c r="AH165" s="6">
        <f>COUNTIFS(Table5[Country],Tabela1[[#This Row],[Country]],Table5[400m Classification],"&gt;0")</f>
        <v>0</v>
      </c>
      <c r="AI165" s="6">
        <f>COUNTIFS(Table4[Country],Tabela1[[#This Row],[Country]],Table4[800m Classification],"&gt;0")</f>
        <v>0</v>
      </c>
      <c r="AJ165" s="6">
        <f>COUNTIFS(Table5[Country],Tabela1[[#This Row],[Country]],Table5[800m Classification],"&gt;0")</f>
        <v>0</v>
      </c>
      <c r="AK165" s="6">
        <f>COUNTIFS(Table4[Country],Tabela1[[#This Row],[Country]],Table4[1500m Classification],"&gt;0")</f>
        <v>0</v>
      </c>
      <c r="AL165" s="6">
        <f>COUNTIFS(Table5[Country],Tabela1[[#This Row],[Country]],Table5[1500m Classification],"&gt;0")</f>
        <v>0</v>
      </c>
      <c r="AM165" s="6">
        <f>COUNTIFS(Table4[Country],Tabela1[[#This Row],[Country]],Table4[5000m Classification],"&gt;0")</f>
        <v>0</v>
      </c>
      <c r="AN165" s="6">
        <f>COUNTIFS(Table5[Country],Tabela1[[#This Row],[Country]],Table5[5000m Classification],"&gt;0")</f>
        <v>0</v>
      </c>
      <c r="AO165" s="6">
        <f>COUNTIFS(Table4[Country],Tabela1[[#This Row],[Country]],Table4[10000m Classification],"&gt;0")</f>
        <v>0</v>
      </c>
      <c r="AP165" s="6">
        <f>COUNTIFS(Table5[Country],Tabela1[[#This Row],[Country]],Table5[10000m Classification],"&gt;0")</f>
        <v>0</v>
      </c>
      <c r="AQ165" s="6">
        <f>COUNTIFS(Table4[Country],Tabela1[[#This Row],[Country]],Table4[110m Hurdles Classification],"&gt;0")</f>
        <v>0</v>
      </c>
      <c r="AR165" s="6">
        <f>COUNTIFS(Table5[Country],Tabela1[[#This Row],[Country]],Table5[100m Hurdles Classification],"&gt;0")</f>
        <v>0</v>
      </c>
      <c r="AS165" s="6">
        <f>COUNTIFS(Table4[Country],Tabela1[[#This Row],[Country]],Table4[400m Hurdles Classification],"&gt;0")</f>
        <v>0</v>
      </c>
      <c r="AT165" s="6">
        <f>COUNTIFS(Table5[Country],Tabela1[[#This Row],[Country]],Table5[400m Hurdles Classification],"&gt;0")</f>
        <v>0</v>
      </c>
      <c r="AU165" s="6">
        <f>COUNTIFS(Table4[Country],Tabela1[[#This Row],[Country]],Table4[3000m Steeplechase Classification],"&gt;0")</f>
        <v>0</v>
      </c>
      <c r="AV165" s="6">
        <f>COUNTIFS(Table5[Country],Tabela1[[#This Row],[Country]],Table5[3000m Steeplechase Classification],"&gt;0")</f>
        <v>0</v>
      </c>
      <c r="AW165" s="6">
        <f>COUNTIFS(Table27[Country],Tabela1[[#This Row],[Country]],Table27[Men''s 4x100m Relay Classification],"&gt;0")</f>
        <v>0</v>
      </c>
      <c r="AX165" s="6">
        <f>COUNTIFS(Table27[Country],Tabela1[[#This Row],[Country]],Table27[Women''s 4x100m Relay Classification],"&gt;0")</f>
        <v>0</v>
      </c>
      <c r="AY165" s="6">
        <f>COUNTIFS(Table27[Country],Tabela1[[#This Row],[Country]],Table27[Men''s 4x400m Relay Classification],"&gt;0")</f>
        <v>0</v>
      </c>
      <c r="AZ165" s="6">
        <f>COUNTIFS(Table27[Country],Tabela1[[#This Row],[Country]],Table27[Women''s 4x400m Relay Classification],"&gt;0")</f>
        <v>0</v>
      </c>
      <c r="BA165" s="6">
        <f>COUNTIFS(Table27[Country],Tabela1[[#This Row],[Country]],Table27[Mixed 4x400m Relay Classification],"&gt;0")</f>
        <v>0</v>
      </c>
      <c r="BB165" s="6">
        <f>COUNTIFS(Table4[Country],Tabela1[[#This Row],[Country]],Table4[Marathon Classification],"&gt;0")</f>
        <v>0</v>
      </c>
      <c r="BC165" s="6">
        <f>COUNTIFS(Table5[Country],Tabela1[[#This Row],[Country]],Table5[Marathon Classification],"&gt;0")</f>
        <v>0</v>
      </c>
      <c r="BD165" s="6">
        <f>COUNTIFS(Table4[Country],Tabela1[[#This Row],[Country]],Table4[20km Race Walk Classification],"&gt;0")</f>
        <v>0</v>
      </c>
      <c r="BE165" s="6">
        <f>COUNTIFS(Table5[Country],Tabela1[[#This Row],[Country]],Table5[20km Race Walk Classification],"&gt;0")</f>
        <v>0</v>
      </c>
      <c r="BF165" s="6">
        <f>COUNTIFS(Tabela96[Country],Tabela1[[#This Row],[Country]],Tabela96[Mixed Marathon Race Walk Relay Classification],"&gt;0")</f>
        <v>0</v>
      </c>
      <c r="BG165" s="6">
        <f>COUNTIFS(Table4[Country],Tabela1[[#This Row],[Country]],Table4[Discus Throw Classification],"&gt;0")</f>
        <v>0</v>
      </c>
      <c r="BH165" s="6">
        <f>COUNTIFS(Table5[Country],Tabela1[[#This Row],[Country]],Table5[Discus Throw Classification],"&gt;0")</f>
        <v>0</v>
      </c>
      <c r="BI165" s="6">
        <f>COUNTIFS(Table4[Country],Tabela1[[#This Row],[Country]],Table4[Hammer Throw Classification],"&gt;0")</f>
        <v>0</v>
      </c>
      <c r="BJ165" s="6">
        <f>COUNTIFS(Table5[Country],Tabela1[[#This Row],[Country]],Table5[Hammer Throw Classification],"&gt;0")</f>
        <v>0</v>
      </c>
      <c r="BK165" s="6">
        <f>COUNTIFS(Table4[Country],Tabela1[[#This Row],[Country]],Table4[High Jump Classification],"&gt;0")</f>
        <v>0</v>
      </c>
      <c r="BL165" s="6">
        <f>COUNTIFS(Table5[Country],Tabela1[[#This Row],[Country]],Table5[High Jump Classification],"&gt;0")</f>
        <v>0</v>
      </c>
      <c r="BM165" s="6">
        <f>COUNTIFS(Table4[Country],Tabela1[[#This Row],[Country]],Table4[Javelin Throw Classification],"&gt;0")</f>
        <v>0</v>
      </c>
      <c r="BN165" s="6">
        <f>COUNTIFS(Table5[Country],Tabela1[[#This Row],[Country]],Table5[Javelin Throw Classification],"&gt;0")</f>
        <v>0</v>
      </c>
      <c r="BO165" s="6">
        <f>COUNTIFS(Table4[Country],Tabela1[[#This Row],[Country]],Table4[Long Jump Classification],"&gt;0")</f>
        <v>0</v>
      </c>
      <c r="BP165" s="6">
        <f>COUNTIFS(Table5[Country],Tabela1[[#This Row],[Country]],Table5[Long Jump Classification],"&gt;0")</f>
        <v>0</v>
      </c>
      <c r="BQ165" s="6">
        <f>COUNTIFS(Table4[Country],Tabela1[[#This Row],[Country]],Table4[Pole Vault Classification],"&gt;0")</f>
        <v>0</v>
      </c>
      <c r="BR165" s="6">
        <f>COUNTIFS(Table5[Country],Tabela1[[#This Row],[Country]],Table5[Pole Vault Classification],"&gt;0")</f>
        <v>0</v>
      </c>
      <c r="BS165" s="6">
        <f>COUNTIFS(Table4[Country],Tabela1[[#This Row],[Country]],Table4[Shot Put Classification],"&gt;0")</f>
        <v>0</v>
      </c>
      <c r="BT165" s="6">
        <f>COUNTIFS(Table5[Country],Tabela1[[#This Row],[Country]],Table5[Shot Put Classification],"&gt;0")</f>
        <v>0</v>
      </c>
      <c r="BU165" s="6">
        <f>COUNTIFS(Table4[Country],Tabela1[[#This Row],[Country]],Table4[Triple Jump Classification],"&gt;0")</f>
        <v>0</v>
      </c>
      <c r="BV165" s="6">
        <f>COUNTIFS(Table5[Country],Tabela1[[#This Row],[Country]],Table5[Triple Jump Classification],"&gt;0")</f>
        <v>0</v>
      </c>
      <c r="BW165" s="6">
        <f>COUNTIFS(Table4[Country],Tabela1[[#This Row],[Country]],Table4[Decathlon Classification],"&gt;0")</f>
        <v>0</v>
      </c>
      <c r="BX165" s="6">
        <f>COUNTIFS(Table5[Country],Tabela1[[#This Row],[Country]],Table5[Heptathlon Classification],"&gt;0")</f>
        <v>0</v>
      </c>
      <c r="BY165" s="6">
        <f>COUNTIFS(Table61[Country],Tabela1[[#This Row],[Country]],Table61[Classification],"&gt;0")</f>
        <v>0</v>
      </c>
      <c r="BZ165" s="6">
        <f>COUNTIFS(Table38[Country],Tabela1[[#This Row],[Country]],Table38[Classification],"&gt;0")</f>
        <v>0</v>
      </c>
      <c r="CA165" s="6">
        <f>COUNTIFS(Table39[Country],Tabela1[[#This Row],[Country]],Table39[Men''s Classification],"&gt;0")</f>
        <v>0</v>
      </c>
      <c r="CB165" s="6">
        <f>COUNTIFS(Table39[Country],Tabela1[[#This Row],[Country]],Table39[Women''s Classification],"&gt;0")</f>
        <v>0</v>
      </c>
      <c r="CC165" s="6">
        <f>COUNTIFS(Table39[Country],Tabela1[[#This Row],[Country]],Table39[Mixed Classification],"&gt;0")</f>
        <v>0</v>
      </c>
      <c r="CD165" s="6">
        <f>COUNTIFS(Table89[Country],Tabela1[[#This Row],[Country]],Table89[Men''s Classification],"&gt;0")</f>
        <v>0</v>
      </c>
      <c r="CE165" s="6">
        <f>COUNTIFS(Table89[Country],Tabela1[[#This Row],[Country]],Table89[Women''s Classification],"&gt;0")</f>
        <v>0</v>
      </c>
      <c r="CF165" s="6">
        <f>COUNTIFS(Table90[Country],Tabela1[[#This Row],[Country]],Table90[Men''s Classification],"&gt;0")</f>
        <v>0</v>
      </c>
      <c r="CG165" s="6">
        <f>COUNTIFS(Table90[Country],Tabela1[[#This Row],[Country]],Table90[Women''s Classification],"&gt;0")</f>
        <v>0</v>
      </c>
      <c r="CH165" s="6">
        <f>COUNTIFS(Table60[Country],Tabela1[[#This Row],[Country]],Table60[Men''s Classification],"&gt;0")</f>
        <v>0</v>
      </c>
      <c r="CI165" s="6">
        <f>COUNTIFS(Table60[Country],Tabela1[[#This Row],[Country]],Table60[Women''s Classification],"&gt;0")</f>
        <v>0</v>
      </c>
      <c r="CJ165" s="6">
        <f>COUNTIFS(Table6[Country],Tabela1[[#This Row],[Country]],Table6[51kg Classification],"&gt;0")</f>
        <v>0</v>
      </c>
      <c r="CK165" s="6">
        <f>COUNTIFS(Table6[Country],Tabela1[[#This Row],[Country]],Table6[57kg Classification],"&gt;0")</f>
        <v>0</v>
      </c>
      <c r="CL165" s="6">
        <f>COUNTIFS(Table6[Country],Tabela1[[#This Row],[Country]],Table6[63.5kg Classification],"&gt;0")</f>
        <v>0</v>
      </c>
      <c r="CM165" s="6">
        <f>COUNTIFS(Table6[Country],Tabela1[[#This Row],[Country]],Table6[71kg Classification],"&gt;0")</f>
        <v>0</v>
      </c>
      <c r="CN165" s="6">
        <f>COUNTIFS(Table6[Country],Tabela1[[#This Row],[Country]],Table6[80kg Classification],"&gt;0")</f>
        <v>0</v>
      </c>
      <c r="CO165" s="6">
        <f>COUNTIFS(Table6[Country],Tabela1[[#This Row],[Country]],Table6[92kg Classification],"&gt;0")</f>
        <v>0</v>
      </c>
      <c r="CP165" s="6">
        <f>COUNTIFS(Table6[Country],Tabela1[[#This Row],[Country]],Table6[Plus 92kg Classification],"&gt;0")</f>
        <v>0</v>
      </c>
      <c r="CQ165" s="6">
        <f>COUNTIFS(Table7[Country],Tabela1[[#This Row],[Country]],Table7[50kg Classification],"&gt;0")</f>
        <v>0</v>
      </c>
      <c r="CR165" s="6">
        <f>COUNTIFS(Table7[Country],Tabela1[[#This Row],[Country]],Table7[54kg Classification],"&gt;0")</f>
        <v>0</v>
      </c>
      <c r="CS165" s="6">
        <f>COUNTIFS(Table7[Country],Tabela1[[#This Row],[Country]],Table7[57kg Classification],"&gt;0")</f>
        <v>0</v>
      </c>
      <c r="CT165" s="6">
        <f>COUNTIFS(Table7[Country],Tabela1[[#This Row],[Country]],Table7[60kg Classification],"&gt;0")</f>
        <v>0</v>
      </c>
      <c r="CU165" s="6">
        <f>COUNTIFS(Table7[Country],Tabela1[[#This Row],[Country]],Table7[66kg Classification],"&gt;0")</f>
        <v>0</v>
      </c>
      <c r="CV165" s="6">
        <f>COUNTIFS(Table7[Country],Tabela1[[#This Row],[Country]],Table7[75kg Classification],"&gt;0")</f>
        <v>0</v>
      </c>
      <c r="CW165" s="6">
        <f>COUNTIFS(Tabela94[Country],Tabela1[[#This Row],[Country]],Tabela94[Classification],"&gt;0")</f>
        <v>0</v>
      </c>
      <c r="CX165" s="6">
        <f>COUNTIFS(Tabela9499[Country],Tabela1[[#This Row],[Country]],Tabela9499[Classification],"&gt;0")</f>
        <v>0</v>
      </c>
      <c r="CY165" s="6">
        <f>COUNTIFS(Tabela107[Country],Tabela1[[#This Row],[Country]],Tabela107[C1 Slalom Classification],"&gt;0")</f>
        <v>0</v>
      </c>
      <c r="CZ165" s="6">
        <f>COUNTIFS(Tabela107122[Country],Tabela1[[#This Row],[Country]],Tabela107122[C1 Slalom Classification],"&gt;0")</f>
        <v>0</v>
      </c>
      <c r="DA165" s="6">
        <f>COUNTIFS(Tabela107[Country],Tabela1[[#This Row],[Country]],Tabela107[K1 Slalom Classification],"&gt;0")</f>
        <v>0</v>
      </c>
      <c r="DB165" s="6">
        <f>COUNTIFS(Tabela107122[Country],Tabela1[[#This Row],[Country]],Tabela107122[K1 Slalom Classification],"&gt;0")</f>
        <v>0</v>
      </c>
      <c r="DC165" s="6">
        <f>COUNTIFS(Tabela107[Country],Tabela1[[#This Row],[Country]],Tabela107[Kayak Cross Slalom Classification],"&gt;0")</f>
        <v>0</v>
      </c>
      <c r="DD165" s="6">
        <f>COUNTIFS(Tabela107122[Country],Tabela1[[#This Row],[Country]],Tabela107122[Kayak Cross Slalom Classification],"&gt;0")</f>
        <v>0</v>
      </c>
      <c r="DE165" s="6">
        <f>COUNTIFS(Table8[Country],Tabela1[[#This Row],[Country]],Table8[C1 200m Classification],"&gt;0")</f>
        <v>0</v>
      </c>
      <c r="DF165" s="6">
        <f>COUNTIFS(Table40[Country],Tabela1[[#This Row],[Country]],Table40[C1 1000m Classification],"&gt;0")</f>
        <v>0</v>
      </c>
      <c r="DG165" s="6">
        <f>COUNTIFS(Table68[Country],Tabela1[[#This Row],[Country]],Table68[Men''s C2 500m Classification],"&gt;0")</f>
        <v>0</v>
      </c>
      <c r="DH165" s="6">
        <f>COUNTIFS(Table68[Country],Tabela1[[#This Row],[Country]],Table68[Women''s C2 500m Classification],"&gt;0")</f>
        <v>0</v>
      </c>
      <c r="DI165" s="6">
        <f>COUNTIFS(Table8[Country],Tabela1[[#This Row],[Country]],Table8[K1 500m Classification],"&gt;0")</f>
        <v>0</v>
      </c>
      <c r="DJ165" s="6">
        <f>COUNTIFS(Table40[Country],Tabela1[[#This Row],[Country]],Table40[K1 1000m Classification],"&gt;0")</f>
        <v>0</v>
      </c>
      <c r="DK165" s="6">
        <f>COUNTIFS(Table68[Country],Tabela1[[#This Row],[Country]],Table68[Men''s K2 500m Classification],"&gt;0")</f>
        <v>0</v>
      </c>
      <c r="DL165" s="6">
        <f>COUNTIFS(Table68[Country],Tabela1[[#This Row],[Country]],Table68[Women''s K2 500m Classification],"&gt;0")</f>
        <v>0</v>
      </c>
      <c r="DM165" s="6">
        <f>COUNTIFS(Table83[Country],Tabela1[[#This Row],[Country]],Table83[Men''s K4 500m Classification],"&gt;0")</f>
        <v>0</v>
      </c>
      <c r="DN165" s="6">
        <f>COUNTIFS(Table83[Country],Tabela1[[#This Row],[Country]],Table83[Women''s K4 500m Classification],"&gt;0")</f>
        <v>0</v>
      </c>
      <c r="DO165" s="6">
        <f>COUNTIFS(Tabela126[Country],Tabela1[[#This Row],[Country]],Tabela126[Classification],"&gt;0")</f>
        <v>0</v>
      </c>
      <c r="DP165" s="6">
        <f>COUNTIFS(Tabela126130[Country],Tabela1[[#This Row],[Country]],Tabela126130[Classification],"&gt;0")</f>
        <v>0</v>
      </c>
      <c r="DQ165" s="6">
        <f>COUNTIFS(Table70[Country],Tabela1[[#This Row],[Country]],Table70[Classification],"&gt;0")</f>
        <v>0</v>
      </c>
      <c r="DR165" s="6">
        <f>COUNTIFS(Table80[Country],Tabela1[[#This Row],[Country]],Table80[Classification],"&gt;0")</f>
        <v>0</v>
      </c>
      <c r="DS165" s="6">
        <f>COUNTIFS(Table66[Country],Tabela1[[#This Row],[Country]],Table66[Classification],"&gt;0")</f>
        <v>0</v>
      </c>
      <c r="DT165" s="6">
        <f>COUNTIFS(Table67[Country],Tabela1[[#This Row],[Country]],Table67[Classification],"&gt;0")</f>
        <v>0</v>
      </c>
      <c r="DU165" s="6">
        <f>COUNTIFS(Table69[Country],Tabela1[[#This Row],[Country]],Table69[Keirin Classification],"&gt;0")</f>
        <v>0</v>
      </c>
      <c r="DV165" s="6">
        <f>COUNTIFS(Table41[Country],Tabela1[[#This Row],[Country]],Table41[Keirin Classification],"&gt;0")</f>
        <v>0</v>
      </c>
      <c r="DW165" s="6">
        <f>COUNTIFS(Table84[Country],Tabela1[[#This Row],[Country]],Table84[Men''s Madison Classification],"&gt;0")</f>
        <v>0</v>
      </c>
      <c r="DX165" s="6">
        <f>COUNTIFS(Table84[Country],Tabela1[[#This Row],[Country]],Table84[Women''s Madison Classification],"&gt;0")</f>
        <v>0</v>
      </c>
      <c r="DY165" s="6">
        <f>COUNTIFS(Table69[Country],Tabela1[[#This Row],[Country]],Table69[Omnium Classification],"&gt;0")</f>
        <v>0</v>
      </c>
      <c r="DZ165" s="6">
        <f>COUNTIFS(Table41[Country],Tabela1[[#This Row],[Country]],Table41[Omnium Classification],"&gt;0")</f>
        <v>0</v>
      </c>
      <c r="EA165" s="6">
        <f>COUNTIFS(Table9[Country],Tabela1[[#This Row],[Country]],Table9[Road Race Classification],"&gt;0")</f>
        <v>0</v>
      </c>
      <c r="EB165" s="6">
        <f>COUNTIFS(Table14[Country],Tabela1[[#This Row],[Country]],Table14[Road Race Classification],"&gt;0")</f>
        <v>0</v>
      </c>
      <c r="EC165" s="6">
        <f>COUNTIFS(Table69[Country],Tabela1[[#This Row],[Country]],Table69[Sprint Classification],"&gt;0")</f>
        <v>0</v>
      </c>
      <c r="ED165" s="6">
        <f>COUNTIFS(Table41[Country],Tabela1[[#This Row],[Country]],Table41[Sprint Classification],"&gt;0")</f>
        <v>0</v>
      </c>
      <c r="EE165" s="6">
        <f>COUNTIFS(Table85[Country],Tabela1[[#This Row],[Country]],Table85[Men''s Sprint Classification],"&gt;0")</f>
        <v>0</v>
      </c>
      <c r="EF165" s="6">
        <f>COUNTIFS(Table85[Country],Tabela1[[#This Row],[Country]],Table85[Women''s Sprint Classification],"&gt;0")</f>
        <v>0</v>
      </c>
      <c r="EG165" s="6">
        <f>COUNTIFS(Table85[Country],Tabela1[[#This Row],[Country]],Table85[Men''s Pursuit Classification],"&gt;0")</f>
        <v>0</v>
      </c>
      <c r="EH165" s="6">
        <f>COUNTIFS(Table85[Country],Tabela1[[#This Row],[Country]],Table85[Women''s Pursuit Classification],"&gt;0")</f>
        <v>0</v>
      </c>
      <c r="EI165" s="6">
        <f>COUNTIFS(Table9[Country],Tabela1[[#This Row],[Country]],Table9[Time-Trial Classification],"&gt;0")</f>
        <v>0</v>
      </c>
      <c r="EJ165" s="6">
        <f>COUNTIFS(Table14[Country],Tabela1[[#This Row],[Country]],Table14[Time-Trial Classification],"&gt;0")</f>
        <v>0</v>
      </c>
      <c r="EK165" s="6">
        <f>COUNTIFS(Table42[Country],Tabela1[[#This Row],[Country]],Table42[Springboard Classification],"&gt;0")</f>
        <v>0</v>
      </c>
      <c r="EL165" s="6">
        <f>COUNTIFS(Table43[Country],Tabela1[[#This Row],[Country]],Table43[Springboard Classification],"&gt;0")</f>
        <v>0</v>
      </c>
      <c r="EM165" s="6">
        <f>COUNTIFS(Table42[Country],Tabela1[[#This Row],[Country]],Table42[Platform Classification],"&gt;0")</f>
        <v>0</v>
      </c>
      <c r="EN165" s="6">
        <f>COUNTIFS(Table43[Country],Tabela1[[#This Row],[Country]],Table43[Platform Classification],"&gt;0")</f>
        <v>0</v>
      </c>
      <c r="EO165" s="6">
        <f>COUNTIFS(Table86[Country],Tabela1[[#This Row],[Country]],Table86[Men''s Synchronized Springboard Classification],"&gt;0")</f>
        <v>0</v>
      </c>
      <c r="EP165" s="6">
        <f>COUNTIFS(Table86[Country],Tabela1[[#This Row],[Country]],Table86[Women''s Synchronized Springboard Classification],"&gt;0")</f>
        <v>0</v>
      </c>
      <c r="EQ165" s="6">
        <f>COUNTIFS(Table86[Country],Tabela1[[#This Row],[Country]],Table86[Men''s Synchronized Platform Classification],"&gt;0")</f>
        <v>0</v>
      </c>
      <c r="ER165" s="6">
        <f>COUNTIFS(Table86[Country],Tabela1[[#This Row],[Country]],Table86[Women''s Synchronized Platform Classification],"&gt;0")</f>
        <v>0</v>
      </c>
      <c r="ES165" s="6">
        <f>COUNTIFS(Table44[Country],Tabela1[[#This Row],[Country]],Table44[Dressage Classification],"&gt;0")</f>
        <v>0</v>
      </c>
      <c r="ET165" s="6">
        <f>COUNTIFS(Table45[Country],Tabela1[[#This Row],[Country]],Table45[Dressage Classification],"&gt;0")</f>
        <v>0</v>
      </c>
      <c r="EU165" s="6">
        <f>COUNTIFS(Table44[Country],Tabela1[[#This Row],[Country]],Table44[Eventing Classification],"&gt;0")</f>
        <v>0</v>
      </c>
      <c r="EV165" s="6">
        <f>COUNTIFS(Table45[Country],Tabela1[[#This Row],[Country]],Table45[Eventing Classification],"&gt;0")</f>
        <v>0</v>
      </c>
      <c r="EW165" s="6">
        <f>COUNTIFS(Table44[Country],Tabela1[[#This Row],[Country]],Table44[Jumping Classification],"&gt;0")</f>
        <v>0</v>
      </c>
      <c r="EX165" s="6">
        <f>COUNTIFS(Table45[Country],Tabela1[[#This Row],[Country]],Table45[Jumping Classification],"&gt;0")</f>
        <v>0</v>
      </c>
      <c r="EY165" s="6">
        <f>COUNTIFS(Table10[Country],Tabela1[[#This Row],[Country]],Table10[Épée Classification],"&gt;0")</f>
        <v>0</v>
      </c>
      <c r="EZ165" s="6">
        <f>COUNTIFS(Table11[Country],Tabela1[[#This Row],[Country]],Table11[Épée Classification],"&gt;0")</f>
        <v>0</v>
      </c>
      <c r="FA165" s="6">
        <f>COUNTIFS(Table46[Country],Tabela1[[#This Row],[Country]],Table46[Men''s Épée Classification],"&gt;0")</f>
        <v>0</v>
      </c>
      <c r="FB165" s="6">
        <f>COUNTIFS(Table46[Country],Tabela1[[#This Row],[Country]],Table46[Women''s Épée Classification],"&gt;0")</f>
        <v>0</v>
      </c>
      <c r="FC165" s="6">
        <f>COUNTIFS(Table10[Country],Tabela1[[#This Row],[Country]],Table10[Foil Classification],"&gt;0")</f>
        <v>0</v>
      </c>
      <c r="FD165" s="6">
        <f>COUNTIFS(Table11[Country],Tabela1[[#This Row],[Country]],Table11[Foil Classification],"&gt;0")</f>
        <v>0</v>
      </c>
      <c r="FE165" s="6">
        <f>COUNTIFS(Table46[Country],Tabela1[[#This Row],[Country]],Table46[Men''s Foil Classification],"&gt;0")</f>
        <v>0</v>
      </c>
      <c r="FF165" s="6">
        <f>COUNTIFS(Table46[Country],Tabela1[[#This Row],[Country]],Table46[Women''s Foil Classification],"&gt;0")</f>
        <v>0</v>
      </c>
      <c r="FG165" s="6">
        <f>COUNTIFS(Table10[Country],Tabela1[[#This Row],[Country]],Table10[Sabre Classification],"&gt;0")</f>
        <v>0</v>
      </c>
      <c r="FH165" s="6">
        <f>COUNTIFS(Table11[Country],Tabela1[[#This Row],[Country]],Table11[Sabre Classification],"&gt;0")</f>
        <v>0</v>
      </c>
      <c r="FI165" s="6">
        <f>COUNTIFS(Table46[Country],Tabela1[[#This Row],[Country]],Table46[Men''s Sabre Classification],"&gt;0")</f>
        <v>0</v>
      </c>
      <c r="FJ165" s="6">
        <f>COUNTIFS(Table46[Country],Tabela1[[#This Row],[Country]],Table46[Women''s Sabre Classification],"&gt;0")</f>
        <v>0</v>
      </c>
      <c r="FK165" s="6">
        <f>COUNTIFS(Table91[Country],Tabela1[[#This Row],[Country]],Table91[Men''s Classification],"&gt;0")</f>
        <v>0</v>
      </c>
      <c r="FL165" s="6">
        <f>COUNTIFS(Table91[Country],Tabela1[[#This Row],[Country]],Table91[Women''s Classification],"&gt;0")</f>
        <v>0</v>
      </c>
      <c r="FM165" s="6">
        <f>COUNTIFS(Table9194[Country],Tabela1[[#This Row],[Country]],Table9194[Men''s Classification],"&gt;0")</f>
        <v>0</v>
      </c>
      <c r="FN165" s="6">
        <f>COUNTIFS(Table9194[Country],Tabela1[[#This Row],[Country]],Table9194[Women''s Classification],"&gt;0")</f>
        <v>0</v>
      </c>
      <c r="FO165" s="6">
        <f>COUNTIFS(Table71[Country],Tabela1[[#This Row],[Country]],Table71[Classification],"&gt;0")</f>
        <v>0</v>
      </c>
      <c r="FP165" s="6">
        <f>COUNTIFS(Table62[Country],Tabela1[[#This Row],[Country]],Table62[Classification],"&gt;0")</f>
        <v>0</v>
      </c>
      <c r="FQ165" s="6">
        <f>COUNTIFS(Table47[Country],Tabela1[[#This Row],[Country]],Table47[All-Around Classification],"&gt;0")</f>
        <v>0</v>
      </c>
      <c r="FR165" s="6">
        <f>COUNTIFS(Table48[Country],Tabela1[[#This Row],[Country]],Table48[All-Around Classification],"&gt;0")</f>
        <v>0</v>
      </c>
      <c r="FS165" s="6">
        <f>COUNTIFS(Table81[Country],Tabela1[[#This Row],[Country]],Table81[Men''s All-Around Classification],"&gt;0")</f>
        <v>0</v>
      </c>
      <c r="FT165" s="6">
        <f>COUNTIFS(Table81[Country],Tabela1[[#This Row],[Country]],Table81[Women''s All-Around Classification],"&gt;0")</f>
        <v>0</v>
      </c>
      <c r="FU165" s="6">
        <f>COUNTIFS(Table48[Country],Tabela1[[#This Row],[Country]],Table48[Balance Beam Classification],"&gt;0")</f>
        <v>0</v>
      </c>
      <c r="FV165" s="6">
        <f>COUNTIFS(Table47[Country],Tabela1[[#This Row],[Country]],Table47[Floor Exercise Classification],"&gt;0")</f>
        <v>0</v>
      </c>
      <c r="FW165" s="6">
        <f>COUNTIFS(Table48[Country],Tabela1[[#This Row],[Country]],Table48[Floor Exercise Classification],"&gt;0")</f>
        <v>0</v>
      </c>
      <c r="FX165" s="6">
        <f>COUNTIFS(Table47[Country],Tabela1[[#This Row],[Country]],Table47[Horizontal Bar Classification],"&gt;0")</f>
        <v>0</v>
      </c>
      <c r="FY165" s="6">
        <f>COUNTIFS(Table47[Country],Tabela1[[#This Row],[Country]],Table47[Parallel Bars Classification],"&gt;0")</f>
        <v>0</v>
      </c>
      <c r="FZ165" s="6">
        <f>COUNTIFS(Table47[Country],Tabela1[[#This Row],[Country]],Table47[Pommel Horse Classification],"&gt;0")</f>
        <v>0</v>
      </c>
      <c r="GA165" s="6">
        <f>COUNTIFS(Table47[Country],Tabela1[[#This Row],[Country]],Table47[Rings Classification],"&gt;0")</f>
        <v>0</v>
      </c>
      <c r="GB165" s="6">
        <f>COUNTIFS(Tabela132[Country],Tabela1[[#This Row],[Country]],Tabela132[Classification],"&gt;0")</f>
        <v>0</v>
      </c>
      <c r="GC165" s="6">
        <f>COUNTIFS(Tabela139[Country],Tabela1[[#This Row],[Country]],Tabela139[Classification],"&gt;0")</f>
        <v>0</v>
      </c>
      <c r="GD165" s="6">
        <f>COUNTIFS(Table48[Country],Tabela1[[#This Row],[Country]],Table48[Uneven Bars Classification],"&gt;0")</f>
        <v>0</v>
      </c>
      <c r="GE165" s="6">
        <f>COUNTIFS(Table47[Country],Tabela1[[#This Row],[Country]],Table47[Vault Classification],"&gt;0")</f>
        <v>0</v>
      </c>
      <c r="GF165" s="6">
        <f>COUNTIFS(Table48[Country],Tabela1[[#This Row],[Country]],Table48[Vault Classification],"&gt;0")</f>
        <v>0</v>
      </c>
      <c r="GG165" s="6">
        <f>COUNTIFS(Table919496[Country],Tabela1[[#This Row],[Country]],Table919496[Men''s Classification],"&gt;0")</f>
        <v>0</v>
      </c>
      <c r="GH165" s="6">
        <f>COUNTIFS(Table919496[Country],Tabela1[[#This Row],[Country]],Table919496[Women''s Classification],"&gt;0")</f>
        <v>0</v>
      </c>
      <c r="GI165" s="6">
        <f>COUNTIFS(Table12[Country],Tabela1[[#This Row],[Country]],Table12[60kg Classification],"&gt;0")</f>
        <v>0</v>
      </c>
      <c r="GJ165" s="6">
        <f>COUNTIFS(Table12[Country],Tabela1[[#This Row],[Country]],Table12[66kg Classification],"&gt;0")</f>
        <v>0</v>
      </c>
      <c r="GK165" s="6">
        <f>COUNTIFS(Table12[Country],Tabela1[[#This Row],[Country]],Table12[73kg Classification],"&gt;0")</f>
        <v>0</v>
      </c>
      <c r="GL165" s="6">
        <f>COUNTIFS(Table12[Country],Tabela1[[#This Row],[Country]],Table12[81kg Classification],"&gt;0")</f>
        <v>0</v>
      </c>
      <c r="GM165" s="6">
        <f>COUNTIFS(Table12[Country],Tabela1[[#This Row],[Country]],Table12[90kg Classification],"&gt;0")</f>
        <v>0</v>
      </c>
      <c r="GN165" s="6">
        <f>COUNTIFS(Table12[Country],Tabela1[[#This Row],[Country]],Table12[100kg Classification],"&gt;0")</f>
        <v>0</v>
      </c>
      <c r="GO165" s="6">
        <f>COUNTIFS(Table12[Country],Tabela1[[#This Row],[Country]],Table12[Plus 100kg Classification],"&gt;0")</f>
        <v>0</v>
      </c>
      <c r="GP165" s="6">
        <f>COUNTIFS(Table13[Country],Tabela1[[#This Row],[Country]],Table13[48kg Classification],"&gt;0")</f>
        <v>0</v>
      </c>
      <c r="GQ165" s="6">
        <f>COUNTIFS(Table13[Country],Tabela1[[#This Row],[Country]],Table13[52kg Classification],"&gt;0")</f>
        <v>0</v>
      </c>
      <c r="GR165" s="6">
        <f>COUNTIFS(Table13[Country],Tabela1[[#This Row],[Country]],Table13[57kg Classification],"&gt;0")</f>
        <v>0</v>
      </c>
      <c r="GS165" s="6">
        <f>COUNTIFS(Table13[Country],Tabela1[[#This Row],[Country]],Table13[63kg Classification],"&gt;0")</f>
        <v>0</v>
      </c>
      <c r="GT165" s="6">
        <f>COUNTIFS(Table13[Country],Tabela1[[#This Row],[Country]],Table13[70kg Classification],"&gt;0")</f>
        <v>0</v>
      </c>
      <c r="GU165" s="6">
        <f>COUNTIFS(Table13[Country],Tabela1[[#This Row],[Country]],Table13[78kg Classification],"&gt;0")</f>
        <v>0</v>
      </c>
      <c r="GV165" s="6">
        <f>COUNTIFS(Table13[Country],Tabela1[[#This Row],[Country]],Table13[Plus 78kg Classification],"&gt;0")</f>
        <v>0</v>
      </c>
      <c r="GW165" s="6">
        <f>COUNTIFS(Table82[Country],Tabela1[[#This Row],[Country]],Table82[Mixed Classification],"&gt;0")</f>
        <v>0</v>
      </c>
      <c r="GX165" s="6">
        <f>COUNTIFS(Table51[Country],Tabela1[[#This Row],[Country]],Table51[Classification],"&gt;0")</f>
        <v>0</v>
      </c>
      <c r="GY165" s="6">
        <f>COUNTIFS(Table52[Country],Tabela1[[#This Row],[Country]],Table52[Classification],"&gt;0")</f>
        <v>0</v>
      </c>
      <c r="GZ165" s="6">
        <f>COUNTIFS(Table32[Country],Tabela1[[#This Row],[Country]],Table32[All-Around Classification],"&gt;0")</f>
        <v>0</v>
      </c>
      <c r="HA165" s="6">
        <f>COUNTIFS(Table49[Country],Tabela1[[#This Row],[Country]],Table49[All-Around Classification],"&gt;0")</f>
        <v>0</v>
      </c>
      <c r="HB165" s="6">
        <f>COUNTIFS(Table26[Country],Tabela1[[#This Row],[Country]],Table26[Single Sculls Classification],"&gt;0")</f>
        <v>0</v>
      </c>
      <c r="HC165" s="6">
        <f>COUNTIFS(Table63[Country],Tabela1[[#This Row],[Country]],Table63[Single Sculls Classification],"&gt;0")</f>
        <v>0</v>
      </c>
      <c r="HD165" s="6">
        <f>COUNTIFS(Table16[Country],Tabela1[[#This Row],[Country]],Table16[Men''s Double Sculls Classification],"&gt;0")</f>
        <v>0</v>
      </c>
      <c r="HE165" s="6">
        <f>COUNTIFS(Table16[Country],Tabela1[[#This Row],[Country]],Table16[Women''s Double Sculls Classification],"&gt;0")</f>
        <v>0</v>
      </c>
      <c r="HF165" s="6">
        <f>COUNTIFS(Table72[Country],Tabela1[[#This Row],[Country]],Table72[Men''s Quadruple Sculls Classification],"&gt;0")</f>
        <v>0</v>
      </c>
      <c r="HG165" s="6">
        <f>COUNTIFS(Table72[Country],Tabela1[[#This Row],[Country]],Table72[Women''s Quadruple Sculls Classification],"&gt;0")</f>
        <v>0</v>
      </c>
      <c r="HH165" s="6">
        <f>COUNTIFS(Table16[Country],Tabela1[[#This Row],[Country]],Table16[Men''s Coxless Pairs Classification],"&gt;0")</f>
        <v>0</v>
      </c>
      <c r="HI165" s="6">
        <f>COUNTIFS(Table16[Country],Tabela1[[#This Row],[Country]],Table16[Women''s Coxless Pairs Classification],"&gt;0")</f>
        <v>0</v>
      </c>
      <c r="HJ165" s="6">
        <f>COUNTIFS(Table72[Country],Tabela1[[#This Row],[Country]],Table72[Men''s Coxless Fours Classification],"&gt;0")</f>
        <v>0</v>
      </c>
      <c r="HK165" s="6">
        <f>COUNTIFS(Table72[Country],Tabela1[[#This Row],[Country]],Table72[Women''s Coxless Fours Classification],"&gt;0")</f>
        <v>0</v>
      </c>
      <c r="HL165" s="6">
        <f>COUNTIFS(Table72[Country],Tabela1[[#This Row],[Country]],Table72[Men''s Eights Classification],"&gt;0")</f>
        <v>0</v>
      </c>
      <c r="HM165" s="6">
        <f>COUNTIFS(Table72[Country],Tabela1[[#This Row],[Country]],Table72[Women''s Eights Classification],"&gt;0")</f>
        <v>0</v>
      </c>
      <c r="HN165" s="6">
        <f>COUNTIFS(Table16[Country],Tabela1[[#This Row],[Country]],Table16[Men''s Lwt. Double Sculls Classification],"&gt;0")</f>
        <v>0</v>
      </c>
      <c r="HO165" s="6">
        <f>COUNTIFS(Table16[Country],Tabela1[[#This Row],[Country]],Table16[Women''s Lwt. Double Sculls Classification],"&gt;0")</f>
        <v>0</v>
      </c>
      <c r="HP165" s="6">
        <f>COUNTIFS(Table91949698[Country],Tabela1[[#This Row],[Country]],Table91949698[Men''s Classification],"&gt;0")</f>
        <v>0</v>
      </c>
      <c r="HQ165" s="6">
        <f>COUNTIFS(Table91949698[Country],Tabela1[[#This Row],[Country]],Table91949698[Women''s Classification],"&gt;0")</f>
        <v>0</v>
      </c>
      <c r="HR165" s="6">
        <f>COUNTIFS(Table25[Country],Tabela1[[#This Row],[Country]],Table25[Mixed 470 Classification],"&gt;0")</f>
        <v>0</v>
      </c>
      <c r="HS165" s="6">
        <f>COUNTIFS(Table25[Country],Tabela1[[#This Row],[Country]],Table25[Men''s 49er Classification],"&gt;0")</f>
        <v>0</v>
      </c>
      <c r="HT165" s="6">
        <f>COUNTIFS(Table25[Country],Tabela1[[#This Row],[Country]],Table25[Women''s 49er FX Classification],"&gt;0")</f>
        <v>0</v>
      </c>
      <c r="HU165" s="6">
        <f>COUNTIFS(Table17[Country],Tabela1[[#This Row],[Country]],Table17[Formula Kite Classification],"&gt;0")</f>
        <v>0</v>
      </c>
      <c r="HV165" s="6">
        <f>COUNTIFS(Table18[Country],Tabela1[[#This Row],[Country]],Table18[Formula Kite Classification],"&gt;0")</f>
        <v>0</v>
      </c>
      <c r="HW165" s="6">
        <f>COUNTIFS(Table17[Country],Tabela1[[#This Row],[Country]],Table17[ILCA 7 Classification],"&gt;0")</f>
        <v>0</v>
      </c>
      <c r="HX165" s="6">
        <f>COUNTIFS(Table18[Country],Tabela1[[#This Row],[Country]],Table18[ILCA 6 Classification],"&gt;0")</f>
        <v>0</v>
      </c>
      <c r="HY165" s="6">
        <f>COUNTIFS(Table17[Country],Tabela1[[#This Row],[Country]],Table17[IQFoil Classification],"&gt;0")</f>
        <v>0</v>
      </c>
      <c r="HZ165" s="6">
        <f>COUNTIFS(Table18[Country],Tabela1[[#This Row],[Country]],Table18[IQFoil Classification],"&gt;0")</f>
        <v>0</v>
      </c>
      <c r="IA165" s="6">
        <f>COUNTIFS(Table25[Country],Tabela1[[#This Row],[Country]],Table25[Mixed Nacra 17 Classification],"&gt;0")</f>
        <v>0</v>
      </c>
      <c r="IB165" s="6">
        <f>COUNTIFS(Table53[Country],Tabela1[[#This Row],[Country]],Table53[10m Air Pistol Classification],"&gt;0")</f>
        <v>0</v>
      </c>
      <c r="IC165" s="6">
        <f>COUNTIFS(Table19[Country],Tabela1[[#This Row],[Country]],Table19[10m Air Pistol Classification],"&gt;0")</f>
        <v>0</v>
      </c>
      <c r="ID165" s="6">
        <f>COUNTIFS(Table54[Country],Tabela1[[#This Row],[Country]],Table54[Mixed 10m Air Pistol Team Classification],"&gt;0")</f>
        <v>0</v>
      </c>
      <c r="IE165" s="6">
        <f>COUNTIFS(Table53[Country],Tabela1[[#This Row],[Country]],Table53[10m Air Rifle Classification],"&gt;0")</f>
        <v>0</v>
      </c>
      <c r="IF165" s="6">
        <f>COUNTIFS(Table19[Country],Tabela1[[#This Row],[Country]],Table19[10m Air Rifle Classification],"&gt;0")</f>
        <v>0</v>
      </c>
      <c r="IG165" s="6">
        <f>COUNTIFS(Table54[Country],Tabela1[[#This Row],[Country]],Table54[Mixed 10m Air Rifle Team Classification],"&gt;0")</f>
        <v>0</v>
      </c>
      <c r="IH165" s="6">
        <f>COUNTIFS(Table53[Country],Tabela1[[#This Row],[Country]],Table53[25m Rapid Fire Pistol Classification],"&gt;0")</f>
        <v>0</v>
      </c>
      <c r="II165" s="6">
        <f>COUNTIFS(Table19[Country],Tabela1[[#This Row],[Country]],Table19[25m Pistol Classification],"&gt;0")</f>
        <v>0</v>
      </c>
      <c r="IJ165" s="6">
        <f>COUNTIFS(Table53[Country],Tabela1[[#This Row],[Country]],Table53[50m Rifle 3 Positions Classification],"&gt;0")</f>
        <v>0</v>
      </c>
      <c r="IK165" s="6">
        <f>COUNTIFS(Table19[Country],Tabela1[[#This Row],[Country]],Table19[50m Rifle 3 Positions Classification],"&gt;0")</f>
        <v>0</v>
      </c>
      <c r="IL165" s="6">
        <f>COUNTIFS(Table53[Country],Tabela1[[#This Row],[Country]],Table53[Skeet Classification],"&gt;0")</f>
        <v>0</v>
      </c>
      <c r="IM165" s="6">
        <f>COUNTIFS(Table19[Country],Tabela1[[#This Row],[Country]],Table19[Skeet Classification],"&gt;0")</f>
        <v>0</v>
      </c>
      <c r="IN165" s="6">
        <f>COUNTIFS(Table54[Country],Tabela1[[#This Row],[Country]],Table54[Mixed Skeet Team Classification],"&gt;0")</f>
        <v>0</v>
      </c>
      <c r="IO165" s="6">
        <f>COUNTIFS(Table53[Country],Tabela1[[#This Row],[Country]],Table53[Trap Classification],"&gt;0")</f>
        <v>0</v>
      </c>
      <c r="IP165" s="6">
        <f>COUNTIFS(Table19[Country],Tabela1[[#This Row],[Country]],Table19[Trap Classification],"&gt;0")</f>
        <v>0</v>
      </c>
      <c r="IQ165" s="6">
        <f>COUNTIFS(Table73[Country],Tabela1[[#This Row],[Country]],Table73[Park Classification],"&gt;0")</f>
        <v>0</v>
      </c>
      <c r="IR165" s="6">
        <f>COUNTIFS(Table74[Country],Tabela1[[#This Row],[Country]],Table74[Park Classification],"&gt;0")</f>
        <v>0</v>
      </c>
      <c r="IS165" s="6">
        <f>COUNTIFS(Table73[Country],Tabela1[[#This Row],[Country]],Table73[Street Classification],"&gt;0")</f>
        <v>0</v>
      </c>
      <c r="IT165" s="6">
        <f>COUNTIFS(Table74[Country],Tabela1[[#This Row],[Country]],Table74[Street Classification],"&gt;0")</f>
        <v>0</v>
      </c>
      <c r="IU165" s="6">
        <f>COUNTIFS(Table75[Country],Tabela1[[#This Row],[Country]],Table75[Boulder and Lead Classification],"&gt;0")</f>
        <v>0</v>
      </c>
      <c r="IV165" s="6">
        <f>COUNTIFS(Table76[Country],Tabela1[[#This Row],[Country]],Table76[Boulder and Lead Classification],"&gt;0")</f>
        <v>0</v>
      </c>
      <c r="IW165" s="6">
        <f>COUNTIFS(Table75[Country],Tabela1[[#This Row],[Country]],Table75[Speed Classification],"&gt;0")</f>
        <v>0</v>
      </c>
      <c r="IX165" s="6">
        <f>COUNTIFS(Table76[Country],Tabela1[[#This Row],[Country]],Table76[Speed Classification],"&gt;0")</f>
        <v>0</v>
      </c>
      <c r="IY165" s="6">
        <f>COUNTIFS(Table64[Country],Tabela1[[#This Row],[Country]],Table64[Shortboard Classification],"&gt;0")</f>
        <v>0</v>
      </c>
      <c r="IZ165" s="6">
        <f>COUNTIFS(Table77[Country],Tabela1[[#This Row],[Country]],Table77[Shortboard Classification],"&gt;0")</f>
        <v>0</v>
      </c>
      <c r="JA165" s="6">
        <f>COUNTIFS(Table20[Country],Tabela1[[#This Row],[Country]],Table20[50m Freestyle Classification],"&gt;0")</f>
        <v>0</v>
      </c>
      <c r="JB165" s="6">
        <f>COUNTIFS(Table21[Country],Tabela1[[#This Row],[Country]],Table21[50m Freestyle Classification],"&gt;0")</f>
        <v>0</v>
      </c>
      <c r="JC165" s="6">
        <f>COUNTIFS(Table20[Country],Tabela1[[#This Row],[Country]],Table20[100m Freestyle Classification],"&gt;0")</f>
        <v>0</v>
      </c>
      <c r="JD165" s="6">
        <f>COUNTIFS(Table21[Country],Tabela1[[#This Row],[Country]],Table21[100m Freestyle Classification],"&gt;0")</f>
        <v>0</v>
      </c>
      <c r="JE165" s="6">
        <f>COUNTIFS(Table20[Country],Tabela1[[#This Row],[Country]],Table20[200m Freestyle Classification],"&gt;0")</f>
        <v>0</v>
      </c>
      <c r="JF165" s="6">
        <f>COUNTIFS(Table21[Country],Tabela1[[#This Row],[Country]],Table21[200m Freestyle Classification],"&gt;0")</f>
        <v>0</v>
      </c>
      <c r="JG165" s="6">
        <f>COUNTIFS(Table20[Country],Tabela1[[#This Row],[Country]],Table20[400m Freestyle Classification],"&gt;0")</f>
        <v>0</v>
      </c>
      <c r="JH165" s="6">
        <f>COUNTIFS(Table21[Country],Tabela1[[#This Row],[Country]],Table21[400m Freestyle Classification],"&gt;0")</f>
        <v>0</v>
      </c>
      <c r="JI165" s="6">
        <f>COUNTIFS(Table20[Country],Tabela1[[#This Row],[Country]],Table20[800m Freestyle Classification],"&gt;0")</f>
        <v>0</v>
      </c>
      <c r="JJ165" s="6">
        <f>COUNTIFS(Table21[Country],Tabela1[[#This Row],[Country]],Table21[800m Freestyle Classification],"&gt;0")</f>
        <v>0</v>
      </c>
      <c r="JK165" s="6">
        <f>COUNTIFS(Table20[Country],Tabela1[[#This Row],[Country]],Table20[1500m Freestyle Classification],"&gt;0")</f>
        <v>0</v>
      </c>
      <c r="JL165" s="6">
        <f>COUNTIFS(Table21[Country],Tabela1[[#This Row],[Country]],Table21[1500m Freestyle Classification],"&gt;0")</f>
        <v>0</v>
      </c>
      <c r="JM165" s="6">
        <f>COUNTIFS(Table20[Country],Tabela1[[#This Row],[Country]],Table20[100m Backstroke Classification],"&gt;0")</f>
        <v>0</v>
      </c>
      <c r="JN165" s="6">
        <f>COUNTIFS(Table21[Country],Tabela1[[#This Row],[Country]],Table21[100m Backstroke Classification],"&gt;0")</f>
        <v>0</v>
      </c>
      <c r="JO165" s="6">
        <f>COUNTIFS(Table20[Country],Tabela1[[#This Row],[Country]],Table20[200m Backstroke Classification],"&gt;0")</f>
        <v>0</v>
      </c>
      <c r="JP165" s="6">
        <f>COUNTIFS(Table21[Country],Tabela1[[#This Row],[Country]],Table21[200m Backstroke Classification],"&gt;0")</f>
        <v>0</v>
      </c>
      <c r="JQ165" s="6">
        <f>COUNTIFS(Table20[Country],Tabela1[[#This Row],[Country]],Table20[100m Breaststroke Classification],"&gt;0")</f>
        <v>0</v>
      </c>
      <c r="JR165" s="6">
        <f>COUNTIFS(Table21[Country],Tabela1[[#This Row],[Country]],Table21[100m Breaststroke Classification],"&gt;0")</f>
        <v>0</v>
      </c>
      <c r="JS165" s="6">
        <f>COUNTIFS(Table20[Country],Tabela1[[#This Row],[Country]],Table20[200m Breaststroke Classification],"&gt;0")</f>
        <v>0</v>
      </c>
      <c r="JT165" s="6">
        <f>COUNTIFS(Table21[Country],Tabela1[[#This Row],[Country]],Table21[200m Breaststroke Classification],"&gt;0")</f>
        <v>0</v>
      </c>
      <c r="JU165" s="6">
        <f>COUNTIFS(Table20[Country],Tabela1[[#This Row],[Country]],Table20[100m Butterfly Classification],"&gt;0")</f>
        <v>0</v>
      </c>
      <c r="JV165" s="6">
        <f>COUNTIFS(Table21[Country],Tabela1[[#This Row],[Country]],Table21[100m Butterfly Classification],"&gt;0")</f>
        <v>0</v>
      </c>
      <c r="JW165" s="6">
        <f>COUNTIFS(Table20[Country],Tabela1[[#This Row],[Country]],Table20[200m Butterfly Classification],"&gt;0")</f>
        <v>0</v>
      </c>
      <c r="JX165" s="6">
        <f>COUNTIFS(Table21[Country],Tabela1[[#This Row],[Country]],Table21[200m Butterfly Classification],"&gt;0")</f>
        <v>0</v>
      </c>
      <c r="JY165" s="6">
        <f>COUNTIFS(Table20[Country],Tabela1[[#This Row],[Country]],Table20[200m Medley Classification],"&gt;0")</f>
        <v>0</v>
      </c>
      <c r="JZ165" s="6">
        <f>COUNTIFS(Table21[Country],Tabela1[[#This Row],[Country]],Table21[200m Medley Classification],"&gt;0")</f>
        <v>0</v>
      </c>
      <c r="KA165" s="6">
        <f>COUNTIFS(Table20[Country],Tabela1[[#This Row],[Country]],Table20[400m Medley Classification],"&gt;0")</f>
        <v>0</v>
      </c>
      <c r="KB165" s="6">
        <f>COUNTIFS(Table21[Country],Tabela1[[#This Row],[Country]],Table21[400m Medley Classification],"&gt;0")</f>
        <v>0</v>
      </c>
      <c r="KC165" s="6">
        <f>COUNTIFS(Table78[Country],Tabela1[[#This Row],[Country]],Table78[Men''s 4x100m Freestyle Relay Classification],"&gt;0")</f>
        <v>0</v>
      </c>
      <c r="KD165" s="6">
        <f>COUNTIFS(Table78[Country],Tabela1[[#This Row],[Country]],Table78[Women''s 4x100m Freestyle Relay Classification],"&gt;0")</f>
        <v>0</v>
      </c>
      <c r="KE165" s="6">
        <f>COUNTIFS(Table78[Country],Tabela1[[#This Row],[Country]],Table78[Men''s 4x200m Freestyle Relay Classification],"&gt;0")</f>
        <v>0</v>
      </c>
      <c r="KF165" s="6">
        <f>COUNTIFS(Table78[Country],Tabela1[[#This Row],[Country]],Table78[Women''s 4x200m Freestyle Relay Classification],"&gt;0")</f>
        <v>0</v>
      </c>
      <c r="KG165" s="6">
        <f>COUNTIFS(Table78[Country],Tabela1[[#This Row],[Country]],Table78[Men''s 4x100m Medley Relay Classification],"&gt;0")</f>
        <v>0</v>
      </c>
      <c r="KH165" s="6">
        <f>COUNTIFS(Table78[Country],Tabela1[[#This Row],[Country]],Table78[Women''s 4x100m Medley Relay Classification],"&gt;0")</f>
        <v>0</v>
      </c>
      <c r="KI165" s="6">
        <f>COUNTIFS(Table78[Country],Tabela1[[#This Row],[Country]],Table78[Mixed 4x100m Medley Relay Classification],"&gt;0")</f>
        <v>0</v>
      </c>
      <c r="KJ165" s="6">
        <f>COUNTIFS(Table20[Country],Tabela1[[#This Row],[Country]],Table20[10km Open Water Classification],"&gt;0")</f>
        <v>0</v>
      </c>
      <c r="KK165" s="6">
        <f>COUNTIFS(Table21[Country],Tabela1[[#This Row],[Country]],Table21[10km Open Water Classification],"&gt;0")</f>
        <v>0</v>
      </c>
      <c r="KL165" s="6">
        <f>COUNTIFS(Table22[Country],Tabela1[[#This Row],[Country]],Table22[Classification],"&gt;0")</f>
        <v>0</v>
      </c>
      <c r="KM165" s="6">
        <f>COUNTIFS(Table30[Country],Tabela1[[#This Row],[Country]],Table30[Classification],"&gt;0")</f>
        <v>0</v>
      </c>
      <c r="KN165" s="6">
        <f>COUNTIFS(Table55[Country],Tabela1[[#This Row],[Country]],Table55[Men''s Classification],"&gt;0")</f>
        <v>0</v>
      </c>
      <c r="KO165" s="6">
        <f>COUNTIFS(Table55[Country],Tabela1[[#This Row],[Country]],Table55[Women''s Classification],"&gt;0")</f>
        <v>0</v>
      </c>
      <c r="KP165" s="6">
        <f>COUNTIFS(Table56[Country],Tabela1[[#This Row],[Country]],Table56[Mixed Classification],"&gt;0")</f>
        <v>0</v>
      </c>
      <c r="KQ165" s="6">
        <f>COUNTIFS(Table29[Country],Tabela1[[#This Row],[Country]],Table29[58kg Classification],"&gt;0")</f>
        <v>0</v>
      </c>
      <c r="KR165" s="6">
        <f>COUNTIFS(Table29[Country],Tabela1[[#This Row],[Country]],Table29[68kg Classification],"&gt;0")</f>
        <v>0</v>
      </c>
      <c r="KS165" s="6">
        <f>COUNTIFS(Table29[Country],Tabela1[[#This Row],[Country]],Table29[80kg Classification],"&gt;0")</f>
        <v>0</v>
      </c>
      <c r="KT165" s="6">
        <f>COUNTIFS(Table29[Country],Tabela1[[#This Row],[Country]],Table29[Plus 80kg Classification],"&gt;0")</f>
        <v>0</v>
      </c>
      <c r="KU165" s="6">
        <f>COUNTIFS(Table34[Country],Tabela1[[#This Row],[Country]],Table34[49kg Classification],"&gt;0")</f>
        <v>0</v>
      </c>
      <c r="KV165" s="6">
        <f>COUNTIFS(Table34[Country],Tabela1[[#This Row],[Country]],Table34[57kg Classification],"&gt;0")</f>
        <v>0</v>
      </c>
      <c r="KW165" s="6">
        <f>COUNTIFS(Table34[Country],Tabela1[[#This Row],[Country]],Table34[67kg Classification],"&gt;0")</f>
        <v>0</v>
      </c>
      <c r="KX165" s="6">
        <f>COUNTIFS(Table34[Country],Tabela1[[#This Row],[Country]],Table34[Plus 67kg Classification],"&gt;0")</f>
        <v>0</v>
      </c>
      <c r="KY165" s="6">
        <f>COUNTIFS(Table57[Country],Tabela1[[#This Row],[Country]],Table57[Classification],"&gt;0")</f>
        <v>0</v>
      </c>
      <c r="KZ165" s="6">
        <f>COUNTIFS(Table58[Country],Tabela1[[#This Row],[Country]],Table58[Classification],"&gt;0")</f>
        <v>0</v>
      </c>
      <c r="LA165" s="6">
        <f>COUNTIFS(Table79[Country],Tabela1[[#This Row],[Country]],Table79[Men''s Classification],"&gt;0")</f>
        <v>0</v>
      </c>
      <c r="LB165" s="6">
        <f>COUNTIFS(Table79[Country],Tabela1[[#This Row],[Country]],Table79[Women''s Classification],"&gt;0")</f>
        <v>0</v>
      </c>
      <c r="LC165" s="6">
        <f>COUNTIFS(Table79[Country],Tabela1[[#This Row],[Country]],Table79[Mixed Classification],"&gt;0")</f>
        <v>0</v>
      </c>
      <c r="LD165" s="6">
        <f>COUNTIFS(Table65[Country],Tabela1[[#This Row],[Country]],Table65[Classification],"&gt;0")</f>
        <v>0</v>
      </c>
      <c r="LE165" s="6">
        <f>COUNTIFS(Table59[Country],Tabela1[[#This Row],[Country]],Table59[Classification],"&gt;0")</f>
        <v>0</v>
      </c>
      <c r="LF165" s="6">
        <f>COUNTIFS(Table87[Country],Tabela1[[#This Row],[Country]],Table87[Mixed Relay Classification],"&gt;0")</f>
        <v>0</v>
      </c>
      <c r="LG165" s="6">
        <f>COUNTIFS(Table91949698100[Country],Tabela1[[#This Row],[Country]],Table91949698100[Men''s Classification],"&gt;0")</f>
        <v>0</v>
      </c>
      <c r="LH165" s="6">
        <f>COUNTIFS(Table91949698100[Country],Tabela1[[#This Row],[Country]],Table91949698100[Women''s Classification],"&gt;0")</f>
        <v>0</v>
      </c>
      <c r="LI165" s="6">
        <f>COUNTIFS(Table91949698100102[Country],Tabela1[[#This Row],[Country]],Table91949698100102[Men''s Classification],"&gt;0")</f>
        <v>0</v>
      </c>
      <c r="LJ165" s="6">
        <f>COUNTIFS(Table91949698100102[Country],Tabela1[[#This Row],[Country]],Table91949698100102[Women''s Classification],"&gt;0")</f>
        <v>0</v>
      </c>
      <c r="LK165" s="6">
        <f>COUNTIFS(Table23[Country],Tabela1[[#This Row],[Country]],Table23[61kg Classification],"&gt;0")</f>
        <v>0</v>
      </c>
      <c r="LL165" s="6">
        <f>COUNTIFS(Table23[Country],Tabela1[[#This Row],[Country]],Table23[73kg Classification],"&gt;0")</f>
        <v>0</v>
      </c>
      <c r="LM165" s="6">
        <f>COUNTIFS(Table23[Country],Tabela1[[#This Row],[Country]],Table23[89kg Classification],"&gt;0")</f>
        <v>0</v>
      </c>
      <c r="LN165" s="6">
        <f>COUNTIFS(Table23[Country],Tabela1[[#This Row],[Country]],Table23[102kg Classification],"&gt;0")</f>
        <v>0</v>
      </c>
      <c r="LO165" s="6">
        <f>COUNTIFS(Table23[Country],Tabela1[[#This Row],[Country]],Table23[Plus 102kg Classification],"&gt;0")</f>
        <v>0</v>
      </c>
      <c r="LP165" s="6">
        <f>COUNTIFS(Table28[Country],Tabela1[[#This Row],[Country]],Table28[49kg Classification],"&gt;0")</f>
        <v>0</v>
      </c>
      <c r="LQ165" s="6">
        <f>COUNTIFS(Table28[Country],Tabela1[[#This Row],[Country]],Table28[59kg Classification],"&gt;0")</f>
        <v>0</v>
      </c>
      <c r="LR165" s="6">
        <f>COUNTIFS(Table28[Country],Tabela1[[#This Row],[Country]],Table28[71kg Classification],"&gt;0")</f>
        <v>0</v>
      </c>
      <c r="LS165" s="6">
        <f>COUNTIFS(Table28[Country],Tabela1[[#This Row],[Country]],Table28[81kg Classification],"&gt;0")</f>
        <v>0</v>
      </c>
      <c r="LT165" s="6">
        <f>COUNTIFS(Table28[Country],Tabela1[[#This Row],[Country]],Table28[Plus 81kg Classification],"&gt;0")</f>
        <v>0</v>
      </c>
      <c r="LU165" s="6">
        <f>COUNTIFS(Table24[Country],Tabela1[[#This Row],[Country]],Table24[Freestyle 57kg Classification],"&gt;0")</f>
        <v>0</v>
      </c>
      <c r="LV165" s="6">
        <f>COUNTIFS(Table24[Country],Tabela1[[#This Row],[Country]],Table24[Freestyle 65kg Classification],"&gt;0")</f>
        <v>0</v>
      </c>
      <c r="LW165" s="6">
        <f>COUNTIFS(Table24[Country],Tabela1[[#This Row],[Country]],Table24[Freestyle 74kg Classification],"&gt;0")</f>
        <v>0</v>
      </c>
      <c r="LX165" s="6">
        <f>COUNTIFS(Table24[Country],Tabela1[[#This Row],[Country]],Table24[Freestyle 86kg Classification],"&gt;0")</f>
        <v>0</v>
      </c>
      <c r="LY165" s="6">
        <f>COUNTIFS(Table24[Country],Tabela1[[#This Row],[Country]],Table24[Freestyle 97kg Classification],"&gt;0")</f>
        <v>0</v>
      </c>
      <c r="LZ165" s="6">
        <f>COUNTIFS(Table24[Country],Tabela1[[#This Row],[Country]],Table24[Freestyle 125kg Classification],"&gt;0")</f>
        <v>0</v>
      </c>
      <c r="MA165" s="6">
        <f>COUNTIFS(Table24[Country],Tabela1[[#This Row],[Country]],Table24[Greco-Roman 60kg Classification],"&gt;0")</f>
        <v>0</v>
      </c>
      <c r="MB165" s="6">
        <f>COUNTIFS(Table24[Country],Tabela1[[#This Row],[Country]],Table24[Greco-Roman 67kg Classification],"&gt;0")</f>
        <v>0</v>
      </c>
      <c r="MC165" s="6">
        <f>COUNTIFS(Table24[Country],Tabela1[[#This Row],[Country]],Table24[Greco-Roman 77kg Classification],"&gt;0")</f>
        <v>0</v>
      </c>
      <c r="MD165" s="6">
        <f>COUNTIFS(Table24[Country],Tabela1[[#This Row],[Country]],Table24[Greco-Roman 87kg Classification],"&gt;0")</f>
        <v>0</v>
      </c>
      <c r="ME165" s="6">
        <f>COUNTIFS(Table24[Country],Tabela1[[#This Row],[Country]],Table24[Greco-Roman 97kg Classification],"&gt;0")</f>
        <v>0</v>
      </c>
      <c r="MF165" s="6">
        <f>COUNTIFS(Table24[Country],Tabela1[[#This Row],[Country]],Table24[Greco-Roman 130kg Classification],"&gt;0")</f>
        <v>0</v>
      </c>
      <c r="MG165" s="6">
        <f>COUNTIFS(Table31[Country],Tabela1[[#This Row],[Country]],Table31[50kg Classification],"&gt;0")</f>
        <v>0</v>
      </c>
      <c r="MH165" s="6">
        <f>COUNTIFS(Table31[Country],Tabela1[[#This Row],[Country]],Table31[53kg Classification],"&gt;0")</f>
        <v>0</v>
      </c>
      <c r="MI165" s="6">
        <f>COUNTIFS(Table31[Country],Tabela1[[#This Row],[Country]],Table31[57kg Classification],"&gt;0")</f>
        <v>0</v>
      </c>
      <c r="MJ165" s="6">
        <f>COUNTIFS(Table31[Country],Tabela1[[#This Row],[Country]],Table31[62kg Classification],"&gt;0")</f>
        <v>0</v>
      </c>
      <c r="MK165" s="6">
        <f>COUNTIFS(Table31[Country],Tabela1[[#This Row],[Country]],Table31[68kg Classification],"&gt;0")</f>
        <v>0</v>
      </c>
      <c r="ML165" s="6">
        <f>COUNTIFS(Table31[Country],Tabela1[[#This Row],[Country]],Table31[76kg Classification],"&gt;0")</f>
        <v>0</v>
      </c>
      <c r="MM165" s="6">
        <f>COUNTIFS(Table102[Country],Tabela1[[#This Row],[Country]],Table102[Downhill Classification],"&gt;0")</f>
        <v>0</v>
      </c>
      <c r="MN165" s="6">
        <f>COUNTIFS(Table102105[Country],Tabela1[[#This Row],[Country]],Table102105[Downhill Classification],"&gt;0")</f>
        <v>0</v>
      </c>
      <c r="MO165" s="6">
        <f>COUNTIFS(Table102[Country],Tabela1[[#This Row],[Country]],Table102[Giant Slalom Classification],"&gt;0")</f>
        <v>0</v>
      </c>
      <c r="MP165" s="6">
        <f>COUNTIFS(Table102105[Country],Tabela1[[#This Row],[Country]],Table102105[Giant Slalom Classification],"&gt;0")</f>
        <v>0</v>
      </c>
      <c r="MQ165" s="6">
        <f>COUNTIFS(Table102[Country],Tabela1[[#This Row],[Country]],Table102[Slalom Classification],"&gt;0")</f>
        <v>0</v>
      </c>
      <c r="MR165" s="6">
        <f>COUNTIFS(Table102105[Country],Tabela1[[#This Row],[Country]],Table102105[Slalom Classification],"&gt;0")</f>
        <v>0</v>
      </c>
      <c r="MS165" s="6">
        <f>COUNTIFS(Table102[Country],Tabela1[[#This Row],[Country]],Table102[Super-G Classification],"&gt;0")</f>
        <v>0</v>
      </c>
      <c r="MT165" s="6">
        <f>COUNTIFS(Table102105[Country],Tabela1[[#This Row],[Country]],Table102105[Super-G Classification],"&gt;0")</f>
        <v>0</v>
      </c>
      <c r="MU165" s="6">
        <f>COUNTIFS(Table105[Country],Tabela1[[#This Row],[Country]],Table105[Men''s Combined Classification],"&gt;0")</f>
        <v>0</v>
      </c>
      <c r="MV165" s="6">
        <f>COUNTIFS(Table105[Country],Tabela1[[#This Row],[Country]],Table105[Women''s Combined Classification],"&gt;0")</f>
        <v>0</v>
      </c>
      <c r="MW165" s="6">
        <f>COUNTIFS(Table106[Country],Tabela1[[#This Row],[Country]],Table106[Individual Classification],"&gt;0")</f>
        <v>0</v>
      </c>
      <c r="MX165" s="6">
        <f>COUNTIFS(Table106109[Country],Tabela1[[#This Row],[Country]],Table106109[Individual Classification],"&gt;0")</f>
        <v>0</v>
      </c>
      <c r="MY165" s="6">
        <f>COUNTIFS(Table106[Country],Tabela1[[#This Row],[Country]],Table106[Mass Start Classification],"&gt;0")</f>
        <v>0</v>
      </c>
      <c r="MZ165" s="6">
        <f>COUNTIFS(Table106109[Country],Tabela1[[#This Row],[Country]],Table106109[Mass Start Classification],"&gt;0")</f>
        <v>0</v>
      </c>
      <c r="NA165" s="6">
        <f>COUNTIFS(Table106[Country],Tabela1[[#This Row],[Country]],Table106[Pursuit Classification],"&gt;0")</f>
        <v>0</v>
      </c>
      <c r="NB165" s="6">
        <f>COUNTIFS(Table106109[Country],Tabela1[[#This Row],[Country]],Table106109[Pursuit Classification],"&gt;0")</f>
        <v>0</v>
      </c>
      <c r="NC165" s="6">
        <f>COUNTIFS(Table106[Country],Tabela1[[#This Row],[Country]],Table106[Sprint Classification],"&gt;0")</f>
        <v>0</v>
      </c>
      <c r="ND165" s="6">
        <f>COUNTIFS(Table106109[Country],Tabela1[[#This Row],[Country]],Table106109[Sprint Classification],"&gt;0")</f>
        <v>0</v>
      </c>
      <c r="NE165" s="6">
        <f>COUNTIFS(Table109[Country],Tabela1[[#This Row],[Country]],Table109[Men''s Relay Classification],"&gt;0")</f>
        <v>0</v>
      </c>
      <c r="NF165" s="6">
        <f>COUNTIFS(Table109[Country],Tabela1[[#This Row],[Country]],Table109[Women''s Relay Classification],"&gt;0")</f>
        <v>0</v>
      </c>
      <c r="NG165" s="6">
        <f>COUNTIFS(Table109[Country],Tabela1[[#This Row],[Country]],Table109[Mixed Relay Classification],"&gt;0")</f>
        <v>0</v>
      </c>
      <c r="NH165" s="6">
        <f>COUNTIFS(Table110[Country],Tabela1[[#This Row],[Country]],Table110[Monobob Classification],"&gt;0")</f>
        <v>0</v>
      </c>
      <c r="NI165" s="6">
        <f>COUNTIFS(Table111[Country],Tabela1[[#This Row],[Country]],Table111[Men''s Classification],"&gt;0")</f>
        <v>0</v>
      </c>
      <c r="NJ165" s="6">
        <f>COUNTIFS(Table111[Country],Tabela1[[#This Row],[Country]],Table111[Women''s Classification],"&gt;0")</f>
        <v>0</v>
      </c>
      <c r="NK165" s="6">
        <f>COUNTIFS(Table112[Country],Tabela1[[#This Row],[Country]],Table112[Men''s Four Classification],"&gt;0")</f>
        <v>0</v>
      </c>
      <c r="NL165" s="6">
        <f>COUNTIFS(Table113[Country],Tabela1[[#This Row],[Country]],Table113[Classical Classification],"&gt;0")</f>
        <v>0</v>
      </c>
      <c r="NM165" s="6">
        <f>COUNTIFS(Table113116[Country],Tabela1[[#This Row],[Country]],Table113116[Classical Classification],"&gt;0")</f>
        <v>0</v>
      </c>
      <c r="NN165" s="6">
        <f>COUNTIFS(Table113[Country],Tabela1[[#This Row],[Country]],Table113[Freestyle Classification],"&gt;0")</f>
        <v>0</v>
      </c>
      <c r="NO165" s="6">
        <f>COUNTIFS(Table113116[Country],Tabela1[[#This Row],[Country]],Table113116[Freestyle Classification],"&gt;0")</f>
        <v>0</v>
      </c>
      <c r="NP165" s="6">
        <f>COUNTIFS(Table117[Country],Tabela1[[#This Row],[Country]],Table117[Men''s Relay Classification],"&gt;0")</f>
        <v>0</v>
      </c>
      <c r="NQ165" s="6">
        <f>COUNTIFS(Table117[Country],Tabela1[[#This Row],[Country]],Table117[Women''s Relay Classification],"&gt;0")</f>
        <v>0</v>
      </c>
      <c r="NR165" s="6">
        <f>COUNTIFS(Table113[Country],Tabela1[[#This Row],[Country]],Table113[Skiathlon Classification],"&gt;0")</f>
        <v>0</v>
      </c>
      <c r="NS165" s="6">
        <f>COUNTIFS(Table113116[Country],Tabela1[[#This Row],[Country]],Table113116[Skiathlon Classification],"&gt;0")</f>
        <v>0</v>
      </c>
      <c r="NT165" s="6">
        <f>COUNTIFS(Table113[Country],Tabela1[[#This Row],[Country]],Table113[Sprint Classification],"&gt;0")</f>
        <v>0</v>
      </c>
      <c r="NU165" s="6">
        <f>COUNTIFS(Table113116[Country],Tabela1[[#This Row],[Country]],Table113116[Sprint Classification],"&gt;0")</f>
        <v>0</v>
      </c>
      <c r="NV165" s="6">
        <f>COUNTIFS(Table116[Country],Tabela1[[#This Row],[Country]],Table116[Men''s Team Sprint Classification],"&gt;0")</f>
        <v>0</v>
      </c>
      <c r="NW165" s="6">
        <f>COUNTIFS(Table116[Country],Tabela1[[#This Row],[Country]],Table116[Women''s Team Sprint Classification],"&gt;0")</f>
        <v>0</v>
      </c>
      <c r="NX165" s="6">
        <f>COUNTIFS(Table119[Country],Tabela1[[#This Row],[Country]],Table119[Men''s Classification],"&gt;0")</f>
        <v>0</v>
      </c>
      <c r="NY165" s="6">
        <f>COUNTIFS(Table119[Country],Tabela1[[#This Row],[Country]],Table119[Women''s Classification],"&gt;0")</f>
        <v>0</v>
      </c>
      <c r="NZ165" s="6">
        <f>COUNTIFS(Table118[Country],Tabela1[[#This Row],[Country]],Table118[Mixed Classification],"&gt;0")</f>
        <v>0</v>
      </c>
      <c r="OA165" s="6">
        <f>COUNTIFS(Table120[Country],Tabela1[[#This Row],[Country]],Table120[Classification],"&gt;0")</f>
        <v>0</v>
      </c>
      <c r="OB165" s="6">
        <f>COUNTIFS(Table120123[Country],Tabela1[[#This Row],[Country]],Table120123[Classification],"&gt;0")</f>
        <v>0</v>
      </c>
      <c r="OC165" s="6">
        <f>COUNTIFS(Table123[Country],Tabela1[[#This Row],[Country]],Table123[Ice Dance Classification],"&gt;0")</f>
        <v>0</v>
      </c>
      <c r="OD165" s="6">
        <f>COUNTIFS(Table123[Country],Tabela1[[#This Row],[Country]],Table123[Pair Skating Classification],"&gt;0")</f>
        <v>0</v>
      </c>
      <c r="OE165" s="6">
        <f>COUNTIFS(Table124[Country],Tabela1[[#This Row],[Country]],Table124[Mixed Classification],"&gt;0")</f>
        <v>0</v>
      </c>
      <c r="OF165" s="6">
        <f>COUNTIFS(Table125[Country],Tabela1[[#This Row],[Country]],Table125[Aerials Classification],"&gt;0")</f>
        <v>0</v>
      </c>
      <c r="OG165" s="6">
        <f>COUNTIFS(Table125128[Country],Tabela1[[#This Row],[Country]],Table125128[Aerials Classification],"&gt;0")</f>
        <v>0</v>
      </c>
      <c r="OH165" s="6">
        <f>COUNTIFS(Table128[Country],Tabela1[[#This Row],[Country]],Table128[Mixed Aerials Classification],"&gt;0")</f>
        <v>0</v>
      </c>
      <c r="OI165" s="6">
        <f>COUNTIFS(Table125[Country],Tabela1[[#This Row],[Country]],Table125[Big Air Classification],"&gt;0")</f>
        <v>0</v>
      </c>
      <c r="OJ165" s="6">
        <f>COUNTIFS(Table125128[Country],Tabela1[[#This Row],[Country]],Table125128[Big Air Classification],"&gt;0")</f>
        <v>0</v>
      </c>
      <c r="OK165" s="6">
        <f>COUNTIFS(Table125[Country],Tabela1[[#This Row],[Country]],Table125[Dual Moguls Classification],"&gt;0")</f>
        <v>0</v>
      </c>
      <c r="OL165" s="6">
        <f>COUNTIFS(Table125128[Country],Tabela1[[#This Row],[Country]],Table125128[Dual Moguls Classification],"&gt;0")</f>
        <v>0</v>
      </c>
      <c r="OM165" s="6">
        <f>COUNTIFS(Table125[Country],Tabela1[[#This Row],[Country]],Table125[Halfpipe Classification],"&gt;0")</f>
        <v>0</v>
      </c>
      <c r="ON165" s="6">
        <f>COUNTIFS(Table125128[Country],Tabela1[[#This Row],[Country]],Table125128[Halfpipe Classification],"&gt;0")</f>
        <v>0</v>
      </c>
      <c r="OO165" s="6">
        <f>COUNTIFS(Table125[Country],Tabela1[[#This Row],[Country]],Table125[Moguls Classification],"&gt;0")</f>
        <v>0</v>
      </c>
      <c r="OP165" s="6">
        <f>COUNTIFS(Table125128[Country],Tabela1[[#This Row],[Country]],Table125128[Moguls Classification],"&gt;0")</f>
        <v>0</v>
      </c>
      <c r="OQ165" s="6">
        <f>COUNTIFS(Table125[Country],Tabela1[[#This Row],[Country]],Table125[Ski Cross Classification],"&gt;0")</f>
        <v>0</v>
      </c>
      <c r="OR165" s="6">
        <f>COUNTIFS(Table125128[Country],Tabela1[[#This Row],[Country]],Table125128[Ski Cross Classification],"&gt;0")</f>
        <v>0</v>
      </c>
      <c r="OS165" s="6">
        <f>COUNTIFS(Table125[Country],Tabela1[[#This Row],[Country]],Table125[Slopestyle Classification],"&gt;0")</f>
        <v>0</v>
      </c>
      <c r="OT165" s="6">
        <f>COUNTIFS(Table125128[Country],Tabela1[[#This Row],[Country]],Table125128[Slopestyle Classification],"&gt;0")</f>
        <v>0</v>
      </c>
      <c r="OU165" s="6">
        <f>COUNTIFS(Table119131[Country],Tabela1[[#This Row],[Country]],Table119131[Men''s Classification],"&gt;0")</f>
        <v>0</v>
      </c>
      <c r="OV165" s="6">
        <f>COUNTIFS(Table119131[Country],Tabela1[[#This Row],[Country]],Table119131[Women''s Classification],"&gt;0")</f>
        <v>0</v>
      </c>
      <c r="OW165" s="6">
        <f>COUNTIFS(Table131[Country],Tabela1[[#This Row],[Country]],Table131[Classification],"&gt;0")</f>
        <v>0</v>
      </c>
      <c r="OX165" s="6">
        <f>COUNTIFS(Table131134[Country],Tabela1[[#This Row],[Country]],Table131134[Classification],"&gt;0")</f>
        <v>0</v>
      </c>
      <c r="OY165" s="6">
        <f>COUNTIFS(Table134[Country],Tabela1[[#This Row],[Country]],Table134[Men''s Classification],"&gt;0")</f>
        <v>0</v>
      </c>
      <c r="OZ165" s="6">
        <f>COUNTIFS(Table134[Country],Tabela1[[#This Row],[Country]],Table134[Women''s Classification],"&gt;0")</f>
        <v>0</v>
      </c>
      <c r="PA165" s="6">
        <f>COUNTIFS(Table135[Country],Tabela1[[#This Row],[Country]],Table135[Mixed Relay Classification],"&gt;0")</f>
        <v>0</v>
      </c>
      <c r="PB165" s="6">
        <f>COUNTIFS(Table136[Country],Tabela1[[#This Row],[Country]],Table136[Individual Classification],"&gt;0")</f>
        <v>0</v>
      </c>
      <c r="PC165" s="6">
        <f>COUNTIFS(Table136[Country],Tabela1[[#This Row],[Country]],Table136[Sprint Classification],"&gt;0")</f>
        <v>0</v>
      </c>
      <c r="PD165" s="6">
        <f>COUNTIFS(Table137[Country],Tabela1[[#This Row],[Country]],Table137[Men''s Team Sprint Large Hill Classification],"&gt;0")</f>
        <v>0</v>
      </c>
      <c r="PE165" s="6">
        <f>COUNTIFS(Table138[Country],Tabela1[[#This Row],[Country]],Table138[500m Classification],"&gt;0")</f>
        <v>0</v>
      </c>
      <c r="PF165" s="6">
        <f>COUNTIFS(Table138141[Country],Tabela1[[#This Row],[Country]],Table138141[500m Classification],"&gt;0")</f>
        <v>0</v>
      </c>
      <c r="PG165" s="6">
        <f>COUNTIFS(Table138[Country],Tabela1[[#This Row],[Country]],Table138[1000m Classification],"&gt;0")</f>
        <v>0</v>
      </c>
      <c r="PH165" s="6">
        <f>COUNTIFS(Table138141[Country],Tabela1[[#This Row],[Country]],Table138141[1000m Classification],"&gt;0")</f>
        <v>0</v>
      </c>
      <c r="PI165" s="6">
        <f>COUNTIFS(Table138[Country],Tabela1[[#This Row],[Country]],Table138[1500m Classification],"&gt;0")</f>
        <v>0</v>
      </c>
      <c r="PJ165" s="6">
        <f>COUNTIFS(Table138141[Country],Tabela1[[#This Row],[Country]],Table138141[1500m Classification],"&gt;0")</f>
        <v>0</v>
      </c>
      <c r="PK165" s="6">
        <f>COUNTIFS(Table141[Country],Tabela1[[#This Row],[Country]],Table141[Men''s 5000m Relay Classification],"&gt;0")</f>
        <v>0</v>
      </c>
      <c r="PL165" s="6">
        <f>COUNTIFS(Table141[Country],Tabela1[[#This Row],[Country]],Table141[Women''s 3000m Relay Classification],"&gt;0")</f>
        <v>0</v>
      </c>
      <c r="PM165" s="6">
        <f>COUNTIFS(Table141[Country],Tabela1[[#This Row],[Country]],Table141[Mixed 2000m Relay Classification],"&gt;0")</f>
        <v>0</v>
      </c>
      <c r="PN165" s="6">
        <f>COUNTIFS(Table142[Country],Tabela1[[#This Row],[Country]],Table142[Classification],"&gt;0")</f>
        <v>0</v>
      </c>
      <c r="PO165" s="6">
        <f>COUNTIFS(Table142145[Country],Tabela1[[#This Row],[Country]],Table142145[Classification],"&gt;0")</f>
        <v>0</v>
      </c>
      <c r="PP165" s="6">
        <f>COUNTIFS(Tabela15[Country],Tabela1[[#This Row],[Country]],Tabela15[Mixed Team Classification],"&gt;0")</f>
        <v>0</v>
      </c>
      <c r="PQ165" s="6">
        <f>COUNTIFS(Table145[Country],Tabela1[[#This Row],[Country]],Table145[Large Hill Classification],"&gt;0")</f>
        <v>0</v>
      </c>
      <c r="PR165" s="6">
        <f>COUNTIFS(Table145[Country],Tabela1[[#This Row],[Country]],Table145[Normal Hill Classification],"&gt;0")</f>
        <v>0</v>
      </c>
      <c r="PS165" s="6">
        <f>COUNTIFS(Table145148[Country],Tabela1[[#This Row],[Country]],Table145148[Large Hill Classification],"&gt;0")</f>
        <v>0</v>
      </c>
      <c r="PT165" s="6">
        <f>COUNTIFS(Table145148[Country],Tabela1[[#This Row],[Country]],Table145148[Normal Hill Classification],"&gt;0")</f>
        <v>0</v>
      </c>
      <c r="PU165" s="6">
        <f>COUNTIFS(Table148[Country],Tabela1[[#This Row],[Country]],Table148[Men''s Super Team Classification],"&gt;0")</f>
        <v>0</v>
      </c>
      <c r="PV165" s="6">
        <f>COUNTIFS(Tabela114[Country],Tabela1[[#This Row],[Country]],Tabela114[Mixed Normal Hill Classification],"&gt;0")</f>
        <v>0</v>
      </c>
      <c r="PW165" s="6">
        <f>COUNTIFS(Tabela50[Country],Tabela1[[#This Row],[Country]],Tabela50[Sprint Classification],"&gt;0")</f>
        <v>0</v>
      </c>
      <c r="PX165" s="6">
        <f>COUNTIFS(Tabela50101[Country],Tabela1[[#This Row],[Country]],Tabela50101[Sprint Classification],"&gt;0")</f>
        <v>0</v>
      </c>
      <c r="PY165" s="6">
        <f>COUNTIFS(Tabela103[Country],Tabela1[[#This Row],[Country]],Tabela103[Mixed Relay Classification],"&gt;0")</f>
        <v>0</v>
      </c>
      <c r="PZ165" s="6">
        <f>COUNTIFS(Table149[Country],Tabela1[[#This Row],[Country]],Table149[Big Air Classification],"&gt;0")</f>
        <v>0</v>
      </c>
      <c r="QA165" s="6">
        <f>COUNTIFS(Table149152[Country],Tabela1[[#This Row],[Country]],Table149152[Big Air Classification],"&gt;0")</f>
        <v>0</v>
      </c>
      <c r="QB165" s="6">
        <f>COUNTIFS(Table149[Country],Tabela1[[#This Row],[Country]],Table149[Halfpipe Classification],"&gt;0")</f>
        <v>0</v>
      </c>
      <c r="QC165" s="6">
        <f>COUNTIFS(Table149152[Country],Tabela1[[#This Row],[Country]],Table149152[Halfpipe Classification],"&gt;0")</f>
        <v>0</v>
      </c>
      <c r="QD165" s="6">
        <f>COUNTIFS(Table149[Country],Tabela1[[#This Row],[Country]],Table149[Parallel Giant Slalom Classification],"&gt;0")</f>
        <v>0</v>
      </c>
      <c r="QE165" s="6">
        <f>COUNTIFS(Table149152[Country],Tabela1[[#This Row],[Country]],Table149152[Parallel Giant Slalom Classification],"&gt;0")</f>
        <v>0</v>
      </c>
      <c r="QF165" s="6">
        <f>COUNTIFS(Table149[Country],Tabela1[[#This Row],[Country]],Table149[Slopestyle Classification],"&gt;0")</f>
        <v>0</v>
      </c>
      <c r="QG165" s="6">
        <f>COUNTIFS(Table149152[Country],Tabela1[[#This Row],[Country]],Table149152[Slopestyle Classification],"&gt;0")</f>
        <v>0</v>
      </c>
      <c r="QH165" s="6">
        <f>COUNTIFS(Table149[Country],Tabela1[[#This Row],[Country]],Table149[Snowboard Cross Classification],"&gt;0")</f>
        <v>0</v>
      </c>
      <c r="QI165" s="6">
        <f>COUNTIFS(Table149152[Country],Tabela1[[#This Row],[Country]],Table149152[Snowboard Cross Classification],"&gt;0")</f>
        <v>0</v>
      </c>
      <c r="QJ165" s="6">
        <f>COUNTIFS(Table153[Country],Tabela1[[#This Row],[Country]],Table153[Mixed Team Snowboard Cross Classification],"&gt;0")</f>
        <v>0</v>
      </c>
      <c r="QK165" s="6">
        <f>COUNTIFS(Table154[Country],Tabela1[[#This Row],[Country]],Table154[500m Classification],"&gt;0")</f>
        <v>0</v>
      </c>
      <c r="QL165" s="6">
        <f>COUNTIFS(Table154157[Country],Tabela1[[#This Row],[Country]],Table154157[500m Classification],"&gt;0")</f>
        <v>0</v>
      </c>
      <c r="QM165" s="6">
        <f>COUNTIFS(Table154[Country],Tabela1[[#This Row],[Country]],Table154[1000m Classification],"&gt;0")</f>
        <v>0</v>
      </c>
      <c r="QN165" s="6">
        <f>COUNTIFS(Table154157[Country],Tabela1[[#This Row],[Country]],Table154157[1000m Classification],"&gt;0")</f>
        <v>0</v>
      </c>
      <c r="QO165" s="6">
        <f>COUNTIFS(Table154[Country],Tabela1[[#This Row],[Country]],Table154[1500m Classification],"&gt;0")</f>
        <v>0</v>
      </c>
      <c r="QP165" s="6">
        <f>COUNTIFS(Table154157[Country],Tabela1[[#This Row],[Country]],Table154157[1500m Classification],"&gt;0")</f>
        <v>0</v>
      </c>
      <c r="QQ165" s="6">
        <f>COUNTIFS(Table154157[Country],Tabela1[[#This Row],[Country]],Table154157[3000m Classification],"&gt;0")</f>
        <v>0</v>
      </c>
      <c r="QR165" s="6">
        <f>COUNTIFS(Table154[Country],Tabela1[[#This Row],[Country]],Table154[5000m Classification],"&gt;0")</f>
        <v>0</v>
      </c>
      <c r="QS165" s="6">
        <f>COUNTIFS(Table154157[Country],Tabela1[[#This Row],[Country]],Table154157[5000m Classification],"&gt;0")</f>
        <v>0</v>
      </c>
      <c r="QT165" s="6">
        <f>COUNTIFS(Table154[Country],Tabela1[[#This Row],[Country]],Table154[10000m Classification],"&gt;0")</f>
        <v>0</v>
      </c>
      <c r="QU165" s="6">
        <f>COUNTIFS(Table154[Country],Tabela1[[#This Row],[Country]],Table154[Mass Start Classification],"&gt;0")</f>
        <v>0</v>
      </c>
      <c r="QV165" s="6">
        <f>COUNTIFS(Table154157[Country],Tabela1[[#This Row],[Country]],Table154157[Mass Start Classification],"&gt;0")</f>
        <v>0</v>
      </c>
      <c r="QW165" s="6">
        <f>COUNTIFS(Table157[Country],Tabela1[[#This Row],[Country]],Table157[Men''s Pursuit Classification],"&gt;0")</f>
        <v>0</v>
      </c>
      <c r="QX165" s="6">
        <f>COUNTIFS(Table157[Country],Tabela1[[#This Row],[Country]],Table157[Women''s Pursuit Classification],"&gt;0")</f>
        <v>0</v>
      </c>
      <c r="QY165" s="3" t="s">
        <v>511</v>
      </c>
    </row>
    <row r="166" spans="1:467" x14ac:dyDescent="0.3">
      <c r="A166" s="6">
        <v>165</v>
      </c>
      <c r="B166" s="6" t="s">
        <v>516</v>
      </c>
      <c r="C166" t="e" vm="165">
        <f>IF(ISBLANK(Tabela1[[#This Row],[Image Link]]), "", _xlfn.IMAGE(Tabela1[[#This Row],[Image Link]],1,1))</f>
        <v>#VALUE!</v>
      </c>
      <c r="D166" s="6">
        <f>SUM(Tabela1[[#This Row],[Archery - Men''s Individual Recurve]:[Speed Skating - Women''s Team Pursuit]])</f>
        <v>0</v>
      </c>
      <c r="E166" s="6">
        <f>COUNTIF(Tabela1[[#This Row],[Archery - Men''s Individual Recurve]:[Speed Skating - Women''s Team Pursuit]],"&gt;0")</f>
        <v>0</v>
      </c>
      <c r="F166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66" s="6">
        <f>SUM(Tabela1[[#This Row],[Archery - Men''s Individual Recurve]:[Wrestling - Women''s Freestyle 76kg]])</f>
        <v>0</v>
      </c>
      <c r="H166" s="6">
        <f>SUM(Tabela1[[#This Row],[Alpine Skiing - Men''s Downhill]:[Speed Skating - Women''s Team Pursuit]])</f>
        <v>0</v>
      </c>
      <c r="I166" s="6">
        <f>Tabela1[[#This Row],[Summer Gold Medals]]+Tabela1[[#This Row],[Winter Gold Medals]]</f>
        <v>0</v>
      </c>
      <c r="J166" s="6">
        <f>Tabela1[[#This Row],[Summer Silver Medals]]+Tabela1[[#This Row],[Winter Silver Medals]]</f>
        <v>0</v>
      </c>
      <c r="K166" s="6">
        <f>Tabela1[[#This Row],[Summer Bronze Medals]]+Tabela1[[#This Row],[Winter Bronze Medals]]</f>
        <v>0</v>
      </c>
      <c r="L166" s="6">
        <f>SUM(Tabela1[[#This Row],[Total Gold Medals]:[Total Bronze Medals]])</f>
        <v>0</v>
      </c>
      <c r="M166" s="6"/>
      <c r="N166" s="6"/>
      <c r="O166" s="6"/>
      <c r="P166" s="6">
        <f>SUM(Tabela1[[#This Row],[Summer Gold Medals]:[Summer Bronze Medals]])</f>
        <v>0</v>
      </c>
      <c r="Q166" s="6"/>
      <c r="R166" s="6"/>
      <c r="S166" s="6"/>
      <c r="T166" s="6">
        <f>Tabela1[[#This Row],[Winter Gold Medals]]+Tabela1[[#This Row],[Winter Silver Medals]]+Tabela1[[#This Row],[Winter Bronze Medals]]</f>
        <v>0</v>
      </c>
      <c r="U166" s="7" t="e">
        <f>Tabela1[[#This Row],[Total Medals]]/Tabela1[[#This Row],[Total Quotas]]</f>
        <v>#DIV/0!</v>
      </c>
      <c r="V166" s="6">
        <f>COUNTIFS(Table3[Country],Tabela1[[#This Row],[Country]],Table3[Recurve Classification],"&gt;0")</f>
        <v>0</v>
      </c>
      <c r="W166" s="6">
        <f>COUNTIFS(Table33[Country],Tabela1[[#This Row],[Country]],Table33[Recurve Classification],"&gt;0")</f>
        <v>0</v>
      </c>
      <c r="X166" s="6">
        <f>COUNTIFS(Table35[Country],Tabela1[[#This Row],[Country]],Table35[Men''s Team Recurve Classification],"&gt;0")</f>
        <v>0</v>
      </c>
      <c r="Y166" s="6">
        <f>COUNTIFS(Table35[Country],Tabela1[[#This Row],[Country]],Table35[Women''s Team Recurve Classification],"&gt;0")</f>
        <v>0</v>
      </c>
      <c r="Z166" s="6">
        <f>COUNTIFS(Tabela88[Country],Tabela1[[#This Row],[Country]],Tabela88[Mixed Team Recurve Classification],"&gt;0")</f>
        <v>0</v>
      </c>
      <c r="AA166" s="6">
        <f>COUNTIFS(Table36[Country],Tabela1[[#This Row],[Country]],Table36[Classification],"&gt;0")</f>
        <v>0</v>
      </c>
      <c r="AB166" s="6">
        <f>COUNTIFS(Table37[Country],Tabela1[[#This Row],[Country]],Table37[Classification],"&gt;0")</f>
        <v>0</v>
      </c>
      <c r="AC166" s="6">
        <f>COUNTIFS(Table4[Country],Tabela1[[#This Row],[Country]],Table4[100m Classification],"&gt;0")</f>
        <v>0</v>
      </c>
      <c r="AD166" s="6">
        <f>COUNTIFS(Table5[Country],Tabela1[[#This Row],[Country]],Table5[100m Classification],"&gt;0")</f>
        <v>0</v>
      </c>
      <c r="AE166" s="6">
        <f>COUNTIFS(Table4[Country],Tabela1[[#This Row],[Country]],Table4[200m Classification],"&gt;0")</f>
        <v>0</v>
      </c>
      <c r="AF166" s="6">
        <f>COUNTIFS(Table5[Country],Tabela1[[#This Row],[Country]],Table5[200m Classification],"&gt;0")</f>
        <v>0</v>
      </c>
      <c r="AG166" s="6">
        <f>COUNTIFS(Table4[Country],Tabela1[[#This Row],[Country]],Table4[400m Classification],"&gt;0")</f>
        <v>0</v>
      </c>
      <c r="AH166" s="6">
        <f>COUNTIFS(Table5[Country],Tabela1[[#This Row],[Country]],Table5[400m Classification],"&gt;0")</f>
        <v>0</v>
      </c>
      <c r="AI166" s="6">
        <f>COUNTIFS(Table4[Country],Tabela1[[#This Row],[Country]],Table4[800m Classification],"&gt;0")</f>
        <v>0</v>
      </c>
      <c r="AJ166" s="6">
        <f>COUNTIFS(Table5[Country],Tabela1[[#This Row],[Country]],Table5[800m Classification],"&gt;0")</f>
        <v>0</v>
      </c>
      <c r="AK166" s="6">
        <f>COUNTIFS(Table4[Country],Tabela1[[#This Row],[Country]],Table4[1500m Classification],"&gt;0")</f>
        <v>0</v>
      </c>
      <c r="AL166" s="6">
        <f>COUNTIFS(Table5[Country],Tabela1[[#This Row],[Country]],Table5[1500m Classification],"&gt;0")</f>
        <v>0</v>
      </c>
      <c r="AM166" s="6">
        <f>COUNTIFS(Table4[Country],Tabela1[[#This Row],[Country]],Table4[5000m Classification],"&gt;0")</f>
        <v>0</v>
      </c>
      <c r="AN166" s="6">
        <f>COUNTIFS(Table5[Country],Tabela1[[#This Row],[Country]],Table5[5000m Classification],"&gt;0")</f>
        <v>0</v>
      </c>
      <c r="AO166" s="6">
        <f>COUNTIFS(Table4[Country],Tabela1[[#This Row],[Country]],Table4[10000m Classification],"&gt;0")</f>
        <v>0</v>
      </c>
      <c r="AP166" s="6">
        <f>COUNTIFS(Table5[Country],Tabela1[[#This Row],[Country]],Table5[10000m Classification],"&gt;0")</f>
        <v>0</v>
      </c>
      <c r="AQ166" s="6">
        <f>COUNTIFS(Table4[Country],Tabela1[[#This Row],[Country]],Table4[110m Hurdles Classification],"&gt;0")</f>
        <v>0</v>
      </c>
      <c r="AR166" s="6">
        <f>COUNTIFS(Table5[Country],Tabela1[[#This Row],[Country]],Table5[100m Hurdles Classification],"&gt;0")</f>
        <v>0</v>
      </c>
      <c r="AS166" s="6">
        <f>COUNTIFS(Table4[Country],Tabela1[[#This Row],[Country]],Table4[400m Hurdles Classification],"&gt;0")</f>
        <v>0</v>
      </c>
      <c r="AT166" s="6">
        <f>COUNTIFS(Table5[Country],Tabela1[[#This Row],[Country]],Table5[400m Hurdles Classification],"&gt;0")</f>
        <v>0</v>
      </c>
      <c r="AU166" s="6">
        <f>COUNTIFS(Table4[Country],Tabela1[[#This Row],[Country]],Table4[3000m Steeplechase Classification],"&gt;0")</f>
        <v>0</v>
      </c>
      <c r="AV166" s="6">
        <f>COUNTIFS(Table5[Country],Tabela1[[#This Row],[Country]],Table5[3000m Steeplechase Classification],"&gt;0")</f>
        <v>0</v>
      </c>
      <c r="AW166" s="6">
        <f>COUNTIFS(Table27[Country],Tabela1[[#This Row],[Country]],Table27[Men''s 4x100m Relay Classification],"&gt;0")</f>
        <v>0</v>
      </c>
      <c r="AX166" s="6">
        <f>COUNTIFS(Table27[Country],Tabela1[[#This Row],[Country]],Table27[Women''s 4x100m Relay Classification],"&gt;0")</f>
        <v>0</v>
      </c>
      <c r="AY166" s="6">
        <f>COUNTIFS(Table27[Country],Tabela1[[#This Row],[Country]],Table27[Men''s 4x400m Relay Classification],"&gt;0")</f>
        <v>0</v>
      </c>
      <c r="AZ166" s="6">
        <f>COUNTIFS(Table27[Country],Tabela1[[#This Row],[Country]],Table27[Women''s 4x400m Relay Classification],"&gt;0")</f>
        <v>0</v>
      </c>
      <c r="BA166" s="6">
        <f>COUNTIFS(Table27[Country],Tabela1[[#This Row],[Country]],Table27[Mixed 4x400m Relay Classification],"&gt;0")</f>
        <v>0</v>
      </c>
      <c r="BB166" s="6">
        <f>COUNTIFS(Table4[Country],Tabela1[[#This Row],[Country]],Table4[Marathon Classification],"&gt;0")</f>
        <v>0</v>
      </c>
      <c r="BC166" s="6">
        <f>COUNTIFS(Table5[Country],Tabela1[[#This Row],[Country]],Table5[Marathon Classification],"&gt;0")</f>
        <v>0</v>
      </c>
      <c r="BD166" s="6">
        <f>COUNTIFS(Table4[Country],Tabela1[[#This Row],[Country]],Table4[20km Race Walk Classification],"&gt;0")</f>
        <v>0</v>
      </c>
      <c r="BE166" s="6">
        <f>COUNTIFS(Table5[Country],Tabela1[[#This Row],[Country]],Table5[20km Race Walk Classification],"&gt;0")</f>
        <v>0</v>
      </c>
      <c r="BF166" s="6">
        <f>COUNTIFS(Tabela96[Country],Tabela1[[#This Row],[Country]],Tabela96[Mixed Marathon Race Walk Relay Classification],"&gt;0")</f>
        <v>0</v>
      </c>
      <c r="BG166" s="6">
        <f>COUNTIFS(Table4[Country],Tabela1[[#This Row],[Country]],Table4[Discus Throw Classification],"&gt;0")</f>
        <v>0</v>
      </c>
      <c r="BH166" s="6">
        <f>COUNTIFS(Table5[Country],Tabela1[[#This Row],[Country]],Table5[Discus Throw Classification],"&gt;0")</f>
        <v>0</v>
      </c>
      <c r="BI166" s="6">
        <f>COUNTIFS(Table4[Country],Tabela1[[#This Row],[Country]],Table4[Hammer Throw Classification],"&gt;0")</f>
        <v>0</v>
      </c>
      <c r="BJ166" s="6">
        <f>COUNTIFS(Table5[Country],Tabela1[[#This Row],[Country]],Table5[Hammer Throw Classification],"&gt;0")</f>
        <v>0</v>
      </c>
      <c r="BK166" s="6">
        <f>COUNTIFS(Table4[Country],Tabela1[[#This Row],[Country]],Table4[High Jump Classification],"&gt;0")</f>
        <v>0</v>
      </c>
      <c r="BL166" s="6">
        <f>COUNTIFS(Table5[Country],Tabela1[[#This Row],[Country]],Table5[High Jump Classification],"&gt;0")</f>
        <v>0</v>
      </c>
      <c r="BM166" s="6">
        <f>COUNTIFS(Table4[Country],Tabela1[[#This Row],[Country]],Table4[Javelin Throw Classification],"&gt;0")</f>
        <v>0</v>
      </c>
      <c r="BN166" s="6">
        <f>COUNTIFS(Table5[Country],Tabela1[[#This Row],[Country]],Table5[Javelin Throw Classification],"&gt;0")</f>
        <v>0</v>
      </c>
      <c r="BO166" s="6">
        <f>COUNTIFS(Table4[Country],Tabela1[[#This Row],[Country]],Table4[Long Jump Classification],"&gt;0")</f>
        <v>0</v>
      </c>
      <c r="BP166" s="6">
        <f>COUNTIFS(Table5[Country],Tabela1[[#This Row],[Country]],Table5[Long Jump Classification],"&gt;0")</f>
        <v>0</v>
      </c>
      <c r="BQ166" s="6">
        <f>COUNTIFS(Table4[Country],Tabela1[[#This Row],[Country]],Table4[Pole Vault Classification],"&gt;0")</f>
        <v>0</v>
      </c>
      <c r="BR166" s="6">
        <f>COUNTIFS(Table5[Country],Tabela1[[#This Row],[Country]],Table5[Pole Vault Classification],"&gt;0")</f>
        <v>0</v>
      </c>
      <c r="BS166" s="6">
        <f>COUNTIFS(Table4[Country],Tabela1[[#This Row],[Country]],Table4[Shot Put Classification],"&gt;0")</f>
        <v>0</v>
      </c>
      <c r="BT166" s="6">
        <f>COUNTIFS(Table5[Country],Tabela1[[#This Row],[Country]],Table5[Shot Put Classification],"&gt;0")</f>
        <v>0</v>
      </c>
      <c r="BU166" s="6">
        <f>COUNTIFS(Table4[Country],Tabela1[[#This Row],[Country]],Table4[Triple Jump Classification],"&gt;0")</f>
        <v>0</v>
      </c>
      <c r="BV166" s="6">
        <f>COUNTIFS(Table5[Country],Tabela1[[#This Row],[Country]],Table5[Triple Jump Classification],"&gt;0")</f>
        <v>0</v>
      </c>
      <c r="BW166" s="6">
        <f>COUNTIFS(Table4[Country],Tabela1[[#This Row],[Country]],Table4[Decathlon Classification],"&gt;0")</f>
        <v>0</v>
      </c>
      <c r="BX166" s="6">
        <f>COUNTIFS(Table5[Country],Tabela1[[#This Row],[Country]],Table5[Heptathlon Classification],"&gt;0")</f>
        <v>0</v>
      </c>
      <c r="BY166" s="6">
        <f>COUNTIFS(Table61[Country],Tabela1[[#This Row],[Country]],Table61[Classification],"&gt;0")</f>
        <v>0</v>
      </c>
      <c r="BZ166" s="6">
        <f>COUNTIFS(Table38[Country],Tabela1[[#This Row],[Country]],Table38[Classification],"&gt;0")</f>
        <v>0</v>
      </c>
      <c r="CA166" s="6">
        <f>COUNTIFS(Table39[Country],Tabela1[[#This Row],[Country]],Table39[Men''s Classification],"&gt;0")</f>
        <v>0</v>
      </c>
      <c r="CB166" s="6">
        <f>COUNTIFS(Table39[Country],Tabela1[[#This Row],[Country]],Table39[Women''s Classification],"&gt;0")</f>
        <v>0</v>
      </c>
      <c r="CC166" s="6">
        <f>COUNTIFS(Table39[Country],Tabela1[[#This Row],[Country]],Table39[Mixed Classification],"&gt;0")</f>
        <v>0</v>
      </c>
      <c r="CD166" s="6">
        <f>COUNTIFS(Table89[Country],Tabela1[[#This Row],[Country]],Table89[Men''s Classification],"&gt;0")</f>
        <v>0</v>
      </c>
      <c r="CE166" s="6">
        <f>COUNTIFS(Table89[Country],Tabela1[[#This Row],[Country]],Table89[Women''s Classification],"&gt;0")</f>
        <v>0</v>
      </c>
      <c r="CF166" s="6">
        <f>COUNTIFS(Table90[Country],Tabela1[[#This Row],[Country]],Table90[Men''s Classification],"&gt;0")</f>
        <v>0</v>
      </c>
      <c r="CG166" s="6">
        <f>COUNTIFS(Table90[Country],Tabela1[[#This Row],[Country]],Table90[Women''s Classification],"&gt;0")</f>
        <v>0</v>
      </c>
      <c r="CH166" s="6">
        <f>COUNTIFS(Table60[Country],Tabela1[[#This Row],[Country]],Table60[Men''s Classification],"&gt;0")</f>
        <v>0</v>
      </c>
      <c r="CI166" s="6">
        <f>COUNTIFS(Table60[Country],Tabela1[[#This Row],[Country]],Table60[Women''s Classification],"&gt;0")</f>
        <v>0</v>
      </c>
      <c r="CJ166" s="6">
        <f>COUNTIFS(Table6[Country],Tabela1[[#This Row],[Country]],Table6[51kg Classification],"&gt;0")</f>
        <v>0</v>
      </c>
      <c r="CK166" s="6">
        <f>COUNTIFS(Table6[Country],Tabela1[[#This Row],[Country]],Table6[57kg Classification],"&gt;0")</f>
        <v>0</v>
      </c>
      <c r="CL166" s="6">
        <f>COUNTIFS(Table6[Country],Tabela1[[#This Row],[Country]],Table6[63.5kg Classification],"&gt;0")</f>
        <v>0</v>
      </c>
      <c r="CM166" s="6">
        <f>COUNTIFS(Table6[Country],Tabela1[[#This Row],[Country]],Table6[71kg Classification],"&gt;0")</f>
        <v>0</v>
      </c>
      <c r="CN166" s="6">
        <f>COUNTIFS(Table6[Country],Tabela1[[#This Row],[Country]],Table6[80kg Classification],"&gt;0")</f>
        <v>0</v>
      </c>
      <c r="CO166" s="6">
        <f>COUNTIFS(Table6[Country],Tabela1[[#This Row],[Country]],Table6[92kg Classification],"&gt;0")</f>
        <v>0</v>
      </c>
      <c r="CP166" s="6">
        <f>COUNTIFS(Table6[Country],Tabela1[[#This Row],[Country]],Table6[Plus 92kg Classification],"&gt;0")</f>
        <v>0</v>
      </c>
      <c r="CQ166" s="6">
        <f>COUNTIFS(Table7[Country],Tabela1[[#This Row],[Country]],Table7[50kg Classification],"&gt;0")</f>
        <v>0</v>
      </c>
      <c r="CR166" s="6">
        <f>COUNTIFS(Table7[Country],Tabela1[[#This Row],[Country]],Table7[54kg Classification],"&gt;0")</f>
        <v>0</v>
      </c>
      <c r="CS166" s="6">
        <f>COUNTIFS(Table7[Country],Tabela1[[#This Row],[Country]],Table7[57kg Classification],"&gt;0")</f>
        <v>0</v>
      </c>
      <c r="CT166" s="6">
        <f>COUNTIFS(Table7[Country],Tabela1[[#This Row],[Country]],Table7[60kg Classification],"&gt;0")</f>
        <v>0</v>
      </c>
      <c r="CU166" s="6">
        <f>COUNTIFS(Table7[Country],Tabela1[[#This Row],[Country]],Table7[66kg Classification],"&gt;0")</f>
        <v>0</v>
      </c>
      <c r="CV166" s="6">
        <f>COUNTIFS(Table7[Country],Tabela1[[#This Row],[Country]],Table7[75kg Classification],"&gt;0")</f>
        <v>0</v>
      </c>
      <c r="CW166" s="6">
        <f>COUNTIFS(Tabela94[Country],Tabela1[[#This Row],[Country]],Tabela94[Classification],"&gt;0")</f>
        <v>0</v>
      </c>
      <c r="CX166" s="6">
        <f>COUNTIFS(Tabela9499[Country],Tabela1[[#This Row],[Country]],Tabela9499[Classification],"&gt;0")</f>
        <v>0</v>
      </c>
      <c r="CY166" s="6">
        <f>COUNTIFS(Tabela107[Country],Tabela1[[#This Row],[Country]],Tabela107[C1 Slalom Classification],"&gt;0")</f>
        <v>0</v>
      </c>
      <c r="CZ166" s="6">
        <f>COUNTIFS(Tabela107122[Country],Tabela1[[#This Row],[Country]],Tabela107122[C1 Slalom Classification],"&gt;0")</f>
        <v>0</v>
      </c>
      <c r="DA166" s="6">
        <f>COUNTIFS(Tabela107[Country],Tabela1[[#This Row],[Country]],Tabela107[K1 Slalom Classification],"&gt;0")</f>
        <v>0</v>
      </c>
      <c r="DB166" s="6">
        <f>COUNTIFS(Tabela107122[Country],Tabela1[[#This Row],[Country]],Tabela107122[K1 Slalom Classification],"&gt;0")</f>
        <v>0</v>
      </c>
      <c r="DC166" s="6">
        <f>COUNTIFS(Tabela107[Country],Tabela1[[#This Row],[Country]],Tabela107[Kayak Cross Slalom Classification],"&gt;0")</f>
        <v>0</v>
      </c>
      <c r="DD166" s="6">
        <f>COUNTIFS(Tabela107122[Country],Tabela1[[#This Row],[Country]],Tabela107122[Kayak Cross Slalom Classification],"&gt;0")</f>
        <v>0</v>
      </c>
      <c r="DE166" s="6">
        <f>COUNTIFS(Table8[Country],Tabela1[[#This Row],[Country]],Table8[C1 200m Classification],"&gt;0")</f>
        <v>0</v>
      </c>
      <c r="DF166" s="6">
        <f>COUNTIFS(Table40[Country],Tabela1[[#This Row],[Country]],Table40[C1 1000m Classification],"&gt;0")</f>
        <v>0</v>
      </c>
      <c r="DG166" s="6">
        <f>COUNTIFS(Table68[Country],Tabela1[[#This Row],[Country]],Table68[Men''s C2 500m Classification],"&gt;0")</f>
        <v>0</v>
      </c>
      <c r="DH166" s="6">
        <f>COUNTIFS(Table68[Country],Tabela1[[#This Row],[Country]],Table68[Women''s C2 500m Classification],"&gt;0")</f>
        <v>0</v>
      </c>
      <c r="DI166" s="6">
        <f>COUNTIFS(Table8[Country],Tabela1[[#This Row],[Country]],Table8[K1 500m Classification],"&gt;0")</f>
        <v>0</v>
      </c>
      <c r="DJ166" s="6">
        <f>COUNTIFS(Table40[Country],Tabela1[[#This Row],[Country]],Table40[K1 1000m Classification],"&gt;0")</f>
        <v>0</v>
      </c>
      <c r="DK166" s="6">
        <f>COUNTIFS(Table68[Country],Tabela1[[#This Row],[Country]],Table68[Men''s K2 500m Classification],"&gt;0")</f>
        <v>0</v>
      </c>
      <c r="DL166" s="6">
        <f>COUNTIFS(Table68[Country],Tabela1[[#This Row],[Country]],Table68[Women''s K2 500m Classification],"&gt;0")</f>
        <v>0</v>
      </c>
      <c r="DM166" s="6">
        <f>COUNTIFS(Table83[Country],Tabela1[[#This Row],[Country]],Table83[Men''s K4 500m Classification],"&gt;0")</f>
        <v>0</v>
      </c>
      <c r="DN166" s="6">
        <f>COUNTIFS(Table83[Country],Tabela1[[#This Row],[Country]],Table83[Women''s K4 500m Classification],"&gt;0")</f>
        <v>0</v>
      </c>
      <c r="DO166" s="6">
        <f>COUNTIFS(Tabela126[Country],Tabela1[[#This Row],[Country]],Tabela126[Classification],"&gt;0")</f>
        <v>0</v>
      </c>
      <c r="DP166" s="6">
        <f>COUNTIFS(Tabela126130[Country],Tabela1[[#This Row],[Country]],Tabela126130[Classification],"&gt;0")</f>
        <v>0</v>
      </c>
      <c r="DQ166" s="6">
        <f>COUNTIFS(Table70[Country],Tabela1[[#This Row],[Country]],Table70[Classification],"&gt;0")</f>
        <v>0</v>
      </c>
      <c r="DR166" s="6">
        <f>COUNTIFS(Table80[Country],Tabela1[[#This Row],[Country]],Table80[Classification],"&gt;0")</f>
        <v>0</v>
      </c>
      <c r="DS166" s="6">
        <f>COUNTIFS(Table66[Country],Tabela1[[#This Row],[Country]],Table66[Classification],"&gt;0")</f>
        <v>0</v>
      </c>
      <c r="DT166" s="6">
        <f>COUNTIFS(Table67[Country],Tabela1[[#This Row],[Country]],Table67[Classification],"&gt;0")</f>
        <v>0</v>
      </c>
      <c r="DU166" s="6">
        <f>COUNTIFS(Table69[Country],Tabela1[[#This Row],[Country]],Table69[Keirin Classification],"&gt;0")</f>
        <v>0</v>
      </c>
      <c r="DV166" s="6">
        <f>COUNTIFS(Table41[Country],Tabela1[[#This Row],[Country]],Table41[Keirin Classification],"&gt;0")</f>
        <v>0</v>
      </c>
      <c r="DW166" s="6">
        <f>COUNTIFS(Table84[Country],Tabela1[[#This Row],[Country]],Table84[Men''s Madison Classification],"&gt;0")</f>
        <v>0</v>
      </c>
      <c r="DX166" s="6">
        <f>COUNTIFS(Table84[Country],Tabela1[[#This Row],[Country]],Table84[Women''s Madison Classification],"&gt;0")</f>
        <v>0</v>
      </c>
      <c r="DY166" s="6">
        <f>COUNTIFS(Table69[Country],Tabela1[[#This Row],[Country]],Table69[Omnium Classification],"&gt;0")</f>
        <v>0</v>
      </c>
      <c r="DZ166" s="6">
        <f>COUNTIFS(Table41[Country],Tabela1[[#This Row],[Country]],Table41[Omnium Classification],"&gt;0")</f>
        <v>0</v>
      </c>
      <c r="EA166" s="6">
        <f>COUNTIFS(Table9[Country],Tabela1[[#This Row],[Country]],Table9[Road Race Classification],"&gt;0")</f>
        <v>0</v>
      </c>
      <c r="EB166" s="6">
        <f>COUNTIFS(Table14[Country],Tabela1[[#This Row],[Country]],Table14[Road Race Classification],"&gt;0")</f>
        <v>0</v>
      </c>
      <c r="EC166" s="6">
        <f>COUNTIFS(Table69[Country],Tabela1[[#This Row],[Country]],Table69[Sprint Classification],"&gt;0")</f>
        <v>0</v>
      </c>
      <c r="ED166" s="6">
        <f>COUNTIFS(Table41[Country],Tabela1[[#This Row],[Country]],Table41[Sprint Classification],"&gt;0")</f>
        <v>0</v>
      </c>
      <c r="EE166" s="6">
        <f>COUNTIFS(Table85[Country],Tabela1[[#This Row],[Country]],Table85[Men''s Sprint Classification],"&gt;0")</f>
        <v>0</v>
      </c>
      <c r="EF166" s="6">
        <f>COUNTIFS(Table85[Country],Tabela1[[#This Row],[Country]],Table85[Women''s Sprint Classification],"&gt;0")</f>
        <v>0</v>
      </c>
      <c r="EG166" s="6">
        <f>COUNTIFS(Table85[Country],Tabela1[[#This Row],[Country]],Table85[Men''s Pursuit Classification],"&gt;0")</f>
        <v>0</v>
      </c>
      <c r="EH166" s="6">
        <f>COUNTIFS(Table85[Country],Tabela1[[#This Row],[Country]],Table85[Women''s Pursuit Classification],"&gt;0")</f>
        <v>0</v>
      </c>
      <c r="EI166" s="6">
        <f>COUNTIFS(Table9[Country],Tabela1[[#This Row],[Country]],Table9[Time-Trial Classification],"&gt;0")</f>
        <v>0</v>
      </c>
      <c r="EJ166" s="6">
        <f>COUNTIFS(Table14[Country],Tabela1[[#This Row],[Country]],Table14[Time-Trial Classification],"&gt;0")</f>
        <v>0</v>
      </c>
      <c r="EK166" s="6">
        <f>COUNTIFS(Table42[Country],Tabela1[[#This Row],[Country]],Table42[Springboard Classification],"&gt;0")</f>
        <v>0</v>
      </c>
      <c r="EL166" s="6">
        <f>COUNTIFS(Table43[Country],Tabela1[[#This Row],[Country]],Table43[Springboard Classification],"&gt;0")</f>
        <v>0</v>
      </c>
      <c r="EM166" s="6">
        <f>COUNTIFS(Table42[Country],Tabela1[[#This Row],[Country]],Table42[Platform Classification],"&gt;0")</f>
        <v>0</v>
      </c>
      <c r="EN166" s="6">
        <f>COUNTIFS(Table43[Country],Tabela1[[#This Row],[Country]],Table43[Platform Classification],"&gt;0")</f>
        <v>0</v>
      </c>
      <c r="EO166" s="6">
        <f>COUNTIFS(Table86[Country],Tabela1[[#This Row],[Country]],Table86[Men''s Synchronized Springboard Classification],"&gt;0")</f>
        <v>0</v>
      </c>
      <c r="EP166" s="6">
        <f>COUNTIFS(Table86[Country],Tabela1[[#This Row],[Country]],Table86[Women''s Synchronized Springboard Classification],"&gt;0")</f>
        <v>0</v>
      </c>
      <c r="EQ166" s="6">
        <f>COUNTIFS(Table86[Country],Tabela1[[#This Row],[Country]],Table86[Men''s Synchronized Platform Classification],"&gt;0")</f>
        <v>0</v>
      </c>
      <c r="ER166" s="6">
        <f>COUNTIFS(Table86[Country],Tabela1[[#This Row],[Country]],Table86[Women''s Synchronized Platform Classification],"&gt;0")</f>
        <v>0</v>
      </c>
      <c r="ES166" s="6">
        <f>COUNTIFS(Table44[Country],Tabela1[[#This Row],[Country]],Table44[Dressage Classification],"&gt;0")</f>
        <v>0</v>
      </c>
      <c r="ET166" s="6">
        <f>COUNTIFS(Table45[Country],Tabela1[[#This Row],[Country]],Table45[Dressage Classification],"&gt;0")</f>
        <v>0</v>
      </c>
      <c r="EU166" s="6">
        <f>COUNTIFS(Table44[Country],Tabela1[[#This Row],[Country]],Table44[Eventing Classification],"&gt;0")</f>
        <v>0</v>
      </c>
      <c r="EV166" s="6">
        <f>COUNTIFS(Table45[Country],Tabela1[[#This Row],[Country]],Table45[Eventing Classification],"&gt;0")</f>
        <v>0</v>
      </c>
      <c r="EW166" s="6">
        <f>COUNTIFS(Table44[Country],Tabela1[[#This Row],[Country]],Table44[Jumping Classification],"&gt;0")</f>
        <v>0</v>
      </c>
      <c r="EX166" s="6">
        <f>COUNTIFS(Table45[Country],Tabela1[[#This Row],[Country]],Table45[Jumping Classification],"&gt;0")</f>
        <v>0</v>
      </c>
      <c r="EY166" s="6">
        <f>COUNTIFS(Table10[Country],Tabela1[[#This Row],[Country]],Table10[Épée Classification],"&gt;0")</f>
        <v>0</v>
      </c>
      <c r="EZ166" s="6">
        <f>COUNTIFS(Table11[Country],Tabela1[[#This Row],[Country]],Table11[Épée Classification],"&gt;0")</f>
        <v>0</v>
      </c>
      <c r="FA166" s="6">
        <f>COUNTIFS(Table46[Country],Tabela1[[#This Row],[Country]],Table46[Men''s Épée Classification],"&gt;0")</f>
        <v>0</v>
      </c>
      <c r="FB166" s="6">
        <f>COUNTIFS(Table46[Country],Tabela1[[#This Row],[Country]],Table46[Women''s Épée Classification],"&gt;0")</f>
        <v>0</v>
      </c>
      <c r="FC166" s="6">
        <f>COUNTIFS(Table10[Country],Tabela1[[#This Row],[Country]],Table10[Foil Classification],"&gt;0")</f>
        <v>0</v>
      </c>
      <c r="FD166" s="6">
        <f>COUNTIFS(Table11[Country],Tabela1[[#This Row],[Country]],Table11[Foil Classification],"&gt;0")</f>
        <v>0</v>
      </c>
      <c r="FE166" s="6">
        <f>COUNTIFS(Table46[Country],Tabela1[[#This Row],[Country]],Table46[Men''s Foil Classification],"&gt;0")</f>
        <v>0</v>
      </c>
      <c r="FF166" s="6">
        <f>COUNTIFS(Table46[Country],Tabela1[[#This Row],[Country]],Table46[Women''s Foil Classification],"&gt;0")</f>
        <v>0</v>
      </c>
      <c r="FG166" s="6">
        <f>COUNTIFS(Table10[Country],Tabela1[[#This Row],[Country]],Table10[Sabre Classification],"&gt;0")</f>
        <v>0</v>
      </c>
      <c r="FH166" s="6">
        <f>COUNTIFS(Table11[Country],Tabela1[[#This Row],[Country]],Table11[Sabre Classification],"&gt;0")</f>
        <v>0</v>
      </c>
      <c r="FI166" s="6">
        <f>COUNTIFS(Table46[Country],Tabela1[[#This Row],[Country]],Table46[Men''s Sabre Classification],"&gt;0")</f>
        <v>0</v>
      </c>
      <c r="FJ166" s="6">
        <f>COUNTIFS(Table46[Country],Tabela1[[#This Row],[Country]],Table46[Women''s Sabre Classification],"&gt;0")</f>
        <v>0</v>
      </c>
      <c r="FK166" s="6">
        <f>COUNTIFS(Table91[Country],Tabela1[[#This Row],[Country]],Table91[Men''s Classification],"&gt;0")</f>
        <v>0</v>
      </c>
      <c r="FL166" s="6">
        <f>COUNTIFS(Table91[Country],Tabela1[[#This Row],[Country]],Table91[Women''s Classification],"&gt;0")</f>
        <v>0</v>
      </c>
      <c r="FM166" s="6">
        <f>COUNTIFS(Table9194[Country],Tabela1[[#This Row],[Country]],Table9194[Men''s Classification],"&gt;0")</f>
        <v>0</v>
      </c>
      <c r="FN166" s="6">
        <f>COUNTIFS(Table9194[Country],Tabela1[[#This Row],[Country]],Table9194[Women''s Classification],"&gt;0")</f>
        <v>0</v>
      </c>
      <c r="FO166" s="6">
        <f>COUNTIFS(Table71[Country],Tabela1[[#This Row],[Country]],Table71[Classification],"&gt;0")</f>
        <v>0</v>
      </c>
      <c r="FP166" s="6">
        <f>COUNTIFS(Table62[Country],Tabela1[[#This Row],[Country]],Table62[Classification],"&gt;0")</f>
        <v>0</v>
      </c>
      <c r="FQ166" s="6">
        <f>COUNTIFS(Table47[Country],Tabela1[[#This Row],[Country]],Table47[All-Around Classification],"&gt;0")</f>
        <v>0</v>
      </c>
      <c r="FR166" s="6">
        <f>COUNTIFS(Table48[Country],Tabela1[[#This Row],[Country]],Table48[All-Around Classification],"&gt;0")</f>
        <v>0</v>
      </c>
      <c r="FS166" s="6">
        <f>COUNTIFS(Table81[Country],Tabela1[[#This Row],[Country]],Table81[Men''s All-Around Classification],"&gt;0")</f>
        <v>0</v>
      </c>
      <c r="FT166" s="6">
        <f>COUNTIFS(Table81[Country],Tabela1[[#This Row],[Country]],Table81[Women''s All-Around Classification],"&gt;0")</f>
        <v>0</v>
      </c>
      <c r="FU166" s="6">
        <f>COUNTIFS(Table48[Country],Tabela1[[#This Row],[Country]],Table48[Balance Beam Classification],"&gt;0")</f>
        <v>0</v>
      </c>
      <c r="FV166" s="6">
        <f>COUNTIFS(Table47[Country],Tabela1[[#This Row],[Country]],Table47[Floor Exercise Classification],"&gt;0")</f>
        <v>0</v>
      </c>
      <c r="FW166" s="6">
        <f>COUNTIFS(Table48[Country],Tabela1[[#This Row],[Country]],Table48[Floor Exercise Classification],"&gt;0")</f>
        <v>0</v>
      </c>
      <c r="FX166" s="6">
        <f>COUNTIFS(Table47[Country],Tabela1[[#This Row],[Country]],Table47[Horizontal Bar Classification],"&gt;0")</f>
        <v>0</v>
      </c>
      <c r="FY166" s="6">
        <f>COUNTIFS(Table47[Country],Tabela1[[#This Row],[Country]],Table47[Parallel Bars Classification],"&gt;0")</f>
        <v>0</v>
      </c>
      <c r="FZ166" s="6">
        <f>COUNTIFS(Table47[Country],Tabela1[[#This Row],[Country]],Table47[Pommel Horse Classification],"&gt;0")</f>
        <v>0</v>
      </c>
      <c r="GA166" s="6">
        <f>COUNTIFS(Table47[Country],Tabela1[[#This Row],[Country]],Table47[Rings Classification],"&gt;0")</f>
        <v>0</v>
      </c>
      <c r="GB166" s="6">
        <f>COUNTIFS(Tabela132[Country],Tabela1[[#This Row],[Country]],Tabela132[Classification],"&gt;0")</f>
        <v>0</v>
      </c>
      <c r="GC166" s="6">
        <f>COUNTIFS(Tabela139[Country],Tabela1[[#This Row],[Country]],Tabela139[Classification],"&gt;0")</f>
        <v>0</v>
      </c>
      <c r="GD166" s="6">
        <f>COUNTIFS(Table48[Country],Tabela1[[#This Row],[Country]],Table48[Uneven Bars Classification],"&gt;0")</f>
        <v>0</v>
      </c>
      <c r="GE166" s="6">
        <f>COUNTIFS(Table47[Country],Tabela1[[#This Row],[Country]],Table47[Vault Classification],"&gt;0")</f>
        <v>0</v>
      </c>
      <c r="GF166" s="6">
        <f>COUNTIFS(Table48[Country],Tabela1[[#This Row],[Country]],Table48[Vault Classification],"&gt;0")</f>
        <v>0</v>
      </c>
      <c r="GG166" s="6">
        <f>COUNTIFS(Table919496[Country],Tabela1[[#This Row],[Country]],Table919496[Men''s Classification],"&gt;0")</f>
        <v>0</v>
      </c>
      <c r="GH166" s="6">
        <f>COUNTIFS(Table919496[Country],Tabela1[[#This Row],[Country]],Table919496[Women''s Classification],"&gt;0")</f>
        <v>0</v>
      </c>
      <c r="GI166" s="6">
        <f>COUNTIFS(Table12[Country],Tabela1[[#This Row],[Country]],Table12[60kg Classification],"&gt;0")</f>
        <v>0</v>
      </c>
      <c r="GJ166" s="6">
        <f>COUNTIFS(Table12[Country],Tabela1[[#This Row],[Country]],Table12[66kg Classification],"&gt;0")</f>
        <v>0</v>
      </c>
      <c r="GK166" s="6">
        <f>COUNTIFS(Table12[Country],Tabela1[[#This Row],[Country]],Table12[73kg Classification],"&gt;0")</f>
        <v>0</v>
      </c>
      <c r="GL166" s="6">
        <f>COUNTIFS(Table12[Country],Tabela1[[#This Row],[Country]],Table12[81kg Classification],"&gt;0")</f>
        <v>0</v>
      </c>
      <c r="GM166" s="6">
        <f>COUNTIFS(Table12[Country],Tabela1[[#This Row],[Country]],Table12[90kg Classification],"&gt;0")</f>
        <v>0</v>
      </c>
      <c r="GN166" s="6">
        <f>COUNTIFS(Table12[Country],Tabela1[[#This Row],[Country]],Table12[100kg Classification],"&gt;0")</f>
        <v>0</v>
      </c>
      <c r="GO166" s="6">
        <f>COUNTIFS(Table12[Country],Tabela1[[#This Row],[Country]],Table12[Plus 100kg Classification],"&gt;0")</f>
        <v>0</v>
      </c>
      <c r="GP166" s="6">
        <f>COUNTIFS(Table13[Country],Tabela1[[#This Row],[Country]],Table13[48kg Classification],"&gt;0")</f>
        <v>0</v>
      </c>
      <c r="GQ166" s="6">
        <f>COUNTIFS(Table13[Country],Tabela1[[#This Row],[Country]],Table13[52kg Classification],"&gt;0")</f>
        <v>0</v>
      </c>
      <c r="GR166" s="6">
        <f>COUNTIFS(Table13[Country],Tabela1[[#This Row],[Country]],Table13[57kg Classification],"&gt;0")</f>
        <v>0</v>
      </c>
      <c r="GS166" s="6">
        <f>COUNTIFS(Table13[Country],Tabela1[[#This Row],[Country]],Table13[63kg Classification],"&gt;0")</f>
        <v>0</v>
      </c>
      <c r="GT166" s="6">
        <f>COUNTIFS(Table13[Country],Tabela1[[#This Row],[Country]],Table13[70kg Classification],"&gt;0")</f>
        <v>0</v>
      </c>
      <c r="GU166" s="6">
        <f>COUNTIFS(Table13[Country],Tabela1[[#This Row],[Country]],Table13[78kg Classification],"&gt;0")</f>
        <v>0</v>
      </c>
      <c r="GV166" s="6">
        <f>COUNTIFS(Table13[Country],Tabela1[[#This Row],[Country]],Table13[Plus 78kg Classification],"&gt;0")</f>
        <v>0</v>
      </c>
      <c r="GW166" s="6">
        <f>COUNTIFS(Table82[Country],Tabela1[[#This Row],[Country]],Table82[Mixed Classification],"&gt;0")</f>
        <v>0</v>
      </c>
      <c r="GX166" s="6">
        <f>COUNTIFS(Table51[Country],Tabela1[[#This Row],[Country]],Table51[Classification],"&gt;0")</f>
        <v>0</v>
      </c>
      <c r="GY166" s="6">
        <f>COUNTIFS(Table52[Country],Tabela1[[#This Row],[Country]],Table52[Classification],"&gt;0")</f>
        <v>0</v>
      </c>
      <c r="GZ166" s="6">
        <f>COUNTIFS(Table32[Country],Tabela1[[#This Row],[Country]],Table32[All-Around Classification],"&gt;0")</f>
        <v>0</v>
      </c>
      <c r="HA166" s="6">
        <f>COUNTIFS(Table49[Country],Tabela1[[#This Row],[Country]],Table49[All-Around Classification],"&gt;0")</f>
        <v>0</v>
      </c>
      <c r="HB166" s="6">
        <f>COUNTIFS(Table26[Country],Tabela1[[#This Row],[Country]],Table26[Single Sculls Classification],"&gt;0")</f>
        <v>0</v>
      </c>
      <c r="HC166" s="6">
        <f>COUNTIFS(Table63[Country],Tabela1[[#This Row],[Country]],Table63[Single Sculls Classification],"&gt;0")</f>
        <v>0</v>
      </c>
      <c r="HD166" s="6">
        <f>COUNTIFS(Table16[Country],Tabela1[[#This Row],[Country]],Table16[Men''s Double Sculls Classification],"&gt;0")</f>
        <v>0</v>
      </c>
      <c r="HE166" s="6">
        <f>COUNTIFS(Table16[Country],Tabela1[[#This Row],[Country]],Table16[Women''s Double Sculls Classification],"&gt;0")</f>
        <v>0</v>
      </c>
      <c r="HF166" s="6">
        <f>COUNTIFS(Table72[Country],Tabela1[[#This Row],[Country]],Table72[Men''s Quadruple Sculls Classification],"&gt;0")</f>
        <v>0</v>
      </c>
      <c r="HG166" s="6">
        <f>COUNTIFS(Table72[Country],Tabela1[[#This Row],[Country]],Table72[Women''s Quadruple Sculls Classification],"&gt;0")</f>
        <v>0</v>
      </c>
      <c r="HH166" s="6">
        <f>COUNTIFS(Table16[Country],Tabela1[[#This Row],[Country]],Table16[Men''s Coxless Pairs Classification],"&gt;0")</f>
        <v>0</v>
      </c>
      <c r="HI166" s="6">
        <f>COUNTIFS(Table16[Country],Tabela1[[#This Row],[Country]],Table16[Women''s Coxless Pairs Classification],"&gt;0")</f>
        <v>0</v>
      </c>
      <c r="HJ166" s="6">
        <f>COUNTIFS(Table72[Country],Tabela1[[#This Row],[Country]],Table72[Men''s Coxless Fours Classification],"&gt;0")</f>
        <v>0</v>
      </c>
      <c r="HK166" s="6">
        <f>COUNTIFS(Table72[Country],Tabela1[[#This Row],[Country]],Table72[Women''s Coxless Fours Classification],"&gt;0")</f>
        <v>0</v>
      </c>
      <c r="HL166" s="6">
        <f>COUNTIFS(Table72[Country],Tabela1[[#This Row],[Country]],Table72[Men''s Eights Classification],"&gt;0")</f>
        <v>0</v>
      </c>
      <c r="HM166" s="6">
        <f>COUNTIFS(Table72[Country],Tabela1[[#This Row],[Country]],Table72[Women''s Eights Classification],"&gt;0")</f>
        <v>0</v>
      </c>
      <c r="HN166" s="6">
        <f>COUNTIFS(Table16[Country],Tabela1[[#This Row],[Country]],Table16[Men''s Lwt. Double Sculls Classification],"&gt;0")</f>
        <v>0</v>
      </c>
      <c r="HO166" s="6">
        <f>COUNTIFS(Table16[Country],Tabela1[[#This Row],[Country]],Table16[Women''s Lwt. Double Sculls Classification],"&gt;0")</f>
        <v>0</v>
      </c>
      <c r="HP166" s="6">
        <f>COUNTIFS(Table91949698[Country],Tabela1[[#This Row],[Country]],Table91949698[Men''s Classification],"&gt;0")</f>
        <v>0</v>
      </c>
      <c r="HQ166" s="6">
        <f>COUNTIFS(Table91949698[Country],Tabela1[[#This Row],[Country]],Table91949698[Women''s Classification],"&gt;0")</f>
        <v>0</v>
      </c>
      <c r="HR166" s="6">
        <f>COUNTIFS(Table25[Country],Tabela1[[#This Row],[Country]],Table25[Mixed 470 Classification],"&gt;0")</f>
        <v>0</v>
      </c>
      <c r="HS166" s="6">
        <f>COUNTIFS(Table25[Country],Tabela1[[#This Row],[Country]],Table25[Men''s 49er Classification],"&gt;0")</f>
        <v>0</v>
      </c>
      <c r="HT166" s="6">
        <f>COUNTIFS(Table25[Country],Tabela1[[#This Row],[Country]],Table25[Women''s 49er FX Classification],"&gt;0")</f>
        <v>0</v>
      </c>
      <c r="HU166" s="6">
        <f>COUNTIFS(Table17[Country],Tabela1[[#This Row],[Country]],Table17[Formula Kite Classification],"&gt;0")</f>
        <v>0</v>
      </c>
      <c r="HV166" s="6">
        <f>COUNTIFS(Table18[Country],Tabela1[[#This Row],[Country]],Table18[Formula Kite Classification],"&gt;0")</f>
        <v>0</v>
      </c>
      <c r="HW166" s="6">
        <f>COUNTIFS(Table17[Country],Tabela1[[#This Row],[Country]],Table17[ILCA 7 Classification],"&gt;0")</f>
        <v>0</v>
      </c>
      <c r="HX166" s="6">
        <f>COUNTIFS(Table18[Country],Tabela1[[#This Row],[Country]],Table18[ILCA 6 Classification],"&gt;0")</f>
        <v>0</v>
      </c>
      <c r="HY166" s="6">
        <f>COUNTIFS(Table17[Country],Tabela1[[#This Row],[Country]],Table17[IQFoil Classification],"&gt;0")</f>
        <v>0</v>
      </c>
      <c r="HZ166" s="6">
        <f>COUNTIFS(Table18[Country],Tabela1[[#This Row],[Country]],Table18[IQFoil Classification],"&gt;0")</f>
        <v>0</v>
      </c>
      <c r="IA166" s="6">
        <f>COUNTIFS(Table25[Country],Tabela1[[#This Row],[Country]],Table25[Mixed Nacra 17 Classification],"&gt;0")</f>
        <v>0</v>
      </c>
      <c r="IB166" s="6">
        <f>COUNTIFS(Table53[Country],Tabela1[[#This Row],[Country]],Table53[10m Air Pistol Classification],"&gt;0")</f>
        <v>0</v>
      </c>
      <c r="IC166" s="6">
        <f>COUNTIFS(Table19[Country],Tabela1[[#This Row],[Country]],Table19[10m Air Pistol Classification],"&gt;0")</f>
        <v>0</v>
      </c>
      <c r="ID166" s="6">
        <f>COUNTIFS(Table54[Country],Tabela1[[#This Row],[Country]],Table54[Mixed 10m Air Pistol Team Classification],"&gt;0")</f>
        <v>0</v>
      </c>
      <c r="IE166" s="6">
        <f>COUNTIFS(Table53[Country],Tabela1[[#This Row],[Country]],Table53[10m Air Rifle Classification],"&gt;0")</f>
        <v>0</v>
      </c>
      <c r="IF166" s="6">
        <f>COUNTIFS(Table19[Country],Tabela1[[#This Row],[Country]],Table19[10m Air Rifle Classification],"&gt;0")</f>
        <v>0</v>
      </c>
      <c r="IG166" s="6">
        <f>COUNTIFS(Table54[Country],Tabela1[[#This Row],[Country]],Table54[Mixed 10m Air Rifle Team Classification],"&gt;0")</f>
        <v>0</v>
      </c>
      <c r="IH166" s="6">
        <f>COUNTIFS(Table53[Country],Tabela1[[#This Row],[Country]],Table53[25m Rapid Fire Pistol Classification],"&gt;0")</f>
        <v>0</v>
      </c>
      <c r="II166" s="6">
        <f>COUNTIFS(Table19[Country],Tabela1[[#This Row],[Country]],Table19[25m Pistol Classification],"&gt;0")</f>
        <v>0</v>
      </c>
      <c r="IJ166" s="6">
        <f>COUNTIFS(Table53[Country],Tabela1[[#This Row],[Country]],Table53[50m Rifle 3 Positions Classification],"&gt;0")</f>
        <v>0</v>
      </c>
      <c r="IK166" s="6">
        <f>COUNTIFS(Table19[Country],Tabela1[[#This Row],[Country]],Table19[50m Rifle 3 Positions Classification],"&gt;0")</f>
        <v>0</v>
      </c>
      <c r="IL166" s="6">
        <f>COUNTIFS(Table53[Country],Tabela1[[#This Row],[Country]],Table53[Skeet Classification],"&gt;0")</f>
        <v>0</v>
      </c>
      <c r="IM166" s="6">
        <f>COUNTIFS(Table19[Country],Tabela1[[#This Row],[Country]],Table19[Skeet Classification],"&gt;0")</f>
        <v>0</v>
      </c>
      <c r="IN166" s="6">
        <f>COUNTIFS(Table54[Country],Tabela1[[#This Row],[Country]],Table54[Mixed Skeet Team Classification],"&gt;0")</f>
        <v>0</v>
      </c>
      <c r="IO166" s="6">
        <f>COUNTIFS(Table53[Country],Tabela1[[#This Row],[Country]],Table53[Trap Classification],"&gt;0")</f>
        <v>0</v>
      </c>
      <c r="IP166" s="6">
        <f>COUNTIFS(Table19[Country],Tabela1[[#This Row],[Country]],Table19[Trap Classification],"&gt;0")</f>
        <v>0</v>
      </c>
      <c r="IQ166" s="6">
        <f>COUNTIFS(Table73[Country],Tabela1[[#This Row],[Country]],Table73[Park Classification],"&gt;0")</f>
        <v>0</v>
      </c>
      <c r="IR166" s="6">
        <f>COUNTIFS(Table74[Country],Tabela1[[#This Row],[Country]],Table74[Park Classification],"&gt;0")</f>
        <v>0</v>
      </c>
      <c r="IS166" s="6">
        <f>COUNTIFS(Table73[Country],Tabela1[[#This Row],[Country]],Table73[Street Classification],"&gt;0")</f>
        <v>0</v>
      </c>
      <c r="IT166" s="6">
        <f>COUNTIFS(Table74[Country],Tabela1[[#This Row],[Country]],Table74[Street Classification],"&gt;0")</f>
        <v>0</v>
      </c>
      <c r="IU166" s="6">
        <f>COUNTIFS(Table75[Country],Tabela1[[#This Row],[Country]],Table75[Boulder and Lead Classification],"&gt;0")</f>
        <v>0</v>
      </c>
      <c r="IV166" s="6">
        <f>COUNTIFS(Table76[Country],Tabela1[[#This Row],[Country]],Table76[Boulder and Lead Classification],"&gt;0")</f>
        <v>0</v>
      </c>
      <c r="IW166" s="6">
        <f>COUNTIFS(Table75[Country],Tabela1[[#This Row],[Country]],Table75[Speed Classification],"&gt;0")</f>
        <v>0</v>
      </c>
      <c r="IX166" s="6">
        <f>COUNTIFS(Table76[Country],Tabela1[[#This Row],[Country]],Table76[Speed Classification],"&gt;0")</f>
        <v>0</v>
      </c>
      <c r="IY166" s="6">
        <f>COUNTIFS(Table64[Country],Tabela1[[#This Row],[Country]],Table64[Shortboard Classification],"&gt;0")</f>
        <v>0</v>
      </c>
      <c r="IZ166" s="6">
        <f>COUNTIFS(Table77[Country],Tabela1[[#This Row],[Country]],Table77[Shortboard Classification],"&gt;0")</f>
        <v>0</v>
      </c>
      <c r="JA166" s="6">
        <f>COUNTIFS(Table20[Country],Tabela1[[#This Row],[Country]],Table20[50m Freestyle Classification],"&gt;0")</f>
        <v>0</v>
      </c>
      <c r="JB166" s="6">
        <f>COUNTIFS(Table21[Country],Tabela1[[#This Row],[Country]],Table21[50m Freestyle Classification],"&gt;0")</f>
        <v>0</v>
      </c>
      <c r="JC166" s="6">
        <f>COUNTIFS(Table20[Country],Tabela1[[#This Row],[Country]],Table20[100m Freestyle Classification],"&gt;0")</f>
        <v>0</v>
      </c>
      <c r="JD166" s="6">
        <f>COUNTIFS(Table21[Country],Tabela1[[#This Row],[Country]],Table21[100m Freestyle Classification],"&gt;0")</f>
        <v>0</v>
      </c>
      <c r="JE166" s="6">
        <f>COUNTIFS(Table20[Country],Tabela1[[#This Row],[Country]],Table20[200m Freestyle Classification],"&gt;0")</f>
        <v>0</v>
      </c>
      <c r="JF166" s="6">
        <f>COUNTIFS(Table21[Country],Tabela1[[#This Row],[Country]],Table21[200m Freestyle Classification],"&gt;0")</f>
        <v>0</v>
      </c>
      <c r="JG166" s="6">
        <f>COUNTIFS(Table20[Country],Tabela1[[#This Row],[Country]],Table20[400m Freestyle Classification],"&gt;0")</f>
        <v>0</v>
      </c>
      <c r="JH166" s="6">
        <f>COUNTIFS(Table21[Country],Tabela1[[#This Row],[Country]],Table21[400m Freestyle Classification],"&gt;0")</f>
        <v>0</v>
      </c>
      <c r="JI166" s="6">
        <f>COUNTIFS(Table20[Country],Tabela1[[#This Row],[Country]],Table20[800m Freestyle Classification],"&gt;0")</f>
        <v>0</v>
      </c>
      <c r="JJ166" s="6">
        <f>COUNTIFS(Table21[Country],Tabela1[[#This Row],[Country]],Table21[800m Freestyle Classification],"&gt;0")</f>
        <v>0</v>
      </c>
      <c r="JK166" s="6">
        <f>COUNTIFS(Table20[Country],Tabela1[[#This Row],[Country]],Table20[1500m Freestyle Classification],"&gt;0")</f>
        <v>0</v>
      </c>
      <c r="JL166" s="6">
        <f>COUNTIFS(Table21[Country],Tabela1[[#This Row],[Country]],Table21[1500m Freestyle Classification],"&gt;0")</f>
        <v>0</v>
      </c>
      <c r="JM166" s="6">
        <f>COUNTIFS(Table20[Country],Tabela1[[#This Row],[Country]],Table20[100m Backstroke Classification],"&gt;0")</f>
        <v>0</v>
      </c>
      <c r="JN166" s="6">
        <f>COUNTIFS(Table21[Country],Tabela1[[#This Row],[Country]],Table21[100m Backstroke Classification],"&gt;0")</f>
        <v>0</v>
      </c>
      <c r="JO166" s="6">
        <f>COUNTIFS(Table20[Country],Tabela1[[#This Row],[Country]],Table20[200m Backstroke Classification],"&gt;0")</f>
        <v>0</v>
      </c>
      <c r="JP166" s="6">
        <f>COUNTIFS(Table21[Country],Tabela1[[#This Row],[Country]],Table21[200m Backstroke Classification],"&gt;0")</f>
        <v>0</v>
      </c>
      <c r="JQ166" s="6">
        <f>COUNTIFS(Table20[Country],Tabela1[[#This Row],[Country]],Table20[100m Breaststroke Classification],"&gt;0")</f>
        <v>0</v>
      </c>
      <c r="JR166" s="6">
        <f>COUNTIFS(Table21[Country],Tabela1[[#This Row],[Country]],Table21[100m Breaststroke Classification],"&gt;0")</f>
        <v>0</v>
      </c>
      <c r="JS166" s="6">
        <f>COUNTIFS(Table20[Country],Tabela1[[#This Row],[Country]],Table20[200m Breaststroke Classification],"&gt;0")</f>
        <v>0</v>
      </c>
      <c r="JT166" s="6">
        <f>COUNTIFS(Table21[Country],Tabela1[[#This Row],[Country]],Table21[200m Breaststroke Classification],"&gt;0")</f>
        <v>0</v>
      </c>
      <c r="JU166" s="6">
        <f>COUNTIFS(Table20[Country],Tabela1[[#This Row],[Country]],Table20[100m Butterfly Classification],"&gt;0")</f>
        <v>0</v>
      </c>
      <c r="JV166" s="6">
        <f>COUNTIFS(Table21[Country],Tabela1[[#This Row],[Country]],Table21[100m Butterfly Classification],"&gt;0")</f>
        <v>0</v>
      </c>
      <c r="JW166" s="6">
        <f>COUNTIFS(Table20[Country],Tabela1[[#This Row],[Country]],Table20[200m Butterfly Classification],"&gt;0")</f>
        <v>0</v>
      </c>
      <c r="JX166" s="6">
        <f>COUNTIFS(Table21[Country],Tabela1[[#This Row],[Country]],Table21[200m Butterfly Classification],"&gt;0")</f>
        <v>0</v>
      </c>
      <c r="JY166" s="6">
        <f>COUNTIFS(Table20[Country],Tabela1[[#This Row],[Country]],Table20[200m Medley Classification],"&gt;0")</f>
        <v>0</v>
      </c>
      <c r="JZ166" s="6">
        <f>COUNTIFS(Table21[Country],Tabela1[[#This Row],[Country]],Table21[200m Medley Classification],"&gt;0")</f>
        <v>0</v>
      </c>
      <c r="KA166" s="6">
        <f>COUNTIFS(Table20[Country],Tabela1[[#This Row],[Country]],Table20[400m Medley Classification],"&gt;0")</f>
        <v>0</v>
      </c>
      <c r="KB166" s="6">
        <f>COUNTIFS(Table21[Country],Tabela1[[#This Row],[Country]],Table21[400m Medley Classification],"&gt;0")</f>
        <v>0</v>
      </c>
      <c r="KC166" s="6">
        <f>COUNTIFS(Table78[Country],Tabela1[[#This Row],[Country]],Table78[Men''s 4x100m Freestyle Relay Classification],"&gt;0")</f>
        <v>0</v>
      </c>
      <c r="KD166" s="6">
        <f>COUNTIFS(Table78[Country],Tabela1[[#This Row],[Country]],Table78[Women''s 4x100m Freestyle Relay Classification],"&gt;0")</f>
        <v>0</v>
      </c>
      <c r="KE166" s="6">
        <f>COUNTIFS(Table78[Country],Tabela1[[#This Row],[Country]],Table78[Men''s 4x200m Freestyle Relay Classification],"&gt;0")</f>
        <v>0</v>
      </c>
      <c r="KF166" s="6">
        <f>COUNTIFS(Table78[Country],Tabela1[[#This Row],[Country]],Table78[Women''s 4x200m Freestyle Relay Classification],"&gt;0")</f>
        <v>0</v>
      </c>
      <c r="KG166" s="6">
        <f>COUNTIFS(Table78[Country],Tabela1[[#This Row],[Country]],Table78[Men''s 4x100m Medley Relay Classification],"&gt;0")</f>
        <v>0</v>
      </c>
      <c r="KH166" s="6">
        <f>COUNTIFS(Table78[Country],Tabela1[[#This Row],[Country]],Table78[Women''s 4x100m Medley Relay Classification],"&gt;0")</f>
        <v>0</v>
      </c>
      <c r="KI166" s="6">
        <f>COUNTIFS(Table78[Country],Tabela1[[#This Row],[Country]],Table78[Mixed 4x100m Medley Relay Classification],"&gt;0")</f>
        <v>0</v>
      </c>
      <c r="KJ166" s="6">
        <f>COUNTIFS(Table20[Country],Tabela1[[#This Row],[Country]],Table20[10km Open Water Classification],"&gt;0")</f>
        <v>0</v>
      </c>
      <c r="KK166" s="6">
        <f>COUNTIFS(Table21[Country],Tabela1[[#This Row],[Country]],Table21[10km Open Water Classification],"&gt;0")</f>
        <v>0</v>
      </c>
      <c r="KL166" s="6">
        <f>COUNTIFS(Table22[Country],Tabela1[[#This Row],[Country]],Table22[Classification],"&gt;0")</f>
        <v>0</v>
      </c>
      <c r="KM166" s="6">
        <f>COUNTIFS(Table30[Country],Tabela1[[#This Row],[Country]],Table30[Classification],"&gt;0")</f>
        <v>0</v>
      </c>
      <c r="KN166" s="6">
        <f>COUNTIFS(Table55[Country],Tabela1[[#This Row],[Country]],Table55[Men''s Classification],"&gt;0")</f>
        <v>0</v>
      </c>
      <c r="KO166" s="6">
        <f>COUNTIFS(Table55[Country],Tabela1[[#This Row],[Country]],Table55[Women''s Classification],"&gt;0")</f>
        <v>0</v>
      </c>
      <c r="KP166" s="6">
        <f>COUNTIFS(Table56[Country],Tabela1[[#This Row],[Country]],Table56[Mixed Classification],"&gt;0")</f>
        <v>0</v>
      </c>
      <c r="KQ166" s="6">
        <f>COUNTIFS(Table29[Country],Tabela1[[#This Row],[Country]],Table29[58kg Classification],"&gt;0")</f>
        <v>0</v>
      </c>
      <c r="KR166" s="6">
        <f>COUNTIFS(Table29[Country],Tabela1[[#This Row],[Country]],Table29[68kg Classification],"&gt;0")</f>
        <v>0</v>
      </c>
      <c r="KS166" s="6">
        <f>COUNTIFS(Table29[Country],Tabela1[[#This Row],[Country]],Table29[80kg Classification],"&gt;0")</f>
        <v>0</v>
      </c>
      <c r="KT166" s="6">
        <f>COUNTIFS(Table29[Country],Tabela1[[#This Row],[Country]],Table29[Plus 80kg Classification],"&gt;0")</f>
        <v>0</v>
      </c>
      <c r="KU166" s="6">
        <f>COUNTIFS(Table34[Country],Tabela1[[#This Row],[Country]],Table34[49kg Classification],"&gt;0")</f>
        <v>0</v>
      </c>
      <c r="KV166" s="6">
        <f>COUNTIFS(Table34[Country],Tabela1[[#This Row],[Country]],Table34[57kg Classification],"&gt;0")</f>
        <v>0</v>
      </c>
      <c r="KW166" s="6">
        <f>COUNTIFS(Table34[Country],Tabela1[[#This Row],[Country]],Table34[67kg Classification],"&gt;0")</f>
        <v>0</v>
      </c>
      <c r="KX166" s="6">
        <f>COUNTIFS(Table34[Country],Tabela1[[#This Row],[Country]],Table34[Plus 67kg Classification],"&gt;0")</f>
        <v>0</v>
      </c>
      <c r="KY166" s="6">
        <f>COUNTIFS(Table57[Country],Tabela1[[#This Row],[Country]],Table57[Classification],"&gt;0")</f>
        <v>0</v>
      </c>
      <c r="KZ166" s="6">
        <f>COUNTIFS(Table58[Country],Tabela1[[#This Row],[Country]],Table58[Classification],"&gt;0")</f>
        <v>0</v>
      </c>
      <c r="LA166" s="6">
        <f>COUNTIFS(Table79[Country],Tabela1[[#This Row],[Country]],Table79[Men''s Classification],"&gt;0")</f>
        <v>0</v>
      </c>
      <c r="LB166" s="6">
        <f>COUNTIFS(Table79[Country],Tabela1[[#This Row],[Country]],Table79[Women''s Classification],"&gt;0")</f>
        <v>0</v>
      </c>
      <c r="LC166" s="6">
        <f>COUNTIFS(Table79[Country],Tabela1[[#This Row],[Country]],Table79[Mixed Classification],"&gt;0")</f>
        <v>0</v>
      </c>
      <c r="LD166" s="6">
        <f>COUNTIFS(Table65[Country],Tabela1[[#This Row],[Country]],Table65[Classification],"&gt;0")</f>
        <v>0</v>
      </c>
      <c r="LE166" s="6">
        <f>COUNTIFS(Table59[Country],Tabela1[[#This Row],[Country]],Table59[Classification],"&gt;0")</f>
        <v>0</v>
      </c>
      <c r="LF166" s="6">
        <f>COUNTIFS(Table87[Country],Tabela1[[#This Row],[Country]],Table87[Mixed Relay Classification],"&gt;0")</f>
        <v>0</v>
      </c>
      <c r="LG166" s="6">
        <f>COUNTIFS(Table91949698100[Country],Tabela1[[#This Row],[Country]],Table91949698100[Men''s Classification],"&gt;0")</f>
        <v>0</v>
      </c>
      <c r="LH166" s="6">
        <f>COUNTIFS(Table91949698100[Country],Tabela1[[#This Row],[Country]],Table91949698100[Women''s Classification],"&gt;0")</f>
        <v>0</v>
      </c>
      <c r="LI166" s="6">
        <f>COUNTIFS(Table91949698100102[Country],Tabela1[[#This Row],[Country]],Table91949698100102[Men''s Classification],"&gt;0")</f>
        <v>0</v>
      </c>
      <c r="LJ166" s="6">
        <f>COUNTIFS(Table91949698100102[Country],Tabela1[[#This Row],[Country]],Table91949698100102[Women''s Classification],"&gt;0")</f>
        <v>0</v>
      </c>
      <c r="LK166" s="6">
        <f>COUNTIFS(Table23[Country],Tabela1[[#This Row],[Country]],Table23[61kg Classification],"&gt;0")</f>
        <v>0</v>
      </c>
      <c r="LL166" s="6">
        <f>COUNTIFS(Table23[Country],Tabela1[[#This Row],[Country]],Table23[73kg Classification],"&gt;0")</f>
        <v>0</v>
      </c>
      <c r="LM166" s="6">
        <f>COUNTIFS(Table23[Country],Tabela1[[#This Row],[Country]],Table23[89kg Classification],"&gt;0")</f>
        <v>0</v>
      </c>
      <c r="LN166" s="6">
        <f>COUNTIFS(Table23[Country],Tabela1[[#This Row],[Country]],Table23[102kg Classification],"&gt;0")</f>
        <v>0</v>
      </c>
      <c r="LO166" s="6">
        <f>COUNTIFS(Table23[Country],Tabela1[[#This Row],[Country]],Table23[Plus 102kg Classification],"&gt;0")</f>
        <v>0</v>
      </c>
      <c r="LP166" s="6">
        <f>COUNTIFS(Table28[Country],Tabela1[[#This Row],[Country]],Table28[49kg Classification],"&gt;0")</f>
        <v>0</v>
      </c>
      <c r="LQ166" s="6">
        <f>COUNTIFS(Table28[Country],Tabela1[[#This Row],[Country]],Table28[59kg Classification],"&gt;0")</f>
        <v>0</v>
      </c>
      <c r="LR166" s="6">
        <f>COUNTIFS(Table28[Country],Tabela1[[#This Row],[Country]],Table28[71kg Classification],"&gt;0")</f>
        <v>0</v>
      </c>
      <c r="LS166" s="6">
        <f>COUNTIFS(Table28[Country],Tabela1[[#This Row],[Country]],Table28[81kg Classification],"&gt;0")</f>
        <v>0</v>
      </c>
      <c r="LT166" s="6">
        <f>COUNTIFS(Table28[Country],Tabela1[[#This Row],[Country]],Table28[Plus 81kg Classification],"&gt;0")</f>
        <v>0</v>
      </c>
      <c r="LU166" s="6">
        <f>COUNTIFS(Table24[Country],Tabela1[[#This Row],[Country]],Table24[Freestyle 57kg Classification],"&gt;0")</f>
        <v>0</v>
      </c>
      <c r="LV166" s="6">
        <f>COUNTIFS(Table24[Country],Tabela1[[#This Row],[Country]],Table24[Freestyle 65kg Classification],"&gt;0")</f>
        <v>0</v>
      </c>
      <c r="LW166" s="6">
        <f>COUNTIFS(Table24[Country],Tabela1[[#This Row],[Country]],Table24[Freestyle 74kg Classification],"&gt;0")</f>
        <v>0</v>
      </c>
      <c r="LX166" s="6">
        <f>COUNTIFS(Table24[Country],Tabela1[[#This Row],[Country]],Table24[Freestyle 86kg Classification],"&gt;0")</f>
        <v>0</v>
      </c>
      <c r="LY166" s="6">
        <f>COUNTIFS(Table24[Country],Tabela1[[#This Row],[Country]],Table24[Freestyle 97kg Classification],"&gt;0")</f>
        <v>0</v>
      </c>
      <c r="LZ166" s="6">
        <f>COUNTIFS(Table24[Country],Tabela1[[#This Row],[Country]],Table24[Freestyle 125kg Classification],"&gt;0")</f>
        <v>0</v>
      </c>
      <c r="MA166" s="6">
        <f>COUNTIFS(Table24[Country],Tabela1[[#This Row],[Country]],Table24[Greco-Roman 60kg Classification],"&gt;0")</f>
        <v>0</v>
      </c>
      <c r="MB166" s="6">
        <f>COUNTIFS(Table24[Country],Tabela1[[#This Row],[Country]],Table24[Greco-Roman 67kg Classification],"&gt;0")</f>
        <v>0</v>
      </c>
      <c r="MC166" s="6">
        <f>COUNTIFS(Table24[Country],Tabela1[[#This Row],[Country]],Table24[Greco-Roman 77kg Classification],"&gt;0")</f>
        <v>0</v>
      </c>
      <c r="MD166" s="6">
        <f>COUNTIFS(Table24[Country],Tabela1[[#This Row],[Country]],Table24[Greco-Roman 87kg Classification],"&gt;0")</f>
        <v>0</v>
      </c>
      <c r="ME166" s="6">
        <f>COUNTIFS(Table24[Country],Tabela1[[#This Row],[Country]],Table24[Greco-Roman 97kg Classification],"&gt;0")</f>
        <v>0</v>
      </c>
      <c r="MF166" s="6">
        <f>COUNTIFS(Table24[Country],Tabela1[[#This Row],[Country]],Table24[Greco-Roman 130kg Classification],"&gt;0")</f>
        <v>0</v>
      </c>
      <c r="MG166" s="6">
        <f>COUNTIFS(Table31[Country],Tabela1[[#This Row],[Country]],Table31[50kg Classification],"&gt;0")</f>
        <v>0</v>
      </c>
      <c r="MH166" s="6">
        <f>COUNTIFS(Table31[Country],Tabela1[[#This Row],[Country]],Table31[53kg Classification],"&gt;0")</f>
        <v>0</v>
      </c>
      <c r="MI166" s="6">
        <f>COUNTIFS(Table31[Country],Tabela1[[#This Row],[Country]],Table31[57kg Classification],"&gt;0")</f>
        <v>0</v>
      </c>
      <c r="MJ166" s="6">
        <f>COUNTIFS(Table31[Country],Tabela1[[#This Row],[Country]],Table31[62kg Classification],"&gt;0")</f>
        <v>0</v>
      </c>
      <c r="MK166" s="6">
        <f>COUNTIFS(Table31[Country],Tabela1[[#This Row],[Country]],Table31[68kg Classification],"&gt;0")</f>
        <v>0</v>
      </c>
      <c r="ML166" s="6">
        <f>COUNTIFS(Table31[Country],Tabela1[[#This Row],[Country]],Table31[76kg Classification],"&gt;0")</f>
        <v>0</v>
      </c>
      <c r="MM166" s="6">
        <f>COUNTIFS(Table102[Country],Tabela1[[#This Row],[Country]],Table102[Downhill Classification],"&gt;0")</f>
        <v>0</v>
      </c>
      <c r="MN166" s="6">
        <f>COUNTIFS(Table102105[Country],Tabela1[[#This Row],[Country]],Table102105[Downhill Classification],"&gt;0")</f>
        <v>0</v>
      </c>
      <c r="MO166" s="6">
        <f>COUNTIFS(Table102[Country],Tabela1[[#This Row],[Country]],Table102[Giant Slalom Classification],"&gt;0")</f>
        <v>0</v>
      </c>
      <c r="MP166" s="6">
        <f>COUNTIFS(Table102105[Country],Tabela1[[#This Row],[Country]],Table102105[Giant Slalom Classification],"&gt;0")</f>
        <v>0</v>
      </c>
      <c r="MQ166" s="6">
        <f>COUNTIFS(Table102[Country],Tabela1[[#This Row],[Country]],Table102[Slalom Classification],"&gt;0")</f>
        <v>0</v>
      </c>
      <c r="MR166" s="6">
        <f>COUNTIFS(Table102105[Country],Tabela1[[#This Row],[Country]],Table102105[Slalom Classification],"&gt;0")</f>
        <v>0</v>
      </c>
      <c r="MS166" s="6">
        <f>COUNTIFS(Table102[Country],Tabela1[[#This Row],[Country]],Table102[Super-G Classification],"&gt;0")</f>
        <v>0</v>
      </c>
      <c r="MT166" s="6">
        <f>COUNTIFS(Table102105[Country],Tabela1[[#This Row],[Country]],Table102105[Super-G Classification],"&gt;0")</f>
        <v>0</v>
      </c>
      <c r="MU166" s="6">
        <f>COUNTIFS(Table105[Country],Tabela1[[#This Row],[Country]],Table105[Men''s Combined Classification],"&gt;0")</f>
        <v>0</v>
      </c>
      <c r="MV166" s="6">
        <f>COUNTIFS(Table105[Country],Tabela1[[#This Row],[Country]],Table105[Women''s Combined Classification],"&gt;0")</f>
        <v>0</v>
      </c>
      <c r="MW166" s="6">
        <f>COUNTIFS(Table106[Country],Tabela1[[#This Row],[Country]],Table106[Individual Classification],"&gt;0")</f>
        <v>0</v>
      </c>
      <c r="MX166" s="6">
        <f>COUNTIFS(Table106109[Country],Tabela1[[#This Row],[Country]],Table106109[Individual Classification],"&gt;0")</f>
        <v>0</v>
      </c>
      <c r="MY166" s="6">
        <f>COUNTIFS(Table106[Country],Tabela1[[#This Row],[Country]],Table106[Mass Start Classification],"&gt;0")</f>
        <v>0</v>
      </c>
      <c r="MZ166" s="6">
        <f>COUNTIFS(Table106109[Country],Tabela1[[#This Row],[Country]],Table106109[Mass Start Classification],"&gt;0")</f>
        <v>0</v>
      </c>
      <c r="NA166" s="6">
        <f>COUNTIFS(Table106[Country],Tabela1[[#This Row],[Country]],Table106[Pursuit Classification],"&gt;0")</f>
        <v>0</v>
      </c>
      <c r="NB166" s="6">
        <f>COUNTIFS(Table106109[Country],Tabela1[[#This Row],[Country]],Table106109[Pursuit Classification],"&gt;0")</f>
        <v>0</v>
      </c>
      <c r="NC166" s="6">
        <f>COUNTIFS(Table106[Country],Tabela1[[#This Row],[Country]],Table106[Sprint Classification],"&gt;0")</f>
        <v>0</v>
      </c>
      <c r="ND166" s="6">
        <f>COUNTIFS(Table106109[Country],Tabela1[[#This Row],[Country]],Table106109[Sprint Classification],"&gt;0")</f>
        <v>0</v>
      </c>
      <c r="NE166" s="6">
        <f>COUNTIFS(Table109[Country],Tabela1[[#This Row],[Country]],Table109[Men''s Relay Classification],"&gt;0")</f>
        <v>0</v>
      </c>
      <c r="NF166" s="6">
        <f>COUNTIFS(Table109[Country],Tabela1[[#This Row],[Country]],Table109[Women''s Relay Classification],"&gt;0")</f>
        <v>0</v>
      </c>
      <c r="NG166" s="6">
        <f>COUNTIFS(Table109[Country],Tabela1[[#This Row],[Country]],Table109[Mixed Relay Classification],"&gt;0")</f>
        <v>0</v>
      </c>
      <c r="NH166" s="6">
        <f>COUNTIFS(Table110[Country],Tabela1[[#This Row],[Country]],Table110[Monobob Classification],"&gt;0")</f>
        <v>0</v>
      </c>
      <c r="NI166" s="6">
        <f>COUNTIFS(Table111[Country],Tabela1[[#This Row],[Country]],Table111[Men''s Classification],"&gt;0")</f>
        <v>0</v>
      </c>
      <c r="NJ166" s="6">
        <f>COUNTIFS(Table111[Country],Tabela1[[#This Row],[Country]],Table111[Women''s Classification],"&gt;0")</f>
        <v>0</v>
      </c>
      <c r="NK166" s="6">
        <f>COUNTIFS(Table112[Country],Tabela1[[#This Row],[Country]],Table112[Men''s Four Classification],"&gt;0")</f>
        <v>0</v>
      </c>
      <c r="NL166" s="6">
        <f>COUNTIFS(Table113[Country],Tabela1[[#This Row],[Country]],Table113[Classical Classification],"&gt;0")</f>
        <v>0</v>
      </c>
      <c r="NM166" s="6">
        <f>COUNTIFS(Table113116[Country],Tabela1[[#This Row],[Country]],Table113116[Classical Classification],"&gt;0")</f>
        <v>0</v>
      </c>
      <c r="NN166" s="6">
        <f>COUNTIFS(Table113[Country],Tabela1[[#This Row],[Country]],Table113[Freestyle Classification],"&gt;0")</f>
        <v>0</v>
      </c>
      <c r="NO166" s="6">
        <f>COUNTIFS(Table113116[Country],Tabela1[[#This Row],[Country]],Table113116[Freestyle Classification],"&gt;0")</f>
        <v>0</v>
      </c>
      <c r="NP166" s="6">
        <f>COUNTIFS(Table117[Country],Tabela1[[#This Row],[Country]],Table117[Men''s Relay Classification],"&gt;0")</f>
        <v>0</v>
      </c>
      <c r="NQ166" s="6">
        <f>COUNTIFS(Table117[Country],Tabela1[[#This Row],[Country]],Table117[Women''s Relay Classification],"&gt;0")</f>
        <v>0</v>
      </c>
      <c r="NR166" s="6">
        <f>COUNTIFS(Table113[Country],Tabela1[[#This Row],[Country]],Table113[Skiathlon Classification],"&gt;0")</f>
        <v>0</v>
      </c>
      <c r="NS166" s="6">
        <f>COUNTIFS(Table113116[Country],Tabela1[[#This Row],[Country]],Table113116[Skiathlon Classification],"&gt;0")</f>
        <v>0</v>
      </c>
      <c r="NT166" s="6">
        <f>COUNTIFS(Table113[Country],Tabela1[[#This Row],[Country]],Table113[Sprint Classification],"&gt;0")</f>
        <v>0</v>
      </c>
      <c r="NU166" s="6">
        <f>COUNTIFS(Table113116[Country],Tabela1[[#This Row],[Country]],Table113116[Sprint Classification],"&gt;0")</f>
        <v>0</v>
      </c>
      <c r="NV166" s="6">
        <f>COUNTIFS(Table116[Country],Tabela1[[#This Row],[Country]],Table116[Men''s Team Sprint Classification],"&gt;0")</f>
        <v>0</v>
      </c>
      <c r="NW166" s="6">
        <f>COUNTIFS(Table116[Country],Tabela1[[#This Row],[Country]],Table116[Women''s Team Sprint Classification],"&gt;0")</f>
        <v>0</v>
      </c>
      <c r="NX166" s="6">
        <f>COUNTIFS(Table119[Country],Tabela1[[#This Row],[Country]],Table119[Men''s Classification],"&gt;0")</f>
        <v>0</v>
      </c>
      <c r="NY166" s="6">
        <f>COUNTIFS(Table119[Country],Tabela1[[#This Row],[Country]],Table119[Women''s Classification],"&gt;0")</f>
        <v>0</v>
      </c>
      <c r="NZ166" s="6">
        <f>COUNTIFS(Table118[Country],Tabela1[[#This Row],[Country]],Table118[Mixed Classification],"&gt;0")</f>
        <v>0</v>
      </c>
      <c r="OA166" s="6">
        <f>COUNTIFS(Table120[Country],Tabela1[[#This Row],[Country]],Table120[Classification],"&gt;0")</f>
        <v>0</v>
      </c>
      <c r="OB166" s="6">
        <f>COUNTIFS(Table120123[Country],Tabela1[[#This Row],[Country]],Table120123[Classification],"&gt;0")</f>
        <v>0</v>
      </c>
      <c r="OC166" s="6">
        <f>COUNTIFS(Table123[Country],Tabela1[[#This Row],[Country]],Table123[Ice Dance Classification],"&gt;0")</f>
        <v>0</v>
      </c>
      <c r="OD166" s="6">
        <f>COUNTIFS(Table123[Country],Tabela1[[#This Row],[Country]],Table123[Pair Skating Classification],"&gt;0")</f>
        <v>0</v>
      </c>
      <c r="OE166" s="6">
        <f>COUNTIFS(Table124[Country],Tabela1[[#This Row],[Country]],Table124[Mixed Classification],"&gt;0")</f>
        <v>0</v>
      </c>
      <c r="OF166" s="6">
        <f>COUNTIFS(Table125[Country],Tabela1[[#This Row],[Country]],Table125[Aerials Classification],"&gt;0")</f>
        <v>0</v>
      </c>
      <c r="OG166" s="6">
        <f>COUNTIFS(Table125128[Country],Tabela1[[#This Row],[Country]],Table125128[Aerials Classification],"&gt;0")</f>
        <v>0</v>
      </c>
      <c r="OH166" s="6">
        <f>COUNTIFS(Table128[Country],Tabela1[[#This Row],[Country]],Table128[Mixed Aerials Classification],"&gt;0")</f>
        <v>0</v>
      </c>
      <c r="OI166" s="6">
        <f>COUNTIFS(Table125[Country],Tabela1[[#This Row],[Country]],Table125[Big Air Classification],"&gt;0")</f>
        <v>0</v>
      </c>
      <c r="OJ166" s="6">
        <f>COUNTIFS(Table125128[Country],Tabela1[[#This Row],[Country]],Table125128[Big Air Classification],"&gt;0")</f>
        <v>0</v>
      </c>
      <c r="OK166" s="6">
        <f>COUNTIFS(Table125[Country],Tabela1[[#This Row],[Country]],Table125[Dual Moguls Classification],"&gt;0")</f>
        <v>0</v>
      </c>
      <c r="OL166" s="6">
        <f>COUNTIFS(Table125128[Country],Tabela1[[#This Row],[Country]],Table125128[Dual Moguls Classification],"&gt;0")</f>
        <v>0</v>
      </c>
      <c r="OM166" s="6">
        <f>COUNTIFS(Table125[Country],Tabela1[[#This Row],[Country]],Table125[Halfpipe Classification],"&gt;0")</f>
        <v>0</v>
      </c>
      <c r="ON166" s="6">
        <f>COUNTIFS(Table125128[Country],Tabela1[[#This Row],[Country]],Table125128[Halfpipe Classification],"&gt;0")</f>
        <v>0</v>
      </c>
      <c r="OO166" s="6">
        <f>COUNTIFS(Table125[Country],Tabela1[[#This Row],[Country]],Table125[Moguls Classification],"&gt;0")</f>
        <v>0</v>
      </c>
      <c r="OP166" s="6">
        <f>COUNTIFS(Table125128[Country],Tabela1[[#This Row],[Country]],Table125128[Moguls Classification],"&gt;0")</f>
        <v>0</v>
      </c>
      <c r="OQ166" s="6">
        <f>COUNTIFS(Table125[Country],Tabela1[[#This Row],[Country]],Table125[Ski Cross Classification],"&gt;0")</f>
        <v>0</v>
      </c>
      <c r="OR166" s="6">
        <f>COUNTIFS(Table125128[Country],Tabela1[[#This Row],[Country]],Table125128[Ski Cross Classification],"&gt;0")</f>
        <v>0</v>
      </c>
      <c r="OS166" s="6">
        <f>COUNTIFS(Table125[Country],Tabela1[[#This Row],[Country]],Table125[Slopestyle Classification],"&gt;0")</f>
        <v>0</v>
      </c>
      <c r="OT166" s="6">
        <f>COUNTIFS(Table125128[Country],Tabela1[[#This Row],[Country]],Table125128[Slopestyle Classification],"&gt;0")</f>
        <v>0</v>
      </c>
      <c r="OU166" s="6">
        <f>COUNTIFS(Table119131[Country],Tabela1[[#This Row],[Country]],Table119131[Men''s Classification],"&gt;0")</f>
        <v>0</v>
      </c>
      <c r="OV166" s="6">
        <f>COUNTIFS(Table119131[Country],Tabela1[[#This Row],[Country]],Table119131[Women''s Classification],"&gt;0")</f>
        <v>0</v>
      </c>
      <c r="OW166" s="6">
        <f>COUNTIFS(Table131[Country],Tabela1[[#This Row],[Country]],Table131[Classification],"&gt;0")</f>
        <v>0</v>
      </c>
      <c r="OX166" s="6">
        <f>COUNTIFS(Table131134[Country],Tabela1[[#This Row],[Country]],Table131134[Classification],"&gt;0")</f>
        <v>0</v>
      </c>
      <c r="OY166" s="6">
        <f>COUNTIFS(Table134[Country],Tabela1[[#This Row],[Country]],Table134[Men''s Classification],"&gt;0")</f>
        <v>0</v>
      </c>
      <c r="OZ166" s="6">
        <f>COUNTIFS(Table134[Country],Tabela1[[#This Row],[Country]],Table134[Women''s Classification],"&gt;0")</f>
        <v>0</v>
      </c>
      <c r="PA166" s="6">
        <f>COUNTIFS(Table135[Country],Tabela1[[#This Row],[Country]],Table135[Mixed Relay Classification],"&gt;0")</f>
        <v>0</v>
      </c>
      <c r="PB166" s="6">
        <f>COUNTIFS(Table136[Country],Tabela1[[#This Row],[Country]],Table136[Individual Classification],"&gt;0")</f>
        <v>0</v>
      </c>
      <c r="PC166" s="6">
        <f>COUNTIFS(Table136[Country],Tabela1[[#This Row],[Country]],Table136[Sprint Classification],"&gt;0")</f>
        <v>0</v>
      </c>
      <c r="PD166" s="6">
        <f>COUNTIFS(Table137[Country],Tabela1[[#This Row],[Country]],Table137[Men''s Team Sprint Large Hill Classification],"&gt;0")</f>
        <v>0</v>
      </c>
      <c r="PE166" s="6">
        <f>COUNTIFS(Table138[Country],Tabela1[[#This Row],[Country]],Table138[500m Classification],"&gt;0")</f>
        <v>0</v>
      </c>
      <c r="PF166" s="6">
        <f>COUNTIFS(Table138141[Country],Tabela1[[#This Row],[Country]],Table138141[500m Classification],"&gt;0")</f>
        <v>0</v>
      </c>
      <c r="PG166" s="6">
        <f>COUNTIFS(Table138[Country],Tabela1[[#This Row],[Country]],Table138[1000m Classification],"&gt;0")</f>
        <v>0</v>
      </c>
      <c r="PH166" s="6">
        <f>COUNTIFS(Table138141[Country],Tabela1[[#This Row],[Country]],Table138141[1000m Classification],"&gt;0")</f>
        <v>0</v>
      </c>
      <c r="PI166" s="6">
        <f>COUNTIFS(Table138[Country],Tabela1[[#This Row],[Country]],Table138[1500m Classification],"&gt;0")</f>
        <v>0</v>
      </c>
      <c r="PJ166" s="6">
        <f>COUNTIFS(Table138141[Country],Tabela1[[#This Row],[Country]],Table138141[1500m Classification],"&gt;0")</f>
        <v>0</v>
      </c>
      <c r="PK166" s="6">
        <f>COUNTIFS(Table141[Country],Tabela1[[#This Row],[Country]],Table141[Men''s 5000m Relay Classification],"&gt;0")</f>
        <v>0</v>
      </c>
      <c r="PL166" s="6">
        <f>COUNTIFS(Table141[Country],Tabela1[[#This Row],[Country]],Table141[Women''s 3000m Relay Classification],"&gt;0")</f>
        <v>0</v>
      </c>
      <c r="PM166" s="6">
        <f>COUNTIFS(Table141[Country],Tabela1[[#This Row],[Country]],Table141[Mixed 2000m Relay Classification],"&gt;0")</f>
        <v>0</v>
      </c>
      <c r="PN166" s="6">
        <f>COUNTIFS(Table142[Country],Tabela1[[#This Row],[Country]],Table142[Classification],"&gt;0")</f>
        <v>0</v>
      </c>
      <c r="PO166" s="6">
        <f>COUNTIFS(Table142145[Country],Tabela1[[#This Row],[Country]],Table142145[Classification],"&gt;0")</f>
        <v>0</v>
      </c>
      <c r="PP166" s="6">
        <f>COUNTIFS(Tabela15[Country],Tabela1[[#This Row],[Country]],Tabela15[Mixed Team Classification],"&gt;0")</f>
        <v>0</v>
      </c>
      <c r="PQ166" s="6">
        <f>COUNTIFS(Table145[Country],Tabela1[[#This Row],[Country]],Table145[Large Hill Classification],"&gt;0")</f>
        <v>0</v>
      </c>
      <c r="PR166" s="6">
        <f>COUNTIFS(Table145[Country],Tabela1[[#This Row],[Country]],Table145[Normal Hill Classification],"&gt;0")</f>
        <v>0</v>
      </c>
      <c r="PS166" s="6">
        <f>COUNTIFS(Table145148[Country],Tabela1[[#This Row],[Country]],Table145148[Large Hill Classification],"&gt;0")</f>
        <v>0</v>
      </c>
      <c r="PT166" s="6">
        <f>COUNTIFS(Table145148[Country],Tabela1[[#This Row],[Country]],Table145148[Normal Hill Classification],"&gt;0")</f>
        <v>0</v>
      </c>
      <c r="PU166" s="6">
        <f>COUNTIFS(Table148[Country],Tabela1[[#This Row],[Country]],Table148[Men''s Super Team Classification],"&gt;0")</f>
        <v>0</v>
      </c>
      <c r="PV166" s="6">
        <f>COUNTIFS(Tabela114[Country],Tabela1[[#This Row],[Country]],Tabela114[Mixed Normal Hill Classification],"&gt;0")</f>
        <v>0</v>
      </c>
      <c r="PW166" s="6">
        <f>COUNTIFS(Tabela50[Country],Tabela1[[#This Row],[Country]],Tabela50[Sprint Classification],"&gt;0")</f>
        <v>0</v>
      </c>
      <c r="PX166" s="6">
        <f>COUNTIFS(Tabela50101[Country],Tabela1[[#This Row],[Country]],Tabela50101[Sprint Classification],"&gt;0")</f>
        <v>0</v>
      </c>
      <c r="PY166" s="6">
        <f>COUNTIFS(Tabela103[Country],Tabela1[[#This Row],[Country]],Tabela103[Mixed Relay Classification],"&gt;0")</f>
        <v>0</v>
      </c>
      <c r="PZ166" s="6">
        <f>COUNTIFS(Table149[Country],Tabela1[[#This Row],[Country]],Table149[Big Air Classification],"&gt;0")</f>
        <v>0</v>
      </c>
      <c r="QA166" s="6">
        <f>COUNTIFS(Table149152[Country],Tabela1[[#This Row],[Country]],Table149152[Big Air Classification],"&gt;0")</f>
        <v>0</v>
      </c>
      <c r="QB166" s="6">
        <f>COUNTIFS(Table149[Country],Tabela1[[#This Row],[Country]],Table149[Halfpipe Classification],"&gt;0")</f>
        <v>0</v>
      </c>
      <c r="QC166" s="6">
        <f>COUNTIFS(Table149152[Country],Tabela1[[#This Row],[Country]],Table149152[Halfpipe Classification],"&gt;0")</f>
        <v>0</v>
      </c>
      <c r="QD166" s="6">
        <f>COUNTIFS(Table149[Country],Tabela1[[#This Row],[Country]],Table149[Parallel Giant Slalom Classification],"&gt;0")</f>
        <v>0</v>
      </c>
      <c r="QE166" s="6">
        <f>COUNTIFS(Table149152[Country],Tabela1[[#This Row],[Country]],Table149152[Parallel Giant Slalom Classification],"&gt;0")</f>
        <v>0</v>
      </c>
      <c r="QF166" s="6">
        <f>COUNTIFS(Table149[Country],Tabela1[[#This Row],[Country]],Table149[Slopestyle Classification],"&gt;0")</f>
        <v>0</v>
      </c>
      <c r="QG166" s="6">
        <f>COUNTIFS(Table149152[Country],Tabela1[[#This Row],[Country]],Table149152[Slopestyle Classification],"&gt;0")</f>
        <v>0</v>
      </c>
      <c r="QH166" s="6">
        <f>COUNTIFS(Table149[Country],Tabela1[[#This Row],[Country]],Table149[Snowboard Cross Classification],"&gt;0")</f>
        <v>0</v>
      </c>
      <c r="QI166" s="6">
        <f>COUNTIFS(Table149152[Country],Tabela1[[#This Row],[Country]],Table149152[Snowboard Cross Classification],"&gt;0")</f>
        <v>0</v>
      </c>
      <c r="QJ166" s="6">
        <f>COUNTIFS(Table153[Country],Tabela1[[#This Row],[Country]],Table153[Mixed Team Snowboard Cross Classification],"&gt;0")</f>
        <v>0</v>
      </c>
      <c r="QK166" s="6">
        <f>COUNTIFS(Table154[Country],Tabela1[[#This Row],[Country]],Table154[500m Classification],"&gt;0")</f>
        <v>0</v>
      </c>
      <c r="QL166" s="6">
        <f>COUNTIFS(Table154157[Country],Tabela1[[#This Row],[Country]],Table154157[500m Classification],"&gt;0")</f>
        <v>0</v>
      </c>
      <c r="QM166" s="6">
        <f>COUNTIFS(Table154[Country],Tabela1[[#This Row],[Country]],Table154[1000m Classification],"&gt;0")</f>
        <v>0</v>
      </c>
      <c r="QN166" s="6">
        <f>COUNTIFS(Table154157[Country],Tabela1[[#This Row],[Country]],Table154157[1000m Classification],"&gt;0")</f>
        <v>0</v>
      </c>
      <c r="QO166" s="6">
        <f>COUNTIFS(Table154[Country],Tabela1[[#This Row],[Country]],Table154[1500m Classification],"&gt;0")</f>
        <v>0</v>
      </c>
      <c r="QP166" s="6">
        <f>COUNTIFS(Table154157[Country],Tabela1[[#This Row],[Country]],Table154157[1500m Classification],"&gt;0")</f>
        <v>0</v>
      </c>
      <c r="QQ166" s="6">
        <f>COUNTIFS(Table154157[Country],Tabela1[[#This Row],[Country]],Table154157[3000m Classification],"&gt;0")</f>
        <v>0</v>
      </c>
      <c r="QR166" s="6">
        <f>COUNTIFS(Table154[Country],Tabela1[[#This Row],[Country]],Table154[5000m Classification],"&gt;0")</f>
        <v>0</v>
      </c>
      <c r="QS166" s="6">
        <f>COUNTIFS(Table154157[Country],Tabela1[[#This Row],[Country]],Table154157[5000m Classification],"&gt;0")</f>
        <v>0</v>
      </c>
      <c r="QT166" s="6">
        <f>COUNTIFS(Table154[Country],Tabela1[[#This Row],[Country]],Table154[10000m Classification],"&gt;0")</f>
        <v>0</v>
      </c>
      <c r="QU166" s="6">
        <f>COUNTIFS(Table154[Country],Tabela1[[#This Row],[Country]],Table154[Mass Start Classification],"&gt;0")</f>
        <v>0</v>
      </c>
      <c r="QV166" s="6">
        <f>COUNTIFS(Table154157[Country],Tabela1[[#This Row],[Country]],Table154157[Mass Start Classification],"&gt;0")</f>
        <v>0</v>
      </c>
      <c r="QW166" s="6">
        <f>COUNTIFS(Table157[Country],Tabela1[[#This Row],[Country]],Table157[Men''s Pursuit Classification],"&gt;0")</f>
        <v>0</v>
      </c>
      <c r="QX166" s="6">
        <f>COUNTIFS(Table157[Country],Tabela1[[#This Row],[Country]],Table157[Women''s Pursuit Classification],"&gt;0")</f>
        <v>0</v>
      </c>
      <c r="QY166" s="3" t="s">
        <v>517</v>
      </c>
    </row>
    <row r="167" spans="1:467" x14ac:dyDescent="0.3">
      <c r="A167" s="6">
        <v>166</v>
      </c>
      <c r="B167" s="6" t="s">
        <v>522</v>
      </c>
      <c r="C167" t="e" vm="166">
        <f>IF(ISBLANK(Tabela1[[#This Row],[Image Link]]), "", _xlfn.IMAGE(Tabela1[[#This Row],[Image Link]],1,1))</f>
        <v>#VALUE!</v>
      </c>
      <c r="D167" s="6">
        <f>SUM(Tabela1[[#This Row],[Archery - Men''s Individual Recurve]:[Speed Skating - Women''s Team Pursuit]])</f>
        <v>0</v>
      </c>
      <c r="E167" s="6">
        <f>COUNTIF(Tabela1[[#This Row],[Archery - Men''s Individual Recurve]:[Speed Skating - Women''s Team Pursuit]],"&gt;0")</f>
        <v>0</v>
      </c>
      <c r="F167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67" s="6">
        <f>SUM(Tabela1[[#This Row],[Archery - Men''s Individual Recurve]:[Wrestling - Women''s Freestyle 76kg]])</f>
        <v>0</v>
      </c>
      <c r="H167" s="6">
        <f>SUM(Tabela1[[#This Row],[Alpine Skiing - Men''s Downhill]:[Speed Skating - Women''s Team Pursuit]])</f>
        <v>0</v>
      </c>
      <c r="I167" s="6">
        <f>Tabela1[[#This Row],[Summer Gold Medals]]+Tabela1[[#This Row],[Winter Gold Medals]]</f>
        <v>0</v>
      </c>
      <c r="J167" s="6">
        <f>Tabela1[[#This Row],[Summer Silver Medals]]+Tabela1[[#This Row],[Winter Silver Medals]]</f>
        <v>0</v>
      </c>
      <c r="K167" s="6">
        <f>Tabela1[[#This Row],[Summer Bronze Medals]]+Tabela1[[#This Row],[Winter Bronze Medals]]</f>
        <v>0</v>
      </c>
      <c r="L167" s="6">
        <f>SUM(Tabela1[[#This Row],[Total Gold Medals]:[Total Bronze Medals]])</f>
        <v>0</v>
      </c>
      <c r="M167" s="6"/>
      <c r="N167" s="6"/>
      <c r="O167" s="6"/>
      <c r="P167" s="6">
        <f>SUM(Tabela1[[#This Row],[Summer Gold Medals]:[Summer Bronze Medals]])</f>
        <v>0</v>
      </c>
      <c r="Q167" s="6"/>
      <c r="R167" s="6"/>
      <c r="S167" s="6"/>
      <c r="T167" s="6">
        <f>Tabela1[[#This Row],[Winter Gold Medals]]+Tabela1[[#This Row],[Winter Silver Medals]]+Tabela1[[#This Row],[Winter Bronze Medals]]</f>
        <v>0</v>
      </c>
      <c r="U167" s="7" t="e">
        <f>Tabela1[[#This Row],[Total Medals]]/Tabela1[[#This Row],[Total Quotas]]</f>
        <v>#DIV/0!</v>
      </c>
      <c r="V167" s="6">
        <f>COUNTIFS(Table3[Country],Tabela1[[#This Row],[Country]],Table3[Recurve Classification],"&gt;0")</f>
        <v>0</v>
      </c>
      <c r="W167" s="6">
        <f>COUNTIFS(Table33[Country],Tabela1[[#This Row],[Country]],Table33[Recurve Classification],"&gt;0")</f>
        <v>0</v>
      </c>
      <c r="X167" s="6">
        <f>COUNTIFS(Table35[Country],Tabela1[[#This Row],[Country]],Table35[Men''s Team Recurve Classification],"&gt;0")</f>
        <v>0</v>
      </c>
      <c r="Y167" s="6">
        <f>COUNTIFS(Table35[Country],Tabela1[[#This Row],[Country]],Table35[Women''s Team Recurve Classification],"&gt;0")</f>
        <v>0</v>
      </c>
      <c r="Z167" s="6">
        <f>COUNTIFS(Tabela88[Country],Tabela1[[#This Row],[Country]],Tabela88[Mixed Team Recurve Classification],"&gt;0")</f>
        <v>0</v>
      </c>
      <c r="AA167" s="6">
        <f>COUNTIFS(Table36[Country],Tabela1[[#This Row],[Country]],Table36[Classification],"&gt;0")</f>
        <v>0</v>
      </c>
      <c r="AB167" s="6">
        <f>COUNTIFS(Table37[Country],Tabela1[[#This Row],[Country]],Table37[Classification],"&gt;0")</f>
        <v>0</v>
      </c>
      <c r="AC167" s="6">
        <f>COUNTIFS(Table4[Country],Tabela1[[#This Row],[Country]],Table4[100m Classification],"&gt;0")</f>
        <v>0</v>
      </c>
      <c r="AD167" s="6">
        <f>COUNTIFS(Table5[Country],Tabela1[[#This Row],[Country]],Table5[100m Classification],"&gt;0")</f>
        <v>0</v>
      </c>
      <c r="AE167" s="6">
        <f>COUNTIFS(Table4[Country],Tabela1[[#This Row],[Country]],Table4[200m Classification],"&gt;0")</f>
        <v>0</v>
      </c>
      <c r="AF167" s="6">
        <f>COUNTIFS(Table5[Country],Tabela1[[#This Row],[Country]],Table5[200m Classification],"&gt;0")</f>
        <v>0</v>
      </c>
      <c r="AG167" s="6">
        <f>COUNTIFS(Table4[Country],Tabela1[[#This Row],[Country]],Table4[400m Classification],"&gt;0")</f>
        <v>0</v>
      </c>
      <c r="AH167" s="6">
        <f>COUNTIFS(Table5[Country],Tabela1[[#This Row],[Country]],Table5[400m Classification],"&gt;0")</f>
        <v>0</v>
      </c>
      <c r="AI167" s="6">
        <f>COUNTIFS(Table4[Country],Tabela1[[#This Row],[Country]],Table4[800m Classification],"&gt;0")</f>
        <v>0</v>
      </c>
      <c r="AJ167" s="6">
        <f>COUNTIFS(Table5[Country],Tabela1[[#This Row],[Country]],Table5[800m Classification],"&gt;0")</f>
        <v>0</v>
      </c>
      <c r="AK167" s="6">
        <f>COUNTIFS(Table4[Country],Tabela1[[#This Row],[Country]],Table4[1500m Classification],"&gt;0")</f>
        <v>0</v>
      </c>
      <c r="AL167" s="6">
        <f>COUNTIFS(Table5[Country],Tabela1[[#This Row],[Country]],Table5[1500m Classification],"&gt;0")</f>
        <v>0</v>
      </c>
      <c r="AM167" s="6">
        <f>COUNTIFS(Table4[Country],Tabela1[[#This Row],[Country]],Table4[5000m Classification],"&gt;0")</f>
        <v>0</v>
      </c>
      <c r="AN167" s="6">
        <f>COUNTIFS(Table5[Country],Tabela1[[#This Row],[Country]],Table5[5000m Classification],"&gt;0")</f>
        <v>0</v>
      </c>
      <c r="AO167" s="6">
        <f>COUNTIFS(Table4[Country],Tabela1[[#This Row],[Country]],Table4[10000m Classification],"&gt;0")</f>
        <v>0</v>
      </c>
      <c r="AP167" s="6">
        <f>COUNTIFS(Table5[Country],Tabela1[[#This Row],[Country]],Table5[10000m Classification],"&gt;0")</f>
        <v>0</v>
      </c>
      <c r="AQ167" s="6">
        <f>COUNTIFS(Table4[Country],Tabela1[[#This Row],[Country]],Table4[110m Hurdles Classification],"&gt;0")</f>
        <v>0</v>
      </c>
      <c r="AR167" s="6">
        <f>COUNTIFS(Table5[Country],Tabela1[[#This Row],[Country]],Table5[100m Hurdles Classification],"&gt;0")</f>
        <v>0</v>
      </c>
      <c r="AS167" s="6">
        <f>COUNTIFS(Table4[Country],Tabela1[[#This Row],[Country]],Table4[400m Hurdles Classification],"&gt;0")</f>
        <v>0</v>
      </c>
      <c r="AT167" s="6">
        <f>COUNTIFS(Table5[Country],Tabela1[[#This Row],[Country]],Table5[400m Hurdles Classification],"&gt;0")</f>
        <v>0</v>
      </c>
      <c r="AU167" s="6">
        <f>COUNTIFS(Table4[Country],Tabela1[[#This Row],[Country]],Table4[3000m Steeplechase Classification],"&gt;0")</f>
        <v>0</v>
      </c>
      <c r="AV167" s="6">
        <f>COUNTIFS(Table5[Country],Tabela1[[#This Row],[Country]],Table5[3000m Steeplechase Classification],"&gt;0")</f>
        <v>0</v>
      </c>
      <c r="AW167" s="6">
        <f>COUNTIFS(Table27[Country],Tabela1[[#This Row],[Country]],Table27[Men''s 4x100m Relay Classification],"&gt;0")</f>
        <v>0</v>
      </c>
      <c r="AX167" s="6">
        <f>COUNTIFS(Table27[Country],Tabela1[[#This Row],[Country]],Table27[Women''s 4x100m Relay Classification],"&gt;0")</f>
        <v>0</v>
      </c>
      <c r="AY167" s="6">
        <f>COUNTIFS(Table27[Country],Tabela1[[#This Row],[Country]],Table27[Men''s 4x400m Relay Classification],"&gt;0")</f>
        <v>0</v>
      </c>
      <c r="AZ167" s="6">
        <f>COUNTIFS(Table27[Country],Tabela1[[#This Row],[Country]],Table27[Women''s 4x400m Relay Classification],"&gt;0")</f>
        <v>0</v>
      </c>
      <c r="BA167" s="6">
        <f>COUNTIFS(Table27[Country],Tabela1[[#This Row],[Country]],Table27[Mixed 4x400m Relay Classification],"&gt;0")</f>
        <v>0</v>
      </c>
      <c r="BB167" s="6">
        <f>COUNTIFS(Table4[Country],Tabela1[[#This Row],[Country]],Table4[Marathon Classification],"&gt;0")</f>
        <v>0</v>
      </c>
      <c r="BC167" s="6">
        <f>COUNTIFS(Table5[Country],Tabela1[[#This Row],[Country]],Table5[Marathon Classification],"&gt;0")</f>
        <v>0</v>
      </c>
      <c r="BD167" s="6">
        <f>COUNTIFS(Table4[Country],Tabela1[[#This Row],[Country]],Table4[20km Race Walk Classification],"&gt;0")</f>
        <v>0</v>
      </c>
      <c r="BE167" s="6">
        <f>COUNTIFS(Table5[Country],Tabela1[[#This Row],[Country]],Table5[20km Race Walk Classification],"&gt;0")</f>
        <v>0</v>
      </c>
      <c r="BF167" s="6">
        <f>COUNTIFS(Tabela96[Country],Tabela1[[#This Row],[Country]],Tabela96[Mixed Marathon Race Walk Relay Classification],"&gt;0")</f>
        <v>0</v>
      </c>
      <c r="BG167" s="6">
        <f>COUNTIFS(Table4[Country],Tabela1[[#This Row],[Country]],Table4[Discus Throw Classification],"&gt;0")</f>
        <v>0</v>
      </c>
      <c r="BH167" s="6">
        <f>COUNTIFS(Table5[Country],Tabela1[[#This Row],[Country]],Table5[Discus Throw Classification],"&gt;0")</f>
        <v>0</v>
      </c>
      <c r="BI167" s="6">
        <f>COUNTIFS(Table4[Country],Tabela1[[#This Row],[Country]],Table4[Hammer Throw Classification],"&gt;0")</f>
        <v>0</v>
      </c>
      <c r="BJ167" s="6">
        <f>COUNTIFS(Table5[Country],Tabela1[[#This Row],[Country]],Table5[Hammer Throw Classification],"&gt;0")</f>
        <v>0</v>
      </c>
      <c r="BK167" s="6">
        <f>COUNTIFS(Table4[Country],Tabela1[[#This Row],[Country]],Table4[High Jump Classification],"&gt;0")</f>
        <v>0</v>
      </c>
      <c r="BL167" s="6">
        <f>COUNTIFS(Table5[Country],Tabela1[[#This Row],[Country]],Table5[High Jump Classification],"&gt;0")</f>
        <v>0</v>
      </c>
      <c r="BM167" s="6">
        <f>COUNTIFS(Table4[Country],Tabela1[[#This Row],[Country]],Table4[Javelin Throw Classification],"&gt;0")</f>
        <v>0</v>
      </c>
      <c r="BN167" s="6">
        <f>COUNTIFS(Table5[Country],Tabela1[[#This Row],[Country]],Table5[Javelin Throw Classification],"&gt;0")</f>
        <v>0</v>
      </c>
      <c r="BO167" s="6">
        <f>COUNTIFS(Table4[Country],Tabela1[[#This Row],[Country]],Table4[Long Jump Classification],"&gt;0")</f>
        <v>0</v>
      </c>
      <c r="BP167" s="6">
        <f>COUNTIFS(Table5[Country],Tabela1[[#This Row],[Country]],Table5[Long Jump Classification],"&gt;0")</f>
        <v>0</v>
      </c>
      <c r="BQ167" s="6">
        <f>COUNTIFS(Table4[Country],Tabela1[[#This Row],[Country]],Table4[Pole Vault Classification],"&gt;0")</f>
        <v>0</v>
      </c>
      <c r="BR167" s="6">
        <f>COUNTIFS(Table5[Country],Tabela1[[#This Row],[Country]],Table5[Pole Vault Classification],"&gt;0")</f>
        <v>0</v>
      </c>
      <c r="BS167" s="6">
        <f>COUNTIFS(Table4[Country],Tabela1[[#This Row],[Country]],Table4[Shot Put Classification],"&gt;0")</f>
        <v>0</v>
      </c>
      <c r="BT167" s="6">
        <f>COUNTIFS(Table5[Country],Tabela1[[#This Row],[Country]],Table5[Shot Put Classification],"&gt;0")</f>
        <v>0</v>
      </c>
      <c r="BU167" s="6">
        <f>COUNTIFS(Table4[Country],Tabela1[[#This Row],[Country]],Table4[Triple Jump Classification],"&gt;0")</f>
        <v>0</v>
      </c>
      <c r="BV167" s="6">
        <f>COUNTIFS(Table5[Country],Tabela1[[#This Row],[Country]],Table5[Triple Jump Classification],"&gt;0")</f>
        <v>0</v>
      </c>
      <c r="BW167" s="6">
        <f>COUNTIFS(Table4[Country],Tabela1[[#This Row],[Country]],Table4[Decathlon Classification],"&gt;0")</f>
        <v>0</v>
      </c>
      <c r="BX167" s="6">
        <f>COUNTIFS(Table5[Country],Tabela1[[#This Row],[Country]],Table5[Heptathlon Classification],"&gt;0")</f>
        <v>0</v>
      </c>
      <c r="BY167" s="6">
        <f>COUNTIFS(Table61[Country],Tabela1[[#This Row],[Country]],Table61[Classification],"&gt;0")</f>
        <v>0</v>
      </c>
      <c r="BZ167" s="6">
        <f>COUNTIFS(Table38[Country],Tabela1[[#This Row],[Country]],Table38[Classification],"&gt;0")</f>
        <v>0</v>
      </c>
      <c r="CA167" s="6">
        <f>COUNTIFS(Table39[Country],Tabela1[[#This Row],[Country]],Table39[Men''s Classification],"&gt;0")</f>
        <v>0</v>
      </c>
      <c r="CB167" s="6">
        <f>COUNTIFS(Table39[Country],Tabela1[[#This Row],[Country]],Table39[Women''s Classification],"&gt;0")</f>
        <v>0</v>
      </c>
      <c r="CC167" s="6">
        <f>COUNTIFS(Table39[Country],Tabela1[[#This Row],[Country]],Table39[Mixed Classification],"&gt;0")</f>
        <v>0</v>
      </c>
      <c r="CD167" s="6">
        <f>COUNTIFS(Table89[Country],Tabela1[[#This Row],[Country]],Table89[Men''s Classification],"&gt;0")</f>
        <v>0</v>
      </c>
      <c r="CE167" s="6">
        <f>COUNTIFS(Table89[Country],Tabela1[[#This Row],[Country]],Table89[Women''s Classification],"&gt;0")</f>
        <v>0</v>
      </c>
      <c r="CF167" s="6">
        <f>COUNTIFS(Table90[Country],Tabela1[[#This Row],[Country]],Table90[Men''s Classification],"&gt;0")</f>
        <v>0</v>
      </c>
      <c r="CG167" s="6">
        <f>COUNTIFS(Table90[Country],Tabela1[[#This Row],[Country]],Table90[Women''s Classification],"&gt;0")</f>
        <v>0</v>
      </c>
      <c r="CH167" s="6">
        <f>COUNTIFS(Table60[Country],Tabela1[[#This Row],[Country]],Table60[Men''s Classification],"&gt;0")</f>
        <v>0</v>
      </c>
      <c r="CI167" s="6">
        <f>COUNTIFS(Table60[Country],Tabela1[[#This Row],[Country]],Table60[Women''s Classification],"&gt;0")</f>
        <v>0</v>
      </c>
      <c r="CJ167" s="6">
        <f>COUNTIFS(Table6[Country],Tabela1[[#This Row],[Country]],Table6[51kg Classification],"&gt;0")</f>
        <v>0</v>
      </c>
      <c r="CK167" s="6">
        <f>COUNTIFS(Table6[Country],Tabela1[[#This Row],[Country]],Table6[57kg Classification],"&gt;0")</f>
        <v>0</v>
      </c>
      <c r="CL167" s="6">
        <f>COUNTIFS(Table6[Country],Tabela1[[#This Row],[Country]],Table6[63.5kg Classification],"&gt;0")</f>
        <v>0</v>
      </c>
      <c r="CM167" s="6">
        <f>COUNTIFS(Table6[Country],Tabela1[[#This Row],[Country]],Table6[71kg Classification],"&gt;0")</f>
        <v>0</v>
      </c>
      <c r="CN167" s="6">
        <f>COUNTIFS(Table6[Country],Tabela1[[#This Row],[Country]],Table6[80kg Classification],"&gt;0")</f>
        <v>0</v>
      </c>
      <c r="CO167" s="6">
        <f>COUNTIFS(Table6[Country],Tabela1[[#This Row],[Country]],Table6[92kg Classification],"&gt;0")</f>
        <v>0</v>
      </c>
      <c r="CP167" s="6">
        <f>COUNTIFS(Table6[Country],Tabela1[[#This Row],[Country]],Table6[Plus 92kg Classification],"&gt;0")</f>
        <v>0</v>
      </c>
      <c r="CQ167" s="6">
        <f>COUNTIFS(Table7[Country],Tabela1[[#This Row],[Country]],Table7[50kg Classification],"&gt;0")</f>
        <v>0</v>
      </c>
      <c r="CR167" s="6">
        <f>COUNTIFS(Table7[Country],Tabela1[[#This Row],[Country]],Table7[54kg Classification],"&gt;0")</f>
        <v>0</v>
      </c>
      <c r="CS167" s="6">
        <f>COUNTIFS(Table7[Country],Tabela1[[#This Row],[Country]],Table7[57kg Classification],"&gt;0")</f>
        <v>0</v>
      </c>
      <c r="CT167" s="6">
        <f>COUNTIFS(Table7[Country],Tabela1[[#This Row],[Country]],Table7[60kg Classification],"&gt;0")</f>
        <v>0</v>
      </c>
      <c r="CU167" s="6">
        <f>COUNTIFS(Table7[Country],Tabela1[[#This Row],[Country]],Table7[66kg Classification],"&gt;0")</f>
        <v>0</v>
      </c>
      <c r="CV167" s="6">
        <f>COUNTIFS(Table7[Country],Tabela1[[#This Row],[Country]],Table7[75kg Classification],"&gt;0")</f>
        <v>0</v>
      </c>
      <c r="CW167" s="6">
        <f>COUNTIFS(Tabela94[Country],Tabela1[[#This Row],[Country]],Tabela94[Classification],"&gt;0")</f>
        <v>0</v>
      </c>
      <c r="CX167" s="6">
        <f>COUNTIFS(Tabela9499[Country],Tabela1[[#This Row],[Country]],Tabela9499[Classification],"&gt;0")</f>
        <v>0</v>
      </c>
      <c r="CY167" s="6">
        <f>COUNTIFS(Tabela107[Country],Tabela1[[#This Row],[Country]],Tabela107[C1 Slalom Classification],"&gt;0")</f>
        <v>0</v>
      </c>
      <c r="CZ167" s="6">
        <f>COUNTIFS(Tabela107122[Country],Tabela1[[#This Row],[Country]],Tabela107122[C1 Slalom Classification],"&gt;0")</f>
        <v>0</v>
      </c>
      <c r="DA167" s="6">
        <f>COUNTIFS(Tabela107[Country],Tabela1[[#This Row],[Country]],Tabela107[K1 Slalom Classification],"&gt;0")</f>
        <v>0</v>
      </c>
      <c r="DB167" s="6">
        <f>COUNTIFS(Tabela107122[Country],Tabela1[[#This Row],[Country]],Tabela107122[K1 Slalom Classification],"&gt;0")</f>
        <v>0</v>
      </c>
      <c r="DC167" s="6">
        <f>COUNTIFS(Tabela107[Country],Tabela1[[#This Row],[Country]],Tabela107[Kayak Cross Slalom Classification],"&gt;0")</f>
        <v>0</v>
      </c>
      <c r="DD167" s="6">
        <f>COUNTIFS(Tabela107122[Country],Tabela1[[#This Row],[Country]],Tabela107122[Kayak Cross Slalom Classification],"&gt;0")</f>
        <v>0</v>
      </c>
      <c r="DE167" s="6">
        <f>COUNTIFS(Table8[Country],Tabela1[[#This Row],[Country]],Table8[C1 200m Classification],"&gt;0")</f>
        <v>0</v>
      </c>
      <c r="DF167" s="6">
        <f>COUNTIFS(Table40[Country],Tabela1[[#This Row],[Country]],Table40[C1 1000m Classification],"&gt;0")</f>
        <v>0</v>
      </c>
      <c r="DG167" s="6">
        <f>COUNTIFS(Table68[Country],Tabela1[[#This Row],[Country]],Table68[Men''s C2 500m Classification],"&gt;0")</f>
        <v>0</v>
      </c>
      <c r="DH167" s="6">
        <f>COUNTIFS(Table68[Country],Tabela1[[#This Row],[Country]],Table68[Women''s C2 500m Classification],"&gt;0")</f>
        <v>0</v>
      </c>
      <c r="DI167" s="6">
        <f>COUNTIFS(Table8[Country],Tabela1[[#This Row],[Country]],Table8[K1 500m Classification],"&gt;0")</f>
        <v>0</v>
      </c>
      <c r="DJ167" s="6">
        <f>COUNTIFS(Table40[Country],Tabela1[[#This Row],[Country]],Table40[K1 1000m Classification],"&gt;0")</f>
        <v>0</v>
      </c>
      <c r="DK167" s="6">
        <f>COUNTIFS(Table68[Country],Tabela1[[#This Row],[Country]],Table68[Men''s K2 500m Classification],"&gt;0")</f>
        <v>0</v>
      </c>
      <c r="DL167" s="6">
        <f>COUNTIFS(Table68[Country],Tabela1[[#This Row],[Country]],Table68[Women''s K2 500m Classification],"&gt;0")</f>
        <v>0</v>
      </c>
      <c r="DM167" s="6">
        <f>COUNTIFS(Table83[Country],Tabela1[[#This Row],[Country]],Table83[Men''s K4 500m Classification],"&gt;0")</f>
        <v>0</v>
      </c>
      <c r="DN167" s="6">
        <f>COUNTIFS(Table83[Country],Tabela1[[#This Row],[Country]],Table83[Women''s K4 500m Classification],"&gt;0")</f>
        <v>0</v>
      </c>
      <c r="DO167" s="6">
        <f>COUNTIFS(Tabela126[Country],Tabela1[[#This Row],[Country]],Tabela126[Classification],"&gt;0")</f>
        <v>0</v>
      </c>
      <c r="DP167" s="6">
        <f>COUNTIFS(Tabela126130[Country],Tabela1[[#This Row],[Country]],Tabela126130[Classification],"&gt;0")</f>
        <v>0</v>
      </c>
      <c r="DQ167" s="6">
        <f>COUNTIFS(Table70[Country],Tabela1[[#This Row],[Country]],Table70[Classification],"&gt;0")</f>
        <v>0</v>
      </c>
      <c r="DR167" s="6">
        <f>COUNTIFS(Table80[Country],Tabela1[[#This Row],[Country]],Table80[Classification],"&gt;0")</f>
        <v>0</v>
      </c>
      <c r="DS167" s="6">
        <f>COUNTIFS(Table66[Country],Tabela1[[#This Row],[Country]],Table66[Classification],"&gt;0")</f>
        <v>0</v>
      </c>
      <c r="DT167" s="6">
        <f>COUNTIFS(Table67[Country],Tabela1[[#This Row],[Country]],Table67[Classification],"&gt;0")</f>
        <v>0</v>
      </c>
      <c r="DU167" s="6">
        <f>COUNTIFS(Table69[Country],Tabela1[[#This Row],[Country]],Table69[Keirin Classification],"&gt;0")</f>
        <v>0</v>
      </c>
      <c r="DV167" s="6">
        <f>COUNTIFS(Table41[Country],Tabela1[[#This Row],[Country]],Table41[Keirin Classification],"&gt;0")</f>
        <v>0</v>
      </c>
      <c r="DW167" s="6">
        <f>COUNTIFS(Table84[Country],Tabela1[[#This Row],[Country]],Table84[Men''s Madison Classification],"&gt;0")</f>
        <v>0</v>
      </c>
      <c r="DX167" s="6">
        <f>COUNTIFS(Table84[Country],Tabela1[[#This Row],[Country]],Table84[Women''s Madison Classification],"&gt;0")</f>
        <v>0</v>
      </c>
      <c r="DY167" s="6">
        <f>COUNTIFS(Table69[Country],Tabela1[[#This Row],[Country]],Table69[Omnium Classification],"&gt;0")</f>
        <v>0</v>
      </c>
      <c r="DZ167" s="6">
        <f>COUNTIFS(Table41[Country],Tabela1[[#This Row],[Country]],Table41[Omnium Classification],"&gt;0")</f>
        <v>0</v>
      </c>
      <c r="EA167" s="6">
        <f>COUNTIFS(Table9[Country],Tabela1[[#This Row],[Country]],Table9[Road Race Classification],"&gt;0")</f>
        <v>0</v>
      </c>
      <c r="EB167" s="6">
        <f>COUNTIFS(Table14[Country],Tabela1[[#This Row],[Country]],Table14[Road Race Classification],"&gt;0")</f>
        <v>0</v>
      </c>
      <c r="EC167" s="6">
        <f>COUNTIFS(Table69[Country],Tabela1[[#This Row],[Country]],Table69[Sprint Classification],"&gt;0")</f>
        <v>0</v>
      </c>
      <c r="ED167" s="6">
        <f>COUNTIFS(Table41[Country],Tabela1[[#This Row],[Country]],Table41[Sprint Classification],"&gt;0")</f>
        <v>0</v>
      </c>
      <c r="EE167" s="6">
        <f>COUNTIFS(Table85[Country],Tabela1[[#This Row],[Country]],Table85[Men''s Sprint Classification],"&gt;0")</f>
        <v>0</v>
      </c>
      <c r="EF167" s="6">
        <f>COUNTIFS(Table85[Country],Tabela1[[#This Row],[Country]],Table85[Women''s Sprint Classification],"&gt;0")</f>
        <v>0</v>
      </c>
      <c r="EG167" s="6">
        <f>COUNTIFS(Table85[Country],Tabela1[[#This Row],[Country]],Table85[Men''s Pursuit Classification],"&gt;0")</f>
        <v>0</v>
      </c>
      <c r="EH167" s="6">
        <f>COUNTIFS(Table85[Country],Tabela1[[#This Row],[Country]],Table85[Women''s Pursuit Classification],"&gt;0")</f>
        <v>0</v>
      </c>
      <c r="EI167" s="6">
        <f>COUNTIFS(Table9[Country],Tabela1[[#This Row],[Country]],Table9[Time-Trial Classification],"&gt;0")</f>
        <v>0</v>
      </c>
      <c r="EJ167" s="6">
        <f>COUNTIFS(Table14[Country],Tabela1[[#This Row],[Country]],Table14[Time-Trial Classification],"&gt;0")</f>
        <v>0</v>
      </c>
      <c r="EK167" s="6">
        <f>COUNTIFS(Table42[Country],Tabela1[[#This Row],[Country]],Table42[Springboard Classification],"&gt;0")</f>
        <v>0</v>
      </c>
      <c r="EL167" s="6">
        <f>COUNTIFS(Table43[Country],Tabela1[[#This Row],[Country]],Table43[Springboard Classification],"&gt;0")</f>
        <v>0</v>
      </c>
      <c r="EM167" s="6">
        <f>COUNTIFS(Table42[Country],Tabela1[[#This Row],[Country]],Table42[Platform Classification],"&gt;0")</f>
        <v>0</v>
      </c>
      <c r="EN167" s="6">
        <f>COUNTIFS(Table43[Country],Tabela1[[#This Row],[Country]],Table43[Platform Classification],"&gt;0")</f>
        <v>0</v>
      </c>
      <c r="EO167" s="6">
        <f>COUNTIFS(Table86[Country],Tabela1[[#This Row],[Country]],Table86[Men''s Synchronized Springboard Classification],"&gt;0")</f>
        <v>0</v>
      </c>
      <c r="EP167" s="6">
        <f>COUNTIFS(Table86[Country],Tabela1[[#This Row],[Country]],Table86[Women''s Synchronized Springboard Classification],"&gt;0")</f>
        <v>0</v>
      </c>
      <c r="EQ167" s="6">
        <f>COUNTIFS(Table86[Country],Tabela1[[#This Row],[Country]],Table86[Men''s Synchronized Platform Classification],"&gt;0")</f>
        <v>0</v>
      </c>
      <c r="ER167" s="6">
        <f>COUNTIFS(Table86[Country],Tabela1[[#This Row],[Country]],Table86[Women''s Synchronized Platform Classification],"&gt;0")</f>
        <v>0</v>
      </c>
      <c r="ES167" s="6">
        <f>COUNTIFS(Table44[Country],Tabela1[[#This Row],[Country]],Table44[Dressage Classification],"&gt;0")</f>
        <v>0</v>
      </c>
      <c r="ET167" s="6">
        <f>COUNTIFS(Table45[Country],Tabela1[[#This Row],[Country]],Table45[Dressage Classification],"&gt;0")</f>
        <v>0</v>
      </c>
      <c r="EU167" s="6">
        <f>COUNTIFS(Table44[Country],Tabela1[[#This Row],[Country]],Table44[Eventing Classification],"&gt;0")</f>
        <v>0</v>
      </c>
      <c r="EV167" s="6">
        <f>COUNTIFS(Table45[Country],Tabela1[[#This Row],[Country]],Table45[Eventing Classification],"&gt;0")</f>
        <v>0</v>
      </c>
      <c r="EW167" s="6">
        <f>COUNTIFS(Table44[Country],Tabela1[[#This Row],[Country]],Table44[Jumping Classification],"&gt;0")</f>
        <v>0</v>
      </c>
      <c r="EX167" s="6">
        <f>COUNTIFS(Table45[Country],Tabela1[[#This Row],[Country]],Table45[Jumping Classification],"&gt;0")</f>
        <v>0</v>
      </c>
      <c r="EY167" s="6">
        <f>COUNTIFS(Table10[Country],Tabela1[[#This Row],[Country]],Table10[Épée Classification],"&gt;0")</f>
        <v>0</v>
      </c>
      <c r="EZ167" s="6">
        <f>COUNTIFS(Table11[Country],Tabela1[[#This Row],[Country]],Table11[Épée Classification],"&gt;0")</f>
        <v>0</v>
      </c>
      <c r="FA167" s="6">
        <f>COUNTIFS(Table46[Country],Tabela1[[#This Row],[Country]],Table46[Men''s Épée Classification],"&gt;0")</f>
        <v>0</v>
      </c>
      <c r="FB167" s="6">
        <f>COUNTIFS(Table46[Country],Tabela1[[#This Row],[Country]],Table46[Women''s Épée Classification],"&gt;0")</f>
        <v>0</v>
      </c>
      <c r="FC167" s="6">
        <f>COUNTIFS(Table10[Country],Tabela1[[#This Row],[Country]],Table10[Foil Classification],"&gt;0")</f>
        <v>0</v>
      </c>
      <c r="FD167" s="6">
        <f>COUNTIFS(Table11[Country],Tabela1[[#This Row],[Country]],Table11[Foil Classification],"&gt;0")</f>
        <v>0</v>
      </c>
      <c r="FE167" s="6">
        <f>COUNTIFS(Table46[Country],Tabela1[[#This Row],[Country]],Table46[Men''s Foil Classification],"&gt;0")</f>
        <v>0</v>
      </c>
      <c r="FF167" s="6">
        <f>COUNTIFS(Table46[Country],Tabela1[[#This Row],[Country]],Table46[Women''s Foil Classification],"&gt;0")</f>
        <v>0</v>
      </c>
      <c r="FG167" s="6">
        <f>COUNTIFS(Table10[Country],Tabela1[[#This Row],[Country]],Table10[Sabre Classification],"&gt;0")</f>
        <v>0</v>
      </c>
      <c r="FH167" s="6">
        <f>COUNTIFS(Table11[Country],Tabela1[[#This Row],[Country]],Table11[Sabre Classification],"&gt;0")</f>
        <v>0</v>
      </c>
      <c r="FI167" s="6">
        <f>COUNTIFS(Table46[Country],Tabela1[[#This Row],[Country]],Table46[Men''s Sabre Classification],"&gt;0")</f>
        <v>0</v>
      </c>
      <c r="FJ167" s="6">
        <f>COUNTIFS(Table46[Country],Tabela1[[#This Row],[Country]],Table46[Women''s Sabre Classification],"&gt;0")</f>
        <v>0</v>
      </c>
      <c r="FK167" s="6">
        <f>COUNTIFS(Table91[Country],Tabela1[[#This Row],[Country]],Table91[Men''s Classification],"&gt;0")</f>
        <v>0</v>
      </c>
      <c r="FL167" s="6">
        <f>COUNTIFS(Table91[Country],Tabela1[[#This Row],[Country]],Table91[Women''s Classification],"&gt;0")</f>
        <v>0</v>
      </c>
      <c r="FM167" s="6">
        <f>COUNTIFS(Table9194[Country],Tabela1[[#This Row],[Country]],Table9194[Men''s Classification],"&gt;0")</f>
        <v>0</v>
      </c>
      <c r="FN167" s="6">
        <f>COUNTIFS(Table9194[Country],Tabela1[[#This Row],[Country]],Table9194[Women''s Classification],"&gt;0")</f>
        <v>0</v>
      </c>
      <c r="FO167" s="6">
        <f>COUNTIFS(Table71[Country],Tabela1[[#This Row],[Country]],Table71[Classification],"&gt;0")</f>
        <v>0</v>
      </c>
      <c r="FP167" s="6">
        <f>COUNTIFS(Table62[Country],Tabela1[[#This Row],[Country]],Table62[Classification],"&gt;0")</f>
        <v>0</v>
      </c>
      <c r="FQ167" s="6">
        <f>COUNTIFS(Table47[Country],Tabela1[[#This Row],[Country]],Table47[All-Around Classification],"&gt;0")</f>
        <v>0</v>
      </c>
      <c r="FR167" s="6">
        <f>COUNTIFS(Table48[Country],Tabela1[[#This Row],[Country]],Table48[All-Around Classification],"&gt;0")</f>
        <v>0</v>
      </c>
      <c r="FS167" s="6">
        <f>COUNTIFS(Table81[Country],Tabela1[[#This Row],[Country]],Table81[Men''s All-Around Classification],"&gt;0")</f>
        <v>0</v>
      </c>
      <c r="FT167" s="6">
        <f>COUNTIFS(Table81[Country],Tabela1[[#This Row],[Country]],Table81[Women''s All-Around Classification],"&gt;0")</f>
        <v>0</v>
      </c>
      <c r="FU167" s="6">
        <f>COUNTIFS(Table48[Country],Tabela1[[#This Row],[Country]],Table48[Balance Beam Classification],"&gt;0")</f>
        <v>0</v>
      </c>
      <c r="FV167" s="6">
        <f>COUNTIFS(Table47[Country],Tabela1[[#This Row],[Country]],Table47[Floor Exercise Classification],"&gt;0")</f>
        <v>0</v>
      </c>
      <c r="FW167" s="6">
        <f>COUNTIFS(Table48[Country],Tabela1[[#This Row],[Country]],Table48[Floor Exercise Classification],"&gt;0")</f>
        <v>0</v>
      </c>
      <c r="FX167" s="6">
        <f>COUNTIFS(Table47[Country],Tabela1[[#This Row],[Country]],Table47[Horizontal Bar Classification],"&gt;0")</f>
        <v>0</v>
      </c>
      <c r="FY167" s="6">
        <f>COUNTIFS(Table47[Country],Tabela1[[#This Row],[Country]],Table47[Parallel Bars Classification],"&gt;0")</f>
        <v>0</v>
      </c>
      <c r="FZ167" s="6">
        <f>COUNTIFS(Table47[Country],Tabela1[[#This Row],[Country]],Table47[Pommel Horse Classification],"&gt;0")</f>
        <v>0</v>
      </c>
      <c r="GA167" s="6">
        <f>COUNTIFS(Table47[Country],Tabela1[[#This Row],[Country]],Table47[Rings Classification],"&gt;0")</f>
        <v>0</v>
      </c>
      <c r="GB167" s="6">
        <f>COUNTIFS(Tabela132[Country],Tabela1[[#This Row],[Country]],Tabela132[Classification],"&gt;0")</f>
        <v>0</v>
      </c>
      <c r="GC167" s="6">
        <f>COUNTIFS(Tabela139[Country],Tabela1[[#This Row],[Country]],Tabela139[Classification],"&gt;0")</f>
        <v>0</v>
      </c>
      <c r="GD167" s="6">
        <f>COUNTIFS(Table48[Country],Tabela1[[#This Row],[Country]],Table48[Uneven Bars Classification],"&gt;0")</f>
        <v>0</v>
      </c>
      <c r="GE167" s="6">
        <f>COUNTIFS(Table47[Country],Tabela1[[#This Row],[Country]],Table47[Vault Classification],"&gt;0")</f>
        <v>0</v>
      </c>
      <c r="GF167" s="6">
        <f>COUNTIFS(Table48[Country],Tabela1[[#This Row],[Country]],Table48[Vault Classification],"&gt;0")</f>
        <v>0</v>
      </c>
      <c r="GG167" s="6">
        <f>COUNTIFS(Table919496[Country],Tabela1[[#This Row],[Country]],Table919496[Men''s Classification],"&gt;0")</f>
        <v>0</v>
      </c>
      <c r="GH167" s="6">
        <f>COUNTIFS(Table919496[Country],Tabela1[[#This Row],[Country]],Table919496[Women''s Classification],"&gt;0")</f>
        <v>0</v>
      </c>
      <c r="GI167" s="6">
        <f>COUNTIFS(Table12[Country],Tabela1[[#This Row],[Country]],Table12[60kg Classification],"&gt;0")</f>
        <v>0</v>
      </c>
      <c r="GJ167" s="6">
        <f>COUNTIFS(Table12[Country],Tabela1[[#This Row],[Country]],Table12[66kg Classification],"&gt;0")</f>
        <v>0</v>
      </c>
      <c r="GK167" s="6">
        <f>COUNTIFS(Table12[Country],Tabela1[[#This Row],[Country]],Table12[73kg Classification],"&gt;0")</f>
        <v>0</v>
      </c>
      <c r="GL167" s="6">
        <f>COUNTIFS(Table12[Country],Tabela1[[#This Row],[Country]],Table12[81kg Classification],"&gt;0")</f>
        <v>0</v>
      </c>
      <c r="GM167" s="6">
        <f>COUNTIFS(Table12[Country],Tabela1[[#This Row],[Country]],Table12[90kg Classification],"&gt;0")</f>
        <v>0</v>
      </c>
      <c r="GN167" s="6">
        <f>COUNTIFS(Table12[Country],Tabela1[[#This Row],[Country]],Table12[100kg Classification],"&gt;0")</f>
        <v>0</v>
      </c>
      <c r="GO167" s="6">
        <f>COUNTIFS(Table12[Country],Tabela1[[#This Row],[Country]],Table12[Plus 100kg Classification],"&gt;0")</f>
        <v>0</v>
      </c>
      <c r="GP167" s="6">
        <f>COUNTIFS(Table13[Country],Tabela1[[#This Row],[Country]],Table13[48kg Classification],"&gt;0")</f>
        <v>0</v>
      </c>
      <c r="GQ167" s="6">
        <f>COUNTIFS(Table13[Country],Tabela1[[#This Row],[Country]],Table13[52kg Classification],"&gt;0")</f>
        <v>0</v>
      </c>
      <c r="GR167" s="6">
        <f>COUNTIFS(Table13[Country],Tabela1[[#This Row],[Country]],Table13[57kg Classification],"&gt;0")</f>
        <v>0</v>
      </c>
      <c r="GS167" s="6">
        <f>COUNTIFS(Table13[Country],Tabela1[[#This Row],[Country]],Table13[63kg Classification],"&gt;0")</f>
        <v>0</v>
      </c>
      <c r="GT167" s="6">
        <f>COUNTIFS(Table13[Country],Tabela1[[#This Row],[Country]],Table13[70kg Classification],"&gt;0")</f>
        <v>0</v>
      </c>
      <c r="GU167" s="6">
        <f>COUNTIFS(Table13[Country],Tabela1[[#This Row],[Country]],Table13[78kg Classification],"&gt;0")</f>
        <v>0</v>
      </c>
      <c r="GV167" s="6">
        <f>COUNTIFS(Table13[Country],Tabela1[[#This Row],[Country]],Table13[Plus 78kg Classification],"&gt;0")</f>
        <v>0</v>
      </c>
      <c r="GW167" s="6">
        <f>COUNTIFS(Table82[Country],Tabela1[[#This Row],[Country]],Table82[Mixed Classification],"&gt;0")</f>
        <v>0</v>
      </c>
      <c r="GX167" s="6">
        <f>COUNTIFS(Table51[Country],Tabela1[[#This Row],[Country]],Table51[Classification],"&gt;0")</f>
        <v>0</v>
      </c>
      <c r="GY167" s="6">
        <f>COUNTIFS(Table52[Country],Tabela1[[#This Row],[Country]],Table52[Classification],"&gt;0")</f>
        <v>0</v>
      </c>
      <c r="GZ167" s="6">
        <f>COUNTIFS(Table32[Country],Tabela1[[#This Row],[Country]],Table32[All-Around Classification],"&gt;0")</f>
        <v>0</v>
      </c>
      <c r="HA167" s="6">
        <f>COUNTIFS(Table49[Country],Tabela1[[#This Row],[Country]],Table49[All-Around Classification],"&gt;0")</f>
        <v>0</v>
      </c>
      <c r="HB167" s="6">
        <f>COUNTIFS(Table26[Country],Tabela1[[#This Row],[Country]],Table26[Single Sculls Classification],"&gt;0")</f>
        <v>0</v>
      </c>
      <c r="HC167" s="6">
        <f>COUNTIFS(Table63[Country],Tabela1[[#This Row],[Country]],Table63[Single Sculls Classification],"&gt;0")</f>
        <v>0</v>
      </c>
      <c r="HD167" s="6">
        <f>COUNTIFS(Table16[Country],Tabela1[[#This Row],[Country]],Table16[Men''s Double Sculls Classification],"&gt;0")</f>
        <v>0</v>
      </c>
      <c r="HE167" s="6">
        <f>COUNTIFS(Table16[Country],Tabela1[[#This Row],[Country]],Table16[Women''s Double Sculls Classification],"&gt;0")</f>
        <v>0</v>
      </c>
      <c r="HF167" s="6">
        <f>COUNTIFS(Table72[Country],Tabela1[[#This Row],[Country]],Table72[Men''s Quadruple Sculls Classification],"&gt;0")</f>
        <v>0</v>
      </c>
      <c r="HG167" s="6">
        <f>COUNTIFS(Table72[Country],Tabela1[[#This Row],[Country]],Table72[Women''s Quadruple Sculls Classification],"&gt;0")</f>
        <v>0</v>
      </c>
      <c r="HH167" s="6">
        <f>COUNTIFS(Table16[Country],Tabela1[[#This Row],[Country]],Table16[Men''s Coxless Pairs Classification],"&gt;0")</f>
        <v>0</v>
      </c>
      <c r="HI167" s="6">
        <f>COUNTIFS(Table16[Country],Tabela1[[#This Row],[Country]],Table16[Women''s Coxless Pairs Classification],"&gt;0")</f>
        <v>0</v>
      </c>
      <c r="HJ167" s="6">
        <f>COUNTIFS(Table72[Country],Tabela1[[#This Row],[Country]],Table72[Men''s Coxless Fours Classification],"&gt;0")</f>
        <v>0</v>
      </c>
      <c r="HK167" s="6">
        <f>COUNTIFS(Table72[Country],Tabela1[[#This Row],[Country]],Table72[Women''s Coxless Fours Classification],"&gt;0")</f>
        <v>0</v>
      </c>
      <c r="HL167" s="6">
        <f>COUNTIFS(Table72[Country],Tabela1[[#This Row],[Country]],Table72[Men''s Eights Classification],"&gt;0")</f>
        <v>0</v>
      </c>
      <c r="HM167" s="6">
        <f>COUNTIFS(Table72[Country],Tabela1[[#This Row],[Country]],Table72[Women''s Eights Classification],"&gt;0")</f>
        <v>0</v>
      </c>
      <c r="HN167" s="6">
        <f>COUNTIFS(Table16[Country],Tabela1[[#This Row],[Country]],Table16[Men''s Lwt. Double Sculls Classification],"&gt;0")</f>
        <v>0</v>
      </c>
      <c r="HO167" s="6">
        <f>COUNTIFS(Table16[Country],Tabela1[[#This Row],[Country]],Table16[Women''s Lwt. Double Sculls Classification],"&gt;0")</f>
        <v>0</v>
      </c>
      <c r="HP167" s="6">
        <f>COUNTIFS(Table91949698[Country],Tabela1[[#This Row],[Country]],Table91949698[Men''s Classification],"&gt;0")</f>
        <v>0</v>
      </c>
      <c r="HQ167" s="6">
        <f>COUNTIFS(Table91949698[Country],Tabela1[[#This Row],[Country]],Table91949698[Women''s Classification],"&gt;0")</f>
        <v>0</v>
      </c>
      <c r="HR167" s="6">
        <f>COUNTIFS(Table25[Country],Tabela1[[#This Row],[Country]],Table25[Mixed 470 Classification],"&gt;0")</f>
        <v>0</v>
      </c>
      <c r="HS167" s="6">
        <f>COUNTIFS(Table25[Country],Tabela1[[#This Row],[Country]],Table25[Men''s 49er Classification],"&gt;0")</f>
        <v>0</v>
      </c>
      <c r="HT167" s="6">
        <f>COUNTIFS(Table25[Country],Tabela1[[#This Row],[Country]],Table25[Women''s 49er FX Classification],"&gt;0")</f>
        <v>0</v>
      </c>
      <c r="HU167" s="6">
        <f>COUNTIFS(Table17[Country],Tabela1[[#This Row],[Country]],Table17[Formula Kite Classification],"&gt;0")</f>
        <v>0</v>
      </c>
      <c r="HV167" s="6">
        <f>COUNTIFS(Table18[Country],Tabela1[[#This Row],[Country]],Table18[Formula Kite Classification],"&gt;0")</f>
        <v>0</v>
      </c>
      <c r="HW167" s="6">
        <f>COUNTIFS(Table17[Country],Tabela1[[#This Row],[Country]],Table17[ILCA 7 Classification],"&gt;0")</f>
        <v>0</v>
      </c>
      <c r="HX167" s="6">
        <f>COUNTIFS(Table18[Country],Tabela1[[#This Row],[Country]],Table18[ILCA 6 Classification],"&gt;0")</f>
        <v>0</v>
      </c>
      <c r="HY167" s="6">
        <f>COUNTIFS(Table17[Country],Tabela1[[#This Row],[Country]],Table17[IQFoil Classification],"&gt;0")</f>
        <v>0</v>
      </c>
      <c r="HZ167" s="6">
        <f>COUNTIFS(Table18[Country],Tabela1[[#This Row],[Country]],Table18[IQFoil Classification],"&gt;0")</f>
        <v>0</v>
      </c>
      <c r="IA167" s="6">
        <f>COUNTIFS(Table25[Country],Tabela1[[#This Row],[Country]],Table25[Mixed Nacra 17 Classification],"&gt;0")</f>
        <v>0</v>
      </c>
      <c r="IB167" s="6">
        <f>COUNTIFS(Table53[Country],Tabela1[[#This Row],[Country]],Table53[10m Air Pistol Classification],"&gt;0")</f>
        <v>0</v>
      </c>
      <c r="IC167" s="6">
        <f>COUNTIFS(Table19[Country],Tabela1[[#This Row],[Country]],Table19[10m Air Pistol Classification],"&gt;0")</f>
        <v>0</v>
      </c>
      <c r="ID167" s="6">
        <f>COUNTIFS(Table54[Country],Tabela1[[#This Row],[Country]],Table54[Mixed 10m Air Pistol Team Classification],"&gt;0")</f>
        <v>0</v>
      </c>
      <c r="IE167" s="6">
        <f>COUNTIFS(Table53[Country],Tabela1[[#This Row],[Country]],Table53[10m Air Rifle Classification],"&gt;0")</f>
        <v>0</v>
      </c>
      <c r="IF167" s="6">
        <f>COUNTIFS(Table19[Country],Tabela1[[#This Row],[Country]],Table19[10m Air Rifle Classification],"&gt;0")</f>
        <v>0</v>
      </c>
      <c r="IG167" s="6">
        <f>COUNTIFS(Table54[Country],Tabela1[[#This Row],[Country]],Table54[Mixed 10m Air Rifle Team Classification],"&gt;0")</f>
        <v>0</v>
      </c>
      <c r="IH167" s="6">
        <f>COUNTIFS(Table53[Country],Tabela1[[#This Row],[Country]],Table53[25m Rapid Fire Pistol Classification],"&gt;0")</f>
        <v>0</v>
      </c>
      <c r="II167" s="6">
        <f>COUNTIFS(Table19[Country],Tabela1[[#This Row],[Country]],Table19[25m Pistol Classification],"&gt;0")</f>
        <v>0</v>
      </c>
      <c r="IJ167" s="6">
        <f>COUNTIFS(Table53[Country],Tabela1[[#This Row],[Country]],Table53[50m Rifle 3 Positions Classification],"&gt;0")</f>
        <v>0</v>
      </c>
      <c r="IK167" s="6">
        <f>COUNTIFS(Table19[Country],Tabela1[[#This Row],[Country]],Table19[50m Rifle 3 Positions Classification],"&gt;0")</f>
        <v>0</v>
      </c>
      <c r="IL167" s="6">
        <f>COUNTIFS(Table53[Country],Tabela1[[#This Row],[Country]],Table53[Skeet Classification],"&gt;0")</f>
        <v>0</v>
      </c>
      <c r="IM167" s="6">
        <f>COUNTIFS(Table19[Country],Tabela1[[#This Row],[Country]],Table19[Skeet Classification],"&gt;0")</f>
        <v>0</v>
      </c>
      <c r="IN167" s="6">
        <f>COUNTIFS(Table54[Country],Tabela1[[#This Row],[Country]],Table54[Mixed Skeet Team Classification],"&gt;0")</f>
        <v>0</v>
      </c>
      <c r="IO167" s="6">
        <f>COUNTIFS(Table53[Country],Tabela1[[#This Row],[Country]],Table53[Trap Classification],"&gt;0")</f>
        <v>0</v>
      </c>
      <c r="IP167" s="6">
        <f>COUNTIFS(Table19[Country],Tabela1[[#This Row],[Country]],Table19[Trap Classification],"&gt;0")</f>
        <v>0</v>
      </c>
      <c r="IQ167" s="6">
        <f>COUNTIFS(Table73[Country],Tabela1[[#This Row],[Country]],Table73[Park Classification],"&gt;0")</f>
        <v>0</v>
      </c>
      <c r="IR167" s="6">
        <f>COUNTIFS(Table74[Country],Tabela1[[#This Row],[Country]],Table74[Park Classification],"&gt;0")</f>
        <v>0</v>
      </c>
      <c r="IS167" s="6">
        <f>COUNTIFS(Table73[Country],Tabela1[[#This Row],[Country]],Table73[Street Classification],"&gt;0")</f>
        <v>0</v>
      </c>
      <c r="IT167" s="6">
        <f>COUNTIFS(Table74[Country],Tabela1[[#This Row],[Country]],Table74[Street Classification],"&gt;0")</f>
        <v>0</v>
      </c>
      <c r="IU167" s="6">
        <f>COUNTIFS(Table75[Country],Tabela1[[#This Row],[Country]],Table75[Boulder and Lead Classification],"&gt;0")</f>
        <v>0</v>
      </c>
      <c r="IV167" s="6">
        <f>COUNTIFS(Table76[Country],Tabela1[[#This Row],[Country]],Table76[Boulder and Lead Classification],"&gt;0")</f>
        <v>0</v>
      </c>
      <c r="IW167" s="6">
        <f>COUNTIFS(Table75[Country],Tabela1[[#This Row],[Country]],Table75[Speed Classification],"&gt;0")</f>
        <v>0</v>
      </c>
      <c r="IX167" s="6">
        <f>COUNTIFS(Table76[Country],Tabela1[[#This Row],[Country]],Table76[Speed Classification],"&gt;0")</f>
        <v>0</v>
      </c>
      <c r="IY167" s="6">
        <f>COUNTIFS(Table64[Country],Tabela1[[#This Row],[Country]],Table64[Shortboard Classification],"&gt;0")</f>
        <v>0</v>
      </c>
      <c r="IZ167" s="6">
        <f>COUNTIFS(Table77[Country],Tabela1[[#This Row],[Country]],Table77[Shortboard Classification],"&gt;0")</f>
        <v>0</v>
      </c>
      <c r="JA167" s="6">
        <f>COUNTIFS(Table20[Country],Tabela1[[#This Row],[Country]],Table20[50m Freestyle Classification],"&gt;0")</f>
        <v>0</v>
      </c>
      <c r="JB167" s="6">
        <f>COUNTIFS(Table21[Country],Tabela1[[#This Row],[Country]],Table21[50m Freestyle Classification],"&gt;0")</f>
        <v>0</v>
      </c>
      <c r="JC167" s="6">
        <f>COUNTIFS(Table20[Country],Tabela1[[#This Row],[Country]],Table20[100m Freestyle Classification],"&gt;0")</f>
        <v>0</v>
      </c>
      <c r="JD167" s="6">
        <f>COUNTIFS(Table21[Country],Tabela1[[#This Row],[Country]],Table21[100m Freestyle Classification],"&gt;0")</f>
        <v>0</v>
      </c>
      <c r="JE167" s="6">
        <f>COUNTIFS(Table20[Country],Tabela1[[#This Row],[Country]],Table20[200m Freestyle Classification],"&gt;0")</f>
        <v>0</v>
      </c>
      <c r="JF167" s="6">
        <f>COUNTIFS(Table21[Country],Tabela1[[#This Row],[Country]],Table21[200m Freestyle Classification],"&gt;0")</f>
        <v>0</v>
      </c>
      <c r="JG167" s="6">
        <f>COUNTIFS(Table20[Country],Tabela1[[#This Row],[Country]],Table20[400m Freestyle Classification],"&gt;0")</f>
        <v>0</v>
      </c>
      <c r="JH167" s="6">
        <f>COUNTIFS(Table21[Country],Tabela1[[#This Row],[Country]],Table21[400m Freestyle Classification],"&gt;0")</f>
        <v>0</v>
      </c>
      <c r="JI167" s="6">
        <f>COUNTIFS(Table20[Country],Tabela1[[#This Row],[Country]],Table20[800m Freestyle Classification],"&gt;0")</f>
        <v>0</v>
      </c>
      <c r="JJ167" s="6">
        <f>COUNTIFS(Table21[Country],Tabela1[[#This Row],[Country]],Table21[800m Freestyle Classification],"&gt;0")</f>
        <v>0</v>
      </c>
      <c r="JK167" s="6">
        <f>COUNTIFS(Table20[Country],Tabela1[[#This Row],[Country]],Table20[1500m Freestyle Classification],"&gt;0")</f>
        <v>0</v>
      </c>
      <c r="JL167" s="6">
        <f>COUNTIFS(Table21[Country],Tabela1[[#This Row],[Country]],Table21[1500m Freestyle Classification],"&gt;0")</f>
        <v>0</v>
      </c>
      <c r="JM167" s="6">
        <f>COUNTIFS(Table20[Country],Tabela1[[#This Row],[Country]],Table20[100m Backstroke Classification],"&gt;0")</f>
        <v>0</v>
      </c>
      <c r="JN167" s="6">
        <f>COUNTIFS(Table21[Country],Tabela1[[#This Row],[Country]],Table21[100m Backstroke Classification],"&gt;0")</f>
        <v>0</v>
      </c>
      <c r="JO167" s="6">
        <f>COUNTIFS(Table20[Country],Tabela1[[#This Row],[Country]],Table20[200m Backstroke Classification],"&gt;0")</f>
        <v>0</v>
      </c>
      <c r="JP167" s="6">
        <f>COUNTIFS(Table21[Country],Tabela1[[#This Row],[Country]],Table21[200m Backstroke Classification],"&gt;0")</f>
        <v>0</v>
      </c>
      <c r="JQ167" s="6">
        <f>COUNTIFS(Table20[Country],Tabela1[[#This Row],[Country]],Table20[100m Breaststroke Classification],"&gt;0")</f>
        <v>0</v>
      </c>
      <c r="JR167" s="6">
        <f>COUNTIFS(Table21[Country],Tabela1[[#This Row],[Country]],Table21[100m Breaststroke Classification],"&gt;0")</f>
        <v>0</v>
      </c>
      <c r="JS167" s="6">
        <f>COUNTIFS(Table20[Country],Tabela1[[#This Row],[Country]],Table20[200m Breaststroke Classification],"&gt;0")</f>
        <v>0</v>
      </c>
      <c r="JT167" s="6">
        <f>COUNTIFS(Table21[Country],Tabela1[[#This Row],[Country]],Table21[200m Breaststroke Classification],"&gt;0")</f>
        <v>0</v>
      </c>
      <c r="JU167" s="6">
        <f>COUNTIFS(Table20[Country],Tabela1[[#This Row],[Country]],Table20[100m Butterfly Classification],"&gt;0")</f>
        <v>0</v>
      </c>
      <c r="JV167" s="6">
        <f>COUNTIFS(Table21[Country],Tabela1[[#This Row],[Country]],Table21[100m Butterfly Classification],"&gt;0")</f>
        <v>0</v>
      </c>
      <c r="JW167" s="6">
        <f>COUNTIFS(Table20[Country],Tabela1[[#This Row],[Country]],Table20[200m Butterfly Classification],"&gt;0")</f>
        <v>0</v>
      </c>
      <c r="JX167" s="6">
        <f>COUNTIFS(Table21[Country],Tabela1[[#This Row],[Country]],Table21[200m Butterfly Classification],"&gt;0")</f>
        <v>0</v>
      </c>
      <c r="JY167" s="6">
        <f>COUNTIFS(Table20[Country],Tabela1[[#This Row],[Country]],Table20[200m Medley Classification],"&gt;0")</f>
        <v>0</v>
      </c>
      <c r="JZ167" s="6">
        <f>COUNTIFS(Table21[Country],Tabela1[[#This Row],[Country]],Table21[200m Medley Classification],"&gt;0")</f>
        <v>0</v>
      </c>
      <c r="KA167" s="6">
        <f>COUNTIFS(Table20[Country],Tabela1[[#This Row],[Country]],Table20[400m Medley Classification],"&gt;0")</f>
        <v>0</v>
      </c>
      <c r="KB167" s="6">
        <f>COUNTIFS(Table21[Country],Tabela1[[#This Row],[Country]],Table21[400m Medley Classification],"&gt;0")</f>
        <v>0</v>
      </c>
      <c r="KC167" s="6">
        <f>COUNTIFS(Table78[Country],Tabela1[[#This Row],[Country]],Table78[Men''s 4x100m Freestyle Relay Classification],"&gt;0")</f>
        <v>0</v>
      </c>
      <c r="KD167" s="6">
        <f>COUNTIFS(Table78[Country],Tabela1[[#This Row],[Country]],Table78[Women''s 4x100m Freestyle Relay Classification],"&gt;0")</f>
        <v>0</v>
      </c>
      <c r="KE167" s="6">
        <f>COUNTIFS(Table78[Country],Tabela1[[#This Row],[Country]],Table78[Men''s 4x200m Freestyle Relay Classification],"&gt;0")</f>
        <v>0</v>
      </c>
      <c r="KF167" s="6">
        <f>COUNTIFS(Table78[Country],Tabela1[[#This Row],[Country]],Table78[Women''s 4x200m Freestyle Relay Classification],"&gt;0")</f>
        <v>0</v>
      </c>
      <c r="KG167" s="6">
        <f>COUNTIFS(Table78[Country],Tabela1[[#This Row],[Country]],Table78[Men''s 4x100m Medley Relay Classification],"&gt;0")</f>
        <v>0</v>
      </c>
      <c r="KH167" s="6">
        <f>COUNTIFS(Table78[Country],Tabela1[[#This Row],[Country]],Table78[Women''s 4x100m Medley Relay Classification],"&gt;0")</f>
        <v>0</v>
      </c>
      <c r="KI167" s="6">
        <f>COUNTIFS(Table78[Country],Tabela1[[#This Row],[Country]],Table78[Mixed 4x100m Medley Relay Classification],"&gt;0")</f>
        <v>0</v>
      </c>
      <c r="KJ167" s="6">
        <f>COUNTIFS(Table20[Country],Tabela1[[#This Row],[Country]],Table20[10km Open Water Classification],"&gt;0")</f>
        <v>0</v>
      </c>
      <c r="KK167" s="6">
        <f>COUNTIFS(Table21[Country],Tabela1[[#This Row],[Country]],Table21[10km Open Water Classification],"&gt;0")</f>
        <v>0</v>
      </c>
      <c r="KL167" s="6">
        <f>COUNTIFS(Table22[Country],Tabela1[[#This Row],[Country]],Table22[Classification],"&gt;0")</f>
        <v>0</v>
      </c>
      <c r="KM167" s="6">
        <f>COUNTIFS(Table30[Country],Tabela1[[#This Row],[Country]],Table30[Classification],"&gt;0")</f>
        <v>0</v>
      </c>
      <c r="KN167" s="6">
        <f>COUNTIFS(Table55[Country],Tabela1[[#This Row],[Country]],Table55[Men''s Classification],"&gt;0")</f>
        <v>0</v>
      </c>
      <c r="KO167" s="6">
        <f>COUNTIFS(Table55[Country],Tabela1[[#This Row],[Country]],Table55[Women''s Classification],"&gt;0")</f>
        <v>0</v>
      </c>
      <c r="KP167" s="6">
        <f>COUNTIFS(Table56[Country],Tabela1[[#This Row],[Country]],Table56[Mixed Classification],"&gt;0")</f>
        <v>0</v>
      </c>
      <c r="KQ167" s="6">
        <f>COUNTIFS(Table29[Country],Tabela1[[#This Row],[Country]],Table29[58kg Classification],"&gt;0")</f>
        <v>0</v>
      </c>
      <c r="KR167" s="6">
        <f>COUNTIFS(Table29[Country],Tabela1[[#This Row],[Country]],Table29[68kg Classification],"&gt;0")</f>
        <v>0</v>
      </c>
      <c r="KS167" s="6">
        <f>COUNTIFS(Table29[Country],Tabela1[[#This Row],[Country]],Table29[80kg Classification],"&gt;0")</f>
        <v>0</v>
      </c>
      <c r="KT167" s="6">
        <f>COUNTIFS(Table29[Country],Tabela1[[#This Row],[Country]],Table29[Plus 80kg Classification],"&gt;0")</f>
        <v>0</v>
      </c>
      <c r="KU167" s="6">
        <f>COUNTIFS(Table34[Country],Tabela1[[#This Row],[Country]],Table34[49kg Classification],"&gt;0")</f>
        <v>0</v>
      </c>
      <c r="KV167" s="6">
        <f>COUNTIFS(Table34[Country],Tabela1[[#This Row],[Country]],Table34[57kg Classification],"&gt;0")</f>
        <v>0</v>
      </c>
      <c r="KW167" s="6">
        <f>COUNTIFS(Table34[Country],Tabela1[[#This Row],[Country]],Table34[67kg Classification],"&gt;0")</f>
        <v>0</v>
      </c>
      <c r="KX167" s="6">
        <f>COUNTIFS(Table34[Country],Tabela1[[#This Row],[Country]],Table34[Plus 67kg Classification],"&gt;0")</f>
        <v>0</v>
      </c>
      <c r="KY167" s="6">
        <f>COUNTIFS(Table57[Country],Tabela1[[#This Row],[Country]],Table57[Classification],"&gt;0")</f>
        <v>0</v>
      </c>
      <c r="KZ167" s="6">
        <f>COUNTIFS(Table58[Country],Tabela1[[#This Row],[Country]],Table58[Classification],"&gt;0")</f>
        <v>0</v>
      </c>
      <c r="LA167" s="6">
        <f>COUNTIFS(Table79[Country],Tabela1[[#This Row],[Country]],Table79[Men''s Classification],"&gt;0")</f>
        <v>0</v>
      </c>
      <c r="LB167" s="6">
        <f>COUNTIFS(Table79[Country],Tabela1[[#This Row],[Country]],Table79[Women''s Classification],"&gt;0")</f>
        <v>0</v>
      </c>
      <c r="LC167" s="6">
        <f>COUNTIFS(Table79[Country],Tabela1[[#This Row],[Country]],Table79[Mixed Classification],"&gt;0")</f>
        <v>0</v>
      </c>
      <c r="LD167" s="6">
        <f>COUNTIFS(Table65[Country],Tabela1[[#This Row],[Country]],Table65[Classification],"&gt;0")</f>
        <v>0</v>
      </c>
      <c r="LE167" s="6">
        <f>COUNTIFS(Table59[Country],Tabela1[[#This Row],[Country]],Table59[Classification],"&gt;0")</f>
        <v>0</v>
      </c>
      <c r="LF167" s="6">
        <f>COUNTIFS(Table87[Country],Tabela1[[#This Row],[Country]],Table87[Mixed Relay Classification],"&gt;0")</f>
        <v>0</v>
      </c>
      <c r="LG167" s="6">
        <f>COUNTIFS(Table91949698100[Country],Tabela1[[#This Row],[Country]],Table91949698100[Men''s Classification],"&gt;0")</f>
        <v>0</v>
      </c>
      <c r="LH167" s="6">
        <f>COUNTIFS(Table91949698100[Country],Tabela1[[#This Row],[Country]],Table91949698100[Women''s Classification],"&gt;0")</f>
        <v>0</v>
      </c>
      <c r="LI167" s="6">
        <f>COUNTIFS(Table91949698100102[Country],Tabela1[[#This Row],[Country]],Table91949698100102[Men''s Classification],"&gt;0")</f>
        <v>0</v>
      </c>
      <c r="LJ167" s="6">
        <f>COUNTIFS(Table91949698100102[Country],Tabela1[[#This Row],[Country]],Table91949698100102[Women''s Classification],"&gt;0")</f>
        <v>0</v>
      </c>
      <c r="LK167" s="6">
        <f>COUNTIFS(Table23[Country],Tabela1[[#This Row],[Country]],Table23[61kg Classification],"&gt;0")</f>
        <v>0</v>
      </c>
      <c r="LL167" s="6">
        <f>COUNTIFS(Table23[Country],Tabela1[[#This Row],[Country]],Table23[73kg Classification],"&gt;0")</f>
        <v>0</v>
      </c>
      <c r="LM167" s="6">
        <f>COUNTIFS(Table23[Country],Tabela1[[#This Row],[Country]],Table23[89kg Classification],"&gt;0")</f>
        <v>0</v>
      </c>
      <c r="LN167" s="6">
        <f>COUNTIFS(Table23[Country],Tabela1[[#This Row],[Country]],Table23[102kg Classification],"&gt;0")</f>
        <v>0</v>
      </c>
      <c r="LO167" s="6">
        <f>COUNTIFS(Table23[Country],Tabela1[[#This Row],[Country]],Table23[Plus 102kg Classification],"&gt;0")</f>
        <v>0</v>
      </c>
      <c r="LP167" s="6">
        <f>COUNTIFS(Table28[Country],Tabela1[[#This Row],[Country]],Table28[49kg Classification],"&gt;0")</f>
        <v>0</v>
      </c>
      <c r="LQ167" s="6">
        <f>COUNTIFS(Table28[Country],Tabela1[[#This Row],[Country]],Table28[59kg Classification],"&gt;0")</f>
        <v>0</v>
      </c>
      <c r="LR167" s="6">
        <f>COUNTIFS(Table28[Country],Tabela1[[#This Row],[Country]],Table28[71kg Classification],"&gt;0")</f>
        <v>0</v>
      </c>
      <c r="LS167" s="6">
        <f>COUNTIFS(Table28[Country],Tabela1[[#This Row],[Country]],Table28[81kg Classification],"&gt;0")</f>
        <v>0</v>
      </c>
      <c r="LT167" s="6">
        <f>COUNTIFS(Table28[Country],Tabela1[[#This Row],[Country]],Table28[Plus 81kg Classification],"&gt;0")</f>
        <v>0</v>
      </c>
      <c r="LU167" s="6">
        <f>COUNTIFS(Table24[Country],Tabela1[[#This Row],[Country]],Table24[Freestyle 57kg Classification],"&gt;0")</f>
        <v>0</v>
      </c>
      <c r="LV167" s="6">
        <f>COUNTIFS(Table24[Country],Tabela1[[#This Row],[Country]],Table24[Freestyle 65kg Classification],"&gt;0")</f>
        <v>0</v>
      </c>
      <c r="LW167" s="6">
        <f>COUNTIFS(Table24[Country],Tabela1[[#This Row],[Country]],Table24[Freestyle 74kg Classification],"&gt;0")</f>
        <v>0</v>
      </c>
      <c r="LX167" s="6">
        <f>COUNTIFS(Table24[Country],Tabela1[[#This Row],[Country]],Table24[Freestyle 86kg Classification],"&gt;0")</f>
        <v>0</v>
      </c>
      <c r="LY167" s="6">
        <f>COUNTIFS(Table24[Country],Tabela1[[#This Row],[Country]],Table24[Freestyle 97kg Classification],"&gt;0")</f>
        <v>0</v>
      </c>
      <c r="LZ167" s="6">
        <f>COUNTIFS(Table24[Country],Tabela1[[#This Row],[Country]],Table24[Freestyle 125kg Classification],"&gt;0")</f>
        <v>0</v>
      </c>
      <c r="MA167" s="6">
        <f>COUNTIFS(Table24[Country],Tabela1[[#This Row],[Country]],Table24[Greco-Roman 60kg Classification],"&gt;0")</f>
        <v>0</v>
      </c>
      <c r="MB167" s="6">
        <f>COUNTIFS(Table24[Country],Tabela1[[#This Row],[Country]],Table24[Greco-Roman 67kg Classification],"&gt;0")</f>
        <v>0</v>
      </c>
      <c r="MC167" s="6">
        <f>COUNTIFS(Table24[Country],Tabela1[[#This Row],[Country]],Table24[Greco-Roman 77kg Classification],"&gt;0")</f>
        <v>0</v>
      </c>
      <c r="MD167" s="6">
        <f>COUNTIFS(Table24[Country],Tabela1[[#This Row],[Country]],Table24[Greco-Roman 87kg Classification],"&gt;0")</f>
        <v>0</v>
      </c>
      <c r="ME167" s="6">
        <f>COUNTIFS(Table24[Country],Tabela1[[#This Row],[Country]],Table24[Greco-Roman 97kg Classification],"&gt;0")</f>
        <v>0</v>
      </c>
      <c r="MF167" s="6">
        <f>COUNTIFS(Table24[Country],Tabela1[[#This Row],[Country]],Table24[Greco-Roman 130kg Classification],"&gt;0")</f>
        <v>0</v>
      </c>
      <c r="MG167" s="6">
        <f>COUNTIFS(Table31[Country],Tabela1[[#This Row],[Country]],Table31[50kg Classification],"&gt;0")</f>
        <v>0</v>
      </c>
      <c r="MH167" s="6">
        <f>COUNTIFS(Table31[Country],Tabela1[[#This Row],[Country]],Table31[53kg Classification],"&gt;0")</f>
        <v>0</v>
      </c>
      <c r="MI167" s="6">
        <f>COUNTIFS(Table31[Country],Tabela1[[#This Row],[Country]],Table31[57kg Classification],"&gt;0")</f>
        <v>0</v>
      </c>
      <c r="MJ167" s="6">
        <f>COUNTIFS(Table31[Country],Tabela1[[#This Row],[Country]],Table31[62kg Classification],"&gt;0")</f>
        <v>0</v>
      </c>
      <c r="MK167" s="6">
        <f>COUNTIFS(Table31[Country],Tabela1[[#This Row],[Country]],Table31[68kg Classification],"&gt;0")</f>
        <v>0</v>
      </c>
      <c r="ML167" s="6">
        <f>COUNTIFS(Table31[Country],Tabela1[[#This Row],[Country]],Table31[76kg Classification],"&gt;0")</f>
        <v>0</v>
      </c>
      <c r="MM167" s="6">
        <f>COUNTIFS(Table102[Country],Tabela1[[#This Row],[Country]],Table102[Downhill Classification],"&gt;0")</f>
        <v>0</v>
      </c>
      <c r="MN167" s="6">
        <f>COUNTIFS(Table102105[Country],Tabela1[[#This Row],[Country]],Table102105[Downhill Classification],"&gt;0")</f>
        <v>0</v>
      </c>
      <c r="MO167" s="6">
        <f>COUNTIFS(Table102[Country],Tabela1[[#This Row],[Country]],Table102[Giant Slalom Classification],"&gt;0")</f>
        <v>0</v>
      </c>
      <c r="MP167" s="6">
        <f>COUNTIFS(Table102105[Country],Tabela1[[#This Row],[Country]],Table102105[Giant Slalom Classification],"&gt;0")</f>
        <v>0</v>
      </c>
      <c r="MQ167" s="6">
        <f>COUNTIFS(Table102[Country],Tabela1[[#This Row],[Country]],Table102[Slalom Classification],"&gt;0")</f>
        <v>0</v>
      </c>
      <c r="MR167" s="6">
        <f>COUNTIFS(Table102105[Country],Tabela1[[#This Row],[Country]],Table102105[Slalom Classification],"&gt;0")</f>
        <v>0</v>
      </c>
      <c r="MS167" s="6">
        <f>COUNTIFS(Table102[Country],Tabela1[[#This Row],[Country]],Table102[Super-G Classification],"&gt;0")</f>
        <v>0</v>
      </c>
      <c r="MT167" s="6">
        <f>COUNTIFS(Table102105[Country],Tabela1[[#This Row],[Country]],Table102105[Super-G Classification],"&gt;0")</f>
        <v>0</v>
      </c>
      <c r="MU167" s="6">
        <f>COUNTIFS(Table105[Country],Tabela1[[#This Row],[Country]],Table105[Men''s Combined Classification],"&gt;0")</f>
        <v>0</v>
      </c>
      <c r="MV167" s="6">
        <f>COUNTIFS(Table105[Country],Tabela1[[#This Row],[Country]],Table105[Women''s Combined Classification],"&gt;0")</f>
        <v>0</v>
      </c>
      <c r="MW167" s="6">
        <f>COUNTIFS(Table106[Country],Tabela1[[#This Row],[Country]],Table106[Individual Classification],"&gt;0")</f>
        <v>0</v>
      </c>
      <c r="MX167" s="6">
        <f>COUNTIFS(Table106109[Country],Tabela1[[#This Row],[Country]],Table106109[Individual Classification],"&gt;0")</f>
        <v>0</v>
      </c>
      <c r="MY167" s="6">
        <f>COUNTIFS(Table106[Country],Tabela1[[#This Row],[Country]],Table106[Mass Start Classification],"&gt;0")</f>
        <v>0</v>
      </c>
      <c r="MZ167" s="6">
        <f>COUNTIFS(Table106109[Country],Tabela1[[#This Row],[Country]],Table106109[Mass Start Classification],"&gt;0")</f>
        <v>0</v>
      </c>
      <c r="NA167" s="6">
        <f>COUNTIFS(Table106[Country],Tabela1[[#This Row],[Country]],Table106[Pursuit Classification],"&gt;0")</f>
        <v>0</v>
      </c>
      <c r="NB167" s="6">
        <f>COUNTIFS(Table106109[Country],Tabela1[[#This Row],[Country]],Table106109[Pursuit Classification],"&gt;0")</f>
        <v>0</v>
      </c>
      <c r="NC167" s="6">
        <f>COUNTIFS(Table106[Country],Tabela1[[#This Row],[Country]],Table106[Sprint Classification],"&gt;0")</f>
        <v>0</v>
      </c>
      <c r="ND167" s="6">
        <f>COUNTIFS(Table106109[Country],Tabela1[[#This Row],[Country]],Table106109[Sprint Classification],"&gt;0")</f>
        <v>0</v>
      </c>
      <c r="NE167" s="6">
        <f>COUNTIFS(Table109[Country],Tabela1[[#This Row],[Country]],Table109[Men''s Relay Classification],"&gt;0")</f>
        <v>0</v>
      </c>
      <c r="NF167" s="6">
        <f>COUNTIFS(Table109[Country],Tabela1[[#This Row],[Country]],Table109[Women''s Relay Classification],"&gt;0")</f>
        <v>0</v>
      </c>
      <c r="NG167" s="6">
        <f>COUNTIFS(Table109[Country],Tabela1[[#This Row],[Country]],Table109[Mixed Relay Classification],"&gt;0")</f>
        <v>0</v>
      </c>
      <c r="NH167" s="6">
        <f>COUNTIFS(Table110[Country],Tabela1[[#This Row],[Country]],Table110[Monobob Classification],"&gt;0")</f>
        <v>0</v>
      </c>
      <c r="NI167" s="6">
        <f>COUNTIFS(Table111[Country],Tabela1[[#This Row],[Country]],Table111[Men''s Classification],"&gt;0")</f>
        <v>0</v>
      </c>
      <c r="NJ167" s="6">
        <f>COUNTIFS(Table111[Country],Tabela1[[#This Row],[Country]],Table111[Women''s Classification],"&gt;0")</f>
        <v>0</v>
      </c>
      <c r="NK167" s="6">
        <f>COUNTIFS(Table112[Country],Tabela1[[#This Row],[Country]],Table112[Men''s Four Classification],"&gt;0")</f>
        <v>0</v>
      </c>
      <c r="NL167" s="6">
        <f>COUNTIFS(Table113[Country],Tabela1[[#This Row],[Country]],Table113[Classical Classification],"&gt;0")</f>
        <v>0</v>
      </c>
      <c r="NM167" s="6">
        <f>COUNTIFS(Table113116[Country],Tabela1[[#This Row],[Country]],Table113116[Classical Classification],"&gt;0")</f>
        <v>0</v>
      </c>
      <c r="NN167" s="6">
        <f>COUNTIFS(Table113[Country],Tabela1[[#This Row],[Country]],Table113[Freestyle Classification],"&gt;0")</f>
        <v>0</v>
      </c>
      <c r="NO167" s="6">
        <f>COUNTIFS(Table113116[Country],Tabela1[[#This Row],[Country]],Table113116[Freestyle Classification],"&gt;0")</f>
        <v>0</v>
      </c>
      <c r="NP167" s="6">
        <f>COUNTIFS(Table117[Country],Tabela1[[#This Row],[Country]],Table117[Men''s Relay Classification],"&gt;0")</f>
        <v>0</v>
      </c>
      <c r="NQ167" s="6">
        <f>COUNTIFS(Table117[Country],Tabela1[[#This Row],[Country]],Table117[Women''s Relay Classification],"&gt;0")</f>
        <v>0</v>
      </c>
      <c r="NR167" s="6">
        <f>COUNTIFS(Table113[Country],Tabela1[[#This Row],[Country]],Table113[Skiathlon Classification],"&gt;0")</f>
        <v>0</v>
      </c>
      <c r="NS167" s="6">
        <f>COUNTIFS(Table113116[Country],Tabela1[[#This Row],[Country]],Table113116[Skiathlon Classification],"&gt;0")</f>
        <v>0</v>
      </c>
      <c r="NT167" s="6">
        <f>COUNTIFS(Table113[Country],Tabela1[[#This Row],[Country]],Table113[Sprint Classification],"&gt;0")</f>
        <v>0</v>
      </c>
      <c r="NU167" s="6">
        <f>COUNTIFS(Table113116[Country],Tabela1[[#This Row],[Country]],Table113116[Sprint Classification],"&gt;0")</f>
        <v>0</v>
      </c>
      <c r="NV167" s="6">
        <f>COUNTIFS(Table116[Country],Tabela1[[#This Row],[Country]],Table116[Men''s Team Sprint Classification],"&gt;0")</f>
        <v>0</v>
      </c>
      <c r="NW167" s="6">
        <f>COUNTIFS(Table116[Country],Tabela1[[#This Row],[Country]],Table116[Women''s Team Sprint Classification],"&gt;0")</f>
        <v>0</v>
      </c>
      <c r="NX167" s="6">
        <f>COUNTIFS(Table119[Country],Tabela1[[#This Row],[Country]],Table119[Men''s Classification],"&gt;0")</f>
        <v>0</v>
      </c>
      <c r="NY167" s="6">
        <f>COUNTIFS(Table119[Country],Tabela1[[#This Row],[Country]],Table119[Women''s Classification],"&gt;0")</f>
        <v>0</v>
      </c>
      <c r="NZ167" s="6">
        <f>COUNTIFS(Table118[Country],Tabela1[[#This Row],[Country]],Table118[Mixed Classification],"&gt;0")</f>
        <v>0</v>
      </c>
      <c r="OA167" s="6">
        <f>COUNTIFS(Table120[Country],Tabela1[[#This Row],[Country]],Table120[Classification],"&gt;0")</f>
        <v>0</v>
      </c>
      <c r="OB167" s="6">
        <f>COUNTIFS(Table120123[Country],Tabela1[[#This Row],[Country]],Table120123[Classification],"&gt;0")</f>
        <v>0</v>
      </c>
      <c r="OC167" s="6">
        <f>COUNTIFS(Table123[Country],Tabela1[[#This Row],[Country]],Table123[Ice Dance Classification],"&gt;0")</f>
        <v>0</v>
      </c>
      <c r="OD167" s="6">
        <f>COUNTIFS(Table123[Country],Tabela1[[#This Row],[Country]],Table123[Pair Skating Classification],"&gt;0")</f>
        <v>0</v>
      </c>
      <c r="OE167" s="6">
        <f>COUNTIFS(Table124[Country],Tabela1[[#This Row],[Country]],Table124[Mixed Classification],"&gt;0")</f>
        <v>0</v>
      </c>
      <c r="OF167" s="6">
        <f>COUNTIFS(Table125[Country],Tabela1[[#This Row],[Country]],Table125[Aerials Classification],"&gt;0")</f>
        <v>0</v>
      </c>
      <c r="OG167" s="6">
        <f>COUNTIFS(Table125128[Country],Tabela1[[#This Row],[Country]],Table125128[Aerials Classification],"&gt;0")</f>
        <v>0</v>
      </c>
      <c r="OH167" s="6">
        <f>COUNTIFS(Table128[Country],Tabela1[[#This Row],[Country]],Table128[Mixed Aerials Classification],"&gt;0")</f>
        <v>0</v>
      </c>
      <c r="OI167" s="6">
        <f>COUNTIFS(Table125[Country],Tabela1[[#This Row],[Country]],Table125[Big Air Classification],"&gt;0")</f>
        <v>0</v>
      </c>
      <c r="OJ167" s="6">
        <f>COUNTIFS(Table125128[Country],Tabela1[[#This Row],[Country]],Table125128[Big Air Classification],"&gt;0")</f>
        <v>0</v>
      </c>
      <c r="OK167" s="6">
        <f>COUNTIFS(Table125[Country],Tabela1[[#This Row],[Country]],Table125[Dual Moguls Classification],"&gt;0")</f>
        <v>0</v>
      </c>
      <c r="OL167" s="6">
        <f>COUNTIFS(Table125128[Country],Tabela1[[#This Row],[Country]],Table125128[Dual Moguls Classification],"&gt;0")</f>
        <v>0</v>
      </c>
      <c r="OM167" s="6">
        <f>COUNTIFS(Table125[Country],Tabela1[[#This Row],[Country]],Table125[Halfpipe Classification],"&gt;0")</f>
        <v>0</v>
      </c>
      <c r="ON167" s="6">
        <f>COUNTIFS(Table125128[Country],Tabela1[[#This Row],[Country]],Table125128[Halfpipe Classification],"&gt;0")</f>
        <v>0</v>
      </c>
      <c r="OO167" s="6">
        <f>COUNTIFS(Table125[Country],Tabela1[[#This Row],[Country]],Table125[Moguls Classification],"&gt;0")</f>
        <v>0</v>
      </c>
      <c r="OP167" s="6">
        <f>COUNTIFS(Table125128[Country],Tabela1[[#This Row],[Country]],Table125128[Moguls Classification],"&gt;0")</f>
        <v>0</v>
      </c>
      <c r="OQ167" s="6">
        <f>COUNTIFS(Table125[Country],Tabela1[[#This Row],[Country]],Table125[Ski Cross Classification],"&gt;0")</f>
        <v>0</v>
      </c>
      <c r="OR167" s="6">
        <f>COUNTIFS(Table125128[Country],Tabela1[[#This Row],[Country]],Table125128[Ski Cross Classification],"&gt;0")</f>
        <v>0</v>
      </c>
      <c r="OS167" s="6">
        <f>COUNTIFS(Table125[Country],Tabela1[[#This Row],[Country]],Table125[Slopestyle Classification],"&gt;0")</f>
        <v>0</v>
      </c>
      <c r="OT167" s="6">
        <f>COUNTIFS(Table125128[Country],Tabela1[[#This Row],[Country]],Table125128[Slopestyle Classification],"&gt;0")</f>
        <v>0</v>
      </c>
      <c r="OU167" s="6">
        <f>COUNTIFS(Table119131[Country],Tabela1[[#This Row],[Country]],Table119131[Men''s Classification],"&gt;0")</f>
        <v>0</v>
      </c>
      <c r="OV167" s="6">
        <f>COUNTIFS(Table119131[Country],Tabela1[[#This Row],[Country]],Table119131[Women''s Classification],"&gt;0")</f>
        <v>0</v>
      </c>
      <c r="OW167" s="6">
        <f>COUNTIFS(Table131[Country],Tabela1[[#This Row],[Country]],Table131[Classification],"&gt;0")</f>
        <v>0</v>
      </c>
      <c r="OX167" s="6">
        <f>COUNTIFS(Table131134[Country],Tabela1[[#This Row],[Country]],Table131134[Classification],"&gt;0")</f>
        <v>0</v>
      </c>
      <c r="OY167" s="6">
        <f>COUNTIFS(Table134[Country],Tabela1[[#This Row],[Country]],Table134[Men''s Classification],"&gt;0")</f>
        <v>0</v>
      </c>
      <c r="OZ167" s="6">
        <f>COUNTIFS(Table134[Country],Tabela1[[#This Row],[Country]],Table134[Women''s Classification],"&gt;0")</f>
        <v>0</v>
      </c>
      <c r="PA167" s="6">
        <f>COUNTIFS(Table135[Country],Tabela1[[#This Row],[Country]],Table135[Mixed Relay Classification],"&gt;0")</f>
        <v>0</v>
      </c>
      <c r="PB167" s="6">
        <f>COUNTIFS(Table136[Country],Tabela1[[#This Row],[Country]],Table136[Individual Classification],"&gt;0")</f>
        <v>0</v>
      </c>
      <c r="PC167" s="6">
        <f>COUNTIFS(Table136[Country],Tabela1[[#This Row],[Country]],Table136[Sprint Classification],"&gt;0")</f>
        <v>0</v>
      </c>
      <c r="PD167" s="6">
        <f>COUNTIFS(Table137[Country],Tabela1[[#This Row],[Country]],Table137[Men''s Team Sprint Large Hill Classification],"&gt;0")</f>
        <v>0</v>
      </c>
      <c r="PE167" s="6">
        <f>COUNTIFS(Table138[Country],Tabela1[[#This Row],[Country]],Table138[500m Classification],"&gt;0")</f>
        <v>0</v>
      </c>
      <c r="PF167" s="6">
        <f>COUNTIFS(Table138141[Country],Tabela1[[#This Row],[Country]],Table138141[500m Classification],"&gt;0")</f>
        <v>0</v>
      </c>
      <c r="PG167" s="6">
        <f>COUNTIFS(Table138[Country],Tabela1[[#This Row],[Country]],Table138[1000m Classification],"&gt;0")</f>
        <v>0</v>
      </c>
      <c r="PH167" s="6">
        <f>COUNTIFS(Table138141[Country],Tabela1[[#This Row],[Country]],Table138141[1000m Classification],"&gt;0")</f>
        <v>0</v>
      </c>
      <c r="PI167" s="6">
        <f>COUNTIFS(Table138[Country],Tabela1[[#This Row],[Country]],Table138[1500m Classification],"&gt;0")</f>
        <v>0</v>
      </c>
      <c r="PJ167" s="6">
        <f>COUNTIFS(Table138141[Country],Tabela1[[#This Row],[Country]],Table138141[1500m Classification],"&gt;0")</f>
        <v>0</v>
      </c>
      <c r="PK167" s="6">
        <f>COUNTIFS(Table141[Country],Tabela1[[#This Row],[Country]],Table141[Men''s 5000m Relay Classification],"&gt;0")</f>
        <v>0</v>
      </c>
      <c r="PL167" s="6">
        <f>COUNTIFS(Table141[Country],Tabela1[[#This Row],[Country]],Table141[Women''s 3000m Relay Classification],"&gt;0")</f>
        <v>0</v>
      </c>
      <c r="PM167" s="6">
        <f>COUNTIFS(Table141[Country],Tabela1[[#This Row],[Country]],Table141[Mixed 2000m Relay Classification],"&gt;0")</f>
        <v>0</v>
      </c>
      <c r="PN167" s="6">
        <f>COUNTIFS(Table142[Country],Tabela1[[#This Row],[Country]],Table142[Classification],"&gt;0")</f>
        <v>0</v>
      </c>
      <c r="PO167" s="6">
        <f>COUNTIFS(Table142145[Country],Tabela1[[#This Row],[Country]],Table142145[Classification],"&gt;0")</f>
        <v>0</v>
      </c>
      <c r="PP167" s="6">
        <f>COUNTIFS(Tabela15[Country],Tabela1[[#This Row],[Country]],Tabela15[Mixed Team Classification],"&gt;0")</f>
        <v>0</v>
      </c>
      <c r="PQ167" s="6">
        <f>COUNTIFS(Table145[Country],Tabela1[[#This Row],[Country]],Table145[Large Hill Classification],"&gt;0")</f>
        <v>0</v>
      </c>
      <c r="PR167" s="6">
        <f>COUNTIFS(Table145[Country],Tabela1[[#This Row],[Country]],Table145[Normal Hill Classification],"&gt;0")</f>
        <v>0</v>
      </c>
      <c r="PS167" s="6">
        <f>COUNTIFS(Table145148[Country],Tabela1[[#This Row],[Country]],Table145148[Large Hill Classification],"&gt;0")</f>
        <v>0</v>
      </c>
      <c r="PT167" s="6">
        <f>COUNTIFS(Table145148[Country],Tabela1[[#This Row],[Country]],Table145148[Normal Hill Classification],"&gt;0")</f>
        <v>0</v>
      </c>
      <c r="PU167" s="6">
        <f>COUNTIFS(Table148[Country],Tabela1[[#This Row],[Country]],Table148[Men''s Super Team Classification],"&gt;0")</f>
        <v>0</v>
      </c>
      <c r="PV167" s="6">
        <f>COUNTIFS(Tabela114[Country],Tabela1[[#This Row],[Country]],Tabela114[Mixed Normal Hill Classification],"&gt;0")</f>
        <v>0</v>
      </c>
      <c r="PW167" s="6">
        <f>COUNTIFS(Tabela50[Country],Tabela1[[#This Row],[Country]],Tabela50[Sprint Classification],"&gt;0")</f>
        <v>0</v>
      </c>
      <c r="PX167" s="6">
        <f>COUNTIFS(Tabela50101[Country],Tabela1[[#This Row],[Country]],Tabela50101[Sprint Classification],"&gt;0")</f>
        <v>0</v>
      </c>
      <c r="PY167" s="6">
        <f>COUNTIFS(Tabela103[Country],Tabela1[[#This Row],[Country]],Tabela103[Mixed Relay Classification],"&gt;0")</f>
        <v>0</v>
      </c>
      <c r="PZ167" s="6">
        <f>COUNTIFS(Table149[Country],Tabela1[[#This Row],[Country]],Table149[Big Air Classification],"&gt;0")</f>
        <v>0</v>
      </c>
      <c r="QA167" s="6">
        <f>COUNTIFS(Table149152[Country],Tabela1[[#This Row],[Country]],Table149152[Big Air Classification],"&gt;0")</f>
        <v>0</v>
      </c>
      <c r="QB167" s="6">
        <f>COUNTIFS(Table149[Country],Tabela1[[#This Row],[Country]],Table149[Halfpipe Classification],"&gt;0")</f>
        <v>0</v>
      </c>
      <c r="QC167" s="6">
        <f>COUNTIFS(Table149152[Country],Tabela1[[#This Row],[Country]],Table149152[Halfpipe Classification],"&gt;0")</f>
        <v>0</v>
      </c>
      <c r="QD167" s="6">
        <f>COUNTIFS(Table149[Country],Tabela1[[#This Row],[Country]],Table149[Parallel Giant Slalom Classification],"&gt;0")</f>
        <v>0</v>
      </c>
      <c r="QE167" s="6">
        <f>COUNTIFS(Table149152[Country],Tabela1[[#This Row],[Country]],Table149152[Parallel Giant Slalom Classification],"&gt;0")</f>
        <v>0</v>
      </c>
      <c r="QF167" s="6">
        <f>COUNTIFS(Table149[Country],Tabela1[[#This Row],[Country]],Table149[Slopestyle Classification],"&gt;0")</f>
        <v>0</v>
      </c>
      <c r="QG167" s="6">
        <f>COUNTIFS(Table149152[Country],Tabela1[[#This Row],[Country]],Table149152[Slopestyle Classification],"&gt;0")</f>
        <v>0</v>
      </c>
      <c r="QH167" s="6">
        <f>COUNTIFS(Table149[Country],Tabela1[[#This Row],[Country]],Table149[Snowboard Cross Classification],"&gt;0")</f>
        <v>0</v>
      </c>
      <c r="QI167" s="6">
        <f>COUNTIFS(Table149152[Country],Tabela1[[#This Row],[Country]],Table149152[Snowboard Cross Classification],"&gt;0")</f>
        <v>0</v>
      </c>
      <c r="QJ167" s="6">
        <f>COUNTIFS(Table153[Country],Tabela1[[#This Row],[Country]],Table153[Mixed Team Snowboard Cross Classification],"&gt;0")</f>
        <v>0</v>
      </c>
      <c r="QK167" s="6">
        <f>COUNTIFS(Table154[Country],Tabela1[[#This Row],[Country]],Table154[500m Classification],"&gt;0")</f>
        <v>0</v>
      </c>
      <c r="QL167" s="6">
        <f>COUNTIFS(Table154157[Country],Tabela1[[#This Row],[Country]],Table154157[500m Classification],"&gt;0")</f>
        <v>0</v>
      </c>
      <c r="QM167" s="6">
        <f>COUNTIFS(Table154[Country],Tabela1[[#This Row],[Country]],Table154[1000m Classification],"&gt;0")</f>
        <v>0</v>
      </c>
      <c r="QN167" s="6">
        <f>COUNTIFS(Table154157[Country],Tabela1[[#This Row],[Country]],Table154157[1000m Classification],"&gt;0")</f>
        <v>0</v>
      </c>
      <c r="QO167" s="6">
        <f>COUNTIFS(Table154[Country],Tabela1[[#This Row],[Country]],Table154[1500m Classification],"&gt;0")</f>
        <v>0</v>
      </c>
      <c r="QP167" s="6">
        <f>COUNTIFS(Table154157[Country],Tabela1[[#This Row],[Country]],Table154157[1500m Classification],"&gt;0")</f>
        <v>0</v>
      </c>
      <c r="QQ167" s="6">
        <f>COUNTIFS(Table154157[Country],Tabela1[[#This Row],[Country]],Table154157[3000m Classification],"&gt;0")</f>
        <v>0</v>
      </c>
      <c r="QR167" s="6">
        <f>COUNTIFS(Table154[Country],Tabela1[[#This Row],[Country]],Table154[5000m Classification],"&gt;0")</f>
        <v>0</v>
      </c>
      <c r="QS167" s="6">
        <f>COUNTIFS(Table154157[Country],Tabela1[[#This Row],[Country]],Table154157[5000m Classification],"&gt;0")</f>
        <v>0</v>
      </c>
      <c r="QT167" s="6">
        <f>COUNTIFS(Table154[Country],Tabela1[[#This Row],[Country]],Table154[10000m Classification],"&gt;0")</f>
        <v>0</v>
      </c>
      <c r="QU167" s="6">
        <f>COUNTIFS(Table154[Country],Tabela1[[#This Row],[Country]],Table154[Mass Start Classification],"&gt;0")</f>
        <v>0</v>
      </c>
      <c r="QV167" s="6">
        <f>COUNTIFS(Table154157[Country],Tabela1[[#This Row],[Country]],Table154157[Mass Start Classification],"&gt;0")</f>
        <v>0</v>
      </c>
      <c r="QW167" s="6">
        <f>COUNTIFS(Table157[Country],Tabela1[[#This Row],[Country]],Table157[Men''s Pursuit Classification],"&gt;0")</f>
        <v>0</v>
      </c>
      <c r="QX167" s="6">
        <f>COUNTIFS(Table157[Country],Tabela1[[#This Row],[Country]],Table157[Women''s Pursuit Classification],"&gt;0")</f>
        <v>0</v>
      </c>
      <c r="QY167" s="3" t="s">
        <v>523</v>
      </c>
    </row>
    <row r="168" spans="1:467" x14ac:dyDescent="0.3">
      <c r="A168" s="6">
        <v>167</v>
      </c>
      <c r="B168" s="6" t="s">
        <v>528</v>
      </c>
      <c r="C168" t="e" vm="167">
        <f>IF(ISBLANK(Tabela1[[#This Row],[Image Link]]), "", _xlfn.IMAGE(Tabela1[[#This Row],[Image Link]],1,1))</f>
        <v>#VALUE!</v>
      </c>
      <c r="D168" s="6">
        <f>SUM(Tabela1[[#This Row],[Archery - Men''s Individual Recurve]:[Speed Skating - Women''s Team Pursuit]])</f>
        <v>0</v>
      </c>
      <c r="E168" s="6">
        <f>COUNTIF(Tabela1[[#This Row],[Archery - Men''s Individual Recurve]:[Speed Skating - Women''s Team Pursuit]],"&gt;0")</f>
        <v>0</v>
      </c>
      <c r="F168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68" s="6">
        <f>SUM(Tabela1[[#This Row],[Archery - Men''s Individual Recurve]:[Wrestling - Women''s Freestyle 76kg]])</f>
        <v>0</v>
      </c>
      <c r="H168" s="6">
        <f>SUM(Tabela1[[#This Row],[Alpine Skiing - Men''s Downhill]:[Speed Skating - Women''s Team Pursuit]])</f>
        <v>0</v>
      </c>
      <c r="I168" s="6">
        <f>Tabela1[[#This Row],[Summer Gold Medals]]+Tabela1[[#This Row],[Winter Gold Medals]]</f>
        <v>0</v>
      </c>
      <c r="J168" s="6">
        <f>Tabela1[[#This Row],[Summer Silver Medals]]+Tabela1[[#This Row],[Winter Silver Medals]]</f>
        <v>0</v>
      </c>
      <c r="K168" s="6">
        <f>Tabela1[[#This Row],[Summer Bronze Medals]]+Tabela1[[#This Row],[Winter Bronze Medals]]</f>
        <v>0</v>
      </c>
      <c r="L168" s="6">
        <f>SUM(Tabela1[[#This Row],[Total Gold Medals]:[Total Bronze Medals]])</f>
        <v>0</v>
      </c>
      <c r="M168" s="6"/>
      <c r="N168" s="6"/>
      <c r="O168" s="6"/>
      <c r="P168" s="6">
        <f>SUM(Tabela1[[#This Row],[Summer Gold Medals]:[Summer Bronze Medals]])</f>
        <v>0</v>
      </c>
      <c r="Q168" s="6"/>
      <c r="R168" s="6"/>
      <c r="S168" s="6"/>
      <c r="T168" s="6">
        <f>Tabela1[[#This Row],[Winter Gold Medals]]+Tabela1[[#This Row],[Winter Silver Medals]]+Tabela1[[#This Row],[Winter Bronze Medals]]</f>
        <v>0</v>
      </c>
      <c r="U168" s="7" t="e">
        <f>Tabela1[[#This Row],[Total Medals]]/Tabela1[[#This Row],[Total Quotas]]</f>
        <v>#DIV/0!</v>
      </c>
      <c r="V168" s="6">
        <f>COUNTIFS(Table3[Country],Tabela1[[#This Row],[Country]],Table3[Recurve Classification],"&gt;0")</f>
        <v>0</v>
      </c>
      <c r="W168" s="6">
        <f>COUNTIFS(Table33[Country],Tabela1[[#This Row],[Country]],Table33[Recurve Classification],"&gt;0")</f>
        <v>0</v>
      </c>
      <c r="X168" s="6">
        <f>COUNTIFS(Table35[Country],Tabela1[[#This Row],[Country]],Table35[Men''s Team Recurve Classification],"&gt;0")</f>
        <v>0</v>
      </c>
      <c r="Y168" s="6">
        <f>COUNTIFS(Table35[Country],Tabela1[[#This Row],[Country]],Table35[Women''s Team Recurve Classification],"&gt;0")</f>
        <v>0</v>
      </c>
      <c r="Z168" s="6">
        <f>COUNTIFS(Tabela88[Country],Tabela1[[#This Row],[Country]],Tabela88[Mixed Team Recurve Classification],"&gt;0")</f>
        <v>0</v>
      </c>
      <c r="AA168" s="6">
        <f>COUNTIFS(Table36[Country],Tabela1[[#This Row],[Country]],Table36[Classification],"&gt;0")</f>
        <v>0</v>
      </c>
      <c r="AB168" s="6">
        <f>COUNTIFS(Table37[Country],Tabela1[[#This Row],[Country]],Table37[Classification],"&gt;0")</f>
        <v>0</v>
      </c>
      <c r="AC168" s="6">
        <f>COUNTIFS(Table4[Country],Tabela1[[#This Row],[Country]],Table4[100m Classification],"&gt;0")</f>
        <v>0</v>
      </c>
      <c r="AD168" s="6">
        <f>COUNTIFS(Table5[Country],Tabela1[[#This Row],[Country]],Table5[100m Classification],"&gt;0")</f>
        <v>0</v>
      </c>
      <c r="AE168" s="6">
        <f>COUNTIFS(Table4[Country],Tabela1[[#This Row],[Country]],Table4[200m Classification],"&gt;0")</f>
        <v>0</v>
      </c>
      <c r="AF168" s="6">
        <f>COUNTIFS(Table5[Country],Tabela1[[#This Row],[Country]],Table5[200m Classification],"&gt;0")</f>
        <v>0</v>
      </c>
      <c r="AG168" s="6">
        <f>COUNTIFS(Table4[Country],Tabela1[[#This Row],[Country]],Table4[400m Classification],"&gt;0")</f>
        <v>0</v>
      </c>
      <c r="AH168" s="6">
        <f>COUNTIFS(Table5[Country],Tabela1[[#This Row],[Country]],Table5[400m Classification],"&gt;0")</f>
        <v>0</v>
      </c>
      <c r="AI168" s="6">
        <f>COUNTIFS(Table4[Country],Tabela1[[#This Row],[Country]],Table4[800m Classification],"&gt;0")</f>
        <v>0</v>
      </c>
      <c r="AJ168" s="6">
        <f>COUNTIFS(Table5[Country],Tabela1[[#This Row],[Country]],Table5[800m Classification],"&gt;0")</f>
        <v>0</v>
      </c>
      <c r="AK168" s="6">
        <f>COUNTIFS(Table4[Country],Tabela1[[#This Row],[Country]],Table4[1500m Classification],"&gt;0")</f>
        <v>0</v>
      </c>
      <c r="AL168" s="6">
        <f>COUNTIFS(Table5[Country],Tabela1[[#This Row],[Country]],Table5[1500m Classification],"&gt;0")</f>
        <v>0</v>
      </c>
      <c r="AM168" s="6">
        <f>COUNTIFS(Table4[Country],Tabela1[[#This Row],[Country]],Table4[5000m Classification],"&gt;0")</f>
        <v>0</v>
      </c>
      <c r="AN168" s="6">
        <f>COUNTIFS(Table5[Country],Tabela1[[#This Row],[Country]],Table5[5000m Classification],"&gt;0")</f>
        <v>0</v>
      </c>
      <c r="AO168" s="6">
        <f>COUNTIFS(Table4[Country],Tabela1[[#This Row],[Country]],Table4[10000m Classification],"&gt;0")</f>
        <v>0</v>
      </c>
      <c r="AP168" s="6">
        <f>COUNTIFS(Table5[Country],Tabela1[[#This Row],[Country]],Table5[10000m Classification],"&gt;0")</f>
        <v>0</v>
      </c>
      <c r="AQ168" s="6">
        <f>COUNTIFS(Table4[Country],Tabela1[[#This Row],[Country]],Table4[110m Hurdles Classification],"&gt;0")</f>
        <v>0</v>
      </c>
      <c r="AR168" s="6">
        <f>COUNTIFS(Table5[Country],Tabela1[[#This Row],[Country]],Table5[100m Hurdles Classification],"&gt;0")</f>
        <v>0</v>
      </c>
      <c r="AS168" s="6">
        <f>COUNTIFS(Table4[Country],Tabela1[[#This Row],[Country]],Table4[400m Hurdles Classification],"&gt;0")</f>
        <v>0</v>
      </c>
      <c r="AT168" s="6">
        <f>COUNTIFS(Table5[Country],Tabela1[[#This Row],[Country]],Table5[400m Hurdles Classification],"&gt;0")</f>
        <v>0</v>
      </c>
      <c r="AU168" s="6">
        <f>COUNTIFS(Table4[Country],Tabela1[[#This Row],[Country]],Table4[3000m Steeplechase Classification],"&gt;0")</f>
        <v>0</v>
      </c>
      <c r="AV168" s="6">
        <f>COUNTIFS(Table5[Country],Tabela1[[#This Row],[Country]],Table5[3000m Steeplechase Classification],"&gt;0")</f>
        <v>0</v>
      </c>
      <c r="AW168" s="6">
        <f>COUNTIFS(Table27[Country],Tabela1[[#This Row],[Country]],Table27[Men''s 4x100m Relay Classification],"&gt;0")</f>
        <v>0</v>
      </c>
      <c r="AX168" s="6">
        <f>COUNTIFS(Table27[Country],Tabela1[[#This Row],[Country]],Table27[Women''s 4x100m Relay Classification],"&gt;0")</f>
        <v>0</v>
      </c>
      <c r="AY168" s="6">
        <f>COUNTIFS(Table27[Country],Tabela1[[#This Row],[Country]],Table27[Men''s 4x400m Relay Classification],"&gt;0")</f>
        <v>0</v>
      </c>
      <c r="AZ168" s="6">
        <f>COUNTIFS(Table27[Country],Tabela1[[#This Row],[Country]],Table27[Women''s 4x400m Relay Classification],"&gt;0")</f>
        <v>0</v>
      </c>
      <c r="BA168" s="6">
        <f>COUNTIFS(Table27[Country],Tabela1[[#This Row],[Country]],Table27[Mixed 4x400m Relay Classification],"&gt;0")</f>
        <v>0</v>
      </c>
      <c r="BB168" s="6">
        <f>COUNTIFS(Table4[Country],Tabela1[[#This Row],[Country]],Table4[Marathon Classification],"&gt;0")</f>
        <v>0</v>
      </c>
      <c r="BC168" s="6">
        <f>COUNTIFS(Table5[Country],Tabela1[[#This Row],[Country]],Table5[Marathon Classification],"&gt;0")</f>
        <v>0</v>
      </c>
      <c r="BD168" s="6">
        <f>COUNTIFS(Table4[Country],Tabela1[[#This Row],[Country]],Table4[20km Race Walk Classification],"&gt;0")</f>
        <v>0</v>
      </c>
      <c r="BE168" s="6">
        <f>COUNTIFS(Table5[Country],Tabela1[[#This Row],[Country]],Table5[20km Race Walk Classification],"&gt;0")</f>
        <v>0</v>
      </c>
      <c r="BF168" s="6">
        <f>COUNTIFS(Tabela96[Country],Tabela1[[#This Row],[Country]],Tabela96[Mixed Marathon Race Walk Relay Classification],"&gt;0")</f>
        <v>0</v>
      </c>
      <c r="BG168" s="6">
        <f>COUNTIFS(Table4[Country],Tabela1[[#This Row],[Country]],Table4[Discus Throw Classification],"&gt;0")</f>
        <v>0</v>
      </c>
      <c r="BH168" s="6">
        <f>COUNTIFS(Table5[Country],Tabela1[[#This Row],[Country]],Table5[Discus Throw Classification],"&gt;0")</f>
        <v>0</v>
      </c>
      <c r="BI168" s="6">
        <f>COUNTIFS(Table4[Country],Tabela1[[#This Row],[Country]],Table4[Hammer Throw Classification],"&gt;0")</f>
        <v>0</v>
      </c>
      <c r="BJ168" s="6">
        <f>COUNTIFS(Table5[Country],Tabela1[[#This Row],[Country]],Table5[Hammer Throw Classification],"&gt;0")</f>
        <v>0</v>
      </c>
      <c r="BK168" s="6">
        <f>COUNTIFS(Table4[Country],Tabela1[[#This Row],[Country]],Table4[High Jump Classification],"&gt;0")</f>
        <v>0</v>
      </c>
      <c r="BL168" s="6">
        <f>COUNTIFS(Table5[Country],Tabela1[[#This Row],[Country]],Table5[High Jump Classification],"&gt;0")</f>
        <v>0</v>
      </c>
      <c r="BM168" s="6">
        <f>COUNTIFS(Table4[Country],Tabela1[[#This Row],[Country]],Table4[Javelin Throw Classification],"&gt;0")</f>
        <v>0</v>
      </c>
      <c r="BN168" s="6">
        <f>COUNTIFS(Table5[Country],Tabela1[[#This Row],[Country]],Table5[Javelin Throw Classification],"&gt;0")</f>
        <v>0</v>
      </c>
      <c r="BO168" s="6">
        <f>COUNTIFS(Table4[Country],Tabela1[[#This Row],[Country]],Table4[Long Jump Classification],"&gt;0")</f>
        <v>0</v>
      </c>
      <c r="BP168" s="6">
        <f>COUNTIFS(Table5[Country],Tabela1[[#This Row],[Country]],Table5[Long Jump Classification],"&gt;0")</f>
        <v>0</v>
      </c>
      <c r="BQ168" s="6">
        <f>COUNTIFS(Table4[Country],Tabela1[[#This Row],[Country]],Table4[Pole Vault Classification],"&gt;0")</f>
        <v>0</v>
      </c>
      <c r="BR168" s="6">
        <f>COUNTIFS(Table5[Country],Tabela1[[#This Row],[Country]],Table5[Pole Vault Classification],"&gt;0")</f>
        <v>0</v>
      </c>
      <c r="BS168" s="6">
        <f>COUNTIFS(Table4[Country],Tabela1[[#This Row],[Country]],Table4[Shot Put Classification],"&gt;0")</f>
        <v>0</v>
      </c>
      <c r="BT168" s="6">
        <f>COUNTIFS(Table5[Country],Tabela1[[#This Row],[Country]],Table5[Shot Put Classification],"&gt;0")</f>
        <v>0</v>
      </c>
      <c r="BU168" s="6">
        <f>COUNTIFS(Table4[Country],Tabela1[[#This Row],[Country]],Table4[Triple Jump Classification],"&gt;0")</f>
        <v>0</v>
      </c>
      <c r="BV168" s="6">
        <f>COUNTIFS(Table5[Country],Tabela1[[#This Row],[Country]],Table5[Triple Jump Classification],"&gt;0")</f>
        <v>0</v>
      </c>
      <c r="BW168" s="6">
        <f>COUNTIFS(Table4[Country],Tabela1[[#This Row],[Country]],Table4[Decathlon Classification],"&gt;0")</f>
        <v>0</v>
      </c>
      <c r="BX168" s="6">
        <f>COUNTIFS(Table5[Country],Tabela1[[#This Row],[Country]],Table5[Heptathlon Classification],"&gt;0")</f>
        <v>0</v>
      </c>
      <c r="BY168" s="6">
        <f>COUNTIFS(Table61[Country],Tabela1[[#This Row],[Country]],Table61[Classification],"&gt;0")</f>
        <v>0</v>
      </c>
      <c r="BZ168" s="6">
        <f>COUNTIFS(Table38[Country],Tabela1[[#This Row],[Country]],Table38[Classification],"&gt;0")</f>
        <v>0</v>
      </c>
      <c r="CA168" s="6">
        <f>COUNTIFS(Table39[Country],Tabela1[[#This Row],[Country]],Table39[Men''s Classification],"&gt;0")</f>
        <v>0</v>
      </c>
      <c r="CB168" s="6">
        <f>COUNTIFS(Table39[Country],Tabela1[[#This Row],[Country]],Table39[Women''s Classification],"&gt;0")</f>
        <v>0</v>
      </c>
      <c r="CC168" s="6">
        <f>COUNTIFS(Table39[Country],Tabela1[[#This Row],[Country]],Table39[Mixed Classification],"&gt;0")</f>
        <v>0</v>
      </c>
      <c r="CD168" s="6">
        <f>COUNTIFS(Table89[Country],Tabela1[[#This Row],[Country]],Table89[Men''s Classification],"&gt;0")</f>
        <v>0</v>
      </c>
      <c r="CE168" s="6">
        <f>COUNTIFS(Table89[Country],Tabela1[[#This Row],[Country]],Table89[Women''s Classification],"&gt;0")</f>
        <v>0</v>
      </c>
      <c r="CF168" s="6">
        <f>COUNTIFS(Table90[Country],Tabela1[[#This Row],[Country]],Table90[Men''s Classification],"&gt;0")</f>
        <v>0</v>
      </c>
      <c r="CG168" s="6">
        <f>COUNTIFS(Table90[Country],Tabela1[[#This Row],[Country]],Table90[Women''s Classification],"&gt;0")</f>
        <v>0</v>
      </c>
      <c r="CH168" s="6">
        <f>COUNTIFS(Table60[Country],Tabela1[[#This Row],[Country]],Table60[Men''s Classification],"&gt;0")</f>
        <v>0</v>
      </c>
      <c r="CI168" s="6">
        <f>COUNTIFS(Table60[Country],Tabela1[[#This Row],[Country]],Table60[Women''s Classification],"&gt;0")</f>
        <v>0</v>
      </c>
      <c r="CJ168" s="6">
        <f>COUNTIFS(Table6[Country],Tabela1[[#This Row],[Country]],Table6[51kg Classification],"&gt;0")</f>
        <v>0</v>
      </c>
      <c r="CK168" s="6">
        <f>COUNTIFS(Table6[Country],Tabela1[[#This Row],[Country]],Table6[57kg Classification],"&gt;0")</f>
        <v>0</v>
      </c>
      <c r="CL168" s="6">
        <f>COUNTIFS(Table6[Country],Tabela1[[#This Row],[Country]],Table6[63.5kg Classification],"&gt;0")</f>
        <v>0</v>
      </c>
      <c r="CM168" s="6">
        <f>COUNTIFS(Table6[Country],Tabela1[[#This Row],[Country]],Table6[71kg Classification],"&gt;0")</f>
        <v>0</v>
      </c>
      <c r="CN168" s="6">
        <f>COUNTIFS(Table6[Country],Tabela1[[#This Row],[Country]],Table6[80kg Classification],"&gt;0")</f>
        <v>0</v>
      </c>
      <c r="CO168" s="6">
        <f>COUNTIFS(Table6[Country],Tabela1[[#This Row],[Country]],Table6[92kg Classification],"&gt;0")</f>
        <v>0</v>
      </c>
      <c r="CP168" s="6">
        <f>COUNTIFS(Table6[Country],Tabela1[[#This Row],[Country]],Table6[Plus 92kg Classification],"&gt;0")</f>
        <v>0</v>
      </c>
      <c r="CQ168" s="6">
        <f>COUNTIFS(Table7[Country],Tabela1[[#This Row],[Country]],Table7[50kg Classification],"&gt;0")</f>
        <v>0</v>
      </c>
      <c r="CR168" s="6">
        <f>COUNTIFS(Table7[Country],Tabela1[[#This Row],[Country]],Table7[54kg Classification],"&gt;0")</f>
        <v>0</v>
      </c>
      <c r="CS168" s="6">
        <f>COUNTIFS(Table7[Country],Tabela1[[#This Row],[Country]],Table7[57kg Classification],"&gt;0")</f>
        <v>0</v>
      </c>
      <c r="CT168" s="6">
        <f>COUNTIFS(Table7[Country],Tabela1[[#This Row],[Country]],Table7[60kg Classification],"&gt;0")</f>
        <v>0</v>
      </c>
      <c r="CU168" s="6">
        <f>COUNTIFS(Table7[Country],Tabela1[[#This Row],[Country]],Table7[66kg Classification],"&gt;0")</f>
        <v>0</v>
      </c>
      <c r="CV168" s="6">
        <f>COUNTIFS(Table7[Country],Tabela1[[#This Row],[Country]],Table7[75kg Classification],"&gt;0")</f>
        <v>0</v>
      </c>
      <c r="CW168" s="6">
        <f>COUNTIFS(Tabela94[Country],Tabela1[[#This Row],[Country]],Tabela94[Classification],"&gt;0")</f>
        <v>0</v>
      </c>
      <c r="CX168" s="6">
        <f>COUNTIFS(Tabela9499[Country],Tabela1[[#This Row],[Country]],Tabela9499[Classification],"&gt;0")</f>
        <v>0</v>
      </c>
      <c r="CY168" s="6">
        <f>COUNTIFS(Tabela107[Country],Tabela1[[#This Row],[Country]],Tabela107[C1 Slalom Classification],"&gt;0")</f>
        <v>0</v>
      </c>
      <c r="CZ168" s="6">
        <f>COUNTIFS(Tabela107122[Country],Tabela1[[#This Row],[Country]],Tabela107122[C1 Slalom Classification],"&gt;0")</f>
        <v>0</v>
      </c>
      <c r="DA168" s="6">
        <f>COUNTIFS(Tabela107[Country],Tabela1[[#This Row],[Country]],Tabela107[K1 Slalom Classification],"&gt;0")</f>
        <v>0</v>
      </c>
      <c r="DB168" s="6">
        <f>COUNTIFS(Tabela107122[Country],Tabela1[[#This Row],[Country]],Tabela107122[K1 Slalom Classification],"&gt;0")</f>
        <v>0</v>
      </c>
      <c r="DC168" s="6">
        <f>COUNTIFS(Tabela107[Country],Tabela1[[#This Row],[Country]],Tabela107[Kayak Cross Slalom Classification],"&gt;0")</f>
        <v>0</v>
      </c>
      <c r="DD168" s="6">
        <f>COUNTIFS(Tabela107122[Country],Tabela1[[#This Row],[Country]],Tabela107122[Kayak Cross Slalom Classification],"&gt;0")</f>
        <v>0</v>
      </c>
      <c r="DE168" s="6">
        <f>COUNTIFS(Table8[Country],Tabela1[[#This Row],[Country]],Table8[C1 200m Classification],"&gt;0")</f>
        <v>0</v>
      </c>
      <c r="DF168" s="6">
        <f>COUNTIFS(Table40[Country],Tabela1[[#This Row],[Country]],Table40[C1 1000m Classification],"&gt;0")</f>
        <v>0</v>
      </c>
      <c r="DG168" s="6">
        <f>COUNTIFS(Table68[Country],Tabela1[[#This Row],[Country]],Table68[Men''s C2 500m Classification],"&gt;0")</f>
        <v>0</v>
      </c>
      <c r="DH168" s="6">
        <f>COUNTIFS(Table68[Country],Tabela1[[#This Row],[Country]],Table68[Women''s C2 500m Classification],"&gt;0")</f>
        <v>0</v>
      </c>
      <c r="DI168" s="6">
        <f>COUNTIFS(Table8[Country],Tabela1[[#This Row],[Country]],Table8[K1 500m Classification],"&gt;0")</f>
        <v>0</v>
      </c>
      <c r="DJ168" s="6">
        <f>COUNTIFS(Table40[Country],Tabela1[[#This Row],[Country]],Table40[K1 1000m Classification],"&gt;0")</f>
        <v>0</v>
      </c>
      <c r="DK168" s="6">
        <f>COUNTIFS(Table68[Country],Tabela1[[#This Row],[Country]],Table68[Men''s K2 500m Classification],"&gt;0")</f>
        <v>0</v>
      </c>
      <c r="DL168" s="6">
        <f>COUNTIFS(Table68[Country],Tabela1[[#This Row],[Country]],Table68[Women''s K2 500m Classification],"&gt;0")</f>
        <v>0</v>
      </c>
      <c r="DM168" s="6">
        <f>COUNTIFS(Table83[Country],Tabela1[[#This Row],[Country]],Table83[Men''s K4 500m Classification],"&gt;0")</f>
        <v>0</v>
      </c>
      <c r="DN168" s="6">
        <f>COUNTIFS(Table83[Country],Tabela1[[#This Row],[Country]],Table83[Women''s K4 500m Classification],"&gt;0")</f>
        <v>0</v>
      </c>
      <c r="DO168" s="6">
        <f>COUNTIFS(Tabela126[Country],Tabela1[[#This Row],[Country]],Tabela126[Classification],"&gt;0")</f>
        <v>0</v>
      </c>
      <c r="DP168" s="6">
        <f>COUNTIFS(Tabela126130[Country],Tabela1[[#This Row],[Country]],Tabela126130[Classification],"&gt;0")</f>
        <v>0</v>
      </c>
      <c r="DQ168" s="6">
        <f>COUNTIFS(Table70[Country],Tabela1[[#This Row],[Country]],Table70[Classification],"&gt;0")</f>
        <v>0</v>
      </c>
      <c r="DR168" s="6">
        <f>COUNTIFS(Table80[Country],Tabela1[[#This Row],[Country]],Table80[Classification],"&gt;0")</f>
        <v>0</v>
      </c>
      <c r="DS168" s="6">
        <f>COUNTIFS(Table66[Country],Tabela1[[#This Row],[Country]],Table66[Classification],"&gt;0")</f>
        <v>0</v>
      </c>
      <c r="DT168" s="6">
        <f>COUNTIFS(Table67[Country],Tabela1[[#This Row],[Country]],Table67[Classification],"&gt;0")</f>
        <v>0</v>
      </c>
      <c r="DU168" s="6">
        <f>COUNTIFS(Table69[Country],Tabela1[[#This Row],[Country]],Table69[Keirin Classification],"&gt;0")</f>
        <v>0</v>
      </c>
      <c r="DV168" s="6">
        <f>COUNTIFS(Table41[Country],Tabela1[[#This Row],[Country]],Table41[Keirin Classification],"&gt;0")</f>
        <v>0</v>
      </c>
      <c r="DW168" s="6">
        <f>COUNTIFS(Table84[Country],Tabela1[[#This Row],[Country]],Table84[Men''s Madison Classification],"&gt;0")</f>
        <v>0</v>
      </c>
      <c r="DX168" s="6">
        <f>COUNTIFS(Table84[Country],Tabela1[[#This Row],[Country]],Table84[Women''s Madison Classification],"&gt;0")</f>
        <v>0</v>
      </c>
      <c r="DY168" s="6">
        <f>COUNTIFS(Table69[Country],Tabela1[[#This Row],[Country]],Table69[Omnium Classification],"&gt;0")</f>
        <v>0</v>
      </c>
      <c r="DZ168" s="6">
        <f>COUNTIFS(Table41[Country],Tabela1[[#This Row],[Country]],Table41[Omnium Classification],"&gt;0")</f>
        <v>0</v>
      </c>
      <c r="EA168" s="6">
        <f>COUNTIFS(Table9[Country],Tabela1[[#This Row],[Country]],Table9[Road Race Classification],"&gt;0")</f>
        <v>0</v>
      </c>
      <c r="EB168" s="6">
        <f>COUNTIFS(Table14[Country],Tabela1[[#This Row],[Country]],Table14[Road Race Classification],"&gt;0")</f>
        <v>0</v>
      </c>
      <c r="EC168" s="6">
        <f>COUNTIFS(Table69[Country],Tabela1[[#This Row],[Country]],Table69[Sprint Classification],"&gt;0")</f>
        <v>0</v>
      </c>
      <c r="ED168" s="6">
        <f>COUNTIFS(Table41[Country],Tabela1[[#This Row],[Country]],Table41[Sprint Classification],"&gt;0")</f>
        <v>0</v>
      </c>
      <c r="EE168" s="6">
        <f>COUNTIFS(Table85[Country],Tabela1[[#This Row],[Country]],Table85[Men''s Sprint Classification],"&gt;0")</f>
        <v>0</v>
      </c>
      <c r="EF168" s="6">
        <f>COUNTIFS(Table85[Country],Tabela1[[#This Row],[Country]],Table85[Women''s Sprint Classification],"&gt;0")</f>
        <v>0</v>
      </c>
      <c r="EG168" s="6">
        <f>COUNTIFS(Table85[Country],Tabela1[[#This Row],[Country]],Table85[Men''s Pursuit Classification],"&gt;0")</f>
        <v>0</v>
      </c>
      <c r="EH168" s="6">
        <f>COUNTIFS(Table85[Country],Tabela1[[#This Row],[Country]],Table85[Women''s Pursuit Classification],"&gt;0")</f>
        <v>0</v>
      </c>
      <c r="EI168" s="6">
        <f>COUNTIFS(Table9[Country],Tabela1[[#This Row],[Country]],Table9[Time-Trial Classification],"&gt;0")</f>
        <v>0</v>
      </c>
      <c r="EJ168" s="6">
        <f>COUNTIFS(Table14[Country],Tabela1[[#This Row],[Country]],Table14[Time-Trial Classification],"&gt;0")</f>
        <v>0</v>
      </c>
      <c r="EK168" s="6">
        <f>COUNTIFS(Table42[Country],Tabela1[[#This Row],[Country]],Table42[Springboard Classification],"&gt;0")</f>
        <v>0</v>
      </c>
      <c r="EL168" s="6">
        <f>COUNTIFS(Table43[Country],Tabela1[[#This Row],[Country]],Table43[Springboard Classification],"&gt;0")</f>
        <v>0</v>
      </c>
      <c r="EM168" s="6">
        <f>COUNTIFS(Table42[Country],Tabela1[[#This Row],[Country]],Table42[Platform Classification],"&gt;0")</f>
        <v>0</v>
      </c>
      <c r="EN168" s="6">
        <f>COUNTIFS(Table43[Country],Tabela1[[#This Row],[Country]],Table43[Platform Classification],"&gt;0")</f>
        <v>0</v>
      </c>
      <c r="EO168" s="6">
        <f>COUNTIFS(Table86[Country],Tabela1[[#This Row],[Country]],Table86[Men''s Synchronized Springboard Classification],"&gt;0")</f>
        <v>0</v>
      </c>
      <c r="EP168" s="6">
        <f>COUNTIFS(Table86[Country],Tabela1[[#This Row],[Country]],Table86[Women''s Synchronized Springboard Classification],"&gt;0")</f>
        <v>0</v>
      </c>
      <c r="EQ168" s="6">
        <f>COUNTIFS(Table86[Country],Tabela1[[#This Row],[Country]],Table86[Men''s Synchronized Platform Classification],"&gt;0")</f>
        <v>0</v>
      </c>
      <c r="ER168" s="6">
        <f>COUNTIFS(Table86[Country],Tabela1[[#This Row],[Country]],Table86[Women''s Synchronized Platform Classification],"&gt;0")</f>
        <v>0</v>
      </c>
      <c r="ES168" s="6">
        <f>COUNTIFS(Table44[Country],Tabela1[[#This Row],[Country]],Table44[Dressage Classification],"&gt;0")</f>
        <v>0</v>
      </c>
      <c r="ET168" s="6">
        <f>COUNTIFS(Table45[Country],Tabela1[[#This Row],[Country]],Table45[Dressage Classification],"&gt;0")</f>
        <v>0</v>
      </c>
      <c r="EU168" s="6">
        <f>COUNTIFS(Table44[Country],Tabela1[[#This Row],[Country]],Table44[Eventing Classification],"&gt;0")</f>
        <v>0</v>
      </c>
      <c r="EV168" s="6">
        <f>COUNTIFS(Table45[Country],Tabela1[[#This Row],[Country]],Table45[Eventing Classification],"&gt;0")</f>
        <v>0</v>
      </c>
      <c r="EW168" s="6">
        <f>COUNTIFS(Table44[Country],Tabela1[[#This Row],[Country]],Table44[Jumping Classification],"&gt;0")</f>
        <v>0</v>
      </c>
      <c r="EX168" s="6">
        <f>COUNTIFS(Table45[Country],Tabela1[[#This Row],[Country]],Table45[Jumping Classification],"&gt;0")</f>
        <v>0</v>
      </c>
      <c r="EY168" s="6">
        <f>COUNTIFS(Table10[Country],Tabela1[[#This Row],[Country]],Table10[Épée Classification],"&gt;0")</f>
        <v>0</v>
      </c>
      <c r="EZ168" s="6">
        <f>COUNTIFS(Table11[Country],Tabela1[[#This Row],[Country]],Table11[Épée Classification],"&gt;0")</f>
        <v>0</v>
      </c>
      <c r="FA168" s="6">
        <f>COUNTIFS(Table46[Country],Tabela1[[#This Row],[Country]],Table46[Men''s Épée Classification],"&gt;0")</f>
        <v>0</v>
      </c>
      <c r="FB168" s="6">
        <f>COUNTIFS(Table46[Country],Tabela1[[#This Row],[Country]],Table46[Women''s Épée Classification],"&gt;0")</f>
        <v>0</v>
      </c>
      <c r="FC168" s="6">
        <f>COUNTIFS(Table10[Country],Tabela1[[#This Row],[Country]],Table10[Foil Classification],"&gt;0")</f>
        <v>0</v>
      </c>
      <c r="FD168" s="6">
        <f>COUNTIFS(Table11[Country],Tabela1[[#This Row],[Country]],Table11[Foil Classification],"&gt;0")</f>
        <v>0</v>
      </c>
      <c r="FE168" s="6">
        <f>COUNTIFS(Table46[Country],Tabela1[[#This Row],[Country]],Table46[Men''s Foil Classification],"&gt;0")</f>
        <v>0</v>
      </c>
      <c r="FF168" s="6">
        <f>COUNTIFS(Table46[Country],Tabela1[[#This Row],[Country]],Table46[Women''s Foil Classification],"&gt;0")</f>
        <v>0</v>
      </c>
      <c r="FG168" s="6">
        <f>COUNTIFS(Table10[Country],Tabela1[[#This Row],[Country]],Table10[Sabre Classification],"&gt;0")</f>
        <v>0</v>
      </c>
      <c r="FH168" s="6">
        <f>COUNTIFS(Table11[Country],Tabela1[[#This Row],[Country]],Table11[Sabre Classification],"&gt;0")</f>
        <v>0</v>
      </c>
      <c r="FI168" s="6">
        <f>COUNTIFS(Table46[Country],Tabela1[[#This Row],[Country]],Table46[Men''s Sabre Classification],"&gt;0")</f>
        <v>0</v>
      </c>
      <c r="FJ168" s="6">
        <f>COUNTIFS(Table46[Country],Tabela1[[#This Row],[Country]],Table46[Women''s Sabre Classification],"&gt;0")</f>
        <v>0</v>
      </c>
      <c r="FK168" s="6">
        <f>COUNTIFS(Table91[Country],Tabela1[[#This Row],[Country]],Table91[Men''s Classification],"&gt;0")</f>
        <v>0</v>
      </c>
      <c r="FL168" s="6">
        <f>COUNTIFS(Table91[Country],Tabela1[[#This Row],[Country]],Table91[Women''s Classification],"&gt;0")</f>
        <v>0</v>
      </c>
      <c r="FM168" s="6">
        <f>COUNTIFS(Table9194[Country],Tabela1[[#This Row],[Country]],Table9194[Men''s Classification],"&gt;0")</f>
        <v>0</v>
      </c>
      <c r="FN168" s="6">
        <f>COUNTIFS(Table9194[Country],Tabela1[[#This Row],[Country]],Table9194[Women''s Classification],"&gt;0")</f>
        <v>0</v>
      </c>
      <c r="FO168" s="6">
        <f>COUNTIFS(Table71[Country],Tabela1[[#This Row],[Country]],Table71[Classification],"&gt;0")</f>
        <v>0</v>
      </c>
      <c r="FP168" s="6">
        <f>COUNTIFS(Table62[Country],Tabela1[[#This Row],[Country]],Table62[Classification],"&gt;0")</f>
        <v>0</v>
      </c>
      <c r="FQ168" s="6">
        <f>COUNTIFS(Table47[Country],Tabela1[[#This Row],[Country]],Table47[All-Around Classification],"&gt;0")</f>
        <v>0</v>
      </c>
      <c r="FR168" s="6">
        <f>COUNTIFS(Table48[Country],Tabela1[[#This Row],[Country]],Table48[All-Around Classification],"&gt;0")</f>
        <v>0</v>
      </c>
      <c r="FS168" s="6">
        <f>COUNTIFS(Table81[Country],Tabela1[[#This Row],[Country]],Table81[Men''s All-Around Classification],"&gt;0")</f>
        <v>0</v>
      </c>
      <c r="FT168" s="6">
        <f>COUNTIFS(Table81[Country],Tabela1[[#This Row],[Country]],Table81[Women''s All-Around Classification],"&gt;0")</f>
        <v>0</v>
      </c>
      <c r="FU168" s="6">
        <f>COUNTIFS(Table48[Country],Tabela1[[#This Row],[Country]],Table48[Balance Beam Classification],"&gt;0")</f>
        <v>0</v>
      </c>
      <c r="FV168" s="6">
        <f>COUNTIFS(Table47[Country],Tabela1[[#This Row],[Country]],Table47[Floor Exercise Classification],"&gt;0")</f>
        <v>0</v>
      </c>
      <c r="FW168" s="6">
        <f>COUNTIFS(Table48[Country],Tabela1[[#This Row],[Country]],Table48[Floor Exercise Classification],"&gt;0")</f>
        <v>0</v>
      </c>
      <c r="FX168" s="6">
        <f>COUNTIFS(Table47[Country],Tabela1[[#This Row],[Country]],Table47[Horizontal Bar Classification],"&gt;0")</f>
        <v>0</v>
      </c>
      <c r="FY168" s="6">
        <f>COUNTIFS(Table47[Country],Tabela1[[#This Row],[Country]],Table47[Parallel Bars Classification],"&gt;0")</f>
        <v>0</v>
      </c>
      <c r="FZ168" s="6">
        <f>COUNTIFS(Table47[Country],Tabela1[[#This Row],[Country]],Table47[Pommel Horse Classification],"&gt;0")</f>
        <v>0</v>
      </c>
      <c r="GA168" s="6">
        <f>COUNTIFS(Table47[Country],Tabela1[[#This Row],[Country]],Table47[Rings Classification],"&gt;0")</f>
        <v>0</v>
      </c>
      <c r="GB168" s="6">
        <f>COUNTIFS(Tabela132[Country],Tabela1[[#This Row],[Country]],Tabela132[Classification],"&gt;0")</f>
        <v>0</v>
      </c>
      <c r="GC168" s="6">
        <f>COUNTIFS(Tabela139[Country],Tabela1[[#This Row],[Country]],Tabela139[Classification],"&gt;0")</f>
        <v>0</v>
      </c>
      <c r="GD168" s="6">
        <f>COUNTIFS(Table48[Country],Tabela1[[#This Row],[Country]],Table48[Uneven Bars Classification],"&gt;0")</f>
        <v>0</v>
      </c>
      <c r="GE168" s="6">
        <f>COUNTIFS(Table47[Country],Tabela1[[#This Row],[Country]],Table47[Vault Classification],"&gt;0")</f>
        <v>0</v>
      </c>
      <c r="GF168" s="6">
        <f>COUNTIFS(Table48[Country],Tabela1[[#This Row],[Country]],Table48[Vault Classification],"&gt;0")</f>
        <v>0</v>
      </c>
      <c r="GG168" s="6">
        <f>COUNTIFS(Table919496[Country],Tabela1[[#This Row],[Country]],Table919496[Men''s Classification],"&gt;0")</f>
        <v>0</v>
      </c>
      <c r="GH168" s="6">
        <f>COUNTIFS(Table919496[Country],Tabela1[[#This Row],[Country]],Table919496[Women''s Classification],"&gt;0")</f>
        <v>0</v>
      </c>
      <c r="GI168" s="6">
        <f>COUNTIFS(Table12[Country],Tabela1[[#This Row],[Country]],Table12[60kg Classification],"&gt;0")</f>
        <v>0</v>
      </c>
      <c r="GJ168" s="6">
        <f>COUNTIFS(Table12[Country],Tabela1[[#This Row],[Country]],Table12[66kg Classification],"&gt;0")</f>
        <v>0</v>
      </c>
      <c r="GK168" s="6">
        <f>COUNTIFS(Table12[Country],Tabela1[[#This Row],[Country]],Table12[73kg Classification],"&gt;0")</f>
        <v>0</v>
      </c>
      <c r="GL168" s="6">
        <f>COUNTIFS(Table12[Country],Tabela1[[#This Row],[Country]],Table12[81kg Classification],"&gt;0")</f>
        <v>0</v>
      </c>
      <c r="GM168" s="6">
        <f>COUNTIFS(Table12[Country],Tabela1[[#This Row],[Country]],Table12[90kg Classification],"&gt;0")</f>
        <v>0</v>
      </c>
      <c r="GN168" s="6">
        <f>COUNTIFS(Table12[Country],Tabela1[[#This Row],[Country]],Table12[100kg Classification],"&gt;0")</f>
        <v>0</v>
      </c>
      <c r="GO168" s="6">
        <f>COUNTIFS(Table12[Country],Tabela1[[#This Row],[Country]],Table12[Plus 100kg Classification],"&gt;0")</f>
        <v>0</v>
      </c>
      <c r="GP168" s="6">
        <f>COUNTIFS(Table13[Country],Tabela1[[#This Row],[Country]],Table13[48kg Classification],"&gt;0")</f>
        <v>0</v>
      </c>
      <c r="GQ168" s="6">
        <f>COUNTIFS(Table13[Country],Tabela1[[#This Row],[Country]],Table13[52kg Classification],"&gt;0")</f>
        <v>0</v>
      </c>
      <c r="GR168" s="6">
        <f>COUNTIFS(Table13[Country],Tabela1[[#This Row],[Country]],Table13[57kg Classification],"&gt;0")</f>
        <v>0</v>
      </c>
      <c r="GS168" s="6">
        <f>COUNTIFS(Table13[Country],Tabela1[[#This Row],[Country]],Table13[63kg Classification],"&gt;0")</f>
        <v>0</v>
      </c>
      <c r="GT168" s="6">
        <f>COUNTIFS(Table13[Country],Tabela1[[#This Row],[Country]],Table13[70kg Classification],"&gt;0")</f>
        <v>0</v>
      </c>
      <c r="GU168" s="6">
        <f>COUNTIFS(Table13[Country],Tabela1[[#This Row],[Country]],Table13[78kg Classification],"&gt;0")</f>
        <v>0</v>
      </c>
      <c r="GV168" s="6">
        <f>COUNTIFS(Table13[Country],Tabela1[[#This Row],[Country]],Table13[Plus 78kg Classification],"&gt;0")</f>
        <v>0</v>
      </c>
      <c r="GW168" s="6">
        <f>COUNTIFS(Table82[Country],Tabela1[[#This Row],[Country]],Table82[Mixed Classification],"&gt;0")</f>
        <v>0</v>
      </c>
      <c r="GX168" s="6">
        <f>COUNTIFS(Table51[Country],Tabela1[[#This Row],[Country]],Table51[Classification],"&gt;0")</f>
        <v>0</v>
      </c>
      <c r="GY168" s="6">
        <f>COUNTIFS(Table52[Country],Tabela1[[#This Row],[Country]],Table52[Classification],"&gt;0")</f>
        <v>0</v>
      </c>
      <c r="GZ168" s="6">
        <f>COUNTIFS(Table32[Country],Tabela1[[#This Row],[Country]],Table32[All-Around Classification],"&gt;0")</f>
        <v>0</v>
      </c>
      <c r="HA168" s="6">
        <f>COUNTIFS(Table49[Country],Tabela1[[#This Row],[Country]],Table49[All-Around Classification],"&gt;0")</f>
        <v>0</v>
      </c>
      <c r="HB168" s="6">
        <f>COUNTIFS(Table26[Country],Tabela1[[#This Row],[Country]],Table26[Single Sculls Classification],"&gt;0")</f>
        <v>0</v>
      </c>
      <c r="HC168" s="6">
        <f>COUNTIFS(Table63[Country],Tabela1[[#This Row],[Country]],Table63[Single Sculls Classification],"&gt;0")</f>
        <v>0</v>
      </c>
      <c r="HD168" s="6">
        <f>COUNTIFS(Table16[Country],Tabela1[[#This Row],[Country]],Table16[Men''s Double Sculls Classification],"&gt;0")</f>
        <v>0</v>
      </c>
      <c r="HE168" s="6">
        <f>COUNTIFS(Table16[Country],Tabela1[[#This Row],[Country]],Table16[Women''s Double Sculls Classification],"&gt;0")</f>
        <v>0</v>
      </c>
      <c r="HF168" s="6">
        <f>COUNTIFS(Table72[Country],Tabela1[[#This Row],[Country]],Table72[Men''s Quadruple Sculls Classification],"&gt;0")</f>
        <v>0</v>
      </c>
      <c r="HG168" s="6">
        <f>COUNTIFS(Table72[Country],Tabela1[[#This Row],[Country]],Table72[Women''s Quadruple Sculls Classification],"&gt;0")</f>
        <v>0</v>
      </c>
      <c r="HH168" s="6">
        <f>COUNTIFS(Table16[Country],Tabela1[[#This Row],[Country]],Table16[Men''s Coxless Pairs Classification],"&gt;0")</f>
        <v>0</v>
      </c>
      <c r="HI168" s="6">
        <f>COUNTIFS(Table16[Country],Tabela1[[#This Row],[Country]],Table16[Women''s Coxless Pairs Classification],"&gt;0")</f>
        <v>0</v>
      </c>
      <c r="HJ168" s="6">
        <f>COUNTIFS(Table72[Country],Tabela1[[#This Row],[Country]],Table72[Men''s Coxless Fours Classification],"&gt;0")</f>
        <v>0</v>
      </c>
      <c r="HK168" s="6">
        <f>COUNTIFS(Table72[Country],Tabela1[[#This Row],[Country]],Table72[Women''s Coxless Fours Classification],"&gt;0")</f>
        <v>0</v>
      </c>
      <c r="HL168" s="6">
        <f>COUNTIFS(Table72[Country],Tabela1[[#This Row],[Country]],Table72[Men''s Eights Classification],"&gt;0")</f>
        <v>0</v>
      </c>
      <c r="HM168" s="6">
        <f>COUNTIFS(Table72[Country],Tabela1[[#This Row],[Country]],Table72[Women''s Eights Classification],"&gt;0")</f>
        <v>0</v>
      </c>
      <c r="HN168" s="6">
        <f>COUNTIFS(Table16[Country],Tabela1[[#This Row],[Country]],Table16[Men''s Lwt. Double Sculls Classification],"&gt;0")</f>
        <v>0</v>
      </c>
      <c r="HO168" s="6">
        <f>COUNTIFS(Table16[Country],Tabela1[[#This Row],[Country]],Table16[Women''s Lwt. Double Sculls Classification],"&gt;0")</f>
        <v>0</v>
      </c>
      <c r="HP168" s="6">
        <f>COUNTIFS(Table91949698[Country],Tabela1[[#This Row],[Country]],Table91949698[Men''s Classification],"&gt;0")</f>
        <v>0</v>
      </c>
      <c r="HQ168" s="6">
        <f>COUNTIFS(Table91949698[Country],Tabela1[[#This Row],[Country]],Table91949698[Women''s Classification],"&gt;0")</f>
        <v>0</v>
      </c>
      <c r="HR168" s="6">
        <f>COUNTIFS(Table25[Country],Tabela1[[#This Row],[Country]],Table25[Mixed 470 Classification],"&gt;0")</f>
        <v>0</v>
      </c>
      <c r="HS168" s="6">
        <f>COUNTIFS(Table25[Country],Tabela1[[#This Row],[Country]],Table25[Men''s 49er Classification],"&gt;0")</f>
        <v>0</v>
      </c>
      <c r="HT168" s="6">
        <f>COUNTIFS(Table25[Country],Tabela1[[#This Row],[Country]],Table25[Women''s 49er FX Classification],"&gt;0")</f>
        <v>0</v>
      </c>
      <c r="HU168" s="6">
        <f>COUNTIFS(Table17[Country],Tabela1[[#This Row],[Country]],Table17[Formula Kite Classification],"&gt;0")</f>
        <v>0</v>
      </c>
      <c r="HV168" s="6">
        <f>COUNTIFS(Table18[Country],Tabela1[[#This Row],[Country]],Table18[Formula Kite Classification],"&gt;0")</f>
        <v>0</v>
      </c>
      <c r="HW168" s="6">
        <f>COUNTIFS(Table17[Country],Tabela1[[#This Row],[Country]],Table17[ILCA 7 Classification],"&gt;0")</f>
        <v>0</v>
      </c>
      <c r="HX168" s="6">
        <f>COUNTIFS(Table18[Country],Tabela1[[#This Row],[Country]],Table18[ILCA 6 Classification],"&gt;0")</f>
        <v>0</v>
      </c>
      <c r="HY168" s="6">
        <f>COUNTIFS(Table17[Country],Tabela1[[#This Row],[Country]],Table17[IQFoil Classification],"&gt;0")</f>
        <v>0</v>
      </c>
      <c r="HZ168" s="6">
        <f>COUNTIFS(Table18[Country],Tabela1[[#This Row],[Country]],Table18[IQFoil Classification],"&gt;0")</f>
        <v>0</v>
      </c>
      <c r="IA168" s="6">
        <f>COUNTIFS(Table25[Country],Tabela1[[#This Row],[Country]],Table25[Mixed Nacra 17 Classification],"&gt;0")</f>
        <v>0</v>
      </c>
      <c r="IB168" s="6">
        <f>COUNTIFS(Table53[Country],Tabela1[[#This Row],[Country]],Table53[10m Air Pistol Classification],"&gt;0")</f>
        <v>0</v>
      </c>
      <c r="IC168" s="6">
        <f>COUNTIFS(Table19[Country],Tabela1[[#This Row],[Country]],Table19[10m Air Pistol Classification],"&gt;0")</f>
        <v>0</v>
      </c>
      <c r="ID168" s="6">
        <f>COUNTIFS(Table54[Country],Tabela1[[#This Row],[Country]],Table54[Mixed 10m Air Pistol Team Classification],"&gt;0")</f>
        <v>0</v>
      </c>
      <c r="IE168" s="6">
        <f>COUNTIFS(Table53[Country],Tabela1[[#This Row],[Country]],Table53[10m Air Rifle Classification],"&gt;0")</f>
        <v>0</v>
      </c>
      <c r="IF168" s="6">
        <f>COUNTIFS(Table19[Country],Tabela1[[#This Row],[Country]],Table19[10m Air Rifle Classification],"&gt;0")</f>
        <v>0</v>
      </c>
      <c r="IG168" s="6">
        <f>COUNTIFS(Table54[Country],Tabela1[[#This Row],[Country]],Table54[Mixed 10m Air Rifle Team Classification],"&gt;0")</f>
        <v>0</v>
      </c>
      <c r="IH168" s="6">
        <f>COUNTIFS(Table53[Country],Tabela1[[#This Row],[Country]],Table53[25m Rapid Fire Pistol Classification],"&gt;0")</f>
        <v>0</v>
      </c>
      <c r="II168" s="6">
        <f>COUNTIFS(Table19[Country],Tabela1[[#This Row],[Country]],Table19[25m Pistol Classification],"&gt;0")</f>
        <v>0</v>
      </c>
      <c r="IJ168" s="6">
        <f>COUNTIFS(Table53[Country],Tabela1[[#This Row],[Country]],Table53[50m Rifle 3 Positions Classification],"&gt;0")</f>
        <v>0</v>
      </c>
      <c r="IK168" s="6">
        <f>COUNTIFS(Table19[Country],Tabela1[[#This Row],[Country]],Table19[50m Rifle 3 Positions Classification],"&gt;0")</f>
        <v>0</v>
      </c>
      <c r="IL168" s="6">
        <f>COUNTIFS(Table53[Country],Tabela1[[#This Row],[Country]],Table53[Skeet Classification],"&gt;0")</f>
        <v>0</v>
      </c>
      <c r="IM168" s="6">
        <f>COUNTIFS(Table19[Country],Tabela1[[#This Row],[Country]],Table19[Skeet Classification],"&gt;0")</f>
        <v>0</v>
      </c>
      <c r="IN168" s="6">
        <f>COUNTIFS(Table54[Country],Tabela1[[#This Row],[Country]],Table54[Mixed Skeet Team Classification],"&gt;0")</f>
        <v>0</v>
      </c>
      <c r="IO168" s="6">
        <f>COUNTIFS(Table53[Country],Tabela1[[#This Row],[Country]],Table53[Trap Classification],"&gt;0")</f>
        <v>0</v>
      </c>
      <c r="IP168" s="6">
        <f>COUNTIFS(Table19[Country],Tabela1[[#This Row],[Country]],Table19[Trap Classification],"&gt;0")</f>
        <v>0</v>
      </c>
      <c r="IQ168" s="6">
        <f>COUNTIFS(Table73[Country],Tabela1[[#This Row],[Country]],Table73[Park Classification],"&gt;0")</f>
        <v>0</v>
      </c>
      <c r="IR168" s="6">
        <f>COUNTIFS(Table74[Country],Tabela1[[#This Row],[Country]],Table74[Park Classification],"&gt;0")</f>
        <v>0</v>
      </c>
      <c r="IS168" s="6">
        <f>COUNTIFS(Table73[Country],Tabela1[[#This Row],[Country]],Table73[Street Classification],"&gt;0")</f>
        <v>0</v>
      </c>
      <c r="IT168" s="6">
        <f>COUNTIFS(Table74[Country],Tabela1[[#This Row],[Country]],Table74[Street Classification],"&gt;0")</f>
        <v>0</v>
      </c>
      <c r="IU168" s="6">
        <f>COUNTIFS(Table75[Country],Tabela1[[#This Row],[Country]],Table75[Boulder and Lead Classification],"&gt;0")</f>
        <v>0</v>
      </c>
      <c r="IV168" s="6">
        <f>COUNTIFS(Table76[Country],Tabela1[[#This Row],[Country]],Table76[Boulder and Lead Classification],"&gt;0")</f>
        <v>0</v>
      </c>
      <c r="IW168" s="6">
        <f>COUNTIFS(Table75[Country],Tabela1[[#This Row],[Country]],Table75[Speed Classification],"&gt;0")</f>
        <v>0</v>
      </c>
      <c r="IX168" s="6">
        <f>COUNTIFS(Table76[Country],Tabela1[[#This Row],[Country]],Table76[Speed Classification],"&gt;0")</f>
        <v>0</v>
      </c>
      <c r="IY168" s="6">
        <f>COUNTIFS(Table64[Country],Tabela1[[#This Row],[Country]],Table64[Shortboard Classification],"&gt;0")</f>
        <v>0</v>
      </c>
      <c r="IZ168" s="6">
        <f>COUNTIFS(Table77[Country],Tabela1[[#This Row],[Country]],Table77[Shortboard Classification],"&gt;0")</f>
        <v>0</v>
      </c>
      <c r="JA168" s="6">
        <f>COUNTIFS(Table20[Country],Tabela1[[#This Row],[Country]],Table20[50m Freestyle Classification],"&gt;0")</f>
        <v>0</v>
      </c>
      <c r="JB168" s="6">
        <f>COUNTIFS(Table21[Country],Tabela1[[#This Row],[Country]],Table21[50m Freestyle Classification],"&gt;0")</f>
        <v>0</v>
      </c>
      <c r="JC168" s="6">
        <f>COUNTIFS(Table20[Country],Tabela1[[#This Row],[Country]],Table20[100m Freestyle Classification],"&gt;0")</f>
        <v>0</v>
      </c>
      <c r="JD168" s="6">
        <f>COUNTIFS(Table21[Country],Tabela1[[#This Row],[Country]],Table21[100m Freestyle Classification],"&gt;0")</f>
        <v>0</v>
      </c>
      <c r="JE168" s="6">
        <f>COUNTIFS(Table20[Country],Tabela1[[#This Row],[Country]],Table20[200m Freestyle Classification],"&gt;0")</f>
        <v>0</v>
      </c>
      <c r="JF168" s="6">
        <f>COUNTIFS(Table21[Country],Tabela1[[#This Row],[Country]],Table21[200m Freestyle Classification],"&gt;0")</f>
        <v>0</v>
      </c>
      <c r="JG168" s="6">
        <f>COUNTIFS(Table20[Country],Tabela1[[#This Row],[Country]],Table20[400m Freestyle Classification],"&gt;0")</f>
        <v>0</v>
      </c>
      <c r="JH168" s="6">
        <f>COUNTIFS(Table21[Country],Tabela1[[#This Row],[Country]],Table21[400m Freestyle Classification],"&gt;0")</f>
        <v>0</v>
      </c>
      <c r="JI168" s="6">
        <f>COUNTIFS(Table20[Country],Tabela1[[#This Row],[Country]],Table20[800m Freestyle Classification],"&gt;0")</f>
        <v>0</v>
      </c>
      <c r="JJ168" s="6">
        <f>COUNTIFS(Table21[Country],Tabela1[[#This Row],[Country]],Table21[800m Freestyle Classification],"&gt;0")</f>
        <v>0</v>
      </c>
      <c r="JK168" s="6">
        <f>COUNTIFS(Table20[Country],Tabela1[[#This Row],[Country]],Table20[1500m Freestyle Classification],"&gt;0")</f>
        <v>0</v>
      </c>
      <c r="JL168" s="6">
        <f>COUNTIFS(Table21[Country],Tabela1[[#This Row],[Country]],Table21[1500m Freestyle Classification],"&gt;0")</f>
        <v>0</v>
      </c>
      <c r="JM168" s="6">
        <f>COUNTIFS(Table20[Country],Tabela1[[#This Row],[Country]],Table20[100m Backstroke Classification],"&gt;0")</f>
        <v>0</v>
      </c>
      <c r="JN168" s="6">
        <f>COUNTIFS(Table21[Country],Tabela1[[#This Row],[Country]],Table21[100m Backstroke Classification],"&gt;0")</f>
        <v>0</v>
      </c>
      <c r="JO168" s="6">
        <f>COUNTIFS(Table20[Country],Tabela1[[#This Row],[Country]],Table20[200m Backstroke Classification],"&gt;0")</f>
        <v>0</v>
      </c>
      <c r="JP168" s="6">
        <f>COUNTIFS(Table21[Country],Tabela1[[#This Row],[Country]],Table21[200m Backstroke Classification],"&gt;0")</f>
        <v>0</v>
      </c>
      <c r="JQ168" s="6">
        <f>COUNTIFS(Table20[Country],Tabela1[[#This Row],[Country]],Table20[100m Breaststroke Classification],"&gt;0")</f>
        <v>0</v>
      </c>
      <c r="JR168" s="6">
        <f>COUNTIFS(Table21[Country],Tabela1[[#This Row],[Country]],Table21[100m Breaststroke Classification],"&gt;0")</f>
        <v>0</v>
      </c>
      <c r="JS168" s="6">
        <f>COUNTIFS(Table20[Country],Tabela1[[#This Row],[Country]],Table20[200m Breaststroke Classification],"&gt;0")</f>
        <v>0</v>
      </c>
      <c r="JT168" s="6">
        <f>COUNTIFS(Table21[Country],Tabela1[[#This Row],[Country]],Table21[200m Breaststroke Classification],"&gt;0")</f>
        <v>0</v>
      </c>
      <c r="JU168" s="6">
        <f>COUNTIFS(Table20[Country],Tabela1[[#This Row],[Country]],Table20[100m Butterfly Classification],"&gt;0")</f>
        <v>0</v>
      </c>
      <c r="JV168" s="6">
        <f>COUNTIFS(Table21[Country],Tabela1[[#This Row],[Country]],Table21[100m Butterfly Classification],"&gt;0")</f>
        <v>0</v>
      </c>
      <c r="JW168" s="6">
        <f>COUNTIFS(Table20[Country],Tabela1[[#This Row],[Country]],Table20[200m Butterfly Classification],"&gt;0")</f>
        <v>0</v>
      </c>
      <c r="JX168" s="6">
        <f>COUNTIFS(Table21[Country],Tabela1[[#This Row],[Country]],Table21[200m Butterfly Classification],"&gt;0")</f>
        <v>0</v>
      </c>
      <c r="JY168" s="6">
        <f>COUNTIFS(Table20[Country],Tabela1[[#This Row],[Country]],Table20[200m Medley Classification],"&gt;0")</f>
        <v>0</v>
      </c>
      <c r="JZ168" s="6">
        <f>COUNTIFS(Table21[Country],Tabela1[[#This Row],[Country]],Table21[200m Medley Classification],"&gt;0")</f>
        <v>0</v>
      </c>
      <c r="KA168" s="6">
        <f>COUNTIFS(Table20[Country],Tabela1[[#This Row],[Country]],Table20[400m Medley Classification],"&gt;0")</f>
        <v>0</v>
      </c>
      <c r="KB168" s="6">
        <f>COUNTIFS(Table21[Country],Tabela1[[#This Row],[Country]],Table21[400m Medley Classification],"&gt;0")</f>
        <v>0</v>
      </c>
      <c r="KC168" s="6">
        <f>COUNTIFS(Table78[Country],Tabela1[[#This Row],[Country]],Table78[Men''s 4x100m Freestyle Relay Classification],"&gt;0")</f>
        <v>0</v>
      </c>
      <c r="KD168" s="6">
        <f>COUNTIFS(Table78[Country],Tabela1[[#This Row],[Country]],Table78[Women''s 4x100m Freestyle Relay Classification],"&gt;0")</f>
        <v>0</v>
      </c>
      <c r="KE168" s="6">
        <f>COUNTIFS(Table78[Country],Tabela1[[#This Row],[Country]],Table78[Men''s 4x200m Freestyle Relay Classification],"&gt;0")</f>
        <v>0</v>
      </c>
      <c r="KF168" s="6">
        <f>COUNTIFS(Table78[Country],Tabela1[[#This Row],[Country]],Table78[Women''s 4x200m Freestyle Relay Classification],"&gt;0")</f>
        <v>0</v>
      </c>
      <c r="KG168" s="6">
        <f>COUNTIFS(Table78[Country],Tabela1[[#This Row],[Country]],Table78[Men''s 4x100m Medley Relay Classification],"&gt;0")</f>
        <v>0</v>
      </c>
      <c r="KH168" s="6">
        <f>COUNTIFS(Table78[Country],Tabela1[[#This Row],[Country]],Table78[Women''s 4x100m Medley Relay Classification],"&gt;0")</f>
        <v>0</v>
      </c>
      <c r="KI168" s="6">
        <f>COUNTIFS(Table78[Country],Tabela1[[#This Row],[Country]],Table78[Mixed 4x100m Medley Relay Classification],"&gt;0")</f>
        <v>0</v>
      </c>
      <c r="KJ168" s="6">
        <f>COUNTIFS(Table20[Country],Tabela1[[#This Row],[Country]],Table20[10km Open Water Classification],"&gt;0")</f>
        <v>0</v>
      </c>
      <c r="KK168" s="6">
        <f>COUNTIFS(Table21[Country],Tabela1[[#This Row],[Country]],Table21[10km Open Water Classification],"&gt;0")</f>
        <v>0</v>
      </c>
      <c r="KL168" s="6">
        <f>COUNTIFS(Table22[Country],Tabela1[[#This Row],[Country]],Table22[Classification],"&gt;0")</f>
        <v>0</v>
      </c>
      <c r="KM168" s="6">
        <f>COUNTIFS(Table30[Country],Tabela1[[#This Row],[Country]],Table30[Classification],"&gt;0")</f>
        <v>0</v>
      </c>
      <c r="KN168" s="6">
        <f>COUNTIFS(Table55[Country],Tabela1[[#This Row],[Country]],Table55[Men''s Classification],"&gt;0")</f>
        <v>0</v>
      </c>
      <c r="KO168" s="6">
        <f>COUNTIFS(Table55[Country],Tabela1[[#This Row],[Country]],Table55[Women''s Classification],"&gt;0")</f>
        <v>0</v>
      </c>
      <c r="KP168" s="6">
        <f>COUNTIFS(Table56[Country],Tabela1[[#This Row],[Country]],Table56[Mixed Classification],"&gt;0")</f>
        <v>0</v>
      </c>
      <c r="KQ168" s="6">
        <f>COUNTIFS(Table29[Country],Tabela1[[#This Row],[Country]],Table29[58kg Classification],"&gt;0")</f>
        <v>0</v>
      </c>
      <c r="KR168" s="6">
        <f>COUNTIFS(Table29[Country],Tabela1[[#This Row],[Country]],Table29[68kg Classification],"&gt;0")</f>
        <v>0</v>
      </c>
      <c r="KS168" s="6">
        <f>COUNTIFS(Table29[Country],Tabela1[[#This Row],[Country]],Table29[80kg Classification],"&gt;0")</f>
        <v>0</v>
      </c>
      <c r="KT168" s="6">
        <f>COUNTIFS(Table29[Country],Tabela1[[#This Row],[Country]],Table29[Plus 80kg Classification],"&gt;0")</f>
        <v>0</v>
      </c>
      <c r="KU168" s="6">
        <f>COUNTIFS(Table34[Country],Tabela1[[#This Row],[Country]],Table34[49kg Classification],"&gt;0")</f>
        <v>0</v>
      </c>
      <c r="KV168" s="6">
        <f>COUNTIFS(Table34[Country],Tabela1[[#This Row],[Country]],Table34[57kg Classification],"&gt;0")</f>
        <v>0</v>
      </c>
      <c r="KW168" s="6">
        <f>COUNTIFS(Table34[Country],Tabela1[[#This Row],[Country]],Table34[67kg Classification],"&gt;0")</f>
        <v>0</v>
      </c>
      <c r="KX168" s="6">
        <f>COUNTIFS(Table34[Country],Tabela1[[#This Row],[Country]],Table34[Plus 67kg Classification],"&gt;0")</f>
        <v>0</v>
      </c>
      <c r="KY168" s="6">
        <f>COUNTIFS(Table57[Country],Tabela1[[#This Row],[Country]],Table57[Classification],"&gt;0")</f>
        <v>0</v>
      </c>
      <c r="KZ168" s="6">
        <f>COUNTIFS(Table58[Country],Tabela1[[#This Row],[Country]],Table58[Classification],"&gt;0")</f>
        <v>0</v>
      </c>
      <c r="LA168" s="6">
        <f>COUNTIFS(Table79[Country],Tabela1[[#This Row],[Country]],Table79[Men''s Classification],"&gt;0")</f>
        <v>0</v>
      </c>
      <c r="LB168" s="6">
        <f>COUNTIFS(Table79[Country],Tabela1[[#This Row],[Country]],Table79[Women''s Classification],"&gt;0")</f>
        <v>0</v>
      </c>
      <c r="LC168" s="6">
        <f>COUNTIFS(Table79[Country],Tabela1[[#This Row],[Country]],Table79[Mixed Classification],"&gt;0")</f>
        <v>0</v>
      </c>
      <c r="LD168" s="6">
        <f>COUNTIFS(Table65[Country],Tabela1[[#This Row],[Country]],Table65[Classification],"&gt;0")</f>
        <v>0</v>
      </c>
      <c r="LE168" s="6">
        <f>COUNTIFS(Table59[Country],Tabela1[[#This Row],[Country]],Table59[Classification],"&gt;0")</f>
        <v>0</v>
      </c>
      <c r="LF168" s="6">
        <f>COUNTIFS(Table87[Country],Tabela1[[#This Row],[Country]],Table87[Mixed Relay Classification],"&gt;0")</f>
        <v>0</v>
      </c>
      <c r="LG168" s="6">
        <f>COUNTIFS(Table91949698100[Country],Tabela1[[#This Row],[Country]],Table91949698100[Men''s Classification],"&gt;0")</f>
        <v>0</v>
      </c>
      <c r="LH168" s="6">
        <f>COUNTIFS(Table91949698100[Country],Tabela1[[#This Row],[Country]],Table91949698100[Women''s Classification],"&gt;0")</f>
        <v>0</v>
      </c>
      <c r="LI168" s="6">
        <f>COUNTIFS(Table91949698100102[Country],Tabela1[[#This Row],[Country]],Table91949698100102[Men''s Classification],"&gt;0")</f>
        <v>0</v>
      </c>
      <c r="LJ168" s="6">
        <f>COUNTIFS(Table91949698100102[Country],Tabela1[[#This Row],[Country]],Table91949698100102[Women''s Classification],"&gt;0")</f>
        <v>0</v>
      </c>
      <c r="LK168" s="6">
        <f>COUNTIFS(Table23[Country],Tabela1[[#This Row],[Country]],Table23[61kg Classification],"&gt;0")</f>
        <v>0</v>
      </c>
      <c r="LL168" s="6">
        <f>COUNTIFS(Table23[Country],Tabela1[[#This Row],[Country]],Table23[73kg Classification],"&gt;0")</f>
        <v>0</v>
      </c>
      <c r="LM168" s="6">
        <f>COUNTIFS(Table23[Country],Tabela1[[#This Row],[Country]],Table23[89kg Classification],"&gt;0")</f>
        <v>0</v>
      </c>
      <c r="LN168" s="6">
        <f>COUNTIFS(Table23[Country],Tabela1[[#This Row],[Country]],Table23[102kg Classification],"&gt;0")</f>
        <v>0</v>
      </c>
      <c r="LO168" s="6">
        <f>COUNTIFS(Table23[Country],Tabela1[[#This Row],[Country]],Table23[Plus 102kg Classification],"&gt;0")</f>
        <v>0</v>
      </c>
      <c r="LP168" s="6">
        <f>COUNTIFS(Table28[Country],Tabela1[[#This Row],[Country]],Table28[49kg Classification],"&gt;0")</f>
        <v>0</v>
      </c>
      <c r="LQ168" s="6">
        <f>COUNTIFS(Table28[Country],Tabela1[[#This Row],[Country]],Table28[59kg Classification],"&gt;0")</f>
        <v>0</v>
      </c>
      <c r="LR168" s="6">
        <f>COUNTIFS(Table28[Country],Tabela1[[#This Row],[Country]],Table28[71kg Classification],"&gt;0")</f>
        <v>0</v>
      </c>
      <c r="LS168" s="6">
        <f>COUNTIFS(Table28[Country],Tabela1[[#This Row],[Country]],Table28[81kg Classification],"&gt;0")</f>
        <v>0</v>
      </c>
      <c r="LT168" s="6">
        <f>COUNTIFS(Table28[Country],Tabela1[[#This Row],[Country]],Table28[Plus 81kg Classification],"&gt;0")</f>
        <v>0</v>
      </c>
      <c r="LU168" s="6">
        <f>COUNTIFS(Table24[Country],Tabela1[[#This Row],[Country]],Table24[Freestyle 57kg Classification],"&gt;0")</f>
        <v>0</v>
      </c>
      <c r="LV168" s="6">
        <f>COUNTIFS(Table24[Country],Tabela1[[#This Row],[Country]],Table24[Freestyle 65kg Classification],"&gt;0")</f>
        <v>0</v>
      </c>
      <c r="LW168" s="6">
        <f>COUNTIFS(Table24[Country],Tabela1[[#This Row],[Country]],Table24[Freestyle 74kg Classification],"&gt;0")</f>
        <v>0</v>
      </c>
      <c r="LX168" s="6">
        <f>COUNTIFS(Table24[Country],Tabela1[[#This Row],[Country]],Table24[Freestyle 86kg Classification],"&gt;0")</f>
        <v>0</v>
      </c>
      <c r="LY168" s="6">
        <f>COUNTIFS(Table24[Country],Tabela1[[#This Row],[Country]],Table24[Freestyle 97kg Classification],"&gt;0")</f>
        <v>0</v>
      </c>
      <c r="LZ168" s="6">
        <f>COUNTIFS(Table24[Country],Tabela1[[#This Row],[Country]],Table24[Freestyle 125kg Classification],"&gt;0")</f>
        <v>0</v>
      </c>
      <c r="MA168" s="6">
        <f>COUNTIFS(Table24[Country],Tabela1[[#This Row],[Country]],Table24[Greco-Roman 60kg Classification],"&gt;0")</f>
        <v>0</v>
      </c>
      <c r="MB168" s="6">
        <f>COUNTIFS(Table24[Country],Tabela1[[#This Row],[Country]],Table24[Greco-Roman 67kg Classification],"&gt;0")</f>
        <v>0</v>
      </c>
      <c r="MC168" s="6">
        <f>COUNTIFS(Table24[Country],Tabela1[[#This Row],[Country]],Table24[Greco-Roman 77kg Classification],"&gt;0")</f>
        <v>0</v>
      </c>
      <c r="MD168" s="6">
        <f>COUNTIFS(Table24[Country],Tabela1[[#This Row],[Country]],Table24[Greco-Roman 87kg Classification],"&gt;0")</f>
        <v>0</v>
      </c>
      <c r="ME168" s="6">
        <f>COUNTIFS(Table24[Country],Tabela1[[#This Row],[Country]],Table24[Greco-Roman 97kg Classification],"&gt;0")</f>
        <v>0</v>
      </c>
      <c r="MF168" s="6">
        <f>COUNTIFS(Table24[Country],Tabela1[[#This Row],[Country]],Table24[Greco-Roman 130kg Classification],"&gt;0")</f>
        <v>0</v>
      </c>
      <c r="MG168" s="6">
        <f>COUNTIFS(Table31[Country],Tabela1[[#This Row],[Country]],Table31[50kg Classification],"&gt;0")</f>
        <v>0</v>
      </c>
      <c r="MH168" s="6">
        <f>COUNTIFS(Table31[Country],Tabela1[[#This Row],[Country]],Table31[53kg Classification],"&gt;0")</f>
        <v>0</v>
      </c>
      <c r="MI168" s="6">
        <f>COUNTIFS(Table31[Country],Tabela1[[#This Row],[Country]],Table31[57kg Classification],"&gt;0")</f>
        <v>0</v>
      </c>
      <c r="MJ168" s="6">
        <f>COUNTIFS(Table31[Country],Tabela1[[#This Row],[Country]],Table31[62kg Classification],"&gt;0")</f>
        <v>0</v>
      </c>
      <c r="MK168" s="6">
        <f>COUNTIFS(Table31[Country],Tabela1[[#This Row],[Country]],Table31[68kg Classification],"&gt;0")</f>
        <v>0</v>
      </c>
      <c r="ML168" s="6">
        <f>COUNTIFS(Table31[Country],Tabela1[[#This Row],[Country]],Table31[76kg Classification],"&gt;0")</f>
        <v>0</v>
      </c>
      <c r="MM168" s="6">
        <f>COUNTIFS(Table102[Country],Tabela1[[#This Row],[Country]],Table102[Downhill Classification],"&gt;0")</f>
        <v>0</v>
      </c>
      <c r="MN168" s="6">
        <f>COUNTIFS(Table102105[Country],Tabela1[[#This Row],[Country]],Table102105[Downhill Classification],"&gt;0")</f>
        <v>0</v>
      </c>
      <c r="MO168" s="6">
        <f>COUNTIFS(Table102[Country],Tabela1[[#This Row],[Country]],Table102[Giant Slalom Classification],"&gt;0")</f>
        <v>0</v>
      </c>
      <c r="MP168" s="6">
        <f>COUNTIFS(Table102105[Country],Tabela1[[#This Row],[Country]],Table102105[Giant Slalom Classification],"&gt;0")</f>
        <v>0</v>
      </c>
      <c r="MQ168" s="6">
        <f>COUNTIFS(Table102[Country],Tabela1[[#This Row],[Country]],Table102[Slalom Classification],"&gt;0")</f>
        <v>0</v>
      </c>
      <c r="MR168" s="6">
        <f>COUNTIFS(Table102105[Country],Tabela1[[#This Row],[Country]],Table102105[Slalom Classification],"&gt;0")</f>
        <v>0</v>
      </c>
      <c r="MS168" s="6">
        <f>COUNTIFS(Table102[Country],Tabela1[[#This Row],[Country]],Table102[Super-G Classification],"&gt;0")</f>
        <v>0</v>
      </c>
      <c r="MT168" s="6">
        <f>COUNTIFS(Table102105[Country],Tabela1[[#This Row],[Country]],Table102105[Super-G Classification],"&gt;0")</f>
        <v>0</v>
      </c>
      <c r="MU168" s="6">
        <f>COUNTIFS(Table105[Country],Tabela1[[#This Row],[Country]],Table105[Men''s Combined Classification],"&gt;0")</f>
        <v>0</v>
      </c>
      <c r="MV168" s="6">
        <f>COUNTIFS(Table105[Country],Tabela1[[#This Row],[Country]],Table105[Women''s Combined Classification],"&gt;0")</f>
        <v>0</v>
      </c>
      <c r="MW168" s="6">
        <f>COUNTIFS(Table106[Country],Tabela1[[#This Row],[Country]],Table106[Individual Classification],"&gt;0")</f>
        <v>0</v>
      </c>
      <c r="MX168" s="6">
        <f>COUNTIFS(Table106109[Country],Tabela1[[#This Row],[Country]],Table106109[Individual Classification],"&gt;0")</f>
        <v>0</v>
      </c>
      <c r="MY168" s="6">
        <f>COUNTIFS(Table106[Country],Tabela1[[#This Row],[Country]],Table106[Mass Start Classification],"&gt;0")</f>
        <v>0</v>
      </c>
      <c r="MZ168" s="6">
        <f>COUNTIFS(Table106109[Country],Tabela1[[#This Row],[Country]],Table106109[Mass Start Classification],"&gt;0")</f>
        <v>0</v>
      </c>
      <c r="NA168" s="6">
        <f>COUNTIFS(Table106[Country],Tabela1[[#This Row],[Country]],Table106[Pursuit Classification],"&gt;0")</f>
        <v>0</v>
      </c>
      <c r="NB168" s="6">
        <f>COUNTIFS(Table106109[Country],Tabela1[[#This Row],[Country]],Table106109[Pursuit Classification],"&gt;0")</f>
        <v>0</v>
      </c>
      <c r="NC168" s="6">
        <f>COUNTIFS(Table106[Country],Tabela1[[#This Row],[Country]],Table106[Sprint Classification],"&gt;0")</f>
        <v>0</v>
      </c>
      <c r="ND168" s="6">
        <f>COUNTIFS(Table106109[Country],Tabela1[[#This Row],[Country]],Table106109[Sprint Classification],"&gt;0")</f>
        <v>0</v>
      </c>
      <c r="NE168" s="6">
        <f>COUNTIFS(Table109[Country],Tabela1[[#This Row],[Country]],Table109[Men''s Relay Classification],"&gt;0")</f>
        <v>0</v>
      </c>
      <c r="NF168" s="6">
        <f>COUNTIFS(Table109[Country],Tabela1[[#This Row],[Country]],Table109[Women''s Relay Classification],"&gt;0")</f>
        <v>0</v>
      </c>
      <c r="NG168" s="6">
        <f>COUNTIFS(Table109[Country],Tabela1[[#This Row],[Country]],Table109[Mixed Relay Classification],"&gt;0")</f>
        <v>0</v>
      </c>
      <c r="NH168" s="6">
        <f>COUNTIFS(Table110[Country],Tabela1[[#This Row],[Country]],Table110[Monobob Classification],"&gt;0")</f>
        <v>0</v>
      </c>
      <c r="NI168" s="6">
        <f>COUNTIFS(Table111[Country],Tabela1[[#This Row],[Country]],Table111[Men''s Classification],"&gt;0")</f>
        <v>0</v>
      </c>
      <c r="NJ168" s="6">
        <f>COUNTIFS(Table111[Country],Tabela1[[#This Row],[Country]],Table111[Women''s Classification],"&gt;0")</f>
        <v>0</v>
      </c>
      <c r="NK168" s="6">
        <f>COUNTIFS(Table112[Country],Tabela1[[#This Row],[Country]],Table112[Men''s Four Classification],"&gt;0")</f>
        <v>0</v>
      </c>
      <c r="NL168" s="6">
        <f>COUNTIFS(Table113[Country],Tabela1[[#This Row],[Country]],Table113[Classical Classification],"&gt;0")</f>
        <v>0</v>
      </c>
      <c r="NM168" s="6">
        <f>COUNTIFS(Table113116[Country],Tabela1[[#This Row],[Country]],Table113116[Classical Classification],"&gt;0")</f>
        <v>0</v>
      </c>
      <c r="NN168" s="6">
        <f>COUNTIFS(Table113[Country],Tabela1[[#This Row],[Country]],Table113[Freestyle Classification],"&gt;0")</f>
        <v>0</v>
      </c>
      <c r="NO168" s="6">
        <f>COUNTIFS(Table113116[Country],Tabela1[[#This Row],[Country]],Table113116[Freestyle Classification],"&gt;0")</f>
        <v>0</v>
      </c>
      <c r="NP168" s="6">
        <f>COUNTIFS(Table117[Country],Tabela1[[#This Row],[Country]],Table117[Men''s Relay Classification],"&gt;0")</f>
        <v>0</v>
      </c>
      <c r="NQ168" s="6">
        <f>COUNTIFS(Table117[Country],Tabela1[[#This Row],[Country]],Table117[Women''s Relay Classification],"&gt;0")</f>
        <v>0</v>
      </c>
      <c r="NR168" s="6">
        <f>COUNTIFS(Table113[Country],Tabela1[[#This Row],[Country]],Table113[Skiathlon Classification],"&gt;0")</f>
        <v>0</v>
      </c>
      <c r="NS168" s="6">
        <f>COUNTIFS(Table113116[Country],Tabela1[[#This Row],[Country]],Table113116[Skiathlon Classification],"&gt;0")</f>
        <v>0</v>
      </c>
      <c r="NT168" s="6">
        <f>COUNTIFS(Table113[Country],Tabela1[[#This Row],[Country]],Table113[Sprint Classification],"&gt;0")</f>
        <v>0</v>
      </c>
      <c r="NU168" s="6">
        <f>COUNTIFS(Table113116[Country],Tabela1[[#This Row],[Country]],Table113116[Sprint Classification],"&gt;0")</f>
        <v>0</v>
      </c>
      <c r="NV168" s="6">
        <f>COUNTIFS(Table116[Country],Tabela1[[#This Row],[Country]],Table116[Men''s Team Sprint Classification],"&gt;0")</f>
        <v>0</v>
      </c>
      <c r="NW168" s="6">
        <f>COUNTIFS(Table116[Country],Tabela1[[#This Row],[Country]],Table116[Women''s Team Sprint Classification],"&gt;0")</f>
        <v>0</v>
      </c>
      <c r="NX168" s="6">
        <f>COUNTIFS(Table119[Country],Tabela1[[#This Row],[Country]],Table119[Men''s Classification],"&gt;0")</f>
        <v>0</v>
      </c>
      <c r="NY168" s="6">
        <f>COUNTIFS(Table119[Country],Tabela1[[#This Row],[Country]],Table119[Women''s Classification],"&gt;0")</f>
        <v>0</v>
      </c>
      <c r="NZ168" s="6">
        <f>COUNTIFS(Table118[Country],Tabela1[[#This Row],[Country]],Table118[Mixed Classification],"&gt;0")</f>
        <v>0</v>
      </c>
      <c r="OA168" s="6">
        <f>COUNTIFS(Table120[Country],Tabela1[[#This Row],[Country]],Table120[Classification],"&gt;0")</f>
        <v>0</v>
      </c>
      <c r="OB168" s="6">
        <f>COUNTIFS(Table120123[Country],Tabela1[[#This Row],[Country]],Table120123[Classification],"&gt;0")</f>
        <v>0</v>
      </c>
      <c r="OC168" s="6">
        <f>COUNTIFS(Table123[Country],Tabela1[[#This Row],[Country]],Table123[Ice Dance Classification],"&gt;0")</f>
        <v>0</v>
      </c>
      <c r="OD168" s="6">
        <f>COUNTIFS(Table123[Country],Tabela1[[#This Row],[Country]],Table123[Pair Skating Classification],"&gt;0")</f>
        <v>0</v>
      </c>
      <c r="OE168" s="6">
        <f>COUNTIFS(Table124[Country],Tabela1[[#This Row],[Country]],Table124[Mixed Classification],"&gt;0")</f>
        <v>0</v>
      </c>
      <c r="OF168" s="6">
        <f>COUNTIFS(Table125[Country],Tabela1[[#This Row],[Country]],Table125[Aerials Classification],"&gt;0")</f>
        <v>0</v>
      </c>
      <c r="OG168" s="6">
        <f>COUNTIFS(Table125128[Country],Tabela1[[#This Row],[Country]],Table125128[Aerials Classification],"&gt;0")</f>
        <v>0</v>
      </c>
      <c r="OH168" s="6">
        <f>COUNTIFS(Table128[Country],Tabela1[[#This Row],[Country]],Table128[Mixed Aerials Classification],"&gt;0")</f>
        <v>0</v>
      </c>
      <c r="OI168" s="6">
        <f>COUNTIFS(Table125[Country],Tabela1[[#This Row],[Country]],Table125[Big Air Classification],"&gt;0")</f>
        <v>0</v>
      </c>
      <c r="OJ168" s="6">
        <f>COUNTIFS(Table125128[Country],Tabela1[[#This Row],[Country]],Table125128[Big Air Classification],"&gt;0")</f>
        <v>0</v>
      </c>
      <c r="OK168" s="6">
        <f>COUNTIFS(Table125[Country],Tabela1[[#This Row],[Country]],Table125[Dual Moguls Classification],"&gt;0")</f>
        <v>0</v>
      </c>
      <c r="OL168" s="6">
        <f>COUNTIFS(Table125128[Country],Tabela1[[#This Row],[Country]],Table125128[Dual Moguls Classification],"&gt;0")</f>
        <v>0</v>
      </c>
      <c r="OM168" s="6">
        <f>COUNTIFS(Table125[Country],Tabela1[[#This Row],[Country]],Table125[Halfpipe Classification],"&gt;0")</f>
        <v>0</v>
      </c>
      <c r="ON168" s="6">
        <f>COUNTIFS(Table125128[Country],Tabela1[[#This Row],[Country]],Table125128[Halfpipe Classification],"&gt;0")</f>
        <v>0</v>
      </c>
      <c r="OO168" s="6">
        <f>COUNTIFS(Table125[Country],Tabela1[[#This Row],[Country]],Table125[Moguls Classification],"&gt;0")</f>
        <v>0</v>
      </c>
      <c r="OP168" s="6">
        <f>COUNTIFS(Table125128[Country],Tabela1[[#This Row],[Country]],Table125128[Moguls Classification],"&gt;0")</f>
        <v>0</v>
      </c>
      <c r="OQ168" s="6">
        <f>COUNTIFS(Table125[Country],Tabela1[[#This Row],[Country]],Table125[Ski Cross Classification],"&gt;0")</f>
        <v>0</v>
      </c>
      <c r="OR168" s="6">
        <f>COUNTIFS(Table125128[Country],Tabela1[[#This Row],[Country]],Table125128[Ski Cross Classification],"&gt;0")</f>
        <v>0</v>
      </c>
      <c r="OS168" s="6">
        <f>COUNTIFS(Table125[Country],Tabela1[[#This Row],[Country]],Table125[Slopestyle Classification],"&gt;0")</f>
        <v>0</v>
      </c>
      <c r="OT168" s="6">
        <f>COUNTIFS(Table125128[Country],Tabela1[[#This Row],[Country]],Table125128[Slopestyle Classification],"&gt;0")</f>
        <v>0</v>
      </c>
      <c r="OU168" s="6">
        <f>COUNTIFS(Table119131[Country],Tabela1[[#This Row],[Country]],Table119131[Men''s Classification],"&gt;0")</f>
        <v>0</v>
      </c>
      <c r="OV168" s="6">
        <f>COUNTIFS(Table119131[Country],Tabela1[[#This Row],[Country]],Table119131[Women''s Classification],"&gt;0")</f>
        <v>0</v>
      </c>
      <c r="OW168" s="6">
        <f>COUNTIFS(Table131[Country],Tabela1[[#This Row],[Country]],Table131[Classification],"&gt;0")</f>
        <v>0</v>
      </c>
      <c r="OX168" s="6">
        <f>COUNTIFS(Table131134[Country],Tabela1[[#This Row],[Country]],Table131134[Classification],"&gt;0")</f>
        <v>0</v>
      </c>
      <c r="OY168" s="6">
        <f>COUNTIFS(Table134[Country],Tabela1[[#This Row],[Country]],Table134[Men''s Classification],"&gt;0")</f>
        <v>0</v>
      </c>
      <c r="OZ168" s="6">
        <f>COUNTIFS(Table134[Country],Tabela1[[#This Row],[Country]],Table134[Women''s Classification],"&gt;0")</f>
        <v>0</v>
      </c>
      <c r="PA168" s="6">
        <f>COUNTIFS(Table135[Country],Tabela1[[#This Row],[Country]],Table135[Mixed Relay Classification],"&gt;0")</f>
        <v>0</v>
      </c>
      <c r="PB168" s="6">
        <f>COUNTIFS(Table136[Country],Tabela1[[#This Row],[Country]],Table136[Individual Classification],"&gt;0")</f>
        <v>0</v>
      </c>
      <c r="PC168" s="6">
        <f>COUNTIFS(Table136[Country],Tabela1[[#This Row],[Country]],Table136[Sprint Classification],"&gt;0")</f>
        <v>0</v>
      </c>
      <c r="PD168" s="6">
        <f>COUNTIFS(Table137[Country],Tabela1[[#This Row],[Country]],Table137[Men''s Team Sprint Large Hill Classification],"&gt;0")</f>
        <v>0</v>
      </c>
      <c r="PE168" s="6">
        <f>COUNTIFS(Table138[Country],Tabela1[[#This Row],[Country]],Table138[500m Classification],"&gt;0")</f>
        <v>0</v>
      </c>
      <c r="PF168" s="6">
        <f>COUNTIFS(Table138141[Country],Tabela1[[#This Row],[Country]],Table138141[500m Classification],"&gt;0")</f>
        <v>0</v>
      </c>
      <c r="PG168" s="6">
        <f>COUNTIFS(Table138[Country],Tabela1[[#This Row],[Country]],Table138[1000m Classification],"&gt;0")</f>
        <v>0</v>
      </c>
      <c r="PH168" s="6">
        <f>COUNTIFS(Table138141[Country],Tabela1[[#This Row],[Country]],Table138141[1000m Classification],"&gt;0")</f>
        <v>0</v>
      </c>
      <c r="PI168" s="6">
        <f>COUNTIFS(Table138[Country],Tabela1[[#This Row],[Country]],Table138[1500m Classification],"&gt;0")</f>
        <v>0</v>
      </c>
      <c r="PJ168" s="6">
        <f>COUNTIFS(Table138141[Country],Tabela1[[#This Row],[Country]],Table138141[1500m Classification],"&gt;0")</f>
        <v>0</v>
      </c>
      <c r="PK168" s="6">
        <f>COUNTIFS(Table141[Country],Tabela1[[#This Row],[Country]],Table141[Men''s 5000m Relay Classification],"&gt;0")</f>
        <v>0</v>
      </c>
      <c r="PL168" s="6">
        <f>COUNTIFS(Table141[Country],Tabela1[[#This Row],[Country]],Table141[Women''s 3000m Relay Classification],"&gt;0")</f>
        <v>0</v>
      </c>
      <c r="PM168" s="6">
        <f>COUNTIFS(Table141[Country],Tabela1[[#This Row],[Country]],Table141[Mixed 2000m Relay Classification],"&gt;0")</f>
        <v>0</v>
      </c>
      <c r="PN168" s="6">
        <f>COUNTIFS(Table142[Country],Tabela1[[#This Row],[Country]],Table142[Classification],"&gt;0")</f>
        <v>0</v>
      </c>
      <c r="PO168" s="6">
        <f>COUNTIFS(Table142145[Country],Tabela1[[#This Row],[Country]],Table142145[Classification],"&gt;0")</f>
        <v>0</v>
      </c>
      <c r="PP168" s="6">
        <f>COUNTIFS(Tabela15[Country],Tabela1[[#This Row],[Country]],Tabela15[Mixed Team Classification],"&gt;0")</f>
        <v>0</v>
      </c>
      <c r="PQ168" s="6">
        <f>COUNTIFS(Table145[Country],Tabela1[[#This Row],[Country]],Table145[Large Hill Classification],"&gt;0")</f>
        <v>0</v>
      </c>
      <c r="PR168" s="6">
        <f>COUNTIFS(Table145[Country],Tabela1[[#This Row],[Country]],Table145[Normal Hill Classification],"&gt;0")</f>
        <v>0</v>
      </c>
      <c r="PS168" s="6">
        <f>COUNTIFS(Table145148[Country],Tabela1[[#This Row],[Country]],Table145148[Large Hill Classification],"&gt;0")</f>
        <v>0</v>
      </c>
      <c r="PT168" s="6">
        <f>COUNTIFS(Table145148[Country],Tabela1[[#This Row],[Country]],Table145148[Normal Hill Classification],"&gt;0")</f>
        <v>0</v>
      </c>
      <c r="PU168" s="6">
        <f>COUNTIFS(Table148[Country],Tabela1[[#This Row],[Country]],Table148[Men''s Super Team Classification],"&gt;0")</f>
        <v>0</v>
      </c>
      <c r="PV168" s="6">
        <f>COUNTIFS(Tabela114[Country],Tabela1[[#This Row],[Country]],Tabela114[Mixed Normal Hill Classification],"&gt;0")</f>
        <v>0</v>
      </c>
      <c r="PW168" s="6">
        <f>COUNTIFS(Tabela50[Country],Tabela1[[#This Row],[Country]],Tabela50[Sprint Classification],"&gt;0")</f>
        <v>0</v>
      </c>
      <c r="PX168" s="6">
        <f>COUNTIFS(Tabela50101[Country],Tabela1[[#This Row],[Country]],Tabela50101[Sprint Classification],"&gt;0")</f>
        <v>0</v>
      </c>
      <c r="PY168" s="6">
        <f>COUNTIFS(Tabela103[Country],Tabela1[[#This Row],[Country]],Tabela103[Mixed Relay Classification],"&gt;0")</f>
        <v>0</v>
      </c>
      <c r="PZ168" s="6">
        <f>COUNTIFS(Table149[Country],Tabela1[[#This Row],[Country]],Table149[Big Air Classification],"&gt;0")</f>
        <v>0</v>
      </c>
      <c r="QA168" s="6">
        <f>COUNTIFS(Table149152[Country],Tabela1[[#This Row],[Country]],Table149152[Big Air Classification],"&gt;0")</f>
        <v>0</v>
      </c>
      <c r="QB168" s="6">
        <f>COUNTIFS(Table149[Country],Tabela1[[#This Row],[Country]],Table149[Halfpipe Classification],"&gt;0")</f>
        <v>0</v>
      </c>
      <c r="QC168" s="6">
        <f>COUNTIFS(Table149152[Country],Tabela1[[#This Row],[Country]],Table149152[Halfpipe Classification],"&gt;0")</f>
        <v>0</v>
      </c>
      <c r="QD168" s="6">
        <f>COUNTIFS(Table149[Country],Tabela1[[#This Row],[Country]],Table149[Parallel Giant Slalom Classification],"&gt;0")</f>
        <v>0</v>
      </c>
      <c r="QE168" s="6">
        <f>COUNTIFS(Table149152[Country],Tabela1[[#This Row],[Country]],Table149152[Parallel Giant Slalom Classification],"&gt;0")</f>
        <v>0</v>
      </c>
      <c r="QF168" s="6">
        <f>COUNTIFS(Table149[Country],Tabela1[[#This Row],[Country]],Table149[Slopestyle Classification],"&gt;0")</f>
        <v>0</v>
      </c>
      <c r="QG168" s="6">
        <f>COUNTIFS(Table149152[Country],Tabela1[[#This Row],[Country]],Table149152[Slopestyle Classification],"&gt;0")</f>
        <v>0</v>
      </c>
      <c r="QH168" s="6">
        <f>COUNTIFS(Table149[Country],Tabela1[[#This Row],[Country]],Table149[Snowboard Cross Classification],"&gt;0")</f>
        <v>0</v>
      </c>
      <c r="QI168" s="6">
        <f>COUNTIFS(Table149152[Country],Tabela1[[#This Row],[Country]],Table149152[Snowboard Cross Classification],"&gt;0")</f>
        <v>0</v>
      </c>
      <c r="QJ168" s="6">
        <f>COUNTIFS(Table153[Country],Tabela1[[#This Row],[Country]],Table153[Mixed Team Snowboard Cross Classification],"&gt;0")</f>
        <v>0</v>
      </c>
      <c r="QK168" s="6">
        <f>COUNTIFS(Table154[Country],Tabela1[[#This Row],[Country]],Table154[500m Classification],"&gt;0")</f>
        <v>0</v>
      </c>
      <c r="QL168" s="6">
        <f>COUNTIFS(Table154157[Country],Tabela1[[#This Row],[Country]],Table154157[500m Classification],"&gt;0")</f>
        <v>0</v>
      </c>
      <c r="QM168" s="6">
        <f>COUNTIFS(Table154[Country],Tabela1[[#This Row],[Country]],Table154[1000m Classification],"&gt;0")</f>
        <v>0</v>
      </c>
      <c r="QN168" s="6">
        <f>COUNTIFS(Table154157[Country],Tabela1[[#This Row],[Country]],Table154157[1000m Classification],"&gt;0")</f>
        <v>0</v>
      </c>
      <c r="QO168" s="6">
        <f>COUNTIFS(Table154[Country],Tabela1[[#This Row],[Country]],Table154[1500m Classification],"&gt;0")</f>
        <v>0</v>
      </c>
      <c r="QP168" s="6">
        <f>COUNTIFS(Table154157[Country],Tabela1[[#This Row],[Country]],Table154157[1500m Classification],"&gt;0")</f>
        <v>0</v>
      </c>
      <c r="QQ168" s="6">
        <f>COUNTIFS(Table154157[Country],Tabela1[[#This Row],[Country]],Table154157[3000m Classification],"&gt;0")</f>
        <v>0</v>
      </c>
      <c r="QR168" s="6">
        <f>COUNTIFS(Table154[Country],Tabela1[[#This Row],[Country]],Table154[5000m Classification],"&gt;0")</f>
        <v>0</v>
      </c>
      <c r="QS168" s="6">
        <f>COUNTIFS(Table154157[Country],Tabela1[[#This Row],[Country]],Table154157[5000m Classification],"&gt;0")</f>
        <v>0</v>
      </c>
      <c r="QT168" s="6">
        <f>COUNTIFS(Table154[Country],Tabela1[[#This Row],[Country]],Table154[10000m Classification],"&gt;0")</f>
        <v>0</v>
      </c>
      <c r="QU168" s="6">
        <f>COUNTIFS(Table154[Country],Tabela1[[#This Row],[Country]],Table154[Mass Start Classification],"&gt;0")</f>
        <v>0</v>
      </c>
      <c r="QV168" s="6">
        <f>COUNTIFS(Table154157[Country],Tabela1[[#This Row],[Country]],Table154157[Mass Start Classification],"&gt;0")</f>
        <v>0</v>
      </c>
      <c r="QW168" s="6">
        <f>COUNTIFS(Table157[Country],Tabela1[[#This Row],[Country]],Table157[Men''s Pursuit Classification],"&gt;0")</f>
        <v>0</v>
      </c>
      <c r="QX168" s="6">
        <f>COUNTIFS(Table157[Country],Tabela1[[#This Row],[Country]],Table157[Women''s Pursuit Classification],"&gt;0")</f>
        <v>0</v>
      </c>
      <c r="QY168" s="3" t="s">
        <v>529</v>
      </c>
    </row>
    <row r="169" spans="1:467" x14ac:dyDescent="0.3">
      <c r="A169" s="6">
        <v>168</v>
      </c>
      <c r="B169" s="6" t="s">
        <v>534</v>
      </c>
      <c r="C169" t="e" vm="168">
        <f>IF(ISBLANK(Tabela1[[#This Row],[Image Link]]), "", _xlfn.IMAGE(Tabela1[[#This Row],[Image Link]],1,1))</f>
        <v>#VALUE!</v>
      </c>
      <c r="D169" s="6">
        <f>SUM(Tabela1[[#This Row],[Archery - Men''s Individual Recurve]:[Speed Skating - Women''s Team Pursuit]])</f>
        <v>0</v>
      </c>
      <c r="E169" s="6">
        <f>COUNTIF(Tabela1[[#This Row],[Archery - Men''s Individual Recurve]:[Speed Skating - Women''s Team Pursuit]],"&gt;0")</f>
        <v>0</v>
      </c>
      <c r="F169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69" s="6">
        <f>SUM(Tabela1[[#This Row],[Archery - Men''s Individual Recurve]:[Wrestling - Women''s Freestyle 76kg]])</f>
        <v>0</v>
      </c>
      <c r="H169" s="6">
        <f>SUM(Tabela1[[#This Row],[Alpine Skiing - Men''s Downhill]:[Speed Skating - Women''s Team Pursuit]])</f>
        <v>0</v>
      </c>
      <c r="I169" s="6">
        <f>Tabela1[[#This Row],[Summer Gold Medals]]+Tabela1[[#This Row],[Winter Gold Medals]]</f>
        <v>0</v>
      </c>
      <c r="J169" s="6">
        <f>Tabela1[[#This Row],[Summer Silver Medals]]+Tabela1[[#This Row],[Winter Silver Medals]]</f>
        <v>0</v>
      </c>
      <c r="K169" s="6">
        <f>Tabela1[[#This Row],[Summer Bronze Medals]]+Tabela1[[#This Row],[Winter Bronze Medals]]</f>
        <v>0</v>
      </c>
      <c r="L169" s="6">
        <f>SUM(Tabela1[[#This Row],[Total Gold Medals]:[Total Bronze Medals]])</f>
        <v>0</v>
      </c>
      <c r="M169" s="6"/>
      <c r="N169" s="6"/>
      <c r="O169" s="6"/>
      <c r="P169" s="6">
        <f>SUM(Tabela1[[#This Row],[Summer Gold Medals]:[Summer Bronze Medals]])</f>
        <v>0</v>
      </c>
      <c r="Q169" s="6"/>
      <c r="R169" s="6"/>
      <c r="S169" s="6"/>
      <c r="T169" s="6">
        <f>Tabela1[[#This Row],[Winter Gold Medals]]+Tabela1[[#This Row],[Winter Silver Medals]]+Tabela1[[#This Row],[Winter Bronze Medals]]</f>
        <v>0</v>
      </c>
      <c r="U169" s="7" t="e">
        <f>Tabela1[[#This Row],[Total Medals]]/Tabela1[[#This Row],[Total Quotas]]</f>
        <v>#DIV/0!</v>
      </c>
      <c r="V169" s="6">
        <f>COUNTIFS(Table3[Country],Tabela1[[#This Row],[Country]],Table3[Recurve Classification],"&gt;0")</f>
        <v>0</v>
      </c>
      <c r="W169" s="6">
        <f>COUNTIFS(Table33[Country],Tabela1[[#This Row],[Country]],Table33[Recurve Classification],"&gt;0")</f>
        <v>0</v>
      </c>
      <c r="X169" s="6">
        <f>COUNTIFS(Table35[Country],Tabela1[[#This Row],[Country]],Table35[Men''s Team Recurve Classification],"&gt;0")</f>
        <v>0</v>
      </c>
      <c r="Y169" s="6">
        <f>COUNTIFS(Table35[Country],Tabela1[[#This Row],[Country]],Table35[Women''s Team Recurve Classification],"&gt;0")</f>
        <v>0</v>
      </c>
      <c r="Z169" s="6">
        <f>COUNTIFS(Tabela88[Country],Tabela1[[#This Row],[Country]],Tabela88[Mixed Team Recurve Classification],"&gt;0")</f>
        <v>0</v>
      </c>
      <c r="AA169" s="6">
        <f>COUNTIFS(Table36[Country],Tabela1[[#This Row],[Country]],Table36[Classification],"&gt;0")</f>
        <v>0</v>
      </c>
      <c r="AB169" s="6">
        <f>COUNTIFS(Table37[Country],Tabela1[[#This Row],[Country]],Table37[Classification],"&gt;0")</f>
        <v>0</v>
      </c>
      <c r="AC169" s="6">
        <f>COUNTIFS(Table4[Country],Tabela1[[#This Row],[Country]],Table4[100m Classification],"&gt;0")</f>
        <v>0</v>
      </c>
      <c r="AD169" s="6">
        <f>COUNTIFS(Table5[Country],Tabela1[[#This Row],[Country]],Table5[100m Classification],"&gt;0")</f>
        <v>0</v>
      </c>
      <c r="AE169" s="6">
        <f>COUNTIFS(Table4[Country],Tabela1[[#This Row],[Country]],Table4[200m Classification],"&gt;0")</f>
        <v>0</v>
      </c>
      <c r="AF169" s="6">
        <f>COUNTIFS(Table5[Country],Tabela1[[#This Row],[Country]],Table5[200m Classification],"&gt;0")</f>
        <v>0</v>
      </c>
      <c r="AG169" s="6">
        <f>COUNTIFS(Table4[Country],Tabela1[[#This Row],[Country]],Table4[400m Classification],"&gt;0")</f>
        <v>0</v>
      </c>
      <c r="AH169" s="6">
        <f>COUNTIFS(Table5[Country],Tabela1[[#This Row],[Country]],Table5[400m Classification],"&gt;0")</f>
        <v>0</v>
      </c>
      <c r="AI169" s="6">
        <f>COUNTIFS(Table4[Country],Tabela1[[#This Row],[Country]],Table4[800m Classification],"&gt;0")</f>
        <v>0</v>
      </c>
      <c r="AJ169" s="6">
        <f>COUNTIFS(Table5[Country],Tabela1[[#This Row],[Country]],Table5[800m Classification],"&gt;0")</f>
        <v>0</v>
      </c>
      <c r="AK169" s="6">
        <f>COUNTIFS(Table4[Country],Tabela1[[#This Row],[Country]],Table4[1500m Classification],"&gt;0")</f>
        <v>0</v>
      </c>
      <c r="AL169" s="6">
        <f>COUNTIFS(Table5[Country],Tabela1[[#This Row],[Country]],Table5[1500m Classification],"&gt;0")</f>
        <v>0</v>
      </c>
      <c r="AM169" s="6">
        <f>COUNTIFS(Table4[Country],Tabela1[[#This Row],[Country]],Table4[5000m Classification],"&gt;0")</f>
        <v>0</v>
      </c>
      <c r="AN169" s="6">
        <f>COUNTIFS(Table5[Country],Tabela1[[#This Row],[Country]],Table5[5000m Classification],"&gt;0")</f>
        <v>0</v>
      </c>
      <c r="AO169" s="6">
        <f>COUNTIFS(Table4[Country],Tabela1[[#This Row],[Country]],Table4[10000m Classification],"&gt;0")</f>
        <v>0</v>
      </c>
      <c r="AP169" s="6">
        <f>COUNTIFS(Table5[Country],Tabela1[[#This Row],[Country]],Table5[10000m Classification],"&gt;0")</f>
        <v>0</v>
      </c>
      <c r="AQ169" s="6">
        <f>COUNTIFS(Table4[Country],Tabela1[[#This Row],[Country]],Table4[110m Hurdles Classification],"&gt;0")</f>
        <v>0</v>
      </c>
      <c r="AR169" s="6">
        <f>COUNTIFS(Table5[Country],Tabela1[[#This Row],[Country]],Table5[100m Hurdles Classification],"&gt;0")</f>
        <v>0</v>
      </c>
      <c r="AS169" s="6">
        <f>COUNTIFS(Table4[Country],Tabela1[[#This Row],[Country]],Table4[400m Hurdles Classification],"&gt;0")</f>
        <v>0</v>
      </c>
      <c r="AT169" s="6">
        <f>COUNTIFS(Table5[Country],Tabela1[[#This Row],[Country]],Table5[400m Hurdles Classification],"&gt;0")</f>
        <v>0</v>
      </c>
      <c r="AU169" s="6">
        <f>COUNTIFS(Table4[Country],Tabela1[[#This Row],[Country]],Table4[3000m Steeplechase Classification],"&gt;0")</f>
        <v>0</v>
      </c>
      <c r="AV169" s="6">
        <f>COUNTIFS(Table5[Country],Tabela1[[#This Row],[Country]],Table5[3000m Steeplechase Classification],"&gt;0")</f>
        <v>0</v>
      </c>
      <c r="AW169" s="6">
        <f>COUNTIFS(Table27[Country],Tabela1[[#This Row],[Country]],Table27[Men''s 4x100m Relay Classification],"&gt;0")</f>
        <v>0</v>
      </c>
      <c r="AX169" s="6">
        <f>COUNTIFS(Table27[Country],Tabela1[[#This Row],[Country]],Table27[Women''s 4x100m Relay Classification],"&gt;0")</f>
        <v>0</v>
      </c>
      <c r="AY169" s="6">
        <f>COUNTIFS(Table27[Country],Tabela1[[#This Row],[Country]],Table27[Men''s 4x400m Relay Classification],"&gt;0")</f>
        <v>0</v>
      </c>
      <c r="AZ169" s="6">
        <f>COUNTIFS(Table27[Country],Tabela1[[#This Row],[Country]],Table27[Women''s 4x400m Relay Classification],"&gt;0")</f>
        <v>0</v>
      </c>
      <c r="BA169" s="6">
        <f>COUNTIFS(Table27[Country],Tabela1[[#This Row],[Country]],Table27[Mixed 4x400m Relay Classification],"&gt;0")</f>
        <v>0</v>
      </c>
      <c r="BB169" s="6">
        <f>COUNTIFS(Table4[Country],Tabela1[[#This Row],[Country]],Table4[Marathon Classification],"&gt;0")</f>
        <v>0</v>
      </c>
      <c r="BC169" s="6">
        <f>COUNTIFS(Table5[Country],Tabela1[[#This Row],[Country]],Table5[Marathon Classification],"&gt;0")</f>
        <v>0</v>
      </c>
      <c r="BD169" s="6">
        <f>COUNTIFS(Table4[Country],Tabela1[[#This Row],[Country]],Table4[20km Race Walk Classification],"&gt;0")</f>
        <v>0</v>
      </c>
      <c r="BE169" s="6">
        <f>COUNTIFS(Table5[Country],Tabela1[[#This Row],[Country]],Table5[20km Race Walk Classification],"&gt;0")</f>
        <v>0</v>
      </c>
      <c r="BF169" s="6">
        <f>COUNTIFS(Tabela96[Country],Tabela1[[#This Row],[Country]],Tabela96[Mixed Marathon Race Walk Relay Classification],"&gt;0")</f>
        <v>0</v>
      </c>
      <c r="BG169" s="6">
        <f>COUNTIFS(Table4[Country],Tabela1[[#This Row],[Country]],Table4[Discus Throw Classification],"&gt;0")</f>
        <v>0</v>
      </c>
      <c r="BH169" s="6">
        <f>COUNTIFS(Table5[Country],Tabela1[[#This Row],[Country]],Table5[Discus Throw Classification],"&gt;0")</f>
        <v>0</v>
      </c>
      <c r="BI169" s="6">
        <f>COUNTIFS(Table4[Country],Tabela1[[#This Row],[Country]],Table4[Hammer Throw Classification],"&gt;0")</f>
        <v>0</v>
      </c>
      <c r="BJ169" s="6">
        <f>COUNTIFS(Table5[Country],Tabela1[[#This Row],[Country]],Table5[Hammer Throw Classification],"&gt;0")</f>
        <v>0</v>
      </c>
      <c r="BK169" s="6">
        <f>COUNTIFS(Table4[Country],Tabela1[[#This Row],[Country]],Table4[High Jump Classification],"&gt;0")</f>
        <v>0</v>
      </c>
      <c r="BL169" s="6">
        <f>COUNTIFS(Table5[Country],Tabela1[[#This Row],[Country]],Table5[High Jump Classification],"&gt;0")</f>
        <v>0</v>
      </c>
      <c r="BM169" s="6">
        <f>COUNTIFS(Table4[Country],Tabela1[[#This Row],[Country]],Table4[Javelin Throw Classification],"&gt;0")</f>
        <v>0</v>
      </c>
      <c r="BN169" s="6">
        <f>COUNTIFS(Table5[Country],Tabela1[[#This Row],[Country]],Table5[Javelin Throw Classification],"&gt;0")</f>
        <v>0</v>
      </c>
      <c r="BO169" s="6">
        <f>COUNTIFS(Table4[Country],Tabela1[[#This Row],[Country]],Table4[Long Jump Classification],"&gt;0")</f>
        <v>0</v>
      </c>
      <c r="BP169" s="6">
        <f>COUNTIFS(Table5[Country],Tabela1[[#This Row],[Country]],Table5[Long Jump Classification],"&gt;0")</f>
        <v>0</v>
      </c>
      <c r="BQ169" s="6">
        <f>COUNTIFS(Table4[Country],Tabela1[[#This Row],[Country]],Table4[Pole Vault Classification],"&gt;0")</f>
        <v>0</v>
      </c>
      <c r="BR169" s="6">
        <f>COUNTIFS(Table5[Country],Tabela1[[#This Row],[Country]],Table5[Pole Vault Classification],"&gt;0")</f>
        <v>0</v>
      </c>
      <c r="BS169" s="6">
        <f>COUNTIFS(Table4[Country],Tabela1[[#This Row],[Country]],Table4[Shot Put Classification],"&gt;0")</f>
        <v>0</v>
      </c>
      <c r="BT169" s="6">
        <f>COUNTIFS(Table5[Country],Tabela1[[#This Row],[Country]],Table5[Shot Put Classification],"&gt;0")</f>
        <v>0</v>
      </c>
      <c r="BU169" s="6">
        <f>COUNTIFS(Table4[Country],Tabela1[[#This Row],[Country]],Table4[Triple Jump Classification],"&gt;0")</f>
        <v>0</v>
      </c>
      <c r="BV169" s="6">
        <f>COUNTIFS(Table5[Country],Tabela1[[#This Row],[Country]],Table5[Triple Jump Classification],"&gt;0")</f>
        <v>0</v>
      </c>
      <c r="BW169" s="6">
        <f>COUNTIFS(Table4[Country],Tabela1[[#This Row],[Country]],Table4[Decathlon Classification],"&gt;0")</f>
        <v>0</v>
      </c>
      <c r="BX169" s="6">
        <f>COUNTIFS(Table5[Country],Tabela1[[#This Row],[Country]],Table5[Heptathlon Classification],"&gt;0")</f>
        <v>0</v>
      </c>
      <c r="BY169" s="6">
        <f>COUNTIFS(Table61[Country],Tabela1[[#This Row],[Country]],Table61[Classification],"&gt;0")</f>
        <v>0</v>
      </c>
      <c r="BZ169" s="6">
        <f>COUNTIFS(Table38[Country],Tabela1[[#This Row],[Country]],Table38[Classification],"&gt;0")</f>
        <v>0</v>
      </c>
      <c r="CA169" s="6">
        <f>COUNTIFS(Table39[Country],Tabela1[[#This Row],[Country]],Table39[Men''s Classification],"&gt;0")</f>
        <v>0</v>
      </c>
      <c r="CB169" s="6">
        <f>COUNTIFS(Table39[Country],Tabela1[[#This Row],[Country]],Table39[Women''s Classification],"&gt;0")</f>
        <v>0</v>
      </c>
      <c r="CC169" s="6">
        <f>COUNTIFS(Table39[Country],Tabela1[[#This Row],[Country]],Table39[Mixed Classification],"&gt;0")</f>
        <v>0</v>
      </c>
      <c r="CD169" s="6">
        <f>COUNTIFS(Table89[Country],Tabela1[[#This Row],[Country]],Table89[Men''s Classification],"&gt;0")</f>
        <v>0</v>
      </c>
      <c r="CE169" s="6">
        <f>COUNTIFS(Table89[Country],Tabela1[[#This Row],[Country]],Table89[Women''s Classification],"&gt;0")</f>
        <v>0</v>
      </c>
      <c r="CF169" s="6">
        <f>COUNTIFS(Table90[Country],Tabela1[[#This Row],[Country]],Table90[Men''s Classification],"&gt;0")</f>
        <v>0</v>
      </c>
      <c r="CG169" s="6">
        <f>COUNTIFS(Table90[Country],Tabela1[[#This Row],[Country]],Table90[Women''s Classification],"&gt;0")</f>
        <v>0</v>
      </c>
      <c r="CH169" s="6">
        <f>COUNTIFS(Table60[Country],Tabela1[[#This Row],[Country]],Table60[Men''s Classification],"&gt;0")</f>
        <v>0</v>
      </c>
      <c r="CI169" s="6">
        <f>COUNTIFS(Table60[Country],Tabela1[[#This Row],[Country]],Table60[Women''s Classification],"&gt;0")</f>
        <v>0</v>
      </c>
      <c r="CJ169" s="6">
        <f>COUNTIFS(Table6[Country],Tabela1[[#This Row],[Country]],Table6[51kg Classification],"&gt;0")</f>
        <v>0</v>
      </c>
      <c r="CK169" s="6">
        <f>COUNTIFS(Table6[Country],Tabela1[[#This Row],[Country]],Table6[57kg Classification],"&gt;0")</f>
        <v>0</v>
      </c>
      <c r="CL169" s="6">
        <f>COUNTIFS(Table6[Country],Tabela1[[#This Row],[Country]],Table6[63.5kg Classification],"&gt;0")</f>
        <v>0</v>
      </c>
      <c r="CM169" s="6">
        <f>COUNTIFS(Table6[Country],Tabela1[[#This Row],[Country]],Table6[71kg Classification],"&gt;0")</f>
        <v>0</v>
      </c>
      <c r="CN169" s="6">
        <f>COUNTIFS(Table6[Country],Tabela1[[#This Row],[Country]],Table6[80kg Classification],"&gt;0")</f>
        <v>0</v>
      </c>
      <c r="CO169" s="6">
        <f>COUNTIFS(Table6[Country],Tabela1[[#This Row],[Country]],Table6[92kg Classification],"&gt;0")</f>
        <v>0</v>
      </c>
      <c r="CP169" s="6">
        <f>COUNTIFS(Table6[Country],Tabela1[[#This Row],[Country]],Table6[Plus 92kg Classification],"&gt;0")</f>
        <v>0</v>
      </c>
      <c r="CQ169" s="6">
        <f>COUNTIFS(Table7[Country],Tabela1[[#This Row],[Country]],Table7[50kg Classification],"&gt;0")</f>
        <v>0</v>
      </c>
      <c r="CR169" s="6">
        <f>COUNTIFS(Table7[Country],Tabela1[[#This Row],[Country]],Table7[54kg Classification],"&gt;0")</f>
        <v>0</v>
      </c>
      <c r="CS169" s="6">
        <f>COUNTIFS(Table7[Country],Tabela1[[#This Row],[Country]],Table7[57kg Classification],"&gt;0")</f>
        <v>0</v>
      </c>
      <c r="CT169" s="6">
        <f>COUNTIFS(Table7[Country],Tabela1[[#This Row],[Country]],Table7[60kg Classification],"&gt;0")</f>
        <v>0</v>
      </c>
      <c r="CU169" s="6">
        <f>COUNTIFS(Table7[Country],Tabela1[[#This Row],[Country]],Table7[66kg Classification],"&gt;0")</f>
        <v>0</v>
      </c>
      <c r="CV169" s="6">
        <f>COUNTIFS(Table7[Country],Tabela1[[#This Row],[Country]],Table7[75kg Classification],"&gt;0")</f>
        <v>0</v>
      </c>
      <c r="CW169" s="6">
        <f>COUNTIFS(Tabela94[Country],Tabela1[[#This Row],[Country]],Tabela94[Classification],"&gt;0")</f>
        <v>0</v>
      </c>
      <c r="CX169" s="6">
        <f>COUNTIFS(Tabela9499[Country],Tabela1[[#This Row],[Country]],Tabela9499[Classification],"&gt;0")</f>
        <v>0</v>
      </c>
      <c r="CY169" s="6">
        <f>COUNTIFS(Tabela107[Country],Tabela1[[#This Row],[Country]],Tabela107[C1 Slalom Classification],"&gt;0")</f>
        <v>0</v>
      </c>
      <c r="CZ169" s="6">
        <f>COUNTIFS(Tabela107122[Country],Tabela1[[#This Row],[Country]],Tabela107122[C1 Slalom Classification],"&gt;0")</f>
        <v>0</v>
      </c>
      <c r="DA169" s="6">
        <f>COUNTIFS(Tabela107[Country],Tabela1[[#This Row],[Country]],Tabela107[K1 Slalom Classification],"&gt;0")</f>
        <v>0</v>
      </c>
      <c r="DB169" s="6">
        <f>COUNTIFS(Tabela107122[Country],Tabela1[[#This Row],[Country]],Tabela107122[K1 Slalom Classification],"&gt;0")</f>
        <v>0</v>
      </c>
      <c r="DC169" s="6">
        <f>COUNTIFS(Tabela107[Country],Tabela1[[#This Row],[Country]],Tabela107[Kayak Cross Slalom Classification],"&gt;0")</f>
        <v>0</v>
      </c>
      <c r="DD169" s="6">
        <f>COUNTIFS(Tabela107122[Country],Tabela1[[#This Row],[Country]],Tabela107122[Kayak Cross Slalom Classification],"&gt;0")</f>
        <v>0</v>
      </c>
      <c r="DE169" s="6">
        <f>COUNTIFS(Table8[Country],Tabela1[[#This Row],[Country]],Table8[C1 200m Classification],"&gt;0")</f>
        <v>0</v>
      </c>
      <c r="DF169" s="6">
        <f>COUNTIFS(Table40[Country],Tabela1[[#This Row],[Country]],Table40[C1 1000m Classification],"&gt;0")</f>
        <v>0</v>
      </c>
      <c r="DG169" s="6">
        <f>COUNTIFS(Table68[Country],Tabela1[[#This Row],[Country]],Table68[Men''s C2 500m Classification],"&gt;0")</f>
        <v>0</v>
      </c>
      <c r="DH169" s="6">
        <f>COUNTIFS(Table68[Country],Tabela1[[#This Row],[Country]],Table68[Women''s C2 500m Classification],"&gt;0")</f>
        <v>0</v>
      </c>
      <c r="DI169" s="6">
        <f>COUNTIFS(Table8[Country],Tabela1[[#This Row],[Country]],Table8[K1 500m Classification],"&gt;0")</f>
        <v>0</v>
      </c>
      <c r="DJ169" s="6">
        <f>COUNTIFS(Table40[Country],Tabela1[[#This Row],[Country]],Table40[K1 1000m Classification],"&gt;0")</f>
        <v>0</v>
      </c>
      <c r="DK169" s="6">
        <f>COUNTIFS(Table68[Country],Tabela1[[#This Row],[Country]],Table68[Men''s K2 500m Classification],"&gt;0")</f>
        <v>0</v>
      </c>
      <c r="DL169" s="6">
        <f>COUNTIFS(Table68[Country],Tabela1[[#This Row],[Country]],Table68[Women''s K2 500m Classification],"&gt;0")</f>
        <v>0</v>
      </c>
      <c r="DM169" s="6">
        <f>COUNTIFS(Table83[Country],Tabela1[[#This Row],[Country]],Table83[Men''s K4 500m Classification],"&gt;0")</f>
        <v>0</v>
      </c>
      <c r="DN169" s="6">
        <f>COUNTIFS(Table83[Country],Tabela1[[#This Row],[Country]],Table83[Women''s K4 500m Classification],"&gt;0")</f>
        <v>0</v>
      </c>
      <c r="DO169" s="6">
        <f>COUNTIFS(Tabela126[Country],Tabela1[[#This Row],[Country]],Tabela126[Classification],"&gt;0")</f>
        <v>0</v>
      </c>
      <c r="DP169" s="6">
        <f>COUNTIFS(Tabela126130[Country],Tabela1[[#This Row],[Country]],Tabela126130[Classification],"&gt;0")</f>
        <v>0</v>
      </c>
      <c r="DQ169" s="6">
        <f>COUNTIFS(Table70[Country],Tabela1[[#This Row],[Country]],Table70[Classification],"&gt;0")</f>
        <v>0</v>
      </c>
      <c r="DR169" s="6">
        <f>COUNTIFS(Table80[Country],Tabela1[[#This Row],[Country]],Table80[Classification],"&gt;0")</f>
        <v>0</v>
      </c>
      <c r="DS169" s="6">
        <f>COUNTIFS(Table66[Country],Tabela1[[#This Row],[Country]],Table66[Classification],"&gt;0")</f>
        <v>0</v>
      </c>
      <c r="DT169" s="6">
        <f>COUNTIFS(Table67[Country],Tabela1[[#This Row],[Country]],Table67[Classification],"&gt;0")</f>
        <v>0</v>
      </c>
      <c r="DU169" s="6">
        <f>COUNTIFS(Table69[Country],Tabela1[[#This Row],[Country]],Table69[Keirin Classification],"&gt;0")</f>
        <v>0</v>
      </c>
      <c r="DV169" s="6">
        <f>COUNTIFS(Table41[Country],Tabela1[[#This Row],[Country]],Table41[Keirin Classification],"&gt;0")</f>
        <v>0</v>
      </c>
      <c r="DW169" s="6">
        <f>COUNTIFS(Table84[Country],Tabela1[[#This Row],[Country]],Table84[Men''s Madison Classification],"&gt;0")</f>
        <v>0</v>
      </c>
      <c r="DX169" s="6">
        <f>COUNTIFS(Table84[Country],Tabela1[[#This Row],[Country]],Table84[Women''s Madison Classification],"&gt;0")</f>
        <v>0</v>
      </c>
      <c r="DY169" s="6">
        <f>COUNTIFS(Table69[Country],Tabela1[[#This Row],[Country]],Table69[Omnium Classification],"&gt;0")</f>
        <v>0</v>
      </c>
      <c r="DZ169" s="6">
        <f>COUNTIFS(Table41[Country],Tabela1[[#This Row],[Country]],Table41[Omnium Classification],"&gt;0")</f>
        <v>0</v>
      </c>
      <c r="EA169" s="6">
        <f>COUNTIFS(Table9[Country],Tabela1[[#This Row],[Country]],Table9[Road Race Classification],"&gt;0")</f>
        <v>0</v>
      </c>
      <c r="EB169" s="6">
        <f>COUNTIFS(Table14[Country],Tabela1[[#This Row],[Country]],Table14[Road Race Classification],"&gt;0")</f>
        <v>0</v>
      </c>
      <c r="EC169" s="6">
        <f>COUNTIFS(Table69[Country],Tabela1[[#This Row],[Country]],Table69[Sprint Classification],"&gt;0")</f>
        <v>0</v>
      </c>
      <c r="ED169" s="6">
        <f>COUNTIFS(Table41[Country],Tabela1[[#This Row],[Country]],Table41[Sprint Classification],"&gt;0")</f>
        <v>0</v>
      </c>
      <c r="EE169" s="6">
        <f>COUNTIFS(Table85[Country],Tabela1[[#This Row],[Country]],Table85[Men''s Sprint Classification],"&gt;0")</f>
        <v>0</v>
      </c>
      <c r="EF169" s="6">
        <f>COUNTIFS(Table85[Country],Tabela1[[#This Row],[Country]],Table85[Women''s Sprint Classification],"&gt;0")</f>
        <v>0</v>
      </c>
      <c r="EG169" s="6">
        <f>COUNTIFS(Table85[Country],Tabela1[[#This Row],[Country]],Table85[Men''s Pursuit Classification],"&gt;0")</f>
        <v>0</v>
      </c>
      <c r="EH169" s="6">
        <f>COUNTIFS(Table85[Country],Tabela1[[#This Row],[Country]],Table85[Women''s Pursuit Classification],"&gt;0")</f>
        <v>0</v>
      </c>
      <c r="EI169" s="6">
        <f>COUNTIFS(Table9[Country],Tabela1[[#This Row],[Country]],Table9[Time-Trial Classification],"&gt;0")</f>
        <v>0</v>
      </c>
      <c r="EJ169" s="6">
        <f>COUNTIFS(Table14[Country],Tabela1[[#This Row],[Country]],Table14[Time-Trial Classification],"&gt;0")</f>
        <v>0</v>
      </c>
      <c r="EK169" s="6">
        <f>COUNTIFS(Table42[Country],Tabela1[[#This Row],[Country]],Table42[Springboard Classification],"&gt;0")</f>
        <v>0</v>
      </c>
      <c r="EL169" s="6">
        <f>COUNTIFS(Table43[Country],Tabela1[[#This Row],[Country]],Table43[Springboard Classification],"&gt;0")</f>
        <v>0</v>
      </c>
      <c r="EM169" s="6">
        <f>COUNTIFS(Table42[Country],Tabela1[[#This Row],[Country]],Table42[Platform Classification],"&gt;0")</f>
        <v>0</v>
      </c>
      <c r="EN169" s="6">
        <f>COUNTIFS(Table43[Country],Tabela1[[#This Row],[Country]],Table43[Platform Classification],"&gt;0")</f>
        <v>0</v>
      </c>
      <c r="EO169" s="6">
        <f>COUNTIFS(Table86[Country],Tabela1[[#This Row],[Country]],Table86[Men''s Synchronized Springboard Classification],"&gt;0")</f>
        <v>0</v>
      </c>
      <c r="EP169" s="6">
        <f>COUNTIFS(Table86[Country],Tabela1[[#This Row],[Country]],Table86[Women''s Synchronized Springboard Classification],"&gt;0")</f>
        <v>0</v>
      </c>
      <c r="EQ169" s="6">
        <f>COUNTIFS(Table86[Country],Tabela1[[#This Row],[Country]],Table86[Men''s Synchronized Platform Classification],"&gt;0")</f>
        <v>0</v>
      </c>
      <c r="ER169" s="6">
        <f>COUNTIFS(Table86[Country],Tabela1[[#This Row],[Country]],Table86[Women''s Synchronized Platform Classification],"&gt;0")</f>
        <v>0</v>
      </c>
      <c r="ES169" s="6">
        <f>COUNTIFS(Table44[Country],Tabela1[[#This Row],[Country]],Table44[Dressage Classification],"&gt;0")</f>
        <v>0</v>
      </c>
      <c r="ET169" s="6">
        <f>COUNTIFS(Table45[Country],Tabela1[[#This Row],[Country]],Table45[Dressage Classification],"&gt;0")</f>
        <v>0</v>
      </c>
      <c r="EU169" s="6">
        <f>COUNTIFS(Table44[Country],Tabela1[[#This Row],[Country]],Table44[Eventing Classification],"&gt;0")</f>
        <v>0</v>
      </c>
      <c r="EV169" s="6">
        <f>COUNTIFS(Table45[Country],Tabela1[[#This Row],[Country]],Table45[Eventing Classification],"&gt;0")</f>
        <v>0</v>
      </c>
      <c r="EW169" s="6">
        <f>COUNTIFS(Table44[Country],Tabela1[[#This Row],[Country]],Table44[Jumping Classification],"&gt;0")</f>
        <v>0</v>
      </c>
      <c r="EX169" s="6">
        <f>COUNTIFS(Table45[Country],Tabela1[[#This Row],[Country]],Table45[Jumping Classification],"&gt;0")</f>
        <v>0</v>
      </c>
      <c r="EY169" s="6">
        <f>COUNTIFS(Table10[Country],Tabela1[[#This Row],[Country]],Table10[Épée Classification],"&gt;0")</f>
        <v>0</v>
      </c>
      <c r="EZ169" s="6">
        <f>COUNTIFS(Table11[Country],Tabela1[[#This Row],[Country]],Table11[Épée Classification],"&gt;0")</f>
        <v>0</v>
      </c>
      <c r="FA169" s="6">
        <f>COUNTIFS(Table46[Country],Tabela1[[#This Row],[Country]],Table46[Men''s Épée Classification],"&gt;0")</f>
        <v>0</v>
      </c>
      <c r="FB169" s="6">
        <f>COUNTIFS(Table46[Country],Tabela1[[#This Row],[Country]],Table46[Women''s Épée Classification],"&gt;0")</f>
        <v>0</v>
      </c>
      <c r="FC169" s="6">
        <f>COUNTIFS(Table10[Country],Tabela1[[#This Row],[Country]],Table10[Foil Classification],"&gt;0")</f>
        <v>0</v>
      </c>
      <c r="FD169" s="6">
        <f>COUNTIFS(Table11[Country],Tabela1[[#This Row],[Country]],Table11[Foil Classification],"&gt;0")</f>
        <v>0</v>
      </c>
      <c r="FE169" s="6">
        <f>COUNTIFS(Table46[Country],Tabela1[[#This Row],[Country]],Table46[Men''s Foil Classification],"&gt;0")</f>
        <v>0</v>
      </c>
      <c r="FF169" s="6">
        <f>COUNTIFS(Table46[Country],Tabela1[[#This Row],[Country]],Table46[Women''s Foil Classification],"&gt;0")</f>
        <v>0</v>
      </c>
      <c r="FG169" s="6">
        <f>COUNTIFS(Table10[Country],Tabela1[[#This Row],[Country]],Table10[Sabre Classification],"&gt;0")</f>
        <v>0</v>
      </c>
      <c r="FH169" s="6">
        <f>COUNTIFS(Table11[Country],Tabela1[[#This Row],[Country]],Table11[Sabre Classification],"&gt;0")</f>
        <v>0</v>
      </c>
      <c r="FI169" s="6">
        <f>COUNTIFS(Table46[Country],Tabela1[[#This Row],[Country]],Table46[Men''s Sabre Classification],"&gt;0")</f>
        <v>0</v>
      </c>
      <c r="FJ169" s="6">
        <f>COUNTIFS(Table46[Country],Tabela1[[#This Row],[Country]],Table46[Women''s Sabre Classification],"&gt;0")</f>
        <v>0</v>
      </c>
      <c r="FK169" s="6">
        <f>COUNTIFS(Table91[Country],Tabela1[[#This Row],[Country]],Table91[Men''s Classification],"&gt;0")</f>
        <v>0</v>
      </c>
      <c r="FL169" s="6">
        <f>COUNTIFS(Table91[Country],Tabela1[[#This Row],[Country]],Table91[Women''s Classification],"&gt;0")</f>
        <v>0</v>
      </c>
      <c r="FM169" s="6">
        <f>COUNTIFS(Table9194[Country],Tabela1[[#This Row],[Country]],Table9194[Men''s Classification],"&gt;0")</f>
        <v>0</v>
      </c>
      <c r="FN169" s="6">
        <f>COUNTIFS(Table9194[Country],Tabela1[[#This Row],[Country]],Table9194[Women''s Classification],"&gt;0")</f>
        <v>0</v>
      </c>
      <c r="FO169" s="6">
        <f>COUNTIFS(Table71[Country],Tabela1[[#This Row],[Country]],Table71[Classification],"&gt;0")</f>
        <v>0</v>
      </c>
      <c r="FP169" s="6">
        <f>COUNTIFS(Table62[Country],Tabela1[[#This Row],[Country]],Table62[Classification],"&gt;0")</f>
        <v>0</v>
      </c>
      <c r="FQ169" s="6">
        <f>COUNTIFS(Table47[Country],Tabela1[[#This Row],[Country]],Table47[All-Around Classification],"&gt;0")</f>
        <v>0</v>
      </c>
      <c r="FR169" s="6">
        <f>COUNTIFS(Table48[Country],Tabela1[[#This Row],[Country]],Table48[All-Around Classification],"&gt;0")</f>
        <v>0</v>
      </c>
      <c r="FS169" s="6">
        <f>COUNTIFS(Table81[Country],Tabela1[[#This Row],[Country]],Table81[Men''s All-Around Classification],"&gt;0")</f>
        <v>0</v>
      </c>
      <c r="FT169" s="6">
        <f>COUNTIFS(Table81[Country],Tabela1[[#This Row],[Country]],Table81[Women''s All-Around Classification],"&gt;0")</f>
        <v>0</v>
      </c>
      <c r="FU169" s="6">
        <f>COUNTIFS(Table48[Country],Tabela1[[#This Row],[Country]],Table48[Balance Beam Classification],"&gt;0")</f>
        <v>0</v>
      </c>
      <c r="FV169" s="6">
        <f>COUNTIFS(Table47[Country],Tabela1[[#This Row],[Country]],Table47[Floor Exercise Classification],"&gt;0")</f>
        <v>0</v>
      </c>
      <c r="FW169" s="6">
        <f>COUNTIFS(Table48[Country],Tabela1[[#This Row],[Country]],Table48[Floor Exercise Classification],"&gt;0")</f>
        <v>0</v>
      </c>
      <c r="FX169" s="6">
        <f>COUNTIFS(Table47[Country],Tabela1[[#This Row],[Country]],Table47[Horizontal Bar Classification],"&gt;0")</f>
        <v>0</v>
      </c>
      <c r="FY169" s="6">
        <f>COUNTIFS(Table47[Country],Tabela1[[#This Row],[Country]],Table47[Parallel Bars Classification],"&gt;0")</f>
        <v>0</v>
      </c>
      <c r="FZ169" s="6">
        <f>COUNTIFS(Table47[Country],Tabela1[[#This Row],[Country]],Table47[Pommel Horse Classification],"&gt;0")</f>
        <v>0</v>
      </c>
      <c r="GA169" s="6">
        <f>COUNTIFS(Table47[Country],Tabela1[[#This Row],[Country]],Table47[Rings Classification],"&gt;0")</f>
        <v>0</v>
      </c>
      <c r="GB169" s="6">
        <f>COUNTIFS(Tabela132[Country],Tabela1[[#This Row],[Country]],Tabela132[Classification],"&gt;0")</f>
        <v>0</v>
      </c>
      <c r="GC169" s="6">
        <f>COUNTIFS(Tabela139[Country],Tabela1[[#This Row],[Country]],Tabela139[Classification],"&gt;0")</f>
        <v>0</v>
      </c>
      <c r="GD169" s="6">
        <f>COUNTIFS(Table48[Country],Tabela1[[#This Row],[Country]],Table48[Uneven Bars Classification],"&gt;0")</f>
        <v>0</v>
      </c>
      <c r="GE169" s="6">
        <f>COUNTIFS(Table47[Country],Tabela1[[#This Row],[Country]],Table47[Vault Classification],"&gt;0")</f>
        <v>0</v>
      </c>
      <c r="GF169" s="6">
        <f>COUNTIFS(Table48[Country],Tabela1[[#This Row],[Country]],Table48[Vault Classification],"&gt;0")</f>
        <v>0</v>
      </c>
      <c r="GG169" s="6">
        <f>COUNTIFS(Table919496[Country],Tabela1[[#This Row],[Country]],Table919496[Men''s Classification],"&gt;0")</f>
        <v>0</v>
      </c>
      <c r="GH169" s="6">
        <f>COUNTIFS(Table919496[Country],Tabela1[[#This Row],[Country]],Table919496[Women''s Classification],"&gt;0")</f>
        <v>0</v>
      </c>
      <c r="GI169" s="6">
        <f>COUNTIFS(Table12[Country],Tabela1[[#This Row],[Country]],Table12[60kg Classification],"&gt;0")</f>
        <v>0</v>
      </c>
      <c r="GJ169" s="6">
        <f>COUNTIFS(Table12[Country],Tabela1[[#This Row],[Country]],Table12[66kg Classification],"&gt;0")</f>
        <v>0</v>
      </c>
      <c r="GK169" s="6">
        <f>COUNTIFS(Table12[Country],Tabela1[[#This Row],[Country]],Table12[73kg Classification],"&gt;0")</f>
        <v>0</v>
      </c>
      <c r="GL169" s="6">
        <f>COUNTIFS(Table12[Country],Tabela1[[#This Row],[Country]],Table12[81kg Classification],"&gt;0")</f>
        <v>0</v>
      </c>
      <c r="GM169" s="6">
        <f>COUNTIFS(Table12[Country],Tabela1[[#This Row],[Country]],Table12[90kg Classification],"&gt;0")</f>
        <v>0</v>
      </c>
      <c r="GN169" s="6">
        <f>COUNTIFS(Table12[Country],Tabela1[[#This Row],[Country]],Table12[100kg Classification],"&gt;0")</f>
        <v>0</v>
      </c>
      <c r="GO169" s="6">
        <f>COUNTIFS(Table12[Country],Tabela1[[#This Row],[Country]],Table12[Plus 100kg Classification],"&gt;0")</f>
        <v>0</v>
      </c>
      <c r="GP169" s="6">
        <f>COUNTIFS(Table13[Country],Tabela1[[#This Row],[Country]],Table13[48kg Classification],"&gt;0")</f>
        <v>0</v>
      </c>
      <c r="GQ169" s="6">
        <f>COUNTIFS(Table13[Country],Tabela1[[#This Row],[Country]],Table13[52kg Classification],"&gt;0")</f>
        <v>0</v>
      </c>
      <c r="GR169" s="6">
        <f>COUNTIFS(Table13[Country],Tabela1[[#This Row],[Country]],Table13[57kg Classification],"&gt;0")</f>
        <v>0</v>
      </c>
      <c r="GS169" s="6">
        <f>COUNTIFS(Table13[Country],Tabela1[[#This Row],[Country]],Table13[63kg Classification],"&gt;0")</f>
        <v>0</v>
      </c>
      <c r="GT169" s="6">
        <f>COUNTIFS(Table13[Country],Tabela1[[#This Row],[Country]],Table13[70kg Classification],"&gt;0")</f>
        <v>0</v>
      </c>
      <c r="GU169" s="6">
        <f>COUNTIFS(Table13[Country],Tabela1[[#This Row],[Country]],Table13[78kg Classification],"&gt;0")</f>
        <v>0</v>
      </c>
      <c r="GV169" s="6">
        <f>COUNTIFS(Table13[Country],Tabela1[[#This Row],[Country]],Table13[Plus 78kg Classification],"&gt;0")</f>
        <v>0</v>
      </c>
      <c r="GW169" s="6">
        <f>COUNTIFS(Table82[Country],Tabela1[[#This Row],[Country]],Table82[Mixed Classification],"&gt;0")</f>
        <v>0</v>
      </c>
      <c r="GX169" s="6">
        <f>COUNTIFS(Table51[Country],Tabela1[[#This Row],[Country]],Table51[Classification],"&gt;0")</f>
        <v>0</v>
      </c>
      <c r="GY169" s="6">
        <f>COUNTIFS(Table52[Country],Tabela1[[#This Row],[Country]],Table52[Classification],"&gt;0")</f>
        <v>0</v>
      </c>
      <c r="GZ169" s="6">
        <f>COUNTIFS(Table32[Country],Tabela1[[#This Row],[Country]],Table32[All-Around Classification],"&gt;0")</f>
        <v>0</v>
      </c>
      <c r="HA169" s="6">
        <f>COUNTIFS(Table49[Country],Tabela1[[#This Row],[Country]],Table49[All-Around Classification],"&gt;0")</f>
        <v>0</v>
      </c>
      <c r="HB169" s="6">
        <f>COUNTIFS(Table26[Country],Tabela1[[#This Row],[Country]],Table26[Single Sculls Classification],"&gt;0")</f>
        <v>0</v>
      </c>
      <c r="HC169" s="6">
        <f>COUNTIFS(Table63[Country],Tabela1[[#This Row],[Country]],Table63[Single Sculls Classification],"&gt;0")</f>
        <v>0</v>
      </c>
      <c r="HD169" s="6">
        <f>COUNTIFS(Table16[Country],Tabela1[[#This Row],[Country]],Table16[Men''s Double Sculls Classification],"&gt;0")</f>
        <v>0</v>
      </c>
      <c r="HE169" s="6">
        <f>COUNTIFS(Table16[Country],Tabela1[[#This Row],[Country]],Table16[Women''s Double Sculls Classification],"&gt;0")</f>
        <v>0</v>
      </c>
      <c r="HF169" s="6">
        <f>COUNTIFS(Table72[Country],Tabela1[[#This Row],[Country]],Table72[Men''s Quadruple Sculls Classification],"&gt;0")</f>
        <v>0</v>
      </c>
      <c r="HG169" s="6">
        <f>COUNTIFS(Table72[Country],Tabela1[[#This Row],[Country]],Table72[Women''s Quadruple Sculls Classification],"&gt;0")</f>
        <v>0</v>
      </c>
      <c r="HH169" s="6">
        <f>COUNTIFS(Table16[Country],Tabela1[[#This Row],[Country]],Table16[Men''s Coxless Pairs Classification],"&gt;0")</f>
        <v>0</v>
      </c>
      <c r="HI169" s="6">
        <f>COUNTIFS(Table16[Country],Tabela1[[#This Row],[Country]],Table16[Women''s Coxless Pairs Classification],"&gt;0")</f>
        <v>0</v>
      </c>
      <c r="HJ169" s="6">
        <f>COUNTIFS(Table72[Country],Tabela1[[#This Row],[Country]],Table72[Men''s Coxless Fours Classification],"&gt;0")</f>
        <v>0</v>
      </c>
      <c r="HK169" s="6">
        <f>COUNTIFS(Table72[Country],Tabela1[[#This Row],[Country]],Table72[Women''s Coxless Fours Classification],"&gt;0")</f>
        <v>0</v>
      </c>
      <c r="HL169" s="6">
        <f>COUNTIFS(Table72[Country],Tabela1[[#This Row],[Country]],Table72[Men''s Eights Classification],"&gt;0")</f>
        <v>0</v>
      </c>
      <c r="HM169" s="6">
        <f>COUNTIFS(Table72[Country],Tabela1[[#This Row],[Country]],Table72[Women''s Eights Classification],"&gt;0")</f>
        <v>0</v>
      </c>
      <c r="HN169" s="6">
        <f>COUNTIFS(Table16[Country],Tabela1[[#This Row],[Country]],Table16[Men''s Lwt. Double Sculls Classification],"&gt;0")</f>
        <v>0</v>
      </c>
      <c r="HO169" s="6">
        <f>COUNTIFS(Table16[Country],Tabela1[[#This Row],[Country]],Table16[Women''s Lwt. Double Sculls Classification],"&gt;0")</f>
        <v>0</v>
      </c>
      <c r="HP169" s="6">
        <f>COUNTIFS(Table91949698[Country],Tabela1[[#This Row],[Country]],Table91949698[Men''s Classification],"&gt;0")</f>
        <v>0</v>
      </c>
      <c r="HQ169" s="6">
        <f>COUNTIFS(Table91949698[Country],Tabela1[[#This Row],[Country]],Table91949698[Women''s Classification],"&gt;0")</f>
        <v>0</v>
      </c>
      <c r="HR169" s="6">
        <f>COUNTIFS(Table25[Country],Tabela1[[#This Row],[Country]],Table25[Mixed 470 Classification],"&gt;0")</f>
        <v>0</v>
      </c>
      <c r="HS169" s="6">
        <f>COUNTIFS(Table25[Country],Tabela1[[#This Row],[Country]],Table25[Men''s 49er Classification],"&gt;0")</f>
        <v>0</v>
      </c>
      <c r="HT169" s="6">
        <f>COUNTIFS(Table25[Country],Tabela1[[#This Row],[Country]],Table25[Women''s 49er FX Classification],"&gt;0")</f>
        <v>0</v>
      </c>
      <c r="HU169" s="6">
        <f>COUNTIFS(Table17[Country],Tabela1[[#This Row],[Country]],Table17[Formula Kite Classification],"&gt;0")</f>
        <v>0</v>
      </c>
      <c r="HV169" s="6">
        <f>COUNTIFS(Table18[Country],Tabela1[[#This Row],[Country]],Table18[Formula Kite Classification],"&gt;0")</f>
        <v>0</v>
      </c>
      <c r="HW169" s="6">
        <f>COUNTIFS(Table17[Country],Tabela1[[#This Row],[Country]],Table17[ILCA 7 Classification],"&gt;0")</f>
        <v>0</v>
      </c>
      <c r="HX169" s="6">
        <f>COUNTIFS(Table18[Country],Tabela1[[#This Row],[Country]],Table18[ILCA 6 Classification],"&gt;0")</f>
        <v>0</v>
      </c>
      <c r="HY169" s="6">
        <f>COUNTIFS(Table17[Country],Tabela1[[#This Row],[Country]],Table17[IQFoil Classification],"&gt;0")</f>
        <v>0</v>
      </c>
      <c r="HZ169" s="6">
        <f>COUNTIFS(Table18[Country],Tabela1[[#This Row],[Country]],Table18[IQFoil Classification],"&gt;0")</f>
        <v>0</v>
      </c>
      <c r="IA169" s="6">
        <f>COUNTIFS(Table25[Country],Tabela1[[#This Row],[Country]],Table25[Mixed Nacra 17 Classification],"&gt;0")</f>
        <v>0</v>
      </c>
      <c r="IB169" s="6">
        <f>COUNTIFS(Table53[Country],Tabela1[[#This Row],[Country]],Table53[10m Air Pistol Classification],"&gt;0")</f>
        <v>0</v>
      </c>
      <c r="IC169" s="6">
        <f>COUNTIFS(Table19[Country],Tabela1[[#This Row],[Country]],Table19[10m Air Pistol Classification],"&gt;0")</f>
        <v>0</v>
      </c>
      <c r="ID169" s="6">
        <f>COUNTIFS(Table54[Country],Tabela1[[#This Row],[Country]],Table54[Mixed 10m Air Pistol Team Classification],"&gt;0")</f>
        <v>0</v>
      </c>
      <c r="IE169" s="6">
        <f>COUNTIFS(Table53[Country],Tabela1[[#This Row],[Country]],Table53[10m Air Rifle Classification],"&gt;0")</f>
        <v>0</v>
      </c>
      <c r="IF169" s="6">
        <f>COUNTIFS(Table19[Country],Tabela1[[#This Row],[Country]],Table19[10m Air Rifle Classification],"&gt;0")</f>
        <v>0</v>
      </c>
      <c r="IG169" s="6">
        <f>COUNTIFS(Table54[Country],Tabela1[[#This Row],[Country]],Table54[Mixed 10m Air Rifle Team Classification],"&gt;0")</f>
        <v>0</v>
      </c>
      <c r="IH169" s="6">
        <f>COUNTIFS(Table53[Country],Tabela1[[#This Row],[Country]],Table53[25m Rapid Fire Pistol Classification],"&gt;0")</f>
        <v>0</v>
      </c>
      <c r="II169" s="6">
        <f>COUNTIFS(Table19[Country],Tabela1[[#This Row],[Country]],Table19[25m Pistol Classification],"&gt;0")</f>
        <v>0</v>
      </c>
      <c r="IJ169" s="6">
        <f>COUNTIFS(Table53[Country],Tabela1[[#This Row],[Country]],Table53[50m Rifle 3 Positions Classification],"&gt;0")</f>
        <v>0</v>
      </c>
      <c r="IK169" s="6">
        <f>COUNTIFS(Table19[Country],Tabela1[[#This Row],[Country]],Table19[50m Rifle 3 Positions Classification],"&gt;0")</f>
        <v>0</v>
      </c>
      <c r="IL169" s="6">
        <f>COUNTIFS(Table53[Country],Tabela1[[#This Row],[Country]],Table53[Skeet Classification],"&gt;0")</f>
        <v>0</v>
      </c>
      <c r="IM169" s="6">
        <f>COUNTIFS(Table19[Country],Tabela1[[#This Row],[Country]],Table19[Skeet Classification],"&gt;0")</f>
        <v>0</v>
      </c>
      <c r="IN169" s="6">
        <f>COUNTIFS(Table54[Country],Tabela1[[#This Row],[Country]],Table54[Mixed Skeet Team Classification],"&gt;0")</f>
        <v>0</v>
      </c>
      <c r="IO169" s="6">
        <f>COUNTIFS(Table53[Country],Tabela1[[#This Row],[Country]],Table53[Trap Classification],"&gt;0")</f>
        <v>0</v>
      </c>
      <c r="IP169" s="6">
        <f>COUNTIFS(Table19[Country],Tabela1[[#This Row],[Country]],Table19[Trap Classification],"&gt;0")</f>
        <v>0</v>
      </c>
      <c r="IQ169" s="6">
        <f>COUNTIFS(Table73[Country],Tabela1[[#This Row],[Country]],Table73[Park Classification],"&gt;0")</f>
        <v>0</v>
      </c>
      <c r="IR169" s="6">
        <f>COUNTIFS(Table74[Country],Tabela1[[#This Row],[Country]],Table74[Park Classification],"&gt;0")</f>
        <v>0</v>
      </c>
      <c r="IS169" s="6">
        <f>COUNTIFS(Table73[Country],Tabela1[[#This Row],[Country]],Table73[Street Classification],"&gt;0")</f>
        <v>0</v>
      </c>
      <c r="IT169" s="6">
        <f>COUNTIFS(Table74[Country],Tabela1[[#This Row],[Country]],Table74[Street Classification],"&gt;0")</f>
        <v>0</v>
      </c>
      <c r="IU169" s="6">
        <f>COUNTIFS(Table75[Country],Tabela1[[#This Row],[Country]],Table75[Boulder and Lead Classification],"&gt;0")</f>
        <v>0</v>
      </c>
      <c r="IV169" s="6">
        <f>COUNTIFS(Table76[Country],Tabela1[[#This Row],[Country]],Table76[Boulder and Lead Classification],"&gt;0")</f>
        <v>0</v>
      </c>
      <c r="IW169" s="6">
        <f>COUNTIFS(Table75[Country],Tabela1[[#This Row],[Country]],Table75[Speed Classification],"&gt;0")</f>
        <v>0</v>
      </c>
      <c r="IX169" s="6">
        <f>COUNTIFS(Table76[Country],Tabela1[[#This Row],[Country]],Table76[Speed Classification],"&gt;0")</f>
        <v>0</v>
      </c>
      <c r="IY169" s="6">
        <f>COUNTIFS(Table64[Country],Tabela1[[#This Row],[Country]],Table64[Shortboard Classification],"&gt;0")</f>
        <v>0</v>
      </c>
      <c r="IZ169" s="6">
        <f>COUNTIFS(Table77[Country],Tabela1[[#This Row],[Country]],Table77[Shortboard Classification],"&gt;0")</f>
        <v>0</v>
      </c>
      <c r="JA169" s="6">
        <f>COUNTIFS(Table20[Country],Tabela1[[#This Row],[Country]],Table20[50m Freestyle Classification],"&gt;0")</f>
        <v>0</v>
      </c>
      <c r="JB169" s="6">
        <f>COUNTIFS(Table21[Country],Tabela1[[#This Row],[Country]],Table21[50m Freestyle Classification],"&gt;0")</f>
        <v>0</v>
      </c>
      <c r="JC169" s="6">
        <f>COUNTIFS(Table20[Country],Tabela1[[#This Row],[Country]],Table20[100m Freestyle Classification],"&gt;0")</f>
        <v>0</v>
      </c>
      <c r="JD169" s="6">
        <f>COUNTIFS(Table21[Country],Tabela1[[#This Row],[Country]],Table21[100m Freestyle Classification],"&gt;0")</f>
        <v>0</v>
      </c>
      <c r="JE169" s="6">
        <f>COUNTIFS(Table20[Country],Tabela1[[#This Row],[Country]],Table20[200m Freestyle Classification],"&gt;0")</f>
        <v>0</v>
      </c>
      <c r="JF169" s="6">
        <f>COUNTIFS(Table21[Country],Tabela1[[#This Row],[Country]],Table21[200m Freestyle Classification],"&gt;0")</f>
        <v>0</v>
      </c>
      <c r="JG169" s="6">
        <f>COUNTIFS(Table20[Country],Tabela1[[#This Row],[Country]],Table20[400m Freestyle Classification],"&gt;0")</f>
        <v>0</v>
      </c>
      <c r="JH169" s="6">
        <f>COUNTIFS(Table21[Country],Tabela1[[#This Row],[Country]],Table21[400m Freestyle Classification],"&gt;0")</f>
        <v>0</v>
      </c>
      <c r="JI169" s="6">
        <f>COUNTIFS(Table20[Country],Tabela1[[#This Row],[Country]],Table20[800m Freestyle Classification],"&gt;0")</f>
        <v>0</v>
      </c>
      <c r="JJ169" s="6">
        <f>COUNTIFS(Table21[Country],Tabela1[[#This Row],[Country]],Table21[800m Freestyle Classification],"&gt;0")</f>
        <v>0</v>
      </c>
      <c r="JK169" s="6">
        <f>COUNTIFS(Table20[Country],Tabela1[[#This Row],[Country]],Table20[1500m Freestyle Classification],"&gt;0")</f>
        <v>0</v>
      </c>
      <c r="JL169" s="6">
        <f>COUNTIFS(Table21[Country],Tabela1[[#This Row],[Country]],Table21[1500m Freestyle Classification],"&gt;0")</f>
        <v>0</v>
      </c>
      <c r="JM169" s="6">
        <f>COUNTIFS(Table20[Country],Tabela1[[#This Row],[Country]],Table20[100m Backstroke Classification],"&gt;0")</f>
        <v>0</v>
      </c>
      <c r="JN169" s="6">
        <f>COUNTIFS(Table21[Country],Tabela1[[#This Row],[Country]],Table21[100m Backstroke Classification],"&gt;0")</f>
        <v>0</v>
      </c>
      <c r="JO169" s="6">
        <f>COUNTIFS(Table20[Country],Tabela1[[#This Row],[Country]],Table20[200m Backstroke Classification],"&gt;0")</f>
        <v>0</v>
      </c>
      <c r="JP169" s="6">
        <f>COUNTIFS(Table21[Country],Tabela1[[#This Row],[Country]],Table21[200m Backstroke Classification],"&gt;0")</f>
        <v>0</v>
      </c>
      <c r="JQ169" s="6">
        <f>COUNTIFS(Table20[Country],Tabela1[[#This Row],[Country]],Table20[100m Breaststroke Classification],"&gt;0")</f>
        <v>0</v>
      </c>
      <c r="JR169" s="6">
        <f>COUNTIFS(Table21[Country],Tabela1[[#This Row],[Country]],Table21[100m Breaststroke Classification],"&gt;0")</f>
        <v>0</v>
      </c>
      <c r="JS169" s="6">
        <f>COUNTIFS(Table20[Country],Tabela1[[#This Row],[Country]],Table20[200m Breaststroke Classification],"&gt;0")</f>
        <v>0</v>
      </c>
      <c r="JT169" s="6">
        <f>COUNTIFS(Table21[Country],Tabela1[[#This Row],[Country]],Table21[200m Breaststroke Classification],"&gt;0")</f>
        <v>0</v>
      </c>
      <c r="JU169" s="6">
        <f>COUNTIFS(Table20[Country],Tabela1[[#This Row],[Country]],Table20[100m Butterfly Classification],"&gt;0")</f>
        <v>0</v>
      </c>
      <c r="JV169" s="6">
        <f>COUNTIFS(Table21[Country],Tabela1[[#This Row],[Country]],Table21[100m Butterfly Classification],"&gt;0")</f>
        <v>0</v>
      </c>
      <c r="JW169" s="6">
        <f>COUNTIFS(Table20[Country],Tabela1[[#This Row],[Country]],Table20[200m Butterfly Classification],"&gt;0")</f>
        <v>0</v>
      </c>
      <c r="JX169" s="6">
        <f>COUNTIFS(Table21[Country],Tabela1[[#This Row],[Country]],Table21[200m Butterfly Classification],"&gt;0")</f>
        <v>0</v>
      </c>
      <c r="JY169" s="6">
        <f>COUNTIFS(Table20[Country],Tabela1[[#This Row],[Country]],Table20[200m Medley Classification],"&gt;0")</f>
        <v>0</v>
      </c>
      <c r="JZ169" s="6">
        <f>COUNTIFS(Table21[Country],Tabela1[[#This Row],[Country]],Table21[200m Medley Classification],"&gt;0")</f>
        <v>0</v>
      </c>
      <c r="KA169" s="6">
        <f>COUNTIFS(Table20[Country],Tabela1[[#This Row],[Country]],Table20[400m Medley Classification],"&gt;0")</f>
        <v>0</v>
      </c>
      <c r="KB169" s="6">
        <f>COUNTIFS(Table21[Country],Tabela1[[#This Row],[Country]],Table21[400m Medley Classification],"&gt;0")</f>
        <v>0</v>
      </c>
      <c r="KC169" s="6">
        <f>COUNTIFS(Table78[Country],Tabela1[[#This Row],[Country]],Table78[Men''s 4x100m Freestyle Relay Classification],"&gt;0")</f>
        <v>0</v>
      </c>
      <c r="KD169" s="6">
        <f>COUNTIFS(Table78[Country],Tabela1[[#This Row],[Country]],Table78[Women''s 4x100m Freestyle Relay Classification],"&gt;0")</f>
        <v>0</v>
      </c>
      <c r="KE169" s="6">
        <f>COUNTIFS(Table78[Country],Tabela1[[#This Row],[Country]],Table78[Men''s 4x200m Freestyle Relay Classification],"&gt;0")</f>
        <v>0</v>
      </c>
      <c r="KF169" s="6">
        <f>COUNTIFS(Table78[Country],Tabela1[[#This Row],[Country]],Table78[Women''s 4x200m Freestyle Relay Classification],"&gt;0")</f>
        <v>0</v>
      </c>
      <c r="KG169" s="6">
        <f>COUNTIFS(Table78[Country],Tabela1[[#This Row],[Country]],Table78[Men''s 4x100m Medley Relay Classification],"&gt;0")</f>
        <v>0</v>
      </c>
      <c r="KH169" s="6">
        <f>COUNTIFS(Table78[Country],Tabela1[[#This Row],[Country]],Table78[Women''s 4x100m Medley Relay Classification],"&gt;0")</f>
        <v>0</v>
      </c>
      <c r="KI169" s="6">
        <f>COUNTIFS(Table78[Country],Tabela1[[#This Row],[Country]],Table78[Mixed 4x100m Medley Relay Classification],"&gt;0")</f>
        <v>0</v>
      </c>
      <c r="KJ169" s="6">
        <f>COUNTIFS(Table20[Country],Tabela1[[#This Row],[Country]],Table20[10km Open Water Classification],"&gt;0")</f>
        <v>0</v>
      </c>
      <c r="KK169" s="6">
        <f>COUNTIFS(Table21[Country],Tabela1[[#This Row],[Country]],Table21[10km Open Water Classification],"&gt;0")</f>
        <v>0</v>
      </c>
      <c r="KL169" s="6">
        <f>COUNTIFS(Table22[Country],Tabela1[[#This Row],[Country]],Table22[Classification],"&gt;0")</f>
        <v>0</v>
      </c>
      <c r="KM169" s="6">
        <f>COUNTIFS(Table30[Country],Tabela1[[#This Row],[Country]],Table30[Classification],"&gt;0")</f>
        <v>0</v>
      </c>
      <c r="KN169" s="6">
        <f>COUNTIFS(Table55[Country],Tabela1[[#This Row],[Country]],Table55[Men''s Classification],"&gt;0")</f>
        <v>0</v>
      </c>
      <c r="KO169" s="6">
        <f>COUNTIFS(Table55[Country],Tabela1[[#This Row],[Country]],Table55[Women''s Classification],"&gt;0")</f>
        <v>0</v>
      </c>
      <c r="KP169" s="6">
        <f>COUNTIFS(Table56[Country],Tabela1[[#This Row],[Country]],Table56[Mixed Classification],"&gt;0")</f>
        <v>0</v>
      </c>
      <c r="KQ169" s="6">
        <f>COUNTIFS(Table29[Country],Tabela1[[#This Row],[Country]],Table29[58kg Classification],"&gt;0")</f>
        <v>0</v>
      </c>
      <c r="KR169" s="6">
        <f>COUNTIFS(Table29[Country],Tabela1[[#This Row],[Country]],Table29[68kg Classification],"&gt;0")</f>
        <v>0</v>
      </c>
      <c r="KS169" s="6">
        <f>COUNTIFS(Table29[Country],Tabela1[[#This Row],[Country]],Table29[80kg Classification],"&gt;0")</f>
        <v>0</v>
      </c>
      <c r="KT169" s="6">
        <f>COUNTIFS(Table29[Country],Tabela1[[#This Row],[Country]],Table29[Plus 80kg Classification],"&gt;0")</f>
        <v>0</v>
      </c>
      <c r="KU169" s="6">
        <f>COUNTIFS(Table34[Country],Tabela1[[#This Row],[Country]],Table34[49kg Classification],"&gt;0")</f>
        <v>0</v>
      </c>
      <c r="KV169" s="6">
        <f>COUNTIFS(Table34[Country],Tabela1[[#This Row],[Country]],Table34[57kg Classification],"&gt;0")</f>
        <v>0</v>
      </c>
      <c r="KW169" s="6">
        <f>COUNTIFS(Table34[Country],Tabela1[[#This Row],[Country]],Table34[67kg Classification],"&gt;0")</f>
        <v>0</v>
      </c>
      <c r="KX169" s="6">
        <f>COUNTIFS(Table34[Country],Tabela1[[#This Row],[Country]],Table34[Plus 67kg Classification],"&gt;0")</f>
        <v>0</v>
      </c>
      <c r="KY169" s="6">
        <f>COUNTIFS(Table57[Country],Tabela1[[#This Row],[Country]],Table57[Classification],"&gt;0")</f>
        <v>0</v>
      </c>
      <c r="KZ169" s="6">
        <f>COUNTIFS(Table58[Country],Tabela1[[#This Row],[Country]],Table58[Classification],"&gt;0")</f>
        <v>0</v>
      </c>
      <c r="LA169" s="6">
        <f>COUNTIFS(Table79[Country],Tabela1[[#This Row],[Country]],Table79[Men''s Classification],"&gt;0")</f>
        <v>0</v>
      </c>
      <c r="LB169" s="6">
        <f>COUNTIFS(Table79[Country],Tabela1[[#This Row],[Country]],Table79[Women''s Classification],"&gt;0")</f>
        <v>0</v>
      </c>
      <c r="LC169" s="6">
        <f>COUNTIFS(Table79[Country],Tabela1[[#This Row],[Country]],Table79[Mixed Classification],"&gt;0")</f>
        <v>0</v>
      </c>
      <c r="LD169" s="6">
        <f>COUNTIFS(Table65[Country],Tabela1[[#This Row],[Country]],Table65[Classification],"&gt;0")</f>
        <v>0</v>
      </c>
      <c r="LE169" s="6">
        <f>COUNTIFS(Table59[Country],Tabela1[[#This Row],[Country]],Table59[Classification],"&gt;0")</f>
        <v>0</v>
      </c>
      <c r="LF169" s="6">
        <f>COUNTIFS(Table87[Country],Tabela1[[#This Row],[Country]],Table87[Mixed Relay Classification],"&gt;0")</f>
        <v>0</v>
      </c>
      <c r="LG169" s="6">
        <f>COUNTIFS(Table91949698100[Country],Tabela1[[#This Row],[Country]],Table91949698100[Men''s Classification],"&gt;0")</f>
        <v>0</v>
      </c>
      <c r="LH169" s="6">
        <f>COUNTIFS(Table91949698100[Country],Tabela1[[#This Row],[Country]],Table91949698100[Women''s Classification],"&gt;0")</f>
        <v>0</v>
      </c>
      <c r="LI169" s="6">
        <f>COUNTIFS(Table91949698100102[Country],Tabela1[[#This Row],[Country]],Table91949698100102[Men''s Classification],"&gt;0")</f>
        <v>0</v>
      </c>
      <c r="LJ169" s="6">
        <f>COUNTIFS(Table91949698100102[Country],Tabela1[[#This Row],[Country]],Table91949698100102[Women''s Classification],"&gt;0")</f>
        <v>0</v>
      </c>
      <c r="LK169" s="6">
        <f>COUNTIFS(Table23[Country],Tabela1[[#This Row],[Country]],Table23[61kg Classification],"&gt;0")</f>
        <v>0</v>
      </c>
      <c r="LL169" s="6">
        <f>COUNTIFS(Table23[Country],Tabela1[[#This Row],[Country]],Table23[73kg Classification],"&gt;0")</f>
        <v>0</v>
      </c>
      <c r="LM169" s="6">
        <f>COUNTIFS(Table23[Country],Tabela1[[#This Row],[Country]],Table23[89kg Classification],"&gt;0")</f>
        <v>0</v>
      </c>
      <c r="LN169" s="6">
        <f>COUNTIFS(Table23[Country],Tabela1[[#This Row],[Country]],Table23[102kg Classification],"&gt;0")</f>
        <v>0</v>
      </c>
      <c r="LO169" s="6">
        <f>COUNTIFS(Table23[Country],Tabela1[[#This Row],[Country]],Table23[Plus 102kg Classification],"&gt;0")</f>
        <v>0</v>
      </c>
      <c r="LP169" s="6">
        <f>COUNTIFS(Table28[Country],Tabela1[[#This Row],[Country]],Table28[49kg Classification],"&gt;0")</f>
        <v>0</v>
      </c>
      <c r="LQ169" s="6">
        <f>COUNTIFS(Table28[Country],Tabela1[[#This Row],[Country]],Table28[59kg Classification],"&gt;0")</f>
        <v>0</v>
      </c>
      <c r="LR169" s="6">
        <f>COUNTIFS(Table28[Country],Tabela1[[#This Row],[Country]],Table28[71kg Classification],"&gt;0")</f>
        <v>0</v>
      </c>
      <c r="LS169" s="6">
        <f>COUNTIFS(Table28[Country],Tabela1[[#This Row],[Country]],Table28[81kg Classification],"&gt;0")</f>
        <v>0</v>
      </c>
      <c r="LT169" s="6">
        <f>COUNTIFS(Table28[Country],Tabela1[[#This Row],[Country]],Table28[Plus 81kg Classification],"&gt;0")</f>
        <v>0</v>
      </c>
      <c r="LU169" s="6">
        <f>COUNTIFS(Table24[Country],Tabela1[[#This Row],[Country]],Table24[Freestyle 57kg Classification],"&gt;0")</f>
        <v>0</v>
      </c>
      <c r="LV169" s="6">
        <f>COUNTIFS(Table24[Country],Tabela1[[#This Row],[Country]],Table24[Freestyle 65kg Classification],"&gt;0")</f>
        <v>0</v>
      </c>
      <c r="LW169" s="6">
        <f>COUNTIFS(Table24[Country],Tabela1[[#This Row],[Country]],Table24[Freestyle 74kg Classification],"&gt;0")</f>
        <v>0</v>
      </c>
      <c r="LX169" s="6">
        <f>COUNTIFS(Table24[Country],Tabela1[[#This Row],[Country]],Table24[Freestyle 86kg Classification],"&gt;0")</f>
        <v>0</v>
      </c>
      <c r="LY169" s="6">
        <f>COUNTIFS(Table24[Country],Tabela1[[#This Row],[Country]],Table24[Freestyle 97kg Classification],"&gt;0")</f>
        <v>0</v>
      </c>
      <c r="LZ169" s="6">
        <f>COUNTIFS(Table24[Country],Tabela1[[#This Row],[Country]],Table24[Freestyle 125kg Classification],"&gt;0")</f>
        <v>0</v>
      </c>
      <c r="MA169" s="6">
        <f>COUNTIFS(Table24[Country],Tabela1[[#This Row],[Country]],Table24[Greco-Roman 60kg Classification],"&gt;0")</f>
        <v>0</v>
      </c>
      <c r="MB169" s="6">
        <f>COUNTIFS(Table24[Country],Tabela1[[#This Row],[Country]],Table24[Greco-Roman 67kg Classification],"&gt;0")</f>
        <v>0</v>
      </c>
      <c r="MC169" s="6">
        <f>COUNTIFS(Table24[Country],Tabela1[[#This Row],[Country]],Table24[Greco-Roman 77kg Classification],"&gt;0")</f>
        <v>0</v>
      </c>
      <c r="MD169" s="6">
        <f>COUNTIFS(Table24[Country],Tabela1[[#This Row],[Country]],Table24[Greco-Roman 87kg Classification],"&gt;0")</f>
        <v>0</v>
      </c>
      <c r="ME169" s="6">
        <f>COUNTIFS(Table24[Country],Tabela1[[#This Row],[Country]],Table24[Greco-Roman 97kg Classification],"&gt;0")</f>
        <v>0</v>
      </c>
      <c r="MF169" s="6">
        <f>COUNTIFS(Table24[Country],Tabela1[[#This Row],[Country]],Table24[Greco-Roman 130kg Classification],"&gt;0")</f>
        <v>0</v>
      </c>
      <c r="MG169" s="6">
        <f>COUNTIFS(Table31[Country],Tabela1[[#This Row],[Country]],Table31[50kg Classification],"&gt;0")</f>
        <v>0</v>
      </c>
      <c r="MH169" s="6">
        <f>COUNTIFS(Table31[Country],Tabela1[[#This Row],[Country]],Table31[53kg Classification],"&gt;0")</f>
        <v>0</v>
      </c>
      <c r="MI169" s="6">
        <f>COUNTIFS(Table31[Country],Tabela1[[#This Row],[Country]],Table31[57kg Classification],"&gt;0")</f>
        <v>0</v>
      </c>
      <c r="MJ169" s="6">
        <f>COUNTIFS(Table31[Country],Tabela1[[#This Row],[Country]],Table31[62kg Classification],"&gt;0")</f>
        <v>0</v>
      </c>
      <c r="MK169" s="6">
        <f>COUNTIFS(Table31[Country],Tabela1[[#This Row],[Country]],Table31[68kg Classification],"&gt;0")</f>
        <v>0</v>
      </c>
      <c r="ML169" s="6">
        <f>COUNTIFS(Table31[Country],Tabela1[[#This Row],[Country]],Table31[76kg Classification],"&gt;0")</f>
        <v>0</v>
      </c>
      <c r="MM169" s="6">
        <f>COUNTIFS(Table102[Country],Tabela1[[#This Row],[Country]],Table102[Downhill Classification],"&gt;0")</f>
        <v>0</v>
      </c>
      <c r="MN169" s="6">
        <f>COUNTIFS(Table102105[Country],Tabela1[[#This Row],[Country]],Table102105[Downhill Classification],"&gt;0")</f>
        <v>0</v>
      </c>
      <c r="MO169" s="6">
        <f>COUNTIFS(Table102[Country],Tabela1[[#This Row],[Country]],Table102[Giant Slalom Classification],"&gt;0")</f>
        <v>0</v>
      </c>
      <c r="MP169" s="6">
        <f>COUNTIFS(Table102105[Country],Tabela1[[#This Row],[Country]],Table102105[Giant Slalom Classification],"&gt;0")</f>
        <v>0</v>
      </c>
      <c r="MQ169" s="6">
        <f>COUNTIFS(Table102[Country],Tabela1[[#This Row],[Country]],Table102[Slalom Classification],"&gt;0")</f>
        <v>0</v>
      </c>
      <c r="MR169" s="6">
        <f>COUNTIFS(Table102105[Country],Tabela1[[#This Row],[Country]],Table102105[Slalom Classification],"&gt;0")</f>
        <v>0</v>
      </c>
      <c r="MS169" s="6">
        <f>COUNTIFS(Table102[Country],Tabela1[[#This Row],[Country]],Table102[Super-G Classification],"&gt;0")</f>
        <v>0</v>
      </c>
      <c r="MT169" s="6">
        <f>COUNTIFS(Table102105[Country],Tabela1[[#This Row],[Country]],Table102105[Super-G Classification],"&gt;0")</f>
        <v>0</v>
      </c>
      <c r="MU169" s="6">
        <f>COUNTIFS(Table105[Country],Tabela1[[#This Row],[Country]],Table105[Men''s Combined Classification],"&gt;0")</f>
        <v>0</v>
      </c>
      <c r="MV169" s="6">
        <f>COUNTIFS(Table105[Country],Tabela1[[#This Row],[Country]],Table105[Women''s Combined Classification],"&gt;0")</f>
        <v>0</v>
      </c>
      <c r="MW169" s="6">
        <f>COUNTIFS(Table106[Country],Tabela1[[#This Row],[Country]],Table106[Individual Classification],"&gt;0")</f>
        <v>0</v>
      </c>
      <c r="MX169" s="6">
        <f>COUNTIFS(Table106109[Country],Tabela1[[#This Row],[Country]],Table106109[Individual Classification],"&gt;0")</f>
        <v>0</v>
      </c>
      <c r="MY169" s="6">
        <f>COUNTIFS(Table106[Country],Tabela1[[#This Row],[Country]],Table106[Mass Start Classification],"&gt;0")</f>
        <v>0</v>
      </c>
      <c r="MZ169" s="6">
        <f>COUNTIFS(Table106109[Country],Tabela1[[#This Row],[Country]],Table106109[Mass Start Classification],"&gt;0")</f>
        <v>0</v>
      </c>
      <c r="NA169" s="6">
        <f>COUNTIFS(Table106[Country],Tabela1[[#This Row],[Country]],Table106[Pursuit Classification],"&gt;0")</f>
        <v>0</v>
      </c>
      <c r="NB169" s="6">
        <f>COUNTIFS(Table106109[Country],Tabela1[[#This Row],[Country]],Table106109[Pursuit Classification],"&gt;0")</f>
        <v>0</v>
      </c>
      <c r="NC169" s="6">
        <f>COUNTIFS(Table106[Country],Tabela1[[#This Row],[Country]],Table106[Sprint Classification],"&gt;0")</f>
        <v>0</v>
      </c>
      <c r="ND169" s="6">
        <f>COUNTIFS(Table106109[Country],Tabela1[[#This Row],[Country]],Table106109[Sprint Classification],"&gt;0")</f>
        <v>0</v>
      </c>
      <c r="NE169" s="6">
        <f>COUNTIFS(Table109[Country],Tabela1[[#This Row],[Country]],Table109[Men''s Relay Classification],"&gt;0")</f>
        <v>0</v>
      </c>
      <c r="NF169" s="6">
        <f>COUNTIFS(Table109[Country],Tabela1[[#This Row],[Country]],Table109[Women''s Relay Classification],"&gt;0")</f>
        <v>0</v>
      </c>
      <c r="NG169" s="6">
        <f>COUNTIFS(Table109[Country],Tabela1[[#This Row],[Country]],Table109[Mixed Relay Classification],"&gt;0")</f>
        <v>0</v>
      </c>
      <c r="NH169" s="6">
        <f>COUNTIFS(Table110[Country],Tabela1[[#This Row],[Country]],Table110[Monobob Classification],"&gt;0")</f>
        <v>0</v>
      </c>
      <c r="NI169" s="6">
        <f>COUNTIFS(Table111[Country],Tabela1[[#This Row],[Country]],Table111[Men''s Classification],"&gt;0")</f>
        <v>0</v>
      </c>
      <c r="NJ169" s="6">
        <f>COUNTIFS(Table111[Country],Tabela1[[#This Row],[Country]],Table111[Women''s Classification],"&gt;0")</f>
        <v>0</v>
      </c>
      <c r="NK169" s="6">
        <f>COUNTIFS(Table112[Country],Tabela1[[#This Row],[Country]],Table112[Men''s Four Classification],"&gt;0")</f>
        <v>0</v>
      </c>
      <c r="NL169" s="6">
        <f>COUNTIFS(Table113[Country],Tabela1[[#This Row],[Country]],Table113[Classical Classification],"&gt;0")</f>
        <v>0</v>
      </c>
      <c r="NM169" s="6">
        <f>COUNTIFS(Table113116[Country],Tabela1[[#This Row],[Country]],Table113116[Classical Classification],"&gt;0")</f>
        <v>0</v>
      </c>
      <c r="NN169" s="6">
        <f>COUNTIFS(Table113[Country],Tabela1[[#This Row],[Country]],Table113[Freestyle Classification],"&gt;0")</f>
        <v>0</v>
      </c>
      <c r="NO169" s="6">
        <f>COUNTIFS(Table113116[Country],Tabela1[[#This Row],[Country]],Table113116[Freestyle Classification],"&gt;0")</f>
        <v>0</v>
      </c>
      <c r="NP169" s="6">
        <f>COUNTIFS(Table117[Country],Tabela1[[#This Row],[Country]],Table117[Men''s Relay Classification],"&gt;0")</f>
        <v>0</v>
      </c>
      <c r="NQ169" s="6">
        <f>COUNTIFS(Table117[Country],Tabela1[[#This Row],[Country]],Table117[Women''s Relay Classification],"&gt;0")</f>
        <v>0</v>
      </c>
      <c r="NR169" s="6">
        <f>COUNTIFS(Table113[Country],Tabela1[[#This Row],[Country]],Table113[Skiathlon Classification],"&gt;0")</f>
        <v>0</v>
      </c>
      <c r="NS169" s="6">
        <f>COUNTIFS(Table113116[Country],Tabela1[[#This Row],[Country]],Table113116[Skiathlon Classification],"&gt;0")</f>
        <v>0</v>
      </c>
      <c r="NT169" s="6">
        <f>COUNTIFS(Table113[Country],Tabela1[[#This Row],[Country]],Table113[Sprint Classification],"&gt;0")</f>
        <v>0</v>
      </c>
      <c r="NU169" s="6">
        <f>COUNTIFS(Table113116[Country],Tabela1[[#This Row],[Country]],Table113116[Sprint Classification],"&gt;0")</f>
        <v>0</v>
      </c>
      <c r="NV169" s="6">
        <f>COUNTIFS(Table116[Country],Tabela1[[#This Row],[Country]],Table116[Men''s Team Sprint Classification],"&gt;0")</f>
        <v>0</v>
      </c>
      <c r="NW169" s="6">
        <f>COUNTIFS(Table116[Country],Tabela1[[#This Row],[Country]],Table116[Women''s Team Sprint Classification],"&gt;0")</f>
        <v>0</v>
      </c>
      <c r="NX169" s="6">
        <f>COUNTIFS(Table119[Country],Tabela1[[#This Row],[Country]],Table119[Men''s Classification],"&gt;0")</f>
        <v>0</v>
      </c>
      <c r="NY169" s="6">
        <f>COUNTIFS(Table119[Country],Tabela1[[#This Row],[Country]],Table119[Women''s Classification],"&gt;0")</f>
        <v>0</v>
      </c>
      <c r="NZ169" s="6">
        <f>COUNTIFS(Table118[Country],Tabela1[[#This Row],[Country]],Table118[Mixed Classification],"&gt;0")</f>
        <v>0</v>
      </c>
      <c r="OA169" s="6">
        <f>COUNTIFS(Table120[Country],Tabela1[[#This Row],[Country]],Table120[Classification],"&gt;0")</f>
        <v>0</v>
      </c>
      <c r="OB169" s="6">
        <f>COUNTIFS(Table120123[Country],Tabela1[[#This Row],[Country]],Table120123[Classification],"&gt;0")</f>
        <v>0</v>
      </c>
      <c r="OC169" s="6">
        <f>COUNTIFS(Table123[Country],Tabela1[[#This Row],[Country]],Table123[Ice Dance Classification],"&gt;0")</f>
        <v>0</v>
      </c>
      <c r="OD169" s="6">
        <f>COUNTIFS(Table123[Country],Tabela1[[#This Row],[Country]],Table123[Pair Skating Classification],"&gt;0")</f>
        <v>0</v>
      </c>
      <c r="OE169" s="6">
        <f>COUNTIFS(Table124[Country],Tabela1[[#This Row],[Country]],Table124[Mixed Classification],"&gt;0")</f>
        <v>0</v>
      </c>
      <c r="OF169" s="6">
        <f>COUNTIFS(Table125[Country],Tabela1[[#This Row],[Country]],Table125[Aerials Classification],"&gt;0")</f>
        <v>0</v>
      </c>
      <c r="OG169" s="6">
        <f>COUNTIFS(Table125128[Country],Tabela1[[#This Row],[Country]],Table125128[Aerials Classification],"&gt;0")</f>
        <v>0</v>
      </c>
      <c r="OH169" s="6">
        <f>COUNTIFS(Table128[Country],Tabela1[[#This Row],[Country]],Table128[Mixed Aerials Classification],"&gt;0")</f>
        <v>0</v>
      </c>
      <c r="OI169" s="6">
        <f>COUNTIFS(Table125[Country],Tabela1[[#This Row],[Country]],Table125[Big Air Classification],"&gt;0")</f>
        <v>0</v>
      </c>
      <c r="OJ169" s="6">
        <f>COUNTIFS(Table125128[Country],Tabela1[[#This Row],[Country]],Table125128[Big Air Classification],"&gt;0")</f>
        <v>0</v>
      </c>
      <c r="OK169" s="6">
        <f>COUNTIFS(Table125[Country],Tabela1[[#This Row],[Country]],Table125[Dual Moguls Classification],"&gt;0")</f>
        <v>0</v>
      </c>
      <c r="OL169" s="6">
        <f>COUNTIFS(Table125128[Country],Tabela1[[#This Row],[Country]],Table125128[Dual Moguls Classification],"&gt;0")</f>
        <v>0</v>
      </c>
      <c r="OM169" s="6">
        <f>COUNTIFS(Table125[Country],Tabela1[[#This Row],[Country]],Table125[Halfpipe Classification],"&gt;0")</f>
        <v>0</v>
      </c>
      <c r="ON169" s="6">
        <f>COUNTIFS(Table125128[Country],Tabela1[[#This Row],[Country]],Table125128[Halfpipe Classification],"&gt;0")</f>
        <v>0</v>
      </c>
      <c r="OO169" s="6">
        <f>COUNTIFS(Table125[Country],Tabela1[[#This Row],[Country]],Table125[Moguls Classification],"&gt;0")</f>
        <v>0</v>
      </c>
      <c r="OP169" s="6">
        <f>COUNTIFS(Table125128[Country],Tabela1[[#This Row],[Country]],Table125128[Moguls Classification],"&gt;0")</f>
        <v>0</v>
      </c>
      <c r="OQ169" s="6">
        <f>COUNTIFS(Table125[Country],Tabela1[[#This Row],[Country]],Table125[Ski Cross Classification],"&gt;0")</f>
        <v>0</v>
      </c>
      <c r="OR169" s="6">
        <f>COUNTIFS(Table125128[Country],Tabela1[[#This Row],[Country]],Table125128[Ski Cross Classification],"&gt;0")</f>
        <v>0</v>
      </c>
      <c r="OS169" s="6">
        <f>COUNTIFS(Table125[Country],Tabela1[[#This Row],[Country]],Table125[Slopestyle Classification],"&gt;0")</f>
        <v>0</v>
      </c>
      <c r="OT169" s="6">
        <f>COUNTIFS(Table125128[Country],Tabela1[[#This Row],[Country]],Table125128[Slopestyle Classification],"&gt;0")</f>
        <v>0</v>
      </c>
      <c r="OU169" s="6">
        <f>COUNTIFS(Table119131[Country],Tabela1[[#This Row],[Country]],Table119131[Men''s Classification],"&gt;0")</f>
        <v>0</v>
      </c>
      <c r="OV169" s="6">
        <f>COUNTIFS(Table119131[Country],Tabela1[[#This Row],[Country]],Table119131[Women''s Classification],"&gt;0")</f>
        <v>0</v>
      </c>
      <c r="OW169" s="6">
        <f>COUNTIFS(Table131[Country],Tabela1[[#This Row],[Country]],Table131[Classification],"&gt;0")</f>
        <v>0</v>
      </c>
      <c r="OX169" s="6">
        <f>COUNTIFS(Table131134[Country],Tabela1[[#This Row],[Country]],Table131134[Classification],"&gt;0")</f>
        <v>0</v>
      </c>
      <c r="OY169" s="6">
        <f>COUNTIFS(Table134[Country],Tabela1[[#This Row],[Country]],Table134[Men''s Classification],"&gt;0")</f>
        <v>0</v>
      </c>
      <c r="OZ169" s="6">
        <f>COUNTIFS(Table134[Country],Tabela1[[#This Row],[Country]],Table134[Women''s Classification],"&gt;0")</f>
        <v>0</v>
      </c>
      <c r="PA169" s="6">
        <f>COUNTIFS(Table135[Country],Tabela1[[#This Row],[Country]],Table135[Mixed Relay Classification],"&gt;0")</f>
        <v>0</v>
      </c>
      <c r="PB169" s="6">
        <f>COUNTIFS(Table136[Country],Tabela1[[#This Row],[Country]],Table136[Individual Classification],"&gt;0")</f>
        <v>0</v>
      </c>
      <c r="PC169" s="6">
        <f>COUNTIFS(Table136[Country],Tabela1[[#This Row],[Country]],Table136[Sprint Classification],"&gt;0")</f>
        <v>0</v>
      </c>
      <c r="PD169" s="6">
        <f>COUNTIFS(Table137[Country],Tabela1[[#This Row],[Country]],Table137[Men''s Team Sprint Large Hill Classification],"&gt;0")</f>
        <v>0</v>
      </c>
      <c r="PE169" s="6">
        <f>COUNTIFS(Table138[Country],Tabela1[[#This Row],[Country]],Table138[500m Classification],"&gt;0")</f>
        <v>0</v>
      </c>
      <c r="PF169" s="6">
        <f>COUNTIFS(Table138141[Country],Tabela1[[#This Row],[Country]],Table138141[500m Classification],"&gt;0")</f>
        <v>0</v>
      </c>
      <c r="PG169" s="6">
        <f>COUNTIFS(Table138[Country],Tabela1[[#This Row],[Country]],Table138[1000m Classification],"&gt;0")</f>
        <v>0</v>
      </c>
      <c r="PH169" s="6">
        <f>COUNTIFS(Table138141[Country],Tabela1[[#This Row],[Country]],Table138141[1000m Classification],"&gt;0")</f>
        <v>0</v>
      </c>
      <c r="PI169" s="6">
        <f>COUNTIFS(Table138[Country],Tabela1[[#This Row],[Country]],Table138[1500m Classification],"&gt;0")</f>
        <v>0</v>
      </c>
      <c r="PJ169" s="6">
        <f>COUNTIFS(Table138141[Country],Tabela1[[#This Row],[Country]],Table138141[1500m Classification],"&gt;0")</f>
        <v>0</v>
      </c>
      <c r="PK169" s="6">
        <f>COUNTIFS(Table141[Country],Tabela1[[#This Row],[Country]],Table141[Men''s 5000m Relay Classification],"&gt;0")</f>
        <v>0</v>
      </c>
      <c r="PL169" s="6">
        <f>COUNTIFS(Table141[Country],Tabela1[[#This Row],[Country]],Table141[Women''s 3000m Relay Classification],"&gt;0")</f>
        <v>0</v>
      </c>
      <c r="PM169" s="6">
        <f>COUNTIFS(Table141[Country],Tabela1[[#This Row],[Country]],Table141[Mixed 2000m Relay Classification],"&gt;0")</f>
        <v>0</v>
      </c>
      <c r="PN169" s="6">
        <f>COUNTIFS(Table142[Country],Tabela1[[#This Row],[Country]],Table142[Classification],"&gt;0")</f>
        <v>0</v>
      </c>
      <c r="PO169" s="6">
        <f>COUNTIFS(Table142145[Country],Tabela1[[#This Row],[Country]],Table142145[Classification],"&gt;0")</f>
        <v>0</v>
      </c>
      <c r="PP169" s="6">
        <f>COUNTIFS(Tabela15[Country],Tabela1[[#This Row],[Country]],Tabela15[Mixed Team Classification],"&gt;0")</f>
        <v>0</v>
      </c>
      <c r="PQ169" s="6">
        <f>COUNTIFS(Table145[Country],Tabela1[[#This Row],[Country]],Table145[Large Hill Classification],"&gt;0")</f>
        <v>0</v>
      </c>
      <c r="PR169" s="6">
        <f>COUNTIFS(Table145[Country],Tabela1[[#This Row],[Country]],Table145[Normal Hill Classification],"&gt;0")</f>
        <v>0</v>
      </c>
      <c r="PS169" s="6">
        <f>COUNTIFS(Table145148[Country],Tabela1[[#This Row],[Country]],Table145148[Large Hill Classification],"&gt;0")</f>
        <v>0</v>
      </c>
      <c r="PT169" s="6">
        <f>COUNTIFS(Table145148[Country],Tabela1[[#This Row],[Country]],Table145148[Normal Hill Classification],"&gt;0")</f>
        <v>0</v>
      </c>
      <c r="PU169" s="6">
        <f>COUNTIFS(Table148[Country],Tabela1[[#This Row],[Country]],Table148[Men''s Super Team Classification],"&gt;0")</f>
        <v>0</v>
      </c>
      <c r="PV169" s="6">
        <f>COUNTIFS(Tabela114[Country],Tabela1[[#This Row],[Country]],Tabela114[Mixed Normal Hill Classification],"&gt;0")</f>
        <v>0</v>
      </c>
      <c r="PW169" s="6">
        <f>COUNTIFS(Tabela50[Country],Tabela1[[#This Row],[Country]],Tabela50[Sprint Classification],"&gt;0")</f>
        <v>0</v>
      </c>
      <c r="PX169" s="6">
        <f>COUNTIFS(Tabela50101[Country],Tabela1[[#This Row],[Country]],Tabela50101[Sprint Classification],"&gt;0")</f>
        <v>0</v>
      </c>
      <c r="PY169" s="6">
        <f>COUNTIFS(Tabela103[Country],Tabela1[[#This Row],[Country]],Tabela103[Mixed Relay Classification],"&gt;0")</f>
        <v>0</v>
      </c>
      <c r="PZ169" s="6">
        <f>COUNTIFS(Table149[Country],Tabela1[[#This Row],[Country]],Table149[Big Air Classification],"&gt;0")</f>
        <v>0</v>
      </c>
      <c r="QA169" s="6">
        <f>COUNTIFS(Table149152[Country],Tabela1[[#This Row],[Country]],Table149152[Big Air Classification],"&gt;0")</f>
        <v>0</v>
      </c>
      <c r="QB169" s="6">
        <f>COUNTIFS(Table149[Country],Tabela1[[#This Row],[Country]],Table149[Halfpipe Classification],"&gt;0")</f>
        <v>0</v>
      </c>
      <c r="QC169" s="6">
        <f>COUNTIFS(Table149152[Country],Tabela1[[#This Row],[Country]],Table149152[Halfpipe Classification],"&gt;0")</f>
        <v>0</v>
      </c>
      <c r="QD169" s="6">
        <f>COUNTIFS(Table149[Country],Tabela1[[#This Row],[Country]],Table149[Parallel Giant Slalom Classification],"&gt;0")</f>
        <v>0</v>
      </c>
      <c r="QE169" s="6">
        <f>COUNTIFS(Table149152[Country],Tabela1[[#This Row],[Country]],Table149152[Parallel Giant Slalom Classification],"&gt;0")</f>
        <v>0</v>
      </c>
      <c r="QF169" s="6">
        <f>COUNTIFS(Table149[Country],Tabela1[[#This Row],[Country]],Table149[Slopestyle Classification],"&gt;0")</f>
        <v>0</v>
      </c>
      <c r="QG169" s="6">
        <f>COUNTIFS(Table149152[Country],Tabela1[[#This Row],[Country]],Table149152[Slopestyle Classification],"&gt;0")</f>
        <v>0</v>
      </c>
      <c r="QH169" s="6">
        <f>COUNTIFS(Table149[Country],Tabela1[[#This Row],[Country]],Table149[Snowboard Cross Classification],"&gt;0")</f>
        <v>0</v>
      </c>
      <c r="QI169" s="6">
        <f>COUNTIFS(Table149152[Country],Tabela1[[#This Row],[Country]],Table149152[Snowboard Cross Classification],"&gt;0")</f>
        <v>0</v>
      </c>
      <c r="QJ169" s="6">
        <f>COUNTIFS(Table153[Country],Tabela1[[#This Row],[Country]],Table153[Mixed Team Snowboard Cross Classification],"&gt;0")</f>
        <v>0</v>
      </c>
      <c r="QK169" s="6">
        <f>COUNTIFS(Table154[Country],Tabela1[[#This Row],[Country]],Table154[500m Classification],"&gt;0")</f>
        <v>0</v>
      </c>
      <c r="QL169" s="6">
        <f>COUNTIFS(Table154157[Country],Tabela1[[#This Row],[Country]],Table154157[500m Classification],"&gt;0")</f>
        <v>0</v>
      </c>
      <c r="QM169" s="6">
        <f>COUNTIFS(Table154[Country],Tabela1[[#This Row],[Country]],Table154[1000m Classification],"&gt;0")</f>
        <v>0</v>
      </c>
      <c r="QN169" s="6">
        <f>COUNTIFS(Table154157[Country],Tabela1[[#This Row],[Country]],Table154157[1000m Classification],"&gt;0")</f>
        <v>0</v>
      </c>
      <c r="QO169" s="6">
        <f>COUNTIFS(Table154[Country],Tabela1[[#This Row],[Country]],Table154[1500m Classification],"&gt;0")</f>
        <v>0</v>
      </c>
      <c r="QP169" s="6">
        <f>COUNTIFS(Table154157[Country],Tabela1[[#This Row],[Country]],Table154157[1500m Classification],"&gt;0")</f>
        <v>0</v>
      </c>
      <c r="QQ169" s="6">
        <f>COUNTIFS(Table154157[Country],Tabela1[[#This Row],[Country]],Table154157[3000m Classification],"&gt;0")</f>
        <v>0</v>
      </c>
      <c r="QR169" s="6">
        <f>COUNTIFS(Table154[Country],Tabela1[[#This Row],[Country]],Table154[5000m Classification],"&gt;0")</f>
        <v>0</v>
      </c>
      <c r="QS169" s="6">
        <f>COUNTIFS(Table154157[Country],Tabela1[[#This Row],[Country]],Table154157[5000m Classification],"&gt;0")</f>
        <v>0</v>
      </c>
      <c r="QT169" s="6">
        <f>COUNTIFS(Table154[Country],Tabela1[[#This Row],[Country]],Table154[10000m Classification],"&gt;0")</f>
        <v>0</v>
      </c>
      <c r="QU169" s="6">
        <f>COUNTIFS(Table154[Country],Tabela1[[#This Row],[Country]],Table154[Mass Start Classification],"&gt;0")</f>
        <v>0</v>
      </c>
      <c r="QV169" s="6">
        <f>COUNTIFS(Table154157[Country],Tabela1[[#This Row],[Country]],Table154157[Mass Start Classification],"&gt;0")</f>
        <v>0</v>
      </c>
      <c r="QW169" s="6">
        <f>COUNTIFS(Table157[Country],Tabela1[[#This Row],[Country]],Table157[Men''s Pursuit Classification],"&gt;0")</f>
        <v>0</v>
      </c>
      <c r="QX169" s="6">
        <f>COUNTIFS(Table157[Country],Tabela1[[#This Row],[Country]],Table157[Women''s Pursuit Classification],"&gt;0")</f>
        <v>0</v>
      </c>
      <c r="QY169" s="3" t="s">
        <v>535</v>
      </c>
    </row>
    <row r="170" spans="1:467" x14ac:dyDescent="0.3">
      <c r="A170" s="6">
        <v>169</v>
      </c>
      <c r="B170" s="6" t="s">
        <v>536</v>
      </c>
      <c r="C170" t="e" vm="169">
        <f>IF(ISBLANK(Tabela1[[#This Row],[Image Link]]), "", _xlfn.IMAGE(Tabela1[[#This Row],[Image Link]],1,1))</f>
        <v>#VALUE!</v>
      </c>
      <c r="D170" s="6">
        <f>SUM(Tabela1[[#This Row],[Archery - Men''s Individual Recurve]:[Speed Skating - Women''s Team Pursuit]])</f>
        <v>0</v>
      </c>
      <c r="E170" s="6">
        <f>COUNTIF(Tabela1[[#This Row],[Archery - Men''s Individual Recurve]:[Speed Skating - Women''s Team Pursuit]],"&gt;0")</f>
        <v>0</v>
      </c>
      <c r="F170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70" s="6">
        <f>SUM(Tabela1[[#This Row],[Archery - Men''s Individual Recurve]:[Wrestling - Women''s Freestyle 76kg]])</f>
        <v>0</v>
      </c>
      <c r="H170" s="6">
        <f>SUM(Tabela1[[#This Row],[Alpine Skiing - Men''s Downhill]:[Speed Skating - Women''s Team Pursuit]])</f>
        <v>0</v>
      </c>
      <c r="I170" s="6">
        <f>Tabela1[[#This Row],[Summer Gold Medals]]+Tabela1[[#This Row],[Winter Gold Medals]]</f>
        <v>0</v>
      </c>
      <c r="J170" s="6">
        <f>Tabela1[[#This Row],[Summer Silver Medals]]+Tabela1[[#This Row],[Winter Silver Medals]]</f>
        <v>0</v>
      </c>
      <c r="K170" s="6">
        <f>Tabela1[[#This Row],[Summer Bronze Medals]]+Tabela1[[#This Row],[Winter Bronze Medals]]</f>
        <v>0</v>
      </c>
      <c r="L170" s="6">
        <f>SUM(Tabela1[[#This Row],[Total Gold Medals]:[Total Bronze Medals]])</f>
        <v>0</v>
      </c>
      <c r="M170" s="6"/>
      <c r="N170" s="6"/>
      <c r="O170" s="6"/>
      <c r="P170" s="6">
        <f>SUM(Tabela1[[#This Row],[Summer Gold Medals]:[Summer Bronze Medals]])</f>
        <v>0</v>
      </c>
      <c r="Q170" s="6"/>
      <c r="R170" s="6"/>
      <c r="S170" s="6"/>
      <c r="T170" s="6">
        <f>Tabela1[[#This Row],[Winter Gold Medals]]+Tabela1[[#This Row],[Winter Silver Medals]]+Tabela1[[#This Row],[Winter Bronze Medals]]</f>
        <v>0</v>
      </c>
      <c r="U170" s="7" t="e">
        <f>Tabela1[[#This Row],[Total Medals]]/Tabela1[[#This Row],[Total Quotas]]</f>
        <v>#DIV/0!</v>
      </c>
      <c r="V170" s="6">
        <f>COUNTIFS(Table3[Country],Tabela1[[#This Row],[Country]],Table3[Recurve Classification],"&gt;0")</f>
        <v>0</v>
      </c>
      <c r="W170" s="6">
        <f>COUNTIFS(Table33[Country],Tabela1[[#This Row],[Country]],Table33[Recurve Classification],"&gt;0")</f>
        <v>0</v>
      </c>
      <c r="X170" s="6">
        <f>COUNTIFS(Table35[Country],Tabela1[[#This Row],[Country]],Table35[Men''s Team Recurve Classification],"&gt;0")</f>
        <v>0</v>
      </c>
      <c r="Y170" s="6">
        <f>COUNTIFS(Table35[Country],Tabela1[[#This Row],[Country]],Table35[Women''s Team Recurve Classification],"&gt;0")</f>
        <v>0</v>
      </c>
      <c r="Z170" s="6">
        <f>COUNTIFS(Tabela88[Country],Tabela1[[#This Row],[Country]],Tabela88[Mixed Team Recurve Classification],"&gt;0")</f>
        <v>0</v>
      </c>
      <c r="AA170" s="6">
        <f>COUNTIFS(Table36[Country],Tabela1[[#This Row],[Country]],Table36[Classification],"&gt;0")</f>
        <v>0</v>
      </c>
      <c r="AB170" s="6">
        <f>COUNTIFS(Table37[Country],Tabela1[[#This Row],[Country]],Table37[Classification],"&gt;0")</f>
        <v>0</v>
      </c>
      <c r="AC170" s="6">
        <f>COUNTIFS(Table4[Country],Tabela1[[#This Row],[Country]],Table4[100m Classification],"&gt;0")</f>
        <v>0</v>
      </c>
      <c r="AD170" s="6">
        <f>COUNTIFS(Table5[Country],Tabela1[[#This Row],[Country]],Table5[100m Classification],"&gt;0")</f>
        <v>0</v>
      </c>
      <c r="AE170" s="6">
        <f>COUNTIFS(Table4[Country],Tabela1[[#This Row],[Country]],Table4[200m Classification],"&gt;0")</f>
        <v>0</v>
      </c>
      <c r="AF170" s="6">
        <f>COUNTIFS(Table5[Country],Tabela1[[#This Row],[Country]],Table5[200m Classification],"&gt;0")</f>
        <v>0</v>
      </c>
      <c r="AG170" s="6">
        <f>COUNTIFS(Table4[Country],Tabela1[[#This Row],[Country]],Table4[400m Classification],"&gt;0")</f>
        <v>0</v>
      </c>
      <c r="AH170" s="6">
        <f>COUNTIFS(Table5[Country],Tabela1[[#This Row],[Country]],Table5[400m Classification],"&gt;0")</f>
        <v>0</v>
      </c>
      <c r="AI170" s="6">
        <f>COUNTIFS(Table4[Country],Tabela1[[#This Row],[Country]],Table4[800m Classification],"&gt;0")</f>
        <v>0</v>
      </c>
      <c r="AJ170" s="6">
        <f>COUNTIFS(Table5[Country],Tabela1[[#This Row],[Country]],Table5[800m Classification],"&gt;0")</f>
        <v>0</v>
      </c>
      <c r="AK170" s="6">
        <f>COUNTIFS(Table4[Country],Tabela1[[#This Row],[Country]],Table4[1500m Classification],"&gt;0")</f>
        <v>0</v>
      </c>
      <c r="AL170" s="6">
        <f>COUNTIFS(Table5[Country],Tabela1[[#This Row],[Country]],Table5[1500m Classification],"&gt;0")</f>
        <v>0</v>
      </c>
      <c r="AM170" s="6">
        <f>COUNTIFS(Table4[Country],Tabela1[[#This Row],[Country]],Table4[5000m Classification],"&gt;0")</f>
        <v>0</v>
      </c>
      <c r="AN170" s="6">
        <f>COUNTIFS(Table5[Country],Tabela1[[#This Row],[Country]],Table5[5000m Classification],"&gt;0")</f>
        <v>0</v>
      </c>
      <c r="AO170" s="6">
        <f>COUNTIFS(Table4[Country],Tabela1[[#This Row],[Country]],Table4[10000m Classification],"&gt;0")</f>
        <v>0</v>
      </c>
      <c r="AP170" s="6">
        <f>COUNTIFS(Table5[Country],Tabela1[[#This Row],[Country]],Table5[10000m Classification],"&gt;0")</f>
        <v>0</v>
      </c>
      <c r="AQ170" s="6">
        <f>COUNTIFS(Table4[Country],Tabela1[[#This Row],[Country]],Table4[110m Hurdles Classification],"&gt;0")</f>
        <v>0</v>
      </c>
      <c r="AR170" s="6">
        <f>COUNTIFS(Table5[Country],Tabela1[[#This Row],[Country]],Table5[100m Hurdles Classification],"&gt;0")</f>
        <v>0</v>
      </c>
      <c r="AS170" s="6">
        <f>COUNTIFS(Table4[Country],Tabela1[[#This Row],[Country]],Table4[400m Hurdles Classification],"&gt;0")</f>
        <v>0</v>
      </c>
      <c r="AT170" s="6">
        <f>COUNTIFS(Table5[Country],Tabela1[[#This Row],[Country]],Table5[400m Hurdles Classification],"&gt;0")</f>
        <v>0</v>
      </c>
      <c r="AU170" s="6">
        <f>COUNTIFS(Table4[Country],Tabela1[[#This Row],[Country]],Table4[3000m Steeplechase Classification],"&gt;0")</f>
        <v>0</v>
      </c>
      <c r="AV170" s="6">
        <f>COUNTIFS(Table5[Country],Tabela1[[#This Row],[Country]],Table5[3000m Steeplechase Classification],"&gt;0")</f>
        <v>0</v>
      </c>
      <c r="AW170" s="6">
        <f>COUNTIFS(Table27[Country],Tabela1[[#This Row],[Country]],Table27[Men''s 4x100m Relay Classification],"&gt;0")</f>
        <v>0</v>
      </c>
      <c r="AX170" s="6">
        <f>COUNTIFS(Table27[Country],Tabela1[[#This Row],[Country]],Table27[Women''s 4x100m Relay Classification],"&gt;0")</f>
        <v>0</v>
      </c>
      <c r="AY170" s="6">
        <f>COUNTIFS(Table27[Country],Tabela1[[#This Row],[Country]],Table27[Men''s 4x400m Relay Classification],"&gt;0")</f>
        <v>0</v>
      </c>
      <c r="AZ170" s="6">
        <f>COUNTIFS(Table27[Country],Tabela1[[#This Row],[Country]],Table27[Women''s 4x400m Relay Classification],"&gt;0")</f>
        <v>0</v>
      </c>
      <c r="BA170" s="6">
        <f>COUNTIFS(Table27[Country],Tabela1[[#This Row],[Country]],Table27[Mixed 4x400m Relay Classification],"&gt;0")</f>
        <v>0</v>
      </c>
      <c r="BB170" s="6">
        <f>COUNTIFS(Table4[Country],Tabela1[[#This Row],[Country]],Table4[Marathon Classification],"&gt;0")</f>
        <v>0</v>
      </c>
      <c r="BC170" s="6">
        <f>COUNTIFS(Table5[Country],Tabela1[[#This Row],[Country]],Table5[Marathon Classification],"&gt;0")</f>
        <v>0</v>
      </c>
      <c r="BD170" s="6">
        <f>COUNTIFS(Table4[Country],Tabela1[[#This Row],[Country]],Table4[20km Race Walk Classification],"&gt;0")</f>
        <v>0</v>
      </c>
      <c r="BE170" s="6">
        <f>COUNTIFS(Table5[Country],Tabela1[[#This Row],[Country]],Table5[20km Race Walk Classification],"&gt;0")</f>
        <v>0</v>
      </c>
      <c r="BF170" s="6">
        <f>COUNTIFS(Tabela96[Country],Tabela1[[#This Row],[Country]],Tabela96[Mixed Marathon Race Walk Relay Classification],"&gt;0")</f>
        <v>0</v>
      </c>
      <c r="BG170" s="6">
        <f>COUNTIFS(Table4[Country],Tabela1[[#This Row],[Country]],Table4[Discus Throw Classification],"&gt;0")</f>
        <v>0</v>
      </c>
      <c r="BH170" s="6">
        <f>COUNTIFS(Table5[Country],Tabela1[[#This Row],[Country]],Table5[Discus Throw Classification],"&gt;0")</f>
        <v>0</v>
      </c>
      <c r="BI170" s="6">
        <f>COUNTIFS(Table4[Country],Tabela1[[#This Row],[Country]],Table4[Hammer Throw Classification],"&gt;0")</f>
        <v>0</v>
      </c>
      <c r="BJ170" s="6">
        <f>COUNTIFS(Table5[Country],Tabela1[[#This Row],[Country]],Table5[Hammer Throw Classification],"&gt;0")</f>
        <v>0</v>
      </c>
      <c r="BK170" s="6">
        <f>COUNTIFS(Table4[Country],Tabela1[[#This Row],[Country]],Table4[High Jump Classification],"&gt;0")</f>
        <v>0</v>
      </c>
      <c r="BL170" s="6">
        <f>COUNTIFS(Table5[Country],Tabela1[[#This Row],[Country]],Table5[High Jump Classification],"&gt;0")</f>
        <v>0</v>
      </c>
      <c r="BM170" s="6">
        <f>COUNTIFS(Table4[Country],Tabela1[[#This Row],[Country]],Table4[Javelin Throw Classification],"&gt;0")</f>
        <v>0</v>
      </c>
      <c r="BN170" s="6">
        <f>COUNTIFS(Table5[Country],Tabela1[[#This Row],[Country]],Table5[Javelin Throw Classification],"&gt;0")</f>
        <v>0</v>
      </c>
      <c r="BO170" s="6">
        <f>COUNTIFS(Table4[Country],Tabela1[[#This Row],[Country]],Table4[Long Jump Classification],"&gt;0")</f>
        <v>0</v>
      </c>
      <c r="BP170" s="6">
        <f>COUNTIFS(Table5[Country],Tabela1[[#This Row],[Country]],Table5[Long Jump Classification],"&gt;0")</f>
        <v>0</v>
      </c>
      <c r="BQ170" s="6">
        <f>COUNTIFS(Table4[Country],Tabela1[[#This Row],[Country]],Table4[Pole Vault Classification],"&gt;0")</f>
        <v>0</v>
      </c>
      <c r="BR170" s="6">
        <f>COUNTIFS(Table5[Country],Tabela1[[#This Row],[Country]],Table5[Pole Vault Classification],"&gt;0")</f>
        <v>0</v>
      </c>
      <c r="BS170" s="6">
        <f>COUNTIFS(Table4[Country],Tabela1[[#This Row],[Country]],Table4[Shot Put Classification],"&gt;0")</f>
        <v>0</v>
      </c>
      <c r="BT170" s="6">
        <f>COUNTIFS(Table5[Country],Tabela1[[#This Row],[Country]],Table5[Shot Put Classification],"&gt;0")</f>
        <v>0</v>
      </c>
      <c r="BU170" s="6">
        <f>COUNTIFS(Table4[Country],Tabela1[[#This Row],[Country]],Table4[Triple Jump Classification],"&gt;0")</f>
        <v>0</v>
      </c>
      <c r="BV170" s="6">
        <f>COUNTIFS(Table5[Country],Tabela1[[#This Row],[Country]],Table5[Triple Jump Classification],"&gt;0")</f>
        <v>0</v>
      </c>
      <c r="BW170" s="6">
        <f>COUNTIFS(Table4[Country],Tabela1[[#This Row],[Country]],Table4[Decathlon Classification],"&gt;0")</f>
        <v>0</v>
      </c>
      <c r="BX170" s="6">
        <f>COUNTIFS(Table5[Country],Tabela1[[#This Row],[Country]],Table5[Heptathlon Classification],"&gt;0")</f>
        <v>0</v>
      </c>
      <c r="BY170" s="6">
        <f>COUNTIFS(Table61[Country],Tabela1[[#This Row],[Country]],Table61[Classification],"&gt;0")</f>
        <v>0</v>
      </c>
      <c r="BZ170" s="6">
        <f>COUNTIFS(Table38[Country],Tabela1[[#This Row],[Country]],Table38[Classification],"&gt;0")</f>
        <v>0</v>
      </c>
      <c r="CA170" s="6">
        <f>COUNTIFS(Table39[Country],Tabela1[[#This Row],[Country]],Table39[Men''s Classification],"&gt;0")</f>
        <v>0</v>
      </c>
      <c r="CB170" s="6">
        <f>COUNTIFS(Table39[Country],Tabela1[[#This Row],[Country]],Table39[Women''s Classification],"&gt;0")</f>
        <v>0</v>
      </c>
      <c r="CC170" s="6">
        <f>COUNTIFS(Table39[Country],Tabela1[[#This Row],[Country]],Table39[Mixed Classification],"&gt;0")</f>
        <v>0</v>
      </c>
      <c r="CD170" s="6">
        <f>COUNTIFS(Table89[Country],Tabela1[[#This Row],[Country]],Table89[Men''s Classification],"&gt;0")</f>
        <v>0</v>
      </c>
      <c r="CE170" s="6">
        <f>COUNTIFS(Table89[Country],Tabela1[[#This Row],[Country]],Table89[Women''s Classification],"&gt;0")</f>
        <v>0</v>
      </c>
      <c r="CF170" s="6">
        <f>COUNTIFS(Table90[Country],Tabela1[[#This Row],[Country]],Table90[Men''s Classification],"&gt;0")</f>
        <v>0</v>
      </c>
      <c r="CG170" s="6">
        <f>COUNTIFS(Table90[Country],Tabela1[[#This Row],[Country]],Table90[Women''s Classification],"&gt;0")</f>
        <v>0</v>
      </c>
      <c r="CH170" s="6">
        <f>COUNTIFS(Table60[Country],Tabela1[[#This Row],[Country]],Table60[Men''s Classification],"&gt;0")</f>
        <v>0</v>
      </c>
      <c r="CI170" s="6">
        <f>COUNTIFS(Table60[Country],Tabela1[[#This Row],[Country]],Table60[Women''s Classification],"&gt;0")</f>
        <v>0</v>
      </c>
      <c r="CJ170" s="6">
        <f>COUNTIFS(Table6[Country],Tabela1[[#This Row],[Country]],Table6[51kg Classification],"&gt;0")</f>
        <v>0</v>
      </c>
      <c r="CK170" s="6">
        <f>COUNTIFS(Table6[Country],Tabela1[[#This Row],[Country]],Table6[57kg Classification],"&gt;0")</f>
        <v>0</v>
      </c>
      <c r="CL170" s="6">
        <f>COUNTIFS(Table6[Country],Tabela1[[#This Row],[Country]],Table6[63.5kg Classification],"&gt;0")</f>
        <v>0</v>
      </c>
      <c r="CM170" s="6">
        <f>COUNTIFS(Table6[Country],Tabela1[[#This Row],[Country]],Table6[71kg Classification],"&gt;0")</f>
        <v>0</v>
      </c>
      <c r="CN170" s="6">
        <f>COUNTIFS(Table6[Country],Tabela1[[#This Row],[Country]],Table6[80kg Classification],"&gt;0")</f>
        <v>0</v>
      </c>
      <c r="CO170" s="6">
        <f>COUNTIFS(Table6[Country],Tabela1[[#This Row],[Country]],Table6[92kg Classification],"&gt;0")</f>
        <v>0</v>
      </c>
      <c r="CP170" s="6">
        <f>COUNTIFS(Table6[Country],Tabela1[[#This Row],[Country]],Table6[Plus 92kg Classification],"&gt;0")</f>
        <v>0</v>
      </c>
      <c r="CQ170" s="6">
        <f>COUNTIFS(Table7[Country],Tabela1[[#This Row],[Country]],Table7[50kg Classification],"&gt;0")</f>
        <v>0</v>
      </c>
      <c r="CR170" s="6">
        <f>COUNTIFS(Table7[Country],Tabela1[[#This Row],[Country]],Table7[54kg Classification],"&gt;0")</f>
        <v>0</v>
      </c>
      <c r="CS170" s="6">
        <f>COUNTIFS(Table7[Country],Tabela1[[#This Row],[Country]],Table7[57kg Classification],"&gt;0")</f>
        <v>0</v>
      </c>
      <c r="CT170" s="6">
        <f>COUNTIFS(Table7[Country],Tabela1[[#This Row],[Country]],Table7[60kg Classification],"&gt;0")</f>
        <v>0</v>
      </c>
      <c r="CU170" s="6">
        <f>COUNTIFS(Table7[Country],Tabela1[[#This Row],[Country]],Table7[66kg Classification],"&gt;0")</f>
        <v>0</v>
      </c>
      <c r="CV170" s="6">
        <f>COUNTIFS(Table7[Country],Tabela1[[#This Row],[Country]],Table7[75kg Classification],"&gt;0")</f>
        <v>0</v>
      </c>
      <c r="CW170" s="6">
        <f>COUNTIFS(Tabela94[Country],Tabela1[[#This Row],[Country]],Tabela94[Classification],"&gt;0")</f>
        <v>0</v>
      </c>
      <c r="CX170" s="6">
        <f>COUNTIFS(Tabela9499[Country],Tabela1[[#This Row],[Country]],Tabela9499[Classification],"&gt;0")</f>
        <v>0</v>
      </c>
      <c r="CY170" s="6">
        <f>COUNTIFS(Tabela107[Country],Tabela1[[#This Row],[Country]],Tabela107[C1 Slalom Classification],"&gt;0")</f>
        <v>0</v>
      </c>
      <c r="CZ170" s="6">
        <f>COUNTIFS(Tabela107122[Country],Tabela1[[#This Row],[Country]],Tabela107122[C1 Slalom Classification],"&gt;0")</f>
        <v>0</v>
      </c>
      <c r="DA170" s="6">
        <f>COUNTIFS(Tabela107[Country],Tabela1[[#This Row],[Country]],Tabela107[K1 Slalom Classification],"&gt;0")</f>
        <v>0</v>
      </c>
      <c r="DB170" s="6">
        <f>COUNTIFS(Tabela107122[Country],Tabela1[[#This Row],[Country]],Tabela107122[K1 Slalom Classification],"&gt;0")</f>
        <v>0</v>
      </c>
      <c r="DC170" s="6">
        <f>COUNTIFS(Tabela107[Country],Tabela1[[#This Row],[Country]],Tabela107[Kayak Cross Slalom Classification],"&gt;0")</f>
        <v>0</v>
      </c>
      <c r="DD170" s="6">
        <f>COUNTIFS(Tabela107122[Country],Tabela1[[#This Row],[Country]],Tabela107122[Kayak Cross Slalom Classification],"&gt;0")</f>
        <v>0</v>
      </c>
      <c r="DE170" s="6">
        <f>COUNTIFS(Table8[Country],Tabela1[[#This Row],[Country]],Table8[C1 200m Classification],"&gt;0")</f>
        <v>0</v>
      </c>
      <c r="DF170" s="6">
        <f>COUNTIFS(Table40[Country],Tabela1[[#This Row],[Country]],Table40[C1 1000m Classification],"&gt;0")</f>
        <v>0</v>
      </c>
      <c r="DG170" s="6">
        <f>COUNTIFS(Table68[Country],Tabela1[[#This Row],[Country]],Table68[Men''s C2 500m Classification],"&gt;0")</f>
        <v>0</v>
      </c>
      <c r="DH170" s="6">
        <f>COUNTIFS(Table68[Country],Tabela1[[#This Row],[Country]],Table68[Women''s C2 500m Classification],"&gt;0")</f>
        <v>0</v>
      </c>
      <c r="DI170" s="6">
        <f>COUNTIFS(Table8[Country],Tabela1[[#This Row],[Country]],Table8[K1 500m Classification],"&gt;0")</f>
        <v>0</v>
      </c>
      <c r="DJ170" s="6">
        <f>COUNTIFS(Table40[Country],Tabela1[[#This Row],[Country]],Table40[K1 1000m Classification],"&gt;0")</f>
        <v>0</v>
      </c>
      <c r="DK170" s="6">
        <f>COUNTIFS(Table68[Country],Tabela1[[#This Row],[Country]],Table68[Men''s K2 500m Classification],"&gt;0")</f>
        <v>0</v>
      </c>
      <c r="DL170" s="6">
        <f>COUNTIFS(Table68[Country],Tabela1[[#This Row],[Country]],Table68[Women''s K2 500m Classification],"&gt;0")</f>
        <v>0</v>
      </c>
      <c r="DM170" s="6">
        <f>COUNTIFS(Table83[Country],Tabela1[[#This Row],[Country]],Table83[Men''s K4 500m Classification],"&gt;0")</f>
        <v>0</v>
      </c>
      <c r="DN170" s="6">
        <f>COUNTIFS(Table83[Country],Tabela1[[#This Row],[Country]],Table83[Women''s K4 500m Classification],"&gt;0")</f>
        <v>0</v>
      </c>
      <c r="DO170" s="6">
        <f>COUNTIFS(Tabela126[Country],Tabela1[[#This Row],[Country]],Tabela126[Classification],"&gt;0")</f>
        <v>0</v>
      </c>
      <c r="DP170" s="6">
        <f>COUNTIFS(Tabela126130[Country],Tabela1[[#This Row],[Country]],Tabela126130[Classification],"&gt;0")</f>
        <v>0</v>
      </c>
      <c r="DQ170" s="6">
        <f>COUNTIFS(Table70[Country],Tabela1[[#This Row],[Country]],Table70[Classification],"&gt;0")</f>
        <v>0</v>
      </c>
      <c r="DR170" s="6">
        <f>COUNTIFS(Table80[Country],Tabela1[[#This Row],[Country]],Table80[Classification],"&gt;0")</f>
        <v>0</v>
      </c>
      <c r="DS170" s="6">
        <f>COUNTIFS(Table66[Country],Tabela1[[#This Row],[Country]],Table66[Classification],"&gt;0")</f>
        <v>0</v>
      </c>
      <c r="DT170" s="6">
        <f>COUNTIFS(Table67[Country],Tabela1[[#This Row],[Country]],Table67[Classification],"&gt;0")</f>
        <v>0</v>
      </c>
      <c r="DU170" s="6">
        <f>COUNTIFS(Table69[Country],Tabela1[[#This Row],[Country]],Table69[Keirin Classification],"&gt;0")</f>
        <v>0</v>
      </c>
      <c r="DV170" s="6">
        <f>COUNTIFS(Table41[Country],Tabela1[[#This Row],[Country]],Table41[Keirin Classification],"&gt;0")</f>
        <v>0</v>
      </c>
      <c r="DW170" s="6">
        <f>COUNTIFS(Table84[Country],Tabela1[[#This Row],[Country]],Table84[Men''s Madison Classification],"&gt;0")</f>
        <v>0</v>
      </c>
      <c r="DX170" s="6">
        <f>COUNTIFS(Table84[Country],Tabela1[[#This Row],[Country]],Table84[Women''s Madison Classification],"&gt;0")</f>
        <v>0</v>
      </c>
      <c r="DY170" s="6">
        <f>COUNTIFS(Table69[Country],Tabela1[[#This Row],[Country]],Table69[Omnium Classification],"&gt;0")</f>
        <v>0</v>
      </c>
      <c r="DZ170" s="6">
        <f>COUNTIFS(Table41[Country],Tabela1[[#This Row],[Country]],Table41[Omnium Classification],"&gt;0")</f>
        <v>0</v>
      </c>
      <c r="EA170" s="6">
        <f>COUNTIFS(Table9[Country],Tabela1[[#This Row],[Country]],Table9[Road Race Classification],"&gt;0")</f>
        <v>0</v>
      </c>
      <c r="EB170" s="6">
        <f>COUNTIFS(Table14[Country],Tabela1[[#This Row],[Country]],Table14[Road Race Classification],"&gt;0")</f>
        <v>0</v>
      </c>
      <c r="EC170" s="6">
        <f>COUNTIFS(Table69[Country],Tabela1[[#This Row],[Country]],Table69[Sprint Classification],"&gt;0")</f>
        <v>0</v>
      </c>
      <c r="ED170" s="6">
        <f>COUNTIFS(Table41[Country],Tabela1[[#This Row],[Country]],Table41[Sprint Classification],"&gt;0")</f>
        <v>0</v>
      </c>
      <c r="EE170" s="6">
        <f>COUNTIFS(Table85[Country],Tabela1[[#This Row],[Country]],Table85[Men''s Sprint Classification],"&gt;0")</f>
        <v>0</v>
      </c>
      <c r="EF170" s="6">
        <f>COUNTIFS(Table85[Country],Tabela1[[#This Row],[Country]],Table85[Women''s Sprint Classification],"&gt;0")</f>
        <v>0</v>
      </c>
      <c r="EG170" s="6">
        <f>COUNTIFS(Table85[Country],Tabela1[[#This Row],[Country]],Table85[Men''s Pursuit Classification],"&gt;0")</f>
        <v>0</v>
      </c>
      <c r="EH170" s="6">
        <f>COUNTIFS(Table85[Country],Tabela1[[#This Row],[Country]],Table85[Women''s Pursuit Classification],"&gt;0")</f>
        <v>0</v>
      </c>
      <c r="EI170" s="6">
        <f>COUNTIFS(Table9[Country],Tabela1[[#This Row],[Country]],Table9[Time-Trial Classification],"&gt;0")</f>
        <v>0</v>
      </c>
      <c r="EJ170" s="6">
        <f>COUNTIFS(Table14[Country],Tabela1[[#This Row],[Country]],Table14[Time-Trial Classification],"&gt;0")</f>
        <v>0</v>
      </c>
      <c r="EK170" s="6">
        <f>COUNTIFS(Table42[Country],Tabela1[[#This Row],[Country]],Table42[Springboard Classification],"&gt;0")</f>
        <v>0</v>
      </c>
      <c r="EL170" s="6">
        <f>COUNTIFS(Table43[Country],Tabela1[[#This Row],[Country]],Table43[Springboard Classification],"&gt;0")</f>
        <v>0</v>
      </c>
      <c r="EM170" s="6">
        <f>COUNTIFS(Table42[Country],Tabela1[[#This Row],[Country]],Table42[Platform Classification],"&gt;0")</f>
        <v>0</v>
      </c>
      <c r="EN170" s="6">
        <f>COUNTIFS(Table43[Country],Tabela1[[#This Row],[Country]],Table43[Platform Classification],"&gt;0")</f>
        <v>0</v>
      </c>
      <c r="EO170" s="6">
        <f>COUNTIFS(Table86[Country],Tabela1[[#This Row],[Country]],Table86[Men''s Synchronized Springboard Classification],"&gt;0")</f>
        <v>0</v>
      </c>
      <c r="EP170" s="6">
        <f>COUNTIFS(Table86[Country],Tabela1[[#This Row],[Country]],Table86[Women''s Synchronized Springboard Classification],"&gt;0")</f>
        <v>0</v>
      </c>
      <c r="EQ170" s="6">
        <f>COUNTIFS(Table86[Country],Tabela1[[#This Row],[Country]],Table86[Men''s Synchronized Platform Classification],"&gt;0")</f>
        <v>0</v>
      </c>
      <c r="ER170" s="6">
        <f>COUNTIFS(Table86[Country],Tabela1[[#This Row],[Country]],Table86[Women''s Synchronized Platform Classification],"&gt;0")</f>
        <v>0</v>
      </c>
      <c r="ES170" s="6">
        <f>COUNTIFS(Table44[Country],Tabela1[[#This Row],[Country]],Table44[Dressage Classification],"&gt;0")</f>
        <v>0</v>
      </c>
      <c r="ET170" s="6">
        <f>COUNTIFS(Table45[Country],Tabela1[[#This Row],[Country]],Table45[Dressage Classification],"&gt;0")</f>
        <v>0</v>
      </c>
      <c r="EU170" s="6">
        <f>COUNTIFS(Table44[Country],Tabela1[[#This Row],[Country]],Table44[Eventing Classification],"&gt;0")</f>
        <v>0</v>
      </c>
      <c r="EV170" s="6">
        <f>COUNTIFS(Table45[Country],Tabela1[[#This Row],[Country]],Table45[Eventing Classification],"&gt;0")</f>
        <v>0</v>
      </c>
      <c r="EW170" s="6">
        <f>COUNTIFS(Table44[Country],Tabela1[[#This Row],[Country]],Table44[Jumping Classification],"&gt;0")</f>
        <v>0</v>
      </c>
      <c r="EX170" s="6">
        <f>COUNTIFS(Table45[Country],Tabela1[[#This Row],[Country]],Table45[Jumping Classification],"&gt;0")</f>
        <v>0</v>
      </c>
      <c r="EY170" s="6">
        <f>COUNTIFS(Table10[Country],Tabela1[[#This Row],[Country]],Table10[Épée Classification],"&gt;0")</f>
        <v>0</v>
      </c>
      <c r="EZ170" s="6">
        <f>COUNTIFS(Table11[Country],Tabela1[[#This Row],[Country]],Table11[Épée Classification],"&gt;0")</f>
        <v>0</v>
      </c>
      <c r="FA170" s="6">
        <f>COUNTIFS(Table46[Country],Tabela1[[#This Row],[Country]],Table46[Men''s Épée Classification],"&gt;0")</f>
        <v>0</v>
      </c>
      <c r="FB170" s="6">
        <f>COUNTIFS(Table46[Country],Tabela1[[#This Row],[Country]],Table46[Women''s Épée Classification],"&gt;0")</f>
        <v>0</v>
      </c>
      <c r="FC170" s="6">
        <f>COUNTIFS(Table10[Country],Tabela1[[#This Row],[Country]],Table10[Foil Classification],"&gt;0")</f>
        <v>0</v>
      </c>
      <c r="FD170" s="6">
        <f>COUNTIFS(Table11[Country],Tabela1[[#This Row],[Country]],Table11[Foil Classification],"&gt;0")</f>
        <v>0</v>
      </c>
      <c r="FE170" s="6">
        <f>COUNTIFS(Table46[Country],Tabela1[[#This Row],[Country]],Table46[Men''s Foil Classification],"&gt;0")</f>
        <v>0</v>
      </c>
      <c r="FF170" s="6">
        <f>COUNTIFS(Table46[Country],Tabela1[[#This Row],[Country]],Table46[Women''s Foil Classification],"&gt;0")</f>
        <v>0</v>
      </c>
      <c r="FG170" s="6">
        <f>COUNTIFS(Table10[Country],Tabela1[[#This Row],[Country]],Table10[Sabre Classification],"&gt;0")</f>
        <v>0</v>
      </c>
      <c r="FH170" s="6">
        <f>COUNTIFS(Table11[Country],Tabela1[[#This Row],[Country]],Table11[Sabre Classification],"&gt;0")</f>
        <v>0</v>
      </c>
      <c r="FI170" s="6">
        <f>COUNTIFS(Table46[Country],Tabela1[[#This Row],[Country]],Table46[Men''s Sabre Classification],"&gt;0")</f>
        <v>0</v>
      </c>
      <c r="FJ170" s="6">
        <f>COUNTIFS(Table46[Country],Tabela1[[#This Row],[Country]],Table46[Women''s Sabre Classification],"&gt;0")</f>
        <v>0</v>
      </c>
      <c r="FK170" s="6">
        <f>COUNTIFS(Table91[Country],Tabela1[[#This Row],[Country]],Table91[Men''s Classification],"&gt;0")</f>
        <v>0</v>
      </c>
      <c r="FL170" s="6">
        <f>COUNTIFS(Table91[Country],Tabela1[[#This Row],[Country]],Table91[Women''s Classification],"&gt;0")</f>
        <v>0</v>
      </c>
      <c r="FM170" s="6">
        <f>COUNTIFS(Table9194[Country],Tabela1[[#This Row],[Country]],Table9194[Men''s Classification],"&gt;0")</f>
        <v>0</v>
      </c>
      <c r="FN170" s="6">
        <f>COUNTIFS(Table9194[Country],Tabela1[[#This Row],[Country]],Table9194[Women''s Classification],"&gt;0")</f>
        <v>0</v>
      </c>
      <c r="FO170" s="6">
        <f>COUNTIFS(Table71[Country],Tabela1[[#This Row],[Country]],Table71[Classification],"&gt;0")</f>
        <v>0</v>
      </c>
      <c r="FP170" s="6">
        <f>COUNTIFS(Table62[Country],Tabela1[[#This Row],[Country]],Table62[Classification],"&gt;0")</f>
        <v>0</v>
      </c>
      <c r="FQ170" s="6">
        <f>COUNTIFS(Table47[Country],Tabela1[[#This Row],[Country]],Table47[All-Around Classification],"&gt;0")</f>
        <v>0</v>
      </c>
      <c r="FR170" s="6">
        <f>COUNTIFS(Table48[Country],Tabela1[[#This Row],[Country]],Table48[All-Around Classification],"&gt;0")</f>
        <v>0</v>
      </c>
      <c r="FS170" s="6">
        <f>COUNTIFS(Table81[Country],Tabela1[[#This Row],[Country]],Table81[Men''s All-Around Classification],"&gt;0")</f>
        <v>0</v>
      </c>
      <c r="FT170" s="6">
        <f>COUNTIFS(Table81[Country],Tabela1[[#This Row],[Country]],Table81[Women''s All-Around Classification],"&gt;0")</f>
        <v>0</v>
      </c>
      <c r="FU170" s="6">
        <f>COUNTIFS(Table48[Country],Tabela1[[#This Row],[Country]],Table48[Balance Beam Classification],"&gt;0")</f>
        <v>0</v>
      </c>
      <c r="FV170" s="6">
        <f>COUNTIFS(Table47[Country],Tabela1[[#This Row],[Country]],Table47[Floor Exercise Classification],"&gt;0")</f>
        <v>0</v>
      </c>
      <c r="FW170" s="6">
        <f>COUNTIFS(Table48[Country],Tabela1[[#This Row],[Country]],Table48[Floor Exercise Classification],"&gt;0")</f>
        <v>0</v>
      </c>
      <c r="FX170" s="6">
        <f>COUNTIFS(Table47[Country],Tabela1[[#This Row],[Country]],Table47[Horizontal Bar Classification],"&gt;0")</f>
        <v>0</v>
      </c>
      <c r="FY170" s="6">
        <f>COUNTIFS(Table47[Country],Tabela1[[#This Row],[Country]],Table47[Parallel Bars Classification],"&gt;0")</f>
        <v>0</v>
      </c>
      <c r="FZ170" s="6">
        <f>COUNTIFS(Table47[Country],Tabela1[[#This Row],[Country]],Table47[Pommel Horse Classification],"&gt;0")</f>
        <v>0</v>
      </c>
      <c r="GA170" s="6">
        <f>COUNTIFS(Table47[Country],Tabela1[[#This Row],[Country]],Table47[Rings Classification],"&gt;0")</f>
        <v>0</v>
      </c>
      <c r="GB170" s="6">
        <f>COUNTIFS(Tabela132[Country],Tabela1[[#This Row],[Country]],Tabela132[Classification],"&gt;0")</f>
        <v>0</v>
      </c>
      <c r="GC170" s="6">
        <f>COUNTIFS(Tabela139[Country],Tabela1[[#This Row],[Country]],Tabela139[Classification],"&gt;0")</f>
        <v>0</v>
      </c>
      <c r="GD170" s="6">
        <f>COUNTIFS(Table48[Country],Tabela1[[#This Row],[Country]],Table48[Uneven Bars Classification],"&gt;0")</f>
        <v>0</v>
      </c>
      <c r="GE170" s="6">
        <f>COUNTIFS(Table47[Country],Tabela1[[#This Row],[Country]],Table47[Vault Classification],"&gt;0")</f>
        <v>0</v>
      </c>
      <c r="GF170" s="6">
        <f>COUNTIFS(Table48[Country],Tabela1[[#This Row],[Country]],Table48[Vault Classification],"&gt;0")</f>
        <v>0</v>
      </c>
      <c r="GG170" s="6">
        <f>COUNTIFS(Table919496[Country],Tabela1[[#This Row],[Country]],Table919496[Men''s Classification],"&gt;0")</f>
        <v>0</v>
      </c>
      <c r="GH170" s="6">
        <f>COUNTIFS(Table919496[Country],Tabela1[[#This Row],[Country]],Table919496[Women''s Classification],"&gt;0")</f>
        <v>0</v>
      </c>
      <c r="GI170" s="6">
        <f>COUNTIFS(Table12[Country],Tabela1[[#This Row],[Country]],Table12[60kg Classification],"&gt;0")</f>
        <v>0</v>
      </c>
      <c r="GJ170" s="6">
        <f>COUNTIFS(Table12[Country],Tabela1[[#This Row],[Country]],Table12[66kg Classification],"&gt;0")</f>
        <v>0</v>
      </c>
      <c r="GK170" s="6">
        <f>COUNTIFS(Table12[Country],Tabela1[[#This Row],[Country]],Table12[73kg Classification],"&gt;0")</f>
        <v>0</v>
      </c>
      <c r="GL170" s="6">
        <f>COUNTIFS(Table12[Country],Tabela1[[#This Row],[Country]],Table12[81kg Classification],"&gt;0")</f>
        <v>0</v>
      </c>
      <c r="GM170" s="6">
        <f>COUNTIFS(Table12[Country],Tabela1[[#This Row],[Country]],Table12[90kg Classification],"&gt;0")</f>
        <v>0</v>
      </c>
      <c r="GN170" s="6">
        <f>COUNTIFS(Table12[Country],Tabela1[[#This Row],[Country]],Table12[100kg Classification],"&gt;0")</f>
        <v>0</v>
      </c>
      <c r="GO170" s="6">
        <f>COUNTIFS(Table12[Country],Tabela1[[#This Row],[Country]],Table12[Plus 100kg Classification],"&gt;0")</f>
        <v>0</v>
      </c>
      <c r="GP170" s="6">
        <f>COUNTIFS(Table13[Country],Tabela1[[#This Row],[Country]],Table13[48kg Classification],"&gt;0")</f>
        <v>0</v>
      </c>
      <c r="GQ170" s="6">
        <f>COUNTIFS(Table13[Country],Tabela1[[#This Row],[Country]],Table13[52kg Classification],"&gt;0")</f>
        <v>0</v>
      </c>
      <c r="GR170" s="6">
        <f>COUNTIFS(Table13[Country],Tabela1[[#This Row],[Country]],Table13[57kg Classification],"&gt;0")</f>
        <v>0</v>
      </c>
      <c r="GS170" s="6">
        <f>COUNTIFS(Table13[Country],Tabela1[[#This Row],[Country]],Table13[63kg Classification],"&gt;0")</f>
        <v>0</v>
      </c>
      <c r="GT170" s="6">
        <f>COUNTIFS(Table13[Country],Tabela1[[#This Row],[Country]],Table13[70kg Classification],"&gt;0")</f>
        <v>0</v>
      </c>
      <c r="GU170" s="6">
        <f>COUNTIFS(Table13[Country],Tabela1[[#This Row],[Country]],Table13[78kg Classification],"&gt;0")</f>
        <v>0</v>
      </c>
      <c r="GV170" s="6">
        <f>COUNTIFS(Table13[Country],Tabela1[[#This Row],[Country]],Table13[Plus 78kg Classification],"&gt;0")</f>
        <v>0</v>
      </c>
      <c r="GW170" s="6">
        <f>COUNTIFS(Table82[Country],Tabela1[[#This Row],[Country]],Table82[Mixed Classification],"&gt;0")</f>
        <v>0</v>
      </c>
      <c r="GX170" s="6">
        <f>COUNTIFS(Table51[Country],Tabela1[[#This Row],[Country]],Table51[Classification],"&gt;0")</f>
        <v>0</v>
      </c>
      <c r="GY170" s="6">
        <f>COUNTIFS(Table52[Country],Tabela1[[#This Row],[Country]],Table52[Classification],"&gt;0")</f>
        <v>0</v>
      </c>
      <c r="GZ170" s="6">
        <f>COUNTIFS(Table32[Country],Tabela1[[#This Row],[Country]],Table32[All-Around Classification],"&gt;0")</f>
        <v>0</v>
      </c>
      <c r="HA170" s="6">
        <f>COUNTIFS(Table49[Country],Tabela1[[#This Row],[Country]],Table49[All-Around Classification],"&gt;0")</f>
        <v>0</v>
      </c>
      <c r="HB170" s="6">
        <f>COUNTIFS(Table26[Country],Tabela1[[#This Row],[Country]],Table26[Single Sculls Classification],"&gt;0")</f>
        <v>0</v>
      </c>
      <c r="HC170" s="6">
        <f>COUNTIFS(Table63[Country],Tabela1[[#This Row],[Country]],Table63[Single Sculls Classification],"&gt;0")</f>
        <v>0</v>
      </c>
      <c r="HD170" s="6">
        <f>COUNTIFS(Table16[Country],Tabela1[[#This Row],[Country]],Table16[Men''s Double Sculls Classification],"&gt;0")</f>
        <v>0</v>
      </c>
      <c r="HE170" s="6">
        <f>COUNTIFS(Table16[Country],Tabela1[[#This Row],[Country]],Table16[Women''s Double Sculls Classification],"&gt;0")</f>
        <v>0</v>
      </c>
      <c r="HF170" s="6">
        <f>COUNTIFS(Table72[Country],Tabela1[[#This Row],[Country]],Table72[Men''s Quadruple Sculls Classification],"&gt;0")</f>
        <v>0</v>
      </c>
      <c r="HG170" s="6">
        <f>COUNTIFS(Table72[Country],Tabela1[[#This Row],[Country]],Table72[Women''s Quadruple Sculls Classification],"&gt;0")</f>
        <v>0</v>
      </c>
      <c r="HH170" s="6">
        <f>COUNTIFS(Table16[Country],Tabela1[[#This Row],[Country]],Table16[Men''s Coxless Pairs Classification],"&gt;0")</f>
        <v>0</v>
      </c>
      <c r="HI170" s="6">
        <f>COUNTIFS(Table16[Country],Tabela1[[#This Row],[Country]],Table16[Women''s Coxless Pairs Classification],"&gt;0")</f>
        <v>0</v>
      </c>
      <c r="HJ170" s="6">
        <f>COUNTIFS(Table72[Country],Tabela1[[#This Row],[Country]],Table72[Men''s Coxless Fours Classification],"&gt;0")</f>
        <v>0</v>
      </c>
      <c r="HK170" s="6">
        <f>COUNTIFS(Table72[Country],Tabela1[[#This Row],[Country]],Table72[Women''s Coxless Fours Classification],"&gt;0")</f>
        <v>0</v>
      </c>
      <c r="HL170" s="6">
        <f>COUNTIFS(Table72[Country],Tabela1[[#This Row],[Country]],Table72[Men''s Eights Classification],"&gt;0")</f>
        <v>0</v>
      </c>
      <c r="HM170" s="6">
        <f>COUNTIFS(Table72[Country],Tabela1[[#This Row],[Country]],Table72[Women''s Eights Classification],"&gt;0")</f>
        <v>0</v>
      </c>
      <c r="HN170" s="6">
        <f>COUNTIFS(Table16[Country],Tabela1[[#This Row],[Country]],Table16[Men''s Lwt. Double Sculls Classification],"&gt;0")</f>
        <v>0</v>
      </c>
      <c r="HO170" s="6">
        <f>COUNTIFS(Table16[Country],Tabela1[[#This Row],[Country]],Table16[Women''s Lwt. Double Sculls Classification],"&gt;0")</f>
        <v>0</v>
      </c>
      <c r="HP170" s="6">
        <f>COUNTIFS(Table91949698[Country],Tabela1[[#This Row],[Country]],Table91949698[Men''s Classification],"&gt;0")</f>
        <v>0</v>
      </c>
      <c r="HQ170" s="6">
        <f>COUNTIFS(Table91949698[Country],Tabela1[[#This Row],[Country]],Table91949698[Women''s Classification],"&gt;0")</f>
        <v>0</v>
      </c>
      <c r="HR170" s="6">
        <f>COUNTIFS(Table25[Country],Tabela1[[#This Row],[Country]],Table25[Mixed 470 Classification],"&gt;0")</f>
        <v>0</v>
      </c>
      <c r="HS170" s="6">
        <f>COUNTIFS(Table25[Country],Tabela1[[#This Row],[Country]],Table25[Men''s 49er Classification],"&gt;0")</f>
        <v>0</v>
      </c>
      <c r="HT170" s="6">
        <f>COUNTIFS(Table25[Country],Tabela1[[#This Row],[Country]],Table25[Women''s 49er FX Classification],"&gt;0")</f>
        <v>0</v>
      </c>
      <c r="HU170" s="6">
        <f>COUNTIFS(Table17[Country],Tabela1[[#This Row],[Country]],Table17[Formula Kite Classification],"&gt;0")</f>
        <v>0</v>
      </c>
      <c r="HV170" s="6">
        <f>COUNTIFS(Table18[Country],Tabela1[[#This Row],[Country]],Table18[Formula Kite Classification],"&gt;0")</f>
        <v>0</v>
      </c>
      <c r="HW170" s="6">
        <f>COUNTIFS(Table17[Country],Tabela1[[#This Row],[Country]],Table17[ILCA 7 Classification],"&gt;0")</f>
        <v>0</v>
      </c>
      <c r="HX170" s="6">
        <f>COUNTIFS(Table18[Country],Tabela1[[#This Row],[Country]],Table18[ILCA 6 Classification],"&gt;0")</f>
        <v>0</v>
      </c>
      <c r="HY170" s="6">
        <f>COUNTIFS(Table17[Country],Tabela1[[#This Row],[Country]],Table17[IQFoil Classification],"&gt;0")</f>
        <v>0</v>
      </c>
      <c r="HZ170" s="6">
        <f>COUNTIFS(Table18[Country],Tabela1[[#This Row],[Country]],Table18[IQFoil Classification],"&gt;0")</f>
        <v>0</v>
      </c>
      <c r="IA170" s="6">
        <f>COUNTIFS(Table25[Country],Tabela1[[#This Row],[Country]],Table25[Mixed Nacra 17 Classification],"&gt;0")</f>
        <v>0</v>
      </c>
      <c r="IB170" s="6">
        <f>COUNTIFS(Table53[Country],Tabela1[[#This Row],[Country]],Table53[10m Air Pistol Classification],"&gt;0")</f>
        <v>0</v>
      </c>
      <c r="IC170" s="6">
        <f>COUNTIFS(Table19[Country],Tabela1[[#This Row],[Country]],Table19[10m Air Pistol Classification],"&gt;0")</f>
        <v>0</v>
      </c>
      <c r="ID170" s="6">
        <f>COUNTIFS(Table54[Country],Tabela1[[#This Row],[Country]],Table54[Mixed 10m Air Pistol Team Classification],"&gt;0")</f>
        <v>0</v>
      </c>
      <c r="IE170" s="6">
        <f>COUNTIFS(Table53[Country],Tabela1[[#This Row],[Country]],Table53[10m Air Rifle Classification],"&gt;0")</f>
        <v>0</v>
      </c>
      <c r="IF170" s="6">
        <f>COUNTIFS(Table19[Country],Tabela1[[#This Row],[Country]],Table19[10m Air Rifle Classification],"&gt;0")</f>
        <v>0</v>
      </c>
      <c r="IG170" s="6">
        <f>COUNTIFS(Table54[Country],Tabela1[[#This Row],[Country]],Table54[Mixed 10m Air Rifle Team Classification],"&gt;0")</f>
        <v>0</v>
      </c>
      <c r="IH170" s="6">
        <f>COUNTIFS(Table53[Country],Tabela1[[#This Row],[Country]],Table53[25m Rapid Fire Pistol Classification],"&gt;0")</f>
        <v>0</v>
      </c>
      <c r="II170" s="6">
        <f>COUNTIFS(Table19[Country],Tabela1[[#This Row],[Country]],Table19[25m Pistol Classification],"&gt;0")</f>
        <v>0</v>
      </c>
      <c r="IJ170" s="6">
        <f>COUNTIFS(Table53[Country],Tabela1[[#This Row],[Country]],Table53[50m Rifle 3 Positions Classification],"&gt;0")</f>
        <v>0</v>
      </c>
      <c r="IK170" s="6">
        <f>COUNTIFS(Table19[Country],Tabela1[[#This Row],[Country]],Table19[50m Rifle 3 Positions Classification],"&gt;0")</f>
        <v>0</v>
      </c>
      <c r="IL170" s="6">
        <f>COUNTIFS(Table53[Country],Tabela1[[#This Row],[Country]],Table53[Skeet Classification],"&gt;0")</f>
        <v>0</v>
      </c>
      <c r="IM170" s="6">
        <f>COUNTIFS(Table19[Country],Tabela1[[#This Row],[Country]],Table19[Skeet Classification],"&gt;0")</f>
        <v>0</v>
      </c>
      <c r="IN170" s="6">
        <f>COUNTIFS(Table54[Country],Tabela1[[#This Row],[Country]],Table54[Mixed Skeet Team Classification],"&gt;0")</f>
        <v>0</v>
      </c>
      <c r="IO170" s="6">
        <f>COUNTIFS(Table53[Country],Tabela1[[#This Row],[Country]],Table53[Trap Classification],"&gt;0")</f>
        <v>0</v>
      </c>
      <c r="IP170" s="6">
        <f>COUNTIFS(Table19[Country],Tabela1[[#This Row],[Country]],Table19[Trap Classification],"&gt;0")</f>
        <v>0</v>
      </c>
      <c r="IQ170" s="6">
        <f>COUNTIFS(Table73[Country],Tabela1[[#This Row],[Country]],Table73[Park Classification],"&gt;0")</f>
        <v>0</v>
      </c>
      <c r="IR170" s="6">
        <f>COUNTIFS(Table74[Country],Tabela1[[#This Row],[Country]],Table74[Park Classification],"&gt;0")</f>
        <v>0</v>
      </c>
      <c r="IS170" s="6">
        <f>COUNTIFS(Table73[Country],Tabela1[[#This Row],[Country]],Table73[Street Classification],"&gt;0")</f>
        <v>0</v>
      </c>
      <c r="IT170" s="6">
        <f>COUNTIFS(Table74[Country],Tabela1[[#This Row],[Country]],Table74[Street Classification],"&gt;0")</f>
        <v>0</v>
      </c>
      <c r="IU170" s="6">
        <f>COUNTIFS(Table75[Country],Tabela1[[#This Row],[Country]],Table75[Boulder and Lead Classification],"&gt;0")</f>
        <v>0</v>
      </c>
      <c r="IV170" s="6">
        <f>COUNTIFS(Table76[Country],Tabela1[[#This Row],[Country]],Table76[Boulder and Lead Classification],"&gt;0")</f>
        <v>0</v>
      </c>
      <c r="IW170" s="6">
        <f>COUNTIFS(Table75[Country],Tabela1[[#This Row],[Country]],Table75[Speed Classification],"&gt;0")</f>
        <v>0</v>
      </c>
      <c r="IX170" s="6">
        <f>COUNTIFS(Table76[Country],Tabela1[[#This Row],[Country]],Table76[Speed Classification],"&gt;0")</f>
        <v>0</v>
      </c>
      <c r="IY170" s="6">
        <f>COUNTIFS(Table64[Country],Tabela1[[#This Row],[Country]],Table64[Shortboard Classification],"&gt;0")</f>
        <v>0</v>
      </c>
      <c r="IZ170" s="6">
        <f>COUNTIFS(Table77[Country],Tabela1[[#This Row],[Country]],Table77[Shortboard Classification],"&gt;0")</f>
        <v>0</v>
      </c>
      <c r="JA170" s="6">
        <f>COUNTIFS(Table20[Country],Tabela1[[#This Row],[Country]],Table20[50m Freestyle Classification],"&gt;0")</f>
        <v>0</v>
      </c>
      <c r="JB170" s="6">
        <f>COUNTIFS(Table21[Country],Tabela1[[#This Row],[Country]],Table21[50m Freestyle Classification],"&gt;0")</f>
        <v>0</v>
      </c>
      <c r="JC170" s="6">
        <f>COUNTIFS(Table20[Country],Tabela1[[#This Row],[Country]],Table20[100m Freestyle Classification],"&gt;0")</f>
        <v>0</v>
      </c>
      <c r="JD170" s="6">
        <f>COUNTIFS(Table21[Country],Tabela1[[#This Row],[Country]],Table21[100m Freestyle Classification],"&gt;0")</f>
        <v>0</v>
      </c>
      <c r="JE170" s="6">
        <f>COUNTIFS(Table20[Country],Tabela1[[#This Row],[Country]],Table20[200m Freestyle Classification],"&gt;0")</f>
        <v>0</v>
      </c>
      <c r="JF170" s="6">
        <f>COUNTIFS(Table21[Country],Tabela1[[#This Row],[Country]],Table21[200m Freestyle Classification],"&gt;0")</f>
        <v>0</v>
      </c>
      <c r="JG170" s="6">
        <f>COUNTIFS(Table20[Country],Tabela1[[#This Row],[Country]],Table20[400m Freestyle Classification],"&gt;0")</f>
        <v>0</v>
      </c>
      <c r="JH170" s="6">
        <f>COUNTIFS(Table21[Country],Tabela1[[#This Row],[Country]],Table21[400m Freestyle Classification],"&gt;0")</f>
        <v>0</v>
      </c>
      <c r="JI170" s="6">
        <f>COUNTIFS(Table20[Country],Tabela1[[#This Row],[Country]],Table20[800m Freestyle Classification],"&gt;0")</f>
        <v>0</v>
      </c>
      <c r="JJ170" s="6">
        <f>COUNTIFS(Table21[Country],Tabela1[[#This Row],[Country]],Table21[800m Freestyle Classification],"&gt;0")</f>
        <v>0</v>
      </c>
      <c r="JK170" s="6">
        <f>COUNTIFS(Table20[Country],Tabela1[[#This Row],[Country]],Table20[1500m Freestyle Classification],"&gt;0")</f>
        <v>0</v>
      </c>
      <c r="JL170" s="6">
        <f>COUNTIFS(Table21[Country],Tabela1[[#This Row],[Country]],Table21[1500m Freestyle Classification],"&gt;0")</f>
        <v>0</v>
      </c>
      <c r="JM170" s="6">
        <f>COUNTIFS(Table20[Country],Tabela1[[#This Row],[Country]],Table20[100m Backstroke Classification],"&gt;0")</f>
        <v>0</v>
      </c>
      <c r="JN170" s="6">
        <f>COUNTIFS(Table21[Country],Tabela1[[#This Row],[Country]],Table21[100m Backstroke Classification],"&gt;0")</f>
        <v>0</v>
      </c>
      <c r="JO170" s="6">
        <f>COUNTIFS(Table20[Country],Tabela1[[#This Row],[Country]],Table20[200m Backstroke Classification],"&gt;0")</f>
        <v>0</v>
      </c>
      <c r="JP170" s="6">
        <f>COUNTIFS(Table21[Country],Tabela1[[#This Row],[Country]],Table21[200m Backstroke Classification],"&gt;0")</f>
        <v>0</v>
      </c>
      <c r="JQ170" s="6">
        <f>COUNTIFS(Table20[Country],Tabela1[[#This Row],[Country]],Table20[100m Breaststroke Classification],"&gt;0")</f>
        <v>0</v>
      </c>
      <c r="JR170" s="6">
        <f>COUNTIFS(Table21[Country],Tabela1[[#This Row],[Country]],Table21[100m Breaststroke Classification],"&gt;0")</f>
        <v>0</v>
      </c>
      <c r="JS170" s="6">
        <f>COUNTIFS(Table20[Country],Tabela1[[#This Row],[Country]],Table20[200m Breaststroke Classification],"&gt;0")</f>
        <v>0</v>
      </c>
      <c r="JT170" s="6">
        <f>COUNTIFS(Table21[Country],Tabela1[[#This Row],[Country]],Table21[200m Breaststroke Classification],"&gt;0")</f>
        <v>0</v>
      </c>
      <c r="JU170" s="6">
        <f>COUNTIFS(Table20[Country],Tabela1[[#This Row],[Country]],Table20[100m Butterfly Classification],"&gt;0")</f>
        <v>0</v>
      </c>
      <c r="JV170" s="6">
        <f>COUNTIFS(Table21[Country],Tabela1[[#This Row],[Country]],Table21[100m Butterfly Classification],"&gt;0")</f>
        <v>0</v>
      </c>
      <c r="JW170" s="6">
        <f>COUNTIFS(Table20[Country],Tabela1[[#This Row],[Country]],Table20[200m Butterfly Classification],"&gt;0")</f>
        <v>0</v>
      </c>
      <c r="JX170" s="6">
        <f>COUNTIFS(Table21[Country],Tabela1[[#This Row],[Country]],Table21[200m Butterfly Classification],"&gt;0")</f>
        <v>0</v>
      </c>
      <c r="JY170" s="6">
        <f>COUNTIFS(Table20[Country],Tabela1[[#This Row],[Country]],Table20[200m Medley Classification],"&gt;0")</f>
        <v>0</v>
      </c>
      <c r="JZ170" s="6">
        <f>COUNTIFS(Table21[Country],Tabela1[[#This Row],[Country]],Table21[200m Medley Classification],"&gt;0")</f>
        <v>0</v>
      </c>
      <c r="KA170" s="6">
        <f>COUNTIFS(Table20[Country],Tabela1[[#This Row],[Country]],Table20[400m Medley Classification],"&gt;0")</f>
        <v>0</v>
      </c>
      <c r="KB170" s="6">
        <f>COUNTIFS(Table21[Country],Tabela1[[#This Row],[Country]],Table21[400m Medley Classification],"&gt;0")</f>
        <v>0</v>
      </c>
      <c r="KC170" s="6">
        <f>COUNTIFS(Table78[Country],Tabela1[[#This Row],[Country]],Table78[Men''s 4x100m Freestyle Relay Classification],"&gt;0")</f>
        <v>0</v>
      </c>
      <c r="KD170" s="6">
        <f>COUNTIFS(Table78[Country],Tabela1[[#This Row],[Country]],Table78[Women''s 4x100m Freestyle Relay Classification],"&gt;0")</f>
        <v>0</v>
      </c>
      <c r="KE170" s="6">
        <f>COUNTIFS(Table78[Country],Tabela1[[#This Row],[Country]],Table78[Men''s 4x200m Freestyle Relay Classification],"&gt;0")</f>
        <v>0</v>
      </c>
      <c r="KF170" s="6">
        <f>COUNTIFS(Table78[Country],Tabela1[[#This Row],[Country]],Table78[Women''s 4x200m Freestyle Relay Classification],"&gt;0")</f>
        <v>0</v>
      </c>
      <c r="KG170" s="6">
        <f>COUNTIFS(Table78[Country],Tabela1[[#This Row],[Country]],Table78[Men''s 4x100m Medley Relay Classification],"&gt;0")</f>
        <v>0</v>
      </c>
      <c r="KH170" s="6">
        <f>COUNTIFS(Table78[Country],Tabela1[[#This Row],[Country]],Table78[Women''s 4x100m Medley Relay Classification],"&gt;0")</f>
        <v>0</v>
      </c>
      <c r="KI170" s="6">
        <f>COUNTIFS(Table78[Country],Tabela1[[#This Row],[Country]],Table78[Mixed 4x100m Medley Relay Classification],"&gt;0")</f>
        <v>0</v>
      </c>
      <c r="KJ170" s="6">
        <f>COUNTIFS(Table20[Country],Tabela1[[#This Row],[Country]],Table20[10km Open Water Classification],"&gt;0")</f>
        <v>0</v>
      </c>
      <c r="KK170" s="6">
        <f>COUNTIFS(Table21[Country],Tabela1[[#This Row],[Country]],Table21[10km Open Water Classification],"&gt;0")</f>
        <v>0</v>
      </c>
      <c r="KL170" s="6">
        <f>COUNTIFS(Table22[Country],Tabela1[[#This Row],[Country]],Table22[Classification],"&gt;0")</f>
        <v>0</v>
      </c>
      <c r="KM170" s="6">
        <f>COUNTIFS(Table30[Country],Tabela1[[#This Row],[Country]],Table30[Classification],"&gt;0")</f>
        <v>0</v>
      </c>
      <c r="KN170" s="6">
        <f>COUNTIFS(Table55[Country],Tabela1[[#This Row],[Country]],Table55[Men''s Classification],"&gt;0")</f>
        <v>0</v>
      </c>
      <c r="KO170" s="6">
        <f>COUNTIFS(Table55[Country],Tabela1[[#This Row],[Country]],Table55[Women''s Classification],"&gt;0")</f>
        <v>0</v>
      </c>
      <c r="KP170" s="6">
        <f>COUNTIFS(Table56[Country],Tabela1[[#This Row],[Country]],Table56[Mixed Classification],"&gt;0")</f>
        <v>0</v>
      </c>
      <c r="KQ170" s="6">
        <f>COUNTIFS(Table29[Country],Tabela1[[#This Row],[Country]],Table29[58kg Classification],"&gt;0")</f>
        <v>0</v>
      </c>
      <c r="KR170" s="6">
        <f>COUNTIFS(Table29[Country],Tabela1[[#This Row],[Country]],Table29[68kg Classification],"&gt;0")</f>
        <v>0</v>
      </c>
      <c r="KS170" s="6">
        <f>COUNTIFS(Table29[Country],Tabela1[[#This Row],[Country]],Table29[80kg Classification],"&gt;0")</f>
        <v>0</v>
      </c>
      <c r="KT170" s="6">
        <f>COUNTIFS(Table29[Country],Tabela1[[#This Row],[Country]],Table29[Plus 80kg Classification],"&gt;0")</f>
        <v>0</v>
      </c>
      <c r="KU170" s="6">
        <f>COUNTIFS(Table34[Country],Tabela1[[#This Row],[Country]],Table34[49kg Classification],"&gt;0")</f>
        <v>0</v>
      </c>
      <c r="KV170" s="6">
        <f>COUNTIFS(Table34[Country],Tabela1[[#This Row],[Country]],Table34[57kg Classification],"&gt;0")</f>
        <v>0</v>
      </c>
      <c r="KW170" s="6">
        <f>COUNTIFS(Table34[Country],Tabela1[[#This Row],[Country]],Table34[67kg Classification],"&gt;0")</f>
        <v>0</v>
      </c>
      <c r="KX170" s="6">
        <f>COUNTIFS(Table34[Country],Tabela1[[#This Row],[Country]],Table34[Plus 67kg Classification],"&gt;0")</f>
        <v>0</v>
      </c>
      <c r="KY170" s="6">
        <f>COUNTIFS(Table57[Country],Tabela1[[#This Row],[Country]],Table57[Classification],"&gt;0")</f>
        <v>0</v>
      </c>
      <c r="KZ170" s="6">
        <f>COUNTIFS(Table58[Country],Tabela1[[#This Row],[Country]],Table58[Classification],"&gt;0")</f>
        <v>0</v>
      </c>
      <c r="LA170" s="6">
        <f>COUNTIFS(Table79[Country],Tabela1[[#This Row],[Country]],Table79[Men''s Classification],"&gt;0")</f>
        <v>0</v>
      </c>
      <c r="LB170" s="6">
        <f>COUNTIFS(Table79[Country],Tabela1[[#This Row],[Country]],Table79[Women''s Classification],"&gt;0")</f>
        <v>0</v>
      </c>
      <c r="LC170" s="6">
        <f>COUNTIFS(Table79[Country],Tabela1[[#This Row],[Country]],Table79[Mixed Classification],"&gt;0")</f>
        <v>0</v>
      </c>
      <c r="LD170" s="6">
        <f>COUNTIFS(Table65[Country],Tabela1[[#This Row],[Country]],Table65[Classification],"&gt;0")</f>
        <v>0</v>
      </c>
      <c r="LE170" s="6">
        <f>COUNTIFS(Table59[Country],Tabela1[[#This Row],[Country]],Table59[Classification],"&gt;0")</f>
        <v>0</v>
      </c>
      <c r="LF170" s="6">
        <f>COUNTIFS(Table87[Country],Tabela1[[#This Row],[Country]],Table87[Mixed Relay Classification],"&gt;0")</f>
        <v>0</v>
      </c>
      <c r="LG170" s="6">
        <f>COUNTIFS(Table91949698100[Country],Tabela1[[#This Row],[Country]],Table91949698100[Men''s Classification],"&gt;0")</f>
        <v>0</v>
      </c>
      <c r="LH170" s="6">
        <f>COUNTIFS(Table91949698100[Country],Tabela1[[#This Row],[Country]],Table91949698100[Women''s Classification],"&gt;0")</f>
        <v>0</v>
      </c>
      <c r="LI170" s="6">
        <f>COUNTIFS(Table91949698100102[Country],Tabela1[[#This Row],[Country]],Table91949698100102[Men''s Classification],"&gt;0")</f>
        <v>0</v>
      </c>
      <c r="LJ170" s="6">
        <f>COUNTIFS(Table91949698100102[Country],Tabela1[[#This Row],[Country]],Table91949698100102[Women''s Classification],"&gt;0")</f>
        <v>0</v>
      </c>
      <c r="LK170" s="6">
        <f>COUNTIFS(Table23[Country],Tabela1[[#This Row],[Country]],Table23[61kg Classification],"&gt;0")</f>
        <v>0</v>
      </c>
      <c r="LL170" s="6">
        <f>COUNTIFS(Table23[Country],Tabela1[[#This Row],[Country]],Table23[73kg Classification],"&gt;0")</f>
        <v>0</v>
      </c>
      <c r="LM170" s="6">
        <f>COUNTIFS(Table23[Country],Tabela1[[#This Row],[Country]],Table23[89kg Classification],"&gt;0")</f>
        <v>0</v>
      </c>
      <c r="LN170" s="6">
        <f>COUNTIFS(Table23[Country],Tabela1[[#This Row],[Country]],Table23[102kg Classification],"&gt;0")</f>
        <v>0</v>
      </c>
      <c r="LO170" s="6">
        <f>COUNTIFS(Table23[Country],Tabela1[[#This Row],[Country]],Table23[Plus 102kg Classification],"&gt;0")</f>
        <v>0</v>
      </c>
      <c r="LP170" s="6">
        <f>COUNTIFS(Table28[Country],Tabela1[[#This Row],[Country]],Table28[49kg Classification],"&gt;0")</f>
        <v>0</v>
      </c>
      <c r="LQ170" s="6">
        <f>COUNTIFS(Table28[Country],Tabela1[[#This Row],[Country]],Table28[59kg Classification],"&gt;0")</f>
        <v>0</v>
      </c>
      <c r="LR170" s="6">
        <f>COUNTIFS(Table28[Country],Tabela1[[#This Row],[Country]],Table28[71kg Classification],"&gt;0")</f>
        <v>0</v>
      </c>
      <c r="LS170" s="6">
        <f>COUNTIFS(Table28[Country],Tabela1[[#This Row],[Country]],Table28[81kg Classification],"&gt;0")</f>
        <v>0</v>
      </c>
      <c r="LT170" s="6">
        <f>COUNTIFS(Table28[Country],Tabela1[[#This Row],[Country]],Table28[Plus 81kg Classification],"&gt;0")</f>
        <v>0</v>
      </c>
      <c r="LU170" s="6">
        <f>COUNTIFS(Table24[Country],Tabela1[[#This Row],[Country]],Table24[Freestyle 57kg Classification],"&gt;0")</f>
        <v>0</v>
      </c>
      <c r="LV170" s="6">
        <f>COUNTIFS(Table24[Country],Tabela1[[#This Row],[Country]],Table24[Freestyle 65kg Classification],"&gt;0")</f>
        <v>0</v>
      </c>
      <c r="LW170" s="6">
        <f>COUNTIFS(Table24[Country],Tabela1[[#This Row],[Country]],Table24[Freestyle 74kg Classification],"&gt;0")</f>
        <v>0</v>
      </c>
      <c r="LX170" s="6">
        <f>COUNTIFS(Table24[Country],Tabela1[[#This Row],[Country]],Table24[Freestyle 86kg Classification],"&gt;0")</f>
        <v>0</v>
      </c>
      <c r="LY170" s="6">
        <f>COUNTIFS(Table24[Country],Tabela1[[#This Row],[Country]],Table24[Freestyle 97kg Classification],"&gt;0")</f>
        <v>0</v>
      </c>
      <c r="LZ170" s="6">
        <f>COUNTIFS(Table24[Country],Tabela1[[#This Row],[Country]],Table24[Freestyle 125kg Classification],"&gt;0")</f>
        <v>0</v>
      </c>
      <c r="MA170" s="6">
        <f>COUNTIFS(Table24[Country],Tabela1[[#This Row],[Country]],Table24[Greco-Roman 60kg Classification],"&gt;0")</f>
        <v>0</v>
      </c>
      <c r="MB170" s="6">
        <f>COUNTIFS(Table24[Country],Tabela1[[#This Row],[Country]],Table24[Greco-Roman 67kg Classification],"&gt;0")</f>
        <v>0</v>
      </c>
      <c r="MC170" s="6">
        <f>COUNTIFS(Table24[Country],Tabela1[[#This Row],[Country]],Table24[Greco-Roman 77kg Classification],"&gt;0")</f>
        <v>0</v>
      </c>
      <c r="MD170" s="6">
        <f>COUNTIFS(Table24[Country],Tabela1[[#This Row],[Country]],Table24[Greco-Roman 87kg Classification],"&gt;0")</f>
        <v>0</v>
      </c>
      <c r="ME170" s="6">
        <f>COUNTIFS(Table24[Country],Tabela1[[#This Row],[Country]],Table24[Greco-Roman 97kg Classification],"&gt;0")</f>
        <v>0</v>
      </c>
      <c r="MF170" s="6">
        <f>COUNTIFS(Table24[Country],Tabela1[[#This Row],[Country]],Table24[Greco-Roman 130kg Classification],"&gt;0")</f>
        <v>0</v>
      </c>
      <c r="MG170" s="6">
        <f>COUNTIFS(Table31[Country],Tabela1[[#This Row],[Country]],Table31[50kg Classification],"&gt;0")</f>
        <v>0</v>
      </c>
      <c r="MH170" s="6">
        <f>COUNTIFS(Table31[Country],Tabela1[[#This Row],[Country]],Table31[53kg Classification],"&gt;0")</f>
        <v>0</v>
      </c>
      <c r="MI170" s="6">
        <f>COUNTIFS(Table31[Country],Tabela1[[#This Row],[Country]],Table31[57kg Classification],"&gt;0")</f>
        <v>0</v>
      </c>
      <c r="MJ170" s="6">
        <f>COUNTIFS(Table31[Country],Tabela1[[#This Row],[Country]],Table31[62kg Classification],"&gt;0")</f>
        <v>0</v>
      </c>
      <c r="MK170" s="6">
        <f>COUNTIFS(Table31[Country],Tabela1[[#This Row],[Country]],Table31[68kg Classification],"&gt;0")</f>
        <v>0</v>
      </c>
      <c r="ML170" s="6">
        <f>COUNTIFS(Table31[Country],Tabela1[[#This Row],[Country]],Table31[76kg Classification],"&gt;0")</f>
        <v>0</v>
      </c>
      <c r="MM170" s="6">
        <f>COUNTIFS(Table102[Country],Tabela1[[#This Row],[Country]],Table102[Downhill Classification],"&gt;0")</f>
        <v>0</v>
      </c>
      <c r="MN170" s="6">
        <f>COUNTIFS(Table102105[Country],Tabela1[[#This Row],[Country]],Table102105[Downhill Classification],"&gt;0")</f>
        <v>0</v>
      </c>
      <c r="MO170" s="6">
        <f>COUNTIFS(Table102[Country],Tabela1[[#This Row],[Country]],Table102[Giant Slalom Classification],"&gt;0")</f>
        <v>0</v>
      </c>
      <c r="MP170" s="6">
        <f>COUNTIFS(Table102105[Country],Tabela1[[#This Row],[Country]],Table102105[Giant Slalom Classification],"&gt;0")</f>
        <v>0</v>
      </c>
      <c r="MQ170" s="6">
        <f>COUNTIFS(Table102[Country],Tabela1[[#This Row],[Country]],Table102[Slalom Classification],"&gt;0")</f>
        <v>0</v>
      </c>
      <c r="MR170" s="6">
        <f>COUNTIFS(Table102105[Country],Tabela1[[#This Row],[Country]],Table102105[Slalom Classification],"&gt;0")</f>
        <v>0</v>
      </c>
      <c r="MS170" s="6">
        <f>COUNTIFS(Table102[Country],Tabela1[[#This Row],[Country]],Table102[Super-G Classification],"&gt;0")</f>
        <v>0</v>
      </c>
      <c r="MT170" s="6">
        <f>COUNTIFS(Table102105[Country],Tabela1[[#This Row],[Country]],Table102105[Super-G Classification],"&gt;0")</f>
        <v>0</v>
      </c>
      <c r="MU170" s="6">
        <f>COUNTIFS(Table105[Country],Tabela1[[#This Row],[Country]],Table105[Men''s Combined Classification],"&gt;0")</f>
        <v>0</v>
      </c>
      <c r="MV170" s="6">
        <f>COUNTIFS(Table105[Country],Tabela1[[#This Row],[Country]],Table105[Women''s Combined Classification],"&gt;0")</f>
        <v>0</v>
      </c>
      <c r="MW170" s="6">
        <f>COUNTIFS(Table106[Country],Tabela1[[#This Row],[Country]],Table106[Individual Classification],"&gt;0")</f>
        <v>0</v>
      </c>
      <c r="MX170" s="6">
        <f>COUNTIFS(Table106109[Country],Tabela1[[#This Row],[Country]],Table106109[Individual Classification],"&gt;0")</f>
        <v>0</v>
      </c>
      <c r="MY170" s="6">
        <f>COUNTIFS(Table106[Country],Tabela1[[#This Row],[Country]],Table106[Mass Start Classification],"&gt;0")</f>
        <v>0</v>
      </c>
      <c r="MZ170" s="6">
        <f>COUNTIFS(Table106109[Country],Tabela1[[#This Row],[Country]],Table106109[Mass Start Classification],"&gt;0")</f>
        <v>0</v>
      </c>
      <c r="NA170" s="6">
        <f>COUNTIFS(Table106[Country],Tabela1[[#This Row],[Country]],Table106[Pursuit Classification],"&gt;0")</f>
        <v>0</v>
      </c>
      <c r="NB170" s="6">
        <f>COUNTIFS(Table106109[Country],Tabela1[[#This Row],[Country]],Table106109[Pursuit Classification],"&gt;0")</f>
        <v>0</v>
      </c>
      <c r="NC170" s="6">
        <f>COUNTIFS(Table106[Country],Tabela1[[#This Row],[Country]],Table106[Sprint Classification],"&gt;0")</f>
        <v>0</v>
      </c>
      <c r="ND170" s="6">
        <f>COUNTIFS(Table106109[Country],Tabela1[[#This Row],[Country]],Table106109[Sprint Classification],"&gt;0")</f>
        <v>0</v>
      </c>
      <c r="NE170" s="6">
        <f>COUNTIFS(Table109[Country],Tabela1[[#This Row],[Country]],Table109[Men''s Relay Classification],"&gt;0")</f>
        <v>0</v>
      </c>
      <c r="NF170" s="6">
        <f>COUNTIFS(Table109[Country],Tabela1[[#This Row],[Country]],Table109[Women''s Relay Classification],"&gt;0")</f>
        <v>0</v>
      </c>
      <c r="NG170" s="6">
        <f>COUNTIFS(Table109[Country],Tabela1[[#This Row],[Country]],Table109[Mixed Relay Classification],"&gt;0")</f>
        <v>0</v>
      </c>
      <c r="NH170" s="6">
        <f>COUNTIFS(Table110[Country],Tabela1[[#This Row],[Country]],Table110[Monobob Classification],"&gt;0")</f>
        <v>0</v>
      </c>
      <c r="NI170" s="6">
        <f>COUNTIFS(Table111[Country],Tabela1[[#This Row],[Country]],Table111[Men''s Classification],"&gt;0")</f>
        <v>0</v>
      </c>
      <c r="NJ170" s="6">
        <f>COUNTIFS(Table111[Country],Tabela1[[#This Row],[Country]],Table111[Women''s Classification],"&gt;0")</f>
        <v>0</v>
      </c>
      <c r="NK170" s="6">
        <f>COUNTIFS(Table112[Country],Tabela1[[#This Row],[Country]],Table112[Men''s Four Classification],"&gt;0")</f>
        <v>0</v>
      </c>
      <c r="NL170" s="6">
        <f>COUNTIFS(Table113[Country],Tabela1[[#This Row],[Country]],Table113[Classical Classification],"&gt;0")</f>
        <v>0</v>
      </c>
      <c r="NM170" s="6">
        <f>COUNTIFS(Table113116[Country],Tabela1[[#This Row],[Country]],Table113116[Classical Classification],"&gt;0")</f>
        <v>0</v>
      </c>
      <c r="NN170" s="6">
        <f>COUNTIFS(Table113[Country],Tabela1[[#This Row],[Country]],Table113[Freestyle Classification],"&gt;0")</f>
        <v>0</v>
      </c>
      <c r="NO170" s="6">
        <f>COUNTIFS(Table113116[Country],Tabela1[[#This Row],[Country]],Table113116[Freestyle Classification],"&gt;0")</f>
        <v>0</v>
      </c>
      <c r="NP170" s="6">
        <f>COUNTIFS(Table117[Country],Tabela1[[#This Row],[Country]],Table117[Men''s Relay Classification],"&gt;0")</f>
        <v>0</v>
      </c>
      <c r="NQ170" s="6">
        <f>COUNTIFS(Table117[Country],Tabela1[[#This Row],[Country]],Table117[Women''s Relay Classification],"&gt;0")</f>
        <v>0</v>
      </c>
      <c r="NR170" s="6">
        <f>COUNTIFS(Table113[Country],Tabela1[[#This Row],[Country]],Table113[Skiathlon Classification],"&gt;0")</f>
        <v>0</v>
      </c>
      <c r="NS170" s="6">
        <f>COUNTIFS(Table113116[Country],Tabela1[[#This Row],[Country]],Table113116[Skiathlon Classification],"&gt;0")</f>
        <v>0</v>
      </c>
      <c r="NT170" s="6">
        <f>COUNTIFS(Table113[Country],Tabela1[[#This Row],[Country]],Table113[Sprint Classification],"&gt;0")</f>
        <v>0</v>
      </c>
      <c r="NU170" s="6">
        <f>COUNTIFS(Table113116[Country],Tabela1[[#This Row],[Country]],Table113116[Sprint Classification],"&gt;0")</f>
        <v>0</v>
      </c>
      <c r="NV170" s="6">
        <f>COUNTIFS(Table116[Country],Tabela1[[#This Row],[Country]],Table116[Men''s Team Sprint Classification],"&gt;0")</f>
        <v>0</v>
      </c>
      <c r="NW170" s="6">
        <f>COUNTIFS(Table116[Country],Tabela1[[#This Row],[Country]],Table116[Women''s Team Sprint Classification],"&gt;0")</f>
        <v>0</v>
      </c>
      <c r="NX170" s="6">
        <f>COUNTIFS(Table119[Country],Tabela1[[#This Row],[Country]],Table119[Men''s Classification],"&gt;0")</f>
        <v>0</v>
      </c>
      <c r="NY170" s="6">
        <f>COUNTIFS(Table119[Country],Tabela1[[#This Row],[Country]],Table119[Women''s Classification],"&gt;0")</f>
        <v>0</v>
      </c>
      <c r="NZ170" s="6">
        <f>COUNTIFS(Table118[Country],Tabela1[[#This Row],[Country]],Table118[Mixed Classification],"&gt;0")</f>
        <v>0</v>
      </c>
      <c r="OA170" s="6">
        <f>COUNTIFS(Table120[Country],Tabela1[[#This Row],[Country]],Table120[Classification],"&gt;0")</f>
        <v>0</v>
      </c>
      <c r="OB170" s="6">
        <f>COUNTIFS(Table120123[Country],Tabela1[[#This Row],[Country]],Table120123[Classification],"&gt;0")</f>
        <v>0</v>
      </c>
      <c r="OC170" s="6">
        <f>COUNTIFS(Table123[Country],Tabela1[[#This Row],[Country]],Table123[Ice Dance Classification],"&gt;0")</f>
        <v>0</v>
      </c>
      <c r="OD170" s="6">
        <f>COUNTIFS(Table123[Country],Tabela1[[#This Row],[Country]],Table123[Pair Skating Classification],"&gt;0")</f>
        <v>0</v>
      </c>
      <c r="OE170" s="6">
        <f>COUNTIFS(Table124[Country],Tabela1[[#This Row],[Country]],Table124[Mixed Classification],"&gt;0")</f>
        <v>0</v>
      </c>
      <c r="OF170" s="6">
        <f>COUNTIFS(Table125[Country],Tabela1[[#This Row],[Country]],Table125[Aerials Classification],"&gt;0")</f>
        <v>0</v>
      </c>
      <c r="OG170" s="6">
        <f>COUNTIFS(Table125128[Country],Tabela1[[#This Row],[Country]],Table125128[Aerials Classification],"&gt;0")</f>
        <v>0</v>
      </c>
      <c r="OH170" s="6">
        <f>COUNTIFS(Table128[Country],Tabela1[[#This Row],[Country]],Table128[Mixed Aerials Classification],"&gt;0")</f>
        <v>0</v>
      </c>
      <c r="OI170" s="6">
        <f>COUNTIFS(Table125[Country],Tabela1[[#This Row],[Country]],Table125[Big Air Classification],"&gt;0")</f>
        <v>0</v>
      </c>
      <c r="OJ170" s="6">
        <f>COUNTIFS(Table125128[Country],Tabela1[[#This Row],[Country]],Table125128[Big Air Classification],"&gt;0")</f>
        <v>0</v>
      </c>
      <c r="OK170" s="6">
        <f>COUNTIFS(Table125[Country],Tabela1[[#This Row],[Country]],Table125[Dual Moguls Classification],"&gt;0")</f>
        <v>0</v>
      </c>
      <c r="OL170" s="6">
        <f>COUNTIFS(Table125128[Country],Tabela1[[#This Row],[Country]],Table125128[Dual Moguls Classification],"&gt;0")</f>
        <v>0</v>
      </c>
      <c r="OM170" s="6">
        <f>COUNTIFS(Table125[Country],Tabela1[[#This Row],[Country]],Table125[Halfpipe Classification],"&gt;0")</f>
        <v>0</v>
      </c>
      <c r="ON170" s="6">
        <f>COUNTIFS(Table125128[Country],Tabela1[[#This Row],[Country]],Table125128[Halfpipe Classification],"&gt;0")</f>
        <v>0</v>
      </c>
      <c r="OO170" s="6">
        <f>COUNTIFS(Table125[Country],Tabela1[[#This Row],[Country]],Table125[Moguls Classification],"&gt;0")</f>
        <v>0</v>
      </c>
      <c r="OP170" s="6">
        <f>COUNTIFS(Table125128[Country],Tabela1[[#This Row],[Country]],Table125128[Moguls Classification],"&gt;0")</f>
        <v>0</v>
      </c>
      <c r="OQ170" s="6">
        <f>COUNTIFS(Table125[Country],Tabela1[[#This Row],[Country]],Table125[Ski Cross Classification],"&gt;0")</f>
        <v>0</v>
      </c>
      <c r="OR170" s="6">
        <f>COUNTIFS(Table125128[Country],Tabela1[[#This Row],[Country]],Table125128[Ski Cross Classification],"&gt;0")</f>
        <v>0</v>
      </c>
      <c r="OS170" s="6">
        <f>COUNTIFS(Table125[Country],Tabela1[[#This Row],[Country]],Table125[Slopestyle Classification],"&gt;0")</f>
        <v>0</v>
      </c>
      <c r="OT170" s="6">
        <f>COUNTIFS(Table125128[Country],Tabela1[[#This Row],[Country]],Table125128[Slopestyle Classification],"&gt;0")</f>
        <v>0</v>
      </c>
      <c r="OU170" s="6">
        <f>COUNTIFS(Table119131[Country],Tabela1[[#This Row],[Country]],Table119131[Men''s Classification],"&gt;0")</f>
        <v>0</v>
      </c>
      <c r="OV170" s="6">
        <f>COUNTIFS(Table119131[Country],Tabela1[[#This Row],[Country]],Table119131[Women''s Classification],"&gt;0")</f>
        <v>0</v>
      </c>
      <c r="OW170" s="6">
        <f>COUNTIFS(Table131[Country],Tabela1[[#This Row],[Country]],Table131[Classification],"&gt;0")</f>
        <v>0</v>
      </c>
      <c r="OX170" s="6">
        <f>COUNTIFS(Table131134[Country],Tabela1[[#This Row],[Country]],Table131134[Classification],"&gt;0")</f>
        <v>0</v>
      </c>
      <c r="OY170" s="6">
        <f>COUNTIFS(Table134[Country],Tabela1[[#This Row],[Country]],Table134[Men''s Classification],"&gt;0")</f>
        <v>0</v>
      </c>
      <c r="OZ170" s="6">
        <f>COUNTIFS(Table134[Country],Tabela1[[#This Row],[Country]],Table134[Women''s Classification],"&gt;0")</f>
        <v>0</v>
      </c>
      <c r="PA170" s="6">
        <f>COUNTIFS(Table135[Country],Tabela1[[#This Row],[Country]],Table135[Mixed Relay Classification],"&gt;0")</f>
        <v>0</v>
      </c>
      <c r="PB170" s="6">
        <f>COUNTIFS(Table136[Country],Tabela1[[#This Row],[Country]],Table136[Individual Classification],"&gt;0")</f>
        <v>0</v>
      </c>
      <c r="PC170" s="6">
        <f>COUNTIFS(Table136[Country],Tabela1[[#This Row],[Country]],Table136[Sprint Classification],"&gt;0")</f>
        <v>0</v>
      </c>
      <c r="PD170" s="6">
        <f>COUNTIFS(Table137[Country],Tabela1[[#This Row],[Country]],Table137[Men''s Team Sprint Large Hill Classification],"&gt;0")</f>
        <v>0</v>
      </c>
      <c r="PE170" s="6">
        <f>COUNTIFS(Table138[Country],Tabela1[[#This Row],[Country]],Table138[500m Classification],"&gt;0")</f>
        <v>0</v>
      </c>
      <c r="PF170" s="6">
        <f>COUNTIFS(Table138141[Country],Tabela1[[#This Row],[Country]],Table138141[500m Classification],"&gt;0")</f>
        <v>0</v>
      </c>
      <c r="PG170" s="6">
        <f>COUNTIFS(Table138[Country],Tabela1[[#This Row],[Country]],Table138[1000m Classification],"&gt;0")</f>
        <v>0</v>
      </c>
      <c r="PH170" s="6">
        <f>COUNTIFS(Table138141[Country],Tabela1[[#This Row],[Country]],Table138141[1000m Classification],"&gt;0")</f>
        <v>0</v>
      </c>
      <c r="PI170" s="6">
        <f>COUNTIFS(Table138[Country],Tabela1[[#This Row],[Country]],Table138[1500m Classification],"&gt;0")</f>
        <v>0</v>
      </c>
      <c r="PJ170" s="6">
        <f>COUNTIFS(Table138141[Country],Tabela1[[#This Row],[Country]],Table138141[1500m Classification],"&gt;0")</f>
        <v>0</v>
      </c>
      <c r="PK170" s="6">
        <f>COUNTIFS(Table141[Country],Tabela1[[#This Row],[Country]],Table141[Men''s 5000m Relay Classification],"&gt;0")</f>
        <v>0</v>
      </c>
      <c r="PL170" s="6">
        <f>COUNTIFS(Table141[Country],Tabela1[[#This Row],[Country]],Table141[Women''s 3000m Relay Classification],"&gt;0")</f>
        <v>0</v>
      </c>
      <c r="PM170" s="6">
        <f>COUNTIFS(Table141[Country],Tabela1[[#This Row],[Country]],Table141[Mixed 2000m Relay Classification],"&gt;0")</f>
        <v>0</v>
      </c>
      <c r="PN170" s="6">
        <f>COUNTIFS(Table142[Country],Tabela1[[#This Row],[Country]],Table142[Classification],"&gt;0")</f>
        <v>0</v>
      </c>
      <c r="PO170" s="6">
        <f>COUNTIFS(Table142145[Country],Tabela1[[#This Row],[Country]],Table142145[Classification],"&gt;0")</f>
        <v>0</v>
      </c>
      <c r="PP170" s="6">
        <f>COUNTIFS(Tabela15[Country],Tabela1[[#This Row],[Country]],Tabela15[Mixed Team Classification],"&gt;0")</f>
        <v>0</v>
      </c>
      <c r="PQ170" s="6">
        <f>COUNTIFS(Table145[Country],Tabela1[[#This Row],[Country]],Table145[Large Hill Classification],"&gt;0")</f>
        <v>0</v>
      </c>
      <c r="PR170" s="6">
        <f>COUNTIFS(Table145[Country],Tabela1[[#This Row],[Country]],Table145[Normal Hill Classification],"&gt;0")</f>
        <v>0</v>
      </c>
      <c r="PS170" s="6">
        <f>COUNTIFS(Table145148[Country],Tabela1[[#This Row],[Country]],Table145148[Large Hill Classification],"&gt;0")</f>
        <v>0</v>
      </c>
      <c r="PT170" s="6">
        <f>COUNTIFS(Table145148[Country],Tabela1[[#This Row],[Country]],Table145148[Normal Hill Classification],"&gt;0")</f>
        <v>0</v>
      </c>
      <c r="PU170" s="6">
        <f>COUNTIFS(Table148[Country],Tabela1[[#This Row],[Country]],Table148[Men''s Super Team Classification],"&gt;0")</f>
        <v>0</v>
      </c>
      <c r="PV170" s="6">
        <f>COUNTIFS(Tabela114[Country],Tabela1[[#This Row],[Country]],Tabela114[Mixed Normal Hill Classification],"&gt;0")</f>
        <v>0</v>
      </c>
      <c r="PW170" s="6">
        <f>COUNTIFS(Tabela50[Country],Tabela1[[#This Row],[Country]],Tabela50[Sprint Classification],"&gt;0")</f>
        <v>0</v>
      </c>
      <c r="PX170" s="6">
        <f>COUNTIFS(Tabela50101[Country],Tabela1[[#This Row],[Country]],Tabela50101[Sprint Classification],"&gt;0")</f>
        <v>0</v>
      </c>
      <c r="PY170" s="6">
        <f>COUNTIFS(Tabela103[Country],Tabela1[[#This Row],[Country]],Tabela103[Mixed Relay Classification],"&gt;0")</f>
        <v>0</v>
      </c>
      <c r="PZ170" s="6">
        <f>COUNTIFS(Table149[Country],Tabela1[[#This Row],[Country]],Table149[Big Air Classification],"&gt;0")</f>
        <v>0</v>
      </c>
      <c r="QA170" s="6">
        <f>COUNTIFS(Table149152[Country],Tabela1[[#This Row],[Country]],Table149152[Big Air Classification],"&gt;0")</f>
        <v>0</v>
      </c>
      <c r="QB170" s="6">
        <f>COUNTIFS(Table149[Country],Tabela1[[#This Row],[Country]],Table149[Halfpipe Classification],"&gt;0")</f>
        <v>0</v>
      </c>
      <c r="QC170" s="6">
        <f>COUNTIFS(Table149152[Country],Tabela1[[#This Row],[Country]],Table149152[Halfpipe Classification],"&gt;0")</f>
        <v>0</v>
      </c>
      <c r="QD170" s="6">
        <f>COUNTIFS(Table149[Country],Tabela1[[#This Row],[Country]],Table149[Parallel Giant Slalom Classification],"&gt;0")</f>
        <v>0</v>
      </c>
      <c r="QE170" s="6">
        <f>COUNTIFS(Table149152[Country],Tabela1[[#This Row],[Country]],Table149152[Parallel Giant Slalom Classification],"&gt;0")</f>
        <v>0</v>
      </c>
      <c r="QF170" s="6">
        <f>COUNTIFS(Table149[Country],Tabela1[[#This Row],[Country]],Table149[Slopestyle Classification],"&gt;0")</f>
        <v>0</v>
      </c>
      <c r="QG170" s="6">
        <f>COUNTIFS(Table149152[Country],Tabela1[[#This Row],[Country]],Table149152[Slopestyle Classification],"&gt;0")</f>
        <v>0</v>
      </c>
      <c r="QH170" s="6">
        <f>COUNTIFS(Table149[Country],Tabela1[[#This Row],[Country]],Table149[Snowboard Cross Classification],"&gt;0")</f>
        <v>0</v>
      </c>
      <c r="QI170" s="6">
        <f>COUNTIFS(Table149152[Country],Tabela1[[#This Row],[Country]],Table149152[Snowboard Cross Classification],"&gt;0")</f>
        <v>0</v>
      </c>
      <c r="QJ170" s="6">
        <f>COUNTIFS(Table153[Country],Tabela1[[#This Row],[Country]],Table153[Mixed Team Snowboard Cross Classification],"&gt;0")</f>
        <v>0</v>
      </c>
      <c r="QK170" s="6">
        <f>COUNTIFS(Table154[Country],Tabela1[[#This Row],[Country]],Table154[500m Classification],"&gt;0")</f>
        <v>0</v>
      </c>
      <c r="QL170" s="6">
        <f>COUNTIFS(Table154157[Country],Tabela1[[#This Row],[Country]],Table154157[500m Classification],"&gt;0")</f>
        <v>0</v>
      </c>
      <c r="QM170" s="6">
        <f>COUNTIFS(Table154[Country],Tabela1[[#This Row],[Country]],Table154[1000m Classification],"&gt;0")</f>
        <v>0</v>
      </c>
      <c r="QN170" s="6">
        <f>COUNTIFS(Table154157[Country],Tabela1[[#This Row],[Country]],Table154157[1000m Classification],"&gt;0")</f>
        <v>0</v>
      </c>
      <c r="QO170" s="6">
        <f>COUNTIFS(Table154[Country],Tabela1[[#This Row],[Country]],Table154[1500m Classification],"&gt;0")</f>
        <v>0</v>
      </c>
      <c r="QP170" s="6">
        <f>COUNTIFS(Table154157[Country],Tabela1[[#This Row],[Country]],Table154157[1500m Classification],"&gt;0")</f>
        <v>0</v>
      </c>
      <c r="QQ170" s="6">
        <f>COUNTIFS(Table154157[Country],Tabela1[[#This Row],[Country]],Table154157[3000m Classification],"&gt;0")</f>
        <v>0</v>
      </c>
      <c r="QR170" s="6">
        <f>COUNTIFS(Table154[Country],Tabela1[[#This Row],[Country]],Table154[5000m Classification],"&gt;0")</f>
        <v>0</v>
      </c>
      <c r="QS170" s="6">
        <f>COUNTIFS(Table154157[Country],Tabela1[[#This Row],[Country]],Table154157[5000m Classification],"&gt;0")</f>
        <v>0</v>
      </c>
      <c r="QT170" s="6">
        <f>COUNTIFS(Table154[Country],Tabela1[[#This Row],[Country]],Table154[10000m Classification],"&gt;0")</f>
        <v>0</v>
      </c>
      <c r="QU170" s="6">
        <f>COUNTIFS(Table154[Country],Tabela1[[#This Row],[Country]],Table154[Mass Start Classification],"&gt;0")</f>
        <v>0</v>
      </c>
      <c r="QV170" s="6">
        <f>COUNTIFS(Table154157[Country],Tabela1[[#This Row],[Country]],Table154157[Mass Start Classification],"&gt;0")</f>
        <v>0</v>
      </c>
      <c r="QW170" s="6">
        <f>COUNTIFS(Table157[Country],Tabela1[[#This Row],[Country]],Table157[Men''s Pursuit Classification],"&gt;0")</f>
        <v>0</v>
      </c>
      <c r="QX170" s="6">
        <f>COUNTIFS(Table157[Country],Tabela1[[#This Row],[Country]],Table157[Women''s Pursuit Classification],"&gt;0")</f>
        <v>0</v>
      </c>
      <c r="QY170" s="4" t="s">
        <v>537</v>
      </c>
    </row>
    <row r="171" spans="1:467" x14ac:dyDescent="0.3">
      <c r="A171" s="6">
        <v>170</v>
      </c>
      <c r="B171" s="6" t="s">
        <v>548</v>
      </c>
      <c r="C171" t="e" vm="170">
        <f>IF(ISBLANK(Tabela1[[#This Row],[Image Link]]), "", _xlfn.IMAGE(Tabela1[[#This Row],[Image Link]],1,1))</f>
        <v>#VALUE!</v>
      </c>
      <c r="D171" s="6">
        <f>SUM(Tabela1[[#This Row],[Archery - Men''s Individual Recurve]:[Speed Skating - Women''s Team Pursuit]])</f>
        <v>0</v>
      </c>
      <c r="E171" s="6">
        <f>COUNTIF(Tabela1[[#This Row],[Archery - Men''s Individual Recurve]:[Speed Skating - Women''s Team Pursuit]],"&gt;0")</f>
        <v>0</v>
      </c>
      <c r="F171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71" s="6">
        <f>SUM(Tabela1[[#This Row],[Archery - Men''s Individual Recurve]:[Wrestling - Women''s Freestyle 76kg]])</f>
        <v>0</v>
      </c>
      <c r="H171" s="6">
        <f>SUM(Tabela1[[#This Row],[Alpine Skiing - Men''s Downhill]:[Speed Skating - Women''s Team Pursuit]])</f>
        <v>0</v>
      </c>
      <c r="I171" s="6">
        <f>Tabela1[[#This Row],[Summer Gold Medals]]+Tabela1[[#This Row],[Winter Gold Medals]]</f>
        <v>0</v>
      </c>
      <c r="J171" s="6">
        <f>Tabela1[[#This Row],[Summer Silver Medals]]+Tabela1[[#This Row],[Winter Silver Medals]]</f>
        <v>0</v>
      </c>
      <c r="K171" s="6">
        <f>Tabela1[[#This Row],[Summer Bronze Medals]]+Tabela1[[#This Row],[Winter Bronze Medals]]</f>
        <v>0</v>
      </c>
      <c r="L171" s="6">
        <f>SUM(Tabela1[[#This Row],[Total Gold Medals]:[Total Bronze Medals]])</f>
        <v>0</v>
      </c>
      <c r="M171" s="6"/>
      <c r="N171" s="6"/>
      <c r="O171" s="6"/>
      <c r="P171" s="6">
        <f>SUM(Tabela1[[#This Row],[Summer Gold Medals]:[Summer Bronze Medals]])</f>
        <v>0</v>
      </c>
      <c r="Q171" s="6"/>
      <c r="R171" s="6"/>
      <c r="S171" s="6"/>
      <c r="T171" s="6">
        <f>Tabela1[[#This Row],[Winter Gold Medals]]+Tabela1[[#This Row],[Winter Silver Medals]]+Tabela1[[#This Row],[Winter Bronze Medals]]</f>
        <v>0</v>
      </c>
      <c r="U171" s="7" t="e">
        <f>Tabela1[[#This Row],[Total Medals]]/Tabela1[[#This Row],[Total Quotas]]</f>
        <v>#DIV/0!</v>
      </c>
      <c r="V171" s="6">
        <f>COUNTIFS(Table3[Country],Tabela1[[#This Row],[Country]],Table3[Recurve Classification],"&gt;0")</f>
        <v>0</v>
      </c>
      <c r="W171" s="6">
        <f>COUNTIFS(Table33[Country],Tabela1[[#This Row],[Country]],Table33[Recurve Classification],"&gt;0")</f>
        <v>0</v>
      </c>
      <c r="X171" s="6">
        <f>COUNTIFS(Table35[Country],Tabela1[[#This Row],[Country]],Table35[Men''s Team Recurve Classification],"&gt;0")</f>
        <v>0</v>
      </c>
      <c r="Y171" s="6">
        <f>COUNTIFS(Table35[Country],Tabela1[[#This Row],[Country]],Table35[Women''s Team Recurve Classification],"&gt;0")</f>
        <v>0</v>
      </c>
      <c r="Z171" s="6">
        <f>COUNTIFS(Tabela88[Country],Tabela1[[#This Row],[Country]],Tabela88[Mixed Team Recurve Classification],"&gt;0")</f>
        <v>0</v>
      </c>
      <c r="AA171" s="6">
        <f>COUNTIFS(Table36[Country],Tabela1[[#This Row],[Country]],Table36[Classification],"&gt;0")</f>
        <v>0</v>
      </c>
      <c r="AB171" s="6">
        <f>COUNTIFS(Table37[Country],Tabela1[[#This Row],[Country]],Table37[Classification],"&gt;0")</f>
        <v>0</v>
      </c>
      <c r="AC171" s="6">
        <f>COUNTIFS(Table4[Country],Tabela1[[#This Row],[Country]],Table4[100m Classification],"&gt;0")</f>
        <v>0</v>
      </c>
      <c r="AD171" s="6">
        <f>COUNTIFS(Table5[Country],Tabela1[[#This Row],[Country]],Table5[100m Classification],"&gt;0")</f>
        <v>0</v>
      </c>
      <c r="AE171" s="6">
        <f>COUNTIFS(Table4[Country],Tabela1[[#This Row],[Country]],Table4[200m Classification],"&gt;0")</f>
        <v>0</v>
      </c>
      <c r="AF171" s="6">
        <f>COUNTIFS(Table5[Country],Tabela1[[#This Row],[Country]],Table5[200m Classification],"&gt;0")</f>
        <v>0</v>
      </c>
      <c r="AG171" s="6">
        <f>COUNTIFS(Table4[Country],Tabela1[[#This Row],[Country]],Table4[400m Classification],"&gt;0")</f>
        <v>0</v>
      </c>
      <c r="AH171" s="6">
        <f>COUNTIFS(Table5[Country],Tabela1[[#This Row],[Country]],Table5[400m Classification],"&gt;0")</f>
        <v>0</v>
      </c>
      <c r="AI171" s="6">
        <f>COUNTIFS(Table4[Country],Tabela1[[#This Row],[Country]],Table4[800m Classification],"&gt;0")</f>
        <v>0</v>
      </c>
      <c r="AJ171" s="6">
        <f>COUNTIFS(Table5[Country],Tabela1[[#This Row],[Country]],Table5[800m Classification],"&gt;0")</f>
        <v>0</v>
      </c>
      <c r="AK171" s="6">
        <f>COUNTIFS(Table4[Country],Tabela1[[#This Row],[Country]],Table4[1500m Classification],"&gt;0")</f>
        <v>0</v>
      </c>
      <c r="AL171" s="6">
        <f>COUNTIFS(Table5[Country],Tabela1[[#This Row],[Country]],Table5[1500m Classification],"&gt;0")</f>
        <v>0</v>
      </c>
      <c r="AM171" s="6">
        <f>COUNTIFS(Table4[Country],Tabela1[[#This Row],[Country]],Table4[5000m Classification],"&gt;0")</f>
        <v>0</v>
      </c>
      <c r="AN171" s="6">
        <f>COUNTIFS(Table5[Country],Tabela1[[#This Row],[Country]],Table5[5000m Classification],"&gt;0")</f>
        <v>0</v>
      </c>
      <c r="AO171" s="6">
        <f>COUNTIFS(Table4[Country],Tabela1[[#This Row],[Country]],Table4[10000m Classification],"&gt;0")</f>
        <v>0</v>
      </c>
      <c r="AP171" s="6">
        <f>COUNTIFS(Table5[Country],Tabela1[[#This Row],[Country]],Table5[10000m Classification],"&gt;0")</f>
        <v>0</v>
      </c>
      <c r="AQ171" s="6">
        <f>COUNTIFS(Table4[Country],Tabela1[[#This Row],[Country]],Table4[110m Hurdles Classification],"&gt;0")</f>
        <v>0</v>
      </c>
      <c r="AR171" s="6">
        <f>COUNTIFS(Table5[Country],Tabela1[[#This Row],[Country]],Table5[100m Hurdles Classification],"&gt;0")</f>
        <v>0</v>
      </c>
      <c r="AS171" s="6">
        <f>COUNTIFS(Table4[Country],Tabela1[[#This Row],[Country]],Table4[400m Hurdles Classification],"&gt;0")</f>
        <v>0</v>
      </c>
      <c r="AT171" s="6">
        <f>COUNTIFS(Table5[Country],Tabela1[[#This Row],[Country]],Table5[400m Hurdles Classification],"&gt;0")</f>
        <v>0</v>
      </c>
      <c r="AU171" s="6">
        <f>COUNTIFS(Table4[Country],Tabela1[[#This Row],[Country]],Table4[3000m Steeplechase Classification],"&gt;0")</f>
        <v>0</v>
      </c>
      <c r="AV171" s="6">
        <f>COUNTIFS(Table5[Country],Tabela1[[#This Row],[Country]],Table5[3000m Steeplechase Classification],"&gt;0")</f>
        <v>0</v>
      </c>
      <c r="AW171" s="6">
        <f>COUNTIFS(Table27[Country],Tabela1[[#This Row],[Country]],Table27[Men''s 4x100m Relay Classification],"&gt;0")</f>
        <v>0</v>
      </c>
      <c r="AX171" s="6">
        <f>COUNTIFS(Table27[Country],Tabela1[[#This Row],[Country]],Table27[Women''s 4x100m Relay Classification],"&gt;0")</f>
        <v>0</v>
      </c>
      <c r="AY171" s="6">
        <f>COUNTIFS(Table27[Country],Tabela1[[#This Row],[Country]],Table27[Men''s 4x400m Relay Classification],"&gt;0")</f>
        <v>0</v>
      </c>
      <c r="AZ171" s="6">
        <f>COUNTIFS(Table27[Country],Tabela1[[#This Row],[Country]],Table27[Women''s 4x400m Relay Classification],"&gt;0")</f>
        <v>0</v>
      </c>
      <c r="BA171" s="6">
        <f>COUNTIFS(Table27[Country],Tabela1[[#This Row],[Country]],Table27[Mixed 4x400m Relay Classification],"&gt;0")</f>
        <v>0</v>
      </c>
      <c r="BB171" s="6">
        <f>COUNTIFS(Table4[Country],Tabela1[[#This Row],[Country]],Table4[Marathon Classification],"&gt;0")</f>
        <v>0</v>
      </c>
      <c r="BC171" s="6">
        <f>COUNTIFS(Table5[Country],Tabela1[[#This Row],[Country]],Table5[Marathon Classification],"&gt;0")</f>
        <v>0</v>
      </c>
      <c r="BD171" s="6">
        <f>COUNTIFS(Table4[Country],Tabela1[[#This Row],[Country]],Table4[20km Race Walk Classification],"&gt;0")</f>
        <v>0</v>
      </c>
      <c r="BE171" s="6">
        <f>COUNTIFS(Table5[Country],Tabela1[[#This Row],[Country]],Table5[20km Race Walk Classification],"&gt;0")</f>
        <v>0</v>
      </c>
      <c r="BF171" s="6">
        <f>COUNTIFS(Tabela96[Country],Tabela1[[#This Row],[Country]],Tabela96[Mixed Marathon Race Walk Relay Classification],"&gt;0")</f>
        <v>0</v>
      </c>
      <c r="BG171" s="6">
        <f>COUNTIFS(Table4[Country],Tabela1[[#This Row],[Country]],Table4[Discus Throw Classification],"&gt;0")</f>
        <v>0</v>
      </c>
      <c r="BH171" s="6">
        <f>COUNTIFS(Table5[Country],Tabela1[[#This Row],[Country]],Table5[Discus Throw Classification],"&gt;0")</f>
        <v>0</v>
      </c>
      <c r="BI171" s="6">
        <f>COUNTIFS(Table4[Country],Tabela1[[#This Row],[Country]],Table4[Hammer Throw Classification],"&gt;0")</f>
        <v>0</v>
      </c>
      <c r="BJ171" s="6">
        <f>COUNTIFS(Table5[Country],Tabela1[[#This Row],[Country]],Table5[Hammer Throw Classification],"&gt;0")</f>
        <v>0</v>
      </c>
      <c r="BK171" s="6">
        <f>COUNTIFS(Table4[Country],Tabela1[[#This Row],[Country]],Table4[High Jump Classification],"&gt;0")</f>
        <v>0</v>
      </c>
      <c r="BL171" s="6">
        <f>COUNTIFS(Table5[Country],Tabela1[[#This Row],[Country]],Table5[High Jump Classification],"&gt;0")</f>
        <v>0</v>
      </c>
      <c r="BM171" s="6">
        <f>COUNTIFS(Table4[Country],Tabela1[[#This Row],[Country]],Table4[Javelin Throw Classification],"&gt;0")</f>
        <v>0</v>
      </c>
      <c r="BN171" s="6">
        <f>COUNTIFS(Table5[Country],Tabela1[[#This Row],[Country]],Table5[Javelin Throw Classification],"&gt;0")</f>
        <v>0</v>
      </c>
      <c r="BO171" s="6">
        <f>COUNTIFS(Table4[Country],Tabela1[[#This Row],[Country]],Table4[Long Jump Classification],"&gt;0")</f>
        <v>0</v>
      </c>
      <c r="BP171" s="6">
        <f>COUNTIFS(Table5[Country],Tabela1[[#This Row],[Country]],Table5[Long Jump Classification],"&gt;0")</f>
        <v>0</v>
      </c>
      <c r="BQ171" s="6">
        <f>COUNTIFS(Table4[Country],Tabela1[[#This Row],[Country]],Table4[Pole Vault Classification],"&gt;0")</f>
        <v>0</v>
      </c>
      <c r="BR171" s="6">
        <f>COUNTIFS(Table5[Country],Tabela1[[#This Row],[Country]],Table5[Pole Vault Classification],"&gt;0")</f>
        <v>0</v>
      </c>
      <c r="BS171" s="6">
        <f>COUNTIFS(Table4[Country],Tabela1[[#This Row],[Country]],Table4[Shot Put Classification],"&gt;0")</f>
        <v>0</v>
      </c>
      <c r="BT171" s="6">
        <f>COUNTIFS(Table5[Country],Tabela1[[#This Row],[Country]],Table5[Shot Put Classification],"&gt;0")</f>
        <v>0</v>
      </c>
      <c r="BU171" s="6">
        <f>COUNTIFS(Table4[Country],Tabela1[[#This Row],[Country]],Table4[Triple Jump Classification],"&gt;0")</f>
        <v>0</v>
      </c>
      <c r="BV171" s="6">
        <f>COUNTIFS(Table5[Country],Tabela1[[#This Row],[Country]],Table5[Triple Jump Classification],"&gt;0")</f>
        <v>0</v>
      </c>
      <c r="BW171" s="6">
        <f>COUNTIFS(Table4[Country],Tabela1[[#This Row],[Country]],Table4[Decathlon Classification],"&gt;0")</f>
        <v>0</v>
      </c>
      <c r="BX171" s="6">
        <f>COUNTIFS(Table5[Country],Tabela1[[#This Row],[Country]],Table5[Heptathlon Classification],"&gt;0")</f>
        <v>0</v>
      </c>
      <c r="BY171" s="6">
        <f>COUNTIFS(Table61[Country],Tabela1[[#This Row],[Country]],Table61[Classification],"&gt;0")</f>
        <v>0</v>
      </c>
      <c r="BZ171" s="6">
        <f>COUNTIFS(Table38[Country],Tabela1[[#This Row],[Country]],Table38[Classification],"&gt;0")</f>
        <v>0</v>
      </c>
      <c r="CA171" s="6">
        <f>COUNTIFS(Table39[Country],Tabela1[[#This Row],[Country]],Table39[Men''s Classification],"&gt;0")</f>
        <v>0</v>
      </c>
      <c r="CB171" s="6">
        <f>COUNTIFS(Table39[Country],Tabela1[[#This Row],[Country]],Table39[Women''s Classification],"&gt;0")</f>
        <v>0</v>
      </c>
      <c r="CC171" s="6">
        <f>COUNTIFS(Table39[Country],Tabela1[[#This Row],[Country]],Table39[Mixed Classification],"&gt;0")</f>
        <v>0</v>
      </c>
      <c r="CD171" s="6">
        <f>COUNTIFS(Table89[Country],Tabela1[[#This Row],[Country]],Table89[Men''s Classification],"&gt;0")</f>
        <v>0</v>
      </c>
      <c r="CE171" s="6">
        <f>COUNTIFS(Table89[Country],Tabela1[[#This Row],[Country]],Table89[Women''s Classification],"&gt;0")</f>
        <v>0</v>
      </c>
      <c r="CF171" s="6">
        <f>COUNTIFS(Table90[Country],Tabela1[[#This Row],[Country]],Table90[Men''s Classification],"&gt;0")</f>
        <v>0</v>
      </c>
      <c r="CG171" s="6">
        <f>COUNTIFS(Table90[Country],Tabela1[[#This Row],[Country]],Table90[Women''s Classification],"&gt;0")</f>
        <v>0</v>
      </c>
      <c r="CH171" s="6">
        <f>COUNTIFS(Table60[Country],Tabela1[[#This Row],[Country]],Table60[Men''s Classification],"&gt;0")</f>
        <v>0</v>
      </c>
      <c r="CI171" s="6">
        <f>COUNTIFS(Table60[Country],Tabela1[[#This Row],[Country]],Table60[Women''s Classification],"&gt;0")</f>
        <v>0</v>
      </c>
      <c r="CJ171" s="6">
        <f>COUNTIFS(Table6[Country],Tabela1[[#This Row],[Country]],Table6[51kg Classification],"&gt;0")</f>
        <v>0</v>
      </c>
      <c r="CK171" s="6">
        <f>COUNTIFS(Table6[Country],Tabela1[[#This Row],[Country]],Table6[57kg Classification],"&gt;0")</f>
        <v>0</v>
      </c>
      <c r="CL171" s="6">
        <f>COUNTIFS(Table6[Country],Tabela1[[#This Row],[Country]],Table6[63.5kg Classification],"&gt;0")</f>
        <v>0</v>
      </c>
      <c r="CM171" s="6">
        <f>COUNTIFS(Table6[Country],Tabela1[[#This Row],[Country]],Table6[71kg Classification],"&gt;0")</f>
        <v>0</v>
      </c>
      <c r="CN171" s="6">
        <f>COUNTIFS(Table6[Country],Tabela1[[#This Row],[Country]],Table6[80kg Classification],"&gt;0")</f>
        <v>0</v>
      </c>
      <c r="CO171" s="6">
        <f>COUNTIFS(Table6[Country],Tabela1[[#This Row],[Country]],Table6[92kg Classification],"&gt;0")</f>
        <v>0</v>
      </c>
      <c r="CP171" s="6">
        <f>COUNTIFS(Table6[Country],Tabela1[[#This Row],[Country]],Table6[Plus 92kg Classification],"&gt;0")</f>
        <v>0</v>
      </c>
      <c r="CQ171" s="6">
        <f>COUNTIFS(Table7[Country],Tabela1[[#This Row],[Country]],Table7[50kg Classification],"&gt;0")</f>
        <v>0</v>
      </c>
      <c r="CR171" s="6">
        <f>COUNTIFS(Table7[Country],Tabela1[[#This Row],[Country]],Table7[54kg Classification],"&gt;0")</f>
        <v>0</v>
      </c>
      <c r="CS171" s="6">
        <f>COUNTIFS(Table7[Country],Tabela1[[#This Row],[Country]],Table7[57kg Classification],"&gt;0")</f>
        <v>0</v>
      </c>
      <c r="CT171" s="6">
        <f>COUNTIFS(Table7[Country],Tabela1[[#This Row],[Country]],Table7[60kg Classification],"&gt;0")</f>
        <v>0</v>
      </c>
      <c r="CU171" s="6">
        <f>COUNTIFS(Table7[Country],Tabela1[[#This Row],[Country]],Table7[66kg Classification],"&gt;0")</f>
        <v>0</v>
      </c>
      <c r="CV171" s="6">
        <f>COUNTIFS(Table7[Country],Tabela1[[#This Row],[Country]],Table7[75kg Classification],"&gt;0")</f>
        <v>0</v>
      </c>
      <c r="CW171" s="6">
        <f>COUNTIFS(Tabela94[Country],Tabela1[[#This Row],[Country]],Tabela94[Classification],"&gt;0")</f>
        <v>0</v>
      </c>
      <c r="CX171" s="6">
        <f>COUNTIFS(Tabela9499[Country],Tabela1[[#This Row],[Country]],Tabela9499[Classification],"&gt;0")</f>
        <v>0</v>
      </c>
      <c r="CY171" s="6">
        <f>COUNTIFS(Tabela107[Country],Tabela1[[#This Row],[Country]],Tabela107[C1 Slalom Classification],"&gt;0")</f>
        <v>0</v>
      </c>
      <c r="CZ171" s="6">
        <f>COUNTIFS(Tabela107122[Country],Tabela1[[#This Row],[Country]],Tabela107122[C1 Slalom Classification],"&gt;0")</f>
        <v>0</v>
      </c>
      <c r="DA171" s="6">
        <f>COUNTIFS(Tabela107[Country],Tabela1[[#This Row],[Country]],Tabela107[K1 Slalom Classification],"&gt;0")</f>
        <v>0</v>
      </c>
      <c r="DB171" s="6">
        <f>COUNTIFS(Tabela107122[Country],Tabela1[[#This Row],[Country]],Tabela107122[K1 Slalom Classification],"&gt;0")</f>
        <v>0</v>
      </c>
      <c r="DC171" s="6">
        <f>COUNTIFS(Tabela107[Country],Tabela1[[#This Row],[Country]],Tabela107[Kayak Cross Slalom Classification],"&gt;0")</f>
        <v>0</v>
      </c>
      <c r="DD171" s="6">
        <f>COUNTIFS(Tabela107122[Country],Tabela1[[#This Row],[Country]],Tabela107122[Kayak Cross Slalom Classification],"&gt;0")</f>
        <v>0</v>
      </c>
      <c r="DE171" s="6">
        <f>COUNTIFS(Table8[Country],Tabela1[[#This Row],[Country]],Table8[C1 200m Classification],"&gt;0")</f>
        <v>0</v>
      </c>
      <c r="DF171" s="6">
        <f>COUNTIFS(Table40[Country],Tabela1[[#This Row],[Country]],Table40[C1 1000m Classification],"&gt;0")</f>
        <v>0</v>
      </c>
      <c r="DG171" s="6">
        <f>COUNTIFS(Table68[Country],Tabela1[[#This Row],[Country]],Table68[Men''s C2 500m Classification],"&gt;0")</f>
        <v>0</v>
      </c>
      <c r="DH171" s="6">
        <f>COUNTIFS(Table68[Country],Tabela1[[#This Row],[Country]],Table68[Women''s C2 500m Classification],"&gt;0")</f>
        <v>0</v>
      </c>
      <c r="DI171" s="6">
        <f>COUNTIFS(Table8[Country],Tabela1[[#This Row],[Country]],Table8[K1 500m Classification],"&gt;0")</f>
        <v>0</v>
      </c>
      <c r="DJ171" s="6">
        <f>COUNTIFS(Table40[Country],Tabela1[[#This Row],[Country]],Table40[K1 1000m Classification],"&gt;0")</f>
        <v>0</v>
      </c>
      <c r="DK171" s="6">
        <f>COUNTIFS(Table68[Country],Tabela1[[#This Row],[Country]],Table68[Men''s K2 500m Classification],"&gt;0")</f>
        <v>0</v>
      </c>
      <c r="DL171" s="6">
        <f>COUNTIFS(Table68[Country],Tabela1[[#This Row],[Country]],Table68[Women''s K2 500m Classification],"&gt;0")</f>
        <v>0</v>
      </c>
      <c r="DM171" s="6">
        <f>COUNTIFS(Table83[Country],Tabela1[[#This Row],[Country]],Table83[Men''s K4 500m Classification],"&gt;0")</f>
        <v>0</v>
      </c>
      <c r="DN171" s="6">
        <f>COUNTIFS(Table83[Country],Tabela1[[#This Row],[Country]],Table83[Women''s K4 500m Classification],"&gt;0")</f>
        <v>0</v>
      </c>
      <c r="DO171" s="6">
        <f>COUNTIFS(Tabela126[Country],Tabela1[[#This Row],[Country]],Tabela126[Classification],"&gt;0")</f>
        <v>0</v>
      </c>
      <c r="DP171" s="6">
        <f>COUNTIFS(Tabela126130[Country],Tabela1[[#This Row],[Country]],Tabela126130[Classification],"&gt;0")</f>
        <v>0</v>
      </c>
      <c r="DQ171" s="6">
        <f>COUNTIFS(Table70[Country],Tabela1[[#This Row],[Country]],Table70[Classification],"&gt;0")</f>
        <v>0</v>
      </c>
      <c r="DR171" s="6">
        <f>COUNTIFS(Table80[Country],Tabela1[[#This Row],[Country]],Table80[Classification],"&gt;0")</f>
        <v>0</v>
      </c>
      <c r="DS171" s="6">
        <f>COUNTIFS(Table66[Country],Tabela1[[#This Row],[Country]],Table66[Classification],"&gt;0")</f>
        <v>0</v>
      </c>
      <c r="DT171" s="6">
        <f>COUNTIFS(Table67[Country],Tabela1[[#This Row],[Country]],Table67[Classification],"&gt;0")</f>
        <v>0</v>
      </c>
      <c r="DU171" s="6">
        <f>COUNTIFS(Table69[Country],Tabela1[[#This Row],[Country]],Table69[Keirin Classification],"&gt;0")</f>
        <v>0</v>
      </c>
      <c r="DV171" s="6">
        <f>COUNTIFS(Table41[Country],Tabela1[[#This Row],[Country]],Table41[Keirin Classification],"&gt;0")</f>
        <v>0</v>
      </c>
      <c r="DW171" s="6">
        <f>COUNTIFS(Table84[Country],Tabela1[[#This Row],[Country]],Table84[Men''s Madison Classification],"&gt;0")</f>
        <v>0</v>
      </c>
      <c r="DX171" s="6">
        <f>COUNTIFS(Table84[Country],Tabela1[[#This Row],[Country]],Table84[Women''s Madison Classification],"&gt;0")</f>
        <v>0</v>
      </c>
      <c r="DY171" s="6">
        <f>COUNTIFS(Table69[Country],Tabela1[[#This Row],[Country]],Table69[Omnium Classification],"&gt;0")</f>
        <v>0</v>
      </c>
      <c r="DZ171" s="6">
        <f>COUNTIFS(Table41[Country],Tabela1[[#This Row],[Country]],Table41[Omnium Classification],"&gt;0")</f>
        <v>0</v>
      </c>
      <c r="EA171" s="6">
        <f>COUNTIFS(Table9[Country],Tabela1[[#This Row],[Country]],Table9[Road Race Classification],"&gt;0")</f>
        <v>0</v>
      </c>
      <c r="EB171" s="6">
        <f>COUNTIFS(Table14[Country],Tabela1[[#This Row],[Country]],Table14[Road Race Classification],"&gt;0")</f>
        <v>0</v>
      </c>
      <c r="EC171" s="6">
        <f>COUNTIFS(Table69[Country],Tabela1[[#This Row],[Country]],Table69[Sprint Classification],"&gt;0")</f>
        <v>0</v>
      </c>
      <c r="ED171" s="6">
        <f>COUNTIFS(Table41[Country],Tabela1[[#This Row],[Country]],Table41[Sprint Classification],"&gt;0")</f>
        <v>0</v>
      </c>
      <c r="EE171" s="6">
        <f>COUNTIFS(Table85[Country],Tabela1[[#This Row],[Country]],Table85[Men''s Sprint Classification],"&gt;0")</f>
        <v>0</v>
      </c>
      <c r="EF171" s="6">
        <f>COUNTIFS(Table85[Country],Tabela1[[#This Row],[Country]],Table85[Women''s Sprint Classification],"&gt;0")</f>
        <v>0</v>
      </c>
      <c r="EG171" s="6">
        <f>COUNTIFS(Table85[Country],Tabela1[[#This Row],[Country]],Table85[Men''s Pursuit Classification],"&gt;0")</f>
        <v>0</v>
      </c>
      <c r="EH171" s="6">
        <f>COUNTIFS(Table85[Country],Tabela1[[#This Row],[Country]],Table85[Women''s Pursuit Classification],"&gt;0")</f>
        <v>0</v>
      </c>
      <c r="EI171" s="6">
        <f>COUNTIFS(Table9[Country],Tabela1[[#This Row],[Country]],Table9[Time-Trial Classification],"&gt;0")</f>
        <v>0</v>
      </c>
      <c r="EJ171" s="6">
        <f>COUNTIFS(Table14[Country],Tabela1[[#This Row],[Country]],Table14[Time-Trial Classification],"&gt;0")</f>
        <v>0</v>
      </c>
      <c r="EK171" s="6">
        <f>COUNTIFS(Table42[Country],Tabela1[[#This Row],[Country]],Table42[Springboard Classification],"&gt;0")</f>
        <v>0</v>
      </c>
      <c r="EL171" s="6">
        <f>COUNTIFS(Table43[Country],Tabela1[[#This Row],[Country]],Table43[Springboard Classification],"&gt;0")</f>
        <v>0</v>
      </c>
      <c r="EM171" s="6">
        <f>COUNTIFS(Table42[Country],Tabela1[[#This Row],[Country]],Table42[Platform Classification],"&gt;0")</f>
        <v>0</v>
      </c>
      <c r="EN171" s="6">
        <f>COUNTIFS(Table43[Country],Tabela1[[#This Row],[Country]],Table43[Platform Classification],"&gt;0")</f>
        <v>0</v>
      </c>
      <c r="EO171" s="6">
        <f>COUNTIFS(Table86[Country],Tabela1[[#This Row],[Country]],Table86[Men''s Synchronized Springboard Classification],"&gt;0")</f>
        <v>0</v>
      </c>
      <c r="EP171" s="6">
        <f>COUNTIFS(Table86[Country],Tabela1[[#This Row],[Country]],Table86[Women''s Synchronized Springboard Classification],"&gt;0")</f>
        <v>0</v>
      </c>
      <c r="EQ171" s="6">
        <f>COUNTIFS(Table86[Country],Tabela1[[#This Row],[Country]],Table86[Men''s Synchronized Platform Classification],"&gt;0")</f>
        <v>0</v>
      </c>
      <c r="ER171" s="6">
        <f>COUNTIFS(Table86[Country],Tabela1[[#This Row],[Country]],Table86[Women''s Synchronized Platform Classification],"&gt;0")</f>
        <v>0</v>
      </c>
      <c r="ES171" s="6">
        <f>COUNTIFS(Table44[Country],Tabela1[[#This Row],[Country]],Table44[Dressage Classification],"&gt;0")</f>
        <v>0</v>
      </c>
      <c r="ET171" s="6">
        <f>COUNTIFS(Table45[Country],Tabela1[[#This Row],[Country]],Table45[Dressage Classification],"&gt;0")</f>
        <v>0</v>
      </c>
      <c r="EU171" s="6">
        <f>COUNTIFS(Table44[Country],Tabela1[[#This Row],[Country]],Table44[Eventing Classification],"&gt;0")</f>
        <v>0</v>
      </c>
      <c r="EV171" s="6">
        <f>COUNTIFS(Table45[Country],Tabela1[[#This Row],[Country]],Table45[Eventing Classification],"&gt;0")</f>
        <v>0</v>
      </c>
      <c r="EW171" s="6">
        <f>COUNTIFS(Table44[Country],Tabela1[[#This Row],[Country]],Table44[Jumping Classification],"&gt;0")</f>
        <v>0</v>
      </c>
      <c r="EX171" s="6">
        <f>COUNTIFS(Table45[Country],Tabela1[[#This Row],[Country]],Table45[Jumping Classification],"&gt;0")</f>
        <v>0</v>
      </c>
      <c r="EY171" s="6">
        <f>COUNTIFS(Table10[Country],Tabela1[[#This Row],[Country]],Table10[Épée Classification],"&gt;0")</f>
        <v>0</v>
      </c>
      <c r="EZ171" s="6">
        <f>COUNTIFS(Table11[Country],Tabela1[[#This Row],[Country]],Table11[Épée Classification],"&gt;0")</f>
        <v>0</v>
      </c>
      <c r="FA171" s="6">
        <f>COUNTIFS(Table46[Country],Tabela1[[#This Row],[Country]],Table46[Men''s Épée Classification],"&gt;0")</f>
        <v>0</v>
      </c>
      <c r="FB171" s="6">
        <f>COUNTIFS(Table46[Country],Tabela1[[#This Row],[Country]],Table46[Women''s Épée Classification],"&gt;0")</f>
        <v>0</v>
      </c>
      <c r="FC171" s="6">
        <f>COUNTIFS(Table10[Country],Tabela1[[#This Row],[Country]],Table10[Foil Classification],"&gt;0")</f>
        <v>0</v>
      </c>
      <c r="FD171" s="6">
        <f>COUNTIFS(Table11[Country],Tabela1[[#This Row],[Country]],Table11[Foil Classification],"&gt;0")</f>
        <v>0</v>
      </c>
      <c r="FE171" s="6">
        <f>COUNTIFS(Table46[Country],Tabela1[[#This Row],[Country]],Table46[Men''s Foil Classification],"&gt;0")</f>
        <v>0</v>
      </c>
      <c r="FF171" s="6">
        <f>COUNTIFS(Table46[Country],Tabela1[[#This Row],[Country]],Table46[Women''s Foil Classification],"&gt;0")</f>
        <v>0</v>
      </c>
      <c r="FG171" s="6">
        <f>COUNTIFS(Table10[Country],Tabela1[[#This Row],[Country]],Table10[Sabre Classification],"&gt;0")</f>
        <v>0</v>
      </c>
      <c r="FH171" s="6">
        <f>COUNTIFS(Table11[Country],Tabela1[[#This Row],[Country]],Table11[Sabre Classification],"&gt;0")</f>
        <v>0</v>
      </c>
      <c r="FI171" s="6">
        <f>COUNTIFS(Table46[Country],Tabela1[[#This Row],[Country]],Table46[Men''s Sabre Classification],"&gt;0")</f>
        <v>0</v>
      </c>
      <c r="FJ171" s="6">
        <f>COUNTIFS(Table46[Country],Tabela1[[#This Row],[Country]],Table46[Women''s Sabre Classification],"&gt;0")</f>
        <v>0</v>
      </c>
      <c r="FK171" s="6">
        <f>COUNTIFS(Table91[Country],Tabela1[[#This Row],[Country]],Table91[Men''s Classification],"&gt;0")</f>
        <v>0</v>
      </c>
      <c r="FL171" s="6">
        <f>COUNTIFS(Table91[Country],Tabela1[[#This Row],[Country]],Table91[Women''s Classification],"&gt;0")</f>
        <v>0</v>
      </c>
      <c r="FM171" s="6">
        <f>COUNTIFS(Table9194[Country],Tabela1[[#This Row],[Country]],Table9194[Men''s Classification],"&gt;0")</f>
        <v>0</v>
      </c>
      <c r="FN171" s="6">
        <f>COUNTIFS(Table9194[Country],Tabela1[[#This Row],[Country]],Table9194[Women''s Classification],"&gt;0")</f>
        <v>0</v>
      </c>
      <c r="FO171" s="6">
        <f>COUNTIFS(Table71[Country],Tabela1[[#This Row],[Country]],Table71[Classification],"&gt;0")</f>
        <v>0</v>
      </c>
      <c r="FP171" s="6">
        <f>COUNTIFS(Table62[Country],Tabela1[[#This Row],[Country]],Table62[Classification],"&gt;0")</f>
        <v>0</v>
      </c>
      <c r="FQ171" s="6">
        <f>COUNTIFS(Table47[Country],Tabela1[[#This Row],[Country]],Table47[All-Around Classification],"&gt;0")</f>
        <v>0</v>
      </c>
      <c r="FR171" s="6">
        <f>COUNTIFS(Table48[Country],Tabela1[[#This Row],[Country]],Table48[All-Around Classification],"&gt;0")</f>
        <v>0</v>
      </c>
      <c r="FS171" s="6">
        <f>COUNTIFS(Table81[Country],Tabela1[[#This Row],[Country]],Table81[Men''s All-Around Classification],"&gt;0")</f>
        <v>0</v>
      </c>
      <c r="FT171" s="6">
        <f>COUNTIFS(Table81[Country],Tabela1[[#This Row],[Country]],Table81[Women''s All-Around Classification],"&gt;0")</f>
        <v>0</v>
      </c>
      <c r="FU171" s="6">
        <f>COUNTIFS(Table48[Country],Tabela1[[#This Row],[Country]],Table48[Balance Beam Classification],"&gt;0")</f>
        <v>0</v>
      </c>
      <c r="FV171" s="6">
        <f>COUNTIFS(Table47[Country],Tabela1[[#This Row],[Country]],Table47[Floor Exercise Classification],"&gt;0")</f>
        <v>0</v>
      </c>
      <c r="FW171" s="6">
        <f>COUNTIFS(Table48[Country],Tabela1[[#This Row],[Country]],Table48[Floor Exercise Classification],"&gt;0")</f>
        <v>0</v>
      </c>
      <c r="FX171" s="6">
        <f>COUNTIFS(Table47[Country],Tabela1[[#This Row],[Country]],Table47[Horizontal Bar Classification],"&gt;0")</f>
        <v>0</v>
      </c>
      <c r="FY171" s="6">
        <f>COUNTIFS(Table47[Country],Tabela1[[#This Row],[Country]],Table47[Parallel Bars Classification],"&gt;0")</f>
        <v>0</v>
      </c>
      <c r="FZ171" s="6">
        <f>COUNTIFS(Table47[Country],Tabela1[[#This Row],[Country]],Table47[Pommel Horse Classification],"&gt;0")</f>
        <v>0</v>
      </c>
      <c r="GA171" s="6">
        <f>COUNTIFS(Table47[Country],Tabela1[[#This Row],[Country]],Table47[Rings Classification],"&gt;0")</f>
        <v>0</v>
      </c>
      <c r="GB171" s="6">
        <f>COUNTIFS(Tabela132[Country],Tabela1[[#This Row],[Country]],Tabela132[Classification],"&gt;0")</f>
        <v>0</v>
      </c>
      <c r="GC171" s="6">
        <f>COUNTIFS(Tabela139[Country],Tabela1[[#This Row],[Country]],Tabela139[Classification],"&gt;0")</f>
        <v>0</v>
      </c>
      <c r="GD171" s="6">
        <f>COUNTIFS(Table48[Country],Tabela1[[#This Row],[Country]],Table48[Uneven Bars Classification],"&gt;0")</f>
        <v>0</v>
      </c>
      <c r="GE171" s="6">
        <f>COUNTIFS(Table47[Country],Tabela1[[#This Row],[Country]],Table47[Vault Classification],"&gt;0")</f>
        <v>0</v>
      </c>
      <c r="GF171" s="6">
        <f>COUNTIFS(Table48[Country],Tabela1[[#This Row],[Country]],Table48[Vault Classification],"&gt;0")</f>
        <v>0</v>
      </c>
      <c r="GG171" s="6">
        <f>COUNTIFS(Table919496[Country],Tabela1[[#This Row],[Country]],Table919496[Men''s Classification],"&gt;0")</f>
        <v>0</v>
      </c>
      <c r="GH171" s="6">
        <f>COUNTIFS(Table919496[Country],Tabela1[[#This Row],[Country]],Table919496[Women''s Classification],"&gt;0")</f>
        <v>0</v>
      </c>
      <c r="GI171" s="6">
        <f>COUNTIFS(Table12[Country],Tabela1[[#This Row],[Country]],Table12[60kg Classification],"&gt;0")</f>
        <v>0</v>
      </c>
      <c r="GJ171" s="6">
        <f>COUNTIFS(Table12[Country],Tabela1[[#This Row],[Country]],Table12[66kg Classification],"&gt;0")</f>
        <v>0</v>
      </c>
      <c r="GK171" s="6">
        <f>COUNTIFS(Table12[Country],Tabela1[[#This Row],[Country]],Table12[73kg Classification],"&gt;0")</f>
        <v>0</v>
      </c>
      <c r="GL171" s="6">
        <f>COUNTIFS(Table12[Country],Tabela1[[#This Row],[Country]],Table12[81kg Classification],"&gt;0")</f>
        <v>0</v>
      </c>
      <c r="GM171" s="6">
        <f>COUNTIFS(Table12[Country],Tabela1[[#This Row],[Country]],Table12[90kg Classification],"&gt;0")</f>
        <v>0</v>
      </c>
      <c r="GN171" s="6">
        <f>COUNTIFS(Table12[Country],Tabela1[[#This Row],[Country]],Table12[100kg Classification],"&gt;0")</f>
        <v>0</v>
      </c>
      <c r="GO171" s="6">
        <f>COUNTIFS(Table12[Country],Tabela1[[#This Row],[Country]],Table12[Plus 100kg Classification],"&gt;0")</f>
        <v>0</v>
      </c>
      <c r="GP171" s="6">
        <f>COUNTIFS(Table13[Country],Tabela1[[#This Row],[Country]],Table13[48kg Classification],"&gt;0")</f>
        <v>0</v>
      </c>
      <c r="GQ171" s="6">
        <f>COUNTIFS(Table13[Country],Tabela1[[#This Row],[Country]],Table13[52kg Classification],"&gt;0")</f>
        <v>0</v>
      </c>
      <c r="GR171" s="6">
        <f>COUNTIFS(Table13[Country],Tabela1[[#This Row],[Country]],Table13[57kg Classification],"&gt;0")</f>
        <v>0</v>
      </c>
      <c r="GS171" s="6">
        <f>COUNTIFS(Table13[Country],Tabela1[[#This Row],[Country]],Table13[63kg Classification],"&gt;0")</f>
        <v>0</v>
      </c>
      <c r="GT171" s="6">
        <f>COUNTIFS(Table13[Country],Tabela1[[#This Row],[Country]],Table13[70kg Classification],"&gt;0")</f>
        <v>0</v>
      </c>
      <c r="GU171" s="6">
        <f>COUNTIFS(Table13[Country],Tabela1[[#This Row],[Country]],Table13[78kg Classification],"&gt;0")</f>
        <v>0</v>
      </c>
      <c r="GV171" s="6">
        <f>COUNTIFS(Table13[Country],Tabela1[[#This Row],[Country]],Table13[Plus 78kg Classification],"&gt;0")</f>
        <v>0</v>
      </c>
      <c r="GW171" s="6">
        <f>COUNTIFS(Table82[Country],Tabela1[[#This Row],[Country]],Table82[Mixed Classification],"&gt;0")</f>
        <v>0</v>
      </c>
      <c r="GX171" s="6">
        <f>COUNTIFS(Table51[Country],Tabela1[[#This Row],[Country]],Table51[Classification],"&gt;0")</f>
        <v>0</v>
      </c>
      <c r="GY171" s="6">
        <f>COUNTIFS(Table52[Country],Tabela1[[#This Row],[Country]],Table52[Classification],"&gt;0")</f>
        <v>0</v>
      </c>
      <c r="GZ171" s="6">
        <f>COUNTIFS(Table32[Country],Tabela1[[#This Row],[Country]],Table32[All-Around Classification],"&gt;0")</f>
        <v>0</v>
      </c>
      <c r="HA171" s="6">
        <f>COUNTIFS(Table49[Country],Tabela1[[#This Row],[Country]],Table49[All-Around Classification],"&gt;0")</f>
        <v>0</v>
      </c>
      <c r="HB171" s="6">
        <f>COUNTIFS(Table26[Country],Tabela1[[#This Row],[Country]],Table26[Single Sculls Classification],"&gt;0")</f>
        <v>0</v>
      </c>
      <c r="HC171" s="6">
        <f>COUNTIFS(Table63[Country],Tabela1[[#This Row],[Country]],Table63[Single Sculls Classification],"&gt;0")</f>
        <v>0</v>
      </c>
      <c r="HD171" s="6">
        <f>COUNTIFS(Table16[Country],Tabela1[[#This Row],[Country]],Table16[Men''s Double Sculls Classification],"&gt;0")</f>
        <v>0</v>
      </c>
      <c r="HE171" s="6">
        <f>COUNTIFS(Table16[Country],Tabela1[[#This Row],[Country]],Table16[Women''s Double Sculls Classification],"&gt;0")</f>
        <v>0</v>
      </c>
      <c r="HF171" s="6">
        <f>COUNTIFS(Table72[Country],Tabela1[[#This Row],[Country]],Table72[Men''s Quadruple Sculls Classification],"&gt;0")</f>
        <v>0</v>
      </c>
      <c r="HG171" s="6">
        <f>COUNTIFS(Table72[Country],Tabela1[[#This Row],[Country]],Table72[Women''s Quadruple Sculls Classification],"&gt;0")</f>
        <v>0</v>
      </c>
      <c r="HH171" s="6">
        <f>COUNTIFS(Table16[Country],Tabela1[[#This Row],[Country]],Table16[Men''s Coxless Pairs Classification],"&gt;0")</f>
        <v>0</v>
      </c>
      <c r="HI171" s="6">
        <f>COUNTIFS(Table16[Country],Tabela1[[#This Row],[Country]],Table16[Women''s Coxless Pairs Classification],"&gt;0")</f>
        <v>0</v>
      </c>
      <c r="HJ171" s="6">
        <f>COUNTIFS(Table72[Country],Tabela1[[#This Row],[Country]],Table72[Men''s Coxless Fours Classification],"&gt;0")</f>
        <v>0</v>
      </c>
      <c r="HK171" s="6">
        <f>COUNTIFS(Table72[Country],Tabela1[[#This Row],[Country]],Table72[Women''s Coxless Fours Classification],"&gt;0")</f>
        <v>0</v>
      </c>
      <c r="HL171" s="6">
        <f>COUNTIFS(Table72[Country],Tabela1[[#This Row],[Country]],Table72[Men''s Eights Classification],"&gt;0")</f>
        <v>0</v>
      </c>
      <c r="HM171" s="6">
        <f>COUNTIFS(Table72[Country],Tabela1[[#This Row],[Country]],Table72[Women''s Eights Classification],"&gt;0")</f>
        <v>0</v>
      </c>
      <c r="HN171" s="6">
        <f>COUNTIFS(Table16[Country],Tabela1[[#This Row],[Country]],Table16[Men''s Lwt. Double Sculls Classification],"&gt;0")</f>
        <v>0</v>
      </c>
      <c r="HO171" s="6">
        <f>COUNTIFS(Table16[Country],Tabela1[[#This Row],[Country]],Table16[Women''s Lwt. Double Sculls Classification],"&gt;0")</f>
        <v>0</v>
      </c>
      <c r="HP171" s="6">
        <f>COUNTIFS(Table91949698[Country],Tabela1[[#This Row],[Country]],Table91949698[Men''s Classification],"&gt;0")</f>
        <v>0</v>
      </c>
      <c r="HQ171" s="6">
        <f>COUNTIFS(Table91949698[Country],Tabela1[[#This Row],[Country]],Table91949698[Women''s Classification],"&gt;0")</f>
        <v>0</v>
      </c>
      <c r="HR171" s="6">
        <f>COUNTIFS(Table25[Country],Tabela1[[#This Row],[Country]],Table25[Mixed 470 Classification],"&gt;0")</f>
        <v>0</v>
      </c>
      <c r="HS171" s="6">
        <f>COUNTIFS(Table25[Country],Tabela1[[#This Row],[Country]],Table25[Men''s 49er Classification],"&gt;0")</f>
        <v>0</v>
      </c>
      <c r="HT171" s="6">
        <f>COUNTIFS(Table25[Country],Tabela1[[#This Row],[Country]],Table25[Women''s 49er FX Classification],"&gt;0")</f>
        <v>0</v>
      </c>
      <c r="HU171" s="6">
        <f>COUNTIFS(Table17[Country],Tabela1[[#This Row],[Country]],Table17[Formula Kite Classification],"&gt;0")</f>
        <v>0</v>
      </c>
      <c r="HV171" s="6">
        <f>COUNTIFS(Table18[Country],Tabela1[[#This Row],[Country]],Table18[Formula Kite Classification],"&gt;0")</f>
        <v>0</v>
      </c>
      <c r="HW171" s="6">
        <f>COUNTIFS(Table17[Country],Tabela1[[#This Row],[Country]],Table17[ILCA 7 Classification],"&gt;0")</f>
        <v>0</v>
      </c>
      <c r="HX171" s="6">
        <f>COUNTIFS(Table18[Country],Tabela1[[#This Row],[Country]],Table18[ILCA 6 Classification],"&gt;0")</f>
        <v>0</v>
      </c>
      <c r="HY171" s="6">
        <f>COUNTIFS(Table17[Country],Tabela1[[#This Row],[Country]],Table17[IQFoil Classification],"&gt;0")</f>
        <v>0</v>
      </c>
      <c r="HZ171" s="6">
        <f>COUNTIFS(Table18[Country],Tabela1[[#This Row],[Country]],Table18[IQFoil Classification],"&gt;0")</f>
        <v>0</v>
      </c>
      <c r="IA171" s="6">
        <f>COUNTIFS(Table25[Country],Tabela1[[#This Row],[Country]],Table25[Mixed Nacra 17 Classification],"&gt;0")</f>
        <v>0</v>
      </c>
      <c r="IB171" s="6">
        <f>COUNTIFS(Table53[Country],Tabela1[[#This Row],[Country]],Table53[10m Air Pistol Classification],"&gt;0")</f>
        <v>0</v>
      </c>
      <c r="IC171" s="6">
        <f>COUNTIFS(Table19[Country],Tabela1[[#This Row],[Country]],Table19[10m Air Pistol Classification],"&gt;0")</f>
        <v>0</v>
      </c>
      <c r="ID171" s="6">
        <f>COUNTIFS(Table54[Country],Tabela1[[#This Row],[Country]],Table54[Mixed 10m Air Pistol Team Classification],"&gt;0")</f>
        <v>0</v>
      </c>
      <c r="IE171" s="6">
        <f>COUNTIFS(Table53[Country],Tabela1[[#This Row],[Country]],Table53[10m Air Rifle Classification],"&gt;0")</f>
        <v>0</v>
      </c>
      <c r="IF171" s="6">
        <f>COUNTIFS(Table19[Country],Tabela1[[#This Row],[Country]],Table19[10m Air Rifle Classification],"&gt;0")</f>
        <v>0</v>
      </c>
      <c r="IG171" s="6">
        <f>COUNTIFS(Table54[Country],Tabela1[[#This Row],[Country]],Table54[Mixed 10m Air Rifle Team Classification],"&gt;0")</f>
        <v>0</v>
      </c>
      <c r="IH171" s="6">
        <f>COUNTIFS(Table53[Country],Tabela1[[#This Row],[Country]],Table53[25m Rapid Fire Pistol Classification],"&gt;0")</f>
        <v>0</v>
      </c>
      <c r="II171" s="6">
        <f>COUNTIFS(Table19[Country],Tabela1[[#This Row],[Country]],Table19[25m Pistol Classification],"&gt;0")</f>
        <v>0</v>
      </c>
      <c r="IJ171" s="6">
        <f>COUNTIFS(Table53[Country],Tabela1[[#This Row],[Country]],Table53[50m Rifle 3 Positions Classification],"&gt;0")</f>
        <v>0</v>
      </c>
      <c r="IK171" s="6">
        <f>COUNTIFS(Table19[Country],Tabela1[[#This Row],[Country]],Table19[50m Rifle 3 Positions Classification],"&gt;0")</f>
        <v>0</v>
      </c>
      <c r="IL171" s="6">
        <f>COUNTIFS(Table53[Country],Tabela1[[#This Row],[Country]],Table53[Skeet Classification],"&gt;0")</f>
        <v>0</v>
      </c>
      <c r="IM171" s="6">
        <f>COUNTIFS(Table19[Country],Tabela1[[#This Row],[Country]],Table19[Skeet Classification],"&gt;0")</f>
        <v>0</v>
      </c>
      <c r="IN171" s="6">
        <f>COUNTIFS(Table54[Country],Tabela1[[#This Row],[Country]],Table54[Mixed Skeet Team Classification],"&gt;0")</f>
        <v>0</v>
      </c>
      <c r="IO171" s="6">
        <f>COUNTIFS(Table53[Country],Tabela1[[#This Row],[Country]],Table53[Trap Classification],"&gt;0")</f>
        <v>0</v>
      </c>
      <c r="IP171" s="6">
        <f>COUNTIFS(Table19[Country],Tabela1[[#This Row],[Country]],Table19[Trap Classification],"&gt;0")</f>
        <v>0</v>
      </c>
      <c r="IQ171" s="6">
        <f>COUNTIFS(Table73[Country],Tabela1[[#This Row],[Country]],Table73[Park Classification],"&gt;0")</f>
        <v>0</v>
      </c>
      <c r="IR171" s="6">
        <f>COUNTIFS(Table74[Country],Tabela1[[#This Row],[Country]],Table74[Park Classification],"&gt;0")</f>
        <v>0</v>
      </c>
      <c r="IS171" s="6">
        <f>COUNTIFS(Table73[Country],Tabela1[[#This Row],[Country]],Table73[Street Classification],"&gt;0")</f>
        <v>0</v>
      </c>
      <c r="IT171" s="6">
        <f>COUNTIFS(Table74[Country],Tabela1[[#This Row],[Country]],Table74[Street Classification],"&gt;0")</f>
        <v>0</v>
      </c>
      <c r="IU171" s="6">
        <f>COUNTIFS(Table75[Country],Tabela1[[#This Row],[Country]],Table75[Boulder and Lead Classification],"&gt;0")</f>
        <v>0</v>
      </c>
      <c r="IV171" s="6">
        <f>COUNTIFS(Table76[Country],Tabela1[[#This Row],[Country]],Table76[Boulder and Lead Classification],"&gt;0")</f>
        <v>0</v>
      </c>
      <c r="IW171" s="6">
        <f>COUNTIFS(Table75[Country],Tabela1[[#This Row],[Country]],Table75[Speed Classification],"&gt;0")</f>
        <v>0</v>
      </c>
      <c r="IX171" s="6">
        <f>COUNTIFS(Table76[Country],Tabela1[[#This Row],[Country]],Table76[Speed Classification],"&gt;0")</f>
        <v>0</v>
      </c>
      <c r="IY171" s="6">
        <f>COUNTIFS(Table64[Country],Tabela1[[#This Row],[Country]],Table64[Shortboard Classification],"&gt;0")</f>
        <v>0</v>
      </c>
      <c r="IZ171" s="6">
        <f>COUNTIFS(Table77[Country],Tabela1[[#This Row],[Country]],Table77[Shortboard Classification],"&gt;0")</f>
        <v>0</v>
      </c>
      <c r="JA171" s="6">
        <f>COUNTIFS(Table20[Country],Tabela1[[#This Row],[Country]],Table20[50m Freestyle Classification],"&gt;0")</f>
        <v>0</v>
      </c>
      <c r="JB171" s="6">
        <f>COUNTIFS(Table21[Country],Tabela1[[#This Row],[Country]],Table21[50m Freestyle Classification],"&gt;0")</f>
        <v>0</v>
      </c>
      <c r="JC171" s="6">
        <f>COUNTIFS(Table20[Country],Tabela1[[#This Row],[Country]],Table20[100m Freestyle Classification],"&gt;0")</f>
        <v>0</v>
      </c>
      <c r="JD171" s="6">
        <f>COUNTIFS(Table21[Country],Tabela1[[#This Row],[Country]],Table21[100m Freestyle Classification],"&gt;0")</f>
        <v>0</v>
      </c>
      <c r="JE171" s="6">
        <f>COUNTIFS(Table20[Country],Tabela1[[#This Row],[Country]],Table20[200m Freestyle Classification],"&gt;0")</f>
        <v>0</v>
      </c>
      <c r="JF171" s="6">
        <f>COUNTIFS(Table21[Country],Tabela1[[#This Row],[Country]],Table21[200m Freestyle Classification],"&gt;0")</f>
        <v>0</v>
      </c>
      <c r="JG171" s="6">
        <f>COUNTIFS(Table20[Country],Tabela1[[#This Row],[Country]],Table20[400m Freestyle Classification],"&gt;0")</f>
        <v>0</v>
      </c>
      <c r="JH171" s="6">
        <f>COUNTIFS(Table21[Country],Tabela1[[#This Row],[Country]],Table21[400m Freestyle Classification],"&gt;0")</f>
        <v>0</v>
      </c>
      <c r="JI171" s="6">
        <f>COUNTIFS(Table20[Country],Tabela1[[#This Row],[Country]],Table20[800m Freestyle Classification],"&gt;0")</f>
        <v>0</v>
      </c>
      <c r="JJ171" s="6">
        <f>COUNTIFS(Table21[Country],Tabela1[[#This Row],[Country]],Table21[800m Freestyle Classification],"&gt;0")</f>
        <v>0</v>
      </c>
      <c r="JK171" s="6">
        <f>COUNTIFS(Table20[Country],Tabela1[[#This Row],[Country]],Table20[1500m Freestyle Classification],"&gt;0")</f>
        <v>0</v>
      </c>
      <c r="JL171" s="6">
        <f>COUNTIFS(Table21[Country],Tabela1[[#This Row],[Country]],Table21[1500m Freestyle Classification],"&gt;0")</f>
        <v>0</v>
      </c>
      <c r="JM171" s="6">
        <f>COUNTIFS(Table20[Country],Tabela1[[#This Row],[Country]],Table20[100m Backstroke Classification],"&gt;0")</f>
        <v>0</v>
      </c>
      <c r="JN171" s="6">
        <f>COUNTIFS(Table21[Country],Tabela1[[#This Row],[Country]],Table21[100m Backstroke Classification],"&gt;0")</f>
        <v>0</v>
      </c>
      <c r="JO171" s="6">
        <f>COUNTIFS(Table20[Country],Tabela1[[#This Row],[Country]],Table20[200m Backstroke Classification],"&gt;0")</f>
        <v>0</v>
      </c>
      <c r="JP171" s="6">
        <f>COUNTIFS(Table21[Country],Tabela1[[#This Row],[Country]],Table21[200m Backstroke Classification],"&gt;0")</f>
        <v>0</v>
      </c>
      <c r="JQ171" s="6">
        <f>COUNTIFS(Table20[Country],Tabela1[[#This Row],[Country]],Table20[100m Breaststroke Classification],"&gt;0")</f>
        <v>0</v>
      </c>
      <c r="JR171" s="6">
        <f>COUNTIFS(Table21[Country],Tabela1[[#This Row],[Country]],Table21[100m Breaststroke Classification],"&gt;0")</f>
        <v>0</v>
      </c>
      <c r="JS171" s="6">
        <f>COUNTIFS(Table20[Country],Tabela1[[#This Row],[Country]],Table20[200m Breaststroke Classification],"&gt;0")</f>
        <v>0</v>
      </c>
      <c r="JT171" s="6">
        <f>COUNTIFS(Table21[Country],Tabela1[[#This Row],[Country]],Table21[200m Breaststroke Classification],"&gt;0")</f>
        <v>0</v>
      </c>
      <c r="JU171" s="6">
        <f>COUNTIFS(Table20[Country],Tabela1[[#This Row],[Country]],Table20[100m Butterfly Classification],"&gt;0")</f>
        <v>0</v>
      </c>
      <c r="JV171" s="6">
        <f>COUNTIFS(Table21[Country],Tabela1[[#This Row],[Country]],Table21[100m Butterfly Classification],"&gt;0")</f>
        <v>0</v>
      </c>
      <c r="JW171" s="6">
        <f>COUNTIFS(Table20[Country],Tabela1[[#This Row],[Country]],Table20[200m Butterfly Classification],"&gt;0")</f>
        <v>0</v>
      </c>
      <c r="JX171" s="6">
        <f>COUNTIFS(Table21[Country],Tabela1[[#This Row],[Country]],Table21[200m Butterfly Classification],"&gt;0")</f>
        <v>0</v>
      </c>
      <c r="JY171" s="6">
        <f>COUNTIFS(Table20[Country],Tabela1[[#This Row],[Country]],Table20[200m Medley Classification],"&gt;0")</f>
        <v>0</v>
      </c>
      <c r="JZ171" s="6">
        <f>COUNTIFS(Table21[Country],Tabela1[[#This Row],[Country]],Table21[200m Medley Classification],"&gt;0")</f>
        <v>0</v>
      </c>
      <c r="KA171" s="6">
        <f>COUNTIFS(Table20[Country],Tabela1[[#This Row],[Country]],Table20[400m Medley Classification],"&gt;0")</f>
        <v>0</v>
      </c>
      <c r="KB171" s="6">
        <f>COUNTIFS(Table21[Country],Tabela1[[#This Row],[Country]],Table21[400m Medley Classification],"&gt;0")</f>
        <v>0</v>
      </c>
      <c r="KC171" s="6">
        <f>COUNTIFS(Table78[Country],Tabela1[[#This Row],[Country]],Table78[Men''s 4x100m Freestyle Relay Classification],"&gt;0")</f>
        <v>0</v>
      </c>
      <c r="KD171" s="6">
        <f>COUNTIFS(Table78[Country],Tabela1[[#This Row],[Country]],Table78[Women''s 4x100m Freestyle Relay Classification],"&gt;0")</f>
        <v>0</v>
      </c>
      <c r="KE171" s="6">
        <f>COUNTIFS(Table78[Country],Tabela1[[#This Row],[Country]],Table78[Men''s 4x200m Freestyle Relay Classification],"&gt;0")</f>
        <v>0</v>
      </c>
      <c r="KF171" s="6">
        <f>COUNTIFS(Table78[Country],Tabela1[[#This Row],[Country]],Table78[Women''s 4x200m Freestyle Relay Classification],"&gt;0")</f>
        <v>0</v>
      </c>
      <c r="KG171" s="6">
        <f>COUNTIFS(Table78[Country],Tabela1[[#This Row],[Country]],Table78[Men''s 4x100m Medley Relay Classification],"&gt;0")</f>
        <v>0</v>
      </c>
      <c r="KH171" s="6">
        <f>COUNTIFS(Table78[Country],Tabela1[[#This Row],[Country]],Table78[Women''s 4x100m Medley Relay Classification],"&gt;0")</f>
        <v>0</v>
      </c>
      <c r="KI171" s="6">
        <f>COUNTIFS(Table78[Country],Tabela1[[#This Row],[Country]],Table78[Mixed 4x100m Medley Relay Classification],"&gt;0")</f>
        <v>0</v>
      </c>
      <c r="KJ171" s="6">
        <f>COUNTIFS(Table20[Country],Tabela1[[#This Row],[Country]],Table20[10km Open Water Classification],"&gt;0")</f>
        <v>0</v>
      </c>
      <c r="KK171" s="6">
        <f>COUNTIFS(Table21[Country],Tabela1[[#This Row],[Country]],Table21[10km Open Water Classification],"&gt;0")</f>
        <v>0</v>
      </c>
      <c r="KL171" s="6">
        <f>COUNTIFS(Table22[Country],Tabela1[[#This Row],[Country]],Table22[Classification],"&gt;0")</f>
        <v>0</v>
      </c>
      <c r="KM171" s="6">
        <f>COUNTIFS(Table30[Country],Tabela1[[#This Row],[Country]],Table30[Classification],"&gt;0")</f>
        <v>0</v>
      </c>
      <c r="KN171" s="6">
        <f>COUNTIFS(Table55[Country],Tabela1[[#This Row],[Country]],Table55[Men''s Classification],"&gt;0")</f>
        <v>0</v>
      </c>
      <c r="KO171" s="6">
        <f>COUNTIFS(Table55[Country],Tabela1[[#This Row],[Country]],Table55[Women''s Classification],"&gt;0")</f>
        <v>0</v>
      </c>
      <c r="KP171" s="6">
        <f>COUNTIFS(Table56[Country],Tabela1[[#This Row],[Country]],Table56[Mixed Classification],"&gt;0")</f>
        <v>0</v>
      </c>
      <c r="KQ171" s="6">
        <f>COUNTIFS(Table29[Country],Tabela1[[#This Row],[Country]],Table29[58kg Classification],"&gt;0")</f>
        <v>0</v>
      </c>
      <c r="KR171" s="6">
        <f>COUNTIFS(Table29[Country],Tabela1[[#This Row],[Country]],Table29[68kg Classification],"&gt;0")</f>
        <v>0</v>
      </c>
      <c r="KS171" s="6">
        <f>COUNTIFS(Table29[Country],Tabela1[[#This Row],[Country]],Table29[80kg Classification],"&gt;0")</f>
        <v>0</v>
      </c>
      <c r="KT171" s="6">
        <f>COUNTIFS(Table29[Country],Tabela1[[#This Row],[Country]],Table29[Plus 80kg Classification],"&gt;0")</f>
        <v>0</v>
      </c>
      <c r="KU171" s="6">
        <f>COUNTIFS(Table34[Country],Tabela1[[#This Row],[Country]],Table34[49kg Classification],"&gt;0")</f>
        <v>0</v>
      </c>
      <c r="KV171" s="6">
        <f>COUNTIFS(Table34[Country],Tabela1[[#This Row],[Country]],Table34[57kg Classification],"&gt;0")</f>
        <v>0</v>
      </c>
      <c r="KW171" s="6">
        <f>COUNTIFS(Table34[Country],Tabela1[[#This Row],[Country]],Table34[67kg Classification],"&gt;0")</f>
        <v>0</v>
      </c>
      <c r="KX171" s="6">
        <f>COUNTIFS(Table34[Country],Tabela1[[#This Row],[Country]],Table34[Plus 67kg Classification],"&gt;0")</f>
        <v>0</v>
      </c>
      <c r="KY171" s="6">
        <f>COUNTIFS(Table57[Country],Tabela1[[#This Row],[Country]],Table57[Classification],"&gt;0")</f>
        <v>0</v>
      </c>
      <c r="KZ171" s="6">
        <f>COUNTIFS(Table58[Country],Tabela1[[#This Row],[Country]],Table58[Classification],"&gt;0")</f>
        <v>0</v>
      </c>
      <c r="LA171" s="6">
        <f>COUNTIFS(Table79[Country],Tabela1[[#This Row],[Country]],Table79[Men''s Classification],"&gt;0")</f>
        <v>0</v>
      </c>
      <c r="LB171" s="6">
        <f>COUNTIFS(Table79[Country],Tabela1[[#This Row],[Country]],Table79[Women''s Classification],"&gt;0")</f>
        <v>0</v>
      </c>
      <c r="LC171" s="6">
        <f>COUNTIFS(Table79[Country],Tabela1[[#This Row],[Country]],Table79[Mixed Classification],"&gt;0")</f>
        <v>0</v>
      </c>
      <c r="LD171" s="6">
        <f>COUNTIFS(Table65[Country],Tabela1[[#This Row],[Country]],Table65[Classification],"&gt;0")</f>
        <v>0</v>
      </c>
      <c r="LE171" s="6">
        <f>COUNTIFS(Table59[Country],Tabela1[[#This Row],[Country]],Table59[Classification],"&gt;0")</f>
        <v>0</v>
      </c>
      <c r="LF171" s="6">
        <f>COUNTIFS(Table87[Country],Tabela1[[#This Row],[Country]],Table87[Mixed Relay Classification],"&gt;0")</f>
        <v>0</v>
      </c>
      <c r="LG171" s="6">
        <f>COUNTIFS(Table91949698100[Country],Tabela1[[#This Row],[Country]],Table91949698100[Men''s Classification],"&gt;0")</f>
        <v>0</v>
      </c>
      <c r="LH171" s="6">
        <f>COUNTIFS(Table91949698100[Country],Tabela1[[#This Row],[Country]],Table91949698100[Women''s Classification],"&gt;0")</f>
        <v>0</v>
      </c>
      <c r="LI171" s="6">
        <f>COUNTIFS(Table91949698100102[Country],Tabela1[[#This Row],[Country]],Table91949698100102[Men''s Classification],"&gt;0")</f>
        <v>0</v>
      </c>
      <c r="LJ171" s="6">
        <f>COUNTIFS(Table91949698100102[Country],Tabela1[[#This Row],[Country]],Table91949698100102[Women''s Classification],"&gt;0")</f>
        <v>0</v>
      </c>
      <c r="LK171" s="6">
        <f>COUNTIFS(Table23[Country],Tabela1[[#This Row],[Country]],Table23[61kg Classification],"&gt;0")</f>
        <v>0</v>
      </c>
      <c r="LL171" s="6">
        <f>COUNTIFS(Table23[Country],Tabela1[[#This Row],[Country]],Table23[73kg Classification],"&gt;0")</f>
        <v>0</v>
      </c>
      <c r="LM171" s="6">
        <f>COUNTIFS(Table23[Country],Tabela1[[#This Row],[Country]],Table23[89kg Classification],"&gt;0")</f>
        <v>0</v>
      </c>
      <c r="LN171" s="6">
        <f>COUNTIFS(Table23[Country],Tabela1[[#This Row],[Country]],Table23[102kg Classification],"&gt;0")</f>
        <v>0</v>
      </c>
      <c r="LO171" s="6">
        <f>COUNTIFS(Table23[Country],Tabela1[[#This Row],[Country]],Table23[Plus 102kg Classification],"&gt;0")</f>
        <v>0</v>
      </c>
      <c r="LP171" s="6">
        <f>COUNTIFS(Table28[Country],Tabela1[[#This Row],[Country]],Table28[49kg Classification],"&gt;0")</f>
        <v>0</v>
      </c>
      <c r="LQ171" s="6">
        <f>COUNTIFS(Table28[Country],Tabela1[[#This Row],[Country]],Table28[59kg Classification],"&gt;0")</f>
        <v>0</v>
      </c>
      <c r="LR171" s="6">
        <f>COUNTIFS(Table28[Country],Tabela1[[#This Row],[Country]],Table28[71kg Classification],"&gt;0")</f>
        <v>0</v>
      </c>
      <c r="LS171" s="6">
        <f>COUNTIFS(Table28[Country],Tabela1[[#This Row],[Country]],Table28[81kg Classification],"&gt;0")</f>
        <v>0</v>
      </c>
      <c r="LT171" s="6">
        <f>COUNTIFS(Table28[Country],Tabela1[[#This Row],[Country]],Table28[Plus 81kg Classification],"&gt;0")</f>
        <v>0</v>
      </c>
      <c r="LU171" s="6">
        <f>COUNTIFS(Table24[Country],Tabela1[[#This Row],[Country]],Table24[Freestyle 57kg Classification],"&gt;0")</f>
        <v>0</v>
      </c>
      <c r="LV171" s="6">
        <f>COUNTIFS(Table24[Country],Tabela1[[#This Row],[Country]],Table24[Freestyle 65kg Classification],"&gt;0")</f>
        <v>0</v>
      </c>
      <c r="LW171" s="6">
        <f>COUNTIFS(Table24[Country],Tabela1[[#This Row],[Country]],Table24[Freestyle 74kg Classification],"&gt;0")</f>
        <v>0</v>
      </c>
      <c r="LX171" s="6">
        <f>COUNTIFS(Table24[Country],Tabela1[[#This Row],[Country]],Table24[Freestyle 86kg Classification],"&gt;0")</f>
        <v>0</v>
      </c>
      <c r="LY171" s="6">
        <f>COUNTIFS(Table24[Country],Tabela1[[#This Row],[Country]],Table24[Freestyle 97kg Classification],"&gt;0")</f>
        <v>0</v>
      </c>
      <c r="LZ171" s="6">
        <f>COUNTIFS(Table24[Country],Tabela1[[#This Row],[Country]],Table24[Freestyle 125kg Classification],"&gt;0")</f>
        <v>0</v>
      </c>
      <c r="MA171" s="6">
        <f>COUNTIFS(Table24[Country],Tabela1[[#This Row],[Country]],Table24[Greco-Roman 60kg Classification],"&gt;0")</f>
        <v>0</v>
      </c>
      <c r="MB171" s="6">
        <f>COUNTIFS(Table24[Country],Tabela1[[#This Row],[Country]],Table24[Greco-Roman 67kg Classification],"&gt;0")</f>
        <v>0</v>
      </c>
      <c r="MC171" s="6">
        <f>COUNTIFS(Table24[Country],Tabela1[[#This Row],[Country]],Table24[Greco-Roman 77kg Classification],"&gt;0")</f>
        <v>0</v>
      </c>
      <c r="MD171" s="6">
        <f>COUNTIFS(Table24[Country],Tabela1[[#This Row],[Country]],Table24[Greco-Roman 87kg Classification],"&gt;0")</f>
        <v>0</v>
      </c>
      <c r="ME171" s="6">
        <f>COUNTIFS(Table24[Country],Tabela1[[#This Row],[Country]],Table24[Greco-Roman 97kg Classification],"&gt;0")</f>
        <v>0</v>
      </c>
      <c r="MF171" s="6">
        <f>COUNTIFS(Table24[Country],Tabela1[[#This Row],[Country]],Table24[Greco-Roman 130kg Classification],"&gt;0")</f>
        <v>0</v>
      </c>
      <c r="MG171" s="6">
        <f>COUNTIFS(Table31[Country],Tabela1[[#This Row],[Country]],Table31[50kg Classification],"&gt;0")</f>
        <v>0</v>
      </c>
      <c r="MH171" s="6">
        <f>COUNTIFS(Table31[Country],Tabela1[[#This Row],[Country]],Table31[53kg Classification],"&gt;0")</f>
        <v>0</v>
      </c>
      <c r="MI171" s="6">
        <f>COUNTIFS(Table31[Country],Tabela1[[#This Row],[Country]],Table31[57kg Classification],"&gt;0")</f>
        <v>0</v>
      </c>
      <c r="MJ171" s="6">
        <f>COUNTIFS(Table31[Country],Tabela1[[#This Row],[Country]],Table31[62kg Classification],"&gt;0")</f>
        <v>0</v>
      </c>
      <c r="MK171" s="6">
        <f>COUNTIFS(Table31[Country],Tabela1[[#This Row],[Country]],Table31[68kg Classification],"&gt;0")</f>
        <v>0</v>
      </c>
      <c r="ML171" s="6">
        <f>COUNTIFS(Table31[Country],Tabela1[[#This Row],[Country]],Table31[76kg Classification],"&gt;0")</f>
        <v>0</v>
      </c>
      <c r="MM171" s="6">
        <f>COUNTIFS(Table102[Country],Tabela1[[#This Row],[Country]],Table102[Downhill Classification],"&gt;0")</f>
        <v>0</v>
      </c>
      <c r="MN171" s="6">
        <f>COUNTIFS(Table102105[Country],Tabela1[[#This Row],[Country]],Table102105[Downhill Classification],"&gt;0")</f>
        <v>0</v>
      </c>
      <c r="MO171" s="6">
        <f>COUNTIFS(Table102[Country],Tabela1[[#This Row],[Country]],Table102[Giant Slalom Classification],"&gt;0")</f>
        <v>0</v>
      </c>
      <c r="MP171" s="6">
        <f>COUNTIFS(Table102105[Country],Tabela1[[#This Row],[Country]],Table102105[Giant Slalom Classification],"&gt;0")</f>
        <v>0</v>
      </c>
      <c r="MQ171" s="6">
        <f>COUNTIFS(Table102[Country],Tabela1[[#This Row],[Country]],Table102[Slalom Classification],"&gt;0")</f>
        <v>0</v>
      </c>
      <c r="MR171" s="6">
        <f>COUNTIFS(Table102105[Country],Tabela1[[#This Row],[Country]],Table102105[Slalom Classification],"&gt;0")</f>
        <v>0</v>
      </c>
      <c r="MS171" s="6">
        <f>COUNTIFS(Table102[Country],Tabela1[[#This Row],[Country]],Table102[Super-G Classification],"&gt;0")</f>
        <v>0</v>
      </c>
      <c r="MT171" s="6">
        <f>COUNTIFS(Table102105[Country],Tabela1[[#This Row],[Country]],Table102105[Super-G Classification],"&gt;0")</f>
        <v>0</v>
      </c>
      <c r="MU171" s="6">
        <f>COUNTIFS(Table105[Country],Tabela1[[#This Row],[Country]],Table105[Men''s Combined Classification],"&gt;0")</f>
        <v>0</v>
      </c>
      <c r="MV171" s="6">
        <f>COUNTIFS(Table105[Country],Tabela1[[#This Row],[Country]],Table105[Women''s Combined Classification],"&gt;0")</f>
        <v>0</v>
      </c>
      <c r="MW171" s="6">
        <f>COUNTIFS(Table106[Country],Tabela1[[#This Row],[Country]],Table106[Individual Classification],"&gt;0")</f>
        <v>0</v>
      </c>
      <c r="MX171" s="6">
        <f>COUNTIFS(Table106109[Country],Tabela1[[#This Row],[Country]],Table106109[Individual Classification],"&gt;0")</f>
        <v>0</v>
      </c>
      <c r="MY171" s="6">
        <f>COUNTIFS(Table106[Country],Tabela1[[#This Row],[Country]],Table106[Mass Start Classification],"&gt;0")</f>
        <v>0</v>
      </c>
      <c r="MZ171" s="6">
        <f>COUNTIFS(Table106109[Country],Tabela1[[#This Row],[Country]],Table106109[Mass Start Classification],"&gt;0")</f>
        <v>0</v>
      </c>
      <c r="NA171" s="6">
        <f>COUNTIFS(Table106[Country],Tabela1[[#This Row],[Country]],Table106[Pursuit Classification],"&gt;0")</f>
        <v>0</v>
      </c>
      <c r="NB171" s="6">
        <f>COUNTIFS(Table106109[Country],Tabela1[[#This Row],[Country]],Table106109[Pursuit Classification],"&gt;0")</f>
        <v>0</v>
      </c>
      <c r="NC171" s="6">
        <f>COUNTIFS(Table106[Country],Tabela1[[#This Row],[Country]],Table106[Sprint Classification],"&gt;0")</f>
        <v>0</v>
      </c>
      <c r="ND171" s="6">
        <f>COUNTIFS(Table106109[Country],Tabela1[[#This Row],[Country]],Table106109[Sprint Classification],"&gt;0")</f>
        <v>0</v>
      </c>
      <c r="NE171" s="6">
        <f>COUNTIFS(Table109[Country],Tabela1[[#This Row],[Country]],Table109[Men''s Relay Classification],"&gt;0")</f>
        <v>0</v>
      </c>
      <c r="NF171" s="6">
        <f>COUNTIFS(Table109[Country],Tabela1[[#This Row],[Country]],Table109[Women''s Relay Classification],"&gt;0")</f>
        <v>0</v>
      </c>
      <c r="NG171" s="6">
        <f>COUNTIFS(Table109[Country],Tabela1[[#This Row],[Country]],Table109[Mixed Relay Classification],"&gt;0")</f>
        <v>0</v>
      </c>
      <c r="NH171" s="6">
        <f>COUNTIFS(Table110[Country],Tabela1[[#This Row],[Country]],Table110[Monobob Classification],"&gt;0")</f>
        <v>0</v>
      </c>
      <c r="NI171" s="6">
        <f>COUNTIFS(Table111[Country],Tabela1[[#This Row],[Country]],Table111[Men''s Classification],"&gt;0")</f>
        <v>0</v>
      </c>
      <c r="NJ171" s="6">
        <f>COUNTIFS(Table111[Country],Tabela1[[#This Row],[Country]],Table111[Women''s Classification],"&gt;0")</f>
        <v>0</v>
      </c>
      <c r="NK171" s="6">
        <f>COUNTIFS(Table112[Country],Tabela1[[#This Row],[Country]],Table112[Men''s Four Classification],"&gt;0")</f>
        <v>0</v>
      </c>
      <c r="NL171" s="6">
        <f>COUNTIFS(Table113[Country],Tabela1[[#This Row],[Country]],Table113[Classical Classification],"&gt;0")</f>
        <v>0</v>
      </c>
      <c r="NM171" s="6">
        <f>COUNTIFS(Table113116[Country],Tabela1[[#This Row],[Country]],Table113116[Classical Classification],"&gt;0")</f>
        <v>0</v>
      </c>
      <c r="NN171" s="6">
        <f>COUNTIFS(Table113[Country],Tabela1[[#This Row],[Country]],Table113[Freestyle Classification],"&gt;0")</f>
        <v>0</v>
      </c>
      <c r="NO171" s="6">
        <f>COUNTIFS(Table113116[Country],Tabela1[[#This Row],[Country]],Table113116[Freestyle Classification],"&gt;0")</f>
        <v>0</v>
      </c>
      <c r="NP171" s="6">
        <f>COUNTIFS(Table117[Country],Tabela1[[#This Row],[Country]],Table117[Men''s Relay Classification],"&gt;0")</f>
        <v>0</v>
      </c>
      <c r="NQ171" s="6">
        <f>COUNTIFS(Table117[Country],Tabela1[[#This Row],[Country]],Table117[Women''s Relay Classification],"&gt;0")</f>
        <v>0</v>
      </c>
      <c r="NR171" s="6">
        <f>COUNTIFS(Table113[Country],Tabela1[[#This Row],[Country]],Table113[Skiathlon Classification],"&gt;0")</f>
        <v>0</v>
      </c>
      <c r="NS171" s="6">
        <f>COUNTIFS(Table113116[Country],Tabela1[[#This Row],[Country]],Table113116[Skiathlon Classification],"&gt;0")</f>
        <v>0</v>
      </c>
      <c r="NT171" s="6">
        <f>COUNTIFS(Table113[Country],Tabela1[[#This Row],[Country]],Table113[Sprint Classification],"&gt;0")</f>
        <v>0</v>
      </c>
      <c r="NU171" s="6">
        <f>COUNTIFS(Table113116[Country],Tabela1[[#This Row],[Country]],Table113116[Sprint Classification],"&gt;0")</f>
        <v>0</v>
      </c>
      <c r="NV171" s="6">
        <f>COUNTIFS(Table116[Country],Tabela1[[#This Row],[Country]],Table116[Men''s Team Sprint Classification],"&gt;0")</f>
        <v>0</v>
      </c>
      <c r="NW171" s="6">
        <f>COUNTIFS(Table116[Country],Tabela1[[#This Row],[Country]],Table116[Women''s Team Sprint Classification],"&gt;0")</f>
        <v>0</v>
      </c>
      <c r="NX171" s="6">
        <f>COUNTIFS(Table119[Country],Tabela1[[#This Row],[Country]],Table119[Men''s Classification],"&gt;0")</f>
        <v>0</v>
      </c>
      <c r="NY171" s="6">
        <f>COUNTIFS(Table119[Country],Tabela1[[#This Row],[Country]],Table119[Women''s Classification],"&gt;0")</f>
        <v>0</v>
      </c>
      <c r="NZ171" s="6">
        <f>COUNTIFS(Table118[Country],Tabela1[[#This Row],[Country]],Table118[Mixed Classification],"&gt;0")</f>
        <v>0</v>
      </c>
      <c r="OA171" s="6">
        <f>COUNTIFS(Table120[Country],Tabela1[[#This Row],[Country]],Table120[Classification],"&gt;0")</f>
        <v>0</v>
      </c>
      <c r="OB171" s="6">
        <f>COUNTIFS(Table120123[Country],Tabela1[[#This Row],[Country]],Table120123[Classification],"&gt;0")</f>
        <v>0</v>
      </c>
      <c r="OC171" s="6">
        <f>COUNTIFS(Table123[Country],Tabela1[[#This Row],[Country]],Table123[Ice Dance Classification],"&gt;0")</f>
        <v>0</v>
      </c>
      <c r="OD171" s="6">
        <f>COUNTIFS(Table123[Country],Tabela1[[#This Row],[Country]],Table123[Pair Skating Classification],"&gt;0")</f>
        <v>0</v>
      </c>
      <c r="OE171" s="6">
        <f>COUNTIFS(Table124[Country],Tabela1[[#This Row],[Country]],Table124[Mixed Classification],"&gt;0")</f>
        <v>0</v>
      </c>
      <c r="OF171" s="6">
        <f>COUNTIFS(Table125[Country],Tabela1[[#This Row],[Country]],Table125[Aerials Classification],"&gt;0")</f>
        <v>0</v>
      </c>
      <c r="OG171" s="6">
        <f>COUNTIFS(Table125128[Country],Tabela1[[#This Row],[Country]],Table125128[Aerials Classification],"&gt;0")</f>
        <v>0</v>
      </c>
      <c r="OH171" s="6">
        <f>COUNTIFS(Table128[Country],Tabela1[[#This Row],[Country]],Table128[Mixed Aerials Classification],"&gt;0")</f>
        <v>0</v>
      </c>
      <c r="OI171" s="6">
        <f>COUNTIFS(Table125[Country],Tabela1[[#This Row],[Country]],Table125[Big Air Classification],"&gt;0")</f>
        <v>0</v>
      </c>
      <c r="OJ171" s="6">
        <f>COUNTIFS(Table125128[Country],Tabela1[[#This Row],[Country]],Table125128[Big Air Classification],"&gt;0")</f>
        <v>0</v>
      </c>
      <c r="OK171" s="6">
        <f>COUNTIFS(Table125[Country],Tabela1[[#This Row],[Country]],Table125[Dual Moguls Classification],"&gt;0")</f>
        <v>0</v>
      </c>
      <c r="OL171" s="6">
        <f>COUNTIFS(Table125128[Country],Tabela1[[#This Row],[Country]],Table125128[Dual Moguls Classification],"&gt;0")</f>
        <v>0</v>
      </c>
      <c r="OM171" s="6">
        <f>COUNTIFS(Table125[Country],Tabela1[[#This Row],[Country]],Table125[Halfpipe Classification],"&gt;0")</f>
        <v>0</v>
      </c>
      <c r="ON171" s="6">
        <f>COUNTIFS(Table125128[Country],Tabela1[[#This Row],[Country]],Table125128[Halfpipe Classification],"&gt;0")</f>
        <v>0</v>
      </c>
      <c r="OO171" s="6">
        <f>COUNTIFS(Table125[Country],Tabela1[[#This Row],[Country]],Table125[Moguls Classification],"&gt;0")</f>
        <v>0</v>
      </c>
      <c r="OP171" s="6">
        <f>COUNTIFS(Table125128[Country],Tabela1[[#This Row],[Country]],Table125128[Moguls Classification],"&gt;0")</f>
        <v>0</v>
      </c>
      <c r="OQ171" s="6">
        <f>COUNTIFS(Table125[Country],Tabela1[[#This Row],[Country]],Table125[Ski Cross Classification],"&gt;0")</f>
        <v>0</v>
      </c>
      <c r="OR171" s="6">
        <f>COUNTIFS(Table125128[Country],Tabela1[[#This Row],[Country]],Table125128[Ski Cross Classification],"&gt;0")</f>
        <v>0</v>
      </c>
      <c r="OS171" s="6">
        <f>COUNTIFS(Table125[Country],Tabela1[[#This Row],[Country]],Table125[Slopestyle Classification],"&gt;0")</f>
        <v>0</v>
      </c>
      <c r="OT171" s="6">
        <f>COUNTIFS(Table125128[Country],Tabela1[[#This Row],[Country]],Table125128[Slopestyle Classification],"&gt;0")</f>
        <v>0</v>
      </c>
      <c r="OU171" s="6">
        <f>COUNTIFS(Table119131[Country],Tabela1[[#This Row],[Country]],Table119131[Men''s Classification],"&gt;0")</f>
        <v>0</v>
      </c>
      <c r="OV171" s="6">
        <f>COUNTIFS(Table119131[Country],Tabela1[[#This Row],[Country]],Table119131[Women''s Classification],"&gt;0")</f>
        <v>0</v>
      </c>
      <c r="OW171" s="6">
        <f>COUNTIFS(Table131[Country],Tabela1[[#This Row],[Country]],Table131[Classification],"&gt;0")</f>
        <v>0</v>
      </c>
      <c r="OX171" s="6">
        <f>COUNTIFS(Table131134[Country],Tabela1[[#This Row],[Country]],Table131134[Classification],"&gt;0")</f>
        <v>0</v>
      </c>
      <c r="OY171" s="6">
        <f>COUNTIFS(Table134[Country],Tabela1[[#This Row],[Country]],Table134[Men''s Classification],"&gt;0")</f>
        <v>0</v>
      </c>
      <c r="OZ171" s="6">
        <f>COUNTIFS(Table134[Country],Tabela1[[#This Row],[Country]],Table134[Women''s Classification],"&gt;0")</f>
        <v>0</v>
      </c>
      <c r="PA171" s="6">
        <f>COUNTIFS(Table135[Country],Tabela1[[#This Row],[Country]],Table135[Mixed Relay Classification],"&gt;0")</f>
        <v>0</v>
      </c>
      <c r="PB171" s="6">
        <f>COUNTIFS(Table136[Country],Tabela1[[#This Row],[Country]],Table136[Individual Classification],"&gt;0")</f>
        <v>0</v>
      </c>
      <c r="PC171" s="6">
        <f>COUNTIFS(Table136[Country],Tabela1[[#This Row],[Country]],Table136[Sprint Classification],"&gt;0")</f>
        <v>0</v>
      </c>
      <c r="PD171" s="6">
        <f>COUNTIFS(Table137[Country],Tabela1[[#This Row],[Country]],Table137[Men''s Team Sprint Large Hill Classification],"&gt;0")</f>
        <v>0</v>
      </c>
      <c r="PE171" s="6">
        <f>COUNTIFS(Table138[Country],Tabela1[[#This Row],[Country]],Table138[500m Classification],"&gt;0")</f>
        <v>0</v>
      </c>
      <c r="PF171" s="6">
        <f>COUNTIFS(Table138141[Country],Tabela1[[#This Row],[Country]],Table138141[500m Classification],"&gt;0")</f>
        <v>0</v>
      </c>
      <c r="PG171" s="6">
        <f>COUNTIFS(Table138[Country],Tabela1[[#This Row],[Country]],Table138[1000m Classification],"&gt;0")</f>
        <v>0</v>
      </c>
      <c r="PH171" s="6">
        <f>COUNTIFS(Table138141[Country],Tabela1[[#This Row],[Country]],Table138141[1000m Classification],"&gt;0")</f>
        <v>0</v>
      </c>
      <c r="PI171" s="6">
        <f>COUNTIFS(Table138[Country],Tabela1[[#This Row],[Country]],Table138[1500m Classification],"&gt;0")</f>
        <v>0</v>
      </c>
      <c r="PJ171" s="6">
        <f>COUNTIFS(Table138141[Country],Tabela1[[#This Row],[Country]],Table138141[1500m Classification],"&gt;0")</f>
        <v>0</v>
      </c>
      <c r="PK171" s="6">
        <f>COUNTIFS(Table141[Country],Tabela1[[#This Row],[Country]],Table141[Men''s 5000m Relay Classification],"&gt;0")</f>
        <v>0</v>
      </c>
      <c r="PL171" s="6">
        <f>COUNTIFS(Table141[Country],Tabela1[[#This Row],[Country]],Table141[Women''s 3000m Relay Classification],"&gt;0")</f>
        <v>0</v>
      </c>
      <c r="PM171" s="6">
        <f>COUNTIFS(Table141[Country],Tabela1[[#This Row],[Country]],Table141[Mixed 2000m Relay Classification],"&gt;0")</f>
        <v>0</v>
      </c>
      <c r="PN171" s="6">
        <f>COUNTIFS(Table142[Country],Tabela1[[#This Row],[Country]],Table142[Classification],"&gt;0")</f>
        <v>0</v>
      </c>
      <c r="PO171" s="6">
        <f>COUNTIFS(Table142145[Country],Tabela1[[#This Row],[Country]],Table142145[Classification],"&gt;0")</f>
        <v>0</v>
      </c>
      <c r="PP171" s="6">
        <f>COUNTIFS(Tabela15[Country],Tabela1[[#This Row],[Country]],Tabela15[Mixed Team Classification],"&gt;0")</f>
        <v>0</v>
      </c>
      <c r="PQ171" s="6">
        <f>COUNTIFS(Table145[Country],Tabela1[[#This Row],[Country]],Table145[Large Hill Classification],"&gt;0")</f>
        <v>0</v>
      </c>
      <c r="PR171" s="6">
        <f>COUNTIFS(Table145[Country],Tabela1[[#This Row],[Country]],Table145[Normal Hill Classification],"&gt;0")</f>
        <v>0</v>
      </c>
      <c r="PS171" s="6">
        <f>COUNTIFS(Table145148[Country],Tabela1[[#This Row],[Country]],Table145148[Large Hill Classification],"&gt;0")</f>
        <v>0</v>
      </c>
      <c r="PT171" s="6">
        <f>COUNTIFS(Table145148[Country],Tabela1[[#This Row],[Country]],Table145148[Normal Hill Classification],"&gt;0")</f>
        <v>0</v>
      </c>
      <c r="PU171" s="6">
        <f>COUNTIFS(Table148[Country],Tabela1[[#This Row],[Country]],Table148[Men''s Super Team Classification],"&gt;0")</f>
        <v>0</v>
      </c>
      <c r="PV171" s="6">
        <f>COUNTIFS(Tabela114[Country],Tabela1[[#This Row],[Country]],Tabela114[Mixed Normal Hill Classification],"&gt;0")</f>
        <v>0</v>
      </c>
      <c r="PW171" s="6">
        <f>COUNTIFS(Tabela50[Country],Tabela1[[#This Row],[Country]],Tabela50[Sprint Classification],"&gt;0")</f>
        <v>0</v>
      </c>
      <c r="PX171" s="6">
        <f>COUNTIFS(Tabela50101[Country],Tabela1[[#This Row],[Country]],Tabela50101[Sprint Classification],"&gt;0")</f>
        <v>0</v>
      </c>
      <c r="PY171" s="6">
        <f>COUNTIFS(Tabela103[Country],Tabela1[[#This Row],[Country]],Tabela103[Mixed Relay Classification],"&gt;0")</f>
        <v>0</v>
      </c>
      <c r="PZ171" s="6">
        <f>COUNTIFS(Table149[Country],Tabela1[[#This Row],[Country]],Table149[Big Air Classification],"&gt;0")</f>
        <v>0</v>
      </c>
      <c r="QA171" s="6">
        <f>COUNTIFS(Table149152[Country],Tabela1[[#This Row],[Country]],Table149152[Big Air Classification],"&gt;0")</f>
        <v>0</v>
      </c>
      <c r="QB171" s="6">
        <f>COUNTIFS(Table149[Country],Tabela1[[#This Row],[Country]],Table149[Halfpipe Classification],"&gt;0")</f>
        <v>0</v>
      </c>
      <c r="QC171" s="6">
        <f>COUNTIFS(Table149152[Country],Tabela1[[#This Row],[Country]],Table149152[Halfpipe Classification],"&gt;0")</f>
        <v>0</v>
      </c>
      <c r="QD171" s="6">
        <f>COUNTIFS(Table149[Country],Tabela1[[#This Row],[Country]],Table149[Parallel Giant Slalom Classification],"&gt;0")</f>
        <v>0</v>
      </c>
      <c r="QE171" s="6">
        <f>COUNTIFS(Table149152[Country],Tabela1[[#This Row],[Country]],Table149152[Parallel Giant Slalom Classification],"&gt;0")</f>
        <v>0</v>
      </c>
      <c r="QF171" s="6">
        <f>COUNTIFS(Table149[Country],Tabela1[[#This Row],[Country]],Table149[Slopestyle Classification],"&gt;0")</f>
        <v>0</v>
      </c>
      <c r="QG171" s="6">
        <f>COUNTIFS(Table149152[Country],Tabela1[[#This Row],[Country]],Table149152[Slopestyle Classification],"&gt;0")</f>
        <v>0</v>
      </c>
      <c r="QH171" s="6">
        <f>COUNTIFS(Table149[Country],Tabela1[[#This Row],[Country]],Table149[Snowboard Cross Classification],"&gt;0")</f>
        <v>0</v>
      </c>
      <c r="QI171" s="6">
        <f>COUNTIFS(Table149152[Country],Tabela1[[#This Row],[Country]],Table149152[Snowboard Cross Classification],"&gt;0")</f>
        <v>0</v>
      </c>
      <c r="QJ171" s="6">
        <f>COUNTIFS(Table153[Country],Tabela1[[#This Row],[Country]],Table153[Mixed Team Snowboard Cross Classification],"&gt;0")</f>
        <v>0</v>
      </c>
      <c r="QK171" s="6">
        <f>COUNTIFS(Table154[Country],Tabela1[[#This Row],[Country]],Table154[500m Classification],"&gt;0")</f>
        <v>0</v>
      </c>
      <c r="QL171" s="6">
        <f>COUNTIFS(Table154157[Country],Tabela1[[#This Row],[Country]],Table154157[500m Classification],"&gt;0")</f>
        <v>0</v>
      </c>
      <c r="QM171" s="6">
        <f>COUNTIFS(Table154[Country],Tabela1[[#This Row],[Country]],Table154[1000m Classification],"&gt;0")</f>
        <v>0</v>
      </c>
      <c r="QN171" s="6">
        <f>COUNTIFS(Table154157[Country],Tabela1[[#This Row],[Country]],Table154157[1000m Classification],"&gt;0")</f>
        <v>0</v>
      </c>
      <c r="QO171" s="6">
        <f>COUNTIFS(Table154[Country],Tabela1[[#This Row],[Country]],Table154[1500m Classification],"&gt;0")</f>
        <v>0</v>
      </c>
      <c r="QP171" s="6">
        <f>COUNTIFS(Table154157[Country],Tabela1[[#This Row],[Country]],Table154157[1500m Classification],"&gt;0")</f>
        <v>0</v>
      </c>
      <c r="QQ171" s="6">
        <f>COUNTIFS(Table154157[Country],Tabela1[[#This Row],[Country]],Table154157[3000m Classification],"&gt;0")</f>
        <v>0</v>
      </c>
      <c r="QR171" s="6">
        <f>COUNTIFS(Table154[Country],Tabela1[[#This Row],[Country]],Table154[5000m Classification],"&gt;0")</f>
        <v>0</v>
      </c>
      <c r="QS171" s="6">
        <f>COUNTIFS(Table154157[Country],Tabela1[[#This Row],[Country]],Table154157[5000m Classification],"&gt;0")</f>
        <v>0</v>
      </c>
      <c r="QT171" s="6">
        <f>COUNTIFS(Table154[Country],Tabela1[[#This Row],[Country]],Table154[10000m Classification],"&gt;0")</f>
        <v>0</v>
      </c>
      <c r="QU171" s="6">
        <f>COUNTIFS(Table154[Country],Tabela1[[#This Row],[Country]],Table154[Mass Start Classification],"&gt;0")</f>
        <v>0</v>
      </c>
      <c r="QV171" s="6">
        <f>COUNTIFS(Table154157[Country],Tabela1[[#This Row],[Country]],Table154157[Mass Start Classification],"&gt;0")</f>
        <v>0</v>
      </c>
      <c r="QW171" s="6">
        <f>COUNTIFS(Table157[Country],Tabela1[[#This Row],[Country]],Table157[Men''s Pursuit Classification],"&gt;0")</f>
        <v>0</v>
      </c>
      <c r="QX171" s="6">
        <f>COUNTIFS(Table157[Country],Tabela1[[#This Row],[Country]],Table157[Women''s Pursuit Classification],"&gt;0")</f>
        <v>0</v>
      </c>
      <c r="QY171" s="4" t="s">
        <v>549</v>
      </c>
    </row>
    <row r="172" spans="1:467" x14ac:dyDescent="0.3">
      <c r="A172" s="6">
        <v>171</v>
      </c>
      <c r="B172" s="6" t="s">
        <v>550</v>
      </c>
      <c r="C172" t="e" vm="171">
        <f>IF(ISBLANK(Tabela1[[#This Row],[Image Link]]), "", _xlfn.IMAGE(Tabela1[[#This Row],[Image Link]],1,1))</f>
        <v>#VALUE!</v>
      </c>
      <c r="D172" s="6">
        <f>SUM(Tabela1[[#This Row],[Archery - Men''s Individual Recurve]:[Speed Skating - Women''s Team Pursuit]])</f>
        <v>0</v>
      </c>
      <c r="E172" s="6">
        <f>COUNTIF(Tabela1[[#This Row],[Archery - Men''s Individual Recurve]:[Speed Skating - Women''s Team Pursuit]],"&gt;0")</f>
        <v>0</v>
      </c>
      <c r="F172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72" s="6">
        <f>SUM(Tabela1[[#This Row],[Archery - Men''s Individual Recurve]:[Wrestling - Women''s Freestyle 76kg]])</f>
        <v>0</v>
      </c>
      <c r="H172" s="6">
        <f>SUM(Tabela1[[#This Row],[Alpine Skiing - Men''s Downhill]:[Speed Skating - Women''s Team Pursuit]])</f>
        <v>0</v>
      </c>
      <c r="I172" s="6">
        <f>Tabela1[[#This Row],[Summer Gold Medals]]+Tabela1[[#This Row],[Winter Gold Medals]]</f>
        <v>0</v>
      </c>
      <c r="J172" s="6">
        <f>Tabela1[[#This Row],[Summer Silver Medals]]+Tabela1[[#This Row],[Winter Silver Medals]]</f>
        <v>0</v>
      </c>
      <c r="K172" s="6">
        <f>Tabela1[[#This Row],[Summer Bronze Medals]]+Tabela1[[#This Row],[Winter Bronze Medals]]</f>
        <v>0</v>
      </c>
      <c r="L172" s="6">
        <f>SUM(Tabela1[[#This Row],[Total Gold Medals]:[Total Bronze Medals]])</f>
        <v>0</v>
      </c>
      <c r="M172" s="6"/>
      <c r="N172" s="6"/>
      <c r="O172" s="6"/>
      <c r="P172" s="6">
        <f>SUM(Tabela1[[#This Row],[Summer Gold Medals]:[Summer Bronze Medals]])</f>
        <v>0</v>
      </c>
      <c r="Q172" s="6"/>
      <c r="R172" s="6"/>
      <c r="S172" s="6"/>
      <c r="T172" s="6">
        <f>Tabela1[[#This Row],[Winter Gold Medals]]+Tabela1[[#This Row],[Winter Silver Medals]]+Tabela1[[#This Row],[Winter Bronze Medals]]</f>
        <v>0</v>
      </c>
      <c r="U172" s="7" t="e">
        <f>Tabela1[[#This Row],[Total Medals]]/Tabela1[[#This Row],[Total Quotas]]</f>
        <v>#DIV/0!</v>
      </c>
      <c r="V172" s="6">
        <f>COUNTIFS(Table3[Country],Tabela1[[#This Row],[Country]],Table3[Recurve Classification],"&gt;0")</f>
        <v>0</v>
      </c>
      <c r="W172" s="6">
        <f>COUNTIFS(Table33[Country],Tabela1[[#This Row],[Country]],Table33[Recurve Classification],"&gt;0")</f>
        <v>0</v>
      </c>
      <c r="X172" s="6">
        <f>COUNTIFS(Table35[Country],Tabela1[[#This Row],[Country]],Table35[Men''s Team Recurve Classification],"&gt;0")</f>
        <v>0</v>
      </c>
      <c r="Y172" s="6">
        <f>COUNTIFS(Table35[Country],Tabela1[[#This Row],[Country]],Table35[Women''s Team Recurve Classification],"&gt;0")</f>
        <v>0</v>
      </c>
      <c r="Z172" s="6">
        <f>COUNTIFS(Tabela88[Country],Tabela1[[#This Row],[Country]],Tabela88[Mixed Team Recurve Classification],"&gt;0")</f>
        <v>0</v>
      </c>
      <c r="AA172" s="6">
        <f>COUNTIFS(Table36[Country],Tabela1[[#This Row],[Country]],Table36[Classification],"&gt;0")</f>
        <v>0</v>
      </c>
      <c r="AB172" s="6">
        <f>COUNTIFS(Table37[Country],Tabela1[[#This Row],[Country]],Table37[Classification],"&gt;0")</f>
        <v>0</v>
      </c>
      <c r="AC172" s="6">
        <f>COUNTIFS(Table4[Country],Tabela1[[#This Row],[Country]],Table4[100m Classification],"&gt;0")</f>
        <v>0</v>
      </c>
      <c r="AD172" s="6">
        <f>COUNTIFS(Table5[Country],Tabela1[[#This Row],[Country]],Table5[100m Classification],"&gt;0")</f>
        <v>0</v>
      </c>
      <c r="AE172" s="6">
        <f>COUNTIFS(Table4[Country],Tabela1[[#This Row],[Country]],Table4[200m Classification],"&gt;0")</f>
        <v>0</v>
      </c>
      <c r="AF172" s="6">
        <f>COUNTIFS(Table5[Country],Tabela1[[#This Row],[Country]],Table5[200m Classification],"&gt;0")</f>
        <v>0</v>
      </c>
      <c r="AG172" s="6">
        <f>COUNTIFS(Table4[Country],Tabela1[[#This Row],[Country]],Table4[400m Classification],"&gt;0")</f>
        <v>0</v>
      </c>
      <c r="AH172" s="6">
        <f>COUNTIFS(Table5[Country],Tabela1[[#This Row],[Country]],Table5[400m Classification],"&gt;0")</f>
        <v>0</v>
      </c>
      <c r="AI172" s="6">
        <f>COUNTIFS(Table4[Country],Tabela1[[#This Row],[Country]],Table4[800m Classification],"&gt;0")</f>
        <v>0</v>
      </c>
      <c r="AJ172" s="6">
        <f>COUNTIFS(Table5[Country],Tabela1[[#This Row],[Country]],Table5[800m Classification],"&gt;0")</f>
        <v>0</v>
      </c>
      <c r="AK172" s="6">
        <f>COUNTIFS(Table4[Country],Tabela1[[#This Row],[Country]],Table4[1500m Classification],"&gt;0")</f>
        <v>0</v>
      </c>
      <c r="AL172" s="6">
        <f>COUNTIFS(Table5[Country],Tabela1[[#This Row],[Country]],Table5[1500m Classification],"&gt;0")</f>
        <v>0</v>
      </c>
      <c r="AM172" s="6">
        <f>COUNTIFS(Table4[Country],Tabela1[[#This Row],[Country]],Table4[5000m Classification],"&gt;0")</f>
        <v>0</v>
      </c>
      <c r="AN172" s="6">
        <f>COUNTIFS(Table5[Country],Tabela1[[#This Row],[Country]],Table5[5000m Classification],"&gt;0")</f>
        <v>0</v>
      </c>
      <c r="AO172" s="6">
        <f>COUNTIFS(Table4[Country],Tabela1[[#This Row],[Country]],Table4[10000m Classification],"&gt;0")</f>
        <v>0</v>
      </c>
      <c r="AP172" s="6">
        <f>COUNTIFS(Table5[Country],Tabela1[[#This Row],[Country]],Table5[10000m Classification],"&gt;0")</f>
        <v>0</v>
      </c>
      <c r="AQ172" s="6">
        <f>COUNTIFS(Table4[Country],Tabela1[[#This Row],[Country]],Table4[110m Hurdles Classification],"&gt;0")</f>
        <v>0</v>
      </c>
      <c r="AR172" s="6">
        <f>COUNTIFS(Table5[Country],Tabela1[[#This Row],[Country]],Table5[100m Hurdles Classification],"&gt;0")</f>
        <v>0</v>
      </c>
      <c r="AS172" s="6">
        <f>COUNTIFS(Table4[Country],Tabela1[[#This Row],[Country]],Table4[400m Hurdles Classification],"&gt;0")</f>
        <v>0</v>
      </c>
      <c r="AT172" s="6">
        <f>COUNTIFS(Table5[Country],Tabela1[[#This Row],[Country]],Table5[400m Hurdles Classification],"&gt;0")</f>
        <v>0</v>
      </c>
      <c r="AU172" s="6">
        <f>COUNTIFS(Table4[Country],Tabela1[[#This Row],[Country]],Table4[3000m Steeplechase Classification],"&gt;0")</f>
        <v>0</v>
      </c>
      <c r="AV172" s="6">
        <f>COUNTIFS(Table5[Country],Tabela1[[#This Row],[Country]],Table5[3000m Steeplechase Classification],"&gt;0")</f>
        <v>0</v>
      </c>
      <c r="AW172" s="6">
        <f>COUNTIFS(Table27[Country],Tabela1[[#This Row],[Country]],Table27[Men''s 4x100m Relay Classification],"&gt;0")</f>
        <v>0</v>
      </c>
      <c r="AX172" s="6">
        <f>COUNTIFS(Table27[Country],Tabela1[[#This Row],[Country]],Table27[Women''s 4x100m Relay Classification],"&gt;0")</f>
        <v>0</v>
      </c>
      <c r="AY172" s="6">
        <f>COUNTIFS(Table27[Country],Tabela1[[#This Row],[Country]],Table27[Men''s 4x400m Relay Classification],"&gt;0")</f>
        <v>0</v>
      </c>
      <c r="AZ172" s="6">
        <f>COUNTIFS(Table27[Country],Tabela1[[#This Row],[Country]],Table27[Women''s 4x400m Relay Classification],"&gt;0")</f>
        <v>0</v>
      </c>
      <c r="BA172" s="6">
        <f>COUNTIFS(Table27[Country],Tabela1[[#This Row],[Country]],Table27[Mixed 4x400m Relay Classification],"&gt;0")</f>
        <v>0</v>
      </c>
      <c r="BB172" s="6">
        <f>COUNTIFS(Table4[Country],Tabela1[[#This Row],[Country]],Table4[Marathon Classification],"&gt;0")</f>
        <v>0</v>
      </c>
      <c r="BC172" s="6">
        <f>COUNTIFS(Table5[Country],Tabela1[[#This Row],[Country]],Table5[Marathon Classification],"&gt;0")</f>
        <v>0</v>
      </c>
      <c r="BD172" s="6">
        <f>COUNTIFS(Table4[Country],Tabela1[[#This Row],[Country]],Table4[20km Race Walk Classification],"&gt;0")</f>
        <v>0</v>
      </c>
      <c r="BE172" s="6">
        <f>COUNTIFS(Table5[Country],Tabela1[[#This Row],[Country]],Table5[20km Race Walk Classification],"&gt;0")</f>
        <v>0</v>
      </c>
      <c r="BF172" s="6">
        <f>COUNTIFS(Tabela96[Country],Tabela1[[#This Row],[Country]],Tabela96[Mixed Marathon Race Walk Relay Classification],"&gt;0")</f>
        <v>0</v>
      </c>
      <c r="BG172" s="6">
        <f>COUNTIFS(Table4[Country],Tabela1[[#This Row],[Country]],Table4[Discus Throw Classification],"&gt;0")</f>
        <v>0</v>
      </c>
      <c r="BH172" s="6">
        <f>COUNTIFS(Table5[Country],Tabela1[[#This Row],[Country]],Table5[Discus Throw Classification],"&gt;0")</f>
        <v>0</v>
      </c>
      <c r="BI172" s="6">
        <f>COUNTIFS(Table4[Country],Tabela1[[#This Row],[Country]],Table4[Hammer Throw Classification],"&gt;0")</f>
        <v>0</v>
      </c>
      <c r="BJ172" s="6">
        <f>COUNTIFS(Table5[Country],Tabela1[[#This Row],[Country]],Table5[Hammer Throw Classification],"&gt;0")</f>
        <v>0</v>
      </c>
      <c r="BK172" s="6">
        <f>COUNTIFS(Table4[Country],Tabela1[[#This Row],[Country]],Table4[High Jump Classification],"&gt;0")</f>
        <v>0</v>
      </c>
      <c r="BL172" s="6">
        <f>COUNTIFS(Table5[Country],Tabela1[[#This Row],[Country]],Table5[High Jump Classification],"&gt;0")</f>
        <v>0</v>
      </c>
      <c r="BM172" s="6">
        <f>COUNTIFS(Table4[Country],Tabela1[[#This Row],[Country]],Table4[Javelin Throw Classification],"&gt;0")</f>
        <v>0</v>
      </c>
      <c r="BN172" s="6">
        <f>COUNTIFS(Table5[Country],Tabela1[[#This Row],[Country]],Table5[Javelin Throw Classification],"&gt;0")</f>
        <v>0</v>
      </c>
      <c r="BO172" s="6">
        <f>COUNTIFS(Table4[Country],Tabela1[[#This Row],[Country]],Table4[Long Jump Classification],"&gt;0")</f>
        <v>0</v>
      </c>
      <c r="BP172" s="6">
        <f>COUNTIFS(Table5[Country],Tabela1[[#This Row],[Country]],Table5[Long Jump Classification],"&gt;0")</f>
        <v>0</v>
      </c>
      <c r="BQ172" s="6">
        <f>COUNTIFS(Table4[Country],Tabela1[[#This Row],[Country]],Table4[Pole Vault Classification],"&gt;0")</f>
        <v>0</v>
      </c>
      <c r="BR172" s="6">
        <f>COUNTIFS(Table5[Country],Tabela1[[#This Row],[Country]],Table5[Pole Vault Classification],"&gt;0")</f>
        <v>0</v>
      </c>
      <c r="BS172" s="6">
        <f>COUNTIFS(Table4[Country],Tabela1[[#This Row],[Country]],Table4[Shot Put Classification],"&gt;0")</f>
        <v>0</v>
      </c>
      <c r="BT172" s="6">
        <f>COUNTIFS(Table5[Country],Tabela1[[#This Row],[Country]],Table5[Shot Put Classification],"&gt;0")</f>
        <v>0</v>
      </c>
      <c r="BU172" s="6">
        <f>COUNTIFS(Table4[Country],Tabela1[[#This Row],[Country]],Table4[Triple Jump Classification],"&gt;0")</f>
        <v>0</v>
      </c>
      <c r="BV172" s="6">
        <f>COUNTIFS(Table5[Country],Tabela1[[#This Row],[Country]],Table5[Triple Jump Classification],"&gt;0")</f>
        <v>0</v>
      </c>
      <c r="BW172" s="6">
        <f>COUNTIFS(Table4[Country],Tabela1[[#This Row],[Country]],Table4[Decathlon Classification],"&gt;0")</f>
        <v>0</v>
      </c>
      <c r="BX172" s="6">
        <f>COUNTIFS(Table5[Country],Tabela1[[#This Row],[Country]],Table5[Heptathlon Classification],"&gt;0")</f>
        <v>0</v>
      </c>
      <c r="BY172" s="6">
        <f>COUNTIFS(Table61[Country],Tabela1[[#This Row],[Country]],Table61[Classification],"&gt;0")</f>
        <v>0</v>
      </c>
      <c r="BZ172" s="6">
        <f>COUNTIFS(Table38[Country],Tabela1[[#This Row],[Country]],Table38[Classification],"&gt;0")</f>
        <v>0</v>
      </c>
      <c r="CA172" s="6">
        <f>COUNTIFS(Table39[Country],Tabela1[[#This Row],[Country]],Table39[Men''s Classification],"&gt;0")</f>
        <v>0</v>
      </c>
      <c r="CB172" s="6">
        <f>COUNTIFS(Table39[Country],Tabela1[[#This Row],[Country]],Table39[Women''s Classification],"&gt;0")</f>
        <v>0</v>
      </c>
      <c r="CC172" s="6">
        <f>COUNTIFS(Table39[Country],Tabela1[[#This Row],[Country]],Table39[Mixed Classification],"&gt;0")</f>
        <v>0</v>
      </c>
      <c r="CD172" s="6">
        <f>COUNTIFS(Table89[Country],Tabela1[[#This Row],[Country]],Table89[Men''s Classification],"&gt;0")</f>
        <v>0</v>
      </c>
      <c r="CE172" s="6">
        <f>COUNTIFS(Table89[Country],Tabela1[[#This Row],[Country]],Table89[Women''s Classification],"&gt;0")</f>
        <v>0</v>
      </c>
      <c r="CF172" s="6">
        <f>COUNTIFS(Table90[Country],Tabela1[[#This Row],[Country]],Table90[Men''s Classification],"&gt;0")</f>
        <v>0</v>
      </c>
      <c r="CG172" s="6">
        <f>COUNTIFS(Table90[Country],Tabela1[[#This Row],[Country]],Table90[Women''s Classification],"&gt;0")</f>
        <v>0</v>
      </c>
      <c r="CH172" s="6">
        <f>COUNTIFS(Table60[Country],Tabela1[[#This Row],[Country]],Table60[Men''s Classification],"&gt;0")</f>
        <v>0</v>
      </c>
      <c r="CI172" s="6">
        <f>COUNTIFS(Table60[Country],Tabela1[[#This Row],[Country]],Table60[Women''s Classification],"&gt;0")</f>
        <v>0</v>
      </c>
      <c r="CJ172" s="6">
        <f>COUNTIFS(Table6[Country],Tabela1[[#This Row],[Country]],Table6[51kg Classification],"&gt;0")</f>
        <v>0</v>
      </c>
      <c r="CK172" s="6">
        <f>COUNTIFS(Table6[Country],Tabela1[[#This Row],[Country]],Table6[57kg Classification],"&gt;0")</f>
        <v>0</v>
      </c>
      <c r="CL172" s="6">
        <f>COUNTIFS(Table6[Country],Tabela1[[#This Row],[Country]],Table6[63.5kg Classification],"&gt;0")</f>
        <v>0</v>
      </c>
      <c r="CM172" s="6">
        <f>COUNTIFS(Table6[Country],Tabela1[[#This Row],[Country]],Table6[71kg Classification],"&gt;0")</f>
        <v>0</v>
      </c>
      <c r="CN172" s="6">
        <f>COUNTIFS(Table6[Country],Tabela1[[#This Row],[Country]],Table6[80kg Classification],"&gt;0")</f>
        <v>0</v>
      </c>
      <c r="CO172" s="6">
        <f>COUNTIFS(Table6[Country],Tabela1[[#This Row],[Country]],Table6[92kg Classification],"&gt;0")</f>
        <v>0</v>
      </c>
      <c r="CP172" s="6">
        <f>COUNTIFS(Table6[Country],Tabela1[[#This Row],[Country]],Table6[Plus 92kg Classification],"&gt;0")</f>
        <v>0</v>
      </c>
      <c r="CQ172" s="6">
        <f>COUNTIFS(Table7[Country],Tabela1[[#This Row],[Country]],Table7[50kg Classification],"&gt;0")</f>
        <v>0</v>
      </c>
      <c r="CR172" s="6">
        <f>COUNTIFS(Table7[Country],Tabela1[[#This Row],[Country]],Table7[54kg Classification],"&gt;0")</f>
        <v>0</v>
      </c>
      <c r="CS172" s="6">
        <f>COUNTIFS(Table7[Country],Tabela1[[#This Row],[Country]],Table7[57kg Classification],"&gt;0")</f>
        <v>0</v>
      </c>
      <c r="CT172" s="6">
        <f>COUNTIFS(Table7[Country],Tabela1[[#This Row],[Country]],Table7[60kg Classification],"&gt;0")</f>
        <v>0</v>
      </c>
      <c r="CU172" s="6">
        <f>COUNTIFS(Table7[Country],Tabela1[[#This Row],[Country]],Table7[66kg Classification],"&gt;0")</f>
        <v>0</v>
      </c>
      <c r="CV172" s="6">
        <f>COUNTIFS(Table7[Country],Tabela1[[#This Row],[Country]],Table7[75kg Classification],"&gt;0")</f>
        <v>0</v>
      </c>
      <c r="CW172" s="6">
        <f>COUNTIFS(Tabela94[Country],Tabela1[[#This Row],[Country]],Tabela94[Classification],"&gt;0")</f>
        <v>0</v>
      </c>
      <c r="CX172" s="6">
        <f>COUNTIFS(Tabela9499[Country],Tabela1[[#This Row],[Country]],Tabela9499[Classification],"&gt;0")</f>
        <v>0</v>
      </c>
      <c r="CY172" s="6">
        <f>COUNTIFS(Tabela107[Country],Tabela1[[#This Row],[Country]],Tabela107[C1 Slalom Classification],"&gt;0")</f>
        <v>0</v>
      </c>
      <c r="CZ172" s="6">
        <f>COUNTIFS(Tabela107122[Country],Tabela1[[#This Row],[Country]],Tabela107122[C1 Slalom Classification],"&gt;0")</f>
        <v>0</v>
      </c>
      <c r="DA172" s="6">
        <f>COUNTIFS(Tabela107[Country],Tabela1[[#This Row],[Country]],Tabela107[K1 Slalom Classification],"&gt;0")</f>
        <v>0</v>
      </c>
      <c r="DB172" s="6">
        <f>COUNTIFS(Tabela107122[Country],Tabela1[[#This Row],[Country]],Tabela107122[K1 Slalom Classification],"&gt;0")</f>
        <v>0</v>
      </c>
      <c r="DC172" s="6">
        <f>COUNTIFS(Tabela107[Country],Tabela1[[#This Row],[Country]],Tabela107[Kayak Cross Slalom Classification],"&gt;0")</f>
        <v>0</v>
      </c>
      <c r="DD172" s="6">
        <f>COUNTIFS(Tabela107122[Country],Tabela1[[#This Row],[Country]],Tabela107122[Kayak Cross Slalom Classification],"&gt;0")</f>
        <v>0</v>
      </c>
      <c r="DE172" s="6">
        <f>COUNTIFS(Table8[Country],Tabela1[[#This Row],[Country]],Table8[C1 200m Classification],"&gt;0")</f>
        <v>0</v>
      </c>
      <c r="DF172" s="6">
        <f>COUNTIFS(Table40[Country],Tabela1[[#This Row],[Country]],Table40[C1 1000m Classification],"&gt;0")</f>
        <v>0</v>
      </c>
      <c r="DG172" s="6">
        <f>COUNTIFS(Table68[Country],Tabela1[[#This Row],[Country]],Table68[Men''s C2 500m Classification],"&gt;0")</f>
        <v>0</v>
      </c>
      <c r="DH172" s="6">
        <f>COUNTIFS(Table68[Country],Tabela1[[#This Row],[Country]],Table68[Women''s C2 500m Classification],"&gt;0")</f>
        <v>0</v>
      </c>
      <c r="DI172" s="6">
        <f>COUNTIFS(Table8[Country],Tabela1[[#This Row],[Country]],Table8[K1 500m Classification],"&gt;0")</f>
        <v>0</v>
      </c>
      <c r="DJ172" s="6">
        <f>COUNTIFS(Table40[Country],Tabela1[[#This Row],[Country]],Table40[K1 1000m Classification],"&gt;0")</f>
        <v>0</v>
      </c>
      <c r="DK172" s="6">
        <f>COUNTIFS(Table68[Country],Tabela1[[#This Row],[Country]],Table68[Men''s K2 500m Classification],"&gt;0")</f>
        <v>0</v>
      </c>
      <c r="DL172" s="6">
        <f>COUNTIFS(Table68[Country],Tabela1[[#This Row],[Country]],Table68[Women''s K2 500m Classification],"&gt;0")</f>
        <v>0</v>
      </c>
      <c r="DM172" s="6">
        <f>COUNTIFS(Table83[Country],Tabela1[[#This Row],[Country]],Table83[Men''s K4 500m Classification],"&gt;0")</f>
        <v>0</v>
      </c>
      <c r="DN172" s="6">
        <f>COUNTIFS(Table83[Country],Tabela1[[#This Row],[Country]],Table83[Women''s K4 500m Classification],"&gt;0")</f>
        <v>0</v>
      </c>
      <c r="DO172" s="6">
        <f>COUNTIFS(Tabela126[Country],Tabela1[[#This Row],[Country]],Tabela126[Classification],"&gt;0")</f>
        <v>0</v>
      </c>
      <c r="DP172" s="6">
        <f>COUNTIFS(Tabela126130[Country],Tabela1[[#This Row],[Country]],Tabela126130[Classification],"&gt;0")</f>
        <v>0</v>
      </c>
      <c r="DQ172" s="6">
        <f>COUNTIFS(Table70[Country],Tabela1[[#This Row],[Country]],Table70[Classification],"&gt;0")</f>
        <v>0</v>
      </c>
      <c r="DR172" s="6">
        <f>COUNTIFS(Table80[Country],Tabela1[[#This Row],[Country]],Table80[Classification],"&gt;0")</f>
        <v>0</v>
      </c>
      <c r="DS172" s="6">
        <f>COUNTIFS(Table66[Country],Tabela1[[#This Row],[Country]],Table66[Classification],"&gt;0")</f>
        <v>0</v>
      </c>
      <c r="DT172" s="6">
        <f>COUNTIFS(Table67[Country],Tabela1[[#This Row],[Country]],Table67[Classification],"&gt;0")</f>
        <v>0</v>
      </c>
      <c r="DU172" s="6">
        <f>COUNTIFS(Table69[Country],Tabela1[[#This Row],[Country]],Table69[Keirin Classification],"&gt;0")</f>
        <v>0</v>
      </c>
      <c r="DV172" s="6">
        <f>COUNTIFS(Table41[Country],Tabela1[[#This Row],[Country]],Table41[Keirin Classification],"&gt;0")</f>
        <v>0</v>
      </c>
      <c r="DW172" s="6">
        <f>COUNTIFS(Table84[Country],Tabela1[[#This Row],[Country]],Table84[Men''s Madison Classification],"&gt;0")</f>
        <v>0</v>
      </c>
      <c r="DX172" s="6">
        <f>COUNTIFS(Table84[Country],Tabela1[[#This Row],[Country]],Table84[Women''s Madison Classification],"&gt;0")</f>
        <v>0</v>
      </c>
      <c r="DY172" s="6">
        <f>COUNTIFS(Table69[Country],Tabela1[[#This Row],[Country]],Table69[Omnium Classification],"&gt;0")</f>
        <v>0</v>
      </c>
      <c r="DZ172" s="6">
        <f>COUNTIFS(Table41[Country],Tabela1[[#This Row],[Country]],Table41[Omnium Classification],"&gt;0")</f>
        <v>0</v>
      </c>
      <c r="EA172" s="6">
        <f>COUNTIFS(Table9[Country],Tabela1[[#This Row],[Country]],Table9[Road Race Classification],"&gt;0")</f>
        <v>0</v>
      </c>
      <c r="EB172" s="6">
        <f>COUNTIFS(Table14[Country],Tabela1[[#This Row],[Country]],Table14[Road Race Classification],"&gt;0")</f>
        <v>0</v>
      </c>
      <c r="EC172" s="6">
        <f>COUNTIFS(Table69[Country],Tabela1[[#This Row],[Country]],Table69[Sprint Classification],"&gt;0")</f>
        <v>0</v>
      </c>
      <c r="ED172" s="6">
        <f>COUNTIFS(Table41[Country],Tabela1[[#This Row],[Country]],Table41[Sprint Classification],"&gt;0")</f>
        <v>0</v>
      </c>
      <c r="EE172" s="6">
        <f>COUNTIFS(Table85[Country],Tabela1[[#This Row],[Country]],Table85[Men''s Sprint Classification],"&gt;0")</f>
        <v>0</v>
      </c>
      <c r="EF172" s="6">
        <f>COUNTIFS(Table85[Country],Tabela1[[#This Row],[Country]],Table85[Women''s Sprint Classification],"&gt;0")</f>
        <v>0</v>
      </c>
      <c r="EG172" s="6">
        <f>COUNTIFS(Table85[Country],Tabela1[[#This Row],[Country]],Table85[Men''s Pursuit Classification],"&gt;0")</f>
        <v>0</v>
      </c>
      <c r="EH172" s="6">
        <f>COUNTIFS(Table85[Country],Tabela1[[#This Row],[Country]],Table85[Women''s Pursuit Classification],"&gt;0")</f>
        <v>0</v>
      </c>
      <c r="EI172" s="6">
        <f>COUNTIFS(Table9[Country],Tabela1[[#This Row],[Country]],Table9[Time-Trial Classification],"&gt;0")</f>
        <v>0</v>
      </c>
      <c r="EJ172" s="6">
        <f>COUNTIFS(Table14[Country],Tabela1[[#This Row],[Country]],Table14[Time-Trial Classification],"&gt;0")</f>
        <v>0</v>
      </c>
      <c r="EK172" s="6">
        <f>COUNTIFS(Table42[Country],Tabela1[[#This Row],[Country]],Table42[Springboard Classification],"&gt;0")</f>
        <v>0</v>
      </c>
      <c r="EL172" s="6">
        <f>COUNTIFS(Table43[Country],Tabela1[[#This Row],[Country]],Table43[Springboard Classification],"&gt;0")</f>
        <v>0</v>
      </c>
      <c r="EM172" s="6">
        <f>COUNTIFS(Table42[Country],Tabela1[[#This Row],[Country]],Table42[Platform Classification],"&gt;0")</f>
        <v>0</v>
      </c>
      <c r="EN172" s="6">
        <f>COUNTIFS(Table43[Country],Tabela1[[#This Row],[Country]],Table43[Platform Classification],"&gt;0")</f>
        <v>0</v>
      </c>
      <c r="EO172" s="6">
        <f>COUNTIFS(Table86[Country],Tabela1[[#This Row],[Country]],Table86[Men''s Synchronized Springboard Classification],"&gt;0")</f>
        <v>0</v>
      </c>
      <c r="EP172" s="6">
        <f>COUNTIFS(Table86[Country],Tabela1[[#This Row],[Country]],Table86[Women''s Synchronized Springboard Classification],"&gt;0")</f>
        <v>0</v>
      </c>
      <c r="EQ172" s="6">
        <f>COUNTIFS(Table86[Country],Tabela1[[#This Row],[Country]],Table86[Men''s Synchronized Platform Classification],"&gt;0")</f>
        <v>0</v>
      </c>
      <c r="ER172" s="6">
        <f>COUNTIFS(Table86[Country],Tabela1[[#This Row],[Country]],Table86[Women''s Synchronized Platform Classification],"&gt;0")</f>
        <v>0</v>
      </c>
      <c r="ES172" s="6">
        <f>COUNTIFS(Table44[Country],Tabela1[[#This Row],[Country]],Table44[Dressage Classification],"&gt;0")</f>
        <v>0</v>
      </c>
      <c r="ET172" s="6">
        <f>COUNTIFS(Table45[Country],Tabela1[[#This Row],[Country]],Table45[Dressage Classification],"&gt;0")</f>
        <v>0</v>
      </c>
      <c r="EU172" s="6">
        <f>COUNTIFS(Table44[Country],Tabela1[[#This Row],[Country]],Table44[Eventing Classification],"&gt;0")</f>
        <v>0</v>
      </c>
      <c r="EV172" s="6">
        <f>COUNTIFS(Table45[Country],Tabela1[[#This Row],[Country]],Table45[Eventing Classification],"&gt;0")</f>
        <v>0</v>
      </c>
      <c r="EW172" s="6">
        <f>COUNTIFS(Table44[Country],Tabela1[[#This Row],[Country]],Table44[Jumping Classification],"&gt;0")</f>
        <v>0</v>
      </c>
      <c r="EX172" s="6">
        <f>COUNTIFS(Table45[Country],Tabela1[[#This Row],[Country]],Table45[Jumping Classification],"&gt;0")</f>
        <v>0</v>
      </c>
      <c r="EY172" s="6">
        <f>COUNTIFS(Table10[Country],Tabela1[[#This Row],[Country]],Table10[Épée Classification],"&gt;0")</f>
        <v>0</v>
      </c>
      <c r="EZ172" s="6">
        <f>COUNTIFS(Table11[Country],Tabela1[[#This Row],[Country]],Table11[Épée Classification],"&gt;0")</f>
        <v>0</v>
      </c>
      <c r="FA172" s="6">
        <f>COUNTIFS(Table46[Country],Tabela1[[#This Row],[Country]],Table46[Men''s Épée Classification],"&gt;0")</f>
        <v>0</v>
      </c>
      <c r="FB172" s="6">
        <f>COUNTIFS(Table46[Country],Tabela1[[#This Row],[Country]],Table46[Women''s Épée Classification],"&gt;0")</f>
        <v>0</v>
      </c>
      <c r="FC172" s="6">
        <f>COUNTIFS(Table10[Country],Tabela1[[#This Row],[Country]],Table10[Foil Classification],"&gt;0")</f>
        <v>0</v>
      </c>
      <c r="FD172" s="6">
        <f>COUNTIFS(Table11[Country],Tabela1[[#This Row],[Country]],Table11[Foil Classification],"&gt;0")</f>
        <v>0</v>
      </c>
      <c r="FE172" s="6">
        <f>COUNTIFS(Table46[Country],Tabela1[[#This Row],[Country]],Table46[Men''s Foil Classification],"&gt;0")</f>
        <v>0</v>
      </c>
      <c r="FF172" s="6">
        <f>COUNTIFS(Table46[Country],Tabela1[[#This Row],[Country]],Table46[Women''s Foil Classification],"&gt;0")</f>
        <v>0</v>
      </c>
      <c r="FG172" s="6">
        <f>COUNTIFS(Table10[Country],Tabela1[[#This Row],[Country]],Table10[Sabre Classification],"&gt;0")</f>
        <v>0</v>
      </c>
      <c r="FH172" s="6">
        <f>COUNTIFS(Table11[Country],Tabela1[[#This Row],[Country]],Table11[Sabre Classification],"&gt;0")</f>
        <v>0</v>
      </c>
      <c r="FI172" s="6">
        <f>COUNTIFS(Table46[Country],Tabela1[[#This Row],[Country]],Table46[Men''s Sabre Classification],"&gt;0")</f>
        <v>0</v>
      </c>
      <c r="FJ172" s="6">
        <f>COUNTIFS(Table46[Country],Tabela1[[#This Row],[Country]],Table46[Women''s Sabre Classification],"&gt;0")</f>
        <v>0</v>
      </c>
      <c r="FK172" s="6">
        <f>COUNTIFS(Table91[Country],Tabela1[[#This Row],[Country]],Table91[Men''s Classification],"&gt;0")</f>
        <v>0</v>
      </c>
      <c r="FL172" s="6">
        <f>COUNTIFS(Table91[Country],Tabela1[[#This Row],[Country]],Table91[Women''s Classification],"&gt;0")</f>
        <v>0</v>
      </c>
      <c r="FM172" s="6">
        <f>COUNTIFS(Table9194[Country],Tabela1[[#This Row],[Country]],Table9194[Men''s Classification],"&gt;0")</f>
        <v>0</v>
      </c>
      <c r="FN172" s="6">
        <f>COUNTIFS(Table9194[Country],Tabela1[[#This Row],[Country]],Table9194[Women''s Classification],"&gt;0")</f>
        <v>0</v>
      </c>
      <c r="FO172" s="6">
        <f>COUNTIFS(Table71[Country],Tabela1[[#This Row],[Country]],Table71[Classification],"&gt;0")</f>
        <v>0</v>
      </c>
      <c r="FP172" s="6">
        <f>COUNTIFS(Table62[Country],Tabela1[[#This Row],[Country]],Table62[Classification],"&gt;0")</f>
        <v>0</v>
      </c>
      <c r="FQ172" s="6">
        <f>COUNTIFS(Table47[Country],Tabela1[[#This Row],[Country]],Table47[All-Around Classification],"&gt;0")</f>
        <v>0</v>
      </c>
      <c r="FR172" s="6">
        <f>COUNTIFS(Table48[Country],Tabela1[[#This Row],[Country]],Table48[All-Around Classification],"&gt;0")</f>
        <v>0</v>
      </c>
      <c r="FS172" s="6">
        <f>COUNTIFS(Table81[Country],Tabela1[[#This Row],[Country]],Table81[Men''s All-Around Classification],"&gt;0")</f>
        <v>0</v>
      </c>
      <c r="FT172" s="6">
        <f>COUNTIFS(Table81[Country],Tabela1[[#This Row],[Country]],Table81[Women''s All-Around Classification],"&gt;0")</f>
        <v>0</v>
      </c>
      <c r="FU172" s="6">
        <f>COUNTIFS(Table48[Country],Tabela1[[#This Row],[Country]],Table48[Balance Beam Classification],"&gt;0")</f>
        <v>0</v>
      </c>
      <c r="FV172" s="6">
        <f>COUNTIFS(Table47[Country],Tabela1[[#This Row],[Country]],Table47[Floor Exercise Classification],"&gt;0")</f>
        <v>0</v>
      </c>
      <c r="FW172" s="6">
        <f>COUNTIFS(Table48[Country],Tabela1[[#This Row],[Country]],Table48[Floor Exercise Classification],"&gt;0")</f>
        <v>0</v>
      </c>
      <c r="FX172" s="6">
        <f>COUNTIFS(Table47[Country],Tabela1[[#This Row],[Country]],Table47[Horizontal Bar Classification],"&gt;0")</f>
        <v>0</v>
      </c>
      <c r="FY172" s="6">
        <f>COUNTIFS(Table47[Country],Tabela1[[#This Row],[Country]],Table47[Parallel Bars Classification],"&gt;0")</f>
        <v>0</v>
      </c>
      <c r="FZ172" s="6">
        <f>COUNTIFS(Table47[Country],Tabela1[[#This Row],[Country]],Table47[Pommel Horse Classification],"&gt;0")</f>
        <v>0</v>
      </c>
      <c r="GA172" s="6">
        <f>COUNTIFS(Table47[Country],Tabela1[[#This Row],[Country]],Table47[Rings Classification],"&gt;0")</f>
        <v>0</v>
      </c>
      <c r="GB172" s="6">
        <f>COUNTIFS(Tabela132[Country],Tabela1[[#This Row],[Country]],Tabela132[Classification],"&gt;0")</f>
        <v>0</v>
      </c>
      <c r="GC172" s="6">
        <f>COUNTIFS(Tabela139[Country],Tabela1[[#This Row],[Country]],Tabela139[Classification],"&gt;0")</f>
        <v>0</v>
      </c>
      <c r="GD172" s="6">
        <f>COUNTIFS(Table48[Country],Tabela1[[#This Row],[Country]],Table48[Uneven Bars Classification],"&gt;0")</f>
        <v>0</v>
      </c>
      <c r="GE172" s="6">
        <f>COUNTIFS(Table47[Country],Tabela1[[#This Row],[Country]],Table47[Vault Classification],"&gt;0")</f>
        <v>0</v>
      </c>
      <c r="GF172" s="6">
        <f>COUNTIFS(Table48[Country],Tabela1[[#This Row],[Country]],Table48[Vault Classification],"&gt;0")</f>
        <v>0</v>
      </c>
      <c r="GG172" s="6">
        <f>COUNTIFS(Table919496[Country],Tabela1[[#This Row],[Country]],Table919496[Men''s Classification],"&gt;0")</f>
        <v>0</v>
      </c>
      <c r="GH172" s="6">
        <f>COUNTIFS(Table919496[Country],Tabela1[[#This Row],[Country]],Table919496[Women''s Classification],"&gt;0")</f>
        <v>0</v>
      </c>
      <c r="GI172" s="6">
        <f>COUNTIFS(Table12[Country],Tabela1[[#This Row],[Country]],Table12[60kg Classification],"&gt;0")</f>
        <v>0</v>
      </c>
      <c r="GJ172" s="6">
        <f>COUNTIFS(Table12[Country],Tabela1[[#This Row],[Country]],Table12[66kg Classification],"&gt;0")</f>
        <v>0</v>
      </c>
      <c r="GK172" s="6">
        <f>COUNTIFS(Table12[Country],Tabela1[[#This Row],[Country]],Table12[73kg Classification],"&gt;0")</f>
        <v>0</v>
      </c>
      <c r="GL172" s="6">
        <f>COUNTIFS(Table12[Country],Tabela1[[#This Row],[Country]],Table12[81kg Classification],"&gt;0")</f>
        <v>0</v>
      </c>
      <c r="GM172" s="6">
        <f>COUNTIFS(Table12[Country],Tabela1[[#This Row],[Country]],Table12[90kg Classification],"&gt;0")</f>
        <v>0</v>
      </c>
      <c r="GN172" s="6">
        <f>COUNTIFS(Table12[Country],Tabela1[[#This Row],[Country]],Table12[100kg Classification],"&gt;0")</f>
        <v>0</v>
      </c>
      <c r="GO172" s="6">
        <f>COUNTIFS(Table12[Country],Tabela1[[#This Row],[Country]],Table12[Plus 100kg Classification],"&gt;0")</f>
        <v>0</v>
      </c>
      <c r="GP172" s="6">
        <f>COUNTIFS(Table13[Country],Tabela1[[#This Row],[Country]],Table13[48kg Classification],"&gt;0")</f>
        <v>0</v>
      </c>
      <c r="GQ172" s="6">
        <f>COUNTIFS(Table13[Country],Tabela1[[#This Row],[Country]],Table13[52kg Classification],"&gt;0")</f>
        <v>0</v>
      </c>
      <c r="GR172" s="6">
        <f>COUNTIFS(Table13[Country],Tabela1[[#This Row],[Country]],Table13[57kg Classification],"&gt;0")</f>
        <v>0</v>
      </c>
      <c r="GS172" s="6">
        <f>COUNTIFS(Table13[Country],Tabela1[[#This Row],[Country]],Table13[63kg Classification],"&gt;0")</f>
        <v>0</v>
      </c>
      <c r="GT172" s="6">
        <f>COUNTIFS(Table13[Country],Tabela1[[#This Row],[Country]],Table13[70kg Classification],"&gt;0")</f>
        <v>0</v>
      </c>
      <c r="GU172" s="6">
        <f>COUNTIFS(Table13[Country],Tabela1[[#This Row],[Country]],Table13[78kg Classification],"&gt;0")</f>
        <v>0</v>
      </c>
      <c r="GV172" s="6">
        <f>COUNTIFS(Table13[Country],Tabela1[[#This Row],[Country]],Table13[Plus 78kg Classification],"&gt;0")</f>
        <v>0</v>
      </c>
      <c r="GW172" s="6">
        <f>COUNTIFS(Table82[Country],Tabela1[[#This Row],[Country]],Table82[Mixed Classification],"&gt;0")</f>
        <v>0</v>
      </c>
      <c r="GX172" s="6">
        <f>COUNTIFS(Table51[Country],Tabela1[[#This Row],[Country]],Table51[Classification],"&gt;0")</f>
        <v>0</v>
      </c>
      <c r="GY172" s="6">
        <f>COUNTIFS(Table52[Country],Tabela1[[#This Row],[Country]],Table52[Classification],"&gt;0")</f>
        <v>0</v>
      </c>
      <c r="GZ172" s="6">
        <f>COUNTIFS(Table32[Country],Tabela1[[#This Row],[Country]],Table32[All-Around Classification],"&gt;0")</f>
        <v>0</v>
      </c>
      <c r="HA172" s="6">
        <f>COUNTIFS(Table49[Country],Tabela1[[#This Row],[Country]],Table49[All-Around Classification],"&gt;0")</f>
        <v>0</v>
      </c>
      <c r="HB172" s="6">
        <f>COUNTIFS(Table26[Country],Tabela1[[#This Row],[Country]],Table26[Single Sculls Classification],"&gt;0")</f>
        <v>0</v>
      </c>
      <c r="HC172" s="6">
        <f>COUNTIFS(Table63[Country],Tabela1[[#This Row],[Country]],Table63[Single Sculls Classification],"&gt;0")</f>
        <v>0</v>
      </c>
      <c r="HD172" s="6">
        <f>COUNTIFS(Table16[Country],Tabela1[[#This Row],[Country]],Table16[Men''s Double Sculls Classification],"&gt;0")</f>
        <v>0</v>
      </c>
      <c r="HE172" s="6">
        <f>COUNTIFS(Table16[Country],Tabela1[[#This Row],[Country]],Table16[Women''s Double Sculls Classification],"&gt;0")</f>
        <v>0</v>
      </c>
      <c r="HF172" s="6">
        <f>COUNTIFS(Table72[Country],Tabela1[[#This Row],[Country]],Table72[Men''s Quadruple Sculls Classification],"&gt;0")</f>
        <v>0</v>
      </c>
      <c r="HG172" s="6">
        <f>COUNTIFS(Table72[Country],Tabela1[[#This Row],[Country]],Table72[Women''s Quadruple Sculls Classification],"&gt;0")</f>
        <v>0</v>
      </c>
      <c r="HH172" s="6">
        <f>COUNTIFS(Table16[Country],Tabela1[[#This Row],[Country]],Table16[Men''s Coxless Pairs Classification],"&gt;0")</f>
        <v>0</v>
      </c>
      <c r="HI172" s="6">
        <f>COUNTIFS(Table16[Country],Tabela1[[#This Row],[Country]],Table16[Women''s Coxless Pairs Classification],"&gt;0")</f>
        <v>0</v>
      </c>
      <c r="HJ172" s="6">
        <f>COUNTIFS(Table72[Country],Tabela1[[#This Row],[Country]],Table72[Men''s Coxless Fours Classification],"&gt;0")</f>
        <v>0</v>
      </c>
      <c r="HK172" s="6">
        <f>COUNTIFS(Table72[Country],Tabela1[[#This Row],[Country]],Table72[Women''s Coxless Fours Classification],"&gt;0")</f>
        <v>0</v>
      </c>
      <c r="HL172" s="6">
        <f>COUNTIFS(Table72[Country],Tabela1[[#This Row],[Country]],Table72[Men''s Eights Classification],"&gt;0")</f>
        <v>0</v>
      </c>
      <c r="HM172" s="6">
        <f>COUNTIFS(Table72[Country],Tabela1[[#This Row],[Country]],Table72[Women''s Eights Classification],"&gt;0")</f>
        <v>0</v>
      </c>
      <c r="HN172" s="6">
        <f>COUNTIFS(Table16[Country],Tabela1[[#This Row],[Country]],Table16[Men''s Lwt. Double Sculls Classification],"&gt;0")</f>
        <v>0</v>
      </c>
      <c r="HO172" s="6">
        <f>COUNTIFS(Table16[Country],Tabela1[[#This Row],[Country]],Table16[Women''s Lwt. Double Sculls Classification],"&gt;0")</f>
        <v>0</v>
      </c>
      <c r="HP172" s="6">
        <f>COUNTIFS(Table91949698[Country],Tabela1[[#This Row],[Country]],Table91949698[Men''s Classification],"&gt;0")</f>
        <v>0</v>
      </c>
      <c r="HQ172" s="6">
        <f>COUNTIFS(Table91949698[Country],Tabela1[[#This Row],[Country]],Table91949698[Women''s Classification],"&gt;0")</f>
        <v>0</v>
      </c>
      <c r="HR172" s="6">
        <f>COUNTIFS(Table25[Country],Tabela1[[#This Row],[Country]],Table25[Mixed 470 Classification],"&gt;0")</f>
        <v>0</v>
      </c>
      <c r="HS172" s="6">
        <f>COUNTIFS(Table25[Country],Tabela1[[#This Row],[Country]],Table25[Men''s 49er Classification],"&gt;0")</f>
        <v>0</v>
      </c>
      <c r="HT172" s="6">
        <f>COUNTIFS(Table25[Country],Tabela1[[#This Row],[Country]],Table25[Women''s 49er FX Classification],"&gt;0")</f>
        <v>0</v>
      </c>
      <c r="HU172" s="6">
        <f>COUNTIFS(Table17[Country],Tabela1[[#This Row],[Country]],Table17[Formula Kite Classification],"&gt;0")</f>
        <v>0</v>
      </c>
      <c r="HV172" s="6">
        <f>COUNTIFS(Table18[Country],Tabela1[[#This Row],[Country]],Table18[Formula Kite Classification],"&gt;0")</f>
        <v>0</v>
      </c>
      <c r="HW172" s="6">
        <f>COUNTIFS(Table17[Country],Tabela1[[#This Row],[Country]],Table17[ILCA 7 Classification],"&gt;0")</f>
        <v>0</v>
      </c>
      <c r="HX172" s="6">
        <f>COUNTIFS(Table18[Country],Tabela1[[#This Row],[Country]],Table18[ILCA 6 Classification],"&gt;0")</f>
        <v>0</v>
      </c>
      <c r="HY172" s="6">
        <f>COUNTIFS(Table17[Country],Tabela1[[#This Row],[Country]],Table17[IQFoil Classification],"&gt;0")</f>
        <v>0</v>
      </c>
      <c r="HZ172" s="6">
        <f>COUNTIFS(Table18[Country],Tabela1[[#This Row],[Country]],Table18[IQFoil Classification],"&gt;0")</f>
        <v>0</v>
      </c>
      <c r="IA172" s="6">
        <f>COUNTIFS(Table25[Country],Tabela1[[#This Row],[Country]],Table25[Mixed Nacra 17 Classification],"&gt;0")</f>
        <v>0</v>
      </c>
      <c r="IB172" s="6">
        <f>COUNTIFS(Table53[Country],Tabela1[[#This Row],[Country]],Table53[10m Air Pistol Classification],"&gt;0")</f>
        <v>0</v>
      </c>
      <c r="IC172" s="6">
        <f>COUNTIFS(Table19[Country],Tabela1[[#This Row],[Country]],Table19[10m Air Pistol Classification],"&gt;0")</f>
        <v>0</v>
      </c>
      <c r="ID172" s="6">
        <f>COUNTIFS(Table54[Country],Tabela1[[#This Row],[Country]],Table54[Mixed 10m Air Pistol Team Classification],"&gt;0")</f>
        <v>0</v>
      </c>
      <c r="IE172" s="6">
        <f>COUNTIFS(Table53[Country],Tabela1[[#This Row],[Country]],Table53[10m Air Rifle Classification],"&gt;0")</f>
        <v>0</v>
      </c>
      <c r="IF172" s="6">
        <f>COUNTIFS(Table19[Country],Tabela1[[#This Row],[Country]],Table19[10m Air Rifle Classification],"&gt;0")</f>
        <v>0</v>
      </c>
      <c r="IG172" s="6">
        <f>COUNTIFS(Table54[Country],Tabela1[[#This Row],[Country]],Table54[Mixed 10m Air Rifle Team Classification],"&gt;0")</f>
        <v>0</v>
      </c>
      <c r="IH172" s="6">
        <f>COUNTIFS(Table53[Country],Tabela1[[#This Row],[Country]],Table53[25m Rapid Fire Pistol Classification],"&gt;0")</f>
        <v>0</v>
      </c>
      <c r="II172" s="6">
        <f>COUNTIFS(Table19[Country],Tabela1[[#This Row],[Country]],Table19[25m Pistol Classification],"&gt;0")</f>
        <v>0</v>
      </c>
      <c r="IJ172" s="6">
        <f>COUNTIFS(Table53[Country],Tabela1[[#This Row],[Country]],Table53[50m Rifle 3 Positions Classification],"&gt;0")</f>
        <v>0</v>
      </c>
      <c r="IK172" s="6">
        <f>COUNTIFS(Table19[Country],Tabela1[[#This Row],[Country]],Table19[50m Rifle 3 Positions Classification],"&gt;0")</f>
        <v>0</v>
      </c>
      <c r="IL172" s="6">
        <f>COUNTIFS(Table53[Country],Tabela1[[#This Row],[Country]],Table53[Skeet Classification],"&gt;0")</f>
        <v>0</v>
      </c>
      <c r="IM172" s="6">
        <f>COUNTIFS(Table19[Country],Tabela1[[#This Row],[Country]],Table19[Skeet Classification],"&gt;0")</f>
        <v>0</v>
      </c>
      <c r="IN172" s="6">
        <f>COUNTIFS(Table54[Country],Tabela1[[#This Row],[Country]],Table54[Mixed Skeet Team Classification],"&gt;0")</f>
        <v>0</v>
      </c>
      <c r="IO172" s="6">
        <f>COUNTIFS(Table53[Country],Tabela1[[#This Row],[Country]],Table53[Trap Classification],"&gt;0")</f>
        <v>0</v>
      </c>
      <c r="IP172" s="6">
        <f>COUNTIFS(Table19[Country],Tabela1[[#This Row],[Country]],Table19[Trap Classification],"&gt;0")</f>
        <v>0</v>
      </c>
      <c r="IQ172" s="6">
        <f>COUNTIFS(Table73[Country],Tabela1[[#This Row],[Country]],Table73[Park Classification],"&gt;0")</f>
        <v>0</v>
      </c>
      <c r="IR172" s="6">
        <f>COUNTIFS(Table74[Country],Tabela1[[#This Row],[Country]],Table74[Park Classification],"&gt;0")</f>
        <v>0</v>
      </c>
      <c r="IS172" s="6">
        <f>COUNTIFS(Table73[Country],Tabela1[[#This Row],[Country]],Table73[Street Classification],"&gt;0")</f>
        <v>0</v>
      </c>
      <c r="IT172" s="6">
        <f>COUNTIFS(Table74[Country],Tabela1[[#This Row],[Country]],Table74[Street Classification],"&gt;0")</f>
        <v>0</v>
      </c>
      <c r="IU172" s="6">
        <f>COUNTIFS(Table75[Country],Tabela1[[#This Row],[Country]],Table75[Boulder and Lead Classification],"&gt;0")</f>
        <v>0</v>
      </c>
      <c r="IV172" s="6">
        <f>COUNTIFS(Table76[Country],Tabela1[[#This Row],[Country]],Table76[Boulder and Lead Classification],"&gt;0")</f>
        <v>0</v>
      </c>
      <c r="IW172" s="6">
        <f>COUNTIFS(Table75[Country],Tabela1[[#This Row],[Country]],Table75[Speed Classification],"&gt;0")</f>
        <v>0</v>
      </c>
      <c r="IX172" s="6">
        <f>COUNTIFS(Table76[Country],Tabela1[[#This Row],[Country]],Table76[Speed Classification],"&gt;0")</f>
        <v>0</v>
      </c>
      <c r="IY172" s="6">
        <f>COUNTIFS(Table64[Country],Tabela1[[#This Row],[Country]],Table64[Shortboard Classification],"&gt;0")</f>
        <v>0</v>
      </c>
      <c r="IZ172" s="6">
        <f>COUNTIFS(Table77[Country],Tabela1[[#This Row],[Country]],Table77[Shortboard Classification],"&gt;0")</f>
        <v>0</v>
      </c>
      <c r="JA172" s="6">
        <f>COUNTIFS(Table20[Country],Tabela1[[#This Row],[Country]],Table20[50m Freestyle Classification],"&gt;0")</f>
        <v>0</v>
      </c>
      <c r="JB172" s="6">
        <f>COUNTIFS(Table21[Country],Tabela1[[#This Row],[Country]],Table21[50m Freestyle Classification],"&gt;0")</f>
        <v>0</v>
      </c>
      <c r="JC172" s="6">
        <f>COUNTIFS(Table20[Country],Tabela1[[#This Row],[Country]],Table20[100m Freestyle Classification],"&gt;0")</f>
        <v>0</v>
      </c>
      <c r="JD172" s="6">
        <f>COUNTIFS(Table21[Country],Tabela1[[#This Row],[Country]],Table21[100m Freestyle Classification],"&gt;0")</f>
        <v>0</v>
      </c>
      <c r="JE172" s="6">
        <f>COUNTIFS(Table20[Country],Tabela1[[#This Row],[Country]],Table20[200m Freestyle Classification],"&gt;0")</f>
        <v>0</v>
      </c>
      <c r="JF172" s="6">
        <f>COUNTIFS(Table21[Country],Tabela1[[#This Row],[Country]],Table21[200m Freestyle Classification],"&gt;0")</f>
        <v>0</v>
      </c>
      <c r="JG172" s="6">
        <f>COUNTIFS(Table20[Country],Tabela1[[#This Row],[Country]],Table20[400m Freestyle Classification],"&gt;0")</f>
        <v>0</v>
      </c>
      <c r="JH172" s="6">
        <f>COUNTIFS(Table21[Country],Tabela1[[#This Row],[Country]],Table21[400m Freestyle Classification],"&gt;0")</f>
        <v>0</v>
      </c>
      <c r="JI172" s="6">
        <f>COUNTIFS(Table20[Country],Tabela1[[#This Row],[Country]],Table20[800m Freestyle Classification],"&gt;0")</f>
        <v>0</v>
      </c>
      <c r="JJ172" s="6">
        <f>COUNTIFS(Table21[Country],Tabela1[[#This Row],[Country]],Table21[800m Freestyle Classification],"&gt;0")</f>
        <v>0</v>
      </c>
      <c r="JK172" s="6">
        <f>COUNTIFS(Table20[Country],Tabela1[[#This Row],[Country]],Table20[1500m Freestyle Classification],"&gt;0")</f>
        <v>0</v>
      </c>
      <c r="JL172" s="6">
        <f>COUNTIFS(Table21[Country],Tabela1[[#This Row],[Country]],Table21[1500m Freestyle Classification],"&gt;0")</f>
        <v>0</v>
      </c>
      <c r="JM172" s="6">
        <f>COUNTIFS(Table20[Country],Tabela1[[#This Row],[Country]],Table20[100m Backstroke Classification],"&gt;0")</f>
        <v>0</v>
      </c>
      <c r="JN172" s="6">
        <f>COUNTIFS(Table21[Country],Tabela1[[#This Row],[Country]],Table21[100m Backstroke Classification],"&gt;0")</f>
        <v>0</v>
      </c>
      <c r="JO172" s="6">
        <f>COUNTIFS(Table20[Country],Tabela1[[#This Row],[Country]],Table20[200m Backstroke Classification],"&gt;0")</f>
        <v>0</v>
      </c>
      <c r="JP172" s="6">
        <f>COUNTIFS(Table21[Country],Tabela1[[#This Row],[Country]],Table21[200m Backstroke Classification],"&gt;0")</f>
        <v>0</v>
      </c>
      <c r="JQ172" s="6">
        <f>COUNTIFS(Table20[Country],Tabela1[[#This Row],[Country]],Table20[100m Breaststroke Classification],"&gt;0")</f>
        <v>0</v>
      </c>
      <c r="JR172" s="6">
        <f>COUNTIFS(Table21[Country],Tabela1[[#This Row],[Country]],Table21[100m Breaststroke Classification],"&gt;0")</f>
        <v>0</v>
      </c>
      <c r="JS172" s="6">
        <f>COUNTIFS(Table20[Country],Tabela1[[#This Row],[Country]],Table20[200m Breaststroke Classification],"&gt;0")</f>
        <v>0</v>
      </c>
      <c r="JT172" s="6">
        <f>COUNTIFS(Table21[Country],Tabela1[[#This Row],[Country]],Table21[200m Breaststroke Classification],"&gt;0")</f>
        <v>0</v>
      </c>
      <c r="JU172" s="6">
        <f>COUNTIFS(Table20[Country],Tabela1[[#This Row],[Country]],Table20[100m Butterfly Classification],"&gt;0")</f>
        <v>0</v>
      </c>
      <c r="JV172" s="6">
        <f>COUNTIFS(Table21[Country],Tabela1[[#This Row],[Country]],Table21[100m Butterfly Classification],"&gt;0")</f>
        <v>0</v>
      </c>
      <c r="JW172" s="6">
        <f>COUNTIFS(Table20[Country],Tabela1[[#This Row],[Country]],Table20[200m Butterfly Classification],"&gt;0")</f>
        <v>0</v>
      </c>
      <c r="JX172" s="6">
        <f>COUNTIFS(Table21[Country],Tabela1[[#This Row],[Country]],Table21[200m Butterfly Classification],"&gt;0")</f>
        <v>0</v>
      </c>
      <c r="JY172" s="6">
        <f>COUNTIFS(Table20[Country],Tabela1[[#This Row],[Country]],Table20[200m Medley Classification],"&gt;0")</f>
        <v>0</v>
      </c>
      <c r="JZ172" s="6">
        <f>COUNTIFS(Table21[Country],Tabela1[[#This Row],[Country]],Table21[200m Medley Classification],"&gt;0")</f>
        <v>0</v>
      </c>
      <c r="KA172" s="6">
        <f>COUNTIFS(Table20[Country],Tabela1[[#This Row],[Country]],Table20[400m Medley Classification],"&gt;0")</f>
        <v>0</v>
      </c>
      <c r="KB172" s="6">
        <f>COUNTIFS(Table21[Country],Tabela1[[#This Row],[Country]],Table21[400m Medley Classification],"&gt;0")</f>
        <v>0</v>
      </c>
      <c r="KC172" s="6">
        <f>COUNTIFS(Table78[Country],Tabela1[[#This Row],[Country]],Table78[Men''s 4x100m Freestyle Relay Classification],"&gt;0")</f>
        <v>0</v>
      </c>
      <c r="KD172" s="6">
        <f>COUNTIFS(Table78[Country],Tabela1[[#This Row],[Country]],Table78[Women''s 4x100m Freestyle Relay Classification],"&gt;0")</f>
        <v>0</v>
      </c>
      <c r="KE172" s="6">
        <f>COUNTIFS(Table78[Country],Tabela1[[#This Row],[Country]],Table78[Men''s 4x200m Freestyle Relay Classification],"&gt;0")</f>
        <v>0</v>
      </c>
      <c r="KF172" s="6">
        <f>COUNTIFS(Table78[Country],Tabela1[[#This Row],[Country]],Table78[Women''s 4x200m Freestyle Relay Classification],"&gt;0")</f>
        <v>0</v>
      </c>
      <c r="KG172" s="6">
        <f>COUNTIFS(Table78[Country],Tabela1[[#This Row],[Country]],Table78[Men''s 4x100m Medley Relay Classification],"&gt;0")</f>
        <v>0</v>
      </c>
      <c r="KH172" s="6">
        <f>COUNTIFS(Table78[Country],Tabela1[[#This Row],[Country]],Table78[Women''s 4x100m Medley Relay Classification],"&gt;0")</f>
        <v>0</v>
      </c>
      <c r="KI172" s="6">
        <f>COUNTIFS(Table78[Country],Tabela1[[#This Row],[Country]],Table78[Mixed 4x100m Medley Relay Classification],"&gt;0")</f>
        <v>0</v>
      </c>
      <c r="KJ172" s="6">
        <f>COUNTIFS(Table20[Country],Tabela1[[#This Row],[Country]],Table20[10km Open Water Classification],"&gt;0")</f>
        <v>0</v>
      </c>
      <c r="KK172" s="6">
        <f>COUNTIFS(Table21[Country],Tabela1[[#This Row],[Country]],Table21[10km Open Water Classification],"&gt;0")</f>
        <v>0</v>
      </c>
      <c r="KL172" s="6">
        <f>COUNTIFS(Table22[Country],Tabela1[[#This Row],[Country]],Table22[Classification],"&gt;0")</f>
        <v>0</v>
      </c>
      <c r="KM172" s="6">
        <f>COUNTIFS(Table30[Country],Tabela1[[#This Row],[Country]],Table30[Classification],"&gt;0")</f>
        <v>0</v>
      </c>
      <c r="KN172" s="6">
        <f>COUNTIFS(Table55[Country],Tabela1[[#This Row],[Country]],Table55[Men''s Classification],"&gt;0")</f>
        <v>0</v>
      </c>
      <c r="KO172" s="6">
        <f>COUNTIFS(Table55[Country],Tabela1[[#This Row],[Country]],Table55[Women''s Classification],"&gt;0")</f>
        <v>0</v>
      </c>
      <c r="KP172" s="6">
        <f>COUNTIFS(Table56[Country],Tabela1[[#This Row],[Country]],Table56[Mixed Classification],"&gt;0")</f>
        <v>0</v>
      </c>
      <c r="KQ172" s="6">
        <f>COUNTIFS(Table29[Country],Tabela1[[#This Row],[Country]],Table29[58kg Classification],"&gt;0")</f>
        <v>0</v>
      </c>
      <c r="KR172" s="6">
        <f>COUNTIFS(Table29[Country],Tabela1[[#This Row],[Country]],Table29[68kg Classification],"&gt;0")</f>
        <v>0</v>
      </c>
      <c r="KS172" s="6">
        <f>COUNTIFS(Table29[Country],Tabela1[[#This Row],[Country]],Table29[80kg Classification],"&gt;0")</f>
        <v>0</v>
      </c>
      <c r="KT172" s="6">
        <f>COUNTIFS(Table29[Country],Tabela1[[#This Row],[Country]],Table29[Plus 80kg Classification],"&gt;0")</f>
        <v>0</v>
      </c>
      <c r="KU172" s="6">
        <f>COUNTIFS(Table34[Country],Tabela1[[#This Row],[Country]],Table34[49kg Classification],"&gt;0")</f>
        <v>0</v>
      </c>
      <c r="KV172" s="6">
        <f>COUNTIFS(Table34[Country],Tabela1[[#This Row],[Country]],Table34[57kg Classification],"&gt;0")</f>
        <v>0</v>
      </c>
      <c r="KW172" s="6">
        <f>COUNTIFS(Table34[Country],Tabela1[[#This Row],[Country]],Table34[67kg Classification],"&gt;0")</f>
        <v>0</v>
      </c>
      <c r="KX172" s="6">
        <f>COUNTIFS(Table34[Country],Tabela1[[#This Row],[Country]],Table34[Plus 67kg Classification],"&gt;0")</f>
        <v>0</v>
      </c>
      <c r="KY172" s="6">
        <f>COUNTIFS(Table57[Country],Tabela1[[#This Row],[Country]],Table57[Classification],"&gt;0")</f>
        <v>0</v>
      </c>
      <c r="KZ172" s="6">
        <f>COUNTIFS(Table58[Country],Tabela1[[#This Row],[Country]],Table58[Classification],"&gt;0")</f>
        <v>0</v>
      </c>
      <c r="LA172" s="6">
        <f>COUNTIFS(Table79[Country],Tabela1[[#This Row],[Country]],Table79[Men''s Classification],"&gt;0")</f>
        <v>0</v>
      </c>
      <c r="LB172" s="6">
        <f>COUNTIFS(Table79[Country],Tabela1[[#This Row],[Country]],Table79[Women''s Classification],"&gt;0")</f>
        <v>0</v>
      </c>
      <c r="LC172" s="6">
        <f>COUNTIFS(Table79[Country],Tabela1[[#This Row],[Country]],Table79[Mixed Classification],"&gt;0")</f>
        <v>0</v>
      </c>
      <c r="LD172" s="6">
        <f>COUNTIFS(Table65[Country],Tabela1[[#This Row],[Country]],Table65[Classification],"&gt;0")</f>
        <v>0</v>
      </c>
      <c r="LE172" s="6">
        <f>COUNTIFS(Table59[Country],Tabela1[[#This Row],[Country]],Table59[Classification],"&gt;0")</f>
        <v>0</v>
      </c>
      <c r="LF172" s="6">
        <f>COUNTIFS(Table87[Country],Tabela1[[#This Row],[Country]],Table87[Mixed Relay Classification],"&gt;0")</f>
        <v>0</v>
      </c>
      <c r="LG172" s="6">
        <f>COUNTIFS(Table91949698100[Country],Tabela1[[#This Row],[Country]],Table91949698100[Men''s Classification],"&gt;0")</f>
        <v>0</v>
      </c>
      <c r="LH172" s="6">
        <f>COUNTIFS(Table91949698100[Country],Tabela1[[#This Row],[Country]],Table91949698100[Women''s Classification],"&gt;0")</f>
        <v>0</v>
      </c>
      <c r="LI172" s="6">
        <f>COUNTIFS(Table91949698100102[Country],Tabela1[[#This Row],[Country]],Table91949698100102[Men''s Classification],"&gt;0")</f>
        <v>0</v>
      </c>
      <c r="LJ172" s="6">
        <f>COUNTIFS(Table91949698100102[Country],Tabela1[[#This Row],[Country]],Table91949698100102[Women''s Classification],"&gt;0")</f>
        <v>0</v>
      </c>
      <c r="LK172" s="6">
        <f>COUNTIFS(Table23[Country],Tabela1[[#This Row],[Country]],Table23[61kg Classification],"&gt;0")</f>
        <v>0</v>
      </c>
      <c r="LL172" s="6">
        <f>COUNTIFS(Table23[Country],Tabela1[[#This Row],[Country]],Table23[73kg Classification],"&gt;0")</f>
        <v>0</v>
      </c>
      <c r="LM172" s="6">
        <f>COUNTIFS(Table23[Country],Tabela1[[#This Row],[Country]],Table23[89kg Classification],"&gt;0")</f>
        <v>0</v>
      </c>
      <c r="LN172" s="6">
        <f>COUNTIFS(Table23[Country],Tabela1[[#This Row],[Country]],Table23[102kg Classification],"&gt;0")</f>
        <v>0</v>
      </c>
      <c r="LO172" s="6">
        <f>COUNTIFS(Table23[Country],Tabela1[[#This Row],[Country]],Table23[Plus 102kg Classification],"&gt;0")</f>
        <v>0</v>
      </c>
      <c r="LP172" s="6">
        <f>COUNTIFS(Table28[Country],Tabela1[[#This Row],[Country]],Table28[49kg Classification],"&gt;0")</f>
        <v>0</v>
      </c>
      <c r="LQ172" s="6">
        <f>COUNTIFS(Table28[Country],Tabela1[[#This Row],[Country]],Table28[59kg Classification],"&gt;0")</f>
        <v>0</v>
      </c>
      <c r="LR172" s="6">
        <f>COUNTIFS(Table28[Country],Tabela1[[#This Row],[Country]],Table28[71kg Classification],"&gt;0")</f>
        <v>0</v>
      </c>
      <c r="LS172" s="6">
        <f>COUNTIFS(Table28[Country],Tabela1[[#This Row],[Country]],Table28[81kg Classification],"&gt;0")</f>
        <v>0</v>
      </c>
      <c r="LT172" s="6">
        <f>COUNTIFS(Table28[Country],Tabela1[[#This Row],[Country]],Table28[Plus 81kg Classification],"&gt;0")</f>
        <v>0</v>
      </c>
      <c r="LU172" s="6">
        <f>COUNTIFS(Table24[Country],Tabela1[[#This Row],[Country]],Table24[Freestyle 57kg Classification],"&gt;0")</f>
        <v>0</v>
      </c>
      <c r="LV172" s="6">
        <f>COUNTIFS(Table24[Country],Tabela1[[#This Row],[Country]],Table24[Freestyle 65kg Classification],"&gt;0")</f>
        <v>0</v>
      </c>
      <c r="LW172" s="6">
        <f>COUNTIFS(Table24[Country],Tabela1[[#This Row],[Country]],Table24[Freestyle 74kg Classification],"&gt;0")</f>
        <v>0</v>
      </c>
      <c r="LX172" s="6">
        <f>COUNTIFS(Table24[Country],Tabela1[[#This Row],[Country]],Table24[Freestyle 86kg Classification],"&gt;0")</f>
        <v>0</v>
      </c>
      <c r="LY172" s="6">
        <f>COUNTIFS(Table24[Country],Tabela1[[#This Row],[Country]],Table24[Freestyle 97kg Classification],"&gt;0")</f>
        <v>0</v>
      </c>
      <c r="LZ172" s="6">
        <f>COUNTIFS(Table24[Country],Tabela1[[#This Row],[Country]],Table24[Freestyle 125kg Classification],"&gt;0")</f>
        <v>0</v>
      </c>
      <c r="MA172" s="6">
        <f>COUNTIFS(Table24[Country],Tabela1[[#This Row],[Country]],Table24[Greco-Roman 60kg Classification],"&gt;0")</f>
        <v>0</v>
      </c>
      <c r="MB172" s="6">
        <f>COUNTIFS(Table24[Country],Tabela1[[#This Row],[Country]],Table24[Greco-Roman 67kg Classification],"&gt;0")</f>
        <v>0</v>
      </c>
      <c r="MC172" s="6">
        <f>COUNTIFS(Table24[Country],Tabela1[[#This Row],[Country]],Table24[Greco-Roman 77kg Classification],"&gt;0")</f>
        <v>0</v>
      </c>
      <c r="MD172" s="6">
        <f>COUNTIFS(Table24[Country],Tabela1[[#This Row],[Country]],Table24[Greco-Roman 87kg Classification],"&gt;0")</f>
        <v>0</v>
      </c>
      <c r="ME172" s="6">
        <f>COUNTIFS(Table24[Country],Tabela1[[#This Row],[Country]],Table24[Greco-Roman 97kg Classification],"&gt;0")</f>
        <v>0</v>
      </c>
      <c r="MF172" s="6">
        <f>COUNTIFS(Table24[Country],Tabela1[[#This Row],[Country]],Table24[Greco-Roman 130kg Classification],"&gt;0")</f>
        <v>0</v>
      </c>
      <c r="MG172" s="6">
        <f>COUNTIFS(Table31[Country],Tabela1[[#This Row],[Country]],Table31[50kg Classification],"&gt;0")</f>
        <v>0</v>
      </c>
      <c r="MH172" s="6">
        <f>COUNTIFS(Table31[Country],Tabela1[[#This Row],[Country]],Table31[53kg Classification],"&gt;0")</f>
        <v>0</v>
      </c>
      <c r="MI172" s="6">
        <f>COUNTIFS(Table31[Country],Tabela1[[#This Row],[Country]],Table31[57kg Classification],"&gt;0")</f>
        <v>0</v>
      </c>
      <c r="MJ172" s="6">
        <f>COUNTIFS(Table31[Country],Tabela1[[#This Row],[Country]],Table31[62kg Classification],"&gt;0")</f>
        <v>0</v>
      </c>
      <c r="MK172" s="6">
        <f>COUNTIFS(Table31[Country],Tabela1[[#This Row],[Country]],Table31[68kg Classification],"&gt;0")</f>
        <v>0</v>
      </c>
      <c r="ML172" s="6">
        <f>COUNTIFS(Table31[Country],Tabela1[[#This Row],[Country]],Table31[76kg Classification],"&gt;0")</f>
        <v>0</v>
      </c>
      <c r="MM172" s="6">
        <f>COUNTIFS(Table102[Country],Tabela1[[#This Row],[Country]],Table102[Downhill Classification],"&gt;0")</f>
        <v>0</v>
      </c>
      <c r="MN172" s="6">
        <f>COUNTIFS(Table102105[Country],Tabela1[[#This Row],[Country]],Table102105[Downhill Classification],"&gt;0")</f>
        <v>0</v>
      </c>
      <c r="MO172" s="6">
        <f>COUNTIFS(Table102[Country],Tabela1[[#This Row],[Country]],Table102[Giant Slalom Classification],"&gt;0")</f>
        <v>0</v>
      </c>
      <c r="MP172" s="6">
        <f>COUNTIFS(Table102105[Country],Tabela1[[#This Row],[Country]],Table102105[Giant Slalom Classification],"&gt;0")</f>
        <v>0</v>
      </c>
      <c r="MQ172" s="6">
        <f>COUNTIFS(Table102[Country],Tabela1[[#This Row],[Country]],Table102[Slalom Classification],"&gt;0")</f>
        <v>0</v>
      </c>
      <c r="MR172" s="6">
        <f>COUNTIFS(Table102105[Country],Tabela1[[#This Row],[Country]],Table102105[Slalom Classification],"&gt;0")</f>
        <v>0</v>
      </c>
      <c r="MS172" s="6">
        <f>COUNTIFS(Table102[Country],Tabela1[[#This Row],[Country]],Table102[Super-G Classification],"&gt;0")</f>
        <v>0</v>
      </c>
      <c r="MT172" s="6">
        <f>COUNTIFS(Table102105[Country],Tabela1[[#This Row],[Country]],Table102105[Super-G Classification],"&gt;0")</f>
        <v>0</v>
      </c>
      <c r="MU172" s="6">
        <f>COUNTIFS(Table105[Country],Tabela1[[#This Row],[Country]],Table105[Men''s Combined Classification],"&gt;0")</f>
        <v>0</v>
      </c>
      <c r="MV172" s="6">
        <f>COUNTIFS(Table105[Country],Tabela1[[#This Row],[Country]],Table105[Women''s Combined Classification],"&gt;0")</f>
        <v>0</v>
      </c>
      <c r="MW172" s="6">
        <f>COUNTIFS(Table106[Country],Tabela1[[#This Row],[Country]],Table106[Individual Classification],"&gt;0")</f>
        <v>0</v>
      </c>
      <c r="MX172" s="6">
        <f>COUNTIFS(Table106109[Country],Tabela1[[#This Row],[Country]],Table106109[Individual Classification],"&gt;0")</f>
        <v>0</v>
      </c>
      <c r="MY172" s="6">
        <f>COUNTIFS(Table106[Country],Tabela1[[#This Row],[Country]],Table106[Mass Start Classification],"&gt;0")</f>
        <v>0</v>
      </c>
      <c r="MZ172" s="6">
        <f>COUNTIFS(Table106109[Country],Tabela1[[#This Row],[Country]],Table106109[Mass Start Classification],"&gt;0")</f>
        <v>0</v>
      </c>
      <c r="NA172" s="6">
        <f>COUNTIFS(Table106[Country],Tabela1[[#This Row],[Country]],Table106[Pursuit Classification],"&gt;0")</f>
        <v>0</v>
      </c>
      <c r="NB172" s="6">
        <f>COUNTIFS(Table106109[Country],Tabela1[[#This Row],[Country]],Table106109[Pursuit Classification],"&gt;0")</f>
        <v>0</v>
      </c>
      <c r="NC172" s="6">
        <f>COUNTIFS(Table106[Country],Tabela1[[#This Row],[Country]],Table106[Sprint Classification],"&gt;0")</f>
        <v>0</v>
      </c>
      <c r="ND172" s="6">
        <f>COUNTIFS(Table106109[Country],Tabela1[[#This Row],[Country]],Table106109[Sprint Classification],"&gt;0")</f>
        <v>0</v>
      </c>
      <c r="NE172" s="6">
        <f>COUNTIFS(Table109[Country],Tabela1[[#This Row],[Country]],Table109[Men''s Relay Classification],"&gt;0")</f>
        <v>0</v>
      </c>
      <c r="NF172" s="6">
        <f>COUNTIFS(Table109[Country],Tabela1[[#This Row],[Country]],Table109[Women''s Relay Classification],"&gt;0")</f>
        <v>0</v>
      </c>
      <c r="NG172" s="6">
        <f>COUNTIFS(Table109[Country],Tabela1[[#This Row],[Country]],Table109[Mixed Relay Classification],"&gt;0")</f>
        <v>0</v>
      </c>
      <c r="NH172" s="6">
        <f>COUNTIFS(Table110[Country],Tabela1[[#This Row],[Country]],Table110[Monobob Classification],"&gt;0")</f>
        <v>0</v>
      </c>
      <c r="NI172" s="6">
        <f>COUNTIFS(Table111[Country],Tabela1[[#This Row],[Country]],Table111[Men''s Classification],"&gt;0")</f>
        <v>0</v>
      </c>
      <c r="NJ172" s="6">
        <f>COUNTIFS(Table111[Country],Tabela1[[#This Row],[Country]],Table111[Women''s Classification],"&gt;0")</f>
        <v>0</v>
      </c>
      <c r="NK172" s="6">
        <f>COUNTIFS(Table112[Country],Tabela1[[#This Row],[Country]],Table112[Men''s Four Classification],"&gt;0")</f>
        <v>0</v>
      </c>
      <c r="NL172" s="6">
        <f>COUNTIFS(Table113[Country],Tabela1[[#This Row],[Country]],Table113[Classical Classification],"&gt;0")</f>
        <v>0</v>
      </c>
      <c r="NM172" s="6">
        <f>COUNTIFS(Table113116[Country],Tabela1[[#This Row],[Country]],Table113116[Classical Classification],"&gt;0")</f>
        <v>0</v>
      </c>
      <c r="NN172" s="6">
        <f>COUNTIFS(Table113[Country],Tabela1[[#This Row],[Country]],Table113[Freestyle Classification],"&gt;0")</f>
        <v>0</v>
      </c>
      <c r="NO172" s="6">
        <f>COUNTIFS(Table113116[Country],Tabela1[[#This Row],[Country]],Table113116[Freestyle Classification],"&gt;0")</f>
        <v>0</v>
      </c>
      <c r="NP172" s="6">
        <f>COUNTIFS(Table117[Country],Tabela1[[#This Row],[Country]],Table117[Men''s Relay Classification],"&gt;0")</f>
        <v>0</v>
      </c>
      <c r="NQ172" s="6">
        <f>COUNTIFS(Table117[Country],Tabela1[[#This Row],[Country]],Table117[Women''s Relay Classification],"&gt;0")</f>
        <v>0</v>
      </c>
      <c r="NR172" s="6">
        <f>COUNTIFS(Table113[Country],Tabela1[[#This Row],[Country]],Table113[Skiathlon Classification],"&gt;0")</f>
        <v>0</v>
      </c>
      <c r="NS172" s="6">
        <f>COUNTIFS(Table113116[Country],Tabela1[[#This Row],[Country]],Table113116[Skiathlon Classification],"&gt;0")</f>
        <v>0</v>
      </c>
      <c r="NT172" s="6">
        <f>COUNTIFS(Table113[Country],Tabela1[[#This Row],[Country]],Table113[Sprint Classification],"&gt;0")</f>
        <v>0</v>
      </c>
      <c r="NU172" s="6">
        <f>COUNTIFS(Table113116[Country],Tabela1[[#This Row],[Country]],Table113116[Sprint Classification],"&gt;0")</f>
        <v>0</v>
      </c>
      <c r="NV172" s="6">
        <f>COUNTIFS(Table116[Country],Tabela1[[#This Row],[Country]],Table116[Men''s Team Sprint Classification],"&gt;0")</f>
        <v>0</v>
      </c>
      <c r="NW172" s="6">
        <f>COUNTIFS(Table116[Country],Tabela1[[#This Row],[Country]],Table116[Women''s Team Sprint Classification],"&gt;0")</f>
        <v>0</v>
      </c>
      <c r="NX172" s="6">
        <f>COUNTIFS(Table119[Country],Tabela1[[#This Row],[Country]],Table119[Men''s Classification],"&gt;0")</f>
        <v>0</v>
      </c>
      <c r="NY172" s="6">
        <f>COUNTIFS(Table119[Country],Tabela1[[#This Row],[Country]],Table119[Women''s Classification],"&gt;0")</f>
        <v>0</v>
      </c>
      <c r="NZ172" s="6">
        <f>COUNTIFS(Table118[Country],Tabela1[[#This Row],[Country]],Table118[Mixed Classification],"&gt;0")</f>
        <v>0</v>
      </c>
      <c r="OA172" s="6">
        <f>COUNTIFS(Table120[Country],Tabela1[[#This Row],[Country]],Table120[Classification],"&gt;0")</f>
        <v>0</v>
      </c>
      <c r="OB172" s="6">
        <f>COUNTIFS(Table120123[Country],Tabela1[[#This Row],[Country]],Table120123[Classification],"&gt;0")</f>
        <v>0</v>
      </c>
      <c r="OC172" s="6">
        <f>COUNTIFS(Table123[Country],Tabela1[[#This Row],[Country]],Table123[Ice Dance Classification],"&gt;0")</f>
        <v>0</v>
      </c>
      <c r="OD172" s="6">
        <f>COUNTIFS(Table123[Country],Tabela1[[#This Row],[Country]],Table123[Pair Skating Classification],"&gt;0")</f>
        <v>0</v>
      </c>
      <c r="OE172" s="6">
        <f>COUNTIFS(Table124[Country],Tabela1[[#This Row],[Country]],Table124[Mixed Classification],"&gt;0")</f>
        <v>0</v>
      </c>
      <c r="OF172" s="6">
        <f>COUNTIFS(Table125[Country],Tabela1[[#This Row],[Country]],Table125[Aerials Classification],"&gt;0")</f>
        <v>0</v>
      </c>
      <c r="OG172" s="6">
        <f>COUNTIFS(Table125128[Country],Tabela1[[#This Row],[Country]],Table125128[Aerials Classification],"&gt;0")</f>
        <v>0</v>
      </c>
      <c r="OH172" s="6">
        <f>COUNTIFS(Table128[Country],Tabela1[[#This Row],[Country]],Table128[Mixed Aerials Classification],"&gt;0")</f>
        <v>0</v>
      </c>
      <c r="OI172" s="6">
        <f>COUNTIFS(Table125[Country],Tabela1[[#This Row],[Country]],Table125[Big Air Classification],"&gt;0")</f>
        <v>0</v>
      </c>
      <c r="OJ172" s="6">
        <f>COUNTIFS(Table125128[Country],Tabela1[[#This Row],[Country]],Table125128[Big Air Classification],"&gt;0")</f>
        <v>0</v>
      </c>
      <c r="OK172" s="6">
        <f>COUNTIFS(Table125[Country],Tabela1[[#This Row],[Country]],Table125[Dual Moguls Classification],"&gt;0")</f>
        <v>0</v>
      </c>
      <c r="OL172" s="6">
        <f>COUNTIFS(Table125128[Country],Tabela1[[#This Row],[Country]],Table125128[Dual Moguls Classification],"&gt;0")</f>
        <v>0</v>
      </c>
      <c r="OM172" s="6">
        <f>COUNTIFS(Table125[Country],Tabela1[[#This Row],[Country]],Table125[Halfpipe Classification],"&gt;0")</f>
        <v>0</v>
      </c>
      <c r="ON172" s="6">
        <f>COUNTIFS(Table125128[Country],Tabela1[[#This Row],[Country]],Table125128[Halfpipe Classification],"&gt;0")</f>
        <v>0</v>
      </c>
      <c r="OO172" s="6">
        <f>COUNTIFS(Table125[Country],Tabela1[[#This Row],[Country]],Table125[Moguls Classification],"&gt;0")</f>
        <v>0</v>
      </c>
      <c r="OP172" s="6">
        <f>COUNTIFS(Table125128[Country],Tabela1[[#This Row],[Country]],Table125128[Moguls Classification],"&gt;0")</f>
        <v>0</v>
      </c>
      <c r="OQ172" s="6">
        <f>COUNTIFS(Table125[Country],Tabela1[[#This Row],[Country]],Table125[Ski Cross Classification],"&gt;0")</f>
        <v>0</v>
      </c>
      <c r="OR172" s="6">
        <f>COUNTIFS(Table125128[Country],Tabela1[[#This Row],[Country]],Table125128[Ski Cross Classification],"&gt;0")</f>
        <v>0</v>
      </c>
      <c r="OS172" s="6">
        <f>COUNTIFS(Table125[Country],Tabela1[[#This Row],[Country]],Table125[Slopestyle Classification],"&gt;0")</f>
        <v>0</v>
      </c>
      <c r="OT172" s="6">
        <f>COUNTIFS(Table125128[Country],Tabela1[[#This Row],[Country]],Table125128[Slopestyle Classification],"&gt;0")</f>
        <v>0</v>
      </c>
      <c r="OU172" s="6">
        <f>COUNTIFS(Table119131[Country],Tabela1[[#This Row],[Country]],Table119131[Men''s Classification],"&gt;0")</f>
        <v>0</v>
      </c>
      <c r="OV172" s="6">
        <f>COUNTIFS(Table119131[Country],Tabela1[[#This Row],[Country]],Table119131[Women''s Classification],"&gt;0")</f>
        <v>0</v>
      </c>
      <c r="OW172" s="6">
        <f>COUNTIFS(Table131[Country],Tabela1[[#This Row],[Country]],Table131[Classification],"&gt;0")</f>
        <v>0</v>
      </c>
      <c r="OX172" s="6">
        <f>COUNTIFS(Table131134[Country],Tabela1[[#This Row],[Country]],Table131134[Classification],"&gt;0")</f>
        <v>0</v>
      </c>
      <c r="OY172" s="6">
        <f>COUNTIFS(Table134[Country],Tabela1[[#This Row],[Country]],Table134[Men''s Classification],"&gt;0")</f>
        <v>0</v>
      </c>
      <c r="OZ172" s="6">
        <f>COUNTIFS(Table134[Country],Tabela1[[#This Row],[Country]],Table134[Women''s Classification],"&gt;0")</f>
        <v>0</v>
      </c>
      <c r="PA172" s="6">
        <f>COUNTIFS(Table135[Country],Tabela1[[#This Row],[Country]],Table135[Mixed Relay Classification],"&gt;0")</f>
        <v>0</v>
      </c>
      <c r="PB172" s="6">
        <f>COUNTIFS(Table136[Country],Tabela1[[#This Row],[Country]],Table136[Individual Classification],"&gt;0")</f>
        <v>0</v>
      </c>
      <c r="PC172" s="6">
        <f>COUNTIFS(Table136[Country],Tabela1[[#This Row],[Country]],Table136[Sprint Classification],"&gt;0")</f>
        <v>0</v>
      </c>
      <c r="PD172" s="6">
        <f>COUNTIFS(Table137[Country],Tabela1[[#This Row],[Country]],Table137[Men''s Team Sprint Large Hill Classification],"&gt;0")</f>
        <v>0</v>
      </c>
      <c r="PE172" s="6">
        <f>COUNTIFS(Table138[Country],Tabela1[[#This Row],[Country]],Table138[500m Classification],"&gt;0")</f>
        <v>0</v>
      </c>
      <c r="PF172" s="6">
        <f>COUNTIFS(Table138141[Country],Tabela1[[#This Row],[Country]],Table138141[500m Classification],"&gt;0")</f>
        <v>0</v>
      </c>
      <c r="PG172" s="6">
        <f>COUNTIFS(Table138[Country],Tabela1[[#This Row],[Country]],Table138[1000m Classification],"&gt;0")</f>
        <v>0</v>
      </c>
      <c r="PH172" s="6">
        <f>COUNTIFS(Table138141[Country],Tabela1[[#This Row],[Country]],Table138141[1000m Classification],"&gt;0")</f>
        <v>0</v>
      </c>
      <c r="PI172" s="6">
        <f>COUNTIFS(Table138[Country],Tabela1[[#This Row],[Country]],Table138[1500m Classification],"&gt;0")</f>
        <v>0</v>
      </c>
      <c r="PJ172" s="6">
        <f>COUNTIFS(Table138141[Country],Tabela1[[#This Row],[Country]],Table138141[1500m Classification],"&gt;0")</f>
        <v>0</v>
      </c>
      <c r="PK172" s="6">
        <f>COUNTIFS(Table141[Country],Tabela1[[#This Row],[Country]],Table141[Men''s 5000m Relay Classification],"&gt;0")</f>
        <v>0</v>
      </c>
      <c r="PL172" s="6">
        <f>COUNTIFS(Table141[Country],Tabela1[[#This Row],[Country]],Table141[Women''s 3000m Relay Classification],"&gt;0")</f>
        <v>0</v>
      </c>
      <c r="PM172" s="6">
        <f>COUNTIFS(Table141[Country],Tabela1[[#This Row],[Country]],Table141[Mixed 2000m Relay Classification],"&gt;0")</f>
        <v>0</v>
      </c>
      <c r="PN172" s="6">
        <f>COUNTIFS(Table142[Country],Tabela1[[#This Row],[Country]],Table142[Classification],"&gt;0")</f>
        <v>0</v>
      </c>
      <c r="PO172" s="6">
        <f>COUNTIFS(Table142145[Country],Tabela1[[#This Row],[Country]],Table142145[Classification],"&gt;0")</f>
        <v>0</v>
      </c>
      <c r="PP172" s="6">
        <f>COUNTIFS(Tabela15[Country],Tabela1[[#This Row],[Country]],Tabela15[Mixed Team Classification],"&gt;0")</f>
        <v>0</v>
      </c>
      <c r="PQ172" s="6">
        <f>COUNTIFS(Table145[Country],Tabela1[[#This Row],[Country]],Table145[Large Hill Classification],"&gt;0")</f>
        <v>0</v>
      </c>
      <c r="PR172" s="6">
        <f>COUNTIFS(Table145[Country],Tabela1[[#This Row],[Country]],Table145[Normal Hill Classification],"&gt;0")</f>
        <v>0</v>
      </c>
      <c r="PS172" s="6">
        <f>COUNTIFS(Table145148[Country],Tabela1[[#This Row],[Country]],Table145148[Large Hill Classification],"&gt;0")</f>
        <v>0</v>
      </c>
      <c r="PT172" s="6">
        <f>COUNTIFS(Table145148[Country],Tabela1[[#This Row],[Country]],Table145148[Normal Hill Classification],"&gt;0")</f>
        <v>0</v>
      </c>
      <c r="PU172" s="6">
        <f>COUNTIFS(Table148[Country],Tabela1[[#This Row],[Country]],Table148[Men''s Super Team Classification],"&gt;0")</f>
        <v>0</v>
      </c>
      <c r="PV172" s="6">
        <f>COUNTIFS(Tabela114[Country],Tabela1[[#This Row],[Country]],Tabela114[Mixed Normal Hill Classification],"&gt;0")</f>
        <v>0</v>
      </c>
      <c r="PW172" s="6">
        <f>COUNTIFS(Tabela50[Country],Tabela1[[#This Row],[Country]],Tabela50[Sprint Classification],"&gt;0")</f>
        <v>0</v>
      </c>
      <c r="PX172" s="6">
        <f>COUNTIFS(Tabela50101[Country],Tabela1[[#This Row],[Country]],Tabela50101[Sprint Classification],"&gt;0")</f>
        <v>0</v>
      </c>
      <c r="PY172" s="6">
        <f>COUNTIFS(Tabela103[Country],Tabela1[[#This Row],[Country]],Tabela103[Mixed Relay Classification],"&gt;0")</f>
        <v>0</v>
      </c>
      <c r="PZ172" s="6">
        <f>COUNTIFS(Table149[Country],Tabela1[[#This Row],[Country]],Table149[Big Air Classification],"&gt;0")</f>
        <v>0</v>
      </c>
      <c r="QA172" s="6">
        <f>COUNTIFS(Table149152[Country],Tabela1[[#This Row],[Country]],Table149152[Big Air Classification],"&gt;0")</f>
        <v>0</v>
      </c>
      <c r="QB172" s="6">
        <f>COUNTIFS(Table149[Country],Tabela1[[#This Row],[Country]],Table149[Halfpipe Classification],"&gt;0")</f>
        <v>0</v>
      </c>
      <c r="QC172" s="6">
        <f>COUNTIFS(Table149152[Country],Tabela1[[#This Row],[Country]],Table149152[Halfpipe Classification],"&gt;0")</f>
        <v>0</v>
      </c>
      <c r="QD172" s="6">
        <f>COUNTIFS(Table149[Country],Tabela1[[#This Row],[Country]],Table149[Parallel Giant Slalom Classification],"&gt;0")</f>
        <v>0</v>
      </c>
      <c r="QE172" s="6">
        <f>COUNTIFS(Table149152[Country],Tabela1[[#This Row],[Country]],Table149152[Parallel Giant Slalom Classification],"&gt;0")</f>
        <v>0</v>
      </c>
      <c r="QF172" s="6">
        <f>COUNTIFS(Table149[Country],Tabela1[[#This Row],[Country]],Table149[Slopestyle Classification],"&gt;0")</f>
        <v>0</v>
      </c>
      <c r="QG172" s="6">
        <f>COUNTIFS(Table149152[Country],Tabela1[[#This Row],[Country]],Table149152[Slopestyle Classification],"&gt;0")</f>
        <v>0</v>
      </c>
      <c r="QH172" s="6">
        <f>COUNTIFS(Table149[Country],Tabela1[[#This Row],[Country]],Table149[Snowboard Cross Classification],"&gt;0")</f>
        <v>0</v>
      </c>
      <c r="QI172" s="6">
        <f>COUNTIFS(Table149152[Country],Tabela1[[#This Row],[Country]],Table149152[Snowboard Cross Classification],"&gt;0")</f>
        <v>0</v>
      </c>
      <c r="QJ172" s="6">
        <f>COUNTIFS(Table153[Country],Tabela1[[#This Row],[Country]],Table153[Mixed Team Snowboard Cross Classification],"&gt;0")</f>
        <v>0</v>
      </c>
      <c r="QK172" s="6">
        <f>COUNTIFS(Table154[Country],Tabela1[[#This Row],[Country]],Table154[500m Classification],"&gt;0")</f>
        <v>0</v>
      </c>
      <c r="QL172" s="6">
        <f>COUNTIFS(Table154157[Country],Tabela1[[#This Row],[Country]],Table154157[500m Classification],"&gt;0")</f>
        <v>0</v>
      </c>
      <c r="QM172" s="6">
        <f>COUNTIFS(Table154[Country],Tabela1[[#This Row],[Country]],Table154[1000m Classification],"&gt;0")</f>
        <v>0</v>
      </c>
      <c r="QN172" s="6">
        <f>COUNTIFS(Table154157[Country],Tabela1[[#This Row],[Country]],Table154157[1000m Classification],"&gt;0")</f>
        <v>0</v>
      </c>
      <c r="QO172" s="6">
        <f>COUNTIFS(Table154[Country],Tabela1[[#This Row],[Country]],Table154[1500m Classification],"&gt;0")</f>
        <v>0</v>
      </c>
      <c r="QP172" s="6">
        <f>COUNTIFS(Table154157[Country],Tabela1[[#This Row],[Country]],Table154157[1500m Classification],"&gt;0")</f>
        <v>0</v>
      </c>
      <c r="QQ172" s="6">
        <f>COUNTIFS(Table154157[Country],Tabela1[[#This Row],[Country]],Table154157[3000m Classification],"&gt;0")</f>
        <v>0</v>
      </c>
      <c r="QR172" s="6">
        <f>COUNTIFS(Table154[Country],Tabela1[[#This Row],[Country]],Table154[5000m Classification],"&gt;0")</f>
        <v>0</v>
      </c>
      <c r="QS172" s="6">
        <f>COUNTIFS(Table154157[Country],Tabela1[[#This Row],[Country]],Table154157[5000m Classification],"&gt;0")</f>
        <v>0</v>
      </c>
      <c r="QT172" s="6">
        <f>COUNTIFS(Table154[Country],Tabela1[[#This Row],[Country]],Table154[10000m Classification],"&gt;0")</f>
        <v>0</v>
      </c>
      <c r="QU172" s="6">
        <f>COUNTIFS(Table154[Country],Tabela1[[#This Row],[Country]],Table154[Mass Start Classification],"&gt;0")</f>
        <v>0</v>
      </c>
      <c r="QV172" s="6">
        <f>COUNTIFS(Table154157[Country],Tabela1[[#This Row],[Country]],Table154157[Mass Start Classification],"&gt;0")</f>
        <v>0</v>
      </c>
      <c r="QW172" s="6">
        <f>COUNTIFS(Table157[Country],Tabela1[[#This Row],[Country]],Table157[Men''s Pursuit Classification],"&gt;0")</f>
        <v>0</v>
      </c>
      <c r="QX172" s="6">
        <f>COUNTIFS(Table157[Country],Tabela1[[#This Row],[Country]],Table157[Women''s Pursuit Classification],"&gt;0")</f>
        <v>0</v>
      </c>
      <c r="QY172" s="4" t="s">
        <v>551</v>
      </c>
    </row>
    <row r="173" spans="1:467" x14ac:dyDescent="0.3">
      <c r="A173" s="6">
        <v>172</v>
      </c>
      <c r="B173" s="6" t="s">
        <v>556</v>
      </c>
      <c r="C173" t="e" vm="172">
        <f>IF(ISBLANK(Tabela1[[#This Row],[Image Link]]), "", _xlfn.IMAGE(Tabela1[[#This Row],[Image Link]],1,1))</f>
        <v>#VALUE!</v>
      </c>
      <c r="D173" s="6">
        <f>SUM(Tabela1[[#This Row],[Archery - Men''s Individual Recurve]:[Speed Skating - Women''s Team Pursuit]])</f>
        <v>0</v>
      </c>
      <c r="E173" s="6">
        <f>COUNTIF(Tabela1[[#This Row],[Archery - Men''s Individual Recurve]:[Speed Skating - Women''s Team Pursuit]],"&gt;0")</f>
        <v>0</v>
      </c>
      <c r="F173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73" s="6">
        <f>SUM(Tabela1[[#This Row],[Archery - Men''s Individual Recurve]:[Wrestling - Women''s Freestyle 76kg]])</f>
        <v>0</v>
      </c>
      <c r="H173" s="6">
        <f>SUM(Tabela1[[#This Row],[Alpine Skiing - Men''s Downhill]:[Speed Skating - Women''s Team Pursuit]])</f>
        <v>0</v>
      </c>
      <c r="I173" s="6">
        <f>Tabela1[[#This Row],[Summer Gold Medals]]+Tabela1[[#This Row],[Winter Gold Medals]]</f>
        <v>0</v>
      </c>
      <c r="J173" s="6">
        <f>Tabela1[[#This Row],[Summer Silver Medals]]+Tabela1[[#This Row],[Winter Silver Medals]]</f>
        <v>0</v>
      </c>
      <c r="K173" s="6">
        <f>Tabela1[[#This Row],[Summer Bronze Medals]]+Tabela1[[#This Row],[Winter Bronze Medals]]</f>
        <v>0</v>
      </c>
      <c r="L173" s="6">
        <f>SUM(Tabela1[[#This Row],[Total Gold Medals]:[Total Bronze Medals]])</f>
        <v>0</v>
      </c>
      <c r="M173" s="6"/>
      <c r="N173" s="6"/>
      <c r="O173" s="6"/>
      <c r="P173" s="6">
        <f>SUM(Tabela1[[#This Row],[Summer Gold Medals]:[Summer Bronze Medals]])</f>
        <v>0</v>
      </c>
      <c r="Q173" s="6"/>
      <c r="R173" s="6"/>
      <c r="S173" s="6"/>
      <c r="T173" s="6">
        <f>Tabela1[[#This Row],[Winter Gold Medals]]+Tabela1[[#This Row],[Winter Silver Medals]]+Tabela1[[#This Row],[Winter Bronze Medals]]</f>
        <v>0</v>
      </c>
      <c r="U173" s="7" t="e">
        <f>Tabela1[[#This Row],[Total Medals]]/Tabela1[[#This Row],[Total Quotas]]</f>
        <v>#DIV/0!</v>
      </c>
      <c r="V173" s="6">
        <f>COUNTIFS(Table3[Country],Tabela1[[#This Row],[Country]],Table3[Recurve Classification],"&gt;0")</f>
        <v>0</v>
      </c>
      <c r="W173" s="6">
        <f>COUNTIFS(Table33[Country],Tabela1[[#This Row],[Country]],Table33[Recurve Classification],"&gt;0")</f>
        <v>0</v>
      </c>
      <c r="X173" s="6">
        <f>COUNTIFS(Table35[Country],Tabela1[[#This Row],[Country]],Table35[Men''s Team Recurve Classification],"&gt;0")</f>
        <v>0</v>
      </c>
      <c r="Y173" s="6">
        <f>COUNTIFS(Table35[Country],Tabela1[[#This Row],[Country]],Table35[Women''s Team Recurve Classification],"&gt;0")</f>
        <v>0</v>
      </c>
      <c r="Z173" s="6">
        <f>COUNTIFS(Tabela88[Country],Tabela1[[#This Row],[Country]],Tabela88[Mixed Team Recurve Classification],"&gt;0")</f>
        <v>0</v>
      </c>
      <c r="AA173" s="6">
        <f>COUNTIFS(Table36[Country],Tabela1[[#This Row],[Country]],Table36[Classification],"&gt;0")</f>
        <v>0</v>
      </c>
      <c r="AB173" s="6">
        <f>COUNTIFS(Table37[Country],Tabela1[[#This Row],[Country]],Table37[Classification],"&gt;0")</f>
        <v>0</v>
      </c>
      <c r="AC173" s="6">
        <f>COUNTIFS(Table4[Country],Tabela1[[#This Row],[Country]],Table4[100m Classification],"&gt;0")</f>
        <v>0</v>
      </c>
      <c r="AD173" s="6">
        <f>COUNTIFS(Table5[Country],Tabela1[[#This Row],[Country]],Table5[100m Classification],"&gt;0")</f>
        <v>0</v>
      </c>
      <c r="AE173" s="6">
        <f>COUNTIFS(Table4[Country],Tabela1[[#This Row],[Country]],Table4[200m Classification],"&gt;0")</f>
        <v>0</v>
      </c>
      <c r="AF173" s="6">
        <f>COUNTIFS(Table5[Country],Tabela1[[#This Row],[Country]],Table5[200m Classification],"&gt;0")</f>
        <v>0</v>
      </c>
      <c r="AG173" s="6">
        <f>COUNTIFS(Table4[Country],Tabela1[[#This Row],[Country]],Table4[400m Classification],"&gt;0")</f>
        <v>0</v>
      </c>
      <c r="AH173" s="6">
        <f>COUNTIFS(Table5[Country],Tabela1[[#This Row],[Country]],Table5[400m Classification],"&gt;0")</f>
        <v>0</v>
      </c>
      <c r="AI173" s="6">
        <f>COUNTIFS(Table4[Country],Tabela1[[#This Row],[Country]],Table4[800m Classification],"&gt;0")</f>
        <v>0</v>
      </c>
      <c r="AJ173" s="6">
        <f>COUNTIFS(Table5[Country],Tabela1[[#This Row],[Country]],Table5[800m Classification],"&gt;0")</f>
        <v>0</v>
      </c>
      <c r="AK173" s="6">
        <f>COUNTIFS(Table4[Country],Tabela1[[#This Row],[Country]],Table4[1500m Classification],"&gt;0")</f>
        <v>0</v>
      </c>
      <c r="AL173" s="6">
        <f>COUNTIFS(Table5[Country],Tabela1[[#This Row],[Country]],Table5[1500m Classification],"&gt;0")</f>
        <v>0</v>
      </c>
      <c r="AM173" s="6">
        <f>COUNTIFS(Table4[Country],Tabela1[[#This Row],[Country]],Table4[5000m Classification],"&gt;0")</f>
        <v>0</v>
      </c>
      <c r="AN173" s="6">
        <f>COUNTIFS(Table5[Country],Tabela1[[#This Row],[Country]],Table5[5000m Classification],"&gt;0")</f>
        <v>0</v>
      </c>
      <c r="AO173" s="6">
        <f>COUNTIFS(Table4[Country],Tabela1[[#This Row],[Country]],Table4[10000m Classification],"&gt;0")</f>
        <v>0</v>
      </c>
      <c r="AP173" s="6">
        <f>COUNTIFS(Table5[Country],Tabela1[[#This Row],[Country]],Table5[10000m Classification],"&gt;0")</f>
        <v>0</v>
      </c>
      <c r="AQ173" s="6">
        <f>COUNTIFS(Table4[Country],Tabela1[[#This Row],[Country]],Table4[110m Hurdles Classification],"&gt;0")</f>
        <v>0</v>
      </c>
      <c r="AR173" s="6">
        <f>COUNTIFS(Table5[Country],Tabela1[[#This Row],[Country]],Table5[100m Hurdles Classification],"&gt;0")</f>
        <v>0</v>
      </c>
      <c r="AS173" s="6">
        <f>COUNTIFS(Table4[Country],Tabela1[[#This Row],[Country]],Table4[400m Hurdles Classification],"&gt;0")</f>
        <v>0</v>
      </c>
      <c r="AT173" s="6">
        <f>COUNTIFS(Table5[Country],Tabela1[[#This Row],[Country]],Table5[400m Hurdles Classification],"&gt;0")</f>
        <v>0</v>
      </c>
      <c r="AU173" s="6">
        <f>COUNTIFS(Table4[Country],Tabela1[[#This Row],[Country]],Table4[3000m Steeplechase Classification],"&gt;0")</f>
        <v>0</v>
      </c>
      <c r="AV173" s="6">
        <f>COUNTIFS(Table5[Country],Tabela1[[#This Row],[Country]],Table5[3000m Steeplechase Classification],"&gt;0")</f>
        <v>0</v>
      </c>
      <c r="AW173" s="6">
        <f>COUNTIFS(Table27[Country],Tabela1[[#This Row],[Country]],Table27[Men''s 4x100m Relay Classification],"&gt;0")</f>
        <v>0</v>
      </c>
      <c r="AX173" s="6">
        <f>COUNTIFS(Table27[Country],Tabela1[[#This Row],[Country]],Table27[Women''s 4x100m Relay Classification],"&gt;0")</f>
        <v>0</v>
      </c>
      <c r="AY173" s="6">
        <f>COUNTIFS(Table27[Country],Tabela1[[#This Row],[Country]],Table27[Men''s 4x400m Relay Classification],"&gt;0")</f>
        <v>0</v>
      </c>
      <c r="AZ173" s="6">
        <f>COUNTIFS(Table27[Country],Tabela1[[#This Row],[Country]],Table27[Women''s 4x400m Relay Classification],"&gt;0")</f>
        <v>0</v>
      </c>
      <c r="BA173" s="6">
        <f>COUNTIFS(Table27[Country],Tabela1[[#This Row],[Country]],Table27[Mixed 4x400m Relay Classification],"&gt;0")</f>
        <v>0</v>
      </c>
      <c r="BB173" s="6">
        <f>COUNTIFS(Table4[Country],Tabela1[[#This Row],[Country]],Table4[Marathon Classification],"&gt;0")</f>
        <v>0</v>
      </c>
      <c r="BC173" s="6">
        <f>COUNTIFS(Table5[Country],Tabela1[[#This Row],[Country]],Table5[Marathon Classification],"&gt;0")</f>
        <v>0</v>
      </c>
      <c r="BD173" s="6">
        <f>COUNTIFS(Table4[Country],Tabela1[[#This Row],[Country]],Table4[20km Race Walk Classification],"&gt;0")</f>
        <v>0</v>
      </c>
      <c r="BE173" s="6">
        <f>COUNTIFS(Table5[Country],Tabela1[[#This Row],[Country]],Table5[20km Race Walk Classification],"&gt;0")</f>
        <v>0</v>
      </c>
      <c r="BF173" s="6">
        <f>COUNTIFS(Tabela96[Country],Tabela1[[#This Row],[Country]],Tabela96[Mixed Marathon Race Walk Relay Classification],"&gt;0")</f>
        <v>0</v>
      </c>
      <c r="BG173" s="6">
        <f>COUNTIFS(Table4[Country],Tabela1[[#This Row],[Country]],Table4[Discus Throw Classification],"&gt;0")</f>
        <v>0</v>
      </c>
      <c r="BH173" s="6">
        <f>COUNTIFS(Table5[Country],Tabela1[[#This Row],[Country]],Table5[Discus Throw Classification],"&gt;0")</f>
        <v>0</v>
      </c>
      <c r="BI173" s="6">
        <f>COUNTIFS(Table4[Country],Tabela1[[#This Row],[Country]],Table4[Hammer Throw Classification],"&gt;0")</f>
        <v>0</v>
      </c>
      <c r="BJ173" s="6">
        <f>COUNTIFS(Table5[Country],Tabela1[[#This Row],[Country]],Table5[Hammer Throw Classification],"&gt;0")</f>
        <v>0</v>
      </c>
      <c r="BK173" s="6">
        <f>COUNTIFS(Table4[Country],Tabela1[[#This Row],[Country]],Table4[High Jump Classification],"&gt;0")</f>
        <v>0</v>
      </c>
      <c r="BL173" s="6">
        <f>COUNTIFS(Table5[Country],Tabela1[[#This Row],[Country]],Table5[High Jump Classification],"&gt;0")</f>
        <v>0</v>
      </c>
      <c r="BM173" s="6">
        <f>COUNTIFS(Table4[Country],Tabela1[[#This Row],[Country]],Table4[Javelin Throw Classification],"&gt;0")</f>
        <v>0</v>
      </c>
      <c r="BN173" s="6">
        <f>COUNTIFS(Table5[Country],Tabela1[[#This Row],[Country]],Table5[Javelin Throw Classification],"&gt;0")</f>
        <v>0</v>
      </c>
      <c r="BO173" s="6">
        <f>COUNTIFS(Table4[Country],Tabela1[[#This Row],[Country]],Table4[Long Jump Classification],"&gt;0")</f>
        <v>0</v>
      </c>
      <c r="BP173" s="6">
        <f>COUNTIFS(Table5[Country],Tabela1[[#This Row],[Country]],Table5[Long Jump Classification],"&gt;0")</f>
        <v>0</v>
      </c>
      <c r="BQ173" s="6">
        <f>COUNTIFS(Table4[Country],Tabela1[[#This Row],[Country]],Table4[Pole Vault Classification],"&gt;0")</f>
        <v>0</v>
      </c>
      <c r="BR173" s="6">
        <f>COUNTIFS(Table5[Country],Tabela1[[#This Row],[Country]],Table5[Pole Vault Classification],"&gt;0")</f>
        <v>0</v>
      </c>
      <c r="BS173" s="6">
        <f>COUNTIFS(Table4[Country],Tabela1[[#This Row],[Country]],Table4[Shot Put Classification],"&gt;0")</f>
        <v>0</v>
      </c>
      <c r="BT173" s="6">
        <f>COUNTIFS(Table5[Country],Tabela1[[#This Row],[Country]],Table5[Shot Put Classification],"&gt;0")</f>
        <v>0</v>
      </c>
      <c r="BU173" s="6">
        <f>COUNTIFS(Table4[Country],Tabela1[[#This Row],[Country]],Table4[Triple Jump Classification],"&gt;0")</f>
        <v>0</v>
      </c>
      <c r="BV173" s="6">
        <f>COUNTIFS(Table5[Country],Tabela1[[#This Row],[Country]],Table5[Triple Jump Classification],"&gt;0")</f>
        <v>0</v>
      </c>
      <c r="BW173" s="6">
        <f>COUNTIFS(Table4[Country],Tabela1[[#This Row],[Country]],Table4[Decathlon Classification],"&gt;0")</f>
        <v>0</v>
      </c>
      <c r="BX173" s="6">
        <f>COUNTIFS(Table5[Country],Tabela1[[#This Row],[Country]],Table5[Heptathlon Classification],"&gt;0")</f>
        <v>0</v>
      </c>
      <c r="BY173" s="6">
        <f>COUNTIFS(Table61[Country],Tabela1[[#This Row],[Country]],Table61[Classification],"&gt;0")</f>
        <v>0</v>
      </c>
      <c r="BZ173" s="6">
        <f>COUNTIFS(Table38[Country],Tabela1[[#This Row],[Country]],Table38[Classification],"&gt;0")</f>
        <v>0</v>
      </c>
      <c r="CA173" s="6">
        <f>COUNTIFS(Table39[Country],Tabela1[[#This Row],[Country]],Table39[Men''s Classification],"&gt;0")</f>
        <v>0</v>
      </c>
      <c r="CB173" s="6">
        <f>COUNTIFS(Table39[Country],Tabela1[[#This Row],[Country]],Table39[Women''s Classification],"&gt;0")</f>
        <v>0</v>
      </c>
      <c r="CC173" s="6">
        <f>COUNTIFS(Table39[Country],Tabela1[[#This Row],[Country]],Table39[Mixed Classification],"&gt;0")</f>
        <v>0</v>
      </c>
      <c r="CD173" s="6">
        <f>COUNTIFS(Table89[Country],Tabela1[[#This Row],[Country]],Table89[Men''s Classification],"&gt;0")</f>
        <v>0</v>
      </c>
      <c r="CE173" s="6">
        <f>COUNTIFS(Table89[Country],Tabela1[[#This Row],[Country]],Table89[Women''s Classification],"&gt;0")</f>
        <v>0</v>
      </c>
      <c r="CF173" s="6">
        <f>COUNTIFS(Table90[Country],Tabela1[[#This Row],[Country]],Table90[Men''s Classification],"&gt;0")</f>
        <v>0</v>
      </c>
      <c r="CG173" s="6">
        <f>COUNTIFS(Table90[Country],Tabela1[[#This Row],[Country]],Table90[Women''s Classification],"&gt;0")</f>
        <v>0</v>
      </c>
      <c r="CH173" s="6">
        <f>COUNTIFS(Table60[Country],Tabela1[[#This Row],[Country]],Table60[Men''s Classification],"&gt;0")</f>
        <v>0</v>
      </c>
      <c r="CI173" s="6">
        <f>COUNTIFS(Table60[Country],Tabela1[[#This Row],[Country]],Table60[Women''s Classification],"&gt;0")</f>
        <v>0</v>
      </c>
      <c r="CJ173" s="6">
        <f>COUNTIFS(Table6[Country],Tabela1[[#This Row],[Country]],Table6[51kg Classification],"&gt;0")</f>
        <v>0</v>
      </c>
      <c r="CK173" s="6">
        <f>COUNTIFS(Table6[Country],Tabela1[[#This Row],[Country]],Table6[57kg Classification],"&gt;0")</f>
        <v>0</v>
      </c>
      <c r="CL173" s="6">
        <f>COUNTIFS(Table6[Country],Tabela1[[#This Row],[Country]],Table6[63.5kg Classification],"&gt;0")</f>
        <v>0</v>
      </c>
      <c r="CM173" s="6">
        <f>COUNTIFS(Table6[Country],Tabela1[[#This Row],[Country]],Table6[71kg Classification],"&gt;0")</f>
        <v>0</v>
      </c>
      <c r="CN173" s="6">
        <f>COUNTIFS(Table6[Country],Tabela1[[#This Row],[Country]],Table6[80kg Classification],"&gt;0")</f>
        <v>0</v>
      </c>
      <c r="CO173" s="6">
        <f>COUNTIFS(Table6[Country],Tabela1[[#This Row],[Country]],Table6[92kg Classification],"&gt;0")</f>
        <v>0</v>
      </c>
      <c r="CP173" s="6">
        <f>COUNTIFS(Table6[Country],Tabela1[[#This Row],[Country]],Table6[Plus 92kg Classification],"&gt;0")</f>
        <v>0</v>
      </c>
      <c r="CQ173" s="6">
        <f>COUNTIFS(Table7[Country],Tabela1[[#This Row],[Country]],Table7[50kg Classification],"&gt;0")</f>
        <v>0</v>
      </c>
      <c r="CR173" s="6">
        <f>COUNTIFS(Table7[Country],Tabela1[[#This Row],[Country]],Table7[54kg Classification],"&gt;0")</f>
        <v>0</v>
      </c>
      <c r="CS173" s="6">
        <f>COUNTIFS(Table7[Country],Tabela1[[#This Row],[Country]],Table7[57kg Classification],"&gt;0")</f>
        <v>0</v>
      </c>
      <c r="CT173" s="6">
        <f>COUNTIFS(Table7[Country],Tabela1[[#This Row],[Country]],Table7[60kg Classification],"&gt;0")</f>
        <v>0</v>
      </c>
      <c r="CU173" s="6">
        <f>COUNTIFS(Table7[Country],Tabela1[[#This Row],[Country]],Table7[66kg Classification],"&gt;0")</f>
        <v>0</v>
      </c>
      <c r="CV173" s="6">
        <f>COUNTIFS(Table7[Country],Tabela1[[#This Row],[Country]],Table7[75kg Classification],"&gt;0")</f>
        <v>0</v>
      </c>
      <c r="CW173" s="6">
        <f>COUNTIFS(Tabela94[Country],Tabela1[[#This Row],[Country]],Tabela94[Classification],"&gt;0")</f>
        <v>0</v>
      </c>
      <c r="CX173" s="6">
        <f>COUNTIFS(Tabela9499[Country],Tabela1[[#This Row],[Country]],Tabela9499[Classification],"&gt;0")</f>
        <v>0</v>
      </c>
      <c r="CY173" s="6">
        <f>COUNTIFS(Tabela107[Country],Tabela1[[#This Row],[Country]],Tabela107[C1 Slalom Classification],"&gt;0")</f>
        <v>0</v>
      </c>
      <c r="CZ173" s="6">
        <f>COUNTIFS(Tabela107122[Country],Tabela1[[#This Row],[Country]],Tabela107122[C1 Slalom Classification],"&gt;0")</f>
        <v>0</v>
      </c>
      <c r="DA173" s="6">
        <f>COUNTIFS(Tabela107[Country],Tabela1[[#This Row],[Country]],Tabela107[K1 Slalom Classification],"&gt;0")</f>
        <v>0</v>
      </c>
      <c r="DB173" s="6">
        <f>COUNTIFS(Tabela107122[Country],Tabela1[[#This Row],[Country]],Tabela107122[K1 Slalom Classification],"&gt;0")</f>
        <v>0</v>
      </c>
      <c r="DC173" s="6">
        <f>COUNTIFS(Tabela107[Country],Tabela1[[#This Row],[Country]],Tabela107[Kayak Cross Slalom Classification],"&gt;0")</f>
        <v>0</v>
      </c>
      <c r="DD173" s="6">
        <f>COUNTIFS(Tabela107122[Country],Tabela1[[#This Row],[Country]],Tabela107122[Kayak Cross Slalom Classification],"&gt;0")</f>
        <v>0</v>
      </c>
      <c r="DE173" s="6">
        <f>COUNTIFS(Table8[Country],Tabela1[[#This Row],[Country]],Table8[C1 200m Classification],"&gt;0")</f>
        <v>0</v>
      </c>
      <c r="DF173" s="6">
        <f>COUNTIFS(Table40[Country],Tabela1[[#This Row],[Country]],Table40[C1 1000m Classification],"&gt;0")</f>
        <v>0</v>
      </c>
      <c r="DG173" s="6">
        <f>COUNTIFS(Table68[Country],Tabela1[[#This Row],[Country]],Table68[Men''s C2 500m Classification],"&gt;0")</f>
        <v>0</v>
      </c>
      <c r="DH173" s="6">
        <f>COUNTIFS(Table68[Country],Tabela1[[#This Row],[Country]],Table68[Women''s C2 500m Classification],"&gt;0")</f>
        <v>0</v>
      </c>
      <c r="DI173" s="6">
        <f>COUNTIFS(Table8[Country],Tabela1[[#This Row],[Country]],Table8[K1 500m Classification],"&gt;0")</f>
        <v>0</v>
      </c>
      <c r="DJ173" s="6">
        <f>COUNTIFS(Table40[Country],Tabela1[[#This Row],[Country]],Table40[K1 1000m Classification],"&gt;0")</f>
        <v>0</v>
      </c>
      <c r="DK173" s="6">
        <f>COUNTIFS(Table68[Country],Tabela1[[#This Row],[Country]],Table68[Men''s K2 500m Classification],"&gt;0")</f>
        <v>0</v>
      </c>
      <c r="DL173" s="6">
        <f>COUNTIFS(Table68[Country],Tabela1[[#This Row],[Country]],Table68[Women''s K2 500m Classification],"&gt;0")</f>
        <v>0</v>
      </c>
      <c r="DM173" s="6">
        <f>COUNTIFS(Table83[Country],Tabela1[[#This Row],[Country]],Table83[Men''s K4 500m Classification],"&gt;0")</f>
        <v>0</v>
      </c>
      <c r="DN173" s="6">
        <f>COUNTIFS(Table83[Country],Tabela1[[#This Row],[Country]],Table83[Women''s K4 500m Classification],"&gt;0")</f>
        <v>0</v>
      </c>
      <c r="DO173" s="6">
        <f>COUNTIFS(Tabela126[Country],Tabela1[[#This Row],[Country]],Tabela126[Classification],"&gt;0")</f>
        <v>0</v>
      </c>
      <c r="DP173" s="6">
        <f>COUNTIFS(Tabela126130[Country],Tabela1[[#This Row],[Country]],Tabela126130[Classification],"&gt;0")</f>
        <v>0</v>
      </c>
      <c r="DQ173" s="6">
        <f>COUNTIFS(Table70[Country],Tabela1[[#This Row],[Country]],Table70[Classification],"&gt;0")</f>
        <v>0</v>
      </c>
      <c r="DR173" s="6">
        <f>COUNTIFS(Table80[Country],Tabela1[[#This Row],[Country]],Table80[Classification],"&gt;0")</f>
        <v>0</v>
      </c>
      <c r="DS173" s="6">
        <f>COUNTIFS(Table66[Country],Tabela1[[#This Row],[Country]],Table66[Classification],"&gt;0")</f>
        <v>0</v>
      </c>
      <c r="DT173" s="6">
        <f>COUNTIFS(Table67[Country],Tabela1[[#This Row],[Country]],Table67[Classification],"&gt;0")</f>
        <v>0</v>
      </c>
      <c r="DU173" s="6">
        <f>COUNTIFS(Table69[Country],Tabela1[[#This Row],[Country]],Table69[Keirin Classification],"&gt;0")</f>
        <v>0</v>
      </c>
      <c r="DV173" s="6">
        <f>COUNTIFS(Table41[Country],Tabela1[[#This Row],[Country]],Table41[Keirin Classification],"&gt;0")</f>
        <v>0</v>
      </c>
      <c r="DW173" s="6">
        <f>COUNTIFS(Table84[Country],Tabela1[[#This Row],[Country]],Table84[Men''s Madison Classification],"&gt;0")</f>
        <v>0</v>
      </c>
      <c r="DX173" s="6">
        <f>COUNTIFS(Table84[Country],Tabela1[[#This Row],[Country]],Table84[Women''s Madison Classification],"&gt;0")</f>
        <v>0</v>
      </c>
      <c r="DY173" s="6">
        <f>COUNTIFS(Table69[Country],Tabela1[[#This Row],[Country]],Table69[Omnium Classification],"&gt;0")</f>
        <v>0</v>
      </c>
      <c r="DZ173" s="6">
        <f>COUNTIFS(Table41[Country],Tabela1[[#This Row],[Country]],Table41[Omnium Classification],"&gt;0")</f>
        <v>0</v>
      </c>
      <c r="EA173" s="6">
        <f>COUNTIFS(Table9[Country],Tabela1[[#This Row],[Country]],Table9[Road Race Classification],"&gt;0")</f>
        <v>0</v>
      </c>
      <c r="EB173" s="6">
        <f>COUNTIFS(Table14[Country],Tabela1[[#This Row],[Country]],Table14[Road Race Classification],"&gt;0")</f>
        <v>0</v>
      </c>
      <c r="EC173" s="6">
        <f>COUNTIFS(Table69[Country],Tabela1[[#This Row],[Country]],Table69[Sprint Classification],"&gt;0")</f>
        <v>0</v>
      </c>
      <c r="ED173" s="6">
        <f>COUNTIFS(Table41[Country],Tabela1[[#This Row],[Country]],Table41[Sprint Classification],"&gt;0")</f>
        <v>0</v>
      </c>
      <c r="EE173" s="6">
        <f>COUNTIFS(Table85[Country],Tabela1[[#This Row],[Country]],Table85[Men''s Sprint Classification],"&gt;0")</f>
        <v>0</v>
      </c>
      <c r="EF173" s="6">
        <f>COUNTIFS(Table85[Country],Tabela1[[#This Row],[Country]],Table85[Women''s Sprint Classification],"&gt;0")</f>
        <v>0</v>
      </c>
      <c r="EG173" s="6">
        <f>COUNTIFS(Table85[Country],Tabela1[[#This Row],[Country]],Table85[Men''s Pursuit Classification],"&gt;0")</f>
        <v>0</v>
      </c>
      <c r="EH173" s="6">
        <f>COUNTIFS(Table85[Country],Tabela1[[#This Row],[Country]],Table85[Women''s Pursuit Classification],"&gt;0")</f>
        <v>0</v>
      </c>
      <c r="EI173" s="6">
        <f>COUNTIFS(Table9[Country],Tabela1[[#This Row],[Country]],Table9[Time-Trial Classification],"&gt;0")</f>
        <v>0</v>
      </c>
      <c r="EJ173" s="6">
        <f>COUNTIFS(Table14[Country],Tabela1[[#This Row],[Country]],Table14[Time-Trial Classification],"&gt;0")</f>
        <v>0</v>
      </c>
      <c r="EK173" s="6">
        <f>COUNTIFS(Table42[Country],Tabela1[[#This Row],[Country]],Table42[Springboard Classification],"&gt;0")</f>
        <v>0</v>
      </c>
      <c r="EL173" s="6">
        <f>COUNTIFS(Table43[Country],Tabela1[[#This Row],[Country]],Table43[Springboard Classification],"&gt;0")</f>
        <v>0</v>
      </c>
      <c r="EM173" s="6">
        <f>COUNTIFS(Table42[Country],Tabela1[[#This Row],[Country]],Table42[Platform Classification],"&gt;0")</f>
        <v>0</v>
      </c>
      <c r="EN173" s="6">
        <f>COUNTIFS(Table43[Country],Tabela1[[#This Row],[Country]],Table43[Platform Classification],"&gt;0")</f>
        <v>0</v>
      </c>
      <c r="EO173" s="6">
        <f>COUNTIFS(Table86[Country],Tabela1[[#This Row],[Country]],Table86[Men''s Synchronized Springboard Classification],"&gt;0")</f>
        <v>0</v>
      </c>
      <c r="EP173" s="6">
        <f>COUNTIFS(Table86[Country],Tabela1[[#This Row],[Country]],Table86[Women''s Synchronized Springboard Classification],"&gt;0")</f>
        <v>0</v>
      </c>
      <c r="EQ173" s="6">
        <f>COUNTIFS(Table86[Country],Tabela1[[#This Row],[Country]],Table86[Men''s Synchronized Platform Classification],"&gt;0")</f>
        <v>0</v>
      </c>
      <c r="ER173" s="6">
        <f>COUNTIFS(Table86[Country],Tabela1[[#This Row],[Country]],Table86[Women''s Synchronized Platform Classification],"&gt;0")</f>
        <v>0</v>
      </c>
      <c r="ES173" s="6">
        <f>COUNTIFS(Table44[Country],Tabela1[[#This Row],[Country]],Table44[Dressage Classification],"&gt;0")</f>
        <v>0</v>
      </c>
      <c r="ET173" s="6">
        <f>COUNTIFS(Table45[Country],Tabela1[[#This Row],[Country]],Table45[Dressage Classification],"&gt;0")</f>
        <v>0</v>
      </c>
      <c r="EU173" s="6">
        <f>COUNTIFS(Table44[Country],Tabela1[[#This Row],[Country]],Table44[Eventing Classification],"&gt;0")</f>
        <v>0</v>
      </c>
      <c r="EV173" s="6">
        <f>COUNTIFS(Table45[Country],Tabela1[[#This Row],[Country]],Table45[Eventing Classification],"&gt;0")</f>
        <v>0</v>
      </c>
      <c r="EW173" s="6">
        <f>COUNTIFS(Table44[Country],Tabela1[[#This Row],[Country]],Table44[Jumping Classification],"&gt;0")</f>
        <v>0</v>
      </c>
      <c r="EX173" s="6">
        <f>COUNTIFS(Table45[Country],Tabela1[[#This Row],[Country]],Table45[Jumping Classification],"&gt;0")</f>
        <v>0</v>
      </c>
      <c r="EY173" s="6">
        <f>COUNTIFS(Table10[Country],Tabela1[[#This Row],[Country]],Table10[Épée Classification],"&gt;0")</f>
        <v>0</v>
      </c>
      <c r="EZ173" s="6">
        <f>COUNTIFS(Table11[Country],Tabela1[[#This Row],[Country]],Table11[Épée Classification],"&gt;0")</f>
        <v>0</v>
      </c>
      <c r="FA173" s="6">
        <f>COUNTIFS(Table46[Country],Tabela1[[#This Row],[Country]],Table46[Men''s Épée Classification],"&gt;0")</f>
        <v>0</v>
      </c>
      <c r="FB173" s="6">
        <f>COUNTIFS(Table46[Country],Tabela1[[#This Row],[Country]],Table46[Women''s Épée Classification],"&gt;0")</f>
        <v>0</v>
      </c>
      <c r="FC173" s="6">
        <f>COUNTIFS(Table10[Country],Tabela1[[#This Row],[Country]],Table10[Foil Classification],"&gt;0")</f>
        <v>0</v>
      </c>
      <c r="FD173" s="6">
        <f>COUNTIFS(Table11[Country],Tabela1[[#This Row],[Country]],Table11[Foil Classification],"&gt;0")</f>
        <v>0</v>
      </c>
      <c r="FE173" s="6">
        <f>COUNTIFS(Table46[Country],Tabela1[[#This Row],[Country]],Table46[Men''s Foil Classification],"&gt;0")</f>
        <v>0</v>
      </c>
      <c r="FF173" s="6">
        <f>COUNTIFS(Table46[Country],Tabela1[[#This Row],[Country]],Table46[Women''s Foil Classification],"&gt;0")</f>
        <v>0</v>
      </c>
      <c r="FG173" s="6">
        <f>COUNTIFS(Table10[Country],Tabela1[[#This Row],[Country]],Table10[Sabre Classification],"&gt;0")</f>
        <v>0</v>
      </c>
      <c r="FH173" s="6">
        <f>COUNTIFS(Table11[Country],Tabela1[[#This Row],[Country]],Table11[Sabre Classification],"&gt;0")</f>
        <v>0</v>
      </c>
      <c r="FI173" s="6">
        <f>COUNTIFS(Table46[Country],Tabela1[[#This Row],[Country]],Table46[Men''s Sabre Classification],"&gt;0")</f>
        <v>0</v>
      </c>
      <c r="FJ173" s="6">
        <f>COUNTIFS(Table46[Country],Tabela1[[#This Row],[Country]],Table46[Women''s Sabre Classification],"&gt;0")</f>
        <v>0</v>
      </c>
      <c r="FK173" s="6">
        <f>COUNTIFS(Table91[Country],Tabela1[[#This Row],[Country]],Table91[Men''s Classification],"&gt;0")</f>
        <v>0</v>
      </c>
      <c r="FL173" s="6">
        <f>COUNTIFS(Table91[Country],Tabela1[[#This Row],[Country]],Table91[Women''s Classification],"&gt;0")</f>
        <v>0</v>
      </c>
      <c r="FM173" s="6">
        <f>COUNTIFS(Table9194[Country],Tabela1[[#This Row],[Country]],Table9194[Men''s Classification],"&gt;0")</f>
        <v>0</v>
      </c>
      <c r="FN173" s="6">
        <f>COUNTIFS(Table9194[Country],Tabela1[[#This Row],[Country]],Table9194[Women''s Classification],"&gt;0")</f>
        <v>0</v>
      </c>
      <c r="FO173" s="6">
        <f>COUNTIFS(Table71[Country],Tabela1[[#This Row],[Country]],Table71[Classification],"&gt;0")</f>
        <v>0</v>
      </c>
      <c r="FP173" s="6">
        <f>COUNTIFS(Table62[Country],Tabela1[[#This Row],[Country]],Table62[Classification],"&gt;0")</f>
        <v>0</v>
      </c>
      <c r="FQ173" s="6">
        <f>COUNTIFS(Table47[Country],Tabela1[[#This Row],[Country]],Table47[All-Around Classification],"&gt;0")</f>
        <v>0</v>
      </c>
      <c r="FR173" s="6">
        <f>COUNTIFS(Table48[Country],Tabela1[[#This Row],[Country]],Table48[All-Around Classification],"&gt;0")</f>
        <v>0</v>
      </c>
      <c r="FS173" s="6">
        <f>COUNTIFS(Table81[Country],Tabela1[[#This Row],[Country]],Table81[Men''s All-Around Classification],"&gt;0")</f>
        <v>0</v>
      </c>
      <c r="FT173" s="6">
        <f>COUNTIFS(Table81[Country],Tabela1[[#This Row],[Country]],Table81[Women''s All-Around Classification],"&gt;0")</f>
        <v>0</v>
      </c>
      <c r="FU173" s="6">
        <f>COUNTIFS(Table48[Country],Tabela1[[#This Row],[Country]],Table48[Balance Beam Classification],"&gt;0")</f>
        <v>0</v>
      </c>
      <c r="FV173" s="6">
        <f>COUNTIFS(Table47[Country],Tabela1[[#This Row],[Country]],Table47[Floor Exercise Classification],"&gt;0")</f>
        <v>0</v>
      </c>
      <c r="FW173" s="6">
        <f>COUNTIFS(Table48[Country],Tabela1[[#This Row],[Country]],Table48[Floor Exercise Classification],"&gt;0")</f>
        <v>0</v>
      </c>
      <c r="FX173" s="6">
        <f>COUNTIFS(Table47[Country],Tabela1[[#This Row],[Country]],Table47[Horizontal Bar Classification],"&gt;0")</f>
        <v>0</v>
      </c>
      <c r="FY173" s="6">
        <f>COUNTIFS(Table47[Country],Tabela1[[#This Row],[Country]],Table47[Parallel Bars Classification],"&gt;0")</f>
        <v>0</v>
      </c>
      <c r="FZ173" s="6">
        <f>COUNTIFS(Table47[Country],Tabela1[[#This Row],[Country]],Table47[Pommel Horse Classification],"&gt;0")</f>
        <v>0</v>
      </c>
      <c r="GA173" s="6">
        <f>COUNTIFS(Table47[Country],Tabela1[[#This Row],[Country]],Table47[Rings Classification],"&gt;0")</f>
        <v>0</v>
      </c>
      <c r="GB173" s="6">
        <f>COUNTIFS(Tabela132[Country],Tabela1[[#This Row],[Country]],Tabela132[Classification],"&gt;0")</f>
        <v>0</v>
      </c>
      <c r="GC173" s="6">
        <f>COUNTIFS(Tabela139[Country],Tabela1[[#This Row],[Country]],Tabela139[Classification],"&gt;0")</f>
        <v>0</v>
      </c>
      <c r="GD173" s="6">
        <f>COUNTIFS(Table48[Country],Tabela1[[#This Row],[Country]],Table48[Uneven Bars Classification],"&gt;0")</f>
        <v>0</v>
      </c>
      <c r="GE173" s="6">
        <f>COUNTIFS(Table47[Country],Tabela1[[#This Row],[Country]],Table47[Vault Classification],"&gt;0")</f>
        <v>0</v>
      </c>
      <c r="GF173" s="6">
        <f>COUNTIFS(Table48[Country],Tabela1[[#This Row],[Country]],Table48[Vault Classification],"&gt;0")</f>
        <v>0</v>
      </c>
      <c r="GG173" s="6">
        <f>COUNTIFS(Table919496[Country],Tabela1[[#This Row],[Country]],Table919496[Men''s Classification],"&gt;0")</f>
        <v>0</v>
      </c>
      <c r="GH173" s="6">
        <f>COUNTIFS(Table919496[Country],Tabela1[[#This Row],[Country]],Table919496[Women''s Classification],"&gt;0")</f>
        <v>0</v>
      </c>
      <c r="GI173" s="6">
        <f>COUNTIFS(Table12[Country],Tabela1[[#This Row],[Country]],Table12[60kg Classification],"&gt;0")</f>
        <v>0</v>
      </c>
      <c r="GJ173" s="6">
        <f>COUNTIFS(Table12[Country],Tabela1[[#This Row],[Country]],Table12[66kg Classification],"&gt;0")</f>
        <v>0</v>
      </c>
      <c r="GK173" s="6">
        <f>COUNTIFS(Table12[Country],Tabela1[[#This Row],[Country]],Table12[73kg Classification],"&gt;0")</f>
        <v>0</v>
      </c>
      <c r="GL173" s="6">
        <f>COUNTIFS(Table12[Country],Tabela1[[#This Row],[Country]],Table12[81kg Classification],"&gt;0")</f>
        <v>0</v>
      </c>
      <c r="GM173" s="6">
        <f>COUNTIFS(Table12[Country],Tabela1[[#This Row],[Country]],Table12[90kg Classification],"&gt;0")</f>
        <v>0</v>
      </c>
      <c r="GN173" s="6">
        <f>COUNTIFS(Table12[Country],Tabela1[[#This Row],[Country]],Table12[100kg Classification],"&gt;0")</f>
        <v>0</v>
      </c>
      <c r="GO173" s="6">
        <f>COUNTIFS(Table12[Country],Tabela1[[#This Row],[Country]],Table12[Plus 100kg Classification],"&gt;0")</f>
        <v>0</v>
      </c>
      <c r="GP173" s="6">
        <f>COUNTIFS(Table13[Country],Tabela1[[#This Row],[Country]],Table13[48kg Classification],"&gt;0")</f>
        <v>0</v>
      </c>
      <c r="GQ173" s="6">
        <f>COUNTIFS(Table13[Country],Tabela1[[#This Row],[Country]],Table13[52kg Classification],"&gt;0")</f>
        <v>0</v>
      </c>
      <c r="GR173" s="6">
        <f>COUNTIFS(Table13[Country],Tabela1[[#This Row],[Country]],Table13[57kg Classification],"&gt;0")</f>
        <v>0</v>
      </c>
      <c r="GS173" s="6">
        <f>COUNTIFS(Table13[Country],Tabela1[[#This Row],[Country]],Table13[63kg Classification],"&gt;0")</f>
        <v>0</v>
      </c>
      <c r="GT173" s="6">
        <f>COUNTIFS(Table13[Country],Tabela1[[#This Row],[Country]],Table13[70kg Classification],"&gt;0")</f>
        <v>0</v>
      </c>
      <c r="GU173" s="6">
        <f>COUNTIFS(Table13[Country],Tabela1[[#This Row],[Country]],Table13[78kg Classification],"&gt;0")</f>
        <v>0</v>
      </c>
      <c r="GV173" s="6">
        <f>COUNTIFS(Table13[Country],Tabela1[[#This Row],[Country]],Table13[Plus 78kg Classification],"&gt;0")</f>
        <v>0</v>
      </c>
      <c r="GW173" s="6">
        <f>COUNTIFS(Table82[Country],Tabela1[[#This Row],[Country]],Table82[Mixed Classification],"&gt;0")</f>
        <v>0</v>
      </c>
      <c r="GX173" s="6">
        <f>COUNTIFS(Table51[Country],Tabela1[[#This Row],[Country]],Table51[Classification],"&gt;0")</f>
        <v>0</v>
      </c>
      <c r="GY173" s="6">
        <f>COUNTIFS(Table52[Country],Tabela1[[#This Row],[Country]],Table52[Classification],"&gt;0")</f>
        <v>0</v>
      </c>
      <c r="GZ173" s="6">
        <f>COUNTIFS(Table32[Country],Tabela1[[#This Row],[Country]],Table32[All-Around Classification],"&gt;0")</f>
        <v>0</v>
      </c>
      <c r="HA173" s="6">
        <f>COUNTIFS(Table49[Country],Tabela1[[#This Row],[Country]],Table49[All-Around Classification],"&gt;0")</f>
        <v>0</v>
      </c>
      <c r="HB173" s="6">
        <f>COUNTIFS(Table26[Country],Tabela1[[#This Row],[Country]],Table26[Single Sculls Classification],"&gt;0")</f>
        <v>0</v>
      </c>
      <c r="HC173" s="6">
        <f>COUNTIFS(Table63[Country],Tabela1[[#This Row],[Country]],Table63[Single Sculls Classification],"&gt;0")</f>
        <v>0</v>
      </c>
      <c r="HD173" s="6">
        <f>COUNTIFS(Table16[Country],Tabela1[[#This Row],[Country]],Table16[Men''s Double Sculls Classification],"&gt;0")</f>
        <v>0</v>
      </c>
      <c r="HE173" s="6">
        <f>COUNTIFS(Table16[Country],Tabela1[[#This Row],[Country]],Table16[Women''s Double Sculls Classification],"&gt;0")</f>
        <v>0</v>
      </c>
      <c r="HF173" s="6">
        <f>COUNTIFS(Table72[Country],Tabela1[[#This Row],[Country]],Table72[Men''s Quadruple Sculls Classification],"&gt;0")</f>
        <v>0</v>
      </c>
      <c r="HG173" s="6">
        <f>COUNTIFS(Table72[Country],Tabela1[[#This Row],[Country]],Table72[Women''s Quadruple Sculls Classification],"&gt;0")</f>
        <v>0</v>
      </c>
      <c r="HH173" s="6">
        <f>COUNTIFS(Table16[Country],Tabela1[[#This Row],[Country]],Table16[Men''s Coxless Pairs Classification],"&gt;0")</f>
        <v>0</v>
      </c>
      <c r="HI173" s="6">
        <f>COUNTIFS(Table16[Country],Tabela1[[#This Row],[Country]],Table16[Women''s Coxless Pairs Classification],"&gt;0")</f>
        <v>0</v>
      </c>
      <c r="HJ173" s="6">
        <f>COUNTIFS(Table72[Country],Tabela1[[#This Row],[Country]],Table72[Men''s Coxless Fours Classification],"&gt;0")</f>
        <v>0</v>
      </c>
      <c r="HK173" s="6">
        <f>COUNTIFS(Table72[Country],Tabela1[[#This Row],[Country]],Table72[Women''s Coxless Fours Classification],"&gt;0")</f>
        <v>0</v>
      </c>
      <c r="HL173" s="6">
        <f>COUNTIFS(Table72[Country],Tabela1[[#This Row],[Country]],Table72[Men''s Eights Classification],"&gt;0")</f>
        <v>0</v>
      </c>
      <c r="HM173" s="6">
        <f>COUNTIFS(Table72[Country],Tabela1[[#This Row],[Country]],Table72[Women''s Eights Classification],"&gt;0")</f>
        <v>0</v>
      </c>
      <c r="HN173" s="6">
        <f>COUNTIFS(Table16[Country],Tabela1[[#This Row],[Country]],Table16[Men''s Lwt. Double Sculls Classification],"&gt;0")</f>
        <v>0</v>
      </c>
      <c r="HO173" s="6">
        <f>COUNTIFS(Table16[Country],Tabela1[[#This Row],[Country]],Table16[Women''s Lwt. Double Sculls Classification],"&gt;0")</f>
        <v>0</v>
      </c>
      <c r="HP173" s="6">
        <f>COUNTIFS(Table91949698[Country],Tabela1[[#This Row],[Country]],Table91949698[Men''s Classification],"&gt;0")</f>
        <v>0</v>
      </c>
      <c r="HQ173" s="6">
        <f>COUNTIFS(Table91949698[Country],Tabela1[[#This Row],[Country]],Table91949698[Women''s Classification],"&gt;0")</f>
        <v>0</v>
      </c>
      <c r="HR173" s="6">
        <f>COUNTIFS(Table25[Country],Tabela1[[#This Row],[Country]],Table25[Mixed 470 Classification],"&gt;0")</f>
        <v>0</v>
      </c>
      <c r="HS173" s="6">
        <f>COUNTIFS(Table25[Country],Tabela1[[#This Row],[Country]],Table25[Men''s 49er Classification],"&gt;0")</f>
        <v>0</v>
      </c>
      <c r="HT173" s="6">
        <f>COUNTIFS(Table25[Country],Tabela1[[#This Row],[Country]],Table25[Women''s 49er FX Classification],"&gt;0")</f>
        <v>0</v>
      </c>
      <c r="HU173" s="6">
        <f>COUNTIFS(Table17[Country],Tabela1[[#This Row],[Country]],Table17[Formula Kite Classification],"&gt;0")</f>
        <v>0</v>
      </c>
      <c r="HV173" s="6">
        <f>COUNTIFS(Table18[Country],Tabela1[[#This Row],[Country]],Table18[Formula Kite Classification],"&gt;0")</f>
        <v>0</v>
      </c>
      <c r="HW173" s="6">
        <f>COUNTIFS(Table17[Country],Tabela1[[#This Row],[Country]],Table17[ILCA 7 Classification],"&gt;0")</f>
        <v>0</v>
      </c>
      <c r="HX173" s="6">
        <f>COUNTIFS(Table18[Country],Tabela1[[#This Row],[Country]],Table18[ILCA 6 Classification],"&gt;0")</f>
        <v>0</v>
      </c>
      <c r="HY173" s="6">
        <f>COUNTIFS(Table17[Country],Tabela1[[#This Row],[Country]],Table17[IQFoil Classification],"&gt;0")</f>
        <v>0</v>
      </c>
      <c r="HZ173" s="6">
        <f>COUNTIFS(Table18[Country],Tabela1[[#This Row],[Country]],Table18[IQFoil Classification],"&gt;0")</f>
        <v>0</v>
      </c>
      <c r="IA173" s="6">
        <f>COUNTIFS(Table25[Country],Tabela1[[#This Row],[Country]],Table25[Mixed Nacra 17 Classification],"&gt;0")</f>
        <v>0</v>
      </c>
      <c r="IB173" s="6">
        <f>COUNTIFS(Table53[Country],Tabela1[[#This Row],[Country]],Table53[10m Air Pistol Classification],"&gt;0")</f>
        <v>0</v>
      </c>
      <c r="IC173" s="6">
        <f>COUNTIFS(Table19[Country],Tabela1[[#This Row],[Country]],Table19[10m Air Pistol Classification],"&gt;0")</f>
        <v>0</v>
      </c>
      <c r="ID173" s="6">
        <f>COUNTIFS(Table54[Country],Tabela1[[#This Row],[Country]],Table54[Mixed 10m Air Pistol Team Classification],"&gt;0")</f>
        <v>0</v>
      </c>
      <c r="IE173" s="6">
        <f>COUNTIFS(Table53[Country],Tabela1[[#This Row],[Country]],Table53[10m Air Rifle Classification],"&gt;0")</f>
        <v>0</v>
      </c>
      <c r="IF173" s="6">
        <f>COUNTIFS(Table19[Country],Tabela1[[#This Row],[Country]],Table19[10m Air Rifle Classification],"&gt;0")</f>
        <v>0</v>
      </c>
      <c r="IG173" s="6">
        <f>COUNTIFS(Table54[Country],Tabela1[[#This Row],[Country]],Table54[Mixed 10m Air Rifle Team Classification],"&gt;0")</f>
        <v>0</v>
      </c>
      <c r="IH173" s="6">
        <f>COUNTIFS(Table53[Country],Tabela1[[#This Row],[Country]],Table53[25m Rapid Fire Pistol Classification],"&gt;0")</f>
        <v>0</v>
      </c>
      <c r="II173" s="6">
        <f>COUNTIFS(Table19[Country],Tabela1[[#This Row],[Country]],Table19[25m Pistol Classification],"&gt;0")</f>
        <v>0</v>
      </c>
      <c r="IJ173" s="6">
        <f>COUNTIFS(Table53[Country],Tabela1[[#This Row],[Country]],Table53[50m Rifle 3 Positions Classification],"&gt;0")</f>
        <v>0</v>
      </c>
      <c r="IK173" s="6">
        <f>COUNTIFS(Table19[Country],Tabela1[[#This Row],[Country]],Table19[50m Rifle 3 Positions Classification],"&gt;0")</f>
        <v>0</v>
      </c>
      <c r="IL173" s="6">
        <f>COUNTIFS(Table53[Country],Tabela1[[#This Row],[Country]],Table53[Skeet Classification],"&gt;0")</f>
        <v>0</v>
      </c>
      <c r="IM173" s="6">
        <f>COUNTIFS(Table19[Country],Tabela1[[#This Row],[Country]],Table19[Skeet Classification],"&gt;0")</f>
        <v>0</v>
      </c>
      <c r="IN173" s="6">
        <f>COUNTIFS(Table54[Country],Tabela1[[#This Row],[Country]],Table54[Mixed Skeet Team Classification],"&gt;0")</f>
        <v>0</v>
      </c>
      <c r="IO173" s="6">
        <f>COUNTIFS(Table53[Country],Tabela1[[#This Row],[Country]],Table53[Trap Classification],"&gt;0")</f>
        <v>0</v>
      </c>
      <c r="IP173" s="6">
        <f>COUNTIFS(Table19[Country],Tabela1[[#This Row],[Country]],Table19[Trap Classification],"&gt;0")</f>
        <v>0</v>
      </c>
      <c r="IQ173" s="6">
        <f>COUNTIFS(Table73[Country],Tabela1[[#This Row],[Country]],Table73[Park Classification],"&gt;0")</f>
        <v>0</v>
      </c>
      <c r="IR173" s="6">
        <f>COUNTIFS(Table74[Country],Tabela1[[#This Row],[Country]],Table74[Park Classification],"&gt;0")</f>
        <v>0</v>
      </c>
      <c r="IS173" s="6">
        <f>COUNTIFS(Table73[Country],Tabela1[[#This Row],[Country]],Table73[Street Classification],"&gt;0")</f>
        <v>0</v>
      </c>
      <c r="IT173" s="6">
        <f>COUNTIFS(Table74[Country],Tabela1[[#This Row],[Country]],Table74[Street Classification],"&gt;0")</f>
        <v>0</v>
      </c>
      <c r="IU173" s="6">
        <f>COUNTIFS(Table75[Country],Tabela1[[#This Row],[Country]],Table75[Boulder and Lead Classification],"&gt;0")</f>
        <v>0</v>
      </c>
      <c r="IV173" s="6">
        <f>COUNTIFS(Table76[Country],Tabela1[[#This Row],[Country]],Table76[Boulder and Lead Classification],"&gt;0")</f>
        <v>0</v>
      </c>
      <c r="IW173" s="6">
        <f>COUNTIFS(Table75[Country],Tabela1[[#This Row],[Country]],Table75[Speed Classification],"&gt;0")</f>
        <v>0</v>
      </c>
      <c r="IX173" s="6">
        <f>COUNTIFS(Table76[Country],Tabela1[[#This Row],[Country]],Table76[Speed Classification],"&gt;0")</f>
        <v>0</v>
      </c>
      <c r="IY173" s="6">
        <f>COUNTIFS(Table64[Country],Tabela1[[#This Row],[Country]],Table64[Shortboard Classification],"&gt;0")</f>
        <v>0</v>
      </c>
      <c r="IZ173" s="6">
        <f>COUNTIFS(Table77[Country],Tabela1[[#This Row],[Country]],Table77[Shortboard Classification],"&gt;0")</f>
        <v>0</v>
      </c>
      <c r="JA173" s="6">
        <f>COUNTIFS(Table20[Country],Tabela1[[#This Row],[Country]],Table20[50m Freestyle Classification],"&gt;0")</f>
        <v>0</v>
      </c>
      <c r="JB173" s="6">
        <f>COUNTIFS(Table21[Country],Tabela1[[#This Row],[Country]],Table21[50m Freestyle Classification],"&gt;0")</f>
        <v>0</v>
      </c>
      <c r="JC173" s="6">
        <f>COUNTIFS(Table20[Country],Tabela1[[#This Row],[Country]],Table20[100m Freestyle Classification],"&gt;0")</f>
        <v>0</v>
      </c>
      <c r="JD173" s="6">
        <f>COUNTIFS(Table21[Country],Tabela1[[#This Row],[Country]],Table21[100m Freestyle Classification],"&gt;0")</f>
        <v>0</v>
      </c>
      <c r="JE173" s="6">
        <f>COUNTIFS(Table20[Country],Tabela1[[#This Row],[Country]],Table20[200m Freestyle Classification],"&gt;0")</f>
        <v>0</v>
      </c>
      <c r="JF173" s="6">
        <f>COUNTIFS(Table21[Country],Tabela1[[#This Row],[Country]],Table21[200m Freestyle Classification],"&gt;0")</f>
        <v>0</v>
      </c>
      <c r="JG173" s="6">
        <f>COUNTIFS(Table20[Country],Tabela1[[#This Row],[Country]],Table20[400m Freestyle Classification],"&gt;0")</f>
        <v>0</v>
      </c>
      <c r="JH173" s="6">
        <f>COUNTIFS(Table21[Country],Tabela1[[#This Row],[Country]],Table21[400m Freestyle Classification],"&gt;0")</f>
        <v>0</v>
      </c>
      <c r="JI173" s="6">
        <f>COUNTIFS(Table20[Country],Tabela1[[#This Row],[Country]],Table20[800m Freestyle Classification],"&gt;0")</f>
        <v>0</v>
      </c>
      <c r="JJ173" s="6">
        <f>COUNTIFS(Table21[Country],Tabela1[[#This Row],[Country]],Table21[800m Freestyle Classification],"&gt;0")</f>
        <v>0</v>
      </c>
      <c r="JK173" s="6">
        <f>COUNTIFS(Table20[Country],Tabela1[[#This Row],[Country]],Table20[1500m Freestyle Classification],"&gt;0")</f>
        <v>0</v>
      </c>
      <c r="JL173" s="6">
        <f>COUNTIFS(Table21[Country],Tabela1[[#This Row],[Country]],Table21[1500m Freestyle Classification],"&gt;0")</f>
        <v>0</v>
      </c>
      <c r="JM173" s="6">
        <f>COUNTIFS(Table20[Country],Tabela1[[#This Row],[Country]],Table20[100m Backstroke Classification],"&gt;0")</f>
        <v>0</v>
      </c>
      <c r="JN173" s="6">
        <f>COUNTIFS(Table21[Country],Tabela1[[#This Row],[Country]],Table21[100m Backstroke Classification],"&gt;0")</f>
        <v>0</v>
      </c>
      <c r="JO173" s="6">
        <f>COUNTIFS(Table20[Country],Tabela1[[#This Row],[Country]],Table20[200m Backstroke Classification],"&gt;0")</f>
        <v>0</v>
      </c>
      <c r="JP173" s="6">
        <f>COUNTIFS(Table21[Country],Tabela1[[#This Row],[Country]],Table21[200m Backstroke Classification],"&gt;0")</f>
        <v>0</v>
      </c>
      <c r="JQ173" s="6">
        <f>COUNTIFS(Table20[Country],Tabela1[[#This Row],[Country]],Table20[100m Breaststroke Classification],"&gt;0")</f>
        <v>0</v>
      </c>
      <c r="JR173" s="6">
        <f>COUNTIFS(Table21[Country],Tabela1[[#This Row],[Country]],Table21[100m Breaststroke Classification],"&gt;0")</f>
        <v>0</v>
      </c>
      <c r="JS173" s="6">
        <f>COUNTIFS(Table20[Country],Tabela1[[#This Row],[Country]],Table20[200m Breaststroke Classification],"&gt;0")</f>
        <v>0</v>
      </c>
      <c r="JT173" s="6">
        <f>COUNTIFS(Table21[Country],Tabela1[[#This Row],[Country]],Table21[200m Breaststroke Classification],"&gt;0")</f>
        <v>0</v>
      </c>
      <c r="JU173" s="6">
        <f>COUNTIFS(Table20[Country],Tabela1[[#This Row],[Country]],Table20[100m Butterfly Classification],"&gt;0")</f>
        <v>0</v>
      </c>
      <c r="JV173" s="6">
        <f>COUNTIFS(Table21[Country],Tabela1[[#This Row],[Country]],Table21[100m Butterfly Classification],"&gt;0")</f>
        <v>0</v>
      </c>
      <c r="JW173" s="6">
        <f>COUNTIFS(Table20[Country],Tabela1[[#This Row],[Country]],Table20[200m Butterfly Classification],"&gt;0")</f>
        <v>0</v>
      </c>
      <c r="JX173" s="6">
        <f>COUNTIFS(Table21[Country],Tabela1[[#This Row],[Country]],Table21[200m Butterfly Classification],"&gt;0")</f>
        <v>0</v>
      </c>
      <c r="JY173" s="6">
        <f>COUNTIFS(Table20[Country],Tabela1[[#This Row],[Country]],Table20[200m Medley Classification],"&gt;0")</f>
        <v>0</v>
      </c>
      <c r="JZ173" s="6">
        <f>COUNTIFS(Table21[Country],Tabela1[[#This Row],[Country]],Table21[200m Medley Classification],"&gt;0")</f>
        <v>0</v>
      </c>
      <c r="KA173" s="6">
        <f>COUNTIFS(Table20[Country],Tabela1[[#This Row],[Country]],Table20[400m Medley Classification],"&gt;0")</f>
        <v>0</v>
      </c>
      <c r="KB173" s="6">
        <f>COUNTIFS(Table21[Country],Tabela1[[#This Row],[Country]],Table21[400m Medley Classification],"&gt;0")</f>
        <v>0</v>
      </c>
      <c r="KC173" s="6">
        <f>COUNTIFS(Table78[Country],Tabela1[[#This Row],[Country]],Table78[Men''s 4x100m Freestyle Relay Classification],"&gt;0")</f>
        <v>0</v>
      </c>
      <c r="KD173" s="6">
        <f>COUNTIFS(Table78[Country],Tabela1[[#This Row],[Country]],Table78[Women''s 4x100m Freestyle Relay Classification],"&gt;0")</f>
        <v>0</v>
      </c>
      <c r="KE173" s="6">
        <f>COUNTIFS(Table78[Country],Tabela1[[#This Row],[Country]],Table78[Men''s 4x200m Freestyle Relay Classification],"&gt;0")</f>
        <v>0</v>
      </c>
      <c r="KF173" s="6">
        <f>COUNTIFS(Table78[Country],Tabela1[[#This Row],[Country]],Table78[Women''s 4x200m Freestyle Relay Classification],"&gt;0")</f>
        <v>0</v>
      </c>
      <c r="KG173" s="6">
        <f>COUNTIFS(Table78[Country],Tabela1[[#This Row],[Country]],Table78[Men''s 4x100m Medley Relay Classification],"&gt;0")</f>
        <v>0</v>
      </c>
      <c r="KH173" s="6">
        <f>COUNTIFS(Table78[Country],Tabela1[[#This Row],[Country]],Table78[Women''s 4x100m Medley Relay Classification],"&gt;0")</f>
        <v>0</v>
      </c>
      <c r="KI173" s="6">
        <f>COUNTIFS(Table78[Country],Tabela1[[#This Row],[Country]],Table78[Mixed 4x100m Medley Relay Classification],"&gt;0")</f>
        <v>0</v>
      </c>
      <c r="KJ173" s="6">
        <f>COUNTIFS(Table20[Country],Tabela1[[#This Row],[Country]],Table20[10km Open Water Classification],"&gt;0")</f>
        <v>0</v>
      </c>
      <c r="KK173" s="6">
        <f>COUNTIFS(Table21[Country],Tabela1[[#This Row],[Country]],Table21[10km Open Water Classification],"&gt;0")</f>
        <v>0</v>
      </c>
      <c r="KL173" s="6">
        <f>COUNTIFS(Table22[Country],Tabela1[[#This Row],[Country]],Table22[Classification],"&gt;0")</f>
        <v>0</v>
      </c>
      <c r="KM173" s="6">
        <f>COUNTIFS(Table30[Country],Tabela1[[#This Row],[Country]],Table30[Classification],"&gt;0")</f>
        <v>0</v>
      </c>
      <c r="KN173" s="6">
        <f>COUNTIFS(Table55[Country],Tabela1[[#This Row],[Country]],Table55[Men''s Classification],"&gt;0")</f>
        <v>0</v>
      </c>
      <c r="KO173" s="6">
        <f>COUNTIFS(Table55[Country],Tabela1[[#This Row],[Country]],Table55[Women''s Classification],"&gt;0")</f>
        <v>0</v>
      </c>
      <c r="KP173" s="6">
        <f>COUNTIFS(Table56[Country],Tabela1[[#This Row],[Country]],Table56[Mixed Classification],"&gt;0")</f>
        <v>0</v>
      </c>
      <c r="KQ173" s="6">
        <f>COUNTIFS(Table29[Country],Tabela1[[#This Row],[Country]],Table29[58kg Classification],"&gt;0")</f>
        <v>0</v>
      </c>
      <c r="KR173" s="6">
        <f>COUNTIFS(Table29[Country],Tabela1[[#This Row],[Country]],Table29[68kg Classification],"&gt;0")</f>
        <v>0</v>
      </c>
      <c r="KS173" s="6">
        <f>COUNTIFS(Table29[Country],Tabela1[[#This Row],[Country]],Table29[80kg Classification],"&gt;0")</f>
        <v>0</v>
      </c>
      <c r="KT173" s="6">
        <f>COUNTIFS(Table29[Country],Tabela1[[#This Row],[Country]],Table29[Plus 80kg Classification],"&gt;0")</f>
        <v>0</v>
      </c>
      <c r="KU173" s="6">
        <f>COUNTIFS(Table34[Country],Tabela1[[#This Row],[Country]],Table34[49kg Classification],"&gt;0")</f>
        <v>0</v>
      </c>
      <c r="KV173" s="6">
        <f>COUNTIFS(Table34[Country],Tabela1[[#This Row],[Country]],Table34[57kg Classification],"&gt;0")</f>
        <v>0</v>
      </c>
      <c r="KW173" s="6">
        <f>COUNTIFS(Table34[Country],Tabela1[[#This Row],[Country]],Table34[67kg Classification],"&gt;0")</f>
        <v>0</v>
      </c>
      <c r="KX173" s="6">
        <f>COUNTIFS(Table34[Country],Tabela1[[#This Row],[Country]],Table34[Plus 67kg Classification],"&gt;0")</f>
        <v>0</v>
      </c>
      <c r="KY173" s="6">
        <f>COUNTIFS(Table57[Country],Tabela1[[#This Row],[Country]],Table57[Classification],"&gt;0")</f>
        <v>0</v>
      </c>
      <c r="KZ173" s="6">
        <f>COUNTIFS(Table58[Country],Tabela1[[#This Row],[Country]],Table58[Classification],"&gt;0")</f>
        <v>0</v>
      </c>
      <c r="LA173" s="6">
        <f>COUNTIFS(Table79[Country],Tabela1[[#This Row],[Country]],Table79[Men''s Classification],"&gt;0")</f>
        <v>0</v>
      </c>
      <c r="LB173" s="6">
        <f>COUNTIFS(Table79[Country],Tabela1[[#This Row],[Country]],Table79[Women''s Classification],"&gt;0")</f>
        <v>0</v>
      </c>
      <c r="LC173" s="6">
        <f>COUNTIFS(Table79[Country],Tabela1[[#This Row],[Country]],Table79[Mixed Classification],"&gt;0")</f>
        <v>0</v>
      </c>
      <c r="LD173" s="6">
        <f>COUNTIFS(Table65[Country],Tabela1[[#This Row],[Country]],Table65[Classification],"&gt;0")</f>
        <v>0</v>
      </c>
      <c r="LE173" s="6">
        <f>COUNTIFS(Table59[Country],Tabela1[[#This Row],[Country]],Table59[Classification],"&gt;0")</f>
        <v>0</v>
      </c>
      <c r="LF173" s="6">
        <f>COUNTIFS(Table87[Country],Tabela1[[#This Row],[Country]],Table87[Mixed Relay Classification],"&gt;0")</f>
        <v>0</v>
      </c>
      <c r="LG173" s="6">
        <f>COUNTIFS(Table91949698100[Country],Tabela1[[#This Row],[Country]],Table91949698100[Men''s Classification],"&gt;0")</f>
        <v>0</v>
      </c>
      <c r="LH173" s="6">
        <f>COUNTIFS(Table91949698100[Country],Tabela1[[#This Row],[Country]],Table91949698100[Women''s Classification],"&gt;0")</f>
        <v>0</v>
      </c>
      <c r="LI173" s="6">
        <f>COUNTIFS(Table91949698100102[Country],Tabela1[[#This Row],[Country]],Table91949698100102[Men''s Classification],"&gt;0")</f>
        <v>0</v>
      </c>
      <c r="LJ173" s="6">
        <f>COUNTIFS(Table91949698100102[Country],Tabela1[[#This Row],[Country]],Table91949698100102[Women''s Classification],"&gt;0")</f>
        <v>0</v>
      </c>
      <c r="LK173" s="6">
        <f>COUNTIFS(Table23[Country],Tabela1[[#This Row],[Country]],Table23[61kg Classification],"&gt;0")</f>
        <v>0</v>
      </c>
      <c r="LL173" s="6">
        <f>COUNTIFS(Table23[Country],Tabela1[[#This Row],[Country]],Table23[73kg Classification],"&gt;0")</f>
        <v>0</v>
      </c>
      <c r="LM173" s="6">
        <f>COUNTIFS(Table23[Country],Tabela1[[#This Row],[Country]],Table23[89kg Classification],"&gt;0")</f>
        <v>0</v>
      </c>
      <c r="LN173" s="6">
        <f>COUNTIFS(Table23[Country],Tabela1[[#This Row],[Country]],Table23[102kg Classification],"&gt;0")</f>
        <v>0</v>
      </c>
      <c r="LO173" s="6">
        <f>COUNTIFS(Table23[Country],Tabela1[[#This Row],[Country]],Table23[Plus 102kg Classification],"&gt;0")</f>
        <v>0</v>
      </c>
      <c r="LP173" s="6">
        <f>COUNTIFS(Table28[Country],Tabela1[[#This Row],[Country]],Table28[49kg Classification],"&gt;0")</f>
        <v>0</v>
      </c>
      <c r="LQ173" s="6">
        <f>COUNTIFS(Table28[Country],Tabela1[[#This Row],[Country]],Table28[59kg Classification],"&gt;0")</f>
        <v>0</v>
      </c>
      <c r="LR173" s="6">
        <f>COUNTIFS(Table28[Country],Tabela1[[#This Row],[Country]],Table28[71kg Classification],"&gt;0")</f>
        <v>0</v>
      </c>
      <c r="LS173" s="6">
        <f>COUNTIFS(Table28[Country],Tabela1[[#This Row],[Country]],Table28[81kg Classification],"&gt;0")</f>
        <v>0</v>
      </c>
      <c r="LT173" s="6">
        <f>COUNTIFS(Table28[Country],Tabela1[[#This Row],[Country]],Table28[Plus 81kg Classification],"&gt;0")</f>
        <v>0</v>
      </c>
      <c r="LU173" s="6">
        <f>COUNTIFS(Table24[Country],Tabela1[[#This Row],[Country]],Table24[Freestyle 57kg Classification],"&gt;0")</f>
        <v>0</v>
      </c>
      <c r="LV173" s="6">
        <f>COUNTIFS(Table24[Country],Tabela1[[#This Row],[Country]],Table24[Freestyle 65kg Classification],"&gt;0")</f>
        <v>0</v>
      </c>
      <c r="LW173" s="6">
        <f>COUNTIFS(Table24[Country],Tabela1[[#This Row],[Country]],Table24[Freestyle 74kg Classification],"&gt;0")</f>
        <v>0</v>
      </c>
      <c r="LX173" s="6">
        <f>COUNTIFS(Table24[Country],Tabela1[[#This Row],[Country]],Table24[Freestyle 86kg Classification],"&gt;0")</f>
        <v>0</v>
      </c>
      <c r="LY173" s="6">
        <f>COUNTIFS(Table24[Country],Tabela1[[#This Row],[Country]],Table24[Freestyle 97kg Classification],"&gt;0")</f>
        <v>0</v>
      </c>
      <c r="LZ173" s="6">
        <f>COUNTIFS(Table24[Country],Tabela1[[#This Row],[Country]],Table24[Freestyle 125kg Classification],"&gt;0")</f>
        <v>0</v>
      </c>
      <c r="MA173" s="6">
        <f>COUNTIFS(Table24[Country],Tabela1[[#This Row],[Country]],Table24[Greco-Roman 60kg Classification],"&gt;0")</f>
        <v>0</v>
      </c>
      <c r="MB173" s="6">
        <f>COUNTIFS(Table24[Country],Tabela1[[#This Row],[Country]],Table24[Greco-Roman 67kg Classification],"&gt;0")</f>
        <v>0</v>
      </c>
      <c r="MC173" s="6">
        <f>COUNTIFS(Table24[Country],Tabela1[[#This Row],[Country]],Table24[Greco-Roman 77kg Classification],"&gt;0")</f>
        <v>0</v>
      </c>
      <c r="MD173" s="6">
        <f>COUNTIFS(Table24[Country],Tabela1[[#This Row],[Country]],Table24[Greco-Roman 87kg Classification],"&gt;0")</f>
        <v>0</v>
      </c>
      <c r="ME173" s="6">
        <f>COUNTIFS(Table24[Country],Tabela1[[#This Row],[Country]],Table24[Greco-Roman 97kg Classification],"&gt;0")</f>
        <v>0</v>
      </c>
      <c r="MF173" s="6">
        <f>COUNTIFS(Table24[Country],Tabela1[[#This Row],[Country]],Table24[Greco-Roman 130kg Classification],"&gt;0")</f>
        <v>0</v>
      </c>
      <c r="MG173" s="6">
        <f>COUNTIFS(Table31[Country],Tabela1[[#This Row],[Country]],Table31[50kg Classification],"&gt;0")</f>
        <v>0</v>
      </c>
      <c r="MH173" s="6">
        <f>COUNTIFS(Table31[Country],Tabela1[[#This Row],[Country]],Table31[53kg Classification],"&gt;0")</f>
        <v>0</v>
      </c>
      <c r="MI173" s="6">
        <f>COUNTIFS(Table31[Country],Tabela1[[#This Row],[Country]],Table31[57kg Classification],"&gt;0")</f>
        <v>0</v>
      </c>
      <c r="MJ173" s="6">
        <f>COUNTIFS(Table31[Country],Tabela1[[#This Row],[Country]],Table31[62kg Classification],"&gt;0")</f>
        <v>0</v>
      </c>
      <c r="MK173" s="6">
        <f>COUNTIFS(Table31[Country],Tabela1[[#This Row],[Country]],Table31[68kg Classification],"&gt;0")</f>
        <v>0</v>
      </c>
      <c r="ML173" s="6">
        <f>COUNTIFS(Table31[Country],Tabela1[[#This Row],[Country]],Table31[76kg Classification],"&gt;0")</f>
        <v>0</v>
      </c>
      <c r="MM173" s="6">
        <f>COUNTIFS(Table102[Country],Tabela1[[#This Row],[Country]],Table102[Downhill Classification],"&gt;0")</f>
        <v>0</v>
      </c>
      <c r="MN173" s="6">
        <f>COUNTIFS(Table102105[Country],Tabela1[[#This Row],[Country]],Table102105[Downhill Classification],"&gt;0")</f>
        <v>0</v>
      </c>
      <c r="MO173" s="6">
        <f>COUNTIFS(Table102[Country],Tabela1[[#This Row],[Country]],Table102[Giant Slalom Classification],"&gt;0")</f>
        <v>0</v>
      </c>
      <c r="MP173" s="6">
        <f>COUNTIFS(Table102105[Country],Tabela1[[#This Row],[Country]],Table102105[Giant Slalom Classification],"&gt;0")</f>
        <v>0</v>
      </c>
      <c r="MQ173" s="6">
        <f>COUNTIFS(Table102[Country],Tabela1[[#This Row],[Country]],Table102[Slalom Classification],"&gt;0")</f>
        <v>0</v>
      </c>
      <c r="MR173" s="6">
        <f>COUNTIFS(Table102105[Country],Tabela1[[#This Row],[Country]],Table102105[Slalom Classification],"&gt;0")</f>
        <v>0</v>
      </c>
      <c r="MS173" s="6">
        <f>COUNTIFS(Table102[Country],Tabela1[[#This Row],[Country]],Table102[Super-G Classification],"&gt;0")</f>
        <v>0</v>
      </c>
      <c r="MT173" s="6">
        <f>COUNTIFS(Table102105[Country],Tabela1[[#This Row],[Country]],Table102105[Super-G Classification],"&gt;0")</f>
        <v>0</v>
      </c>
      <c r="MU173" s="6">
        <f>COUNTIFS(Table105[Country],Tabela1[[#This Row],[Country]],Table105[Men''s Combined Classification],"&gt;0")</f>
        <v>0</v>
      </c>
      <c r="MV173" s="6">
        <f>COUNTIFS(Table105[Country],Tabela1[[#This Row],[Country]],Table105[Women''s Combined Classification],"&gt;0")</f>
        <v>0</v>
      </c>
      <c r="MW173" s="6">
        <f>COUNTIFS(Table106[Country],Tabela1[[#This Row],[Country]],Table106[Individual Classification],"&gt;0")</f>
        <v>0</v>
      </c>
      <c r="MX173" s="6">
        <f>COUNTIFS(Table106109[Country],Tabela1[[#This Row],[Country]],Table106109[Individual Classification],"&gt;0")</f>
        <v>0</v>
      </c>
      <c r="MY173" s="6">
        <f>COUNTIFS(Table106[Country],Tabela1[[#This Row],[Country]],Table106[Mass Start Classification],"&gt;0")</f>
        <v>0</v>
      </c>
      <c r="MZ173" s="6">
        <f>COUNTIFS(Table106109[Country],Tabela1[[#This Row],[Country]],Table106109[Mass Start Classification],"&gt;0")</f>
        <v>0</v>
      </c>
      <c r="NA173" s="6">
        <f>COUNTIFS(Table106[Country],Tabela1[[#This Row],[Country]],Table106[Pursuit Classification],"&gt;0")</f>
        <v>0</v>
      </c>
      <c r="NB173" s="6">
        <f>COUNTIFS(Table106109[Country],Tabela1[[#This Row],[Country]],Table106109[Pursuit Classification],"&gt;0")</f>
        <v>0</v>
      </c>
      <c r="NC173" s="6">
        <f>COUNTIFS(Table106[Country],Tabela1[[#This Row],[Country]],Table106[Sprint Classification],"&gt;0")</f>
        <v>0</v>
      </c>
      <c r="ND173" s="6">
        <f>COUNTIFS(Table106109[Country],Tabela1[[#This Row],[Country]],Table106109[Sprint Classification],"&gt;0")</f>
        <v>0</v>
      </c>
      <c r="NE173" s="6">
        <f>COUNTIFS(Table109[Country],Tabela1[[#This Row],[Country]],Table109[Men''s Relay Classification],"&gt;0")</f>
        <v>0</v>
      </c>
      <c r="NF173" s="6">
        <f>COUNTIFS(Table109[Country],Tabela1[[#This Row],[Country]],Table109[Women''s Relay Classification],"&gt;0")</f>
        <v>0</v>
      </c>
      <c r="NG173" s="6">
        <f>COUNTIFS(Table109[Country],Tabela1[[#This Row],[Country]],Table109[Mixed Relay Classification],"&gt;0")</f>
        <v>0</v>
      </c>
      <c r="NH173" s="6">
        <f>COUNTIFS(Table110[Country],Tabela1[[#This Row],[Country]],Table110[Monobob Classification],"&gt;0")</f>
        <v>0</v>
      </c>
      <c r="NI173" s="6">
        <f>COUNTIFS(Table111[Country],Tabela1[[#This Row],[Country]],Table111[Men''s Classification],"&gt;0")</f>
        <v>0</v>
      </c>
      <c r="NJ173" s="6">
        <f>COUNTIFS(Table111[Country],Tabela1[[#This Row],[Country]],Table111[Women''s Classification],"&gt;0")</f>
        <v>0</v>
      </c>
      <c r="NK173" s="6">
        <f>COUNTIFS(Table112[Country],Tabela1[[#This Row],[Country]],Table112[Men''s Four Classification],"&gt;0")</f>
        <v>0</v>
      </c>
      <c r="NL173" s="6">
        <f>COUNTIFS(Table113[Country],Tabela1[[#This Row],[Country]],Table113[Classical Classification],"&gt;0")</f>
        <v>0</v>
      </c>
      <c r="NM173" s="6">
        <f>COUNTIFS(Table113116[Country],Tabela1[[#This Row],[Country]],Table113116[Classical Classification],"&gt;0")</f>
        <v>0</v>
      </c>
      <c r="NN173" s="6">
        <f>COUNTIFS(Table113[Country],Tabela1[[#This Row],[Country]],Table113[Freestyle Classification],"&gt;0")</f>
        <v>0</v>
      </c>
      <c r="NO173" s="6">
        <f>COUNTIFS(Table113116[Country],Tabela1[[#This Row],[Country]],Table113116[Freestyle Classification],"&gt;0")</f>
        <v>0</v>
      </c>
      <c r="NP173" s="6">
        <f>COUNTIFS(Table117[Country],Tabela1[[#This Row],[Country]],Table117[Men''s Relay Classification],"&gt;0")</f>
        <v>0</v>
      </c>
      <c r="NQ173" s="6">
        <f>COUNTIFS(Table117[Country],Tabela1[[#This Row],[Country]],Table117[Women''s Relay Classification],"&gt;0")</f>
        <v>0</v>
      </c>
      <c r="NR173" s="6">
        <f>COUNTIFS(Table113[Country],Tabela1[[#This Row],[Country]],Table113[Skiathlon Classification],"&gt;0")</f>
        <v>0</v>
      </c>
      <c r="NS173" s="6">
        <f>COUNTIFS(Table113116[Country],Tabela1[[#This Row],[Country]],Table113116[Skiathlon Classification],"&gt;0")</f>
        <v>0</v>
      </c>
      <c r="NT173" s="6">
        <f>COUNTIFS(Table113[Country],Tabela1[[#This Row],[Country]],Table113[Sprint Classification],"&gt;0")</f>
        <v>0</v>
      </c>
      <c r="NU173" s="6">
        <f>COUNTIFS(Table113116[Country],Tabela1[[#This Row],[Country]],Table113116[Sprint Classification],"&gt;0")</f>
        <v>0</v>
      </c>
      <c r="NV173" s="6">
        <f>COUNTIFS(Table116[Country],Tabela1[[#This Row],[Country]],Table116[Men''s Team Sprint Classification],"&gt;0")</f>
        <v>0</v>
      </c>
      <c r="NW173" s="6">
        <f>COUNTIFS(Table116[Country],Tabela1[[#This Row],[Country]],Table116[Women''s Team Sprint Classification],"&gt;0")</f>
        <v>0</v>
      </c>
      <c r="NX173" s="6">
        <f>COUNTIFS(Table119[Country],Tabela1[[#This Row],[Country]],Table119[Men''s Classification],"&gt;0")</f>
        <v>0</v>
      </c>
      <c r="NY173" s="6">
        <f>COUNTIFS(Table119[Country],Tabela1[[#This Row],[Country]],Table119[Women''s Classification],"&gt;0")</f>
        <v>0</v>
      </c>
      <c r="NZ173" s="6">
        <f>COUNTIFS(Table118[Country],Tabela1[[#This Row],[Country]],Table118[Mixed Classification],"&gt;0")</f>
        <v>0</v>
      </c>
      <c r="OA173" s="6">
        <f>COUNTIFS(Table120[Country],Tabela1[[#This Row],[Country]],Table120[Classification],"&gt;0")</f>
        <v>0</v>
      </c>
      <c r="OB173" s="6">
        <f>COUNTIFS(Table120123[Country],Tabela1[[#This Row],[Country]],Table120123[Classification],"&gt;0")</f>
        <v>0</v>
      </c>
      <c r="OC173" s="6">
        <f>COUNTIFS(Table123[Country],Tabela1[[#This Row],[Country]],Table123[Ice Dance Classification],"&gt;0")</f>
        <v>0</v>
      </c>
      <c r="OD173" s="6">
        <f>COUNTIFS(Table123[Country],Tabela1[[#This Row],[Country]],Table123[Pair Skating Classification],"&gt;0")</f>
        <v>0</v>
      </c>
      <c r="OE173" s="6">
        <f>COUNTIFS(Table124[Country],Tabela1[[#This Row],[Country]],Table124[Mixed Classification],"&gt;0")</f>
        <v>0</v>
      </c>
      <c r="OF173" s="6">
        <f>COUNTIFS(Table125[Country],Tabela1[[#This Row],[Country]],Table125[Aerials Classification],"&gt;0")</f>
        <v>0</v>
      </c>
      <c r="OG173" s="6">
        <f>COUNTIFS(Table125128[Country],Tabela1[[#This Row],[Country]],Table125128[Aerials Classification],"&gt;0")</f>
        <v>0</v>
      </c>
      <c r="OH173" s="6">
        <f>COUNTIFS(Table128[Country],Tabela1[[#This Row],[Country]],Table128[Mixed Aerials Classification],"&gt;0")</f>
        <v>0</v>
      </c>
      <c r="OI173" s="6">
        <f>COUNTIFS(Table125[Country],Tabela1[[#This Row],[Country]],Table125[Big Air Classification],"&gt;0")</f>
        <v>0</v>
      </c>
      <c r="OJ173" s="6">
        <f>COUNTIFS(Table125128[Country],Tabela1[[#This Row],[Country]],Table125128[Big Air Classification],"&gt;0")</f>
        <v>0</v>
      </c>
      <c r="OK173" s="6">
        <f>COUNTIFS(Table125[Country],Tabela1[[#This Row],[Country]],Table125[Dual Moguls Classification],"&gt;0")</f>
        <v>0</v>
      </c>
      <c r="OL173" s="6">
        <f>COUNTIFS(Table125128[Country],Tabela1[[#This Row],[Country]],Table125128[Dual Moguls Classification],"&gt;0")</f>
        <v>0</v>
      </c>
      <c r="OM173" s="6">
        <f>COUNTIFS(Table125[Country],Tabela1[[#This Row],[Country]],Table125[Halfpipe Classification],"&gt;0")</f>
        <v>0</v>
      </c>
      <c r="ON173" s="6">
        <f>COUNTIFS(Table125128[Country],Tabela1[[#This Row],[Country]],Table125128[Halfpipe Classification],"&gt;0")</f>
        <v>0</v>
      </c>
      <c r="OO173" s="6">
        <f>COUNTIFS(Table125[Country],Tabela1[[#This Row],[Country]],Table125[Moguls Classification],"&gt;0")</f>
        <v>0</v>
      </c>
      <c r="OP173" s="6">
        <f>COUNTIFS(Table125128[Country],Tabela1[[#This Row],[Country]],Table125128[Moguls Classification],"&gt;0")</f>
        <v>0</v>
      </c>
      <c r="OQ173" s="6">
        <f>COUNTIFS(Table125[Country],Tabela1[[#This Row],[Country]],Table125[Ski Cross Classification],"&gt;0")</f>
        <v>0</v>
      </c>
      <c r="OR173" s="6">
        <f>COUNTIFS(Table125128[Country],Tabela1[[#This Row],[Country]],Table125128[Ski Cross Classification],"&gt;0")</f>
        <v>0</v>
      </c>
      <c r="OS173" s="6">
        <f>COUNTIFS(Table125[Country],Tabela1[[#This Row],[Country]],Table125[Slopestyle Classification],"&gt;0")</f>
        <v>0</v>
      </c>
      <c r="OT173" s="6">
        <f>COUNTIFS(Table125128[Country],Tabela1[[#This Row],[Country]],Table125128[Slopestyle Classification],"&gt;0")</f>
        <v>0</v>
      </c>
      <c r="OU173" s="6">
        <f>COUNTIFS(Table119131[Country],Tabela1[[#This Row],[Country]],Table119131[Men''s Classification],"&gt;0")</f>
        <v>0</v>
      </c>
      <c r="OV173" s="6">
        <f>COUNTIFS(Table119131[Country],Tabela1[[#This Row],[Country]],Table119131[Women''s Classification],"&gt;0")</f>
        <v>0</v>
      </c>
      <c r="OW173" s="6">
        <f>COUNTIFS(Table131[Country],Tabela1[[#This Row],[Country]],Table131[Classification],"&gt;0")</f>
        <v>0</v>
      </c>
      <c r="OX173" s="6">
        <f>COUNTIFS(Table131134[Country],Tabela1[[#This Row],[Country]],Table131134[Classification],"&gt;0")</f>
        <v>0</v>
      </c>
      <c r="OY173" s="6">
        <f>COUNTIFS(Table134[Country],Tabela1[[#This Row],[Country]],Table134[Men''s Classification],"&gt;0")</f>
        <v>0</v>
      </c>
      <c r="OZ173" s="6">
        <f>COUNTIFS(Table134[Country],Tabela1[[#This Row],[Country]],Table134[Women''s Classification],"&gt;0")</f>
        <v>0</v>
      </c>
      <c r="PA173" s="6">
        <f>COUNTIFS(Table135[Country],Tabela1[[#This Row],[Country]],Table135[Mixed Relay Classification],"&gt;0")</f>
        <v>0</v>
      </c>
      <c r="PB173" s="6">
        <f>COUNTIFS(Table136[Country],Tabela1[[#This Row],[Country]],Table136[Individual Classification],"&gt;0")</f>
        <v>0</v>
      </c>
      <c r="PC173" s="6">
        <f>COUNTIFS(Table136[Country],Tabela1[[#This Row],[Country]],Table136[Sprint Classification],"&gt;0")</f>
        <v>0</v>
      </c>
      <c r="PD173" s="6">
        <f>COUNTIFS(Table137[Country],Tabela1[[#This Row],[Country]],Table137[Men''s Team Sprint Large Hill Classification],"&gt;0")</f>
        <v>0</v>
      </c>
      <c r="PE173" s="6">
        <f>COUNTIFS(Table138[Country],Tabela1[[#This Row],[Country]],Table138[500m Classification],"&gt;0")</f>
        <v>0</v>
      </c>
      <c r="PF173" s="6">
        <f>COUNTIFS(Table138141[Country],Tabela1[[#This Row],[Country]],Table138141[500m Classification],"&gt;0")</f>
        <v>0</v>
      </c>
      <c r="PG173" s="6">
        <f>COUNTIFS(Table138[Country],Tabela1[[#This Row],[Country]],Table138[1000m Classification],"&gt;0")</f>
        <v>0</v>
      </c>
      <c r="PH173" s="6">
        <f>COUNTIFS(Table138141[Country],Tabela1[[#This Row],[Country]],Table138141[1000m Classification],"&gt;0")</f>
        <v>0</v>
      </c>
      <c r="PI173" s="6">
        <f>COUNTIFS(Table138[Country],Tabela1[[#This Row],[Country]],Table138[1500m Classification],"&gt;0")</f>
        <v>0</v>
      </c>
      <c r="PJ173" s="6">
        <f>COUNTIFS(Table138141[Country],Tabela1[[#This Row],[Country]],Table138141[1500m Classification],"&gt;0")</f>
        <v>0</v>
      </c>
      <c r="PK173" s="6">
        <f>COUNTIFS(Table141[Country],Tabela1[[#This Row],[Country]],Table141[Men''s 5000m Relay Classification],"&gt;0")</f>
        <v>0</v>
      </c>
      <c r="PL173" s="6">
        <f>COUNTIFS(Table141[Country],Tabela1[[#This Row],[Country]],Table141[Women''s 3000m Relay Classification],"&gt;0")</f>
        <v>0</v>
      </c>
      <c r="PM173" s="6">
        <f>COUNTIFS(Table141[Country],Tabela1[[#This Row],[Country]],Table141[Mixed 2000m Relay Classification],"&gt;0")</f>
        <v>0</v>
      </c>
      <c r="PN173" s="6">
        <f>COUNTIFS(Table142[Country],Tabela1[[#This Row],[Country]],Table142[Classification],"&gt;0")</f>
        <v>0</v>
      </c>
      <c r="PO173" s="6">
        <f>COUNTIFS(Table142145[Country],Tabela1[[#This Row],[Country]],Table142145[Classification],"&gt;0")</f>
        <v>0</v>
      </c>
      <c r="PP173" s="6">
        <f>COUNTIFS(Tabela15[Country],Tabela1[[#This Row],[Country]],Tabela15[Mixed Team Classification],"&gt;0")</f>
        <v>0</v>
      </c>
      <c r="PQ173" s="6">
        <f>COUNTIFS(Table145[Country],Tabela1[[#This Row],[Country]],Table145[Large Hill Classification],"&gt;0")</f>
        <v>0</v>
      </c>
      <c r="PR173" s="6">
        <f>COUNTIFS(Table145[Country],Tabela1[[#This Row],[Country]],Table145[Normal Hill Classification],"&gt;0")</f>
        <v>0</v>
      </c>
      <c r="PS173" s="6">
        <f>COUNTIFS(Table145148[Country],Tabela1[[#This Row],[Country]],Table145148[Large Hill Classification],"&gt;0")</f>
        <v>0</v>
      </c>
      <c r="PT173" s="6">
        <f>COUNTIFS(Table145148[Country],Tabela1[[#This Row],[Country]],Table145148[Normal Hill Classification],"&gt;0")</f>
        <v>0</v>
      </c>
      <c r="PU173" s="6">
        <f>COUNTIFS(Table148[Country],Tabela1[[#This Row],[Country]],Table148[Men''s Super Team Classification],"&gt;0")</f>
        <v>0</v>
      </c>
      <c r="PV173" s="6">
        <f>COUNTIFS(Tabela114[Country],Tabela1[[#This Row],[Country]],Tabela114[Mixed Normal Hill Classification],"&gt;0")</f>
        <v>0</v>
      </c>
      <c r="PW173" s="6">
        <f>COUNTIFS(Tabela50[Country],Tabela1[[#This Row],[Country]],Tabela50[Sprint Classification],"&gt;0")</f>
        <v>0</v>
      </c>
      <c r="PX173" s="6">
        <f>COUNTIFS(Tabela50101[Country],Tabela1[[#This Row],[Country]],Tabela50101[Sprint Classification],"&gt;0")</f>
        <v>0</v>
      </c>
      <c r="PY173" s="6">
        <f>COUNTIFS(Tabela103[Country],Tabela1[[#This Row],[Country]],Tabela103[Mixed Relay Classification],"&gt;0")</f>
        <v>0</v>
      </c>
      <c r="PZ173" s="6">
        <f>COUNTIFS(Table149[Country],Tabela1[[#This Row],[Country]],Table149[Big Air Classification],"&gt;0")</f>
        <v>0</v>
      </c>
      <c r="QA173" s="6">
        <f>COUNTIFS(Table149152[Country],Tabela1[[#This Row],[Country]],Table149152[Big Air Classification],"&gt;0")</f>
        <v>0</v>
      </c>
      <c r="QB173" s="6">
        <f>COUNTIFS(Table149[Country],Tabela1[[#This Row],[Country]],Table149[Halfpipe Classification],"&gt;0")</f>
        <v>0</v>
      </c>
      <c r="QC173" s="6">
        <f>COUNTIFS(Table149152[Country],Tabela1[[#This Row],[Country]],Table149152[Halfpipe Classification],"&gt;0")</f>
        <v>0</v>
      </c>
      <c r="QD173" s="6">
        <f>COUNTIFS(Table149[Country],Tabela1[[#This Row],[Country]],Table149[Parallel Giant Slalom Classification],"&gt;0")</f>
        <v>0</v>
      </c>
      <c r="QE173" s="6">
        <f>COUNTIFS(Table149152[Country],Tabela1[[#This Row],[Country]],Table149152[Parallel Giant Slalom Classification],"&gt;0")</f>
        <v>0</v>
      </c>
      <c r="QF173" s="6">
        <f>COUNTIFS(Table149[Country],Tabela1[[#This Row],[Country]],Table149[Slopestyle Classification],"&gt;0")</f>
        <v>0</v>
      </c>
      <c r="QG173" s="6">
        <f>COUNTIFS(Table149152[Country],Tabela1[[#This Row],[Country]],Table149152[Slopestyle Classification],"&gt;0")</f>
        <v>0</v>
      </c>
      <c r="QH173" s="6">
        <f>COUNTIFS(Table149[Country],Tabela1[[#This Row],[Country]],Table149[Snowboard Cross Classification],"&gt;0")</f>
        <v>0</v>
      </c>
      <c r="QI173" s="6">
        <f>COUNTIFS(Table149152[Country],Tabela1[[#This Row],[Country]],Table149152[Snowboard Cross Classification],"&gt;0")</f>
        <v>0</v>
      </c>
      <c r="QJ173" s="6">
        <f>COUNTIFS(Table153[Country],Tabela1[[#This Row],[Country]],Table153[Mixed Team Snowboard Cross Classification],"&gt;0")</f>
        <v>0</v>
      </c>
      <c r="QK173" s="6">
        <f>COUNTIFS(Table154[Country],Tabela1[[#This Row],[Country]],Table154[500m Classification],"&gt;0")</f>
        <v>0</v>
      </c>
      <c r="QL173" s="6">
        <f>COUNTIFS(Table154157[Country],Tabela1[[#This Row],[Country]],Table154157[500m Classification],"&gt;0")</f>
        <v>0</v>
      </c>
      <c r="QM173" s="6">
        <f>COUNTIFS(Table154[Country],Tabela1[[#This Row],[Country]],Table154[1000m Classification],"&gt;0")</f>
        <v>0</v>
      </c>
      <c r="QN173" s="6">
        <f>COUNTIFS(Table154157[Country],Tabela1[[#This Row],[Country]],Table154157[1000m Classification],"&gt;0")</f>
        <v>0</v>
      </c>
      <c r="QO173" s="6">
        <f>COUNTIFS(Table154[Country],Tabela1[[#This Row],[Country]],Table154[1500m Classification],"&gt;0")</f>
        <v>0</v>
      </c>
      <c r="QP173" s="6">
        <f>COUNTIFS(Table154157[Country],Tabela1[[#This Row],[Country]],Table154157[1500m Classification],"&gt;0")</f>
        <v>0</v>
      </c>
      <c r="QQ173" s="6">
        <f>COUNTIFS(Table154157[Country],Tabela1[[#This Row],[Country]],Table154157[3000m Classification],"&gt;0")</f>
        <v>0</v>
      </c>
      <c r="QR173" s="6">
        <f>COUNTIFS(Table154[Country],Tabela1[[#This Row],[Country]],Table154[5000m Classification],"&gt;0")</f>
        <v>0</v>
      </c>
      <c r="QS173" s="6">
        <f>COUNTIFS(Table154157[Country],Tabela1[[#This Row],[Country]],Table154157[5000m Classification],"&gt;0")</f>
        <v>0</v>
      </c>
      <c r="QT173" s="6">
        <f>COUNTIFS(Table154[Country],Tabela1[[#This Row],[Country]],Table154[10000m Classification],"&gt;0")</f>
        <v>0</v>
      </c>
      <c r="QU173" s="6">
        <f>COUNTIFS(Table154[Country],Tabela1[[#This Row],[Country]],Table154[Mass Start Classification],"&gt;0")</f>
        <v>0</v>
      </c>
      <c r="QV173" s="6">
        <f>COUNTIFS(Table154157[Country],Tabela1[[#This Row],[Country]],Table154157[Mass Start Classification],"&gt;0")</f>
        <v>0</v>
      </c>
      <c r="QW173" s="6">
        <f>COUNTIFS(Table157[Country],Tabela1[[#This Row],[Country]],Table157[Men''s Pursuit Classification],"&gt;0")</f>
        <v>0</v>
      </c>
      <c r="QX173" s="6">
        <f>COUNTIFS(Table157[Country],Tabela1[[#This Row],[Country]],Table157[Women''s Pursuit Classification],"&gt;0")</f>
        <v>0</v>
      </c>
      <c r="QY173" s="4" t="s">
        <v>557</v>
      </c>
    </row>
    <row r="174" spans="1:467" x14ac:dyDescent="0.3">
      <c r="A174" s="6">
        <v>173</v>
      </c>
      <c r="B174" s="6" t="s">
        <v>564</v>
      </c>
      <c r="C174" t="e" vm="173">
        <f>IF(ISBLANK(Tabela1[[#This Row],[Image Link]]), "", _xlfn.IMAGE(Tabela1[[#This Row],[Image Link]],1,1))</f>
        <v>#VALUE!</v>
      </c>
      <c r="D174" s="6">
        <f>SUM(Tabela1[[#This Row],[Archery - Men''s Individual Recurve]:[Speed Skating - Women''s Team Pursuit]])</f>
        <v>0</v>
      </c>
      <c r="E174" s="6">
        <f>COUNTIF(Tabela1[[#This Row],[Archery - Men''s Individual Recurve]:[Speed Skating - Women''s Team Pursuit]],"&gt;0")</f>
        <v>0</v>
      </c>
      <c r="F174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74" s="6">
        <f>SUM(Tabela1[[#This Row],[Archery - Men''s Individual Recurve]:[Wrestling - Women''s Freestyle 76kg]])</f>
        <v>0</v>
      </c>
      <c r="H174" s="6">
        <f>SUM(Tabela1[[#This Row],[Alpine Skiing - Men''s Downhill]:[Speed Skating - Women''s Team Pursuit]])</f>
        <v>0</v>
      </c>
      <c r="I174" s="6">
        <f>Tabela1[[#This Row],[Summer Gold Medals]]+Tabela1[[#This Row],[Winter Gold Medals]]</f>
        <v>0</v>
      </c>
      <c r="J174" s="6">
        <f>Tabela1[[#This Row],[Summer Silver Medals]]+Tabela1[[#This Row],[Winter Silver Medals]]</f>
        <v>0</v>
      </c>
      <c r="K174" s="6">
        <f>Tabela1[[#This Row],[Summer Bronze Medals]]+Tabela1[[#This Row],[Winter Bronze Medals]]</f>
        <v>0</v>
      </c>
      <c r="L174" s="6">
        <f>SUM(Tabela1[[#This Row],[Total Gold Medals]:[Total Bronze Medals]])</f>
        <v>0</v>
      </c>
      <c r="M174" s="6"/>
      <c r="N174" s="6"/>
      <c r="O174" s="6"/>
      <c r="P174" s="6">
        <f>SUM(Tabela1[[#This Row],[Summer Gold Medals]:[Summer Bronze Medals]])</f>
        <v>0</v>
      </c>
      <c r="Q174" s="6"/>
      <c r="R174" s="6"/>
      <c r="S174" s="6"/>
      <c r="T174" s="6">
        <f>Tabela1[[#This Row],[Winter Gold Medals]]+Tabela1[[#This Row],[Winter Silver Medals]]+Tabela1[[#This Row],[Winter Bronze Medals]]</f>
        <v>0</v>
      </c>
      <c r="U174" s="7" t="e">
        <f>Tabela1[[#This Row],[Total Medals]]/Tabela1[[#This Row],[Total Quotas]]</f>
        <v>#DIV/0!</v>
      </c>
      <c r="V174" s="6">
        <f>COUNTIFS(Table3[Country],Tabela1[[#This Row],[Country]],Table3[Recurve Classification],"&gt;0")</f>
        <v>0</v>
      </c>
      <c r="W174" s="6">
        <f>COUNTIFS(Table33[Country],Tabela1[[#This Row],[Country]],Table33[Recurve Classification],"&gt;0")</f>
        <v>0</v>
      </c>
      <c r="X174" s="6">
        <f>COUNTIFS(Table35[Country],Tabela1[[#This Row],[Country]],Table35[Men''s Team Recurve Classification],"&gt;0")</f>
        <v>0</v>
      </c>
      <c r="Y174" s="6">
        <f>COUNTIFS(Table35[Country],Tabela1[[#This Row],[Country]],Table35[Women''s Team Recurve Classification],"&gt;0")</f>
        <v>0</v>
      </c>
      <c r="Z174" s="6">
        <f>COUNTIFS(Tabela88[Country],Tabela1[[#This Row],[Country]],Tabela88[Mixed Team Recurve Classification],"&gt;0")</f>
        <v>0</v>
      </c>
      <c r="AA174" s="6">
        <f>COUNTIFS(Table36[Country],Tabela1[[#This Row],[Country]],Table36[Classification],"&gt;0")</f>
        <v>0</v>
      </c>
      <c r="AB174" s="6">
        <f>COUNTIFS(Table37[Country],Tabela1[[#This Row],[Country]],Table37[Classification],"&gt;0")</f>
        <v>0</v>
      </c>
      <c r="AC174" s="6">
        <f>COUNTIFS(Table4[Country],Tabela1[[#This Row],[Country]],Table4[100m Classification],"&gt;0")</f>
        <v>0</v>
      </c>
      <c r="AD174" s="6">
        <f>COUNTIFS(Table5[Country],Tabela1[[#This Row],[Country]],Table5[100m Classification],"&gt;0")</f>
        <v>0</v>
      </c>
      <c r="AE174" s="6">
        <f>COUNTIFS(Table4[Country],Tabela1[[#This Row],[Country]],Table4[200m Classification],"&gt;0")</f>
        <v>0</v>
      </c>
      <c r="AF174" s="6">
        <f>COUNTIFS(Table5[Country],Tabela1[[#This Row],[Country]],Table5[200m Classification],"&gt;0")</f>
        <v>0</v>
      </c>
      <c r="AG174" s="6">
        <f>COUNTIFS(Table4[Country],Tabela1[[#This Row],[Country]],Table4[400m Classification],"&gt;0")</f>
        <v>0</v>
      </c>
      <c r="AH174" s="6">
        <f>COUNTIFS(Table5[Country],Tabela1[[#This Row],[Country]],Table5[400m Classification],"&gt;0")</f>
        <v>0</v>
      </c>
      <c r="AI174" s="6">
        <f>COUNTIFS(Table4[Country],Tabela1[[#This Row],[Country]],Table4[800m Classification],"&gt;0")</f>
        <v>0</v>
      </c>
      <c r="AJ174" s="6">
        <f>COUNTIFS(Table5[Country],Tabela1[[#This Row],[Country]],Table5[800m Classification],"&gt;0")</f>
        <v>0</v>
      </c>
      <c r="AK174" s="6">
        <f>COUNTIFS(Table4[Country],Tabela1[[#This Row],[Country]],Table4[1500m Classification],"&gt;0")</f>
        <v>0</v>
      </c>
      <c r="AL174" s="6">
        <f>COUNTIFS(Table5[Country],Tabela1[[#This Row],[Country]],Table5[1500m Classification],"&gt;0")</f>
        <v>0</v>
      </c>
      <c r="AM174" s="6">
        <f>COUNTIFS(Table4[Country],Tabela1[[#This Row],[Country]],Table4[5000m Classification],"&gt;0")</f>
        <v>0</v>
      </c>
      <c r="AN174" s="6">
        <f>COUNTIFS(Table5[Country],Tabela1[[#This Row],[Country]],Table5[5000m Classification],"&gt;0")</f>
        <v>0</v>
      </c>
      <c r="AO174" s="6">
        <f>COUNTIFS(Table4[Country],Tabela1[[#This Row],[Country]],Table4[10000m Classification],"&gt;0")</f>
        <v>0</v>
      </c>
      <c r="AP174" s="6">
        <f>COUNTIFS(Table5[Country],Tabela1[[#This Row],[Country]],Table5[10000m Classification],"&gt;0")</f>
        <v>0</v>
      </c>
      <c r="AQ174" s="6">
        <f>COUNTIFS(Table4[Country],Tabela1[[#This Row],[Country]],Table4[110m Hurdles Classification],"&gt;0")</f>
        <v>0</v>
      </c>
      <c r="AR174" s="6">
        <f>COUNTIFS(Table5[Country],Tabela1[[#This Row],[Country]],Table5[100m Hurdles Classification],"&gt;0")</f>
        <v>0</v>
      </c>
      <c r="AS174" s="6">
        <f>COUNTIFS(Table4[Country],Tabela1[[#This Row],[Country]],Table4[400m Hurdles Classification],"&gt;0")</f>
        <v>0</v>
      </c>
      <c r="AT174" s="6">
        <f>COUNTIFS(Table5[Country],Tabela1[[#This Row],[Country]],Table5[400m Hurdles Classification],"&gt;0")</f>
        <v>0</v>
      </c>
      <c r="AU174" s="6">
        <f>COUNTIFS(Table4[Country],Tabela1[[#This Row],[Country]],Table4[3000m Steeplechase Classification],"&gt;0")</f>
        <v>0</v>
      </c>
      <c r="AV174" s="6">
        <f>COUNTIFS(Table5[Country],Tabela1[[#This Row],[Country]],Table5[3000m Steeplechase Classification],"&gt;0")</f>
        <v>0</v>
      </c>
      <c r="AW174" s="6">
        <f>COUNTIFS(Table27[Country],Tabela1[[#This Row],[Country]],Table27[Men''s 4x100m Relay Classification],"&gt;0")</f>
        <v>0</v>
      </c>
      <c r="AX174" s="6">
        <f>COUNTIFS(Table27[Country],Tabela1[[#This Row],[Country]],Table27[Women''s 4x100m Relay Classification],"&gt;0")</f>
        <v>0</v>
      </c>
      <c r="AY174" s="6">
        <f>COUNTIFS(Table27[Country],Tabela1[[#This Row],[Country]],Table27[Men''s 4x400m Relay Classification],"&gt;0")</f>
        <v>0</v>
      </c>
      <c r="AZ174" s="6">
        <f>COUNTIFS(Table27[Country],Tabela1[[#This Row],[Country]],Table27[Women''s 4x400m Relay Classification],"&gt;0")</f>
        <v>0</v>
      </c>
      <c r="BA174" s="6">
        <f>COUNTIFS(Table27[Country],Tabela1[[#This Row],[Country]],Table27[Mixed 4x400m Relay Classification],"&gt;0")</f>
        <v>0</v>
      </c>
      <c r="BB174" s="6">
        <f>COUNTIFS(Table4[Country],Tabela1[[#This Row],[Country]],Table4[Marathon Classification],"&gt;0")</f>
        <v>0</v>
      </c>
      <c r="BC174" s="6">
        <f>COUNTIFS(Table5[Country],Tabela1[[#This Row],[Country]],Table5[Marathon Classification],"&gt;0")</f>
        <v>0</v>
      </c>
      <c r="BD174" s="6">
        <f>COUNTIFS(Table4[Country],Tabela1[[#This Row],[Country]],Table4[20km Race Walk Classification],"&gt;0")</f>
        <v>0</v>
      </c>
      <c r="BE174" s="6">
        <f>COUNTIFS(Table5[Country],Tabela1[[#This Row],[Country]],Table5[20km Race Walk Classification],"&gt;0")</f>
        <v>0</v>
      </c>
      <c r="BF174" s="6">
        <f>COUNTIFS(Tabela96[Country],Tabela1[[#This Row],[Country]],Tabela96[Mixed Marathon Race Walk Relay Classification],"&gt;0")</f>
        <v>0</v>
      </c>
      <c r="BG174" s="6">
        <f>COUNTIFS(Table4[Country],Tabela1[[#This Row],[Country]],Table4[Discus Throw Classification],"&gt;0")</f>
        <v>0</v>
      </c>
      <c r="BH174" s="6">
        <f>COUNTIFS(Table5[Country],Tabela1[[#This Row],[Country]],Table5[Discus Throw Classification],"&gt;0")</f>
        <v>0</v>
      </c>
      <c r="BI174" s="6">
        <f>COUNTIFS(Table4[Country],Tabela1[[#This Row],[Country]],Table4[Hammer Throw Classification],"&gt;0")</f>
        <v>0</v>
      </c>
      <c r="BJ174" s="6">
        <f>COUNTIFS(Table5[Country],Tabela1[[#This Row],[Country]],Table5[Hammer Throw Classification],"&gt;0")</f>
        <v>0</v>
      </c>
      <c r="BK174" s="6">
        <f>COUNTIFS(Table4[Country],Tabela1[[#This Row],[Country]],Table4[High Jump Classification],"&gt;0")</f>
        <v>0</v>
      </c>
      <c r="BL174" s="6">
        <f>COUNTIFS(Table5[Country],Tabela1[[#This Row],[Country]],Table5[High Jump Classification],"&gt;0")</f>
        <v>0</v>
      </c>
      <c r="BM174" s="6">
        <f>COUNTIFS(Table4[Country],Tabela1[[#This Row],[Country]],Table4[Javelin Throw Classification],"&gt;0")</f>
        <v>0</v>
      </c>
      <c r="BN174" s="6">
        <f>COUNTIFS(Table5[Country],Tabela1[[#This Row],[Country]],Table5[Javelin Throw Classification],"&gt;0")</f>
        <v>0</v>
      </c>
      <c r="BO174" s="6">
        <f>COUNTIFS(Table4[Country],Tabela1[[#This Row],[Country]],Table4[Long Jump Classification],"&gt;0")</f>
        <v>0</v>
      </c>
      <c r="BP174" s="6">
        <f>COUNTIFS(Table5[Country],Tabela1[[#This Row],[Country]],Table5[Long Jump Classification],"&gt;0")</f>
        <v>0</v>
      </c>
      <c r="BQ174" s="6">
        <f>COUNTIFS(Table4[Country],Tabela1[[#This Row],[Country]],Table4[Pole Vault Classification],"&gt;0")</f>
        <v>0</v>
      </c>
      <c r="BR174" s="6">
        <f>COUNTIFS(Table5[Country],Tabela1[[#This Row],[Country]],Table5[Pole Vault Classification],"&gt;0")</f>
        <v>0</v>
      </c>
      <c r="BS174" s="6">
        <f>COUNTIFS(Table4[Country],Tabela1[[#This Row],[Country]],Table4[Shot Put Classification],"&gt;0")</f>
        <v>0</v>
      </c>
      <c r="BT174" s="6">
        <f>COUNTIFS(Table5[Country],Tabela1[[#This Row],[Country]],Table5[Shot Put Classification],"&gt;0")</f>
        <v>0</v>
      </c>
      <c r="BU174" s="6">
        <f>COUNTIFS(Table4[Country],Tabela1[[#This Row],[Country]],Table4[Triple Jump Classification],"&gt;0")</f>
        <v>0</v>
      </c>
      <c r="BV174" s="6">
        <f>COUNTIFS(Table5[Country],Tabela1[[#This Row],[Country]],Table5[Triple Jump Classification],"&gt;0")</f>
        <v>0</v>
      </c>
      <c r="BW174" s="6">
        <f>COUNTIFS(Table4[Country],Tabela1[[#This Row],[Country]],Table4[Decathlon Classification],"&gt;0")</f>
        <v>0</v>
      </c>
      <c r="BX174" s="6">
        <f>COUNTIFS(Table5[Country],Tabela1[[#This Row],[Country]],Table5[Heptathlon Classification],"&gt;0")</f>
        <v>0</v>
      </c>
      <c r="BY174" s="6">
        <f>COUNTIFS(Table61[Country],Tabela1[[#This Row],[Country]],Table61[Classification],"&gt;0")</f>
        <v>0</v>
      </c>
      <c r="BZ174" s="6">
        <f>COUNTIFS(Table38[Country],Tabela1[[#This Row],[Country]],Table38[Classification],"&gt;0")</f>
        <v>0</v>
      </c>
      <c r="CA174" s="6">
        <f>COUNTIFS(Table39[Country],Tabela1[[#This Row],[Country]],Table39[Men''s Classification],"&gt;0")</f>
        <v>0</v>
      </c>
      <c r="CB174" s="6">
        <f>COUNTIFS(Table39[Country],Tabela1[[#This Row],[Country]],Table39[Women''s Classification],"&gt;0")</f>
        <v>0</v>
      </c>
      <c r="CC174" s="6">
        <f>COUNTIFS(Table39[Country],Tabela1[[#This Row],[Country]],Table39[Mixed Classification],"&gt;0")</f>
        <v>0</v>
      </c>
      <c r="CD174" s="6">
        <f>COUNTIFS(Table89[Country],Tabela1[[#This Row],[Country]],Table89[Men''s Classification],"&gt;0")</f>
        <v>0</v>
      </c>
      <c r="CE174" s="6">
        <f>COUNTIFS(Table89[Country],Tabela1[[#This Row],[Country]],Table89[Women''s Classification],"&gt;0")</f>
        <v>0</v>
      </c>
      <c r="CF174" s="6">
        <f>COUNTIFS(Table90[Country],Tabela1[[#This Row],[Country]],Table90[Men''s Classification],"&gt;0")</f>
        <v>0</v>
      </c>
      <c r="CG174" s="6">
        <f>COUNTIFS(Table90[Country],Tabela1[[#This Row],[Country]],Table90[Women''s Classification],"&gt;0")</f>
        <v>0</v>
      </c>
      <c r="CH174" s="6">
        <f>COUNTIFS(Table60[Country],Tabela1[[#This Row],[Country]],Table60[Men''s Classification],"&gt;0")</f>
        <v>0</v>
      </c>
      <c r="CI174" s="6">
        <f>COUNTIFS(Table60[Country],Tabela1[[#This Row],[Country]],Table60[Women''s Classification],"&gt;0")</f>
        <v>0</v>
      </c>
      <c r="CJ174" s="6">
        <f>COUNTIFS(Table6[Country],Tabela1[[#This Row],[Country]],Table6[51kg Classification],"&gt;0")</f>
        <v>0</v>
      </c>
      <c r="CK174" s="6">
        <f>COUNTIFS(Table6[Country],Tabela1[[#This Row],[Country]],Table6[57kg Classification],"&gt;0")</f>
        <v>0</v>
      </c>
      <c r="CL174" s="6">
        <f>COUNTIFS(Table6[Country],Tabela1[[#This Row],[Country]],Table6[63.5kg Classification],"&gt;0")</f>
        <v>0</v>
      </c>
      <c r="CM174" s="6">
        <f>COUNTIFS(Table6[Country],Tabela1[[#This Row],[Country]],Table6[71kg Classification],"&gt;0")</f>
        <v>0</v>
      </c>
      <c r="CN174" s="6">
        <f>COUNTIFS(Table6[Country],Tabela1[[#This Row],[Country]],Table6[80kg Classification],"&gt;0")</f>
        <v>0</v>
      </c>
      <c r="CO174" s="6">
        <f>COUNTIFS(Table6[Country],Tabela1[[#This Row],[Country]],Table6[92kg Classification],"&gt;0")</f>
        <v>0</v>
      </c>
      <c r="CP174" s="6">
        <f>COUNTIFS(Table6[Country],Tabela1[[#This Row],[Country]],Table6[Plus 92kg Classification],"&gt;0")</f>
        <v>0</v>
      </c>
      <c r="CQ174" s="6">
        <f>COUNTIFS(Table7[Country],Tabela1[[#This Row],[Country]],Table7[50kg Classification],"&gt;0")</f>
        <v>0</v>
      </c>
      <c r="CR174" s="6">
        <f>COUNTIFS(Table7[Country],Tabela1[[#This Row],[Country]],Table7[54kg Classification],"&gt;0")</f>
        <v>0</v>
      </c>
      <c r="CS174" s="6">
        <f>COUNTIFS(Table7[Country],Tabela1[[#This Row],[Country]],Table7[57kg Classification],"&gt;0")</f>
        <v>0</v>
      </c>
      <c r="CT174" s="6">
        <f>COUNTIFS(Table7[Country],Tabela1[[#This Row],[Country]],Table7[60kg Classification],"&gt;0")</f>
        <v>0</v>
      </c>
      <c r="CU174" s="6">
        <f>COUNTIFS(Table7[Country],Tabela1[[#This Row],[Country]],Table7[66kg Classification],"&gt;0")</f>
        <v>0</v>
      </c>
      <c r="CV174" s="6">
        <f>COUNTIFS(Table7[Country],Tabela1[[#This Row],[Country]],Table7[75kg Classification],"&gt;0")</f>
        <v>0</v>
      </c>
      <c r="CW174" s="6">
        <f>COUNTIFS(Tabela94[Country],Tabela1[[#This Row],[Country]],Tabela94[Classification],"&gt;0")</f>
        <v>0</v>
      </c>
      <c r="CX174" s="6">
        <f>COUNTIFS(Tabela9499[Country],Tabela1[[#This Row],[Country]],Tabela9499[Classification],"&gt;0")</f>
        <v>0</v>
      </c>
      <c r="CY174" s="6">
        <f>COUNTIFS(Tabela107[Country],Tabela1[[#This Row],[Country]],Tabela107[C1 Slalom Classification],"&gt;0")</f>
        <v>0</v>
      </c>
      <c r="CZ174" s="6">
        <f>COUNTIFS(Tabela107122[Country],Tabela1[[#This Row],[Country]],Tabela107122[C1 Slalom Classification],"&gt;0")</f>
        <v>0</v>
      </c>
      <c r="DA174" s="6">
        <f>COUNTIFS(Tabela107[Country],Tabela1[[#This Row],[Country]],Tabela107[K1 Slalom Classification],"&gt;0")</f>
        <v>0</v>
      </c>
      <c r="DB174" s="6">
        <f>COUNTIFS(Tabela107122[Country],Tabela1[[#This Row],[Country]],Tabela107122[K1 Slalom Classification],"&gt;0")</f>
        <v>0</v>
      </c>
      <c r="DC174" s="6">
        <f>COUNTIFS(Tabela107[Country],Tabela1[[#This Row],[Country]],Tabela107[Kayak Cross Slalom Classification],"&gt;0")</f>
        <v>0</v>
      </c>
      <c r="DD174" s="6">
        <f>COUNTIFS(Tabela107122[Country],Tabela1[[#This Row],[Country]],Tabela107122[Kayak Cross Slalom Classification],"&gt;0")</f>
        <v>0</v>
      </c>
      <c r="DE174" s="6">
        <f>COUNTIFS(Table8[Country],Tabela1[[#This Row],[Country]],Table8[C1 200m Classification],"&gt;0")</f>
        <v>0</v>
      </c>
      <c r="DF174" s="6">
        <f>COUNTIFS(Table40[Country],Tabela1[[#This Row],[Country]],Table40[C1 1000m Classification],"&gt;0")</f>
        <v>0</v>
      </c>
      <c r="DG174" s="6">
        <f>COUNTIFS(Table68[Country],Tabela1[[#This Row],[Country]],Table68[Men''s C2 500m Classification],"&gt;0")</f>
        <v>0</v>
      </c>
      <c r="DH174" s="6">
        <f>COUNTIFS(Table68[Country],Tabela1[[#This Row],[Country]],Table68[Women''s C2 500m Classification],"&gt;0")</f>
        <v>0</v>
      </c>
      <c r="DI174" s="6">
        <f>COUNTIFS(Table8[Country],Tabela1[[#This Row],[Country]],Table8[K1 500m Classification],"&gt;0")</f>
        <v>0</v>
      </c>
      <c r="DJ174" s="6">
        <f>COUNTIFS(Table40[Country],Tabela1[[#This Row],[Country]],Table40[K1 1000m Classification],"&gt;0")</f>
        <v>0</v>
      </c>
      <c r="DK174" s="6">
        <f>COUNTIFS(Table68[Country],Tabela1[[#This Row],[Country]],Table68[Men''s K2 500m Classification],"&gt;0")</f>
        <v>0</v>
      </c>
      <c r="DL174" s="6">
        <f>COUNTIFS(Table68[Country],Tabela1[[#This Row],[Country]],Table68[Women''s K2 500m Classification],"&gt;0")</f>
        <v>0</v>
      </c>
      <c r="DM174" s="6">
        <f>COUNTIFS(Table83[Country],Tabela1[[#This Row],[Country]],Table83[Men''s K4 500m Classification],"&gt;0")</f>
        <v>0</v>
      </c>
      <c r="DN174" s="6">
        <f>COUNTIFS(Table83[Country],Tabela1[[#This Row],[Country]],Table83[Women''s K4 500m Classification],"&gt;0")</f>
        <v>0</v>
      </c>
      <c r="DO174" s="6">
        <f>COUNTIFS(Tabela126[Country],Tabela1[[#This Row],[Country]],Tabela126[Classification],"&gt;0")</f>
        <v>0</v>
      </c>
      <c r="DP174" s="6">
        <f>COUNTIFS(Tabela126130[Country],Tabela1[[#This Row],[Country]],Tabela126130[Classification],"&gt;0")</f>
        <v>0</v>
      </c>
      <c r="DQ174" s="6">
        <f>COUNTIFS(Table70[Country],Tabela1[[#This Row],[Country]],Table70[Classification],"&gt;0")</f>
        <v>0</v>
      </c>
      <c r="DR174" s="6">
        <f>COUNTIFS(Table80[Country],Tabela1[[#This Row],[Country]],Table80[Classification],"&gt;0")</f>
        <v>0</v>
      </c>
      <c r="DS174" s="6">
        <f>COUNTIFS(Table66[Country],Tabela1[[#This Row],[Country]],Table66[Classification],"&gt;0")</f>
        <v>0</v>
      </c>
      <c r="DT174" s="6">
        <f>COUNTIFS(Table67[Country],Tabela1[[#This Row],[Country]],Table67[Classification],"&gt;0")</f>
        <v>0</v>
      </c>
      <c r="DU174" s="6">
        <f>COUNTIFS(Table69[Country],Tabela1[[#This Row],[Country]],Table69[Keirin Classification],"&gt;0")</f>
        <v>0</v>
      </c>
      <c r="DV174" s="6">
        <f>COUNTIFS(Table41[Country],Tabela1[[#This Row],[Country]],Table41[Keirin Classification],"&gt;0")</f>
        <v>0</v>
      </c>
      <c r="DW174" s="6">
        <f>COUNTIFS(Table84[Country],Tabela1[[#This Row],[Country]],Table84[Men''s Madison Classification],"&gt;0")</f>
        <v>0</v>
      </c>
      <c r="DX174" s="6">
        <f>COUNTIFS(Table84[Country],Tabela1[[#This Row],[Country]],Table84[Women''s Madison Classification],"&gt;0")</f>
        <v>0</v>
      </c>
      <c r="DY174" s="6">
        <f>COUNTIFS(Table69[Country],Tabela1[[#This Row],[Country]],Table69[Omnium Classification],"&gt;0")</f>
        <v>0</v>
      </c>
      <c r="DZ174" s="6">
        <f>COUNTIFS(Table41[Country],Tabela1[[#This Row],[Country]],Table41[Omnium Classification],"&gt;0")</f>
        <v>0</v>
      </c>
      <c r="EA174" s="6">
        <f>COUNTIFS(Table9[Country],Tabela1[[#This Row],[Country]],Table9[Road Race Classification],"&gt;0")</f>
        <v>0</v>
      </c>
      <c r="EB174" s="6">
        <f>COUNTIFS(Table14[Country],Tabela1[[#This Row],[Country]],Table14[Road Race Classification],"&gt;0")</f>
        <v>0</v>
      </c>
      <c r="EC174" s="6">
        <f>COUNTIFS(Table69[Country],Tabela1[[#This Row],[Country]],Table69[Sprint Classification],"&gt;0")</f>
        <v>0</v>
      </c>
      <c r="ED174" s="6">
        <f>COUNTIFS(Table41[Country],Tabela1[[#This Row],[Country]],Table41[Sprint Classification],"&gt;0")</f>
        <v>0</v>
      </c>
      <c r="EE174" s="6">
        <f>COUNTIFS(Table85[Country],Tabela1[[#This Row],[Country]],Table85[Men''s Sprint Classification],"&gt;0")</f>
        <v>0</v>
      </c>
      <c r="EF174" s="6">
        <f>COUNTIFS(Table85[Country],Tabela1[[#This Row],[Country]],Table85[Women''s Sprint Classification],"&gt;0")</f>
        <v>0</v>
      </c>
      <c r="EG174" s="6">
        <f>COUNTIFS(Table85[Country],Tabela1[[#This Row],[Country]],Table85[Men''s Pursuit Classification],"&gt;0")</f>
        <v>0</v>
      </c>
      <c r="EH174" s="6">
        <f>COUNTIFS(Table85[Country],Tabela1[[#This Row],[Country]],Table85[Women''s Pursuit Classification],"&gt;0")</f>
        <v>0</v>
      </c>
      <c r="EI174" s="6">
        <f>COUNTIFS(Table9[Country],Tabela1[[#This Row],[Country]],Table9[Time-Trial Classification],"&gt;0")</f>
        <v>0</v>
      </c>
      <c r="EJ174" s="6">
        <f>COUNTIFS(Table14[Country],Tabela1[[#This Row],[Country]],Table14[Time-Trial Classification],"&gt;0")</f>
        <v>0</v>
      </c>
      <c r="EK174" s="6">
        <f>COUNTIFS(Table42[Country],Tabela1[[#This Row],[Country]],Table42[Springboard Classification],"&gt;0")</f>
        <v>0</v>
      </c>
      <c r="EL174" s="6">
        <f>COUNTIFS(Table43[Country],Tabela1[[#This Row],[Country]],Table43[Springboard Classification],"&gt;0")</f>
        <v>0</v>
      </c>
      <c r="EM174" s="6">
        <f>COUNTIFS(Table42[Country],Tabela1[[#This Row],[Country]],Table42[Platform Classification],"&gt;0")</f>
        <v>0</v>
      </c>
      <c r="EN174" s="6">
        <f>COUNTIFS(Table43[Country],Tabela1[[#This Row],[Country]],Table43[Platform Classification],"&gt;0")</f>
        <v>0</v>
      </c>
      <c r="EO174" s="6">
        <f>COUNTIFS(Table86[Country],Tabela1[[#This Row],[Country]],Table86[Men''s Synchronized Springboard Classification],"&gt;0")</f>
        <v>0</v>
      </c>
      <c r="EP174" s="6">
        <f>COUNTIFS(Table86[Country],Tabela1[[#This Row],[Country]],Table86[Women''s Synchronized Springboard Classification],"&gt;0")</f>
        <v>0</v>
      </c>
      <c r="EQ174" s="6">
        <f>COUNTIFS(Table86[Country],Tabela1[[#This Row],[Country]],Table86[Men''s Synchronized Platform Classification],"&gt;0")</f>
        <v>0</v>
      </c>
      <c r="ER174" s="6">
        <f>COUNTIFS(Table86[Country],Tabela1[[#This Row],[Country]],Table86[Women''s Synchronized Platform Classification],"&gt;0")</f>
        <v>0</v>
      </c>
      <c r="ES174" s="6">
        <f>COUNTIFS(Table44[Country],Tabela1[[#This Row],[Country]],Table44[Dressage Classification],"&gt;0")</f>
        <v>0</v>
      </c>
      <c r="ET174" s="6">
        <f>COUNTIFS(Table45[Country],Tabela1[[#This Row],[Country]],Table45[Dressage Classification],"&gt;0")</f>
        <v>0</v>
      </c>
      <c r="EU174" s="6">
        <f>COUNTIFS(Table44[Country],Tabela1[[#This Row],[Country]],Table44[Eventing Classification],"&gt;0")</f>
        <v>0</v>
      </c>
      <c r="EV174" s="6">
        <f>COUNTIFS(Table45[Country],Tabela1[[#This Row],[Country]],Table45[Eventing Classification],"&gt;0")</f>
        <v>0</v>
      </c>
      <c r="EW174" s="6">
        <f>COUNTIFS(Table44[Country],Tabela1[[#This Row],[Country]],Table44[Jumping Classification],"&gt;0")</f>
        <v>0</v>
      </c>
      <c r="EX174" s="6">
        <f>COUNTIFS(Table45[Country],Tabela1[[#This Row],[Country]],Table45[Jumping Classification],"&gt;0")</f>
        <v>0</v>
      </c>
      <c r="EY174" s="6">
        <f>COUNTIFS(Table10[Country],Tabela1[[#This Row],[Country]],Table10[Épée Classification],"&gt;0")</f>
        <v>0</v>
      </c>
      <c r="EZ174" s="6">
        <f>COUNTIFS(Table11[Country],Tabela1[[#This Row],[Country]],Table11[Épée Classification],"&gt;0")</f>
        <v>0</v>
      </c>
      <c r="FA174" s="6">
        <f>COUNTIFS(Table46[Country],Tabela1[[#This Row],[Country]],Table46[Men''s Épée Classification],"&gt;0")</f>
        <v>0</v>
      </c>
      <c r="FB174" s="6">
        <f>COUNTIFS(Table46[Country],Tabela1[[#This Row],[Country]],Table46[Women''s Épée Classification],"&gt;0")</f>
        <v>0</v>
      </c>
      <c r="FC174" s="6">
        <f>COUNTIFS(Table10[Country],Tabela1[[#This Row],[Country]],Table10[Foil Classification],"&gt;0")</f>
        <v>0</v>
      </c>
      <c r="FD174" s="6">
        <f>COUNTIFS(Table11[Country],Tabela1[[#This Row],[Country]],Table11[Foil Classification],"&gt;0")</f>
        <v>0</v>
      </c>
      <c r="FE174" s="6">
        <f>COUNTIFS(Table46[Country],Tabela1[[#This Row],[Country]],Table46[Men''s Foil Classification],"&gt;0")</f>
        <v>0</v>
      </c>
      <c r="FF174" s="6">
        <f>COUNTIFS(Table46[Country],Tabela1[[#This Row],[Country]],Table46[Women''s Foil Classification],"&gt;0")</f>
        <v>0</v>
      </c>
      <c r="FG174" s="6">
        <f>COUNTIFS(Table10[Country],Tabela1[[#This Row],[Country]],Table10[Sabre Classification],"&gt;0")</f>
        <v>0</v>
      </c>
      <c r="FH174" s="6">
        <f>COUNTIFS(Table11[Country],Tabela1[[#This Row],[Country]],Table11[Sabre Classification],"&gt;0")</f>
        <v>0</v>
      </c>
      <c r="FI174" s="6">
        <f>COUNTIFS(Table46[Country],Tabela1[[#This Row],[Country]],Table46[Men''s Sabre Classification],"&gt;0")</f>
        <v>0</v>
      </c>
      <c r="FJ174" s="6">
        <f>COUNTIFS(Table46[Country],Tabela1[[#This Row],[Country]],Table46[Women''s Sabre Classification],"&gt;0")</f>
        <v>0</v>
      </c>
      <c r="FK174" s="6">
        <f>COUNTIFS(Table91[Country],Tabela1[[#This Row],[Country]],Table91[Men''s Classification],"&gt;0")</f>
        <v>0</v>
      </c>
      <c r="FL174" s="6">
        <f>COUNTIFS(Table91[Country],Tabela1[[#This Row],[Country]],Table91[Women''s Classification],"&gt;0")</f>
        <v>0</v>
      </c>
      <c r="FM174" s="6">
        <f>COUNTIFS(Table9194[Country],Tabela1[[#This Row],[Country]],Table9194[Men''s Classification],"&gt;0")</f>
        <v>0</v>
      </c>
      <c r="FN174" s="6">
        <f>COUNTIFS(Table9194[Country],Tabela1[[#This Row],[Country]],Table9194[Women''s Classification],"&gt;0")</f>
        <v>0</v>
      </c>
      <c r="FO174" s="6">
        <f>COUNTIFS(Table71[Country],Tabela1[[#This Row],[Country]],Table71[Classification],"&gt;0")</f>
        <v>0</v>
      </c>
      <c r="FP174" s="6">
        <f>COUNTIFS(Table62[Country],Tabela1[[#This Row],[Country]],Table62[Classification],"&gt;0")</f>
        <v>0</v>
      </c>
      <c r="FQ174" s="6">
        <f>COUNTIFS(Table47[Country],Tabela1[[#This Row],[Country]],Table47[All-Around Classification],"&gt;0")</f>
        <v>0</v>
      </c>
      <c r="FR174" s="6">
        <f>COUNTIFS(Table48[Country],Tabela1[[#This Row],[Country]],Table48[All-Around Classification],"&gt;0")</f>
        <v>0</v>
      </c>
      <c r="FS174" s="6">
        <f>COUNTIFS(Table81[Country],Tabela1[[#This Row],[Country]],Table81[Men''s All-Around Classification],"&gt;0")</f>
        <v>0</v>
      </c>
      <c r="FT174" s="6">
        <f>COUNTIFS(Table81[Country],Tabela1[[#This Row],[Country]],Table81[Women''s All-Around Classification],"&gt;0")</f>
        <v>0</v>
      </c>
      <c r="FU174" s="6">
        <f>COUNTIFS(Table48[Country],Tabela1[[#This Row],[Country]],Table48[Balance Beam Classification],"&gt;0")</f>
        <v>0</v>
      </c>
      <c r="FV174" s="6">
        <f>COUNTIFS(Table47[Country],Tabela1[[#This Row],[Country]],Table47[Floor Exercise Classification],"&gt;0")</f>
        <v>0</v>
      </c>
      <c r="FW174" s="6">
        <f>COUNTIFS(Table48[Country],Tabela1[[#This Row],[Country]],Table48[Floor Exercise Classification],"&gt;0")</f>
        <v>0</v>
      </c>
      <c r="FX174" s="6">
        <f>COUNTIFS(Table47[Country],Tabela1[[#This Row],[Country]],Table47[Horizontal Bar Classification],"&gt;0")</f>
        <v>0</v>
      </c>
      <c r="FY174" s="6">
        <f>COUNTIFS(Table47[Country],Tabela1[[#This Row],[Country]],Table47[Parallel Bars Classification],"&gt;0")</f>
        <v>0</v>
      </c>
      <c r="FZ174" s="6">
        <f>COUNTIFS(Table47[Country],Tabela1[[#This Row],[Country]],Table47[Pommel Horse Classification],"&gt;0")</f>
        <v>0</v>
      </c>
      <c r="GA174" s="6">
        <f>COUNTIFS(Table47[Country],Tabela1[[#This Row],[Country]],Table47[Rings Classification],"&gt;0")</f>
        <v>0</v>
      </c>
      <c r="GB174" s="6">
        <f>COUNTIFS(Tabela132[Country],Tabela1[[#This Row],[Country]],Tabela132[Classification],"&gt;0")</f>
        <v>0</v>
      </c>
      <c r="GC174" s="6">
        <f>COUNTIFS(Tabela139[Country],Tabela1[[#This Row],[Country]],Tabela139[Classification],"&gt;0")</f>
        <v>0</v>
      </c>
      <c r="GD174" s="6">
        <f>COUNTIFS(Table48[Country],Tabela1[[#This Row],[Country]],Table48[Uneven Bars Classification],"&gt;0")</f>
        <v>0</v>
      </c>
      <c r="GE174" s="6">
        <f>COUNTIFS(Table47[Country],Tabela1[[#This Row],[Country]],Table47[Vault Classification],"&gt;0")</f>
        <v>0</v>
      </c>
      <c r="GF174" s="6">
        <f>COUNTIFS(Table48[Country],Tabela1[[#This Row],[Country]],Table48[Vault Classification],"&gt;0")</f>
        <v>0</v>
      </c>
      <c r="GG174" s="6">
        <f>COUNTIFS(Table919496[Country],Tabela1[[#This Row],[Country]],Table919496[Men''s Classification],"&gt;0")</f>
        <v>0</v>
      </c>
      <c r="GH174" s="6">
        <f>COUNTIFS(Table919496[Country],Tabela1[[#This Row],[Country]],Table919496[Women''s Classification],"&gt;0")</f>
        <v>0</v>
      </c>
      <c r="GI174" s="6">
        <f>COUNTIFS(Table12[Country],Tabela1[[#This Row],[Country]],Table12[60kg Classification],"&gt;0")</f>
        <v>0</v>
      </c>
      <c r="GJ174" s="6">
        <f>COUNTIFS(Table12[Country],Tabela1[[#This Row],[Country]],Table12[66kg Classification],"&gt;0")</f>
        <v>0</v>
      </c>
      <c r="GK174" s="6">
        <f>COUNTIFS(Table12[Country],Tabela1[[#This Row],[Country]],Table12[73kg Classification],"&gt;0")</f>
        <v>0</v>
      </c>
      <c r="GL174" s="6">
        <f>COUNTIFS(Table12[Country],Tabela1[[#This Row],[Country]],Table12[81kg Classification],"&gt;0")</f>
        <v>0</v>
      </c>
      <c r="GM174" s="6">
        <f>COUNTIFS(Table12[Country],Tabela1[[#This Row],[Country]],Table12[90kg Classification],"&gt;0")</f>
        <v>0</v>
      </c>
      <c r="GN174" s="6">
        <f>COUNTIFS(Table12[Country],Tabela1[[#This Row],[Country]],Table12[100kg Classification],"&gt;0")</f>
        <v>0</v>
      </c>
      <c r="GO174" s="6">
        <f>COUNTIFS(Table12[Country],Tabela1[[#This Row],[Country]],Table12[Plus 100kg Classification],"&gt;0")</f>
        <v>0</v>
      </c>
      <c r="GP174" s="6">
        <f>COUNTIFS(Table13[Country],Tabela1[[#This Row],[Country]],Table13[48kg Classification],"&gt;0")</f>
        <v>0</v>
      </c>
      <c r="GQ174" s="6">
        <f>COUNTIFS(Table13[Country],Tabela1[[#This Row],[Country]],Table13[52kg Classification],"&gt;0")</f>
        <v>0</v>
      </c>
      <c r="GR174" s="6">
        <f>COUNTIFS(Table13[Country],Tabela1[[#This Row],[Country]],Table13[57kg Classification],"&gt;0")</f>
        <v>0</v>
      </c>
      <c r="GS174" s="6">
        <f>COUNTIFS(Table13[Country],Tabela1[[#This Row],[Country]],Table13[63kg Classification],"&gt;0")</f>
        <v>0</v>
      </c>
      <c r="GT174" s="6">
        <f>COUNTIFS(Table13[Country],Tabela1[[#This Row],[Country]],Table13[70kg Classification],"&gt;0")</f>
        <v>0</v>
      </c>
      <c r="GU174" s="6">
        <f>COUNTIFS(Table13[Country],Tabela1[[#This Row],[Country]],Table13[78kg Classification],"&gt;0")</f>
        <v>0</v>
      </c>
      <c r="GV174" s="6">
        <f>COUNTIFS(Table13[Country],Tabela1[[#This Row],[Country]],Table13[Plus 78kg Classification],"&gt;0")</f>
        <v>0</v>
      </c>
      <c r="GW174" s="6">
        <f>COUNTIFS(Table82[Country],Tabela1[[#This Row],[Country]],Table82[Mixed Classification],"&gt;0")</f>
        <v>0</v>
      </c>
      <c r="GX174" s="6">
        <f>COUNTIFS(Table51[Country],Tabela1[[#This Row],[Country]],Table51[Classification],"&gt;0")</f>
        <v>0</v>
      </c>
      <c r="GY174" s="6">
        <f>COUNTIFS(Table52[Country],Tabela1[[#This Row],[Country]],Table52[Classification],"&gt;0")</f>
        <v>0</v>
      </c>
      <c r="GZ174" s="6">
        <f>COUNTIFS(Table32[Country],Tabela1[[#This Row],[Country]],Table32[All-Around Classification],"&gt;0")</f>
        <v>0</v>
      </c>
      <c r="HA174" s="6">
        <f>COUNTIFS(Table49[Country],Tabela1[[#This Row],[Country]],Table49[All-Around Classification],"&gt;0")</f>
        <v>0</v>
      </c>
      <c r="HB174" s="6">
        <f>COUNTIFS(Table26[Country],Tabela1[[#This Row],[Country]],Table26[Single Sculls Classification],"&gt;0")</f>
        <v>0</v>
      </c>
      <c r="HC174" s="6">
        <f>COUNTIFS(Table63[Country],Tabela1[[#This Row],[Country]],Table63[Single Sculls Classification],"&gt;0")</f>
        <v>0</v>
      </c>
      <c r="HD174" s="6">
        <f>COUNTIFS(Table16[Country],Tabela1[[#This Row],[Country]],Table16[Men''s Double Sculls Classification],"&gt;0")</f>
        <v>0</v>
      </c>
      <c r="HE174" s="6">
        <f>COUNTIFS(Table16[Country],Tabela1[[#This Row],[Country]],Table16[Women''s Double Sculls Classification],"&gt;0")</f>
        <v>0</v>
      </c>
      <c r="HF174" s="6">
        <f>COUNTIFS(Table72[Country],Tabela1[[#This Row],[Country]],Table72[Men''s Quadruple Sculls Classification],"&gt;0")</f>
        <v>0</v>
      </c>
      <c r="HG174" s="6">
        <f>COUNTIFS(Table72[Country],Tabela1[[#This Row],[Country]],Table72[Women''s Quadruple Sculls Classification],"&gt;0")</f>
        <v>0</v>
      </c>
      <c r="HH174" s="6">
        <f>COUNTIFS(Table16[Country],Tabela1[[#This Row],[Country]],Table16[Men''s Coxless Pairs Classification],"&gt;0")</f>
        <v>0</v>
      </c>
      <c r="HI174" s="6">
        <f>COUNTIFS(Table16[Country],Tabela1[[#This Row],[Country]],Table16[Women''s Coxless Pairs Classification],"&gt;0")</f>
        <v>0</v>
      </c>
      <c r="HJ174" s="6">
        <f>COUNTIFS(Table72[Country],Tabela1[[#This Row],[Country]],Table72[Men''s Coxless Fours Classification],"&gt;0")</f>
        <v>0</v>
      </c>
      <c r="HK174" s="6">
        <f>COUNTIFS(Table72[Country],Tabela1[[#This Row],[Country]],Table72[Women''s Coxless Fours Classification],"&gt;0")</f>
        <v>0</v>
      </c>
      <c r="HL174" s="6">
        <f>COUNTIFS(Table72[Country],Tabela1[[#This Row],[Country]],Table72[Men''s Eights Classification],"&gt;0")</f>
        <v>0</v>
      </c>
      <c r="HM174" s="6">
        <f>COUNTIFS(Table72[Country],Tabela1[[#This Row],[Country]],Table72[Women''s Eights Classification],"&gt;0")</f>
        <v>0</v>
      </c>
      <c r="HN174" s="6">
        <f>COUNTIFS(Table16[Country],Tabela1[[#This Row],[Country]],Table16[Men''s Lwt. Double Sculls Classification],"&gt;0")</f>
        <v>0</v>
      </c>
      <c r="HO174" s="6">
        <f>COUNTIFS(Table16[Country],Tabela1[[#This Row],[Country]],Table16[Women''s Lwt. Double Sculls Classification],"&gt;0")</f>
        <v>0</v>
      </c>
      <c r="HP174" s="6">
        <f>COUNTIFS(Table91949698[Country],Tabela1[[#This Row],[Country]],Table91949698[Men''s Classification],"&gt;0")</f>
        <v>0</v>
      </c>
      <c r="HQ174" s="6">
        <f>COUNTIFS(Table91949698[Country],Tabela1[[#This Row],[Country]],Table91949698[Women''s Classification],"&gt;0")</f>
        <v>0</v>
      </c>
      <c r="HR174" s="6">
        <f>COUNTIFS(Table25[Country],Tabela1[[#This Row],[Country]],Table25[Mixed 470 Classification],"&gt;0")</f>
        <v>0</v>
      </c>
      <c r="HS174" s="6">
        <f>COUNTIFS(Table25[Country],Tabela1[[#This Row],[Country]],Table25[Men''s 49er Classification],"&gt;0")</f>
        <v>0</v>
      </c>
      <c r="HT174" s="6">
        <f>COUNTIFS(Table25[Country],Tabela1[[#This Row],[Country]],Table25[Women''s 49er FX Classification],"&gt;0")</f>
        <v>0</v>
      </c>
      <c r="HU174" s="6">
        <f>COUNTIFS(Table17[Country],Tabela1[[#This Row],[Country]],Table17[Formula Kite Classification],"&gt;0")</f>
        <v>0</v>
      </c>
      <c r="HV174" s="6">
        <f>COUNTIFS(Table18[Country],Tabela1[[#This Row],[Country]],Table18[Formula Kite Classification],"&gt;0")</f>
        <v>0</v>
      </c>
      <c r="HW174" s="6">
        <f>COUNTIFS(Table17[Country],Tabela1[[#This Row],[Country]],Table17[ILCA 7 Classification],"&gt;0")</f>
        <v>0</v>
      </c>
      <c r="HX174" s="6">
        <f>COUNTIFS(Table18[Country],Tabela1[[#This Row],[Country]],Table18[ILCA 6 Classification],"&gt;0")</f>
        <v>0</v>
      </c>
      <c r="HY174" s="6">
        <f>COUNTIFS(Table17[Country],Tabela1[[#This Row],[Country]],Table17[IQFoil Classification],"&gt;0")</f>
        <v>0</v>
      </c>
      <c r="HZ174" s="6">
        <f>COUNTIFS(Table18[Country],Tabela1[[#This Row],[Country]],Table18[IQFoil Classification],"&gt;0")</f>
        <v>0</v>
      </c>
      <c r="IA174" s="6">
        <f>COUNTIFS(Table25[Country],Tabela1[[#This Row],[Country]],Table25[Mixed Nacra 17 Classification],"&gt;0")</f>
        <v>0</v>
      </c>
      <c r="IB174" s="6">
        <f>COUNTIFS(Table53[Country],Tabela1[[#This Row],[Country]],Table53[10m Air Pistol Classification],"&gt;0")</f>
        <v>0</v>
      </c>
      <c r="IC174" s="6">
        <f>COUNTIFS(Table19[Country],Tabela1[[#This Row],[Country]],Table19[10m Air Pistol Classification],"&gt;0")</f>
        <v>0</v>
      </c>
      <c r="ID174" s="6">
        <f>COUNTIFS(Table54[Country],Tabela1[[#This Row],[Country]],Table54[Mixed 10m Air Pistol Team Classification],"&gt;0")</f>
        <v>0</v>
      </c>
      <c r="IE174" s="6">
        <f>COUNTIFS(Table53[Country],Tabela1[[#This Row],[Country]],Table53[10m Air Rifle Classification],"&gt;0")</f>
        <v>0</v>
      </c>
      <c r="IF174" s="6">
        <f>COUNTIFS(Table19[Country],Tabela1[[#This Row],[Country]],Table19[10m Air Rifle Classification],"&gt;0")</f>
        <v>0</v>
      </c>
      <c r="IG174" s="6">
        <f>COUNTIFS(Table54[Country],Tabela1[[#This Row],[Country]],Table54[Mixed 10m Air Rifle Team Classification],"&gt;0")</f>
        <v>0</v>
      </c>
      <c r="IH174" s="6">
        <f>COUNTIFS(Table53[Country],Tabela1[[#This Row],[Country]],Table53[25m Rapid Fire Pistol Classification],"&gt;0")</f>
        <v>0</v>
      </c>
      <c r="II174" s="6">
        <f>COUNTIFS(Table19[Country],Tabela1[[#This Row],[Country]],Table19[25m Pistol Classification],"&gt;0")</f>
        <v>0</v>
      </c>
      <c r="IJ174" s="6">
        <f>COUNTIFS(Table53[Country],Tabela1[[#This Row],[Country]],Table53[50m Rifle 3 Positions Classification],"&gt;0")</f>
        <v>0</v>
      </c>
      <c r="IK174" s="6">
        <f>COUNTIFS(Table19[Country],Tabela1[[#This Row],[Country]],Table19[50m Rifle 3 Positions Classification],"&gt;0")</f>
        <v>0</v>
      </c>
      <c r="IL174" s="6">
        <f>COUNTIFS(Table53[Country],Tabela1[[#This Row],[Country]],Table53[Skeet Classification],"&gt;0")</f>
        <v>0</v>
      </c>
      <c r="IM174" s="6">
        <f>COUNTIFS(Table19[Country],Tabela1[[#This Row],[Country]],Table19[Skeet Classification],"&gt;0")</f>
        <v>0</v>
      </c>
      <c r="IN174" s="6">
        <f>COUNTIFS(Table54[Country],Tabela1[[#This Row],[Country]],Table54[Mixed Skeet Team Classification],"&gt;0")</f>
        <v>0</v>
      </c>
      <c r="IO174" s="6">
        <f>COUNTIFS(Table53[Country],Tabela1[[#This Row],[Country]],Table53[Trap Classification],"&gt;0")</f>
        <v>0</v>
      </c>
      <c r="IP174" s="6">
        <f>COUNTIFS(Table19[Country],Tabela1[[#This Row],[Country]],Table19[Trap Classification],"&gt;0")</f>
        <v>0</v>
      </c>
      <c r="IQ174" s="6">
        <f>COUNTIFS(Table73[Country],Tabela1[[#This Row],[Country]],Table73[Park Classification],"&gt;0")</f>
        <v>0</v>
      </c>
      <c r="IR174" s="6">
        <f>COUNTIFS(Table74[Country],Tabela1[[#This Row],[Country]],Table74[Park Classification],"&gt;0")</f>
        <v>0</v>
      </c>
      <c r="IS174" s="6">
        <f>COUNTIFS(Table73[Country],Tabela1[[#This Row],[Country]],Table73[Street Classification],"&gt;0")</f>
        <v>0</v>
      </c>
      <c r="IT174" s="6">
        <f>COUNTIFS(Table74[Country],Tabela1[[#This Row],[Country]],Table74[Street Classification],"&gt;0")</f>
        <v>0</v>
      </c>
      <c r="IU174" s="6">
        <f>COUNTIFS(Table75[Country],Tabela1[[#This Row],[Country]],Table75[Boulder and Lead Classification],"&gt;0")</f>
        <v>0</v>
      </c>
      <c r="IV174" s="6">
        <f>COUNTIFS(Table76[Country],Tabela1[[#This Row],[Country]],Table76[Boulder and Lead Classification],"&gt;0")</f>
        <v>0</v>
      </c>
      <c r="IW174" s="6">
        <f>COUNTIFS(Table75[Country],Tabela1[[#This Row],[Country]],Table75[Speed Classification],"&gt;0")</f>
        <v>0</v>
      </c>
      <c r="IX174" s="6">
        <f>COUNTIFS(Table76[Country],Tabela1[[#This Row],[Country]],Table76[Speed Classification],"&gt;0")</f>
        <v>0</v>
      </c>
      <c r="IY174" s="6">
        <f>COUNTIFS(Table64[Country],Tabela1[[#This Row],[Country]],Table64[Shortboard Classification],"&gt;0")</f>
        <v>0</v>
      </c>
      <c r="IZ174" s="6">
        <f>COUNTIFS(Table77[Country],Tabela1[[#This Row],[Country]],Table77[Shortboard Classification],"&gt;0")</f>
        <v>0</v>
      </c>
      <c r="JA174" s="6">
        <f>COUNTIFS(Table20[Country],Tabela1[[#This Row],[Country]],Table20[50m Freestyle Classification],"&gt;0")</f>
        <v>0</v>
      </c>
      <c r="JB174" s="6">
        <f>COUNTIFS(Table21[Country],Tabela1[[#This Row],[Country]],Table21[50m Freestyle Classification],"&gt;0")</f>
        <v>0</v>
      </c>
      <c r="JC174" s="6">
        <f>COUNTIFS(Table20[Country],Tabela1[[#This Row],[Country]],Table20[100m Freestyle Classification],"&gt;0")</f>
        <v>0</v>
      </c>
      <c r="JD174" s="6">
        <f>COUNTIFS(Table21[Country],Tabela1[[#This Row],[Country]],Table21[100m Freestyle Classification],"&gt;0")</f>
        <v>0</v>
      </c>
      <c r="JE174" s="6">
        <f>COUNTIFS(Table20[Country],Tabela1[[#This Row],[Country]],Table20[200m Freestyle Classification],"&gt;0")</f>
        <v>0</v>
      </c>
      <c r="JF174" s="6">
        <f>COUNTIFS(Table21[Country],Tabela1[[#This Row],[Country]],Table21[200m Freestyle Classification],"&gt;0")</f>
        <v>0</v>
      </c>
      <c r="JG174" s="6">
        <f>COUNTIFS(Table20[Country],Tabela1[[#This Row],[Country]],Table20[400m Freestyle Classification],"&gt;0")</f>
        <v>0</v>
      </c>
      <c r="JH174" s="6">
        <f>COUNTIFS(Table21[Country],Tabela1[[#This Row],[Country]],Table21[400m Freestyle Classification],"&gt;0")</f>
        <v>0</v>
      </c>
      <c r="JI174" s="6">
        <f>COUNTIFS(Table20[Country],Tabela1[[#This Row],[Country]],Table20[800m Freestyle Classification],"&gt;0")</f>
        <v>0</v>
      </c>
      <c r="JJ174" s="6">
        <f>COUNTIFS(Table21[Country],Tabela1[[#This Row],[Country]],Table21[800m Freestyle Classification],"&gt;0")</f>
        <v>0</v>
      </c>
      <c r="JK174" s="6">
        <f>COUNTIFS(Table20[Country],Tabela1[[#This Row],[Country]],Table20[1500m Freestyle Classification],"&gt;0")</f>
        <v>0</v>
      </c>
      <c r="JL174" s="6">
        <f>COUNTIFS(Table21[Country],Tabela1[[#This Row],[Country]],Table21[1500m Freestyle Classification],"&gt;0")</f>
        <v>0</v>
      </c>
      <c r="JM174" s="6">
        <f>COUNTIFS(Table20[Country],Tabela1[[#This Row],[Country]],Table20[100m Backstroke Classification],"&gt;0")</f>
        <v>0</v>
      </c>
      <c r="JN174" s="6">
        <f>COUNTIFS(Table21[Country],Tabela1[[#This Row],[Country]],Table21[100m Backstroke Classification],"&gt;0")</f>
        <v>0</v>
      </c>
      <c r="JO174" s="6">
        <f>COUNTIFS(Table20[Country],Tabela1[[#This Row],[Country]],Table20[200m Backstroke Classification],"&gt;0")</f>
        <v>0</v>
      </c>
      <c r="JP174" s="6">
        <f>COUNTIFS(Table21[Country],Tabela1[[#This Row],[Country]],Table21[200m Backstroke Classification],"&gt;0")</f>
        <v>0</v>
      </c>
      <c r="JQ174" s="6">
        <f>COUNTIFS(Table20[Country],Tabela1[[#This Row],[Country]],Table20[100m Breaststroke Classification],"&gt;0")</f>
        <v>0</v>
      </c>
      <c r="JR174" s="6">
        <f>COUNTIFS(Table21[Country],Tabela1[[#This Row],[Country]],Table21[100m Breaststroke Classification],"&gt;0")</f>
        <v>0</v>
      </c>
      <c r="JS174" s="6">
        <f>COUNTIFS(Table20[Country],Tabela1[[#This Row],[Country]],Table20[200m Breaststroke Classification],"&gt;0")</f>
        <v>0</v>
      </c>
      <c r="JT174" s="6">
        <f>COUNTIFS(Table21[Country],Tabela1[[#This Row],[Country]],Table21[200m Breaststroke Classification],"&gt;0")</f>
        <v>0</v>
      </c>
      <c r="JU174" s="6">
        <f>COUNTIFS(Table20[Country],Tabela1[[#This Row],[Country]],Table20[100m Butterfly Classification],"&gt;0")</f>
        <v>0</v>
      </c>
      <c r="JV174" s="6">
        <f>COUNTIFS(Table21[Country],Tabela1[[#This Row],[Country]],Table21[100m Butterfly Classification],"&gt;0")</f>
        <v>0</v>
      </c>
      <c r="JW174" s="6">
        <f>COUNTIFS(Table20[Country],Tabela1[[#This Row],[Country]],Table20[200m Butterfly Classification],"&gt;0")</f>
        <v>0</v>
      </c>
      <c r="JX174" s="6">
        <f>COUNTIFS(Table21[Country],Tabela1[[#This Row],[Country]],Table21[200m Butterfly Classification],"&gt;0")</f>
        <v>0</v>
      </c>
      <c r="JY174" s="6">
        <f>COUNTIFS(Table20[Country],Tabela1[[#This Row],[Country]],Table20[200m Medley Classification],"&gt;0")</f>
        <v>0</v>
      </c>
      <c r="JZ174" s="6">
        <f>COUNTIFS(Table21[Country],Tabela1[[#This Row],[Country]],Table21[200m Medley Classification],"&gt;0")</f>
        <v>0</v>
      </c>
      <c r="KA174" s="6">
        <f>COUNTIFS(Table20[Country],Tabela1[[#This Row],[Country]],Table20[400m Medley Classification],"&gt;0")</f>
        <v>0</v>
      </c>
      <c r="KB174" s="6">
        <f>COUNTIFS(Table21[Country],Tabela1[[#This Row],[Country]],Table21[400m Medley Classification],"&gt;0")</f>
        <v>0</v>
      </c>
      <c r="KC174" s="6">
        <f>COUNTIFS(Table78[Country],Tabela1[[#This Row],[Country]],Table78[Men''s 4x100m Freestyle Relay Classification],"&gt;0")</f>
        <v>0</v>
      </c>
      <c r="KD174" s="6">
        <f>COUNTIFS(Table78[Country],Tabela1[[#This Row],[Country]],Table78[Women''s 4x100m Freestyle Relay Classification],"&gt;0")</f>
        <v>0</v>
      </c>
      <c r="KE174" s="6">
        <f>COUNTIFS(Table78[Country],Tabela1[[#This Row],[Country]],Table78[Men''s 4x200m Freestyle Relay Classification],"&gt;0")</f>
        <v>0</v>
      </c>
      <c r="KF174" s="6">
        <f>COUNTIFS(Table78[Country],Tabela1[[#This Row],[Country]],Table78[Women''s 4x200m Freestyle Relay Classification],"&gt;0")</f>
        <v>0</v>
      </c>
      <c r="KG174" s="6">
        <f>COUNTIFS(Table78[Country],Tabela1[[#This Row],[Country]],Table78[Men''s 4x100m Medley Relay Classification],"&gt;0")</f>
        <v>0</v>
      </c>
      <c r="KH174" s="6">
        <f>COUNTIFS(Table78[Country],Tabela1[[#This Row],[Country]],Table78[Women''s 4x100m Medley Relay Classification],"&gt;0")</f>
        <v>0</v>
      </c>
      <c r="KI174" s="6">
        <f>COUNTIFS(Table78[Country],Tabela1[[#This Row],[Country]],Table78[Mixed 4x100m Medley Relay Classification],"&gt;0")</f>
        <v>0</v>
      </c>
      <c r="KJ174" s="6">
        <f>COUNTIFS(Table20[Country],Tabela1[[#This Row],[Country]],Table20[10km Open Water Classification],"&gt;0")</f>
        <v>0</v>
      </c>
      <c r="KK174" s="6">
        <f>COUNTIFS(Table21[Country],Tabela1[[#This Row],[Country]],Table21[10km Open Water Classification],"&gt;0")</f>
        <v>0</v>
      </c>
      <c r="KL174" s="6">
        <f>COUNTIFS(Table22[Country],Tabela1[[#This Row],[Country]],Table22[Classification],"&gt;0")</f>
        <v>0</v>
      </c>
      <c r="KM174" s="6">
        <f>COUNTIFS(Table30[Country],Tabela1[[#This Row],[Country]],Table30[Classification],"&gt;0")</f>
        <v>0</v>
      </c>
      <c r="KN174" s="6">
        <f>COUNTIFS(Table55[Country],Tabela1[[#This Row],[Country]],Table55[Men''s Classification],"&gt;0")</f>
        <v>0</v>
      </c>
      <c r="KO174" s="6">
        <f>COUNTIFS(Table55[Country],Tabela1[[#This Row],[Country]],Table55[Women''s Classification],"&gt;0")</f>
        <v>0</v>
      </c>
      <c r="KP174" s="6">
        <f>COUNTIFS(Table56[Country],Tabela1[[#This Row],[Country]],Table56[Mixed Classification],"&gt;0")</f>
        <v>0</v>
      </c>
      <c r="KQ174" s="6">
        <f>COUNTIFS(Table29[Country],Tabela1[[#This Row],[Country]],Table29[58kg Classification],"&gt;0")</f>
        <v>0</v>
      </c>
      <c r="KR174" s="6">
        <f>COUNTIFS(Table29[Country],Tabela1[[#This Row],[Country]],Table29[68kg Classification],"&gt;0")</f>
        <v>0</v>
      </c>
      <c r="KS174" s="6">
        <f>COUNTIFS(Table29[Country],Tabela1[[#This Row],[Country]],Table29[80kg Classification],"&gt;0")</f>
        <v>0</v>
      </c>
      <c r="KT174" s="6">
        <f>COUNTIFS(Table29[Country],Tabela1[[#This Row],[Country]],Table29[Plus 80kg Classification],"&gt;0")</f>
        <v>0</v>
      </c>
      <c r="KU174" s="6">
        <f>COUNTIFS(Table34[Country],Tabela1[[#This Row],[Country]],Table34[49kg Classification],"&gt;0")</f>
        <v>0</v>
      </c>
      <c r="KV174" s="6">
        <f>COUNTIFS(Table34[Country],Tabela1[[#This Row],[Country]],Table34[57kg Classification],"&gt;0")</f>
        <v>0</v>
      </c>
      <c r="KW174" s="6">
        <f>COUNTIFS(Table34[Country],Tabela1[[#This Row],[Country]],Table34[67kg Classification],"&gt;0")</f>
        <v>0</v>
      </c>
      <c r="KX174" s="6">
        <f>COUNTIFS(Table34[Country],Tabela1[[#This Row],[Country]],Table34[Plus 67kg Classification],"&gt;0")</f>
        <v>0</v>
      </c>
      <c r="KY174" s="6">
        <f>COUNTIFS(Table57[Country],Tabela1[[#This Row],[Country]],Table57[Classification],"&gt;0")</f>
        <v>0</v>
      </c>
      <c r="KZ174" s="6">
        <f>COUNTIFS(Table58[Country],Tabela1[[#This Row],[Country]],Table58[Classification],"&gt;0")</f>
        <v>0</v>
      </c>
      <c r="LA174" s="6">
        <f>COUNTIFS(Table79[Country],Tabela1[[#This Row],[Country]],Table79[Men''s Classification],"&gt;0")</f>
        <v>0</v>
      </c>
      <c r="LB174" s="6">
        <f>COUNTIFS(Table79[Country],Tabela1[[#This Row],[Country]],Table79[Women''s Classification],"&gt;0")</f>
        <v>0</v>
      </c>
      <c r="LC174" s="6">
        <f>COUNTIFS(Table79[Country],Tabela1[[#This Row],[Country]],Table79[Mixed Classification],"&gt;0")</f>
        <v>0</v>
      </c>
      <c r="LD174" s="6">
        <f>COUNTIFS(Table65[Country],Tabela1[[#This Row],[Country]],Table65[Classification],"&gt;0")</f>
        <v>0</v>
      </c>
      <c r="LE174" s="6">
        <f>COUNTIFS(Table59[Country],Tabela1[[#This Row],[Country]],Table59[Classification],"&gt;0")</f>
        <v>0</v>
      </c>
      <c r="LF174" s="6">
        <f>COUNTIFS(Table87[Country],Tabela1[[#This Row],[Country]],Table87[Mixed Relay Classification],"&gt;0")</f>
        <v>0</v>
      </c>
      <c r="LG174" s="6">
        <f>COUNTIFS(Table91949698100[Country],Tabela1[[#This Row],[Country]],Table91949698100[Men''s Classification],"&gt;0")</f>
        <v>0</v>
      </c>
      <c r="LH174" s="6">
        <f>COUNTIFS(Table91949698100[Country],Tabela1[[#This Row],[Country]],Table91949698100[Women''s Classification],"&gt;0")</f>
        <v>0</v>
      </c>
      <c r="LI174" s="6">
        <f>COUNTIFS(Table91949698100102[Country],Tabela1[[#This Row],[Country]],Table91949698100102[Men''s Classification],"&gt;0")</f>
        <v>0</v>
      </c>
      <c r="LJ174" s="6">
        <f>COUNTIFS(Table91949698100102[Country],Tabela1[[#This Row],[Country]],Table91949698100102[Women''s Classification],"&gt;0")</f>
        <v>0</v>
      </c>
      <c r="LK174" s="6">
        <f>COUNTIFS(Table23[Country],Tabela1[[#This Row],[Country]],Table23[61kg Classification],"&gt;0")</f>
        <v>0</v>
      </c>
      <c r="LL174" s="6">
        <f>COUNTIFS(Table23[Country],Tabela1[[#This Row],[Country]],Table23[73kg Classification],"&gt;0")</f>
        <v>0</v>
      </c>
      <c r="LM174" s="6">
        <f>COUNTIFS(Table23[Country],Tabela1[[#This Row],[Country]],Table23[89kg Classification],"&gt;0")</f>
        <v>0</v>
      </c>
      <c r="LN174" s="6">
        <f>COUNTIFS(Table23[Country],Tabela1[[#This Row],[Country]],Table23[102kg Classification],"&gt;0")</f>
        <v>0</v>
      </c>
      <c r="LO174" s="6">
        <f>COUNTIFS(Table23[Country],Tabela1[[#This Row],[Country]],Table23[Plus 102kg Classification],"&gt;0")</f>
        <v>0</v>
      </c>
      <c r="LP174" s="6">
        <f>COUNTIFS(Table28[Country],Tabela1[[#This Row],[Country]],Table28[49kg Classification],"&gt;0")</f>
        <v>0</v>
      </c>
      <c r="LQ174" s="6">
        <f>COUNTIFS(Table28[Country],Tabela1[[#This Row],[Country]],Table28[59kg Classification],"&gt;0")</f>
        <v>0</v>
      </c>
      <c r="LR174" s="6">
        <f>COUNTIFS(Table28[Country],Tabela1[[#This Row],[Country]],Table28[71kg Classification],"&gt;0")</f>
        <v>0</v>
      </c>
      <c r="LS174" s="6">
        <f>COUNTIFS(Table28[Country],Tabela1[[#This Row],[Country]],Table28[81kg Classification],"&gt;0")</f>
        <v>0</v>
      </c>
      <c r="LT174" s="6">
        <f>COUNTIFS(Table28[Country],Tabela1[[#This Row],[Country]],Table28[Plus 81kg Classification],"&gt;0")</f>
        <v>0</v>
      </c>
      <c r="LU174" s="6">
        <f>COUNTIFS(Table24[Country],Tabela1[[#This Row],[Country]],Table24[Freestyle 57kg Classification],"&gt;0")</f>
        <v>0</v>
      </c>
      <c r="LV174" s="6">
        <f>COUNTIFS(Table24[Country],Tabela1[[#This Row],[Country]],Table24[Freestyle 65kg Classification],"&gt;0")</f>
        <v>0</v>
      </c>
      <c r="LW174" s="6">
        <f>COUNTIFS(Table24[Country],Tabela1[[#This Row],[Country]],Table24[Freestyle 74kg Classification],"&gt;0")</f>
        <v>0</v>
      </c>
      <c r="LX174" s="6">
        <f>COUNTIFS(Table24[Country],Tabela1[[#This Row],[Country]],Table24[Freestyle 86kg Classification],"&gt;0")</f>
        <v>0</v>
      </c>
      <c r="LY174" s="6">
        <f>COUNTIFS(Table24[Country],Tabela1[[#This Row],[Country]],Table24[Freestyle 97kg Classification],"&gt;0")</f>
        <v>0</v>
      </c>
      <c r="LZ174" s="6">
        <f>COUNTIFS(Table24[Country],Tabela1[[#This Row],[Country]],Table24[Freestyle 125kg Classification],"&gt;0")</f>
        <v>0</v>
      </c>
      <c r="MA174" s="6">
        <f>COUNTIFS(Table24[Country],Tabela1[[#This Row],[Country]],Table24[Greco-Roman 60kg Classification],"&gt;0")</f>
        <v>0</v>
      </c>
      <c r="MB174" s="6">
        <f>COUNTIFS(Table24[Country],Tabela1[[#This Row],[Country]],Table24[Greco-Roman 67kg Classification],"&gt;0")</f>
        <v>0</v>
      </c>
      <c r="MC174" s="6">
        <f>COUNTIFS(Table24[Country],Tabela1[[#This Row],[Country]],Table24[Greco-Roman 77kg Classification],"&gt;0")</f>
        <v>0</v>
      </c>
      <c r="MD174" s="6">
        <f>COUNTIFS(Table24[Country],Tabela1[[#This Row],[Country]],Table24[Greco-Roman 87kg Classification],"&gt;0")</f>
        <v>0</v>
      </c>
      <c r="ME174" s="6">
        <f>COUNTIFS(Table24[Country],Tabela1[[#This Row],[Country]],Table24[Greco-Roman 97kg Classification],"&gt;0")</f>
        <v>0</v>
      </c>
      <c r="MF174" s="6">
        <f>COUNTIFS(Table24[Country],Tabela1[[#This Row],[Country]],Table24[Greco-Roman 130kg Classification],"&gt;0")</f>
        <v>0</v>
      </c>
      <c r="MG174" s="6">
        <f>COUNTIFS(Table31[Country],Tabela1[[#This Row],[Country]],Table31[50kg Classification],"&gt;0")</f>
        <v>0</v>
      </c>
      <c r="MH174" s="6">
        <f>COUNTIFS(Table31[Country],Tabela1[[#This Row],[Country]],Table31[53kg Classification],"&gt;0")</f>
        <v>0</v>
      </c>
      <c r="MI174" s="6">
        <f>COUNTIFS(Table31[Country],Tabela1[[#This Row],[Country]],Table31[57kg Classification],"&gt;0")</f>
        <v>0</v>
      </c>
      <c r="MJ174" s="6">
        <f>COUNTIFS(Table31[Country],Tabela1[[#This Row],[Country]],Table31[62kg Classification],"&gt;0")</f>
        <v>0</v>
      </c>
      <c r="MK174" s="6">
        <f>COUNTIFS(Table31[Country],Tabela1[[#This Row],[Country]],Table31[68kg Classification],"&gt;0")</f>
        <v>0</v>
      </c>
      <c r="ML174" s="6">
        <f>COUNTIFS(Table31[Country],Tabela1[[#This Row],[Country]],Table31[76kg Classification],"&gt;0")</f>
        <v>0</v>
      </c>
      <c r="MM174" s="6">
        <f>COUNTIFS(Table102[Country],Tabela1[[#This Row],[Country]],Table102[Downhill Classification],"&gt;0")</f>
        <v>0</v>
      </c>
      <c r="MN174" s="6">
        <f>COUNTIFS(Table102105[Country],Tabela1[[#This Row],[Country]],Table102105[Downhill Classification],"&gt;0")</f>
        <v>0</v>
      </c>
      <c r="MO174" s="6">
        <f>COUNTIFS(Table102[Country],Tabela1[[#This Row],[Country]],Table102[Giant Slalom Classification],"&gt;0")</f>
        <v>0</v>
      </c>
      <c r="MP174" s="6">
        <f>COUNTIFS(Table102105[Country],Tabela1[[#This Row],[Country]],Table102105[Giant Slalom Classification],"&gt;0")</f>
        <v>0</v>
      </c>
      <c r="MQ174" s="6">
        <f>COUNTIFS(Table102[Country],Tabela1[[#This Row],[Country]],Table102[Slalom Classification],"&gt;0")</f>
        <v>0</v>
      </c>
      <c r="MR174" s="6">
        <f>COUNTIFS(Table102105[Country],Tabela1[[#This Row],[Country]],Table102105[Slalom Classification],"&gt;0")</f>
        <v>0</v>
      </c>
      <c r="MS174" s="6">
        <f>COUNTIFS(Table102[Country],Tabela1[[#This Row],[Country]],Table102[Super-G Classification],"&gt;0")</f>
        <v>0</v>
      </c>
      <c r="MT174" s="6">
        <f>COUNTIFS(Table102105[Country],Tabela1[[#This Row],[Country]],Table102105[Super-G Classification],"&gt;0")</f>
        <v>0</v>
      </c>
      <c r="MU174" s="6">
        <f>COUNTIFS(Table105[Country],Tabela1[[#This Row],[Country]],Table105[Men''s Combined Classification],"&gt;0")</f>
        <v>0</v>
      </c>
      <c r="MV174" s="6">
        <f>COUNTIFS(Table105[Country],Tabela1[[#This Row],[Country]],Table105[Women''s Combined Classification],"&gt;0")</f>
        <v>0</v>
      </c>
      <c r="MW174" s="6">
        <f>COUNTIFS(Table106[Country],Tabela1[[#This Row],[Country]],Table106[Individual Classification],"&gt;0")</f>
        <v>0</v>
      </c>
      <c r="MX174" s="6">
        <f>COUNTIFS(Table106109[Country],Tabela1[[#This Row],[Country]],Table106109[Individual Classification],"&gt;0")</f>
        <v>0</v>
      </c>
      <c r="MY174" s="6">
        <f>COUNTIFS(Table106[Country],Tabela1[[#This Row],[Country]],Table106[Mass Start Classification],"&gt;0")</f>
        <v>0</v>
      </c>
      <c r="MZ174" s="6">
        <f>COUNTIFS(Table106109[Country],Tabela1[[#This Row],[Country]],Table106109[Mass Start Classification],"&gt;0")</f>
        <v>0</v>
      </c>
      <c r="NA174" s="6">
        <f>COUNTIFS(Table106[Country],Tabela1[[#This Row],[Country]],Table106[Pursuit Classification],"&gt;0")</f>
        <v>0</v>
      </c>
      <c r="NB174" s="6">
        <f>COUNTIFS(Table106109[Country],Tabela1[[#This Row],[Country]],Table106109[Pursuit Classification],"&gt;0")</f>
        <v>0</v>
      </c>
      <c r="NC174" s="6">
        <f>COUNTIFS(Table106[Country],Tabela1[[#This Row],[Country]],Table106[Sprint Classification],"&gt;0")</f>
        <v>0</v>
      </c>
      <c r="ND174" s="6">
        <f>COUNTIFS(Table106109[Country],Tabela1[[#This Row],[Country]],Table106109[Sprint Classification],"&gt;0")</f>
        <v>0</v>
      </c>
      <c r="NE174" s="6">
        <f>COUNTIFS(Table109[Country],Tabela1[[#This Row],[Country]],Table109[Men''s Relay Classification],"&gt;0")</f>
        <v>0</v>
      </c>
      <c r="NF174" s="6">
        <f>COUNTIFS(Table109[Country],Tabela1[[#This Row],[Country]],Table109[Women''s Relay Classification],"&gt;0")</f>
        <v>0</v>
      </c>
      <c r="NG174" s="6">
        <f>COUNTIFS(Table109[Country],Tabela1[[#This Row],[Country]],Table109[Mixed Relay Classification],"&gt;0")</f>
        <v>0</v>
      </c>
      <c r="NH174" s="6">
        <f>COUNTIFS(Table110[Country],Tabela1[[#This Row],[Country]],Table110[Monobob Classification],"&gt;0")</f>
        <v>0</v>
      </c>
      <c r="NI174" s="6">
        <f>COUNTIFS(Table111[Country],Tabela1[[#This Row],[Country]],Table111[Men''s Classification],"&gt;0")</f>
        <v>0</v>
      </c>
      <c r="NJ174" s="6">
        <f>COUNTIFS(Table111[Country],Tabela1[[#This Row],[Country]],Table111[Women''s Classification],"&gt;0")</f>
        <v>0</v>
      </c>
      <c r="NK174" s="6">
        <f>COUNTIFS(Table112[Country],Tabela1[[#This Row],[Country]],Table112[Men''s Four Classification],"&gt;0")</f>
        <v>0</v>
      </c>
      <c r="NL174" s="6">
        <f>COUNTIFS(Table113[Country],Tabela1[[#This Row],[Country]],Table113[Classical Classification],"&gt;0")</f>
        <v>0</v>
      </c>
      <c r="NM174" s="6">
        <f>COUNTIFS(Table113116[Country],Tabela1[[#This Row],[Country]],Table113116[Classical Classification],"&gt;0")</f>
        <v>0</v>
      </c>
      <c r="NN174" s="6">
        <f>COUNTIFS(Table113[Country],Tabela1[[#This Row],[Country]],Table113[Freestyle Classification],"&gt;0")</f>
        <v>0</v>
      </c>
      <c r="NO174" s="6">
        <f>COUNTIFS(Table113116[Country],Tabela1[[#This Row],[Country]],Table113116[Freestyle Classification],"&gt;0")</f>
        <v>0</v>
      </c>
      <c r="NP174" s="6">
        <f>COUNTIFS(Table117[Country],Tabela1[[#This Row],[Country]],Table117[Men''s Relay Classification],"&gt;0")</f>
        <v>0</v>
      </c>
      <c r="NQ174" s="6">
        <f>COUNTIFS(Table117[Country],Tabela1[[#This Row],[Country]],Table117[Women''s Relay Classification],"&gt;0")</f>
        <v>0</v>
      </c>
      <c r="NR174" s="6">
        <f>COUNTIFS(Table113[Country],Tabela1[[#This Row],[Country]],Table113[Skiathlon Classification],"&gt;0")</f>
        <v>0</v>
      </c>
      <c r="NS174" s="6">
        <f>COUNTIFS(Table113116[Country],Tabela1[[#This Row],[Country]],Table113116[Skiathlon Classification],"&gt;0")</f>
        <v>0</v>
      </c>
      <c r="NT174" s="6">
        <f>COUNTIFS(Table113[Country],Tabela1[[#This Row],[Country]],Table113[Sprint Classification],"&gt;0")</f>
        <v>0</v>
      </c>
      <c r="NU174" s="6">
        <f>COUNTIFS(Table113116[Country],Tabela1[[#This Row],[Country]],Table113116[Sprint Classification],"&gt;0")</f>
        <v>0</v>
      </c>
      <c r="NV174" s="6">
        <f>COUNTIFS(Table116[Country],Tabela1[[#This Row],[Country]],Table116[Men''s Team Sprint Classification],"&gt;0")</f>
        <v>0</v>
      </c>
      <c r="NW174" s="6">
        <f>COUNTIFS(Table116[Country],Tabela1[[#This Row],[Country]],Table116[Women''s Team Sprint Classification],"&gt;0")</f>
        <v>0</v>
      </c>
      <c r="NX174" s="6">
        <f>COUNTIFS(Table119[Country],Tabela1[[#This Row],[Country]],Table119[Men''s Classification],"&gt;0")</f>
        <v>0</v>
      </c>
      <c r="NY174" s="6">
        <f>COUNTIFS(Table119[Country],Tabela1[[#This Row],[Country]],Table119[Women''s Classification],"&gt;0")</f>
        <v>0</v>
      </c>
      <c r="NZ174" s="6">
        <f>COUNTIFS(Table118[Country],Tabela1[[#This Row],[Country]],Table118[Mixed Classification],"&gt;0")</f>
        <v>0</v>
      </c>
      <c r="OA174" s="6">
        <f>COUNTIFS(Table120[Country],Tabela1[[#This Row],[Country]],Table120[Classification],"&gt;0")</f>
        <v>0</v>
      </c>
      <c r="OB174" s="6">
        <f>COUNTIFS(Table120123[Country],Tabela1[[#This Row],[Country]],Table120123[Classification],"&gt;0")</f>
        <v>0</v>
      </c>
      <c r="OC174" s="6">
        <f>COUNTIFS(Table123[Country],Tabela1[[#This Row],[Country]],Table123[Ice Dance Classification],"&gt;0")</f>
        <v>0</v>
      </c>
      <c r="OD174" s="6">
        <f>COUNTIFS(Table123[Country],Tabela1[[#This Row],[Country]],Table123[Pair Skating Classification],"&gt;0")</f>
        <v>0</v>
      </c>
      <c r="OE174" s="6">
        <f>COUNTIFS(Table124[Country],Tabela1[[#This Row],[Country]],Table124[Mixed Classification],"&gt;0")</f>
        <v>0</v>
      </c>
      <c r="OF174" s="6">
        <f>COUNTIFS(Table125[Country],Tabela1[[#This Row],[Country]],Table125[Aerials Classification],"&gt;0")</f>
        <v>0</v>
      </c>
      <c r="OG174" s="6">
        <f>COUNTIFS(Table125128[Country],Tabela1[[#This Row],[Country]],Table125128[Aerials Classification],"&gt;0")</f>
        <v>0</v>
      </c>
      <c r="OH174" s="6">
        <f>COUNTIFS(Table128[Country],Tabela1[[#This Row],[Country]],Table128[Mixed Aerials Classification],"&gt;0")</f>
        <v>0</v>
      </c>
      <c r="OI174" s="6">
        <f>COUNTIFS(Table125[Country],Tabela1[[#This Row],[Country]],Table125[Big Air Classification],"&gt;0")</f>
        <v>0</v>
      </c>
      <c r="OJ174" s="6">
        <f>COUNTIFS(Table125128[Country],Tabela1[[#This Row],[Country]],Table125128[Big Air Classification],"&gt;0")</f>
        <v>0</v>
      </c>
      <c r="OK174" s="6">
        <f>COUNTIFS(Table125[Country],Tabela1[[#This Row],[Country]],Table125[Dual Moguls Classification],"&gt;0")</f>
        <v>0</v>
      </c>
      <c r="OL174" s="6">
        <f>COUNTIFS(Table125128[Country],Tabela1[[#This Row],[Country]],Table125128[Dual Moguls Classification],"&gt;0")</f>
        <v>0</v>
      </c>
      <c r="OM174" s="6">
        <f>COUNTIFS(Table125[Country],Tabela1[[#This Row],[Country]],Table125[Halfpipe Classification],"&gt;0")</f>
        <v>0</v>
      </c>
      <c r="ON174" s="6">
        <f>COUNTIFS(Table125128[Country],Tabela1[[#This Row],[Country]],Table125128[Halfpipe Classification],"&gt;0")</f>
        <v>0</v>
      </c>
      <c r="OO174" s="6">
        <f>COUNTIFS(Table125[Country],Tabela1[[#This Row],[Country]],Table125[Moguls Classification],"&gt;0")</f>
        <v>0</v>
      </c>
      <c r="OP174" s="6">
        <f>COUNTIFS(Table125128[Country],Tabela1[[#This Row],[Country]],Table125128[Moguls Classification],"&gt;0")</f>
        <v>0</v>
      </c>
      <c r="OQ174" s="6">
        <f>COUNTIFS(Table125[Country],Tabela1[[#This Row],[Country]],Table125[Ski Cross Classification],"&gt;0")</f>
        <v>0</v>
      </c>
      <c r="OR174" s="6">
        <f>COUNTIFS(Table125128[Country],Tabela1[[#This Row],[Country]],Table125128[Ski Cross Classification],"&gt;0")</f>
        <v>0</v>
      </c>
      <c r="OS174" s="6">
        <f>COUNTIFS(Table125[Country],Tabela1[[#This Row],[Country]],Table125[Slopestyle Classification],"&gt;0")</f>
        <v>0</v>
      </c>
      <c r="OT174" s="6">
        <f>COUNTIFS(Table125128[Country],Tabela1[[#This Row],[Country]],Table125128[Slopestyle Classification],"&gt;0")</f>
        <v>0</v>
      </c>
      <c r="OU174" s="6">
        <f>COUNTIFS(Table119131[Country],Tabela1[[#This Row],[Country]],Table119131[Men''s Classification],"&gt;0")</f>
        <v>0</v>
      </c>
      <c r="OV174" s="6">
        <f>COUNTIFS(Table119131[Country],Tabela1[[#This Row],[Country]],Table119131[Women''s Classification],"&gt;0")</f>
        <v>0</v>
      </c>
      <c r="OW174" s="6">
        <f>COUNTIFS(Table131[Country],Tabela1[[#This Row],[Country]],Table131[Classification],"&gt;0")</f>
        <v>0</v>
      </c>
      <c r="OX174" s="6">
        <f>COUNTIFS(Table131134[Country],Tabela1[[#This Row],[Country]],Table131134[Classification],"&gt;0")</f>
        <v>0</v>
      </c>
      <c r="OY174" s="6">
        <f>COUNTIFS(Table134[Country],Tabela1[[#This Row],[Country]],Table134[Men''s Classification],"&gt;0")</f>
        <v>0</v>
      </c>
      <c r="OZ174" s="6">
        <f>COUNTIFS(Table134[Country],Tabela1[[#This Row],[Country]],Table134[Women''s Classification],"&gt;0")</f>
        <v>0</v>
      </c>
      <c r="PA174" s="6">
        <f>COUNTIFS(Table135[Country],Tabela1[[#This Row],[Country]],Table135[Mixed Relay Classification],"&gt;0")</f>
        <v>0</v>
      </c>
      <c r="PB174" s="6">
        <f>COUNTIFS(Table136[Country],Tabela1[[#This Row],[Country]],Table136[Individual Classification],"&gt;0")</f>
        <v>0</v>
      </c>
      <c r="PC174" s="6">
        <f>COUNTIFS(Table136[Country],Tabela1[[#This Row],[Country]],Table136[Sprint Classification],"&gt;0")</f>
        <v>0</v>
      </c>
      <c r="PD174" s="6">
        <f>COUNTIFS(Table137[Country],Tabela1[[#This Row],[Country]],Table137[Men''s Team Sprint Large Hill Classification],"&gt;0")</f>
        <v>0</v>
      </c>
      <c r="PE174" s="6">
        <f>COUNTIFS(Table138[Country],Tabela1[[#This Row],[Country]],Table138[500m Classification],"&gt;0")</f>
        <v>0</v>
      </c>
      <c r="PF174" s="6">
        <f>COUNTIFS(Table138141[Country],Tabela1[[#This Row],[Country]],Table138141[500m Classification],"&gt;0")</f>
        <v>0</v>
      </c>
      <c r="PG174" s="6">
        <f>COUNTIFS(Table138[Country],Tabela1[[#This Row],[Country]],Table138[1000m Classification],"&gt;0")</f>
        <v>0</v>
      </c>
      <c r="PH174" s="6">
        <f>COUNTIFS(Table138141[Country],Tabela1[[#This Row],[Country]],Table138141[1000m Classification],"&gt;0")</f>
        <v>0</v>
      </c>
      <c r="PI174" s="6">
        <f>COUNTIFS(Table138[Country],Tabela1[[#This Row],[Country]],Table138[1500m Classification],"&gt;0")</f>
        <v>0</v>
      </c>
      <c r="PJ174" s="6">
        <f>COUNTIFS(Table138141[Country],Tabela1[[#This Row],[Country]],Table138141[1500m Classification],"&gt;0")</f>
        <v>0</v>
      </c>
      <c r="PK174" s="6">
        <f>COUNTIFS(Table141[Country],Tabela1[[#This Row],[Country]],Table141[Men''s 5000m Relay Classification],"&gt;0")</f>
        <v>0</v>
      </c>
      <c r="PL174" s="6">
        <f>COUNTIFS(Table141[Country],Tabela1[[#This Row],[Country]],Table141[Women''s 3000m Relay Classification],"&gt;0")</f>
        <v>0</v>
      </c>
      <c r="PM174" s="6">
        <f>COUNTIFS(Table141[Country],Tabela1[[#This Row],[Country]],Table141[Mixed 2000m Relay Classification],"&gt;0")</f>
        <v>0</v>
      </c>
      <c r="PN174" s="6">
        <f>COUNTIFS(Table142[Country],Tabela1[[#This Row],[Country]],Table142[Classification],"&gt;0")</f>
        <v>0</v>
      </c>
      <c r="PO174" s="6">
        <f>COUNTIFS(Table142145[Country],Tabela1[[#This Row],[Country]],Table142145[Classification],"&gt;0")</f>
        <v>0</v>
      </c>
      <c r="PP174" s="6">
        <f>COUNTIFS(Tabela15[Country],Tabela1[[#This Row],[Country]],Tabela15[Mixed Team Classification],"&gt;0")</f>
        <v>0</v>
      </c>
      <c r="PQ174" s="6">
        <f>COUNTIFS(Table145[Country],Tabela1[[#This Row],[Country]],Table145[Large Hill Classification],"&gt;0")</f>
        <v>0</v>
      </c>
      <c r="PR174" s="6">
        <f>COUNTIFS(Table145[Country],Tabela1[[#This Row],[Country]],Table145[Normal Hill Classification],"&gt;0")</f>
        <v>0</v>
      </c>
      <c r="PS174" s="6">
        <f>COUNTIFS(Table145148[Country],Tabela1[[#This Row],[Country]],Table145148[Large Hill Classification],"&gt;0")</f>
        <v>0</v>
      </c>
      <c r="PT174" s="6">
        <f>COUNTIFS(Table145148[Country],Tabela1[[#This Row],[Country]],Table145148[Normal Hill Classification],"&gt;0")</f>
        <v>0</v>
      </c>
      <c r="PU174" s="6">
        <f>COUNTIFS(Table148[Country],Tabela1[[#This Row],[Country]],Table148[Men''s Super Team Classification],"&gt;0")</f>
        <v>0</v>
      </c>
      <c r="PV174" s="6">
        <f>COUNTIFS(Tabela114[Country],Tabela1[[#This Row],[Country]],Tabela114[Mixed Normal Hill Classification],"&gt;0")</f>
        <v>0</v>
      </c>
      <c r="PW174" s="6">
        <f>COUNTIFS(Tabela50[Country],Tabela1[[#This Row],[Country]],Tabela50[Sprint Classification],"&gt;0")</f>
        <v>0</v>
      </c>
      <c r="PX174" s="6">
        <f>COUNTIFS(Tabela50101[Country],Tabela1[[#This Row],[Country]],Tabela50101[Sprint Classification],"&gt;0")</f>
        <v>0</v>
      </c>
      <c r="PY174" s="6">
        <f>COUNTIFS(Tabela103[Country],Tabela1[[#This Row],[Country]],Tabela103[Mixed Relay Classification],"&gt;0")</f>
        <v>0</v>
      </c>
      <c r="PZ174" s="6">
        <f>COUNTIFS(Table149[Country],Tabela1[[#This Row],[Country]],Table149[Big Air Classification],"&gt;0")</f>
        <v>0</v>
      </c>
      <c r="QA174" s="6">
        <f>COUNTIFS(Table149152[Country],Tabela1[[#This Row],[Country]],Table149152[Big Air Classification],"&gt;0")</f>
        <v>0</v>
      </c>
      <c r="QB174" s="6">
        <f>COUNTIFS(Table149[Country],Tabela1[[#This Row],[Country]],Table149[Halfpipe Classification],"&gt;0")</f>
        <v>0</v>
      </c>
      <c r="QC174" s="6">
        <f>COUNTIFS(Table149152[Country],Tabela1[[#This Row],[Country]],Table149152[Halfpipe Classification],"&gt;0")</f>
        <v>0</v>
      </c>
      <c r="QD174" s="6">
        <f>COUNTIFS(Table149[Country],Tabela1[[#This Row],[Country]],Table149[Parallel Giant Slalom Classification],"&gt;0")</f>
        <v>0</v>
      </c>
      <c r="QE174" s="6">
        <f>COUNTIFS(Table149152[Country],Tabela1[[#This Row],[Country]],Table149152[Parallel Giant Slalom Classification],"&gt;0")</f>
        <v>0</v>
      </c>
      <c r="QF174" s="6">
        <f>COUNTIFS(Table149[Country],Tabela1[[#This Row],[Country]],Table149[Slopestyle Classification],"&gt;0")</f>
        <v>0</v>
      </c>
      <c r="QG174" s="6">
        <f>COUNTIFS(Table149152[Country],Tabela1[[#This Row],[Country]],Table149152[Slopestyle Classification],"&gt;0")</f>
        <v>0</v>
      </c>
      <c r="QH174" s="6">
        <f>COUNTIFS(Table149[Country],Tabela1[[#This Row],[Country]],Table149[Snowboard Cross Classification],"&gt;0")</f>
        <v>0</v>
      </c>
      <c r="QI174" s="6">
        <f>COUNTIFS(Table149152[Country],Tabela1[[#This Row],[Country]],Table149152[Snowboard Cross Classification],"&gt;0")</f>
        <v>0</v>
      </c>
      <c r="QJ174" s="6">
        <f>COUNTIFS(Table153[Country],Tabela1[[#This Row],[Country]],Table153[Mixed Team Snowboard Cross Classification],"&gt;0")</f>
        <v>0</v>
      </c>
      <c r="QK174" s="6">
        <f>COUNTIFS(Table154[Country],Tabela1[[#This Row],[Country]],Table154[500m Classification],"&gt;0")</f>
        <v>0</v>
      </c>
      <c r="QL174" s="6">
        <f>COUNTIFS(Table154157[Country],Tabela1[[#This Row],[Country]],Table154157[500m Classification],"&gt;0")</f>
        <v>0</v>
      </c>
      <c r="QM174" s="6">
        <f>COUNTIFS(Table154[Country],Tabela1[[#This Row],[Country]],Table154[1000m Classification],"&gt;0")</f>
        <v>0</v>
      </c>
      <c r="QN174" s="6">
        <f>COUNTIFS(Table154157[Country],Tabela1[[#This Row],[Country]],Table154157[1000m Classification],"&gt;0")</f>
        <v>0</v>
      </c>
      <c r="QO174" s="6">
        <f>COUNTIFS(Table154[Country],Tabela1[[#This Row],[Country]],Table154[1500m Classification],"&gt;0")</f>
        <v>0</v>
      </c>
      <c r="QP174" s="6">
        <f>COUNTIFS(Table154157[Country],Tabela1[[#This Row],[Country]],Table154157[1500m Classification],"&gt;0")</f>
        <v>0</v>
      </c>
      <c r="QQ174" s="6">
        <f>COUNTIFS(Table154157[Country],Tabela1[[#This Row],[Country]],Table154157[3000m Classification],"&gt;0")</f>
        <v>0</v>
      </c>
      <c r="QR174" s="6">
        <f>COUNTIFS(Table154[Country],Tabela1[[#This Row],[Country]],Table154[5000m Classification],"&gt;0")</f>
        <v>0</v>
      </c>
      <c r="QS174" s="6">
        <f>COUNTIFS(Table154157[Country],Tabela1[[#This Row],[Country]],Table154157[5000m Classification],"&gt;0")</f>
        <v>0</v>
      </c>
      <c r="QT174" s="6">
        <f>COUNTIFS(Table154[Country],Tabela1[[#This Row],[Country]],Table154[10000m Classification],"&gt;0")</f>
        <v>0</v>
      </c>
      <c r="QU174" s="6">
        <f>COUNTIFS(Table154[Country],Tabela1[[#This Row],[Country]],Table154[Mass Start Classification],"&gt;0")</f>
        <v>0</v>
      </c>
      <c r="QV174" s="6">
        <f>COUNTIFS(Table154157[Country],Tabela1[[#This Row],[Country]],Table154157[Mass Start Classification],"&gt;0")</f>
        <v>0</v>
      </c>
      <c r="QW174" s="6">
        <f>COUNTIFS(Table157[Country],Tabela1[[#This Row],[Country]],Table157[Men''s Pursuit Classification],"&gt;0")</f>
        <v>0</v>
      </c>
      <c r="QX174" s="6">
        <f>COUNTIFS(Table157[Country],Tabela1[[#This Row],[Country]],Table157[Women''s Pursuit Classification],"&gt;0")</f>
        <v>0</v>
      </c>
      <c r="QY174" s="4" t="s">
        <v>565</v>
      </c>
    </row>
    <row r="175" spans="1:467" x14ac:dyDescent="0.3">
      <c r="A175" s="6">
        <v>174</v>
      </c>
      <c r="B175" s="6" t="s">
        <v>566</v>
      </c>
      <c r="C175" t="e" vm="174">
        <f>IF(ISBLANK(Tabela1[[#This Row],[Image Link]]), "", _xlfn.IMAGE(Tabela1[[#This Row],[Image Link]],1,1))</f>
        <v>#VALUE!</v>
      </c>
      <c r="D175" s="6">
        <f>SUM(Tabela1[[#This Row],[Archery - Men''s Individual Recurve]:[Speed Skating - Women''s Team Pursuit]])</f>
        <v>0</v>
      </c>
      <c r="E175" s="6">
        <f>COUNTIF(Tabela1[[#This Row],[Archery - Men''s Individual Recurve]:[Speed Skating - Women''s Team Pursuit]],"&gt;0")</f>
        <v>0</v>
      </c>
      <c r="F175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75" s="6">
        <f>SUM(Tabela1[[#This Row],[Archery - Men''s Individual Recurve]:[Wrestling - Women''s Freestyle 76kg]])</f>
        <v>0</v>
      </c>
      <c r="H175" s="6">
        <f>SUM(Tabela1[[#This Row],[Alpine Skiing - Men''s Downhill]:[Speed Skating - Women''s Team Pursuit]])</f>
        <v>0</v>
      </c>
      <c r="I175" s="6">
        <f>Tabela1[[#This Row],[Summer Gold Medals]]+Tabela1[[#This Row],[Winter Gold Medals]]</f>
        <v>0</v>
      </c>
      <c r="J175" s="6">
        <f>Tabela1[[#This Row],[Summer Silver Medals]]+Tabela1[[#This Row],[Winter Silver Medals]]</f>
        <v>0</v>
      </c>
      <c r="K175" s="6">
        <f>Tabela1[[#This Row],[Summer Bronze Medals]]+Tabela1[[#This Row],[Winter Bronze Medals]]</f>
        <v>0</v>
      </c>
      <c r="L175" s="6">
        <f>SUM(Tabela1[[#This Row],[Total Gold Medals]:[Total Bronze Medals]])</f>
        <v>0</v>
      </c>
      <c r="M175" s="6"/>
      <c r="N175" s="6"/>
      <c r="O175" s="6"/>
      <c r="P175" s="6">
        <f>SUM(Tabela1[[#This Row],[Summer Gold Medals]:[Summer Bronze Medals]])</f>
        <v>0</v>
      </c>
      <c r="Q175" s="6"/>
      <c r="R175" s="6"/>
      <c r="S175" s="6"/>
      <c r="T175" s="6">
        <f>Tabela1[[#This Row],[Winter Gold Medals]]+Tabela1[[#This Row],[Winter Silver Medals]]+Tabela1[[#This Row],[Winter Bronze Medals]]</f>
        <v>0</v>
      </c>
      <c r="U175" s="7" t="e">
        <f>Tabela1[[#This Row],[Total Medals]]/Tabela1[[#This Row],[Total Quotas]]</f>
        <v>#DIV/0!</v>
      </c>
      <c r="V175" s="6">
        <f>COUNTIFS(Table3[Country],Tabela1[[#This Row],[Country]],Table3[Recurve Classification],"&gt;0")</f>
        <v>0</v>
      </c>
      <c r="W175" s="6">
        <f>COUNTIFS(Table33[Country],Tabela1[[#This Row],[Country]],Table33[Recurve Classification],"&gt;0")</f>
        <v>0</v>
      </c>
      <c r="X175" s="6">
        <f>COUNTIFS(Table35[Country],Tabela1[[#This Row],[Country]],Table35[Men''s Team Recurve Classification],"&gt;0")</f>
        <v>0</v>
      </c>
      <c r="Y175" s="6">
        <f>COUNTIFS(Table35[Country],Tabela1[[#This Row],[Country]],Table35[Women''s Team Recurve Classification],"&gt;0")</f>
        <v>0</v>
      </c>
      <c r="Z175" s="6">
        <f>COUNTIFS(Tabela88[Country],Tabela1[[#This Row],[Country]],Tabela88[Mixed Team Recurve Classification],"&gt;0")</f>
        <v>0</v>
      </c>
      <c r="AA175" s="6">
        <f>COUNTIFS(Table36[Country],Tabela1[[#This Row],[Country]],Table36[Classification],"&gt;0")</f>
        <v>0</v>
      </c>
      <c r="AB175" s="6">
        <f>COUNTIFS(Table37[Country],Tabela1[[#This Row],[Country]],Table37[Classification],"&gt;0")</f>
        <v>0</v>
      </c>
      <c r="AC175" s="6">
        <f>COUNTIFS(Table4[Country],Tabela1[[#This Row],[Country]],Table4[100m Classification],"&gt;0")</f>
        <v>0</v>
      </c>
      <c r="AD175" s="6">
        <f>COUNTIFS(Table5[Country],Tabela1[[#This Row],[Country]],Table5[100m Classification],"&gt;0")</f>
        <v>0</v>
      </c>
      <c r="AE175" s="6">
        <f>COUNTIFS(Table4[Country],Tabela1[[#This Row],[Country]],Table4[200m Classification],"&gt;0")</f>
        <v>0</v>
      </c>
      <c r="AF175" s="6">
        <f>COUNTIFS(Table5[Country],Tabela1[[#This Row],[Country]],Table5[200m Classification],"&gt;0")</f>
        <v>0</v>
      </c>
      <c r="AG175" s="6">
        <f>COUNTIFS(Table4[Country],Tabela1[[#This Row],[Country]],Table4[400m Classification],"&gt;0")</f>
        <v>0</v>
      </c>
      <c r="AH175" s="6">
        <f>COUNTIFS(Table5[Country],Tabela1[[#This Row],[Country]],Table5[400m Classification],"&gt;0")</f>
        <v>0</v>
      </c>
      <c r="AI175" s="6">
        <f>COUNTIFS(Table4[Country],Tabela1[[#This Row],[Country]],Table4[800m Classification],"&gt;0")</f>
        <v>0</v>
      </c>
      <c r="AJ175" s="6">
        <f>COUNTIFS(Table5[Country],Tabela1[[#This Row],[Country]],Table5[800m Classification],"&gt;0")</f>
        <v>0</v>
      </c>
      <c r="AK175" s="6">
        <f>COUNTIFS(Table4[Country],Tabela1[[#This Row],[Country]],Table4[1500m Classification],"&gt;0")</f>
        <v>0</v>
      </c>
      <c r="AL175" s="6">
        <f>COUNTIFS(Table5[Country],Tabela1[[#This Row],[Country]],Table5[1500m Classification],"&gt;0")</f>
        <v>0</v>
      </c>
      <c r="AM175" s="6">
        <f>COUNTIFS(Table4[Country],Tabela1[[#This Row],[Country]],Table4[5000m Classification],"&gt;0")</f>
        <v>0</v>
      </c>
      <c r="AN175" s="6">
        <f>COUNTIFS(Table5[Country],Tabela1[[#This Row],[Country]],Table5[5000m Classification],"&gt;0")</f>
        <v>0</v>
      </c>
      <c r="AO175" s="6">
        <f>COUNTIFS(Table4[Country],Tabela1[[#This Row],[Country]],Table4[10000m Classification],"&gt;0")</f>
        <v>0</v>
      </c>
      <c r="AP175" s="6">
        <f>COUNTIFS(Table5[Country],Tabela1[[#This Row],[Country]],Table5[10000m Classification],"&gt;0")</f>
        <v>0</v>
      </c>
      <c r="AQ175" s="6">
        <f>COUNTIFS(Table4[Country],Tabela1[[#This Row],[Country]],Table4[110m Hurdles Classification],"&gt;0")</f>
        <v>0</v>
      </c>
      <c r="AR175" s="6">
        <f>COUNTIFS(Table5[Country],Tabela1[[#This Row],[Country]],Table5[100m Hurdles Classification],"&gt;0")</f>
        <v>0</v>
      </c>
      <c r="AS175" s="6">
        <f>COUNTIFS(Table4[Country],Tabela1[[#This Row],[Country]],Table4[400m Hurdles Classification],"&gt;0")</f>
        <v>0</v>
      </c>
      <c r="AT175" s="6">
        <f>COUNTIFS(Table5[Country],Tabela1[[#This Row],[Country]],Table5[400m Hurdles Classification],"&gt;0")</f>
        <v>0</v>
      </c>
      <c r="AU175" s="6">
        <f>COUNTIFS(Table4[Country],Tabela1[[#This Row],[Country]],Table4[3000m Steeplechase Classification],"&gt;0")</f>
        <v>0</v>
      </c>
      <c r="AV175" s="6">
        <f>COUNTIFS(Table5[Country],Tabela1[[#This Row],[Country]],Table5[3000m Steeplechase Classification],"&gt;0")</f>
        <v>0</v>
      </c>
      <c r="AW175" s="6">
        <f>COUNTIFS(Table27[Country],Tabela1[[#This Row],[Country]],Table27[Men''s 4x100m Relay Classification],"&gt;0")</f>
        <v>0</v>
      </c>
      <c r="AX175" s="6">
        <f>COUNTIFS(Table27[Country],Tabela1[[#This Row],[Country]],Table27[Women''s 4x100m Relay Classification],"&gt;0")</f>
        <v>0</v>
      </c>
      <c r="AY175" s="6">
        <f>COUNTIFS(Table27[Country],Tabela1[[#This Row],[Country]],Table27[Men''s 4x400m Relay Classification],"&gt;0")</f>
        <v>0</v>
      </c>
      <c r="AZ175" s="6">
        <f>COUNTIFS(Table27[Country],Tabela1[[#This Row],[Country]],Table27[Women''s 4x400m Relay Classification],"&gt;0")</f>
        <v>0</v>
      </c>
      <c r="BA175" s="6">
        <f>COUNTIFS(Table27[Country],Tabela1[[#This Row],[Country]],Table27[Mixed 4x400m Relay Classification],"&gt;0")</f>
        <v>0</v>
      </c>
      <c r="BB175" s="6">
        <f>COUNTIFS(Table4[Country],Tabela1[[#This Row],[Country]],Table4[Marathon Classification],"&gt;0")</f>
        <v>0</v>
      </c>
      <c r="BC175" s="6">
        <f>COUNTIFS(Table5[Country],Tabela1[[#This Row],[Country]],Table5[Marathon Classification],"&gt;0")</f>
        <v>0</v>
      </c>
      <c r="BD175" s="6">
        <f>COUNTIFS(Table4[Country],Tabela1[[#This Row],[Country]],Table4[20km Race Walk Classification],"&gt;0")</f>
        <v>0</v>
      </c>
      <c r="BE175" s="6">
        <f>COUNTIFS(Table5[Country],Tabela1[[#This Row],[Country]],Table5[20km Race Walk Classification],"&gt;0")</f>
        <v>0</v>
      </c>
      <c r="BF175" s="6">
        <f>COUNTIFS(Tabela96[Country],Tabela1[[#This Row],[Country]],Tabela96[Mixed Marathon Race Walk Relay Classification],"&gt;0")</f>
        <v>0</v>
      </c>
      <c r="BG175" s="6">
        <f>COUNTIFS(Table4[Country],Tabela1[[#This Row],[Country]],Table4[Discus Throw Classification],"&gt;0")</f>
        <v>0</v>
      </c>
      <c r="BH175" s="6">
        <f>COUNTIFS(Table5[Country],Tabela1[[#This Row],[Country]],Table5[Discus Throw Classification],"&gt;0")</f>
        <v>0</v>
      </c>
      <c r="BI175" s="6">
        <f>COUNTIFS(Table4[Country],Tabela1[[#This Row],[Country]],Table4[Hammer Throw Classification],"&gt;0")</f>
        <v>0</v>
      </c>
      <c r="BJ175" s="6">
        <f>COUNTIFS(Table5[Country],Tabela1[[#This Row],[Country]],Table5[Hammer Throw Classification],"&gt;0")</f>
        <v>0</v>
      </c>
      <c r="BK175" s="6">
        <f>COUNTIFS(Table4[Country],Tabela1[[#This Row],[Country]],Table4[High Jump Classification],"&gt;0")</f>
        <v>0</v>
      </c>
      <c r="BL175" s="6">
        <f>COUNTIFS(Table5[Country],Tabela1[[#This Row],[Country]],Table5[High Jump Classification],"&gt;0")</f>
        <v>0</v>
      </c>
      <c r="BM175" s="6">
        <f>COUNTIFS(Table4[Country],Tabela1[[#This Row],[Country]],Table4[Javelin Throw Classification],"&gt;0")</f>
        <v>0</v>
      </c>
      <c r="BN175" s="6">
        <f>COUNTIFS(Table5[Country],Tabela1[[#This Row],[Country]],Table5[Javelin Throw Classification],"&gt;0")</f>
        <v>0</v>
      </c>
      <c r="BO175" s="6">
        <f>COUNTIFS(Table4[Country],Tabela1[[#This Row],[Country]],Table4[Long Jump Classification],"&gt;0")</f>
        <v>0</v>
      </c>
      <c r="BP175" s="6">
        <f>COUNTIFS(Table5[Country],Tabela1[[#This Row],[Country]],Table5[Long Jump Classification],"&gt;0")</f>
        <v>0</v>
      </c>
      <c r="BQ175" s="6">
        <f>COUNTIFS(Table4[Country],Tabela1[[#This Row],[Country]],Table4[Pole Vault Classification],"&gt;0")</f>
        <v>0</v>
      </c>
      <c r="BR175" s="6">
        <f>COUNTIFS(Table5[Country],Tabela1[[#This Row],[Country]],Table5[Pole Vault Classification],"&gt;0")</f>
        <v>0</v>
      </c>
      <c r="BS175" s="6">
        <f>COUNTIFS(Table4[Country],Tabela1[[#This Row],[Country]],Table4[Shot Put Classification],"&gt;0")</f>
        <v>0</v>
      </c>
      <c r="BT175" s="6">
        <f>COUNTIFS(Table5[Country],Tabela1[[#This Row],[Country]],Table5[Shot Put Classification],"&gt;0")</f>
        <v>0</v>
      </c>
      <c r="BU175" s="6">
        <f>COUNTIFS(Table4[Country],Tabela1[[#This Row],[Country]],Table4[Triple Jump Classification],"&gt;0")</f>
        <v>0</v>
      </c>
      <c r="BV175" s="6">
        <f>COUNTIFS(Table5[Country],Tabela1[[#This Row],[Country]],Table5[Triple Jump Classification],"&gt;0")</f>
        <v>0</v>
      </c>
      <c r="BW175" s="6">
        <f>COUNTIFS(Table4[Country],Tabela1[[#This Row],[Country]],Table4[Decathlon Classification],"&gt;0")</f>
        <v>0</v>
      </c>
      <c r="BX175" s="6">
        <f>COUNTIFS(Table5[Country],Tabela1[[#This Row],[Country]],Table5[Heptathlon Classification],"&gt;0")</f>
        <v>0</v>
      </c>
      <c r="BY175" s="6">
        <f>COUNTIFS(Table61[Country],Tabela1[[#This Row],[Country]],Table61[Classification],"&gt;0")</f>
        <v>0</v>
      </c>
      <c r="BZ175" s="6">
        <f>COUNTIFS(Table38[Country],Tabela1[[#This Row],[Country]],Table38[Classification],"&gt;0")</f>
        <v>0</v>
      </c>
      <c r="CA175" s="6">
        <f>COUNTIFS(Table39[Country],Tabela1[[#This Row],[Country]],Table39[Men''s Classification],"&gt;0")</f>
        <v>0</v>
      </c>
      <c r="CB175" s="6">
        <f>COUNTIFS(Table39[Country],Tabela1[[#This Row],[Country]],Table39[Women''s Classification],"&gt;0")</f>
        <v>0</v>
      </c>
      <c r="CC175" s="6">
        <f>COUNTIFS(Table39[Country],Tabela1[[#This Row],[Country]],Table39[Mixed Classification],"&gt;0")</f>
        <v>0</v>
      </c>
      <c r="CD175" s="6">
        <f>COUNTIFS(Table89[Country],Tabela1[[#This Row],[Country]],Table89[Men''s Classification],"&gt;0")</f>
        <v>0</v>
      </c>
      <c r="CE175" s="6">
        <f>COUNTIFS(Table89[Country],Tabela1[[#This Row],[Country]],Table89[Women''s Classification],"&gt;0")</f>
        <v>0</v>
      </c>
      <c r="CF175" s="6">
        <f>COUNTIFS(Table90[Country],Tabela1[[#This Row],[Country]],Table90[Men''s Classification],"&gt;0")</f>
        <v>0</v>
      </c>
      <c r="CG175" s="6">
        <f>COUNTIFS(Table90[Country],Tabela1[[#This Row],[Country]],Table90[Women''s Classification],"&gt;0")</f>
        <v>0</v>
      </c>
      <c r="CH175" s="6">
        <f>COUNTIFS(Table60[Country],Tabela1[[#This Row],[Country]],Table60[Men''s Classification],"&gt;0")</f>
        <v>0</v>
      </c>
      <c r="CI175" s="6">
        <f>COUNTIFS(Table60[Country],Tabela1[[#This Row],[Country]],Table60[Women''s Classification],"&gt;0")</f>
        <v>0</v>
      </c>
      <c r="CJ175" s="6">
        <f>COUNTIFS(Table6[Country],Tabela1[[#This Row],[Country]],Table6[51kg Classification],"&gt;0")</f>
        <v>0</v>
      </c>
      <c r="CK175" s="6">
        <f>COUNTIFS(Table6[Country],Tabela1[[#This Row],[Country]],Table6[57kg Classification],"&gt;0")</f>
        <v>0</v>
      </c>
      <c r="CL175" s="6">
        <f>COUNTIFS(Table6[Country],Tabela1[[#This Row],[Country]],Table6[63.5kg Classification],"&gt;0")</f>
        <v>0</v>
      </c>
      <c r="CM175" s="6">
        <f>COUNTIFS(Table6[Country],Tabela1[[#This Row],[Country]],Table6[71kg Classification],"&gt;0")</f>
        <v>0</v>
      </c>
      <c r="CN175" s="6">
        <f>COUNTIFS(Table6[Country],Tabela1[[#This Row],[Country]],Table6[80kg Classification],"&gt;0")</f>
        <v>0</v>
      </c>
      <c r="CO175" s="6">
        <f>COUNTIFS(Table6[Country],Tabela1[[#This Row],[Country]],Table6[92kg Classification],"&gt;0")</f>
        <v>0</v>
      </c>
      <c r="CP175" s="6">
        <f>COUNTIFS(Table6[Country],Tabela1[[#This Row],[Country]],Table6[Plus 92kg Classification],"&gt;0")</f>
        <v>0</v>
      </c>
      <c r="CQ175" s="6">
        <f>COUNTIFS(Table7[Country],Tabela1[[#This Row],[Country]],Table7[50kg Classification],"&gt;0")</f>
        <v>0</v>
      </c>
      <c r="CR175" s="6">
        <f>COUNTIFS(Table7[Country],Tabela1[[#This Row],[Country]],Table7[54kg Classification],"&gt;0")</f>
        <v>0</v>
      </c>
      <c r="CS175" s="6">
        <f>COUNTIFS(Table7[Country],Tabela1[[#This Row],[Country]],Table7[57kg Classification],"&gt;0")</f>
        <v>0</v>
      </c>
      <c r="CT175" s="6">
        <f>COUNTIFS(Table7[Country],Tabela1[[#This Row],[Country]],Table7[60kg Classification],"&gt;0")</f>
        <v>0</v>
      </c>
      <c r="CU175" s="6">
        <f>COUNTIFS(Table7[Country],Tabela1[[#This Row],[Country]],Table7[66kg Classification],"&gt;0")</f>
        <v>0</v>
      </c>
      <c r="CV175" s="6">
        <f>COUNTIFS(Table7[Country],Tabela1[[#This Row],[Country]],Table7[75kg Classification],"&gt;0")</f>
        <v>0</v>
      </c>
      <c r="CW175" s="6">
        <f>COUNTIFS(Tabela94[Country],Tabela1[[#This Row],[Country]],Tabela94[Classification],"&gt;0")</f>
        <v>0</v>
      </c>
      <c r="CX175" s="6">
        <f>COUNTIFS(Tabela9499[Country],Tabela1[[#This Row],[Country]],Tabela9499[Classification],"&gt;0")</f>
        <v>0</v>
      </c>
      <c r="CY175" s="6">
        <f>COUNTIFS(Tabela107[Country],Tabela1[[#This Row],[Country]],Tabela107[C1 Slalom Classification],"&gt;0")</f>
        <v>0</v>
      </c>
      <c r="CZ175" s="6">
        <f>COUNTIFS(Tabela107122[Country],Tabela1[[#This Row],[Country]],Tabela107122[C1 Slalom Classification],"&gt;0")</f>
        <v>0</v>
      </c>
      <c r="DA175" s="6">
        <f>COUNTIFS(Tabela107[Country],Tabela1[[#This Row],[Country]],Tabela107[K1 Slalom Classification],"&gt;0")</f>
        <v>0</v>
      </c>
      <c r="DB175" s="6">
        <f>COUNTIFS(Tabela107122[Country],Tabela1[[#This Row],[Country]],Tabela107122[K1 Slalom Classification],"&gt;0")</f>
        <v>0</v>
      </c>
      <c r="DC175" s="6">
        <f>COUNTIFS(Tabela107[Country],Tabela1[[#This Row],[Country]],Tabela107[Kayak Cross Slalom Classification],"&gt;0")</f>
        <v>0</v>
      </c>
      <c r="DD175" s="6">
        <f>COUNTIFS(Tabela107122[Country],Tabela1[[#This Row],[Country]],Tabela107122[Kayak Cross Slalom Classification],"&gt;0")</f>
        <v>0</v>
      </c>
      <c r="DE175" s="6">
        <f>COUNTIFS(Table8[Country],Tabela1[[#This Row],[Country]],Table8[C1 200m Classification],"&gt;0")</f>
        <v>0</v>
      </c>
      <c r="DF175" s="6">
        <f>COUNTIFS(Table40[Country],Tabela1[[#This Row],[Country]],Table40[C1 1000m Classification],"&gt;0")</f>
        <v>0</v>
      </c>
      <c r="DG175" s="6">
        <f>COUNTIFS(Table68[Country],Tabela1[[#This Row],[Country]],Table68[Men''s C2 500m Classification],"&gt;0")</f>
        <v>0</v>
      </c>
      <c r="DH175" s="6">
        <f>COUNTIFS(Table68[Country],Tabela1[[#This Row],[Country]],Table68[Women''s C2 500m Classification],"&gt;0")</f>
        <v>0</v>
      </c>
      <c r="DI175" s="6">
        <f>COUNTIFS(Table8[Country],Tabela1[[#This Row],[Country]],Table8[K1 500m Classification],"&gt;0")</f>
        <v>0</v>
      </c>
      <c r="DJ175" s="6">
        <f>COUNTIFS(Table40[Country],Tabela1[[#This Row],[Country]],Table40[K1 1000m Classification],"&gt;0")</f>
        <v>0</v>
      </c>
      <c r="DK175" s="6">
        <f>COUNTIFS(Table68[Country],Tabela1[[#This Row],[Country]],Table68[Men''s K2 500m Classification],"&gt;0")</f>
        <v>0</v>
      </c>
      <c r="DL175" s="6">
        <f>COUNTIFS(Table68[Country],Tabela1[[#This Row],[Country]],Table68[Women''s K2 500m Classification],"&gt;0")</f>
        <v>0</v>
      </c>
      <c r="DM175" s="6">
        <f>COUNTIFS(Table83[Country],Tabela1[[#This Row],[Country]],Table83[Men''s K4 500m Classification],"&gt;0")</f>
        <v>0</v>
      </c>
      <c r="DN175" s="6">
        <f>COUNTIFS(Table83[Country],Tabela1[[#This Row],[Country]],Table83[Women''s K4 500m Classification],"&gt;0")</f>
        <v>0</v>
      </c>
      <c r="DO175" s="6">
        <f>COUNTIFS(Tabela126[Country],Tabela1[[#This Row],[Country]],Tabela126[Classification],"&gt;0")</f>
        <v>0</v>
      </c>
      <c r="DP175" s="6">
        <f>COUNTIFS(Tabela126130[Country],Tabela1[[#This Row],[Country]],Tabela126130[Classification],"&gt;0")</f>
        <v>0</v>
      </c>
      <c r="DQ175" s="6">
        <f>COUNTIFS(Table70[Country],Tabela1[[#This Row],[Country]],Table70[Classification],"&gt;0")</f>
        <v>0</v>
      </c>
      <c r="DR175" s="6">
        <f>COUNTIFS(Table80[Country],Tabela1[[#This Row],[Country]],Table80[Classification],"&gt;0")</f>
        <v>0</v>
      </c>
      <c r="DS175" s="6">
        <f>COUNTIFS(Table66[Country],Tabela1[[#This Row],[Country]],Table66[Classification],"&gt;0")</f>
        <v>0</v>
      </c>
      <c r="DT175" s="6">
        <f>COUNTIFS(Table67[Country],Tabela1[[#This Row],[Country]],Table67[Classification],"&gt;0")</f>
        <v>0</v>
      </c>
      <c r="DU175" s="6">
        <f>COUNTIFS(Table69[Country],Tabela1[[#This Row],[Country]],Table69[Keirin Classification],"&gt;0")</f>
        <v>0</v>
      </c>
      <c r="DV175" s="6">
        <f>COUNTIFS(Table41[Country],Tabela1[[#This Row],[Country]],Table41[Keirin Classification],"&gt;0")</f>
        <v>0</v>
      </c>
      <c r="DW175" s="6">
        <f>COUNTIFS(Table84[Country],Tabela1[[#This Row],[Country]],Table84[Men''s Madison Classification],"&gt;0")</f>
        <v>0</v>
      </c>
      <c r="DX175" s="6">
        <f>COUNTIFS(Table84[Country],Tabela1[[#This Row],[Country]],Table84[Women''s Madison Classification],"&gt;0")</f>
        <v>0</v>
      </c>
      <c r="DY175" s="6">
        <f>COUNTIFS(Table69[Country],Tabela1[[#This Row],[Country]],Table69[Omnium Classification],"&gt;0")</f>
        <v>0</v>
      </c>
      <c r="DZ175" s="6">
        <f>COUNTIFS(Table41[Country],Tabela1[[#This Row],[Country]],Table41[Omnium Classification],"&gt;0")</f>
        <v>0</v>
      </c>
      <c r="EA175" s="6">
        <f>COUNTIFS(Table9[Country],Tabela1[[#This Row],[Country]],Table9[Road Race Classification],"&gt;0")</f>
        <v>0</v>
      </c>
      <c r="EB175" s="6">
        <f>COUNTIFS(Table14[Country],Tabela1[[#This Row],[Country]],Table14[Road Race Classification],"&gt;0")</f>
        <v>0</v>
      </c>
      <c r="EC175" s="6">
        <f>COUNTIFS(Table69[Country],Tabela1[[#This Row],[Country]],Table69[Sprint Classification],"&gt;0")</f>
        <v>0</v>
      </c>
      <c r="ED175" s="6">
        <f>COUNTIFS(Table41[Country],Tabela1[[#This Row],[Country]],Table41[Sprint Classification],"&gt;0")</f>
        <v>0</v>
      </c>
      <c r="EE175" s="6">
        <f>COUNTIFS(Table85[Country],Tabela1[[#This Row],[Country]],Table85[Men''s Sprint Classification],"&gt;0")</f>
        <v>0</v>
      </c>
      <c r="EF175" s="6">
        <f>COUNTIFS(Table85[Country],Tabela1[[#This Row],[Country]],Table85[Women''s Sprint Classification],"&gt;0")</f>
        <v>0</v>
      </c>
      <c r="EG175" s="6">
        <f>COUNTIFS(Table85[Country],Tabela1[[#This Row],[Country]],Table85[Men''s Pursuit Classification],"&gt;0")</f>
        <v>0</v>
      </c>
      <c r="EH175" s="6">
        <f>COUNTIFS(Table85[Country],Tabela1[[#This Row],[Country]],Table85[Women''s Pursuit Classification],"&gt;0")</f>
        <v>0</v>
      </c>
      <c r="EI175" s="6">
        <f>COUNTIFS(Table9[Country],Tabela1[[#This Row],[Country]],Table9[Time-Trial Classification],"&gt;0")</f>
        <v>0</v>
      </c>
      <c r="EJ175" s="6">
        <f>COUNTIFS(Table14[Country],Tabela1[[#This Row],[Country]],Table14[Time-Trial Classification],"&gt;0")</f>
        <v>0</v>
      </c>
      <c r="EK175" s="6">
        <f>COUNTIFS(Table42[Country],Tabela1[[#This Row],[Country]],Table42[Springboard Classification],"&gt;0")</f>
        <v>0</v>
      </c>
      <c r="EL175" s="6">
        <f>COUNTIFS(Table43[Country],Tabela1[[#This Row],[Country]],Table43[Springboard Classification],"&gt;0")</f>
        <v>0</v>
      </c>
      <c r="EM175" s="6">
        <f>COUNTIFS(Table42[Country],Tabela1[[#This Row],[Country]],Table42[Platform Classification],"&gt;0")</f>
        <v>0</v>
      </c>
      <c r="EN175" s="6">
        <f>COUNTIFS(Table43[Country],Tabela1[[#This Row],[Country]],Table43[Platform Classification],"&gt;0")</f>
        <v>0</v>
      </c>
      <c r="EO175" s="6">
        <f>COUNTIFS(Table86[Country],Tabela1[[#This Row],[Country]],Table86[Men''s Synchronized Springboard Classification],"&gt;0")</f>
        <v>0</v>
      </c>
      <c r="EP175" s="6">
        <f>COUNTIFS(Table86[Country],Tabela1[[#This Row],[Country]],Table86[Women''s Synchronized Springboard Classification],"&gt;0")</f>
        <v>0</v>
      </c>
      <c r="EQ175" s="6">
        <f>COUNTIFS(Table86[Country],Tabela1[[#This Row],[Country]],Table86[Men''s Synchronized Platform Classification],"&gt;0")</f>
        <v>0</v>
      </c>
      <c r="ER175" s="6">
        <f>COUNTIFS(Table86[Country],Tabela1[[#This Row],[Country]],Table86[Women''s Synchronized Platform Classification],"&gt;0")</f>
        <v>0</v>
      </c>
      <c r="ES175" s="6">
        <f>COUNTIFS(Table44[Country],Tabela1[[#This Row],[Country]],Table44[Dressage Classification],"&gt;0")</f>
        <v>0</v>
      </c>
      <c r="ET175" s="6">
        <f>COUNTIFS(Table45[Country],Tabela1[[#This Row],[Country]],Table45[Dressage Classification],"&gt;0")</f>
        <v>0</v>
      </c>
      <c r="EU175" s="6">
        <f>COUNTIFS(Table44[Country],Tabela1[[#This Row],[Country]],Table44[Eventing Classification],"&gt;0")</f>
        <v>0</v>
      </c>
      <c r="EV175" s="6">
        <f>COUNTIFS(Table45[Country],Tabela1[[#This Row],[Country]],Table45[Eventing Classification],"&gt;0")</f>
        <v>0</v>
      </c>
      <c r="EW175" s="6">
        <f>COUNTIFS(Table44[Country],Tabela1[[#This Row],[Country]],Table44[Jumping Classification],"&gt;0")</f>
        <v>0</v>
      </c>
      <c r="EX175" s="6">
        <f>COUNTIFS(Table45[Country],Tabela1[[#This Row],[Country]],Table45[Jumping Classification],"&gt;0")</f>
        <v>0</v>
      </c>
      <c r="EY175" s="6">
        <f>COUNTIFS(Table10[Country],Tabela1[[#This Row],[Country]],Table10[Épée Classification],"&gt;0")</f>
        <v>0</v>
      </c>
      <c r="EZ175" s="6">
        <f>COUNTIFS(Table11[Country],Tabela1[[#This Row],[Country]],Table11[Épée Classification],"&gt;0")</f>
        <v>0</v>
      </c>
      <c r="FA175" s="6">
        <f>COUNTIFS(Table46[Country],Tabela1[[#This Row],[Country]],Table46[Men''s Épée Classification],"&gt;0")</f>
        <v>0</v>
      </c>
      <c r="FB175" s="6">
        <f>COUNTIFS(Table46[Country],Tabela1[[#This Row],[Country]],Table46[Women''s Épée Classification],"&gt;0")</f>
        <v>0</v>
      </c>
      <c r="FC175" s="6">
        <f>COUNTIFS(Table10[Country],Tabela1[[#This Row],[Country]],Table10[Foil Classification],"&gt;0")</f>
        <v>0</v>
      </c>
      <c r="FD175" s="6">
        <f>COUNTIFS(Table11[Country],Tabela1[[#This Row],[Country]],Table11[Foil Classification],"&gt;0")</f>
        <v>0</v>
      </c>
      <c r="FE175" s="6">
        <f>COUNTIFS(Table46[Country],Tabela1[[#This Row],[Country]],Table46[Men''s Foil Classification],"&gt;0")</f>
        <v>0</v>
      </c>
      <c r="FF175" s="6">
        <f>COUNTIFS(Table46[Country],Tabela1[[#This Row],[Country]],Table46[Women''s Foil Classification],"&gt;0")</f>
        <v>0</v>
      </c>
      <c r="FG175" s="6">
        <f>COUNTIFS(Table10[Country],Tabela1[[#This Row],[Country]],Table10[Sabre Classification],"&gt;0")</f>
        <v>0</v>
      </c>
      <c r="FH175" s="6">
        <f>COUNTIFS(Table11[Country],Tabela1[[#This Row],[Country]],Table11[Sabre Classification],"&gt;0")</f>
        <v>0</v>
      </c>
      <c r="FI175" s="6">
        <f>COUNTIFS(Table46[Country],Tabela1[[#This Row],[Country]],Table46[Men''s Sabre Classification],"&gt;0")</f>
        <v>0</v>
      </c>
      <c r="FJ175" s="6">
        <f>COUNTIFS(Table46[Country],Tabela1[[#This Row],[Country]],Table46[Women''s Sabre Classification],"&gt;0")</f>
        <v>0</v>
      </c>
      <c r="FK175" s="6">
        <f>COUNTIFS(Table91[Country],Tabela1[[#This Row],[Country]],Table91[Men''s Classification],"&gt;0")</f>
        <v>0</v>
      </c>
      <c r="FL175" s="6">
        <f>COUNTIFS(Table91[Country],Tabela1[[#This Row],[Country]],Table91[Women''s Classification],"&gt;0")</f>
        <v>0</v>
      </c>
      <c r="FM175" s="6">
        <f>COUNTIFS(Table9194[Country],Tabela1[[#This Row],[Country]],Table9194[Men''s Classification],"&gt;0")</f>
        <v>0</v>
      </c>
      <c r="FN175" s="6">
        <f>COUNTIFS(Table9194[Country],Tabela1[[#This Row],[Country]],Table9194[Women''s Classification],"&gt;0")</f>
        <v>0</v>
      </c>
      <c r="FO175" s="6">
        <f>COUNTIFS(Table71[Country],Tabela1[[#This Row],[Country]],Table71[Classification],"&gt;0")</f>
        <v>0</v>
      </c>
      <c r="FP175" s="6">
        <f>COUNTIFS(Table62[Country],Tabela1[[#This Row],[Country]],Table62[Classification],"&gt;0")</f>
        <v>0</v>
      </c>
      <c r="FQ175" s="6">
        <f>COUNTIFS(Table47[Country],Tabela1[[#This Row],[Country]],Table47[All-Around Classification],"&gt;0")</f>
        <v>0</v>
      </c>
      <c r="FR175" s="6">
        <f>COUNTIFS(Table48[Country],Tabela1[[#This Row],[Country]],Table48[All-Around Classification],"&gt;0")</f>
        <v>0</v>
      </c>
      <c r="FS175" s="6">
        <f>COUNTIFS(Table81[Country],Tabela1[[#This Row],[Country]],Table81[Men''s All-Around Classification],"&gt;0")</f>
        <v>0</v>
      </c>
      <c r="FT175" s="6">
        <f>COUNTIFS(Table81[Country],Tabela1[[#This Row],[Country]],Table81[Women''s All-Around Classification],"&gt;0")</f>
        <v>0</v>
      </c>
      <c r="FU175" s="6">
        <f>COUNTIFS(Table48[Country],Tabela1[[#This Row],[Country]],Table48[Balance Beam Classification],"&gt;0")</f>
        <v>0</v>
      </c>
      <c r="FV175" s="6">
        <f>COUNTIFS(Table47[Country],Tabela1[[#This Row],[Country]],Table47[Floor Exercise Classification],"&gt;0")</f>
        <v>0</v>
      </c>
      <c r="FW175" s="6">
        <f>COUNTIFS(Table48[Country],Tabela1[[#This Row],[Country]],Table48[Floor Exercise Classification],"&gt;0")</f>
        <v>0</v>
      </c>
      <c r="FX175" s="6">
        <f>COUNTIFS(Table47[Country],Tabela1[[#This Row],[Country]],Table47[Horizontal Bar Classification],"&gt;0")</f>
        <v>0</v>
      </c>
      <c r="FY175" s="6">
        <f>COUNTIFS(Table47[Country],Tabela1[[#This Row],[Country]],Table47[Parallel Bars Classification],"&gt;0")</f>
        <v>0</v>
      </c>
      <c r="FZ175" s="6">
        <f>COUNTIFS(Table47[Country],Tabela1[[#This Row],[Country]],Table47[Pommel Horse Classification],"&gt;0")</f>
        <v>0</v>
      </c>
      <c r="GA175" s="6">
        <f>COUNTIFS(Table47[Country],Tabela1[[#This Row],[Country]],Table47[Rings Classification],"&gt;0")</f>
        <v>0</v>
      </c>
      <c r="GB175" s="6">
        <f>COUNTIFS(Tabela132[Country],Tabela1[[#This Row],[Country]],Tabela132[Classification],"&gt;0")</f>
        <v>0</v>
      </c>
      <c r="GC175" s="6">
        <f>COUNTIFS(Tabela139[Country],Tabela1[[#This Row],[Country]],Tabela139[Classification],"&gt;0")</f>
        <v>0</v>
      </c>
      <c r="GD175" s="6">
        <f>COUNTIFS(Table48[Country],Tabela1[[#This Row],[Country]],Table48[Uneven Bars Classification],"&gt;0")</f>
        <v>0</v>
      </c>
      <c r="GE175" s="6">
        <f>COUNTIFS(Table47[Country],Tabela1[[#This Row],[Country]],Table47[Vault Classification],"&gt;0")</f>
        <v>0</v>
      </c>
      <c r="GF175" s="6">
        <f>COUNTIFS(Table48[Country],Tabela1[[#This Row],[Country]],Table48[Vault Classification],"&gt;0")</f>
        <v>0</v>
      </c>
      <c r="GG175" s="6">
        <f>COUNTIFS(Table919496[Country],Tabela1[[#This Row],[Country]],Table919496[Men''s Classification],"&gt;0")</f>
        <v>0</v>
      </c>
      <c r="GH175" s="6">
        <f>COUNTIFS(Table919496[Country],Tabela1[[#This Row],[Country]],Table919496[Women''s Classification],"&gt;0")</f>
        <v>0</v>
      </c>
      <c r="GI175" s="6">
        <f>COUNTIFS(Table12[Country],Tabela1[[#This Row],[Country]],Table12[60kg Classification],"&gt;0")</f>
        <v>0</v>
      </c>
      <c r="GJ175" s="6">
        <f>COUNTIFS(Table12[Country],Tabela1[[#This Row],[Country]],Table12[66kg Classification],"&gt;0")</f>
        <v>0</v>
      </c>
      <c r="GK175" s="6">
        <f>COUNTIFS(Table12[Country],Tabela1[[#This Row],[Country]],Table12[73kg Classification],"&gt;0")</f>
        <v>0</v>
      </c>
      <c r="GL175" s="6">
        <f>COUNTIFS(Table12[Country],Tabela1[[#This Row],[Country]],Table12[81kg Classification],"&gt;0")</f>
        <v>0</v>
      </c>
      <c r="GM175" s="6">
        <f>COUNTIFS(Table12[Country],Tabela1[[#This Row],[Country]],Table12[90kg Classification],"&gt;0")</f>
        <v>0</v>
      </c>
      <c r="GN175" s="6">
        <f>COUNTIFS(Table12[Country],Tabela1[[#This Row],[Country]],Table12[100kg Classification],"&gt;0")</f>
        <v>0</v>
      </c>
      <c r="GO175" s="6">
        <f>COUNTIFS(Table12[Country],Tabela1[[#This Row],[Country]],Table12[Plus 100kg Classification],"&gt;0")</f>
        <v>0</v>
      </c>
      <c r="GP175" s="6">
        <f>COUNTIFS(Table13[Country],Tabela1[[#This Row],[Country]],Table13[48kg Classification],"&gt;0")</f>
        <v>0</v>
      </c>
      <c r="GQ175" s="6">
        <f>COUNTIFS(Table13[Country],Tabela1[[#This Row],[Country]],Table13[52kg Classification],"&gt;0")</f>
        <v>0</v>
      </c>
      <c r="GR175" s="6">
        <f>COUNTIFS(Table13[Country],Tabela1[[#This Row],[Country]],Table13[57kg Classification],"&gt;0")</f>
        <v>0</v>
      </c>
      <c r="GS175" s="6">
        <f>COUNTIFS(Table13[Country],Tabela1[[#This Row],[Country]],Table13[63kg Classification],"&gt;0")</f>
        <v>0</v>
      </c>
      <c r="GT175" s="6">
        <f>COUNTIFS(Table13[Country],Tabela1[[#This Row],[Country]],Table13[70kg Classification],"&gt;0")</f>
        <v>0</v>
      </c>
      <c r="GU175" s="6">
        <f>COUNTIFS(Table13[Country],Tabela1[[#This Row],[Country]],Table13[78kg Classification],"&gt;0")</f>
        <v>0</v>
      </c>
      <c r="GV175" s="6">
        <f>COUNTIFS(Table13[Country],Tabela1[[#This Row],[Country]],Table13[Plus 78kg Classification],"&gt;0")</f>
        <v>0</v>
      </c>
      <c r="GW175" s="6">
        <f>COUNTIFS(Table82[Country],Tabela1[[#This Row],[Country]],Table82[Mixed Classification],"&gt;0")</f>
        <v>0</v>
      </c>
      <c r="GX175" s="6">
        <f>COUNTIFS(Table51[Country],Tabela1[[#This Row],[Country]],Table51[Classification],"&gt;0")</f>
        <v>0</v>
      </c>
      <c r="GY175" s="6">
        <f>COUNTIFS(Table52[Country],Tabela1[[#This Row],[Country]],Table52[Classification],"&gt;0")</f>
        <v>0</v>
      </c>
      <c r="GZ175" s="6">
        <f>COUNTIFS(Table32[Country],Tabela1[[#This Row],[Country]],Table32[All-Around Classification],"&gt;0")</f>
        <v>0</v>
      </c>
      <c r="HA175" s="6">
        <f>COUNTIFS(Table49[Country],Tabela1[[#This Row],[Country]],Table49[All-Around Classification],"&gt;0")</f>
        <v>0</v>
      </c>
      <c r="HB175" s="6">
        <f>COUNTIFS(Table26[Country],Tabela1[[#This Row],[Country]],Table26[Single Sculls Classification],"&gt;0")</f>
        <v>0</v>
      </c>
      <c r="HC175" s="6">
        <f>COUNTIFS(Table63[Country],Tabela1[[#This Row],[Country]],Table63[Single Sculls Classification],"&gt;0")</f>
        <v>0</v>
      </c>
      <c r="HD175" s="6">
        <f>COUNTIFS(Table16[Country],Tabela1[[#This Row],[Country]],Table16[Men''s Double Sculls Classification],"&gt;0")</f>
        <v>0</v>
      </c>
      <c r="HE175" s="6">
        <f>COUNTIFS(Table16[Country],Tabela1[[#This Row],[Country]],Table16[Women''s Double Sculls Classification],"&gt;0")</f>
        <v>0</v>
      </c>
      <c r="HF175" s="6">
        <f>COUNTIFS(Table72[Country],Tabela1[[#This Row],[Country]],Table72[Men''s Quadruple Sculls Classification],"&gt;0")</f>
        <v>0</v>
      </c>
      <c r="HG175" s="6">
        <f>COUNTIFS(Table72[Country],Tabela1[[#This Row],[Country]],Table72[Women''s Quadruple Sculls Classification],"&gt;0")</f>
        <v>0</v>
      </c>
      <c r="HH175" s="6">
        <f>COUNTIFS(Table16[Country],Tabela1[[#This Row],[Country]],Table16[Men''s Coxless Pairs Classification],"&gt;0")</f>
        <v>0</v>
      </c>
      <c r="HI175" s="6">
        <f>COUNTIFS(Table16[Country],Tabela1[[#This Row],[Country]],Table16[Women''s Coxless Pairs Classification],"&gt;0")</f>
        <v>0</v>
      </c>
      <c r="HJ175" s="6">
        <f>COUNTIFS(Table72[Country],Tabela1[[#This Row],[Country]],Table72[Men''s Coxless Fours Classification],"&gt;0")</f>
        <v>0</v>
      </c>
      <c r="HK175" s="6">
        <f>COUNTIFS(Table72[Country],Tabela1[[#This Row],[Country]],Table72[Women''s Coxless Fours Classification],"&gt;0")</f>
        <v>0</v>
      </c>
      <c r="HL175" s="6">
        <f>COUNTIFS(Table72[Country],Tabela1[[#This Row],[Country]],Table72[Men''s Eights Classification],"&gt;0")</f>
        <v>0</v>
      </c>
      <c r="HM175" s="6">
        <f>COUNTIFS(Table72[Country],Tabela1[[#This Row],[Country]],Table72[Women''s Eights Classification],"&gt;0")</f>
        <v>0</v>
      </c>
      <c r="HN175" s="6">
        <f>COUNTIFS(Table16[Country],Tabela1[[#This Row],[Country]],Table16[Men''s Lwt. Double Sculls Classification],"&gt;0")</f>
        <v>0</v>
      </c>
      <c r="HO175" s="6">
        <f>COUNTIFS(Table16[Country],Tabela1[[#This Row],[Country]],Table16[Women''s Lwt. Double Sculls Classification],"&gt;0")</f>
        <v>0</v>
      </c>
      <c r="HP175" s="6">
        <f>COUNTIFS(Table91949698[Country],Tabela1[[#This Row],[Country]],Table91949698[Men''s Classification],"&gt;0")</f>
        <v>0</v>
      </c>
      <c r="HQ175" s="6">
        <f>COUNTIFS(Table91949698[Country],Tabela1[[#This Row],[Country]],Table91949698[Women''s Classification],"&gt;0")</f>
        <v>0</v>
      </c>
      <c r="HR175" s="6">
        <f>COUNTIFS(Table25[Country],Tabela1[[#This Row],[Country]],Table25[Mixed 470 Classification],"&gt;0")</f>
        <v>0</v>
      </c>
      <c r="HS175" s="6">
        <f>COUNTIFS(Table25[Country],Tabela1[[#This Row],[Country]],Table25[Men''s 49er Classification],"&gt;0")</f>
        <v>0</v>
      </c>
      <c r="HT175" s="6">
        <f>COUNTIFS(Table25[Country],Tabela1[[#This Row],[Country]],Table25[Women''s 49er FX Classification],"&gt;0")</f>
        <v>0</v>
      </c>
      <c r="HU175" s="6">
        <f>COUNTIFS(Table17[Country],Tabela1[[#This Row],[Country]],Table17[Formula Kite Classification],"&gt;0")</f>
        <v>0</v>
      </c>
      <c r="HV175" s="6">
        <f>COUNTIFS(Table18[Country],Tabela1[[#This Row],[Country]],Table18[Formula Kite Classification],"&gt;0")</f>
        <v>0</v>
      </c>
      <c r="HW175" s="6">
        <f>COUNTIFS(Table17[Country],Tabela1[[#This Row],[Country]],Table17[ILCA 7 Classification],"&gt;0")</f>
        <v>0</v>
      </c>
      <c r="HX175" s="6">
        <f>COUNTIFS(Table18[Country],Tabela1[[#This Row],[Country]],Table18[ILCA 6 Classification],"&gt;0")</f>
        <v>0</v>
      </c>
      <c r="HY175" s="6">
        <f>COUNTIFS(Table17[Country],Tabela1[[#This Row],[Country]],Table17[IQFoil Classification],"&gt;0")</f>
        <v>0</v>
      </c>
      <c r="HZ175" s="6">
        <f>COUNTIFS(Table18[Country],Tabela1[[#This Row],[Country]],Table18[IQFoil Classification],"&gt;0")</f>
        <v>0</v>
      </c>
      <c r="IA175" s="6">
        <f>COUNTIFS(Table25[Country],Tabela1[[#This Row],[Country]],Table25[Mixed Nacra 17 Classification],"&gt;0")</f>
        <v>0</v>
      </c>
      <c r="IB175" s="6">
        <f>COUNTIFS(Table53[Country],Tabela1[[#This Row],[Country]],Table53[10m Air Pistol Classification],"&gt;0")</f>
        <v>0</v>
      </c>
      <c r="IC175" s="6">
        <f>COUNTIFS(Table19[Country],Tabela1[[#This Row],[Country]],Table19[10m Air Pistol Classification],"&gt;0")</f>
        <v>0</v>
      </c>
      <c r="ID175" s="6">
        <f>COUNTIFS(Table54[Country],Tabela1[[#This Row],[Country]],Table54[Mixed 10m Air Pistol Team Classification],"&gt;0")</f>
        <v>0</v>
      </c>
      <c r="IE175" s="6">
        <f>COUNTIFS(Table53[Country],Tabela1[[#This Row],[Country]],Table53[10m Air Rifle Classification],"&gt;0")</f>
        <v>0</v>
      </c>
      <c r="IF175" s="6">
        <f>COUNTIFS(Table19[Country],Tabela1[[#This Row],[Country]],Table19[10m Air Rifle Classification],"&gt;0")</f>
        <v>0</v>
      </c>
      <c r="IG175" s="6">
        <f>COUNTIFS(Table54[Country],Tabela1[[#This Row],[Country]],Table54[Mixed 10m Air Rifle Team Classification],"&gt;0")</f>
        <v>0</v>
      </c>
      <c r="IH175" s="6">
        <f>COUNTIFS(Table53[Country],Tabela1[[#This Row],[Country]],Table53[25m Rapid Fire Pistol Classification],"&gt;0")</f>
        <v>0</v>
      </c>
      <c r="II175" s="6">
        <f>COUNTIFS(Table19[Country],Tabela1[[#This Row],[Country]],Table19[25m Pistol Classification],"&gt;0")</f>
        <v>0</v>
      </c>
      <c r="IJ175" s="6">
        <f>COUNTIFS(Table53[Country],Tabela1[[#This Row],[Country]],Table53[50m Rifle 3 Positions Classification],"&gt;0")</f>
        <v>0</v>
      </c>
      <c r="IK175" s="6">
        <f>COUNTIFS(Table19[Country],Tabela1[[#This Row],[Country]],Table19[50m Rifle 3 Positions Classification],"&gt;0")</f>
        <v>0</v>
      </c>
      <c r="IL175" s="6">
        <f>COUNTIFS(Table53[Country],Tabela1[[#This Row],[Country]],Table53[Skeet Classification],"&gt;0")</f>
        <v>0</v>
      </c>
      <c r="IM175" s="6">
        <f>COUNTIFS(Table19[Country],Tabela1[[#This Row],[Country]],Table19[Skeet Classification],"&gt;0")</f>
        <v>0</v>
      </c>
      <c r="IN175" s="6">
        <f>COUNTIFS(Table54[Country],Tabela1[[#This Row],[Country]],Table54[Mixed Skeet Team Classification],"&gt;0")</f>
        <v>0</v>
      </c>
      <c r="IO175" s="6">
        <f>COUNTIFS(Table53[Country],Tabela1[[#This Row],[Country]],Table53[Trap Classification],"&gt;0")</f>
        <v>0</v>
      </c>
      <c r="IP175" s="6">
        <f>COUNTIFS(Table19[Country],Tabela1[[#This Row],[Country]],Table19[Trap Classification],"&gt;0")</f>
        <v>0</v>
      </c>
      <c r="IQ175" s="6">
        <f>COUNTIFS(Table73[Country],Tabela1[[#This Row],[Country]],Table73[Park Classification],"&gt;0")</f>
        <v>0</v>
      </c>
      <c r="IR175" s="6">
        <f>COUNTIFS(Table74[Country],Tabela1[[#This Row],[Country]],Table74[Park Classification],"&gt;0")</f>
        <v>0</v>
      </c>
      <c r="IS175" s="6">
        <f>COUNTIFS(Table73[Country],Tabela1[[#This Row],[Country]],Table73[Street Classification],"&gt;0")</f>
        <v>0</v>
      </c>
      <c r="IT175" s="6">
        <f>COUNTIFS(Table74[Country],Tabela1[[#This Row],[Country]],Table74[Street Classification],"&gt;0")</f>
        <v>0</v>
      </c>
      <c r="IU175" s="6">
        <f>COUNTIFS(Table75[Country],Tabela1[[#This Row],[Country]],Table75[Boulder and Lead Classification],"&gt;0")</f>
        <v>0</v>
      </c>
      <c r="IV175" s="6">
        <f>COUNTIFS(Table76[Country],Tabela1[[#This Row],[Country]],Table76[Boulder and Lead Classification],"&gt;0")</f>
        <v>0</v>
      </c>
      <c r="IW175" s="6">
        <f>COUNTIFS(Table75[Country],Tabela1[[#This Row],[Country]],Table75[Speed Classification],"&gt;0")</f>
        <v>0</v>
      </c>
      <c r="IX175" s="6">
        <f>COUNTIFS(Table76[Country],Tabela1[[#This Row],[Country]],Table76[Speed Classification],"&gt;0")</f>
        <v>0</v>
      </c>
      <c r="IY175" s="6">
        <f>COUNTIFS(Table64[Country],Tabela1[[#This Row],[Country]],Table64[Shortboard Classification],"&gt;0")</f>
        <v>0</v>
      </c>
      <c r="IZ175" s="6">
        <f>COUNTIFS(Table77[Country],Tabela1[[#This Row],[Country]],Table77[Shortboard Classification],"&gt;0")</f>
        <v>0</v>
      </c>
      <c r="JA175" s="6">
        <f>COUNTIFS(Table20[Country],Tabela1[[#This Row],[Country]],Table20[50m Freestyle Classification],"&gt;0")</f>
        <v>0</v>
      </c>
      <c r="JB175" s="6">
        <f>COUNTIFS(Table21[Country],Tabela1[[#This Row],[Country]],Table21[50m Freestyle Classification],"&gt;0")</f>
        <v>0</v>
      </c>
      <c r="JC175" s="6">
        <f>COUNTIFS(Table20[Country],Tabela1[[#This Row],[Country]],Table20[100m Freestyle Classification],"&gt;0")</f>
        <v>0</v>
      </c>
      <c r="JD175" s="6">
        <f>COUNTIFS(Table21[Country],Tabela1[[#This Row],[Country]],Table21[100m Freestyle Classification],"&gt;0")</f>
        <v>0</v>
      </c>
      <c r="JE175" s="6">
        <f>COUNTIFS(Table20[Country],Tabela1[[#This Row],[Country]],Table20[200m Freestyle Classification],"&gt;0")</f>
        <v>0</v>
      </c>
      <c r="JF175" s="6">
        <f>COUNTIFS(Table21[Country],Tabela1[[#This Row],[Country]],Table21[200m Freestyle Classification],"&gt;0")</f>
        <v>0</v>
      </c>
      <c r="JG175" s="6">
        <f>COUNTIFS(Table20[Country],Tabela1[[#This Row],[Country]],Table20[400m Freestyle Classification],"&gt;0")</f>
        <v>0</v>
      </c>
      <c r="JH175" s="6">
        <f>COUNTIFS(Table21[Country],Tabela1[[#This Row],[Country]],Table21[400m Freestyle Classification],"&gt;0")</f>
        <v>0</v>
      </c>
      <c r="JI175" s="6">
        <f>COUNTIFS(Table20[Country],Tabela1[[#This Row],[Country]],Table20[800m Freestyle Classification],"&gt;0")</f>
        <v>0</v>
      </c>
      <c r="JJ175" s="6">
        <f>COUNTIFS(Table21[Country],Tabela1[[#This Row],[Country]],Table21[800m Freestyle Classification],"&gt;0")</f>
        <v>0</v>
      </c>
      <c r="JK175" s="6">
        <f>COUNTIFS(Table20[Country],Tabela1[[#This Row],[Country]],Table20[1500m Freestyle Classification],"&gt;0")</f>
        <v>0</v>
      </c>
      <c r="JL175" s="6">
        <f>COUNTIFS(Table21[Country],Tabela1[[#This Row],[Country]],Table21[1500m Freestyle Classification],"&gt;0")</f>
        <v>0</v>
      </c>
      <c r="JM175" s="6">
        <f>COUNTIFS(Table20[Country],Tabela1[[#This Row],[Country]],Table20[100m Backstroke Classification],"&gt;0")</f>
        <v>0</v>
      </c>
      <c r="JN175" s="6">
        <f>COUNTIFS(Table21[Country],Tabela1[[#This Row],[Country]],Table21[100m Backstroke Classification],"&gt;0")</f>
        <v>0</v>
      </c>
      <c r="JO175" s="6">
        <f>COUNTIFS(Table20[Country],Tabela1[[#This Row],[Country]],Table20[200m Backstroke Classification],"&gt;0")</f>
        <v>0</v>
      </c>
      <c r="JP175" s="6">
        <f>COUNTIFS(Table21[Country],Tabela1[[#This Row],[Country]],Table21[200m Backstroke Classification],"&gt;0")</f>
        <v>0</v>
      </c>
      <c r="JQ175" s="6">
        <f>COUNTIFS(Table20[Country],Tabela1[[#This Row],[Country]],Table20[100m Breaststroke Classification],"&gt;0")</f>
        <v>0</v>
      </c>
      <c r="JR175" s="6">
        <f>COUNTIFS(Table21[Country],Tabela1[[#This Row],[Country]],Table21[100m Breaststroke Classification],"&gt;0")</f>
        <v>0</v>
      </c>
      <c r="JS175" s="6">
        <f>COUNTIFS(Table20[Country],Tabela1[[#This Row],[Country]],Table20[200m Breaststroke Classification],"&gt;0")</f>
        <v>0</v>
      </c>
      <c r="JT175" s="6">
        <f>COUNTIFS(Table21[Country],Tabela1[[#This Row],[Country]],Table21[200m Breaststroke Classification],"&gt;0")</f>
        <v>0</v>
      </c>
      <c r="JU175" s="6">
        <f>COUNTIFS(Table20[Country],Tabela1[[#This Row],[Country]],Table20[100m Butterfly Classification],"&gt;0")</f>
        <v>0</v>
      </c>
      <c r="JV175" s="6">
        <f>COUNTIFS(Table21[Country],Tabela1[[#This Row],[Country]],Table21[100m Butterfly Classification],"&gt;0")</f>
        <v>0</v>
      </c>
      <c r="JW175" s="6">
        <f>COUNTIFS(Table20[Country],Tabela1[[#This Row],[Country]],Table20[200m Butterfly Classification],"&gt;0")</f>
        <v>0</v>
      </c>
      <c r="JX175" s="6">
        <f>COUNTIFS(Table21[Country],Tabela1[[#This Row],[Country]],Table21[200m Butterfly Classification],"&gt;0")</f>
        <v>0</v>
      </c>
      <c r="JY175" s="6">
        <f>COUNTIFS(Table20[Country],Tabela1[[#This Row],[Country]],Table20[200m Medley Classification],"&gt;0")</f>
        <v>0</v>
      </c>
      <c r="JZ175" s="6">
        <f>COUNTIFS(Table21[Country],Tabela1[[#This Row],[Country]],Table21[200m Medley Classification],"&gt;0")</f>
        <v>0</v>
      </c>
      <c r="KA175" s="6">
        <f>COUNTIFS(Table20[Country],Tabela1[[#This Row],[Country]],Table20[400m Medley Classification],"&gt;0")</f>
        <v>0</v>
      </c>
      <c r="KB175" s="6">
        <f>COUNTIFS(Table21[Country],Tabela1[[#This Row],[Country]],Table21[400m Medley Classification],"&gt;0")</f>
        <v>0</v>
      </c>
      <c r="KC175" s="6">
        <f>COUNTIFS(Table78[Country],Tabela1[[#This Row],[Country]],Table78[Men''s 4x100m Freestyle Relay Classification],"&gt;0")</f>
        <v>0</v>
      </c>
      <c r="KD175" s="6">
        <f>COUNTIFS(Table78[Country],Tabela1[[#This Row],[Country]],Table78[Women''s 4x100m Freestyle Relay Classification],"&gt;0")</f>
        <v>0</v>
      </c>
      <c r="KE175" s="6">
        <f>COUNTIFS(Table78[Country],Tabela1[[#This Row],[Country]],Table78[Men''s 4x200m Freestyle Relay Classification],"&gt;0")</f>
        <v>0</v>
      </c>
      <c r="KF175" s="6">
        <f>COUNTIFS(Table78[Country],Tabela1[[#This Row],[Country]],Table78[Women''s 4x200m Freestyle Relay Classification],"&gt;0")</f>
        <v>0</v>
      </c>
      <c r="KG175" s="6">
        <f>COUNTIFS(Table78[Country],Tabela1[[#This Row],[Country]],Table78[Men''s 4x100m Medley Relay Classification],"&gt;0")</f>
        <v>0</v>
      </c>
      <c r="KH175" s="6">
        <f>COUNTIFS(Table78[Country],Tabela1[[#This Row],[Country]],Table78[Women''s 4x100m Medley Relay Classification],"&gt;0")</f>
        <v>0</v>
      </c>
      <c r="KI175" s="6">
        <f>COUNTIFS(Table78[Country],Tabela1[[#This Row],[Country]],Table78[Mixed 4x100m Medley Relay Classification],"&gt;0")</f>
        <v>0</v>
      </c>
      <c r="KJ175" s="6">
        <f>COUNTIFS(Table20[Country],Tabela1[[#This Row],[Country]],Table20[10km Open Water Classification],"&gt;0")</f>
        <v>0</v>
      </c>
      <c r="KK175" s="6">
        <f>COUNTIFS(Table21[Country],Tabela1[[#This Row],[Country]],Table21[10km Open Water Classification],"&gt;0")</f>
        <v>0</v>
      </c>
      <c r="KL175" s="6">
        <f>COUNTIFS(Table22[Country],Tabela1[[#This Row],[Country]],Table22[Classification],"&gt;0")</f>
        <v>0</v>
      </c>
      <c r="KM175" s="6">
        <f>COUNTIFS(Table30[Country],Tabela1[[#This Row],[Country]],Table30[Classification],"&gt;0")</f>
        <v>0</v>
      </c>
      <c r="KN175" s="6">
        <f>COUNTIFS(Table55[Country],Tabela1[[#This Row],[Country]],Table55[Men''s Classification],"&gt;0")</f>
        <v>0</v>
      </c>
      <c r="KO175" s="6">
        <f>COUNTIFS(Table55[Country],Tabela1[[#This Row],[Country]],Table55[Women''s Classification],"&gt;0")</f>
        <v>0</v>
      </c>
      <c r="KP175" s="6">
        <f>COUNTIFS(Table56[Country],Tabela1[[#This Row],[Country]],Table56[Mixed Classification],"&gt;0")</f>
        <v>0</v>
      </c>
      <c r="KQ175" s="6">
        <f>COUNTIFS(Table29[Country],Tabela1[[#This Row],[Country]],Table29[58kg Classification],"&gt;0")</f>
        <v>0</v>
      </c>
      <c r="KR175" s="6">
        <f>COUNTIFS(Table29[Country],Tabela1[[#This Row],[Country]],Table29[68kg Classification],"&gt;0")</f>
        <v>0</v>
      </c>
      <c r="KS175" s="6">
        <f>COUNTIFS(Table29[Country],Tabela1[[#This Row],[Country]],Table29[80kg Classification],"&gt;0")</f>
        <v>0</v>
      </c>
      <c r="KT175" s="6">
        <f>COUNTIFS(Table29[Country],Tabela1[[#This Row],[Country]],Table29[Plus 80kg Classification],"&gt;0")</f>
        <v>0</v>
      </c>
      <c r="KU175" s="6">
        <f>COUNTIFS(Table34[Country],Tabela1[[#This Row],[Country]],Table34[49kg Classification],"&gt;0")</f>
        <v>0</v>
      </c>
      <c r="KV175" s="6">
        <f>COUNTIFS(Table34[Country],Tabela1[[#This Row],[Country]],Table34[57kg Classification],"&gt;0")</f>
        <v>0</v>
      </c>
      <c r="KW175" s="6">
        <f>COUNTIFS(Table34[Country],Tabela1[[#This Row],[Country]],Table34[67kg Classification],"&gt;0")</f>
        <v>0</v>
      </c>
      <c r="KX175" s="6">
        <f>COUNTIFS(Table34[Country],Tabela1[[#This Row],[Country]],Table34[Plus 67kg Classification],"&gt;0")</f>
        <v>0</v>
      </c>
      <c r="KY175" s="6">
        <f>COUNTIFS(Table57[Country],Tabela1[[#This Row],[Country]],Table57[Classification],"&gt;0")</f>
        <v>0</v>
      </c>
      <c r="KZ175" s="6">
        <f>COUNTIFS(Table58[Country],Tabela1[[#This Row],[Country]],Table58[Classification],"&gt;0")</f>
        <v>0</v>
      </c>
      <c r="LA175" s="6">
        <f>COUNTIFS(Table79[Country],Tabela1[[#This Row],[Country]],Table79[Men''s Classification],"&gt;0")</f>
        <v>0</v>
      </c>
      <c r="LB175" s="6">
        <f>COUNTIFS(Table79[Country],Tabela1[[#This Row],[Country]],Table79[Women''s Classification],"&gt;0")</f>
        <v>0</v>
      </c>
      <c r="LC175" s="6">
        <f>COUNTIFS(Table79[Country],Tabela1[[#This Row],[Country]],Table79[Mixed Classification],"&gt;0")</f>
        <v>0</v>
      </c>
      <c r="LD175" s="6">
        <f>COUNTIFS(Table65[Country],Tabela1[[#This Row],[Country]],Table65[Classification],"&gt;0")</f>
        <v>0</v>
      </c>
      <c r="LE175" s="6">
        <f>COUNTIFS(Table59[Country],Tabela1[[#This Row],[Country]],Table59[Classification],"&gt;0")</f>
        <v>0</v>
      </c>
      <c r="LF175" s="6">
        <f>COUNTIFS(Table87[Country],Tabela1[[#This Row],[Country]],Table87[Mixed Relay Classification],"&gt;0")</f>
        <v>0</v>
      </c>
      <c r="LG175" s="6">
        <f>COUNTIFS(Table91949698100[Country],Tabela1[[#This Row],[Country]],Table91949698100[Men''s Classification],"&gt;0")</f>
        <v>0</v>
      </c>
      <c r="LH175" s="6">
        <f>COUNTIFS(Table91949698100[Country],Tabela1[[#This Row],[Country]],Table91949698100[Women''s Classification],"&gt;0")</f>
        <v>0</v>
      </c>
      <c r="LI175" s="6">
        <f>COUNTIFS(Table91949698100102[Country],Tabela1[[#This Row],[Country]],Table91949698100102[Men''s Classification],"&gt;0")</f>
        <v>0</v>
      </c>
      <c r="LJ175" s="6">
        <f>COUNTIFS(Table91949698100102[Country],Tabela1[[#This Row],[Country]],Table91949698100102[Women''s Classification],"&gt;0")</f>
        <v>0</v>
      </c>
      <c r="LK175" s="6">
        <f>COUNTIFS(Table23[Country],Tabela1[[#This Row],[Country]],Table23[61kg Classification],"&gt;0")</f>
        <v>0</v>
      </c>
      <c r="LL175" s="6">
        <f>COUNTIFS(Table23[Country],Tabela1[[#This Row],[Country]],Table23[73kg Classification],"&gt;0")</f>
        <v>0</v>
      </c>
      <c r="LM175" s="6">
        <f>COUNTIFS(Table23[Country],Tabela1[[#This Row],[Country]],Table23[89kg Classification],"&gt;0")</f>
        <v>0</v>
      </c>
      <c r="LN175" s="6">
        <f>COUNTIFS(Table23[Country],Tabela1[[#This Row],[Country]],Table23[102kg Classification],"&gt;0")</f>
        <v>0</v>
      </c>
      <c r="LO175" s="6">
        <f>COUNTIFS(Table23[Country],Tabela1[[#This Row],[Country]],Table23[Plus 102kg Classification],"&gt;0")</f>
        <v>0</v>
      </c>
      <c r="LP175" s="6">
        <f>COUNTIFS(Table28[Country],Tabela1[[#This Row],[Country]],Table28[49kg Classification],"&gt;0")</f>
        <v>0</v>
      </c>
      <c r="LQ175" s="6">
        <f>COUNTIFS(Table28[Country],Tabela1[[#This Row],[Country]],Table28[59kg Classification],"&gt;0")</f>
        <v>0</v>
      </c>
      <c r="LR175" s="6">
        <f>COUNTIFS(Table28[Country],Tabela1[[#This Row],[Country]],Table28[71kg Classification],"&gt;0")</f>
        <v>0</v>
      </c>
      <c r="LS175" s="6">
        <f>COUNTIFS(Table28[Country],Tabela1[[#This Row],[Country]],Table28[81kg Classification],"&gt;0")</f>
        <v>0</v>
      </c>
      <c r="LT175" s="6">
        <f>COUNTIFS(Table28[Country],Tabela1[[#This Row],[Country]],Table28[Plus 81kg Classification],"&gt;0")</f>
        <v>0</v>
      </c>
      <c r="LU175" s="6">
        <f>COUNTIFS(Table24[Country],Tabela1[[#This Row],[Country]],Table24[Freestyle 57kg Classification],"&gt;0")</f>
        <v>0</v>
      </c>
      <c r="LV175" s="6">
        <f>COUNTIFS(Table24[Country],Tabela1[[#This Row],[Country]],Table24[Freestyle 65kg Classification],"&gt;0")</f>
        <v>0</v>
      </c>
      <c r="LW175" s="6">
        <f>COUNTIFS(Table24[Country],Tabela1[[#This Row],[Country]],Table24[Freestyle 74kg Classification],"&gt;0")</f>
        <v>0</v>
      </c>
      <c r="LX175" s="6">
        <f>COUNTIFS(Table24[Country],Tabela1[[#This Row],[Country]],Table24[Freestyle 86kg Classification],"&gt;0")</f>
        <v>0</v>
      </c>
      <c r="LY175" s="6">
        <f>COUNTIFS(Table24[Country],Tabela1[[#This Row],[Country]],Table24[Freestyle 97kg Classification],"&gt;0")</f>
        <v>0</v>
      </c>
      <c r="LZ175" s="6">
        <f>COUNTIFS(Table24[Country],Tabela1[[#This Row],[Country]],Table24[Freestyle 125kg Classification],"&gt;0")</f>
        <v>0</v>
      </c>
      <c r="MA175" s="6">
        <f>COUNTIFS(Table24[Country],Tabela1[[#This Row],[Country]],Table24[Greco-Roman 60kg Classification],"&gt;0")</f>
        <v>0</v>
      </c>
      <c r="MB175" s="6">
        <f>COUNTIFS(Table24[Country],Tabela1[[#This Row],[Country]],Table24[Greco-Roman 67kg Classification],"&gt;0")</f>
        <v>0</v>
      </c>
      <c r="MC175" s="6">
        <f>COUNTIFS(Table24[Country],Tabela1[[#This Row],[Country]],Table24[Greco-Roman 77kg Classification],"&gt;0")</f>
        <v>0</v>
      </c>
      <c r="MD175" s="6">
        <f>COUNTIFS(Table24[Country],Tabela1[[#This Row],[Country]],Table24[Greco-Roman 87kg Classification],"&gt;0")</f>
        <v>0</v>
      </c>
      <c r="ME175" s="6">
        <f>COUNTIFS(Table24[Country],Tabela1[[#This Row],[Country]],Table24[Greco-Roman 97kg Classification],"&gt;0")</f>
        <v>0</v>
      </c>
      <c r="MF175" s="6">
        <f>COUNTIFS(Table24[Country],Tabela1[[#This Row],[Country]],Table24[Greco-Roman 130kg Classification],"&gt;0")</f>
        <v>0</v>
      </c>
      <c r="MG175" s="6">
        <f>COUNTIFS(Table31[Country],Tabela1[[#This Row],[Country]],Table31[50kg Classification],"&gt;0")</f>
        <v>0</v>
      </c>
      <c r="MH175" s="6">
        <f>COUNTIFS(Table31[Country],Tabela1[[#This Row],[Country]],Table31[53kg Classification],"&gt;0")</f>
        <v>0</v>
      </c>
      <c r="MI175" s="6">
        <f>COUNTIFS(Table31[Country],Tabela1[[#This Row],[Country]],Table31[57kg Classification],"&gt;0")</f>
        <v>0</v>
      </c>
      <c r="MJ175" s="6">
        <f>COUNTIFS(Table31[Country],Tabela1[[#This Row],[Country]],Table31[62kg Classification],"&gt;0")</f>
        <v>0</v>
      </c>
      <c r="MK175" s="6">
        <f>COUNTIFS(Table31[Country],Tabela1[[#This Row],[Country]],Table31[68kg Classification],"&gt;0")</f>
        <v>0</v>
      </c>
      <c r="ML175" s="6">
        <f>COUNTIFS(Table31[Country],Tabela1[[#This Row],[Country]],Table31[76kg Classification],"&gt;0")</f>
        <v>0</v>
      </c>
      <c r="MM175" s="6">
        <f>COUNTIFS(Table102[Country],Tabela1[[#This Row],[Country]],Table102[Downhill Classification],"&gt;0")</f>
        <v>0</v>
      </c>
      <c r="MN175" s="6">
        <f>COUNTIFS(Table102105[Country],Tabela1[[#This Row],[Country]],Table102105[Downhill Classification],"&gt;0")</f>
        <v>0</v>
      </c>
      <c r="MO175" s="6">
        <f>COUNTIFS(Table102[Country],Tabela1[[#This Row],[Country]],Table102[Giant Slalom Classification],"&gt;0")</f>
        <v>0</v>
      </c>
      <c r="MP175" s="6">
        <f>COUNTIFS(Table102105[Country],Tabela1[[#This Row],[Country]],Table102105[Giant Slalom Classification],"&gt;0")</f>
        <v>0</v>
      </c>
      <c r="MQ175" s="6">
        <f>COUNTIFS(Table102[Country],Tabela1[[#This Row],[Country]],Table102[Slalom Classification],"&gt;0")</f>
        <v>0</v>
      </c>
      <c r="MR175" s="6">
        <f>COUNTIFS(Table102105[Country],Tabela1[[#This Row],[Country]],Table102105[Slalom Classification],"&gt;0")</f>
        <v>0</v>
      </c>
      <c r="MS175" s="6">
        <f>COUNTIFS(Table102[Country],Tabela1[[#This Row],[Country]],Table102[Super-G Classification],"&gt;0")</f>
        <v>0</v>
      </c>
      <c r="MT175" s="6">
        <f>COUNTIFS(Table102105[Country],Tabela1[[#This Row],[Country]],Table102105[Super-G Classification],"&gt;0")</f>
        <v>0</v>
      </c>
      <c r="MU175" s="6">
        <f>COUNTIFS(Table105[Country],Tabela1[[#This Row],[Country]],Table105[Men''s Combined Classification],"&gt;0")</f>
        <v>0</v>
      </c>
      <c r="MV175" s="6">
        <f>COUNTIFS(Table105[Country],Tabela1[[#This Row],[Country]],Table105[Women''s Combined Classification],"&gt;0")</f>
        <v>0</v>
      </c>
      <c r="MW175" s="6">
        <f>COUNTIFS(Table106[Country],Tabela1[[#This Row],[Country]],Table106[Individual Classification],"&gt;0")</f>
        <v>0</v>
      </c>
      <c r="MX175" s="6">
        <f>COUNTIFS(Table106109[Country],Tabela1[[#This Row],[Country]],Table106109[Individual Classification],"&gt;0")</f>
        <v>0</v>
      </c>
      <c r="MY175" s="6">
        <f>COUNTIFS(Table106[Country],Tabela1[[#This Row],[Country]],Table106[Mass Start Classification],"&gt;0")</f>
        <v>0</v>
      </c>
      <c r="MZ175" s="6">
        <f>COUNTIFS(Table106109[Country],Tabela1[[#This Row],[Country]],Table106109[Mass Start Classification],"&gt;0")</f>
        <v>0</v>
      </c>
      <c r="NA175" s="6">
        <f>COUNTIFS(Table106[Country],Tabela1[[#This Row],[Country]],Table106[Pursuit Classification],"&gt;0")</f>
        <v>0</v>
      </c>
      <c r="NB175" s="6">
        <f>COUNTIFS(Table106109[Country],Tabela1[[#This Row],[Country]],Table106109[Pursuit Classification],"&gt;0")</f>
        <v>0</v>
      </c>
      <c r="NC175" s="6">
        <f>COUNTIFS(Table106[Country],Tabela1[[#This Row],[Country]],Table106[Sprint Classification],"&gt;0")</f>
        <v>0</v>
      </c>
      <c r="ND175" s="6">
        <f>COUNTIFS(Table106109[Country],Tabela1[[#This Row],[Country]],Table106109[Sprint Classification],"&gt;0")</f>
        <v>0</v>
      </c>
      <c r="NE175" s="6">
        <f>COUNTIFS(Table109[Country],Tabela1[[#This Row],[Country]],Table109[Men''s Relay Classification],"&gt;0")</f>
        <v>0</v>
      </c>
      <c r="NF175" s="6">
        <f>COUNTIFS(Table109[Country],Tabela1[[#This Row],[Country]],Table109[Women''s Relay Classification],"&gt;0")</f>
        <v>0</v>
      </c>
      <c r="NG175" s="6">
        <f>COUNTIFS(Table109[Country],Tabela1[[#This Row],[Country]],Table109[Mixed Relay Classification],"&gt;0")</f>
        <v>0</v>
      </c>
      <c r="NH175" s="6">
        <f>COUNTIFS(Table110[Country],Tabela1[[#This Row],[Country]],Table110[Monobob Classification],"&gt;0")</f>
        <v>0</v>
      </c>
      <c r="NI175" s="6">
        <f>COUNTIFS(Table111[Country],Tabela1[[#This Row],[Country]],Table111[Men''s Classification],"&gt;0")</f>
        <v>0</v>
      </c>
      <c r="NJ175" s="6">
        <f>COUNTIFS(Table111[Country],Tabela1[[#This Row],[Country]],Table111[Women''s Classification],"&gt;0")</f>
        <v>0</v>
      </c>
      <c r="NK175" s="6">
        <f>COUNTIFS(Table112[Country],Tabela1[[#This Row],[Country]],Table112[Men''s Four Classification],"&gt;0")</f>
        <v>0</v>
      </c>
      <c r="NL175" s="6">
        <f>COUNTIFS(Table113[Country],Tabela1[[#This Row],[Country]],Table113[Classical Classification],"&gt;0")</f>
        <v>0</v>
      </c>
      <c r="NM175" s="6">
        <f>COUNTIFS(Table113116[Country],Tabela1[[#This Row],[Country]],Table113116[Classical Classification],"&gt;0")</f>
        <v>0</v>
      </c>
      <c r="NN175" s="6">
        <f>COUNTIFS(Table113[Country],Tabela1[[#This Row],[Country]],Table113[Freestyle Classification],"&gt;0")</f>
        <v>0</v>
      </c>
      <c r="NO175" s="6">
        <f>COUNTIFS(Table113116[Country],Tabela1[[#This Row],[Country]],Table113116[Freestyle Classification],"&gt;0")</f>
        <v>0</v>
      </c>
      <c r="NP175" s="6">
        <f>COUNTIFS(Table117[Country],Tabela1[[#This Row],[Country]],Table117[Men''s Relay Classification],"&gt;0")</f>
        <v>0</v>
      </c>
      <c r="NQ175" s="6">
        <f>COUNTIFS(Table117[Country],Tabela1[[#This Row],[Country]],Table117[Women''s Relay Classification],"&gt;0")</f>
        <v>0</v>
      </c>
      <c r="NR175" s="6">
        <f>COUNTIFS(Table113[Country],Tabela1[[#This Row],[Country]],Table113[Skiathlon Classification],"&gt;0")</f>
        <v>0</v>
      </c>
      <c r="NS175" s="6">
        <f>COUNTIFS(Table113116[Country],Tabela1[[#This Row],[Country]],Table113116[Skiathlon Classification],"&gt;0")</f>
        <v>0</v>
      </c>
      <c r="NT175" s="6">
        <f>COUNTIFS(Table113[Country],Tabela1[[#This Row],[Country]],Table113[Sprint Classification],"&gt;0")</f>
        <v>0</v>
      </c>
      <c r="NU175" s="6">
        <f>COUNTIFS(Table113116[Country],Tabela1[[#This Row],[Country]],Table113116[Sprint Classification],"&gt;0")</f>
        <v>0</v>
      </c>
      <c r="NV175" s="6">
        <f>COUNTIFS(Table116[Country],Tabela1[[#This Row],[Country]],Table116[Men''s Team Sprint Classification],"&gt;0")</f>
        <v>0</v>
      </c>
      <c r="NW175" s="6">
        <f>COUNTIFS(Table116[Country],Tabela1[[#This Row],[Country]],Table116[Women''s Team Sprint Classification],"&gt;0")</f>
        <v>0</v>
      </c>
      <c r="NX175" s="6">
        <f>COUNTIFS(Table119[Country],Tabela1[[#This Row],[Country]],Table119[Men''s Classification],"&gt;0")</f>
        <v>0</v>
      </c>
      <c r="NY175" s="6">
        <f>COUNTIFS(Table119[Country],Tabela1[[#This Row],[Country]],Table119[Women''s Classification],"&gt;0")</f>
        <v>0</v>
      </c>
      <c r="NZ175" s="6">
        <f>COUNTIFS(Table118[Country],Tabela1[[#This Row],[Country]],Table118[Mixed Classification],"&gt;0")</f>
        <v>0</v>
      </c>
      <c r="OA175" s="6">
        <f>COUNTIFS(Table120[Country],Tabela1[[#This Row],[Country]],Table120[Classification],"&gt;0")</f>
        <v>0</v>
      </c>
      <c r="OB175" s="6">
        <f>COUNTIFS(Table120123[Country],Tabela1[[#This Row],[Country]],Table120123[Classification],"&gt;0")</f>
        <v>0</v>
      </c>
      <c r="OC175" s="6">
        <f>COUNTIFS(Table123[Country],Tabela1[[#This Row],[Country]],Table123[Ice Dance Classification],"&gt;0")</f>
        <v>0</v>
      </c>
      <c r="OD175" s="6">
        <f>COUNTIFS(Table123[Country],Tabela1[[#This Row],[Country]],Table123[Pair Skating Classification],"&gt;0")</f>
        <v>0</v>
      </c>
      <c r="OE175" s="6">
        <f>COUNTIFS(Table124[Country],Tabela1[[#This Row],[Country]],Table124[Mixed Classification],"&gt;0")</f>
        <v>0</v>
      </c>
      <c r="OF175" s="6">
        <f>COUNTIFS(Table125[Country],Tabela1[[#This Row],[Country]],Table125[Aerials Classification],"&gt;0")</f>
        <v>0</v>
      </c>
      <c r="OG175" s="6">
        <f>COUNTIFS(Table125128[Country],Tabela1[[#This Row],[Country]],Table125128[Aerials Classification],"&gt;0")</f>
        <v>0</v>
      </c>
      <c r="OH175" s="6">
        <f>COUNTIFS(Table128[Country],Tabela1[[#This Row],[Country]],Table128[Mixed Aerials Classification],"&gt;0")</f>
        <v>0</v>
      </c>
      <c r="OI175" s="6">
        <f>COUNTIFS(Table125[Country],Tabela1[[#This Row],[Country]],Table125[Big Air Classification],"&gt;0")</f>
        <v>0</v>
      </c>
      <c r="OJ175" s="6">
        <f>COUNTIFS(Table125128[Country],Tabela1[[#This Row],[Country]],Table125128[Big Air Classification],"&gt;0")</f>
        <v>0</v>
      </c>
      <c r="OK175" s="6">
        <f>COUNTIFS(Table125[Country],Tabela1[[#This Row],[Country]],Table125[Dual Moguls Classification],"&gt;0")</f>
        <v>0</v>
      </c>
      <c r="OL175" s="6">
        <f>COUNTIFS(Table125128[Country],Tabela1[[#This Row],[Country]],Table125128[Dual Moguls Classification],"&gt;0")</f>
        <v>0</v>
      </c>
      <c r="OM175" s="6">
        <f>COUNTIFS(Table125[Country],Tabela1[[#This Row],[Country]],Table125[Halfpipe Classification],"&gt;0")</f>
        <v>0</v>
      </c>
      <c r="ON175" s="6">
        <f>COUNTIFS(Table125128[Country],Tabela1[[#This Row],[Country]],Table125128[Halfpipe Classification],"&gt;0")</f>
        <v>0</v>
      </c>
      <c r="OO175" s="6">
        <f>COUNTIFS(Table125[Country],Tabela1[[#This Row],[Country]],Table125[Moguls Classification],"&gt;0")</f>
        <v>0</v>
      </c>
      <c r="OP175" s="6">
        <f>COUNTIFS(Table125128[Country],Tabela1[[#This Row],[Country]],Table125128[Moguls Classification],"&gt;0")</f>
        <v>0</v>
      </c>
      <c r="OQ175" s="6">
        <f>COUNTIFS(Table125[Country],Tabela1[[#This Row],[Country]],Table125[Ski Cross Classification],"&gt;0")</f>
        <v>0</v>
      </c>
      <c r="OR175" s="6">
        <f>COUNTIFS(Table125128[Country],Tabela1[[#This Row],[Country]],Table125128[Ski Cross Classification],"&gt;0")</f>
        <v>0</v>
      </c>
      <c r="OS175" s="6">
        <f>COUNTIFS(Table125[Country],Tabela1[[#This Row],[Country]],Table125[Slopestyle Classification],"&gt;0")</f>
        <v>0</v>
      </c>
      <c r="OT175" s="6">
        <f>COUNTIFS(Table125128[Country],Tabela1[[#This Row],[Country]],Table125128[Slopestyle Classification],"&gt;0")</f>
        <v>0</v>
      </c>
      <c r="OU175" s="6">
        <f>COUNTIFS(Table119131[Country],Tabela1[[#This Row],[Country]],Table119131[Men''s Classification],"&gt;0")</f>
        <v>0</v>
      </c>
      <c r="OV175" s="6">
        <f>COUNTIFS(Table119131[Country],Tabela1[[#This Row],[Country]],Table119131[Women''s Classification],"&gt;0")</f>
        <v>0</v>
      </c>
      <c r="OW175" s="6">
        <f>COUNTIFS(Table131[Country],Tabela1[[#This Row],[Country]],Table131[Classification],"&gt;0")</f>
        <v>0</v>
      </c>
      <c r="OX175" s="6">
        <f>COUNTIFS(Table131134[Country],Tabela1[[#This Row],[Country]],Table131134[Classification],"&gt;0")</f>
        <v>0</v>
      </c>
      <c r="OY175" s="6">
        <f>COUNTIFS(Table134[Country],Tabela1[[#This Row],[Country]],Table134[Men''s Classification],"&gt;0")</f>
        <v>0</v>
      </c>
      <c r="OZ175" s="6">
        <f>COUNTIFS(Table134[Country],Tabela1[[#This Row],[Country]],Table134[Women''s Classification],"&gt;0")</f>
        <v>0</v>
      </c>
      <c r="PA175" s="6">
        <f>COUNTIFS(Table135[Country],Tabela1[[#This Row],[Country]],Table135[Mixed Relay Classification],"&gt;0")</f>
        <v>0</v>
      </c>
      <c r="PB175" s="6">
        <f>COUNTIFS(Table136[Country],Tabela1[[#This Row],[Country]],Table136[Individual Classification],"&gt;0")</f>
        <v>0</v>
      </c>
      <c r="PC175" s="6">
        <f>COUNTIFS(Table136[Country],Tabela1[[#This Row],[Country]],Table136[Sprint Classification],"&gt;0")</f>
        <v>0</v>
      </c>
      <c r="PD175" s="6">
        <f>COUNTIFS(Table137[Country],Tabela1[[#This Row],[Country]],Table137[Men''s Team Sprint Large Hill Classification],"&gt;0")</f>
        <v>0</v>
      </c>
      <c r="PE175" s="6">
        <f>COUNTIFS(Table138[Country],Tabela1[[#This Row],[Country]],Table138[500m Classification],"&gt;0")</f>
        <v>0</v>
      </c>
      <c r="PF175" s="6">
        <f>COUNTIFS(Table138141[Country],Tabela1[[#This Row],[Country]],Table138141[500m Classification],"&gt;0")</f>
        <v>0</v>
      </c>
      <c r="PG175" s="6">
        <f>COUNTIFS(Table138[Country],Tabela1[[#This Row],[Country]],Table138[1000m Classification],"&gt;0")</f>
        <v>0</v>
      </c>
      <c r="PH175" s="6">
        <f>COUNTIFS(Table138141[Country],Tabela1[[#This Row],[Country]],Table138141[1000m Classification],"&gt;0")</f>
        <v>0</v>
      </c>
      <c r="PI175" s="6">
        <f>COUNTIFS(Table138[Country],Tabela1[[#This Row],[Country]],Table138[1500m Classification],"&gt;0")</f>
        <v>0</v>
      </c>
      <c r="PJ175" s="6">
        <f>COUNTIFS(Table138141[Country],Tabela1[[#This Row],[Country]],Table138141[1500m Classification],"&gt;0")</f>
        <v>0</v>
      </c>
      <c r="PK175" s="6">
        <f>COUNTIFS(Table141[Country],Tabela1[[#This Row],[Country]],Table141[Men''s 5000m Relay Classification],"&gt;0")</f>
        <v>0</v>
      </c>
      <c r="PL175" s="6">
        <f>COUNTIFS(Table141[Country],Tabela1[[#This Row],[Country]],Table141[Women''s 3000m Relay Classification],"&gt;0")</f>
        <v>0</v>
      </c>
      <c r="PM175" s="6">
        <f>COUNTIFS(Table141[Country],Tabela1[[#This Row],[Country]],Table141[Mixed 2000m Relay Classification],"&gt;0")</f>
        <v>0</v>
      </c>
      <c r="PN175" s="6">
        <f>COUNTIFS(Table142[Country],Tabela1[[#This Row],[Country]],Table142[Classification],"&gt;0")</f>
        <v>0</v>
      </c>
      <c r="PO175" s="6">
        <f>COUNTIFS(Table142145[Country],Tabela1[[#This Row],[Country]],Table142145[Classification],"&gt;0")</f>
        <v>0</v>
      </c>
      <c r="PP175" s="6">
        <f>COUNTIFS(Tabela15[Country],Tabela1[[#This Row],[Country]],Tabela15[Mixed Team Classification],"&gt;0")</f>
        <v>0</v>
      </c>
      <c r="PQ175" s="6">
        <f>COUNTIFS(Table145[Country],Tabela1[[#This Row],[Country]],Table145[Large Hill Classification],"&gt;0")</f>
        <v>0</v>
      </c>
      <c r="PR175" s="6">
        <f>COUNTIFS(Table145[Country],Tabela1[[#This Row],[Country]],Table145[Normal Hill Classification],"&gt;0")</f>
        <v>0</v>
      </c>
      <c r="PS175" s="6">
        <f>COUNTIFS(Table145148[Country],Tabela1[[#This Row],[Country]],Table145148[Large Hill Classification],"&gt;0")</f>
        <v>0</v>
      </c>
      <c r="PT175" s="6">
        <f>COUNTIFS(Table145148[Country],Tabela1[[#This Row],[Country]],Table145148[Normal Hill Classification],"&gt;0")</f>
        <v>0</v>
      </c>
      <c r="PU175" s="6">
        <f>COUNTIFS(Table148[Country],Tabela1[[#This Row],[Country]],Table148[Men''s Super Team Classification],"&gt;0")</f>
        <v>0</v>
      </c>
      <c r="PV175" s="6">
        <f>COUNTIFS(Tabela114[Country],Tabela1[[#This Row],[Country]],Tabela114[Mixed Normal Hill Classification],"&gt;0")</f>
        <v>0</v>
      </c>
      <c r="PW175" s="6">
        <f>COUNTIFS(Tabela50[Country],Tabela1[[#This Row],[Country]],Tabela50[Sprint Classification],"&gt;0")</f>
        <v>0</v>
      </c>
      <c r="PX175" s="6">
        <f>COUNTIFS(Tabela50101[Country],Tabela1[[#This Row],[Country]],Tabela50101[Sprint Classification],"&gt;0")</f>
        <v>0</v>
      </c>
      <c r="PY175" s="6">
        <f>COUNTIFS(Tabela103[Country],Tabela1[[#This Row],[Country]],Tabela103[Mixed Relay Classification],"&gt;0")</f>
        <v>0</v>
      </c>
      <c r="PZ175" s="6">
        <f>COUNTIFS(Table149[Country],Tabela1[[#This Row],[Country]],Table149[Big Air Classification],"&gt;0")</f>
        <v>0</v>
      </c>
      <c r="QA175" s="6">
        <f>COUNTIFS(Table149152[Country],Tabela1[[#This Row],[Country]],Table149152[Big Air Classification],"&gt;0")</f>
        <v>0</v>
      </c>
      <c r="QB175" s="6">
        <f>COUNTIFS(Table149[Country],Tabela1[[#This Row],[Country]],Table149[Halfpipe Classification],"&gt;0")</f>
        <v>0</v>
      </c>
      <c r="QC175" s="6">
        <f>COUNTIFS(Table149152[Country],Tabela1[[#This Row],[Country]],Table149152[Halfpipe Classification],"&gt;0")</f>
        <v>0</v>
      </c>
      <c r="QD175" s="6">
        <f>COUNTIFS(Table149[Country],Tabela1[[#This Row],[Country]],Table149[Parallel Giant Slalom Classification],"&gt;0")</f>
        <v>0</v>
      </c>
      <c r="QE175" s="6">
        <f>COUNTIFS(Table149152[Country],Tabela1[[#This Row],[Country]],Table149152[Parallel Giant Slalom Classification],"&gt;0")</f>
        <v>0</v>
      </c>
      <c r="QF175" s="6">
        <f>COUNTIFS(Table149[Country],Tabela1[[#This Row],[Country]],Table149[Slopestyle Classification],"&gt;0")</f>
        <v>0</v>
      </c>
      <c r="QG175" s="6">
        <f>COUNTIFS(Table149152[Country],Tabela1[[#This Row],[Country]],Table149152[Slopestyle Classification],"&gt;0")</f>
        <v>0</v>
      </c>
      <c r="QH175" s="6">
        <f>COUNTIFS(Table149[Country],Tabela1[[#This Row],[Country]],Table149[Snowboard Cross Classification],"&gt;0")</f>
        <v>0</v>
      </c>
      <c r="QI175" s="6">
        <f>COUNTIFS(Table149152[Country],Tabela1[[#This Row],[Country]],Table149152[Snowboard Cross Classification],"&gt;0")</f>
        <v>0</v>
      </c>
      <c r="QJ175" s="6">
        <f>COUNTIFS(Table153[Country],Tabela1[[#This Row],[Country]],Table153[Mixed Team Snowboard Cross Classification],"&gt;0")</f>
        <v>0</v>
      </c>
      <c r="QK175" s="6">
        <f>COUNTIFS(Table154[Country],Tabela1[[#This Row],[Country]],Table154[500m Classification],"&gt;0")</f>
        <v>0</v>
      </c>
      <c r="QL175" s="6">
        <f>COUNTIFS(Table154157[Country],Tabela1[[#This Row],[Country]],Table154157[500m Classification],"&gt;0")</f>
        <v>0</v>
      </c>
      <c r="QM175" s="6">
        <f>COUNTIFS(Table154[Country],Tabela1[[#This Row],[Country]],Table154[1000m Classification],"&gt;0")</f>
        <v>0</v>
      </c>
      <c r="QN175" s="6">
        <f>COUNTIFS(Table154157[Country],Tabela1[[#This Row],[Country]],Table154157[1000m Classification],"&gt;0")</f>
        <v>0</v>
      </c>
      <c r="QO175" s="6">
        <f>COUNTIFS(Table154[Country],Tabela1[[#This Row],[Country]],Table154[1500m Classification],"&gt;0")</f>
        <v>0</v>
      </c>
      <c r="QP175" s="6">
        <f>COUNTIFS(Table154157[Country],Tabela1[[#This Row],[Country]],Table154157[1500m Classification],"&gt;0")</f>
        <v>0</v>
      </c>
      <c r="QQ175" s="6">
        <f>COUNTIFS(Table154157[Country],Tabela1[[#This Row],[Country]],Table154157[3000m Classification],"&gt;0")</f>
        <v>0</v>
      </c>
      <c r="QR175" s="6">
        <f>COUNTIFS(Table154[Country],Tabela1[[#This Row],[Country]],Table154[5000m Classification],"&gt;0")</f>
        <v>0</v>
      </c>
      <c r="QS175" s="6">
        <f>COUNTIFS(Table154157[Country],Tabela1[[#This Row],[Country]],Table154157[5000m Classification],"&gt;0")</f>
        <v>0</v>
      </c>
      <c r="QT175" s="6">
        <f>COUNTIFS(Table154[Country],Tabela1[[#This Row],[Country]],Table154[10000m Classification],"&gt;0")</f>
        <v>0</v>
      </c>
      <c r="QU175" s="6">
        <f>COUNTIFS(Table154[Country],Tabela1[[#This Row],[Country]],Table154[Mass Start Classification],"&gt;0")</f>
        <v>0</v>
      </c>
      <c r="QV175" s="6">
        <f>COUNTIFS(Table154157[Country],Tabela1[[#This Row],[Country]],Table154157[Mass Start Classification],"&gt;0")</f>
        <v>0</v>
      </c>
      <c r="QW175" s="6">
        <f>COUNTIFS(Table157[Country],Tabela1[[#This Row],[Country]],Table157[Men''s Pursuit Classification],"&gt;0")</f>
        <v>0</v>
      </c>
      <c r="QX175" s="6">
        <f>COUNTIFS(Table157[Country],Tabela1[[#This Row],[Country]],Table157[Women''s Pursuit Classification],"&gt;0")</f>
        <v>0</v>
      </c>
      <c r="QY175" s="4" t="s">
        <v>567</v>
      </c>
    </row>
    <row r="176" spans="1:467" x14ac:dyDescent="0.3">
      <c r="A176" s="6">
        <v>175</v>
      </c>
      <c r="B176" s="6" t="s">
        <v>568</v>
      </c>
      <c r="C176" t="e" vm="175">
        <f>IF(ISBLANK(Tabela1[[#This Row],[Image Link]]), "", _xlfn.IMAGE(Tabela1[[#This Row],[Image Link]],1,1))</f>
        <v>#VALUE!</v>
      </c>
      <c r="D176" s="6">
        <f>SUM(Tabela1[[#This Row],[Archery - Men''s Individual Recurve]:[Speed Skating - Women''s Team Pursuit]])</f>
        <v>0</v>
      </c>
      <c r="E176" s="6">
        <f>COUNTIF(Tabela1[[#This Row],[Archery - Men''s Individual Recurve]:[Speed Skating - Women''s Team Pursuit]],"&gt;0")</f>
        <v>0</v>
      </c>
      <c r="F176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76" s="6">
        <f>SUM(Tabela1[[#This Row],[Archery - Men''s Individual Recurve]:[Wrestling - Women''s Freestyle 76kg]])</f>
        <v>0</v>
      </c>
      <c r="H176" s="6">
        <f>SUM(Tabela1[[#This Row],[Alpine Skiing - Men''s Downhill]:[Speed Skating - Women''s Team Pursuit]])</f>
        <v>0</v>
      </c>
      <c r="I176" s="6">
        <f>Tabela1[[#This Row],[Summer Gold Medals]]+Tabela1[[#This Row],[Winter Gold Medals]]</f>
        <v>0</v>
      </c>
      <c r="J176" s="6">
        <f>Tabela1[[#This Row],[Summer Silver Medals]]+Tabela1[[#This Row],[Winter Silver Medals]]</f>
        <v>0</v>
      </c>
      <c r="K176" s="6">
        <f>Tabela1[[#This Row],[Summer Bronze Medals]]+Tabela1[[#This Row],[Winter Bronze Medals]]</f>
        <v>0</v>
      </c>
      <c r="L176" s="6">
        <f>SUM(Tabela1[[#This Row],[Total Gold Medals]:[Total Bronze Medals]])</f>
        <v>0</v>
      </c>
      <c r="M176" s="6"/>
      <c r="N176" s="6"/>
      <c r="O176" s="6"/>
      <c r="P176" s="6">
        <f>SUM(Tabela1[[#This Row],[Summer Gold Medals]:[Summer Bronze Medals]])</f>
        <v>0</v>
      </c>
      <c r="Q176" s="6"/>
      <c r="R176" s="6"/>
      <c r="S176" s="6"/>
      <c r="T176" s="6">
        <f>Tabela1[[#This Row],[Winter Gold Medals]]+Tabela1[[#This Row],[Winter Silver Medals]]+Tabela1[[#This Row],[Winter Bronze Medals]]</f>
        <v>0</v>
      </c>
      <c r="U176" s="7" t="e">
        <f>Tabela1[[#This Row],[Total Medals]]/Tabela1[[#This Row],[Total Quotas]]</f>
        <v>#DIV/0!</v>
      </c>
      <c r="V176" s="6">
        <f>COUNTIFS(Table3[Country],Tabela1[[#This Row],[Country]],Table3[Recurve Classification],"&gt;0")</f>
        <v>0</v>
      </c>
      <c r="W176" s="6">
        <f>COUNTIFS(Table33[Country],Tabela1[[#This Row],[Country]],Table33[Recurve Classification],"&gt;0")</f>
        <v>0</v>
      </c>
      <c r="X176" s="6">
        <f>COUNTIFS(Table35[Country],Tabela1[[#This Row],[Country]],Table35[Men''s Team Recurve Classification],"&gt;0")</f>
        <v>0</v>
      </c>
      <c r="Y176" s="6">
        <f>COUNTIFS(Table35[Country],Tabela1[[#This Row],[Country]],Table35[Women''s Team Recurve Classification],"&gt;0")</f>
        <v>0</v>
      </c>
      <c r="Z176" s="6">
        <f>COUNTIFS(Tabela88[Country],Tabela1[[#This Row],[Country]],Tabela88[Mixed Team Recurve Classification],"&gt;0")</f>
        <v>0</v>
      </c>
      <c r="AA176" s="6">
        <f>COUNTIFS(Table36[Country],Tabela1[[#This Row],[Country]],Table36[Classification],"&gt;0")</f>
        <v>0</v>
      </c>
      <c r="AB176" s="6">
        <f>COUNTIFS(Table37[Country],Tabela1[[#This Row],[Country]],Table37[Classification],"&gt;0")</f>
        <v>0</v>
      </c>
      <c r="AC176" s="6">
        <f>COUNTIFS(Table4[Country],Tabela1[[#This Row],[Country]],Table4[100m Classification],"&gt;0")</f>
        <v>0</v>
      </c>
      <c r="AD176" s="6">
        <f>COUNTIFS(Table5[Country],Tabela1[[#This Row],[Country]],Table5[100m Classification],"&gt;0")</f>
        <v>0</v>
      </c>
      <c r="AE176" s="6">
        <f>COUNTIFS(Table4[Country],Tabela1[[#This Row],[Country]],Table4[200m Classification],"&gt;0")</f>
        <v>0</v>
      </c>
      <c r="AF176" s="6">
        <f>COUNTIFS(Table5[Country],Tabela1[[#This Row],[Country]],Table5[200m Classification],"&gt;0")</f>
        <v>0</v>
      </c>
      <c r="AG176" s="6">
        <f>COUNTIFS(Table4[Country],Tabela1[[#This Row],[Country]],Table4[400m Classification],"&gt;0")</f>
        <v>0</v>
      </c>
      <c r="AH176" s="6">
        <f>COUNTIFS(Table5[Country],Tabela1[[#This Row],[Country]],Table5[400m Classification],"&gt;0")</f>
        <v>0</v>
      </c>
      <c r="AI176" s="6">
        <f>COUNTIFS(Table4[Country],Tabela1[[#This Row],[Country]],Table4[800m Classification],"&gt;0")</f>
        <v>0</v>
      </c>
      <c r="AJ176" s="6">
        <f>COUNTIFS(Table5[Country],Tabela1[[#This Row],[Country]],Table5[800m Classification],"&gt;0")</f>
        <v>0</v>
      </c>
      <c r="AK176" s="6">
        <f>COUNTIFS(Table4[Country],Tabela1[[#This Row],[Country]],Table4[1500m Classification],"&gt;0")</f>
        <v>0</v>
      </c>
      <c r="AL176" s="6">
        <f>COUNTIFS(Table5[Country],Tabela1[[#This Row],[Country]],Table5[1500m Classification],"&gt;0")</f>
        <v>0</v>
      </c>
      <c r="AM176" s="6">
        <f>COUNTIFS(Table4[Country],Tabela1[[#This Row],[Country]],Table4[5000m Classification],"&gt;0")</f>
        <v>0</v>
      </c>
      <c r="AN176" s="6">
        <f>COUNTIFS(Table5[Country],Tabela1[[#This Row],[Country]],Table5[5000m Classification],"&gt;0")</f>
        <v>0</v>
      </c>
      <c r="AO176" s="6">
        <f>COUNTIFS(Table4[Country],Tabela1[[#This Row],[Country]],Table4[10000m Classification],"&gt;0")</f>
        <v>0</v>
      </c>
      <c r="AP176" s="6">
        <f>COUNTIFS(Table5[Country],Tabela1[[#This Row],[Country]],Table5[10000m Classification],"&gt;0")</f>
        <v>0</v>
      </c>
      <c r="AQ176" s="6">
        <f>COUNTIFS(Table4[Country],Tabela1[[#This Row],[Country]],Table4[110m Hurdles Classification],"&gt;0")</f>
        <v>0</v>
      </c>
      <c r="AR176" s="6">
        <f>COUNTIFS(Table5[Country],Tabela1[[#This Row],[Country]],Table5[100m Hurdles Classification],"&gt;0")</f>
        <v>0</v>
      </c>
      <c r="AS176" s="6">
        <f>COUNTIFS(Table4[Country],Tabela1[[#This Row],[Country]],Table4[400m Hurdles Classification],"&gt;0")</f>
        <v>0</v>
      </c>
      <c r="AT176" s="6">
        <f>COUNTIFS(Table5[Country],Tabela1[[#This Row],[Country]],Table5[400m Hurdles Classification],"&gt;0")</f>
        <v>0</v>
      </c>
      <c r="AU176" s="6">
        <f>COUNTIFS(Table4[Country],Tabela1[[#This Row],[Country]],Table4[3000m Steeplechase Classification],"&gt;0")</f>
        <v>0</v>
      </c>
      <c r="AV176" s="6">
        <f>COUNTIFS(Table5[Country],Tabela1[[#This Row],[Country]],Table5[3000m Steeplechase Classification],"&gt;0")</f>
        <v>0</v>
      </c>
      <c r="AW176" s="6">
        <f>COUNTIFS(Table27[Country],Tabela1[[#This Row],[Country]],Table27[Men''s 4x100m Relay Classification],"&gt;0")</f>
        <v>0</v>
      </c>
      <c r="AX176" s="6">
        <f>COUNTIFS(Table27[Country],Tabela1[[#This Row],[Country]],Table27[Women''s 4x100m Relay Classification],"&gt;0")</f>
        <v>0</v>
      </c>
      <c r="AY176" s="6">
        <f>COUNTIFS(Table27[Country],Tabela1[[#This Row],[Country]],Table27[Men''s 4x400m Relay Classification],"&gt;0")</f>
        <v>0</v>
      </c>
      <c r="AZ176" s="6">
        <f>COUNTIFS(Table27[Country],Tabela1[[#This Row],[Country]],Table27[Women''s 4x400m Relay Classification],"&gt;0")</f>
        <v>0</v>
      </c>
      <c r="BA176" s="6">
        <f>COUNTIFS(Table27[Country],Tabela1[[#This Row],[Country]],Table27[Mixed 4x400m Relay Classification],"&gt;0")</f>
        <v>0</v>
      </c>
      <c r="BB176" s="6">
        <f>COUNTIFS(Table4[Country],Tabela1[[#This Row],[Country]],Table4[Marathon Classification],"&gt;0")</f>
        <v>0</v>
      </c>
      <c r="BC176" s="6">
        <f>COUNTIFS(Table5[Country],Tabela1[[#This Row],[Country]],Table5[Marathon Classification],"&gt;0")</f>
        <v>0</v>
      </c>
      <c r="BD176" s="6">
        <f>COUNTIFS(Table4[Country],Tabela1[[#This Row],[Country]],Table4[20km Race Walk Classification],"&gt;0")</f>
        <v>0</v>
      </c>
      <c r="BE176" s="6">
        <f>COUNTIFS(Table5[Country],Tabela1[[#This Row],[Country]],Table5[20km Race Walk Classification],"&gt;0")</f>
        <v>0</v>
      </c>
      <c r="BF176" s="6">
        <f>COUNTIFS(Tabela96[Country],Tabela1[[#This Row],[Country]],Tabela96[Mixed Marathon Race Walk Relay Classification],"&gt;0")</f>
        <v>0</v>
      </c>
      <c r="BG176" s="6">
        <f>COUNTIFS(Table4[Country],Tabela1[[#This Row],[Country]],Table4[Discus Throw Classification],"&gt;0")</f>
        <v>0</v>
      </c>
      <c r="BH176" s="6">
        <f>COUNTIFS(Table5[Country],Tabela1[[#This Row],[Country]],Table5[Discus Throw Classification],"&gt;0")</f>
        <v>0</v>
      </c>
      <c r="BI176" s="6">
        <f>COUNTIFS(Table4[Country],Tabela1[[#This Row],[Country]],Table4[Hammer Throw Classification],"&gt;0")</f>
        <v>0</v>
      </c>
      <c r="BJ176" s="6">
        <f>COUNTIFS(Table5[Country],Tabela1[[#This Row],[Country]],Table5[Hammer Throw Classification],"&gt;0")</f>
        <v>0</v>
      </c>
      <c r="BK176" s="6">
        <f>COUNTIFS(Table4[Country],Tabela1[[#This Row],[Country]],Table4[High Jump Classification],"&gt;0")</f>
        <v>0</v>
      </c>
      <c r="BL176" s="6">
        <f>COUNTIFS(Table5[Country],Tabela1[[#This Row],[Country]],Table5[High Jump Classification],"&gt;0")</f>
        <v>0</v>
      </c>
      <c r="BM176" s="6">
        <f>COUNTIFS(Table4[Country],Tabela1[[#This Row],[Country]],Table4[Javelin Throw Classification],"&gt;0")</f>
        <v>0</v>
      </c>
      <c r="BN176" s="6">
        <f>COUNTIFS(Table5[Country],Tabela1[[#This Row],[Country]],Table5[Javelin Throw Classification],"&gt;0")</f>
        <v>0</v>
      </c>
      <c r="BO176" s="6">
        <f>COUNTIFS(Table4[Country],Tabela1[[#This Row],[Country]],Table4[Long Jump Classification],"&gt;0")</f>
        <v>0</v>
      </c>
      <c r="BP176" s="6">
        <f>COUNTIFS(Table5[Country],Tabela1[[#This Row],[Country]],Table5[Long Jump Classification],"&gt;0")</f>
        <v>0</v>
      </c>
      <c r="BQ176" s="6">
        <f>COUNTIFS(Table4[Country],Tabela1[[#This Row],[Country]],Table4[Pole Vault Classification],"&gt;0")</f>
        <v>0</v>
      </c>
      <c r="BR176" s="6">
        <f>COUNTIFS(Table5[Country],Tabela1[[#This Row],[Country]],Table5[Pole Vault Classification],"&gt;0")</f>
        <v>0</v>
      </c>
      <c r="BS176" s="6">
        <f>COUNTIFS(Table4[Country],Tabela1[[#This Row],[Country]],Table4[Shot Put Classification],"&gt;0")</f>
        <v>0</v>
      </c>
      <c r="BT176" s="6">
        <f>COUNTIFS(Table5[Country],Tabela1[[#This Row],[Country]],Table5[Shot Put Classification],"&gt;0")</f>
        <v>0</v>
      </c>
      <c r="BU176" s="6">
        <f>COUNTIFS(Table4[Country],Tabela1[[#This Row],[Country]],Table4[Triple Jump Classification],"&gt;0")</f>
        <v>0</v>
      </c>
      <c r="BV176" s="6">
        <f>COUNTIFS(Table5[Country],Tabela1[[#This Row],[Country]],Table5[Triple Jump Classification],"&gt;0")</f>
        <v>0</v>
      </c>
      <c r="BW176" s="6">
        <f>COUNTIFS(Table4[Country],Tabela1[[#This Row],[Country]],Table4[Decathlon Classification],"&gt;0")</f>
        <v>0</v>
      </c>
      <c r="BX176" s="6">
        <f>COUNTIFS(Table5[Country],Tabela1[[#This Row],[Country]],Table5[Heptathlon Classification],"&gt;0")</f>
        <v>0</v>
      </c>
      <c r="BY176" s="6">
        <f>COUNTIFS(Table61[Country],Tabela1[[#This Row],[Country]],Table61[Classification],"&gt;0")</f>
        <v>0</v>
      </c>
      <c r="BZ176" s="6">
        <f>COUNTIFS(Table38[Country],Tabela1[[#This Row],[Country]],Table38[Classification],"&gt;0")</f>
        <v>0</v>
      </c>
      <c r="CA176" s="6">
        <f>COUNTIFS(Table39[Country],Tabela1[[#This Row],[Country]],Table39[Men''s Classification],"&gt;0")</f>
        <v>0</v>
      </c>
      <c r="CB176" s="6">
        <f>COUNTIFS(Table39[Country],Tabela1[[#This Row],[Country]],Table39[Women''s Classification],"&gt;0")</f>
        <v>0</v>
      </c>
      <c r="CC176" s="6">
        <f>COUNTIFS(Table39[Country],Tabela1[[#This Row],[Country]],Table39[Mixed Classification],"&gt;0")</f>
        <v>0</v>
      </c>
      <c r="CD176" s="6">
        <f>COUNTIFS(Table89[Country],Tabela1[[#This Row],[Country]],Table89[Men''s Classification],"&gt;0")</f>
        <v>0</v>
      </c>
      <c r="CE176" s="6">
        <f>COUNTIFS(Table89[Country],Tabela1[[#This Row],[Country]],Table89[Women''s Classification],"&gt;0")</f>
        <v>0</v>
      </c>
      <c r="CF176" s="6">
        <f>COUNTIFS(Table90[Country],Tabela1[[#This Row],[Country]],Table90[Men''s Classification],"&gt;0")</f>
        <v>0</v>
      </c>
      <c r="CG176" s="6">
        <f>COUNTIFS(Table90[Country],Tabela1[[#This Row],[Country]],Table90[Women''s Classification],"&gt;0")</f>
        <v>0</v>
      </c>
      <c r="CH176" s="6">
        <f>COUNTIFS(Table60[Country],Tabela1[[#This Row],[Country]],Table60[Men''s Classification],"&gt;0")</f>
        <v>0</v>
      </c>
      <c r="CI176" s="6">
        <f>COUNTIFS(Table60[Country],Tabela1[[#This Row],[Country]],Table60[Women''s Classification],"&gt;0")</f>
        <v>0</v>
      </c>
      <c r="CJ176" s="6">
        <f>COUNTIFS(Table6[Country],Tabela1[[#This Row],[Country]],Table6[51kg Classification],"&gt;0")</f>
        <v>0</v>
      </c>
      <c r="CK176" s="6">
        <f>COUNTIFS(Table6[Country],Tabela1[[#This Row],[Country]],Table6[57kg Classification],"&gt;0")</f>
        <v>0</v>
      </c>
      <c r="CL176" s="6">
        <f>COUNTIFS(Table6[Country],Tabela1[[#This Row],[Country]],Table6[63.5kg Classification],"&gt;0")</f>
        <v>0</v>
      </c>
      <c r="CM176" s="6">
        <f>COUNTIFS(Table6[Country],Tabela1[[#This Row],[Country]],Table6[71kg Classification],"&gt;0")</f>
        <v>0</v>
      </c>
      <c r="CN176" s="6">
        <f>COUNTIFS(Table6[Country],Tabela1[[#This Row],[Country]],Table6[80kg Classification],"&gt;0")</f>
        <v>0</v>
      </c>
      <c r="CO176" s="6">
        <f>COUNTIFS(Table6[Country],Tabela1[[#This Row],[Country]],Table6[92kg Classification],"&gt;0")</f>
        <v>0</v>
      </c>
      <c r="CP176" s="6">
        <f>COUNTIFS(Table6[Country],Tabela1[[#This Row],[Country]],Table6[Plus 92kg Classification],"&gt;0")</f>
        <v>0</v>
      </c>
      <c r="CQ176" s="6">
        <f>COUNTIFS(Table7[Country],Tabela1[[#This Row],[Country]],Table7[50kg Classification],"&gt;0")</f>
        <v>0</v>
      </c>
      <c r="CR176" s="6">
        <f>COUNTIFS(Table7[Country],Tabela1[[#This Row],[Country]],Table7[54kg Classification],"&gt;0")</f>
        <v>0</v>
      </c>
      <c r="CS176" s="6">
        <f>COUNTIFS(Table7[Country],Tabela1[[#This Row],[Country]],Table7[57kg Classification],"&gt;0")</f>
        <v>0</v>
      </c>
      <c r="CT176" s="6">
        <f>COUNTIFS(Table7[Country],Tabela1[[#This Row],[Country]],Table7[60kg Classification],"&gt;0")</f>
        <v>0</v>
      </c>
      <c r="CU176" s="6">
        <f>COUNTIFS(Table7[Country],Tabela1[[#This Row],[Country]],Table7[66kg Classification],"&gt;0")</f>
        <v>0</v>
      </c>
      <c r="CV176" s="6">
        <f>COUNTIFS(Table7[Country],Tabela1[[#This Row],[Country]],Table7[75kg Classification],"&gt;0")</f>
        <v>0</v>
      </c>
      <c r="CW176" s="6">
        <f>COUNTIFS(Tabela94[Country],Tabela1[[#This Row],[Country]],Tabela94[Classification],"&gt;0")</f>
        <v>0</v>
      </c>
      <c r="CX176" s="6">
        <f>COUNTIFS(Tabela9499[Country],Tabela1[[#This Row],[Country]],Tabela9499[Classification],"&gt;0")</f>
        <v>0</v>
      </c>
      <c r="CY176" s="6">
        <f>COUNTIFS(Tabela107[Country],Tabela1[[#This Row],[Country]],Tabela107[C1 Slalom Classification],"&gt;0")</f>
        <v>0</v>
      </c>
      <c r="CZ176" s="6">
        <f>COUNTIFS(Tabela107122[Country],Tabela1[[#This Row],[Country]],Tabela107122[C1 Slalom Classification],"&gt;0")</f>
        <v>0</v>
      </c>
      <c r="DA176" s="6">
        <f>COUNTIFS(Tabela107[Country],Tabela1[[#This Row],[Country]],Tabela107[K1 Slalom Classification],"&gt;0")</f>
        <v>0</v>
      </c>
      <c r="DB176" s="6">
        <f>COUNTIFS(Tabela107122[Country],Tabela1[[#This Row],[Country]],Tabela107122[K1 Slalom Classification],"&gt;0")</f>
        <v>0</v>
      </c>
      <c r="DC176" s="6">
        <f>COUNTIFS(Tabela107[Country],Tabela1[[#This Row],[Country]],Tabela107[Kayak Cross Slalom Classification],"&gt;0")</f>
        <v>0</v>
      </c>
      <c r="DD176" s="6">
        <f>COUNTIFS(Tabela107122[Country],Tabela1[[#This Row],[Country]],Tabela107122[Kayak Cross Slalom Classification],"&gt;0")</f>
        <v>0</v>
      </c>
      <c r="DE176" s="6">
        <f>COUNTIFS(Table8[Country],Tabela1[[#This Row],[Country]],Table8[C1 200m Classification],"&gt;0")</f>
        <v>0</v>
      </c>
      <c r="DF176" s="6">
        <f>COUNTIFS(Table40[Country],Tabela1[[#This Row],[Country]],Table40[C1 1000m Classification],"&gt;0")</f>
        <v>0</v>
      </c>
      <c r="DG176" s="6">
        <f>COUNTIFS(Table68[Country],Tabela1[[#This Row],[Country]],Table68[Men''s C2 500m Classification],"&gt;0")</f>
        <v>0</v>
      </c>
      <c r="DH176" s="6">
        <f>COUNTIFS(Table68[Country],Tabela1[[#This Row],[Country]],Table68[Women''s C2 500m Classification],"&gt;0")</f>
        <v>0</v>
      </c>
      <c r="DI176" s="6">
        <f>COUNTIFS(Table8[Country],Tabela1[[#This Row],[Country]],Table8[K1 500m Classification],"&gt;0")</f>
        <v>0</v>
      </c>
      <c r="DJ176" s="6">
        <f>COUNTIFS(Table40[Country],Tabela1[[#This Row],[Country]],Table40[K1 1000m Classification],"&gt;0")</f>
        <v>0</v>
      </c>
      <c r="DK176" s="6">
        <f>COUNTIFS(Table68[Country],Tabela1[[#This Row],[Country]],Table68[Men''s K2 500m Classification],"&gt;0")</f>
        <v>0</v>
      </c>
      <c r="DL176" s="6">
        <f>COUNTIFS(Table68[Country],Tabela1[[#This Row],[Country]],Table68[Women''s K2 500m Classification],"&gt;0")</f>
        <v>0</v>
      </c>
      <c r="DM176" s="6">
        <f>COUNTIFS(Table83[Country],Tabela1[[#This Row],[Country]],Table83[Men''s K4 500m Classification],"&gt;0")</f>
        <v>0</v>
      </c>
      <c r="DN176" s="6">
        <f>COUNTIFS(Table83[Country],Tabela1[[#This Row],[Country]],Table83[Women''s K4 500m Classification],"&gt;0")</f>
        <v>0</v>
      </c>
      <c r="DO176" s="6">
        <f>COUNTIFS(Tabela126[Country],Tabela1[[#This Row],[Country]],Tabela126[Classification],"&gt;0")</f>
        <v>0</v>
      </c>
      <c r="DP176" s="6">
        <f>COUNTIFS(Tabela126130[Country],Tabela1[[#This Row],[Country]],Tabela126130[Classification],"&gt;0")</f>
        <v>0</v>
      </c>
      <c r="DQ176" s="6">
        <f>COUNTIFS(Table70[Country],Tabela1[[#This Row],[Country]],Table70[Classification],"&gt;0")</f>
        <v>0</v>
      </c>
      <c r="DR176" s="6">
        <f>COUNTIFS(Table80[Country],Tabela1[[#This Row],[Country]],Table80[Classification],"&gt;0")</f>
        <v>0</v>
      </c>
      <c r="DS176" s="6">
        <f>COUNTIFS(Table66[Country],Tabela1[[#This Row],[Country]],Table66[Classification],"&gt;0")</f>
        <v>0</v>
      </c>
      <c r="DT176" s="6">
        <f>COUNTIFS(Table67[Country],Tabela1[[#This Row],[Country]],Table67[Classification],"&gt;0")</f>
        <v>0</v>
      </c>
      <c r="DU176" s="6">
        <f>COUNTIFS(Table69[Country],Tabela1[[#This Row],[Country]],Table69[Keirin Classification],"&gt;0")</f>
        <v>0</v>
      </c>
      <c r="DV176" s="6">
        <f>COUNTIFS(Table41[Country],Tabela1[[#This Row],[Country]],Table41[Keirin Classification],"&gt;0")</f>
        <v>0</v>
      </c>
      <c r="DW176" s="6">
        <f>COUNTIFS(Table84[Country],Tabela1[[#This Row],[Country]],Table84[Men''s Madison Classification],"&gt;0")</f>
        <v>0</v>
      </c>
      <c r="DX176" s="6">
        <f>COUNTIFS(Table84[Country],Tabela1[[#This Row],[Country]],Table84[Women''s Madison Classification],"&gt;0")</f>
        <v>0</v>
      </c>
      <c r="DY176" s="6">
        <f>COUNTIFS(Table69[Country],Tabela1[[#This Row],[Country]],Table69[Omnium Classification],"&gt;0")</f>
        <v>0</v>
      </c>
      <c r="DZ176" s="6">
        <f>COUNTIFS(Table41[Country],Tabela1[[#This Row],[Country]],Table41[Omnium Classification],"&gt;0")</f>
        <v>0</v>
      </c>
      <c r="EA176" s="6">
        <f>COUNTIFS(Table9[Country],Tabela1[[#This Row],[Country]],Table9[Road Race Classification],"&gt;0")</f>
        <v>0</v>
      </c>
      <c r="EB176" s="6">
        <f>COUNTIFS(Table14[Country],Tabela1[[#This Row],[Country]],Table14[Road Race Classification],"&gt;0")</f>
        <v>0</v>
      </c>
      <c r="EC176" s="6">
        <f>COUNTIFS(Table69[Country],Tabela1[[#This Row],[Country]],Table69[Sprint Classification],"&gt;0")</f>
        <v>0</v>
      </c>
      <c r="ED176" s="6">
        <f>COUNTIFS(Table41[Country],Tabela1[[#This Row],[Country]],Table41[Sprint Classification],"&gt;0")</f>
        <v>0</v>
      </c>
      <c r="EE176" s="6">
        <f>COUNTIFS(Table85[Country],Tabela1[[#This Row],[Country]],Table85[Men''s Sprint Classification],"&gt;0")</f>
        <v>0</v>
      </c>
      <c r="EF176" s="6">
        <f>COUNTIFS(Table85[Country],Tabela1[[#This Row],[Country]],Table85[Women''s Sprint Classification],"&gt;0")</f>
        <v>0</v>
      </c>
      <c r="EG176" s="6">
        <f>COUNTIFS(Table85[Country],Tabela1[[#This Row],[Country]],Table85[Men''s Pursuit Classification],"&gt;0")</f>
        <v>0</v>
      </c>
      <c r="EH176" s="6">
        <f>COUNTIFS(Table85[Country],Tabela1[[#This Row],[Country]],Table85[Women''s Pursuit Classification],"&gt;0")</f>
        <v>0</v>
      </c>
      <c r="EI176" s="6">
        <f>COUNTIFS(Table9[Country],Tabela1[[#This Row],[Country]],Table9[Time-Trial Classification],"&gt;0")</f>
        <v>0</v>
      </c>
      <c r="EJ176" s="6">
        <f>COUNTIFS(Table14[Country],Tabela1[[#This Row],[Country]],Table14[Time-Trial Classification],"&gt;0")</f>
        <v>0</v>
      </c>
      <c r="EK176" s="6">
        <f>COUNTIFS(Table42[Country],Tabela1[[#This Row],[Country]],Table42[Springboard Classification],"&gt;0")</f>
        <v>0</v>
      </c>
      <c r="EL176" s="6">
        <f>COUNTIFS(Table43[Country],Tabela1[[#This Row],[Country]],Table43[Springboard Classification],"&gt;0")</f>
        <v>0</v>
      </c>
      <c r="EM176" s="6">
        <f>COUNTIFS(Table42[Country],Tabela1[[#This Row],[Country]],Table42[Platform Classification],"&gt;0")</f>
        <v>0</v>
      </c>
      <c r="EN176" s="6">
        <f>COUNTIFS(Table43[Country],Tabela1[[#This Row],[Country]],Table43[Platform Classification],"&gt;0")</f>
        <v>0</v>
      </c>
      <c r="EO176" s="6">
        <f>COUNTIFS(Table86[Country],Tabela1[[#This Row],[Country]],Table86[Men''s Synchronized Springboard Classification],"&gt;0")</f>
        <v>0</v>
      </c>
      <c r="EP176" s="6">
        <f>COUNTIFS(Table86[Country],Tabela1[[#This Row],[Country]],Table86[Women''s Synchronized Springboard Classification],"&gt;0")</f>
        <v>0</v>
      </c>
      <c r="EQ176" s="6">
        <f>COUNTIFS(Table86[Country],Tabela1[[#This Row],[Country]],Table86[Men''s Synchronized Platform Classification],"&gt;0")</f>
        <v>0</v>
      </c>
      <c r="ER176" s="6">
        <f>COUNTIFS(Table86[Country],Tabela1[[#This Row],[Country]],Table86[Women''s Synchronized Platform Classification],"&gt;0")</f>
        <v>0</v>
      </c>
      <c r="ES176" s="6">
        <f>COUNTIFS(Table44[Country],Tabela1[[#This Row],[Country]],Table44[Dressage Classification],"&gt;0")</f>
        <v>0</v>
      </c>
      <c r="ET176" s="6">
        <f>COUNTIFS(Table45[Country],Tabela1[[#This Row],[Country]],Table45[Dressage Classification],"&gt;0")</f>
        <v>0</v>
      </c>
      <c r="EU176" s="6">
        <f>COUNTIFS(Table44[Country],Tabela1[[#This Row],[Country]],Table44[Eventing Classification],"&gt;0")</f>
        <v>0</v>
      </c>
      <c r="EV176" s="6">
        <f>COUNTIFS(Table45[Country],Tabela1[[#This Row],[Country]],Table45[Eventing Classification],"&gt;0")</f>
        <v>0</v>
      </c>
      <c r="EW176" s="6">
        <f>COUNTIFS(Table44[Country],Tabela1[[#This Row],[Country]],Table44[Jumping Classification],"&gt;0")</f>
        <v>0</v>
      </c>
      <c r="EX176" s="6">
        <f>COUNTIFS(Table45[Country],Tabela1[[#This Row],[Country]],Table45[Jumping Classification],"&gt;0")</f>
        <v>0</v>
      </c>
      <c r="EY176" s="6">
        <f>COUNTIFS(Table10[Country],Tabela1[[#This Row],[Country]],Table10[Épée Classification],"&gt;0")</f>
        <v>0</v>
      </c>
      <c r="EZ176" s="6">
        <f>COUNTIFS(Table11[Country],Tabela1[[#This Row],[Country]],Table11[Épée Classification],"&gt;0")</f>
        <v>0</v>
      </c>
      <c r="FA176" s="6">
        <f>COUNTIFS(Table46[Country],Tabela1[[#This Row],[Country]],Table46[Men''s Épée Classification],"&gt;0")</f>
        <v>0</v>
      </c>
      <c r="FB176" s="6">
        <f>COUNTIFS(Table46[Country],Tabela1[[#This Row],[Country]],Table46[Women''s Épée Classification],"&gt;0")</f>
        <v>0</v>
      </c>
      <c r="FC176" s="6">
        <f>COUNTIFS(Table10[Country],Tabela1[[#This Row],[Country]],Table10[Foil Classification],"&gt;0")</f>
        <v>0</v>
      </c>
      <c r="FD176" s="6">
        <f>COUNTIFS(Table11[Country],Tabela1[[#This Row],[Country]],Table11[Foil Classification],"&gt;0")</f>
        <v>0</v>
      </c>
      <c r="FE176" s="6">
        <f>COUNTIFS(Table46[Country],Tabela1[[#This Row],[Country]],Table46[Men''s Foil Classification],"&gt;0")</f>
        <v>0</v>
      </c>
      <c r="FF176" s="6">
        <f>COUNTIFS(Table46[Country],Tabela1[[#This Row],[Country]],Table46[Women''s Foil Classification],"&gt;0")</f>
        <v>0</v>
      </c>
      <c r="FG176" s="6">
        <f>COUNTIFS(Table10[Country],Tabela1[[#This Row],[Country]],Table10[Sabre Classification],"&gt;0")</f>
        <v>0</v>
      </c>
      <c r="FH176" s="6">
        <f>COUNTIFS(Table11[Country],Tabela1[[#This Row],[Country]],Table11[Sabre Classification],"&gt;0")</f>
        <v>0</v>
      </c>
      <c r="FI176" s="6">
        <f>COUNTIFS(Table46[Country],Tabela1[[#This Row],[Country]],Table46[Men''s Sabre Classification],"&gt;0")</f>
        <v>0</v>
      </c>
      <c r="FJ176" s="6">
        <f>COUNTIFS(Table46[Country],Tabela1[[#This Row],[Country]],Table46[Women''s Sabre Classification],"&gt;0")</f>
        <v>0</v>
      </c>
      <c r="FK176" s="6">
        <f>COUNTIFS(Table91[Country],Tabela1[[#This Row],[Country]],Table91[Men''s Classification],"&gt;0")</f>
        <v>0</v>
      </c>
      <c r="FL176" s="6">
        <f>COUNTIFS(Table91[Country],Tabela1[[#This Row],[Country]],Table91[Women''s Classification],"&gt;0")</f>
        <v>0</v>
      </c>
      <c r="FM176" s="6">
        <f>COUNTIFS(Table9194[Country],Tabela1[[#This Row],[Country]],Table9194[Men''s Classification],"&gt;0")</f>
        <v>0</v>
      </c>
      <c r="FN176" s="6">
        <f>COUNTIFS(Table9194[Country],Tabela1[[#This Row],[Country]],Table9194[Women''s Classification],"&gt;0")</f>
        <v>0</v>
      </c>
      <c r="FO176" s="6">
        <f>COUNTIFS(Table71[Country],Tabela1[[#This Row],[Country]],Table71[Classification],"&gt;0")</f>
        <v>0</v>
      </c>
      <c r="FP176" s="6">
        <f>COUNTIFS(Table62[Country],Tabela1[[#This Row],[Country]],Table62[Classification],"&gt;0")</f>
        <v>0</v>
      </c>
      <c r="FQ176" s="6">
        <f>COUNTIFS(Table47[Country],Tabela1[[#This Row],[Country]],Table47[All-Around Classification],"&gt;0")</f>
        <v>0</v>
      </c>
      <c r="FR176" s="6">
        <f>COUNTIFS(Table48[Country],Tabela1[[#This Row],[Country]],Table48[All-Around Classification],"&gt;0")</f>
        <v>0</v>
      </c>
      <c r="FS176" s="6">
        <f>COUNTIFS(Table81[Country],Tabela1[[#This Row],[Country]],Table81[Men''s All-Around Classification],"&gt;0")</f>
        <v>0</v>
      </c>
      <c r="FT176" s="6">
        <f>COUNTIFS(Table81[Country],Tabela1[[#This Row],[Country]],Table81[Women''s All-Around Classification],"&gt;0")</f>
        <v>0</v>
      </c>
      <c r="FU176" s="6">
        <f>COUNTIFS(Table48[Country],Tabela1[[#This Row],[Country]],Table48[Balance Beam Classification],"&gt;0")</f>
        <v>0</v>
      </c>
      <c r="FV176" s="6">
        <f>COUNTIFS(Table47[Country],Tabela1[[#This Row],[Country]],Table47[Floor Exercise Classification],"&gt;0")</f>
        <v>0</v>
      </c>
      <c r="FW176" s="6">
        <f>COUNTIFS(Table48[Country],Tabela1[[#This Row],[Country]],Table48[Floor Exercise Classification],"&gt;0")</f>
        <v>0</v>
      </c>
      <c r="FX176" s="6">
        <f>COUNTIFS(Table47[Country],Tabela1[[#This Row],[Country]],Table47[Horizontal Bar Classification],"&gt;0")</f>
        <v>0</v>
      </c>
      <c r="FY176" s="6">
        <f>COUNTIFS(Table47[Country],Tabela1[[#This Row],[Country]],Table47[Parallel Bars Classification],"&gt;0")</f>
        <v>0</v>
      </c>
      <c r="FZ176" s="6">
        <f>COUNTIFS(Table47[Country],Tabela1[[#This Row],[Country]],Table47[Pommel Horse Classification],"&gt;0")</f>
        <v>0</v>
      </c>
      <c r="GA176" s="6">
        <f>COUNTIFS(Table47[Country],Tabela1[[#This Row],[Country]],Table47[Rings Classification],"&gt;0")</f>
        <v>0</v>
      </c>
      <c r="GB176" s="6">
        <f>COUNTIFS(Tabela132[Country],Tabela1[[#This Row],[Country]],Tabela132[Classification],"&gt;0")</f>
        <v>0</v>
      </c>
      <c r="GC176" s="6">
        <f>COUNTIFS(Tabela139[Country],Tabela1[[#This Row],[Country]],Tabela139[Classification],"&gt;0")</f>
        <v>0</v>
      </c>
      <c r="GD176" s="6">
        <f>COUNTIFS(Table48[Country],Tabela1[[#This Row],[Country]],Table48[Uneven Bars Classification],"&gt;0")</f>
        <v>0</v>
      </c>
      <c r="GE176" s="6">
        <f>COUNTIFS(Table47[Country],Tabela1[[#This Row],[Country]],Table47[Vault Classification],"&gt;0")</f>
        <v>0</v>
      </c>
      <c r="GF176" s="6">
        <f>COUNTIFS(Table48[Country],Tabela1[[#This Row],[Country]],Table48[Vault Classification],"&gt;0")</f>
        <v>0</v>
      </c>
      <c r="GG176" s="6">
        <f>COUNTIFS(Table919496[Country],Tabela1[[#This Row],[Country]],Table919496[Men''s Classification],"&gt;0")</f>
        <v>0</v>
      </c>
      <c r="GH176" s="6">
        <f>COUNTIFS(Table919496[Country],Tabela1[[#This Row],[Country]],Table919496[Women''s Classification],"&gt;0")</f>
        <v>0</v>
      </c>
      <c r="GI176" s="6">
        <f>COUNTIFS(Table12[Country],Tabela1[[#This Row],[Country]],Table12[60kg Classification],"&gt;0")</f>
        <v>0</v>
      </c>
      <c r="GJ176" s="6">
        <f>COUNTIFS(Table12[Country],Tabela1[[#This Row],[Country]],Table12[66kg Classification],"&gt;0")</f>
        <v>0</v>
      </c>
      <c r="GK176" s="6">
        <f>COUNTIFS(Table12[Country],Tabela1[[#This Row],[Country]],Table12[73kg Classification],"&gt;0")</f>
        <v>0</v>
      </c>
      <c r="GL176" s="6">
        <f>COUNTIFS(Table12[Country],Tabela1[[#This Row],[Country]],Table12[81kg Classification],"&gt;0")</f>
        <v>0</v>
      </c>
      <c r="GM176" s="6">
        <f>COUNTIFS(Table12[Country],Tabela1[[#This Row],[Country]],Table12[90kg Classification],"&gt;0")</f>
        <v>0</v>
      </c>
      <c r="GN176" s="6">
        <f>COUNTIFS(Table12[Country],Tabela1[[#This Row],[Country]],Table12[100kg Classification],"&gt;0")</f>
        <v>0</v>
      </c>
      <c r="GO176" s="6">
        <f>COUNTIFS(Table12[Country],Tabela1[[#This Row],[Country]],Table12[Plus 100kg Classification],"&gt;0")</f>
        <v>0</v>
      </c>
      <c r="GP176" s="6">
        <f>COUNTIFS(Table13[Country],Tabela1[[#This Row],[Country]],Table13[48kg Classification],"&gt;0")</f>
        <v>0</v>
      </c>
      <c r="GQ176" s="6">
        <f>COUNTIFS(Table13[Country],Tabela1[[#This Row],[Country]],Table13[52kg Classification],"&gt;0")</f>
        <v>0</v>
      </c>
      <c r="GR176" s="6">
        <f>COUNTIFS(Table13[Country],Tabela1[[#This Row],[Country]],Table13[57kg Classification],"&gt;0")</f>
        <v>0</v>
      </c>
      <c r="GS176" s="6">
        <f>COUNTIFS(Table13[Country],Tabela1[[#This Row],[Country]],Table13[63kg Classification],"&gt;0")</f>
        <v>0</v>
      </c>
      <c r="GT176" s="6">
        <f>COUNTIFS(Table13[Country],Tabela1[[#This Row],[Country]],Table13[70kg Classification],"&gt;0")</f>
        <v>0</v>
      </c>
      <c r="GU176" s="6">
        <f>COUNTIFS(Table13[Country],Tabela1[[#This Row],[Country]],Table13[78kg Classification],"&gt;0")</f>
        <v>0</v>
      </c>
      <c r="GV176" s="6">
        <f>COUNTIFS(Table13[Country],Tabela1[[#This Row],[Country]],Table13[Plus 78kg Classification],"&gt;0")</f>
        <v>0</v>
      </c>
      <c r="GW176" s="6">
        <f>COUNTIFS(Table82[Country],Tabela1[[#This Row],[Country]],Table82[Mixed Classification],"&gt;0")</f>
        <v>0</v>
      </c>
      <c r="GX176" s="6">
        <f>COUNTIFS(Table51[Country],Tabela1[[#This Row],[Country]],Table51[Classification],"&gt;0")</f>
        <v>0</v>
      </c>
      <c r="GY176" s="6">
        <f>COUNTIFS(Table52[Country],Tabela1[[#This Row],[Country]],Table52[Classification],"&gt;0")</f>
        <v>0</v>
      </c>
      <c r="GZ176" s="6">
        <f>COUNTIFS(Table32[Country],Tabela1[[#This Row],[Country]],Table32[All-Around Classification],"&gt;0")</f>
        <v>0</v>
      </c>
      <c r="HA176" s="6">
        <f>COUNTIFS(Table49[Country],Tabela1[[#This Row],[Country]],Table49[All-Around Classification],"&gt;0")</f>
        <v>0</v>
      </c>
      <c r="HB176" s="6">
        <f>COUNTIFS(Table26[Country],Tabela1[[#This Row],[Country]],Table26[Single Sculls Classification],"&gt;0")</f>
        <v>0</v>
      </c>
      <c r="HC176" s="6">
        <f>COUNTIFS(Table63[Country],Tabela1[[#This Row],[Country]],Table63[Single Sculls Classification],"&gt;0")</f>
        <v>0</v>
      </c>
      <c r="HD176" s="6">
        <f>COUNTIFS(Table16[Country],Tabela1[[#This Row],[Country]],Table16[Men''s Double Sculls Classification],"&gt;0")</f>
        <v>0</v>
      </c>
      <c r="HE176" s="6">
        <f>COUNTIFS(Table16[Country],Tabela1[[#This Row],[Country]],Table16[Women''s Double Sculls Classification],"&gt;0")</f>
        <v>0</v>
      </c>
      <c r="HF176" s="6">
        <f>COUNTIFS(Table72[Country],Tabela1[[#This Row],[Country]],Table72[Men''s Quadruple Sculls Classification],"&gt;0")</f>
        <v>0</v>
      </c>
      <c r="HG176" s="6">
        <f>COUNTIFS(Table72[Country],Tabela1[[#This Row],[Country]],Table72[Women''s Quadruple Sculls Classification],"&gt;0")</f>
        <v>0</v>
      </c>
      <c r="HH176" s="6">
        <f>COUNTIFS(Table16[Country],Tabela1[[#This Row],[Country]],Table16[Men''s Coxless Pairs Classification],"&gt;0")</f>
        <v>0</v>
      </c>
      <c r="HI176" s="6">
        <f>COUNTIFS(Table16[Country],Tabela1[[#This Row],[Country]],Table16[Women''s Coxless Pairs Classification],"&gt;0")</f>
        <v>0</v>
      </c>
      <c r="HJ176" s="6">
        <f>COUNTIFS(Table72[Country],Tabela1[[#This Row],[Country]],Table72[Men''s Coxless Fours Classification],"&gt;0")</f>
        <v>0</v>
      </c>
      <c r="HK176" s="6">
        <f>COUNTIFS(Table72[Country],Tabela1[[#This Row],[Country]],Table72[Women''s Coxless Fours Classification],"&gt;0")</f>
        <v>0</v>
      </c>
      <c r="HL176" s="6">
        <f>COUNTIFS(Table72[Country],Tabela1[[#This Row],[Country]],Table72[Men''s Eights Classification],"&gt;0")</f>
        <v>0</v>
      </c>
      <c r="HM176" s="6">
        <f>COUNTIFS(Table72[Country],Tabela1[[#This Row],[Country]],Table72[Women''s Eights Classification],"&gt;0")</f>
        <v>0</v>
      </c>
      <c r="HN176" s="6">
        <f>COUNTIFS(Table16[Country],Tabela1[[#This Row],[Country]],Table16[Men''s Lwt. Double Sculls Classification],"&gt;0")</f>
        <v>0</v>
      </c>
      <c r="HO176" s="6">
        <f>COUNTIFS(Table16[Country],Tabela1[[#This Row],[Country]],Table16[Women''s Lwt. Double Sculls Classification],"&gt;0")</f>
        <v>0</v>
      </c>
      <c r="HP176" s="6">
        <f>COUNTIFS(Table91949698[Country],Tabela1[[#This Row],[Country]],Table91949698[Men''s Classification],"&gt;0")</f>
        <v>0</v>
      </c>
      <c r="HQ176" s="6">
        <f>COUNTIFS(Table91949698[Country],Tabela1[[#This Row],[Country]],Table91949698[Women''s Classification],"&gt;0")</f>
        <v>0</v>
      </c>
      <c r="HR176" s="6">
        <f>COUNTIFS(Table25[Country],Tabela1[[#This Row],[Country]],Table25[Mixed 470 Classification],"&gt;0")</f>
        <v>0</v>
      </c>
      <c r="HS176" s="6">
        <f>COUNTIFS(Table25[Country],Tabela1[[#This Row],[Country]],Table25[Men''s 49er Classification],"&gt;0")</f>
        <v>0</v>
      </c>
      <c r="HT176" s="6">
        <f>COUNTIFS(Table25[Country],Tabela1[[#This Row],[Country]],Table25[Women''s 49er FX Classification],"&gt;0")</f>
        <v>0</v>
      </c>
      <c r="HU176" s="6">
        <f>COUNTIFS(Table17[Country],Tabela1[[#This Row],[Country]],Table17[Formula Kite Classification],"&gt;0")</f>
        <v>0</v>
      </c>
      <c r="HV176" s="6">
        <f>COUNTIFS(Table18[Country],Tabela1[[#This Row],[Country]],Table18[Formula Kite Classification],"&gt;0")</f>
        <v>0</v>
      </c>
      <c r="HW176" s="6">
        <f>COUNTIFS(Table17[Country],Tabela1[[#This Row],[Country]],Table17[ILCA 7 Classification],"&gt;0")</f>
        <v>0</v>
      </c>
      <c r="HX176" s="6">
        <f>COUNTIFS(Table18[Country],Tabela1[[#This Row],[Country]],Table18[ILCA 6 Classification],"&gt;0")</f>
        <v>0</v>
      </c>
      <c r="HY176" s="6">
        <f>COUNTIFS(Table17[Country],Tabela1[[#This Row],[Country]],Table17[IQFoil Classification],"&gt;0")</f>
        <v>0</v>
      </c>
      <c r="HZ176" s="6">
        <f>COUNTIFS(Table18[Country],Tabela1[[#This Row],[Country]],Table18[IQFoil Classification],"&gt;0")</f>
        <v>0</v>
      </c>
      <c r="IA176" s="6">
        <f>COUNTIFS(Table25[Country],Tabela1[[#This Row],[Country]],Table25[Mixed Nacra 17 Classification],"&gt;0")</f>
        <v>0</v>
      </c>
      <c r="IB176" s="6">
        <f>COUNTIFS(Table53[Country],Tabela1[[#This Row],[Country]],Table53[10m Air Pistol Classification],"&gt;0")</f>
        <v>0</v>
      </c>
      <c r="IC176" s="6">
        <f>COUNTIFS(Table19[Country],Tabela1[[#This Row],[Country]],Table19[10m Air Pistol Classification],"&gt;0")</f>
        <v>0</v>
      </c>
      <c r="ID176" s="6">
        <f>COUNTIFS(Table54[Country],Tabela1[[#This Row],[Country]],Table54[Mixed 10m Air Pistol Team Classification],"&gt;0")</f>
        <v>0</v>
      </c>
      <c r="IE176" s="6">
        <f>COUNTIFS(Table53[Country],Tabela1[[#This Row],[Country]],Table53[10m Air Rifle Classification],"&gt;0")</f>
        <v>0</v>
      </c>
      <c r="IF176" s="6">
        <f>COUNTIFS(Table19[Country],Tabela1[[#This Row],[Country]],Table19[10m Air Rifle Classification],"&gt;0")</f>
        <v>0</v>
      </c>
      <c r="IG176" s="6">
        <f>COUNTIFS(Table54[Country],Tabela1[[#This Row],[Country]],Table54[Mixed 10m Air Rifle Team Classification],"&gt;0")</f>
        <v>0</v>
      </c>
      <c r="IH176" s="6">
        <f>COUNTIFS(Table53[Country],Tabela1[[#This Row],[Country]],Table53[25m Rapid Fire Pistol Classification],"&gt;0")</f>
        <v>0</v>
      </c>
      <c r="II176" s="6">
        <f>COUNTIFS(Table19[Country],Tabela1[[#This Row],[Country]],Table19[25m Pistol Classification],"&gt;0")</f>
        <v>0</v>
      </c>
      <c r="IJ176" s="6">
        <f>COUNTIFS(Table53[Country],Tabela1[[#This Row],[Country]],Table53[50m Rifle 3 Positions Classification],"&gt;0")</f>
        <v>0</v>
      </c>
      <c r="IK176" s="6">
        <f>COUNTIFS(Table19[Country],Tabela1[[#This Row],[Country]],Table19[50m Rifle 3 Positions Classification],"&gt;0")</f>
        <v>0</v>
      </c>
      <c r="IL176" s="6">
        <f>COUNTIFS(Table53[Country],Tabela1[[#This Row],[Country]],Table53[Skeet Classification],"&gt;0")</f>
        <v>0</v>
      </c>
      <c r="IM176" s="6">
        <f>COUNTIFS(Table19[Country],Tabela1[[#This Row],[Country]],Table19[Skeet Classification],"&gt;0")</f>
        <v>0</v>
      </c>
      <c r="IN176" s="6">
        <f>COUNTIFS(Table54[Country],Tabela1[[#This Row],[Country]],Table54[Mixed Skeet Team Classification],"&gt;0")</f>
        <v>0</v>
      </c>
      <c r="IO176" s="6">
        <f>COUNTIFS(Table53[Country],Tabela1[[#This Row],[Country]],Table53[Trap Classification],"&gt;0")</f>
        <v>0</v>
      </c>
      <c r="IP176" s="6">
        <f>COUNTIFS(Table19[Country],Tabela1[[#This Row],[Country]],Table19[Trap Classification],"&gt;0")</f>
        <v>0</v>
      </c>
      <c r="IQ176" s="6">
        <f>COUNTIFS(Table73[Country],Tabela1[[#This Row],[Country]],Table73[Park Classification],"&gt;0")</f>
        <v>0</v>
      </c>
      <c r="IR176" s="6">
        <f>COUNTIFS(Table74[Country],Tabela1[[#This Row],[Country]],Table74[Park Classification],"&gt;0")</f>
        <v>0</v>
      </c>
      <c r="IS176" s="6">
        <f>COUNTIFS(Table73[Country],Tabela1[[#This Row],[Country]],Table73[Street Classification],"&gt;0")</f>
        <v>0</v>
      </c>
      <c r="IT176" s="6">
        <f>COUNTIFS(Table74[Country],Tabela1[[#This Row],[Country]],Table74[Street Classification],"&gt;0")</f>
        <v>0</v>
      </c>
      <c r="IU176" s="6">
        <f>COUNTIFS(Table75[Country],Tabela1[[#This Row],[Country]],Table75[Boulder and Lead Classification],"&gt;0")</f>
        <v>0</v>
      </c>
      <c r="IV176" s="6">
        <f>COUNTIFS(Table76[Country],Tabela1[[#This Row],[Country]],Table76[Boulder and Lead Classification],"&gt;0")</f>
        <v>0</v>
      </c>
      <c r="IW176" s="6">
        <f>COUNTIFS(Table75[Country],Tabela1[[#This Row],[Country]],Table75[Speed Classification],"&gt;0")</f>
        <v>0</v>
      </c>
      <c r="IX176" s="6">
        <f>COUNTIFS(Table76[Country],Tabela1[[#This Row],[Country]],Table76[Speed Classification],"&gt;0")</f>
        <v>0</v>
      </c>
      <c r="IY176" s="6">
        <f>COUNTIFS(Table64[Country],Tabela1[[#This Row],[Country]],Table64[Shortboard Classification],"&gt;0")</f>
        <v>0</v>
      </c>
      <c r="IZ176" s="6">
        <f>COUNTIFS(Table77[Country],Tabela1[[#This Row],[Country]],Table77[Shortboard Classification],"&gt;0")</f>
        <v>0</v>
      </c>
      <c r="JA176" s="6">
        <f>COUNTIFS(Table20[Country],Tabela1[[#This Row],[Country]],Table20[50m Freestyle Classification],"&gt;0")</f>
        <v>0</v>
      </c>
      <c r="JB176" s="6">
        <f>COUNTIFS(Table21[Country],Tabela1[[#This Row],[Country]],Table21[50m Freestyle Classification],"&gt;0")</f>
        <v>0</v>
      </c>
      <c r="JC176" s="6">
        <f>COUNTIFS(Table20[Country],Tabela1[[#This Row],[Country]],Table20[100m Freestyle Classification],"&gt;0")</f>
        <v>0</v>
      </c>
      <c r="JD176" s="6">
        <f>COUNTIFS(Table21[Country],Tabela1[[#This Row],[Country]],Table21[100m Freestyle Classification],"&gt;0")</f>
        <v>0</v>
      </c>
      <c r="JE176" s="6">
        <f>COUNTIFS(Table20[Country],Tabela1[[#This Row],[Country]],Table20[200m Freestyle Classification],"&gt;0")</f>
        <v>0</v>
      </c>
      <c r="JF176" s="6">
        <f>COUNTIFS(Table21[Country],Tabela1[[#This Row],[Country]],Table21[200m Freestyle Classification],"&gt;0")</f>
        <v>0</v>
      </c>
      <c r="JG176" s="6">
        <f>COUNTIFS(Table20[Country],Tabela1[[#This Row],[Country]],Table20[400m Freestyle Classification],"&gt;0")</f>
        <v>0</v>
      </c>
      <c r="JH176" s="6">
        <f>COUNTIFS(Table21[Country],Tabela1[[#This Row],[Country]],Table21[400m Freestyle Classification],"&gt;0")</f>
        <v>0</v>
      </c>
      <c r="JI176" s="6">
        <f>COUNTIFS(Table20[Country],Tabela1[[#This Row],[Country]],Table20[800m Freestyle Classification],"&gt;0")</f>
        <v>0</v>
      </c>
      <c r="JJ176" s="6">
        <f>COUNTIFS(Table21[Country],Tabela1[[#This Row],[Country]],Table21[800m Freestyle Classification],"&gt;0")</f>
        <v>0</v>
      </c>
      <c r="JK176" s="6">
        <f>COUNTIFS(Table20[Country],Tabela1[[#This Row],[Country]],Table20[1500m Freestyle Classification],"&gt;0")</f>
        <v>0</v>
      </c>
      <c r="JL176" s="6">
        <f>COUNTIFS(Table21[Country],Tabela1[[#This Row],[Country]],Table21[1500m Freestyle Classification],"&gt;0")</f>
        <v>0</v>
      </c>
      <c r="JM176" s="6">
        <f>COUNTIFS(Table20[Country],Tabela1[[#This Row],[Country]],Table20[100m Backstroke Classification],"&gt;0")</f>
        <v>0</v>
      </c>
      <c r="JN176" s="6">
        <f>COUNTIFS(Table21[Country],Tabela1[[#This Row],[Country]],Table21[100m Backstroke Classification],"&gt;0")</f>
        <v>0</v>
      </c>
      <c r="JO176" s="6">
        <f>COUNTIFS(Table20[Country],Tabela1[[#This Row],[Country]],Table20[200m Backstroke Classification],"&gt;0")</f>
        <v>0</v>
      </c>
      <c r="JP176" s="6">
        <f>COUNTIFS(Table21[Country],Tabela1[[#This Row],[Country]],Table21[200m Backstroke Classification],"&gt;0")</f>
        <v>0</v>
      </c>
      <c r="JQ176" s="6">
        <f>COUNTIFS(Table20[Country],Tabela1[[#This Row],[Country]],Table20[100m Breaststroke Classification],"&gt;0")</f>
        <v>0</v>
      </c>
      <c r="JR176" s="6">
        <f>COUNTIFS(Table21[Country],Tabela1[[#This Row],[Country]],Table21[100m Breaststroke Classification],"&gt;0")</f>
        <v>0</v>
      </c>
      <c r="JS176" s="6">
        <f>COUNTIFS(Table20[Country],Tabela1[[#This Row],[Country]],Table20[200m Breaststroke Classification],"&gt;0")</f>
        <v>0</v>
      </c>
      <c r="JT176" s="6">
        <f>COUNTIFS(Table21[Country],Tabela1[[#This Row],[Country]],Table21[200m Breaststroke Classification],"&gt;0")</f>
        <v>0</v>
      </c>
      <c r="JU176" s="6">
        <f>COUNTIFS(Table20[Country],Tabela1[[#This Row],[Country]],Table20[100m Butterfly Classification],"&gt;0")</f>
        <v>0</v>
      </c>
      <c r="JV176" s="6">
        <f>COUNTIFS(Table21[Country],Tabela1[[#This Row],[Country]],Table21[100m Butterfly Classification],"&gt;0")</f>
        <v>0</v>
      </c>
      <c r="JW176" s="6">
        <f>COUNTIFS(Table20[Country],Tabela1[[#This Row],[Country]],Table20[200m Butterfly Classification],"&gt;0")</f>
        <v>0</v>
      </c>
      <c r="JX176" s="6">
        <f>COUNTIFS(Table21[Country],Tabela1[[#This Row],[Country]],Table21[200m Butterfly Classification],"&gt;0")</f>
        <v>0</v>
      </c>
      <c r="JY176" s="6">
        <f>COUNTIFS(Table20[Country],Tabela1[[#This Row],[Country]],Table20[200m Medley Classification],"&gt;0")</f>
        <v>0</v>
      </c>
      <c r="JZ176" s="6">
        <f>COUNTIFS(Table21[Country],Tabela1[[#This Row],[Country]],Table21[200m Medley Classification],"&gt;0")</f>
        <v>0</v>
      </c>
      <c r="KA176" s="6">
        <f>COUNTIFS(Table20[Country],Tabela1[[#This Row],[Country]],Table20[400m Medley Classification],"&gt;0")</f>
        <v>0</v>
      </c>
      <c r="KB176" s="6">
        <f>COUNTIFS(Table21[Country],Tabela1[[#This Row],[Country]],Table21[400m Medley Classification],"&gt;0")</f>
        <v>0</v>
      </c>
      <c r="KC176" s="6">
        <f>COUNTIFS(Table78[Country],Tabela1[[#This Row],[Country]],Table78[Men''s 4x100m Freestyle Relay Classification],"&gt;0")</f>
        <v>0</v>
      </c>
      <c r="KD176" s="6">
        <f>COUNTIFS(Table78[Country],Tabela1[[#This Row],[Country]],Table78[Women''s 4x100m Freestyle Relay Classification],"&gt;0")</f>
        <v>0</v>
      </c>
      <c r="KE176" s="6">
        <f>COUNTIFS(Table78[Country],Tabela1[[#This Row],[Country]],Table78[Men''s 4x200m Freestyle Relay Classification],"&gt;0")</f>
        <v>0</v>
      </c>
      <c r="KF176" s="6">
        <f>COUNTIFS(Table78[Country],Tabela1[[#This Row],[Country]],Table78[Women''s 4x200m Freestyle Relay Classification],"&gt;0")</f>
        <v>0</v>
      </c>
      <c r="KG176" s="6">
        <f>COUNTIFS(Table78[Country],Tabela1[[#This Row],[Country]],Table78[Men''s 4x100m Medley Relay Classification],"&gt;0")</f>
        <v>0</v>
      </c>
      <c r="KH176" s="6">
        <f>COUNTIFS(Table78[Country],Tabela1[[#This Row],[Country]],Table78[Women''s 4x100m Medley Relay Classification],"&gt;0")</f>
        <v>0</v>
      </c>
      <c r="KI176" s="6">
        <f>COUNTIFS(Table78[Country],Tabela1[[#This Row],[Country]],Table78[Mixed 4x100m Medley Relay Classification],"&gt;0")</f>
        <v>0</v>
      </c>
      <c r="KJ176" s="6">
        <f>COUNTIFS(Table20[Country],Tabela1[[#This Row],[Country]],Table20[10km Open Water Classification],"&gt;0")</f>
        <v>0</v>
      </c>
      <c r="KK176" s="6">
        <f>COUNTIFS(Table21[Country],Tabela1[[#This Row],[Country]],Table21[10km Open Water Classification],"&gt;0")</f>
        <v>0</v>
      </c>
      <c r="KL176" s="6">
        <f>COUNTIFS(Table22[Country],Tabela1[[#This Row],[Country]],Table22[Classification],"&gt;0")</f>
        <v>0</v>
      </c>
      <c r="KM176" s="6">
        <f>COUNTIFS(Table30[Country],Tabela1[[#This Row],[Country]],Table30[Classification],"&gt;0")</f>
        <v>0</v>
      </c>
      <c r="KN176" s="6">
        <f>COUNTIFS(Table55[Country],Tabela1[[#This Row],[Country]],Table55[Men''s Classification],"&gt;0")</f>
        <v>0</v>
      </c>
      <c r="KO176" s="6">
        <f>COUNTIFS(Table55[Country],Tabela1[[#This Row],[Country]],Table55[Women''s Classification],"&gt;0")</f>
        <v>0</v>
      </c>
      <c r="KP176" s="6">
        <f>COUNTIFS(Table56[Country],Tabela1[[#This Row],[Country]],Table56[Mixed Classification],"&gt;0")</f>
        <v>0</v>
      </c>
      <c r="KQ176" s="6">
        <f>COUNTIFS(Table29[Country],Tabela1[[#This Row],[Country]],Table29[58kg Classification],"&gt;0")</f>
        <v>0</v>
      </c>
      <c r="KR176" s="6">
        <f>COUNTIFS(Table29[Country],Tabela1[[#This Row],[Country]],Table29[68kg Classification],"&gt;0")</f>
        <v>0</v>
      </c>
      <c r="KS176" s="6">
        <f>COUNTIFS(Table29[Country],Tabela1[[#This Row],[Country]],Table29[80kg Classification],"&gt;0")</f>
        <v>0</v>
      </c>
      <c r="KT176" s="6">
        <f>COUNTIFS(Table29[Country],Tabela1[[#This Row],[Country]],Table29[Plus 80kg Classification],"&gt;0")</f>
        <v>0</v>
      </c>
      <c r="KU176" s="6">
        <f>COUNTIFS(Table34[Country],Tabela1[[#This Row],[Country]],Table34[49kg Classification],"&gt;0")</f>
        <v>0</v>
      </c>
      <c r="KV176" s="6">
        <f>COUNTIFS(Table34[Country],Tabela1[[#This Row],[Country]],Table34[57kg Classification],"&gt;0")</f>
        <v>0</v>
      </c>
      <c r="KW176" s="6">
        <f>COUNTIFS(Table34[Country],Tabela1[[#This Row],[Country]],Table34[67kg Classification],"&gt;0")</f>
        <v>0</v>
      </c>
      <c r="KX176" s="6">
        <f>COUNTIFS(Table34[Country],Tabela1[[#This Row],[Country]],Table34[Plus 67kg Classification],"&gt;0")</f>
        <v>0</v>
      </c>
      <c r="KY176" s="6">
        <f>COUNTIFS(Table57[Country],Tabela1[[#This Row],[Country]],Table57[Classification],"&gt;0")</f>
        <v>0</v>
      </c>
      <c r="KZ176" s="6">
        <f>COUNTIFS(Table58[Country],Tabela1[[#This Row],[Country]],Table58[Classification],"&gt;0")</f>
        <v>0</v>
      </c>
      <c r="LA176" s="6">
        <f>COUNTIFS(Table79[Country],Tabela1[[#This Row],[Country]],Table79[Men''s Classification],"&gt;0")</f>
        <v>0</v>
      </c>
      <c r="LB176" s="6">
        <f>COUNTIFS(Table79[Country],Tabela1[[#This Row],[Country]],Table79[Women''s Classification],"&gt;0")</f>
        <v>0</v>
      </c>
      <c r="LC176" s="6">
        <f>COUNTIFS(Table79[Country],Tabela1[[#This Row],[Country]],Table79[Mixed Classification],"&gt;0")</f>
        <v>0</v>
      </c>
      <c r="LD176" s="6">
        <f>COUNTIFS(Table65[Country],Tabela1[[#This Row],[Country]],Table65[Classification],"&gt;0")</f>
        <v>0</v>
      </c>
      <c r="LE176" s="6">
        <f>COUNTIFS(Table59[Country],Tabela1[[#This Row],[Country]],Table59[Classification],"&gt;0")</f>
        <v>0</v>
      </c>
      <c r="LF176" s="6">
        <f>COUNTIFS(Table87[Country],Tabela1[[#This Row],[Country]],Table87[Mixed Relay Classification],"&gt;0")</f>
        <v>0</v>
      </c>
      <c r="LG176" s="6">
        <f>COUNTIFS(Table91949698100[Country],Tabela1[[#This Row],[Country]],Table91949698100[Men''s Classification],"&gt;0")</f>
        <v>0</v>
      </c>
      <c r="LH176" s="6">
        <f>COUNTIFS(Table91949698100[Country],Tabela1[[#This Row],[Country]],Table91949698100[Women''s Classification],"&gt;0")</f>
        <v>0</v>
      </c>
      <c r="LI176" s="6">
        <f>COUNTIFS(Table91949698100102[Country],Tabela1[[#This Row],[Country]],Table91949698100102[Men''s Classification],"&gt;0")</f>
        <v>0</v>
      </c>
      <c r="LJ176" s="6">
        <f>COUNTIFS(Table91949698100102[Country],Tabela1[[#This Row],[Country]],Table91949698100102[Women''s Classification],"&gt;0")</f>
        <v>0</v>
      </c>
      <c r="LK176" s="6">
        <f>COUNTIFS(Table23[Country],Tabela1[[#This Row],[Country]],Table23[61kg Classification],"&gt;0")</f>
        <v>0</v>
      </c>
      <c r="LL176" s="6">
        <f>COUNTIFS(Table23[Country],Tabela1[[#This Row],[Country]],Table23[73kg Classification],"&gt;0")</f>
        <v>0</v>
      </c>
      <c r="LM176" s="6">
        <f>COUNTIFS(Table23[Country],Tabela1[[#This Row],[Country]],Table23[89kg Classification],"&gt;0")</f>
        <v>0</v>
      </c>
      <c r="LN176" s="6">
        <f>COUNTIFS(Table23[Country],Tabela1[[#This Row],[Country]],Table23[102kg Classification],"&gt;0")</f>
        <v>0</v>
      </c>
      <c r="LO176" s="6">
        <f>COUNTIFS(Table23[Country],Tabela1[[#This Row],[Country]],Table23[Plus 102kg Classification],"&gt;0")</f>
        <v>0</v>
      </c>
      <c r="LP176" s="6">
        <f>COUNTIFS(Table28[Country],Tabela1[[#This Row],[Country]],Table28[49kg Classification],"&gt;0")</f>
        <v>0</v>
      </c>
      <c r="LQ176" s="6">
        <f>COUNTIFS(Table28[Country],Tabela1[[#This Row],[Country]],Table28[59kg Classification],"&gt;0")</f>
        <v>0</v>
      </c>
      <c r="LR176" s="6">
        <f>COUNTIFS(Table28[Country],Tabela1[[#This Row],[Country]],Table28[71kg Classification],"&gt;0")</f>
        <v>0</v>
      </c>
      <c r="LS176" s="6">
        <f>COUNTIFS(Table28[Country],Tabela1[[#This Row],[Country]],Table28[81kg Classification],"&gt;0")</f>
        <v>0</v>
      </c>
      <c r="LT176" s="6">
        <f>COUNTIFS(Table28[Country],Tabela1[[#This Row],[Country]],Table28[Plus 81kg Classification],"&gt;0")</f>
        <v>0</v>
      </c>
      <c r="LU176" s="6">
        <f>COUNTIFS(Table24[Country],Tabela1[[#This Row],[Country]],Table24[Freestyle 57kg Classification],"&gt;0")</f>
        <v>0</v>
      </c>
      <c r="LV176" s="6">
        <f>COUNTIFS(Table24[Country],Tabela1[[#This Row],[Country]],Table24[Freestyle 65kg Classification],"&gt;0")</f>
        <v>0</v>
      </c>
      <c r="LW176" s="6">
        <f>COUNTIFS(Table24[Country],Tabela1[[#This Row],[Country]],Table24[Freestyle 74kg Classification],"&gt;0")</f>
        <v>0</v>
      </c>
      <c r="LX176" s="6">
        <f>COUNTIFS(Table24[Country],Tabela1[[#This Row],[Country]],Table24[Freestyle 86kg Classification],"&gt;0")</f>
        <v>0</v>
      </c>
      <c r="LY176" s="6">
        <f>COUNTIFS(Table24[Country],Tabela1[[#This Row],[Country]],Table24[Freestyle 97kg Classification],"&gt;0")</f>
        <v>0</v>
      </c>
      <c r="LZ176" s="6">
        <f>COUNTIFS(Table24[Country],Tabela1[[#This Row],[Country]],Table24[Freestyle 125kg Classification],"&gt;0")</f>
        <v>0</v>
      </c>
      <c r="MA176" s="6">
        <f>COUNTIFS(Table24[Country],Tabela1[[#This Row],[Country]],Table24[Greco-Roman 60kg Classification],"&gt;0")</f>
        <v>0</v>
      </c>
      <c r="MB176" s="6">
        <f>COUNTIFS(Table24[Country],Tabela1[[#This Row],[Country]],Table24[Greco-Roman 67kg Classification],"&gt;0")</f>
        <v>0</v>
      </c>
      <c r="MC176" s="6">
        <f>COUNTIFS(Table24[Country],Tabela1[[#This Row],[Country]],Table24[Greco-Roman 77kg Classification],"&gt;0")</f>
        <v>0</v>
      </c>
      <c r="MD176" s="6">
        <f>COUNTIFS(Table24[Country],Tabela1[[#This Row],[Country]],Table24[Greco-Roman 87kg Classification],"&gt;0")</f>
        <v>0</v>
      </c>
      <c r="ME176" s="6">
        <f>COUNTIFS(Table24[Country],Tabela1[[#This Row],[Country]],Table24[Greco-Roman 97kg Classification],"&gt;0")</f>
        <v>0</v>
      </c>
      <c r="MF176" s="6">
        <f>COUNTIFS(Table24[Country],Tabela1[[#This Row],[Country]],Table24[Greco-Roman 130kg Classification],"&gt;0")</f>
        <v>0</v>
      </c>
      <c r="MG176" s="6">
        <f>COUNTIFS(Table31[Country],Tabela1[[#This Row],[Country]],Table31[50kg Classification],"&gt;0")</f>
        <v>0</v>
      </c>
      <c r="MH176" s="6">
        <f>COUNTIFS(Table31[Country],Tabela1[[#This Row],[Country]],Table31[53kg Classification],"&gt;0")</f>
        <v>0</v>
      </c>
      <c r="MI176" s="6">
        <f>COUNTIFS(Table31[Country],Tabela1[[#This Row],[Country]],Table31[57kg Classification],"&gt;0")</f>
        <v>0</v>
      </c>
      <c r="MJ176" s="6">
        <f>COUNTIFS(Table31[Country],Tabela1[[#This Row],[Country]],Table31[62kg Classification],"&gt;0")</f>
        <v>0</v>
      </c>
      <c r="MK176" s="6">
        <f>COUNTIFS(Table31[Country],Tabela1[[#This Row],[Country]],Table31[68kg Classification],"&gt;0")</f>
        <v>0</v>
      </c>
      <c r="ML176" s="6">
        <f>COUNTIFS(Table31[Country],Tabela1[[#This Row],[Country]],Table31[76kg Classification],"&gt;0")</f>
        <v>0</v>
      </c>
      <c r="MM176" s="6">
        <f>COUNTIFS(Table102[Country],Tabela1[[#This Row],[Country]],Table102[Downhill Classification],"&gt;0")</f>
        <v>0</v>
      </c>
      <c r="MN176" s="6">
        <f>COUNTIFS(Table102105[Country],Tabela1[[#This Row],[Country]],Table102105[Downhill Classification],"&gt;0")</f>
        <v>0</v>
      </c>
      <c r="MO176" s="6">
        <f>COUNTIFS(Table102[Country],Tabela1[[#This Row],[Country]],Table102[Giant Slalom Classification],"&gt;0")</f>
        <v>0</v>
      </c>
      <c r="MP176" s="6">
        <f>COUNTIFS(Table102105[Country],Tabela1[[#This Row],[Country]],Table102105[Giant Slalom Classification],"&gt;0")</f>
        <v>0</v>
      </c>
      <c r="MQ176" s="6">
        <f>COUNTIFS(Table102[Country],Tabela1[[#This Row],[Country]],Table102[Slalom Classification],"&gt;0")</f>
        <v>0</v>
      </c>
      <c r="MR176" s="6">
        <f>COUNTIFS(Table102105[Country],Tabela1[[#This Row],[Country]],Table102105[Slalom Classification],"&gt;0")</f>
        <v>0</v>
      </c>
      <c r="MS176" s="6">
        <f>COUNTIFS(Table102[Country],Tabela1[[#This Row],[Country]],Table102[Super-G Classification],"&gt;0")</f>
        <v>0</v>
      </c>
      <c r="MT176" s="6">
        <f>COUNTIFS(Table102105[Country],Tabela1[[#This Row],[Country]],Table102105[Super-G Classification],"&gt;0")</f>
        <v>0</v>
      </c>
      <c r="MU176" s="6">
        <f>COUNTIFS(Table105[Country],Tabela1[[#This Row],[Country]],Table105[Men''s Combined Classification],"&gt;0")</f>
        <v>0</v>
      </c>
      <c r="MV176" s="6">
        <f>COUNTIFS(Table105[Country],Tabela1[[#This Row],[Country]],Table105[Women''s Combined Classification],"&gt;0")</f>
        <v>0</v>
      </c>
      <c r="MW176" s="6">
        <f>COUNTIFS(Table106[Country],Tabela1[[#This Row],[Country]],Table106[Individual Classification],"&gt;0")</f>
        <v>0</v>
      </c>
      <c r="MX176" s="6">
        <f>COUNTIFS(Table106109[Country],Tabela1[[#This Row],[Country]],Table106109[Individual Classification],"&gt;0")</f>
        <v>0</v>
      </c>
      <c r="MY176" s="6">
        <f>COUNTIFS(Table106[Country],Tabela1[[#This Row],[Country]],Table106[Mass Start Classification],"&gt;0")</f>
        <v>0</v>
      </c>
      <c r="MZ176" s="6">
        <f>COUNTIFS(Table106109[Country],Tabela1[[#This Row],[Country]],Table106109[Mass Start Classification],"&gt;0")</f>
        <v>0</v>
      </c>
      <c r="NA176" s="6">
        <f>COUNTIFS(Table106[Country],Tabela1[[#This Row],[Country]],Table106[Pursuit Classification],"&gt;0")</f>
        <v>0</v>
      </c>
      <c r="NB176" s="6">
        <f>COUNTIFS(Table106109[Country],Tabela1[[#This Row],[Country]],Table106109[Pursuit Classification],"&gt;0")</f>
        <v>0</v>
      </c>
      <c r="NC176" s="6">
        <f>COUNTIFS(Table106[Country],Tabela1[[#This Row],[Country]],Table106[Sprint Classification],"&gt;0")</f>
        <v>0</v>
      </c>
      <c r="ND176" s="6">
        <f>COUNTIFS(Table106109[Country],Tabela1[[#This Row],[Country]],Table106109[Sprint Classification],"&gt;0")</f>
        <v>0</v>
      </c>
      <c r="NE176" s="6">
        <f>COUNTIFS(Table109[Country],Tabela1[[#This Row],[Country]],Table109[Men''s Relay Classification],"&gt;0")</f>
        <v>0</v>
      </c>
      <c r="NF176" s="6">
        <f>COUNTIFS(Table109[Country],Tabela1[[#This Row],[Country]],Table109[Women''s Relay Classification],"&gt;0")</f>
        <v>0</v>
      </c>
      <c r="NG176" s="6">
        <f>COUNTIFS(Table109[Country],Tabela1[[#This Row],[Country]],Table109[Mixed Relay Classification],"&gt;0")</f>
        <v>0</v>
      </c>
      <c r="NH176" s="6">
        <f>COUNTIFS(Table110[Country],Tabela1[[#This Row],[Country]],Table110[Monobob Classification],"&gt;0")</f>
        <v>0</v>
      </c>
      <c r="NI176" s="6">
        <f>COUNTIFS(Table111[Country],Tabela1[[#This Row],[Country]],Table111[Men''s Classification],"&gt;0")</f>
        <v>0</v>
      </c>
      <c r="NJ176" s="6">
        <f>COUNTIFS(Table111[Country],Tabela1[[#This Row],[Country]],Table111[Women''s Classification],"&gt;0")</f>
        <v>0</v>
      </c>
      <c r="NK176" s="6">
        <f>COUNTIFS(Table112[Country],Tabela1[[#This Row],[Country]],Table112[Men''s Four Classification],"&gt;0")</f>
        <v>0</v>
      </c>
      <c r="NL176" s="6">
        <f>COUNTIFS(Table113[Country],Tabela1[[#This Row],[Country]],Table113[Classical Classification],"&gt;0")</f>
        <v>0</v>
      </c>
      <c r="NM176" s="6">
        <f>COUNTIFS(Table113116[Country],Tabela1[[#This Row],[Country]],Table113116[Classical Classification],"&gt;0")</f>
        <v>0</v>
      </c>
      <c r="NN176" s="6">
        <f>COUNTIFS(Table113[Country],Tabela1[[#This Row],[Country]],Table113[Freestyle Classification],"&gt;0")</f>
        <v>0</v>
      </c>
      <c r="NO176" s="6">
        <f>COUNTIFS(Table113116[Country],Tabela1[[#This Row],[Country]],Table113116[Freestyle Classification],"&gt;0")</f>
        <v>0</v>
      </c>
      <c r="NP176" s="6">
        <f>COUNTIFS(Table117[Country],Tabela1[[#This Row],[Country]],Table117[Men''s Relay Classification],"&gt;0")</f>
        <v>0</v>
      </c>
      <c r="NQ176" s="6">
        <f>COUNTIFS(Table117[Country],Tabela1[[#This Row],[Country]],Table117[Women''s Relay Classification],"&gt;0")</f>
        <v>0</v>
      </c>
      <c r="NR176" s="6">
        <f>COUNTIFS(Table113[Country],Tabela1[[#This Row],[Country]],Table113[Skiathlon Classification],"&gt;0")</f>
        <v>0</v>
      </c>
      <c r="NS176" s="6">
        <f>COUNTIFS(Table113116[Country],Tabela1[[#This Row],[Country]],Table113116[Skiathlon Classification],"&gt;0")</f>
        <v>0</v>
      </c>
      <c r="NT176" s="6">
        <f>COUNTIFS(Table113[Country],Tabela1[[#This Row],[Country]],Table113[Sprint Classification],"&gt;0")</f>
        <v>0</v>
      </c>
      <c r="NU176" s="6">
        <f>COUNTIFS(Table113116[Country],Tabela1[[#This Row],[Country]],Table113116[Sprint Classification],"&gt;0")</f>
        <v>0</v>
      </c>
      <c r="NV176" s="6">
        <f>COUNTIFS(Table116[Country],Tabela1[[#This Row],[Country]],Table116[Men''s Team Sprint Classification],"&gt;0")</f>
        <v>0</v>
      </c>
      <c r="NW176" s="6">
        <f>COUNTIFS(Table116[Country],Tabela1[[#This Row],[Country]],Table116[Women''s Team Sprint Classification],"&gt;0")</f>
        <v>0</v>
      </c>
      <c r="NX176" s="6">
        <f>COUNTIFS(Table119[Country],Tabela1[[#This Row],[Country]],Table119[Men''s Classification],"&gt;0")</f>
        <v>0</v>
      </c>
      <c r="NY176" s="6">
        <f>COUNTIFS(Table119[Country],Tabela1[[#This Row],[Country]],Table119[Women''s Classification],"&gt;0")</f>
        <v>0</v>
      </c>
      <c r="NZ176" s="6">
        <f>COUNTIFS(Table118[Country],Tabela1[[#This Row],[Country]],Table118[Mixed Classification],"&gt;0")</f>
        <v>0</v>
      </c>
      <c r="OA176" s="6">
        <f>COUNTIFS(Table120[Country],Tabela1[[#This Row],[Country]],Table120[Classification],"&gt;0")</f>
        <v>0</v>
      </c>
      <c r="OB176" s="6">
        <f>COUNTIFS(Table120123[Country],Tabela1[[#This Row],[Country]],Table120123[Classification],"&gt;0")</f>
        <v>0</v>
      </c>
      <c r="OC176" s="6">
        <f>COUNTIFS(Table123[Country],Tabela1[[#This Row],[Country]],Table123[Ice Dance Classification],"&gt;0")</f>
        <v>0</v>
      </c>
      <c r="OD176" s="6">
        <f>COUNTIFS(Table123[Country],Tabela1[[#This Row],[Country]],Table123[Pair Skating Classification],"&gt;0")</f>
        <v>0</v>
      </c>
      <c r="OE176" s="6">
        <f>COUNTIFS(Table124[Country],Tabela1[[#This Row],[Country]],Table124[Mixed Classification],"&gt;0")</f>
        <v>0</v>
      </c>
      <c r="OF176" s="6">
        <f>COUNTIFS(Table125[Country],Tabela1[[#This Row],[Country]],Table125[Aerials Classification],"&gt;0")</f>
        <v>0</v>
      </c>
      <c r="OG176" s="6">
        <f>COUNTIFS(Table125128[Country],Tabela1[[#This Row],[Country]],Table125128[Aerials Classification],"&gt;0")</f>
        <v>0</v>
      </c>
      <c r="OH176" s="6">
        <f>COUNTIFS(Table128[Country],Tabela1[[#This Row],[Country]],Table128[Mixed Aerials Classification],"&gt;0")</f>
        <v>0</v>
      </c>
      <c r="OI176" s="6">
        <f>COUNTIFS(Table125[Country],Tabela1[[#This Row],[Country]],Table125[Big Air Classification],"&gt;0")</f>
        <v>0</v>
      </c>
      <c r="OJ176" s="6">
        <f>COUNTIFS(Table125128[Country],Tabela1[[#This Row],[Country]],Table125128[Big Air Classification],"&gt;0")</f>
        <v>0</v>
      </c>
      <c r="OK176" s="6">
        <f>COUNTIFS(Table125[Country],Tabela1[[#This Row],[Country]],Table125[Dual Moguls Classification],"&gt;0")</f>
        <v>0</v>
      </c>
      <c r="OL176" s="6">
        <f>COUNTIFS(Table125128[Country],Tabela1[[#This Row],[Country]],Table125128[Dual Moguls Classification],"&gt;0")</f>
        <v>0</v>
      </c>
      <c r="OM176" s="6">
        <f>COUNTIFS(Table125[Country],Tabela1[[#This Row],[Country]],Table125[Halfpipe Classification],"&gt;0")</f>
        <v>0</v>
      </c>
      <c r="ON176" s="6">
        <f>COUNTIFS(Table125128[Country],Tabela1[[#This Row],[Country]],Table125128[Halfpipe Classification],"&gt;0")</f>
        <v>0</v>
      </c>
      <c r="OO176" s="6">
        <f>COUNTIFS(Table125[Country],Tabela1[[#This Row],[Country]],Table125[Moguls Classification],"&gt;0")</f>
        <v>0</v>
      </c>
      <c r="OP176" s="6">
        <f>COUNTIFS(Table125128[Country],Tabela1[[#This Row],[Country]],Table125128[Moguls Classification],"&gt;0")</f>
        <v>0</v>
      </c>
      <c r="OQ176" s="6">
        <f>COUNTIFS(Table125[Country],Tabela1[[#This Row],[Country]],Table125[Ski Cross Classification],"&gt;0")</f>
        <v>0</v>
      </c>
      <c r="OR176" s="6">
        <f>COUNTIFS(Table125128[Country],Tabela1[[#This Row],[Country]],Table125128[Ski Cross Classification],"&gt;0")</f>
        <v>0</v>
      </c>
      <c r="OS176" s="6">
        <f>COUNTIFS(Table125[Country],Tabela1[[#This Row],[Country]],Table125[Slopestyle Classification],"&gt;0")</f>
        <v>0</v>
      </c>
      <c r="OT176" s="6">
        <f>COUNTIFS(Table125128[Country],Tabela1[[#This Row],[Country]],Table125128[Slopestyle Classification],"&gt;0")</f>
        <v>0</v>
      </c>
      <c r="OU176" s="6">
        <f>COUNTIFS(Table119131[Country],Tabela1[[#This Row],[Country]],Table119131[Men''s Classification],"&gt;0")</f>
        <v>0</v>
      </c>
      <c r="OV176" s="6">
        <f>COUNTIFS(Table119131[Country],Tabela1[[#This Row],[Country]],Table119131[Women''s Classification],"&gt;0")</f>
        <v>0</v>
      </c>
      <c r="OW176" s="6">
        <f>COUNTIFS(Table131[Country],Tabela1[[#This Row],[Country]],Table131[Classification],"&gt;0")</f>
        <v>0</v>
      </c>
      <c r="OX176" s="6">
        <f>COUNTIFS(Table131134[Country],Tabela1[[#This Row],[Country]],Table131134[Classification],"&gt;0")</f>
        <v>0</v>
      </c>
      <c r="OY176" s="6">
        <f>COUNTIFS(Table134[Country],Tabela1[[#This Row],[Country]],Table134[Men''s Classification],"&gt;0")</f>
        <v>0</v>
      </c>
      <c r="OZ176" s="6">
        <f>COUNTIFS(Table134[Country],Tabela1[[#This Row],[Country]],Table134[Women''s Classification],"&gt;0")</f>
        <v>0</v>
      </c>
      <c r="PA176" s="6">
        <f>COUNTIFS(Table135[Country],Tabela1[[#This Row],[Country]],Table135[Mixed Relay Classification],"&gt;0")</f>
        <v>0</v>
      </c>
      <c r="PB176" s="6">
        <f>COUNTIFS(Table136[Country],Tabela1[[#This Row],[Country]],Table136[Individual Classification],"&gt;0")</f>
        <v>0</v>
      </c>
      <c r="PC176" s="6">
        <f>COUNTIFS(Table136[Country],Tabela1[[#This Row],[Country]],Table136[Sprint Classification],"&gt;0")</f>
        <v>0</v>
      </c>
      <c r="PD176" s="6">
        <f>COUNTIFS(Table137[Country],Tabela1[[#This Row],[Country]],Table137[Men''s Team Sprint Large Hill Classification],"&gt;0")</f>
        <v>0</v>
      </c>
      <c r="PE176" s="6">
        <f>COUNTIFS(Table138[Country],Tabela1[[#This Row],[Country]],Table138[500m Classification],"&gt;0")</f>
        <v>0</v>
      </c>
      <c r="PF176" s="6">
        <f>COUNTIFS(Table138141[Country],Tabela1[[#This Row],[Country]],Table138141[500m Classification],"&gt;0")</f>
        <v>0</v>
      </c>
      <c r="PG176" s="6">
        <f>COUNTIFS(Table138[Country],Tabela1[[#This Row],[Country]],Table138[1000m Classification],"&gt;0")</f>
        <v>0</v>
      </c>
      <c r="PH176" s="6">
        <f>COUNTIFS(Table138141[Country],Tabela1[[#This Row],[Country]],Table138141[1000m Classification],"&gt;0")</f>
        <v>0</v>
      </c>
      <c r="PI176" s="6">
        <f>COUNTIFS(Table138[Country],Tabela1[[#This Row],[Country]],Table138[1500m Classification],"&gt;0")</f>
        <v>0</v>
      </c>
      <c r="PJ176" s="6">
        <f>COUNTIFS(Table138141[Country],Tabela1[[#This Row],[Country]],Table138141[1500m Classification],"&gt;0")</f>
        <v>0</v>
      </c>
      <c r="PK176" s="6">
        <f>COUNTIFS(Table141[Country],Tabela1[[#This Row],[Country]],Table141[Men''s 5000m Relay Classification],"&gt;0")</f>
        <v>0</v>
      </c>
      <c r="PL176" s="6">
        <f>COUNTIFS(Table141[Country],Tabela1[[#This Row],[Country]],Table141[Women''s 3000m Relay Classification],"&gt;0")</f>
        <v>0</v>
      </c>
      <c r="PM176" s="6">
        <f>COUNTIFS(Table141[Country],Tabela1[[#This Row],[Country]],Table141[Mixed 2000m Relay Classification],"&gt;0")</f>
        <v>0</v>
      </c>
      <c r="PN176" s="6">
        <f>COUNTIFS(Table142[Country],Tabela1[[#This Row],[Country]],Table142[Classification],"&gt;0")</f>
        <v>0</v>
      </c>
      <c r="PO176" s="6">
        <f>COUNTIFS(Table142145[Country],Tabela1[[#This Row],[Country]],Table142145[Classification],"&gt;0")</f>
        <v>0</v>
      </c>
      <c r="PP176" s="6">
        <f>COUNTIFS(Tabela15[Country],Tabela1[[#This Row],[Country]],Tabela15[Mixed Team Classification],"&gt;0")</f>
        <v>0</v>
      </c>
      <c r="PQ176" s="6">
        <f>COUNTIFS(Table145[Country],Tabela1[[#This Row],[Country]],Table145[Large Hill Classification],"&gt;0")</f>
        <v>0</v>
      </c>
      <c r="PR176" s="6">
        <f>COUNTIFS(Table145[Country],Tabela1[[#This Row],[Country]],Table145[Normal Hill Classification],"&gt;0")</f>
        <v>0</v>
      </c>
      <c r="PS176" s="6">
        <f>COUNTIFS(Table145148[Country],Tabela1[[#This Row],[Country]],Table145148[Large Hill Classification],"&gt;0")</f>
        <v>0</v>
      </c>
      <c r="PT176" s="6">
        <f>COUNTIFS(Table145148[Country],Tabela1[[#This Row],[Country]],Table145148[Normal Hill Classification],"&gt;0")</f>
        <v>0</v>
      </c>
      <c r="PU176" s="6">
        <f>COUNTIFS(Table148[Country],Tabela1[[#This Row],[Country]],Table148[Men''s Super Team Classification],"&gt;0")</f>
        <v>0</v>
      </c>
      <c r="PV176" s="6">
        <f>COUNTIFS(Tabela114[Country],Tabela1[[#This Row],[Country]],Tabela114[Mixed Normal Hill Classification],"&gt;0")</f>
        <v>0</v>
      </c>
      <c r="PW176" s="6">
        <f>COUNTIFS(Tabela50[Country],Tabela1[[#This Row],[Country]],Tabela50[Sprint Classification],"&gt;0")</f>
        <v>0</v>
      </c>
      <c r="PX176" s="6">
        <f>COUNTIFS(Tabela50101[Country],Tabela1[[#This Row],[Country]],Tabela50101[Sprint Classification],"&gt;0")</f>
        <v>0</v>
      </c>
      <c r="PY176" s="6">
        <f>COUNTIFS(Tabela103[Country],Tabela1[[#This Row],[Country]],Tabela103[Mixed Relay Classification],"&gt;0")</f>
        <v>0</v>
      </c>
      <c r="PZ176" s="6">
        <f>COUNTIFS(Table149[Country],Tabela1[[#This Row],[Country]],Table149[Big Air Classification],"&gt;0")</f>
        <v>0</v>
      </c>
      <c r="QA176" s="6">
        <f>COUNTIFS(Table149152[Country],Tabela1[[#This Row],[Country]],Table149152[Big Air Classification],"&gt;0")</f>
        <v>0</v>
      </c>
      <c r="QB176" s="6">
        <f>COUNTIFS(Table149[Country],Tabela1[[#This Row],[Country]],Table149[Halfpipe Classification],"&gt;0")</f>
        <v>0</v>
      </c>
      <c r="QC176" s="6">
        <f>COUNTIFS(Table149152[Country],Tabela1[[#This Row],[Country]],Table149152[Halfpipe Classification],"&gt;0")</f>
        <v>0</v>
      </c>
      <c r="QD176" s="6">
        <f>COUNTIFS(Table149[Country],Tabela1[[#This Row],[Country]],Table149[Parallel Giant Slalom Classification],"&gt;0")</f>
        <v>0</v>
      </c>
      <c r="QE176" s="6">
        <f>COUNTIFS(Table149152[Country],Tabela1[[#This Row],[Country]],Table149152[Parallel Giant Slalom Classification],"&gt;0")</f>
        <v>0</v>
      </c>
      <c r="QF176" s="6">
        <f>COUNTIFS(Table149[Country],Tabela1[[#This Row],[Country]],Table149[Slopestyle Classification],"&gt;0")</f>
        <v>0</v>
      </c>
      <c r="QG176" s="6">
        <f>COUNTIFS(Table149152[Country],Tabela1[[#This Row],[Country]],Table149152[Slopestyle Classification],"&gt;0")</f>
        <v>0</v>
      </c>
      <c r="QH176" s="6">
        <f>COUNTIFS(Table149[Country],Tabela1[[#This Row],[Country]],Table149[Snowboard Cross Classification],"&gt;0")</f>
        <v>0</v>
      </c>
      <c r="QI176" s="6">
        <f>COUNTIFS(Table149152[Country],Tabela1[[#This Row],[Country]],Table149152[Snowboard Cross Classification],"&gt;0")</f>
        <v>0</v>
      </c>
      <c r="QJ176" s="6">
        <f>COUNTIFS(Table153[Country],Tabela1[[#This Row],[Country]],Table153[Mixed Team Snowboard Cross Classification],"&gt;0")</f>
        <v>0</v>
      </c>
      <c r="QK176" s="6">
        <f>COUNTIFS(Table154[Country],Tabela1[[#This Row],[Country]],Table154[500m Classification],"&gt;0")</f>
        <v>0</v>
      </c>
      <c r="QL176" s="6">
        <f>COUNTIFS(Table154157[Country],Tabela1[[#This Row],[Country]],Table154157[500m Classification],"&gt;0")</f>
        <v>0</v>
      </c>
      <c r="QM176" s="6">
        <f>COUNTIFS(Table154[Country],Tabela1[[#This Row],[Country]],Table154[1000m Classification],"&gt;0")</f>
        <v>0</v>
      </c>
      <c r="QN176" s="6">
        <f>COUNTIFS(Table154157[Country],Tabela1[[#This Row],[Country]],Table154157[1000m Classification],"&gt;0")</f>
        <v>0</v>
      </c>
      <c r="QO176" s="6">
        <f>COUNTIFS(Table154[Country],Tabela1[[#This Row],[Country]],Table154[1500m Classification],"&gt;0")</f>
        <v>0</v>
      </c>
      <c r="QP176" s="6">
        <f>COUNTIFS(Table154157[Country],Tabela1[[#This Row],[Country]],Table154157[1500m Classification],"&gt;0")</f>
        <v>0</v>
      </c>
      <c r="QQ176" s="6">
        <f>COUNTIFS(Table154157[Country],Tabela1[[#This Row],[Country]],Table154157[3000m Classification],"&gt;0")</f>
        <v>0</v>
      </c>
      <c r="QR176" s="6">
        <f>COUNTIFS(Table154[Country],Tabela1[[#This Row],[Country]],Table154[5000m Classification],"&gt;0")</f>
        <v>0</v>
      </c>
      <c r="QS176" s="6">
        <f>COUNTIFS(Table154157[Country],Tabela1[[#This Row],[Country]],Table154157[5000m Classification],"&gt;0")</f>
        <v>0</v>
      </c>
      <c r="QT176" s="6">
        <f>COUNTIFS(Table154[Country],Tabela1[[#This Row],[Country]],Table154[10000m Classification],"&gt;0")</f>
        <v>0</v>
      </c>
      <c r="QU176" s="6">
        <f>COUNTIFS(Table154[Country],Tabela1[[#This Row],[Country]],Table154[Mass Start Classification],"&gt;0")</f>
        <v>0</v>
      </c>
      <c r="QV176" s="6">
        <f>COUNTIFS(Table154157[Country],Tabela1[[#This Row],[Country]],Table154157[Mass Start Classification],"&gt;0")</f>
        <v>0</v>
      </c>
      <c r="QW176" s="6">
        <f>COUNTIFS(Table157[Country],Tabela1[[#This Row],[Country]],Table157[Men''s Pursuit Classification],"&gt;0")</f>
        <v>0</v>
      </c>
      <c r="QX176" s="6">
        <f>COUNTIFS(Table157[Country],Tabela1[[#This Row],[Country]],Table157[Women''s Pursuit Classification],"&gt;0")</f>
        <v>0</v>
      </c>
      <c r="QY176" s="4" t="s">
        <v>569</v>
      </c>
    </row>
    <row r="177" spans="1:467" x14ac:dyDescent="0.3">
      <c r="A177" s="6">
        <v>176</v>
      </c>
      <c r="B177" s="6" t="s">
        <v>574</v>
      </c>
      <c r="C177" t="e" vm="176">
        <f>IF(ISBLANK(Tabela1[[#This Row],[Image Link]]), "", _xlfn.IMAGE(Tabela1[[#This Row],[Image Link]],1,1))</f>
        <v>#VALUE!</v>
      </c>
      <c r="D177" s="6">
        <f>SUM(Tabela1[[#This Row],[Archery - Men''s Individual Recurve]:[Speed Skating - Women''s Team Pursuit]])</f>
        <v>0</v>
      </c>
      <c r="E177" s="6">
        <f>COUNTIF(Tabela1[[#This Row],[Archery - Men''s Individual Recurve]:[Speed Skating - Women''s Team Pursuit]],"&gt;0")</f>
        <v>0</v>
      </c>
      <c r="F177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77" s="6">
        <f>SUM(Tabela1[[#This Row],[Archery - Men''s Individual Recurve]:[Wrestling - Women''s Freestyle 76kg]])</f>
        <v>0</v>
      </c>
      <c r="H177" s="6">
        <f>SUM(Tabela1[[#This Row],[Alpine Skiing - Men''s Downhill]:[Speed Skating - Women''s Team Pursuit]])</f>
        <v>0</v>
      </c>
      <c r="I177" s="6">
        <f>Tabela1[[#This Row],[Summer Gold Medals]]+Tabela1[[#This Row],[Winter Gold Medals]]</f>
        <v>0</v>
      </c>
      <c r="J177" s="6">
        <f>Tabela1[[#This Row],[Summer Silver Medals]]+Tabela1[[#This Row],[Winter Silver Medals]]</f>
        <v>0</v>
      </c>
      <c r="K177" s="6">
        <f>Tabela1[[#This Row],[Summer Bronze Medals]]+Tabela1[[#This Row],[Winter Bronze Medals]]</f>
        <v>0</v>
      </c>
      <c r="L177" s="6">
        <f>SUM(Tabela1[[#This Row],[Total Gold Medals]:[Total Bronze Medals]])</f>
        <v>0</v>
      </c>
      <c r="M177" s="6"/>
      <c r="N177" s="6"/>
      <c r="O177" s="6"/>
      <c r="P177" s="6">
        <f>SUM(Tabela1[[#This Row],[Summer Gold Medals]:[Summer Bronze Medals]])</f>
        <v>0</v>
      </c>
      <c r="Q177" s="6"/>
      <c r="R177" s="6"/>
      <c r="S177" s="6"/>
      <c r="T177" s="6">
        <f>Tabela1[[#This Row],[Winter Gold Medals]]+Tabela1[[#This Row],[Winter Silver Medals]]+Tabela1[[#This Row],[Winter Bronze Medals]]</f>
        <v>0</v>
      </c>
      <c r="U177" s="7" t="e">
        <f>Tabela1[[#This Row],[Total Medals]]/Tabela1[[#This Row],[Total Quotas]]</f>
        <v>#DIV/0!</v>
      </c>
      <c r="V177" s="6">
        <f>COUNTIFS(Table3[Country],Tabela1[[#This Row],[Country]],Table3[Recurve Classification],"&gt;0")</f>
        <v>0</v>
      </c>
      <c r="W177" s="6">
        <f>COUNTIFS(Table33[Country],Tabela1[[#This Row],[Country]],Table33[Recurve Classification],"&gt;0")</f>
        <v>0</v>
      </c>
      <c r="X177" s="6">
        <f>COUNTIFS(Table35[Country],Tabela1[[#This Row],[Country]],Table35[Men''s Team Recurve Classification],"&gt;0")</f>
        <v>0</v>
      </c>
      <c r="Y177" s="6">
        <f>COUNTIFS(Table35[Country],Tabela1[[#This Row],[Country]],Table35[Women''s Team Recurve Classification],"&gt;0")</f>
        <v>0</v>
      </c>
      <c r="Z177" s="6">
        <f>COUNTIFS(Tabela88[Country],Tabela1[[#This Row],[Country]],Tabela88[Mixed Team Recurve Classification],"&gt;0")</f>
        <v>0</v>
      </c>
      <c r="AA177" s="6">
        <f>COUNTIFS(Table36[Country],Tabela1[[#This Row],[Country]],Table36[Classification],"&gt;0")</f>
        <v>0</v>
      </c>
      <c r="AB177" s="6">
        <f>COUNTIFS(Table37[Country],Tabela1[[#This Row],[Country]],Table37[Classification],"&gt;0")</f>
        <v>0</v>
      </c>
      <c r="AC177" s="6">
        <f>COUNTIFS(Table4[Country],Tabela1[[#This Row],[Country]],Table4[100m Classification],"&gt;0")</f>
        <v>0</v>
      </c>
      <c r="AD177" s="6">
        <f>COUNTIFS(Table5[Country],Tabela1[[#This Row],[Country]],Table5[100m Classification],"&gt;0")</f>
        <v>0</v>
      </c>
      <c r="AE177" s="6">
        <f>COUNTIFS(Table4[Country],Tabela1[[#This Row],[Country]],Table4[200m Classification],"&gt;0")</f>
        <v>0</v>
      </c>
      <c r="AF177" s="6">
        <f>COUNTIFS(Table5[Country],Tabela1[[#This Row],[Country]],Table5[200m Classification],"&gt;0")</f>
        <v>0</v>
      </c>
      <c r="AG177" s="6">
        <f>COUNTIFS(Table4[Country],Tabela1[[#This Row],[Country]],Table4[400m Classification],"&gt;0")</f>
        <v>0</v>
      </c>
      <c r="AH177" s="6">
        <f>COUNTIFS(Table5[Country],Tabela1[[#This Row],[Country]],Table5[400m Classification],"&gt;0")</f>
        <v>0</v>
      </c>
      <c r="AI177" s="6">
        <f>COUNTIFS(Table4[Country],Tabela1[[#This Row],[Country]],Table4[800m Classification],"&gt;0")</f>
        <v>0</v>
      </c>
      <c r="AJ177" s="6">
        <f>COUNTIFS(Table5[Country],Tabela1[[#This Row],[Country]],Table5[800m Classification],"&gt;0")</f>
        <v>0</v>
      </c>
      <c r="AK177" s="6">
        <f>COUNTIFS(Table4[Country],Tabela1[[#This Row],[Country]],Table4[1500m Classification],"&gt;0")</f>
        <v>0</v>
      </c>
      <c r="AL177" s="6">
        <f>COUNTIFS(Table5[Country],Tabela1[[#This Row],[Country]],Table5[1500m Classification],"&gt;0")</f>
        <v>0</v>
      </c>
      <c r="AM177" s="6">
        <f>COUNTIFS(Table4[Country],Tabela1[[#This Row],[Country]],Table4[5000m Classification],"&gt;0")</f>
        <v>0</v>
      </c>
      <c r="AN177" s="6">
        <f>COUNTIFS(Table5[Country],Tabela1[[#This Row],[Country]],Table5[5000m Classification],"&gt;0")</f>
        <v>0</v>
      </c>
      <c r="AO177" s="6">
        <f>COUNTIFS(Table4[Country],Tabela1[[#This Row],[Country]],Table4[10000m Classification],"&gt;0")</f>
        <v>0</v>
      </c>
      <c r="AP177" s="6">
        <f>COUNTIFS(Table5[Country],Tabela1[[#This Row],[Country]],Table5[10000m Classification],"&gt;0")</f>
        <v>0</v>
      </c>
      <c r="AQ177" s="6">
        <f>COUNTIFS(Table4[Country],Tabela1[[#This Row],[Country]],Table4[110m Hurdles Classification],"&gt;0")</f>
        <v>0</v>
      </c>
      <c r="AR177" s="6">
        <f>COUNTIFS(Table5[Country],Tabela1[[#This Row],[Country]],Table5[100m Hurdles Classification],"&gt;0")</f>
        <v>0</v>
      </c>
      <c r="AS177" s="6">
        <f>COUNTIFS(Table4[Country],Tabela1[[#This Row],[Country]],Table4[400m Hurdles Classification],"&gt;0")</f>
        <v>0</v>
      </c>
      <c r="AT177" s="6">
        <f>COUNTIFS(Table5[Country],Tabela1[[#This Row],[Country]],Table5[400m Hurdles Classification],"&gt;0")</f>
        <v>0</v>
      </c>
      <c r="AU177" s="6">
        <f>COUNTIFS(Table4[Country],Tabela1[[#This Row],[Country]],Table4[3000m Steeplechase Classification],"&gt;0")</f>
        <v>0</v>
      </c>
      <c r="AV177" s="6">
        <f>COUNTIFS(Table5[Country],Tabela1[[#This Row],[Country]],Table5[3000m Steeplechase Classification],"&gt;0")</f>
        <v>0</v>
      </c>
      <c r="AW177" s="6">
        <f>COUNTIFS(Table27[Country],Tabela1[[#This Row],[Country]],Table27[Men''s 4x100m Relay Classification],"&gt;0")</f>
        <v>0</v>
      </c>
      <c r="AX177" s="6">
        <f>COUNTIFS(Table27[Country],Tabela1[[#This Row],[Country]],Table27[Women''s 4x100m Relay Classification],"&gt;0")</f>
        <v>0</v>
      </c>
      <c r="AY177" s="6">
        <f>COUNTIFS(Table27[Country],Tabela1[[#This Row],[Country]],Table27[Men''s 4x400m Relay Classification],"&gt;0")</f>
        <v>0</v>
      </c>
      <c r="AZ177" s="6">
        <f>COUNTIFS(Table27[Country],Tabela1[[#This Row],[Country]],Table27[Women''s 4x400m Relay Classification],"&gt;0")</f>
        <v>0</v>
      </c>
      <c r="BA177" s="6">
        <f>COUNTIFS(Table27[Country],Tabela1[[#This Row],[Country]],Table27[Mixed 4x400m Relay Classification],"&gt;0")</f>
        <v>0</v>
      </c>
      <c r="BB177" s="6">
        <f>COUNTIFS(Table4[Country],Tabela1[[#This Row],[Country]],Table4[Marathon Classification],"&gt;0")</f>
        <v>0</v>
      </c>
      <c r="BC177" s="6">
        <f>COUNTIFS(Table5[Country],Tabela1[[#This Row],[Country]],Table5[Marathon Classification],"&gt;0")</f>
        <v>0</v>
      </c>
      <c r="BD177" s="6">
        <f>COUNTIFS(Table4[Country],Tabela1[[#This Row],[Country]],Table4[20km Race Walk Classification],"&gt;0")</f>
        <v>0</v>
      </c>
      <c r="BE177" s="6">
        <f>COUNTIFS(Table5[Country],Tabela1[[#This Row],[Country]],Table5[20km Race Walk Classification],"&gt;0")</f>
        <v>0</v>
      </c>
      <c r="BF177" s="6">
        <f>COUNTIFS(Tabela96[Country],Tabela1[[#This Row],[Country]],Tabela96[Mixed Marathon Race Walk Relay Classification],"&gt;0")</f>
        <v>0</v>
      </c>
      <c r="BG177" s="6">
        <f>COUNTIFS(Table4[Country],Tabela1[[#This Row],[Country]],Table4[Discus Throw Classification],"&gt;0")</f>
        <v>0</v>
      </c>
      <c r="BH177" s="6">
        <f>COUNTIFS(Table5[Country],Tabela1[[#This Row],[Country]],Table5[Discus Throw Classification],"&gt;0")</f>
        <v>0</v>
      </c>
      <c r="BI177" s="6">
        <f>COUNTIFS(Table4[Country],Tabela1[[#This Row],[Country]],Table4[Hammer Throw Classification],"&gt;0")</f>
        <v>0</v>
      </c>
      <c r="BJ177" s="6">
        <f>COUNTIFS(Table5[Country],Tabela1[[#This Row],[Country]],Table5[Hammer Throw Classification],"&gt;0")</f>
        <v>0</v>
      </c>
      <c r="BK177" s="6">
        <f>COUNTIFS(Table4[Country],Tabela1[[#This Row],[Country]],Table4[High Jump Classification],"&gt;0")</f>
        <v>0</v>
      </c>
      <c r="BL177" s="6">
        <f>COUNTIFS(Table5[Country],Tabela1[[#This Row],[Country]],Table5[High Jump Classification],"&gt;0")</f>
        <v>0</v>
      </c>
      <c r="BM177" s="6">
        <f>COUNTIFS(Table4[Country],Tabela1[[#This Row],[Country]],Table4[Javelin Throw Classification],"&gt;0")</f>
        <v>0</v>
      </c>
      <c r="BN177" s="6">
        <f>COUNTIFS(Table5[Country],Tabela1[[#This Row],[Country]],Table5[Javelin Throw Classification],"&gt;0")</f>
        <v>0</v>
      </c>
      <c r="BO177" s="6">
        <f>COUNTIFS(Table4[Country],Tabela1[[#This Row],[Country]],Table4[Long Jump Classification],"&gt;0")</f>
        <v>0</v>
      </c>
      <c r="BP177" s="6">
        <f>COUNTIFS(Table5[Country],Tabela1[[#This Row],[Country]],Table5[Long Jump Classification],"&gt;0")</f>
        <v>0</v>
      </c>
      <c r="BQ177" s="6">
        <f>COUNTIFS(Table4[Country],Tabela1[[#This Row],[Country]],Table4[Pole Vault Classification],"&gt;0")</f>
        <v>0</v>
      </c>
      <c r="BR177" s="6">
        <f>COUNTIFS(Table5[Country],Tabela1[[#This Row],[Country]],Table5[Pole Vault Classification],"&gt;0")</f>
        <v>0</v>
      </c>
      <c r="BS177" s="6">
        <f>COUNTIFS(Table4[Country],Tabela1[[#This Row],[Country]],Table4[Shot Put Classification],"&gt;0")</f>
        <v>0</v>
      </c>
      <c r="BT177" s="6">
        <f>COUNTIFS(Table5[Country],Tabela1[[#This Row],[Country]],Table5[Shot Put Classification],"&gt;0")</f>
        <v>0</v>
      </c>
      <c r="BU177" s="6">
        <f>COUNTIFS(Table4[Country],Tabela1[[#This Row],[Country]],Table4[Triple Jump Classification],"&gt;0")</f>
        <v>0</v>
      </c>
      <c r="BV177" s="6">
        <f>COUNTIFS(Table5[Country],Tabela1[[#This Row],[Country]],Table5[Triple Jump Classification],"&gt;0")</f>
        <v>0</v>
      </c>
      <c r="BW177" s="6">
        <f>COUNTIFS(Table4[Country],Tabela1[[#This Row],[Country]],Table4[Decathlon Classification],"&gt;0")</f>
        <v>0</v>
      </c>
      <c r="BX177" s="6">
        <f>COUNTIFS(Table5[Country],Tabela1[[#This Row],[Country]],Table5[Heptathlon Classification],"&gt;0")</f>
        <v>0</v>
      </c>
      <c r="BY177" s="6">
        <f>COUNTIFS(Table61[Country],Tabela1[[#This Row],[Country]],Table61[Classification],"&gt;0")</f>
        <v>0</v>
      </c>
      <c r="BZ177" s="6">
        <f>COUNTIFS(Table38[Country],Tabela1[[#This Row],[Country]],Table38[Classification],"&gt;0")</f>
        <v>0</v>
      </c>
      <c r="CA177" s="6">
        <f>COUNTIFS(Table39[Country],Tabela1[[#This Row],[Country]],Table39[Men''s Classification],"&gt;0")</f>
        <v>0</v>
      </c>
      <c r="CB177" s="6">
        <f>COUNTIFS(Table39[Country],Tabela1[[#This Row],[Country]],Table39[Women''s Classification],"&gt;0")</f>
        <v>0</v>
      </c>
      <c r="CC177" s="6">
        <f>COUNTIFS(Table39[Country],Tabela1[[#This Row],[Country]],Table39[Mixed Classification],"&gt;0")</f>
        <v>0</v>
      </c>
      <c r="CD177" s="6">
        <f>COUNTIFS(Table89[Country],Tabela1[[#This Row],[Country]],Table89[Men''s Classification],"&gt;0")</f>
        <v>0</v>
      </c>
      <c r="CE177" s="6">
        <f>COUNTIFS(Table89[Country],Tabela1[[#This Row],[Country]],Table89[Women''s Classification],"&gt;0")</f>
        <v>0</v>
      </c>
      <c r="CF177" s="6">
        <f>COUNTIFS(Table90[Country],Tabela1[[#This Row],[Country]],Table90[Men''s Classification],"&gt;0")</f>
        <v>0</v>
      </c>
      <c r="CG177" s="6">
        <f>COUNTIFS(Table90[Country],Tabela1[[#This Row],[Country]],Table90[Women''s Classification],"&gt;0")</f>
        <v>0</v>
      </c>
      <c r="CH177" s="6">
        <f>COUNTIFS(Table60[Country],Tabela1[[#This Row],[Country]],Table60[Men''s Classification],"&gt;0")</f>
        <v>0</v>
      </c>
      <c r="CI177" s="6">
        <f>COUNTIFS(Table60[Country],Tabela1[[#This Row],[Country]],Table60[Women''s Classification],"&gt;0")</f>
        <v>0</v>
      </c>
      <c r="CJ177" s="6">
        <f>COUNTIFS(Table6[Country],Tabela1[[#This Row],[Country]],Table6[51kg Classification],"&gt;0")</f>
        <v>0</v>
      </c>
      <c r="CK177" s="6">
        <f>COUNTIFS(Table6[Country],Tabela1[[#This Row],[Country]],Table6[57kg Classification],"&gt;0")</f>
        <v>0</v>
      </c>
      <c r="CL177" s="6">
        <f>COUNTIFS(Table6[Country],Tabela1[[#This Row],[Country]],Table6[63.5kg Classification],"&gt;0")</f>
        <v>0</v>
      </c>
      <c r="CM177" s="6">
        <f>COUNTIFS(Table6[Country],Tabela1[[#This Row],[Country]],Table6[71kg Classification],"&gt;0")</f>
        <v>0</v>
      </c>
      <c r="CN177" s="6">
        <f>COUNTIFS(Table6[Country],Tabela1[[#This Row],[Country]],Table6[80kg Classification],"&gt;0")</f>
        <v>0</v>
      </c>
      <c r="CO177" s="6">
        <f>COUNTIFS(Table6[Country],Tabela1[[#This Row],[Country]],Table6[92kg Classification],"&gt;0")</f>
        <v>0</v>
      </c>
      <c r="CP177" s="6">
        <f>COUNTIFS(Table6[Country],Tabela1[[#This Row],[Country]],Table6[Plus 92kg Classification],"&gt;0")</f>
        <v>0</v>
      </c>
      <c r="CQ177" s="6">
        <f>COUNTIFS(Table7[Country],Tabela1[[#This Row],[Country]],Table7[50kg Classification],"&gt;0")</f>
        <v>0</v>
      </c>
      <c r="CR177" s="6">
        <f>COUNTIFS(Table7[Country],Tabela1[[#This Row],[Country]],Table7[54kg Classification],"&gt;0")</f>
        <v>0</v>
      </c>
      <c r="CS177" s="6">
        <f>COUNTIFS(Table7[Country],Tabela1[[#This Row],[Country]],Table7[57kg Classification],"&gt;0")</f>
        <v>0</v>
      </c>
      <c r="CT177" s="6">
        <f>COUNTIFS(Table7[Country],Tabela1[[#This Row],[Country]],Table7[60kg Classification],"&gt;0")</f>
        <v>0</v>
      </c>
      <c r="CU177" s="6">
        <f>COUNTIFS(Table7[Country],Tabela1[[#This Row],[Country]],Table7[66kg Classification],"&gt;0")</f>
        <v>0</v>
      </c>
      <c r="CV177" s="6">
        <f>COUNTIFS(Table7[Country],Tabela1[[#This Row],[Country]],Table7[75kg Classification],"&gt;0")</f>
        <v>0</v>
      </c>
      <c r="CW177" s="6">
        <f>COUNTIFS(Tabela94[Country],Tabela1[[#This Row],[Country]],Tabela94[Classification],"&gt;0")</f>
        <v>0</v>
      </c>
      <c r="CX177" s="6">
        <f>COUNTIFS(Tabela9499[Country],Tabela1[[#This Row],[Country]],Tabela9499[Classification],"&gt;0")</f>
        <v>0</v>
      </c>
      <c r="CY177" s="6">
        <f>COUNTIFS(Tabela107[Country],Tabela1[[#This Row],[Country]],Tabela107[C1 Slalom Classification],"&gt;0")</f>
        <v>0</v>
      </c>
      <c r="CZ177" s="6">
        <f>COUNTIFS(Tabela107122[Country],Tabela1[[#This Row],[Country]],Tabela107122[C1 Slalom Classification],"&gt;0")</f>
        <v>0</v>
      </c>
      <c r="DA177" s="6">
        <f>COUNTIFS(Tabela107[Country],Tabela1[[#This Row],[Country]],Tabela107[K1 Slalom Classification],"&gt;0")</f>
        <v>0</v>
      </c>
      <c r="DB177" s="6">
        <f>COUNTIFS(Tabela107122[Country],Tabela1[[#This Row],[Country]],Tabela107122[K1 Slalom Classification],"&gt;0")</f>
        <v>0</v>
      </c>
      <c r="DC177" s="6">
        <f>COUNTIFS(Tabela107[Country],Tabela1[[#This Row],[Country]],Tabela107[Kayak Cross Slalom Classification],"&gt;0")</f>
        <v>0</v>
      </c>
      <c r="DD177" s="6">
        <f>COUNTIFS(Tabela107122[Country],Tabela1[[#This Row],[Country]],Tabela107122[Kayak Cross Slalom Classification],"&gt;0")</f>
        <v>0</v>
      </c>
      <c r="DE177" s="6">
        <f>COUNTIFS(Table8[Country],Tabela1[[#This Row],[Country]],Table8[C1 200m Classification],"&gt;0")</f>
        <v>0</v>
      </c>
      <c r="DF177" s="6">
        <f>COUNTIFS(Table40[Country],Tabela1[[#This Row],[Country]],Table40[C1 1000m Classification],"&gt;0")</f>
        <v>0</v>
      </c>
      <c r="DG177" s="6">
        <f>COUNTIFS(Table68[Country],Tabela1[[#This Row],[Country]],Table68[Men''s C2 500m Classification],"&gt;0")</f>
        <v>0</v>
      </c>
      <c r="DH177" s="6">
        <f>COUNTIFS(Table68[Country],Tabela1[[#This Row],[Country]],Table68[Women''s C2 500m Classification],"&gt;0")</f>
        <v>0</v>
      </c>
      <c r="DI177" s="6">
        <f>COUNTIFS(Table8[Country],Tabela1[[#This Row],[Country]],Table8[K1 500m Classification],"&gt;0")</f>
        <v>0</v>
      </c>
      <c r="DJ177" s="6">
        <f>COUNTIFS(Table40[Country],Tabela1[[#This Row],[Country]],Table40[K1 1000m Classification],"&gt;0")</f>
        <v>0</v>
      </c>
      <c r="DK177" s="6">
        <f>COUNTIFS(Table68[Country],Tabela1[[#This Row],[Country]],Table68[Men''s K2 500m Classification],"&gt;0")</f>
        <v>0</v>
      </c>
      <c r="DL177" s="6">
        <f>COUNTIFS(Table68[Country],Tabela1[[#This Row],[Country]],Table68[Women''s K2 500m Classification],"&gt;0")</f>
        <v>0</v>
      </c>
      <c r="DM177" s="6">
        <f>COUNTIFS(Table83[Country],Tabela1[[#This Row],[Country]],Table83[Men''s K4 500m Classification],"&gt;0")</f>
        <v>0</v>
      </c>
      <c r="DN177" s="6">
        <f>COUNTIFS(Table83[Country],Tabela1[[#This Row],[Country]],Table83[Women''s K4 500m Classification],"&gt;0")</f>
        <v>0</v>
      </c>
      <c r="DO177" s="6">
        <f>COUNTIFS(Tabela126[Country],Tabela1[[#This Row],[Country]],Tabela126[Classification],"&gt;0")</f>
        <v>0</v>
      </c>
      <c r="DP177" s="6">
        <f>COUNTIFS(Tabela126130[Country],Tabela1[[#This Row],[Country]],Tabela126130[Classification],"&gt;0")</f>
        <v>0</v>
      </c>
      <c r="DQ177" s="6">
        <f>COUNTIFS(Table70[Country],Tabela1[[#This Row],[Country]],Table70[Classification],"&gt;0")</f>
        <v>0</v>
      </c>
      <c r="DR177" s="6">
        <f>COUNTIFS(Table80[Country],Tabela1[[#This Row],[Country]],Table80[Classification],"&gt;0")</f>
        <v>0</v>
      </c>
      <c r="DS177" s="6">
        <f>COUNTIFS(Table66[Country],Tabela1[[#This Row],[Country]],Table66[Classification],"&gt;0")</f>
        <v>0</v>
      </c>
      <c r="DT177" s="6">
        <f>COUNTIFS(Table67[Country],Tabela1[[#This Row],[Country]],Table67[Classification],"&gt;0")</f>
        <v>0</v>
      </c>
      <c r="DU177" s="6">
        <f>COUNTIFS(Table69[Country],Tabela1[[#This Row],[Country]],Table69[Keirin Classification],"&gt;0")</f>
        <v>0</v>
      </c>
      <c r="DV177" s="6">
        <f>COUNTIFS(Table41[Country],Tabela1[[#This Row],[Country]],Table41[Keirin Classification],"&gt;0")</f>
        <v>0</v>
      </c>
      <c r="DW177" s="6">
        <f>COUNTIFS(Table84[Country],Tabela1[[#This Row],[Country]],Table84[Men''s Madison Classification],"&gt;0")</f>
        <v>0</v>
      </c>
      <c r="DX177" s="6">
        <f>COUNTIFS(Table84[Country],Tabela1[[#This Row],[Country]],Table84[Women''s Madison Classification],"&gt;0")</f>
        <v>0</v>
      </c>
      <c r="DY177" s="6">
        <f>COUNTIFS(Table69[Country],Tabela1[[#This Row],[Country]],Table69[Omnium Classification],"&gt;0")</f>
        <v>0</v>
      </c>
      <c r="DZ177" s="6">
        <f>COUNTIFS(Table41[Country],Tabela1[[#This Row],[Country]],Table41[Omnium Classification],"&gt;0")</f>
        <v>0</v>
      </c>
      <c r="EA177" s="6">
        <f>COUNTIFS(Table9[Country],Tabela1[[#This Row],[Country]],Table9[Road Race Classification],"&gt;0")</f>
        <v>0</v>
      </c>
      <c r="EB177" s="6">
        <f>COUNTIFS(Table14[Country],Tabela1[[#This Row],[Country]],Table14[Road Race Classification],"&gt;0")</f>
        <v>0</v>
      </c>
      <c r="EC177" s="6">
        <f>COUNTIFS(Table69[Country],Tabela1[[#This Row],[Country]],Table69[Sprint Classification],"&gt;0")</f>
        <v>0</v>
      </c>
      <c r="ED177" s="6">
        <f>COUNTIFS(Table41[Country],Tabela1[[#This Row],[Country]],Table41[Sprint Classification],"&gt;0")</f>
        <v>0</v>
      </c>
      <c r="EE177" s="6">
        <f>COUNTIFS(Table85[Country],Tabela1[[#This Row],[Country]],Table85[Men''s Sprint Classification],"&gt;0")</f>
        <v>0</v>
      </c>
      <c r="EF177" s="6">
        <f>COUNTIFS(Table85[Country],Tabela1[[#This Row],[Country]],Table85[Women''s Sprint Classification],"&gt;0")</f>
        <v>0</v>
      </c>
      <c r="EG177" s="6">
        <f>COUNTIFS(Table85[Country],Tabela1[[#This Row],[Country]],Table85[Men''s Pursuit Classification],"&gt;0")</f>
        <v>0</v>
      </c>
      <c r="EH177" s="6">
        <f>COUNTIFS(Table85[Country],Tabela1[[#This Row],[Country]],Table85[Women''s Pursuit Classification],"&gt;0")</f>
        <v>0</v>
      </c>
      <c r="EI177" s="6">
        <f>COUNTIFS(Table9[Country],Tabela1[[#This Row],[Country]],Table9[Time-Trial Classification],"&gt;0")</f>
        <v>0</v>
      </c>
      <c r="EJ177" s="6">
        <f>COUNTIFS(Table14[Country],Tabela1[[#This Row],[Country]],Table14[Time-Trial Classification],"&gt;0")</f>
        <v>0</v>
      </c>
      <c r="EK177" s="6">
        <f>COUNTIFS(Table42[Country],Tabela1[[#This Row],[Country]],Table42[Springboard Classification],"&gt;0")</f>
        <v>0</v>
      </c>
      <c r="EL177" s="6">
        <f>COUNTIFS(Table43[Country],Tabela1[[#This Row],[Country]],Table43[Springboard Classification],"&gt;0")</f>
        <v>0</v>
      </c>
      <c r="EM177" s="6">
        <f>COUNTIFS(Table42[Country],Tabela1[[#This Row],[Country]],Table42[Platform Classification],"&gt;0")</f>
        <v>0</v>
      </c>
      <c r="EN177" s="6">
        <f>COUNTIFS(Table43[Country],Tabela1[[#This Row],[Country]],Table43[Platform Classification],"&gt;0")</f>
        <v>0</v>
      </c>
      <c r="EO177" s="6">
        <f>COUNTIFS(Table86[Country],Tabela1[[#This Row],[Country]],Table86[Men''s Synchronized Springboard Classification],"&gt;0")</f>
        <v>0</v>
      </c>
      <c r="EP177" s="6">
        <f>COUNTIFS(Table86[Country],Tabela1[[#This Row],[Country]],Table86[Women''s Synchronized Springboard Classification],"&gt;0")</f>
        <v>0</v>
      </c>
      <c r="EQ177" s="6">
        <f>COUNTIFS(Table86[Country],Tabela1[[#This Row],[Country]],Table86[Men''s Synchronized Platform Classification],"&gt;0")</f>
        <v>0</v>
      </c>
      <c r="ER177" s="6">
        <f>COUNTIFS(Table86[Country],Tabela1[[#This Row],[Country]],Table86[Women''s Synchronized Platform Classification],"&gt;0")</f>
        <v>0</v>
      </c>
      <c r="ES177" s="6">
        <f>COUNTIFS(Table44[Country],Tabela1[[#This Row],[Country]],Table44[Dressage Classification],"&gt;0")</f>
        <v>0</v>
      </c>
      <c r="ET177" s="6">
        <f>COUNTIFS(Table45[Country],Tabela1[[#This Row],[Country]],Table45[Dressage Classification],"&gt;0")</f>
        <v>0</v>
      </c>
      <c r="EU177" s="6">
        <f>COUNTIFS(Table44[Country],Tabela1[[#This Row],[Country]],Table44[Eventing Classification],"&gt;0")</f>
        <v>0</v>
      </c>
      <c r="EV177" s="6">
        <f>COUNTIFS(Table45[Country],Tabela1[[#This Row],[Country]],Table45[Eventing Classification],"&gt;0")</f>
        <v>0</v>
      </c>
      <c r="EW177" s="6">
        <f>COUNTIFS(Table44[Country],Tabela1[[#This Row],[Country]],Table44[Jumping Classification],"&gt;0")</f>
        <v>0</v>
      </c>
      <c r="EX177" s="6">
        <f>COUNTIFS(Table45[Country],Tabela1[[#This Row],[Country]],Table45[Jumping Classification],"&gt;0")</f>
        <v>0</v>
      </c>
      <c r="EY177" s="6">
        <f>COUNTIFS(Table10[Country],Tabela1[[#This Row],[Country]],Table10[Épée Classification],"&gt;0")</f>
        <v>0</v>
      </c>
      <c r="EZ177" s="6">
        <f>COUNTIFS(Table11[Country],Tabela1[[#This Row],[Country]],Table11[Épée Classification],"&gt;0")</f>
        <v>0</v>
      </c>
      <c r="FA177" s="6">
        <f>COUNTIFS(Table46[Country],Tabela1[[#This Row],[Country]],Table46[Men''s Épée Classification],"&gt;0")</f>
        <v>0</v>
      </c>
      <c r="FB177" s="6">
        <f>COUNTIFS(Table46[Country],Tabela1[[#This Row],[Country]],Table46[Women''s Épée Classification],"&gt;0")</f>
        <v>0</v>
      </c>
      <c r="FC177" s="6">
        <f>COUNTIFS(Table10[Country],Tabela1[[#This Row],[Country]],Table10[Foil Classification],"&gt;0")</f>
        <v>0</v>
      </c>
      <c r="FD177" s="6">
        <f>COUNTIFS(Table11[Country],Tabela1[[#This Row],[Country]],Table11[Foil Classification],"&gt;0")</f>
        <v>0</v>
      </c>
      <c r="FE177" s="6">
        <f>COUNTIFS(Table46[Country],Tabela1[[#This Row],[Country]],Table46[Men''s Foil Classification],"&gt;0")</f>
        <v>0</v>
      </c>
      <c r="FF177" s="6">
        <f>COUNTIFS(Table46[Country],Tabela1[[#This Row],[Country]],Table46[Women''s Foil Classification],"&gt;0")</f>
        <v>0</v>
      </c>
      <c r="FG177" s="6">
        <f>COUNTIFS(Table10[Country],Tabela1[[#This Row],[Country]],Table10[Sabre Classification],"&gt;0")</f>
        <v>0</v>
      </c>
      <c r="FH177" s="6">
        <f>COUNTIFS(Table11[Country],Tabela1[[#This Row],[Country]],Table11[Sabre Classification],"&gt;0")</f>
        <v>0</v>
      </c>
      <c r="FI177" s="6">
        <f>COUNTIFS(Table46[Country],Tabela1[[#This Row],[Country]],Table46[Men''s Sabre Classification],"&gt;0")</f>
        <v>0</v>
      </c>
      <c r="FJ177" s="6">
        <f>COUNTIFS(Table46[Country],Tabela1[[#This Row],[Country]],Table46[Women''s Sabre Classification],"&gt;0")</f>
        <v>0</v>
      </c>
      <c r="FK177" s="6">
        <f>COUNTIFS(Table91[Country],Tabela1[[#This Row],[Country]],Table91[Men''s Classification],"&gt;0")</f>
        <v>0</v>
      </c>
      <c r="FL177" s="6">
        <f>COUNTIFS(Table91[Country],Tabela1[[#This Row],[Country]],Table91[Women''s Classification],"&gt;0")</f>
        <v>0</v>
      </c>
      <c r="FM177" s="6">
        <f>COUNTIFS(Table9194[Country],Tabela1[[#This Row],[Country]],Table9194[Men''s Classification],"&gt;0")</f>
        <v>0</v>
      </c>
      <c r="FN177" s="6">
        <f>COUNTIFS(Table9194[Country],Tabela1[[#This Row],[Country]],Table9194[Women''s Classification],"&gt;0")</f>
        <v>0</v>
      </c>
      <c r="FO177" s="6">
        <f>COUNTIFS(Table71[Country],Tabela1[[#This Row],[Country]],Table71[Classification],"&gt;0")</f>
        <v>0</v>
      </c>
      <c r="FP177" s="6">
        <f>COUNTIFS(Table62[Country],Tabela1[[#This Row],[Country]],Table62[Classification],"&gt;0")</f>
        <v>0</v>
      </c>
      <c r="FQ177" s="6">
        <f>COUNTIFS(Table47[Country],Tabela1[[#This Row],[Country]],Table47[All-Around Classification],"&gt;0")</f>
        <v>0</v>
      </c>
      <c r="FR177" s="6">
        <f>COUNTIFS(Table48[Country],Tabela1[[#This Row],[Country]],Table48[All-Around Classification],"&gt;0")</f>
        <v>0</v>
      </c>
      <c r="FS177" s="6">
        <f>COUNTIFS(Table81[Country],Tabela1[[#This Row],[Country]],Table81[Men''s All-Around Classification],"&gt;0")</f>
        <v>0</v>
      </c>
      <c r="FT177" s="6">
        <f>COUNTIFS(Table81[Country],Tabela1[[#This Row],[Country]],Table81[Women''s All-Around Classification],"&gt;0")</f>
        <v>0</v>
      </c>
      <c r="FU177" s="6">
        <f>COUNTIFS(Table48[Country],Tabela1[[#This Row],[Country]],Table48[Balance Beam Classification],"&gt;0")</f>
        <v>0</v>
      </c>
      <c r="FV177" s="6">
        <f>COUNTIFS(Table47[Country],Tabela1[[#This Row],[Country]],Table47[Floor Exercise Classification],"&gt;0")</f>
        <v>0</v>
      </c>
      <c r="FW177" s="6">
        <f>COUNTIFS(Table48[Country],Tabela1[[#This Row],[Country]],Table48[Floor Exercise Classification],"&gt;0")</f>
        <v>0</v>
      </c>
      <c r="FX177" s="6">
        <f>COUNTIFS(Table47[Country],Tabela1[[#This Row],[Country]],Table47[Horizontal Bar Classification],"&gt;0")</f>
        <v>0</v>
      </c>
      <c r="FY177" s="6">
        <f>COUNTIFS(Table47[Country],Tabela1[[#This Row],[Country]],Table47[Parallel Bars Classification],"&gt;0")</f>
        <v>0</v>
      </c>
      <c r="FZ177" s="6">
        <f>COUNTIFS(Table47[Country],Tabela1[[#This Row],[Country]],Table47[Pommel Horse Classification],"&gt;0")</f>
        <v>0</v>
      </c>
      <c r="GA177" s="6">
        <f>COUNTIFS(Table47[Country],Tabela1[[#This Row],[Country]],Table47[Rings Classification],"&gt;0")</f>
        <v>0</v>
      </c>
      <c r="GB177" s="6">
        <f>COUNTIFS(Tabela132[Country],Tabela1[[#This Row],[Country]],Tabela132[Classification],"&gt;0")</f>
        <v>0</v>
      </c>
      <c r="GC177" s="6">
        <f>COUNTIFS(Tabela139[Country],Tabela1[[#This Row],[Country]],Tabela139[Classification],"&gt;0")</f>
        <v>0</v>
      </c>
      <c r="GD177" s="6">
        <f>COUNTIFS(Table48[Country],Tabela1[[#This Row],[Country]],Table48[Uneven Bars Classification],"&gt;0")</f>
        <v>0</v>
      </c>
      <c r="GE177" s="6">
        <f>COUNTIFS(Table47[Country],Tabela1[[#This Row],[Country]],Table47[Vault Classification],"&gt;0")</f>
        <v>0</v>
      </c>
      <c r="GF177" s="6">
        <f>COUNTIFS(Table48[Country],Tabela1[[#This Row],[Country]],Table48[Vault Classification],"&gt;0")</f>
        <v>0</v>
      </c>
      <c r="GG177" s="6">
        <f>COUNTIFS(Table919496[Country],Tabela1[[#This Row],[Country]],Table919496[Men''s Classification],"&gt;0")</f>
        <v>0</v>
      </c>
      <c r="GH177" s="6">
        <f>COUNTIFS(Table919496[Country],Tabela1[[#This Row],[Country]],Table919496[Women''s Classification],"&gt;0")</f>
        <v>0</v>
      </c>
      <c r="GI177" s="6">
        <f>COUNTIFS(Table12[Country],Tabela1[[#This Row],[Country]],Table12[60kg Classification],"&gt;0")</f>
        <v>0</v>
      </c>
      <c r="GJ177" s="6">
        <f>COUNTIFS(Table12[Country],Tabela1[[#This Row],[Country]],Table12[66kg Classification],"&gt;0")</f>
        <v>0</v>
      </c>
      <c r="GK177" s="6">
        <f>COUNTIFS(Table12[Country],Tabela1[[#This Row],[Country]],Table12[73kg Classification],"&gt;0")</f>
        <v>0</v>
      </c>
      <c r="GL177" s="6">
        <f>COUNTIFS(Table12[Country],Tabela1[[#This Row],[Country]],Table12[81kg Classification],"&gt;0")</f>
        <v>0</v>
      </c>
      <c r="GM177" s="6">
        <f>COUNTIFS(Table12[Country],Tabela1[[#This Row],[Country]],Table12[90kg Classification],"&gt;0")</f>
        <v>0</v>
      </c>
      <c r="GN177" s="6">
        <f>COUNTIFS(Table12[Country],Tabela1[[#This Row],[Country]],Table12[100kg Classification],"&gt;0")</f>
        <v>0</v>
      </c>
      <c r="GO177" s="6">
        <f>COUNTIFS(Table12[Country],Tabela1[[#This Row],[Country]],Table12[Plus 100kg Classification],"&gt;0")</f>
        <v>0</v>
      </c>
      <c r="GP177" s="6">
        <f>COUNTIFS(Table13[Country],Tabela1[[#This Row],[Country]],Table13[48kg Classification],"&gt;0")</f>
        <v>0</v>
      </c>
      <c r="GQ177" s="6">
        <f>COUNTIFS(Table13[Country],Tabela1[[#This Row],[Country]],Table13[52kg Classification],"&gt;0")</f>
        <v>0</v>
      </c>
      <c r="GR177" s="6">
        <f>COUNTIFS(Table13[Country],Tabela1[[#This Row],[Country]],Table13[57kg Classification],"&gt;0")</f>
        <v>0</v>
      </c>
      <c r="GS177" s="6">
        <f>COUNTIFS(Table13[Country],Tabela1[[#This Row],[Country]],Table13[63kg Classification],"&gt;0")</f>
        <v>0</v>
      </c>
      <c r="GT177" s="6">
        <f>COUNTIFS(Table13[Country],Tabela1[[#This Row],[Country]],Table13[70kg Classification],"&gt;0")</f>
        <v>0</v>
      </c>
      <c r="GU177" s="6">
        <f>COUNTIFS(Table13[Country],Tabela1[[#This Row],[Country]],Table13[78kg Classification],"&gt;0")</f>
        <v>0</v>
      </c>
      <c r="GV177" s="6">
        <f>COUNTIFS(Table13[Country],Tabela1[[#This Row],[Country]],Table13[Plus 78kg Classification],"&gt;0")</f>
        <v>0</v>
      </c>
      <c r="GW177" s="6">
        <f>COUNTIFS(Table82[Country],Tabela1[[#This Row],[Country]],Table82[Mixed Classification],"&gt;0")</f>
        <v>0</v>
      </c>
      <c r="GX177" s="6">
        <f>COUNTIFS(Table51[Country],Tabela1[[#This Row],[Country]],Table51[Classification],"&gt;0")</f>
        <v>0</v>
      </c>
      <c r="GY177" s="6">
        <f>COUNTIFS(Table52[Country],Tabela1[[#This Row],[Country]],Table52[Classification],"&gt;0")</f>
        <v>0</v>
      </c>
      <c r="GZ177" s="6">
        <f>COUNTIFS(Table32[Country],Tabela1[[#This Row],[Country]],Table32[All-Around Classification],"&gt;0")</f>
        <v>0</v>
      </c>
      <c r="HA177" s="6">
        <f>COUNTIFS(Table49[Country],Tabela1[[#This Row],[Country]],Table49[All-Around Classification],"&gt;0")</f>
        <v>0</v>
      </c>
      <c r="HB177" s="6">
        <f>COUNTIFS(Table26[Country],Tabela1[[#This Row],[Country]],Table26[Single Sculls Classification],"&gt;0")</f>
        <v>0</v>
      </c>
      <c r="HC177" s="6">
        <f>COUNTIFS(Table63[Country],Tabela1[[#This Row],[Country]],Table63[Single Sculls Classification],"&gt;0")</f>
        <v>0</v>
      </c>
      <c r="HD177" s="6">
        <f>COUNTIFS(Table16[Country],Tabela1[[#This Row],[Country]],Table16[Men''s Double Sculls Classification],"&gt;0")</f>
        <v>0</v>
      </c>
      <c r="HE177" s="6">
        <f>COUNTIFS(Table16[Country],Tabela1[[#This Row],[Country]],Table16[Women''s Double Sculls Classification],"&gt;0")</f>
        <v>0</v>
      </c>
      <c r="HF177" s="6">
        <f>COUNTIFS(Table72[Country],Tabela1[[#This Row],[Country]],Table72[Men''s Quadruple Sculls Classification],"&gt;0")</f>
        <v>0</v>
      </c>
      <c r="HG177" s="6">
        <f>COUNTIFS(Table72[Country],Tabela1[[#This Row],[Country]],Table72[Women''s Quadruple Sculls Classification],"&gt;0")</f>
        <v>0</v>
      </c>
      <c r="HH177" s="6">
        <f>COUNTIFS(Table16[Country],Tabela1[[#This Row],[Country]],Table16[Men''s Coxless Pairs Classification],"&gt;0")</f>
        <v>0</v>
      </c>
      <c r="HI177" s="6">
        <f>COUNTIFS(Table16[Country],Tabela1[[#This Row],[Country]],Table16[Women''s Coxless Pairs Classification],"&gt;0")</f>
        <v>0</v>
      </c>
      <c r="HJ177" s="6">
        <f>COUNTIFS(Table72[Country],Tabela1[[#This Row],[Country]],Table72[Men''s Coxless Fours Classification],"&gt;0")</f>
        <v>0</v>
      </c>
      <c r="HK177" s="6">
        <f>COUNTIFS(Table72[Country],Tabela1[[#This Row],[Country]],Table72[Women''s Coxless Fours Classification],"&gt;0")</f>
        <v>0</v>
      </c>
      <c r="HL177" s="6">
        <f>COUNTIFS(Table72[Country],Tabela1[[#This Row],[Country]],Table72[Men''s Eights Classification],"&gt;0")</f>
        <v>0</v>
      </c>
      <c r="HM177" s="6">
        <f>COUNTIFS(Table72[Country],Tabela1[[#This Row],[Country]],Table72[Women''s Eights Classification],"&gt;0")</f>
        <v>0</v>
      </c>
      <c r="HN177" s="6">
        <f>COUNTIFS(Table16[Country],Tabela1[[#This Row],[Country]],Table16[Men''s Lwt. Double Sculls Classification],"&gt;0")</f>
        <v>0</v>
      </c>
      <c r="HO177" s="6">
        <f>COUNTIFS(Table16[Country],Tabela1[[#This Row],[Country]],Table16[Women''s Lwt. Double Sculls Classification],"&gt;0")</f>
        <v>0</v>
      </c>
      <c r="HP177" s="6">
        <f>COUNTIFS(Table91949698[Country],Tabela1[[#This Row],[Country]],Table91949698[Men''s Classification],"&gt;0")</f>
        <v>0</v>
      </c>
      <c r="HQ177" s="6">
        <f>COUNTIFS(Table91949698[Country],Tabela1[[#This Row],[Country]],Table91949698[Women''s Classification],"&gt;0")</f>
        <v>0</v>
      </c>
      <c r="HR177" s="6">
        <f>COUNTIFS(Table25[Country],Tabela1[[#This Row],[Country]],Table25[Mixed 470 Classification],"&gt;0")</f>
        <v>0</v>
      </c>
      <c r="HS177" s="6">
        <f>COUNTIFS(Table25[Country],Tabela1[[#This Row],[Country]],Table25[Men''s 49er Classification],"&gt;0")</f>
        <v>0</v>
      </c>
      <c r="HT177" s="6">
        <f>COUNTIFS(Table25[Country],Tabela1[[#This Row],[Country]],Table25[Women''s 49er FX Classification],"&gt;0")</f>
        <v>0</v>
      </c>
      <c r="HU177" s="6">
        <f>COUNTIFS(Table17[Country],Tabela1[[#This Row],[Country]],Table17[Formula Kite Classification],"&gt;0")</f>
        <v>0</v>
      </c>
      <c r="HV177" s="6">
        <f>COUNTIFS(Table18[Country],Tabela1[[#This Row],[Country]],Table18[Formula Kite Classification],"&gt;0")</f>
        <v>0</v>
      </c>
      <c r="HW177" s="6">
        <f>COUNTIFS(Table17[Country],Tabela1[[#This Row],[Country]],Table17[ILCA 7 Classification],"&gt;0")</f>
        <v>0</v>
      </c>
      <c r="HX177" s="6">
        <f>COUNTIFS(Table18[Country],Tabela1[[#This Row],[Country]],Table18[ILCA 6 Classification],"&gt;0")</f>
        <v>0</v>
      </c>
      <c r="HY177" s="6">
        <f>COUNTIFS(Table17[Country],Tabela1[[#This Row],[Country]],Table17[IQFoil Classification],"&gt;0")</f>
        <v>0</v>
      </c>
      <c r="HZ177" s="6">
        <f>COUNTIFS(Table18[Country],Tabela1[[#This Row],[Country]],Table18[IQFoil Classification],"&gt;0")</f>
        <v>0</v>
      </c>
      <c r="IA177" s="6">
        <f>COUNTIFS(Table25[Country],Tabela1[[#This Row],[Country]],Table25[Mixed Nacra 17 Classification],"&gt;0")</f>
        <v>0</v>
      </c>
      <c r="IB177" s="6">
        <f>COUNTIFS(Table53[Country],Tabela1[[#This Row],[Country]],Table53[10m Air Pistol Classification],"&gt;0")</f>
        <v>0</v>
      </c>
      <c r="IC177" s="6">
        <f>COUNTIFS(Table19[Country],Tabela1[[#This Row],[Country]],Table19[10m Air Pistol Classification],"&gt;0")</f>
        <v>0</v>
      </c>
      <c r="ID177" s="6">
        <f>COUNTIFS(Table54[Country],Tabela1[[#This Row],[Country]],Table54[Mixed 10m Air Pistol Team Classification],"&gt;0")</f>
        <v>0</v>
      </c>
      <c r="IE177" s="6">
        <f>COUNTIFS(Table53[Country],Tabela1[[#This Row],[Country]],Table53[10m Air Rifle Classification],"&gt;0")</f>
        <v>0</v>
      </c>
      <c r="IF177" s="6">
        <f>COUNTIFS(Table19[Country],Tabela1[[#This Row],[Country]],Table19[10m Air Rifle Classification],"&gt;0")</f>
        <v>0</v>
      </c>
      <c r="IG177" s="6">
        <f>COUNTIFS(Table54[Country],Tabela1[[#This Row],[Country]],Table54[Mixed 10m Air Rifle Team Classification],"&gt;0")</f>
        <v>0</v>
      </c>
      <c r="IH177" s="6">
        <f>COUNTIFS(Table53[Country],Tabela1[[#This Row],[Country]],Table53[25m Rapid Fire Pistol Classification],"&gt;0")</f>
        <v>0</v>
      </c>
      <c r="II177" s="6">
        <f>COUNTIFS(Table19[Country],Tabela1[[#This Row],[Country]],Table19[25m Pistol Classification],"&gt;0")</f>
        <v>0</v>
      </c>
      <c r="IJ177" s="6">
        <f>COUNTIFS(Table53[Country],Tabela1[[#This Row],[Country]],Table53[50m Rifle 3 Positions Classification],"&gt;0")</f>
        <v>0</v>
      </c>
      <c r="IK177" s="6">
        <f>COUNTIFS(Table19[Country],Tabela1[[#This Row],[Country]],Table19[50m Rifle 3 Positions Classification],"&gt;0")</f>
        <v>0</v>
      </c>
      <c r="IL177" s="6">
        <f>COUNTIFS(Table53[Country],Tabela1[[#This Row],[Country]],Table53[Skeet Classification],"&gt;0")</f>
        <v>0</v>
      </c>
      <c r="IM177" s="6">
        <f>COUNTIFS(Table19[Country],Tabela1[[#This Row],[Country]],Table19[Skeet Classification],"&gt;0")</f>
        <v>0</v>
      </c>
      <c r="IN177" s="6">
        <f>COUNTIFS(Table54[Country],Tabela1[[#This Row],[Country]],Table54[Mixed Skeet Team Classification],"&gt;0")</f>
        <v>0</v>
      </c>
      <c r="IO177" s="6">
        <f>COUNTIFS(Table53[Country],Tabela1[[#This Row],[Country]],Table53[Trap Classification],"&gt;0")</f>
        <v>0</v>
      </c>
      <c r="IP177" s="6">
        <f>COUNTIFS(Table19[Country],Tabela1[[#This Row],[Country]],Table19[Trap Classification],"&gt;0")</f>
        <v>0</v>
      </c>
      <c r="IQ177" s="6">
        <f>COUNTIFS(Table73[Country],Tabela1[[#This Row],[Country]],Table73[Park Classification],"&gt;0")</f>
        <v>0</v>
      </c>
      <c r="IR177" s="6">
        <f>COUNTIFS(Table74[Country],Tabela1[[#This Row],[Country]],Table74[Park Classification],"&gt;0")</f>
        <v>0</v>
      </c>
      <c r="IS177" s="6">
        <f>COUNTIFS(Table73[Country],Tabela1[[#This Row],[Country]],Table73[Street Classification],"&gt;0")</f>
        <v>0</v>
      </c>
      <c r="IT177" s="6">
        <f>COUNTIFS(Table74[Country],Tabela1[[#This Row],[Country]],Table74[Street Classification],"&gt;0")</f>
        <v>0</v>
      </c>
      <c r="IU177" s="6">
        <f>COUNTIFS(Table75[Country],Tabela1[[#This Row],[Country]],Table75[Boulder and Lead Classification],"&gt;0")</f>
        <v>0</v>
      </c>
      <c r="IV177" s="6">
        <f>COUNTIFS(Table76[Country],Tabela1[[#This Row],[Country]],Table76[Boulder and Lead Classification],"&gt;0")</f>
        <v>0</v>
      </c>
      <c r="IW177" s="6">
        <f>COUNTIFS(Table75[Country],Tabela1[[#This Row],[Country]],Table75[Speed Classification],"&gt;0")</f>
        <v>0</v>
      </c>
      <c r="IX177" s="6">
        <f>COUNTIFS(Table76[Country],Tabela1[[#This Row],[Country]],Table76[Speed Classification],"&gt;0")</f>
        <v>0</v>
      </c>
      <c r="IY177" s="6">
        <f>COUNTIFS(Table64[Country],Tabela1[[#This Row],[Country]],Table64[Shortboard Classification],"&gt;0")</f>
        <v>0</v>
      </c>
      <c r="IZ177" s="6">
        <f>COUNTIFS(Table77[Country],Tabela1[[#This Row],[Country]],Table77[Shortboard Classification],"&gt;0")</f>
        <v>0</v>
      </c>
      <c r="JA177" s="6">
        <f>COUNTIFS(Table20[Country],Tabela1[[#This Row],[Country]],Table20[50m Freestyle Classification],"&gt;0")</f>
        <v>0</v>
      </c>
      <c r="JB177" s="6">
        <f>COUNTIFS(Table21[Country],Tabela1[[#This Row],[Country]],Table21[50m Freestyle Classification],"&gt;0")</f>
        <v>0</v>
      </c>
      <c r="JC177" s="6">
        <f>COUNTIFS(Table20[Country],Tabela1[[#This Row],[Country]],Table20[100m Freestyle Classification],"&gt;0")</f>
        <v>0</v>
      </c>
      <c r="JD177" s="6">
        <f>COUNTIFS(Table21[Country],Tabela1[[#This Row],[Country]],Table21[100m Freestyle Classification],"&gt;0")</f>
        <v>0</v>
      </c>
      <c r="JE177" s="6">
        <f>COUNTIFS(Table20[Country],Tabela1[[#This Row],[Country]],Table20[200m Freestyle Classification],"&gt;0")</f>
        <v>0</v>
      </c>
      <c r="JF177" s="6">
        <f>COUNTIFS(Table21[Country],Tabela1[[#This Row],[Country]],Table21[200m Freestyle Classification],"&gt;0")</f>
        <v>0</v>
      </c>
      <c r="JG177" s="6">
        <f>COUNTIFS(Table20[Country],Tabela1[[#This Row],[Country]],Table20[400m Freestyle Classification],"&gt;0")</f>
        <v>0</v>
      </c>
      <c r="JH177" s="6">
        <f>COUNTIFS(Table21[Country],Tabela1[[#This Row],[Country]],Table21[400m Freestyle Classification],"&gt;0")</f>
        <v>0</v>
      </c>
      <c r="JI177" s="6">
        <f>COUNTIFS(Table20[Country],Tabela1[[#This Row],[Country]],Table20[800m Freestyle Classification],"&gt;0")</f>
        <v>0</v>
      </c>
      <c r="JJ177" s="6">
        <f>COUNTIFS(Table21[Country],Tabela1[[#This Row],[Country]],Table21[800m Freestyle Classification],"&gt;0")</f>
        <v>0</v>
      </c>
      <c r="JK177" s="6">
        <f>COUNTIFS(Table20[Country],Tabela1[[#This Row],[Country]],Table20[1500m Freestyle Classification],"&gt;0")</f>
        <v>0</v>
      </c>
      <c r="JL177" s="6">
        <f>COUNTIFS(Table21[Country],Tabela1[[#This Row],[Country]],Table21[1500m Freestyle Classification],"&gt;0")</f>
        <v>0</v>
      </c>
      <c r="JM177" s="6">
        <f>COUNTIFS(Table20[Country],Tabela1[[#This Row],[Country]],Table20[100m Backstroke Classification],"&gt;0")</f>
        <v>0</v>
      </c>
      <c r="JN177" s="6">
        <f>COUNTIFS(Table21[Country],Tabela1[[#This Row],[Country]],Table21[100m Backstroke Classification],"&gt;0")</f>
        <v>0</v>
      </c>
      <c r="JO177" s="6">
        <f>COUNTIFS(Table20[Country],Tabela1[[#This Row],[Country]],Table20[200m Backstroke Classification],"&gt;0")</f>
        <v>0</v>
      </c>
      <c r="JP177" s="6">
        <f>COUNTIFS(Table21[Country],Tabela1[[#This Row],[Country]],Table21[200m Backstroke Classification],"&gt;0")</f>
        <v>0</v>
      </c>
      <c r="JQ177" s="6">
        <f>COUNTIFS(Table20[Country],Tabela1[[#This Row],[Country]],Table20[100m Breaststroke Classification],"&gt;0")</f>
        <v>0</v>
      </c>
      <c r="JR177" s="6">
        <f>COUNTIFS(Table21[Country],Tabela1[[#This Row],[Country]],Table21[100m Breaststroke Classification],"&gt;0")</f>
        <v>0</v>
      </c>
      <c r="JS177" s="6">
        <f>COUNTIFS(Table20[Country],Tabela1[[#This Row],[Country]],Table20[200m Breaststroke Classification],"&gt;0")</f>
        <v>0</v>
      </c>
      <c r="JT177" s="6">
        <f>COUNTIFS(Table21[Country],Tabela1[[#This Row],[Country]],Table21[200m Breaststroke Classification],"&gt;0")</f>
        <v>0</v>
      </c>
      <c r="JU177" s="6">
        <f>COUNTIFS(Table20[Country],Tabela1[[#This Row],[Country]],Table20[100m Butterfly Classification],"&gt;0")</f>
        <v>0</v>
      </c>
      <c r="JV177" s="6">
        <f>COUNTIFS(Table21[Country],Tabela1[[#This Row],[Country]],Table21[100m Butterfly Classification],"&gt;0")</f>
        <v>0</v>
      </c>
      <c r="JW177" s="6">
        <f>COUNTIFS(Table20[Country],Tabela1[[#This Row],[Country]],Table20[200m Butterfly Classification],"&gt;0")</f>
        <v>0</v>
      </c>
      <c r="JX177" s="6">
        <f>COUNTIFS(Table21[Country],Tabela1[[#This Row],[Country]],Table21[200m Butterfly Classification],"&gt;0")</f>
        <v>0</v>
      </c>
      <c r="JY177" s="6">
        <f>COUNTIFS(Table20[Country],Tabela1[[#This Row],[Country]],Table20[200m Medley Classification],"&gt;0")</f>
        <v>0</v>
      </c>
      <c r="JZ177" s="6">
        <f>COUNTIFS(Table21[Country],Tabela1[[#This Row],[Country]],Table21[200m Medley Classification],"&gt;0")</f>
        <v>0</v>
      </c>
      <c r="KA177" s="6">
        <f>COUNTIFS(Table20[Country],Tabela1[[#This Row],[Country]],Table20[400m Medley Classification],"&gt;0")</f>
        <v>0</v>
      </c>
      <c r="KB177" s="6">
        <f>COUNTIFS(Table21[Country],Tabela1[[#This Row],[Country]],Table21[400m Medley Classification],"&gt;0")</f>
        <v>0</v>
      </c>
      <c r="KC177" s="6">
        <f>COUNTIFS(Table78[Country],Tabela1[[#This Row],[Country]],Table78[Men''s 4x100m Freestyle Relay Classification],"&gt;0")</f>
        <v>0</v>
      </c>
      <c r="KD177" s="6">
        <f>COUNTIFS(Table78[Country],Tabela1[[#This Row],[Country]],Table78[Women''s 4x100m Freestyle Relay Classification],"&gt;0")</f>
        <v>0</v>
      </c>
      <c r="KE177" s="6">
        <f>COUNTIFS(Table78[Country],Tabela1[[#This Row],[Country]],Table78[Men''s 4x200m Freestyle Relay Classification],"&gt;0")</f>
        <v>0</v>
      </c>
      <c r="KF177" s="6">
        <f>COUNTIFS(Table78[Country],Tabela1[[#This Row],[Country]],Table78[Women''s 4x200m Freestyle Relay Classification],"&gt;0")</f>
        <v>0</v>
      </c>
      <c r="KG177" s="6">
        <f>COUNTIFS(Table78[Country],Tabela1[[#This Row],[Country]],Table78[Men''s 4x100m Medley Relay Classification],"&gt;0")</f>
        <v>0</v>
      </c>
      <c r="KH177" s="6">
        <f>COUNTIFS(Table78[Country],Tabela1[[#This Row],[Country]],Table78[Women''s 4x100m Medley Relay Classification],"&gt;0")</f>
        <v>0</v>
      </c>
      <c r="KI177" s="6">
        <f>COUNTIFS(Table78[Country],Tabela1[[#This Row],[Country]],Table78[Mixed 4x100m Medley Relay Classification],"&gt;0")</f>
        <v>0</v>
      </c>
      <c r="KJ177" s="6">
        <f>COUNTIFS(Table20[Country],Tabela1[[#This Row],[Country]],Table20[10km Open Water Classification],"&gt;0")</f>
        <v>0</v>
      </c>
      <c r="KK177" s="6">
        <f>COUNTIFS(Table21[Country],Tabela1[[#This Row],[Country]],Table21[10km Open Water Classification],"&gt;0")</f>
        <v>0</v>
      </c>
      <c r="KL177" s="6">
        <f>COUNTIFS(Table22[Country],Tabela1[[#This Row],[Country]],Table22[Classification],"&gt;0")</f>
        <v>0</v>
      </c>
      <c r="KM177" s="6">
        <f>COUNTIFS(Table30[Country],Tabela1[[#This Row],[Country]],Table30[Classification],"&gt;0")</f>
        <v>0</v>
      </c>
      <c r="KN177" s="6">
        <f>COUNTIFS(Table55[Country],Tabela1[[#This Row],[Country]],Table55[Men''s Classification],"&gt;0")</f>
        <v>0</v>
      </c>
      <c r="KO177" s="6">
        <f>COUNTIFS(Table55[Country],Tabela1[[#This Row],[Country]],Table55[Women''s Classification],"&gt;0")</f>
        <v>0</v>
      </c>
      <c r="KP177" s="6">
        <f>COUNTIFS(Table56[Country],Tabela1[[#This Row],[Country]],Table56[Mixed Classification],"&gt;0")</f>
        <v>0</v>
      </c>
      <c r="KQ177" s="6">
        <f>COUNTIFS(Table29[Country],Tabela1[[#This Row],[Country]],Table29[58kg Classification],"&gt;0")</f>
        <v>0</v>
      </c>
      <c r="KR177" s="6">
        <f>COUNTIFS(Table29[Country],Tabela1[[#This Row],[Country]],Table29[68kg Classification],"&gt;0")</f>
        <v>0</v>
      </c>
      <c r="KS177" s="6">
        <f>COUNTIFS(Table29[Country],Tabela1[[#This Row],[Country]],Table29[80kg Classification],"&gt;0")</f>
        <v>0</v>
      </c>
      <c r="KT177" s="6">
        <f>COUNTIFS(Table29[Country],Tabela1[[#This Row],[Country]],Table29[Plus 80kg Classification],"&gt;0")</f>
        <v>0</v>
      </c>
      <c r="KU177" s="6">
        <f>COUNTIFS(Table34[Country],Tabela1[[#This Row],[Country]],Table34[49kg Classification],"&gt;0")</f>
        <v>0</v>
      </c>
      <c r="KV177" s="6">
        <f>COUNTIFS(Table34[Country],Tabela1[[#This Row],[Country]],Table34[57kg Classification],"&gt;0")</f>
        <v>0</v>
      </c>
      <c r="KW177" s="6">
        <f>COUNTIFS(Table34[Country],Tabela1[[#This Row],[Country]],Table34[67kg Classification],"&gt;0")</f>
        <v>0</v>
      </c>
      <c r="KX177" s="6">
        <f>COUNTIFS(Table34[Country],Tabela1[[#This Row],[Country]],Table34[Plus 67kg Classification],"&gt;0")</f>
        <v>0</v>
      </c>
      <c r="KY177" s="6">
        <f>COUNTIFS(Table57[Country],Tabela1[[#This Row],[Country]],Table57[Classification],"&gt;0")</f>
        <v>0</v>
      </c>
      <c r="KZ177" s="6">
        <f>COUNTIFS(Table58[Country],Tabela1[[#This Row],[Country]],Table58[Classification],"&gt;0")</f>
        <v>0</v>
      </c>
      <c r="LA177" s="6">
        <f>COUNTIFS(Table79[Country],Tabela1[[#This Row],[Country]],Table79[Men''s Classification],"&gt;0")</f>
        <v>0</v>
      </c>
      <c r="LB177" s="6">
        <f>COUNTIFS(Table79[Country],Tabela1[[#This Row],[Country]],Table79[Women''s Classification],"&gt;0")</f>
        <v>0</v>
      </c>
      <c r="LC177" s="6">
        <f>COUNTIFS(Table79[Country],Tabela1[[#This Row],[Country]],Table79[Mixed Classification],"&gt;0")</f>
        <v>0</v>
      </c>
      <c r="LD177" s="6">
        <f>COUNTIFS(Table65[Country],Tabela1[[#This Row],[Country]],Table65[Classification],"&gt;0")</f>
        <v>0</v>
      </c>
      <c r="LE177" s="6">
        <f>COUNTIFS(Table59[Country],Tabela1[[#This Row],[Country]],Table59[Classification],"&gt;0")</f>
        <v>0</v>
      </c>
      <c r="LF177" s="6">
        <f>COUNTIFS(Table87[Country],Tabela1[[#This Row],[Country]],Table87[Mixed Relay Classification],"&gt;0")</f>
        <v>0</v>
      </c>
      <c r="LG177" s="6">
        <f>COUNTIFS(Table91949698100[Country],Tabela1[[#This Row],[Country]],Table91949698100[Men''s Classification],"&gt;0")</f>
        <v>0</v>
      </c>
      <c r="LH177" s="6">
        <f>COUNTIFS(Table91949698100[Country],Tabela1[[#This Row],[Country]],Table91949698100[Women''s Classification],"&gt;0")</f>
        <v>0</v>
      </c>
      <c r="LI177" s="6">
        <f>COUNTIFS(Table91949698100102[Country],Tabela1[[#This Row],[Country]],Table91949698100102[Men''s Classification],"&gt;0")</f>
        <v>0</v>
      </c>
      <c r="LJ177" s="6">
        <f>COUNTIFS(Table91949698100102[Country],Tabela1[[#This Row],[Country]],Table91949698100102[Women''s Classification],"&gt;0")</f>
        <v>0</v>
      </c>
      <c r="LK177" s="6">
        <f>COUNTIFS(Table23[Country],Tabela1[[#This Row],[Country]],Table23[61kg Classification],"&gt;0")</f>
        <v>0</v>
      </c>
      <c r="LL177" s="6">
        <f>COUNTIFS(Table23[Country],Tabela1[[#This Row],[Country]],Table23[73kg Classification],"&gt;0")</f>
        <v>0</v>
      </c>
      <c r="LM177" s="6">
        <f>COUNTIFS(Table23[Country],Tabela1[[#This Row],[Country]],Table23[89kg Classification],"&gt;0")</f>
        <v>0</v>
      </c>
      <c r="LN177" s="6">
        <f>COUNTIFS(Table23[Country],Tabela1[[#This Row],[Country]],Table23[102kg Classification],"&gt;0")</f>
        <v>0</v>
      </c>
      <c r="LO177" s="6">
        <f>COUNTIFS(Table23[Country],Tabela1[[#This Row],[Country]],Table23[Plus 102kg Classification],"&gt;0")</f>
        <v>0</v>
      </c>
      <c r="LP177" s="6">
        <f>COUNTIFS(Table28[Country],Tabela1[[#This Row],[Country]],Table28[49kg Classification],"&gt;0")</f>
        <v>0</v>
      </c>
      <c r="LQ177" s="6">
        <f>COUNTIFS(Table28[Country],Tabela1[[#This Row],[Country]],Table28[59kg Classification],"&gt;0")</f>
        <v>0</v>
      </c>
      <c r="LR177" s="6">
        <f>COUNTIFS(Table28[Country],Tabela1[[#This Row],[Country]],Table28[71kg Classification],"&gt;0")</f>
        <v>0</v>
      </c>
      <c r="LS177" s="6">
        <f>COUNTIFS(Table28[Country],Tabela1[[#This Row],[Country]],Table28[81kg Classification],"&gt;0")</f>
        <v>0</v>
      </c>
      <c r="LT177" s="6">
        <f>COUNTIFS(Table28[Country],Tabela1[[#This Row],[Country]],Table28[Plus 81kg Classification],"&gt;0")</f>
        <v>0</v>
      </c>
      <c r="LU177" s="6">
        <f>COUNTIFS(Table24[Country],Tabela1[[#This Row],[Country]],Table24[Freestyle 57kg Classification],"&gt;0")</f>
        <v>0</v>
      </c>
      <c r="LV177" s="6">
        <f>COUNTIFS(Table24[Country],Tabela1[[#This Row],[Country]],Table24[Freestyle 65kg Classification],"&gt;0")</f>
        <v>0</v>
      </c>
      <c r="LW177" s="6">
        <f>COUNTIFS(Table24[Country],Tabela1[[#This Row],[Country]],Table24[Freestyle 74kg Classification],"&gt;0")</f>
        <v>0</v>
      </c>
      <c r="LX177" s="6">
        <f>COUNTIFS(Table24[Country],Tabela1[[#This Row],[Country]],Table24[Freestyle 86kg Classification],"&gt;0")</f>
        <v>0</v>
      </c>
      <c r="LY177" s="6">
        <f>COUNTIFS(Table24[Country],Tabela1[[#This Row],[Country]],Table24[Freestyle 97kg Classification],"&gt;0")</f>
        <v>0</v>
      </c>
      <c r="LZ177" s="6">
        <f>COUNTIFS(Table24[Country],Tabela1[[#This Row],[Country]],Table24[Freestyle 125kg Classification],"&gt;0")</f>
        <v>0</v>
      </c>
      <c r="MA177" s="6">
        <f>COUNTIFS(Table24[Country],Tabela1[[#This Row],[Country]],Table24[Greco-Roman 60kg Classification],"&gt;0")</f>
        <v>0</v>
      </c>
      <c r="MB177" s="6">
        <f>COUNTIFS(Table24[Country],Tabela1[[#This Row],[Country]],Table24[Greco-Roman 67kg Classification],"&gt;0")</f>
        <v>0</v>
      </c>
      <c r="MC177" s="6">
        <f>COUNTIFS(Table24[Country],Tabela1[[#This Row],[Country]],Table24[Greco-Roman 77kg Classification],"&gt;0")</f>
        <v>0</v>
      </c>
      <c r="MD177" s="6">
        <f>COUNTIFS(Table24[Country],Tabela1[[#This Row],[Country]],Table24[Greco-Roman 87kg Classification],"&gt;0")</f>
        <v>0</v>
      </c>
      <c r="ME177" s="6">
        <f>COUNTIFS(Table24[Country],Tabela1[[#This Row],[Country]],Table24[Greco-Roman 97kg Classification],"&gt;0")</f>
        <v>0</v>
      </c>
      <c r="MF177" s="6">
        <f>COUNTIFS(Table24[Country],Tabela1[[#This Row],[Country]],Table24[Greco-Roman 130kg Classification],"&gt;0")</f>
        <v>0</v>
      </c>
      <c r="MG177" s="6">
        <f>COUNTIFS(Table31[Country],Tabela1[[#This Row],[Country]],Table31[50kg Classification],"&gt;0")</f>
        <v>0</v>
      </c>
      <c r="MH177" s="6">
        <f>COUNTIFS(Table31[Country],Tabela1[[#This Row],[Country]],Table31[53kg Classification],"&gt;0")</f>
        <v>0</v>
      </c>
      <c r="MI177" s="6">
        <f>COUNTIFS(Table31[Country],Tabela1[[#This Row],[Country]],Table31[57kg Classification],"&gt;0")</f>
        <v>0</v>
      </c>
      <c r="MJ177" s="6">
        <f>COUNTIFS(Table31[Country],Tabela1[[#This Row],[Country]],Table31[62kg Classification],"&gt;0")</f>
        <v>0</v>
      </c>
      <c r="MK177" s="6">
        <f>COUNTIFS(Table31[Country],Tabela1[[#This Row],[Country]],Table31[68kg Classification],"&gt;0")</f>
        <v>0</v>
      </c>
      <c r="ML177" s="6">
        <f>COUNTIFS(Table31[Country],Tabela1[[#This Row],[Country]],Table31[76kg Classification],"&gt;0")</f>
        <v>0</v>
      </c>
      <c r="MM177" s="6">
        <f>COUNTIFS(Table102[Country],Tabela1[[#This Row],[Country]],Table102[Downhill Classification],"&gt;0")</f>
        <v>0</v>
      </c>
      <c r="MN177" s="6">
        <f>COUNTIFS(Table102105[Country],Tabela1[[#This Row],[Country]],Table102105[Downhill Classification],"&gt;0")</f>
        <v>0</v>
      </c>
      <c r="MO177" s="6">
        <f>COUNTIFS(Table102[Country],Tabela1[[#This Row],[Country]],Table102[Giant Slalom Classification],"&gt;0")</f>
        <v>0</v>
      </c>
      <c r="MP177" s="6">
        <f>COUNTIFS(Table102105[Country],Tabela1[[#This Row],[Country]],Table102105[Giant Slalom Classification],"&gt;0")</f>
        <v>0</v>
      </c>
      <c r="MQ177" s="6">
        <f>COUNTIFS(Table102[Country],Tabela1[[#This Row],[Country]],Table102[Slalom Classification],"&gt;0")</f>
        <v>0</v>
      </c>
      <c r="MR177" s="6">
        <f>COUNTIFS(Table102105[Country],Tabela1[[#This Row],[Country]],Table102105[Slalom Classification],"&gt;0")</f>
        <v>0</v>
      </c>
      <c r="MS177" s="6">
        <f>COUNTIFS(Table102[Country],Tabela1[[#This Row],[Country]],Table102[Super-G Classification],"&gt;0")</f>
        <v>0</v>
      </c>
      <c r="MT177" s="6">
        <f>COUNTIFS(Table102105[Country],Tabela1[[#This Row],[Country]],Table102105[Super-G Classification],"&gt;0")</f>
        <v>0</v>
      </c>
      <c r="MU177" s="6">
        <f>COUNTIFS(Table105[Country],Tabela1[[#This Row],[Country]],Table105[Men''s Combined Classification],"&gt;0")</f>
        <v>0</v>
      </c>
      <c r="MV177" s="6">
        <f>COUNTIFS(Table105[Country],Tabela1[[#This Row],[Country]],Table105[Women''s Combined Classification],"&gt;0")</f>
        <v>0</v>
      </c>
      <c r="MW177" s="6">
        <f>COUNTIFS(Table106[Country],Tabela1[[#This Row],[Country]],Table106[Individual Classification],"&gt;0")</f>
        <v>0</v>
      </c>
      <c r="MX177" s="6">
        <f>COUNTIFS(Table106109[Country],Tabela1[[#This Row],[Country]],Table106109[Individual Classification],"&gt;0")</f>
        <v>0</v>
      </c>
      <c r="MY177" s="6">
        <f>COUNTIFS(Table106[Country],Tabela1[[#This Row],[Country]],Table106[Mass Start Classification],"&gt;0")</f>
        <v>0</v>
      </c>
      <c r="MZ177" s="6">
        <f>COUNTIFS(Table106109[Country],Tabela1[[#This Row],[Country]],Table106109[Mass Start Classification],"&gt;0")</f>
        <v>0</v>
      </c>
      <c r="NA177" s="6">
        <f>COUNTIFS(Table106[Country],Tabela1[[#This Row],[Country]],Table106[Pursuit Classification],"&gt;0")</f>
        <v>0</v>
      </c>
      <c r="NB177" s="6">
        <f>COUNTIFS(Table106109[Country],Tabela1[[#This Row],[Country]],Table106109[Pursuit Classification],"&gt;0")</f>
        <v>0</v>
      </c>
      <c r="NC177" s="6">
        <f>COUNTIFS(Table106[Country],Tabela1[[#This Row],[Country]],Table106[Sprint Classification],"&gt;0")</f>
        <v>0</v>
      </c>
      <c r="ND177" s="6">
        <f>COUNTIFS(Table106109[Country],Tabela1[[#This Row],[Country]],Table106109[Sprint Classification],"&gt;0")</f>
        <v>0</v>
      </c>
      <c r="NE177" s="6">
        <f>COUNTIFS(Table109[Country],Tabela1[[#This Row],[Country]],Table109[Men''s Relay Classification],"&gt;0")</f>
        <v>0</v>
      </c>
      <c r="NF177" s="6">
        <f>COUNTIFS(Table109[Country],Tabela1[[#This Row],[Country]],Table109[Women''s Relay Classification],"&gt;0")</f>
        <v>0</v>
      </c>
      <c r="NG177" s="6">
        <f>COUNTIFS(Table109[Country],Tabela1[[#This Row],[Country]],Table109[Mixed Relay Classification],"&gt;0")</f>
        <v>0</v>
      </c>
      <c r="NH177" s="6">
        <f>COUNTIFS(Table110[Country],Tabela1[[#This Row],[Country]],Table110[Monobob Classification],"&gt;0")</f>
        <v>0</v>
      </c>
      <c r="NI177" s="6">
        <f>COUNTIFS(Table111[Country],Tabela1[[#This Row],[Country]],Table111[Men''s Classification],"&gt;0")</f>
        <v>0</v>
      </c>
      <c r="NJ177" s="6">
        <f>COUNTIFS(Table111[Country],Tabela1[[#This Row],[Country]],Table111[Women''s Classification],"&gt;0")</f>
        <v>0</v>
      </c>
      <c r="NK177" s="6">
        <f>COUNTIFS(Table112[Country],Tabela1[[#This Row],[Country]],Table112[Men''s Four Classification],"&gt;0")</f>
        <v>0</v>
      </c>
      <c r="NL177" s="6">
        <f>COUNTIFS(Table113[Country],Tabela1[[#This Row],[Country]],Table113[Classical Classification],"&gt;0")</f>
        <v>0</v>
      </c>
      <c r="NM177" s="6">
        <f>COUNTIFS(Table113116[Country],Tabela1[[#This Row],[Country]],Table113116[Classical Classification],"&gt;0")</f>
        <v>0</v>
      </c>
      <c r="NN177" s="6">
        <f>COUNTIFS(Table113[Country],Tabela1[[#This Row],[Country]],Table113[Freestyle Classification],"&gt;0")</f>
        <v>0</v>
      </c>
      <c r="NO177" s="6">
        <f>COUNTIFS(Table113116[Country],Tabela1[[#This Row],[Country]],Table113116[Freestyle Classification],"&gt;0")</f>
        <v>0</v>
      </c>
      <c r="NP177" s="6">
        <f>COUNTIFS(Table117[Country],Tabela1[[#This Row],[Country]],Table117[Men''s Relay Classification],"&gt;0")</f>
        <v>0</v>
      </c>
      <c r="NQ177" s="6">
        <f>COUNTIFS(Table117[Country],Tabela1[[#This Row],[Country]],Table117[Women''s Relay Classification],"&gt;0")</f>
        <v>0</v>
      </c>
      <c r="NR177" s="6">
        <f>COUNTIFS(Table113[Country],Tabela1[[#This Row],[Country]],Table113[Skiathlon Classification],"&gt;0")</f>
        <v>0</v>
      </c>
      <c r="NS177" s="6">
        <f>COUNTIFS(Table113116[Country],Tabela1[[#This Row],[Country]],Table113116[Skiathlon Classification],"&gt;0")</f>
        <v>0</v>
      </c>
      <c r="NT177" s="6">
        <f>COUNTIFS(Table113[Country],Tabela1[[#This Row],[Country]],Table113[Sprint Classification],"&gt;0")</f>
        <v>0</v>
      </c>
      <c r="NU177" s="6">
        <f>COUNTIFS(Table113116[Country],Tabela1[[#This Row],[Country]],Table113116[Sprint Classification],"&gt;0")</f>
        <v>0</v>
      </c>
      <c r="NV177" s="6">
        <f>COUNTIFS(Table116[Country],Tabela1[[#This Row],[Country]],Table116[Men''s Team Sprint Classification],"&gt;0")</f>
        <v>0</v>
      </c>
      <c r="NW177" s="6">
        <f>COUNTIFS(Table116[Country],Tabela1[[#This Row],[Country]],Table116[Women''s Team Sprint Classification],"&gt;0")</f>
        <v>0</v>
      </c>
      <c r="NX177" s="6">
        <f>COUNTIFS(Table119[Country],Tabela1[[#This Row],[Country]],Table119[Men''s Classification],"&gt;0")</f>
        <v>0</v>
      </c>
      <c r="NY177" s="6">
        <f>COUNTIFS(Table119[Country],Tabela1[[#This Row],[Country]],Table119[Women''s Classification],"&gt;0")</f>
        <v>0</v>
      </c>
      <c r="NZ177" s="6">
        <f>COUNTIFS(Table118[Country],Tabela1[[#This Row],[Country]],Table118[Mixed Classification],"&gt;0")</f>
        <v>0</v>
      </c>
      <c r="OA177" s="6">
        <f>COUNTIFS(Table120[Country],Tabela1[[#This Row],[Country]],Table120[Classification],"&gt;0")</f>
        <v>0</v>
      </c>
      <c r="OB177" s="6">
        <f>COUNTIFS(Table120123[Country],Tabela1[[#This Row],[Country]],Table120123[Classification],"&gt;0")</f>
        <v>0</v>
      </c>
      <c r="OC177" s="6">
        <f>COUNTIFS(Table123[Country],Tabela1[[#This Row],[Country]],Table123[Ice Dance Classification],"&gt;0")</f>
        <v>0</v>
      </c>
      <c r="OD177" s="6">
        <f>COUNTIFS(Table123[Country],Tabela1[[#This Row],[Country]],Table123[Pair Skating Classification],"&gt;0")</f>
        <v>0</v>
      </c>
      <c r="OE177" s="6">
        <f>COUNTIFS(Table124[Country],Tabela1[[#This Row],[Country]],Table124[Mixed Classification],"&gt;0")</f>
        <v>0</v>
      </c>
      <c r="OF177" s="6">
        <f>COUNTIFS(Table125[Country],Tabela1[[#This Row],[Country]],Table125[Aerials Classification],"&gt;0")</f>
        <v>0</v>
      </c>
      <c r="OG177" s="6">
        <f>COUNTIFS(Table125128[Country],Tabela1[[#This Row],[Country]],Table125128[Aerials Classification],"&gt;0")</f>
        <v>0</v>
      </c>
      <c r="OH177" s="6">
        <f>COUNTIFS(Table128[Country],Tabela1[[#This Row],[Country]],Table128[Mixed Aerials Classification],"&gt;0")</f>
        <v>0</v>
      </c>
      <c r="OI177" s="6">
        <f>COUNTIFS(Table125[Country],Tabela1[[#This Row],[Country]],Table125[Big Air Classification],"&gt;0")</f>
        <v>0</v>
      </c>
      <c r="OJ177" s="6">
        <f>COUNTIFS(Table125128[Country],Tabela1[[#This Row],[Country]],Table125128[Big Air Classification],"&gt;0")</f>
        <v>0</v>
      </c>
      <c r="OK177" s="6">
        <f>COUNTIFS(Table125[Country],Tabela1[[#This Row],[Country]],Table125[Dual Moguls Classification],"&gt;0")</f>
        <v>0</v>
      </c>
      <c r="OL177" s="6">
        <f>COUNTIFS(Table125128[Country],Tabela1[[#This Row],[Country]],Table125128[Dual Moguls Classification],"&gt;0")</f>
        <v>0</v>
      </c>
      <c r="OM177" s="6">
        <f>COUNTIFS(Table125[Country],Tabela1[[#This Row],[Country]],Table125[Halfpipe Classification],"&gt;0")</f>
        <v>0</v>
      </c>
      <c r="ON177" s="6">
        <f>COUNTIFS(Table125128[Country],Tabela1[[#This Row],[Country]],Table125128[Halfpipe Classification],"&gt;0")</f>
        <v>0</v>
      </c>
      <c r="OO177" s="6">
        <f>COUNTIFS(Table125[Country],Tabela1[[#This Row],[Country]],Table125[Moguls Classification],"&gt;0")</f>
        <v>0</v>
      </c>
      <c r="OP177" s="6">
        <f>COUNTIFS(Table125128[Country],Tabela1[[#This Row],[Country]],Table125128[Moguls Classification],"&gt;0")</f>
        <v>0</v>
      </c>
      <c r="OQ177" s="6">
        <f>COUNTIFS(Table125[Country],Tabela1[[#This Row],[Country]],Table125[Ski Cross Classification],"&gt;0")</f>
        <v>0</v>
      </c>
      <c r="OR177" s="6">
        <f>COUNTIFS(Table125128[Country],Tabela1[[#This Row],[Country]],Table125128[Ski Cross Classification],"&gt;0")</f>
        <v>0</v>
      </c>
      <c r="OS177" s="6">
        <f>COUNTIFS(Table125[Country],Tabela1[[#This Row],[Country]],Table125[Slopestyle Classification],"&gt;0")</f>
        <v>0</v>
      </c>
      <c r="OT177" s="6">
        <f>COUNTIFS(Table125128[Country],Tabela1[[#This Row],[Country]],Table125128[Slopestyle Classification],"&gt;0")</f>
        <v>0</v>
      </c>
      <c r="OU177" s="6">
        <f>COUNTIFS(Table119131[Country],Tabela1[[#This Row],[Country]],Table119131[Men''s Classification],"&gt;0")</f>
        <v>0</v>
      </c>
      <c r="OV177" s="6">
        <f>COUNTIFS(Table119131[Country],Tabela1[[#This Row],[Country]],Table119131[Women''s Classification],"&gt;0")</f>
        <v>0</v>
      </c>
      <c r="OW177" s="6">
        <f>COUNTIFS(Table131[Country],Tabela1[[#This Row],[Country]],Table131[Classification],"&gt;0")</f>
        <v>0</v>
      </c>
      <c r="OX177" s="6">
        <f>COUNTIFS(Table131134[Country],Tabela1[[#This Row],[Country]],Table131134[Classification],"&gt;0")</f>
        <v>0</v>
      </c>
      <c r="OY177" s="6">
        <f>COUNTIFS(Table134[Country],Tabela1[[#This Row],[Country]],Table134[Men''s Classification],"&gt;0")</f>
        <v>0</v>
      </c>
      <c r="OZ177" s="6">
        <f>COUNTIFS(Table134[Country],Tabela1[[#This Row],[Country]],Table134[Women''s Classification],"&gt;0")</f>
        <v>0</v>
      </c>
      <c r="PA177" s="6">
        <f>COUNTIFS(Table135[Country],Tabela1[[#This Row],[Country]],Table135[Mixed Relay Classification],"&gt;0")</f>
        <v>0</v>
      </c>
      <c r="PB177" s="6">
        <f>COUNTIFS(Table136[Country],Tabela1[[#This Row],[Country]],Table136[Individual Classification],"&gt;0")</f>
        <v>0</v>
      </c>
      <c r="PC177" s="6">
        <f>COUNTIFS(Table136[Country],Tabela1[[#This Row],[Country]],Table136[Sprint Classification],"&gt;0")</f>
        <v>0</v>
      </c>
      <c r="PD177" s="6">
        <f>COUNTIFS(Table137[Country],Tabela1[[#This Row],[Country]],Table137[Men''s Team Sprint Large Hill Classification],"&gt;0")</f>
        <v>0</v>
      </c>
      <c r="PE177" s="6">
        <f>COUNTIFS(Table138[Country],Tabela1[[#This Row],[Country]],Table138[500m Classification],"&gt;0")</f>
        <v>0</v>
      </c>
      <c r="PF177" s="6">
        <f>COUNTIFS(Table138141[Country],Tabela1[[#This Row],[Country]],Table138141[500m Classification],"&gt;0")</f>
        <v>0</v>
      </c>
      <c r="PG177" s="6">
        <f>COUNTIFS(Table138[Country],Tabela1[[#This Row],[Country]],Table138[1000m Classification],"&gt;0")</f>
        <v>0</v>
      </c>
      <c r="PH177" s="6">
        <f>COUNTIFS(Table138141[Country],Tabela1[[#This Row],[Country]],Table138141[1000m Classification],"&gt;0")</f>
        <v>0</v>
      </c>
      <c r="PI177" s="6">
        <f>COUNTIFS(Table138[Country],Tabela1[[#This Row],[Country]],Table138[1500m Classification],"&gt;0")</f>
        <v>0</v>
      </c>
      <c r="PJ177" s="6">
        <f>COUNTIFS(Table138141[Country],Tabela1[[#This Row],[Country]],Table138141[1500m Classification],"&gt;0")</f>
        <v>0</v>
      </c>
      <c r="PK177" s="6">
        <f>COUNTIFS(Table141[Country],Tabela1[[#This Row],[Country]],Table141[Men''s 5000m Relay Classification],"&gt;0")</f>
        <v>0</v>
      </c>
      <c r="PL177" s="6">
        <f>COUNTIFS(Table141[Country],Tabela1[[#This Row],[Country]],Table141[Women''s 3000m Relay Classification],"&gt;0")</f>
        <v>0</v>
      </c>
      <c r="PM177" s="6">
        <f>COUNTIFS(Table141[Country],Tabela1[[#This Row],[Country]],Table141[Mixed 2000m Relay Classification],"&gt;0")</f>
        <v>0</v>
      </c>
      <c r="PN177" s="6">
        <f>COUNTIFS(Table142[Country],Tabela1[[#This Row],[Country]],Table142[Classification],"&gt;0")</f>
        <v>0</v>
      </c>
      <c r="PO177" s="6">
        <f>COUNTIFS(Table142145[Country],Tabela1[[#This Row],[Country]],Table142145[Classification],"&gt;0")</f>
        <v>0</v>
      </c>
      <c r="PP177" s="6">
        <f>COUNTIFS(Tabela15[Country],Tabela1[[#This Row],[Country]],Tabela15[Mixed Team Classification],"&gt;0")</f>
        <v>0</v>
      </c>
      <c r="PQ177" s="6">
        <f>COUNTIFS(Table145[Country],Tabela1[[#This Row],[Country]],Table145[Large Hill Classification],"&gt;0")</f>
        <v>0</v>
      </c>
      <c r="PR177" s="6">
        <f>COUNTIFS(Table145[Country],Tabela1[[#This Row],[Country]],Table145[Normal Hill Classification],"&gt;0")</f>
        <v>0</v>
      </c>
      <c r="PS177" s="6">
        <f>COUNTIFS(Table145148[Country],Tabela1[[#This Row],[Country]],Table145148[Large Hill Classification],"&gt;0")</f>
        <v>0</v>
      </c>
      <c r="PT177" s="6">
        <f>COUNTIFS(Table145148[Country],Tabela1[[#This Row],[Country]],Table145148[Normal Hill Classification],"&gt;0")</f>
        <v>0</v>
      </c>
      <c r="PU177" s="6">
        <f>COUNTIFS(Table148[Country],Tabela1[[#This Row],[Country]],Table148[Men''s Super Team Classification],"&gt;0")</f>
        <v>0</v>
      </c>
      <c r="PV177" s="6">
        <f>COUNTIFS(Tabela114[Country],Tabela1[[#This Row],[Country]],Tabela114[Mixed Normal Hill Classification],"&gt;0")</f>
        <v>0</v>
      </c>
      <c r="PW177" s="6">
        <f>COUNTIFS(Tabela50[Country],Tabela1[[#This Row],[Country]],Tabela50[Sprint Classification],"&gt;0")</f>
        <v>0</v>
      </c>
      <c r="PX177" s="6">
        <f>COUNTIFS(Tabela50101[Country],Tabela1[[#This Row],[Country]],Tabela50101[Sprint Classification],"&gt;0")</f>
        <v>0</v>
      </c>
      <c r="PY177" s="6">
        <f>COUNTIFS(Tabela103[Country],Tabela1[[#This Row],[Country]],Tabela103[Mixed Relay Classification],"&gt;0")</f>
        <v>0</v>
      </c>
      <c r="PZ177" s="6">
        <f>COUNTIFS(Table149[Country],Tabela1[[#This Row],[Country]],Table149[Big Air Classification],"&gt;0")</f>
        <v>0</v>
      </c>
      <c r="QA177" s="6">
        <f>COUNTIFS(Table149152[Country],Tabela1[[#This Row],[Country]],Table149152[Big Air Classification],"&gt;0")</f>
        <v>0</v>
      </c>
      <c r="QB177" s="6">
        <f>COUNTIFS(Table149[Country],Tabela1[[#This Row],[Country]],Table149[Halfpipe Classification],"&gt;0")</f>
        <v>0</v>
      </c>
      <c r="QC177" s="6">
        <f>COUNTIFS(Table149152[Country],Tabela1[[#This Row],[Country]],Table149152[Halfpipe Classification],"&gt;0")</f>
        <v>0</v>
      </c>
      <c r="QD177" s="6">
        <f>COUNTIFS(Table149[Country],Tabela1[[#This Row],[Country]],Table149[Parallel Giant Slalom Classification],"&gt;0")</f>
        <v>0</v>
      </c>
      <c r="QE177" s="6">
        <f>COUNTIFS(Table149152[Country],Tabela1[[#This Row],[Country]],Table149152[Parallel Giant Slalom Classification],"&gt;0")</f>
        <v>0</v>
      </c>
      <c r="QF177" s="6">
        <f>COUNTIFS(Table149[Country],Tabela1[[#This Row],[Country]],Table149[Slopestyle Classification],"&gt;0")</f>
        <v>0</v>
      </c>
      <c r="QG177" s="6">
        <f>COUNTIFS(Table149152[Country],Tabela1[[#This Row],[Country]],Table149152[Slopestyle Classification],"&gt;0")</f>
        <v>0</v>
      </c>
      <c r="QH177" s="6">
        <f>COUNTIFS(Table149[Country],Tabela1[[#This Row],[Country]],Table149[Snowboard Cross Classification],"&gt;0")</f>
        <v>0</v>
      </c>
      <c r="QI177" s="6">
        <f>COUNTIFS(Table149152[Country],Tabela1[[#This Row],[Country]],Table149152[Snowboard Cross Classification],"&gt;0")</f>
        <v>0</v>
      </c>
      <c r="QJ177" s="6">
        <f>COUNTIFS(Table153[Country],Tabela1[[#This Row],[Country]],Table153[Mixed Team Snowboard Cross Classification],"&gt;0")</f>
        <v>0</v>
      </c>
      <c r="QK177" s="6">
        <f>COUNTIFS(Table154[Country],Tabela1[[#This Row],[Country]],Table154[500m Classification],"&gt;0")</f>
        <v>0</v>
      </c>
      <c r="QL177" s="6">
        <f>COUNTIFS(Table154157[Country],Tabela1[[#This Row],[Country]],Table154157[500m Classification],"&gt;0")</f>
        <v>0</v>
      </c>
      <c r="QM177" s="6">
        <f>COUNTIFS(Table154[Country],Tabela1[[#This Row],[Country]],Table154[1000m Classification],"&gt;0")</f>
        <v>0</v>
      </c>
      <c r="QN177" s="6">
        <f>COUNTIFS(Table154157[Country],Tabela1[[#This Row],[Country]],Table154157[1000m Classification],"&gt;0")</f>
        <v>0</v>
      </c>
      <c r="QO177" s="6">
        <f>COUNTIFS(Table154[Country],Tabela1[[#This Row],[Country]],Table154[1500m Classification],"&gt;0")</f>
        <v>0</v>
      </c>
      <c r="QP177" s="6">
        <f>COUNTIFS(Table154157[Country],Tabela1[[#This Row],[Country]],Table154157[1500m Classification],"&gt;0")</f>
        <v>0</v>
      </c>
      <c r="QQ177" s="6">
        <f>COUNTIFS(Table154157[Country],Tabela1[[#This Row],[Country]],Table154157[3000m Classification],"&gt;0")</f>
        <v>0</v>
      </c>
      <c r="QR177" s="6">
        <f>COUNTIFS(Table154[Country],Tabela1[[#This Row],[Country]],Table154[5000m Classification],"&gt;0")</f>
        <v>0</v>
      </c>
      <c r="QS177" s="6">
        <f>COUNTIFS(Table154157[Country],Tabela1[[#This Row],[Country]],Table154157[5000m Classification],"&gt;0")</f>
        <v>0</v>
      </c>
      <c r="QT177" s="6">
        <f>COUNTIFS(Table154[Country],Tabela1[[#This Row],[Country]],Table154[10000m Classification],"&gt;0")</f>
        <v>0</v>
      </c>
      <c r="QU177" s="6">
        <f>COUNTIFS(Table154[Country],Tabela1[[#This Row],[Country]],Table154[Mass Start Classification],"&gt;0")</f>
        <v>0</v>
      </c>
      <c r="QV177" s="6">
        <f>COUNTIFS(Table154157[Country],Tabela1[[#This Row],[Country]],Table154157[Mass Start Classification],"&gt;0")</f>
        <v>0</v>
      </c>
      <c r="QW177" s="6">
        <f>COUNTIFS(Table157[Country],Tabela1[[#This Row],[Country]],Table157[Men''s Pursuit Classification],"&gt;0")</f>
        <v>0</v>
      </c>
      <c r="QX177" s="6">
        <f>COUNTIFS(Table157[Country],Tabela1[[#This Row],[Country]],Table157[Women''s Pursuit Classification],"&gt;0")</f>
        <v>0</v>
      </c>
      <c r="QY177" s="3" t="s">
        <v>575</v>
      </c>
    </row>
    <row r="178" spans="1:467" x14ac:dyDescent="0.3">
      <c r="A178" s="6">
        <v>177</v>
      </c>
      <c r="B178" s="6" t="s">
        <v>416</v>
      </c>
      <c r="C178" t="e" vm="177">
        <f>IF(ISBLANK(Tabela1[[#This Row],[Image Link]]), "", _xlfn.IMAGE(Tabela1[[#This Row],[Image Link]],1,1))</f>
        <v>#VALUE!</v>
      </c>
      <c r="D178" s="6">
        <f>SUM(Tabela1[[#This Row],[Archery - Men''s Individual Recurve]:[Speed Skating - Women''s Team Pursuit]])</f>
        <v>0</v>
      </c>
      <c r="E178" s="6">
        <f>COUNTIF(Tabela1[[#This Row],[Archery - Men''s Individual Recurve]:[Speed Skating - Women''s Team Pursuit]],"&gt;0")</f>
        <v>0</v>
      </c>
      <c r="F178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78" s="6">
        <f>SUM(Tabela1[[#This Row],[Archery - Men''s Individual Recurve]:[Wrestling - Women''s Freestyle 76kg]])</f>
        <v>0</v>
      </c>
      <c r="H178" s="6">
        <f>SUM(Tabela1[[#This Row],[Alpine Skiing - Men''s Downhill]:[Speed Skating - Women''s Team Pursuit]])</f>
        <v>0</v>
      </c>
      <c r="I178" s="6">
        <f>Tabela1[[#This Row],[Summer Gold Medals]]+Tabela1[[#This Row],[Winter Gold Medals]]</f>
        <v>0</v>
      </c>
      <c r="J178" s="6">
        <f>Tabela1[[#This Row],[Summer Silver Medals]]+Tabela1[[#This Row],[Winter Silver Medals]]</f>
        <v>0</v>
      </c>
      <c r="K178" s="6">
        <f>Tabela1[[#This Row],[Summer Bronze Medals]]+Tabela1[[#This Row],[Winter Bronze Medals]]</f>
        <v>0</v>
      </c>
      <c r="L178" s="6">
        <f>SUM(Tabela1[[#This Row],[Total Gold Medals]:[Total Bronze Medals]])</f>
        <v>0</v>
      </c>
      <c r="M178" s="6"/>
      <c r="N178" s="6"/>
      <c r="O178" s="6"/>
      <c r="P178" s="6">
        <f>SUM(Tabela1[[#This Row],[Summer Gold Medals]:[Summer Bronze Medals]])</f>
        <v>0</v>
      </c>
      <c r="Q178" s="6"/>
      <c r="R178" s="6"/>
      <c r="S178" s="6"/>
      <c r="T178" s="6">
        <f>Tabela1[[#This Row],[Winter Gold Medals]]+Tabela1[[#This Row],[Winter Silver Medals]]+Tabela1[[#This Row],[Winter Bronze Medals]]</f>
        <v>0</v>
      </c>
      <c r="U178" s="7" t="e">
        <f>Tabela1[[#This Row],[Total Medals]]/Tabela1[[#This Row],[Total Quotas]]</f>
        <v>#DIV/0!</v>
      </c>
      <c r="V178" s="6">
        <f>COUNTIFS(Table3[Country],Tabela1[[#This Row],[Country]],Table3[Recurve Classification],"&gt;0")</f>
        <v>0</v>
      </c>
      <c r="W178" s="6">
        <f>COUNTIFS(Table33[Country],Tabela1[[#This Row],[Country]],Table33[Recurve Classification],"&gt;0")</f>
        <v>0</v>
      </c>
      <c r="X178" s="6">
        <f>COUNTIFS(Table35[Country],Tabela1[[#This Row],[Country]],Table35[Men''s Team Recurve Classification],"&gt;0")</f>
        <v>0</v>
      </c>
      <c r="Y178" s="6">
        <f>COUNTIFS(Table35[Country],Tabela1[[#This Row],[Country]],Table35[Women''s Team Recurve Classification],"&gt;0")</f>
        <v>0</v>
      </c>
      <c r="Z178" s="6">
        <f>COUNTIFS(Tabela88[Country],Tabela1[[#This Row],[Country]],Tabela88[Mixed Team Recurve Classification],"&gt;0")</f>
        <v>0</v>
      </c>
      <c r="AA178" s="6">
        <f>COUNTIFS(Table36[Country],Tabela1[[#This Row],[Country]],Table36[Classification],"&gt;0")</f>
        <v>0</v>
      </c>
      <c r="AB178" s="6">
        <f>COUNTIFS(Table37[Country],Tabela1[[#This Row],[Country]],Table37[Classification],"&gt;0")</f>
        <v>0</v>
      </c>
      <c r="AC178" s="6">
        <f>COUNTIFS(Table4[Country],Tabela1[[#This Row],[Country]],Table4[100m Classification],"&gt;0")</f>
        <v>0</v>
      </c>
      <c r="AD178" s="6">
        <f>COUNTIFS(Table5[Country],Tabela1[[#This Row],[Country]],Table5[100m Classification],"&gt;0")</f>
        <v>0</v>
      </c>
      <c r="AE178" s="6">
        <f>COUNTIFS(Table4[Country],Tabela1[[#This Row],[Country]],Table4[200m Classification],"&gt;0")</f>
        <v>0</v>
      </c>
      <c r="AF178" s="6">
        <f>COUNTIFS(Table5[Country],Tabela1[[#This Row],[Country]],Table5[200m Classification],"&gt;0")</f>
        <v>0</v>
      </c>
      <c r="AG178" s="6">
        <f>COUNTIFS(Table4[Country],Tabela1[[#This Row],[Country]],Table4[400m Classification],"&gt;0")</f>
        <v>0</v>
      </c>
      <c r="AH178" s="6">
        <f>COUNTIFS(Table5[Country],Tabela1[[#This Row],[Country]],Table5[400m Classification],"&gt;0")</f>
        <v>0</v>
      </c>
      <c r="AI178" s="6">
        <f>COUNTIFS(Table4[Country],Tabela1[[#This Row],[Country]],Table4[800m Classification],"&gt;0")</f>
        <v>0</v>
      </c>
      <c r="AJ178" s="6">
        <f>COUNTIFS(Table5[Country],Tabela1[[#This Row],[Country]],Table5[800m Classification],"&gt;0")</f>
        <v>0</v>
      </c>
      <c r="AK178" s="6">
        <f>COUNTIFS(Table4[Country],Tabela1[[#This Row],[Country]],Table4[1500m Classification],"&gt;0")</f>
        <v>0</v>
      </c>
      <c r="AL178" s="6">
        <f>COUNTIFS(Table5[Country],Tabela1[[#This Row],[Country]],Table5[1500m Classification],"&gt;0")</f>
        <v>0</v>
      </c>
      <c r="AM178" s="6">
        <f>COUNTIFS(Table4[Country],Tabela1[[#This Row],[Country]],Table4[5000m Classification],"&gt;0")</f>
        <v>0</v>
      </c>
      <c r="AN178" s="6">
        <f>COUNTIFS(Table5[Country],Tabela1[[#This Row],[Country]],Table5[5000m Classification],"&gt;0")</f>
        <v>0</v>
      </c>
      <c r="AO178" s="6">
        <f>COUNTIFS(Table4[Country],Tabela1[[#This Row],[Country]],Table4[10000m Classification],"&gt;0")</f>
        <v>0</v>
      </c>
      <c r="AP178" s="6">
        <f>COUNTIFS(Table5[Country],Tabela1[[#This Row],[Country]],Table5[10000m Classification],"&gt;0")</f>
        <v>0</v>
      </c>
      <c r="AQ178" s="6">
        <f>COUNTIFS(Table4[Country],Tabela1[[#This Row],[Country]],Table4[110m Hurdles Classification],"&gt;0")</f>
        <v>0</v>
      </c>
      <c r="AR178" s="6">
        <f>COUNTIFS(Table5[Country],Tabela1[[#This Row],[Country]],Table5[100m Hurdles Classification],"&gt;0")</f>
        <v>0</v>
      </c>
      <c r="AS178" s="6">
        <f>COUNTIFS(Table4[Country],Tabela1[[#This Row],[Country]],Table4[400m Hurdles Classification],"&gt;0")</f>
        <v>0</v>
      </c>
      <c r="AT178" s="6">
        <f>COUNTIFS(Table5[Country],Tabela1[[#This Row],[Country]],Table5[400m Hurdles Classification],"&gt;0")</f>
        <v>0</v>
      </c>
      <c r="AU178" s="6">
        <f>COUNTIFS(Table4[Country],Tabela1[[#This Row],[Country]],Table4[3000m Steeplechase Classification],"&gt;0")</f>
        <v>0</v>
      </c>
      <c r="AV178" s="6">
        <f>COUNTIFS(Table5[Country],Tabela1[[#This Row],[Country]],Table5[3000m Steeplechase Classification],"&gt;0")</f>
        <v>0</v>
      </c>
      <c r="AW178" s="6">
        <f>COUNTIFS(Table27[Country],Tabela1[[#This Row],[Country]],Table27[Men''s 4x100m Relay Classification],"&gt;0")</f>
        <v>0</v>
      </c>
      <c r="AX178" s="6">
        <f>COUNTIFS(Table27[Country],Tabela1[[#This Row],[Country]],Table27[Women''s 4x100m Relay Classification],"&gt;0")</f>
        <v>0</v>
      </c>
      <c r="AY178" s="6">
        <f>COUNTIFS(Table27[Country],Tabela1[[#This Row],[Country]],Table27[Men''s 4x400m Relay Classification],"&gt;0")</f>
        <v>0</v>
      </c>
      <c r="AZ178" s="6">
        <f>COUNTIFS(Table27[Country],Tabela1[[#This Row],[Country]],Table27[Women''s 4x400m Relay Classification],"&gt;0")</f>
        <v>0</v>
      </c>
      <c r="BA178" s="6">
        <f>COUNTIFS(Table27[Country],Tabela1[[#This Row],[Country]],Table27[Mixed 4x400m Relay Classification],"&gt;0")</f>
        <v>0</v>
      </c>
      <c r="BB178" s="6">
        <f>COUNTIFS(Table4[Country],Tabela1[[#This Row],[Country]],Table4[Marathon Classification],"&gt;0")</f>
        <v>0</v>
      </c>
      <c r="BC178" s="6">
        <f>COUNTIFS(Table5[Country],Tabela1[[#This Row],[Country]],Table5[Marathon Classification],"&gt;0")</f>
        <v>0</v>
      </c>
      <c r="BD178" s="6">
        <f>COUNTIFS(Table4[Country],Tabela1[[#This Row],[Country]],Table4[20km Race Walk Classification],"&gt;0")</f>
        <v>0</v>
      </c>
      <c r="BE178" s="6">
        <f>COUNTIFS(Table5[Country],Tabela1[[#This Row],[Country]],Table5[20km Race Walk Classification],"&gt;0")</f>
        <v>0</v>
      </c>
      <c r="BF178" s="6">
        <f>COUNTIFS(Tabela96[Country],Tabela1[[#This Row],[Country]],Tabela96[Mixed Marathon Race Walk Relay Classification],"&gt;0")</f>
        <v>0</v>
      </c>
      <c r="BG178" s="6">
        <f>COUNTIFS(Table4[Country],Tabela1[[#This Row],[Country]],Table4[Discus Throw Classification],"&gt;0")</f>
        <v>0</v>
      </c>
      <c r="BH178" s="6">
        <f>COUNTIFS(Table5[Country],Tabela1[[#This Row],[Country]],Table5[Discus Throw Classification],"&gt;0")</f>
        <v>0</v>
      </c>
      <c r="BI178" s="6">
        <f>COUNTIFS(Table4[Country],Tabela1[[#This Row],[Country]],Table4[Hammer Throw Classification],"&gt;0")</f>
        <v>0</v>
      </c>
      <c r="BJ178" s="6">
        <f>COUNTIFS(Table5[Country],Tabela1[[#This Row],[Country]],Table5[Hammer Throw Classification],"&gt;0")</f>
        <v>0</v>
      </c>
      <c r="BK178" s="6">
        <f>COUNTIFS(Table4[Country],Tabela1[[#This Row],[Country]],Table4[High Jump Classification],"&gt;0")</f>
        <v>0</v>
      </c>
      <c r="BL178" s="6">
        <f>COUNTIFS(Table5[Country],Tabela1[[#This Row],[Country]],Table5[High Jump Classification],"&gt;0")</f>
        <v>0</v>
      </c>
      <c r="BM178" s="6">
        <f>COUNTIFS(Table4[Country],Tabela1[[#This Row],[Country]],Table4[Javelin Throw Classification],"&gt;0")</f>
        <v>0</v>
      </c>
      <c r="BN178" s="6">
        <f>COUNTIFS(Table5[Country],Tabela1[[#This Row],[Country]],Table5[Javelin Throw Classification],"&gt;0")</f>
        <v>0</v>
      </c>
      <c r="BO178" s="6">
        <f>COUNTIFS(Table4[Country],Tabela1[[#This Row],[Country]],Table4[Long Jump Classification],"&gt;0")</f>
        <v>0</v>
      </c>
      <c r="BP178" s="6">
        <f>COUNTIFS(Table5[Country],Tabela1[[#This Row],[Country]],Table5[Long Jump Classification],"&gt;0")</f>
        <v>0</v>
      </c>
      <c r="BQ178" s="6">
        <f>COUNTIFS(Table4[Country],Tabela1[[#This Row],[Country]],Table4[Pole Vault Classification],"&gt;0")</f>
        <v>0</v>
      </c>
      <c r="BR178" s="6">
        <f>COUNTIFS(Table5[Country],Tabela1[[#This Row],[Country]],Table5[Pole Vault Classification],"&gt;0")</f>
        <v>0</v>
      </c>
      <c r="BS178" s="6">
        <f>COUNTIFS(Table4[Country],Tabela1[[#This Row],[Country]],Table4[Shot Put Classification],"&gt;0")</f>
        <v>0</v>
      </c>
      <c r="BT178" s="6">
        <f>COUNTIFS(Table5[Country],Tabela1[[#This Row],[Country]],Table5[Shot Put Classification],"&gt;0")</f>
        <v>0</v>
      </c>
      <c r="BU178" s="6">
        <f>COUNTIFS(Table4[Country],Tabela1[[#This Row],[Country]],Table4[Triple Jump Classification],"&gt;0")</f>
        <v>0</v>
      </c>
      <c r="BV178" s="6">
        <f>COUNTIFS(Table5[Country],Tabela1[[#This Row],[Country]],Table5[Triple Jump Classification],"&gt;0")</f>
        <v>0</v>
      </c>
      <c r="BW178" s="6">
        <f>COUNTIFS(Table4[Country],Tabela1[[#This Row],[Country]],Table4[Decathlon Classification],"&gt;0")</f>
        <v>0</v>
      </c>
      <c r="BX178" s="6">
        <f>COUNTIFS(Table5[Country],Tabela1[[#This Row],[Country]],Table5[Heptathlon Classification],"&gt;0")</f>
        <v>0</v>
      </c>
      <c r="BY178" s="6">
        <f>COUNTIFS(Table61[Country],Tabela1[[#This Row],[Country]],Table61[Classification],"&gt;0")</f>
        <v>0</v>
      </c>
      <c r="BZ178" s="6">
        <f>COUNTIFS(Table38[Country],Tabela1[[#This Row],[Country]],Table38[Classification],"&gt;0")</f>
        <v>0</v>
      </c>
      <c r="CA178" s="6">
        <f>COUNTIFS(Table39[Country],Tabela1[[#This Row],[Country]],Table39[Men''s Classification],"&gt;0")</f>
        <v>0</v>
      </c>
      <c r="CB178" s="6">
        <f>COUNTIFS(Table39[Country],Tabela1[[#This Row],[Country]],Table39[Women''s Classification],"&gt;0")</f>
        <v>0</v>
      </c>
      <c r="CC178" s="6">
        <f>COUNTIFS(Table39[Country],Tabela1[[#This Row],[Country]],Table39[Mixed Classification],"&gt;0")</f>
        <v>0</v>
      </c>
      <c r="CD178" s="6">
        <f>COUNTIFS(Table89[Country],Tabela1[[#This Row],[Country]],Table89[Men''s Classification],"&gt;0")</f>
        <v>0</v>
      </c>
      <c r="CE178" s="6">
        <f>COUNTIFS(Table89[Country],Tabela1[[#This Row],[Country]],Table89[Women''s Classification],"&gt;0")</f>
        <v>0</v>
      </c>
      <c r="CF178" s="6">
        <f>COUNTIFS(Table90[Country],Tabela1[[#This Row],[Country]],Table90[Men''s Classification],"&gt;0")</f>
        <v>0</v>
      </c>
      <c r="CG178" s="6">
        <f>COUNTIFS(Table90[Country],Tabela1[[#This Row],[Country]],Table90[Women''s Classification],"&gt;0")</f>
        <v>0</v>
      </c>
      <c r="CH178" s="6">
        <f>COUNTIFS(Table60[Country],Tabela1[[#This Row],[Country]],Table60[Men''s Classification],"&gt;0")</f>
        <v>0</v>
      </c>
      <c r="CI178" s="6">
        <f>COUNTIFS(Table60[Country],Tabela1[[#This Row],[Country]],Table60[Women''s Classification],"&gt;0")</f>
        <v>0</v>
      </c>
      <c r="CJ178" s="6">
        <f>COUNTIFS(Table6[Country],Tabela1[[#This Row],[Country]],Table6[51kg Classification],"&gt;0")</f>
        <v>0</v>
      </c>
      <c r="CK178" s="6">
        <f>COUNTIFS(Table6[Country],Tabela1[[#This Row],[Country]],Table6[57kg Classification],"&gt;0")</f>
        <v>0</v>
      </c>
      <c r="CL178" s="6">
        <f>COUNTIFS(Table6[Country],Tabela1[[#This Row],[Country]],Table6[63.5kg Classification],"&gt;0")</f>
        <v>0</v>
      </c>
      <c r="CM178" s="6">
        <f>COUNTIFS(Table6[Country],Tabela1[[#This Row],[Country]],Table6[71kg Classification],"&gt;0")</f>
        <v>0</v>
      </c>
      <c r="CN178" s="6">
        <f>COUNTIFS(Table6[Country],Tabela1[[#This Row],[Country]],Table6[80kg Classification],"&gt;0")</f>
        <v>0</v>
      </c>
      <c r="CO178" s="6">
        <f>COUNTIFS(Table6[Country],Tabela1[[#This Row],[Country]],Table6[92kg Classification],"&gt;0")</f>
        <v>0</v>
      </c>
      <c r="CP178" s="6">
        <f>COUNTIFS(Table6[Country],Tabela1[[#This Row],[Country]],Table6[Plus 92kg Classification],"&gt;0")</f>
        <v>0</v>
      </c>
      <c r="CQ178" s="6">
        <f>COUNTIFS(Table7[Country],Tabela1[[#This Row],[Country]],Table7[50kg Classification],"&gt;0")</f>
        <v>0</v>
      </c>
      <c r="CR178" s="6">
        <f>COUNTIFS(Table7[Country],Tabela1[[#This Row],[Country]],Table7[54kg Classification],"&gt;0")</f>
        <v>0</v>
      </c>
      <c r="CS178" s="6">
        <f>COUNTIFS(Table7[Country],Tabela1[[#This Row],[Country]],Table7[57kg Classification],"&gt;0")</f>
        <v>0</v>
      </c>
      <c r="CT178" s="6">
        <f>COUNTIFS(Table7[Country],Tabela1[[#This Row],[Country]],Table7[60kg Classification],"&gt;0")</f>
        <v>0</v>
      </c>
      <c r="CU178" s="6">
        <f>COUNTIFS(Table7[Country],Tabela1[[#This Row],[Country]],Table7[66kg Classification],"&gt;0")</f>
        <v>0</v>
      </c>
      <c r="CV178" s="6">
        <f>COUNTIFS(Table7[Country],Tabela1[[#This Row],[Country]],Table7[75kg Classification],"&gt;0")</f>
        <v>0</v>
      </c>
      <c r="CW178" s="6">
        <f>COUNTIFS(Tabela94[Country],Tabela1[[#This Row],[Country]],Tabela94[Classification],"&gt;0")</f>
        <v>0</v>
      </c>
      <c r="CX178" s="6">
        <f>COUNTIFS(Tabela9499[Country],Tabela1[[#This Row],[Country]],Tabela9499[Classification],"&gt;0")</f>
        <v>0</v>
      </c>
      <c r="CY178" s="6">
        <f>COUNTIFS(Tabela107[Country],Tabela1[[#This Row],[Country]],Tabela107[C1 Slalom Classification],"&gt;0")</f>
        <v>0</v>
      </c>
      <c r="CZ178" s="6">
        <f>COUNTIFS(Tabela107122[Country],Tabela1[[#This Row],[Country]],Tabela107122[C1 Slalom Classification],"&gt;0")</f>
        <v>0</v>
      </c>
      <c r="DA178" s="6">
        <f>COUNTIFS(Tabela107[Country],Tabela1[[#This Row],[Country]],Tabela107[K1 Slalom Classification],"&gt;0")</f>
        <v>0</v>
      </c>
      <c r="DB178" s="6">
        <f>COUNTIFS(Tabela107122[Country],Tabela1[[#This Row],[Country]],Tabela107122[K1 Slalom Classification],"&gt;0")</f>
        <v>0</v>
      </c>
      <c r="DC178" s="6">
        <f>COUNTIFS(Tabela107[Country],Tabela1[[#This Row],[Country]],Tabela107[Kayak Cross Slalom Classification],"&gt;0")</f>
        <v>0</v>
      </c>
      <c r="DD178" s="6">
        <f>COUNTIFS(Tabela107122[Country],Tabela1[[#This Row],[Country]],Tabela107122[Kayak Cross Slalom Classification],"&gt;0")</f>
        <v>0</v>
      </c>
      <c r="DE178" s="6">
        <f>COUNTIFS(Table8[Country],Tabela1[[#This Row],[Country]],Table8[C1 200m Classification],"&gt;0")</f>
        <v>0</v>
      </c>
      <c r="DF178" s="6">
        <f>COUNTIFS(Table40[Country],Tabela1[[#This Row],[Country]],Table40[C1 1000m Classification],"&gt;0")</f>
        <v>0</v>
      </c>
      <c r="DG178" s="6">
        <f>COUNTIFS(Table68[Country],Tabela1[[#This Row],[Country]],Table68[Men''s C2 500m Classification],"&gt;0")</f>
        <v>0</v>
      </c>
      <c r="DH178" s="6">
        <f>COUNTIFS(Table68[Country],Tabela1[[#This Row],[Country]],Table68[Women''s C2 500m Classification],"&gt;0")</f>
        <v>0</v>
      </c>
      <c r="DI178" s="6">
        <f>COUNTIFS(Table8[Country],Tabela1[[#This Row],[Country]],Table8[K1 500m Classification],"&gt;0")</f>
        <v>0</v>
      </c>
      <c r="DJ178" s="6">
        <f>COUNTIFS(Table40[Country],Tabela1[[#This Row],[Country]],Table40[K1 1000m Classification],"&gt;0")</f>
        <v>0</v>
      </c>
      <c r="DK178" s="6">
        <f>COUNTIFS(Table68[Country],Tabela1[[#This Row],[Country]],Table68[Men''s K2 500m Classification],"&gt;0")</f>
        <v>0</v>
      </c>
      <c r="DL178" s="6">
        <f>COUNTIFS(Table68[Country],Tabela1[[#This Row],[Country]],Table68[Women''s K2 500m Classification],"&gt;0")</f>
        <v>0</v>
      </c>
      <c r="DM178" s="6">
        <f>COUNTIFS(Table83[Country],Tabela1[[#This Row],[Country]],Table83[Men''s K4 500m Classification],"&gt;0")</f>
        <v>0</v>
      </c>
      <c r="DN178" s="6">
        <f>COUNTIFS(Table83[Country],Tabela1[[#This Row],[Country]],Table83[Women''s K4 500m Classification],"&gt;0")</f>
        <v>0</v>
      </c>
      <c r="DO178" s="6">
        <f>COUNTIFS(Tabela126[Country],Tabela1[[#This Row],[Country]],Tabela126[Classification],"&gt;0")</f>
        <v>0</v>
      </c>
      <c r="DP178" s="6">
        <f>COUNTIFS(Tabela126130[Country],Tabela1[[#This Row],[Country]],Tabela126130[Classification],"&gt;0")</f>
        <v>0</v>
      </c>
      <c r="DQ178" s="6">
        <f>COUNTIFS(Table70[Country],Tabela1[[#This Row],[Country]],Table70[Classification],"&gt;0")</f>
        <v>0</v>
      </c>
      <c r="DR178" s="6">
        <f>COUNTIFS(Table80[Country],Tabela1[[#This Row],[Country]],Table80[Classification],"&gt;0")</f>
        <v>0</v>
      </c>
      <c r="DS178" s="6">
        <f>COUNTIFS(Table66[Country],Tabela1[[#This Row],[Country]],Table66[Classification],"&gt;0")</f>
        <v>0</v>
      </c>
      <c r="DT178" s="6">
        <f>COUNTIFS(Table67[Country],Tabela1[[#This Row],[Country]],Table67[Classification],"&gt;0")</f>
        <v>0</v>
      </c>
      <c r="DU178" s="6">
        <f>COUNTIFS(Table69[Country],Tabela1[[#This Row],[Country]],Table69[Keirin Classification],"&gt;0")</f>
        <v>0</v>
      </c>
      <c r="DV178" s="6">
        <f>COUNTIFS(Table41[Country],Tabela1[[#This Row],[Country]],Table41[Keirin Classification],"&gt;0")</f>
        <v>0</v>
      </c>
      <c r="DW178" s="6">
        <f>COUNTIFS(Table84[Country],Tabela1[[#This Row],[Country]],Table84[Men''s Madison Classification],"&gt;0")</f>
        <v>0</v>
      </c>
      <c r="DX178" s="6">
        <f>COUNTIFS(Table84[Country],Tabela1[[#This Row],[Country]],Table84[Women''s Madison Classification],"&gt;0")</f>
        <v>0</v>
      </c>
      <c r="DY178" s="6">
        <f>COUNTIFS(Table69[Country],Tabela1[[#This Row],[Country]],Table69[Omnium Classification],"&gt;0")</f>
        <v>0</v>
      </c>
      <c r="DZ178" s="6">
        <f>COUNTIFS(Table41[Country],Tabela1[[#This Row],[Country]],Table41[Omnium Classification],"&gt;0")</f>
        <v>0</v>
      </c>
      <c r="EA178" s="6">
        <f>COUNTIFS(Table9[Country],Tabela1[[#This Row],[Country]],Table9[Road Race Classification],"&gt;0")</f>
        <v>0</v>
      </c>
      <c r="EB178" s="6">
        <f>COUNTIFS(Table14[Country],Tabela1[[#This Row],[Country]],Table14[Road Race Classification],"&gt;0")</f>
        <v>0</v>
      </c>
      <c r="EC178" s="6">
        <f>COUNTIFS(Table69[Country],Tabela1[[#This Row],[Country]],Table69[Sprint Classification],"&gt;0")</f>
        <v>0</v>
      </c>
      <c r="ED178" s="6">
        <f>COUNTIFS(Table41[Country],Tabela1[[#This Row],[Country]],Table41[Sprint Classification],"&gt;0")</f>
        <v>0</v>
      </c>
      <c r="EE178" s="6">
        <f>COUNTIFS(Table85[Country],Tabela1[[#This Row],[Country]],Table85[Men''s Sprint Classification],"&gt;0")</f>
        <v>0</v>
      </c>
      <c r="EF178" s="6">
        <f>COUNTIFS(Table85[Country],Tabela1[[#This Row],[Country]],Table85[Women''s Sprint Classification],"&gt;0")</f>
        <v>0</v>
      </c>
      <c r="EG178" s="6">
        <f>COUNTIFS(Table85[Country],Tabela1[[#This Row],[Country]],Table85[Men''s Pursuit Classification],"&gt;0")</f>
        <v>0</v>
      </c>
      <c r="EH178" s="6">
        <f>COUNTIFS(Table85[Country],Tabela1[[#This Row],[Country]],Table85[Women''s Pursuit Classification],"&gt;0")</f>
        <v>0</v>
      </c>
      <c r="EI178" s="6">
        <f>COUNTIFS(Table9[Country],Tabela1[[#This Row],[Country]],Table9[Time-Trial Classification],"&gt;0")</f>
        <v>0</v>
      </c>
      <c r="EJ178" s="6">
        <f>COUNTIFS(Table14[Country],Tabela1[[#This Row],[Country]],Table14[Time-Trial Classification],"&gt;0")</f>
        <v>0</v>
      </c>
      <c r="EK178" s="6">
        <f>COUNTIFS(Table42[Country],Tabela1[[#This Row],[Country]],Table42[Springboard Classification],"&gt;0")</f>
        <v>0</v>
      </c>
      <c r="EL178" s="6">
        <f>COUNTIFS(Table43[Country],Tabela1[[#This Row],[Country]],Table43[Springboard Classification],"&gt;0")</f>
        <v>0</v>
      </c>
      <c r="EM178" s="6">
        <f>COUNTIFS(Table42[Country],Tabela1[[#This Row],[Country]],Table42[Platform Classification],"&gt;0")</f>
        <v>0</v>
      </c>
      <c r="EN178" s="6">
        <f>COUNTIFS(Table43[Country],Tabela1[[#This Row],[Country]],Table43[Platform Classification],"&gt;0")</f>
        <v>0</v>
      </c>
      <c r="EO178" s="6">
        <f>COUNTIFS(Table86[Country],Tabela1[[#This Row],[Country]],Table86[Men''s Synchronized Springboard Classification],"&gt;0")</f>
        <v>0</v>
      </c>
      <c r="EP178" s="6">
        <f>COUNTIFS(Table86[Country],Tabela1[[#This Row],[Country]],Table86[Women''s Synchronized Springboard Classification],"&gt;0")</f>
        <v>0</v>
      </c>
      <c r="EQ178" s="6">
        <f>COUNTIFS(Table86[Country],Tabela1[[#This Row],[Country]],Table86[Men''s Synchronized Platform Classification],"&gt;0")</f>
        <v>0</v>
      </c>
      <c r="ER178" s="6">
        <f>COUNTIFS(Table86[Country],Tabela1[[#This Row],[Country]],Table86[Women''s Synchronized Platform Classification],"&gt;0")</f>
        <v>0</v>
      </c>
      <c r="ES178" s="6">
        <f>COUNTIFS(Table44[Country],Tabela1[[#This Row],[Country]],Table44[Dressage Classification],"&gt;0")</f>
        <v>0</v>
      </c>
      <c r="ET178" s="6">
        <f>COUNTIFS(Table45[Country],Tabela1[[#This Row],[Country]],Table45[Dressage Classification],"&gt;0")</f>
        <v>0</v>
      </c>
      <c r="EU178" s="6">
        <f>COUNTIFS(Table44[Country],Tabela1[[#This Row],[Country]],Table44[Eventing Classification],"&gt;0")</f>
        <v>0</v>
      </c>
      <c r="EV178" s="6">
        <f>COUNTIFS(Table45[Country],Tabela1[[#This Row],[Country]],Table45[Eventing Classification],"&gt;0")</f>
        <v>0</v>
      </c>
      <c r="EW178" s="6">
        <f>COUNTIFS(Table44[Country],Tabela1[[#This Row],[Country]],Table44[Jumping Classification],"&gt;0")</f>
        <v>0</v>
      </c>
      <c r="EX178" s="6">
        <f>COUNTIFS(Table45[Country],Tabela1[[#This Row],[Country]],Table45[Jumping Classification],"&gt;0")</f>
        <v>0</v>
      </c>
      <c r="EY178" s="6">
        <f>COUNTIFS(Table10[Country],Tabela1[[#This Row],[Country]],Table10[Épée Classification],"&gt;0")</f>
        <v>0</v>
      </c>
      <c r="EZ178" s="6">
        <f>COUNTIFS(Table11[Country],Tabela1[[#This Row],[Country]],Table11[Épée Classification],"&gt;0")</f>
        <v>0</v>
      </c>
      <c r="FA178" s="6">
        <f>COUNTIFS(Table46[Country],Tabela1[[#This Row],[Country]],Table46[Men''s Épée Classification],"&gt;0")</f>
        <v>0</v>
      </c>
      <c r="FB178" s="6">
        <f>COUNTIFS(Table46[Country],Tabela1[[#This Row],[Country]],Table46[Women''s Épée Classification],"&gt;0")</f>
        <v>0</v>
      </c>
      <c r="FC178" s="6">
        <f>COUNTIFS(Table10[Country],Tabela1[[#This Row],[Country]],Table10[Foil Classification],"&gt;0")</f>
        <v>0</v>
      </c>
      <c r="FD178" s="6">
        <f>COUNTIFS(Table11[Country],Tabela1[[#This Row],[Country]],Table11[Foil Classification],"&gt;0")</f>
        <v>0</v>
      </c>
      <c r="FE178" s="6">
        <f>COUNTIFS(Table46[Country],Tabela1[[#This Row],[Country]],Table46[Men''s Foil Classification],"&gt;0")</f>
        <v>0</v>
      </c>
      <c r="FF178" s="6">
        <f>COUNTIFS(Table46[Country],Tabela1[[#This Row],[Country]],Table46[Women''s Foil Classification],"&gt;0")</f>
        <v>0</v>
      </c>
      <c r="FG178" s="6">
        <f>COUNTIFS(Table10[Country],Tabela1[[#This Row],[Country]],Table10[Sabre Classification],"&gt;0")</f>
        <v>0</v>
      </c>
      <c r="FH178" s="6">
        <f>COUNTIFS(Table11[Country],Tabela1[[#This Row],[Country]],Table11[Sabre Classification],"&gt;0")</f>
        <v>0</v>
      </c>
      <c r="FI178" s="6">
        <f>COUNTIFS(Table46[Country],Tabela1[[#This Row],[Country]],Table46[Men''s Sabre Classification],"&gt;0")</f>
        <v>0</v>
      </c>
      <c r="FJ178" s="6">
        <f>COUNTIFS(Table46[Country],Tabela1[[#This Row],[Country]],Table46[Women''s Sabre Classification],"&gt;0")</f>
        <v>0</v>
      </c>
      <c r="FK178" s="6">
        <f>COUNTIFS(Table91[Country],Tabela1[[#This Row],[Country]],Table91[Men''s Classification],"&gt;0")</f>
        <v>0</v>
      </c>
      <c r="FL178" s="6">
        <f>COUNTIFS(Table91[Country],Tabela1[[#This Row],[Country]],Table91[Women''s Classification],"&gt;0")</f>
        <v>0</v>
      </c>
      <c r="FM178" s="6">
        <f>COUNTIFS(Table9194[Country],Tabela1[[#This Row],[Country]],Table9194[Men''s Classification],"&gt;0")</f>
        <v>0</v>
      </c>
      <c r="FN178" s="6">
        <f>COUNTIFS(Table9194[Country],Tabela1[[#This Row],[Country]],Table9194[Women''s Classification],"&gt;0")</f>
        <v>0</v>
      </c>
      <c r="FO178" s="6">
        <f>COUNTIFS(Table71[Country],Tabela1[[#This Row],[Country]],Table71[Classification],"&gt;0")</f>
        <v>0</v>
      </c>
      <c r="FP178" s="6">
        <f>COUNTIFS(Table62[Country],Tabela1[[#This Row],[Country]],Table62[Classification],"&gt;0")</f>
        <v>0</v>
      </c>
      <c r="FQ178" s="6">
        <f>COUNTIFS(Table47[Country],Tabela1[[#This Row],[Country]],Table47[All-Around Classification],"&gt;0")</f>
        <v>0</v>
      </c>
      <c r="FR178" s="6">
        <f>COUNTIFS(Table48[Country],Tabela1[[#This Row],[Country]],Table48[All-Around Classification],"&gt;0")</f>
        <v>0</v>
      </c>
      <c r="FS178" s="6">
        <f>COUNTIFS(Table81[Country],Tabela1[[#This Row],[Country]],Table81[Men''s All-Around Classification],"&gt;0")</f>
        <v>0</v>
      </c>
      <c r="FT178" s="6">
        <f>COUNTIFS(Table81[Country],Tabela1[[#This Row],[Country]],Table81[Women''s All-Around Classification],"&gt;0")</f>
        <v>0</v>
      </c>
      <c r="FU178" s="6">
        <f>COUNTIFS(Table48[Country],Tabela1[[#This Row],[Country]],Table48[Balance Beam Classification],"&gt;0")</f>
        <v>0</v>
      </c>
      <c r="FV178" s="6">
        <f>COUNTIFS(Table47[Country],Tabela1[[#This Row],[Country]],Table47[Floor Exercise Classification],"&gt;0")</f>
        <v>0</v>
      </c>
      <c r="FW178" s="6">
        <f>COUNTIFS(Table48[Country],Tabela1[[#This Row],[Country]],Table48[Floor Exercise Classification],"&gt;0")</f>
        <v>0</v>
      </c>
      <c r="FX178" s="6">
        <f>COUNTIFS(Table47[Country],Tabela1[[#This Row],[Country]],Table47[Horizontal Bar Classification],"&gt;0")</f>
        <v>0</v>
      </c>
      <c r="FY178" s="6">
        <f>COUNTIFS(Table47[Country],Tabela1[[#This Row],[Country]],Table47[Parallel Bars Classification],"&gt;0")</f>
        <v>0</v>
      </c>
      <c r="FZ178" s="6">
        <f>COUNTIFS(Table47[Country],Tabela1[[#This Row],[Country]],Table47[Pommel Horse Classification],"&gt;0")</f>
        <v>0</v>
      </c>
      <c r="GA178" s="6">
        <f>COUNTIFS(Table47[Country],Tabela1[[#This Row],[Country]],Table47[Rings Classification],"&gt;0")</f>
        <v>0</v>
      </c>
      <c r="GB178" s="6">
        <f>COUNTIFS(Tabela132[Country],Tabela1[[#This Row],[Country]],Tabela132[Classification],"&gt;0")</f>
        <v>0</v>
      </c>
      <c r="GC178" s="6">
        <f>COUNTIFS(Tabela139[Country],Tabela1[[#This Row],[Country]],Tabela139[Classification],"&gt;0")</f>
        <v>0</v>
      </c>
      <c r="GD178" s="6">
        <f>COUNTIFS(Table48[Country],Tabela1[[#This Row],[Country]],Table48[Uneven Bars Classification],"&gt;0")</f>
        <v>0</v>
      </c>
      <c r="GE178" s="6">
        <f>COUNTIFS(Table47[Country],Tabela1[[#This Row],[Country]],Table47[Vault Classification],"&gt;0")</f>
        <v>0</v>
      </c>
      <c r="GF178" s="6">
        <f>COUNTIFS(Table48[Country],Tabela1[[#This Row],[Country]],Table48[Vault Classification],"&gt;0")</f>
        <v>0</v>
      </c>
      <c r="GG178" s="6">
        <f>COUNTIFS(Table919496[Country],Tabela1[[#This Row],[Country]],Table919496[Men''s Classification],"&gt;0")</f>
        <v>0</v>
      </c>
      <c r="GH178" s="6">
        <f>COUNTIFS(Table919496[Country],Tabela1[[#This Row],[Country]],Table919496[Women''s Classification],"&gt;0")</f>
        <v>0</v>
      </c>
      <c r="GI178" s="6">
        <f>COUNTIFS(Table12[Country],Tabela1[[#This Row],[Country]],Table12[60kg Classification],"&gt;0")</f>
        <v>0</v>
      </c>
      <c r="GJ178" s="6">
        <f>COUNTIFS(Table12[Country],Tabela1[[#This Row],[Country]],Table12[66kg Classification],"&gt;0")</f>
        <v>0</v>
      </c>
      <c r="GK178" s="6">
        <f>COUNTIFS(Table12[Country],Tabela1[[#This Row],[Country]],Table12[73kg Classification],"&gt;0")</f>
        <v>0</v>
      </c>
      <c r="GL178" s="6">
        <f>COUNTIFS(Table12[Country],Tabela1[[#This Row],[Country]],Table12[81kg Classification],"&gt;0")</f>
        <v>0</v>
      </c>
      <c r="GM178" s="6">
        <f>COUNTIFS(Table12[Country],Tabela1[[#This Row],[Country]],Table12[90kg Classification],"&gt;0")</f>
        <v>0</v>
      </c>
      <c r="GN178" s="6">
        <f>COUNTIFS(Table12[Country],Tabela1[[#This Row],[Country]],Table12[100kg Classification],"&gt;0")</f>
        <v>0</v>
      </c>
      <c r="GO178" s="6">
        <f>COUNTIFS(Table12[Country],Tabela1[[#This Row],[Country]],Table12[Plus 100kg Classification],"&gt;0")</f>
        <v>0</v>
      </c>
      <c r="GP178" s="6">
        <f>COUNTIFS(Table13[Country],Tabela1[[#This Row],[Country]],Table13[48kg Classification],"&gt;0")</f>
        <v>0</v>
      </c>
      <c r="GQ178" s="6">
        <f>COUNTIFS(Table13[Country],Tabela1[[#This Row],[Country]],Table13[52kg Classification],"&gt;0")</f>
        <v>0</v>
      </c>
      <c r="GR178" s="6">
        <f>COUNTIFS(Table13[Country],Tabela1[[#This Row],[Country]],Table13[57kg Classification],"&gt;0")</f>
        <v>0</v>
      </c>
      <c r="GS178" s="6">
        <f>COUNTIFS(Table13[Country],Tabela1[[#This Row],[Country]],Table13[63kg Classification],"&gt;0")</f>
        <v>0</v>
      </c>
      <c r="GT178" s="6">
        <f>COUNTIFS(Table13[Country],Tabela1[[#This Row],[Country]],Table13[70kg Classification],"&gt;0")</f>
        <v>0</v>
      </c>
      <c r="GU178" s="6">
        <f>COUNTIFS(Table13[Country],Tabela1[[#This Row],[Country]],Table13[78kg Classification],"&gt;0")</f>
        <v>0</v>
      </c>
      <c r="GV178" s="6">
        <f>COUNTIFS(Table13[Country],Tabela1[[#This Row],[Country]],Table13[Plus 78kg Classification],"&gt;0")</f>
        <v>0</v>
      </c>
      <c r="GW178" s="6">
        <f>COUNTIFS(Table82[Country],Tabela1[[#This Row],[Country]],Table82[Mixed Classification],"&gt;0")</f>
        <v>0</v>
      </c>
      <c r="GX178" s="6">
        <f>COUNTIFS(Table51[Country],Tabela1[[#This Row],[Country]],Table51[Classification],"&gt;0")</f>
        <v>0</v>
      </c>
      <c r="GY178" s="6">
        <f>COUNTIFS(Table52[Country],Tabela1[[#This Row],[Country]],Table52[Classification],"&gt;0")</f>
        <v>0</v>
      </c>
      <c r="GZ178" s="6">
        <f>COUNTIFS(Table32[Country],Tabela1[[#This Row],[Country]],Table32[All-Around Classification],"&gt;0")</f>
        <v>0</v>
      </c>
      <c r="HA178" s="6">
        <f>COUNTIFS(Table49[Country],Tabela1[[#This Row],[Country]],Table49[All-Around Classification],"&gt;0")</f>
        <v>0</v>
      </c>
      <c r="HB178" s="6">
        <f>COUNTIFS(Table26[Country],Tabela1[[#This Row],[Country]],Table26[Single Sculls Classification],"&gt;0")</f>
        <v>0</v>
      </c>
      <c r="HC178" s="6">
        <f>COUNTIFS(Table63[Country],Tabela1[[#This Row],[Country]],Table63[Single Sculls Classification],"&gt;0")</f>
        <v>0</v>
      </c>
      <c r="HD178" s="6">
        <f>COUNTIFS(Table16[Country],Tabela1[[#This Row],[Country]],Table16[Men''s Double Sculls Classification],"&gt;0")</f>
        <v>0</v>
      </c>
      <c r="HE178" s="6">
        <f>COUNTIFS(Table16[Country],Tabela1[[#This Row],[Country]],Table16[Women''s Double Sculls Classification],"&gt;0")</f>
        <v>0</v>
      </c>
      <c r="HF178" s="6">
        <f>COUNTIFS(Table72[Country],Tabela1[[#This Row],[Country]],Table72[Men''s Quadruple Sculls Classification],"&gt;0")</f>
        <v>0</v>
      </c>
      <c r="HG178" s="6">
        <f>COUNTIFS(Table72[Country],Tabela1[[#This Row],[Country]],Table72[Women''s Quadruple Sculls Classification],"&gt;0")</f>
        <v>0</v>
      </c>
      <c r="HH178" s="6">
        <f>COUNTIFS(Table16[Country],Tabela1[[#This Row],[Country]],Table16[Men''s Coxless Pairs Classification],"&gt;0")</f>
        <v>0</v>
      </c>
      <c r="HI178" s="6">
        <f>COUNTIFS(Table16[Country],Tabela1[[#This Row],[Country]],Table16[Women''s Coxless Pairs Classification],"&gt;0")</f>
        <v>0</v>
      </c>
      <c r="HJ178" s="6">
        <f>COUNTIFS(Table72[Country],Tabela1[[#This Row],[Country]],Table72[Men''s Coxless Fours Classification],"&gt;0")</f>
        <v>0</v>
      </c>
      <c r="HK178" s="6">
        <f>COUNTIFS(Table72[Country],Tabela1[[#This Row],[Country]],Table72[Women''s Coxless Fours Classification],"&gt;0")</f>
        <v>0</v>
      </c>
      <c r="HL178" s="6">
        <f>COUNTIFS(Table72[Country],Tabela1[[#This Row],[Country]],Table72[Men''s Eights Classification],"&gt;0")</f>
        <v>0</v>
      </c>
      <c r="HM178" s="6">
        <f>COUNTIFS(Table72[Country],Tabela1[[#This Row],[Country]],Table72[Women''s Eights Classification],"&gt;0")</f>
        <v>0</v>
      </c>
      <c r="HN178" s="6">
        <f>COUNTIFS(Table16[Country],Tabela1[[#This Row],[Country]],Table16[Men''s Lwt. Double Sculls Classification],"&gt;0")</f>
        <v>0</v>
      </c>
      <c r="HO178" s="6">
        <f>COUNTIFS(Table16[Country],Tabela1[[#This Row],[Country]],Table16[Women''s Lwt. Double Sculls Classification],"&gt;0")</f>
        <v>0</v>
      </c>
      <c r="HP178" s="6">
        <f>COUNTIFS(Table91949698[Country],Tabela1[[#This Row],[Country]],Table91949698[Men''s Classification],"&gt;0")</f>
        <v>0</v>
      </c>
      <c r="HQ178" s="6">
        <f>COUNTIFS(Table91949698[Country],Tabela1[[#This Row],[Country]],Table91949698[Women''s Classification],"&gt;0")</f>
        <v>0</v>
      </c>
      <c r="HR178" s="6">
        <f>COUNTIFS(Table25[Country],Tabela1[[#This Row],[Country]],Table25[Mixed 470 Classification],"&gt;0")</f>
        <v>0</v>
      </c>
      <c r="HS178" s="6">
        <f>COUNTIFS(Table25[Country],Tabela1[[#This Row],[Country]],Table25[Men''s 49er Classification],"&gt;0")</f>
        <v>0</v>
      </c>
      <c r="HT178" s="6">
        <f>COUNTIFS(Table25[Country],Tabela1[[#This Row],[Country]],Table25[Women''s 49er FX Classification],"&gt;0")</f>
        <v>0</v>
      </c>
      <c r="HU178" s="6">
        <f>COUNTIFS(Table17[Country],Tabela1[[#This Row],[Country]],Table17[Formula Kite Classification],"&gt;0")</f>
        <v>0</v>
      </c>
      <c r="HV178" s="6">
        <f>COUNTIFS(Table18[Country],Tabela1[[#This Row],[Country]],Table18[Formula Kite Classification],"&gt;0")</f>
        <v>0</v>
      </c>
      <c r="HW178" s="6">
        <f>COUNTIFS(Table17[Country],Tabela1[[#This Row],[Country]],Table17[ILCA 7 Classification],"&gt;0")</f>
        <v>0</v>
      </c>
      <c r="HX178" s="6">
        <f>COUNTIFS(Table18[Country],Tabela1[[#This Row],[Country]],Table18[ILCA 6 Classification],"&gt;0")</f>
        <v>0</v>
      </c>
      <c r="HY178" s="6">
        <f>COUNTIFS(Table17[Country],Tabela1[[#This Row],[Country]],Table17[IQFoil Classification],"&gt;0")</f>
        <v>0</v>
      </c>
      <c r="HZ178" s="6">
        <f>COUNTIFS(Table18[Country],Tabela1[[#This Row],[Country]],Table18[IQFoil Classification],"&gt;0")</f>
        <v>0</v>
      </c>
      <c r="IA178" s="6">
        <f>COUNTIFS(Table25[Country],Tabela1[[#This Row],[Country]],Table25[Mixed Nacra 17 Classification],"&gt;0")</f>
        <v>0</v>
      </c>
      <c r="IB178" s="6">
        <f>COUNTIFS(Table53[Country],Tabela1[[#This Row],[Country]],Table53[10m Air Pistol Classification],"&gt;0")</f>
        <v>0</v>
      </c>
      <c r="IC178" s="6">
        <f>COUNTIFS(Table19[Country],Tabela1[[#This Row],[Country]],Table19[10m Air Pistol Classification],"&gt;0")</f>
        <v>0</v>
      </c>
      <c r="ID178" s="6">
        <f>COUNTIFS(Table54[Country],Tabela1[[#This Row],[Country]],Table54[Mixed 10m Air Pistol Team Classification],"&gt;0")</f>
        <v>0</v>
      </c>
      <c r="IE178" s="6">
        <f>COUNTIFS(Table53[Country],Tabela1[[#This Row],[Country]],Table53[10m Air Rifle Classification],"&gt;0")</f>
        <v>0</v>
      </c>
      <c r="IF178" s="6">
        <f>COUNTIFS(Table19[Country],Tabela1[[#This Row],[Country]],Table19[10m Air Rifle Classification],"&gt;0")</f>
        <v>0</v>
      </c>
      <c r="IG178" s="6">
        <f>COUNTIFS(Table54[Country],Tabela1[[#This Row],[Country]],Table54[Mixed 10m Air Rifle Team Classification],"&gt;0")</f>
        <v>0</v>
      </c>
      <c r="IH178" s="6">
        <f>COUNTIFS(Table53[Country],Tabela1[[#This Row],[Country]],Table53[25m Rapid Fire Pistol Classification],"&gt;0")</f>
        <v>0</v>
      </c>
      <c r="II178" s="6">
        <f>COUNTIFS(Table19[Country],Tabela1[[#This Row],[Country]],Table19[25m Pistol Classification],"&gt;0")</f>
        <v>0</v>
      </c>
      <c r="IJ178" s="6">
        <f>COUNTIFS(Table53[Country],Tabela1[[#This Row],[Country]],Table53[50m Rifle 3 Positions Classification],"&gt;0")</f>
        <v>0</v>
      </c>
      <c r="IK178" s="6">
        <f>COUNTIFS(Table19[Country],Tabela1[[#This Row],[Country]],Table19[50m Rifle 3 Positions Classification],"&gt;0")</f>
        <v>0</v>
      </c>
      <c r="IL178" s="6">
        <f>COUNTIFS(Table53[Country],Tabela1[[#This Row],[Country]],Table53[Skeet Classification],"&gt;0")</f>
        <v>0</v>
      </c>
      <c r="IM178" s="6">
        <f>COUNTIFS(Table19[Country],Tabela1[[#This Row],[Country]],Table19[Skeet Classification],"&gt;0")</f>
        <v>0</v>
      </c>
      <c r="IN178" s="6">
        <f>COUNTIFS(Table54[Country],Tabela1[[#This Row],[Country]],Table54[Mixed Skeet Team Classification],"&gt;0")</f>
        <v>0</v>
      </c>
      <c r="IO178" s="6">
        <f>COUNTIFS(Table53[Country],Tabela1[[#This Row],[Country]],Table53[Trap Classification],"&gt;0")</f>
        <v>0</v>
      </c>
      <c r="IP178" s="6">
        <f>COUNTIFS(Table19[Country],Tabela1[[#This Row],[Country]],Table19[Trap Classification],"&gt;0")</f>
        <v>0</v>
      </c>
      <c r="IQ178" s="6">
        <f>COUNTIFS(Table73[Country],Tabela1[[#This Row],[Country]],Table73[Park Classification],"&gt;0")</f>
        <v>0</v>
      </c>
      <c r="IR178" s="6">
        <f>COUNTIFS(Table74[Country],Tabela1[[#This Row],[Country]],Table74[Park Classification],"&gt;0")</f>
        <v>0</v>
      </c>
      <c r="IS178" s="6">
        <f>COUNTIFS(Table73[Country],Tabela1[[#This Row],[Country]],Table73[Street Classification],"&gt;0")</f>
        <v>0</v>
      </c>
      <c r="IT178" s="6">
        <f>COUNTIFS(Table74[Country],Tabela1[[#This Row],[Country]],Table74[Street Classification],"&gt;0")</f>
        <v>0</v>
      </c>
      <c r="IU178" s="6">
        <f>COUNTIFS(Table75[Country],Tabela1[[#This Row],[Country]],Table75[Boulder and Lead Classification],"&gt;0")</f>
        <v>0</v>
      </c>
      <c r="IV178" s="6">
        <f>COUNTIFS(Table76[Country],Tabela1[[#This Row],[Country]],Table76[Boulder and Lead Classification],"&gt;0")</f>
        <v>0</v>
      </c>
      <c r="IW178" s="6">
        <f>COUNTIFS(Table75[Country],Tabela1[[#This Row],[Country]],Table75[Speed Classification],"&gt;0")</f>
        <v>0</v>
      </c>
      <c r="IX178" s="6">
        <f>COUNTIFS(Table76[Country],Tabela1[[#This Row],[Country]],Table76[Speed Classification],"&gt;0")</f>
        <v>0</v>
      </c>
      <c r="IY178" s="6">
        <f>COUNTIFS(Table64[Country],Tabela1[[#This Row],[Country]],Table64[Shortboard Classification],"&gt;0")</f>
        <v>0</v>
      </c>
      <c r="IZ178" s="6">
        <f>COUNTIFS(Table77[Country],Tabela1[[#This Row],[Country]],Table77[Shortboard Classification],"&gt;0")</f>
        <v>0</v>
      </c>
      <c r="JA178" s="6">
        <f>COUNTIFS(Table20[Country],Tabela1[[#This Row],[Country]],Table20[50m Freestyle Classification],"&gt;0")</f>
        <v>0</v>
      </c>
      <c r="JB178" s="6">
        <f>COUNTIFS(Table21[Country],Tabela1[[#This Row],[Country]],Table21[50m Freestyle Classification],"&gt;0")</f>
        <v>0</v>
      </c>
      <c r="JC178" s="6">
        <f>COUNTIFS(Table20[Country],Tabela1[[#This Row],[Country]],Table20[100m Freestyle Classification],"&gt;0")</f>
        <v>0</v>
      </c>
      <c r="JD178" s="6">
        <f>COUNTIFS(Table21[Country],Tabela1[[#This Row],[Country]],Table21[100m Freestyle Classification],"&gt;0")</f>
        <v>0</v>
      </c>
      <c r="JE178" s="6">
        <f>COUNTIFS(Table20[Country],Tabela1[[#This Row],[Country]],Table20[200m Freestyle Classification],"&gt;0")</f>
        <v>0</v>
      </c>
      <c r="JF178" s="6">
        <f>COUNTIFS(Table21[Country],Tabela1[[#This Row],[Country]],Table21[200m Freestyle Classification],"&gt;0")</f>
        <v>0</v>
      </c>
      <c r="JG178" s="6">
        <f>COUNTIFS(Table20[Country],Tabela1[[#This Row],[Country]],Table20[400m Freestyle Classification],"&gt;0")</f>
        <v>0</v>
      </c>
      <c r="JH178" s="6">
        <f>COUNTIFS(Table21[Country],Tabela1[[#This Row],[Country]],Table21[400m Freestyle Classification],"&gt;0")</f>
        <v>0</v>
      </c>
      <c r="JI178" s="6">
        <f>COUNTIFS(Table20[Country],Tabela1[[#This Row],[Country]],Table20[800m Freestyle Classification],"&gt;0")</f>
        <v>0</v>
      </c>
      <c r="JJ178" s="6">
        <f>COUNTIFS(Table21[Country],Tabela1[[#This Row],[Country]],Table21[800m Freestyle Classification],"&gt;0")</f>
        <v>0</v>
      </c>
      <c r="JK178" s="6">
        <f>COUNTIFS(Table20[Country],Tabela1[[#This Row],[Country]],Table20[1500m Freestyle Classification],"&gt;0")</f>
        <v>0</v>
      </c>
      <c r="JL178" s="6">
        <f>COUNTIFS(Table21[Country],Tabela1[[#This Row],[Country]],Table21[1500m Freestyle Classification],"&gt;0")</f>
        <v>0</v>
      </c>
      <c r="JM178" s="6">
        <f>COUNTIFS(Table20[Country],Tabela1[[#This Row],[Country]],Table20[100m Backstroke Classification],"&gt;0")</f>
        <v>0</v>
      </c>
      <c r="JN178" s="6">
        <f>COUNTIFS(Table21[Country],Tabela1[[#This Row],[Country]],Table21[100m Backstroke Classification],"&gt;0")</f>
        <v>0</v>
      </c>
      <c r="JO178" s="6">
        <f>COUNTIFS(Table20[Country],Tabela1[[#This Row],[Country]],Table20[200m Backstroke Classification],"&gt;0")</f>
        <v>0</v>
      </c>
      <c r="JP178" s="6">
        <f>COUNTIFS(Table21[Country],Tabela1[[#This Row],[Country]],Table21[200m Backstroke Classification],"&gt;0")</f>
        <v>0</v>
      </c>
      <c r="JQ178" s="6">
        <f>COUNTIFS(Table20[Country],Tabela1[[#This Row],[Country]],Table20[100m Breaststroke Classification],"&gt;0")</f>
        <v>0</v>
      </c>
      <c r="JR178" s="6">
        <f>COUNTIFS(Table21[Country],Tabela1[[#This Row],[Country]],Table21[100m Breaststroke Classification],"&gt;0")</f>
        <v>0</v>
      </c>
      <c r="JS178" s="6">
        <f>COUNTIFS(Table20[Country],Tabela1[[#This Row],[Country]],Table20[200m Breaststroke Classification],"&gt;0")</f>
        <v>0</v>
      </c>
      <c r="JT178" s="6">
        <f>COUNTIFS(Table21[Country],Tabela1[[#This Row],[Country]],Table21[200m Breaststroke Classification],"&gt;0")</f>
        <v>0</v>
      </c>
      <c r="JU178" s="6">
        <f>COUNTIFS(Table20[Country],Tabela1[[#This Row],[Country]],Table20[100m Butterfly Classification],"&gt;0")</f>
        <v>0</v>
      </c>
      <c r="JV178" s="6">
        <f>COUNTIFS(Table21[Country],Tabela1[[#This Row],[Country]],Table21[100m Butterfly Classification],"&gt;0")</f>
        <v>0</v>
      </c>
      <c r="JW178" s="6">
        <f>COUNTIFS(Table20[Country],Tabela1[[#This Row],[Country]],Table20[200m Butterfly Classification],"&gt;0")</f>
        <v>0</v>
      </c>
      <c r="JX178" s="6">
        <f>COUNTIFS(Table21[Country],Tabela1[[#This Row],[Country]],Table21[200m Butterfly Classification],"&gt;0")</f>
        <v>0</v>
      </c>
      <c r="JY178" s="6">
        <f>COUNTIFS(Table20[Country],Tabela1[[#This Row],[Country]],Table20[200m Medley Classification],"&gt;0")</f>
        <v>0</v>
      </c>
      <c r="JZ178" s="6">
        <f>COUNTIFS(Table21[Country],Tabela1[[#This Row],[Country]],Table21[200m Medley Classification],"&gt;0")</f>
        <v>0</v>
      </c>
      <c r="KA178" s="6">
        <f>COUNTIFS(Table20[Country],Tabela1[[#This Row],[Country]],Table20[400m Medley Classification],"&gt;0")</f>
        <v>0</v>
      </c>
      <c r="KB178" s="6">
        <f>COUNTIFS(Table21[Country],Tabela1[[#This Row],[Country]],Table21[400m Medley Classification],"&gt;0")</f>
        <v>0</v>
      </c>
      <c r="KC178" s="6">
        <f>COUNTIFS(Table78[Country],Tabela1[[#This Row],[Country]],Table78[Men''s 4x100m Freestyle Relay Classification],"&gt;0")</f>
        <v>0</v>
      </c>
      <c r="KD178" s="6">
        <f>COUNTIFS(Table78[Country],Tabela1[[#This Row],[Country]],Table78[Women''s 4x100m Freestyle Relay Classification],"&gt;0")</f>
        <v>0</v>
      </c>
      <c r="KE178" s="6">
        <f>COUNTIFS(Table78[Country],Tabela1[[#This Row],[Country]],Table78[Men''s 4x200m Freestyle Relay Classification],"&gt;0")</f>
        <v>0</v>
      </c>
      <c r="KF178" s="6">
        <f>COUNTIFS(Table78[Country],Tabela1[[#This Row],[Country]],Table78[Women''s 4x200m Freestyle Relay Classification],"&gt;0")</f>
        <v>0</v>
      </c>
      <c r="KG178" s="6">
        <f>COUNTIFS(Table78[Country],Tabela1[[#This Row],[Country]],Table78[Men''s 4x100m Medley Relay Classification],"&gt;0")</f>
        <v>0</v>
      </c>
      <c r="KH178" s="6">
        <f>COUNTIFS(Table78[Country],Tabela1[[#This Row],[Country]],Table78[Women''s 4x100m Medley Relay Classification],"&gt;0")</f>
        <v>0</v>
      </c>
      <c r="KI178" s="6">
        <f>COUNTIFS(Table78[Country],Tabela1[[#This Row],[Country]],Table78[Mixed 4x100m Medley Relay Classification],"&gt;0")</f>
        <v>0</v>
      </c>
      <c r="KJ178" s="6">
        <f>COUNTIFS(Table20[Country],Tabela1[[#This Row],[Country]],Table20[10km Open Water Classification],"&gt;0")</f>
        <v>0</v>
      </c>
      <c r="KK178" s="6">
        <f>COUNTIFS(Table21[Country],Tabela1[[#This Row],[Country]],Table21[10km Open Water Classification],"&gt;0")</f>
        <v>0</v>
      </c>
      <c r="KL178" s="6">
        <f>COUNTIFS(Table22[Country],Tabela1[[#This Row],[Country]],Table22[Classification],"&gt;0")</f>
        <v>0</v>
      </c>
      <c r="KM178" s="6">
        <f>COUNTIFS(Table30[Country],Tabela1[[#This Row],[Country]],Table30[Classification],"&gt;0")</f>
        <v>0</v>
      </c>
      <c r="KN178" s="6">
        <f>COUNTIFS(Table55[Country],Tabela1[[#This Row],[Country]],Table55[Men''s Classification],"&gt;0")</f>
        <v>0</v>
      </c>
      <c r="KO178" s="6">
        <f>COUNTIFS(Table55[Country],Tabela1[[#This Row],[Country]],Table55[Women''s Classification],"&gt;0")</f>
        <v>0</v>
      </c>
      <c r="KP178" s="6">
        <f>COUNTIFS(Table56[Country],Tabela1[[#This Row],[Country]],Table56[Mixed Classification],"&gt;0")</f>
        <v>0</v>
      </c>
      <c r="KQ178" s="6">
        <f>COUNTIFS(Table29[Country],Tabela1[[#This Row],[Country]],Table29[58kg Classification],"&gt;0")</f>
        <v>0</v>
      </c>
      <c r="KR178" s="6">
        <f>COUNTIFS(Table29[Country],Tabela1[[#This Row],[Country]],Table29[68kg Classification],"&gt;0")</f>
        <v>0</v>
      </c>
      <c r="KS178" s="6">
        <f>COUNTIFS(Table29[Country],Tabela1[[#This Row],[Country]],Table29[80kg Classification],"&gt;0")</f>
        <v>0</v>
      </c>
      <c r="KT178" s="6">
        <f>COUNTIFS(Table29[Country],Tabela1[[#This Row],[Country]],Table29[Plus 80kg Classification],"&gt;0")</f>
        <v>0</v>
      </c>
      <c r="KU178" s="6">
        <f>COUNTIFS(Table34[Country],Tabela1[[#This Row],[Country]],Table34[49kg Classification],"&gt;0")</f>
        <v>0</v>
      </c>
      <c r="KV178" s="6">
        <f>COUNTIFS(Table34[Country],Tabela1[[#This Row],[Country]],Table34[57kg Classification],"&gt;0")</f>
        <v>0</v>
      </c>
      <c r="KW178" s="6">
        <f>COUNTIFS(Table34[Country],Tabela1[[#This Row],[Country]],Table34[67kg Classification],"&gt;0")</f>
        <v>0</v>
      </c>
      <c r="KX178" s="6">
        <f>COUNTIFS(Table34[Country],Tabela1[[#This Row],[Country]],Table34[Plus 67kg Classification],"&gt;0")</f>
        <v>0</v>
      </c>
      <c r="KY178" s="6">
        <f>COUNTIFS(Table57[Country],Tabela1[[#This Row],[Country]],Table57[Classification],"&gt;0")</f>
        <v>0</v>
      </c>
      <c r="KZ178" s="6">
        <f>COUNTIFS(Table58[Country],Tabela1[[#This Row],[Country]],Table58[Classification],"&gt;0")</f>
        <v>0</v>
      </c>
      <c r="LA178" s="6">
        <f>COUNTIFS(Table79[Country],Tabela1[[#This Row],[Country]],Table79[Men''s Classification],"&gt;0")</f>
        <v>0</v>
      </c>
      <c r="LB178" s="6">
        <f>COUNTIFS(Table79[Country],Tabela1[[#This Row],[Country]],Table79[Women''s Classification],"&gt;0")</f>
        <v>0</v>
      </c>
      <c r="LC178" s="6">
        <f>COUNTIFS(Table79[Country],Tabela1[[#This Row],[Country]],Table79[Mixed Classification],"&gt;0")</f>
        <v>0</v>
      </c>
      <c r="LD178" s="6">
        <f>COUNTIFS(Table65[Country],Tabela1[[#This Row],[Country]],Table65[Classification],"&gt;0")</f>
        <v>0</v>
      </c>
      <c r="LE178" s="6">
        <f>COUNTIFS(Table59[Country],Tabela1[[#This Row],[Country]],Table59[Classification],"&gt;0")</f>
        <v>0</v>
      </c>
      <c r="LF178" s="6">
        <f>COUNTIFS(Table87[Country],Tabela1[[#This Row],[Country]],Table87[Mixed Relay Classification],"&gt;0")</f>
        <v>0</v>
      </c>
      <c r="LG178" s="6">
        <f>COUNTIFS(Table91949698100[Country],Tabela1[[#This Row],[Country]],Table91949698100[Men''s Classification],"&gt;0")</f>
        <v>0</v>
      </c>
      <c r="LH178" s="6">
        <f>COUNTIFS(Table91949698100[Country],Tabela1[[#This Row],[Country]],Table91949698100[Women''s Classification],"&gt;0")</f>
        <v>0</v>
      </c>
      <c r="LI178" s="6">
        <f>COUNTIFS(Table91949698100102[Country],Tabela1[[#This Row],[Country]],Table91949698100102[Men''s Classification],"&gt;0")</f>
        <v>0</v>
      </c>
      <c r="LJ178" s="6">
        <f>COUNTIFS(Table91949698100102[Country],Tabela1[[#This Row],[Country]],Table91949698100102[Women''s Classification],"&gt;0")</f>
        <v>0</v>
      </c>
      <c r="LK178" s="6">
        <f>COUNTIFS(Table23[Country],Tabela1[[#This Row],[Country]],Table23[61kg Classification],"&gt;0")</f>
        <v>0</v>
      </c>
      <c r="LL178" s="6">
        <f>COUNTIFS(Table23[Country],Tabela1[[#This Row],[Country]],Table23[73kg Classification],"&gt;0")</f>
        <v>0</v>
      </c>
      <c r="LM178" s="6">
        <f>COUNTIFS(Table23[Country],Tabela1[[#This Row],[Country]],Table23[89kg Classification],"&gt;0")</f>
        <v>0</v>
      </c>
      <c r="LN178" s="6">
        <f>COUNTIFS(Table23[Country],Tabela1[[#This Row],[Country]],Table23[102kg Classification],"&gt;0")</f>
        <v>0</v>
      </c>
      <c r="LO178" s="6">
        <f>COUNTIFS(Table23[Country],Tabela1[[#This Row],[Country]],Table23[Plus 102kg Classification],"&gt;0")</f>
        <v>0</v>
      </c>
      <c r="LP178" s="6">
        <f>COUNTIFS(Table28[Country],Tabela1[[#This Row],[Country]],Table28[49kg Classification],"&gt;0")</f>
        <v>0</v>
      </c>
      <c r="LQ178" s="6">
        <f>COUNTIFS(Table28[Country],Tabela1[[#This Row],[Country]],Table28[59kg Classification],"&gt;0")</f>
        <v>0</v>
      </c>
      <c r="LR178" s="6">
        <f>COUNTIFS(Table28[Country],Tabela1[[#This Row],[Country]],Table28[71kg Classification],"&gt;0")</f>
        <v>0</v>
      </c>
      <c r="LS178" s="6">
        <f>COUNTIFS(Table28[Country],Tabela1[[#This Row],[Country]],Table28[81kg Classification],"&gt;0")</f>
        <v>0</v>
      </c>
      <c r="LT178" s="6">
        <f>COUNTIFS(Table28[Country],Tabela1[[#This Row],[Country]],Table28[Plus 81kg Classification],"&gt;0")</f>
        <v>0</v>
      </c>
      <c r="LU178" s="6">
        <f>COUNTIFS(Table24[Country],Tabela1[[#This Row],[Country]],Table24[Freestyle 57kg Classification],"&gt;0")</f>
        <v>0</v>
      </c>
      <c r="LV178" s="6">
        <f>COUNTIFS(Table24[Country],Tabela1[[#This Row],[Country]],Table24[Freestyle 65kg Classification],"&gt;0")</f>
        <v>0</v>
      </c>
      <c r="LW178" s="6">
        <f>COUNTIFS(Table24[Country],Tabela1[[#This Row],[Country]],Table24[Freestyle 74kg Classification],"&gt;0")</f>
        <v>0</v>
      </c>
      <c r="LX178" s="6">
        <f>COUNTIFS(Table24[Country],Tabela1[[#This Row],[Country]],Table24[Freestyle 86kg Classification],"&gt;0")</f>
        <v>0</v>
      </c>
      <c r="LY178" s="6">
        <f>COUNTIFS(Table24[Country],Tabela1[[#This Row],[Country]],Table24[Freestyle 97kg Classification],"&gt;0")</f>
        <v>0</v>
      </c>
      <c r="LZ178" s="6">
        <f>COUNTIFS(Table24[Country],Tabela1[[#This Row],[Country]],Table24[Freestyle 125kg Classification],"&gt;0")</f>
        <v>0</v>
      </c>
      <c r="MA178" s="6">
        <f>COUNTIFS(Table24[Country],Tabela1[[#This Row],[Country]],Table24[Greco-Roman 60kg Classification],"&gt;0")</f>
        <v>0</v>
      </c>
      <c r="MB178" s="6">
        <f>COUNTIFS(Table24[Country],Tabela1[[#This Row],[Country]],Table24[Greco-Roman 67kg Classification],"&gt;0")</f>
        <v>0</v>
      </c>
      <c r="MC178" s="6">
        <f>COUNTIFS(Table24[Country],Tabela1[[#This Row],[Country]],Table24[Greco-Roman 77kg Classification],"&gt;0")</f>
        <v>0</v>
      </c>
      <c r="MD178" s="6">
        <f>COUNTIFS(Table24[Country],Tabela1[[#This Row],[Country]],Table24[Greco-Roman 87kg Classification],"&gt;0")</f>
        <v>0</v>
      </c>
      <c r="ME178" s="6">
        <f>COUNTIFS(Table24[Country],Tabela1[[#This Row],[Country]],Table24[Greco-Roman 97kg Classification],"&gt;0")</f>
        <v>0</v>
      </c>
      <c r="MF178" s="6">
        <f>COUNTIFS(Table24[Country],Tabela1[[#This Row],[Country]],Table24[Greco-Roman 130kg Classification],"&gt;0")</f>
        <v>0</v>
      </c>
      <c r="MG178" s="6">
        <f>COUNTIFS(Table31[Country],Tabela1[[#This Row],[Country]],Table31[50kg Classification],"&gt;0")</f>
        <v>0</v>
      </c>
      <c r="MH178" s="6">
        <f>COUNTIFS(Table31[Country],Tabela1[[#This Row],[Country]],Table31[53kg Classification],"&gt;0")</f>
        <v>0</v>
      </c>
      <c r="MI178" s="6">
        <f>COUNTIFS(Table31[Country],Tabela1[[#This Row],[Country]],Table31[57kg Classification],"&gt;0")</f>
        <v>0</v>
      </c>
      <c r="MJ178" s="6">
        <f>COUNTIFS(Table31[Country],Tabela1[[#This Row],[Country]],Table31[62kg Classification],"&gt;0")</f>
        <v>0</v>
      </c>
      <c r="MK178" s="6">
        <f>COUNTIFS(Table31[Country],Tabela1[[#This Row],[Country]],Table31[68kg Classification],"&gt;0")</f>
        <v>0</v>
      </c>
      <c r="ML178" s="6">
        <f>COUNTIFS(Table31[Country],Tabela1[[#This Row],[Country]],Table31[76kg Classification],"&gt;0")</f>
        <v>0</v>
      </c>
      <c r="MM178" s="6">
        <f>COUNTIFS(Table102[Country],Tabela1[[#This Row],[Country]],Table102[Downhill Classification],"&gt;0")</f>
        <v>0</v>
      </c>
      <c r="MN178" s="6">
        <f>COUNTIFS(Table102105[Country],Tabela1[[#This Row],[Country]],Table102105[Downhill Classification],"&gt;0")</f>
        <v>0</v>
      </c>
      <c r="MO178" s="6">
        <f>COUNTIFS(Table102[Country],Tabela1[[#This Row],[Country]],Table102[Giant Slalom Classification],"&gt;0")</f>
        <v>0</v>
      </c>
      <c r="MP178" s="6">
        <f>COUNTIFS(Table102105[Country],Tabela1[[#This Row],[Country]],Table102105[Giant Slalom Classification],"&gt;0")</f>
        <v>0</v>
      </c>
      <c r="MQ178" s="6">
        <f>COUNTIFS(Table102[Country],Tabela1[[#This Row],[Country]],Table102[Slalom Classification],"&gt;0")</f>
        <v>0</v>
      </c>
      <c r="MR178" s="6">
        <f>COUNTIFS(Table102105[Country],Tabela1[[#This Row],[Country]],Table102105[Slalom Classification],"&gt;0")</f>
        <v>0</v>
      </c>
      <c r="MS178" s="6">
        <f>COUNTIFS(Table102[Country],Tabela1[[#This Row],[Country]],Table102[Super-G Classification],"&gt;0")</f>
        <v>0</v>
      </c>
      <c r="MT178" s="6">
        <f>COUNTIFS(Table102105[Country],Tabela1[[#This Row],[Country]],Table102105[Super-G Classification],"&gt;0")</f>
        <v>0</v>
      </c>
      <c r="MU178" s="6">
        <f>COUNTIFS(Table105[Country],Tabela1[[#This Row],[Country]],Table105[Men''s Combined Classification],"&gt;0")</f>
        <v>0</v>
      </c>
      <c r="MV178" s="6">
        <f>COUNTIFS(Table105[Country],Tabela1[[#This Row],[Country]],Table105[Women''s Combined Classification],"&gt;0")</f>
        <v>0</v>
      </c>
      <c r="MW178" s="6">
        <f>COUNTIFS(Table106[Country],Tabela1[[#This Row],[Country]],Table106[Individual Classification],"&gt;0")</f>
        <v>0</v>
      </c>
      <c r="MX178" s="6">
        <f>COUNTIFS(Table106109[Country],Tabela1[[#This Row],[Country]],Table106109[Individual Classification],"&gt;0")</f>
        <v>0</v>
      </c>
      <c r="MY178" s="6">
        <f>COUNTIFS(Table106[Country],Tabela1[[#This Row],[Country]],Table106[Mass Start Classification],"&gt;0")</f>
        <v>0</v>
      </c>
      <c r="MZ178" s="6">
        <f>COUNTIFS(Table106109[Country],Tabela1[[#This Row],[Country]],Table106109[Mass Start Classification],"&gt;0")</f>
        <v>0</v>
      </c>
      <c r="NA178" s="6">
        <f>COUNTIFS(Table106[Country],Tabela1[[#This Row],[Country]],Table106[Pursuit Classification],"&gt;0")</f>
        <v>0</v>
      </c>
      <c r="NB178" s="6">
        <f>COUNTIFS(Table106109[Country],Tabela1[[#This Row],[Country]],Table106109[Pursuit Classification],"&gt;0")</f>
        <v>0</v>
      </c>
      <c r="NC178" s="6">
        <f>COUNTIFS(Table106[Country],Tabela1[[#This Row],[Country]],Table106[Sprint Classification],"&gt;0")</f>
        <v>0</v>
      </c>
      <c r="ND178" s="6">
        <f>COUNTIFS(Table106109[Country],Tabela1[[#This Row],[Country]],Table106109[Sprint Classification],"&gt;0")</f>
        <v>0</v>
      </c>
      <c r="NE178" s="6">
        <f>COUNTIFS(Table109[Country],Tabela1[[#This Row],[Country]],Table109[Men''s Relay Classification],"&gt;0")</f>
        <v>0</v>
      </c>
      <c r="NF178" s="6">
        <f>COUNTIFS(Table109[Country],Tabela1[[#This Row],[Country]],Table109[Women''s Relay Classification],"&gt;0")</f>
        <v>0</v>
      </c>
      <c r="NG178" s="6">
        <f>COUNTIFS(Table109[Country],Tabela1[[#This Row],[Country]],Table109[Mixed Relay Classification],"&gt;0")</f>
        <v>0</v>
      </c>
      <c r="NH178" s="6">
        <f>COUNTIFS(Table110[Country],Tabela1[[#This Row],[Country]],Table110[Monobob Classification],"&gt;0")</f>
        <v>0</v>
      </c>
      <c r="NI178" s="6">
        <f>COUNTIFS(Table111[Country],Tabela1[[#This Row],[Country]],Table111[Men''s Classification],"&gt;0")</f>
        <v>0</v>
      </c>
      <c r="NJ178" s="6">
        <f>COUNTIFS(Table111[Country],Tabela1[[#This Row],[Country]],Table111[Women''s Classification],"&gt;0")</f>
        <v>0</v>
      </c>
      <c r="NK178" s="6">
        <f>COUNTIFS(Table112[Country],Tabela1[[#This Row],[Country]],Table112[Men''s Four Classification],"&gt;0")</f>
        <v>0</v>
      </c>
      <c r="NL178" s="6">
        <f>COUNTIFS(Table113[Country],Tabela1[[#This Row],[Country]],Table113[Classical Classification],"&gt;0")</f>
        <v>0</v>
      </c>
      <c r="NM178" s="6">
        <f>COUNTIFS(Table113116[Country],Tabela1[[#This Row],[Country]],Table113116[Classical Classification],"&gt;0")</f>
        <v>0</v>
      </c>
      <c r="NN178" s="6">
        <f>COUNTIFS(Table113[Country],Tabela1[[#This Row],[Country]],Table113[Freestyle Classification],"&gt;0")</f>
        <v>0</v>
      </c>
      <c r="NO178" s="6">
        <f>COUNTIFS(Table113116[Country],Tabela1[[#This Row],[Country]],Table113116[Freestyle Classification],"&gt;0")</f>
        <v>0</v>
      </c>
      <c r="NP178" s="6">
        <f>COUNTIFS(Table117[Country],Tabela1[[#This Row],[Country]],Table117[Men''s Relay Classification],"&gt;0")</f>
        <v>0</v>
      </c>
      <c r="NQ178" s="6">
        <f>COUNTIFS(Table117[Country],Tabela1[[#This Row],[Country]],Table117[Women''s Relay Classification],"&gt;0")</f>
        <v>0</v>
      </c>
      <c r="NR178" s="6">
        <f>COUNTIFS(Table113[Country],Tabela1[[#This Row],[Country]],Table113[Skiathlon Classification],"&gt;0")</f>
        <v>0</v>
      </c>
      <c r="NS178" s="6">
        <f>COUNTIFS(Table113116[Country],Tabela1[[#This Row],[Country]],Table113116[Skiathlon Classification],"&gt;0")</f>
        <v>0</v>
      </c>
      <c r="NT178" s="6">
        <f>COUNTIFS(Table113[Country],Tabela1[[#This Row],[Country]],Table113[Sprint Classification],"&gt;0")</f>
        <v>0</v>
      </c>
      <c r="NU178" s="6">
        <f>COUNTIFS(Table113116[Country],Tabela1[[#This Row],[Country]],Table113116[Sprint Classification],"&gt;0")</f>
        <v>0</v>
      </c>
      <c r="NV178" s="6">
        <f>COUNTIFS(Table116[Country],Tabela1[[#This Row],[Country]],Table116[Men''s Team Sprint Classification],"&gt;0")</f>
        <v>0</v>
      </c>
      <c r="NW178" s="6">
        <f>COUNTIFS(Table116[Country],Tabela1[[#This Row],[Country]],Table116[Women''s Team Sprint Classification],"&gt;0")</f>
        <v>0</v>
      </c>
      <c r="NX178" s="6">
        <f>COUNTIFS(Table119[Country],Tabela1[[#This Row],[Country]],Table119[Men''s Classification],"&gt;0")</f>
        <v>0</v>
      </c>
      <c r="NY178" s="6">
        <f>COUNTIFS(Table119[Country],Tabela1[[#This Row],[Country]],Table119[Women''s Classification],"&gt;0")</f>
        <v>0</v>
      </c>
      <c r="NZ178" s="6">
        <f>COUNTIFS(Table118[Country],Tabela1[[#This Row],[Country]],Table118[Mixed Classification],"&gt;0")</f>
        <v>0</v>
      </c>
      <c r="OA178" s="6">
        <f>COUNTIFS(Table120[Country],Tabela1[[#This Row],[Country]],Table120[Classification],"&gt;0")</f>
        <v>0</v>
      </c>
      <c r="OB178" s="6">
        <f>COUNTIFS(Table120123[Country],Tabela1[[#This Row],[Country]],Table120123[Classification],"&gt;0")</f>
        <v>0</v>
      </c>
      <c r="OC178" s="6">
        <f>COUNTIFS(Table123[Country],Tabela1[[#This Row],[Country]],Table123[Ice Dance Classification],"&gt;0")</f>
        <v>0</v>
      </c>
      <c r="OD178" s="6">
        <f>COUNTIFS(Table123[Country],Tabela1[[#This Row],[Country]],Table123[Pair Skating Classification],"&gt;0")</f>
        <v>0</v>
      </c>
      <c r="OE178" s="6">
        <f>COUNTIFS(Table124[Country],Tabela1[[#This Row],[Country]],Table124[Mixed Classification],"&gt;0")</f>
        <v>0</v>
      </c>
      <c r="OF178" s="6">
        <f>COUNTIFS(Table125[Country],Tabela1[[#This Row],[Country]],Table125[Aerials Classification],"&gt;0")</f>
        <v>0</v>
      </c>
      <c r="OG178" s="6">
        <f>COUNTIFS(Table125128[Country],Tabela1[[#This Row],[Country]],Table125128[Aerials Classification],"&gt;0")</f>
        <v>0</v>
      </c>
      <c r="OH178" s="6">
        <f>COUNTIFS(Table128[Country],Tabela1[[#This Row],[Country]],Table128[Mixed Aerials Classification],"&gt;0")</f>
        <v>0</v>
      </c>
      <c r="OI178" s="6">
        <f>COUNTIFS(Table125[Country],Tabela1[[#This Row],[Country]],Table125[Big Air Classification],"&gt;0")</f>
        <v>0</v>
      </c>
      <c r="OJ178" s="6">
        <f>COUNTIFS(Table125128[Country],Tabela1[[#This Row],[Country]],Table125128[Big Air Classification],"&gt;0")</f>
        <v>0</v>
      </c>
      <c r="OK178" s="6">
        <f>COUNTIFS(Table125[Country],Tabela1[[#This Row],[Country]],Table125[Dual Moguls Classification],"&gt;0")</f>
        <v>0</v>
      </c>
      <c r="OL178" s="6">
        <f>COUNTIFS(Table125128[Country],Tabela1[[#This Row],[Country]],Table125128[Dual Moguls Classification],"&gt;0")</f>
        <v>0</v>
      </c>
      <c r="OM178" s="6">
        <f>COUNTIFS(Table125[Country],Tabela1[[#This Row],[Country]],Table125[Halfpipe Classification],"&gt;0")</f>
        <v>0</v>
      </c>
      <c r="ON178" s="6">
        <f>COUNTIFS(Table125128[Country],Tabela1[[#This Row],[Country]],Table125128[Halfpipe Classification],"&gt;0")</f>
        <v>0</v>
      </c>
      <c r="OO178" s="6">
        <f>COUNTIFS(Table125[Country],Tabela1[[#This Row],[Country]],Table125[Moguls Classification],"&gt;0")</f>
        <v>0</v>
      </c>
      <c r="OP178" s="6">
        <f>COUNTIFS(Table125128[Country],Tabela1[[#This Row],[Country]],Table125128[Moguls Classification],"&gt;0")</f>
        <v>0</v>
      </c>
      <c r="OQ178" s="6">
        <f>COUNTIFS(Table125[Country],Tabela1[[#This Row],[Country]],Table125[Ski Cross Classification],"&gt;0")</f>
        <v>0</v>
      </c>
      <c r="OR178" s="6">
        <f>COUNTIFS(Table125128[Country],Tabela1[[#This Row],[Country]],Table125128[Ski Cross Classification],"&gt;0")</f>
        <v>0</v>
      </c>
      <c r="OS178" s="6">
        <f>COUNTIFS(Table125[Country],Tabela1[[#This Row],[Country]],Table125[Slopestyle Classification],"&gt;0")</f>
        <v>0</v>
      </c>
      <c r="OT178" s="6">
        <f>COUNTIFS(Table125128[Country],Tabela1[[#This Row],[Country]],Table125128[Slopestyle Classification],"&gt;0")</f>
        <v>0</v>
      </c>
      <c r="OU178" s="6">
        <f>COUNTIFS(Table119131[Country],Tabela1[[#This Row],[Country]],Table119131[Men''s Classification],"&gt;0")</f>
        <v>0</v>
      </c>
      <c r="OV178" s="6">
        <f>COUNTIFS(Table119131[Country],Tabela1[[#This Row],[Country]],Table119131[Women''s Classification],"&gt;0")</f>
        <v>0</v>
      </c>
      <c r="OW178" s="6">
        <f>COUNTIFS(Table131[Country],Tabela1[[#This Row],[Country]],Table131[Classification],"&gt;0")</f>
        <v>0</v>
      </c>
      <c r="OX178" s="6">
        <f>COUNTIFS(Table131134[Country],Tabela1[[#This Row],[Country]],Table131134[Classification],"&gt;0")</f>
        <v>0</v>
      </c>
      <c r="OY178" s="6">
        <f>COUNTIFS(Table134[Country],Tabela1[[#This Row],[Country]],Table134[Men''s Classification],"&gt;0")</f>
        <v>0</v>
      </c>
      <c r="OZ178" s="6">
        <f>COUNTIFS(Table134[Country],Tabela1[[#This Row],[Country]],Table134[Women''s Classification],"&gt;0")</f>
        <v>0</v>
      </c>
      <c r="PA178" s="6">
        <f>COUNTIFS(Table135[Country],Tabela1[[#This Row],[Country]],Table135[Mixed Relay Classification],"&gt;0")</f>
        <v>0</v>
      </c>
      <c r="PB178" s="6">
        <f>COUNTIFS(Table136[Country],Tabela1[[#This Row],[Country]],Table136[Individual Classification],"&gt;0")</f>
        <v>0</v>
      </c>
      <c r="PC178" s="6">
        <f>COUNTIFS(Table136[Country],Tabela1[[#This Row],[Country]],Table136[Sprint Classification],"&gt;0")</f>
        <v>0</v>
      </c>
      <c r="PD178" s="6">
        <f>COUNTIFS(Table137[Country],Tabela1[[#This Row],[Country]],Table137[Men''s Team Sprint Large Hill Classification],"&gt;0")</f>
        <v>0</v>
      </c>
      <c r="PE178" s="6">
        <f>COUNTIFS(Table138[Country],Tabela1[[#This Row],[Country]],Table138[500m Classification],"&gt;0")</f>
        <v>0</v>
      </c>
      <c r="PF178" s="6">
        <f>COUNTIFS(Table138141[Country],Tabela1[[#This Row],[Country]],Table138141[500m Classification],"&gt;0")</f>
        <v>0</v>
      </c>
      <c r="PG178" s="6">
        <f>COUNTIFS(Table138[Country],Tabela1[[#This Row],[Country]],Table138[1000m Classification],"&gt;0")</f>
        <v>0</v>
      </c>
      <c r="PH178" s="6">
        <f>COUNTIFS(Table138141[Country],Tabela1[[#This Row],[Country]],Table138141[1000m Classification],"&gt;0")</f>
        <v>0</v>
      </c>
      <c r="PI178" s="6">
        <f>COUNTIFS(Table138[Country],Tabela1[[#This Row],[Country]],Table138[1500m Classification],"&gt;0")</f>
        <v>0</v>
      </c>
      <c r="PJ178" s="6">
        <f>COUNTIFS(Table138141[Country],Tabela1[[#This Row],[Country]],Table138141[1500m Classification],"&gt;0")</f>
        <v>0</v>
      </c>
      <c r="PK178" s="6">
        <f>COUNTIFS(Table141[Country],Tabela1[[#This Row],[Country]],Table141[Men''s 5000m Relay Classification],"&gt;0")</f>
        <v>0</v>
      </c>
      <c r="PL178" s="6">
        <f>COUNTIFS(Table141[Country],Tabela1[[#This Row],[Country]],Table141[Women''s 3000m Relay Classification],"&gt;0")</f>
        <v>0</v>
      </c>
      <c r="PM178" s="6">
        <f>COUNTIFS(Table141[Country],Tabela1[[#This Row],[Country]],Table141[Mixed 2000m Relay Classification],"&gt;0")</f>
        <v>0</v>
      </c>
      <c r="PN178" s="6">
        <f>COUNTIFS(Table142[Country],Tabela1[[#This Row],[Country]],Table142[Classification],"&gt;0")</f>
        <v>0</v>
      </c>
      <c r="PO178" s="6">
        <f>COUNTIFS(Table142145[Country],Tabela1[[#This Row],[Country]],Table142145[Classification],"&gt;0")</f>
        <v>0</v>
      </c>
      <c r="PP178" s="6">
        <f>COUNTIFS(Tabela15[Country],Tabela1[[#This Row],[Country]],Tabela15[Mixed Team Classification],"&gt;0")</f>
        <v>0</v>
      </c>
      <c r="PQ178" s="6">
        <f>COUNTIFS(Table145[Country],Tabela1[[#This Row],[Country]],Table145[Large Hill Classification],"&gt;0")</f>
        <v>0</v>
      </c>
      <c r="PR178" s="6">
        <f>COUNTIFS(Table145[Country],Tabela1[[#This Row],[Country]],Table145[Normal Hill Classification],"&gt;0")</f>
        <v>0</v>
      </c>
      <c r="PS178" s="6">
        <f>COUNTIFS(Table145148[Country],Tabela1[[#This Row],[Country]],Table145148[Large Hill Classification],"&gt;0")</f>
        <v>0</v>
      </c>
      <c r="PT178" s="6">
        <f>COUNTIFS(Table145148[Country],Tabela1[[#This Row],[Country]],Table145148[Normal Hill Classification],"&gt;0")</f>
        <v>0</v>
      </c>
      <c r="PU178" s="6">
        <f>COUNTIFS(Table148[Country],Tabela1[[#This Row],[Country]],Table148[Men''s Super Team Classification],"&gt;0")</f>
        <v>0</v>
      </c>
      <c r="PV178" s="6">
        <f>COUNTIFS(Tabela114[Country],Tabela1[[#This Row],[Country]],Tabela114[Mixed Normal Hill Classification],"&gt;0")</f>
        <v>0</v>
      </c>
      <c r="PW178" s="6">
        <f>COUNTIFS(Tabela50[Country],Tabela1[[#This Row],[Country]],Tabela50[Sprint Classification],"&gt;0")</f>
        <v>0</v>
      </c>
      <c r="PX178" s="6">
        <f>COUNTIFS(Tabela50101[Country],Tabela1[[#This Row],[Country]],Tabela50101[Sprint Classification],"&gt;0")</f>
        <v>0</v>
      </c>
      <c r="PY178" s="6">
        <f>COUNTIFS(Tabela103[Country],Tabela1[[#This Row],[Country]],Tabela103[Mixed Relay Classification],"&gt;0")</f>
        <v>0</v>
      </c>
      <c r="PZ178" s="6">
        <f>COUNTIFS(Table149[Country],Tabela1[[#This Row],[Country]],Table149[Big Air Classification],"&gt;0")</f>
        <v>0</v>
      </c>
      <c r="QA178" s="6">
        <f>COUNTIFS(Table149152[Country],Tabela1[[#This Row],[Country]],Table149152[Big Air Classification],"&gt;0")</f>
        <v>0</v>
      </c>
      <c r="QB178" s="6">
        <f>COUNTIFS(Table149[Country],Tabela1[[#This Row],[Country]],Table149[Halfpipe Classification],"&gt;0")</f>
        <v>0</v>
      </c>
      <c r="QC178" s="6">
        <f>COUNTIFS(Table149152[Country],Tabela1[[#This Row],[Country]],Table149152[Halfpipe Classification],"&gt;0")</f>
        <v>0</v>
      </c>
      <c r="QD178" s="6">
        <f>COUNTIFS(Table149[Country],Tabela1[[#This Row],[Country]],Table149[Parallel Giant Slalom Classification],"&gt;0")</f>
        <v>0</v>
      </c>
      <c r="QE178" s="6">
        <f>COUNTIFS(Table149152[Country],Tabela1[[#This Row],[Country]],Table149152[Parallel Giant Slalom Classification],"&gt;0")</f>
        <v>0</v>
      </c>
      <c r="QF178" s="6">
        <f>COUNTIFS(Table149[Country],Tabela1[[#This Row],[Country]],Table149[Slopestyle Classification],"&gt;0")</f>
        <v>0</v>
      </c>
      <c r="QG178" s="6">
        <f>COUNTIFS(Table149152[Country],Tabela1[[#This Row],[Country]],Table149152[Slopestyle Classification],"&gt;0")</f>
        <v>0</v>
      </c>
      <c r="QH178" s="6">
        <f>COUNTIFS(Table149[Country],Tabela1[[#This Row],[Country]],Table149[Snowboard Cross Classification],"&gt;0")</f>
        <v>0</v>
      </c>
      <c r="QI178" s="6">
        <f>COUNTIFS(Table149152[Country],Tabela1[[#This Row],[Country]],Table149152[Snowboard Cross Classification],"&gt;0")</f>
        <v>0</v>
      </c>
      <c r="QJ178" s="6">
        <f>COUNTIFS(Table153[Country],Tabela1[[#This Row],[Country]],Table153[Mixed Team Snowboard Cross Classification],"&gt;0")</f>
        <v>0</v>
      </c>
      <c r="QK178" s="6">
        <f>COUNTIFS(Table154[Country],Tabela1[[#This Row],[Country]],Table154[500m Classification],"&gt;0")</f>
        <v>0</v>
      </c>
      <c r="QL178" s="6">
        <f>COUNTIFS(Table154157[Country],Tabela1[[#This Row],[Country]],Table154157[500m Classification],"&gt;0")</f>
        <v>0</v>
      </c>
      <c r="QM178" s="6">
        <f>COUNTIFS(Table154[Country],Tabela1[[#This Row],[Country]],Table154[1000m Classification],"&gt;0")</f>
        <v>0</v>
      </c>
      <c r="QN178" s="6">
        <f>COUNTIFS(Table154157[Country],Tabela1[[#This Row],[Country]],Table154157[1000m Classification],"&gt;0")</f>
        <v>0</v>
      </c>
      <c r="QO178" s="6">
        <f>COUNTIFS(Table154[Country],Tabela1[[#This Row],[Country]],Table154[1500m Classification],"&gt;0")</f>
        <v>0</v>
      </c>
      <c r="QP178" s="6">
        <f>COUNTIFS(Table154157[Country],Tabela1[[#This Row],[Country]],Table154157[1500m Classification],"&gt;0")</f>
        <v>0</v>
      </c>
      <c r="QQ178" s="6">
        <f>COUNTIFS(Table154157[Country],Tabela1[[#This Row],[Country]],Table154157[3000m Classification],"&gt;0")</f>
        <v>0</v>
      </c>
      <c r="QR178" s="6">
        <f>COUNTIFS(Table154[Country],Tabela1[[#This Row],[Country]],Table154[5000m Classification],"&gt;0")</f>
        <v>0</v>
      </c>
      <c r="QS178" s="6">
        <f>COUNTIFS(Table154157[Country],Tabela1[[#This Row],[Country]],Table154157[5000m Classification],"&gt;0")</f>
        <v>0</v>
      </c>
      <c r="QT178" s="6">
        <f>COUNTIFS(Table154[Country],Tabela1[[#This Row],[Country]],Table154[10000m Classification],"&gt;0")</f>
        <v>0</v>
      </c>
      <c r="QU178" s="6">
        <f>COUNTIFS(Table154[Country],Tabela1[[#This Row],[Country]],Table154[Mass Start Classification],"&gt;0")</f>
        <v>0</v>
      </c>
      <c r="QV178" s="6">
        <f>COUNTIFS(Table154157[Country],Tabela1[[#This Row],[Country]],Table154157[Mass Start Classification],"&gt;0")</f>
        <v>0</v>
      </c>
      <c r="QW178" s="6">
        <f>COUNTIFS(Table157[Country],Tabela1[[#This Row],[Country]],Table157[Men''s Pursuit Classification],"&gt;0")</f>
        <v>0</v>
      </c>
      <c r="QX178" s="6">
        <f>COUNTIFS(Table157[Country],Tabela1[[#This Row],[Country]],Table157[Women''s Pursuit Classification],"&gt;0")</f>
        <v>0</v>
      </c>
      <c r="QY178" s="4" t="s">
        <v>417</v>
      </c>
    </row>
    <row r="179" spans="1:467" x14ac:dyDescent="0.3">
      <c r="A179" s="6">
        <v>178</v>
      </c>
      <c r="B179" s="6" t="s">
        <v>584</v>
      </c>
      <c r="C179" t="e" vm="178">
        <f>IF(ISBLANK(Tabela1[[#This Row],[Image Link]]), "", _xlfn.IMAGE(Tabela1[[#This Row],[Image Link]],1,1))</f>
        <v>#VALUE!</v>
      </c>
      <c r="D179" s="6">
        <f>SUM(Tabela1[[#This Row],[Archery - Men''s Individual Recurve]:[Speed Skating - Women''s Team Pursuit]])</f>
        <v>0</v>
      </c>
      <c r="E179" s="6">
        <f>COUNTIF(Tabela1[[#This Row],[Archery - Men''s Individual Recurve]:[Speed Skating - Women''s Team Pursuit]],"&gt;0")</f>
        <v>0</v>
      </c>
      <c r="F179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79" s="6">
        <f>SUM(Tabela1[[#This Row],[Archery - Men''s Individual Recurve]:[Wrestling - Women''s Freestyle 76kg]])</f>
        <v>0</v>
      </c>
      <c r="H179" s="6">
        <f>SUM(Tabela1[[#This Row],[Alpine Skiing - Men''s Downhill]:[Speed Skating - Women''s Team Pursuit]])</f>
        <v>0</v>
      </c>
      <c r="I179" s="6">
        <f>Tabela1[[#This Row],[Summer Gold Medals]]+Tabela1[[#This Row],[Winter Gold Medals]]</f>
        <v>0</v>
      </c>
      <c r="J179" s="6">
        <f>Tabela1[[#This Row],[Summer Silver Medals]]+Tabela1[[#This Row],[Winter Silver Medals]]</f>
        <v>0</v>
      </c>
      <c r="K179" s="6">
        <f>Tabela1[[#This Row],[Summer Bronze Medals]]+Tabela1[[#This Row],[Winter Bronze Medals]]</f>
        <v>0</v>
      </c>
      <c r="L179" s="6">
        <f>SUM(Tabela1[[#This Row],[Total Gold Medals]:[Total Bronze Medals]])</f>
        <v>0</v>
      </c>
      <c r="M179" s="6"/>
      <c r="N179" s="6"/>
      <c r="O179" s="6"/>
      <c r="P179" s="6">
        <f>SUM(Tabela1[[#This Row],[Summer Gold Medals]:[Summer Bronze Medals]])</f>
        <v>0</v>
      </c>
      <c r="Q179" s="6"/>
      <c r="R179" s="6"/>
      <c r="S179" s="6"/>
      <c r="T179" s="6">
        <f>Tabela1[[#This Row],[Winter Gold Medals]]+Tabela1[[#This Row],[Winter Silver Medals]]+Tabela1[[#This Row],[Winter Bronze Medals]]</f>
        <v>0</v>
      </c>
      <c r="U179" s="7" t="e">
        <f>Tabela1[[#This Row],[Total Medals]]/Tabela1[[#This Row],[Total Quotas]]</f>
        <v>#DIV/0!</v>
      </c>
      <c r="V179" s="6">
        <f>COUNTIFS(Table3[Country],Tabela1[[#This Row],[Country]],Table3[Recurve Classification],"&gt;0")</f>
        <v>0</v>
      </c>
      <c r="W179" s="6">
        <f>COUNTIFS(Table33[Country],Tabela1[[#This Row],[Country]],Table33[Recurve Classification],"&gt;0")</f>
        <v>0</v>
      </c>
      <c r="X179" s="6">
        <f>COUNTIFS(Table35[Country],Tabela1[[#This Row],[Country]],Table35[Men''s Team Recurve Classification],"&gt;0")</f>
        <v>0</v>
      </c>
      <c r="Y179" s="6">
        <f>COUNTIFS(Table35[Country],Tabela1[[#This Row],[Country]],Table35[Women''s Team Recurve Classification],"&gt;0")</f>
        <v>0</v>
      </c>
      <c r="Z179" s="6">
        <f>COUNTIFS(Tabela88[Country],Tabela1[[#This Row],[Country]],Tabela88[Mixed Team Recurve Classification],"&gt;0")</f>
        <v>0</v>
      </c>
      <c r="AA179" s="6">
        <f>COUNTIFS(Table36[Country],Tabela1[[#This Row],[Country]],Table36[Classification],"&gt;0")</f>
        <v>0</v>
      </c>
      <c r="AB179" s="6">
        <f>COUNTIFS(Table37[Country],Tabela1[[#This Row],[Country]],Table37[Classification],"&gt;0")</f>
        <v>0</v>
      </c>
      <c r="AC179" s="6">
        <f>COUNTIFS(Table4[Country],Tabela1[[#This Row],[Country]],Table4[100m Classification],"&gt;0")</f>
        <v>0</v>
      </c>
      <c r="AD179" s="6">
        <f>COUNTIFS(Table5[Country],Tabela1[[#This Row],[Country]],Table5[100m Classification],"&gt;0")</f>
        <v>0</v>
      </c>
      <c r="AE179" s="6">
        <f>COUNTIFS(Table4[Country],Tabela1[[#This Row],[Country]],Table4[200m Classification],"&gt;0")</f>
        <v>0</v>
      </c>
      <c r="AF179" s="6">
        <f>COUNTIFS(Table5[Country],Tabela1[[#This Row],[Country]],Table5[200m Classification],"&gt;0")</f>
        <v>0</v>
      </c>
      <c r="AG179" s="6">
        <f>COUNTIFS(Table4[Country],Tabela1[[#This Row],[Country]],Table4[400m Classification],"&gt;0")</f>
        <v>0</v>
      </c>
      <c r="AH179" s="6">
        <f>COUNTIFS(Table5[Country],Tabela1[[#This Row],[Country]],Table5[400m Classification],"&gt;0")</f>
        <v>0</v>
      </c>
      <c r="AI179" s="6">
        <f>COUNTIFS(Table4[Country],Tabela1[[#This Row],[Country]],Table4[800m Classification],"&gt;0")</f>
        <v>0</v>
      </c>
      <c r="AJ179" s="6">
        <f>COUNTIFS(Table5[Country],Tabela1[[#This Row],[Country]],Table5[800m Classification],"&gt;0")</f>
        <v>0</v>
      </c>
      <c r="AK179" s="6">
        <f>COUNTIFS(Table4[Country],Tabela1[[#This Row],[Country]],Table4[1500m Classification],"&gt;0")</f>
        <v>0</v>
      </c>
      <c r="AL179" s="6">
        <f>COUNTIFS(Table5[Country],Tabela1[[#This Row],[Country]],Table5[1500m Classification],"&gt;0")</f>
        <v>0</v>
      </c>
      <c r="AM179" s="6">
        <f>COUNTIFS(Table4[Country],Tabela1[[#This Row],[Country]],Table4[5000m Classification],"&gt;0")</f>
        <v>0</v>
      </c>
      <c r="AN179" s="6">
        <f>COUNTIFS(Table5[Country],Tabela1[[#This Row],[Country]],Table5[5000m Classification],"&gt;0")</f>
        <v>0</v>
      </c>
      <c r="AO179" s="6">
        <f>COUNTIFS(Table4[Country],Tabela1[[#This Row],[Country]],Table4[10000m Classification],"&gt;0")</f>
        <v>0</v>
      </c>
      <c r="AP179" s="6">
        <f>COUNTIFS(Table5[Country],Tabela1[[#This Row],[Country]],Table5[10000m Classification],"&gt;0")</f>
        <v>0</v>
      </c>
      <c r="AQ179" s="6">
        <f>COUNTIFS(Table4[Country],Tabela1[[#This Row],[Country]],Table4[110m Hurdles Classification],"&gt;0")</f>
        <v>0</v>
      </c>
      <c r="AR179" s="6">
        <f>COUNTIFS(Table5[Country],Tabela1[[#This Row],[Country]],Table5[100m Hurdles Classification],"&gt;0")</f>
        <v>0</v>
      </c>
      <c r="AS179" s="6">
        <f>COUNTIFS(Table4[Country],Tabela1[[#This Row],[Country]],Table4[400m Hurdles Classification],"&gt;0")</f>
        <v>0</v>
      </c>
      <c r="AT179" s="6">
        <f>COUNTIFS(Table5[Country],Tabela1[[#This Row],[Country]],Table5[400m Hurdles Classification],"&gt;0")</f>
        <v>0</v>
      </c>
      <c r="AU179" s="6">
        <f>COUNTIFS(Table4[Country],Tabela1[[#This Row],[Country]],Table4[3000m Steeplechase Classification],"&gt;0")</f>
        <v>0</v>
      </c>
      <c r="AV179" s="6">
        <f>COUNTIFS(Table5[Country],Tabela1[[#This Row],[Country]],Table5[3000m Steeplechase Classification],"&gt;0")</f>
        <v>0</v>
      </c>
      <c r="AW179" s="6">
        <f>COUNTIFS(Table27[Country],Tabela1[[#This Row],[Country]],Table27[Men''s 4x100m Relay Classification],"&gt;0")</f>
        <v>0</v>
      </c>
      <c r="AX179" s="6">
        <f>COUNTIFS(Table27[Country],Tabela1[[#This Row],[Country]],Table27[Women''s 4x100m Relay Classification],"&gt;0")</f>
        <v>0</v>
      </c>
      <c r="AY179" s="6">
        <f>COUNTIFS(Table27[Country],Tabela1[[#This Row],[Country]],Table27[Men''s 4x400m Relay Classification],"&gt;0")</f>
        <v>0</v>
      </c>
      <c r="AZ179" s="6">
        <f>COUNTIFS(Table27[Country],Tabela1[[#This Row],[Country]],Table27[Women''s 4x400m Relay Classification],"&gt;0")</f>
        <v>0</v>
      </c>
      <c r="BA179" s="6">
        <f>COUNTIFS(Table27[Country],Tabela1[[#This Row],[Country]],Table27[Mixed 4x400m Relay Classification],"&gt;0")</f>
        <v>0</v>
      </c>
      <c r="BB179" s="6">
        <f>COUNTIFS(Table4[Country],Tabela1[[#This Row],[Country]],Table4[Marathon Classification],"&gt;0")</f>
        <v>0</v>
      </c>
      <c r="BC179" s="6">
        <f>COUNTIFS(Table5[Country],Tabela1[[#This Row],[Country]],Table5[Marathon Classification],"&gt;0")</f>
        <v>0</v>
      </c>
      <c r="BD179" s="6">
        <f>COUNTIFS(Table4[Country],Tabela1[[#This Row],[Country]],Table4[20km Race Walk Classification],"&gt;0")</f>
        <v>0</v>
      </c>
      <c r="BE179" s="6">
        <f>COUNTIFS(Table5[Country],Tabela1[[#This Row],[Country]],Table5[20km Race Walk Classification],"&gt;0")</f>
        <v>0</v>
      </c>
      <c r="BF179" s="6">
        <f>COUNTIFS(Tabela96[Country],Tabela1[[#This Row],[Country]],Tabela96[Mixed Marathon Race Walk Relay Classification],"&gt;0")</f>
        <v>0</v>
      </c>
      <c r="BG179" s="6">
        <f>COUNTIFS(Table4[Country],Tabela1[[#This Row],[Country]],Table4[Discus Throw Classification],"&gt;0")</f>
        <v>0</v>
      </c>
      <c r="BH179" s="6">
        <f>COUNTIFS(Table5[Country],Tabela1[[#This Row],[Country]],Table5[Discus Throw Classification],"&gt;0")</f>
        <v>0</v>
      </c>
      <c r="BI179" s="6">
        <f>COUNTIFS(Table4[Country],Tabela1[[#This Row],[Country]],Table4[Hammer Throw Classification],"&gt;0")</f>
        <v>0</v>
      </c>
      <c r="BJ179" s="6">
        <f>COUNTIFS(Table5[Country],Tabela1[[#This Row],[Country]],Table5[Hammer Throw Classification],"&gt;0")</f>
        <v>0</v>
      </c>
      <c r="BK179" s="6">
        <f>COUNTIFS(Table4[Country],Tabela1[[#This Row],[Country]],Table4[High Jump Classification],"&gt;0")</f>
        <v>0</v>
      </c>
      <c r="BL179" s="6">
        <f>COUNTIFS(Table5[Country],Tabela1[[#This Row],[Country]],Table5[High Jump Classification],"&gt;0")</f>
        <v>0</v>
      </c>
      <c r="BM179" s="6">
        <f>COUNTIFS(Table4[Country],Tabela1[[#This Row],[Country]],Table4[Javelin Throw Classification],"&gt;0")</f>
        <v>0</v>
      </c>
      <c r="BN179" s="6">
        <f>COUNTIFS(Table5[Country],Tabela1[[#This Row],[Country]],Table5[Javelin Throw Classification],"&gt;0")</f>
        <v>0</v>
      </c>
      <c r="BO179" s="6">
        <f>COUNTIFS(Table4[Country],Tabela1[[#This Row],[Country]],Table4[Long Jump Classification],"&gt;0")</f>
        <v>0</v>
      </c>
      <c r="BP179" s="6">
        <f>COUNTIFS(Table5[Country],Tabela1[[#This Row],[Country]],Table5[Long Jump Classification],"&gt;0")</f>
        <v>0</v>
      </c>
      <c r="BQ179" s="6">
        <f>COUNTIFS(Table4[Country],Tabela1[[#This Row],[Country]],Table4[Pole Vault Classification],"&gt;0")</f>
        <v>0</v>
      </c>
      <c r="BR179" s="6">
        <f>COUNTIFS(Table5[Country],Tabela1[[#This Row],[Country]],Table5[Pole Vault Classification],"&gt;0")</f>
        <v>0</v>
      </c>
      <c r="BS179" s="6">
        <f>COUNTIFS(Table4[Country],Tabela1[[#This Row],[Country]],Table4[Shot Put Classification],"&gt;0")</f>
        <v>0</v>
      </c>
      <c r="BT179" s="6">
        <f>COUNTIFS(Table5[Country],Tabela1[[#This Row],[Country]],Table5[Shot Put Classification],"&gt;0")</f>
        <v>0</v>
      </c>
      <c r="BU179" s="6">
        <f>COUNTIFS(Table4[Country],Tabela1[[#This Row],[Country]],Table4[Triple Jump Classification],"&gt;0")</f>
        <v>0</v>
      </c>
      <c r="BV179" s="6">
        <f>COUNTIFS(Table5[Country],Tabela1[[#This Row],[Country]],Table5[Triple Jump Classification],"&gt;0")</f>
        <v>0</v>
      </c>
      <c r="BW179" s="6">
        <f>COUNTIFS(Table4[Country],Tabela1[[#This Row],[Country]],Table4[Decathlon Classification],"&gt;0")</f>
        <v>0</v>
      </c>
      <c r="BX179" s="6">
        <f>COUNTIFS(Table5[Country],Tabela1[[#This Row],[Country]],Table5[Heptathlon Classification],"&gt;0")</f>
        <v>0</v>
      </c>
      <c r="BY179" s="6">
        <f>COUNTIFS(Table61[Country],Tabela1[[#This Row],[Country]],Table61[Classification],"&gt;0")</f>
        <v>0</v>
      </c>
      <c r="BZ179" s="6">
        <f>COUNTIFS(Table38[Country],Tabela1[[#This Row],[Country]],Table38[Classification],"&gt;0")</f>
        <v>0</v>
      </c>
      <c r="CA179" s="6">
        <f>COUNTIFS(Table39[Country],Tabela1[[#This Row],[Country]],Table39[Men''s Classification],"&gt;0")</f>
        <v>0</v>
      </c>
      <c r="CB179" s="6">
        <f>COUNTIFS(Table39[Country],Tabela1[[#This Row],[Country]],Table39[Women''s Classification],"&gt;0")</f>
        <v>0</v>
      </c>
      <c r="CC179" s="6">
        <f>COUNTIFS(Table39[Country],Tabela1[[#This Row],[Country]],Table39[Mixed Classification],"&gt;0")</f>
        <v>0</v>
      </c>
      <c r="CD179" s="6">
        <f>COUNTIFS(Table89[Country],Tabela1[[#This Row],[Country]],Table89[Men''s Classification],"&gt;0")</f>
        <v>0</v>
      </c>
      <c r="CE179" s="6">
        <f>COUNTIFS(Table89[Country],Tabela1[[#This Row],[Country]],Table89[Women''s Classification],"&gt;0")</f>
        <v>0</v>
      </c>
      <c r="CF179" s="6">
        <f>COUNTIFS(Table90[Country],Tabela1[[#This Row],[Country]],Table90[Men''s Classification],"&gt;0")</f>
        <v>0</v>
      </c>
      <c r="CG179" s="6">
        <f>COUNTIFS(Table90[Country],Tabela1[[#This Row],[Country]],Table90[Women''s Classification],"&gt;0")</f>
        <v>0</v>
      </c>
      <c r="CH179" s="6">
        <f>COUNTIFS(Table60[Country],Tabela1[[#This Row],[Country]],Table60[Men''s Classification],"&gt;0")</f>
        <v>0</v>
      </c>
      <c r="CI179" s="6">
        <f>COUNTIFS(Table60[Country],Tabela1[[#This Row],[Country]],Table60[Women''s Classification],"&gt;0")</f>
        <v>0</v>
      </c>
      <c r="CJ179" s="6">
        <f>COUNTIFS(Table6[Country],Tabela1[[#This Row],[Country]],Table6[51kg Classification],"&gt;0")</f>
        <v>0</v>
      </c>
      <c r="CK179" s="6">
        <f>COUNTIFS(Table6[Country],Tabela1[[#This Row],[Country]],Table6[57kg Classification],"&gt;0")</f>
        <v>0</v>
      </c>
      <c r="CL179" s="6">
        <f>COUNTIFS(Table6[Country],Tabela1[[#This Row],[Country]],Table6[63.5kg Classification],"&gt;0")</f>
        <v>0</v>
      </c>
      <c r="CM179" s="6">
        <f>COUNTIFS(Table6[Country],Tabela1[[#This Row],[Country]],Table6[71kg Classification],"&gt;0")</f>
        <v>0</v>
      </c>
      <c r="CN179" s="6">
        <f>COUNTIFS(Table6[Country],Tabela1[[#This Row],[Country]],Table6[80kg Classification],"&gt;0")</f>
        <v>0</v>
      </c>
      <c r="CO179" s="6">
        <f>COUNTIFS(Table6[Country],Tabela1[[#This Row],[Country]],Table6[92kg Classification],"&gt;0")</f>
        <v>0</v>
      </c>
      <c r="CP179" s="6">
        <f>COUNTIFS(Table6[Country],Tabela1[[#This Row],[Country]],Table6[Plus 92kg Classification],"&gt;0")</f>
        <v>0</v>
      </c>
      <c r="CQ179" s="6">
        <f>COUNTIFS(Table7[Country],Tabela1[[#This Row],[Country]],Table7[50kg Classification],"&gt;0")</f>
        <v>0</v>
      </c>
      <c r="CR179" s="6">
        <f>COUNTIFS(Table7[Country],Tabela1[[#This Row],[Country]],Table7[54kg Classification],"&gt;0")</f>
        <v>0</v>
      </c>
      <c r="CS179" s="6">
        <f>COUNTIFS(Table7[Country],Tabela1[[#This Row],[Country]],Table7[57kg Classification],"&gt;0")</f>
        <v>0</v>
      </c>
      <c r="CT179" s="6">
        <f>COUNTIFS(Table7[Country],Tabela1[[#This Row],[Country]],Table7[60kg Classification],"&gt;0")</f>
        <v>0</v>
      </c>
      <c r="CU179" s="6">
        <f>COUNTIFS(Table7[Country],Tabela1[[#This Row],[Country]],Table7[66kg Classification],"&gt;0")</f>
        <v>0</v>
      </c>
      <c r="CV179" s="6">
        <f>COUNTIFS(Table7[Country],Tabela1[[#This Row],[Country]],Table7[75kg Classification],"&gt;0")</f>
        <v>0</v>
      </c>
      <c r="CW179" s="6">
        <f>COUNTIFS(Tabela94[Country],Tabela1[[#This Row],[Country]],Tabela94[Classification],"&gt;0")</f>
        <v>0</v>
      </c>
      <c r="CX179" s="6">
        <f>COUNTIFS(Tabela9499[Country],Tabela1[[#This Row],[Country]],Tabela9499[Classification],"&gt;0")</f>
        <v>0</v>
      </c>
      <c r="CY179" s="6">
        <f>COUNTIFS(Tabela107[Country],Tabela1[[#This Row],[Country]],Tabela107[C1 Slalom Classification],"&gt;0")</f>
        <v>0</v>
      </c>
      <c r="CZ179" s="6">
        <f>COUNTIFS(Tabela107122[Country],Tabela1[[#This Row],[Country]],Tabela107122[C1 Slalom Classification],"&gt;0")</f>
        <v>0</v>
      </c>
      <c r="DA179" s="6">
        <f>COUNTIFS(Tabela107[Country],Tabela1[[#This Row],[Country]],Tabela107[K1 Slalom Classification],"&gt;0")</f>
        <v>0</v>
      </c>
      <c r="DB179" s="6">
        <f>COUNTIFS(Tabela107122[Country],Tabela1[[#This Row],[Country]],Tabela107122[K1 Slalom Classification],"&gt;0")</f>
        <v>0</v>
      </c>
      <c r="DC179" s="6">
        <f>COUNTIFS(Tabela107[Country],Tabela1[[#This Row],[Country]],Tabela107[Kayak Cross Slalom Classification],"&gt;0")</f>
        <v>0</v>
      </c>
      <c r="DD179" s="6">
        <f>COUNTIFS(Tabela107122[Country],Tabela1[[#This Row],[Country]],Tabela107122[Kayak Cross Slalom Classification],"&gt;0")</f>
        <v>0</v>
      </c>
      <c r="DE179" s="6">
        <f>COUNTIFS(Table8[Country],Tabela1[[#This Row],[Country]],Table8[C1 200m Classification],"&gt;0")</f>
        <v>0</v>
      </c>
      <c r="DF179" s="6">
        <f>COUNTIFS(Table40[Country],Tabela1[[#This Row],[Country]],Table40[C1 1000m Classification],"&gt;0")</f>
        <v>0</v>
      </c>
      <c r="DG179" s="6">
        <f>COUNTIFS(Table68[Country],Tabela1[[#This Row],[Country]],Table68[Men''s C2 500m Classification],"&gt;0")</f>
        <v>0</v>
      </c>
      <c r="DH179" s="6">
        <f>COUNTIFS(Table68[Country],Tabela1[[#This Row],[Country]],Table68[Women''s C2 500m Classification],"&gt;0")</f>
        <v>0</v>
      </c>
      <c r="DI179" s="6">
        <f>COUNTIFS(Table8[Country],Tabela1[[#This Row],[Country]],Table8[K1 500m Classification],"&gt;0")</f>
        <v>0</v>
      </c>
      <c r="DJ179" s="6">
        <f>COUNTIFS(Table40[Country],Tabela1[[#This Row],[Country]],Table40[K1 1000m Classification],"&gt;0")</f>
        <v>0</v>
      </c>
      <c r="DK179" s="6">
        <f>COUNTIFS(Table68[Country],Tabela1[[#This Row],[Country]],Table68[Men''s K2 500m Classification],"&gt;0")</f>
        <v>0</v>
      </c>
      <c r="DL179" s="6">
        <f>COUNTIFS(Table68[Country],Tabela1[[#This Row],[Country]],Table68[Women''s K2 500m Classification],"&gt;0")</f>
        <v>0</v>
      </c>
      <c r="DM179" s="6">
        <f>COUNTIFS(Table83[Country],Tabela1[[#This Row],[Country]],Table83[Men''s K4 500m Classification],"&gt;0")</f>
        <v>0</v>
      </c>
      <c r="DN179" s="6">
        <f>COUNTIFS(Table83[Country],Tabela1[[#This Row],[Country]],Table83[Women''s K4 500m Classification],"&gt;0")</f>
        <v>0</v>
      </c>
      <c r="DO179" s="6">
        <f>COUNTIFS(Tabela126[Country],Tabela1[[#This Row],[Country]],Tabela126[Classification],"&gt;0")</f>
        <v>0</v>
      </c>
      <c r="DP179" s="6">
        <f>COUNTIFS(Tabela126130[Country],Tabela1[[#This Row],[Country]],Tabela126130[Classification],"&gt;0")</f>
        <v>0</v>
      </c>
      <c r="DQ179" s="6">
        <f>COUNTIFS(Table70[Country],Tabela1[[#This Row],[Country]],Table70[Classification],"&gt;0")</f>
        <v>0</v>
      </c>
      <c r="DR179" s="6">
        <f>COUNTIFS(Table80[Country],Tabela1[[#This Row],[Country]],Table80[Classification],"&gt;0")</f>
        <v>0</v>
      </c>
      <c r="DS179" s="6">
        <f>COUNTIFS(Table66[Country],Tabela1[[#This Row],[Country]],Table66[Classification],"&gt;0")</f>
        <v>0</v>
      </c>
      <c r="DT179" s="6">
        <f>COUNTIFS(Table67[Country],Tabela1[[#This Row],[Country]],Table67[Classification],"&gt;0")</f>
        <v>0</v>
      </c>
      <c r="DU179" s="6">
        <f>COUNTIFS(Table69[Country],Tabela1[[#This Row],[Country]],Table69[Keirin Classification],"&gt;0")</f>
        <v>0</v>
      </c>
      <c r="DV179" s="6">
        <f>COUNTIFS(Table41[Country],Tabela1[[#This Row],[Country]],Table41[Keirin Classification],"&gt;0")</f>
        <v>0</v>
      </c>
      <c r="DW179" s="6">
        <f>COUNTIFS(Table84[Country],Tabela1[[#This Row],[Country]],Table84[Men''s Madison Classification],"&gt;0")</f>
        <v>0</v>
      </c>
      <c r="DX179" s="6">
        <f>COUNTIFS(Table84[Country],Tabela1[[#This Row],[Country]],Table84[Women''s Madison Classification],"&gt;0")</f>
        <v>0</v>
      </c>
      <c r="DY179" s="6">
        <f>COUNTIFS(Table69[Country],Tabela1[[#This Row],[Country]],Table69[Omnium Classification],"&gt;0")</f>
        <v>0</v>
      </c>
      <c r="DZ179" s="6">
        <f>COUNTIFS(Table41[Country],Tabela1[[#This Row],[Country]],Table41[Omnium Classification],"&gt;0")</f>
        <v>0</v>
      </c>
      <c r="EA179" s="6">
        <f>COUNTIFS(Table9[Country],Tabela1[[#This Row],[Country]],Table9[Road Race Classification],"&gt;0")</f>
        <v>0</v>
      </c>
      <c r="EB179" s="6">
        <f>COUNTIFS(Table14[Country],Tabela1[[#This Row],[Country]],Table14[Road Race Classification],"&gt;0")</f>
        <v>0</v>
      </c>
      <c r="EC179" s="6">
        <f>COUNTIFS(Table69[Country],Tabela1[[#This Row],[Country]],Table69[Sprint Classification],"&gt;0")</f>
        <v>0</v>
      </c>
      <c r="ED179" s="6">
        <f>COUNTIFS(Table41[Country],Tabela1[[#This Row],[Country]],Table41[Sprint Classification],"&gt;0")</f>
        <v>0</v>
      </c>
      <c r="EE179" s="6">
        <f>COUNTIFS(Table85[Country],Tabela1[[#This Row],[Country]],Table85[Men''s Sprint Classification],"&gt;0")</f>
        <v>0</v>
      </c>
      <c r="EF179" s="6">
        <f>COUNTIFS(Table85[Country],Tabela1[[#This Row],[Country]],Table85[Women''s Sprint Classification],"&gt;0")</f>
        <v>0</v>
      </c>
      <c r="EG179" s="6">
        <f>COUNTIFS(Table85[Country],Tabela1[[#This Row],[Country]],Table85[Men''s Pursuit Classification],"&gt;0")</f>
        <v>0</v>
      </c>
      <c r="EH179" s="6">
        <f>COUNTIFS(Table85[Country],Tabela1[[#This Row],[Country]],Table85[Women''s Pursuit Classification],"&gt;0")</f>
        <v>0</v>
      </c>
      <c r="EI179" s="6">
        <f>COUNTIFS(Table9[Country],Tabela1[[#This Row],[Country]],Table9[Time-Trial Classification],"&gt;0")</f>
        <v>0</v>
      </c>
      <c r="EJ179" s="6">
        <f>COUNTIFS(Table14[Country],Tabela1[[#This Row],[Country]],Table14[Time-Trial Classification],"&gt;0")</f>
        <v>0</v>
      </c>
      <c r="EK179" s="6">
        <f>COUNTIFS(Table42[Country],Tabela1[[#This Row],[Country]],Table42[Springboard Classification],"&gt;0")</f>
        <v>0</v>
      </c>
      <c r="EL179" s="6">
        <f>COUNTIFS(Table43[Country],Tabela1[[#This Row],[Country]],Table43[Springboard Classification],"&gt;0")</f>
        <v>0</v>
      </c>
      <c r="EM179" s="6">
        <f>COUNTIFS(Table42[Country],Tabela1[[#This Row],[Country]],Table42[Platform Classification],"&gt;0")</f>
        <v>0</v>
      </c>
      <c r="EN179" s="6">
        <f>COUNTIFS(Table43[Country],Tabela1[[#This Row],[Country]],Table43[Platform Classification],"&gt;0")</f>
        <v>0</v>
      </c>
      <c r="EO179" s="6">
        <f>COUNTIFS(Table86[Country],Tabela1[[#This Row],[Country]],Table86[Men''s Synchronized Springboard Classification],"&gt;0")</f>
        <v>0</v>
      </c>
      <c r="EP179" s="6">
        <f>COUNTIFS(Table86[Country],Tabela1[[#This Row],[Country]],Table86[Women''s Synchronized Springboard Classification],"&gt;0")</f>
        <v>0</v>
      </c>
      <c r="EQ179" s="6">
        <f>COUNTIFS(Table86[Country],Tabela1[[#This Row],[Country]],Table86[Men''s Synchronized Platform Classification],"&gt;0")</f>
        <v>0</v>
      </c>
      <c r="ER179" s="6">
        <f>COUNTIFS(Table86[Country],Tabela1[[#This Row],[Country]],Table86[Women''s Synchronized Platform Classification],"&gt;0")</f>
        <v>0</v>
      </c>
      <c r="ES179" s="6">
        <f>COUNTIFS(Table44[Country],Tabela1[[#This Row],[Country]],Table44[Dressage Classification],"&gt;0")</f>
        <v>0</v>
      </c>
      <c r="ET179" s="6">
        <f>COUNTIFS(Table45[Country],Tabela1[[#This Row],[Country]],Table45[Dressage Classification],"&gt;0")</f>
        <v>0</v>
      </c>
      <c r="EU179" s="6">
        <f>COUNTIFS(Table44[Country],Tabela1[[#This Row],[Country]],Table44[Eventing Classification],"&gt;0")</f>
        <v>0</v>
      </c>
      <c r="EV179" s="6">
        <f>COUNTIFS(Table45[Country],Tabela1[[#This Row],[Country]],Table45[Eventing Classification],"&gt;0")</f>
        <v>0</v>
      </c>
      <c r="EW179" s="6">
        <f>COUNTIFS(Table44[Country],Tabela1[[#This Row],[Country]],Table44[Jumping Classification],"&gt;0")</f>
        <v>0</v>
      </c>
      <c r="EX179" s="6">
        <f>COUNTIFS(Table45[Country],Tabela1[[#This Row],[Country]],Table45[Jumping Classification],"&gt;0")</f>
        <v>0</v>
      </c>
      <c r="EY179" s="6">
        <f>COUNTIFS(Table10[Country],Tabela1[[#This Row],[Country]],Table10[Épée Classification],"&gt;0")</f>
        <v>0</v>
      </c>
      <c r="EZ179" s="6">
        <f>COUNTIFS(Table11[Country],Tabela1[[#This Row],[Country]],Table11[Épée Classification],"&gt;0")</f>
        <v>0</v>
      </c>
      <c r="FA179" s="6">
        <f>COUNTIFS(Table46[Country],Tabela1[[#This Row],[Country]],Table46[Men''s Épée Classification],"&gt;0")</f>
        <v>0</v>
      </c>
      <c r="FB179" s="6">
        <f>COUNTIFS(Table46[Country],Tabela1[[#This Row],[Country]],Table46[Women''s Épée Classification],"&gt;0")</f>
        <v>0</v>
      </c>
      <c r="FC179" s="6">
        <f>COUNTIFS(Table10[Country],Tabela1[[#This Row],[Country]],Table10[Foil Classification],"&gt;0")</f>
        <v>0</v>
      </c>
      <c r="FD179" s="6">
        <f>COUNTIFS(Table11[Country],Tabela1[[#This Row],[Country]],Table11[Foil Classification],"&gt;0")</f>
        <v>0</v>
      </c>
      <c r="FE179" s="6">
        <f>COUNTIFS(Table46[Country],Tabela1[[#This Row],[Country]],Table46[Men''s Foil Classification],"&gt;0")</f>
        <v>0</v>
      </c>
      <c r="FF179" s="6">
        <f>COUNTIFS(Table46[Country],Tabela1[[#This Row],[Country]],Table46[Women''s Foil Classification],"&gt;0")</f>
        <v>0</v>
      </c>
      <c r="FG179" s="6">
        <f>COUNTIFS(Table10[Country],Tabela1[[#This Row],[Country]],Table10[Sabre Classification],"&gt;0")</f>
        <v>0</v>
      </c>
      <c r="FH179" s="6">
        <f>COUNTIFS(Table11[Country],Tabela1[[#This Row],[Country]],Table11[Sabre Classification],"&gt;0")</f>
        <v>0</v>
      </c>
      <c r="FI179" s="6">
        <f>COUNTIFS(Table46[Country],Tabela1[[#This Row],[Country]],Table46[Men''s Sabre Classification],"&gt;0")</f>
        <v>0</v>
      </c>
      <c r="FJ179" s="6">
        <f>COUNTIFS(Table46[Country],Tabela1[[#This Row],[Country]],Table46[Women''s Sabre Classification],"&gt;0")</f>
        <v>0</v>
      </c>
      <c r="FK179" s="6">
        <f>COUNTIFS(Table91[Country],Tabela1[[#This Row],[Country]],Table91[Men''s Classification],"&gt;0")</f>
        <v>0</v>
      </c>
      <c r="FL179" s="6">
        <f>COUNTIFS(Table91[Country],Tabela1[[#This Row],[Country]],Table91[Women''s Classification],"&gt;0")</f>
        <v>0</v>
      </c>
      <c r="FM179" s="6">
        <f>COUNTIFS(Table9194[Country],Tabela1[[#This Row],[Country]],Table9194[Men''s Classification],"&gt;0")</f>
        <v>0</v>
      </c>
      <c r="FN179" s="6">
        <f>COUNTIFS(Table9194[Country],Tabela1[[#This Row],[Country]],Table9194[Women''s Classification],"&gt;0")</f>
        <v>0</v>
      </c>
      <c r="FO179" s="6">
        <f>COUNTIFS(Table71[Country],Tabela1[[#This Row],[Country]],Table71[Classification],"&gt;0")</f>
        <v>0</v>
      </c>
      <c r="FP179" s="6">
        <f>COUNTIFS(Table62[Country],Tabela1[[#This Row],[Country]],Table62[Classification],"&gt;0")</f>
        <v>0</v>
      </c>
      <c r="FQ179" s="6">
        <f>COUNTIFS(Table47[Country],Tabela1[[#This Row],[Country]],Table47[All-Around Classification],"&gt;0")</f>
        <v>0</v>
      </c>
      <c r="FR179" s="6">
        <f>COUNTIFS(Table48[Country],Tabela1[[#This Row],[Country]],Table48[All-Around Classification],"&gt;0")</f>
        <v>0</v>
      </c>
      <c r="FS179" s="6">
        <f>COUNTIFS(Table81[Country],Tabela1[[#This Row],[Country]],Table81[Men''s All-Around Classification],"&gt;0")</f>
        <v>0</v>
      </c>
      <c r="FT179" s="6">
        <f>COUNTIFS(Table81[Country],Tabela1[[#This Row],[Country]],Table81[Women''s All-Around Classification],"&gt;0")</f>
        <v>0</v>
      </c>
      <c r="FU179" s="6">
        <f>COUNTIFS(Table48[Country],Tabela1[[#This Row],[Country]],Table48[Balance Beam Classification],"&gt;0")</f>
        <v>0</v>
      </c>
      <c r="FV179" s="6">
        <f>COUNTIFS(Table47[Country],Tabela1[[#This Row],[Country]],Table47[Floor Exercise Classification],"&gt;0")</f>
        <v>0</v>
      </c>
      <c r="FW179" s="6">
        <f>COUNTIFS(Table48[Country],Tabela1[[#This Row],[Country]],Table48[Floor Exercise Classification],"&gt;0")</f>
        <v>0</v>
      </c>
      <c r="FX179" s="6">
        <f>COUNTIFS(Table47[Country],Tabela1[[#This Row],[Country]],Table47[Horizontal Bar Classification],"&gt;0")</f>
        <v>0</v>
      </c>
      <c r="FY179" s="6">
        <f>COUNTIFS(Table47[Country],Tabela1[[#This Row],[Country]],Table47[Parallel Bars Classification],"&gt;0")</f>
        <v>0</v>
      </c>
      <c r="FZ179" s="6">
        <f>COUNTIFS(Table47[Country],Tabela1[[#This Row],[Country]],Table47[Pommel Horse Classification],"&gt;0")</f>
        <v>0</v>
      </c>
      <c r="GA179" s="6">
        <f>COUNTIFS(Table47[Country],Tabela1[[#This Row],[Country]],Table47[Rings Classification],"&gt;0")</f>
        <v>0</v>
      </c>
      <c r="GB179" s="6">
        <f>COUNTIFS(Tabela132[Country],Tabela1[[#This Row],[Country]],Tabela132[Classification],"&gt;0")</f>
        <v>0</v>
      </c>
      <c r="GC179" s="6">
        <f>COUNTIFS(Tabela139[Country],Tabela1[[#This Row],[Country]],Tabela139[Classification],"&gt;0")</f>
        <v>0</v>
      </c>
      <c r="GD179" s="6">
        <f>COUNTIFS(Table48[Country],Tabela1[[#This Row],[Country]],Table48[Uneven Bars Classification],"&gt;0")</f>
        <v>0</v>
      </c>
      <c r="GE179" s="6">
        <f>COUNTIFS(Table47[Country],Tabela1[[#This Row],[Country]],Table47[Vault Classification],"&gt;0")</f>
        <v>0</v>
      </c>
      <c r="GF179" s="6">
        <f>COUNTIFS(Table48[Country],Tabela1[[#This Row],[Country]],Table48[Vault Classification],"&gt;0")</f>
        <v>0</v>
      </c>
      <c r="GG179" s="6">
        <f>COUNTIFS(Table919496[Country],Tabela1[[#This Row],[Country]],Table919496[Men''s Classification],"&gt;0")</f>
        <v>0</v>
      </c>
      <c r="GH179" s="6">
        <f>COUNTIFS(Table919496[Country],Tabela1[[#This Row],[Country]],Table919496[Women''s Classification],"&gt;0")</f>
        <v>0</v>
      </c>
      <c r="GI179" s="6">
        <f>COUNTIFS(Table12[Country],Tabela1[[#This Row],[Country]],Table12[60kg Classification],"&gt;0")</f>
        <v>0</v>
      </c>
      <c r="GJ179" s="6">
        <f>COUNTIFS(Table12[Country],Tabela1[[#This Row],[Country]],Table12[66kg Classification],"&gt;0")</f>
        <v>0</v>
      </c>
      <c r="GK179" s="6">
        <f>COUNTIFS(Table12[Country],Tabela1[[#This Row],[Country]],Table12[73kg Classification],"&gt;0")</f>
        <v>0</v>
      </c>
      <c r="GL179" s="6">
        <f>COUNTIFS(Table12[Country],Tabela1[[#This Row],[Country]],Table12[81kg Classification],"&gt;0")</f>
        <v>0</v>
      </c>
      <c r="GM179" s="6">
        <f>COUNTIFS(Table12[Country],Tabela1[[#This Row],[Country]],Table12[90kg Classification],"&gt;0")</f>
        <v>0</v>
      </c>
      <c r="GN179" s="6">
        <f>COUNTIFS(Table12[Country],Tabela1[[#This Row],[Country]],Table12[100kg Classification],"&gt;0")</f>
        <v>0</v>
      </c>
      <c r="GO179" s="6">
        <f>COUNTIFS(Table12[Country],Tabela1[[#This Row],[Country]],Table12[Plus 100kg Classification],"&gt;0")</f>
        <v>0</v>
      </c>
      <c r="GP179" s="6">
        <f>COUNTIFS(Table13[Country],Tabela1[[#This Row],[Country]],Table13[48kg Classification],"&gt;0")</f>
        <v>0</v>
      </c>
      <c r="GQ179" s="6">
        <f>COUNTIFS(Table13[Country],Tabela1[[#This Row],[Country]],Table13[52kg Classification],"&gt;0")</f>
        <v>0</v>
      </c>
      <c r="GR179" s="6">
        <f>COUNTIFS(Table13[Country],Tabela1[[#This Row],[Country]],Table13[57kg Classification],"&gt;0")</f>
        <v>0</v>
      </c>
      <c r="GS179" s="6">
        <f>COUNTIFS(Table13[Country],Tabela1[[#This Row],[Country]],Table13[63kg Classification],"&gt;0")</f>
        <v>0</v>
      </c>
      <c r="GT179" s="6">
        <f>COUNTIFS(Table13[Country],Tabela1[[#This Row],[Country]],Table13[70kg Classification],"&gt;0")</f>
        <v>0</v>
      </c>
      <c r="GU179" s="6">
        <f>COUNTIFS(Table13[Country],Tabela1[[#This Row],[Country]],Table13[78kg Classification],"&gt;0")</f>
        <v>0</v>
      </c>
      <c r="GV179" s="6">
        <f>COUNTIFS(Table13[Country],Tabela1[[#This Row],[Country]],Table13[Plus 78kg Classification],"&gt;0")</f>
        <v>0</v>
      </c>
      <c r="GW179" s="6">
        <f>COUNTIFS(Table82[Country],Tabela1[[#This Row],[Country]],Table82[Mixed Classification],"&gt;0")</f>
        <v>0</v>
      </c>
      <c r="GX179" s="6">
        <f>COUNTIFS(Table51[Country],Tabela1[[#This Row],[Country]],Table51[Classification],"&gt;0")</f>
        <v>0</v>
      </c>
      <c r="GY179" s="6">
        <f>COUNTIFS(Table52[Country],Tabela1[[#This Row],[Country]],Table52[Classification],"&gt;0")</f>
        <v>0</v>
      </c>
      <c r="GZ179" s="6">
        <f>COUNTIFS(Table32[Country],Tabela1[[#This Row],[Country]],Table32[All-Around Classification],"&gt;0")</f>
        <v>0</v>
      </c>
      <c r="HA179" s="6">
        <f>COUNTIFS(Table49[Country],Tabela1[[#This Row],[Country]],Table49[All-Around Classification],"&gt;0")</f>
        <v>0</v>
      </c>
      <c r="HB179" s="6">
        <f>COUNTIFS(Table26[Country],Tabela1[[#This Row],[Country]],Table26[Single Sculls Classification],"&gt;0")</f>
        <v>0</v>
      </c>
      <c r="HC179" s="6">
        <f>COUNTIFS(Table63[Country],Tabela1[[#This Row],[Country]],Table63[Single Sculls Classification],"&gt;0")</f>
        <v>0</v>
      </c>
      <c r="HD179" s="6">
        <f>COUNTIFS(Table16[Country],Tabela1[[#This Row],[Country]],Table16[Men''s Double Sculls Classification],"&gt;0")</f>
        <v>0</v>
      </c>
      <c r="HE179" s="6">
        <f>COUNTIFS(Table16[Country],Tabela1[[#This Row],[Country]],Table16[Women''s Double Sculls Classification],"&gt;0")</f>
        <v>0</v>
      </c>
      <c r="HF179" s="6">
        <f>COUNTIFS(Table72[Country],Tabela1[[#This Row],[Country]],Table72[Men''s Quadruple Sculls Classification],"&gt;0")</f>
        <v>0</v>
      </c>
      <c r="HG179" s="6">
        <f>COUNTIFS(Table72[Country],Tabela1[[#This Row],[Country]],Table72[Women''s Quadruple Sculls Classification],"&gt;0")</f>
        <v>0</v>
      </c>
      <c r="HH179" s="6">
        <f>COUNTIFS(Table16[Country],Tabela1[[#This Row],[Country]],Table16[Men''s Coxless Pairs Classification],"&gt;0")</f>
        <v>0</v>
      </c>
      <c r="HI179" s="6">
        <f>COUNTIFS(Table16[Country],Tabela1[[#This Row],[Country]],Table16[Women''s Coxless Pairs Classification],"&gt;0")</f>
        <v>0</v>
      </c>
      <c r="HJ179" s="6">
        <f>COUNTIFS(Table72[Country],Tabela1[[#This Row],[Country]],Table72[Men''s Coxless Fours Classification],"&gt;0")</f>
        <v>0</v>
      </c>
      <c r="HK179" s="6">
        <f>COUNTIFS(Table72[Country],Tabela1[[#This Row],[Country]],Table72[Women''s Coxless Fours Classification],"&gt;0")</f>
        <v>0</v>
      </c>
      <c r="HL179" s="6">
        <f>COUNTIFS(Table72[Country],Tabela1[[#This Row],[Country]],Table72[Men''s Eights Classification],"&gt;0")</f>
        <v>0</v>
      </c>
      <c r="HM179" s="6">
        <f>COUNTIFS(Table72[Country],Tabela1[[#This Row],[Country]],Table72[Women''s Eights Classification],"&gt;0")</f>
        <v>0</v>
      </c>
      <c r="HN179" s="6">
        <f>COUNTIFS(Table16[Country],Tabela1[[#This Row],[Country]],Table16[Men''s Lwt. Double Sculls Classification],"&gt;0")</f>
        <v>0</v>
      </c>
      <c r="HO179" s="6">
        <f>COUNTIFS(Table16[Country],Tabela1[[#This Row],[Country]],Table16[Women''s Lwt. Double Sculls Classification],"&gt;0")</f>
        <v>0</v>
      </c>
      <c r="HP179" s="6">
        <f>COUNTIFS(Table91949698[Country],Tabela1[[#This Row],[Country]],Table91949698[Men''s Classification],"&gt;0")</f>
        <v>0</v>
      </c>
      <c r="HQ179" s="6">
        <f>COUNTIFS(Table91949698[Country],Tabela1[[#This Row],[Country]],Table91949698[Women''s Classification],"&gt;0")</f>
        <v>0</v>
      </c>
      <c r="HR179" s="6">
        <f>COUNTIFS(Table25[Country],Tabela1[[#This Row],[Country]],Table25[Mixed 470 Classification],"&gt;0")</f>
        <v>0</v>
      </c>
      <c r="HS179" s="6">
        <f>COUNTIFS(Table25[Country],Tabela1[[#This Row],[Country]],Table25[Men''s 49er Classification],"&gt;0")</f>
        <v>0</v>
      </c>
      <c r="HT179" s="6">
        <f>COUNTIFS(Table25[Country],Tabela1[[#This Row],[Country]],Table25[Women''s 49er FX Classification],"&gt;0")</f>
        <v>0</v>
      </c>
      <c r="HU179" s="6">
        <f>COUNTIFS(Table17[Country],Tabela1[[#This Row],[Country]],Table17[Formula Kite Classification],"&gt;0")</f>
        <v>0</v>
      </c>
      <c r="HV179" s="6">
        <f>COUNTIFS(Table18[Country],Tabela1[[#This Row],[Country]],Table18[Formula Kite Classification],"&gt;0")</f>
        <v>0</v>
      </c>
      <c r="HW179" s="6">
        <f>COUNTIFS(Table17[Country],Tabela1[[#This Row],[Country]],Table17[ILCA 7 Classification],"&gt;0")</f>
        <v>0</v>
      </c>
      <c r="HX179" s="6">
        <f>COUNTIFS(Table18[Country],Tabela1[[#This Row],[Country]],Table18[ILCA 6 Classification],"&gt;0")</f>
        <v>0</v>
      </c>
      <c r="HY179" s="6">
        <f>COUNTIFS(Table17[Country],Tabela1[[#This Row],[Country]],Table17[IQFoil Classification],"&gt;0")</f>
        <v>0</v>
      </c>
      <c r="HZ179" s="6">
        <f>COUNTIFS(Table18[Country],Tabela1[[#This Row],[Country]],Table18[IQFoil Classification],"&gt;0")</f>
        <v>0</v>
      </c>
      <c r="IA179" s="6">
        <f>COUNTIFS(Table25[Country],Tabela1[[#This Row],[Country]],Table25[Mixed Nacra 17 Classification],"&gt;0")</f>
        <v>0</v>
      </c>
      <c r="IB179" s="6">
        <f>COUNTIFS(Table53[Country],Tabela1[[#This Row],[Country]],Table53[10m Air Pistol Classification],"&gt;0")</f>
        <v>0</v>
      </c>
      <c r="IC179" s="6">
        <f>COUNTIFS(Table19[Country],Tabela1[[#This Row],[Country]],Table19[10m Air Pistol Classification],"&gt;0")</f>
        <v>0</v>
      </c>
      <c r="ID179" s="6">
        <f>COUNTIFS(Table54[Country],Tabela1[[#This Row],[Country]],Table54[Mixed 10m Air Pistol Team Classification],"&gt;0")</f>
        <v>0</v>
      </c>
      <c r="IE179" s="6">
        <f>COUNTIFS(Table53[Country],Tabela1[[#This Row],[Country]],Table53[10m Air Rifle Classification],"&gt;0")</f>
        <v>0</v>
      </c>
      <c r="IF179" s="6">
        <f>COUNTIFS(Table19[Country],Tabela1[[#This Row],[Country]],Table19[10m Air Rifle Classification],"&gt;0")</f>
        <v>0</v>
      </c>
      <c r="IG179" s="6">
        <f>COUNTIFS(Table54[Country],Tabela1[[#This Row],[Country]],Table54[Mixed 10m Air Rifle Team Classification],"&gt;0")</f>
        <v>0</v>
      </c>
      <c r="IH179" s="6">
        <f>COUNTIFS(Table53[Country],Tabela1[[#This Row],[Country]],Table53[25m Rapid Fire Pistol Classification],"&gt;0")</f>
        <v>0</v>
      </c>
      <c r="II179" s="6">
        <f>COUNTIFS(Table19[Country],Tabela1[[#This Row],[Country]],Table19[25m Pistol Classification],"&gt;0")</f>
        <v>0</v>
      </c>
      <c r="IJ179" s="6">
        <f>COUNTIFS(Table53[Country],Tabela1[[#This Row],[Country]],Table53[50m Rifle 3 Positions Classification],"&gt;0")</f>
        <v>0</v>
      </c>
      <c r="IK179" s="6">
        <f>COUNTIFS(Table19[Country],Tabela1[[#This Row],[Country]],Table19[50m Rifle 3 Positions Classification],"&gt;0")</f>
        <v>0</v>
      </c>
      <c r="IL179" s="6">
        <f>COUNTIFS(Table53[Country],Tabela1[[#This Row],[Country]],Table53[Skeet Classification],"&gt;0")</f>
        <v>0</v>
      </c>
      <c r="IM179" s="6">
        <f>COUNTIFS(Table19[Country],Tabela1[[#This Row],[Country]],Table19[Skeet Classification],"&gt;0")</f>
        <v>0</v>
      </c>
      <c r="IN179" s="6">
        <f>COUNTIFS(Table54[Country],Tabela1[[#This Row],[Country]],Table54[Mixed Skeet Team Classification],"&gt;0")</f>
        <v>0</v>
      </c>
      <c r="IO179" s="6">
        <f>COUNTIFS(Table53[Country],Tabela1[[#This Row],[Country]],Table53[Trap Classification],"&gt;0")</f>
        <v>0</v>
      </c>
      <c r="IP179" s="6">
        <f>COUNTIFS(Table19[Country],Tabela1[[#This Row],[Country]],Table19[Trap Classification],"&gt;0")</f>
        <v>0</v>
      </c>
      <c r="IQ179" s="6">
        <f>COUNTIFS(Table73[Country],Tabela1[[#This Row],[Country]],Table73[Park Classification],"&gt;0")</f>
        <v>0</v>
      </c>
      <c r="IR179" s="6">
        <f>COUNTIFS(Table74[Country],Tabela1[[#This Row],[Country]],Table74[Park Classification],"&gt;0")</f>
        <v>0</v>
      </c>
      <c r="IS179" s="6">
        <f>COUNTIFS(Table73[Country],Tabela1[[#This Row],[Country]],Table73[Street Classification],"&gt;0")</f>
        <v>0</v>
      </c>
      <c r="IT179" s="6">
        <f>COUNTIFS(Table74[Country],Tabela1[[#This Row],[Country]],Table74[Street Classification],"&gt;0")</f>
        <v>0</v>
      </c>
      <c r="IU179" s="6">
        <f>COUNTIFS(Table75[Country],Tabela1[[#This Row],[Country]],Table75[Boulder and Lead Classification],"&gt;0")</f>
        <v>0</v>
      </c>
      <c r="IV179" s="6">
        <f>COUNTIFS(Table76[Country],Tabela1[[#This Row],[Country]],Table76[Boulder and Lead Classification],"&gt;0")</f>
        <v>0</v>
      </c>
      <c r="IW179" s="6">
        <f>COUNTIFS(Table75[Country],Tabela1[[#This Row],[Country]],Table75[Speed Classification],"&gt;0")</f>
        <v>0</v>
      </c>
      <c r="IX179" s="6">
        <f>COUNTIFS(Table76[Country],Tabela1[[#This Row],[Country]],Table76[Speed Classification],"&gt;0")</f>
        <v>0</v>
      </c>
      <c r="IY179" s="6">
        <f>COUNTIFS(Table64[Country],Tabela1[[#This Row],[Country]],Table64[Shortboard Classification],"&gt;0")</f>
        <v>0</v>
      </c>
      <c r="IZ179" s="6">
        <f>COUNTIFS(Table77[Country],Tabela1[[#This Row],[Country]],Table77[Shortboard Classification],"&gt;0")</f>
        <v>0</v>
      </c>
      <c r="JA179" s="6">
        <f>COUNTIFS(Table20[Country],Tabela1[[#This Row],[Country]],Table20[50m Freestyle Classification],"&gt;0")</f>
        <v>0</v>
      </c>
      <c r="JB179" s="6">
        <f>COUNTIFS(Table21[Country],Tabela1[[#This Row],[Country]],Table21[50m Freestyle Classification],"&gt;0")</f>
        <v>0</v>
      </c>
      <c r="JC179" s="6">
        <f>COUNTIFS(Table20[Country],Tabela1[[#This Row],[Country]],Table20[100m Freestyle Classification],"&gt;0")</f>
        <v>0</v>
      </c>
      <c r="JD179" s="6">
        <f>COUNTIFS(Table21[Country],Tabela1[[#This Row],[Country]],Table21[100m Freestyle Classification],"&gt;0")</f>
        <v>0</v>
      </c>
      <c r="JE179" s="6">
        <f>COUNTIFS(Table20[Country],Tabela1[[#This Row],[Country]],Table20[200m Freestyle Classification],"&gt;0")</f>
        <v>0</v>
      </c>
      <c r="JF179" s="6">
        <f>COUNTIFS(Table21[Country],Tabela1[[#This Row],[Country]],Table21[200m Freestyle Classification],"&gt;0")</f>
        <v>0</v>
      </c>
      <c r="JG179" s="6">
        <f>COUNTIFS(Table20[Country],Tabela1[[#This Row],[Country]],Table20[400m Freestyle Classification],"&gt;0")</f>
        <v>0</v>
      </c>
      <c r="JH179" s="6">
        <f>COUNTIFS(Table21[Country],Tabela1[[#This Row],[Country]],Table21[400m Freestyle Classification],"&gt;0")</f>
        <v>0</v>
      </c>
      <c r="JI179" s="6">
        <f>COUNTIFS(Table20[Country],Tabela1[[#This Row],[Country]],Table20[800m Freestyle Classification],"&gt;0")</f>
        <v>0</v>
      </c>
      <c r="JJ179" s="6">
        <f>COUNTIFS(Table21[Country],Tabela1[[#This Row],[Country]],Table21[800m Freestyle Classification],"&gt;0")</f>
        <v>0</v>
      </c>
      <c r="JK179" s="6">
        <f>COUNTIFS(Table20[Country],Tabela1[[#This Row],[Country]],Table20[1500m Freestyle Classification],"&gt;0")</f>
        <v>0</v>
      </c>
      <c r="JL179" s="6">
        <f>COUNTIFS(Table21[Country],Tabela1[[#This Row],[Country]],Table21[1500m Freestyle Classification],"&gt;0")</f>
        <v>0</v>
      </c>
      <c r="JM179" s="6">
        <f>COUNTIFS(Table20[Country],Tabela1[[#This Row],[Country]],Table20[100m Backstroke Classification],"&gt;0")</f>
        <v>0</v>
      </c>
      <c r="JN179" s="6">
        <f>COUNTIFS(Table21[Country],Tabela1[[#This Row],[Country]],Table21[100m Backstroke Classification],"&gt;0")</f>
        <v>0</v>
      </c>
      <c r="JO179" s="6">
        <f>COUNTIFS(Table20[Country],Tabela1[[#This Row],[Country]],Table20[200m Backstroke Classification],"&gt;0")</f>
        <v>0</v>
      </c>
      <c r="JP179" s="6">
        <f>COUNTIFS(Table21[Country],Tabela1[[#This Row],[Country]],Table21[200m Backstroke Classification],"&gt;0")</f>
        <v>0</v>
      </c>
      <c r="JQ179" s="6">
        <f>COUNTIFS(Table20[Country],Tabela1[[#This Row],[Country]],Table20[100m Breaststroke Classification],"&gt;0")</f>
        <v>0</v>
      </c>
      <c r="JR179" s="6">
        <f>COUNTIFS(Table21[Country],Tabela1[[#This Row],[Country]],Table21[100m Breaststroke Classification],"&gt;0")</f>
        <v>0</v>
      </c>
      <c r="JS179" s="6">
        <f>COUNTIFS(Table20[Country],Tabela1[[#This Row],[Country]],Table20[200m Breaststroke Classification],"&gt;0")</f>
        <v>0</v>
      </c>
      <c r="JT179" s="6">
        <f>COUNTIFS(Table21[Country],Tabela1[[#This Row],[Country]],Table21[200m Breaststroke Classification],"&gt;0")</f>
        <v>0</v>
      </c>
      <c r="JU179" s="6">
        <f>COUNTIFS(Table20[Country],Tabela1[[#This Row],[Country]],Table20[100m Butterfly Classification],"&gt;0")</f>
        <v>0</v>
      </c>
      <c r="JV179" s="6">
        <f>COUNTIFS(Table21[Country],Tabela1[[#This Row],[Country]],Table21[100m Butterfly Classification],"&gt;0")</f>
        <v>0</v>
      </c>
      <c r="JW179" s="6">
        <f>COUNTIFS(Table20[Country],Tabela1[[#This Row],[Country]],Table20[200m Butterfly Classification],"&gt;0")</f>
        <v>0</v>
      </c>
      <c r="JX179" s="6">
        <f>COUNTIFS(Table21[Country],Tabela1[[#This Row],[Country]],Table21[200m Butterfly Classification],"&gt;0")</f>
        <v>0</v>
      </c>
      <c r="JY179" s="6">
        <f>COUNTIFS(Table20[Country],Tabela1[[#This Row],[Country]],Table20[200m Medley Classification],"&gt;0")</f>
        <v>0</v>
      </c>
      <c r="JZ179" s="6">
        <f>COUNTIFS(Table21[Country],Tabela1[[#This Row],[Country]],Table21[200m Medley Classification],"&gt;0")</f>
        <v>0</v>
      </c>
      <c r="KA179" s="6">
        <f>COUNTIFS(Table20[Country],Tabela1[[#This Row],[Country]],Table20[400m Medley Classification],"&gt;0")</f>
        <v>0</v>
      </c>
      <c r="KB179" s="6">
        <f>COUNTIFS(Table21[Country],Tabela1[[#This Row],[Country]],Table21[400m Medley Classification],"&gt;0")</f>
        <v>0</v>
      </c>
      <c r="KC179" s="6">
        <f>COUNTIFS(Table78[Country],Tabela1[[#This Row],[Country]],Table78[Men''s 4x100m Freestyle Relay Classification],"&gt;0")</f>
        <v>0</v>
      </c>
      <c r="KD179" s="6">
        <f>COUNTIFS(Table78[Country],Tabela1[[#This Row],[Country]],Table78[Women''s 4x100m Freestyle Relay Classification],"&gt;0")</f>
        <v>0</v>
      </c>
      <c r="KE179" s="6">
        <f>COUNTIFS(Table78[Country],Tabela1[[#This Row],[Country]],Table78[Men''s 4x200m Freestyle Relay Classification],"&gt;0")</f>
        <v>0</v>
      </c>
      <c r="KF179" s="6">
        <f>COUNTIFS(Table78[Country],Tabela1[[#This Row],[Country]],Table78[Women''s 4x200m Freestyle Relay Classification],"&gt;0")</f>
        <v>0</v>
      </c>
      <c r="KG179" s="6">
        <f>COUNTIFS(Table78[Country],Tabela1[[#This Row],[Country]],Table78[Men''s 4x100m Medley Relay Classification],"&gt;0")</f>
        <v>0</v>
      </c>
      <c r="KH179" s="6">
        <f>COUNTIFS(Table78[Country],Tabela1[[#This Row],[Country]],Table78[Women''s 4x100m Medley Relay Classification],"&gt;0")</f>
        <v>0</v>
      </c>
      <c r="KI179" s="6">
        <f>COUNTIFS(Table78[Country],Tabela1[[#This Row],[Country]],Table78[Mixed 4x100m Medley Relay Classification],"&gt;0")</f>
        <v>0</v>
      </c>
      <c r="KJ179" s="6">
        <f>COUNTIFS(Table20[Country],Tabela1[[#This Row],[Country]],Table20[10km Open Water Classification],"&gt;0")</f>
        <v>0</v>
      </c>
      <c r="KK179" s="6">
        <f>COUNTIFS(Table21[Country],Tabela1[[#This Row],[Country]],Table21[10km Open Water Classification],"&gt;0")</f>
        <v>0</v>
      </c>
      <c r="KL179" s="6">
        <f>COUNTIFS(Table22[Country],Tabela1[[#This Row],[Country]],Table22[Classification],"&gt;0")</f>
        <v>0</v>
      </c>
      <c r="KM179" s="6">
        <f>COUNTIFS(Table30[Country],Tabela1[[#This Row],[Country]],Table30[Classification],"&gt;0")</f>
        <v>0</v>
      </c>
      <c r="KN179" s="6">
        <f>COUNTIFS(Table55[Country],Tabela1[[#This Row],[Country]],Table55[Men''s Classification],"&gt;0")</f>
        <v>0</v>
      </c>
      <c r="KO179" s="6">
        <f>COUNTIFS(Table55[Country],Tabela1[[#This Row],[Country]],Table55[Women''s Classification],"&gt;0")</f>
        <v>0</v>
      </c>
      <c r="KP179" s="6">
        <f>COUNTIFS(Table56[Country],Tabela1[[#This Row],[Country]],Table56[Mixed Classification],"&gt;0")</f>
        <v>0</v>
      </c>
      <c r="KQ179" s="6">
        <f>COUNTIFS(Table29[Country],Tabela1[[#This Row],[Country]],Table29[58kg Classification],"&gt;0")</f>
        <v>0</v>
      </c>
      <c r="KR179" s="6">
        <f>COUNTIFS(Table29[Country],Tabela1[[#This Row],[Country]],Table29[68kg Classification],"&gt;0")</f>
        <v>0</v>
      </c>
      <c r="KS179" s="6">
        <f>COUNTIFS(Table29[Country],Tabela1[[#This Row],[Country]],Table29[80kg Classification],"&gt;0")</f>
        <v>0</v>
      </c>
      <c r="KT179" s="6">
        <f>COUNTIFS(Table29[Country],Tabela1[[#This Row],[Country]],Table29[Plus 80kg Classification],"&gt;0")</f>
        <v>0</v>
      </c>
      <c r="KU179" s="6">
        <f>COUNTIFS(Table34[Country],Tabela1[[#This Row],[Country]],Table34[49kg Classification],"&gt;0")</f>
        <v>0</v>
      </c>
      <c r="KV179" s="6">
        <f>COUNTIFS(Table34[Country],Tabela1[[#This Row],[Country]],Table34[57kg Classification],"&gt;0")</f>
        <v>0</v>
      </c>
      <c r="KW179" s="6">
        <f>COUNTIFS(Table34[Country],Tabela1[[#This Row],[Country]],Table34[67kg Classification],"&gt;0")</f>
        <v>0</v>
      </c>
      <c r="KX179" s="6">
        <f>COUNTIFS(Table34[Country],Tabela1[[#This Row],[Country]],Table34[Plus 67kg Classification],"&gt;0")</f>
        <v>0</v>
      </c>
      <c r="KY179" s="6">
        <f>COUNTIFS(Table57[Country],Tabela1[[#This Row],[Country]],Table57[Classification],"&gt;0")</f>
        <v>0</v>
      </c>
      <c r="KZ179" s="6">
        <f>COUNTIFS(Table58[Country],Tabela1[[#This Row],[Country]],Table58[Classification],"&gt;0")</f>
        <v>0</v>
      </c>
      <c r="LA179" s="6">
        <f>COUNTIFS(Table79[Country],Tabela1[[#This Row],[Country]],Table79[Men''s Classification],"&gt;0")</f>
        <v>0</v>
      </c>
      <c r="LB179" s="6">
        <f>COUNTIFS(Table79[Country],Tabela1[[#This Row],[Country]],Table79[Women''s Classification],"&gt;0")</f>
        <v>0</v>
      </c>
      <c r="LC179" s="6">
        <f>COUNTIFS(Table79[Country],Tabela1[[#This Row],[Country]],Table79[Mixed Classification],"&gt;0")</f>
        <v>0</v>
      </c>
      <c r="LD179" s="6">
        <f>COUNTIFS(Table65[Country],Tabela1[[#This Row],[Country]],Table65[Classification],"&gt;0")</f>
        <v>0</v>
      </c>
      <c r="LE179" s="6">
        <f>COUNTIFS(Table59[Country],Tabela1[[#This Row],[Country]],Table59[Classification],"&gt;0")</f>
        <v>0</v>
      </c>
      <c r="LF179" s="6">
        <f>COUNTIFS(Table87[Country],Tabela1[[#This Row],[Country]],Table87[Mixed Relay Classification],"&gt;0")</f>
        <v>0</v>
      </c>
      <c r="LG179" s="6">
        <f>COUNTIFS(Table91949698100[Country],Tabela1[[#This Row],[Country]],Table91949698100[Men''s Classification],"&gt;0")</f>
        <v>0</v>
      </c>
      <c r="LH179" s="6">
        <f>COUNTIFS(Table91949698100[Country],Tabela1[[#This Row],[Country]],Table91949698100[Women''s Classification],"&gt;0")</f>
        <v>0</v>
      </c>
      <c r="LI179" s="6">
        <f>COUNTIFS(Table91949698100102[Country],Tabela1[[#This Row],[Country]],Table91949698100102[Men''s Classification],"&gt;0")</f>
        <v>0</v>
      </c>
      <c r="LJ179" s="6">
        <f>COUNTIFS(Table91949698100102[Country],Tabela1[[#This Row],[Country]],Table91949698100102[Women''s Classification],"&gt;0")</f>
        <v>0</v>
      </c>
      <c r="LK179" s="6">
        <f>COUNTIFS(Table23[Country],Tabela1[[#This Row],[Country]],Table23[61kg Classification],"&gt;0")</f>
        <v>0</v>
      </c>
      <c r="LL179" s="6">
        <f>COUNTIFS(Table23[Country],Tabela1[[#This Row],[Country]],Table23[73kg Classification],"&gt;0")</f>
        <v>0</v>
      </c>
      <c r="LM179" s="6">
        <f>COUNTIFS(Table23[Country],Tabela1[[#This Row],[Country]],Table23[89kg Classification],"&gt;0")</f>
        <v>0</v>
      </c>
      <c r="LN179" s="6">
        <f>COUNTIFS(Table23[Country],Tabela1[[#This Row],[Country]],Table23[102kg Classification],"&gt;0")</f>
        <v>0</v>
      </c>
      <c r="LO179" s="6">
        <f>COUNTIFS(Table23[Country],Tabela1[[#This Row],[Country]],Table23[Plus 102kg Classification],"&gt;0")</f>
        <v>0</v>
      </c>
      <c r="LP179" s="6">
        <f>COUNTIFS(Table28[Country],Tabela1[[#This Row],[Country]],Table28[49kg Classification],"&gt;0")</f>
        <v>0</v>
      </c>
      <c r="LQ179" s="6">
        <f>COUNTIFS(Table28[Country],Tabela1[[#This Row],[Country]],Table28[59kg Classification],"&gt;0")</f>
        <v>0</v>
      </c>
      <c r="LR179" s="6">
        <f>COUNTIFS(Table28[Country],Tabela1[[#This Row],[Country]],Table28[71kg Classification],"&gt;0")</f>
        <v>0</v>
      </c>
      <c r="LS179" s="6">
        <f>COUNTIFS(Table28[Country],Tabela1[[#This Row],[Country]],Table28[81kg Classification],"&gt;0")</f>
        <v>0</v>
      </c>
      <c r="LT179" s="6">
        <f>COUNTIFS(Table28[Country],Tabela1[[#This Row],[Country]],Table28[Plus 81kg Classification],"&gt;0")</f>
        <v>0</v>
      </c>
      <c r="LU179" s="6">
        <f>COUNTIFS(Table24[Country],Tabela1[[#This Row],[Country]],Table24[Freestyle 57kg Classification],"&gt;0")</f>
        <v>0</v>
      </c>
      <c r="LV179" s="6">
        <f>COUNTIFS(Table24[Country],Tabela1[[#This Row],[Country]],Table24[Freestyle 65kg Classification],"&gt;0")</f>
        <v>0</v>
      </c>
      <c r="LW179" s="6">
        <f>COUNTIFS(Table24[Country],Tabela1[[#This Row],[Country]],Table24[Freestyle 74kg Classification],"&gt;0")</f>
        <v>0</v>
      </c>
      <c r="LX179" s="6">
        <f>COUNTIFS(Table24[Country],Tabela1[[#This Row],[Country]],Table24[Freestyle 86kg Classification],"&gt;0")</f>
        <v>0</v>
      </c>
      <c r="LY179" s="6">
        <f>COUNTIFS(Table24[Country],Tabela1[[#This Row],[Country]],Table24[Freestyle 97kg Classification],"&gt;0")</f>
        <v>0</v>
      </c>
      <c r="LZ179" s="6">
        <f>COUNTIFS(Table24[Country],Tabela1[[#This Row],[Country]],Table24[Freestyle 125kg Classification],"&gt;0")</f>
        <v>0</v>
      </c>
      <c r="MA179" s="6">
        <f>COUNTIFS(Table24[Country],Tabela1[[#This Row],[Country]],Table24[Greco-Roman 60kg Classification],"&gt;0")</f>
        <v>0</v>
      </c>
      <c r="MB179" s="6">
        <f>COUNTIFS(Table24[Country],Tabela1[[#This Row],[Country]],Table24[Greco-Roman 67kg Classification],"&gt;0")</f>
        <v>0</v>
      </c>
      <c r="MC179" s="6">
        <f>COUNTIFS(Table24[Country],Tabela1[[#This Row],[Country]],Table24[Greco-Roman 77kg Classification],"&gt;0")</f>
        <v>0</v>
      </c>
      <c r="MD179" s="6">
        <f>COUNTIFS(Table24[Country],Tabela1[[#This Row],[Country]],Table24[Greco-Roman 87kg Classification],"&gt;0")</f>
        <v>0</v>
      </c>
      <c r="ME179" s="6">
        <f>COUNTIFS(Table24[Country],Tabela1[[#This Row],[Country]],Table24[Greco-Roman 97kg Classification],"&gt;0")</f>
        <v>0</v>
      </c>
      <c r="MF179" s="6">
        <f>COUNTIFS(Table24[Country],Tabela1[[#This Row],[Country]],Table24[Greco-Roman 130kg Classification],"&gt;0")</f>
        <v>0</v>
      </c>
      <c r="MG179" s="6">
        <f>COUNTIFS(Table31[Country],Tabela1[[#This Row],[Country]],Table31[50kg Classification],"&gt;0")</f>
        <v>0</v>
      </c>
      <c r="MH179" s="6">
        <f>COUNTIFS(Table31[Country],Tabela1[[#This Row],[Country]],Table31[53kg Classification],"&gt;0")</f>
        <v>0</v>
      </c>
      <c r="MI179" s="6">
        <f>COUNTIFS(Table31[Country],Tabela1[[#This Row],[Country]],Table31[57kg Classification],"&gt;0")</f>
        <v>0</v>
      </c>
      <c r="MJ179" s="6">
        <f>COUNTIFS(Table31[Country],Tabela1[[#This Row],[Country]],Table31[62kg Classification],"&gt;0")</f>
        <v>0</v>
      </c>
      <c r="MK179" s="6">
        <f>COUNTIFS(Table31[Country],Tabela1[[#This Row],[Country]],Table31[68kg Classification],"&gt;0")</f>
        <v>0</v>
      </c>
      <c r="ML179" s="6">
        <f>COUNTIFS(Table31[Country],Tabela1[[#This Row],[Country]],Table31[76kg Classification],"&gt;0")</f>
        <v>0</v>
      </c>
      <c r="MM179" s="6">
        <f>COUNTIFS(Table102[Country],Tabela1[[#This Row],[Country]],Table102[Downhill Classification],"&gt;0")</f>
        <v>0</v>
      </c>
      <c r="MN179" s="6">
        <f>COUNTIFS(Table102105[Country],Tabela1[[#This Row],[Country]],Table102105[Downhill Classification],"&gt;0")</f>
        <v>0</v>
      </c>
      <c r="MO179" s="6">
        <f>COUNTIFS(Table102[Country],Tabela1[[#This Row],[Country]],Table102[Giant Slalom Classification],"&gt;0")</f>
        <v>0</v>
      </c>
      <c r="MP179" s="6">
        <f>COUNTIFS(Table102105[Country],Tabela1[[#This Row],[Country]],Table102105[Giant Slalom Classification],"&gt;0")</f>
        <v>0</v>
      </c>
      <c r="MQ179" s="6">
        <f>COUNTIFS(Table102[Country],Tabela1[[#This Row],[Country]],Table102[Slalom Classification],"&gt;0")</f>
        <v>0</v>
      </c>
      <c r="MR179" s="6">
        <f>COUNTIFS(Table102105[Country],Tabela1[[#This Row],[Country]],Table102105[Slalom Classification],"&gt;0")</f>
        <v>0</v>
      </c>
      <c r="MS179" s="6">
        <f>COUNTIFS(Table102[Country],Tabela1[[#This Row],[Country]],Table102[Super-G Classification],"&gt;0")</f>
        <v>0</v>
      </c>
      <c r="MT179" s="6">
        <f>COUNTIFS(Table102105[Country],Tabela1[[#This Row],[Country]],Table102105[Super-G Classification],"&gt;0")</f>
        <v>0</v>
      </c>
      <c r="MU179" s="6">
        <f>COUNTIFS(Table105[Country],Tabela1[[#This Row],[Country]],Table105[Men''s Combined Classification],"&gt;0")</f>
        <v>0</v>
      </c>
      <c r="MV179" s="6">
        <f>COUNTIFS(Table105[Country],Tabela1[[#This Row],[Country]],Table105[Women''s Combined Classification],"&gt;0")</f>
        <v>0</v>
      </c>
      <c r="MW179" s="6">
        <f>COUNTIFS(Table106[Country],Tabela1[[#This Row],[Country]],Table106[Individual Classification],"&gt;0")</f>
        <v>0</v>
      </c>
      <c r="MX179" s="6">
        <f>COUNTIFS(Table106109[Country],Tabela1[[#This Row],[Country]],Table106109[Individual Classification],"&gt;0")</f>
        <v>0</v>
      </c>
      <c r="MY179" s="6">
        <f>COUNTIFS(Table106[Country],Tabela1[[#This Row],[Country]],Table106[Mass Start Classification],"&gt;0")</f>
        <v>0</v>
      </c>
      <c r="MZ179" s="6">
        <f>COUNTIFS(Table106109[Country],Tabela1[[#This Row],[Country]],Table106109[Mass Start Classification],"&gt;0")</f>
        <v>0</v>
      </c>
      <c r="NA179" s="6">
        <f>COUNTIFS(Table106[Country],Tabela1[[#This Row],[Country]],Table106[Pursuit Classification],"&gt;0")</f>
        <v>0</v>
      </c>
      <c r="NB179" s="6">
        <f>COUNTIFS(Table106109[Country],Tabela1[[#This Row],[Country]],Table106109[Pursuit Classification],"&gt;0")</f>
        <v>0</v>
      </c>
      <c r="NC179" s="6">
        <f>COUNTIFS(Table106[Country],Tabela1[[#This Row],[Country]],Table106[Sprint Classification],"&gt;0")</f>
        <v>0</v>
      </c>
      <c r="ND179" s="6">
        <f>COUNTIFS(Table106109[Country],Tabela1[[#This Row],[Country]],Table106109[Sprint Classification],"&gt;0")</f>
        <v>0</v>
      </c>
      <c r="NE179" s="6">
        <f>COUNTIFS(Table109[Country],Tabela1[[#This Row],[Country]],Table109[Men''s Relay Classification],"&gt;0")</f>
        <v>0</v>
      </c>
      <c r="NF179" s="6">
        <f>COUNTIFS(Table109[Country],Tabela1[[#This Row],[Country]],Table109[Women''s Relay Classification],"&gt;0")</f>
        <v>0</v>
      </c>
      <c r="NG179" s="6">
        <f>COUNTIFS(Table109[Country],Tabela1[[#This Row],[Country]],Table109[Mixed Relay Classification],"&gt;0")</f>
        <v>0</v>
      </c>
      <c r="NH179" s="6">
        <f>COUNTIFS(Table110[Country],Tabela1[[#This Row],[Country]],Table110[Monobob Classification],"&gt;0")</f>
        <v>0</v>
      </c>
      <c r="NI179" s="6">
        <f>COUNTIFS(Table111[Country],Tabela1[[#This Row],[Country]],Table111[Men''s Classification],"&gt;0")</f>
        <v>0</v>
      </c>
      <c r="NJ179" s="6">
        <f>COUNTIFS(Table111[Country],Tabela1[[#This Row],[Country]],Table111[Women''s Classification],"&gt;0")</f>
        <v>0</v>
      </c>
      <c r="NK179" s="6">
        <f>COUNTIFS(Table112[Country],Tabela1[[#This Row],[Country]],Table112[Men''s Four Classification],"&gt;0")</f>
        <v>0</v>
      </c>
      <c r="NL179" s="6">
        <f>COUNTIFS(Table113[Country],Tabela1[[#This Row],[Country]],Table113[Classical Classification],"&gt;0")</f>
        <v>0</v>
      </c>
      <c r="NM179" s="6">
        <f>COUNTIFS(Table113116[Country],Tabela1[[#This Row],[Country]],Table113116[Classical Classification],"&gt;0")</f>
        <v>0</v>
      </c>
      <c r="NN179" s="6">
        <f>COUNTIFS(Table113[Country],Tabela1[[#This Row],[Country]],Table113[Freestyle Classification],"&gt;0")</f>
        <v>0</v>
      </c>
      <c r="NO179" s="6">
        <f>COUNTIFS(Table113116[Country],Tabela1[[#This Row],[Country]],Table113116[Freestyle Classification],"&gt;0")</f>
        <v>0</v>
      </c>
      <c r="NP179" s="6">
        <f>COUNTIFS(Table117[Country],Tabela1[[#This Row],[Country]],Table117[Men''s Relay Classification],"&gt;0")</f>
        <v>0</v>
      </c>
      <c r="NQ179" s="6">
        <f>COUNTIFS(Table117[Country],Tabela1[[#This Row],[Country]],Table117[Women''s Relay Classification],"&gt;0")</f>
        <v>0</v>
      </c>
      <c r="NR179" s="6">
        <f>COUNTIFS(Table113[Country],Tabela1[[#This Row],[Country]],Table113[Skiathlon Classification],"&gt;0")</f>
        <v>0</v>
      </c>
      <c r="NS179" s="6">
        <f>COUNTIFS(Table113116[Country],Tabela1[[#This Row],[Country]],Table113116[Skiathlon Classification],"&gt;0")</f>
        <v>0</v>
      </c>
      <c r="NT179" s="6">
        <f>COUNTIFS(Table113[Country],Tabela1[[#This Row],[Country]],Table113[Sprint Classification],"&gt;0")</f>
        <v>0</v>
      </c>
      <c r="NU179" s="6">
        <f>COUNTIFS(Table113116[Country],Tabela1[[#This Row],[Country]],Table113116[Sprint Classification],"&gt;0")</f>
        <v>0</v>
      </c>
      <c r="NV179" s="6">
        <f>COUNTIFS(Table116[Country],Tabela1[[#This Row],[Country]],Table116[Men''s Team Sprint Classification],"&gt;0")</f>
        <v>0</v>
      </c>
      <c r="NW179" s="6">
        <f>COUNTIFS(Table116[Country],Tabela1[[#This Row],[Country]],Table116[Women''s Team Sprint Classification],"&gt;0")</f>
        <v>0</v>
      </c>
      <c r="NX179" s="6">
        <f>COUNTIFS(Table119[Country],Tabela1[[#This Row],[Country]],Table119[Men''s Classification],"&gt;0")</f>
        <v>0</v>
      </c>
      <c r="NY179" s="6">
        <f>COUNTIFS(Table119[Country],Tabela1[[#This Row],[Country]],Table119[Women''s Classification],"&gt;0")</f>
        <v>0</v>
      </c>
      <c r="NZ179" s="6">
        <f>COUNTIFS(Table118[Country],Tabela1[[#This Row],[Country]],Table118[Mixed Classification],"&gt;0")</f>
        <v>0</v>
      </c>
      <c r="OA179" s="6">
        <f>COUNTIFS(Table120[Country],Tabela1[[#This Row],[Country]],Table120[Classification],"&gt;0")</f>
        <v>0</v>
      </c>
      <c r="OB179" s="6">
        <f>COUNTIFS(Table120123[Country],Tabela1[[#This Row],[Country]],Table120123[Classification],"&gt;0")</f>
        <v>0</v>
      </c>
      <c r="OC179" s="6">
        <f>COUNTIFS(Table123[Country],Tabela1[[#This Row],[Country]],Table123[Ice Dance Classification],"&gt;0")</f>
        <v>0</v>
      </c>
      <c r="OD179" s="6">
        <f>COUNTIFS(Table123[Country],Tabela1[[#This Row],[Country]],Table123[Pair Skating Classification],"&gt;0")</f>
        <v>0</v>
      </c>
      <c r="OE179" s="6">
        <f>COUNTIFS(Table124[Country],Tabela1[[#This Row],[Country]],Table124[Mixed Classification],"&gt;0")</f>
        <v>0</v>
      </c>
      <c r="OF179" s="6">
        <f>COUNTIFS(Table125[Country],Tabela1[[#This Row],[Country]],Table125[Aerials Classification],"&gt;0")</f>
        <v>0</v>
      </c>
      <c r="OG179" s="6">
        <f>COUNTIFS(Table125128[Country],Tabela1[[#This Row],[Country]],Table125128[Aerials Classification],"&gt;0")</f>
        <v>0</v>
      </c>
      <c r="OH179" s="6">
        <f>COUNTIFS(Table128[Country],Tabela1[[#This Row],[Country]],Table128[Mixed Aerials Classification],"&gt;0")</f>
        <v>0</v>
      </c>
      <c r="OI179" s="6">
        <f>COUNTIFS(Table125[Country],Tabela1[[#This Row],[Country]],Table125[Big Air Classification],"&gt;0")</f>
        <v>0</v>
      </c>
      <c r="OJ179" s="6">
        <f>COUNTIFS(Table125128[Country],Tabela1[[#This Row],[Country]],Table125128[Big Air Classification],"&gt;0")</f>
        <v>0</v>
      </c>
      <c r="OK179" s="6">
        <f>COUNTIFS(Table125[Country],Tabela1[[#This Row],[Country]],Table125[Dual Moguls Classification],"&gt;0")</f>
        <v>0</v>
      </c>
      <c r="OL179" s="6">
        <f>COUNTIFS(Table125128[Country],Tabela1[[#This Row],[Country]],Table125128[Dual Moguls Classification],"&gt;0")</f>
        <v>0</v>
      </c>
      <c r="OM179" s="6">
        <f>COUNTIFS(Table125[Country],Tabela1[[#This Row],[Country]],Table125[Halfpipe Classification],"&gt;0")</f>
        <v>0</v>
      </c>
      <c r="ON179" s="6">
        <f>COUNTIFS(Table125128[Country],Tabela1[[#This Row],[Country]],Table125128[Halfpipe Classification],"&gt;0")</f>
        <v>0</v>
      </c>
      <c r="OO179" s="6">
        <f>COUNTIFS(Table125[Country],Tabela1[[#This Row],[Country]],Table125[Moguls Classification],"&gt;0")</f>
        <v>0</v>
      </c>
      <c r="OP179" s="6">
        <f>COUNTIFS(Table125128[Country],Tabela1[[#This Row],[Country]],Table125128[Moguls Classification],"&gt;0")</f>
        <v>0</v>
      </c>
      <c r="OQ179" s="6">
        <f>COUNTIFS(Table125[Country],Tabela1[[#This Row],[Country]],Table125[Ski Cross Classification],"&gt;0")</f>
        <v>0</v>
      </c>
      <c r="OR179" s="6">
        <f>COUNTIFS(Table125128[Country],Tabela1[[#This Row],[Country]],Table125128[Ski Cross Classification],"&gt;0")</f>
        <v>0</v>
      </c>
      <c r="OS179" s="6">
        <f>COUNTIFS(Table125[Country],Tabela1[[#This Row],[Country]],Table125[Slopestyle Classification],"&gt;0")</f>
        <v>0</v>
      </c>
      <c r="OT179" s="6">
        <f>COUNTIFS(Table125128[Country],Tabela1[[#This Row],[Country]],Table125128[Slopestyle Classification],"&gt;0")</f>
        <v>0</v>
      </c>
      <c r="OU179" s="6">
        <f>COUNTIFS(Table119131[Country],Tabela1[[#This Row],[Country]],Table119131[Men''s Classification],"&gt;0")</f>
        <v>0</v>
      </c>
      <c r="OV179" s="6">
        <f>COUNTIFS(Table119131[Country],Tabela1[[#This Row],[Country]],Table119131[Women''s Classification],"&gt;0")</f>
        <v>0</v>
      </c>
      <c r="OW179" s="6">
        <f>COUNTIFS(Table131[Country],Tabela1[[#This Row],[Country]],Table131[Classification],"&gt;0")</f>
        <v>0</v>
      </c>
      <c r="OX179" s="6">
        <f>COUNTIFS(Table131134[Country],Tabela1[[#This Row],[Country]],Table131134[Classification],"&gt;0")</f>
        <v>0</v>
      </c>
      <c r="OY179" s="6">
        <f>COUNTIFS(Table134[Country],Tabela1[[#This Row],[Country]],Table134[Men''s Classification],"&gt;0")</f>
        <v>0</v>
      </c>
      <c r="OZ179" s="6">
        <f>COUNTIFS(Table134[Country],Tabela1[[#This Row],[Country]],Table134[Women''s Classification],"&gt;0")</f>
        <v>0</v>
      </c>
      <c r="PA179" s="6">
        <f>COUNTIFS(Table135[Country],Tabela1[[#This Row],[Country]],Table135[Mixed Relay Classification],"&gt;0")</f>
        <v>0</v>
      </c>
      <c r="PB179" s="6">
        <f>COUNTIFS(Table136[Country],Tabela1[[#This Row],[Country]],Table136[Individual Classification],"&gt;0")</f>
        <v>0</v>
      </c>
      <c r="PC179" s="6">
        <f>COUNTIFS(Table136[Country],Tabela1[[#This Row],[Country]],Table136[Sprint Classification],"&gt;0")</f>
        <v>0</v>
      </c>
      <c r="PD179" s="6">
        <f>COUNTIFS(Table137[Country],Tabela1[[#This Row],[Country]],Table137[Men''s Team Sprint Large Hill Classification],"&gt;0")</f>
        <v>0</v>
      </c>
      <c r="PE179" s="6">
        <f>COUNTIFS(Table138[Country],Tabela1[[#This Row],[Country]],Table138[500m Classification],"&gt;0")</f>
        <v>0</v>
      </c>
      <c r="PF179" s="6">
        <f>COUNTIFS(Table138141[Country],Tabela1[[#This Row],[Country]],Table138141[500m Classification],"&gt;0")</f>
        <v>0</v>
      </c>
      <c r="PG179" s="6">
        <f>COUNTIFS(Table138[Country],Tabela1[[#This Row],[Country]],Table138[1000m Classification],"&gt;0")</f>
        <v>0</v>
      </c>
      <c r="PH179" s="6">
        <f>COUNTIFS(Table138141[Country],Tabela1[[#This Row],[Country]],Table138141[1000m Classification],"&gt;0")</f>
        <v>0</v>
      </c>
      <c r="PI179" s="6">
        <f>COUNTIFS(Table138[Country],Tabela1[[#This Row],[Country]],Table138[1500m Classification],"&gt;0")</f>
        <v>0</v>
      </c>
      <c r="PJ179" s="6">
        <f>COUNTIFS(Table138141[Country],Tabela1[[#This Row],[Country]],Table138141[1500m Classification],"&gt;0")</f>
        <v>0</v>
      </c>
      <c r="PK179" s="6">
        <f>COUNTIFS(Table141[Country],Tabela1[[#This Row],[Country]],Table141[Men''s 5000m Relay Classification],"&gt;0")</f>
        <v>0</v>
      </c>
      <c r="PL179" s="6">
        <f>COUNTIFS(Table141[Country],Tabela1[[#This Row],[Country]],Table141[Women''s 3000m Relay Classification],"&gt;0")</f>
        <v>0</v>
      </c>
      <c r="PM179" s="6">
        <f>COUNTIFS(Table141[Country],Tabela1[[#This Row],[Country]],Table141[Mixed 2000m Relay Classification],"&gt;0")</f>
        <v>0</v>
      </c>
      <c r="PN179" s="6">
        <f>COUNTIFS(Table142[Country],Tabela1[[#This Row],[Country]],Table142[Classification],"&gt;0")</f>
        <v>0</v>
      </c>
      <c r="PO179" s="6">
        <f>COUNTIFS(Table142145[Country],Tabela1[[#This Row],[Country]],Table142145[Classification],"&gt;0")</f>
        <v>0</v>
      </c>
      <c r="PP179" s="6">
        <f>COUNTIFS(Tabela15[Country],Tabela1[[#This Row],[Country]],Tabela15[Mixed Team Classification],"&gt;0")</f>
        <v>0</v>
      </c>
      <c r="PQ179" s="6">
        <f>COUNTIFS(Table145[Country],Tabela1[[#This Row],[Country]],Table145[Large Hill Classification],"&gt;0")</f>
        <v>0</v>
      </c>
      <c r="PR179" s="6">
        <f>COUNTIFS(Table145[Country],Tabela1[[#This Row],[Country]],Table145[Normal Hill Classification],"&gt;0")</f>
        <v>0</v>
      </c>
      <c r="PS179" s="6">
        <f>COUNTIFS(Table145148[Country],Tabela1[[#This Row],[Country]],Table145148[Large Hill Classification],"&gt;0")</f>
        <v>0</v>
      </c>
      <c r="PT179" s="6">
        <f>COUNTIFS(Table145148[Country],Tabela1[[#This Row],[Country]],Table145148[Normal Hill Classification],"&gt;0")</f>
        <v>0</v>
      </c>
      <c r="PU179" s="6">
        <f>COUNTIFS(Table148[Country],Tabela1[[#This Row],[Country]],Table148[Men''s Super Team Classification],"&gt;0")</f>
        <v>0</v>
      </c>
      <c r="PV179" s="6">
        <f>COUNTIFS(Tabela114[Country],Tabela1[[#This Row],[Country]],Tabela114[Mixed Normal Hill Classification],"&gt;0")</f>
        <v>0</v>
      </c>
      <c r="PW179" s="6">
        <f>COUNTIFS(Tabela50[Country],Tabela1[[#This Row],[Country]],Tabela50[Sprint Classification],"&gt;0")</f>
        <v>0</v>
      </c>
      <c r="PX179" s="6">
        <f>COUNTIFS(Tabela50101[Country],Tabela1[[#This Row],[Country]],Tabela50101[Sprint Classification],"&gt;0")</f>
        <v>0</v>
      </c>
      <c r="PY179" s="6">
        <f>COUNTIFS(Tabela103[Country],Tabela1[[#This Row],[Country]],Tabela103[Mixed Relay Classification],"&gt;0")</f>
        <v>0</v>
      </c>
      <c r="PZ179" s="6">
        <f>COUNTIFS(Table149[Country],Tabela1[[#This Row],[Country]],Table149[Big Air Classification],"&gt;0")</f>
        <v>0</v>
      </c>
      <c r="QA179" s="6">
        <f>COUNTIFS(Table149152[Country],Tabela1[[#This Row],[Country]],Table149152[Big Air Classification],"&gt;0")</f>
        <v>0</v>
      </c>
      <c r="QB179" s="6">
        <f>COUNTIFS(Table149[Country],Tabela1[[#This Row],[Country]],Table149[Halfpipe Classification],"&gt;0")</f>
        <v>0</v>
      </c>
      <c r="QC179" s="6">
        <f>COUNTIFS(Table149152[Country],Tabela1[[#This Row],[Country]],Table149152[Halfpipe Classification],"&gt;0")</f>
        <v>0</v>
      </c>
      <c r="QD179" s="6">
        <f>COUNTIFS(Table149[Country],Tabela1[[#This Row],[Country]],Table149[Parallel Giant Slalom Classification],"&gt;0")</f>
        <v>0</v>
      </c>
      <c r="QE179" s="6">
        <f>COUNTIFS(Table149152[Country],Tabela1[[#This Row],[Country]],Table149152[Parallel Giant Slalom Classification],"&gt;0")</f>
        <v>0</v>
      </c>
      <c r="QF179" s="6">
        <f>COUNTIFS(Table149[Country],Tabela1[[#This Row],[Country]],Table149[Slopestyle Classification],"&gt;0")</f>
        <v>0</v>
      </c>
      <c r="QG179" s="6">
        <f>COUNTIFS(Table149152[Country],Tabela1[[#This Row],[Country]],Table149152[Slopestyle Classification],"&gt;0")</f>
        <v>0</v>
      </c>
      <c r="QH179" s="6">
        <f>COUNTIFS(Table149[Country],Tabela1[[#This Row],[Country]],Table149[Snowboard Cross Classification],"&gt;0")</f>
        <v>0</v>
      </c>
      <c r="QI179" s="6">
        <f>COUNTIFS(Table149152[Country],Tabela1[[#This Row],[Country]],Table149152[Snowboard Cross Classification],"&gt;0")</f>
        <v>0</v>
      </c>
      <c r="QJ179" s="6">
        <f>COUNTIFS(Table153[Country],Tabela1[[#This Row],[Country]],Table153[Mixed Team Snowboard Cross Classification],"&gt;0")</f>
        <v>0</v>
      </c>
      <c r="QK179" s="6">
        <f>COUNTIFS(Table154[Country],Tabela1[[#This Row],[Country]],Table154[500m Classification],"&gt;0")</f>
        <v>0</v>
      </c>
      <c r="QL179" s="6">
        <f>COUNTIFS(Table154157[Country],Tabela1[[#This Row],[Country]],Table154157[500m Classification],"&gt;0")</f>
        <v>0</v>
      </c>
      <c r="QM179" s="6">
        <f>COUNTIFS(Table154[Country],Tabela1[[#This Row],[Country]],Table154[1000m Classification],"&gt;0")</f>
        <v>0</v>
      </c>
      <c r="QN179" s="6">
        <f>COUNTIFS(Table154157[Country],Tabela1[[#This Row],[Country]],Table154157[1000m Classification],"&gt;0")</f>
        <v>0</v>
      </c>
      <c r="QO179" s="6">
        <f>COUNTIFS(Table154[Country],Tabela1[[#This Row],[Country]],Table154[1500m Classification],"&gt;0")</f>
        <v>0</v>
      </c>
      <c r="QP179" s="6">
        <f>COUNTIFS(Table154157[Country],Tabela1[[#This Row],[Country]],Table154157[1500m Classification],"&gt;0")</f>
        <v>0</v>
      </c>
      <c r="QQ179" s="6">
        <f>COUNTIFS(Table154157[Country],Tabela1[[#This Row],[Country]],Table154157[3000m Classification],"&gt;0")</f>
        <v>0</v>
      </c>
      <c r="QR179" s="6">
        <f>COUNTIFS(Table154[Country],Tabela1[[#This Row],[Country]],Table154[5000m Classification],"&gt;0")</f>
        <v>0</v>
      </c>
      <c r="QS179" s="6">
        <f>COUNTIFS(Table154157[Country],Tabela1[[#This Row],[Country]],Table154157[5000m Classification],"&gt;0")</f>
        <v>0</v>
      </c>
      <c r="QT179" s="6">
        <f>COUNTIFS(Table154[Country],Tabela1[[#This Row],[Country]],Table154[10000m Classification],"&gt;0")</f>
        <v>0</v>
      </c>
      <c r="QU179" s="6">
        <f>COUNTIFS(Table154[Country],Tabela1[[#This Row],[Country]],Table154[Mass Start Classification],"&gt;0")</f>
        <v>0</v>
      </c>
      <c r="QV179" s="6">
        <f>COUNTIFS(Table154157[Country],Tabela1[[#This Row],[Country]],Table154157[Mass Start Classification],"&gt;0")</f>
        <v>0</v>
      </c>
      <c r="QW179" s="6">
        <f>COUNTIFS(Table157[Country],Tabela1[[#This Row],[Country]],Table157[Men''s Pursuit Classification],"&gt;0")</f>
        <v>0</v>
      </c>
      <c r="QX179" s="6">
        <f>COUNTIFS(Table157[Country],Tabela1[[#This Row],[Country]],Table157[Women''s Pursuit Classification],"&gt;0")</f>
        <v>0</v>
      </c>
      <c r="QY179" s="4" t="s">
        <v>585</v>
      </c>
    </row>
    <row r="180" spans="1:467" x14ac:dyDescent="0.3">
      <c r="A180" s="6">
        <v>179</v>
      </c>
      <c r="B180" s="6" t="s">
        <v>586</v>
      </c>
      <c r="C180" t="e" vm="179">
        <f>IF(ISBLANK(Tabela1[[#This Row],[Image Link]]), "", _xlfn.IMAGE(Tabela1[[#This Row],[Image Link]],1,1))</f>
        <v>#VALUE!</v>
      </c>
      <c r="D180" s="6">
        <f>SUM(Tabela1[[#This Row],[Archery - Men''s Individual Recurve]:[Speed Skating - Women''s Team Pursuit]])</f>
        <v>0</v>
      </c>
      <c r="E180" s="6">
        <f>COUNTIF(Tabela1[[#This Row],[Archery - Men''s Individual Recurve]:[Speed Skating - Women''s Team Pursuit]],"&gt;0")</f>
        <v>0</v>
      </c>
      <c r="F180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80" s="6">
        <f>SUM(Tabela1[[#This Row],[Archery - Men''s Individual Recurve]:[Wrestling - Women''s Freestyle 76kg]])</f>
        <v>0</v>
      </c>
      <c r="H180" s="6">
        <f>SUM(Tabela1[[#This Row],[Alpine Skiing - Men''s Downhill]:[Speed Skating - Women''s Team Pursuit]])</f>
        <v>0</v>
      </c>
      <c r="I180" s="6">
        <f>Tabela1[[#This Row],[Summer Gold Medals]]+Tabela1[[#This Row],[Winter Gold Medals]]</f>
        <v>0</v>
      </c>
      <c r="J180" s="6">
        <f>Tabela1[[#This Row],[Summer Silver Medals]]+Tabela1[[#This Row],[Winter Silver Medals]]</f>
        <v>0</v>
      </c>
      <c r="K180" s="6">
        <f>Tabela1[[#This Row],[Summer Bronze Medals]]+Tabela1[[#This Row],[Winter Bronze Medals]]</f>
        <v>0</v>
      </c>
      <c r="L180" s="6">
        <f>SUM(Tabela1[[#This Row],[Total Gold Medals]:[Total Bronze Medals]])</f>
        <v>0</v>
      </c>
      <c r="M180" s="6"/>
      <c r="N180" s="6"/>
      <c r="O180" s="6"/>
      <c r="P180" s="6">
        <f>SUM(Tabela1[[#This Row],[Summer Gold Medals]:[Summer Bronze Medals]])</f>
        <v>0</v>
      </c>
      <c r="Q180" s="6"/>
      <c r="R180" s="6"/>
      <c r="S180" s="6"/>
      <c r="T180" s="6">
        <f>Tabela1[[#This Row],[Winter Gold Medals]]+Tabela1[[#This Row],[Winter Silver Medals]]+Tabela1[[#This Row],[Winter Bronze Medals]]</f>
        <v>0</v>
      </c>
      <c r="U180" s="7" t="e">
        <f>Tabela1[[#This Row],[Total Medals]]/Tabela1[[#This Row],[Total Quotas]]</f>
        <v>#DIV/0!</v>
      </c>
      <c r="V180" s="6">
        <f>COUNTIFS(Table3[Country],Tabela1[[#This Row],[Country]],Table3[Recurve Classification],"&gt;0")</f>
        <v>0</v>
      </c>
      <c r="W180" s="6">
        <f>COUNTIFS(Table33[Country],Tabela1[[#This Row],[Country]],Table33[Recurve Classification],"&gt;0")</f>
        <v>0</v>
      </c>
      <c r="X180" s="6">
        <f>COUNTIFS(Table35[Country],Tabela1[[#This Row],[Country]],Table35[Men''s Team Recurve Classification],"&gt;0")</f>
        <v>0</v>
      </c>
      <c r="Y180" s="6">
        <f>COUNTIFS(Table35[Country],Tabela1[[#This Row],[Country]],Table35[Women''s Team Recurve Classification],"&gt;0")</f>
        <v>0</v>
      </c>
      <c r="Z180" s="6">
        <f>COUNTIFS(Tabela88[Country],Tabela1[[#This Row],[Country]],Tabela88[Mixed Team Recurve Classification],"&gt;0")</f>
        <v>0</v>
      </c>
      <c r="AA180" s="6">
        <f>COUNTIFS(Table36[Country],Tabela1[[#This Row],[Country]],Table36[Classification],"&gt;0")</f>
        <v>0</v>
      </c>
      <c r="AB180" s="6">
        <f>COUNTIFS(Table37[Country],Tabela1[[#This Row],[Country]],Table37[Classification],"&gt;0")</f>
        <v>0</v>
      </c>
      <c r="AC180" s="6">
        <f>COUNTIFS(Table4[Country],Tabela1[[#This Row],[Country]],Table4[100m Classification],"&gt;0")</f>
        <v>0</v>
      </c>
      <c r="AD180" s="6">
        <f>COUNTIFS(Table5[Country],Tabela1[[#This Row],[Country]],Table5[100m Classification],"&gt;0")</f>
        <v>0</v>
      </c>
      <c r="AE180" s="6">
        <f>COUNTIFS(Table4[Country],Tabela1[[#This Row],[Country]],Table4[200m Classification],"&gt;0")</f>
        <v>0</v>
      </c>
      <c r="AF180" s="6">
        <f>COUNTIFS(Table5[Country],Tabela1[[#This Row],[Country]],Table5[200m Classification],"&gt;0")</f>
        <v>0</v>
      </c>
      <c r="AG180" s="6">
        <f>COUNTIFS(Table4[Country],Tabela1[[#This Row],[Country]],Table4[400m Classification],"&gt;0")</f>
        <v>0</v>
      </c>
      <c r="AH180" s="6">
        <f>COUNTIFS(Table5[Country],Tabela1[[#This Row],[Country]],Table5[400m Classification],"&gt;0")</f>
        <v>0</v>
      </c>
      <c r="AI180" s="6">
        <f>COUNTIFS(Table4[Country],Tabela1[[#This Row],[Country]],Table4[800m Classification],"&gt;0")</f>
        <v>0</v>
      </c>
      <c r="AJ180" s="6">
        <f>COUNTIFS(Table5[Country],Tabela1[[#This Row],[Country]],Table5[800m Classification],"&gt;0")</f>
        <v>0</v>
      </c>
      <c r="AK180" s="6">
        <f>COUNTIFS(Table4[Country],Tabela1[[#This Row],[Country]],Table4[1500m Classification],"&gt;0")</f>
        <v>0</v>
      </c>
      <c r="AL180" s="6">
        <f>COUNTIFS(Table5[Country],Tabela1[[#This Row],[Country]],Table5[1500m Classification],"&gt;0")</f>
        <v>0</v>
      </c>
      <c r="AM180" s="6">
        <f>COUNTIFS(Table4[Country],Tabela1[[#This Row],[Country]],Table4[5000m Classification],"&gt;0")</f>
        <v>0</v>
      </c>
      <c r="AN180" s="6">
        <f>COUNTIFS(Table5[Country],Tabela1[[#This Row],[Country]],Table5[5000m Classification],"&gt;0")</f>
        <v>0</v>
      </c>
      <c r="AO180" s="6">
        <f>COUNTIFS(Table4[Country],Tabela1[[#This Row],[Country]],Table4[10000m Classification],"&gt;0")</f>
        <v>0</v>
      </c>
      <c r="AP180" s="6">
        <f>COUNTIFS(Table5[Country],Tabela1[[#This Row],[Country]],Table5[10000m Classification],"&gt;0")</f>
        <v>0</v>
      </c>
      <c r="AQ180" s="6">
        <f>COUNTIFS(Table4[Country],Tabela1[[#This Row],[Country]],Table4[110m Hurdles Classification],"&gt;0")</f>
        <v>0</v>
      </c>
      <c r="AR180" s="6">
        <f>COUNTIFS(Table5[Country],Tabela1[[#This Row],[Country]],Table5[100m Hurdles Classification],"&gt;0")</f>
        <v>0</v>
      </c>
      <c r="AS180" s="6">
        <f>COUNTIFS(Table4[Country],Tabela1[[#This Row],[Country]],Table4[400m Hurdles Classification],"&gt;0")</f>
        <v>0</v>
      </c>
      <c r="AT180" s="6">
        <f>COUNTIFS(Table5[Country],Tabela1[[#This Row],[Country]],Table5[400m Hurdles Classification],"&gt;0")</f>
        <v>0</v>
      </c>
      <c r="AU180" s="6">
        <f>COUNTIFS(Table4[Country],Tabela1[[#This Row],[Country]],Table4[3000m Steeplechase Classification],"&gt;0")</f>
        <v>0</v>
      </c>
      <c r="AV180" s="6">
        <f>COUNTIFS(Table5[Country],Tabela1[[#This Row],[Country]],Table5[3000m Steeplechase Classification],"&gt;0")</f>
        <v>0</v>
      </c>
      <c r="AW180" s="6">
        <f>COUNTIFS(Table27[Country],Tabela1[[#This Row],[Country]],Table27[Men''s 4x100m Relay Classification],"&gt;0")</f>
        <v>0</v>
      </c>
      <c r="AX180" s="6">
        <f>COUNTIFS(Table27[Country],Tabela1[[#This Row],[Country]],Table27[Women''s 4x100m Relay Classification],"&gt;0")</f>
        <v>0</v>
      </c>
      <c r="AY180" s="6">
        <f>COUNTIFS(Table27[Country],Tabela1[[#This Row],[Country]],Table27[Men''s 4x400m Relay Classification],"&gt;0")</f>
        <v>0</v>
      </c>
      <c r="AZ180" s="6">
        <f>COUNTIFS(Table27[Country],Tabela1[[#This Row],[Country]],Table27[Women''s 4x400m Relay Classification],"&gt;0")</f>
        <v>0</v>
      </c>
      <c r="BA180" s="6">
        <f>COUNTIFS(Table27[Country],Tabela1[[#This Row],[Country]],Table27[Mixed 4x400m Relay Classification],"&gt;0")</f>
        <v>0</v>
      </c>
      <c r="BB180" s="6">
        <f>COUNTIFS(Table4[Country],Tabela1[[#This Row],[Country]],Table4[Marathon Classification],"&gt;0")</f>
        <v>0</v>
      </c>
      <c r="BC180" s="6">
        <f>COUNTIFS(Table5[Country],Tabela1[[#This Row],[Country]],Table5[Marathon Classification],"&gt;0")</f>
        <v>0</v>
      </c>
      <c r="BD180" s="6">
        <f>COUNTIFS(Table4[Country],Tabela1[[#This Row],[Country]],Table4[20km Race Walk Classification],"&gt;0")</f>
        <v>0</v>
      </c>
      <c r="BE180" s="6">
        <f>COUNTIFS(Table5[Country],Tabela1[[#This Row],[Country]],Table5[20km Race Walk Classification],"&gt;0")</f>
        <v>0</v>
      </c>
      <c r="BF180" s="6">
        <f>COUNTIFS(Tabela96[Country],Tabela1[[#This Row],[Country]],Tabela96[Mixed Marathon Race Walk Relay Classification],"&gt;0")</f>
        <v>0</v>
      </c>
      <c r="BG180" s="6">
        <f>COUNTIFS(Table4[Country],Tabela1[[#This Row],[Country]],Table4[Discus Throw Classification],"&gt;0")</f>
        <v>0</v>
      </c>
      <c r="BH180" s="6">
        <f>COUNTIFS(Table5[Country],Tabela1[[#This Row],[Country]],Table5[Discus Throw Classification],"&gt;0")</f>
        <v>0</v>
      </c>
      <c r="BI180" s="6">
        <f>COUNTIFS(Table4[Country],Tabela1[[#This Row],[Country]],Table4[Hammer Throw Classification],"&gt;0")</f>
        <v>0</v>
      </c>
      <c r="BJ180" s="6">
        <f>COUNTIFS(Table5[Country],Tabela1[[#This Row],[Country]],Table5[Hammer Throw Classification],"&gt;0")</f>
        <v>0</v>
      </c>
      <c r="BK180" s="6">
        <f>COUNTIFS(Table4[Country],Tabela1[[#This Row],[Country]],Table4[High Jump Classification],"&gt;0")</f>
        <v>0</v>
      </c>
      <c r="BL180" s="6">
        <f>COUNTIFS(Table5[Country],Tabela1[[#This Row],[Country]],Table5[High Jump Classification],"&gt;0")</f>
        <v>0</v>
      </c>
      <c r="BM180" s="6">
        <f>COUNTIFS(Table4[Country],Tabela1[[#This Row],[Country]],Table4[Javelin Throw Classification],"&gt;0")</f>
        <v>0</v>
      </c>
      <c r="BN180" s="6">
        <f>COUNTIFS(Table5[Country],Tabela1[[#This Row],[Country]],Table5[Javelin Throw Classification],"&gt;0")</f>
        <v>0</v>
      </c>
      <c r="BO180" s="6">
        <f>COUNTIFS(Table4[Country],Tabela1[[#This Row],[Country]],Table4[Long Jump Classification],"&gt;0")</f>
        <v>0</v>
      </c>
      <c r="BP180" s="6">
        <f>COUNTIFS(Table5[Country],Tabela1[[#This Row],[Country]],Table5[Long Jump Classification],"&gt;0")</f>
        <v>0</v>
      </c>
      <c r="BQ180" s="6">
        <f>COUNTIFS(Table4[Country],Tabela1[[#This Row],[Country]],Table4[Pole Vault Classification],"&gt;0")</f>
        <v>0</v>
      </c>
      <c r="BR180" s="6">
        <f>COUNTIFS(Table5[Country],Tabela1[[#This Row],[Country]],Table5[Pole Vault Classification],"&gt;0")</f>
        <v>0</v>
      </c>
      <c r="BS180" s="6">
        <f>COUNTIFS(Table4[Country],Tabela1[[#This Row],[Country]],Table4[Shot Put Classification],"&gt;0")</f>
        <v>0</v>
      </c>
      <c r="BT180" s="6">
        <f>COUNTIFS(Table5[Country],Tabela1[[#This Row],[Country]],Table5[Shot Put Classification],"&gt;0")</f>
        <v>0</v>
      </c>
      <c r="BU180" s="6">
        <f>COUNTIFS(Table4[Country],Tabela1[[#This Row],[Country]],Table4[Triple Jump Classification],"&gt;0")</f>
        <v>0</v>
      </c>
      <c r="BV180" s="6">
        <f>COUNTIFS(Table5[Country],Tabela1[[#This Row],[Country]],Table5[Triple Jump Classification],"&gt;0")</f>
        <v>0</v>
      </c>
      <c r="BW180" s="6">
        <f>COUNTIFS(Table4[Country],Tabela1[[#This Row],[Country]],Table4[Decathlon Classification],"&gt;0")</f>
        <v>0</v>
      </c>
      <c r="BX180" s="6">
        <f>COUNTIFS(Table5[Country],Tabela1[[#This Row],[Country]],Table5[Heptathlon Classification],"&gt;0")</f>
        <v>0</v>
      </c>
      <c r="BY180" s="6">
        <f>COUNTIFS(Table61[Country],Tabela1[[#This Row],[Country]],Table61[Classification],"&gt;0")</f>
        <v>0</v>
      </c>
      <c r="BZ180" s="6">
        <f>COUNTIFS(Table38[Country],Tabela1[[#This Row],[Country]],Table38[Classification],"&gt;0")</f>
        <v>0</v>
      </c>
      <c r="CA180" s="6">
        <f>COUNTIFS(Table39[Country],Tabela1[[#This Row],[Country]],Table39[Men''s Classification],"&gt;0")</f>
        <v>0</v>
      </c>
      <c r="CB180" s="6">
        <f>COUNTIFS(Table39[Country],Tabela1[[#This Row],[Country]],Table39[Women''s Classification],"&gt;0")</f>
        <v>0</v>
      </c>
      <c r="CC180" s="6">
        <f>COUNTIFS(Table39[Country],Tabela1[[#This Row],[Country]],Table39[Mixed Classification],"&gt;0")</f>
        <v>0</v>
      </c>
      <c r="CD180" s="6">
        <f>COUNTIFS(Table89[Country],Tabela1[[#This Row],[Country]],Table89[Men''s Classification],"&gt;0")</f>
        <v>0</v>
      </c>
      <c r="CE180" s="6">
        <f>COUNTIFS(Table89[Country],Tabela1[[#This Row],[Country]],Table89[Women''s Classification],"&gt;0")</f>
        <v>0</v>
      </c>
      <c r="CF180" s="6">
        <f>COUNTIFS(Table90[Country],Tabela1[[#This Row],[Country]],Table90[Men''s Classification],"&gt;0")</f>
        <v>0</v>
      </c>
      <c r="CG180" s="6">
        <f>COUNTIFS(Table90[Country],Tabela1[[#This Row],[Country]],Table90[Women''s Classification],"&gt;0")</f>
        <v>0</v>
      </c>
      <c r="CH180" s="6">
        <f>COUNTIFS(Table60[Country],Tabela1[[#This Row],[Country]],Table60[Men''s Classification],"&gt;0")</f>
        <v>0</v>
      </c>
      <c r="CI180" s="6">
        <f>COUNTIFS(Table60[Country],Tabela1[[#This Row],[Country]],Table60[Women''s Classification],"&gt;0")</f>
        <v>0</v>
      </c>
      <c r="CJ180" s="6">
        <f>COUNTIFS(Table6[Country],Tabela1[[#This Row],[Country]],Table6[51kg Classification],"&gt;0")</f>
        <v>0</v>
      </c>
      <c r="CK180" s="6">
        <f>COUNTIFS(Table6[Country],Tabela1[[#This Row],[Country]],Table6[57kg Classification],"&gt;0")</f>
        <v>0</v>
      </c>
      <c r="CL180" s="6">
        <f>COUNTIFS(Table6[Country],Tabela1[[#This Row],[Country]],Table6[63.5kg Classification],"&gt;0")</f>
        <v>0</v>
      </c>
      <c r="CM180" s="6">
        <f>COUNTIFS(Table6[Country],Tabela1[[#This Row],[Country]],Table6[71kg Classification],"&gt;0")</f>
        <v>0</v>
      </c>
      <c r="CN180" s="6">
        <f>COUNTIFS(Table6[Country],Tabela1[[#This Row],[Country]],Table6[80kg Classification],"&gt;0")</f>
        <v>0</v>
      </c>
      <c r="CO180" s="6">
        <f>COUNTIFS(Table6[Country],Tabela1[[#This Row],[Country]],Table6[92kg Classification],"&gt;0")</f>
        <v>0</v>
      </c>
      <c r="CP180" s="6">
        <f>COUNTIFS(Table6[Country],Tabela1[[#This Row],[Country]],Table6[Plus 92kg Classification],"&gt;0")</f>
        <v>0</v>
      </c>
      <c r="CQ180" s="6">
        <f>COUNTIFS(Table7[Country],Tabela1[[#This Row],[Country]],Table7[50kg Classification],"&gt;0")</f>
        <v>0</v>
      </c>
      <c r="CR180" s="6">
        <f>COUNTIFS(Table7[Country],Tabela1[[#This Row],[Country]],Table7[54kg Classification],"&gt;0")</f>
        <v>0</v>
      </c>
      <c r="CS180" s="6">
        <f>COUNTIFS(Table7[Country],Tabela1[[#This Row],[Country]],Table7[57kg Classification],"&gt;0")</f>
        <v>0</v>
      </c>
      <c r="CT180" s="6">
        <f>COUNTIFS(Table7[Country],Tabela1[[#This Row],[Country]],Table7[60kg Classification],"&gt;0")</f>
        <v>0</v>
      </c>
      <c r="CU180" s="6">
        <f>COUNTIFS(Table7[Country],Tabela1[[#This Row],[Country]],Table7[66kg Classification],"&gt;0")</f>
        <v>0</v>
      </c>
      <c r="CV180" s="6">
        <f>COUNTIFS(Table7[Country],Tabela1[[#This Row],[Country]],Table7[75kg Classification],"&gt;0")</f>
        <v>0</v>
      </c>
      <c r="CW180" s="6">
        <f>COUNTIFS(Tabela94[Country],Tabela1[[#This Row],[Country]],Tabela94[Classification],"&gt;0")</f>
        <v>0</v>
      </c>
      <c r="CX180" s="6">
        <f>COUNTIFS(Tabela9499[Country],Tabela1[[#This Row],[Country]],Tabela9499[Classification],"&gt;0")</f>
        <v>0</v>
      </c>
      <c r="CY180" s="6">
        <f>COUNTIFS(Tabela107[Country],Tabela1[[#This Row],[Country]],Tabela107[C1 Slalom Classification],"&gt;0")</f>
        <v>0</v>
      </c>
      <c r="CZ180" s="6">
        <f>COUNTIFS(Tabela107122[Country],Tabela1[[#This Row],[Country]],Tabela107122[C1 Slalom Classification],"&gt;0")</f>
        <v>0</v>
      </c>
      <c r="DA180" s="6">
        <f>COUNTIFS(Tabela107[Country],Tabela1[[#This Row],[Country]],Tabela107[K1 Slalom Classification],"&gt;0")</f>
        <v>0</v>
      </c>
      <c r="DB180" s="6">
        <f>COUNTIFS(Tabela107122[Country],Tabela1[[#This Row],[Country]],Tabela107122[K1 Slalom Classification],"&gt;0")</f>
        <v>0</v>
      </c>
      <c r="DC180" s="6">
        <f>COUNTIFS(Tabela107[Country],Tabela1[[#This Row],[Country]],Tabela107[Kayak Cross Slalom Classification],"&gt;0")</f>
        <v>0</v>
      </c>
      <c r="DD180" s="6">
        <f>COUNTIFS(Tabela107122[Country],Tabela1[[#This Row],[Country]],Tabela107122[Kayak Cross Slalom Classification],"&gt;0")</f>
        <v>0</v>
      </c>
      <c r="DE180" s="6">
        <f>COUNTIFS(Table8[Country],Tabela1[[#This Row],[Country]],Table8[C1 200m Classification],"&gt;0")</f>
        <v>0</v>
      </c>
      <c r="DF180" s="6">
        <f>COUNTIFS(Table40[Country],Tabela1[[#This Row],[Country]],Table40[C1 1000m Classification],"&gt;0")</f>
        <v>0</v>
      </c>
      <c r="DG180" s="6">
        <f>COUNTIFS(Table68[Country],Tabela1[[#This Row],[Country]],Table68[Men''s C2 500m Classification],"&gt;0")</f>
        <v>0</v>
      </c>
      <c r="DH180" s="6">
        <f>COUNTIFS(Table68[Country],Tabela1[[#This Row],[Country]],Table68[Women''s C2 500m Classification],"&gt;0")</f>
        <v>0</v>
      </c>
      <c r="DI180" s="6">
        <f>COUNTIFS(Table8[Country],Tabela1[[#This Row],[Country]],Table8[K1 500m Classification],"&gt;0")</f>
        <v>0</v>
      </c>
      <c r="DJ180" s="6">
        <f>COUNTIFS(Table40[Country],Tabela1[[#This Row],[Country]],Table40[K1 1000m Classification],"&gt;0")</f>
        <v>0</v>
      </c>
      <c r="DK180" s="6">
        <f>COUNTIFS(Table68[Country],Tabela1[[#This Row],[Country]],Table68[Men''s K2 500m Classification],"&gt;0")</f>
        <v>0</v>
      </c>
      <c r="DL180" s="6">
        <f>COUNTIFS(Table68[Country],Tabela1[[#This Row],[Country]],Table68[Women''s K2 500m Classification],"&gt;0")</f>
        <v>0</v>
      </c>
      <c r="DM180" s="6">
        <f>COUNTIFS(Table83[Country],Tabela1[[#This Row],[Country]],Table83[Men''s K4 500m Classification],"&gt;0")</f>
        <v>0</v>
      </c>
      <c r="DN180" s="6">
        <f>COUNTIFS(Table83[Country],Tabela1[[#This Row],[Country]],Table83[Women''s K4 500m Classification],"&gt;0")</f>
        <v>0</v>
      </c>
      <c r="DO180" s="6">
        <f>COUNTIFS(Tabela126[Country],Tabela1[[#This Row],[Country]],Tabela126[Classification],"&gt;0")</f>
        <v>0</v>
      </c>
      <c r="DP180" s="6">
        <f>COUNTIFS(Tabela126130[Country],Tabela1[[#This Row],[Country]],Tabela126130[Classification],"&gt;0")</f>
        <v>0</v>
      </c>
      <c r="DQ180" s="6">
        <f>COUNTIFS(Table70[Country],Tabela1[[#This Row],[Country]],Table70[Classification],"&gt;0")</f>
        <v>0</v>
      </c>
      <c r="DR180" s="6">
        <f>COUNTIFS(Table80[Country],Tabela1[[#This Row],[Country]],Table80[Classification],"&gt;0")</f>
        <v>0</v>
      </c>
      <c r="DS180" s="6">
        <f>COUNTIFS(Table66[Country],Tabela1[[#This Row],[Country]],Table66[Classification],"&gt;0")</f>
        <v>0</v>
      </c>
      <c r="DT180" s="6">
        <f>COUNTIFS(Table67[Country],Tabela1[[#This Row],[Country]],Table67[Classification],"&gt;0")</f>
        <v>0</v>
      </c>
      <c r="DU180" s="6">
        <f>COUNTIFS(Table69[Country],Tabela1[[#This Row],[Country]],Table69[Keirin Classification],"&gt;0")</f>
        <v>0</v>
      </c>
      <c r="DV180" s="6">
        <f>COUNTIFS(Table41[Country],Tabela1[[#This Row],[Country]],Table41[Keirin Classification],"&gt;0")</f>
        <v>0</v>
      </c>
      <c r="DW180" s="6">
        <f>COUNTIFS(Table84[Country],Tabela1[[#This Row],[Country]],Table84[Men''s Madison Classification],"&gt;0")</f>
        <v>0</v>
      </c>
      <c r="DX180" s="6">
        <f>COUNTIFS(Table84[Country],Tabela1[[#This Row],[Country]],Table84[Women''s Madison Classification],"&gt;0")</f>
        <v>0</v>
      </c>
      <c r="DY180" s="6">
        <f>COUNTIFS(Table69[Country],Tabela1[[#This Row],[Country]],Table69[Omnium Classification],"&gt;0")</f>
        <v>0</v>
      </c>
      <c r="DZ180" s="6">
        <f>COUNTIFS(Table41[Country],Tabela1[[#This Row],[Country]],Table41[Omnium Classification],"&gt;0")</f>
        <v>0</v>
      </c>
      <c r="EA180" s="6">
        <f>COUNTIFS(Table9[Country],Tabela1[[#This Row],[Country]],Table9[Road Race Classification],"&gt;0")</f>
        <v>0</v>
      </c>
      <c r="EB180" s="6">
        <f>COUNTIFS(Table14[Country],Tabela1[[#This Row],[Country]],Table14[Road Race Classification],"&gt;0")</f>
        <v>0</v>
      </c>
      <c r="EC180" s="6">
        <f>COUNTIFS(Table69[Country],Tabela1[[#This Row],[Country]],Table69[Sprint Classification],"&gt;0")</f>
        <v>0</v>
      </c>
      <c r="ED180" s="6">
        <f>COUNTIFS(Table41[Country],Tabela1[[#This Row],[Country]],Table41[Sprint Classification],"&gt;0")</f>
        <v>0</v>
      </c>
      <c r="EE180" s="6">
        <f>COUNTIFS(Table85[Country],Tabela1[[#This Row],[Country]],Table85[Men''s Sprint Classification],"&gt;0")</f>
        <v>0</v>
      </c>
      <c r="EF180" s="6">
        <f>COUNTIFS(Table85[Country],Tabela1[[#This Row],[Country]],Table85[Women''s Sprint Classification],"&gt;0")</f>
        <v>0</v>
      </c>
      <c r="EG180" s="6">
        <f>COUNTIFS(Table85[Country],Tabela1[[#This Row],[Country]],Table85[Men''s Pursuit Classification],"&gt;0")</f>
        <v>0</v>
      </c>
      <c r="EH180" s="6">
        <f>COUNTIFS(Table85[Country],Tabela1[[#This Row],[Country]],Table85[Women''s Pursuit Classification],"&gt;0")</f>
        <v>0</v>
      </c>
      <c r="EI180" s="6">
        <f>COUNTIFS(Table9[Country],Tabela1[[#This Row],[Country]],Table9[Time-Trial Classification],"&gt;0")</f>
        <v>0</v>
      </c>
      <c r="EJ180" s="6">
        <f>COUNTIFS(Table14[Country],Tabela1[[#This Row],[Country]],Table14[Time-Trial Classification],"&gt;0")</f>
        <v>0</v>
      </c>
      <c r="EK180" s="6">
        <f>COUNTIFS(Table42[Country],Tabela1[[#This Row],[Country]],Table42[Springboard Classification],"&gt;0")</f>
        <v>0</v>
      </c>
      <c r="EL180" s="6">
        <f>COUNTIFS(Table43[Country],Tabela1[[#This Row],[Country]],Table43[Springboard Classification],"&gt;0")</f>
        <v>0</v>
      </c>
      <c r="EM180" s="6">
        <f>COUNTIFS(Table42[Country],Tabela1[[#This Row],[Country]],Table42[Platform Classification],"&gt;0")</f>
        <v>0</v>
      </c>
      <c r="EN180" s="6">
        <f>COUNTIFS(Table43[Country],Tabela1[[#This Row],[Country]],Table43[Platform Classification],"&gt;0")</f>
        <v>0</v>
      </c>
      <c r="EO180" s="6">
        <f>COUNTIFS(Table86[Country],Tabela1[[#This Row],[Country]],Table86[Men''s Synchronized Springboard Classification],"&gt;0")</f>
        <v>0</v>
      </c>
      <c r="EP180" s="6">
        <f>COUNTIFS(Table86[Country],Tabela1[[#This Row],[Country]],Table86[Women''s Synchronized Springboard Classification],"&gt;0")</f>
        <v>0</v>
      </c>
      <c r="EQ180" s="6">
        <f>COUNTIFS(Table86[Country],Tabela1[[#This Row],[Country]],Table86[Men''s Synchronized Platform Classification],"&gt;0")</f>
        <v>0</v>
      </c>
      <c r="ER180" s="6">
        <f>COUNTIFS(Table86[Country],Tabela1[[#This Row],[Country]],Table86[Women''s Synchronized Platform Classification],"&gt;0")</f>
        <v>0</v>
      </c>
      <c r="ES180" s="6">
        <f>COUNTIFS(Table44[Country],Tabela1[[#This Row],[Country]],Table44[Dressage Classification],"&gt;0")</f>
        <v>0</v>
      </c>
      <c r="ET180" s="6">
        <f>COUNTIFS(Table45[Country],Tabela1[[#This Row],[Country]],Table45[Dressage Classification],"&gt;0")</f>
        <v>0</v>
      </c>
      <c r="EU180" s="6">
        <f>COUNTIFS(Table44[Country],Tabela1[[#This Row],[Country]],Table44[Eventing Classification],"&gt;0")</f>
        <v>0</v>
      </c>
      <c r="EV180" s="6">
        <f>COUNTIFS(Table45[Country],Tabela1[[#This Row],[Country]],Table45[Eventing Classification],"&gt;0")</f>
        <v>0</v>
      </c>
      <c r="EW180" s="6">
        <f>COUNTIFS(Table44[Country],Tabela1[[#This Row],[Country]],Table44[Jumping Classification],"&gt;0")</f>
        <v>0</v>
      </c>
      <c r="EX180" s="6">
        <f>COUNTIFS(Table45[Country],Tabela1[[#This Row],[Country]],Table45[Jumping Classification],"&gt;0")</f>
        <v>0</v>
      </c>
      <c r="EY180" s="6">
        <f>COUNTIFS(Table10[Country],Tabela1[[#This Row],[Country]],Table10[Épée Classification],"&gt;0")</f>
        <v>0</v>
      </c>
      <c r="EZ180" s="6">
        <f>COUNTIFS(Table11[Country],Tabela1[[#This Row],[Country]],Table11[Épée Classification],"&gt;0")</f>
        <v>0</v>
      </c>
      <c r="FA180" s="6">
        <f>COUNTIFS(Table46[Country],Tabela1[[#This Row],[Country]],Table46[Men''s Épée Classification],"&gt;0")</f>
        <v>0</v>
      </c>
      <c r="FB180" s="6">
        <f>COUNTIFS(Table46[Country],Tabela1[[#This Row],[Country]],Table46[Women''s Épée Classification],"&gt;0")</f>
        <v>0</v>
      </c>
      <c r="FC180" s="6">
        <f>COUNTIFS(Table10[Country],Tabela1[[#This Row],[Country]],Table10[Foil Classification],"&gt;0")</f>
        <v>0</v>
      </c>
      <c r="FD180" s="6">
        <f>COUNTIFS(Table11[Country],Tabela1[[#This Row],[Country]],Table11[Foil Classification],"&gt;0")</f>
        <v>0</v>
      </c>
      <c r="FE180" s="6">
        <f>COUNTIFS(Table46[Country],Tabela1[[#This Row],[Country]],Table46[Men''s Foil Classification],"&gt;0")</f>
        <v>0</v>
      </c>
      <c r="FF180" s="6">
        <f>COUNTIFS(Table46[Country],Tabela1[[#This Row],[Country]],Table46[Women''s Foil Classification],"&gt;0")</f>
        <v>0</v>
      </c>
      <c r="FG180" s="6">
        <f>COUNTIFS(Table10[Country],Tabela1[[#This Row],[Country]],Table10[Sabre Classification],"&gt;0")</f>
        <v>0</v>
      </c>
      <c r="FH180" s="6">
        <f>COUNTIFS(Table11[Country],Tabela1[[#This Row],[Country]],Table11[Sabre Classification],"&gt;0")</f>
        <v>0</v>
      </c>
      <c r="FI180" s="6">
        <f>COUNTIFS(Table46[Country],Tabela1[[#This Row],[Country]],Table46[Men''s Sabre Classification],"&gt;0")</f>
        <v>0</v>
      </c>
      <c r="FJ180" s="6">
        <f>COUNTIFS(Table46[Country],Tabela1[[#This Row],[Country]],Table46[Women''s Sabre Classification],"&gt;0")</f>
        <v>0</v>
      </c>
      <c r="FK180" s="6">
        <f>COUNTIFS(Table91[Country],Tabela1[[#This Row],[Country]],Table91[Men''s Classification],"&gt;0")</f>
        <v>0</v>
      </c>
      <c r="FL180" s="6">
        <f>COUNTIFS(Table91[Country],Tabela1[[#This Row],[Country]],Table91[Women''s Classification],"&gt;0")</f>
        <v>0</v>
      </c>
      <c r="FM180" s="6">
        <f>COUNTIFS(Table9194[Country],Tabela1[[#This Row],[Country]],Table9194[Men''s Classification],"&gt;0")</f>
        <v>0</v>
      </c>
      <c r="FN180" s="6">
        <f>COUNTIFS(Table9194[Country],Tabela1[[#This Row],[Country]],Table9194[Women''s Classification],"&gt;0")</f>
        <v>0</v>
      </c>
      <c r="FO180" s="6">
        <f>COUNTIFS(Table71[Country],Tabela1[[#This Row],[Country]],Table71[Classification],"&gt;0")</f>
        <v>0</v>
      </c>
      <c r="FP180" s="6">
        <f>COUNTIFS(Table62[Country],Tabela1[[#This Row],[Country]],Table62[Classification],"&gt;0")</f>
        <v>0</v>
      </c>
      <c r="FQ180" s="6">
        <f>COUNTIFS(Table47[Country],Tabela1[[#This Row],[Country]],Table47[All-Around Classification],"&gt;0")</f>
        <v>0</v>
      </c>
      <c r="FR180" s="6">
        <f>COUNTIFS(Table48[Country],Tabela1[[#This Row],[Country]],Table48[All-Around Classification],"&gt;0")</f>
        <v>0</v>
      </c>
      <c r="FS180" s="6">
        <f>COUNTIFS(Table81[Country],Tabela1[[#This Row],[Country]],Table81[Men''s All-Around Classification],"&gt;0")</f>
        <v>0</v>
      </c>
      <c r="FT180" s="6">
        <f>COUNTIFS(Table81[Country],Tabela1[[#This Row],[Country]],Table81[Women''s All-Around Classification],"&gt;0")</f>
        <v>0</v>
      </c>
      <c r="FU180" s="6">
        <f>COUNTIFS(Table48[Country],Tabela1[[#This Row],[Country]],Table48[Balance Beam Classification],"&gt;0")</f>
        <v>0</v>
      </c>
      <c r="FV180" s="6">
        <f>COUNTIFS(Table47[Country],Tabela1[[#This Row],[Country]],Table47[Floor Exercise Classification],"&gt;0")</f>
        <v>0</v>
      </c>
      <c r="FW180" s="6">
        <f>COUNTIFS(Table48[Country],Tabela1[[#This Row],[Country]],Table48[Floor Exercise Classification],"&gt;0")</f>
        <v>0</v>
      </c>
      <c r="FX180" s="6">
        <f>COUNTIFS(Table47[Country],Tabela1[[#This Row],[Country]],Table47[Horizontal Bar Classification],"&gt;0")</f>
        <v>0</v>
      </c>
      <c r="FY180" s="6">
        <f>COUNTIFS(Table47[Country],Tabela1[[#This Row],[Country]],Table47[Parallel Bars Classification],"&gt;0")</f>
        <v>0</v>
      </c>
      <c r="FZ180" s="6">
        <f>COUNTIFS(Table47[Country],Tabela1[[#This Row],[Country]],Table47[Pommel Horse Classification],"&gt;0")</f>
        <v>0</v>
      </c>
      <c r="GA180" s="6">
        <f>COUNTIFS(Table47[Country],Tabela1[[#This Row],[Country]],Table47[Rings Classification],"&gt;0")</f>
        <v>0</v>
      </c>
      <c r="GB180" s="6">
        <f>COUNTIFS(Tabela132[Country],Tabela1[[#This Row],[Country]],Tabela132[Classification],"&gt;0")</f>
        <v>0</v>
      </c>
      <c r="GC180" s="6">
        <f>COUNTIFS(Tabela139[Country],Tabela1[[#This Row],[Country]],Tabela139[Classification],"&gt;0")</f>
        <v>0</v>
      </c>
      <c r="GD180" s="6">
        <f>COUNTIFS(Table48[Country],Tabela1[[#This Row],[Country]],Table48[Uneven Bars Classification],"&gt;0")</f>
        <v>0</v>
      </c>
      <c r="GE180" s="6">
        <f>COUNTIFS(Table47[Country],Tabela1[[#This Row],[Country]],Table47[Vault Classification],"&gt;0")</f>
        <v>0</v>
      </c>
      <c r="GF180" s="6">
        <f>COUNTIFS(Table48[Country],Tabela1[[#This Row],[Country]],Table48[Vault Classification],"&gt;0")</f>
        <v>0</v>
      </c>
      <c r="GG180" s="6">
        <f>COUNTIFS(Table919496[Country],Tabela1[[#This Row],[Country]],Table919496[Men''s Classification],"&gt;0")</f>
        <v>0</v>
      </c>
      <c r="GH180" s="6">
        <f>COUNTIFS(Table919496[Country],Tabela1[[#This Row],[Country]],Table919496[Women''s Classification],"&gt;0")</f>
        <v>0</v>
      </c>
      <c r="GI180" s="6">
        <f>COUNTIFS(Table12[Country],Tabela1[[#This Row],[Country]],Table12[60kg Classification],"&gt;0")</f>
        <v>0</v>
      </c>
      <c r="GJ180" s="6">
        <f>COUNTIFS(Table12[Country],Tabela1[[#This Row],[Country]],Table12[66kg Classification],"&gt;0")</f>
        <v>0</v>
      </c>
      <c r="GK180" s="6">
        <f>COUNTIFS(Table12[Country],Tabela1[[#This Row],[Country]],Table12[73kg Classification],"&gt;0")</f>
        <v>0</v>
      </c>
      <c r="GL180" s="6">
        <f>COUNTIFS(Table12[Country],Tabela1[[#This Row],[Country]],Table12[81kg Classification],"&gt;0")</f>
        <v>0</v>
      </c>
      <c r="GM180" s="6">
        <f>COUNTIFS(Table12[Country],Tabela1[[#This Row],[Country]],Table12[90kg Classification],"&gt;0")</f>
        <v>0</v>
      </c>
      <c r="GN180" s="6">
        <f>COUNTIFS(Table12[Country],Tabela1[[#This Row],[Country]],Table12[100kg Classification],"&gt;0")</f>
        <v>0</v>
      </c>
      <c r="GO180" s="6">
        <f>COUNTIFS(Table12[Country],Tabela1[[#This Row],[Country]],Table12[Plus 100kg Classification],"&gt;0")</f>
        <v>0</v>
      </c>
      <c r="GP180" s="6">
        <f>COUNTIFS(Table13[Country],Tabela1[[#This Row],[Country]],Table13[48kg Classification],"&gt;0")</f>
        <v>0</v>
      </c>
      <c r="GQ180" s="6">
        <f>COUNTIFS(Table13[Country],Tabela1[[#This Row],[Country]],Table13[52kg Classification],"&gt;0")</f>
        <v>0</v>
      </c>
      <c r="GR180" s="6">
        <f>COUNTIFS(Table13[Country],Tabela1[[#This Row],[Country]],Table13[57kg Classification],"&gt;0")</f>
        <v>0</v>
      </c>
      <c r="GS180" s="6">
        <f>COUNTIFS(Table13[Country],Tabela1[[#This Row],[Country]],Table13[63kg Classification],"&gt;0")</f>
        <v>0</v>
      </c>
      <c r="GT180" s="6">
        <f>COUNTIFS(Table13[Country],Tabela1[[#This Row],[Country]],Table13[70kg Classification],"&gt;0")</f>
        <v>0</v>
      </c>
      <c r="GU180" s="6">
        <f>COUNTIFS(Table13[Country],Tabela1[[#This Row],[Country]],Table13[78kg Classification],"&gt;0")</f>
        <v>0</v>
      </c>
      <c r="GV180" s="6">
        <f>COUNTIFS(Table13[Country],Tabela1[[#This Row],[Country]],Table13[Plus 78kg Classification],"&gt;0")</f>
        <v>0</v>
      </c>
      <c r="GW180" s="6">
        <f>COUNTIFS(Table82[Country],Tabela1[[#This Row],[Country]],Table82[Mixed Classification],"&gt;0")</f>
        <v>0</v>
      </c>
      <c r="GX180" s="6">
        <f>COUNTIFS(Table51[Country],Tabela1[[#This Row],[Country]],Table51[Classification],"&gt;0")</f>
        <v>0</v>
      </c>
      <c r="GY180" s="6">
        <f>COUNTIFS(Table52[Country],Tabela1[[#This Row],[Country]],Table52[Classification],"&gt;0")</f>
        <v>0</v>
      </c>
      <c r="GZ180" s="6">
        <f>COUNTIFS(Table32[Country],Tabela1[[#This Row],[Country]],Table32[All-Around Classification],"&gt;0")</f>
        <v>0</v>
      </c>
      <c r="HA180" s="6">
        <f>COUNTIFS(Table49[Country],Tabela1[[#This Row],[Country]],Table49[All-Around Classification],"&gt;0")</f>
        <v>0</v>
      </c>
      <c r="HB180" s="6">
        <f>COUNTIFS(Table26[Country],Tabela1[[#This Row],[Country]],Table26[Single Sculls Classification],"&gt;0")</f>
        <v>0</v>
      </c>
      <c r="HC180" s="6">
        <f>COUNTIFS(Table63[Country],Tabela1[[#This Row],[Country]],Table63[Single Sculls Classification],"&gt;0")</f>
        <v>0</v>
      </c>
      <c r="HD180" s="6">
        <f>COUNTIFS(Table16[Country],Tabela1[[#This Row],[Country]],Table16[Men''s Double Sculls Classification],"&gt;0")</f>
        <v>0</v>
      </c>
      <c r="HE180" s="6">
        <f>COUNTIFS(Table16[Country],Tabela1[[#This Row],[Country]],Table16[Women''s Double Sculls Classification],"&gt;0")</f>
        <v>0</v>
      </c>
      <c r="HF180" s="6">
        <f>COUNTIFS(Table72[Country],Tabela1[[#This Row],[Country]],Table72[Men''s Quadruple Sculls Classification],"&gt;0")</f>
        <v>0</v>
      </c>
      <c r="HG180" s="6">
        <f>COUNTIFS(Table72[Country],Tabela1[[#This Row],[Country]],Table72[Women''s Quadruple Sculls Classification],"&gt;0")</f>
        <v>0</v>
      </c>
      <c r="HH180" s="6">
        <f>COUNTIFS(Table16[Country],Tabela1[[#This Row],[Country]],Table16[Men''s Coxless Pairs Classification],"&gt;0")</f>
        <v>0</v>
      </c>
      <c r="HI180" s="6">
        <f>COUNTIFS(Table16[Country],Tabela1[[#This Row],[Country]],Table16[Women''s Coxless Pairs Classification],"&gt;0")</f>
        <v>0</v>
      </c>
      <c r="HJ180" s="6">
        <f>COUNTIFS(Table72[Country],Tabela1[[#This Row],[Country]],Table72[Men''s Coxless Fours Classification],"&gt;0")</f>
        <v>0</v>
      </c>
      <c r="HK180" s="6">
        <f>COUNTIFS(Table72[Country],Tabela1[[#This Row],[Country]],Table72[Women''s Coxless Fours Classification],"&gt;0")</f>
        <v>0</v>
      </c>
      <c r="HL180" s="6">
        <f>COUNTIFS(Table72[Country],Tabela1[[#This Row],[Country]],Table72[Men''s Eights Classification],"&gt;0")</f>
        <v>0</v>
      </c>
      <c r="HM180" s="6">
        <f>COUNTIFS(Table72[Country],Tabela1[[#This Row],[Country]],Table72[Women''s Eights Classification],"&gt;0")</f>
        <v>0</v>
      </c>
      <c r="HN180" s="6">
        <f>COUNTIFS(Table16[Country],Tabela1[[#This Row],[Country]],Table16[Men''s Lwt. Double Sculls Classification],"&gt;0")</f>
        <v>0</v>
      </c>
      <c r="HO180" s="6">
        <f>COUNTIFS(Table16[Country],Tabela1[[#This Row],[Country]],Table16[Women''s Lwt. Double Sculls Classification],"&gt;0")</f>
        <v>0</v>
      </c>
      <c r="HP180" s="6">
        <f>COUNTIFS(Table91949698[Country],Tabela1[[#This Row],[Country]],Table91949698[Men''s Classification],"&gt;0")</f>
        <v>0</v>
      </c>
      <c r="HQ180" s="6">
        <f>COUNTIFS(Table91949698[Country],Tabela1[[#This Row],[Country]],Table91949698[Women''s Classification],"&gt;0")</f>
        <v>0</v>
      </c>
      <c r="HR180" s="6">
        <f>COUNTIFS(Table25[Country],Tabela1[[#This Row],[Country]],Table25[Mixed 470 Classification],"&gt;0")</f>
        <v>0</v>
      </c>
      <c r="HS180" s="6">
        <f>COUNTIFS(Table25[Country],Tabela1[[#This Row],[Country]],Table25[Men''s 49er Classification],"&gt;0")</f>
        <v>0</v>
      </c>
      <c r="HT180" s="6">
        <f>COUNTIFS(Table25[Country],Tabela1[[#This Row],[Country]],Table25[Women''s 49er FX Classification],"&gt;0")</f>
        <v>0</v>
      </c>
      <c r="HU180" s="6">
        <f>COUNTIFS(Table17[Country],Tabela1[[#This Row],[Country]],Table17[Formula Kite Classification],"&gt;0")</f>
        <v>0</v>
      </c>
      <c r="HV180" s="6">
        <f>COUNTIFS(Table18[Country],Tabela1[[#This Row],[Country]],Table18[Formula Kite Classification],"&gt;0")</f>
        <v>0</v>
      </c>
      <c r="HW180" s="6">
        <f>COUNTIFS(Table17[Country],Tabela1[[#This Row],[Country]],Table17[ILCA 7 Classification],"&gt;0")</f>
        <v>0</v>
      </c>
      <c r="HX180" s="6">
        <f>COUNTIFS(Table18[Country],Tabela1[[#This Row],[Country]],Table18[ILCA 6 Classification],"&gt;0")</f>
        <v>0</v>
      </c>
      <c r="HY180" s="6">
        <f>COUNTIFS(Table17[Country],Tabela1[[#This Row],[Country]],Table17[IQFoil Classification],"&gt;0")</f>
        <v>0</v>
      </c>
      <c r="HZ180" s="6">
        <f>COUNTIFS(Table18[Country],Tabela1[[#This Row],[Country]],Table18[IQFoil Classification],"&gt;0")</f>
        <v>0</v>
      </c>
      <c r="IA180" s="6">
        <f>COUNTIFS(Table25[Country],Tabela1[[#This Row],[Country]],Table25[Mixed Nacra 17 Classification],"&gt;0")</f>
        <v>0</v>
      </c>
      <c r="IB180" s="6">
        <f>COUNTIFS(Table53[Country],Tabela1[[#This Row],[Country]],Table53[10m Air Pistol Classification],"&gt;0")</f>
        <v>0</v>
      </c>
      <c r="IC180" s="6">
        <f>COUNTIFS(Table19[Country],Tabela1[[#This Row],[Country]],Table19[10m Air Pistol Classification],"&gt;0")</f>
        <v>0</v>
      </c>
      <c r="ID180" s="6">
        <f>COUNTIFS(Table54[Country],Tabela1[[#This Row],[Country]],Table54[Mixed 10m Air Pistol Team Classification],"&gt;0")</f>
        <v>0</v>
      </c>
      <c r="IE180" s="6">
        <f>COUNTIFS(Table53[Country],Tabela1[[#This Row],[Country]],Table53[10m Air Rifle Classification],"&gt;0")</f>
        <v>0</v>
      </c>
      <c r="IF180" s="6">
        <f>COUNTIFS(Table19[Country],Tabela1[[#This Row],[Country]],Table19[10m Air Rifle Classification],"&gt;0")</f>
        <v>0</v>
      </c>
      <c r="IG180" s="6">
        <f>COUNTIFS(Table54[Country],Tabela1[[#This Row],[Country]],Table54[Mixed 10m Air Rifle Team Classification],"&gt;0")</f>
        <v>0</v>
      </c>
      <c r="IH180" s="6">
        <f>COUNTIFS(Table53[Country],Tabela1[[#This Row],[Country]],Table53[25m Rapid Fire Pistol Classification],"&gt;0")</f>
        <v>0</v>
      </c>
      <c r="II180" s="6">
        <f>COUNTIFS(Table19[Country],Tabela1[[#This Row],[Country]],Table19[25m Pistol Classification],"&gt;0")</f>
        <v>0</v>
      </c>
      <c r="IJ180" s="6">
        <f>COUNTIFS(Table53[Country],Tabela1[[#This Row],[Country]],Table53[50m Rifle 3 Positions Classification],"&gt;0")</f>
        <v>0</v>
      </c>
      <c r="IK180" s="6">
        <f>COUNTIFS(Table19[Country],Tabela1[[#This Row],[Country]],Table19[50m Rifle 3 Positions Classification],"&gt;0")</f>
        <v>0</v>
      </c>
      <c r="IL180" s="6">
        <f>COUNTIFS(Table53[Country],Tabela1[[#This Row],[Country]],Table53[Skeet Classification],"&gt;0")</f>
        <v>0</v>
      </c>
      <c r="IM180" s="6">
        <f>COUNTIFS(Table19[Country],Tabela1[[#This Row],[Country]],Table19[Skeet Classification],"&gt;0")</f>
        <v>0</v>
      </c>
      <c r="IN180" s="6">
        <f>COUNTIFS(Table54[Country],Tabela1[[#This Row],[Country]],Table54[Mixed Skeet Team Classification],"&gt;0")</f>
        <v>0</v>
      </c>
      <c r="IO180" s="6">
        <f>COUNTIFS(Table53[Country],Tabela1[[#This Row],[Country]],Table53[Trap Classification],"&gt;0")</f>
        <v>0</v>
      </c>
      <c r="IP180" s="6">
        <f>COUNTIFS(Table19[Country],Tabela1[[#This Row],[Country]],Table19[Trap Classification],"&gt;0")</f>
        <v>0</v>
      </c>
      <c r="IQ180" s="6">
        <f>COUNTIFS(Table73[Country],Tabela1[[#This Row],[Country]],Table73[Park Classification],"&gt;0")</f>
        <v>0</v>
      </c>
      <c r="IR180" s="6">
        <f>COUNTIFS(Table74[Country],Tabela1[[#This Row],[Country]],Table74[Park Classification],"&gt;0")</f>
        <v>0</v>
      </c>
      <c r="IS180" s="6">
        <f>COUNTIFS(Table73[Country],Tabela1[[#This Row],[Country]],Table73[Street Classification],"&gt;0")</f>
        <v>0</v>
      </c>
      <c r="IT180" s="6">
        <f>COUNTIFS(Table74[Country],Tabela1[[#This Row],[Country]],Table74[Street Classification],"&gt;0")</f>
        <v>0</v>
      </c>
      <c r="IU180" s="6">
        <f>COUNTIFS(Table75[Country],Tabela1[[#This Row],[Country]],Table75[Boulder and Lead Classification],"&gt;0")</f>
        <v>0</v>
      </c>
      <c r="IV180" s="6">
        <f>COUNTIFS(Table76[Country],Tabela1[[#This Row],[Country]],Table76[Boulder and Lead Classification],"&gt;0")</f>
        <v>0</v>
      </c>
      <c r="IW180" s="6">
        <f>COUNTIFS(Table75[Country],Tabela1[[#This Row],[Country]],Table75[Speed Classification],"&gt;0")</f>
        <v>0</v>
      </c>
      <c r="IX180" s="6">
        <f>COUNTIFS(Table76[Country],Tabela1[[#This Row],[Country]],Table76[Speed Classification],"&gt;0")</f>
        <v>0</v>
      </c>
      <c r="IY180" s="6">
        <f>COUNTIFS(Table64[Country],Tabela1[[#This Row],[Country]],Table64[Shortboard Classification],"&gt;0")</f>
        <v>0</v>
      </c>
      <c r="IZ180" s="6">
        <f>COUNTIFS(Table77[Country],Tabela1[[#This Row],[Country]],Table77[Shortboard Classification],"&gt;0")</f>
        <v>0</v>
      </c>
      <c r="JA180" s="6">
        <f>COUNTIFS(Table20[Country],Tabela1[[#This Row],[Country]],Table20[50m Freestyle Classification],"&gt;0")</f>
        <v>0</v>
      </c>
      <c r="JB180" s="6">
        <f>COUNTIFS(Table21[Country],Tabela1[[#This Row],[Country]],Table21[50m Freestyle Classification],"&gt;0")</f>
        <v>0</v>
      </c>
      <c r="JC180" s="6">
        <f>COUNTIFS(Table20[Country],Tabela1[[#This Row],[Country]],Table20[100m Freestyle Classification],"&gt;0")</f>
        <v>0</v>
      </c>
      <c r="JD180" s="6">
        <f>COUNTIFS(Table21[Country],Tabela1[[#This Row],[Country]],Table21[100m Freestyle Classification],"&gt;0")</f>
        <v>0</v>
      </c>
      <c r="JE180" s="6">
        <f>COUNTIFS(Table20[Country],Tabela1[[#This Row],[Country]],Table20[200m Freestyle Classification],"&gt;0")</f>
        <v>0</v>
      </c>
      <c r="JF180" s="6">
        <f>COUNTIFS(Table21[Country],Tabela1[[#This Row],[Country]],Table21[200m Freestyle Classification],"&gt;0")</f>
        <v>0</v>
      </c>
      <c r="JG180" s="6">
        <f>COUNTIFS(Table20[Country],Tabela1[[#This Row],[Country]],Table20[400m Freestyle Classification],"&gt;0")</f>
        <v>0</v>
      </c>
      <c r="JH180" s="6">
        <f>COUNTIFS(Table21[Country],Tabela1[[#This Row],[Country]],Table21[400m Freestyle Classification],"&gt;0")</f>
        <v>0</v>
      </c>
      <c r="JI180" s="6">
        <f>COUNTIFS(Table20[Country],Tabela1[[#This Row],[Country]],Table20[800m Freestyle Classification],"&gt;0")</f>
        <v>0</v>
      </c>
      <c r="JJ180" s="6">
        <f>COUNTIFS(Table21[Country],Tabela1[[#This Row],[Country]],Table21[800m Freestyle Classification],"&gt;0")</f>
        <v>0</v>
      </c>
      <c r="JK180" s="6">
        <f>COUNTIFS(Table20[Country],Tabela1[[#This Row],[Country]],Table20[1500m Freestyle Classification],"&gt;0")</f>
        <v>0</v>
      </c>
      <c r="JL180" s="6">
        <f>COUNTIFS(Table21[Country],Tabela1[[#This Row],[Country]],Table21[1500m Freestyle Classification],"&gt;0")</f>
        <v>0</v>
      </c>
      <c r="JM180" s="6">
        <f>COUNTIFS(Table20[Country],Tabela1[[#This Row],[Country]],Table20[100m Backstroke Classification],"&gt;0")</f>
        <v>0</v>
      </c>
      <c r="JN180" s="6">
        <f>COUNTIFS(Table21[Country],Tabela1[[#This Row],[Country]],Table21[100m Backstroke Classification],"&gt;0")</f>
        <v>0</v>
      </c>
      <c r="JO180" s="6">
        <f>COUNTIFS(Table20[Country],Tabela1[[#This Row],[Country]],Table20[200m Backstroke Classification],"&gt;0")</f>
        <v>0</v>
      </c>
      <c r="JP180" s="6">
        <f>COUNTIFS(Table21[Country],Tabela1[[#This Row],[Country]],Table21[200m Backstroke Classification],"&gt;0")</f>
        <v>0</v>
      </c>
      <c r="JQ180" s="6">
        <f>COUNTIFS(Table20[Country],Tabela1[[#This Row],[Country]],Table20[100m Breaststroke Classification],"&gt;0")</f>
        <v>0</v>
      </c>
      <c r="JR180" s="6">
        <f>COUNTIFS(Table21[Country],Tabela1[[#This Row],[Country]],Table21[100m Breaststroke Classification],"&gt;0")</f>
        <v>0</v>
      </c>
      <c r="JS180" s="6">
        <f>COUNTIFS(Table20[Country],Tabela1[[#This Row],[Country]],Table20[200m Breaststroke Classification],"&gt;0")</f>
        <v>0</v>
      </c>
      <c r="JT180" s="6">
        <f>COUNTIFS(Table21[Country],Tabela1[[#This Row],[Country]],Table21[200m Breaststroke Classification],"&gt;0")</f>
        <v>0</v>
      </c>
      <c r="JU180" s="6">
        <f>COUNTIFS(Table20[Country],Tabela1[[#This Row],[Country]],Table20[100m Butterfly Classification],"&gt;0")</f>
        <v>0</v>
      </c>
      <c r="JV180" s="6">
        <f>COUNTIFS(Table21[Country],Tabela1[[#This Row],[Country]],Table21[100m Butterfly Classification],"&gt;0")</f>
        <v>0</v>
      </c>
      <c r="JW180" s="6">
        <f>COUNTIFS(Table20[Country],Tabela1[[#This Row],[Country]],Table20[200m Butterfly Classification],"&gt;0")</f>
        <v>0</v>
      </c>
      <c r="JX180" s="6">
        <f>COUNTIFS(Table21[Country],Tabela1[[#This Row],[Country]],Table21[200m Butterfly Classification],"&gt;0")</f>
        <v>0</v>
      </c>
      <c r="JY180" s="6">
        <f>COUNTIFS(Table20[Country],Tabela1[[#This Row],[Country]],Table20[200m Medley Classification],"&gt;0")</f>
        <v>0</v>
      </c>
      <c r="JZ180" s="6">
        <f>COUNTIFS(Table21[Country],Tabela1[[#This Row],[Country]],Table21[200m Medley Classification],"&gt;0")</f>
        <v>0</v>
      </c>
      <c r="KA180" s="6">
        <f>COUNTIFS(Table20[Country],Tabela1[[#This Row],[Country]],Table20[400m Medley Classification],"&gt;0")</f>
        <v>0</v>
      </c>
      <c r="KB180" s="6">
        <f>COUNTIFS(Table21[Country],Tabela1[[#This Row],[Country]],Table21[400m Medley Classification],"&gt;0")</f>
        <v>0</v>
      </c>
      <c r="KC180" s="6">
        <f>COUNTIFS(Table78[Country],Tabela1[[#This Row],[Country]],Table78[Men''s 4x100m Freestyle Relay Classification],"&gt;0")</f>
        <v>0</v>
      </c>
      <c r="KD180" s="6">
        <f>COUNTIFS(Table78[Country],Tabela1[[#This Row],[Country]],Table78[Women''s 4x100m Freestyle Relay Classification],"&gt;0")</f>
        <v>0</v>
      </c>
      <c r="KE180" s="6">
        <f>COUNTIFS(Table78[Country],Tabela1[[#This Row],[Country]],Table78[Men''s 4x200m Freestyle Relay Classification],"&gt;0")</f>
        <v>0</v>
      </c>
      <c r="KF180" s="6">
        <f>COUNTIFS(Table78[Country],Tabela1[[#This Row],[Country]],Table78[Women''s 4x200m Freestyle Relay Classification],"&gt;0")</f>
        <v>0</v>
      </c>
      <c r="KG180" s="6">
        <f>COUNTIFS(Table78[Country],Tabela1[[#This Row],[Country]],Table78[Men''s 4x100m Medley Relay Classification],"&gt;0")</f>
        <v>0</v>
      </c>
      <c r="KH180" s="6">
        <f>COUNTIFS(Table78[Country],Tabela1[[#This Row],[Country]],Table78[Women''s 4x100m Medley Relay Classification],"&gt;0")</f>
        <v>0</v>
      </c>
      <c r="KI180" s="6">
        <f>COUNTIFS(Table78[Country],Tabela1[[#This Row],[Country]],Table78[Mixed 4x100m Medley Relay Classification],"&gt;0")</f>
        <v>0</v>
      </c>
      <c r="KJ180" s="6">
        <f>COUNTIFS(Table20[Country],Tabela1[[#This Row],[Country]],Table20[10km Open Water Classification],"&gt;0")</f>
        <v>0</v>
      </c>
      <c r="KK180" s="6">
        <f>COUNTIFS(Table21[Country],Tabela1[[#This Row],[Country]],Table21[10km Open Water Classification],"&gt;0")</f>
        <v>0</v>
      </c>
      <c r="KL180" s="6">
        <f>COUNTIFS(Table22[Country],Tabela1[[#This Row],[Country]],Table22[Classification],"&gt;0")</f>
        <v>0</v>
      </c>
      <c r="KM180" s="6">
        <f>COUNTIFS(Table30[Country],Tabela1[[#This Row],[Country]],Table30[Classification],"&gt;0")</f>
        <v>0</v>
      </c>
      <c r="KN180" s="6">
        <f>COUNTIFS(Table55[Country],Tabela1[[#This Row],[Country]],Table55[Men''s Classification],"&gt;0")</f>
        <v>0</v>
      </c>
      <c r="KO180" s="6">
        <f>COUNTIFS(Table55[Country],Tabela1[[#This Row],[Country]],Table55[Women''s Classification],"&gt;0")</f>
        <v>0</v>
      </c>
      <c r="KP180" s="6">
        <f>COUNTIFS(Table56[Country],Tabela1[[#This Row],[Country]],Table56[Mixed Classification],"&gt;0")</f>
        <v>0</v>
      </c>
      <c r="KQ180" s="6">
        <f>COUNTIFS(Table29[Country],Tabela1[[#This Row],[Country]],Table29[58kg Classification],"&gt;0")</f>
        <v>0</v>
      </c>
      <c r="KR180" s="6">
        <f>COUNTIFS(Table29[Country],Tabela1[[#This Row],[Country]],Table29[68kg Classification],"&gt;0")</f>
        <v>0</v>
      </c>
      <c r="KS180" s="6">
        <f>COUNTIFS(Table29[Country],Tabela1[[#This Row],[Country]],Table29[80kg Classification],"&gt;0")</f>
        <v>0</v>
      </c>
      <c r="KT180" s="6">
        <f>COUNTIFS(Table29[Country],Tabela1[[#This Row],[Country]],Table29[Plus 80kg Classification],"&gt;0")</f>
        <v>0</v>
      </c>
      <c r="KU180" s="6">
        <f>COUNTIFS(Table34[Country],Tabela1[[#This Row],[Country]],Table34[49kg Classification],"&gt;0")</f>
        <v>0</v>
      </c>
      <c r="KV180" s="6">
        <f>COUNTIFS(Table34[Country],Tabela1[[#This Row],[Country]],Table34[57kg Classification],"&gt;0")</f>
        <v>0</v>
      </c>
      <c r="KW180" s="6">
        <f>COUNTIFS(Table34[Country],Tabela1[[#This Row],[Country]],Table34[67kg Classification],"&gt;0")</f>
        <v>0</v>
      </c>
      <c r="KX180" s="6">
        <f>COUNTIFS(Table34[Country],Tabela1[[#This Row],[Country]],Table34[Plus 67kg Classification],"&gt;0")</f>
        <v>0</v>
      </c>
      <c r="KY180" s="6">
        <f>COUNTIFS(Table57[Country],Tabela1[[#This Row],[Country]],Table57[Classification],"&gt;0")</f>
        <v>0</v>
      </c>
      <c r="KZ180" s="6">
        <f>COUNTIFS(Table58[Country],Tabela1[[#This Row],[Country]],Table58[Classification],"&gt;0")</f>
        <v>0</v>
      </c>
      <c r="LA180" s="6">
        <f>COUNTIFS(Table79[Country],Tabela1[[#This Row],[Country]],Table79[Men''s Classification],"&gt;0")</f>
        <v>0</v>
      </c>
      <c r="LB180" s="6">
        <f>COUNTIFS(Table79[Country],Tabela1[[#This Row],[Country]],Table79[Women''s Classification],"&gt;0")</f>
        <v>0</v>
      </c>
      <c r="LC180" s="6">
        <f>COUNTIFS(Table79[Country],Tabela1[[#This Row],[Country]],Table79[Mixed Classification],"&gt;0")</f>
        <v>0</v>
      </c>
      <c r="LD180" s="6">
        <f>COUNTIFS(Table65[Country],Tabela1[[#This Row],[Country]],Table65[Classification],"&gt;0")</f>
        <v>0</v>
      </c>
      <c r="LE180" s="6">
        <f>COUNTIFS(Table59[Country],Tabela1[[#This Row],[Country]],Table59[Classification],"&gt;0")</f>
        <v>0</v>
      </c>
      <c r="LF180" s="6">
        <f>COUNTIFS(Table87[Country],Tabela1[[#This Row],[Country]],Table87[Mixed Relay Classification],"&gt;0")</f>
        <v>0</v>
      </c>
      <c r="LG180" s="6">
        <f>COUNTIFS(Table91949698100[Country],Tabela1[[#This Row],[Country]],Table91949698100[Men''s Classification],"&gt;0")</f>
        <v>0</v>
      </c>
      <c r="LH180" s="6">
        <f>COUNTIFS(Table91949698100[Country],Tabela1[[#This Row],[Country]],Table91949698100[Women''s Classification],"&gt;0")</f>
        <v>0</v>
      </c>
      <c r="LI180" s="6">
        <f>COUNTIFS(Table91949698100102[Country],Tabela1[[#This Row],[Country]],Table91949698100102[Men''s Classification],"&gt;0")</f>
        <v>0</v>
      </c>
      <c r="LJ180" s="6">
        <f>COUNTIFS(Table91949698100102[Country],Tabela1[[#This Row],[Country]],Table91949698100102[Women''s Classification],"&gt;0")</f>
        <v>0</v>
      </c>
      <c r="LK180" s="6">
        <f>COUNTIFS(Table23[Country],Tabela1[[#This Row],[Country]],Table23[61kg Classification],"&gt;0")</f>
        <v>0</v>
      </c>
      <c r="LL180" s="6">
        <f>COUNTIFS(Table23[Country],Tabela1[[#This Row],[Country]],Table23[73kg Classification],"&gt;0")</f>
        <v>0</v>
      </c>
      <c r="LM180" s="6">
        <f>COUNTIFS(Table23[Country],Tabela1[[#This Row],[Country]],Table23[89kg Classification],"&gt;0")</f>
        <v>0</v>
      </c>
      <c r="LN180" s="6">
        <f>COUNTIFS(Table23[Country],Tabela1[[#This Row],[Country]],Table23[102kg Classification],"&gt;0")</f>
        <v>0</v>
      </c>
      <c r="LO180" s="6">
        <f>COUNTIFS(Table23[Country],Tabela1[[#This Row],[Country]],Table23[Plus 102kg Classification],"&gt;0")</f>
        <v>0</v>
      </c>
      <c r="LP180" s="6">
        <f>COUNTIFS(Table28[Country],Tabela1[[#This Row],[Country]],Table28[49kg Classification],"&gt;0")</f>
        <v>0</v>
      </c>
      <c r="LQ180" s="6">
        <f>COUNTIFS(Table28[Country],Tabela1[[#This Row],[Country]],Table28[59kg Classification],"&gt;0")</f>
        <v>0</v>
      </c>
      <c r="LR180" s="6">
        <f>COUNTIFS(Table28[Country],Tabela1[[#This Row],[Country]],Table28[71kg Classification],"&gt;0")</f>
        <v>0</v>
      </c>
      <c r="LS180" s="6">
        <f>COUNTIFS(Table28[Country],Tabela1[[#This Row],[Country]],Table28[81kg Classification],"&gt;0")</f>
        <v>0</v>
      </c>
      <c r="LT180" s="6">
        <f>COUNTIFS(Table28[Country],Tabela1[[#This Row],[Country]],Table28[Plus 81kg Classification],"&gt;0")</f>
        <v>0</v>
      </c>
      <c r="LU180" s="6">
        <f>COUNTIFS(Table24[Country],Tabela1[[#This Row],[Country]],Table24[Freestyle 57kg Classification],"&gt;0")</f>
        <v>0</v>
      </c>
      <c r="LV180" s="6">
        <f>COUNTIFS(Table24[Country],Tabela1[[#This Row],[Country]],Table24[Freestyle 65kg Classification],"&gt;0")</f>
        <v>0</v>
      </c>
      <c r="LW180" s="6">
        <f>COUNTIFS(Table24[Country],Tabela1[[#This Row],[Country]],Table24[Freestyle 74kg Classification],"&gt;0")</f>
        <v>0</v>
      </c>
      <c r="LX180" s="6">
        <f>COUNTIFS(Table24[Country],Tabela1[[#This Row],[Country]],Table24[Freestyle 86kg Classification],"&gt;0")</f>
        <v>0</v>
      </c>
      <c r="LY180" s="6">
        <f>COUNTIFS(Table24[Country],Tabela1[[#This Row],[Country]],Table24[Freestyle 97kg Classification],"&gt;0")</f>
        <v>0</v>
      </c>
      <c r="LZ180" s="6">
        <f>COUNTIFS(Table24[Country],Tabela1[[#This Row],[Country]],Table24[Freestyle 125kg Classification],"&gt;0")</f>
        <v>0</v>
      </c>
      <c r="MA180" s="6">
        <f>COUNTIFS(Table24[Country],Tabela1[[#This Row],[Country]],Table24[Greco-Roman 60kg Classification],"&gt;0")</f>
        <v>0</v>
      </c>
      <c r="MB180" s="6">
        <f>COUNTIFS(Table24[Country],Tabela1[[#This Row],[Country]],Table24[Greco-Roman 67kg Classification],"&gt;0")</f>
        <v>0</v>
      </c>
      <c r="MC180" s="6">
        <f>COUNTIFS(Table24[Country],Tabela1[[#This Row],[Country]],Table24[Greco-Roman 77kg Classification],"&gt;0")</f>
        <v>0</v>
      </c>
      <c r="MD180" s="6">
        <f>COUNTIFS(Table24[Country],Tabela1[[#This Row],[Country]],Table24[Greco-Roman 87kg Classification],"&gt;0")</f>
        <v>0</v>
      </c>
      <c r="ME180" s="6">
        <f>COUNTIFS(Table24[Country],Tabela1[[#This Row],[Country]],Table24[Greco-Roman 97kg Classification],"&gt;0")</f>
        <v>0</v>
      </c>
      <c r="MF180" s="6">
        <f>COUNTIFS(Table24[Country],Tabela1[[#This Row],[Country]],Table24[Greco-Roman 130kg Classification],"&gt;0")</f>
        <v>0</v>
      </c>
      <c r="MG180" s="6">
        <f>COUNTIFS(Table31[Country],Tabela1[[#This Row],[Country]],Table31[50kg Classification],"&gt;0")</f>
        <v>0</v>
      </c>
      <c r="MH180" s="6">
        <f>COUNTIFS(Table31[Country],Tabela1[[#This Row],[Country]],Table31[53kg Classification],"&gt;0")</f>
        <v>0</v>
      </c>
      <c r="MI180" s="6">
        <f>COUNTIFS(Table31[Country],Tabela1[[#This Row],[Country]],Table31[57kg Classification],"&gt;0")</f>
        <v>0</v>
      </c>
      <c r="MJ180" s="6">
        <f>COUNTIFS(Table31[Country],Tabela1[[#This Row],[Country]],Table31[62kg Classification],"&gt;0")</f>
        <v>0</v>
      </c>
      <c r="MK180" s="6">
        <f>COUNTIFS(Table31[Country],Tabela1[[#This Row],[Country]],Table31[68kg Classification],"&gt;0")</f>
        <v>0</v>
      </c>
      <c r="ML180" s="6">
        <f>COUNTIFS(Table31[Country],Tabela1[[#This Row],[Country]],Table31[76kg Classification],"&gt;0")</f>
        <v>0</v>
      </c>
      <c r="MM180" s="6">
        <f>COUNTIFS(Table102[Country],Tabela1[[#This Row],[Country]],Table102[Downhill Classification],"&gt;0")</f>
        <v>0</v>
      </c>
      <c r="MN180" s="6">
        <f>COUNTIFS(Table102105[Country],Tabela1[[#This Row],[Country]],Table102105[Downhill Classification],"&gt;0")</f>
        <v>0</v>
      </c>
      <c r="MO180" s="6">
        <f>COUNTIFS(Table102[Country],Tabela1[[#This Row],[Country]],Table102[Giant Slalom Classification],"&gt;0")</f>
        <v>0</v>
      </c>
      <c r="MP180" s="6">
        <f>COUNTIFS(Table102105[Country],Tabela1[[#This Row],[Country]],Table102105[Giant Slalom Classification],"&gt;0")</f>
        <v>0</v>
      </c>
      <c r="MQ180" s="6">
        <f>COUNTIFS(Table102[Country],Tabela1[[#This Row],[Country]],Table102[Slalom Classification],"&gt;0")</f>
        <v>0</v>
      </c>
      <c r="MR180" s="6">
        <f>COUNTIFS(Table102105[Country],Tabela1[[#This Row],[Country]],Table102105[Slalom Classification],"&gt;0")</f>
        <v>0</v>
      </c>
      <c r="MS180" s="6">
        <f>COUNTIFS(Table102[Country],Tabela1[[#This Row],[Country]],Table102[Super-G Classification],"&gt;0")</f>
        <v>0</v>
      </c>
      <c r="MT180" s="6">
        <f>COUNTIFS(Table102105[Country],Tabela1[[#This Row],[Country]],Table102105[Super-G Classification],"&gt;0")</f>
        <v>0</v>
      </c>
      <c r="MU180" s="6">
        <f>COUNTIFS(Table105[Country],Tabela1[[#This Row],[Country]],Table105[Men''s Combined Classification],"&gt;0")</f>
        <v>0</v>
      </c>
      <c r="MV180" s="6">
        <f>COUNTIFS(Table105[Country],Tabela1[[#This Row],[Country]],Table105[Women''s Combined Classification],"&gt;0")</f>
        <v>0</v>
      </c>
      <c r="MW180" s="6">
        <f>COUNTIFS(Table106[Country],Tabela1[[#This Row],[Country]],Table106[Individual Classification],"&gt;0")</f>
        <v>0</v>
      </c>
      <c r="MX180" s="6">
        <f>COUNTIFS(Table106109[Country],Tabela1[[#This Row],[Country]],Table106109[Individual Classification],"&gt;0")</f>
        <v>0</v>
      </c>
      <c r="MY180" s="6">
        <f>COUNTIFS(Table106[Country],Tabela1[[#This Row],[Country]],Table106[Mass Start Classification],"&gt;0")</f>
        <v>0</v>
      </c>
      <c r="MZ180" s="6">
        <f>COUNTIFS(Table106109[Country],Tabela1[[#This Row],[Country]],Table106109[Mass Start Classification],"&gt;0")</f>
        <v>0</v>
      </c>
      <c r="NA180" s="6">
        <f>COUNTIFS(Table106[Country],Tabela1[[#This Row],[Country]],Table106[Pursuit Classification],"&gt;0")</f>
        <v>0</v>
      </c>
      <c r="NB180" s="6">
        <f>COUNTIFS(Table106109[Country],Tabela1[[#This Row],[Country]],Table106109[Pursuit Classification],"&gt;0")</f>
        <v>0</v>
      </c>
      <c r="NC180" s="6">
        <f>COUNTIFS(Table106[Country],Tabela1[[#This Row],[Country]],Table106[Sprint Classification],"&gt;0")</f>
        <v>0</v>
      </c>
      <c r="ND180" s="6">
        <f>COUNTIFS(Table106109[Country],Tabela1[[#This Row],[Country]],Table106109[Sprint Classification],"&gt;0")</f>
        <v>0</v>
      </c>
      <c r="NE180" s="6">
        <f>COUNTIFS(Table109[Country],Tabela1[[#This Row],[Country]],Table109[Men''s Relay Classification],"&gt;0")</f>
        <v>0</v>
      </c>
      <c r="NF180" s="6">
        <f>COUNTIFS(Table109[Country],Tabela1[[#This Row],[Country]],Table109[Women''s Relay Classification],"&gt;0")</f>
        <v>0</v>
      </c>
      <c r="NG180" s="6">
        <f>COUNTIFS(Table109[Country],Tabela1[[#This Row],[Country]],Table109[Mixed Relay Classification],"&gt;0")</f>
        <v>0</v>
      </c>
      <c r="NH180" s="6">
        <f>COUNTIFS(Table110[Country],Tabela1[[#This Row],[Country]],Table110[Monobob Classification],"&gt;0")</f>
        <v>0</v>
      </c>
      <c r="NI180" s="6">
        <f>COUNTIFS(Table111[Country],Tabela1[[#This Row],[Country]],Table111[Men''s Classification],"&gt;0")</f>
        <v>0</v>
      </c>
      <c r="NJ180" s="6">
        <f>COUNTIFS(Table111[Country],Tabela1[[#This Row],[Country]],Table111[Women''s Classification],"&gt;0")</f>
        <v>0</v>
      </c>
      <c r="NK180" s="6">
        <f>COUNTIFS(Table112[Country],Tabela1[[#This Row],[Country]],Table112[Men''s Four Classification],"&gt;0")</f>
        <v>0</v>
      </c>
      <c r="NL180" s="6">
        <f>COUNTIFS(Table113[Country],Tabela1[[#This Row],[Country]],Table113[Classical Classification],"&gt;0")</f>
        <v>0</v>
      </c>
      <c r="NM180" s="6">
        <f>COUNTIFS(Table113116[Country],Tabela1[[#This Row],[Country]],Table113116[Classical Classification],"&gt;0")</f>
        <v>0</v>
      </c>
      <c r="NN180" s="6">
        <f>COUNTIFS(Table113[Country],Tabela1[[#This Row],[Country]],Table113[Freestyle Classification],"&gt;0")</f>
        <v>0</v>
      </c>
      <c r="NO180" s="6">
        <f>COUNTIFS(Table113116[Country],Tabela1[[#This Row],[Country]],Table113116[Freestyle Classification],"&gt;0")</f>
        <v>0</v>
      </c>
      <c r="NP180" s="6">
        <f>COUNTIFS(Table117[Country],Tabela1[[#This Row],[Country]],Table117[Men''s Relay Classification],"&gt;0")</f>
        <v>0</v>
      </c>
      <c r="NQ180" s="6">
        <f>COUNTIFS(Table117[Country],Tabela1[[#This Row],[Country]],Table117[Women''s Relay Classification],"&gt;0")</f>
        <v>0</v>
      </c>
      <c r="NR180" s="6">
        <f>COUNTIFS(Table113[Country],Tabela1[[#This Row],[Country]],Table113[Skiathlon Classification],"&gt;0")</f>
        <v>0</v>
      </c>
      <c r="NS180" s="6">
        <f>COUNTIFS(Table113116[Country],Tabela1[[#This Row],[Country]],Table113116[Skiathlon Classification],"&gt;0")</f>
        <v>0</v>
      </c>
      <c r="NT180" s="6">
        <f>COUNTIFS(Table113[Country],Tabela1[[#This Row],[Country]],Table113[Sprint Classification],"&gt;0")</f>
        <v>0</v>
      </c>
      <c r="NU180" s="6">
        <f>COUNTIFS(Table113116[Country],Tabela1[[#This Row],[Country]],Table113116[Sprint Classification],"&gt;0")</f>
        <v>0</v>
      </c>
      <c r="NV180" s="6">
        <f>COUNTIFS(Table116[Country],Tabela1[[#This Row],[Country]],Table116[Men''s Team Sprint Classification],"&gt;0")</f>
        <v>0</v>
      </c>
      <c r="NW180" s="6">
        <f>COUNTIFS(Table116[Country],Tabela1[[#This Row],[Country]],Table116[Women''s Team Sprint Classification],"&gt;0")</f>
        <v>0</v>
      </c>
      <c r="NX180" s="6">
        <f>COUNTIFS(Table119[Country],Tabela1[[#This Row],[Country]],Table119[Men''s Classification],"&gt;0")</f>
        <v>0</v>
      </c>
      <c r="NY180" s="6">
        <f>COUNTIFS(Table119[Country],Tabela1[[#This Row],[Country]],Table119[Women''s Classification],"&gt;0")</f>
        <v>0</v>
      </c>
      <c r="NZ180" s="6">
        <f>COUNTIFS(Table118[Country],Tabela1[[#This Row],[Country]],Table118[Mixed Classification],"&gt;0")</f>
        <v>0</v>
      </c>
      <c r="OA180" s="6">
        <f>COUNTIFS(Table120[Country],Tabela1[[#This Row],[Country]],Table120[Classification],"&gt;0")</f>
        <v>0</v>
      </c>
      <c r="OB180" s="6">
        <f>COUNTIFS(Table120123[Country],Tabela1[[#This Row],[Country]],Table120123[Classification],"&gt;0")</f>
        <v>0</v>
      </c>
      <c r="OC180" s="6">
        <f>COUNTIFS(Table123[Country],Tabela1[[#This Row],[Country]],Table123[Ice Dance Classification],"&gt;0")</f>
        <v>0</v>
      </c>
      <c r="OD180" s="6">
        <f>COUNTIFS(Table123[Country],Tabela1[[#This Row],[Country]],Table123[Pair Skating Classification],"&gt;0")</f>
        <v>0</v>
      </c>
      <c r="OE180" s="6">
        <f>COUNTIFS(Table124[Country],Tabela1[[#This Row],[Country]],Table124[Mixed Classification],"&gt;0")</f>
        <v>0</v>
      </c>
      <c r="OF180" s="6">
        <f>COUNTIFS(Table125[Country],Tabela1[[#This Row],[Country]],Table125[Aerials Classification],"&gt;0")</f>
        <v>0</v>
      </c>
      <c r="OG180" s="6">
        <f>COUNTIFS(Table125128[Country],Tabela1[[#This Row],[Country]],Table125128[Aerials Classification],"&gt;0")</f>
        <v>0</v>
      </c>
      <c r="OH180" s="6">
        <f>COUNTIFS(Table128[Country],Tabela1[[#This Row],[Country]],Table128[Mixed Aerials Classification],"&gt;0")</f>
        <v>0</v>
      </c>
      <c r="OI180" s="6">
        <f>COUNTIFS(Table125[Country],Tabela1[[#This Row],[Country]],Table125[Big Air Classification],"&gt;0")</f>
        <v>0</v>
      </c>
      <c r="OJ180" s="6">
        <f>COUNTIFS(Table125128[Country],Tabela1[[#This Row],[Country]],Table125128[Big Air Classification],"&gt;0")</f>
        <v>0</v>
      </c>
      <c r="OK180" s="6">
        <f>COUNTIFS(Table125[Country],Tabela1[[#This Row],[Country]],Table125[Dual Moguls Classification],"&gt;0")</f>
        <v>0</v>
      </c>
      <c r="OL180" s="6">
        <f>COUNTIFS(Table125128[Country],Tabela1[[#This Row],[Country]],Table125128[Dual Moguls Classification],"&gt;0")</f>
        <v>0</v>
      </c>
      <c r="OM180" s="6">
        <f>COUNTIFS(Table125[Country],Tabela1[[#This Row],[Country]],Table125[Halfpipe Classification],"&gt;0")</f>
        <v>0</v>
      </c>
      <c r="ON180" s="6">
        <f>COUNTIFS(Table125128[Country],Tabela1[[#This Row],[Country]],Table125128[Halfpipe Classification],"&gt;0")</f>
        <v>0</v>
      </c>
      <c r="OO180" s="6">
        <f>COUNTIFS(Table125[Country],Tabela1[[#This Row],[Country]],Table125[Moguls Classification],"&gt;0")</f>
        <v>0</v>
      </c>
      <c r="OP180" s="6">
        <f>COUNTIFS(Table125128[Country],Tabela1[[#This Row],[Country]],Table125128[Moguls Classification],"&gt;0")</f>
        <v>0</v>
      </c>
      <c r="OQ180" s="6">
        <f>COUNTIFS(Table125[Country],Tabela1[[#This Row],[Country]],Table125[Ski Cross Classification],"&gt;0")</f>
        <v>0</v>
      </c>
      <c r="OR180" s="6">
        <f>COUNTIFS(Table125128[Country],Tabela1[[#This Row],[Country]],Table125128[Ski Cross Classification],"&gt;0")</f>
        <v>0</v>
      </c>
      <c r="OS180" s="6">
        <f>COUNTIFS(Table125[Country],Tabela1[[#This Row],[Country]],Table125[Slopestyle Classification],"&gt;0")</f>
        <v>0</v>
      </c>
      <c r="OT180" s="6">
        <f>COUNTIFS(Table125128[Country],Tabela1[[#This Row],[Country]],Table125128[Slopestyle Classification],"&gt;0")</f>
        <v>0</v>
      </c>
      <c r="OU180" s="6">
        <f>COUNTIFS(Table119131[Country],Tabela1[[#This Row],[Country]],Table119131[Men''s Classification],"&gt;0")</f>
        <v>0</v>
      </c>
      <c r="OV180" s="6">
        <f>COUNTIFS(Table119131[Country],Tabela1[[#This Row],[Country]],Table119131[Women''s Classification],"&gt;0")</f>
        <v>0</v>
      </c>
      <c r="OW180" s="6">
        <f>COUNTIFS(Table131[Country],Tabela1[[#This Row],[Country]],Table131[Classification],"&gt;0")</f>
        <v>0</v>
      </c>
      <c r="OX180" s="6">
        <f>COUNTIFS(Table131134[Country],Tabela1[[#This Row],[Country]],Table131134[Classification],"&gt;0")</f>
        <v>0</v>
      </c>
      <c r="OY180" s="6">
        <f>COUNTIFS(Table134[Country],Tabela1[[#This Row],[Country]],Table134[Men''s Classification],"&gt;0")</f>
        <v>0</v>
      </c>
      <c r="OZ180" s="6">
        <f>COUNTIFS(Table134[Country],Tabela1[[#This Row],[Country]],Table134[Women''s Classification],"&gt;0")</f>
        <v>0</v>
      </c>
      <c r="PA180" s="6">
        <f>COUNTIFS(Table135[Country],Tabela1[[#This Row],[Country]],Table135[Mixed Relay Classification],"&gt;0")</f>
        <v>0</v>
      </c>
      <c r="PB180" s="6">
        <f>COUNTIFS(Table136[Country],Tabela1[[#This Row],[Country]],Table136[Individual Classification],"&gt;0")</f>
        <v>0</v>
      </c>
      <c r="PC180" s="6">
        <f>COUNTIFS(Table136[Country],Tabela1[[#This Row],[Country]],Table136[Sprint Classification],"&gt;0")</f>
        <v>0</v>
      </c>
      <c r="PD180" s="6">
        <f>COUNTIFS(Table137[Country],Tabela1[[#This Row],[Country]],Table137[Men''s Team Sprint Large Hill Classification],"&gt;0")</f>
        <v>0</v>
      </c>
      <c r="PE180" s="6">
        <f>COUNTIFS(Table138[Country],Tabela1[[#This Row],[Country]],Table138[500m Classification],"&gt;0")</f>
        <v>0</v>
      </c>
      <c r="PF180" s="6">
        <f>COUNTIFS(Table138141[Country],Tabela1[[#This Row],[Country]],Table138141[500m Classification],"&gt;0")</f>
        <v>0</v>
      </c>
      <c r="PG180" s="6">
        <f>COUNTIFS(Table138[Country],Tabela1[[#This Row],[Country]],Table138[1000m Classification],"&gt;0")</f>
        <v>0</v>
      </c>
      <c r="PH180" s="6">
        <f>COUNTIFS(Table138141[Country],Tabela1[[#This Row],[Country]],Table138141[1000m Classification],"&gt;0")</f>
        <v>0</v>
      </c>
      <c r="PI180" s="6">
        <f>COUNTIFS(Table138[Country],Tabela1[[#This Row],[Country]],Table138[1500m Classification],"&gt;0")</f>
        <v>0</v>
      </c>
      <c r="PJ180" s="6">
        <f>COUNTIFS(Table138141[Country],Tabela1[[#This Row],[Country]],Table138141[1500m Classification],"&gt;0")</f>
        <v>0</v>
      </c>
      <c r="PK180" s="6">
        <f>COUNTIFS(Table141[Country],Tabela1[[#This Row],[Country]],Table141[Men''s 5000m Relay Classification],"&gt;0")</f>
        <v>0</v>
      </c>
      <c r="PL180" s="6">
        <f>COUNTIFS(Table141[Country],Tabela1[[#This Row],[Country]],Table141[Women''s 3000m Relay Classification],"&gt;0")</f>
        <v>0</v>
      </c>
      <c r="PM180" s="6">
        <f>COUNTIFS(Table141[Country],Tabela1[[#This Row],[Country]],Table141[Mixed 2000m Relay Classification],"&gt;0")</f>
        <v>0</v>
      </c>
      <c r="PN180" s="6">
        <f>COUNTIFS(Table142[Country],Tabela1[[#This Row],[Country]],Table142[Classification],"&gt;0")</f>
        <v>0</v>
      </c>
      <c r="PO180" s="6">
        <f>COUNTIFS(Table142145[Country],Tabela1[[#This Row],[Country]],Table142145[Classification],"&gt;0")</f>
        <v>0</v>
      </c>
      <c r="PP180" s="6">
        <f>COUNTIFS(Tabela15[Country],Tabela1[[#This Row],[Country]],Tabela15[Mixed Team Classification],"&gt;0")</f>
        <v>0</v>
      </c>
      <c r="PQ180" s="6">
        <f>COUNTIFS(Table145[Country],Tabela1[[#This Row],[Country]],Table145[Large Hill Classification],"&gt;0")</f>
        <v>0</v>
      </c>
      <c r="PR180" s="6">
        <f>COUNTIFS(Table145[Country],Tabela1[[#This Row],[Country]],Table145[Normal Hill Classification],"&gt;0")</f>
        <v>0</v>
      </c>
      <c r="PS180" s="6">
        <f>COUNTIFS(Table145148[Country],Tabela1[[#This Row],[Country]],Table145148[Large Hill Classification],"&gt;0")</f>
        <v>0</v>
      </c>
      <c r="PT180" s="6">
        <f>COUNTIFS(Table145148[Country],Tabela1[[#This Row],[Country]],Table145148[Normal Hill Classification],"&gt;0")</f>
        <v>0</v>
      </c>
      <c r="PU180" s="6">
        <f>COUNTIFS(Table148[Country],Tabela1[[#This Row],[Country]],Table148[Men''s Super Team Classification],"&gt;0")</f>
        <v>0</v>
      </c>
      <c r="PV180" s="6">
        <f>COUNTIFS(Tabela114[Country],Tabela1[[#This Row],[Country]],Tabela114[Mixed Normal Hill Classification],"&gt;0")</f>
        <v>0</v>
      </c>
      <c r="PW180" s="6">
        <f>COUNTIFS(Tabela50[Country],Tabela1[[#This Row],[Country]],Tabela50[Sprint Classification],"&gt;0")</f>
        <v>0</v>
      </c>
      <c r="PX180" s="6">
        <f>COUNTIFS(Tabela50101[Country],Tabela1[[#This Row],[Country]],Tabela50101[Sprint Classification],"&gt;0")</f>
        <v>0</v>
      </c>
      <c r="PY180" s="6">
        <f>COUNTIFS(Tabela103[Country],Tabela1[[#This Row],[Country]],Tabela103[Mixed Relay Classification],"&gt;0")</f>
        <v>0</v>
      </c>
      <c r="PZ180" s="6">
        <f>COUNTIFS(Table149[Country],Tabela1[[#This Row],[Country]],Table149[Big Air Classification],"&gt;0")</f>
        <v>0</v>
      </c>
      <c r="QA180" s="6">
        <f>COUNTIFS(Table149152[Country],Tabela1[[#This Row],[Country]],Table149152[Big Air Classification],"&gt;0")</f>
        <v>0</v>
      </c>
      <c r="QB180" s="6">
        <f>COUNTIFS(Table149[Country],Tabela1[[#This Row],[Country]],Table149[Halfpipe Classification],"&gt;0")</f>
        <v>0</v>
      </c>
      <c r="QC180" s="6">
        <f>COUNTIFS(Table149152[Country],Tabela1[[#This Row],[Country]],Table149152[Halfpipe Classification],"&gt;0")</f>
        <v>0</v>
      </c>
      <c r="QD180" s="6">
        <f>COUNTIFS(Table149[Country],Tabela1[[#This Row],[Country]],Table149[Parallel Giant Slalom Classification],"&gt;0")</f>
        <v>0</v>
      </c>
      <c r="QE180" s="6">
        <f>COUNTIFS(Table149152[Country],Tabela1[[#This Row],[Country]],Table149152[Parallel Giant Slalom Classification],"&gt;0")</f>
        <v>0</v>
      </c>
      <c r="QF180" s="6">
        <f>COUNTIFS(Table149[Country],Tabela1[[#This Row],[Country]],Table149[Slopestyle Classification],"&gt;0")</f>
        <v>0</v>
      </c>
      <c r="QG180" s="6">
        <f>COUNTIFS(Table149152[Country],Tabela1[[#This Row],[Country]],Table149152[Slopestyle Classification],"&gt;0")</f>
        <v>0</v>
      </c>
      <c r="QH180" s="6">
        <f>COUNTIFS(Table149[Country],Tabela1[[#This Row],[Country]],Table149[Snowboard Cross Classification],"&gt;0")</f>
        <v>0</v>
      </c>
      <c r="QI180" s="6">
        <f>COUNTIFS(Table149152[Country],Tabela1[[#This Row],[Country]],Table149152[Snowboard Cross Classification],"&gt;0")</f>
        <v>0</v>
      </c>
      <c r="QJ180" s="6">
        <f>COUNTIFS(Table153[Country],Tabela1[[#This Row],[Country]],Table153[Mixed Team Snowboard Cross Classification],"&gt;0")</f>
        <v>0</v>
      </c>
      <c r="QK180" s="6">
        <f>COUNTIFS(Table154[Country],Tabela1[[#This Row],[Country]],Table154[500m Classification],"&gt;0")</f>
        <v>0</v>
      </c>
      <c r="QL180" s="6">
        <f>COUNTIFS(Table154157[Country],Tabela1[[#This Row],[Country]],Table154157[500m Classification],"&gt;0")</f>
        <v>0</v>
      </c>
      <c r="QM180" s="6">
        <f>COUNTIFS(Table154[Country],Tabela1[[#This Row],[Country]],Table154[1000m Classification],"&gt;0")</f>
        <v>0</v>
      </c>
      <c r="QN180" s="6">
        <f>COUNTIFS(Table154157[Country],Tabela1[[#This Row],[Country]],Table154157[1000m Classification],"&gt;0")</f>
        <v>0</v>
      </c>
      <c r="QO180" s="6">
        <f>COUNTIFS(Table154[Country],Tabela1[[#This Row],[Country]],Table154[1500m Classification],"&gt;0")</f>
        <v>0</v>
      </c>
      <c r="QP180" s="6">
        <f>COUNTIFS(Table154157[Country],Tabela1[[#This Row],[Country]],Table154157[1500m Classification],"&gt;0")</f>
        <v>0</v>
      </c>
      <c r="QQ180" s="6">
        <f>COUNTIFS(Table154157[Country],Tabela1[[#This Row],[Country]],Table154157[3000m Classification],"&gt;0")</f>
        <v>0</v>
      </c>
      <c r="QR180" s="6">
        <f>COUNTIFS(Table154[Country],Tabela1[[#This Row],[Country]],Table154[5000m Classification],"&gt;0")</f>
        <v>0</v>
      </c>
      <c r="QS180" s="6">
        <f>COUNTIFS(Table154157[Country],Tabela1[[#This Row],[Country]],Table154157[5000m Classification],"&gt;0")</f>
        <v>0</v>
      </c>
      <c r="QT180" s="6">
        <f>COUNTIFS(Table154[Country],Tabela1[[#This Row],[Country]],Table154[10000m Classification],"&gt;0")</f>
        <v>0</v>
      </c>
      <c r="QU180" s="6">
        <f>COUNTIFS(Table154[Country],Tabela1[[#This Row],[Country]],Table154[Mass Start Classification],"&gt;0")</f>
        <v>0</v>
      </c>
      <c r="QV180" s="6">
        <f>COUNTIFS(Table154157[Country],Tabela1[[#This Row],[Country]],Table154157[Mass Start Classification],"&gt;0")</f>
        <v>0</v>
      </c>
      <c r="QW180" s="6">
        <f>COUNTIFS(Table157[Country],Tabela1[[#This Row],[Country]],Table157[Men''s Pursuit Classification],"&gt;0")</f>
        <v>0</v>
      </c>
      <c r="QX180" s="6">
        <f>COUNTIFS(Table157[Country],Tabela1[[#This Row],[Country]],Table157[Women''s Pursuit Classification],"&gt;0")</f>
        <v>0</v>
      </c>
      <c r="QY180" s="4" t="s">
        <v>587</v>
      </c>
    </row>
    <row r="181" spans="1:467" x14ac:dyDescent="0.3">
      <c r="A181" s="6">
        <v>180</v>
      </c>
      <c r="B181" s="6" t="s">
        <v>590</v>
      </c>
      <c r="C181" t="e" vm="180">
        <f>IF(ISBLANK(Tabela1[[#This Row],[Image Link]]), "", _xlfn.IMAGE(Tabela1[[#This Row],[Image Link]],1,1))</f>
        <v>#VALUE!</v>
      </c>
      <c r="D181" s="6">
        <f>SUM(Tabela1[[#This Row],[Archery - Men''s Individual Recurve]:[Speed Skating - Women''s Team Pursuit]])</f>
        <v>0</v>
      </c>
      <c r="E181" s="6">
        <f>COUNTIF(Tabela1[[#This Row],[Archery - Men''s Individual Recurve]:[Speed Skating - Women''s Team Pursuit]],"&gt;0")</f>
        <v>0</v>
      </c>
      <c r="F181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81" s="6">
        <f>SUM(Tabela1[[#This Row],[Archery - Men''s Individual Recurve]:[Wrestling - Women''s Freestyle 76kg]])</f>
        <v>0</v>
      </c>
      <c r="H181" s="6">
        <f>SUM(Tabela1[[#This Row],[Alpine Skiing - Men''s Downhill]:[Speed Skating - Women''s Team Pursuit]])</f>
        <v>0</v>
      </c>
      <c r="I181" s="6">
        <f>Tabela1[[#This Row],[Summer Gold Medals]]+Tabela1[[#This Row],[Winter Gold Medals]]</f>
        <v>0</v>
      </c>
      <c r="J181" s="6">
        <f>Tabela1[[#This Row],[Summer Silver Medals]]+Tabela1[[#This Row],[Winter Silver Medals]]</f>
        <v>0</v>
      </c>
      <c r="K181" s="6">
        <f>Tabela1[[#This Row],[Summer Bronze Medals]]+Tabela1[[#This Row],[Winter Bronze Medals]]</f>
        <v>0</v>
      </c>
      <c r="L181" s="6">
        <f>SUM(Tabela1[[#This Row],[Total Gold Medals]:[Total Bronze Medals]])</f>
        <v>0</v>
      </c>
      <c r="M181" s="6"/>
      <c r="N181" s="6"/>
      <c r="O181" s="6"/>
      <c r="P181" s="6">
        <f>SUM(Tabela1[[#This Row],[Summer Gold Medals]:[Summer Bronze Medals]])</f>
        <v>0</v>
      </c>
      <c r="Q181" s="6"/>
      <c r="R181" s="6"/>
      <c r="S181" s="6"/>
      <c r="T181" s="6">
        <f>Tabela1[[#This Row],[Winter Gold Medals]]+Tabela1[[#This Row],[Winter Silver Medals]]+Tabela1[[#This Row],[Winter Bronze Medals]]</f>
        <v>0</v>
      </c>
      <c r="U181" s="7" t="e">
        <f>Tabela1[[#This Row],[Total Medals]]/Tabela1[[#This Row],[Total Quotas]]</f>
        <v>#DIV/0!</v>
      </c>
      <c r="V181" s="6">
        <f>COUNTIFS(Table3[Country],Tabela1[[#This Row],[Country]],Table3[Recurve Classification],"&gt;0")</f>
        <v>0</v>
      </c>
      <c r="W181" s="6">
        <f>COUNTIFS(Table33[Country],Tabela1[[#This Row],[Country]],Table33[Recurve Classification],"&gt;0")</f>
        <v>0</v>
      </c>
      <c r="X181" s="6">
        <f>COUNTIFS(Table35[Country],Tabela1[[#This Row],[Country]],Table35[Men''s Team Recurve Classification],"&gt;0")</f>
        <v>0</v>
      </c>
      <c r="Y181" s="6">
        <f>COUNTIFS(Table35[Country],Tabela1[[#This Row],[Country]],Table35[Women''s Team Recurve Classification],"&gt;0")</f>
        <v>0</v>
      </c>
      <c r="Z181" s="6">
        <f>COUNTIFS(Tabela88[Country],Tabela1[[#This Row],[Country]],Tabela88[Mixed Team Recurve Classification],"&gt;0")</f>
        <v>0</v>
      </c>
      <c r="AA181" s="6">
        <f>COUNTIFS(Table36[Country],Tabela1[[#This Row],[Country]],Table36[Classification],"&gt;0")</f>
        <v>0</v>
      </c>
      <c r="AB181" s="6">
        <f>COUNTIFS(Table37[Country],Tabela1[[#This Row],[Country]],Table37[Classification],"&gt;0")</f>
        <v>0</v>
      </c>
      <c r="AC181" s="6">
        <f>COUNTIFS(Table4[Country],Tabela1[[#This Row],[Country]],Table4[100m Classification],"&gt;0")</f>
        <v>0</v>
      </c>
      <c r="AD181" s="6">
        <f>COUNTIFS(Table5[Country],Tabela1[[#This Row],[Country]],Table5[100m Classification],"&gt;0")</f>
        <v>0</v>
      </c>
      <c r="AE181" s="6">
        <f>COUNTIFS(Table4[Country],Tabela1[[#This Row],[Country]],Table4[200m Classification],"&gt;0")</f>
        <v>0</v>
      </c>
      <c r="AF181" s="6">
        <f>COUNTIFS(Table5[Country],Tabela1[[#This Row],[Country]],Table5[200m Classification],"&gt;0")</f>
        <v>0</v>
      </c>
      <c r="AG181" s="6">
        <f>COUNTIFS(Table4[Country],Tabela1[[#This Row],[Country]],Table4[400m Classification],"&gt;0")</f>
        <v>0</v>
      </c>
      <c r="AH181" s="6">
        <f>COUNTIFS(Table5[Country],Tabela1[[#This Row],[Country]],Table5[400m Classification],"&gt;0")</f>
        <v>0</v>
      </c>
      <c r="AI181" s="6">
        <f>COUNTIFS(Table4[Country],Tabela1[[#This Row],[Country]],Table4[800m Classification],"&gt;0")</f>
        <v>0</v>
      </c>
      <c r="AJ181" s="6">
        <f>COUNTIFS(Table5[Country],Tabela1[[#This Row],[Country]],Table5[800m Classification],"&gt;0")</f>
        <v>0</v>
      </c>
      <c r="AK181" s="6">
        <f>COUNTIFS(Table4[Country],Tabela1[[#This Row],[Country]],Table4[1500m Classification],"&gt;0")</f>
        <v>0</v>
      </c>
      <c r="AL181" s="6">
        <f>COUNTIFS(Table5[Country],Tabela1[[#This Row],[Country]],Table5[1500m Classification],"&gt;0")</f>
        <v>0</v>
      </c>
      <c r="AM181" s="6">
        <f>COUNTIFS(Table4[Country],Tabela1[[#This Row],[Country]],Table4[5000m Classification],"&gt;0")</f>
        <v>0</v>
      </c>
      <c r="AN181" s="6">
        <f>COUNTIFS(Table5[Country],Tabela1[[#This Row],[Country]],Table5[5000m Classification],"&gt;0")</f>
        <v>0</v>
      </c>
      <c r="AO181" s="6">
        <f>COUNTIFS(Table4[Country],Tabela1[[#This Row],[Country]],Table4[10000m Classification],"&gt;0")</f>
        <v>0</v>
      </c>
      <c r="AP181" s="6">
        <f>COUNTIFS(Table5[Country],Tabela1[[#This Row],[Country]],Table5[10000m Classification],"&gt;0")</f>
        <v>0</v>
      </c>
      <c r="AQ181" s="6">
        <f>COUNTIFS(Table4[Country],Tabela1[[#This Row],[Country]],Table4[110m Hurdles Classification],"&gt;0")</f>
        <v>0</v>
      </c>
      <c r="AR181" s="6">
        <f>COUNTIFS(Table5[Country],Tabela1[[#This Row],[Country]],Table5[100m Hurdles Classification],"&gt;0")</f>
        <v>0</v>
      </c>
      <c r="AS181" s="6">
        <f>COUNTIFS(Table4[Country],Tabela1[[#This Row],[Country]],Table4[400m Hurdles Classification],"&gt;0")</f>
        <v>0</v>
      </c>
      <c r="AT181" s="6">
        <f>COUNTIFS(Table5[Country],Tabela1[[#This Row],[Country]],Table5[400m Hurdles Classification],"&gt;0")</f>
        <v>0</v>
      </c>
      <c r="AU181" s="6">
        <f>COUNTIFS(Table4[Country],Tabela1[[#This Row],[Country]],Table4[3000m Steeplechase Classification],"&gt;0")</f>
        <v>0</v>
      </c>
      <c r="AV181" s="6">
        <f>COUNTIFS(Table5[Country],Tabela1[[#This Row],[Country]],Table5[3000m Steeplechase Classification],"&gt;0")</f>
        <v>0</v>
      </c>
      <c r="AW181" s="6">
        <f>COUNTIFS(Table27[Country],Tabela1[[#This Row],[Country]],Table27[Men''s 4x100m Relay Classification],"&gt;0")</f>
        <v>0</v>
      </c>
      <c r="AX181" s="6">
        <f>COUNTIFS(Table27[Country],Tabela1[[#This Row],[Country]],Table27[Women''s 4x100m Relay Classification],"&gt;0")</f>
        <v>0</v>
      </c>
      <c r="AY181" s="6">
        <f>COUNTIFS(Table27[Country],Tabela1[[#This Row],[Country]],Table27[Men''s 4x400m Relay Classification],"&gt;0")</f>
        <v>0</v>
      </c>
      <c r="AZ181" s="6">
        <f>COUNTIFS(Table27[Country],Tabela1[[#This Row],[Country]],Table27[Women''s 4x400m Relay Classification],"&gt;0")</f>
        <v>0</v>
      </c>
      <c r="BA181" s="6">
        <f>COUNTIFS(Table27[Country],Tabela1[[#This Row],[Country]],Table27[Mixed 4x400m Relay Classification],"&gt;0")</f>
        <v>0</v>
      </c>
      <c r="BB181" s="6">
        <f>COUNTIFS(Table4[Country],Tabela1[[#This Row],[Country]],Table4[Marathon Classification],"&gt;0")</f>
        <v>0</v>
      </c>
      <c r="BC181" s="6">
        <f>COUNTIFS(Table5[Country],Tabela1[[#This Row],[Country]],Table5[Marathon Classification],"&gt;0")</f>
        <v>0</v>
      </c>
      <c r="BD181" s="6">
        <f>COUNTIFS(Table4[Country],Tabela1[[#This Row],[Country]],Table4[20km Race Walk Classification],"&gt;0")</f>
        <v>0</v>
      </c>
      <c r="BE181" s="6">
        <f>COUNTIFS(Table5[Country],Tabela1[[#This Row],[Country]],Table5[20km Race Walk Classification],"&gt;0")</f>
        <v>0</v>
      </c>
      <c r="BF181" s="6">
        <f>COUNTIFS(Tabela96[Country],Tabela1[[#This Row],[Country]],Tabela96[Mixed Marathon Race Walk Relay Classification],"&gt;0")</f>
        <v>0</v>
      </c>
      <c r="BG181" s="6">
        <f>COUNTIFS(Table4[Country],Tabela1[[#This Row],[Country]],Table4[Discus Throw Classification],"&gt;0")</f>
        <v>0</v>
      </c>
      <c r="BH181" s="6">
        <f>COUNTIFS(Table5[Country],Tabela1[[#This Row],[Country]],Table5[Discus Throw Classification],"&gt;0")</f>
        <v>0</v>
      </c>
      <c r="BI181" s="6">
        <f>COUNTIFS(Table4[Country],Tabela1[[#This Row],[Country]],Table4[Hammer Throw Classification],"&gt;0")</f>
        <v>0</v>
      </c>
      <c r="BJ181" s="6">
        <f>COUNTIFS(Table5[Country],Tabela1[[#This Row],[Country]],Table5[Hammer Throw Classification],"&gt;0")</f>
        <v>0</v>
      </c>
      <c r="BK181" s="6">
        <f>COUNTIFS(Table4[Country],Tabela1[[#This Row],[Country]],Table4[High Jump Classification],"&gt;0")</f>
        <v>0</v>
      </c>
      <c r="BL181" s="6">
        <f>COUNTIFS(Table5[Country],Tabela1[[#This Row],[Country]],Table5[High Jump Classification],"&gt;0")</f>
        <v>0</v>
      </c>
      <c r="BM181" s="6">
        <f>COUNTIFS(Table4[Country],Tabela1[[#This Row],[Country]],Table4[Javelin Throw Classification],"&gt;0")</f>
        <v>0</v>
      </c>
      <c r="BN181" s="6">
        <f>COUNTIFS(Table5[Country],Tabela1[[#This Row],[Country]],Table5[Javelin Throw Classification],"&gt;0")</f>
        <v>0</v>
      </c>
      <c r="BO181" s="6">
        <f>COUNTIFS(Table4[Country],Tabela1[[#This Row],[Country]],Table4[Long Jump Classification],"&gt;0")</f>
        <v>0</v>
      </c>
      <c r="BP181" s="6">
        <f>COUNTIFS(Table5[Country],Tabela1[[#This Row],[Country]],Table5[Long Jump Classification],"&gt;0")</f>
        <v>0</v>
      </c>
      <c r="BQ181" s="6">
        <f>COUNTIFS(Table4[Country],Tabela1[[#This Row],[Country]],Table4[Pole Vault Classification],"&gt;0")</f>
        <v>0</v>
      </c>
      <c r="BR181" s="6">
        <f>COUNTIFS(Table5[Country],Tabela1[[#This Row],[Country]],Table5[Pole Vault Classification],"&gt;0")</f>
        <v>0</v>
      </c>
      <c r="BS181" s="6">
        <f>COUNTIFS(Table4[Country],Tabela1[[#This Row],[Country]],Table4[Shot Put Classification],"&gt;0")</f>
        <v>0</v>
      </c>
      <c r="BT181" s="6">
        <f>COUNTIFS(Table5[Country],Tabela1[[#This Row],[Country]],Table5[Shot Put Classification],"&gt;0")</f>
        <v>0</v>
      </c>
      <c r="BU181" s="6">
        <f>COUNTIFS(Table4[Country],Tabela1[[#This Row],[Country]],Table4[Triple Jump Classification],"&gt;0")</f>
        <v>0</v>
      </c>
      <c r="BV181" s="6">
        <f>COUNTIFS(Table5[Country],Tabela1[[#This Row],[Country]],Table5[Triple Jump Classification],"&gt;0")</f>
        <v>0</v>
      </c>
      <c r="BW181" s="6">
        <f>COUNTIFS(Table4[Country],Tabela1[[#This Row],[Country]],Table4[Decathlon Classification],"&gt;0")</f>
        <v>0</v>
      </c>
      <c r="BX181" s="6">
        <f>COUNTIFS(Table5[Country],Tabela1[[#This Row],[Country]],Table5[Heptathlon Classification],"&gt;0")</f>
        <v>0</v>
      </c>
      <c r="BY181" s="6">
        <f>COUNTIFS(Table61[Country],Tabela1[[#This Row],[Country]],Table61[Classification],"&gt;0")</f>
        <v>0</v>
      </c>
      <c r="BZ181" s="6">
        <f>COUNTIFS(Table38[Country],Tabela1[[#This Row],[Country]],Table38[Classification],"&gt;0")</f>
        <v>0</v>
      </c>
      <c r="CA181" s="6">
        <f>COUNTIFS(Table39[Country],Tabela1[[#This Row],[Country]],Table39[Men''s Classification],"&gt;0")</f>
        <v>0</v>
      </c>
      <c r="CB181" s="6">
        <f>COUNTIFS(Table39[Country],Tabela1[[#This Row],[Country]],Table39[Women''s Classification],"&gt;0")</f>
        <v>0</v>
      </c>
      <c r="CC181" s="6">
        <f>COUNTIFS(Table39[Country],Tabela1[[#This Row],[Country]],Table39[Mixed Classification],"&gt;0")</f>
        <v>0</v>
      </c>
      <c r="CD181" s="6">
        <f>COUNTIFS(Table89[Country],Tabela1[[#This Row],[Country]],Table89[Men''s Classification],"&gt;0")</f>
        <v>0</v>
      </c>
      <c r="CE181" s="6">
        <f>COUNTIFS(Table89[Country],Tabela1[[#This Row],[Country]],Table89[Women''s Classification],"&gt;0")</f>
        <v>0</v>
      </c>
      <c r="CF181" s="6">
        <f>COUNTIFS(Table90[Country],Tabela1[[#This Row],[Country]],Table90[Men''s Classification],"&gt;0")</f>
        <v>0</v>
      </c>
      <c r="CG181" s="6">
        <f>COUNTIFS(Table90[Country],Tabela1[[#This Row],[Country]],Table90[Women''s Classification],"&gt;0")</f>
        <v>0</v>
      </c>
      <c r="CH181" s="6">
        <f>COUNTIFS(Table60[Country],Tabela1[[#This Row],[Country]],Table60[Men''s Classification],"&gt;0")</f>
        <v>0</v>
      </c>
      <c r="CI181" s="6">
        <f>COUNTIFS(Table60[Country],Tabela1[[#This Row],[Country]],Table60[Women''s Classification],"&gt;0")</f>
        <v>0</v>
      </c>
      <c r="CJ181" s="6">
        <f>COUNTIFS(Table6[Country],Tabela1[[#This Row],[Country]],Table6[51kg Classification],"&gt;0")</f>
        <v>0</v>
      </c>
      <c r="CK181" s="6">
        <f>COUNTIFS(Table6[Country],Tabela1[[#This Row],[Country]],Table6[57kg Classification],"&gt;0")</f>
        <v>0</v>
      </c>
      <c r="CL181" s="6">
        <f>COUNTIFS(Table6[Country],Tabela1[[#This Row],[Country]],Table6[63.5kg Classification],"&gt;0")</f>
        <v>0</v>
      </c>
      <c r="CM181" s="6">
        <f>COUNTIFS(Table6[Country],Tabela1[[#This Row],[Country]],Table6[71kg Classification],"&gt;0")</f>
        <v>0</v>
      </c>
      <c r="CN181" s="6">
        <f>COUNTIFS(Table6[Country],Tabela1[[#This Row],[Country]],Table6[80kg Classification],"&gt;0")</f>
        <v>0</v>
      </c>
      <c r="CO181" s="6">
        <f>COUNTIFS(Table6[Country],Tabela1[[#This Row],[Country]],Table6[92kg Classification],"&gt;0")</f>
        <v>0</v>
      </c>
      <c r="CP181" s="6">
        <f>COUNTIFS(Table6[Country],Tabela1[[#This Row],[Country]],Table6[Plus 92kg Classification],"&gt;0")</f>
        <v>0</v>
      </c>
      <c r="CQ181" s="6">
        <f>COUNTIFS(Table7[Country],Tabela1[[#This Row],[Country]],Table7[50kg Classification],"&gt;0")</f>
        <v>0</v>
      </c>
      <c r="CR181" s="6">
        <f>COUNTIFS(Table7[Country],Tabela1[[#This Row],[Country]],Table7[54kg Classification],"&gt;0")</f>
        <v>0</v>
      </c>
      <c r="CS181" s="6">
        <f>COUNTIFS(Table7[Country],Tabela1[[#This Row],[Country]],Table7[57kg Classification],"&gt;0")</f>
        <v>0</v>
      </c>
      <c r="CT181" s="6">
        <f>COUNTIFS(Table7[Country],Tabela1[[#This Row],[Country]],Table7[60kg Classification],"&gt;0")</f>
        <v>0</v>
      </c>
      <c r="CU181" s="6">
        <f>COUNTIFS(Table7[Country],Tabela1[[#This Row],[Country]],Table7[66kg Classification],"&gt;0")</f>
        <v>0</v>
      </c>
      <c r="CV181" s="6">
        <f>COUNTIFS(Table7[Country],Tabela1[[#This Row],[Country]],Table7[75kg Classification],"&gt;0")</f>
        <v>0</v>
      </c>
      <c r="CW181" s="6">
        <f>COUNTIFS(Tabela94[Country],Tabela1[[#This Row],[Country]],Tabela94[Classification],"&gt;0")</f>
        <v>0</v>
      </c>
      <c r="CX181" s="6">
        <f>COUNTIFS(Tabela9499[Country],Tabela1[[#This Row],[Country]],Tabela9499[Classification],"&gt;0")</f>
        <v>0</v>
      </c>
      <c r="CY181" s="6">
        <f>COUNTIFS(Tabela107[Country],Tabela1[[#This Row],[Country]],Tabela107[C1 Slalom Classification],"&gt;0")</f>
        <v>0</v>
      </c>
      <c r="CZ181" s="6">
        <f>COUNTIFS(Tabela107122[Country],Tabela1[[#This Row],[Country]],Tabela107122[C1 Slalom Classification],"&gt;0")</f>
        <v>0</v>
      </c>
      <c r="DA181" s="6">
        <f>COUNTIFS(Tabela107[Country],Tabela1[[#This Row],[Country]],Tabela107[K1 Slalom Classification],"&gt;0")</f>
        <v>0</v>
      </c>
      <c r="DB181" s="6">
        <f>COUNTIFS(Tabela107122[Country],Tabela1[[#This Row],[Country]],Tabela107122[K1 Slalom Classification],"&gt;0")</f>
        <v>0</v>
      </c>
      <c r="DC181" s="6">
        <f>COUNTIFS(Tabela107[Country],Tabela1[[#This Row],[Country]],Tabela107[Kayak Cross Slalom Classification],"&gt;0")</f>
        <v>0</v>
      </c>
      <c r="DD181" s="6">
        <f>COUNTIFS(Tabela107122[Country],Tabela1[[#This Row],[Country]],Tabela107122[Kayak Cross Slalom Classification],"&gt;0")</f>
        <v>0</v>
      </c>
      <c r="DE181" s="6">
        <f>COUNTIFS(Table8[Country],Tabela1[[#This Row],[Country]],Table8[C1 200m Classification],"&gt;0")</f>
        <v>0</v>
      </c>
      <c r="DF181" s="6">
        <f>COUNTIFS(Table40[Country],Tabela1[[#This Row],[Country]],Table40[C1 1000m Classification],"&gt;0")</f>
        <v>0</v>
      </c>
      <c r="DG181" s="6">
        <f>COUNTIFS(Table68[Country],Tabela1[[#This Row],[Country]],Table68[Men''s C2 500m Classification],"&gt;0")</f>
        <v>0</v>
      </c>
      <c r="DH181" s="6">
        <f>COUNTIFS(Table68[Country],Tabela1[[#This Row],[Country]],Table68[Women''s C2 500m Classification],"&gt;0")</f>
        <v>0</v>
      </c>
      <c r="DI181" s="6">
        <f>COUNTIFS(Table8[Country],Tabela1[[#This Row],[Country]],Table8[K1 500m Classification],"&gt;0")</f>
        <v>0</v>
      </c>
      <c r="DJ181" s="6">
        <f>COUNTIFS(Table40[Country],Tabela1[[#This Row],[Country]],Table40[K1 1000m Classification],"&gt;0")</f>
        <v>0</v>
      </c>
      <c r="DK181" s="6">
        <f>COUNTIFS(Table68[Country],Tabela1[[#This Row],[Country]],Table68[Men''s K2 500m Classification],"&gt;0")</f>
        <v>0</v>
      </c>
      <c r="DL181" s="6">
        <f>COUNTIFS(Table68[Country],Tabela1[[#This Row],[Country]],Table68[Women''s K2 500m Classification],"&gt;0")</f>
        <v>0</v>
      </c>
      <c r="DM181" s="6">
        <f>COUNTIFS(Table83[Country],Tabela1[[#This Row],[Country]],Table83[Men''s K4 500m Classification],"&gt;0")</f>
        <v>0</v>
      </c>
      <c r="DN181" s="6">
        <f>COUNTIFS(Table83[Country],Tabela1[[#This Row],[Country]],Table83[Women''s K4 500m Classification],"&gt;0")</f>
        <v>0</v>
      </c>
      <c r="DO181" s="6">
        <f>COUNTIFS(Tabela126[Country],Tabela1[[#This Row],[Country]],Tabela126[Classification],"&gt;0")</f>
        <v>0</v>
      </c>
      <c r="DP181" s="6">
        <f>COUNTIFS(Tabela126130[Country],Tabela1[[#This Row],[Country]],Tabela126130[Classification],"&gt;0")</f>
        <v>0</v>
      </c>
      <c r="DQ181" s="6">
        <f>COUNTIFS(Table70[Country],Tabela1[[#This Row],[Country]],Table70[Classification],"&gt;0")</f>
        <v>0</v>
      </c>
      <c r="DR181" s="6">
        <f>COUNTIFS(Table80[Country],Tabela1[[#This Row],[Country]],Table80[Classification],"&gt;0")</f>
        <v>0</v>
      </c>
      <c r="DS181" s="6">
        <f>COUNTIFS(Table66[Country],Tabela1[[#This Row],[Country]],Table66[Classification],"&gt;0")</f>
        <v>0</v>
      </c>
      <c r="DT181" s="6">
        <f>COUNTIFS(Table67[Country],Tabela1[[#This Row],[Country]],Table67[Classification],"&gt;0")</f>
        <v>0</v>
      </c>
      <c r="DU181" s="6">
        <f>COUNTIFS(Table69[Country],Tabela1[[#This Row],[Country]],Table69[Keirin Classification],"&gt;0")</f>
        <v>0</v>
      </c>
      <c r="DV181" s="6">
        <f>COUNTIFS(Table41[Country],Tabela1[[#This Row],[Country]],Table41[Keirin Classification],"&gt;0")</f>
        <v>0</v>
      </c>
      <c r="DW181" s="6">
        <f>COUNTIFS(Table84[Country],Tabela1[[#This Row],[Country]],Table84[Men''s Madison Classification],"&gt;0")</f>
        <v>0</v>
      </c>
      <c r="DX181" s="6">
        <f>COUNTIFS(Table84[Country],Tabela1[[#This Row],[Country]],Table84[Women''s Madison Classification],"&gt;0")</f>
        <v>0</v>
      </c>
      <c r="DY181" s="6">
        <f>COUNTIFS(Table69[Country],Tabela1[[#This Row],[Country]],Table69[Omnium Classification],"&gt;0")</f>
        <v>0</v>
      </c>
      <c r="DZ181" s="6">
        <f>COUNTIFS(Table41[Country],Tabela1[[#This Row],[Country]],Table41[Omnium Classification],"&gt;0")</f>
        <v>0</v>
      </c>
      <c r="EA181" s="6">
        <f>COUNTIFS(Table9[Country],Tabela1[[#This Row],[Country]],Table9[Road Race Classification],"&gt;0")</f>
        <v>0</v>
      </c>
      <c r="EB181" s="6">
        <f>COUNTIFS(Table14[Country],Tabela1[[#This Row],[Country]],Table14[Road Race Classification],"&gt;0")</f>
        <v>0</v>
      </c>
      <c r="EC181" s="6">
        <f>COUNTIFS(Table69[Country],Tabela1[[#This Row],[Country]],Table69[Sprint Classification],"&gt;0")</f>
        <v>0</v>
      </c>
      <c r="ED181" s="6">
        <f>COUNTIFS(Table41[Country],Tabela1[[#This Row],[Country]],Table41[Sprint Classification],"&gt;0")</f>
        <v>0</v>
      </c>
      <c r="EE181" s="6">
        <f>COUNTIFS(Table85[Country],Tabela1[[#This Row],[Country]],Table85[Men''s Sprint Classification],"&gt;0")</f>
        <v>0</v>
      </c>
      <c r="EF181" s="6">
        <f>COUNTIFS(Table85[Country],Tabela1[[#This Row],[Country]],Table85[Women''s Sprint Classification],"&gt;0")</f>
        <v>0</v>
      </c>
      <c r="EG181" s="6">
        <f>COUNTIFS(Table85[Country],Tabela1[[#This Row],[Country]],Table85[Men''s Pursuit Classification],"&gt;0")</f>
        <v>0</v>
      </c>
      <c r="EH181" s="6">
        <f>COUNTIFS(Table85[Country],Tabela1[[#This Row],[Country]],Table85[Women''s Pursuit Classification],"&gt;0")</f>
        <v>0</v>
      </c>
      <c r="EI181" s="6">
        <f>COUNTIFS(Table9[Country],Tabela1[[#This Row],[Country]],Table9[Time-Trial Classification],"&gt;0")</f>
        <v>0</v>
      </c>
      <c r="EJ181" s="6">
        <f>COUNTIFS(Table14[Country],Tabela1[[#This Row],[Country]],Table14[Time-Trial Classification],"&gt;0")</f>
        <v>0</v>
      </c>
      <c r="EK181" s="6">
        <f>COUNTIFS(Table42[Country],Tabela1[[#This Row],[Country]],Table42[Springboard Classification],"&gt;0")</f>
        <v>0</v>
      </c>
      <c r="EL181" s="6">
        <f>COUNTIFS(Table43[Country],Tabela1[[#This Row],[Country]],Table43[Springboard Classification],"&gt;0")</f>
        <v>0</v>
      </c>
      <c r="EM181" s="6">
        <f>COUNTIFS(Table42[Country],Tabela1[[#This Row],[Country]],Table42[Platform Classification],"&gt;0")</f>
        <v>0</v>
      </c>
      <c r="EN181" s="6">
        <f>COUNTIFS(Table43[Country],Tabela1[[#This Row],[Country]],Table43[Platform Classification],"&gt;0")</f>
        <v>0</v>
      </c>
      <c r="EO181" s="6">
        <f>COUNTIFS(Table86[Country],Tabela1[[#This Row],[Country]],Table86[Men''s Synchronized Springboard Classification],"&gt;0")</f>
        <v>0</v>
      </c>
      <c r="EP181" s="6">
        <f>COUNTIFS(Table86[Country],Tabela1[[#This Row],[Country]],Table86[Women''s Synchronized Springboard Classification],"&gt;0")</f>
        <v>0</v>
      </c>
      <c r="EQ181" s="6">
        <f>COUNTIFS(Table86[Country],Tabela1[[#This Row],[Country]],Table86[Men''s Synchronized Platform Classification],"&gt;0")</f>
        <v>0</v>
      </c>
      <c r="ER181" s="6">
        <f>COUNTIFS(Table86[Country],Tabela1[[#This Row],[Country]],Table86[Women''s Synchronized Platform Classification],"&gt;0")</f>
        <v>0</v>
      </c>
      <c r="ES181" s="6">
        <f>COUNTIFS(Table44[Country],Tabela1[[#This Row],[Country]],Table44[Dressage Classification],"&gt;0")</f>
        <v>0</v>
      </c>
      <c r="ET181" s="6">
        <f>COUNTIFS(Table45[Country],Tabela1[[#This Row],[Country]],Table45[Dressage Classification],"&gt;0")</f>
        <v>0</v>
      </c>
      <c r="EU181" s="6">
        <f>COUNTIFS(Table44[Country],Tabela1[[#This Row],[Country]],Table44[Eventing Classification],"&gt;0")</f>
        <v>0</v>
      </c>
      <c r="EV181" s="6">
        <f>COUNTIFS(Table45[Country],Tabela1[[#This Row],[Country]],Table45[Eventing Classification],"&gt;0")</f>
        <v>0</v>
      </c>
      <c r="EW181" s="6">
        <f>COUNTIFS(Table44[Country],Tabela1[[#This Row],[Country]],Table44[Jumping Classification],"&gt;0")</f>
        <v>0</v>
      </c>
      <c r="EX181" s="6">
        <f>COUNTIFS(Table45[Country],Tabela1[[#This Row],[Country]],Table45[Jumping Classification],"&gt;0")</f>
        <v>0</v>
      </c>
      <c r="EY181" s="6">
        <f>COUNTIFS(Table10[Country],Tabela1[[#This Row],[Country]],Table10[Épée Classification],"&gt;0")</f>
        <v>0</v>
      </c>
      <c r="EZ181" s="6">
        <f>COUNTIFS(Table11[Country],Tabela1[[#This Row],[Country]],Table11[Épée Classification],"&gt;0")</f>
        <v>0</v>
      </c>
      <c r="FA181" s="6">
        <f>COUNTIFS(Table46[Country],Tabela1[[#This Row],[Country]],Table46[Men''s Épée Classification],"&gt;0")</f>
        <v>0</v>
      </c>
      <c r="FB181" s="6">
        <f>COUNTIFS(Table46[Country],Tabela1[[#This Row],[Country]],Table46[Women''s Épée Classification],"&gt;0")</f>
        <v>0</v>
      </c>
      <c r="FC181" s="6">
        <f>COUNTIFS(Table10[Country],Tabela1[[#This Row],[Country]],Table10[Foil Classification],"&gt;0")</f>
        <v>0</v>
      </c>
      <c r="FD181" s="6">
        <f>COUNTIFS(Table11[Country],Tabela1[[#This Row],[Country]],Table11[Foil Classification],"&gt;0")</f>
        <v>0</v>
      </c>
      <c r="FE181" s="6">
        <f>COUNTIFS(Table46[Country],Tabela1[[#This Row],[Country]],Table46[Men''s Foil Classification],"&gt;0")</f>
        <v>0</v>
      </c>
      <c r="FF181" s="6">
        <f>COUNTIFS(Table46[Country],Tabela1[[#This Row],[Country]],Table46[Women''s Foil Classification],"&gt;0")</f>
        <v>0</v>
      </c>
      <c r="FG181" s="6">
        <f>COUNTIFS(Table10[Country],Tabela1[[#This Row],[Country]],Table10[Sabre Classification],"&gt;0")</f>
        <v>0</v>
      </c>
      <c r="FH181" s="6">
        <f>COUNTIFS(Table11[Country],Tabela1[[#This Row],[Country]],Table11[Sabre Classification],"&gt;0")</f>
        <v>0</v>
      </c>
      <c r="FI181" s="6">
        <f>COUNTIFS(Table46[Country],Tabela1[[#This Row],[Country]],Table46[Men''s Sabre Classification],"&gt;0")</f>
        <v>0</v>
      </c>
      <c r="FJ181" s="6">
        <f>COUNTIFS(Table46[Country],Tabela1[[#This Row],[Country]],Table46[Women''s Sabre Classification],"&gt;0")</f>
        <v>0</v>
      </c>
      <c r="FK181" s="6">
        <f>COUNTIFS(Table91[Country],Tabela1[[#This Row],[Country]],Table91[Men''s Classification],"&gt;0")</f>
        <v>0</v>
      </c>
      <c r="FL181" s="6">
        <f>COUNTIFS(Table91[Country],Tabela1[[#This Row],[Country]],Table91[Women''s Classification],"&gt;0")</f>
        <v>0</v>
      </c>
      <c r="FM181" s="6">
        <f>COUNTIFS(Table9194[Country],Tabela1[[#This Row],[Country]],Table9194[Men''s Classification],"&gt;0")</f>
        <v>0</v>
      </c>
      <c r="FN181" s="6">
        <f>COUNTIFS(Table9194[Country],Tabela1[[#This Row],[Country]],Table9194[Women''s Classification],"&gt;0")</f>
        <v>0</v>
      </c>
      <c r="FO181" s="6">
        <f>COUNTIFS(Table71[Country],Tabela1[[#This Row],[Country]],Table71[Classification],"&gt;0")</f>
        <v>0</v>
      </c>
      <c r="FP181" s="6">
        <f>COUNTIFS(Table62[Country],Tabela1[[#This Row],[Country]],Table62[Classification],"&gt;0")</f>
        <v>0</v>
      </c>
      <c r="FQ181" s="6">
        <f>COUNTIFS(Table47[Country],Tabela1[[#This Row],[Country]],Table47[All-Around Classification],"&gt;0")</f>
        <v>0</v>
      </c>
      <c r="FR181" s="6">
        <f>COUNTIFS(Table48[Country],Tabela1[[#This Row],[Country]],Table48[All-Around Classification],"&gt;0")</f>
        <v>0</v>
      </c>
      <c r="FS181" s="6">
        <f>COUNTIFS(Table81[Country],Tabela1[[#This Row],[Country]],Table81[Men''s All-Around Classification],"&gt;0")</f>
        <v>0</v>
      </c>
      <c r="FT181" s="6">
        <f>COUNTIFS(Table81[Country],Tabela1[[#This Row],[Country]],Table81[Women''s All-Around Classification],"&gt;0")</f>
        <v>0</v>
      </c>
      <c r="FU181" s="6">
        <f>COUNTIFS(Table48[Country],Tabela1[[#This Row],[Country]],Table48[Balance Beam Classification],"&gt;0")</f>
        <v>0</v>
      </c>
      <c r="FV181" s="6">
        <f>COUNTIFS(Table47[Country],Tabela1[[#This Row],[Country]],Table47[Floor Exercise Classification],"&gt;0")</f>
        <v>0</v>
      </c>
      <c r="FW181" s="6">
        <f>COUNTIFS(Table48[Country],Tabela1[[#This Row],[Country]],Table48[Floor Exercise Classification],"&gt;0")</f>
        <v>0</v>
      </c>
      <c r="FX181" s="6">
        <f>COUNTIFS(Table47[Country],Tabela1[[#This Row],[Country]],Table47[Horizontal Bar Classification],"&gt;0")</f>
        <v>0</v>
      </c>
      <c r="FY181" s="6">
        <f>COUNTIFS(Table47[Country],Tabela1[[#This Row],[Country]],Table47[Parallel Bars Classification],"&gt;0")</f>
        <v>0</v>
      </c>
      <c r="FZ181" s="6">
        <f>COUNTIFS(Table47[Country],Tabela1[[#This Row],[Country]],Table47[Pommel Horse Classification],"&gt;0")</f>
        <v>0</v>
      </c>
      <c r="GA181" s="6">
        <f>COUNTIFS(Table47[Country],Tabela1[[#This Row],[Country]],Table47[Rings Classification],"&gt;0")</f>
        <v>0</v>
      </c>
      <c r="GB181" s="6">
        <f>COUNTIFS(Tabela132[Country],Tabela1[[#This Row],[Country]],Tabela132[Classification],"&gt;0")</f>
        <v>0</v>
      </c>
      <c r="GC181" s="6">
        <f>COUNTIFS(Tabela139[Country],Tabela1[[#This Row],[Country]],Tabela139[Classification],"&gt;0")</f>
        <v>0</v>
      </c>
      <c r="GD181" s="6">
        <f>COUNTIFS(Table48[Country],Tabela1[[#This Row],[Country]],Table48[Uneven Bars Classification],"&gt;0")</f>
        <v>0</v>
      </c>
      <c r="GE181" s="6">
        <f>COUNTIFS(Table47[Country],Tabela1[[#This Row],[Country]],Table47[Vault Classification],"&gt;0")</f>
        <v>0</v>
      </c>
      <c r="GF181" s="6">
        <f>COUNTIFS(Table48[Country],Tabela1[[#This Row],[Country]],Table48[Vault Classification],"&gt;0")</f>
        <v>0</v>
      </c>
      <c r="GG181" s="6">
        <f>COUNTIFS(Table919496[Country],Tabela1[[#This Row],[Country]],Table919496[Men''s Classification],"&gt;0")</f>
        <v>0</v>
      </c>
      <c r="GH181" s="6">
        <f>COUNTIFS(Table919496[Country],Tabela1[[#This Row],[Country]],Table919496[Women''s Classification],"&gt;0")</f>
        <v>0</v>
      </c>
      <c r="GI181" s="6">
        <f>COUNTIFS(Table12[Country],Tabela1[[#This Row],[Country]],Table12[60kg Classification],"&gt;0")</f>
        <v>0</v>
      </c>
      <c r="GJ181" s="6">
        <f>COUNTIFS(Table12[Country],Tabela1[[#This Row],[Country]],Table12[66kg Classification],"&gt;0")</f>
        <v>0</v>
      </c>
      <c r="GK181" s="6">
        <f>COUNTIFS(Table12[Country],Tabela1[[#This Row],[Country]],Table12[73kg Classification],"&gt;0")</f>
        <v>0</v>
      </c>
      <c r="GL181" s="6">
        <f>COUNTIFS(Table12[Country],Tabela1[[#This Row],[Country]],Table12[81kg Classification],"&gt;0")</f>
        <v>0</v>
      </c>
      <c r="GM181" s="6">
        <f>COUNTIFS(Table12[Country],Tabela1[[#This Row],[Country]],Table12[90kg Classification],"&gt;0")</f>
        <v>0</v>
      </c>
      <c r="GN181" s="6">
        <f>COUNTIFS(Table12[Country],Tabela1[[#This Row],[Country]],Table12[100kg Classification],"&gt;0")</f>
        <v>0</v>
      </c>
      <c r="GO181" s="6">
        <f>COUNTIFS(Table12[Country],Tabela1[[#This Row],[Country]],Table12[Plus 100kg Classification],"&gt;0")</f>
        <v>0</v>
      </c>
      <c r="GP181" s="6">
        <f>COUNTIFS(Table13[Country],Tabela1[[#This Row],[Country]],Table13[48kg Classification],"&gt;0")</f>
        <v>0</v>
      </c>
      <c r="GQ181" s="6">
        <f>COUNTIFS(Table13[Country],Tabela1[[#This Row],[Country]],Table13[52kg Classification],"&gt;0")</f>
        <v>0</v>
      </c>
      <c r="GR181" s="6">
        <f>COUNTIFS(Table13[Country],Tabela1[[#This Row],[Country]],Table13[57kg Classification],"&gt;0")</f>
        <v>0</v>
      </c>
      <c r="GS181" s="6">
        <f>COUNTIFS(Table13[Country],Tabela1[[#This Row],[Country]],Table13[63kg Classification],"&gt;0")</f>
        <v>0</v>
      </c>
      <c r="GT181" s="6">
        <f>COUNTIFS(Table13[Country],Tabela1[[#This Row],[Country]],Table13[70kg Classification],"&gt;0")</f>
        <v>0</v>
      </c>
      <c r="GU181" s="6">
        <f>COUNTIFS(Table13[Country],Tabela1[[#This Row],[Country]],Table13[78kg Classification],"&gt;0")</f>
        <v>0</v>
      </c>
      <c r="GV181" s="6">
        <f>COUNTIFS(Table13[Country],Tabela1[[#This Row],[Country]],Table13[Plus 78kg Classification],"&gt;0")</f>
        <v>0</v>
      </c>
      <c r="GW181" s="6">
        <f>COUNTIFS(Table82[Country],Tabela1[[#This Row],[Country]],Table82[Mixed Classification],"&gt;0")</f>
        <v>0</v>
      </c>
      <c r="GX181" s="6">
        <f>COUNTIFS(Table51[Country],Tabela1[[#This Row],[Country]],Table51[Classification],"&gt;0")</f>
        <v>0</v>
      </c>
      <c r="GY181" s="6">
        <f>COUNTIFS(Table52[Country],Tabela1[[#This Row],[Country]],Table52[Classification],"&gt;0")</f>
        <v>0</v>
      </c>
      <c r="GZ181" s="6">
        <f>COUNTIFS(Table32[Country],Tabela1[[#This Row],[Country]],Table32[All-Around Classification],"&gt;0")</f>
        <v>0</v>
      </c>
      <c r="HA181" s="6">
        <f>COUNTIFS(Table49[Country],Tabela1[[#This Row],[Country]],Table49[All-Around Classification],"&gt;0")</f>
        <v>0</v>
      </c>
      <c r="HB181" s="6">
        <f>COUNTIFS(Table26[Country],Tabela1[[#This Row],[Country]],Table26[Single Sculls Classification],"&gt;0")</f>
        <v>0</v>
      </c>
      <c r="HC181" s="6">
        <f>COUNTIFS(Table63[Country],Tabela1[[#This Row],[Country]],Table63[Single Sculls Classification],"&gt;0")</f>
        <v>0</v>
      </c>
      <c r="HD181" s="6">
        <f>COUNTIFS(Table16[Country],Tabela1[[#This Row],[Country]],Table16[Men''s Double Sculls Classification],"&gt;0")</f>
        <v>0</v>
      </c>
      <c r="HE181" s="6">
        <f>COUNTIFS(Table16[Country],Tabela1[[#This Row],[Country]],Table16[Women''s Double Sculls Classification],"&gt;0")</f>
        <v>0</v>
      </c>
      <c r="HF181" s="6">
        <f>COUNTIFS(Table72[Country],Tabela1[[#This Row],[Country]],Table72[Men''s Quadruple Sculls Classification],"&gt;0")</f>
        <v>0</v>
      </c>
      <c r="HG181" s="6">
        <f>COUNTIFS(Table72[Country],Tabela1[[#This Row],[Country]],Table72[Women''s Quadruple Sculls Classification],"&gt;0")</f>
        <v>0</v>
      </c>
      <c r="HH181" s="6">
        <f>COUNTIFS(Table16[Country],Tabela1[[#This Row],[Country]],Table16[Men''s Coxless Pairs Classification],"&gt;0")</f>
        <v>0</v>
      </c>
      <c r="HI181" s="6">
        <f>COUNTIFS(Table16[Country],Tabela1[[#This Row],[Country]],Table16[Women''s Coxless Pairs Classification],"&gt;0")</f>
        <v>0</v>
      </c>
      <c r="HJ181" s="6">
        <f>COUNTIFS(Table72[Country],Tabela1[[#This Row],[Country]],Table72[Men''s Coxless Fours Classification],"&gt;0")</f>
        <v>0</v>
      </c>
      <c r="HK181" s="6">
        <f>COUNTIFS(Table72[Country],Tabela1[[#This Row],[Country]],Table72[Women''s Coxless Fours Classification],"&gt;0")</f>
        <v>0</v>
      </c>
      <c r="HL181" s="6">
        <f>COUNTIFS(Table72[Country],Tabela1[[#This Row],[Country]],Table72[Men''s Eights Classification],"&gt;0")</f>
        <v>0</v>
      </c>
      <c r="HM181" s="6">
        <f>COUNTIFS(Table72[Country],Tabela1[[#This Row],[Country]],Table72[Women''s Eights Classification],"&gt;0")</f>
        <v>0</v>
      </c>
      <c r="HN181" s="6">
        <f>COUNTIFS(Table16[Country],Tabela1[[#This Row],[Country]],Table16[Men''s Lwt. Double Sculls Classification],"&gt;0")</f>
        <v>0</v>
      </c>
      <c r="HO181" s="6">
        <f>COUNTIFS(Table16[Country],Tabela1[[#This Row],[Country]],Table16[Women''s Lwt. Double Sculls Classification],"&gt;0")</f>
        <v>0</v>
      </c>
      <c r="HP181" s="6">
        <f>COUNTIFS(Table91949698[Country],Tabela1[[#This Row],[Country]],Table91949698[Men''s Classification],"&gt;0")</f>
        <v>0</v>
      </c>
      <c r="HQ181" s="6">
        <f>COUNTIFS(Table91949698[Country],Tabela1[[#This Row],[Country]],Table91949698[Women''s Classification],"&gt;0")</f>
        <v>0</v>
      </c>
      <c r="HR181" s="6">
        <f>COUNTIFS(Table25[Country],Tabela1[[#This Row],[Country]],Table25[Mixed 470 Classification],"&gt;0")</f>
        <v>0</v>
      </c>
      <c r="HS181" s="6">
        <f>COUNTIFS(Table25[Country],Tabela1[[#This Row],[Country]],Table25[Men''s 49er Classification],"&gt;0")</f>
        <v>0</v>
      </c>
      <c r="HT181" s="6">
        <f>COUNTIFS(Table25[Country],Tabela1[[#This Row],[Country]],Table25[Women''s 49er FX Classification],"&gt;0")</f>
        <v>0</v>
      </c>
      <c r="HU181" s="6">
        <f>COUNTIFS(Table17[Country],Tabela1[[#This Row],[Country]],Table17[Formula Kite Classification],"&gt;0")</f>
        <v>0</v>
      </c>
      <c r="HV181" s="6">
        <f>COUNTIFS(Table18[Country],Tabela1[[#This Row],[Country]],Table18[Formula Kite Classification],"&gt;0")</f>
        <v>0</v>
      </c>
      <c r="HW181" s="6">
        <f>COUNTIFS(Table17[Country],Tabela1[[#This Row],[Country]],Table17[ILCA 7 Classification],"&gt;0")</f>
        <v>0</v>
      </c>
      <c r="HX181" s="6">
        <f>COUNTIFS(Table18[Country],Tabela1[[#This Row],[Country]],Table18[ILCA 6 Classification],"&gt;0")</f>
        <v>0</v>
      </c>
      <c r="HY181" s="6">
        <f>COUNTIFS(Table17[Country],Tabela1[[#This Row],[Country]],Table17[IQFoil Classification],"&gt;0")</f>
        <v>0</v>
      </c>
      <c r="HZ181" s="6">
        <f>COUNTIFS(Table18[Country],Tabela1[[#This Row],[Country]],Table18[IQFoil Classification],"&gt;0")</f>
        <v>0</v>
      </c>
      <c r="IA181" s="6">
        <f>COUNTIFS(Table25[Country],Tabela1[[#This Row],[Country]],Table25[Mixed Nacra 17 Classification],"&gt;0")</f>
        <v>0</v>
      </c>
      <c r="IB181" s="6">
        <f>COUNTIFS(Table53[Country],Tabela1[[#This Row],[Country]],Table53[10m Air Pistol Classification],"&gt;0")</f>
        <v>0</v>
      </c>
      <c r="IC181" s="6">
        <f>COUNTIFS(Table19[Country],Tabela1[[#This Row],[Country]],Table19[10m Air Pistol Classification],"&gt;0")</f>
        <v>0</v>
      </c>
      <c r="ID181" s="6">
        <f>COUNTIFS(Table54[Country],Tabela1[[#This Row],[Country]],Table54[Mixed 10m Air Pistol Team Classification],"&gt;0")</f>
        <v>0</v>
      </c>
      <c r="IE181" s="6">
        <f>COUNTIFS(Table53[Country],Tabela1[[#This Row],[Country]],Table53[10m Air Rifle Classification],"&gt;0")</f>
        <v>0</v>
      </c>
      <c r="IF181" s="6">
        <f>COUNTIFS(Table19[Country],Tabela1[[#This Row],[Country]],Table19[10m Air Rifle Classification],"&gt;0")</f>
        <v>0</v>
      </c>
      <c r="IG181" s="6">
        <f>COUNTIFS(Table54[Country],Tabela1[[#This Row],[Country]],Table54[Mixed 10m Air Rifle Team Classification],"&gt;0")</f>
        <v>0</v>
      </c>
      <c r="IH181" s="6">
        <f>COUNTIFS(Table53[Country],Tabela1[[#This Row],[Country]],Table53[25m Rapid Fire Pistol Classification],"&gt;0")</f>
        <v>0</v>
      </c>
      <c r="II181" s="6">
        <f>COUNTIFS(Table19[Country],Tabela1[[#This Row],[Country]],Table19[25m Pistol Classification],"&gt;0")</f>
        <v>0</v>
      </c>
      <c r="IJ181" s="6">
        <f>COUNTIFS(Table53[Country],Tabela1[[#This Row],[Country]],Table53[50m Rifle 3 Positions Classification],"&gt;0")</f>
        <v>0</v>
      </c>
      <c r="IK181" s="6">
        <f>COUNTIFS(Table19[Country],Tabela1[[#This Row],[Country]],Table19[50m Rifle 3 Positions Classification],"&gt;0")</f>
        <v>0</v>
      </c>
      <c r="IL181" s="6">
        <f>COUNTIFS(Table53[Country],Tabela1[[#This Row],[Country]],Table53[Skeet Classification],"&gt;0")</f>
        <v>0</v>
      </c>
      <c r="IM181" s="6">
        <f>COUNTIFS(Table19[Country],Tabela1[[#This Row],[Country]],Table19[Skeet Classification],"&gt;0")</f>
        <v>0</v>
      </c>
      <c r="IN181" s="6">
        <f>COUNTIFS(Table54[Country],Tabela1[[#This Row],[Country]],Table54[Mixed Skeet Team Classification],"&gt;0")</f>
        <v>0</v>
      </c>
      <c r="IO181" s="6">
        <f>COUNTIFS(Table53[Country],Tabela1[[#This Row],[Country]],Table53[Trap Classification],"&gt;0")</f>
        <v>0</v>
      </c>
      <c r="IP181" s="6">
        <f>COUNTIFS(Table19[Country],Tabela1[[#This Row],[Country]],Table19[Trap Classification],"&gt;0")</f>
        <v>0</v>
      </c>
      <c r="IQ181" s="6">
        <f>COUNTIFS(Table73[Country],Tabela1[[#This Row],[Country]],Table73[Park Classification],"&gt;0")</f>
        <v>0</v>
      </c>
      <c r="IR181" s="6">
        <f>COUNTIFS(Table74[Country],Tabela1[[#This Row],[Country]],Table74[Park Classification],"&gt;0")</f>
        <v>0</v>
      </c>
      <c r="IS181" s="6">
        <f>COUNTIFS(Table73[Country],Tabela1[[#This Row],[Country]],Table73[Street Classification],"&gt;0")</f>
        <v>0</v>
      </c>
      <c r="IT181" s="6">
        <f>COUNTIFS(Table74[Country],Tabela1[[#This Row],[Country]],Table74[Street Classification],"&gt;0")</f>
        <v>0</v>
      </c>
      <c r="IU181" s="6">
        <f>COUNTIFS(Table75[Country],Tabela1[[#This Row],[Country]],Table75[Boulder and Lead Classification],"&gt;0")</f>
        <v>0</v>
      </c>
      <c r="IV181" s="6">
        <f>COUNTIFS(Table76[Country],Tabela1[[#This Row],[Country]],Table76[Boulder and Lead Classification],"&gt;0")</f>
        <v>0</v>
      </c>
      <c r="IW181" s="6">
        <f>COUNTIFS(Table75[Country],Tabela1[[#This Row],[Country]],Table75[Speed Classification],"&gt;0")</f>
        <v>0</v>
      </c>
      <c r="IX181" s="6">
        <f>COUNTIFS(Table76[Country],Tabela1[[#This Row],[Country]],Table76[Speed Classification],"&gt;0")</f>
        <v>0</v>
      </c>
      <c r="IY181" s="6">
        <f>COUNTIFS(Table64[Country],Tabela1[[#This Row],[Country]],Table64[Shortboard Classification],"&gt;0")</f>
        <v>0</v>
      </c>
      <c r="IZ181" s="6">
        <f>COUNTIFS(Table77[Country],Tabela1[[#This Row],[Country]],Table77[Shortboard Classification],"&gt;0")</f>
        <v>0</v>
      </c>
      <c r="JA181" s="6">
        <f>COUNTIFS(Table20[Country],Tabela1[[#This Row],[Country]],Table20[50m Freestyle Classification],"&gt;0")</f>
        <v>0</v>
      </c>
      <c r="JB181" s="6">
        <f>COUNTIFS(Table21[Country],Tabela1[[#This Row],[Country]],Table21[50m Freestyle Classification],"&gt;0")</f>
        <v>0</v>
      </c>
      <c r="JC181" s="6">
        <f>COUNTIFS(Table20[Country],Tabela1[[#This Row],[Country]],Table20[100m Freestyle Classification],"&gt;0")</f>
        <v>0</v>
      </c>
      <c r="JD181" s="6">
        <f>COUNTIFS(Table21[Country],Tabela1[[#This Row],[Country]],Table21[100m Freestyle Classification],"&gt;0")</f>
        <v>0</v>
      </c>
      <c r="JE181" s="6">
        <f>COUNTIFS(Table20[Country],Tabela1[[#This Row],[Country]],Table20[200m Freestyle Classification],"&gt;0")</f>
        <v>0</v>
      </c>
      <c r="JF181" s="6">
        <f>COUNTIFS(Table21[Country],Tabela1[[#This Row],[Country]],Table21[200m Freestyle Classification],"&gt;0")</f>
        <v>0</v>
      </c>
      <c r="JG181" s="6">
        <f>COUNTIFS(Table20[Country],Tabela1[[#This Row],[Country]],Table20[400m Freestyle Classification],"&gt;0")</f>
        <v>0</v>
      </c>
      <c r="JH181" s="6">
        <f>COUNTIFS(Table21[Country],Tabela1[[#This Row],[Country]],Table21[400m Freestyle Classification],"&gt;0")</f>
        <v>0</v>
      </c>
      <c r="JI181" s="6">
        <f>COUNTIFS(Table20[Country],Tabela1[[#This Row],[Country]],Table20[800m Freestyle Classification],"&gt;0")</f>
        <v>0</v>
      </c>
      <c r="JJ181" s="6">
        <f>COUNTIFS(Table21[Country],Tabela1[[#This Row],[Country]],Table21[800m Freestyle Classification],"&gt;0")</f>
        <v>0</v>
      </c>
      <c r="JK181" s="6">
        <f>COUNTIFS(Table20[Country],Tabela1[[#This Row],[Country]],Table20[1500m Freestyle Classification],"&gt;0")</f>
        <v>0</v>
      </c>
      <c r="JL181" s="6">
        <f>COUNTIFS(Table21[Country],Tabela1[[#This Row],[Country]],Table21[1500m Freestyle Classification],"&gt;0")</f>
        <v>0</v>
      </c>
      <c r="JM181" s="6">
        <f>COUNTIFS(Table20[Country],Tabela1[[#This Row],[Country]],Table20[100m Backstroke Classification],"&gt;0")</f>
        <v>0</v>
      </c>
      <c r="JN181" s="6">
        <f>COUNTIFS(Table21[Country],Tabela1[[#This Row],[Country]],Table21[100m Backstroke Classification],"&gt;0")</f>
        <v>0</v>
      </c>
      <c r="JO181" s="6">
        <f>COUNTIFS(Table20[Country],Tabela1[[#This Row],[Country]],Table20[200m Backstroke Classification],"&gt;0")</f>
        <v>0</v>
      </c>
      <c r="JP181" s="6">
        <f>COUNTIFS(Table21[Country],Tabela1[[#This Row],[Country]],Table21[200m Backstroke Classification],"&gt;0")</f>
        <v>0</v>
      </c>
      <c r="JQ181" s="6">
        <f>COUNTIFS(Table20[Country],Tabela1[[#This Row],[Country]],Table20[100m Breaststroke Classification],"&gt;0")</f>
        <v>0</v>
      </c>
      <c r="JR181" s="6">
        <f>COUNTIFS(Table21[Country],Tabela1[[#This Row],[Country]],Table21[100m Breaststroke Classification],"&gt;0")</f>
        <v>0</v>
      </c>
      <c r="JS181" s="6">
        <f>COUNTIFS(Table20[Country],Tabela1[[#This Row],[Country]],Table20[200m Breaststroke Classification],"&gt;0")</f>
        <v>0</v>
      </c>
      <c r="JT181" s="6">
        <f>COUNTIFS(Table21[Country],Tabela1[[#This Row],[Country]],Table21[200m Breaststroke Classification],"&gt;0")</f>
        <v>0</v>
      </c>
      <c r="JU181" s="6">
        <f>COUNTIFS(Table20[Country],Tabela1[[#This Row],[Country]],Table20[100m Butterfly Classification],"&gt;0")</f>
        <v>0</v>
      </c>
      <c r="JV181" s="6">
        <f>COUNTIFS(Table21[Country],Tabela1[[#This Row],[Country]],Table21[100m Butterfly Classification],"&gt;0")</f>
        <v>0</v>
      </c>
      <c r="JW181" s="6">
        <f>COUNTIFS(Table20[Country],Tabela1[[#This Row],[Country]],Table20[200m Butterfly Classification],"&gt;0")</f>
        <v>0</v>
      </c>
      <c r="JX181" s="6">
        <f>COUNTIFS(Table21[Country],Tabela1[[#This Row],[Country]],Table21[200m Butterfly Classification],"&gt;0")</f>
        <v>0</v>
      </c>
      <c r="JY181" s="6">
        <f>COUNTIFS(Table20[Country],Tabela1[[#This Row],[Country]],Table20[200m Medley Classification],"&gt;0")</f>
        <v>0</v>
      </c>
      <c r="JZ181" s="6">
        <f>COUNTIFS(Table21[Country],Tabela1[[#This Row],[Country]],Table21[200m Medley Classification],"&gt;0")</f>
        <v>0</v>
      </c>
      <c r="KA181" s="6">
        <f>COUNTIFS(Table20[Country],Tabela1[[#This Row],[Country]],Table20[400m Medley Classification],"&gt;0")</f>
        <v>0</v>
      </c>
      <c r="KB181" s="6">
        <f>COUNTIFS(Table21[Country],Tabela1[[#This Row],[Country]],Table21[400m Medley Classification],"&gt;0")</f>
        <v>0</v>
      </c>
      <c r="KC181" s="6">
        <f>COUNTIFS(Table78[Country],Tabela1[[#This Row],[Country]],Table78[Men''s 4x100m Freestyle Relay Classification],"&gt;0")</f>
        <v>0</v>
      </c>
      <c r="KD181" s="6">
        <f>COUNTIFS(Table78[Country],Tabela1[[#This Row],[Country]],Table78[Women''s 4x100m Freestyle Relay Classification],"&gt;0")</f>
        <v>0</v>
      </c>
      <c r="KE181" s="6">
        <f>COUNTIFS(Table78[Country],Tabela1[[#This Row],[Country]],Table78[Men''s 4x200m Freestyle Relay Classification],"&gt;0")</f>
        <v>0</v>
      </c>
      <c r="KF181" s="6">
        <f>COUNTIFS(Table78[Country],Tabela1[[#This Row],[Country]],Table78[Women''s 4x200m Freestyle Relay Classification],"&gt;0")</f>
        <v>0</v>
      </c>
      <c r="KG181" s="6">
        <f>COUNTIFS(Table78[Country],Tabela1[[#This Row],[Country]],Table78[Men''s 4x100m Medley Relay Classification],"&gt;0")</f>
        <v>0</v>
      </c>
      <c r="KH181" s="6">
        <f>COUNTIFS(Table78[Country],Tabela1[[#This Row],[Country]],Table78[Women''s 4x100m Medley Relay Classification],"&gt;0")</f>
        <v>0</v>
      </c>
      <c r="KI181" s="6">
        <f>COUNTIFS(Table78[Country],Tabela1[[#This Row],[Country]],Table78[Mixed 4x100m Medley Relay Classification],"&gt;0")</f>
        <v>0</v>
      </c>
      <c r="KJ181" s="6">
        <f>COUNTIFS(Table20[Country],Tabela1[[#This Row],[Country]],Table20[10km Open Water Classification],"&gt;0")</f>
        <v>0</v>
      </c>
      <c r="KK181" s="6">
        <f>COUNTIFS(Table21[Country],Tabela1[[#This Row],[Country]],Table21[10km Open Water Classification],"&gt;0")</f>
        <v>0</v>
      </c>
      <c r="KL181" s="6">
        <f>COUNTIFS(Table22[Country],Tabela1[[#This Row],[Country]],Table22[Classification],"&gt;0")</f>
        <v>0</v>
      </c>
      <c r="KM181" s="6">
        <f>COUNTIFS(Table30[Country],Tabela1[[#This Row],[Country]],Table30[Classification],"&gt;0")</f>
        <v>0</v>
      </c>
      <c r="KN181" s="6">
        <f>COUNTIFS(Table55[Country],Tabela1[[#This Row],[Country]],Table55[Men''s Classification],"&gt;0")</f>
        <v>0</v>
      </c>
      <c r="KO181" s="6">
        <f>COUNTIFS(Table55[Country],Tabela1[[#This Row],[Country]],Table55[Women''s Classification],"&gt;0")</f>
        <v>0</v>
      </c>
      <c r="KP181" s="6">
        <f>COUNTIFS(Table56[Country],Tabela1[[#This Row],[Country]],Table56[Mixed Classification],"&gt;0")</f>
        <v>0</v>
      </c>
      <c r="KQ181" s="6">
        <f>COUNTIFS(Table29[Country],Tabela1[[#This Row],[Country]],Table29[58kg Classification],"&gt;0")</f>
        <v>0</v>
      </c>
      <c r="KR181" s="6">
        <f>COUNTIFS(Table29[Country],Tabela1[[#This Row],[Country]],Table29[68kg Classification],"&gt;0")</f>
        <v>0</v>
      </c>
      <c r="KS181" s="6">
        <f>COUNTIFS(Table29[Country],Tabela1[[#This Row],[Country]],Table29[80kg Classification],"&gt;0")</f>
        <v>0</v>
      </c>
      <c r="KT181" s="6">
        <f>COUNTIFS(Table29[Country],Tabela1[[#This Row],[Country]],Table29[Plus 80kg Classification],"&gt;0")</f>
        <v>0</v>
      </c>
      <c r="KU181" s="6">
        <f>COUNTIFS(Table34[Country],Tabela1[[#This Row],[Country]],Table34[49kg Classification],"&gt;0")</f>
        <v>0</v>
      </c>
      <c r="KV181" s="6">
        <f>COUNTIFS(Table34[Country],Tabela1[[#This Row],[Country]],Table34[57kg Classification],"&gt;0")</f>
        <v>0</v>
      </c>
      <c r="KW181" s="6">
        <f>COUNTIFS(Table34[Country],Tabela1[[#This Row],[Country]],Table34[67kg Classification],"&gt;0")</f>
        <v>0</v>
      </c>
      <c r="KX181" s="6">
        <f>COUNTIFS(Table34[Country],Tabela1[[#This Row],[Country]],Table34[Plus 67kg Classification],"&gt;0")</f>
        <v>0</v>
      </c>
      <c r="KY181" s="6">
        <f>COUNTIFS(Table57[Country],Tabela1[[#This Row],[Country]],Table57[Classification],"&gt;0")</f>
        <v>0</v>
      </c>
      <c r="KZ181" s="6">
        <f>COUNTIFS(Table58[Country],Tabela1[[#This Row],[Country]],Table58[Classification],"&gt;0")</f>
        <v>0</v>
      </c>
      <c r="LA181" s="6">
        <f>COUNTIFS(Table79[Country],Tabela1[[#This Row],[Country]],Table79[Men''s Classification],"&gt;0")</f>
        <v>0</v>
      </c>
      <c r="LB181" s="6">
        <f>COUNTIFS(Table79[Country],Tabela1[[#This Row],[Country]],Table79[Women''s Classification],"&gt;0")</f>
        <v>0</v>
      </c>
      <c r="LC181" s="6">
        <f>COUNTIFS(Table79[Country],Tabela1[[#This Row],[Country]],Table79[Mixed Classification],"&gt;0")</f>
        <v>0</v>
      </c>
      <c r="LD181" s="6">
        <f>COUNTIFS(Table65[Country],Tabela1[[#This Row],[Country]],Table65[Classification],"&gt;0")</f>
        <v>0</v>
      </c>
      <c r="LE181" s="6">
        <f>COUNTIFS(Table59[Country],Tabela1[[#This Row],[Country]],Table59[Classification],"&gt;0")</f>
        <v>0</v>
      </c>
      <c r="LF181" s="6">
        <f>COUNTIFS(Table87[Country],Tabela1[[#This Row],[Country]],Table87[Mixed Relay Classification],"&gt;0")</f>
        <v>0</v>
      </c>
      <c r="LG181" s="6">
        <f>COUNTIFS(Table91949698100[Country],Tabela1[[#This Row],[Country]],Table91949698100[Men''s Classification],"&gt;0")</f>
        <v>0</v>
      </c>
      <c r="LH181" s="6">
        <f>COUNTIFS(Table91949698100[Country],Tabela1[[#This Row],[Country]],Table91949698100[Women''s Classification],"&gt;0")</f>
        <v>0</v>
      </c>
      <c r="LI181" s="6">
        <f>COUNTIFS(Table91949698100102[Country],Tabela1[[#This Row],[Country]],Table91949698100102[Men''s Classification],"&gt;0")</f>
        <v>0</v>
      </c>
      <c r="LJ181" s="6">
        <f>COUNTIFS(Table91949698100102[Country],Tabela1[[#This Row],[Country]],Table91949698100102[Women''s Classification],"&gt;0")</f>
        <v>0</v>
      </c>
      <c r="LK181" s="6">
        <f>COUNTIFS(Table23[Country],Tabela1[[#This Row],[Country]],Table23[61kg Classification],"&gt;0")</f>
        <v>0</v>
      </c>
      <c r="LL181" s="6">
        <f>COUNTIFS(Table23[Country],Tabela1[[#This Row],[Country]],Table23[73kg Classification],"&gt;0")</f>
        <v>0</v>
      </c>
      <c r="LM181" s="6">
        <f>COUNTIFS(Table23[Country],Tabela1[[#This Row],[Country]],Table23[89kg Classification],"&gt;0")</f>
        <v>0</v>
      </c>
      <c r="LN181" s="6">
        <f>COUNTIFS(Table23[Country],Tabela1[[#This Row],[Country]],Table23[102kg Classification],"&gt;0")</f>
        <v>0</v>
      </c>
      <c r="LO181" s="6">
        <f>COUNTIFS(Table23[Country],Tabela1[[#This Row],[Country]],Table23[Plus 102kg Classification],"&gt;0")</f>
        <v>0</v>
      </c>
      <c r="LP181" s="6">
        <f>COUNTIFS(Table28[Country],Tabela1[[#This Row],[Country]],Table28[49kg Classification],"&gt;0")</f>
        <v>0</v>
      </c>
      <c r="LQ181" s="6">
        <f>COUNTIFS(Table28[Country],Tabela1[[#This Row],[Country]],Table28[59kg Classification],"&gt;0")</f>
        <v>0</v>
      </c>
      <c r="LR181" s="6">
        <f>COUNTIFS(Table28[Country],Tabela1[[#This Row],[Country]],Table28[71kg Classification],"&gt;0")</f>
        <v>0</v>
      </c>
      <c r="LS181" s="6">
        <f>COUNTIFS(Table28[Country],Tabela1[[#This Row],[Country]],Table28[81kg Classification],"&gt;0")</f>
        <v>0</v>
      </c>
      <c r="LT181" s="6">
        <f>COUNTIFS(Table28[Country],Tabela1[[#This Row],[Country]],Table28[Plus 81kg Classification],"&gt;0")</f>
        <v>0</v>
      </c>
      <c r="LU181" s="6">
        <f>COUNTIFS(Table24[Country],Tabela1[[#This Row],[Country]],Table24[Freestyle 57kg Classification],"&gt;0")</f>
        <v>0</v>
      </c>
      <c r="LV181" s="6">
        <f>COUNTIFS(Table24[Country],Tabela1[[#This Row],[Country]],Table24[Freestyle 65kg Classification],"&gt;0")</f>
        <v>0</v>
      </c>
      <c r="LW181" s="6">
        <f>COUNTIFS(Table24[Country],Tabela1[[#This Row],[Country]],Table24[Freestyle 74kg Classification],"&gt;0")</f>
        <v>0</v>
      </c>
      <c r="LX181" s="6">
        <f>COUNTIFS(Table24[Country],Tabela1[[#This Row],[Country]],Table24[Freestyle 86kg Classification],"&gt;0")</f>
        <v>0</v>
      </c>
      <c r="LY181" s="6">
        <f>COUNTIFS(Table24[Country],Tabela1[[#This Row],[Country]],Table24[Freestyle 97kg Classification],"&gt;0")</f>
        <v>0</v>
      </c>
      <c r="LZ181" s="6">
        <f>COUNTIFS(Table24[Country],Tabela1[[#This Row],[Country]],Table24[Freestyle 125kg Classification],"&gt;0")</f>
        <v>0</v>
      </c>
      <c r="MA181" s="6">
        <f>COUNTIFS(Table24[Country],Tabela1[[#This Row],[Country]],Table24[Greco-Roman 60kg Classification],"&gt;0")</f>
        <v>0</v>
      </c>
      <c r="MB181" s="6">
        <f>COUNTIFS(Table24[Country],Tabela1[[#This Row],[Country]],Table24[Greco-Roman 67kg Classification],"&gt;0")</f>
        <v>0</v>
      </c>
      <c r="MC181" s="6">
        <f>COUNTIFS(Table24[Country],Tabela1[[#This Row],[Country]],Table24[Greco-Roman 77kg Classification],"&gt;0")</f>
        <v>0</v>
      </c>
      <c r="MD181" s="6">
        <f>COUNTIFS(Table24[Country],Tabela1[[#This Row],[Country]],Table24[Greco-Roman 87kg Classification],"&gt;0")</f>
        <v>0</v>
      </c>
      <c r="ME181" s="6">
        <f>COUNTIFS(Table24[Country],Tabela1[[#This Row],[Country]],Table24[Greco-Roman 97kg Classification],"&gt;0")</f>
        <v>0</v>
      </c>
      <c r="MF181" s="6">
        <f>COUNTIFS(Table24[Country],Tabela1[[#This Row],[Country]],Table24[Greco-Roman 130kg Classification],"&gt;0")</f>
        <v>0</v>
      </c>
      <c r="MG181" s="6">
        <f>COUNTIFS(Table31[Country],Tabela1[[#This Row],[Country]],Table31[50kg Classification],"&gt;0")</f>
        <v>0</v>
      </c>
      <c r="MH181" s="6">
        <f>COUNTIFS(Table31[Country],Tabela1[[#This Row],[Country]],Table31[53kg Classification],"&gt;0")</f>
        <v>0</v>
      </c>
      <c r="MI181" s="6">
        <f>COUNTIFS(Table31[Country],Tabela1[[#This Row],[Country]],Table31[57kg Classification],"&gt;0")</f>
        <v>0</v>
      </c>
      <c r="MJ181" s="6">
        <f>COUNTIFS(Table31[Country],Tabela1[[#This Row],[Country]],Table31[62kg Classification],"&gt;0")</f>
        <v>0</v>
      </c>
      <c r="MK181" s="6">
        <f>COUNTIFS(Table31[Country],Tabela1[[#This Row],[Country]],Table31[68kg Classification],"&gt;0")</f>
        <v>0</v>
      </c>
      <c r="ML181" s="6">
        <f>COUNTIFS(Table31[Country],Tabela1[[#This Row],[Country]],Table31[76kg Classification],"&gt;0")</f>
        <v>0</v>
      </c>
      <c r="MM181" s="6">
        <f>COUNTIFS(Table102[Country],Tabela1[[#This Row],[Country]],Table102[Downhill Classification],"&gt;0")</f>
        <v>0</v>
      </c>
      <c r="MN181" s="6">
        <f>COUNTIFS(Table102105[Country],Tabela1[[#This Row],[Country]],Table102105[Downhill Classification],"&gt;0")</f>
        <v>0</v>
      </c>
      <c r="MO181" s="6">
        <f>COUNTIFS(Table102[Country],Tabela1[[#This Row],[Country]],Table102[Giant Slalom Classification],"&gt;0")</f>
        <v>0</v>
      </c>
      <c r="MP181" s="6">
        <f>COUNTIFS(Table102105[Country],Tabela1[[#This Row],[Country]],Table102105[Giant Slalom Classification],"&gt;0")</f>
        <v>0</v>
      </c>
      <c r="MQ181" s="6">
        <f>COUNTIFS(Table102[Country],Tabela1[[#This Row],[Country]],Table102[Slalom Classification],"&gt;0")</f>
        <v>0</v>
      </c>
      <c r="MR181" s="6">
        <f>COUNTIFS(Table102105[Country],Tabela1[[#This Row],[Country]],Table102105[Slalom Classification],"&gt;0")</f>
        <v>0</v>
      </c>
      <c r="MS181" s="6">
        <f>COUNTIFS(Table102[Country],Tabela1[[#This Row],[Country]],Table102[Super-G Classification],"&gt;0")</f>
        <v>0</v>
      </c>
      <c r="MT181" s="6">
        <f>COUNTIFS(Table102105[Country],Tabela1[[#This Row],[Country]],Table102105[Super-G Classification],"&gt;0")</f>
        <v>0</v>
      </c>
      <c r="MU181" s="6">
        <f>COUNTIFS(Table105[Country],Tabela1[[#This Row],[Country]],Table105[Men''s Combined Classification],"&gt;0")</f>
        <v>0</v>
      </c>
      <c r="MV181" s="6">
        <f>COUNTIFS(Table105[Country],Tabela1[[#This Row],[Country]],Table105[Women''s Combined Classification],"&gt;0")</f>
        <v>0</v>
      </c>
      <c r="MW181" s="6">
        <f>COUNTIFS(Table106[Country],Tabela1[[#This Row],[Country]],Table106[Individual Classification],"&gt;0")</f>
        <v>0</v>
      </c>
      <c r="MX181" s="6">
        <f>COUNTIFS(Table106109[Country],Tabela1[[#This Row],[Country]],Table106109[Individual Classification],"&gt;0")</f>
        <v>0</v>
      </c>
      <c r="MY181" s="6">
        <f>COUNTIFS(Table106[Country],Tabela1[[#This Row],[Country]],Table106[Mass Start Classification],"&gt;0")</f>
        <v>0</v>
      </c>
      <c r="MZ181" s="6">
        <f>COUNTIFS(Table106109[Country],Tabela1[[#This Row],[Country]],Table106109[Mass Start Classification],"&gt;0")</f>
        <v>0</v>
      </c>
      <c r="NA181" s="6">
        <f>COUNTIFS(Table106[Country],Tabela1[[#This Row],[Country]],Table106[Pursuit Classification],"&gt;0")</f>
        <v>0</v>
      </c>
      <c r="NB181" s="6">
        <f>COUNTIFS(Table106109[Country],Tabela1[[#This Row],[Country]],Table106109[Pursuit Classification],"&gt;0")</f>
        <v>0</v>
      </c>
      <c r="NC181" s="6">
        <f>COUNTIFS(Table106[Country],Tabela1[[#This Row],[Country]],Table106[Sprint Classification],"&gt;0")</f>
        <v>0</v>
      </c>
      <c r="ND181" s="6">
        <f>COUNTIFS(Table106109[Country],Tabela1[[#This Row],[Country]],Table106109[Sprint Classification],"&gt;0")</f>
        <v>0</v>
      </c>
      <c r="NE181" s="6">
        <f>COUNTIFS(Table109[Country],Tabela1[[#This Row],[Country]],Table109[Men''s Relay Classification],"&gt;0")</f>
        <v>0</v>
      </c>
      <c r="NF181" s="6">
        <f>COUNTIFS(Table109[Country],Tabela1[[#This Row],[Country]],Table109[Women''s Relay Classification],"&gt;0")</f>
        <v>0</v>
      </c>
      <c r="NG181" s="6">
        <f>COUNTIFS(Table109[Country],Tabela1[[#This Row],[Country]],Table109[Mixed Relay Classification],"&gt;0")</f>
        <v>0</v>
      </c>
      <c r="NH181" s="6">
        <f>COUNTIFS(Table110[Country],Tabela1[[#This Row],[Country]],Table110[Monobob Classification],"&gt;0")</f>
        <v>0</v>
      </c>
      <c r="NI181" s="6">
        <f>COUNTIFS(Table111[Country],Tabela1[[#This Row],[Country]],Table111[Men''s Classification],"&gt;0")</f>
        <v>0</v>
      </c>
      <c r="NJ181" s="6">
        <f>COUNTIFS(Table111[Country],Tabela1[[#This Row],[Country]],Table111[Women''s Classification],"&gt;0")</f>
        <v>0</v>
      </c>
      <c r="NK181" s="6">
        <f>COUNTIFS(Table112[Country],Tabela1[[#This Row],[Country]],Table112[Men''s Four Classification],"&gt;0")</f>
        <v>0</v>
      </c>
      <c r="NL181" s="6">
        <f>COUNTIFS(Table113[Country],Tabela1[[#This Row],[Country]],Table113[Classical Classification],"&gt;0")</f>
        <v>0</v>
      </c>
      <c r="NM181" s="6">
        <f>COUNTIFS(Table113116[Country],Tabela1[[#This Row],[Country]],Table113116[Classical Classification],"&gt;0")</f>
        <v>0</v>
      </c>
      <c r="NN181" s="6">
        <f>COUNTIFS(Table113[Country],Tabela1[[#This Row],[Country]],Table113[Freestyle Classification],"&gt;0")</f>
        <v>0</v>
      </c>
      <c r="NO181" s="6">
        <f>COUNTIFS(Table113116[Country],Tabela1[[#This Row],[Country]],Table113116[Freestyle Classification],"&gt;0")</f>
        <v>0</v>
      </c>
      <c r="NP181" s="6">
        <f>COUNTIFS(Table117[Country],Tabela1[[#This Row],[Country]],Table117[Men''s Relay Classification],"&gt;0")</f>
        <v>0</v>
      </c>
      <c r="NQ181" s="6">
        <f>COUNTIFS(Table117[Country],Tabela1[[#This Row],[Country]],Table117[Women''s Relay Classification],"&gt;0")</f>
        <v>0</v>
      </c>
      <c r="NR181" s="6">
        <f>COUNTIFS(Table113[Country],Tabela1[[#This Row],[Country]],Table113[Skiathlon Classification],"&gt;0")</f>
        <v>0</v>
      </c>
      <c r="NS181" s="6">
        <f>COUNTIFS(Table113116[Country],Tabela1[[#This Row],[Country]],Table113116[Skiathlon Classification],"&gt;0")</f>
        <v>0</v>
      </c>
      <c r="NT181" s="6">
        <f>COUNTIFS(Table113[Country],Tabela1[[#This Row],[Country]],Table113[Sprint Classification],"&gt;0")</f>
        <v>0</v>
      </c>
      <c r="NU181" s="6">
        <f>COUNTIFS(Table113116[Country],Tabela1[[#This Row],[Country]],Table113116[Sprint Classification],"&gt;0")</f>
        <v>0</v>
      </c>
      <c r="NV181" s="6">
        <f>COUNTIFS(Table116[Country],Tabela1[[#This Row],[Country]],Table116[Men''s Team Sprint Classification],"&gt;0")</f>
        <v>0</v>
      </c>
      <c r="NW181" s="6">
        <f>COUNTIFS(Table116[Country],Tabela1[[#This Row],[Country]],Table116[Women''s Team Sprint Classification],"&gt;0")</f>
        <v>0</v>
      </c>
      <c r="NX181" s="6">
        <f>COUNTIFS(Table119[Country],Tabela1[[#This Row],[Country]],Table119[Men''s Classification],"&gt;0")</f>
        <v>0</v>
      </c>
      <c r="NY181" s="6">
        <f>COUNTIFS(Table119[Country],Tabela1[[#This Row],[Country]],Table119[Women''s Classification],"&gt;0")</f>
        <v>0</v>
      </c>
      <c r="NZ181" s="6">
        <f>COUNTIFS(Table118[Country],Tabela1[[#This Row],[Country]],Table118[Mixed Classification],"&gt;0")</f>
        <v>0</v>
      </c>
      <c r="OA181" s="6">
        <f>COUNTIFS(Table120[Country],Tabela1[[#This Row],[Country]],Table120[Classification],"&gt;0")</f>
        <v>0</v>
      </c>
      <c r="OB181" s="6">
        <f>COUNTIFS(Table120123[Country],Tabela1[[#This Row],[Country]],Table120123[Classification],"&gt;0")</f>
        <v>0</v>
      </c>
      <c r="OC181" s="6">
        <f>COUNTIFS(Table123[Country],Tabela1[[#This Row],[Country]],Table123[Ice Dance Classification],"&gt;0")</f>
        <v>0</v>
      </c>
      <c r="OD181" s="6">
        <f>COUNTIFS(Table123[Country],Tabela1[[#This Row],[Country]],Table123[Pair Skating Classification],"&gt;0")</f>
        <v>0</v>
      </c>
      <c r="OE181" s="6">
        <f>COUNTIFS(Table124[Country],Tabela1[[#This Row],[Country]],Table124[Mixed Classification],"&gt;0")</f>
        <v>0</v>
      </c>
      <c r="OF181" s="6">
        <f>COUNTIFS(Table125[Country],Tabela1[[#This Row],[Country]],Table125[Aerials Classification],"&gt;0")</f>
        <v>0</v>
      </c>
      <c r="OG181" s="6">
        <f>COUNTIFS(Table125128[Country],Tabela1[[#This Row],[Country]],Table125128[Aerials Classification],"&gt;0")</f>
        <v>0</v>
      </c>
      <c r="OH181" s="6">
        <f>COUNTIFS(Table128[Country],Tabela1[[#This Row],[Country]],Table128[Mixed Aerials Classification],"&gt;0")</f>
        <v>0</v>
      </c>
      <c r="OI181" s="6">
        <f>COUNTIFS(Table125[Country],Tabela1[[#This Row],[Country]],Table125[Big Air Classification],"&gt;0")</f>
        <v>0</v>
      </c>
      <c r="OJ181" s="6">
        <f>COUNTIFS(Table125128[Country],Tabela1[[#This Row],[Country]],Table125128[Big Air Classification],"&gt;0")</f>
        <v>0</v>
      </c>
      <c r="OK181" s="6">
        <f>COUNTIFS(Table125[Country],Tabela1[[#This Row],[Country]],Table125[Dual Moguls Classification],"&gt;0")</f>
        <v>0</v>
      </c>
      <c r="OL181" s="6">
        <f>COUNTIFS(Table125128[Country],Tabela1[[#This Row],[Country]],Table125128[Dual Moguls Classification],"&gt;0")</f>
        <v>0</v>
      </c>
      <c r="OM181" s="6">
        <f>COUNTIFS(Table125[Country],Tabela1[[#This Row],[Country]],Table125[Halfpipe Classification],"&gt;0")</f>
        <v>0</v>
      </c>
      <c r="ON181" s="6">
        <f>COUNTIFS(Table125128[Country],Tabela1[[#This Row],[Country]],Table125128[Halfpipe Classification],"&gt;0")</f>
        <v>0</v>
      </c>
      <c r="OO181" s="6">
        <f>COUNTIFS(Table125[Country],Tabela1[[#This Row],[Country]],Table125[Moguls Classification],"&gt;0")</f>
        <v>0</v>
      </c>
      <c r="OP181" s="6">
        <f>COUNTIFS(Table125128[Country],Tabela1[[#This Row],[Country]],Table125128[Moguls Classification],"&gt;0")</f>
        <v>0</v>
      </c>
      <c r="OQ181" s="6">
        <f>COUNTIFS(Table125[Country],Tabela1[[#This Row],[Country]],Table125[Ski Cross Classification],"&gt;0")</f>
        <v>0</v>
      </c>
      <c r="OR181" s="6">
        <f>COUNTIFS(Table125128[Country],Tabela1[[#This Row],[Country]],Table125128[Ski Cross Classification],"&gt;0")</f>
        <v>0</v>
      </c>
      <c r="OS181" s="6">
        <f>COUNTIFS(Table125[Country],Tabela1[[#This Row],[Country]],Table125[Slopestyle Classification],"&gt;0")</f>
        <v>0</v>
      </c>
      <c r="OT181" s="6">
        <f>COUNTIFS(Table125128[Country],Tabela1[[#This Row],[Country]],Table125128[Slopestyle Classification],"&gt;0")</f>
        <v>0</v>
      </c>
      <c r="OU181" s="6">
        <f>COUNTIFS(Table119131[Country],Tabela1[[#This Row],[Country]],Table119131[Men''s Classification],"&gt;0")</f>
        <v>0</v>
      </c>
      <c r="OV181" s="6">
        <f>COUNTIFS(Table119131[Country],Tabela1[[#This Row],[Country]],Table119131[Women''s Classification],"&gt;0")</f>
        <v>0</v>
      </c>
      <c r="OW181" s="6">
        <f>COUNTIFS(Table131[Country],Tabela1[[#This Row],[Country]],Table131[Classification],"&gt;0")</f>
        <v>0</v>
      </c>
      <c r="OX181" s="6">
        <f>COUNTIFS(Table131134[Country],Tabela1[[#This Row],[Country]],Table131134[Classification],"&gt;0")</f>
        <v>0</v>
      </c>
      <c r="OY181" s="6">
        <f>COUNTIFS(Table134[Country],Tabela1[[#This Row],[Country]],Table134[Men''s Classification],"&gt;0")</f>
        <v>0</v>
      </c>
      <c r="OZ181" s="6">
        <f>COUNTIFS(Table134[Country],Tabela1[[#This Row],[Country]],Table134[Women''s Classification],"&gt;0")</f>
        <v>0</v>
      </c>
      <c r="PA181" s="6">
        <f>COUNTIFS(Table135[Country],Tabela1[[#This Row],[Country]],Table135[Mixed Relay Classification],"&gt;0")</f>
        <v>0</v>
      </c>
      <c r="PB181" s="6">
        <f>COUNTIFS(Table136[Country],Tabela1[[#This Row],[Country]],Table136[Individual Classification],"&gt;0")</f>
        <v>0</v>
      </c>
      <c r="PC181" s="6">
        <f>COUNTIFS(Table136[Country],Tabela1[[#This Row],[Country]],Table136[Sprint Classification],"&gt;0")</f>
        <v>0</v>
      </c>
      <c r="PD181" s="6">
        <f>COUNTIFS(Table137[Country],Tabela1[[#This Row],[Country]],Table137[Men''s Team Sprint Large Hill Classification],"&gt;0")</f>
        <v>0</v>
      </c>
      <c r="PE181" s="6">
        <f>COUNTIFS(Table138[Country],Tabela1[[#This Row],[Country]],Table138[500m Classification],"&gt;0")</f>
        <v>0</v>
      </c>
      <c r="PF181" s="6">
        <f>COUNTIFS(Table138141[Country],Tabela1[[#This Row],[Country]],Table138141[500m Classification],"&gt;0")</f>
        <v>0</v>
      </c>
      <c r="PG181" s="6">
        <f>COUNTIFS(Table138[Country],Tabela1[[#This Row],[Country]],Table138[1000m Classification],"&gt;0")</f>
        <v>0</v>
      </c>
      <c r="PH181" s="6">
        <f>COUNTIFS(Table138141[Country],Tabela1[[#This Row],[Country]],Table138141[1000m Classification],"&gt;0")</f>
        <v>0</v>
      </c>
      <c r="PI181" s="6">
        <f>COUNTIFS(Table138[Country],Tabela1[[#This Row],[Country]],Table138[1500m Classification],"&gt;0")</f>
        <v>0</v>
      </c>
      <c r="PJ181" s="6">
        <f>COUNTIFS(Table138141[Country],Tabela1[[#This Row],[Country]],Table138141[1500m Classification],"&gt;0")</f>
        <v>0</v>
      </c>
      <c r="PK181" s="6">
        <f>COUNTIFS(Table141[Country],Tabela1[[#This Row],[Country]],Table141[Men''s 5000m Relay Classification],"&gt;0")</f>
        <v>0</v>
      </c>
      <c r="PL181" s="6">
        <f>COUNTIFS(Table141[Country],Tabela1[[#This Row],[Country]],Table141[Women''s 3000m Relay Classification],"&gt;0")</f>
        <v>0</v>
      </c>
      <c r="PM181" s="6">
        <f>COUNTIFS(Table141[Country],Tabela1[[#This Row],[Country]],Table141[Mixed 2000m Relay Classification],"&gt;0")</f>
        <v>0</v>
      </c>
      <c r="PN181" s="6">
        <f>COUNTIFS(Table142[Country],Tabela1[[#This Row],[Country]],Table142[Classification],"&gt;0")</f>
        <v>0</v>
      </c>
      <c r="PO181" s="6">
        <f>COUNTIFS(Table142145[Country],Tabela1[[#This Row],[Country]],Table142145[Classification],"&gt;0")</f>
        <v>0</v>
      </c>
      <c r="PP181" s="6">
        <f>COUNTIFS(Tabela15[Country],Tabela1[[#This Row],[Country]],Tabela15[Mixed Team Classification],"&gt;0")</f>
        <v>0</v>
      </c>
      <c r="PQ181" s="6">
        <f>COUNTIFS(Table145[Country],Tabela1[[#This Row],[Country]],Table145[Large Hill Classification],"&gt;0")</f>
        <v>0</v>
      </c>
      <c r="PR181" s="6">
        <f>COUNTIFS(Table145[Country],Tabela1[[#This Row],[Country]],Table145[Normal Hill Classification],"&gt;0")</f>
        <v>0</v>
      </c>
      <c r="PS181" s="6">
        <f>COUNTIFS(Table145148[Country],Tabela1[[#This Row],[Country]],Table145148[Large Hill Classification],"&gt;0")</f>
        <v>0</v>
      </c>
      <c r="PT181" s="6">
        <f>COUNTIFS(Table145148[Country],Tabela1[[#This Row],[Country]],Table145148[Normal Hill Classification],"&gt;0")</f>
        <v>0</v>
      </c>
      <c r="PU181" s="6">
        <f>COUNTIFS(Table148[Country],Tabela1[[#This Row],[Country]],Table148[Men''s Super Team Classification],"&gt;0")</f>
        <v>0</v>
      </c>
      <c r="PV181" s="6">
        <f>COUNTIFS(Tabela114[Country],Tabela1[[#This Row],[Country]],Tabela114[Mixed Normal Hill Classification],"&gt;0")</f>
        <v>0</v>
      </c>
      <c r="PW181" s="6">
        <f>COUNTIFS(Tabela50[Country],Tabela1[[#This Row],[Country]],Tabela50[Sprint Classification],"&gt;0")</f>
        <v>0</v>
      </c>
      <c r="PX181" s="6">
        <f>COUNTIFS(Tabela50101[Country],Tabela1[[#This Row],[Country]],Tabela50101[Sprint Classification],"&gt;0")</f>
        <v>0</v>
      </c>
      <c r="PY181" s="6">
        <f>COUNTIFS(Tabela103[Country],Tabela1[[#This Row],[Country]],Tabela103[Mixed Relay Classification],"&gt;0")</f>
        <v>0</v>
      </c>
      <c r="PZ181" s="6">
        <f>COUNTIFS(Table149[Country],Tabela1[[#This Row],[Country]],Table149[Big Air Classification],"&gt;0")</f>
        <v>0</v>
      </c>
      <c r="QA181" s="6">
        <f>COUNTIFS(Table149152[Country],Tabela1[[#This Row],[Country]],Table149152[Big Air Classification],"&gt;0")</f>
        <v>0</v>
      </c>
      <c r="QB181" s="6">
        <f>COUNTIFS(Table149[Country],Tabela1[[#This Row],[Country]],Table149[Halfpipe Classification],"&gt;0")</f>
        <v>0</v>
      </c>
      <c r="QC181" s="6">
        <f>COUNTIFS(Table149152[Country],Tabela1[[#This Row],[Country]],Table149152[Halfpipe Classification],"&gt;0")</f>
        <v>0</v>
      </c>
      <c r="QD181" s="6">
        <f>COUNTIFS(Table149[Country],Tabela1[[#This Row],[Country]],Table149[Parallel Giant Slalom Classification],"&gt;0")</f>
        <v>0</v>
      </c>
      <c r="QE181" s="6">
        <f>COUNTIFS(Table149152[Country],Tabela1[[#This Row],[Country]],Table149152[Parallel Giant Slalom Classification],"&gt;0")</f>
        <v>0</v>
      </c>
      <c r="QF181" s="6">
        <f>COUNTIFS(Table149[Country],Tabela1[[#This Row],[Country]],Table149[Slopestyle Classification],"&gt;0")</f>
        <v>0</v>
      </c>
      <c r="QG181" s="6">
        <f>COUNTIFS(Table149152[Country],Tabela1[[#This Row],[Country]],Table149152[Slopestyle Classification],"&gt;0")</f>
        <v>0</v>
      </c>
      <c r="QH181" s="6">
        <f>COUNTIFS(Table149[Country],Tabela1[[#This Row],[Country]],Table149[Snowboard Cross Classification],"&gt;0")</f>
        <v>0</v>
      </c>
      <c r="QI181" s="6">
        <f>COUNTIFS(Table149152[Country],Tabela1[[#This Row],[Country]],Table149152[Snowboard Cross Classification],"&gt;0")</f>
        <v>0</v>
      </c>
      <c r="QJ181" s="6">
        <f>COUNTIFS(Table153[Country],Tabela1[[#This Row],[Country]],Table153[Mixed Team Snowboard Cross Classification],"&gt;0")</f>
        <v>0</v>
      </c>
      <c r="QK181" s="6">
        <f>COUNTIFS(Table154[Country],Tabela1[[#This Row],[Country]],Table154[500m Classification],"&gt;0")</f>
        <v>0</v>
      </c>
      <c r="QL181" s="6">
        <f>COUNTIFS(Table154157[Country],Tabela1[[#This Row],[Country]],Table154157[500m Classification],"&gt;0")</f>
        <v>0</v>
      </c>
      <c r="QM181" s="6">
        <f>COUNTIFS(Table154[Country],Tabela1[[#This Row],[Country]],Table154[1000m Classification],"&gt;0")</f>
        <v>0</v>
      </c>
      <c r="QN181" s="6">
        <f>COUNTIFS(Table154157[Country],Tabela1[[#This Row],[Country]],Table154157[1000m Classification],"&gt;0")</f>
        <v>0</v>
      </c>
      <c r="QO181" s="6">
        <f>COUNTIFS(Table154[Country],Tabela1[[#This Row],[Country]],Table154[1500m Classification],"&gt;0")</f>
        <v>0</v>
      </c>
      <c r="QP181" s="6">
        <f>COUNTIFS(Table154157[Country],Tabela1[[#This Row],[Country]],Table154157[1500m Classification],"&gt;0")</f>
        <v>0</v>
      </c>
      <c r="QQ181" s="6">
        <f>COUNTIFS(Table154157[Country],Tabela1[[#This Row],[Country]],Table154157[3000m Classification],"&gt;0")</f>
        <v>0</v>
      </c>
      <c r="QR181" s="6">
        <f>COUNTIFS(Table154[Country],Tabela1[[#This Row],[Country]],Table154[5000m Classification],"&gt;0")</f>
        <v>0</v>
      </c>
      <c r="QS181" s="6">
        <f>COUNTIFS(Table154157[Country],Tabela1[[#This Row],[Country]],Table154157[5000m Classification],"&gt;0")</f>
        <v>0</v>
      </c>
      <c r="QT181" s="6">
        <f>COUNTIFS(Table154[Country],Tabela1[[#This Row],[Country]],Table154[10000m Classification],"&gt;0")</f>
        <v>0</v>
      </c>
      <c r="QU181" s="6">
        <f>COUNTIFS(Table154[Country],Tabela1[[#This Row],[Country]],Table154[Mass Start Classification],"&gt;0")</f>
        <v>0</v>
      </c>
      <c r="QV181" s="6">
        <f>COUNTIFS(Table154157[Country],Tabela1[[#This Row],[Country]],Table154157[Mass Start Classification],"&gt;0")</f>
        <v>0</v>
      </c>
      <c r="QW181" s="6">
        <f>COUNTIFS(Table157[Country],Tabela1[[#This Row],[Country]],Table157[Men''s Pursuit Classification],"&gt;0")</f>
        <v>0</v>
      </c>
      <c r="QX181" s="6">
        <f>COUNTIFS(Table157[Country],Tabela1[[#This Row],[Country]],Table157[Women''s Pursuit Classification],"&gt;0")</f>
        <v>0</v>
      </c>
      <c r="QY181" s="3" t="s">
        <v>591</v>
      </c>
    </row>
    <row r="182" spans="1:467" x14ac:dyDescent="0.3">
      <c r="A182" s="6">
        <v>181</v>
      </c>
      <c r="B182" s="6" t="s">
        <v>606</v>
      </c>
      <c r="C182" t="e" vm="181">
        <f>IF(ISBLANK(Tabela1[[#This Row],[Image Link]]), "", _xlfn.IMAGE(Tabela1[[#This Row],[Image Link]],1,1))</f>
        <v>#VALUE!</v>
      </c>
      <c r="D182" s="6">
        <f>SUM(Tabela1[[#This Row],[Archery - Men''s Individual Recurve]:[Speed Skating - Women''s Team Pursuit]])</f>
        <v>0</v>
      </c>
      <c r="E182" s="6">
        <f>COUNTIF(Tabela1[[#This Row],[Archery - Men''s Individual Recurve]:[Speed Skating - Women''s Team Pursuit]],"&gt;0")</f>
        <v>0</v>
      </c>
      <c r="F182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82" s="6">
        <f>SUM(Tabela1[[#This Row],[Archery - Men''s Individual Recurve]:[Wrestling - Women''s Freestyle 76kg]])</f>
        <v>0</v>
      </c>
      <c r="H182" s="6">
        <f>SUM(Tabela1[[#This Row],[Alpine Skiing - Men''s Downhill]:[Speed Skating - Women''s Team Pursuit]])</f>
        <v>0</v>
      </c>
      <c r="I182" s="6">
        <f>Tabela1[[#This Row],[Summer Gold Medals]]+Tabela1[[#This Row],[Winter Gold Medals]]</f>
        <v>0</v>
      </c>
      <c r="J182" s="6">
        <f>Tabela1[[#This Row],[Summer Silver Medals]]+Tabela1[[#This Row],[Winter Silver Medals]]</f>
        <v>0</v>
      </c>
      <c r="K182" s="6">
        <f>Tabela1[[#This Row],[Summer Bronze Medals]]+Tabela1[[#This Row],[Winter Bronze Medals]]</f>
        <v>0</v>
      </c>
      <c r="L182" s="6">
        <f>SUM(Tabela1[[#This Row],[Total Gold Medals]:[Total Bronze Medals]])</f>
        <v>0</v>
      </c>
      <c r="M182" s="6"/>
      <c r="N182" s="6"/>
      <c r="O182" s="6"/>
      <c r="P182" s="6">
        <f>SUM(Tabela1[[#This Row],[Summer Gold Medals]:[Summer Bronze Medals]])</f>
        <v>0</v>
      </c>
      <c r="Q182" s="6"/>
      <c r="R182" s="6"/>
      <c r="S182" s="6"/>
      <c r="T182" s="6">
        <f>Tabela1[[#This Row],[Winter Gold Medals]]+Tabela1[[#This Row],[Winter Silver Medals]]+Tabela1[[#This Row],[Winter Bronze Medals]]</f>
        <v>0</v>
      </c>
      <c r="U182" s="7" t="e">
        <f>Tabela1[[#This Row],[Total Medals]]/Tabela1[[#This Row],[Total Quotas]]</f>
        <v>#DIV/0!</v>
      </c>
      <c r="V182" s="6">
        <f>COUNTIFS(Table3[Country],Tabela1[[#This Row],[Country]],Table3[Recurve Classification],"&gt;0")</f>
        <v>0</v>
      </c>
      <c r="W182" s="6">
        <f>COUNTIFS(Table33[Country],Tabela1[[#This Row],[Country]],Table33[Recurve Classification],"&gt;0")</f>
        <v>0</v>
      </c>
      <c r="X182" s="6">
        <f>COUNTIFS(Table35[Country],Tabela1[[#This Row],[Country]],Table35[Men''s Team Recurve Classification],"&gt;0")</f>
        <v>0</v>
      </c>
      <c r="Y182" s="6">
        <f>COUNTIFS(Table35[Country],Tabela1[[#This Row],[Country]],Table35[Women''s Team Recurve Classification],"&gt;0")</f>
        <v>0</v>
      </c>
      <c r="Z182" s="6">
        <f>COUNTIFS(Tabela88[Country],Tabela1[[#This Row],[Country]],Tabela88[Mixed Team Recurve Classification],"&gt;0")</f>
        <v>0</v>
      </c>
      <c r="AA182" s="6">
        <f>COUNTIFS(Table36[Country],Tabela1[[#This Row],[Country]],Table36[Classification],"&gt;0")</f>
        <v>0</v>
      </c>
      <c r="AB182" s="6">
        <f>COUNTIFS(Table37[Country],Tabela1[[#This Row],[Country]],Table37[Classification],"&gt;0")</f>
        <v>0</v>
      </c>
      <c r="AC182" s="6">
        <f>COUNTIFS(Table4[Country],Tabela1[[#This Row],[Country]],Table4[100m Classification],"&gt;0")</f>
        <v>0</v>
      </c>
      <c r="AD182" s="6">
        <f>COUNTIFS(Table5[Country],Tabela1[[#This Row],[Country]],Table5[100m Classification],"&gt;0")</f>
        <v>0</v>
      </c>
      <c r="AE182" s="6">
        <f>COUNTIFS(Table4[Country],Tabela1[[#This Row],[Country]],Table4[200m Classification],"&gt;0")</f>
        <v>0</v>
      </c>
      <c r="AF182" s="6">
        <f>COUNTIFS(Table5[Country],Tabela1[[#This Row],[Country]],Table5[200m Classification],"&gt;0")</f>
        <v>0</v>
      </c>
      <c r="AG182" s="6">
        <f>COUNTIFS(Table4[Country],Tabela1[[#This Row],[Country]],Table4[400m Classification],"&gt;0")</f>
        <v>0</v>
      </c>
      <c r="AH182" s="6">
        <f>COUNTIFS(Table5[Country],Tabela1[[#This Row],[Country]],Table5[400m Classification],"&gt;0")</f>
        <v>0</v>
      </c>
      <c r="AI182" s="6">
        <f>COUNTIFS(Table4[Country],Tabela1[[#This Row],[Country]],Table4[800m Classification],"&gt;0")</f>
        <v>0</v>
      </c>
      <c r="AJ182" s="6">
        <f>COUNTIFS(Table5[Country],Tabela1[[#This Row],[Country]],Table5[800m Classification],"&gt;0")</f>
        <v>0</v>
      </c>
      <c r="AK182" s="6">
        <f>COUNTIFS(Table4[Country],Tabela1[[#This Row],[Country]],Table4[1500m Classification],"&gt;0")</f>
        <v>0</v>
      </c>
      <c r="AL182" s="6">
        <f>COUNTIFS(Table5[Country],Tabela1[[#This Row],[Country]],Table5[1500m Classification],"&gt;0")</f>
        <v>0</v>
      </c>
      <c r="AM182" s="6">
        <f>COUNTIFS(Table4[Country],Tabela1[[#This Row],[Country]],Table4[5000m Classification],"&gt;0")</f>
        <v>0</v>
      </c>
      <c r="AN182" s="6">
        <f>COUNTIFS(Table5[Country],Tabela1[[#This Row],[Country]],Table5[5000m Classification],"&gt;0")</f>
        <v>0</v>
      </c>
      <c r="AO182" s="6">
        <f>COUNTIFS(Table4[Country],Tabela1[[#This Row],[Country]],Table4[10000m Classification],"&gt;0")</f>
        <v>0</v>
      </c>
      <c r="AP182" s="6">
        <f>COUNTIFS(Table5[Country],Tabela1[[#This Row],[Country]],Table5[10000m Classification],"&gt;0")</f>
        <v>0</v>
      </c>
      <c r="AQ182" s="6">
        <f>COUNTIFS(Table4[Country],Tabela1[[#This Row],[Country]],Table4[110m Hurdles Classification],"&gt;0")</f>
        <v>0</v>
      </c>
      <c r="AR182" s="6">
        <f>COUNTIFS(Table5[Country],Tabela1[[#This Row],[Country]],Table5[100m Hurdles Classification],"&gt;0")</f>
        <v>0</v>
      </c>
      <c r="AS182" s="6">
        <f>COUNTIFS(Table4[Country],Tabela1[[#This Row],[Country]],Table4[400m Hurdles Classification],"&gt;0")</f>
        <v>0</v>
      </c>
      <c r="AT182" s="6">
        <f>COUNTIFS(Table5[Country],Tabela1[[#This Row],[Country]],Table5[400m Hurdles Classification],"&gt;0")</f>
        <v>0</v>
      </c>
      <c r="AU182" s="6">
        <f>COUNTIFS(Table4[Country],Tabela1[[#This Row],[Country]],Table4[3000m Steeplechase Classification],"&gt;0")</f>
        <v>0</v>
      </c>
      <c r="AV182" s="6">
        <f>COUNTIFS(Table5[Country],Tabela1[[#This Row],[Country]],Table5[3000m Steeplechase Classification],"&gt;0")</f>
        <v>0</v>
      </c>
      <c r="AW182" s="6">
        <f>COUNTIFS(Table27[Country],Tabela1[[#This Row],[Country]],Table27[Men''s 4x100m Relay Classification],"&gt;0")</f>
        <v>0</v>
      </c>
      <c r="AX182" s="6">
        <f>COUNTIFS(Table27[Country],Tabela1[[#This Row],[Country]],Table27[Women''s 4x100m Relay Classification],"&gt;0")</f>
        <v>0</v>
      </c>
      <c r="AY182" s="6">
        <f>COUNTIFS(Table27[Country],Tabela1[[#This Row],[Country]],Table27[Men''s 4x400m Relay Classification],"&gt;0")</f>
        <v>0</v>
      </c>
      <c r="AZ182" s="6">
        <f>COUNTIFS(Table27[Country],Tabela1[[#This Row],[Country]],Table27[Women''s 4x400m Relay Classification],"&gt;0")</f>
        <v>0</v>
      </c>
      <c r="BA182" s="6">
        <f>COUNTIFS(Table27[Country],Tabela1[[#This Row],[Country]],Table27[Mixed 4x400m Relay Classification],"&gt;0")</f>
        <v>0</v>
      </c>
      <c r="BB182" s="6">
        <f>COUNTIFS(Table4[Country],Tabela1[[#This Row],[Country]],Table4[Marathon Classification],"&gt;0")</f>
        <v>0</v>
      </c>
      <c r="BC182" s="6">
        <f>COUNTIFS(Table5[Country],Tabela1[[#This Row],[Country]],Table5[Marathon Classification],"&gt;0")</f>
        <v>0</v>
      </c>
      <c r="BD182" s="6">
        <f>COUNTIFS(Table4[Country],Tabela1[[#This Row],[Country]],Table4[20km Race Walk Classification],"&gt;0")</f>
        <v>0</v>
      </c>
      <c r="BE182" s="6">
        <f>COUNTIFS(Table5[Country],Tabela1[[#This Row],[Country]],Table5[20km Race Walk Classification],"&gt;0")</f>
        <v>0</v>
      </c>
      <c r="BF182" s="6">
        <f>COUNTIFS(Tabela96[Country],Tabela1[[#This Row],[Country]],Tabela96[Mixed Marathon Race Walk Relay Classification],"&gt;0")</f>
        <v>0</v>
      </c>
      <c r="BG182" s="6">
        <f>COUNTIFS(Table4[Country],Tabela1[[#This Row],[Country]],Table4[Discus Throw Classification],"&gt;0")</f>
        <v>0</v>
      </c>
      <c r="BH182" s="6">
        <f>COUNTIFS(Table5[Country],Tabela1[[#This Row],[Country]],Table5[Discus Throw Classification],"&gt;0")</f>
        <v>0</v>
      </c>
      <c r="BI182" s="6">
        <f>COUNTIFS(Table4[Country],Tabela1[[#This Row],[Country]],Table4[Hammer Throw Classification],"&gt;0")</f>
        <v>0</v>
      </c>
      <c r="BJ182" s="6">
        <f>COUNTIFS(Table5[Country],Tabela1[[#This Row],[Country]],Table5[Hammer Throw Classification],"&gt;0")</f>
        <v>0</v>
      </c>
      <c r="BK182" s="6">
        <f>COUNTIFS(Table4[Country],Tabela1[[#This Row],[Country]],Table4[High Jump Classification],"&gt;0")</f>
        <v>0</v>
      </c>
      <c r="BL182" s="6">
        <f>COUNTIFS(Table5[Country],Tabela1[[#This Row],[Country]],Table5[High Jump Classification],"&gt;0")</f>
        <v>0</v>
      </c>
      <c r="BM182" s="6">
        <f>COUNTIFS(Table4[Country],Tabela1[[#This Row],[Country]],Table4[Javelin Throw Classification],"&gt;0")</f>
        <v>0</v>
      </c>
      <c r="BN182" s="6">
        <f>COUNTIFS(Table5[Country],Tabela1[[#This Row],[Country]],Table5[Javelin Throw Classification],"&gt;0")</f>
        <v>0</v>
      </c>
      <c r="BO182" s="6">
        <f>COUNTIFS(Table4[Country],Tabela1[[#This Row],[Country]],Table4[Long Jump Classification],"&gt;0")</f>
        <v>0</v>
      </c>
      <c r="BP182" s="6">
        <f>COUNTIFS(Table5[Country],Tabela1[[#This Row],[Country]],Table5[Long Jump Classification],"&gt;0")</f>
        <v>0</v>
      </c>
      <c r="BQ182" s="6">
        <f>COUNTIFS(Table4[Country],Tabela1[[#This Row],[Country]],Table4[Pole Vault Classification],"&gt;0")</f>
        <v>0</v>
      </c>
      <c r="BR182" s="6">
        <f>COUNTIFS(Table5[Country],Tabela1[[#This Row],[Country]],Table5[Pole Vault Classification],"&gt;0")</f>
        <v>0</v>
      </c>
      <c r="BS182" s="6">
        <f>COUNTIFS(Table4[Country],Tabela1[[#This Row],[Country]],Table4[Shot Put Classification],"&gt;0")</f>
        <v>0</v>
      </c>
      <c r="BT182" s="6">
        <f>COUNTIFS(Table5[Country],Tabela1[[#This Row],[Country]],Table5[Shot Put Classification],"&gt;0")</f>
        <v>0</v>
      </c>
      <c r="BU182" s="6">
        <f>COUNTIFS(Table4[Country],Tabela1[[#This Row],[Country]],Table4[Triple Jump Classification],"&gt;0")</f>
        <v>0</v>
      </c>
      <c r="BV182" s="6">
        <f>COUNTIFS(Table5[Country],Tabela1[[#This Row],[Country]],Table5[Triple Jump Classification],"&gt;0")</f>
        <v>0</v>
      </c>
      <c r="BW182" s="6">
        <f>COUNTIFS(Table4[Country],Tabela1[[#This Row],[Country]],Table4[Decathlon Classification],"&gt;0")</f>
        <v>0</v>
      </c>
      <c r="BX182" s="6">
        <f>COUNTIFS(Table5[Country],Tabela1[[#This Row],[Country]],Table5[Heptathlon Classification],"&gt;0")</f>
        <v>0</v>
      </c>
      <c r="BY182" s="6">
        <f>COUNTIFS(Table61[Country],Tabela1[[#This Row],[Country]],Table61[Classification],"&gt;0")</f>
        <v>0</v>
      </c>
      <c r="BZ182" s="6">
        <f>COUNTIFS(Table38[Country],Tabela1[[#This Row],[Country]],Table38[Classification],"&gt;0")</f>
        <v>0</v>
      </c>
      <c r="CA182" s="6">
        <f>COUNTIFS(Table39[Country],Tabela1[[#This Row],[Country]],Table39[Men''s Classification],"&gt;0")</f>
        <v>0</v>
      </c>
      <c r="CB182" s="6">
        <f>COUNTIFS(Table39[Country],Tabela1[[#This Row],[Country]],Table39[Women''s Classification],"&gt;0")</f>
        <v>0</v>
      </c>
      <c r="CC182" s="6">
        <f>COUNTIFS(Table39[Country],Tabela1[[#This Row],[Country]],Table39[Mixed Classification],"&gt;0")</f>
        <v>0</v>
      </c>
      <c r="CD182" s="6">
        <f>COUNTIFS(Table89[Country],Tabela1[[#This Row],[Country]],Table89[Men''s Classification],"&gt;0")</f>
        <v>0</v>
      </c>
      <c r="CE182" s="6">
        <f>COUNTIFS(Table89[Country],Tabela1[[#This Row],[Country]],Table89[Women''s Classification],"&gt;0")</f>
        <v>0</v>
      </c>
      <c r="CF182" s="6">
        <f>COUNTIFS(Table90[Country],Tabela1[[#This Row],[Country]],Table90[Men''s Classification],"&gt;0")</f>
        <v>0</v>
      </c>
      <c r="CG182" s="6">
        <f>COUNTIFS(Table90[Country],Tabela1[[#This Row],[Country]],Table90[Women''s Classification],"&gt;0")</f>
        <v>0</v>
      </c>
      <c r="CH182" s="6">
        <f>COUNTIFS(Table60[Country],Tabela1[[#This Row],[Country]],Table60[Men''s Classification],"&gt;0")</f>
        <v>0</v>
      </c>
      <c r="CI182" s="6">
        <f>COUNTIFS(Table60[Country],Tabela1[[#This Row],[Country]],Table60[Women''s Classification],"&gt;0")</f>
        <v>0</v>
      </c>
      <c r="CJ182" s="6">
        <f>COUNTIFS(Table6[Country],Tabela1[[#This Row],[Country]],Table6[51kg Classification],"&gt;0")</f>
        <v>0</v>
      </c>
      <c r="CK182" s="6">
        <f>COUNTIFS(Table6[Country],Tabela1[[#This Row],[Country]],Table6[57kg Classification],"&gt;0")</f>
        <v>0</v>
      </c>
      <c r="CL182" s="6">
        <f>COUNTIFS(Table6[Country],Tabela1[[#This Row],[Country]],Table6[63.5kg Classification],"&gt;0")</f>
        <v>0</v>
      </c>
      <c r="CM182" s="6">
        <f>COUNTIFS(Table6[Country],Tabela1[[#This Row],[Country]],Table6[71kg Classification],"&gt;0")</f>
        <v>0</v>
      </c>
      <c r="CN182" s="6">
        <f>COUNTIFS(Table6[Country],Tabela1[[#This Row],[Country]],Table6[80kg Classification],"&gt;0")</f>
        <v>0</v>
      </c>
      <c r="CO182" s="6">
        <f>COUNTIFS(Table6[Country],Tabela1[[#This Row],[Country]],Table6[92kg Classification],"&gt;0")</f>
        <v>0</v>
      </c>
      <c r="CP182" s="6">
        <f>COUNTIFS(Table6[Country],Tabela1[[#This Row],[Country]],Table6[Plus 92kg Classification],"&gt;0")</f>
        <v>0</v>
      </c>
      <c r="CQ182" s="6">
        <f>COUNTIFS(Table7[Country],Tabela1[[#This Row],[Country]],Table7[50kg Classification],"&gt;0")</f>
        <v>0</v>
      </c>
      <c r="CR182" s="6">
        <f>COUNTIFS(Table7[Country],Tabela1[[#This Row],[Country]],Table7[54kg Classification],"&gt;0")</f>
        <v>0</v>
      </c>
      <c r="CS182" s="6">
        <f>COUNTIFS(Table7[Country],Tabela1[[#This Row],[Country]],Table7[57kg Classification],"&gt;0")</f>
        <v>0</v>
      </c>
      <c r="CT182" s="6">
        <f>COUNTIFS(Table7[Country],Tabela1[[#This Row],[Country]],Table7[60kg Classification],"&gt;0")</f>
        <v>0</v>
      </c>
      <c r="CU182" s="6">
        <f>COUNTIFS(Table7[Country],Tabela1[[#This Row],[Country]],Table7[66kg Classification],"&gt;0")</f>
        <v>0</v>
      </c>
      <c r="CV182" s="6">
        <f>COUNTIFS(Table7[Country],Tabela1[[#This Row],[Country]],Table7[75kg Classification],"&gt;0")</f>
        <v>0</v>
      </c>
      <c r="CW182" s="6">
        <f>COUNTIFS(Tabela94[Country],Tabela1[[#This Row],[Country]],Tabela94[Classification],"&gt;0")</f>
        <v>0</v>
      </c>
      <c r="CX182" s="6">
        <f>COUNTIFS(Tabela9499[Country],Tabela1[[#This Row],[Country]],Tabela9499[Classification],"&gt;0")</f>
        <v>0</v>
      </c>
      <c r="CY182" s="6">
        <f>COUNTIFS(Tabela107[Country],Tabela1[[#This Row],[Country]],Tabela107[C1 Slalom Classification],"&gt;0")</f>
        <v>0</v>
      </c>
      <c r="CZ182" s="6">
        <f>COUNTIFS(Tabela107122[Country],Tabela1[[#This Row],[Country]],Tabela107122[C1 Slalom Classification],"&gt;0")</f>
        <v>0</v>
      </c>
      <c r="DA182" s="6">
        <f>COUNTIFS(Tabela107[Country],Tabela1[[#This Row],[Country]],Tabela107[K1 Slalom Classification],"&gt;0")</f>
        <v>0</v>
      </c>
      <c r="DB182" s="6">
        <f>COUNTIFS(Tabela107122[Country],Tabela1[[#This Row],[Country]],Tabela107122[K1 Slalom Classification],"&gt;0")</f>
        <v>0</v>
      </c>
      <c r="DC182" s="6">
        <f>COUNTIFS(Tabela107[Country],Tabela1[[#This Row],[Country]],Tabela107[Kayak Cross Slalom Classification],"&gt;0")</f>
        <v>0</v>
      </c>
      <c r="DD182" s="6">
        <f>COUNTIFS(Tabela107122[Country],Tabela1[[#This Row],[Country]],Tabela107122[Kayak Cross Slalom Classification],"&gt;0")</f>
        <v>0</v>
      </c>
      <c r="DE182" s="6">
        <f>COUNTIFS(Table8[Country],Tabela1[[#This Row],[Country]],Table8[C1 200m Classification],"&gt;0")</f>
        <v>0</v>
      </c>
      <c r="DF182" s="6">
        <f>COUNTIFS(Table40[Country],Tabela1[[#This Row],[Country]],Table40[C1 1000m Classification],"&gt;0")</f>
        <v>0</v>
      </c>
      <c r="DG182" s="6">
        <f>COUNTIFS(Table68[Country],Tabela1[[#This Row],[Country]],Table68[Men''s C2 500m Classification],"&gt;0")</f>
        <v>0</v>
      </c>
      <c r="DH182" s="6">
        <f>COUNTIFS(Table68[Country],Tabela1[[#This Row],[Country]],Table68[Women''s C2 500m Classification],"&gt;0")</f>
        <v>0</v>
      </c>
      <c r="DI182" s="6">
        <f>COUNTIFS(Table8[Country],Tabela1[[#This Row],[Country]],Table8[K1 500m Classification],"&gt;0")</f>
        <v>0</v>
      </c>
      <c r="DJ182" s="6">
        <f>COUNTIFS(Table40[Country],Tabela1[[#This Row],[Country]],Table40[K1 1000m Classification],"&gt;0")</f>
        <v>0</v>
      </c>
      <c r="DK182" s="6">
        <f>COUNTIFS(Table68[Country],Tabela1[[#This Row],[Country]],Table68[Men''s K2 500m Classification],"&gt;0")</f>
        <v>0</v>
      </c>
      <c r="DL182" s="6">
        <f>COUNTIFS(Table68[Country],Tabela1[[#This Row],[Country]],Table68[Women''s K2 500m Classification],"&gt;0")</f>
        <v>0</v>
      </c>
      <c r="DM182" s="6">
        <f>COUNTIFS(Table83[Country],Tabela1[[#This Row],[Country]],Table83[Men''s K4 500m Classification],"&gt;0")</f>
        <v>0</v>
      </c>
      <c r="DN182" s="6">
        <f>COUNTIFS(Table83[Country],Tabela1[[#This Row],[Country]],Table83[Women''s K4 500m Classification],"&gt;0")</f>
        <v>0</v>
      </c>
      <c r="DO182" s="6">
        <f>COUNTIFS(Tabela126[Country],Tabela1[[#This Row],[Country]],Tabela126[Classification],"&gt;0")</f>
        <v>0</v>
      </c>
      <c r="DP182" s="6">
        <f>COUNTIFS(Tabela126130[Country],Tabela1[[#This Row],[Country]],Tabela126130[Classification],"&gt;0")</f>
        <v>0</v>
      </c>
      <c r="DQ182" s="6">
        <f>COUNTIFS(Table70[Country],Tabela1[[#This Row],[Country]],Table70[Classification],"&gt;0")</f>
        <v>0</v>
      </c>
      <c r="DR182" s="6">
        <f>COUNTIFS(Table80[Country],Tabela1[[#This Row],[Country]],Table80[Classification],"&gt;0")</f>
        <v>0</v>
      </c>
      <c r="DS182" s="6">
        <f>COUNTIFS(Table66[Country],Tabela1[[#This Row],[Country]],Table66[Classification],"&gt;0")</f>
        <v>0</v>
      </c>
      <c r="DT182" s="6">
        <f>COUNTIFS(Table67[Country],Tabela1[[#This Row],[Country]],Table67[Classification],"&gt;0")</f>
        <v>0</v>
      </c>
      <c r="DU182" s="6">
        <f>COUNTIFS(Table69[Country],Tabela1[[#This Row],[Country]],Table69[Keirin Classification],"&gt;0")</f>
        <v>0</v>
      </c>
      <c r="DV182" s="6">
        <f>COUNTIFS(Table41[Country],Tabela1[[#This Row],[Country]],Table41[Keirin Classification],"&gt;0")</f>
        <v>0</v>
      </c>
      <c r="DW182" s="6">
        <f>COUNTIFS(Table84[Country],Tabela1[[#This Row],[Country]],Table84[Men''s Madison Classification],"&gt;0")</f>
        <v>0</v>
      </c>
      <c r="DX182" s="6">
        <f>COUNTIFS(Table84[Country],Tabela1[[#This Row],[Country]],Table84[Women''s Madison Classification],"&gt;0")</f>
        <v>0</v>
      </c>
      <c r="DY182" s="6">
        <f>COUNTIFS(Table69[Country],Tabela1[[#This Row],[Country]],Table69[Omnium Classification],"&gt;0")</f>
        <v>0</v>
      </c>
      <c r="DZ182" s="6">
        <f>COUNTIFS(Table41[Country],Tabela1[[#This Row],[Country]],Table41[Omnium Classification],"&gt;0")</f>
        <v>0</v>
      </c>
      <c r="EA182" s="6">
        <f>COUNTIFS(Table9[Country],Tabela1[[#This Row],[Country]],Table9[Road Race Classification],"&gt;0")</f>
        <v>0</v>
      </c>
      <c r="EB182" s="6">
        <f>COUNTIFS(Table14[Country],Tabela1[[#This Row],[Country]],Table14[Road Race Classification],"&gt;0")</f>
        <v>0</v>
      </c>
      <c r="EC182" s="6">
        <f>COUNTIFS(Table69[Country],Tabela1[[#This Row],[Country]],Table69[Sprint Classification],"&gt;0")</f>
        <v>0</v>
      </c>
      <c r="ED182" s="6">
        <f>COUNTIFS(Table41[Country],Tabela1[[#This Row],[Country]],Table41[Sprint Classification],"&gt;0")</f>
        <v>0</v>
      </c>
      <c r="EE182" s="6">
        <f>COUNTIFS(Table85[Country],Tabela1[[#This Row],[Country]],Table85[Men''s Sprint Classification],"&gt;0")</f>
        <v>0</v>
      </c>
      <c r="EF182" s="6">
        <f>COUNTIFS(Table85[Country],Tabela1[[#This Row],[Country]],Table85[Women''s Sprint Classification],"&gt;0")</f>
        <v>0</v>
      </c>
      <c r="EG182" s="6">
        <f>COUNTIFS(Table85[Country],Tabela1[[#This Row],[Country]],Table85[Men''s Pursuit Classification],"&gt;0")</f>
        <v>0</v>
      </c>
      <c r="EH182" s="6">
        <f>COUNTIFS(Table85[Country],Tabela1[[#This Row],[Country]],Table85[Women''s Pursuit Classification],"&gt;0")</f>
        <v>0</v>
      </c>
      <c r="EI182" s="6">
        <f>COUNTIFS(Table9[Country],Tabela1[[#This Row],[Country]],Table9[Time-Trial Classification],"&gt;0")</f>
        <v>0</v>
      </c>
      <c r="EJ182" s="6">
        <f>COUNTIFS(Table14[Country],Tabela1[[#This Row],[Country]],Table14[Time-Trial Classification],"&gt;0")</f>
        <v>0</v>
      </c>
      <c r="EK182" s="6">
        <f>COUNTIFS(Table42[Country],Tabela1[[#This Row],[Country]],Table42[Springboard Classification],"&gt;0")</f>
        <v>0</v>
      </c>
      <c r="EL182" s="6">
        <f>COUNTIFS(Table43[Country],Tabela1[[#This Row],[Country]],Table43[Springboard Classification],"&gt;0")</f>
        <v>0</v>
      </c>
      <c r="EM182" s="6">
        <f>COUNTIFS(Table42[Country],Tabela1[[#This Row],[Country]],Table42[Platform Classification],"&gt;0")</f>
        <v>0</v>
      </c>
      <c r="EN182" s="6">
        <f>COUNTIFS(Table43[Country],Tabela1[[#This Row],[Country]],Table43[Platform Classification],"&gt;0")</f>
        <v>0</v>
      </c>
      <c r="EO182" s="6">
        <f>COUNTIFS(Table86[Country],Tabela1[[#This Row],[Country]],Table86[Men''s Synchronized Springboard Classification],"&gt;0")</f>
        <v>0</v>
      </c>
      <c r="EP182" s="6">
        <f>COUNTIFS(Table86[Country],Tabela1[[#This Row],[Country]],Table86[Women''s Synchronized Springboard Classification],"&gt;0")</f>
        <v>0</v>
      </c>
      <c r="EQ182" s="6">
        <f>COUNTIFS(Table86[Country],Tabela1[[#This Row],[Country]],Table86[Men''s Synchronized Platform Classification],"&gt;0")</f>
        <v>0</v>
      </c>
      <c r="ER182" s="6">
        <f>COUNTIFS(Table86[Country],Tabela1[[#This Row],[Country]],Table86[Women''s Synchronized Platform Classification],"&gt;0")</f>
        <v>0</v>
      </c>
      <c r="ES182" s="6">
        <f>COUNTIFS(Table44[Country],Tabela1[[#This Row],[Country]],Table44[Dressage Classification],"&gt;0")</f>
        <v>0</v>
      </c>
      <c r="ET182" s="6">
        <f>COUNTIFS(Table45[Country],Tabela1[[#This Row],[Country]],Table45[Dressage Classification],"&gt;0")</f>
        <v>0</v>
      </c>
      <c r="EU182" s="6">
        <f>COUNTIFS(Table44[Country],Tabela1[[#This Row],[Country]],Table44[Eventing Classification],"&gt;0")</f>
        <v>0</v>
      </c>
      <c r="EV182" s="6">
        <f>COUNTIFS(Table45[Country],Tabela1[[#This Row],[Country]],Table45[Eventing Classification],"&gt;0")</f>
        <v>0</v>
      </c>
      <c r="EW182" s="6">
        <f>COUNTIFS(Table44[Country],Tabela1[[#This Row],[Country]],Table44[Jumping Classification],"&gt;0")</f>
        <v>0</v>
      </c>
      <c r="EX182" s="6">
        <f>COUNTIFS(Table45[Country],Tabela1[[#This Row],[Country]],Table45[Jumping Classification],"&gt;0")</f>
        <v>0</v>
      </c>
      <c r="EY182" s="6">
        <f>COUNTIFS(Table10[Country],Tabela1[[#This Row],[Country]],Table10[Épée Classification],"&gt;0")</f>
        <v>0</v>
      </c>
      <c r="EZ182" s="6">
        <f>COUNTIFS(Table11[Country],Tabela1[[#This Row],[Country]],Table11[Épée Classification],"&gt;0")</f>
        <v>0</v>
      </c>
      <c r="FA182" s="6">
        <f>COUNTIFS(Table46[Country],Tabela1[[#This Row],[Country]],Table46[Men''s Épée Classification],"&gt;0")</f>
        <v>0</v>
      </c>
      <c r="FB182" s="6">
        <f>COUNTIFS(Table46[Country],Tabela1[[#This Row],[Country]],Table46[Women''s Épée Classification],"&gt;0")</f>
        <v>0</v>
      </c>
      <c r="FC182" s="6">
        <f>COUNTIFS(Table10[Country],Tabela1[[#This Row],[Country]],Table10[Foil Classification],"&gt;0")</f>
        <v>0</v>
      </c>
      <c r="FD182" s="6">
        <f>COUNTIFS(Table11[Country],Tabela1[[#This Row],[Country]],Table11[Foil Classification],"&gt;0")</f>
        <v>0</v>
      </c>
      <c r="FE182" s="6">
        <f>COUNTIFS(Table46[Country],Tabela1[[#This Row],[Country]],Table46[Men''s Foil Classification],"&gt;0")</f>
        <v>0</v>
      </c>
      <c r="FF182" s="6">
        <f>COUNTIFS(Table46[Country],Tabela1[[#This Row],[Country]],Table46[Women''s Foil Classification],"&gt;0")</f>
        <v>0</v>
      </c>
      <c r="FG182" s="6">
        <f>COUNTIFS(Table10[Country],Tabela1[[#This Row],[Country]],Table10[Sabre Classification],"&gt;0")</f>
        <v>0</v>
      </c>
      <c r="FH182" s="6">
        <f>COUNTIFS(Table11[Country],Tabela1[[#This Row],[Country]],Table11[Sabre Classification],"&gt;0")</f>
        <v>0</v>
      </c>
      <c r="FI182" s="6">
        <f>COUNTIFS(Table46[Country],Tabela1[[#This Row],[Country]],Table46[Men''s Sabre Classification],"&gt;0")</f>
        <v>0</v>
      </c>
      <c r="FJ182" s="6">
        <f>COUNTIFS(Table46[Country],Tabela1[[#This Row],[Country]],Table46[Women''s Sabre Classification],"&gt;0")</f>
        <v>0</v>
      </c>
      <c r="FK182" s="6">
        <f>COUNTIFS(Table91[Country],Tabela1[[#This Row],[Country]],Table91[Men''s Classification],"&gt;0")</f>
        <v>0</v>
      </c>
      <c r="FL182" s="6">
        <f>COUNTIFS(Table91[Country],Tabela1[[#This Row],[Country]],Table91[Women''s Classification],"&gt;0")</f>
        <v>0</v>
      </c>
      <c r="FM182" s="6">
        <f>COUNTIFS(Table9194[Country],Tabela1[[#This Row],[Country]],Table9194[Men''s Classification],"&gt;0")</f>
        <v>0</v>
      </c>
      <c r="FN182" s="6">
        <f>COUNTIFS(Table9194[Country],Tabela1[[#This Row],[Country]],Table9194[Women''s Classification],"&gt;0")</f>
        <v>0</v>
      </c>
      <c r="FO182" s="6">
        <f>COUNTIFS(Table71[Country],Tabela1[[#This Row],[Country]],Table71[Classification],"&gt;0")</f>
        <v>0</v>
      </c>
      <c r="FP182" s="6">
        <f>COUNTIFS(Table62[Country],Tabela1[[#This Row],[Country]],Table62[Classification],"&gt;0")</f>
        <v>0</v>
      </c>
      <c r="FQ182" s="6">
        <f>COUNTIFS(Table47[Country],Tabela1[[#This Row],[Country]],Table47[All-Around Classification],"&gt;0")</f>
        <v>0</v>
      </c>
      <c r="FR182" s="6">
        <f>COUNTIFS(Table48[Country],Tabela1[[#This Row],[Country]],Table48[All-Around Classification],"&gt;0")</f>
        <v>0</v>
      </c>
      <c r="FS182" s="6">
        <f>COUNTIFS(Table81[Country],Tabela1[[#This Row],[Country]],Table81[Men''s All-Around Classification],"&gt;0")</f>
        <v>0</v>
      </c>
      <c r="FT182" s="6">
        <f>COUNTIFS(Table81[Country],Tabela1[[#This Row],[Country]],Table81[Women''s All-Around Classification],"&gt;0")</f>
        <v>0</v>
      </c>
      <c r="FU182" s="6">
        <f>COUNTIFS(Table48[Country],Tabela1[[#This Row],[Country]],Table48[Balance Beam Classification],"&gt;0")</f>
        <v>0</v>
      </c>
      <c r="FV182" s="6">
        <f>COUNTIFS(Table47[Country],Tabela1[[#This Row],[Country]],Table47[Floor Exercise Classification],"&gt;0")</f>
        <v>0</v>
      </c>
      <c r="FW182" s="6">
        <f>COUNTIFS(Table48[Country],Tabela1[[#This Row],[Country]],Table48[Floor Exercise Classification],"&gt;0")</f>
        <v>0</v>
      </c>
      <c r="FX182" s="6">
        <f>COUNTIFS(Table47[Country],Tabela1[[#This Row],[Country]],Table47[Horizontal Bar Classification],"&gt;0")</f>
        <v>0</v>
      </c>
      <c r="FY182" s="6">
        <f>COUNTIFS(Table47[Country],Tabela1[[#This Row],[Country]],Table47[Parallel Bars Classification],"&gt;0")</f>
        <v>0</v>
      </c>
      <c r="FZ182" s="6">
        <f>COUNTIFS(Table47[Country],Tabela1[[#This Row],[Country]],Table47[Pommel Horse Classification],"&gt;0")</f>
        <v>0</v>
      </c>
      <c r="GA182" s="6">
        <f>COUNTIFS(Table47[Country],Tabela1[[#This Row],[Country]],Table47[Rings Classification],"&gt;0")</f>
        <v>0</v>
      </c>
      <c r="GB182" s="6">
        <f>COUNTIFS(Tabela132[Country],Tabela1[[#This Row],[Country]],Tabela132[Classification],"&gt;0")</f>
        <v>0</v>
      </c>
      <c r="GC182" s="6">
        <f>COUNTIFS(Tabela139[Country],Tabela1[[#This Row],[Country]],Tabela139[Classification],"&gt;0")</f>
        <v>0</v>
      </c>
      <c r="GD182" s="6">
        <f>COUNTIFS(Table48[Country],Tabela1[[#This Row],[Country]],Table48[Uneven Bars Classification],"&gt;0")</f>
        <v>0</v>
      </c>
      <c r="GE182" s="6">
        <f>COUNTIFS(Table47[Country],Tabela1[[#This Row],[Country]],Table47[Vault Classification],"&gt;0")</f>
        <v>0</v>
      </c>
      <c r="GF182" s="6">
        <f>COUNTIFS(Table48[Country],Tabela1[[#This Row],[Country]],Table48[Vault Classification],"&gt;0")</f>
        <v>0</v>
      </c>
      <c r="GG182" s="6">
        <f>COUNTIFS(Table919496[Country],Tabela1[[#This Row],[Country]],Table919496[Men''s Classification],"&gt;0")</f>
        <v>0</v>
      </c>
      <c r="GH182" s="6">
        <f>COUNTIFS(Table919496[Country],Tabela1[[#This Row],[Country]],Table919496[Women''s Classification],"&gt;0")</f>
        <v>0</v>
      </c>
      <c r="GI182" s="6">
        <f>COUNTIFS(Table12[Country],Tabela1[[#This Row],[Country]],Table12[60kg Classification],"&gt;0")</f>
        <v>0</v>
      </c>
      <c r="GJ182" s="6">
        <f>COUNTIFS(Table12[Country],Tabela1[[#This Row],[Country]],Table12[66kg Classification],"&gt;0")</f>
        <v>0</v>
      </c>
      <c r="GK182" s="6">
        <f>COUNTIFS(Table12[Country],Tabela1[[#This Row],[Country]],Table12[73kg Classification],"&gt;0")</f>
        <v>0</v>
      </c>
      <c r="GL182" s="6">
        <f>COUNTIFS(Table12[Country],Tabela1[[#This Row],[Country]],Table12[81kg Classification],"&gt;0")</f>
        <v>0</v>
      </c>
      <c r="GM182" s="6">
        <f>COUNTIFS(Table12[Country],Tabela1[[#This Row],[Country]],Table12[90kg Classification],"&gt;0")</f>
        <v>0</v>
      </c>
      <c r="GN182" s="6">
        <f>COUNTIFS(Table12[Country],Tabela1[[#This Row],[Country]],Table12[100kg Classification],"&gt;0")</f>
        <v>0</v>
      </c>
      <c r="GO182" s="6">
        <f>COUNTIFS(Table12[Country],Tabela1[[#This Row],[Country]],Table12[Plus 100kg Classification],"&gt;0")</f>
        <v>0</v>
      </c>
      <c r="GP182" s="6">
        <f>COUNTIFS(Table13[Country],Tabela1[[#This Row],[Country]],Table13[48kg Classification],"&gt;0")</f>
        <v>0</v>
      </c>
      <c r="GQ182" s="6">
        <f>COUNTIFS(Table13[Country],Tabela1[[#This Row],[Country]],Table13[52kg Classification],"&gt;0")</f>
        <v>0</v>
      </c>
      <c r="GR182" s="6">
        <f>COUNTIFS(Table13[Country],Tabela1[[#This Row],[Country]],Table13[57kg Classification],"&gt;0")</f>
        <v>0</v>
      </c>
      <c r="GS182" s="6">
        <f>COUNTIFS(Table13[Country],Tabela1[[#This Row],[Country]],Table13[63kg Classification],"&gt;0")</f>
        <v>0</v>
      </c>
      <c r="GT182" s="6">
        <f>COUNTIFS(Table13[Country],Tabela1[[#This Row],[Country]],Table13[70kg Classification],"&gt;0")</f>
        <v>0</v>
      </c>
      <c r="GU182" s="6">
        <f>COUNTIFS(Table13[Country],Tabela1[[#This Row],[Country]],Table13[78kg Classification],"&gt;0")</f>
        <v>0</v>
      </c>
      <c r="GV182" s="6">
        <f>COUNTIFS(Table13[Country],Tabela1[[#This Row],[Country]],Table13[Plus 78kg Classification],"&gt;0")</f>
        <v>0</v>
      </c>
      <c r="GW182" s="6">
        <f>COUNTIFS(Table82[Country],Tabela1[[#This Row],[Country]],Table82[Mixed Classification],"&gt;0")</f>
        <v>0</v>
      </c>
      <c r="GX182" s="6">
        <f>COUNTIFS(Table51[Country],Tabela1[[#This Row],[Country]],Table51[Classification],"&gt;0")</f>
        <v>0</v>
      </c>
      <c r="GY182" s="6">
        <f>COUNTIFS(Table52[Country],Tabela1[[#This Row],[Country]],Table52[Classification],"&gt;0")</f>
        <v>0</v>
      </c>
      <c r="GZ182" s="6">
        <f>COUNTIFS(Table32[Country],Tabela1[[#This Row],[Country]],Table32[All-Around Classification],"&gt;0")</f>
        <v>0</v>
      </c>
      <c r="HA182" s="6">
        <f>COUNTIFS(Table49[Country],Tabela1[[#This Row],[Country]],Table49[All-Around Classification],"&gt;0")</f>
        <v>0</v>
      </c>
      <c r="HB182" s="6">
        <f>COUNTIFS(Table26[Country],Tabela1[[#This Row],[Country]],Table26[Single Sculls Classification],"&gt;0")</f>
        <v>0</v>
      </c>
      <c r="HC182" s="6">
        <f>COUNTIFS(Table63[Country],Tabela1[[#This Row],[Country]],Table63[Single Sculls Classification],"&gt;0")</f>
        <v>0</v>
      </c>
      <c r="HD182" s="6">
        <f>COUNTIFS(Table16[Country],Tabela1[[#This Row],[Country]],Table16[Men''s Double Sculls Classification],"&gt;0")</f>
        <v>0</v>
      </c>
      <c r="HE182" s="6">
        <f>COUNTIFS(Table16[Country],Tabela1[[#This Row],[Country]],Table16[Women''s Double Sculls Classification],"&gt;0")</f>
        <v>0</v>
      </c>
      <c r="HF182" s="6">
        <f>COUNTIFS(Table72[Country],Tabela1[[#This Row],[Country]],Table72[Men''s Quadruple Sculls Classification],"&gt;0")</f>
        <v>0</v>
      </c>
      <c r="HG182" s="6">
        <f>COUNTIFS(Table72[Country],Tabela1[[#This Row],[Country]],Table72[Women''s Quadruple Sculls Classification],"&gt;0")</f>
        <v>0</v>
      </c>
      <c r="HH182" s="6">
        <f>COUNTIFS(Table16[Country],Tabela1[[#This Row],[Country]],Table16[Men''s Coxless Pairs Classification],"&gt;0")</f>
        <v>0</v>
      </c>
      <c r="HI182" s="6">
        <f>COUNTIFS(Table16[Country],Tabela1[[#This Row],[Country]],Table16[Women''s Coxless Pairs Classification],"&gt;0")</f>
        <v>0</v>
      </c>
      <c r="HJ182" s="6">
        <f>COUNTIFS(Table72[Country],Tabela1[[#This Row],[Country]],Table72[Men''s Coxless Fours Classification],"&gt;0")</f>
        <v>0</v>
      </c>
      <c r="HK182" s="6">
        <f>COUNTIFS(Table72[Country],Tabela1[[#This Row],[Country]],Table72[Women''s Coxless Fours Classification],"&gt;0")</f>
        <v>0</v>
      </c>
      <c r="HL182" s="6">
        <f>COUNTIFS(Table72[Country],Tabela1[[#This Row],[Country]],Table72[Men''s Eights Classification],"&gt;0")</f>
        <v>0</v>
      </c>
      <c r="HM182" s="6">
        <f>COUNTIFS(Table72[Country],Tabela1[[#This Row],[Country]],Table72[Women''s Eights Classification],"&gt;0")</f>
        <v>0</v>
      </c>
      <c r="HN182" s="6">
        <f>COUNTIFS(Table16[Country],Tabela1[[#This Row],[Country]],Table16[Men''s Lwt. Double Sculls Classification],"&gt;0")</f>
        <v>0</v>
      </c>
      <c r="HO182" s="6">
        <f>COUNTIFS(Table16[Country],Tabela1[[#This Row],[Country]],Table16[Women''s Lwt. Double Sculls Classification],"&gt;0")</f>
        <v>0</v>
      </c>
      <c r="HP182" s="6">
        <f>COUNTIFS(Table91949698[Country],Tabela1[[#This Row],[Country]],Table91949698[Men''s Classification],"&gt;0")</f>
        <v>0</v>
      </c>
      <c r="HQ182" s="6">
        <f>COUNTIFS(Table91949698[Country],Tabela1[[#This Row],[Country]],Table91949698[Women''s Classification],"&gt;0")</f>
        <v>0</v>
      </c>
      <c r="HR182" s="6">
        <f>COUNTIFS(Table25[Country],Tabela1[[#This Row],[Country]],Table25[Mixed 470 Classification],"&gt;0")</f>
        <v>0</v>
      </c>
      <c r="HS182" s="6">
        <f>COUNTIFS(Table25[Country],Tabela1[[#This Row],[Country]],Table25[Men''s 49er Classification],"&gt;0")</f>
        <v>0</v>
      </c>
      <c r="HT182" s="6">
        <f>COUNTIFS(Table25[Country],Tabela1[[#This Row],[Country]],Table25[Women''s 49er FX Classification],"&gt;0")</f>
        <v>0</v>
      </c>
      <c r="HU182" s="6">
        <f>COUNTIFS(Table17[Country],Tabela1[[#This Row],[Country]],Table17[Formula Kite Classification],"&gt;0")</f>
        <v>0</v>
      </c>
      <c r="HV182" s="6">
        <f>COUNTIFS(Table18[Country],Tabela1[[#This Row],[Country]],Table18[Formula Kite Classification],"&gt;0")</f>
        <v>0</v>
      </c>
      <c r="HW182" s="6">
        <f>COUNTIFS(Table17[Country],Tabela1[[#This Row],[Country]],Table17[ILCA 7 Classification],"&gt;0")</f>
        <v>0</v>
      </c>
      <c r="HX182" s="6">
        <f>COUNTIFS(Table18[Country],Tabela1[[#This Row],[Country]],Table18[ILCA 6 Classification],"&gt;0")</f>
        <v>0</v>
      </c>
      <c r="HY182" s="6">
        <f>COUNTIFS(Table17[Country],Tabela1[[#This Row],[Country]],Table17[IQFoil Classification],"&gt;0")</f>
        <v>0</v>
      </c>
      <c r="HZ182" s="6">
        <f>COUNTIFS(Table18[Country],Tabela1[[#This Row],[Country]],Table18[IQFoil Classification],"&gt;0")</f>
        <v>0</v>
      </c>
      <c r="IA182" s="6">
        <f>COUNTIFS(Table25[Country],Tabela1[[#This Row],[Country]],Table25[Mixed Nacra 17 Classification],"&gt;0")</f>
        <v>0</v>
      </c>
      <c r="IB182" s="6">
        <f>COUNTIFS(Table53[Country],Tabela1[[#This Row],[Country]],Table53[10m Air Pistol Classification],"&gt;0")</f>
        <v>0</v>
      </c>
      <c r="IC182" s="6">
        <f>COUNTIFS(Table19[Country],Tabela1[[#This Row],[Country]],Table19[10m Air Pistol Classification],"&gt;0")</f>
        <v>0</v>
      </c>
      <c r="ID182" s="6">
        <f>COUNTIFS(Table54[Country],Tabela1[[#This Row],[Country]],Table54[Mixed 10m Air Pistol Team Classification],"&gt;0")</f>
        <v>0</v>
      </c>
      <c r="IE182" s="6">
        <f>COUNTIFS(Table53[Country],Tabela1[[#This Row],[Country]],Table53[10m Air Rifle Classification],"&gt;0")</f>
        <v>0</v>
      </c>
      <c r="IF182" s="6">
        <f>COUNTIFS(Table19[Country],Tabela1[[#This Row],[Country]],Table19[10m Air Rifle Classification],"&gt;0")</f>
        <v>0</v>
      </c>
      <c r="IG182" s="6">
        <f>COUNTIFS(Table54[Country],Tabela1[[#This Row],[Country]],Table54[Mixed 10m Air Rifle Team Classification],"&gt;0")</f>
        <v>0</v>
      </c>
      <c r="IH182" s="6">
        <f>COUNTIFS(Table53[Country],Tabela1[[#This Row],[Country]],Table53[25m Rapid Fire Pistol Classification],"&gt;0")</f>
        <v>0</v>
      </c>
      <c r="II182" s="6">
        <f>COUNTIFS(Table19[Country],Tabela1[[#This Row],[Country]],Table19[25m Pistol Classification],"&gt;0")</f>
        <v>0</v>
      </c>
      <c r="IJ182" s="6">
        <f>COUNTIFS(Table53[Country],Tabela1[[#This Row],[Country]],Table53[50m Rifle 3 Positions Classification],"&gt;0")</f>
        <v>0</v>
      </c>
      <c r="IK182" s="6">
        <f>COUNTIFS(Table19[Country],Tabela1[[#This Row],[Country]],Table19[50m Rifle 3 Positions Classification],"&gt;0")</f>
        <v>0</v>
      </c>
      <c r="IL182" s="6">
        <f>COUNTIFS(Table53[Country],Tabela1[[#This Row],[Country]],Table53[Skeet Classification],"&gt;0")</f>
        <v>0</v>
      </c>
      <c r="IM182" s="6">
        <f>COUNTIFS(Table19[Country],Tabela1[[#This Row],[Country]],Table19[Skeet Classification],"&gt;0")</f>
        <v>0</v>
      </c>
      <c r="IN182" s="6">
        <f>COUNTIFS(Table54[Country],Tabela1[[#This Row],[Country]],Table54[Mixed Skeet Team Classification],"&gt;0")</f>
        <v>0</v>
      </c>
      <c r="IO182" s="6">
        <f>COUNTIFS(Table53[Country],Tabela1[[#This Row],[Country]],Table53[Trap Classification],"&gt;0")</f>
        <v>0</v>
      </c>
      <c r="IP182" s="6">
        <f>COUNTIFS(Table19[Country],Tabela1[[#This Row],[Country]],Table19[Trap Classification],"&gt;0")</f>
        <v>0</v>
      </c>
      <c r="IQ182" s="6">
        <f>COUNTIFS(Table73[Country],Tabela1[[#This Row],[Country]],Table73[Park Classification],"&gt;0")</f>
        <v>0</v>
      </c>
      <c r="IR182" s="6">
        <f>COUNTIFS(Table74[Country],Tabela1[[#This Row],[Country]],Table74[Park Classification],"&gt;0")</f>
        <v>0</v>
      </c>
      <c r="IS182" s="6">
        <f>COUNTIFS(Table73[Country],Tabela1[[#This Row],[Country]],Table73[Street Classification],"&gt;0")</f>
        <v>0</v>
      </c>
      <c r="IT182" s="6">
        <f>COUNTIFS(Table74[Country],Tabela1[[#This Row],[Country]],Table74[Street Classification],"&gt;0")</f>
        <v>0</v>
      </c>
      <c r="IU182" s="6">
        <f>COUNTIFS(Table75[Country],Tabela1[[#This Row],[Country]],Table75[Boulder and Lead Classification],"&gt;0")</f>
        <v>0</v>
      </c>
      <c r="IV182" s="6">
        <f>COUNTIFS(Table76[Country],Tabela1[[#This Row],[Country]],Table76[Boulder and Lead Classification],"&gt;0")</f>
        <v>0</v>
      </c>
      <c r="IW182" s="6">
        <f>COUNTIFS(Table75[Country],Tabela1[[#This Row],[Country]],Table75[Speed Classification],"&gt;0")</f>
        <v>0</v>
      </c>
      <c r="IX182" s="6">
        <f>COUNTIFS(Table76[Country],Tabela1[[#This Row],[Country]],Table76[Speed Classification],"&gt;0")</f>
        <v>0</v>
      </c>
      <c r="IY182" s="6">
        <f>COUNTIFS(Table64[Country],Tabela1[[#This Row],[Country]],Table64[Shortboard Classification],"&gt;0")</f>
        <v>0</v>
      </c>
      <c r="IZ182" s="6">
        <f>COUNTIFS(Table77[Country],Tabela1[[#This Row],[Country]],Table77[Shortboard Classification],"&gt;0")</f>
        <v>0</v>
      </c>
      <c r="JA182" s="6">
        <f>COUNTIFS(Table20[Country],Tabela1[[#This Row],[Country]],Table20[50m Freestyle Classification],"&gt;0")</f>
        <v>0</v>
      </c>
      <c r="JB182" s="6">
        <f>COUNTIFS(Table21[Country],Tabela1[[#This Row],[Country]],Table21[50m Freestyle Classification],"&gt;0")</f>
        <v>0</v>
      </c>
      <c r="JC182" s="6">
        <f>COUNTIFS(Table20[Country],Tabela1[[#This Row],[Country]],Table20[100m Freestyle Classification],"&gt;0")</f>
        <v>0</v>
      </c>
      <c r="JD182" s="6">
        <f>COUNTIFS(Table21[Country],Tabela1[[#This Row],[Country]],Table21[100m Freestyle Classification],"&gt;0")</f>
        <v>0</v>
      </c>
      <c r="JE182" s="6">
        <f>COUNTIFS(Table20[Country],Tabela1[[#This Row],[Country]],Table20[200m Freestyle Classification],"&gt;0")</f>
        <v>0</v>
      </c>
      <c r="JF182" s="6">
        <f>COUNTIFS(Table21[Country],Tabela1[[#This Row],[Country]],Table21[200m Freestyle Classification],"&gt;0")</f>
        <v>0</v>
      </c>
      <c r="JG182" s="6">
        <f>COUNTIFS(Table20[Country],Tabela1[[#This Row],[Country]],Table20[400m Freestyle Classification],"&gt;0")</f>
        <v>0</v>
      </c>
      <c r="JH182" s="6">
        <f>COUNTIFS(Table21[Country],Tabela1[[#This Row],[Country]],Table21[400m Freestyle Classification],"&gt;0")</f>
        <v>0</v>
      </c>
      <c r="JI182" s="6">
        <f>COUNTIFS(Table20[Country],Tabela1[[#This Row],[Country]],Table20[800m Freestyle Classification],"&gt;0")</f>
        <v>0</v>
      </c>
      <c r="JJ182" s="6">
        <f>COUNTIFS(Table21[Country],Tabela1[[#This Row],[Country]],Table21[800m Freestyle Classification],"&gt;0")</f>
        <v>0</v>
      </c>
      <c r="JK182" s="6">
        <f>COUNTIFS(Table20[Country],Tabela1[[#This Row],[Country]],Table20[1500m Freestyle Classification],"&gt;0")</f>
        <v>0</v>
      </c>
      <c r="JL182" s="6">
        <f>COUNTIFS(Table21[Country],Tabela1[[#This Row],[Country]],Table21[1500m Freestyle Classification],"&gt;0")</f>
        <v>0</v>
      </c>
      <c r="JM182" s="6">
        <f>COUNTIFS(Table20[Country],Tabela1[[#This Row],[Country]],Table20[100m Backstroke Classification],"&gt;0")</f>
        <v>0</v>
      </c>
      <c r="JN182" s="6">
        <f>COUNTIFS(Table21[Country],Tabela1[[#This Row],[Country]],Table21[100m Backstroke Classification],"&gt;0")</f>
        <v>0</v>
      </c>
      <c r="JO182" s="6">
        <f>COUNTIFS(Table20[Country],Tabela1[[#This Row],[Country]],Table20[200m Backstroke Classification],"&gt;0")</f>
        <v>0</v>
      </c>
      <c r="JP182" s="6">
        <f>COUNTIFS(Table21[Country],Tabela1[[#This Row],[Country]],Table21[200m Backstroke Classification],"&gt;0")</f>
        <v>0</v>
      </c>
      <c r="JQ182" s="6">
        <f>COUNTIFS(Table20[Country],Tabela1[[#This Row],[Country]],Table20[100m Breaststroke Classification],"&gt;0")</f>
        <v>0</v>
      </c>
      <c r="JR182" s="6">
        <f>COUNTIFS(Table21[Country],Tabela1[[#This Row],[Country]],Table21[100m Breaststroke Classification],"&gt;0")</f>
        <v>0</v>
      </c>
      <c r="JS182" s="6">
        <f>COUNTIFS(Table20[Country],Tabela1[[#This Row],[Country]],Table20[200m Breaststroke Classification],"&gt;0")</f>
        <v>0</v>
      </c>
      <c r="JT182" s="6">
        <f>COUNTIFS(Table21[Country],Tabela1[[#This Row],[Country]],Table21[200m Breaststroke Classification],"&gt;0")</f>
        <v>0</v>
      </c>
      <c r="JU182" s="6">
        <f>COUNTIFS(Table20[Country],Tabela1[[#This Row],[Country]],Table20[100m Butterfly Classification],"&gt;0")</f>
        <v>0</v>
      </c>
      <c r="JV182" s="6">
        <f>COUNTIFS(Table21[Country],Tabela1[[#This Row],[Country]],Table21[100m Butterfly Classification],"&gt;0")</f>
        <v>0</v>
      </c>
      <c r="JW182" s="6">
        <f>COUNTIFS(Table20[Country],Tabela1[[#This Row],[Country]],Table20[200m Butterfly Classification],"&gt;0")</f>
        <v>0</v>
      </c>
      <c r="JX182" s="6">
        <f>COUNTIFS(Table21[Country],Tabela1[[#This Row],[Country]],Table21[200m Butterfly Classification],"&gt;0")</f>
        <v>0</v>
      </c>
      <c r="JY182" s="6">
        <f>COUNTIFS(Table20[Country],Tabela1[[#This Row],[Country]],Table20[200m Medley Classification],"&gt;0")</f>
        <v>0</v>
      </c>
      <c r="JZ182" s="6">
        <f>COUNTIFS(Table21[Country],Tabela1[[#This Row],[Country]],Table21[200m Medley Classification],"&gt;0")</f>
        <v>0</v>
      </c>
      <c r="KA182" s="6">
        <f>COUNTIFS(Table20[Country],Tabela1[[#This Row],[Country]],Table20[400m Medley Classification],"&gt;0")</f>
        <v>0</v>
      </c>
      <c r="KB182" s="6">
        <f>COUNTIFS(Table21[Country],Tabela1[[#This Row],[Country]],Table21[400m Medley Classification],"&gt;0")</f>
        <v>0</v>
      </c>
      <c r="KC182" s="6">
        <f>COUNTIFS(Table78[Country],Tabela1[[#This Row],[Country]],Table78[Men''s 4x100m Freestyle Relay Classification],"&gt;0")</f>
        <v>0</v>
      </c>
      <c r="KD182" s="6">
        <f>COUNTIFS(Table78[Country],Tabela1[[#This Row],[Country]],Table78[Women''s 4x100m Freestyle Relay Classification],"&gt;0")</f>
        <v>0</v>
      </c>
      <c r="KE182" s="6">
        <f>COUNTIFS(Table78[Country],Tabela1[[#This Row],[Country]],Table78[Men''s 4x200m Freestyle Relay Classification],"&gt;0")</f>
        <v>0</v>
      </c>
      <c r="KF182" s="6">
        <f>COUNTIFS(Table78[Country],Tabela1[[#This Row],[Country]],Table78[Women''s 4x200m Freestyle Relay Classification],"&gt;0")</f>
        <v>0</v>
      </c>
      <c r="KG182" s="6">
        <f>COUNTIFS(Table78[Country],Tabela1[[#This Row],[Country]],Table78[Men''s 4x100m Medley Relay Classification],"&gt;0")</f>
        <v>0</v>
      </c>
      <c r="KH182" s="6">
        <f>COUNTIFS(Table78[Country],Tabela1[[#This Row],[Country]],Table78[Women''s 4x100m Medley Relay Classification],"&gt;0")</f>
        <v>0</v>
      </c>
      <c r="KI182" s="6">
        <f>COUNTIFS(Table78[Country],Tabela1[[#This Row],[Country]],Table78[Mixed 4x100m Medley Relay Classification],"&gt;0")</f>
        <v>0</v>
      </c>
      <c r="KJ182" s="6">
        <f>COUNTIFS(Table20[Country],Tabela1[[#This Row],[Country]],Table20[10km Open Water Classification],"&gt;0")</f>
        <v>0</v>
      </c>
      <c r="KK182" s="6">
        <f>COUNTIFS(Table21[Country],Tabela1[[#This Row],[Country]],Table21[10km Open Water Classification],"&gt;0")</f>
        <v>0</v>
      </c>
      <c r="KL182" s="6">
        <f>COUNTIFS(Table22[Country],Tabela1[[#This Row],[Country]],Table22[Classification],"&gt;0")</f>
        <v>0</v>
      </c>
      <c r="KM182" s="6">
        <f>COUNTIFS(Table30[Country],Tabela1[[#This Row],[Country]],Table30[Classification],"&gt;0")</f>
        <v>0</v>
      </c>
      <c r="KN182" s="6">
        <f>COUNTIFS(Table55[Country],Tabela1[[#This Row],[Country]],Table55[Men''s Classification],"&gt;0")</f>
        <v>0</v>
      </c>
      <c r="KO182" s="6">
        <f>COUNTIFS(Table55[Country],Tabela1[[#This Row],[Country]],Table55[Women''s Classification],"&gt;0")</f>
        <v>0</v>
      </c>
      <c r="KP182" s="6">
        <f>COUNTIFS(Table56[Country],Tabela1[[#This Row],[Country]],Table56[Mixed Classification],"&gt;0")</f>
        <v>0</v>
      </c>
      <c r="KQ182" s="6">
        <f>COUNTIFS(Table29[Country],Tabela1[[#This Row],[Country]],Table29[58kg Classification],"&gt;0")</f>
        <v>0</v>
      </c>
      <c r="KR182" s="6">
        <f>COUNTIFS(Table29[Country],Tabela1[[#This Row],[Country]],Table29[68kg Classification],"&gt;0")</f>
        <v>0</v>
      </c>
      <c r="KS182" s="6">
        <f>COUNTIFS(Table29[Country],Tabela1[[#This Row],[Country]],Table29[80kg Classification],"&gt;0")</f>
        <v>0</v>
      </c>
      <c r="KT182" s="6">
        <f>COUNTIFS(Table29[Country],Tabela1[[#This Row],[Country]],Table29[Plus 80kg Classification],"&gt;0")</f>
        <v>0</v>
      </c>
      <c r="KU182" s="6">
        <f>COUNTIFS(Table34[Country],Tabela1[[#This Row],[Country]],Table34[49kg Classification],"&gt;0")</f>
        <v>0</v>
      </c>
      <c r="KV182" s="6">
        <f>COUNTIFS(Table34[Country],Tabela1[[#This Row],[Country]],Table34[57kg Classification],"&gt;0")</f>
        <v>0</v>
      </c>
      <c r="KW182" s="6">
        <f>COUNTIFS(Table34[Country],Tabela1[[#This Row],[Country]],Table34[67kg Classification],"&gt;0")</f>
        <v>0</v>
      </c>
      <c r="KX182" s="6">
        <f>COUNTIFS(Table34[Country],Tabela1[[#This Row],[Country]],Table34[Plus 67kg Classification],"&gt;0")</f>
        <v>0</v>
      </c>
      <c r="KY182" s="6">
        <f>COUNTIFS(Table57[Country],Tabela1[[#This Row],[Country]],Table57[Classification],"&gt;0")</f>
        <v>0</v>
      </c>
      <c r="KZ182" s="6">
        <f>COUNTIFS(Table58[Country],Tabela1[[#This Row],[Country]],Table58[Classification],"&gt;0")</f>
        <v>0</v>
      </c>
      <c r="LA182" s="6">
        <f>COUNTIFS(Table79[Country],Tabela1[[#This Row],[Country]],Table79[Men''s Classification],"&gt;0")</f>
        <v>0</v>
      </c>
      <c r="LB182" s="6">
        <f>COUNTIFS(Table79[Country],Tabela1[[#This Row],[Country]],Table79[Women''s Classification],"&gt;0")</f>
        <v>0</v>
      </c>
      <c r="LC182" s="6">
        <f>COUNTIFS(Table79[Country],Tabela1[[#This Row],[Country]],Table79[Mixed Classification],"&gt;0")</f>
        <v>0</v>
      </c>
      <c r="LD182" s="6">
        <f>COUNTIFS(Table65[Country],Tabela1[[#This Row],[Country]],Table65[Classification],"&gt;0")</f>
        <v>0</v>
      </c>
      <c r="LE182" s="6">
        <f>COUNTIFS(Table59[Country],Tabela1[[#This Row],[Country]],Table59[Classification],"&gt;0")</f>
        <v>0</v>
      </c>
      <c r="LF182" s="6">
        <f>COUNTIFS(Table87[Country],Tabela1[[#This Row],[Country]],Table87[Mixed Relay Classification],"&gt;0")</f>
        <v>0</v>
      </c>
      <c r="LG182" s="6">
        <f>COUNTIFS(Table91949698100[Country],Tabela1[[#This Row],[Country]],Table91949698100[Men''s Classification],"&gt;0")</f>
        <v>0</v>
      </c>
      <c r="LH182" s="6">
        <f>COUNTIFS(Table91949698100[Country],Tabela1[[#This Row],[Country]],Table91949698100[Women''s Classification],"&gt;0")</f>
        <v>0</v>
      </c>
      <c r="LI182" s="6">
        <f>COUNTIFS(Table91949698100102[Country],Tabela1[[#This Row],[Country]],Table91949698100102[Men''s Classification],"&gt;0")</f>
        <v>0</v>
      </c>
      <c r="LJ182" s="6">
        <f>COUNTIFS(Table91949698100102[Country],Tabela1[[#This Row],[Country]],Table91949698100102[Women''s Classification],"&gt;0")</f>
        <v>0</v>
      </c>
      <c r="LK182" s="6">
        <f>COUNTIFS(Table23[Country],Tabela1[[#This Row],[Country]],Table23[61kg Classification],"&gt;0")</f>
        <v>0</v>
      </c>
      <c r="LL182" s="6">
        <f>COUNTIFS(Table23[Country],Tabela1[[#This Row],[Country]],Table23[73kg Classification],"&gt;0")</f>
        <v>0</v>
      </c>
      <c r="LM182" s="6">
        <f>COUNTIFS(Table23[Country],Tabela1[[#This Row],[Country]],Table23[89kg Classification],"&gt;0")</f>
        <v>0</v>
      </c>
      <c r="LN182" s="6">
        <f>COUNTIFS(Table23[Country],Tabela1[[#This Row],[Country]],Table23[102kg Classification],"&gt;0")</f>
        <v>0</v>
      </c>
      <c r="LO182" s="6">
        <f>COUNTIFS(Table23[Country],Tabela1[[#This Row],[Country]],Table23[Plus 102kg Classification],"&gt;0")</f>
        <v>0</v>
      </c>
      <c r="LP182" s="6">
        <f>COUNTIFS(Table28[Country],Tabela1[[#This Row],[Country]],Table28[49kg Classification],"&gt;0")</f>
        <v>0</v>
      </c>
      <c r="LQ182" s="6">
        <f>COUNTIFS(Table28[Country],Tabela1[[#This Row],[Country]],Table28[59kg Classification],"&gt;0")</f>
        <v>0</v>
      </c>
      <c r="LR182" s="6">
        <f>COUNTIFS(Table28[Country],Tabela1[[#This Row],[Country]],Table28[71kg Classification],"&gt;0")</f>
        <v>0</v>
      </c>
      <c r="LS182" s="6">
        <f>COUNTIFS(Table28[Country],Tabela1[[#This Row],[Country]],Table28[81kg Classification],"&gt;0")</f>
        <v>0</v>
      </c>
      <c r="LT182" s="6">
        <f>COUNTIFS(Table28[Country],Tabela1[[#This Row],[Country]],Table28[Plus 81kg Classification],"&gt;0")</f>
        <v>0</v>
      </c>
      <c r="LU182" s="6">
        <f>COUNTIFS(Table24[Country],Tabela1[[#This Row],[Country]],Table24[Freestyle 57kg Classification],"&gt;0")</f>
        <v>0</v>
      </c>
      <c r="LV182" s="6">
        <f>COUNTIFS(Table24[Country],Tabela1[[#This Row],[Country]],Table24[Freestyle 65kg Classification],"&gt;0")</f>
        <v>0</v>
      </c>
      <c r="LW182" s="6">
        <f>COUNTIFS(Table24[Country],Tabela1[[#This Row],[Country]],Table24[Freestyle 74kg Classification],"&gt;0")</f>
        <v>0</v>
      </c>
      <c r="LX182" s="6">
        <f>COUNTIFS(Table24[Country],Tabela1[[#This Row],[Country]],Table24[Freestyle 86kg Classification],"&gt;0")</f>
        <v>0</v>
      </c>
      <c r="LY182" s="6">
        <f>COUNTIFS(Table24[Country],Tabela1[[#This Row],[Country]],Table24[Freestyle 97kg Classification],"&gt;0")</f>
        <v>0</v>
      </c>
      <c r="LZ182" s="6">
        <f>COUNTIFS(Table24[Country],Tabela1[[#This Row],[Country]],Table24[Freestyle 125kg Classification],"&gt;0")</f>
        <v>0</v>
      </c>
      <c r="MA182" s="6">
        <f>COUNTIFS(Table24[Country],Tabela1[[#This Row],[Country]],Table24[Greco-Roman 60kg Classification],"&gt;0")</f>
        <v>0</v>
      </c>
      <c r="MB182" s="6">
        <f>COUNTIFS(Table24[Country],Tabela1[[#This Row],[Country]],Table24[Greco-Roman 67kg Classification],"&gt;0")</f>
        <v>0</v>
      </c>
      <c r="MC182" s="6">
        <f>COUNTIFS(Table24[Country],Tabela1[[#This Row],[Country]],Table24[Greco-Roman 77kg Classification],"&gt;0")</f>
        <v>0</v>
      </c>
      <c r="MD182" s="6">
        <f>COUNTIFS(Table24[Country],Tabela1[[#This Row],[Country]],Table24[Greco-Roman 87kg Classification],"&gt;0")</f>
        <v>0</v>
      </c>
      <c r="ME182" s="6">
        <f>COUNTIFS(Table24[Country],Tabela1[[#This Row],[Country]],Table24[Greco-Roman 97kg Classification],"&gt;0")</f>
        <v>0</v>
      </c>
      <c r="MF182" s="6">
        <f>COUNTIFS(Table24[Country],Tabela1[[#This Row],[Country]],Table24[Greco-Roman 130kg Classification],"&gt;0")</f>
        <v>0</v>
      </c>
      <c r="MG182" s="6">
        <f>COUNTIFS(Table31[Country],Tabela1[[#This Row],[Country]],Table31[50kg Classification],"&gt;0")</f>
        <v>0</v>
      </c>
      <c r="MH182" s="6">
        <f>COUNTIFS(Table31[Country],Tabela1[[#This Row],[Country]],Table31[53kg Classification],"&gt;0")</f>
        <v>0</v>
      </c>
      <c r="MI182" s="6">
        <f>COUNTIFS(Table31[Country],Tabela1[[#This Row],[Country]],Table31[57kg Classification],"&gt;0")</f>
        <v>0</v>
      </c>
      <c r="MJ182" s="6">
        <f>COUNTIFS(Table31[Country],Tabela1[[#This Row],[Country]],Table31[62kg Classification],"&gt;0")</f>
        <v>0</v>
      </c>
      <c r="MK182" s="6">
        <f>COUNTIFS(Table31[Country],Tabela1[[#This Row],[Country]],Table31[68kg Classification],"&gt;0")</f>
        <v>0</v>
      </c>
      <c r="ML182" s="6">
        <f>COUNTIFS(Table31[Country],Tabela1[[#This Row],[Country]],Table31[76kg Classification],"&gt;0")</f>
        <v>0</v>
      </c>
      <c r="MM182" s="6">
        <f>COUNTIFS(Table102[Country],Tabela1[[#This Row],[Country]],Table102[Downhill Classification],"&gt;0")</f>
        <v>0</v>
      </c>
      <c r="MN182" s="6">
        <f>COUNTIFS(Table102105[Country],Tabela1[[#This Row],[Country]],Table102105[Downhill Classification],"&gt;0")</f>
        <v>0</v>
      </c>
      <c r="MO182" s="6">
        <f>COUNTIFS(Table102[Country],Tabela1[[#This Row],[Country]],Table102[Giant Slalom Classification],"&gt;0")</f>
        <v>0</v>
      </c>
      <c r="MP182" s="6">
        <f>COUNTIFS(Table102105[Country],Tabela1[[#This Row],[Country]],Table102105[Giant Slalom Classification],"&gt;0")</f>
        <v>0</v>
      </c>
      <c r="MQ182" s="6">
        <f>COUNTIFS(Table102[Country],Tabela1[[#This Row],[Country]],Table102[Slalom Classification],"&gt;0")</f>
        <v>0</v>
      </c>
      <c r="MR182" s="6">
        <f>COUNTIFS(Table102105[Country],Tabela1[[#This Row],[Country]],Table102105[Slalom Classification],"&gt;0")</f>
        <v>0</v>
      </c>
      <c r="MS182" s="6">
        <f>COUNTIFS(Table102[Country],Tabela1[[#This Row],[Country]],Table102[Super-G Classification],"&gt;0")</f>
        <v>0</v>
      </c>
      <c r="MT182" s="6">
        <f>COUNTIFS(Table102105[Country],Tabela1[[#This Row],[Country]],Table102105[Super-G Classification],"&gt;0")</f>
        <v>0</v>
      </c>
      <c r="MU182" s="6">
        <f>COUNTIFS(Table105[Country],Tabela1[[#This Row],[Country]],Table105[Men''s Combined Classification],"&gt;0")</f>
        <v>0</v>
      </c>
      <c r="MV182" s="6">
        <f>COUNTIFS(Table105[Country],Tabela1[[#This Row],[Country]],Table105[Women''s Combined Classification],"&gt;0")</f>
        <v>0</v>
      </c>
      <c r="MW182" s="6">
        <f>COUNTIFS(Table106[Country],Tabela1[[#This Row],[Country]],Table106[Individual Classification],"&gt;0")</f>
        <v>0</v>
      </c>
      <c r="MX182" s="6">
        <f>COUNTIFS(Table106109[Country],Tabela1[[#This Row],[Country]],Table106109[Individual Classification],"&gt;0")</f>
        <v>0</v>
      </c>
      <c r="MY182" s="6">
        <f>COUNTIFS(Table106[Country],Tabela1[[#This Row],[Country]],Table106[Mass Start Classification],"&gt;0")</f>
        <v>0</v>
      </c>
      <c r="MZ182" s="6">
        <f>COUNTIFS(Table106109[Country],Tabela1[[#This Row],[Country]],Table106109[Mass Start Classification],"&gt;0")</f>
        <v>0</v>
      </c>
      <c r="NA182" s="6">
        <f>COUNTIFS(Table106[Country],Tabela1[[#This Row],[Country]],Table106[Pursuit Classification],"&gt;0")</f>
        <v>0</v>
      </c>
      <c r="NB182" s="6">
        <f>COUNTIFS(Table106109[Country],Tabela1[[#This Row],[Country]],Table106109[Pursuit Classification],"&gt;0")</f>
        <v>0</v>
      </c>
      <c r="NC182" s="6">
        <f>COUNTIFS(Table106[Country],Tabela1[[#This Row],[Country]],Table106[Sprint Classification],"&gt;0")</f>
        <v>0</v>
      </c>
      <c r="ND182" s="6">
        <f>COUNTIFS(Table106109[Country],Tabela1[[#This Row],[Country]],Table106109[Sprint Classification],"&gt;0")</f>
        <v>0</v>
      </c>
      <c r="NE182" s="6">
        <f>COUNTIFS(Table109[Country],Tabela1[[#This Row],[Country]],Table109[Men''s Relay Classification],"&gt;0")</f>
        <v>0</v>
      </c>
      <c r="NF182" s="6">
        <f>COUNTIFS(Table109[Country],Tabela1[[#This Row],[Country]],Table109[Women''s Relay Classification],"&gt;0")</f>
        <v>0</v>
      </c>
      <c r="NG182" s="6">
        <f>COUNTIFS(Table109[Country],Tabela1[[#This Row],[Country]],Table109[Mixed Relay Classification],"&gt;0")</f>
        <v>0</v>
      </c>
      <c r="NH182" s="6">
        <f>COUNTIFS(Table110[Country],Tabela1[[#This Row],[Country]],Table110[Monobob Classification],"&gt;0")</f>
        <v>0</v>
      </c>
      <c r="NI182" s="6">
        <f>COUNTIFS(Table111[Country],Tabela1[[#This Row],[Country]],Table111[Men''s Classification],"&gt;0")</f>
        <v>0</v>
      </c>
      <c r="NJ182" s="6">
        <f>COUNTIFS(Table111[Country],Tabela1[[#This Row],[Country]],Table111[Women''s Classification],"&gt;0")</f>
        <v>0</v>
      </c>
      <c r="NK182" s="6">
        <f>COUNTIFS(Table112[Country],Tabela1[[#This Row],[Country]],Table112[Men''s Four Classification],"&gt;0")</f>
        <v>0</v>
      </c>
      <c r="NL182" s="6">
        <f>COUNTIFS(Table113[Country],Tabela1[[#This Row],[Country]],Table113[Classical Classification],"&gt;0")</f>
        <v>0</v>
      </c>
      <c r="NM182" s="6">
        <f>COUNTIFS(Table113116[Country],Tabela1[[#This Row],[Country]],Table113116[Classical Classification],"&gt;0")</f>
        <v>0</v>
      </c>
      <c r="NN182" s="6">
        <f>COUNTIFS(Table113[Country],Tabela1[[#This Row],[Country]],Table113[Freestyle Classification],"&gt;0")</f>
        <v>0</v>
      </c>
      <c r="NO182" s="6">
        <f>COUNTIFS(Table113116[Country],Tabela1[[#This Row],[Country]],Table113116[Freestyle Classification],"&gt;0")</f>
        <v>0</v>
      </c>
      <c r="NP182" s="6">
        <f>COUNTIFS(Table117[Country],Tabela1[[#This Row],[Country]],Table117[Men''s Relay Classification],"&gt;0")</f>
        <v>0</v>
      </c>
      <c r="NQ182" s="6">
        <f>COUNTIFS(Table117[Country],Tabela1[[#This Row],[Country]],Table117[Women''s Relay Classification],"&gt;0")</f>
        <v>0</v>
      </c>
      <c r="NR182" s="6">
        <f>COUNTIFS(Table113[Country],Tabela1[[#This Row],[Country]],Table113[Skiathlon Classification],"&gt;0")</f>
        <v>0</v>
      </c>
      <c r="NS182" s="6">
        <f>COUNTIFS(Table113116[Country],Tabela1[[#This Row],[Country]],Table113116[Skiathlon Classification],"&gt;0")</f>
        <v>0</v>
      </c>
      <c r="NT182" s="6">
        <f>COUNTIFS(Table113[Country],Tabela1[[#This Row],[Country]],Table113[Sprint Classification],"&gt;0")</f>
        <v>0</v>
      </c>
      <c r="NU182" s="6">
        <f>COUNTIFS(Table113116[Country],Tabela1[[#This Row],[Country]],Table113116[Sprint Classification],"&gt;0")</f>
        <v>0</v>
      </c>
      <c r="NV182" s="6">
        <f>COUNTIFS(Table116[Country],Tabela1[[#This Row],[Country]],Table116[Men''s Team Sprint Classification],"&gt;0")</f>
        <v>0</v>
      </c>
      <c r="NW182" s="6">
        <f>COUNTIFS(Table116[Country],Tabela1[[#This Row],[Country]],Table116[Women''s Team Sprint Classification],"&gt;0")</f>
        <v>0</v>
      </c>
      <c r="NX182" s="6">
        <f>COUNTIFS(Table119[Country],Tabela1[[#This Row],[Country]],Table119[Men''s Classification],"&gt;0")</f>
        <v>0</v>
      </c>
      <c r="NY182" s="6">
        <f>COUNTIFS(Table119[Country],Tabela1[[#This Row],[Country]],Table119[Women''s Classification],"&gt;0")</f>
        <v>0</v>
      </c>
      <c r="NZ182" s="6">
        <f>COUNTIFS(Table118[Country],Tabela1[[#This Row],[Country]],Table118[Mixed Classification],"&gt;0")</f>
        <v>0</v>
      </c>
      <c r="OA182" s="6">
        <f>COUNTIFS(Table120[Country],Tabela1[[#This Row],[Country]],Table120[Classification],"&gt;0")</f>
        <v>0</v>
      </c>
      <c r="OB182" s="6">
        <f>COUNTIFS(Table120123[Country],Tabela1[[#This Row],[Country]],Table120123[Classification],"&gt;0")</f>
        <v>0</v>
      </c>
      <c r="OC182" s="6">
        <f>COUNTIFS(Table123[Country],Tabela1[[#This Row],[Country]],Table123[Ice Dance Classification],"&gt;0")</f>
        <v>0</v>
      </c>
      <c r="OD182" s="6">
        <f>COUNTIFS(Table123[Country],Tabela1[[#This Row],[Country]],Table123[Pair Skating Classification],"&gt;0")</f>
        <v>0</v>
      </c>
      <c r="OE182" s="6">
        <f>COUNTIFS(Table124[Country],Tabela1[[#This Row],[Country]],Table124[Mixed Classification],"&gt;0")</f>
        <v>0</v>
      </c>
      <c r="OF182" s="6">
        <f>COUNTIFS(Table125[Country],Tabela1[[#This Row],[Country]],Table125[Aerials Classification],"&gt;0")</f>
        <v>0</v>
      </c>
      <c r="OG182" s="6">
        <f>COUNTIFS(Table125128[Country],Tabela1[[#This Row],[Country]],Table125128[Aerials Classification],"&gt;0")</f>
        <v>0</v>
      </c>
      <c r="OH182" s="6">
        <f>COUNTIFS(Table128[Country],Tabela1[[#This Row],[Country]],Table128[Mixed Aerials Classification],"&gt;0")</f>
        <v>0</v>
      </c>
      <c r="OI182" s="6">
        <f>COUNTIFS(Table125[Country],Tabela1[[#This Row],[Country]],Table125[Big Air Classification],"&gt;0")</f>
        <v>0</v>
      </c>
      <c r="OJ182" s="6">
        <f>COUNTIFS(Table125128[Country],Tabela1[[#This Row],[Country]],Table125128[Big Air Classification],"&gt;0")</f>
        <v>0</v>
      </c>
      <c r="OK182" s="6">
        <f>COUNTIFS(Table125[Country],Tabela1[[#This Row],[Country]],Table125[Dual Moguls Classification],"&gt;0")</f>
        <v>0</v>
      </c>
      <c r="OL182" s="6">
        <f>COUNTIFS(Table125128[Country],Tabela1[[#This Row],[Country]],Table125128[Dual Moguls Classification],"&gt;0")</f>
        <v>0</v>
      </c>
      <c r="OM182" s="6">
        <f>COUNTIFS(Table125[Country],Tabela1[[#This Row],[Country]],Table125[Halfpipe Classification],"&gt;0")</f>
        <v>0</v>
      </c>
      <c r="ON182" s="6">
        <f>COUNTIFS(Table125128[Country],Tabela1[[#This Row],[Country]],Table125128[Halfpipe Classification],"&gt;0")</f>
        <v>0</v>
      </c>
      <c r="OO182" s="6">
        <f>COUNTIFS(Table125[Country],Tabela1[[#This Row],[Country]],Table125[Moguls Classification],"&gt;0")</f>
        <v>0</v>
      </c>
      <c r="OP182" s="6">
        <f>COUNTIFS(Table125128[Country],Tabela1[[#This Row],[Country]],Table125128[Moguls Classification],"&gt;0")</f>
        <v>0</v>
      </c>
      <c r="OQ182" s="6">
        <f>COUNTIFS(Table125[Country],Tabela1[[#This Row],[Country]],Table125[Ski Cross Classification],"&gt;0")</f>
        <v>0</v>
      </c>
      <c r="OR182" s="6">
        <f>COUNTIFS(Table125128[Country],Tabela1[[#This Row],[Country]],Table125128[Ski Cross Classification],"&gt;0")</f>
        <v>0</v>
      </c>
      <c r="OS182" s="6">
        <f>COUNTIFS(Table125[Country],Tabela1[[#This Row],[Country]],Table125[Slopestyle Classification],"&gt;0")</f>
        <v>0</v>
      </c>
      <c r="OT182" s="6">
        <f>COUNTIFS(Table125128[Country],Tabela1[[#This Row],[Country]],Table125128[Slopestyle Classification],"&gt;0")</f>
        <v>0</v>
      </c>
      <c r="OU182" s="6">
        <f>COUNTIFS(Table119131[Country],Tabela1[[#This Row],[Country]],Table119131[Men''s Classification],"&gt;0")</f>
        <v>0</v>
      </c>
      <c r="OV182" s="6">
        <f>COUNTIFS(Table119131[Country],Tabela1[[#This Row],[Country]],Table119131[Women''s Classification],"&gt;0")</f>
        <v>0</v>
      </c>
      <c r="OW182" s="6">
        <f>COUNTIFS(Table131[Country],Tabela1[[#This Row],[Country]],Table131[Classification],"&gt;0")</f>
        <v>0</v>
      </c>
      <c r="OX182" s="6">
        <f>COUNTIFS(Table131134[Country],Tabela1[[#This Row],[Country]],Table131134[Classification],"&gt;0")</f>
        <v>0</v>
      </c>
      <c r="OY182" s="6">
        <f>COUNTIFS(Table134[Country],Tabela1[[#This Row],[Country]],Table134[Men''s Classification],"&gt;0")</f>
        <v>0</v>
      </c>
      <c r="OZ182" s="6">
        <f>COUNTIFS(Table134[Country],Tabela1[[#This Row],[Country]],Table134[Women''s Classification],"&gt;0")</f>
        <v>0</v>
      </c>
      <c r="PA182" s="6">
        <f>COUNTIFS(Table135[Country],Tabela1[[#This Row],[Country]],Table135[Mixed Relay Classification],"&gt;0")</f>
        <v>0</v>
      </c>
      <c r="PB182" s="6">
        <f>COUNTIFS(Table136[Country],Tabela1[[#This Row],[Country]],Table136[Individual Classification],"&gt;0")</f>
        <v>0</v>
      </c>
      <c r="PC182" s="6">
        <f>COUNTIFS(Table136[Country],Tabela1[[#This Row],[Country]],Table136[Sprint Classification],"&gt;0")</f>
        <v>0</v>
      </c>
      <c r="PD182" s="6">
        <f>COUNTIFS(Table137[Country],Tabela1[[#This Row],[Country]],Table137[Men''s Team Sprint Large Hill Classification],"&gt;0")</f>
        <v>0</v>
      </c>
      <c r="PE182" s="6">
        <f>COUNTIFS(Table138[Country],Tabela1[[#This Row],[Country]],Table138[500m Classification],"&gt;0")</f>
        <v>0</v>
      </c>
      <c r="PF182" s="6">
        <f>COUNTIFS(Table138141[Country],Tabela1[[#This Row],[Country]],Table138141[500m Classification],"&gt;0")</f>
        <v>0</v>
      </c>
      <c r="PG182" s="6">
        <f>COUNTIFS(Table138[Country],Tabela1[[#This Row],[Country]],Table138[1000m Classification],"&gt;0")</f>
        <v>0</v>
      </c>
      <c r="PH182" s="6">
        <f>COUNTIFS(Table138141[Country],Tabela1[[#This Row],[Country]],Table138141[1000m Classification],"&gt;0")</f>
        <v>0</v>
      </c>
      <c r="PI182" s="6">
        <f>COUNTIFS(Table138[Country],Tabela1[[#This Row],[Country]],Table138[1500m Classification],"&gt;0")</f>
        <v>0</v>
      </c>
      <c r="PJ182" s="6">
        <f>COUNTIFS(Table138141[Country],Tabela1[[#This Row],[Country]],Table138141[1500m Classification],"&gt;0")</f>
        <v>0</v>
      </c>
      <c r="PK182" s="6">
        <f>COUNTIFS(Table141[Country],Tabela1[[#This Row],[Country]],Table141[Men''s 5000m Relay Classification],"&gt;0")</f>
        <v>0</v>
      </c>
      <c r="PL182" s="6">
        <f>COUNTIFS(Table141[Country],Tabela1[[#This Row],[Country]],Table141[Women''s 3000m Relay Classification],"&gt;0")</f>
        <v>0</v>
      </c>
      <c r="PM182" s="6">
        <f>COUNTIFS(Table141[Country],Tabela1[[#This Row],[Country]],Table141[Mixed 2000m Relay Classification],"&gt;0")</f>
        <v>0</v>
      </c>
      <c r="PN182" s="6">
        <f>COUNTIFS(Table142[Country],Tabela1[[#This Row],[Country]],Table142[Classification],"&gt;0")</f>
        <v>0</v>
      </c>
      <c r="PO182" s="6">
        <f>COUNTIFS(Table142145[Country],Tabela1[[#This Row],[Country]],Table142145[Classification],"&gt;0")</f>
        <v>0</v>
      </c>
      <c r="PP182" s="6">
        <f>COUNTIFS(Tabela15[Country],Tabela1[[#This Row],[Country]],Tabela15[Mixed Team Classification],"&gt;0")</f>
        <v>0</v>
      </c>
      <c r="PQ182" s="6">
        <f>COUNTIFS(Table145[Country],Tabela1[[#This Row],[Country]],Table145[Large Hill Classification],"&gt;0")</f>
        <v>0</v>
      </c>
      <c r="PR182" s="6">
        <f>COUNTIFS(Table145[Country],Tabela1[[#This Row],[Country]],Table145[Normal Hill Classification],"&gt;0")</f>
        <v>0</v>
      </c>
      <c r="PS182" s="6">
        <f>COUNTIFS(Table145148[Country],Tabela1[[#This Row],[Country]],Table145148[Large Hill Classification],"&gt;0")</f>
        <v>0</v>
      </c>
      <c r="PT182" s="6">
        <f>COUNTIFS(Table145148[Country],Tabela1[[#This Row],[Country]],Table145148[Normal Hill Classification],"&gt;0")</f>
        <v>0</v>
      </c>
      <c r="PU182" s="6">
        <f>COUNTIFS(Table148[Country],Tabela1[[#This Row],[Country]],Table148[Men''s Super Team Classification],"&gt;0")</f>
        <v>0</v>
      </c>
      <c r="PV182" s="6">
        <f>COUNTIFS(Tabela114[Country],Tabela1[[#This Row],[Country]],Tabela114[Mixed Normal Hill Classification],"&gt;0")</f>
        <v>0</v>
      </c>
      <c r="PW182" s="6">
        <f>COUNTIFS(Tabela50[Country],Tabela1[[#This Row],[Country]],Tabela50[Sprint Classification],"&gt;0")</f>
        <v>0</v>
      </c>
      <c r="PX182" s="6">
        <f>COUNTIFS(Tabela50101[Country],Tabela1[[#This Row],[Country]],Tabela50101[Sprint Classification],"&gt;0")</f>
        <v>0</v>
      </c>
      <c r="PY182" s="6">
        <f>COUNTIFS(Tabela103[Country],Tabela1[[#This Row],[Country]],Tabela103[Mixed Relay Classification],"&gt;0")</f>
        <v>0</v>
      </c>
      <c r="PZ182" s="6">
        <f>COUNTIFS(Table149[Country],Tabela1[[#This Row],[Country]],Table149[Big Air Classification],"&gt;0")</f>
        <v>0</v>
      </c>
      <c r="QA182" s="6">
        <f>COUNTIFS(Table149152[Country],Tabela1[[#This Row],[Country]],Table149152[Big Air Classification],"&gt;0")</f>
        <v>0</v>
      </c>
      <c r="QB182" s="6">
        <f>COUNTIFS(Table149[Country],Tabela1[[#This Row],[Country]],Table149[Halfpipe Classification],"&gt;0")</f>
        <v>0</v>
      </c>
      <c r="QC182" s="6">
        <f>COUNTIFS(Table149152[Country],Tabela1[[#This Row],[Country]],Table149152[Halfpipe Classification],"&gt;0")</f>
        <v>0</v>
      </c>
      <c r="QD182" s="6">
        <f>COUNTIFS(Table149[Country],Tabela1[[#This Row],[Country]],Table149[Parallel Giant Slalom Classification],"&gt;0")</f>
        <v>0</v>
      </c>
      <c r="QE182" s="6">
        <f>COUNTIFS(Table149152[Country],Tabela1[[#This Row],[Country]],Table149152[Parallel Giant Slalom Classification],"&gt;0")</f>
        <v>0</v>
      </c>
      <c r="QF182" s="6">
        <f>COUNTIFS(Table149[Country],Tabela1[[#This Row],[Country]],Table149[Slopestyle Classification],"&gt;0")</f>
        <v>0</v>
      </c>
      <c r="QG182" s="6">
        <f>COUNTIFS(Table149152[Country],Tabela1[[#This Row],[Country]],Table149152[Slopestyle Classification],"&gt;0")</f>
        <v>0</v>
      </c>
      <c r="QH182" s="6">
        <f>COUNTIFS(Table149[Country],Tabela1[[#This Row],[Country]],Table149[Snowboard Cross Classification],"&gt;0")</f>
        <v>0</v>
      </c>
      <c r="QI182" s="6">
        <f>COUNTIFS(Table149152[Country],Tabela1[[#This Row],[Country]],Table149152[Snowboard Cross Classification],"&gt;0")</f>
        <v>0</v>
      </c>
      <c r="QJ182" s="6">
        <f>COUNTIFS(Table153[Country],Tabela1[[#This Row],[Country]],Table153[Mixed Team Snowboard Cross Classification],"&gt;0")</f>
        <v>0</v>
      </c>
      <c r="QK182" s="6">
        <f>COUNTIFS(Table154[Country],Tabela1[[#This Row],[Country]],Table154[500m Classification],"&gt;0")</f>
        <v>0</v>
      </c>
      <c r="QL182" s="6">
        <f>COUNTIFS(Table154157[Country],Tabela1[[#This Row],[Country]],Table154157[500m Classification],"&gt;0")</f>
        <v>0</v>
      </c>
      <c r="QM182" s="6">
        <f>COUNTIFS(Table154[Country],Tabela1[[#This Row],[Country]],Table154[1000m Classification],"&gt;0")</f>
        <v>0</v>
      </c>
      <c r="QN182" s="6">
        <f>COUNTIFS(Table154157[Country],Tabela1[[#This Row],[Country]],Table154157[1000m Classification],"&gt;0")</f>
        <v>0</v>
      </c>
      <c r="QO182" s="6">
        <f>COUNTIFS(Table154[Country],Tabela1[[#This Row],[Country]],Table154[1500m Classification],"&gt;0")</f>
        <v>0</v>
      </c>
      <c r="QP182" s="6">
        <f>COUNTIFS(Table154157[Country],Tabela1[[#This Row],[Country]],Table154157[1500m Classification],"&gt;0")</f>
        <v>0</v>
      </c>
      <c r="QQ182" s="6">
        <f>COUNTIFS(Table154157[Country],Tabela1[[#This Row],[Country]],Table154157[3000m Classification],"&gt;0")</f>
        <v>0</v>
      </c>
      <c r="QR182" s="6">
        <f>COUNTIFS(Table154[Country],Tabela1[[#This Row],[Country]],Table154[5000m Classification],"&gt;0")</f>
        <v>0</v>
      </c>
      <c r="QS182" s="6">
        <f>COUNTIFS(Table154157[Country],Tabela1[[#This Row],[Country]],Table154157[5000m Classification],"&gt;0")</f>
        <v>0</v>
      </c>
      <c r="QT182" s="6">
        <f>COUNTIFS(Table154[Country],Tabela1[[#This Row],[Country]],Table154[10000m Classification],"&gt;0")</f>
        <v>0</v>
      </c>
      <c r="QU182" s="6">
        <f>COUNTIFS(Table154[Country],Tabela1[[#This Row],[Country]],Table154[Mass Start Classification],"&gt;0")</f>
        <v>0</v>
      </c>
      <c r="QV182" s="6">
        <f>COUNTIFS(Table154157[Country],Tabela1[[#This Row],[Country]],Table154157[Mass Start Classification],"&gt;0")</f>
        <v>0</v>
      </c>
      <c r="QW182" s="6">
        <f>COUNTIFS(Table157[Country],Tabela1[[#This Row],[Country]],Table157[Men''s Pursuit Classification],"&gt;0")</f>
        <v>0</v>
      </c>
      <c r="QX182" s="6">
        <f>COUNTIFS(Table157[Country],Tabela1[[#This Row],[Country]],Table157[Women''s Pursuit Classification],"&gt;0")</f>
        <v>0</v>
      </c>
      <c r="QY182" s="4" t="s">
        <v>607</v>
      </c>
    </row>
    <row r="183" spans="1:467" x14ac:dyDescent="0.3">
      <c r="A183" s="6">
        <v>182</v>
      </c>
      <c r="B183" s="6" t="s">
        <v>494</v>
      </c>
      <c r="C183" t="e" vm="182">
        <f>IF(ISBLANK(Tabela1[[#This Row],[Image Link]]), "", _xlfn.IMAGE(Tabela1[[#This Row],[Image Link]],1,1))</f>
        <v>#VALUE!</v>
      </c>
      <c r="D183" s="6">
        <f>SUM(Tabela1[[#This Row],[Archery - Men''s Individual Recurve]:[Speed Skating - Women''s Team Pursuit]])</f>
        <v>0</v>
      </c>
      <c r="E183" s="6">
        <f>COUNTIF(Tabela1[[#This Row],[Archery - Men''s Individual Recurve]:[Speed Skating - Women''s Team Pursuit]],"&gt;0")</f>
        <v>0</v>
      </c>
      <c r="F183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83" s="6">
        <f>SUM(Tabela1[[#This Row],[Archery - Men''s Individual Recurve]:[Wrestling - Women''s Freestyle 76kg]])</f>
        <v>0</v>
      </c>
      <c r="H183" s="6">
        <f>SUM(Tabela1[[#This Row],[Alpine Skiing - Men''s Downhill]:[Speed Skating - Women''s Team Pursuit]])</f>
        <v>0</v>
      </c>
      <c r="I183" s="6">
        <f>Tabela1[[#This Row],[Summer Gold Medals]]+Tabela1[[#This Row],[Winter Gold Medals]]</f>
        <v>0</v>
      </c>
      <c r="J183" s="6">
        <f>Tabela1[[#This Row],[Summer Silver Medals]]+Tabela1[[#This Row],[Winter Silver Medals]]</f>
        <v>0</v>
      </c>
      <c r="K183" s="6">
        <f>Tabela1[[#This Row],[Summer Bronze Medals]]+Tabela1[[#This Row],[Winter Bronze Medals]]</f>
        <v>0</v>
      </c>
      <c r="L183" s="6">
        <f>SUM(Tabela1[[#This Row],[Total Gold Medals]:[Total Bronze Medals]])</f>
        <v>0</v>
      </c>
      <c r="M183" s="6"/>
      <c r="N183" s="6"/>
      <c r="O183" s="6"/>
      <c r="P183" s="6">
        <f>SUM(Tabela1[[#This Row],[Summer Gold Medals]:[Summer Bronze Medals]])</f>
        <v>0</v>
      </c>
      <c r="Q183" s="6"/>
      <c r="R183" s="6"/>
      <c r="S183" s="6"/>
      <c r="T183" s="6">
        <f>Tabela1[[#This Row],[Winter Gold Medals]]+Tabela1[[#This Row],[Winter Silver Medals]]+Tabela1[[#This Row],[Winter Bronze Medals]]</f>
        <v>0</v>
      </c>
      <c r="U183" s="7" t="e">
        <f>Tabela1[[#This Row],[Total Medals]]/Tabela1[[#This Row],[Total Quotas]]</f>
        <v>#DIV/0!</v>
      </c>
      <c r="V183" s="6">
        <f>COUNTIFS(Table3[Country],Tabela1[[#This Row],[Country]],Table3[Recurve Classification],"&gt;0")</f>
        <v>0</v>
      </c>
      <c r="W183" s="6">
        <f>COUNTIFS(Table33[Country],Tabela1[[#This Row],[Country]],Table33[Recurve Classification],"&gt;0")</f>
        <v>0</v>
      </c>
      <c r="X183" s="6">
        <f>COUNTIFS(Table35[Country],Tabela1[[#This Row],[Country]],Table35[Men''s Team Recurve Classification],"&gt;0")</f>
        <v>0</v>
      </c>
      <c r="Y183" s="6">
        <f>COUNTIFS(Table35[Country],Tabela1[[#This Row],[Country]],Table35[Women''s Team Recurve Classification],"&gt;0")</f>
        <v>0</v>
      </c>
      <c r="Z183" s="6">
        <f>COUNTIFS(Tabela88[Country],Tabela1[[#This Row],[Country]],Tabela88[Mixed Team Recurve Classification],"&gt;0")</f>
        <v>0</v>
      </c>
      <c r="AA183" s="6">
        <f>COUNTIFS(Table36[Country],Tabela1[[#This Row],[Country]],Table36[Classification],"&gt;0")</f>
        <v>0</v>
      </c>
      <c r="AB183" s="6">
        <f>COUNTIFS(Table37[Country],Tabela1[[#This Row],[Country]],Table37[Classification],"&gt;0")</f>
        <v>0</v>
      </c>
      <c r="AC183" s="6">
        <f>COUNTIFS(Table4[Country],Tabela1[[#This Row],[Country]],Table4[100m Classification],"&gt;0")</f>
        <v>0</v>
      </c>
      <c r="AD183" s="6">
        <f>COUNTIFS(Table5[Country],Tabela1[[#This Row],[Country]],Table5[100m Classification],"&gt;0")</f>
        <v>0</v>
      </c>
      <c r="AE183" s="6">
        <f>COUNTIFS(Table4[Country],Tabela1[[#This Row],[Country]],Table4[200m Classification],"&gt;0")</f>
        <v>0</v>
      </c>
      <c r="AF183" s="6">
        <f>COUNTIFS(Table5[Country],Tabela1[[#This Row],[Country]],Table5[200m Classification],"&gt;0")</f>
        <v>0</v>
      </c>
      <c r="AG183" s="6">
        <f>COUNTIFS(Table4[Country],Tabela1[[#This Row],[Country]],Table4[400m Classification],"&gt;0")</f>
        <v>0</v>
      </c>
      <c r="AH183" s="6">
        <f>COUNTIFS(Table5[Country],Tabela1[[#This Row],[Country]],Table5[400m Classification],"&gt;0")</f>
        <v>0</v>
      </c>
      <c r="AI183" s="6">
        <f>COUNTIFS(Table4[Country],Tabela1[[#This Row],[Country]],Table4[800m Classification],"&gt;0")</f>
        <v>0</v>
      </c>
      <c r="AJ183" s="6">
        <f>COUNTIFS(Table5[Country],Tabela1[[#This Row],[Country]],Table5[800m Classification],"&gt;0")</f>
        <v>0</v>
      </c>
      <c r="AK183" s="6">
        <f>COUNTIFS(Table4[Country],Tabela1[[#This Row],[Country]],Table4[1500m Classification],"&gt;0")</f>
        <v>0</v>
      </c>
      <c r="AL183" s="6">
        <f>COUNTIFS(Table5[Country],Tabela1[[#This Row],[Country]],Table5[1500m Classification],"&gt;0")</f>
        <v>0</v>
      </c>
      <c r="AM183" s="6">
        <f>COUNTIFS(Table4[Country],Tabela1[[#This Row],[Country]],Table4[5000m Classification],"&gt;0")</f>
        <v>0</v>
      </c>
      <c r="AN183" s="6">
        <f>COUNTIFS(Table5[Country],Tabela1[[#This Row],[Country]],Table5[5000m Classification],"&gt;0")</f>
        <v>0</v>
      </c>
      <c r="AO183" s="6">
        <f>COUNTIFS(Table4[Country],Tabela1[[#This Row],[Country]],Table4[10000m Classification],"&gt;0")</f>
        <v>0</v>
      </c>
      <c r="AP183" s="6">
        <f>COUNTIFS(Table5[Country],Tabela1[[#This Row],[Country]],Table5[10000m Classification],"&gt;0")</f>
        <v>0</v>
      </c>
      <c r="AQ183" s="6">
        <f>COUNTIFS(Table4[Country],Tabela1[[#This Row],[Country]],Table4[110m Hurdles Classification],"&gt;0")</f>
        <v>0</v>
      </c>
      <c r="AR183" s="6">
        <f>COUNTIFS(Table5[Country],Tabela1[[#This Row],[Country]],Table5[100m Hurdles Classification],"&gt;0")</f>
        <v>0</v>
      </c>
      <c r="AS183" s="6">
        <f>COUNTIFS(Table4[Country],Tabela1[[#This Row],[Country]],Table4[400m Hurdles Classification],"&gt;0")</f>
        <v>0</v>
      </c>
      <c r="AT183" s="6">
        <f>COUNTIFS(Table5[Country],Tabela1[[#This Row],[Country]],Table5[400m Hurdles Classification],"&gt;0")</f>
        <v>0</v>
      </c>
      <c r="AU183" s="6">
        <f>COUNTIFS(Table4[Country],Tabela1[[#This Row],[Country]],Table4[3000m Steeplechase Classification],"&gt;0")</f>
        <v>0</v>
      </c>
      <c r="AV183" s="6">
        <f>COUNTIFS(Table5[Country],Tabela1[[#This Row],[Country]],Table5[3000m Steeplechase Classification],"&gt;0")</f>
        <v>0</v>
      </c>
      <c r="AW183" s="6">
        <f>COUNTIFS(Table27[Country],Tabela1[[#This Row],[Country]],Table27[Men''s 4x100m Relay Classification],"&gt;0")</f>
        <v>0</v>
      </c>
      <c r="AX183" s="6">
        <f>COUNTIFS(Table27[Country],Tabela1[[#This Row],[Country]],Table27[Women''s 4x100m Relay Classification],"&gt;0")</f>
        <v>0</v>
      </c>
      <c r="AY183" s="6">
        <f>COUNTIFS(Table27[Country],Tabela1[[#This Row],[Country]],Table27[Men''s 4x400m Relay Classification],"&gt;0")</f>
        <v>0</v>
      </c>
      <c r="AZ183" s="6">
        <f>COUNTIFS(Table27[Country],Tabela1[[#This Row],[Country]],Table27[Women''s 4x400m Relay Classification],"&gt;0")</f>
        <v>0</v>
      </c>
      <c r="BA183" s="6">
        <f>COUNTIFS(Table27[Country],Tabela1[[#This Row],[Country]],Table27[Mixed 4x400m Relay Classification],"&gt;0")</f>
        <v>0</v>
      </c>
      <c r="BB183" s="6">
        <f>COUNTIFS(Table4[Country],Tabela1[[#This Row],[Country]],Table4[Marathon Classification],"&gt;0")</f>
        <v>0</v>
      </c>
      <c r="BC183" s="6">
        <f>COUNTIFS(Table5[Country],Tabela1[[#This Row],[Country]],Table5[Marathon Classification],"&gt;0")</f>
        <v>0</v>
      </c>
      <c r="BD183" s="6">
        <f>COUNTIFS(Table4[Country],Tabela1[[#This Row],[Country]],Table4[20km Race Walk Classification],"&gt;0")</f>
        <v>0</v>
      </c>
      <c r="BE183" s="6">
        <f>COUNTIFS(Table5[Country],Tabela1[[#This Row],[Country]],Table5[20km Race Walk Classification],"&gt;0")</f>
        <v>0</v>
      </c>
      <c r="BF183" s="6">
        <f>COUNTIFS(Tabela96[Country],Tabela1[[#This Row],[Country]],Tabela96[Mixed Marathon Race Walk Relay Classification],"&gt;0")</f>
        <v>0</v>
      </c>
      <c r="BG183" s="6">
        <f>COUNTIFS(Table4[Country],Tabela1[[#This Row],[Country]],Table4[Discus Throw Classification],"&gt;0")</f>
        <v>0</v>
      </c>
      <c r="BH183" s="6">
        <f>COUNTIFS(Table5[Country],Tabela1[[#This Row],[Country]],Table5[Discus Throw Classification],"&gt;0")</f>
        <v>0</v>
      </c>
      <c r="BI183" s="6">
        <f>COUNTIFS(Table4[Country],Tabela1[[#This Row],[Country]],Table4[Hammer Throw Classification],"&gt;0")</f>
        <v>0</v>
      </c>
      <c r="BJ183" s="6">
        <f>COUNTIFS(Table5[Country],Tabela1[[#This Row],[Country]],Table5[Hammer Throw Classification],"&gt;0")</f>
        <v>0</v>
      </c>
      <c r="BK183" s="6">
        <f>COUNTIFS(Table4[Country],Tabela1[[#This Row],[Country]],Table4[High Jump Classification],"&gt;0")</f>
        <v>0</v>
      </c>
      <c r="BL183" s="6">
        <f>COUNTIFS(Table5[Country],Tabela1[[#This Row],[Country]],Table5[High Jump Classification],"&gt;0")</f>
        <v>0</v>
      </c>
      <c r="BM183" s="6">
        <f>COUNTIFS(Table4[Country],Tabela1[[#This Row],[Country]],Table4[Javelin Throw Classification],"&gt;0")</f>
        <v>0</v>
      </c>
      <c r="BN183" s="6">
        <f>COUNTIFS(Table5[Country],Tabela1[[#This Row],[Country]],Table5[Javelin Throw Classification],"&gt;0")</f>
        <v>0</v>
      </c>
      <c r="BO183" s="6">
        <f>COUNTIFS(Table4[Country],Tabela1[[#This Row],[Country]],Table4[Long Jump Classification],"&gt;0")</f>
        <v>0</v>
      </c>
      <c r="BP183" s="6">
        <f>COUNTIFS(Table5[Country],Tabela1[[#This Row],[Country]],Table5[Long Jump Classification],"&gt;0")</f>
        <v>0</v>
      </c>
      <c r="BQ183" s="6">
        <f>COUNTIFS(Table4[Country],Tabela1[[#This Row],[Country]],Table4[Pole Vault Classification],"&gt;0")</f>
        <v>0</v>
      </c>
      <c r="BR183" s="6">
        <f>COUNTIFS(Table5[Country],Tabela1[[#This Row],[Country]],Table5[Pole Vault Classification],"&gt;0")</f>
        <v>0</v>
      </c>
      <c r="BS183" s="6">
        <f>COUNTIFS(Table4[Country],Tabela1[[#This Row],[Country]],Table4[Shot Put Classification],"&gt;0")</f>
        <v>0</v>
      </c>
      <c r="BT183" s="6">
        <f>COUNTIFS(Table5[Country],Tabela1[[#This Row],[Country]],Table5[Shot Put Classification],"&gt;0")</f>
        <v>0</v>
      </c>
      <c r="BU183" s="6">
        <f>COUNTIFS(Table4[Country],Tabela1[[#This Row],[Country]],Table4[Triple Jump Classification],"&gt;0")</f>
        <v>0</v>
      </c>
      <c r="BV183" s="6">
        <f>COUNTIFS(Table5[Country],Tabela1[[#This Row],[Country]],Table5[Triple Jump Classification],"&gt;0")</f>
        <v>0</v>
      </c>
      <c r="BW183" s="6">
        <f>COUNTIFS(Table4[Country],Tabela1[[#This Row],[Country]],Table4[Decathlon Classification],"&gt;0")</f>
        <v>0</v>
      </c>
      <c r="BX183" s="6">
        <f>COUNTIFS(Table5[Country],Tabela1[[#This Row],[Country]],Table5[Heptathlon Classification],"&gt;0")</f>
        <v>0</v>
      </c>
      <c r="BY183" s="6">
        <f>COUNTIFS(Table61[Country],Tabela1[[#This Row],[Country]],Table61[Classification],"&gt;0")</f>
        <v>0</v>
      </c>
      <c r="BZ183" s="6">
        <f>COUNTIFS(Table38[Country],Tabela1[[#This Row],[Country]],Table38[Classification],"&gt;0")</f>
        <v>0</v>
      </c>
      <c r="CA183" s="6">
        <f>COUNTIFS(Table39[Country],Tabela1[[#This Row],[Country]],Table39[Men''s Classification],"&gt;0")</f>
        <v>0</v>
      </c>
      <c r="CB183" s="6">
        <f>COUNTIFS(Table39[Country],Tabela1[[#This Row],[Country]],Table39[Women''s Classification],"&gt;0")</f>
        <v>0</v>
      </c>
      <c r="CC183" s="6">
        <f>COUNTIFS(Table39[Country],Tabela1[[#This Row],[Country]],Table39[Mixed Classification],"&gt;0")</f>
        <v>0</v>
      </c>
      <c r="CD183" s="6">
        <f>COUNTIFS(Table89[Country],Tabela1[[#This Row],[Country]],Table89[Men''s Classification],"&gt;0")</f>
        <v>0</v>
      </c>
      <c r="CE183" s="6">
        <f>COUNTIFS(Table89[Country],Tabela1[[#This Row],[Country]],Table89[Women''s Classification],"&gt;0")</f>
        <v>0</v>
      </c>
      <c r="CF183" s="6">
        <f>COUNTIFS(Table90[Country],Tabela1[[#This Row],[Country]],Table90[Men''s Classification],"&gt;0")</f>
        <v>0</v>
      </c>
      <c r="CG183" s="6">
        <f>COUNTIFS(Table90[Country],Tabela1[[#This Row],[Country]],Table90[Women''s Classification],"&gt;0")</f>
        <v>0</v>
      </c>
      <c r="CH183" s="6">
        <f>COUNTIFS(Table60[Country],Tabela1[[#This Row],[Country]],Table60[Men''s Classification],"&gt;0")</f>
        <v>0</v>
      </c>
      <c r="CI183" s="6">
        <f>COUNTIFS(Table60[Country],Tabela1[[#This Row],[Country]],Table60[Women''s Classification],"&gt;0")</f>
        <v>0</v>
      </c>
      <c r="CJ183" s="6">
        <f>COUNTIFS(Table6[Country],Tabela1[[#This Row],[Country]],Table6[51kg Classification],"&gt;0")</f>
        <v>0</v>
      </c>
      <c r="CK183" s="6">
        <f>COUNTIFS(Table6[Country],Tabela1[[#This Row],[Country]],Table6[57kg Classification],"&gt;0")</f>
        <v>0</v>
      </c>
      <c r="CL183" s="6">
        <f>COUNTIFS(Table6[Country],Tabela1[[#This Row],[Country]],Table6[63.5kg Classification],"&gt;0")</f>
        <v>0</v>
      </c>
      <c r="CM183" s="6">
        <f>COUNTIFS(Table6[Country],Tabela1[[#This Row],[Country]],Table6[71kg Classification],"&gt;0")</f>
        <v>0</v>
      </c>
      <c r="CN183" s="6">
        <f>COUNTIFS(Table6[Country],Tabela1[[#This Row],[Country]],Table6[80kg Classification],"&gt;0")</f>
        <v>0</v>
      </c>
      <c r="CO183" s="6">
        <f>COUNTIFS(Table6[Country],Tabela1[[#This Row],[Country]],Table6[92kg Classification],"&gt;0")</f>
        <v>0</v>
      </c>
      <c r="CP183" s="6">
        <f>COUNTIFS(Table6[Country],Tabela1[[#This Row],[Country]],Table6[Plus 92kg Classification],"&gt;0")</f>
        <v>0</v>
      </c>
      <c r="CQ183" s="6">
        <f>COUNTIFS(Table7[Country],Tabela1[[#This Row],[Country]],Table7[50kg Classification],"&gt;0")</f>
        <v>0</v>
      </c>
      <c r="CR183" s="6">
        <f>COUNTIFS(Table7[Country],Tabela1[[#This Row],[Country]],Table7[54kg Classification],"&gt;0")</f>
        <v>0</v>
      </c>
      <c r="CS183" s="6">
        <f>COUNTIFS(Table7[Country],Tabela1[[#This Row],[Country]],Table7[57kg Classification],"&gt;0")</f>
        <v>0</v>
      </c>
      <c r="CT183" s="6">
        <f>COUNTIFS(Table7[Country],Tabela1[[#This Row],[Country]],Table7[60kg Classification],"&gt;0")</f>
        <v>0</v>
      </c>
      <c r="CU183" s="6">
        <f>COUNTIFS(Table7[Country],Tabela1[[#This Row],[Country]],Table7[66kg Classification],"&gt;0")</f>
        <v>0</v>
      </c>
      <c r="CV183" s="6">
        <f>COUNTIFS(Table7[Country],Tabela1[[#This Row],[Country]],Table7[75kg Classification],"&gt;0")</f>
        <v>0</v>
      </c>
      <c r="CW183" s="6">
        <f>COUNTIFS(Tabela94[Country],Tabela1[[#This Row],[Country]],Tabela94[Classification],"&gt;0")</f>
        <v>0</v>
      </c>
      <c r="CX183" s="6">
        <f>COUNTIFS(Tabela9499[Country],Tabela1[[#This Row],[Country]],Tabela9499[Classification],"&gt;0")</f>
        <v>0</v>
      </c>
      <c r="CY183" s="6">
        <f>COUNTIFS(Tabela107[Country],Tabela1[[#This Row],[Country]],Tabela107[C1 Slalom Classification],"&gt;0")</f>
        <v>0</v>
      </c>
      <c r="CZ183" s="6">
        <f>COUNTIFS(Tabela107122[Country],Tabela1[[#This Row],[Country]],Tabela107122[C1 Slalom Classification],"&gt;0")</f>
        <v>0</v>
      </c>
      <c r="DA183" s="6">
        <f>COUNTIFS(Tabela107[Country],Tabela1[[#This Row],[Country]],Tabela107[K1 Slalom Classification],"&gt;0")</f>
        <v>0</v>
      </c>
      <c r="DB183" s="6">
        <f>COUNTIFS(Tabela107122[Country],Tabela1[[#This Row],[Country]],Tabela107122[K1 Slalom Classification],"&gt;0")</f>
        <v>0</v>
      </c>
      <c r="DC183" s="6">
        <f>COUNTIFS(Tabela107[Country],Tabela1[[#This Row],[Country]],Tabela107[Kayak Cross Slalom Classification],"&gt;0")</f>
        <v>0</v>
      </c>
      <c r="DD183" s="6">
        <f>COUNTIFS(Tabela107122[Country],Tabela1[[#This Row],[Country]],Tabela107122[Kayak Cross Slalom Classification],"&gt;0")</f>
        <v>0</v>
      </c>
      <c r="DE183" s="6">
        <f>COUNTIFS(Table8[Country],Tabela1[[#This Row],[Country]],Table8[C1 200m Classification],"&gt;0")</f>
        <v>0</v>
      </c>
      <c r="DF183" s="6">
        <f>COUNTIFS(Table40[Country],Tabela1[[#This Row],[Country]],Table40[C1 1000m Classification],"&gt;0")</f>
        <v>0</v>
      </c>
      <c r="DG183" s="6">
        <f>COUNTIFS(Table68[Country],Tabela1[[#This Row],[Country]],Table68[Men''s C2 500m Classification],"&gt;0")</f>
        <v>0</v>
      </c>
      <c r="DH183" s="6">
        <f>COUNTIFS(Table68[Country],Tabela1[[#This Row],[Country]],Table68[Women''s C2 500m Classification],"&gt;0")</f>
        <v>0</v>
      </c>
      <c r="DI183" s="6">
        <f>COUNTIFS(Table8[Country],Tabela1[[#This Row],[Country]],Table8[K1 500m Classification],"&gt;0")</f>
        <v>0</v>
      </c>
      <c r="DJ183" s="6">
        <f>COUNTIFS(Table40[Country],Tabela1[[#This Row],[Country]],Table40[K1 1000m Classification],"&gt;0")</f>
        <v>0</v>
      </c>
      <c r="DK183" s="6">
        <f>COUNTIFS(Table68[Country],Tabela1[[#This Row],[Country]],Table68[Men''s K2 500m Classification],"&gt;0")</f>
        <v>0</v>
      </c>
      <c r="DL183" s="6">
        <f>COUNTIFS(Table68[Country],Tabela1[[#This Row],[Country]],Table68[Women''s K2 500m Classification],"&gt;0")</f>
        <v>0</v>
      </c>
      <c r="DM183" s="6">
        <f>COUNTIFS(Table83[Country],Tabela1[[#This Row],[Country]],Table83[Men''s K4 500m Classification],"&gt;0")</f>
        <v>0</v>
      </c>
      <c r="DN183" s="6">
        <f>COUNTIFS(Table83[Country],Tabela1[[#This Row],[Country]],Table83[Women''s K4 500m Classification],"&gt;0")</f>
        <v>0</v>
      </c>
      <c r="DO183" s="6">
        <f>COUNTIFS(Tabela126[Country],Tabela1[[#This Row],[Country]],Tabela126[Classification],"&gt;0")</f>
        <v>0</v>
      </c>
      <c r="DP183" s="6">
        <f>COUNTIFS(Tabela126130[Country],Tabela1[[#This Row],[Country]],Tabela126130[Classification],"&gt;0")</f>
        <v>0</v>
      </c>
      <c r="DQ183" s="6">
        <f>COUNTIFS(Table70[Country],Tabela1[[#This Row],[Country]],Table70[Classification],"&gt;0")</f>
        <v>0</v>
      </c>
      <c r="DR183" s="6">
        <f>COUNTIFS(Table80[Country],Tabela1[[#This Row],[Country]],Table80[Classification],"&gt;0")</f>
        <v>0</v>
      </c>
      <c r="DS183" s="6">
        <f>COUNTIFS(Table66[Country],Tabela1[[#This Row],[Country]],Table66[Classification],"&gt;0")</f>
        <v>0</v>
      </c>
      <c r="DT183" s="6">
        <f>COUNTIFS(Table67[Country],Tabela1[[#This Row],[Country]],Table67[Classification],"&gt;0")</f>
        <v>0</v>
      </c>
      <c r="DU183" s="6">
        <f>COUNTIFS(Table69[Country],Tabela1[[#This Row],[Country]],Table69[Keirin Classification],"&gt;0")</f>
        <v>0</v>
      </c>
      <c r="DV183" s="6">
        <f>COUNTIFS(Table41[Country],Tabela1[[#This Row],[Country]],Table41[Keirin Classification],"&gt;0")</f>
        <v>0</v>
      </c>
      <c r="DW183" s="6">
        <f>COUNTIFS(Table84[Country],Tabela1[[#This Row],[Country]],Table84[Men''s Madison Classification],"&gt;0")</f>
        <v>0</v>
      </c>
      <c r="DX183" s="6">
        <f>COUNTIFS(Table84[Country],Tabela1[[#This Row],[Country]],Table84[Women''s Madison Classification],"&gt;0")</f>
        <v>0</v>
      </c>
      <c r="DY183" s="6">
        <f>COUNTIFS(Table69[Country],Tabela1[[#This Row],[Country]],Table69[Omnium Classification],"&gt;0")</f>
        <v>0</v>
      </c>
      <c r="DZ183" s="6">
        <f>COUNTIFS(Table41[Country],Tabela1[[#This Row],[Country]],Table41[Omnium Classification],"&gt;0")</f>
        <v>0</v>
      </c>
      <c r="EA183" s="6">
        <f>COUNTIFS(Table9[Country],Tabela1[[#This Row],[Country]],Table9[Road Race Classification],"&gt;0")</f>
        <v>0</v>
      </c>
      <c r="EB183" s="6">
        <f>COUNTIFS(Table14[Country],Tabela1[[#This Row],[Country]],Table14[Road Race Classification],"&gt;0")</f>
        <v>0</v>
      </c>
      <c r="EC183" s="6">
        <f>COUNTIFS(Table69[Country],Tabela1[[#This Row],[Country]],Table69[Sprint Classification],"&gt;0")</f>
        <v>0</v>
      </c>
      <c r="ED183" s="6">
        <f>COUNTIFS(Table41[Country],Tabela1[[#This Row],[Country]],Table41[Sprint Classification],"&gt;0")</f>
        <v>0</v>
      </c>
      <c r="EE183" s="6">
        <f>COUNTIFS(Table85[Country],Tabela1[[#This Row],[Country]],Table85[Men''s Sprint Classification],"&gt;0")</f>
        <v>0</v>
      </c>
      <c r="EF183" s="6">
        <f>COUNTIFS(Table85[Country],Tabela1[[#This Row],[Country]],Table85[Women''s Sprint Classification],"&gt;0")</f>
        <v>0</v>
      </c>
      <c r="EG183" s="6">
        <f>COUNTIFS(Table85[Country],Tabela1[[#This Row],[Country]],Table85[Men''s Pursuit Classification],"&gt;0")</f>
        <v>0</v>
      </c>
      <c r="EH183" s="6">
        <f>COUNTIFS(Table85[Country],Tabela1[[#This Row],[Country]],Table85[Women''s Pursuit Classification],"&gt;0")</f>
        <v>0</v>
      </c>
      <c r="EI183" s="6">
        <f>COUNTIFS(Table9[Country],Tabela1[[#This Row],[Country]],Table9[Time-Trial Classification],"&gt;0")</f>
        <v>0</v>
      </c>
      <c r="EJ183" s="6">
        <f>COUNTIFS(Table14[Country],Tabela1[[#This Row],[Country]],Table14[Time-Trial Classification],"&gt;0")</f>
        <v>0</v>
      </c>
      <c r="EK183" s="6">
        <f>COUNTIFS(Table42[Country],Tabela1[[#This Row],[Country]],Table42[Springboard Classification],"&gt;0")</f>
        <v>0</v>
      </c>
      <c r="EL183" s="6">
        <f>COUNTIFS(Table43[Country],Tabela1[[#This Row],[Country]],Table43[Springboard Classification],"&gt;0")</f>
        <v>0</v>
      </c>
      <c r="EM183" s="6">
        <f>COUNTIFS(Table42[Country],Tabela1[[#This Row],[Country]],Table42[Platform Classification],"&gt;0")</f>
        <v>0</v>
      </c>
      <c r="EN183" s="6">
        <f>COUNTIFS(Table43[Country],Tabela1[[#This Row],[Country]],Table43[Platform Classification],"&gt;0")</f>
        <v>0</v>
      </c>
      <c r="EO183" s="6">
        <f>COUNTIFS(Table86[Country],Tabela1[[#This Row],[Country]],Table86[Men''s Synchronized Springboard Classification],"&gt;0")</f>
        <v>0</v>
      </c>
      <c r="EP183" s="6">
        <f>COUNTIFS(Table86[Country],Tabela1[[#This Row],[Country]],Table86[Women''s Synchronized Springboard Classification],"&gt;0")</f>
        <v>0</v>
      </c>
      <c r="EQ183" s="6">
        <f>COUNTIFS(Table86[Country],Tabela1[[#This Row],[Country]],Table86[Men''s Synchronized Platform Classification],"&gt;0")</f>
        <v>0</v>
      </c>
      <c r="ER183" s="6">
        <f>COUNTIFS(Table86[Country],Tabela1[[#This Row],[Country]],Table86[Women''s Synchronized Platform Classification],"&gt;0")</f>
        <v>0</v>
      </c>
      <c r="ES183" s="6">
        <f>COUNTIFS(Table44[Country],Tabela1[[#This Row],[Country]],Table44[Dressage Classification],"&gt;0")</f>
        <v>0</v>
      </c>
      <c r="ET183" s="6">
        <f>COUNTIFS(Table45[Country],Tabela1[[#This Row],[Country]],Table45[Dressage Classification],"&gt;0")</f>
        <v>0</v>
      </c>
      <c r="EU183" s="6">
        <f>COUNTIFS(Table44[Country],Tabela1[[#This Row],[Country]],Table44[Eventing Classification],"&gt;0")</f>
        <v>0</v>
      </c>
      <c r="EV183" s="6">
        <f>COUNTIFS(Table45[Country],Tabela1[[#This Row],[Country]],Table45[Eventing Classification],"&gt;0")</f>
        <v>0</v>
      </c>
      <c r="EW183" s="6">
        <f>COUNTIFS(Table44[Country],Tabela1[[#This Row],[Country]],Table44[Jumping Classification],"&gt;0")</f>
        <v>0</v>
      </c>
      <c r="EX183" s="6">
        <f>COUNTIFS(Table45[Country],Tabela1[[#This Row],[Country]],Table45[Jumping Classification],"&gt;0")</f>
        <v>0</v>
      </c>
      <c r="EY183" s="6">
        <f>COUNTIFS(Table10[Country],Tabela1[[#This Row],[Country]],Table10[Épée Classification],"&gt;0")</f>
        <v>0</v>
      </c>
      <c r="EZ183" s="6">
        <f>COUNTIFS(Table11[Country],Tabela1[[#This Row],[Country]],Table11[Épée Classification],"&gt;0")</f>
        <v>0</v>
      </c>
      <c r="FA183" s="6">
        <f>COUNTIFS(Table46[Country],Tabela1[[#This Row],[Country]],Table46[Men''s Épée Classification],"&gt;0")</f>
        <v>0</v>
      </c>
      <c r="FB183" s="6">
        <f>COUNTIFS(Table46[Country],Tabela1[[#This Row],[Country]],Table46[Women''s Épée Classification],"&gt;0")</f>
        <v>0</v>
      </c>
      <c r="FC183" s="6">
        <f>COUNTIFS(Table10[Country],Tabela1[[#This Row],[Country]],Table10[Foil Classification],"&gt;0")</f>
        <v>0</v>
      </c>
      <c r="FD183" s="6">
        <f>COUNTIFS(Table11[Country],Tabela1[[#This Row],[Country]],Table11[Foil Classification],"&gt;0")</f>
        <v>0</v>
      </c>
      <c r="FE183" s="6">
        <f>COUNTIFS(Table46[Country],Tabela1[[#This Row],[Country]],Table46[Men''s Foil Classification],"&gt;0")</f>
        <v>0</v>
      </c>
      <c r="FF183" s="6">
        <f>COUNTIFS(Table46[Country],Tabela1[[#This Row],[Country]],Table46[Women''s Foil Classification],"&gt;0")</f>
        <v>0</v>
      </c>
      <c r="FG183" s="6">
        <f>COUNTIFS(Table10[Country],Tabela1[[#This Row],[Country]],Table10[Sabre Classification],"&gt;0")</f>
        <v>0</v>
      </c>
      <c r="FH183" s="6">
        <f>COUNTIFS(Table11[Country],Tabela1[[#This Row],[Country]],Table11[Sabre Classification],"&gt;0")</f>
        <v>0</v>
      </c>
      <c r="FI183" s="6">
        <f>COUNTIFS(Table46[Country],Tabela1[[#This Row],[Country]],Table46[Men''s Sabre Classification],"&gt;0")</f>
        <v>0</v>
      </c>
      <c r="FJ183" s="6">
        <f>COUNTIFS(Table46[Country],Tabela1[[#This Row],[Country]],Table46[Women''s Sabre Classification],"&gt;0")</f>
        <v>0</v>
      </c>
      <c r="FK183" s="6">
        <f>COUNTIFS(Table91[Country],Tabela1[[#This Row],[Country]],Table91[Men''s Classification],"&gt;0")</f>
        <v>0</v>
      </c>
      <c r="FL183" s="6">
        <f>COUNTIFS(Table91[Country],Tabela1[[#This Row],[Country]],Table91[Women''s Classification],"&gt;0")</f>
        <v>0</v>
      </c>
      <c r="FM183" s="6">
        <f>COUNTIFS(Table9194[Country],Tabela1[[#This Row],[Country]],Table9194[Men''s Classification],"&gt;0")</f>
        <v>0</v>
      </c>
      <c r="FN183" s="6">
        <f>COUNTIFS(Table9194[Country],Tabela1[[#This Row],[Country]],Table9194[Women''s Classification],"&gt;0")</f>
        <v>0</v>
      </c>
      <c r="FO183" s="6">
        <f>COUNTIFS(Table71[Country],Tabela1[[#This Row],[Country]],Table71[Classification],"&gt;0")</f>
        <v>0</v>
      </c>
      <c r="FP183" s="6">
        <f>COUNTIFS(Table62[Country],Tabela1[[#This Row],[Country]],Table62[Classification],"&gt;0")</f>
        <v>0</v>
      </c>
      <c r="FQ183" s="6">
        <f>COUNTIFS(Table47[Country],Tabela1[[#This Row],[Country]],Table47[All-Around Classification],"&gt;0")</f>
        <v>0</v>
      </c>
      <c r="FR183" s="6">
        <f>COUNTIFS(Table48[Country],Tabela1[[#This Row],[Country]],Table48[All-Around Classification],"&gt;0")</f>
        <v>0</v>
      </c>
      <c r="FS183" s="6">
        <f>COUNTIFS(Table81[Country],Tabela1[[#This Row],[Country]],Table81[Men''s All-Around Classification],"&gt;0")</f>
        <v>0</v>
      </c>
      <c r="FT183" s="6">
        <f>COUNTIFS(Table81[Country],Tabela1[[#This Row],[Country]],Table81[Women''s All-Around Classification],"&gt;0")</f>
        <v>0</v>
      </c>
      <c r="FU183" s="6">
        <f>COUNTIFS(Table48[Country],Tabela1[[#This Row],[Country]],Table48[Balance Beam Classification],"&gt;0")</f>
        <v>0</v>
      </c>
      <c r="FV183" s="6">
        <f>COUNTIFS(Table47[Country],Tabela1[[#This Row],[Country]],Table47[Floor Exercise Classification],"&gt;0")</f>
        <v>0</v>
      </c>
      <c r="FW183" s="6">
        <f>COUNTIFS(Table48[Country],Tabela1[[#This Row],[Country]],Table48[Floor Exercise Classification],"&gt;0")</f>
        <v>0</v>
      </c>
      <c r="FX183" s="6">
        <f>COUNTIFS(Table47[Country],Tabela1[[#This Row],[Country]],Table47[Horizontal Bar Classification],"&gt;0")</f>
        <v>0</v>
      </c>
      <c r="FY183" s="6">
        <f>COUNTIFS(Table47[Country],Tabela1[[#This Row],[Country]],Table47[Parallel Bars Classification],"&gt;0")</f>
        <v>0</v>
      </c>
      <c r="FZ183" s="6">
        <f>COUNTIFS(Table47[Country],Tabela1[[#This Row],[Country]],Table47[Pommel Horse Classification],"&gt;0")</f>
        <v>0</v>
      </c>
      <c r="GA183" s="6">
        <f>COUNTIFS(Table47[Country],Tabela1[[#This Row],[Country]],Table47[Rings Classification],"&gt;0")</f>
        <v>0</v>
      </c>
      <c r="GB183" s="6">
        <f>COUNTIFS(Tabela132[Country],Tabela1[[#This Row],[Country]],Tabela132[Classification],"&gt;0")</f>
        <v>0</v>
      </c>
      <c r="GC183" s="6">
        <f>COUNTIFS(Tabela139[Country],Tabela1[[#This Row],[Country]],Tabela139[Classification],"&gt;0")</f>
        <v>0</v>
      </c>
      <c r="GD183" s="6">
        <f>COUNTIFS(Table48[Country],Tabela1[[#This Row],[Country]],Table48[Uneven Bars Classification],"&gt;0")</f>
        <v>0</v>
      </c>
      <c r="GE183" s="6">
        <f>COUNTIFS(Table47[Country],Tabela1[[#This Row],[Country]],Table47[Vault Classification],"&gt;0")</f>
        <v>0</v>
      </c>
      <c r="GF183" s="6">
        <f>COUNTIFS(Table48[Country],Tabela1[[#This Row],[Country]],Table48[Vault Classification],"&gt;0")</f>
        <v>0</v>
      </c>
      <c r="GG183" s="6">
        <f>COUNTIFS(Table919496[Country],Tabela1[[#This Row],[Country]],Table919496[Men''s Classification],"&gt;0")</f>
        <v>0</v>
      </c>
      <c r="GH183" s="6">
        <f>COUNTIFS(Table919496[Country],Tabela1[[#This Row],[Country]],Table919496[Women''s Classification],"&gt;0")</f>
        <v>0</v>
      </c>
      <c r="GI183" s="6">
        <f>COUNTIFS(Table12[Country],Tabela1[[#This Row],[Country]],Table12[60kg Classification],"&gt;0")</f>
        <v>0</v>
      </c>
      <c r="GJ183" s="6">
        <f>COUNTIFS(Table12[Country],Tabela1[[#This Row],[Country]],Table12[66kg Classification],"&gt;0")</f>
        <v>0</v>
      </c>
      <c r="GK183" s="6">
        <f>COUNTIFS(Table12[Country],Tabela1[[#This Row],[Country]],Table12[73kg Classification],"&gt;0")</f>
        <v>0</v>
      </c>
      <c r="GL183" s="6">
        <f>COUNTIFS(Table12[Country],Tabela1[[#This Row],[Country]],Table12[81kg Classification],"&gt;0")</f>
        <v>0</v>
      </c>
      <c r="GM183" s="6">
        <f>COUNTIFS(Table12[Country],Tabela1[[#This Row],[Country]],Table12[90kg Classification],"&gt;0")</f>
        <v>0</v>
      </c>
      <c r="GN183" s="6">
        <f>COUNTIFS(Table12[Country],Tabela1[[#This Row],[Country]],Table12[100kg Classification],"&gt;0")</f>
        <v>0</v>
      </c>
      <c r="GO183" s="6">
        <f>COUNTIFS(Table12[Country],Tabela1[[#This Row],[Country]],Table12[Plus 100kg Classification],"&gt;0")</f>
        <v>0</v>
      </c>
      <c r="GP183" s="6">
        <f>COUNTIFS(Table13[Country],Tabela1[[#This Row],[Country]],Table13[48kg Classification],"&gt;0")</f>
        <v>0</v>
      </c>
      <c r="GQ183" s="6">
        <f>COUNTIFS(Table13[Country],Tabela1[[#This Row],[Country]],Table13[52kg Classification],"&gt;0")</f>
        <v>0</v>
      </c>
      <c r="GR183" s="6">
        <f>COUNTIFS(Table13[Country],Tabela1[[#This Row],[Country]],Table13[57kg Classification],"&gt;0")</f>
        <v>0</v>
      </c>
      <c r="GS183" s="6">
        <f>COUNTIFS(Table13[Country],Tabela1[[#This Row],[Country]],Table13[63kg Classification],"&gt;0")</f>
        <v>0</v>
      </c>
      <c r="GT183" s="6">
        <f>COUNTIFS(Table13[Country],Tabela1[[#This Row],[Country]],Table13[70kg Classification],"&gt;0")</f>
        <v>0</v>
      </c>
      <c r="GU183" s="6">
        <f>COUNTIFS(Table13[Country],Tabela1[[#This Row],[Country]],Table13[78kg Classification],"&gt;0")</f>
        <v>0</v>
      </c>
      <c r="GV183" s="6">
        <f>COUNTIFS(Table13[Country],Tabela1[[#This Row],[Country]],Table13[Plus 78kg Classification],"&gt;0")</f>
        <v>0</v>
      </c>
      <c r="GW183" s="6">
        <f>COUNTIFS(Table82[Country],Tabela1[[#This Row],[Country]],Table82[Mixed Classification],"&gt;0")</f>
        <v>0</v>
      </c>
      <c r="GX183" s="6">
        <f>COUNTIFS(Table51[Country],Tabela1[[#This Row],[Country]],Table51[Classification],"&gt;0")</f>
        <v>0</v>
      </c>
      <c r="GY183" s="6">
        <f>COUNTIFS(Table52[Country],Tabela1[[#This Row],[Country]],Table52[Classification],"&gt;0")</f>
        <v>0</v>
      </c>
      <c r="GZ183" s="6">
        <f>COUNTIFS(Table32[Country],Tabela1[[#This Row],[Country]],Table32[All-Around Classification],"&gt;0")</f>
        <v>0</v>
      </c>
      <c r="HA183" s="6">
        <f>COUNTIFS(Table49[Country],Tabela1[[#This Row],[Country]],Table49[All-Around Classification],"&gt;0")</f>
        <v>0</v>
      </c>
      <c r="HB183" s="6">
        <f>COUNTIFS(Table26[Country],Tabela1[[#This Row],[Country]],Table26[Single Sculls Classification],"&gt;0")</f>
        <v>0</v>
      </c>
      <c r="HC183" s="6">
        <f>COUNTIFS(Table63[Country],Tabela1[[#This Row],[Country]],Table63[Single Sculls Classification],"&gt;0")</f>
        <v>0</v>
      </c>
      <c r="HD183" s="6">
        <f>COUNTIFS(Table16[Country],Tabela1[[#This Row],[Country]],Table16[Men''s Double Sculls Classification],"&gt;0")</f>
        <v>0</v>
      </c>
      <c r="HE183" s="6">
        <f>COUNTIFS(Table16[Country],Tabela1[[#This Row],[Country]],Table16[Women''s Double Sculls Classification],"&gt;0")</f>
        <v>0</v>
      </c>
      <c r="HF183" s="6">
        <f>COUNTIFS(Table72[Country],Tabela1[[#This Row],[Country]],Table72[Men''s Quadruple Sculls Classification],"&gt;0")</f>
        <v>0</v>
      </c>
      <c r="HG183" s="6">
        <f>COUNTIFS(Table72[Country],Tabela1[[#This Row],[Country]],Table72[Women''s Quadruple Sculls Classification],"&gt;0")</f>
        <v>0</v>
      </c>
      <c r="HH183" s="6">
        <f>COUNTIFS(Table16[Country],Tabela1[[#This Row],[Country]],Table16[Men''s Coxless Pairs Classification],"&gt;0")</f>
        <v>0</v>
      </c>
      <c r="HI183" s="6">
        <f>COUNTIFS(Table16[Country],Tabela1[[#This Row],[Country]],Table16[Women''s Coxless Pairs Classification],"&gt;0")</f>
        <v>0</v>
      </c>
      <c r="HJ183" s="6">
        <f>COUNTIFS(Table72[Country],Tabela1[[#This Row],[Country]],Table72[Men''s Coxless Fours Classification],"&gt;0")</f>
        <v>0</v>
      </c>
      <c r="HK183" s="6">
        <f>COUNTIFS(Table72[Country],Tabela1[[#This Row],[Country]],Table72[Women''s Coxless Fours Classification],"&gt;0")</f>
        <v>0</v>
      </c>
      <c r="HL183" s="6">
        <f>COUNTIFS(Table72[Country],Tabela1[[#This Row],[Country]],Table72[Men''s Eights Classification],"&gt;0")</f>
        <v>0</v>
      </c>
      <c r="HM183" s="6">
        <f>COUNTIFS(Table72[Country],Tabela1[[#This Row],[Country]],Table72[Women''s Eights Classification],"&gt;0")</f>
        <v>0</v>
      </c>
      <c r="HN183" s="6">
        <f>COUNTIFS(Table16[Country],Tabela1[[#This Row],[Country]],Table16[Men''s Lwt. Double Sculls Classification],"&gt;0")</f>
        <v>0</v>
      </c>
      <c r="HO183" s="6">
        <f>COUNTIFS(Table16[Country],Tabela1[[#This Row],[Country]],Table16[Women''s Lwt. Double Sculls Classification],"&gt;0")</f>
        <v>0</v>
      </c>
      <c r="HP183" s="6">
        <f>COUNTIFS(Table91949698[Country],Tabela1[[#This Row],[Country]],Table91949698[Men''s Classification],"&gt;0")</f>
        <v>0</v>
      </c>
      <c r="HQ183" s="6">
        <f>COUNTIFS(Table91949698[Country],Tabela1[[#This Row],[Country]],Table91949698[Women''s Classification],"&gt;0")</f>
        <v>0</v>
      </c>
      <c r="HR183" s="6">
        <f>COUNTIFS(Table25[Country],Tabela1[[#This Row],[Country]],Table25[Mixed 470 Classification],"&gt;0")</f>
        <v>0</v>
      </c>
      <c r="HS183" s="6">
        <f>COUNTIFS(Table25[Country],Tabela1[[#This Row],[Country]],Table25[Men''s 49er Classification],"&gt;0")</f>
        <v>0</v>
      </c>
      <c r="HT183" s="6">
        <f>COUNTIFS(Table25[Country],Tabela1[[#This Row],[Country]],Table25[Women''s 49er FX Classification],"&gt;0")</f>
        <v>0</v>
      </c>
      <c r="HU183" s="6">
        <f>COUNTIFS(Table17[Country],Tabela1[[#This Row],[Country]],Table17[Formula Kite Classification],"&gt;0")</f>
        <v>0</v>
      </c>
      <c r="HV183" s="6">
        <f>COUNTIFS(Table18[Country],Tabela1[[#This Row],[Country]],Table18[Formula Kite Classification],"&gt;0")</f>
        <v>0</v>
      </c>
      <c r="HW183" s="6">
        <f>COUNTIFS(Table17[Country],Tabela1[[#This Row],[Country]],Table17[ILCA 7 Classification],"&gt;0")</f>
        <v>0</v>
      </c>
      <c r="HX183" s="6">
        <f>COUNTIFS(Table18[Country],Tabela1[[#This Row],[Country]],Table18[ILCA 6 Classification],"&gt;0")</f>
        <v>0</v>
      </c>
      <c r="HY183" s="6">
        <f>COUNTIFS(Table17[Country],Tabela1[[#This Row],[Country]],Table17[IQFoil Classification],"&gt;0")</f>
        <v>0</v>
      </c>
      <c r="HZ183" s="6">
        <f>COUNTIFS(Table18[Country],Tabela1[[#This Row],[Country]],Table18[IQFoil Classification],"&gt;0")</f>
        <v>0</v>
      </c>
      <c r="IA183" s="6">
        <f>COUNTIFS(Table25[Country],Tabela1[[#This Row],[Country]],Table25[Mixed Nacra 17 Classification],"&gt;0")</f>
        <v>0</v>
      </c>
      <c r="IB183" s="6">
        <f>COUNTIFS(Table53[Country],Tabela1[[#This Row],[Country]],Table53[10m Air Pistol Classification],"&gt;0")</f>
        <v>0</v>
      </c>
      <c r="IC183" s="6">
        <f>COUNTIFS(Table19[Country],Tabela1[[#This Row],[Country]],Table19[10m Air Pistol Classification],"&gt;0")</f>
        <v>0</v>
      </c>
      <c r="ID183" s="6">
        <f>COUNTIFS(Table54[Country],Tabela1[[#This Row],[Country]],Table54[Mixed 10m Air Pistol Team Classification],"&gt;0")</f>
        <v>0</v>
      </c>
      <c r="IE183" s="6">
        <f>COUNTIFS(Table53[Country],Tabela1[[#This Row],[Country]],Table53[10m Air Rifle Classification],"&gt;0")</f>
        <v>0</v>
      </c>
      <c r="IF183" s="6">
        <f>COUNTIFS(Table19[Country],Tabela1[[#This Row],[Country]],Table19[10m Air Rifle Classification],"&gt;0")</f>
        <v>0</v>
      </c>
      <c r="IG183" s="6">
        <f>COUNTIFS(Table54[Country],Tabela1[[#This Row],[Country]],Table54[Mixed 10m Air Rifle Team Classification],"&gt;0")</f>
        <v>0</v>
      </c>
      <c r="IH183" s="6">
        <f>COUNTIFS(Table53[Country],Tabela1[[#This Row],[Country]],Table53[25m Rapid Fire Pistol Classification],"&gt;0")</f>
        <v>0</v>
      </c>
      <c r="II183" s="6">
        <f>COUNTIFS(Table19[Country],Tabela1[[#This Row],[Country]],Table19[25m Pistol Classification],"&gt;0")</f>
        <v>0</v>
      </c>
      <c r="IJ183" s="6">
        <f>COUNTIFS(Table53[Country],Tabela1[[#This Row],[Country]],Table53[50m Rifle 3 Positions Classification],"&gt;0")</f>
        <v>0</v>
      </c>
      <c r="IK183" s="6">
        <f>COUNTIFS(Table19[Country],Tabela1[[#This Row],[Country]],Table19[50m Rifle 3 Positions Classification],"&gt;0")</f>
        <v>0</v>
      </c>
      <c r="IL183" s="6">
        <f>COUNTIFS(Table53[Country],Tabela1[[#This Row],[Country]],Table53[Skeet Classification],"&gt;0")</f>
        <v>0</v>
      </c>
      <c r="IM183" s="6">
        <f>COUNTIFS(Table19[Country],Tabela1[[#This Row],[Country]],Table19[Skeet Classification],"&gt;0")</f>
        <v>0</v>
      </c>
      <c r="IN183" s="6">
        <f>COUNTIFS(Table54[Country],Tabela1[[#This Row],[Country]],Table54[Mixed Skeet Team Classification],"&gt;0")</f>
        <v>0</v>
      </c>
      <c r="IO183" s="6">
        <f>COUNTIFS(Table53[Country],Tabela1[[#This Row],[Country]],Table53[Trap Classification],"&gt;0")</f>
        <v>0</v>
      </c>
      <c r="IP183" s="6">
        <f>COUNTIFS(Table19[Country],Tabela1[[#This Row],[Country]],Table19[Trap Classification],"&gt;0")</f>
        <v>0</v>
      </c>
      <c r="IQ183" s="6">
        <f>COUNTIFS(Table73[Country],Tabela1[[#This Row],[Country]],Table73[Park Classification],"&gt;0")</f>
        <v>0</v>
      </c>
      <c r="IR183" s="6">
        <f>COUNTIFS(Table74[Country],Tabela1[[#This Row],[Country]],Table74[Park Classification],"&gt;0")</f>
        <v>0</v>
      </c>
      <c r="IS183" s="6">
        <f>COUNTIFS(Table73[Country],Tabela1[[#This Row],[Country]],Table73[Street Classification],"&gt;0")</f>
        <v>0</v>
      </c>
      <c r="IT183" s="6">
        <f>COUNTIFS(Table74[Country],Tabela1[[#This Row],[Country]],Table74[Street Classification],"&gt;0")</f>
        <v>0</v>
      </c>
      <c r="IU183" s="6">
        <f>COUNTIFS(Table75[Country],Tabela1[[#This Row],[Country]],Table75[Boulder and Lead Classification],"&gt;0")</f>
        <v>0</v>
      </c>
      <c r="IV183" s="6">
        <f>COUNTIFS(Table76[Country],Tabela1[[#This Row],[Country]],Table76[Boulder and Lead Classification],"&gt;0")</f>
        <v>0</v>
      </c>
      <c r="IW183" s="6">
        <f>COUNTIFS(Table75[Country],Tabela1[[#This Row],[Country]],Table75[Speed Classification],"&gt;0")</f>
        <v>0</v>
      </c>
      <c r="IX183" s="6">
        <f>COUNTIFS(Table76[Country],Tabela1[[#This Row],[Country]],Table76[Speed Classification],"&gt;0")</f>
        <v>0</v>
      </c>
      <c r="IY183" s="6">
        <f>COUNTIFS(Table64[Country],Tabela1[[#This Row],[Country]],Table64[Shortboard Classification],"&gt;0")</f>
        <v>0</v>
      </c>
      <c r="IZ183" s="6">
        <f>COUNTIFS(Table77[Country],Tabela1[[#This Row],[Country]],Table77[Shortboard Classification],"&gt;0")</f>
        <v>0</v>
      </c>
      <c r="JA183" s="6">
        <f>COUNTIFS(Table20[Country],Tabela1[[#This Row],[Country]],Table20[50m Freestyle Classification],"&gt;0")</f>
        <v>0</v>
      </c>
      <c r="JB183" s="6">
        <f>COUNTIFS(Table21[Country],Tabela1[[#This Row],[Country]],Table21[50m Freestyle Classification],"&gt;0")</f>
        <v>0</v>
      </c>
      <c r="JC183" s="6">
        <f>COUNTIFS(Table20[Country],Tabela1[[#This Row],[Country]],Table20[100m Freestyle Classification],"&gt;0")</f>
        <v>0</v>
      </c>
      <c r="JD183" s="6">
        <f>COUNTIFS(Table21[Country],Tabela1[[#This Row],[Country]],Table21[100m Freestyle Classification],"&gt;0")</f>
        <v>0</v>
      </c>
      <c r="JE183" s="6">
        <f>COUNTIFS(Table20[Country],Tabela1[[#This Row],[Country]],Table20[200m Freestyle Classification],"&gt;0")</f>
        <v>0</v>
      </c>
      <c r="JF183" s="6">
        <f>COUNTIFS(Table21[Country],Tabela1[[#This Row],[Country]],Table21[200m Freestyle Classification],"&gt;0")</f>
        <v>0</v>
      </c>
      <c r="JG183" s="6">
        <f>COUNTIFS(Table20[Country],Tabela1[[#This Row],[Country]],Table20[400m Freestyle Classification],"&gt;0")</f>
        <v>0</v>
      </c>
      <c r="JH183" s="6">
        <f>COUNTIFS(Table21[Country],Tabela1[[#This Row],[Country]],Table21[400m Freestyle Classification],"&gt;0")</f>
        <v>0</v>
      </c>
      <c r="JI183" s="6">
        <f>COUNTIFS(Table20[Country],Tabela1[[#This Row],[Country]],Table20[800m Freestyle Classification],"&gt;0")</f>
        <v>0</v>
      </c>
      <c r="JJ183" s="6">
        <f>COUNTIFS(Table21[Country],Tabela1[[#This Row],[Country]],Table21[800m Freestyle Classification],"&gt;0")</f>
        <v>0</v>
      </c>
      <c r="JK183" s="6">
        <f>COUNTIFS(Table20[Country],Tabela1[[#This Row],[Country]],Table20[1500m Freestyle Classification],"&gt;0")</f>
        <v>0</v>
      </c>
      <c r="JL183" s="6">
        <f>COUNTIFS(Table21[Country],Tabela1[[#This Row],[Country]],Table21[1500m Freestyle Classification],"&gt;0")</f>
        <v>0</v>
      </c>
      <c r="JM183" s="6">
        <f>COUNTIFS(Table20[Country],Tabela1[[#This Row],[Country]],Table20[100m Backstroke Classification],"&gt;0")</f>
        <v>0</v>
      </c>
      <c r="JN183" s="6">
        <f>COUNTIFS(Table21[Country],Tabela1[[#This Row],[Country]],Table21[100m Backstroke Classification],"&gt;0")</f>
        <v>0</v>
      </c>
      <c r="JO183" s="6">
        <f>COUNTIFS(Table20[Country],Tabela1[[#This Row],[Country]],Table20[200m Backstroke Classification],"&gt;0")</f>
        <v>0</v>
      </c>
      <c r="JP183" s="6">
        <f>COUNTIFS(Table21[Country],Tabela1[[#This Row],[Country]],Table21[200m Backstroke Classification],"&gt;0")</f>
        <v>0</v>
      </c>
      <c r="JQ183" s="6">
        <f>COUNTIFS(Table20[Country],Tabela1[[#This Row],[Country]],Table20[100m Breaststroke Classification],"&gt;0")</f>
        <v>0</v>
      </c>
      <c r="JR183" s="6">
        <f>COUNTIFS(Table21[Country],Tabela1[[#This Row],[Country]],Table21[100m Breaststroke Classification],"&gt;0")</f>
        <v>0</v>
      </c>
      <c r="JS183" s="6">
        <f>COUNTIFS(Table20[Country],Tabela1[[#This Row],[Country]],Table20[200m Breaststroke Classification],"&gt;0")</f>
        <v>0</v>
      </c>
      <c r="JT183" s="6">
        <f>COUNTIFS(Table21[Country],Tabela1[[#This Row],[Country]],Table21[200m Breaststroke Classification],"&gt;0")</f>
        <v>0</v>
      </c>
      <c r="JU183" s="6">
        <f>COUNTIFS(Table20[Country],Tabela1[[#This Row],[Country]],Table20[100m Butterfly Classification],"&gt;0")</f>
        <v>0</v>
      </c>
      <c r="JV183" s="6">
        <f>COUNTIFS(Table21[Country],Tabela1[[#This Row],[Country]],Table21[100m Butterfly Classification],"&gt;0")</f>
        <v>0</v>
      </c>
      <c r="JW183" s="6">
        <f>COUNTIFS(Table20[Country],Tabela1[[#This Row],[Country]],Table20[200m Butterfly Classification],"&gt;0")</f>
        <v>0</v>
      </c>
      <c r="JX183" s="6">
        <f>COUNTIFS(Table21[Country],Tabela1[[#This Row],[Country]],Table21[200m Butterfly Classification],"&gt;0")</f>
        <v>0</v>
      </c>
      <c r="JY183" s="6">
        <f>COUNTIFS(Table20[Country],Tabela1[[#This Row],[Country]],Table20[200m Medley Classification],"&gt;0")</f>
        <v>0</v>
      </c>
      <c r="JZ183" s="6">
        <f>COUNTIFS(Table21[Country],Tabela1[[#This Row],[Country]],Table21[200m Medley Classification],"&gt;0")</f>
        <v>0</v>
      </c>
      <c r="KA183" s="6">
        <f>COUNTIFS(Table20[Country],Tabela1[[#This Row],[Country]],Table20[400m Medley Classification],"&gt;0")</f>
        <v>0</v>
      </c>
      <c r="KB183" s="6">
        <f>COUNTIFS(Table21[Country],Tabela1[[#This Row],[Country]],Table21[400m Medley Classification],"&gt;0")</f>
        <v>0</v>
      </c>
      <c r="KC183" s="6">
        <f>COUNTIFS(Table78[Country],Tabela1[[#This Row],[Country]],Table78[Men''s 4x100m Freestyle Relay Classification],"&gt;0")</f>
        <v>0</v>
      </c>
      <c r="KD183" s="6">
        <f>COUNTIFS(Table78[Country],Tabela1[[#This Row],[Country]],Table78[Women''s 4x100m Freestyle Relay Classification],"&gt;0")</f>
        <v>0</v>
      </c>
      <c r="KE183" s="6">
        <f>COUNTIFS(Table78[Country],Tabela1[[#This Row],[Country]],Table78[Men''s 4x200m Freestyle Relay Classification],"&gt;0")</f>
        <v>0</v>
      </c>
      <c r="KF183" s="6">
        <f>COUNTIFS(Table78[Country],Tabela1[[#This Row],[Country]],Table78[Women''s 4x200m Freestyle Relay Classification],"&gt;0")</f>
        <v>0</v>
      </c>
      <c r="KG183" s="6">
        <f>COUNTIFS(Table78[Country],Tabela1[[#This Row],[Country]],Table78[Men''s 4x100m Medley Relay Classification],"&gt;0")</f>
        <v>0</v>
      </c>
      <c r="KH183" s="6">
        <f>COUNTIFS(Table78[Country],Tabela1[[#This Row],[Country]],Table78[Women''s 4x100m Medley Relay Classification],"&gt;0")</f>
        <v>0</v>
      </c>
      <c r="KI183" s="6">
        <f>COUNTIFS(Table78[Country],Tabela1[[#This Row],[Country]],Table78[Mixed 4x100m Medley Relay Classification],"&gt;0")</f>
        <v>0</v>
      </c>
      <c r="KJ183" s="6">
        <f>COUNTIFS(Table20[Country],Tabela1[[#This Row],[Country]],Table20[10km Open Water Classification],"&gt;0")</f>
        <v>0</v>
      </c>
      <c r="KK183" s="6">
        <f>COUNTIFS(Table21[Country],Tabela1[[#This Row],[Country]],Table21[10km Open Water Classification],"&gt;0")</f>
        <v>0</v>
      </c>
      <c r="KL183" s="6">
        <f>COUNTIFS(Table22[Country],Tabela1[[#This Row],[Country]],Table22[Classification],"&gt;0")</f>
        <v>0</v>
      </c>
      <c r="KM183" s="6">
        <f>COUNTIFS(Table30[Country],Tabela1[[#This Row],[Country]],Table30[Classification],"&gt;0")</f>
        <v>0</v>
      </c>
      <c r="KN183" s="6">
        <f>COUNTIFS(Table55[Country],Tabela1[[#This Row],[Country]],Table55[Men''s Classification],"&gt;0")</f>
        <v>0</v>
      </c>
      <c r="KO183" s="6">
        <f>COUNTIFS(Table55[Country],Tabela1[[#This Row],[Country]],Table55[Women''s Classification],"&gt;0")</f>
        <v>0</v>
      </c>
      <c r="KP183" s="6">
        <f>COUNTIFS(Table56[Country],Tabela1[[#This Row],[Country]],Table56[Mixed Classification],"&gt;0")</f>
        <v>0</v>
      </c>
      <c r="KQ183" s="6">
        <f>COUNTIFS(Table29[Country],Tabela1[[#This Row],[Country]],Table29[58kg Classification],"&gt;0")</f>
        <v>0</v>
      </c>
      <c r="KR183" s="6">
        <f>COUNTIFS(Table29[Country],Tabela1[[#This Row],[Country]],Table29[68kg Classification],"&gt;0")</f>
        <v>0</v>
      </c>
      <c r="KS183" s="6">
        <f>COUNTIFS(Table29[Country],Tabela1[[#This Row],[Country]],Table29[80kg Classification],"&gt;0")</f>
        <v>0</v>
      </c>
      <c r="KT183" s="6">
        <f>COUNTIFS(Table29[Country],Tabela1[[#This Row],[Country]],Table29[Plus 80kg Classification],"&gt;0")</f>
        <v>0</v>
      </c>
      <c r="KU183" s="6">
        <f>COUNTIFS(Table34[Country],Tabela1[[#This Row],[Country]],Table34[49kg Classification],"&gt;0")</f>
        <v>0</v>
      </c>
      <c r="KV183" s="6">
        <f>COUNTIFS(Table34[Country],Tabela1[[#This Row],[Country]],Table34[57kg Classification],"&gt;0")</f>
        <v>0</v>
      </c>
      <c r="KW183" s="6">
        <f>COUNTIFS(Table34[Country],Tabela1[[#This Row],[Country]],Table34[67kg Classification],"&gt;0")</f>
        <v>0</v>
      </c>
      <c r="KX183" s="6">
        <f>COUNTIFS(Table34[Country],Tabela1[[#This Row],[Country]],Table34[Plus 67kg Classification],"&gt;0")</f>
        <v>0</v>
      </c>
      <c r="KY183" s="6">
        <f>COUNTIFS(Table57[Country],Tabela1[[#This Row],[Country]],Table57[Classification],"&gt;0")</f>
        <v>0</v>
      </c>
      <c r="KZ183" s="6">
        <f>COUNTIFS(Table58[Country],Tabela1[[#This Row],[Country]],Table58[Classification],"&gt;0")</f>
        <v>0</v>
      </c>
      <c r="LA183" s="6">
        <f>COUNTIFS(Table79[Country],Tabela1[[#This Row],[Country]],Table79[Men''s Classification],"&gt;0")</f>
        <v>0</v>
      </c>
      <c r="LB183" s="6">
        <f>COUNTIFS(Table79[Country],Tabela1[[#This Row],[Country]],Table79[Women''s Classification],"&gt;0")</f>
        <v>0</v>
      </c>
      <c r="LC183" s="6">
        <f>COUNTIFS(Table79[Country],Tabela1[[#This Row],[Country]],Table79[Mixed Classification],"&gt;0")</f>
        <v>0</v>
      </c>
      <c r="LD183" s="6">
        <f>COUNTIFS(Table65[Country],Tabela1[[#This Row],[Country]],Table65[Classification],"&gt;0")</f>
        <v>0</v>
      </c>
      <c r="LE183" s="6">
        <f>COUNTIFS(Table59[Country],Tabela1[[#This Row],[Country]],Table59[Classification],"&gt;0")</f>
        <v>0</v>
      </c>
      <c r="LF183" s="6">
        <f>COUNTIFS(Table87[Country],Tabela1[[#This Row],[Country]],Table87[Mixed Relay Classification],"&gt;0")</f>
        <v>0</v>
      </c>
      <c r="LG183" s="6">
        <f>COUNTIFS(Table91949698100[Country],Tabela1[[#This Row],[Country]],Table91949698100[Men''s Classification],"&gt;0")</f>
        <v>0</v>
      </c>
      <c r="LH183" s="6">
        <f>COUNTIFS(Table91949698100[Country],Tabela1[[#This Row],[Country]],Table91949698100[Women''s Classification],"&gt;0")</f>
        <v>0</v>
      </c>
      <c r="LI183" s="6">
        <f>COUNTIFS(Table91949698100102[Country],Tabela1[[#This Row],[Country]],Table91949698100102[Men''s Classification],"&gt;0")</f>
        <v>0</v>
      </c>
      <c r="LJ183" s="6">
        <f>COUNTIFS(Table91949698100102[Country],Tabela1[[#This Row],[Country]],Table91949698100102[Women''s Classification],"&gt;0")</f>
        <v>0</v>
      </c>
      <c r="LK183" s="6">
        <f>COUNTIFS(Table23[Country],Tabela1[[#This Row],[Country]],Table23[61kg Classification],"&gt;0")</f>
        <v>0</v>
      </c>
      <c r="LL183" s="6">
        <f>COUNTIFS(Table23[Country],Tabela1[[#This Row],[Country]],Table23[73kg Classification],"&gt;0")</f>
        <v>0</v>
      </c>
      <c r="LM183" s="6">
        <f>COUNTIFS(Table23[Country],Tabela1[[#This Row],[Country]],Table23[89kg Classification],"&gt;0")</f>
        <v>0</v>
      </c>
      <c r="LN183" s="6">
        <f>COUNTIFS(Table23[Country],Tabela1[[#This Row],[Country]],Table23[102kg Classification],"&gt;0")</f>
        <v>0</v>
      </c>
      <c r="LO183" s="6">
        <f>COUNTIFS(Table23[Country],Tabela1[[#This Row],[Country]],Table23[Plus 102kg Classification],"&gt;0")</f>
        <v>0</v>
      </c>
      <c r="LP183" s="6">
        <f>COUNTIFS(Table28[Country],Tabela1[[#This Row],[Country]],Table28[49kg Classification],"&gt;0")</f>
        <v>0</v>
      </c>
      <c r="LQ183" s="6">
        <f>COUNTIFS(Table28[Country],Tabela1[[#This Row],[Country]],Table28[59kg Classification],"&gt;0")</f>
        <v>0</v>
      </c>
      <c r="LR183" s="6">
        <f>COUNTIFS(Table28[Country],Tabela1[[#This Row],[Country]],Table28[71kg Classification],"&gt;0")</f>
        <v>0</v>
      </c>
      <c r="LS183" s="6">
        <f>COUNTIFS(Table28[Country],Tabela1[[#This Row],[Country]],Table28[81kg Classification],"&gt;0")</f>
        <v>0</v>
      </c>
      <c r="LT183" s="6">
        <f>COUNTIFS(Table28[Country],Tabela1[[#This Row],[Country]],Table28[Plus 81kg Classification],"&gt;0")</f>
        <v>0</v>
      </c>
      <c r="LU183" s="6">
        <f>COUNTIFS(Table24[Country],Tabela1[[#This Row],[Country]],Table24[Freestyle 57kg Classification],"&gt;0")</f>
        <v>0</v>
      </c>
      <c r="LV183" s="6">
        <f>COUNTIFS(Table24[Country],Tabela1[[#This Row],[Country]],Table24[Freestyle 65kg Classification],"&gt;0")</f>
        <v>0</v>
      </c>
      <c r="LW183" s="6">
        <f>COUNTIFS(Table24[Country],Tabela1[[#This Row],[Country]],Table24[Freestyle 74kg Classification],"&gt;0")</f>
        <v>0</v>
      </c>
      <c r="LX183" s="6">
        <f>COUNTIFS(Table24[Country],Tabela1[[#This Row],[Country]],Table24[Freestyle 86kg Classification],"&gt;0")</f>
        <v>0</v>
      </c>
      <c r="LY183" s="6">
        <f>COUNTIFS(Table24[Country],Tabela1[[#This Row],[Country]],Table24[Freestyle 97kg Classification],"&gt;0")</f>
        <v>0</v>
      </c>
      <c r="LZ183" s="6">
        <f>COUNTIFS(Table24[Country],Tabela1[[#This Row],[Country]],Table24[Freestyle 125kg Classification],"&gt;0")</f>
        <v>0</v>
      </c>
      <c r="MA183" s="6">
        <f>COUNTIFS(Table24[Country],Tabela1[[#This Row],[Country]],Table24[Greco-Roman 60kg Classification],"&gt;0")</f>
        <v>0</v>
      </c>
      <c r="MB183" s="6">
        <f>COUNTIFS(Table24[Country],Tabela1[[#This Row],[Country]],Table24[Greco-Roman 67kg Classification],"&gt;0")</f>
        <v>0</v>
      </c>
      <c r="MC183" s="6">
        <f>COUNTIFS(Table24[Country],Tabela1[[#This Row],[Country]],Table24[Greco-Roman 77kg Classification],"&gt;0")</f>
        <v>0</v>
      </c>
      <c r="MD183" s="6">
        <f>COUNTIFS(Table24[Country],Tabela1[[#This Row],[Country]],Table24[Greco-Roman 87kg Classification],"&gt;0")</f>
        <v>0</v>
      </c>
      <c r="ME183" s="6">
        <f>COUNTIFS(Table24[Country],Tabela1[[#This Row],[Country]],Table24[Greco-Roman 97kg Classification],"&gt;0")</f>
        <v>0</v>
      </c>
      <c r="MF183" s="6">
        <f>COUNTIFS(Table24[Country],Tabela1[[#This Row],[Country]],Table24[Greco-Roman 130kg Classification],"&gt;0")</f>
        <v>0</v>
      </c>
      <c r="MG183" s="6">
        <f>COUNTIFS(Table31[Country],Tabela1[[#This Row],[Country]],Table31[50kg Classification],"&gt;0")</f>
        <v>0</v>
      </c>
      <c r="MH183" s="6">
        <f>COUNTIFS(Table31[Country],Tabela1[[#This Row],[Country]],Table31[53kg Classification],"&gt;0")</f>
        <v>0</v>
      </c>
      <c r="MI183" s="6">
        <f>COUNTIFS(Table31[Country],Tabela1[[#This Row],[Country]],Table31[57kg Classification],"&gt;0")</f>
        <v>0</v>
      </c>
      <c r="MJ183" s="6">
        <f>COUNTIFS(Table31[Country],Tabela1[[#This Row],[Country]],Table31[62kg Classification],"&gt;0")</f>
        <v>0</v>
      </c>
      <c r="MK183" s="6">
        <f>COUNTIFS(Table31[Country],Tabela1[[#This Row],[Country]],Table31[68kg Classification],"&gt;0")</f>
        <v>0</v>
      </c>
      <c r="ML183" s="6">
        <f>COUNTIFS(Table31[Country],Tabela1[[#This Row],[Country]],Table31[76kg Classification],"&gt;0")</f>
        <v>0</v>
      </c>
      <c r="MM183" s="6">
        <f>COUNTIFS(Table102[Country],Tabela1[[#This Row],[Country]],Table102[Downhill Classification],"&gt;0")</f>
        <v>0</v>
      </c>
      <c r="MN183" s="6">
        <f>COUNTIFS(Table102105[Country],Tabela1[[#This Row],[Country]],Table102105[Downhill Classification],"&gt;0")</f>
        <v>0</v>
      </c>
      <c r="MO183" s="6">
        <f>COUNTIFS(Table102[Country],Tabela1[[#This Row],[Country]],Table102[Giant Slalom Classification],"&gt;0")</f>
        <v>0</v>
      </c>
      <c r="MP183" s="6">
        <f>COUNTIFS(Table102105[Country],Tabela1[[#This Row],[Country]],Table102105[Giant Slalom Classification],"&gt;0")</f>
        <v>0</v>
      </c>
      <c r="MQ183" s="6">
        <f>COUNTIFS(Table102[Country],Tabela1[[#This Row],[Country]],Table102[Slalom Classification],"&gt;0")</f>
        <v>0</v>
      </c>
      <c r="MR183" s="6">
        <f>COUNTIFS(Table102105[Country],Tabela1[[#This Row],[Country]],Table102105[Slalom Classification],"&gt;0")</f>
        <v>0</v>
      </c>
      <c r="MS183" s="6">
        <f>COUNTIFS(Table102[Country],Tabela1[[#This Row],[Country]],Table102[Super-G Classification],"&gt;0")</f>
        <v>0</v>
      </c>
      <c r="MT183" s="6">
        <f>COUNTIFS(Table102105[Country],Tabela1[[#This Row],[Country]],Table102105[Super-G Classification],"&gt;0")</f>
        <v>0</v>
      </c>
      <c r="MU183" s="6">
        <f>COUNTIFS(Table105[Country],Tabela1[[#This Row],[Country]],Table105[Men''s Combined Classification],"&gt;0")</f>
        <v>0</v>
      </c>
      <c r="MV183" s="6">
        <f>COUNTIFS(Table105[Country],Tabela1[[#This Row],[Country]],Table105[Women''s Combined Classification],"&gt;0")</f>
        <v>0</v>
      </c>
      <c r="MW183" s="6">
        <f>COUNTIFS(Table106[Country],Tabela1[[#This Row],[Country]],Table106[Individual Classification],"&gt;0")</f>
        <v>0</v>
      </c>
      <c r="MX183" s="6">
        <f>COUNTIFS(Table106109[Country],Tabela1[[#This Row],[Country]],Table106109[Individual Classification],"&gt;0")</f>
        <v>0</v>
      </c>
      <c r="MY183" s="6">
        <f>COUNTIFS(Table106[Country],Tabela1[[#This Row],[Country]],Table106[Mass Start Classification],"&gt;0")</f>
        <v>0</v>
      </c>
      <c r="MZ183" s="6">
        <f>COUNTIFS(Table106109[Country],Tabela1[[#This Row],[Country]],Table106109[Mass Start Classification],"&gt;0")</f>
        <v>0</v>
      </c>
      <c r="NA183" s="6">
        <f>COUNTIFS(Table106[Country],Tabela1[[#This Row],[Country]],Table106[Pursuit Classification],"&gt;0")</f>
        <v>0</v>
      </c>
      <c r="NB183" s="6">
        <f>COUNTIFS(Table106109[Country],Tabela1[[#This Row],[Country]],Table106109[Pursuit Classification],"&gt;0")</f>
        <v>0</v>
      </c>
      <c r="NC183" s="6">
        <f>COUNTIFS(Table106[Country],Tabela1[[#This Row],[Country]],Table106[Sprint Classification],"&gt;0")</f>
        <v>0</v>
      </c>
      <c r="ND183" s="6">
        <f>COUNTIFS(Table106109[Country],Tabela1[[#This Row],[Country]],Table106109[Sprint Classification],"&gt;0")</f>
        <v>0</v>
      </c>
      <c r="NE183" s="6">
        <f>COUNTIFS(Table109[Country],Tabela1[[#This Row],[Country]],Table109[Men''s Relay Classification],"&gt;0")</f>
        <v>0</v>
      </c>
      <c r="NF183" s="6">
        <f>COUNTIFS(Table109[Country],Tabela1[[#This Row],[Country]],Table109[Women''s Relay Classification],"&gt;0")</f>
        <v>0</v>
      </c>
      <c r="NG183" s="6">
        <f>COUNTIFS(Table109[Country],Tabela1[[#This Row],[Country]],Table109[Mixed Relay Classification],"&gt;0")</f>
        <v>0</v>
      </c>
      <c r="NH183" s="6">
        <f>COUNTIFS(Table110[Country],Tabela1[[#This Row],[Country]],Table110[Monobob Classification],"&gt;0")</f>
        <v>0</v>
      </c>
      <c r="NI183" s="6">
        <f>COUNTIFS(Table111[Country],Tabela1[[#This Row],[Country]],Table111[Men''s Classification],"&gt;0")</f>
        <v>0</v>
      </c>
      <c r="NJ183" s="6">
        <f>COUNTIFS(Table111[Country],Tabela1[[#This Row],[Country]],Table111[Women''s Classification],"&gt;0")</f>
        <v>0</v>
      </c>
      <c r="NK183" s="6">
        <f>COUNTIFS(Table112[Country],Tabela1[[#This Row],[Country]],Table112[Men''s Four Classification],"&gt;0")</f>
        <v>0</v>
      </c>
      <c r="NL183" s="6">
        <f>COUNTIFS(Table113[Country],Tabela1[[#This Row],[Country]],Table113[Classical Classification],"&gt;0")</f>
        <v>0</v>
      </c>
      <c r="NM183" s="6">
        <f>COUNTIFS(Table113116[Country],Tabela1[[#This Row],[Country]],Table113116[Classical Classification],"&gt;0")</f>
        <v>0</v>
      </c>
      <c r="NN183" s="6">
        <f>COUNTIFS(Table113[Country],Tabela1[[#This Row],[Country]],Table113[Freestyle Classification],"&gt;0")</f>
        <v>0</v>
      </c>
      <c r="NO183" s="6">
        <f>COUNTIFS(Table113116[Country],Tabela1[[#This Row],[Country]],Table113116[Freestyle Classification],"&gt;0")</f>
        <v>0</v>
      </c>
      <c r="NP183" s="6">
        <f>COUNTIFS(Table117[Country],Tabela1[[#This Row],[Country]],Table117[Men''s Relay Classification],"&gt;0")</f>
        <v>0</v>
      </c>
      <c r="NQ183" s="6">
        <f>COUNTIFS(Table117[Country],Tabela1[[#This Row],[Country]],Table117[Women''s Relay Classification],"&gt;0")</f>
        <v>0</v>
      </c>
      <c r="NR183" s="6">
        <f>COUNTIFS(Table113[Country],Tabela1[[#This Row],[Country]],Table113[Skiathlon Classification],"&gt;0")</f>
        <v>0</v>
      </c>
      <c r="NS183" s="6">
        <f>COUNTIFS(Table113116[Country],Tabela1[[#This Row],[Country]],Table113116[Skiathlon Classification],"&gt;0")</f>
        <v>0</v>
      </c>
      <c r="NT183" s="6">
        <f>COUNTIFS(Table113[Country],Tabela1[[#This Row],[Country]],Table113[Sprint Classification],"&gt;0")</f>
        <v>0</v>
      </c>
      <c r="NU183" s="6">
        <f>COUNTIFS(Table113116[Country],Tabela1[[#This Row],[Country]],Table113116[Sprint Classification],"&gt;0")</f>
        <v>0</v>
      </c>
      <c r="NV183" s="6">
        <f>COUNTIFS(Table116[Country],Tabela1[[#This Row],[Country]],Table116[Men''s Team Sprint Classification],"&gt;0")</f>
        <v>0</v>
      </c>
      <c r="NW183" s="6">
        <f>COUNTIFS(Table116[Country],Tabela1[[#This Row],[Country]],Table116[Women''s Team Sprint Classification],"&gt;0")</f>
        <v>0</v>
      </c>
      <c r="NX183" s="6">
        <f>COUNTIFS(Table119[Country],Tabela1[[#This Row],[Country]],Table119[Men''s Classification],"&gt;0")</f>
        <v>0</v>
      </c>
      <c r="NY183" s="6">
        <f>COUNTIFS(Table119[Country],Tabela1[[#This Row],[Country]],Table119[Women''s Classification],"&gt;0")</f>
        <v>0</v>
      </c>
      <c r="NZ183" s="6">
        <f>COUNTIFS(Table118[Country],Tabela1[[#This Row],[Country]],Table118[Mixed Classification],"&gt;0")</f>
        <v>0</v>
      </c>
      <c r="OA183" s="6">
        <f>COUNTIFS(Table120[Country],Tabela1[[#This Row],[Country]],Table120[Classification],"&gt;0")</f>
        <v>0</v>
      </c>
      <c r="OB183" s="6">
        <f>COUNTIFS(Table120123[Country],Tabela1[[#This Row],[Country]],Table120123[Classification],"&gt;0")</f>
        <v>0</v>
      </c>
      <c r="OC183" s="6">
        <f>COUNTIFS(Table123[Country],Tabela1[[#This Row],[Country]],Table123[Ice Dance Classification],"&gt;0")</f>
        <v>0</v>
      </c>
      <c r="OD183" s="6">
        <f>COUNTIFS(Table123[Country],Tabela1[[#This Row],[Country]],Table123[Pair Skating Classification],"&gt;0")</f>
        <v>0</v>
      </c>
      <c r="OE183" s="6">
        <f>COUNTIFS(Table124[Country],Tabela1[[#This Row],[Country]],Table124[Mixed Classification],"&gt;0")</f>
        <v>0</v>
      </c>
      <c r="OF183" s="6">
        <f>COUNTIFS(Table125[Country],Tabela1[[#This Row],[Country]],Table125[Aerials Classification],"&gt;0")</f>
        <v>0</v>
      </c>
      <c r="OG183" s="6">
        <f>COUNTIFS(Table125128[Country],Tabela1[[#This Row],[Country]],Table125128[Aerials Classification],"&gt;0")</f>
        <v>0</v>
      </c>
      <c r="OH183" s="6">
        <f>COUNTIFS(Table128[Country],Tabela1[[#This Row],[Country]],Table128[Mixed Aerials Classification],"&gt;0")</f>
        <v>0</v>
      </c>
      <c r="OI183" s="6">
        <f>COUNTIFS(Table125[Country],Tabela1[[#This Row],[Country]],Table125[Big Air Classification],"&gt;0")</f>
        <v>0</v>
      </c>
      <c r="OJ183" s="6">
        <f>COUNTIFS(Table125128[Country],Tabela1[[#This Row],[Country]],Table125128[Big Air Classification],"&gt;0")</f>
        <v>0</v>
      </c>
      <c r="OK183" s="6">
        <f>COUNTIFS(Table125[Country],Tabela1[[#This Row],[Country]],Table125[Dual Moguls Classification],"&gt;0")</f>
        <v>0</v>
      </c>
      <c r="OL183" s="6">
        <f>COUNTIFS(Table125128[Country],Tabela1[[#This Row],[Country]],Table125128[Dual Moguls Classification],"&gt;0")</f>
        <v>0</v>
      </c>
      <c r="OM183" s="6">
        <f>COUNTIFS(Table125[Country],Tabela1[[#This Row],[Country]],Table125[Halfpipe Classification],"&gt;0")</f>
        <v>0</v>
      </c>
      <c r="ON183" s="6">
        <f>COUNTIFS(Table125128[Country],Tabela1[[#This Row],[Country]],Table125128[Halfpipe Classification],"&gt;0")</f>
        <v>0</v>
      </c>
      <c r="OO183" s="6">
        <f>COUNTIFS(Table125[Country],Tabela1[[#This Row],[Country]],Table125[Moguls Classification],"&gt;0")</f>
        <v>0</v>
      </c>
      <c r="OP183" s="6">
        <f>COUNTIFS(Table125128[Country],Tabela1[[#This Row],[Country]],Table125128[Moguls Classification],"&gt;0")</f>
        <v>0</v>
      </c>
      <c r="OQ183" s="6">
        <f>COUNTIFS(Table125[Country],Tabela1[[#This Row],[Country]],Table125[Ski Cross Classification],"&gt;0")</f>
        <v>0</v>
      </c>
      <c r="OR183" s="6">
        <f>COUNTIFS(Table125128[Country],Tabela1[[#This Row],[Country]],Table125128[Ski Cross Classification],"&gt;0")</f>
        <v>0</v>
      </c>
      <c r="OS183" s="6">
        <f>COUNTIFS(Table125[Country],Tabela1[[#This Row],[Country]],Table125[Slopestyle Classification],"&gt;0")</f>
        <v>0</v>
      </c>
      <c r="OT183" s="6">
        <f>COUNTIFS(Table125128[Country],Tabela1[[#This Row],[Country]],Table125128[Slopestyle Classification],"&gt;0")</f>
        <v>0</v>
      </c>
      <c r="OU183" s="6">
        <f>COUNTIFS(Table119131[Country],Tabela1[[#This Row],[Country]],Table119131[Men''s Classification],"&gt;0")</f>
        <v>0</v>
      </c>
      <c r="OV183" s="6">
        <f>COUNTIFS(Table119131[Country],Tabela1[[#This Row],[Country]],Table119131[Women''s Classification],"&gt;0")</f>
        <v>0</v>
      </c>
      <c r="OW183" s="6">
        <f>COUNTIFS(Table131[Country],Tabela1[[#This Row],[Country]],Table131[Classification],"&gt;0")</f>
        <v>0</v>
      </c>
      <c r="OX183" s="6">
        <f>COUNTIFS(Table131134[Country],Tabela1[[#This Row],[Country]],Table131134[Classification],"&gt;0")</f>
        <v>0</v>
      </c>
      <c r="OY183" s="6">
        <f>COUNTIFS(Table134[Country],Tabela1[[#This Row],[Country]],Table134[Men''s Classification],"&gt;0")</f>
        <v>0</v>
      </c>
      <c r="OZ183" s="6">
        <f>COUNTIFS(Table134[Country],Tabela1[[#This Row],[Country]],Table134[Women''s Classification],"&gt;0")</f>
        <v>0</v>
      </c>
      <c r="PA183" s="6">
        <f>COUNTIFS(Table135[Country],Tabela1[[#This Row],[Country]],Table135[Mixed Relay Classification],"&gt;0")</f>
        <v>0</v>
      </c>
      <c r="PB183" s="6">
        <f>COUNTIFS(Table136[Country],Tabela1[[#This Row],[Country]],Table136[Individual Classification],"&gt;0")</f>
        <v>0</v>
      </c>
      <c r="PC183" s="6">
        <f>COUNTIFS(Table136[Country],Tabela1[[#This Row],[Country]],Table136[Sprint Classification],"&gt;0")</f>
        <v>0</v>
      </c>
      <c r="PD183" s="6">
        <f>COUNTIFS(Table137[Country],Tabela1[[#This Row],[Country]],Table137[Men''s Team Sprint Large Hill Classification],"&gt;0")</f>
        <v>0</v>
      </c>
      <c r="PE183" s="6">
        <f>COUNTIFS(Table138[Country],Tabela1[[#This Row],[Country]],Table138[500m Classification],"&gt;0")</f>
        <v>0</v>
      </c>
      <c r="PF183" s="6">
        <f>COUNTIFS(Table138141[Country],Tabela1[[#This Row],[Country]],Table138141[500m Classification],"&gt;0")</f>
        <v>0</v>
      </c>
      <c r="PG183" s="6">
        <f>COUNTIFS(Table138[Country],Tabela1[[#This Row],[Country]],Table138[1000m Classification],"&gt;0")</f>
        <v>0</v>
      </c>
      <c r="PH183" s="6">
        <f>COUNTIFS(Table138141[Country],Tabela1[[#This Row],[Country]],Table138141[1000m Classification],"&gt;0")</f>
        <v>0</v>
      </c>
      <c r="PI183" s="6">
        <f>COUNTIFS(Table138[Country],Tabela1[[#This Row],[Country]],Table138[1500m Classification],"&gt;0")</f>
        <v>0</v>
      </c>
      <c r="PJ183" s="6">
        <f>COUNTIFS(Table138141[Country],Tabela1[[#This Row],[Country]],Table138141[1500m Classification],"&gt;0")</f>
        <v>0</v>
      </c>
      <c r="PK183" s="6">
        <f>COUNTIFS(Table141[Country],Tabela1[[#This Row],[Country]],Table141[Men''s 5000m Relay Classification],"&gt;0")</f>
        <v>0</v>
      </c>
      <c r="PL183" s="6">
        <f>COUNTIFS(Table141[Country],Tabela1[[#This Row],[Country]],Table141[Women''s 3000m Relay Classification],"&gt;0")</f>
        <v>0</v>
      </c>
      <c r="PM183" s="6">
        <f>COUNTIFS(Table141[Country],Tabela1[[#This Row],[Country]],Table141[Mixed 2000m Relay Classification],"&gt;0")</f>
        <v>0</v>
      </c>
      <c r="PN183" s="6">
        <f>COUNTIFS(Table142[Country],Tabela1[[#This Row],[Country]],Table142[Classification],"&gt;0")</f>
        <v>0</v>
      </c>
      <c r="PO183" s="6">
        <f>COUNTIFS(Table142145[Country],Tabela1[[#This Row],[Country]],Table142145[Classification],"&gt;0")</f>
        <v>0</v>
      </c>
      <c r="PP183" s="6">
        <f>COUNTIFS(Tabela15[Country],Tabela1[[#This Row],[Country]],Tabela15[Mixed Team Classification],"&gt;0")</f>
        <v>0</v>
      </c>
      <c r="PQ183" s="6">
        <f>COUNTIFS(Table145[Country],Tabela1[[#This Row],[Country]],Table145[Large Hill Classification],"&gt;0")</f>
        <v>0</v>
      </c>
      <c r="PR183" s="6">
        <f>COUNTIFS(Table145[Country],Tabela1[[#This Row],[Country]],Table145[Normal Hill Classification],"&gt;0")</f>
        <v>0</v>
      </c>
      <c r="PS183" s="6">
        <f>COUNTIFS(Table145148[Country],Tabela1[[#This Row],[Country]],Table145148[Large Hill Classification],"&gt;0")</f>
        <v>0</v>
      </c>
      <c r="PT183" s="6">
        <f>COUNTIFS(Table145148[Country],Tabela1[[#This Row],[Country]],Table145148[Normal Hill Classification],"&gt;0")</f>
        <v>0</v>
      </c>
      <c r="PU183" s="6">
        <f>COUNTIFS(Table148[Country],Tabela1[[#This Row],[Country]],Table148[Men''s Super Team Classification],"&gt;0")</f>
        <v>0</v>
      </c>
      <c r="PV183" s="6">
        <f>COUNTIFS(Tabela114[Country],Tabela1[[#This Row],[Country]],Tabela114[Mixed Normal Hill Classification],"&gt;0")</f>
        <v>0</v>
      </c>
      <c r="PW183" s="6">
        <f>COUNTIFS(Tabela50[Country],Tabela1[[#This Row],[Country]],Tabela50[Sprint Classification],"&gt;0")</f>
        <v>0</v>
      </c>
      <c r="PX183" s="6">
        <f>COUNTIFS(Tabela50101[Country],Tabela1[[#This Row],[Country]],Tabela50101[Sprint Classification],"&gt;0")</f>
        <v>0</v>
      </c>
      <c r="PY183" s="6">
        <f>COUNTIFS(Tabela103[Country],Tabela1[[#This Row],[Country]],Tabela103[Mixed Relay Classification],"&gt;0")</f>
        <v>0</v>
      </c>
      <c r="PZ183" s="6">
        <f>COUNTIFS(Table149[Country],Tabela1[[#This Row],[Country]],Table149[Big Air Classification],"&gt;0")</f>
        <v>0</v>
      </c>
      <c r="QA183" s="6">
        <f>COUNTIFS(Table149152[Country],Tabela1[[#This Row],[Country]],Table149152[Big Air Classification],"&gt;0")</f>
        <v>0</v>
      </c>
      <c r="QB183" s="6">
        <f>COUNTIFS(Table149[Country],Tabela1[[#This Row],[Country]],Table149[Halfpipe Classification],"&gt;0")</f>
        <v>0</v>
      </c>
      <c r="QC183" s="6">
        <f>COUNTIFS(Table149152[Country],Tabela1[[#This Row],[Country]],Table149152[Halfpipe Classification],"&gt;0")</f>
        <v>0</v>
      </c>
      <c r="QD183" s="6">
        <f>COUNTIFS(Table149[Country],Tabela1[[#This Row],[Country]],Table149[Parallel Giant Slalom Classification],"&gt;0")</f>
        <v>0</v>
      </c>
      <c r="QE183" s="6">
        <f>COUNTIFS(Table149152[Country],Tabela1[[#This Row],[Country]],Table149152[Parallel Giant Slalom Classification],"&gt;0")</f>
        <v>0</v>
      </c>
      <c r="QF183" s="6">
        <f>COUNTIFS(Table149[Country],Tabela1[[#This Row],[Country]],Table149[Slopestyle Classification],"&gt;0")</f>
        <v>0</v>
      </c>
      <c r="QG183" s="6">
        <f>COUNTIFS(Table149152[Country],Tabela1[[#This Row],[Country]],Table149152[Slopestyle Classification],"&gt;0")</f>
        <v>0</v>
      </c>
      <c r="QH183" s="6">
        <f>COUNTIFS(Table149[Country],Tabela1[[#This Row],[Country]],Table149[Snowboard Cross Classification],"&gt;0")</f>
        <v>0</v>
      </c>
      <c r="QI183" s="6">
        <f>COUNTIFS(Table149152[Country],Tabela1[[#This Row],[Country]],Table149152[Snowboard Cross Classification],"&gt;0")</f>
        <v>0</v>
      </c>
      <c r="QJ183" s="6">
        <f>COUNTIFS(Table153[Country],Tabela1[[#This Row],[Country]],Table153[Mixed Team Snowboard Cross Classification],"&gt;0")</f>
        <v>0</v>
      </c>
      <c r="QK183" s="6">
        <f>COUNTIFS(Table154[Country],Tabela1[[#This Row],[Country]],Table154[500m Classification],"&gt;0")</f>
        <v>0</v>
      </c>
      <c r="QL183" s="6">
        <f>COUNTIFS(Table154157[Country],Tabela1[[#This Row],[Country]],Table154157[500m Classification],"&gt;0")</f>
        <v>0</v>
      </c>
      <c r="QM183" s="6">
        <f>COUNTIFS(Table154[Country],Tabela1[[#This Row],[Country]],Table154[1000m Classification],"&gt;0")</f>
        <v>0</v>
      </c>
      <c r="QN183" s="6">
        <f>COUNTIFS(Table154157[Country],Tabela1[[#This Row],[Country]],Table154157[1000m Classification],"&gt;0")</f>
        <v>0</v>
      </c>
      <c r="QO183" s="6">
        <f>COUNTIFS(Table154[Country],Tabela1[[#This Row],[Country]],Table154[1500m Classification],"&gt;0")</f>
        <v>0</v>
      </c>
      <c r="QP183" s="6">
        <f>COUNTIFS(Table154157[Country],Tabela1[[#This Row],[Country]],Table154157[1500m Classification],"&gt;0")</f>
        <v>0</v>
      </c>
      <c r="QQ183" s="6">
        <f>COUNTIFS(Table154157[Country],Tabela1[[#This Row],[Country]],Table154157[3000m Classification],"&gt;0")</f>
        <v>0</v>
      </c>
      <c r="QR183" s="6">
        <f>COUNTIFS(Table154[Country],Tabela1[[#This Row],[Country]],Table154[5000m Classification],"&gt;0")</f>
        <v>0</v>
      </c>
      <c r="QS183" s="6">
        <f>COUNTIFS(Table154157[Country],Tabela1[[#This Row],[Country]],Table154157[5000m Classification],"&gt;0")</f>
        <v>0</v>
      </c>
      <c r="QT183" s="6">
        <f>COUNTIFS(Table154[Country],Tabela1[[#This Row],[Country]],Table154[10000m Classification],"&gt;0")</f>
        <v>0</v>
      </c>
      <c r="QU183" s="6">
        <f>COUNTIFS(Table154[Country],Tabela1[[#This Row],[Country]],Table154[Mass Start Classification],"&gt;0")</f>
        <v>0</v>
      </c>
      <c r="QV183" s="6">
        <f>COUNTIFS(Table154157[Country],Tabela1[[#This Row],[Country]],Table154157[Mass Start Classification],"&gt;0")</f>
        <v>0</v>
      </c>
      <c r="QW183" s="6">
        <f>COUNTIFS(Table157[Country],Tabela1[[#This Row],[Country]],Table157[Men''s Pursuit Classification],"&gt;0")</f>
        <v>0</v>
      </c>
      <c r="QX183" s="6">
        <f>COUNTIFS(Table157[Country],Tabela1[[#This Row],[Country]],Table157[Women''s Pursuit Classification],"&gt;0")</f>
        <v>0</v>
      </c>
      <c r="QY183" s="4" t="s">
        <v>495</v>
      </c>
    </row>
    <row r="184" spans="1:467" x14ac:dyDescent="0.3">
      <c r="A184" s="6">
        <v>183</v>
      </c>
      <c r="B184" s="6" t="s">
        <v>612</v>
      </c>
      <c r="C184" t="e" vm="183">
        <f>IF(ISBLANK(Tabela1[[#This Row],[Image Link]]), "", _xlfn.IMAGE(Tabela1[[#This Row],[Image Link]],1,1))</f>
        <v>#VALUE!</v>
      </c>
      <c r="D184" s="6">
        <f>SUM(Tabela1[[#This Row],[Archery - Men''s Individual Recurve]:[Speed Skating - Women''s Team Pursuit]])</f>
        <v>0</v>
      </c>
      <c r="E184" s="6">
        <f>COUNTIF(Tabela1[[#This Row],[Archery - Men''s Individual Recurve]:[Speed Skating - Women''s Team Pursuit]],"&gt;0")</f>
        <v>0</v>
      </c>
      <c r="F184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84" s="6">
        <f>SUM(Tabela1[[#This Row],[Archery - Men''s Individual Recurve]:[Wrestling - Women''s Freestyle 76kg]])</f>
        <v>0</v>
      </c>
      <c r="H184" s="6">
        <f>SUM(Tabela1[[#This Row],[Alpine Skiing - Men''s Downhill]:[Speed Skating - Women''s Team Pursuit]])</f>
        <v>0</v>
      </c>
      <c r="I184" s="6">
        <f>Tabela1[[#This Row],[Summer Gold Medals]]+Tabela1[[#This Row],[Winter Gold Medals]]</f>
        <v>0</v>
      </c>
      <c r="J184" s="6">
        <f>Tabela1[[#This Row],[Summer Silver Medals]]+Tabela1[[#This Row],[Winter Silver Medals]]</f>
        <v>0</v>
      </c>
      <c r="K184" s="6">
        <f>Tabela1[[#This Row],[Summer Bronze Medals]]+Tabela1[[#This Row],[Winter Bronze Medals]]</f>
        <v>0</v>
      </c>
      <c r="L184" s="6">
        <f>SUM(Tabela1[[#This Row],[Total Gold Medals]:[Total Bronze Medals]])</f>
        <v>0</v>
      </c>
      <c r="M184" s="6"/>
      <c r="N184" s="6"/>
      <c r="O184" s="6"/>
      <c r="P184" s="6">
        <f>SUM(Tabela1[[#This Row],[Summer Gold Medals]:[Summer Bronze Medals]])</f>
        <v>0</v>
      </c>
      <c r="Q184" s="6"/>
      <c r="R184" s="6"/>
      <c r="S184" s="6"/>
      <c r="T184" s="6">
        <f>Tabela1[[#This Row],[Winter Gold Medals]]+Tabela1[[#This Row],[Winter Silver Medals]]+Tabela1[[#This Row],[Winter Bronze Medals]]</f>
        <v>0</v>
      </c>
      <c r="U184" s="7" t="e">
        <f>Tabela1[[#This Row],[Total Medals]]/Tabela1[[#This Row],[Total Quotas]]</f>
        <v>#DIV/0!</v>
      </c>
      <c r="V184" s="6">
        <f>COUNTIFS(Table3[Country],Tabela1[[#This Row],[Country]],Table3[Recurve Classification],"&gt;0")</f>
        <v>0</v>
      </c>
      <c r="W184" s="6">
        <f>COUNTIFS(Table33[Country],Tabela1[[#This Row],[Country]],Table33[Recurve Classification],"&gt;0")</f>
        <v>0</v>
      </c>
      <c r="X184" s="6">
        <f>COUNTIFS(Table35[Country],Tabela1[[#This Row],[Country]],Table35[Men''s Team Recurve Classification],"&gt;0")</f>
        <v>0</v>
      </c>
      <c r="Y184" s="6">
        <f>COUNTIFS(Table35[Country],Tabela1[[#This Row],[Country]],Table35[Women''s Team Recurve Classification],"&gt;0")</f>
        <v>0</v>
      </c>
      <c r="Z184" s="6">
        <f>COUNTIFS(Tabela88[Country],Tabela1[[#This Row],[Country]],Tabela88[Mixed Team Recurve Classification],"&gt;0")</f>
        <v>0</v>
      </c>
      <c r="AA184" s="6">
        <f>COUNTIFS(Table36[Country],Tabela1[[#This Row],[Country]],Table36[Classification],"&gt;0")</f>
        <v>0</v>
      </c>
      <c r="AB184" s="6">
        <f>COUNTIFS(Table37[Country],Tabela1[[#This Row],[Country]],Table37[Classification],"&gt;0")</f>
        <v>0</v>
      </c>
      <c r="AC184" s="6">
        <f>COUNTIFS(Table4[Country],Tabela1[[#This Row],[Country]],Table4[100m Classification],"&gt;0")</f>
        <v>0</v>
      </c>
      <c r="AD184" s="6">
        <f>COUNTIFS(Table5[Country],Tabela1[[#This Row],[Country]],Table5[100m Classification],"&gt;0")</f>
        <v>0</v>
      </c>
      <c r="AE184" s="6">
        <f>COUNTIFS(Table4[Country],Tabela1[[#This Row],[Country]],Table4[200m Classification],"&gt;0")</f>
        <v>0</v>
      </c>
      <c r="AF184" s="6">
        <f>COUNTIFS(Table5[Country],Tabela1[[#This Row],[Country]],Table5[200m Classification],"&gt;0")</f>
        <v>0</v>
      </c>
      <c r="AG184" s="6">
        <f>COUNTIFS(Table4[Country],Tabela1[[#This Row],[Country]],Table4[400m Classification],"&gt;0")</f>
        <v>0</v>
      </c>
      <c r="AH184" s="6">
        <f>COUNTIFS(Table5[Country],Tabela1[[#This Row],[Country]],Table5[400m Classification],"&gt;0")</f>
        <v>0</v>
      </c>
      <c r="AI184" s="6">
        <f>COUNTIFS(Table4[Country],Tabela1[[#This Row],[Country]],Table4[800m Classification],"&gt;0")</f>
        <v>0</v>
      </c>
      <c r="AJ184" s="6">
        <f>COUNTIFS(Table5[Country],Tabela1[[#This Row],[Country]],Table5[800m Classification],"&gt;0")</f>
        <v>0</v>
      </c>
      <c r="AK184" s="6">
        <f>COUNTIFS(Table4[Country],Tabela1[[#This Row],[Country]],Table4[1500m Classification],"&gt;0")</f>
        <v>0</v>
      </c>
      <c r="AL184" s="6">
        <f>COUNTIFS(Table5[Country],Tabela1[[#This Row],[Country]],Table5[1500m Classification],"&gt;0")</f>
        <v>0</v>
      </c>
      <c r="AM184" s="6">
        <f>COUNTIFS(Table4[Country],Tabela1[[#This Row],[Country]],Table4[5000m Classification],"&gt;0")</f>
        <v>0</v>
      </c>
      <c r="AN184" s="6">
        <f>COUNTIFS(Table5[Country],Tabela1[[#This Row],[Country]],Table5[5000m Classification],"&gt;0")</f>
        <v>0</v>
      </c>
      <c r="AO184" s="6">
        <f>COUNTIFS(Table4[Country],Tabela1[[#This Row],[Country]],Table4[10000m Classification],"&gt;0")</f>
        <v>0</v>
      </c>
      <c r="AP184" s="6">
        <f>COUNTIFS(Table5[Country],Tabela1[[#This Row],[Country]],Table5[10000m Classification],"&gt;0")</f>
        <v>0</v>
      </c>
      <c r="AQ184" s="6">
        <f>COUNTIFS(Table4[Country],Tabela1[[#This Row],[Country]],Table4[110m Hurdles Classification],"&gt;0")</f>
        <v>0</v>
      </c>
      <c r="AR184" s="6">
        <f>COUNTIFS(Table5[Country],Tabela1[[#This Row],[Country]],Table5[100m Hurdles Classification],"&gt;0")</f>
        <v>0</v>
      </c>
      <c r="AS184" s="6">
        <f>COUNTIFS(Table4[Country],Tabela1[[#This Row],[Country]],Table4[400m Hurdles Classification],"&gt;0")</f>
        <v>0</v>
      </c>
      <c r="AT184" s="6">
        <f>COUNTIFS(Table5[Country],Tabela1[[#This Row],[Country]],Table5[400m Hurdles Classification],"&gt;0")</f>
        <v>0</v>
      </c>
      <c r="AU184" s="6">
        <f>COUNTIFS(Table4[Country],Tabela1[[#This Row],[Country]],Table4[3000m Steeplechase Classification],"&gt;0")</f>
        <v>0</v>
      </c>
      <c r="AV184" s="6">
        <f>COUNTIFS(Table5[Country],Tabela1[[#This Row],[Country]],Table5[3000m Steeplechase Classification],"&gt;0")</f>
        <v>0</v>
      </c>
      <c r="AW184" s="6">
        <f>COUNTIFS(Table27[Country],Tabela1[[#This Row],[Country]],Table27[Men''s 4x100m Relay Classification],"&gt;0")</f>
        <v>0</v>
      </c>
      <c r="AX184" s="6">
        <f>COUNTIFS(Table27[Country],Tabela1[[#This Row],[Country]],Table27[Women''s 4x100m Relay Classification],"&gt;0")</f>
        <v>0</v>
      </c>
      <c r="AY184" s="6">
        <f>COUNTIFS(Table27[Country],Tabela1[[#This Row],[Country]],Table27[Men''s 4x400m Relay Classification],"&gt;0")</f>
        <v>0</v>
      </c>
      <c r="AZ184" s="6">
        <f>COUNTIFS(Table27[Country],Tabela1[[#This Row],[Country]],Table27[Women''s 4x400m Relay Classification],"&gt;0")</f>
        <v>0</v>
      </c>
      <c r="BA184" s="6">
        <f>COUNTIFS(Table27[Country],Tabela1[[#This Row],[Country]],Table27[Mixed 4x400m Relay Classification],"&gt;0")</f>
        <v>0</v>
      </c>
      <c r="BB184" s="6">
        <f>COUNTIFS(Table4[Country],Tabela1[[#This Row],[Country]],Table4[Marathon Classification],"&gt;0")</f>
        <v>0</v>
      </c>
      <c r="BC184" s="6">
        <f>COUNTIFS(Table5[Country],Tabela1[[#This Row],[Country]],Table5[Marathon Classification],"&gt;0")</f>
        <v>0</v>
      </c>
      <c r="BD184" s="6">
        <f>COUNTIFS(Table4[Country],Tabela1[[#This Row],[Country]],Table4[20km Race Walk Classification],"&gt;0")</f>
        <v>0</v>
      </c>
      <c r="BE184" s="6">
        <f>COUNTIFS(Table5[Country],Tabela1[[#This Row],[Country]],Table5[20km Race Walk Classification],"&gt;0")</f>
        <v>0</v>
      </c>
      <c r="BF184" s="6">
        <f>COUNTIFS(Tabela96[Country],Tabela1[[#This Row],[Country]],Tabela96[Mixed Marathon Race Walk Relay Classification],"&gt;0")</f>
        <v>0</v>
      </c>
      <c r="BG184" s="6">
        <f>COUNTIFS(Table4[Country],Tabela1[[#This Row],[Country]],Table4[Discus Throw Classification],"&gt;0")</f>
        <v>0</v>
      </c>
      <c r="BH184" s="6">
        <f>COUNTIFS(Table5[Country],Tabela1[[#This Row],[Country]],Table5[Discus Throw Classification],"&gt;0")</f>
        <v>0</v>
      </c>
      <c r="BI184" s="6">
        <f>COUNTIFS(Table4[Country],Tabela1[[#This Row],[Country]],Table4[Hammer Throw Classification],"&gt;0")</f>
        <v>0</v>
      </c>
      <c r="BJ184" s="6">
        <f>COUNTIFS(Table5[Country],Tabela1[[#This Row],[Country]],Table5[Hammer Throw Classification],"&gt;0")</f>
        <v>0</v>
      </c>
      <c r="BK184" s="6">
        <f>COUNTIFS(Table4[Country],Tabela1[[#This Row],[Country]],Table4[High Jump Classification],"&gt;0")</f>
        <v>0</v>
      </c>
      <c r="BL184" s="6">
        <f>COUNTIFS(Table5[Country],Tabela1[[#This Row],[Country]],Table5[High Jump Classification],"&gt;0")</f>
        <v>0</v>
      </c>
      <c r="BM184" s="6">
        <f>COUNTIFS(Table4[Country],Tabela1[[#This Row],[Country]],Table4[Javelin Throw Classification],"&gt;0")</f>
        <v>0</v>
      </c>
      <c r="BN184" s="6">
        <f>COUNTIFS(Table5[Country],Tabela1[[#This Row],[Country]],Table5[Javelin Throw Classification],"&gt;0")</f>
        <v>0</v>
      </c>
      <c r="BO184" s="6">
        <f>COUNTIFS(Table4[Country],Tabela1[[#This Row],[Country]],Table4[Long Jump Classification],"&gt;0")</f>
        <v>0</v>
      </c>
      <c r="BP184" s="6">
        <f>COUNTIFS(Table5[Country],Tabela1[[#This Row],[Country]],Table5[Long Jump Classification],"&gt;0")</f>
        <v>0</v>
      </c>
      <c r="BQ184" s="6">
        <f>COUNTIFS(Table4[Country],Tabela1[[#This Row],[Country]],Table4[Pole Vault Classification],"&gt;0")</f>
        <v>0</v>
      </c>
      <c r="BR184" s="6">
        <f>COUNTIFS(Table5[Country],Tabela1[[#This Row],[Country]],Table5[Pole Vault Classification],"&gt;0")</f>
        <v>0</v>
      </c>
      <c r="BS184" s="6">
        <f>COUNTIFS(Table4[Country],Tabela1[[#This Row],[Country]],Table4[Shot Put Classification],"&gt;0")</f>
        <v>0</v>
      </c>
      <c r="BT184" s="6">
        <f>COUNTIFS(Table5[Country],Tabela1[[#This Row],[Country]],Table5[Shot Put Classification],"&gt;0")</f>
        <v>0</v>
      </c>
      <c r="BU184" s="6">
        <f>COUNTIFS(Table4[Country],Tabela1[[#This Row],[Country]],Table4[Triple Jump Classification],"&gt;0")</f>
        <v>0</v>
      </c>
      <c r="BV184" s="6">
        <f>COUNTIFS(Table5[Country],Tabela1[[#This Row],[Country]],Table5[Triple Jump Classification],"&gt;0")</f>
        <v>0</v>
      </c>
      <c r="BW184" s="6">
        <f>COUNTIFS(Table4[Country],Tabela1[[#This Row],[Country]],Table4[Decathlon Classification],"&gt;0")</f>
        <v>0</v>
      </c>
      <c r="BX184" s="6">
        <f>COUNTIFS(Table5[Country],Tabela1[[#This Row],[Country]],Table5[Heptathlon Classification],"&gt;0")</f>
        <v>0</v>
      </c>
      <c r="BY184" s="6">
        <f>COUNTIFS(Table61[Country],Tabela1[[#This Row],[Country]],Table61[Classification],"&gt;0")</f>
        <v>0</v>
      </c>
      <c r="BZ184" s="6">
        <f>COUNTIFS(Table38[Country],Tabela1[[#This Row],[Country]],Table38[Classification],"&gt;0")</f>
        <v>0</v>
      </c>
      <c r="CA184" s="6">
        <f>COUNTIFS(Table39[Country],Tabela1[[#This Row],[Country]],Table39[Men''s Classification],"&gt;0")</f>
        <v>0</v>
      </c>
      <c r="CB184" s="6">
        <f>COUNTIFS(Table39[Country],Tabela1[[#This Row],[Country]],Table39[Women''s Classification],"&gt;0")</f>
        <v>0</v>
      </c>
      <c r="CC184" s="6">
        <f>COUNTIFS(Table39[Country],Tabela1[[#This Row],[Country]],Table39[Mixed Classification],"&gt;0")</f>
        <v>0</v>
      </c>
      <c r="CD184" s="6">
        <f>COUNTIFS(Table89[Country],Tabela1[[#This Row],[Country]],Table89[Men''s Classification],"&gt;0")</f>
        <v>0</v>
      </c>
      <c r="CE184" s="6">
        <f>COUNTIFS(Table89[Country],Tabela1[[#This Row],[Country]],Table89[Women''s Classification],"&gt;0")</f>
        <v>0</v>
      </c>
      <c r="CF184" s="6">
        <f>COUNTIFS(Table90[Country],Tabela1[[#This Row],[Country]],Table90[Men''s Classification],"&gt;0")</f>
        <v>0</v>
      </c>
      <c r="CG184" s="6">
        <f>COUNTIFS(Table90[Country],Tabela1[[#This Row],[Country]],Table90[Women''s Classification],"&gt;0")</f>
        <v>0</v>
      </c>
      <c r="CH184" s="6">
        <f>COUNTIFS(Table60[Country],Tabela1[[#This Row],[Country]],Table60[Men''s Classification],"&gt;0")</f>
        <v>0</v>
      </c>
      <c r="CI184" s="6">
        <f>COUNTIFS(Table60[Country],Tabela1[[#This Row],[Country]],Table60[Women''s Classification],"&gt;0")</f>
        <v>0</v>
      </c>
      <c r="CJ184" s="6">
        <f>COUNTIFS(Table6[Country],Tabela1[[#This Row],[Country]],Table6[51kg Classification],"&gt;0")</f>
        <v>0</v>
      </c>
      <c r="CK184" s="6">
        <f>COUNTIFS(Table6[Country],Tabela1[[#This Row],[Country]],Table6[57kg Classification],"&gt;0")</f>
        <v>0</v>
      </c>
      <c r="CL184" s="6">
        <f>COUNTIFS(Table6[Country],Tabela1[[#This Row],[Country]],Table6[63.5kg Classification],"&gt;0")</f>
        <v>0</v>
      </c>
      <c r="CM184" s="6">
        <f>COUNTIFS(Table6[Country],Tabela1[[#This Row],[Country]],Table6[71kg Classification],"&gt;0")</f>
        <v>0</v>
      </c>
      <c r="CN184" s="6">
        <f>COUNTIFS(Table6[Country],Tabela1[[#This Row],[Country]],Table6[80kg Classification],"&gt;0")</f>
        <v>0</v>
      </c>
      <c r="CO184" s="6">
        <f>COUNTIFS(Table6[Country],Tabela1[[#This Row],[Country]],Table6[92kg Classification],"&gt;0")</f>
        <v>0</v>
      </c>
      <c r="CP184" s="6">
        <f>COUNTIFS(Table6[Country],Tabela1[[#This Row],[Country]],Table6[Plus 92kg Classification],"&gt;0")</f>
        <v>0</v>
      </c>
      <c r="CQ184" s="6">
        <f>COUNTIFS(Table7[Country],Tabela1[[#This Row],[Country]],Table7[50kg Classification],"&gt;0")</f>
        <v>0</v>
      </c>
      <c r="CR184" s="6">
        <f>COUNTIFS(Table7[Country],Tabela1[[#This Row],[Country]],Table7[54kg Classification],"&gt;0")</f>
        <v>0</v>
      </c>
      <c r="CS184" s="6">
        <f>COUNTIFS(Table7[Country],Tabela1[[#This Row],[Country]],Table7[57kg Classification],"&gt;0")</f>
        <v>0</v>
      </c>
      <c r="CT184" s="6">
        <f>COUNTIFS(Table7[Country],Tabela1[[#This Row],[Country]],Table7[60kg Classification],"&gt;0")</f>
        <v>0</v>
      </c>
      <c r="CU184" s="6">
        <f>COUNTIFS(Table7[Country],Tabela1[[#This Row],[Country]],Table7[66kg Classification],"&gt;0")</f>
        <v>0</v>
      </c>
      <c r="CV184" s="6">
        <f>COUNTIFS(Table7[Country],Tabela1[[#This Row],[Country]],Table7[75kg Classification],"&gt;0")</f>
        <v>0</v>
      </c>
      <c r="CW184" s="6">
        <f>COUNTIFS(Tabela94[Country],Tabela1[[#This Row],[Country]],Tabela94[Classification],"&gt;0")</f>
        <v>0</v>
      </c>
      <c r="CX184" s="6">
        <f>COUNTIFS(Tabela9499[Country],Tabela1[[#This Row],[Country]],Tabela9499[Classification],"&gt;0")</f>
        <v>0</v>
      </c>
      <c r="CY184" s="6">
        <f>COUNTIFS(Tabela107[Country],Tabela1[[#This Row],[Country]],Tabela107[C1 Slalom Classification],"&gt;0")</f>
        <v>0</v>
      </c>
      <c r="CZ184" s="6">
        <f>COUNTIFS(Tabela107122[Country],Tabela1[[#This Row],[Country]],Tabela107122[C1 Slalom Classification],"&gt;0")</f>
        <v>0</v>
      </c>
      <c r="DA184" s="6">
        <f>COUNTIFS(Tabela107[Country],Tabela1[[#This Row],[Country]],Tabela107[K1 Slalom Classification],"&gt;0")</f>
        <v>0</v>
      </c>
      <c r="DB184" s="6">
        <f>COUNTIFS(Tabela107122[Country],Tabela1[[#This Row],[Country]],Tabela107122[K1 Slalom Classification],"&gt;0")</f>
        <v>0</v>
      </c>
      <c r="DC184" s="6">
        <f>COUNTIFS(Tabela107[Country],Tabela1[[#This Row],[Country]],Tabela107[Kayak Cross Slalom Classification],"&gt;0")</f>
        <v>0</v>
      </c>
      <c r="DD184" s="6">
        <f>COUNTIFS(Tabela107122[Country],Tabela1[[#This Row],[Country]],Tabela107122[Kayak Cross Slalom Classification],"&gt;0")</f>
        <v>0</v>
      </c>
      <c r="DE184" s="6">
        <f>COUNTIFS(Table8[Country],Tabela1[[#This Row],[Country]],Table8[C1 200m Classification],"&gt;0")</f>
        <v>0</v>
      </c>
      <c r="DF184" s="6">
        <f>COUNTIFS(Table40[Country],Tabela1[[#This Row],[Country]],Table40[C1 1000m Classification],"&gt;0")</f>
        <v>0</v>
      </c>
      <c r="DG184" s="6">
        <f>COUNTIFS(Table68[Country],Tabela1[[#This Row],[Country]],Table68[Men''s C2 500m Classification],"&gt;0")</f>
        <v>0</v>
      </c>
      <c r="DH184" s="6">
        <f>COUNTIFS(Table68[Country],Tabela1[[#This Row],[Country]],Table68[Women''s C2 500m Classification],"&gt;0")</f>
        <v>0</v>
      </c>
      <c r="DI184" s="6">
        <f>COUNTIFS(Table8[Country],Tabela1[[#This Row],[Country]],Table8[K1 500m Classification],"&gt;0")</f>
        <v>0</v>
      </c>
      <c r="DJ184" s="6">
        <f>COUNTIFS(Table40[Country],Tabela1[[#This Row],[Country]],Table40[K1 1000m Classification],"&gt;0")</f>
        <v>0</v>
      </c>
      <c r="DK184" s="6">
        <f>COUNTIFS(Table68[Country],Tabela1[[#This Row],[Country]],Table68[Men''s K2 500m Classification],"&gt;0")</f>
        <v>0</v>
      </c>
      <c r="DL184" s="6">
        <f>COUNTIFS(Table68[Country],Tabela1[[#This Row],[Country]],Table68[Women''s K2 500m Classification],"&gt;0")</f>
        <v>0</v>
      </c>
      <c r="DM184" s="6">
        <f>COUNTIFS(Table83[Country],Tabela1[[#This Row],[Country]],Table83[Men''s K4 500m Classification],"&gt;0")</f>
        <v>0</v>
      </c>
      <c r="DN184" s="6">
        <f>COUNTIFS(Table83[Country],Tabela1[[#This Row],[Country]],Table83[Women''s K4 500m Classification],"&gt;0")</f>
        <v>0</v>
      </c>
      <c r="DO184" s="6">
        <f>COUNTIFS(Tabela126[Country],Tabela1[[#This Row],[Country]],Tabela126[Classification],"&gt;0")</f>
        <v>0</v>
      </c>
      <c r="DP184" s="6">
        <f>COUNTIFS(Tabela126130[Country],Tabela1[[#This Row],[Country]],Tabela126130[Classification],"&gt;0")</f>
        <v>0</v>
      </c>
      <c r="DQ184" s="6">
        <f>COUNTIFS(Table70[Country],Tabela1[[#This Row],[Country]],Table70[Classification],"&gt;0")</f>
        <v>0</v>
      </c>
      <c r="DR184" s="6">
        <f>COUNTIFS(Table80[Country],Tabela1[[#This Row],[Country]],Table80[Classification],"&gt;0")</f>
        <v>0</v>
      </c>
      <c r="DS184" s="6">
        <f>COUNTIFS(Table66[Country],Tabela1[[#This Row],[Country]],Table66[Classification],"&gt;0")</f>
        <v>0</v>
      </c>
      <c r="DT184" s="6">
        <f>COUNTIFS(Table67[Country],Tabela1[[#This Row],[Country]],Table67[Classification],"&gt;0")</f>
        <v>0</v>
      </c>
      <c r="DU184" s="6">
        <f>COUNTIFS(Table69[Country],Tabela1[[#This Row],[Country]],Table69[Keirin Classification],"&gt;0")</f>
        <v>0</v>
      </c>
      <c r="DV184" s="6">
        <f>COUNTIFS(Table41[Country],Tabela1[[#This Row],[Country]],Table41[Keirin Classification],"&gt;0")</f>
        <v>0</v>
      </c>
      <c r="DW184" s="6">
        <f>COUNTIFS(Table84[Country],Tabela1[[#This Row],[Country]],Table84[Men''s Madison Classification],"&gt;0")</f>
        <v>0</v>
      </c>
      <c r="DX184" s="6">
        <f>COUNTIFS(Table84[Country],Tabela1[[#This Row],[Country]],Table84[Women''s Madison Classification],"&gt;0")</f>
        <v>0</v>
      </c>
      <c r="DY184" s="6">
        <f>COUNTIFS(Table69[Country],Tabela1[[#This Row],[Country]],Table69[Omnium Classification],"&gt;0")</f>
        <v>0</v>
      </c>
      <c r="DZ184" s="6">
        <f>COUNTIFS(Table41[Country],Tabela1[[#This Row],[Country]],Table41[Omnium Classification],"&gt;0")</f>
        <v>0</v>
      </c>
      <c r="EA184" s="6">
        <f>COUNTIFS(Table9[Country],Tabela1[[#This Row],[Country]],Table9[Road Race Classification],"&gt;0")</f>
        <v>0</v>
      </c>
      <c r="EB184" s="6">
        <f>COUNTIFS(Table14[Country],Tabela1[[#This Row],[Country]],Table14[Road Race Classification],"&gt;0")</f>
        <v>0</v>
      </c>
      <c r="EC184" s="6">
        <f>COUNTIFS(Table69[Country],Tabela1[[#This Row],[Country]],Table69[Sprint Classification],"&gt;0")</f>
        <v>0</v>
      </c>
      <c r="ED184" s="6">
        <f>COUNTIFS(Table41[Country],Tabela1[[#This Row],[Country]],Table41[Sprint Classification],"&gt;0")</f>
        <v>0</v>
      </c>
      <c r="EE184" s="6">
        <f>COUNTIFS(Table85[Country],Tabela1[[#This Row],[Country]],Table85[Men''s Sprint Classification],"&gt;0")</f>
        <v>0</v>
      </c>
      <c r="EF184" s="6">
        <f>COUNTIFS(Table85[Country],Tabela1[[#This Row],[Country]],Table85[Women''s Sprint Classification],"&gt;0")</f>
        <v>0</v>
      </c>
      <c r="EG184" s="6">
        <f>COUNTIFS(Table85[Country],Tabela1[[#This Row],[Country]],Table85[Men''s Pursuit Classification],"&gt;0")</f>
        <v>0</v>
      </c>
      <c r="EH184" s="6">
        <f>COUNTIFS(Table85[Country],Tabela1[[#This Row],[Country]],Table85[Women''s Pursuit Classification],"&gt;0")</f>
        <v>0</v>
      </c>
      <c r="EI184" s="6">
        <f>COUNTIFS(Table9[Country],Tabela1[[#This Row],[Country]],Table9[Time-Trial Classification],"&gt;0")</f>
        <v>0</v>
      </c>
      <c r="EJ184" s="6">
        <f>COUNTIFS(Table14[Country],Tabela1[[#This Row],[Country]],Table14[Time-Trial Classification],"&gt;0")</f>
        <v>0</v>
      </c>
      <c r="EK184" s="6">
        <f>COUNTIFS(Table42[Country],Tabela1[[#This Row],[Country]],Table42[Springboard Classification],"&gt;0")</f>
        <v>0</v>
      </c>
      <c r="EL184" s="6">
        <f>COUNTIFS(Table43[Country],Tabela1[[#This Row],[Country]],Table43[Springboard Classification],"&gt;0")</f>
        <v>0</v>
      </c>
      <c r="EM184" s="6">
        <f>COUNTIFS(Table42[Country],Tabela1[[#This Row],[Country]],Table42[Platform Classification],"&gt;0")</f>
        <v>0</v>
      </c>
      <c r="EN184" s="6">
        <f>COUNTIFS(Table43[Country],Tabela1[[#This Row],[Country]],Table43[Platform Classification],"&gt;0")</f>
        <v>0</v>
      </c>
      <c r="EO184" s="6">
        <f>COUNTIFS(Table86[Country],Tabela1[[#This Row],[Country]],Table86[Men''s Synchronized Springboard Classification],"&gt;0")</f>
        <v>0</v>
      </c>
      <c r="EP184" s="6">
        <f>COUNTIFS(Table86[Country],Tabela1[[#This Row],[Country]],Table86[Women''s Synchronized Springboard Classification],"&gt;0")</f>
        <v>0</v>
      </c>
      <c r="EQ184" s="6">
        <f>COUNTIFS(Table86[Country],Tabela1[[#This Row],[Country]],Table86[Men''s Synchronized Platform Classification],"&gt;0")</f>
        <v>0</v>
      </c>
      <c r="ER184" s="6">
        <f>COUNTIFS(Table86[Country],Tabela1[[#This Row],[Country]],Table86[Women''s Synchronized Platform Classification],"&gt;0")</f>
        <v>0</v>
      </c>
      <c r="ES184" s="6">
        <f>COUNTIFS(Table44[Country],Tabela1[[#This Row],[Country]],Table44[Dressage Classification],"&gt;0")</f>
        <v>0</v>
      </c>
      <c r="ET184" s="6">
        <f>COUNTIFS(Table45[Country],Tabela1[[#This Row],[Country]],Table45[Dressage Classification],"&gt;0")</f>
        <v>0</v>
      </c>
      <c r="EU184" s="6">
        <f>COUNTIFS(Table44[Country],Tabela1[[#This Row],[Country]],Table44[Eventing Classification],"&gt;0")</f>
        <v>0</v>
      </c>
      <c r="EV184" s="6">
        <f>COUNTIFS(Table45[Country],Tabela1[[#This Row],[Country]],Table45[Eventing Classification],"&gt;0")</f>
        <v>0</v>
      </c>
      <c r="EW184" s="6">
        <f>COUNTIFS(Table44[Country],Tabela1[[#This Row],[Country]],Table44[Jumping Classification],"&gt;0")</f>
        <v>0</v>
      </c>
      <c r="EX184" s="6">
        <f>COUNTIFS(Table45[Country],Tabela1[[#This Row],[Country]],Table45[Jumping Classification],"&gt;0")</f>
        <v>0</v>
      </c>
      <c r="EY184" s="6">
        <f>COUNTIFS(Table10[Country],Tabela1[[#This Row],[Country]],Table10[Épée Classification],"&gt;0")</f>
        <v>0</v>
      </c>
      <c r="EZ184" s="6">
        <f>COUNTIFS(Table11[Country],Tabela1[[#This Row],[Country]],Table11[Épée Classification],"&gt;0")</f>
        <v>0</v>
      </c>
      <c r="FA184" s="6">
        <f>COUNTIFS(Table46[Country],Tabela1[[#This Row],[Country]],Table46[Men''s Épée Classification],"&gt;0")</f>
        <v>0</v>
      </c>
      <c r="FB184" s="6">
        <f>COUNTIFS(Table46[Country],Tabela1[[#This Row],[Country]],Table46[Women''s Épée Classification],"&gt;0")</f>
        <v>0</v>
      </c>
      <c r="FC184" s="6">
        <f>COUNTIFS(Table10[Country],Tabela1[[#This Row],[Country]],Table10[Foil Classification],"&gt;0")</f>
        <v>0</v>
      </c>
      <c r="FD184" s="6">
        <f>COUNTIFS(Table11[Country],Tabela1[[#This Row],[Country]],Table11[Foil Classification],"&gt;0")</f>
        <v>0</v>
      </c>
      <c r="FE184" s="6">
        <f>COUNTIFS(Table46[Country],Tabela1[[#This Row],[Country]],Table46[Men''s Foil Classification],"&gt;0")</f>
        <v>0</v>
      </c>
      <c r="FF184" s="6">
        <f>COUNTIFS(Table46[Country],Tabela1[[#This Row],[Country]],Table46[Women''s Foil Classification],"&gt;0")</f>
        <v>0</v>
      </c>
      <c r="FG184" s="6">
        <f>COUNTIFS(Table10[Country],Tabela1[[#This Row],[Country]],Table10[Sabre Classification],"&gt;0")</f>
        <v>0</v>
      </c>
      <c r="FH184" s="6">
        <f>COUNTIFS(Table11[Country],Tabela1[[#This Row],[Country]],Table11[Sabre Classification],"&gt;0")</f>
        <v>0</v>
      </c>
      <c r="FI184" s="6">
        <f>COUNTIFS(Table46[Country],Tabela1[[#This Row],[Country]],Table46[Men''s Sabre Classification],"&gt;0")</f>
        <v>0</v>
      </c>
      <c r="FJ184" s="6">
        <f>COUNTIFS(Table46[Country],Tabela1[[#This Row],[Country]],Table46[Women''s Sabre Classification],"&gt;0")</f>
        <v>0</v>
      </c>
      <c r="FK184" s="6">
        <f>COUNTIFS(Table91[Country],Tabela1[[#This Row],[Country]],Table91[Men''s Classification],"&gt;0")</f>
        <v>0</v>
      </c>
      <c r="FL184" s="6">
        <f>COUNTIFS(Table91[Country],Tabela1[[#This Row],[Country]],Table91[Women''s Classification],"&gt;0")</f>
        <v>0</v>
      </c>
      <c r="FM184" s="6">
        <f>COUNTIFS(Table9194[Country],Tabela1[[#This Row],[Country]],Table9194[Men''s Classification],"&gt;0")</f>
        <v>0</v>
      </c>
      <c r="FN184" s="6">
        <f>COUNTIFS(Table9194[Country],Tabela1[[#This Row],[Country]],Table9194[Women''s Classification],"&gt;0")</f>
        <v>0</v>
      </c>
      <c r="FO184" s="6">
        <f>COUNTIFS(Table71[Country],Tabela1[[#This Row],[Country]],Table71[Classification],"&gt;0")</f>
        <v>0</v>
      </c>
      <c r="FP184" s="6">
        <f>COUNTIFS(Table62[Country],Tabela1[[#This Row],[Country]],Table62[Classification],"&gt;0")</f>
        <v>0</v>
      </c>
      <c r="FQ184" s="6">
        <f>COUNTIFS(Table47[Country],Tabela1[[#This Row],[Country]],Table47[All-Around Classification],"&gt;0")</f>
        <v>0</v>
      </c>
      <c r="FR184" s="6">
        <f>COUNTIFS(Table48[Country],Tabela1[[#This Row],[Country]],Table48[All-Around Classification],"&gt;0")</f>
        <v>0</v>
      </c>
      <c r="FS184" s="6">
        <f>COUNTIFS(Table81[Country],Tabela1[[#This Row],[Country]],Table81[Men''s All-Around Classification],"&gt;0")</f>
        <v>0</v>
      </c>
      <c r="FT184" s="6">
        <f>COUNTIFS(Table81[Country],Tabela1[[#This Row],[Country]],Table81[Women''s All-Around Classification],"&gt;0")</f>
        <v>0</v>
      </c>
      <c r="FU184" s="6">
        <f>COUNTIFS(Table48[Country],Tabela1[[#This Row],[Country]],Table48[Balance Beam Classification],"&gt;0")</f>
        <v>0</v>
      </c>
      <c r="FV184" s="6">
        <f>COUNTIFS(Table47[Country],Tabela1[[#This Row],[Country]],Table47[Floor Exercise Classification],"&gt;0")</f>
        <v>0</v>
      </c>
      <c r="FW184" s="6">
        <f>COUNTIFS(Table48[Country],Tabela1[[#This Row],[Country]],Table48[Floor Exercise Classification],"&gt;0")</f>
        <v>0</v>
      </c>
      <c r="FX184" s="6">
        <f>COUNTIFS(Table47[Country],Tabela1[[#This Row],[Country]],Table47[Horizontal Bar Classification],"&gt;0")</f>
        <v>0</v>
      </c>
      <c r="FY184" s="6">
        <f>COUNTIFS(Table47[Country],Tabela1[[#This Row],[Country]],Table47[Parallel Bars Classification],"&gt;0")</f>
        <v>0</v>
      </c>
      <c r="FZ184" s="6">
        <f>COUNTIFS(Table47[Country],Tabela1[[#This Row],[Country]],Table47[Pommel Horse Classification],"&gt;0")</f>
        <v>0</v>
      </c>
      <c r="GA184" s="6">
        <f>COUNTIFS(Table47[Country],Tabela1[[#This Row],[Country]],Table47[Rings Classification],"&gt;0")</f>
        <v>0</v>
      </c>
      <c r="GB184" s="6">
        <f>COUNTIFS(Tabela132[Country],Tabela1[[#This Row],[Country]],Tabela132[Classification],"&gt;0")</f>
        <v>0</v>
      </c>
      <c r="GC184" s="6">
        <f>COUNTIFS(Tabela139[Country],Tabela1[[#This Row],[Country]],Tabela139[Classification],"&gt;0")</f>
        <v>0</v>
      </c>
      <c r="GD184" s="6">
        <f>COUNTIFS(Table48[Country],Tabela1[[#This Row],[Country]],Table48[Uneven Bars Classification],"&gt;0")</f>
        <v>0</v>
      </c>
      <c r="GE184" s="6">
        <f>COUNTIFS(Table47[Country],Tabela1[[#This Row],[Country]],Table47[Vault Classification],"&gt;0")</f>
        <v>0</v>
      </c>
      <c r="GF184" s="6">
        <f>COUNTIFS(Table48[Country],Tabela1[[#This Row],[Country]],Table48[Vault Classification],"&gt;0")</f>
        <v>0</v>
      </c>
      <c r="GG184" s="6">
        <f>COUNTIFS(Table919496[Country],Tabela1[[#This Row],[Country]],Table919496[Men''s Classification],"&gt;0")</f>
        <v>0</v>
      </c>
      <c r="GH184" s="6">
        <f>COUNTIFS(Table919496[Country],Tabela1[[#This Row],[Country]],Table919496[Women''s Classification],"&gt;0")</f>
        <v>0</v>
      </c>
      <c r="GI184" s="6">
        <f>COUNTIFS(Table12[Country],Tabela1[[#This Row],[Country]],Table12[60kg Classification],"&gt;0")</f>
        <v>0</v>
      </c>
      <c r="GJ184" s="6">
        <f>COUNTIFS(Table12[Country],Tabela1[[#This Row],[Country]],Table12[66kg Classification],"&gt;0")</f>
        <v>0</v>
      </c>
      <c r="GK184" s="6">
        <f>COUNTIFS(Table12[Country],Tabela1[[#This Row],[Country]],Table12[73kg Classification],"&gt;0")</f>
        <v>0</v>
      </c>
      <c r="GL184" s="6">
        <f>COUNTIFS(Table12[Country],Tabela1[[#This Row],[Country]],Table12[81kg Classification],"&gt;0")</f>
        <v>0</v>
      </c>
      <c r="GM184" s="6">
        <f>COUNTIFS(Table12[Country],Tabela1[[#This Row],[Country]],Table12[90kg Classification],"&gt;0")</f>
        <v>0</v>
      </c>
      <c r="GN184" s="6">
        <f>COUNTIFS(Table12[Country],Tabela1[[#This Row],[Country]],Table12[100kg Classification],"&gt;0")</f>
        <v>0</v>
      </c>
      <c r="GO184" s="6">
        <f>COUNTIFS(Table12[Country],Tabela1[[#This Row],[Country]],Table12[Plus 100kg Classification],"&gt;0")</f>
        <v>0</v>
      </c>
      <c r="GP184" s="6">
        <f>COUNTIFS(Table13[Country],Tabela1[[#This Row],[Country]],Table13[48kg Classification],"&gt;0")</f>
        <v>0</v>
      </c>
      <c r="GQ184" s="6">
        <f>COUNTIFS(Table13[Country],Tabela1[[#This Row],[Country]],Table13[52kg Classification],"&gt;0")</f>
        <v>0</v>
      </c>
      <c r="GR184" s="6">
        <f>COUNTIFS(Table13[Country],Tabela1[[#This Row],[Country]],Table13[57kg Classification],"&gt;0")</f>
        <v>0</v>
      </c>
      <c r="GS184" s="6">
        <f>COUNTIFS(Table13[Country],Tabela1[[#This Row],[Country]],Table13[63kg Classification],"&gt;0")</f>
        <v>0</v>
      </c>
      <c r="GT184" s="6">
        <f>COUNTIFS(Table13[Country],Tabela1[[#This Row],[Country]],Table13[70kg Classification],"&gt;0")</f>
        <v>0</v>
      </c>
      <c r="GU184" s="6">
        <f>COUNTIFS(Table13[Country],Tabela1[[#This Row],[Country]],Table13[78kg Classification],"&gt;0")</f>
        <v>0</v>
      </c>
      <c r="GV184" s="6">
        <f>COUNTIFS(Table13[Country],Tabela1[[#This Row],[Country]],Table13[Plus 78kg Classification],"&gt;0")</f>
        <v>0</v>
      </c>
      <c r="GW184" s="6">
        <f>COUNTIFS(Table82[Country],Tabela1[[#This Row],[Country]],Table82[Mixed Classification],"&gt;0")</f>
        <v>0</v>
      </c>
      <c r="GX184" s="6">
        <f>COUNTIFS(Table51[Country],Tabela1[[#This Row],[Country]],Table51[Classification],"&gt;0")</f>
        <v>0</v>
      </c>
      <c r="GY184" s="6">
        <f>COUNTIFS(Table52[Country],Tabela1[[#This Row],[Country]],Table52[Classification],"&gt;0")</f>
        <v>0</v>
      </c>
      <c r="GZ184" s="6">
        <f>COUNTIFS(Table32[Country],Tabela1[[#This Row],[Country]],Table32[All-Around Classification],"&gt;0")</f>
        <v>0</v>
      </c>
      <c r="HA184" s="6">
        <f>COUNTIFS(Table49[Country],Tabela1[[#This Row],[Country]],Table49[All-Around Classification],"&gt;0")</f>
        <v>0</v>
      </c>
      <c r="HB184" s="6">
        <f>COUNTIFS(Table26[Country],Tabela1[[#This Row],[Country]],Table26[Single Sculls Classification],"&gt;0")</f>
        <v>0</v>
      </c>
      <c r="HC184" s="6">
        <f>COUNTIFS(Table63[Country],Tabela1[[#This Row],[Country]],Table63[Single Sculls Classification],"&gt;0")</f>
        <v>0</v>
      </c>
      <c r="HD184" s="6">
        <f>COUNTIFS(Table16[Country],Tabela1[[#This Row],[Country]],Table16[Men''s Double Sculls Classification],"&gt;0")</f>
        <v>0</v>
      </c>
      <c r="HE184" s="6">
        <f>COUNTIFS(Table16[Country],Tabela1[[#This Row],[Country]],Table16[Women''s Double Sculls Classification],"&gt;0")</f>
        <v>0</v>
      </c>
      <c r="HF184" s="6">
        <f>COUNTIFS(Table72[Country],Tabela1[[#This Row],[Country]],Table72[Men''s Quadruple Sculls Classification],"&gt;0")</f>
        <v>0</v>
      </c>
      <c r="HG184" s="6">
        <f>COUNTIFS(Table72[Country],Tabela1[[#This Row],[Country]],Table72[Women''s Quadruple Sculls Classification],"&gt;0")</f>
        <v>0</v>
      </c>
      <c r="HH184" s="6">
        <f>COUNTIFS(Table16[Country],Tabela1[[#This Row],[Country]],Table16[Men''s Coxless Pairs Classification],"&gt;0")</f>
        <v>0</v>
      </c>
      <c r="HI184" s="6">
        <f>COUNTIFS(Table16[Country],Tabela1[[#This Row],[Country]],Table16[Women''s Coxless Pairs Classification],"&gt;0")</f>
        <v>0</v>
      </c>
      <c r="HJ184" s="6">
        <f>COUNTIFS(Table72[Country],Tabela1[[#This Row],[Country]],Table72[Men''s Coxless Fours Classification],"&gt;0")</f>
        <v>0</v>
      </c>
      <c r="HK184" s="6">
        <f>COUNTIFS(Table72[Country],Tabela1[[#This Row],[Country]],Table72[Women''s Coxless Fours Classification],"&gt;0")</f>
        <v>0</v>
      </c>
      <c r="HL184" s="6">
        <f>COUNTIFS(Table72[Country],Tabela1[[#This Row],[Country]],Table72[Men''s Eights Classification],"&gt;0")</f>
        <v>0</v>
      </c>
      <c r="HM184" s="6">
        <f>COUNTIFS(Table72[Country],Tabela1[[#This Row],[Country]],Table72[Women''s Eights Classification],"&gt;0")</f>
        <v>0</v>
      </c>
      <c r="HN184" s="6">
        <f>COUNTIFS(Table16[Country],Tabela1[[#This Row],[Country]],Table16[Men''s Lwt. Double Sculls Classification],"&gt;0")</f>
        <v>0</v>
      </c>
      <c r="HO184" s="6">
        <f>COUNTIFS(Table16[Country],Tabela1[[#This Row],[Country]],Table16[Women''s Lwt. Double Sculls Classification],"&gt;0")</f>
        <v>0</v>
      </c>
      <c r="HP184" s="6">
        <f>COUNTIFS(Table91949698[Country],Tabela1[[#This Row],[Country]],Table91949698[Men''s Classification],"&gt;0")</f>
        <v>0</v>
      </c>
      <c r="HQ184" s="6">
        <f>COUNTIFS(Table91949698[Country],Tabela1[[#This Row],[Country]],Table91949698[Women''s Classification],"&gt;0")</f>
        <v>0</v>
      </c>
      <c r="HR184" s="6">
        <f>COUNTIFS(Table25[Country],Tabela1[[#This Row],[Country]],Table25[Mixed 470 Classification],"&gt;0")</f>
        <v>0</v>
      </c>
      <c r="HS184" s="6">
        <f>COUNTIFS(Table25[Country],Tabela1[[#This Row],[Country]],Table25[Men''s 49er Classification],"&gt;0")</f>
        <v>0</v>
      </c>
      <c r="HT184" s="6">
        <f>COUNTIFS(Table25[Country],Tabela1[[#This Row],[Country]],Table25[Women''s 49er FX Classification],"&gt;0")</f>
        <v>0</v>
      </c>
      <c r="HU184" s="6">
        <f>COUNTIFS(Table17[Country],Tabela1[[#This Row],[Country]],Table17[Formula Kite Classification],"&gt;0")</f>
        <v>0</v>
      </c>
      <c r="HV184" s="6">
        <f>COUNTIFS(Table18[Country],Tabela1[[#This Row],[Country]],Table18[Formula Kite Classification],"&gt;0")</f>
        <v>0</v>
      </c>
      <c r="HW184" s="6">
        <f>COUNTIFS(Table17[Country],Tabela1[[#This Row],[Country]],Table17[ILCA 7 Classification],"&gt;0")</f>
        <v>0</v>
      </c>
      <c r="HX184" s="6">
        <f>COUNTIFS(Table18[Country],Tabela1[[#This Row],[Country]],Table18[ILCA 6 Classification],"&gt;0")</f>
        <v>0</v>
      </c>
      <c r="HY184" s="6">
        <f>COUNTIFS(Table17[Country],Tabela1[[#This Row],[Country]],Table17[IQFoil Classification],"&gt;0")</f>
        <v>0</v>
      </c>
      <c r="HZ184" s="6">
        <f>COUNTIFS(Table18[Country],Tabela1[[#This Row],[Country]],Table18[IQFoil Classification],"&gt;0")</f>
        <v>0</v>
      </c>
      <c r="IA184" s="6">
        <f>COUNTIFS(Table25[Country],Tabela1[[#This Row],[Country]],Table25[Mixed Nacra 17 Classification],"&gt;0")</f>
        <v>0</v>
      </c>
      <c r="IB184" s="6">
        <f>COUNTIFS(Table53[Country],Tabela1[[#This Row],[Country]],Table53[10m Air Pistol Classification],"&gt;0")</f>
        <v>0</v>
      </c>
      <c r="IC184" s="6">
        <f>COUNTIFS(Table19[Country],Tabela1[[#This Row],[Country]],Table19[10m Air Pistol Classification],"&gt;0")</f>
        <v>0</v>
      </c>
      <c r="ID184" s="6">
        <f>COUNTIFS(Table54[Country],Tabela1[[#This Row],[Country]],Table54[Mixed 10m Air Pistol Team Classification],"&gt;0")</f>
        <v>0</v>
      </c>
      <c r="IE184" s="6">
        <f>COUNTIFS(Table53[Country],Tabela1[[#This Row],[Country]],Table53[10m Air Rifle Classification],"&gt;0")</f>
        <v>0</v>
      </c>
      <c r="IF184" s="6">
        <f>COUNTIFS(Table19[Country],Tabela1[[#This Row],[Country]],Table19[10m Air Rifle Classification],"&gt;0")</f>
        <v>0</v>
      </c>
      <c r="IG184" s="6">
        <f>COUNTIFS(Table54[Country],Tabela1[[#This Row],[Country]],Table54[Mixed 10m Air Rifle Team Classification],"&gt;0")</f>
        <v>0</v>
      </c>
      <c r="IH184" s="6">
        <f>COUNTIFS(Table53[Country],Tabela1[[#This Row],[Country]],Table53[25m Rapid Fire Pistol Classification],"&gt;0")</f>
        <v>0</v>
      </c>
      <c r="II184" s="6">
        <f>COUNTIFS(Table19[Country],Tabela1[[#This Row],[Country]],Table19[25m Pistol Classification],"&gt;0")</f>
        <v>0</v>
      </c>
      <c r="IJ184" s="6">
        <f>COUNTIFS(Table53[Country],Tabela1[[#This Row],[Country]],Table53[50m Rifle 3 Positions Classification],"&gt;0")</f>
        <v>0</v>
      </c>
      <c r="IK184" s="6">
        <f>COUNTIFS(Table19[Country],Tabela1[[#This Row],[Country]],Table19[50m Rifle 3 Positions Classification],"&gt;0")</f>
        <v>0</v>
      </c>
      <c r="IL184" s="6">
        <f>COUNTIFS(Table53[Country],Tabela1[[#This Row],[Country]],Table53[Skeet Classification],"&gt;0")</f>
        <v>0</v>
      </c>
      <c r="IM184" s="6">
        <f>COUNTIFS(Table19[Country],Tabela1[[#This Row],[Country]],Table19[Skeet Classification],"&gt;0")</f>
        <v>0</v>
      </c>
      <c r="IN184" s="6">
        <f>COUNTIFS(Table54[Country],Tabela1[[#This Row],[Country]],Table54[Mixed Skeet Team Classification],"&gt;0")</f>
        <v>0</v>
      </c>
      <c r="IO184" s="6">
        <f>COUNTIFS(Table53[Country],Tabela1[[#This Row],[Country]],Table53[Trap Classification],"&gt;0")</f>
        <v>0</v>
      </c>
      <c r="IP184" s="6">
        <f>COUNTIFS(Table19[Country],Tabela1[[#This Row],[Country]],Table19[Trap Classification],"&gt;0")</f>
        <v>0</v>
      </c>
      <c r="IQ184" s="6">
        <f>COUNTIFS(Table73[Country],Tabela1[[#This Row],[Country]],Table73[Park Classification],"&gt;0")</f>
        <v>0</v>
      </c>
      <c r="IR184" s="6">
        <f>COUNTIFS(Table74[Country],Tabela1[[#This Row],[Country]],Table74[Park Classification],"&gt;0")</f>
        <v>0</v>
      </c>
      <c r="IS184" s="6">
        <f>COUNTIFS(Table73[Country],Tabela1[[#This Row],[Country]],Table73[Street Classification],"&gt;0")</f>
        <v>0</v>
      </c>
      <c r="IT184" s="6">
        <f>COUNTIFS(Table74[Country],Tabela1[[#This Row],[Country]],Table74[Street Classification],"&gt;0")</f>
        <v>0</v>
      </c>
      <c r="IU184" s="6">
        <f>COUNTIFS(Table75[Country],Tabela1[[#This Row],[Country]],Table75[Boulder and Lead Classification],"&gt;0")</f>
        <v>0</v>
      </c>
      <c r="IV184" s="6">
        <f>COUNTIFS(Table76[Country],Tabela1[[#This Row],[Country]],Table76[Boulder and Lead Classification],"&gt;0")</f>
        <v>0</v>
      </c>
      <c r="IW184" s="6">
        <f>COUNTIFS(Table75[Country],Tabela1[[#This Row],[Country]],Table75[Speed Classification],"&gt;0")</f>
        <v>0</v>
      </c>
      <c r="IX184" s="6">
        <f>COUNTIFS(Table76[Country],Tabela1[[#This Row],[Country]],Table76[Speed Classification],"&gt;0")</f>
        <v>0</v>
      </c>
      <c r="IY184" s="6">
        <f>COUNTIFS(Table64[Country],Tabela1[[#This Row],[Country]],Table64[Shortboard Classification],"&gt;0")</f>
        <v>0</v>
      </c>
      <c r="IZ184" s="6">
        <f>COUNTIFS(Table77[Country],Tabela1[[#This Row],[Country]],Table77[Shortboard Classification],"&gt;0")</f>
        <v>0</v>
      </c>
      <c r="JA184" s="6">
        <f>COUNTIFS(Table20[Country],Tabela1[[#This Row],[Country]],Table20[50m Freestyle Classification],"&gt;0")</f>
        <v>0</v>
      </c>
      <c r="JB184" s="6">
        <f>COUNTIFS(Table21[Country],Tabela1[[#This Row],[Country]],Table21[50m Freestyle Classification],"&gt;0")</f>
        <v>0</v>
      </c>
      <c r="JC184" s="6">
        <f>COUNTIFS(Table20[Country],Tabela1[[#This Row],[Country]],Table20[100m Freestyle Classification],"&gt;0")</f>
        <v>0</v>
      </c>
      <c r="JD184" s="6">
        <f>COUNTIFS(Table21[Country],Tabela1[[#This Row],[Country]],Table21[100m Freestyle Classification],"&gt;0")</f>
        <v>0</v>
      </c>
      <c r="JE184" s="6">
        <f>COUNTIFS(Table20[Country],Tabela1[[#This Row],[Country]],Table20[200m Freestyle Classification],"&gt;0")</f>
        <v>0</v>
      </c>
      <c r="JF184" s="6">
        <f>COUNTIFS(Table21[Country],Tabela1[[#This Row],[Country]],Table21[200m Freestyle Classification],"&gt;0")</f>
        <v>0</v>
      </c>
      <c r="JG184" s="6">
        <f>COUNTIFS(Table20[Country],Tabela1[[#This Row],[Country]],Table20[400m Freestyle Classification],"&gt;0")</f>
        <v>0</v>
      </c>
      <c r="JH184" s="6">
        <f>COUNTIFS(Table21[Country],Tabela1[[#This Row],[Country]],Table21[400m Freestyle Classification],"&gt;0")</f>
        <v>0</v>
      </c>
      <c r="JI184" s="6">
        <f>COUNTIFS(Table20[Country],Tabela1[[#This Row],[Country]],Table20[800m Freestyle Classification],"&gt;0")</f>
        <v>0</v>
      </c>
      <c r="JJ184" s="6">
        <f>COUNTIFS(Table21[Country],Tabela1[[#This Row],[Country]],Table21[800m Freestyle Classification],"&gt;0")</f>
        <v>0</v>
      </c>
      <c r="JK184" s="6">
        <f>COUNTIFS(Table20[Country],Tabela1[[#This Row],[Country]],Table20[1500m Freestyle Classification],"&gt;0")</f>
        <v>0</v>
      </c>
      <c r="JL184" s="6">
        <f>COUNTIFS(Table21[Country],Tabela1[[#This Row],[Country]],Table21[1500m Freestyle Classification],"&gt;0")</f>
        <v>0</v>
      </c>
      <c r="JM184" s="6">
        <f>COUNTIFS(Table20[Country],Tabela1[[#This Row],[Country]],Table20[100m Backstroke Classification],"&gt;0")</f>
        <v>0</v>
      </c>
      <c r="JN184" s="6">
        <f>COUNTIFS(Table21[Country],Tabela1[[#This Row],[Country]],Table21[100m Backstroke Classification],"&gt;0")</f>
        <v>0</v>
      </c>
      <c r="JO184" s="6">
        <f>COUNTIFS(Table20[Country],Tabela1[[#This Row],[Country]],Table20[200m Backstroke Classification],"&gt;0")</f>
        <v>0</v>
      </c>
      <c r="JP184" s="6">
        <f>COUNTIFS(Table21[Country],Tabela1[[#This Row],[Country]],Table21[200m Backstroke Classification],"&gt;0")</f>
        <v>0</v>
      </c>
      <c r="JQ184" s="6">
        <f>COUNTIFS(Table20[Country],Tabela1[[#This Row],[Country]],Table20[100m Breaststroke Classification],"&gt;0")</f>
        <v>0</v>
      </c>
      <c r="JR184" s="6">
        <f>COUNTIFS(Table21[Country],Tabela1[[#This Row],[Country]],Table21[100m Breaststroke Classification],"&gt;0")</f>
        <v>0</v>
      </c>
      <c r="JS184" s="6">
        <f>COUNTIFS(Table20[Country],Tabela1[[#This Row],[Country]],Table20[200m Breaststroke Classification],"&gt;0")</f>
        <v>0</v>
      </c>
      <c r="JT184" s="6">
        <f>COUNTIFS(Table21[Country],Tabela1[[#This Row],[Country]],Table21[200m Breaststroke Classification],"&gt;0")</f>
        <v>0</v>
      </c>
      <c r="JU184" s="6">
        <f>COUNTIFS(Table20[Country],Tabela1[[#This Row],[Country]],Table20[100m Butterfly Classification],"&gt;0")</f>
        <v>0</v>
      </c>
      <c r="JV184" s="6">
        <f>COUNTIFS(Table21[Country],Tabela1[[#This Row],[Country]],Table21[100m Butterfly Classification],"&gt;0")</f>
        <v>0</v>
      </c>
      <c r="JW184" s="6">
        <f>COUNTIFS(Table20[Country],Tabela1[[#This Row],[Country]],Table20[200m Butterfly Classification],"&gt;0")</f>
        <v>0</v>
      </c>
      <c r="JX184" s="6">
        <f>COUNTIFS(Table21[Country],Tabela1[[#This Row],[Country]],Table21[200m Butterfly Classification],"&gt;0")</f>
        <v>0</v>
      </c>
      <c r="JY184" s="6">
        <f>COUNTIFS(Table20[Country],Tabela1[[#This Row],[Country]],Table20[200m Medley Classification],"&gt;0")</f>
        <v>0</v>
      </c>
      <c r="JZ184" s="6">
        <f>COUNTIFS(Table21[Country],Tabela1[[#This Row],[Country]],Table21[200m Medley Classification],"&gt;0")</f>
        <v>0</v>
      </c>
      <c r="KA184" s="6">
        <f>COUNTIFS(Table20[Country],Tabela1[[#This Row],[Country]],Table20[400m Medley Classification],"&gt;0")</f>
        <v>0</v>
      </c>
      <c r="KB184" s="6">
        <f>COUNTIFS(Table21[Country],Tabela1[[#This Row],[Country]],Table21[400m Medley Classification],"&gt;0")</f>
        <v>0</v>
      </c>
      <c r="KC184" s="6">
        <f>COUNTIFS(Table78[Country],Tabela1[[#This Row],[Country]],Table78[Men''s 4x100m Freestyle Relay Classification],"&gt;0")</f>
        <v>0</v>
      </c>
      <c r="KD184" s="6">
        <f>COUNTIFS(Table78[Country],Tabela1[[#This Row],[Country]],Table78[Women''s 4x100m Freestyle Relay Classification],"&gt;0")</f>
        <v>0</v>
      </c>
      <c r="KE184" s="6">
        <f>COUNTIFS(Table78[Country],Tabela1[[#This Row],[Country]],Table78[Men''s 4x200m Freestyle Relay Classification],"&gt;0")</f>
        <v>0</v>
      </c>
      <c r="KF184" s="6">
        <f>COUNTIFS(Table78[Country],Tabela1[[#This Row],[Country]],Table78[Women''s 4x200m Freestyle Relay Classification],"&gt;0")</f>
        <v>0</v>
      </c>
      <c r="KG184" s="6">
        <f>COUNTIFS(Table78[Country],Tabela1[[#This Row],[Country]],Table78[Men''s 4x100m Medley Relay Classification],"&gt;0")</f>
        <v>0</v>
      </c>
      <c r="KH184" s="6">
        <f>COUNTIFS(Table78[Country],Tabela1[[#This Row],[Country]],Table78[Women''s 4x100m Medley Relay Classification],"&gt;0")</f>
        <v>0</v>
      </c>
      <c r="KI184" s="6">
        <f>COUNTIFS(Table78[Country],Tabela1[[#This Row],[Country]],Table78[Mixed 4x100m Medley Relay Classification],"&gt;0")</f>
        <v>0</v>
      </c>
      <c r="KJ184" s="6">
        <f>COUNTIFS(Table20[Country],Tabela1[[#This Row],[Country]],Table20[10km Open Water Classification],"&gt;0")</f>
        <v>0</v>
      </c>
      <c r="KK184" s="6">
        <f>COUNTIFS(Table21[Country],Tabela1[[#This Row],[Country]],Table21[10km Open Water Classification],"&gt;0")</f>
        <v>0</v>
      </c>
      <c r="KL184" s="6">
        <f>COUNTIFS(Table22[Country],Tabela1[[#This Row],[Country]],Table22[Classification],"&gt;0")</f>
        <v>0</v>
      </c>
      <c r="KM184" s="6">
        <f>COUNTIFS(Table30[Country],Tabela1[[#This Row],[Country]],Table30[Classification],"&gt;0")</f>
        <v>0</v>
      </c>
      <c r="KN184" s="6">
        <f>COUNTIFS(Table55[Country],Tabela1[[#This Row],[Country]],Table55[Men''s Classification],"&gt;0")</f>
        <v>0</v>
      </c>
      <c r="KO184" s="6">
        <f>COUNTIFS(Table55[Country],Tabela1[[#This Row],[Country]],Table55[Women''s Classification],"&gt;0")</f>
        <v>0</v>
      </c>
      <c r="KP184" s="6">
        <f>COUNTIFS(Table56[Country],Tabela1[[#This Row],[Country]],Table56[Mixed Classification],"&gt;0")</f>
        <v>0</v>
      </c>
      <c r="KQ184" s="6">
        <f>COUNTIFS(Table29[Country],Tabela1[[#This Row],[Country]],Table29[58kg Classification],"&gt;0")</f>
        <v>0</v>
      </c>
      <c r="KR184" s="6">
        <f>COUNTIFS(Table29[Country],Tabela1[[#This Row],[Country]],Table29[68kg Classification],"&gt;0")</f>
        <v>0</v>
      </c>
      <c r="KS184" s="6">
        <f>COUNTIFS(Table29[Country],Tabela1[[#This Row],[Country]],Table29[80kg Classification],"&gt;0")</f>
        <v>0</v>
      </c>
      <c r="KT184" s="6">
        <f>COUNTIFS(Table29[Country],Tabela1[[#This Row],[Country]],Table29[Plus 80kg Classification],"&gt;0")</f>
        <v>0</v>
      </c>
      <c r="KU184" s="6">
        <f>COUNTIFS(Table34[Country],Tabela1[[#This Row],[Country]],Table34[49kg Classification],"&gt;0")</f>
        <v>0</v>
      </c>
      <c r="KV184" s="6">
        <f>COUNTIFS(Table34[Country],Tabela1[[#This Row],[Country]],Table34[57kg Classification],"&gt;0")</f>
        <v>0</v>
      </c>
      <c r="KW184" s="6">
        <f>COUNTIFS(Table34[Country],Tabela1[[#This Row],[Country]],Table34[67kg Classification],"&gt;0")</f>
        <v>0</v>
      </c>
      <c r="KX184" s="6">
        <f>COUNTIFS(Table34[Country],Tabela1[[#This Row],[Country]],Table34[Plus 67kg Classification],"&gt;0")</f>
        <v>0</v>
      </c>
      <c r="KY184" s="6">
        <f>COUNTIFS(Table57[Country],Tabela1[[#This Row],[Country]],Table57[Classification],"&gt;0")</f>
        <v>0</v>
      </c>
      <c r="KZ184" s="6">
        <f>COUNTIFS(Table58[Country],Tabela1[[#This Row],[Country]],Table58[Classification],"&gt;0")</f>
        <v>0</v>
      </c>
      <c r="LA184" s="6">
        <f>COUNTIFS(Table79[Country],Tabela1[[#This Row],[Country]],Table79[Men''s Classification],"&gt;0")</f>
        <v>0</v>
      </c>
      <c r="LB184" s="6">
        <f>COUNTIFS(Table79[Country],Tabela1[[#This Row],[Country]],Table79[Women''s Classification],"&gt;0")</f>
        <v>0</v>
      </c>
      <c r="LC184" s="6">
        <f>COUNTIFS(Table79[Country],Tabela1[[#This Row],[Country]],Table79[Mixed Classification],"&gt;0")</f>
        <v>0</v>
      </c>
      <c r="LD184" s="6">
        <f>COUNTIFS(Table65[Country],Tabela1[[#This Row],[Country]],Table65[Classification],"&gt;0")</f>
        <v>0</v>
      </c>
      <c r="LE184" s="6">
        <f>COUNTIFS(Table59[Country],Tabela1[[#This Row],[Country]],Table59[Classification],"&gt;0")</f>
        <v>0</v>
      </c>
      <c r="LF184" s="6">
        <f>COUNTIFS(Table87[Country],Tabela1[[#This Row],[Country]],Table87[Mixed Relay Classification],"&gt;0")</f>
        <v>0</v>
      </c>
      <c r="LG184" s="6">
        <f>COUNTIFS(Table91949698100[Country],Tabela1[[#This Row],[Country]],Table91949698100[Men''s Classification],"&gt;0")</f>
        <v>0</v>
      </c>
      <c r="LH184" s="6">
        <f>COUNTIFS(Table91949698100[Country],Tabela1[[#This Row],[Country]],Table91949698100[Women''s Classification],"&gt;0")</f>
        <v>0</v>
      </c>
      <c r="LI184" s="6">
        <f>COUNTIFS(Table91949698100102[Country],Tabela1[[#This Row],[Country]],Table91949698100102[Men''s Classification],"&gt;0")</f>
        <v>0</v>
      </c>
      <c r="LJ184" s="6">
        <f>COUNTIFS(Table91949698100102[Country],Tabela1[[#This Row],[Country]],Table91949698100102[Women''s Classification],"&gt;0")</f>
        <v>0</v>
      </c>
      <c r="LK184" s="6">
        <f>COUNTIFS(Table23[Country],Tabela1[[#This Row],[Country]],Table23[61kg Classification],"&gt;0")</f>
        <v>0</v>
      </c>
      <c r="LL184" s="6">
        <f>COUNTIFS(Table23[Country],Tabela1[[#This Row],[Country]],Table23[73kg Classification],"&gt;0")</f>
        <v>0</v>
      </c>
      <c r="LM184" s="6">
        <f>COUNTIFS(Table23[Country],Tabela1[[#This Row],[Country]],Table23[89kg Classification],"&gt;0")</f>
        <v>0</v>
      </c>
      <c r="LN184" s="6">
        <f>COUNTIFS(Table23[Country],Tabela1[[#This Row],[Country]],Table23[102kg Classification],"&gt;0")</f>
        <v>0</v>
      </c>
      <c r="LO184" s="6">
        <f>COUNTIFS(Table23[Country],Tabela1[[#This Row],[Country]],Table23[Plus 102kg Classification],"&gt;0")</f>
        <v>0</v>
      </c>
      <c r="LP184" s="6">
        <f>COUNTIFS(Table28[Country],Tabela1[[#This Row],[Country]],Table28[49kg Classification],"&gt;0")</f>
        <v>0</v>
      </c>
      <c r="LQ184" s="6">
        <f>COUNTIFS(Table28[Country],Tabela1[[#This Row],[Country]],Table28[59kg Classification],"&gt;0")</f>
        <v>0</v>
      </c>
      <c r="LR184" s="6">
        <f>COUNTIFS(Table28[Country],Tabela1[[#This Row],[Country]],Table28[71kg Classification],"&gt;0")</f>
        <v>0</v>
      </c>
      <c r="LS184" s="6">
        <f>COUNTIFS(Table28[Country],Tabela1[[#This Row],[Country]],Table28[81kg Classification],"&gt;0")</f>
        <v>0</v>
      </c>
      <c r="LT184" s="6">
        <f>COUNTIFS(Table28[Country],Tabela1[[#This Row],[Country]],Table28[Plus 81kg Classification],"&gt;0")</f>
        <v>0</v>
      </c>
      <c r="LU184" s="6">
        <f>COUNTIFS(Table24[Country],Tabela1[[#This Row],[Country]],Table24[Freestyle 57kg Classification],"&gt;0")</f>
        <v>0</v>
      </c>
      <c r="LV184" s="6">
        <f>COUNTIFS(Table24[Country],Tabela1[[#This Row],[Country]],Table24[Freestyle 65kg Classification],"&gt;0")</f>
        <v>0</v>
      </c>
      <c r="LW184" s="6">
        <f>COUNTIFS(Table24[Country],Tabela1[[#This Row],[Country]],Table24[Freestyle 74kg Classification],"&gt;0")</f>
        <v>0</v>
      </c>
      <c r="LX184" s="6">
        <f>COUNTIFS(Table24[Country],Tabela1[[#This Row],[Country]],Table24[Freestyle 86kg Classification],"&gt;0")</f>
        <v>0</v>
      </c>
      <c r="LY184" s="6">
        <f>COUNTIFS(Table24[Country],Tabela1[[#This Row],[Country]],Table24[Freestyle 97kg Classification],"&gt;0")</f>
        <v>0</v>
      </c>
      <c r="LZ184" s="6">
        <f>COUNTIFS(Table24[Country],Tabela1[[#This Row],[Country]],Table24[Freestyle 125kg Classification],"&gt;0")</f>
        <v>0</v>
      </c>
      <c r="MA184" s="6">
        <f>COUNTIFS(Table24[Country],Tabela1[[#This Row],[Country]],Table24[Greco-Roman 60kg Classification],"&gt;0")</f>
        <v>0</v>
      </c>
      <c r="MB184" s="6">
        <f>COUNTIFS(Table24[Country],Tabela1[[#This Row],[Country]],Table24[Greco-Roman 67kg Classification],"&gt;0")</f>
        <v>0</v>
      </c>
      <c r="MC184" s="6">
        <f>COUNTIFS(Table24[Country],Tabela1[[#This Row],[Country]],Table24[Greco-Roman 77kg Classification],"&gt;0")</f>
        <v>0</v>
      </c>
      <c r="MD184" s="6">
        <f>COUNTIFS(Table24[Country],Tabela1[[#This Row],[Country]],Table24[Greco-Roman 87kg Classification],"&gt;0")</f>
        <v>0</v>
      </c>
      <c r="ME184" s="6">
        <f>COUNTIFS(Table24[Country],Tabela1[[#This Row],[Country]],Table24[Greco-Roman 97kg Classification],"&gt;0")</f>
        <v>0</v>
      </c>
      <c r="MF184" s="6">
        <f>COUNTIFS(Table24[Country],Tabela1[[#This Row],[Country]],Table24[Greco-Roman 130kg Classification],"&gt;0")</f>
        <v>0</v>
      </c>
      <c r="MG184" s="6">
        <f>COUNTIFS(Table31[Country],Tabela1[[#This Row],[Country]],Table31[50kg Classification],"&gt;0")</f>
        <v>0</v>
      </c>
      <c r="MH184" s="6">
        <f>COUNTIFS(Table31[Country],Tabela1[[#This Row],[Country]],Table31[53kg Classification],"&gt;0")</f>
        <v>0</v>
      </c>
      <c r="MI184" s="6">
        <f>COUNTIFS(Table31[Country],Tabela1[[#This Row],[Country]],Table31[57kg Classification],"&gt;0")</f>
        <v>0</v>
      </c>
      <c r="MJ184" s="6">
        <f>COUNTIFS(Table31[Country],Tabela1[[#This Row],[Country]],Table31[62kg Classification],"&gt;0")</f>
        <v>0</v>
      </c>
      <c r="MK184" s="6">
        <f>COUNTIFS(Table31[Country],Tabela1[[#This Row],[Country]],Table31[68kg Classification],"&gt;0")</f>
        <v>0</v>
      </c>
      <c r="ML184" s="6">
        <f>COUNTIFS(Table31[Country],Tabela1[[#This Row],[Country]],Table31[76kg Classification],"&gt;0")</f>
        <v>0</v>
      </c>
      <c r="MM184" s="6">
        <f>COUNTIFS(Table102[Country],Tabela1[[#This Row],[Country]],Table102[Downhill Classification],"&gt;0")</f>
        <v>0</v>
      </c>
      <c r="MN184" s="6">
        <f>COUNTIFS(Table102105[Country],Tabela1[[#This Row],[Country]],Table102105[Downhill Classification],"&gt;0")</f>
        <v>0</v>
      </c>
      <c r="MO184" s="6">
        <f>COUNTIFS(Table102[Country],Tabela1[[#This Row],[Country]],Table102[Giant Slalom Classification],"&gt;0")</f>
        <v>0</v>
      </c>
      <c r="MP184" s="6">
        <f>COUNTIFS(Table102105[Country],Tabela1[[#This Row],[Country]],Table102105[Giant Slalom Classification],"&gt;0")</f>
        <v>0</v>
      </c>
      <c r="MQ184" s="6">
        <f>COUNTIFS(Table102[Country],Tabela1[[#This Row],[Country]],Table102[Slalom Classification],"&gt;0")</f>
        <v>0</v>
      </c>
      <c r="MR184" s="6">
        <f>COUNTIFS(Table102105[Country],Tabela1[[#This Row],[Country]],Table102105[Slalom Classification],"&gt;0")</f>
        <v>0</v>
      </c>
      <c r="MS184" s="6">
        <f>COUNTIFS(Table102[Country],Tabela1[[#This Row],[Country]],Table102[Super-G Classification],"&gt;0")</f>
        <v>0</v>
      </c>
      <c r="MT184" s="6">
        <f>COUNTIFS(Table102105[Country],Tabela1[[#This Row],[Country]],Table102105[Super-G Classification],"&gt;0")</f>
        <v>0</v>
      </c>
      <c r="MU184" s="6">
        <f>COUNTIFS(Table105[Country],Tabela1[[#This Row],[Country]],Table105[Men''s Combined Classification],"&gt;0")</f>
        <v>0</v>
      </c>
      <c r="MV184" s="6">
        <f>COUNTIFS(Table105[Country],Tabela1[[#This Row],[Country]],Table105[Women''s Combined Classification],"&gt;0")</f>
        <v>0</v>
      </c>
      <c r="MW184" s="6">
        <f>COUNTIFS(Table106[Country],Tabela1[[#This Row],[Country]],Table106[Individual Classification],"&gt;0")</f>
        <v>0</v>
      </c>
      <c r="MX184" s="6">
        <f>COUNTIFS(Table106109[Country],Tabela1[[#This Row],[Country]],Table106109[Individual Classification],"&gt;0")</f>
        <v>0</v>
      </c>
      <c r="MY184" s="6">
        <f>COUNTIFS(Table106[Country],Tabela1[[#This Row],[Country]],Table106[Mass Start Classification],"&gt;0")</f>
        <v>0</v>
      </c>
      <c r="MZ184" s="6">
        <f>COUNTIFS(Table106109[Country],Tabela1[[#This Row],[Country]],Table106109[Mass Start Classification],"&gt;0")</f>
        <v>0</v>
      </c>
      <c r="NA184" s="6">
        <f>COUNTIFS(Table106[Country],Tabela1[[#This Row],[Country]],Table106[Pursuit Classification],"&gt;0")</f>
        <v>0</v>
      </c>
      <c r="NB184" s="6">
        <f>COUNTIFS(Table106109[Country],Tabela1[[#This Row],[Country]],Table106109[Pursuit Classification],"&gt;0")</f>
        <v>0</v>
      </c>
      <c r="NC184" s="6">
        <f>COUNTIFS(Table106[Country],Tabela1[[#This Row],[Country]],Table106[Sprint Classification],"&gt;0")</f>
        <v>0</v>
      </c>
      <c r="ND184" s="6">
        <f>COUNTIFS(Table106109[Country],Tabela1[[#This Row],[Country]],Table106109[Sprint Classification],"&gt;0")</f>
        <v>0</v>
      </c>
      <c r="NE184" s="6">
        <f>COUNTIFS(Table109[Country],Tabela1[[#This Row],[Country]],Table109[Men''s Relay Classification],"&gt;0")</f>
        <v>0</v>
      </c>
      <c r="NF184" s="6">
        <f>COUNTIFS(Table109[Country],Tabela1[[#This Row],[Country]],Table109[Women''s Relay Classification],"&gt;0")</f>
        <v>0</v>
      </c>
      <c r="NG184" s="6">
        <f>COUNTIFS(Table109[Country],Tabela1[[#This Row],[Country]],Table109[Mixed Relay Classification],"&gt;0")</f>
        <v>0</v>
      </c>
      <c r="NH184" s="6">
        <f>COUNTIFS(Table110[Country],Tabela1[[#This Row],[Country]],Table110[Monobob Classification],"&gt;0")</f>
        <v>0</v>
      </c>
      <c r="NI184" s="6">
        <f>COUNTIFS(Table111[Country],Tabela1[[#This Row],[Country]],Table111[Men''s Classification],"&gt;0")</f>
        <v>0</v>
      </c>
      <c r="NJ184" s="6">
        <f>COUNTIFS(Table111[Country],Tabela1[[#This Row],[Country]],Table111[Women''s Classification],"&gt;0")</f>
        <v>0</v>
      </c>
      <c r="NK184" s="6">
        <f>COUNTIFS(Table112[Country],Tabela1[[#This Row],[Country]],Table112[Men''s Four Classification],"&gt;0")</f>
        <v>0</v>
      </c>
      <c r="NL184" s="6">
        <f>COUNTIFS(Table113[Country],Tabela1[[#This Row],[Country]],Table113[Classical Classification],"&gt;0")</f>
        <v>0</v>
      </c>
      <c r="NM184" s="6">
        <f>COUNTIFS(Table113116[Country],Tabela1[[#This Row],[Country]],Table113116[Classical Classification],"&gt;0")</f>
        <v>0</v>
      </c>
      <c r="NN184" s="6">
        <f>COUNTIFS(Table113[Country],Tabela1[[#This Row],[Country]],Table113[Freestyle Classification],"&gt;0")</f>
        <v>0</v>
      </c>
      <c r="NO184" s="6">
        <f>COUNTIFS(Table113116[Country],Tabela1[[#This Row],[Country]],Table113116[Freestyle Classification],"&gt;0")</f>
        <v>0</v>
      </c>
      <c r="NP184" s="6">
        <f>COUNTIFS(Table117[Country],Tabela1[[#This Row],[Country]],Table117[Men''s Relay Classification],"&gt;0")</f>
        <v>0</v>
      </c>
      <c r="NQ184" s="6">
        <f>COUNTIFS(Table117[Country],Tabela1[[#This Row],[Country]],Table117[Women''s Relay Classification],"&gt;0")</f>
        <v>0</v>
      </c>
      <c r="NR184" s="6">
        <f>COUNTIFS(Table113[Country],Tabela1[[#This Row],[Country]],Table113[Skiathlon Classification],"&gt;0")</f>
        <v>0</v>
      </c>
      <c r="NS184" s="6">
        <f>COUNTIFS(Table113116[Country],Tabela1[[#This Row],[Country]],Table113116[Skiathlon Classification],"&gt;0")</f>
        <v>0</v>
      </c>
      <c r="NT184" s="6">
        <f>COUNTIFS(Table113[Country],Tabela1[[#This Row],[Country]],Table113[Sprint Classification],"&gt;0")</f>
        <v>0</v>
      </c>
      <c r="NU184" s="6">
        <f>COUNTIFS(Table113116[Country],Tabela1[[#This Row],[Country]],Table113116[Sprint Classification],"&gt;0")</f>
        <v>0</v>
      </c>
      <c r="NV184" s="6">
        <f>COUNTIFS(Table116[Country],Tabela1[[#This Row],[Country]],Table116[Men''s Team Sprint Classification],"&gt;0")</f>
        <v>0</v>
      </c>
      <c r="NW184" s="6">
        <f>COUNTIFS(Table116[Country],Tabela1[[#This Row],[Country]],Table116[Women''s Team Sprint Classification],"&gt;0")</f>
        <v>0</v>
      </c>
      <c r="NX184" s="6">
        <f>COUNTIFS(Table119[Country],Tabela1[[#This Row],[Country]],Table119[Men''s Classification],"&gt;0")</f>
        <v>0</v>
      </c>
      <c r="NY184" s="6">
        <f>COUNTIFS(Table119[Country],Tabela1[[#This Row],[Country]],Table119[Women''s Classification],"&gt;0")</f>
        <v>0</v>
      </c>
      <c r="NZ184" s="6">
        <f>COUNTIFS(Table118[Country],Tabela1[[#This Row],[Country]],Table118[Mixed Classification],"&gt;0")</f>
        <v>0</v>
      </c>
      <c r="OA184" s="6">
        <f>COUNTIFS(Table120[Country],Tabela1[[#This Row],[Country]],Table120[Classification],"&gt;0")</f>
        <v>0</v>
      </c>
      <c r="OB184" s="6">
        <f>COUNTIFS(Table120123[Country],Tabela1[[#This Row],[Country]],Table120123[Classification],"&gt;0")</f>
        <v>0</v>
      </c>
      <c r="OC184" s="6">
        <f>COUNTIFS(Table123[Country],Tabela1[[#This Row],[Country]],Table123[Ice Dance Classification],"&gt;0")</f>
        <v>0</v>
      </c>
      <c r="OD184" s="6">
        <f>COUNTIFS(Table123[Country],Tabela1[[#This Row],[Country]],Table123[Pair Skating Classification],"&gt;0")</f>
        <v>0</v>
      </c>
      <c r="OE184" s="6">
        <f>COUNTIFS(Table124[Country],Tabela1[[#This Row],[Country]],Table124[Mixed Classification],"&gt;0")</f>
        <v>0</v>
      </c>
      <c r="OF184" s="6">
        <f>COUNTIFS(Table125[Country],Tabela1[[#This Row],[Country]],Table125[Aerials Classification],"&gt;0")</f>
        <v>0</v>
      </c>
      <c r="OG184" s="6">
        <f>COUNTIFS(Table125128[Country],Tabela1[[#This Row],[Country]],Table125128[Aerials Classification],"&gt;0")</f>
        <v>0</v>
      </c>
      <c r="OH184" s="6">
        <f>COUNTIFS(Table128[Country],Tabela1[[#This Row],[Country]],Table128[Mixed Aerials Classification],"&gt;0")</f>
        <v>0</v>
      </c>
      <c r="OI184" s="6">
        <f>COUNTIFS(Table125[Country],Tabela1[[#This Row],[Country]],Table125[Big Air Classification],"&gt;0")</f>
        <v>0</v>
      </c>
      <c r="OJ184" s="6">
        <f>COUNTIFS(Table125128[Country],Tabela1[[#This Row],[Country]],Table125128[Big Air Classification],"&gt;0")</f>
        <v>0</v>
      </c>
      <c r="OK184" s="6">
        <f>COUNTIFS(Table125[Country],Tabela1[[#This Row],[Country]],Table125[Dual Moguls Classification],"&gt;0")</f>
        <v>0</v>
      </c>
      <c r="OL184" s="6">
        <f>COUNTIFS(Table125128[Country],Tabela1[[#This Row],[Country]],Table125128[Dual Moguls Classification],"&gt;0")</f>
        <v>0</v>
      </c>
      <c r="OM184" s="6">
        <f>COUNTIFS(Table125[Country],Tabela1[[#This Row],[Country]],Table125[Halfpipe Classification],"&gt;0")</f>
        <v>0</v>
      </c>
      <c r="ON184" s="6">
        <f>COUNTIFS(Table125128[Country],Tabela1[[#This Row],[Country]],Table125128[Halfpipe Classification],"&gt;0")</f>
        <v>0</v>
      </c>
      <c r="OO184" s="6">
        <f>COUNTIFS(Table125[Country],Tabela1[[#This Row],[Country]],Table125[Moguls Classification],"&gt;0")</f>
        <v>0</v>
      </c>
      <c r="OP184" s="6">
        <f>COUNTIFS(Table125128[Country],Tabela1[[#This Row],[Country]],Table125128[Moguls Classification],"&gt;0")</f>
        <v>0</v>
      </c>
      <c r="OQ184" s="6">
        <f>COUNTIFS(Table125[Country],Tabela1[[#This Row],[Country]],Table125[Ski Cross Classification],"&gt;0")</f>
        <v>0</v>
      </c>
      <c r="OR184" s="6">
        <f>COUNTIFS(Table125128[Country],Tabela1[[#This Row],[Country]],Table125128[Ski Cross Classification],"&gt;0")</f>
        <v>0</v>
      </c>
      <c r="OS184" s="6">
        <f>COUNTIFS(Table125[Country],Tabela1[[#This Row],[Country]],Table125[Slopestyle Classification],"&gt;0")</f>
        <v>0</v>
      </c>
      <c r="OT184" s="6">
        <f>COUNTIFS(Table125128[Country],Tabela1[[#This Row],[Country]],Table125128[Slopestyle Classification],"&gt;0")</f>
        <v>0</v>
      </c>
      <c r="OU184" s="6">
        <f>COUNTIFS(Table119131[Country],Tabela1[[#This Row],[Country]],Table119131[Men''s Classification],"&gt;0")</f>
        <v>0</v>
      </c>
      <c r="OV184" s="6">
        <f>COUNTIFS(Table119131[Country],Tabela1[[#This Row],[Country]],Table119131[Women''s Classification],"&gt;0")</f>
        <v>0</v>
      </c>
      <c r="OW184" s="6">
        <f>COUNTIFS(Table131[Country],Tabela1[[#This Row],[Country]],Table131[Classification],"&gt;0")</f>
        <v>0</v>
      </c>
      <c r="OX184" s="6">
        <f>COUNTIFS(Table131134[Country],Tabela1[[#This Row],[Country]],Table131134[Classification],"&gt;0")</f>
        <v>0</v>
      </c>
      <c r="OY184" s="6">
        <f>COUNTIFS(Table134[Country],Tabela1[[#This Row],[Country]],Table134[Men''s Classification],"&gt;0")</f>
        <v>0</v>
      </c>
      <c r="OZ184" s="6">
        <f>COUNTIFS(Table134[Country],Tabela1[[#This Row],[Country]],Table134[Women''s Classification],"&gt;0")</f>
        <v>0</v>
      </c>
      <c r="PA184" s="6">
        <f>COUNTIFS(Table135[Country],Tabela1[[#This Row],[Country]],Table135[Mixed Relay Classification],"&gt;0")</f>
        <v>0</v>
      </c>
      <c r="PB184" s="6">
        <f>COUNTIFS(Table136[Country],Tabela1[[#This Row],[Country]],Table136[Individual Classification],"&gt;0")</f>
        <v>0</v>
      </c>
      <c r="PC184" s="6">
        <f>COUNTIFS(Table136[Country],Tabela1[[#This Row],[Country]],Table136[Sprint Classification],"&gt;0")</f>
        <v>0</v>
      </c>
      <c r="PD184" s="6">
        <f>COUNTIFS(Table137[Country],Tabela1[[#This Row],[Country]],Table137[Men''s Team Sprint Large Hill Classification],"&gt;0")</f>
        <v>0</v>
      </c>
      <c r="PE184" s="6">
        <f>COUNTIFS(Table138[Country],Tabela1[[#This Row],[Country]],Table138[500m Classification],"&gt;0")</f>
        <v>0</v>
      </c>
      <c r="PF184" s="6">
        <f>COUNTIFS(Table138141[Country],Tabela1[[#This Row],[Country]],Table138141[500m Classification],"&gt;0")</f>
        <v>0</v>
      </c>
      <c r="PG184" s="6">
        <f>COUNTIFS(Table138[Country],Tabela1[[#This Row],[Country]],Table138[1000m Classification],"&gt;0")</f>
        <v>0</v>
      </c>
      <c r="PH184" s="6">
        <f>COUNTIFS(Table138141[Country],Tabela1[[#This Row],[Country]],Table138141[1000m Classification],"&gt;0")</f>
        <v>0</v>
      </c>
      <c r="PI184" s="6">
        <f>COUNTIFS(Table138[Country],Tabela1[[#This Row],[Country]],Table138[1500m Classification],"&gt;0")</f>
        <v>0</v>
      </c>
      <c r="PJ184" s="6">
        <f>COUNTIFS(Table138141[Country],Tabela1[[#This Row],[Country]],Table138141[1500m Classification],"&gt;0")</f>
        <v>0</v>
      </c>
      <c r="PK184" s="6">
        <f>COUNTIFS(Table141[Country],Tabela1[[#This Row],[Country]],Table141[Men''s 5000m Relay Classification],"&gt;0")</f>
        <v>0</v>
      </c>
      <c r="PL184" s="6">
        <f>COUNTIFS(Table141[Country],Tabela1[[#This Row],[Country]],Table141[Women''s 3000m Relay Classification],"&gt;0")</f>
        <v>0</v>
      </c>
      <c r="PM184" s="6">
        <f>COUNTIFS(Table141[Country],Tabela1[[#This Row],[Country]],Table141[Mixed 2000m Relay Classification],"&gt;0")</f>
        <v>0</v>
      </c>
      <c r="PN184" s="6">
        <f>COUNTIFS(Table142[Country],Tabela1[[#This Row],[Country]],Table142[Classification],"&gt;0")</f>
        <v>0</v>
      </c>
      <c r="PO184" s="6">
        <f>COUNTIFS(Table142145[Country],Tabela1[[#This Row],[Country]],Table142145[Classification],"&gt;0")</f>
        <v>0</v>
      </c>
      <c r="PP184" s="6">
        <f>COUNTIFS(Tabela15[Country],Tabela1[[#This Row],[Country]],Tabela15[Mixed Team Classification],"&gt;0")</f>
        <v>0</v>
      </c>
      <c r="PQ184" s="6">
        <f>COUNTIFS(Table145[Country],Tabela1[[#This Row],[Country]],Table145[Large Hill Classification],"&gt;0")</f>
        <v>0</v>
      </c>
      <c r="PR184" s="6">
        <f>COUNTIFS(Table145[Country],Tabela1[[#This Row],[Country]],Table145[Normal Hill Classification],"&gt;0")</f>
        <v>0</v>
      </c>
      <c r="PS184" s="6">
        <f>COUNTIFS(Table145148[Country],Tabela1[[#This Row],[Country]],Table145148[Large Hill Classification],"&gt;0")</f>
        <v>0</v>
      </c>
      <c r="PT184" s="6">
        <f>COUNTIFS(Table145148[Country],Tabela1[[#This Row],[Country]],Table145148[Normal Hill Classification],"&gt;0")</f>
        <v>0</v>
      </c>
      <c r="PU184" s="6">
        <f>COUNTIFS(Table148[Country],Tabela1[[#This Row],[Country]],Table148[Men''s Super Team Classification],"&gt;0")</f>
        <v>0</v>
      </c>
      <c r="PV184" s="6">
        <f>COUNTIFS(Tabela114[Country],Tabela1[[#This Row],[Country]],Tabela114[Mixed Normal Hill Classification],"&gt;0")</f>
        <v>0</v>
      </c>
      <c r="PW184" s="6">
        <f>COUNTIFS(Tabela50[Country],Tabela1[[#This Row],[Country]],Tabela50[Sprint Classification],"&gt;0")</f>
        <v>0</v>
      </c>
      <c r="PX184" s="6">
        <f>COUNTIFS(Tabela50101[Country],Tabela1[[#This Row],[Country]],Tabela50101[Sprint Classification],"&gt;0")</f>
        <v>0</v>
      </c>
      <c r="PY184" s="6">
        <f>COUNTIFS(Tabela103[Country],Tabela1[[#This Row],[Country]],Tabela103[Mixed Relay Classification],"&gt;0")</f>
        <v>0</v>
      </c>
      <c r="PZ184" s="6">
        <f>COUNTIFS(Table149[Country],Tabela1[[#This Row],[Country]],Table149[Big Air Classification],"&gt;0")</f>
        <v>0</v>
      </c>
      <c r="QA184" s="6">
        <f>COUNTIFS(Table149152[Country],Tabela1[[#This Row],[Country]],Table149152[Big Air Classification],"&gt;0")</f>
        <v>0</v>
      </c>
      <c r="QB184" s="6">
        <f>COUNTIFS(Table149[Country],Tabela1[[#This Row],[Country]],Table149[Halfpipe Classification],"&gt;0")</f>
        <v>0</v>
      </c>
      <c r="QC184" s="6">
        <f>COUNTIFS(Table149152[Country],Tabela1[[#This Row],[Country]],Table149152[Halfpipe Classification],"&gt;0")</f>
        <v>0</v>
      </c>
      <c r="QD184" s="6">
        <f>COUNTIFS(Table149[Country],Tabela1[[#This Row],[Country]],Table149[Parallel Giant Slalom Classification],"&gt;0")</f>
        <v>0</v>
      </c>
      <c r="QE184" s="6">
        <f>COUNTIFS(Table149152[Country],Tabela1[[#This Row],[Country]],Table149152[Parallel Giant Slalom Classification],"&gt;0")</f>
        <v>0</v>
      </c>
      <c r="QF184" s="6">
        <f>COUNTIFS(Table149[Country],Tabela1[[#This Row],[Country]],Table149[Slopestyle Classification],"&gt;0")</f>
        <v>0</v>
      </c>
      <c r="QG184" s="6">
        <f>COUNTIFS(Table149152[Country],Tabela1[[#This Row],[Country]],Table149152[Slopestyle Classification],"&gt;0")</f>
        <v>0</v>
      </c>
      <c r="QH184" s="6">
        <f>COUNTIFS(Table149[Country],Tabela1[[#This Row],[Country]],Table149[Snowboard Cross Classification],"&gt;0")</f>
        <v>0</v>
      </c>
      <c r="QI184" s="6">
        <f>COUNTIFS(Table149152[Country],Tabela1[[#This Row],[Country]],Table149152[Snowboard Cross Classification],"&gt;0")</f>
        <v>0</v>
      </c>
      <c r="QJ184" s="6">
        <f>COUNTIFS(Table153[Country],Tabela1[[#This Row],[Country]],Table153[Mixed Team Snowboard Cross Classification],"&gt;0")</f>
        <v>0</v>
      </c>
      <c r="QK184" s="6">
        <f>COUNTIFS(Table154[Country],Tabela1[[#This Row],[Country]],Table154[500m Classification],"&gt;0")</f>
        <v>0</v>
      </c>
      <c r="QL184" s="6">
        <f>COUNTIFS(Table154157[Country],Tabela1[[#This Row],[Country]],Table154157[500m Classification],"&gt;0")</f>
        <v>0</v>
      </c>
      <c r="QM184" s="6">
        <f>COUNTIFS(Table154[Country],Tabela1[[#This Row],[Country]],Table154[1000m Classification],"&gt;0")</f>
        <v>0</v>
      </c>
      <c r="QN184" s="6">
        <f>COUNTIFS(Table154157[Country],Tabela1[[#This Row],[Country]],Table154157[1000m Classification],"&gt;0")</f>
        <v>0</v>
      </c>
      <c r="QO184" s="6">
        <f>COUNTIFS(Table154[Country],Tabela1[[#This Row],[Country]],Table154[1500m Classification],"&gt;0")</f>
        <v>0</v>
      </c>
      <c r="QP184" s="6">
        <f>COUNTIFS(Table154157[Country],Tabela1[[#This Row],[Country]],Table154157[1500m Classification],"&gt;0")</f>
        <v>0</v>
      </c>
      <c r="QQ184" s="6">
        <f>COUNTIFS(Table154157[Country],Tabela1[[#This Row],[Country]],Table154157[3000m Classification],"&gt;0")</f>
        <v>0</v>
      </c>
      <c r="QR184" s="6">
        <f>COUNTIFS(Table154[Country],Tabela1[[#This Row],[Country]],Table154[5000m Classification],"&gt;0")</f>
        <v>0</v>
      </c>
      <c r="QS184" s="6">
        <f>COUNTIFS(Table154157[Country],Tabela1[[#This Row],[Country]],Table154157[5000m Classification],"&gt;0")</f>
        <v>0</v>
      </c>
      <c r="QT184" s="6">
        <f>COUNTIFS(Table154[Country],Tabela1[[#This Row],[Country]],Table154[10000m Classification],"&gt;0")</f>
        <v>0</v>
      </c>
      <c r="QU184" s="6">
        <f>COUNTIFS(Table154[Country],Tabela1[[#This Row],[Country]],Table154[Mass Start Classification],"&gt;0")</f>
        <v>0</v>
      </c>
      <c r="QV184" s="6">
        <f>COUNTIFS(Table154157[Country],Tabela1[[#This Row],[Country]],Table154157[Mass Start Classification],"&gt;0")</f>
        <v>0</v>
      </c>
      <c r="QW184" s="6">
        <f>COUNTIFS(Table157[Country],Tabela1[[#This Row],[Country]],Table157[Men''s Pursuit Classification],"&gt;0")</f>
        <v>0</v>
      </c>
      <c r="QX184" s="6">
        <f>COUNTIFS(Table157[Country],Tabela1[[#This Row],[Country]],Table157[Women''s Pursuit Classification],"&gt;0")</f>
        <v>0</v>
      </c>
      <c r="QY184" s="3" t="s">
        <v>613</v>
      </c>
    </row>
    <row r="185" spans="1:467" x14ac:dyDescent="0.3">
      <c r="A185" s="6">
        <v>184</v>
      </c>
      <c r="B185" s="6" t="s">
        <v>616</v>
      </c>
      <c r="C185" t="e" vm="184">
        <f>IF(ISBLANK(Tabela1[[#This Row],[Image Link]]), "", _xlfn.IMAGE(Tabela1[[#This Row],[Image Link]],1,1))</f>
        <v>#VALUE!</v>
      </c>
      <c r="D185" s="6">
        <f>SUM(Tabela1[[#This Row],[Archery - Men''s Individual Recurve]:[Speed Skating - Women''s Team Pursuit]])</f>
        <v>0</v>
      </c>
      <c r="E185" s="6">
        <f>COUNTIF(Tabela1[[#This Row],[Archery - Men''s Individual Recurve]:[Speed Skating - Women''s Team Pursuit]],"&gt;0")</f>
        <v>0</v>
      </c>
      <c r="F185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85" s="6">
        <f>SUM(Tabela1[[#This Row],[Archery - Men''s Individual Recurve]:[Wrestling - Women''s Freestyle 76kg]])</f>
        <v>0</v>
      </c>
      <c r="H185" s="6">
        <f>SUM(Tabela1[[#This Row],[Alpine Skiing - Men''s Downhill]:[Speed Skating - Women''s Team Pursuit]])</f>
        <v>0</v>
      </c>
      <c r="I185" s="6">
        <f>Tabela1[[#This Row],[Summer Gold Medals]]+Tabela1[[#This Row],[Winter Gold Medals]]</f>
        <v>0</v>
      </c>
      <c r="J185" s="6">
        <f>Tabela1[[#This Row],[Summer Silver Medals]]+Tabela1[[#This Row],[Winter Silver Medals]]</f>
        <v>0</v>
      </c>
      <c r="K185" s="6">
        <f>Tabela1[[#This Row],[Summer Bronze Medals]]+Tabela1[[#This Row],[Winter Bronze Medals]]</f>
        <v>0</v>
      </c>
      <c r="L185" s="6">
        <f>SUM(Tabela1[[#This Row],[Total Gold Medals]:[Total Bronze Medals]])</f>
        <v>0</v>
      </c>
      <c r="M185" s="6"/>
      <c r="N185" s="6"/>
      <c r="O185" s="6"/>
      <c r="P185" s="6">
        <f>SUM(Tabela1[[#This Row],[Summer Gold Medals]:[Summer Bronze Medals]])</f>
        <v>0</v>
      </c>
      <c r="Q185" s="6"/>
      <c r="R185" s="6"/>
      <c r="S185" s="6"/>
      <c r="T185" s="6">
        <f>Tabela1[[#This Row],[Winter Gold Medals]]+Tabela1[[#This Row],[Winter Silver Medals]]+Tabela1[[#This Row],[Winter Bronze Medals]]</f>
        <v>0</v>
      </c>
      <c r="U185" s="7" t="e">
        <f>Tabela1[[#This Row],[Total Medals]]/Tabela1[[#This Row],[Total Quotas]]</f>
        <v>#DIV/0!</v>
      </c>
      <c r="V185" s="6">
        <f>COUNTIFS(Table3[Country],Tabela1[[#This Row],[Country]],Table3[Recurve Classification],"&gt;0")</f>
        <v>0</v>
      </c>
      <c r="W185" s="6">
        <f>COUNTIFS(Table33[Country],Tabela1[[#This Row],[Country]],Table33[Recurve Classification],"&gt;0")</f>
        <v>0</v>
      </c>
      <c r="X185" s="6">
        <f>COUNTIFS(Table35[Country],Tabela1[[#This Row],[Country]],Table35[Men''s Team Recurve Classification],"&gt;0")</f>
        <v>0</v>
      </c>
      <c r="Y185" s="6">
        <f>COUNTIFS(Table35[Country],Tabela1[[#This Row],[Country]],Table35[Women''s Team Recurve Classification],"&gt;0")</f>
        <v>0</v>
      </c>
      <c r="Z185" s="6">
        <f>COUNTIFS(Tabela88[Country],Tabela1[[#This Row],[Country]],Tabela88[Mixed Team Recurve Classification],"&gt;0")</f>
        <v>0</v>
      </c>
      <c r="AA185" s="6">
        <f>COUNTIFS(Table36[Country],Tabela1[[#This Row],[Country]],Table36[Classification],"&gt;0")</f>
        <v>0</v>
      </c>
      <c r="AB185" s="6">
        <f>COUNTIFS(Table37[Country],Tabela1[[#This Row],[Country]],Table37[Classification],"&gt;0")</f>
        <v>0</v>
      </c>
      <c r="AC185" s="6">
        <f>COUNTIFS(Table4[Country],Tabela1[[#This Row],[Country]],Table4[100m Classification],"&gt;0")</f>
        <v>0</v>
      </c>
      <c r="AD185" s="6">
        <f>COUNTIFS(Table5[Country],Tabela1[[#This Row],[Country]],Table5[100m Classification],"&gt;0")</f>
        <v>0</v>
      </c>
      <c r="AE185" s="6">
        <f>COUNTIFS(Table4[Country],Tabela1[[#This Row],[Country]],Table4[200m Classification],"&gt;0")</f>
        <v>0</v>
      </c>
      <c r="AF185" s="6">
        <f>COUNTIFS(Table5[Country],Tabela1[[#This Row],[Country]],Table5[200m Classification],"&gt;0")</f>
        <v>0</v>
      </c>
      <c r="AG185" s="6">
        <f>COUNTIFS(Table4[Country],Tabela1[[#This Row],[Country]],Table4[400m Classification],"&gt;0")</f>
        <v>0</v>
      </c>
      <c r="AH185" s="6">
        <f>COUNTIFS(Table5[Country],Tabela1[[#This Row],[Country]],Table5[400m Classification],"&gt;0")</f>
        <v>0</v>
      </c>
      <c r="AI185" s="6">
        <f>COUNTIFS(Table4[Country],Tabela1[[#This Row],[Country]],Table4[800m Classification],"&gt;0")</f>
        <v>0</v>
      </c>
      <c r="AJ185" s="6">
        <f>COUNTIFS(Table5[Country],Tabela1[[#This Row],[Country]],Table5[800m Classification],"&gt;0")</f>
        <v>0</v>
      </c>
      <c r="AK185" s="6">
        <f>COUNTIFS(Table4[Country],Tabela1[[#This Row],[Country]],Table4[1500m Classification],"&gt;0")</f>
        <v>0</v>
      </c>
      <c r="AL185" s="6">
        <f>COUNTIFS(Table5[Country],Tabela1[[#This Row],[Country]],Table5[1500m Classification],"&gt;0")</f>
        <v>0</v>
      </c>
      <c r="AM185" s="6">
        <f>COUNTIFS(Table4[Country],Tabela1[[#This Row],[Country]],Table4[5000m Classification],"&gt;0")</f>
        <v>0</v>
      </c>
      <c r="AN185" s="6">
        <f>COUNTIFS(Table5[Country],Tabela1[[#This Row],[Country]],Table5[5000m Classification],"&gt;0")</f>
        <v>0</v>
      </c>
      <c r="AO185" s="6">
        <f>COUNTIFS(Table4[Country],Tabela1[[#This Row],[Country]],Table4[10000m Classification],"&gt;0")</f>
        <v>0</v>
      </c>
      <c r="AP185" s="6">
        <f>COUNTIFS(Table5[Country],Tabela1[[#This Row],[Country]],Table5[10000m Classification],"&gt;0")</f>
        <v>0</v>
      </c>
      <c r="AQ185" s="6">
        <f>COUNTIFS(Table4[Country],Tabela1[[#This Row],[Country]],Table4[110m Hurdles Classification],"&gt;0")</f>
        <v>0</v>
      </c>
      <c r="AR185" s="6">
        <f>COUNTIFS(Table5[Country],Tabela1[[#This Row],[Country]],Table5[100m Hurdles Classification],"&gt;0")</f>
        <v>0</v>
      </c>
      <c r="AS185" s="6">
        <f>COUNTIFS(Table4[Country],Tabela1[[#This Row],[Country]],Table4[400m Hurdles Classification],"&gt;0")</f>
        <v>0</v>
      </c>
      <c r="AT185" s="6">
        <f>COUNTIFS(Table5[Country],Tabela1[[#This Row],[Country]],Table5[400m Hurdles Classification],"&gt;0")</f>
        <v>0</v>
      </c>
      <c r="AU185" s="6">
        <f>COUNTIFS(Table4[Country],Tabela1[[#This Row],[Country]],Table4[3000m Steeplechase Classification],"&gt;0")</f>
        <v>0</v>
      </c>
      <c r="AV185" s="6">
        <f>COUNTIFS(Table5[Country],Tabela1[[#This Row],[Country]],Table5[3000m Steeplechase Classification],"&gt;0")</f>
        <v>0</v>
      </c>
      <c r="AW185" s="6">
        <f>COUNTIFS(Table27[Country],Tabela1[[#This Row],[Country]],Table27[Men''s 4x100m Relay Classification],"&gt;0")</f>
        <v>0</v>
      </c>
      <c r="AX185" s="6">
        <f>COUNTIFS(Table27[Country],Tabela1[[#This Row],[Country]],Table27[Women''s 4x100m Relay Classification],"&gt;0")</f>
        <v>0</v>
      </c>
      <c r="AY185" s="6">
        <f>COUNTIFS(Table27[Country],Tabela1[[#This Row],[Country]],Table27[Men''s 4x400m Relay Classification],"&gt;0")</f>
        <v>0</v>
      </c>
      <c r="AZ185" s="6">
        <f>COUNTIFS(Table27[Country],Tabela1[[#This Row],[Country]],Table27[Women''s 4x400m Relay Classification],"&gt;0")</f>
        <v>0</v>
      </c>
      <c r="BA185" s="6">
        <f>COUNTIFS(Table27[Country],Tabela1[[#This Row],[Country]],Table27[Mixed 4x400m Relay Classification],"&gt;0")</f>
        <v>0</v>
      </c>
      <c r="BB185" s="6">
        <f>COUNTIFS(Table4[Country],Tabela1[[#This Row],[Country]],Table4[Marathon Classification],"&gt;0")</f>
        <v>0</v>
      </c>
      <c r="BC185" s="6">
        <f>COUNTIFS(Table5[Country],Tabela1[[#This Row],[Country]],Table5[Marathon Classification],"&gt;0")</f>
        <v>0</v>
      </c>
      <c r="BD185" s="6">
        <f>COUNTIFS(Table4[Country],Tabela1[[#This Row],[Country]],Table4[20km Race Walk Classification],"&gt;0")</f>
        <v>0</v>
      </c>
      <c r="BE185" s="6">
        <f>COUNTIFS(Table5[Country],Tabela1[[#This Row],[Country]],Table5[20km Race Walk Classification],"&gt;0")</f>
        <v>0</v>
      </c>
      <c r="BF185" s="6">
        <f>COUNTIFS(Tabela96[Country],Tabela1[[#This Row],[Country]],Tabela96[Mixed Marathon Race Walk Relay Classification],"&gt;0")</f>
        <v>0</v>
      </c>
      <c r="BG185" s="6">
        <f>COUNTIFS(Table4[Country],Tabela1[[#This Row],[Country]],Table4[Discus Throw Classification],"&gt;0")</f>
        <v>0</v>
      </c>
      <c r="BH185" s="6">
        <f>COUNTIFS(Table5[Country],Tabela1[[#This Row],[Country]],Table5[Discus Throw Classification],"&gt;0")</f>
        <v>0</v>
      </c>
      <c r="BI185" s="6">
        <f>COUNTIFS(Table4[Country],Tabela1[[#This Row],[Country]],Table4[Hammer Throw Classification],"&gt;0")</f>
        <v>0</v>
      </c>
      <c r="BJ185" s="6">
        <f>COUNTIFS(Table5[Country],Tabela1[[#This Row],[Country]],Table5[Hammer Throw Classification],"&gt;0")</f>
        <v>0</v>
      </c>
      <c r="BK185" s="6">
        <f>COUNTIFS(Table4[Country],Tabela1[[#This Row],[Country]],Table4[High Jump Classification],"&gt;0")</f>
        <v>0</v>
      </c>
      <c r="BL185" s="6">
        <f>COUNTIFS(Table5[Country],Tabela1[[#This Row],[Country]],Table5[High Jump Classification],"&gt;0")</f>
        <v>0</v>
      </c>
      <c r="BM185" s="6">
        <f>COUNTIFS(Table4[Country],Tabela1[[#This Row],[Country]],Table4[Javelin Throw Classification],"&gt;0")</f>
        <v>0</v>
      </c>
      <c r="BN185" s="6">
        <f>COUNTIFS(Table5[Country],Tabela1[[#This Row],[Country]],Table5[Javelin Throw Classification],"&gt;0")</f>
        <v>0</v>
      </c>
      <c r="BO185" s="6">
        <f>COUNTIFS(Table4[Country],Tabela1[[#This Row],[Country]],Table4[Long Jump Classification],"&gt;0")</f>
        <v>0</v>
      </c>
      <c r="BP185" s="6">
        <f>COUNTIFS(Table5[Country],Tabela1[[#This Row],[Country]],Table5[Long Jump Classification],"&gt;0")</f>
        <v>0</v>
      </c>
      <c r="BQ185" s="6">
        <f>COUNTIFS(Table4[Country],Tabela1[[#This Row],[Country]],Table4[Pole Vault Classification],"&gt;0")</f>
        <v>0</v>
      </c>
      <c r="BR185" s="6">
        <f>COUNTIFS(Table5[Country],Tabela1[[#This Row],[Country]],Table5[Pole Vault Classification],"&gt;0")</f>
        <v>0</v>
      </c>
      <c r="BS185" s="6">
        <f>COUNTIFS(Table4[Country],Tabela1[[#This Row],[Country]],Table4[Shot Put Classification],"&gt;0")</f>
        <v>0</v>
      </c>
      <c r="BT185" s="6">
        <f>COUNTIFS(Table5[Country],Tabela1[[#This Row],[Country]],Table5[Shot Put Classification],"&gt;0")</f>
        <v>0</v>
      </c>
      <c r="BU185" s="6">
        <f>COUNTIFS(Table4[Country],Tabela1[[#This Row],[Country]],Table4[Triple Jump Classification],"&gt;0")</f>
        <v>0</v>
      </c>
      <c r="BV185" s="6">
        <f>COUNTIFS(Table5[Country],Tabela1[[#This Row],[Country]],Table5[Triple Jump Classification],"&gt;0")</f>
        <v>0</v>
      </c>
      <c r="BW185" s="6">
        <f>COUNTIFS(Table4[Country],Tabela1[[#This Row],[Country]],Table4[Decathlon Classification],"&gt;0")</f>
        <v>0</v>
      </c>
      <c r="BX185" s="6">
        <f>COUNTIFS(Table5[Country],Tabela1[[#This Row],[Country]],Table5[Heptathlon Classification],"&gt;0")</f>
        <v>0</v>
      </c>
      <c r="BY185" s="6">
        <f>COUNTIFS(Table61[Country],Tabela1[[#This Row],[Country]],Table61[Classification],"&gt;0")</f>
        <v>0</v>
      </c>
      <c r="BZ185" s="6">
        <f>COUNTIFS(Table38[Country],Tabela1[[#This Row],[Country]],Table38[Classification],"&gt;0")</f>
        <v>0</v>
      </c>
      <c r="CA185" s="6">
        <f>COUNTIFS(Table39[Country],Tabela1[[#This Row],[Country]],Table39[Men''s Classification],"&gt;0")</f>
        <v>0</v>
      </c>
      <c r="CB185" s="6">
        <f>COUNTIFS(Table39[Country],Tabela1[[#This Row],[Country]],Table39[Women''s Classification],"&gt;0")</f>
        <v>0</v>
      </c>
      <c r="CC185" s="6">
        <f>COUNTIFS(Table39[Country],Tabela1[[#This Row],[Country]],Table39[Mixed Classification],"&gt;0")</f>
        <v>0</v>
      </c>
      <c r="CD185" s="6">
        <f>COUNTIFS(Table89[Country],Tabela1[[#This Row],[Country]],Table89[Men''s Classification],"&gt;0")</f>
        <v>0</v>
      </c>
      <c r="CE185" s="6">
        <f>COUNTIFS(Table89[Country],Tabela1[[#This Row],[Country]],Table89[Women''s Classification],"&gt;0")</f>
        <v>0</v>
      </c>
      <c r="CF185" s="6">
        <f>COUNTIFS(Table90[Country],Tabela1[[#This Row],[Country]],Table90[Men''s Classification],"&gt;0")</f>
        <v>0</v>
      </c>
      <c r="CG185" s="6">
        <f>COUNTIFS(Table90[Country],Tabela1[[#This Row],[Country]],Table90[Women''s Classification],"&gt;0")</f>
        <v>0</v>
      </c>
      <c r="CH185" s="6">
        <f>COUNTIFS(Table60[Country],Tabela1[[#This Row],[Country]],Table60[Men''s Classification],"&gt;0")</f>
        <v>0</v>
      </c>
      <c r="CI185" s="6">
        <f>COUNTIFS(Table60[Country],Tabela1[[#This Row],[Country]],Table60[Women''s Classification],"&gt;0")</f>
        <v>0</v>
      </c>
      <c r="CJ185" s="6">
        <f>COUNTIFS(Table6[Country],Tabela1[[#This Row],[Country]],Table6[51kg Classification],"&gt;0")</f>
        <v>0</v>
      </c>
      <c r="CK185" s="6">
        <f>COUNTIFS(Table6[Country],Tabela1[[#This Row],[Country]],Table6[57kg Classification],"&gt;0")</f>
        <v>0</v>
      </c>
      <c r="CL185" s="6">
        <f>COUNTIFS(Table6[Country],Tabela1[[#This Row],[Country]],Table6[63.5kg Classification],"&gt;0")</f>
        <v>0</v>
      </c>
      <c r="CM185" s="6">
        <f>COUNTIFS(Table6[Country],Tabela1[[#This Row],[Country]],Table6[71kg Classification],"&gt;0")</f>
        <v>0</v>
      </c>
      <c r="CN185" s="6">
        <f>COUNTIFS(Table6[Country],Tabela1[[#This Row],[Country]],Table6[80kg Classification],"&gt;0")</f>
        <v>0</v>
      </c>
      <c r="CO185" s="6">
        <f>COUNTIFS(Table6[Country],Tabela1[[#This Row],[Country]],Table6[92kg Classification],"&gt;0")</f>
        <v>0</v>
      </c>
      <c r="CP185" s="6">
        <f>COUNTIFS(Table6[Country],Tabela1[[#This Row],[Country]],Table6[Plus 92kg Classification],"&gt;0")</f>
        <v>0</v>
      </c>
      <c r="CQ185" s="6">
        <f>COUNTIFS(Table7[Country],Tabela1[[#This Row],[Country]],Table7[50kg Classification],"&gt;0")</f>
        <v>0</v>
      </c>
      <c r="CR185" s="6">
        <f>COUNTIFS(Table7[Country],Tabela1[[#This Row],[Country]],Table7[54kg Classification],"&gt;0")</f>
        <v>0</v>
      </c>
      <c r="CS185" s="6">
        <f>COUNTIFS(Table7[Country],Tabela1[[#This Row],[Country]],Table7[57kg Classification],"&gt;0")</f>
        <v>0</v>
      </c>
      <c r="CT185" s="6">
        <f>COUNTIFS(Table7[Country],Tabela1[[#This Row],[Country]],Table7[60kg Classification],"&gt;0")</f>
        <v>0</v>
      </c>
      <c r="CU185" s="6">
        <f>COUNTIFS(Table7[Country],Tabela1[[#This Row],[Country]],Table7[66kg Classification],"&gt;0")</f>
        <v>0</v>
      </c>
      <c r="CV185" s="6">
        <f>COUNTIFS(Table7[Country],Tabela1[[#This Row],[Country]],Table7[75kg Classification],"&gt;0")</f>
        <v>0</v>
      </c>
      <c r="CW185" s="6">
        <f>COUNTIFS(Tabela94[Country],Tabela1[[#This Row],[Country]],Tabela94[Classification],"&gt;0")</f>
        <v>0</v>
      </c>
      <c r="CX185" s="6">
        <f>COUNTIFS(Tabela9499[Country],Tabela1[[#This Row],[Country]],Tabela9499[Classification],"&gt;0")</f>
        <v>0</v>
      </c>
      <c r="CY185" s="6">
        <f>COUNTIFS(Tabela107[Country],Tabela1[[#This Row],[Country]],Tabela107[C1 Slalom Classification],"&gt;0")</f>
        <v>0</v>
      </c>
      <c r="CZ185" s="6">
        <f>COUNTIFS(Tabela107122[Country],Tabela1[[#This Row],[Country]],Tabela107122[C1 Slalom Classification],"&gt;0")</f>
        <v>0</v>
      </c>
      <c r="DA185" s="6">
        <f>COUNTIFS(Tabela107[Country],Tabela1[[#This Row],[Country]],Tabela107[K1 Slalom Classification],"&gt;0")</f>
        <v>0</v>
      </c>
      <c r="DB185" s="6">
        <f>COUNTIFS(Tabela107122[Country],Tabela1[[#This Row],[Country]],Tabela107122[K1 Slalom Classification],"&gt;0")</f>
        <v>0</v>
      </c>
      <c r="DC185" s="6">
        <f>COUNTIFS(Tabela107[Country],Tabela1[[#This Row],[Country]],Tabela107[Kayak Cross Slalom Classification],"&gt;0")</f>
        <v>0</v>
      </c>
      <c r="DD185" s="6">
        <f>COUNTIFS(Tabela107122[Country],Tabela1[[#This Row],[Country]],Tabela107122[Kayak Cross Slalom Classification],"&gt;0")</f>
        <v>0</v>
      </c>
      <c r="DE185" s="6">
        <f>COUNTIFS(Table8[Country],Tabela1[[#This Row],[Country]],Table8[C1 200m Classification],"&gt;0")</f>
        <v>0</v>
      </c>
      <c r="DF185" s="6">
        <f>COUNTIFS(Table40[Country],Tabela1[[#This Row],[Country]],Table40[C1 1000m Classification],"&gt;0")</f>
        <v>0</v>
      </c>
      <c r="DG185" s="6">
        <f>COUNTIFS(Table68[Country],Tabela1[[#This Row],[Country]],Table68[Men''s C2 500m Classification],"&gt;0")</f>
        <v>0</v>
      </c>
      <c r="DH185" s="6">
        <f>COUNTIFS(Table68[Country],Tabela1[[#This Row],[Country]],Table68[Women''s C2 500m Classification],"&gt;0")</f>
        <v>0</v>
      </c>
      <c r="DI185" s="6">
        <f>COUNTIFS(Table8[Country],Tabela1[[#This Row],[Country]],Table8[K1 500m Classification],"&gt;0")</f>
        <v>0</v>
      </c>
      <c r="DJ185" s="6">
        <f>COUNTIFS(Table40[Country],Tabela1[[#This Row],[Country]],Table40[K1 1000m Classification],"&gt;0")</f>
        <v>0</v>
      </c>
      <c r="DK185" s="6">
        <f>COUNTIFS(Table68[Country],Tabela1[[#This Row],[Country]],Table68[Men''s K2 500m Classification],"&gt;0")</f>
        <v>0</v>
      </c>
      <c r="DL185" s="6">
        <f>COUNTIFS(Table68[Country],Tabela1[[#This Row],[Country]],Table68[Women''s K2 500m Classification],"&gt;0")</f>
        <v>0</v>
      </c>
      <c r="DM185" s="6">
        <f>COUNTIFS(Table83[Country],Tabela1[[#This Row],[Country]],Table83[Men''s K4 500m Classification],"&gt;0")</f>
        <v>0</v>
      </c>
      <c r="DN185" s="6">
        <f>COUNTIFS(Table83[Country],Tabela1[[#This Row],[Country]],Table83[Women''s K4 500m Classification],"&gt;0")</f>
        <v>0</v>
      </c>
      <c r="DO185" s="6">
        <f>COUNTIFS(Tabela126[Country],Tabela1[[#This Row],[Country]],Tabela126[Classification],"&gt;0")</f>
        <v>0</v>
      </c>
      <c r="DP185" s="6">
        <f>COUNTIFS(Tabela126130[Country],Tabela1[[#This Row],[Country]],Tabela126130[Classification],"&gt;0")</f>
        <v>0</v>
      </c>
      <c r="DQ185" s="6">
        <f>COUNTIFS(Table70[Country],Tabela1[[#This Row],[Country]],Table70[Classification],"&gt;0")</f>
        <v>0</v>
      </c>
      <c r="DR185" s="6">
        <f>COUNTIFS(Table80[Country],Tabela1[[#This Row],[Country]],Table80[Classification],"&gt;0")</f>
        <v>0</v>
      </c>
      <c r="DS185" s="6">
        <f>COUNTIFS(Table66[Country],Tabela1[[#This Row],[Country]],Table66[Classification],"&gt;0")</f>
        <v>0</v>
      </c>
      <c r="DT185" s="6">
        <f>COUNTIFS(Table67[Country],Tabela1[[#This Row],[Country]],Table67[Classification],"&gt;0")</f>
        <v>0</v>
      </c>
      <c r="DU185" s="6">
        <f>COUNTIFS(Table69[Country],Tabela1[[#This Row],[Country]],Table69[Keirin Classification],"&gt;0")</f>
        <v>0</v>
      </c>
      <c r="DV185" s="6">
        <f>COUNTIFS(Table41[Country],Tabela1[[#This Row],[Country]],Table41[Keirin Classification],"&gt;0")</f>
        <v>0</v>
      </c>
      <c r="DW185" s="6">
        <f>COUNTIFS(Table84[Country],Tabela1[[#This Row],[Country]],Table84[Men''s Madison Classification],"&gt;0")</f>
        <v>0</v>
      </c>
      <c r="DX185" s="6">
        <f>COUNTIFS(Table84[Country],Tabela1[[#This Row],[Country]],Table84[Women''s Madison Classification],"&gt;0")</f>
        <v>0</v>
      </c>
      <c r="DY185" s="6">
        <f>COUNTIFS(Table69[Country],Tabela1[[#This Row],[Country]],Table69[Omnium Classification],"&gt;0")</f>
        <v>0</v>
      </c>
      <c r="DZ185" s="6">
        <f>COUNTIFS(Table41[Country],Tabela1[[#This Row],[Country]],Table41[Omnium Classification],"&gt;0")</f>
        <v>0</v>
      </c>
      <c r="EA185" s="6">
        <f>COUNTIFS(Table9[Country],Tabela1[[#This Row],[Country]],Table9[Road Race Classification],"&gt;0")</f>
        <v>0</v>
      </c>
      <c r="EB185" s="6">
        <f>COUNTIFS(Table14[Country],Tabela1[[#This Row],[Country]],Table14[Road Race Classification],"&gt;0")</f>
        <v>0</v>
      </c>
      <c r="EC185" s="6">
        <f>COUNTIFS(Table69[Country],Tabela1[[#This Row],[Country]],Table69[Sprint Classification],"&gt;0")</f>
        <v>0</v>
      </c>
      <c r="ED185" s="6">
        <f>COUNTIFS(Table41[Country],Tabela1[[#This Row],[Country]],Table41[Sprint Classification],"&gt;0")</f>
        <v>0</v>
      </c>
      <c r="EE185" s="6">
        <f>COUNTIFS(Table85[Country],Tabela1[[#This Row],[Country]],Table85[Men''s Sprint Classification],"&gt;0")</f>
        <v>0</v>
      </c>
      <c r="EF185" s="6">
        <f>COUNTIFS(Table85[Country],Tabela1[[#This Row],[Country]],Table85[Women''s Sprint Classification],"&gt;0")</f>
        <v>0</v>
      </c>
      <c r="EG185" s="6">
        <f>COUNTIFS(Table85[Country],Tabela1[[#This Row],[Country]],Table85[Men''s Pursuit Classification],"&gt;0")</f>
        <v>0</v>
      </c>
      <c r="EH185" s="6">
        <f>COUNTIFS(Table85[Country],Tabela1[[#This Row],[Country]],Table85[Women''s Pursuit Classification],"&gt;0")</f>
        <v>0</v>
      </c>
      <c r="EI185" s="6">
        <f>COUNTIFS(Table9[Country],Tabela1[[#This Row],[Country]],Table9[Time-Trial Classification],"&gt;0")</f>
        <v>0</v>
      </c>
      <c r="EJ185" s="6">
        <f>COUNTIFS(Table14[Country],Tabela1[[#This Row],[Country]],Table14[Time-Trial Classification],"&gt;0")</f>
        <v>0</v>
      </c>
      <c r="EK185" s="6">
        <f>COUNTIFS(Table42[Country],Tabela1[[#This Row],[Country]],Table42[Springboard Classification],"&gt;0")</f>
        <v>0</v>
      </c>
      <c r="EL185" s="6">
        <f>COUNTIFS(Table43[Country],Tabela1[[#This Row],[Country]],Table43[Springboard Classification],"&gt;0")</f>
        <v>0</v>
      </c>
      <c r="EM185" s="6">
        <f>COUNTIFS(Table42[Country],Tabela1[[#This Row],[Country]],Table42[Platform Classification],"&gt;0")</f>
        <v>0</v>
      </c>
      <c r="EN185" s="6">
        <f>COUNTIFS(Table43[Country],Tabela1[[#This Row],[Country]],Table43[Platform Classification],"&gt;0")</f>
        <v>0</v>
      </c>
      <c r="EO185" s="6">
        <f>COUNTIFS(Table86[Country],Tabela1[[#This Row],[Country]],Table86[Men''s Synchronized Springboard Classification],"&gt;0")</f>
        <v>0</v>
      </c>
      <c r="EP185" s="6">
        <f>COUNTIFS(Table86[Country],Tabela1[[#This Row],[Country]],Table86[Women''s Synchronized Springboard Classification],"&gt;0")</f>
        <v>0</v>
      </c>
      <c r="EQ185" s="6">
        <f>COUNTIFS(Table86[Country],Tabela1[[#This Row],[Country]],Table86[Men''s Synchronized Platform Classification],"&gt;0")</f>
        <v>0</v>
      </c>
      <c r="ER185" s="6">
        <f>COUNTIFS(Table86[Country],Tabela1[[#This Row],[Country]],Table86[Women''s Synchronized Platform Classification],"&gt;0")</f>
        <v>0</v>
      </c>
      <c r="ES185" s="6">
        <f>COUNTIFS(Table44[Country],Tabela1[[#This Row],[Country]],Table44[Dressage Classification],"&gt;0")</f>
        <v>0</v>
      </c>
      <c r="ET185" s="6">
        <f>COUNTIFS(Table45[Country],Tabela1[[#This Row],[Country]],Table45[Dressage Classification],"&gt;0")</f>
        <v>0</v>
      </c>
      <c r="EU185" s="6">
        <f>COUNTIFS(Table44[Country],Tabela1[[#This Row],[Country]],Table44[Eventing Classification],"&gt;0")</f>
        <v>0</v>
      </c>
      <c r="EV185" s="6">
        <f>COUNTIFS(Table45[Country],Tabela1[[#This Row],[Country]],Table45[Eventing Classification],"&gt;0")</f>
        <v>0</v>
      </c>
      <c r="EW185" s="6">
        <f>COUNTIFS(Table44[Country],Tabela1[[#This Row],[Country]],Table44[Jumping Classification],"&gt;0")</f>
        <v>0</v>
      </c>
      <c r="EX185" s="6">
        <f>COUNTIFS(Table45[Country],Tabela1[[#This Row],[Country]],Table45[Jumping Classification],"&gt;0")</f>
        <v>0</v>
      </c>
      <c r="EY185" s="6">
        <f>COUNTIFS(Table10[Country],Tabela1[[#This Row],[Country]],Table10[Épée Classification],"&gt;0")</f>
        <v>0</v>
      </c>
      <c r="EZ185" s="6">
        <f>COUNTIFS(Table11[Country],Tabela1[[#This Row],[Country]],Table11[Épée Classification],"&gt;0")</f>
        <v>0</v>
      </c>
      <c r="FA185" s="6">
        <f>COUNTIFS(Table46[Country],Tabela1[[#This Row],[Country]],Table46[Men''s Épée Classification],"&gt;0")</f>
        <v>0</v>
      </c>
      <c r="FB185" s="6">
        <f>COUNTIFS(Table46[Country],Tabela1[[#This Row],[Country]],Table46[Women''s Épée Classification],"&gt;0")</f>
        <v>0</v>
      </c>
      <c r="FC185" s="6">
        <f>COUNTIFS(Table10[Country],Tabela1[[#This Row],[Country]],Table10[Foil Classification],"&gt;0")</f>
        <v>0</v>
      </c>
      <c r="FD185" s="6">
        <f>COUNTIFS(Table11[Country],Tabela1[[#This Row],[Country]],Table11[Foil Classification],"&gt;0")</f>
        <v>0</v>
      </c>
      <c r="FE185" s="6">
        <f>COUNTIFS(Table46[Country],Tabela1[[#This Row],[Country]],Table46[Men''s Foil Classification],"&gt;0")</f>
        <v>0</v>
      </c>
      <c r="FF185" s="6">
        <f>COUNTIFS(Table46[Country],Tabela1[[#This Row],[Country]],Table46[Women''s Foil Classification],"&gt;0")</f>
        <v>0</v>
      </c>
      <c r="FG185" s="6">
        <f>COUNTIFS(Table10[Country],Tabela1[[#This Row],[Country]],Table10[Sabre Classification],"&gt;0")</f>
        <v>0</v>
      </c>
      <c r="FH185" s="6">
        <f>COUNTIFS(Table11[Country],Tabela1[[#This Row],[Country]],Table11[Sabre Classification],"&gt;0")</f>
        <v>0</v>
      </c>
      <c r="FI185" s="6">
        <f>COUNTIFS(Table46[Country],Tabela1[[#This Row],[Country]],Table46[Men''s Sabre Classification],"&gt;0")</f>
        <v>0</v>
      </c>
      <c r="FJ185" s="6">
        <f>COUNTIFS(Table46[Country],Tabela1[[#This Row],[Country]],Table46[Women''s Sabre Classification],"&gt;0")</f>
        <v>0</v>
      </c>
      <c r="FK185" s="6">
        <f>COUNTIFS(Table91[Country],Tabela1[[#This Row],[Country]],Table91[Men''s Classification],"&gt;0")</f>
        <v>0</v>
      </c>
      <c r="FL185" s="6">
        <f>COUNTIFS(Table91[Country],Tabela1[[#This Row],[Country]],Table91[Women''s Classification],"&gt;0")</f>
        <v>0</v>
      </c>
      <c r="FM185" s="6">
        <f>COUNTIFS(Table9194[Country],Tabela1[[#This Row],[Country]],Table9194[Men''s Classification],"&gt;0")</f>
        <v>0</v>
      </c>
      <c r="FN185" s="6">
        <f>COUNTIFS(Table9194[Country],Tabela1[[#This Row],[Country]],Table9194[Women''s Classification],"&gt;0")</f>
        <v>0</v>
      </c>
      <c r="FO185" s="6">
        <f>COUNTIFS(Table71[Country],Tabela1[[#This Row],[Country]],Table71[Classification],"&gt;0")</f>
        <v>0</v>
      </c>
      <c r="FP185" s="6">
        <f>COUNTIFS(Table62[Country],Tabela1[[#This Row],[Country]],Table62[Classification],"&gt;0")</f>
        <v>0</v>
      </c>
      <c r="FQ185" s="6">
        <f>COUNTIFS(Table47[Country],Tabela1[[#This Row],[Country]],Table47[All-Around Classification],"&gt;0")</f>
        <v>0</v>
      </c>
      <c r="FR185" s="6">
        <f>COUNTIFS(Table48[Country],Tabela1[[#This Row],[Country]],Table48[All-Around Classification],"&gt;0")</f>
        <v>0</v>
      </c>
      <c r="FS185" s="6">
        <f>COUNTIFS(Table81[Country],Tabela1[[#This Row],[Country]],Table81[Men''s All-Around Classification],"&gt;0")</f>
        <v>0</v>
      </c>
      <c r="FT185" s="6">
        <f>COUNTIFS(Table81[Country],Tabela1[[#This Row],[Country]],Table81[Women''s All-Around Classification],"&gt;0")</f>
        <v>0</v>
      </c>
      <c r="FU185" s="6">
        <f>COUNTIFS(Table48[Country],Tabela1[[#This Row],[Country]],Table48[Balance Beam Classification],"&gt;0")</f>
        <v>0</v>
      </c>
      <c r="FV185" s="6">
        <f>COUNTIFS(Table47[Country],Tabela1[[#This Row],[Country]],Table47[Floor Exercise Classification],"&gt;0")</f>
        <v>0</v>
      </c>
      <c r="FW185" s="6">
        <f>COUNTIFS(Table48[Country],Tabela1[[#This Row],[Country]],Table48[Floor Exercise Classification],"&gt;0")</f>
        <v>0</v>
      </c>
      <c r="FX185" s="6">
        <f>COUNTIFS(Table47[Country],Tabela1[[#This Row],[Country]],Table47[Horizontal Bar Classification],"&gt;0")</f>
        <v>0</v>
      </c>
      <c r="FY185" s="6">
        <f>COUNTIFS(Table47[Country],Tabela1[[#This Row],[Country]],Table47[Parallel Bars Classification],"&gt;0")</f>
        <v>0</v>
      </c>
      <c r="FZ185" s="6">
        <f>COUNTIFS(Table47[Country],Tabela1[[#This Row],[Country]],Table47[Pommel Horse Classification],"&gt;0")</f>
        <v>0</v>
      </c>
      <c r="GA185" s="6">
        <f>COUNTIFS(Table47[Country],Tabela1[[#This Row],[Country]],Table47[Rings Classification],"&gt;0")</f>
        <v>0</v>
      </c>
      <c r="GB185" s="6">
        <f>COUNTIFS(Tabela132[Country],Tabela1[[#This Row],[Country]],Tabela132[Classification],"&gt;0")</f>
        <v>0</v>
      </c>
      <c r="GC185" s="6">
        <f>COUNTIFS(Tabela139[Country],Tabela1[[#This Row],[Country]],Tabela139[Classification],"&gt;0")</f>
        <v>0</v>
      </c>
      <c r="GD185" s="6">
        <f>COUNTIFS(Table48[Country],Tabela1[[#This Row],[Country]],Table48[Uneven Bars Classification],"&gt;0")</f>
        <v>0</v>
      </c>
      <c r="GE185" s="6">
        <f>COUNTIFS(Table47[Country],Tabela1[[#This Row],[Country]],Table47[Vault Classification],"&gt;0")</f>
        <v>0</v>
      </c>
      <c r="GF185" s="6">
        <f>COUNTIFS(Table48[Country],Tabela1[[#This Row],[Country]],Table48[Vault Classification],"&gt;0")</f>
        <v>0</v>
      </c>
      <c r="GG185" s="6">
        <f>COUNTIFS(Table919496[Country],Tabela1[[#This Row],[Country]],Table919496[Men''s Classification],"&gt;0")</f>
        <v>0</v>
      </c>
      <c r="GH185" s="6">
        <f>COUNTIFS(Table919496[Country],Tabela1[[#This Row],[Country]],Table919496[Women''s Classification],"&gt;0")</f>
        <v>0</v>
      </c>
      <c r="GI185" s="6">
        <f>COUNTIFS(Table12[Country],Tabela1[[#This Row],[Country]],Table12[60kg Classification],"&gt;0")</f>
        <v>0</v>
      </c>
      <c r="GJ185" s="6">
        <f>COUNTIFS(Table12[Country],Tabela1[[#This Row],[Country]],Table12[66kg Classification],"&gt;0")</f>
        <v>0</v>
      </c>
      <c r="GK185" s="6">
        <f>COUNTIFS(Table12[Country],Tabela1[[#This Row],[Country]],Table12[73kg Classification],"&gt;0")</f>
        <v>0</v>
      </c>
      <c r="GL185" s="6">
        <f>COUNTIFS(Table12[Country],Tabela1[[#This Row],[Country]],Table12[81kg Classification],"&gt;0")</f>
        <v>0</v>
      </c>
      <c r="GM185" s="6">
        <f>COUNTIFS(Table12[Country],Tabela1[[#This Row],[Country]],Table12[90kg Classification],"&gt;0")</f>
        <v>0</v>
      </c>
      <c r="GN185" s="6">
        <f>COUNTIFS(Table12[Country],Tabela1[[#This Row],[Country]],Table12[100kg Classification],"&gt;0")</f>
        <v>0</v>
      </c>
      <c r="GO185" s="6">
        <f>COUNTIFS(Table12[Country],Tabela1[[#This Row],[Country]],Table12[Plus 100kg Classification],"&gt;0")</f>
        <v>0</v>
      </c>
      <c r="GP185" s="6">
        <f>COUNTIFS(Table13[Country],Tabela1[[#This Row],[Country]],Table13[48kg Classification],"&gt;0")</f>
        <v>0</v>
      </c>
      <c r="GQ185" s="6">
        <f>COUNTIFS(Table13[Country],Tabela1[[#This Row],[Country]],Table13[52kg Classification],"&gt;0")</f>
        <v>0</v>
      </c>
      <c r="GR185" s="6">
        <f>COUNTIFS(Table13[Country],Tabela1[[#This Row],[Country]],Table13[57kg Classification],"&gt;0")</f>
        <v>0</v>
      </c>
      <c r="GS185" s="6">
        <f>COUNTIFS(Table13[Country],Tabela1[[#This Row],[Country]],Table13[63kg Classification],"&gt;0")</f>
        <v>0</v>
      </c>
      <c r="GT185" s="6">
        <f>COUNTIFS(Table13[Country],Tabela1[[#This Row],[Country]],Table13[70kg Classification],"&gt;0")</f>
        <v>0</v>
      </c>
      <c r="GU185" s="6">
        <f>COUNTIFS(Table13[Country],Tabela1[[#This Row],[Country]],Table13[78kg Classification],"&gt;0")</f>
        <v>0</v>
      </c>
      <c r="GV185" s="6">
        <f>COUNTIFS(Table13[Country],Tabela1[[#This Row],[Country]],Table13[Plus 78kg Classification],"&gt;0")</f>
        <v>0</v>
      </c>
      <c r="GW185" s="6">
        <f>COUNTIFS(Table82[Country],Tabela1[[#This Row],[Country]],Table82[Mixed Classification],"&gt;0")</f>
        <v>0</v>
      </c>
      <c r="GX185" s="6">
        <f>COUNTIFS(Table51[Country],Tabela1[[#This Row],[Country]],Table51[Classification],"&gt;0")</f>
        <v>0</v>
      </c>
      <c r="GY185" s="6">
        <f>COUNTIFS(Table52[Country],Tabela1[[#This Row],[Country]],Table52[Classification],"&gt;0")</f>
        <v>0</v>
      </c>
      <c r="GZ185" s="6">
        <f>COUNTIFS(Table32[Country],Tabela1[[#This Row],[Country]],Table32[All-Around Classification],"&gt;0")</f>
        <v>0</v>
      </c>
      <c r="HA185" s="6">
        <f>COUNTIFS(Table49[Country],Tabela1[[#This Row],[Country]],Table49[All-Around Classification],"&gt;0")</f>
        <v>0</v>
      </c>
      <c r="HB185" s="6">
        <f>COUNTIFS(Table26[Country],Tabela1[[#This Row],[Country]],Table26[Single Sculls Classification],"&gt;0")</f>
        <v>0</v>
      </c>
      <c r="HC185" s="6">
        <f>COUNTIFS(Table63[Country],Tabela1[[#This Row],[Country]],Table63[Single Sculls Classification],"&gt;0")</f>
        <v>0</v>
      </c>
      <c r="HD185" s="6">
        <f>COUNTIFS(Table16[Country],Tabela1[[#This Row],[Country]],Table16[Men''s Double Sculls Classification],"&gt;0")</f>
        <v>0</v>
      </c>
      <c r="HE185" s="6">
        <f>COUNTIFS(Table16[Country],Tabela1[[#This Row],[Country]],Table16[Women''s Double Sculls Classification],"&gt;0")</f>
        <v>0</v>
      </c>
      <c r="HF185" s="6">
        <f>COUNTIFS(Table72[Country],Tabela1[[#This Row],[Country]],Table72[Men''s Quadruple Sculls Classification],"&gt;0")</f>
        <v>0</v>
      </c>
      <c r="HG185" s="6">
        <f>COUNTIFS(Table72[Country],Tabela1[[#This Row],[Country]],Table72[Women''s Quadruple Sculls Classification],"&gt;0")</f>
        <v>0</v>
      </c>
      <c r="HH185" s="6">
        <f>COUNTIFS(Table16[Country],Tabela1[[#This Row],[Country]],Table16[Men''s Coxless Pairs Classification],"&gt;0")</f>
        <v>0</v>
      </c>
      <c r="HI185" s="6">
        <f>COUNTIFS(Table16[Country],Tabela1[[#This Row],[Country]],Table16[Women''s Coxless Pairs Classification],"&gt;0")</f>
        <v>0</v>
      </c>
      <c r="HJ185" s="6">
        <f>COUNTIFS(Table72[Country],Tabela1[[#This Row],[Country]],Table72[Men''s Coxless Fours Classification],"&gt;0")</f>
        <v>0</v>
      </c>
      <c r="HK185" s="6">
        <f>COUNTIFS(Table72[Country],Tabela1[[#This Row],[Country]],Table72[Women''s Coxless Fours Classification],"&gt;0")</f>
        <v>0</v>
      </c>
      <c r="HL185" s="6">
        <f>COUNTIFS(Table72[Country],Tabela1[[#This Row],[Country]],Table72[Men''s Eights Classification],"&gt;0")</f>
        <v>0</v>
      </c>
      <c r="HM185" s="6">
        <f>COUNTIFS(Table72[Country],Tabela1[[#This Row],[Country]],Table72[Women''s Eights Classification],"&gt;0")</f>
        <v>0</v>
      </c>
      <c r="HN185" s="6">
        <f>COUNTIFS(Table16[Country],Tabela1[[#This Row],[Country]],Table16[Men''s Lwt. Double Sculls Classification],"&gt;0")</f>
        <v>0</v>
      </c>
      <c r="HO185" s="6">
        <f>COUNTIFS(Table16[Country],Tabela1[[#This Row],[Country]],Table16[Women''s Lwt. Double Sculls Classification],"&gt;0")</f>
        <v>0</v>
      </c>
      <c r="HP185" s="6">
        <f>COUNTIFS(Table91949698[Country],Tabela1[[#This Row],[Country]],Table91949698[Men''s Classification],"&gt;0")</f>
        <v>0</v>
      </c>
      <c r="HQ185" s="6">
        <f>COUNTIFS(Table91949698[Country],Tabela1[[#This Row],[Country]],Table91949698[Women''s Classification],"&gt;0")</f>
        <v>0</v>
      </c>
      <c r="HR185" s="6">
        <f>COUNTIFS(Table25[Country],Tabela1[[#This Row],[Country]],Table25[Mixed 470 Classification],"&gt;0")</f>
        <v>0</v>
      </c>
      <c r="HS185" s="6">
        <f>COUNTIFS(Table25[Country],Tabela1[[#This Row],[Country]],Table25[Men''s 49er Classification],"&gt;0")</f>
        <v>0</v>
      </c>
      <c r="HT185" s="6">
        <f>COUNTIFS(Table25[Country],Tabela1[[#This Row],[Country]],Table25[Women''s 49er FX Classification],"&gt;0")</f>
        <v>0</v>
      </c>
      <c r="HU185" s="6">
        <f>COUNTIFS(Table17[Country],Tabela1[[#This Row],[Country]],Table17[Formula Kite Classification],"&gt;0")</f>
        <v>0</v>
      </c>
      <c r="HV185" s="6">
        <f>COUNTIFS(Table18[Country],Tabela1[[#This Row],[Country]],Table18[Formula Kite Classification],"&gt;0")</f>
        <v>0</v>
      </c>
      <c r="HW185" s="6">
        <f>COUNTIFS(Table17[Country],Tabela1[[#This Row],[Country]],Table17[ILCA 7 Classification],"&gt;0")</f>
        <v>0</v>
      </c>
      <c r="HX185" s="6">
        <f>COUNTIFS(Table18[Country],Tabela1[[#This Row],[Country]],Table18[ILCA 6 Classification],"&gt;0")</f>
        <v>0</v>
      </c>
      <c r="HY185" s="6">
        <f>COUNTIFS(Table17[Country],Tabela1[[#This Row],[Country]],Table17[IQFoil Classification],"&gt;0")</f>
        <v>0</v>
      </c>
      <c r="HZ185" s="6">
        <f>COUNTIFS(Table18[Country],Tabela1[[#This Row],[Country]],Table18[IQFoil Classification],"&gt;0")</f>
        <v>0</v>
      </c>
      <c r="IA185" s="6">
        <f>COUNTIFS(Table25[Country],Tabela1[[#This Row],[Country]],Table25[Mixed Nacra 17 Classification],"&gt;0")</f>
        <v>0</v>
      </c>
      <c r="IB185" s="6">
        <f>COUNTIFS(Table53[Country],Tabela1[[#This Row],[Country]],Table53[10m Air Pistol Classification],"&gt;0")</f>
        <v>0</v>
      </c>
      <c r="IC185" s="6">
        <f>COUNTIFS(Table19[Country],Tabela1[[#This Row],[Country]],Table19[10m Air Pistol Classification],"&gt;0")</f>
        <v>0</v>
      </c>
      <c r="ID185" s="6">
        <f>COUNTIFS(Table54[Country],Tabela1[[#This Row],[Country]],Table54[Mixed 10m Air Pistol Team Classification],"&gt;0")</f>
        <v>0</v>
      </c>
      <c r="IE185" s="6">
        <f>COUNTIFS(Table53[Country],Tabela1[[#This Row],[Country]],Table53[10m Air Rifle Classification],"&gt;0")</f>
        <v>0</v>
      </c>
      <c r="IF185" s="6">
        <f>COUNTIFS(Table19[Country],Tabela1[[#This Row],[Country]],Table19[10m Air Rifle Classification],"&gt;0")</f>
        <v>0</v>
      </c>
      <c r="IG185" s="6">
        <f>COUNTIFS(Table54[Country],Tabela1[[#This Row],[Country]],Table54[Mixed 10m Air Rifle Team Classification],"&gt;0")</f>
        <v>0</v>
      </c>
      <c r="IH185" s="6">
        <f>COUNTIFS(Table53[Country],Tabela1[[#This Row],[Country]],Table53[25m Rapid Fire Pistol Classification],"&gt;0")</f>
        <v>0</v>
      </c>
      <c r="II185" s="6">
        <f>COUNTIFS(Table19[Country],Tabela1[[#This Row],[Country]],Table19[25m Pistol Classification],"&gt;0")</f>
        <v>0</v>
      </c>
      <c r="IJ185" s="6">
        <f>COUNTIFS(Table53[Country],Tabela1[[#This Row],[Country]],Table53[50m Rifle 3 Positions Classification],"&gt;0")</f>
        <v>0</v>
      </c>
      <c r="IK185" s="6">
        <f>COUNTIFS(Table19[Country],Tabela1[[#This Row],[Country]],Table19[50m Rifle 3 Positions Classification],"&gt;0")</f>
        <v>0</v>
      </c>
      <c r="IL185" s="6">
        <f>COUNTIFS(Table53[Country],Tabela1[[#This Row],[Country]],Table53[Skeet Classification],"&gt;0")</f>
        <v>0</v>
      </c>
      <c r="IM185" s="6">
        <f>COUNTIFS(Table19[Country],Tabela1[[#This Row],[Country]],Table19[Skeet Classification],"&gt;0")</f>
        <v>0</v>
      </c>
      <c r="IN185" s="6">
        <f>COUNTIFS(Table54[Country],Tabela1[[#This Row],[Country]],Table54[Mixed Skeet Team Classification],"&gt;0")</f>
        <v>0</v>
      </c>
      <c r="IO185" s="6">
        <f>COUNTIFS(Table53[Country],Tabela1[[#This Row],[Country]],Table53[Trap Classification],"&gt;0")</f>
        <v>0</v>
      </c>
      <c r="IP185" s="6">
        <f>COUNTIFS(Table19[Country],Tabela1[[#This Row],[Country]],Table19[Trap Classification],"&gt;0")</f>
        <v>0</v>
      </c>
      <c r="IQ185" s="6">
        <f>COUNTIFS(Table73[Country],Tabela1[[#This Row],[Country]],Table73[Park Classification],"&gt;0")</f>
        <v>0</v>
      </c>
      <c r="IR185" s="6">
        <f>COUNTIFS(Table74[Country],Tabela1[[#This Row],[Country]],Table74[Park Classification],"&gt;0")</f>
        <v>0</v>
      </c>
      <c r="IS185" s="6">
        <f>COUNTIFS(Table73[Country],Tabela1[[#This Row],[Country]],Table73[Street Classification],"&gt;0")</f>
        <v>0</v>
      </c>
      <c r="IT185" s="6">
        <f>COUNTIFS(Table74[Country],Tabela1[[#This Row],[Country]],Table74[Street Classification],"&gt;0")</f>
        <v>0</v>
      </c>
      <c r="IU185" s="6">
        <f>COUNTIFS(Table75[Country],Tabela1[[#This Row],[Country]],Table75[Boulder and Lead Classification],"&gt;0")</f>
        <v>0</v>
      </c>
      <c r="IV185" s="6">
        <f>COUNTIFS(Table76[Country],Tabela1[[#This Row],[Country]],Table76[Boulder and Lead Classification],"&gt;0")</f>
        <v>0</v>
      </c>
      <c r="IW185" s="6">
        <f>COUNTIFS(Table75[Country],Tabela1[[#This Row],[Country]],Table75[Speed Classification],"&gt;0")</f>
        <v>0</v>
      </c>
      <c r="IX185" s="6">
        <f>COUNTIFS(Table76[Country],Tabela1[[#This Row],[Country]],Table76[Speed Classification],"&gt;0")</f>
        <v>0</v>
      </c>
      <c r="IY185" s="6">
        <f>COUNTIFS(Table64[Country],Tabela1[[#This Row],[Country]],Table64[Shortboard Classification],"&gt;0")</f>
        <v>0</v>
      </c>
      <c r="IZ185" s="6">
        <f>COUNTIFS(Table77[Country],Tabela1[[#This Row],[Country]],Table77[Shortboard Classification],"&gt;0")</f>
        <v>0</v>
      </c>
      <c r="JA185" s="6">
        <f>COUNTIFS(Table20[Country],Tabela1[[#This Row],[Country]],Table20[50m Freestyle Classification],"&gt;0")</f>
        <v>0</v>
      </c>
      <c r="JB185" s="6">
        <f>COUNTIFS(Table21[Country],Tabela1[[#This Row],[Country]],Table21[50m Freestyle Classification],"&gt;0")</f>
        <v>0</v>
      </c>
      <c r="JC185" s="6">
        <f>COUNTIFS(Table20[Country],Tabela1[[#This Row],[Country]],Table20[100m Freestyle Classification],"&gt;0")</f>
        <v>0</v>
      </c>
      <c r="JD185" s="6">
        <f>COUNTIFS(Table21[Country],Tabela1[[#This Row],[Country]],Table21[100m Freestyle Classification],"&gt;0")</f>
        <v>0</v>
      </c>
      <c r="JE185" s="6">
        <f>COUNTIFS(Table20[Country],Tabela1[[#This Row],[Country]],Table20[200m Freestyle Classification],"&gt;0")</f>
        <v>0</v>
      </c>
      <c r="JF185" s="6">
        <f>COUNTIFS(Table21[Country],Tabela1[[#This Row],[Country]],Table21[200m Freestyle Classification],"&gt;0")</f>
        <v>0</v>
      </c>
      <c r="JG185" s="6">
        <f>COUNTIFS(Table20[Country],Tabela1[[#This Row],[Country]],Table20[400m Freestyle Classification],"&gt;0")</f>
        <v>0</v>
      </c>
      <c r="JH185" s="6">
        <f>COUNTIFS(Table21[Country],Tabela1[[#This Row],[Country]],Table21[400m Freestyle Classification],"&gt;0")</f>
        <v>0</v>
      </c>
      <c r="JI185" s="6">
        <f>COUNTIFS(Table20[Country],Tabela1[[#This Row],[Country]],Table20[800m Freestyle Classification],"&gt;0")</f>
        <v>0</v>
      </c>
      <c r="JJ185" s="6">
        <f>COUNTIFS(Table21[Country],Tabela1[[#This Row],[Country]],Table21[800m Freestyle Classification],"&gt;0")</f>
        <v>0</v>
      </c>
      <c r="JK185" s="6">
        <f>COUNTIFS(Table20[Country],Tabela1[[#This Row],[Country]],Table20[1500m Freestyle Classification],"&gt;0")</f>
        <v>0</v>
      </c>
      <c r="JL185" s="6">
        <f>COUNTIFS(Table21[Country],Tabela1[[#This Row],[Country]],Table21[1500m Freestyle Classification],"&gt;0")</f>
        <v>0</v>
      </c>
      <c r="JM185" s="6">
        <f>COUNTIFS(Table20[Country],Tabela1[[#This Row],[Country]],Table20[100m Backstroke Classification],"&gt;0")</f>
        <v>0</v>
      </c>
      <c r="JN185" s="6">
        <f>COUNTIFS(Table21[Country],Tabela1[[#This Row],[Country]],Table21[100m Backstroke Classification],"&gt;0")</f>
        <v>0</v>
      </c>
      <c r="JO185" s="6">
        <f>COUNTIFS(Table20[Country],Tabela1[[#This Row],[Country]],Table20[200m Backstroke Classification],"&gt;0")</f>
        <v>0</v>
      </c>
      <c r="JP185" s="6">
        <f>COUNTIFS(Table21[Country],Tabela1[[#This Row],[Country]],Table21[200m Backstroke Classification],"&gt;0")</f>
        <v>0</v>
      </c>
      <c r="JQ185" s="6">
        <f>COUNTIFS(Table20[Country],Tabela1[[#This Row],[Country]],Table20[100m Breaststroke Classification],"&gt;0")</f>
        <v>0</v>
      </c>
      <c r="JR185" s="6">
        <f>COUNTIFS(Table21[Country],Tabela1[[#This Row],[Country]],Table21[100m Breaststroke Classification],"&gt;0")</f>
        <v>0</v>
      </c>
      <c r="JS185" s="6">
        <f>COUNTIFS(Table20[Country],Tabela1[[#This Row],[Country]],Table20[200m Breaststroke Classification],"&gt;0")</f>
        <v>0</v>
      </c>
      <c r="JT185" s="6">
        <f>COUNTIFS(Table21[Country],Tabela1[[#This Row],[Country]],Table21[200m Breaststroke Classification],"&gt;0")</f>
        <v>0</v>
      </c>
      <c r="JU185" s="6">
        <f>COUNTIFS(Table20[Country],Tabela1[[#This Row],[Country]],Table20[100m Butterfly Classification],"&gt;0")</f>
        <v>0</v>
      </c>
      <c r="JV185" s="6">
        <f>COUNTIFS(Table21[Country],Tabela1[[#This Row],[Country]],Table21[100m Butterfly Classification],"&gt;0")</f>
        <v>0</v>
      </c>
      <c r="JW185" s="6">
        <f>COUNTIFS(Table20[Country],Tabela1[[#This Row],[Country]],Table20[200m Butterfly Classification],"&gt;0")</f>
        <v>0</v>
      </c>
      <c r="JX185" s="6">
        <f>COUNTIFS(Table21[Country],Tabela1[[#This Row],[Country]],Table21[200m Butterfly Classification],"&gt;0")</f>
        <v>0</v>
      </c>
      <c r="JY185" s="6">
        <f>COUNTIFS(Table20[Country],Tabela1[[#This Row],[Country]],Table20[200m Medley Classification],"&gt;0")</f>
        <v>0</v>
      </c>
      <c r="JZ185" s="6">
        <f>COUNTIFS(Table21[Country],Tabela1[[#This Row],[Country]],Table21[200m Medley Classification],"&gt;0")</f>
        <v>0</v>
      </c>
      <c r="KA185" s="6">
        <f>COUNTIFS(Table20[Country],Tabela1[[#This Row],[Country]],Table20[400m Medley Classification],"&gt;0")</f>
        <v>0</v>
      </c>
      <c r="KB185" s="6">
        <f>COUNTIFS(Table21[Country],Tabela1[[#This Row],[Country]],Table21[400m Medley Classification],"&gt;0")</f>
        <v>0</v>
      </c>
      <c r="KC185" s="6">
        <f>COUNTIFS(Table78[Country],Tabela1[[#This Row],[Country]],Table78[Men''s 4x100m Freestyle Relay Classification],"&gt;0")</f>
        <v>0</v>
      </c>
      <c r="KD185" s="6">
        <f>COUNTIFS(Table78[Country],Tabela1[[#This Row],[Country]],Table78[Women''s 4x100m Freestyle Relay Classification],"&gt;0")</f>
        <v>0</v>
      </c>
      <c r="KE185" s="6">
        <f>COUNTIFS(Table78[Country],Tabela1[[#This Row],[Country]],Table78[Men''s 4x200m Freestyle Relay Classification],"&gt;0")</f>
        <v>0</v>
      </c>
      <c r="KF185" s="6">
        <f>COUNTIFS(Table78[Country],Tabela1[[#This Row],[Country]],Table78[Women''s 4x200m Freestyle Relay Classification],"&gt;0")</f>
        <v>0</v>
      </c>
      <c r="KG185" s="6">
        <f>COUNTIFS(Table78[Country],Tabela1[[#This Row],[Country]],Table78[Men''s 4x100m Medley Relay Classification],"&gt;0")</f>
        <v>0</v>
      </c>
      <c r="KH185" s="6">
        <f>COUNTIFS(Table78[Country],Tabela1[[#This Row],[Country]],Table78[Women''s 4x100m Medley Relay Classification],"&gt;0")</f>
        <v>0</v>
      </c>
      <c r="KI185" s="6">
        <f>COUNTIFS(Table78[Country],Tabela1[[#This Row],[Country]],Table78[Mixed 4x100m Medley Relay Classification],"&gt;0")</f>
        <v>0</v>
      </c>
      <c r="KJ185" s="6">
        <f>COUNTIFS(Table20[Country],Tabela1[[#This Row],[Country]],Table20[10km Open Water Classification],"&gt;0")</f>
        <v>0</v>
      </c>
      <c r="KK185" s="6">
        <f>COUNTIFS(Table21[Country],Tabela1[[#This Row],[Country]],Table21[10km Open Water Classification],"&gt;0")</f>
        <v>0</v>
      </c>
      <c r="KL185" s="6">
        <f>COUNTIFS(Table22[Country],Tabela1[[#This Row],[Country]],Table22[Classification],"&gt;0")</f>
        <v>0</v>
      </c>
      <c r="KM185" s="6">
        <f>COUNTIFS(Table30[Country],Tabela1[[#This Row],[Country]],Table30[Classification],"&gt;0")</f>
        <v>0</v>
      </c>
      <c r="KN185" s="6">
        <f>COUNTIFS(Table55[Country],Tabela1[[#This Row],[Country]],Table55[Men''s Classification],"&gt;0")</f>
        <v>0</v>
      </c>
      <c r="KO185" s="6">
        <f>COUNTIFS(Table55[Country],Tabela1[[#This Row],[Country]],Table55[Women''s Classification],"&gt;0")</f>
        <v>0</v>
      </c>
      <c r="KP185" s="6">
        <f>COUNTIFS(Table56[Country],Tabela1[[#This Row],[Country]],Table56[Mixed Classification],"&gt;0")</f>
        <v>0</v>
      </c>
      <c r="KQ185" s="6">
        <f>COUNTIFS(Table29[Country],Tabela1[[#This Row],[Country]],Table29[58kg Classification],"&gt;0")</f>
        <v>0</v>
      </c>
      <c r="KR185" s="6">
        <f>COUNTIFS(Table29[Country],Tabela1[[#This Row],[Country]],Table29[68kg Classification],"&gt;0")</f>
        <v>0</v>
      </c>
      <c r="KS185" s="6">
        <f>COUNTIFS(Table29[Country],Tabela1[[#This Row],[Country]],Table29[80kg Classification],"&gt;0")</f>
        <v>0</v>
      </c>
      <c r="KT185" s="6">
        <f>COUNTIFS(Table29[Country],Tabela1[[#This Row],[Country]],Table29[Plus 80kg Classification],"&gt;0")</f>
        <v>0</v>
      </c>
      <c r="KU185" s="6">
        <f>COUNTIFS(Table34[Country],Tabela1[[#This Row],[Country]],Table34[49kg Classification],"&gt;0")</f>
        <v>0</v>
      </c>
      <c r="KV185" s="6">
        <f>COUNTIFS(Table34[Country],Tabela1[[#This Row],[Country]],Table34[57kg Classification],"&gt;0")</f>
        <v>0</v>
      </c>
      <c r="KW185" s="6">
        <f>COUNTIFS(Table34[Country],Tabela1[[#This Row],[Country]],Table34[67kg Classification],"&gt;0")</f>
        <v>0</v>
      </c>
      <c r="KX185" s="6">
        <f>COUNTIFS(Table34[Country],Tabela1[[#This Row],[Country]],Table34[Plus 67kg Classification],"&gt;0")</f>
        <v>0</v>
      </c>
      <c r="KY185" s="6">
        <f>COUNTIFS(Table57[Country],Tabela1[[#This Row],[Country]],Table57[Classification],"&gt;0")</f>
        <v>0</v>
      </c>
      <c r="KZ185" s="6">
        <f>COUNTIFS(Table58[Country],Tabela1[[#This Row],[Country]],Table58[Classification],"&gt;0")</f>
        <v>0</v>
      </c>
      <c r="LA185" s="6">
        <f>COUNTIFS(Table79[Country],Tabela1[[#This Row],[Country]],Table79[Men''s Classification],"&gt;0")</f>
        <v>0</v>
      </c>
      <c r="LB185" s="6">
        <f>COUNTIFS(Table79[Country],Tabela1[[#This Row],[Country]],Table79[Women''s Classification],"&gt;0")</f>
        <v>0</v>
      </c>
      <c r="LC185" s="6">
        <f>COUNTIFS(Table79[Country],Tabela1[[#This Row],[Country]],Table79[Mixed Classification],"&gt;0")</f>
        <v>0</v>
      </c>
      <c r="LD185" s="6">
        <f>COUNTIFS(Table65[Country],Tabela1[[#This Row],[Country]],Table65[Classification],"&gt;0")</f>
        <v>0</v>
      </c>
      <c r="LE185" s="6">
        <f>COUNTIFS(Table59[Country],Tabela1[[#This Row],[Country]],Table59[Classification],"&gt;0")</f>
        <v>0</v>
      </c>
      <c r="LF185" s="6">
        <f>COUNTIFS(Table87[Country],Tabela1[[#This Row],[Country]],Table87[Mixed Relay Classification],"&gt;0")</f>
        <v>0</v>
      </c>
      <c r="LG185" s="6">
        <f>COUNTIFS(Table91949698100[Country],Tabela1[[#This Row],[Country]],Table91949698100[Men''s Classification],"&gt;0")</f>
        <v>0</v>
      </c>
      <c r="LH185" s="6">
        <f>COUNTIFS(Table91949698100[Country],Tabela1[[#This Row],[Country]],Table91949698100[Women''s Classification],"&gt;0")</f>
        <v>0</v>
      </c>
      <c r="LI185" s="6">
        <f>COUNTIFS(Table91949698100102[Country],Tabela1[[#This Row],[Country]],Table91949698100102[Men''s Classification],"&gt;0")</f>
        <v>0</v>
      </c>
      <c r="LJ185" s="6">
        <f>COUNTIFS(Table91949698100102[Country],Tabela1[[#This Row],[Country]],Table91949698100102[Women''s Classification],"&gt;0")</f>
        <v>0</v>
      </c>
      <c r="LK185" s="6">
        <f>COUNTIFS(Table23[Country],Tabela1[[#This Row],[Country]],Table23[61kg Classification],"&gt;0")</f>
        <v>0</v>
      </c>
      <c r="LL185" s="6">
        <f>COUNTIFS(Table23[Country],Tabela1[[#This Row],[Country]],Table23[73kg Classification],"&gt;0")</f>
        <v>0</v>
      </c>
      <c r="LM185" s="6">
        <f>COUNTIFS(Table23[Country],Tabela1[[#This Row],[Country]],Table23[89kg Classification],"&gt;0")</f>
        <v>0</v>
      </c>
      <c r="LN185" s="6">
        <f>COUNTIFS(Table23[Country],Tabela1[[#This Row],[Country]],Table23[102kg Classification],"&gt;0")</f>
        <v>0</v>
      </c>
      <c r="LO185" s="6">
        <f>COUNTIFS(Table23[Country],Tabela1[[#This Row],[Country]],Table23[Plus 102kg Classification],"&gt;0")</f>
        <v>0</v>
      </c>
      <c r="LP185" s="6">
        <f>COUNTIFS(Table28[Country],Tabela1[[#This Row],[Country]],Table28[49kg Classification],"&gt;0")</f>
        <v>0</v>
      </c>
      <c r="LQ185" s="6">
        <f>COUNTIFS(Table28[Country],Tabela1[[#This Row],[Country]],Table28[59kg Classification],"&gt;0")</f>
        <v>0</v>
      </c>
      <c r="LR185" s="6">
        <f>COUNTIFS(Table28[Country],Tabela1[[#This Row],[Country]],Table28[71kg Classification],"&gt;0")</f>
        <v>0</v>
      </c>
      <c r="LS185" s="6">
        <f>COUNTIFS(Table28[Country],Tabela1[[#This Row],[Country]],Table28[81kg Classification],"&gt;0")</f>
        <v>0</v>
      </c>
      <c r="LT185" s="6">
        <f>COUNTIFS(Table28[Country],Tabela1[[#This Row],[Country]],Table28[Plus 81kg Classification],"&gt;0")</f>
        <v>0</v>
      </c>
      <c r="LU185" s="6">
        <f>COUNTIFS(Table24[Country],Tabela1[[#This Row],[Country]],Table24[Freestyle 57kg Classification],"&gt;0")</f>
        <v>0</v>
      </c>
      <c r="LV185" s="6">
        <f>COUNTIFS(Table24[Country],Tabela1[[#This Row],[Country]],Table24[Freestyle 65kg Classification],"&gt;0")</f>
        <v>0</v>
      </c>
      <c r="LW185" s="6">
        <f>COUNTIFS(Table24[Country],Tabela1[[#This Row],[Country]],Table24[Freestyle 74kg Classification],"&gt;0")</f>
        <v>0</v>
      </c>
      <c r="LX185" s="6">
        <f>COUNTIFS(Table24[Country],Tabela1[[#This Row],[Country]],Table24[Freestyle 86kg Classification],"&gt;0")</f>
        <v>0</v>
      </c>
      <c r="LY185" s="6">
        <f>COUNTIFS(Table24[Country],Tabela1[[#This Row],[Country]],Table24[Freestyle 97kg Classification],"&gt;0")</f>
        <v>0</v>
      </c>
      <c r="LZ185" s="6">
        <f>COUNTIFS(Table24[Country],Tabela1[[#This Row],[Country]],Table24[Freestyle 125kg Classification],"&gt;0")</f>
        <v>0</v>
      </c>
      <c r="MA185" s="6">
        <f>COUNTIFS(Table24[Country],Tabela1[[#This Row],[Country]],Table24[Greco-Roman 60kg Classification],"&gt;0")</f>
        <v>0</v>
      </c>
      <c r="MB185" s="6">
        <f>COUNTIFS(Table24[Country],Tabela1[[#This Row],[Country]],Table24[Greco-Roman 67kg Classification],"&gt;0")</f>
        <v>0</v>
      </c>
      <c r="MC185" s="6">
        <f>COUNTIFS(Table24[Country],Tabela1[[#This Row],[Country]],Table24[Greco-Roman 77kg Classification],"&gt;0")</f>
        <v>0</v>
      </c>
      <c r="MD185" s="6">
        <f>COUNTIFS(Table24[Country],Tabela1[[#This Row],[Country]],Table24[Greco-Roman 87kg Classification],"&gt;0")</f>
        <v>0</v>
      </c>
      <c r="ME185" s="6">
        <f>COUNTIFS(Table24[Country],Tabela1[[#This Row],[Country]],Table24[Greco-Roman 97kg Classification],"&gt;0")</f>
        <v>0</v>
      </c>
      <c r="MF185" s="6">
        <f>COUNTIFS(Table24[Country],Tabela1[[#This Row],[Country]],Table24[Greco-Roman 130kg Classification],"&gt;0")</f>
        <v>0</v>
      </c>
      <c r="MG185" s="6">
        <f>COUNTIFS(Table31[Country],Tabela1[[#This Row],[Country]],Table31[50kg Classification],"&gt;0")</f>
        <v>0</v>
      </c>
      <c r="MH185" s="6">
        <f>COUNTIFS(Table31[Country],Tabela1[[#This Row],[Country]],Table31[53kg Classification],"&gt;0")</f>
        <v>0</v>
      </c>
      <c r="MI185" s="6">
        <f>COUNTIFS(Table31[Country],Tabela1[[#This Row],[Country]],Table31[57kg Classification],"&gt;0")</f>
        <v>0</v>
      </c>
      <c r="MJ185" s="6">
        <f>COUNTIFS(Table31[Country],Tabela1[[#This Row],[Country]],Table31[62kg Classification],"&gt;0")</f>
        <v>0</v>
      </c>
      <c r="MK185" s="6">
        <f>COUNTIFS(Table31[Country],Tabela1[[#This Row],[Country]],Table31[68kg Classification],"&gt;0")</f>
        <v>0</v>
      </c>
      <c r="ML185" s="6">
        <f>COUNTIFS(Table31[Country],Tabela1[[#This Row],[Country]],Table31[76kg Classification],"&gt;0")</f>
        <v>0</v>
      </c>
      <c r="MM185" s="6">
        <f>COUNTIFS(Table102[Country],Tabela1[[#This Row],[Country]],Table102[Downhill Classification],"&gt;0")</f>
        <v>0</v>
      </c>
      <c r="MN185" s="6">
        <f>COUNTIFS(Table102105[Country],Tabela1[[#This Row],[Country]],Table102105[Downhill Classification],"&gt;0")</f>
        <v>0</v>
      </c>
      <c r="MO185" s="6">
        <f>COUNTIFS(Table102[Country],Tabela1[[#This Row],[Country]],Table102[Giant Slalom Classification],"&gt;0")</f>
        <v>0</v>
      </c>
      <c r="MP185" s="6">
        <f>COUNTIFS(Table102105[Country],Tabela1[[#This Row],[Country]],Table102105[Giant Slalom Classification],"&gt;0")</f>
        <v>0</v>
      </c>
      <c r="MQ185" s="6">
        <f>COUNTIFS(Table102[Country],Tabela1[[#This Row],[Country]],Table102[Slalom Classification],"&gt;0")</f>
        <v>0</v>
      </c>
      <c r="MR185" s="6">
        <f>COUNTIFS(Table102105[Country],Tabela1[[#This Row],[Country]],Table102105[Slalom Classification],"&gt;0")</f>
        <v>0</v>
      </c>
      <c r="MS185" s="6">
        <f>COUNTIFS(Table102[Country],Tabela1[[#This Row],[Country]],Table102[Super-G Classification],"&gt;0")</f>
        <v>0</v>
      </c>
      <c r="MT185" s="6">
        <f>COUNTIFS(Table102105[Country],Tabela1[[#This Row],[Country]],Table102105[Super-G Classification],"&gt;0")</f>
        <v>0</v>
      </c>
      <c r="MU185" s="6">
        <f>COUNTIFS(Table105[Country],Tabela1[[#This Row],[Country]],Table105[Men''s Combined Classification],"&gt;0")</f>
        <v>0</v>
      </c>
      <c r="MV185" s="6">
        <f>COUNTIFS(Table105[Country],Tabela1[[#This Row],[Country]],Table105[Women''s Combined Classification],"&gt;0")</f>
        <v>0</v>
      </c>
      <c r="MW185" s="6">
        <f>COUNTIFS(Table106[Country],Tabela1[[#This Row],[Country]],Table106[Individual Classification],"&gt;0")</f>
        <v>0</v>
      </c>
      <c r="MX185" s="6">
        <f>COUNTIFS(Table106109[Country],Tabela1[[#This Row],[Country]],Table106109[Individual Classification],"&gt;0")</f>
        <v>0</v>
      </c>
      <c r="MY185" s="6">
        <f>COUNTIFS(Table106[Country],Tabela1[[#This Row],[Country]],Table106[Mass Start Classification],"&gt;0")</f>
        <v>0</v>
      </c>
      <c r="MZ185" s="6">
        <f>COUNTIFS(Table106109[Country],Tabela1[[#This Row],[Country]],Table106109[Mass Start Classification],"&gt;0")</f>
        <v>0</v>
      </c>
      <c r="NA185" s="6">
        <f>COUNTIFS(Table106[Country],Tabela1[[#This Row],[Country]],Table106[Pursuit Classification],"&gt;0")</f>
        <v>0</v>
      </c>
      <c r="NB185" s="6">
        <f>COUNTIFS(Table106109[Country],Tabela1[[#This Row],[Country]],Table106109[Pursuit Classification],"&gt;0")</f>
        <v>0</v>
      </c>
      <c r="NC185" s="6">
        <f>COUNTIFS(Table106[Country],Tabela1[[#This Row],[Country]],Table106[Sprint Classification],"&gt;0")</f>
        <v>0</v>
      </c>
      <c r="ND185" s="6">
        <f>COUNTIFS(Table106109[Country],Tabela1[[#This Row],[Country]],Table106109[Sprint Classification],"&gt;0")</f>
        <v>0</v>
      </c>
      <c r="NE185" s="6">
        <f>COUNTIFS(Table109[Country],Tabela1[[#This Row],[Country]],Table109[Men''s Relay Classification],"&gt;0")</f>
        <v>0</v>
      </c>
      <c r="NF185" s="6">
        <f>COUNTIFS(Table109[Country],Tabela1[[#This Row],[Country]],Table109[Women''s Relay Classification],"&gt;0")</f>
        <v>0</v>
      </c>
      <c r="NG185" s="6">
        <f>COUNTIFS(Table109[Country],Tabela1[[#This Row],[Country]],Table109[Mixed Relay Classification],"&gt;0")</f>
        <v>0</v>
      </c>
      <c r="NH185" s="6">
        <f>COUNTIFS(Table110[Country],Tabela1[[#This Row],[Country]],Table110[Monobob Classification],"&gt;0")</f>
        <v>0</v>
      </c>
      <c r="NI185" s="6">
        <f>COUNTIFS(Table111[Country],Tabela1[[#This Row],[Country]],Table111[Men''s Classification],"&gt;0")</f>
        <v>0</v>
      </c>
      <c r="NJ185" s="6">
        <f>COUNTIFS(Table111[Country],Tabela1[[#This Row],[Country]],Table111[Women''s Classification],"&gt;0")</f>
        <v>0</v>
      </c>
      <c r="NK185" s="6">
        <f>COUNTIFS(Table112[Country],Tabela1[[#This Row],[Country]],Table112[Men''s Four Classification],"&gt;0")</f>
        <v>0</v>
      </c>
      <c r="NL185" s="6">
        <f>COUNTIFS(Table113[Country],Tabela1[[#This Row],[Country]],Table113[Classical Classification],"&gt;0")</f>
        <v>0</v>
      </c>
      <c r="NM185" s="6">
        <f>COUNTIFS(Table113116[Country],Tabela1[[#This Row],[Country]],Table113116[Classical Classification],"&gt;0")</f>
        <v>0</v>
      </c>
      <c r="NN185" s="6">
        <f>COUNTIFS(Table113[Country],Tabela1[[#This Row],[Country]],Table113[Freestyle Classification],"&gt;0")</f>
        <v>0</v>
      </c>
      <c r="NO185" s="6">
        <f>COUNTIFS(Table113116[Country],Tabela1[[#This Row],[Country]],Table113116[Freestyle Classification],"&gt;0")</f>
        <v>0</v>
      </c>
      <c r="NP185" s="6">
        <f>COUNTIFS(Table117[Country],Tabela1[[#This Row],[Country]],Table117[Men''s Relay Classification],"&gt;0")</f>
        <v>0</v>
      </c>
      <c r="NQ185" s="6">
        <f>COUNTIFS(Table117[Country],Tabela1[[#This Row],[Country]],Table117[Women''s Relay Classification],"&gt;0")</f>
        <v>0</v>
      </c>
      <c r="NR185" s="6">
        <f>COUNTIFS(Table113[Country],Tabela1[[#This Row],[Country]],Table113[Skiathlon Classification],"&gt;0")</f>
        <v>0</v>
      </c>
      <c r="NS185" s="6">
        <f>COUNTIFS(Table113116[Country],Tabela1[[#This Row],[Country]],Table113116[Skiathlon Classification],"&gt;0")</f>
        <v>0</v>
      </c>
      <c r="NT185" s="6">
        <f>COUNTIFS(Table113[Country],Tabela1[[#This Row],[Country]],Table113[Sprint Classification],"&gt;0")</f>
        <v>0</v>
      </c>
      <c r="NU185" s="6">
        <f>COUNTIFS(Table113116[Country],Tabela1[[#This Row],[Country]],Table113116[Sprint Classification],"&gt;0")</f>
        <v>0</v>
      </c>
      <c r="NV185" s="6">
        <f>COUNTIFS(Table116[Country],Tabela1[[#This Row],[Country]],Table116[Men''s Team Sprint Classification],"&gt;0")</f>
        <v>0</v>
      </c>
      <c r="NW185" s="6">
        <f>COUNTIFS(Table116[Country],Tabela1[[#This Row],[Country]],Table116[Women''s Team Sprint Classification],"&gt;0")</f>
        <v>0</v>
      </c>
      <c r="NX185" s="6">
        <f>COUNTIFS(Table119[Country],Tabela1[[#This Row],[Country]],Table119[Men''s Classification],"&gt;0")</f>
        <v>0</v>
      </c>
      <c r="NY185" s="6">
        <f>COUNTIFS(Table119[Country],Tabela1[[#This Row],[Country]],Table119[Women''s Classification],"&gt;0")</f>
        <v>0</v>
      </c>
      <c r="NZ185" s="6">
        <f>COUNTIFS(Table118[Country],Tabela1[[#This Row],[Country]],Table118[Mixed Classification],"&gt;0")</f>
        <v>0</v>
      </c>
      <c r="OA185" s="6">
        <f>COUNTIFS(Table120[Country],Tabela1[[#This Row],[Country]],Table120[Classification],"&gt;0")</f>
        <v>0</v>
      </c>
      <c r="OB185" s="6">
        <f>COUNTIFS(Table120123[Country],Tabela1[[#This Row],[Country]],Table120123[Classification],"&gt;0")</f>
        <v>0</v>
      </c>
      <c r="OC185" s="6">
        <f>COUNTIFS(Table123[Country],Tabela1[[#This Row],[Country]],Table123[Ice Dance Classification],"&gt;0")</f>
        <v>0</v>
      </c>
      <c r="OD185" s="6">
        <f>COUNTIFS(Table123[Country],Tabela1[[#This Row],[Country]],Table123[Pair Skating Classification],"&gt;0")</f>
        <v>0</v>
      </c>
      <c r="OE185" s="6">
        <f>COUNTIFS(Table124[Country],Tabela1[[#This Row],[Country]],Table124[Mixed Classification],"&gt;0")</f>
        <v>0</v>
      </c>
      <c r="OF185" s="6">
        <f>COUNTIFS(Table125[Country],Tabela1[[#This Row],[Country]],Table125[Aerials Classification],"&gt;0")</f>
        <v>0</v>
      </c>
      <c r="OG185" s="6">
        <f>COUNTIFS(Table125128[Country],Tabela1[[#This Row],[Country]],Table125128[Aerials Classification],"&gt;0")</f>
        <v>0</v>
      </c>
      <c r="OH185" s="6">
        <f>COUNTIFS(Table128[Country],Tabela1[[#This Row],[Country]],Table128[Mixed Aerials Classification],"&gt;0")</f>
        <v>0</v>
      </c>
      <c r="OI185" s="6">
        <f>COUNTIFS(Table125[Country],Tabela1[[#This Row],[Country]],Table125[Big Air Classification],"&gt;0")</f>
        <v>0</v>
      </c>
      <c r="OJ185" s="6">
        <f>COUNTIFS(Table125128[Country],Tabela1[[#This Row],[Country]],Table125128[Big Air Classification],"&gt;0")</f>
        <v>0</v>
      </c>
      <c r="OK185" s="6">
        <f>COUNTIFS(Table125[Country],Tabela1[[#This Row],[Country]],Table125[Dual Moguls Classification],"&gt;0")</f>
        <v>0</v>
      </c>
      <c r="OL185" s="6">
        <f>COUNTIFS(Table125128[Country],Tabela1[[#This Row],[Country]],Table125128[Dual Moguls Classification],"&gt;0")</f>
        <v>0</v>
      </c>
      <c r="OM185" s="6">
        <f>COUNTIFS(Table125[Country],Tabela1[[#This Row],[Country]],Table125[Halfpipe Classification],"&gt;0")</f>
        <v>0</v>
      </c>
      <c r="ON185" s="6">
        <f>COUNTIFS(Table125128[Country],Tabela1[[#This Row],[Country]],Table125128[Halfpipe Classification],"&gt;0")</f>
        <v>0</v>
      </c>
      <c r="OO185" s="6">
        <f>COUNTIFS(Table125[Country],Tabela1[[#This Row],[Country]],Table125[Moguls Classification],"&gt;0")</f>
        <v>0</v>
      </c>
      <c r="OP185" s="6">
        <f>COUNTIFS(Table125128[Country],Tabela1[[#This Row],[Country]],Table125128[Moguls Classification],"&gt;0")</f>
        <v>0</v>
      </c>
      <c r="OQ185" s="6">
        <f>COUNTIFS(Table125[Country],Tabela1[[#This Row],[Country]],Table125[Ski Cross Classification],"&gt;0")</f>
        <v>0</v>
      </c>
      <c r="OR185" s="6">
        <f>COUNTIFS(Table125128[Country],Tabela1[[#This Row],[Country]],Table125128[Ski Cross Classification],"&gt;0")</f>
        <v>0</v>
      </c>
      <c r="OS185" s="6">
        <f>COUNTIFS(Table125[Country],Tabela1[[#This Row],[Country]],Table125[Slopestyle Classification],"&gt;0")</f>
        <v>0</v>
      </c>
      <c r="OT185" s="6">
        <f>COUNTIFS(Table125128[Country],Tabela1[[#This Row],[Country]],Table125128[Slopestyle Classification],"&gt;0")</f>
        <v>0</v>
      </c>
      <c r="OU185" s="6">
        <f>COUNTIFS(Table119131[Country],Tabela1[[#This Row],[Country]],Table119131[Men''s Classification],"&gt;0")</f>
        <v>0</v>
      </c>
      <c r="OV185" s="6">
        <f>COUNTIFS(Table119131[Country],Tabela1[[#This Row],[Country]],Table119131[Women''s Classification],"&gt;0")</f>
        <v>0</v>
      </c>
      <c r="OW185" s="6">
        <f>COUNTIFS(Table131[Country],Tabela1[[#This Row],[Country]],Table131[Classification],"&gt;0")</f>
        <v>0</v>
      </c>
      <c r="OX185" s="6">
        <f>COUNTIFS(Table131134[Country],Tabela1[[#This Row],[Country]],Table131134[Classification],"&gt;0")</f>
        <v>0</v>
      </c>
      <c r="OY185" s="6">
        <f>COUNTIFS(Table134[Country],Tabela1[[#This Row],[Country]],Table134[Men''s Classification],"&gt;0")</f>
        <v>0</v>
      </c>
      <c r="OZ185" s="6">
        <f>COUNTIFS(Table134[Country],Tabela1[[#This Row],[Country]],Table134[Women''s Classification],"&gt;0")</f>
        <v>0</v>
      </c>
      <c r="PA185" s="6">
        <f>COUNTIFS(Table135[Country],Tabela1[[#This Row],[Country]],Table135[Mixed Relay Classification],"&gt;0")</f>
        <v>0</v>
      </c>
      <c r="PB185" s="6">
        <f>COUNTIFS(Table136[Country],Tabela1[[#This Row],[Country]],Table136[Individual Classification],"&gt;0")</f>
        <v>0</v>
      </c>
      <c r="PC185" s="6">
        <f>COUNTIFS(Table136[Country],Tabela1[[#This Row],[Country]],Table136[Sprint Classification],"&gt;0")</f>
        <v>0</v>
      </c>
      <c r="PD185" s="6">
        <f>COUNTIFS(Table137[Country],Tabela1[[#This Row],[Country]],Table137[Men''s Team Sprint Large Hill Classification],"&gt;0")</f>
        <v>0</v>
      </c>
      <c r="PE185" s="6">
        <f>COUNTIFS(Table138[Country],Tabela1[[#This Row],[Country]],Table138[500m Classification],"&gt;0")</f>
        <v>0</v>
      </c>
      <c r="PF185" s="6">
        <f>COUNTIFS(Table138141[Country],Tabela1[[#This Row],[Country]],Table138141[500m Classification],"&gt;0")</f>
        <v>0</v>
      </c>
      <c r="PG185" s="6">
        <f>COUNTIFS(Table138[Country],Tabela1[[#This Row],[Country]],Table138[1000m Classification],"&gt;0")</f>
        <v>0</v>
      </c>
      <c r="PH185" s="6">
        <f>COUNTIFS(Table138141[Country],Tabela1[[#This Row],[Country]],Table138141[1000m Classification],"&gt;0")</f>
        <v>0</v>
      </c>
      <c r="PI185" s="6">
        <f>COUNTIFS(Table138[Country],Tabela1[[#This Row],[Country]],Table138[1500m Classification],"&gt;0")</f>
        <v>0</v>
      </c>
      <c r="PJ185" s="6">
        <f>COUNTIFS(Table138141[Country],Tabela1[[#This Row],[Country]],Table138141[1500m Classification],"&gt;0")</f>
        <v>0</v>
      </c>
      <c r="PK185" s="6">
        <f>COUNTIFS(Table141[Country],Tabela1[[#This Row],[Country]],Table141[Men''s 5000m Relay Classification],"&gt;0")</f>
        <v>0</v>
      </c>
      <c r="PL185" s="6">
        <f>COUNTIFS(Table141[Country],Tabela1[[#This Row],[Country]],Table141[Women''s 3000m Relay Classification],"&gt;0")</f>
        <v>0</v>
      </c>
      <c r="PM185" s="6">
        <f>COUNTIFS(Table141[Country],Tabela1[[#This Row],[Country]],Table141[Mixed 2000m Relay Classification],"&gt;0")</f>
        <v>0</v>
      </c>
      <c r="PN185" s="6">
        <f>COUNTIFS(Table142[Country],Tabela1[[#This Row],[Country]],Table142[Classification],"&gt;0")</f>
        <v>0</v>
      </c>
      <c r="PO185" s="6">
        <f>COUNTIFS(Table142145[Country],Tabela1[[#This Row],[Country]],Table142145[Classification],"&gt;0")</f>
        <v>0</v>
      </c>
      <c r="PP185" s="6">
        <f>COUNTIFS(Tabela15[Country],Tabela1[[#This Row],[Country]],Tabela15[Mixed Team Classification],"&gt;0")</f>
        <v>0</v>
      </c>
      <c r="PQ185" s="6">
        <f>COUNTIFS(Table145[Country],Tabela1[[#This Row],[Country]],Table145[Large Hill Classification],"&gt;0")</f>
        <v>0</v>
      </c>
      <c r="PR185" s="6">
        <f>COUNTIFS(Table145[Country],Tabela1[[#This Row],[Country]],Table145[Normal Hill Classification],"&gt;0")</f>
        <v>0</v>
      </c>
      <c r="PS185" s="6">
        <f>COUNTIFS(Table145148[Country],Tabela1[[#This Row],[Country]],Table145148[Large Hill Classification],"&gt;0")</f>
        <v>0</v>
      </c>
      <c r="PT185" s="6">
        <f>COUNTIFS(Table145148[Country],Tabela1[[#This Row],[Country]],Table145148[Normal Hill Classification],"&gt;0")</f>
        <v>0</v>
      </c>
      <c r="PU185" s="6">
        <f>COUNTIFS(Table148[Country],Tabela1[[#This Row],[Country]],Table148[Men''s Super Team Classification],"&gt;0")</f>
        <v>0</v>
      </c>
      <c r="PV185" s="6">
        <f>COUNTIFS(Tabela114[Country],Tabela1[[#This Row],[Country]],Tabela114[Mixed Normal Hill Classification],"&gt;0")</f>
        <v>0</v>
      </c>
      <c r="PW185" s="6">
        <f>COUNTIFS(Tabela50[Country],Tabela1[[#This Row],[Country]],Tabela50[Sprint Classification],"&gt;0")</f>
        <v>0</v>
      </c>
      <c r="PX185" s="6">
        <f>COUNTIFS(Tabela50101[Country],Tabela1[[#This Row],[Country]],Tabela50101[Sprint Classification],"&gt;0")</f>
        <v>0</v>
      </c>
      <c r="PY185" s="6">
        <f>COUNTIFS(Tabela103[Country],Tabela1[[#This Row],[Country]],Tabela103[Mixed Relay Classification],"&gt;0")</f>
        <v>0</v>
      </c>
      <c r="PZ185" s="6">
        <f>COUNTIFS(Table149[Country],Tabela1[[#This Row],[Country]],Table149[Big Air Classification],"&gt;0")</f>
        <v>0</v>
      </c>
      <c r="QA185" s="6">
        <f>COUNTIFS(Table149152[Country],Tabela1[[#This Row],[Country]],Table149152[Big Air Classification],"&gt;0")</f>
        <v>0</v>
      </c>
      <c r="QB185" s="6">
        <f>COUNTIFS(Table149[Country],Tabela1[[#This Row],[Country]],Table149[Halfpipe Classification],"&gt;0")</f>
        <v>0</v>
      </c>
      <c r="QC185" s="6">
        <f>COUNTIFS(Table149152[Country],Tabela1[[#This Row],[Country]],Table149152[Halfpipe Classification],"&gt;0")</f>
        <v>0</v>
      </c>
      <c r="QD185" s="6">
        <f>COUNTIFS(Table149[Country],Tabela1[[#This Row],[Country]],Table149[Parallel Giant Slalom Classification],"&gt;0")</f>
        <v>0</v>
      </c>
      <c r="QE185" s="6">
        <f>COUNTIFS(Table149152[Country],Tabela1[[#This Row],[Country]],Table149152[Parallel Giant Slalom Classification],"&gt;0")</f>
        <v>0</v>
      </c>
      <c r="QF185" s="6">
        <f>COUNTIFS(Table149[Country],Tabela1[[#This Row],[Country]],Table149[Slopestyle Classification],"&gt;0")</f>
        <v>0</v>
      </c>
      <c r="QG185" s="6">
        <f>COUNTIFS(Table149152[Country],Tabela1[[#This Row],[Country]],Table149152[Slopestyle Classification],"&gt;0")</f>
        <v>0</v>
      </c>
      <c r="QH185" s="6">
        <f>COUNTIFS(Table149[Country],Tabela1[[#This Row],[Country]],Table149[Snowboard Cross Classification],"&gt;0")</f>
        <v>0</v>
      </c>
      <c r="QI185" s="6">
        <f>COUNTIFS(Table149152[Country],Tabela1[[#This Row],[Country]],Table149152[Snowboard Cross Classification],"&gt;0")</f>
        <v>0</v>
      </c>
      <c r="QJ185" s="6">
        <f>COUNTIFS(Table153[Country],Tabela1[[#This Row],[Country]],Table153[Mixed Team Snowboard Cross Classification],"&gt;0")</f>
        <v>0</v>
      </c>
      <c r="QK185" s="6">
        <f>COUNTIFS(Table154[Country],Tabela1[[#This Row],[Country]],Table154[500m Classification],"&gt;0")</f>
        <v>0</v>
      </c>
      <c r="QL185" s="6">
        <f>COUNTIFS(Table154157[Country],Tabela1[[#This Row],[Country]],Table154157[500m Classification],"&gt;0")</f>
        <v>0</v>
      </c>
      <c r="QM185" s="6">
        <f>COUNTIFS(Table154[Country],Tabela1[[#This Row],[Country]],Table154[1000m Classification],"&gt;0")</f>
        <v>0</v>
      </c>
      <c r="QN185" s="6">
        <f>COUNTIFS(Table154157[Country],Tabela1[[#This Row],[Country]],Table154157[1000m Classification],"&gt;0")</f>
        <v>0</v>
      </c>
      <c r="QO185" s="6">
        <f>COUNTIFS(Table154[Country],Tabela1[[#This Row],[Country]],Table154[1500m Classification],"&gt;0")</f>
        <v>0</v>
      </c>
      <c r="QP185" s="6">
        <f>COUNTIFS(Table154157[Country],Tabela1[[#This Row],[Country]],Table154157[1500m Classification],"&gt;0")</f>
        <v>0</v>
      </c>
      <c r="QQ185" s="6">
        <f>COUNTIFS(Table154157[Country],Tabela1[[#This Row],[Country]],Table154157[3000m Classification],"&gt;0")</f>
        <v>0</v>
      </c>
      <c r="QR185" s="6">
        <f>COUNTIFS(Table154[Country],Tabela1[[#This Row],[Country]],Table154[5000m Classification],"&gt;0")</f>
        <v>0</v>
      </c>
      <c r="QS185" s="6">
        <f>COUNTIFS(Table154157[Country],Tabela1[[#This Row],[Country]],Table154157[5000m Classification],"&gt;0")</f>
        <v>0</v>
      </c>
      <c r="QT185" s="6">
        <f>COUNTIFS(Table154[Country],Tabela1[[#This Row],[Country]],Table154[10000m Classification],"&gt;0")</f>
        <v>0</v>
      </c>
      <c r="QU185" s="6">
        <f>COUNTIFS(Table154[Country],Tabela1[[#This Row],[Country]],Table154[Mass Start Classification],"&gt;0")</f>
        <v>0</v>
      </c>
      <c r="QV185" s="6">
        <f>COUNTIFS(Table154157[Country],Tabela1[[#This Row],[Country]],Table154157[Mass Start Classification],"&gt;0")</f>
        <v>0</v>
      </c>
      <c r="QW185" s="6">
        <f>COUNTIFS(Table157[Country],Tabela1[[#This Row],[Country]],Table157[Men''s Pursuit Classification],"&gt;0")</f>
        <v>0</v>
      </c>
      <c r="QX185" s="6">
        <f>COUNTIFS(Table157[Country],Tabela1[[#This Row],[Country]],Table157[Women''s Pursuit Classification],"&gt;0")</f>
        <v>0</v>
      </c>
      <c r="QY185" s="4" t="s">
        <v>617</v>
      </c>
    </row>
    <row r="186" spans="1:467" x14ac:dyDescent="0.3">
      <c r="A186" s="6">
        <v>185</v>
      </c>
      <c r="B186" s="6" t="s">
        <v>624</v>
      </c>
      <c r="C186" t="e" vm="185">
        <f>IF(ISBLANK(Tabela1[[#This Row],[Image Link]]), "", _xlfn.IMAGE(Tabela1[[#This Row],[Image Link]],1,1))</f>
        <v>#VALUE!</v>
      </c>
      <c r="D186" s="6">
        <f>SUM(Tabela1[[#This Row],[Archery - Men''s Individual Recurve]:[Speed Skating - Women''s Team Pursuit]])</f>
        <v>0</v>
      </c>
      <c r="E186" s="6">
        <f>COUNTIF(Tabela1[[#This Row],[Archery - Men''s Individual Recurve]:[Speed Skating - Women''s Team Pursuit]],"&gt;0")</f>
        <v>0</v>
      </c>
      <c r="F186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86" s="6">
        <f>SUM(Tabela1[[#This Row],[Archery - Men''s Individual Recurve]:[Wrestling - Women''s Freestyle 76kg]])</f>
        <v>0</v>
      </c>
      <c r="H186" s="6">
        <f>SUM(Tabela1[[#This Row],[Alpine Skiing - Men''s Downhill]:[Speed Skating - Women''s Team Pursuit]])</f>
        <v>0</v>
      </c>
      <c r="I186" s="6">
        <f>Tabela1[[#This Row],[Summer Gold Medals]]+Tabela1[[#This Row],[Winter Gold Medals]]</f>
        <v>0</v>
      </c>
      <c r="J186" s="6">
        <f>Tabela1[[#This Row],[Summer Silver Medals]]+Tabela1[[#This Row],[Winter Silver Medals]]</f>
        <v>0</v>
      </c>
      <c r="K186" s="6">
        <f>Tabela1[[#This Row],[Summer Bronze Medals]]+Tabela1[[#This Row],[Winter Bronze Medals]]</f>
        <v>0</v>
      </c>
      <c r="L186" s="6">
        <f>SUM(Tabela1[[#This Row],[Total Gold Medals]:[Total Bronze Medals]])</f>
        <v>0</v>
      </c>
      <c r="M186" s="6"/>
      <c r="N186" s="6"/>
      <c r="O186" s="6"/>
      <c r="P186" s="6">
        <f>SUM(Tabela1[[#This Row],[Summer Gold Medals]:[Summer Bronze Medals]])</f>
        <v>0</v>
      </c>
      <c r="Q186" s="6"/>
      <c r="R186" s="6"/>
      <c r="S186" s="6"/>
      <c r="T186" s="6">
        <f>Tabela1[[#This Row],[Winter Gold Medals]]+Tabela1[[#This Row],[Winter Silver Medals]]+Tabela1[[#This Row],[Winter Bronze Medals]]</f>
        <v>0</v>
      </c>
      <c r="U186" s="7" t="e">
        <f>Tabela1[[#This Row],[Total Medals]]/Tabela1[[#This Row],[Total Quotas]]</f>
        <v>#DIV/0!</v>
      </c>
      <c r="V186" s="6">
        <f>COUNTIFS(Table3[Country],Tabela1[[#This Row],[Country]],Table3[Recurve Classification],"&gt;0")</f>
        <v>0</v>
      </c>
      <c r="W186" s="6">
        <f>COUNTIFS(Table33[Country],Tabela1[[#This Row],[Country]],Table33[Recurve Classification],"&gt;0")</f>
        <v>0</v>
      </c>
      <c r="X186" s="6">
        <f>COUNTIFS(Table35[Country],Tabela1[[#This Row],[Country]],Table35[Men''s Team Recurve Classification],"&gt;0")</f>
        <v>0</v>
      </c>
      <c r="Y186" s="6">
        <f>COUNTIFS(Table35[Country],Tabela1[[#This Row],[Country]],Table35[Women''s Team Recurve Classification],"&gt;0")</f>
        <v>0</v>
      </c>
      <c r="Z186" s="6">
        <f>COUNTIFS(Tabela88[Country],Tabela1[[#This Row],[Country]],Tabela88[Mixed Team Recurve Classification],"&gt;0")</f>
        <v>0</v>
      </c>
      <c r="AA186" s="6">
        <f>COUNTIFS(Table36[Country],Tabela1[[#This Row],[Country]],Table36[Classification],"&gt;0")</f>
        <v>0</v>
      </c>
      <c r="AB186" s="6">
        <f>COUNTIFS(Table37[Country],Tabela1[[#This Row],[Country]],Table37[Classification],"&gt;0")</f>
        <v>0</v>
      </c>
      <c r="AC186" s="6">
        <f>COUNTIFS(Table4[Country],Tabela1[[#This Row],[Country]],Table4[100m Classification],"&gt;0")</f>
        <v>0</v>
      </c>
      <c r="AD186" s="6">
        <f>COUNTIFS(Table5[Country],Tabela1[[#This Row],[Country]],Table5[100m Classification],"&gt;0")</f>
        <v>0</v>
      </c>
      <c r="AE186" s="6">
        <f>COUNTIFS(Table4[Country],Tabela1[[#This Row],[Country]],Table4[200m Classification],"&gt;0")</f>
        <v>0</v>
      </c>
      <c r="AF186" s="6">
        <f>COUNTIFS(Table5[Country],Tabela1[[#This Row],[Country]],Table5[200m Classification],"&gt;0")</f>
        <v>0</v>
      </c>
      <c r="AG186" s="6">
        <f>COUNTIFS(Table4[Country],Tabela1[[#This Row],[Country]],Table4[400m Classification],"&gt;0")</f>
        <v>0</v>
      </c>
      <c r="AH186" s="6">
        <f>COUNTIFS(Table5[Country],Tabela1[[#This Row],[Country]],Table5[400m Classification],"&gt;0")</f>
        <v>0</v>
      </c>
      <c r="AI186" s="6">
        <f>COUNTIFS(Table4[Country],Tabela1[[#This Row],[Country]],Table4[800m Classification],"&gt;0")</f>
        <v>0</v>
      </c>
      <c r="AJ186" s="6">
        <f>COUNTIFS(Table5[Country],Tabela1[[#This Row],[Country]],Table5[800m Classification],"&gt;0")</f>
        <v>0</v>
      </c>
      <c r="AK186" s="6">
        <f>COUNTIFS(Table4[Country],Tabela1[[#This Row],[Country]],Table4[1500m Classification],"&gt;0")</f>
        <v>0</v>
      </c>
      <c r="AL186" s="6">
        <f>COUNTIFS(Table5[Country],Tabela1[[#This Row],[Country]],Table5[1500m Classification],"&gt;0")</f>
        <v>0</v>
      </c>
      <c r="AM186" s="6">
        <f>COUNTIFS(Table4[Country],Tabela1[[#This Row],[Country]],Table4[5000m Classification],"&gt;0")</f>
        <v>0</v>
      </c>
      <c r="AN186" s="6">
        <f>COUNTIFS(Table5[Country],Tabela1[[#This Row],[Country]],Table5[5000m Classification],"&gt;0")</f>
        <v>0</v>
      </c>
      <c r="AO186" s="6">
        <f>COUNTIFS(Table4[Country],Tabela1[[#This Row],[Country]],Table4[10000m Classification],"&gt;0")</f>
        <v>0</v>
      </c>
      <c r="AP186" s="6">
        <f>COUNTIFS(Table5[Country],Tabela1[[#This Row],[Country]],Table5[10000m Classification],"&gt;0")</f>
        <v>0</v>
      </c>
      <c r="AQ186" s="6">
        <f>COUNTIFS(Table4[Country],Tabela1[[#This Row],[Country]],Table4[110m Hurdles Classification],"&gt;0")</f>
        <v>0</v>
      </c>
      <c r="AR186" s="6">
        <f>COUNTIFS(Table5[Country],Tabela1[[#This Row],[Country]],Table5[100m Hurdles Classification],"&gt;0")</f>
        <v>0</v>
      </c>
      <c r="AS186" s="6">
        <f>COUNTIFS(Table4[Country],Tabela1[[#This Row],[Country]],Table4[400m Hurdles Classification],"&gt;0")</f>
        <v>0</v>
      </c>
      <c r="AT186" s="6">
        <f>COUNTIFS(Table5[Country],Tabela1[[#This Row],[Country]],Table5[400m Hurdles Classification],"&gt;0")</f>
        <v>0</v>
      </c>
      <c r="AU186" s="6">
        <f>COUNTIFS(Table4[Country],Tabela1[[#This Row],[Country]],Table4[3000m Steeplechase Classification],"&gt;0")</f>
        <v>0</v>
      </c>
      <c r="AV186" s="6">
        <f>COUNTIFS(Table5[Country],Tabela1[[#This Row],[Country]],Table5[3000m Steeplechase Classification],"&gt;0")</f>
        <v>0</v>
      </c>
      <c r="AW186" s="6">
        <f>COUNTIFS(Table27[Country],Tabela1[[#This Row],[Country]],Table27[Men''s 4x100m Relay Classification],"&gt;0")</f>
        <v>0</v>
      </c>
      <c r="AX186" s="6">
        <f>COUNTIFS(Table27[Country],Tabela1[[#This Row],[Country]],Table27[Women''s 4x100m Relay Classification],"&gt;0")</f>
        <v>0</v>
      </c>
      <c r="AY186" s="6">
        <f>COUNTIFS(Table27[Country],Tabela1[[#This Row],[Country]],Table27[Men''s 4x400m Relay Classification],"&gt;0")</f>
        <v>0</v>
      </c>
      <c r="AZ186" s="6">
        <f>COUNTIFS(Table27[Country],Tabela1[[#This Row],[Country]],Table27[Women''s 4x400m Relay Classification],"&gt;0")</f>
        <v>0</v>
      </c>
      <c r="BA186" s="6">
        <f>COUNTIFS(Table27[Country],Tabela1[[#This Row],[Country]],Table27[Mixed 4x400m Relay Classification],"&gt;0")</f>
        <v>0</v>
      </c>
      <c r="BB186" s="6">
        <f>COUNTIFS(Table4[Country],Tabela1[[#This Row],[Country]],Table4[Marathon Classification],"&gt;0")</f>
        <v>0</v>
      </c>
      <c r="BC186" s="6">
        <f>COUNTIFS(Table5[Country],Tabela1[[#This Row],[Country]],Table5[Marathon Classification],"&gt;0")</f>
        <v>0</v>
      </c>
      <c r="BD186" s="6">
        <f>COUNTIFS(Table4[Country],Tabela1[[#This Row],[Country]],Table4[20km Race Walk Classification],"&gt;0")</f>
        <v>0</v>
      </c>
      <c r="BE186" s="6">
        <f>COUNTIFS(Table5[Country],Tabela1[[#This Row],[Country]],Table5[20km Race Walk Classification],"&gt;0")</f>
        <v>0</v>
      </c>
      <c r="BF186" s="6">
        <f>COUNTIFS(Tabela96[Country],Tabela1[[#This Row],[Country]],Tabela96[Mixed Marathon Race Walk Relay Classification],"&gt;0")</f>
        <v>0</v>
      </c>
      <c r="BG186" s="6">
        <f>COUNTIFS(Table4[Country],Tabela1[[#This Row],[Country]],Table4[Discus Throw Classification],"&gt;0")</f>
        <v>0</v>
      </c>
      <c r="BH186" s="6">
        <f>COUNTIFS(Table5[Country],Tabela1[[#This Row],[Country]],Table5[Discus Throw Classification],"&gt;0")</f>
        <v>0</v>
      </c>
      <c r="BI186" s="6">
        <f>COUNTIFS(Table4[Country],Tabela1[[#This Row],[Country]],Table4[Hammer Throw Classification],"&gt;0")</f>
        <v>0</v>
      </c>
      <c r="BJ186" s="6">
        <f>COUNTIFS(Table5[Country],Tabela1[[#This Row],[Country]],Table5[Hammer Throw Classification],"&gt;0")</f>
        <v>0</v>
      </c>
      <c r="BK186" s="6">
        <f>COUNTIFS(Table4[Country],Tabela1[[#This Row],[Country]],Table4[High Jump Classification],"&gt;0")</f>
        <v>0</v>
      </c>
      <c r="BL186" s="6">
        <f>COUNTIFS(Table5[Country],Tabela1[[#This Row],[Country]],Table5[High Jump Classification],"&gt;0")</f>
        <v>0</v>
      </c>
      <c r="BM186" s="6">
        <f>COUNTIFS(Table4[Country],Tabela1[[#This Row],[Country]],Table4[Javelin Throw Classification],"&gt;0")</f>
        <v>0</v>
      </c>
      <c r="BN186" s="6">
        <f>COUNTIFS(Table5[Country],Tabela1[[#This Row],[Country]],Table5[Javelin Throw Classification],"&gt;0")</f>
        <v>0</v>
      </c>
      <c r="BO186" s="6">
        <f>COUNTIFS(Table4[Country],Tabela1[[#This Row],[Country]],Table4[Long Jump Classification],"&gt;0")</f>
        <v>0</v>
      </c>
      <c r="BP186" s="6">
        <f>COUNTIFS(Table5[Country],Tabela1[[#This Row],[Country]],Table5[Long Jump Classification],"&gt;0")</f>
        <v>0</v>
      </c>
      <c r="BQ186" s="6">
        <f>COUNTIFS(Table4[Country],Tabela1[[#This Row],[Country]],Table4[Pole Vault Classification],"&gt;0")</f>
        <v>0</v>
      </c>
      <c r="BR186" s="6">
        <f>COUNTIFS(Table5[Country],Tabela1[[#This Row],[Country]],Table5[Pole Vault Classification],"&gt;0")</f>
        <v>0</v>
      </c>
      <c r="BS186" s="6">
        <f>COUNTIFS(Table4[Country],Tabela1[[#This Row],[Country]],Table4[Shot Put Classification],"&gt;0")</f>
        <v>0</v>
      </c>
      <c r="BT186" s="6">
        <f>COUNTIFS(Table5[Country],Tabela1[[#This Row],[Country]],Table5[Shot Put Classification],"&gt;0")</f>
        <v>0</v>
      </c>
      <c r="BU186" s="6">
        <f>COUNTIFS(Table4[Country],Tabela1[[#This Row],[Country]],Table4[Triple Jump Classification],"&gt;0")</f>
        <v>0</v>
      </c>
      <c r="BV186" s="6">
        <f>COUNTIFS(Table5[Country],Tabela1[[#This Row],[Country]],Table5[Triple Jump Classification],"&gt;0")</f>
        <v>0</v>
      </c>
      <c r="BW186" s="6">
        <f>COUNTIFS(Table4[Country],Tabela1[[#This Row],[Country]],Table4[Decathlon Classification],"&gt;0")</f>
        <v>0</v>
      </c>
      <c r="BX186" s="6">
        <f>COUNTIFS(Table5[Country],Tabela1[[#This Row],[Country]],Table5[Heptathlon Classification],"&gt;0")</f>
        <v>0</v>
      </c>
      <c r="BY186" s="6">
        <f>COUNTIFS(Table61[Country],Tabela1[[#This Row],[Country]],Table61[Classification],"&gt;0")</f>
        <v>0</v>
      </c>
      <c r="BZ186" s="6">
        <f>COUNTIFS(Table38[Country],Tabela1[[#This Row],[Country]],Table38[Classification],"&gt;0")</f>
        <v>0</v>
      </c>
      <c r="CA186" s="6">
        <f>COUNTIFS(Table39[Country],Tabela1[[#This Row],[Country]],Table39[Men''s Classification],"&gt;0")</f>
        <v>0</v>
      </c>
      <c r="CB186" s="6">
        <f>COUNTIFS(Table39[Country],Tabela1[[#This Row],[Country]],Table39[Women''s Classification],"&gt;0")</f>
        <v>0</v>
      </c>
      <c r="CC186" s="6">
        <f>COUNTIFS(Table39[Country],Tabela1[[#This Row],[Country]],Table39[Mixed Classification],"&gt;0")</f>
        <v>0</v>
      </c>
      <c r="CD186" s="6">
        <f>COUNTIFS(Table89[Country],Tabela1[[#This Row],[Country]],Table89[Men''s Classification],"&gt;0")</f>
        <v>0</v>
      </c>
      <c r="CE186" s="6">
        <f>COUNTIFS(Table89[Country],Tabela1[[#This Row],[Country]],Table89[Women''s Classification],"&gt;0")</f>
        <v>0</v>
      </c>
      <c r="CF186" s="6">
        <f>COUNTIFS(Table90[Country],Tabela1[[#This Row],[Country]],Table90[Men''s Classification],"&gt;0")</f>
        <v>0</v>
      </c>
      <c r="CG186" s="6">
        <f>COUNTIFS(Table90[Country],Tabela1[[#This Row],[Country]],Table90[Women''s Classification],"&gt;0")</f>
        <v>0</v>
      </c>
      <c r="CH186" s="6">
        <f>COUNTIFS(Table60[Country],Tabela1[[#This Row],[Country]],Table60[Men''s Classification],"&gt;0")</f>
        <v>0</v>
      </c>
      <c r="CI186" s="6">
        <f>COUNTIFS(Table60[Country],Tabela1[[#This Row],[Country]],Table60[Women''s Classification],"&gt;0")</f>
        <v>0</v>
      </c>
      <c r="CJ186" s="6">
        <f>COUNTIFS(Table6[Country],Tabela1[[#This Row],[Country]],Table6[51kg Classification],"&gt;0")</f>
        <v>0</v>
      </c>
      <c r="CK186" s="6">
        <f>COUNTIFS(Table6[Country],Tabela1[[#This Row],[Country]],Table6[57kg Classification],"&gt;0")</f>
        <v>0</v>
      </c>
      <c r="CL186" s="6">
        <f>COUNTIFS(Table6[Country],Tabela1[[#This Row],[Country]],Table6[63.5kg Classification],"&gt;0")</f>
        <v>0</v>
      </c>
      <c r="CM186" s="6">
        <f>COUNTIFS(Table6[Country],Tabela1[[#This Row],[Country]],Table6[71kg Classification],"&gt;0")</f>
        <v>0</v>
      </c>
      <c r="CN186" s="6">
        <f>COUNTIFS(Table6[Country],Tabela1[[#This Row],[Country]],Table6[80kg Classification],"&gt;0")</f>
        <v>0</v>
      </c>
      <c r="CO186" s="6">
        <f>COUNTIFS(Table6[Country],Tabela1[[#This Row],[Country]],Table6[92kg Classification],"&gt;0")</f>
        <v>0</v>
      </c>
      <c r="CP186" s="6">
        <f>COUNTIFS(Table6[Country],Tabela1[[#This Row],[Country]],Table6[Plus 92kg Classification],"&gt;0")</f>
        <v>0</v>
      </c>
      <c r="CQ186" s="6">
        <f>COUNTIFS(Table7[Country],Tabela1[[#This Row],[Country]],Table7[50kg Classification],"&gt;0")</f>
        <v>0</v>
      </c>
      <c r="CR186" s="6">
        <f>COUNTIFS(Table7[Country],Tabela1[[#This Row],[Country]],Table7[54kg Classification],"&gt;0")</f>
        <v>0</v>
      </c>
      <c r="CS186" s="6">
        <f>COUNTIFS(Table7[Country],Tabela1[[#This Row],[Country]],Table7[57kg Classification],"&gt;0")</f>
        <v>0</v>
      </c>
      <c r="CT186" s="6">
        <f>COUNTIFS(Table7[Country],Tabela1[[#This Row],[Country]],Table7[60kg Classification],"&gt;0")</f>
        <v>0</v>
      </c>
      <c r="CU186" s="6">
        <f>COUNTIFS(Table7[Country],Tabela1[[#This Row],[Country]],Table7[66kg Classification],"&gt;0")</f>
        <v>0</v>
      </c>
      <c r="CV186" s="6">
        <f>COUNTIFS(Table7[Country],Tabela1[[#This Row],[Country]],Table7[75kg Classification],"&gt;0")</f>
        <v>0</v>
      </c>
      <c r="CW186" s="6">
        <f>COUNTIFS(Tabela94[Country],Tabela1[[#This Row],[Country]],Tabela94[Classification],"&gt;0")</f>
        <v>0</v>
      </c>
      <c r="CX186" s="6">
        <f>COUNTIFS(Tabela9499[Country],Tabela1[[#This Row],[Country]],Tabela9499[Classification],"&gt;0")</f>
        <v>0</v>
      </c>
      <c r="CY186" s="6">
        <f>COUNTIFS(Tabela107[Country],Tabela1[[#This Row],[Country]],Tabela107[C1 Slalom Classification],"&gt;0")</f>
        <v>0</v>
      </c>
      <c r="CZ186" s="6">
        <f>COUNTIFS(Tabela107122[Country],Tabela1[[#This Row],[Country]],Tabela107122[C1 Slalom Classification],"&gt;0")</f>
        <v>0</v>
      </c>
      <c r="DA186" s="6">
        <f>COUNTIFS(Tabela107[Country],Tabela1[[#This Row],[Country]],Tabela107[K1 Slalom Classification],"&gt;0")</f>
        <v>0</v>
      </c>
      <c r="DB186" s="6">
        <f>COUNTIFS(Tabela107122[Country],Tabela1[[#This Row],[Country]],Tabela107122[K1 Slalom Classification],"&gt;0")</f>
        <v>0</v>
      </c>
      <c r="DC186" s="6">
        <f>COUNTIFS(Tabela107[Country],Tabela1[[#This Row],[Country]],Tabela107[Kayak Cross Slalom Classification],"&gt;0")</f>
        <v>0</v>
      </c>
      <c r="DD186" s="6">
        <f>COUNTIFS(Tabela107122[Country],Tabela1[[#This Row],[Country]],Tabela107122[Kayak Cross Slalom Classification],"&gt;0")</f>
        <v>0</v>
      </c>
      <c r="DE186" s="6">
        <f>COUNTIFS(Table8[Country],Tabela1[[#This Row],[Country]],Table8[C1 200m Classification],"&gt;0")</f>
        <v>0</v>
      </c>
      <c r="DF186" s="6">
        <f>COUNTIFS(Table40[Country],Tabela1[[#This Row],[Country]],Table40[C1 1000m Classification],"&gt;0")</f>
        <v>0</v>
      </c>
      <c r="DG186" s="6">
        <f>COUNTIFS(Table68[Country],Tabela1[[#This Row],[Country]],Table68[Men''s C2 500m Classification],"&gt;0")</f>
        <v>0</v>
      </c>
      <c r="DH186" s="6">
        <f>COUNTIFS(Table68[Country],Tabela1[[#This Row],[Country]],Table68[Women''s C2 500m Classification],"&gt;0")</f>
        <v>0</v>
      </c>
      <c r="DI186" s="6">
        <f>COUNTIFS(Table8[Country],Tabela1[[#This Row],[Country]],Table8[K1 500m Classification],"&gt;0")</f>
        <v>0</v>
      </c>
      <c r="DJ186" s="6">
        <f>COUNTIFS(Table40[Country],Tabela1[[#This Row],[Country]],Table40[K1 1000m Classification],"&gt;0")</f>
        <v>0</v>
      </c>
      <c r="DK186" s="6">
        <f>COUNTIFS(Table68[Country],Tabela1[[#This Row],[Country]],Table68[Men''s K2 500m Classification],"&gt;0")</f>
        <v>0</v>
      </c>
      <c r="DL186" s="6">
        <f>COUNTIFS(Table68[Country],Tabela1[[#This Row],[Country]],Table68[Women''s K2 500m Classification],"&gt;0")</f>
        <v>0</v>
      </c>
      <c r="DM186" s="6">
        <f>COUNTIFS(Table83[Country],Tabela1[[#This Row],[Country]],Table83[Men''s K4 500m Classification],"&gt;0")</f>
        <v>0</v>
      </c>
      <c r="DN186" s="6">
        <f>COUNTIFS(Table83[Country],Tabela1[[#This Row],[Country]],Table83[Women''s K4 500m Classification],"&gt;0")</f>
        <v>0</v>
      </c>
      <c r="DO186" s="6">
        <f>COUNTIFS(Tabela126[Country],Tabela1[[#This Row],[Country]],Tabela126[Classification],"&gt;0")</f>
        <v>0</v>
      </c>
      <c r="DP186" s="6">
        <f>COUNTIFS(Tabela126130[Country],Tabela1[[#This Row],[Country]],Tabela126130[Classification],"&gt;0")</f>
        <v>0</v>
      </c>
      <c r="DQ186" s="6">
        <f>COUNTIFS(Table70[Country],Tabela1[[#This Row],[Country]],Table70[Classification],"&gt;0")</f>
        <v>0</v>
      </c>
      <c r="DR186" s="6">
        <f>COUNTIFS(Table80[Country],Tabela1[[#This Row],[Country]],Table80[Classification],"&gt;0")</f>
        <v>0</v>
      </c>
      <c r="DS186" s="6">
        <f>COUNTIFS(Table66[Country],Tabela1[[#This Row],[Country]],Table66[Classification],"&gt;0")</f>
        <v>0</v>
      </c>
      <c r="DT186" s="6">
        <f>COUNTIFS(Table67[Country],Tabela1[[#This Row],[Country]],Table67[Classification],"&gt;0")</f>
        <v>0</v>
      </c>
      <c r="DU186" s="6">
        <f>COUNTIFS(Table69[Country],Tabela1[[#This Row],[Country]],Table69[Keirin Classification],"&gt;0")</f>
        <v>0</v>
      </c>
      <c r="DV186" s="6">
        <f>COUNTIFS(Table41[Country],Tabela1[[#This Row],[Country]],Table41[Keirin Classification],"&gt;0")</f>
        <v>0</v>
      </c>
      <c r="DW186" s="6">
        <f>COUNTIFS(Table84[Country],Tabela1[[#This Row],[Country]],Table84[Men''s Madison Classification],"&gt;0")</f>
        <v>0</v>
      </c>
      <c r="DX186" s="6">
        <f>COUNTIFS(Table84[Country],Tabela1[[#This Row],[Country]],Table84[Women''s Madison Classification],"&gt;0")</f>
        <v>0</v>
      </c>
      <c r="DY186" s="6">
        <f>COUNTIFS(Table69[Country],Tabela1[[#This Row],[Country]],Table69[Omnium Classification],"&gt;0")</f>
        <v>0</v>
      </c>
      <c r="DZ186" s="6">
        <f>COUNTIFS(Table41[Country],Tabela1[[#This Row],[Country]],Table41[Omnium Classification],"&gt;0")</f>
        <v>0</v>
      </c>
      <c r="EA186" s="6">
        <f>COUNTIFS(Table9[Country],Tabela1[[#This Row],[Country]],Table9[Road Race Classification],"&gt;0")</f>
        <v>0</v>
      </c>
      <c r="EB186" s="6">
        <f>COUNTIFS(Table14[Country],Tabela1[[#This Row],[Country]],Table14[Road Race Classification],"&gt;0")</f>
        <v>0</v>
      </c>
      <c r="EC186" s="6">
        <f>COUNTIFS(Table69[Country],Tabela1[[#This Row],[Country]],Table69[Sprint Classification],"&gt;0")</f>
        <v>0</v>
      </c>
      <c r="ED186" s="6">
        <f>COUNTIFS(Table41[Country],Tabela1[[#This Row],[Country]],Table41[Sprint Classification],"&gt;0")</f>
        <v>0</v>
      </c>
      <c r="EE186" s="6">
        <f>COUNTIFS(Table85[Country],Tabela1[[#This Row],[Country]],Table85[Men''s Sprint Classification],"&gt;0")</f>
        <v>0</v>
      </c>
      <c r="EF186" s="6">
        <f>COUNTIFS(Table85[Country],Tabela1[[#This Row],[Country]],Table85[Women''s Sprint Classification],"&gt;0")</f>
        <v>0</v>
      </c>
      <c r="EG186" s="6">
        <f>COUNTIFS(Table85[Country],Tabela1[[#This Row],[Country]],Table85[Men''s Pursuit Classification],"&gt;0")</f>
        <v>0</v>
      </c>
      <c r="EH186" s="6">
        <f>COUNTIFS(Table85[Country],Tabela1[[#This Row],[Country]],Table85[Women''s Pursuit Classification],"&gt;0")</f>
        <v>0</v>
      </c>
      <c r="EI186" s="6">
        <f>COUNTIFS(Table9[Country],Tabela1[[#This Row],[Country]],Table9[Time-Trial Classification],"&gt;0")</f>
        <v>0</v>
      </c>
      <c r="EJ186" s="6">
        <f>COUNTIFS(Table14[Country],Tabela1[[#This Row],[Country]],Table14[Time-Trial Classification],"&gt;0")</f>
        <v>0</v>
      </c>
      <c r="EK186" s="6">
        <f>COUNTIFS(Table42[Country],Tabela1[[#This Row],[Country]],Table42[Springboard Classification],"&gt;0")</f>
        <v>0</v>
      </c>
      <c r="EL186" s="6">
        <f>COUNTIFS(Table43[Country],Tabela1[[#This Row],[Country]],Table43[Springboard Classification],"&gt;0")</f>
        <v>0</v>
      </c>
      <c r="EM186" s="6">
        <f>COUNTIFS(Table42[Country],Tabela1[[#This Row],[Country]],Table42[Platform Classification],"&gt;0")</f>
        <v>0</v>
      </c>
      <c r="EN186" s="6">
        <f>COUNTIFS(Table43[Country],Tabela1[[#This Row],[Country]],Table43[Platform Classification],"&gt;0")</f>
        <v>0</v>
      </c>
      <c r="EO186" s="6">
        <f>COUNTIFS(Table86[Country],Tabela1[[#This Row],[Country]],Table86[Men''s Synchronized Springboard Classification],"&gt;0")</f>
        <v>0</v>
      </c>
      <c r="EP186" s="6">
        <f>COUNTIFS(Table86[Country],Tabela1[[#This Row],[Country]],Table86[Women''s Synchronized Springboard Classification],"&gt;0")</f>
        <v>0</v>
      </c>
      <c r="EQ186" s="6">
        <f>COUNTIFS(Table86[Country],Tabela1[[#This Row],[Country]],Table86[Men''s Synchronized Platform Classification],"&gt;0")</f>
        <v>0</v>
      </c>
      <c r="ER186" s="6">
        <f>COUNTIFS(Table86[Country],Tabela1[[#This Row],[Country]],Table86[Women''s Synchronized Platform Classification],"&gt;0")</f>
        <v>0</v>
      </c>
      <c r="ES186" s="6">
        <f>COUNTIFS(Table44[Country],Tabela1[[#This Row],[Country]],Table44[Dressage Classification],"&gt;0")</f>
        <v>0</v>
      </c>
      <c r="ET186" s="6">
        <f>COUNTIFS(Table45[Country],Tabela1[[#This Row],[Country]],Table45[Dressage Classification],"&gt;0")</f>
        <v>0</v>
      </c>
      <c r="EU186" s="6">
        <f>COUNTIFS(Table44[Country],Tabela1[[#This Row],[Country]],Table44[Eventing Classification],"&gt;0")</f>
        <v>0</v>
      </c>
      <c r="EV186" s="6">
        <f>COUNTIFS(Table45[Country],Tabela1[[#This Row],[Country]],Table45[Eventing Classification],"&gt;0")</f>
        <v>0</v>
      </c>
      <c r="EW186" s="6">
        <f>COUNTIFS(Table44[Country],Tabela1[[#This Row],[Country]],Table44[Jumping Classification],"&gt;0")</f>
        <v>0</v>
      </c>
      <c r="EX186" s="6">
        <f>COUNTIFS(Table45[Country],Tabela1[[#This Row],[Country]],Table45[Jumping Classification],"&gt;0")</f>
        <v>0</v>
      </c>
      <c r="EY186" s="6">
        <f>COUNTIFS(Table10[Country],Tabela1[[#This Row],[Country]],Table10[Épée Classification],"&gt;0")</f>
        <v>0</v>
      </c>
      <c r="EZ186" s="6">
        <f>COUNTIFS(Table11[Country],Tabela1[[#This Row],[Country]],Table11[Épée Classification],"&gt;0")</f>
        <v>0</v>
      </c>
      <c r="FA186" s="6">
        <f>COUNTIFS(Table46[Country],Tabela1[[#This Row],[Country]],Table46[Men''s Épée Classification],"&gt;0")</f>
        <v>0</v>
      </c>
      <c r="FB186" s="6">
        <f>COUNTIFS(Table46[Country],Tabela1[[#This Row],[Country]],Table46[Women''s Épée Classification],"&gt;0")</f>
        <v>0</v>
      </c>
      <c r="FC186" s="6">
        <f>COUNTIFS(Table10[Country],Tabela1[[#This Row],[Country]],Table10[Foil Classification],"&gt;0")</f>
        <v>0</v>
      </c>
      <c r="FD186" s="6">
        <f>COUNTIFS(Table11[Country],Tabela1[[#This Row],[Country]],Table11[Foil Classification],"&gt;0")</f>
        <v>0</v>
      </c>
      <c r="FE186" s="6">
        <f>COUNTIFS(Table46[Country],Tabela1[[#This Row],[Country]],Table46[Men''s Foil Classification],"&gt;0")</f>
        <v>0</v>
      </c>
      <c r="FF186" s="6">
        <f>COUNTIFS(Table46[Country],Tabela1[[#This Row],[Country]],Table46[Women''s Foil Classification],"&gt;0")</f>
        <v>0</v>
      </c>
      <c r="FG186" s="6">
        <f>COUNTIFS(Table10[Country],Tabela1[[#This Row],[Country]],Table10[Sabre Classification],"&gt;0")</f>
        <v>0</v>
      </c>
      <c r="FH186" s="6">
        <f>COUNTIFS(Table11[Country],Tabela1[[#This Row],[Country]],Table11[Sabre Classification],"&gt;0")</f>
        <v>0</v>
      </c>
      <c r="FI186" s="6">
        <f>COUNTIFS(Table46[Country],Tabela1[[#This Row],[Country]],Table46[Men''s Sabre Classification],"&gt;0")</f>
        <v>0</v>
      </c>
      <c r="FJ186" s="6">
        <f>COUNTIFS(Table46[Country],Tabela1[[#This Row],[Country]],Table46[Women''s Sabre Classification],"&gt;0")</f>
        <v>0</v>
      </c>
      <c r="FK186" s="6">
        <f>COUNTIFS(Table91[Country],Tabela1[[#This Row],[Country]],Table91[Men''s Classification],"&gt;0")</f>
        <v>0</v>
      </c>
      <c r="FL186" s="6">
        <f>COUNTIFS(Table91[Country],Tabela1[[#This Row],[Country]],Table91[Women''s Classification],"&gt;0")</f>
        <v>0</v>
      </c>
      <c r="FM186" s="6">
        <f>COUNTIFS(Table9194[Country],Tabela1[[#This Row],[Country]],Table9194[Men''s Classification],"&gt;0")</f>
        <v>0</v>
      </c>
      <c r="FN186" s="6">
        <f>COUNTIFS(Table9194[Country],Tabela1[[#This Row],[Country]],Table9194[Women''s Classification],"&gt;0")</f>
        <v>0</v>
      </c>
      <c r="FO186" s="6">
        <f>COUNTIFS(Table71[Country],Tabela1[[#This Row],[Country]],Table71[Classification],"&gt;0")</f>
        <v>0</v>
      </c>
      <c r="FP186" s="6">
        <f>COUNTIFS(Table62[Country],Tabela1[[#This Row],[Country]],Table62[Classification],"&gt;0")</f>
        <v>0</v>
      </c>
      <c r="FQ186" s="6">
        <f>COUNTIFS(Table47[Country],Tabela1[[#This Row],[Country]],Table47[All-Around Classification],"&gt;0")</f>
        <v>0</v>
      </c>
      <c r="FR186" s="6">
        <f>COUNTIFS(Table48[Country],Tabela1[[#This Row],[Country]],Table48[All-Around Classification],"&gt;0")</f>
        <v>0</v>
      </c>
      <c r="FS186" s="6">
        <f>COUNTIFS(Table81[Country],Tabela1[[#This Row],[Country]],Table81[Men''s All-Around Classification],"&gt;0")</f>
        <v>0</v>
      </c>
      <c r="FT186" s="6">
        <f>COUNTIFS(Table81[Country],Tabela1[[#This Row],[Country]],Table81[Women''s All-Around Classification],"&gt;0")</f>
        <v>0</v>
      </c>
      <c r="FU186" s="6">
        <f>COUNTIFS(Table48[Country],Tabela1[[#This Row],[Country]],Table48[Balance Beam Classification],"&gt;0")</f>
        <v>0</v>
      </c>
      <c r="FV186" s="6">
        <f>COUNTIFS(Table47[Country],Tabela1[[#This Row],[Country]],Table47[Floor Exercise Classification],"&gt;0")</f>
        <v>0</v>
      </c>
      <c r="FW186" s="6">
        <f>COUNTIFS(Table48[Country],Tabela1[[#This Row],[Country]],Table48[Floor Exercise Classification],"&gt;0")</f>
        <v>0</v>
      </c>
      <c r="FX186" s="6">
        <f>COUNTIFS(Table47[Country],Tabela1[[#This Row],[Country]],Table47[Horizontal Bar Classification],"&gt;0")</f>
        <v>0</v>
      </c>
      <c r="FY186" s="6">
        <f>COUNTIFS(Table47[Country],Tabela1[[#This Row],[Country]],Table47[Parallel Bars Classification],"&gt;0")</f>
        <v>0</v>
      </c>
      <c r="FZ186" s="6">
        <f>COUNTIFS(Table47[Country],Tabela1[[#This Row],[Country]],Table47[Pommel Horse Classification],"&gt;0")</f>
        <v>0</v>
      </c>
      <c r="GA186" s="6">
        <f>COUNTIFS(Table47[Country],Tabela1[[#This Row],[Country]],Table47[Rings Classification],"&gt;0")</f>
        <v>0</v>
      </c>
      <c r="GB186" s="6">
        <f>COUNTIFS(Tabela132[Country],Tabela1[[#This Row],[Country]],Tabela132[Classification],"&gt;0")</f>
        <v>0</v>
      </c>
      <c r="GC186" s="6">
        <f>COUNTIFS(Tabela139[Country],Tabela1[[#This Row],[Country]],Tabela139[Classification],"&gt;0")</f>
        <v>0</v>
      </c>
      <c r="GD186" s="6">
        <f>COUNTIFS(Table48[Country],Tabela1[[#This Row],[Country]],Table48[Uneven Bars Classification],"&gt;0")</f>
        <v>0</v>
      </c>
      <c r="GE186" s="6">
        <f>COUNTIFS(Table47[Country],Tabela1[[#This Row],[Country]],Table47[Vault Classification],"&gt;0")</f>
        <v>0</v>
      </c>
      <c r="GF186" s="6">
        <f>COUNTIFS(Table48[Country],Tabela1[[#This Row],[Country]],Table48[Vault Classification],"&gt;0")</f>
        <v>0</v>
      </c>
      <c r="GG186" s="6">
        <f>COUNTIFS(Table919496[Country],Tabela1[[#This Row],[Country]],Table919496[Men''s Classification],"&gt;0")</f>
        <v>0</v>
      </c>
      <c r="GH186" s="6">
        <f>COUNTIFS(Table919496[Country],Tabela1[[#This Row],[Country]],Table919496[Women''s Classification],"&gt;0")</f>
        <v>0</v>
      </c>
      <c r="GI186" s="6">
        <f>COUNTIFS(Table12[Country],Tabela1[[#This Row],[Country]],Table12[60kg Classification],"&gt;0")</f>
        <v>0</v>
      </c>
      <c r="GJ186" s="6">
        <f>COUNTIFS(Table12[Country],Tabela1[[#This Row],[Country]],Table12[66kg Classification],"&gt;0")</f>
        <v>0</v>
      </c>
      <c r="GK186" s="6">
        <f>COUNTIFS(Table12[Country],Tabela1[[#This Row],[Country]],Table12[73kg Classification],"&gt;0")</f>
        <v>0</v>
      </c>
      <c r="GL186" s="6">
        <f>COUNTIFS(Table12[Country],Tabela1[[#This Row],[Country]],Table12[81kg Classification],"&gt;0")</f>
        <v>0</v>
      </c>
      <c r="GM186" s="6">
        <f>COUNTIFS(Table12[Country],Tabela1[[#This Row],[Country]],Table12[90kg Classification],"&gt;0")</f>
        <v>0</v>
      </c>
      <c r="GN186" s="6">
        <f>COUNTIFS(Table12[Country],Tabela1[[#This Row],[Country]],Table12[100kg Classification],"&gt;0")</f>
        <v>0</v>
      </c>
      <c r="GO186" s="6">
        <f>COUNTIFS(Table12[Country],Tabela1[[#This Row],[Country]],Table12[Plus 100kg Classification],"&gt;0")</f>
        <v>0</v>
      </c>
      <c r="GP186" s="6">
        <f>COUNTIFS(Table13[Country],Tabela1[[#This Row],[Country]],Table13[48kg Classification],"&gt;0")</f>
        <v>0</v>
      </c>
      <c r="GQ186" s="6">
        <f>COUNTIFS(Table13[Country],Tabela1[[#This Row],[Country]],Table13[52kg Classification],"&gt;0")</f>
        <v>0</v>
      </c>
      <c r="GR186" s="6">
        <f>COUNTIFS(Table13[Country],Tabela1[[#This Row],[Country]],Table13[57kg Classification],"&gt;0")</f>
        <v>0</v>
      </c>
      <c r="GS186" s="6">
        <f>COUNTIFS(Table13[Country],Tabela1[[#This Row],[Country]],Table13[63kg Classification],"&gt;0")</f>
        <v>0</v>
      </c>
      <c r="GT186" s="6">
        <f>COUNTIFS(Table13[Country],Tabela1[[#This Row],[Country]],Table13[70kg Classification],"&gt;0")</f>
        <v>0</v>
      </c>
      <c r="GU186" s="6">
        <f>COUNTIFS(Table13[Country],Tabela1[[#This Row],[Country]],Table13[78kg Classification],"&gt;0")</f>
        <v>0</v>
      </c>
      <c r="GV186" s="6">
        <f>COUNTIFS(Table13[Country],Tabela1[[#This Row],[Country]],Table13[Plus 78kg Classification],"&gt;0")</f>
        <v>0</v>
      </c>
      <c r="GW186" s="6">
        <f>COUNTIFS(Table82[Country],Tabela1[[#This Row],[Country]],Table82[Mixed Classification],"&gt;0")</f>
        <v>0</v>
      </c>
      <c r="GX186" s="6">
        <f>COUNTIFS(Table51[Country],Tabela1[[#This Row],[Country]],Table51[Classification],"&gt;0")</f>
        <v>0</v>
      </c>
      <c r="GY186" s="6">
        <f>COUNTIFS(Table52[Country],Tabela1[[#This Row],[Country]],Table52[Classification],"&gt;0")</f>
        <v>0</v>
      </c>
      <c r="GZ186" s="6">
        <f>COUNTIFS(Table32[Country],Tabela1[[#This Row],[Country]],Table32[All-Around Classification],"&gt;0")</f>
        <v>0</v>
      </c>
      <c r="HA186" s="6">
        <f>COUNTIFS(Table49[Country],Tabela1[[#This Row],[Country]],Table49[All-Around Classification],"&gt;0")</f>
        <v>0</v>
      </c>
      <c r="HB186" s="6">
        <f>COUNTIFS(Table26[Country],Tabela1[[#This Row],[Country]],Table26[Single Sculls Classification],"&gt;0")</f>
        <v>0</v>
      </c>
      <c r="HC186" s="6">
        <f>COUNTIFS(Table63[Country],Tabela1[[#This Row],[Country]],Table63[Single Sculls Classification],"&gt;0")</f>
        <v>0</v>
      </c>
      <c r="HD186" s="6">
        <f>COUNTIFS(Table16[Country],Tabela1[[#This Row],[Country]],Table16[Men''s Double Sculls Classification],"&gt;0")</f>
        <v>0</v>
      </c>
      <c r="HE186" s="6">
        <f>COUNTIFS(Table16[Country],Tabela1[[#This Row],[Country]],Table16[Women''s Double Sculls Classification],"&gt;0")</f>
        <v>0</v>
      </c>
      <c r="HF186" s="6">
        <f>COUNTIFS(Table72[Country],Tabela1[[#This Row],[Country]],Table72[Men''s Quadruple Sculls Classification],"&gt;0")</f>
        <v>0</v>
      </c>
      <c r="HG186" s="6">
        <f>COUNTIFS(Table72[Country],Tabela1[[#This Row],[Country]],Table72[Women''s Quadruple Sculls Classification],"&gt;0")</f>
        <v>0</v>
      </c>
      <c r="HH186" s="6">
        <f>COUNTIFS(Table16[Country],Tabela1[[#This Row],[Country]],Table16[Men''s Coxless Pairs Classification],"&gt;0")</f>
        <v>0</v>
      </c>
      <c r="HI186" s="6">
        <f>COUNTIFS(Table16[Country],Tabela1[[#This Row],[Country]],Table16[Women''s Coxless Pairs Classification],"&gt;0")</f>
        <v>0</v>
      </c>
      <c r="HJ186" s="6">
        <f>COUNTIFS(Table72[Country],Tabela1[[#This Row],[Country]],Table72[Men''s Coxless Fours Classification],"&gt;0")</f>
        <v>0</v>
      </c>
      <c r="HK186" s="6">
        <f>COUNTIFS(Table72[Country],Tabela1[[#This Row],[Country]],Table72[Women''s Coxless Fours Classification],"&gt;0")</f>
        <v>0</v>
      </c>
      <c r="HL186" s="6">
        <f>COUNTIFS(Table72[Country],Tabela1[[#This Row],[Country]],Table72[Men''s Eights Classification],"&gt;0")</f>
        <v>0</v>
      </c>
      <c r="HM186" s="6">
        <f>COUNTIFS(Table72[Country],Tabela1[[#This Row],[Country]],Table72[Women''s Eights Classification],"&gt;0")</f>
        <v>0</v>
      </c>
      <c r="HN186" s="6">
        <f>COUNTIFS(Table16[Country],Tabela1[[#This Row],[Country]],Table16[Men''s Lwt. Double Sculls Classification],"&gt;0")</f>
        <v>0</v>
      </c>
      <c r="HO186" s="6">
        <f>COUNTIFS(Table16[Country],Tabela1[[#This Row],[Country]],Table16[Women''s Lwt. Double Sculls Classification],"&gt;0")</f>
        <v>0</v>
      </c>
      <c r="HP186" s="6">
        <f>COUNTIFS(Table91949698[Country],Tabela1[[#This Row],[Country]],Table91949698[Men''s Classification],"&gt;0")</f>
        <v>0</v>
      </c>
      <c r="HQ186" s="6">
        <f>COUNTIFS(Table91949698[Country],Tabela1[[#This Row],[Country]],Table91949698[Women''s Classification],"&gt;0")</f>
        <v>0</v>
      </c>
      <c r="HR186" s="6">
        <f>COUNTIFS(Table25[Country],Tabela1[[#This Row],[Country]],Table25[Mixed 470 Classification],"&gt;0")</f>
        <v>0</v>
      </c>
      <c r="HS186" s="6">
        <f>COUNTIFS(Table25[Country],Tabela1[[#This Row],[Country]],Table25[Men''s 49er Classification],"&gt;0")</f>
        <v>0</v>
      </c>
      <c r="HT186" s="6">
        <f>COUNTIFS(Table25[Country],Tabela1[[#This Row],[Country]],Table25[Women''s 49er FX Classification],"&gt;0")</f>
        <v>0</v>
      </c>
      <c r="HU186" s="6">
        <f>COUNTIFS(Table17[Country],Tabela1[[#This Row],[Country]],Table17[Formula Kite Classification],"&gt;0")</f>
        <v>0</v>
      </c>
      <c r="HV186" s="6">
        <f>COUNTIFS(Table18[Country],Tabela1[[#This Row],[Country]],Table18[Formula Kite Classification],"&gt;0")</f>
        <v>0</v>
      </c>
      <c r="HW186" s="6">
        <f>COUNTIFS(Table17[Country],Tabela1[[#This Row],[Country]],Table17[ILCA 7 Classification],"&gt;0")</f>
        <v>0</v>
      </c>
      <c r="HX186" s="6">
        <f>COUNTIFS(Table18[Country],Tabela1[[#This Row],[Country]],Table18[ILCA 6 Classification],"&gt;0")</f>
        <v>0</v>
      </c>
      <c r="HY186" s="6">
        <f>COUNTIFS(Table17[Country],Tabela1[[#This Row],[Country]],Table17[IQFoil Classification],"&gt;0")</f>
        <v>0</v>
      </c>
      <c r="HZ186" s="6">
        <f>COUNTIFS(Table18[Country],Tabela1[[#This Row],[Country]],Table18[IQFoil Classification],"&gt;0")</f>
        <v>0</v>
      </c>
      <c r="IA186" s="6">
        <f>COUNTIFS(Table25[Country],Tabela1[[#This Row],[Country]],Table25[Mixed Nacra 17 Classification],"&gt;0")</f>
        <v>0</v>
      </c>
      <c r="IB186" s="6">
        <f>COUNTIFS(Table53[Country],Tabela1[[#This Row],[Country]],Table53[10m Air Pistol Classification],"&gt;0")</f>
        <v>0</v>
      </c>
      <c r="IC186" s="6">
        <f>COUNTIFS(Table19[Country],Tabela1[[#This Row],[Country]],Table19[10m Air Pistol Classification],"&gt;0")</f>
        <v>0</v>
      </c>
      <c r="ID186" s="6">
        <f>COUNTIFS(Table54[Country],Tabela1[[#This Row],[Country]],Table54[Mixed 10m Air Pistol Team Classification],"&gt;0")</f>
        <v>0</v>
      </c>
      <c r="IE186" s="6">
        <f>COUNTIFS(Table53[Country],Tabela1[[#This Row],[Country]],Table53[10m Air Rifle Classification],"&gt;0")</f>
        <v>0</v>
      </c>
      <c r="IF186" s="6">
        <f>COUNTIFS(Table19[Country],Tabela1[[#This Row],[Country]],Table19[10m Air Rifle Classification],"&gt;0")</f>
        <v>0</v>
      </c>
      <c r="IG186" s="6">
        <f>COUNTIFS(Table54[Country],Tabela1[[#This Row],[Country]],Table54[Mixed 10m Air Rifle Team Classification],"&gt;0")</f>
        <v>0</v>
      </c>
      <c r="IH186" s="6">
        <f>COUNTIFS(Table53[Country],Tabela1[[#This Row],[Country]],Table53[25m Rapid Fire Pistol Classification],"&gt;0")</f>
        <v>0</v>
      </c>
      <c r="II186" s="6">
        <f>COUNTIFS(Table19[Country],Tabela1[[#This Row],[Country]],Table19[25m Pistol Classification],"&gt;0")</f>
        <v>0</v>
      </c>
      <c r="IJ186" s="6">
        <f>COUNTIFS(Table53[Country],Tabela1[[#This Row],[Country]],Table53[50m Rifle 3 Positions Classification],"&gt;0")</f>
        <v>0</v>
      </c>
      <c r="IK186" s="6">
        <f>COUNTIFS(Table19[Country],Tabela1[[#This Row],[Country]],Table19[50m Rifle 3 Positions Classification],"&gt;0")</f>
        <v>0</v>
      </c>
      <c r="IL186" s="6">
        <f>COUNTIFS(Table53[Country],Tabela1[[#This Row],[Country]],Table53[Skeet Classification],"&gt;0")</f>
        <v>0</v>
      </c>
      <c r="IM186" s="6">
        <f>COUNTIFS(Table19[Country],Tabela1[[#This Row],[Country]],Table19[Skeet Classification],"&gt;0")</f>
        <v>0</v>
      </c>
      <c r="IN186" s="6">
        <f>COUNTIFS(Table54[Country],Tabela1[[#This Row],[Country]],Table54[Mixed Skeet Team Classification],"&gt;0")</f>
        <v>0</v>
      </c>
      <c r="IO186" s="6">
        <f>COUNTIFS(Table53[Country],Tabela1[[#This Row],[Country]],Table53[Trap Classification],"&gt;0")</f>
        <v>0</v>
      </c>
      <c r="IP186" s="6">
        <f>COUNTIFS(Table19[Country],Tabela1[[#This Row],[Country]],Table19[Trap Classification],"&gt;0")</f>
        <v>0</v>
      </c>
      <c r="IQ186" s="6">
        <f>COUNTIFS(Table73[Country],Tabela1[[#This Row],[Country]],Table73[Park Classification],"&gt;0")</f>
        <v>0</v>
      </c>
      <c r="IR186" s="6">
        <f>COUNTIFS(Table74[Country],Tabela1[[#This Row],[Country]],Table74[Park Classification],"&gt;0")</f>
        <v>0</v>
      </c>
      <c r="IS186" s="6">
        <f>COUNTIFS(Table73[Country],Tabela1[[#This Row],[Country]],Table73[Street Classification],"&gt;0")</f>
        <v>0</v>
      </c>
      <c r="IT186" s="6">
        <f>COUNTIFS(Table74[Country],Tabela1[[#This Row],[Country]],Table74[Street Classification],"&gt;0")</f>
        <v>0</v>
      </c>
      <c r="IU186" s="6">
        <f>COUNTIFS(Table75[Country],Tabela1[[#This Row],[Country]],Table75[Boulder and Lead Classification],"&gt;0")</f>
        <v>0</v>
      </c>
      <c r="IV186" s="6">
        <f>COUNTIFS(Table76[Country],Tabela1[[#This Row],[Country]],Table76[Boulder and Lead Classification],"&gt;0")</f>
        <v>0</v>
      </c>
      <c r="IW186" s="6">
        <f>COUNTIFS(Table75[Country],Tabela1[[#This Row],[Country]],Table75[Speed Classification],"&gt;0")</f>
        <v>0</v>
      </c>
      <c r="IX186" s="6">
        <f>COUNTIFS(Table76[Country],Tabela1[[#This Row],[Country]],Table76[Speed Classification],"&gt;0")</f>
        <v>0</v>
      </c>
      <c r="IY186" s="6">
        <f>COUNTIFS(Table64[Country],Tabela1[[#This Row],[Country]],Table64[Shortboard Classification],"&gt;0")</f>
        <v>0</v>
      </c>
      <c r="IZ186" s="6">
        <f>COUNTIFS(Table77[Country],Tabela1[[#This Row],[Country]],Table77[Shortboard Classification],"&gt;0")</f>
        <v>0</v>
      </c>
      <c r="JA186" s="6">
        <f>COUNTIFS(Table20[Country],Tabela1[[#This Row],[Country]],Table20[50m Freestyle Classification],"&gt;0")</f>
        <v>0</v>
      </c>
      <c r="JB186" s="6">
        <f>COUNTIFS(Table21[Country],Tabela1[[#This Row],[Country]],Table21[50m Freestyle Classification],"&gt;0")</f>
        <v>0</v>
      </c>
      <c r="JC186" s="6">
        <f>COUNTIFS(Table20[Country],Tabela1[[#This Row],[Country]],Table20[100m Freestyle Classification],"&gt;0")</f>
        <v>0</v>
      </c>
      <c r="JD186" s="6">
        <f>COUNTIFS(Table21[Country],Tabela1[[#This Row],[Country]],Table21[100m Freestyle Classification],"&gt;0")</f>
        <v>0</v>
      </c>
      <c r="JE186" s="6">
        <f>COUNTIFS(Table20[Country],Tabela1[[#This Row],[Country]],Table20[200m Freestyle Classification],"&gt;0")</f>
        <v>0</v>
      </c>
      <c r="JF186" s="6">
        <f>COUNTIFS(Table21[Country],Tabela1[[#This Row],[Country]],Table21[200m Freestyle Classification],"&gt;0")</f>
        <v>0</v>
      </c>
      <c r="JG186" s="6">
        <f>COUNTIFS(Table20[Country],Tabela1[[#This Row],[Country]],Table20[400m Freestyle Classification],"&gt;0")</f>
        <v>0</v>
      </c>
      <c r="JH186" s="6">
        <f>COUNTIFS(Table21[Country],Tabela1[[#This Row],[Country]],Table21[400m Freestyle Classification],"&gt;0")</f>
        <v>0</v>
      </c>
      <c r="JI186" s="6">
        <f>COUNTIFS(Table20[Country],Tabela1[[#This Row],[Country]],Table20[800m Freestyle Classification],"&gt;0")</f>
        <v>0</v>
      </c>
      <c r="JJ186" s="6">
        <f>COUNTIFS(Table21[Country],Tabela1[[#This Row],[Country]],Table21[800m Freestyle Classification],"&gt;0")</f>
        <v>0</v>
      </c>
      <c r="JK186" s="6">
        <f>COUNTIFS(Table20[Country],Tabela1[[#This Row],[Country]],Table20[1500m Freestyle Classification],"&gt;0")</f>
        <v>0</v>
      </c>
      <c r="JL186" s="6">
        <f>COUNTIFS(Table21[Country],Tabela1[[#This Row],[Country]],Table21[1500m Freestyle Classification],"&gt;0")</f>
        <v>0</v>
      </c>
      <c r="JM186" s="6">
        <f>COUNTIFS(Table20[Country],Tabela1[[#This Row],[Country]],Table20[100m Backstroke Classification],"&gt;0")</f>
        <v>0</v>
      </c>
      <c r="JN186" s="6">
        <f>COUNTIFS(Table21[Country],Tabela1[[#This Row],[Country]],Table21[100m Backstroke Classification],"&gt;0")</f>
        <v>0</v>
      </c>
      <c r="JO186" s="6">
        <f>COUNTIFS(Table20[Country],Tabela1[[#This Row],[Country]],Table20[200m Backstroke Classification],"&gt;0")</f>
        <v>0</v>
      </c>
      <c r="JP186" s="6">
        <f>COUNTIFS(Table21[Country],Tabela1[[#This Row],[Country]],Table21[200m Backstroke Classification],"&gt;0")</f>
        <v>0</v>
      </c>
      <c r="JQ186" s="6">
        <f>COUNTIFS(Table20[Country],Tabela1[[#This Row],[Country]],Table20[100m Breaststroke Classification],"&gt;0")</f>
        <v>0</v>
      </c>
      <c r="JR186" s="6">
        <f>COUNTIFS(Table21[Country],Tabela1[[#This Row],[Country]],Table21[100m Breaststroke Classification],"&gt;0")</f>
        <v>0</v>
      </c>
      <c r="JS186" s="6">
        <f>COUNTIFS(Table20[Country],Tabela1[[#This Row],[Country]],Table20[200m Breaststroke Classification],"&gt;0")</f>
        <v>0</v>
      </c>
      <c r="JT186" s="6">
        <f>COUNTIFS(Table21[Country],Tabela1[[#This Row],[Country]],Table21[200m Breaststroke Classification],"&gt;0")</f>
        <v>0</v>
      </c>
      <c r="JU186" s="6">
        <f>COUNTIFS(Table20[Country],Tabela1[[#This Row],[Country]],Table20[100m Butterfly Classification],"&gt;0")</f>
        <v>0</v>
      </c>
      <c r="JV186" s="6">
        <f>COUNTIFS(Table21[Country],Tabela1[[#This Row],[Country]],Table21[100m Butterfly Classification],"&gt;0")</f>
        <v>0</v>
      </c>
      <c r="JW186" s="6">
        <f>COUNTIFS(Table20[Country],Tabela1[[#This Row],[Country]],Table20[200m Butterfly Classification],"&gt;0")</f>
        <v>0</v>
      </c>
      <c r="JX186" s="6">
        <f>COUNTIFS(Table21[Country],Tabela1[[#This Row],[Country]],Table21[200m Butterfly Classification],"&gt;0")</f>
        <v>0</v>
      </c>
      <c r="JY186" s="6">
        <f>COUNTIFS(Table20[Country],Tabela1[[#This Row],[Country]],Table20[200m Medley Classification],"&gt;0")</f>
        <v>0</v>
      </c>
      <c r="JZ186" s="6">
        <f>COUNTIFS(Table21[Country],Tabela1[[#This Row],[Country]],Table21[200m Medley Classification],"&gt;0")</f>
        <v>0</v>
      </c>
      <c r="KA186" s="6">
        <f>COUNTIFS(Table20[Country],Tabela1[[#This Row],[Country]],Table20[400m Medley Classification],"&gt;0")</f>
        <v>0</v>
      </c>
      <c r="KB186" s="6">
        <f>COUNTIFS(Table21[Country],Tabela1[[#This Row],[Country]],Table21[400m Medley Classification],"&gt;0")</f>
        <v>0</v>
      </c>
      <c r="KC186" s="6">
        <f>COUNTIFS(Table78[Country],Tabela1[[#This Row],[Country]],Table78[Men''s 4x100m Freestyle Relay Classification],"&gt;0")</f>
        <v>0</v>
      </c>
      <c r="KD186" s="6">
        <f>COUNTIFS(Table78[Country],Tabela1[[#This Row],[Country]],Table78[Women''s 4x100m Freestyle Relay Classification],"&gt;0")</f>
        <v>0</v>
      </c>
      <c r="KE186" s="6">
        <f>COUNTIFS(Table78[Country],Tabela1[[#This Row],[Country]],Table78[Men''s 4x200m Freestyle Relay Classification],"&gt;0")</f>
        <v>0</v>
      </c>
      <c r="KF186" s="6">
        <f>COUNTIFS(Table78[Country],Tabela1[[#This Row],[Country]],Table78[Women''s 4x200m Freestyle Relay Classification],"&gt;0")</f>
        <v>0</v>
      </c>
      <c r="KG186" s="6">
        <f>COUNTIFS(Table78[Country],Tabela1[[#This Row],[Country]],Table78[Men''s 4x100m Medley Relay Classification],"&gt;0")</f>
        <v>0</v>
      </c>
      <c r="KH186" s="6">
        <f>COUNTIFS(Table78[Country],Tabela1[[#This Row],[Country]],Table78[Women''s 4x100m Medley Relay Classification],"&gt;0")</f>
        <v>0</v>
      </c>
      <c r="KI186" s="6">
        <f>COUNTIFS(Table78[Country],Tabela1[[#This Row],[Country]],Table78[Mixed 4x100m Medley Relay Classification],"&gt;0")</f>
        <v>0</v>
      </c>
      <c r="KJ186" s="6">
        <f>COUNTIFS(Table20[Country],Tabela1[[#This Row],[Country]],Table20[10km Open Water Classification],"&gt;0")</f>
        <v>0</v>
      </c>
      <c r="KK186" s="6">
        <f>COUNTIFS(Table21[Country],Tabela1[[#This Row],[Country]],Table21[10km Open Water Classification],"&gt;0")</f>
        <v>0</v>
      </c>
      <c r="KL186" s="6">
        <f>COUNTIFS(Table22[Country],Tabela1[[#This Row],[Country]],Table22[Classification],"&gt;0")</f>
        <v>0</v>
      </c>
      <c r="KM186" s="6">
        <f>COUNTIFS(Table30[Country],Tabela1[[#This Row],[Country]],Table30[Classification],"&gt;0")</f>
        <v>0</v>
      </c>
      <c r="KN186" s="6">
        <f>COUNTIFS(Table55[Country],Tabela1[[#This Row],[Country]],Table55[Men''s Classification],"&gt;0")</f>
        <v>0</v>
      </c>
      <c r="KO186" s="6">
        <f>COUNTIFS(Table55[Country],Tabela1[[#This Row],[Country]],Table55[Women''s Classification],"&gt;0")</f>
        <v>0</v>
      </c>
      <c r="KP186" s="6">
        <f>COUNTIFS(Table56[Country],Tabela1[[#This Row],[Country]],Table56[Mixed Classification],"&gt;0")</f>
        <v>0</v>
      </c>
      <c r="KQ186" s="6">
        <f>COUNTIFS(Table29[Country],Tabela1[[#This Row],[Country]],Table29[58kg Classification],"&gt;0")</f>
        <v>0</v>
      </c>
      <c r="KR186" s="6">
        <f>COUNTIFS(Table29[Country],Tabela1[[#This Row],[Country]],Table29[68kg Classification],"&gt;0")</f>
        <v>0</v>
      </c>
      <c r="KS186" s="6">
        <f>COUNTIFS(Table29[Country],Tabela1[[#This Row],[Country]],Table29[80kg Classification],"&gt;0")</f>
        <v>0</v>
      </c>
      <c r="KT186" s="6">
        <f>COUNTIFS(Table29[Country],Tabela1[[#This Row],[Country]],Table29[Plus 80kg Classification],"&gt;0")</f>
        <v>0</v>
      </c>
      <c r="KU186" s="6">
        <f>COUNTIFS(Table34[Country],Tabela1[[#This Row],[Country]],Table34[49kg Classification],"&gt;0")</f>
        <v>0</v>
      </c>
      <c r="KV186" s="6">
        <f>COUNTIFS(Table34[Country],Tabela1[[#This Row],[Country]],Table34[57kg Classification],"&gt;0")</f>
        <v>0</v>
      </c>
      <c r="KW186" s="6">
        <f>COUNTIFS(Table34[Country],Tabela1[[#This Row],[Country]],Table34[67kg Classification],"&gt;0")</f>
        <v>0</v>
      </c>
      <c r="KX186" s="6">
        <f>COUNTIFS(Table34[Country],Tabela1[[#This Row],[Country]],Table34[Plus 67kg Classification],"&gt;0")</f>
        <v>0</v>
      </c>
      <c r="KY186" s="6">
        <f>COUNTIFS(Table57[Country],Tabela1[[#This Row],[Country]],Table57[Classification],"&gt;0")</f>
        <v>0</v>
      </c>
      <c r="KZ186" s="6">
        <f>COUNTIFS(Table58[Country],Tabela1[[#This Row],[Country]],Table58[Classification],"&gt;0")</f>
        <v>0</v>
      </c>
      <c r="LA186" s="6">
        <f>COUNTIFS(Table79[Country],Tabela1[[#This Row],[Country]],Table79[Men''s Classification],"&gt;0")</f>
        <v>0</v>
      </c>
      <c r="LB186" s="6">
        <f>COUNTIFS(Table79[Country],Tabela1[[#This Row],[Country]],Table79[Women''s Classification],"&gt;0")</f>
        <v>0</v>
      </c>
      <c r="LC186" s="6">
        <f>COUNTIFS(Table79[Country],Tabela1[[#This Row],[Country]],Table79[Mixed Classification],"&gt;0")</f>
        <v>0</v>
      </c>
      <c r="LD186" s="6">
        <f>COUNTIFS(Table65[Country],Tabela1[[#This Row],[Country]],Table65[Classification],"&gt;0")</f>
        <v>0</v>
      </c>
      <c r="LE186" s="6">
        <f>COUNTIFS(Table59[Country],Tabela1[[#This Row],[Country]],Table59[Classification],"&gt;0")</f>
        <v>0</v>
      </c>
      <c r="LF186" s="6">
        <f>COUNTIFS(Table87[Country],Tabela1[[#This Row],[Country]],Table87[Mixed Relay Classification],"&gt;0")</f>
        <v>0</v>
      </c>
      <c r="LG186" s="6">
        <f>COUNTIFS(Table91949698100[Country],Tabela1[[#This Row],[Country]],Table91949698100[Men''s Classification],"&gt;0")</f>
        <v>0</v>
      </c>
      <c r="LH186" s="6">
        <f>COUNTIFS(Table91949698100[Country],Tabela1[[#This Row],[Country]],Table91949698100[Women''s Classification],"&gt;0")</f>
        <v>0</v>
      </c>
      <c r="LI186" s="6">
        <f>COUNTIFS(Table91949698100102[Country],Tabela1[[#This Row],[Country]],Table91949698100102[Men''s Classification],"&gt;0")</f>
        <v>0</v>
      </c>
      <c r="LJ186" s="6">
        <f>COUNTIFS(Table91949698100102[Country],Tabela1[[#This Row],[Country]],Table91949698100102[Women''s Classification],"&gt;0")</f>
        <v>0</v>
      </c>
      <c r="LK186" s="6">
        <f>COUNTIFS(Table23[Country],Tabela1[[#This Row],[Country]],Table23[61kg Classification],"&gt;0")</f>
        <v>0</v>
      </c>
      <c r="LL186" s="6">
        <f>COUNTIFS(Table23[Country],Tabela1[[#This Row],[Country]],Table23[73kg Classification],"&gt;0")</f>
        <v>0</v>
      </c>
      <c r="LM186" s="6">
        <f>COUNTIFS(Table23[Country],Tabela1[[#This Row],[Country]],Table23[89kg Classification],"&gt;0")</f>
        <v>0</v>
      </c>
      <c r="LN186" s="6">
        <f>COUNTIFS(Table23[Country],Tabela1[[#This Row],[Country]],Table23[102kg Classification],"&gt;0")</f>
        <v>0</v>
      </c>
      <c r="LO186" s="6">
        <f>COUNTIFS(Table23[Country],Tabela1[[#This Row],[Country]],Table23[Plus 102kg Classification],"&gt;0")</f>
        <v>0</v>
      </c>
      <c r="LP186" s="6">
        <f>COUNTIFS(Table28[Country],Tabela1[[#This Row],[Country]],Table28[49kg Classification],"&gt;0")</f>
        <v>0</v>
      </c>
      <c r="LQ186" s="6">
        <f>COUNTIFS(Table28[Country],Tabela1[[#This Row],[Country]],Table28[59kg Classification],"&gt;0")</f>
        <v>0</v>
      </c>
      <c r="LR186" s="6">
        <f>COUNTIFS(Table28[Country],Tabela1[[#This Row],[Country]],Table28[71kg Classification],"&gt;0")</f>
        <v>0</v>
      </c>
      <c r="LS186" s="6">
        <f>COUNTIFS(Table28[Country],Tabela1[[#This Row],[Country]],Table28[81kg Classification],"&gt;0")</f>
        <v>0</v>
      </c>
      <c r="LT186" s="6">
        <f>COUNTIFS(Table28[Country],Tabela1[[#This Row],[Country]],Table28[Plus 81kg Classification],"&gt;0")</f>
        <v>0</v>
      </c>
      <c r="LU186" s="6">
        <f>COUNTIFS(Table24[Country],Tabela1[[#This Row],[Country]],Table24[Freestyle 57kg Classification],"&gt;0")</f>
        <v>0</v>
      </c>
      <c r="LV186" s="6">
        <f>COUNTIFS(Table24[Country],Tabela1[[#This Row],[Country]],Table24[Freestyle 65kg Classification],"&gt;0")</f>
        <v>0</v>
      </c>
      <c r="LW186" s="6">
        <f>COUNTIFS(Table24[Country],Tabela1[[#This Row],[Country]],Table24[Freestyle 74kg Classification],"&gt;0")</f>
        <v>0</v>
      </c>
      <c r="LX186" s="6">
        <f>COUNTIFS(Table24[Country],Tabela1[[#This Row],[Country]],Table24[Freestyle 86kg Classification],"&gt;0")</f>
        <v>0</v>
      </c>
      <c r="LY186" s="6">
        <f>COUNTIFS(Table24[Country],Tabela1[[#This Row],[Country]],Table24[Freestyle 97kg Classification],"&gt;0")</f>
        <v>0</v>
      </c>
      <c r="LZ186" s="6">
        <f>COUNTIFS(Table24[Country],Tabela1[[#This Row],[Country]],Table24[Freestyle 125kg Classification],"&gt;0")</f>
        <v>0</v>
      </c>
      <c r="MA186" s="6">
        <f>COUNTIFS(Table24[Country],Tabela1[[#This Row],[Country]],Table24[Greco-Roman 60kg Classification],"&gt;0")</f>
        <v>0</v>
      </c>
      <c r="MB186" s="6">
        <f>COUNTIFS(Table24[Country],Tabela1[[#This Row],[Country]],Table24[Greco-Roman 67kg Classification],"&gt;0")</f>
        <v>0</v>
      </c>
      <c r="MC186" s="6">
        <f>COUNTIFS(Table24[Country],Tabela1[[#This Row],[Country]],Table24[Greco-Roman 77kg Classification],"&gt;0")</f>
        <v>0</v>
      </c>
      <c r="MD186" s="6">
        <f>COUNTIFS(Table24[Country],Tabela1[[#This Row],[Country]],Table24[Greco-Roman 87kg Classification],"&gt;0")</f>
        <v>0</v>
      </c>
      <c r="ME186" s="6">
        <f>COUNTIFS(Table24[Country],Tabela1[[#This Row],[Country]],Table24[Greco-Roman 97kg Classification],"&gt;0")</f>
        <v>0</v>
      </c>
      <c r="MF186" s="6">
        <f>COUNTIFS(Table24[Country],Tabela1[[#This Row],[Country]],Table24[Greco-Roman 130kg Classification],"&gt;0")</f>
        <v>0</v>
      </c>
      <c r="MG186" s="6">
        <f>COUNTIFS(Table31[Country],Tabela1[[#This Row],[Country]],Table31[50kg Classification],"&gt;0")</f>
        <v>0</v>
      </c>
      <c r="MH186" s="6">
        <f>COUNTIFS(Table31[Country],Tabela1[[#This Row],[Country]],Table31[53kg Classification],"&gt;0")</f>
        <v>0</v>
      </c>
      <c r="MI186" s="6">
        <f>COUNTIFS(Table31[Country],Tabela1[[#This Row],[Country]],Table31[57kg Classification],"&gt;0")</f>
        <v>0</v>
      </c>
      <c r="MJ186" s="6">
        <f>COUNTIFS(Table31[Country],Tabela1[[#This Row],[Country]],Table31[62kg Classification],"&gt;0")</f>
        <v>0</v>
      </c>
      <c r="MK186" s="6">
        <f>COUNTIFS(Table31[Country],Tabela1[[#This Row],[Country]],Table31[68kg Classification],"&gt;0")</f>
        <v>0</v>
      </c>
      <c r="ML186" s="6">
        <f>COUNTIFS(Table31[Country],Tabela1[[#This Row],[Country]],Table31[76kg Classification],"&gt;0")</f>
        <v>0</v>
      </c>
      <c r="MM186" s="6">
        <f>COUNTIFS(Table102[Country],Tabela1[[#This Row],[Country]],Table102[Downhill Classification],"&gt;0")</f>
        <v>0</v>
      </c>
      <c r="MN186" s="6">
        <f>COUNTIFS(Table102105[Country],Tabela1[[#This Row],[Country]],Table102105[Downhill Classification],"&gt;0")</f>
        <v>0</v>
      </c>
      <c r="MO186" s="6">
        <f>COUNTIFS(Table102[Country],Tabela1[[#This Row],[Country]],Table102[Giant Slalom Classification],"&gt;0")</f>
        <v>0</v>
      </c>
      <c r="MP186" s="6">
        <f>COUNTIFS(Table102105[Country],Tabela1[[#This Row],[Country]],Table102105[Giant Slalom Classification],"&gt;0")</f>
        <v>0</v>
      </c>
      <c r="MQ186" s="6">
        <f>COUNTIFS(Table102[Country],Tabela1[[#This Row],[Country]],Table102[Slalom Classification],"&gt;0")</f>
        <v>0</v>
      </c>
      <c r="MR186" s="6">
        <f>COUNTIFS(Table102105[Country],Tabela1[[#This Row],[Country]],Table102105[Slalom Classification],"&gt;0")</f>
        <v>0</v>
      </c>
      <c r="MS186" s="6">
        <f>COUNTIFS(Table102[Country],Tabela1[[#This Row],[Country]],Table102[Super-G Classification],"&gt;0")</f>
        <v>0</v>
      </c>
      <c r="MT186" s="6">
        <f>COUNTIFS(Table102105[Country],Tabela1[[#This Row],[Country]],Table102105[Super-G Classification],"&gt;0")</f>
        <v>0</v>
      </c>
      <c r="MU186" s="6">
        <f>COUNTIFS(Table105[Country],Tabela1[[#This Row],[Country]],Table105[Men''s Combined Classification],"&gt;0")</f>
        <v>0</v>
      </c>
      <c r="MV186" s="6">
        <f>COUNTIFS(Table105[Country],Tabela1[[#This Row],[Country]],Table105[Women''s Combined Classification],"&gt;0")</f>
        <v>0</v>
      </c>
      <c r="MW186" s="6">
        <f>COUNTIFS(Table106[Country],Tabela1[[#This Row],[Country]],Table106[Individual Classification],"&gt;0")</f>
        <v>0</v>
      </c>
      <c r="MX186" s="6">
        <f>COUNTIFS(Table106109[Country],Tabela1[[#This Row],[Country]],Table106109[Individual Classification],"&gt;0")</f>
        <v>0</v>
      </c>
      <c r="MY186" s="6">
        <f>COUNTIFS(Table106[Country],Tabela1[[#This Row],[Country]],Table106[Mass Start Classification],"&gt;0")</f>
        <v>0</v>
      </c>
      <c r="MZ186" s="6">
        <f>COUNTIFS(Table106109[Country],Tabela1[[#This Row],[Country]],Table106109[Mass Start Classification],"&gt;0")</f>
        <v>0</v>
      </c>
      <c r="NA186" s="6">
        <f>COUNTIFS(Table106[Country],Tabela1[[#This Row],[Country]],Table106[Pursuit Classification],"&gt;0")</f>
        <v>0</v>
      </c>
      <c r="NB186" s="6">
        <f>COUNTIFS(Table106109[Country],Tabela1[[#This Row],[Country]],Table106109[Pursuit Classification],"&gt;0")</f>
        <v>0</v>
      </c>
      <c r="NC186" s="6">
        <f>COUNTIFS(Table106[Country],Tabela1[[#This Row],[Country]],Table106[Sprint Classification],"&gt;0")</f>
        <v>0</v>
      </c>
      <c r="ND186" s="6">
        <f>COUNTIFS(Table106109[Country],Tabela1[[#This Row],[Country]],Table106109[Sprint Classification],"&gt;0")</f>
        <v>0</v>
      </c>
      <c r="NE186" s="6">
        <f>COUNTIFS(Table109[Country],Tabela1[[#This Row],[Country]],Table109[Men''s Relay Classification],"&gt;0")</f>
        <v>0</v>
      </c>
      <c r="NF186" s="6">
        <f>COUNTIFS(Table109[Country],Tabela1[[#This Row],[Country]],Table109[Women''s Relay Classification],"&gt;0")</f>
        <v>0</v>
      </c>
      <c r="NG186" s="6">
        <f>COUNTIFS(Table109[Country],Tabela1[[#This Row],[Country]],Table109[Mixed Relay Classification],"&gt;0")</f>
        <v>0</v>
      </c>
      <c r="NH186" s="6">
        <f>COUNTIFS(Table110[Country],Tabela1[[#This Row],[Country]],Table110[Monobob Classification],"&gt;0")</f>
        <v>0</v>
      </c>
      <c r="NI186" s="6">
        <f>COUNTIFS(Table111[Country],Tabela1[[#This Row],[Country]],Table111[Men''s Classification],"&gt;0")</f>
        <v>0</v>
      </c>
      <c r="NJ186" s="6">
        <f>COUNTIFS(Table111[Country],Tabela1[[#This Row],[Country]],Table111[Women''s Classification],"&gt;0")</f>
        <v>0</v>
      </c>
      <c r="NK186" s="6">
        <f>COUNTIFS(Table112[Country],Tabela1[[#This Row],[Country]],Table112[Men''s Four Classification],"&gt;0")</f>
        <v>0</v>
      </c>
      <c r="NL186" s="6">
        <f>COUNTIFS(Table113[Country],Tabela1[[#This Row],[Country]],Table113[Classical Classification],"&gt;0")</f>
        <v>0</v>
      </c>
      <c r="NM186" s="6">
        <f>COUNTIFS(Table113116[Country],Tabela1[[#This Row],[Country]],Table113116[Classical Classification],"&gt;0")</f>
        <v>0</v>
      </c>
      <c r="NN186" s="6">
        <f>COUNTIFS(Table113[Country],Tabela1[[#This Row],[Country]],Table113[Freestyle Classification],"&gt;0")</f>
        <v>0</v>
      </c>
      <c r="NO186" s="6">
        <f>COUNTIFS(Table113116[Country],Tabela1[[#This Row],[Country]],Table113116[Freestyle Classification],"&gt;0")</f>
        <v>0</v>
      </c>
      <c r="NP186" s="6">
        <f>COUNTIFS(Table117[Country],Tabela1[[#This Row],[Country]],Table117[Men''s Relay Classification],"&gt;0")</f>
        <v>0</v>
      </c>
      <c r="NQ186" s="6">
        <f>COUNTIFS(Table117[Country],Tabela1[[#This Row],[Country]],Table117[Women''s Relay Classification],"&gt;0")</f>
        <v>0</v>
      </c>
      <c r="NR186" s="6">
        <f>COUNTIFS(Table113[Country],Tabela1[[#This Row],[Country]],Table113[Skiathlon Classification],"&gt;0")</f>
        <v>0</v>
      </c>
      <c r="NS186" s="6">
        <f>COUNTIFS(Table113116[Country],Tabela1[[#This Row],[Country]],Table113116[Skiathlon Classification],"&gt;0")</f>
        <v>0</v>
      </c>
      <c r="NT186" s="6">
        <f>COUNTIFS(Table113[Country],Tabela1[[#This Row],[Country]],Table113[Sprint Classification],"&gt;0")</f>
        <v>0</v>
      </c>
      <c r="NU186" s="6">
        <f>COUNTIFS(Table113116[Country],Tabela1[[#This Row],[Country]],Table113116[Sprint Classification],"&gt;0")</f>
        <v>0</v>
      </c>
      <c r="NV186" s="6">
        <f>COUNTIFS(Table116[Country],Tabela1[[#This Row],[Country]],Table116[Men''s Team Sprint Classification],"&gt;0")</f>
        <v>0</v>
      </c>
      <c r="NW186" s="6">
        <f>COUNTIFS(Table116[Country],Tabela1[[#This Row],[Country]],Table116[Women''s Team Sprint Classification],"&gt;0")</f>
        <v>0</v>
      </c>
      <c r="NX186" s="6">
        <f>COUNTIFS(Table119[Country],Tabela1[[#This Row],[Country]],Table119[Men''s Classification],"&gt;0")</f>
        <v>0</v>
      </c>
      <c r="NY186" s="6">
        <f>COUNTIFS(Table119[Country],Tabela1[[#This Row],[Country]],Table119[Women''s Classification],"&gt;0")</f>
        <v>0</v>
      </c>
      <c r="NZ186" s="6">
        <f>COUNTIFS(Table118[Country],Tabela1[[#This Row],[Country]],Table118[Mixed Classification],"&gt;0")</f>
        <v>0</v>
      </c>
      <c r="OA186" s="6">
        <f>COUNTIFS(Table120[Country],Tabela1[[#This Row],[Country]],Table120[Classification],"&gt;0")</f>
        <v>0</v>
      </c>
      <c r="OB186" s="6">
        <f>COUNTIFS(Table120123[Country],Tabela1[[#This Row],[Country]],Table120123[Classification],"&gt;0")</f>
        <v>0</v>
      </c>
      <c r="OC186" s="6">
        <f>COUNTIFS(Table123[Country],Tabela1[[#This Row],[Country]],Table123[Ice Dance Classification],"&gt;0")</f>
        <v>0</v>
      </c>
      <c r="OD186" s="6">
        <f>COUNTIFS(Table123[Country],Tabela1[[#This Row],[Country]],Table123[Pair Skating Classification],"&gt;0")</f>
        <v>0</v>
      </c>
      <c r="OE186" s="6">
        <f>COUNTIFS(Table124[Country],Tabela1[[#This Row],[Country]],Table124[Mixed Classification],"&gt;0")</f>
        <v>0</v>
      </c>
      <c r="OF186" s="6">
        <f>COUNTIFS(Table125[Country],Tabela1[[#This Row],[Country]],Table125[Aerials Classification],"&gt;0")</f>
        <v>0</v>
      </c>
      <c r="OG186" s="6">
        <f>COUNTIFS(Table125128[Country],Tabela1[[#This Row],[Country]],Table125128[Aerials Classification],"&gt;0")</f>
        <v>0</v>
      </c>
      <c r="OH186" s="6">
        <f>COUNTIFS(Table128[Country],Tabela1[[#This Row],[Country]],Table128[Mixed Aerials Classification],"&gt;0")</f>
        <v>0</v>
      </c>
      <c r="OI186" s="6">
        <f>COUNTIFS(Table125[Country],Tabela1[[#This Row],[Country]],Table125[Big Air Classification],"&gt;0")</f>
        <v>0</v>
      </c>
      <c r="OJ186" s="6">
        <f>COUNTIFS(Table125128[Country],Tabela1[[#This Row],[Country]],Table125128[Big Air Classification],"&gt;0")</f>
        <v>0</v>
      </c>
      <c r="OK186" s="6">
        <f>COUNTIFS(Table125[Country],Tabela1[[#This Row],[Country]],Table125[Dual Moguls Classification],"&gt;0")</f>
        <v>0</v>
      </c>
      <c r="OL186" s="6">
        <f>COUNTIFS(Table125128[Country],Tabela1[[#This Row],[Country]],Table125128[Dual Moguls Classification],"&gt;0")</f>
        <v>0</v>
      </c>
      <c r="OM186" s="6">
        <f>COUNTIFS(Table125[Country],Tabela1[[#This Row],[Country]],Table125[Halfpipe Classification],"&gt;0")</f>
        <v>0</v>
      </c>
      <c r="ON186" s="6">
        <f>COUNTIFS(Table125128[Country],Tabela1[[#This Row],[Country]],Table125128[Halfpipe Classification],"&gt;0")</f>
        <v>0</v>
      </c>
      <c r="OO186" s="6">
        <f>COUNTIFS(Table125[Country],Tabela1[[#This Row],[Country]],Table125[Moguls Classification],"&gt;0")</f>
        <v>0</v>
      </c>
      <c r="OP186" s="6">
        <f>COUNTIFS(Table125128[Country],Tabela1[[#This Row],[Country]],Table125128[Moguls Classification],"&gt;0")</f>
        <v>0</v>
      </c>
      <c r="OQ186" s="6">
        <f>COUNTIFS(Table125[Country],Tabela1[[#This Row],[Country]],Table125[Ski Cross Classification],"&gt;0")</f>
        <v>0</v>
      </c>
      <c r="OR186" s="6">
        <f>COUNTIFS(Table125128[Country],Tabela1[[#This Row],[Country]],Table125128[Ski Cross Classification],"&gt;0")</f>
        <v>0</v>
      </c>
      <c r="OS186" s="6">
        <f>COUNTIFS(Table125[Country],Tabela1[[#This Row],[Country]],Table125[Slopestyle Classification],"&gt;0")</f>
        <v>0</v>
      </c>
      <c r="OT186" s="6">
        <f>COUNTIFS(Table125128[Country],Tabela1[[#This Row],[Country]],Table125128[Slopestyle Classification],"&gt;0")</f>
        <v>0</v>
      </c>
      <c r="OU186" s="6">
        <f>COUNTIFS(Table119131[Country],Tabela1[[#This Row],[Country]],Table119131[Men''s Classification],"&gt;0")</f>
        <v>0</v>
      </c>
      <c r="OV186" s="6">
        <f>COUNTIFS(Table119131[Country],Tabela1[[#This Row],[Country]],Table119131[Women''s Classification],"&gt;0")</f>
        <v>0</v>
      </c>
      <c r="OW186" s="6">
        <f>COUNTIFS(Table131[Country],Tabela1[[#This Row],[Country]],Table131[Classification],"&gt;0")</f>
        <v>0</v>
      </c>
      <c r="OX186" s="6">
        <f>COUNTIFS(Table131134[Country],Tabela1[[#This Row],[Country]],Table131134[Classification],"&gt;0")</f>
        <v>0</v>
      </c>
      <c r="OY186" s="6">
        <f>COUNTIFS(Table134[Country],Tabela1[[#This Row],[Country]],Table134[Men''s Classification],"&gt;0")</f>
        <v>0</v>
      </c>
      <c r="OZ186" s="6">
        <f>COUNTIFS(Table134[Country],Tabela1[[#This Row],[Country]],Table134[Women''s Classification],"&gt;0")</f>
        <v>0</v>
      </c>
      <c r="PA186" s="6">
        <f>COUNTIFS(Table135[Country],Tabela1[[#This Row],[Country]],Table135[Mixed Relay Classification],"&gt;0")</f>
        <v>0</v>
      </c>
      <c r="PB186" s="6">
        <f>COUNTIFS(Table136[Country],Tabela1[[#This Row],[Country]],Table136[Individual Classification],"&gt;0")</f>
        <v>0</v>
      </c>
      <c r="PC186" s="6">
        <f>COUNTIFS(Table136[Country],Tabela1[[#This Row],[Country]],Table136[Sprint Classification],"&gt;0")</f>
        <v>0</v>
      </c>
      <c r="PD186" s="6">
        <f>COUNTIFS(Table137[Country],Tabela1[[#This Row],[Country]],Table137[Men''s Team Sprint Large Hill Classification],"&gt;0")</f>
        <v>0</v>
      </c>
      <c r="PE186" s="6">
        <f>COUNTIFS(Table138[Country],Tabela1[[#This Row],[Country]],Table138[500m Classification],"&gt;0")</f>
        <v>0</v>
      </c>
      <c r="PF186" s="6">
        <f>COUNTIFS(Table138141[Country],Tabela1[[#This Row],[Country]],Table138141[500m Classification],"&gt;0")</f>
        <v>0</v>
      </c>
      <c r="PG186" s="6">
        <f>COUNTIFS(Table138[Country],Tabela1[[#This Row],[Country]],Table138[1000m Classification],"&gt;0")</f>
        <v>0</v>
      </c>
      <c r="PH186" s="6">
        <f>COUNTIFS(Table138141[Country],Tabela1[[#This Row],[Country]],Table138141[1000m Classification],"&gt;0")</f>
        <v>0</v>
      </c>
      <c r="PI186" s="6">
        <f>COUNTIFS(Table138[Country],Tabela1[[#This Row],[Country]],Table138[1500m Classification],"&gt;0")</f>
        <v>0</v>
      </c>
      <c r="PJ186" s="6">
        <f>COUNTIFS(Table138141[Country],Tabela1[[#This Row],[Country]],Table138141[1500m Classification],"&gt;0")</f>
        <v>0</v>
      </c>
      <c r="PK186" s="6">
        <f>COUNTIFS(Table141[Country],Tabela1[[#This Row],[Country]],Table141[Men''s 5000m Relay Classification],"&gt;0")</f>
        <v>0</v>
      </c>
      <c r="PL186" s="6">
        <f>COUNTIFS(Table141[Country],Tabela1[[#This Row],[Country]],Table141[Women''s 3000m Relay Classification],"&gt;0")</f>
        <v>0</v>
      </c>
      <c r="PM186" s="6">
        <f>COUNTIFS(Table141[Country],Tabela1[[#This Row],[Country]],Table141[Mixed 2000m Relay Classification],"&gt;0")</f>
        <v>0</v>
      </c>
      <c r="PN186" s="6">
        <f>COUNTIFS(Table142[Country],Tabela1[[#This Row],[Country]],Table142[Classification],"&gt;0")</f>
        <v>0</v>
      </c>
      <c r="PO186" s="6">
        <f>COUNTIFS(Table142145[Country],Tabela1[[#This Row],[Country]],Table142145[Classification],"&gt;0")</f>
        <v>0</v>
      </c>
      <c r="PP186" s="6">
        <f>COUNTIFS(Tabela15[Country],Tabela1[[#This Row],[Country]],Tabela15[Mixed Team Classification],"&gt;0")</f>
        <v>0</v>
      </c>
      <c r="PQ186" s="6">
        <f>COUNTIFS(Table145[Country],Tabela1[[#This Row],[Country]],Table145[Large Hill Classification],"&gt;0")</f>
        <v>0</v>
      </c>
      <c r="PR186" s="6">
        <f>COUNTIFS(Table145[Country],Tabela1[[#This Row],[Country]],Table145[Normal Hill Classification],"&gt;0")</f>
        <v>0</v>
      </c>
      <c r="PS186" s="6">
        <f>COUNTIFS(Table145148[Country],Tabela1[[#This Row],[Country]],Table145148[Large Hill Classification],"&gt;0")</f>
        <v>0</v>
      </c>
      <c r="PT186" s="6">
        <f>COUNTIFS(Table145148[Country],Tabela1[[#This Row],[Country]],Table145148[Normal Hill Classification],"&gt;0")</f>
        <v>0</v>
      </c>
      <c r="PU186" s="6">
        <f>COUNTIFS(Table148[Country],Tabela1[[#This Row],[Country]],Table148[Men''s Super Team Classification],"&gt;0")</f>
        <v>0</v>
      </c>
      <c r="PV186" s="6">
        <f>COUNTIFS(Tabela114[Country],Tabela1[[#This Row],[Country]],Tabela114[Mixed Normal Hill Classification],"&gt;0")</f>
        <v>0</v>
      </c>
      <c r="PW186" s="6">
        <f>COUNTIFS(Tabela50[Country],Tabela1[[#This Row],[Country]],Tabela50[Sprint Classification],"&gt;0")</f>
        <v>0</v>
      </c>
      <c r="PX186" s="6">
        <f>COUNTIFS(Tabela50101[Country],Tabela1[[#This Row],[Country]],Tabela50101[Sprint Classification],"&gt;0")</f>
        <v>0</v>
      </c>
      <c r="PY186" s="6">
        <f>COUNTIFS(Tabela103[Country],Tabela1[[#This Row],[Country]],Tabela103[Mixed Relay Classification],"&gt;0")</f>
        <v>0</v>
      </c>
      <c r="PZ186" s="6">
        <f>COUNTIFS(Table149[Country],Tabela1[[#This Row],[Country]],Table149[Big Air Classification],"&gt;0")</f>
        <v>0</v>
      </c>
      <c r="QA186" s="6">
        <f>COUNTIFS(Table149152[Country],Tabela1[[#This Row],[Country]],Table149152[Big Air Classification],"&gt;0")</f>
        <v>0</v>
      </c>
      <c r="QB186" s="6">
        <f>COUNTIFS(Table149[Country],Tabela1[[#This Row],[Country]],Table149[Halfpipe Classification],"&gt;0")</f>
        <v>0</v>
      </c>
      <c r="QC186" s="6">
        <f>COUNTIFS(Table149152[Country],Tabela1[[#This Row],[Country]],Table149152[Halfpipe Classification],"&gt;0")</f>
        <v>0</v>
      </c>
      <c r="QD186" s="6">
        <f>COUNTIFS(Table149[Country],Tabela1[[#This Row],[Country]],Table149[Parallel Giant Slalom Classification],"&gt;0")</f>
        <v>0</v>
      </c>
      <c r="QE186" s="6">
        <f>COUNTIFS(Table149152[Country],Tabela1[[#This Row],[Country]],Table149152[Parallel Giant Slalom Classification],"&gt;0")</f>
        <v>0</v>
      </c>
      <c r="QF186" s="6">
        <f>COUNTIFS(Table149[Country],Tabela1[[#This Row],[Country]],Table149[Slopestyle Classification],"&gt;0")</f>
        <v>0</v>
      </c>
      <c r="QG186" s="6">
        <f>COUNTIFS(Table149152[Country],Tabela1[[#This Row],[Country]],Table149152[Slopestyle Classification],"&gt;0")</f>
        <v>0</v>
      </c>
      <c r="QH186" s="6">
        <f>COUNTIFS(Table149[Country],Tabela1[[#This Row],[Country]],Table149[Snowboard Cross Classification],"&gt;0")</f>
        <v>0</v>
      </c>
      <c r="QI186" s="6">
        <f>COUNTIFS(Table149152[Country],Tabela1[[#This Row],[Country]],Table149152[Snowboard Cross Classification],"&gt;0")</f>
        <v>0</v>
      </c>
      <c r="QJ186" s="6">
        <f>COUNTIFS(Table153[Country],Tabela1[[#This Row],[Country]],Table153[Mixed Team Snowboard Cross Classification],"&gt;0")</f>
        <v>0</v>
      </c>
      <c r="QK186" s="6">
        <f>COUNTIFS(Table154[Country],Tabela1[[#This Row],[Country]],Table154[500m Classification],"&gt;0")</f>
        <v>0</v>
      </c>
      <c r="QL186" s="6">
        <f>COUNTIFS(Table154157[Country],Tabela1[[#This Row],[Country]],Table154157[500m Classification],"&gt;0")</f>
        <v>0</v>
      </c>
      <c r="QM186" s="6">
        <f>COUNTIFS(Table154[Country],Tabela1[[#This Row],[Country]],Table154[1000m Classification],"&gt;0")</f>
        <v>0</v>
      </c>
      <c r="QN186" s="6">
        <f>COUNTIFS(Table154157[Country],Tabela1[[#This Row],[Country]],Table154157[1000m Classification],"&gt;0")</f>
        <v>0</v>
      </c>
      <c r="QO186" s="6">
        <f>COUNTIFS(Table154[Country],Tabela1[[#This Row],[Country]],Table154[1500m Classification],"&gt;0")</f>
        <v>0</v>
      </c>
      <c r="QP186" s="6">
        <f>COUNTIFS(Table154157[Country],Tabela1[[#This Row],[Country]],Table154157[1500m Classification],"&gt;0")</f>
        <v>0</v>
      </c>
      <c r="QQ186" s="6">
        <f>COUNTIFS(Table154157[Country],Tabela1[[#This Row],[Country]],Table154157[3000m Classification],"&gt;0")</f>
        <v>0</v>
      </c>
      <c r="QR186" s="6">
        <f>COUNTIFS(Table154[Country],Tabela1[[#This Row],[Country]],Table154[5000m Classification],"&gt;0")</f>
        <v>0</v>
      </c>
      <c r="QS186" s="6">
        <f>COUNTIFS(Table154157[Country],Tabela1[[#This Row],[Country]],Table154157[5000m Classification],"&gt;0")</f>
        <v>0</v>
      </c>
      <c r="QT186" s="6">
        <f>COUNTIFS(Table154[Country],Tabela1[[#This Row],[Country]],Table154[10000m Classification],"&gt;0")</f>
        <v>0</v>
      </c>
      <c r="QU186" s="6">
        <f>COUNTIFS(Table154[Country],Tabela1[[#This Row],[Country]],Table154[Mass Start Classification],"&gt;0")</f>
        <v>0</v>
      </c>
      <c r="QV186" s="6">
        <f>COUNTIFS(Table154157[Country],Tabela1[[#This Row],[Country]],Table154157[Mass Start Classification],"&gt;0")</f>
        <v>0</v>
      </c>
      <c r="QW186" s="6">
        <f>COUNTIFS(Table157[Country],Tabela1[[#This Row],[Country]],Table157[Men''s Pursuit Classification],"&gt;0")</f>
        <v>0</v>
      </c>
      <c r="QX186" s="6">
        <f>COUNTIFS(Table157[Country],Tabela1[[#This Row],[Country]],Table157[Women''s Pursuit Classification],"&gt;0")</f>
        <v>0</v>
      </c>
      <c r="QY186" s="3" t="s">
        <v>625</v>
      </c>
    </row>
    <row r="187" spans="1:467" x14ac:dyDescent="0.3">
      <c r="A187" s="6">
        <v>186</v>
      </c>
      <c r="B187" s="6" t="s">
        <v>628</v>
      </c>
      <c r="C187" t="e" vm="186">
        <f>IF(ISBLANK(Tabela1[[#This Row],[Image Link]]), "", _xlfn.IMAGE(Tabela1[[#This Row],[Image Link]],1,1))</f>
        <v>#VALUE!</v>
      </c>
      <c r="D187" s="6">
        <f>SUM(Tabela1[[#This Row],[Archery - Men''s Individual Recurve]:[Speed Skating - Women''s Team Pursuit]])</f>
        <v>0</v>
      </c>
      <c r="E187" s="6">
        <f>COUNTIF(Tabela1[[#This Row],[Archery - Men''s Individual Recurve]:[Speed Skating - Women''s Team Pursuit]],"&gt;0")</f>
        <v>0</v>
      </c>
      <c r="F187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87" s="6">
        <f>SUM(Tabela1[[#This Row],[Archery - Men''s Individual Recurve]:[Wrestling - Women''s Freestyle 76kg]])</f>
        <v>0</v>
      </c>
      <c r="H187" s="6">
        <f>SUM(Tabela1[[#This Row],[Alpine Skiing - Men''s Downhill]:[Speed Skating - Women''s Team Pursuit]])</f>
        <v>0</v>
      </c>
      <c r="I187" s="6">
        <f>Tabela1[[#This Row],[Summer Gold Medals]]+Tabela1[[#This Row],[Winter Gold Medals]]</f>
        <v>0</v>
      </c>
      <c r="J187" s="6">
        <f>Tabela1[[#This Row],[Summer Silver Medals]]+Tabela1[[#This Row],[Winter Silver Medals]]</f>
        <v>0</v>
      </c>
      <c r="K187" s="6">
        <f>Tabela1[[#This Row],[Summer Bronze Medals]]+Tabela1[[#This Row],[Winter Bronze Medals]]</f>
        <v>0</v>
      </c>
      <c r="L187" s="6">
        <f>SUM(Tabela1[[#This Row],[Total Gold Medals]:[Total Bronze Medals]])</f>
        <v>0</v>
      </c>
      <c r="M187" s="6"/>
      <c r="N187" s="6"/>
      <c r="O187" s="6"/>
      <c r="P187" s="6">
        <f>SUM(Tabela1[[#This Row],[Summer Gold Medals]:[Summer Bronze Medals]])</f>
        <v>0</v>
      </c>
      <c r="Q187" s="6"/>
      <c r="R187" s="6"/>
      <c r="S187" s="6"/>
      <c r="T187" s="6">
        <f>Tabela1[[#This Row],[Winter Gold Medals]]+Tabela1[[#This Row],[Winter Silver Medals]]+Tabela1[[#This Row],[Winter Bronze Medals]]</f>
        <v>0</v>
      </c>
      <c r="U187" s="7" t="e">
        <f>Tabela1[[#This Row],[Total Medals]]/Tabela1[[#This Row],[Total Quotas]]</f>
        <v>#DIV/0!</v>
      </c>
      <c r="V187" s="6">
        <f>COUNTIFS(Table3[Country],Tabela1[[#This Row],[Country]],Table3[Recurve Classification],"&gt;0")</f>
        <v>0</v>
      </c>
      <c r="W187" s="6">
        <f>COUNTIFS(Table33[Country],Tabela1[[#This Row],[Country]],Table33[Recurve Classification],"&gt;0")</f>
        <v>0</v>
      </c>
      <c r="X187" s="6">
        <f>COUNTIFS(Table35[Country],Tabela1[[#This Row],[Country]],Table35[Men''s Team Recurve Classification],"&gt;0")</f>
        <v>0</v>
      </c>
      <c r="Y187" s="6">
        <f>COUNTIFS(Table35[Country],Tabela1[[#This Row],[Country]],Table35[Women''s Team Recurve Classification],"&gt;0")</f>
        <v>0</v>
      </c>
      <c r="Z187" s="6">
        <f>COUNTIFS(Tabela88[Country],Tabela1[[#This Row],[Country]],Tabela88[Mixed Team Recurve Classification],"&gt;0")</f>
        <v>0</v>
      </c>
      <c r="AA187" s="6">
        <f>COUNTIFS(Table36[Country],Tabela1[[#This Row],[Country]],Table36[Classification],"&gt;0")</f>
        <v>0</v>
      </c>
      <c r="AB187" s="6">
        <f>COUNTIFS(Table37[Country],Tabela1[[#This Row],[Country]],Table37[Classification],"&gt;0")</f>
        <v>0</v>
      </c>
      <c r="AC187" s="6">
        <f>COUNTIFS(Table4[Country],Tabela1[[#This Row],[Country]],Table4[100m Classification],"&gt;0")</f>
        <v>0</v>
      </c>
      <c r="AD187" s="6">
        <f>COUNTIFS(Table5[Country],Tabela1[[#This Row],[Country]],Table5[100m Classification],"&gt;0")</f>
        <v>0</v>
      </c>
      <c r="AE187" s="6">
        <f>COUNTIFS(Table4[Country],Tabela1[[#This Row],[Country]],Table4[200m Classification],"&gt;0")</f>
        <v>0</v>
      </c>
      <c r="AF187" s="6">
        <f>COUNTIFS(Table5[Country],Tabela1[[#This Row],[Country]],Table5[200m Classification],"&gt;0")</f>
        <v>0</v>
      </c>
      <c r="AG187" s="6">
        <f>COUNTIFS(Table4[Country],Tabela1[[#This Row],[Country]],Table4[400m Classification],"&gt;0")</f>
        <v>0</v>
      </c>
      <c r="AH187" s="6">
        <f>COUNTIFS(Table5[Country],Tabela1[[#This Row],[Country]],Table5[400m Classification],"&gt;0")</f>
        <v>0</v>
      </c>
      <c r="AI187" s="6">
        <f>COUNTIFS(Table4[Country],Tabela1[[#This Row],[Country]],Table4[800m Classification],"&gt;0")</f>
        <v>0</v>
      </c>
      <c r="AJ187" s="6">
        <f>COUNTIFS(Table5[Country],Tabela1[[#This Row],[Country]],Table5[800m Classification],"&gt;0")</f>
        <v>0</v>
      </c>
      <c r="AK187" s="6">
        <f>COUNTIFS(Table4[Country],Tabela1[[#This Row],[Country]],Table4[1500m Classification],"&gt;0")</f>
        <v>0</v>
      </c>
      <c r="AL187" s="6">
        <f>COUNTIFS(Table5[Country],Tabela1[[#This Row],[Country]],Table5[1500m Classification],"&gt;0")</f>
        <v>0</v>
      </c>
      <c r="AM187" s="6">
        <f>COUNTIFS(Table4[Country],Tabela1[[#This Row],[Country]],Table4[5000m Classification],"&gt;0")</f>
        <v>0</v>
      </c>
      <c r="AN187" s="6">
        <f>COUNTIFS(Table5[Country],Tabela1[[#This Row],[Country]],Table5[5000m Classification],"&gt;0")</f>
        <v>0</v>
      </c>
      <c r="AO187" s="6">
        <f>COUNTIFS(Table4[Country],Tabela1[[#This Row],[Country]],Table4[10000m Classification],"&gt;0")</f>
        <v>0</v>
      </c>
      <c r="AP187" s="6">
        <f>COUNTIFS(Table5[Country],Tabela1[[#This Row],[Country]],Table5[10000m Classification],"&gt;0")</f>
        <v>0</v>
      </c>
      <c r="AQ187" s="6">
        <f>COUNTIFS(Table4[Country],Tabela1[[#This Row],[Country]],Table4[110m Hurdles Classification],"&gt;0")</f>
        <v>0</v>
      </c>
      <c r="AR187" s="6">
        <f>COUNTIFS(Table5[Country],Tabela1[[#This Row],[Country]],Table5[100m Hurdles Classification],"&gt;0")</f>
        <v>0</v>
      </c>
      <c r="AS187" s="6">
        <f>COUNTIFS(Table4[Country],Tabela1[[#This Row],[Country]],Table4[400m Hurdles Classification],"&gt;0")</f>
        <v>0</v>
      </c>
      <c r="AT187" s="6">
        <f>COUNTIFS(Table5[Country],Tabela1[[#This Row],[Country]],Table5[400m Hurdles Classification],"&gt;0")</f>
        <v>0</v>
      </c>
      <c r="AU187" s="6">
        <f>COUNTIFS(Table4[Country],Tabela1[[#This Row],[Country]],Table4[3000m Steeplechase Classification],"&gt;0")</f>
        <v>0</v>
      </c>
      <c r="AV187" s="6">
        <f>COUNTIFS(Table5[Country],Tabela1[[#This Row],[Country]],Table5[3000m Steeplechase Classification],"&gt;0")</f>
        <v>0</v>
      </c>
      <c r="AW187" s="6">
        <f>COUNTIFS(Table27[Country],Tabela1[[#This Row],[Country]],Table27[Men''s 4x100m Relay Classification],"&gt;0")</f>
        <v>0</v>
      </c>
      <c r="AX187" s="6">
        <f>COUNTIFS(Table27[Country],Tabela1[[#This Row],[Country]],Table27[Women''s 4x100m Relay Classification],"&gt;0")</f>
        <v>0</v>
      </c>
      <c r="AY187" s="6">
        <f>COUNTIFS(Table27[Country],Tabela1[[#This Row],[Country]],Table27[Men''s 4x400m Relay Classification],"&gt;0")</f>
        <v>0</v>
      </c>
      <c r="AZ187" s="6">
        <f>COUNTIFS(Table27[Country],Tabela1[[#This Row],[Country]],Table27[Women''s 4x400m Relay Classification],"&gt;0")</f>
        <v>0</v>
      </c>
      <c r="BA187" s="6">
        <f>COUNTIFS(Table27[Country],Tabela1[[#This Row],[Country]],Table27[Mixed 4x400m Relay Classification],"&gt;0")</f>
        <v>0</v>
      </c>
      <c r="BB187" s="6">
        <f>COUNTIFS(Table4[Country],Tabela1[[#This Row],[Country]],Table4[Marathon Classification],"&gt;0")</f>
        <v>0</v>
      </c>
      <c r="BC187" s="6">
        <f>COUNTIFS(Table5[Country],Tabela1[[#This Row],[Country]],Table5[Marathon Classification],"&gt;0")</f>
        <v>0</v>
      </c>
      <c r="BD187" s="6">
        <f>COUNTIFS(Table4[Country],Tabela1[[#This Row],[Country]],Table4[20km Race Walk Classification],"&gt;0")</f>
        <v>0</v>
      </c>
      <c r="BE187" s="6">
        <f>COUNTIFS(Table5[Country],Tabela1[[#This Row],[Country]],Table5[20km Race Walk Classification],"&gt;0")</f>
        <v>0</v>
      </c>
      <c r="BF187" s="6">
        <f>COUNTIFS(Tabela96[Country],Tabela1[[#This Row],[Country]],Tabela96[Mixed Marathon Race Walk Relay Classification],"&gt;0")</f>
        <v>0</v>
      </c>
      <c r="BG187" s="6">
        <f>COUNTIFS(Table4[Country],Tabela1[[#This Row],[Country]],Table4[Discus Throw Classification],"&gt;0")</f>
        <v>0</v>
      </c>
      <c r="BH187" s="6">
        <f>COUNTIFS(Table5[Country],Tabela1[[#This Row],[Country]],Table5[Discus Throw Classification],"&gt;0")</f>
        <v>0</v>
      </c>
      <c r="BI187" s="6">
        <f>COUNTIFS(Table4[Country],Tabela1[[#This Row],[Country]],Table4[Hammer Throw Classification],"&gt;0")</f>
        <v>0</v>
      </c>
      <c r="BJ187" s="6">
        <f>COUNTIFS(Table5[Country],Tabela1[[#This Row],[Country]],Table5[Hammer Throw Classification],"&gt;0")</f>
        <v>0</v>
      </c>
      <c r="BK187" s="6">
        <f>COUNTIFS(Table4[Country],Tabela1[[#This Row],[Country]],Table4[High Jump Classification],"&gt;0")</f>
        <v>0</v>
      </c>
      <c r="BL187" s="6">
        <f>COUNTIFS(Table5[Country],Tabela1[[#This Row],[Country]],Table5[High Jump Classification],"&gt;0")</f>
        <v>0</v>
      </c>
      <c r="BM187" s="6">
        <f>COUNTIFS(Table4[Country],Tabela1[[#This Row],[Country]],Table4[Javelin Throw Classification],"&gt;0")</f>
        <v>0</v>
      </c>
      <c r="BN187" s="6">
        <f>COUNTIFS(Table5[Country],Tabela1[[#This Row],[Country]],Table5[Javelin Throw Classification],"&gt;0")</f>
        <v>0</v>
      </c>
      <c r="BO187" s="6">
        <f>COUNTIFS(Table4[Country],Tabela1[[#This Row],[Country]],Table4[Long Jump Classification],"&gt;0")</f>
        <v>0</v>
      </c>
      <c r="BP187" s="6">
        <f>COUNTIFS(Table5[Country],Tabela1[[#This Row],[Country]],Table5[Long Jump Classification],"&gt;0")</f>
        <v>0</v>
      </c>
      <c r="BQ187" s="6">
        <f>COUNTIFS(Table4[Country],Tabela1[[#This Row],[Country]],Table4[Pole Vault Classification],"&gt;0")</f>
        <v>0</v>
      </c>
      <c r="BR187" s="6">
        <f>COUNTIFS(Table5[Country],Tabela1[[#This Row],[Country]],Table5[Pole Vault Classification],"&gt;0")</f>
        <v>0</v>
      </c>
      <c r="BS187" s="6">
        <f>COUNTIFS(Table4[Country],Tabela1[[#This Row],[Country]],Table4[Shot Put Classification],"&gt;0")</f>
        <v>0</v>
      </c>
      <c r="BT187" s="6">
        <f>COUNTIFS(Table5[Country],Tabela1[[#This Row],[Country]],Table5[Shot Put Classification],"&gt;0")</f>
        <v>0</v>
      </c>
      <c r="BU187" s="6">
        <f>COUNTIFS(Table4[Country],Tabela1[[#This Row],[Country]],Table4[Triple Jump Classification],"&gt;0")</f>
        <v>0</v>
      </c>
      <c r="BV187" s="6">
        <f>COUNTIFS(Table5[Country],Tabela1[[#This Row],[Country]],Table5[Triple Jump Classification],"&gt;0")</f>
        <v>0</v>
      </c>
      <c r="BW187" s="6">
        <f>COUNTIFS(Table4[Country],Tabela1[[#This Row],[Country]],Table4[Decathlon Classification],"&gt;0")</f>
        <v>0</v>
      </c>
      <c r="BX187" s="6">
        <f>COUNTIFS(Table5[Country],Tabela1[[#This Row],[Country]],Table5[Heptathlon Classification],"&gt;0")</f>
        <v>0</v>
      </c>
      <c r="BY187" s="6">
        <f>COUNTIFS(Table61[Country],Tabela1[[#This Row],[Country]],Table61[Classification],"&gt;0")</f>
        <v>0</v>
      </c>
      <c r="BZ187" s="6">
        <f>COUNTIFS(Table38[Country],Tabela1[[#This Row],[Country]],Table38[Classification],"&gt;0")</f>
        <v>0</v>
      </c>
      <c r="CA187" s="6">
        <f>COUNTIFS(Table39[Country],Tabela1[[#This Row],[Country]],Table39[Men''s Classification],"&gt;0")</f>
        <v>0</v>
      </c>
      <c r="CB187" s="6">
        <f>COUNTIFS(Table39[Country],Tabela1[[#This Row],[Country]],Table39[Women''s Classification],"&gt;0")</f>
        <v>0</v>
      </c>
      <c r="CC187" s="6">
        <f>COUNTIFS(Table39[Country],Tabela1[[#This Row],[Country]],Table39[Mixed Classification],"&gt;0")</f>
        <v>0</v>
      </c>
      <c r="CD187" s="6">
        <f>COUNTIFS(Table89[Country],Tabela1[[#This Row],[Country]],Table89[Men''s Classification],"&gt;0")</f>
        <v>0</v>
      </c>
      <c r="CE187" s="6">
        <f>COUNTIFS(Table89[Country],Tabela1[[#This Row],[Country]],Table89[Women''s Classification],"&gt;0")</f>
        <v>0</v>
      </c>
      <c r="CF187" s="6">
        <f>COUNTIFS(Table90[Country],Tabela1[[#This Row],[Country]],Table90[Men''s Classification],"&gt;0")</f>
        <v>0</v>
      </c>
      <c r="CG187" s="6">
        <f>COUNTIFS(Table90[Country],Tabela1[[#This Row],[Country]],Table90[Women''s Classification],"&gt;0")</f>
        <v>0</v>
      </c>
      <c r="CH187" s="6">
        <f>COUNTIFS(Table60[Country],Tabela1[[#This Row],[Country]],Table60[Men''s Classification],"&gt;0")</f>
        <v>0</v>
      </c>
      <c r="CI187" s="6">
        <f>COUNTIFS(Table60[Country],Tabela1[[#This Row],[Country]],Table60[Women''s Classification],"&gt;0")</f>
        <v>0</v>
      </c>
      <c r="CJ187" s="6">
        <f>COUNTIFS(Table6[Country],Tabela1[[#This Row],[Country]],Table6[51kg Classification],"&gt;0")</f>
        <v>0</v>
      </c>
      <c r="CK187" s="6">
        <f>COUNTIFS(Table6[Country],Tabela1[[#This Row],[Country]],Table6[57kg Classification],"&gt;0")</f>
        <v>0</v>
      </c>
      <c r="CL187" s="6">
        <f>COUNTIFS(Table6[Country],Tabela1[[#This Row],[Country]],Table6[63.5kg Classification],"&gt;0")</f>
        <v>0</v>
      </c>
      <c r="CM187" s="6">
        <f>COUNTIFS(Table6[Country],Tabela1[[#This Row],[Country]],Table6[71kg Classification],"&gt;0")</f>
        <v>0</v>
      </c>
      <c r="CN187" s="6">
        <f>COUNTIFS(Table6[Country],Tabela1[[#This Row],[Country]],Table6[80kg Classification],"&gt;0")</f>
        <v>0</v>
      </c>
      <c r="CO187" s="6">
        <f>COUNTIFS(Table6[Country],Tabela1[[#This Row],[Country]],Table6[92kg Classification],"&gt;0")</f>
        <v>0</v>
      </c>
      <c r="CP187" s="6">
        <f>COUNTIFS(Table6[Country],Tabela1[[#This Row],[Country]],Table6[Plus 92kg Classification],"&gt;0")</f>
        <v>0</v>
      </c>
      <c r="CQ187" s="6">
        <f>COUNTIFS(Table7[Country],Tabela1[[#This Row],[Country]],Table7[50kg Classification],"&gt;0")</f>
        <v>0</v>
      </c>
      <c r="CR187" s="6">
        <f>COUNTIFS(Table7[Country],Tabela1[[#This Row],[Country]],Table7[54kg Classification],"&gt;0")</f>
        <v>0</v>
      </c>
      <c r="CS187" s="6">
        <f>COUNTIFS(Table7[Country],Tabela1[[#This Row],[Country]],Table7[57kg Classification],"&gt;0")</f>
        <v>0</v>
      </c>
      <c r="CT187" s="6">
        <f>COUNTIFS(Table7[Country],Tabela1[[#This Row],[Country]],Table7[60kg Classification],"&gt;0")</f>
        <v>0</v>
      </c>
      <c r="CU187" s="6">
        <f>COUNTIFS(Table7[Country],Tabela1[[#This Row],[Country]],Table7[66kg Classification],"&gt;0")</f>
        <v>0</v>
      </c>
      <c r="CV187" s="6">
        <f>COUNTIFS(Table7[Country],Tabela1[[#This Row],[Country]],Table7[75kg Classification],"&gt;0")</f>
        <v>0</v>
      </c>
      <c r="CW187" s="6">
        <f>COUNTIFS(Tabela94[Country],Tabela1[[#This Row],[Country]],Tabela94[Classification],"&gt;0")</f>
        <v>0</v>
      </c>
      <c r="CX187" s="6">
        <f>COUNTIFS(Tabela9499[Country],Tabela1[[#This Row],[Country]],Tabela9499[Classification],"&gt;0")</f>
        <v>0</v>
      </c>
      <c r="CY187" s="6">
        <f>COUNTIFS(Tabela107[Country],Tabela1[[#This Row],[Country]],Tabela107[C1 Slalom Classification],"&gt;0")</f>
        <v>0</v>
      </c>
      <c r="CZ187" s="6">
        <f>COUNTIFS(Tabela107122[Country],Tabela1[[#This Row],[Country]],Tabela107122[C1 Slalom Classification],"&gt;0")</f>
        <v>0</v>
      </c>
      <c r="DA187" s="6">
        <f>COUNTIFS(Tabela107[Country],Tabela1[[#This Row],[Country]],Tabela107[K1 Slalom Classification],"&gt;0")</f>
        <v>0</v>
      </c>
      <c r="DB187" s="6">
        <f>COUNTIFS(Tabela107122[Country],Tabela1[[#This Row],[Country]],Tabela107122[K1 Slalom Classification],"&gt;0")</f>
        <v>0</v>
      </c>
      <c r="DC187" s="6">
        <f>COUNTIFS(Tabela107[Country],Tabela1[[#This Row],[Country]],Tabela107[Kayak Cross Slalom Classification],"&gt;0")</f>
        <v>0</v>
      </c>
      <c r="DD187" s="6">
        <f>COUNTIFS(Tabela107122[Country],Tabela1[[#This Row],[Country]],Tabela107122[Kayak Cross Slalom Classification],"&gt;0")</f>
        <v>0</v>
      </c>
      <c r="DE187" s="6">
        <f>COUNTIFS(Table8[Country],Tabela1[[#This Row],[Country]],Table8[C1 200m Classification],"&gt;0")</f>
        <v>0</v>
      </c>
      <c r="DF187" s="6">
        <f>COUNTIFS(Table40[Country],Tabela1[[#This Row],[Country]],Table40[C1 1000m Classification],"&gt;0")</f>
        <v>0</v>
      </c>
      <c r="DG187" s="6">
        <f>COUNTIFS(Table68[Country],Tabela1[[#This Row],[Country]],Table68[Men''s C2 500m Classification],"&gt;0")</f>
        <v>0</v>
      </c>
      <c r="DH187" s="6">
        <f>COUNTIFS(Table68[Country],Tabela1[[#This Row],[Country]],Table68[Women''s C2 500m Classification],"&gt;0")</f>
        <v>0</v>
      </c>
      <c r="DI187" s="6">
        <f>COUNTIFS(Table8[Country],Tabela1[[#This Row],[Country]],Table8[K1 500m Classification],"&gt;0")</f>
        <v>0</v>
      </c>
      <c r="DJ187" s="6">
        <f>COUNTIFS(Table40[Country],Tabela1[[#This Row],[Country]],Table40[K1 1000m Classification],"&gt;0")</f>
        <v>0</v>
      </c>
      <c r="DK187" s="6">
        <f>COUNTIFS(Table68[Country],Tabela1[[#This Row],[Country]],Table68[Men''s K2 500m Classification],"&gt;0")</f>
        <v>0</v>
      </c>
      <c r="DL187" s="6">
        <f>COUNTIFS(Table68[Country],Tabela1[[#This Row],[Country]],Table68[Women''s K2 500m Classification],"&gt;0")</f>
        <v>0</v>
      </c>
      <c r="DM187" s="6">
        <f>COUNTIFS(Table83[Country],Tabela1[[#This Row],[Country]],Table83[Men''s K4 500m Classification],"&gt;0")</f>
        <v>0</v>
      </c>
      <c r="DN187" s="6">
        <f>COUNTIFS(Table83[Country],Tabela1[[#This Row],[Country]],Table83[Women''s K4 500m Classification],"&gt;0")</f>
        <v>0</v>
      </c>
      <c r="DO187" s="6">
        <f>COUNTIFS(Tabela126[Country],Tabela1[[#This Row],[Country]],Tabela126[Classification],"&gt;0")</f>
        <v>0</v>
      </c>
      <c r="DP187" s="6">
        <f>COUNTIFS(Tabela126130[Country],Tabela1[[#This Row],[Country]],Tabela126130[Classification],"&gt;0")</f>
        <v>0</v>
      </c>
      <c r="DQ187" s="6">
        <f>COUNTIFS(Table70[Country],Tabela1[[#This Row],[Country]],Table70[Classification],"&gt;0")</f>
        <v>0</v>
      </c>
      <c r="DR187" s="6">
        <f>COUNTIFS(Table80[Country],Tabela1[[#This Row],[Country]],Table80[Classification],"&gt;0")</f>
        <v>0</v>
      </c>
      <c r="DS187" s="6">
        <f>COUNTIFS(Table66[Country],Tabela1[[#This Row],[Country]],Table66[Classification],"&gt;0")</f>
        <v>0</v>
      </c>
      <c r="DT187" s="6">
        <f>COUNTIFS(Table67[Country],Tabela1[[#This Row],[Country]],Table67[Classification],"&gt;0")</f>
        <v>0</v>
      </c>
      <c r="DU187" s="6">
        <f>COUNTIFS(Table69[Country],Tabela1[[#This Row],[Country]],Table69[Keirin Classification],"&gt;0")</f>
        <v>0</v>
      </c>
      <c r="DV187" s="6">
        <f>COUNTIFS(Table41[Country],Tabela1[[#This Row],[Country]],Table41[Keirin Classification],"&gt;0")</f>
        <v>0</v>
      </c>
      <c r="DW187" s="6">
        <f>COUNTIFS(Table84[Country],Tabela1[[#This Row],[Country]],Table84[Men''s Madison Classification],"&gt;0")</f>
        <v>0</v>
      </c>
      <c r="DX187" s="6">
        <f>COUNTIFS(Table84[Country],Tabela1[[#This Row],[Country]],Table84[Women''s Madison Classification],"&gt;0")</f>
        <v>0</v>
      </c>
      <c r="DY187" s="6">
        <f>COUNTIFS(Table69[Country],Tabela1[[#This Row],[Country]],Table69[Omnium Classification],"&gt;0")</f>
        <v>0</v>
      </c>
      <c r="DZ187" s="6">
        <f>COUNTIFS(Table41[Country],Tabela1[[#This Row],[Country]],Table41[Omnium Classification],"&gt;0")</f>
        <v>0</v>
      </c>
      <c r="EA187" s="6">
        <f>COUNTIFS(Table9[Country],Tabela1[[#This Row],[Country]],Table9[Road Race Classification],"&gt;0")</f>
        <v>0</v>
      </c>
      <c r="EB187" s="6">
        <f>COUNTIFS(Table14[Country],Tabela1[[#This Row],[Country]],Table14[Road Race Classification],"&gt;0")</f>
        <v>0</v>
      </c>
      <c r="EC187" s="6">
        <f>COUNTIFS(Table69[Country],Tabela1[[#This Row],[Country]],Table69[Sprint Classification],"&gt;0")</f>
        <v>0</v>
      </c>
      <c r="ED187" s="6">
        <f>COUNTIFS(Table41[Country],Tabela1[[#This Row],[Country]],Table41[Sprint Classification],"&gt;0")</f>
        <v>0</v>
      </c>
      <c r="EE187" s="6">
        <f>COUNTIFS(Table85[Country],Tabela1[[#This Row],[Country]],Table85[Men''s Sprint Classification],"&gt;0")</f>
        <v>0</v>
      </c>
      <c r="EF187" s="6">
        <f>COUNTIFS(Table85[Country],Tabela1[[#This Row],[Country]],Table85[Women''s Sprint Classification],"&gt;0")</f>
        <v>0</v>
      </c>
      <c r="EG187" s="6">
        <f>COUNTIFS(Table85[Country],Tabela1[[#This Row],[Country]],Table85[Men''s Pursuit Classification],"&gt;0")</f>
        <v>0</v>
      </c>
      <c r="EH187" s="6">
        <f>COUNTIFS(Table85[Country],Tabela1[[#This Row],[Country]],Table85[Women''s Pursuit Classification],"&gt;0")</f>
        <v>0</v>
      </c>
      <c r="EI187" s="6">
        <f>COUNTIFS(Table9[Country],Tabela1[[#This Row],[Country]],Table9[Time-Trial Classification],"&gt;0")</f>
        <v>0</v>
      </c>
      <c r="EJ187" s="6">
        <f>COUNTIFS(Table14[Country],Tabela1[[#This Row],[Country]],Table14[Time-Trial Classification],"&gt;0")</f>
        <v>0</v>
      </c>
      <c r="EK187" s="6">
        <f>COUNTIFS(Table42[Country],Tabela1[[#This Row],[Country]],Table42[Springboard Classification],"&gt;0")</f>
        <v>0</v>
      </c>
      <c r="EL187" s="6">
        <f>COUNTIFS(Table43[Country],Tabela1[[#This Row],[Country]],Table43[Springboard Classification],"&gt;0")</f>
        <v>0</v>
      </c>
      <c r="EM187" s="6">
        <f>COUNTIFS(Table42[Country],Tabela1[[#This Row],[Country]],Table42[Platform Classification],"&gt;0")</f>
        <v>0</v>
      </c>
      <c r="EN187" s="6">
        <f>COUNTIFS(Table43[Country],Tabela1[[#This Row],[Country]],Table43[Platform Classification],"&gt;0")</f>
        <v>0</v>
      </c>
      <c r="EO187" s="6">
        <f>COUNTIFS(Table86[Country],Tabela1[[#This Row],[Country]],Table86[Men''s Synchronized Springboard Classification],"&gt;0")</f>
        <v>0</v>
      </c>
      <c r="EP187" s="6">
        <f>COUNTIFS(Table86[Country],Tabela1[[#This Row],[Country]],Table86[Women''s Synchronized Springboard Classification],"&gt;0")</f>
        <v>0</v>
      </c>
      <c r="EQ187" s="6">
        <f>COUNTIFS(Table86[Country],Tabela1[[#This Row],[Country]],Table86[Men''s Synchronized Platform Classification],"&gt;0")</f>
        <v>0</v>
      </c>
      <c r="ER187" s="6">
        <f>COUNTIFS(Table86[Country],Tabela1[[#This Row],[Country]],Table86[Women''s Synchronized Platform Classification],"&gt;0")</f>
        <v>0</v>
      </c>
      <c r="ES187" s="6">
        <f>COUNTIFS(Table44[Country],Tabela1[[#This Row],[Country]],Table44[Dressage Classification],"&gt;0")</f>
        <v>0</v>
      </c>
      <c r="ET187" s="6">
        <f>COUNTIFS(Table45[Country],Tabela1[[#This Row],[Country]],Table45[Dressage Classification],"&gt;0")</f>
        <v>0</v>
      </c>
      <c r="EU187" s="6">
        <f>COUNTIFS(Table44[Country],Tabela1[[#This Row],[Country]],Table44[Eventing Classification],"&gt;0")</f>
        <v>0</v>
      </c>
      <c r="EV187" s="6">
        <f>COUNTIFS(Table45[Country],Tabela1[[#This Row],[Country]],Table45[Eventing Classification],"&gt;0")</f>
        <v>0</v>
      </c>
      <c r="EW187" s="6">
        <f>COUNTIFS(Table44[Country],Tabela1[[#This Row],[Country]],Table44[Jumping Classification],"&gt;0")</f>
        <v>0</v>
      </c>
      <c r="EX187" s="6">
        <f>COUNTIFS(Table45[Country],Tabela1[[#This Row],[Country]],Table45[Jumping Classification],"&gt;0")</f>
        <v>0</v>
      </c>
      <c r="EY187" s="6">
        <f>COUNTIFS(Table10[Country],Tabela1[[#This Row],[Country]],Table10[Épée Classification],"&gt;0")</f>
        <v>0</v>
      </c>
      <c r="EZ187" s="6">
        <f>COUNTIFS(Table11[Country],Tabela1[[#This Row],[Country]],Table11[Épée Classification],"&gt;0")</f>
        <v>0</v>
      </c>
      <c r="FA187" s="6">
        <f>COUNTIFS(Table46[Country],Tabela1[[#This Row],[Country]],Table46[Men''s Épée Classification],"&gt;0")</f>
        <v>0</v>
      </c>
      <c r="FB187" s="6">
        <f>COUNTIFS(Table46[Country],Tabela1[[#This Row],[Country]],Table46[Women''s Épée Classification],"&gt;0")</f>
        <v>0</v>
      </c>
      <c r="FC187" s="6">
        <f>COUNTIFS(Table10[Country],Tabela1[[#This Row],[Country]],Table10[Foil Classification],"&gt;0")</f>
        <v>0</v>
      </c>
      <c r="FD187" s="6">
        <f>COUNTIFS(Table11[Country],Tabela1[[#This Row],[Country]],Table11[Foil Classification],"&gt;0")</f>
        <v>0</v>
      </c>
      <c r="FE187" s="6">
        <f>COUNTIFS(Table46[Country],Tabela1[[#This Row],[Country]],Table46[Men''s Foil Classification],"&gt;0")</f>
        <v>0</v>
      </c>
      <c r="FF187" s="6">
        <f>COUNTIFS(Table46[Country],Tabela1[[#This Row],[Country]],Table46[Women''s Foil Classification],"&gt;0")</f>
        <v>0</v>
      </c>
      <c r="FG187" s="6">
        <f>COUNTIFS(Table10[Country],Tabela1[[#This Row],[Country]],Table10[Sabre Classification],"&gt;0")</f>
        <v>0</v>
      </c>
      <c r="FH187" s="6">
        <f>COUNTIFS(Table11[Country],Tabela1[[#This Row],[Country]],Table11[Sabre Classification],"&gt;0")</f>
        <v>0</v>
      </c>
      <c r="FI187" s="6">
        <f>COUNTIFS(Table46[Country],Tabela1[[#This Row],[Country]],Table46[Men''s Sabre Classification],"&gt;0")</f>
        <v>0</v>
      </c>
      <c r="FJ187" s="6">
        <f>COUNTIFS(Table46[Country],Tabela1[[#This Row],[Country]],Table46[Women''s Sabre Classification],"&gt;0")</f>
        <v>0</v>
      </c>
      <c r="FK187" s="6">
        <f>COUNTIFS(Table91[Country],Tabela1[[#This Row],[Country]],Table91[Men''s Classification],"&gt;0")</f>
        <v>0</v>
      </c>
      <c r="FL187" s="6">
        <f>COUNTIFS(Table91[Country],Tabela1[[#This Row],[Country]],Table91[Women''s Classification],"&gt;0")</f>
        <v>0</v>
      </c>
      <c r="FM187" s="6">
        <f>COUNTIFS(Table9194[Country],Tabela1[[#This Row],[Country]],Table9194[Men''s Classification],"&gt;0")</f>
        <v>0</v>
      </c>
      <c r="FN187" s="6">
        <f>COUNTIFS(Table9194[Country],Tabela1[[#This Row],[Country]],Table9194[Women''s Classification],"&gt;0")</f>
        <v>0</v>
      </c>
      <c r="FO187" s="6">
        <f>COUNTIFS(Table71[Country],Tabela1[[#This Row],[Country]],Table71[Classification],"&gt;0")</f>
        <v>0</v>
      </c>
      <c r="FP187" s="6">
        <f>COUNTIFS(Table62[Country],Tabela1[[#This Row],[Country]],Table62[Classification],"&gt;0")</f>
        <v>0</v>
      </c>
      <c r="FQ187" s="6">
        <f>COUNTIFS(Table47[Country],Tabela1[[#This Row],[Country]],Table47[All-Around Classification],"&gt;0")</f>
        <v>0</v>
      </c>
      <c r="FR187" s="6">
        <f>COUNTIFS(Table48[Country],Tabela1[[#This Row],[Country]],Table48[All-Around Classification],"&gt;0")</f>
        <v>0</v>
      </c>
      <c r="FS187" s="6">
        <f>COUNTIFS(Table81[Country],Tabela1[[#This Row],[Country]],Table81[Men''s All-Around Classification],"&gt;0")</f>
        <v>0</v>
      </c>
      <c r="FT187" s="6">
        <f>COUNTIFS(Table81[Country],Tabela1[[#This Row],[Country]],Table81[Women''s All-Around Classification],"&gt;0")</f>
        <v>0</v>
      </c>
      <c r="FU187" s="6">
        <f>COUNTIFS(Table48[Country],Tabela1[[#This Row],[Country]],Table48[Balance Beam Classification],"&gt;0")</f>
        <v>0</v>
      </c>
      <c r="FV187" s="6">
        <f>COUNTIFS(Table47[Country],Tabela1[[#This Row],[Country]],Table47[Floor Exercise Classification],"&gt;0")</f>
        <v>0</v>
      </c>
      <c r="FW187" s="6">
        <f>COUNTIFS(Table48[Country],Tabela1[[#This Row],[Country]],Table48[Floor Exercise Classification],"&gt;0")</f>
        <v>0</v>
      </c>
      <c r="FX187" s="6">
        <f>COUNTIFS(Table47[Country],Tabela1[[#This Row],[Country]],Table47[Horizontal Bar Classification],"&gt;0")</f>
        <v>0</v>
      </c>
      <c r="FY187" s="6">
        <f>COUNTIFS(Table47[Country],Tabela1[[#This Row],[Country]],Table47[Parallel Bars Classification],"&gt;0")</f>
        <v>0</v>
      </c>
      <c r="FZ187" s="6">
        <f>COUNTIFS(Table47[Country],Tabela1[[#This Row],[Country]],Table47[Pommel Horse Classification],"&gt;0")</f>
        <v>0</v>
      </c>
      <c r="GA187" s="6">
        <f>COUNTIFS(Table47[Country],Tabela1[[#This Row],[Country]],Table47[Rings Classification],"&gt;0")</f>
        <v>0</v>
      </c>
      <c r="GB187" s="6">
        <f>COUNTIFS(Tabela132[Country],Tabela1[[#This Row],[Country]],Tabela132[Classification],"&gt;0")</f>
        <v>0</v>
      </c>
      <c r="GC187" s="6">
        <f>COUNTIFS(Tabela139[Country],Tabela1[[#This Row],[Country]],Tabela139[Classification],"&gt;0")</f>
        <v>0</v>
      </c>
      <c r="GD187" s="6">
        <f>COUNTIFS(Table48[Country],Tabela1[[#This Row],[Country]],Table48[Uneven Bars Classification],"&gt;0")</f>
        <v>0</v>
      </c>
      <c r="GE187" s="6">
        <f>COUNTIFS(Table47[Country],Tabela1[[#This Row],[Country]],Table47[Vault Classification],"&gt;0")</f>
        <v>0</v>
      </c>
      <c r="GF187" s="6">
        <f>COUNTIFS(Table48[Country],Tabela1[[#This Row],[Country]],Table48[Vault Classification],"&gt;0")</f>
        <v>0</v>
      </c>
      <c r="GG187" s="6">
        <f>COUNTIFS(Table919496[Country],Tabela1[[#This Row],[Country]],Table919496[Men''s Classification],"&gt;0")</f>
        <v>0</v>
      </c>
      <c r="GH187" s="6">
        <f>COUNTIFS(Table919496[Country],Tabela1[[#This Row],[Country]],Table919496[Women''s Classification],"&gt;0")</f>
        <v>0</v>
      </c>
      <c r="GI187" s="6">
        <f>COUNTIFS(Table12[Country],Tabela1[[#This Row],[Country]],Table12[60kg Classification],"&gt;0")</f>
        <v>0</v>
      </c>
      <c r="GJ187" s="6">
        <f>COUNTIFS(Table12[Country],Tabela1[[#This Row],[Country]],Table12[66kg Classification],"&gt;0")</f>
        <v>0</v>
      </c>
      <c r="GK187" s="6">
        <f>COUNTIFS(Table12[Country],Tabela1[[#This Row],[Country]],Table12[73kg Classification],"&gt;0")</f>
        <v>0</v>
      </c>
      <c r="GL187" s="6">
        <f>COUNTIFS(Table12[Country],Tabela1[[#This Row],[Country]],Table12[81kg Classification],"&gt;0")</f>
        <v>0</v>
      </c>
      <c r="GM187" s="6">
        <f>COUNTIFS(Table12[Country],Tabela1[[#This Row],[Country]],Table12[90kg Classification],"&gt;0")</f>
        <v>0</v>
      </c>
      <c r="GN187" s="6">
        <f>COUNTIFS(Table12[Country],Tabela1[[#This Row],[Country]],Table12[100kg Classification],"&gt;0")</f>
        <v>0</v>
      </c>
      <c r="GO187" s="6">
        <f>COUNTIFS(Table12[Country],Tabela1[[#This Row],[Country]],Table12[Plus 100kg Classification],"&gt;0")</f>
        <v>0</v>
      </c>
      <c r="GP187" s="6">
        <f>COUNTIFS(Table13[Country],Tabela1[[#This Row],[Country]],Table13[48kg Classification],"&gt;0")</f>
        <v>0</v>
      </c>
      <c r="GQ187" s="6">
        <f>COUNTIFS(Table13[Country],Tabela1[[#This Row],[Country]],Table13[52kg Classification],"&gt;0")</f>
        <v>0</v>
      </c>
      <c r="GR187" s="6">
        <f>COUNTIFS(Table13[Country],Tabela1[[#This Row],[Country]],Table13[57kg Classification],"&gt;0")</f>
        <v>0</v>
      </c>
      <c r="GS187" s="6">
        <f>COUNTIFS(Table13[Country],Tabela1[[#This Row],[Country]],Table13[63kg Classification],"&gt;0")</f>
        <v>0</v>
      </c>
      <c r="GT187" s="6">
        <f>COUNTIFS(Table13[Country],Tabela1[[#This Row],[Country]],Table13[70kg Classification],"&gt;0")</f>
        <v>0</v>
      </c>
      <c r="GU187" s="6">
        <f>COUNTIFS(Table13[Country],Tabela1[[#This Row],[Country]],Table13[78kg Classification],"&gt;0")</f>
        <v>0</v>
      </c>
      <c r="GV187" s="6">
        <f>COUNTIFS(Table13[Country],Tabela1[[#This Row],[Country]],Table13[Plus 78kg Classification],"&gt;0")</f>
        <v>0</v>
      </c>
      <c r="GW187" s="6">
        <f>COUNTIFS(Table82[Country],Tabela1[[#This Row],[Country]],Table82[Mixed Classification],"&gt;0")</f>
        <v>0</v>
      </c>
      <c r="GX187" s="6">
        <f>COUNTIFS(Table51[Country],Tabela1[[#This Row],[Country]],Table51[Classification],"&gt;0")</f>
        <v>0</v>
      </c>
      <c r="GY187" s="6">
        <f>COUNTIFS(Table52[Country],Tabela1[[#This Row],[Country]],Table52[Classification],"&gt;0")</f>
        <v>0</v>
      </c>
      <c r="GZ187" s="6">
        <f>COUNTIFS(Table32[Country],Tabela1[[#This Row],[Country]],Table32[All-Around Classification],"&gt;0")</f>
        <v>0</v>
      </c>
      <c r="HA187" s="6">
        <f>COUNTIFS(Table49[Country],Tabela1[[#This Row],[Country]],Table49[All-Around Classification],"&gt;0")</f>
        <v>0</v>
      </c>
      <c r="HB187" s="6">
        <f>COUNTIFS(Table26[Country],Tabela1[[#This Row],[Country]],Table26[Single Sculls Classification],"&gt;0")</f>
        <v>0</v>
      </c>
      <c r="HC187" s="6">
        <f>COUNTIFS(Table63[Country],Tabela1[[#This Row],[Country]],Table63[Single Sculls Classification],"&gt;0")</f>
        <v>0</v>
      </c>
      <c r="HD187" s="6">
        <f>COUNTIFS(Table16[Country],Tabela1[[#This Row],[Country]],Table16[Men''s Double Sculls Classification],"&gt;0")</f>
        <v>0</v>
      </c>
      <c r="HE187" s="6">
        <f>COUNTIFS(Table16[Country],Tabela1[[#This Row],[Country]],Table16[Women''s Double Sculls Classification],"&gt;0")</f>
        <v>0</v>
      </c>
      <c r="HF187" s="6">
        <f>COUNTIFS(Table72[Country],Tabela1[[#This Row],[Country]],Table72[Men''s Quadruple Sculls Classification],"&gt;0")</f>
        <v>0</v>
      </c>
      <c r="HG187" s="6">
        <f>COUNTIFS(Table72[Country],Tabela1[[#This Row],[Country]],Table72[Women''s Quadruple Sculls Classification],"&gt;0")</f>
        <v>0</v>
      </c>
      <c r="HH187" s="6">
        <f>COUNTIFS(Table16[Country],Tabela1[[#This Row],[Country]],Table16[Men''s Coxless Pairs Classification],"&gt;0")</f>
        <v>0</v>
      </c>
      <c r="HI187" s="6">
        <f>COUNTIFS(Table16[Country],Tabela1[[#This Row],[Country]],Table16[Women''s Coxless Pairs Classification],"&gt;0")</f>
        <v>0</v>
      </c>
      <c r="HJ187" s="6">
        <f>COUNTIFS(Table72[Country],Tabela1[[#This Row],[Country]],Table72[Men''s Coxless Fours Classification],"&gt;0")</f>
        <v>0</v>
      </c>
      <c r="HK187" s="6">
        <f>COUNTIFS(Table72[Country],Tabela1[[#This Row],[Country]],Table72[Women''s Coxless Fours Classification],"&gt;0")</f>
        <v>0</v>
      </c>
      <c r="HL187" s="6">
        <f>COUNTIFS(Table72[Country],Tabela1[[#This Row],[Country]],Table72[Men''s Eights Classification],"&gt;0")</f>
        <v>0</v>
      </c>
      <c r="HM187" s="6">
        <f>COUNTIFS(Table72[Country],Tabela1[[#This Row],[Country]],Table72[Women''s Eights Classification],"&gt;0")</f>
        <v>0</v>
      </c>
      <c r="HN187" s="6">
        <f>COUNTIFS(Table16[Country],Tabela1[[#This Row],[Country]],Table16[Men''s Lwt. Double Sculls Classification],"&gt;0")</f>
        <v>0</v>
      </c>
      <c r="HO187" s="6">
        <f>COUNTIFS(Table16[Country],Tabela1[[#This Row],[Country]],Table16[Women''s Lwt. Double Sculls Classification],"&gt;0")</f>
        <v>0</v>
      </c>
      <c r="HP187" s="6">
        <f>COUNTIFS(Table91949698[Country],Tabela1[[#This Row],[Country]],Table91949698[Men''s Classification],"&gt;0")</f>
        <v>0</v>
      </c>
      <c r="HQ187" s="6">
        <f>COUNTIFS(Table91949698[Country],Tabela1[[#This Row],[Country]],Table91949698[Women''s Classification],"&gt;0")</f>
        <v>0</v>
      </c>
      <c r="HR187" s="6">
        <f>COUNTIFS(Table25[Country],Tabela1[[#This Row],[Country]],Table25[Mixed 470 Classification],"&gt;0")</f>
        <v>0</v>
      </c>
      <c r="HS187" s="6">
        <f>COUNTIFS(Table25[Country],Tabela1[[#This Row],[Country]],Table25[Men''s 49er Classification],"&gt;0")</f>
        <v>0</v>
      </c>
      <c r="HT187" s="6">
        <f>COUNTIFS(Table25[Country],Tabela1[[#This Row],[Country]],Table25[Women''s 49er FX Classification],"&gt;0")</f>
        <v>0</v>
      </c>
      <c r="HU187" s="6">
        <f>COUNTIFS(Table17[Country],Tabela1[[#This Row],[Country]],Table17[Formula Kite Classification],"&gt;0")</f>
        <v>0</v>
      </c>
      <c r="HV187" s="6">
        <f>COUNTIFS(Table18[Country],Tabela1[[#This Row],[Country]],Table18[Formula Kite Classification],"&gt;0")</f>
        <v>0</v>
      </c>
      <c r="HW187" s="6">
        <f>COUNTIFS(Table17[Country],Tabela1[[#This Row],[Country]],Table17[ILCA 7 Classification],"&gt;0")</f>
        <v>0</v>
      </c>
      <c r="HX187" s="6">
        <f>COUNTIFS(Table18[Country],Tabela1[[#This Row],[Country]],Table18[ILCA 6 Classification],"&gt;0")</f>
        <v>0</v>
      </c>
      <c r="HY187" s="6">
        <f>COUNTIFS(Table17[Country],Tabela1[[#This Row],[Country]],Table17[IQFoil Classification],"&gt;0")</f>
        <v>0</v>
      </c>
      <c r="HZ187" s="6">
        <f>COUNTIFS(Table18[Country],Tabela1[[#This Row],[Country]],Table18[IQFoil Classification],"&gt;0")</f>
        <v>0</v>
      </c>
      <c r="IA187" s="6">
        <f>COUNTIFS(Table25[Country],Tabela1[[#This Row],[Country]],Table25[Mixed Nacra 17 Classification],"&gt;0")</f>
        <v>0</v>
      </c>
      <c r="IB187" s="6">
        <f>COUNTIFS(Table53[Country],Tabela1[[#This Row],[Country]],Table53[10m Air Pistol Classification],"&gt;0")</f>
        <v>0</v>
      </c>
      <c r="IC187" s="6">
        <f>COUNTIFS(Table19[Country],Tabela1[[#This Row],[Country]],Table19[10m Air Pistol Classification],"&gt;0")</f>
        <v>0</v>
      </c>
      <c r="ID187" s="6">
        <f>COUNTIFS(Table54[Country],Tabela1[[#This Row],[Country]],Table54[Mixed 10m Air Pistol Team Classification],"&gt;0")</f>
        <v>0</v>
      </c>
      <c r="IE187" s="6">
        <f>COUNTIFS(Table53[Country],Tabela1[[#This Row],[Country]],Table53[10m Air Rifle Classification],"&gt;0")</f>
        <v>0</v>
      </c>
      <c r="IF187" s="6">
        <f>COUNTIFS(Table19[Country],Tabela1[[#This Row],[Country]],Table19[10m Air Rifle Classification],"&gt;0")</f>
        <v>0</v>
      </c>
      <c r="IG187" s="6">
        <f>COUNTIFS(Table54[Country],Tabela1[[#This Row],[Country]],Table54[Mixed 10m Air Rifle Team Classification],"&gt;0")</f>
        <v>0</v>
      </c>
      <c r="IH187" s="6">
        <f>COUNTIFS(Table53[Country],Tabela1[[#This Row],[Country]],Table53[25m Rapid Fire Pistol Classification],"&gt;0")</f>
        <v>0</v>
      </c>
      <c r="II187" s="6">
        <f>COUNTIFS(Table19[Country],Tabela1[[#This Row],[Country]],Table19[25m Pistol Classification],"&gt;0")</f>
        <v>0</v>
      </c>
      <c r="IJ187" s="6">
        <f>COUNTIFS(Table53[Country],Tabela1[[#This Row],[Country]],Table53[50m Rifle 3 Positions Classification],"&gt;0")</f>
        <v>0</v>
      </c>
      <c r="IK187" s="6">
        <f>COUNTIFS(Table19[Country],Tabela1[[#This Row],[Country]],Table19[50m Rifle 3 Positions Classification],"&gt;0")</f>
        <v>0</v>
      </c>
      <c r="IL187" s="6">
        <f>COUNTIFS(Table53[Country],Tabela1[[#This Row],[Country]],Table53[Skeet Classification],"&gt;0")</f>
        <v>0</v>
      </c>
      <c r="IM187" s="6">
        <f>COUNTIFS(Table19[Country],Tabela1[[#This Row],[Country]],Table19[Skeet Classification],"&gt;0")</f>
        <v>0</v>
      </c>
      <c r="IN187" s="6">
        <f>COUNTIFS(Table54[Country],Tabela1[[#This Row],[Country]],Table54[Mixed Skeet Team Classification],"&gt;0")</f>
        <v>0</v>
      </c>
      <c r="IO187" s="6">
        <f>COUNTIFS(Table53[Country],Tabela1[[#This Row],[Country]],Table53[Trap Classification],"&gt;0")</f>
        <v>0</v>
      </c>
      <c r="IP187" s="6">
        <f>COUNTIFS(Table19[Country],Tabela1[[#This Row],[Country]],Table19[Trap Classification],"&gt;0")</f>
        <v>0</v>
      </c>
      <c r="IQ187" s="6">
        <f>COUNTIFS(Table73[Country],Tabela1[[#This Row],[Country]],Table73[Park Classification],"&gt;0")</f>
        <v>0</v>
      </c>
      <c r="IR187" s="6">
        <f>COUNTIFS(Table74[Country],Tabela1[[#This Row],[Country]],Table74[Park Classification],"&gt;0")</f>
        <v>0</v>
      </c>
      <c r="IS187" s="6">
        <f>COUNTIFS(Table73[Country],Tabela1[[#This Row],[Country]],Table73[Street Classification],"&gt;0")</f>
        <v>0</v>
      </c>
      <c r="IT187" s="6">
        <f>COUNTIFS(Table74[Country],Tabela1[[#This Row],[Country]],Table74[Street Classification],"&gt;0")</f>
        <v>0</v>
      </c>
      <c r="IU187" s="6">
        <f>COUNTIFS(Table75[Country],Tabela1[[#This Row],[Country]],Table75[Boulder and Lead Classification],"&gt;0")</f>
        <v>0</v>
      </c>
      <c r="IV187" s="6">
        <f>COUNTIFS(Table76[Country],Tabela1[[#This Row],[Country]],Table76[Boulder and Lead Classification],"&gt;0")</f>
        <v>0</v>
      </c>
      <c r="IW187" s="6">
        <f>COUNTIFS(Table75[Country],Tabela1[[#This Row],[Country]],Table75[Speed Classification],"&gt;0")</f>
        <v>0</v>
      </c>
      <c r="IX187" s="6">
        <f>COUNTIFS(Table76[Country],Tabela1[[#This Row],[Country]],Table76[Speed Classification],"&gt;0")</f>
        <v>0</v>
      </c>
      <c r="IY187" s="6">
        <f>COUNTIFS(Table64[Country],Tabela1[[#This Row],[Country]],Table64[Shortboard Classification],"&gt;0")</f>
        <v>0</v>
      </c>
      <c r="IZ187" s="6">
        <f>COUNTIFS(Table77[Country],Tabela1[[#This Row],[Country]],Table77[Shortboard Classification],"&gt;0")</f>
        <v>0</v>
      </c>
      <c r="JA187" s="6">
        <f>COUNTIFS(Table20[Country],Tabela1[[#This Row],[Country]],Table20[50m Freestyle Classification],"&gt;0")</f>
        <v>0</v>
      </c>
      <c r="JB187" s="6">
        <f>COUNTIFS(Table21[Country],Tabela1[[#This Row],[Country]],Table21[50m Freestyle Classification],"&gt;0")</f>
        <v>0</v>
      </c>
      <c r="JC187" s="6">
        <f>COUNTIFS(Table20[Country],Tabela1[[#This Row],[Country]],Table20[100m Freestyle Classification],"&gt;0")</f>
        <v>0</v>
      </c>
      <c r="JD187" s="6">
        <f>COUNTIFS(Table21[Country],Tabela1[[#This Row],[Country]],Table21[100m Freestyle Classification],"&gt;0")</f>
        <v>0</v>
      </c>
      <c r="JE187" s="6">
        <f>COUNTIFS(Table20[Country],Tabela1[[#This Row],[Country]],Table20[200m Freestyle Classification],"&gt;0")</f>
        <v>0</v>
      </c>
      <c r="JF187" s="6">
        <f>COUNTIFS(Table21[Country],Tabela1[[#This Row],[Country]],Table21[200m Freestyle Classification],"&gt;0")</f>
        <v>0</v>
      </c>
      <c r="JG187" s="6">
        <f>COUNTIFS(Table20[Country],Tabela1[[#This Row],[Country]],Table20[400m Freestyle Classification],"&gt;0")</f>
        <v>0</v>
      </c>
      <c r="JH187" s="6">
        <f>COUNTIFS(Table21[Country],Tabela1[[#This Row],[Country]],Table21[400m Freestyle Classification],"&gt;0")</f>
        <v>0</v>
      </c>
      <c r="JI187" s="6">
        <f>COUNTIFS(Table20[Country],Tabela1[[#This Row],[Country]],Table20[800m Freestyle Classification],"&gt;0")</f>
        <v>0</v>
      </c>
      <c r="JJ187" s="6">
        <f>COUNTIFS(Table21[Country],Tabela1[[#This Row],[Country]],Table21[800m Freestyle Classification],"&gt;0")</f>
        <v>0</v>
      </c>
      <c r="JK187" s="6">
        <f>COUNTIFS(Table20[Country],Tabela1[[#This Row],[Country]],Table20[1500m Freestyle Classification],"&gt;0")</f>
        <v>0</v>
      </c>
      <c r="JL187" s="6">
        <f>COUNTIFS(Table21[Country],Tabela1[[#This Row],[Country]],Table21[1500m Freestyle Classification],"&gt;0")</f>
        <v>0</v>
      </c>
      <c r="JM187" s="6">
        <f>COUNTIFS(Table20[Country],Tabela1[[#This Row],[Country]],Table20[100m Backstroke Classification],"&gt;0")</f>
        <v>0</v>
      </c>
      <c r="JN187" s="6">
        <f>COUNTIFS(Table21[Country],Tabela1[[#This Row],[Country]],Table21[100m Backstroke Classification],"&gt;0")</f>
        <v>0</v>
      </c>
      <c r="JO187" s="6">
        <f>COUNTIFS(Table20[Country],Tabela1[[#This Row],[Country]],Table20[200m Backstroke Classification],"&gt;0")</f>
        <v>0</v>
      </c>
      <c r="JP187" s="6">
        <f>COUNTIFS(Table21[Country],Tabela1[[#This Row],[Country]],Table21[200m Backstroke Classification],"&gt;0")</f>
        <v>0</v>
      </c>
      <c r="JQ187" s="6">
        <f>COUNTIFS(Table20[Country],Tabela1[[#This Row],[Country]],Table20[100m Breaststroke Classification],"&gt;0")</f>
        <v>0</v>
      </c>
      <c r="JR187" s="6">
        <f>COUNTIFS(Table21[Country],Tabela1[[#This Row],[Country]],Table21[100m Breaststroke Classification],"&gt;0")</f>
        <v>0</v>
      </c>
      <c r="JS187" s="6">
        <f>COUNTIFS(Table20[Country],Tabela1[[#This Row],[Country]],Table20[200m Breaststroke Classification],"&gt;0")</f>
        <v>0</v>
      </c>
      <c r="JT187" s="6">
        <f>COUNTIFS(Table21[Country],Tabela1[[#This Row],[Country]],Table21[200m Breaststroke Classification],"&gt;0")</f>
        <v>0</v>
      </c>
      <c r="JU187" s="6">
        <f>COUNTIFS(Table20[Country],Tabela1[[#This Row],[Country]],Table20[100m Butterfly Classification],"&gt;0")</f>
        <v>0</v>
      </c>
      <c r="JV187" s="6">
        <f>COUNTIFS(Table21[Country],Tabela1[[#This Row],[Country]],Table21[100m Butterfly Classification],"&gt;0")</f>
        <v>0</v>
      </c>
      <c r="JW187" s="6">
        <f>COUNTIFS(Table20[Country],Tabela1[[#This Row],[Country]],Table20[200m Butterfly Classification],"&gt;0")</f>
        <v>0</v>
      </c>
      <c r="JX187" s="6">
        <f>COUNTIFS(Table21[Country],Tabela1[[#This Row],[Country]],Table21[200m Butterfly Classification],"&gt;0")</f>
        <v>0</v>
      </c>
      <c r="JY187" s="6">
        <f>COUNTIFS(Table20[Country],Tabela1[[#This Row],[Country]],Table20[200m Medley Classification],"&gt;0")</f>
        <v>0</v>
      </c>
      <c r="JZ187" s="6">
        <f>COUNTIFS(Table21[Country],Tabela1[[#This Row],[Country]],Table21[200m Medley Classification],"&gt;0")</f>
        <v>0</v>
      </c>
      <c r="KA187" s="6">
        <f>COUNTIFS(Table20[Country],Tabela1[[#This Row],[Country]],Table20[400m Medley Classification],"&gt;0")</f>
        <v>0</v>
      </c>
      <c r="KB187" s="6">
        <f>COUNTIFS(Table21[Country],Tabela1[[#This Row],[Country]],Table21[400m Medley Classification],"&gt;0")</f>
        <v>0</v>
      </c>
      <c r="KC187" s="6">
        <f>COUNTIFS(Table78[Country],Tabela1[[#This Row],[Country]],Table78[Men''s 4x100m Freestyle Relay Classification],"&gt;0")</f>
        <v>0</v>
      </c>
      <c r="KD187" s="6">
        <f>COUNTIFS(Table78[Country],Tabela1[[#This Row],[Country]],Table78[Women''s 4x100m Freestyle Relay Classification],"&gt;0")</f>
        <v>0</v>
      </c>
      <c r="KE187" s="6">
        <f>COUNTIFS(Table78[Country],Tabela1[[#This Row],[Country]],Table78[Men''s 4x200m Freestyle Relay Classification],"&gt;0")</f>
        <v>0</v>
      </c>
      <c r="KF187" s="6">
        <f>COUNTIFS(Table78[Country],Tabela1[[#This Row],[Country]],Table78[Women''s 4x200m Freestyle Relay Classification],"&gt;0")</f>
        <v>0</v>
      </c>
      <c r="KG187" s="6">
        <f>COUNTIFS(Table78[Country],Tabela1[[#This Row],[Country]],Table78[Men''s 4x100m Medley Relay Classification],"&gt;0")</f>
        <v>0</v>
      </c>
      <c r="KH187" s="6">
        <f>COUNTIFS(Table78[Country],Tabela1[[#This Row],[Country]],Table78[Women''s 4x100m Medley Relay Classification],"&gt;0")</f>
        <v>0</v>
      </c>
      <c r="KI187" s="6">
        <f>COUNTIFS(Table78[Country],Tabela1[[#This Row],[Country]],Table78[Mixed 4x100m Medley Relay Classification],"&gt;0")</f>
        <v>0</v>
      </c>
      <c r="KJ187" s="6">
        <f>COUNTIFS(Table20[Country],Tabela1[[#This Row],[Country]],Table20[10km Open Water Classification],"&gt;0")</f>
        <v>0</v>
      </c>
      <c r="KK187" s="6">
        <f>COUNTIFS(Table21[Country],Tabela1[[#This Row],[Country]],Table21[10km Open Water Classification],"&gt;0")</f>
        <v>0</v>
      </c>
      <c r="KL187" s="6">
        <f>COUNTIFS(Table22[Country],Tabela1[[#This Row],[Country]],Table22[Classification],"&gt;0")</f>
        <v>0</v>
      </c>
      <c r="KM187" s="6">
        <f>COUNTIFS(Table30[Country],Tabela1[[#This Row],[Country]],Table30[Classification],"&gt;0")</f>
        <v>0</v>
      </c>
      <c r="KN187" s="6">
        <f>COUNTIFS(Table55[Country],Tabela1[[#This Row],[Country]],Table55[Men''s Classification],"&gt;0")</f>
        <v>0</v>
      </c>
      <c r="KO187" s="6">
        <f>COUNTIFS(Table55[Country],Tabela1[[#This Row],[Country]],Table55[Women''s Classification],"&gt;0")</f>
        <v>0</v>
      </c>
      <c r="KP187" s="6">
        <f>COUNTIFS(Table56[Country],Tabela1[[#This Row],[Country]],Table56[Mixed Classification],"&gt;0")</f>
        <v>0</v>
      </c>
      <c r="KQ187" s="6">
        <f>COUNTIFS(Table29[Country],Tabela1[[#This Row],[Country]],Table29[58kg Classification],"&gt;0")</f>
        <v>0</v>
      </c>
      <c r="KR187" s="6">
        <f>COUNTIFS(Table29[Country],Tabela1[[#This Row],[Country]],Table29[68kg Classification],"&gt;0")</f>
        <v>0</v>
      </c>
      <c r="KS187" s="6">
        <f>COUNTIFS(Table29[Country],Tabela1[[#This Row],[Country]],Table29[80kg Classification],"&gt;0")</f>
        <v>0</v>
      </c>
      <c r="KT187" s="6">
        <f>COUNTIFS(Table29[Country],Tabela1[[#This Row],[Country]],Table29[Plus 80kg Classification],"&gt;0")</f>
        <v>0</v>
      </c>
      <c r="KU187" s="6">
        <f>COUNTIFS(Table34[Country],Tabela1[[#This Row],[Country]],Table34[49kg Classification],"&gt;0")</f>
        <v>0</v>
      </c>
      <c r="KV187" s="6">
        <f>COUNTIFS(Table34[Country],Tabela1[[#This Row],[Country]],Table34[57kg Classification],"&gt;0")</f>
        <v>0</v>
      </c>
      <c r="KW187" s="6">
        <f>COUNTIFS(Table34[Country],Tabela1[[#This Row],[Country]],Table34[67kg Classification],"&gt;0")</f>
        <v>0</v>
      </c>
      <c r="KX187" s="6">
        <f>COUNTIFS(Table34[Country],Tabela1[[#This Row],[Country]],Table34[Plus 67kg Classification],"&gt;0")</f>
        <v>0</v>
      </c>
      <c r="KY187" s="6">
        <f>COUNTIFS(Table57[Country],Tabela1[[#This Row],[Country]],Table57[Classification],"&gt;0")</f>
        <v>0</v>
      </c>
      <c r="KZ187" s="6">
        <f>COUNTIFS(Table58[Country],Tabela1[[#This Row],[Country]],Table58[Classification],"&gt;0")</f>
        <v>0</v>
      </c>
      <c r="LA187" s="6">
        <f>COUNTIFS(Table79[Country],Tabela1[[#This Row],[Country]],Table79[Men''s Classification],"&gt;0")</f>
        <v>0</v>
      </c>
      <c r="LB187" s="6">
        <f>COUNTIFS(Table79[Country],Tabela1[[#This Row],[Country]],Table79[Women''s Classification],"&gt;0")</f>
        <v>0</v>
      </c>
      <c r="LC187" s="6">
        <f>COUNTIFS(Table79[Country],Tabela1[[#This Row],[Country]],Table79[Mixed Classification],"&gt;0")</f>
        <v>0</v>
      </c>
      <c r="LD187" s="6">
        <f>COUNTIFS(Table65[Country],Tabela1[[#This Row],[Country]],Table65[Classification],"&gt;0")</f>
        <v>0</v>
      </c>
      <c r="LE187" s="6">
        <f>COUNTIFS(Table59[Country],Tabela1[[#This Row],[Country]],Table59[Classification],"&gt;0")</f>
        <v>0</v>
      </c>
      <c r="LF187" s="6">
        <f>COUNTIFS(Table87[Country],Tabela1[[#This Row],[Country]],Table87[Mixed Relay Classification],"&gt;0")</f>
        <v>0</v>
      </c>
      <c r="LG187" s="6">
        <f>COUNTIFS(Table91949698100[Country],Tabela1[[#This Row],[Country]],Table91949698100[Men''s Classification],"&gt;0")</f>
        <v>0</v>
      </c>
      <c r="LH187" s="6">
        <f>COUNTIFS(Table91949698100[Country],Tabela1[[#This Row],[Country]],Table91949698100[Women''s Classification],"&gt;0")</f>
        <v>0</v>
      </c>
      <c r="LI187" s="6">
        <f>COUNTIFS(Table91949698100102[Country],Tabela1[[#This Row],[Country]],Table91949698100102[Men''s Classification],"&gt;0")</f>
        <v>0</v>
      </c>
      <c r="LJ187" s="6">
        <f>COUNTIFS(Table91949698100102[Country],Tabela1[[#This Row],[Country]],Table91949698100102[Women''s Classification],"&gt;0")</f>
        <v>0</v>
      </c>
      <c r="LK187" s="6">
        <f>COUNTIFS(Table23[Country],Tabela1[[#This Row],[Country]],Table23[61kg Classification],"&gt;0")</f>
        <v>0</v>
      </c>
      <c r="LL187" s="6">
        <f>COUNTIFS(Table23[Country],Tabela1[[#This Row],[Country]],Table23[73kg Classification],"&gt;0")</f>
        <v>0</v>
      </c>
      <c r="LM187" s="6">
        <f>COUNTIFS(Table23[Country],Tabela1[[#This Row],[Country]],Table23[89kg Classification],"&gt;0")</f>
        <v>0</v>
      </c>
      <c r="LN187" s="6">
        <f>COUNTIFS(Table23[Country],Tabela1[[#This Row],[Country]],Table23[102kg Classification],"&gt;0")</f>
        <v>0</v>
      </c>
      <c r="LO187" s="6">
        <f>COUNTIFS(Table23[Country],Tabela1[[#This Row],[Country]],Table23[Plus 102kg Classification],"&gt;0")</f>
        <v>0</v>
      </c>
      <c r="LP187" s="6">
        <f>COUNTIFS(Table28[Country],Tabela1[[#This Row],[Country]],Table28[49kg Classification],"&gt;0")</f>
        <v>0</v>
      </c>
      <c r="LQ187" s="6">
        <f>COUNTIFS(Table28[Country],Tabela1[[#This Row],[Country]],Table28[59kg Classification],"&gt;0")</f>
        <v>0</v>
      </c>
      <c r="LR187" s="6">
        <f>COUNTIFS(Table28[Country],Tabela1[[#This Row],[Country]],Table28[71kg Classification],"&gt;0")</f>
        <v>0</v>
      </c>
      <c r="LS187" s="6">
        <f>COUNTIFS(Table28[Country],Tabela1[[#This Row],[Country]],Table28[81kg Classification],"&gt;0")</f>
        <v>0</v>
      </c>
      <c r="LT187" s="6">
        <f>COUNTIFS(Table28[Country],Tabela1[[#This Row],[Country]],Table28[Plus 81kg Classification],"&gt;0")</f>
        <v>0</v>
      </c>
      <c r="LU187" s="6">
        <f>COUNTIFS(Table24[Country],Tabela1[[#This Row],[Country]],Table24[Freestyle 57kg Classification],"&gt;0")</f>
        <v>0</v>
      </c>
      <c r="LV187" s="6">
        <f>COUNTIFS(Table24[Country],Tabela1[[#This Row],[Country]],Table24[Freestyle 65kg Classification],"&gt;0")</f>
        <v>0</v>
      </c>
      <c r="LW187" s="6">
        <f>COUNTIFS(Table24[Country],Tabela1[[#This Row],[Country]],Table24[Freestyle 74kg Classification],"&gt;0")</f>
        <v>0</v>
      </c>
      <c r="LX187" s="6">
        <f>COUNTIFS(Table24[Country],Tabela1[[#This Row],[Country]],Table24[Freestyle 86kg Classification],"&gt;0")</f>
        <v>0</v>
      </c>
      <c r="LY187" s="6">
        <f>COUNTIFS(Table24[Country],Tabela1[[#This Row],[Country]],Table24[Freestyle 97kg Classification],"&gt;0")</f>
        <v>0</v>
      </c>
      <c r="LZ187" s="6">
        <f>COUNTIFS(Table24[Country],Tabela1[[#This Row],[Country]],Table24[Freestyle 125kg Classification],"&gt;0")</f>
        <v>0</v>
      </c>
      <c r="MA187" s="6">
        <f>COUNTIFS(Table24[Country],Tabela1[[#This Row],[Country]],Table24[Greco-Roman 60kg Classification],"&gt;0")</f>
        <v>0</v>
      </c>
      <c r="MB187" s="6">
        <f>COUNTIFS(Table24[Country],Tabela1[[#This Row],[Country]],Table24[Greco-Roman 67kg Classification],"&gt;0")</f>
        <v>0</v>
      </c>
      <c r="MC187" s="6">
        <f>COUNTIFS(Table24[Country],Tabela1[[#This Row],[Country]],Table24[Greco-Roman 77kg Classification],"&gt;0")</f>
        <v>0</v>
      </c>
      <c r="MD187" s="6">
        <f>COUNTIFS(Table24[Country],Tabela1[[#This Row],[Country]],Table24[Greco-Roman 87kg Classification],"&gt;0")</f>
        <v>0</v>
      </c>
      <c r="ME187" s="6">
        <f>COUNTIFS(Table24[Country],Tabela1[[#This Row],[Country]],Table24[Greco-Roman 97kg Classification],"&gt;0")</f>
        <v>0</v>
      </c>
      <c r="MF187" s="6">
        <f>COUNTIFS(Table24[Country],Tabela1[[#This Row],[Country]],Table24[Greco-Roman 130kg Classification],"&gt;0")</f>
        <v>0</v>
      </c>
      <c r="MG187" s="6">
        <f>COUNTIFS(Table31[Country],Tabela1[[#This Row],[Country]],Table31[50kg Classification],"&gt;0")</f>
        <v>0</v>
      </c>
      <c r="MH187" s="6">
        <f>COUNTIFS(Table31[Country],Tabela1[[#This Row],[Country]],Table31[53kg Classification],"&gt;0")</f>
        <v>0</v>
      </c>
      <c r="MI187" s="6">
        <f>COUNTIFS(Table31[Country],Tabela1[[#This Row],[Country]],Table31[57kg Classification],"&gt;0")</f>
        <v>0</v>
      </c>
      <c r="MJ187" s="6">
        <f>COUNTIFS(Table31[Country],Tabela1[[#This Row],[Country]],Table31[62kg Classification],"&gt;0")</f>
        <v>0</v>
      </c>
      <c r="MK187" s="6">
        <f>COUNTIFS(Table31[Country],Tabela1[[#This Row],[Country]],Table31[68kg Classification],"&gt;0")</f>
        <v>0</v>
      </c>
      <c r="ML187" s="6">
        <f>COUNTIFS(Table31[Country],Tabela1[[#This Row],[Country]],Table31[76kg Classification],"&gt;0")</f>
        <v>0</v>
      </c>
      <c r="MM187" s="6">
        <f>COUNTIFS(Table102[Country],Tabela1[[#This Row],[Country]],Table102[Downhill Classification],"&gt;0")</f>
        <v>0</v>
      </c>
      <c r="MN187" s="6">
        <f>COUNTIFS(Table102105[Country],Tabela1[[#This Row],[Country]],Table102105[Downhill Classification],"&gt;0")</f>
        <v>0</v>
      </c>
      <c r="MO187" s="6">
        <f>COUNTIFS(Table102[Country],Tabela1[[#This Row],[Country]],Table102[Giant Slalom Classification],"&gt;0")</f>
        <v>0</v>
      </c>
      <c r="MP187" s="6">
        <f>COUNTIFS(Table102105[Country],Tabela1[[#This Row],[Country]],Table102105[Giant Slalom Classification],"&gt;0")</f>
        <v>0</v>
      </c>
      <c r="MQ187" s="6">
        <f>COUNTIFS(Table102[Country],Tabela1[[#This Row],[Country]],Table102[Slalom Classification],"&gt;0")</f>
        <v>0</v>
      </c>
      <c r="MR187" s="6">
        <f>COUNTIFS(Table102105[Country],Tabela1[[#This Row],[Country]],Table102105[Slalom Classification],"&gt;0")</f>
        <v>0</v>
      </c>
      <c r="MS187" s="6">
        <f>COUNTIFS(Table102[Country],Tabela1[[#This Row],[Country]],Table102[Super-G Classification],"&gt;0")</f>
        <v>0</v>
      </c>
      <c r="MT187" s="6">
        <f>COUNTIFS(Table102105[Country],Tabela1[[#This Row],[Country]],Table102105[Super-G Classification],"&gt;0")</f>
        <v>0</v>
      </c>
      <c r="MU187" s="6">
        <f>COUNTIFS(Table105[Country],Tabela1[[#This Row],[Country]],Table105[Men''s Combined Classification],"&gt;0")</f>
        <v>0</v>
      </c>
      <c r="MV187" s="6">
        <f>COUNTIFS(Table105[Country],Tabela1[[#This Row],[Country]],Table105[Women''s Combined Classification],"&gt;0")</f>
        <v>0</v>
      </c>
      <c r="MW187" s="6">
        <f>COUNTIFS(Table106[Country],Tabela1[[#This Row],[Country]],Table106[Individual Classification],"&gt;0")</f>
        <v>0</v>
      </c>
      <c r="MX187" s="6">
        <f>COUNTIFS(Table106109[Country],Tabela1[[#This Row],[Country]],Table106109[Individual Classification],"&gt;0")</f>
        <v>0</v>
      </c>
      <c r="MY187" s="6">
        <f>COUNTIFS(Table106[Country],Tabela1[[#This Row],[Country]],Table106[Mass Start Classification],"&gt;0")</f>
        <v>0</v>
      </c>
      <c r="MZ187" s="6">
        <f>COUNTIFS(Table106109[Country],Tabela1[[#This Row],[Country]],Table106109[Mass Start Classification],"&gt;0")</f>
        <v>0</v>
      </c>
      <c r="NA187" s="6">
        <f>COUNTIFS(Table106[Country],Tabela1[[#This Row],[Country]],Table106[Pursuit Classification],"&gt;0")</f>
        <v>0</v>
      </c>
      <c r="NB187" s="6">
        <f>COUNTIFS(Table106109[Country],Tabela1[[#This Row],[Country]],Table106109[Pursuit Classification],"&gt;0")</f>
        <v>0</v>
      </c>
      <c r="NC187" s="6">
        <f>COUNTIFS(Table106[Country],Tabela1[[#This Row],[Country]],Table106[Sprint Classification],"&gt;0")</f>
        <v>0</v>
      </c>
      <c r="ND187" s="6">
        <f>COUNTIFS(Table106109[Country],Tabela1[[#This Row],[Country]],Table106109[Sprint Classification],"&gt;0")</f>
        <v>0</v>
      </c>
      <c r="NE187" s="6">
        <f>COUNTIFS(Table109[Country],Tabela1[[#This Row],[Country]],Table109[Men''s Relay Classification],"&gt;0")</f>
        <v>0</v>
      </c>
      <c r="NF187" s="6">
        <f>COUNTIFS(Table109[Country],Tabela1[[#This Row],[Country]],Table109[Women''s Relay Classification],"&gt;0")</f>
        <v>0</v>
      </c>
      <c r="NG187" s="6">
        <f>COUNTIFS(Table109[Country],Tabela1[[#This Row],[Country]],Table109[Mixed Relay Classification],"&gt;0")</f>
        <v>0</v>
      </c>
      <c r="NH187" s="6">
        <f>COUNTIFS(Table110[Country],Tabela1[[#This Row],[Country]],Table110[Monobob Classification],"&gt;0")</f>
        <v>0</v>
      </c>
      <c r="NI187" s="6">
        <f>COUNTIFS(Table111[Country],Tabela1[[#This Row],[Country]],Table111[Men''s Classification],"&gt;0")</f>
        <v>0</v>
      </c>
      <c r="NJ187" s="6">
        <f>COUNTIFS(Table111[Country],Tabela1[[#This Row],[Country]],Table111[Women''s Classification],"&gt;0")</f>
        <v>0</v>
      </c>
      <c r="NK187" s="6">
        <f>COUNTIFS(Table112[Country],Tabela1[[#This Row],[Country]],Table112[Men''s Four Classification],"&gt;0")</f>
        <v>0</v>
      </c>
      <c r="NL187" s="6">
        <f>COUNTIFS(Table113[Country],Tabela1[[#This Row],[Country]],Table113[Classical Classification],"&gt;0")</f>
        <v>0</v>
      </c>
      <c r="NM187" s="6">
        <f>COUNTIFS(Table113116[Country],Tabela1[[#This Row],[Country]],Table113116[Classical Classification],"&gt;0")</f>
        <v>0</v>
      </c>
      <c r="NN187" s="6">
        <f>COUNTIFS(Table113[Country],Tabela1[[#This Row],[Country]],Table113[Freestyle Classification],"&gt;0")</f>
        <v>0</v>
      </c>
      <c r="NO187" s="6">
        <f>COUNTIFS(Table113116[Country],Tabela1[[#This Row],[Country]],Table113116[Freestyle Classification],"&gt;0")</f>
        <v>0</v>
      </c>
      <c r="NP187" s="6">
        <f>COUNTIFS(Table117[Country],Tabela1[[#This Row],[Country]],Table117[Men''s Relay Classification],"&gt;0")</f>
        <v>0</v>
      </c>
      <c r="NQ187" s="6">
        <f>COUNTIFS(Table117[Country],Tabela1[[#This Row],[Country]],Table117[Women''s Relay Classification],"&gt;0")</f>
        <v>0</v>
      </c>
      <c r="NR187" s="6">
        <f>COUNTIFS(Table113[Country],Tabela1[[#This Row],[Country]],Table113[Skiathlon Classification],"&gt;0")</f>
        <v>0</v>
      </c>
      <c r="NS187" s="6">
        <f>COUNTIFS(Table113116[Country],Tabela1[[#This Row],[Country]],Table113116[Skiathlon Classification],"&gt;0")</f>
        <v>0</v>
      </c>
      <c r="NT187" s="6">
        <f>COUNTIFS(Table113[Country],Tabela1[[#This Row],[Country]],Table113[Sprint Classification],"&gt;0")</f>
        <v>0</v>
      </c>
      <c r="NU187" s="6">
        <f>COUNTIFS(Table113116[Country],Tabela1[[#This Row],[Country]],Table113116[Sprint Classification],"&gt;0")</f>
        <v>0</v>
      </c>
      <c r="NV187" s="6">
        <f>COUNTIFS(Table116[Country],Tabela1[[#This Row],[Country]],Table116[Men''s Team Sprint Classification],"&gt;0")</f>
        <v>0</v>
      </c>
      <c r="NW187" s="6">
        <f>COUNTIFS(Table116[Country],Tabela1[[#This Row],[Country]],Table116[Women''s Team Sprint Classification],"&gt;0")</f>
        <v>0</v>
      </c>
      <c r="NX187" s="6">
        <f>COUNTIFS(Table119[Country],Tabela1[[#This Row],[Country]],Table119[Men''s Classification],"&gt;0")</f>
        <v>0</v>
      </c>
      <c r="NY187" s="6">
        <f>COUNTIFS(Table119[Country],Tabela1[[#This Row],[Country]],Table119[Women''s Classification],"&gt;0")</f>
        <v>0</v>
      </c>
      <c r="NZ187" s="6">
        <f>COUNTIFS(Table118[Country],Tabela1[[#This Row],[Country]],Table118[Mixed Classification],"&gt;0")</f>
        <v>0</v>
      </c>
      <c r="OA187" s="6">
        <f>COUNTIFS(Table120[Country],Tabela1[[#This Row],[Country]],Table120[Classification],"&gt;0")</f>
        <v>0</v>
      </c>
      <c r="OB187" s="6">
        <f>COUNTIFS(Table120123[Country],Tabela1[[#This Row],[Country]],Table120123[Classification],"&gt;0")</f>
        <v>0</v>
      </c>
      <c r="OC187" s="6">
        <f>COUNTIFS(Table123[Country],Tabela1[[#This Row],[Country]],Table123[Ice Dance Classification],"&gt;0")</f>
        <v>0</v>
      </c>
      <c r="OD187" s="6">
        <f>COUNTIFS(Table123[Country],Tabela1[[#This Row],[Country]],Table123[Pair Skating Classification],"&gt;0")</f>
        <v>0</v>
      </c>
      <c r="OE187" s="6">
        <f>COUNTIFS(Table124[Country],Tabela1[[#This Row],[Country]],Table124[Mixed Classification],"&gt;0")</f>
        <v>0</v>
      </c>
      <c r="OF187" s="6">
        <f>COUNTIFS(Table125[Country],Tabela1[[#This Row],[Country]],Table125[Aerials Classification],"&gt;0")</f>
        <v>0</v>
      </c>
      <c r="OG187" s="6">
        <f>COUNTIFS(Table125128[Country],Tabela1[[#This Row],[Country]],Table125128[Aerials Classification],"&gt;0")</f>
        <v>0</v>
      </c>
      <c r="OH187" s="6">
        <f>COUNTIFS(Table128[Country],Tabela1[[#This Row],[Country]],Table128[Mixed Aerials Classification],"&gt;0")</f>
        <v>0</v>
      </c>
      <c r="OI187" s="6">
        <f>COUNTIFS(Table125[Country],Tabela1[[#This Row],[Country]],Table125[Big Air Classification],"&gt;0")</f>
        <v>0</v>
      </c>
      <c r="OJ187" s="6">
        <f>COUNTIFS(Table125128[Country],Tabela1[[#This Row],[Country]],Table125128[Big Air Classification],"&gt;0")</f>
        <v>0</v>
      </c>
      <c r="OK187" s="6">
        <f>COUNTIFS(Table125[Country],Tabela1[[#This Row],[Country]],Table125[Dual Moguls Classification],"&gt;0")</f>
        <v>0</v>
      </c>
      <c r="OL187" s="6">
        <f>COUNTIFS(Table125128[Country],Tabela1[[#This Row],[Country]],Table125128[Dual Moguls Classification],"&gt;0")</f>
        <v>0</v>
      </c>
      <c r="OM187" s="6">
        <f>COUNTIFS(Table125[Country],Tabela1[[#This Row],[Country]],Table125[Halfpipe Classification],"&gt;0")</f>
        <v>0</v>
      </c>
      <c r="ON187" s="6">
        <f>COUNTIFS(Table125128[Country],Tabela1[[#This Row],[Country]],Table125128[Halfpipe Classification],"&gt;0")</f>
        <v>0</v>
      </c>
      <c r="OO187" s="6">
        <f>COUNTIFS(Table125[Country],Tabela1[[#This Row],[Country]],Table125[Moguls Classification],"&gt;0")</f>
        <v>0</v>
      </c>
      <c r="OP187" s="6">
        <f>COUNTIFS(Table125128[Country],Tabela1[[#This Row],[Country]],Table125128[Moguls Classification],"&gt;0")</f>
        <v>0</v>
      </c>
      <c r="OQ187" s="6">
        <f>COUNTIFS(Table125[Country],Tabela1[[#This Row],[Country]],Table125[Ski Cross Classification],"&gt;0")</f>
        <v>0</v>
      </c>
      <c r="OR187" s="6">
        <f>COUNTIFS(Table125128[Country],Tabela1[[#This Row],[Country]],Table125128[Ski Cross Classification],"&gt;0")</f>
        <v>0</v>
      </c>
      <c r="OS187" s="6">
        <f>COUNTIFS(Table125[Country],Tabela1[[#This Row],[Country]],Table125[Slopestyle Classification],"&gt;0")</f>
        <v>0</v>
      </c>
      <c r="OT187" s="6">
        <f>COUNTIFS(Table125128[Country],Tabela1[[#This Row],[Country]],Table125128[Slopestyle Classification],"&gt;0")</f>
        <v>0</v>
      </c>
      <c r="OU187" s="6">
        <f>COUNTIFS(Table119131[Country],Tabela1[[#This Row],[Country]],Table119131[Men''s Classification],"&gt;0")</f>
        <v>0</v>
      </c>
      <c r="OV187" s="6">
        <f>COUNTIFS(Table119131[Country],Tabela1[[#This Row],[Country]],Table119131[Women''s Classification],"&gt;0")</f>
        <v>0</v>
      </c>
      <c r="OW187" s="6">
        <f>COUNTIFS(Table131[Country],Tabela1[[#This Row],[Country]],Table131[Classification],"&gt;0")</f>
        <v>0</v>
      </c>
      <c r="OX187" s="6">
        <f>COUNTIFS(Table131134[Country],Tabela1[[#This Row],[Country]],Table131134[Classification],"&gt;0")</f>
        <v>0</v>
      </c>
      <c r="OY187" s="6">
        <f>COUNTIFS(Table134[Country],Tabela1[[#This Row],[Country]],Table134[Men''s Classification],"&gt;0")</f>
        <v>0</v>
      </c>
      <c r="OZ187" s="6">
        <f>COUNTIFS(Table134[Country],Tabela1[[#This Row],[Country]],Table134[Women''s Classification],"&gt;0")</f>
        <v>0</v>
      </c>
      <c r="PA187" s="6">
        <f>COUNTIFS(Table135[Country],Tabela1[[#This Row],[Country]],Table135[Mixed Relay Classification],"&gt;0")</f>
        <v>0</v>
      </c>
      <c r="PB187" s="6">
        <f>COUNTIFS(Table136[Country],Tabela1[[#This Row],[Country]],Table136[Individual Classification],"&gt;0")</f>
        <v>0</v>
      </c>
      <c r="PC187" s="6">
        <f>COUNTIFS(Table136[Country],Tabela1[[#This Row],[Country]],Table136[Sprint Classification],"&gt;0")</f>
        <v>0</v>
      </c>
      <c r="PD187" s="6">
        <f>COUNTIFS(Table137[Country],Tabela1[[#This Row],[Country]],Table137[Men''s Team Sprint Large Hill Classification],"&gt;0")</f>
        <v>0</v>
      </c>
      <c r="PE187" s="6">
        <f>COUNTIFS(Table138[Country],Tabela1[[#This Row],[Country]],Table138[500m Classification],"&gt;0")</f>
        <v>0</v>
      </c>
      <c r="PF187" s="6">
        <f>COUNTIFS(Table138141[Country],Tabela1[[#This Row],[Country]],Table138141[500m Classification],"&gt;0")</f>
        <v>0</v>
      </c>
      <c r="PG187" s="6">
        <f>COUNTIFS(Table138[Country],Tabela1[[#This Row],[Country]],Table138[1000m Classification],"&gt;0")</f>
        <v>0</v>
      </c>
      <c r="PH187" s="6">
        <f>COUNTIFS(Table138141[Country],Tabela1[[#This Row],[Country]],Table138141[1000m Classification],"&gt;0")</f>
        <v>0</v>
      </c>
      <c r="PI187" s="6">
        <f>COUNTIFS(Table138[Country],Tabela1[[#This Row],[Country]],Table138[1500m Classification],"&gt;0")</f>
        <v>0</v>
      </c>
      <c r="PJ187" s="6">
        <f>COUNTIFS(Table138141[Country],Tabela1[[#This Row],[Country]],Table138141[1500m Classification],"&gt;0")</f>
        <v>0</v>
      </c>
      <c r="PK187" s="6">
        <f>COUNTIFS(Table141[Country],Tabela1[[#This Row],[Country]],Table141[Men''s 5000m Relay Classification],"&gt;0")</f>
        <v>0</v>
      </c>
      <c r="PL187" s="6">
        <f>COUNTIFS(Table141[Country],Tabela1[[#This Row],[Country]],Table141[Women''s 3000m Relay Classification],"&gt;0")</f>
        <v>0</v>
      </c>
      <c r="PM187" s="6">
        <f>COUNTIFS(Table141[Country],Tabela1[[#This Row],[Country]],Table141[Mixed 2000m Relay Classification],"&gt;0")</f>
        <v>0</v>
      </c>
      <c r="PN187" s="6">
        <f>COUNTIFS(Table142[Country],Tabela1[[#This Row],[Country]],Table142[Classification],"&gt;0")</f>
        <v>0</v>
      </c>
      <c r="PO187" s="6">
        <f>COUNTIFS(Table142145[Country],Tabela1[[#This Row],[Country]],Table142145[Classification],"&gt;0")</f>
        <v>0</v>
      </c>
      <c r="PP187" s="6">
        <f>COUNTIFS(Tabela15[Country],Tabela1[[#This Row],[Country]],Tabela15[Mixed Team Classification],"&gt;0")</f>
        <v>0</v>
      </c>
      <c r="PQ187" s="6">
        <f>COUNTIFS(Table145[Country],Tabela1[[#This Row],[Country]],Table145[Large Hill Classification],"&gt;0")</f>
        <v>0</v>
      </c>
      <c r="PR187" s="6">
        <f>COUNTIFS(Table145[Country],Tabela1[[#This Row],[Country]],Table145[Normal Hill Classification],"&gt;0")</f>
        <v>0</v>
      </c>
      <c r="PS187" s="6">
        <f>COUNTIFS(Table145148[Country],Tabela1[[#This Row],[Country]],Table145148[Large Hill Classification],"&gt;0")</f>
        <v>0</v>
      </c>
      <c r="PT187" s="6">
        <f>COUNTIFS(Table145148[Country],Tabela1[[#This Row],[Country]],Table145148[Normal Hill Classification],"&gt;0")</f>
        <v>0</v>
      </c>
      <c r="PU187" s="6">
        <f>COUNTIFS(Table148[Country],Tabela1[[#This Row],[Country]],Table148[Men''s Super Team Classification],"&gt;0")</f>
        <v>0</v>
      </c>
      <c r="PV187" s="6">
        <f>COUNTIFS(Tabela114[Country],Tabela1[[#This Row],[Country]],Tabela114[Mixed Normal Hill Classification],"&gt;0")</f>
        <v>0</v>
      </c>
      <c r="PW187" s="6">
        <f>COUNTIFS(Tabela50[Country],Tabela1[[#This Row],[Country]],Tabela50[Sprint Classification],"&gt;0")</f>
        <v>0</v>
      </c>
      <c r="PX187" s="6">
        <f>COUNTIFS(Tabela50101[Country],Tabela1[[#This Row],[Country]],Tabela50101[Sprint Classification],"&gt;0")</f>
        <v>0</v>
      </c>
      <c r="PY187" s="6">
        <f>COUNTIFS(Tabela103[Country],Tabela1[[#This Row],[Country]],Tabela103[Mixed Relay Classification],"&gt;0")</f>
        <v>0</v>
      </c>
      <c r="PZ187" s="6">
        <f>COUNTIFS(Table149[Country],Tabela1[[#This Row],[Country]],Table149[Big Air Classification],"&gt;0")</f>
        <v>0</v>
      </c>
      <c r="QA187" s="6">
        <f>COUNTIFS(Table149152[Country],Tabela1[[#This Row],[Country]],Table149152[Big Air Classification],"&gt;0")</f>
        <v>0</v>
      </c>
      <c r="QB187" s="6">
        <f>COUNTIFS(Table149[Country],Tabela1[[#This Row],[Country]],Table149[Halfpipe Classification],"&gt;0")</f>
        <v>0</v>
      </c>
      <c r="QC187" s="6">
        <f>COUNTIFS(Table149152[Country],Tabela1[[#This Row],[Country]],Table149152[Halfpipe Classification],"&gt;0")</f>
        <v>0</v>
      </c>
      <c r="QD187" s="6">
        <f>COUNTIFS(Table149[Country],Tabela1[[#This Row],[Country]],Table149[Parallel Giant Slalom Classification],"&gt;0")</f>
        <v>0</v>
      </c>
      <c r="QE187" s="6">
        <f>COUNTIFS(Table149152[Country],Tabela1[[#This Row],[Country]],Table149152[Parallel Giant Slalom Classification],"&gt;0")</f>
        <v>0</v>
      </c>
      <c r="QF187" s="6">
        <f>COUNTIFS(Table149[Country],Tabela1[[#This Row],[Country]],Table149[Slopestyle Classification],"&gt;0")</f>
        <v>0</v>
      </c>
      <c r="QG187" s="6">
        <f>COUNTIFS(Table149152[Country],Tabela1[[#This Row],[Country]],Table149152[Slopestyle Classification],"&gt;0")</f>
        <v>0</v>
      </c>
      <c r="QH187" s="6">
        <f>COUNTIFS(Table149[Country],Tabela1[[#This Row],[Country]],Table149[Snowboard Cross Classification],"&gt;0")</f>
        <v>0</v>
      </c>
      <c r="QI187" s="6">
        <f>COUNTIFS(Table149152[Country],Tabela1[[#This Row],[Country]],Table149152[Snowboard Cross Classification],"&gt;0")</f>
        <v>0</v>
      </c>
      <c r="QJ187" s="6">
        <f>COUNTIFS(Table153[Country],Tabela1[[#This Row],[Country]],Table153[Mixed Team Snowboard Cross Classification],"&gt;0")</f>
        <v>0</v>
      </c>
      <c r="QK187" s="6">
        <f>COUNTIFS(Table154[Country],Tabela1[[#This Row],[Country]],Table154[500m Classification],"&gt;0")</f>
        <v>0</v>
      </c>
      <c r="QL187" s="6">
        <f>COUNTIFS(Table154157[Country],Tabela1[[#This Row],[Country]],Table154157[500m Classification],"&gt;0")</f>
        <v>0</v>
      </c>
      <c r="QM187" s="6">
        <f>COUNTIFS(Table154[Country],Tabela1[[#This Row],[Country]],Table154[1000m Classification],"&gt;0")</f>
        <v>0</v>
      </c>
      <c r="QN187" s="6">
        <f>COUNTIFS(Table154157[Country],Tabela1[[#This Row],[Country]],Table154157[1000m Classification],"&gt;0")</f>
        <v>0</v>
      </c>
      <c r="QO187" s="6">
        <f>COUNTIFS(Table154[Country],Tabela1[[#This Row],[Country]],Table154[1500m Classification],"&gt;0")</f>
        <v>0</v>
      </c>
      <c r="QP187" s="6">
        <f>COUNTIFS(Table154157[Country],Tabela1[[#This Row],[Country]],Table154157[1500m Classification],"&gt;0")</f>
        <v>0</v>
      </c>
      <c r="QQ187" s="6">
        <f>COUNTIFS(Table154157[Country],Tabela1[[#This Row],[Country]],Table154157[3000m Classification],"&gt;0")</f>
        <v>0</v>
      </c>
      <c r="QR187" s="6">
        <f>COUNTIFS(Table154[Country],Tabela1[[#This Row],[Country]],Table154[5000m Classification],"&gt;0")</f>
        <v>0</v>
      </c>
      <c r="QS187" s="6">
        <f>COUNTIFS(Table154157[Country],Tabela1[[#This Row],[Country]],Table154157[5000m Classification],"&gt;0")</f>
        <v>0</v>
      </c>
      <c r="QT187" s="6">
        <f>COUNTIFS(Table154[Country],Tabela1[[#This Row],[Country]],Table154[10000m Classification],"&gt;0")</f>
        <v>0</v>
      </c>
      <c r="QU187" s="6">
        <f>COUNTIFS(Table154[Country],Tabela1[[#This Row],[Country]],Table154[Mass Start Classification],"&gt;0")</f>
        <v>0</v>
      </c>
      <c r="QV187" s="6">
        <f>COUNTIFS(Table154157[Country],Tabela1[[#This Row],[Country]],Table154157[Mass Start Classification],"&gt;0")</f>
        <v>0</v>
      </c>
      <c r="QW187" s="6">
        <f>COUNTIFS(Table157[Country],Tabela1[[#This Row],[Country]],Table157[Men''s Pursuit Classification],"&gt;0")</f>
        <v>0</v>
      </c>
      <c r="QX187" s="6">
        <f>COUNTIFS(Table157[Country],Tabela1[[#This Row],[Country]],Table157[Women''s Pursuit Classification],"&gt;0")</f>
        <v>0</v>
      </c>
      <c r="QY187" s="4" t="s">
        <v>629</v>
      </c>
    </row>
    <row r="188" spans="1:467" x14ac:dyDescent="0.3">
      <c r="A188" s="6">
        <v>187</v>
      </c>
      <c r="B188" s="6" t="s">
        <v>630</v>
      </c>
      <c r="C188" t="e" vm="187">
        <f>IF(ISBLANK(Tabela1[[#This Row],[Image Link]]), "", _xlfn.IMAGE(Tabela1[[#This Row],[Image Link]],1,1))</f>
        <v>#VALUE!</v>
      </c>
      <c r="D188" s="6">
        <f>SUM(Tabela1[[#This Row],[Archery - Men''s Individual Recurve]:[Speed Skating - Women''s Team Pursuit]])</f>
        <v>0</v>
      </c>
      <c r="E188" s="6">
        <f>COUNTIF(Tabela1[[#This Row],[Archery - Men''s Individual Recurve]:[Speed Skating - Women''s Team Pursuit]],"&gt;0")</f>
        <v>0</v>
      </c>
      <c r="F188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88" s="6">
        <f>SUM(Tabela1[[#This Row],[Archery - Men''s Individual Recurve]:[Wrestling - Women''s Freestyle 76kg]])</f>
        <v>0</v>
      </c>
      <c r="H188" s="6">
        <f>SUM(Tabela1[[#This Row],[Alpine Skiing - Men''s Downhill]:[Speed Skating - Women''s Team Pursuit]])</f>
        <v>0</v>
      </c>
      <c r="I188" s="6">
        <f>Tabela1[[#This Row],[Summer Gold Medals]]+Tabela1[[#This Row],[Winter Gold Medals]]</f>
        <v>0</v>
      </c>
      <c r="J188" s="6">
        <f>Tabela1[[#This Row],[Summer Silver Medals]]+Tabela1[[#This Row],[Winter Silver Medals]]</f>
        <v>0</v>
      </c>
      <c r="K188" s="6">
        <f>Tabela1[[#This Row],[Summer Bronze Medals]]+Tabela1[[#This Row],[Winter Bronze Medals]]</f>
        <v>0</v>
      </c>
      <c r="L188" s="6">
        <f>SUM(Tabela1[[#This Row],[Total Gold Medals]:[Total Bronze Medals]])</f>
        <v>0</v>
      </c>
      <c r="M188" s="6"/>
      <c r="N188" s="6"/>
      <c r="O188" s="6"/>
      <c r="P188" s="6">
        <f>SUM(Tabela1[[#This Row],[Summer Gold Medals]:[Summer Bronze Medals]])</f>
        <v>0</v>
      </c>
      <c r="Q188" s="6"/>
      <c r="R188" s="6"/>
      <c r="S188" s="6"/>
      <c r="T188" s="6">
        <f>Tabela1[[#This Row],[Winter Gold Medals]]+Tabela1[[#This Row],[Winter Silver Medals]]+Tabela1[[#This Row],[Winter Bronze Medals]]</f>
        <v>0</v>
      </c>
      <c r="U188" s="7" t="e">
        <f>Tabela1[[#This Row],[Total Medals]]/Tabela1[[#This Row],[Total Quotas]]</f>
        <v>#DIV/0!</v>
      </c>
      <c r="V188" s="6">
        <f>COUNTIFS(Table3[Country],Tabela1[[#This Row],[Country]],Table3[Recurve Classification],"&gt;0")</f>
        <v>0</v>
      </c>
      <c r="W188" s="6">
        <f>COUNTIFS(Table33[Country],Tabela1[[#This Row],[Country]],Table33[Recurve Classification],"&gt;0")</f>
        <v>0</v>
      </c>
      <c r="X188" s="6">
        <f>COUNTIFS(Table35[Country],Tabela1[[#This Row],[Country]],Table35[Men''s Team Recurve Classification],"&gt;0")</f>
        <v>0</v>
      </c>
      <c r="Y188" s="6">
        <f>COUNTIFS(Table35[Country],Tabela1[[#This Row],[Country]],Table35[Women''s Team Recurve Classification],"&gt;0")</f>
        <v>0</v>
      </c>
      <c r="Z188" s="6">
        <f>COUNTIFS(Tabela88[Country],Tabela1[[#This Row],[Country]],Tabela88[Mixed Team Recurve Classification],"&gt;0")</f>
        <v>0</v>
      </c>
      <c r="AA188" s="6">
        <f>COUNTIFS(Table36[Country],Tabela1[[#This Row],[Country]],Table36[Classification],"&gt;0")</f>
        <v>0</v>
      </c>
      <c r="AB188" s="6">
        <f>COUNTIFS(Table37[Country],Tabela1[[#This Row],[Country]],Table37[Classification],"&gt;0")</f>
        <v>0</v>
      </c>
      <c r="AC188" s="6">
        <f>COUNTIFS(Table4[Country],Tabela1[[#This Row],[Country]],Table4[100m Classification],"&gt;0")</f>
        <v>0</v>
      </c>
      <c r="AD188" s="6">
        <f>COUNTIFS(Table5[Country],Tabela1[[#This Row],[Country]],Table5[100m Classification],"&gt;0")</f>
        <v>0</v>
      </c>
      <c r="AE188" s="6">
        <f>COUNTIFS(Table4[Country],Tabela1[[#This Row],[Country]],Table4[200m Classification],"&gt;0")</f>
        <v>0</v>
      </c>
      <c r="AF188" s="6">
        <f>COUNTIFS(Table5[Country],Tabela1[[#This Row],[Country]],Table5[200m Classification],"&gt;0")</f>
        <v>0</v>
      </c>
      <c r="AG188" s="6">
        <f>COUNTIFS(Table4[Country],Tabela1[[#This Row],[Country]],Table4[400m Classification],"&gt;0")</f>
        <v>0</v>
      </c>
      <c r="AH188" s="6">
        <f>COUNTIFS(Table5[Country],Tabela1[[#This Row],[Country]],Table5[400m Classification],"&gt;0")</f>
        <v>0</v>
      </c>
      <c r="AI188" s="6">
        <f>COUNTIFS(Table4[Country],Tabela1[[#This Row],[Country]],Table4[800m Classification],"&gt;0")</f>
        <v>0</v>
      </c>
      <c r="AJ188" s="6">
        <f>COUNTIFS(Table5[Country],Tabela1[[#This Row],[Country]],Table5[800m Classification],"&gt;0")</f>
        <v>0</v>
      </c>
      <c r="AK188" s="6">
        <f>COUNTIFS(Table4[Country],Tabela1[[#This Row],[Country]],Table4[1500m Classification],"&gt;0")</f>
        <v>0</v>
      </c>
      <c r="AL188" s="6">
        <f>COUNTIFS(Table5[Country],Tabela1[[#This Row],[Country]],Table5[1500m Classification],"&gt;0")</f>
        <v>0</v>
      </c>
      <c r="AM188" s="6">
        <f>COUNTIFS(Table4[Country],Tabela1[[#This Row],[Country]],Table4[5000m Classification],"&gt;0")</f>
        <v>0</v>
      </c>
      <c r="AN188" s="6">
        <f>COUNTIFS(Table5[Country],Tabela1[[#This Row],[Country]],Table5[5000m Classification],"&gt;0")</f>
        <v>0</v>
      </c>
      <c r="AO188" s="6">
        <f>COUNTIFS(Table4[Country],Tabela1[[#This Row],[Country]],Table4[10000m Classification],"&gt;0")</f>
        <v>0</v>
      </c>
      <c r="AP188" s="6">
        <f>COUNTIFS(Table5[Country],Tabela1[[#This Row],[Country]],Table5[10000m Classification],"&gt;0")</f>
        <v>0</v>
      </c>
      <c r="AQ188" s="6">
        <f>COUNTIFS(Table4[Country],Tabela1[[#This Row],[Country]],Table4[110m Hurdles Classification],"&gt;0")</f>
        <v>0</v>
      </c>
      <c r="AR188" s="6">
        <f>COUNTIFS(Table5[Country],Tabela1[[#This Row],[Country]],Table5[100m Hurdles Classification],"&gt;0")</f>
        <v>0</v>
      </c>
      <c r="AS188" s="6">
        <f>COUNTIFS(Table4[Country],Tabela1[[#This Row],[Country]],Table4[400m Hurdles Classification],"&gt;0")</f>
        <v>0</v>
      </c>
      <c r="AT188" s="6">
        <f>COUNTIFS(Table5[Country],Tabela1[[#This Row],[Country]],Table5[400m Hurdles Classification],"&gt;0")</f>
        <v>0</v>
      </c>
      <c r="AU188" s="6">
        <f>COUNTIFS(Table4[Country],Tabela1[[#This Row],[Country]],Table4[3000m Steeplechase Classification],"&gt;0")</f>
        <v>0</v>
      </c>
      <c r="AV188" s="6">
        <f>COUNTIFS(Table5[Country],Tabela1[[#This Row],[Country]],Table5[3000m Steeplechase Classification],"&gt;0")</f>
        <v>0</v>
      </c>
      <c r="AW188" s="6">
        <f>COUNTIFS(Table27[Country],Tabela1[[#This Row],[Country]],Table27[Men''s 4x100m Relay Classification],"&gt;0")</f>
        <v>0</v>
      </c>
      <c r="AX188" s="6">
        <f>COUNTIFS(Table27[Country],Tabela1[[#This Row],[Country]],Table27[Women''s 4x100m Relay Classification],"&gt;0")</f>
        <v>0</v>
      </c>
      <c r="AY188" s="6">
        <f>COUNTIFS(Table27[Country],Tabela1[[#This Row],[Country]],Table27[Men''s 4x400m Relay Classification],"&gt;0")</f>
        <v>0</v>
      </c>
      <c r="AZ188" s="6">
        <f>COUNTIFS(Table27[Country],Tabela1[[#This Row],[Country]],Table27[Women''s 4x400m Relay Classification],"&gt;0")</f>
        <v>0</v>
      </c>
      <c r="BA188" s="6">
        <f>COUNTIFS(Table27[Country],Tabela1[[#This Row],[Country]],Table27[Mixed 4x400m Relay Classification],"&gt;0")</f>
        <v>0</v>
      </c>
      <c r="BB188" s="6">
        <f>COUNTIFS(Table4[Country],Tabela1[[#This Row],[Country]],Table4[Marathon Classification],"&gt;0")</f>
        <v>0</v>
      </c>
      <c r="BC188" s="6">
        <f>COUNTIFS(Table5[Country],Tabela1[[#This Row],[Country]],Table5[Marathon Classification],"&gt;0")</f>
        <v>0</v>
      </c>
      <c r="BD188" s="6">
        <f>COUNTIFS(Table4[Country],Tabela1[[#This Row],[Country]],Table4[20km Race Walk Classification],"&gt;0")</f>
        <v>0</v>
      </c>
      <c r="BE188" s="6">
        <f>COUNTIFS(Table5[Country],Tabela1[[#This Row],[Country]],Table5[20km Race Walk Classification],"&gt;0")</f>
        <v>0</v>
      </c>
      <c r="BF188" s="6">
        <f>COUNTIFS(Tabela96[Country],Tabela1[[#This Row],[Country]],Tabela96[Mixed Marathon Race Walk Relay Classification],"&gt;0")</f>
        <v>0</v>
      </c>
      <c r="BG188" s="6">
        <f>COUNTIFS(Table4[Country],Tabela1[[#This Row],[Country]],Table4[Discus Throw Classification],"&gt;0")</f>
        <v>0</v>
      </c>
      <c r="BH188" s="6">
        <f>COUNTIFS(Table5[Country],Tabela1[[#This Row],[Country]],Table5[Discus Throw Classification],"&gt;0")</f>
        <v>0</v>
      </c>
      <c r="BI188" s="6">
        <f>COUNTIFS(Table4[Country],Tabela1[[#This Row],[Country]],Table4[Hammer Throw Classification],"&gt;0")</f>
        <v>0</v>
      </c>
      <c r="BJ188" s="6">
        <f>COUNTIFS(Table5[Country],Tabela1[[#This Row],[Country]],Table5[Hammer Throw Classification],"&gt;0")</f>
        <v>0</v>
      </c>
      <c r="BK188" s="6">
        <f>COUNTIFS(Table4[Country],Tabela1[[#This Row],[Country]],Table4[High Jump Classification],"&gt;0")</f>
        <v>0</v>
      </c>
      <c r="BL188" s="6">
        <f>COUNTIFS(Table5[Country],Tabela1[[#This Row],[Country]],Table5[High Jump Classification],"&gt;0")</f>
        <v>0</v>
      </c>
      <c r="BM188" s="6">
        <f>COUNTIFS(Table4[Country],Tabela1[[#This Row],[Country]],Table4[Javelin Throw Classification],"&gt;0")</f>
        <v>0</v>
      </c>
      <c r="BN188" s="6">
        <f>COUNTIFS(Table5[Country],Tabela1[[#This Row],[Country]],Table5[Javelin Throw Classification],"&gt;0")</f>
        <v>0</v>
      </c>
      <c r="BO188" s="6">
        <f>COUNTIFS(Table4[Country],Tabela1[[#This Row],[Country]],Table4[Long Jump Classification],"&gt;0")</f>
        <v>0</v>
      </c>
      <c r="BP188" s="6">
        <f>COUNTIFS(Table5[Country],Tabela1[[#This Row],[Country]],Table5[Long Jump Classification],"&gt;0")</f>
        <v>0</v>
      </c>
      <c r="BQ188" s="6">
        <f>COUNTIFS(Table4[Country],Tabela1[[#This Row],[Country]],Table4[Pole Vault Classification],"&gt;0")</f>
        <v>0</v>
      </c>
      <c r="BR188" s="6">
        <f>COUNTIFS(Table5[Country],Tabela1[[#This Row],[Country]],Table5[Pole Vault Classification],"&gt;0")</f>
        <v>0</v>
      </c>
      <c r="BS188" s="6">
        <f>COUNTIFS(Table4[Country],Tabela1[[#This Row],[Country]],Table4[Shot Put Classification],"&gt;0")</f>
        <v>0</v>
      </c>
      <c r="BT188" s="6">
        <f>COUNTIFS(Table5[Country],Tabela1[[#This Row],[Country]],Table5[Shot Put Classification],"&gt;0")</f>
        <v>0</v>
      </c>
      <c r="BU188" s="6">
        <f>COUNTIFS(Table4[Country],Tabela1[[#This Row],[Country]],Table4[Triple Jump Classification],"&gt;0")</f>
        <v>0</v>
      </c>
      <c r="BV188" s="6">
        <f>COUNTIFS(Table5[Country],Tabela1[[#This Row],[Country]],Table5[Triple Jump Classification],"&gt;0")</f>
        <v>0</v>
      </c>
      <c r="BW188" s="6">
        <f>COUNTIFS(Table4[Country],Tabela1[[#This Row],[Country]],Table4[Decathlon Classification],"&gt;0")</f>
        <v>0</v>
      </c>
      <c r="BX188" s="6">
        <f>COUNTIFS(Table5[Country],Tabela1[[#This Row],[Country]],Table5[Heptathlon Classification],"&gt;0")</f>
        <v>0</v>
      </c>
      <c r="BY188" s="6">
        <f>COUNTIFS(Table61[Country],Tabela1[[#This Row],[Country]],Table61[Classification],"&gt;0")</f>
        <v>0</v>
      </c>
      <c r="BZ188" s="6">
        <f>COUNTIFS(Table38[Country],Tabela1[[#This Row],[Country]],Table38[Classification],"&gt;0")</f>
        <v>0</v>
      </c>
      <c r="CA188" s="6">
        <f>COUNTIFS(Table39[Country],Tabela1[[#This Row],[Country]],Table39[Men''s Classification],"&gt;0")</f>
        <v>0</v>
      </c>
      <c r="CB188" s="6">
        <f>COUNTIFS(Table39[Country],Tabela1[[#This Row],[Country]],Table39[Women''s Classification],"&gt;0")</f>
        <v>0</v>
      </c>
      <c r="CC188" s="6">
        <f>COUNTIFS(Table39[Country],Tabela1[[#This Row],[Country]],Table39[Mixed Classification],"&gt;0")</f>
        <v>0</v>
      </c>
      <c r="CD188" s="6">
        <f>COUNTIFS(Table89[Country],Tabela1[[#This Row],[Country]],Table89[Men''s Classification],"&gt;0")</f>
        <v>0</v>
      </c>
      <c r="CE188" s="6">
        <f>COUNTIFS(Table89[Country],Tabela1[[#This Row],[Country]],Table89[Women''s Classification],"&gt;0")</f>
        <v>0</v>
      </c>
      <c r="CF188" s="6">
        <f>COUNTIFS(Table90[Country],Tabela1[[#This Row],[Country]],Table90[Men''s Classification],"&gt;0")</f>
        <v>0</v>
      </c>
      <c r="CG188" s="6">
        <f>COUNTIFS(Table90[Country],Tabela1[[#This Row],[Country]],Table90[Women''s Classification],"&gt;0")</f>
        <v>0</v>
      </c>
      <c r="CH188" s="6">
        <f>COUNTIFS(Table60[Country],Tabela1[[#This Row],[Country]],Table60[Men''s Classification],"&gt;0")</f>
        <v>0</v>
      </c>
      <c r="CI188" s="6">
        <f>COUNTIFS(Table60[Country],Tabela1[[#This Row],[Country]],Table60[Women''s Classification],"&gt;0")</f>
        <v>0</v>
      </c>
      <c r="CJ188" s="6">
        <f>COUNTIFS(Table6[Country],Tabela1[[#This Row],[Country]],Table6[51kg Classification],"&gt;0")</f>
        <v>0</v>
      </c>
      <c r="CK188" s="6">
        <f>COUNTIFS(Table6[Country],Tabela1[[#This Row],[Country]],Table6[57kg Classification],"&gt;0")</f>
        <v>0</v>
      </c>
      <c r="CL188" s="6">
        <f>COUNTIFS(Table6[Country],Tabela1[[#This Row],[Country]],Table6[63.5kg Classification],"&gt;0")</f>
        <v>0</v>
      </c>
      <c r="CM188" s="6">
        <f>COUNTIFS(Table6[Country],Tabela1[[#This Row],[Country]],Table6[71kg Classification],"&gt;0")</f>
        <v>0</v>
      </c>
      <c r="CN188" s="6">
        <f>COUNTIFS(Table6[Country],Tabela1[[#This Row],[Country]],Table6[80kg Classification],"&gt;0")</f>
        <v>0</v>
      </c>
      <c r="CO188" s="6">
        <f>COUNTIFS(Table6[Country],Tabela1[[#This Row],[Country]],Table6[92kg Classification],"&gt;0")</f>
        <v>0</v>
      </c>
      <c r="CP188" s="6">
        <f>COUNTIFS(Table6[Country],Tabela1[[#This Row],[Country]],Table6[Plus 92kg Classification],"&gt;0")</f>
        <v>0</v>
      </c>
      <c r="CQ188" s="6">
        <f>COUNTIFS(Table7[Country],Tabela1[[#This Row],[Country]],Table7[50kg Classification],"&gt;0")</f>
        <v>0</v>
      </c>
      <c r="CR188" s="6">
        <f>COUNTIFS(Table7[Country],Tabela1[[#This Row],[Country]],Table7[54kg Classification],"&gt;0")</f>
        <v>0</v>
      </c>
      <c r="CS188" s="6">
        <f>COUNTIFS(Table7[Country],Tabela1[[#This Row],[Country]],Table7[57kg Classification],"&gt;0")</f>
        <v>0</v>
      </c>
      <c r="CT188" s="6">
        <f>COUNTIFS(Table7[Country],Tabela1[[#This Row],[Country]],Table7[60kg Classification],"&gt;0")</f>
        <v>0</v>
      </c>
      <c r="CU188" s="6">
        <f>COUNTIFS(Table7[Country],Tabela1[[#This Row],[Country]],Table7[66kg Classification],"&gt;0")</f>
        <v>0</v>
      </c>
      <c r="CV188" s="6">
        <f>COUNTIFS(Table7[Country],Tabela1[[#This Row],[Country]],Table7[75kg Classification],"&gt;0")</f>
        <v>0</v>
      </c>
      <c r="CW188" s="6">
        <f>COUNTIFS(Tabela94[Country],Tabela1[[#This Row],[Country]],Tabela94[Classification],"&gt;0")</f>
        <v>0</v>
      </c>
      <c r="CX188" s="6">
        <f>COUNTIFS(Tabela9499[Country],Tabela1[[#This Row],[Country]],Tabela9499[Classification],"&gt;0")</f>
        <v>0</v>
      </c>
      <c r="CY188" s="6">
        <f>COUNTIFS(Tabela107[Country],Tabela1[[#This Row],[Country]],Tabela107[C1 Slalom Classification],"&gt;0")</f>
        <v>0</v>
      </c>
      <c r="CZ188" s="6">
        <f>COUNTIFS(Tabela107122[Country],Tabela1[[#This Row],[Country]],Tabela107122[C1 Slalom Classification],"&gt;0")</f>
        <v>0</v>
      </c>
      <c r="DA188" s="6">
        <f>COUNTIFS(Tabela107[Country],Tabela1[[#This Row],[Country]],Tabela107[K1 Slalom Classification],"&gt;0")</f>
        <v>0</v>
      </c>
      <c r="DB188" s="6">
        <f>COUNTIFS(Tabela107122[Country],Tabela1[[#This Row],[Country]],Tabela107122[K1 Slalom Classification],"&gt;0")</f>
        <v>0</v>
      </c>
      <c r="DC188" s="6">
        <f>COUNTIFS(Tabela107[Country],Tabela1[[#This Row],[Country]],Tabela107[Kayak Cross Slalom Classification],"&gt;0")</f>
        <v>0</v>
      </c>
      <c r="DD188" s="6">
        <f>COUNTIFS(Tabela107122[Country],Tabela1[[#This Row],[Country]],Tabela107122[Kayak Cross Slalom Classification],"&gt;0")</f>
        <v>0</v>
      </c>
      <c r="DE188" s="6">
        <f>COUNTIFS(Table8[Country],Tabela1[[#This Row],[Country]],Table8[C1 200m Classification],"&gt;0")</f>
        <v>0</v>
      </c>
      <c r="DF188" s="6">
        <f>COUNTIFS(Table40[Country],Tabela1[[#This Row],[Country]],Table40[C1 1000m Classification],"&gt;0")</f>
        <v>0</v>
      </c>
      <c r="DG188" s="6">
        <f>COUNTIFS(Table68[Country],Tabela1[[#This Row],[Country]],Table68[Men''s C2 500m Classification],"&gt;0")</f>
        <v>0</v>
      </c>
      <c r="DH188" s="6">
        <f>COUNTIFS(Table68[Country],Tabela1[[#This Row],[Country]],Table68[Women''s C2 500m Classification],"&gt;0")</f>
        <v>0</v>
      </c>
      <c r="DI188" s="6">
        <f>COUNTIFS(Table8[Country],Tabela1[[#This Row],[Country]],Table8[K1 500m Classification],"&gt;0")</f>
        <v>0</v>
      </c>
      <c r="DJ188" s="6">
        <f>COUNTIFS(Table40[Country],Tabela1[[#This Row],[Country]],Table40[K1 1000m Classification],"&gt;0")</f>
        <v>0</v>
      </c>
      <c r="DK188" s="6">
        <f>COUNTIFS(Table68[Country],Tabela1[[#This Row],[Country]],Table68[Men''s K2 500m Classification],"&gt;0")</f>
        <v>0</v>
      </c>
      <c r="DL188" s="6">
        <f>COUNTIFS(Table68[Country],Tabela1[[#This Row],[Country]],Table68[Women''s K2 500m Classification],"&gt;0")</f>
        <v>0</v>
      </c>
      <c r="DM188" s="6">
        <f>COUNTIFS(Table83[Country],Tabela1[[#This Row],[Country]],Table83[Men''s K4 500m Classification],"&gt;0")</f>
        <v>0</v>
      </c>
      <c r="DN188" s="6">
        <f>COUNTIFS(Table83[Country],Tabela1[[#This Row],[Country]],Table83[Women''s K4 500m Classification],"&gt;0")</f>
        <v>0</v>
      </c>
      <c r="DO188" s="6">
        <f>COUNTIFS(Tabela126[Country],Tabela1[[#This Row],[Country]],Tabela126[Classification],"&gt;0")</f>
        <v>0</v>
      </c>
      <c r="DP188" s="6">
        <f>COUNTIFS(Tabela126130[Country],Tabela1[[#This Row],[Country]],Tabela126130[Classification],"&gt;0")</f>
        <v>0</v>
      </c>
      <c r="DQ188" s="6">
        <f>COUNTIFS(Table70[Country],Tabela1[[#This Row],[Country]],Table70[Classification],"&gt;0")</f>
        <v>0</v>
      </c>
      <c r="DR188" s="6">
        <f>COUNTIFS(Table80[Country],Tabela1[[#This Row],[Country]],Table80[Classification],"&gt;0")</f>
        <v>0</v>
      </c>
      <c r="DS188" s="6">
        <f>COUNTIFS(Table66[Country],Tabela1[[#This Row],[Country]],Table66[Classification],"&gt;0")</f>
        <v>0</v>
      </c>
      <c r="DT188" s="6">
        <f>COUNTIFS(Table67[Country],Tabela1[[#This Row],[Country]],Table67[Classification],"&gt;0")</f>
        <v>0</v>
      </c>
      <c r="DU188" s="6">
        <f>COUNTIFS(Table69[Country],Tabela1[[#This Row],[Country]],Table69[Keirin Classification],"&gt;0")</f>
        <v>0</v>
      </c>
      <c r="DV188" s="6">
        <f>COUNTIFS(Table41[Country],Tabela1[[#This Row],[Country]],Table41[Keirin Classification],"&gt;0")</f>
        <v>0</v>
      </c>
      <c r="DW188" s="6">
        <f>COUNTIFS(Table84[Country],Tabela1[[#This Row],[Country]],Table84[Men''s Madison Classification],"&gt;0")</f>
        <v>0</v>
      </c>
      <c r="DX188" s="6">
        <f>COUNTIFS(Table84[Country],Tabela1[[#This Row],[Country]],Table84[Women''s Madison Classification],"&gt;0")</f>
        <v>0</v>
      </c>
      <c r="DY188" s="6">
        <f>COUNTIFS(Table69[Country],Tabela1[[#This Row],[Country]],Table69[Omnium Classification],"&gt;0")</f>
        <v>0</v>
      </c>
      <c r="DZ188" s="6">
        <f>COUNTIFS(Table41[Country],Tabela1[[#This Row],[Country]],Table41[Omnium Classification],"&gt;0")</f>
        <v>0</v>
      </c>
      <c r="EA188" s="6">
        <f>COUNTIFS(Table9[Country],Tabela1[[#This Row],[Country]],Table9[Road Race Classification],"&gt;0")</f>
        <v>0</v>
      </c>
      <c r="EB188" s="6">
        <f>COUNTIFS(Table14[Country],Tabela1[[#This Row],[Country]],Table14[Road Race Classification],"&gt;0")</f>
        <v>0</v>
      </c>
      <c r="EC188" s="6">
        <f>COUNTIFS(Table69[Country],Tabela1[[#This Row],[Country]],Table69[Sprint Classification],"&gt;0")</f>
        <v>0</v>
      </c>
      <c r="ED188" s="6">
        <f>COUNTIFS(Table41[Country],Tabela1[[#This Row],[Country]],Table41[Sprint Classification],"&gt;0")</f>
        <v>0</v>
      </c>
      <c r="EE188" s="6">
        <f>COUNTIFS(Table85[Country],Tabela1[[#This Row],[Country]],Table85[Men''s Sprint Classification],"&gt;0")</f>
        <v>0</v>
      </c>
      <c r="EF188" s="6">
        <f>COUNTIFS(Table85[Country],Tabela1[[#This Row],[Country]],Table85[Women''s Sprint Classification],"&gt;0")</f>
        <v>0</v>
      </c>
      <c r="EG188" s="6">
        <f>COUNTIFS(Table85[Country],Tabela1[[#This Row],[Country]],Table85[Men''s Pursuit Classification],"&gt;0")</f>
        <v>0</v>
      </c>
      <c r="EH188" s="6">
        <f>COUNTIFS(Table85[Country],Tabela1[[#This Row],[Country]],Table85[Women''s Pursuit Classification],"&gt;0")</f>
        <v>0</v>
      </c>
      <c r="EI188" s="6">
        <f>COUNTIFS(Table9[Country],Tabela1[[#This Row],[Country]],Table9[Time-Trial Classification],"&gt;0")</f>
        <v>0</v>
      </c>
      <c r="EJ188" s="6">
        <f>COUNTIFS(Table14[Country],Tabela1[[#This Row],[Country]],Table14[Time-Trial Classification],"&gt;0")</f>
        <v>0</v>
      </c>
      <c r="EK188" s="6">
        <f>COUNTIFS(Table42[Country],Tabela1[[#This Row],[Country]],Table42[Springboard Classification],"&gt;0")</f>
        <v>0</v>
      </c>
      <c r="EL188" s="6">
        <f>COUNTIFS(Table43[Country],Tabela1[[#This Row],[Country]],Table43[Springboard Classification],"&gt;0")</f>
        <v>0</v>
      </c>
      <c r="EM188" s="6">
        <f>COUNTIFS(Table42[Country],Tabela1[[#This Row],[Country]],Table42[Platform Classification],"&gt;0")</f>
        <v>0</v>
      </c>
      <c r="EN188" s="6">
        <f>COUNTIFS(Table43[Country],Tabela1[[#This Row],[Country]],Table43[Platform Classification],"&gt;0")</f>
        <v>0</v>
      </c>
      <c r="EO188" s="6">
        <f>COUNTIFS(Table86[Country],Tabela1[[#This Row],[Country]],Table86[Men''s Synchronized Springboard Classification],"&gt;0")</f>
        <v>0</v>
      </c>
      <c r="EP188" s="6">
        <f>COUNTIFS(Table86[Country],Tabela1[[#This Row],[Country]],Table86[Women''s Synchronized Springboard Classification],"&gt;0")</f>
        <v>0</v>
      </c>
      <c r="EQ188" s="6">
        <f>COUNTIFS(Table86[Country],Tabela1[[#This Row],[Country]],Table86[Men''s Synchronized Platform Classification],"&gt;0")</f>
        <v>0</v>
      </c>
      <c r="ER188" s="6">
        <f>COUNTIFS(Table86[Country],Tabela1[[#This Row],[Country]],Table86[Women''s Synchronized Platform Classification],"&gt;0")</f>
        <v>0</v>
      </c>
      <c r="ES188" s="6">
        <f>COUNTIFS(Table44[Country],Tabela1[[#This Row],[Country]],Table44[Dressage Classification],"&gt;0")</f>
        <v>0</v>
      </c>
      <c r="ET188" s="6">
        <f>COUNTIFS(Table45[Country],Tabela1[[#This Row],[Country]],Table45[Dressage Classification],"&gt;0")</f>
        <v>0</v>
      </c>
      <c r="EU188" s="6">
        <f>COUNTIFS(Table44[Country],Tabela1[[#This Row],[Country]],Table44[Eventing Classification],"&gt;0")</f>
        <v>0</v>
      </c>
      <c r="EV188" s="6">
        <f>COUNTIFS(Table45[Country],Tabela1[[#This Row],[Country]],Table45[Eventing Classification],"&gt;0")</f>
        <v>0</v>
      </c>
      <c r="EW188" s="6">
        <f>COUNTIFS(Table44[Country],Tabela1[[#This Row],[Country]],Table44[Jumping Classification],"&gt;0")</f>
        <v>0</v>
      </c>
      <c r="EX188" s="6">
        <f>COUNTIFS(Table45[Country],Tabela1[[#This Row],[Country]],Table45[Jumping Classification],"&gt;0")</f>
        <v>0</v>
      </c>
      <c r="EY188" s="6">
        <f>COUNTIFS(Table10[Country],Tabela1[[#This Row],[Country]],Table10[Épée Classification],"&gt;0")</f>
        <v>0</v>
      </c>
      <c r="EZ188" s="6">
        <f>COUNTIFS(Table11[Country],Tabela1[[#This Row],[Country]],Table11[Épée Classification],"&gt;0")</f>
        <v>0</v>
      </c>
      <c r="FA188" s="6">
        <f>COUNTIFS(Table46[Country],Tabela1[[#This Row],[Country]],Table46[Men''s Épée Classification],"&gt;0")</f>
        <v>0</v>
      </c>
      <c r="FB188" s="6">
        <f>COUNTIFS(Table46[Country],Tabela1[[#This Row],[Country]],Table46[Women''s Épée Classification],"&gt;0")</f>
        <v>0</v>
      </c>
      <c r="FC188" s="6">
        <f>COUNTIFS(Table10[Country],Tabela1[[#This Row],[Country]],Table10[Foil Classification],"&gt;0")</f>
        <v>0</v>
      </c>
      <c r="FD188" s="6">
        <f>COUNTIFS(Table11[Country],Tabela1[[#This Row],[Country]],Table11[Foil Classification],"&gt;0")</f>
        <v>0</v>
      </c>
      <c r="FE188" s="6">
        <f>COUNTIFS(Table46[Country],Tabela1[[#This Row],[Country]],Table46[Men''s Foil Classification],"&gt;0")</f>
        <v>0</v>
      </c>
      <c r="FF188" s="6">
        <f>COUNTIFS(Table46[Country],Tabela1[[#This Row],[Country]],Table46[Women''s Foil Classification],"&gt;0")</f>
        <v>0</v>
      </c>
      <c r="FG188" s="6">
        <f>COUNTIFS(Table10[Country],Tabela1[[#This Row],[Country]],Table10[Sabre Classification],"&gt;0")</f>
        <v>0</v>
      </c>
      <c r="FH188" s="6">
        <f>COUNTIFS(Table11[Country],Tabela1[[#This Row],[Country]],Table11[Sabre Classification],"&gt;0")</f>
        <v>0</v>
      </c>
      <c r="FI188" s="6">
        <f>COUNTIFS(Table46[Country],Tabela1[[#This Row],[Country]],Table46[Men''s Sabre Classification],"&gt;0")</f>
        <v>0</v>
      </c>
      <c r="FJ188" s="6">
        <f>COUNTIFS(Table46[Country],Tabela1[[#This Row],[Country]],Table46[Women''s Sabre Classification],"&gt;0")</f>
        <v>0</v>
      </c>
      <c r="FK188" s="6">
        <f>COUNTIFS(Table91[Country],Tabela1[[#This Row],[Country]],Table91[Men''s Classification],"&gt;0")</f>
        <v>0</v>
      </c>
      <c r="FL188" s="6">
        <f>COUNTIFS(Table91[Country],Tabela1[[#This Row],[Country]],Table91[Women''s Classification],"&gt;0")</f>
        <v>0</v>
      </c>
      <c r="FM188" s="6">
        <f>COUNTIFS(Table9194[Country],Tabela1[[#This Row],[Country]],Table9194[Men''s Classification],"&gt;0")</f>
        <v>0</v>
      </c>
      <c r="FN188" s="6">
        <f>COUNTIFS(Table9194[Country],Tabela1[[#This Row],[Country]],Table9194[Women''s Classification],"&gt;0")</f>
        <v>0</v>
      </c>
      <c r="FO188" s="6">
        <f>COUNTIFS(Table71[Country],Tabela1[[#This Row],[Country]],Table71[Classification],"&gt;0")</f>
        <v>0</v>
      </c>
      <c r="FP188" s="6">
        <f>COUNTIFS(Table62[Country],Tabela1[[#This Row],[Country]],Table62[Classification],"&gt;0")</f>
        <v>0</v>
      </c>
      <c r="FQ188" s="6">
        <f>COUNTIFS(Table47[Country],Tabela1[[#This Row],[Country]],Table47[All-Around Classification],"&gt;0")</f>
        <v>0</v>
      </c>
      <c r="FR188" s="6">
        <f>COUNTIFS(Table48[Country],Tabela1[[#This Row],[Country]],Table48[All-Around Classification],"&gt;0")</f>
        <v>0</v>
      </c>
      <c r="FS188" s="6">
        <f>COUNTIFS(Table81[Country],Tabela1[[#This Row],[Country]],Table81[Men''s All-Around Classification],"&gt;0")</f>
        <v>0</v>
      </c>
      <c r="FT188" s="6">
        <f>COUNTIFS(Table81[Country],Tabela1[[#This Row],[Country]],Table81[Women''s All-Around Classification],"&gt;0")</f>
        <v>0</v>
      </c>
      <c r="FU188" s="6">
        <f>COUNTIFS(Table48[Country],Tabela1[[#This Row],[Country]],Table48[Balance Beam Classification],"&gt;0")</f>
        <v>0</v>
      </c>
      <c r="FV188" s="6">
        <f>COUNTIFS(Table47[Country],Tabela1[[#This Row],[Country]],Table47[Floor Exercise Classification],"&gt;0")</f>
        <v>0</v>
      </c>
      <c r="FW188" s="6">
        <f>COUNTIFS(Table48[Country],Tabela1[[#This Row],[Country]],Table48[Floor Exercise Classification],"&gt;0")</f>
        <v>0</v>
      </c>
      <c r="FX188" s="6">
        <f>COUNTIFS(Table47[Country],Tabela1[[#This Row],[Country]],Table47[Horizontal Bar Classification],"&gt;0")</f>
        <v>0</v>
      </c>
      <c r="FY188" s="6">
        <f>COUNTIFS(Table47[Country],Tabela1[[#This Row],[Country]],Table47[Parallel Bars Classification],"&gt;0")</f>
        <v>0</v>
      </c>
      <c r="FZ188" s="6">
        <f>COUNTIFS(Table47[Country],Tabela1[[#This Row],[Country]],Table47[Pommel Horse Classification],"&gt;0")</f>
        <v>0</v>
      </c>
      <c r="GA188" s="6">
        <f>COUNTIFS(Table47[Country],Tabela1[[#This Row],[Country]],Table47[Rings Classification],"&gt;0")</f>
        <v>0</v>
      </c>
      <c r="GB188" s="6">
        <f>COUNTIFS(Tabela132[Country],Tabela1[[#This Row],[Country]],Tabela132[Classification],"&gt;0")</f>
        <v>0</v>
      </c>
      <c r="GC188" s="6">
        <f>COUNTIFS(Tabela139[Country],Tabela1[[#This Row],[Country]],Tabela139[Classification],"&gt;0")</f>
        <v>0</v>
      </c>
      <c r="GD188" s="6">
        <f>COUNTIFS(Table48[Country],Tabela1[[#This Row],[Country]],Table48[Uneven Bars Classification],"&gt;0")</f>
        <v>0</v>
      </c>
      <c r="GE188" s="6">
        <f>COUNTIFS(Table47[Country],Tabela1[[#This Row],[Country]],Table47[Vault Classification],"&gt;0")</f>
        <v>0</v>
      </c>
      <c r="GF188" s="6">
        <f>COUNTIFS(Table48[Country],Tabela1[[#This Row],[Country]],Table48[Vault Classification],"&gt;0")</f>
        <v>0</v>
      </c>
      <c r="GG188" s="6">
        <f>COUNTIFS(Table919496[Country],Tabela1[[#This Row],[Country]],Table919496[Men''s Classification],"&gt;0")</f>
        <v>0</v>
      </c>
      <c r="GH188" s="6">
        <f>COUNTIFS(Table919496[Country],Tabela1[[#This Row],[Country]],Table919496[Women''s Classification],"&gt;0")</f>
        <v>0</v>
      </c>
      <c r="GI188" s="6">
        <f>COUNTIFS(Table12[Country],Tabela1[[#This Row],[Country]],Table12[60kg Classification],"&gt;0")</f>
        <v>0</v>
      </c>
      <c r="GJ188" s="6">
        <f>COUNTIFS(Table12[Country],Tabela1[[#This Row],[Country]],Table12[66kg Classification],"&gt;0")</f>
        <v>0</v>
      </c>
      <c r="GK188" s="6">
        <f>COUNTIFS(Table12[Country],Tabela1[[#This Row],[Country]],Table12[73kg Classification],"&gt;0")</f>
        <v>0</v>
      </c>
      <c r="GL188" s="6">
        <f>COUNTIFS(Table12[Country],Tabela1[[#This Row],[Country]],Table12[81kg Classification],"&gt;0")</f>
        <v>0</v>
      </c>
      <c r="GM188" s="6">
        <f>COUNTIFS(Table12[Country],Tabela1[[#This Row],[Country]],Table12[90kg Classification],"&gt;0")</f>
        <v>0</v>
      </c>
      <c r="GN188" s="6">
        <f>COUNTIFS(Table12[Country],Tabela1[[#This Row],[Country]],Table12[100kg Classification],"&gt;0")</f>
        <v>0</v>
      </c>
      <c r="GO188" s="6">
        <f>COUNTIFS(Table12[Country],Tabela1[[#This Row],[Country]],Table12[Plus 100kg Classification],"&gt;0")</f>
        <v>0</v>
      </c>
      <c r="GP188" s="6">
        <f>COUNTIFS(Table13[Country],Tabela1[[#This Row],[Country]],Table13[48kg Classification],"&gt;0")</f>
        <v>0</v>
      </c>
      <c r="GQ188" s="6">
        <f>COUNTIFS(Table13[Country],Tabela1[[#This Row],[Country]],Table13[52kg Classification],"&gt;0")</f>
        <v>0</v>
      </c>
      <c r="GR188" s="6">
        <f>COUNTIFS(Table13[Country],Tabela1[[#This Row],[Country]],Table13[57kg Classification],"&gt;0")</f>
        <v>0</v>
      </c>
      <c r="GS188" s="6">
        <f>COUNTIFS(Table13[Country],Tabela1[[#This Row],[Country]],Table13[63kg Classification],"&gt;0")</f>
        <v>0</v>
      </c>
      <c r="GT188" s="6">
        <f>COUNTIFS(Table13[Country],Tabela1[[#This Row],[Country]],Table13[70kg Classification],"&gt;0")</f>
        <v>0</v>
      </c>
      <c r="GU188" s="6">
        <f>COUNTIFS(Table13[Country],Tabela1[[#This Row],[Country]],Table13[78kg Classification],"&gt;0")</f>
        <v>0</v>
      </c>
      <c r="GV188" s="6">
        <f>COUNTIFS(Table13[Country],Tabela1[[#This Row],[Country]],Table13[Plus 78kg Classification],"&gt;0")</f>
        <v>0</v>
      </c>
      <c r="GW188" s="6">
        <f>COUNTIFS(Table82[Country],Tabela1[[#This Row],[Country]],Table82[Mixed Classification],"&gt;0")</f>
        <v>0</v>
      </c>
      <c r="GX188" s="6">
        <f>COUNTIFS(Table51[Country],Tabela1[[#This Row],[Country]],Table51[Classification],"&gt;0")</f>
        <v>0</v>
      </c>
      <c r="GY188" s="6">
        <f>COUNTIFS(Table52[Country],Tabela1[[#This Row],[Country]],Table52[Classification],"&gt;0")</f>
        <v>0</v>
      </c>
      <c r="GZ188" s="6">
        <f>COUNTIFS(Table32[Country],Tabela1[[#This Row],[Country]],Table32[All-Around Classification],"&gt;0")</f>
        <v>0</v>
      </c>
      <c r="HA188" s="6">
        <f>COUNTIFS(Table49[Country],Tabela1[[#This Row],[Country]],Table49[All-Around Classification],"&gt;0")</f>
        <v>0</v>
      </c>
      <c r="HB188" s="6">
        <f>COUNTIFS(Table26[Country],Tabela1[[#This Row],[Country]],Table26[Single Sculls Classification],"&gt;0")</f>
        <v>0</v>
      </c>
      <c r="HC188" s="6">
        <f>COUNTIFS(Table63[Country],Tabela1[[#This Row],[Country]],Table63[Single Sculls Classification],"&gt;0")</f>
        <v>0</v>
      </c>
      <c r="HD188" s="6">
        <f>COUNTIFS(Table16[Country],Tabela1[[#This Row],[Country]],Table16[Men''s Double Sculls Classification],"&gt;0")</f>
        <v>0</v>
      </c>
      <c r="HE188" s="6">
        <f>COUNTIFS(Table16[Country],Tabela1[[#This Row],[Country]],Table16[Women''s Double Sculls Classification],"&gt;0")</f>
        <v>0</v>
      </c>
      <c r="HF188" s="6">
        <f>COUNTIFS(Table72[Country],Tabela1[[#This Row],[Country]],Table72[Men''s Quadruple Sculls Classification],"&gt;0")</f>
        <v>0</v>
      </c>
      <c r="HG188" s="6">
        <f>COUNTIFS(Table72[Country],Tabela1[[#This Row],[Country]],Table72[Women''s Quadruple Sculls Classification],"&gt;0")</f>
        <v>0</v>
      </c>
      <c r="HH188" s="6">
        <f>COUNTIFS(Table16[Country],Tabela1[[#This Row],[Country]],Table16[Men''s Coxless Pairs Classification],"&gt;0")</f>
        <v>0</v>
      </c>
      <c r="HI188" s="6">
        <f>COUNTIFS(Table16[Country],Tabela1[[#This Row],[Country]],Table16[Women''s Coxless Pairs Classification],"&gt;0")</f>
        <v>0</v>
      </c>
      <c r="HJ188" s="6">
        <f>COUNTIFS(Table72[Country],Tabela1[[#This Row],[Country]],Table72[Men''s Coxless Fours Classification],"&gt;0")</f>
        <v>0</v>
      </c>
      <c r="HK188" s="6">
        <f>COUNTIFS(Table72[Country],Tabela1[[#This Row],[Country]],Table72[Women''s Coxless Fours Classification],"&gt;0")</f>
        <v>0</v>
      </c>
      <c r="HL188" s="6">
        <f>COUNTIFS(Table72[Country],Tabela1[[#This Row],[Country]],Table72[Men''s Eights Classification],"&gt;0")</f>
        <v>0</v>
      </c>
      <c r="HM188" s="6">
        <f>COUNTIFS(Table72[Country],Tabela1[[#This Row],[Country]],Table72[Women''s Eights Classification],"&gt;0")</f>
        <v>0</v>
      </c>
      <c r="HN188" s="6">
        <f>COUNTIFS(Table16[Country],Tabela1[[#This Row],[Country]],Table16[Men''s Lwt. Double Sculls Classification],"&gt;0")</f>
        <v>0</v>
      </c>
      <c r="HO188" s="6">
        <f>COUNTIFS(Table16[Country],Tabela1[[#This Row],[Country]],Table16[Women''s Lwt. Double Sculls Classification],"&gt;0")</f>
        <v>0</v>
      </c>
      <c r="HP188" s="6">
        <f>COUNTIFS(Table91949698[Country],Tabela1[[#This Row],[Country]],Table91949698[Men''s Classification],"&gt;0")</f>
        <v>0</v>
      </c>
      <c r="HQ188" s="6">
        <f>COUNTIFS(Table91949698[Country],Tabela1[[#This Row],[Country]],Table91949698[Women''s Classification],"&gt;0")</f>
        <v>0</v>
      </c>
      <c r="HR188" s="6">
        <f>COUNTIFS(Table25[Country],Tabela1[[#This Row],[Country]],Table25[Mixed 470 Classification],"&gt;0")</f>
        <v>0</v>
      </c>
      <c r="HS188" s="6">
        <f>COUNTIFS(Table25[Country],Tabela1[[#This Row],[Country]],Table25[Men''s 49er Classification],"&gt;0")</f>
        <v>0</v>
      </c>
      <c r="HT188" s="6">
        <f>COUNTIFS(Table25[Country],Tabela1[[#This Row],[Country]],Table25[Women''s 49er FX Classification],"&gt;0")</f>
        <v>0</v>
      </c>
      <c r="HU188" s="6">
        <f>COUNTIFS(Table17[Country],Tabela1[[#This Row],[Country]],Table17[Formula Kite Classification],"&gt;0")</f>
        <v>0</v>
      </c>
      <c r="HV188" s="6">
        <f>COUNTIFS(Table18[Country],Tabela1[[#This Row],[Country]],Table18[Formula Kite Classification],"&gt;0")</f>
        <v>0</v>
      </c>
      <c r="HW188" s="6">
        <f>COUNTIFS(Table17[Country],Tabela1[[#This Row],[Country]],Table17[ILCA 7 Classification],"&gt;0")</f>
        <v>0</v>
      </c>
      <c r="HX188" s="6">
        <f>COUNTIFS(Table18[Country],Tabela1[[#This Row],[Country]],Table18[ILCA 6 Classification],"&gt;0")</f>
        <v>0</v>
      </c>
      <c r="HY188" s="6">
        <f>COUNTIFS(Table17[Country],Tabela1[[#This Row],[Country]],Table17[IQFoil Classification],"&gt;0")</f>
        <v>0</v>
      </c>
      <c r="HZ188" s="6">
        <f>COUNTIFS(Table18[Country],Tabela1[[#This Row],[Country]],Table18[IQFoil Classification],"&gt;0")</f>
        <v>0</v>
      </c>
      <c r="IA188" s="6">
        <f>COUNTIFS(Table25[Country],Tabela1[[#This Row],[Country]],Table25[Mixed Nacra 17 Classification],"&gt;0")</f>
        <v>0</v>
      </c>
      <c r="IB188" s="6">
        <f>COUNTIFS(Table53[Country],Tabela1[[#This Row],[Country]],Table53[10m Air Pistol Classification],"&gt;0")</f>
        <v>0</v>
      </c>
      <c r="IC188" s="6">
        <f>COUNTIFS(Table19[Country],Tabela1[[#This Row],[Country]],Table19[10m Air Pistol Classification],"&gt;0")</f>
        <v>0</v>
      </c>
      <c r="ID188" s="6">
        <f>COUNTIFS(Table54[Country],Tabela1[[#This Row],[Country]],Table54[Mixed 10m Air Pistol Team Classification],"&gt;0")</f>
        <v>0</v>
      </c>
      <c r="IE188" s="6">
        <f>COUNTIFS(Table53[Country],Tabela1[[#This Row],[Country]],Table53[10m Air Rifle Classification],"&gt;0")</f>
        <v>0</v>
      </c>
      <c r="IF188" s="6">
        <f>COUNTIFS(Table19[Country],Tabela1[[#This Row],[Country]],Table19[10m Air Rifle Classification],"&gt;0")</f>
        <v>0</v>
      </c>
      <c r="IG188" s="6">
        <f>COUNTIFS(Table54[Country],Tabela1[[#This Row],[Country]],Table54[Mixed 10m Air Rifle Team Classification],"&gt;0")</f>
        <v>0</v>
      </c>
      <c r="IH188" s="6">
        <f>COUNTIFS(Table53[Country],Tabela1[[#This Row],[Country]],Table53[25m Rapid Fire Pistol Classification],"&gt;0")</f>
        <v>0</v>
      </c>
      <c r="II188" s="6">
        <f>COUNTIFS(Table19[Country],Tabela1[[#This Row],[Country]],Table19[25m Pistol Classification],"&gt;0")</f>
        <v>0</v>
      </c>
      <c r="IJ188" s="6">
        <f>COUNTIFS(Table53[Country],Tabela1[[#This Row],[Country]],Table53[50m Rifle 3 Positions Classification],"&gt;0")</f>
        <v>0</v>
      </c>
      <c r="IK188" s="6">
        <f>COUNTIFS(Table19[Country],Tabela1[[#This Row],[Country]],Table19[50m Rifle 3 Positions Classification],"&gt;0")</f>
        <v>0</v>
      </c>
      <c r="IL188" s="6">
        <f>COUNTIFS(Table53[Country],Tabela1[[#This Row],[Country]],Table53[Skeet Classification],"&gt;0")</f>
        <v>0</v>
      </c>
      <c r="IM188" s="6">
        <f>COUNTIFS(Table19[Country],Tabela1[[#This Row],[Country]],Table19[Skeet Classification],"&gt;0")</f>
        <v>0</v>
      </c>
      <c r="IN188" s="6">
        <f>COUNTIFS(Table54[Country],Tabela1[[#This Row],[Country]],Table54[Mixed Skeet Team Classification],"&gt;0")</f>
        <v>0</v>
      </c>
      <c r="IO188" s="6">
        <f>COUNTIFS(Table53[Country],Tabela1[[#This Row],[Country]],Table53[Trap Classification],"&gt;0")</f>
        <v>0</v>
      </c>
      <c r="IP188" s="6">
        <f>COUNTIFS(Table19[Country],Tabela1[[#This Row],[Country]],Table19[Trap Classification],"&gt;0")</f>
        <v>0</v>
      </c>
      <c r="IQ188" s="6">
        <f>COUNTIFS(Table73[Country],Tabela1[[#This Row],[Country]],Table73[Park Classification],"&gt;0")</f>
        <v>0</v>
      </c>
      <c r="IR188" s="6">
        <f>COUNTIFS(Table74[Country],Tabela1[[#This Row],[Country]],Table74[Park Classification],"&gt;0")</f>
        <v>0</v>
      </c>
      <c r="IS188" s="6">
        <f>COUNTIFS(Table73[Country],Tabela1[[#This Row],[Country]],Table73[Street Classification],"&gt;0")</f>
        <v>0</v>
      </c>
      <c r="IT188" s="6">
        <f>COUNTIFS(Table74[Country],Tabela1[[#This Row],[Country]],Table74[Street Classification],"&gt;0")</f>
        <v>0</v>
      </c>
      <c r="IU188" s="6">
        <f>COUNTIFS(Table75[Country],Tabela1[[#This Row],[Country]],Table75[Boulder and Lead Classification],"&gt;0")</f>
        <v>0</v>
      </c>
      <c r="IV188" s="6">
        <f>COUNTIFS(Table76[Country],Tabela1[[#This Row],[Country]],Table76[Boulder and Lead Classification],"&gt;0")</f>
        <v>0</v>
      </c>
      <c r="IW188" s="6">
        <f>COUNTIFS(Table75[Country],Tabela1[[#This Row],[Country]],Table75[Speed Classification],"&gt;0")</f>
        <v>0</v>
      </c>
      <c r="IX188" s="6">
        <f>COUNTIFS(Table76[Country],Tabela1[[#This Row],[Country]],Table76[Speed Classification],"&gt;0")</f>
        <v>0</v>
      </c>
      <c r="IY188" s="6">
        <f>COUNTIFS(Table64[Country],Tabela1[[#This Row],[Country]],Table64[Shortboard Classification],"&gt;0")</f>
        <v>0</v>
      </c>
      <c r="IZ188" s="6">
        <f>COUNTIFS(Table77[Country],Tabela1[[#This Row],[Country]],Table77[Shortboard Classification],"&gt;0")</f>
        <v>0</v>
      </c>
      <c r="JA188" s="6">
        <f>COUNTIFS(Table20[Country],Tabela1[[#This Row],[Country]],Table20[50m Freestyle Classification],"&gt;0")</f>
        <v>0</v>
      </c>
      <c r="JB188" s="6">
        <f>COUNTIFS(Table21[Country],Tabela1[[#This Row],[Country]],Table21[50m Freestyle Classification],"&gt;0")</f>
        <v>0</v>
      </c>
      <c r="JC188" s="6">
        <f>COUNTIFS(Table20[Country],Tabela1[[#This Row],[Country]],Table20[100m Freestyle Classification],"&gt;0")</f>
        <v>0</v>
      </c>
      <c r="JD188" s="6">
        <f>COUNTIFS(Table21[Country],Tabela1[[#This Row],[Country]],Table21[100m Freestyle Classification],"&gt;0")</f>
        <v>0</v>
      </c>
      <c r="JE188" s="6">
        <f>COUNTIFS(Table20[Country],Tabela1[[#This Row],[Country]],Table20[200m Freestyle Classification],"&gt;0")</f>
        <v>0</v>
      </c>
      <c r="JF188" s="6">
        <f>COUNTIFS(Table21[Country],Tabela1[[#This Row],[Country]],Table21[200m Freestyle Classification],"&gt;0")</f>
        <v>0</v>
      </c>
      <c r="JG188" s="6">
        <f>COUNTIFS(Table20[Country],Tabela1[[#This Row],[Country]],Table20[400m Freestyle Classification],"&gt;0")</f>
        <v>0</v>
      </c>
      <c r="JH188" s="6">
        <f>COUNTIFS(Table21[Country],Tabela1[[#This Row],[Country]],Table21[400m Freestyle Classification],"&gt;0")</f>
        <v>0</v>
      </c>
      <c r="JI188" s="6">
        <f>COUNTIFS(Table20[Country],Tabela1[[#This Row],[Country]],Table20[800m Freestyle Classification],"&gt;0")</f>
        <v>0</v>
      </c>
      <c r="JJ188" s="6">
        <f>COUNTIFS(Table21[Country],Tabela1[[#This Row],[Country]],Table21[800m Freestyle Classification],"&gt;0")</f>
        <v>0</v>
      </c>
      <c r="JK188" s="6">
        <f>COUNTIFS(Table20[Country],Tabela1[[#This Row],[Country]],Table20[1500m Freestyle Classification],"&gt;0")</f>
        <v>0</v>
      </c>
      <c r="JL188" s="6">
        <f>COUNTIFS(Table21[Country],Tabela1[[#This Row],[Country]],Table21[1500m Freestyle Classification],"&gt;0")</f>
        <v>0</v>
      </c>
      <c r="JM188" s="6">
        <f>COUNTIFS(Table20[Country],Tabela1[[#This Row],[Country]],Table20[100m Backstroke Classification],"&gt;0")</f>
        <v>0</v>
      </c>
      <c r="JN188" s="6">
        <f>COUNTIFS(Table21[Country],Tabela1[[#This Row],[Country]],Table21[100m Backstroke Classification],"&gt;0")</f>
        <v>0</v>
      </c>
      <c r="JO188" s="6">
        <f>COUNTIFS(Table20[Country],Tabela1[[#This Row],[Country]],Table20[200m Backstroke Classification],"&gt;0")</f>
        <v>0</v>
      </c>
      <c r="JP188" s="6">
        <f>COUNTIFS(Table21[Country],Tabela1[[#This Row],[Country]],Table21[200m Backstroke Classification],"&gt;0")</f>
        <v>0</v>
      </c>
      <c r="JQ188" s="6">
        <f>COUNTIFS(Table20[Country],Tabela1[[#This Row],[Country]],Table20[100m Breaststroke Classification],"&gt;0")</f>
        <v>0</v>
      </c>
      <c r="JR188" s="6">
        <f>COUNTIFS(Table21[Country],Tabela1[[#This Row],[Country]],Table21[100m Breaststroke Classification],"&gt;0")</f>
        <v>0</v>
      </c>
      <c r="JS188" s="6">
        <f>COUNTIFS(Table20[Country],Tabela1[[#This Row],[Country]],Table20[200m Breaststroke Classification],"&gt;0")</f>
        <v>0</v>
      </c>
      <c r="JT188" s="6">
        <f>COUNTIFS(Table21[Country],Tabela1[[#This Row],[Country]],Table21[200m Breaststroke Classification],"&gt;0")</f>
        <v>0</v>
      </c>
      <c r="JU188" s="6">
        <f>COUNTIFS(Table20[Country],Tabela1[[#This Row],[Country]],Table20[100m Butterfly Classification],"&gt;0")</f>
        <v>0</v>
      </c>
      <c r="JV188" s="6">
        <f>COUNTIFS(Table21[Country],Tabela1[[#This Row],[Country]],Table21[100m Butterfly Classification],"&gt;0")</f>
        <v>0</v>
      </c>
      <c r="JW188" s="6">
        <f>COUNTIFS(Table20[Country],Tabela1[[#This Row],[Country]],Table20[200m Butterfly Classification],"&gt;0")</f>
        <v>0</v>
      </c>
      <c r="JX188" s="6">
        <f>COUNTIFS(Table21[Country],Tabela1[[#This Row],[Country]],Table21[200m Butterfly Classification],"&gt;0")</f>
        <v>0</v>
      </c>
      <c r="JY188" s="6">
        <f>COUNTIFS(Table20[Country],Tabela1[[#This Row],[Country]],Table20[200m Medley Classification],"&gt;0")</f>
        <v>0</v>
      </c>
      <c r="JZ188" s="6">
        <f>COUNTIFS(Table21[Country],Tabela1[[#This Row],[Country]],Table21[200m Medley Classification],"&gt;0")</f>
        <v>0</v>
      </c>
      <c r="KA188" s="6">
        <f>COUNTIFS(Table20[Country],Tabela1[[#This Row],[Country]],Table20[400m Medley Classification],"&gt;0")</f>
        <v>0</v>
      </c>
      <c r="KB188" s="6">
        <f>COUNTIFS(Table21[Country],Tabela1[[#This Row],[Country]],Table21[400m Medley Classification],"&gt;0")</f>
        <v>0</v>
      </c>
      <c r="KC188" s="6">
        <f>COUNTIFS(Table78[Country],Tabela1[[#This Row],[Country]],Table78[Men''s 4x100m Freestyle Relay Classification],"&gt;0")</f>
        <v>0</v>
      </c>
      <c r="KD188" s="6">
        <f>COUNTIFS(Table78[Country],Tabela1[[#This Row],[Country]],Table78[Women''s 4x100m Freestyle Relay Classification],"&gt;0")</f>
        <v>0</v>
      </c>
      <c r="KE188" s="6">
        <f>COUNTIFS(Table78[Country],Tabela1[[#This Row],[Country]],Table78[Men''s 4x200m Freestyle Relay Classification],"&gt;0")</f>
        <v>0</v>
      </c>
      <c r="KF188" s="6">
        <f>COUNTIFS(Table78[Country],Tabela1[[#This Row],[Country]],Table78[Women''s 4x200m Freestyle Relay Classification],"&gt;0")</f>
        <v>0</v>
      </c>
      <c r="KG188" s="6">
        <f>COUNTIFS(Table78[Country],Tabela1[[#This Row],[Country]],Table78[Men''s 4x100m Medley Relay Classification],"&gt;0")</f>
        <v>0</v>
      </c>
      <c r="KH188" s="6">
        <f>COUNTIFS(Table78[Country],Tabela1[[#This Row],[Country]],Table78[Women''s 4x100m Medley Relay Classification],"&gt;0")</f>
        <v>0</v>
      </c>
      <c r="KI188" s="6">
        <f>COUNTIFS(Table78[Country],Tabela1[[#This Row],[Country]],Table78[Mixed 4x100m Medley Relay Classification],"&gt;0")</f>
        <v>0</v>
      </c>
      <c r="KJ188" s="6">
        <f>COUNTIFS(Table20[Country],Tabela1[[#This Row],[Country]],Table20[10km Open Water Classification],"&gt;0")</f>
        <v>0</v>
      </c>
      <c r="KK188" s="6">
        <f>COUNTIFS(Table21[Country],Tabela1[[#This Row],[Country]],Table21[10km Open Water Classification],"&gt;0")</f>
        <v>0</v>
      </c>
      <c r="KL188" s="6">
        <f>COUNTIFS(Table22[Country],Tabela1[[#This Row],[Country]],Table22[Classification],"&gt;0")</f>
        <v>0</v>
      </c>
      <c r="KM188" s="6">
        <f>COUNTIFS(Table30[Country],Tabela1[[#This Row],[Country]],Table30[Classification],"&gt;0")</f>
        <v>0</v>
      </c>
      <c r="KN188" s="6">
        <f>COUNTIFS(Table55[Country],Tabela1[[#This Row],[Country]],Table55[Men''s Classification],"&gt;0")</f>
        <v>0</v>
      </c>
      <c r="KO188" s="6">
        <f>COUNTIFS(Table55[Country],Tabela1[[#This Row],[Country]],Table55[Women''s Classification],"&gt;0")</f>
        <v>0</v>
      </c>
      <c r="KP188" s="6">
        <f>COUNTIFS(Table56[Country],Tabela1[[#This Row],[Country]],Table56[Mixed Classification],"&gt;0")</f>
        <v>0</v>
      </c>
      <c r="KQ188" s="6">
        <f>COUNTIFS(Table29[Country],Tabela1[[#This Row],[Country]],Table29[58kg Classification],"&gt;0")</f>
        <v>0</v>
      </c>
      <c r="KR188" s="6">
        <f>COUNTIFS(Table29[Country],Tabela1[[#This Row],[Country]],Table29[68kg Classification],"&gt;0")</f>
        <v>0</v>
      </c>
      <c r="KS188" s="6">
        <f>COUNTIFS(Table29[Country],Tabela1[[#This Row],[Country]],Table29[80kg Classification],"&gt;0")</f>
        <v>0</v>
      </c>
      <c r="KT188" s="6">
        <f>COUNTIFS(Table29[Country],Tabela1[[#This Row],[Country]],Table29[Plus 80kg Classification],"&gt;0")</f>
        <v>0</v>
      </c>
      <c r="KU188" s="6">
        <f>COUNTIFS(Table34[Country],Tabela1[[#This Row],[Country]],Table34[49kg Classification],"&gt;0")</f>
        <v>0</v>
      </c>
      <c r="KV188" s="6">
        <f>COUNTIFS(Table34[Country],Tabela1[[#This Row],[Country]],Table34[57kg Classification],"&gt;0")</f>
        <v>0</v>
      </c>
      <c r="KW188" s="6">
        <f>COUNTIFS(Table34[Country],Tabela1[[#This Row],[Country]],Table34[67kg Classification],"&gt;0")</f>
        <v>0</v>
      </c>
      <c r="KX188" s="6">
        <f>COUNTIFS(Table34[Country],Tabela1[[#This Row],[Country]],Table34[Plus 67kg Classification],"&gt;0")</f>
        <v>0</v>
      </c>
      <c r="KY188" s="6">
        <f>COUNTIFS(Table57[Country],Tabela1[[#This Row],[Country]],Table57[Classification],"&gt;0")</f>
        <v>0</v>
      </c>
      <c r="KZ188" s="6">
        <f>COUNTIFS(Table58[Country],Tabela1[[#This Row],[Country]],Table58[Classification],"&gt;0")</f>
        <v>0</v>
      </c>
      <c r="LA188" s="6">
        <f>COUNTIFS(Table79[Country],Tabela1[[#This Row],[Country]],Table79[Men''s Classification],"&gt;0")</f>
        <v>0</v>
      </c>
      <c r="LB188" s="6">
        <f>COUNTIFS(Table79[Country],Tabela1[[#This Row],[Country]],Table79[Women''s Classification],"&gt;0")</f>
        <v>0</v>
      </c>
      <c r="LC188" s="6">
        <f>COUNTIFS(Table79[Country],Tabela1[[#This Row],[Country]],Table79[Mixed Classification],"&gt;0")</f>
        <v>0</v>
      </c>
      <c r="LD188" s="6">
        <f>COUNTIFS(Table65[Country],Tabela1[[#This Row],[Country]],Table65[Classification],"&gt;0")</f>
        <v>0</v>
      </c>
      <c r="LE188" s="6">
        <f>COUNTIFS(Table59[Country],Tabela1[[#This Row],[Country]],Table59[Classification],"&gt;0")</f>
        <v>0</v>
      </c>
      <c r="LF188" s="6">
        <f>COUNTIFS(Table87[Country],Tabela1[[#This Row],[Country]],Table87[Mixed Relay Classification],"&gt;0")</f>
        <v>0</v>
      </c>
      <c r="LG188" s="6">
        <f>COUNTIFS(Table91949698100[Country],Tabela1[[#This Row],[Country]],Table91949698100[Men''s Classification],"&gt;0")</f>
        <v>0</v>
      </c>
      <c r="LH188" s="6">
        <f>COUNTIFS(Table91949698100[Country],Tabela1[[#This Row],[Country]],Table91949698100[Women''s Classification],"&gt;0")</f>
        <v>0</v>
      </c>
      <c r="LI188" s="6">
        <f>COUNTIFS(Table91949698100102[Country],Tabela1[[#This Row],[Country]],Table91949698100102[Men''s Classification],"&gt;0")</f>
        <v>0</v>
      </c>
      <c r="LJ188" s="6">
        <f>COUNTIFS(Table91949698100102[Country],Tabela1[[#This Row],[Country]],Table91949698100102[Women''s Classification],"&gt;0")</f>
        <v>0</v>
      </c>
      <c r="LK188" s="6">
        <f>COUNTIFS(Table23[Country],Tabela1[[#This Row],[Country]],Table23[61kg Classification],"&gt;0")</f>
        <v>0</v>
      </c>
      <c r="LL188" s="6">
        <f>COUNTIFS(Table23[Country],Tabela1[[#This Row],[Country]],Table23[73kg Classification],"&gt;0")</f>
        <v>0</v>
      </c>
      <c r="LM188" s="6">
        <f>COUNTIFS(Table23[Country],Tabela1[[#This Row],[Country]],Table23[89kg Classification],"&gt;0")</f>
        <v>0</v>
      </c>
      <c r="LN188" s="6">
        <f>COUNTIFS(Table23[Country],Tabela1[[#This Row],[Country]],Table23[102kg Classification],"&gt;0")</f>
        <v>0</v>
      </c>
      <c r="LO188" s="6">
        <f>COUNTIFS(Table23[Country],Tabela1[[#This Row],[Country]],Table23[Plus 102kg Classification],"&gt;0")</f>
        <v>0</v>
      </c>
      <c r="LP188" s="6">
        <f>COUNTIFS(Table28[Country],Tabela1[[#This Row],[Country]],Table28[49kg Classification],"&gt;0")</f>
        <v>0</v>
      </c>
      <c r="LQ188" s="6">
        <f>COUNTIFS(Table28[Country],Tabela1[[#This Row],[Country]],Table28[59kg Classification],"&gt;0")</f>
        <v>0</v>
      </c>
      <c r="LR188" s="6">
        <f>COUNTIFS(Table28[Country],Tabela1[[#This Row],[Country]],Table28[71kg Classification],"&gt;0")</f>
        <v>0</v>
      </c>
      <c r="LS188" s="6">
        <f>COUNTIFS(Table28[Country],Tabela1[[#This Row],[Country]],Table28[81kg Classification],"&gt;0")</f>
        <v>0</v>
      </c>
      <c r="LT188" s="6">
        <f>COUNTIFS(Table28[Country],Tabela1[[#This Row],[Country]],Table28[Plus 81kg Classification],"&gt;0")</f>
        <v>0</v>
      </c>
      <c r="LU188" s="6">
        <f>COUNTIFS(Table24[Country],Tabela1[[#This Row],[Country]],Table24[Freestyle 57kg Classification],"&gt;0")</f>
        <v>0</v>
      </c>
      <c r="LV188" s="6">
        <f>COUNTIFS(Table24[Country],Tabela1[[#This Row],[Country]],Table24[Freestyle 65kg Classification],"&gt;0")</f>
        <v>0</v>
      </c>
      <c r="LW188" s="6">
        <f>COUNTIFS(Table24[Country],Tabela1[[#This Row],[Country]],Table24[Freestyle 74kg Classification],"&gt;0")</f>
        <v>0</v>
      </c>
      <c r="LX188" s="6">
        <f>COUNTIFS(Table24[Country],Tabela1[[#This Row],[Country]],Table24[Freestyle 86kg Classification],"&gt;0")</f>
        <v>0</v>
      </c>
      <c r="LY188" s="6">
        <f>COUNTIFS(Table24[Country],Tabela1[[#This Row],[Country]],Table24[Freestyle 97kg Classification],"&gt;0")</f>
        <v>0</v>
      </c>
      <c r="LZ188" s="6">
        <f>COUNTIFS(Table24[Country],Tabela1[[#This Row],[Country]],Table24[Freestyle 125kg Classification],"&gt;0")</f>
        <v>0</v>
      </c>
      <c r="MA188" s="6">
        <f>COUNTIFS(Table24[Country],Tabela1[[#This Row],[Country]],Table24[Greco-Roman 60kg Classification],"&gt;0")</f>
        <v>0</v>
      </c>
      <c r="MB188" s="6">
        <f>COUNTIFS(Table24[Country],Tabela1[[#This Row],[Country]],Table24[Greco-Roman 67kg Classification],"&gt;0")</f>
        <v>0</v>
      </c>
      <c r="MC188" s="6">
        <f>COUNTIFS(Table24[Country],Tabela1[[#This Row],[Country]],Table24[Greco-Roman 77kg Classification],"&gt;0")</f>
        <v>0</v>
      </c>
      <c r="MD188" s="6">
        <f>COUNTIFS(Table24[Country],Tabela1[[#This Row],[Country]],Table24[Greco-Roman 87kg Classification],"&gt;0")</f>
        <v>0</v>
      </c>
      <c r="ME188" s="6">
        <f>COUNTIFS(Table24[Country],Tabela1[[#This Row],[Country]],Table24[Greco-Roman 97kg Classification],"&gt;0")</f>
        <v>0</v>
      </c>
      <c r="MF188" s="6">
        <f>COUNTIFS(Table24[Country],Tabela1[[#This Row],[Country]],Table24[Greco-Roman 130kg Classification],"&gt;0")</f>
        <v>0</v>
      </c>
      <c r="MG188" s="6">
        <f>COUNTIFS(Table31[Country],Tabela1[[#This Row],[Country]],Table31[50kg Classification],"&gt;0")</f>
        <v>0</v>
      </c>
      <c r="MH188" s="6">
        <f>COUNTIFS(Table31[Country],Tabela1[[#This Row],[Country]],Table31[53kg Classification],"&gt;0")</f>
        <v>0</v>
      </c>
      <c r="MI188" s="6">
        <f>COUNTIFS(Table31[Country],Tabela1[[#This Row],[Country]],Table31[57kg Classification],"&gt;0")</f>
        <v>0</v>
      </c>
      <c r="MJ188" s="6">
        <f>COUNTIFS(Table31[Country],Tabela1[[#This Row],[Country]],Table31[62kg Classification],"&gt;0")</f>
        <v>0</v>
      </c>
      <c r="MK188" s="6">
        <f>COUNTIFS(Table31[Country],Tabela1[[#This Row],[Country]],Table31[68kg Classification],"&gt;0")</f>
        <v>0</v>
      </c>
      <c r="ML188" s="6">
        <f>COUNTIFS(Table31[Country],Tabela1[[#This Row],[Country]],Table31[76kg Classification],"&gt;0")</f>
        <v>0</v>
      </c>
      <c r="MM188" s="6">
        <f>COUNTIFS(Table102[Country],Tabela1[[#This Row],[Country]],Table102[Downhill Classification],"&gt;0")</f>
        <v>0</v>
      </c>
      <c r="MN188" s="6">
        <f>COUNTIFS(Table102105[Country],Tabela1[[#This Row],[Country]],Table102105[Downhill Classification],"&gt;0")</f>
        <v>0</v>
      </c>
      <c r="MO188" s="6">
        <f>COUNTIFS(Table102[Country],Tabela1[[#This Row],[Country]],Table102[Giant Slalom Classification],"&gt;0")</f>
        <v>0</v>
      </c>
      <c r="MP188" s="6">
        <f>COUNTIFS(Table102105[Country],Tabela1[[#This Row],[Country]],Table102105[Giant Slalom Classification],"&gt;0")</f>
        <v>0</v>
      </c>
      <c r="MQ188" s="6">
        <f>COUNTIFS(Table102[Country],Tabela1[[#This Row],[Country]],Table102[Slalom Classification],"&gt;0")</f>
        <v>0</v>
      </c>
      <c r="MR188" s="6">
        <f>COUNTIFS(Table102105[Country],Tabela1[[#This Row],[Country]],Table102105[Slalom Classification],"&gt;0")</f>
        <v>0</v>
      </c>
      <c r="MS188" s="6">
        <f>COUNTIFS(Table102[Country],Tabela1[[#This Row],[Country]],Table102[Super-G Classification],"&gt;0")</f>
        <v>0</v>
      </c>
      <c r="MT188" s="6">
        <f>COUNTIFS(Table102105[Country],Tabela1[[#This Row],[Country]],Table102105[Super-G Classification],"&gt;0")</f>
        <v>0</v>
      </c>
      <c r="MU188" s="6">
        <f>COUNTIFS(Table105[Country],Tabela1[[#This Row],[Country]],Table105[Men''s Combined Classification],"&gt;0")</f>
        <v>0</v>
      </c>
      <c r="MV188" s="6">
        <f>COUNTIFS(Table105[Country],Tabela1[[#This Row],[Country]],Table105[Women''s Combined Classification],"&gt;0")</f>
        <v>0</v>
      </c>
      <c r="MW188" s="6">
        <f>COUNTIFS(Table106[Country],Tabela1[[#This Row],[Country]],Table106[Individual Classification],"&gt;0")</f>
        <v>0</v>
      </c>
      <c r="MX188" s="6">
        <f>COUNTIFS(Table106109[Country],Tabela1[[#This Row],[Country]],Table106109[Individual Classification],"&gt;0")</f>
        <v>0</v>
      </c>
      <c r="MY188" s="6">
        <f>COUNTIFS(Table106[Country],Tabela1[[#This Row],[Country]],Table106[Mass Start Classification],"&gt;0")</f>
        <v>0</v>
      </c>
      <c r="MZ188" s="6">
        <f>COUNTIFS(Table106109[Country],Tabela1[[#This Row],[Country]],Table106109[Mass Start Classification],"&gt;0")</f>
        <v>0</v>
      </c>
      <c r="NA188" s="6">
        <f>COUNTIFS(Table106[Country],Tabela1[[#This Row],[Country]],Table106[Pursuit Classification],"&gt;0")</f>
        <v>0</v>
      </c>
      <c r="NB188" s="6">
        <f>COUNTIFS(Table106109[Country],Tabela1[[#This Row],[Country]],Table106109[Pursuit Classification],"&gt;0")</f>
        <v>0</v>
      </c>
      <c r="NC188" s="6">
        <f>COUNTIFS(Table106[Country],Tabela1[[#This Row],[Country]],Table106[Sprint Classification],"&gt;0")</f>
        <v>0</v>
      </c>
      <c r="ND188" s="6">
        <f>COUNTIFS(Table106109[Country],Tabela1[[#This Row],[Country]],Table106109[Sprint Classification],"&gt;0")</f>
        <v>0</v>
      </c>
      <c r="NE188" s="6">
        <f>COUNTIFS(Table109[Country],Tabela1[[#This Row],[Country]],Table109[Men''s Relay Classification],"&gt;0")</f>
        <v>0</v>
      </c>
      <c r="NF188" s="6">
        <f>COUNTIFS(Table109[Country],Tabela1[[#This Row],[Country]],Table109[Women''s Relay Classification],"&gt;0")</f>
        <v>0</v>
      </c>
      <c r="NG188" s="6">
        <f>COUNTIFS(Table109[Country],Tabela1[[#This Row],[Country]],Table109[Mixed Relay Classification],"&gt;0")</f>
        <v>0</v>
      </c>
      <c r="NH188" s="6">
        <f>COUNTIFS(Table110[Country],Tabela1[[#This Row],[Country]],Table110[Monobob Classification],"&gt;0")</f>
        <v>0</v>
      </c>
      <c r="NI188" s="6">
        <f>COUNTIFS(Table111[Country],Tabela1[[#This Row],[Country]],Table111[Men''s Classification],"&gt;0")</f>
        <v>0</v>
      </c>
      <c r="NJ188" s="6">
        <f>COUNTIFS(Table111[Country],Tabela1[[#This Row],[Country]],Table111[Women''s Classification],"&gt;0")</f>
        <v>0</v>
      </c>
      <c r="NK188" s="6">
        <f>COUNTIFS(Table112[Country],Tabela1[[#This Row],[Country]],Table112[Men''s Four Classification],"&gt;0")</f>
        <v>0</v>
      </c>
      <c r="NL188" s="6">
        <f>COUNTIFS(Table113[Country],Tabela1[[#This Row],[Country]],Table113[Classical Classification],"&gt;0")</f>
        <v>0</v>
      </c>
      <c r="NM188" s="6">
        <f>COUNTIFS(Table113116[Country],Tabela1[[#This Row],[Country]],Table113116[Classical Classification],"&gt;0")</f>
        <v>0</v>
      </c>
      <c r="NN188" s="6">
        <f>COUNTIFS(Table113[Country],Tabela1[[#This Row],[Country]],Table113[Freestyle Classification],"&gt;0")</f>
        <v>0</v>
      </c>
      <c r="NO188" s="6">
        <f>COUNTIFS(Table113116[Country],Tabela1[[#This Row],[Country]],Table113116[Freestyle Classification],"&gt;0")</f>
        <v>0</v>
      </c>
      <c r="NP188" s="6">
        <f>COUNTIFS(Table117[Country],Tabela1[[#This Row],[Country]],Table117[Men''s Relay Classification],"&gt;0")</f>
        <v>0</v>
      </c>
      <c r="NQ188" s="6">
        <f>COUNTIFS(Table117[Country],Tabela1[[#This Row],[Country]],Table117[Women''s Relay Classification],"&gt;0")</f>
        <v>0</v>
      </c>
      <c r="NR188" s="6">
        <f>COUNTIFS(Table113[Country],Tabela1[[#This Row],[Country]],Table113[Skiathlon Classification],"&gt;0")</f>
        <v>0</v>
      </c>
      <c r="NS188" s="6">
        <f>COUNTIFS(Table113116[Country],Tabela1[[#This Row],[Country]],Table113116[Skiathlon Classification],"&gt;0")</f>
        <v>0</v>
      </c>
      <c r="NT188" s="6">
        <f>COUNTIFS(Table113[Country],Tabela1[[#This Row],[Country]],Table113[Sprint Classification],"&gt;0")</f>
        <v>0</v>
      </c>
      <c r="NU188" s="6">
        <f>COUNTIFS(Table113116[Country],Tabela1[[#This Row],[Country]],Table113116[Sprint Classification],"&gt;0")</f>
        <v>0</v>
      </c>
      <c r="NV188" s="6">
        <f>COUNTIFS(Table116[Country],Tabela1[[#This Row],[Country]],Table116[Men''s Team Sprint Classification],"&gt;0")</f>
        <v>0</v>
      </c>
      <c r="NW188" s="6">
        <f>COUNTIFS(Table116[Country],Tabela1[[#This Row],[Country]],Table116[Women''s Team Sprint Classification],"&gt;0")</f>
        <v>0</v>
      </c>
      <c r="NX188" s="6">
        <f>COUNTIFS(Table119[Country],Tabela1[[#This Row],[Country]],Table119[Men''s Classification],"&gt;0")</f>
        <v>0</v>
      </c>
      <c r="NY188" s="6">
        <f>COUNTIFS(Table119[Country],Tabela1[[#This Row],[Country]],Table119[Women''s Classification],"&gt;0")</f>
        <v>0</v>
      </c>
      <c r="NZ188" s="6">
        <f>COUNTIFS(Table118[Country],Tabela1[[#This Row],[Country]],Table118[Mixed Classification],"&gt;0")</f>
        <v>0</v>
      </c>
      <c r="OA188" s="6">
        <f>COUNTIFS(Table120[Country],Tabela1[[#This Row],[Country]],Table120[Classification],"&gt;0")</f>
        <v>0</v>
      </c>
      <c r="OB188" s="6">
        <f>COUNTIFS(Table120123[Country],Tabela1[[#This Row],[Country]],Table120123[Classification],"&gt;0")</f>
        <v>0</v>
      </c>
      <c r="OC188" s="6">
        <f>COUNTIFS(Table123[Country],Tabela1[[#This Row],[Country]],Table123[Ice Dance Classification],"&gt;0")</f>
        <v>0</v>
      </c>
      <c r="OD188" s="6">
        <f>COUNTIFS(Table123[Country],Tabela1[[#This Row],[Country]],Table123[Pair Skating Classification],"&gt;0")</f>
        <v>0</v>
      </c>
      <c r="OE188" s="6">
        <f>COUNTIFS(Table124[Country],Tabela1[[#This Row],[Country]],Table124[Mixed Classification],"&gt;0")</f>
        <v>0</v>
      </c>
      <c r="OF188" s="6">
        <f>COUNTIFS(Table125[Country],Tabela1[[#This Row],[Country]],Table125[Aerials Classification],"&gt;0")</f>
        <v>0</v>
      </c>
      <c r="OG188" s="6">
        <f>COUNTIFS(Table125128[Country],Tabela1[[#This Row],[Country]],Table125128[Aerials Classification],"&gt;0")</f>
        <v>0</v>
      </c>
      <c r="OH188" s="6">
        <f>COUNTIFS(Table128[Country],Tabela1[[#This Row],[Country]],Table128[Mixed Aerials Classification],"&gt;0")</f>
        <v>0</v>
      </c>
      <c r="OI188" s="6">
        <f>COUNTIFS(Table125[Country],Tabela1[[#This Row],[Country]],Table125[Big Air Classification],"&gt;0")</f>
        <v>0</v>
      </c>
      <c r="OJ188" s="6">
        <f>COUNTIFS(Table125128[Country],Tabela1[[#This Row],[Country]],Table125128[Big Air Classification],"&gt;0")</f>
        <v>0</v>
      </c>
      <c r="OK188" s="6">
        <f>COUNTIFS(Table125[Country],Tabela1[[#This Row],[Country]],Table125[Dual Moguls Classification],"&gt;0")</f>
        <v>0</v>
      </c>
      <c r="OL188" s="6">
        <f>COUNTIFS(Table125128[Country],Tabela1[[#This Row],[Country]],Table125128[Dual Moguls Classification],"&gt;0")</f>
        <v>0</v>
      </c>
      <c r="OM188" s="6">
        <f>COUNTIFS(Table125[Country],Tabela1[[#This Row],[Country]],Table125[Halfpipe Classification],"&gt;0")</f>
        <v>0</v>
      </c>
      <c r="ON188" s="6">
        <f>COUNTIFS(Table125128[Country],Tabela1[[#This Row],[Country]],Table125128[Halfpipe Classification],"&gt;0")</f>
        <v>0</v>
      </c>
      <c r="OO188" s="6">
        <f>COUNTIFS(Table125[Country],Tabela1[[#This Row],[Country]],Table125[Moguls Classification],"&gt;0")</f>
        <v>0</v>
      </c>
      <c r="OP188" s="6">
        <f>COUNTIFS(Table125128[Country],Tabela1[[#This Row],[Country]],Table125128[Moguls Classification],"&gt;0")</f>
        <v>0</v>
      </c>
      <c r="OQ188" s="6">
        <f>COUNTIFS(Table125[Country],Tabela1[[#This Row],[Country]],Table125[Ski Cross Classification],"&gt;0")</f>
        <v>0</v>
      </c>
      <c r="OR188" s="6">
        <f>COUNTIFS(Table125128[Country],Tabela1[[#This Row],[Country]],Table125128[Ski Cross Classification],"&gt;0")</f>
        <v>0</v>
      </c>
      <c r="OS188" s="6">
        <f>COUNTIFS(Table125[Country],Tabela1[[#This Row],[Country]],Table125[Slopestyle Classification],"&gt;0")</f>
        <v>0</v>
      </c>
      <c r="OT188" s="6">
        <f>COUNTIFS(Table125128[Country],Tabela1[[#This Row],[Country]],Table125128[Slopestyle Classification],"&gt;0")</f>
        <v>0</v>
      </c>
      <c r="OU188" s="6">
        <f>COUNTIFS(Table119131[Country],Tabela1[[#This Row],[Country]],Table119131[Men''s Classification],"&gt;0")</f>
        <v>0</v>
      </c>
      <c r="OV188" s="6">
        <f>COUNTIFS(Table119131[Country],Tabela1[[#This Row],[Country]],Table119131[Women''s Classification],"&gt;0")</f>
        <v>0</v>
      </c>
      <c r="OW188" s="6">
        <f>COUNTIFS(Table131[Country],Tabela1[[#This Row],[Country]],Table131[Classification],"&gt;0")</f>
        <v>0</v>
      </c>
      <c r="OX188" s="6">
        <f>COUNTIFS(Table131134[Country],Tabela1[[#This Row],[Country]],Table131134[Classification],"&gt;0")</f>
        <v>0</v>
      </c>
      <c r="OY188" s="6">
        <f>COUNTIFS(Table134[Country],Tabela1[[#This Row],[Country]],Table134[Men''s Classification],"&gt;0")</f>
        <v>0</v>
      </c>
      <c r="OZ188" s="6">
        <f>COUNTIFS(Table134[Country],Tabela1[[#This Row],[Country]],Table134[Women''s Classification],"&gt;0")</f>
        <v>0</v>
      </c>
      <c r="PA188" s="6">
        <f>COUNTIFS(Table135[Country],Tabela1[[#This Row],[Country]],Table135[Mixed Relay Classification],"&gt;0")</f>
        <v>0</v>
      </c>
      <c r="PB188" s="6">
        <f>COUNTIFS(Table136[Country],Tabela1[[#This Row],[Country]],Table136[Individual Classification],"&gt;0")</f>
        <v>0</v>
      </c>
      <c r="PC188" s="6">
        <f>COUNTIFS(Table136[Country],Tabela1[[#This Row],[Country]],Table136[Sprint Classification],"&gt;0")</f>
        <v>0</v>
      </c>
      <c r="PD188" s="6">
        <f>COUNTIFS(Table137[Country],Tabela1[[#This Row],[Country]],Table137[Men''s Team Sprint Large Hill Classification],"&gt;0")</f>
        <v>0</v>
      </c>
      <c r="PE188" s="6">
        <f>COUNTIFS(Table138[Country],Tabela1[[#This Row],[Country]],Table138[500m Classification],"&gt;0")</f>
        <v>0</v>
      </c>
      <c r="PF188" s="6">
        <f>COUNTIFS(Table138141[Country],Tabela1[[#This Row],[Country]],Table138141[500m Classification],"&gt;0")</f>
        <v>0</v>
      </c>
      <c r="PG188" s="6">
        <f>COUNTIFS(Table138[Country],Tabela1[[#This Row],[Country]],Table138[1000m Classification],"&gt;0")</f>
        <v>0</v>
      </c>
      <c r="PH188" s="6">
        <f>COUNTIFS(Table138141[Country],Tabela1[[#This Row],[Country]],Table138141[1000m Classification],"&gt;0")</f>
        <v>0</v>
      </c>
      <c r="PI188" s="6">
        <f>COUNTIFS(Table138[Country],Tabela1[[#This Row],[Country]],Table138[1500m Classification],"&gt;0")</f>
        <v>0</v>
      </c>
      <c r="PJ188" s="6">
        <f>COUNTIFS(Table138141[Country],Tabela1[[#This Row],[Country]],Table138141[1500m Classification],"&gt;0")</f>
        <v>0</v>
      </c>
      <c r="PK188" s="6">
        <f>COUNTIFS(Table141[Country],Tabela1[[#This Row],[Country]],Table141[Men''s 5000m Relay Classification],"&gt;0")</f>
        <v>0</v>
      </c>
      <c r="PL188" s="6">
        <f>COUNTIFS(Table141[Country],Tabela1[[#This Row],[Country]],Table141[Women''s 3000m Relay Classification],"&gt;0")</f>
        <v>0</v>
      </c>
      <c r="PM188" s="6">
        <f>COUNTIFS(Table141[Country],Tabela1[[#This Row],[Country]],Table141[Mixed 2000m Relay Classification],"&gt;0")</f>
        <v>0</v>
      </c>
      <c r="PN188" s="6">
        <f>COUNTIFS(Table142[Country],Tabela1[[#This Row],[Country]],Table142[Classification],"&gt;0")</f>
        <v>0</v>
      </c>
      <c r="PO188" s="6">
        <f>COUNTIFS(Table142145[Country],Tabela1[[#This Row],[Country]],Table142145[Classification],"&gt;0")</f>
        <v>0</v>
      </c>
      <c r="PP188" s="6">
        <f>COUNTIFS(Tabela15[Country],Tabela1[[#This Row],[Country]],Tabela15[Mixed Team Classification],"&gt;0")</f>
        <v>0</v>
      </c>
      <c r="PQ188" s="6">
        <f>COUNTIFS(Table145[Country],Tabela1[[#This Row],[Country]],Table145[Large Hill Classification],"&gt;0")</f>
        <v>0</v>
      </c>
      <c r="PR188" s="6">
        <f>COUNTIFS(Table145[Country],Tabela1[[#This Row],[Country]],Table145[Normal Hill Classification],"&gt;0")</f>
        <v>0</v>
      </c>
      <c r="PS188" s="6">
        <f>COUNTIFS(Table145148[Country],Tabela1[[#This Row],[Country]],Table145148[Large Hill Classification],"&gt;0")</f>
        <v>0</v>
      </c>
      <c r="PT188" s="6">
        <f>COUNTIFS(Table145148[Country],Tabela1[[#This Row],[Country]],Table145148[Normal Hill Classification],"&gt;0")</f>
        <v>0</v>
      </c>
      <c r="PU188" s="6">
        <f>COUNTIFS(Table148[Country],Tabela1[[#This Row],[Country]],Table148[Men''s Super Team Classification],"&gt;0")</f>
        <v>0</v>
      </c>
      <c r="PV188" s="6">
        <f>COUNTIFS(Tabela114[Country],Tabela1[[#This Row],[Country]],Tabela114[Mixed Normal Hill Classification],"&gt;0")</f>
        <v>0</v>
      </c>
      <c r="PW188" s="6">
        <f>COUNTIFS(Tabela50[Country],Tabela1[[#This Row],[Country]],Tabela50[Sprint Classification],"&gt;0")</f>
        <v>0</v>
      </c>
      <c r="PX188" s="6">
        <f>COUNTIFS(Tabela50101[Country],Tabela1[[#This Row],[Country]],Tabela50101[Sprint Classification],"&gt;0")</f>
        <v>0</v>
      </c>
      <c r="PY188" s="6">
        <f>COUNTIFS(Tabela103[Country],Tabela1[[#This Row],[Country]],Tabela103[Mixed Relay Classification],"&gt;0")</f>
        <v>0</v>
      </c>
      <c r="PZ188" s="6">
        <f>COUNTIFS(Table149[Country],Tabela1[[#This Row],[Country]],Table149[Big Air Classification],"&gt;0")</f>
        <v>0</v>
      </c>
      <c r="QA188" s="6">
        <f>COUNTIFS(Table149152[Country],Tabela1[[#This Row],[Country]],Table149152[Big Air Classification],"&gt;0")</f>
        <v>0</v>
      </c>
      <c r="QB188" s="6">
        <f>COUNTIFS(Table149[Country],Tabela1[[#This Row],[Country]],Table149[Halfpipe Classification],"&gt;0")</f>
        <v>0</v>
      </c>
      <c r="QC188" s="6">
        <f>COUNTIFS(Table149152[Country],Tabela1[[#This Row],[Country]],Table149152[Halfpipe Classification],"&gt;0")</f>
        <v>0</v>
      </c>
      <c r="QD188" s="6">
        <f>COUNTIFS(Table149[Country],Tabela1[[#This Row],[Country]],Table149[Parallel Giant Slalom Classification],"&gt;0")</f>
        <v>0</v>
      </c>
      <c r="QE188" s="6">
        <f>COUNTIFS(Table149152[Country],Tabela1[[#This Row],[Country]],Table149152[Parallel Giant Slalom Classification],"&gt;0")</f>
        <v>0</v>
      </c>
      <c r="QF188" s="6">
        <f>COUNTIFS(Table149[Country],Tabela1[[#This Row],[Country]],Table149[Slopestyle Classification],"&gt;0")</f>
        <v>0</v>
      </c>
      <c r="QG188" s="6">
        <f>COUNTIFS(Table149152[Country],Tabela1[[#This Row],[Country]],Table149152[Slopestyle Classification],"&gt;0")</f>
        <v>0</v>
      </c>
      <c r="QH188" s="6">
        <f>COUNTIFS(Table149[Country],Tabela1[[#This Row],[Country]],Table149[Snowboard Cross Classification],"&gt;0")</f>
        <v>0</v>
      </c>
      <c r="QI188" s="6">
        <f>COUNTIFS(Table149152[Country],Tabela1[[#This Row],[Country]],Table149152[Snowboard Cross Classification],"&gt;0")</f>
        <v>0</v>
      </c>
      <c r="QJ188" s="6">
        <f>COUNTIFS(Table153[Country],Tabela1[[#This Row],[Country]],Table153[Mixed Team Snowboard Cross Classification],"&gt;0")</f>
        <v>0</v>
      </c>
      <c r="QK188" s="6">
        <f>COUNTIFS(Table154[Country],Tabela1[[#This Row],[Country]],Table154[500m Classification],"&gt;0")</f>
        <v>0</v>
      </c>
      <c r="QL188" s="6">
        <f>COUNTIFS(Table154157[Country],Tabela1[[#This Row],[Country]],Table154157[500m Classification],"&gt;0")</f>
        <v>0</v>
      </c>
      <c r="QM188" s="6">
        <f>COUNTIFS(Table154[Country],Tabela1[[#This Row],[Country]],Table154[1000m Classification],"&gt;0")</f>
        <v>0</v>
      </c>
      <c r="QN188" s="6">
        <f>COUNTIFS(Table154157[Country],Tabela1[[#This Row],[Country]],Table154157[1000m Classification],"&gt;0")</f>
        <v>0</v>
      </c>
      <c r="QO188" s="6">
        <f>COUNTIFS(Table154[Country],Tabela1[[#This Row],[Country]],Table154[1500m Classification],"&gt;0")</f>
        <v>0</v>
      </c>
      <c r="QP188" s="6">
        <f>COUNTIFS(Table154157[Country],Tabela1[[#This Row],[Country]],Table154157[1500m Classification],"&gt;0")</f>
        <v>0</v>
      </c>
      <c r="QQ188" s="6">
        <f>COUNTIFS(Table154157[Country],Tabela1[[#This Row],[Country]],Table154157[3000m Classification],"&gt;0")</f>
        <v>0</v>
      </c>
      <c r="QR188" s="6">
        <f>COUNTIFS(Table154[Country],Tabela1[[#This Row],[Country]],Table154[5000m Classification],"&gt;0")</f>
        <v>0</v>
      </c>
      <c r="QS188" s="6">
        <f>COUNTIFS(Table154157[Country],Tabela1[[#This Row],[Country]],Table154157[5000m Classification],"&gt;0")</f>
        <v>0</v>
      </c>
      <c r="QT188" s="6">
        <f>COUNTIFS(Table154[Country],Tabela1[[#This Row],[Country]],Table154[10000m Classification],"&gt;0")</f>
        <v>0</v>
      </c>
      <c r="QU188" s="6">
        <f>COUNTIFS(Table154[Country],Tabela1[[#This Row],[Country]],Table154[Mass Start Classification],"&gt;0")</f>
        <v>0</v>
      </c>
      <c r="QV188" s="6">
        <f>COUNTIFS(Table154157[Country],Tabela1[[#This Row],[Country]],Table154157[Mass Start Classification],"&gt;0")</f>
        <v>0</v>
      </c>
      <c r="QW188" s="6">
        <f>COUNTIFS(Table157[Country],Tabela1[[#This Row],[Country]],Table157[Men''s Pursuit Classification],"&gt;0")</f>
        <v>0</v>
      </c>
      <c r="QX188" s="6">
        <f>COUNTIFS(Table157[Country],Tabela1[[#This Row],[Country]],Table157[Women''s Pursuit Classification],"&gt;0")</f>
        <v>0</v>
      </c>
      <c r="QY188" s="4" t="s">
        <v>631</v>
      </c>
    </row>
    <row r="189" spans="1:467" x14ac:dyDescent="0.3">
      <c r="A189" s="6">
        <v>188</v>
      </c>
      <c r="B189" s="6" t="s">
        <v>632</v>
      </c>
      <c r="C189" t="e" vm="188">
        <f>IF(ISBLANK(Tabela1[[#This Row],[Image Link]]), "", _xlfn.IMAGE(Tabela1[[#This Row],[Image Link]],1,1))</f>
        <v>#VALUE!</v>
      </c>
      <c r="D189" s="6">
        <f>SUM(Tabela1[[#This Row],[Archery - Men''s Individual Recurve]:[Speed Skating - Women''s Team Pursuit]])</f>
        <v>0</v>
      </c>
      <c r="E189" s="6">
        <f>COUNTIF(Tabela1[[#This Row],[Archery - Men''s Individual Recurve]:[Speed Skating - Women''s Team Pursuit]],"&gt;0")</f>
        <v>0</v>
      </c>
      <c r="F189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89" s="6">
        <f>SUM(Tabela1[[#This Row],[Archery - Men''s Individual Recurve]:[Wrestling - Women''s Freestyle 76kg]])</f>
        <v>0</v>
      </c>
      <c r="H189" s="6">
        <f>SUM(Tabela1[[#This Row],[Alpine Skiing - Men''s Downhill]:[Speed Skating - Women''s Team Pursuit]])</f>
        <v>0</v>
      </c>
      <c r="I189" s="6">
        <f>Tabela1[[#This Row],[Summer Gold Medals]]+Tabela1[[#This Row],[Winter Gold Medals]]</f>
        <v>0</v>
      </c>
      <c r="J189" s="6">
        <f>Tabela1[[#This Row],[Summer Silver Medals]]+Tabela1[[#This Row],[Winter Silver Medals]]</f>
        <v>0</v>
      </c>
      <c r="K189" s="6">
        <f>Tabela1[[#This Row],[Summer Bronze Medals]]+Tabela1[[#This Row],[Winter Bronze Medals]]</f>
        <v>0</v>
      </c>
      <c r="L189" s="6">
        <f>SUM(Tabela1[[#This Row],[Total Gold Medals]:[Total Bronze Medals]])</f>
        <v>0</v>
      </c>
      <c r="M189" s="6"/>
      <c r="N189" s="6"/>
      <c r="O189" s="6"/>
      <c r="P189" s="6">
        <f>SUM(Tabela1[[#This Row],[Summer Gold Medals]:[Summer Bronze Medals]])</f>
        <v>0</v>
      </c>
      <c r="Q189" s="6"/>
      <c r="R189" s="6"/>
      <c r="S189" s="6"/>
      <c r="T189" s="6">
        <f>Tabela1[[#This Row],[Winter Gold Medals]]+Tabela1[[#This Row],[Winter Silver Medals]]+Tabela1[[#This Row],[Winter Bronze Medals]]</f>
        <v>0</v>
      </c>
      <c r="U189" s="7" t="e">
        <f>Tabela1[[#This Row],[Total Medals]]/Tabela1[[#This Row],[Total Quotas]]</f>
        <v>#DIV/0!</v>
      </c>
      <c r="V189" s="6">
        <f>COUNTIFS(Table3[Country],Tabela1[[#This Row],[Country]],Table3[Recurve Classification],"&gt;0")</f>
        <v>0</v>
      </c>
      <c r="W189" s="6">
        <f>COUNTIFS(Table33[Country],Tabela1[[#This Row],[Country]],Table33[Recurve Classification],"&gt;0")</f>
        <v>0</v>
      </c>
      <c r="X189" s="6">
        <f>COUNTIFS(Table35[Country],Tabela1[[#This Row],[Country]],Table35[Men''s Team Recurve Classification],"&gt;0")</f>
        <v>0</v>
      </c>
      <c r="Y189" s="6">
        <f>COUNTIFS(Table35[Country],Tabela1[[#This Row],[Country]],Table35[Women''s Team Recurve Classification],"&gt;0")</f>
        <v>0</v>
      </c>
      <c r="Z189" s="6">
        <f>COUNTIFS(Tabela88[Country],Tabela1[[#This Row],[Country]],Tabela88[Mixed Team Recurve Classification],"&gt;0")</f>
        <v>0</v>
      </c>
      <c r="AA189" s="6">
        <f>COUNTIFS(Table36[Country],Tabela1[[#This Row],[Country]],Table36[Classification],"&gt;0")</f>
        <v>0</v>
      </c>
      <c r="AB189" s="6">
        <f>COUNTIFS(Table37[Country],Tabela1[[#This Row],[Country]],Table37[Classification],"&gt;0")</f>
        <v>0</v>
      </c>
      <c r="AC189" s="6">
        <f>COUNTIFS(Table4[Country],Tabela1[[#This Row],[Country]],Table4[100m Classification],"&gt;0")</f>
        <v>0</v>
      </c>
      <c r="AD189" s="6">
        <f>COUNTIFS(Table5[Country],Tabela1[[#This Row],[Country]],Table5[100m Classification],"&gt;0")</f>
        <v>0</v>
      </c>
      <c r="AE189" s="6">
        <f>COUNTIFS(Table4[Country],Tabela1[[#This Row],[Country]],Table4[200m Classification],"&gt;0")</f>
        <v>0</v>
      </c>
      <c r="AF189" s="6">
        <f>COUNTIFS(Table5[Country],Tabela1[[#This Row],[Country]],Table5[200m Classification],"&gt;0")</f>
        <v>0</v>
      </c>
      <c r="AG189" s="6">
        <f>COUNTIFS(Table4[Country],Tabela1[[#This Row],[Country]],Table4[400m Classification],"&gt;0")</f>
        <v>0</v>
      </c>
      <c r="AH189" s="6">
        <f>COUNTIFS(Table5[Country],Tabela1[[#This Row],[Country]],Table5[400m Classification],"&gt;0")</f>
        <v>0</v>
      </c>
      <c r="AI189" s="6">
        <f>COUNTIFS(Table4[Country],Tabela1[[#This Row],[Country]],Table4[800m Classification],"&gt;0")</f>
        <v>0</v>
      </c>
      <c r="AJ189" s="6">
        <f>COUNTIFS(Table5[Country],Tabela1[[#This Row],[Country]],Table5[800m Classification],"&gt;0")</f>
        <v>0</v>
      </c>
      <c r="AK189" s="6">
        <f>COUNTIFS(Table4[Country],Tabela1[[#This Row],[Country]],Table4[1500m Classification],"&gt;0")</f>
        <v>0</v>
      </c>
      <c r="AL189" s="6">
        <f>COUNTIFS(Table5[Country],Tabela1[[#This Row],[Country]],Table5[1500m Classification],"&gt;0")</f>
        <v>0</v>
      </c>
      <c r="AM189" s="6">
        <f>COUNTIFS(Table4[Country],Tabela1[[#This Row],[Country]],Table4[5000m Classification],"&gt;0")</f>
        <v>0</v>
      </c>
      <c r="AN189" s="6">
        <f>COUNTIFS(Table5[Country],Tabela1[[#This Row],[Country]],Table5[5000m Classification],"&gt;0")</f>
        <v>0</v>
      </c>
      <c r="AO189" s="6">
        <f>COUNTIFS(Table4[Country],Tabela1[[#This Row],[Country]],Table4[10000m Classification],"&gt;0")</f>
        <v>0</v>
      </c>
      <c r="AP189" s="6">
        <f>COUNTIFS(Table5[Country],Tabela1[[#This Row],[Country]],Table5[10000m Classification],"&gt;0")</f>
        <v>0</v>
      </c>
      <c r="AQ189" s="6">
        <f>COUNTIFS(Table4[Country],Tabela1[[#This Row],[Country]],Table4[110m Hurdles Classification],"&gt;0")</f>
        <v>0</v>
      </c>
      <c r="AR189" s="6">
        <f>COUNTIFS(Table5[Country],Tabela1[[#This Row],[Country]],Table5[100m Hurdles Classification],"&gt;0")</f>
        <v>0</v>
      </c>
      <c r="AS189" s="6">
        <f>COUNTIFS(Table4[Country],Tabela1[[#This Row],[Country]],Table4[400m Hurdles Classification],"&gt;0")</f>
        <v>0</v>
      </c>
      <c r="AT189" s="6">
        <f>COUNTIFS(Table5[Country],Tabela1[[#This Row],[Country]],Table5[400m Hurdles Classification],"&gt;0")</f>
        <v>0</v>
      </c>
      <c r="AU189" s="6">
        <f>COUNTIFS(Table4[Country],Tabela1[[#This Row],[Country]],Table4[3000m Steeplechase Classification],"&gt;0")</f>
        <v>0</v>
      </c>
      <c r="AV189" s="6">
        <f>COUNTIFS(Table5[Country],Tabela1[[#This Row],[Country]],Table5[3000m Steeplechase Classification],"&gt;0")</f>
        <v>0</v>
      </c>
      <c r="AW189" s="6">
        <f>COUNTIFS(Table27[Country],Tabela1[[#This Row],[Country]],Table27[Men''s 4x100m Relay Classification],"&gt;0")</f>
        <v>0</v>
      </c>
      <c r="AX189" s="6">
        <f>COUNTIFS(Table27[Country],Tabela1[[#This Row],[Country]],Table27[Women''s 4x100m Relay Classification],"&gt;0")</f>
        <v>0</v>
      </c>
      <c r="AY189" s="6">
        <f>COUNTIFS(Table27[Country],Tabela1[[#This Row],[Country]],Table27[Men''s 4x400m Relay Classification],"&gt;0")</f>
        <v>0</v>
      </c>
      <c r="AZ189" s="6">
        <f>COUNTIFS(Table27[Country],Tabela1[[#This Row],[Country]],Table27[Women''s 4x400m Relay Classification],"&gt;0")</f>
        <v>0</v>
      </c>
      <c r="BA189" s="6">
        <f>COUNTIFS(Table27[Country],Tabela1[[#This Row],[Country]],Table27[Mixed 4x400m Relay Classification],"&gt;0")</f>
        <v>0</v>
      </c>
      <c r="BB189" s="6">
        <f>COUNTIFS(Table4[Country],Tabela1[[#This Row],[Country]],Table4[Marathon Classification],"&gt;0")</f>
        <v>0</v>
      </c>
      <c r="BC189" s="6">
        <f>COUNTIFS(Table5[Country],Tabela1[[#This Row],[Country]],Table5[Marathon Classification],"&gt;0")</f>
        <v>0</v>
      </c>
      <c r="BD189" s="6">
        <f>COUNTIFS(Table4[Country],Tabela1[[#This Row],[Country]],Table4[20km Race Walk Classification],"&gt;0")</f>
        <v>0</v>
      </c>
      <c r="BE189" s="6">
        <f>COUNTIFS(Table5[Country],Tabela1[[#This Row],[Country]],Table5[20km Race Walk Classification],"&gt;0")</f>
        <v>0</v>
      </c>
      <c r="BF189" s="6">
        <f>COUNTIFS(Tabela96[Country],Tabela1[[#This Row],[Country]],Tabela96[Mixed Marathon Race Walk Relay Classification],"&gt;0")</f>
        <v>0</v>
      </c>
      <c r="BG189" s="6">
        <f>COUNTIFS(Table4[Country],Tabela1[[#This Row],[Country]],Table4[Discus Throw Classification],"&gt;0")</f>
        <v>0</v>
      </c>
      <c r="BH189" s="6">
        <f>COUNTIFS(Table5[Country],Tabela1[[#This Row],[Country]],Table5[Discus Throw Classification],"&gt;0")</f>
        <v>0</v>
      </c>
      <c r="BI189" s="6">
        <f>COUNTIFS(Table4[Country],Tabela1[[#This Row],[Country]],Table4[Hammer Throw Classification],"&gt;0")</f>
        <v>0</v>
      </c>
      <c r="BJ189" s="6">
        <f>COUNTIFS(Table5[Country],Tabela1[[#This Row],[Country]],Table5[Hammer Throw Classification],"&gt;0")</f>
        <v>0</v>
      </c>
      <c r="BK189" s="6">
        <f>COUNTIFS(Table4[Country],Tabela1[[#This Row],[Country]],Table4[High Jump Classification],"&gt;0")</f>
        <v>0</v>
      </c>
      <c r="BL189" s="6">
        <f>COUNTIFS(Table5[Country],Tabela1[[#This Row],[Country]],Table5[High Jump Classification],"&gt;0")</f>
        <v>0</v>
      </c>
      <c r="BM189" s="6">
        <f>COUNTIFS(Table4[Country],Tabela1[[#This Row],[Country]],Table4[Javelin Throw Classification],"&gt;0")</f>
        <v>0</v>
      </c>
      <c r="BN189" s="6">
        <f>COUNTIFS(Table5[Country],Tabela1[[#This Row],[Country]],Table5[Javelin Throw Classification],"&gt;0")</f>
        <v>0</v>
      </c>
      <c r="BO189" s="6">
        <f>COUNTIFS(Table4[Country],Tabela1[[#This Row],[Country]],Table4[Long Jump Classification],"&gt;0")</f>
        <v>0</v>
      </c>
      <c r="BP189" s="6">
        <f>COUNTIFS(Table5[Country],Tabela1[[#This Row],[Country]],Table5[Long Jump Classification],"&gt;0")</f>
        <v>0</v>
      </c>
      <c r="BQ189" s="6">
        <f>COUNTIFS(Table4[Country],Tabela1[[#This Row],[Country]],Table4[Pole Vault Classification],"&gt;0")</f>
        <v>0</v>
      </c>
      <c r="BR189" s="6">
        <f>COUNTIFS(Table5[Country],Tabela1[[#This Row],[Country]],Table5[Pole Vault Classification],"&gt;0")</f>
        <v>0</v>
      </c>
      <c r="BS189" s="6">
        <f>COUNTIFS(Table4[Country],Tabela1[[#This Row],[Country]],Table4[Shot Put Classification],"&gt;0")</f>
        <v>0</v>
      </c>
      <c r="BT189" s="6">
        <f>COUNTIFS(Table5[Country],Tabela1[[#This Row],[Country]],Table5[Shot Put Classification],"&gt;0")</f>
        <v>0</v>
      </c>
      <c r="BU189" s="6">
        <f>COUNTIFS(Table4[Country],Tabela1[[#This Row],[Country]],Table4[Triple Jump Classification],"&gt;0")</f>
        <v>0</v>
      </c>
      <c r="BV189" s="6">
        <f>COUNTIFS(Table5[Country],Tabela1[[#This Row],[Country]],Table5[Triple Jump Classification],"&gt;0")</f>
        <v>0</v>
      </c>
      <c r="BW189" s="6">
        <f>COUNTIFS(Table4[Country],Tabela1[[#This Row],[Country]],Table4[Decathlon Classification],"&gt;0")</f>
        <v>0</v>
      </c>
      <c r="BX189" s="6">
        <f>COUNTIFS(Table5[Country],Tabela1[[#This Row],[Country]],Table5[Heptathlon Classification],"&gt;0")</f>
        <v>0</v>
      </c>
      <c r="BY189" s="6">
        <f>COUNTIFS(Table61[Country],Tabela1[[#This Row],[Country]],Table61[Classification],"&gt;0")</f>
        <v>0</v>
      </c>
      <c r="BZ189" s="6">
        <f>COUNTIFS(Table38[Country],Tabela1[[#This Row],[Country]],Table38[Classification],"&gt;0")</f>
        <v>0</v>
      </c>
      <c r="CA189" s="6">
        <f>COUNTIFS(Table39[Country],Tabela1[[#This Row],[Country]],Table39[Men''s Classification],"&gt;0")</f>
        <v>0</v>
      </c>
      <c r="CB189" s="6">
        <f>COUNTIFS(Table39[Country],Tabela1[[#This Row],[Country]],Table39[Women''s Classification],"&gt;0")</f>
        <v>0</v>
      </c>
      <c r="CC189" s="6">
        <f>COUNTIFS(Table39[Country],Tabela1[[#This Row],[Country]],Table39[Mixed Classification],"&gt;0")</f>
        <v>0</v>
      </c>
      <c r="CD189" s="6">
        <f>COUNTIFS(Table89[Country],Tabela1[[#This Row],[Country]],Table89[Men''s Classification],"&gt;0")</f>
        <v>0</v>
      </c>
      <c r="CE189" s="6">
        <f>COUNTIFS(Table89[Country],Tabela1[[#This Row],[Country]],Table89[Women''s Classification],"&gt;0")</f>
        <v>0</v>
      </c>
      <c r="CF189" s="6">
        <f>COUNTIFS(Table90[Country],Tabela1[[#This Row],[Country]],Table90[Men''s Classification],"&gt;0")</f>
        <v>0</v>
      </c>
      <c r="CG189" s="6">
        <f>COUNTIFS(Table90[Country],Tabela1[[#This Row],[Country]],Table90[Women''s Classification],"&gt;0")</f>
        <v>0</v>
      </c>
      <c r="CH189" s="6">
        <f>COUNTIFS(Table60[Country],Tabela1[[#This Row],[Country]],Table60[Men''s Classification],"&gt;0")</f>
        <v>0</v>
      </c>
      <c r="CI189" s="6">
        <f>COUNTIFS(Table60[Country],Tabela1[[#This Row],[Country]],Table60[Women''s Classification],"&gt;0")</f>
        <v>0</v>
      </c>
      <c r="CJ189" s="6">
        <f>COUNTIFS(Table6[Country],Tabela1[[#This Row],[Country]],Table6[51kg Classification],"&gt;0")</f>
        <v>0</v>
      </c>
      <c r="CK189" s="6">
        <f>COUNTIFS(Table6[Country],Tabela1[[#This Row],[Country]],Table6[57kg Classification],"&gt;0")</f>
        <v>0</v>
      </c>
      <c r="CL189" s="6">
        <f>COUNTIFS(Table6[Country],Tabela1[[#This Row],[Country]],Table6[63.5kg Classification],"&gt;0")</f>
        <v>0</v>
      </c>
      <c r="CM189" s="6">
        <f>COUNTIFS(Table6[Country],Tabela1[[#This Row],[Country]],Table6[71kg Classification],"&gt;0")</f>
        <v>0</v>
      </c>
      <c r="CN189" s="6">
        <f>COUNTIFS(Table6[Country],Tabela1[[#This Row],[Country]],Table6[80kg Classification],"&gt;0")</f>
        <v>0</v>
      </c>
      <c r="CO189" s="6">
        <f>COUNTIFS(Table6[Country],Tabela1[[#This Row],[Country]],Table6[92kg Classification],"&gt;0")</f>
        <v>0</v>
      </c>
      <c r="CP189" s="6">
        <f>COUNTIFS(Table6[Country],Tabela1[[#This Row],[Country]],Table6[Plus 92kg Classification],"&gt;0")</f>
        <v>0</v>
      </c>
      <c r="CQ189" s="6">
        <f>COUNTIFS(Table7[Country],Tabela1[[#This Row],[Country]],Table7[50kg Classification],"&gt;0")</f>
        <v>0</v>
      </c>
      <c r="CR189" s="6">
        <f>COUNTIFS(Table7[Country],Tabela1[[#This Row],[Country]],Table7[54kg Classification],"&gt;0")</f>
        <v>0</v>
      </c>
      <c r="CS189" s="6">
        <f>COUNTIFS(Table7[Country],Tabela1[[#This Row],[Country]],Table7[57kg Classification],"&gt;0")</f>
        <v>0</v>
      </c>
      <c r="CT189" s="6">
        <f>COUNTIFS(Table7[Country],Tabela1[[#This Row],[Country]],Table7[60kg Classification],"&gt;0")</f>
        <v>0</v>
      </c>
      <c r="CU189" s="6">
        <f>COUNTIFS(Table7[Country],Tabela1[[#This Row],[Country]],Table7[66kg Classification],"&gt;0")</f>
        <v>0</v>
      </c>
      <c r="CV189" s="6">
        <f>COUNTIFS(Table7[Country],Tabela1[[#This Row],[Country]],Table7[75kg Classification],"&gt;0")</f>
        <v>0</v>
      </c>
      <c r="CW189" s="6">
        <f>COUNTIFS(Tabela94[Country],Tabela1[[#This Row],[Country]],Tabela94[Classification],"&gt;0")</f>
        <v>0</v>
      </c>
      <c r="CX189" s="6">
        <f>COUNTIFS(Tabela9499[Country],Tabela1[[#This Row],[Country]],Tabela9499[Classification],"&gt;0")</f>
        <v>0</v>
      </c>
      <c r="CY189" s="6">
        <f>COUNTIFS(Tabela107[Country],Tabela1[[#This Row],[Country]],Tabela107[C1 Slalom Classification],"&gt;0")</f>
        <v>0</v>
      </c>
      <c r="CZ189" s="6">
        <f>COUNTIFS(Tabela107122[Country],Tabela1[[#This Row],[Country]],Tabela107122[C1 Slalom Classification],"&gt;0")</f>
        <v>0</v>
      </c>
      <c r="DA189" s="6">
        <f>COUNTIFS(Tabela107[Country],Tabela1[[#This Row],[Country]],Tabela107[K1 Slalom Classification],"&gt;0")</f>
        <v>0</v>
      </c>
      <c r="DB189" s="6">
        <f>COUNTIFS(Tabela107122[Country],Tabela1[[#This Row],[Country]],Tabela107122[K1 Slalom Classification],"&gt;0")</f>
        <v>0</v>
      </c>
      <c r="DC189" s="6">
        <f>COUNTIFS(Tabela107[Country],Tabela1[[#This Row],[Country]],Tabela107[Kayak Cross Slalom Classification],"&gt;0")</f>
        <v>0</v>
      </c>
      <c r="DD189" s="6">
        <f>COUNTIFS(Tabela107122[Country],Tabela1[[#This Row],[Country]],Tabela107122[Kayak Cross Slalom Classification],"&gt;0")</f>
        <v>0</v>
      </c>
      <c r="DE189" s="6">
        <f>COUNTIFS(Table8[Country],Tabela1[[#This Row],[Country]],Table8[C1 200m Classification],"&gt;0")</f>
        <v>0</v>
      </c>
      <c r="DF189" s="6">
        <f>COUNTIFS(Table40[Country],Tabela1[[#This Row],[Country]],Table40[C1 1000m Classification],"&gt;0")</f>
        <v>0</v>
      </c>
      <c r="DG189" s="6">
        <f>COUNTIFS(Table68[Country],Tabela1[[#This Row],[Country]],Table68[Men''s C2 500m Classification],"&gt;0")</f>
        <v>0</v>
      </c>
      <c r="DH189" s="6">
        <f>COUNTIFS(Table68[Country],Tabela1[[#This Row],[Country]],Table68[Women''s C2 500m Classification],"&gt;0")</f>
        <v>0</v>
      </c>
      <c r="DI189" s="6">
        <f>COUNTIFS(Table8[Country],Tabela1[[#This Row],[Country]],Table8[K1 500m Classification],"&gt;0")</f>
        <v>0</v>
      </c>
      <c r="DJ189" s="6">
        <f>COUNTIFS(Table40[Country],Tabela1[[#This Row],[Country]],Table40[K1 1000m Classification],"&gt;0")</f>
        <v>0</v>
      </c>
      <c r="DK189" s="6">
        <f>COUNTIFS(Table68[Country],Tabela1[[#This Row],[Country]],Table68[Men''s K2 500m Classification],"&gt;0")</f>
        <v>0</v>
      </c>
      <c r="DL189" s="6">
        <f>COUNTIFS(Table68[Country],Tabela1[[#This Row],[Country]],Table68[Women''s K2 500m Classification],"&gt;0")</f>
        <v>0</v>
      </c>
      <c r="DM189" s="6">
        <f>COUNTIFS(Table83[Country],Tabela1[[#This Row],[Country]],Table83[Men''s K4 500m Classification],"&gt;0")</f>
        <v>0</v>
      </c>
      <c r="DN189" s="6">
        <f>COUNTIFS(Table83[Country],Tabela1[[#This Row],[Country]],Table83[Women''s K4 500m Classification],"&gt;0")</f>
        <v>0</v>
      </c>
      <c r="DO189" s="6">
        <f>COUNTIFS(Tabela126[Country],Tabela1[[#This Row],[Country]],Tabela126[Classification],"&gt;0")</f>
        <v>0</v>
      </c>
      <c r="DP189" s="6">
        <f>COUNTIFS(Tabela126130[Country],Tabela1[[#This Row],[Country]],Tabela126130[Classification],"&gt;0")</f>
        <v>0</v>
      </c>
      <c r="DQ189" s="6">
        <f>COUNTIFS(Table70[Country],Tabela1[[#This Row],[Country]],Table70[Classification],"&gt;0")</f>
        <v>0</v>
      </c>
      <c r="DR189" s="6">
        <f>COUNTIFS(Table80[Country],Tabela1[[#This Row],[Country]],Table80[Classification],"&gt;0")</f>
        <v>0</v>
      </c>
      <c r="DS189" s="6">
        <f>COUNTIFS(Table66[Country],Tabela1[[#This Row],[Country]],Table66[Classification],"&gt;0")</f>
        <v>0</v>
      </c>
      <c r="DT189" s="6">
        <f>COUNTIFS(Table67[Country],Tabela1[[#This Row],[Country]],Table67[Classification],"&gt;0")</f>
        <v>0</v>
      </c>
      <c r="DU189" s="6">
        <f>COUNTIFS(Table69[Country],Tabela1[[#This Row],[Country]],Table69[Keirin Classification],"&gt;0")</f>
        <v>0</v>
      </c>
      <c r="DV189" s="6">
        <f>COUNTIFS(Table41[Country],Tabela1[[#This Row],[Country]],Table41[Keirin Classification],"&gt;0")</f>
        <v>0</v>
      </c>
      <c r="DW189" s="6">
        <f>COUNTIFS(Table84[Country],Tabela1[[#This Row],[Country]],Table84[Men''s Madison Classification],"&gt;0")</f>
        <v>0</v>
      </c>
      <c r="DX189" s="6">
        <f>COUNTIFS(Table84[Country],Tabela1[[#This Row],[Country]],Table84[Women''s Madison Classification],"&gt;0")</f>
        <v>0</v>
      </c>
      <c r="DY189" s="6">
        <f>COUNTIFS(Table69[Country],Tabela1[[#This Row],[Country]],Table69[Omnium Classification],"&gt;0")</f>
        <v>0</v>
      </c>
      <c r="DZ189" s="6">
        <f>COUNTIFS(Table41[Country],Tabela1[[#This Row],[Country]],Table41[Omnium Classification],"&gt;0")</f>
        <v>0</v>
      </c>
      <c r="EA189" s="6">
        <f>COUNTIFS(Table9[Country],Tabela1[[#This Row],[Country]],Table9[Road Race Classification],"&gt;0")</f>
        <v>0</v>
      </c>
      <c r="EB189" s="6">
        <f>COUNTIFS(Table14[Country],Tabela1[[#This Row],[Country]],Table14[Road Race Classification],"&gt;0")</f>
        <v>0</v>
      </c>
      <c r="EC189" s="6">
        <f>COUNTIFS(Table69[Country],Tabela1[[#This Row],[Country]],Table69[Sprint Classification],"&gt;0")</f>
        <v>0</v>
      </c>
      <c r="ED189" s="6">
        <f>COUNTIFS(Table41[Country],Tabela1[[#This Row],[Country]],Table41[Sprint Classification],"&gt;0")</f>
        <v>0</v>
      </c>
      <c r="EE189" s="6">
        <f>COUNTIFS(Table85[Country],Tabela1[[#This Row],[Country]],Table85[Men''s Sprint Classification],"&gt;0")</f>
        <v>0</v>
      </c>
      <c r="EF189" s="6">
        <f>COUNTIFS(Table85[Country],Tabela1[[#This Row],[Country]],Table85[Women''s Sprint Classification],"&gt;0")</f>
        <v>0</v>
      </c>
      <c r="EG189" s="6">
        <f>COUNTIFS(Table85[Country],Tabela1[[#This Row],[Country]],Table85[Men''s Pursuit Classification],"&gt;0")</f>
        <v>0</v>
      </c>
      <c r="EH189" s="6">
        <f>COUNTIFS(Table85[Country],Tabela1[[#This Row],[Country]],Table85[Women''s Pursuit Classification],"&gt;0")</f>
        <v>0</v>
      </c>
      <c r="EI189" s="6">
        <f>COUNTIFS(Table9[Country],Tabela1[[#This Row],[Country]],Table9[Time-Trial Classification],"&gt;0")</f>
        <v>0</v>
      </c>
      <c r="EJ189" s="6">
        <f>COUNTIFS(Table14[Country],Tabela1[[#This Row],[Country]],Table14[Time-Trial Classification],"&gt;0")</f>
        <v>0</v>
      </c>
      <c r="EK189" s="6">
        <f>COUNTIFS(Table42[Country],Tabela1[[#This Row],[Country]],Table42[Springboard Classification],"&gt;0")</f>
        <v>0</v>
      </c>
      <c r="EL189" s="6">
        <f>COUNTIFS(Table43[Country],Tabela1[[#This Row],[Country]],Table43[Springboard Classification],"&gt;0")</f>
        <v>0</v>
      </c>
      <c r="EM189" s="6">
        <f>COUNTIFS(Table42[Country],Tabela1[[#This Row],[Country]],Table42[Platform Classification],"&gt;0")</f>
        <v>0</v>
      </c>
      <c r="EN189" s="6">
        <f>COUNTIFS(Table43[Country],Tabela1[[#This Row],[Country]],Table43[Platform Classification],"&gt;0")</f>
        <v>0</v>
      </c>
      <c r="EO189" s="6">
        <f>COUNTIFS(Table86[Country],Tabela1[[#This Row],[Country]],Table86[Men''s Synchronized Springboard Classification],"&gt;0")</f>
        <v>0</v>
      </c>
      <c r="EP189" s="6">
        <f>COUNTIFS(Table86[Country],Tabela1[[#This Row],[Country]],Table86[Women''s Synchronized Springboard Classification],"&gt;0")</f>
        <v>0</v>
      </c>
      <c r="EQ189" s="6">
        <f>COUNTIFS(Table86[Country],Tabela1[[#This Row],[Country]],Table86[Men''s Synchronized Platform Classification],"&gt;0")</f>
        <v>0</v>
      </c>
      <c r="ER189" s="6">
        <f>COUNTIFS(Table86[Country],Tabela1[[#This Row],[Country]],Table86[Women''s Synchronized Platform Classification],"&gt;0")</f>
        <v>0</v>
      </c>
      <c r="ES189" s="6">
        <f>COUNTIFS(Table44[Country],Tabela1[[#This Row],[Country]],Table44[Dressage Classification],"&gt;0")</f>
        <v>0</v>
      </c>
      <c r="ET189" s="6">
        <f>COUNTIFS(Table45[Country],Tabela1[[#This Row],[Country]],Table45[Dressage Classification],"&gt;0")</f>
        <v>0</v>
      </c>
      <c r="EU189" s="6">
        <f>COUNTIFS(Table44[Country],Tabela1[[#This Row],[Country]],Table44[Eventing Classification],"&gt;0")</f>
        <v>0</v>
      </c>
      <c r="EV189" s="6">
        <f>COUNTIFS(Table45[Country],Tabela1[[#This Row],[Country]],Table45[Eventing Classification],"&gt;0")</f>
        <v>0</v>
      </c>
      <c r="EW189" s="6">
        <f>COUNTIFS(Table44[Country],Tabela1[[#This Row],[Country]],Table44[Jumping Classification],"&gt;0")</f>
        <v>0</v>
      </c>
      <c r="EX189" s="6">
        <f>COUNTIFS(Table45[Country],Tabela1[[#This Row],[Country]],Table45[Jumping Classification],"&gt;0")</f>
        <v>0</v>
      </c>
      <c r="EY189" s="6">
        <f>COUNTIFS(Table10[Country],Tabela1[[#This Row],[Country]],Table10[Épée Classification],"&gt;0")</f>
        <v>0</v>
      </c>
      <c r="EZ189" s="6">
        <f>COUNTIFS(Table11[Country],Tabela1[[#This Row],[Country]],Table11[Épée Classification],"&gt;0")</f>
        <v>0</v>
      </c>
      <c r="FA189" s="6">
        <f>COUNTIFS(Table46[Country],Tabela1[[#This Row],[Country]],Table46[Men''s Épée Classification],"&gt;0")</f>
        <v>0</v>
      </c>
      <c r="FB189" s="6">
        <f>COUNTIFS(Table46[Country],Tabela1[[#This Row],[Country]],Table46[Women''s Épée Classification],"&gt;0")</f>
        <v>0</v>
      </c>
      <c r="FC189" s="6">
        <f>COUNTIFS(Table10[Country],Tabela1[[#This Row],[Country]],Table10[Foil Classification],"&gt;0")</f>
        <v>0</v>
      </c>
      <c r="FD189" s="6">
        <f>COUNTIFS(Table11[Country],Tabela1[[#This Row],[Country]],Table11[Foil Classification],"&gt;0")</f>
        <v>0</v>
      </c>
      <c r="FE189" s="6">
        <f>COUNTIFS(Table46[Country],Tabela1[[#This Row],[Country]],Table46[Men''s Foil Classification],"&gt;0")</f>
        <v>0</v>
      </c>
      <c r="FF189" s="6">
        <f>COUNTIFS(Table46[Country],Tabela1[[#This Row],[Country]],Table46[Women''s Foil Classification],"&gt;0")</f>
        <v>0</v>
      </c>
      <c r="FG189" s="6">
        <f>COUNTIFS(Table10[Country],Tabela1[[#This Row],[Country]],Table10[Sabre Classification],"&gt;0")</f>
        <v>0</v>
      </c>
      <c r="FH189" s="6">
        <f>COUNTIFS(Table11[Country],Tabela1[[#This Row],[Country]],Table11[Sabre Classification],"&gt;0")</f>
        <v>0</v>
      </c>
      <c r="FI189" s="6">
        <f>COUNTIFS(Table46[Country],Tabela1[[#This Row],[Country]],Table46[Men''s Sabre Classification],"&gt;0")</f>
        <v>0</v>
      </c>
      <c r="FJ189" s="6">
        <f>COUNTIFS(Table46[Country],Tabela1[[#This Row],[Country]],Table46[Women''s Sabre Classification],"&gt;0")</f>
        <v>0</v>
      </c>
      <c r="FK189" s="6">
        <f>COUNTIFS(Table91[Country],Tabela1[[#This Row],[Country]],Table91[Men''s Classification],"&gt;0")</f>
        <v>0</v>
      </c>
      <c r="FL189" s="6">
        <f>COUNTIFS(Table91[Country],Tabela1[[#This Row],[Country]],Table91[Women''s Classification],"&gt;0")</f>
        <v>0</v>
      </c>
      <c r="FM189" s="6">
        <f>COUNTIFS(Table9194[Country],Tabela1[[#This Row],[Country]],Table9194[Men''s Classification],"&gt;0")</f>
        <v>0</v>
      </c>
      <c r="FN189" s="6">
        <f>COUNTIFS(Table9194[Country],Tabela1[[#This Row],[Country]],Table9194[Women''s Classification],"&gt;0")</f>
        <v>0</v>
      </c>
      <c r="FO189" s="6">
        <f>COUNTIFS(Table71[Country],Tabela1[[#This Row],[Country]],Table71[Classification],"&gt;0")</f>
        <v>0</v>
      </c>
      <c r="FP189" s="6">
        <f>COUNTIFS(Table62[Country],Tabela1[[#This Row],[Country]],Table62[Classification],"&gt;0")</f>
        <v>0</v>
      </c>
      <c r="FQ189" s="6">
        <f>COUNTIFS(Table47[Country],Tabela1[[#This Row],[Country]],Table47[All-Around Classification],"&gt;0")</f>
        <v>0</v>
      </c>
      <c r="FR189" s="6">
        <f>COUNTIFS(Table48[Country],Tabela1[[#This Row],[Country]],Table48[All-Around Classification],"&gt;0")</f>
        <v>0</v>
      </c>
      <c r="FS189" s="6">
        <f>COUNTIFS(Table81[Country],Tabela1[[#This Row],[Country]],Table81[Men''s All-Around Classification],"&gt;0")</f>
        <v>0</v>
      </c>
      <c r="FT189" s="6">
        <f>COUNTIFS(Table81[Country],Tabela1[[#This Row],[Country]],Table81[Women''s All-Around Classification],"&gt;0")</f>
        <v>0</v>
      </c>
      <c r="FU189" s="6">
        <f>COUNTIFS(Table48[Country],Tabela1[[#This Row],[Country]],Table48[Balance Beam Classification],"&gt;0")</f>
        <v>0</v>
      </c>
      <c r="FV189" s="6">
        <f>COUNTIFS(Table47[Country],Tabela1[[#This Row],[Country]],Table47[Floor Exercise Classification],"&gt;0")</f>
        <v>0</v>
      </c>
      <c r="FW189" s="6">
        <f>COUNTIFS(Table48[Country],Tabela1[[#This Row],[Country]],Table48[Floor Exercise Classification],"&gt;0")</f>
        <v>0</v>
      </c>
      <c r="FX189" s="6">
        <f>COUNTIFS(Table47[Country],Tabela1[[#This Row],[Country]],Table47[Horizontal Bar Classification],"&gt;0")</f>
        <v>0</v>
      </c>
      <c r="FY189" s="6">
        <f>COUNTIFS(Table47[Country],Tabela1[[#This Row],[Country]],Table47[Parallel Bars Classification],"&gt;0")</f>
        <v>0</v>
      </c>
      <c r="FZ189" s="6">
        <f>COUNTIFS(Table47[Country],Tabela1[[#This Row],[Country]],Table47[Pommel Horse Classification],"&gt;0")</f>
        <v>0</v>
      </c>
      <c r="GA189" s="6">
        <f>COUNTIFS(Table47[Country],Tabela1[[#This Row],[Country]],Table47[Rings Classification],"&gt;0")</f>
        <v>0</v>
      </c>
      <c r="GB189" s="6">
        <f>COUNTIFS(Tabela132[Country],Tabela1[[#This Row],[Country]],Tabela132[Classification],"&gt;0")</f>
        <v>0</v>
      </c>
      <c r="GC189" s="6">
        <f>COUNTIFS(Tabela139[Country],Tabela1[[#This Row],[Country]],Tabela139[Classification],"&gt;0")</f>
        <v>0</v>
      </c>
      <c r="GD189" s="6">
        <f>COUNTIFS(Table48[Country],Tabela1[[#This Row],[Country]],Table48[Uneven Bars Classification],"&gt;0")</f>
        <v>0</v>
      </c>
      <c r="GE189" s="6">
        <f>COUNTIFS(Table47[Country],Tabela1[[#This Row],[Country]],Table47[Vault Classification],"&gt;0")</f>
        <v>0</v>
      </c>
      <c r="GF189" s="6">
        <f>COUNTIFS(Table48[Country],Tabela1[[#This Row],[Country]],Table48[Vault Classification],"&gt;0")</f>
        <v>0</v>
      </c>
      <c r="GG189" s="6">
        <f>COUNTIFS(Table919496[Country],Tabela1[[#This Row],[Country]],Table919496[Men''s Classification],"&gt;0")</f>
        <v>0</v>
      </c>
      <c r="GH189" s="6">
        <f>COUNTIFS(Table919496[Country],Tabela1[[#This Row],[Country]],Table919496[Women''s Classification],"&gt;0")</f>
        <v>0</v>
      </c>
      <c r="GI189" s="6">
        <f>COUNTIFS(Table12[Country],Tabela1[[#This Row],[Country]],Table12[60kg Classification],"&gt;0")</f>
        <v>0</v>
      </c>
      <c r="GJ189" s="6">
        <f>COUNTIFS(Table12[Country],Tabela1[[#This Row],[Country]],Table12[66kg Classification],"&gt;0")</f>
        <v>0</v>
      </c>
      <c r="GK189" s="6">
        <f>COUNTIFS(Table12[Country],Tabela1[[#This Row],[Country]],Table12[73kg Classification],"&gt;0")</f>
        <v>0</v>
      </c>
      <c r="GL189" s="6">
        <f>COUNTIFS(Table12[Country],Tabela1[[#This Row],[Country]],Table12[81kg Classification],"&gt;0")</f>
        <v>0</v>
      </c>
      <c r="GM189" s="6">
        <f>COUNTIFS(Table12[Country],Tabela1[[#This Row],[Country]],Table12[90kg Classification],"&gt;0")</f>
        <v>0</v>
      </c>
      <c r="GN189" s="6">
        <f>COUNTIFS(Table12[Country],Tabela1[[#This Row],[Country]],Table12[100kg Classification],"&gt;0")</f>
        <v>0</v>
      </c>
      <c r="GO189" s="6">
        <f>COUNTIFS(Table12[Country],Tabela1[[#This Row],[Country]],Table12[Plus 100kg Classification],"&gt;0")</f>
        <v>0</v>
      </c>
      <c r="GP189" s="6">
        <f>COUNTIFS(Table13[Country],Tabela1[[#This Row],[Country]],Table13[48kg Classification],"&gt;0")</f>
        <v>0</v>
      </c>
      <c r="GQ189" s="6">
        <f>COUNTIFS(Table13[Country],Tabela1[[#This Row],[Country]],Table13[52kg Classification],"&gt;0")</f>
        <v>0</v>
      </c>
      <c r="GR189" s="6">
        <f>COUNTIFS(Table13[Country],Tabela1[[#This Row],[Country]],Table13[57kg Classification],"&gt;0")</f>
        <v>0</v>
      </c>
      <c r="GS189" s="6">
        <f>COUNTIFS(Table13[Country],Tabela1[[#This Row],[Country]],Table13[63kg Classification],"&gt;0")</f>
        <v>0</v>
      </c>
      <c r="GT189" s="6">
        <f>COUNTIFS(Table13[Country],Tabela1[[#This Row],[Country]],Table13[70kg Classification],"&gt;0")</f>
        <v>0</v>
      </c>
      <c r="GU189" s="6">
        <f>COUNTIFS(Table13[Country],Tabela1[[#This Row],[Country]],Table13[78kg Classification],"&gt;0")</f>
        <v>0</v>
      </c>
      <c r="GV189" s="6">
        <f>COUNTIFS(Table13[Country],Tabela1[[#This Row],[Country]],Table13[Plus 78kg Classification],"&gt;0")</f>
        <v>0</v>
      </c>
      <c r="GW189" s="6">
        <f>COUNTIFS(Table82[Country],Tabela1[[#This Row],[Country]],Table82[Mixed Classification],"&gt;0")</f>
        <v>0</v>
      </c>
      <c r="GX189" s="6">
        <f>COUNTIFS(Table51[Country],Tabela1[[#This Row],[Country]],Table51[Classification],"&gt;0")</f>
        <v>0</v>
      </c>
      <c r="GY189" s="6">
        <f>COUNTIFS(Table52[Country],Tabela1[[#This Row],[Country]],Table52[Classification],"&gt;0")</f>
        <v>0</v>
      </c>
      <c r="GZ189" s="6">
        <f>COUNTIFS(Table32[Country],Tabela1[[#This Row],[Country]],Table32[All-Around Classification],"&gt;0")</f>
        <v>0</v>
      </c>
      <c r="HA189" s="6">
        <f>COUNTIFS(Table49[Country],Tabela1[[#This Row],[Country]],Table49[All-Around Classification],"&gt;0")</f>
        <v>0</v>
      </c>
      <c r="HB189" s="6">
        <f>COUNTIFS(Table26[Country],Tabela1[[#This Row],[Country]],Table26[Single Sculls Classification],"&gt;0")</f>
        <v>0</v>
      </c>
      <c r="HC189" s="6">
        <f>COUNTIFS(Table63[Country],Tabela1[[#This Row],[Country]],Table63[Single Sculls Classification],"&gt;0")</f>
        <v>0</v>
      </c>
      <c r="HD189" s="6">
        <f>COUNTIFS(Table16[Country],Tabela1[[#This Row],[Country]],Table16[Men''s Double Sculls Classification],"&gt;0")</f>
        <v>0</v>
      </c>
      <c r="HE189" s="6">
        <f>COUNTIFS(Table16[Country],Tabela1[[#This Row],[Country]],Table16[Women''s Double Sculls Classification],"&gt;0")</f>
        <v>0</v>
      </c>
      <c r="HF189" s="6">
        <f>COUNTIFS(Table72[Country],Tabela1[[#This Row],[Country]],Table72[Men''s Quadruple Sculls Classification],"&gt;0")</f>
        <v>0</v>
      </c>
      <c r="HG189" s="6">
        <f>COUNTIFS(Table72[Country],Tabela1[[#This Row],[Country]],Table72[Women''s Quadruple Sculls Classification],"&gt;0")</f>
        <v>0</v>
      </c>
      <c r="HH189" s="6">
        <f>COUNTIFS(Table16[Country],Tabela1[[#This Row],[Country]],Table16[Men''s Coxless Pairs Classification],"&gt;0")</f>
        <v>0</v>
      </c>
      <c r="HI189" s="6">
        <f>COUNTIFS(Table16[Country],Tabela1[[#This Row],[Country]],Table16[Women''s Coxless Pairs Classification],"&gt;0")</f>
        <v>0</v>
      </c>
      <c r="HJ189" s="6">
        <f>COUNTIFS(Table72[Country],Tabela1[[#This Row],[Country]],Table72[Men''s Coxless Fours Classification],"&gt;0")</f>
        <v>0</v>
      </c>
      <c r="HK189" s="6">
        <f>COUNTIFS(Table72[Country],Tabela1[[#This Row],[Country]],Table72[Women''s Coxless Fours Classification],"&gt;0")</f>
        <v>0</v>
      </c>
      <c r="HL189" s="6">
        <f>COUNTIFS(Table72[Country],Tabela1[[#This Row],[Country]],Table72[Men''s Eights Classification],"&gt;0")</f>
        <v>0</v>
      </c>
      <c r="HM189" s="6">
        <f>COUNTIFS(Table72[Country],Tabela1[[#This Row],[Country]],Table72[Women''s Eights Classification],"&gt;0")</f>
        <v>0</v>
      </c>
      <c r="HN189" s="6">
        <f>COUNTIFS(Table16[Country],Tabela1[[#This Row],[Country]],Table16[Men''s Lwt. Double Sculls Classification],"&gt;0")</f>
        <v>0</v>
      </c>
      <c r="HO189" s="6">
        <f>COUNTIFS(Table16[Country],Tabela1[[#This Row],[Country]],Table16[Women''s Lwt. Double Sculls Classification],"&gt;0")</f>
        <v>0</v>
      </c>
      <c r="HP189" s="6">
        <f>COUNTIFS(Table91949698[Country],Tabela1[[#This Row],[Country]],Table91949698[Men''s Classification],"&gt;0")</f>
        <v>0</v>
      </c>
      <c r="HQ189" s="6">
        <f>COUNTIFS(Table91949698[Country],Tabela1[[#This Row],[Country]],Table91949698[Women''s Classification],"&gt;0")</f>
        <v>0</v>
      </c>
      <c r="HR189" s="6">
        <f>COUNTIFS(Table25[Country],Tabela1[[#This Row],[Country]],Table25[Mixed 470 Classification],"&gt;0")</f>
        <v>0</v>
      </c>
      <c r="HS189" s="6">
        <f>COUNTIFS(Table25[Country],Tabela1[[#This Row],[Country]],Table25[Men''s 49er Classification],"&gt;0")</f>
        <v>0</v>
      </c>
      <c r="HT189" s="6">
        <f>COUNTIFS(Table25[Country],Tabela1[[#This Row],[Country]],Table25[Women''s 49er FX Classification],"&gt;0")</f>
        <v>0</v>
      </c>
      <c r="HU189" s="6">
        <f>COUNTIFS(Table17[Country],Tabela1[[#This Row],[Country]],Table17[Formula Kite Classification],"&gt;0")</f>
        <v>0</v>
      </c>
      <c r="HV189" s="6">
        <f>COUNTIFS(Table18[Country],Tabela1[[#This Row],[Country]],Table18[Formula Kite Classification],"&gt;0")</f>
        <v>0</v>
      </c>
      <c r="HW189" s="6">
        <f>COUNTIFS(Table17[Country],Tabela1[[#This Row],[Country]],Table17[ILCA 7 Classification],"&gt;0")</f>
        <v>0</v>
      </c>
      <c r="HX189" s="6">
        <f>COUNTIFS(Table18[Country],Tabela1[[#This Row],[Country]],Table18[ILCA 6 Classification],"&gt;0")</f>
        <v>0</v>
      </c>
      <c r="HY189" s="6">
        <f>COUNTIFS(Table17[Country],Tabela1[[#This Row],[Country]],Table17[IQFoil Classification],"&gt;0")</f>
        <v>0</v>
      </c>
      <c r="HZ189" s="6">
        <f>COUNTIFS(Table18[Country],Tabela1[[#This Row],[Country]],Table18[IQFoil Classification],"&gt;0")</f>
        <v>0</v>
      </c>
      <c r="IA189" s="6">
        <f>COUNTIFS(Table25[Country],Tabela1[[#This Row],[Country]],Table25[Mixed Nacra 17 Classification],"&gt;0")</f>
        <v>0</v>
      </c>
      <c r="IB189" s="6">
        <f>COUNTIFS(Table53[Country],Tabela1[[#This Row],[Country]],Table53[10m Air Pistol Classification],"&gt;0")</f>
        <v>0</v>
      </c>
      <c r="IC189" s="6">
        <f>COUNTIFS(Table19[Country],Tabela1[[#This Row],[Country]],Table19[10m Air Pistol Classification],"&gt;0")</f>
        <v>0</v>
      </c>
      <c r="ID189" s="6">
        <f>COUNTIFS(Table54[Country],Tabela1[[#This Row],[Country]],Table54[Mixed 10m Air Pistol Team Classification],"&gt;0")</f>
        <v>0</v>
      </c>
      <c r="IE189" s="6">
        <f>COUNTIFS(Table53[Country],Tabela1[[#This Row],[Country]],Table53[10m Air Rifle Classification],"&gt;0")</f>
        <v>0</v>
      </c>
      <c r="IF189" s="6">
        <f>COUNTIFS(Table19[Country],Tabela1[[#This Row],[Country]],Table19[10m Air Rifle Classification],"&gt;0")</f>
        <v>0</v>
      </c>
      <c r="IG189" s="6">
        <f>COUNTIFS(Table54[Country],Tabela1[[#This Row],[Country]],Table54[Mixed 10m Air Rifle Team Classification],"&gt;0")</f>
        <v>0</v>
      </c>
      <c r="IH189" s="6">
        <f>COUNTIFS(Table53[Country],Tabela1[[#This Row],[Country]],Table53[25m Rapid Fire Pistol Classification],"&gt;0")</f>
        <v>0</v>
      </c>
      <c r="II189" s="6">
        <f>COUNTIFS(Table19[Country],Tabela1[[#This Row],[Country]],Table19[25m Pistol Classification],"&gt;0")</f>
        <v>0</v>
      </c>
      <c r="IJ189" s="6">
        <f>COUNTIFS(Table53[Country],Tabela1[[#This Row],[Country]],Table53[50m Rifle 3 Positions Classification],"&gt;0")</f>
        <v>0</v>
      </c>
      <c r="IK189" s="6">
        <f>COUNTIFS(Table19[Country],Tabela1[[#This Row],[Country]],Table19[50m Rifle 3 Positions Classification],"&gt;0")</f>
        <v>0</v>
      </c>
      <c r="IL189" s="6">
        <f>COUNTIFS(Table53[Country],Tabela1[[#This Row],[Country]],Table53[Skeet Classification],"&gt;0")</f>
        <v>0</v>
      </c>
      <c r="IM189" s="6">
        <f>COUNTIFS(Table19[Country],Tabela1[[#This Row],[Country]],Table19[Skeet Classification],"&gt;0")</f>
        <v>0</v>
      </c>
      <c r="IN189" s="6">
        <f>COUNTIFS(Table54[Country],Tabela1[[#This Row],[Country]],Table54[Mixed Skeet Team Classification],"&gt;0")</f>
        <v>0</v>
      </c>
      <c r="IO189" s="6">
        <f>COUNTIFS(Table53[Country],Tabela1[[#This Row],[Country]],Table53[Trap Classification],"&gt;0")</f>
        <v>0</v>
      </c>
      <c r="IP189" s="6">
        <f>COUNTIFS(Table19[Country],Tabela1[[#This Row],[Country]],Table19[Trap Classification],"&gt;0")</f>
        <v>0</v>
      </c>
      <c r="IQ189" s="6">
        <f>COUNTIFS(Table73[Country],Tabela1[[#This Row],[Country]],Table73[Park Classification],"&gt;0")</f>
        <v>0</v>
      </c>
      <c r="IR189" s="6">
        <f>COUNTIFS(Table74[Country],Tabela1[[#This Row],[Country]],Table74[Park Classification],"&gt;0")</f>
        <v>0</v>
      </c>
      <c r="IS189" s="6">
        <f>COUNTIFS(Table73[Country],Tabela1[[#This Row],[Country]],Table73[Street Classification],"&gt;0")</f>
        <v>0</v>
      </c>
      <c r="IT189" s="6">
        <f>COUNTIFS(Table74[Country],Tabela1[[#This Row],[Country]],Table74[Street Classification],"&gt;0")</f>
        <v>0</v>
      </c>
      <c r="IU189" s="6">
        <f>COUNTIFS(Table75[Country],Tabela1[[#This Row],[Country]],Table75[Boulder and Lead Classification],"&gt;0")</f>
        <v>0</v>
      </c>
      <c r="IV189" s="6">
        <f>COUNTIFS(Table76[Country],Tabela1[[#This Row],[Country]],Table76[Boulder and Lead Classification],"&gt;0")</f>
        <v>0</v>
      </c>
      <c r="IW189" s="6">
        <f>COUNTIFS(Table75[Country],Tabela1[[#This Row],[Country]],Table75[Speed Classification],"&gt;0")</f>
        <v>0</v>
      </c>
      <c r="IX189" s="6">
        <f>COUNTIFS(Table76[Country],Tabela1[[#This Row],[Country]],Table76[Speed Classification],"&gt;0")</f>
        <v>0</v>
      </c>
      <c r="IY189" s="6">
        <f>COUNTIFS(Table64[Country],Tabela1[[#This Row],[Country]],Table64[Shortboard Classification],"&gt;0")</f>
        <v>0</v>
      </c>
      <c r="IZ189" s="6">
        <f>COUNTIFS(Table77[Country],Tabela1[[#This Row],[Country]],Table77[Shortboard Classification],"&gt;0")</f>
        <v>0</v>
      </c>
      <c r="JA189" s="6">
        <f>COUNTIFS(Table20[Country],Tabela1[[#This Row],[Country]],Table20[50m Freestyle Classification],"&gt;0")</f>
        <v>0</v>
      </c>
      <c r="JB189" s="6">
        <f>COUNTIFS(Table21[Country],Tabela1[[#This Row],[Country]],Table21[50m Freestyle Classification],"&gt;0")</f>
        <v>0</v>
      </c>
      <c r="JC189" s="6">
        <f>COUNTIFS(Table20[Country],Tabela1[[#This Row],[Country]],Table20[100m Freestyle Classification],"&gt;0")</f>
        <v>0</v>
      </c>
      <c r="JD189" s="6">
        <f>COUNTIFS(Table21[Country],Tabela1[[#This Row],[Country]],Table21[100m Freestyle Classification],"&gt;0")</f>
        <v>0</v>
      </c>
      <c r="JE189" s="6">
        <f>COUNTIFS(Table20[Country],Tabela1[[#This Row],[Country]],Table20[200m Freestyle Classification],"&gt;0")</f>
        <v>0</v>
      </c>
      <c r="JF189" s="6">
        <f>COUNTIFS(Table21[Country],Tabela1[[#This Row],[Country]],Table21[200m Freestyle Classification],"&gt;0")</f>
        <v>0</v>
      </c>
      <c r="JG189" s="6">
        <f>COUNTIFS(Table20[Country],Tabela1[[#This Row],[Country]],Table20[400m Freestyle Classification],"&gt;0")</f>
        <v>0</v>
      </c>
      <c r="JH189" s="6">
        <f>COUNTIFS(Table21[Country],Tabela1[[#This Row],[Country]],Table21[400m Freestyle Classification],"&gt;0")</f>
        <v>0</v>
      </c>
      <c r="JI189" s="6">
        <f>COUNTIFS(Table20[Country],Tabela1[[#This Row],[Country]],Table20[800m Freestyle Classification],"&gt;0")</f>
        <v>0</v>
      </c>
      <c r="JJ189" s="6">
        <f>COUNTIFS(Table21[Country],Tabela1[[#This Row],[Country]],Table21[800m Freestyle Classification],"&gt;0")</f>
        <v>0</v>
      </c>
      <c r="JK189" s="6">
        <f>COUNTIFS(Table20[Country],Tabela1[[#This Row],[Country]],Table20[1500m Freestyle Classification],"&gt;0")</f>
        <v>0</v>
      </c>
      <c r="JL189" s="6">
        <f>COUNTIFS(Table21[Country],Tabela1[[#This Row],[Country]],Table21[1500m Freestyle Classification],"&gt;0")</f>
        <v>0</v>
      </c>
      <c r="JM189" s="6">
        <f>COUNTIFS(Table20[Country],Tabela1[[#This Row],[Country]],Table20[100m Backstroke Classification],"&gt;0")</f>
        <v>0</v>
      </c>
      <c r="JN189" s="6">
        <f>COUNTIFS(Table21[Country],Tabela1[[#This Row],[Country]],Table21[100m Backstroke Classification],"&gt;0")</f>
        <v>0</v>
      </c>
      <c r="JO189" s="6">
        <f>COUNTIFS(Table20[Country],Tabela1[[#This Row],[Country]],Table20[200m Backstroke Classification],"&gt;0")</f>
        <v>0</v>
      </c>
      <c r="JP189" s="6">
        <f>COUNTIFS(Table21[Country],Tabela1[[#This Row],[Country]],Table21[200m Backstroke Classification],"&gt;0")</f>
        <v>0</v>
      </c>
      <c r="JQ189" s="6">
        <f>COUNTIFS(Table20[Country],Tabela1[[#This Row],[Country]],Table20[100m Breaststroke Classification],"&gt;0")</f>
        <v>0</v>
      </c>
      <c r="JR189" s="6">
        <f>COUNTIFS(Table21[Country],Tabela1[[#This Row],[Country]],Table21[100m Breaststroke Classification],"&gt;0")</f>
        <v>0</v>
      </c>
      <c r="JS189" s="6">
        <f>COUNTIFS(Table20[Country],Tabela1[[#This Row],[Country]],Table20[200m Breaststroke Classification],"&gt;0")</f>
        <v>0</v>
      </c>
      <c r="JT189" s="6">
        <f>COUNTIFS(Table21[Country],Tabela1[[#This Row],[Country]],Table21[200m Breaststroke Classification],"&gt;0")</f>
        <v>0</v>
      </c>
      <c r="JU189" s="6">
        <f>COUNTIFS(Table20[Country],Tabela1[[#This Row],[Country]],Table20[100m Butterfly Classification],"&gt;0")</f>
        <v>0</v>
      </c>
      <c r="JV189" s="6">
        <f>COUNTIFS(Table21[Country],Tabela1[[#This Row],[Country]],Table21[100m Butterfly Classification],"&gt;0")</f>
        <v>0</v>
      </c>
      <c r="JW189" s="6">
        <f>COUNTIFS(Table20[Country],Tabela1[[#This Row],[Country]],Table20[200m Butterfly Classification],"&gt;0")</f>
        <v>0</v>
      </c>
      <c r="JX189" s="6">
        <f>COUNTIFS(Table21[Country],Tabela1[[#This Row],[Country]],Table21[200m Butterfly Classification],"&gt;0")</f>
        <v>0</v>
      </c>
      <c r="JY189" s="6">
        <f>COUNTIFS(Table20[Country],Tabela1[[#This Row],[Country]],Table20[200m Medley Classification],"&gt;0")</f>
        <v>0</v>
      </c>
      <c r="JZ189" s="6">
        <f>COUNTIFS(Table21[Country],Tabela1[[#This Row],[Country]],Table21[200m Medley Classification],"&gt;0")</f>
        <v>0</v>
      </c>
      <c r="KA189" s="6">
        <f>COUNTIFS(Table20[Country],Tabela1[[#This Row],[Country]],Table20[400m Medley Classification],"&gt;0")</f>
        <v>0</v>
      </c>
      <c r="KB189" s="6">
        <f>COUNTIFS(Table21[Country],Tabela1[[#This Row],[Country]],Table21[400m Medley Classification],"&gt;0")</f>
        <v>0</v>
      </c>
      <c r="KC189" s="6">
        <f>COUNTIFS(Table78[Country],Tabela1[[#This Row],[Country]],Table78[Men''s 4x100m Freestyle Relay Classification],"&gt;0")</f>
        <v>0</v>
      </c>
      <c r="KD189" s="6">
        <f>COUNTIFS(Table78[Country],Tabela1[[#This Row],[Country]],Table78[Women''s 4x100m Freestyle Relay Classification],"&gt;0")</f>
        <v>0</v>
      </c>
      <c r="KE189" s="6">
        <f>COUNTIFS(Table78[Country],Tabela1[[#This Row],[Country]],Table78[Men''s 4x200m Freestyle Relay Classification],"&gt;0")</f>
        <v>0</v>
      </c>
      <c r="KF189" s="6">
        <f>COUNTIFS(Table78[Country],Tabela1[[#This Row],[Country]],Table78[Women''s 4x200m Freestyle Relay Classification],"&gt;0")</f>
        <v>0</v>
      </c>
      <c r="KG189" s="6">
        <f>COUNTIFS(Table78[Country],Tabela1[[#This Row],[Country]],Table78[Men''s 4x100m Medley Relay Classification],"&gt;0")</f>
        <v>0</v>
      </c>
      <c r="KH189" s="6">
        <f>COUNTIFS(Table78[Country],Tabela1[[#This Row],[Country]],Table78[Women''s 4x100m Medley Relay Classification],"&gt;0")</f>
        <v>0</v>
      </c>
      <c r="KI189" s="6">
        <f>COUNTIFS(Table78[Country],Tabela1[[#This Row],[Country]],Table78[Mixed 4x100m Medley Relay Classification],"&gt;0")</f>
        <v>0</v>
      </c>
      <c r="KJ189" s="6">
        <f>COUNTIFS(Table20[Country],Tabela1[[#This Row],[Country]],Table20[10km Open Water Classification],"&gt;0")</f>
        <v>0</v>
      </c>
      <c r="KK189" s="6">
        <f>COUNTIFS(Table21[Country],Tabela1[[#This Row],[Country]],Table21[10km Open Water Classification],"&gt;0")</f>
        <v>0</v>
      </c>
      <c r="KL189" s="6">
        <f>COUNTIFS(Table22[Country],Tabela1[[#This Row],[Country]],Table22[Classification],"&gt;0")</f>
        <v>0</v>
      </c>
      <c r="KM189" s="6">
        <f>COUNTIFS(Table30[Country],Tabela1[[#This Row],[Country]],Table30[Classification],"&gt;0")</f>
        <v>0</v>
      </c>
      <c r="KN189" s="6">
        <f>COUNTIFS(Table55[Country],Tabela1[[#This Row],[Country]],Table55[Men''s Classification],"&gt;0")</f>
        <v>0</v>
      </c>
      <c r="KO189" s="6">
        <f>COUNTIFS(Table55[Country],Tabela1[[#This Row],[Country]],Table55[Women''s Classification],"&gt;0")</f>
        <v>0</v>
      </c>
      <c r="KP189" s="6">
        <f>COUNTIFS(Table56[Country],Tabela1[[#This Row],[Country]],Table56[Mixed Classification],"&gt;0")</f>
        <v>0</v>
      </c>
      <c r="KQ189" s="6">
        <f>COUNTIFS(Table29[Country],Tabela1[[#This Row],[Country]],Table29[58kg Classification],"&gt;0")</f>
        <v>0</v>
      </c>
      <c r="KR189" s="6">
        <f>COUNTIFS(Table29[Country],Tabela1[[#This Row],[Country]],Table29[68kg Classification],"&gt;0")</f>
        <v>0</v>
      </c>
      <c r="KS189" s="6">
        <f>COUNTIFS(Table29[Country],Tabela1[[#This Row],[Country]],Table29[80kg Classification],"&gt;0")</f>
        <v>0</v>
      </c>
      <c r="KT189" s="6">
        <f>COUNTIFS(Table29[Country],Tabela1[[#This Row],[Country]],Table29[Plus 80kg Classification],"&gt;0")</f>
        <v>0</v>
      </c>
      <c r="KU189" s="6">
        <f>COUNTIFS(Table34[Country],Tabela1[[#This Row],[Country]],Table34[49kg Classification],"&gt;0")</f>
        <v>0</v>
      </c>
      <c r="KV189" s="6">
        <f>COUNTIFS(Table34[Country],Tabela1[[#This Row],[Country]],Table34[57kg Classification],"&gt;0")</f>
        <v>0</v>
      </c>
      <c r="KW189" s="6">
        <f>COUNTIFS(Table34[Country],Tabela1[[#This Row],[Country]],Table34[67kg Classification],"&gt;0")</f>
        <v>0</v>
      </c>
      <c r="KX189" s="6">
        <f>COUNTIFS(Table34[Country],Tabela1[[#This Row],[Country]],Table34[Plus 67kg Classification],"&gt;0")</f>
        <v>0</v>
      </c>
      <c r="KY189" s="6">
        <f>COUNTIFS(Table57[Country],Tabela1[[#This Row],[Country]],Table57[Classification],"&gt;0")</f>
        <v>0</v>
      </c>
      <c r="KZ189" s="6">
        <f>COUNTIFS(Table58[Country],Tabela1[[#This Row],[Country]],Table58[Classification],"&gt;0")</f>
        <v>0</v>
      </c>
      <c r="LA189" s="6">
        <f>COUNTIFS(Table79[Country],Tabela1[[#This Row],[Country]],Table79[Men''s Classification],"&gt;0")</f>
        <v>0</v>
      </c>
      <c r="LB189" s="6">
        <f>COUNTIFS(Table79[Country],Tabela1[[#This Row],[Country]],Table79[Women''s Classification],"&gt;0")</f>
        <v>0</v>
      </c>
      <c r="LC189" s="6">
        <f>COUNTIFS(Table79[Country],Tabela1[[#This Row],[Country]],Table79[Mixed Classification],"&gt;0")</f>
        <v>0</v>
      </c>
      <c r="LD189" s="6">
        <f>COUNTIFS(Table65[Country],Tabela1[[#This Row],[Country]],Table65[Classification],"&gt;0")</f>
        <v>0</v>
      </c>
      <c r="LE189" s="6">
        <f>COUNTIFS(Table59[Country],Tabela1[[#This Row],[Country]],Table59[Classification],"&gt;0")</f>
        <v>0</v>
      </c>
      <c r="LF189" s="6">
        <f>COUNTIFS(Table87[Country],Tabela1[[#This Row],[Country]],Table87[Mixed Relay Classification],"&gt;0")</f>
        <v>0</v>
      </c>
      <c r="LG189" s="6">
        <f>COUNTIFS(Table91949698100[Country],Tabela1[[#This Row],[Country]],Table91949698100[Men''s Classification],"&gt;0")</f>
        <v>0</v>
      </c>
      <c r="LH189" s="6">
        <f>COUNTIFS(Table91949698100[Country],Tabela1[[#This Row],[Country]],Table91949698100[Women''s Classification],"&gt;0")</f>
        <v>0</v>
      </c>
      <c r="LI189" s="6">
        <f>COUNTIFS(Table91949698100102[Country],Tabela1[[#This Row],[Country]],Table91949698100102[Men''s Classification],"&gt;0")</f>
        <v>0</v>
      </c>
      <c r="LJ189" s="6">
        <f>COUNTIFS(Table91949698100102[Country],Tabela1[[#This Row],[Country]],Table91949698100102[Women''s Classification],"&gt;0")</f>
        <v>0</v>
      </c>
      <c r="LK189" s="6">
        <f>COUNTIFS(Table23[Country],Tabela1[[#This Row],[Country]],Table23[61kg Classification],"&gt;0")</f>
        <v>0</v>
      </c>
      <c r="LL189" s="6">
        <f>COUNTIFS(Table23[Country],Tabela1[[#This Row],[Country]],Table23[73kg Classification],"&gt;0")</f>
        <v>0</v>
      </c>
      <c r="LM189" s="6">
        <f>COUNTIFS(Table23[Country],Tabela1[[#This Row],[Country]],Table23[89kg Classification],"&gt;0")</f>
        <v>0</v>
      </c>
      <c r="LN189" s="6">
        <f>COUNTIFS(Table23[Country],Tabela1[[#This Row],[Country]],Table23[102kg Classification],"&gt;0")</f>
        <v>0</v>
      </c>
      <c r="LO189" s="6">
        <f>COUNTIFS(Table23[Country],Tabela1[[#This Row],[Country]],Table23[Plus 102kg Classification],"&gt;0")</f>
        <v>0</v>
      </c>
      <c r="LP189" s="6">
        <f>COUNTIFS(Table28[Country],Tabela1[[#This Row],[Country]],Table28[49kg Classification],"&gt;0")</f>
        <v>0</v>
      </c>
      <c r="LQ189" s="6">
        <f>COUNTIFS(Table28[Country],Tabela1[[#This Row],[Country]],Table28[59kg Classification],"&gt;0")</f>
        <v>0</v>
      </c>
      <c r="LR189" s="6">
        <f>COUNTIFS(Table28[Country],Tabela1[[#This Row],[Country]],Table28[71kg Classification],"&gt;0")</f>
        <v>0</v>
      </c>
      <c r="LS189" s="6">
        <f>COUNTIFS(Table28[Country],Tabela1[[#This Row],[Country]],Table28[81kg Classification],"&gt;0")</f>
        <v>0</v>
      </c>
      <c r="LT189" s="6">
        <f>COUNTIFS(Table28[Country],Tabela1[[#This Row],[Country]],Table28[Plus 81kg Classification],"&gt;0")</f>
        <v>0</v>
      </c>
      <c r="LU189" s="6">
        <f>COUNTIFS(Table24[Country],Tabela1[[#This Row],[Country]],Table24[Freestyle 57kg Classification],"&gt;0")</f>
        <v>0</v>
      </c>
      <c r="LV189" s="6">
        <f>COUNTIFS(Table24[Country],Tabela1[[#This Row],[Country]],Table24[Freestyle 65kg Classification],"&gt;0")</f>
        <v>0</v>
      </c>
      <c r="LW189" s="6">
        <f>COUNTIFS(Table24[Country],Tabela1[[#This Row],[Country]],Table24[Freestyle 74kg Classification],"&gt;0")</f>
        <v>0</v>
      </c>
      <c r="LX189" s="6">
        <f>COUNTIFS(Table24[Country],Tabela1[[#This Row],[Country]],Table24[Freestyle 86kg Classification],"&gt;0")</f>
        <v>0</v>
      </c>
      <c r="LY189" s="6">
        <f>COUNTIFS(Table24[Country],Tabela1[[#This Row],[Country]],Table24[Freestyle 97kg Classification],"&gt;0")</f>
        <v>0</v>
      </c>
      <c r="LZ189" s="6">
        <f>COUNTIFS(Table24[Country],Tabela1[[#This Row],[Country]],Table24[Freestyle 125kg Classification],"&gt;0")</f>
        <v>0</v>
      </c>
      <c r="MA189" s="6">
        <f>COUNTIFS(Table24[Country],Tabela1[[#This Row],[Country]],Table24[Greco-Roman 60kg Classification],"&gt;0")</f>
        <v>0</v>
      </c>
      <c r="MB189" s="6">
        <f>COUNTIFS(Table24[Country],Tabela1[[#This Row],[Country]],Table24[Greco-Roman 67kg Classification],"&gt;0")</f>
        <v>0</v>
      </c>
      <c r="MC189" s="6">
        <f>COUNTIFS(Table24[Country],Tabela1[[#This Row],[Country]],Table24[Greco-Roman 77kg Classification],"&gt;0")</f>
        <v>0</v>
      </c>
      <c r="MD189" s="6">
        <f>COUNTIFS(Table24[Country],Tabela1[[#This Row],[Country]],Table24[Greco-Roman 87kg Classification],"&gt;0")</f>
        <v>0</v>
      </c>
      <c r="ME189" s="6">
        <f>COUNTIFS(Table24[Country],Tabela1[[#This Row],[Country]],Table24[Greco-Roman 97kg Classification],"&gt;0")</f>
        <v>0</v>
      </c>
      <c r="MF189" s="6">
        <f>COUNTIFS(Table24[Country],Tabela1[[#This Row],[Country]],Table24[Greco-Roman 130kg Classification],"&gt;0")</f>
        <v>0</v>
      </c>
      <c r="MG189" s="6">
        <f>COUNTIFS(Table31[Country],Tabela1[[#This Row],[Country]],Table31[50kg Classification],"&gt;0")</f>
        <v>0</v>
      </c>
      <c r="MH189" s="6">
        <f>COUNTIFS(Table31[Country],Tabela1[[#This Row],[Country]],Table31[53kg Classification],"&gt;0")</f>
        <v>0</v>
      </c>
      <c r="MI189" s="6">
        <f>COUNTIFS(Table31[Country],Tabela1[[#This Row],[Country]],Table31[57kg Classification],"&gt;0")</f>
        <v>0</v>
      </c>
      <c r="MJ189" s="6">
        <f>COUNTIFS(Table31[Country],Tabela1[[#This Row],[Country]],Table31[62kg Classification],"&gt;0")</f>
        <v>0</v>
      </c>
      <c r="MK189" s="6">
        <f>COUNTIFS(Table31[Country],Tabela1[[#This Row],[Country]],Table31[68kg Classification],"&gt;0")</f>
        <v>0</v>
      </c>
      <c r="ML189" s="6">
        <f>COUNTIFS(Table31[Country],Tabela1[[#This Row],[Country]],Table31[76kg Classification],"&gt;0")</f>
        <v>0</v>
      </c>
      <c r="MM189" s="6">
        <f>COUNTIFS(Table102[Country],Tabela1[[#This Row],[Country]],Table102[Downhill Classification],"&gt;0")</f>
        <v>0</v>
      </c>
      <c r="MN189" s="6">
        <f>COUNTIFS(Table102105[Country],Tabela1[[#This Row],[Country]],Table102105[Downhill Classification],"&gt;0")</f>
        <v>0</v>
      </c>
      <c r="MO189" s="6">
        <f>COUNTIFS(Table102[Country],Tabela1[[#This Row],[Country]],Table102[Giant Slalom Classification],"&gt;0")</f>
        <v>0</v>
      </c>
      <c r="MP189" s="6">
        <f>COUNTIFS(Table102105[Country],Tabela1[[#This Row],[Country]],Table102105[Giant Slalom Classification],"&gt;0")</f>
        <v>0</v>
      </c>
      <c r="MQ189" s="6">
        <f>COUNTIFS(Table102[Country],Tabela1[[#This Row],[Country]],Table102[Slalom Classification],"&gt;0")</f>
        <v>0</v>
      </c>
      <c r="MR189" s="6">
        <f>COUNTIFS(Table102105[Country],Tabela1[[#This Row],[Country]],Table102105[Slalom Classification],"&gt;0")</f>
        <v>0</v>
      </c>
      <c r="MS189" s="6">
        <f>COUNTIFS(Table102[Country],Tabela1[[#This Row],[Country]],Table102[Super-G Classification],"&gt;0")</f>
        <v>0</v>
      </c>
      <c r="MT189" s="6">
        <f>COUNTIFS(Table102105[Country],Tabela1[[#This Row],[Country]],Table102105[Super-G Classification],"&gt;0")</f>
        <v>0</v>
      </c>
      <c r="MU189" s="6">
        <f>COUNTIFS(Table105[Country],Tabela1[[#This Row],[Country]],Table105[Men''s Combined Classification],"&gt;0")</f>
        <v>0</v>
      </c>
      <c r="MV189" s="6">
        <f>COUNTIFS(Table105[Country],Tabela1[[#This Row],[Country]],Table105[Women''s Combined Classification],"&gt;0")</f>
        <v>0</v>
      </c>
      <c r="MW189" s="6">
        <f>COUNTIFS(Table106[Country],Tabela1[[#This Row],[Country]],Table106[Individual Classification],"&gt;0")</f>
        <v>0</v>
      </c>
      <c r="MX189" s="6">
        <f>COUNTIFS(Table106109[Country],Tabela1[[#This Row],[Country]],Table106109[Individual Classification],"&gt;0")</f>
        <v>0</v>
      </c>
      <c r="MY189" s="6">
        <f>COUNTIFS(Table106[Country],Tabela1[[#This Row],[Country]],Table106[Mass Start Classification],"&gt;0")</f>
        <v>0</v>
      </c>
      <c r="MZ189" s="6">
        <f>COUNTIFS(Table106109[Country],Tabela1[[#This Row],[Country]],Table106109[Mass Start Classification],"&gt;0")</f>
        <v>0</v>
      </c>
      <c r="NA189" s="6">
        <f>COUNTIFS(Table106[Country],Tabela1[[#This Row],[Country]],Table106[Pursuit Classification],"&gt;0")</f>
        <v>0</v>
      </c>
      <c r="NB189" s="6">
        <f>COUNTIFS(Table106109[Country],Tabela1[[#This Row],[Country]],Table106109[Pursuit Classification],"&gt;0")</f>
        <v>0</v>
      </c>
      <c r="NC189" s="6">
        <f>COUNTIFS(Table106[Country],Tabela1[[#This Row],[Country]],Table106[Sprint Classification],"&gt;0")</f>
        <v>0</v>
      </c>
      <c r="ND189" s="6">
        <f>COUNTIFS(Table106109[Country],Tabela1[[#This Row],[Country]],Table106109[Sprint Classification],"&gt;0")</f>
        <v>0</v>
      </c>
      <c r="NE189" s="6">
        <f>COUNTIFS(Table109[Country],Tabela1[[#This Row],[Country]],Table109[Men''s Relay Classification],"&gt;0")</f>
        <v>0</v>
      </c>
      <c r="NF189" s="6">
        <f>COUNTIFS(Table109[Country],Tabela1[[#This Row],[Country]],Table109[Women''s Relay Classification],"&gt;0")</f>
        <v>0</v>
      </c>
      <c r="NG189" s="6">
        <f>COUNTIFS(Table109[Country],Tabela1[[#This Row],[Country]],Table109[Mixed Relay Classification],"&gt;0")</f>
        <v>0</v>
      </c>
      <c r="NH189" s="6">
        <f>COUNTIFS(Table110[Country],Tabela1[[#This Row],[Country]],Table110[Monobob Classification],"&gt;0")</f>
        <v>0</v>
      </c>
      <c r="NI189" s="6">
        <f>COUNTIFS(Table111[Country],Tabela1[[#This Row],[Country]],Table111[Men''s Classification],"&gt;0")</f>
        <v>0</v>
      </c>
      <c r="NJ189" s="6">
        <f>COUNTIFS(Table111[Country],Tabela1[[#This Row],[Country]],Table111[Women''s Classification],"&gt;0")</f>
        <v>0</v>
      </c>
      <c r="NK189" s="6">
        <f>COUNTIFS(Table112[Country],Tabela1[[#This Row],[Country]],Table112[Men''s Four Classification],"&gt;0")</f>
        <v>0</v>
      </c>
      <c r="NL189" s="6">
        <f>COUNTIFS(Table113[Country],Tabela1[[#This Row],[Country]],Table113[Classical Classification],"&gt;0")</f>
        <v>0</v>
      </c>
      <c r="NM189" s="6">
        <f>COUNTIFS(Table113116[Country],Tabela1[[#This Row],[Country]],Table113116[Classical Classification],"&gt;0")</f>
        <v>0</v>
      </c>
      <c r="NN189" s="6">
        <f>COUNTIFS(Table113[Country],Tabela1[[#This Row],[Country]],Table113[Freestyle Classification],"&gt;0")</f>
        <v>0</v>
      </c>
      <c r="NO189" s="6">
        <f>COUNTIFS(Table113116[Country],Tabela1[[#This Row],[Country]],Table113116[Freestyle Classification],"&gt;0")</f>
        <v>0</v>
      </c>
      <c r="NP189" s="6">
        <f>COUNTIFS(Table117[Country],Tabela1[[#This Row],[Country]],Table117[Men''s Relay Classification],"&gt;0")</f>
        <v>0</v>
      </c>
      <c r="NQ189" s="6">
        <f>COUNTIFS(Table117[Country],Tabela1[[#This Row],[Country]],Table117[Women''s Relay Classification],"&gt;0")</f>
        <v>0</v>
      </c>
      <c r="NR189" s="6">
        <f>COUNTIFS(Table113[Country],Tabela1[[#This Row],[Country]],Table113[Skiathlon Classification],"&gt;0")</f>
        <v>0</v>
      </c>
      <c r="NS189" s="6">
        <f>COUNTIFS(Table113116[Country],Tabela1[[#This Row],[Country]],Table113116[Skiathlon Classification],"&gt;0")</f>
        <v>0</v>
      </c>
      <c r="NT189" s="6">
        <f>COUNTIFS(Table113[Country],Tabela1[[#This Row],[Country]],Table113[Sprint Classification],"&gt;0")</f>
        <v>0</v>
      </c>
      <c r="NU189" s="6">
        <f>COUNTIFS(Table113116[Country],Tabela1[[#This Row],[Country]],Table113116[Sprint Classification],"&gt;0")</f>
        <v>0</v>
      </c>
      <c r="NV189" s="6">
        <f>COUNTIFS(Table116[Country],Tabela1[[#This Row],[Country]],Table116[Men''s Team Sprint Classification],"&gt;0")</f>
        <v>0</v>
      </c>
      <c r="NW189" s="6">
        <f>COUNTIFS(Table116[Country],Tabela1[[#This Row],[Country]],Table116[Women''s Team Sprint Classification],"&gt;0")</f>
        <v>0</v>
      </c>
      <c r="NX189" s="6">
        <f>COUNTIFS(Table119[Country],Tabela1[[#This Row],[Country]],Table119[Men''s Classification],"&gt;0")</f>
        <v>0</v>
      </c>
      <c r="NY189" s="6">
        <f>COUNTIFS(Table119[Country],Tabela1[[#This Row],[Country]],Table119[Women''s Classification],"&gt;0")</f>
        <v>0</v>
      </c>
      <c r="NZ189" s="6">
        <f>COUNTIFS(Table118[Country],Tabela1[[#This Row],[Country]],Table118[Mixed Classification],"&gt;0")</f>
        <v>0</v>
      </c>
      <c r="OA189" s="6">
        <f>COUNTIFS(Table120[Country],Tabela1[[#This Row],[Country]],Table120[Classification],"&gt;0")</f>
        <v>0</v>
      </c>
      <c r="OB189" s="6">
        <f>COUNTIFS(Table120123[Country],Tabela1[[#This Row],[Country]],Table120123[Classification],"&gt;0")</f>
        <v>0</v>
      </c>
      <c r="OC189" s="6">
        <f>COUNTIFS(Table123[Country],Tabela1[[#This Row],[Country]],Table123[Ice Dance Classification],"&gt;0")</f>
        <v>0</v>
      </c>
      <c r="OD189" s="6">
        <f>COUNTIFS(Table123[Country],Tabela1[[#This Row],[Country]],Table123[Pair Skating Classification],"&gt;0")</f>
        <v>0</v>
      </c>
      <c r="OE189" s="6">
        <f>COUNTIFS(Table124[Country],Tabela1[[#This Row],[Country]],Table124[Mixed Classification],"&gt;0")</f>
        <v>0</v>
      </c>
      <c r="OF189" s="6">
        <f>COUNTIFS(Table125[Country],Tabela1[[#This Row],[Country]],Table125[Aerials Classification],"&gt;0")</f>
        <v>0</v>
      </c>
      <c r="OG189" s="6">
        <f>COUNTIFS(Table125128[Country],Tabela1[[#This Row],[Country]],Table125128[Aerials Classification],"&gt;0")</f>
        <v>0</v>
      </c>
      <c r="OH189" s="6">
        <f>COUNTIFS(Table128[Country],Tabela1[[#This Row],[Country]],Table128[Mixed Aerials Classification],"&gt;0")</f>
        <v>0</v>
      </c>
      <c r="OI189" s="6">
        <f>COUNTIFS(Table125[Country],Tabela1[[#This Row],[Country]],Table125[Big Air Classification],"&gt;0")</f>
        <v>0</v>
      </c>
      <c r="OJ189" s="6">
        <f>COUNTIFS(Table125128[Country],Tabela1[[#This Row],[Country]],Table125128[Big Air Classification],"&gt;0")</f>
        <v>0</v>
      </c>
      <c r="OK189" s="6">
        <f>COUNTIFS(Table125[Country],Tabela1[[#This Row],[Country]],Table125[Dual Moguls Classification],"&gt;0")</f>
        <v>0</v>
      </c>
      <c r="OL189" s="6">
        <f>COUNTIFS(Table125128[Country],Tabela1[[#This Row],[Country]],Table125128[Dual Moguls Classification],"&gt;0")</f>
        <v>0</v>
      </c>
      <c r="OM189" s="6">
        <f>COUNTIFS(Table125[Country],Tabela1[[#This Row],[Country]],Table125[Halfpipe Classification],"&gt;0")</f>
        <v>0</v>
      </c>
      <c r="ON189" s="6">
        <f>COUNTIFS(Table125128[Country],Tabela1[[#This Row],[Country]],Table125128[Halfpipe Classification],"&gt;0")</f>
        <v>0</v>
      </c>
      <c r="OO189" s="6">
        <f>COUNTIFS(Table125[Country],Tabela1[[#This Row],[Country]],Table125[Moguls Classification],"&gt;0")</f>
        <v>0</v>
      </c>
      <c r="OP189" s="6">
        <f>COUNTIFS(Table125128[Country],Tabela1[[#This Row],[Country]],Table125128[Moguls Classification],"&gt;0")</f>
        <v>0</v>
      </c>
      <c r="OQ189" s="6">
        <f>COUNTIFS(Table125[Country],Tabela1[[#This Row],[Country]],Table125[Ski Cross Classification],"&gt;0")</f>
        <v>0</v>
      </c>
      <c r="OR189" s="6">
        <f>COUNTIFS(Table125128[Country],Tabela1[[#This Row],[Country]],Table125128[Ski Cross Classification],"&gt;0")</f>
        <v>0</v>
      </c>
      <c r="OS189" s="6">
        <f>COUNTIFS(Table125[Country],Tabela1[[#This Row],[Country]],Table125[Slopestyle Classification],"&gt;0")</f>
        <v>0</v>
      </c>
      <c r="OT189" s="6">
        <f>COUNTIFS(Table125128[Country],Tabela1[[#This Row],[Country]],Table125128[Slopestyle Classification],"&gt;0")</f>
        <v>0</v>
      </c>
      <c r="OU189" s="6">
        <f>COUNTIFS(Table119131[Country],Tabela1[[#This Row],[Country]],Table119131[Men''s Classification],"&gt;0")</f>
        <v>0</v>
      </c>
      <c r="OV189" s="6">
        <f>COUNTIFS(Table119131[Country],Tabela1[[#This Row],[Country]],Table119131[Women''s Classification],"&gt;0")</f>
        <v>0</v>
      </c>
      <c r="OW189" s="6">
        <f>COUNTIFS(Table131[Country],Tabela1[[#This Row],[Country]],Table131[Classification],"&gt;0")</f>
        <v>0</v>
      </c>
      <c r="OX189" s="6">
        <f>COUNTIFS(Table131134[Country],Tabela1[[#This Row],[Country]],Table131134[Classification],"&gt;0")</f>
        <v>0</v>
      </c>
      <c r="OY189" s="6">
        <f>COUNTIFS(Table134[Country],Tabela1[[#This Row],[Country]],Table134[Men''s Classification],"&gt;0")</f>
        <v>0</v>
      </c>
      <c r="OZ189" s="6">
        <f>COUNTIFS(Table134[Country],Tabela1[[#This Row],[Country]],Table134[Women''s Classification],"&gt;0")</f>
        <v>0</v>
      </c>
      <c r="PA189" s="6">
        <f>COUNTIFS(Table135[Country],Tabela1[[#This Row],[Country]],Table135[Mixed Relay Classification],"&gt;0")</f>
        <v>0</v>
      </c>
      <c r="PB189" s="6">
        <f>COUNTIFS(Table136[Country],Tabela1[[#This Row],[Country]],Table136[Individual Classification],"&gt;0")</f>
        <v>0</v>
      </c>
      <c r="PC189" s="6">
        <f>COUNTIFS(Table136[Country],Tabela1[[#This Row],[Country]],Table136[Sprint Classification],"&gt;0")</f>
        <v>0</v>
      </c>
      <c r="PD189" s="6">
        <f>COUNTIFS(Table137[Country],Tabela1[[#This Row],[Country]],Table137[Men''s Team Sprint Large Hill Classification],"&gt;0")</f>
        <v>0</v>
      </c>
      <c r="PE189" s="6">
        <f>COUNTIFS(Table138[Country],Tabela1[[#This Row],[Country]],Table138[500m Classification],"&gt;0")</f>
        <v>0</v>
      </c>
      <c r="PF189" s="6">
        <f>COUNTIFS(Table138141[Country],Tabela1[[#This Row],[Country]],Table138141[500m Classification],"&gt;0")</f>
        <v>0</v>
      </c>
      <c r="PG189" s="6">
        <f>COUNTIFS(Table138[Country],Tabela1[[#This Row],[Country]],Table138[1000m Classification],"&gt;0")</f>
        <v>0</v>
      </c>
      <c r="PH189" s="6">
        <f>COUNTIFS(Table138141[Country],Tabela1[[#This Row],[Country]],Table138141[1000m Classification],"&gt;0")</f>
        <v>0</v>
      </c>
      <c r="PI189" s="6">
        <f>COUNTIFS(Table138[Country],Tabela1[[#This Row],[Country]],Table138[1500m Classification],"&gt;0")</f>
        <v>0</v>
      </c>
      <c r="PJ189" s="6">
        <f>COUNTIFS(Table138141[Country],Tabela1[[#This Row],[Country]],Table138141[1500m Classification],"&gt;0")</f>
        <v>0</v>
      </c>
      <c r="PK189" s="6">
        <f>COUNTIFS(Table141[Country],Tabela1[[#This Row],[Country]],Table141[Men''s 5000m Relay Classification],"&gt;0")</f>
        <v>0</v>
      </c>
      <c r="PL189" s="6">
        <f>COUNTIFS(Table141[Country],Tabela1[[#This Row],[Country]],Table141[Women''s 3000m Relay Classification],"&gt;0")</f>
        <v>0</v>
      </c>
      <c r="PM189" s="6">
        <f>COUNTIFS(Table141[Country],Tabela1[[#This Row],[Country]],Table141[Mixed 2000m Relay Classification],"&gt;0")</f>
        <v>0</v>
      </c>
      <c r="PN189" s="6">
        <f>COUNTIFS(Table142[Country],Tabela1[[#This Row],[Country]],Table142[Classification],"&gt;0")</f>
        <v>0</v>
      </c>
      <c r="PO189" s="6">
        <f>COUNTIFS(Table142145[Country],Tabela1[[#This Row],[Country]],Table142145[Classification],"&gt;0")</f>
        <v>0</v>
      </c>
      <c r="PP189" s="6">
        <f>COUNTIFS(Tabela15[Country],Tabela1[[#This Row],[Country]],Tabela15[Mixed Team Classification],"&gt;0")</f>
        <v>0</v>
      </c>
      <c r="PQ189" s="6">
        <f>COUNTIFS(Table145[Country],Tabela1[[#This Row],[Country]],Table145[Large Hill Classification],"&gt;0")</f>
        <v>0</v>
      </c>
      <c r="PR189" s="6">
        <f>COUNTIFS(Table145[Country],Tabela1[[#This Row],[Country]],Table145[Normal Hill Classification],"&gt;0")</f>
        <v>0</v>
      </c>
      <c r="PS189" s="6">
        <f>COUNTIFS(Table145148[Country],Tabela1[[#This Row],[Country]],Table145148[Large Hill Classification],"&gt;0")</f>
        <v>0</v>
      </c>
      <c r="PT189" s="6">
        <f>COUNTIFS(Table145148[Country],Tabela1[[#This Row],[Country]],Table145148[Normal Hill Classification],"&gt;0")</f>
        <v>0</v>
      </c>
      <c r="PU189" s="6">
        <f>COUNTIFS(Table148[Country],Tabela1[[#This Row],[Country]],Table148[Men''s Super Team Classification],"&gt;0")</f>
        <v>0</v>
      </c>
      <c r="PV189" s="6">
        <f>COUNTIFS(Tabela114[Country],Tabela1[[#This Row],[Country]],Tabela114[Mixed Normal Hill Classification],"&gt;0")</f>
        <v>0</v>
      </c>
      <c r="PW189" s="6">
        <f>COUNTIFS(Tabela50[Country],Tabela1[[#This Row],[Country]],Tabela50[Sprint Classification],"&gt;0")</f>
        <v>0</v>
      </c>
      <c r="PX189" s="6">
        <f>COUNTIFS(Tabela50101[Country],Tabela1[[#This Row],[Country]],Tabela50101[Sprint Classification],"&gt;0")</f>
        <v>0</v>
      </c>
      <c r="PY189" s="6">
        <f>COUNTIFS(Tabela103[Country],Tabela1[[#This Row],[Country]],Tabela103[Mixed Relay Classification],"&gt;0")</f>
        <v>0</v>
      </c>
      <c r="PZ189" s="6">
        <f>COUNTIFS(Table149[Country],Tabela1[[#This Row],[Country]],Table149[Big Air Classification],"&gt;0")</f>
        <v>0</v>
      </c>
      <c r="QA189" s="6">
        <f>COUNTIFS(Table149152[Country],Tabela1[[#This Row],[Country]],Table149152[Big Air Classification],"&gt;0")</f>
        <v>0</v>
      </c>
      <c r="QB189" s="6">
        <f>COUNTIFS(Table149[Country],Tabela1[[#This Row],[Country]],Table149[Halfpipe Classification],"&gt;0")</f>
        <v>0</v>
      </c>
      <c r="QC189" s="6">
        <f>COUNTIFS(Table149152[Country],Tabela1[[#This Row],[Country]],Table149152[Halfpipe Classification],"&gt;0")</f>
        <v>0</v>
      </c>
      <c r="QD189" s="6">
        <f>COUNTIFS(Table149[Country],Tabela1[[#This Row],[Country]],Table149[Parallel Giant Slalom Classification],"&gt;0")</f>
        <v>0</v>
      </c>
      <c r="QE189" s="6">
        <f>COUNTIFS(Table149152[Country],Tabela1[[#This Row],[Country]],Table149152[Parallel Giant Slalom Classification],"&gt;0")</f>
        <v>0</v>
      </c>
      <c r="QF189" s="6">
        <f>COUNTIFS(Table149[Country],Tabela1[[#This Row],[Country]],Table149[Slopestyle Classification],"&gt;0")</f>
        <v>0</v>
      </c>
      <c r="QG189" s="6">
        <f>COUNTIFS(Table149152[Country],Tabela1[[#This Row],[Country]],Table149152[Slopestyle Classification],"&gt;0")</f>
        <v>0</v>
      </c>
      <c r="QH189" s="6">
        <f>COUNTIFS(Table149[Country],Tabela1[[#This Row],[Country]],Table149[Snowboard Cross Classification],"&gt;0")</f>
        <v>0</v>
      </c>
      <c r="QI189" s="6">
        <f>COUNTIFS(Table149152[Country],Tabela1[[#This Row],[Country]],Table149152[Snowboard Cross Classification],"&gt;0")</f>
        <v>0</v>
      </c>
      <c r="QJ189" s="6">
        <f>COUNTIFS(Table153[Country],Tabela1[[#This Row],[Country]],Table153[Mixed Team Snowboard Cross Classification],"&gt;0")</f>
        <v>0</v>
      </c>
      <c r="QK189" s="6">
        <f>COUNTIFS(Table154[Country],Tabela1[[#This Row],[Country]],Table154[500m Classification],"&gt;0")</f>
        <v>0</v>
      </c>
      <c r="QL189" s="6">
        <f>COUNTIFS(Table154157[Country],Tabela1[[#This Row],[Country]],Table154157[500m Classification],"&gt;0")</f>
        <v>0</v>
      </c>
      <c r="QM189" s="6">
        <f>COUNTIFS(Table154[Country],Tabela1[[#This Row],[Country]],Table154[1000m Classification],"&gt;0")</f>
        <v>0</v>
      </c>
      <c r="QN189" s="6">
        <f>COUNTIFS(Table154157[Country],Tabela1[[#This Row],[Country]],Table154157[1000m Classification],"&gt;0")</f>
        <v>0</v>
      </c>
      <c r="QO189" s="6">
        <f>COUNTIFS(Table154[Country],Tabela1[[#This Row],[Country]],Table154[1500m Classification],"&gt;0")</f>
        <v>0</v>
      </c>
      <c r="QP189" s="6">
        <f>COUNTIFS(Table154157[Country],Tabela1[[#This Row],[Country]],Table154157[1500m Classification],"&gt;0")</f>
        <v>0</v>
      </c>
      <c r="QQ189" s="6">
        <f>COUNTIFS(Table154157[Country],Tabela1[[#This Row],[Country]],Table154157[3000m Classification],"&gt;0")</f>
        <v>0</v>
      </c>
      <c r="QR189" s="6">
        <f>COUNTIFS(Table154[Country],Tabela1[[#This Row],[Country]],Table154[5000m Classification],"&gt;0")</f>
        <v>0</v>
      </c>
      <c r="QS189" s="6">
        <f>COUNTIFS(Table154157[Country],Tabela1[[#This Row],[Country]],Table154157[5000m Classification],"&gt;0")</f>
        <v>0</v>
      </c>
      <c r="QT189" s="6">
        <f>COUNTIFS(Table154[Country],Tabela1[[#This Row],[Country]],Table154[10000m Classification],"&gt;0")</f>
        <v>0</v>
      </c>
      <c r="QU189" s="6">
        <f>COUNTIFS(Table154[Country],Tabela1[[#This Row],[Country]],Table154[Mass Start Classification],"&gt;0")</f>
        <v>0</v>
      </c>
      <c r="QV189" s="6">
        <f>COUNTIFS(Table154157[Country],Tabela1[[#This Row],[Country]],Table154157[Mass Start Classification],"&gt;0")</f>
        <v>0</v>
      </c>
      <c r="QW189" s="6">
        <f>COUNTIFS(Table157[Country],Tabela1[[#This Row],[Country]],Table157[Men''s Pursuit Classification],"&gt;0")</f>
        <v>0</v>
      </c>
      <c r="QX189" s="6">
        <f>COUNTIFS(Table157[Country],Tabela1[[#This Row],[Country]],Table157[Women''s Pursuit Classification],"&gt;0")</f>
        <v>0</v>
      </c>
      <c r="QY189" s="4" t="s">
        <v>633</v>
      </c>
    </row>
    <row r="190" spans="1:467" x14ac:dyDescent="0.3">
      <c r="A190" s="6">
        <v>189</v>
      </c>
      <c r="B190" s="6" t="s">
        <v>638</v>
      </c>
      <c r="C190" t="e" vm="189">
        <f>IF(ISBLANK(Tabela1[[#This Row],[Image Link]]), "", _xlfn.IMAGE(Tabela1[[#This Row],[Image Link]],1,1))</f>
        <v>#VALUE!</v>
      </c>
      <c r="D190" s="6">
        <f>SUM(Tabela1[[#This Row],[Archery - Men''s Individual Recurve]:[Speed Skating - Women''s Team Pursuit]])</f>
        <v>0</v>
      </c>
      <c r="E190" s="6">
        <f>COUNTIF(Tabela1[[#This Row],[Archery - Men''s Individual Recurve]:[Speed Skating - Women''s Team Pursuit]],"&gt;0")</f>
        <v>0</v>
      </c>
      <c r="F190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90" s="6">
        <f>SUM(Tabela1[[#This Row],[Archery - Men''s Individual Recurve]:[Wrestling - Women''s Freestyle 76kg]])</f>
        <v>0</v>
      </c>
      <c r="H190" s="6">
        <f>SUM(Tabela1[[#This Row],[Alpine Skiing - Men''s Downhill]:[Speed Skating - Women''s Team Pursuit]])</f>
        <v>0</v>
      </c>
      <c r="I190" s="6">
        <f>Tabela1[[#This Row],[Summer Gold Medals]]+Tabela1[[#This Row],[Winter Gold Medals]]</f>
        <v>0</v>
      </c>
      <c r="J190" s="6">
        <f>Tabela1[[#This Row],[Summer Silver Medals]]+Tabela1[[#This Row],[Winter Silver Medals]]</f>
        <v>0</v>
      </c>
      <c r="K190" s="6">
        <f>Tabela1[[#This Row],[Summer Bronze Medals]]+Tabela1[[#This Row],[Winter Bronze Medals]]</f>
        <v>0</v>
      </c>
      <c r="L190" s="6">
        <f>SUM(Tabela1[[#This Row],[Total Gold Medals]:[Total Bronze Medals]])</f>
        <v>0</v>
      </c>
      <c r="M190" s="6"/>
      <c r="N190" s="6"/>
      <c r="O190" s="6"/>
      <c r="P190" s="6">
        <f>SUM(Tabela1[[#This Row],[Summer Gold Medals]:[Summer Bronze Medals]])</f>
        <v>0</v>
      </c>
      <c r="Q190" s="6"/>
      <c r="R190" s="6"/>
      <c r="S190" s="6"/>
      <c r="T190" s="6">
        <f>Tabela1[[#This Row],[Winter Gold Medals]]+Tabela1[[#This Row],[Winter Silver Medals]]+Tabela1[[#This Row],[Winter Bronze Medals]]</f>
        <v>0</v>
      </c>
      <c r="U190" s="7" t="e">
        <f>Tabela1[[#This Row],[Total Medals]]/Tabela1[[#This Row],[Total Quotas]]</f>
        <v>#DIV/0!</v>
      </c>
      <c r="V190" s="6">
        <f>COUNTIFS(Table3[Country],Tabela1[[#This Row],[Country]],Table3[Recurve Classification],"&gt;0")</f>
        <v>0</v>
      </c>
      <c r="W190" s="6">
        <f>COUNTIFS(Table33[Country],Tabela1[[#This Row],[Country]],Table33[Recurve Classification],"&gt;0")</f>
        <v>0</v>
      </c>
      <c r="X190" s="6">
        <f>COUNTIFS(Table35[Country],Tabela1[[#This Row],[Country]],Table35[Men''s Team Recurve Classification],"&gt;0")</f>
        <v>0</v>
      </c>
      <c r="Y190" s="6">
        <f>COUNTIFS(Table35[Country],Tabela1[[#This Row],[Country]],Table35[Women''s Team Recurve Classification],"&gt;0")</f>
        <v>0</v>
      </c>
      <c r="Z190" s="6">
        <f>COUNTIFS(Tabela88[Country],Tabela1[[#This Row],[Country]],Tabela88[Mixed Team Recurve Classification],"&gt;0")</f>
        <v>0</v>
      </c>
      <c r="AA190" s="6">
        <f>COUNTIFS(Table36[Country],Tabela1[[#This Row],[Country]],Table36[Classification],"&gt;0")</f>
        <v>0</v>
      </c>
      <c r="AB190" s="6">
        <f>COUNTIFS(Table37[Country],Tabela1[[#This Row],[Country]],Table37[Classification],"&gt;0")</f>
        <v>0</v>
      </c>
      <c r="AC190" s="6">
        <f>COUNTIFS(Table4[Country],Tabela1[[#This Row],[Country]],Table4[100m Classification],"&gt;0")</f>
        <v>0</v>
      </c>
      <c r="AD190" s="6">
        <f>COUNTIFS(Table5[Country],Tabela1[[#This Row],[Country]],Table5[100m Classification],"&gt;0")</f>
        <v>0</v>
      </c>
      <c r="AE190" s="6">
        <f>COUNTIFS(Table4[Country],Tabela1[[#This Row],[Country]],Table4[200m Classification],"&gt;0")</f>
        <v>0</v>
      </c>
      <c r="AF190" s="6">
        <f>COUNTIFS(Table5[Country],Tabela1[[#This Row],[Country]],Table5[200m Classification],"&gt;0")</f>
        <v>0</v>
      </c>
      <c r="AG190" s="6">
        <f>COUNTIFS(Table4[Country],Tabela1[[#This Row],[Country]],Table4[400m Classification],"&gt;0")</f>
        <v>0</v>
      </c>
      <c r="AH190" s="6">
        <f>COUNTIFS(Table5[Country],Tabela1[[#This Row],[Country]],Table5[400m Classification],"&gt;0")</f>
        <v>0</v>
      </c>
      <c r="AI190" s="6">
        <f>COUNTIFS(Table4[Country],Tabela1[[#This Row],[Country]],Table4[800m Classification],"&gt;0")</f>
        <v>0</v>
      </c>
      <c r="AJ190" s="6">
        <f>COUNTIFS(Table5[Country],Tabela1[[#This Row],[Country]],Table5[800m Classification],"&gt;0")</f>
        <v>0</v>
      </c>
      <c r="AK190" s="6">
        <f>COUNTIFS(Table4[Country],Tabela1[[#This Row],[Country]],Table4[1500m Classification],"&gt;0")</f>
        <v>0</v>
      </c>
      <c r="AL190" s="6">
        <f>COUNTIFS(Table5[Country],Tabela1[[#This Row],[Country]],Table5[1500m Classification],"&gt;0")</f>
        <v>0</v>
      </c>
      <c r="AM190" s="6">
        <f>COUNTIFS(Table4[Country],Tabela1[[#This Row],[Country]],Table4[5000m Classification],"&gt;0")</f>
        <v>0</v>
      </c>
      <c r="AN190" s="6">
        <f>COUNTIFS(Table5[Country],Tabela1[[#This Row],[Country]],Table5[5000m Classification],"&gt;0")</f>
        <v>0</v>
      </c>
      <c r="AO190" s="6">
        <f>COUNTIFS(Table4[Country],Tabela1[[#This Row],[Country]],Table4[10000m Classification],"&gt;0")</f>
        <v>0</v>
      </c>
      <c r="AP190" s="6">
        <f>COUNTIFS(Table5[Country],Tabela1[[#This Row],[Country]],Table5[10000m Classification],"&gt;0")</f>
        <v>0</v>
      </c>
      <c r="AQ190" s="6">
        <f>COUNTIFS(Table4[Country],Tabela1[[#This Row],[Country]],Table4[110m Hurdles Classification],"&gt;0")</f>
        <v>0</v>
      </c>
      <c r="AR190" s="6">
        <f>COUNTIFS(Table5[Country],Tabela1[[#This Row],[Country]],Table5[100m Hurdles Classification],"&gt;0")</f>
        <v>0</v>
      </c>
      <c r="AS190" s="6">
        <f>COUNTIFS(Table4[Country],Tabela1[[#This Row],[Country]],Table4[400m Hurdles Classification],"&gt;0")</f>
        <v>0</v>
      </c>
      <c r="AT190" s="6">
        <f>COUNTIFS(Table5[Country],Tabela1[[#This Row],[Country]],Table5[400m Hurdles Classification],"&gt;0")</f>
        <v>0</v>
      </c>
      <c r="AU190" s="6">
        <f>COUNTIFS(Table4[Country],Tabela1[[#This Row],[Country]],Table4[3000m Steeplechase Classification],"&gt;0")</f>
        <v>0</v>
      </c>
      <c r="AV190" s="6">
        <f>COUNTIFS(Table5[Country],Tabela1[[#This Row],[Country]],Table5[3000m Steeplechase Classification],"&gt;0")</f>
        <v>0</v>
      </c>
      <c r="AW190" s="6">
        <f>COUNTIFS(Table27[Country],Tabela1[[#This Row],[Country]],Table27[Men''s 4x100m Relay Classification],"&gt;0")</f>
        <v>0</v>
      </c>
      <c r="AX190" s="6">
        <f>COUNTIFS(Table27[Country],Tabela1[[#This Row],[Country]],Table27[Women''s 4x100m Relay Classification],"&gt;0")</f>
        <v>0</v>
      </c>
      <c r="AY190" s="6">
        <f>COUNTIFS(Table27[Country],Tabela1[[#This Row],[Country]],Table27[Men''s 4x400m Relay Classification],"&gt;0")</f>
        <v>0</v>
      </c>
      <c r="AZ190" s="6">
        <f>COUNTIFS(Table27[Country],Tabela1[[#This Row],[Country]],Table27[Women''s 4x400m Relay Classification],"&gt;0")</f>
        <v>0</v>
      </c>
      <c r="BA190" s="6">
        <f>COUNTIFS(Table27[Country],Tabela1[[#This Row],[Country]],Table27[Mixed 4x400m Relay Classification],"&gt;0")</f>
        <v>0</v>
      </c>
      <c r="BB190" s="6">
        <f>COUNTIFS(Table4[Country],Tabela1[[#This Row],[Country]],Table4[Marathon Classification],"&gt;0")</f>
        <v>0</v>
      </c>
      <c r="BC190" s="6">
        <f>COUNTIFS(Table5[Country],Tabela1[[#This Row],[Country]],Table5[Marathon Classification],"&gt;0")</f>
        <v>0</v>
      </c>
      <c r="BD190" s="6">
        <f>COUNTIFS(Table4[Country],Tabela1[[#This Row],[Country]],Table4[20km Race Walk Classification],"&gt;0")</f>
        <v>0</v>
      </c>
      <c r="BE190" s="6">
        <f>COUNTIFS(Table5[Country],Tabela1[[#This Row],[Country]],Table5[20km Race Walk Classification],"&gt;0")</f>
        <v>0</v>
      </c>
      <c r="BF190" s="6">
        <f>COUNTIFS(Tabela96[Country],Tabela1[[#This Row],[Country]],Tabela96[Mixed Marathon Race Walk Relay Classification],"&gt;0")</f>
        <v>0</v>
      </c>
      <c r="BG190" s="6">
        <f>COUNTIFS(Table4[Country],Tabela1[[#This Row],[Country]],Table4[Discus Throw Classification],"&gt;0")</f>
        <v>0</v>
      </c>
      <c r="BH190" s="6">
        <f>COUNTIFS(Table5[Country],Tabela1[[#This Row],[Country]],Table5[Discus Throw Classification],"&gt;0")</f>
        <v>0</v>
      </c>
      <c r="BI190" s="6">
        <f>COUNTIFS(Table4[Country],Tabela1[[#This Row],[Country]],Table4[Hammer Throw Classification],"&gt;0")</f>
        <v>0</v>
      </c>
      <c r="BJ190" s="6">
        <f>COUNTIFS(Table5[Country],Tabela1[[#This Row],[Country]],Table5[Hammer Throw Classification],"&gt;0")</f>
        <v>0</v>
      </c>
      <c r="BK190" s="6">
        <f>COUNTIFS(Table4[Country],Tabela1[[#This Row],[Country]],Table4[High Jump Classification],"&gt;0")</f>
        <v>0</v>
      </c>
      <c r="BL190" s="6">
        <f>COUNTIFS(Table5[Country],Tabela1[[#This Row],[Country]],Table5[High Jump Classification],"&gt;0")</f>
        <v>0</v>
      </c>
      <c r="BM190" s="6">
        <f>COUNTIFS(Table4[Country],Tabela1[[#This Row],[Country]],Table4[Javelin Throw Classification],"&gt;0")</f>
        <v>0</v>
      </c>
      <c r="BN190" s="6">
        <f>COUNTIFS(Table5[Country],Tabela1[[#This Row],[Country]],Table5[Javelin Throw Classification],"&gt;0")</f>
        <v>0</v>
      </c>
      <c r="BO190" s="6">
        <f>COUNTIFS(Table4[Country],Tabela1[[#This Row],[Country]],Table4[Long Jump Classification],"&gt;0")</f>
        <v>0</v>
      </c>
      <c r="BP190" s="6">
        <f>COUNTIFS(Table5[Country],Tabela1[[#This Row],[Country]],Table5[Long Jump Classification],"&gt;0")</f>
        <v>0</v>
      </c>
      <c r="BQ190" s="6">
        <f>COUNTIFS(Table4[Country],Tabela1[[#This Row],[Country]],Table4[Pole Vault Classification],"&gt;0")</f>
        <v>0</v>
      </c>
      <c r="BR190" s="6">
        <f>COUNTIFS(Table5[Country],Tabela1[[#This Row],[Country]],Table5[Pole Vault Classification],"&gt;0")</f>
        <v>0</v>
      </c>
      <c r="BS190" s="6">
        <f>COUNTIFS(Table4[Country],Tabela1[[#This Row],[Country]],Table4[Shot Put Classification],"&gt;0")</f>
        <v>0</v>
      </c>
      <c r="BT190" s="6">
        <f>COUNTIFS(Table5[Country],Tabela1[[#This Row],[Country]],Table5[Shot Put Classification],"&gt;0")</f>
        <v>0</v>
      </c>
      <c r="BU190" s="6">
        <f>COUNTIFS(Table4[Country],Tabela1[[#This Row],[Country]],Table4[Triple Jump Classification],"&gt;0")</f>
        <v>0</v>
      </c>
      <c r="BV190" s="6">
        <f>COUNTIFS(Table5[Country],Tabela1[[#This Row],[Country]],Table5[Triple Jump Classification],"&gt;0")</f>
        <v>0</v>
      </c>
      <c r="BW190" s="6">
        <f>COUNTIFS(Table4[Country],Tabela1[[#This Row],[Country]],Table4[Decathlon Classification],"&gt;0")</f>
        <v>0</v>
      </c>
      <c r="BX190" s="6">
        <f>COUNTIFS(Table5[Country],Tabela1[[#This Row],[Country]],Table5[Heptathlon Classification],"&gt;0")</f>
        <v>0</v>
      </c>
      <c r="BY190" s="6">
        <f>COUNTIFS(Table61[Country],Tabela1[[#This Row],[Country]],Table61[Classification],"&gt;0")</f>
        <v>0</v>
      </c>
      <c r="BZ190" s="6">
        <f>COUNTIFS(Table38[Country],Tabela1[[#This Row],[Country]],Table38[Classification],"&gt;0")</f>
        <v>0</v>
      </c>
      <c r="CA190" s="6">
        <f>COUNTIFS(Table39[Country],Tabela1[[#This Row],[Country]],Table39[Men''s Classification],"&gt;0")</f>
        <v>0</v>
      </c>
      <c r="CB190" s="6">
        <f>COUNTIFS(Table39[Country],Tabela1[[#This Row],[Country]],Table39[Women''s Classification],"&gt;0")</f>
        <v>0</v>
      </c>
      <c r="CC190" s="6">
        <f>COUNTIFS(Table39[Country],Tabela1[[#This Row],[Country]],Table39[Mixed Classification],"&gt;0")</f>
        <v>0</v>
      </c>
      <c r="CD190" s="6">
        <f>COUNTIFS(Table89[Country],Tabela1[[#This Row],[Country]],Table89[Men''s Classification],"&gt;0")</f>
        <v>0</v>
      </c>
      <c r="CE190" s="6">
        <f>COUNTIFS(Table89[Country],Tabela1[[#This Row],[Country]],Table89[Women''s Classification],"&gt;0")</f>
        <v>0</v>
      </c>
      <c r="CF190" s="6">
        <f>COUNTIFS(Table90[Country],Tabela1[[#This Row],[Country]],Table90[Men''s Classification],"&gt;0")</f>
        <v>0</v>
      </c>
      <c r="CG190" s="6">
        <f>COUNTIFS(Table90[Country],Tabela1[[#This Row],[Country]],Table90[Women''s Classification],"&gt;0")</f>
        <v>0</v>
      </c>
      <c r="CH190" s="6">
        <f>COUNTIFS(Table60[Country],Tabela1[[#This Row],[Country]],Table60[Men''s Classification],"&gt;0")</f>
        <v>0</v>
      </c>
      <c r="CI190" s="6">
        <f>COUNTIFS(Table60[Country],Tabela1[[#This Row],[Country]],Table60[Women''s Classification],"&gt;0")</f>
        <v>0</v>
      </c>
      <c r="CJ190" s="6">
        <f>COUNTIFS(Table6[Country],Tabela1[[#This Row],[Country]],Table6[51kg Classification],"&gt;0")</f>
        <v>0</v>
      </c>
      <c r="CK190" s="6">
        <f>COUNTIFS(Table6[Country],Tabela1[[#This Row],[Country]],Table6[57kg Classification],"&gt;0")</f>
        <v>0</v>
      </c>
      <c r="CL190" s="6">
        <f>COUNTIFS(Table6[Country],Tabela1[[#This Row],[Country]],Table6[63.5kg Classification],"&gt;0")</f>
        <v>0</v>
      </c>
      <c r="CM190" s="6">
        <f>COUNTIFS(Table6[Country],Tabela1[[#This Row],[Country]],Table6[71kg Classification],"&gt;0")</f>
        <v>0</v>
      </c>
      <c r="CN190" s="6">
        <f>COUNTIFS(Table6[Country],Tabela1[[#This Row],[Country]],Table6[80kg Classification],"&gt;0")</f>
        <v>0</v>
      </c>
      <c r="CO190" s="6">
        <f>COUNTIFS(Table6[Country],Tabela1[[#This Row],[Country]],Table6[92kg Classification],"&gt;0")</f>
        <v>0</v>
      </c>
      <c r="CP190" s="6">
        <f>COUNTIFS(Table6[Country],Tabela1[[#This Row],[Country]],Table6[Plus 92kg Classification],"&gt;0")</f>
        <v>0</v>
      </c>
      <c r="CQ190" s="6">
        <f>COUNTIFS(Table7[Country],Tabela1[[#This Row],[Country]],Table7[50kg Classification],"&gt;0")</f>
        <v>0</v>
      </c>
      <c r="CR190" s="6">
        <f>COUNTIFS(Table7[Country],Tabela1[[#This Row],[Country]],Table7[54kg Classification],"&gt;0")</f>
        <v>0</v>
      </c>
      <c r="CS190" s="6">
        <f>COUNTIFS(Table7[Country],Tabela1[[#This Row],[Country]],Table7[57kg Classification],"&gt;0")</f>
        <v>0</v>
      </c>
      <c r="CT190" s="6">
        <f>COUNTIFS(Table7[Country],Tabela1[[#This Row],[Country]],Table7[60kg Classification],"&gt;0")</f>
        <v>0</v>
      </c>
      <c r="CU190" s="6">
        <f>COUNTIFS(Table7[Country],Tabela1[[#This Row],[Country]],Table7[66kg Classification],"&gt;0")</f>
        <v>0</v>
      </c>
      <c r="CV190" s="6">
        <f>COUNTIFS(Table7[Country],Tabela1[[#This Row],[Country]],Table7[75kg Classification],"&gt;0")</f>
        <v>0</v>
      </c>
      <c r="CW190" s="6">
        <f>COUNTIFS(Tabela94[Country],Tabela1[[#This Row],[Country]],Tabela94[Classification],"&gt;0")</f>
        <v>0</v>
      </c>
      <c r="CX190" s="6">
        <f>COUNTIFS(Tabela9499[Country],Tabela1[[#This Row],[Country]],Tabela9499[Classification],"&gt;0")</f>
        <v>0</v>
      </c>
      <c r="CY190" s="6">
        <f>COUNTIFS(Tabela107[Country],Tabela1[[#This Row],[Country]],Tabela107[C1 Slalom Classification],"&gt;0")</f>
        <v>0</v>
      </c>
      <c r="CZ190" s="6">
        <f>COUNTIFS(Tabela107122[Country],Tabela1[[#This Row],[Country]],Tabela107122[C1 Slalom Classification],"&gt;0")</f>
        <v>0</v>
      </c>
      <c r="DA190" s="6">
        <f>COUNTIFS(Tabela107[Country],Tabela1[[#This Row],[Country]],Tabela107[K1 Slalom Classification],"&gt;0")</f>
        <v>0</v>
      </c>
      <c r="DB190" s="6">
        <f>COUNTIFS(Tabela107122[Country],Tabela1[[#This Row],[Country]],Tabela107122[K1 Slalom Classification],"&gt;0")</f>
        <v>0</v>
      </c>
      <c r="DC190" s="6">
        <f>COUNTIFS(Tabela107[Country],Tabela1[[#This Row],[Country]],Tabela107[Kayak Cross Slalom Classification],"&gt;0")</f>
        <v>0</v>
      </c>
      <c r="DD190" s="6">
        <f>COUNTIFS(Tabela107122[Country],Tabela1[[#This Row],[Country]],Tabela107122[Kayak Cross Slalom Classification],"&gt;0")</f>
        <v>0</v>
      </c>
      <c r="DE190" s="6">
        <f>COUNTIFS(Table8[Country],Tabela1[[#This Row],[Country]],Table8[C1 200m Classification],"&gt;0")</f>
        <v>0</v>
      </c>
      <c r="DF190" s="6">
        <f>COUNTIFS(Table40[Country],Tabela1[[#This Row],[Country]],Table40[C1 1000m Classification],"&gt;0")</f>
        <v>0</v>
      </c>
      <c r="DG190" s="6">
        <f>COUNTIFS(Table68[Country],Tabela1[[#This Row],[Country]],Table68[Men''s C2 500m Classification],"&gt;0")</f>
        <v>0</v>
      </c>
      <c r="DH190" s="6">
        <f>COUNTIFS(Table68[Country],Tabela1[[#This Row],[Country]],Table68[Women''s C2 500m Classification],"&gt;0")</f>
        <v>0</v>
      </c>
      <c r="DI190" s="6">
        <f>COUNTIFS(Table8[Country],Tabela1[[#This Row],[Country]],Table8[K1 500m Classification],"&gt;0")</f>
        <v>0</v>
      </c>
      <c r="DJ190" s="6">
        <f>COUNTIFS(Table40[Country],Tabela1[[#This Row],[Country]],Table40[K1 1000m Classification],"&gt;0")</f>
        <v>0</v>
      </c>
      <c r="DK190" s="6">
        <f>COUNTIFS(Table68[Country],Tabela1[[#This Row],[Country]],Table68[Men''s K2 500m Classification],"&gt;0")</f>
        <v>0</v>
      </c>
      <c r="DL190" s="6">
        <f>COUNTIFS(Table68[Country],Tabela1[[#This Row],[Country]],Table68[Women''s K2 500m Classification],"&gt;0")</f>
        <v>0</v>
      </c>
      <c r="DM190" s="6">
        <f>COUNTIFS(Table83[Country],Tabela1[[#This Row],[Country]],Table83[Men''s K4 500m Classification],"&gt;0")</f>
        <v>0</v>
      </c>
      <c r="DN190" s="6">
        <f>COUNTIFS(Table83[Country],Tabela1[[#This Row],[Country]],Table83[Women''s K4 500m Classification],"&gt;0")</f>
        <v>0</v>
      </c>
      <c r="DO190" s="6">
        <f>COUNTIFS(Tabela126[Country],Tabela1[[#This Row],[Country]],Tabela126[Classification],"&gt;0")</f>
        <v>0</v>
      </c>
      <c r="DP190" s="6">
        <f>COUNTIFS(Tabela126130[Country],Tabela1[[#This Row],[Country]],Tabela126130[Classification],"&gt;0")</f>
        <v>0</v>
      </c>
      <c r="DQ190" s="6">
        <f>COUNTIFS(Table70[Country],Tabela1[[#This Row],[Country]],Table70[Classification],"&gt;0")</f>
        <v>0</v>
      </c>
      <c r="DR190" s="6">
        <f>COUNTIFS(Table80[Country],Tabela1[[#This Row],[Country]],Table80[Classification],"&gt;0")</f>
        <v>0</v>
      </c>
      <c r="DS190" s="6">
        <f>COUNTIFS(Table66[Country],Tabela1[[#This Row],[Country]],Table66[Classification],"&gt;0")</f>
        <v>0</v>
      </c>
      <c r="DT190" s="6">
        <f>COUNTIFS(Table67[Country],Tabela1[[#This Row],[Country]],Table67[Classification],"&gt;0")</f>
        <v>0</v>
      </c>
      <c r="DU190" s="6">
        <f>COUNTIFS(Table69[Country],Tabela1[[#This Row],[Country]],Table69[Keirin Classification],"&gt;0")</f>
        <v>0</v>
      </c>
      <c r="DV190" s="6">
        <f>COUNTIFS(Table41[Country],Tabela1[[#This Row],[Country]],Table41[Keirin Classification],"&gt;0")</f>
        <v>0</v>
      </c>
      <c r="DW190" s="6">
        <f>COUNTIFS(Table84[Country],Tabela1[[#This Row],[Country]],Table84[Men''s Madison Classification],"&gt;0")</f>
        <v>0</v>
      </c>
      <c r="DX190" s="6">
        <f>COUNTIFS(Table84[Country],Tabela1[[#This Row],[Country]],Table84[Women''s Madison Classification],"&gt;0")</f>
        <v>0</v>
      </c>
      <c r="DY190" s="6">
        <f>COUNTIFS(Table69[Country],Tabela1[[#This Row],[Country]],Table69[Omnium Classification],"&gt;0")</f>
        <v>0</v>
      </c>
      <c r="DZ190" s="6">
        <f>COUNTIFS(Table41[Country],Tabela1[[#This Row],[Country]],Table41[Omnium Classification],"&gt;0")</f>
        <v>0</v>
      </c>
      <c r="EA190" s="6">
        <f>COUNTIFS(Table9[Country],Tabela1[[#This Row],[Country]],Table9[Road Race Classification],"&gt;0")</f>
        <v>0</v>
      </c>
      <c r="EB190" s="6">
        <f>COUNTIFS(Table14[Country],Tabela1[[#This Row],[Country]],Table14[Road Race Classification],"&gt;0")</f>
        <v>0</v>
      </c>
      <c r="EC190" s="6">
        <f>COUNTIFS(Table69[Country],Tabela1[[#This Row],[Country]],Table69[Sprint Classification],"&gt;0")</f>
        <v>0</v>
      </c>
      <c r="ED190" s="6">
        <f>COUNTIFS(Table41[Country],Tabela1[[#This Row],[Country]],Table41[Sprint Classification],"&gt;0")</f>
        <v>0</v>
      </c>
      <c r="EE190" s="6">
        <f>COUNTIFS(Table85[Country],Tabela1[[#This Row],[Country]],Table85[Men''s Sprint Classification],"&gt;0")</f>
        <v>0</v>
      </c>
      <c r="EF190" s="6">
        <f>COUNTIFS(Table85[Country],Tabela1[[#This Row],[Country]],Table85[Women''s Sprint Classification],"&gt;0")</f>
        <v>0</v>
      </c>
      <c r="EG190" s="6">
        <f>COUNTIFS(Table85[Country],Tabela1[[#This Row],[Country]],Table85[Men''s Pursuit Classification],"&gt;0")</f>
        <v>0</v>
      </c>
      <c r="EH190" s="6">
        <f>COUNTIFS(Table85[Country],Tabela1[[#This Row],[Country]],Table85[Women''s Pursuit Classification],"&gt;0")</f>
        <v>0</v>
      </c>
      <c r="EI190" s="6">
        <f>COUNTIFS(Table9[Country],Tabela1[[#This Row],[Country]],Table9[Time-Trial Classification],"&gt;0")</f>
        <v>0</v>
      </c>
      <c r="EJ190" s="6">
        <f>COUNTIFS(Table14[Country],Tabela1[[#This Row],[Country]],Table14[Time-Trial Classification],"&gt;0")</f>
        <v>0</v>
      </c>
      <c r="EK190" s="6">
        <f>COUNTIFS(Table42[Country],Tabela1[[#This Row],[Country]],Table42[Springboard Classification],"&gt;0")</f>
        <v>0</v>
      </c>
      <c r="EL190" s="6">
        <f>COUNTIFS(Table43[Country],Tabela1[[#This Row],[Country]],Table43[Springboard Classification],"&gt;0")</f>
        <v>0</v>
      </c>
      <c r="EM190" s="6">
        <f>COUNTIFS(Table42[Country],Tabela1[[#This Row],[Country]],Table42[Platform Classification],"&gt;0")</f>
        <v>0</v>
      </c>
      <c r="EN190" s="6">
        <f>COUNTIFS(Table43[Country],Tabela1[[#This Row],[Country]],Table43[Platform Classification],"&gt;0")</f>
        <v>0</v>
      </c>
      <c r="EO190" s="6">
        <f>COUNTIFS(Table86[Country],Tabela1[[#This Row],[Country]],Table86[Men''s Synchronized Springboard Classification],"&gt;0")</f>
        <v>0</v>
      </c>
      <c r="EP190" s="6">
        <f>COUNTIFS(Table86[Country],Tabela1[[#This Row],[Country]],Table86[Women''s Synchronized Springboard Classification],"&gt;0")</f>
        <v>0</v>
      </c>
      <c r="EQ190" s="6">
        <f>COUNTIFS(Table86[Country],Tabela1[[#This Row],[Country]],Table86[Men''s Synchronized Platform Classification],"&gt;0")</f>
        <v>0</v>
      </c>
      <c r="ER190" s="6">
        <f>COUNTIFS(Table86[Country],Tabela1[[#This Row],[Country]],Table86[Women''s Synchronized Platform Classification],"&gt;0")</f>
        <v>0</v>
      </c>
      <c r="ES190" s="6">
        <f>COUNTIFS(Table44[Country],Tabela1[[#This Row],[Country]],Table44[Dressage Classification],"&gt;0")</f>
        <v>0</v>
      </c>
      <c r="ET190" s="6">
        <f>COUNTIFS(Table45[Country],Tabela1[[#This Row],[Country]],Table45[Dressage Classification],"&gt;0")</f>
        <v>0</v>
      </c>
      <c r="EU190" s="6">
        <f>COUNTIFS(Table44[Country],Tabela1[[#This Row],[Country]],Table44[Eventing Classification],"&gt;0")</f>
        <v>0</v>
      </c>
      <c r="EV190" s="6">
        <f>COUNTIFS(Table45[Country],Tabela1[[#This Row],[Country]],Table45[Eventing Classification],"&gt;0")</f>
        <v>0</v>
      </c>
      <c r="EW190" s="6">
        <f>COUNTIFS(Table44[Country],Tabela1[[#This Row],[Country]],Table44[Jumping Classification],"&gt;0")</f>
        <v>0</v>
      </c>
      <c r="EX190" s="6">
        <f>COUNTIFS(Table45[Country],Tabela1[[#This Row],[Country]],Table45[Jumping Classification],"&gt;0")</f>
        <v>0</v>
      </c>
      <c r="EY190" s="6">
        <f>COUNTIFS(Table10[Country],Tabela1[[#This Row],[Country]],Table10[Épée Classification],"&gt;0")</f>
        <v>0</v>
      </c>
      <c r="EZ190" s="6">
        <f>COUNTIFS(Table11[Country],Tabela1[[#This Row],[Country]],Table11[Épée Classification],"&gt;0")</f>
        <v>0</v>
      </c>
      <c r="FA190" s="6">
        <f>COUNTIFS(Table46[Country],Tabela1[[#This Row],[Country]],Table46[Men''s Épée Classification],"&gt;0")</f>
        <v>0</v>
      </c>
      <c r="FB190" s="6">
        <f>COUNTIFS(Table46[Country],Tabela1[[#This Row],[Country]],Table46[Women''s Épée Classification],"&gt;0")</f>
        <v>0</v>
      </c>
      <c r="FC190" s="6">
        <f>COUNTIFS(Table10[Country],Tabela1[[#This Row],[Country]],Table10[Foil Classification],"&gt;0")</f>
        <v>0</v>
      </c>
      <c r="FD190" s="6">
        <f>COUNTIFS(Table11[Country],Tabela1[[#This Row],[Country]],Table11[Foil Classification],"&gt;0")</f>
        <v>0</v>
      </c>
      <c r="FE190" s="6">
        <f>COUNTIFS(Table46[Country],Tabela1[[#This Row],[Country]],Table46[Men''s Foil Classification],"&gt;0")</f>
        <v>0</v>
      </c>
      <c r="FF190" s="6">
        <f>COUNTIFS(Table46[Country],Tabela1[[#This Row],[Country]],Table46[Women''s Foil Classification],"&gt;0")</f>
        <v>0</v>
      </c>
      <c r="FG190" s="6">
        <f>COUNTIFS(Table10[Country],Tabela1[[#This Row],[Country]],Table10[Sabre Classification],"&gt;0")</f>
        <v>0</v>
      </c>
      <c r="FH190" s="6">
        <f>COUNTIFS(Table11[Country],Tabela1[[#This Row],[Country]],Table11[Sabre Classification],"&gt;0")</f>
        <v>0</v>
      </c>
      <c r="FI190" s="6">
        <f>COUNTIFS(Table46[Country],Tabela1[[#This Row],[Country]],Table46[Men''s Sabre Classification],"&gt;0")</f>
        <v>0</v>
      </c>
      <c r="FJ190" s="6">
        <f>COUNTIFS(Table46[Country],Tabela1[[#This Row],[Country]],Table46[Women''s Sabre Classification],"&gt;0")</f>
        <v>0</v>
      </c>
      <c r="FK190" s="6">
        <f>COUNTIFS(Table91[Country],Tabela1[[#This Row],[Country]],Table91[Men''s Classification],"&gt;0")</f>
        <v>0</v>
      </c>
      <c r="FL190" s="6">
        <f>COUNTIFS(Table91[Country],Tabela1[[#This Row],[Country]],Table91[Women''s Classification],"&gt;0")</f>
        <v>0</v>
      </c>
      <c r="FM190" s="6">
        <f>COUNTIFS(Table9194[Country],Tabela1[[#This Row],[Country]],Table9194[Men''s Classification],"&gt;0")</f>
        <v>0</v>
      </c>
      <c r="FN190" s="6">
        <f>COUNTIFS(Table9194[Country],Tabela1[[#This Row],[Country]],Table9194[Women''s Classification],"&gt;0")</f>
        <v>0</v>
      </c>
      <c r="FO190" s="6">
        <f>COUNTIFS(Table71[Country],Tabela1[[#This Row],[Country]],Table71[Classification],"&gt;0")</f>
        <v>0</v>
      </c>
      <c r="FP190" s="6">
        <f>COUNTIFS(Table62[Country],Tabela1[[#This Row],[Country]],Table62[Classification],"&gt;0")</f>
        <v>0</v>
      </c>
      <c r="FQ190" s="6">
        <f>COUNTIFS(Table47[Country],Tabela1[[#This Row],[Country]],Table47[All-Around Classification],"&gt;0")</f>
        <v>0</v>
      </c>
      <c r="FR190" s="6">
        <f>COUNTIFS(Table48[Country],Tabela1[[#This Row],[Country]],Table48[All-Around Classification],"&gt;0")</f>
        <v>0</v>
      </c>
      <c r="FS190" s="6">
        <f>COUNTIFS(Table81[Country],Tabela1[[#This Row],[Country]],Table81[Men''s All-Around Classification],"&gt;0")</f>
        <v>0</v>
      </c>
      <c r="FT190" s="6">
        <f>COUNTIFS(Table81[Country],Tabela1[[#This Row],[Country]],Table81[Women''s All-Around Classification],"&gt;0")</f>
        <v>0</v>
      </c>
      <c r="FU190" s="6">
        <f>COUNTIFS(Table48[Country],Tabela1[[#This Row],[Country]],Table48[Balance Beam Classification],"&gt;0")</f>
        <v>0</v>
      </c>
      <c r="FV190" s="6">
        <f>COUNTIFS(Table47[Country],Tabela1[[#This Row],[Country]],Table47[Floor Exercise Classification],"&gt;0")</f>
        <v>0</v>
      </c>
      <c r="FW190" s="6">
        <f>COUNTIFS(Table48[Country],Tabela1[[#This Row],[Country]],Table48[Floor Exercise Classification],"&gt;0")</f>
        <v>0</v>
      </c>
      <c r="FX190" s="6">
        <f>COUNTIFS(Table47[Country],Tabela1[[#This Row],[Country]],Table47[Horizontal Bar Classification],"&gt;0")</f>
        <v>0</v>
      </c>
      <c r="FY190" s="6">
        <f>COUNTIFS(Table47[Country],Tabela1[[#This Row],[Country]],Table47[Parallel Bars Classification],"&gt;0")</f>
        <v>0</v>
      </c>
      <c r="FZ190" s="6">
        <f>COUNTIFS(Table47[Country],Tabela1[[#This Row],[Country]],Table47[Pommel Horse Classification],"&gt;0")</f>
        <v>0</v>
      </c>
      <c r="GA190" s="6">
        <f>COUNTIFS(Table47[Country],Tabela1[[#This Row],[Country]],Table47[Rings Classification],"&gt;0")</f>
        <v>0</v>
      </c>
      <c r="GB190" s="6">
        <f>COUNTIFS(Tabela132[Country],Tabela1[[#This Row],[Country]],Tabela132[Classification],"&gt;0")</f>
        <v>0</v>
      </c>
      <c r="GC190" s="6">
        <f>COUNTIFS(Tabela139[Country],Tabela1[[#This Row],[Country]],Tabela139[Classification],"&gt;0")</f>
        <v>0</v>
      </c>
      <c r="GD190" s="6">
        <f>COUNTIFS(Table48[Country],Tabela1[[#This Row],[Country]],Table48[Uneven Bars Classification],"&gt;0")</f>
        <v>0</v>
      </c>
      <c r="GE190" s="6">
        <f>COUNTIFS(Table47[Country],Tabela1[[#This Row],[Country]],Table47[Vault Classification],"&gt;0")</f>
        <v>0</v>
      </c>
      <c r="GF190" s="6">
        <f>COUNTIFS(Table48[Country],Tabela1[[#This Row],[Country]],Table48[Vault Classification],"&gt;0")</f>
        <v>0</v>
      </c>
      <c r="GG190" s="6">
        <f>COUNTIFS(Table919496[Country],Tabela1[[#This Row],[Country]],Table919496[Men''s Classification],"&gt;0")</f>
        <v>0</v>
      </c>
      <c r="GH190" s="6">
        <f>COUNTIFS(Table919496[Country],Tabela1[[#This Row],[Country]],Table919496[Women''s Classification],"&gt;0")</f>
        <v>0</v>
      </c>
      <c r="GI190" s="6">
        <f>COUNTIFS(Table12[Country],Tabela1[[#This Row],[Country]],Table12[60kg Classification],"&gt;0")</f>
        <v>0</v>
      </c>
      <c r="GJ190" s="6">
        <f>COUNTIFS(Table12[Country],Tabela1[[#This Row],[Country]],Table12[66kg Classification],"&gt;0")</f>
        <v>0</v>
      </c>
      <c r="GK190" s="6">
        <f>COUNTIFS(Table12[Country],Tabela1[[#This Row],[Country]],Table12[73kg Classification],"&gt;0")</f>
        <v>0</v>
      </c>
      <c r="GL190" s="6">
        <f>COUNTIFS(Table12[Country],Tabela1[[#This Row],[Country]],Table12[81kg Classification],"&gt;0")</f>
        <v>0</v>
      </c>
      <c r="GM190" s="6">
        <f>COUNTIFS(Table12[Country],Tabela1[[#This Row],[Country]],Table12[90kg Classification],"&gt;0")</f>
        <v>0</v>
      </c>
      <c r="GN190" s="6">
        <f>COUNTIFS(Table12[Country],Tabela1[[#This Row],[Country]],Table12[100kg Classification],"&gt;0")</f>
        <v>0</v>
      </c>
      <c r="GO190" s="6">
        <f>COUNTIFS(Table12[Country],Tabela1[[#This Row],[Country]],Table12[Plus 100kg Classification],"&gt;0")</f>
        <v>0</v>
      </c>
      <c r="GP190" s="6">
        <f>COUNTIFS(Table13[Country],Tabela1[[#This Row],[Country]],Table13[48kg Classification],"&gt;0")</f>
        <v>0</v>
      </c>
      <c r="GQ190" s="6">
        <f>COUNTIFS(Table13[Country],Tabela1[[#This Row],[Country]],Table13[52kg Classification],"&gt;0")</f>
        <v>0</v>
      </c>
      <c r="GR190" s="6">
        <f>COUNTIFS(Table13[Country],Tabela1[[#This Row],[Country]],Table13[57kg Classification],"&gt;0")</f>
        <v>0</v>
      </c>
      <c r="GS190" s="6">
        <f>COUNTIFS(Table13[Country],Tabela1[[#This Row],[Country]],Table13[63kg Classification],"&gt;0")</f>
        <v>0</v>
      </c>
      <c r="GT190" s="6">
        <f>COUNTIFS(Table13[Country],Tabela1[[#This Row],[Country]],Table13[70kg Classification],"&gt;0")</f>
        <v>0</v>
      </c>
      <c r="GU190" s="6">
        <f>COUNTIFS(Table13[Country],Tabela1[[#This Row],[Country]],Table13[78kg Classification],"&gt;0")</f>
        <v>0</v>
      </c>
      <c r="GV190" s="6">
        <f>COUNTIFS(Table13[Country],Tabela1[[#This Row],[Country]],Table13[Plus 78kg Classification],"&gt;0")</f>
        <v>0</v>
      </c>
      <c r="GW190" s="6">
        <f>COUNTIFS(Table82[Country],Tabela1[[#This Row],[Country]],Table82[Mixed Classification],"&gt;0")</f>
        <v>0</v>
      </c>
      <c r="GX190" s="6">
        <f>COUNTIFS(Table51[Country],Tabela1[[#This Row],[Country]],Table51[Classification],"&gt;0")</f>
        <v>0</v>
      </c>
      <c r="GY190" s="6">
        <f>COUNTIFS(Table52[Country],Tabela1[[#This Row],[Country]],Table52[Classification],"&gt;0")</f>
        <v>0</v>
      </c>
      <c r="GZ190" s="6">
        <f>COUNTIFS(Table32[Country],Tabela1[[#This Row],[Country]],Table32[All-Around Classification],"&gt;0")</f>
        <v>0</v>
      </c>
      <c r="HA190" s="6">
        <f>COUNTIFS(Table49[Country],Tabela1[[#This Row],[Country]],Table49[All-Around Classification],"&gt;0")</f>
        <v>0</v>
      </c>
      <c r="HB190" s="6">
        <f>COUNTIFS(Table26[Country],Tabela1[[#This Row],[Country]],Table26[Single Sculls Classification],"&gt;0")</f>
        <v>0</v>
      </c>
      <c r="HC190" s="6">
        <f>COUNTIFS(Table63[Country],Tabela1[[#This Row],[Country]],Table63[Single Sculls Classification],"&gt;0")</f>
        <v>0</v>
      </c>
      <c r="HD190" s="6">
        <f>COUNTIFS(Table16[Country],Tabela1[[#This Row],[Country]],Table16[Men''s Double Sculls Classification],"&gt;0")</f>
        <v>0</v>
      </c>
      <c r="HE190" s="6">
        <f>COUNTIFS(Table16[Country],Tabela1[[#This Row],[Country]],Table16[Women''s Double Sculls Classification],"&gt;0")</f>
        <v>0</v>
      </c>
      <c r="HF190" s="6">
        <f>COUNTIFS(Table72[Country],Tabela1[[#This Row],[Country]],Table72[Men''s Quadruple Sculls Classification],"&gt;0")</f>
        <v>0</v>
      </c>
      <c r="HG190" s="6">
        <f>COUNTIFS(Table72[Country],Tabela1[[#This Row],[Country]],Table72[Women''s Quadruple Sculls Classification],"&gt;0")</f>
        <v>0</v>
      </c>
      <c r="HH190" s="6">
        <f>COUNTIFS(Table16[Country],Tabela1[[#This Row],[Country]],Table16[Men''s Coxless Pairs Classification],"&gt;0")</f>
        <v>0</v>
      </c>
      <c r="HI190" s="6">
        <f>COUNTIFS(Table16[Country],Tabela1[[#This Row],[Country]],Table16[Women''s Coxless Pairs Classification],"&gt;0")</f>
        <v>0</v>
      </c>
      <c r="HJ190" s="6">
        <f>COUNTIFS(Table72[Country],Tabela1[[#This Row],[Country]],Table72[Men''s Coxless Fours Classification],"&gt;0")</f>
        <v>0</v>
      </c>
      <c r="HK190" s="6">
        <f>COUNTIFS(Table72[Country],Tabela1[[#This Row],[Country]],Table72[Women''s Coxless Fours Classification],"&gt;0")</f>
        <v>0</v>
      </c>
      <c r="HL190" s="6">
        <f>COUNTIFS(Table72[Country],Tabela1[[#This Row],[Country]],Table72[Men''s Eights Classification],"&gt;0")</f>
        <v>0</v>
      </c>
      <c r="HM190" s="6">
        <f>COUNTIFS(Table72[Country],Tabela1[[#This Row],[Country]],Table72[Women''s Eights Classification],"&gt;0")</f>
        <v>0</v>
      </c>
      <c r="HN190" s="6">
        <f>COUNTIFS(Table16[Country],Tabela1[[#This Row],[Country]],Table16[Men''s Lwt. Double Sculls Classification],"&gt;0")</f>
        <v>0</v>
      </c>
      <c r="HO190" s="6">
        <f>COUNTIFS(Table16[Country],Tabela1[[#This Row],[Country]],Table16[Women''s Lwt. Double Sculls Classification],"&gt;0")</f>
        <v>0</v>
      </c>
      <c r="HP190" s="6">
        <f>COUNTIFS(Table91949698[Country],Tabela1[[#This Row],[Country]],Table91949698[Men''s Classification],"&gt;0")</f>
        <v>0</v>
      </c>
      <c r="HQ190" s="6">
        <f>COUNTIFS(Table91949698[Country],Tabela1[[#This Row],[Country]],Table91949698[Women''s Classification],"&gt;0")</f>
        <v>0</v>
      </c>
      <c r="HR190" s="6">
        <f>COUNTIFS(Table25[Country],Tabela1[[#This Row],[Country]],Table25[Mixed 470 Classification],"&gt;0")</f>
        <v>0</v>
      </c>
      <c r="HS190" s="6">
        <f>COUNTIFS(Table25[Country],Tabela1[[#This Row],[Country]],Table25[Men''s 49er Classification],"&gt;0")</f>
        <v>0</v>
      </c>
      <c r="HT190" s="6">
        <f>COUNTIFS(Table25[Country],Tabela1[[#This Row],[Country]],Table25[Women''s 49er FX Classification],"&gt;0")</f>
        <v>0</v>
      </c>
      <c r="HU190" s="6">
        <f>COUNTIFS(Table17[Country],Tabela1[[#This Row],[Country]],Table17[Formula Kite Classification],"&gt;0")</f>
        <v>0</v>
      </c>
      <c r="HV190" s="6">
        <f>COUNTIFS(Table18[Country],Tabela1[[#This Row],[Country]],Table18[Formula Kite Classification],"&gt;0")</f>
        <v>0</v>
      </c>
      <c r="HW190" s="6">
        <f>COUNTIFS(Table17[Country],Tabela1[[#This Row],[Country]],Table17[ILCA 7 Classification],"&gt;0")</f>
        <v>0</v>
      </c>
      <c r="HX190" s="6">
        <f>COUNTIFS(Table18[Country],Tabela1[[#This Row],[Country]],Table18[ILCA 6 Classification],"&gt;0")</f>
        <v>0</v>
      </c>
      <c r="HY190" s="6">
        <f>COUNTIFS(Table17[Country],Tabela1[[#This Row],[Country]],Table17[IQFoil Classification],"&gt;0")</f>
        <v>0</v>
      </c>
      <c r="HZ190" s="6">
        <f>COUNTIFS(Table18[Country],Tabela1[[#This Row],[Country]],Table18[IQFoil Classification],"&gt;0")</f>
        <v>0</v>
      </c>
      <c r="IA190" s="6">
        <f>COUNTIFS(Table25[Country],Tabela1[[#This Row],[Country]],Table25[Mixed Nacra 17 Classification],"&gt;0")</f>
        <v>0</v>
      </c>
      <c r="IB190" s="6">
        <f>COUNTIFS(Table53[Country],Tabela1[[#This Row],[Country]],Table53[10m Air Pistol Classification],"&gt;0")</f>
        <v>0</v>
      </c>
      <c r="IC190" s="6">
        <f>COUNTIFS(Table19[Country],Tabela1[[#This Row],[Country]],Table19[10m Air Pistol Classification],"&gt;0")</f>
        <v>0</v>
      </c>
      <c r="ID190" s="6">
        <f>COUNTIFS(Table54[Country],Tabela1[[#This Row],[Country]],Table54[Mixed 10m Air Pistol Team Classification],"&gt;0")</f>
        <v>0</v>
      </c>
      <c r="IE190" s="6">
        <f>COUNTIFS(Table53[Country],Tabela1[[#This Row],[Country]],Table53[10m Air Rifle Classification],"&gt;0")</f>
        <v>0</v>
      </c>
      <c r="IF190" s="6">
        <f>COUNTIFS(Table19[Country],Tabela1[[#This Row],[Country]],Table19[10m Air Rifle Classification],"&gt;0")</f>
        <v>0</v>
      </c>
      <c r="IG190" s="6">
        <f>COUNTIFS(Table54[Country],Tabela1[[#This Row],[Country]],Table54[Mixed 10m Air Rifle Team Classification],"&gt;0")</f>
        <v>0</v>
      </c>
      <c r="IH190" s="6">
        <f>COUNTIFS(Table53[Country],Tabela1[[#This Row],[Country]],Table53[25m Rapid Fire Pistol Classification],"&gt;0")</f>
        <v>0</v>
      </c>
      <c r="II190" s="6">
        <f>COUNTIFS(Table19[Country],Tabela1[[#This Row],[Country]],Table19[25m Pistol Classification],"&gt;0")</f>
        <v>0</v>
      </c>
      <c r="IJ190" s="6">
        <f>COUNTIFS(Table53[Country],Tabela1[[#This Row],[Country]],Table53[50m Rifle 3 Positions Classification],"&gt;0")</f>
        <v>0</v>
      </c>
      <c r="IK190" s="6">
        <f>COUNTIFS(Table19[Country],Tabela1[[#This Row],[Country]],Table19[50m Rifle 3 Positions Classification],"&gt;0")</f>
        <v>0</v>
      </c>
      <c r="IL190" s="6">
        <f>COUNTIFS(Table53[Country],Tabela1[[#This Row],[Country]],Table53[Skeet Classification],"&gt;0")</f>
        <v>0</v>
      </c>
      <c r="IM190" s="6">
        <f>COUNTIFS(Table19[Country],Tabela1[[#This Row],[Country]],Table19[Skeet Classification],"&gt;0")</f>
        <v>0</v>
      </c>
      <c r="IN190" s="6">
        <f>COUNTIFS(Table54[Country],Tabela1[[#This Row],[Country]],Table54[Mixed Skeet Team Classification],"&gt;0")</f>
        <v>0</v>
      </c>
      <c r="IO190" s="6">
        <f>COUNTIFS(Table53[Country],Tabela1[[#This Row],[Country]],Table53[Trap Classification],"&gt;0")</f>
        <v>0</v>
      </c>
      <c r="IP190" s="6">
        <f>COUNTIFS(Table19[Country],Tabela1[[#This Row],[Country]],Table19[Trap Classification],"&gt;0")</f>
        <v>0</v>
      </c>
      <c r="IQ190" s="6">
        <f>COUNTIFS(Table73[Country],Tabela1[[#This Row],[Country]],Table73[Park Classification],"&gt;0")</f>
        <v>0</v>
      </c>
      <c r="IR190" s="6">
        <f>COUNTIFS(Table74[Country],Tabela1[[#This Row],[Country]],Table74[Park Classification],"&gt;0")</f>
        <v>0</v>
      </c>
      <c r="IS190" s="6">
        <f>COUNTIFS(Table73[Country],Tabela1[[#This Row],[Country]],Table73[Street Classification],"&gt;0")</f>
        <v>0</v>
      </c>
      <c r="IT190" s="6">
        <f>COUNTIFS(Table74[Country],Tabela1[[#This Row],[Country]],Table74[Street Classification],"&gt;0")</f>
        <v>0</v>
      </c>
      <c r="IU190" s="6">
        <f>COUNTIFS(Table75[Country],Tabela1[[#This Row],[Country]],Table75[Boulder and Lead Classification],"&gt;0")</f>
        <v>0</v>
      </c>
      <c r="IV190" s="6">
        <f>COUNTIFS(Table76[Country],Tabela1[[#This Row],[Country]],Table76[Boulder and Lead Classification],"&gt;0")</f>
        <v>0</v>
      </c>
      <c r="IW190" s="6">
        <f>COUNTIFS(Table75[Country],Tabela1[[#This Row],[Country]],Table75[Speed Classification],"&gt;0")</f>
        <v>0</v>
      </c>
      <c r="IX190" s="6">
        <f>COUNTIFS(Table76[Country],Tabela1[[#This Row],[Country]],Table76[Speed Classification],"&gt;0")</f>
        <v>0</v>
      </c>
      <c r="IY190" s="6">
        <f>COUNTIFS(Table64[Country],Tabela1[[#This Row],[Country]],Table64[Shortboard Classification],"&gt;0")</f>
        <v>0</v>
      </c>
      <c r="IZ190" s="6">
        <f>COUNTIFS(Table77[Country],Tabela1[[#This Row],[Country]],Table77[Shortboard Classification],"&gt;0")</f>
        <v>0</v>
      </c>
      <c r="JA190" s="6">
        <f>COUNTIFS(Table20[Country],Tabela1[[#This Row],[Country]],Table20[50m Freestyle Classification],"&gt;0")</f>
        <v>0</v>
      </c>
      <c r="JB190" s="6">
        <f>COUNTIFS(Table21[Country],Tabela1[[#This Row],[Country]],Table21[50m Freestyle Classification],"&gt;0")</f>
        <v>0</v>
      </c>
      <c r="JC190" s="6">
        <f>COUNTIFS(Table20[Country],Tabela1[[#This Row],[Country]],Table20[100m Freestyle Classification],"&gt;0")</f>
        <v>0</v>
      </c>
      <c r="JD190" s="6">
        <f>COUNTIFS(Table21[Country],Tabela1[[#This Row],[Country]],Table21[100m Freestyle Classification],"&gt;0")</f>
        <v>0</v>
      </c>
      <c r="JE190" s="6">
        <f>COUNTIFS(Table20[Country],Tabela1[[#This Row],[Country]],Table20[200m Freestyle Classification],"&gt;0")</f>
        <v>0</v>
      </c>
      <c r="JF190" s="6">
        <f>COUNTIFS(Table21[Country],Tabela1[[#This Row],[Country]],Table21[200m Freestyle Classification],"&gt;0")</f>
        <v>0</v>
      </c>
      <c r="JG190" s="6">
        <f>COUNTIFS(Table20[Country],Tabela1[[#This Row],[Country]],Table20[400m Freestyle Classification],"&gt;0")</f>
        <v>0</v>
      </c>
      <c r="JH190" s="6">
        <f>COUNTIFS(Table21[Country],Tabela1[[#This Row],[Country]],Table21[400m Freestyle Classification],"&gt;0")</f>
        <v>0</v>
      </c>
      <c r="JI190" s="6">
        <f>COUNTIFS(Table20[Country],Tabela1[[#This Row],[Country]],Table20[800m Freestyle Classification],"&gt;0")</f>
        <v>0</v>
      </c>
      <c r="JJ190" s="6">
        <f>COUNTIFS(Table21[Country],Tabela1[[#This Row],[Country]],Table21[800m Freestyle Classification],"&gt;0")</f>
        <v>0</v>
      </c>
      <c r="JK190" s="6">
        <f>COUNTIFS(Table20[Country],Tabela1[[#This Row],[Country]],Table20[1500m Freestyle Classification],"&gt;0")</f>
        <v>0</v>
      </c>
      <c r="JL190" s="6">
        <f>COUNTIFS(Table21[Country],Tabela1[[#This Row],[Country]],Table21[1500m Freestyle Classification],"&gt;0")</f>
        <v>0</v>
      </c>
      <c r="JM190" s="6">
        <f>COUNTIFS(Table20[Country],Tabela1[[#This Row],[Country]],Table20[100m Backstroke Classification],"&gt;0")</f>
        <v>0</v>
      </c>
      <c r="JN190" s="6">
        <f>COUNTIFS(Table21[Country],Tabela1[[#This Row],[Country]],Table21[100m Backstroke Classification],"&gt;0")</f>
        <v>0</v>
      </c>
      <c r="JO190" s="6">
        <f>COUNTIFS(Table20[Country],Tabela1[[#This Row],[Country]],Table20[200m Backstroke Classification],"&gt;0")</f>
        <v>0</v>
      </c>
      <c r="JP190" s="6">
        <f>COUNTIFS(Table21[Country],Tabela1[[#This Row],[Country]],Table21[200m Backstroke Classification],"&gt;0")</f>
        <v>0</v>
      </c>
      <c r="JQ190" s="6">
        <f>COUNTIFS(Table20[Country],Tabela1[[#This Row],[Country]],Table20[100m Breaststroke Classification],"&gt;0")</f>
        <v>0</v>
      </c>
      <c r="JR190" s="6">
        <f>COUNTIFS(Table21[Country],Tabela1[[#This Row],[Country]],Table21[100m Breaststroke Classification],"&gt;0")</f>
        <v>0</v>
      </c>
      <c r="JS190" s="6">
        <f>COUNTIFS(Table20[Country],Tabela1[[#This Row],[Country]],Table20[200m Breaststroke Classification],"&gt;0")</f>
        <v>0</v>
      </c>
      <c r="JT190" s="6">
        <f>COUNTIFS(Table21[Country],Tabela1[[#This Row],[Country]],Table21[200m Breaststroke Classification],"&gt;0")</f>
        <v>0</v>
      </c>
      <c r="JU190" s="6">
        <f>COUNTIFS(Table20[Country],Tabela1[[#This Row],[Country]],Table20[100m Butterfly Classification],"&gt;0")</f>
        <v>0</v>
      </c>
      <c r="JV190" s="6">
        <f>COUNTIFS(Table21[Country],Tabela1[[#This Row],[Country]],Table21[100m Butterfly Classification],"&gt;0")</f>
        <v>0</v>
      </c>
      <c r="JW190" s="6">
        <f>COUNTIFS(Table20[Country],Tabela1[[#This Row],[Country]],Table20[200m Butterfly Classification],"&gt;0")</f>
        <v>0</v>
      </c>
      <c r="JX190" s="6">
        <f>COUNTIFS(Table21[Country],Tabela1[[#This Row],[Country]],Table21[200m Butterfly Classification],"&gt;0")</f>
        <v>0</v>
      </c>
      <c r="JY190" s="6">
        <f>COUNTIFS(Table20[Country],Tabela1[[#This Row],[Country]],Table20[200m Medley Classification],"&gt;0")</f>
        <v>0</v>
      </c>
      <c r="JZ190" s="6">
        <f>COUNTIFS(Table21[Country],Tabela1[[#This Row],[Country]],Table21[200m Medley Classification],"&gt;0")</f>
        <v>0</v>
      </c>
      <c r="KA190" s="6">
        <f>COUNTIFS(Table20[Country],Tabela1[[#This Row],[Country]],Table20[400m Medley Classification],"&gt;0")</f>
        <v>0</v>
      </c>
      <c r="KB190" s="6">
        <f>COUNTIFS(Table21[Country],Tabela1[[#This Row],[Country]],Table21[400m Medley Classification],"&gt;0")</f>
        <v>0</v>
      </c>
      <c r="KC190" s="6">
        <f>COUNTIFS(Table78[Country],Tabela1[[#This Row],[Country]],Table78[Men''s 4x100m Freestyle Relay Classification],"&gt;0")</f>
        <v>0</v>
      </c>
      <c r="KD190" s="6">
        <f>COUNTIFS(Table78[Country],Tabela1[[#This Row],[Country]],Table78[Women''s 4x100m Freestyle Relay Classification],"&gt;0")</f>
        <v>0</v>
      </c>
      <c r="KE190" s="6">
        <f>COUNTIFS(Table78[Country],Tabela1[[#This Row],[Country]],Table78[Men''s 4x200m Freestyle Relay Classification],"&gt;0")</f>
        <v>0</v>
      </c>
      <c r="KF190" s="6">
        <f>COUNTIFS(Table78[Country],Tabela1[[#This Row],[Country]],Table78[Women''s 4x200m Freestyle Relay Classification],"&gt;0")</f>
        <v>0</v>
      </c>
      <c r="KG190" s="6">
        <f>COUNTIFS(Table78[Country],Tabela1[[#This Row],[Country]],Table78[Men''s 4x100m Medley Relay Classification],"&gt;0")</f>
        <v>0</v>
      </c>
      <c r="KH190" s="6">
        <f>COUNTIFS(Table78[Country],Tabela1[[#This Row],[Country]],Table78[Women''s 4x100m Medley Relay Classification],"&gt;0")</f>
        <v>0</v>
      </c>
      <c r="KI190" s="6">
        <f>COUNTIFS(Table78[Country],Tabela1[[#This Row],[Country]],Table78[Mixed 4x100m Medley Relay Classification],"&gt;0")</f>
        <v>0</v>
      </c>
      <c r="KJ190" s="6">
        <f>COUNTIFS(Table20[Country],Tabela1[[#This Row],[Country]],Table20[10km Open Water Classification],"&gt;0")</f>
        <v>0</v>
      </c>
      <c r="KK190" s="6">
        <f>COUNTIFS(Table21[Country],Tabela1[[#This Row],[Country]],Table21[10km Open Water Classification],"&gt;0")</f>
        <v>0</v>
      </c>
      <c r="KL190" s="6">
        <f>COUNTIFS(Table22[Country],Tabela1[[#This Row],[Country]],Table22[Classification],"&gt;0")</f>
        <v>0</v>
      </c>
      <c r="KM190" s="6">
        <f>COUNTIFS(Table30[Country],Tabela1[[#This Row],[Country]],Table30[Classification],"&gt;0")</f>
        <v>0</v>
      </c>
      <c r="KN190" s="6">
        <f>COUNTIFS(Table55[Country],Tabela1[[#This Row],[Country]],Table55[Men''s Classification],"&gt;0")</f>
        <v>0</v>
      </c>
      <c r="KO190" s="6">
        <f>COUNTIFS(Table55[Country],Tabela1[[#This Row],[Country]],Table55[Women''s Classification],"&gt;0")</f>
        <v>0</v>
      </c>
      <c r="KP190" s="6">
        <f>COUNTIFS(Table56[Country],Tabela1[[#This Row],[Country]],Table56[Mixed Classification],"&gt;0")</f>
        <v>0</v>
      </c>
      <c r="KQ190" s="6">
        <f>COUNTIFS(Table29[Country],Tabela1[[#This Row],[Country]],Table29[58kg Classification],"&gt;0")</f>
        <v>0</v>
      </c>
      <c r="KR190" s="6">
        <f>COUNTIFS(Table29[Country],Tabela1[[#This Row],[Country]],Table29[68kg Classification],"&gt;0")</f>
        <v>0</v>
      </c>
      <c r="KS190" s="6">
        <f>COUNTIFS(Table29[Country],Tabela1[[#This Row],[Country]],Table29[80kg Classification],"&gt;0")</f>
        <v>0</v>
      </c>
      <c r="KT190" s="6">
        <f>COUNTIFS(Table29[Country],Tabela1[[#This Row],[Country]],Table29[Plus 80kg Classification],"&gt;0")</f>
        <v>0</v>
      </c>
      <c r="KU190" s="6">
        <f>COUNTIFS(Table34[Country],Tabela1[[#This Row],[Country]],Table34[49kg Classification],"&gt;0")</f>
        <v>0</v>
      </c>
      <c r="KV190" s="6">
        <f>COUNTIFS(Table34[Country],Tabela1[[#This Row],[Country]],Table34[57kg Classification],"&gt;0")</f>
        <v>0</v>
      </c>
      <c r="KW190" s="6">
        <f>COUNTIFS(Table34[Country],Tabela1[[#This Row],[Country]],Table34[67kg Classification],"&gt;0")</f>
        <v>0</v>
      </c>
      <c r="KX190" s="6">
        <f>COUNTIFS(Table34[Country],Tabela1[[#This Row],[Country]],Table34[Plus 67kg Classification],"&gt;0")</f>
        <v>0</v>
      </c>
      <c r="KY190" s="6">
        <f>COUNTIFS(Table57[Country],Tabela1[[#This Row],[Country]],Table57[Classification],"&gt;0")</f>
        <v>0</v>
      </c>
      <c r="KZ190" s="6">
        <f>COUNTIFS(Table58[Country],Tabela1[[#This Row],[Country]],Table58[Classification],"&gt;0")</f>
        <v>0</v>
      </c>
      <c r="LA190" s="6">
        <f>COUNTIFS(Table79[Country],Tabela1[[#This Row],[Country]],Table79[Men''s Classification],"&gt;0")</f>
        <v>0</v>
      </c>
      <c r="LB190" s="6">
        <f>COUNTIFS(Table79[Country],Tabela1[[#This Row],[Country]],Table79[Women''s Classification],"&gt;0")</f>
        <v>0</v>
      </c>
      <c r="LC190" s="6">
        <f>COUNTIFS(Table79[Country],Tabela1[[#This Row],[Country]],Table79[Mixed Classification],"&gt;0")</f>
        <v>0</v>
      </c>
      <c r="LD190" s="6">
        <f>COUNTIFS(Table65[Country],Tabela1[[#This Row],[Country]],Table65[Classification],"&gt;0")</f>
        <v>0</v>
      </c>
      <c r="LE190" s="6">
        <f>COUNTIFS(Table59[Country],Tabela1[[#This Row],[Country]],Table59[Classification],"&gt;0")</f>
        <v>0</v>
      </c>
      <c r="LF190" s="6">
        <f>COUNTIFS(Table87[Country],Tabela1[[#This Row],[Country]],Table87[Mixed Relay Classification],"&gt;0")</f>
        <v>0</v>
      </c>
      <c r="LG190" s="6">
        <f>COUNTIFS(Table91949698100[Country],Tabela1[[#This Row],[Country]],Table91949698100[Men''s Classification],"&gt;0")</f>
        <v>0</v>
      </c>
      <c r="LH190" s="6">
        <f>COUNTIFS(Table91949698100[Country],Tabela1[[#This Row],[Country]],Table91949698100[Women''s Classification],"&gt;0")</f>
        <v>0</v>
      </c>
      <c r="LI190" s="6">
        <f>COUNTIFS(Table91949698100102[Country],Tabela1[[#This Row],[Country]],Table91949698100102[Men''s Classification],"&gt;0")</f>
        <v>0</v>
      </c>
      <c r="LJ190" s="6">
        <f>COUNTIFS(Table91949698100102[Country],Tabela1[[#This Row],[Country]],Table91949698100102[Women''s Classification],"&gt;0")</f>
        <v>0</v>
      </c>
      <c r="LK190" s="6">
        <f>COUNTIFS(Table23[Country],Tabela1[[#This Row],[Country]],Table23[61kg Classification],"&gt;0")</f>
        <v>0</v>
      </c>
      <c r="LL190" s="6">
        <f>COUNTIFS(Table23[Country],Tabela1[[#This Row],[Country]],Table23[73kg Classification],"&gt;0")</f>
        <v>0</v>
      </c>
      <c r="LM190" s="6">
        <f>COUNTIFS(Table23[Country],Tabela1[[#This Row],[Country]],Table23[89kg Classification],"&gt;0")</f>
        <v>0</v>
      </c>
      <c r="LN190" s="6">
        <f>COUNTIFS(Table23[Country],Tabela1[[#This Row],[Country]],Table23[102kg Classification],"&gt;0")</f>
        <v>0</v>
      </c>
      <c r="LO190" s="6">
        <f>COUNTIFS(Table23[Country],Tabela1[[#This Row],[Country]],Table23[Plus 102kg Classification],"&gt;0")</f>
        <v>0</v>
      </c>
      <c r="LP190" s="6">
        <f>COUNTIFS(Table28[Country],Tabela1[[#This Row],[Country]],Table28[49kg Classification],"&gt;0")</f>
        <v>0</v>
      </c>
      <c r="LQ190" s="6">
        <f>COUNTIFS(Table28[Country],Tabela1[[#This Row],[Country]],Table28[59kg Classification],"&gt;0")</f>
        <v>0</v>
      </c>
      <c r="LR190" s="6">
        <f>COUNTIFS(Table28[Country],Tabela1[[#This Row],[Country]],Table28[71kg Classification],"&gt;0")</f>
        <v>0</v>
      </c>
      <c r="LS190" s="6">
        <f>COUNTIFS(Table28[Country],Tabela1[[#This Row],[Country]],Table28[81kg Classification],"&gt;0")</f>
        <v>0</v>
      </c>
      <c r="LT190" s="6">
        <f>COUNTIFS(Table28[Country],Tabela1[[#This Row],[Country]],Table28[Plus 81kg Classification],"&gt;0")</f>
        <v>0</v>
      </c>
      <c r="LU190" s="6">
        <f>COUNTIFS(Table24[Country],Tabela1[[#This Row],[Country]],Table24[Freestyle 57kg Classification],"&gt;0")</f>
        <v>0</v>
      </c>
      <c r="LV190" s="6">
        <f>COUNTIFS(Table24[Country],Tabela1[[#This Row],[Country]],Table24[Freestyle 65kg Classification],"&gt;0")</f>
        <v>0</v>
      </c>
      <c r="LW190" s="6">
        <f>COUNTIFS(Table24[Country],Tabela1[[#This Row],[Country]],Table24[Freestyle 74kg Classification],"&gt;0")</f>
        <v>0</v>
      </c>
      <c r="LX190" s="6">
        <f>COUNTIFS(Table24[Country],Tabela1[[#This Row],[Country]],Table24[Freestyle 86kg Classification],"&gt;0")</f>
        <v>0</v>
      </c>
      <c r="LY190" s="6">
        <f>COUNTIFS(Table24[Country],Tabela1[[#This Row],[Country]],Table24[Freestyle 97kg Classification],"&gt;0")</f>
        <v>0</v>
      </c>
      <c r="LZ190" s="6">
        <f>COUNTIFS(Table24[Country],Tabela1[[#This Row],[Country]],Table24[Freestyle 125kg Classification],"&gt;0")</f>
        <v>0</v>
      </c>
      <c r="MA190" s="6">
        <f>COUNTIFS(Table24[Country],Tabela1[[#This Row],[Country]],Table24[Greco-Roman 60kg Classification],"&gt;0")</f>
        <v>0</v>
      </c>
      <c r="MB190" s="6">
        <f>COUNTIFS(Table24[Country],Tabela1[[#This Row],[Country]],Table24[Greco-Roman 67kg Classification],"&gt;0")</f>
        <v>0</v>
      </c>
      <c r="MC190" s="6">
        <f>COUNTIFS(Table24[Country],Tabela1[[#This Row],[Country]],Table24[Greco-Roman 77kg Classification],"&gt;0")</f>
        <v>0</v>
      </c>
      <c r="MD190" s="6">
        <f>COUNTIFS(Table24[Country],Tabela1[[#This Row],[Country]],Table24[Greco-Roman 87kg Classification],"&gt;0")</f>
        <v>0</v>
      </c>
      <c r="ME190" s="6">
        <f>COUNTIFS(Table24[Country],Tabela1[[#This Row],[Country]],Table24[Greco-Roman 97kg Classification],"&gt;0")</f>
        <v>0</v>
      </c>
      <c r="MF190" s="6">
        <f>COUNTIFS(Table24[Country],Tabela1[[#This Row],[Country]],Table24[Greco-Roman 130kg Classification],"&gt;0")</f>
        <v>0</v>
      </c>
      <c r="MG190" s="6">
        <f>COUNTIFS(Table31[Country],Tabela1[[#This Row],[Country]],Table31[50kg Classification],"&gt;0")</f>
        <v>0</v>
      </c>
      <c r="MH190" s="6">
        <f>COUNTIFS(Table31[Country],Tabela1[[#This Row],[Country]],Table31[53kg Classification],"&gt;0")</f>
        <v>0</v>
      </c>
      <c r="MI190" s="6">
        <f>COUNTIFS(Table31[Country],Tabela1[[#This Row],[Country]],Table31[57kg Classification],"&gt;0")</f>
        <v>0</v>
      </c>
      <c r="MJ190" s="6">
        <f>COUNTIFS(Table31[Country],Tabela1[[#This Row],[Country]],Table31[62kg Classification],"&gt;0")</f>
        <v>0</v>
      </c>
      <c r="MK190" s="6">
        <f>COUNTIFS(Table31[Country],Tabela1[[#This Row],[Country]],Table31[68kg Classification],"&gt;0")</f>
        <v>0</v>
      </c>
      <c r="ML190" s="6">
        <f>COUNTIFS(Table31[Country],Tabela1[[#This Row],[Country]],Table31[76kg Classification],"&gt;0")</f>
        <v>0</v>
      </c>
      <c r="MM190" s="6">
        <f>COUNTIFS(Table102[Country],Tabela1[[#This Row],[Country]],Table102[Downhill Classification],"&gt;0")</f>
        <v>0</v>
      </c>
      <c r="MN190" s="6">
        <f>COUNTIFS(Table102105[Country],Tabela1[[#This Row],[Country]],Table102105[Downhill Classification],"&gt;0")</f>
        <v>0</v>
      </c>
      <c r="MO190" s="6">
        <f>COUNTIFS(Table102[Country],Tabela1[[#This Row],[Country]],Table102[Giant Slalom Classification],"&gt;0")</f>
        <v>0</v>
      </c>
      <c r="MP190" s="6">
        <f>COUNTIFS(Table102105[Country],Tabela1[[#This Row],[Country]],Table102105[Giant Slalom Classification],"&gt;0")</f>
        <v>0</v>
      </c>
      <c r="MQ190" s="6">
        <f>COUNTIFS(Table102[Country],Tabela1[[#This Row],[Country]],Table102[Slalom Classification],"&gt;0")</f>
        <v>0</v>
      </c>
      <c r="MR190" s="6">
        <f>COUNTIFS(Table102105[Country],Tabela1[[#This Row],[Country]],Table102105[Slalom Classification],"&gt;0")</f>
        <v>0</v>
      </c>
      <c r="MS190" s="6">
        <f>COUNTIFS(Table102[Country],Tabela1[[#This Row],[Country]],Table102[Super-G Classification],"&gt;0")</f>
        <v>0</v>
      </c>
      <c r="MT190" s="6">
        <f>COUNTIFS(Table102105[Country],Tabela1[[#This Row],[Country]],Table102105[Super-G Classification],"&gt;0")</f>
        <v>0</v>
      </c>
      <c r="MU190" s="6">
        <f>COUNTIFS(Table105[Country],Tabela1[[#This Row],[Country]],Table105[Men''s Combined Classification],"&gt;0")</f>
        <v>0</v>
      </c>
      <c r="MV190" s="6">
        <f>COUNTIFS(Table105[Country],Tabela1[[#This Row],[Country]],Table105[Women''s Combined Classification],"&gt;0")</f>
        <v>0</v>
      </c>
      <c r="MW190" s="6">
        <f>COUNTIFS(Table106[Country],Tabela1[[#This Row],[Country]],Table106[Individual Classification],"&gt;0")</f>
        <v>0</v>
      </c>
      <c r="MX190" s="6">
        <f>COUNTIFS(Table106109[Country],Tabela1[[#This Row],[Country]],Table106109[Individual Classification],"&gt;0")</f>
        <v>0</v>
      </c>
      <c r="MY190" s="6">
        <f>COUNTIFS(Table106[Country],Tabela1[[#This Row],[Country]],Table106[Mass Start Classification],"&gt;0")</f>
        <v>0</v>
      </c>
      <c r="MZ190" s="6">
        <f>COUNTIFS(Table106109[Country],Tabela1[[#This Row],[Country]],Table106109[Mass Start Classification],"&gt;0")</f>
        <v>0</v>
      </c>
      <c r="NA190" s="6">
        <f>COUNTIFS(Table106[Country],Tabela1[[#This Row],[Country]],Table106[Pursuit Classification],"&gt;0")</f>
        <v>0</v>
      </c>
      <c r="NB190" s="6">
        <f>COUNTIFS(Table106109[Country],Tabela1[[#This Row],[Country]],Table106109[Pursuit Classification],"&gt;0")</f>
        <v>0</v>
      </c>
      <c r="NC190" s="6">
        <f>COUNTIFS(Table106[Country],Tabela1[[#This Row],[Country]],Table106[Sprint Classification],"&gt;0")</f>
        <v>0</v>
      </c>
      <c r="ND190" s="6">
        <f>COUNTIFS(Table106109[Country],Tabela1[[#This Row],[Country]],Table106109[Sprint Classification],"&gt;0")</f>
        <v>0</v>
      </c>
      <c r="NE190" s="6">
        <f>COUNTIFS(Table109[Country],Tabela1[[#This Row],[Country]],Table109[Men''s Relay Classification],"&gt;0")</f>
        <v>0</v>
      </c>
      <c r="NF190" s="6">
        <f>COUNTIFS(Table109[Country],Tabela1[[#This Row],[Country]],Table109[Women''s Relay Classification],"&gt;0")</f>
        <v>0</v>
      </c>
      <c r="NG190" s="6">
        <f>COUNTIFS(Table109[Country],Tabela1[[#This Row],[Country]],Table109[Mixed Relay Classification],"&gt;0")</f>
        <v>0</v>
      </c>
      <c r="NH190" s="6">
        <f>COUNTIFS(Table110[Country],Tabela1[[#This Row],[Country]],Table110[Monobob Classification],"&gt;0")</f>
        <v>0</v>
      </c>
      <c r="NI190" s="6">
        <f>COUNTIFS(Table111[Country],Tabela1[[#This Row],[Country]],Table111[Men''s Classification],"&gt;0")</f>
        <v>0</v>
      </c>
      <c r="NJ190" s="6">
        <f>COUNTIFS(Table111[Country],Tabela1[[#This Row],[Country]],Table111[Women''s Classification],"&gt;0")</f>
        <v>0</v>
      </c>
      <c r="NK190" s="6">
        <f>COUNTIFS(Table112[Country],Tabela1[[#This Row],[Country]],Table112[Men''s Four Classification],"&gt;0")</f>
        <v>0</v>
      </c>
      <c r="NL190" s="6">
        <f>COUNTIFS(Table113[Country],Tabela1[[#This Row],[Country]],Table113[Classical Classification],"&gt;0")</f>
        <v>0</v>
      </c>
      <c r="NM190" s="6">
        <f>COUNTIFS(Table113116[Country],Tabela1[[#This Row],[Country]],Table113116[Classical Classification],"&gt;0")</f>
        <v>0</v>
      </c>
      <c r="NN190" s="6">
        <f>COUNTIFS(Table113[Country],Tabela1[[#This Row],[Country]],Table113[Freestyle Classification],"&gt;0")</f>
        <v>0</v>
      </c>
      <c r="NO190" s="6">
        <f>COUNTIFS(Table113116[Country],Tabela1[[#This Row],[Country]],Table113116[Freestyle Classification],"&gt;0")</f>
        <v>0</v>
      </c>
      <c r="NP190" s="6">
        <f>COUNTIFS(Table117[Country],Tabela1[[#This Row],[Country]],Table117[Men''s Relay Classification],"&gt;0")</f>
        <v>0</v>
      </c>
      <c r="NQ190" s="6">
        <f>COUNTIFS(Table117[Country],Tabela1[[#This Row],[Country]],Table117[Women''s Relay Classification],"&gt;0")</f>
        <v>0</v>
      </c>
      <c r="NR190" s="6">
        <f>COUNTIFS(Table113[Country],Tabela1[[#This Row],[Country]],Table113[Skiathlon Classification],"&gt;0")</f>
        <v>0</v>
      </c>
      <c r="NS190" s="6">
        <f>COUNTIFS(Table113116[Country],Tabela1[[#This Row],[Country]],Table113116[Skiathlon Classification],"&gt;0")</f>
        <v>0</v>
      </c>
      <c r="NT190" s="6">
        <f>COUNTIFS(Table113[Country],Tabela1[[#This Row],[Country]],Table113[Sprint Classification],"&gt;0")</f>
        <v>0</v>
      </c>
      <c r="NU190" s="6">
        <f>COUNTIFS(Table113116[Country],Tabela1[[#This Row],[Country]],Table113116[Sprint Classification],"&gt;0")</f>
        <v>0</v>
      </c>
      <c r="NV190" s="6">
        <f>COUNTIFS(Table116[Country],Tabela1[[#This Row],[Country]],Table116[Men''s Team Sprint Classification],"&gt;0")</f>
        <v>0</v>
      </c>
      <c r="NW190" s="6">
        <f>COUNTIFS(Table116[Country],Tabela1[[#This Row],[Country]],Table116[Women''s Team Sprint Classification],"&gt;0")</f>
        <v>0</v>
      </c>
      <c r="NX190" s="6">
        <f>COUNTIFS(Table119[Country],Tabela1[[#This Row],[Country]],Table119[Men''s Classification],"&gt;0")</f>
        <v>0</v>
      </c>
      <c r="NY190" s="6">
        <f>COUNTIFS(Table119[Country],Tabela1[[#This Row],[Country]],Table119[Women''s Classification],"&gt;0")</f>
        <v>0</v>
      </c>
      <c r="NZ190" s="6">
        <f>COUNTIFS(Table118[Country],Tabela1[[#This Row],[Country]],Table118[Mixed Classification],"&gt;0")</f>
        <v>0</v>
      </c>
      <c r="OA190" s="6">
        <f>COUNTIFS(Table120[Country],Tabela1[[#This Row],[Country]],Table120[Classification],"&gt;0")</f>
        <v>0</v>
      </c>
      <c r="OB190" s="6">
        <f>COUNTIFS(Table120123[Country],Tabela1[[#This Row],[Country]],Table120123[Classification],"&gt;0")</f>
        <v>0</v>
      </c>
      <c r="OC190" s="6">
        <f>COUNTIFS(Table123[Country],Tabela1[[#This Row],[Country]],Table123[Ice Dance Classification],"&gt;0")</f>
        <v>0</v>
      </c>
      <c r="OD190" s="6">
        <f>COUNTIFS(Table123[Country],Tabela1[[#This Row],[Country]],Table123[Pair Skating Classification],"&gt;0")</f>
        <v>0</v>
      </c>
      <c r="OE190" s="6">
        <f>COUNTIFS(Table124[Country],Tabela1[[#This Row],[Country]],Table124[Mixed Classification],"&gt;0")</f>
        <v>0</v>
      </c>
      <c r="OF190" s="6">
        <f>COUNTIFS(Table125[Country],Tabela1[[#This Row],[Country]],Table125[Aerials Classification],"&gt;0")</f>
        <v>0</v>
      </c>
      <c r="OG190" s="6">
        <f>COUNTIFS(Table125128[Country],Tabela1[[#This Row],[Country]],Table125128[Aerials Classification],"&gt;0")</f>
        <v>0</v>
      </c>
      <c r="OH190" s="6">
        <f>COUNTIFS(Table128[Country],Tabela1[[#This Row],[Country]],Table128[Mixed Aerials Classification],"&gt;0")</f>
        <v>0</v>
      </c>
      <c r="OI190" s="6">
        <f>COUNTIFS(Table125[Country],Tabela1[[#This Row],[Country]],Table125[Big Air Classification],"&gt;0")</f>
        <v>0</v>
      </c>
      <c r="OJ190" s="6">
        <f>COUNTIFS(Table125128[Country],Tabela1[[#This Row],[Country]],Table125128[Big Air Classification],"&gt;0")</f>
        <v>0</v>
      </c>
      <c r="OK190" s="6">
        <f>COUNTIFS(Table125[Country],Tabela1[[#This Row],[Country]],Table125[Dual Moguls Classification],"&gt;0")</f>
        <v>0</v>
      </c>
      <c r="OL190" s="6">
        <f>COUNTIFS(Table125128[Country],Tabela1[[#This Row],[Country]],Table125128[Dual Moguls Classification],"&gt;0")</f>
        <v>0</v>
      </c>
      <c r="OM190" s="6">
        <f>COUNTIFS(Table125[Country],Tabela1[[#This Row],[Country]],Table125[Halfpipe Classification],"&gt;0")</f>
        <v>0</v>
      </c>
      <c r="ON190" s="6">
        <f>COUNTIFS(Table125128[Country],Tabela1[[#This Row],[Country]],Table125128[Halfpipe Classification],"&gt;0")</f>
        <v>0</v>
      </c>
      <c r="OO190" s="6">
        <f>COUNTIFS(Table125[Country],Tabela1[[#This Row],[Country]],Table125[Moguls Classification],"&gt;0")</f>
        <v>0</v>
      </c>
      <c r="OP190" s="6">
        <f>COUNTIFS(Table125128[Country],Tabela1[[#This Row],[Country]],Table125128[Moguls Classification],"&gt;0")</f>
        <v>0</v>
      </c>
      <c r="OQ190" s="6">
        <f>COUNTIFS(Table125[Country],Tabela1[[#This Row],[Country]],Table125[Ski Cross Classification],"&gt;0")</f>
        <v>0</v>
      </c>
      <c r="OR190" s="6">
        <f>COUNTIFS(Table125128[Country],Tabela1[[#This Row],[Country]],Table125128[Ski Cross Classification],"&gt;0")</f>
        <v>0</v>
      </c>
      <c r="OS190" s="6">
        <f>COUNTIFS(Table125[Country],Tabela1[[#This Row],[Country]],Table125[Slopestyle Classification],"&gt;0")</f>
        <v>0</v>
      </c>
      <c r="OT190" s="6">
        <f>COUNTIFS(Table125128[Country],Tabela1[[#This Row],[Country]],Table125128[Slopestyle Classification],"&gt;0")</f>
        <v>0</v>
      </c>
      <c r="OU190" s="6">
        <f>COUNTIFS(Table119131[Country],Tabela1[[#This Row],[Country]],Table119131[Men''s Classification],"&gt;0")</f>
        <v>0</v>
      </c>
      <c r="OV190" s="6">
        <f>COUNTIFS(Table119131[Country],Tabela1[[#This Row],[Country]],Table119131[Women''s Classification],"&gt;0")</f>
        <v>0</v>
      </c>
      <c r="OW190" s="6">
        <f>COUNTIFS(Table131[Country],Tabela1[[#This Row],[Country]],Table131[Classification],"&gt;0")</f>
        <v>0</v>
      </c>
      <c r="OX190" s="6">
        <f>COUNTIFS(Table131134[Country],Tabela1[[#This Row],[Country]],Table131134[Classification],"&gt;0")</f>
        <v>0</v>
      </c>
      <c r="OY190" s="6">
        <f>COUNTIFS(Table134[Country],Tabela1[[#This Row],[Country]],Table134[Men''s Classification],"&gt;0")</f>
        <v>0</v>
      </c>
      <c r="OZ190" s="6">
        <f>COUNTIFS(Table134[Country],Tabela1[[#This Row],[Country]],Table134[Women''s Classification],"&gt;0")</f>
        <v>0</v>
      </c>
      <c r="PA190" s="6">
        <f>COUNTIFS(Table135[Country],Tabela1[[#This Row],[Country]],Table135[Mixed Relay Classification],"&gt;0")</f>
        <v>0</v>
      </c>
      <c r="PB190" s="6">
        <f>COUNTIFS(Table136[Country],Tabela1[[#This Row],[Country]],Table136[Individual Classification],"&gt;0")</f>
        <v>0</v>
      </c>
      <c r="PC190" s="6">
        <f>COUNTIFS(Table136[Country],Tabela1[[#This Row],[Country]],Table136[Sprint Classification],"&gt;0")</f>
        <v>0</v>
      </c>
      <c r="PD190" s="6">
        <f>COUNTIFS(Table137[Country],Tabela1[[#This Row],[Country]],Table137[Men''s Team Sprint Large Hill Classification],"&gt;0")</f>
        <v>0</v>
      </c>
      <c r="PE190" s="6">
        <f>COUNTIFS(Table138[Country],Tabela1[[#This Row],[Country]],Table138[500m Classification],"&gt;0")</f>
        <v>0</v>
      </c>
      <c r="PF190" s="6">
        <f>COUNTIFS(Table138141[Country],Tabela1[[#This Row],[Country]],Table138141[500m Classification],"&gt;0")</f>
        <v>0</v>
      </c>
      <c r="PG190" s="6">
        <f>COUNTIFS(Table138[Country],Tabela1[[#This Row],[Country]],Table138[1000m Classification],"&gt;0")</f>
        <v>0</v>
      </c>
      <c r="PH190" s="6">
        <f>COUNTIFS(Table138141[Country],Tabela1[[#This Row],[Country]],Table138141[1000m Classification],"&gt;0")</f>
        <v>0</v>
      </c>
      <c r="PI190" s="6">
        <f>COUNTIFS(Table138[Country],Tabela1[[#This Row],[Country]],Table138[1500m Classification],"&gt;0")</f>
        <v>0</v>
      </c>
      <c r="PJ190" s="6">
        <f>COUNTIFS(Table138141[Country],Tabela1[[#This Row],[Country]],Table138141[1500m Classification],"&gt;0")</f>
        <v>0</v>
      </c>
      <c r="PK190" s="6">
        <f>COUNTIFS(Table141[Country],Tabela1[[#This Row],[Country]],Table141[Men''s 5000m Relay Classification],"&gt;0")</f>
        <v>0</v>
      </c>
      <c r="PL190" s="6">
        <f>COUNTIFS(Table141[Country],Tabela1[[#This Row],[Country]],Table141[Women''s 3000m Relay Classification],"&gt;0")</f>
        <v>0</v>
      </c>
      <c r="PM190" s="6">
        <f>COUNTIFS(Table141[Country],Tabela1[[#This Row],[Country]],Table141[Mixed 2000m Relay Classification],"&gt;0")</f>
        <v>0</v>
      </c>
      <c r="PN190" s="6">
        <f>COUNTIFS(Table142[Country],Tabela1[[#This Row],[Country]],Table142[Classification],"&gt;0")</f>
        <v>0</v>
      </c>
      <c r="PO190" s="6">
        <f>COUNTIFS(Table142145[Country],Tabela1[[#This Row],[Country]],Table142145[Classification],"&gt;0")</f>
        <v>0</v>
      </c>
      <c r="PP190" s="6">
        <f>COUNTIFS(Tabela15[Country],Tabela1[[#This Row],[Country]],Tabela15[Mixed Team Classification],"&gt;0")</f>
        <v>0</v>
      </c>
      <c r="PQ190" s="6">
        <f>COUNTIFS(Table145[Country],Tabela1[[#This Row],[Country]],Table145[Large Hill Classification],"&gt;0")</f>
        <v>0</v>
      </c>
      <c r="PR190" s="6">
        <f>COUNTIFS(Table145[Country],Tabela1[[#This Row],[Country]],Table145[Normal Hill Classification],"&gt;0")</f>
        <v>0</v>
      </c>
      <c r="PS190" s="6">
        <f>COUNTIFS(Table145148[Country],Tabela1[[#This Row],[Country]],Table145148[Large Hill Classification],"&gt;0")</f>
        <v>0</v>
      </c>
      <c r="PT190" s="6">
        <f>COUNTIFS(Table145148[Country],Tabela1[[#This Row],[Country]],Table145148[Normal Hill Classification],"&gt;0")</f>
        <v>0</v>
      </c>
      <c r="PU190" s="6">
        <f>COUNTIFS(Table148[Country],Tabela1[[#This Row],[Country]],Table148[Men''s Super Team Classification],"&gt;0")</f>
        <v>0</v>
      </c>
      <c r="PV190" s="6">
        <f>COUNTIFS(Tabela114[Country],Tabela1[[#This Row],[Country]],Tabela114[Mixed Normal Hill Classification],"&gt;0")</f>
        <v>0</v>
      </c>
      <c r="PW190" s="6">
        <f>COUNTIFS(Tabela50[Country],Tabela1[[#This Row],[Country]],Tabela50[Sprint Classification],"&gt;0")</f>
        <v>0</v>
      </c>
      <c r="PX190" s="6">
        <f>COUNTIFS(Tabela50101[Country],Tabela1[[#This Row],[Country]],Tabela50101[Sprint Classification],"&gt;0")</f>
        <v>0</v>
      </c>
      <c r="PY190" s="6">
        <f>COUNTIFS(Tabela103[Country],Tabela1[[#This Row],[Country]],Tabela103[Mixed Relay Classification],"&gt;0")</f>
        <v>0</v>
      </c>
      <c r="PZ190" s="6">
        <f>COUNTIFS(Table149[Country],Tabela1[[#This Row],[Country]],Table149[Big Air Classification],"&gt;0")</f>
        <v>0</v>
      </c>
      <c r="QA190" s="6">
        <f>COUNTIFS(Table149152[Country],Tabela1[[#This Row],[Country]],Table149152[Big Air Classification],"&gt;0")</f>
        <v>0</v>
      </c>
      <c r="QB190" s="6">
        <f>COUNTIFS(Table149[Country],Tabela1[[#This Row],[Country]],Table149[Halfpipe Classification],"&gt;0")</f>
        <v>0</v>
      </c>
      <c r="QC190" s="6">
        <f>COUNTIFS(Table149152[Country],Tabela1[[#This Row],[Country]],Table149152[Halfpipe Classification],"&gt;0")</f>
        <v>0</v>
      </c>
      <c r="QD190" s="6">
        <f>COUNTIFS(Table149[Country],Tabela1[[#This Row],[Country]],Table149[Parallel Giant Slalom Classification],"&gt;0")</f>
        <v>0</v>
      </c>
      <c r="QE190" s="6">
        <f>COUNTIFS(Table149152[Country],Tabela1[[#This Row],[Country]],Table149152[Parallel Giant Slalom Classification],"&gt;0")</f>
        <v>0</v>
      </c>
      <c r="QF190" s="6">
        <f>COUNTIFS(Table149[Country],Tabela1[[#This Row],[Country]],Table149[Slopestyle Classification],"&gt;0")</f>
        <v>0</v>
      </c>
      <c r="QG190" s="6">
        <f>COUNTIFS(Table149152[Country],Tabela1[[#This Row],[Country]],Table149152[Slopestyle Classification],"&gt;0")</f>
        <v>0</v>
      </c>
      <c r="QH190" s="6">
        <f>COUNTIFS(Table149[Country],Tabela1[[#This Row],[Country]],Table149[Snowboard Cross Classification],"&gt;0")</f>
        <v>0</v>
      </c>
      <c r="QI190" s="6">
        <f>COUNTIFS(Table149152[Country],Tabela1[[#This Row],[Country]],Table149152[Snowboard Cross Classification],"&gt;0")</f>
        <v>0</v>
      </c>
      <c r="QJ190" s="6">
        <f>COUNTIFS(Table153[Country],Tabela1[[#This Row],[Country]],Table153[Mixed Team Snowboard Cross Classification],"&gt;0")</f>
        <v>0</v>
      </c>
      <c r="QK190" s="6">
        <f>COUNTIFS(Table154[Country],Tabela1[[#This Row],[Country]],Table154[500m Classification],"&gt;0")</f>
        <v>0</v>
      </c>
      <c r="QL190" s="6">
        <f>COUNTIFS(Table154157[Country],Tabela1[[#This Row],[Country]],Table154157[500m Classification],"&gt;0")</f>
        <v>0</v>
      </c>
      <c r="QM190" s="6">
        <f>COUNTIFS(Table154[Country],Tabela1[[#This Row],[Country]],Table154[1000m Classification],"&gt;0")</f>
        <v>0</v>
      </c>
      <c r="QN190" s="6">
        <f>COUNTIFS(Table154157[Country],Tabela1[[#This Row],[Country]],Table154157[1000m Classification],"&gt;0")</f>
        <v>0</v>
      </c>
      <c r="QO190" s="6">
        <f>COUNTIFS(Table154[Country],Tabela1[[#This Row],[Country]],Table154[1500m Classification],"&gt;0")</f>
        <v>0</v>
      </c>
      <c r="QP190" s="6">
        <f>COUNTIFS(Table154157[Country],Tabela1[[#This Row],[Country]],Table154157[1500m Classification],"&gt;0")</f>
        <v>0</v>
      </c>
      <c r="QQ190" s="6">
        <f>COUNTIFS(Table154157[Country],Tabela1[[#This Row],[Country]],Table154157[3000m Classification],"&gt;0")</f>
        <v>0</v>
      </c>
      <c r="QR190" s="6">
        <f>COUNTIFS(Table154[Country],Tabela1[[#This Row],[Country]],Table154[5000m Classification],"&gt;0")</f>
        <v>0</v>
      </c>
      <c r="QS190" s="6">
        <f>COUNTIFS(Table154157[Country],Tabela1[[#This Row],[Country]],Table154157[5000m Classification],"&gt;0")</f>
        <v>0</v>
      </c>
      <c r="QT190" s="6">
        <f>COUNTIFS(Table154[Country],Tabela1[[#This Row],[Country]],Table154[10000m Classification],"&gt;0")</f>
        <v>0</v>
      </c>
      <c r="QU190" s="6">
        <f>COUNTIFS(Table154[Country],Tabela1[[#This Row],[Country]],Table154[Mass Start Classification],"&gt;0")</f>
        <v>0</v>
      </c>
      <c r="QV190" s="6">
        <f>COUNTIFS(Table154157[Country],Tabela1[[#This Row],[Country]],Table154157[Mass Start Classification],"&gt;0")</f>
        <v>0</v>
      </c>
      <c r="QW190" s="6">
        <f>COUNTIFS(Table157[Country],Tabela1[[#This Row],[Country]],Table157[Men''s Pursuit Classification],"&gt;0")</f>
        <v>0</v>
      </c>
      <c r="QX190" s="6">
        <f>COUNTIFS(Table157[Country],Tabela1[[#This Row],[Country]],Table157[Women''s Pursuit Classification],"&gt;0")</f>
        <v>0</v>
      </c>
      <c r="QY190" s="3" t="s">
        <v>639</v>
      </c>
    </row>
    <row r="191" spans="1:467" x14ac:dyDescent="0.3">
      <c r="A191" s="6">
        <v>190</v>
      </c>
      <c r="B191" s="6" t="s">
        <v>644</v>
      </c>
      <c r="C191" t="e" vm="190">
        <f>IF(ISBLANK(Tabela1[[#This Row],[Image Link]]), "", _xlfn.IMAGE(Tabela1[[#This Row],[Image Link]],1,1))</f>
        <v>#VALUE!</v>
      </c>
      <c r="D191" s="6">
        <f>SUM(Tabela1[[#This Row],[Archery - Men''s Individual Recurve]:[Speed Skating - Women''s Team Pursuit]])</f>
        <v>0</v>
      </c>
      <c r="E191" s="6">
        <f>COUNTIF(Tabela1[[#This Row],[Archery - Men''s Individual Recurve]:[Speed Skating - Women''s Team Pursuit]],"&gt;0")</f>
        <v>0</v>
      </c>
      <c r="F191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91" s="6">
        <f>SUM(Tabela1[[#This Row],[Archery - Men''s Individual Recurve]:[Wrestling - Women''s Freestyle 76kg]])</f>
        <v>0</v>
      </c>
      <c r="H191" s="6">
        <f>SUM(Tabela1[[#This Row],[Alpine Skiing - Men''s Downhill]:[Speed Skating - Women''s Team Pursuit]])</f>
        <v>0</v>
      </c>
      <c r="I191" s="6">
        <f>Tabela1[[#This Row],[Summer Gold Medals]]+Tabela1[[#This Row],[Winter Gold Medals]]</f>
        <v>0</v>
      </c>
      <c r="J191" s="6">
        <f>Tabela1[[#This Row],[Summer Silver Medals]]+Tabela1[[#This Row],[Winter Silver Medals]]</f>
        <v>0</v>
      </c>
      <c r="K191" s="6">
        <f>Tabela1[[#This Row],[Summer Bronze Medals]]+Tabela1[[#This Row],[Winter Bronze Medals]]</f>
        <v>0</v>
      </c>
      <c r="L191" s="6">
        <f>SUM(Tabela1[[#This Row],[Total Gold Medals]:[Total Bronze Medals]])</f>
        <v>0</v>
      </c>
      <c r="M191" s="6"/>
      <c r="N191" s="6"/>
      <c r="O191" s="6"/>
      <c r="P191" s="6">
        <f>SUM(Tabela1[[#This Row],[Summer Gold Medals]:[Summer Bronze Medals]])</f>
        <v>0</v>
      </c>
      <c r="Q191" s="6"/>
      <c r="R191" s="6"/>
      <c r="S191" s="6"/>
      <c r="T191" s="6">
        <f>Tabela1[[#This Row],[Winter Gold Medals]]+Tabela1[[#This Row],[Winter Silver Medals]]+Tabela1[[#This Row],[Winter Bronze Medals]]</f>
        <v>0</v>
      </c>
      <c r="U191" s="7" t="e">
        <f>Tabela1[[#This Row],[Total Medals]]/Tabela1[[#This Row],[Total Quotas]]</f>
        <v>#DIV/0!</v>
      </c>
      <c r="V191" s="6">
        <f>COUNTIFS(Table3[Country],Tabela1[[#This Row],[Country]],Table3[Recurve Classification],"&gt;0")</f>
        <v>0</v>
      </c>
      <c r="W191" s="6">
        <f>COUNTIFS(Table33[Country],Tabela1[[#This Row],[Country]],Table33[Recurve Classification],"&gt;0")</f>
        <v>0</v>
      </c>
      <c r="X191" s="6">
        <f>COUNTIFS(Table35[Country],Tabela1[[#This Row],[Country]],Table35[Men''s Team Recurve Classification],"&gt;0")</f>
        <v>0</v>
      </c>
      <c r="Y191" s="6">
        <f>COUNTIFS(Table35[Country],Tabela1[[#This Row],[Country]],Table35[Women''s Team Recurve Classification],"&gt;0")</f>
        <v>0</v>
      </c>
      <c r="Z191" s="6">
        <f>COUNTIFS(Tabela88[Country],Tabela1[[#This Row],[Country]],Tabela88[Mixed Team Recurve Classification],"&gt;0")</f>
        <v>0</v>
      </c>
      <c r="AA191" s="6">
        <f>COUNTIFS(Table36[Country],Tabela1[[#This Row],[Country]],Table36[Classification],"&gt;0")</f>
        <v>0</v>
      </c>
      <c r="AB191" s="6">
        <f>COUNTIFS(Table37[Country],Tabela1[[#This Row],[Country]],Table37[Classification],"&gt;0")</f>
        <v>0</v>
      </c>
      <c r="AC191" s="6">
        <f>COUNTIFS(Table4[Country],Tabela1[[#This Row],[Country]],Table4[100m Classification],"&gt;0")</f>
        <v>0</v>
      </c>
      <c r="AD191" s="6">
        <f>COUNTIFS(Table5[Country],Tabela1[[#This Row],[Country]],Table5[100m Classification],"&gt;0")</f>
        <v>0</v>
      </c>
      <c r="AE191" s="6">
        <f>COUNTIFS(Table4[Country],Tabela1[[#This Row],[Country]],Table4[200m Classification],"&gt;0")</f>
        <v>0</v>
      </c>
      <c r="AF191" s="6">
        <f>COUNTIFS(Table5[Country],Tabela1[[#This Row],[Country]],Table5[200m Classification],"&gt;0")</f>
        <v>0</v>
      </c>
      <c r="AG191" s="6">
        <f>COUNTIFS(Table4[Country],Tabela1[[#This Row],[Country]],Table4[400m Classification],"&gt;0")</f>
        <v>0</v>
      </c>
      <c r="AH191" s="6">
        <f>COUNTIFS(Table5[Country],Tabela1[[#This Row],[Country]],Table5[400m Classification],"&gt;0")</f>
        <v>0</v>
      </c>
      <c r="AI191" s="6">
        <f>COUNTIFS(Table4[Country],Tabela1[[#This Row],[Country]],Table4[800m Classification],"&gt;0")</f>
        <v>0</v>
      </c>
      <c r="AJ191" s="6">
        <f>COUNTIFS(Table5[Country],Tabela1[[#This Row],[Country]],Table5[800m Classification],"&gt;0")</f>
        <v>0</v>
      </c>
      <c r="AK191" s="6">
        <f>COUNTIFS(Table4[Country],Tabela1[[#This Row],[Country]],Table4[1500m Classification],"&gt;0")</f>
        <v>0</v>
      </c>
      <c r="AL191" s="6">
        <f>COUNTIFS(Table5[Country],Tabela1[[#This Row],[Country]],Table5[1500m Classification],"&gt;0")</f>
        <v>0</v>
      </c>
      <c r="AM191" s="6">
        <f>COUNTIFS(Table4[Country],Tabela1[[#This Row],[Country]],Table4[5000m Classification],"&gt;0")</f>
        <v>0</v>
      </c>
      <c r="AN191" s="6">
        <f>COUNTIFS(Table5[Country],Tabela1[[#This Row],[Country]],Table5[5000m Classification],"&gt;0")</f>
        <v>0</v>
      </c>
      <c r="AO191" s="6">
        <f>COUNTIFS(Table4[Country],Tabela1[[#This Row],[Country]],Table4[10000m Classification],"&gt;0")</f>
        <v>0</v>
      </c>
      <c r="AP191" s="6">
        <f>COUNTIFS(Table5[Country],Tabela1[[#This Row],[Country]],Table5[10000m Classification],"&gt;0")</f>
        <v>0</v>
      </c>
      <c r="AQ191" s="6">
        <f>COUNTIFS(Table4[Country],Tabela1[[#This Row],[Country]],Table4[110m Hurdles Classification],"&gt;0")</f>
        <v>0</v>
      </c>
      <c r="AR191" s="6">
        <f>COUNTIFS(Table5[Country],Tabela1[[#This Row],[Country]],Table5[100m Hurdles Classification],"&gt;0")</f>
        <v>0</v>
      </c>
      <c r="AS191" s="6">
        <f>COUNTIFS(Table4[Country],Tabela1[[#This Row],[Country]],Table4[400m Hurdles Classification],"&gt;0")</f>
        <v>0</v>
      </c>
      <c r="AT191" s="6">
        <f>COUNTIFS(Table5[Country],Tabela1[[#This Row],[Country]],Table5[400m Hurdles Classification],"&gt;0")</f>
        <v>0</v>
      </c>
      <c r="AU191" s="6">
        <f>COUNTIFS(Table4[Country],Tabela1[[#This Row],[Country]],Table4[3000m Steeplechase Classification],"&gt;0")</f>
        <v>0</v>
      </c>
      <c r="AV191" s="6">
        <f>COUNTIFS(Table5[Country],Tabela1[[#This Row],[Country]],Table5[3000m Steeplechase Classification],"&gt;0")</f>
        <v>0</v>
      </c>
      <c r="AW191" s="6">
        <f>COUNTIFS(Table27[Country],Tabela1[[#This Row],[Country]],Table27[Men''s 4x100m Relay Classification],"&gt;0")</f>
        <v>0</v>
      </c>
      <c r="AX191" s="6">
        <f>COUNTIFS(Table27[Country],Tabela1[[#This Row],[Country]],Table27[Women''s 4x100m Relay Classification],"&gt;0")</f>
        <v>0</v>
      </c>
      <c r="AY191" s="6">
        <f>COUNTIFS(Table27[Country],Tabela1[[#This Row],[Country]],Table27[Men''s 4x400m Relay Classification],"&gt;0")</f>
        <v>0</v>
      </c>
      <c r="AZ191" s="6">
        <f>COUNTIFS(Table27[Country],Tabela1[[#This Row],[Country]],Table27[Women''s 4x400m Relay Classification],"&gt;0")</f>
        <v>0</v>
      </c>
      <c r="BA191" s="6">
        <f>COUNTIFS(Table27[Country],Tabela1[[#This Row],[Country]],Table27[Mixed 4x400m Relay Classification],"&gt;0")</f>
        <v>0</v>
      </c>
      <c r="BB191" s="6">
        <f>COUNTIFS(Table4[Country],Tabela1[[#This Row],[Country]],Table4[Marathon Classification],"&gt;0")</f>
        <v>0</v>
      </c>
      <c r="BC191" s="6">
        <f>COUNTIFS(Table5[Country],Tabela1[[#This Row],[Country]],Table5[Marathon Classification],"&gt;0")</f>
        <v>0</v>
      </c>
      <c r="BD191" s="6">
        <f>COUNTIFS(Table4[Country],Tabela1[[#This Row],[Country]],Table4[20km Race Walk Classification],"&gt;0")</f>
        <v>0</v>
      </c>
      <c r="BE191" s="6">
        <f>COUNTIFS(Table5[Country],Tabela1[[#This Row],[Country]],Table5[20km Race Walk Classification],"&gt;0")</f>
        <v>0</v>
      </c>
      <c r="BF191" s="6">
        <f>COUNTIFS(Tabela96[Country],Tabela1[[#This Row],[Country]],Tabela96[Mixed Marathon Race Walk Relay Classification],"&gt;0")</f>
        <v>0</v>
      </c>
      <c r="BG191" s="6">
        <f>COUNTIFS(Table4[Country],Tabela1[[#This Row],[Country]],Table4[Discus Throw Classification],"&gt;0")</f>
        <v>0</v>
      </c>
      <c r="BH191" s="6">
        <f>COUNTIFS(Table5[Country],Tabela1[[#This Row],[Country]],Table5[Discus Throw Classification],"&gt;0")</f>
        <v>0</v>
      </c>
      <c r="BI191" s="6">
        <f>COUNTIFS(Table4[Country],Tabela1[[#This Row],[Country]],Table4[Hammer Throw Classification],"&gt;0")</f>
        <v>0</v>
      </c>
      <c r="BJ191" s="6">
        <f>COUNTIFS(Table5[Country],Tabela1[[#This Row],[Country]],Table5[Hammer Throw Classification],"&gt;0")</f>
        <v>0</v>
      </c>
      <c r="BK191" s="6">
        <f>COUNTIFS(Table4[Country],Tabela1[[#This Row],[Country]],Table4[High Jump Classification],"&gt;0")</f>
        <v>0</v>
      </c>
      <c r="BL191" s="6">
        <f>COUNTIFS(Table5[Country],Tabela1[[#This Row],[Country]],Table5[High Jump Classification],"&gt;0")</f>
        <v>0</v>
      </c>
      <c r="BM191" s="6">
        <f>COUNTIFS(Table4[Country],Tabela1[[#This Row],[Country]],Table4[Javelin Throw Classification],"&gt;0")</f>
        <v>0</v>
      </c>
      <c r="BN191" s="6">
        <f>COUNTIFS(Table5[Country],Tabela1[[#This Row],[Country]],Table5[Javelin Throw Classification],"&gt;0")</f>
        <v>0</v>
      </c>
      <c r="BO191" s="6">
        <f>COUNTIFS(Table4[Country],Tabela1[[#This Row],[Country]],Table4[Long Jump Classification],"&gt;0")</f>
        <v>0</v>
      </c>
      <c r="BP191" s="6">
        <f>COUNTIFS(Table5[Country],Tabela1[[#This Row],[Country]],Table5[Long Jump Classification],"&gt;0")</f>
        <v>0</v>
      </c>
      <c r="BQ191" s="6">
        <f>COUNTIFS(Table4[Country],Tabela1[[#This Row],[Country]],Table4[Pole Vault Classification],"&gt;0")</f>
        <v>0</v>
      </c>
      <c r="BR191" s="6">
        <f>COUNTIFS(Table5[Country],Tabela1[[#This Row],[Country]],Table5[Pole Vault Classification],"&gt;0")</f>
        <v>0</v>
      </c>
      <c r="BS191" s="6">
        <f>COUNTIFS(Table4[Country],Tabela1[[#This Row],[Country]],Table4[Shot Put Classification],"&gt;0")</f>
        <v>0</v>
      </c>
      <c r="BT191" s="6">
        <f>COUNTIFS(Table5[Country],Tabela1[[#This Row],[Country]],Table5[Shot Put Classification],"&gt;0")</f>
        <v>0</v>
      </c>
      <c r="BU191" s="6">
        <f>COUNTIFS(Table4[Country],Tabela1[[#This Row],[Country]],Table4[Triple Jump Classification],"&gt;0")</f>
        <v>0</v>
      </c>
      <c r="BV191" s="6">
        <f>COUNTIFS(Table5[Country],Tabela1[[#This Row],[Country]],Table5[Triple Jump Classification],"&gt;0")</f>
        <v>0</v>
      </c>
      <c r="BW191" s="6">
        <f>COUNTIFS(Table4[Country],Tabela1[[#This Row],[Country]],Table4[Decathlon Classification],"&gt;0")</f>
        <v>0</v>
      </c>
      <c r="BX191" s="6">
        <f>COUNTIFS(Table5[Country],Tabela1[[#This Row],[Country]],Table5[Heptathlon Classification],"&gt;0")</f>
        <v>0</v>
      </c>
      <c r="BY191" s="6">
        <f>COUNTIFS(Table61[Country],Tabela1[[#This Row],[Country]],Table61[Classification],"&gt;0")</f>
        <v>0</v>
      </c>
      <c r="BZ191" s="6">
        <f>COUNTIFS(Table38[Country],Tabela1[[#This Row],[Country]],Table38[Classification],"&gt;0")</f>
        <v>0</v>
      </c>
      <c r="CA191" s="6">
        <f>COUNTIFS(Table39[Country],Tabela1[[#This Row],[Country]],Table39[Men''s Classification],"&gt;0")</f>
        <v>0</v>
      </c>
      <c r="CB191" s="6">
        <f>COUNTIFS(Table39[Country],Tabela1[[#This Row],[Country]],Table39[Women''s Classification],"&gt;0")</f>
        <v>0</v>
      </c>
      <c r="CC191" s="6">
        <f>COUNTIFS(Table39[Country],Tabela1[[#This Row],[Country]],Table39[Mixed Classification],"&gt;0")</f>
        <v>0</v>
      </c>
      <c r="CD191" s="6">
        <f>COUNTIFS(Table89[Country],Tabela1[[#This Row],[Country]],Table89[Men''s Classification],"&gt;0")</f>
        <v>0</v>
      </c>
      <c r="CE191" s="6">
        <f>COUNTIFS(Table89[Country],Tabela1[[#This Row],[Country]],Table89[Women''s Classification],"&gt;0")</f>
        <v>0</v>
      </c>
      <c r="CF191" s="6">
        <f>COUNTIFS(Table90[Country],Tabela1[[#This Row],[Country]],Table90[Men''s Classification],"&gt;0")</f>
        <v>0</v>
      </c>
      <c r="CG191" s="6">
        <f>COUNTIFS(Table90[Country],Tabela1[[#This Row],[Country]],Table90[Women''s Classification],"&gt;0")</f>
        <v>0</v>
      </c>
      <c r="CH191" s="6">
        <f>COUNTIFS(Table60[Country],Tabela1[[#This Row],[Country]],Table60[Men''s Classification],"&gt;0")</f>
        <v>0</v>
      </c>
      <c r="CI191" s="6">
        <f>COUNTIFS(Table60[Country],Tabela1[[#This Row],[Country]],Table60[Women''s Classification],"&gt;0")</f>
        <v>0</v>
      </c>
      <c r="CJ191" s="6">
        <f>COUNTIFS(Table6[Country],Tabela1[[#This Row],[Country]],Table6[51kg Classification],"&gt;0")</f>
        <v>0</v>
      </c>
      <c r="CK191" s="6">
        <f>COUNTIFS(Table6[Country],Tabela1[[#This Row],[Country]],Table6[57kg Classification],"&gt;0")</f>
        <v>0</v>
      </c>
      <c r="CL191" s="6">
        <f>COUNTIFS(Table6[Country],Tabela1[[#This Row],[Country]],Table6[63.5kg Classification],"&gt;0")</f>
        <v>0</v>
      </c>
      <c r="CM191" s="6">
        <f>COUNTIFS(Table6[Country],Tabela1[[#This Row],[Country]],Table6[71kg Classification],"&gt;0")</f>
        <v>0</v>
      </c>
      <c r="CN191" s="6">
        <f>COUNTIFS(Table6[Country],Tabela1[[#This Row],[Country]],Table6[80kg Classification],"&gt;0")</f>
        <v>0</v>
      </c>
      <c r="CO191" s="6">
        <f>COUNTIFS(Table6[Country],Tabela1[[#This Row],[Country]],Table6[92kg Classification],"&gt;0")</f>
        <v>0</v>
      </c>
      <c r="CP191" s="6">
        <f>COUNTIFS(Table6[Country],Tabela1[[#This Row],[Country]],Table6[Plus 92kg Classification],"&gt;0")</f>
        <v>0</v>
      </c>
      <c r="CQ191" s="6">
        <f>COUNTIFS(Table7[Country],Tabela1[[#This Row],[Country]],Table7[50kg Classification],"&gt;0")</f>
        <v>0</v>
      </c>
      <c r="CR191" s="6">
        <f>COUNTIFS(Table7[Country],Tabela1[[#This Row],[Country]],Table7[54kg Classification],"&gt;0")</f>
        <v>0</v>
      </c>
      <c r="CS191" s="6">
        <f>COUNTIFS(Table7[Country],Tabela1[[#This Row],[Country]],Table7[57kg Classification],"&gt;0")</f>
        <v>0</v>
      </c>
      <c r="CT191" s="6">
        <f>COUNTIFS(Table7[Country],Tabela1[[#This Row],[Country]],Table7[60kg Classification],"&gt;0")</f>
        <v>0</v>
      </c>
      <c r="CU191" s="6">
        <f>COUNTIFS(Table7[Country],Tabela1[[#This Row],[Country]],Table7[66kg Classification],"&gt;0")</f>
        <v>0</v>
      </c>
      <c r="CV191" s="6">
        <f>COUNTIFS(Table7[Country],Tabela1[[#This Row],[Country]],Table7[75kg Classification],"&gt;0")</f>
        <v>0</v>
      </c>
      <c r="CW191" s="6">
        <f>COUNTIFS(Tabela94[Country],Tabela1[[#This Row],[Country]],Tabela94[Classification],"&gt;0")</f>
        <v>0</v>
      </c>
      <c r="CX191" s="6">
        <f>COUNTIFS(Tabela9499[Country],Tabela1[[#This Row],[Country]],Tabela9499[Classification],"&gt;0")</f>
        <v>0</v>
      </c>
      <c r="CY191" s="6">
        <f>COUNTIFS(Tabela107[Country],Tabela1[[#This Row],[Country]],Tabela107[C1 Slalom Classification],"&gt;0")</f>
        <v>0</v>
      </c>
      <c r="CZ191" s="6">
        <f>COUNTIFS(Tabela107122[Country],Tabela1[[#This Row],[Country]],Tabela107122[C1 Slalom Classification],"&gt;0")</f>
        <v>0</v>
      </c>
      <c r="DA191" s="6">
        <f>COUNTIFS(Tabela107[Country],Tabela1[[#This Row],[Country]],Tabela107[K1 Slalom Classification],"&gt;0")</f>
        <v>0</v>
      </c>
      <c r="DB191" s="6">
        <f>COUNTIFS(Tabela107122[Country],Tabela1[[#This Row],[Country]],Tabela107122[K1 Slalom Classification],"&gt;0")</f>
        <v>0</v>
      </c>
      <c r="DC191" s="6">
        <f>COUNTIFS(Tabela107[Country],Tabela1[[#This Row],[Country]],Tabela107[Kayak Cross Slalom Classification],"&gt;0")</f>
        <v>0</v>
      </c>
      <c r="DD191" s="6">
        <f>COUNTIFS(Tabela107122[Country],Tabela1[[#This Row],[Country]],Tabela107122[Kayak Cross Slalom Classification],"&gt;0")</f>
        <v>0</v>
      </c>
      <c r="DE191" s="6">
        <f>COUNTIFS(Table8[Country],Tabela1[[#This Row],[Country]],Table8[C1 200m Classification],"&gt;0")</f>
        <v>0</v>
      </c>
      <c r="DF191" s="6">
        <f>COUNTIFS(Table40[Country],Tabela1[[#This Row],[Country]],Table40[C1 1000m Classification],"&gt;0")</f>
        <v>0</v>
      </c>
      <c r="DG191" s="6">
        <f>COUNTIFS(Table68[Country],Tabela1[[#This Row],[Country]],Table68[Men''s C2 500m Classification],"&gt;0")</f>
        <v>0</v>
      </c>
      <c r="DH191" s="6">
        <f>COUNTIFS(Table68[Country],Tabela1[[#This Row],[Country]],Table68[Women''s C2 500m Classification],"&gt;0")</f>
        <v>0</v>
      </c>
      <c r="DI191" s="6">
        <f>COUNTIFS(Table8[Country],Tabela1[[#This Row],[Country]],Table8[K1 500m Classification],"&gt;0")</f>
        <v>0</v>
      </c>
      <c r="DJ191" s="6">
        <f>COUNTIFS(Table40[Country],Tabela1[[#This Row],[Country]],Table40[K1 1000m Classification],"&gt;0")</f>
        <v>0</v>
      </c>
      <c r="DK191" s="6">
        <f>COUNTIFS(Table68[Country],Tabela1[[#This Row],[Country]],Table68[Men''s K2 500m Classification],"&gt;0")</f>
        <v>0</v>
      </c>
      <c r="DL191" s="6">
        <f>COUNTIFS(Table68[Country],Tabela1[[#This Row],[Country]],Table68[Women''s K2 500m Classification],"&gt;0")</f>
        <v>0</v>
      </c>
      <c r="DM191" s="6">
        <f>COUNTIFS(Table83[Country],Tabela1[[#This Row],[Country]],Table83[Men''s K4 500m Classification],"&gt;0")</f>
        <v>0</v>
      </c>
      <c r="DN191" s="6">
        <f>COUNTIFS(Table83[Country],Tabela1[[#This Row],[Country]],Table83[Women''s K4 500m Classification],"&gt;0")</f>
        <v>0</v>
      </c>
      <c r="DO191" s="6">
        <f>COUNTIFS(Tabela126[Country],Tabela1[[#This Row],[Country]],Tabela126[Classification],"&gt;0")</f>
        <v>0</v>
      </c>
      <c r="DP191" s="6">
        <f>COUNTIFS(Tabela126130[Country],Tabela1[[#This Row],[Country]],Tabela126130[Classification],"&gt;0")</f>
        <v>0</v>
      </c>
      <c r="DQ191" s="6">
        <f>COUNTIFS(Table70[Country],Tabela1[[#This Row],[Country]],Table70[Classification],"&gt;0")</f>
        <v>0</v>
      </c>
      <c r="DR191" s="6">
        <f>COUNTIFS(Table80[Country],Tabela1[[#This Row],[Country]],Table80[Classification],"&gt;0")</f>
        <v>0</v>
      </c>
      <c r="DS191" s="6">
        <f>COUNTIFS(Table66[Country],Tabela1[[#This Row],[Country]],Table66[Classification],"&gt;0")</f>
        <v>0</v>
      </c>
      <c r="DT191" s="6">
        <f>COUNTIFS(Table67[Country],Tabela1[[#This Row],[Country]],Table67[Classification],"&gt;0")</f>
        <v>0</v>
      </c>
      <c r="DU191" s="6">
        <f>COUNTIFS(Table69[Country],Tabela1[[#This Row],[Country]],Table69[Keirin Classification],"&gt;0")</f>
        <v>0</v>
      </c>
      <c r="DV191" s="6">
        <f>COUNTIFS(Table41[Country],Tabela1[[#This Row],[Country]],Table41[Keirin Classification],"&gt;0")</f>
        <v>0</v>
      </c>
      <c r="DW191" s="6">
        <f>COUNTIFS(Table84[Country],Tabela1[[#This Row],[Country]],Table84[Men''s Madison Classification],"&gt;0")</f>
        <v>0</v>
      </c>
      <c r="DX191" s="6">
        <f>COUNTIFS(Table84[Country],Tabela1[[#This Row],[Country]],Table84[Women''s Madison Classification],"&gt;0")</f>
        <v>0</v>
      </c>
      <c r="DY191" s="6">
        <f>COUNTIFS(Table69[Country],Tabela1[[#This Row],[Country]],Table69[Omnium Classification],"&gt;0")</f>
        <v>0</v>
      </c>
      <c r="DZ191" s="6">
        <f>COUNTIFS(Table41[Country],Tabela1[[#This Row],[Country]],Table41[Omnium Classification],"&gt;0")</f>
        <v>0</v>
      </c>
      <c r="EA191" s="6">
        <f>COUNTIFS(Table9[Country],Tabela1[[#This Row],[Country]],Table9[Road Race Classification],"&gt;0")</f>
        <v>0</v>
      </c>
      <c r="EB191" s="6">
        <f>COUNTIFS(Table14[Country],Tabela1[[#This Row],[Country]],Table14[Road Race Classification],"&gt;0")</f>
        <v>0</v>
      </c>
      <c r="EC191" s="6">
        <f>COUNTIFS(Table69[Country],Tabela1[[#This Row],[Country]],Table69[Sprint Classification],"&gt;0")</f>
        <v>0</v>
      </c>
      <c r="ED191" s="6">
        <f>COUNTIFS(Table41[Country],Tabela1[[#This Row],[Country]],Table41[Sprint Classification],"&gt;0")</f>
        <v>0</v>
      </c>
      <c r="EE191" s="6">
        <f>COUNTIFS(Table85[Country],Tabela1[[#This Row],[Country]],Table85[Men''s Sprint Classification],"&gt;0")</f>
        <v>0</v>
      </c>
      <c r="EF191" s="6">
        <f>COUNTIFS(Table85[Country],Tabela1[[#This Row],[Country]],Table85[Women''s Sprint Classification],"&gt;0")</f>
        <v>0</v>
      </c>
      <c r="EG191" s="6">
        <f>COUNTIFS(Table85[Country],Tabela1[[#This Row],[Country]],Table85[Men''s Pursuit Classification],"&gt;0")</f>
        <v>0</v>
      </c>
      <c r="EH191" s="6">
        <f>COUNTIFS(Table85[Country],Tabela1[[#This Row],[Country]],Table85[Women''s Pursuit Classification],"&gt;0")</f>
        <v>0</v>
      </c>
      <c r="EI191" s="6">
        <f>COUNTIFS(Table9[Country],Tabela1[[#This Row],[Country]],Table9[Time-Trial Classification],"&gt;0")</f>
        <v>0</v>
      </c>
      <c r="EJ191" s="6">
        <f>COUNTIFS(Table14[Country],Tabela1[[#This Row],[Country]],Table14[Time-Trial Classification],"&gt;0")</f>
        <v>0</v>
      </c>
      <c r="EK191" s="6">
        <f>COUNTIFS(Table42[Country],Tabela1[[#This Row],[Country]],Table42[Springboard Classification],"&gt;0")</f>
        <v>0</v>
      </c>
      <c r="EL191" s="6">
        <f>COUNTIFS(Table43[Country],Tabela1[[#This Row],[Country]],Table43[Springboard Classification],"&gt;0")</f>
        <v>0</v>
      </c>
      <c r="EM191" s="6">
        <f>COUNTIFS(Table42[Country],Tabela1[[#This Row],[Country]],Table42[Platform Classification],"&gt;0")</f>
        <v>0</v>
      </c>
      <c r="EN191" s="6">
        <f>COUNTIFS(Table43[Country],Tabela1[[#This Row],[Country]],Table43[Platform Classification],"&gt;0")</f>
        <v>0</v>
      </c>
      <c r="EO191" s="6">
        <f>COUNTIFS(Table86[Country],Tabela1[[#This Row],[Country]],Table86[Men''s Synchronized Springboard Classification],"&gt;0")</f>
        <v>0</v>
      </c>
      <c r="EP191" s="6">
        <f>COUNTIFS(Table86[Country],Tabela1[[#This Row],[Country]],Table86[Women''s Synchronized Springboard Classification],"&gt;0")</f>
        <v>0</v>
      </c>
      <c r="EQ191" s="6">
        <f>COUNTIFS(Table86[Country],Tabela1[[#This Row],[Country]],Table86[Men''s Synchronized Platform Classification],"&gt;0")</f>
        <v>0</v>
      </c>
      <c r="ER191" s="6">
        <f>COUNTIFS(Table86[Country],Tabela1[[#This Row],[Country]],Table86[Women''s Synchronized Platform Classification],"&gt;0")</f>
        <v>0</v>
      </c>
      <c r="ES191" s="6">
        <f>COUNTIFS(Table44[Country],Tabela1[[#This Row],[Country]],Table44[Dressage Classification],"&gt;0")</f>
        <v>0</v>
      </c>
      <c r="ET191" s="6">
        <f>COUNTIFS(Table45[Country],Tabela1[[#This Row],[Country]],Table45[Dressage Classification],"&gt;0")</f>
        <v>0</v>
      </c>
      <c r="EU191" s="6">
        <f>COUNTIFS(Table44[Country],Tabela1[[#This Row],[Country]],Table44[Eventing Classification],"&gt;0")</f>
        <v>0</v>
      </c>
      <c r="EV191" s="6">
        <f>COUNTIFS(Table45[Country],Tabela1[[#This Row],[Country]],Table45[Eventing Classification],"&gt;0")</f>
        <v>0</v>
      </c>
      <c r="EW191" s="6">
        <f>COUNTIFS(Table44[Country],Tabela1[[#This Row],[Country]],Table44[Jumping Classification],"&gt;0")</f>
        <v>0</v>
      </c>
      <c r="EX191" s="6">
        <f>COUNTIFS(Table45[Country],Tabela1[[#This Row],[Country]],Table45[Jumping Classification],"&gt;0")</f>
        <v>0</v>
      </c>
      <c r="EY191" s="6">
        <f>COUNTIFS(Table10[Country],Tabela1[[#This Row],[Country]],Table10[Épée Classification],"&gt;0")</f>
        <v>0</v>
      </c>
      <c r="EZ191" s="6">
        <f>COUNTIFS(Table11[Country],Tabela1[[#This Row],[Country]],Table11[Épée Classification],"&gt;0")</f>
        <v>0</v>
      </c>
      <c r="FA191" s="6">
        <f>COUNTIFS(Table46[Country],Tabela1[[#This Row],[Country]],Table46[Men''s Épée Classification],"&gt;0")</f>
        <v>0</v>
      </c>
      <c r="FB191" s="6">
        <f>COUNTIFS(Table46[Country],Tabela1[[#This Row],[Country]],Table46[Women''s Épée Classification],"&gt;0")</f>
        <v>0</v>
      </c>
      <c r="FC191" s="6">
        <f>COUNTIFS(Table10[Country],Tabela1[[#This Row],[Country]],Table10[Foil Classification],"&gt;0")</f>
        <v>0</v>
      </c>
      <c r="FD191" s="6">
        <f>COUNTIFS(Table11[Country],Tabela1[[#This Row],[Country]],Table11[Foil Classification],"&gt;0")</f>
        <v>0</v>
      </c>
      <c r="FE191" s="6">
        <f>COUNTIFS(Table46[Country],Tabela1[[#This Row],[Country]],Table46[Men''s Foil Classification],"&gt;0")</f>
        <v>0</v>
      </c>
      <c r="FF191" s="6">
        <f>COUNTIFS(Table46[Country],Tabela1[[#This Row],[Country]],Table46[Women''s Foil Classification],"&gt;0")</f>
        <v>0</v>
      </c>
      <c r="FG191" s="6">
        <f>COUNTIFS(Table10[Country],Tabela1[[#This Row],[Country]],Table10[Sabre Classification],"&gt;0")</f>
        <v>0</v>
      </c>
      <c r="FH191" s="6">
        <f>COUNTIFS(Table11[Country],Tabela1[[#This Row],[Country]],Table11[Sabre Classification],"&gt;0")</f>
        <v>0</v>
      </c>
      <c r="FI191" s="6">
        <f>COUNTIFS(Table46[Country],Tabela1[[#This Row],[Country]],Table46[Men''s Sabre Classification],"&gt;0")</f>
        <v>0</v>
      </c>
      <c r="FJ191" s="6">
        <f>COUNTIFS(Table46[Country],Tabela1[[#This Row],[Country]],Table46[Women''s Sabre Classification],"&gt;0")</f>
        <v>0</v>
      </c>
      <c r="FK191" s="6">
        <f>COUNTIFS(Table91[Country],Tabela1[[#This Row],[Country]],Table91[Men''s Classification],"&gt;0")</f>
        <v>0</v>
      </c>
      <c r="FL191" s="6">
        <f>COUNTIFS(Table91[Country],Tabela1[[#This Row],[Country]],Table91[Women''s Classification],"&gt;0")</f>
        <v>0</v>
      </c>
      <c r="FM191" s="6">
        <f>COUNTIFS(Table9194[Country],Tabela1[[#This Row],[Country]],Table9194[Men''s Classification],"&gt;0")</f>
        <v>0</v>
      </c>
      <c r="FN191" s="6">
        <f>COUNTIFS(Table9194[Country],Tabela1[[#This Row],[Country]],Table9194[Women''s Classification],"&gt;0")</f>
        <v>0</v>
      </c>
      <c r="FO191" s="6">
        <f>COUNTIFS(Table71[Country],Tabela1[[#This Row],[Country]],Table71[Classification],"&gt;0")</f>
        <v>0</v>
      </c>
      <c r="FP191" s="6">
        <f>COUNTIFS(Table62[Country],Tabela1[[#This Row],[Country]],Table62[Classification],"&gt;0")</f>
        <v>0</v>
      </c>
      <c r="FQ191" s="6">
        <f>COUNTIFS(Table47[Country],Tabela1[[#This Row],[Country]],Table47[All-Around Classification],"&gt;0")</f>
        <v>0</v>
      </c>
      <c r="FR191" s="6">
        <f>COUNTIFS(Table48[Country],Tabela1[[#This Row],[Country]],Table48[All-Around Classification],"&gt;0")</f>
        <v>0</v>
      </c>
      <c r="FS191" s="6">
        <f>COUNTIFS(Table81[Country],Tabela1[[#This Row],[Country]],Table81[Men''s All-Around Classification],"&gt;0")</f>
        <v>0</v>
      </c>
      <c r="FT191" s="6">
        <f>COUNTIFS(Table81[Country],Tabela1[[#This Row],[Country]],Table81[Women''s All-Around Classification],"&gt;0")</f>
        <v>0</v>
      </c>
      <c r="FU191" s="6">
        <f>COUNTIFS(Table48[Country],Tabela1[[#This Row],[Country]],Table48[Balance Beam Classification],"&gt;0")</f>
        <v>0</v>
      </c>
      <c r="FV191" s="6">
        <f>COUNTIFS(Table47[Country],Tabela1[[#This Row],[Country]],Table47[Floor Exercise Classification],"&gt;0")</f>
        <v>0</v>
      </c>
      <c r="FW191" s="6">
        <f>COUNTIFS(Table48[Country],Tabela1[[#This Row],[Country]],Table48[Floor Exercise Classification],"&gt;0")</f>
        <v>0</v>
      </c>
      <c r="FX191" s="6">
        <f>COUNTIFS(Table47[Country],Tabela1[[#This Row],[Country]],Table47[Horizontal Bar Classification],"&gt;0")</f>
        <v>0</v>
      </c>
      <c r="FY191" s="6">
        <f>COUNTIFS(Table47[Country],Tabela1[[#This Row],[Country]],Table47[Parallel Bars Classification],"&gt;0")</f>
        <v>0</v>
      </c>
      <c r="FZ191" s="6">
        <f>COUNTIFS(Table47[Country],Tabela1[[#This Row],[Country]],Table47[Pommel Horse Classification],"&gt;0")</f>
        <v>0</v>
      </c>
      <c r="GA191" s="6">
        <f>COUNTIFS(Table47[Country],Tabela1[[#This Row],[Country]],Table47[Rings Classification],"&gt;0")</f>
        <v>0</v>
      </c>
      <c r="GB191" s="6">
        <f>COUNTIFS(Tabela132[Country],Tabela1[[#This Row],[Country]],Tabela132[Classification],"&gt;0")</f>
        <v>0</v>
      </c>
      <c r="GC191" s="6">
        <f>COUNTIFS(Tabela139[Country],Tabela1[[#This Row],[Country]],Tabela139[Classification],"&gt;0")</f>
        <v>0</v>
      </c>
      <c r="GD191" s="6">
        <f>COUNTIFS(Table48[Country],Tabela1[[#This Row],[Country]],Table48[Uneven Bars Classification],"&gt;0")</f>
        <v>0</v>
      </c>
      <c r="GE191" s="6">
        <f>COUNTIFS(Table47[Country],Tabela1[[#This Row],[Country]],Table47[Vault Classification],"&gt;0")</f>
        <v>0</v>
      </c>
      <c r="GF191" s="6">
        <f>COUNTIFS(Table48[Country],Tabela1[[#This Row],[Country]],Table48[Vault Classification],"&gt;0")</f>
        <v>0</v>
      </c>
      <c r="GG191" s="6">
        <f>COUNTIFS(Table919496[Country],Tabela1[[#This Row],[Country]],Table919496[Men''s Classification],"&gt;0")</f>
        <v>0</v>
      </c>
      <c r="GH191" s="6">
        <f>COUNTIFS(Table919496[Country],Tabela1[[#This Row],[Country]],Table919496[Women''s Classification],"&gt;0")</f>
        <v>0</v>
      </c>
      <c r="GI191" s="6">
        <f>COUNTIFS(Table12[Country],Tabela1[[#This Row],[Country]],Table12[60kg Classification],"&gt;0")</f>
        <v>0</v>
      </c>
      <c r="GJ191" s="6">
        <f>COUNTIFS(Table12[Country],Tabela1[[#This Row],[Country]],Table12[66kg Classification],"&gt;0")</f>
        <v>0</v>
      </c>
      <c r="GK191" s="6">
        <f>COUNTIFS(Table12[Country],Tabela1[[#This Row],[Country]],Table12[73kg Classification],"&gt;0")</f>
        <v>0</v>
      </c>
      <c r="GL191" s="6">
        <f>COUNTIFS(Table12[Country],Tabela1[[#This Row],[Country]],Table12[81kg Classification],"&gt;0")</f>
        <v>0</v>
      </c>
      <c r="GM191" s="6">
        <f>COUNTIFS(Table12[Country],Tabela1[[#This Row],[Country]],Table12[90kg Classification],"&gt;0")</f>
        <v>0</v>
      </c>
      <c r="GN191" s="6">
        <f>COUNTIFS(Table12[Country],Tabela1[[#This Row],[Country]],Table12[100kg Classification],"&gt;0")</f>
        <v>0</v>
      </c>
      <c r="GO191" s="6">
        <f>COUNTIFS(Table12[Country],Tabela1[[#This Row],[Country]],Table12[Plus 100kg Classification],"&gt;0")</f>
        <v>0</v>
      </c>
      <c r="GP191" s="6">
        <f>COUNTIFS(Table13[Country],Tabela1[[#This Row],[Country]],Table13[48kg Classification],"&gt;0")</f>
        <v>0</v>
      </c>
      <c r="GQ191" s="6">
        <f>COUNTIFS(Table13[Country],Tabela1[[#This Row],[Country]],Table13[52kg Classification],"&gt;0")</f>
        <v>0</v>
      </c>
      <c r="GR191" s="6">
        <f>COUNTIFS(Table13[Country],Tabela1[[#This Row],[Country]],Table13[57kg Classification],"&gt;0")</f>
        <v>0</v>
      </c>
      <c r="GS191" s="6">
        <f>COUNTIFS(Table13[Country],Tabela1[[#This Row],[Country]],Table13[63kg Classification],"&gt;0")</f>
        <v>0</v>
      </c>
      <c r="GT191" s="6">
        <f>COUNTIFS(Table13[Country],Tabela1[[#This Row],[Country]],Table13[70kg Classification],"&gt;0")</f>
        <v>0</v>
      </c>
      <c r="GU191" s="6">
        <f>COUNTIFS(Table13[Country],Tabela1[[#This Row],[Country]],Table13[78kg Classification],"&gt;0")</f>
        <v>0</v>
      </c>
      <c r="GV191" s="6">
        <f>COUNTIFS(Table13[Country],Tabela1[[#This Row],[Country]],Table13[Plus 78kg Classification],"&gt;0")</f>
        <v>0</v>
      </c>
      <c r="GW191" s="6">
        <f>COUNTIFS(Table82[Country],Tabela1[[#This Row],[Country]],Table82[Mixed Classification],"&gt;0")</f>
        <v>0</v>
      </c>
      <c r="GX191" s="6">
        <f>COUNTIFS(Table51[Country],Tabela1[[#This Row],[Country]],Table51[Classification],"&gt;0")</f>
        <v>0</v>
      </c>
      <c r="GY191" s="6">
        <f>COUNTIFS(Table52[Country],Tabela1[[#This Row],[Country]],Table52[Classification],"&gt;0")</f>
        <v>0</v>
      </c>
      <c r="GZ191" s="6">
        <f>COUNTIFS(Table32[Country],Tabela1[[#This Row],[Country]],Table32[All-Around Classification],"&gt;0")</f>
        <v>0</v>
      </c>
      <c r="HA191" s="6">
        <f>COUNTIFS(Table49[Country],Tabela1[[#This Row],[Country]],Table49[All-Around Classification],"&gt;0")</f>
        <v>0</v>
      </c>
      <c r="HB191" s="6">
        <f>COUNTIFS(Table26[Country],Tabela1[[#This Row],[Country]],Table26[Single Sculls Classification],"&gt;0")</f>
        <v>0</v>
      </c>
      <c r="HC191" s="6">
        <f>COUNTIFS(Table63[Country],Tabela1[[#This Row],[Country]],Table63[Single Sculls Classification],"&gt;0")</f>
        <v>0</v>
      </c>
      <c r="HD191" s="6">
        <f>COUNTIFS(Table16[Country],Tabela1[[#This Row],[Country]],Table16[Men''s Double Sculls Classification],"&gt;0")</f>
        <v>0</v>
      </c>
      <c r="HE191" s="6">
        <f>COUNTIFS(Table16[Country],Tabela1[[#This Row],[Country]],Table16[Women''s Double Sculls Classification],"&gt;0")</f>
        <v>0</v>
      </c>
      <c r="HF191" s="6">
        <f>COUNTIFS(Table72[Country],Tabela1[[#This Row],[Country]],Table72[Men''s Quadruple Sculls Classification],"&gt;0")</f>
        <v>0</v>
      </c>
      <c r="HG191" s="6">
        <f>COUNTIFS(Table72[Country],Tabela1[[#This Row],[Country]],Table72[Women''s Quadruple Sculls Classification],"&gt;0")</f>
        <v>0</v>
      </c>
      <c r="HH191" s="6">
        <f>COUNTIFS(Table16[Country],Tabela1[[#This Row],[Country]],Table16[Men''s Coxless Pairs Classification],"&gt;0")</f>
        <v>0</v>
      </c>
      <c r="HI191" s="6">
        <f>COUNTIFS(Table16[Country],Tabela1[[#This Row],[Country]],Table16[Women''s Coxless Pairs Classification],"&gt;0")</f>
        <v>0</v>
      </c>
      <c r="HJ191" s="6">
        <f>COUNTIFS(Table72[Country],Tabela1[[#This Row],[Country]],Table72[Men''s Coxless Fours Classification],"&gt;0")</f>
        <v>0</v>
      </c>
      <c r="HK191" s="6">
        <f>COUNTIFS(Table72[Country],Tabela1[[#This Row],[Country]],Table72[Women''s Coxless Fours Classification],"&gt;0")</f>
        <v>0</v>
      </c>
      <c r="HL191" s="6">
        <f>COUNTIFS(Table72[Country],Tabela1[[#This Row],[Country]],Table72[Men''s Eights Classification],"&gt;0")</f>
        <v>0</v>
      </c>
      <c r="HM191" s="6">
        <f>COUNTIFS(Table72[Country],Tabela1[[#This Row],[Country]],Table72[Women''s Eights Classification],"&gt;0")</f>
        <v>0</v>
      </c>
      <c r="HN191" s="6">
        <f>COUNTIFS(Table16[Country],Tabela1[[#This Row],[Country]],Table16[Men''s Lwt. Double Sculls Classification],"&gt;0")</f>
        <v>0</v>
      </c>
      <c r="HO191" s="6">
        <f>COUNTIFS(Table16[Country],Tabela1[[#This Row],[Country]],Table16[Women''s Lwt. Double Sculls Classification],"&gt;0")</f>
        <v>0</v>
      </c>
      <c r="HP191" s="6">
        <f>COUNTIFS(Table91949698[Country],Tabela1[[#This Row],[Country]],Table91949698[Men''s Classification],"&gt;0")</f>
        <v>0</v>
      </c>
      <c r="HQ191" s="6">
        <f>COUNTIFS(Table91949698[Country],Tabela1[[#This Row],[Country]],Table91949698[Women''s Classification],"&gt;0")</f>
        <v>0</v>
      </c>
      <c r="HR191" s="6">
        <f>COUNTIFS(Table25[Country],Tabela1[[#This Row],[Country]],Table25[Mixed 470 Classification],"&gt;0")</f>
        <v>0</v>
      </c>
      <c r="HS191" s="6">
        <f>COUNTIFS(Table25[Country],Tabela1[[#This Row],[Country]],Table25[Men''s 49er Classification],"&gt;0")</f>
        <v>0</v>
      </c>
      <c r="HT191" s="6">
        <f>COUNTIFS(Table25[Country],Tabela1[[#This Row],[Country]],Table25[Women''s 49er FX Classification],"&gt;0")</f>
        <v>0</v>
      </c>
      <c r="HU191" s="6">
        <f>COUNTIFS(Table17[Country],Tabela1[[#This Row],[Country]],Table17[Formula Kite Classification],"&gt;0")</f>
        <v>0</v>
      </c>
      <c r="HV191" s="6">
        <f>COUNTIFS(Table18[Country],Tabela1[[#This Row],[Country]],Table18[Formula Kite Classification],"&gt;0")</f>
        <v>0</v>
      </c>
      <c r="HW191" s="6">
        <f>COUNTIFS(Table17[Country],Tabela1[[#This Row],[Country]],Table17[ILCA 7 Classification],"&gt;0")</f>
        <v>0</v>
      </c>
      <c r="HX191" s="6">
        <f>COUNTIFS(Table18[Country],Tabela1[[#This Row],[Country]],Table18[ILCA 6 Classification],"&gt;0")</f>
        <v>0</v>
      </c>
      <c r="HY191" s="6">
        <f>COUNTIFS(Table17[Country],Tabela1[[#This Row],[Country]],Table17[IQFoil Classification],"&gt;0")</f>
        <v>0</v>
      </c>
      <c r="HZ191" s="6">
        <f>COUNTIFS(Table18[Country],Tabela1[[#This Row],[Country]],Table18[IQFoil Classification],"&gt;0")</f>
        <v>0</v>
      </c>
      <c r="IA191" s="6">
        <f>COUNTIFS(Table25[Country],Tabela1[[#This Row],[Country]],Table25[Mixed Nacra 17 Classification],"&gt;0")</f>
        <v>0</v>
      </c>
      <c r="IB191" s="6">
        <f>COUNTIFS(Table53[Country],Tabela1[[#This Row],[Country]],Table53[10m Air Pistol Classification],"&gt;0")</f>
        <v>0</v>
      </c>
      <c r="IC191" s="6">
        <f>COUNTIFS(Table19[Country],Tabela1[[#This Row],[Country]],Table19[10m Air Pistol Classification],"&gt;0")</f>
        <v>0</v>
      </c>
      <c r="ID191" s="6">
        <f>COUNTIFS(Table54[Country],Tabela1[[#This Row],[Country]],Table54[Mixed 10m Air Pistol Team Classification],"&gt;0")</f>
        <v>0</v>
      </c>
      <c r="IE191" s="6">
        <f>COUNTIFS(Table53[Country],Tabela1[[#This Row],[Country]],Table53[10m Air Rifle Classification],"&gt;0")</f>
        <v>0</v>
      </c>
      <c r="IF191" s="6">
        <f>COUNTIFS(Table19[Country],Tabela1[[#This Row],[Country]],Table19[10m Air Rifle Classification],"&gt;0")</f>
        <v>0</v>
      </c>
      <c r="IG191" s="6">
        <f>COUNTIFS(Table54[Country],Tabela1[[#This Row],[Country]],Table54[Mixed 10m Air Rifle Team Classification],"&gt;0")</f>
        <v>0</v>
      </c>
      <c r="IH191" s="6">
        <f>COUNTIFS(Table53[Country],Tabela1[[#This Row],[Country]],Table53[25m Rapid Fire Pistol Classification],"&gt;0")</f>
        <v>0</v>
      </c>
      <c r="II191" s="6">
        <f>COUNTIFS(Table19[Country],Tabela1[[#This Row],[Country]],Table19[25m Pistol Classification],"&gt;0")</f>
        <v>0</v>
      </c>
      <c r="IJ191" s="6">
        <f>COUNTIFS(Table53[Country],Tabela1[[#This Row],[Country]],Table53[50m Rifle 3 Positions Classification],"&gt;0")</f>
        <v>0</v>
      </c>
      <c r="IK191" s="6">
        <f>COUNTIFS(Table19[Country],Tabela1[[#This Row],[Country]],Table19[50m Rifle 3 Positions Classification],"&gt;0")</f>
        <v>0</v>
      </c>
      <c r="IL191" s="6">
        <f>COUNTIFS(Table53[Country],Tabela1[[#This Row],[Country]],Table53[Skeet Classification],"&gt;0")</f>
        <v>0</v>
      </c>
      <c r="IM191" s="6">
        <f>COUNTIFS(Table19[Country],Tabela1[[#This Row],[Country]],Table19[Skeet Classification],"&gt;0")</f>
        <v>0</v>
      </c>
      <c r="IN191" s="6">
        <f>COUNTIFS(Table54[Country],Tabela1[[#This Row],[Country]],Table54[Mixed Skeet Team Classification],"&gt;0")</f>
        <v>0</v>
      </c>
      <c r="IO191" s="6">
        <f>COUNTIFS(Table53[Country],Tabela1[[#This Row],[Country]],Table53[Trap Classification],"&gt;0")</f>
        <v>0</v>
      </c>
      <c r="IP191" s="6">
        <f>COUNTIFS(Table19[Country],Tabela1[[#This Row],[Country]],Table19[Trap Classification],"&gt;0")</f>
        <v>0</v>
      </c>
      <c r="IQ191" s="6">
        <f>COUNTIFS(Table73[Country],Tabela1[[#This Row],[Country]],Table73[Park Classification],"&gt;0")</f>
        <v>0</v>
      </c>
      <c r="IR191" s="6">
        <f>COUNTIFS(Table74[Country],Tabela1[[#This Row],[Country]],Table74[Park Classification],"&gt;0")</f>
        <v>0</v>
      </c>
      <c r="IS191" s="6">
        <f>COUNTIFS(Table73[Country],Tabela1[[#This Row],[Country]],Table73[Street Classification],"&gt;0")</f>
        <v>0</v>
      </c>
      <c r="IT191" s="6">
        <f>COUNTIFS(Table74[Country],Tabela1[[#This Row],[Country]],Table74[Street Classification],"&gt;0")</f>
        <v>0</v>
      </c>
      <c r="IU191" s="6">
        <f>COUNTIFS(Table75[Country],Tabela1[[#This Row],[Country]],Table75[Boulder and Lead Classification],"&gt;0")</f>
        <v>0</v>
      </c>
      <c r="IV191" s="6">
        <f>COUNTIFS(Table76[Country],Tabela1[[#This Row],[Country]],Table76[Boulder and Lead Classification],"&gt;0")</f>
        <v>0</v>
      </c>
      <c r="IW191" s="6">
        <f>COUNTIFS(Table75[Country],Tabela1[[#This Row],[Country]],Table75[Speed Classification],"&gt;0")</f>
        <v>0</v>
      </c>
      <c r="IX191" s="6">
        <f>COUNTIFS(Table76[Country],Tabela1[[#This Row],[Country]],Table76[Speed Classification],"&gt;0")</f>
        <v>0</v>
      </c>
      <c r="IY191" s="6">
        <f>COUNTIFS(Table64[Country],Tabela1[[#This Row],[Country]],Table64[Shortboard Classification],"&gt;0")</f>
        <v>0</v>
      </c>
      <c r="IZ191" s="6">
        <f>COUNTIFS(Table77[Country],Tabela1[[#This Row],[Country]],Table77[Shortboard Classification],"&gt;0")</f>
        <v>0</v>
      </c>
      <c r="JA191" s="6">
        <f>COUNTIFS(Table20[Country],Tabela1[[#This Row],[Country]],Table20[50m Freestyle Classification],"&gt;0")</f>
        <v>0</v>
      </c>
      <c r="JB191" s="6">
        <f>COUNTIFS(Table21[Country],Tabela1[[#This Row],[Country]],Table21[50m Freestyle Classification],"&gt;0")</f>
        <v>0</v>
      </c>
      <c r="JC191" s="6">
        <f>COUNTIFS(Table20[Country],Tabela1[[#This Row],[Country]],Table20[100m Freestyle Classification],"&gt;0")</f>
        <v>0</v>
      </c>
      <c r="JD191" s="6">
        <f>COUNTIFS(Table21[Country],Tabela1[[#This Row],[Country]],Table21[100m Freestyle Classification],"&gt;0")</f>
        <v>0</v>
      </c>
      <c r="JE191" s="6">
        <f>COUNTIFS(Table20[Country],Tabela1[[#This Row],[Country]],Table20[200m Freestyle Classification],"&gt;0")</f>
        <v>0</v>
      </c>
      <c r="JF191" s="6">
        <f>COUNTIFS(Table21[Country],Tabela1[[#This Row],[Country]],Table21[200m Freestyle Classification],"&gt;0")</f>
        <v>0</v>
      </c>
      <c r="JG191" s="6">
        <f>COUNTIFS(Table20[Country],Tabela1[[#This Row],[Country]],Table20[400m Freestyle Classification],"&gt;0")</f>
        <v>0</v>
      </c>
      <c r="JH191" s="6">
        <f>COUNTIFS(Table21[Country],Tabela1[[#This Row],[Country]],Table21[400m Freestyle Classification],"&gt;0")</f>
        <v>0</v>
      </c>
      <c r="JI191" s="6">
        <f>COUNTIFS(Table20[Country],Tabela1[[#This Row],[Country]],Table20[800m Freestyle Classification],"&gt;0")</f>
        <v>0</v>
      </c>
      <c r="JJ191" s="6">
        <f>COUNTIFS(Table21[Country],Tabela1[[#This Row],[Country]],Table21[800m Freestyle Classification],"&gt;0")</f>
        <v>0</v>
      </c>
      <c r="JK191" s="6">
        <f>COUNTIFS(Table20[Country],Tabela1[[#This Row],[Country]],Table20[1500m Freestyle Classification],"&gt;0")</f>
        <v>0</v>
      </c>
      <c r="JL191" s="6">
        <f>COUNTIFS(Table21[Country],Tabela1[[#This Row],[Country]],Table21[1500m Freestyle Classification],"&gt;0")</f>
        <v>0</v>
      </c>
      <c r="JM191" s="6">
        <f>COUNTIFS(Table20[Country],Tabela1[[#This Row],[Country]],Table20[100m Backstroke Classification],"&gt;0")</f>
        <v>0</v>
      </c>
      <c r="JN191" s="6">
        <f>COUNTIFS(Table21[Country],Tabela1[[#This Row],[Country]],Table21[100m Backstroke Classification],"&gt;0")</f>
        <v>0</v>
      </c>
      <c r="JO191" s="6">
        <f>COUNTIFS(Table20[Country],Tabela1[[#This Row],[Country]],Table20[200m Backstroke Classification],"&gt;0")</f>
        <v>0</v>
      </c>
      <c r="JP191" s="6">
        <f>COUNTIFS(Table21[Country],Tabela1[[#This Row],[Country]],Table21[200m Backstroke Classification],"&gt;0")</f>
        <v>0</v>
      </c>
      <c r="JQ191" s="6">
        <f>COUNTIFS(Table20[Country],Tabela1[[#This Row],[Country]],Table20[100m Breaststroke Classification],"&gt;0")</f>
        <v>0</v>
      </c>
      <c r="JR191" s="6">
        <f>COUNTIFS(Table21[Country],Tabela1[[#This Row],[Country]],Table21[100m Breaststroke Classification],"&gt;0")</f>
        <v>0</v>
      </c>
      <c r="JS191" s="6">
        <f>COUNTIFS(Table20[Country],Tabela1[[#This Row],[Country]],Table20[200m Breaststroke Classification],"&gt;0")</f>
        <v>0</v>
      </c>
      <c r="JT191" s="6">
        <f>COUNTIFS(Table21[Country],Tabela1[[#This Row],[Country]],Table21[200m Breaststroke Classification],"&gt;0")</f>
        <v>0</v>
      </c>
      <c r="JU191" s="6">
        <f>COUNTIFS(Table20[Country],Tabela1[[#This Row],[Country]],Table20[100m Butterfly Classification],"&gt;0")</f>
        <v>0</v>
      </c>
      <c r="JV191" s="6">
        <f>COUNTIFS(Table21[Country],Tabela1[[#This Row],[Country]],Table21[100m Butterfly Classification],"&gt;0")</f>
        <v>0</v>
      </c>
      <c r="JW191" s="6">
        <f>COUNTIFS(Table20[Country],Tabela1[[#This Row],[Country]],Table20[200m Butterfly Classification],"&gt;0")</f>
        <v>0</v>
      </c>
      <c r="JX191" s="6">
        <f>COUNTIFS(Table21[Country],Tabela1[[#This Row],[Country]],Table21[200m Butterfly Classification],"&gt;0")</f>
        <v>0</v>
      </c>
      <c r="JY191" s="6">
        <f>COUNTIFS(Table20[Country],Tabela1[[#This Row],[Country]],Table20[200m Medley Classification],"&gt;0")</f>
        <v>0</v>
      </c>
      <c r="JZ191" s="6">
        <f>COUNTIFS(Table21[Country],Tabela1[[#This Row],[Country]],Table21[200m Medley Classification],"&gt;0")</f>
        <v>0</v>
      </c>
      <c r="KA191" s="6">
        <f>COUNTIFS(Table20[Country],Tabela1[[#This Row],[Country]],Table20[400m Medley Classification],"&gt;0")</f>
        <v>0</v>
      </c>
      <c r="KB191" s="6">
        <f>COUNTIFS(Table21[Country],Tabela1[[#This Row],[Country]],Table21[400m Medley Classification],"&gt;0")</f>
        <v>0</v>
      </c>
      <c r="KC191" s="6">
        <f>COUNTIFS(Table78[Country],Tabela1[[#This Row],[Country]],Table78[Men''s 4x100m Freestyle Relay Classification],"&gt;0")</f>
        <v>0</v>
      </c>
      <c r="KD191" s="6">
        <f>COUNTIFS(Table78[Country],Tabela1[[#This Row],[Country]],Table78[Women''s 4x100m Freestyle Relay Classification],"&gt;0")</f>
        <v>0</v>
      </c>
      <c r="KE191" s="6">
        <f>COUNTIFS(Table78[Country],Tabela1[[#This Row],[Country]],Table78[Men''s 4x200m Freestyle Relay Classification],"&gt;0")</f>
        <v>0</v>
      </c>
      <c r="KF191" s="6">
        <f>COUNTIFS(Table78[Country],Tabela1[[#This Row],[Country]],Table78[Women''s 4x200m Freestyle Relay Classification],"&gt;0")</f>
        <v>0</v>
      </c>
      <c r="KG191" s="6">
        <f>COUNTIFS(Table78[Country],Tabela1[[#This Row],[Country]],Table78[Men''s 4x100m Medley Relay Classification],"&gt;0")</f>
        <v>0</v>
      </c>
      <c r="KH191" s="6">
        <f>COUNTIFS(Table78[Country],Tabela1[[#This Row],[Country]],Table78[Women''s 4x100m Medley Relay Classification],"&gt;0")</f>
        <v>0</v>
      </c>
      <c r="KI191" s="6">
        <f>COUNTIFS(Table78[Country],Tabela1[[#This Row],[Country]],Table78[Mixed 4x100m Medley Relay Classification],"&gt;0")</f>
        <v>0</v>
      </c>
      <c r="KJ191" s="6">
        <f>COUNTIFS(Table20[Country],Tabela1[[#This Row],[Country]],Table20[10km Open Water Classification],"&gt;0")</f>
        <v>0</v>
      </c>
      <c r="KK191" s="6">
        <f>COUNTIFS(Table21[Country],Tabela1[[#This Row],[Country]],Table21[10km Open Water Classification],"&gt;0")</f>
        <v>0</v>
      </c>
      <c r="KL191" s="6">
        <f>COUNTIFS(Table22[Country],Tabela1[[#This Row],[Country]],Table22[Classification],"&gt;0")</f>
        <v>0</v>
      </c>
      <c r="KM191" s="6">
        <f>COUNTIFS(Table30[Country],Tabela1[[#This Row],[Country]],Table30[Classification],"&gt;0")</f>
        <v>0</v>
      </c>
      <c r="KN191" s="6">
        <f>COUNTIFS(Table55[Country],Tabela1[[#This Row],[Country]],Table55[Men''s Classification],"&gt;0")</f>
        <v>0</v>
      </c>
      <c r="KO191" s="6">
        <f>COUNTIFS(Table55[Country],Tabela1[[#This Row],[Country]],Table55[Women''s Classification],"&gt;0")</f>
        <v>0</v>
      </c>
      <c r="KP191" s="6">
        <f>COUNTIFS(Table56[Country],Tabela1[[#This Row],[Country]],Table56[Mixed Classification],"&gt;0")</f>
        <v>0</v>
      </c>
      <c r="KQ191" s="6">
        <f>COUNTIFS(Table29[Country],Tabela1[[#This Row],[Country]],Table29[58kg Classification],"&gt;0")</f>
        <v>0</v>
      </c>
      <c r="KR191" s="6">
        <f>COUNTIFS(Table29[Country],Tabela1[[#This Row],[Country]],Table29[68kg Classification],"&gt;0")</f>
        <v>0</v>
      </c>
      <c r="KS191" s="6">
        <f>COUNTIFS(Table29[Country],Tabela1[[#This Row],[Country]],Table29[80kg Classification],"&gt;0")</f>
        <v>0</v>
      </c>
      <c r="KT191" s="6">
        <f>COUNTIFS(Table29[Country],Tabela1[[#This Row],[Country]],Table29[Plus 80kg Classification],"&gt;0")</f>
        <v>0</v>
      </c>
      <c r="KU191" s="6">
        <f>COUNTIFS(Table34[Country],Tabela1[[#This Row],[Country]],Table34[49kg Classification],"&gt;0")</f>
        <v>0</v>
      </c>
      <c r="KV191" s="6">
        <f>COUNTIFS(Table34[Country],Tabela1[[#This Row],[Country]],Table34[57kg Classification],"&gt;0")</f>
        <v>0</v>
      </c>
      <c r="KW191" s="6">
        <f>COUNTIFS(Table34[Country],Tabela1[[#This Row],[Country]],Table34[67kg Classification],"&gt;0")</f>
        <v>0</v>
      </c>
      <c r="KX191" s="6">
        <f>COUNTIFS(Table34[Country],Tabela1[[#This Row],[Country]],Table34[Plus 67kg Classification],"&gt;0")</f>
        <v>0</v>
      </c>
      <c r="KY191" s="6">
        <f>COUNTIFS(Table57[Country],Tabela1[[#This Row],[Country]],Table57[Classification],"&gt;0")</f>
        <v>0</v>
      </c>
      <c r="KZ191" s="6">
        <f>COUNTIFS(Table58[Country],Tabela1[[#This Row],[Country]],Table58[Classification],"&gt;0")</f>
        <v>0</v>
      </c>
      <c r="LA191" s="6">
        <f>COUNTIFS(Table79[Country],Tabela1[[#This Row],[Country]],Table79[Men''s Classification],"&gt;0")</f>
        <v>0</v>
      </c>
      <c r="LB191" s="6">
        <f>COUNTIFS(Table79[Country],Tabela1[[#This Row],[Country]],Table79[Women''s Classification],"&gt;0")</f>
        <v>0</v>
      </c>
      <c r="LC191" s="6">
        <f>COUNTIFS(Table79[Country],Tabela1[[#This Row],[Country]],Table79[Mixed Classification],"&gt;0")</f>
        <v>0</v>
      </c>
      <c r="LD191" s="6">
        <f>COUNTIFS(Table65[Country],Tabela1[[#This Row],[Country]],Table65[Classification],"&gt;0")</f>
        <v>0</v>
      </c>
      <c r="LE191" s="6">
        <f>COUNTIFS(Table59[Country],Tabela1[[#This Row],[Country]],Table59[Classification],"&gt;0")</f>
        <v>0</v>
      </c>
      <c r="LF191" s="6">
        <f>COUNTIFS(Table87[Country],Tabela1[[#This Row],[Country]],Table87[Mixed Relay Classification],"&gt;0")</f>
        <v>0</v>
      </c>
      <c r="LG191" s="6">
        <f>COUNTIFS(Table91949698100[Country],Tabela1[[#This Row],[Country]],Table91949698100[Men''s Classification],"&gt;0")</f>
        <v>0</v>
      </c>
      <c r="LH191" s="6">
        <f>COUNTIFS(Table91949698100[Country],Tabela1[[#This Row],[Country]],Table91949698100[Women''s Classification],"&gt;0")</f>
        <v>0</v>
      </c>
      <c r="LI191" s="6">
        <f>COUNTIFS(Table91949698100102[Country],Tabela1[[#This Row],[Country]],Table91949698100102[Men''s Classification],"&gt;0")</f>
        <v>0</v>
      </c>
      <c r="LJ191" s="6">
        <f>COUNTIFS(Table91949698100102[Country],Tabela1[[#This Row],[Country]],Table91949698100102[Women''s Classification],"&gt;0")</f>
        <v>0</v>
      </c>
      <c r="LK191" s="6">
        <f>COUNTIFS(Table23[Country],Tabela1[[#This Row],[Country]],Table23[61kg Classification],"&gt;0")</f>
        <v>0</v>
      </c>
      <c r="LL191" s="6">
        <f>COUNTIFS(Table23[Country],Tabela1[[#This Row],[Country]],Table23[73kg Classification],"&gt;0")</f>
        <v>0</v>
      </c>
      <c r="LM191" s="6">
        <f>COUNTIFS(Table23[Country],Tabela1[[#This Row],[Country]],Table23[89kg Classification],"&gt;0")</f>
        <v>0</v>
      </c>
      <c r="LN191" s="6">
        <f>COUNTIFS(Table23[Country],Tabela1[[#This Row],[Country]],Table23[102kg Classification],"&gt;0")</f>
        <v>0</v>
      </c>
      <c r="LO191" s="6">
        <f>COUNTIFS(Table23[Country],Tabela1[[#This Row],[Country]],Table23[Plus 102kg Classification],"&gt;0")</f>
        <v>0</v>
      </c>
      <c r="LP191" s="6">
        <f>COUNTIFS(Table28[Country],Tabela1[[#This Row],[Country]],Table28[49kg Classification],"&gt;0")</f>
        <v>0</v>
      </c>
      <c r="LQ191" s="6">
        <f>COUNTIFS(Table28[Country],Tabela1[[#This Row],[Country]],Table28[59kg Classification],"&gt;0")</f>
        <v>0</v>
      </c>
      <c r="LR191" s="6">
        <f>COUNTIFS(Table28[Country],Tabela1[[#This Row],[Country]],Table28[71kg Classification],"&gt;0")</f>
        <v>0</v>
      </c>
      <c r="LS191" s="6">
        <f>COUNTIFS(Table28[Country],Tabela1[[#This Row],[Country]],Table28[81kg Classification],"&gt;0")</f>
        <v>0</v>
      </c>
      <c r="LT191" s="6">
        <f>COUNTIFS(Table28[Country],Tabela1[[#This Row],[Country]],Table28[Plus 81kg Classification],"&gt;0")</f>
        <v>0</v>
      </c>
      <c r="LU191" s="6">
        <f>COUNTIFS(Table24[Country],Tabela1[[#This Row],[Country]],Table24[Freestyle 57kg Classification],"&gt;0")</f>
        <v>0</v>
      </c>
      <c r="LV191" s="6">
        <f>COUNTIFS(Table24[Country],Tabela1[[#This Row],[Country]],Table24[Freestyle 65kg Classification],"&gt;0")</f>
        <v>0</v>
      </c>
      <c r="LW191" s="6">
        <f>COUNTIFS(Table24[Country],Tabela1[[#This Row],[Country]],Table24[Freestyle 74kg Classification],"&gt;0")</f>
        <v>0</v>
      </c>
      <c r="LX191" s="6">
        <f>COUNTIFS(Table24[Country],Tabela1[[#This Row],[Country]],Table24[Freestyle 86kg Classification],"&gt;0")</f>
        <v>0</v>
      </c>
      <c r="LY191" s="6">
        <f>COUNTIFS(Table24[Country],Tabela1[[#This Row],[Country]],Table24[Freestyle 97kg Classification],"&gt;0")</f>
        <v>0</v>
      </c>
      <c r="LZ191" s="6">
        <f>COUNTIFS(Table24[Country],Tabela1[[#This Row],[Country]],Table24[Freestyle 125kg Classification],"&gt;0")</f>
        <v>0</v>
      </c>
      <c r="MA191" s="6">
        <f>COUNTIFS(Table24[Country],Tabela1[[#This Row],[Country]],Table24[Greco-Roman 60kg Classification],"&gt;0")</f>
        <v>0</v>
      </c>
      <c r="MB191" s="6">
        <f>COUNTIFS(Table24[Country],Tabela1[[#This Row],[Country]],Table24[Greco-Roman 67kg Classification],"&gt;0")</f>
        <v>0</v>
      </c>
      <c r="MC191" s="6">
        <f>COUNTIFS(Table24[Country],Tabela1[[#This Row],[Country]],Table24[Greco-Roman 77kg Classification],"&gt;0")</f>
        <v>0</v>
      </c>
      <c r="MD191" s="6">
        <f>COUNTIFS(Table24[Country],Tabela1[[#This Row],[Country]],Table24[Greco-Roman 87kg Classification],"&gt;0")</f>
        <v>0</v>
      </c>
      <c r="ME191" s="6">
        <f>COUNTIFS(Table24[Country],Tabela1[[#This Row],[Country]],Table24[Greco-Roman 97kg Classification],"&gt;0")</f>
        <v>0</v>
      </c>
      <c r="MF191" s="6">
        <f>COUNTIFS(Table24[Country],Tabela1[[#This Row],[Country]],Table24[Greco-Roman 130kg Classification],"&gt;0")</f>
        <v>0</v>
      </c>
      <c r="MG191" s="6">
        <f>COUNTIFS(Table31[Country],Tabela1[[#This Row],[Country]],Table31[50kg Classification],"&gt;0")</f>
        <v>0</v>
      </c>
      <c r="MH191" s="6">
        <f>COUNTIFS(Table31[Country],Tabela1[[#This Row],[Country]],Table31[53kg Classification],"&gt;0")</f>
        <v>0</v>
      </c>
      <c r="MI191" s="6">
        <f>COUNTIFS(Table31[Country],Tabela1[[#This Row],[Country]],Table31[57kg Classification],"&gt;0")</f>
        <v>0</v>
      </c>
      <c r="MJ191" s="6">
        <f>COUNTIFS(Table31[Country],Tabela1[[#This Row],[Country]],Table31[62kg Classification],"&gt;0")</f>
        <v>0</v>
      </c>
      <c r="MK191" s="6">
        <f>COUNTIFS(Table31[Country],Tabela1[[#This Row],[Country]],Table31[68kg Classification],"&gt;0")</f>
        <v>0</v>
      </c>
      <c r="ML191" s="6">
        <f>COUNTIFS(Table31[Country],Tabela1[[#This Row],[Country]],Table31[76kg Classification],"&gt;0")</f>
        <v>0</v>
      </c>
      <c r="MM191" s="6">
        <f>COUNTIFS(Table102[Country],Tabela1[[#This Row],[Country]],Table102[Downhill Classification],"&gt;0")</f>
        <v>0</v>
      </c>
      <c r="MN191" s="6">
        <f>COUNTIFS(Table102105[Country],Tabela1[[#This Row],[Country]],Table102105[Downhill Classification],"&gt;0")</f>
        <v>0</v>
      </c>
      <c r="MO191" s="6">
        <f>COUNTIFS(Table102[Country],Tabela1[[#This Row],[Country]],Table102[Giant Slalom Classification],"&gt;0")</f>
        <v>0</v>
      </c>
      <c r="MP191" s="6">
        <f>COUNTIFS(Table102105[Country],Tabela1[[#This Row],[Country]],Table102105[Giant Slalom Classification],"&gt;0")</f>
        <v>0</v>
      </c>
      <c r="MQ191" s="6">
        <f>COUNTIFS(Table102[Country],Tabela1[[#This Row],[Country]],Table102[Slalom Classification],"&gt;0")</f>
        <v>0</v>
      </c>
      <c r="MR191" s="6">
        <f>COUNTIFS(Table102105[Country],Tabela1[[#This Row],[Country]],Table102105[Slalom Classification],"&gt;0")</f>
        <v>0</v>
      </c>
      <c r="MS191" s="6">
        <f>COUNTIFS(Table102[Country],Tabela1[[#This Row],[Country]],Table102[Super-G Classification],"&gt;0")</f>
        <v>0</v>
      </c>
      <c r="MT191" s="6">
        <f>COUNTIFS(Table102105[Country],Tabela1[[#This Row],[Country]],Table102105[Super-G Classification],"&gt;0")</f>
        <v>0</v>
      </c>
      <c r="MU191" s="6">
        <f>COUNTIFS(Table105[Country],Tabela1[[#This Row],[Country]],Table105[Men''s Combined Classification],"&gt;0")</f>
        <v>0</v>
      </c>
      <c r="MV191" s="6">
        <f>COUNTIFS(Table105[Country],Tabela1[[#This Row],[Country]],Table105[Women''s Combined Classification],"&gt;0")</f>
        <v>0</v>
      </c>
      <c r="MW191" s="6">
        <f>COUNTIFS(Table106[Country],Tabela1[[#This Row],[Country]],Table106[Individual Classification],"&gt;0")</f>
        <v>0</v>
      </c>
      <c r="MX191" s="6">
        <f>COUNTIFS(Table106109[Country],Tabela1[[#This Row],[Country]],Table106109[Individual Classification],"&gt;0")</f>
        <v>0</v>
      </c>
      <c r="MY191" s="6">
        <f>COUNTIFS(Table106[Country],Tabela1[[#This Row],[Country]],Table106[Mass Start Classification],"&gt;0")</f>
        <v>0</v>
      </c>
      <c r="MZ191" s="6">
        <f>COUNTIFS(Table106109[Country],Tabela1[[#This Row],[Country]],Table106109[Mass Start Classification],"&gt;0")</f>
        <v>0</v>
      </c>
      <c r="NA191" s="6">
        <f>COUNTIFS(Table106[Country],Tabela1[[#This Row],[Country]],Table106[Pursuit Classification],"&gt;0")</f>
        <v>0</v>
      </c>
      <c r="NB191" s="6">
        <f>COUNTIFS(Table106109[Country],Tabela1[[#This Row],[Country]],Table106109[Pursuit Classification],"&gt;0")</f>
        <v>0</v>
      </c>
      <c r="NC191" s="6">
        <f>COUNTIFS(Table106[Country],Tabela1[[#This Row],[Country]],Table106[Sprint Classification],"&gt;0")</f>
        <v>0</v>
      </c>
      <c r="ND191" s="6">
        <f>COUNTIFS(Table106109[Country],Tabela1[[#This Row],[Country]],Table106109[Sprint Classification],"&gt;0")</f>
        <v>0</v>
      </c>
      <c r="NE191" s="6">
        <f>COUNTIFS(Table109[Country],Tabela1[[#This Row],[Country]],Table109[Men''s Relay Classification],"&gt;0")</f>
        <v>0</v>
      </c>
      <c r="NF191" s="6">
        <f>COUNTIFS(Table109[Country],Tabela1[[#This Row],[Country]],Table109[Women''s Relay Classification],"&gt;0")</f>
        <v>0</v>
      </c>
      <c r="NG191" s="6">
        <f>COUNTIFS(Table109[Country],Tabela1[[#This Row],[Country]],Table109[Mixed Relay Classification],"&gt;0")</f>
        <v>0</v>
      </c>
      <c r="NH191" s="6">
        <f>COUNTIFS(Table110[Country],Tabela1[[#This Row],[Country]],Table110[Monobob Classification],"&gt;0")</f>
        <v>0</v>
      </c>
      <c r="NI191" s="6">
        <f>COUNTIFS(Table111[Country],Tabela1[[#This Row],[Country]],Table111[Men''s Classification],"&gt;0")</f>
        <v>0</v>
      </c>
      <c r="NJ191" s="6">
        <f>COUNTIFS(Table111[Country],Tabela1[[#This Row],[Country]],Table111[Women''s Classification],"&gt;0")</f>
        <v>0</v>
      </c>
      <c r="NK191" s="6">
        <f>COUNTIFS(Table112[Country],Tabela1[[#This Row],[Country]],Table112[Men''s Four Classification],"&gt;0")</f>
        <v>0</v>
      </c>
      <c r="NL191" s="6">
        <f>COUNTIFS(Table113[Country],Tabela1[[#This Row],[Country]],Table113[Classical Classification],"&gt;0")</f>
        <v>0</v>
      </c>
      <c r="NM191" s="6">
        <f>COUNTIFS(Table113116[Country],Tabela1[[#This Row],[Country]],Table113116[Classical Classification],"&gt;0")</f>
        <v>0</v>
      </c>
      <c r="NN191" s="6">
        <f>COUNTIFS(Table113[Country],Tabela1[[#This Row],[Country]],Table113[Freestyle Classification],"&gt;0")</f>
        <v>0</v>
      </c>
      <c r="NO191" s="6">
        <f>COUNTIFS(Table113116[Country],Tabela1[[#This Row],[Country]],Table113116[Freestyle Classification],"&gt;0")</f>
        <v>0</v>
      </c>
      <c r="NP191" s="6">
        <f>COUNTIFS(Table117[Country],Tabela1[[#This Row],[Country]],Table117[Men''s Relay Classification],"&gt;0")</f>
        <v>0</v>
      </c>
      <c r="NQ191" s="6">
        <f>COUNTIFS(Table117[Country],Tabela1[[#This Row],[Country]],Table117[Women''s Relay Classification],"&gt;0")</f>
        <v>0</v>
      </c>
      <c r="NR191" s="6">
        <f>COUNTIFS(Table113[Country],Tabela1[[#This Row],[Country]],Table113[Skiathlon Classification],"&gt;0")</f>
        <v>0</v>
      </c>
      <c r="NS191" s="6">
        <f>COUNTIFS(Table113116[Country],Tabela1[[#This Row],[Country]],Table113116[Skiathlon Classification],"&gt;0")</f>
        <v>0</v>
      </c>
      <c r="NT191" s="6">
        <f>COUNTIFS(Table113[Country],Tabela1[[#This Row],[Country]],Table113[Sprint Classification],"&gt;0")</f>
        <v>0</v>
      </c>
      <c r="NU191" s="6">
        <f>COUNTIFS(Table113116[Country],Tabela1[[#This Row],[Country]],Table113116[Sprint Classification],"&gt;0")</f>
        <v>0</v>
      </c>
      <c r="NV191" s="6">
        <f>COUNTIFS(Table116[Country],Tabela1[[#This Row],[Country]],Table116[Men''s Team Sprint Classification],"&gt;0")</f>
        <v>0</v>
      </c>
      <c r="NW191" s="6">
        <f>COUNTIFS(Table116[Country],Tabela1[[#This Row],[Country]],Table116[Women''s Team Sprint Classification],"&gt;0")</f>
        <v>0</v>
      </c>
      <c r="NX191" s="6">
        <f>COUNTIFS(Table119[Country],Tabela1[[#This Row],[Country]],Table119[Men''s Classification],"&gt;0")</f>
        <v>0</v>
      </c>
      <c r="NY191" s="6">
        <f>COUNTIFS(Table119[Country],Tabela1[[#This Row],[Country]],Table119[Women''s Classification],"&gt;0")</f>
        <v>0</v>
      </c>
      <c r="NZ191" s="6">
        <f>COUNTIFS(Table118[Country],Tabela1[[#This Row],[Country]],Table118[Mixed Classification],"&gt;0")</f>
        <v>0</v>
      </c>
      <c r="OA191" s="6">
        <f>COUNTIFS(Table120[Country],Tabela1[[#This Row],[Country]],Table120[Classification],"&gt;0")</f>
        <v>0</v>
      </c>
      <c r="OB191" s="6">
        <f>COUNTIFS(Table120123[Country],Tabela1[[#This Row],[Country]],Table120123[Classification],"&gt;0")</f>
        <v>0</v>
      </c>
      <c r="OC191" s="6">
        <f>COUNTIFS(Table123[Country],Tabela1[[#This Row],[Country]],Table123[Ice Dance Classification],"&gt;0")</f>
        <v>0</v>
      </c>
      <c r="OD191" s="6">
        <f>COUNTIFS(Table123[Country],Tabela1[[#This Row],[Country]],Table123[Pair Skating Classification],"&gt;0")</f>
        <v>0</v>
      </c>
      <c r="OE191" s="6">
        <f>COUNTIFS(Table124[Country],Tabela1[[#This Row],[Country]],Table124[Mixed Classification],"&gt;0")</f>
        <v>0</v>
      </c>
      <c r="OF191" s="6">
        <f>COUNTIFS(Table125[Country],Tabela1[[#This Row],[Country]],Table125[Aerials Classification],"&gt;0")</f>
        <v>0</v>
      </c>
      <c r="OG191" s="6">
        <f>COUNTIFS(Table125128[Country],Tabela1[[#This Row],[Country]],Table125128[Aerials Classification],"&gt;0")</f>
        <v>0</v>
      </c>
      <c r="OH191" s="6">
        <f>COUNTIFS(Table128[Country],Tabela1[[#This Row],[Country]],Table128[Mixed Aerials Classification],"&gt;0")</f>
        <v>0</v>
      </c>
      <c r="OI191" s="6">
        <f>COUNTIFS(Table125[Country],Tabela1[[#This Row],[Country]],Table125[Big Air Classification],"&gt;0")</f>
        <v>0</v>
      </c>
      <c r="OJ191" s="6">
        <f>COUNTIFS(Table125128[Country],Tabela1[[#This Row],[Country]],Table125128[Big Air Classification],"&gt;0")</f>
        <v>0</v>
      </c>
      <c r="OK191" s="6">
        <f>COUNTIFS(Table125[Country],Tabela1[[#This Row],[Country]],Table125[Dual Moguls Classification],"&gt;0")</f>
        <v>0</v>
      </c>
      <c r="OL191" s="6">
        <f>COUNTIFS(Table125128[Country],Tabela1[[#This Row],[Country]],Table125128[Dual Moguls Classification],"&gt;0")</f>
        <v>0</v>
      </c>
      <c r="OM191" s="6">
        <f>COUNTIFS(Table125[Country],Tabela1[[#This Row],[Country]],Table125[Halfpipe Classification],"&gt;0")</f>
        <v>0</v>
      </c>
      <c r="ON191" s="6">
        <f>COUNTIFS(Table125128[Country],Tabela1[[#This Row],[Country]],Table125128[Halfpipe Classification],"&gt;0")</f>
        <v>0</v>
      </c>
      <c r="OO191" s="6">
        <f>COUNTIFS(Table125[Country],Tabela1[[#This Row],[Country]],Table125[Moguls Classification],"&gt;0")</f>
        <v>0</v>
      </c>
      <c r="OP191" s="6">
        <f>COUNTIFS(Table125128[Country],Tabela1[[#This Row],[Country]],Table125128[Moguls Classification],"&gt;0")</f>
        <v>0</v>
      </c>
      <c r="OQ191" s="6">
        <f>COUNTIFS(Table125[Country],Tabela1[[#This Row],[Country]],Table125[Ski Cross Classification],"&gt;0")</f>
        <v>0</v>
      </c>
      <c r="OR191" s="6">
        <f>COUNTIFS(Table125128[Country],Tabela1[[#This Row],[Country]],Table125128[Ski Cross Classification],"&gt;0")</f>
        <v>0</v>
      </c>
      <c r="OS191" s="6">
        <f>COUNTIFS(Table125[Country],Tabela1[[#This Row],[Country]],Table125[Slopestyle Classification],"&gt;0")</f>
        <v>0</v>
      </c>
      <c r="OT191" s="6">
        <f>COUNTIFS(Table125128[Country],Tabela1[[#This Row],[Country]],Table125128[Slopestyle Classification],"&gt;0")</f>
        <v>0</v>
      </c>
      <c r="OU191" s="6">
        <f>COUNTIFS(Table119131[Country],Tabela1[[#This Row],[Country]],Table119131[Men''s Classification],"&gt;0")</f>
        <v>0</v>
      </c>
      <c r="OV191" s="6">
        <f>COUNTIFS(Table119131[Country],Tabela1[[#This Row],[Country]],Table119131[Women''s Classification],"&gt;0")</f>
        <v>0</v>
      </c>
      <c r="OW191" s="6">
        <f>COUNTIFS(Table131[Country],Tabela1[[#This Row],[Country]],Table131[Classification],"&gt;0")</f>
        <v>0</v>
      </c>
      <c r="OX191" s="6">
        <f>COUNTIFS(Table131134[Country],Tabela1[[#This Row],[Country]],Table131134[Classification],"&gt;0")</f>
        <v>0</v>
      </c>
      <c r="OY191" s="6">
        <f>COUNTIFS(Table134[Country],Tabela1[[#This Row],[Country]],Table134[Men''s Classification],"&gt;0")</f>
        <v>0</v>
      </c>
      <c r="OZ191" s="6">
        <f>COUNTIFS(Table134[Country],Tabela1[[#This Row],[Country]],Table134[Women''s Classification],"&gt;0")</f>
        <v>0</v>
      </c>
      <c r="PA191" s="6">
        <f>COUNTIFS(Table135[Country],Tabela1[[#This Row],[Country]],Table135[Mixed Relay Classification],"&gt;0")</f>
        <v>0</v>
      </c>
      <c r="PB191" s="6">
        <f>COUNTIFS(Table136[Country],Tabela1[[#This Row],[Country]],Table136[Individual Classification],"&gt;0")</f>
        <v>0</v>
      </c>
      <c r="PC191" s="6">
        <f>COUNTIFS(Table136[Country],Tabela1[[#This Row],[Country]],Table136[Sprint Classification],"&gt;0")</f>
        <v>0</v>
      </c>
      <c r="PD191" s="6">
        <f>COUNTIFS(Table137[Country],Tabela1[[#This Row],[Country]],Table137[Men''s Team Sprint Large Hill Classification],"&gt;0")</f>
        <v>0</v>
      </c>
      <c r="PE191" s="6">
        <f>COUNTIFS(Table138[Country],Tabela1[[#This Row],[Country]],Table138[500m Classification],"&gt;0")</f>
        <v>0</v>
      </c>
      <c r="PF191" s="6">
        <f>COUNTIFS(Table138141[Country],Tabela1[[#This Row],[Country]],Table138141[500m Classification],"&gt;0")</f>
        <v>0</v>
      </c>
      <c r="PG191" s="6">
        <f>COUNTIFS(Table138[Country],Tabela1[[#This Row],[Country]],Table138[1000m Classification],"&gt;0")</f>
        <v>0</v>
      </c>
      <c r="PH191" s="6">
        <f>COUNTIFS(Table138141[Country],Tabela1[[#This Row],[Country]],Table138141[1000m Classification],"&gt;0")</f>
        <v>0</v>
      </c>
      <c r="PI191" s="6">
        <f>COUNTIFS(Table138[Country],Tabela1[[#This Row],[Country]],Table138[1500m Classification],"&gt;0")</f>
        <v>0</v>
      </c>
      <c r="PJ191" s="6">
        <f>COUNTIFS(Table138141[Country],Tabela1[[#This Row],[Country]],Table138141[1500m Classification],"&gt;0")</f>
        <v>0</v>
      </c>
      <c r="PK191" s="6">
        <f>COUNTIFS(Table141[Country],Tabela1[[#This Row],[Country]],Table141[Men''s 5000m Relay Classification],"&gt;0")</f>
        <v>0</v>
      </c>
      <c r="PL191" s="6">
        <f>COUNTIFS(Table141[Country],Tabela1[[#This Row],[Country]],Table141[Women''s 3000m Relay Classification],"&gt;0")</f>
        <v>0</v>
      </c>
      <c r="PM191" s="6">
        <f>COUNTIFS(Table141[Country],Tabela1[[#This Row],[Country]],Table141[Mixed 2000m Relay Classification],"&gt;0")</f>
        <v>0</v>
      </c>
      <c r="PN191" s="6">
        <f>COUNTIFS(Table142[Country],Tabela1[[#This Row],[Country]],Table142[Classification],"&gt;0")</f>
        <v>0</v>
      </c>
      <c r="PO191" s="6">
        <f>COUNTIFS(Table142145[Country],Tabela1[[#This Row],[Country]],Table142145[Classification],"&gt;0")</f>
        <v>0</v>
      </c>
      <c r="PP191" s="6">
        <f>COUNTIFS(Tabela15[Country],Tabela1[[#This Row],[Country]],Tabela15[Mixed Team Classification],"&gt;0")</f>
        <v>0</v>
      </c>
      <c r="PQ191" s="6">
        <f>COUNTIFS(Table145[Country],Tabela1[[#This Row],[Country]],Table145[Large Hill Classification],"&gt;0")</f>
        <v>0</v>
      </c>
      <c r="PR191" s="6">
        <f>COUNTIFS(Table145[Country],Tabela1[[#This Row],[Country]],Table145[Normal Hill Classification],"&gt;0")</f>
        <v>0</v>
      </c>
      <c r="PS191" s="6">
        <f>COUNTIFS(Table145148[Country],Tabela1[[#This Row],[Country]],Table145148[Large Hill Classification],"&gt;0")</f>
        <v>0</v>
      </c>
      <c r="PT191" s="6">
        <f>COUNTIFS(Table145148[Country],Tabela1[[#This Row],[Country]],Table145148[Normal Hill Classification],"&gt;0")</f>
        <v>0</v>
      </c>
      <c r="PU191" s="6">
        <f>COUNTIFS(Table148[Country],Tabela1[[#This Row],[Country]],Table148[Men''s Super Team Classification],"&gt;0")</f>
        <v>0</v>
      </c>
      <c r="PV191" s="6">
        <f>COUNTIFS(Tabela114[Country],Tabela1[[#This Row],[Country]],Tabela114[Mixed Normal Hill Classification],"&gt;0")</f>
        <v>0</v>
      </c>
      <c r="PW191" s="6">
        <f>COUNTIFS(Tabela50[Country],Tabela1[[#This Row],[Country]],Tabela50[Sprint Classification],"&gt;0")</f>
        <v>0</v>
      </c>
      <c r="PX191" s="6">
        <f>COUNTIFS(Tabela50101[Country],Tabela1[[#This Row],[Country]],Tabela50101[Sprint Classification],"&gt;0")</f>
        <v>0</v>
      </c>
      <c r="PY191" s="6">
        <f>COUNTIFS(Tabela103[Country],Tabela1[[#This Row],[Country]],Tabela103[Mixed Relay Classification],"&gt;0")</f>
        <v>0</v>
      </c>
      <c r="PZ191" s="6">
        <f>COUNTIFS(Table149[Country],Tabela1[[#This Row],[Country]],Table149[Big Air Classification],"&gt;0")</f>
        <v>0</v>
      </c>
      <c r="QA191" s="6">
        <f>COUNTIFS(Table149152[Country],Tabela1[[#This Row],[Country]],Table149152[Big Air Classification],"&gt;0")</f>
        <v>0</v>
      </c>
      <c r="QB191" s="6">
        <f>COUNTIFS(Table149[Country],Tabela1[[#This Row],[Country]],Table149[Halfpipe Classification],"&gt;0")</f>
        <v>0</v>
      </c>
      <c r="QC191" s="6">
        <f>COUNTIFS(Table149152[Country],Tabela1[[#This Row],[Country]],Table149152[Halfpipe Classification],"&gt;0")</f>
        <v>0</v>
      </c>
      <c r="QD191" s="6">
        <f>COUNTIFS(Table149[Country],Tabela1[[#This Row],[Country]],Table149[Parallel Giant Slalom Classification],"&gt;0")</f>
        <v>0</v>
      </c>
      <c r="QE191" s="6">
        <f>COUNTIFS(Table149152[Country],Tabela1[[#This Row],[Country]],Table149152[Parallel Giant Slalom Classification],"&gt;0")</f>
        <v>0</v>
      </c>
      <c r="QF191" s="6">
        <f>COUNTIFS(Table149[Country],Tabela1[[#This Row],[Country]],Table149[Slopestyle Classification],"&gt;0")</f>
        <v>0</v>
      </c>
      <c r="QG191" s="6">
        <f>COUNTIFS(Table149152[Country],Tabela1[[#This Row],[Country]],Table149152[Slopestyle Classification],"&gt;0")</f>
        <v>0</v>
      </c>
      <c r="QH191" s="6">
        <f>COUNTIFS(Table149[Country],Tabela1[[#This Row],[Country]],Table149[Snowboard Cross Classification],"&gt;0")</f>
        <v>0</v>
      </c>
      <c r="QI191" s="6">
        <f>COUNTIFS(Table149152[Country],Tabela1[[#This Row],[Country]],Table149152[Snowboard Cross Classification],"&gt;0")</f>
        <v>0</v>
      </c>
      <c r="QJ191" s="6">
        <f>COUNTIFS(Table153[Country],Tabela1[[#This Row],[Country]],Table153[Mixed Team Snowboard Cross Classification],"&gt;0")</f>
        <v>0</v>
      </c>
      <c r="QK191" s="6">
        <f>COUNTIFS(Table154[Country],Tabela1[[#This Row],[Country]],Table154[500m Classification],"&gt;0")</f>
        <v>0</v>
      </c>
      <c r="QL191" s="6">
        <f>COUNTIFS(Table154157[Country],Tabela1[[#This Row],[Country]],Table154157[500m Classification],"&gt;0")</f>
        <v>0</v>
      </c>
      <c r="QM191" s="6">
        <f>COUNTIFS(Table154[Country],Tabela1[[#This Row],[Country]],Table154[1000m Classification],"&gt;0")</f>
        <v>0</v>
      </c>
      <c r="QN191" s="6">
        <f>COUNTIFS(Table154157[Country],Tabela1[[#This Row],[Country]],Table154157[1000m Classification],"&gt;0")</f>
        <v>0</v>
      </c>
      <c r="QO191" s="6">
        <f>COUNTIFS(Table154[Country],Tabela1[[#This Row],[Country]],Table154[1500m Classification],"&gt;0")</f>
        <v>0</v>
      </c>
      <c r="QP191" s="6">
        <f>COUNTIFS(Table154157[Country],Tabela1[[#This Row],[Country]],Table154157[1500m Classification],"&gt;0")</f>
        <v>0</v>
      </c>
      <c r="QQ191" s="6">
        <f>COUNTIFS(Table154157[Country],Tabela1[[#This Row],[Country]],Table154157[3000m Classification],"&gt;0")</f>
        <v>0</v>
      </c>
      <c r="QR191" s="6">
        <f>COUNTIFS(Table154[Country],Tabela1[[#This Row],[Country]],Table154[5000m Classification],"&gt;0")</f>
        <v>0</v>
      </c>
      <c r="QS191" s="6">
        <f>COUNTIFS(Table154157[Country],Tabela1[[#This Row],[Country]],Table154157[5000m Classification],"&gt;0")</f>
        <v>0</v>
      </c>
      <c r="QT191" s="6">
        <f>COUNTIFS(Table154[Country],Tabela1[[#This Row],[Country]],Table154[10000m Classification],"&gt;0")</f>
        <v>0</v>
      </c>
      <c r="QU191" s="6">
        <f>COUNTIFS(Table154[Country],Tabela1[[#This Row],[Country]],Table154[Mass Start Classification],"&gt;0")</f>
        <v>0</v>
      </c>
      <c r="QV191" s="6">
        <f>COUNTIFS(Table154157[Country],Tabela1[[#This Row],[Country]],Table154157[Mass Start Classification],"&gt;0")</f>
        <v>0</v>
      </c>
      <c r="QW191" s="6">
        <f>COUNTIFS(Table157[Country],Tabela1[[#This Row],[Country]],Table157[Men''s Pursuit Classification],"&gt;0")</f>
        <v>0</v>
      </c>
      <c r="QX191" s="6">
        <f>COUNTIFS(Table157[Country],Tabela1[[#This Row],[Country]],Table157[Women''s Pursuit Classification],"&gt;0")</f>
        <v>0</v>
      </c>
      <c r="QY191" s="3" t="s">
        <v>645</v>
      </c>
    </row>
    <row r="192" spans="1:467" x14ac:dyDescent="0.3">
      <c r="A192" s="6">
        <v>191</v>
      </c>
      <c r="B192" s="6" t="s">
        <v>652</v>
      </c>
      <c r="C192" t="e" vm="191">
        <f>IF(ISBLANK(Tabela1[[#This Row],[Image Link]]), "", _xlfn.IMAGE(Tabela1[[#This Row],[Image Link]],1,1))</f>
        <v>#VALUE!</v>
      </c>
      <c r="D192" s="6">
        <f>SUM(Tabela1[[#This Row],[Archery - Men''s Individual Recurve]:[Speed Skating - Women''s Team Pursuit]])</f>
        <v>0</v>
      </c>
      <c r="E192" s="6">
        <f>COUNTIF(Tabela1[[#This Row],[Archery - Men''s Individual Recurve]:[Speed Skating - Women''s Team Pursuit]],"&gt;0")</f>
        <v>0</v>
      </c>
      <c r="F192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92" s="6">
        <f>SUM(Tabela1[[#This Row],[Archery - Men''s Individual Recurve]:[Wrestling - Women''s Freestyle 76kg]])</f>
        <v>0</v>
      </c>
      <c r="H192" s="6">
        <f>SUM(Tabela1[[#This Row],[Alpine Skiing - Men''s Downhill]:[Speed Skating - Women''s Team Pursuit]])</f>
        <v>0</v>
      </c>
      <c r="I192" s="6">
        <f>Tabela1[[#This Row],[Summer Gold Medals]]+Tabela1[[#This Row],[Winter Gold Medals]]</f>
        <v>0</v>
      </c>
      <c r="J192" s="6">
        <f>Tabela1[[#This Row],[Summer Silver Medals]]+Tabela1[[#This Row],[Winter Silver Medals]]</f>
        <v>0</v>
      </c>
      <c r="K192" s="6">
        <f>Tabela1[[#This Row],[Summer Bronze Medals]]+Tabela1[[#This Row],[Winter Bronze Medals]]</f>
        <v>0</v>
      </c>
      <c r="L192" s="6">
        <f>SUM(Tabela1[[#This Row],[Total Gold Medals]:[Total Bronze Medals]])</f>
        <v>0</v>
      </c>
      <c r="M192" s="6"/>
      <c r="N192" s="6"/>
      <c r="O192" s="6"/>
      <c r="P192" s="6">
        <f>SUM(Tabela1[[#This Row],[Summer Gold Medals]:[Summer Bronze Medals]])</f>
        <v>0</v>
      </c>
      <c r="Q192" s="6"/>
      <c r="R192" s="6"/>
      <c r="S192" s="6"/>
      <c r="T192" s="6">
        <f>Tabela1[[#This Row],[Winter Gold Medals]]+Tabela1[[#This Row],[Winter Silver Medals]]+Tabela1[[#This Row],[Winter Bronze Medals]]</f>
        <v>0</v>
      </c>
      <c r="U192" s="7" t="e">
        <f>Tabela1[[#This Row],[Total Medals]]/Tabela1[[#This Row],[Total Quotas]]</f>
        <v>#DIV/0!</v>
      </c>
      <c r="V192" s="6">
        <f>COUNTIFS(Table3[Country],Tabela1[[#This Row],[Country]],Table3[Recurve Classification],"&gt;0")</f>
        <v>0</v>
      </c>
      <c r="W192" s="6">
        <f>COUNTIFS(Table33[Country],Tabela1[[#This Row],[Country]],Table33[Recurve Classification],"&gt;0")</f>
        <v>0</v>
      </c>
      <c r="X192" s="6">
        <f>COUNTIFS(Table35[Country],Tabela1[[#This Row],[Country]],Table35[Men''s Team Recurve Classification],"&gt;0")</f>
        <v>0</v>
      </c>
      <c r="Y192" s="6">
        <f>COUNTIFS(Table35[Country],Tabela1[[#This Row],[Country]],Table35[Women''s Team Recurve Classification],"&gt;0")</f>
        <v>0</v>
      </c>
      <c r="Z192" s="6">
        <f>COUNTIFS(Tabela88[Country],Tabela1[[#This Row],[Country]],Tabela88[Mixed Team Recurve Classification],"&gt;0")</f>
        <v>0</v>
      </c>
      <c r="AA192" s="6">
        <f>COUNTIFS(Table36[Country],Tabela1[[#This Row],[Country]],Table36[Classification],"&gt;0")</f>
        <v>0</v>
      </c>
      <c r="AB192" s="6">
        <f>COUNTIFS(Table37[Country],Tabela1[[#This Row],[Country]],Table37[Classification],"&gt;0")</f>
        <v>0</v>
      </c>
      <c r="AC192" s="6">
        <f>COUNTIFS(Table4[Country],Tabela1[[#This Row],[Country]],Table4[100m Classification],"&gt;0")</f>
        <v>0</v>
      </c>
      <c r="AD192" s="6">
        <f>COUNTIFS(Table5[Country],Tabela1[[#This Row],[Country]],Table5[100m Classification],"&gt;0")</f>
        <v>0</v>
      </c>
      <c r="AE192" s="6">
        <f>COUNTIFS(Table4[Country],Tabela1[[#This Row],[Country]],Table4[200m Classification],"&gt;0")</f>
        <v>0</v>
      </c>
      <c r="AF192" s="6">
        <f>COUNTIFS(Table5[Country],Tabela1[[#This Row],[Country]],Table5[200m Classification],"&gt;0")</f>
        <v>0</v>
      </c>
      <c r="AG192" s="6">
        <f>COUNTIFS(Table4[Country],Tabela1[[#This Row],[Country]],Table4[400m Classification],"&gt;0")</f>
        <v>0</v>
      </c>
      <c r="AH192" s="6">
        <f>COUNTIFS(Table5[Country],Tabela1[[#This Row],[Country]],Table5[400m Classification],"&gt;0")</f>
        <v>0</v>
      </c>
      <c r="AI192" s="6">
        <f>COUNTIFS(Table4[Country],Tabela1[[#This Row],[Country]],Table4[800m Classification],"&gt;0")</f>
        <v>0</v>
      </c>
      <c r="AJ192" s="6">
        <f>COUNTIFS(Table5[Country],Tabela1[[#This Row],[Country]],Table5[800m Classification],"&gt;0")</f>
        <v>0</v>
      </c>
      <c r="AK192" s="6">
        <f>COUNTIFS(Table4[Country],Tabela1[[#This Row],[Country]],Table4[1500m Classification],"&gt;0")</f>
        <v>0</v>
      </c>
      <c r="AL192" s="6">
        <f>COUNTIFS(Table5[Country],Tabela1[[#This Row],[Country]],Table5[1500m Classification],"&gt;0")</f>
        <v>0</v>
      </c>
      <c r="AM192" s="6">
        <f>COUNTIFS(Table4[Country],Tabela1[[#This Row],[Country]],Table4[5000m Classification],"&gt;0")</f>
        <v>0</v>
      </c>
      <c r="AN192" s="6">
        <f>COUNTIFS(Table5[Country],Tabela1[[#This Row],[Country]],Table5[5000m Classification],"&gt;0")</f>
        <v>0</v>
      </c>
      <c r="AO192" s="6">
        <f>COUNTIFS(Table4[Country],Tabela1[[#This Row],[Country]],Table4[10000m Classification],"&gt;0")</f>
        <v>0</v>
      </c>
      <c r="AP192" s="6">
        <f>COUNTIFS(Table5[Country],Tabela1[[#This Row],[Country]],Table5[10000m Classification],"&gt;0")</f>
        <v>0</v>
      </c>
      <c r="AQ192" s="6">
        <f>COUNTIFS(Table4[Country],Tabela1[[#This Row],[Country]],Table4[110m Hurdles Classification],"&gt;0")</f>
        <v>0</v>
      </c>
      <c r="AR192" s="6">
        <f>COUNTIFS(Table5[Country],Tabela1[[#This Row],[Country]],Table5[100m Hurdles Classification],"&gt;0")</f>
        <v>0</v>
      </c>
      <c r="AS192" s="6">
        <f>COUNTIFS(Table4[Country],Tabela1[[#This Row],[Country]],Table4[400m Hurdles Classification],"&gt;0")</f>
        <v>0</v>
      </c>
      <c r="AT192" s="6">
        <f>COUNTIFS(Table5[Country],Tabela1[[#This Row],[Country]],Table5[400m Hurdles Classification],"&gt;0")</f>
        <v>0</v>
      </c>
      <c r="AU192" s="6">
        <f>COUNTIFS(Table4[Country],Tabela1[[#This Row],[Country]],Table4[3000m Steeplechase Classification],"&gt;0")</f>
        <v>0</v>
      </c>
      <c r="AV192" s="6">
        <f>COUNTIFS(Table5[Country],Tabela1[[#This Row],[Country]],Table5[3000m Steeplechase Classification],"&gt;0")</f>
        <v>0</v>
      </c>
      <c r="AW192" s="6">
        <f>COUNTIFS(Table27[Country],Tabela1[[#This Row],[Country]],Table27[Men''s 4x100m Relay Classification],"&gt;0")</f>
        <v>0</v>
      </c>
      <c r="AX192" s="6">
        <f>COUNTIFS(Table27[Country],Tabela1[[#This Row],[Country]],Table27[Women''s 4x100m Relay Classification],"&gt;0")</f>
        <v>0</v>
      </c>
      <c r="AY192" s="6">
        <f>COUNTIFS(Table27[Country],Tabela1[[#This Row],[Country]],Table27[Men''s 4x400m Relay Classification],"&gt;0")</f>
        <v>0</v>
      </c>
      <c r="AZ192" s="6">
        <f>COUNTIFS(Table27[Country],Tabela1[[#This Row],[Country]],Table27[Women''s 4x400m Relay Classification],"&gt;0")</f>
        <v>0</v>
      </c>
      <c r="BA192" s="6">
        <f>COUNTIFS(Table27[Country],Tabela1[[#This Row],[Country]],Table27[Mixed 4x400m Relay Classification],"&gt;0")</f>
        <v>0</v>
      </c>
      <c r="BB192" s="6">
        <f>COUNTIFS(Table4[Country],Tabela1[[#This Row],[Country]],Table4[Marathon Classification],"&gt;0")</f>
        <v>0</v>
      </c>
      <c r="BC192" s="6">
        <f>COUNTIFS(Table5[Country],Tabela1[[#This Row],[Country]],Table5[Marathon Classification],"&gt;0")</f>
        <v>0</v>
      </c>
      <c r="BD192" s="6">
        <f>COUNTIFS(Table4[Country],Tabela1[[#This Row],[Country]],Table4[20km Race Walk Classification],"&gt;0")</f>
        <v>0</v>
      </c>
      <c r="BE192" s="6">
        <f>COUNTIFS(Table5[Country],Tabela1[[#This Row],[Country]],Table5[20km Race Walk Classification],"&gt;0")</f>
        <v>0</v>
      </c>
      <c r="BF192" s="6">
        <f>COUNTIFS(Tabela96[Country],Tabela1[[#This Row],[Country]],Tabela96[Mixed Marathon Race Walk Relay Classification],"&gt;0")</f>
        <v>0</v>
      </c>
      <c r="BG192" s="6">
        <f>COUNTIFS(Table4[Country],Tabela1[[#This Row],[Country]],Table4[Discus Throw Classification],"&gt;0")</f>
        <v>0</v>
      </c>
      <c r="BH192" s="6">
        <f>COUNTIFS(Table5[Country],Tabela1[[#This Row],[Country]],Table5[Discus Throw Classification],"&gt;0")</f>
        <v>0</v>
      </c>
      <c r="BI192" s="6">
        <f>COUNTIFS(Table4[Country],Tabela1[[#This Row],[Country]],Table4[Hammer Throw Classification],"&gt;0")</f>
        <v>0</v>
      </c>
      <c r="BJ192" s="6">
        <f>COUNTIFS(Table5[Country],Tabela1[[#This Row],[Country]],Table5[Hammer Throw Classification],"&gt;0")</f>
        <v>0</v>
      </c>
      <c r="BK192" s="6">
        <f>COUNTIFS(Table4[Country],Tabela1[[#This Row],[Country]],Table4[High Jump Classification],"&gt;0")</f>
        <v>0</v>
      </c>
      <c r="BL192" s="6">
        <f>COUNTIFS(Table5[Country],Tabela1[[#This Row],[Country]],Table5[High Jump Classification],"&gt;0")</f>
        <v>0</v>
      </c>
      <c r="BM192" s="6">
        <f>COUNTIFS(Table4[Country],Tabela1[[#This Row],[Country]],Table4[Javelin Throw Classification],"&gt;0")</f>
        <v>0</v>
      </c>
      <c r="BN192" s="6">
        <f>COUNTIFS(Table5[Country],Tabela1[[#This Row],[Country]],Table5[Javelin Throw Classification],"&gt;0")</f>
        <v>0</v>
      </c>
      <c r="BO192" s="6">
        <f>COUNTIFS(Table4[Country],Tabela1[[#This Row],[Country]],Table4[Long Jump Classification],"&gt;0")</f>
        <v>0</v>
      </c>
      <c r="BP192" s="6">
        <f>COUNTIFS(Table5[Country],Tabela1[[#This Row],[Country]],Table5[Long Jump Classification],"&gt;0")</f>
        <v>0</v>
      </c>
      <c r="BQ192" s="6">
        <f>COUNTIFS(Table4[Country],Tabela1[[#This Row],[Country]],Table4[Pole Vault Classification],"&gt;0")</f>
        <v>0</v>
      </c>
      <c r="BR192" s="6">
        <f>COUNTIFS(Table5[Country],Tabela1[[#This Row],[Country]],Table5[Pole Vault Classification],"&gt;0")</f>
        <v>0</v>
      </c>
      <c r="BS192" s="6">
        <f>COUNTIFS(Table4[Country],Tabela1[[#This Row],[Country]],Table4[Shot Put Classification],"&gt;0")</f>
        <v>0</v>
      </c>
      <c r="BT192" s="6">
        <f>COUNTIFS(Table5[Country],Tabela1[[#This Row],[Country]],Table5[Shot Put Classification],"&gt;0")</f>
        <v>0</v>
      </c>
      <c r="BU192" s="6">
        <f>COUNTIFS(Table4[Country],Tabela1[[#This Row],[Country]],Table4[Triple Jump Classification],"&gt;0")</f>
        <v>0</v>
      </c>
      <c r="BV192" s="6">
        <f>COUNTIFS(Table5[Country],Tabela1[[#This Row],[Country]],Table5[Triple Jump Classification],"&gt;0")</f>
        <v>0</v>
      </c>
      <c r="BW192" s="6">
        <f>COUNTIFS(Table4[Country],Tabela1[[#This Row],[Country]],Table4[Decathlon Classification],"&gt;0")</f>
        <v>0</v>
      </c>
      <c r="BX192" s="6">
        <f>COUNTIFS(Table5[Country],Tabela1[[#This Row],[Country]],Table5[Heptathlon Classification],"&gt;0")</f>
        <v>0</v>
      </c>
      <c r="BY192" s="6">
        <f>COUNTIFS(Table61[Country],Tabela1[[#This Row],[Country]],Table61[Classification],"&gt;0")</f>
        <v>0</v>
      </c>
      <c r="BZ192" s="6">
        <f>COUNTIFS(Table38[Country],Tabela1[[#This Row],[Country]],Table38[Classification],"&gt;0")</f>
        <v>0</v>
      </c>
      <c r="CA192" s="6">
        <f>COUNTIFS(Table39[Country],Tabela1[[#This Row],[Country]],Table39[Men''s Classification],"&gt;0")</f>
        <v>0</v>
      </c>
      <c r="CB192" s="6">
        <f>COUNTIFS(Table39[Country],Tabela1[[#This Row],[Country]],Table39[Women''s Classification],"&gt;0")</f>
        <v>0</v>
      </c>
      <c r="CC192" s="6">
        <f>COUNTIFS(Table39[Country],Tabela1[[#This Row],[Country]],Table39[Mixed Classification],"&gt;0")</f>
        <v>0</v>
      </c>
      <c r="CD192" s="6">
        <f>COUNTIFS(Table89[Country],Tabela1[[#This Row],[Country]],Table89[Men''s Classification],"&gt;0")</f>
        <v>0</v>
      </c>
      <c r="CE192" s="6">
        <f>COUNTIFS(Table89[Country],Tabela1[[#This Row],[Country]],Table89[Women''s Classification],"&gt;0")</f>
        <v>0</v>
      </c>
      <c r="CF192" s="6">
        <f>COUNTIFS(Table90[Country],Tabela1[[#This Row],[Country]],Table90[Men''s Classification],"&gt;0")</f>
        <v>0</v>
      </c>
      <c r="CG192" s="6">
        <f>COUNTIFS(Table90[Country],Tabela1[[#This Row],[Country]],Table90[Women''s Classification],"&gt;0")</f>
        <v>0</v>
      </c>
      <c r="CH192" s="6">
        <f>COUNTIFS(Table60[Country],Tabela1[[#This Row],[Country]],Table60[Men''s Classification],"&gt;0")</f>
        <v>0</v>
      </c>
      <c r="CI192" s="6">
        <f>COUNTIFS(Table60[Country],Tabela1[[#This Row],[Country]],Table60[Women''s Classification],"&gt;0")</f>
        <v>0</v>
      </c>
      <c r="CJ192" s="6">
        <f>COUNTIFS(Table6[Country],Tabela1[[#This Row],[Country]],Table6[51kg Classification],"&gt;0")</f>
        <v>0</v>
      </c>
      <c r="CK192" s="6">
        <f>COUNTIFS(Table6[Country],Tabela1[[#This Row],[Country]],Table6[57kg Classification],"&gt;0")</f>
        <v>0</v>
      </c>
      <c r="CL192" s="6">
        <f>COUNTIFS(Table6[Country],Tabela1[[#This Row],[Country]],Table6[63.5kg Classification],"&gt;0")</f>
        <v>0</v>
      </c>
      <c r="CM192" s="6">
        <f>COUNTIFS(Table6[Country],Tabela1[[#This Row],[Country]],Table6[71kg Classification],"&gt;0")</f>
        <v>0</v>
      </c>
      <c r="CN192" s="6">
        <f>COUNTIFS(Table6[Country],Tabela1[[#This Row],[Country]],Table6[80kg Classification],"&gt;0")</f>
        <v>0</v>
      </c>
      <c r="CO192" s="6">
        <f>COUNTIFS(Table6[Country],Tabela1[[#This Row],[Country]],Table6[92kg Classification],"&gt;0")</f>
        <v>0</v>
      </c>
      <c r="CP192" s="6">
        <f>COUNTIFS(Table6[Country],Tabela1[[#This Row],[Country]],Table6[Plus 92kg Classification],"&gt;0")</f>
        <v>0</v>
      </c>
      <c r="CQ192" s="6">
        <f>COUNTIFS(Table7[Country],Tabela1[[#This Row],[Country]],Table7[50kg Classification],"&gt;0")</f>
        <v>0</v>
      </c>
      <c r="CR192" s="6">
        <f>COUNTIFS(Table7[Country],Tabela1[[#This Row],[Country]],Table7[54kg Classification],"&gt;0")</f>
        <v>0</v>
      </c>
      <c r="CS192" s="6">
        <f>COUNTIFS(Table7[Country],Tabela1[[#This Row],[Country]],Table7[57kg Classification],"&gt;0")</f>
        <v>0</v>
      </c>
      <c r="CT192" s="6">
        <f>COUNTIFS(Table7[Country],Tabela1[[#This Row],[Country]],Table7[60kg Classification],"&gt;0")</f>
        <v>0</v>
      </c>
      <c r="CU192" s="6">
        <f>COUNTIFS(Table7[Country],Tabela1[[#This Row],[Country]],Table7[66kg Classification],"&gt;0")</f>
        <v>0</v>
      </c>
      <c r="CV192" s="6">
        <f>COUNTIFS(Table7[Country],Tabela1[[#This Row],[Country]],Table7[75kg Classification],"&gt;0")</f>
        <v>0</v>
      </c>
      <c r="CW192" s="6">
        <f>COUNTIFS(Tabela94[Country],Tabela1[[#This Row],[Country]],Tabela94[Classification],"&gt;0")</f>
        <v>0</v>
      </c>
      <c r="CX192" s="6">
        <f>COUNTIFS(Tabela9499[Country],Tabela1[[#This Row],[Country]],Tabela9499[Classification],"&gt;0")</f>
        <v>0</v>
      </c>
      <c r="CY192" s="6">
        <f>COUNTIFS(Tabela107[Country],Tabela1[[#This Row],[Country]],Tabela107[C1 Slalom Classification],"&gt;0")</f>
        <v>0</v>
      </c>
      <c r="CZ192" s="6">
        <f>COUNTIFS(Tabela107122[Country],Tabela1[[#This Row],[Country]],Tabela107122[C1 Slalom Classification],"&gt;0")</f>
        <v>0</v>
      </c>
      <c r="DA192" s="6">
        <f>COUNTIFS(Tabela107[Country],Tabela1[[#This Row],[Country]],Tabela107[K1 Slalom Classification],"&gt;0")</f>
        <v>0</v>
      </c>
      <c r="DB192" s="6">
        <f>COUNTIFS(Tabela107122[Country],Tabela1[[#This Row],[Country]],Tabela107122[K1 Slalom Classification],"&gt;0")</f>
        <v>0</v>
      </c>
      <c r="DC192" s="6">
        <f>COUNTIFS(Tabela107[Country],Tabela1[[#This Row],[Country]],Tabela107[Kayak Cross Slalom Classification],"&gt;0")</f>
        <v>0</v>
      </c>
      <c r="DD192" s="6">
        <f>COUNTIFS(Tabela107122[Country],Tabela1[[#This Row],[Country]],Tabela107122[Kayak Cross Slalom Classification],"&gt;0")</f>
        <v>0</v>
      </c>
      <c r="DE192" s="6">
        <f>COUNTIFS(Table8[Country],Tabela1[[#This Row],[Country]],Table8[C1 200m Classification],"&gt;0")</f>
        <v>0</v>
      </c>
      <c r="DF192" s="6">
        <f>COUNTIFS(Table40[Country],Tabela1[[#This Row],[Country]],Table40[C1 1000m Classification],"&gt;0")</f>
        <v>0</v>
      </c>
      <c r="DG192" s="6">
        <f>COUNTIFS(Table68[Country],Tabela1[[#This Row],[Country]],Table68[Men''s C2 500m Classification],"&gt;0")</f>
        <v>0</v>
      </c>
      <c r="DH192" s="6">
        <f>COUNTIFS(Table68[Country],Tabela1[[#This Row],[Country]],Table68[Women''s C2 500m Classification],"&gt;0")</f>
        <v>0</v>
      </c>
      <c r="DI192" s="6">
        <f>COUNTIFS(Table8[Country],Tabela1[[#This Row],[Country]],Table8[K1 500m Classification],"&gt;0")</f>
        <v>0</v>
      </c>
      <c r="DJ192" s="6">
        <f>COUNTIFS(Table40[Country],Tabela1[[#This Row],[Country]],Table40[K1 1000m Classification],"&gt;0")</f>
        <v>0</v>
      </c>
      <c r="DK192" s="6">
        <f>COUNTIFS(Table68[Country],Tabela1[[#This Row],[Country]],Table68[Men''s K2 500m Classification],"&gt;0")</f>
        <v>0</v>
      </c>
      <c r="DL192" s="6">
        <f>COUNTIFS(Table68[Country],Tabela1[[#This Row],[Country]],Table68[Women''s K2 500m Classification],"&gt;0")</f>
        <v>0</v>
      </c>
      <c r="DM192" s="6">
        <f>COUNTIFS(Table83[Country],Tabela1[[#This Row],[Country]],Table83[Men''s K4 500m Classification],"&gt;0")</f>
        <v>0</v>
      </c>
      <c r="DN192" s="6">
        <f>COUNTIFS(Table83[Country],Tabela1[[#This Row],[Country]],Table83[Women''s K4 500m Classification],"&gt;0")</f>
        <v>0</v>
      </c>
      <c r="DO192" s="6">
        <f>COUNTIFS(Tabela126[Country],Tabela1[[#This Row],[Country]],Tabela126[Classification],"&gt;0")</f>
        <v>0</v>
      </c>
      <c r="DP192" s="6">
        <f>COUNTIFS(Tabela126130[Country],Tabela1[[#This Row],[Country]],Tabela126130[Classification],"&gt;0")</f>
        <v>0</v>
      </c>
      <c r="DQ192" s="6">
        <f>COUNTIFS(Table70[Country],Tabela1[[#This Row],[Country]],Table70[Classification],"&gt;0")</f>
        <v>0</v>
      </c>
      <c r="DR192" s="6">
        <f>COUNTIFS(Table80[Country],Tabela1[[#This Row],[Country]],Table80[Classification],"&gt;0")</f>
        <v>0</v>
      </c>
      <c r="DS192" s="6">
        <f>COUNTIFS(Table66[Country],Tabela1[[#This Row],[Country]],Table66[Classification],"&gt;0")</f>
        <v>0</v>
      </c>
      <c r="DT192" s="6">
        <f>COUNTIFS(Table67[Country],Tabela1[[#This Row],[Country]],Table67[Classification],"&gt;0")</f>
        <v>0</v>
      </c>
      <c r="DU192" s="6">
        <f>COUNTIFS(Table69[Country],Tabela1[[#This Row],[Country]],Table69[Keirin Classification],"&gt;0")</f>
        <v>0</v>
      </c>
      <c r="DV192" s="6">
        <f>COUNTIFS(Table41[Country],Tabela1[[#This Row],[Country]],Table41[Keirin Classification],"&gt;0")</f>
        <v>0</v>
      </c>
      <c r="DW192" s="6">
        <f>COUNTIFS(Table84[Country],Tabela1[[#This Row],[Country]],Table84[Men''s Madison Classification],"&gt;0")</f>
        <v>0</v>
      </c>
      <c r="DX192" s="6">
        <f>COUNTIFS(Table84[Country],Tabela1[[#This Row],[Country]],Table84[Women''s Madison Classification],"&gt;0")</f>
        <v>0</v>
      </c>
      <c r="DY192" s="6">
        <f>COUNTIFS(Table69[Country],Tabela1[[#This Row],[Country]],Table69[Omnium Classification],"&gt;0")</f>
        <v>0</v>
      </c>
      <c r="DZ192" s="6">
        <f>COUNTIFS(Table41[Country],Tabela1[[#This Row],[Country]],Table41[Omnium Classification],"&gt;0")</f>
        <v>0</v>
      </c>
      <c r="EA192" s="6">
        <f>COUNTIFS(Table9[Country],Tabela1[[#This Row],[Country]],Table9[Road Race Classification],"&gt;0")</f>
        <v>0</v>
      </c>
      <c r="EB192" s="6">
        <f>COUNTIFS(Table14[Country],Tabela1[[#This Row],[Country]],Table14[Road Race Classification],"&gt;0")</f>
        <v>0</v>
      </c>
      <c r="EC192" s="6">
        <f>COUNTIFS(Table69[Country],Tabela1[[#This Row],[Country]],Table69[Sprint Classification],"&gt;0")</f>
        <v>0</v>
      </c>
      <c r="ED192" s="6">
        <f>COUNTIFS(Table41[Country],Tabela1[[#This Row],[Country]],Table41[Sprint Classification],"&gt;0")</f>
        <v>0</v>
      </c>
      <c r="EE192" s="6">
        <f>COUNTIFS(Table85[Country],Tabela1[[#This Row],[Country]],Table85[Men''s Sprint Classification],"&gt;0")</f>
        <v>0</v>
      </c>
      <c r="EF192" s="6">
        <f>COUNTIFS(Table85[Country],Tabela1[[#This Row],[Country]],Table85[Women''s Sprint Classification],"&gt;0")</f>
        <v>0</v>
      </c>
      <c r="EG192" s="6">
        <f>COUNTIFS(Table85[Country],Tabela1[[#This Row],[Country]],Table85[Men''s Pursuit Classification],"&gt;0")</f>
        <v>0</v>
      </c>
      <c r="EH192" s="6">
        <f>COUNTIFS(Table85[Country],Tabela1[[#This Row],[Country]],Table85[Women''s Pursuit Classification],"&gt;0")</f>
        <v>0</v>
      </c>
      <c r="EI192" s="6">
        <f>COUNTIFS(Table9[Country],Tabela1[[#This Row],[Country]],Table9[Time-Trial Classification],"&gt;0")</f>
        <v>0</v>
      </c>
      <c r="EJ192" s="6">
        <f>COUNTIFS(Table14[Country],Tabela1[[#This Row],[Country]],Table14[Time-Trial Classification],"&gt;0")</f>
        <v>0</v>
      </c>
      <c r="EK192" s="6">
        <f>COUNTIFS(Table42[Country],Tabela1[[#This Row],[Country]],Table42[Springboard Classification],"&gt;0")</f>
        <v>0</v>
      </c>
      <c r="EL192" s="6">
        <f>COUNTIFS(Table43[Country],Tabela1[[#This Row],[Country]],Table43[Springboard Classification],"&gt;0")</f>
        <v>0</v>
      </c>
      <c r="EM192" s="6">
        <f>COUNTIFS(Table42[Country],Tabela1[[#This Row],[Country]],Table42[Platform Classification],"&gt;0")</f>
        <v>0</v>
      </c>
      <c r="EN192" s="6">
        <f>COUNTIFS(Table43[Country],Tabela1[[#This Row],[Country]],Table43[Platform Classification],"&gt;0")</f>
        <v>0</v>
      </c>
      <c r="EO192" s="6">
        <f>COUNTIFS(Table86[Country],Tabela1[[#This Row],[Country]],Table86[Men''s Synchronized Springboard Classification],"&gt;0")</f>
        <v>0</v>
      </c>
      <c r="EP192" s="6">
        <f>COUNTIFS(Table86[Country],Tabela1[[#This Row],[Country]],Table86[Women''s Synchronized Springboard Classification],"&gt;0")</f>
        <v>0</v>
      </c>
      <c r="EQ192" s="6">
        <f>COUNTIFS(Table86[Country],Tabela1[[#This Row],[Country]],Table86[Men''s Synchronized Platform Classification],"&gt;0")</f>
        <v>0</v>
      </c>
      <c r="ER192" s="6">
        <f>COUNTIFS(Table86[Country],Tabela1[[#This Row],[Country]],Table86[Women''s Synchronized Platform Classification],"&gt;0")</f>
        <v>0</v>
      </c>
      <c r="ES192" s="6">
        <f>COUNTIFS(Table44[Country],Tabela1[[#This Row],[Country]],Table44[Dressage Classification],"&gt;0")</f>
        <v>0</v>
      </c>
      <c r="ET192" s="6">
        <f>COUNTIFS(Table45[Country],Tabela1[[#This Row],[Country]],Table45[Dressage Classification],"&gt;0")</f>
        <v>0</v>
      </c>
      <c r="EU192" s="6">
        <f>COUNTIFS(Table44[Country],Tabela1[[#This Row],[Country]],Table44[Eventing Classification],"&gt;0")</f>
        <v>0</v>
      </c>
      <c r="EV192" s="6">
        <f>COUNTIFS(Table45[Country],Tabela1[[#This Row],[Country]],Table45[Eventing Classification],"&gt;0")</f>
        <v>0</v>
      </c>
      <c r="EW192" s="6">
        <f>COUNTIFS(Table44[Country],Tabela1[[#This Row],[Country]],Table44[Jumping Classification],"&gt;0")</f>
        <v>0</v>
      </c>
      <c r="EX192" s="6">
        <f>COUNTIFS(Table45[Country],Tabela1[[#This Row],[Country]],Table45[Jumping Classification],"&gt;0")</f>
        <v>0</v>
      </c>
      <c r="EY192" s="6">
        <f>COUNTIFS(Table10[Country],Tabela1[[#This Row],[Country]],Table10[Épée Classification],"&gt;0")</f>
        <v>0</v>
      </c>
      <c r="EZ192" s="6">
        <f>COUNTIFS(Table11[Country],Tabela1[[#This Row],[Country]],Table11[Épée Classification],"&gt;0")</f>
        <v>0</v>
      </c>
      <c r="FA192" s="6">
        <f>COUNTIFS(Table46[Country],Tabela1[[#This Row],[Country]],Table46[Men''s Épée Classification],"&gt;0")</f>
        <v>0</v>
      </c>
      <c r="FB192" s="6">
        <f>COUNTIFS(Table46[Country],Tabela1[[#This Row],[Country]],Table46[Women''s Épée Classification],"&gt;0")</f>
        <v>0</v>
      </c>
      <c r="FC192" s="6">
        <f>COUNTIFS(Table10[Country],Tabela1[[#This Row],[Country]],Table10[Foil Classification],"&gt;0")</f>
        <v>0</v>
      </c>
      <c r="FD192" s="6">
        <f>COUNTIFS(Table11[Country],Tabela1[[#This Row],[Country]],Table11[Foil Classification],"&gt;0")</f>
        <v>0</v>
      </c>
      <c r="FE192" s="6">
        <f>COUNTIFS(Table46[Country],Tabela1[[#This Row],[Country]],Table46[Men''s Foil Classification],"&gt;0")</f>
        <v>0</v>
      </c>
      <c r="FF192" s="6">
        <f>COUNTIFS(Table46[Country],Tabela1[[#This Row],[Country]],Table46[Women''s Foil Classification],"&gt;0")</f>
        <v>0</v>
      </c>
      <c r="FG192" s="6">
        <f>COUNTIFS(Table10[Country],Tabela1[[#This Row],[Country]],Table10[Sabre Classification],"&gt;0")</f>
        <v>0</v>
      </c>
      <c r="FH192" s="6">
        <f>COUNTIFS(Table11[Country],Tabela1[[#This Row],[Country]],Table11[Sabre Classification],"&gt;0")</f>
        <v>0</v>
      </c>
      <c r="FI192" s="6">
        <f>COUNTIFS(Table46[Country],Tabela1[[#This Row],[Country]],Table46[Men''s Sabre Classification],"&gt;0")</f>
        <v>0</v>
      </c>
      <c r="FJ192" s="6">
        <f>COUNTIFS(Table46[Country],Tabela1[[#This Row],[Country]],Table46[Women''s Sabre Classification],"&gt;0")</f>
        <v>0</v>
      </c>
      <c r="FK192" s="6">
        <f>COUNTIFS(Table91[Country],Tabela1[[#This Row],[Country]],Table91[Men''s Classification],"&gt;0")</f>
        <v>0</v>
      </c>
      <c r="FL192" s="6">
        <f>COUNTIFS(Table91[Country],Tabela1[[#This Row],[Country]],Table91[Women''s Classification],"&gt;0")</f>
        <v>0</v>
      </c>
      <c r="FM192" s="6">
        <f>COUNTIFS(Table9194[Country],Tabela1[[#This Row],[Country]],Table9194[Men''s Classification],"&gt;0")</f>
        <v>0</v>
      </c>
      <c r="FN192" s="6">
        <f>COUNTIFS(Table9194[Country],Tabela1[[#This Row],[Country]],Table9194[Women''s Classification],"&gt;0")</f>
        <v>0</v>
      </c>
      <c r="FO192" s="6">
        <f>COUNTIFS(Table71[Country],Tabela1[[#This Row],[Country]],Table71[Classification],"&gt;0")</f>
        <v>0</v>
      </c>
      <c r="FP192" s="6">
        <f>COUNTIFS(Table62[Country],Tabela1[[#This Row],[Country]],Table62[Classification],"&gt;0")</f>
        <v>0</v>
      </c>
      <c r="FQ192" s="6">
        <f>COUNTIFS(Table47[Country],Tabela1[[#This Row],[Country]],Table47[All-Around Classification],"&gt;0")</f>
        <v>0</v>
      </c>
      <c r="FR192" s="6">
        <f>COUNTIFS(Table48[Country],Tabela1[[#This Row],[Country]],Table48[All-Around Classification],"&gt;0")</f>
        <v>0</v>
      </c>
      <c r="FS192" s="6">
        <f>COUNTIFS(Table81[Country],Tabela1[[#This Row],[Country]],Table81[Men''s All-Around Classification],"&gt;0")</f>
        <v>0</v>
      </c>
      <c r="FT192" s="6">
        <f>COUNTIFS(Table81[Country],Tabela1[[#This Row],[Country]],Table81[Women''s All-Around Classification],"&gt;0")</f>
        <v>0</v>
      </c>
      <c r="FU192" s="6">
        <f>COUNTIFS(Table48[Country],Tabela1[[#This Row],[Country]],Table48[Balance Beam Classification],"&gt;0")</f>
        <v>0</v>
      </c>
      <c r="FV192" s="6">
        <f>COUNTIFS(Table47[Country],Tabela1[[#This Row],[Country]],Table47[Floor Exercise Classification],"&gt;0")</f>
        <v>0</v>
      </c>
      <c r="FW192" s="6">
        <f>COUNTIFS(Table48[Country],Tabela1[[#This Row],[Country]],Table48[Floor Exercise Classification],"&gt;0")</f>
        <v>0</v>
      </c>
      <c r="FX192" s="6">
        <f>COUNTIFS(Table47[Country],Tabela1[[#This Row],[Country]],Table47[Horizontal Bar Classification],"&gt;0")</f>
        <v>0</v>
      </c>
      <c r="FY192" s="6">
        <f>COUNTIFS(Table47[Country],Tabela1[[#This Row],[Country]],Table47[Parallel Bars Classification],"&gt;0")</f>
        <v>0</v>
      </c>
      <c r="FZ192" s="6">
        <f>COUNTIFS(Table47[Country],Tabela1[[#This Row],[Country]],Table47[Pommel Horse Classification],"&gt;0")</f>
        <v>0</v>
      </c>
      <c r="GA192" s="6">
        <f>COUNTIFS(Table47[Country],Tabela1[[#This Row],[Country]],Table47[Rings Classification],"&gt;0")</f>
        <v>0</v>
      </c>
      <c r="GB192" s="6">
        <f>COUNTIFS(Tabela132[Country],Tabela1[[#This Row],[Country]],Tabela132[Classification],"&gt;0")</f>
        <v>0</v>
      </c>
      <c r="GC192" s="6">
        <f>COUNTIFS(Tabela139[Country],Tabela1[[#This Row],[Country]],Tabela139[Classification],"&gt;0")</f>
        <v>0</v>
      </c>
      <c r="GD192" s="6">
        <f>COUNTIFS(Table48[Country],Tabela1[[#This Row],[Country]],Table48[Uneven Bars Classification],"&gt;0")</f>
        <v>0</v>
      </c>
      <c r="GE192" s="6">
        <f>COUNTIFS(Table47[Country],Tabela1[[#This Row],[Country]],Table47[Vault Classification],"&gt;0")</f>
        <v>0</v>
      </c>
      <c r="GF192" s="6">
        <f>COUNTIFS(Table48[Country],Tabela1[[#This Row],[Country]],Table48[Vault Classification],"&gt;0")</f>
        <v>0</v>
      </c>
      <c r="GG192" s="6">
        <f>COUNTIFS(Table919496[Country],Tabela1[[#This Row],[Country]],Table919496[Men''s Classification],"&gt;0")</f>
        <v>0</v>
      </c>
      <c r="GH192" s="6">
        <f>COUNTIFS(Table919496[Country],Tabela1[[#This Row],[Country]],Table919496[Women''s Classification],"&gt;0")</f>
        <v>0</v>
      </c>
      <c r="GI192" s="6">
        <f>COUNTIFS(Table12[Country],Tabela1[[#This Row],[Country]],Table12[60kg Classification],"&gt;0")</f>
        <v>0</v>
      </c>
      <c r="GJ192" s="6">
        <f>COUNTIFS(Table12[Country],Tabela1[[#This Row],[Country]],Table12[66kg Classification],"&gt;0")</f>
        <v>0</v>
      </c>
      <c r="GK192" s="6">
        <f>COUNTIFS(Table12[Country],Tabela1[[#This Row],[Country]],Table12[73kg Classification],"&gt;0")</f>
        <v>0</v>
      </c>
      <c r="GL192" s="6">
        <f>COUNTIFS(Table12[Country],Tabela1[[#This Row],[Country]],Table12[81kg Classification],"&gt;0")</f>
        <v>0</v>
      </c>
      <c r="GM192" s="6">
        <f>COUNTIFS(Table12[Country],Tabela1[[#This Row],[Country]],Table12[90kg Classification],"&gt;0")</f>
        <v>0</v>
      </c>
      <c r="GN192" s="6">
        <f>COUNTIFS(Table12[Country],Tabela1[[#This Row],[Country]],Table12[100kg Classification],"&gt;0")</f>
        <v>0</v>
      </c>
      <c r="GO192" s="6">
        <f>COUNTIFS(Table12[Country],Tabela1[[#This Row],[Country]],Table12[Plus 100kg Classification],"&gt;0")</f>
        <v>0</v>
      </c>
      <c r="GP192" s="6">
        <f>COUNTIFS(Table13[Country],Tabela1[[#This Row],[Country]],Table13[48kg Classification],"&gt;0")</f>
        <v>0</v>
      </c>
      <c r="GQ192" s="6">
        <f>COUNTIFS(Table13[Country],Tabela1[[#This Row],[Country]],Table13[52kg Classification],"&gt;0")</f>
        <v>0</v>
      </c>
      <c r="GR192" s="6">
        <f>COUNTIFS(Table13[Country],Tabela1[[#This Row],[Country]],Table13[57kg Classification],"&gt;0")</f>
        <v>0</v>
      </c>
      <c r="GS192" s="6">
        <f>COUNTIFS(Table13[Country],Tabela1[[#This Row],[Country]],Table13[63kg Classification],"&gt;0")</f>
        <v>0</v>
      </c>
      <c r="GT192" s="6">
        <f>COUNTIFS(Table13[Country],Tabela1[[#This Row],[Country]],Table13[70kg Classification],"&gt;0")</f>
        <v>0</v>
      </c>
      <c r="GU192" s="6">
        <f>COUNTIFS(Table13[Country],Tabela1[[#This Row],[Country]],Table13[78kg Classification],"&gt;0")</f>
        <v>0</v>
      </c>
      <c r="GV192" s="6">
        <f>COUNTIFS(Table13[Country],Tabela1[[#This Row],[Country]],Table13[Plus 78kg Classification],"&gt;0")</f>
        <v>0</v>
      </c>
      <c r="GW192" s="6">
        <f>COUNTIFS(Table82[Country],Tabela1[[#This Row],[Country]],Table82[Mixed Classification],"&gt;0")</f>
        <v>0</v>
      </c>
      <c r="GX192" s="6">
        <f>COUNTIFS(Table51[Country],Tabela1[[#This Row],[Country]],Table51[Classification],"&gt;0")</f>
        <v>0</v>
      </c>
      <c r="GY192" s="6">
        <f>COUNTIFS(Table52[Country],Tabela1[[#This Row],[Country]],Table52[Classification],"&gt;0")</f>
        <v>0</v>
      </c>
      <c r="GZ192" s="6">
        <f>COUNTIFS(Table32[Country],Tabela1[[#This Row],[Country]],Table32[All-Around Classification],"&gt;0")</f>
        <v>0</v>
      </c>
      <c r="HA192" s="6">
        <f>COUNTIFS(Table49[Country],Tabela1[[#This Row],[Country]],Table49[All-Around Classification],"&gt;0")</f>
        <v>0</v>
      </c>
      <c r="HB192" s="6">
        <f>COUNTIFS(Table26[Country],Tabela1[[#This Row],[Country]],Table26[Single Sculls Classification],"&gt;0")</f>
        <v>0</v>
      </c>
      <c r="HC192" s="6">
        <f>COUNTIFS(Table63[Country],Tabela1[[#This Row],[Country]],Table63[Single Sculls Classification],"&gt;0")</f>
        <v>0</v>
      </c>
      <c r="HD192" s="6">
        <f>COUNTIFS(Table16[Country],Tabela1[[#This Row],[Country]],Table16[Men''s Double Sculls Classification],"&gt;0")</f>
        <v>0</v>
      </c>
      <c r="HE192" s="6">
        <f>COUNTIFS(Table16[Country],Tabela1[[#This Row],[Country]],Table16[Women''s Double Sculls Classification],"&gt;0")</f>
        <v>0</v>
      </c>
      <c r="HF192" s="6">
        <f>COUNTIFS(Table72[Country],Tabela1[[#This Row],[Country]],Table72[Men''s Quadruple Sculls Classification],"&gt;0")</f>
        <v>0</v>
      </c>
      <c r="HG192" s="6">
        <f>COUNTIFS(Table72[Country],Tabela1[[#This Row],[Country]],Table72[Women''s Quadruple Sculls Classification],"&gt;0")</f>
        <v>0</v>
      </c>
      <c r="HH192" s="6">
        <f>COUNTIFS(Table16[Country],Tabela1[[#This Row],[Country]],Table16[Men''s Coxless Pairs Classification],"&gt;0")</f>
        <v>0</v>
      </c>
      <c r="HI192" s="6">
        <f>COUNTIFS(Table16[Country],Tabela1[[#This Row],[Country]],Table16[Women''s Coxless Pairs Classification],"&gt;0")</f>
        <v>0</v>
      </c>
      <c r="HJ192" s="6">
        <f>COUNTIFS(Table72[Country],Tabela1[[#This Row],[Country]],Table72[Men''s Coxless Fours Classification],"&gt;0")</f>
        <v>0</v>
      </c>
      <c r="HK192" s="6">
        <f>COUNTIFS(Table72[Country],Tabela1[[#This Row],[Country]],Table72[Women''s Coxless Fours Classification],"&gt;0")</f>
        <v>0</v>
      </c>
      <c r="HL192" s="6">
        <f>COUNTIFS(Table72[Country],Tabela1[[#This Row],[Country]],Table72[Men''s Eights Classification],"&gt;0")</f>
        <v>0</v>
      </c>
      <c r="HM192" s="6">
        <f>COUNTIFS(Table72[Country],Tabela1[[#This Row],[Country]],Table72[Women''s Eights Classification],"&gt;0")</f>
        <v>0</v>
      </c>
      <c r="HN192" s="6">
        <f>COUNTIFS(Table16[Country],Tabela1[[#This Row],[Country]],Table16[Men''s Lwt. Double Sculls Classification],"&gt;0")</f>
        <v>0</v>
      </c>
      <c r="HO192" s="6">
        <f>COUNTIFS(Table16[Country],Tabela1[[#This Row],[Country]],Table16[Women''s Lwt. Double Sculls Classification],"&gt;0")</f>
        <v>0</v>
      </c>
      <c r="HP192" s="6">
        <f>COUNTIFS(Table91949698[Country],Tabela1[[#This Row],[Country]],Table91949698[Men''s Classification],"&gt;0")</f>
        <v>0</v>
      </c>
      <c r="HQ192" s="6">
        <f>COUNTIFS(Table91949698[Country],Tabela1[[#This Row],[Country]],Table91949698[Women''s Classification],"&gt;0")</f>
        <v>0</v>
      </c>
      <c r="HR192" s="6">
        <f>COUNTIFS(Table25[Country],Tabela1[[#This Row],[Country]],Table25[Mixed 470 Classification],"&gt;0")</f>
        <v>0</v>
      </c>
      <c r="HS192" s="6">
        <f>COUNTIFS(Table25[Country],Tabela1[[#This Row],[Country]],Table25[Men''s 49er Classification],"&gt;0")</f>
        <v>0</v>
      </c>
      <c r="HT192" s="6">
        <f>COUNTIFS(Table25[Country],Tabela1[[#This Row],[Country]],Table25[Women''s 49er FX Classification],"&gt;0")</f>
        <v>0</v>
      </c>
      <c r="HU192" s="6">
        <f>COUNTIFS(Table17[Country],Tabela1[[#This Row],[Country]],Table17[Formula Kite Classification],"&gt;0")</f>
        <v>0</v>
      </c>
      <c r="HV192" s="6">
        <f>COUNTIFS(Table18[Country],Tabela1[[#This Row],[Country]],Table18[Formula Kite Classification],"&gt;0")</f>
        <v>0</v>
      </c>
      <c r="HW192" s="6">
        <f>COUNTIFS(Table17[Country],Tabela1[[#This Row],[Country]],Table17[ILCA 7 Classification],"&gt;0")</f>
        <v>0</v>
      </c>
      <c r="HX192" s="6">
        <f>COUNTIFS(Table18[Country],Tabela1[[#This Row],[Country]],Table18[ILCA 6 Classification],"&gt;0")</f>
        <v>0</v>
      </c>
      <c r="HY192" s="6">
        <f>COUNTIFS(Table17[Country],Tabela1[[#This Row],[Country]],Table17[IQFoil Classification],"&gt;0")</f>
        <v>0</v>
      </c>
      <c r="HZ192" s="6">
        <f>COUNTIFS(Table18[Country],Tabela1[[#This Row],[Country]],Table18[IQFoil Classification],"&gt;0")</f>
        <v>0</v>
      </c>
      <c r="IA192" s="6">
        <f>COUNTIFS(Table25[Country],Tabela1[[#This Row],[Country]],Table25[Mixed Nacra 17 Classification],"&gt;0")</f>
        <v>0</v>
      </c>
      <c r="IB192" s="6">
        <f>COUNTIFS(Table53[Country],Tabela1[[#This Row],[Country]],Table53[10m Air Pistol Classification],"&gt;0")</f>
        <v>0</v>
      </c>
      <c r="IC192" s="6">
        <f>COUNTIFS(Table19[Country],Tabela1[[#This Row],[Country]],Table19[10m Air Pistol Classification],"&gt;0")</f>
        <v>0</v>
      </c>
      <c r="ID192" s="6">
        <f>COUNTIFS(Table54[Country],Tabela1[[#This Row],[Country]],Table54[Mixed 10m Air Pistol Team Classification],"&gt;0")</f>
        <v>0</v>
      </c>
      <c r="IE192" s="6">
        <f>COUNTIFS(Table53[Country],Tabela1[[#This Row],[Country]],Table53[10m Air Rifle Classification],"&gt;0")</f>
        <v>0</v>
      </c>
      <c r="IF192" s="6">
        <f>COUNTIFS(Table19[Country],Tabela1[[#This Row],[Country]],Table19[10m Air Rifle Classification],"&gt;0")</f>
        <v>0</v>
      </c>
      <c r="IG192" s="6">
        <f>COUNTIFS(Table54[Country],Tabela1[[#This Row],[Country]],Table54[Mixed 10m Air Rifle Team Classification],"&gt;0")</f>
        <v>0</v>
      </c>
      <c r="IH192" s="6">
        <f>COUNTIFS(Table53[Country],Tabela1[[#This Row],[Country]],Table53[25m Rapid Fire Pistol Classification],"&gt;0")</f>
        <v>0</v>
      </c>
      <c r="II192" s="6">
        <f>COUNTIFS(Table19[Country],Tabela1[[#This Row],[Country]],Table19[25m Pistol Classification],"&gt;0")</f>
        <v>0</v>
      </c>
      <c r="IJ192" s="6">
        <f>COUNTIFS(Table53[Country],Tabela1[[#This Row],[Country]],Table53[50m Rifle 3 Positions Classification],"&gt;0")</f>
        <v>0</v>
      </c>
      <c r="IK192" s="6">
        <f>COUNTIFS(Table19[Country],Tabela1[[#This Row],[Country]],Table19[50m Rifle 3 Positions Classification],"&gt;0")</f>
        <v>0</v>
      </c>
      <c r="IL192" s="6">
        <f>COUNTIFS(Table53[Country],Tabela1[[#This Row],[Country]],Table53[Skeet Classification],"&gt;0")</f>
        <v>0</v>
      </c>
      <c r="IM192" s="6">
        <f>COUNTIFS(Table19[Country],Tabela1[[#This Row],[Country]],Table19[Skeet Classification],"&gt;0")</f>
        <v>0</v>
      </c>
      <c r="IN192" s="6">
        <f>COUNTIFS(Table54[Country],Tabela1[[#This Row],[Country]],Table54[Mixed Skeet Team Classification],"&gt;0")</f>
        <v>0</v>
      </c>
      <c r="IO192" s="6">
        <f>COUNTIFS(Table53[Country],Tabela1[[#This Row],[Country]],Table53[Trap Classification],"&gt;0")</f>
        <v>0</v>
      </c>
      <c r="IP192" s="6">
        <f>COUNTIFS(Table19[Country],Tabela1[[#This Row],[Country]],Table19[Trap Classification],"&gt;0")</f>
        <v>0</v>
      </c>
      <c r="IQ192" s="6">
        <f>COUNTIFS(Table73[Country],Tabela1[[#This Row],[Country]],Table73[Park Classification],"&gt;0")</f>
        <v>0</v>
      </c>
      <c r="IR192" s="6">
        <f>COUNTIFS(Table74[Country],Tabela1[[#This Row],[Country]],Table74[Park Classification],"&gt;0")</f>
        <v>0</v>
      </c>
      <c r="IS192" s="6">
        <f>COUNTIFS(Table73[Country],Tabela1[[#This Row],[Country]],Table73[Street Classification],"&gt;0")</f>
        <v>0</v>
      </c>
      <c r="IT192" s="6">
        <f>COUNTIFS(Table74[Country],Tabela1[[#This Row],[Country]],Table74[Street Classification],"&gt;0")</f>
        <v>0</v>
      </c>
      <c r="IU192" s="6">
        <f>COUNTIFS(Table75[Country],Tabela1[[#This Row],[Country]],Table75[Boulder and Lead Classification],"&gt;0")</f>
        <v>0</v>
      </c>
      <c r="IV192" s="6">
        <f>COUNTIFS(Table76[Country],Tabela1[[#This Row],[Country]],Table76[Boulder and Lead Classification],"&gt;0")</f>
        <v>0</v>
      </c>
      <c r="IW192" s="6">
        <f>COUNTIFS(Table75[Country],Tabela1[[#This Row],[Country]],Table75[Speed Classification],"&gt;0")</f>
        <v>0</v>
      </c>
      <c r="IX192" s="6">
        <f>COUNTIFS(Table76[Country],Tabela1[[#This Row],[Country]],Table76[Speed Classification],"&gt;0")</f>
        <v>0</v>
      </c>
      <c r="IY192" s="6">
        <f>COUNTIFS(Table64[Country],Tabela1[[#This Row],[Country]],Table64[Shortboard Classification],"&gt;0")</f>
        <v>0</v>
      </c>
      <c r="IZ192" s="6">
        <f>COUNTIFS(Table77[Country],Tabela1[[#This Row],[Country]],Table77[Shortboard Classification],"&gt;0")</f>
        <v>0</v>
      </c>
      <c r="JA192" s="6">
        <f>COUNTIFS(Table20[Country],Tabela1[[#This Row],[Country]],Table20[50m Freestyle Classification],"&gt;0")</f>
        <v>0</v>
      </c>
      <c r="JB192" s="6">
        <f>COUNTIFS(Table21[Country],Tabela1[[#This Row],[Country]],Table21[50m Freestyle Classification],"&gt;0")</f>
        <v>0</v>
      </c>
      <c r="JC192" s="6">
        <f>COUNTIFS(Table20[Country],Tabela1[[#This Row],[Country]],Table20[100m Freestyle Classification],"&gt;0")</f>
        <v>0</v>
      </c>
      <c r="JD192" s="6">
        <f>COUNTIFS(Table21[Country],Tabela1[[#This Row],[Country]],Table21[100m Freestyle Classification],"&gt;0")</f>
        <v>0</v>
      </c>
      <c r="JE192" s="6">
        <f>COUNTIFS(Table20[Country],Tabela1[[#This Row],[Country]],Table20[200m Freestyle Classification],"&gt;0")</f>
        <v>0</v>
      </c>
      <c r="JF192" s="6">
        <f>COUNTIFS(Table21[Country],Tabela1[[#This Row],[Country]],Table21[200m Freestyle Classification],"&gt;0")</f>
        <v>0</v>
      </c>
      <c r="JG192" s="6">
        <f>COUNTIFS(Table20[Country],Tabela1[[#This Row],[Country]],Table20[400m Freestyle Classification],"&gt;0")</f>
        <v>0</v>
      </c>
      <c r="JH192" s="6">
        <f>COUNTIFS(Table21[Country],Tabela1[[#This Row],[Country]],Table21[400m Freestyle Classification],"&gt;0")</f>
        <v>0</v>
      </c>
      <c r="JI192" s="6">
        <f>COUNTIFS(Table20[Country],Tabela1[[#This Row],[Country]],Table20[800m Freestyle Classification],"&gt;0")</f>
        <v>0</v>
      </c>
      <c r="JJ192" s="6">
        <f>COUNTIFS(Table21[Country],Tabela1[[#This Row],[Country]],Table21[800m Freestyle Classification],"&gt;0")</f>
        <v>0</v>
      </c>
      <c r="JK192" s="6">
        <f>COUNTIFS(Table20[Country],Tabela1[[#This Row],[Country]],Table20[1500m Freestyle Classification],"&gt;0")</f>
        <v>0</v>
      </c>
      <c r="JL192" s="6">
        <f>COUNTIFS(Table21[Country],Tabela1[[#This Row],[Country]],Table21[1500m Freestyle Classification],"&gt;0")</f>
        <v>0</v>
      </c>
      <c r="JM192" s="6">
        <f>COUNTIFS(Table20[Country],Tabela1[[#This Row],[Country]],Table20[100m Backstroke Classification],"&gt;0")</f>
        <v>0</v>
      </c>
      <c r="JN192" s="6">
        <f>COUNTIFS(Table21[Country],Tabela1[[#This Row],[Country]],Table21[100m Backstroke Classification],"&gt;0")</f>
        <v>0</v>
      </c>
      <c r="JO192" s="6">
        <f>COUNTIFS(Table20[Country],Tabela1[[#This Row],[Country]],Table20[200m Backstroke Classification],"&gt;0")</f>
        <v>0</v>
      </c>
      <c r="JP192" s="6">
        <f>COUNTIFS(Table21[Country],Tabela1[[#This Row],[Country]],Table21[200m Backstroke Classification],"&gt;0")</f>
        <v>0</v>
      </c>
      <c r="JQ192" s="6">
        <f>COUNTIFS(Table20[Country],Tabela1[[#This Row],[Country]],Table20[100m Breaststroke Classification],"&gt;0")</f>
        <v>0</v>
      </c>
      <c r="JR192" s="6">
        <f>COUNTIFS(Table21[Country],Tabela1[[#This Row],[Country]],Table21[100m Breaststroke Classification],"&gt;0")</f>
        <v>0</v>
      </c>
      <c r="JS192" s="6">
        <f>COUNTIFS(Table20[Country],Tabela1[[#This Row],[Country]],Table20[200m Breaststroke Classification],"&gt;0")</f>
        <v>0</v>
      </c>
      <c r="JT192" s="6">
        <f>COUNTIFS(Table21[Country],Tabela1[[#This Row],[Country]],Table21[200m Breaststroke Classification],"&gt;0")</f>
        <v>0</v>
      </c>
      <c r="JU192" s="6">
        <f>COUNTIFS(Table20[Country],Tabela1[[#This Row],[Country]],Table20[100m Butterfly Classification],"&gt;0")</f>
        <v>0</v>
      </c>
      <c r="JV192" s="6">
        <f>COUNTIFS(Table21[Country],Tabela1[[#This Row],[Country]],Table21[100m Butterfly Classification],"&gt;0")</f>
        <v>0</v>
      </c>
      <c r="JW192" s="6">
        <f>COUNTIFS(Table20[Country],Tabela1[[#This Row],[Country]],Table20[200m Butterfly Classification],"&gt;0")</f>
        <v>0</v>
      </c>
      <c r="JX192" s="6">
        <f>COUNTIFS(Table21[Country],Tabela1[[#This Row],[Country]],Table21[200m Butterfly Classification],"&gt;0")</f>
        <v>0</v>
      </c>
      <c r="JY192" s="6">
        <f>COUNTIFS(Table20[Country],Tabela1[[#This Row],[Country]],Table20[200m Medley Classification],"&gt;0")</f>
        <v>0</v>
      </c>
      <c r="JZ192" s="6">
        <f>COUNTIFS(Table21[Country],Tabela1[[#This Row],[Country]],Table21[200m Medley Classification],"&gt;0")</f>
        <v>0</v>
      </c>
      <c r="KA192" s="6">
        <f>COUNTIFS(Table20[Country],Tabela1[[#This Row],[Country]],Table20[400m Medley Classification],"&gt;0")</f>
        <v>0</v>
      </c>
      <c r="KB192" s="6">
        <f>COUNTIFS(Table21[Country],Tabela1[[#This Row],[Country]],Table21[400m Medley Classification],"&gt;0")</f>
        <v>0</v>
      </c>
      <c r="KC192" s="6">
        <f>COUNTIFS(Table78[Country],Tabela1[[#This Row],[Country]],Table78[Men''s 4x100m Freestyle Relay Classification],"&gt;0")</f>
        <v>0</v>
      </c>
      <c r="KD192" s="6">
        <f>COUNTIFS(Table78[Country],Tabela1[[#This Row],[Country]],Table78[Women''s 4x100m Freestyle Relay Classification],"&gt;0")</f>
        <v>0</v>
      </c>
      <c r="KE192" s="6">
        <f>COUNTIFS(Table78[Country],Tabela1[[#This Row],[Country]],Table78[Men''s 4x200m Freestyle Relay Classification],"&gt;0")</f>
        <v>0</v>
      </c>
      <c r="KF192" s="6">
        <f>COUNTIFS(Table78[Country],Tabela1[[#This Row],[Country]],Table78[Women''s 4x200m Freestyle Relay Classification],"&gt;0")</f>
        <v>0</v>
      </c>
      <c r="KG192" s="6">
        <f>COUNTIFS(Table78[Country],Tabela1[[#This Row],[Country]],Table78[Men''s 4x100m Medley Relay Classification],"&gt;0")</f>
        <v>0</v>
      </c>
      <c r="KH192" s="6">
        <f>COUNTIFS(Table78[Country],Tabela1[[#This Row],[Country]],Table78[Women''s 4x100m Medley Relay Classification],"&gt;0")</f>
        <v>0</v>
      </c>
      <c r="KI192" s="6">
        <f>COUNTIFS(Table78[Country],Tabela1[[#This Row],[Country]],Table78[Mixed 4x100m Medley Relay Classification],"&gt;0")</f>
        <v>0</v>
      </c>
      <c r="KJ192" s="6">
        <f>COUNTIFS(Table20[Country],Tabela1[[#This Row],[Country]],Table20[10km Open Water Classification],"&gt;0")</f>
        <v>0</v>
      </c>
      <c r="KK192" s="6">
        <f>COUNTIFS(Table21[Country],Tabela1[[#This Row],[Country]],Table21[10km Open Water Classification],"&gt;0")</f>
        <v>0</v>
      </c>
      <c r="KL192" s="6">
        <f>COUNTIFS(Table22[Country],Tabela1[[#This Row],[Country]],Table22[Classification],"&gt;0")</f>
        <v>0</v>
      </c>
      <c r="KM192" s="6">
        <f>COUNTIFS(Table30[Country],Tabela1[[#This Row],[Country]],Table30[Classification],"&gt;0")</f>
        <v>0</v>
      </c>
      <c r="KN192" s="6">
        <f>COUNTIFS(Table55[Country],Tabela1[[#This Row],[Country]],Table55[Men''s Classification],"&gt;0")</f>
        <v>0</v>
      </c>
      <c r="KO192" s="6">
        <f>COUNTIFS(Table55[Country],Tabela1[[#This Row],[Country]],Table55[Women''s Classification],"&gt;0")</f>
        <v>0</v>
      </c>
      <c r="KP192" s="6">
        <f>COUNTIFS(Table56[Country],Tabela1[[#This Row],[Country]],Table56[Mixed Classification],"&gt;0")</f>
        <v>0</v>
      </c>
      <c r="KQ192" s="6">
        <f>COUNTIFS(Table29[Country],Tabela1[[#This Row],[Country]],Table29[58kg Classification],"&gt;0")</f>
        <v>0</v>
      </c>
      <c r="KR192" s="6">
        <f>COUNTIFS(Table29[Country],Tabela1[[#This Row],[Country]],Table29[68kg Classification],"&gt;0")</f>
        <v>0</v>
      </c>
      <c r="KS192" s="6">
        <f>COUNTIFS(Table29[Country],Tabela1[[#This Row],[Country]],Table29[80kg Classification],"&gt;0")</f>
        <v>0</v>
      </c>
      <c r="KT192" s="6">
        <f>COUNTIFS(Table29[Country],Tabela1[[#This Row],[Country]],Table29[Plus 80kg Classification],"&gt;0")</f>
        <v>0</v>
      </c>
      <c r="KU192" s="6">
        <f>COUNTIFS(Table34[Country],Tabela1[[#This Row],[Country]],Table34[49kg Classification],"&gt;0")</f>
        <v>0</v>
      </c>
      <c r="KV192" s="6">
        <f>COUNTIFS(Table34[Country],Tabela1[[#This Row],[Country]],Table34[57kg Classification],"&gt;0")</f>
        <v>0</v>
      </c>
      <c r="KW192" s="6">
        <f>COUNTIFS(Table34[Country],Tabela1[[#This Row],[Country]],Table34[67kg Classification],"&gt;0")</f>
        <v>0</v>
      </c>
      <c r="KX192" s="6">
        <f>COUNTIFS(Table34[Country],Tabela1[[#This Row],[Country]],Table34[Plus 67kg Classification],"&gt;0")</f>
        <v>0</v>
      </c>
      <c r="KY192" s="6">
        <f>COUNTIFS(Table57[Country],Tabela1[[#This Row],[Country]],Table57[Classification],"&gt;0")</f>
        <v>0</v>
      </c>
      <c r="KZ192" s="6">
        <f>COUNTIFS(Table58[Country],Tabela1[[#This Row],[Country]],Table58[Classification],"&gt;0")</f>
        <v>0</v>
      </c>
      <c r="LA192" s="6">
        <f>COUNTIFS(Table79[Country],Tabela1[[#This Row],[Country]],Table79[Men''s Classification],"&gt;0")</f>
        <v>0</v>
      </c>
      <c r="LB192" s="6">
        <f>COUNTIFS(Table79[Country],Tabela1[[#This Row],[Country]],Table79[Women''s Classification],"&gt;0")</f>
        <v>0</v>
      </c>
      <c r="LC192" s="6">
        <f>COUNTIFS(Table79[Country],Tabela1[[#This Row],[Country]],Table79[Mixed Classification],"&gt;0")</f>
        <v>0</v>
      </c>
      <c r="LD192" s="6">
        <f>COUNTIFS(Table65[Country],Tabela1[[#This Row],[Country]],Table65[Classification],"&gt;0")</f>
        <v>0</v>
      </c>
      <c r="LE192" s="6">
        <f>COUNTIFS(Table59[Country],Tabela1[[#This Row],[Country]],Table59[Classification],"&gt;0")</f>
        <v>0</v>
      </c>
      <c r="LF192" s="6">
        <f>COUNTIFS(Table87[Country],Tabela1[[#This Row],[Country]],Table87[Mixed Relay Classification],"&gt;0")</f>
        <v>0</v>
      </c>
      <c r="LG192" s="6">
        <f>COUNTIFS(Table91949698100[Country],Tabela1[[#This Row],[Country]],Table91949698100[Men''s Classification],"&gt;0")</f>
        <v>0</v>
      </c>
      <c r="LH192" s="6">
        <f>COUNTIFS(Table91949698100[Country],Tabela1[[#This Row],[Country]],Table91949698100[Women''s Classification],"&gt;0")</f>
        <v>0</v>
      </c>
      <c r="LI192" s="6">
        <f>COUNTIFS(Table91949698100102[Country],Tabela1[[#This Row],[Country]],Table91949698100102[Men''s Classification],"&gt;0")</f>
        <v>0</v>
      </c>
      <c r="LJ192" s="6">
        <f>COUNTIFS(Table91949698100102[Country],Tabela1[[#This Row],[Country]],Table91949698100102[Women''s Classification],"&gt;0")</f>
        <v>0</v>
      </c>
      <c r="LK192" s="6">
        <f>COUNTIFS(Table23[Country],Tabela1[[#This Row],[Country]],Table23[61kg Classification],"&gt;0")</f>
        <v>0</v>
      </c>
      <c r="LL192" s="6">
        <f>COUNTIFS(Table23[Country],Tabela1[[#This Row],[Country]],Table23[73kg Classification],"&gt;0")</f>
        <v>0</v>
      </c>
      <c r="LM192" s="6">
        <f>COUNTIFS(Table23[Country],Tabela1[[#This Row],[Country]],Table23[89kg Classification],"&gt;0")</f>
        <v>0</v>
      </c>
      <c r="LN192" s="6">
        <f>COUNTIFS(Table23[Country],Tabela1[[#This Row],[Country]],Table23[102kg Classification],"&gt;0")</f>
        <v>0</v>
      </c>
      <c r="LO192" s="6">
        <f>COUNTIFS(Table23[Country],Tabela1[[#This Row],[Country]],Table23[Plus 102kg Classification],"&gt;0")</f>
        <v>0</v>
      </c>
      <c r="LP192" s="6">
        <f>COUNTIFS(Table28[Country],Tabela1[[#This Row],[Country]],Table28[49kg Classification],"&gt;0")</f>
        <v>0</v>
      </c>
      <c r="LQ192" s="6">
        <f>COUNTIFS(Table28[Country],Tabela1[[#This Row],[Country]],Table28[59kg Classification],"&gt;0")</f>
        <v>0</v>
      </c>
      <c r="LR192" s="6">
        <f>COUNTIFS(Table28[Country],Tabela1[[#This Row],[Country]],Table28[71kg Classification],"&gt;0")</f>
        <v>0</v>
      </c>
      <c r="LS192" s="6">
        <f>COUNTIFS(Table28[Country],Tabela1[[#This Row],[Country]],Table28[81kg Classification],"&gt;0")</f>
        <v>0</v>
      </c>
      <c r="LT192" s="6">
        <f>COUNTIFS(Table28[Country],Tabela1[[#This Row],[Country]],Table28[Plus 81kg Classification],"&gt;0")</f>
        <v>0</v>
      </c>
      <c r="LU192" s="6">
        <f>COUNTIFS(Table24[Country],Tabela1[[#This Row],[Country]],Table24[Freestyle 57kg Classification],"&gt;0")</f>
        <v>0</v>
      </c>
      <c r="LV192" s="6">
        <f>COUNTIFS(Table24[Country],Tabela1[[#This Row],[Country]],Table24[Freestyle 65kg Classification],"&gt;0")</f>
        <v>0</v>
      </c>
      <c r="LW192" s="6">
        <f>COUNTIFS(Table24[Country],Tabela1[[#This Row],[Country]],Table24[Freestyle 74kg Classification],"&gt;0")</f>
        <v>0</v>
      </c>
      <c r="LX192" s="6">
        <f>COUNTIFS(Table24[Country],Tabela1[[#This Row],[Country]],Table24[Freestyle 86kg Classification],"&gt;0")</f>
        <v>0</v>
      </c>
      <c r="LY192" s="6">
        <f>COUNTIFS(Table24[Country],Tabela1[[#This Row],[Country]],Table24[Freestyle 97kg Classification],"&gt;0")</f>
        <v>0</v>
      </c>
      <c r="LZ192" s="6">
        <f>COUNTIFS(Table24[Country],Tabela1[[#This Row],[Country]],Table24[Freestyle 125kg Classification],"&gt;0")</f>
        <v>0</v>
      </c>
      <c r="MA192" s="6">
        <f>COUNTIFS(Table24[Country],Tabela1[[#This Row],[Country]],Table24[Greco-Roman 60kg Classification],"&gt;0")</f>
        <v>0</v>
      </c>
      <c r="MB192" s="6">
        <f>COUNTIFS(Table24[Country],Tabela1[[#This Row],[Country]],Table24[Greco-Roman 67kg Classification],"&gt;0")</f>
        <v>0</v>
      </c>
      <c r="MC192" s="6">
        <f>COUNTIFS(Table24[Country],Tabela1[[#This Row],[Country]],Table24[Greco-Roman 77kg Classification],"&gt;0")</f>
        <v>0</v>
      </c>
      <c r="MD192" s="6">
        <f>COUNTIFS(Table24[Country],Tabela1[[#This Row],[Country]],Table24[Greco-Roman 87kg Classification],"&gt;0")</f>
        <v>0</v>
      </c>
      <c r="ME192" s="6">
        <f>COUNTIFS(Table24[Country],Tabela1[[#This Row],[Country]],Table24[Greco-Roman 97kg Classification],"&gt;0")</f>
        <v>0</v>
      </c>
      <c r="MF192" s="6">
        <f>COUNTIFS(Table24[Country],Tabela1[[#This Row],[Country]],Table24[Greco-Roman 130kg Classification],"&gt;0")</f>
        <v>0</v>
      </c>
      <c r="MG192" s="6">
        <f>COUNTIFS(Table31[Country],Tabela1[[#This Row],[Country]],Table31[50kg Classification],"&gt;0")</f>
        <v>0</v>
      </c>
      <c r="MH192" s="6">
        <f>COUNTIFS(Table31[Country],Tabela1[[#This Row],[Country]],Table31[53kg Classification],"&gt;0")</f>
        <v>0</v>
      </c>
      <c r="MI192" s="6">
        <f>COUNTIFS(Table31[Country],Tabela1[[#This Row],[Country]],Table31[57kg Classification],"&gt;0")</f>
        <v>0</v>
      </c>
      <c r="MJ192" s="6">
        <f>COUNTIFS(Table31[Country],Tabela1[[#This Row],[Country]],Table31[62kg Classification],"&gt;0")</f>
        <v>0</v>
      </c>
      <c r="MK192" s="6">
        <f>COUNTIFS(Table31[Country],Tabela1[[#This Row],[Country]],Table31[68kg Classification],"&gt;0")</f>
        <v>0</v>
      </c>
      <c r="ML192" s="6">
        <f>COUNTIFS(Table31[Country],Tabela1[[#This Row],[Country]],Table31[76kg Classification],"&gt;0")</f>
        <v>0</v>
      </c>
      <c r="MM192" s="6">
        <f>COUNTIFS(Table102[Country],Tabela1[[#This Row],[Country]],Table102[Downhill Classification],"&gt;0")</f>
        <v>0</v>
      </c>
      <c r="MN192" s="6">
        <f>COUNTIFS(Table102105[Country],Tabela1[[#This Row],[Country]],Table102105[Downhill Classification],"&gt;0")</f>
        <v>0</v>
      </c>
      <c r="MO192" s="6">
        <f>COUNTIFS(Table102[Country],Tabela1[[#This Row],[Country]],Table102[Giant Slalom Classification],"&gt;0")</f>
        <v>0</v>
      </c>
      <c r="MP192" s="6">
        <f>COUNTIFS(Table102105[Country],Tabela1[[#This Row],[Country]],Table102105[Giant Slalom Classification],"&gt;0")</f>
        <v>0</v>
      </c>
      <c r="MQ192" s="6">
        <f>COUNTIFS(Table102[Country],Tabela1[[#This Row],[Country]],Table102[Slalom Classification],"&gt;0")</f>
        <v>0</v>
      </c>
      <c r="MR192" s="6">
        <f>COUNTIFS(Table102105[Country],Tabela1[[#This Row],[Country]],Table102105[Slalom Classification],"&gt;0")</f>
        <v>0</v>
      </c>
      <c r="MS192" s="6">
        <f>COUNTIFS(Table102[Country],Tabela1[[#This Row],[Country]],Table102[Super-G Classification],"&gt;0")</f>
        <v>0</v>
      </c>
      <c r="MT192" s="6">
        <f>COUNTIFS(Table102105[Country],Tabela1[[#This Row],[Country]],Table102105[Super-G Classification],"&gt;0")</f>
        <v>0</v>
      </c>
      <c r="MU192" s="6">
        <f>COUNTIFS(Table105[Country],Tabela1[[#This Row],[Country]],Table105[Men''s Combined Classification],"&gt;0")</f>
        <v>0</v>
      </c>
      <c r="MV192" s="6">
        <f>COUNTIFS(Table105[Country],Tabela1[[#This Row],[Country]],Table105[Women''s Combined Classification],"&gt;0")</f>
        <v>0</v>
      </c>
      <c r="MW192" s="6">
        <f>COUNTIFS(Table106[Country],Tabela1[[#This Row],[Country]],Table106[Individual Classification],"&gt;0")</f>
        <v>0</v>
      </c>
      <c r="MX192" s="6">
        <f>COUNTIFS(Table106109[Country],Tabela1[[#This Row],[Country]],Table106109[Individual Classification],"&gt;0")</f>
        <v>0</v>
      </c>
      <c r="MY192" s="6">
        <f>COUNTIFS(Table106[Country],Tabela1[[#This Row],[Country]],Table106[Mass Start Classification],"&gt;0")</f>
        <v>0</v>
      </c>
      <c r="MZ192" s="6">
        <f>COUNTIFS(Table106109[Country],Tabela1[[#This Row],[Country]],Table106109[Mass Start Classification],"&gt;0")</f>
        <v>0</v>
      </c>
      <c r="NA192" s="6">
        <f>COUNTIFS(Table106[Country],Tabela1[[#This Row],[Country]],Table106[Pursuit Classification],"&gt;0")</f>
        <v>0</v>
      </c>
      <c r="NB192" s="6">
        <f>COUNTIFS(Table106109[Country],Tabela1[[#This Row],[Country]],Table106109[Pursuit Classification],"&gt;0")</f>
        <v>0</v>
      </c>
      <c r="NC192" s="6">
        <f>COUNTIFS(Table106[Country],Tabela1[[#This Row],[Country]],Table106[Sprint Classification],"&gt;0")</f>
        <v>0</v>
      </c>
      <c r="ND192" s="6">
        <f>COUNTIFS(Table106109[Country],Tabela1[[#This Row],[Country]],Table106109[Sprint Classification],"&gt;0")</f>
        <v>0</v>
      </c>
      <c r="NE192" s="6">
        <f>COUNTIFS(Table109[Country],Tabela1[[#This Row],[Country]],Table109[Men''s Relay Classification],"&gt;0")</f>
        <v>0</v>
      </c>
      <c r="NF192" s="6">
        <f>COUNTIFS(Table109[Country],Tabela1[[#This Row],[Country]],Table109[Women''s Relay Classification],"&gt;0")</f>
        <v>0</v>
      </c>
      <c r="NG192" s="6">
        <f>COUNTIFS(Table109[Country],Tabela1[[#This Row],[Country]],Table109[Mixed Relay Classification],"&gt;0")</f>
        <v>0</v>
      </c>
      <c r="NH192" s="6">
        <f>COUNTIFS(Table110[Country],Tabela1[[#This Row],[Country]],Table110[Monobob Classification],"&gt;0")</f>
        <v>0</v>
      </c>
      <c r="NI192" s="6">
        <f>COUNTIFS(Table111[Country],Tabela1[[#This Row],[Country]],Table111[Men''s Classification],"&gt;0")</f>
        <v>0</v>
      </c>
      <c r="NJ192" s="6">
        <f>COUNTIFS(Table111[Country],Tabela1[[#This Row],[Country]],Table111[Women''s Classification],"&gt;0")</f>
        <v>0</v>
      </c>
      <c r="NK192" s="6">
        <f>COUNTIFS(Table112[Country],Tabela1[[#This Row],[Country]],Table112[Men''s Four Classification],"&gt;0")</f>
        <v>0</v>
      </c>
      <c r="NL192" s="6">
        <f>COUNTIFS(Table113[Country],Tabela1[[#This Row],[Country]],Table113[Classical Classification],"&gt;0")</f>
        <v>0</v>
      </c>
      <c r="NM192" s="6">
        <f>COUNTIFS(Table113116[Country],Tabela1[[#This Row],[Country]],Table113116[Classical Classification],"&gt;0")</f>
        <v>0</v>
      </c>
      <c r="NN192" s="6">
        <f>COUNTIFS(Table113[Country],Tabela1[[#This Row],[Country]],Table113[Freestyle Classification],"&gt;0")</f>
        <v>0</v>
      </c>
      <c r="NO192" s="6">
        <f>COUNTIFS(Table113116[Country],Tabela1[[#This Row],[Country]],Table113116[Freestyle Classification],"&gt;0")</f>
        <v>0</v>
      </c>
      <c r="NP192" s="6">
        <f>COUNTIFS(Table117[Country],Tabela1[[#This Row],[Country]],Table117[Men''s Relay Classification],"&gt;0")</f>
        <v>0</v>
      </c>
      <c r="NQ192" s="6">
        <f>COUNTIFS(Table117[Country],Tabela1[[#This Row],[Country]],Table117[Women''s Relay Classification],"&gt;0")</f>
        <v>0</v>
      </c>
      <c r="NR192" s="6">
        <f>COUNTIFS(Table113[Country],Tabela1[[#This Row],[Country]],Table113[Skiathlon Classification],"&gt;0")</f>
        <v>0</v>
      </c>
      <c r="NS192" s="6">
        <f>COUNTIFS(Table113116[Country],Tabela1[[#This Row],[Country]],Table113116[Skiathlon Classification],"&gt;0")</f>
        <v>0</v>
      </c>
      <c r="NT192" s="6">
        <f>COUNTIFS(Table113[Country],Tabela1[[#This Row],[Country]],Table113[Sprint Classification],"&gt;0")</f>
        <v>0</v>
      </c>
      <c r="NU192" s="6">
        <f>COUNTIFS(Table113116[Country],Tabela1[[#This Row],[Country]],Table113116[Sprint Classification],"&gt;0")</f>
        <v>0</v>
      </c>
      <c r="NV192" s="6">
        <f>COUNTIFS(Table116[Country],Tabela1[[#This Row],[Country]],Table116[Men''s Team Sprint Classification],"&gt;0")</f>
        <v>0</v>
      </c>
      <c r="NW192" s="6">
        <f>COUNTIFS(Table116[Country],Tabela1[[#This Row],[Country]],Table116[Women''s Team Sprint Classification],"&gt;0")</f>
        <v>0</v>
      </c>
      <c r="NX192" s="6">
        <f>COUNTIFS(Table119[Country],Tabela1[[#This Row],[Country]],Table119[Men''s Classification],"&gt;0")</f>
        <v>0</v>
      </c>
      <c r="NY192" s="6">
        <f>COUNTIFS(Table119[Country],Tabela1[[#This Row],[Country]],Table119[Women''s Classification],"&gt;0")</f>
        <v>0</v>
      </c>
      <c r="NZ192" s="6">
        <f>COUNTIFS(Table118[Country],Tabela1[[#This Row],[Country]],Table118[Mixed Classification],"&gt;0")</f>
        <v>0</v>
      </c>
      <c r="OA192" s="6">
        <f>COUNTIFS(Table120[Country],Tabela1[[#This Row],[Country]],Table120[Classification],"&gt;0")</f>
        <v>0</v>
      </c>
      <c r="OB192" s="6">
        <f>COUNTIFS(Table120123[Country],Tabela1[[#This Row],[Country]],Table120123[Classification],"&gt;0")</f>
        <v>0</v>
      </c>
      <c r="OC192" s="6">
        <f>COUNTIFS(Table123[Country],Tabela1[[#This Row],[Country]],Table123[Ice Dance Classification],"&gt;0")</f>
        <v>0</v>
      </c>
      <c r="OD192" s="6">
        <f>COUNTIFS(Table123[Country],Tabela1[[#This Row],[Country]],Table123[Pair Skating Classification],"&gt;0")</f>
        <v>0</v>
      </c>
      <c r="OE192" s="6">
        <f>COUNTIFS(Table124[Country],Tabela1[[#This Row],[Country]],Table124[Mixed Classification],"&gt;0")</f>
        <v>0</v>
      </c>
      <c r="OF192" s="6">
        <f>COUNTIFS(Table125[Country],Tabela1[[#This Row],[Country]],Table125[Aerials Classification],"&gt;0")</f>
        <v>0</v>
      </c>
      <c r="OG192" s="6">
        <f>COUNTIFS(Table125128[Country],Tabela1[[#This Row],[Country]],Table125128[Aerials Classification],"&gt;0")</f>
        <v>0</v>
      </c>
      <c r="OH192" s="6">
        <f>COUNTIFS(Table128[Country],Tabela1[[#This Row],[Country]],Table128[Mixed Aerials Classification],"&gt;0")</f>
        <v>0</v>
      </c>
      <c r="OI192" s="6">
        <f>COUNTIFS(Table125[Country],Tabela1[[#This Row],[Country]],Table125[Big Air Classification],"&gt;0")</f>
        <v>0</v>
      </c>
      <c r="OJ192" s="6">
        <f>COUNTIFS(Table125128[Country],Tabela1[[#This Row],[Country]],Table125128[Big Air Classification],"&gt;0")</f>
        <v>0</v>
      </c>
      <c r="OK192" s="6">
        <f>COUNTIFS(Table125[Country],Tabela1[[#This Row],[Country]],Table125[Dual Moguls Classification],"&gt;0")</f>
        <v>0</v>
      </c>
      <c r="OL192" s="6">
        <f>COUNTIFS(Table125128[Country],Tabela1[[#This Row],[Country]],Table125128[Dual Moguls Classification],"&gt;0")</f>
        <v>0</v>
      </c>
      <c r="OM192" s="6">
        <f>COUNTIFS(Table125[Country],Tabela1[[#This Row],[Country]],Table125[Halfpipe Classification],"&gt;0")</f>
        <v>0</v>
      </c>
      <c r="ON192" s="6">
        <f>COUNTIFS(Table125128[Country],Tabela1[[#This Row],[Country]],Table125128[Halfpipe Classification],"&gt;0")</f>
        <v>0</v>
      </c>
      <c r="OO192" s="6">
        <f>COUNTIFS(Table125[Country],Tabela1[[#This Row],[Country]],Table125[Moguls Classification],"&gt;0")</f>
        <v>0</v>
      </c>
      <c r="OP192" s="6">
        <f>COUNTIFS(Table125128[Country],Tabela1[[#This Row],[Country]],Table125128[Moguls Classification],"&gt;0")</f>
        <v>0</v>
      </c>
      <c r="OQ192" s="6">
        <f>COUNTIFS(Table125[Country],Tabela1[[#This Row],[Country]],Table125[Ski Cross Classification],"&gt;0")</f>
        <v>0</v>
      </c>
      <c r="OR192" s="6">
        <f>COUNTIFS(Table125128[Country],Tabela1[[#This Row],[Country]],Table125128[Ski Cross Classification],"&gt;0")</f>
        <v>0</v>
      </c>
      <c r="OS192" s="6">
        <f>COUNTIFS(Table125[Country],Tabela1[[#This Row],[Country]],Table125[Slopestyle Classification],"&gt;0")</f>
        <v>0</v>
      </c>
      <c r="OT192" s="6">
        <f>COUNTIFS(Table125128[Country],Tabela1[[#This Row],[Country]],Table125128[Slopestyle Classification],"&gt;0")</f>
        <v>0</v>
      </c>
      <c r="OU192" s="6">
        <f>COUNTIFS(Table119131[Country],Tabela1[[#This Row],[Country]],Table119131[Men''s Classification],"&gt;0")</f>
        <v>0</v>
      </c>
      <c r="OV192" s="6">
        <f>COUNTIFS(Table119131[Country],Tabela1[[#This Row],[Country]],Table119131[Women''s Classification],"&gt;0")</f>
        <v>0</v>
      </c>
      <c r="OW192" s="6">
        <f>COUNTIFS(Table131[Country],Tabela1[[#This Row],[Country]],Table131[Classification],"&gt;0")</f>
        <v>0</v>
      </c>
      <c r="OX192" s="6">
        <f>COUNTIFS(Table131134[Country],Tabela1[[#This Row],[Country]],Table131134[Classification],"&gt;0")</f>
        <v>0</v>
      </c>
      <c r="OY192" s="6">
        <f>COUNTIFS(Table134[Country],Tabela1[[#This Row],[Country]],Table134[Men''s Classification],"&gt;0")</f>
        <v>0</v>
      </c>
      <c r="OZ192" s="6">
        <f>COUNTIFS(Table134[Country],Tabela1[[#This Row],[Country]],Table134[Women''s Classification],"&gt;0")</f>
        <v>0</v>
      </c>
      <c r="PA192" s="6">
        <f>COUNTIFS(Table135[Country],Tabela1[[#This Row],[Country]],Table135[Mixed Relay Classification],"&gt;0")</f>
        <v>0</v>
      </c>
      <c r="PB192" s="6">
        <f>COUNTIFS(Table136[Country],Tabela1[[#This Row],[Country]],Table136[Individual Classification],"&gt;0")</f>
        <v>0</v>
      </c>
      <c r="PC192" s="6">
        <f>COUNTIFS(Table136[Country],Tabela1[[#This Row],[Country]],Table136[Sprint Classification],"&gt;0")</f>
        <v>0</v>
      </c>
      <c r="PD192" s="6">
        <f>COUNTIFS(Table137[Country],Tabela1[[#This Row],[Country]],Table137[Men''s Team Sprint Large Hill Classification],"&gt;0")</f>
        <v>0</v>
      </c>
      <c r="PE192" s="6">
        <f>COUNTIFS(Table138[Country],Tabela1[[#This Row],[Country]],Table138[500m Classification],"&gt;0")</f>
        <v>0</v>
      </c>
      <c r="PF192" s="6">
        <f>COUNTIFS(Table138141[Country],Tabela1[[#This Row],[Country]],Table138141[500m Classification],"&gt;0")</f>
        <v>0</v>
      </c>
      <c r="PG192" s="6">
        <f>COUNTIFS(Table138[Country],Tabela1[[#This Row],[Country]],Table138[1000m Classification],"&gt;0")</f>
        <v>0</v>
      </c>
      <c r="PH192" s="6">
        <f>COUNTIFS(Table138141[Country],Tabela1[[#This Row],[Country]],Table138141[1000m Classification],"&gt;0")</f>
        <v>0</v>
      </c>
      <c r="PI192" s="6">
        <f>COUNTIFS(Table138[Country],Tabela1[[#This Row],[Country]],Table138[1500m Classification],"&gt;0")</f>
        <v>0</v>
      </c>
      <c r="PJ192" s="6">
        <f>COUNTIFS(Table138141[Country],Tabela1[[#This Row],[Country]],Table138141[1500m Classification],"&gt;0")</f>
        <v>0</v>
      </c>
      <c r="PK192" s="6">
        <f>COUNTIFS(Table141[Country],Tabela1[[#This Row],[Country]],Table141[Men''s 5000m Relay Classification],"&gt;0")</f>
        <v>0</v>
      </c>
      <c r="PL192" s="6">
        <f>COUNTIFS(Table141[Country],Tabela1[[#This Row],[Country]],Table141[Women''s 3000m Relay Classification],"&gt;0")</f>
        <v>0</v>
      </c>
      <c r="PM192" s="6">
        <f>COUNTIFS(Table141[Country],Tabela1[[#This Row],[Country]],Table141[Mixed 2000m Relay Classification],"&gt;0")</f>
        <v>0</v>
      </c>
      <c r="PN192" s="6">
        <f>COUNTIFS(Table142[Country],Tabela1[[#This Row],[Country]],Table142[Classification],"&gt;0")</f>
        <v>0</v>
      </c>
      <c r="PO192" s="6">
        <f>COUNTIFS(Table142145[Country],Tabela1[[#This Row],[Country]],Table142145[Classification],"&gt;0")</f>
        <v>0</v>
      </c>
      <c r="PP192" s="6">
        <f>COUNTIFS(Tabela15[Country],Tabela1[[#This Row],[Country]],Tabela15[Mixed Team Classification],"&gt;0")</f>
        <v>0</v>
      </c>
      <c r="PQ192" s="6">
        <f>COUNTIFS(Table145[Country],Tabela1[[#This Row],[Country]],Table145[Large Hill Classification],"&gt;0")</f>
        <v>0</v>
      </c>
      <c r="PR192" s="6">
        <f>COUNTIFS(Table145[Country],Tabela1[[#This Row],[Country]],Table145[Normal Hill Classification],"&gt;0")</f>
        <v>0</v>
      </c>
      <c r="PS192" s="6">
        <f>COUNTIFS(Table145148[Country],Tabela1[[#This Row],[Country]],Table145148[Large Hill Classification],"&gt;0")</f>
        <v>0</v>
      </c>
      <c r="PT192" s="6">
        <f>COUNTIFS(Table145148[Country],Tabela1[[#This Row],[Country]],Table145148[Normal Hill Classification],"&gt;0")</f>
        <v>0</v>
      </c>
      <c r="PU192" s="6">
        <f>COUNTIFS(Table148[Country],Tabela1[[#This Row],[Country]],Table148[Men''s Super Team Classification],"&gt;0")</f>
        <v>0</v>
      </c>
      <c r="PV192" s="6">
        <f>COUNTIFS(Tabela114[Country],Tabela1[[#This Row],[Country]],Tabela114[Mixed Normal Hill Classification],"&gt;0")</f>
        <v>0</v>
      </c>
      <c r="PW192" s="6">
        <f>COUNTIFS(Tabela50[Country],Tabela1[[#This Row],[Country]],Tabela50[Sprint Classification],"&gt;0")</f>
        <v>0</v>
      </c>
      <c r="PX192" s="6">
        <f>COUNTIFS(Tabela50101[Country],Tabela1[[#This Row],[Country]],Tabela50101[Sprint Classification],"&gt;0")</f>
        <v>0</v>
      </c>
      <c r="PY192" s="6">
        <f>COUNTIFS(Tabela103[Country],Tabela1[[#This Row],[Country]],Tabela103[Mixed Relay Classification],"&gt;0")</f>
        <v>0</v>
      </c>
      <c r="PZ192" s="6">
        <f>COUNTIFS(Table149[Country],Tabela1[[#This Row],[Country]],Table149[Big Air Classification],"&gt;0")</f>
        <v>0</v>
      </c>
      <c r="QA192" s="6">
        <f>COUNTIFS(Table149152[Country],Tabela1[[#This Row],[Country]],Table149152[Big Air Classification],"&gt;0")</f>
        <v>0</v>
      </c>
      <c r="QB192" s="6">
        <f>COUNTIFS(Table149[Country],Tabela1[[#This Row],[Country]],Table149[Halfpipe Classification],"&gt;0")</f>
        <v>0</v>
      </c>
      <c r="QC192" s="6">
        <f>COUNTIFS(Table149152[Country],Tabela1[[#This Row],[Country]],Table149152[Halfpipe Classification],"&gt;0")</f>
        <v>0</v>
      </c>
      <c r="QD192" s="6">
        <f>COUNTIFS(Table149[Country],Tabela1[[#This Row],[Country]],Table149[Parallel Giant Slalom Classification],"&gt;0")</f>
        <v>0</v>
      </c>
      <c r="QE192" s="6">
        <f>COUNTIFS(Table149152[Country],Tabela1[[#This Row],[Country]],Table149152[Parallel Giant Slalom Classification],"&gt;0")</f>
        <v>0</v>
      </c>
      <c r="QF192" s="6">
        <f>COUNTIFS(Table149[Country],Tabela1[[#This Row],[Country]],Table149[Slopestyle Classification],"&gt;0")</f>
        <v>0</v>
      </c>
      <c r="QG192" s="6">
        <f>COUNTIFS(Table149152[Country],Tabela1[[#This Row],[Country]],Table149152[Slopestyle Classification],"&gt;0")</f>
        <v>0</v>
      </c>
      <c r="QH192" s="6">
        <f>COUNTIFS(Table149[Country],Tabela1[[#This Row],[Country]],Table149[Snowboard Cross Classification],"&gt;0")</f>
        <v>0</v>
      </c>
      <c r="QI192" s="6">
        <f>COUNTIFS(Table149152[Country],Tabela1[[#This Row],[Country]],Table149152[Snowboard Cross Classification],"&gt;0")</f>
        <v>0</v>
      </c>
      <c r="QJ192" s="6">
        <f>COUNTIFS(Table153[Country],Tabela1[[#This Row],[Country]],Table153[Mixed Team Snowboard Cross Classification],"&gt;0")</f>
        <v>0</v>
      </c>
      <c r="QK192" s="6">
        <f>COUNTIFS(Table154[Country],Tabela1[[#This Row],[Country]],Table154[500m Classification],"&gt;0")</f>
        <v>0</v>
      </c>
      <c r="QL192" s="6">
        <f>COUNTIFS(Table154157[Country],Tabela1[[#This Row],[Country]],Table154157[500m Classification],"&gt;0")</f>
        <v>0</v>
      </c>
      <c r="QM192" s="6">
        <f>COUNTIFS(Table154[Country],Tabela1[[#This Row],[Country]],Table154[1000m Classification],"&gt;0")</f>
        <v>0</v>
      </c>
      <c r="QN192" s="6">
        <f>COUNTIFS(Table154157[Country],Tabela1[[#This Row],[Country]],Table154157[1000m Classification],"&gt;0")</f>
        <v>0</v>
      </c>
      <c r="QO192" s="6">
        <f>COUNTIFS(Table154[Country],Tabela1[[#This Row],[Country]],Table154[1500m Classification],"&gt;0")</f>
        <v>0</v>
      </c>
      <c r="QP192" s="6">
        <f>COUNTIFS(Table154157[Country],Tabela1[[#This Row],[Country]],Table154157[1500m Classification],"&gt;0")</f>
        <v>0</v>
      </c>
      <c r="QQ192" s="6">
        <f>COUNTIFS(Table154157[Country],Tabela1[[#This Row],[Country]],Table154157[3000m Classification],"&gt;0")</f>
        <v>0</v>
      </c>
      <c r="QR192" s="6">
        <f>COUNTIFS(Table154[Country],Tabela1[[#This Row],[Country]],Table154[5000m Classification],"&gt;0")</f>
        <v>0</v>
      </c>
      <c r="QS192" s="6">
        <f>COUNTIFS(Table154157[Country],Tabela1[[#This Row],[Country]],Table154157[5000m Classification],"&gt;0")</f>
        <v>0</v>
      </c>
      <c r="QT192" s="6">
        <f>COUNTIFS(Table154[Country],Tabela1[[#This Row],[Country]],Table154[10000m Classification],"&gt;0")</f>
        <v>0</v>
      </c>
      <c r="QU192" s="6">
        <f>COUNTIFS(Table154[Country],Tabela1[[#This Row],[Country]],Table154[Mass Start Classification],"&gt;0")</f>
        <v>0</v>
      </c>
      <c r="QV192" s="6">
        <f>COUNTIFS(Table154157[Country],Tabela1[[#This Row],[Country]],Table154157[Mass Start Classification],"&gt;0")</f>
        <v>0</v>
      </c>
      <c r="QW192" s="6">
        <f>COUNTIFS(Table157[Country],Tabela1[[#This Row],[Country]],Table157[Men''s Pursuit Classification],"&gt;0")</f>
        <v>0</v>
      </c>
      <c r="QX192" s="6">
        <f>COUNTIFS(Table157[Country],Tabela1[[#This Row],[Country]],Table157[Women''s Pursuit Classification],"&gt;0")</f>
        <v>0</v>
      </c>
      <c r="QY192" s="4" t="s">
        <v>653</v>
      </c>
    </row>
    <row r="193" spans="1:467" x14ac:dyDescent="0.3">
      <c r="A193" s="6">
        <v>192</v>
      </c>
      <c r="B193" s="6" t="s">
        <v>654</v>
      </c>
      <c r="C193" t="e" vm="192">
        <f>IF(ISBLANK(Tabela1[[#This Row],[Image Link]]), "", _xlfn.IMAGE(Tabela1[[#This Row],[Image Link]],1,1))</f>
        <v>#VALUE!</v>
      </c>
      <c r="D193" s="6">
        <f>SUM(Tabela1[[#This Row],[Archery - Men''s Individual Recurve]:[Speed Skating - Women''s Team Pursuit]])</f>
        <v>0</v>
      </c>
      <c r="E193" s="6">
        <f>COUNTIF(Tabela1[[#This Row],[Archery - Men''s Individual Recurve]:[Speed Skating - Women''s Team Pursuit]],"&gt;0")</f>
        <v>0</v>
      </c>
      <c r="F193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93" s="6">
        <f>SUM(Tabela1[[#This Row],[Archery - Men''s Individual Recurve]:[Wrestling - Women''s Freestyle 76kg]])</f>
        <v>0</v>
      </c>
      <c r="H193" s="6">
        <f>SUM(Tabela1[[#This Row],[Alpine Skiing - Men''s Downhill]:[Speed Skating - Women''s Team Pursuit]])</f>
        <v>0</v>
      </c>
      <c r="I193" s="6">
        <f>Tabela1[[#This Row],[Summer Gold Medals]]+Tabela1[[#This Row],[Winter Gold Medals]]</f>
        <v>0</v>
      </c>
      <c r="J193" s="6">
        <f>Tabela1[[#This Row],[Summer Silver Medals]]+Tabela1[[#This Row],[Winter Silver Medals]]</f>
        <v>0</v>
      </c>
      <c r="K193" s="6">
        <f>Tabela1[[#This Row],[Summer Bronze Medals]]+Tabela1[[#This Row],[Winter Bronze Medals]]</f>
        <v>0</v>
      </c>
      <c r="L193" s="6">
        <f>SUM(Tabela1[[#This Row],[Total Gold Medals]:[Total Bronze Medals]])</f>
        <v>0</v>
      </c>
      <c r="M193" s="6"/>
      <c r="N193" s="6"/>
      <c r="O193" s="6"/>
      <c r="P193" s="6">
        <f>SUM(Tabela1[[#This Row],[Summer Gold Medals]:[Summer Bronze Medals]])</f>
        <v>0</v>
      </c>
      <c r="Q193" s="6"/>
      <c r="R193" s="6"/>
      <c r="S193" s="6"/>
      <c r="T193" s="6">
        <f>Tabela1[[#This Row],[Winter Gold Medals]]+Tabela1[[#This Row],[Winter Silver Medals]]+Tabela1[[#This Row],[Winter Bronze Medals]]</f>
        <v>0</v>
      </c>
      <c r="U193" s="7" t="e">
        <f>Tabela1[[#This Row],[Total Medals]]/Tabela1[[#This Row],[Total Quotas]]</f>
        <v>#DIV/0!</v>
      </c>
      <c r="V193" s="6">
        <f>COUNTIFS(Table3[Country],Tabela1[[#This Row],[Country]],Table3[Recurve Classification],"&gt;0")</f>
        <v>0</v>
      </c>
      <c r="W193" s="6">
        <f>COUNTIFS(Table33[Country],Tabela1[[#This Row],[Country]],Table33[Recurve Classification],"&gt;0")</f>
        <v>0</v>
      </c>
      <c r="X193" s="6">
        <f>COUNTIFS(Table35[Country],Tabela1[[#This Row],[Country]],Table35[Men''s Team Recurve Classification],"&gt;0")</f>
        <v>0</v>
      </c>
      <c r="Y193" s="6">
        <f>COUNTIFS(Table35[Country],Tabela1[[#This Row],[Country]],Table35[Women''s Team Recurve Classification],"&gt;0")</f>
        <v>0</v>
      </c>
      <c r="Z193" s="6">
        <f>COUNTIFS(Tabela88[Country],Tabela1[[#This Row],[Country]],Tabela88[Mixed Team Recurve Classification],"&gt;0")</f>
        <v>0</v>
      </c>
      <c r="AA193" s="6">
        <f>COUNTIFS(Table36[Country],Tabela1[[#This Row],[Country]],Table36[Classification],"&gt;0")</f>
        <v>0</v>
      </c>
      <c r="AB193" s="6">
        <f>COUNTIFS(Table37[Country],Tabela1[[#This Row],[Country]],Table37[Classification],"&gt;0")</f>
        <v>0</v>
      </c>
      <c r="AC193" s="6">
        <f>COUNTIFS(Table4[Country],Tabela1[[#This Row],[Country]],Table4[100m Classification],"&gt;0")</f>
        <v>0</v>
      </c>
      <c r="AD193" s="6">
        <f>COUNTIFS(Table5[Country],Tabela1[[#This Row],[Country]],Table5[100m Classification],"&gt;0")</f>
        <v>0</v>
      </c>
      <c r="AE193" s="6">
        <f>COUNTIFS(Table4[Country],Tabela1[[#This Row],[Country]],Table4[200m Classification],"&gt;0")</f>
        <v>0</v>
      </c>
      <c r="AF193" s="6">
        <f>COUNTIFS(Table5[Country],Tabela1[[#This Row],[Country]],Table5[200m Classification],"&gt;0")</f>
        <v>0</v>
      </c>
      <c r="AG193" s="6">
        <f>COUNTIFS(Table4[Country],Tabela1[[#This Row],[Country]],Table4[400m Classification],"&gt;0")</f>
        <v>0</v>
      </c>
      <c r="AH193" s="6">
        <f>COUNTIFS(Table5[Country],Tabela1[[#This Row],[Country]],Table5[400m Classification],"&gt;0")</f>
        <v>0</v>
      </c>
      <c r="AI193" s="6">
        <f>COUNTIFS(Table4[Country],Tabela1[[#This Row],[Country]],Table4[800m Classification],"&gt;0")</f>
        <v>0</v>
      </c>
      <c r="AJ193" s="6">
        <f>COUNTIFS(Table5[Country],Tabela1[[#This Row],[Country]],Table5[800m Classification],"&gt;0")</f>
        <v>0</v>
      </c>
      <c r="AK193" s="6">
        <f>COUNTIFS(Table4[Country],Tabela1[[#This Row],[Country]],Table4[1500m Classification],"&gt;0")</f>
        <v>0</v>
      </c>
      <c r="AL193" s="6">
        <f>COUNTIFS(Table5[Country],Tabela1[[#This Row],[Country]],Table5[1500m Classification],"&gt;0")</f>
        <v>0</v>
      </c>
      <c r="AM193" s="6">
        <f>COUNTIFS(Table4[Country],Tabela1[[#This Row],[Country]],Table4[5000m Classification],"&gt;0")</f>
        <v>0</v>
      </c>
      <c r="AN193" s="6">
        <f>COUNTIFS(Table5[Country],Tabela1[[#This Row],[Country]],Table5[5000m Classification],"&gt;0")</f>
        <v>0</v>
      </c>
      <c r="AO193" s="6">
        <f>COUNTIFS(Table4[Country],Tabela1[[#This Row],[Country]],Table4[10000m Classification],"&gt;0")</f>
        <v>0</v>
      </c>
      <c r="AP193" s="6">
        <f>COUNTIFS(Table5[Country],Tabela1[[#This Row],[Country]],Table5[10000m Classification],"&gt;0")</f>
        <v>0</v>
      </c>
      <c r="AQ193" s="6">
        <f>COUNTIFS(Table4[Country],Tabela1[[#This Row],[Country]],Table4[110m Hurdles Classification],"&gt;0")</f>
        <v>0</v>
      </c>
      <c r="AR193" s="6">
        <f>COUNTIFS(Table5[Country],Tabela1[[#This Row],[Country]],Table5[100m Hurdles Classification],"&gt;0")</f>
        <v>0</v>
      </c>
      <c r="AS193" s="6">
        <f>COUNTIFS(Table4[Country],Tabela1[[#This Row],[Country]],Table4[400m Hurdles Classification],"&gt;0")</f>
        <v>0</v>
      </c>
      <c r="AT193" s="6">
        <f>COUNTIFS(Table5[Country],Tabela1[[#This Row],[Country]],Table5[400m Hurdles Classification],"&gt;0")</f>
        <v>0</v>
      </c>
      <c r="AU193" s="6">
        <f>COUNTIFS(Table4[Country],Tabela1[[#This Row],[Country]],Table4[3000m Steeplechase Classification],"&gt;0")</f>
        <v>0</v>
      </c>
      <c r="AV193" s="6">
        <f>COUNTIFS(Table5[Country],Tabela1[[#This Row],[Country]],Table5[3000m Steeplechase Classification],"&gt;0")</f>
        <v>0</v>
      </c>
      <c r="AW193" s="6">
        <f>COUNTIFS(Table27[Country],Tabela1[[#This Row],[Country]],Table27[Men''s 4x100m Relay Classification],"&gt;0")</f>
        <v>0</v>
      </c>
      <c r="AX193" s="6">
        <f>COUNTIFS(Table27[Country],Tabela1[[#This Row],[Country]],Table27[Women''s 4x100m Relay Classification],"&gt;0")</f>
        <v>0</v>
      </c>
      <c r="AY193" s="6">
        <f>COUNTIFS(Table27[Country],Tabela1[[#This Row],[Country]],Table27[Men''s 4x400m Relay Classification],"&gt;0")</f>
        <v>0</v>
      </c>
      <c r="AZ193" s="6">
        <f>COUNTIFS(Table27[Country],Tabela1[[#This Row],[Country]],Table27[Women''s 4x400m Relay Classification],"&gt;0")</f>
        <v>0</v>
      </c>
      <c r="BA193" s="6">
        <f>COUNTIFS(Table27[Country],Tabela1[[#This Row],[Country]],Table27[Mixed 4x400m Relay Classification],"&gt;0")</f>
        <v>0</v>
      </c>
      <c r="BB193" s="6">
        <f>COUNTIFS(Table4[Country],Tabela1[[#This Row],[Country]],Table4[Marathon Classification],"&gt;0")</f>
        <v>0</v>
      </c>
      <c r="BC193" s="6">
        <f>COUNTIFS(Table5[Country],Tabela1[[#This Row],[Country]],Table5[Marathon Classification],"&gt;0")</f>
        <v>0</v>
      </c>
      <c r="BD193" s="6">
        <f>COUNTIFS(Table4[Country],Tabela1[[#This Row],[Country]],Table4[20km Race Walk Classification],"&gt;0")</f>
        <v>0</v>
      </c>
      <c r="BE193" s="6">
        <f>COUNTIFS(Table5[Country],Tabela1[[#This Row],[Country]],Table5[20km Race Walk Classification],"&gt;0")</f>
        <v>0</v>
      </c>
      <c r="BF193" s="6">
        <f>COUNTIFS(Tabela96[Country],Tabela1[[#This Row],[Country]],Tabela96[Mixed Marathon Race Walk Relay Classification],"&gt;0")</f>
        <v>0</v>
      </c>
      <c r="BG193" s="6">
        <f>COUNTIFS(Table4[Country],Tabela1[[#This Row],[Country]],Table4[Discus Throw Classification],"&gt;0")</f>
        <v>0</v>
      </c>
      <c r="BH193" s="6">
        <f>COUNTIFS(Table5[Country],Tabela1[[#This Row],[Country]],Table5[Discus Throw Classification],"&gt;0")</f>
        <v>0</v>
      </c>
      <c r="BI193" s="6">
        <f>COUNTIFS(Table4[Country],Tabela1[[#This Row],[Country]],Table4[Hammer Throw Classification],"&gt;0")</f>
        <v>0</v>
      </c>
      <c r="BJ193" s="6">
        <f>COUNTIFS(Table5[Country],Tabela1[[#This Row],[Country]],Table5[Hammer Throw Classification],"&gt;0")</f>
        <v>0</v>
      </c>
      <c r="BK193" s="6">
        <f>COUNTIFS(Table4[Country],Tabela1[[#This Row],[Country]],Table4[High Jump Classification],"&gt;0")</f>
        <v>0</v>
      </c>
      <c r="BL193" s="6">
        <f>COUNTIFS(Table5[Country],Tabela1[[#This Row],[Country]],Table5[High Jump Classification],"&gt;0")</f>
        <v>0</v>
      </c>
      <c r="BM193" s="6">
        <f>COUNTIFS(Table4[Country],Tabela1[[#This Row],[Country]],Table4[Javelin Throw Classification],"&gt;0")</f>
        <v>0</v>
      </c>
      <c r="BN193" s="6">
        <f>COUNTIFS(Table5[Country],Tabela1[[#This Row],[Country]],Table5[Javelin Throw Classification],"&gt;0")</f>
        <v>0</v>
      </c>
      <c r="BO193" s="6">
        <f>COUNTIFS(Table4[Country],Tabela1[[#This Row],[Country]],Table4[Long Jump Classification],"&gt;0")</f>
        <v>0</v>
      </c>
      <c r="BP193" s="6">
        <f>COUNTIFS(Table5[Country],Tabela1[[#This Row],[Country]],Table5[Long Jump Classification],"&gt;0")</f>
        <v>0</v>
      </c>
      <c r="BQ193" s="6">
        <f>COUNTIFS(Table4[Country],Tabela1[[#This Row],[Country]],Table4[Pole Vault Classification],"&gt;0")</f>
        <v>0</v>
      </c>
      <c r="BR193" s="6">
        <f>COUNTIFS(Table5[Country],Tabela1[[#This Row],[Country]],Table5[Pole Vault Classification],"&gt;0")</f>
        <v>0</v>
      </c>
      <c r="BS193" s="6">
        <f>COUNTIFS(Table4[Country],Tabela1[[#This Row],[Country]],Table4[Shot Put Classification],"&gt;0")</f>
        <v>0</v>
      </c>
      <c r="BT193" s="6">
        <f>COUNTIFS(Table5[Country],Tabela1[[#This Row],[Country]],Table5[Shot Put Classification],"&gt;0")</f>
        <v>0</v>
      </c>
      <c r="BU193" s="6">
        <f>COUNTIFS(Table4[Country],Tabela1[[#This Row],[Country]],Table4[Triple Jump Classification],"&gt;0")</f>
        <v>0</v>
      </c>
      <c r="BV193" s="6">
        <f>COUNTIFS(Table5[Country],Tabela1[[#This Row],[Country]],Table5[Triple Jump Classification],"&gt;0")</f>
        <v>0</v>
      </c>
      <c r="BW193" s="6">
        <f>COUNTIFS(Table4[Country],Tabela1[[#This Row],[Country]],Table4[Decathlon Classification],"&gt;0")</f>
        <v>0</v>
      </c>
      <c r="BX193" s="6">
        <f>COUNTIFS(Table5[Country],Tabela1[[#This Row],[Country]],Table5[Heptathlon Classification],"&gt;0")</f>
        <v>0</v>
      </c>
      <c r="BY193" s="6">
        <f>COUNTIFS(Table61[Country],Tabela1[[#This Row],[Country]],Table61[Classification],"&gt;0")</f>
        <v>0</v>
      </c>
      <c r="BZ193" s="6">
        <f>COUNTIFS(Table38[Country],Tabela1[[#This Row],[Country]],Table38[Classification],"&gt;0")</f>
        <v>0</v>
      </c>
      <c r="CA193" s="6">
        <f>COUNTIFS(Table39[Country],Tabela1[[#This Row],[Country]],Table39[Men''s Classification],"&gt;0")</f>
        <v>0</v>
      </c>
      <c r="CB193" s="6">
        <f>COUNTIFS(Table39[Country],Tabela1[[#This Row],[Country]],Table39[Women''s Classification],"&gt;0")</f>
        <v>0</v>
      </c>
      <c r="CC193" s="6">
        <f>COUNTIFS(Table39[Country],Tabela1[[#This Row],[Country]],Table39[Mixed Classification],"&gt;0")</f>
        <v>0</v>
      </c>
      <c r="CD193" s="6">
        <f>COUNTIFS(Table89[Country],Tabela1[[#This Row],[Country]],Table89[Men''s Classification],"&gt;0")</f>
        <v>0</v>
      </c>
      <c r="CE193" s="6">
        <f>COUNTIFS(Table89[Country],Tabela1[[#This Row],[Country]],Table89[Women''s Classification],"&gt;0")</f>
        <v>0</v>
      </c>
      <c r="CF193" s="6">
        <f>COUNTIFS(Table90[Country],Tabela1[[#This Row],[Country]],Table90[Men''s Classification],"&gt;0")</f>
        <v>0</v>
      </c>
      <c r="CG193" s="6">
        <f>COUNTIFS(Table90[Country],Tabela1[[#This Row],[Country]],Table90[Women''s Classification],"&gt;0")</f>
        <v>0</v>
      </c>
      <c r="CH193" s="6">
        <f>COUNTIFS(Table60[Country],Tabela1[[#This Row],[Country]],Table60[Men''s Classification],"&gt;0")</f>
        <v>0</v>
      </c>
      <c r="CI193" s="6">
        <f>COUNTIFS(Table60[Country],Tabela1[[#This Row],[Country]],Table60[Women''s Classification],"&gt;0")</f>
        <v>0</v>
      </c>
      <c r="CJ193" s="6">
        <f>COUNTIFS(Table6[Country],Tabela1[[#This Row],[Country]],Table6[51kg Classification],"&gt;0")</f>
        <v>0</v>
      </c>
      <c r="CK193" s="6">
        <f>COUNTIFS(Table6[Country],Tabela1[[#This Row],[Country]],Table6[57kg Classification],"&gt;0")</f>
        <v>0</v>
      </c>
      <c r="CL193" s="6">
        <f>COUNTIFS(Table6[Country],Tabela1[[#This Row],[Country]],Table6[63.5kg Classification],"&gt;0")</f>
        <v>0</v>
      </c>
      <c r="CM193" s="6">
        <f>COUNTIFS(Table6[Country],Tabela1[[#This Row],[Country]],Table6[71kg Classification],"&gt;0")</f>
        <v>0</v>
      </c>
      <c r="CN193" s="6">
        <f>COUNTIFS(Table6[Country],Tabela1[[#This Row],[Country]],Table6[80kg Classification],"&gt;0")</f>
        <v>0</v>
      </c>
      <c r="CO193" s="6">
        <f>COUNTIFS(Table6[Country],Tabela1[[#This Row],[Country]],Table6[92kg Classification],"&gt;0")</f>
        <v>0</v>
      </c>
      <c r="CP193" s="6">
        <f>COUNTIFS(Table6[Country],Tabela1[[#This Row],[Country]],Table6[Plus 92kg Classification],"&gt;0")</f>
        <v>0</v>
      </c>
      <c r="CQ193" s="6">
        <f>COUNTIFS(Table7[Country],Tabela1[[#This Row],[Country]],Table7[50kg Classification],"&gt;0")</f>
        <v>0</v>
      </c>
      <c r="CR193" s="6">
        <f>COUNTIFS(Table7[Country],Tabela1[[#This Row],[Country]],Table7[54kg Classification],"&gt;0")</f>
        <v>0</v>
      </c>
      <c r="CS193" s="6">
        <f>COUNTIFS(Table7[Country],Tabela1[[#This Row],[Country]],Table7[57kg Classification],"&gt;0")</f>
        <v>0</v>
      </c>
      <c r="CT193" s="6">
        <f>COUNTIFS(Table7[Country],Tabela1[[#This Row],[Country]],Table7[60kg Classification],"&gt;0")</f>
        <v>0</v>
      </c>
      <c r="CU193" s="6">
        <f>COUNTIFS(Table7[Country],Tabela1[[#This Row],[Country]],Table7[66kg Classification],"&gt;0")</f>
        <v>0</v>
      </c>
      <c r="CV193" s="6">
        <f>COUNTIFS(Table7[Country],Tabela1[[#This Row],[Country]],Table7[75kg Classification],"&gt;0")</f>
        <v>0</v>
      </c>
      <c r="CW193" s="6">
        <f>COUNTIFS(Tabela94[Country],Tabela1[[#This Row],[Country]],Tabela94[Classification],"&gt;0")</f>
        <v>0</v>
      </c>
      <c r="CX193" s="6">
        <f>COUNTIFS(Tabela9499[Country],Tabela1[[#This Row],[Country]],Tabela9499[Classification],"&gt;0")</f>
        <v>0</v>
      </c>
      <c r="CY193" s="6">
        <f>COUNTIFS(Tabela107[Country],Tabela1[[#This Row],[Country]],Tabela107[C1 Slalom Classification],"&gt;0")</f>
        <v>0</v>
      </c>
      <c r="CZ193" s="6">
        <f>COUNTIFS(Tabela107122[Country],Tabela1[[#This Row],[Country]],Tabela107122[C1 Slalom Classification],"&gt;0")</f>
        <v>0</v>
      </c>
      <c r="DA193" s="6">
        <f>COUNTIFS(Tabela107[Country],Tabela1[[#This Row],[Country]],Tabela107[K1 Slalom Classification],"&gt;0")</f>
        <v>0</v>
      </c>
      <c r="DB193" s="6">
        <f>COUNTIFS(Tabela107122[Country],Tabela1[[#This Row],[Country]],Tabela107122[K1 Slalom Classification],"&gt;0")</f>
        <v>0</v>
      </c>
      <c r="DC193" s="6">
        <f>COUNTIFS(Tabela107[Country],Tabela1[[#This Row],[Country]],Tabela107[Kayak Cross Slalom Classification],"&gt;0")</f>
        <v>0</v>
      </c>
      <c r="DD193" s="6">
        <f>COUNTIFS(Tabela107122[Country],Tabela1[[#This Row],[Country]],Tabela107122[Kayak Cross Slalom Classification],"&gt;0")</f>
        <v>0</v>
      </c>
      <c r="DE193" s="6">
        <f>COUNTIFS(Table8[Country],Tabela1[[#This Row],[Country]],Table8[C1 200m Classification],"&gt;0")</f>
        <v>0</v>
      </c>
      <c r="DF193" s="6">
        <f>COUNTIFS(Table40[Country],Tabela1[[#This Row],[Country]],Table40[C1 1000m Classification],"&gt;0")</f>
        <v>0</v>
      </c>
      <c r="DG193" s="6">
        <f>COUNTIFS(Table68[Country],Tabela1[[#This Row],[Country]],Table68[Men''s C2 500m Classification],"&gt;0")</f>
        <v>0</v>
      </c>
      <c r="DH193" s="6">
        <f>COUNTIFS(Table68[Country],Tabela1[[#This Row],[Country]],Table68[Women''s C2 500m Classification],"&gt;0")</f>
        <v>0</v>
      </c>
      <c r="DI193" s="6">
        <f>COUNTIFS(Table8[Country],Tabela1[[#This Row],[Country]],Table8[K1 500m Classification],"&gt;0")</f>
        <v>0</v>
      </c>
      <c r="DJ193" s="6">
        <f>COUNTIFS(Table40[Country],Tabela1[[#This Row],[Country]],Table40[K1 1000m Classification],"&gt;0")</f>
        <v>0</v>
      </c>
      <c r="DK193" s="6">
        <f>COUNTIFS(Table68[Country],Tabela1[[#This Row],[Country]],Table68[Men''s K2 500m Classification],"&gt;0")</f>
        <v>0</v>
      </c>
      <c r="DL193" s="6">
        <f>COUNTIFS(Table68[Country],Tabela1[[#This Row],[Country]],Table68[Women''s K2 500m Classification],"&gt;0")</f>
        <v>0</v>
      </c>
      <c r="DM193" s="6">
        <f>COUNTIFS(Table83[Country],Tabela1[[#This Row],[Country]],Table83[Men''s K4 500m Classification],"&gt;0")</f>
        <v>0</v>
      </c>
      <c r="DN193" s="6">
        <f>COUNTIFS(Table83[Country],Tabela1[[#This Row],[Country]],Table83[Women''s K4 500m Classification],"&gt;0")</f>
        <v>0</v>
      </c>
      <c r="DO193" s="6">
        <f>COUNTIFS(Tabela126[Country],Tabela1[[#This Row],[Country]],Tabela126[Classification],"&gt;0")</f>
        <v>0</v>
      </c>
      <c r="DP193" s="6">
        <f>COUNTIFS(Tabela126130[Country],Tabela1[[#This Row],[Country]],Tabela126130[Classification],"&gt;0")</f>
        <v>0</v>
      </c>
      <c r="DQ193" s="6">
        <f>COUNTIFS(Table70[Country],Tabela1[[#This Row],[Country]],Table70[Classification],"&gt;0")</f>
        <v>0</v>
      </c>
      <c r="DR193" s="6">
        <f>COUNTIFS(Table80[Country],Tabela1[[#This Row],[Country]],Table80[Classification],"&gt;0")</f>
        <v>0</v>
      </c>
      <c r="DS193" s="6">
        <f>COUNTIFS(Table66[Country],Tabela1[[#This Row],[Country]],Table66[Classification],"&gt;0")</f>
        <v>0</v>
      </c>
      <c r="DT193" s="6">
        <f>COUNTIFS(Table67[Country],Tabela1[[#This Row],[Country]],Table67[Classification],"&gt;0")</f>
        <v>0</v>
      </c>
      <c r="DU193" s="6">
        <f>COUNTIFS(Table69[Country],Tabela1[[#This Row],[Country]],Table69[Keirin Classification],"&gt;0")</f>
        <v>0</v>
      </c>
      <c r="DV193" s="6">
        <f>COUNTIFS(Table41[Country],Tabela1[[#This Row],[Country]],Table41[Keirin Classification],"&gt;0")</f>
        <v>0</v>
      </c>
      <c r="DW193" s="6">
        <f>COUNTIFS(Table84[Country],Tabela1[[#This Row],[Country]],Table84[Men''s Madison Classification],"&gt;0")</f>
        <v>0</v>
      </c>
      <c r="DX193" s="6">
        <f>COUNTIFS(Table84[Country],Tabela1[[#This Row],[Country]],Table84[Women''s Madison Classification],"&gt;0")</f>
        <v>0</v>
      </c>
      <c r="DY193" s="6">
        <f>COUNTIFS(Table69[Country],Tabela1[[#This Row],[Country]],Table69[Omnium Classification],"&gt;0")</f>
        <v>0</v>
      </c>
      <c r="DZ193" s="6">
        <f>COUNTIFS(Table41[Country],Tabela1[[#This Row],[Country]],Table41[Omnium Classification],"&gt;0")</f>
        <v>0</v>
      </c>
      <c r="EA193" s="6">
        <f>COUNTIFS(Table9[Country],Tabela1[[#This Row],[Country]],Table9[Road Race Classification],"&gt;0")</f>
        <v>0</v>
      </c>
      <c r="EB193" s="6">
        <f>COUNTIFS(Table14[Country],Tabela1[[#This Row],[Country]],Table14[Road Race Classification],"&gt;0")</f>
        <v>0</v>
      </c>
      <c r="EC193" s="6">
        <f>COUNTIFS(Table69[Country],Tabela1[[#This Row],[Country]],Table69[Sprint Classification],"&gt;0")</f>
        <v>0</v>
      </c>
      <c r="ED193" s="6">
        <f>COUNTIFS(Table41[Country],Tabela1[[#This Row],[Country]],Table41[Sprint Classification],"&gt;0")</f>
        <v>0</v>
      </c>
      <c r="EE193" s="6">
        <f>COUNTIFS(Table85[Country],Tabela1[[#This Row],[Country]],Table85[Men''s Sprint Classification],"&gt;0")</f>
        <v>0</v>
      </c>
      <c r="EF193" s="6">
        <f>COUNTIFS(Table85[Country],Tabela1[[#This Row],[Country]],Table85[Women''s Sprint Classification],"&gt;0")</f>
        <v>0</v>
      </c>
      <c r="EG193" s="6">
        <f>COUNTIFS(Table85[Country],Tabela1[[#This Row],[Country]],Table85[Men''s Pursuit Classification],"&gt;0")</f>
        <v>0</v>
      </c>
      <c r="EH193" s="6">
        <f>COUNTIFS(Table85[Country],Tabela1[[#This Row],[Country]],Table85[Women''s Pursuit Classification],"&gt;0")</f>
        <v>0</v>
      </c>
      <c r="EI193" s="6">
        <f>COUNTIFS(Table9[Country],Tabela1[[#This Row],[Country]],Table9[Time-Trial Classification],"&gt;0")</f>
        <v>0</v>
      </c>
      <c r="EJ193" s="6">
        <f>COUNTIFS(Table14[Country],Tabela1[[#This Row],[Country]],Table14[Time-Trial Classification],"&gt;0")</f>
        <v>0</v>
      </c>
      <c r="EK193" s="6">
        <f>COUNTIFS(Table42[Country],Tabela1[[#This Row],[Country]],Table42[Springboard Classification],"&gt;0")</f>
        <v>0</v>
      </c>
      <c r="EL193" s="6">
        <f>COUNTIFS(Table43[Country],Tabela1[[#This Row],[Country]],Table43[Springboard Classification],"&gt;0")</f>
        <v>0</v>
      </c>
      <c r="EM193" s="6">
        <f>COUNTIFS(Table42[Country],Tabela1[[#This Row],[Country]],Table42[Platform Classification],"&gt;0")</f>
        <v>0</v>
      </c>
      <c r="EN193" s="6">
        <f>COUNTIFS(Table43[Country],Tabela1[[#This Row],[Country]],Table43[Platform Classification],"&gt;0")</f>
        <v>0</v>
      </c>
      <c r="EO193" s="6">
        <f>COUNTIFS(Table86[Country],Tabela1[[#This Row],[Country]],Table86[Men''s Synchronized Springboard Classification],"&gt;0")</f>
        <v>0</v>
      </c>
      <c r="EP193" s="6">
        <f>COUNTIFS(Table86[Country],Tabela1[[#This Row],[Country]],Table86[Women''s Synchronized Springboard Classification],"&gt;0")</f>
        <v>0</v>
      </c>
      <c r="EQ193" s="6">
        <f>COUNTIFS(Table86[Country],Tabela1[[#This Row],[Country]],Table86[Men''s Synchronized Platform Classification],"&gt;0")</f>
        <v>0</v>
      </c>
      <c r="ER193" s="6">
        <f>COUNTIFS(Table86[Country],Tabela1[[#This Row],[Country]],Table86[Women''s Synchronized Platform Classification],"&gt;0")</f>
        <v>0</v>
      </c>
      <c r="ES193" s="6">
        <f>COUNTIFS(Table44[Country],Tabela1[[#This Row],[Country]],Table44[Dressage Classification],"&gt;0")</f>
        <v>0</v>
      </c>
      <c r="ET193" s="6">
        <f>COUNTIFS(Table45[Country],Tabela1[[#This Row],[Country]],Table45[Dressage Classification],"&gt;0")</f>
        <v>0</v>
      </c>
      <c r="EU193" s="6">
        <f>COUNTIFS(Table44[Country],Tabela1[[#This Row],[Country]],Table44[Eventing Classification],"&gt;0")</f>
        <v>0</v>
      </c>
      <c r="EV193" s="6">
        <f>COUNTIFS(Table45[Country],Tabela1[[#This Row],[Country]],Table45[Eventing Classification],"&gt;0")</f>
        <v>0</v>
      </c>
      <c r="EW193" s="6">
        <f>COUNTIFS(Table44[Country],Tabela1[[#This Row],[Country]],Table44[Jumping Classification],"&gt;0")</f>
        <v>0</v>
      </c>
      <c r="EX193" s="6">
        <f>COUNTIFS(Table45[Country],Tabela1[[#This Row],[Country]],Table45[Jumping Classification],"&gt;0")</f>
        <v>0</v>
      </c>
      <c r="EY193" s="6">
        <f>COUNTIFS(Table10[Country],Tabela1[[#This Row],[Country]],Table10[Épée Classification],"&gt;0")</f>
        <v>0</v>
      </c>
      <c r="EZ193" s="6">
        <f>COUNTIFS(Table11[Country],Tabela1[[#This Row],[Country]],Table11[Épée Classification],"&gt;0")</f>
        <v>0</v>
      </c>
      <c r="FA193" s="6">
        <f>COUNTIFS(Table46[Country],Tabela1[[#This Row],[Country]],Table46[Men''s Épée Classification],"&gt;0")</f>
        <v>0</v>
      </c>
      <c r="FB193" s="6">
        <f>COUNTIFS(Table46[Country],Tabela1[[#This Row],[Country]],Table46[Women''s Épée Classification],"&gt;0")</f>
        <v>0</v>
      </c>
      <c r="FC193" s="6">
        <f>COUNTIFS(Table10[Country],Tabela1[[#This Row],[Country]],Table10[Foil Classification],"&gt;0")</f>
        <v>0</v>
      </c>
      <c r="FD193" s="6">
        <f>COUNTIFS(Table11[Country],Tabela1[[#This Row],[Country]],Table11[Foil Classification],"&gt;0")</f>
        <v>0</v>
      </c>
      <c r="FE193" s="6">
        <f>COUNTIFS(Table46[Country],Tabela1[[#This Row],[Country]],Table46[Men''s Foil Classification],"&gt;0")</f>
        <v>0</v>
      </c>
      <c r="FF193" s="6">
        <f>COUNTIFS(Table46[Country],Tabela1[[#This Row],[Country]],Table46[Women''s Foil Classification],"&gt;0")</f>
        <v>0</v>
      </c>
      <c r="FG193" s="6">
        <f>COUNTIFS(Table10[Country],Tabela1[[#This Row],[Country]],Table10[Sabre Classification],"&gt;0")</f>
        <v>0</v>
      </c>
      <c r="FH193" s="6">
        <f>COUNTIFS(Table11[Country],Tabela1[[#This Row],[Country]],Table11[Sabre Classification],"&gt;0")</f>
        <v>0</v>
      </c>
      <c r="FI193" s="6">
        <f>COUNTIFS(Table46[Country],Tabela1[[#This Row],[Country]],Table46[Men''s Sabre Classification],"&gt;0")</f>
        <v>0</v>
      </c>
      <c r="FJ193" s="6">
        <f>COUNTIFS(Table46[Country],Tabela1[[#This Row],[Country]],Table46[Women''s Sabre Classification],"&gt;0")</f>
        <v>0</v>
      </c>
      <c r="FK193" s="6">
        <f>COUNTIFS(Table91[Country],Tabela1[[#This Row],[Country]],Table91[Men''s Classification],"&gt;0")</f>
        <v>0</v>
      </c>
      <c r="FL193" s="6">
        <f>COUNTIFS(Table91[Country],Tabela1[[#This Row],[Country]],Table91[Women''s Classification],"&gt;0")</f>
        <v>0</v>
      </c>
      <c r="FM193" s="6">
        <f>COUNTIFS(Table9194[Country],Tabela1[[#This Row],[Country]],Table9194[Men''s Classification],"&gt;0")</f>
        <v>0</v>
      </c>
      <c r="FN193" s="6">
        <f>COUNTIFS(Table9194[Country],Tabela1[[#This Row],[Country]],Table9194[Women''s Classification],"&gt;0")</f>
        <v>0</v>
      </c>
      <c r="FO193" s="6">
        <f>COUNTIFS(Table71[Country],Tabela1[[#This Row],[Country]],Table71[Classification],"&gt;0")</f>
        <v>0</v>
      </c>
      <c r="FP193" s="6">
        <f>COUNTIFS(Table62[Country],Tabela1[[#This Row],[Country]],Table62[Classification],"&gt;0")</f>
        <v>0</v>
      </c>
      <c r="FQ193" s="6">
        <f>COUNTIFS(Table47[Country],Tabela1[[#This Row],[Country]],Table47[All-Around Classification],"&gt;0")</f>
        <v>0</v>
      </c>
      <c r="FR193" s="6">
        <f>COUNTIFS(Table48[Country],Tabela1[[#This Row],[Country]],Table48[All-Around Classification],"&gt;0")</f>
        <v>0</v>
      </c>
      <c r="FS193" s="6">
        <f>COUNTIFS(Table81[Country],Tabela1[[#This Row],[Country]],Table81[Men''s All-Around Classification],"&gt;0")</f>
        <v>0</v>
      </c>
      <c r="FT193" s="6">
        <f>COUNTIFS(Table81[Country],Tabela1[[#This Row],[Country]],Table81[Women''s All-Around Classification],"&gt;0")</f>
        <v>0</v>
      </c>
      <c r="FU193" s="6">
        <f>COUNTIFS(Table48[Country],Tabela1[[#This Row],[Country]],Table48[Balance Beam Classification],"&gt;0")</f>
        <v>0</v>
      </c>
      <c r="FV193" s="6">
        <f>COUNTIFS(Table47[Country],Tabela1[[#This Row],[Country]],Table47[Floor Exercise Classification],"&gt;0")</f>
        <v>0</v>
      </c>
      <c r="FW193" s="6">
        <f>COUNTIFS(Table48[Country],Tabela1[[#This Row],[Country]],Table48[Floor Exercise Classification],"&gt;0")</f>
        <v>0</v>
      </c>
      <c r="FX193" s="6">
        <f>COUNTIFS(Table47[Country],Tabela1[[#This Row],[Country]],Table47[Horizontal Bar Classification],"&gt;0")</f>
        <v>0</v>
      </c>
      <c r="FY193" s="6">
        <f>COUNTIFS(Table47[Country],Tabela1[[#This Row],[Country]],Table47[Parallel Bars Classification],"&gt;0")</f>
        <v>0</v>
      </c>
      <c r="FZ193" s="6">
        <f>COUNTIFS(Table47[Country],Tabela1[[#This Row],[Country]],Table47[Pommel Horse Classification],"&gt;0")</f>
        <v>0</v>
      </c>
      <c r="GA193" s="6">
        <f>COUNTIFS(Table47[Country],Tabela1[[#This Row],[Country]],Table47[Rings Classification],"&gt;0")</f>
        <v>0</v>
      </c>
      <c r="GB193" s="6">
        <f>COUNTIFS(Tabela132[Country],Tabela1[[#This Row],[Country]],Tabela132[Classification],"&gt;0")</f>
        <v>0</v>
      </c>
      <c r="GC193" s="6">
        <f>COUNTIFS(Tabela139[Country],Tabela1[[#This Row],[Country]],Tabela139[Classification],"&gt;0")</f>
        <v>0</v>
      </c>
      <c r="GD193" s="6">
        <f>COUNTIFS(Table48[Country],Tabela1[[#This Row],[Country]],Table48[Uneven Bars Classification],"&gt;0")</f>
        <v>0</v>
      </c>
      <c r="GE193" s="6">
        <f>COUNTIFS(Table47[Country],Tabela1[[#This Row],[Country]],Table47[Vault Classification],"&gt;0")</f>
        <v>0</v>
      </c>
      <c r="GF193" s="6">
        <f>COUNTIFS(Table48[Country],Tabela1[[#This Row],[Country]],Table48[Vault Classification],"&gt;0")</f>
        <v>0</v>
      </c>
      <c r="GG193" s="6">
        <f>COUNTIFS(Table919496[Country],Tabela1[[#This Row],[Country]],Table919496[Men''s Classification],"&gt;0")</f>
        <v>0</v>
      </c>
      <c r="GH193" s="6">
        <f>COUNTIFS(Table919496[Country],Tabela1[[#This Row],[Country]],Table919496[Women''s Classification],"&gt;0")</f>
        <v>0</v>
      </c>
      <c r="GI193" s="6">
        <f>COUNTIFS(Table12[Country],Tabela1[[#This Row],[Country]],Table12[60kg Classification],"&gt;0")</f>
        <v>0</v>
      </c>
      <c r="GJ193" s="6">
        <f>COUNTIFS(Table12[Country],Tabela1[[#This Row],[Country]],Table12[66kg Classification],"&gt;0")</f>
        <v>0</v>
      </c>
      <c r="GK193" s="6">
        <f>COUNTIFS(Table12[Country],Tabela1[[#This Row],[Country]],Table12[73kg Classification],"&gt;0")</f>
        <v>0</v>
      </c>
      <c r="GL193" s="6">
        <f>COUNTIFS(Table12[Country],Tabela1[[#This Row],[Country]],Table12[81kg Classification],"&gt;0")</f>
        <v>0</v>
      </c>
      <c r="GM193" s="6">
        <f>COUNTIFS(Table12[Country],Tabela1[[#This Row],[Country]],Table12[90kg Classification],"&gt;0")</f>
        <v>0</v>
      </c>
      <c r="GN193" s="6">
        <f>COUNTIFS(Table12[Country],Tabela1[[#This Row],[Country]],Table12[100kg Classification],"&gt;0")</f>
        <v>0</v>
      </c>
      <c r="GO193" s="6">
        <f>COUNTIFS(Table12[Country],Tabela1[[#This Row],[Country]],Table12[Plus 100kg Classification],"&gt;0")</f>
        <v>0</v>
      </c>
      <c r="GP193" s="6">
        <f>COUNTIFS(Table13[Country],Tabela1[[#This Row],[Country]],Table13[48kg Classification],"&gt;0")</f>
        <v>0</v>
      </c>
      <c r="GQ193" s="6">
        <f>COUNTIFS(Table13[Country],Tabela1[[#This Row],[Country]],Table13[52kg Classification],"&gt;0")</f>
        <v>0</v>
      </c>
      <c r="GR193" s="6">
        <f>COUNTIFS(Table13[Country],Tabela1[[#This Row],[Country]],Table13[57kg Classification],"&gt;0")</f>
        <v>0</v>
      </c>
      <c r="GS193" s="6">
        <f>COUNTIFS(Table13[Country],Tabela1[[#This Row],[Country]],Table13[63kg Classification],"&gt;0")</f>
        <v>0</v>
      </c>
      <c r="GT193" s="6">
        <f>COUNTIFS(Table13[Country],Tabela1[[#This Row],[Country]],Table13[70kg Classification],"&gt;0")</f>
        <v>0</v>
      </c>
      <c r="GU193" s="6">
        <f>COUNTIFS(Table13[Country],Tabela1[[#This Row],[Country]],Table13[78kg Classification],"&gt;0")</f>
        <v>0</v>
      </c>
      <c r="GV193" s="6">
        <f>COUNTIFS(Table13[Country],Tabela1[[#This Row],[Country]],Table13[Plus 78kg Classification],"&gt;0")</f>
        <v>0</v>
      </c>
      <c r="GW193" s="6">
        <f>COUNTIFS(Table82[Country],Tabela1[[#This Row],[Country]],Table82[Mixed Classification],"&gt;0")</f>
        <v>0</v>
      </c>
      <c r="GX193" s="6">
        <f>COUNTIFS(Table51[Country],Tabela1[[#This Row],[Country]],Table51[Classification],"&gt;0")</f>
        <v>0</v>
      </c>
      <c r="GY193" s="6">
        <f>COUNTIFS(Table52[Country],Tabela1[[#This Row],[Country]],Table52[Classification],"&gt;0")</f>
        <v>0</v>
      </c>
      <c r="GZ193" s="6">
        <f>COUNTIFS(Table32[Country],Tabela1[[#This Row],[Country]],Table32[All-Around Classification],"&gt;0")</f>
        <v>0</v>
      </c>
      <c r="HA193" s="6">
        <f>COUNTIFS(Table49[Country],Tabela1[[#This Row],[Country]],Table49[All-Around Classification],"&gt;0")</f>
        <v>0</v>
      </c>
      <c r="HB193" s="6">
        <f>COUNTIFS(Table26[Country],Tabela1[[#This Row],[Country]],Table26[Single Sculls Classification],"&gt;0")</f>
        <v>0</v>
      </c>
      <c r="HC193" s="6">
        <f>COUNTIFS(Table63[Country],Tabela1[[#This Row],[Country]],Table63[Single Sculls Classification],"&gt;0")</f>
        <v>0</v>
      </c>
      <c r="HD193" s="6">
        <f>COUNTIFS(Table16[Country],Tabela1[[#This Row],[Country]],Table16[Men''s Double Sculls Classification],"&gt;0")</f>
        <v>0</v>
      </c>
      <c r="HE193" s="6">
        <f>COUNTIFS(Table16[Country],Tabela1[[#This Row],[Country]],Table16[Women''s Double Sculls Classification],"&gt;0")</f>
        <v>0</v>
      </c>
      <c r="HF193" s="6">
        <f>COUNTIFS(Table72[Country],Tabela1[[#This Row],[Country]],Table72[Men''s Quadruple Sculls Classification],"&gt;0")</f>
        <v>0</v>
      </c>
      <c r="HG193" s="6">
        <f>COUNTIFS(Table72[Country],Tabela1[[#This Row],[Country]],Table72[Women''s Quadruple Sculls Classification],"&gt;0")</f>
        <v>0</v>
      </c>
      <c r="HH193" s="6">
        <f>COUNTIFS(Table16[Country],Tabela1[[#This Row],[Country]],Table16[Men''s Coxless Pairs Classification],"&gt;0")</f>
        <v>0</v>
      </c>
      <c r="HI193" s="6">
        <f>COUNTIFS(Table16[Country],Tabela1[[#This Row],[Country]],Table16[Women''s Coxless Pairs Classification],"&gt;0")</f>
        <v>0</v>
      </c>
      <c r="HJ193" s="6">
        <f>COUNTIFS(Table72[Country],Tabela1[[#This Row],[Country]],Table72[Men''s Coxless Fours Classification],"&gt;0")</f>
        <v>0</v>
      </c>
      <c r="HK193" s="6">
        <f>COUNTIFS(Table72[Country],Tabela1[[#This Row],[Country]],Table72[Women''s Coxless Fours Classification],"&gt;0")</f>
        <v>0</v>
      </c>
      <c r="HL193" s="6">
        <f>COUNTIFS(Table72[Country],Tabela1[[#This Row],[Country]],Table72[Men''s Eights Classification],"&gt;0")</f>
        <v>0</v>
      </c>
      <c r="HM193" s="6">
        <f>COUNTIFS(Table72[Country],Tabela1[[#This Row],[Country]],Table72[Women''s Eights Classification],"&gt;0")</f>
        <v>0</v>
      </c>
      <c r="HN193" s="6">
        <f>COUNTIFS(Table16[Country],Tabela1[[#This Row],[Country]],Table16[Men''s Lwt. Double Sculls Classification],"&gt;0")</f>
        <v>0</v>
      </c>
      <c r="HO193" s="6">
        <f>COUNTIFS(Table16[Country],Tabela1[[#This Row],[Country]],Table16[Women''s Lwt. Double Sculls Classification],"&gt;0")</f>
        <v>0</v>
      </c>
      <c r="HP193" s="6">
        <f>COUNTIFS(Table91949698[Country],Tabela1[[#This Row],[Country]],Table91949698[Men''s Classification],"&gt;0")</f>
        <v>0</v>
      </c>
      <c r="HQ193" s="6">
        <f>COUNTIFS(Table91949698[Country],Tabela1[[#This Row],[Country]],Table91949698[Women''s Classification],"&gt;0")</f>
        <v>0</v>
      </c>
      <c r="HR193" s="6">
        <f>COUNTIFS(Table25[Country],Tabela1[[#This Row],[Country]],Table25[Mixed 470 Classification],"&gt;0")</f>
        <v>0</v>
      </c>
      <c r="HS193" s="6">
        <f>COUNTIFS(Table25[Country],Tabela1[[#This Row],[Country]],Table25[Men''s 49er Classification],"&gt;0")</f>
        <v>0</v>
      </c>
      <c r="HT193" s="6">
        <f>COUNTIFS(Table25[Country],Tabela1[[#This Row],[Country]],Table25[Women''s 49er FX Classification],"&gt;0")</f>
        <v>0</v>
      </c>
      <c r="HU193" s="6">
        <f>COUNTIFS(Table17[Country],Tabela1[[#This Row],[Country]],Table17[Formula Kite Classification],"&gt;0")</f>
        <v>0</v>
      </c>
      <c r="HV193" s="6">
        <f>COUNTIFS(Table18[Country],Tabela1[[#This Row],[Country]],Table18[Formula Kite Classification],"&gt;0")</f>
        <v>0</v>
      </c>
      <c r="HW193" s="6">
        <f>COUNTIFS(Table17[Country],Tabela1[[#This Row],[Country]],Table17[ILCA 7 Classification],"&gt;0")</f>
        <v>0</v>
      </c>
      <c r="HX193" s="6">
        <f>COUNTIFS(Table18[Country],Tabela1[[#This Row],[Country]],Table18[ILCA 6 Classification],"&gt;0")</f>
        <v>0</v>
      </c>
      <c r="HY193" s="6">
        <f>COUNTIFS(Table17[Country],Tabela1[[#This Row],[Country]],Table17[IQFoil Classification],"&gt;0")</f>
        <v>0</v>
      </c>
      <c r="HZ193" s="6">
        <f>COUNTIFS(Table18[Country],Tabela1[[#This Row],[Country]],Table18[IQFoil Classification],"&gt;0")</f>
        <v>0</v>
      </c>
      <c r="IA193" s="6">
        <f>COUNTIFS(Table25[Country],Tabela1[[#This Row],[Country]],Table25[Mixed Nacra 17 Classification],"&gt;0")</f>
        <v>0</v>
      </c>
      <c r="IB193" s="6">
        <f>COUNTIFS(Table53[Country],Tabela1[[#This Row],[Country]],Table53[10m Air Pistol Classification],"&gt;0")</f>
        <v>0</v>
      </c>
      <c r="IC193" s="6">
        <f>COUNTIFS(Table19[Country],Tabela1[[#This Row],[Country]],Table19[10m Air Pistol Classification],"&gt;0")</f>
        <v>0</v>
      </c>
      <c r="ID193" s="6">
        <f>COUNTIFS(Table54[Country],Tabela1[[#This Row],[Country]],Table54[Mixed 10m Air Pistol Team Classification],"&gt;0")</f>
        <v>0</v>
      </c>
      <c r="IE193" s="6">
        <f>COUNTIFS(Table53[Country],Tabela1[[#This Row],[Country]],Table53[10m Air Rifle Classification],"&gt;0")</f>
        <v>0</v>
      </c>
      <c r="IF193" s="6">
        <f>COUNTIFS(Table19[Country],Tabela1[[#This Row],[Country]],Table19[10m Air Rifle Classification],"&gt;0")</f>
        <v>0</v>
      </c>
      <c r="IG193" s="6">
        <f>COUNTIFS(Table54[Country],Tabela1[[#This Row],[Country]],Table54[Mixed 10m Air Rifle Team Classification],"&gt;0")</f>
        <v>0</v>
      </c>
      <c r="IH193" s="6">
        <f>COUNTIFS(Table53[Country],Tabela1[[#This Row],[Country]],Table53[25m Rapid Fire Pistol Classification],"&gt;0")</f>
        <v>0</v>
      </c>
      <c r="II193" s="6">
        <f>COUNTIFS(Table19[Country],Tabela1[[#This Row],[Country]],Table19[25m Pistol Classification],"&gt;0")</f>
        <v>0</v>
      </c>
      <c r="IJ193" s="6">
        <f>COUNTIFS(Table53[Country],Tabela1[[#This Row],[Country]],Table53[50m Rifle 3 Positions Classification],"&gt;0")</f>
        <v>0</v>
      </c>
      <c r="IK193" s="6">
        <f>COUNTIFS(Table19[Country],Tabela1[[#This Row],[Country]],Table19[50m Rifle 3 Positions Classification],"&gt;0")</f>
        <v>0</v>
      </c>
      <c r="IL193" s="6">
        <f>COUNTIFS(Table53[Country],Tabela1[[#This Row],[Country]],Table53[Skeet Classification],"&gt;0")</f>
        <v>0</v>
      </c>
      <c r="IM193" s="6">
        <f>COUNTIFS(Table19[Country],Tabela1[[#This Row],[Country]],Table19[Skeet Classification],"&gt;0")</f>
        <v>0</v>
      </c>
      <c r="IN193" s="6">
        <f>COUNTIFS(Table54[Country],Tabela1[[#This Row],[Country]],Table54[Mixed Skeet Team Classification],"&gt;0")</f>
        <v>0</v>
      </c>
      <c r="IO193" s="6">
        <f>COUNTIFS(Table53[Country],Tabela1[[#This Row],[Country]],Table53[Trap Classification],"&gt;0")</f>
        <v>0</v>
      </c>
      <c r="IP193" s="6">
        <f>COUNTIFS(Table19[Country],Tabela1[[#This Row],[Country]],Table19[Trap Classification],"&gt;0")</f>
        <v>0</v>
      </c>
      <c r="IQ193" s="6">
        <f>COUNTIFS(Table73[Country],Tabela1[[#This Row],[Country]],Table73[Park Classification],"&gt;0")</f>
        <v>0</v>
      </c>
      <c r="IR193" s="6">
        <f>COUNTIFS(Table74[Country],Tabela1[[#This Row],[Country]],Table74[Park Classification],"&gt;0")</f>
        <v>0</v>
      </c>
      <c r="IS193" s="6">
        <f>COUNTIFS(Table73[Country],Tabela1[[#This Row],[Country]],Table73[Street Classification],"&gt;0")</f>
        <v>0</v>
      </c>
      <c r="IT193" s="6">
        <f>COUNTIFS(Table74[Country],Tabela1[[#This Row],[Country]],Table74[Street Classification],"&gt;0")</f>
        <v>0</v>
      </c>
      <c r="IU193" s="6">
        <f>COUNTIFS(Table75[Country],Tabela1[[#This Row],[Country]],Table75[Boulder and Lead Classification],"&gt;0")</f>
        <v>0</v>
      </c>
      <c r="IV193" s="6">
        <f>COUNTIFS(Table76[Country],Tabela1[[#This Row],[Country]],Table76[Boulder and Lead Classification],"&gt;0")</f>
        <v>0</v>
      </c>
      <c r="IW193" s="6">
        <f>COUNTIFS(Table75[Country],Tabela1[[#This Row],[Country]],Table75[Speed Classification],"&gt;0")</f>
        <v>0</v>
      </c>
      <c r="IX193" s="6">
        <f>COUNTIFS(Table76[Country],Tabela1[[#This Row],[Country]],Table76[Speed Classification],"&gt;0")</f>
        <v>0</v>
      </c>
      <c r="IY193" s="6">
        <f>COUNTIFS(Table64[Country],Tabela1[[#This Row],[Country]],Table64[Shortboard Classification],"&gt;0")</f>
        <v>0</v>
      </c>
      <c r="IZ193" s="6">
        <f>COUNTIFS(Table77[Country],Tabela1[[#This Row],[Country]],Table77[Shortboard Classification],"&gt;0")</f>
        <v>0</v>
      </c>
      <c r="JA193" s="6">
        <f>COUNTIFS(Table20[Country],Tabela1[[#This Row],[Country]],Table20[50m Freestyle Classification],"&gt;0")</f>
        <v>0</v>
      </c>
      <c r="JB193" s="6">
        <f>COUNTIFS(Table21[Country],Tabela1[[#This Row],[Country]],Table21[50m Freestyle Classification],"&gt;0")</f>
        <v>0</v>
      </c>
      <c r="JC193" s="6">
        <f>COUNTIFS(Table20[Country],Tabela1[[#This Row],[Country]],Table20[100m Freestyle Classification],"&gt;0")</f>
        <v>0</v>
      </c>
      <c r="JD193" s="6">
        <f>COUNTIFS(Table21[Country],Tabela1[[#This Row],[Country]],Table21[100m Freestyle Classification],"&gt;0")</f>
        <v>0</v>
      </c>
      <c r="JE193" s="6">
        <f>COUNTIFS(Table20[Country],Tabela1[[#This Row],[Country]],Table20[200m Freestyle Classification],"&gt;0")</f>
        <v>0</v>
      </c>
      <c r="JF193" s="6">
        <f>COUNTIFS(Table21[Country],Tabela1[[#This Row],[Country]],Table21[200m Freestyle Classification],"&gt;0")</f>
        <v>0</v>
      </c>
      <c r="JG193" s="6">
        <f>COUNTIFS(Table20[Country],Tabela1[[#This Row],[Country]],Table20[400m Freestyle Classification],"&gt;0")</f>
        <v>0</v>
      </c>
      <c r="JH193" s="6">
        <f>COUNTIFS(Table21[Country],Tabela1[[#This Row],[Country]],Table21[400m Freestyle Classification],"&gt;0")</f>
        <v>0</v>
      </c>
      <c r="JI193" s="6">
        <f>COUNTIFS(Table20[Country],Tabela1[[#This Row],[Country]],Table20[800m Freestyle Classification],"&gt;0")</f>
        <v>0</v>
      </c>
      <c r="JJ193" s="6">
        <f>COUNTIFS(Table21[Country],Tabela1[[#This Row],[Country]],Table21[800m Freestyle Classification],"&gt;0")</f>
        <v>0</v>
      </c>
      <c r="JK193" s="6">
        <f>COUNTIFS(Table20[Country],Tabela1[[#This Row],[Country]],Table20[1500m Freestyle Classification],"&gt;0")</f>
        <v>0</v>
      </c>
      <c r="JL193" s="6">
        <f>COUNTIFS(Table21[Country],Tabela1[[#This Row],[Country]],Table21[1500m Freestyle Classification],"&gt;0")</f>
        <v>0</v>
      </c>
      <c r="JM193" s="6">
        <f>COUNTIFS(Table20[Country],Tabela1[[#This Row],[Country]],Table20[100m Backstroke Classification],"&gt;0")</f>
        <v>0</v>
      </c>
      <c r="JN193" s="6">
        <f>COUNTIFS(Table21[Country],Tabela1[[#This Row],[Country]],Table21[100m Backstroke Classification],"&gt;0")</f>
        <v>0</v>
      </c>
      <c r="JO193" s="6">
        <f>COUNTIFS(Table20[Country],Tabela1[[#This Row],[Country]],Table20[200m Backstroke Classification],"&gt;0")</f>
        <v>0</v>
      </c>
      <c r="JP193" s="6">
        <f>COUNTIFS(Table21[Country],Tabela1[[#This Row],[Country]],Table21[200m Backstroke Classification],"&gt;0")</f>
        <v>0</v>
      </c>
      <c r="JQ193" s="6">
        <f>COUNTIFS(Table20[Country],Tabela1[[#This Row],[Country]],Table20[100m Breaststroke Classification],"&gt;0")</f>
        <v>0</v>
      </c>
      <c r="JR193" s="6">
        <f>COUNTIFS(Table21[Country],Tabela1[[#This Row],[Country]],Table21[100m Breaststroke Classification],"&gt;0")</f>
        <v>0</v>
      </c>
      <c r="JS193" s="6">
        <f>COUNTIFS(Table20[Country],Tabela1[[#This Row],[Country]],Table20[200m Breaststroke Classification],"&gt;0")</f>
        <v>0</v>
      </c>
      <c r="JT193" s="6">
        <f>COUNTIFS(Table21[Country],Tabela1[[#This Row],[Country]],Table21[200m Breaststroke Classification],"&gt;0")</f>
        <v>0</v>
      </c>
      <c r="JU193" s="6">
        <f>COUNTIFS(Table20[Country],Tabela1[[#This Row],[Country]],Table20[100m Butterfly Classification],"&gt;0")</f>
        <v>0</v>
      </c>
      <c r="JV193" s="6">
        <f>COUNTIFS(Table21[Country],Tabela1[[#This Row],[Country]],Table21[100m Butterfly Classification],"&gt;0")</f>
        <v>0</v>
      </c>
      <c r="JW193" s="6">
        <f>COUNTIFS(Table20[Country],Tabela1[[#This Row],[Country]],Table20[200m Butterfly Classification],"&gt;0")</f>
        <v>0</v>
      </c>
      <c r="JX193" s="6">
        <f>COUNTIFS(Table21[Country],Tabela1[[#This Row],[Country]],Table21[200m Butterfly Classification],"&gt;0")</f>
        <v>0</v>
      </c>
      <c r="JY193" s="6">
        <f>COUNTIFS(Table20[Country],Tabela1[[#This Row],[Country]],Table20[200m Medley Classification],"&gt;0")</f>
        <v>0</v>
      </c>
      <c r="JZ193" s="6">
        <f>COUNTIFS(Table21[Country],Tabela1[[#This Row],[Country]],Table21[200m Medley Classification],"&gt;0")</f>
        <v>0</v>
      </c>
      <c r="KA193" s="6">
        <f>COUNTIFS(Table20[Country],Tabela1[[#This Row],[Country]],Table20[400m Medley Classification],"&gt;0")</f>
        <v>0</v>
      </c>
      <c r="KB193" s="6">
        <f>COUNTIFS(Table21[Country],Tabela1[[#This Row],[Country]],Table21[400m Medley Classification],"&gt;0")</f>
        <v>0</v>
      </c>
      <c r="KC193" s="6">
        <f>COUNTIFS(Table78[Country],Tabela1[[#This Row],[Country]],Table78[Men''s 4x100m Freestyle Relay Classification],"&gt;0")</f>
        <v>0</v>
      </c>
      <c r="KD193" s="6">
        <f>COUNTIFS(Table78[Country],Tabela1[[#This Row],[Country]],Table78[Women''s 4x100m Freestyle Relay Classification],"&gt;0")</f>
        <v>0</v>
      </c>
      <c r="KE193" s="6">
        <f>COUNTIFS(Table78[Country],Tabela1[[#This Row],[Country]],Table78[Men''s 4x200m Freestyle Relay Classification],"&gt;0")</f>
        <v>0</v>
      </c>
      <c r="KF193" s="6">
        <f>COUNTIFS(Table78[Country],Tabela1[[#This Row],[Country]],Table78[Women''s 4x200m Freestyle Relay Classification],"&gt;0")</f>
        <v>0</v>
      </c>
      <c r="KG193" s="6">
        <f>COUNTIFS(Table78[Country],Tabela1[[#This Row],[Country]],Table78[Men''s 4x100m Medley Relay Classification],"&gt;0")</f>
        <v>0</v>
      </c>
      <c r="KH193" s="6">
        <f>COUNTIFS(Table78[Country],Tabela1[[#This Row],[Country]],Table78[Women''s 4x100m Medley Relay Classification],"&gt;0")</f>
        <v>0</v>
      </c>
      <c r="KI193" s="6">
        <f>COUNTIFS(Table78[Country],Tabela1[[#This Row],[Country]],Table78[Mixed 4x100m Medley Relay Classification],"&gt;0")</f>
        <v>0</v>
      </c>
      <c r="KJ193" s="6">
        <f>COUNTIFS(Table20[Country],Tabela1[[#This Row],[Country]],Table20[10km Open Water Classification],"&gt;0")</f>
        <v>0</v>
      </c>
      <c r="KK193" s="6">
        <f>COUNTIFS(Table21[Country],Tabela1[[#This Row],[Country]],Table21[10km Open Water Classification],"&gt;0")</f>
        <v>0</v>
      </c>
      <c r="KL193" s="6">
        <f>COUNTIFS(Table22[Country],Tabela1[[#This Row],[Country]],Table22[Classification],"&gt;0")</f>
        <v>0</v>
      </c>
      <c r="KM193" s="6">
        <f>COUNTIFS(Table30[Country],Tabela1[[#This Row],[Country]],Table30[Classification],"&gt;0")</f>
        <v>0</v>
      </c>
      <c r="KN193" s="6">
        <f>COUNTIFS(Table55[Country],Tabela1[[#This Row],[Country]],Table55[Men''s Classification],"&gt;0")</f>
        <v>0</v>
      </c>
      <c r="KO193" s="6">
        <f>COUNTIFS(Table55[Country],Tabela1[[#This Row],[Country]],Table55[Women''s Classification],"&gt;0")</f>
        <v>0</v>
      </c>
      <c r="KP193" s="6">
        <f>COUNTIFS(Table56[Country],Tabela1[[#This Row],[Country]],Table56[Mixed Classification],"&gt;0")</f>
        <v>0</v>
      </c>
      <c r="KQ193" s="6">
        <f>COUNTIFS(Table29[Country],Tabela1[[#This Row],[Country]],Table29[58kg Classification],"&gt;0")</f>
        <v>0</v>
      </c>
      <c r="KR193" s="6">
        <f>COUNTIFS(Table29[Country],Tabela1[[#This Row],[Country]],Table29[68kg Classification],"&gt;0")</f>
        <v>0</v>
      </c>
      <c r="KS193" s="6">
        <f>COUNTIFS(Table29[Country],Tabela1[[#This Row],[Country]],Table29[80kg Classification],"&gt;0")</f>
        <v>0</v>
      </c>
      <c r="KT193" s="6">
        <f>COUNTIFS(Table29[Country],Tabela1[[#This Row],[Country]],Table29[Plus 80kg Classification],"&gt;0")</f>
        <v>0</v>
      </c>
      <c r="KU193" s="6">
        <f>COUNTIFS(Table34[Country],Tabela1[[#This Row],[Country]],Table34[49kg Classification],"&gt;0")</f>
        <v>0</v>
      </c>
      <c r="KV193" s="6">
        <f>COUNTIFS(Table34[Country],Tabela1[[#This Row],[Country]],Table34[57kg Classification],"&gt;0")</f>
        <v>0</v>
      </c>
      <c r="KW193" s="6">
        <f>COUNTIFS(Table34[Country],Tabela1[[#This Row],[Country]],Table34[67kg Classification],"&gt;0")</f>
        <v>0</v>
      </c>
      <c r="KX193" s="6">
        <f>COUNTIFS(Table34[Country],Tabela1[[#This Row],[Country]],Table34[Plus 67kg Classification],"&gt;0")</f>
        <v>0</v>
      </c>
      <c r="KY193" s="6">
        <f>COUNTIFS(Table57[Country],Tabela1[[#This Row],[Country]],Table57[Classification],"&gt;0")</f>
        <v>0</v>
      </c>
      <c r="KZ193" s="6">
        <f>COUNTIFS(Table58[Country],Tabela1[[#This Row],[Country]],Table58[Classification],"&gt;0")</f>
        <v>0</v>
      </c>
      <c r="LA193" s="6">
        <f>COUNTIFS(Table79[Country],Tabela1[[#This Row],[Country]],Table79[Men''s Classification],"&gt;0")</f>
        <v>0</v>
      </c>
      <c r="LB193" s="6">
        <f>COUNTIFS(Table79[Country],Tabela1[[#This Row],[Country]],Table79[Women''s Classification],"&gt;0")</f>
        <v>0</v>
      </c>
      <c r="LC193" s="6">
        <f>COUNTIFS(Table79[Country],Tabela1[[#This Row],[Country]],Table79[Mixed Classification],"&gt;0")</f>
        <v>0</v>
      </c>
      <c r="LD193" s="6">
        <f>COUNTIFS(Table65[Country],Tabela1[[#This Row],[Country]],Table65[Classification],"&gt;0")</f>
        <v>0</v>
      </c>
      <c r="LE193" s="6">
        <f>COUNTIFS(Table59[Country],Tabela1[[#This Row],[Country]],Table59[Classification],"&gt;0")</f>
        <v>0</v>
      </c>
      <c r="LF193" s="6">
        <f>COUNTIFS(Table87[Country],Tabela1[[#This Row],[Country]],Table87[Mixed Relay Classification],"&gt;0")</f>
        <v>0</v>
      </c>
      <c r="LG193" s="6">
        <f>COUNTIFS(Table91949698100[Country],Tabela1[[#This Row],[Country]],Table91949698100[Men''s Classification],"&gt;0")</f>
        <v>0</v>
      </c>
      <c r="LH193" s="6">
        <f>COUNTIFS(Table91949698100[Country],Tabela1[[#This Row],[Country]],Table91949698100[Women''s Classification],"&gt;0")</f>
        <v>0</v>
      </c>
      <c r="LI193" s="6">
        <f>COUNTIFS(Table91949698100102[Country],Tabela1[[#This Row],[Country]],Table91949698100102[Men''s Classification],"&gt;0")</f>
        <v>0</v>
      </c>
      <c r="LJ193" s="6">
        <f>COUNTIFS(Table91949698100102[Country],Tabela1[[#This Row],[Country]],Table91949698100102[Women''s Classification],"&gt;0")</f>
        <v>0</v>
      </c>
      <c r="LK193" s="6">
        <f>COUNTIFS(Table23[Country],Tabela1[[#This Row],[Country]],Table23[61kg Classification],"&gt;0")</f>
        <v>0</v>
      </c>
      <c r="LL193" s="6">
        <f>COUNTIFS(Table23[Country],Tabela1[[#This Row],[Country]],Table23[73kg Classification],"&gt;0")</f>
        <v>0</v>
      </c>
      <c r="LM193" s="6">
        <f>COUNTIFS(Table23[Country],Tabela1[[#This Row],[Country]],Table23[89kg Classification],"&gt;0")</f>
        <v>0</v>
      </c>
      <c r="LN193" s="6">
        <f>COUNTIFS(Table23[Country],Tabela1[[#This Row],[Country]],Table23[102kg Classification],"&gt;0")</f>
        <v>0</v>
      </c>
      <c r="LO193" s="6">
        <f>COUNTIFS(Table23[Country],Tabela1[[#This Row],[Country]],Table23[Plus 102kg Classification],"&gt;0")</f>
        <v>0</v>
      </c>
      <c r="LP193" s="6">
        <f>COUNTIFS(Table28[Country],Tabela1[[#This Row],[Country]],Table28[49kg Classification],"&gt;0")</f>
        <v>0</v>
      </c>
      <c r="LQ193" s="6">
        <f>COUNTIFS(Table28[Country],Tabela1[[#This Row],[Country]],Table28[59kg Classification],"&gt;0")</f>
        <v>0</v>
      </c>
      <c r="LR193" s="6">
        <f>COUNTIFS(Table28[Country],Tabela1[[#This Row],[Country]],Table28[71kg Classification],"&gt;0")</f>
        <v>0</v>
      </c>
      <c r="LS193" s="6">
        <f>COUNTIFS(Table28[Country],Tabela1[[#This Row],[Country]],Table28[81kg Classification],"&gt;0")</f>
        <v>0</v>
      </c>
      <c r="LT193" s="6">
        <f>COUNTIFS(Table28[Country],Tabela1[[#This Row],[Country]],Table28[Plus 81kg Classification],"&gt;0")</f>
        <v>0</v>
      </c>
      <c r="LU193" s="6">
        <f>COUNTIFS(Table24[Country],Tabela1[[#This Row],[Country]],Table24[Freestyle 57kg Classification],"&gt;0")</f>
        <v>0</v>
      </c>
      <c r="LV193" s="6">
        <f>COUNTIFS(Table24[Country],Tabela1[[#This Row],[Country]],Table24[Freestyle 65kg Classification],"&gt;0")</f>
        <v>0</v>
      </c>
      <c r="LW193" s="6">
        <f>COUNTIFS(Table24[Country],Tabela1[[#This Row],[Country]],Table24[Freestyle 74kg Classification],"&gt;0")</f>
        <v>0</v>
      </c>
      <c r="LX193" s="6">
        <f>COUNTIFS(Table24[Country],Tabela1[[#This Row],[Country]],Table24[Freestyle 86kg Classification],"&gt;0")</f>
        <v>0</v>
      </c>
      <c r="LY193" s="6">
        <f>COUNTIFS(Table24[Country],Tabela1[[#This Row],[Country]],Table24[Freestyle 97kg Classification],"&gt;0")</f>
        <v>0</v>
      </c>
      <c r="LZ193" s="6">
        <f>COUNTIFS(Table24[Country],Tabela1[[#This Row],[Country]],Table24[Freestyle 125kg Classification],"&gt;0")</f>
        <v>0</v>
      </c>
      <c r="MA193" s="6">
        <f>COUNTIFS(Table24[Country],Tabela1[[#This Row],[Country]],Table24[Greco-Roman 60kg Classification],"&gt;0")</f>
        <v>0</v>
      </c>
      <c r="MB193" s="6">
        <f>COUNTIFS(Table24[Country],Tabela1[[#This Row],[Country]],Table24[Greco-Roman 67kg Classification],"&gt;0")</f>
        <v>0</v>
      </c>
      <c r="MC193" s="6">
        <f>COUNTIFS(Table24[Country],Tabela1[[#This Row],[Country]],Table24[Greco-Roman 77kg Classification],"&gt;0")</f>
        <v>0</v>
      </c>
      <c r="MD193" s="6">
        <f>COUNTIFS(Table24[Country],Tabela1[[#This Row],[Country]],Table24[Greco-Roman 87kg Classification],"&gt;0")</f>
        <v>0</v>
      </c>
      <c r="ME193" s="6">
        <f>COUNTIFS(Table24[Country],Tabela1[[#This Row],[Country]],Table24[Greco-Roman 97kg Classification],"&gt;0")</f>
        <v>0</v>
      </c>
      <c r="MF193" s="6">
        <f>COUNTIFS(Table24[Country],Tabela1[[#This Row],[Country]],Table24[Greco-Roman 130kg Classification],"&gt;0")</f>
        <v>0</v>
      </c>
      <c r="MG193" s="6">
        <f>COUNTIFS(Table31[Country],Tabela1[[#This Row],[Country]],Table31[50kg Classification],"&gt;0")</f>
        <v>0</v>
      </c>
      <c r="MH193" s="6">
        <f>COUNTIFS(Table31[Country],Tabela1[[#This Row],[Country]],Table31[53kg Classification],"&gt;0")</f>
        <v>0</v>
      </c>
      <c r="MI193" s="6">
        <f>COUNTIFS(Table31[Country],Tabela1[[#This Row],[Country]],Table31[57kg Classification],"&gt;0")</f>
        <v>0</v>
      </c>
      <c r="MJ193" s="6">
        <f>COUNTIFS(Table31[Country],Tabela1[[#This Row],[Country]],Table31[62kg Classification],"&gt;0")</f>
        <v>0</v>
      </c>
      <c r="MK193" s="6">
        <f>COUNTIFS(Table31[Country],Tabela1[[#This Row],[Country]],Table31[68kg Classification],"&gt;0")</f>
        <v>0</v>
      </c>
      <c r="ML193" s="6">
        <f>COUNTIFS(Table31[Country],Tabela1[[#This Row],[Country]],Table31[76kg Classification],"&gt;0")</f>
        <v>0</v>
      </c>
      <c r="MM193" s="6">
        <f>COUNTIFS(Table102[Country],Tabela1[[#This Row],[Country]],Table102[Downhill Classification],"&gt;0")</f>
        <v>0</v>
      </c>
      <c r="MN193" s="6">
        <f>COUNTIFS(Table102105[Country],Tabela1[[#This Row],[Country]],Table102105[Downhill Classification],"&gt;0")</f>
        <v>0</v>
      </c>
      <c r="MO193" s="6">
        <f>COUNTIFS(Table102[Country],Tabela1[[#This Row],[Country]],Table102[Giant Slalom Classification],"&gt;0")</f>
        <v>0</v>
      </c>
      <c r="MP193" s="6">
        <f>COUNTIFS(Table102105[Country],Tabela1[[#This Row],[Country]],Table102105[Giant Slalom Classification],"&gt;0")</f>
        <v>0</v>
      </c>
      <c r="MQ193" s="6">
        <f>COUNTIFS(Table102[Country],Tabela1[[#This Row],[Country]],Table102[Slalom Classification],"&gt;0")</f>
        <v>0</v>
      </c>
      <c r="MR193" s="6">
        <f>COUNTIFS(Table102105[Country],Tabela1[[#This Row],[Country]],Table102105[Slalom Classification],"&gt;0")</f>
        <v>0</v>
      </c>
      <c r="MS193" s="6">
        <f>COUNTIFS(Table102[Country],Tabela1[[#This Row],[Country]],Table102[Super-G Classification],"&gt;0")</f>
        <v>0</v>
      </c>
      <c r="MT193" s="6">
        <f>COUNTIFS(Table102105[Country],Tabela1[[#This Row],[Country]],Table102105[Super-G Classification],"&gt;0")</f>
        <v>0</v>
      </c>
      <c r="MU193" s="6">
        <f>COUNTIFS(Table105[Country],Tabela1[[#This Row],[Country]],Table105[Men''s Combined Classification],"&gt;0")</f>
        <v>0</v>
      </c>
      <c r="MV193" s="6">
        <f>COUNTIFS(Table105[Country],Tabela1[[#This Row],[Country]],Table105[Women''s Combined Classification],"&gt;0")</f>
        <v>0</v>
      </c>
      <c r="MW193" s="6">
        <f>COUNTIFS(Table106[Country],Tabela1[[#This Row],[Country]],Table106[Individual Classification],"&gt;0")</f>
        <v>0</v>
      </c>
      <c r="MX193" s="6">
        <f>COUNTIFS(Table106109[Country],Tabela1[[#This Row],[Country]],Table106109[Individual Classification],"&gt;0")</f>
        <v>0</v>
      </c>
      <c r="MY193" s="6">
        <f>COUNTIFS(Table106[Country],Tabela1[[#This Row],[Country]],Table106[Mass Start Classification],"&gt;0")</f>
        <v>0</v>
      </c>
      <c r="MZ193" s="6">
        <f>COUNTIFS(Table106109[Country],Tabela1[[#This Row],[Country]],Table106109[Mass Start Classification],"&gt;0")</f>
        <v>0</v>
      </c>
      <c r="NA193" s="6">
        <f>COUNTIFS(Table106[Country],Tabela1[[#This Row],[Country]],Table106[Pursuit Classification],"&gt;0")</f>
        <v>0</v>
      </c>
      <c r="NB193" s="6">
        <f>COUNTIFS(Table106109[Country],Tabela1[[#This Row],[Country]],Table106109[Pursuit Classification],"&gt;0")</f>
        <v>0</v>
      </c>
      <c r="NC193" s="6">
        <f>COUNTIFS(Table106[Country],Tabela1[[#This Row],[Country]],Table106[Sprint Classification],"&gt;0")</f>
        <v>0</v>
      </c>
      <c r="ND193" s="6">
        <f>COUNTIFS(Table106109[Country],Tabela1[[#This Row],[Country]],Table106109[Sprint Classification],"&gt;0")</f>
        <v>0</v>
      </c>
      <c r="NE193" s="6">
        <f>COUNTIFS(Table109[Country],Tabela1[[#This Row],[Country]],Table109[Men''s Relay Classification],"&gt;0")</f>
        <v>0</v>
      </c>
      <c r="NF193" s="6">
        <f>COUNTIFS(Table109[Country],Tabela1[[#This Row],[Country]],Table109[Women''s Relay Classification],"&gt;0")</f>
        <v>0</v>
      </c>
      <c r="NG193" s="6">
        <f>COUNTIFS(Table109[Country],Tabela1[[#This Row],[Country]],Table109[Mixed Relay Classification],"&gt;0")</f>
        <v>0</v>
      </c>
      <c r="NH193" s="6">
        <f>COUNTIFS(Table110[Country],Tabela1[[#This Row],[Country]],Table110[Monobob Classification],"&gt;0")</f>
        <v>0</v>
      </c>
      <c r="NI193" s="6">
        <f>COUNTIFS(Table111[Country],Tabela1[[#This Row],[Country]],Table111[Men''s Classification],"&gt;0")</f>
        <v>0</v>
      </c>
      <c r="NJ193" s="6">
        <f>COUNTIFS(Table111[Country],Tabela1[[#This Row],[Country]],Table111[Women''s Classification],"&gt;0")</f>
        <v>0</v>
      </c>
      <c r="NK193" s="6">
        <f>COUNTIFS(Table112[Country],Tabela1[[#This Row],[Country]],Table112[Men''s Four Classification],"&gt;0")</f>
        <v>0</v>
      </c>
      <c r="NL193" s="6">
        <f>COUNTIFS(Table113[Country],Tabela1[[#This Row],[Country]],Table113[Classical Classification],"&gt;0")</f>
        <v>0</v>
      </c>
      <c r="NM193" s="6">
        <f>COUNTIFS(Table113116[Country],Tabela1[[#This Row],[Country]],Table113116[Classical Classification],"&gt;0")</f>
        <v>0</v>
      </c>
      <c r="NN193" s="6">
        <f>COUNTIFS(Table113[Country],Tabela1[[#This Row],[Country]],Table113[Freestyle Classification],"&gt;0")</f>
        <v>0</v>
      </c>
      <c r="NO193" s="6">
        <f>COUNTIFS(Table113116[Country],Tabela1[[#This Row],[Country]],Table113116[Freestyle Classification],"&gt;0")</f>
        <v>0</v>
      </c>
      <c r="NP193" s="6">
        <f>COUNTIFS(Table117[Country],Tabela1[[#This Row],[Country]],Table117[Men''s Relay Classification],"&gt;0")</f>
        <v>0</v>
      </c>
      <c r="NQ193" s="6">
        <f>COUNTIFS(Table117[Country],Tabela1[[#This Row],[Country]],Table117[Women''s Relay Classification],"&gt;0")</f>
        <v>0</v>
      </c>
      <c r="NR193" s="6">
        <f>COUNTIFS(Table113[Country],Tabela1[[#This Row],[Country]],Table113[Skiathlon Classification],"&gt;0")</f>
        <v>0</v>
      </c>
      <c r="NS193" s="6">
        <f>COUNTIFS(Table113116[Country],Tabela1[[#This Row],[Country]],Table113116[Skiathlon Classification],"&gt;0")</f>
        <v>0</v>
      </c>
      <c r="NT193" s="6">
        <f>COUNTIFS(Table113[Country],Tabela1[[#This Row],[Country]],Table113[Sprint Classification],"&gt;0")</f>
        <v>0</v>
      </c>
      <c r="NU193" s="6">
        <f>COUNTIFS(Table113116[Country],Tabela1[[#This Row],[Country]],Table113116[Sprint Classification],"&gt;0")</f>
        <v>0</v>
      </c>
      <c r="NV193" s="6">
        <f>COUNTIFS(Table116[Country],Tabela1[[#This Row],[Country]],Table116[Men''s Team Sprint Classification],"&gt;0")</f>
        <v>0</v>
      </c>
      <c r="NW193" s="6">
        <f>COUNTIFS(Table116[Country],Tabela1[[#This Row],[Country]],Table116[Women''s Team Sprint Classification],"&gt;0")</f>
        <v>0</v>
      </c>
      <c r="NX193" s="6">
        <f>COUNTIFS(Table119[Country],Tabela1[[#This Row],[Country]],Table119[Men''s Classification],"&gt;0")</f>
        <v>0</v>
      </c>
      <c r="NY193" s="6">
        <f>COUNTIFS(Table119[Country],Tabela1[[#This Row],[Country]],Table119[Women''s Classification],"&gt;0")</f>
        <v>0</v>
      </c>
      <c r="NZ193" s="6">
        <f>COUNTIFS(Table118[Country],Tabela1[[#This Row],[Country]],Table118[Mixed Classification],"&gt;0")</f>
        <v>0</v>
      </c>
      <c r="OA193" s="6">
        <f>COUNTIFS(Table120[Country],Tabela1[[#This Row],[Country]],Table120[Classification],"&gt;0")</f>
        <v>0</v>
      </c>
      <c r="OB193" s="6">
        <f>COUNTIFS(Table120123[Country],Tabela1[[#This Row],[Country]],Table120123[Classification],"&gt;0")</f>
        <v>0</v>
      </c>
      <c r="OC193" s="6">
        <f>COUNTIFS(Table123[Country],Tabela1[[#This Row],[Country]],Table123[Ice Dance Classification],"&gt;0")</f>
        <v>0</v>
      </c>
      <c r="OD193" s="6">
        <f>COUNTIFS(Table123[Country],Tabela1[[#This Row],[Country]],Table123[Pair Skating Classification],"&gt;0")</f>
        <v>0</v>
      </c>
      <c r="OE193" s="6">
        <f>COUNTIFS(Table124[Country],Tabela1[[#This Row],[Country]],Table124[Mixed Classification],"&gt;0")</f>
        <v>0</v>
      </c>
      <c r="OF193" s="6">
        <f>COUNTIFS(Table125[Country],Tabela1[[#This Row],[Country]],Table125[Aerials Classification],"&gt;0")</f>
        <v>0</v>
      </c>
      <c r="OG193" s="6">
        <f>COUNTIFS(Table125128[Country],Tabela1[[#This Row],[Country]],Table125128[Aerials Classification],"&gt;0")</f>
        <v>0</v>
      </c>
      <c r="OH193" s="6">
        <f>COUNTIFS(Table128[Country],Tabela1[[#This Row],[Country]],Table128[Mixed Aerials Classification],"&gt;0")</f>
        <v>0</v>
      </c>
      <c r="OI193" s="6">
        <f>COUNTIFS(Table125[Country],Tabela1[[#This Row],[Country]],Table125[Big Air Classification],"&gt;0")</f>
        <v>0</v>
      </c>
      <c r="OJ193" s="6">
        <f>COUNTIFS(Table125128[Country],Tabela1[[#This Row],[Country]],Table125128[Big Air Classification],"&gt;0")</f>
        <v>0</v>
      </c>
      <c r="OK193" s="6">
        <f>COUNTIFS(Table125[Country],Tabela1[[#This Row],[Country]],Table125[Dual Moguls Classification],"&gt;0")</f>
        <v>0</v>
      </c>
      <c r="OL193" s="6">
        <f>COUNTIFS(Table125128[Country],Tabela1[[#This Row],[Country]],Table125128[Dual Moguls Classification],"&gt;0")</f>
        <v>0</v>
      </c>
      <c r="OM193" s="6">
        <f>COUNTIFS(Table125[Country],Tabela1[[#This Row],[Country]],Table125[Halfpipe Classification],"&gt;0")</f>
        <v>0</v>
      </c>
      <c r="ON193" s="6">
        <f>COUNTIFS(Table125128[Country],Tabela1[[#This Row],[Country]],Table125128[Halfpipe Classification],"&gt;0")</f>
        <v>0</v>
      </c>
      <c r="OO193" s="6">
        <f>COUNTIFS(Table125[Country],Tabela1[[#This Row],[Country]],Table125[Moguls Classification],"&gt;0")</f>
        <v>0</v>
      </c>
      <c r="OP193" s="6">
        <f>COUNTIFS(Table125128[Country],Tabela1[[#This Row],[Country]],Table125128[Moguls Classification],"&gt;0")</f>
        <v>0</v>
      </c>
      <c r="OQ193" s="6">
        <f>COUNTIFS(Table125[Country],Tabela1[[#This Row],[Country]],Table125[Ski Cross Classification],"&gt;0")</f>
        <v>0</v>
      </c>
      <c r="OR193" s="6">
        <f>COUNTIFS(Table125128[Country],Tabela1[[#This Row],[Country]],Table125128[Ski Cross Classification],"&gt;0")</f>
        <v>0</v>
      </c>
      <c r="OS193" s="6">
        <f>COUNTIFS(Table125[Country],Tabela1[[#This Row],[Country]],Table125[Slopestyle Classification],"&gt;0")</f>
        <v>0</v>
      </c>
      <c r="OT193" s="6">
        <f>COUNTIFS(Table125128[Country],Tabela1[[#This Row],[Country]],Table125128[Slopestyle Classification],"&gt;0")</f>
        <v>0</v>
      </c>
      <c r="OU193" s="6">
        <f>COUNTIFS(Table119131[Country],Tabela1[[#This Row],[Country]],Table119131[Men''s Classification],"&gt;0")</f>
        <v>0</v>
      </c>
      <c r="OV193" s="6">
        <f>COUNTIFS(Table119131[Country],Tabela1[[#This Row],[Country]],Table119131[Women''s Classification],"&gt;0")</f>
        <v>0</v>
      </c>
      <c r="OW193" s="6">
        <f>COUNTIFS(Table131[Country],Tabela1[[#This Row],[Country]],Table131[Classification],"&gt;0")</f>
        <v>0</v>
      </c>
      <c r="OX193" s="6">
        <f>COUNTIFS(Table131134[Country],Tabela1[[#This Row],[Country]],Table131134[Classification],"&gt;0")</f>
        <v>0</v>
      </c>
      <c r="OY193" s="6">
        <f>COUNTIFS(Table134[Country],Tabela1[[#This Row],[Country]],Table134[Men''s Classification],"&gt;0")</f>
        <v>0</v>
      </c>
      <c r="OZ193" s="6">
        <f>COUNTIFS(Table134[Country],Tabela1[[#This Row],[Country]],Table134[Women''s Classification],"&gt;0")</f>
        <v>0</v>
      </c>
      <c r="PA193" s="6">
        <f>COUNTIFS(Table135[Country],Tabela1[[#This Row],[Country]],Table135[Mixed Relay Classification],"&gt;0")</f>
        <v>0</v>
      </c>
      <c r="PB193" s="6">
        <f>COUNTIFS(Table136[Country],Tabela1[[#This Row],[Country]],Table136[Individual Classification],"&gt;0")</f>
        <v>0</v>
      </c>
      <c r="PC193" s="6">
        <f>COUNTIFS(Table136[Country],Tabela1[[#This Row],[Country]],Table136[Sprint Classification],"&gt;0")</f>
        <v>0</v>
      </c>
      <c r="PD193" s="6">
        <f>COUNTIFS(Table137[Country],Tabela1[[#This Row],[Country]],Table137[Men''s Team Sprint Large Hill Classification],"&gt;0")</f>
        <v>0</v>
      </c>
      <c r="PE193" s="6">
        <f>COUNTIFS(Table138[Country],Tabela1[[#This Row],[Country]],Table138[500m Classification],"&gt;0")</f>
        <v>0</v>
      </c>
      <c r="PF193" s="6">
        <f>COUNTIFS(Table138141[Country],Tabela1[[#This Row],[Country]],Table138141[500m Classification],"&gt;0")</f>
        <v>0</v>
      </c>
      <c r="PG193" s="6">
        <f>COUNTIFS(Table138[Country],Tabela1[[#This Row],[Country]],Table138[1000m Classification],"&gt;0")</f>
        <v>0</v>
      </c>
      <c r="PH193" s="6">
        <f>COUNTIFS(Table138141[Country],Tabela1[[#This Row],[Country]],Table138141[1000m Classification],"&gt;0")</f>
        <v>0</v>
      </c>
      <c r="PI193" s="6">
        <f>COUNTIFS(Table138[Country],Tabela1[[#This Row],[Country]],Table138[1500m Classification],"&gt;0")</f>
        <v>0</v>
      </c>
      <c r="PJ193" s="6">
        <f>COUNTIFS(Table138141[Country],Tabela1[[#This Row],[Country]],Table138141[1500m Classification],"&gt;0")</f>
        <v>0</v>
      </c>
      <c r="PK193" s="6">
        <f>COUNTIFS(Table141[Country],Tabela1[[#This Row],[Country]],Table141[Men''s 5000m Relay Classification],"&gt;0")</f>
        <v>0</v>
      </c>
      <c r="PL193" s="6">
        <f>COUNTIFS(Table141[Country],Tabela1[[#This Row],[Country]],Table141[Women''s 3000m Relay Classification],"&gt;0")</f>
        <v>0</v>
      </c>
      <c r="PM193" s="6">
        <f>COUNTIFS(Table141[Country],Tabela1[[#This Row],[Country]],Table141[Mixed 2000m Relay Classification],"&gt;0")</f>
        <v>0</v>
      </c>
      <c r="PN193" s="6">
        <f>COUNTIFS(Table142[Country],Tabela1[[#This Row],[Country]],Table142[Classification],"&gt;0")</f>
        <v>0</v>
      </c>
      <c r="PO193" s="6">
        <f>COUNTIFS(Table142145[Country],Tabela1[[#This Row],[Country]],Table142145[Classification],"&gt;0")</f>
        <v>0</v>
      </c>
      <c r="PP193" s="6">
        <f>COUNTIFS(Tabela15[Country],Tabela1[[#This Row],[Country]],Tabela15[Mixed Team Classification],"&gt;0")</f>
        <v>0</v>
      </c>
      <c r="PQ193" s="6">
        <f>COUNTIFS(Table145[Country],Tabela1[[#This Row],[Country]],Table145[Large Hill Classification],"&gt;0")</f>
        <v>0</v>
      </c>
      <c r="PR193" s="6">
        <f>COUNTIFS(Table145[Country],Tabela1[[#This Row],[Country]],Table145[Normal Hill Classification],"&gt;0")</f>
        <v>0</v>
      </c>
      <c r="PS193" s="6">
        <f>COUNTIFS(Table145148[Country],Tabela1[[#This Row],[Country]],Table145148[Large Hill Classification],"&gt;0")</f>
        <v>0</v>
      </c>
      <c r="PT193" s="6">
        <f>COUNTIFS(Table145148[Country],Tabela1[[#This Row],[Country]],Table145148[Normal Hill Classification],"&gt;0")</f>
        <v>0</v>
      </c>
      <c r="PU193" s="6">
        <f>COUNTIFS(Table148[Country],Tabela1[[#This Row],[Country]],Table148[Men''s Super Team Classification],"&gt;0")</f>
        <v>0</v>
      </c>
      <c r="PV193" s="6">
        <f>COUNTIFS(Tabela114[Country],Tabela1[[#This Row],[Country]],Tabela114[Mixed Normal Hill Classification],"&gt;0")</f>
        <v>0</v>
      </c>
      <c r="PW193" s="6">
        <f>COUNTIFS(Tabela50[Country],Tabela1[[#This Row],[Country]],Tabela50[Sprint Classification],"&gt;0")</f>
        <v>0</v>
      </c>
      <c r="PX193" s="6">
        <f>COUNTIFS(Tabela50101[Country],Tabela1[[#This Row],[Country]],Tabela50101[Sprint Classification],"&gt;0")</f>
        <v>0</v>
      </c>
      <c r="PY193" s="6">
        <f>COUNTIFS(Tabela103[Country],Tabela1[[#This Row],[Country]],Tabela103[Mixed Relay Classification],"&gt;0")</f>
        <v>0</v>
      </c>
      <c r="PZ193" s="6">
        <f>COUNTIFS(Table149[Country],Tabela1[[#This Row],[Country]],Table149[Big Air Classification],"&gt;0")</f>
        <v>0</v>
      </c>
      <c r="QA193" s="6">
        <f>COUNTIFS(Table149152[Country],Tabela1[[#This Row],[Country]],Table149152[Big Air Classification],"&gt;0")</f>
        <v>0</v>
      </c>
      <c r="QB193" s="6">
        <f>COUNTIFS(Table149[Country],Tabela1[[#This Row],[Country]],Table149[Halfpipe Classification],"&gt;0")</f>
        <v>0</v>
      </c>
      <c r="QC193" s="6">
        <f>COUNTIFS(Table149152[Country],Tabela1[[#This Row],[Country]],Table149152[Halfpipe Classification],"&gt;0")</f>
        <v>0</v>
      </c>
      <c r="QD193" s="6">
        <f>COUNTIFS(Table149[Country],Tabela1[[#This Row],[Country]],Table149[Parallel Giant Slalom Classification],"&gt;0")</f>
        <v>0</v>
      </c>
      <c r="QE193" s="6">
        <f>COUNTIFS(Table149152[Country],Tabela1[[#This Row],[Country]],Table149152[Parallel Giant Slalom Classification],"&gt;0")</f>
        <v>0</v>
      </c>
      <c r="QF193" s="6">
        <f>COUNTIFS(Table149[Country],Tabela1[[#This Row],[Country]],Table149[Slopestyle Classification],"&gt;0")</f>
        <v>0</v>
      </c>
      <c r="QG193" s="6">
        <f>COUNTIFS(Table149152[Country],Tabela1[[#This Row],[Country]],Table149152[Slopestyle Classification],"&gt;0")</f>
        <v>0</v>
      </c>
      <c r="QH193" s="6">
        <f>COUNTIFS(Table149[Country],Tabela1[[#This Row],[Country]],Table149[Snowboard Cross Classification],"&gt;0")</f>
        <v>0</v>
      </c>
      <c r="QI193" s="6">
        <f>COUNTIFS(Table149152[Country],Tabela1[[#This Row],[Country]],Table149152[Snowboard Cross Classification],"&gt;0")</f>
        <v>0</v>
      </c>
      <c r="QJ193" s="6">
        <f>COUNTIFS(Table153[Country],Tabela1[[#This Row],[Country]],Table153[Mixed Team Snowboard Cross Classification],"&gt;0")</f>
        <v>0</v>
      </c>
      <c r="QK193" s="6">
        <f>COUNTIFS(Table154[Country],Tabela1[[#This Row],[Country]],Table154[500m Classification],"&gt;0")</f>
        <v>0</v>
      </c>
      <c r="QL193" s="6">
        <f>COUNTIFS(Table154157[Country],Tabela1[[#This Row],[Country]],Table154157[500m Classification],"&gt;0")</f>
        <v>0</v>
      </c>
      <c r="QM193" s="6">
        <f>COUNTIFS(Table154[Country],Tabela1[[#This Row],[Country]],Table154[1000m Classification],"&gt;0")</f>
        <v>0</v>
      </c>
      <c r="QN193" s="6">
        <f>COUNTIFS(Table154157[Country],Tabela1[[#This Row],[Country]],Table154157[1000m Classification],"&gt;0")</f>
        <v>0</v>
      </c>
      <c r="QO193" s="6">
        <f>COUNTIFS(Table154[Country],Tabela1[[#This Row],[Country]],Table154[1500m Classification],"&gt;0")</f>
        <v>0</v>
      </c>
      <c r="QP193" s="6">
        <f>COUNTIFS(Table154157[Country],Tabela1[[#This Row],[Country]],Table154157[1500m Classification],"&gt;0")</f>
        <v>0</v>
      </c>
      <c r="QQ193" s="6">
        <f>COUNTIFS(Table154157[Country],Tabela1[[#This Row],[Country]],Table154157[3000m Classification],"&gt;0")</f>
        <v>0</v>
      </c>
      <c r="QR193" s="6">
        <f>COUNTIFS(Table154[Country],Tabela1[[#This Row],[Country]],Table154[5000m Classification],"&gt;0")</f>
        <v>0</v>
      </c>
      <c r="QS193" s="6">
        <f>COUNTIFS(Table154157[Country],Tabela1[[#This Row],[Country]],Table154157[5000m Classification],"&gt;0")</f>
        <v>0</v>
      </c>
      <c r="QT193" s="6">
        <f>COUNTIFS(Table154[Country],Tabela1[[#This Row],[Country]],Table154[10000m Classification],"&gt;0")</f>
        <v>0</v>
      </c>
      <c r="QU193" s="6">
        <f>COUNTIFS(Table154[Country],Tabela1[[#This Row],[Country]],Table154[Mass Start Classification],"&gt;0")</f>
        <v>0</v>
      </c>
      <c r="QV193" s="6">
        <f>COUNTIFS(Table154157[Country],Tabela1[[#This Row],[Country]],Table154157[Mass Start Classification],"&gt;0")</f>
        <v>0</v>
      </c>
      <c r="QW193" s="6">
        <f>COUNTIFS(Table157[Country],Tabela1[[#This Row],[Country]],Table157[Men''s Pursuit Classification],"&gt;0")</f>
        <v>0</v>
      </c>
      <c r="QX193" s="6">
        <f>COUNTIFS(Table157[Country],Tabela1[[#This Row],[Country]],Table157[Women''s Pursuit Classification],"&gt;0")</f>
        <v>0</v>
      </c>
      <c r="QY193" s="3" t="s">
        <v>655</v>
      </c>
    </row>
    <row r="194" spans="1:467" x14ac:dyDescent="0.3">
      <c r="A194" s="6">
        <v>193</v>
      </c>
      <c r="B194" s="6" t="s">
        <v>396</v>
      </c>
      <c r="C194" t="e" vm="193">
        <f>IF(ISBLANK(Tabela1[[#This Row],[Image Link]]), "", _xlfn.IMAGE(Tabela1[[#This Row],[Image Link]],1,1))</f>
        <v>#VALUE!</v>
      </c>
      <c r="D194" s="6">
        <f>SUM(Tabela1[[#This Row],[Archery - Men''s Individual Recurve]:[Speed Skating - Women''s Team Pursuit]])</f>
        <v>0</v>
      </c>
      <c r="E194" s="6">
        <f>COUNTIF(Tabela1[[#This Row],[Archery - Men''s Individual Recurve]:[Speed Skating - Women''s Team Pursuit]],"&gt;0")</f>
        <v>0</v>
      </c>
      <c r="F194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94" s="6">
        <f>SUM(Tabela1[[#This Row],[Archery - Men''s Individual Recurve]:[Wrestling - Women''s Freestyle 76kg]])</f>
        <v>0</v>
      </c>
      <c r="H194" s="6">
        <f>SUM(Tabela1[[#This Row],[Alpine Skiing - Men''s Downhill]:[Speed Skating - Women''s Team Pursuit]])</f>
        <v>0</v>
      </c>
      <c r="I194" s="6">
        <f>Tabela1[[#This Row],[Summer Gold Medals]]+Tabela1[[#This Row],[Winter Gold Medals]]</f>
        <v>0</v>
      </c>
      <c r="J194" s="6">
        <f>Tabela1[[#This Row],[Summer Silver Medals]]+Tabela1[[#This Row],[Winter Silver Medals]]</f>
        <v>0</v>
      </c>
      <c r="K194" s="6">
        <f>Tabela1[[#This Row],[Summer Bronze Medals]]+Tabela1[[#This Row],[Winter Bronze Medals]]</f>
        <v>0</v>
      </c>
      <c r="L194" s="6">
        <f>SUM(Tabela1[[#This Row],[Total Gold Medals]:[Total Bronze Medals]])</f>
        <v>0</v>
      </c>
      <c r="M194" s="6"/>
      <c r="N194" s="6"/>
      <c r="O194" s="6"/>
      <c r="P194" s="6">
        <f>SUM(Tabela1[[#This Row],[Summer Gold Medals]:[Summer Bronze Medals]])</f>
        <v>0</v>
      </c>
      <c r="Q194" s="6"/>
      <c r="R194" s="6"/>
      <c r="S194" s="6"/>
      <c r="T194" s="6">
        <f>Tabela1[[#This Row],[Winter Gold Medals]]+Tabela1[[#This Row],[Winter Silver Medals]]+Tabela1[[#This Row],[Winter Bronze Medals]]</f>
        <v>0</v>
      </c>
      <c r="U194" s="7" t="e">
        <f>Tabela1[[#This Row],[Total Medals]]/Tabela1[[#This Row],[Total Quotas]]</f>
        <v>#DIV/0!</v>
      </c>
      <c r="V194" s="6">
        <f>COUNTIFS(Table3[Country],Tabela1[[#This Row],[Country]],Table3[Recurve Classification],"&gt;0")</f>
        <v>0</v>
      </c>
      <c r="W194" s="6">
        <f>COUNTIFS(Table33[Country],Tabela1[[#This Row],[Country]],Table33[Recurve Classification],"&gt;0")</f>
        <v>0</v>
      </c>
      <c r="X194" s="6">
        <f>COUNTIFS(Table35[Country],Tabela1[[#This Row],[Country]],Table35[Men''s Team Recurve Classification],"&gt;0")</f>
        <v>0</v>
      </c>
      <c r="Y194" s="6">
        <f>COUNTIFS(Table35[Country],Tabela1[[#This Row],[Country]],Table35[Women''s Team Recurve Classification],"&gt;0")</f>
        <v>0</v>
      </c>
      <c r="Z194" s="6">
        <f>COUNTIFS(Tabela88[Country],Tabela1[[#This Row],[Country]],Tabela88[Mixed Team Recurve Classification],"&gt;0")</f>
        <v>0</v>
      </c>
      <c r="AA194" s="6">
        <f>COUNTIFS(Table36[Country],Tabela1[[#This Row],[Country]],Table36[Classification],"&gt;0")</f>
        <v>0</v>
      </c>
      <c r="AB194" s="6">
        <f>COUNTIFS(Table37[Country],Tabela1[[#This Row],[Country]],Table37[Classification],"&gt;0")</f>
        <v>0</v>
      </c>
      <c r="AC194" s="6">
        <f>COUNTIFS(Table4[Country],Tabela1[[#This Row],[Country]],Table4[100m Classification],"&gt;0")</f>
        <v>0</v>
      </c>
      <c r="AD194" s="6">
        <f>COUNTIFS(Table5[Country],Tabela1[[#This Row],[Country]],Table5[100m Classification],"&gt;0")</f>
        <v>0</v>
      </c>
      <c r="AE194" s="6">
        <f>COUNTIFS(Table4[Country],Tabela1[[#This Row],[Country]],Table4[200m Classification],"&gt;0")</f>
        <v>0</v>
      </c>
      <c r="AF194" s="6">
        <f>COUNTIFS(Table5[Country],Tabela1[[#This Row],[Country]],Table5[200m Classification],"&gt;0")</f>
        <v>0</v>
      </c>
      <c r="AG194" s="6">
        <f>COUNTIFS(Table4[Country],Tabela1[[#This Row],[Country]],Table4[400m Classification],"&gt;0")</f>
        <v>0</v>
      </c>
      <c r="AH194" s="6">
        <f>COUNTIFS(Table5[Country],Tabela1[[#This Row],[Country]],Table5[400m Classification],"&gt;0")</f>
        <v>0</v>
      </c>
      <c r="AI194" s="6">
        <f>COUNTIFS(Table4[Country],Tabela1[[#This Row],[Country]],Table4[800m Classification],"&gt;0")</f>
        <v>0</v>
      </c>
      <c r="AJ194" s="6">
        <f>COUNTIFS(Table5[Country],Tabela1[[#This Row],[Country]],Table5[800m Classification],"&gt;0")</f>
        <v>0</v>
      </c>
      <c r="AK194" s="6">
        <f>COUNTIFS(Table4[Country],Tabela1[[#This Row],[Country]],Table4[1500m Classification],"&gt;0")</f>
        <v>0</v>
      </c>
      <c r="AL194" s="6">
        <f>COUNTIFS(Table5[Country],Tabela1[[#This Row],[Country]],Table5[1500m Classification],"&gt;0")</f>
        <v>0</v>
      </c>
      <c r="AM194" s="6">
        <f>COUNTIFS(Table4[Country],Tabela1[[#This Row],[Country]],Table4[5000m Classification],"&gt;0")</f>
        <v>0</v>
      </c>
      <c r="AN194" s="6">
        <f>COUNTIFS(Table5[Country],Tabela1[[#This Row],[Country]],Table5[5000m Classification],"&gt;0")</f>
        <v>0</v>
      </c>
      <c r="AO194" s="6">
        <f>COUNTIFS(Table4[Country],Tabela1[[#This Row],[Country]],Table4[10000m Classification],"&gt;0")</f>
        <v>0</v>
      </c>
      <c r="AP194" s="6">
        <f>COUNTIFS(Table5[Country],Tabela1[[#This Row],[Country]],Table5[10000m Classification],"&gt;0")</f>
        <v>0</v>
      </c>
      <c r="AQ194" s="6">
        <f>COUNTIFS(Table4[Country],Tabela1[[#This Row],[Country]],Table4[110m Hurdles Classification],"&gt;0")</f>
        <v>0</v>
      </c>
      <c r="AR194" s="6">
        <f>COUNTIFS(Table5[Country],Tabela1[[#This Row],[Country]],Table5[100m Hurdles Classification],"&gt;0")</f>
        <v>0</v>
      </c>
      <c r="AS194" s="6">
        <f>COUNTIFS(Table4[Country],Tabela1[[#This Row],[Country]],Table4[400m Hurdles Classification],"&gt;0")</f>
        <v>0</v>
      </c>
      <c r="AT194" s="6">
        <f>COUNTIFS(Table5[Country],Tabela1[[#This Row],[Country]],Table5[400m Hurdles Classification],"&gt;0")</f>
        <v>0</v>
      </c>
      <c r="AU194" s="6">
        <f>COUNTIFS(Table4[Country],Tabela1[[#This Row],[Country]],Table4[3000m Steeplechase Classification],"&gt;0")</f>
        <v>0</v>
      </c>
      <c r="AV194" s="6">
        <f>COUNTIFS(Table5[Country],Tabela1[[#This Row],[Country]],Table5[3000m Steeplechase Classification],"&gt;0")</f>
        <v>0</v>
      </c>
      <c r="AW194" s="6">
        <f>COUNTIFS(Table27[Country],Tabela1[[#This Row],[Country]],Table27[Men''s 4x100m Relay Classification],"&gt;0")</f>
        <v>0</v>
      </c>
      <c r="AX194" s="6">
        <f>COUNTIFS(Table27[Country],Tabela1[[#This Row],[Country]],Table27[Women''s 4x100m Relay Classification],"&gt;0")</f>
        <v>0</v>
      </c>
      <c r="AY194" s="6">
        <f>COUNTIFS(Table27[Country],Tabela1[[#This Row],[Country]],Table27[Men''s 4x400m Relay Classification],"&gt;0")</f>
        <v>0</v>
      </c>
      <c r="AZ194" s="6">
        <f>COUNTIFS(Table27[Country],Tabela1[[#This Row],[Country]],Table27[Women''s 4x400m Relay Classification],"&gt;0")</f>
        <v>0</v>
      </c>
      <c r="BA194" s="6">
        <f>COUNTIFS(Table27[Country],Tabela1[[#This Row],[Country]],Table27[Mixed 4x400m Relay Classification],"&gt;0")</f>
        <v>0</v>
      </c>
      <c r="BB194" s="6">
        <f>COUNTIFS(Table4[Country],Tabela1[[#This Row],[Country]],Table4[Marathon Classification],"&gt;0")</f>
        <v>0</v>
      </c>
      <c r="BC194" s="6">
        <f>COUNTIFS(Table5[Country],Tabela1[[#This Row],[Country]],Table5[Marathon Classification],"&gt;0")</f>
        <v>0</v>
      </c>
      <c r="BD194" s="6">
        <f>COUNTIFS(Table4[Country],Tabela1[[#This Row],[Country]],Table4[20km Race Walk Classification],"&gt;0")</f>
        <v>0</v>
      </c>
      <c r="BE194" s="6">
        <f>COUNTIFS(Table5[Country],Tabela1[[#This Row],[Country]],Table5[20km Race Walk Classification],"&gt;0")</f>
        <v>0</v>
      </c>
      <c r="BF194" s="6">
        <f>COUNTIFS(Tabela96[Country],Tabela1[[#This Row],[Country]],Tabela96[Mixed Marathon Race Walk Relay Classification],"&gt;0")</f>
        <v>0</v>
      </c>
      <c r="BG194" s="6">
        <f>COUNTIFS(Table4[Country],Tabela1[[#This Row],[Country]],Table4[Discus Throw Classification],"&gt;0")</f>
        <v>0</v>
      </c>
      <c r="BH194" s="6">
        <f>COUNTIFS(Table5[Country],Tabela1[[#This Row],[Country]],Table5[Discus Throw Classification],"&gt;0")</f>
        <v>0</v>
      </c>
      <c r="BI194" s="6">
        <f>COUNTIFS(Table4[Country],Tabela1[[#This Row],[Country]],Table4[Hammer Throw Classification],"&gt;0")</f>
        <v>0</v>
      </c>
      <c r="BJ194" s="6">
        <f>COUNTIFS(Table5[Country],Tabela1[[#This Row],[Country]],Table5[Hammer Throw Classification],"&gt;0")</f>
        <v>0</v>
      </c>
      <c r="BK194" s="6">
        <f>COUNTIFS(Table4[Country],Tabela1[[#This Row],[Country]],Table4[High Jump Classification],"&gt;0")</f>
        <v>0</v>
      </c>
      <c r="BL194" s="6">
        <f>COUNTIFS(Table5[Country],Tabela1[[#This Row],[Country]],Table5[High Jump Classification],"&gt;0")</f>
        <v>0</v>
      </c>
      <c r="BM194" s="6">
        <f>COUNTIFS(Table4[Country],Tabela1[[#This Row],[Country]],Table4[Javelin Throw Classification],"&gt;0")</f>
        <v>0</v>
      </c>
      <c r="BN194" s="6">
        <f>COUNTIFS(Table5[Country],Tabela1[[#This Row],[Country]],Table5[Javelin Throw Classification],"&gt;0")</f>
        <v>0</v>
      </c>
      <c r="BO194" s="6">
        <f>COUNTIFS(Table4[Country],Tabela1[[#This Row],[Country]],Table4[Long Jump Classification],"&gt;0")</f>
        <v>0</v>
      </c>
      <c r="BP194" s="6">
        <f>COUNTIFS(Table5[Country],Tabela1[[#This Row],[Country]],Table5[Long Jump Classification],"&gt;0")</f>
        <v>0</v>
      </c>
      <c r="BQ194" s="6">
        <f>COUNTIFS(Table4[Country],Tabela1[[#This Row],[Country]],Table4[Pole Vault Classification],"&gt;0")</f>
        <v>0</v>
      </c>
      <c r="BR194" s="6">
        <f>COUNTIFS(Table5[Country],Tabela1[[#This Row],[Country]],Table5[Pole Vault Classification],"&gt;0")</f>
        <v>0</v>
      </c>
      <c r="BS194" s="6">
        <f>COUNTIFS(Table4[Country],Tabela1[[#This Row],[Country]],Table4[Shot Put Classification],"&gt;0")</f>
        <v>0</v>
      </c>
      <c r="BT194" s="6">
        <f>COUNTIFS(Table5[Country],Tabela1[[#This Row],[Country]],Table5[Shot Put Classification],"&gt;0")</f>
        <v>0</v>
      </c>
      <c r="BU194" s="6">
        <f>COUNTIFS(Table4[Country],Tabela1[[#This Row],[Country]],Table4[Triple Jump Classification],"&gt;0")</f>
        <v>0</v>
      </c>
      <c r="BV194" s="6">
        <f>COUNTIFS(Table5[Country],Tabela1[[#This Row],[Country]],Table5[Triple Jump Classification],"&gt;0")</f>
        <v>0</v>
      </c>
      <c r="BW194" s="6">
        <f>COUNTIFS(Table4[Country],Tabela1[[#This Row],[Country]],Table4[Decathlon Classification],"&gt;0")</f>
        <v>0</v>
      </c>
      <c r="BX194" s="6">
        <f>COUNTIFS(Table5[Country],Tabela1[[#This Row],[Country]],Table5[Heptathlon Classification],"&gt;0")</f>
        <v>0</v>
      </c>
      <c r="BY194" s="6">
        <f>COUNTIFS(Table61[Country],Tabela1[[#This Row],[Country]],Table61[Classification],"&gt;0")</f>
        <v>0</v>
      </c>
      <c r="BZ194" s="6">
        <f>COUNTIFS(Table38[Country],Tabela1[[#This Row],[Country]],Table38[Classification],"&gt;0")</f>
        <v>0</v>
      </c>
      <c r="CA194" s="6">
        <f>COUNTIFS(Table39[Country],Tabela1[[#This Row],[Country]],Table39[Men''s Classification],"&gt;0")</f>
        <v>0</v>
      </c>
      <c r="CB194" s="6">
        <f>COUNTIFS(Table39[Country],Tabela1[[#This Row],[Country]],Table39[Women''s Classification],"&gt;0")</f>
        <v>0</v>
      </c>
      <c r="CC194" s="6">
        <f>COUNTIFS(Table39[Country],Tabela1[[#This Row],[Country]],Table39[Mixed Classification],"&gt;0")</f>
        <v>0</v>
      </c>
      <c r="CD194" s="6">
        <f>COUNTIFS(Table89[Country],Tabela1[[#This Row],[Country]],Table89[Men''s Classification],"&gt;0")</f>
        <v>0</v>
      </c>
      <c r="CE194" s="6">
        <f>COUNTIFS(Table89[Country],Tabela1[[#This Row],[Country]],Table89[Women''s Classification],"&gt;0")</f>
        <v>0</v>
      </c>
      <c r="CF194" s="6">
        <f>COUNTIFS(Table90[Country],Tabela1[[#This Row],[Country]],Table90[Men''s Classification],"&gt;0")</f>
        <v>0</v>
      </c>
      <c r="CG194" s="6">
        <f>COUNTIFS(Table90[Country],Tabela1[[#This Row],[Country]],Table90[Women''s Classification],"&gt;0")</f>
        <v>0</v>
      </c>
      <c r="CH194" s="6">
        <f>COUNTIFS(Table60[Country],Tabela1[[#This Row],[Country]],Table60[Men''s Classification],"&gt;0")</f>
        <v>0</v>
      </c>
      <c r="CI194" s="6">
        <f>COUNTIFS(Table60[Country],Tabela1[[#This Row],[Country]],Table60[Women''s Classification],"&gt;0")</f>
        <v>0</v>
      </c>
      <c r="CJ194" s="6">
        <f>COUNTIFS(Table6[Country],Tabela1[[#This Row],[Country]],Table6[51kg Classification],"&gt;0")</f>
        <v>0</v>
      </c>
      <c r="CK194" s="6">
        <f>COUNTIFS(Table6[Country],Tabela1[[#This Row],[Country]],Table6[57kg Classification],"&gt;0")</f>
        <v>0</v>
      </c>
      <c r="CL194" s="6">
        <f>COUNTIFS(Table6[Country],Tabela1[[#This Row],[Country]],Table6[63.5kg Classification],"&gt;0")</f>
        <v>0</v>
      </c>
      <c r="CM194" s="6">
        <f>COUNTIFS(Table6[Country],Tabela1[[#This Row],[Country]],Table6[71kg Classification],"&gt;0")</f>
        <v>0</v>
      </c>
      <c r="CN194" s="6">
        <f>COUNTIFS(Table6[Country],Tabela1[[#This Row],[Country]],Table6[80kg Classification],"&gt;0")</f>
        <v>0</v>
      </c>
      <c r="CO194" s="6">
        <f>COUNTIFS(Table6[Country],Tabela1[[#This Row],[Country]],Table6[92kg Classification],"&gt;0")</f>
        <v>0</v>
      </c>
      <c r="CP194" s="6">
        <f>COUNTIFS(Table6[Country],Tabela1[[#This Row],[Country]],Table6[Plus 92kg Classification],"&gt;0")</f>
        <v>0</v>
      </c>
      <c r="CQ194" s="6">
        <f>COUNTIFS(Table7[Country],Tabela1[[#This Row],[Country]],Table7[50kg Classification],"&gt;0")</f>
        <v>0</v>
      </c>
      <c r="CR194" s="6">
        <f>COUNTIFS(Table7[Country],Tabela1[[#This Row],[Country]],Table7[54kg Classification],"&gt;0")</f>
        <v>0</v>
      </c>
      <c r="CS194" s="6">
        <f>COUNTIFS(Table7[Country],Tabela1[[#This Row],[Country]],Table7[57kg Classification],"&gt;0")</f>
        <v>0</v>
      </c>
      <c r="CT194" s="6">
        <f>COUNTIFS(Table7[Country],Tabela1[[#This Row],[Country]],Table7[60kg Classification],"&gt;0")</f>
        <v>0</v>
      </c>
      <c r="CU194" s="6">
        <f>COUNTIFS(Table7[Country],Tabela1[[#This Row],[Country]],Table7[66kg Classification],"&gt;0")</f>
        <v>0</v>
      </c>
      <c r="CV194" s="6">
        <f>COUNTIFS(Table7[Country],Tabela1[[#This Row],[Country]],Table7[75kg Classification],"&gt;0")</f>
        <v>0</v>
      </c>
      <c r="CW194" s="6">
        <f>COUNTIFS(Tabela94[Country],Tabela1[[#This Row],[Country]],Tabela94[Classification],"&gt;0")</f>
        <v>0</v>
      </c>
      <c r="CX194" s="6">
        <f>COUNTIFS(Tabela9499[Country],Tabela1[[#This Row],[Country]],Tabela9499[Classification],"&gt;0")</f>
        <v>0</v>
      </c>
      <c r="CY194" s="6">
        <f>COUNTIFS(Tabela107[Country],Tabela1[[#This Row],[Country]],Tabela107[C1 Slalom Classification],"&gt;0")</f>
        <v>0</v>
      </c>
      <c r="CZ194" s="6">
        <f>COUNTIFS(Tabela107122[Country],Tabela1[[#This Row],[Country]],Tabela107122[C1 Slalom Classification],"&gt;0")</f>
        <v>0</v>
      </c>
      <c r="DA194" s="6">
        <f>COUNTIFS(Tabela107[Country],Tabela1[[#This Row],[Country]],Tabela107[K1 Slalom Classification],"&gt;0")</f>
        <v>0</v>
      </c>
      <c r="DB194" s="6">
        <f>COUNTIFS(Tabela107122[Country],Tabela1[[#This Row],[Country]],Tabela107122[K1 Slalom Classification],"&gt;0")</f>
        <v>0</v>
      </c>
      <c r="DC194" s="6">
        <f>COUNTIFS(Tabela107[Country],Tabela1[[#This Row],[Country]],Tabela107[Kayak Cross Slalom Classification],"&gt;0")</f>
        <v>0</v>
      </c>
      <c r="DD194" s="6">
        <f>COUNTIFS(Tabela107122[Country],Tabela1[[#This Row],[Country]],Tabela107122[Kayak Cross Slalom Classification],"&gt;0")</f>
        <v>0</v>
      </c>
      <c r="DE194" s="6">
        <f>COUNTIFS(Table8[Country],Tabela1[[#This Row],[Country]],Table8[C1 200m Classification],"&gt;0")</f>
        <v>0</v>
      </c>
      <c r="DF194" s="6">
        <f>COUNTIFS(Table40[Country],Tabela1[[#This Row],[Country]],Table40[C1 1000m Classification],"&gt;0")</f>
        <v>0</v>
      </c>
      <c r="DG194" s="6">
        <f>COUNTIFS(Table68[Country],Tabela1[[#This Row],[Country]],Table68[Men''s C2 500m Classification],"&gt;0")</f>
        <v>0</v>
      </c>
      <c r="DH194" s="6">
        <f>COUNTIFS(Table68[Country],Tabela1[[#This Row],[Country]],Table68[Women''s C2 500m Classification],"&gt;0")</f>
        <v>0</v>
      </c>
      <c r="DI194" s="6">
        <f>COUNTIFS(Table8[Country],Tabela1[[#This Row],[Country]],Table8[K1 500m Classification],"&gt;0")</f>
        <v>0</v>
      </c>
      <c r="DJ194" s="6">
        <f>COUNTIFS(Table40[Country],Tabela1[[#This Row],[Country]],Table40[K1 1000m Classification],"&gt;0")</f>
        <v>0</v>
      </c>
      <c r="DK194" s="6">
        <f>COUNTIFS(Table68[Country],Tabela1[[#This Row],[Country]],Table68[Men''s K2 500m Classification],"&gt;0")</f>
        <v>0</v>
      </c>
      <c r="DL194" s="6">
        <f>COUNTIFS(Table68[Country],Tabela1[[#This Row],[Country]],Table68[Women''s K2 500m Classification],"&gt;0")</f>
        <v>0</v>
      </c>
      <c r="DM194" s="6">
        <f>COUNTIFS(Table83[Country],Tabela1[[#This Row],[Country]],Table83[Men''s K4 500m Classification],"&gt;0")</f>
        <v>0</v>
      </c>
      <c r="DN194" s="6">
        <f>COUNTIFS(Table83[Country],Tabela1[[#This Row],[Country]],Table83[Women''s K4 500m Classification],"&gt;0")</f>
        <v>0</v>
      </c>
      <c r="DO194" s="6">
        <f>COUNTIFS(Tabela126[Country],Tabela1[[#This Row],[Country]],Tabela126[Classification],"&gt;0")</f>
        <v>0</v>
      </c>
      <c r="DP194" s="6">
        <f>COUNTIFS(Tabela126130[Country],Tabela1[[#This Row],[Country]],Tabela126130[Classification],"&gt;0")</f>
        <v>0</v>
      </c>
      <c r="DQ194" s="6">
        <f>COUNTIFS(Table70[Country],Tabela1[[#This Row],[Country]],Table70[Classification],"&gt;0")</f>
        <v>0</v>
      </c>
      <c r="DR194" s="6">
        <f>COUNTIFS(Table80[Country],Tabela1[[#This Row],[Country]],Table80[Classification],"&gt;0")</f>
        <v>0</v>
      </c>
      <c r="DS194" s="6">
        <f>COUNTIFS(Table66[Country],Tabela1[[#This Row],[Country]],Table66[Classification],"&gt;0")</f>
        <v>0</v>
      </c>
      <c r="DT194" s="6">
        <f>COUNTIFS(Table67[Country],Tabela1[[#This Row],[Country]],Table67[Classification],"&gt;0")</f>
        <v>0</v>
      </c>
      <c r="DU194" s="6">
        <f>COUNTIFS(Table69[Country],Tabela1[[#This Row],[Country]],Table69[Keirin Classification],"&gt;0")</f>
        <v>0</v>
      </c>
      <c r="DV194" s="6">
        <f>COUNTIFS(Table41[Country],Tabela1[[#This Row],[Country]],Table41[Keirin Classification],"&gt;0")</f>
        <v>0</v>
      </c>
      <c r="DW194" s="6">
        <f>COUNTIFS(Table84[Country],Tabela1[[#This Row],[Country]],Table84[Men''s Madison Classification],"&gt;0")</f>
        <v>0</v>
      </c>
      <c r="DX194" s="6">
        <f>COUNTIFS(Table84[Country],Tabela1[[#This Row],[Country]],Table84[Women''s Madison Classification],"&gt;0")</f>
        <v>0</v>
      </c>
      <c r="DY194" s="6">
        <f>COUNTIFS(Table69[Country],Tabela1[[#This Row],[Country]],Table69[Omnium Classification],"&gt;0")</f>
        <v>0</v>
      </c>
      <c r="DZ194" s="6">
        <f>COUNTIFS(Table41[Country],Tabela1[[#This Row],[Country]],Table41[Omnium Classification],"&gt;0")</f>
        <v>0</v>
      </c>
      <c r="EA194" s="6">
        <f>COUNTIFS(Table9[Country],Tabela1[[#This Row],[Country]],Table9[Road Race Classification],"&gt;0")</f>
        <v>0</v>
      </c>
      <c r="EB194" s="6">
        <f>COUNTIFS(Table14[Country],Tabela1[[#This Row],[Country]],Table14[Road Race Classification],"&gt;0")</f>
        <v>0</v>
      </c>
      <c r="EC194" s="6">
        <f>COUNTIFS(Table69[Country],Tabela1[[#This Row],[Country]],Table69[Sprint Classification],"&gt;0")</f>
        <v>0</v>
      </c>
      <c r="ED194" s="6">
        <f>COUNTIFS(Table41[Country],Tabela1[[#This Row],[Country]],Table41[Sprint Classification],"&gt;0")</f>
        <v>0</v>
      </c>
      <c r="EE194" s="6">
        <f>COUNTIFS(Table85[Country],Tabela1[[#This Row],[Country]],Table85[Men''s Sprint Classification],"&gt;0")</f>
        <v>0</v>
      </c>
      <c r="EF194" s="6">
        <f>COUNTIFS(Table85[Country],Tabela1[[#This Row],[Country]],Table85[Women''s Sprint Classification],"&gt;0")</f>
        <v>0</v>
      </c>
      <c r="EG194" s="6">
        <f>COUNTIFS(Table85[Country],Tabela1[[#This Row],[Country]],Table85[Men''s Pursuit Classification],"&gt;0")</f>
        <v>0</v>
      </c>
      <c r="EH194" s="6">
        <f>COUNTIFS(Table85[Country],Tabela1[[#This Row],[Country]],Table85[Women''s Pursuit Classification],"&gt;0")</f>
        <v>0</v>
      </c>
      <c r="EI194" s="6">
        <f>COUNTIFS(Table9[Country],Tabela1[[#This Row],[Country]],Table9[Time-Trial Classification],"&gt;0")</f>
        <v>0</v>
      </c>
      <c r="EJ194" s="6">
        <f>COUNTIFS(Table14[Country],Tabela1[[#This Row],[Country]],Table14[Time-Trial Classification],"&gt;0")</f>
        <v>0</v>
      </c>
      <c r="EK194" s="6">
        <f>COUNTIFS(Table42[Country],Tabela1[[#This Row],[Country]],Table42[Springboard Classification],"&gt;0")</f>
        <v>0</v>
      </c>
      <c r="EL194" s="6">
        <f>COUNTIFS(Table43[Country],Tabela1[[#This Row],[Country]],Table43[Springboard Classification],"&gt;0")</f>
        <v>0</v>
      </c>
      <c r="EM194" s="6">
        <f>COUNTIFS(Table42[Country],Tabela1[[#This Row],[Country]],Table42[Platform Classification],"&gt;0")</f>
        <v>0</v>
      </c>
      <c r="EN194" s="6">
        <f>COUNTIFS(Table43[Country],Tabela1[[#This Row],[Country]],Table43[Platform Classification],"&gt;0")</f>
        <v>0</v>
      </c>
      <c r="EO194" s="6">
        <f>COUNTIFS(Table86[Country],Tabela1[[#This Row],[Country]],Table86[Men''s Synchronized Springboard Classification],"&gt;0")</f>
        <v>0</v>
      </c>
      <c r="EP194" s="6">
        <f>COUNTIFS(Table86[Country],Tabela1[[#This Row],[Country]],Table86[Women''s Synchronized Springboard Classification],"&gt;0")</f>
        <v>0</v>
      </c>
      <c r="EQ194" s="6">
        <f>COUNTIFS(Table86[Country],Tabela1[[#This Row],[Country]],Table86[Men''s Synchronized Platform Classification],"&gt;0")</f>
        <v>0</v>
      </c>
      <c r="ER194" s="6">
        <f>COUNTIFS(Table86[Country],Tabela1[[#This Row],[Country]],Table86[Women''s Synchronized Platform Classification],"&gt;0")</f>
        <v>0</v>
      </c>
      <c r="ES194" s="6">
        <f>COUNTIFS(Table44[Country],Tabela1[[#This Row],[Country]],Table44[Dressage Classification],"&gt;0")</f>
        <v>0</v>
      </c>
      <c r="ET194" s="6">
        <f>COUNTIFS(Table45[Country],Tabela1[[#This Row],[Country]],Table45[Dressage Classification],"&gt;0")</f>
        <v>0</v>
      </c>
      <c r="EU194" s="6">
        <f>COUNTIFS(Table44[Country],Tabela1[[#This Row],[Country]],Table44[Eventing Classification],"&gt;0")</f>
        <v>0</v>
      </c>
      <c r="EV194" s="6">
        <f>COUNTIFS(Table45[Country],Tabela1[[#This Row],[Country]],Table45[Eventing Classification],"&gt;0")</f>
        <v>0</v>
      </c>
      <c r="EW194" s="6">
        <f>COUNTIFS(Table44[Country],Tabela1[[#This Row],[Country]],Table44[Jumping Classification],"&gt;0")</f>
        <v>0</v>
      </c>
      <c r="EX194" s="6">
        <f>COUNTIFS(Table45[Country],Tabela1[[#This Row],[Country]],Table45[Jumping Classification],"&gt;0")</f>
        <v>0</v>
      </c>
      <c r="EY194" s="6">
        <f>COUNTIFS(Table10[Country],Tabela1[[#This Row],[Country]],Table10[Épée Classification],"&gt;0")</f>
        <v>0</v>
      </c>
      <c r="EZ194" s="6">
        <f>COUNTIFS(Table11[Country],Tabela1[[#This Row],[Country]],Table11[Épée Classification],"&gt;0")</f>
        <v>0</v>
      </c>
      <c r="FA194" s="6">
        <f>COUNTIFS(Table46[Country],Tabela1[[#This Row],[Country]],Table46[Men''s Épée Classification],"&gt;0")</f>
        <v>0</v>
      </c>
      <c r="FB194" s="6">
        <f>COUNTIFS(Table46[Country],Tabela1[[#This Row],[Country]],Table46[Women''s Épée Classification],"&gt;0")</f>
        <v>0</v>
      </c>
      <c r="FC194" s="6">
        <f>COUNTIFS(Table10[Country],Tabela1[[#This Row],[Country]],Table10[Foil Classification],"&gt;0")</f>
        <v>0</v>
      </c>
      <c r="FD194" s="6">
        <f>COUNTIFS(Table11[Country],Tabela1[[#This Row],[Country]],Table11[Foil Classification],"&gt;0")</f>
        <v>0</v>
      </c>
      <c r="FE194" s="6">
        <f>COUNTIFS(Table46[Country],Tabela1[[#This Row],[Country]],Table46[Men''s Foil Classification],"&gt;0")</f>
        <v>0</v>
      </c>
      <c r="FF194" s="6">
        <f>COUNTIFS(Table46[Country],Tabela1[[#This Row],[Country]],Table46[Women''s Foil Classification],"&gt;0")</f>
        <v>0</v>
      </c>
      <c r="FG194" s="6">
        <f>COUNTIFS(Table10[Country],Tabela1[[#This Row],[Country]],Table10[Sabre Classification],"&gt;0")</f>
        <v>0</v>
      </c>
      <c r="FH194" s="6">
        <f>COUNTIFS(Table11[Country],Tabela1[[#This Row],[Country]],Table11[Sabre Classification],"&gt;0")</f>
        <v>0</v>
      </c>
      <c r="FI194" s="6">
        <f>COUNTIFS(Table46[Country],Tabela1[[#This Row],[Country]],Table46[Men''s Sabre Classification],"&gt;0")</f>
        <v>0</v>
      </c>
      <c r="FJ194" s="6">
        <f>COUNTIFS(Table46[Country],Tabela1[[#This Row],[Country]],Table46[Women''s Sabre Classification],"&gt;0")</f>
        <v>0</v>
      </c>
      <c r="FK194" s="6">
        <f>COUNTIFS(Table91[Country],Tabela1[[#This Row],[Country]],Table91[Men''s Classification],"&gt;0")</f>
        <v>0</v>
      </c>
      <c r="FL194" s="6">
        <f>COUNTIFS(Table91[Country],Tabela1[[#This Row],[Country]],Table91[Women''s Classification],"&gt;0")</f>
        <v>0</v>
      </c>
      <c r="FM194" s="6">
        <f>COUNTIFS(Table9194[Country],Tabela1[[#This Row],[Country]],Table9194[Men''s Classification],"&gt;0")</f>
        <v>0</v>
      </c>
      <c r="FN194" s="6">
        <f>COUNTIFS(Table9194[Country],Tabela1[[#This Row],[Country]],Table9194[Women''s Classification],"&gt;0")</f>
        <v>0</v>
      </c>
      <c r="FO194" s="6">
        <f>COUNTIFS(Table71[Country],Tabela1[[#This Row],[Country]],Table71[Classification],"&gt;0")</f>
        <v>0</v>
      </c>
      <c r="FP194" s="6">
        <f>COUNTIFS(Table62[Country],Tabela1[[#This Row],[Country]],Table62[Classification],"&gt;0")</f>
        <v>0</v>
      </c>
      <c r="FQ194" s="6">
        <f>COUNTIFS(Table47[Country],Tabela1[[#This Row],[Country]],Table47[All-Around Classification],"&gt;0")</f>
        <v>0</v>
      </c>
      <c r="FR194" s="6">
        <f>COUNTIFS(Table48[Country],Tabela1[[#This Row],[Country]],Table48[All-Around Classification],"&gt;0")</f>
        <v>0</v>
      </c>
      <c r="FS194" s="6">
        <f>COUNTIFS(Table81[Country],Tabela1[[#This Row],[Country]],Table81[Men''s All-Around Classification],"&gt;0")</f>
        <v>0</v>
      </c>
      <c r="FT194" s="6">
        <f>COUNTIFS(Table81[Country],Tabela1[[#This Row],[Country]],Table81[Women''s All-Around Classification],"&gt;0")</f>
        <v>0</v>
      </c>
      <c r="FU194" s="6">
        <f>COUNTIFS(Table48[Country],Tabela1[[#This Row],[Country]],Table48[Balance Beam Classification],"&gt;0")</f>
        <v>0</v>
      </c>
      <c r="FV194" s="6">
        <f>COUNTIFS(Table47[Country],Tabela1[[#This Row],[Country]],Table47[Floor Exercise Classification],"&gt;0")</f>
        <v>0</v>
      </c>
      <c r="FW194" s="6">
        <f>COUNTIFS(Table48[Country],Tabela1[[#This Row],[Country]],Table48[Floor Exercise Classification],"&gt;0")</f>
        <v>0</v>
      </c>
      <c r="FX194" s="6">
        <f>COUNTIFS(Table47[Country],Tabela1[[#This Row],[Country]],Table47[Horizontal Bar Classification],"&gt;0")</f>
        <v>0</v>
      </c>
      <c r="FY194" s="6">
        <f>COUNTIFS(Table47[Country],Tabela1[[#This Row],[Country]],Table47[Parallel Bars Classification],"&gt;0")</f>
        <v>0</v>
      </c>
      <c r="FZ194" s="6">
        <f>COUNTIFS(Table47[Country],Tabela1[[#This Row],[Country]],Table47[Pommel Horse Classification],"&gt;0")</f>
        <v>0</v>
      </c>
      <c r="GA194" s="6">
        <f>COUNTIFS(Table47[Country],Tabela1[[#This Row],[Country]],Table47[Rings Classification],"&gt;0")</f>
        <v>0</v>
      </c>
      <c r="GB194" s="6">
        <f>COUNTIFS(Tabela132[Country],Tabela1[[#This Row],[Country]],Tabela132[Classification],"&gt;0")</f>
        <v>0</v>
      </c>
      <c r="GC194" s="6">
        <f>COUNTIFS(Tabela139[Country],Tabela1[[#This Row],[Country]],Tabela139[Classification],"&gt;0")</f>
        <v>0</v>
      </c>
      <c r="GD194" s="6">
        <f>COUNTIFS(Table48[Country],Tabela1[[#This Row],[Country]],Table48[Uneven Bars Classification],"&gt;0")</f>
        <v>0</v>
      </c>
      <c r="GE194" s="6">
        <f>COUNTIFS(Table47[Country],Tabela1[[#This Row],[Country]],Table47[Vault Classification],"&gt;0")</f>
        <v>0</v>
      </c>
      <c r="GF194" s="6">
        <f>COUNTIFS(Table48[Country],Tabela1[[#This Row],[Country]],Table48[Vault Classification],"&gt;0")</f>
        <v>0</v>
      </c>
      <c r="GG194" s="6">
        <f>COUNTIFS(Table919496[Country],Tabela1[[#This Row],[Country]],Table919496[Men''s Classification],"&gt;0")</f>
        <v>0</v>
      </c>
      <c r="GH194" s="6">
        <f>COUNTIFS(Table919496[Country],Tabela1[[#This Row],[Country]],Table919496[Women''s Classification],"&gt;0")</f>
        <v>0</v>
      </c>
      <c r="GI194" s="6">
        <f>COUNTIFS(Table12[Country],Tabela1[[#This Row],[Country]],Table12[60kg Classification],"&gt;0")</f>
        <v>0</v>
      </c>
      <c r="GJ194" s="6">
        <f>COUNTIFS(Table12[Country],Tabela1[[#This Row],[Country]],Table12[66kg Classification],"&gt;0")</f>
        <v>0</v>
      </c>
      <c r="GK194" s="6">
        <f>COUNTIFS(Table12[Country],Tabela1[[#This Row],[Country]],Table12[73kg Classification],"&gt;0")</f>
        <v>0</v>
      </c>
      <c r="GL194" s="6">
        <f>COUNTIFS(Table12[Country],Tabela1[[#This Row],[Country]],Table12[81kg Classification],"&gt;0")</f>
        <v>0</v>
      </c>
      <c r="GM194" s="6">
        <f>COUNTIFS(Table12[Country],Tabela1[[#This Row],[Country]],Table12[90kg Classification],"&gt;0")</f>
        <v>0</v>
      </c>
      <c r="GN194" s="6">
        <f>COUNTIFS(Table12[Country],Tabela1[[#This Row],[Country]],Table12[100kg Classification],"&gt;0")</f>
        <v>0</v>
      </c>
      <c r="GO194" s="6">
        <f>COUNTIFS(Table12[Country],Tabela1[[#This Row],[Country]],Table12[Plus 100kg Classification],"&gt;0")</f>
        <v>0</v>
      </c>
      <c r="GP194" s="6">
        <f>COUNTIFS(Table13[Country],Tabela1[[#This Row],[Country]],Table13[48kg Classification],"&gt;0")</f>
        <v>0</v>
      </c>
      <c r="GQ194" s="6">
        <f>COUNTIFS(Table13[Country],Tabela1[[#This Row],[Country]],Table13[52kg Classification],"&gt;0")</f>
        <v>0</v>
      </c>
      <c r="GR194" s="6">
        <f>COUNTIFS(Table13[Country],Tabela1[[#This Row],[Country]],Table13[57kg Classification],"&gt;0")</f>
        <v>0</v>
      </c>
      <c r="GS194" s="6">
        <f>COUNTIFS(Table13[Country],Tabela1[[#This Row],[Country]],Table13[63kg Classification],"&gt;0")</f>
        <v>0</v>
      </c>
      <c r="GT194" s="6">
        <f>COUNTIFS(Table13[Country],Tabela1[[#This Row],[Country]],Table13[70kg Classification],"&gt;0")</f>
        <v>0</v>
      </c>
      <c r="GU194" s="6">
        <f>COUNTIFS(Table13[Country],Tabela1[[#This Row],[Country]],Table13[78kg Classification],"&gt;0")</f>
        <v>0</v>
      </c>
      <c r="GV194" s="6">
        <f>COUNTIFS(Table13[Country],Tabela1[[#This Row],[Country]],Table13[Plus 78kg Classification],"&gt;0")</f>
        <v>0</v>
      </c>
      <c r="GW194" s="6">
        <f>COUNTIFS(Table82[Country],Tabela1[[#This Row],[Country]],Table82[Mixed Classification],"&gt;0")</f>
        <v>0</v>
      </c>
      <c r="GX194" s="6">
        <f>COUNTIFS(Table51[Country],Tabela1[[#This Row],[Country]],Table51[Classification],"&gt;0")</f>
        <v>0</v>
      </c>
      <c r="GY194" s="6">
        <f>COUNTIFS(Table52[Country],Tabela1[[#This Row],[Country]],Table52[Classification],"&gt;0")</f>
        <v>0</v>
      </c>
      <c r="GZ194" s="6">
        <f>COUNTIFS(Table32[Country],Tabela1[[#This Row],[Country]],Table32[All-Around Classification],"&gt;0")</f>
        <v>0</v>
      </c>
      <c r="HA194" s="6">
        <f>COUNTIFS(Table49[Country],Tabela1[[#This Row],[Country]],Table49[All-Around Classification],"&gt;0")</f>
        <v>0</v>
      </c>
      <c r="HB194" s="6">
        <f>COUNTIFS(Table26[Country],Tabela1[[#This Row],[Country]],Table26[Single Sculls Classification],"&gt;0")</f>
        <v>0</v>
      </c>
      <c r="HC194" s="6">
        <f>COUNTIFS(Table63[Country],Tabela1[[#This Row],[Country]],Table63[Single Sculls Classification],"&gt;0")</f>
        <v>0</v>
      </c>
      <c r="HD194" s="6">
        <f>COUNTIFS(Table16[Country],Tabela1[[#This Row],[Country]],Table16[Men''s Double Sculls Classification],"&gt;0")</f>
        <v>0</v>
      </c>
      <c r="HE194" s="6">
        <f>COUNTIFS(Table16[Country],Tabela1[[#This Row],[Country]],Table16[Women''s Double Sculls Classification],"&gt;0")</f>
        <v>0</v>
      </c>
      <c r="HF194" s="6">
        <f>COUNTIFS(Table72[Country],Tabela1[[#This Row],[Country]],Table72[Men''s Quadruple Sculls Classification],"&gt;0")</f>
        <v>0</v>
      </c>
      <c r="HG194" s="6">
        <f>COUNTIFS(Table72[Country],Tabela1[[#This Row],[Country]],Table72[Women''s Quadruple Sculls Classification],"&gt;0")</f>
        <v>0</v>
      </c>
      <c r="HH194" s="6">
        <f>COUNTIFS(Table16[Country],Tabela1[[#This Row],[Country]],Table16[Men''s Coxless Pairs Classification],"&gt;0")</f>
        <v>0</v>
      </c>
      <c r="HI194" s="6">
        <f>COUNTIFS(Table16[Country],Tabela1[[#This Row],[Country]],Table16[Women''s Coxless Pairs Classification],"&gt;0")</f>
        <v>0</v>
      </c>
      <c r="HJ194" s="6">
        <f>COUNTIFS(Table72[Country],Tabela1[[#This Row],[Country]],Table72[Men''s Coxless Fours Classification],"&gt;0")</f>
        <v>0</v>
      </c>
      <c r="HK194" s="6">
        <f>COUNTIFS(Table72[Country],Tabela1[[#This Row],[Country]],Table72[Women''s Coxless Fours Classification],"&gt;0")</f>
        <v>0</v>
      </c>
      <c r="HL194" s="6">
        <f>COUNTIFS(Table72[Country],Tabela1[[#This Row],[Country]],Table72[Men''s Eights Classification],"&gt;0")</f>
        <v>0</v>
      </c>
      <c r="HM194" s="6">
        <f>COUNTIFS(Table72[Country],Tabela1[[#This Row],[Country]],Table72[Women''s Eights Classification],"&gt;0")</f>
        <v>0</v>
      </c>
      <c r="HN194" s="6">
        <f>COUNTIFS(Table16[Country],Tabela1[[#This Row],[Country]],Table16[Men''s Lwt. Double Sculls Classification],"&gt;0")</f>
        <v>0</v>
      </c>
      <c r="HO194" s="6">
        <f>COUNTIFS(Table16[Country],Tabela1[[#This Row],[Country]],Table16[Women''s Lwt. Double Sculls Classification],"&gt;0")</f>
        <v>0</v>
      </c>
      <c r="HP194" s="6">
        <f>COUNTIFS(Table91949698[Country],Tabela1[[#This Row],[Country]],Table91949698[Men''s Classification],"&gt;0")</f>
        <v>0</v>
      </c>
      <c r="HQ194" s="6">
        <f>COUNTIFS(Table91949698[Country],Tabela1[[#This Row],[Country]],Table91949698[Women''s Classification],"&gt;0")</f>
        <v>0</v>
      </c>
      <c r="HR194" s="6">
        <f>COUNTIFS(Table25[Country],Tabela1[[#This Row],[Country]],Table25[Mixed 470 Classification],"&gt;0")</f>
        <v>0</v>
      </c>
      <c r="HS194" s="6">
        <f>COUNTIFS(Table25[Country],Tabela1[[#This Row],[Country]],Table25[Men''s 49er Classification],"&gt;0")</f>
        <v>0</v>
      </c>
      <c r="HT194" s="6">
        <f>COUNTIFS(Table25[Country],Tabela1[[#This Row],[Country]],Table25[Women''s 49er FX Classification],"&gt;0")</f>
        <v>0</v>
      </c>
      <c r="HU194" s="6">
        <f>COUNTIFS(Table17[Country],Tabela1[[#This Row],[Country]],Table17[Formula Kite Classification],"&gt;0")</f>
        <v>0</v>
      </c>
      <c r="HV194" s="6">
        <f>COUNTIFS(Table18[Country],Tabela1[[#This Row],[Country]],Table18[Formula Kite Classification],"&gt;0")</f>
        <v>0</v>
      </c>
      <c r="HW194" s="6">
        <f>COUNTIFS(Table17[Country],Tabela1[[#This Row],[Country]],Table17[ILCA 7 Classification],"&gt;0")</f>
        <v>0</v>
      </c>
      <c r="HX194" s="6">
        <f>COUNTIFS(Table18[Country],Tabela1[[#This Row],[Country]],Table18[ILCA 6 Classification],"&gt;0")</f>
        <v>0</v>
      </c>
      <c r="HY194" s="6">
        <f>COUNTIFS(Table17[Country],Tabela1[[#This Row],[Country]],Table17[IQFoil Classification],"&gt;0")</f>
        <v>0</v>
      </c>
      <c r="HZ194" s="6">
        <f>COUNTIFS(Table18[Country],Tabela1[[#This Row],[Country]],Table18[IQFoil Classification],"&gt;0")</f>
        <v>0</v>
      </c>
      <c r="IA194" s="6">
        <f>COUNTIFS(Table25[Country],Tabela1[[#This Row],[Country]],Table25[Mixed Nacra 17 Classification],"&gt;0")</f>
        <v>0</v>
      </c>
      <c r="IB194" s="6">
        <f>COUNTIFS(Table53[Country],Tabela1[[#This Row],[Country]],Table53[10m Air Pistol Classification],"&gt;0")</f>
        <v>0</v>
      </c>
      <c r="IC194" s="6">
        <f>COUNTIFS(Table19[Country],Tabela1[[#This Row],[Country]],Table19[10m Air Pistol Classification],"&gt;0")</f>
        <v>0</v>
      </c>
      <c r="ID194" s="6">
        <f>COUNTIFS(Table54[Country],Tabela1[[#This Row],[Country]],Table54[Mixed 10m Air Pistol Team Classification],"&gt;0")</f>
        <v>0</v>
      </c>
      <c r="IE194" s="6">
        <f>COUNTIFS(Table53[Country],Tabela1[[#This Row],[Country]],Table53[10m Air Rifle Classification],"&gt;0")</f>
        <v>0</v>
      </c>
      <c r="IF194" s="6">
        <f>COUNTIFS(Table19[Country],Tabela1[[#This Row],[Country]],Table19[10m Air Rifle Classification],"&gt;0")</f>
        <v>0</v>
      </c>
      <c r="IG194" s="6">
        <f>COUNTIFS(Table54[Country],Tabela1[[#This Row],[Country]],Table54[Mixed 10m Air Rifle Team Classification],"&gt;0")</f>
        <v>0</v>
      </c>
      <c r="IH194" s="6">
        <f>COUNTIFS(Table53[Country],Tabela1[[#This Row],[Country]],Table53[25m Rapid Fire Pistol Classification],"&gt;0")</f>
        <v>0</v>
      </c>
      <c r="II194" s="6">
        <f>COUNTIFS(Table19[Country],Tabela1[[#This Row],[Country]],Table19[25m Pistol Classification],"&gt;0")</f>
        <v>0</v>
      </c>
      <c r="IJ194" s="6">
        <f>COUNTIFS(Table53[Country],Tabela1[[#This Row],[Country]],Table53[50m Rifle 3 Positions Classification],"&gt;0")</f>
        <v>0</v>
      </c>
      <c r="IK194" s="6">
        <f>COUNTIFS(Table19[Country],Tabela1[[#This Row],[Country]],Table19[50m Rifle 3 Positions Classification],"&gt;0")</f>
        <v>0</v>
      </c>
      <c r="IL194" s="6">
        <f>COUNTIFS(Table53[Country],Tabela1[[#This Row],[Country]],Table53[Skeet Classification],"&gt;0")</f>
        <v>0</v>
      </c>
      <c r="IM194" s="6">
        <f>COUNTIFS(Table19[Country],Tabela1[[#This Row],[Country]],Table19[Skeet Classification],"&gt;0")</f>
        <v>0</v>
      </c>
      <c r="IN194" s="6">
        <f>COUNTIFS(Table54[Country],Tabela1[[#This Row],[Country]],Table54[Mixed Skeet Team Classification],"&gt;0")</f>
        <v>0</v>
      </c>
      <c r="IO194" s="6">
        <f>COUNTIFS(Table53[Country],Tabela1[[#This Row],[Country]],Table53[Trap Classification],"&gt;0")</f>
        <v>0</v>
      </c>
      <c r="IP194" s="6">
        <f>COUNTIFS(Table19[Country],Tabela1[[#This Row],[Country]],Table19[Trap Classification],"&gt;0")</f>
        <v>0</v>
      </c>
      <c r="IQ194" s="6">
        <f>COUNTIFS(Table73[Country],Tabela1[[#This Row],[Country]],Table73[Park Classification],"&gt;0")</f>
        <v>0</v>
      </c>
      <c r="IR194" s="6">
        <f>COUNTIFS(Table74[Country],Tabela1[[#This Row],[Country]],Table74[Park Classification],"&gt;0")</f>
        <v>0</v>
      </c>
      <c r="IS194" s="6">
        <f>COUNTIFS(Table73[Country],Tabela1[[#This Row],[Country]],Table73[Street Classification],"&gt;0")</f>
        <v>0</v>
      </c>
      <c r="IT194" s="6">
        <f>COUNTIFS(Table74[Country],Tabela1[[#This Row],[Country]],Table74[Street Classification],"&gt;0")</f>
        <v>0</v>
      </c>
      <c r="IU194" s="6">
        <f>COUNTIFS(Table75[Country],Tabela1[[#This Row],[Country]],Table75[Boulder and Lead Classification],"&gt;0")</f>
        <v>0</v>
      </c>
      <c r="IV194" s="6">
        <f>COUNTIFS(Table76[Country],Tabela1[[#This Row],[Country]],Table76[Boulder and Lead Classification],"&gt;0")</f>
        <v>0</v>
      </c>
      <c r="IW194" s="6">
        <f>COUNTIFS(Table75[Country],Tabela1[[#This Row],[Country]],Table75[Speed Classification],"&gt;0")</f>
        <v>0</v>
      </c>
      <c r="IX194" s="6">
        <f>COUNTIFS(Table76[Country],Tabela1[[#This Row],[Country]],Table76[Speed Classification],"&gt;0")</f>
        <v>0</v>
      </c>
      <c r="IY194" s="6">
        <f>COUNTIFS(Table64[Country],Tabela1[[#This Row],[Country]],Table64[Shortboard Classification],"&gt;0")</f>
        <v>0</v>
      </c>
      <c r="IZ194" s="6">
        <f>COUNTIFS(Table77[Country],Tabela1[[#This Row],[Country]],Table77[Shortboard Classification],"&gt;0")</f>
        <v>0</v>
      </c>
      <c r="JA194" s="6">
        <f>COUNTIFS(Table20[Country],Tabela1[[#This Row],[Country]],Table20[50m Freestyle Classification],"&gt;0")</f>
        <v>0</v>
      </c>
      <c r="JB194" s="6">
        <f>COUNTIFS(Table21[Country],Tabela1[[#This Row],[Country]],Table21[50m Freestyle Classification],"&gt;0")</f>
        <v>0</v>
      </c>
      <c r="JC194" s="6">
        <f>COUNTIFS(Table20[Country],Tabela1[[#This Row],[Country]],Table20[100m Freestyle Classification],"&gt;0")</f>
        <v>0</v>
      </c>
      <c r="JD194" s="6">
        <f>COUNTIFS(Table21[Country],Tabela1[[#This Row],[Country]],Table21[100m Freestyle Classification],"&gt;0")</f>
        <v>0</v>
      </c>
      <c r="JE194" s="6">
        <f>COUNTIFS(Table20[Country],Tabela1[[#This Row],[Country]],Table20[200m Freestyle Classification],"&gt;0")</f>
        <v>0</v>
      </c>
      <c r="JF194" s="6">
        <f>COUNTIFS(Table21[Country],Tabela1[[#This Row],[Country]],Table21[200m Freestyle Classification],"&gt;0")</f>
        <v>0</v>
      </c>
      <c r="JG194" s="6">
        <f>COUNTIFS(Table20[Country],Tabela1[[#This Row],[Country]],Table20[400m Freestyle Classification],"&gt;0")</f>
        <v>0</v>
      </c>
      <c r="JH194" s="6">
        <f>COUNTIFS(Table21[Country],Tabela1[[#This Row],[Country]],Table21[400m Freestyle Classification],"&gt;0")</f>
        <v>0</v>
      </c>
      <c r="JI194" s="6">
        <f>COUNTIFS(Table20[Country],Tabela1[[#This Row],[Country]],Table20[800m Freestyle Classification],"&gt;0")</f>
        <v>0</v>
      </c>
      <c r="JJ194" s="6">
        <f>COUNTIFS(Table21[Country],Tabela1[[#This Row],[Country]],Table21[800m Freestyle Classification],"&gt;0")</f>
        <v>0</v>
      </c>
      <c r="JK194" s="6">
        <f>COUNTIFS(Table20[Country],Tabela1[[#This Row],[Country]],Table20[1500m Freestyle Classification],"&gt;0")</f>
        <v>0</v>
      </c>
      <c r="JL194" s="6">
        <f>COUNTIFS(Table21[Country],Tabela1[[#This Row],[Country]],Table21[1500m Freestyle Classification],"&gt;0")</f>
        <v>0</v>
      </c>
      <c r="JM194" s="6">
        <f>COUNTIFS(Table20[Country],Tabela1[[#This Row],[Country]],Table20[100m Backstroke Classification],"&gt;0")</f>
        <v>0</v>
      </c>
      <c r="JN194" s="6">
        <f>COUNTIFS(Table21[Country],Tabela1[[#This Row],[Country]],Table21[100m Backstroke Classification],"&gt;0")</f>
        <v>0</v>
      </c>
      <c r="JO194" s="6">
        <f>COUNTIFS(Table20[Country],Tabela1[[#This Row],[Country]],Table20[200m Backstroke Classification],"&gt;0")</f>
        <v>0</v>
      </c>
      <c r="JP194" s="6">
        <f>COUNTIFS(Table21[Country],Tabela1[[#This Row],[Country]],Table21[200m Backstroke Classification],"&gt;0")</f>
        <v>0</v>
      </c>
      <c r="JQ194" s="6">
        <f>COUNTIFS(Table20[Country],Tabela1[[#This Row],[Country]],Table20[100m Breaststroke Classification],"&gt;0")</f>
        <v>0</v>
      </c>
      <c r="JR194" s="6">
        <f>COUNTIFS(Table21[Country],Tabela1[[#This Row],[Country]],Table21[100m Breaststroke Classification],"&gt;0")</f>
        <v>0</v>
      </c>
      <c r="JS194" s="6">
        <f>COUNTIFS(Table20[Country],Tabela1[[#This Row],[Country]],Table20[200m Breaststroke Classification],"&gt;0")</f>
        <v>0</v>
      </c>
      <c r="JT194" s="6">
        <f>COUNTIFS(Table21[Country],Tabela1[[#This Row],[Country]],Table21[200m Breaststroke Classification],"&gt;0")</f>
        <v>0</v>
      </c>
      <c r="JU194" s="6">
        <f>COUNTIFS(Table20[Country],Tabela1[[#This Row],[Country]],Table20[100m Butterfly Classification],"&gt;0")</f>
        <v>0</v>
      </c>
      <c r="JV194" s="6">
        <f>COUNTIFS(Table21[Country],Tabela1[[#This Row],[Country]],Table21[100m Butterfly Classification],"&gt;0")</f>
        <v>0</v>
      </c>
      <c r="JW194" s="6">
        <f>COUNTIFS(Table20[Country],Tabela1[[#This Row],[Country]],Table20[200m Butterfly Classification],"&gt;0")</f>
        <v>0</v>
      </c>
      <c r="JX194" s="6">
        <f>COUNTIFS(Table21[Country],Tabela1[[#This Row],[Country]],Table21[200m Butterfly Classification],"&gt;0")</f>
        <v>0</v>
      </c>
      <c r="JY194" s="6">
        <f>COUNTIFS(Table20[Country],Tabela1[[#This Row],[Country]],Table20[200m Medley Classification],"&gt;0")</f>
        <v>0</v>
      </c>
      <c r="JZ194" s="6">
        <f>COUNTIFS(Table21[Country],Tabela1[[#This Row],[Country]],Table21[200m Medley Classification],"&gt;0")</f>
        <v>0</v>
      </c>
      <c r="KA194" s="6">
        <f>COUNTIFS(Table20[Country],Tabela1[[#This Row],[Country]],Table20[400m Medley Classification],"&gt;0")</f>
        <v>0</v>
      </c>
      <c r="KB194" s="6">
        <f>COUNTIFS(Table21[Country],Tabela1[[#This Row],[Country]],Table21[400m Medley Classification],"&gt;0")</f>
        <v>0</v>
      </c>
      <c r="KC194" s="6">
        <f>COUNTIFS(Table78[Country],Tabela1[[#This Row],[Country]],Table78[Men''s 4x100m Freestyle Relay Classification],"&gt;0")</f>
        <v>0</v>
      </c>
      <c r="KD194" s="6">
        <f>COUNTIFS(Table78[Country],Tabela1[[#This Row],[Country]],Table78[Women''s 4x100m Freestyle Relay Classification],"&gt;0")</f>
        <v>0</v>
      </c>
      <c r="KE194" s="6">
        <f>COUNTIFS(Table78[Country],Tabela1[[#This Row],[Country]],Table78[Men''s 4x200m Freestyle Relay Classification],"&gt;0")</f>
        <v>0</v>
      </c>
      <c r="KF194" s="6">
        <f>COUNTIFS(Table78[Country],Tabela1[[#This Row],[Country]],Table78[Women''s 4x200m Freestyle Relay Classification],"&gt;0")</f>
        <v>0</v>
      </c>
      <c r="KG194" s="6">
        <f>COUNTIFS(Table78[Country],Tabela1[[#This Row],[Country]],Table78[Men''s 4x100m Medley Relay Classification],"&gt;0")</f>
        <v>0</v>
      </c>
      <c r="KH194" s="6">
        <f>COUNTIFS(Table78[Country],Tabela1[[#This Row],[Country]],Table78[Women''s 4x100m Medley Relay Classification],"&gt;0")</f>
        <v>0</v>
      </c>
      <c r="KI194" s="6">
        <f>COUNTIFS(Table78[Country],Tabela1[[#This Row],[Country]],Table78[Mixed 4x100m Medley Relay Classification],"&gt;0")</f>
        <v>0</v>
      </c>
      <c r="KJ194" s="6">
        <f>COUNTIFS(Table20[Country],Tabela1[[#This Row],[Country]],Table20[10km Open Water Classification],"&gt;0")</f>
        <v>0</v>
      </c>
      <c r="KK194" s="6">
        <f>COUNTIFS(Table21[Country],Tabela1[[#This Row],[Country]],Table21[10km Open Water Classification],"&gt;0")</f>
        <v>0</v>
      </c>
      <c r="KL194" s="6">
        <f>COUNTIFS(Table22[Country],Tabela1[[#This Row],[Country]],Table22[Classification],"&gt;0")</f>
        <v>0</v>
      </c>
      <c r="KM194" s="6">
        <f>COUNTIFS(Table30[Country],Tabela1[[#This Row],[Country]],Table30[Classification],"&gt;0")</f>
        <v>0</v>
      </c>
      <c r="KN194" s="6">
        <f>COUNTIFS(Table55[Country],Tabela1[[#This Row],[Country]],Table55[Men''s Classification],"&gt;0")</f>
        <v>0</v>
      </c>
      <c r="KO194" s="6">
        <f>COUNTIFS(Table55[Country],Tabela1[[#This Row],[Country]],Table55[Women''s Classification],"&gt;0")</f>
        <v>0</v>
      </c>
      <c r="KP194" s="6">
        <f>COUNTIFS(Table56[Country],Tabela1[[#This Row],[Country]],Table56[Mixed Classification],"&gt;0")</f>
        <v>0</v>
      </c>
      <c r="KQ194" s="6">
        <f>COUNTIFS(Table29[Country],Tabela1[[#This Row],[Country]],Table29[58kg Classification],"&gt;0")</f>
        <v>0</v>
      </c>
      <c r="KR194" s="6">
        <f>COUNTIFS(Table29[Country],Tabela1[[#This Row],[Country]],Table29[68kg Classification],"&gt;0")</f>
        <v>0</v>
      </c>
      <c r="KS194" s="6">
        <f>COUNTIFS(Table29[Country],Tabela1[[#This Row],[Country]],Table29[80kg Classification],"&gt;0")</f>
        <v>0</v>
      </c>
      <c r="KT194" s="6">
        <f>COUNTIFS(Table29[Country],Tabela1[[#This Row],[Country]],Table29[Plus 80kg Classification],"&gt;0")</f>
        <v>0</v>
      </c>
      <c r="KU194" s="6">
        <f>COUNTIFS(Table34[Country],Tabela1[[#This Row],[Country]],Table34[49kg Classification],"&gt;0")</f>
        <v>0</v>
      </c>
      <c r="KV194" s="6">
        <f>COUNTIFS(Table34[Country],Tabela1[[#This Row],[Country]],Table34[57kg Classification],"&gt;0")</f>
        <v>0</v>
      </c>
      <c r="KW194" s="6">
        <f>COUNTIFS(Table34[Country],Tabela1[[#This Row],[Country]],Table34[67kg Classification],"&gt;0")</f>
        <v>0</v>
      </c>
      <c r="KX194" s="6">
        <f>COUNTIFS(Table34[Country],Tabela1[[#This Row],[Country]],Table34[Plus 67kg Classification],"&gt;0")</f>
        <v>0</v>
      </c>
      <c r="KY194" s="6">
        <f>COUNTIFS(Table57[Country],Tabela1[[#This Row],[Country]],Table57[Classification],"&gt;0")</f>
        <v>0</v>
      </c>
      <c r="KZ194" s="6">
        <f>COUNTIFS(Table58[Country],Tabela1[[#This Row],[Country]],Table58[Classification],"&gt;0")</f>
        <v>0</v>
      </c>
      <c r="LA194" s="6">
        <f>COUNTIFS(Table79[Country],Tabela1[[#This Row],[Country]],Table79[Men''s Classification],"&gt;0")</f>
        <v>0</v>
      </c>
      <c r="LB194" s="6">
        <f>COUNTIFS(Table79[Country],Tabela1[[#This Row],[Country]],Table79[Women''s Classification],"&gt;0")</f>
        <v>0</v>
      </c>
      <c r="LC194" s="6">
        <f>COUNTIFS(Table79[Country],Tabela1[[#This Row],[Country]],Table79[Mixed Classification],"&gt;0")</f>
        <v>0</v>
      </c>
      <c r="LD194" s="6">
        <f>COUNTIFS(Table65[Country],Tabela1[[#This Row],[Country]],Table65[Classification],"&gt;0")</f>
        <v>0</v>
      </c>
      <c r="LE194" s="6">
        <f>COUNTIFS(Table59[Country],Tabela1[[#This Row],[Country]],Table59[Classification],"&gt;0")</f>
        <v>0</v>
      </c>
      <c r="LF194" s="6">
        <f>COUNTIFS(Table87[Country],Tabela1[[#This Row],[Country]],Table87[Mixed Relay Classification],"&gt;0")</f>
        <v>0</v>
      </c>
      <c r="LG194" s="6">
        <f>COUNTIFS(Table91949698100[Country],Tabela1[[#This Row],[Country]],Table91949698100[Men''s Classification],"&gt;0")</f>
        <v>0</v>
      </c>
      <c r="LH194" s="6">
        <f>COUNTIFS(Table91949698100[Country],Tabela1[[#This Row],[Country]],Table91949698100[Women''s Classification],"&gt;0")</f>
        <v>0</v>
      </c>
      <c r="LI194" s="6">
        <f>COUNTIFS(Table91949698100102[Country],Tabela1[[#This Row],[Country]],Table91949698100102[Men''s Classification],"&gt;0")</f>
        <v>0</v>
      </c>
      <c r="LJ194" s="6">
        <f>COUNTIFS(Table91949698100102[Country],Tabela1[[#This Row],[Country]],Table91949698100102[Women''s Classification],"&gt;0")</f>
        <v>0</v>
      </c>
      <c r="LK194" s="6">
        <f>COUNTIFS(Table23[Country],Tabela1[[#This Row],[Country]],Table23[61kg Classification],"&gt;0")</f>
        <v>0</v>
      </c>
      <c r="LL194" s="6">
        <f>COUNTIFS(Table23[Country],Tabela1[[#This Row],[Country]],Table23[73kg Classification],"&gt;0")</f>
        <v>0</v>
      </c>
      <c r="LM194" s="6">
        <f>COUNTIFS(Table23[Country],Tabela1[[#This Row],[Country]],Table23[89kg Classification],"&gt;0")</f>
        <v>0</v>
      </c>
      <c r="LN194" s="6">
        <f>COUNTIFS(Table23[Country],Tabela1[[#This Row],[Country]],Table23[102kg Classification],"&gt;0")</f>
        <v>0</v>
      </c>
      <c r="LO194" s="6">
        <f>COUNTIFS(Table23[Country],Tabela1[[#This Row],[Country]],Table23[Plus 102kg Classification],"&gt;0")</f>
        <v>0</v>
      </c>
      <c r="LP194" s="6">
        <f>COUNTIFS(Table28[Country],Tabela1[[#This Row],[Country]],Table28[49kg Classification],"&gt;0")</f>
        <v>0</v>
      </c>
      <c r="LQ194" s="6">
        <f>COUNTIFS(Table28[Country],Tabela1[[#This Row],[Country]],Table28[59kg Classification],"&gt;0")</f>
        <v>0</v>
      </c>
      <c r="LR194" s="6">
        <f>COUNTIFS(Table28[Country],Tabela1[[#This Row],[Country]],Table28[71kg Classification],"&gt;0")</f>
        <v>0</v>
      </c>
      <c r="LS194" s="6">
        <f>COUNTIFS(Table28[Country],Tabela1[[#This Row],[Country]],Table28[81kg Classification],"&gt;0")</f>
        <v>0</v>
      </c>
      <c r="LT194" s="6">
        <f>COUNTIFS(Table28[Country],Tabela1[[#This Row],[Country]],Table28[Plus 81kg Classification],"&gt;0")</f>
        <v>0</v>
      </c>
      <c r="LU194" s="6">
        <f>COUNTIFS(Table24[Country],Tabela1[[#This Row],[Country]],Table24[Freestyle 57kg Classification],"&gt;0")</f>
        <v>0</v>
      </c>
      <c r="LV194" s="6">
        <f>COUNTIFS(Table24[Country],Tabela1[[#This Row],[Country]],Table24[Freestyle 65kg Classification],"&gt;0")</f>
        <v>0</v>
      </c>
      <c r="LW194" s="6">
        <f>COUNTIFS(Table24[Country],Tabela1[[#This Row],[Country]],Table24[Freestyle 74kg Classification],"&gt;0")</f>
        <v>0</v>
      </c>
      <c r="LX194" s="6">
        <f>COUNTIFS(Table24[Country],Tabela1[[#This Row],[Country]],Table24[Freestyle 86kg Classification],"&gt;0")</f>
        <v>0</v>
      </c>
      <c r="LY194" s="6">
        <f>COUNTIFS(Table24[Country],Tabela1[[#This Row],[Country]],Table24[Freestyle 97kg Classification],"&gt;0")</f>
        <v>0</v>
      </c>
      <c r="LZ194" s="6">
        <f>COUNTIFS(Table24[Country],Tabela1[[#This Row],[Country]],Table24[Freestyle 125kg Classification],"&gt;0")</f>
        <v>0</v>
      </c>
      <c r="MA194" s="6">
        <f>COUNTIFS(Table24[Country],Tabela1[[#This Row],[Country]],Table24[Greco-Roman 60kg Classification],"&gt;0")</f>
        <v>0</v>
      </c>
      <c r="MB194" s="6">
        <f>COUNTIFS(Table24[Country],Tabela1[[#This Row],[Country]],Table24[Greco-Roman 67kg Classification],"&gt;0")</f>
        <v>0</v>
      </c>
      <c r="MC194" s="6">
        <f>COUNTIFS(Table24[Country],Tabela1[[#This Row],[Country]],Table24[Greco-Roman 77kg Classification],"&gt;0")</f>
        <v>0</v>
      </c>
      <c r="MD194" s="6">
        <f>COUNTIFS(Table24[Country],Tabela1[[#This Row],[Country]],Table24[Greco-Roman 87kg Classification],"&gt;0")</f>
        <v>0</v>
      </c>
      <c r="ME194" s="6">
        <f>COUNTIFS(Table24[Country],Tabela1[[#This Row],[Country]],Table24[Greco-Roman 97kg Classification],"&gt;0")</f>
        <v>0</v>
      </c>
      <c r="MF194" s="6">
        <f>COUNTIFS(Table24[Country],Tabela1[[#This Row],[Country]],Table24[Greco-Roman 130kg Classification],"&gt;0")</f>
        <v>0</v>
      </c>
      <c r="MG194" s="6">
        <f>COUNTIFS(Table31[Country],Tabela1[[#This Row],[Country]],Table31[50kg Classification],"&gt;0")</f>
        <v>0</v>
      </c>
      <c r="MH194" s="6">
        <f>COUNTIFS(Table31[Country],Tabela1[[#This Row],[Country]],Table31[53kg Classification],"&gt;0")</f>
        <v>0</v>
      </c>
      <c r="MI194" s="6">
        <f>COUNTIFS(Table31[Country],Tabela1[[#This Row],[Country]],Table31[57kg Classification],"&gt;0")</f>
        <v>0</v>
      </c>
      <c r="MJ194" s="6">
        <f>COUNTIFS(Table31[Country],Tabela1[[#This Row],[Country]],Table31[62kg Classification],"&gt;0")</f>
        <v>0</v>
      </c>
      <c r="MK194" s="6">
        <f>COUNTIFS(Table31[Country],Tabela1[[#This Row],[Country]],Table31[68kg Classification],"&gt;0")</f>
        <v>0</v>
      </c>
      <c r="ML194" s="6">
        <f>COUNTIFS(Table31[Country],Tabela1[[#This Row],[Country]],Table31[76kg Classification],"&gt;0")</f>
        <v>0</v>
      </c>
      <c r="MM194" s="6">
        <f>COUNTIFS(Table102[Country],Tabela1[[#This Row],[Country]],Table102[Downhill Classification],"&gt;0")</f>
        <v>0</v>
      </c>
      <c r="MN194" s="6">
        <f>COUNTIFS(Table102105[Country],Tabela1[[#This Row],[Country]],Table102105[Downhill Classification],"&gt;0")</f>
        <v>0</v>
      </c>
      <c r="MO194" s="6">
        <f>COUNTIFS(Table102[Country],Tabela1[[#This Row],[Country]],Table102[Giant Slalom Classification],"&gt;0")</f>
        <v>0</v>
      </c>
      <c r="MP194" s="6">
        <f>COUNTIFS(Table102105[Country],Tabela1[[#This Row],[Country]],Table102105[Giant Slalom Classification],"&gt;0")</f>
        <v>0</v>
      </c>
      <c r="MQ194" s="6">
        <f>COUNTIFS(Table102[Country],Tabela1[[#This Row],[Country]],Table102[Slalom Classification],"&gt;0")</f>
        <v>0</v>
      </c>
      <c r="MR194" s="6">
        <f>COUNTIFS(Table102105[Country],Tabela1[[#This Row],[Country]],Table102105[Slalom Classification],"&gt;0")</f>
        <v>0</v>
      </c>
      <c r="MS194" s="6">
        <f>COUNTIFS(Table102[Country],Tabela1[[#This Row],[Country]],Table102[Super-G Classification],"&gt;0")</f>
        <v>0</v>
      </c>
      <c r="MT194" s="6">
        <f>COUNTIFS(Table102105[Country],Tabela1[[#This Row],[Country]],Table102105[Super-G Classification],"&gt;0")</f>
        <v>0</v>
      </c>
      <c r="MU194" s="6">
        <f>COUNTIFS(Table105[Country],Tabela1[[#This Row],[Country]],Table105[Men''s Combined Classification],"&gt;0")</f>
        <v>0</v>
      </c>
      <c r="MV194" s="6">
        <f>COUNTIFS(Table105[Country],Tabela1[[#This Row],[Country]],Table105[Women''s Combined Classification],"&gt;0")</f>
        <v>0</v>
      </c>
      <c r="MW194" s="6">
        <f>COUNTIFS(Table106[Country],Tabela1[[#This Row],[Country]],Table106[Individual Classification],"&gt;0")</f>
        <v>0</v>
      </c>
      <c r="MX194" s="6">
        <f>COUNTIFS(Table106109[Country],Tabela1[[#This Row],[Country]],Table106109[Individual Classification],"&gt;0")</f>
        <v>0</v>
      </c>
      <c r="MY194" s="6">
        <f>COUNTIFS(Table106[Country],Tabela1[[#This Row],[Country]],Table106[Mass Start Classification],"&gt;0")</f>
        <v>0</v>
      </c>
      <c r="MZ194" s="6">
        <f>COUNTIFS(Table106109[Country],Tabela1[[#This Row],[Country]],Table106109[Mass Start Classification],"&gt;0")</f>
        <v>0</v>
      </c>
      <c r="NA194" s="6">
        <f>COUNTIFS(Table106[Country],Tabela1[[#This Row],[Country]],Table106[Pursuit Classification],"&gt;0")</f>
        <v>0</v>
      </c>
      <c r="NB194" s="6">
        <f>COUNTIFS(Table106109[Country],Tabela1[[#This Row],[Country]],Table106109[Pursuit Classification],"&gt;0")</f>
        <v>0</v>
      </c>
      <c r="NC194" s="6">
        <f>COUNTIFS(Table106[Country],Tabela1[[#This Row],[Country]],Table106[Sprint Classification],"&gt;0")</f>
        <v>0</v>
      </c>
      <c r="ND194" s="6">
        <f>COUNTIFS(Table106109[Country],Tabela1[[#This Row],[Country]],Table106109[Sprint Classification],"&gt;0")</f>
        <v>0</v>
      </c>
      <c r="NE194" s="6">
        <f>COUNTIFS(Table109[Country],Tabela1[[#This Row],[Country]],Table109[Men''s Relay Classification],"&gt;0")</f>
        <v>0</v>
      </c>
      <c r="NF194" s="6">
        <f>COUNTIFS(Table109[Country],Tabela1[[#This Row],[Country]],Table109[Women''s Relay Classification],"&gt;0")</f>
        <v>0</v>
      </c>
      <c r="NG194" s="6">
        <f>COUNTIFS(Table109[Country],Tabela1[[#This Row],[Country]],Table109[Mixed Relay Classification],"&gt;0")</f>
        <v>0</v>
      </c>
      <c r="NH194" s="6">
        <f>COUNTIFS(Table110[Country],Tabela1[[#This Row],[Country]],Table110[Monobob Classification],"&gt;0")</f>
        <v>0</v>
      </c>
      <c r="NI194" s="6">
        <f>COUNTIFS(Table111[Country],Tabela1[[#This Row],[Country]],Table111[Men''s Classification],"&gt;0")</f>
        <v>0</v>
      </c>
      <c r="NJ194" s="6">
        <f>COUNTIFS(Table111[Country],Tabela1[[#This Row],[Country]],Table111[Women''s Classification],"&gt;0")</f>
        <v>0</v>
      </c>
      <c r="NK194" s="6">
        <f>COUNTIFS(Table112[Country],Tabela1[[#This Row],[Country]],Table112[Men''s Four Classification],"&gt;0")</f>
        <v>0</v>
      </c>
      <c r="NL194" s="6">
        <f>COUNTIFS(Table113[Country],Tabela1[[#This Row],[Country]],Table113[Classical Classification],"&gt;0")</f>
        <v>0</v>
      </c>
      <c r="NM194" s="6">
        <f>COUNTIFS(Table113116[Country],Tabela1[[#This Row],[Country]],Table113116[Classical Classification],"&gt;0")</f>
        <v>0</v>
      </c>
      <c r="NN194" s="6">
        <f>COUNTIFS(Table113[Country],Tabela1[[#This Row],[Country]],Table113[Freestyle Classification],"&gt;0")</f>
        <v>0</v>
      </c>
      <c r="NO194" s="6">
        <f>COUNTIFS(Table113116[Country],Tabela1[[#This Row],[Country]],Table113116[Freestyle Classification],"&gt;0")</f>
        <v>0</v>
      </c>
      <c r="NP194" s="6">
        <f>COUNTIFS(Table117[Country],Tabela1[[#This Row],[Country]],Table117[Men''s Relay Classification],"&gt;0")</f>
        <v>0</v>
      </c>
      <c r="NQ194" s="6">
        <f>COUNTIFS(Table117[Country],Tabela1[[#This Row],[Country]],Table117[Women''s Relay Classification],"&gt;0")</f>
        <v>0</v>
      </c>
      <c r="NR194" s="6">
        <f>COUNTIFS(Table113[Country],Tabela1[[#This Row],[Country]],Table113[Skiathlon Classification],"&gt;0")</f>
        <v>0</v>
      </c>
      <c r="NS194" s="6">
        <f>COUNTIFS(Table113116[Country],Tabela1[[#This Row],[Country]],Table113116[Skiathlon Classification],"&gt;0")</f>
        <v>0</v>
      </c>
      <c r="NT194" s="6">
        <f>COUNTIFS(Table113[Country],Tabela1[[#This Row],[Country]],Table113[Sprint Classification],"&gt;0")</f>
        <v>0</v>
      </c>
      <c r="NU194" s="6">
        <f>COUNTIFS(Table113116[Country],Tabela1[[#This Row],[Country]],Table113116[Sprint Classification],"&gt;0")</f>
        <v>0</v>
      </c>
      <c r="NV194" s="6">
        <f>COUNTIFS(Table116[Country],Tabela1[[#This Row],[Country]],Table116[Men''s Team Sprint Classification],"&gt;0")</f>
        <v>0</v>
      </c>
      <c r="NW194" s="6">
        <f>COUNTIFS(Table116[Country],Tabela1[[#This Row],[Country]],Table116[Women''s Team Sprint Classification],"&gt;0")</f>
        <v>0</v>
      </c>
      <c r="NX194" s="6">
        <f>COUNTIFS(Table119[Country],Tabela1[[#This Row],[Country]],Table119[Men''s Classification],"&gt;0")</f>
        <v>0</v>
      </c>
      <c r="NY194" s="6">
        <f>COUNTIFS(Table119[Country],Tabela1[[#This Row],[Country]],Table119[Women''s Classification],"&gt;0")</f>
        <v>0</v>
      </c>
      <c r="NZ194" s="6">
        <f>COUNTIFS(Table118[Country],Tabela1[[#This Row],[Country]],Table118[Mixed Classification],"&gt;0")</f>
        <v>0</v>
      </c>
      <c r="OA194" s="6">
        <f>COUNTIFS(Table120[Country],Tabela1[[#This Row],[Country]],Table120[Classification],"&gt;0")</f>
        <v>0</v>
      </c>
      <c r="OB194" s="6">
        <f>COUNTIFS(Table120123[Country],Tabela1[[#This Row],[Country]],Table120123[Classification],"&gt;0")</f>
        <v>0</v>
      </c>
      <c r="OC194" s="6">
        <f>COUNTIFS(Table123[Country],Tabela1[[#This Row],[Country]],Table123[Ice Dance Classification],"&gt;0")</f>
        <v>0</v>
      </c>
      <c r="OD194" s="6">
        <f>COUNTIFS(Table123[Country],Tabela1[[#This Row],[Country]],Table123[Pair Skating Classification],"&gt;0")</f>
        <v>0</v>
      </c>
      <c r="OE194" s="6">
        <f>COUNTIFS(Table124[Country],Tabela1[[#This Row],[Country]],Table124[Mixed Classification],"&gt;0")</f>
        <v>0</v>
      </c>
      <c r="OF194" s="6">
        <f>COUNTIFS(Table125[Country],Tabela1[[#This Row],[Country]],Table125[Aerials Classification],"&gt;0")</f>
        <v>0</v>
      </c>
      <c r="OG194" s="6">
        <f>COUNTIFS(Table125128[Country],Tabela1[[#This Row],[Country]],Table125128[Aerials Classification],"&gt;0")</f>
        <v>0</v>
      </c>
      <c r="OH194" s="6">
        <f>COUNTIFS(Table128[Country],Tabela1[[#This Row],[Country]],Table128[Mixed Aerials Classification],"&gt;0")</f>
        <v>0</v>
      </c>
      <c r="OI194" s="6">
        <f>COUNTIFS(Table125[Country],Tabela1[[#This Row],[Country]],Table125[Big Air Classification],"&gt;0")</f>
        <v>0</v>
      </c>
      <c r="OJ194" s="6">
        <f>COUNTIFS(Table125128[Country],Tabela1[[#This Row],[Country]],Table125128[Big Air Classification],"&gt;0")</f>
        <v>0</v>
      </c>
      <c r="OK194" s="6">
        <f>COUNTIFS(Table125[Country],Tabela1[[#This Row],[Country]],Table125[Dual Moguls Classification],"&gt;0")</f>
        <v>0</v>
      </c>
      <c r="OL194" s="6">
        <f>COUNTIFS(Table125128[Country],Tabela1[[#This Row],[Country]],Table125128[Dual Moguls Classification],"&gt;0")</f>
        <v>0</v>
      </c>
      <c r="OM194" s="6">
        <f>COUNTIFS(Table125[Country],Tabela1[[#This Row],[Country]],Table125[Halfpipe Classification],"&gt;0")</f>
        <v>0</v>
      </c>
      <c r="ON194" s="6">
        <f>COUNTIFS(Table125128[Country],Tabela1[[#This Row],[Country]],Table125128[Halfpipe Classification],"&gt;0")</f>
        <v>0</v>
      </c>
      <c r="OO194" s="6">
        <f>COUNTIFS(Table125[Country],Tabela1[[#This Row],[Country]],Table125[Moguls Classification],"&gt;0")</f>
        <v>0</v>
      </c>
      <c r="OP194" s="6">
        <f>COUNTIFS(Table125128[Country],Tabela1[[#This Row],[Country]],Table125128[Moguls Classification],"&gt;0")</f>
        <v>0</v>
      </c>
      <c r="OQ194" s="6">
        <f>COUNTIFS(Table125[Country],Tabela1[[#This Row],[Country]],Table125[Ski Cross Classification],"&gt;0")</f>
        <v>0</v>
      </c>
      <c r="OR194" s="6">
        <f>COUNTIFS(Table125128[Country],Tabela1[[#This Row],[Country]],Table125128[Ski Cross Classification],"&gt;0")</f>
        <v>0</v>
      </c>
      <c r="OS194" s="6">
        <f>COUNTIFS(Table125[Country],Tabela1[[#This Row],[Country]],Table125[Slopestyle Classification],"&gt;0")</f>
        <v>0</v>
      </c>
      <c r="OT194" s="6">
        <f>COUNTIFS(Table125128[Country],Tabela1[[#This Row],[Country]],Table125128[Slopestyle Classification],"&gt;0")</f>
        <v>0</v>
      </c>
      <c r="OU194" s="6">
        <f>COUNTIFS(Table119131[Country],Tabela1[[#This Row],[Country]],Table119131[Men''s Classification],"&gt;0")</f>
        <v>0</v>
      </c>
      <c r="OV194" s="6">
        <f>COUNTIFS(Table119131[Country],Tabela1[[#This Row],[Country]],Table119131[Women''s Classification],"&gt;0")</f>
        <v>0</v>
      </c>
      <c r="OW194" s="6">
        <f>COUNTIFS(Table131[Country],Tabela1[[#This Row],[Country]],Table131[Classification],"&gt;0")</f>
        <v>0</v>
      </c>
      <c r="OX194" s="6">
        <f>COUNTIFS(Table131134[Country],Tabela1[[#This Row],[Country]],Table131134[Classification],"&gt;0")</f>
        <v>0</v>
      </c>
      <c r="OY194" s="6">
        <f>COUNTIFS(Table134[Country],Tabela1[[#This Row],[Country]],Table134[Men''s Classification],"&gt;0")</f>
        <v>0</v>
      </c>
      <c r="OZ194" s="6">
        <f>COUNTIFS(Table134[Country],Tabela1[[#This Row],[Country]],Table134[Women''s Classification],"&gt;0")</f>
        <v>0</v>
      </c>
      <c r="PA194" s="6">
        <f>COUNTIFS(Table135[Country],Tabela1[[#This Row],[Country]],Table135[Mixed Relay Classification],"&gt;0")</f>
        <v>0</v>
      </c>
      <c r="PB194" s="6">
        <f>COUNTIFS(Table136[Country],Tabela1[[#This Row],[Country]],Table136[Individual Classification],"&gt;0")</f>
        <v>0</v>
      </c>
      <c r="PC194" s="6">
        <f>COUNTIFS(Table136[Country],Tabela1[[#This Row],[Country]],Table136[Sprint Classification],"&gt;0")</f>
        <v>0</v>
      </c>
      <c r="PD194" s="6">
        <f>COUNTIFS(Table137[Country],Tabela1[[#This Row],[Country]],Table137[Men''s Team Sprint Large Hill Classification],"&gt;0")</f>
        <v>0</v>
      </c>
      <c r="PE194" s="6">
        <f>COUNTIFS(Table138[Country],Tabela1[[#This Row],[Country]],Table138[500m Classification],"&gt;0")</f>
        <v>0</v>
      </c>
      <c r="PF194" s="6">
        <f>COUNTIFS(Table138141[Country],Tabela1[[#This Row],[Country]],Table138141[500m Classification],"&gt;0")</f>
        <v>0</v>
      </c>
      <c r="PG194" s="6">
        <f>COUNTIFS(Table138[Country],Tabela1[[#This Row],[Country]],Table138[1000m Classification],"&gt;0")</f>
        <v>0</v>
      </c>
      <c r="PH194" s="6">
        <f>COUNTIFS(Table138141[Country],Tabela1[[#This Row],[Country]],Table138141[1000m Classification],"&gt;0")</f>
        <v>0</v>
      </c>
      <c r="PI194" s="6">
        <f>COUNTIFS(Table138[Country],Tabela1[[#This Row],[Country]],Table138[1500m Classification],"&gt;0")</f>
        <v>0</v>
      </c>
      <c r="PJ194" s="6">
        <f>COUNTIFS(Table138141[Country],Tabela1[[#This Row],[Country]],Table138141[1500m Classification],"&gt;0")</f>
        <v>0</v>
      </c>
      <c r="PK194" s="6">
        <f>COUNTIFS(Table141[Country],Tabela1[[#This Row],[Country]],Table141[Men''s 5000m Relay Classification],"&gt;0")</f>
        <v>0</v>
      </c>
      <c r="PL194" s="6">
        <f>COUNTIFS(Table141[Country],Tabela1[[#This Row],[Country]],Table141[Women''s 3000m Relay Classification],"&gt;0")</f>
        <v>0</v>
      </c>
      <c r="PM194" s="6">
        <f>COUNTIFS(Table141[Country],Tabela1[[#This Row],[Country]],Table141[Mixed 2000m Relay Classification],"&gt;0")</f>
        <v>0</v>
      </c>
      <c r="PN194" s="6">
        <f>COUNTIFS(Table142[Country],Tabela1[[#This Row],[Country]],Table142[Classification],"&gt;0")</f>
        <v>0</v>
      </c>
      <c r="PO194" s="6">
        <f>COUNTIFS(Table142145[Country],Tabela1[[#This Row],[Country]],Table142145[Classification],"&gt;0")</f>
        <v>0</v>
      </c>
      <c r="PP194" s="6">
        <f>COUNTIFS(Tabela15[Country],Tabela1[[#This Row],[Country]],Tabela15[Mixed Team Classification],"&gt;0")</f>
        <v>0</v>
      </c>
      <c r="PQ194" s="6">
        <f>COUNTIFS(Table145[Country],Tabela1[[#This Row],[Country]],Table145[Large Hill Classification],"&gt;0")</f>
        <v>0</v>
      </c>
      <c r="PR194" s="6">
        <f>COUNTIFS(Table145[Country],Tabela1[[#This Row],[Country]],Table145[Normal Hill Classification],"&gt;0")</f>
        <v>0</v>
      </c>
      <c r="PS194" s="6">
        <f>COUNTIFS(Table145148[Country],Tabela1[[#This Row],[Country]],Table145148[Large Hill Classification],"&gt;0")</f>
        <v>0</v>
      </c>
      <c r="PT194" s="6">
        <f>COUNTIFS(Table145148[Country],Tabela1[[#This Row],[Country]],Table145148[Normal Hill Classification],"&gt;0")</f>
        <v>0</v>
      </c>
      <c r="PU194" s="6">
        <f>COUNTIFS(Table148[Country],Tabela1[[#This Row],[Country]],Table148[Men''s Super Team Classification],"&gt;0")</f>
        <v>0</v>
      </c>
      <c r="PV194" s="6">
        <f>COUNTIFS(Tabela114[Country],Tabela1[[#This Row],[Country]],Tabela114[Mixed Normal Hill Classification],"&gt;0")</f>
        <v>0</v>
      </c>
      <c r="PW194" s="6">
        <f>COUNTIFS(Tabela50[Country],Tabela1[[#This Row],[Country]],Tabela50[Sprint Classification],"&gt;0")</f>
        <v>0</v>
      </c>
      <c r="PX194" s="6">
        <f>COUNTIFS(Tabela50101[Country],Tabela1[[#This Row],[Country]],Tabela50101[Sprint Classification],"&gt;0")</f>
        <v>0</v>
      </c>
      <c r="PY194" s="6">
        <f>COUNTIFS(Tabela103[Country],Tabela1[[#This Row],[Country]],Tabela103[Mixed Relay Classification],"&gt;0")</f>
        <v>0</v>
      </c>
      <c r="PZ194" s="6">
        <f>COUNTIFS(Table149[Country],Tabela1[[#This Row],[Country]],Table149[Big Air Classification],"&gt;0")</f>
        <v>0</v>
      </c>
      <c r="QA194" s="6">
        <f>COUNTIFS(Table149152[Country],Tabela1[[#This Row],[Country]],Table149152[Big Air Classification],"&gt;0")</f>
        <v>0</v>
      </c>
      <c r="QB194" s="6">
        <f>COUNTIFS(Table149[Country],Tabela1[[#This Row],[Country]],Table149[Halfpipe Classification],"&gt;0")</f>
        <v>0</v>
      </c>
      <c r="QC194" s="6">
        <f>COUNTIFS(Table149152[Country],Tabela1[[#This Row],[Country]],Table149152[Halfpipe Classification],"&gt;0")</f>
        <v>0</v>
      </c>
      <c r="QD194" s="6">
        <f>COUNTIFS(Table149[Country],Tabela1[[#This Row],[Country]],Table149[Parallel Giant Slalom Classification],"&gt;0")</f>
        <v>0</v>
      </c>
      <c r="QE194" s="6">
        <f>COUNTIFS(Table149152[Country],Tabela1[[#This Row],[Country]],Table149152[Parallel Giant Slalom Classification],"&gt;0")</f>
        <v>0</v>
      </c>
      <c r="QF194" s="6">
        <f>COUNTIFS(Table149[Country],Tabela1[[#This Row],[Country]],Table149[Slopestyle Classification],"&gt;0")</f>
        <v>0</v>
      </c>
      <c r="QG194" s="6">
        <f>COUNTIFS(Table149152[Country],Tabela1[[#This Row],[Country]],Table149152[Slopestyle Classification],"&gt;0")</f>
        <v>0</v>
      </c>
      <c r="QH194" s="6">
        <f>COUNTIFS(Table149[Country],Tabela1[[#This Row],[Country]],Table149[Snowboard Cross Classification],"&gt;0")</f>
        <v>0</v>
      </c>
      <c r="QI194" s="6">
        <f>COUNTIFS(Table149152[Country],Tabela1[[#This Row],[Country]],Table149152[Snowboard Cross Classification],"&gt;0")</f>
        <v>0</v>
      </c>
      <c r="QJ194" s="6">
        <f>COUNTIFS(Table153[Country],Tabela1[[#This Row],[Country]],Table153[Mixed Team Snowboard Cross Classification],"&gt;0")</f>
        <v>0</v>
      </c>
      <c r="QK194" s="6">
        <f>COUNTIFS(Table154[Country],Tabela1[[#This Row],[Country]],Table154[500m Classification],"&gt;0")</f>
        <v>0</v>
      </c>
      <c r="QL194" s="6">
        <f>COUNTIFS(Table154157[Country],Tabela1[[#This Row],[Country]],Table154157[500m Classification],"&gt;0")</f>
        <v>0</v>
      </c>
      <c r="QM194" s="6">
        <f>COUNTIFS(Table154[Country],Tabela1[[#This Row],[Country]],Table154[1000m Classification],"&gt;0")</f>
        <v>0</v>
      </c>
      <c r="QN194" s="6">
        <f>COUNTIFS(Table154157[Country],Tabela1[[#This Row],[Country]],Table154157[1000m Classification],"&gt;0")</f>
        <v>0</v>
      </c>
      <c r="QO194" s="6">
        <f>COUNTIFS(Table154[Country],Tabela1[[#This Row],[Country]],Table154[1500m Classification],"&gt;0")</f>
        <v>0</v>
      </c>
      <c r="QP194" s="6">
        <f>COUNTIFS(Table154157[Country],Tabela1[[#This Row],[Country]],Table154157[1500m Classification],"&gt;0")</f>
        <v>0</v>
      </c>
      <c r="QQ194" s="6">
        <f>COUNTIFS(Table154157[Country],Tabela1[[#This Row],[Country]],Table154157[3000m Classification],"&gt;0")</f>
        <v>0</v>
      </c>
      <c r="QR194" s="6">
        <f>COUNTIFS(Table154[Country],Tabela1[[#This Row],[Country]],Table154[5000m Classification],"&gt;0")</f>
        <v>0</v>
      </c>
      <c r="QS194" s="6">
        <f>COUNTIFS(Table154157[Country],Tabela1[[#This Row],[Country]],Table154157[5000m Classification],"&gt;0")</f>
        <v>0</v>
      </c>
      <c r="QT194" s="6">
        <f>COUNTIFS(Table154[Country],Tabela1[[#This Row],[Country]],Table154[10000m Classification],"&gt;0")</f>
        <v>0</v>
      </c>
      <c r="QU194" s="6">
        <f>COUNTIFS(Table154[Country],Tabela1[[#This Row],[Country]],Table154[Mass Start Classification],"&gt;0")</f>
        <v>0</v>
      </c>
      <c r="QV194" s="6">
        <f>COUNTIFS(Table154157[Country],Tabela1[[#This Row],[Country]],Table154157[Mass Start Classification],"&gt;0")</f>
        <v>0</v>
      </c>
      <c r="QW194" s="6">
        <f>COUNTIFS(Table157[Country],Tabela1[[#This Row],[Country]],Table157[Men''s Pursuit Classification],"&gt;0")</f>
        <v>0</v>
      </c>
      <c r="QX194" s="6">
        <f>COUNTIFS(Table157[Country],Tabela1[[#This Row],[Country]],Table157[Women''s Pursuit Classification],"&gt;0")</f>
        <v>0</v>
      </c>
      <c r="QY194" s="4" t="s">
        <v>397</v>
      </c>
    </row>
    <row r="195" spans="1:467" x14ac:dyDescent="0.3">
      <c r="A195" s="6">
        <v>194</v>
      </c>
      <c r="B195" s="6" t="s">
        <v>660</v>
      </c>
      <c r="C195" t="e" vm="194">
        <f>IF(ISBLANK(Tabela1[[#This Row],[Image Link]]), "", _xlfn.IMAGE(Tabela1[[#This Row],[Image Link]],1,1))</f>
        <v>#VALUE!</v>
      </c>
      <c r="D195" s="6">
        <f>SUM(Tabela1[[#This Row],[Archery - Men''s Individual Recurve]:[Speed Skating - Women''s Team Pursuit]])</f>
        <v>0</v>
      </c>
      <c r="E195" s="6">
        <f>COUNTIF(Tabela1[[#This Row],[Archery - Men''s Individual Recurve]:[Speed Skating - Women''s Team Pursuit]],"&gt;0")</f>
        <v>0</v>
      </c>
      <c r="F195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95" s="6">
        <f>SUM(Tabela1[[#This Row],[Archery - Men''s Individual Recurve]:[Wrestling - Women''s Freestyle 76kg]])</f>
        <v>0</v>
      </c>
      <c r="H195" s="6">
        <f>SUM(Tabela1[[#This Row],[Alpine Skiing - Men''s Downhill]:[Speed Skating - Women''s Team Pursuit]])</f>
        <v>0</v>
      </c>
      <c r="I195" s="6">
        <f>Tabela1[[#This Row],[Summer Gold Medals]]+Tabela1[[#This Row],[Winter Gold Medals]]</f>
        <v>0</v>
      </c>
      <c r="J195" s="6">
        <f>Tabela1[[#This Row],[Summer Silver Medals]]+Tabela1[[#This Row],[Winter Silver Medals]]</f>
        <v>0</v>
      </c>
      <c r="K195" s="6">
        <f>Tabela1[[#This Row],[Summer Bronze Medals]]+Tabela1[[#This Row],[Winter Bronze Medals]]</f>
        <v>0</v>
      </c>
      <c r="L195" s="6">
        <f>SUM(Tabela1[[#This Row],[Total Gold Medals]:[Total Bronze Medals]])</f>
        <v>0</v>
      </c>
      <c r="M195" s="6"/>
      <c r="N195" s="6"/>
      <c r="O195" s="6"/>
      <c r="P195" s="6">
        <f>SUM(Tabela1[[#This Row],[Summer Gold Medals]:[Summer Bronze Medals]])</f>
        <v>0</v>
      </c>
      <c r="Q195" s="6"/>
      <c r="R195" s="6"/>
      <c r="S195" s="6"/>
      <c r="T195" s="6">
        <f>Tabela1[[#This Row],[Winter Gold Medals]]+Tabela1[[#This Row],[Winter Silver Medals]]+Tabela1[[#This Row],[Winter Bronze Medals]]</f>
        <v>0</v>
      </c>
      <c r="U195" s="7" t="e">
        <f>Tabela1[[#This Row],[Total Medals]]/Tabela1[[#This Row],[Total Quotas]]</f>
        <v>#DIV/0!</v>
      </c>
      <c r="V195" s="6">
        <f>COUNTIFS(Table3[Country],Tabela1[[#This Row],[Country]],Table3[Recurve Classification],"&gt;0")</f>
        <v>0</v>
      </c>
      <c r="W195" s="6">
        <f>COUNTIFS(Table33[Country],Tabela1[[#This Row],[Country]],Table33[Recurve Classification],"&gt;0")</f>
        <v>0</v>
      </c>
      <c r="X195" s="6">
        <f>COUNTIFS(Table35[Country],Tabela1[[#This Row],[Country]],Table35[Men''s Team Recurve Classification],"&gt;0")</f>
        <v>0</v>
      </c>
      <c r="Y195" s="6">
        <f>COUNTIFS(Table35[Country],Tabela1[[#This Row],[Country]],Table35[Women''s Team Recurve Classification],"&gt;0")</f>
        <v>0</v>
      </c>
      <c r="Z195" s="6">
        <f>COUNTIFS(Tabela88[Country],Tabela1[[#This Row],[Country]],Tabela88[Mixed Team Recurve Classification],"&gt;0")</f>
        <v>0</v>
      </c>
      <c r="AA195" s="6">
        <f>COUNTIFS(Table36[Country],Tabela1[[#This Row],[Country]],Table36[Classification],"&gt;0")</f>
        <v>0</v>
      </c>
      <c r="AB195" s="6">
        <f>COUNTIFS(Table37[Country],Tabela1[[#This Row],[Country]],Table37[Classification],"&gt;0")</f>
        <v>0</v>
      </c>
      <c r="AC195" s="6">
        <f>COUNTIFS(Table4[Country],Tabela1[[#This Row],[Country]],Table4[100m Classification],"&gt;0")</f>
        <v>0</v>
      </c>
      <c r="AD195" s="6">
        <f>COUNTIFS(Table5[Country],Tabela1[[#This Row],[Country]],Table5[100m Classification],"&gt;0")</f>
        <v>0</v>
      </c>
      <c r="AE195" s="6">
        <f>COUNTIFS(Table4[Country],Tabela1[[#This Row],[Country]],Table4[200m Classification],"&gt;0")</f>
        <v>0</v>
      </c>
      <c r="AF195" s="6">
        <f>COUNTIFS(Table5[Country],Tabela1[[#This Row],[Country]],Table5[200m Classification],"&gt;0")</f>
        <v>0</v>
      </c>
      <c r="AG195" s="6">
        <f>COUNTIFS(Table4[Country],Tabela1[[#This Row],[Country]],Table4[400m Classification],"&gt;0")</f>
        <v>0</v>
      </c>
      <c r="AH195" s="6">
        <f>COUNTIFS(Table5[Country],Tabela1[[#This Row],[Country]],Table5[400m Classification],"&gt;0")</f>
        <v>0</v>
      </c>
      <c r="AI195" s="6">
        <f>COUNTIFS(Table4[Country],Tabela1[[#This Row],[Country]],Table4[800m Classification],"&gt;0")</f>
        <v>0</v>
      </c>
      <c r="AJ195" s="6">
        <f>COUNTIFS(Table5[Country],Tabela1[[#This Row],[Country]],Table5[800m Classification],"&gt;0")</f>
        <v>0</v>
      </c>
      <c r="AK195" s="6">
        <f>COUNTIFS(Table4[Country],Tabela1[[#This Row],[Country]],Table4[1500m Classification],"&gt;0")</f>
        <v>0</v>
      </c>
      <c r="AL195" s="6">
        <f>COUNTIFS(Table5[Country],Tabela1[[#This Row],[Country]],Table5[1500m Classification],"&gt;0")</f>
        <v>0</v>
      </c>
      <c r="AM195" s="6">
        <f>COUNTIFS(Table4[Country],Tabela1[[#This Row],[Country]],Table4[5000m Classification],"&gt;0")</f>
        <v>0</v>
      </c>
      <c r="AN195" s="6">
        <f>COUNTIFS(Table5[Country],Tabela1[[#This Row],[Country]],Table5[5000m Classification],"&gt;0")</f>
        <v>0</v>
      </c>
      <c r="AO195" s="6">
        <f>COUNTIFS(Table4[Country],Tabela1[[#This Row],[Country]],Table4[10000m Classification],"&gt;0")</f>
        <v>0</v>
      </c>
      <c r="AP195" s="6">
        <f>COUNTIFS(Table5[Country],Tabela1[[#This Row],[Country]],Table5[10000m Classification],"&gt;0")</f>
        <v>0</v>
      </c>
      <c r="AQ195" s="6">
        <f>COUNTIFS(Table4[Country],Tabela1[[#This Row],[Country]],Table4[110m Hurdles Classification],"&gt;0")</f>
        <v>0</v>
      </c>
      <c r="AR195" s="6">
        <f>COUNTIFS(Table5[Country],Tabela1[[#This Row],[Country]],Table5[100m Hurdles Classification],"&gt;0")</f>
        <v>0</v>
      </c>
      <c r="AS195" s="6">
        <f>COUNTIFS(Table4[Country],Tabela1[[#This Row],[Country]],Table4[400m Hurdles Classification],"&gt;0")</f>
        <v>0</v>
      </c>
      <c r="AT195" s="6">
        <f>COUNTIFS(Table5[Country],Tabela1[[#This Row],[Country]],Table5[400m Hurdles Classification],"&gt;0")</f>
        <v>0</v>
      </c>
      <c r="AU195" s="6">
        <f>COUNTIFS(Table4[Country],Tabela1[[#This Row],[Country]],Table4[3000m Steeplechase Classification],"&gt;0")</f>
        <v>0</v>
      </c>
      <c r="AV195" s="6">
        <f>COUNTIFS(Table5[Country],Tabela1[[#This Row],[Country]],Table5[3000m Steeplechase Classification],"&gt;0")</f>
        <v>0</v>
      </c>
      <c r="AW195" s="6">
        <f>COUNTIFS(Table27[Country],Tabela1[[#This Row],[Country]],Table27[Men''s 4x100m Relay Classification],"&gt;0")</f>
        <v>0</v>
      </c>
      <c r="AX195" s="6">
        <f>COUNTIFS(Table27[Country],Tabela1[[#This Row],[Country]],Table27[Women''s 4x100m Relay Classification],"&gt;0")</f>
        <v>0</v>
      </c>
      <c r="AY195" s="6">
        <f>COUNTIFS(Table27[Country],Tabela1[[#This Row],[Country]],Table27[Men''s 4x400m Relay Classification],"&gt;0")</f>
        <v>0</v>
      </c>
      <c r="AZ195" s="6">
        <f>COUNTIFS(Table27[Country],Tabela1[[#This Row],[Country]],Table27[Women''s 4x400m Relay Classification],"&gt;0")</f>
        <v>0</v>
      </c>
      <c r="BA195" s="6">
        <f>COUNTIFS(Table27[Country],Tabela1[[#This Row],[Country]],Table27[Mixed 4x400m Relay Classification],"&gt;0")</f>
        <v>0</v>
      </c>
      <c r="BB195" s="6">
        <f>COUNTIFS(Table4[Country],Tabela1[[#This Row],[Country]],Table4[Marathon Classification],"&gt;0")</f>
        <v>0</v>
      </c>
      <c r="BC195" s="6">
        <f>COUNTIFS(Table5[Country],Tabela1[[#This Row],[Country]],Table5[Marathon Classification],"&gt;0")</f>
        <v>0</v>
      </c>
      <c r="BD195" s="6">
        <f>COUNTIFS(Table4[Country],Tabela1[[#This Row],[Country]],Table4[20km Race Walk Classification],"&gt;0")</f>
        <v>0</v>
      </c>
      <c r="BE195" s="6">
        <f>COUNTIFS(Table5[Country],Tabela1[[#This Row],[Country]],Table5[20km Race Walk Classification],"&gt;0")</f>
        <v>0</v>
      </c>
      <c r="BF195" s="6">
        <f>COUNTIFS(Tabela96[Country],Tabela1[[#This Row],[Country]],Tabela96[Mixed Marathon Race Walk Relay Classification],"&gt;0")</f>
        <v>0</v>
      </c>
      <c r="BG195" s="6">
        <f>COUNTIFS(Table4[Country],Tabela1[[#This Row],[Country]],Table4[Discus Throw Classification],"&gt;0")</f>
        <v>0</v>
      </c>
      <c r="BH195" s="6">
        <f>COUNTIFS(Table5[Country],Tabela1[[#This Row],[Country]],Table5[Discus Throw Classification],"&gt;0")</f>
        <v>0</v>
      </c>
      <c r="BI195" s="6">
        <f>COUNTIFS(Table4[Country],Tabela1[[#This Row],[Country]],Table4[Hammer Throw Classification],"&gt;0")</f>
        <v>0</v>
      </c>
      <c r="BJ195" s="6">
        <f>COUNTIFS(Table5[Country],Tabela1[[#This Row],[Country]],Table5[Hammer Throw Classification],"&gt;0")</f>
        <v>0</v>
      </c>
      <c r="BK195" s="6">
        <f>COUNTIFS(Table4[Country],Tabela1[[#This Row],[Country]],Table4[High Jump Classification],"&gt;0")</f>
        <v>0</v>
      </c>
      <c r="BL195" s="6">
        <f>COUNTIFS(Table5[Country],Tabela1[[#This Row],[Country]],Table5[High Jump Classification],"&gt;0")</f>
        <v>0</v>
      </c>
      <c r="BM195" s="6">
        <f>COUNTIFS(Table4[Country],Tabela1[[#This Row],[Country]],Table4[Javelin Throw Classification],"&gt;0")</f>
        <v>0</v>
      </c>
      <c r="BN195" s="6">
        <f>COUNTIFS(Table5[Country],Tabela1[[#This Row],[Country]],Table5[Javelin Throw Classification],"&gt;0")</f>
        <v>0</v>
      </c>
      <c r="BO195" s="6">
        <f>COUNTIFS(Table4[Country],Tabela1[[#This Row],[Country]],Table4[Long Jump Classification],"&gt;0")</f>
        <v>0</v>
      </c>
      <c r="BP195" s="6">
        <f>COUNTIFS(Table5[Country],Tabela1[[#This Row],[Country]],Table5[Long Jump Classification],"&gt;0")</f>
        <v>0</v>
      </c>
      <c r="BQ195" s="6">
        <f>COUNTIFS(Table4[Country],Tabela1[[#This Row],[Country]],Table4[Pole Vault Classification],"&gt;0")</f>
        <v>0</v>
      </c>
      <c r="BR195" s="6">
        <f>COUNTIFS(Table5[Country],Tabela1[[#This Row],[Country]],Table5[Pole Vault Classification],"&gt;0")</f>
        <v>0</v>
      </c>
      <c r="BS195" s="6">
        <f>COUNTIFS(Table4[Country],Tabela1[[#This Row],[Country]],Table4[Shot Put Classification],"&gt;0")</f>
        <v>0</v>
      </c>
      <c r="BT195" s="6">
        <f>COUNTIFS(Table5[Country],Tabela1[[#This Row],[Country]],Table5[Shot Put Classification],"&gt;0")</f>
        <v>0</v>
      </c>
      <c r="BU195" s="6">
        <f>COUNTIFS(Table4[Country],Tabela1[[#This Row],[Country]],Table4[Triple Jump Classification],"&gt;0")</f>
        <v>0</v>
      </c>
      <c r="BV195" s="6">
        <f>COUNTIFS(Table5[Country],Tabela1[[#This Row],[Country]],Table5[Triple Jump Classification],"&gt;0")</f>
        <v>0</v>
      </c>
      <c r="BW195" s="6">
        <f>COUNTIFS(Table4[Country],Tabela1[[#This Row],[Country]],Table4[Decathlon Classification],"&gt;0")</f>
        <v>0</v>
      </c>
      <c r="BX195" s="6">
        <f>COUNTIFS(Table5[Country],Tabela1[[#This Row],[Country]],Table5[Heptathlon Classification],"&gt;0")</f>
        <v>0</v>
      </c>
      <c r="BY195" s="6">
        <f>COUNTIFS(Table61[Country],Tabela1[[#This Row],[Country]],Table61[Classification],"&gt;0")</f>
        <v>0</v>
      </c>
      <c r="BZ195" s="6">
        <f>COUNTIFS(Table38[Country],Tabela1[[#This Row],[Country]],Table38[Classification],"&gt;0")</f>
        <v>0</v>
      </c>
      <c r="CA195" s="6">
        <f>COUNTIFS(Table39[Country],Tabela1[[#This Row],[Country]],Table39[Men''s Classification],"&gt;0")</f>
        <v>0</v>
      </c>
      <c r="CB195" s="6">
        <f>COUNTIFS(Table39[Country],Tabela1[[#This Row],[Country]],Table39[Women''s Classification],"&gt;0")</f>
        <v>0</v>
      </c>
      <c r="CC195" s="6">
        <f>COUNTIFS(Table39[Country],Tabela1[[#This Row],[Country]],Table39[Mixed Classification],"&gt;0")</f>
        <v>0</v>
      </c>
      <c r="CD195" s="6">
        <f>COUNTIFS(Table89[Country],Tabela1[[#This Row],[Country]],Table89[Men''s Classification],"&gt;0")</f>
        <v>0</v>
      </c>
      <c r="CE195" s="6">
        <f>COUNTIFS(Table89[Country],Tabela1[[#This Row],[Country]],Table89[Women''s Classification],"&gt;0")</f>
        <v>0</v>
      </c>
      <c r="CF195" s="6">
        <f>COUNTIFS(Table90[Country],Tabela1[[#This Row],[Country]],Table90[Men''s Classification],"&gt;0")</f>
        <v>0</v>
      </c>
      <c r="CG195" s="6">
        <f>COUNTIFS(Table90[Country],Tabela1[[#This Row],[Country]],Table90[Women''s Classification],"&gt;0")</f>
        <v>0</v>
      </c>
      <c r="CH195" s="6">
        <f>COUNTIFS(Table60[Country],Tabela1[[#This Row],[Country]],Table60[Men''s Classification],"&gt;0")</f>
        <v>0</v>
      </c>
      <c r="CI195" s="6">
        <f>COUNTIFS(Table60[Country],Tabela1[[#This Row],[Country]],Table60[Women''s Classification],"&gt;0")</f>
        <v>0</v>
      </c>
      <c r="CJ195" s="6">
        <f>COUNTIFS(Table6[Country],Tabela1[[#This Row],[Country]],Table6[51kg Classification],"&gt;0")</f>
        <v>0</v>
      </c>
      <c r="CK195" s="6">
        <f>COUNTIFS(Table6[Country],Tabela1[[#This Row],[Country]],Table6[57kg Classification],"&gt;0")</f>
        <v>0</v>
      </c>
      <c r="CL195" s="6">
        <f>COUNTIFS(Table6[Country],Tabela1[[#This Row],[Country]],Table6[63.5kg Classification],"&gt;0")</f>
        <v>0</v>
      </c>
      <c r="CM195" s="6">
        <f>COUNTIFS(Table6[Country],Tabela1[[#This Row],[Country]],Table6[71kg Classification],"&gt;0")</f>
        <v>0</v>
      </c>
      <c r="CN195" s="6">
        <f>COUNTIFS(Table6[Country],Tabela1[[#This Row],[Country]],Table6[80kg Classification],"&gt;0")</f>
        <v>0</v>
      </c>
      <c r="CO195" s="6">
        <f>COUNTIFS(Table6[Country],Tabela1[[#This Row],[Country]],Table6[92kg Classification],"&gt;0")</f>
        <v>0</v>
      </c>
      <c r="CP195" s="6">
        <f>COUNTIFS(Table6[Country],Tabela1[[#This Row],[Country]],Table6[Plus 92kg Classification],"&gt;0")</f>
        <v>0</v>
      </c>
      <c r="CQ195" s="6">
        <f>COUNTIFS(Table7[Country],Tabela1[[#This Row],[Country]],Table7[50kg Classification],"&gt;0")</f>
        <v>0</v>
      </c>
      <c r="CR195" s="6">
        <f>COUNTIFS(Table7[Country],Tabela1[[#This Row],[Country]],Table7[54kg Classification],"&gt;0")</f>
        <v>0</v>
      </c>
      <c r="CS195" s="6">
        <f>COUNTIFS(Table7[Country],Tabela1[[#This Row],[Country]],Table7[57kg Classification],"&gt;0")</f>
        <v>0</v>
      </c>
      <c r="CT195" s="6">
        <f>COUNTIFS(Table7[Country],Tabela1[[#This Row],[Country]],Table7[60kg Classification],"&gt;0")</f>
        <v>0</v>
      </c>
      <c r="CU195" s="6">
        <f>COUNTIFS(Table7[Country],Tabela1[[#This Row],[Country]],Table7[66kg Classification],"&gt;0")</f>
        <v>0</v>
      </c>
      <c r="CV195" s="6">
        <f>COUNTIFS(Table7[Country],Tabela1[[#This Row],[Country]],Table7[75kg Classification],"&gt;0")</f>
        <v>0</v>
      </c>
      <c r="CW195" s="6">
        <f>COUNTIFS(Tabela94[Country],Tabela1[[#This Row],[Country]],Tabela94[Classification],"&gt;0")</f>
        <v>0</v>
      </c>
      <c r="CX195" s="6">
        <f>COUNTIFS(Tabela9499[Country],Tabela1[[#This Row],[Country]],Tabela9499[Classification],"&gt;0")</f>
        <v>0</v>
      </c>
      <c r="CY195" s="6">
        <f>COUNTIFS(Tabela107[Country],Tabela1[[#This Row],[Country]],Tabela107[C1 Slalom Classification],"&gt;0")</f>
        <v>0</v>
      </c>
      <c r="CZ195" s="6">
        <f>COUNTIFS(Tabela107122[Country],Tabela1[[#This Row],[Country]],Tabela107122[C1 Slalom Classification],"&gt;0")</f>
        <v>0</v>
      </c>
      <c r="DA195" s="6">
        <f>COUNTIFS(Tabela107[Country],Tabela1[[#This Row],[Country]],Tabela107[K1 Slalom Classification],"&gt;0")</f>
        <v>0</v>
      </c>
      <c r="DB195" s="6">
        <f>COUNTIFS(Tabela107122[Country],Tabela1[[#This Row],[Country]],Tabela107122[K1 Slalom Classification],"&gt;0")</f>
        <v>0</v>
      </c>
      <c r="DC195" s="6">
        <f>COUNTIFS(Tabela107[Country],Tabela1[[#This Row],[Country]],Tabela107[Kayak Cross Slalom Classification],"&gt;0")</f>
        <v>0</v>
      </c>
      <c r="DD195" s="6">
        <f>COUNTIFS(Tabela107122[Country],Tabela1[[#This Row],[Country]],Tabela107122[Kayak Cross Slalom Classification],"&gt;0")</f>
        <v>0</v>
      </c>
      <c r="DE195" s="6">
        <f>COUNTIFS(Table8[Country],Tabela1[[#This Row],[Country]],Table8[C1 200m Classification],"&gt;0")</f>
        <v>0</v>
      </c>
      <c r="DF195" s="6">
        <f>COUNTIFS(Table40[Country],Tabela1[[#This Row],[Country]],Table40[C1 1000m Classification],"&gt;0")</f>
        <v>0</v>
      </c>
      <c r="DG195" s="6">
        <f>COUNTIFS(Table68[Country],Tabela1[[#This Row],[Country]],Table68[Men''s C2 500m Classification],"&gt;0")</f>
        <v>0</v>
      </c>
      <c r="DH195" s="6">
        <f>COUNTIFS(Table68[Country],Tabela1[[#This Row],[Country]],Table68[Women''s C2 500m Classification],"&gt;0")</f>
        <v>0</v>
      </c>
      <c r="DI195" s="6">
        <f>COUNTIFS(Table8[Country],Tabela1[[#This Row],[Country]],Table8[K1 500m Classification],"&gt;0")</f>
        <v>0</v>
      </c>
      <c r="DJ195" s="6">
        <f>COUNTIFS(Table40[Country],Tabela1[[#This Row],[Country]],Table40[K1 1000m Classification],"&gt;0")</f>
        <v>0</v>
      </c>
      <c r="DK195" s="6">
        <f>COUNTIFS(Table68[Country],Tabela1[[#This Row],[Country]],Table68[Men''s K2 500m Classification],"&gt;0")</f>
        <v>0</v>
      </c>
      <c r="DL195" s="6">
        <f>COUNTIFS(Table68[Country],Tabela1[[#This Row],[Country]],Table68[Women''s K2 500m Classification],"&gt;0")</f>
        <v>0</v>
      </c>
      <c r="DM195" s="6">
        <f>COUNTIFS(Table83[Country],Tabela1[[#This Row],[Country]],Table83[Men''s K4 500m Classification],"&gt;0")</f>
        <v>0</v>
      </c>
      <c r="DN195" s="6">
        <f>COUNTIFS(Table83[Country],Tabela1[[#This Row],[Country]],Table83[Women''s K4 500m Classification],"&gt;0")</f>
        <v>0</v>
      </c>
      <c r="DO195" s="6">
        <f>COUNTIFS(Tabela126[Country],Tabela1[[#This Row],[Country]],Tabela126[Classification],"&gt;0")</f>
        <v>0</v>
      </c>
      <c r="DP195" s="6">
        <f>COUNTIFS(Tabela126130[Country],Tabela1[[#This Row],[Country]],Tabela126130[Classification],"&gt;0")</f>
        <v>0</v>
      </c>
      <c r="DQ195" s="6">
        <f>COUNTIFS(Table70[Country],Tabela1[[#This Row],[Country]],Table70[Classification],"&gt;0")</f>
        <v>0</v>
      </c>
      <c r="DR195" s="6">
        <f>COUNTIFS(Table80[Country],Tabela1[[#This Row],[Country]],Table80[Classification],"&gt;0")</f>
        <v>0</v>
      </c>
      <c r="DS195" s="6">
        <f>COUNTIFS(Table66[Country],Tabela1[[#This Row],[Country]],Table66[Classification],"&gt;0")</f>
        <v>0</v>
      </c>
      <c r="DT195" s="6">
        <f>COUNTIFS(Table67[Country],Tabela1[[#This Row],[Country]],Table67[Classification],"&gt;0")</f>
        <v>0</v>
      </c>
      <c r="DU195" s="6">
        <f>COUNTIFS(Table69[Country],Tabela1[[#This Row],[Country]],Table69[Keirin Classification],"&gt;0")</f>
        <v>0</v>
      </c>
      <c r="DV195" s="6">
        <f>COUNTIFS(Table41[Country],Tabela1[[#This Row],[Country]],Table41[Keirin Classification],"&gt;0")</f>
        <v>0</v>
      </c>
      <c r="DW195" s="6">
        <f>COUNTIFS(Table84[Country],Tabela1[[#This Row],[Country]],Table84[Men''s Madison Classification],"&gt;0")</f>
        <v>0</v>
      </c>
      <c r="DX195" s="6">
        <f>COUNTIFS(Table84[Country],Tabela1[[#This Row],[Country]],Table84[Women''s Madison Classification],"&gt;0")</f>
        <v>0</v>
      </c>
      <c r="DY195" s="6">
        <f>COUNTIFS(Table69[Country],Tabela1[[#This Row],[Country]],Table69[Omnium Classification],"&gt;0")</f>
        <v>0</v>
      </c>
      <c r="DZ195" s="6">
        <f>COUNTIFS(Table41[Country],Tabela1[[#This Row],[Country]],Table41[Omnium Classification],"&gt;0")</f>
        <v>0</v>
      </c>
      <c r="EA195" s="6">
        <f>COUNTIFS(Table9[Country],Tabela1[[#This Row],[Country]],Table9[Road Race Classification],"&gt;0")</f>
        <v>0</v>
      </c>
      <c r="EB195" s="6">
        <f>COUNTIFS(Table14[Country],Tabela1[[#This Row],[Country]],Table14[Road Race Classification],"&gt;0")</f>
        <v>0</v>
      </c>
      <c r="EC195" s="6">
        <f>COUNTIFS(Table69[Country],Tabela1[[#This Row],[Country]],Table69[Sprint Classification],"&gt;0")</f>
        <v>0</v>
      </c>
      <c r="ED195" s="6">
        <f>COUNTIFS(Table41[Country],Tabela1[[#This Row],[Country]],Table41[Sprint Classification],"&gt;0")</f>
        <v>0</v>
      </c>
      <c r="EE195" s="6">
        <f>COUNTIFS(Table85[Country],Tabela1[[#This Row],[Country]],Table85[Men''s Sprint Classification],"&gt;0")</f>
        <v>0</v>
      </c>
      <c r="EF195" s="6">
        <f>COUNTIFS(Table85[Country],Tabela1[[#This Row],[Country]],Table85[Women''s Sprint Classification],"&gt;0")</f>
        <v>0</v>
      </c>
      <c r="EG195" s="6">
        <f>COUNTIFS(Table85[Country],Tabela1[[#This Row],[Country]],Table85[Men''s Pursuit Classification],"&gt;0")</f>
        <v>0</v>
      </c>
      <c r="EH195" s="6">
        <f>COUNTIFS(Table85[Country],Tabela1[[#This Row],[Country]],Table85[Women''s Pursuit Classification],"&gt;0")</f>
        <v>0</v>
      </c>
      <c r="EI195" s="6">
        <f>COUNTIFS(Table9[Country],Tabela1[[#This Row],[Country]],Table9[Time-Trial Classification],"&gt;0")</f>
        <v>0</v>
      </c>
      <c r="EJ195" s="6">
        <f>COUNTIFS(Table14[Country],Tabela1[[#This Row],[Country]],Table14[Time-Trial Classification],"&gt;0")</f>
        <v>0</v>
      </c>
      <c r="EK195" s="6">
        <f>COUNTIFS(Table42[Country],Tabela1[[#This Row],[Country]],Table42[Springboard Classification],"&gt;0")</f>
        <v>0</v>
      </c>
      <c r="EL195" s="6">
        <f>COUNTIFS(Table43[Country],Tabela1[[#This Row],[Country]],Table43[Springboard Classification],"&gt;0")</f>
        <v>0</v>
      </c>
      <c r="EM195" s="6">
        <f>COUNTIFS(Table42[Country],Tabela1[[#This Row],[Country]],Table42[Platform Classification],"&gt;0")</f>
        <v>0</v>
      </c>
      <c r="EN195" s="6">
        <f>COUNTIFS(Table43[Country],Tabela1[[#This Row],[Country]],Table43[Platform Classification],"&gt;0")</f>
        <v>0</v>
      </c>
      <c r="EO195" s="6">
        <f>COUNTIFS(Table86[Country],Tabela1[[#This Row],[Country]],Table86[Men''s Synchronized Springboard Classification],"&gt;0")</f>
        <v>0</v>
      </c>
      <c r="EP195" s="6">
        <f>COUNTIFS(Table86[Country],Tabela1[[#This Row],[Country]],Table86[Women''s Synchronized Springboard Classification],"&gt;0")</f>
        <v>0</v>
      </c>
      <c r="EQ195" s="6">
        <f>COUNTIFS(Table86[Country],Tabela1[[#This Row],[Country]],Table86[Men''s Synchronized Platform Classification],"&gt;0")</f>
        <v>0</v>
      </c>
      <c r="ER195" s="6">
        <f>COUNTIFS(Table86[Country],Tabela1[[#This Row],[Country]],Table86[Women''s Synchronized Platform Classification],"&gt;0")</f>
        <v>0</v>
      </c>
      <c r="ES195" s="6">
        <f>COUNTIFS(Table44[Country],Tabela1[[#This Row],[Country]],Table44[Dressage Classification],"&gt;0")</f>
        <v>0</v>
      </c>
      <c r="ET195" s="6">
        <f>COUNTIFS(Table45[Country],Tabela1[[#This Row],[Country]],Table45[Dressage Classification],"&gt;0")</f>
        <v>0</v>
      </c>
      <c r="EU195" s="6">
        <f>COUNTIFS(Table44[Country],Tabela1[[#This Row],[Country]],Table44[Eventing Classification],"&gt;0")</f>
        <v>0</v>
      </c>
      <c r="EV195" s="6">
        <f>COUNTIFS(Table45[Country],Tabela1[[#This Row],[Country]],Table45[Eventing Classification],"&gt;0")</f>
        <v>0</v>
      </c>
      <c r="EW195" s="6">
        <f>COUNTIFS(Table44[Country],Tabela1[[#This Row],[Country]],Table44[Jumping Classification],"&gt;0")</f>
        <v>0</v>
      </c>
      <c r="EX195" s="6">
        <f>COUNTIFS(Table45[Country],Tabela1[[#This Row],[Country]],Table45[Jumping Classification],"&gt;0")</f>
        <v>0</v>
      </c>
      <c r="EY195" s="6">
        <f>COUNTIFS(Table10[Country],Tabela1[[#This Row],[Country]],Table10[Épée Classification],"&gt;0")</f>
        <v>0</v>
      </c>
      <c r="EZ195" s="6">
        <f>COUNTIFS(Table11[Country],Tabela1[[#This Row],[Country]],Table11[Épée Classification],"&gt;0")</f>
        <v>0</v>
      </c>
      <c r="FA195" s="6">
        <f>COUNTIFS(Table46[Country],Tabela1[[#This Row],[Country]],Table46[Men''s Épée Classification],"&gt;0")</f>
        <v>0</v>
      </c>
      <c r="FB195" s="6">
        <f>COUNTIFS(Table46[Country],Tabela1[[#This Row],[Country]],Table46[Women''s Épée Classification],"&gt;0")</f>
        <v>0</v>
      </c>
      <c r="FC195" s="6">
        <f>COUNTIFS(Table10[Country],Tabela1[[#This Row],[Country]],Table10[Foil Classification],"&gt;0")</f>
        <v>0</v>
      </c>
      <c r="FD195" s="6">
        <f>COUNTIFS(Table11[Country],Tabela1[[#This Row],[Country]],Table11[Foil Classification],"&gt;0")</f>
        <v>0</v>
      </c>
      <c r="FE195" s="6">
        <f>COUNTIFS(Table46[Country],Tabela1[[#This Row],[Country]],Table46[Men''s Foil Classification],"&gt;0")</f>
        <v>0</v>
      </c>
      <c r="FF195" s="6">
        <f>COUNTIFS(Table46[Country],Tabela1[[#This Row],[Country]],Table46[Women''s Foil Classification],"&gt;0")</f>
        <v>0</v>
      </c>
      <c r="FG195" s="6">
        <f>COUNTIFS(Table10[Country],Tabela1[[#This Row],[Country]],Table10[Sabre Classification],"&gt;0")</f>
        <v>0</v>
      </c>
      <c r="FH195" s="6">
        <f>COUNTIFS(Table11[Country],Tabela1[[#This Row],[Country]],Table11[Sabre Classification],"&gt;0")</f>
        <v>0</v>
      </c>
      <c r="FI195" s="6">
        <f>COUNTIFS(Table46[Country],Tabela1[[#This Row],[Country]],Table46[Men''s Sabre Classification],"&gt;0")</f>
        <v>0</v>
      </c>
      <c r="FJ195" s="6">
        <f>COUNTIFS(Table46[Country],Tabela1[[#This Row],[Country]],Table46[Women''s Sabre Classification],"&gt;0")</f>
        <v>0</v>
      </c>
      <c r="FK195" s="6">
        <f>COUNTIFS(Table91[Country],Tabela1[[#This Row],[Country]],Table91[Men''s Classification],"&gt;0")</f>
        <v>0</v>
      </c>
      <c r="FL195" s="6">
        <f>COUNTIFS(Table91[Country],Tabela1[[#This Row],[Country]],Table91[Women''s Classification],"&gt;0")</f>
        <v>0</v>
      </c>
      <c r="FM195" s="6">
        <f>COUNTIFS(Table9194[Country],Tabela1[[#This Row],[Country]],Table9194[Men''s Classification],"&gt;0")</f>
        <v>0</v>
      </c>
      <c r="FN195" s="6">
        <f>COUNTIFS(Table9194[Country],Tabela1[[#This Row],[Country]],Table9194[Women''s Classification],"&gt;0")</f>
        <v>0</v>
      </c>
      <c r="FO195" s="6">
        <f>COUNTIFS(Table71[Country],Tabela1[[#This Row],[Country]],Table71[Classification],"&gt;0")</f>
        <v>0</v>
      </c>
      <c r="FP195" s="6">
        <f>COUNTIFS(Table62[Country],Tabela1[[#This Row],[Country]],Table62[Classification],"&gt;0")</f>
        <v>0</v>
      </c>
      <c r="FQ195" s="6">
        <f>COUNTIFS(Table47[Country],Tabela1[[#This Row],[Country]],Table47[All-Around Classification],"&gt;0")</f>
        <v>0</v>
      </c>
      <c r="FR195" s="6">
        <f>COUNTIFS(Table48[Country],Tabela1[[#This Row],[Country]],Table48[All-Around Classification],"&gt;0")</f>
        <v>0</v>
      </c>
      <c r="FS195" s="6">
        <f>COUNTIFS(Table81[Country],Tabela1[[#This Row],[Country]],Table81[Men''s All-Around Classification],"&gt;0")</f>
        <v>0</v>
      </c>
      <c r="FT195" s="6">
        <f>COUNTIFS(Table81[Country],Tabela1[[#This Row],[Country]],Table81[Women''s All-Around Classification],"&gt;0")</f>
        <v>0</v>
      </c>
      <c r="FU195" s="6">
        <f>COUNTIFS(Table48[Country],Tabela1[[#This Row],[Country]],Table48[Balance Beam Classification],"&gt;0")</f>
        <v>0</v>
      </c>
      <c r="FV195" s="6">
        <f>COUNTIFS(Table47[Country],Tabela1[[#This Row],[Country]],Table47[Floor Exercise Classification],"&gt;0")</f>
        <v>0</v>
      </c>
      <c r="FW195" s="6">
        <f>COUNTIFS(Table48[Country],Tabela1[[#This Row],[Country]],Table48[Floor Exercise Classification],"&gt;0")</f>
        <v>0</v>
      </c>
      <c r="FX195" s="6">
        <f>COUNTIFS(Table47[Country],Tabela1[[#This Row],[Country]],Table47[Horizontal Bar Classification],"&gt;0")</f>
        <v>0</v>
      </c>
      <c r="FY195" s="6">
        <f>COUNTIFS(Table47[Country],Tabela1[[#This Row],[Country]],Table47[Parallel Bars Classification],"&gt;0")</f>
        <v>0</v>
      </c>
      <c r="FZ195" s="6">
        <f>COUNTIFS(Table47[Country],Tabela1[[#This Row],[Country]],Table47[Pommel Horse Classification],"&gt;0")</f>
        <v>0</v>
      </c>
      <c r="GA195" s="6">
        <f>COUNTIFS(Table47[Country],Tabela1[[#This Row],[Country]],Table47[Rings Classification],"&gt;0")</f>
        <v>0</v>
      </c>
      <c r="GB195" s="6">
        <f>COUNTIFS(Tabela132[Country],Tabela1[[#This Row],[Country]],Tabela132[Classification],"&gt;0")</f>
        <v>0</v>
      </c>
      <c r="GC195" s="6">
        <f>COUNTIFS(Tabela139[Country],Tabela1[[#This Row],[Country]],Tabela139[Classification],"&gt;0")</f>
        <v>0</v>
      </c>
      <c r="GD195" s="6">
        <f>COUNTIFS(Table48[Country],Tabela1[[#This Row],[Country]],Table48[Uneven Bars Classification],"&gt;0")</f>
        <v>0</v>
      </c>
      <c r="GE195" s="6">
        <f>COUNTIFS(Table47[Country],Tabela1[[#This Row],[Country]],Table47[Vault Classification],"&gt;0")</f>
        <v>0</v>
      </c>
      <c r="GF195" s="6">
        <f>COUNTIFS(Table48[Country],Tabela1[[#This Row],[Country]],Table48[Vault Classification],"&gt;0")</f>
        <v>0</v>
      </c>
      <c r="GG195" s="6">
        <f>COUNTIFS(Table919496[Country],Tabela1[[#This Row],[Country]],Table919496[Men''s Classification],"&gt;0")</f>
        <v>0</v>
      </c>
      <c r="GH195" s="6">
        <f>COUNTIFS(Table919496[Country],Tabela1[[#This Row],[Country]],Table919496[Women''s Classification],"&gt;0")</f>
        <v>0</v>
      </c>
      <c r="GI195" s="6">
        <f>COUNTIFS(Table12[Country],Tabela1[[#This Row],[Country]],Table12[60kg Classification],"&gt;0")</f>
        <v>0</v>
      </c>
      <c r="GJ195" s="6">
        <f>COUNTIFS(Table12[Country],Tabela1[[#This Row],[Country]],Table12[66kg Classification],"&gt;0")</f>
        <v>0</v>
      </c>
      <c r="GK195" s="6">
        <f>COUNTIFS(Table12[Country],Tabela1[[#This Row],[Country]],Table12[73kg Classification],"&gt;0")</f>
        <v>0</v>
      </c>
      <c r="GL195" s="6">
        <f>COUNTIFS(Table12[Country],Tabela1[[#This Row],[Country]],Table12[81kg Classification],"&gt;0")</f>
        <v>0</v>
      </c>
      <c r="GM195" s="6">
        <f>COUNTIFS(Table12[Country],Tabela1[[#This Row],[Country]],Table12[90kg Classification],"&gt;0")</f>
        <v>0</v>
      </c>
      <c r="GN195" s="6">
        <f>COUNTIFS(Table12[Country],Tabela1[[#This Row],[Country]],Table12[100kg Classification],"&gt;0")</f>
        <v>0</v>
      </c>
      <c r="GO195" s="6">
        <f>COUNTIFS(Table12[Country],Tabela1[[#This Row],[Country]],Table12[Plus 100kg Classification],"&gt;0")</f>
        <v>0</v>
      </c>
      <c r="GP195" s="6">
        <f>COUNTIFS(Table13[Country],Tabela1[[#This Row],[Country]],Table13[48kg Classification],"&gt;0")</f>
        <v>0</v>
      </c>
      <c r="GQ195" s="6">
        <f>COUNTIFS(Table13[Country],Tabela1[[#This Row],[Country]],Table13[52kg Classification],"&gt;0")</f>
        <v>0</v>
      </c>
      <c r="GR195" s="6">
        <f>COUNTIFS(Table13[Country],Tabela1[[#This Row],[Country]],Table13[57kg Classification],"&gt;0")</f>
        <v>0</v>
      </c>
      <c r="GS195" s="6">
        <f>COUNTIFS(Table13[Country],Tabela1[[#This Row],[Country]],Table13[63kg Classification],"&gt;0")</f>
        <v>0</v>
      </c>
      <c r="GT195" s="6">
        <f>COUNTIFS(Table13[Country],Tabela1[[#This Row],[Country]],Table13[70kg Classification],"&gt;0")</f>
        <v>0</v>
      </c>
      <c r="GU195" s="6">
        <f>COUNTIFS(Table13[Country],Tabela1[[#This Row],[Country]],Table13[78kg Classification],"&gt;0")</f>
        <v>0</v>
      </c>
      <c r="GV195" s="6">
        <f>COUNTIFS(Table13[Country],Tabela1[[#This Row],[Country]],Table13[Plus 78kg Classification],"&gt;0")</f>
        <v>0</v>
      </c>
      <c r="GW195" s="6">
        <f>COUNTIFS(Table82[Country],Tabela1[[#This Row],[Country]],Table82[Mixed Classification],"&gt;0")</f>
        <v>0</v>
      </c>
      <c r="GX195" s="6">
        <f>COUNTIFS(Table51[Country],Tabela1[[#This Row],[Country]],Table51[Classification],"&gt;0")</f>
        <v>0</v>
      </c>
      <c r="GY195" s="6">
        <f>COUNTIFS(Table52[Country],Tabela1[[#This Row],[Country]],Table52[Classification],"&gt;0")</f>
        <v>0</v>
      </c>
      <c r="GZ195" s="6">
        <f>COUNTIFS(Table32[Country],Tabela1[[#This Row],[Country]],Table32[All-Around Classification],"&gt;0")</f>
        <v>0</v>
      </c>
      <c r="HA195" s="6">
        <f>COUNTIFS(Table49[Country],Tabela1[[#This Row],[Country]],Table49[All-Around Classification],"&gt;0")</f>
        <v>0</v>
      </c>
      <c r="HB195" s="6">
        <f>COUNTIFS(Table26[Country],Tabela1[[#This Row],[Country]],Table26[Single Sculls Classification],"&gt;0")</f>
        <v>0</v>
      </c>
      <c r="HC195" s="6">
        <f>COUNTIFS(Table63[Country],Tabela1[[#This Row],[Country]],Table63[Single Sculls Classification],"&gt;0")</f>
        <v>0</v>
      </c>
      <c r="HD195" s="6">
        <f>COUNTIFS(Table16[Country],Tabela1[[#This Row],[Country]],Table16[Men''s Double Sculls Classification],"&gt;0")</f>
        <v>0</v>
      </c>
      <c r="HE195" s="6">
        <f>COUNTIFS(Table16[Country],Tabela1[[#This Row],[Country]],Table16[Women''s Double Sculls Classification],"&gt;0")</f>
        <v>0</v>
      </c>
      <c r="HF195" s="6">
        <f>COUNTIFS(Table72[Country],Tabela1[[#This Row],[Country]],Table72[Men''s Quadruple Sculls Classification],"&gt;0")</f>
        <v>0</v>
      </c>
      <c r="HG195" s="6">
        <f>COUNTIFS(Table72[Country],Tabela1[[#This Row],[Country]],Table72[Women''s Quadruple Sculls Classification],"&gt;0")</f>
        <v>0</v>
      </c>
      <c r="HH195" s="6">
        <f>COUNTIFS(Table16[Country],Tabela1[[#This Row],[Country]],Table16[Men''s Coxless Pairs Classification],"&gt;0")</f>
        <v>0</v>
      </c>
      <c r="HI195" s="6">
        <f>COUNTIFS(Table16[Country],Tabela1[[#This Row],[Country]],Table16[Women''s Coxless Pairs Classification],"&gt;0")</f>
        <v>0</v>
      </c>
      <c r="HJ195" s="6">
        <f>COUNTIFS(Table72[Country],Tabela1[[#This Row],[Country]],Table72[Men''s Coxless Fours Classification],"&gt;0")</f>
        <v>0</v>
      </c>
      <c r="HK195" s="6">
        <f>COUNTIFS(Table72[Country],Tabela1[[#This Row],[Country]],Table72[Women''s Coxless Fours Classification],"&gt;0")</f>
        <v>0</v>
      </c>
      <c r="HL195" s="6">
        <f>COUNTIFS(Table72[Country],Tabela1[[#This Row],[Country]],Table72[Men''s Eights Classification],"&gt;0")</f>
        <v>0</v>
      </c>
      <c r="HM195" s="6">
        <f>COUNTIFS(Table72[Country],Tabela1[[#This Row],[Country]],Table72[Women''s Eights Classification],"&gt;0")</f>
        <v>0</v>
      </c>
      <c r="HN195" s="6">
        <f>COUNTIFS(Table16[Country],Tabela1[[#This Row],[Country]],Table16[Men''s Lwt. Double Sculls Classification],"&gt;0")</f>
        <v>0</v>
      </c>
      <c r="HO195" s="6">
        <f>COUNTIFS(Table16[Country],Tabela1[[#This Row],[Country]],Table16[Women''s Lwt. Double Sculls Classification],"&gt;0")</f>
        <v>0</v>
      </c>
      <c r="HP195" s="6">
        <f>COUNTIFS(Table91949698[Country],Tabela1[[#This Row],[Country]],Table91949698[Men''s Classification],"&gt;0")</f>
        <v>0</v>
      </c>
      <c r="HQ195" s="6">
        <f>COUNTIFS(Table91949698[Country],Tabela1[[#This Row],[Country]],Table91949698[Women''s Classification],"&gt;0")</f>
        <v>0</v>
      </c>
      <c r="HR195" s="6">
        <f>COUNTIFS(Table25[Country],Tabela1[[#This Row],[Country]],Table25[Mixed 470 Classification],"&gt;0")</f>
        <v>0</v>
      </c>
      <c r="HS195" s="6">
        <f>COUNTIFS(Table25[Country],Tabela1[[#This Row],[Country]],Table25[Men''s 49er Classification],"&gt;0")</f>
        <v>0</v>
      </c>
      <c r="HT195" s="6">
        <f>COUNTIFS(Table25[Country],Tabela1[[#This Row],[Country]],Table25[Women''s 49er FX Classification],"&gt;0")</f>
        <v>0</v>
      </c>
      <c r="HU195" s="6">
        <f>COUNTIFS(Table17[Country],Tabela1[[#This Row],[Country]],Table17[Formula Kite Classification],"&gt;0")</f>
        <v>0</v>
      </c>
      <c r="HV195" s="6">
        <f>COUNTIFS(Table18[Country],Tabela1[[#This Row],[Country]],Table18[Formula Kite Classification],"&gt;0")</f>
        <v>0</v>
      </c>
      <c r="HW195" s="6">
        <f>COUNTIFS(Table17[Country],Tabela1[[#This Row],[Country]],Table17[ILCA 7 Classification],"&gt;0")</f>
        <v>0</v>
      </c>
      <c r="HX195" s="6">
        <f>COUNTIFS(Table18[Country],Tabela1[[#This Row],[Country]],Table18[ILCA 6 Classification],"&gt;0")</f>
        <v>0</v>
      </c>
      <c r="HY195" s="6">
        <f>COUNTIFS(Table17[Country],Tabela1[[#This Row],[Country]],Table17[IQFoil Classification],"&gt;0")</f>
        <v>0</v>
      </c>
      <c r="HZ195" s="6">
        <f>COUNTIFS(Table18[Country],Tabela1[[#This Row],[Country]],Table18[IQFoil Classification],"&gt;0")</f>
        <v>0</v>
      </c>
      <c r="IA195" s="6">
        <f>COUNTIFS(Table25[Country],Tabela1[[#This Row],[Country]],Table25[Mixed Nacra 17 Classification],"&gt;0")</f>
        <v>0</v>
      </c>
      <c r="IB195" s="6">
        <f>COUNTIFS(Table53[Country],Tabela1[[#This Row],[Country]],Table53[10m Air Pistol Classification],"&gt;0")</f>
        <v>0</v>
      </c>
      <c r="IC195" s="6">
        <f>COUNTIFS(Table19[Country],Tabela1[[#This Row],[Country]],Table19[10m Air Pistol Classification],"&gt;0")</f>
        <v>0</v>
      </c>
      <c r="ID195" s="6">
        <f>COUNTIFS(Table54[Country],Tabela1[[#This Row],[Country]],Table54[Mixed 10m Air Pistol Team Classification],"&gt;0")</f>
        <v>0</v>
      </c>
      <c r="IE195" s="6">
        <f>COUNTIFS(Table53[Country],Tabela1[[#This Row],[Country]],Table53[10m Air Rifle Classification],"&gt;0")</f>
        <v>0</v>
      </c>
      <c r="IF195" s="6">
        <f>COUNTIFS(Table19[Country],Tabela1[[#This Row],[Country]],Table19[10m Air Rifle Classification],"&gt;0")</f>
        <v>0</v>
      </c>
      <c r="IG195" s="6">
        <f>COUNTIFS(Table54[Country],Tabela1[[#This Row],[Country]],Table54[Mixed 10m Air Rifle Team Classification],"&gt;0")</f>
        <v>0</v>
      </c>
      <c r="IH195" s="6">
        <f>COUNTIFS(Table53[Country],Tabela1[[#This Row],[Country]],Table53[25m Rapid Fire Pistol Classification],"&gt;0")</f>
        <v>0</v>
      </c>
      <c r="II195" s="6">
        <f>COUNTIFS(Table19[Country],Tabela1[[#This Row],[Country]],Table19[25m Pistol Classification],"&gt;0")</f>
        <v>0</v>
      </c>
      <c r="IJ195" s="6">
        <f>COUNTIFS(Table53[Country],Tabela1[[#This Row],[Country]],Table53[50m Rifle 3 Positions Classification],"&gt;0")</f>
        <v>0</v>
      </c>
      <c r="IK195" s="6">
        <f>COUNTIFS(Table19[Country],Tabela1[[#This Row],[Country]],Table19[50m Rifle 3 Positions Classification],"&gt;0")</f>
        <v>0</v>
      </c>
      <c r="IL195" s="6">
        <f>COUNTIFS(Table53[Country],Tabela1[[#This Row],[Country]],Table53[Skeet Classification],"&gt;0")</f>
        <v>0</v>
      </c>
      <c r="IM195" s="6">
        <f>COUNTIFS(Table19[Country],Tabela1[[#This Row],[Country]],Table19[Skeet Classification],"&gt;0")</f>
        <v>0</v>
      </c>
      <c r="IN195" s="6">
        <f>COUNTIFS(Table54[Country],Tabela1[[#This Row],[Country]],Table54[Mixed Skeet Team Classification],"&gt;0")</f>
        <v>0</v>
      </c>
      <c r="IO195" s="6">
        <f>COUNTIFS(Table53[Country],Tabela1[[#This Row],[Country]],Table53[Trap Classification],"&gt;0")</f>
        <v>0</v>
      </c>
      <c r="IP195" s="6">
        <f>COUNTIFS(Table19[Country],Tabela1[[#This Row],[Country]],Table19[Trap Classification],"&gt;0")</f>
        <v>0</v>
      </c>
      <c r="IQ195" s="6">
        <f>COUNTIFS(Table73[Country],Tabela1[[#This Row],[Country]],Table73[Park Classification],"&gt;0")</f>
        <v>0</v>
      </c>
      <c r="IR195" s="6">
        <f>COUNTIFS(Table74[Country],Tabela1[[#This Row],[Country]],Table74[Park Classification],"&gt;0")</f>
        <v>0</v>
      </c>
      <c r="IS195" s="6">
        <f>COUNTIFS(Table73[Country],Tabela1[[#This Row],[Country]],Table73[Street Classification],"&gt;0")</f>
        <v>0</v>
      </c>
      <c r="IT195" s="6">
        <f>COUNTIFS(Table74[Country],Tabela1[[#This Row],[Country]],Table74[Street Classification],"&gt;0")</f>
        <v>0</v>
      </c>
      <c r="IU195" s="6">
        <f>COUNTIFS(Table75[Country],Tabela1[[#This Row],[Country]],Table75[Boulder and Lead Classification],"&gt;0")</f>
        <v>0</v>
      </c>
      <c r="IV195" s="6">
        <f>COUNTIFS(Table76[Country],Tabela1[[#This Row],[Country]],Table76[Boulder and Lead Classification],"&gt;0")</f>
        <v>0</v>
      </c>
      <c r="IW195" s="6">
        <f>COUNTIFS(Table75[Country],Tabela1[[#This Row],[Country]],Table75[Speed Classification],"&gt;0")</f>
        <v>0</v>
      </c>
      <c r="IX195" s="6">
        <f>COUNTIFS(Table76[Country],Tabela1[[#This Row],[Country]],Table76[Speed Classification],"&gt;0")</f>
        <v>0</v>
      </c>
      <c r="IY195" s="6">
        <f>COUNTIFS(Table64[Country],Tabela1[[#This Row],[Country]],Table64[Shortboard Classification],"&gt;0")</f>
        <v>0</v>
      </c>
      <c r="IZ195" s="6">
        <f>COUNTIFS(Table77[Country],Tabela1[[#This Row],[Country]],Table77[Shortboard Classification],"&gt;0")</f>
        <v>0</v>
      </c>
      <c r="JA195" s="6">
        <f>COUNTIFS(Table20[Country],Tabela1[[#This Row],[Country]],Table20[50m Freestyle Classification],"&gt;0")</f>
        <v>0</v>
      </c>
      <c r="JB195" s="6">
        <f>COUNTIFS(Table21[Country],Tabela1[[#This Row],[Country]],Table21[50m Freestyle Classification],"&gt;0")</f>
        <v>0</v>
      </c>
      <c r="JC195" s="6">
        <f>COUNTIFS(Table20[Country],Tabela1[[#This Row],[Country]],Table20[100m Freestyle Classification],"&gt;0")</f>
        <v>0</v>
      </c>
      <c r="JD195" s="6">
        <f>COUNTIFS(Table21[Country],Tabela1[[#This Row],[Country]],Table21[100m Freestyle Classification],"&gt;0")</f>
        <v>0</v>
      </c>
      <c r="JE195" s="6">
        <f>COUNTIFS(Table20[Country],Tabela1[[#This Row],[Country]],Table20[200m Freestyle Classification],"&gt;0")</f>
        <v>0</v>
      </c>
      <c r="JF195" s="6">
        <f>COUNTIFS(Table21[Country],Tabela1[[#This Row],[Country]],Table21[200m Freestyle Classification],"&gt;0")</f>
        <v>0</v>
      </c>
      <c r="JG195" s="6">
        <f>COUNTIFS(Table20[Country],Tabela1[[#This Row],[Country]],Table20[400m Freestyle Classification],"&gt;0")</f>
        <v>0</v>
      </c>
      <c r="JH195" s="6">
        <f>COUNTIFS(Table21[Country],Tabela1[[#This Row],[Country]],Table21[400m Freestyle Classification],"&gt;0")</f>
        <v>0</v>
      </c>
      <c r="JI195" s="6">
        <f>COUNTIFS(Table20[Country],Tabela1[[#This Row],[Country]],Table20[800m Freestyle Classification],"&gt;0")</f>
        <v>0</v>
      </c>
      <c r="JJ195" s="6">
        <f>COUNTIFS(Table21[Country],Tabela1[[#This Row],[Country]],Table21[800m Freestyle Classification],"&gt;0")</f>
        <v>0</v>
      </c>
      <c r="JK195" s="6">
        <f>COUNTIFS(Table20[Country],Tabela1[[#This Row],[Country]],Table20[1500m Freestyle Classification],"&gt;0")</f>
        <v>0</v>
      </c>
      <c r="JL195" s="6">
        <f>COUNTIFS(Table21[Country],Tabela1[[#This Row],[Country]],Table21[1500m Freestyle Classification],"&gt;0")</f>
        <v>0</v>
      </c>
      <c r="JM195" s="6">
        <f>COUNTIFS(Table20[Country],Tabela1[[#This Row],[Country]],Table20[100m Backstroke Classification],"&gt;0")</f>
        <v>0</v>
      </c>
      <c r="JN195" s="6">
        <f>COUNTIFS(Table21[Country],Tabela1[[#This Row],[Country]],Table21[100m Backstroke Classification],"&gt;0")</f>
        <v>0</v>
      </c>
      <c r="JO195" s="6">
        <f>COUNTIFS(Table20[Country],Tabela1[[#This Row],[Country]],Table20[200m Backstroke Classification],"&gt;0")</f>
        <v>0</v>
      </c>
      <c r="JP195" s="6">
        <f>COUNTIFS(Table21[Country],Tabela1[[#This Row],[Country]],Table21[200m Backstroke Classification],"&gt;0")</f>
        <v>0</v>
      </c>
      <c r="JQ195" s="6">
        <f>COUNTIFS(Table20[Country],Tabela1[[#This Row],[Country]],Table20[100m Breaststroke Classification],"&gt;0")</f>
        <v>0</v>
      </c>
      <c r="JR195" s="6">
        <f>COUNTIFS(Table21[Country],Tabela1[[#This Row],[Country]],Table21[100m Breaststroke Classification],"&gt;0")</f>
        <v>0</v>
      </c>
      <c r="JS195" s="6">
        <f>COUNTIFS(Table20[Country],Tabela1[[#This Row],[Country]],Table20[200m Breaststroke Classification],"&gt;0")</f>
        <v>0</v>
      </c>
      <c r="JT195" s="6">
        <f>COUNTIFS(Table21[Country],Tabela1[[#This Row],[Country]],Table21[200m Breaststroke Classification],"&gt;0")</f>
        <v>0</v>
      </c>
      <c r="JU195" s="6">
        <f>COUNTIFS(Table20[Country],Tabela1[[#This Row],[Country]],Table20[100m Butterfly Classification],"&gt;0")</f>
        <v>0</v>
      </c>
      <c r="JV195" s="6">
        <f>COUNTIFS(Table21[Country],Tabela1[[#This Row],[Country]],Table21[100m Butterfly Classification],"&gt;0")</f>
        <v>0</v>
      </c>
      <c r="JW195" s="6">
        <f>COUNTIFS(Table20[Country],Tabela1[[#This Row],[Country]],Table20[200m Butterfly Classification],"&gt;0")</f>
        <v>0</v>
      </c>
      <c r="JX195" s="6">
        <f>COUNTIFS(Table21[Country],Tabela1[[#This Row],[Country]],Table21[200m Butterfly Classification],"&gt;0")</f>
        <v>0</v>
      </c>
      <c r="JY195" s="6">
        <f>COUNTIFS(Table20[Country],Tabela1[[#This Row],[Country]],Table20[200m Medley Classification],"&gt;0")</f>
        <v>0</v>
      </c>
      <c r="JZ195" s="6">
        <f>COUNTIFS(Table21[Country],Tabela1[[#This Row],[Country]],Table21[200m Medley Classification],"&gt;0")</f>
        <v>0</v>
      </c>
      <c r="KA195" s="6">
        <f>COUNTIFS(Table20[Country],Tabela1[[#This Row],[Country]],Table20[400m Medley Classification],"&gt;0")</f>
        <v>0</v>
      </c>
      <c r="KB195" s="6">
        <f>COUNTIFS(Table21[Country],Tabela1[[#This Row],[Country]],Table21[400m Medley Classification],"&gt;0")</f>
        <v>0</v>
      </c>
      <c r="KC195" s="6">
        <f>COUNTIFS(Table78[Country],Tabela1[[#This Row],[Country]],Table78[Men''s 4x100m Freestyle Relay Classification],"&gt;0")</f>
        <v>0</v>
      </c>
      <c r="KD195" s="6">
        <f>COUNTIFS(Table78[Country],Tabela1[[#This Row],[Country]],Table78[Women''s 4x100m Freestyle Relay Classification],"&gt;0")</f>
        <v>0</v>
      </c>
      <c r="KE195" s="6">
        <f>COUNTIFS(Table78[Country],Tabela1[[#This Row],[Country]],Table78[Men''s 4x200m Freestyle Relay Classification],"&gt;0")</f>
        <v>0</v>
      </c>
      <c r="KF195" s="6">
        <f>COUNTIFS(Table78[Country],Tabela1[[#This Row],[Country]],Table78[Women''s 4x200m Freestyle Relay Classification],"&gt;0")</f>
        <v>0</v>
      </c>
      <c r="KG195" s="6">
        <f>COUNTIFS(Table78[Country],Tabela1[[#This Row],[Country]],Table78[Men''s 4x100m Medley Relay Classification],"&gt;0")</f>
        <v>0</v>
      </c>
      <c r="KH195" s="6">
        <f>COUNTIFS(Table78[Country],Tabela1[[#This Row],[Country]],Table78[Women''s 4x100m Medley Relay Classification],"&gt;0")</f>
        <v>0</v>
      </c>
      <c r="KI195" s="6">
        <f>COUNTIFS(Table78[Country],Tabela1[[#This Row],[Country]],Table78[Mixed 4x100m Medley Relay Classification],"&gt;0")</f>
        <v>0</v>
      </c>
      <c r="KJ195" s="6">
        <f>COUNTIFS(Table20[Country],Tabela1[[#This Row],[Country]],Table20[10km Open Water Classification],"&gt;0")</f>
        <v>0</v>
      </c>
      <c r="KK195" s="6">
        <f>COUNTIFS(Table21[Country],Tabela1[[#This Row],[Country]],Table21[10km Open Water Classification],"&gt;0")</f>
        <v>0</v>
      </c>
      <c r="KL195" s="6">
        <f>COUNTIFS(Table22[Country],Tabela1[[#This Row],[Country]],Table22[Classification],"&gt;0")</f>
        <v>0</v>
      </c>
      <c r="KM195" s="6">
        <f>COUNTIFS(Table30[Country],Tabela1[[#This Row],[Country]],Table30[Classification],"&gt;0")</f>
        <v>0</v>
      </c>
      <c r="KN195" s="6">
        <f>COUNTIFS(Table55[Country],Tabela1[[#This Row],[Country]],Table55[Men''s Classification],"&gt;0")</f>
        <v>0</v>
      </c>
      <c r="KO195" s="6">
        <f>COUNTIFS(Table55[Country],Tabela1[[#This Row],[Country]],Table55[Women''s Classification],"&gt;0")</f>
        <v>0</v>
      </c>
      <c r="KP195" s="6">
        <f>COUNTIFS(Table56[Country],Tabela1[[#This Row],[Country]],Table56[Mixed Classification],"&gt;0")</f>
        <v>0</v>
      </c>
      <c r="KQ195" s="6">
        <f>COUNTIFS(Table29[Country],Tabela1[[#This Row],[Country]],Table29[58kg Classification],"&gt;0")</f>
        <v>0</v>
      </c>
      <c r="KR195" s="6">
        <f>COUNTIFS(Table29[Country],Tabela1[[#This Row],[Country]],Table29[68kg Classification],"&gt;0")</f>
        <v>0</v>
      </c>
      <c r="KS195" s="6">
        <f>COUNTIFS(Table29[Country],Tabela1[[#This Row],[Country]],Table29[80kg Classification],"&gt;0")</f>
        <v>0</v>
      </c>
      <c r="KT195" s="6">
        <f>COUNTIFS(Table29[Country],Tabela1[[#This Row],[Country]],Table29[Plus 80kg Classification],"&gt;0")</f>
        <v>0</v>
      </c>
      <c r="KU195" s="6">
        <f>COUNTIFS(Table34[Country],Tabela1[[#This Row],[Country]],Table34[49kg Classification],"&gt;0")</f>
        <v>0</v>
      </c>
      <c r="KV195" s="6">
        <f>COUNTIFS(Table34[Country],Tabela1[[#This Row],[Country]],Table34[57kg Classification],"&gt;0")</f>
        <v>0</v>
      </c>
      <c r="KW195" s="6">
        <f>COUNTIFS(Table34[Country],Tabela1[[#This Row],[Country]],Table34[67kg Classification],"&gt;0")</f>
        <v>0</v>
      </c>
      <c r="KX195" s="6">
        <f>COUNTIFS(Table34[Country],Tabela1[[#This Row],[Country]],Table34[Plus 67kg Classification],"&gt;0")</f>
        <v>0</v>
      </c>
      <c r="KY195" s="6">
        <f>COUNTIFS(Table57[Country],Tabela1[[#This Row],[Country]],Table57[Classification],"&gt;0")</f>
        <v>0</v>
      </c>
      <c r="KZ195" s="6">
        <f>COUNTIFS(Table58[Country],Tabela1[[#This Row],[Country]],Table58[Classification],"&gt;0")</f>
        <v>0</v>
      </c>
      <c r="LA195" s="6">
        <f>COUNTIFS(Table79[Country],Tabela1[[#This Row],[Country]],Table79[Men''s Classification],"&gt;0")</f>
        <v>0</v>
      </c>
      <c r="LB195" s="6">
        <f>COUNTIFS(Table79[Country],Tabela1[[#This Row],[Country]],Table79[Women''s Classification],"&gt;0")</f>
        <v>0</v>
      </c>
      <c r="LC195" s="6">
        <f>COUNTIFS(Table79[Country],Tabela1[[#This Row],[Country]],Table79[Mixed Classification],"&gt;0")</f>
        <v>0</v>
      </c>
      <c r="LD195" s="6">
        <f>COUNTIFS(Table65[Country],Tabela1[[#This Row],[Country]],Table65[Classification],"&gt;0")</f>
        <v>0</v>
      </c>
      <c r="LE195" s="6">
        <f>COUNTIFS(Table59[Country],Tabela1[[#This Row],[Country]],Table59[Classification],"&gt;0")</f>
        <v>0</v>
      </c>
      <c r="LF195" s="6">
        <f>COUNTIFS(Table87[Country],Tabela1[[#This Row],[Country]],Table87[Mixed Relay Classification],"&gt;0")</f>
        <v>0</v>
      </c>
      <c r="LG195" s="6">
        <f>COUNTIFS(Table91949698100[Country],Tabela1[[#This Row],[Country]],Table91949698100[Men''s Classification],"&gt;0")</f>
        <v>0</v>
      </c>
      <c r="LH195" s="6">
        <f>COUNTIFS(Table91949698100[Country],Tabela1[[#This Row],[Country]],Table91949698100[Women''s Classification],"&gt;0")</f>
        <v>0</v>
      </c>
      <c r="LI195" s="6">
        <f>COUNTIFS(Table91949698100102[Country],Tabela1[[#This Row],[Country]],Table91949698100102[Men''s Classification],"&gt;0")</f>
        <v>0</v>
      </c>
      <c r="LJ195" s="6">
        <f>COUNTIFS(Table91949698100102[Country],Tabela1[[#This Row],[Country]],Table91949698100102[Women''s Classification],"&gt;0")</f>
        <v>0</v>
      </c>
      <c r="LK195" s="6">
        <f>COUNTIFS(Table23[Country],Tabela1[[#This Row],[Country]],Table23[61kg Classification],"&gt;0")</f>
        <v>0</v>
      </c>
      <c r="LL195" s="6">
        <f>COUNTIFS(Table23[Country],Tabela1[[#This Row],[Country]],Table23[73kg Classification],"&gt;0")</f>
        <v>0</v>
      </c>
      <c r="LM195" s="6">
        <f>COUNTIFS(Table23[Country],Tabela1[[#This Row],[Country]],Table23[89kg Classification],"&gt;0")</f>
        <v>0</v>
      </c>
      <c r="LN195" s="6">
        <f>COUNTIFS(Table23[Country],Tabela1[[#This Row],[Country]],Table23[102kg Classification],"&gt;0")</f>
        <v>0</v>
      </c>
      <c r="LO195" s="6">
        <f>COUNTIFS(Table23[Country],Tabela1[[#This Row],[Country]],Table23[Plus 102kg Classification],"&gt;0")</f>
        <v>0</v>
      </c>
      <c r="LP195" s="6">
        <f>COUNTIFS(Table28[Country],Tabela1[[#This Row],[Country]],Table28[49kg Classification],"&gt;0")</f>
        <v>0</v>
      </c>
      <c r="LQ195" s="6">
        <f>COUNTIFS(Table28[Country],Tabela1[[#This Row],[Country]],Table28[59kg Classification],"&gt;0")</f>
        <v>0</v>
      </c>
      <c r="LR195" s="6">
        <f>COUNTIFS(Table28[Country],Tabela1[[#This Row],[Country]],Table28[71kg Classification],"&gt;0")</f>
        <v>0</v>
      </c>
      <c r="LS195" s="6">
        <f>COUNTIFS(Table28[Country],Tabela1[[#This Row],[Country]],Table28[81kg Classification],"&gt;0")</f>
        <v>0</v>
      </c>
      <c r="LT195" s="6">
        <f>COUNTIFS(Table28[Country],Tabela1[[#This Row],[Country]],Table28[Plus 81kg Classification],"&gt;0")</f>
        <v>0</v>
      </c>
      <c r="LU195" s="6">
        <f>COUNTIFS(Table24[Country],Tabela1[[#This Row],[Country]],Table24[Freestyle 57kg Classification],"&gt;0")</f>
        <v>0</v>
      </c>
      <c r="LV195" s="6">
        <f>COUNTIFS(Table24[Country],Tabela1[[#This Row],[Country]],Table24[Freestyle 65kg Classification],"&gt;0")</f>
        <v>0</v>
      </c>
      <c r="LW195" s="6">
        <f>COUNTIFS(Table24[Country],Tabela1[[#This Row],[Country]],Table24[Freestyle 74kg Classification],"&gt;0")</f>
        <v>0</v>
      </c>
      <c r="LX195" s="6">
        <f>COUNTIFS(Table24[Country],Tabela1[[#This Row],[Country]],Table24[Freestyle 86kg Classification],"&gt;0")</f>
        <v>0</v>
      </c>
      <c r="LY195" s="6">
        <f>COUNTIFS(Table24[Country],Tabela1[[#This Row],[Country]],Table24[Freestyle 97kg Classification],"&gt;0")</f>
        <v>0</v>
      </c>
      <c r="LZ195" s="6">
        <f>COUNTIFS(Table24[Country],Tabela1[[#This Row],[Country]],Table24[Freestyle 125kg Classification],"&gt;0")</f>
        <v>0</v>
      </c>
      <c r="MA195" s="6">
        <f>COUNTIFS(Table24[Country],Tabela1[[#This Row],[Country]],Table24[Greco-Roman 60kg Classification],"&gt;0")</f>
        <v>0</v>
      </c>
      <c r="MB195" s="6">
        <f>COUNTIFS(Table24[Country],Tabela1[[#This Row],[Country]],Table24[Greco-Roman 67kg Classification],"&gt;0")</f>
        <v>0</v>
      </c>
      <c r="MC195" s="6">
        <f>COUNTIFS(Table24[Country],Tabela1[[#This Row],[Country]],Table24[Greco-Roman 77kg Classification],"&gt;0")</f>
        <v>0</v>
      </c>
      <c r="MD195" s="6">
        <f>COUNTIFS(Table24[Country],Tabela1[[#This Row],[Country]],Table24[Greco-Roman 87kg Classification],"&gt;0")</f>
        <v>0</v>
      </c>
      <c r="ME195" s="6">
        <f>COUNTIFS(Table24[Country],Tabela1[[#This Row],[Country]],Table24[Greco-Roman 97kg Classification],"&gt;0")</f>
        <v>0</v>
      </c>
      <c r="MF195" s="6">
        <f>COUNTIFS(Table24[Country],Tabela1[[#This Row],[Country]],Table24[Greco-Roman 130kg Classification],"&gt;0")</f>
        <v>0</v>
      </c>
      <c r="MG195" s="6">
        <f>COUNTIFS(Table31[Country],Tabela1[[#This Row],[Country]],Table31[50kg Classification],"&gt;0")</f>
        <v>0</v>
      </c>
      <c r="MH195" s="6">
        <f>COUNTIFS(Table31[Country],Tabela1[[#This Row],[Country]],Table31[53kg Classification],"&gt;0")</f>
        <v>0</v>
      </c>
      <c r="MI195" s="6">
        <f>COUNTIFS(Table31[Country],Tabela1[[#This Row],[Country]],Table31[57kg Classification],"&gt;0")</f>
        <v>0</v>
      </c>
      <c r="MJ195" s="6">
        <f>COUNTIFS(Table31[Country],Tabela1[[#This Row],[Country]],Table31[62kg Classification],"&gt;0")</f>
        <v>0</v>
      </c>
      <c r="MK195" s="6">
        <f>COUNTIFS(Table31[Country],Tabela1[[#This Row],[Country]],Table31[68kg Classification],"&gt;0")</f>
        <v>0</v>
      </c>
      <c r="ML195" s="6">
        <f>COUNTIFS(Table31[Country],Tabela1[[#This Row],[Country]],Table31[76kg Classification],"&gt;0")</f>
        <v>0</v>
      </c>
      <c r="MM195" s="6">
        <f>COUNTIFS(Table102[Country],Tabela1[[#This Row],[Country]],Table102[Downhill Classification],"&gt;0")</f>
        <v>0</v>
      </c>
      <c r="MN195" s="6">
        <f>COUNTIFS(Table102105[Country],Tabela1[[#This Row],[Country]],Table102105[Downhill Classification],"&gt;0")</f>
        <v>0</v>
      </c>
      <c r="MO195" s="6">
        <f>COUNTIFS(Table102[Country],Tabela1[[#This Row],[Country]],Table102[Giant Slalom Classification],"&gt;0")</f>
        <v>0</v>
      </c>
      <c r="MP195" s="6">
        <f>COUNTIFS(Table102105[Country],Tabela1[[#This Row],[Country]],Table102105[Giant Slalom Classification],"&gt;0")</f>
        <v>0</v>
      </c>
      <c r="MQ195" s="6">
        <f>COUNTIFS(Table102[Country],Tabela1[[#This Row],[Country]],Table102[Slalom Classification],"&gt;0")</f>
        <v>0</v>
      </c>
      <c r="MR195" s="6">
        <f>COUNTIFS(Table102105[Country],Tabela1[[#This Row],[Country]],Table102105[Slalom Classification],"&gt;0")</f>
        <v>0</v>
      </c>
      <c r="MS195" s="6">
        <f>COUNTIFS(Table102[Country],Tabela1[[#This Row],[Country]],Table102[Super-G Classification],"&gt;0")</f>
        <v>0</v>
      </c>
      <c r="MT195" s="6">
        <f>COUNTIFS(Table102105[Country],Tabela1[[#This Row],[Country]],Table102105[Super-G Classification],"&gt;0")</f>
        <v>0</v>
      </c>
      <c r="MU195" s="6">
        <f>COUNTIFS(Table105[Country],Tabela1[[#This Row],[Country]],Table105[Men''s Combined Classification],"&gt;0")</f>
        <v>0</v>
      </c>
      <c r="MV195" s="6">
        <f>COUNTIFS(Table105[Country],Tabela1[[#This Row],[Country]],Table105[Women''s Combined Classification],"&gt;0")</f>
        <v>0</v>
      </c>
      <c r="MW195" s="6">
        <f>COUNTIFS(Table106[Country],Tabela1[[#This Row],[Country]],Table106[Individual Classification],"&gt;0")</f>
        <v>0</v>
      </c>
      <c r="MX195" s="6">
        <f>COUNTIFS(Table106109[Country],Tabela1[[#This Row],[Country]],Table106109[Individual Classification],"&gt;0")</f>
        <v>0</v>
      </c>
      <c r="MY195" s="6">
        <f>COUNTIFS(Table106[Country],Tabela1[[#This Row],[Country]],Table106[Mass Start Classification],"&gt;0")</f>
        <v>0</v>
      </c>
      <c r="MZ195" s="6">
        <f>COUNTIFS(Table106109[Country],Tabela1[[#This Row],[Country]],Table106109[Mass Start Classification],"&gt;0")</f>
        <v>0</v>
      </c>
      <c r="NA195" s="6">
        <f>COUNTIFS(Table106[Country],Tabela1[[#This Row],[Country]],Table106[Pursuit Classification],"&gt;0")</f>
        <v>0</v>
      </c>
      <c r="NB195" s="6">
        <f>COUNTIFS(Table106109[Country],Tabela1[[#This Row],[Country]],Table106109[Pursuit Classification],"&gt;0")</f>
        <v>0</v>
      </c>
      <c r="NC195" s="6">
        <f>COUNTIFS(Table106[Country],Tabela1[[#This Row],[Country]],Table106[Sprint Classification],"&gt;0")</f>
        <v>0</v>
      </c>
      <c r="ND195" s="6">
        <f>COUNTIFS(Table106109[Country],Tabela1[[#This Row],[Country]],Table106109[Sprint Classification],"&gt;0")</f>
        <v>0</v>
      </c>
      <c r="NE195" s="6">
        <f>COUNTIFS(Table109[Country],Tabela1[[#This Row],[Country]],Table109[Men''s Relay Classification],"&gt;0")</f>
        <v>0</v>
      </c>
      <c r="NF195" s="6">
        <f>COUNTIFS(Table109[Country],Tabela1[[#This Row],[Country]],Table109[Women''s Relay Classification],"&gt;0")</f>
        <v>0</v>
      </c>
      <c r="NG195" s="6">
        <f>COUNTIFS(Table109[Country],Tabela1[[#This Row],[Country]],Table109[Mixed Relay Classification],"&gt;0")</f>
        <v>0</v>
      </c>
      <c r="NH195" s="6">
        <f>COUNTIFS(Table110[Country],Tabela1[[#This Row],[Country]],Table110[Monobob Classification],"&gt;0")</f>
        <v>0</v>
      </c>
      <c r="NI195" s="6">
        <f>COUNTIFS(Table111[Country],Tabela1[[#This Row],[Country]],Table111[Men''s Classification],"&gt;0")</f>
        <v>0</v>
      </c>
      <c r="NJ195" s="6">
        <f>COUNTIFS(Table111[Country],Tabela1[[#This Row],[Country]],Table111[Women''s Classification],"&gt;0")</f>
        <v>0</v>
      </c>
      <c r="NK195" s="6">
        <f>COUNTIFS(Table112[Country],Tabela1[[#This Row],[Country]],Table112[Men''s Four Classification],"&gt;0")</f>
        <v>0</v>
      </c>
      <c r="NL195" s="6">
        <f>COUNTIFS(Table113[Country],Tabela1[[#This Row],[Country]],Table113[Classical Classification],"&gt;0")</f>
        <v>0</v>
      </c>
      <c r="NM195" s="6">
        <f>COUNTIFS(Table113116[Country],Tabela1[[#This Row],[Country]],Table113116[Classical Classification],"&gt;0")</f>
        <v>0</v>
      </c>
      <c r="NN195" s="6">
        <f>COUNTIFS(Table113[Country],Tabela1[[#This Row],[Country]],Table113[Freestyle Classification],"&gt;0")</f>
        <v>0</v>
      </c>
      <c r="NO195" s="6">
        <f>COUNTIFS(Table113116[Country],Tabela1[[#This Row],[Country]],Table113116[Freestyle Classification],"&gt;0")</f>
        <v>0</v>
      </c>
      <c r="NP195" s="6">
        <f>COUNTIFS(Table117[Country],Tabela1[[#This Row],[Country]],Table117[Men''s Relay Classification],"&gt;0")</f>
        <v>0</v>
      </c>
      <c r="NQ195" s="6">
        <f>COUNTIFS(Table117[Country],Tabela1[[#This Row],[Country]],Table117[Women''s Relay Classification],"&gt;0")</f>
        <v>0</v>
      </c>
      <c r="NR195" s="6">
        <f>COUNTIFS(Table113[Country],Tabela1[[#This Row],[Country]],Table113[Skiathlon Classification],"&gt;0")</f>
        <v>0</v>
      </c>
      <c r="NS195" s="6">
        <f>COUNTIFS(Table113116[Country],Tabela1[[#This Row],[Country]],Table113116[Skiathlon Classification],"&gt;0")</f>
        <v>0</v>
      </c>
      <c r="NT195" s="6">
        <f>COUNTIFS(Table113[Country],Tabela1[[#This Row],[Country]],Table113[Sprint Classification],"&gt;0")</f>
        <v>0</v>
      </c>
      <c r="NU195" s="6">
        <f>COUNTIFS(Table113116[Country],Tabela1[[#This Row],[Country]],Table113116[Sprint Classification],"&gt;0")</f>
        <v>0</v>
      </c>
      <c r="NV195" s="6">
        <f>COUNTIFS(Table116[Country],Tabela1[[#This Row],[Country]],Table116[Men''s Team Sprint Classification],"&gt;0")</f>
        <v>0</v>
      </c>
      <c r="NW195" s="6">
        <f>COUNTIFS(Table116[Country],Tabela1[[#This Row],[Country]],Table116[Women''s Team Sprint Classification],"&gt;0")</f>
        <v>0</v>
      </c>
      <c r="NX195" s="6">
        <f>COUNTIFS(Table119[Country],Tabela1[[#This Row],[Country]],Table119[Men''s Classification],"&gt;0")</f>
        <v>0</v>
      </c>
      <c r="NY195" s="6">
        <f>COUNTIFS(Table119[Country],Tabela1[[#This Row],[Country]],Table119[Women''s Classification],"&gt;0")</f>
        <v>0</v>
      </c>
      <c r="NZ195" s="6">
        <f>COUNTIFS(Table118[Country],Tabela1[[#This Row],[Country]],Table118[Mixed Classification],"&gt;0")</f>
        <v>0</v>
      </c>
      <c r="OA195" s="6">
        <f>COUNTIFS(Table120[Country],Tabela1[[#This Row],[Country]],Table120[Classification],"&gt;0")</f>
        <v>0</v>
      </c>
      <c r="OB195" s="6">
        <f>COUNTIFS(Table120123[Country],Tabela1[[#This Row],[Country]],Table120123[Classification],"&gt;0")</f>
        <v>0</v>
      </c>
      <c r="OC195" s="6">
        <f>COUNTIFS(Table123[Country],Tabela1[[#This Row],[Country]],Table123[Ice Dance Classification],"&gt;0")</f>
        <v>0</v>
      </c>
      <c r="OD195" s="6">
        <f>COUNTIFS(Table123[Country],Tabela1[[#This Row],[Country]],Table123[Pair Skating Classification],"&gt;0")</f>
        <v>0</v>
      </c>
      <c r="OE195" s="6">
        <f>COUNTIFS(Table124[Country],Tabela1[[#This Row],[Country]],Table124[Mixed Classification],"&gt;0")</f>
        <v>0</v>
      </c>
      <c r="OF195" s="6">
        <f>COUNTIFS(Table125[Country],Tabela1[[#This Row],[Country]],Table125[Aerials Classification],"&gt;0")</f>
        <v>0</v>
      </c>
      <c r="OG195" s="6">
        <f>COUNTIFS(Table125128[Country],Tabela1[[#This Row],[Country]],Table125128[Aerials Classification],"&gt;0")</f>
        <v>0</v>
      </c>
      <c r="OH195" s="6">
        <f>COUNTIFS(Table128[Country],Tabela1[[#This Row],[Country]],Table128[Mixed Aerials Classification],"&gt;0")</f>
        <v>0</v>
      </c>
      <c r="OI195" s="6">
        <f>COUNTIFS(Table125[Country],Tabela1[[#This Row],[Country]],Table125[Big Air Classification],"&gt;0")</f>
        <v>0</v>
      </c>
      <c r="OJ195" s="6">
        <f>COUNTIFS(Table125128[Country],Tabela1[[#This Row],[Country]],Table125128[Big Air Classification],"&gt;0")</f>
        <v>0</v>
      </c>
      <c r="OK195" s="6">
        <f>COUNTIFS(Table125[Country],Tabela1[[#This Row],[Country]],Table125[Dual Moguls Classification],"&gt;0")</f>
        <v>0</v>
      </c>
      <c r="OL195" s="6">
        <f>COUNTIFS(Table125128[Country],Tabela1[[#This Row],[Country]],Table125128[Dual Moguls Classification],"&gt;0")</f>
        <v>0</v>
      </c>
      <c r="OM195" s="6">
        <f>COUNTIFS(Table125[Country],Tabela1[[#This Row],[Country]],Table125[Halfpipe Classification],"&gt;0")</f>
        <v>0</v>
      </c>
      <c r="ON195" s="6">
        <f>COUNTIFS(Table125128[Country],Tabela1[[#This Row],[Country]],Table125128[Halfpipe Classification],"&gt;0")</f>
        <v>0</v>
      </c>
      <c r="OO195" s="6">
        <f>COUNTIFS(Table125[Country],Tabela1[[#This Row],[Country]],Table125[Moguls Classification],"&gt;0")</f>
        <v>0</v>
      </c>
      <c r="OP195" s="6">
        <f>COUNTIFS(Table125128[Country],Tabela1[[#This Row],[Country]],Table125128[Moguls Classification],"&gt;0")</f>
        <v>0</v>
      </c>
      <c r="OQ195" s="6">
        <f>COUNTIFS(Table125[Country],Tabela1[[#This Row],[Country]],Table125[Ski Cross Classification],"&gt;0")</f>
        <v>0</v>
      </c>
      <c r="OR195" s="6">
        <f>COUNTIFS(Table125128[Country],Tabela1[[#This Row],[Country]],Table125128[Ski Cross Classification],"&gt;0")</f>
        <v>0</v>
      </c>
      <c r="OS195" s="6">
        <f>COUNTIFS(Table125[Country],Tabela1[[#This Row],[Country]],Table125[Slopestyle Classification],"&gt;0")</f>
        <v>0</v>
      </c>
      <c r="OT195" s="6">
        <f>COUNTIFS(Table125128[Country],Tabela1[[#This Row],[Country]],Table125128[Slopestyle Classification],"&gt;0")</f>
        <v>0</v>
      </c>
      <c r="OU195" s="6">
        <f>COUNTIFS(Table119131[Country],Tabela1[[#This Row],[Country]],Table119131[Men''s Classification],"&gt;0")</f>
        <v>0</v>
      </c>
      <c r="OV195" s="6">
        <f>COUNTIFS(Table119131[Country],Tabela1[[#This Row],[Country]],Table119131[Women''s Classification],"&gt;0")</f>
        <v>0</v>
      </c>
      <c r="OW195" s="6">
        <f>COUNTIFS(Table131[Country],Tabela1[[#This Row],[Country]],Table131[Classification],"&gt;0")</f>
        <v>0</v>
      </c>
      <c r="OX195" s="6">
        <f>COUNTIFS(Table131134[Country],Tabela1[[#This Row],[Country]],Table131134[Classification],"&gt;0")</f>
        <v>0</v>
      </c>
      <c r="OY195" s="6">
        <f>COUNTIFS(Table134[Country],Tabela1[[#This Row],[Country]],Table134[Men''s Classification],"&gt;0")</f>
        <v>0</v>
      </c>
      <c r="OZ195" s="6">
        <f>COUNTIFS(Table134[Country],Tabela1[[#This Row],[Country]],Table134[Women''s Classification],"&gt;0")</f>
        <v>0</v>
      </c>
      <c r="PA195" s="6">
        <f>COUNTIFS(Table135[Country],Tabela1[[#This Row],[Country]],Table135[Mixed Relay Classification],"&gt;0")</f>
        <v>0</v>
      </c>
      <c r="PB195" s="6">
        <f>COUNTIFS(Table136[Country],Tabela1[[#This Row],[Country]],Table136[Individual Classification],"&gt;0")</f>
        <v>0</v>
      </c>
      <c r="PC195" s="6">
        <f>COUNTIFS(Table136[Country],Tabela1[[#This Row],[Country]],Table136[Sprint Classification],"&gt;0")</f>
        <v>0</v>
      </c>
      <c r="PD195" s="6">
        <f>COUNTIFS(Table137[Country],Tabela1[[#This Row],[Country]],Table137[Men''s Team Sprint Large Hill Classification],"&gt;0")</f>
        <v>0</v>
      </c>
      <c r="PE195" s="6">
        <f>COUNTIFS(Table138[Country],Tabela1[[#This Row],[Country]],Table138[500m Classification],"&gt;0")</f>
        <v>0</v>
      </c>
      <c r="PF195" s="6">
        <f>COUNTIFS(Table138141[Country],Tabela1[[#This Row],[Country]],Table138141[500m Classification],"&gt;0")</f>
        <v>0</v>
      </c>
      <c r="PG195" s="6">
        <f>COUNTIFS(Table138[Country],Tabela1[[#This Row],[Country]],Table138[1000m Classification],"&gt;0")</f>
        <v>0</v>
      </c>
      <c r="PH195" s="6">
        <f>COUNTIFS(Table138141[Country],Tabela1[[#This Row],[Country]],Table138141[1000m Classification],"&gt;0")</f>
        <v>0</v>
      </c>
      <c r="PI195" s="6">
        <f>COUNTIFS(Table138[Country],Tabela1[[#This Row],[Country]],Table138[1500m Classification],"&gt;0")</f>
        <v>0</v>
      </c>
      <c r="PJ195" s="6">
        <f>COUNTIFS(Table138141[Country],Tabela1[[#This Row],[Country]],Table138141[1500m Classification],"&gt;0")</f>
        <v>0</v>
      </c>
      <c r="PK195" s="6">
        <f>COUNTIFS(Table141[Country],Tabela1[[#This Row],[Country]],Table141[Men''s 5000m Relay Classification],"&gt;0")</f>
        <v>0</v>
      </c>
      <c r="PL195" s="6">
        <f>COUNTIFS(Table141[Country],Tabela1[[#This Row],[Country]],Table141[Women''s 3000m Relay Classification],"&gt;0")</f>
        <v>0</v>
      </c>
      <c r="PM195" s="6">
        <f>COUNTIFS(Table141[Country],Tabela1[[#This Row],[Country]],Table141[Mixed 2000m Relay Classification],"&gt;0")</f>
        <v>0</v>
      </c>
      <c r="PN195" s="6">
        <f>COUNTIFS(Table142[Country],Tabela1[[#This Row],[Country]],Table142[Classification],"&gt;0")</f>
        <v>0</v>
      </c>
      <c r="PO195" s="6">
        <f>COUNTIFS(Table142145[Country],Tabela1[[#This Row],[Country]],Table142145[Classification],"&gt;0")</f>
        <v>0</v>
      </c>
      <c r="PP195" s="6">
        <f>COUNTIFS(Tabela15[Country],Tabela1[[#This Row],[Country]],Tabela15[Mixed Team Classification],"&gt;0")</f>
        <v>0</v>
      </c>
      <c r="PQ195" s="6">
        <f>COUNTIFS(Table145[Country],Tabela1[[#This Row],[Country]],Table145[Large Hill Classification],"&gt;0")</f>
        <v>0</v>
      </c>
      <c r="PR195" s="6">
        <f>COUNTIFS(Table145[Country],Tabela1[[#This Row],[Country]],Table145[Normal Hill Classification],"&gt;0")</f>
        <v>0</v>
      </c>
      <c r="PS195" s="6">
        <f>COUNTIFS(Table145148[Country],Tabela1[[#This Row],[Country]],Table145148[Large Hill Classification],"&gt;0")</f>
        <v>0</v>
      </c>
      <c r="PT195" s="6">
        <f>COUNTIFS(Table145148[Country],Tabela1[[#This Row],[Country]],Table145148[Normal Hill Classification],"&gt;0")</f>
        <v>0</v>
      </c>
      <c r="PU195" s="6">
        <f>COUNTIFS(Table148[Country],Tabela1[[#This Row],[Country]],Table148[Men''s Super Team Classification],"&gt;0")</f>
        <v>0</v>
      </c>
      <c r="PV195" s="6">
        <f>COUNTIFS(Tabela114[Country],Tabela1[[#This Row],[Country]],Tabela114[Mixed Normal Hill Classification],"&gt;0")</f>
        <v>0</v>
      </c>
      <c r="PW195" s="6">
        <f>COUNTIFS(Tabela50[Country],Tabela1[[#This Row],[Country]],Tabela50[Sprint Classification],"&gt;0")</f>
        <v>0</v>
      </c>
      <c r="PX195" s="6">
        <f>COUNTIFS(Tabela50101[Country],Tabela1[[#This Row],[Country]],Tabela50101[Sprint Classification],"&gt;0")</f>
        <v>0</v>
      </c>
      <c r="PY195" s="6">
        <f>COUNTIFS(Tabela103[Country],Tabela1[[#This Row],[Country]],Tabela103[Mixed Relay Classification],"&gt;0")</f>
        <v>0</v>
      </c>
      <c r="PZ195" s="6">
        <f>COUNTIFS(Table149[Country],Tabela1[[#This Row],[Country]],Table149[Big Air Classification],"&gt;0")</f>
        <v>0</v>
      </c>
      <c r="QA195" s="6">
        <f>COUNTIFS(Table149152[Country],Tabela1[[#This Row],[Country]],Table149152[Big Air Classification],"&gt;0")</f>
        <v>0</v>
      </c>
      <c r="QB195" s="6">
        <f>COUNTIFS(Table149[Country],Tabela1[[#This Row],[Country]],Table149[Halfpipe Classification],"&gt;0")</f>
        <v>0</v>
      </c>
      <c r="QC195" s="6">
        <f>COUNTIFS(Table149152[Country],Tabela1[[#This Row],[Country]],Table149152[Halfpipe Classification],"&gt;0")</f>
        <v>0</v>
      </c>
      <c r="QD195" s="6">
        <f>COUNTIFS(Table149[Country],Tabela1[[#This Row],[Country]],Table149[Parallel Giant Slalom Classification],"&gt;0")</f>
        <v>0</v>
      </c>
      <c r="QE195" s="6">
        <f>COUNTIFS(Table149152[Country],Tabela1[[#This Row],[Country]],Table149152[Parallel Giant Slalom Classification],"&gt;0")</f>
        <v>0</v>
      </c>
      <c r="QF195" s="6">
        <f>COUNTIFS(Table149[Country],Tabela1[[#This Row],[Country]],Table149[Slopestyle Classification],"&gt;0")</f>
        <v>0</v>
      </c>
      <c r="QG195" s="6">
        <f>COUNTIFS(Table149152[Country],Tabela1[[#This Row],[Country]],Table149152[Slopestyle Classification],"&gt;0")</f>
        <v>0</v>
      </c>
      <c r="QH195" s="6">
        <f>COUNTIFS(Table149[Country],Tabela1[[#This Row],[Country]],Table149[Snowboard Cross Classification],"&gt;0")</f>
        <v>0</v>
      </c>
      <c r="QI195" s="6">
        <f>COUNTIFS(Table149152[Country],Tabela1[[#This Row],[Country]],Table149152[Snowboard Cross Classification],"&gt;0")</f>
        <v>0</v>
      </c>
      <c r="QJ195" s="6">
        <f>COUNTIFS(Table153[Country],Tabela1[[#This Row],[Country]],Table153[Mixed Team Snowboard Cross Classification],"&gt;0")</f>
        <v>0</v>
      </c>
      <c r="QK195" s="6">
        <f>COUNTIFS(Table154[Country],Tabela1[[#This Row],[Country]],Table154[500m Classification],"&gt;0")</f>
        <v>0</v>
      </c>
      <c r="QL195" s="6">
        <f>COUNTIFS(Table154157[Country],Tabela1[[#This Row],[Country]],Table154157[500m Classification],"&gt;0")</f>
        <v>0</v>
      </c>
      <c r="QM195" s="6">
        <f>COUNTIFS(Table154[Country],Tabela1[[#This Row],[Country]],Table154[1000m Classification],"&gt;0")</f>
        <v>0</v>
      </c>
      <c r="QN195" s="6">
        <f>COUNTIFS(Table154157[Country],Tabela1[[#This Row],[Country]],Table154157[1000m Classification],"&gt;0")</f>
        <v>0</v>
      </c>
      <c r="QO195" s="6">
        <f>COUNTIFS(Table154[Country],Tabela1[[#This Row],[Country]],Table154[1500m Classification],"&gt;0")</f>
        <v>0</v>
      </c>
      <c r="QP195" s="6">
        <f>COUNTIFS(Table154157[Country],Tabela1[[#This Row],[Country]],Table154157[1500m Classification],"&gt;0")</f>
        <v>0</v>
      </c>
      <c r="QQ195" s="6">
        <f>COUNTIFS(Table154157[Country],Tabela1[[#This Row],[Country]],Table154157[3000m Classification],"&gt;0")</f>
        <v>0</v>
      </c>
      <c r="QR195" s="6">
        <f>COUNTIFS(Table154[Country],Tabela1[[#This Row],[Country]],Table154[5000m Classification],"&gt;0")</f>
        <v>0</v>
      </c>
      <c r="QS195" s="6">
        <f>COUNTIFS(Table154157[Country],Tabela1[[#This Row],[Country]],Table154157[5000m Classification],"&gt;0")</f>
        <v>0</v>
      </c>
      <c r="QT195" s="6">
        <f>COUNTIFS(Table154[Country],Tabela1[[#This Row],[Country]],Table154[10000m Classification],"&gt;0")</f>
        <v>0</v>
      </c>
      <c r="QU195" s="6">
        <f>COUNTIFS(Table154[Country],Tabela1[[#This Row],[Country]],Table154[Mass Start Classification],"&gt;0")</f>
        <v>0</v>
      </c>
      <c r="QV195" s="6">
        <f>COUNTIFS(Table154157[Country],Tabela1[[#This Row],[Country]],Table154157[Mass Start Classification],"&gt;0")</f>
        <v>0</v>
      </c>
      <c r="QW195" s="6">
        <f>COUNTIFS(Table157[Country],Tabela1[[#This Row],[Country]],Table157[Men''s Pursuit Classification],"&gt;0")</f>
        <v>0</v>
      </c>
      <c r="QX195" s="6">
        <f>COUNTIFS(Table157[Country],Tabela1[[#This Row],[Country]],Table157[Women''s Pursuit Classification],"&gt;0")</f>
        <v>0</v>
      </c>
      <c r="QY195" s="4" t="s">
        <v>661</v>
      </c>
    </row>
    <row r="196" spans="1:467" x14ac:dyDescent="0.3">
      <c r="A196" s="6">
        <v>195</v>
      </c>
      <c r="B196" s="6" t="s">
        <v>662</v>
      </c>
      <c r="C196" t="e" vm="195">
        <f>IF(ISBLANK(Tabela1[[#This Row],[Image Link]]), "", _xlfn.IMAGE(Tabela1[[#This Row],[Image Link]],1,1))</f>
        <v>#VALUE!</v>
      </c>
      <c r="D196" s="6">
        <f>SUM(Tabela1[[#This Row],[Archery - Men''s Individual Recurve]:[Speed Skating - Women''s Team Pursuit]])</f>
        <v>0</v>
      </c>
      <c r="E196" s="6">
        <f>COUNTIF(Tabela1[[#This Row],[Archery - Men''s Individual Recurve]:[Speed Skating - Women''s Team Pursuit]],"&gt;0")</f>
        <v>0</v>
      </c>
      <c r="F196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96" s="6">
        <f>SUM(Tabela1[[#This Row],[Archery - Men''s Individual Recurve]:[Wrestling - Women''s Freestyle 76kg]])</f>
        <v>0</v>
      </c>
      <c r="H196" s="6">
        <f>SUM(Tabela1[[#This Row],[Alpine Skiing - Men''s Downhill]:[Speed Skating - Women''s Team Pursuit]])</f>
        <v>0</v>
      </c>
      <c r="I196" s="6">
        <f>Tabela1[[#This Row],[Summer Gold Medals]]+Tabela1[[#This Row],[Winter Gold Medals]]</f>
        <v>0</v>
      </c>
      <c r="J196" s="6">
        <f>Tabela1[[#This Row],[Summer Silver Medals]]+Tabela1[[#This Row],[Winter Silver Medals]]</f>
        <v>0</v>
      </c>
      <c r="K196" s="6">
        <f>Tabela1[[#This Row],[Summer Bronze Medals]]+Tabela1[[#This Row],[Winter Bronze Medals]]</f>
        <v>0</v>
      </c>
      <c r="L196" s="6">
        <f>SUM(Tabela1[[#This Row],[Total Gold Medals]:[Total Bronze Medals]])</f>
        <v>0</v>
      </c>
      <c r="M196" s="6"/>
      <c r="N196" s="6"/>
      <c r="O196" s="6"/>
      <c r="P196" s="6">
        <f>SUM(Tabela1[[#This Row],[Summer Gold Medals]:[Summer Bronze Medals]])</f>
        <v>0</v>
      </c>
      <c r="Q196" s="6"/>
      <c r="R196" s="6"/>
      <c r="S196" s="6"/>
      <c r="T196" s="6">
        <f>Tabela1[[#This Row],[Winter Gold Medals]]+Tabela1[[#This Row],[Winter Silver Medals]]+Tabela1[[#This Row],[Winter Bronze Medals]]</f>
        <v>0</v>
      </c>
      <c r="U196" s="7" t="e">
        <f>Tabela1[[#This Row],[Total Medals]]/Tabela1[[#This Row],[Total Quotas]]</f>
        <v>#DIV/0!</v>
      </c>
      <c r="V196" s="6">
        <f>COUNTIFS(Table3[Country],Tabela1[[#This Row],[Country]],Table3[Recurve Classification],"&gt;0")</f>
        <v>0</v>
      </c>
      <c r="W196" s="6">
        <f>COUNTIFS(Table33[Country],Tabela1[[#This Row],[Country]],Table33[Recurve Classification],"&gt;0")</f>
        <v>0</v>
      </c>
      <c r="X196" s="6">
        <f>COUNTIFS(Table35[Country],Tabela1[[#This Row],[Country]],Table35[Men''s Team Recurve Classification],"&gt;0")</f>
        <v>0</v>
      </c>
      <c r="Y196" s="6">
        <f>COUNTIFS(Table35[Country],Tabela1[[#This Row],[Country]],Table35[Women''s Team Recurve Classification],"&gt;0")</f>
        <v>0</v>
      </c>
      <c r="Z196" s="6">
        <f>COUNTIFS(Tabela88[Country],Tabela1[[#This Row],[Country]],Tabela88[Mixed Team Recurve Classification],"&gt;0")</f>
        <v>0</v>
      </c>
      <c r="AA196" s="6">
        <f>COUNTIFS(Table36[Country],Tabela1[[#This Row],[Country]],Table36[Classification],"&gt;0")</f>
        <v>0</v>
      </c>
      <c r="AB196" s="6">
        <f>COUNTIFS(Table37[Country],Tabela1[[#This Row],[Country]],Table37[Classification],"&gt;0")</f>
        <v>0</v>
      </c>
      <c r="AC196" s="6">
        <f>COUNTIFS(Table4[Country],Tabela1[[#This Row],[Country]],Table4[100m Classification],"&gt;0")</f>
        <v>0</v>
      </c>
      <c r="AD196" s="6">
        <f>COUNTIFS(Table5[Country],Tabela1[[#This Row],[Country]],Table5[100m Classification],"&gt;0")</f>
        <v>0</v>
      </c>
      <c r="AE196" s="6">
        <f>COUNTIFS(Table4[Country],Tabela1[[#This Row],[Country]],Table4[200m Classification],"&gt;0")</f>
        <v>0</v>
      </c>
      <c r="AF196" s="6">
        <f>COUNTIFS(Table5[Country],Tabela1[[#This Row],[Country]],Table5[200m Classification],"&gt;0")</f>
        <v>0</v>
      </c>
      <c r="AG196" s="6">
        <f>COUNTIFS(Table4[Country],Tabela1[[#This Row],[Country]],Table4[400m Classification],"&gt;0")</f>
        <v>0</v>
      </c>
      <c r="AH196" s="6">
        <f>COUNTIFS(Table5[Country],Tabela1[[#This Row],[Country]],Table5[400m Classification],"&gt;0")</f>
        <v>0</v>
      </c>
      <c r="AI196" s="6">
        <f>COUNTIFS(Table4[Country],Tabela1[[#This Row],[Country]],Table4[800m Classification],"&gt;0")</f>
        <v>0</v>
      </c>
      <c r="AJ196" s="6">
        <f>COUNTIFS(Table5[Country],Tabela1[[#This Row],[Country]],Table5[800m Classification],"&gt;0")</f>
        <v>0</v>
      </c>
      <c r="AK196" s="6">
        <f>COUNTIFS(Table4[Country],Tabela1[[#This Row],[Country]],Table4[1500m Classification],"&gt;0")</f>
        <v>0</v>
      </c>
      <c r="AL196" s="6">
        <f>COUNTIFS(Table5[Country],Tabela1[[#This Row],[Country]],Table5[1500m Classification],"&gt;0")</f>
        <v>0</v>
      </c>
      <c r="AM196" s="6">
        <f>COUNTIFS(Table4[Country],Tabela1[[#This Row],[Country]],Table4[5000m Classification],"&gt;0")</f>
        <v>0</v>
      </c>
      <c r="AN196" s="6">
        <f>COUNTIFS(Table5[Country],Tabela1[[#This Row],[Country]],Table5[5000m Classification],"&gt;0")</f>
        <v>0</v>
      </c>
      <c r="AO196" s="6">
        <f>COUNTIFS(Table4[Country],Tabela1[[#This Row],[Country]],Table4[10000m Classification],"&gt;0")</f>
        <v>0</v>
      </c>
      <c r="AP196" s="6">
        <f>COUNTIFS(Table5[Country],Tabela1[[#This Row],[Country]],Table5[10000m Classification],"&gt;0")</f>
        <v>0</v>
      </c>
      <c r="AQ196" s="6">
        <f>COUNTIFS(Table4[Country],Tabela1[[#This Row],[Country]],Table4[110m Hurdles Classification],"&gt;0")</f>
        <v>0</v>
      </c>
      <c r="AR196" s="6">
        <f>COUNTIFS(Table5[Country],Tabela1[[#This Row],[Country]],Table5[100m Hurdles Classification],"&gt;0")</f>
        <v>0</v>
      </c>
      <c r="AS196" s="6">
        <f>COUNTIFS(Table4[Country],Tabela1[[#This Row],[Country]],Table4[400m Hurdles Classification],"&gt;0")</f>
        <v>0</v>
      </c>
      <c r="AT196" s="6">
        <f>COUNTIFS(Table5[Country],Tabela1[[#This Row],[Country]],Table5[400m Hurdles Classification],"&gt;0")</f>
        <v>0</v>
      </c>
      <c r="AU196" s="6">
        <f>COUNTIFS(Table4[Country],Tabela1[[#This Row],[Country]],Table4[3000m Steeplechase Classification],"&gt;0")</f>
        <v>0</v>
      </c>
      <c r="AV196" s="6">
        <f>COUNTIFS(Table5[Country],Tabela1[[#This Row],[Country]],Table5[3000m Steeplechase Classification],"&gt;0")</f>
        <v>0</v>
      </c>
      <c r="AW196" s="6">
        <f>COUNTIFS(Table27[Country],Tabela1[[#This Row],[Country]],Table27[Men''s 4x100m Relay Classification],"&gt;0")</f>
        <v>0</v>
      </c>
      <c r="AX196" s="6">
        <f>COUNTIFS(Table27[Country],Tabela1[[#This Row],[Country]],Table27[Women''s 4x100m Relay Classification],"&gt;0")</f>
        <v>0</v>
      </c>
      <c r="AY196" s="6">
        <f>COUNTIFS(Table27[Country],Tabela1[[#This Row],[Country]],Table27[Men''s 4x400m Relay Classification],"&gt;0")</f>
        <v>0</v>
      </c>
      <c r="AZ196" s="6">
        <f>COUNTIFS(Table27[Country],Tabela1[[#This Row],[Country]],Table27[Women''s 4x400m Relay Classification],"&gt;0")</f>
        <v>0</v>
      </c>
      <c r="BA196" s="6">
        <f>COUNTIFS(Table27[Country],Tabela1[[#This Row],[Country]],Table27[Mixed 4x400m Relay Classification],"&gt;0")</f>
        <v>0</v>
      </c>
      <c r="BB196" s="6">
        <f>COUNTIFS(Table4[Country],Tabela1[[#This Row],[Country]],Table4[Marathon Classification],"&gt;0")</f>
        <v>0</v>
      </c>
      <c r="BC196" s="6">
        <f>COUNTIFS(Table5[Country],Tabela1[[#This Row],[Country]],Table5[Marathon Classification],"&gt;0")</f>
        <v>0</v>
      </c>
      <c r="BD196" s="6">
        <f>COUNTIFS(Table4[Country],Tabela1[[#This Row],[Country]],Table4[20km Race Walk Classification],"&gt;0")</f>
        <v>0</v>
      </c>
      <c r="BE196" s="6">
        <f>COUNTIFS(Table5[Country],Tabela1[[#This Row],[Country]],Table5[20km Race Walk Classification],"&gt;0")</f>
        <v>0</v>
      </c>
      <c r="BF196" s="6">
        <f>COUNTIFS(Tabela96[Country],Tabela1[[#This Row],[Country]],Tabela96[Mixed Marathon Race Walk Relay Classification],"&gt;0")</f>
        <v>0</v>
      </c>
      <c r="BG196" s="6">
        <f>COUNTIFS(Table4[Country],Tabela1[[#This Row],[Country]],Table4[Discus Throw Classification],"&gt;0")</f>
        <v>0</v>
      </c>
      <c r="BH196" s="6">
        <f>COUNTIFS(Table5[Country],Tabela1[[#This Row],[Country]],Table5[Discus Throw Classification],"&gt;0")</f>
        <v>0</v>
      </c>
      <c r="BI196" s="6">
        <f>COUNTIFS(Table4[Country],Tabela1[[#This Row],[Country]],Table4[Hammer Throw Classification],"&gt;0")</f>
        <v>0</v>
      </c>
      <c r="BJ196" s="6">
        <f>COUNTIFS(Table5[Country],Tabela1[[#This Row],[Country]],Table5[Hammer Throw Classification],"&gt;0")</f>
        <v>0</v>
      </c>
      <c r="BK196" s="6">
        <f>COUNTIFS(Table4[Country],Tabela1[[#This Row],[Country]],Table4[High Jump Classification],"&gt;0")</f>
        <v>0</v>
      </c>
      <c r="BL196" s="6">
        <f>COUNTIFS(Table5[Country],Tabela1[[#This Row],[Country]],Table5[High Jump Classification],"&gt;0")</f>
        <v>0</v>
      </c>
      <c r="BM196" s="6">
        <f>COUNTIFS(Table4[Country],Tabela1[[#This Row],[Country]],Table4[Javelin Throw Classification],"&gt;0")</f>
        <v>0</v>
      </c>
      <c r="BN196" s="6">
        <f>COUNTIFS(Table5[Country],Tabela1[[#This Row],[Country]],Table5[Javelin Throw Classification],"&gt;0")</f>
        <v>0</v>
      </c>
      <c r="BO196" s="6">
        <f>COUNTIFS(Table4[Country],Tabela1[[#This Row],[Country]],Table4[Long Jump Classification],"&gt;0")</f>
        <v>0</v>
      </c>
      <c r="BP196" s="6">
        <f>COUNTIFS(Table5[Country],Tabela1[[#This Row],[Country]],Table5[Long Jump Classification],"&gt;0")</f>
        <v>0</v>
      </c>
      <c r="BQ196" s="6">
        <f>COUNTIFS(Table4[Country],Tabela1[[#This Row],[Country]],Table4[Pole Vault Classification],"&gt;0")</f>
        <v>0</v>
      </c>
      <c r="BR196" s="6">
        <f>COUNTIFS(Table5[Country],Tabela1[[#This Row],[Country]],Table5[Pole Vault Classification],"&gt;0")</f>
        <v>0</v>
      </c>
      <c r="BS196" s="6">
        <f>COUNTIFS(Table4[Country],Tabela1[[#This Row],[Country]],Table4[Shot Put Classification],"&gt;0")</f>
        <v>0</v>
      </c>
      <c r="BT196" s="6">
        <f>COUNTIFS(Table5[Country],Tabela1[[#This Row],[Country]],Table5[Shot Put Classification],"&gt;0")</f>
        <v>0</v>
      </c>
      <c r="BU196" s="6">
        <f>COUNTIFS(Table4[Country],Tabela1[[#This Row],[Country]],Table4[Triple Jump Classification],"&gt;0")</f>
        <v>0</v>
      </c>
      <c r="BV196" s="6">
        <f>COUNTIFS(Table5[Country],Tabela1[[#This Row],[Country]],Table5[Triple Jump Classification],"&gt;0")</f>
        <v>0</v>
      </c>
      <c r="BW196" s="6">
        <f>COUNTIFS(Table4[Country],Tabela1[[#This Row],[Country]],Table4[Decathlon Classification],"&gt;0")</f>
        <v>0</v>
      </c>
      <c r="BX196" s="6">
        <f>COUNTIFS(Table5[Country],Tabela1[[#This Row],[Country]],Table5[Heptathlon Classification],"&gt;0")</f>
        <v>0</v>
      </c>
      <c r="BY196" s="6">
        <f>COUNTIFS(Table61[Country],Tabela1[[#This Row],[Country]],Table61[Classification],"&gt;0")</f>
        <v>0</v>
      </c>
      <c r="BZ196" s="6">
        <f>COUNTIFS(Table38[Country],Tabela1[[#This Row],[Country]],Table38[Classification],"&gt;0")</f>
        <v>0</v>
      </c>
      <c r="CA196" s="6">
        <f>COUNTIFS(Table39[Country],Tabela1[[#This Row],[Country]],Table39[Men''s Classification],"&gt;0")</f>
        <v>0</v>
      </c>
      <c r="CB196" s="6">
        <f>COUNTIFS(Table39[Country],Tabela1[[#This Row],[Country]],Table39[Women''s Classification],"&gt;0")</f>
        <v>0</v>
      </c>
      <c r="CC196" s="6">
        <f>COUNTIFS(Table39[Country],Tabela1[[#This Row],[Country]],Table39[Mixed Classification],"&gt;0")</f>
        <v>0</v>
      </c>
      <c r="CD196" s="6">
        <f>COUNTIFS(Table89[Country],Tabela1[[#This Row],[Country]],Table89[Men''s Classification],"&gt;0")</f>
        <v>0</v>
      </c>
      <c r="CE196" s="6">
        <f>COUNTIFS(Table89[Country],Tabela1[[#This Row],[Country]],Table89[Women''s Classification],"&gt;0")</f>
        <v>0</v>
      </c>
      <c r="CF196" s="6">
        <f>COUNTIFS(Table90[Country],Tabela1[[#This Row],[Country]],Table90[Men''s Classification],"&gt;0")</f>
        <v>0</v>
      </c>
      <c r="CG196" s="6">
        <f>COUNTIFS(Table90[Country],Tabela1[[#This Row],[Country]],Table90[Women''s Classification],"&gt;0")</f>
        <v>0</v>
      </c>
      <c r="CH196" s="6">
        <f>COUNTIFS(Table60[Country],Tabela1[[#This Row],[Country]],Table60[Men''s Classification],"&gt;0")</f>
        <v>0</v>
      </c>
      <c r="CI196" s="6">
        <f>COUNTIFS(Table60[Country],Tabela1[[#This Row],[Country]],Table60[Women''s Classification],"&gt;0")</f>
        <v>0</v>
      </c>
      <c r="CJ196" s="6">
        <f>COUNTIFS(Table6[Country],Tabela1[[#This Row],[Country]],Table6[51kg Classification],"&gt;0")</f>
        <v>0</v>
      </c>
      <c r="CK196" s="6">
        <f>COUNTIFS(Table6[Country],Tabela1[[#This Row],[Country]],Table6[57kg Classification],"&gt;0")</f>
        <v>0</v>
      </c>
      <c r="CL196" s="6">
        <f>COUNTIFS(Table6[Country],Tabela1[[#This Row],[Country]],Table6[63.5kg Classification],"&gt;0")</f>
        <v>0</v>
      </c>
      <c r="CM196" s="6">
        <f>COUNTIFS(Table6[Country],Tabela1[[#This Row],[Country]],Table6[71kg Classification],"&gt;0")</f>
        <v>0</v>
      </c>
      <c r="CN196" s="6">
        <f>COUNTIFS(Table6[Country],Tabela1[[#This Row],[Country]],Table6[80kg Classification],"&gt;0")</f>
        <v>0</v>
      </c>
      <c r="CO196" s="6">
        <f>COUNTIFS(Table6[Country],Tabela1[[#This Row],[Country]],Table6[92kg Classification],"&gt;0")</f>
        <v>0</v>
      </c>
      <c r="CP196" s="6">
        <f>COUNTIFS(Table6[Country],Tabela1[[#This Row],[Country]],Table6[Plus 92kg Classification],"&gt;0")</f>
        <v>0</v>
      </c>
      <c r="CQ196" s="6">
        <f>COUNTIFS(Table7[Country],Tabela1[[#This Row],[Country]],Table7[50kg Classification],"&gt;0")</f>
        <v>0</v>
      </c>
      <c r="CR196" s="6">
        <f>COUNTIFS(Table7[Country],Tabela1[[#This Row],[Country]],Table7[54kg Classification],"&gt;0")</f>
        <v>0</v>
      </c>
      <c r="CS196" s="6">
        <f>COUNTIFS(Table7[Country],Tabela1[[#This Row],[Country]],Table7[57kg Classification],"&gt;0")</f>
        <v>0</v>
      </c>
      <c r="CT196" s="6">
        <f>COUNTIFS(Table7[Country],Tabela1[[#This Row],[Country]],Table7[60kg Classification],"&gt;0")</f>
        <v>0</v>
      </c>
      <c r="CU196" s="6">
        <f>COUNTIFS(Table7[Country],Tabela1[[#This Row],[Country]],Table7[66kg Classification],"&gt;0")</f>
        <v>0</v>
      </c>
      <c r="CV196" s="6">
        <f>COUNTIFS(Table7[Country],Tabela1[[#This Row],[Country]],Table7[75kg Classification],"&gt;0")</f>
        <v>0</v>
      </c>
      <c r="CW196" s="6">
        <f>COUNTIFS(Tabela94[Country],Tabela1[[#This Row],[Country]],Tabela94[Classification],"&gt;0")</f>
        <v>0</v>
      </c>
      <c r="CX196" s="6">
        <f>COUNTIFS(Tabela9499[Country],Tabela1[[#This Row],[Country]],Tabela9499[Classification],"&gt;0")</f>
        <v>0</v>
      </c>
      <c r="CY196" s="6">
        <f>COUNTIFS(Tabela107[Country],Tabela1[[#This Row],[Country]],Tabela107[C1 Slalom Classification],"&gt;0")</f>
        <v>0</v>
      </c>
      <c r="CZ196" s="6">
        <f>COUNTIFS(Tabela107122[Country],Tabela1[[#This Row],[Country]],Tabela107122[C1 Slalom Classification],"&gt;0")</f>
        <v>0</v>
      </c>
      <c r="DA196" s="6">
        <f>COUNTIFS(Tabela107[Country],Tabela1[[#This Row],[Country]],Tabela107[K1 Slalom Classification],"&gt;0")</f>
        <v>0</v>
      </c>
      <c r="DB196" s="6">
        <f>COUNTIFS(Tabela107122[Country],Tabela1[[#This Row],[Country]],Tabela107122[K1 Slalom Classification],"&gt;0")</f>
        <v>0</v>
      </c>
      <c r="DC196" s="6">
        <f>COUNTIFS(Tabela107[Country],Tabela1[[#This Row],[Country]],Tabela107[Kayak Cross Slalom Classification],"&gt;0")</f>
        <v>0</v>
      </c>
      <c r="DD196" s="6">
        <f>COUNTIFS(Tabela107122[Country],Tabela1[[#This Row],[Country]],Tabela107122[Kayak Cross Slalom Classification],"&gt;0")</f>
        <v>0</v>
      </c>
      <c r="DE196" s="6">
        <f>COUNTIFS(Table8[Country],Tabela1[[#This Row],[Country]],Table8[C1 200m Classification],"&gt;0")</f>
        <v>0</v>
      </c>
      <c r="DF196" s="6">
        <f>COUNTIFS(Table40[Country],Tabela1[[#This Row],[Country]],Table40[C1 1000m Classification],"&gt;0")</f>
        <v>0</v>
      </c>
      <c r="DG196" s="6">
        <f>COUNTIFS(Table68[Country],Tabela1[[#This Row],[Country]],Table68[Men''s C2 500m Classification],"&gt;0")</f>
        <v>0</v>
      </c>
      <c r="DH196" s="6">
        <f>COUNTIFS(Table68[Country],Tabela1[[#This Row],[Country]],Table68[Women''s C2 500m Classification],"&gt;0")</f>
        <v>0</v>
      </c>
      <c r="DI196" s="6">
        <f>COUNTIFS(Table8[Country],Tabela1[[#This Row],[Country]],Table8[K1 500m Classification],"&gt;0")</f>
        <v>0</v>
      </c>
      <c r="DJ196" s="6">
        <f>COUNTIFS(Table40[Country],Tabela1[[#This Row],[Country]],Table40[K1 1000m Classification],"&gt;0")</f>
        <v>0</v>
      </c>
      <c r="DK196" s="6">
        <f>COUNTIFS(Table68[Country],Tabela1[[#This Row],[Country]],Table68[Men''s K2 500m Classification],"&gt;0")</f>
        <v>0</v>
      </c>
      <c r="DL196" s="6">
        <f>COUNTIFS(Table68[Country],Tabela1[[#This Row],[Country]],Table68[Women''s K2 500m Classification],"&gt;0")</f>
        <v>0</v>
      </c>
      <c r="DM196" s="6">
        <f>COUNTIFS(Table83[Country],Tabela1[[#This Row],[Country]],Table83[Men''s K4 500m Classification],"&gt;0")</f>
        <v>0</v>
      </c>
      <c r="DN196" s="6">
        <f>COUNTIFS(Table83[Country],Tabela1[[#This Row],[Country]],Table83[Women''s K4 500m Classification],"&gt;0")</f>
        <v>0</v>
      </c>
      <c r="DO196" s="6">
        <f>COUNTIFS(Tabela126[Country],Tabela1[[#This Row],[Country]],Tabela126[Classification],"&gt;0")</f>
        <v>0</v>
      </c>
      <c r="DP196" s="6">
        <f>COUNTIFS(Tabela126130[Country],Tabela1[[#This Row],[Country]],Tabela126130[Classification],"&gt;0")</f>
        <v>0</v>
      </c>
      <c r="DQ196" s="6">
        <f>COUNTIFS(Table70[Country],Tabela1[[#This Row],[Country]],Table70[Classification],"&gt;0")</f>
        <v>0</v>
      </c>
      <c r="DR196" s="6">
        <f>COUNTIFS(Table80[Country],Tabela1[[#This Row],[Country]],Table80[Classification],"&gt;0")</f>
        <v>0</v>
      </c>
      <c r="DS196" s="6">
        <f>COUNTIFS(Table66[Country],Tabela1[[#This Row],[Country]],Table66[Classification],"&gt;0")</f>
        <v>0</v>
      </c>
      <c r="DT196" s="6">
        <f>COUNTIFS(Table67[Country],Tabela1[[#This Row],[Country]],Table67[Classification],"&gt;0")</f>
        <v>0</v>
      </c>
      <c r="DU196" s="6">
        <f>COUNTIFS(Table69[Country],Tabela1[[#This Row],[Country]],Table69[Keirin Classification],"&gt;0")</f>
        <v>0</v>
      </c>
      <c r="DV196" s="6">
        <f>COUNTIFS(Table41[Country],Tabela1[[#This Row],[Country]],Table41[Keirin Classification],"&gt;0")</f>
        <v>0</v>
      </c>
      <c r="DW196" s="6">
        <f>COUNTIFS(Table84[Country],Tabela1[[#This Row],[Country]],Table84[Men''s Madison Classification],"&gt;0")</f>
        <v>0</v>
      </c>
      <c r="DX196" s="6">
        <f>COUNTIFS(Table84[Country],Tabela1[[#This Row],[Country]],Table84[Women''s Madison Classification],"&gt;0")</f>
        <v>0</v>
      </c>
      <c r="DY196" s="6">
        <f>COUNTIFS(Table69[Country],Tabela1[[#This Row],[Country]],Table69[Omnium Classification],"&gt;0")</f>
        <v>0</v>
      </c>
      <c r="DZ196" s="6">
        <f>COUNTIFS(Table41[Country],Tabela1[[#This Row],[Country]],Table41[Omnium Classification],"&gt;0")</f>
        <v>0</v>
      </c>
      <c r="EA196" s="6">
        <f>COUNTIFS(Table9[Country],Tabela1[[#This Row],[Country]],Table9[Road Race Classification],"&gt;0")</f>
        <v>0</v>
      </c>
      <c r="EB196" s="6">
        <f>COUNTIFS(Table14[Country],Tabela1[[#This Row],[Country]],Table14[Road Race Classification],"&gt;0")</f>
        <v>0</v>
      </c>
      <c r="EC196" s="6">
        <f>COUNTIFS(Table69[Country],Tabela1[[#This Row],[Country]],Table69[Sprint Classification],"&gt;0")</f>
        <v>0</v>
      </c>
      <c r="ED196" s="6">
        <f>COUNTIFS(Table41[Country],Tabela1[[#This Row],[Country]],Table41[Sprint Classification],"&gt;0")</f>
        <v>0</v>
      </c>
      <c r="EE196" s="6">
        <f>COUNTIFS(Table85[Country],Tabela1[[#This Row],[Country]],Table85[Men''s Sprint Classification],"&gt;0")</f>
        <v>0</v>
      </c>
      <c r="EF196" s="6">
        <f>COUNTIFS(Table85[Country],Tabela1[[#This Row],[Country]],Table85[Women''s Sprint Classification],"&gt;0")</f>
        <v>0</v>
      </c>
      <c r="EG196" s="6">
        <f>COUNTIFS(Table85[Country],Tabela1[[#This Row],[Country]],Table85[Men''s Pursuit Classification],"&gt;0")</f>
        <v>0</v>
      </c>
      <c r="EH196" s="6">
        <f>COUNTIFS(Table85[Country],Tabela1[[#This Row],[Country]],Table85[Women''s Pursuit Classification],"&gt;0")</f>
        <v>0</v>
      </c>
      <c r="EI196" s="6">
        <f>COUNTIFS(Table9[Country],Tabela1[[#This Row],[Country]],Table9[Time-Trial Classification],"&gt;0")</f>
        <v>0</v>
      </c>
      <c r="EJ196" s="6">
        <f>COUNTIFS(Table14[Country],Tabela1[[#This Row],[Country]],Table14[Time-Trial Classification],"&gt;0")</f>
        <v>0</v>
      </c>
      <c r="EK196" s="6">
        <f>COUNTIFS(Table42[Country],Tabela1[[#This Row],[Country]],Table42[Springboard Classification],"&gt;0")</f>
        <v>0</v>
      </c>
      <c r="EL196" s="6">
        <f>COUNTIFS(Table43[Country],Tabela1[[#This Row],[Country]],Table43[Springboard Classification],"&gt;0")</f>
        <v>0</v>
      </c>
      <c r="EM196" s="6">
        <f>COUNTIFS(Table42[Country],Tabela1[[#This Row],[Country]],Table42[Platform Classification],"&gt;0")</f>
        <v>0</v>
      </c>
      <c r="EN196" s="6">
        <f>COUNTIFS(Table43[Country],Tabela1[[#This Row],[Country]],Table43[Platform Classification],"&gt;0")</f>
        <v>0</v>
      </c>
      <c r="EO196" s="6">
        <f>COUNTIFS(Table86[Country],Tabela1[[#This Row],[Country]],Table86[Men''s Synchronized Springboard Classification],"&gt;0")</f>
        <v>0</v>
      </c>
      <c r="EP196" s="6">
        <f>COUNTIFS(Table86[Country],Tabela1[[#This Row],[Country]],Table86[Women''s Synchronized Springboard Classification],"&gt;0")</f>
        <v>0</v>
      </c>
      <c r="EQ196" s="6">
        <f>COUNTIFS(Table86[Country],Tabela1[[#This Row],[Country]],Table86[Men''s Synchronized Platform Classification],"&gt;0")</f>
        <v>0</v>
      </c>
      <c r="ER196" s="6">
        <f>COUNTIFS(Table86[Country],Tabela1[[#This Row],[Country]],Table86[Women''s Synchronized Platform Classification],"&gt;0")</f>
        <v>0</v>
      </c>
      <c r="ES196" s="6">
        <f>COUNTIFS(Table44[Country],Tabela1[[#This Row],[Country]],Table44[Dressage Classification],"&gt;0")</f>
        <v>0</v>
      </c>
      <c r="ET196" s="6">
        <f>COUNTIFS(Table45[Country],Tabela1[[#This Row],[Country]],Table45[Dressage Classification],"&gt;0")</f>
        <v>0</v>
      </c>
      <c r="EU196" s="6">
        <f>COUNTIFS(Table44[Country],Tabela1[[#This Row],[Country]],Table44[Eventing Classification],"&gt;0")</f>
        <v>0</v>
      </c>
      <c r="EV196" s="6">
        <f>COUNTIFS(Table45[Country],Tabela1[[#This Row],[Country]],Table45[Eventing Classification],"&gt;0")</f>
        <v>0</v>
      </c>
      <c r="EW196" s="6">
        <f>COUNTIFS(Table44[Country],Tabela1[[#This Row],[Country]],Table44[Jumping Classification],"&gt;0")</f>
        <v>0</v>
      </c>
      <c r="EX196" s="6">
        <f>COUNTIFS(Table45[Country],Tabela1[[#This Row],[Country]],Table45[Jumping Classification],"&gt;0")</f>
        <v>0</v>
      </c>
      <c r="EY196" s="6">
        <f>COUNTIFS(Table10[Country],Tabela1[[#This Row],[Country]],Table10[Épée Classification],"&gt;0")</f>
        <v>0</v>
      </c>
      <c r="EZ196" s="6">
        <f>COUNTIFS(Table11[Country],Tabela1[[#This Row],[Country]],Table11[Épée Classification],"&gt;0")</f>
        <v>0</v>
      </c>
      <c r="FA196" s="6">
        <f>COUNTIFS(Table46[Country],Tabela1[[#This Row],[Country]],Table46[Men''s Épée Classification],"&gt;0")</f>
        <v>0</v>
      </c>
      <c r="FB196" s="6">
        <f>COUNTIFS(Table46[Country],Tabela1[[#This Row],[Country]],Table46[Women''s Épée Classification],"&gt;0")</f>
        <v>0</v>
      </c>
      <c r="FC196" s="6">
        <f>COUNTIFS(Table10[Country],Tabela1[[#This Row],[Country]],Table10[Foil Classification],"&gt;0")</f>
        <v>0</v>
      </c>
      <c r="FD196" s="6">
        <f>COUNTIFS(Table11[Country],Tabela1[[#This Row],[Country]],Table11[Foil Classification],"&gt;0")</f>
        <v>0</v>
      </c>
      <c r="FE196" s="6">
        <f>COUNTIFS(Table46[Country],Tabela1[[#This Row],[Country]],Table46[Men''s Foil Classification],"&gt;0")</f>
        <v>0</v>
      </c>
      <c r="FF196" s="6">
        <f>COUNTIFS(Table46[Country],Tabela1[[#This Row],[Country]],Table46[Women''s Foil Classification],"&gt;0")</f>
        <v>0</v>
      </c>
      <c r="FG196" s="6">
        <f>COUNTIFS(Table10[Country],Tabela1[[#This Row],[Country]],Table10[Sabre Classification],"&gt;0")</f>
        <v>0</v>
      </c>
      <c r="FH196" s="6">
        <f>COUNTIFS(Table11[Country],Tabela1[[#This Row],[Country]],Table11[Sabre Classification],"&gt;0")</f>
        <v>0</v>
      </c>
      <c r="FI196" s="6">
        <f>COUNTIFS(Table46[Country],Tabela1[[#This Row],[Country]],Table46[Men''s Sabre Classification],"&gt;0")</f>
        <v>0</v>
      </c>
      <c r="FJ196" s="6">
        <f>COUNTIFS(Table46[Country],Tabela1[[#This Row],[Country]],Table46[Women''s Sabre Classification],"&gt;0")</f>
        <v>0</v>
      </c>
      <c r="FK196" s="6">
        <f>COUNTIFS(Table91[Country],Tabela1[[#This Row],[Country]],Table91[Men''s Classification],"&gt;0")</f>
        <v>0</v>
      </c>
      <c r="FL196" s="6">
        <f>COUNTIFS(Table91[Country],Tabela1[[#This Row],[Country]],Table91[Women''s Classification],"&gt;0")</f>
        <v>0</v>
      </c>
      <c r="FM196" s="6">
        <f>COUNTIFS(Table9194[Country],Tabela1[[#This Row],[Country]],Table9194[Men''s Classification],"&gt;0")</f>
        <v>0</v>
      </c>
      <c r="FN196" s="6">
        <f>COUNTIFS(Table9194[Country],Tabela1[[#This Row],[Country]],Table9194[Women''s Classification],"&gt;0")</f>
        <v>0</v>
      </c>
      <c r="FO196" s="6">
        <f>COUNTIFS(Table71[Country],Tabela1[[#This Row],[Country]],Table71[Classification],"&gt;0")</f>
        <v>0</v>
      </c>
      <c r="FP196" s="6">
        <f>COUNTIFS(Table62[Country],Tabela1[[#This Row],[Country]],Table62[Classification],"&gt;0")</f>
        <v>0</v>
      </c>
      <c r="FQ196" s="6">
        <f>COUNTIFS(Table47[Country],Tabela1[[#This Row],[Country]],Table47[All-Around Classification],"&gt;0")</f>
        <v>0</v>
      </c>
      <c r="FR196" s="6">
        <f>COUNTIFS(Table48[Country],Tabela1[[#This Row],[Country]],Table48[All-Around Classification],"&gt;0")</f>
        <v>0</v>
      </c>
      <c r="FS196" s="6">
        <f>COUNTIFS(Table81[Country],Tabela1[[#This Row],[Country]],Table81[Men''s All-Around Classification],"&gt;0")</f>
        <v>0</v>
      </c>
      <c r="FT196" s="6">
        <f>COUNTIFS(Table81[Country],Tabela1[[#This Row],[Country]],Table81[Women''s All-Around Classification],"&gt;0")</f>
        <v>0</v>
      </c>
      <c r="FU196" s="6">
        <f>COUNTIFS(Table48[Country],Tabela1[[#This Row],[Country]],Table48[Balance Beam Classification],"&gt;0")</f>
        <v>0</v>
      </c>
      <c r="FV196" s="6">
        <f>COUNTIFS(Table47[Country],Tabela1[[#This Row],[Country]],Table47[Floor Exercise Classification],"&gt;0")</f>
        <v>0</v>
      </c>
      <c r="FW196" s="6">
        <f>COUNTIFS(Table48[Country],Tabela1[[#This Row],[Country]],Table48[Floor Exercise Classification],"&gt;0")</f>
        <v>0</v>
      </c>
      <c r="FX196" s="6">
        <f>COUNTIFS(Table47[Country],Tabela1[[#This Row],[Country]],Table47[Horizontal Bar Classification],"&gt;0")</f>
        <v>0</v>
      </c>
      <c r="FY196" s="6">
        <f>COUNTIFS(Table47[Country],Tabela1[[#This Row],[Country]],Table47[Parallel Bars Classification],"&gt;0")</f>
        <v>0</v>
      </c>
      <c r="FZ196" s="6">
        <f>COUNTIFS(Table47[Country],Tabela1[[#This Row],[Country]],Table47[Pommel Horse Classification],"&gt;0")</f>
        <v>0</v>
      </c>
      <c r="GA196" s="6">
        <f>COUNTIFS(Table47[Country],Tabela1[[#This Row],[Country]],Table47[Rings Classification],"&gt;0")</f>
        <v>0</v>
      </c>
      <c r="GB196" s="6">
        <f>COUNTIFS(Tabela132[Country],Tabela1[[#This Row],[Country]],Tabela132[Classification],"&gt;0")</f>
        <v>0</v>
      </c>
      <c r="GC196" s="6">
        <f>COUNTIFS(Tabela139[Country],Tabela1[[#This Row],[Country]],Tabela139[Classification],"&gt;0")</f>
        <v>0</v>
      </c>
      <c r="GD196" s="6">
        <f>COUNTIFS(Table48[Country],Tabela1[[#This Row],[Country]],Table48[Uneven Bars Classification],"&gt;0")</f>
        <v>0</v>
      </c>
      <c r="GE196" s="6">
        <f>COUNTIFS(Table47[Country],Tabela1[[#This Row],[Country]],Table47[Vault Classification],"&gt;0")</f>
        <v>0</v>
      </c>
      <c r="GF196" s="6">
        <f>COUNTIFS(Table48[Country],Tabela1[[#This Row],[Country]],Table48[Vault Classification],"&gt;0")</f>
        <v>0</v>
      </c>
      <c r="GG196" s="6">
        <f>COUNTIFS(Table919496[Country],Tabela1[[#This Row],[Country]],Table919496[Men''s Classification],"&gt;0")</f>
        <v>0</v>
      </c>
      <c r="GH196" s="6">
        <f>COUNTIFS(Table919496[Country],Tabela1[[#This Row],[Country]],Table919496[Women''s Classification],"&gt;0")</f>
        <v>0</v>
      </c>
      <c r="GI196" s="6">
        <f>COUNTIFS(Table12[Country],Tabela1[[#This Row],[Country]],Table12[60kg Classification],"&gt;0")</f>
        <v>0</v>
      </c>
      <c r="GJ196" s="6">
        <f>COUNTIFS(Table12[Country],Tabela1[[#This Row],[Country]],Table12[66kg Classification],"&gt;0")</f>
        <v>0</v>
      </c>
      <c r="GK196" s="6">
        <f>COUNTIFS(Table12[Country],Tabela1[[#This Row],[Country]],Table12[73kg Classification],"&gt;0")</f>
        <v>0</v>
      </c>
      <c r="GL196" s="6">
        <f>COUNTIFS(Table12[Country],Tabela1[[#This Row],[Country]],Table12[81kg Classification],"&gt;0")</f>
        <v>0</v>
      </c>
      <c r="GM196" s="6">
        <f>COUNTIFS(Table12[Country],Tabela1[[#This Row],[Country]],Table12[90kg Classification],"&gt;0")</f>
        <v>0</v>
      </c>
      <c r="GN196" s="6">
        <f>COUNTIFS(Table12[Country],Tabela1[[#This Row],[Country]],Table12[100kg Classification],"&gt;0")</f>
        <v>0</v>
      </c>
      <c r="GO196" s="6">
        <f>COUNTIFS(Table12[Country],Tabela1[[#This Row],[Country]],Table12[Plus 100kg Classification],"&gt;0")</f>
        <v>0</v>
      </c>
      <c r="GP196" s="6">
        <f>COUNTIFS(Table13[Country],Tabela1[[#This Row],[Country]],Table13[48kg Classification],"&gt;0")</f>
        <v>0</v>
      </c>
      <c r="GQ196" s="6">
        <f>COUNTIFS(Table13[Country],Tabela1[[#This Row],[Country]],Table13[52kg Classification],"&gt;0")</f>
        <v>0</v>
      </c>
      <c r="GR196" s="6">
        <f>COUNTIFS(Table13[Country],Tabela1[[#This Row],[Country]],Table13[57kg Classification],"&gt;0")</f>
        <v>0</v>
      </c>
      <c r="GS196" s="6">
        <f>COUNTIFS(Table13[Country],Tabela1[[#This Row],[Country]],Table13[63kg Classification],"&gt;0")</f>
        <v>0</v>
      </c>
      <c r="GT196" s="6">
        <f>COUNTIFS(Table13[Country],Tabela1[[#This Row],[Country]],Table13[70kg Classification],"&gt;0")</f>
        <v>0</v>
      </c>
      <c r="GU196" s="6">
        <f>COUNTIFS(Table13[Country],Tabela1[[#This Row],[Country]],Table13[78kg Classification],"&gt;0")</f>
        <v>0</v>
      </c>
      <c r="GV196" s="6">
        <f>COUNTIFS(Table13[Country],Tabela1[[#This Row],[Country]],Table13[Plus 78kg Classification],"&gt;0")</f>
        <v>0</v>
      </c>
      <c r="GW196" s="6">
        <f>COUNTIFS(Table82[Country],Tabela1[[#This Row],[Country]],Table82[Mixed Classification],"&gt;0")</f>
        <v>0</v>
      </c>
      <c r="GX196" s="6">
        <f>COUNTIFS(Table51[Country],Tabela1[[#This Row],[Country]],Table51[Classification],"&gt;0")</f>
        <v>0</v>
      </c>
      <c r="GY196" s="6">
        <f>COUNTIFS(Table52[Country],Tabela1[[#This Row],[Country]],Table52[Classification],"&gt;0")</f>
        <v>0</v>
      </c>
      <c r="GZ196" s="6">
        <f>COUNTIFS(Table32[Country],Tabela1[[#This Row],[Country]],Table32[All-Around Classification],"&gt;0")</f>
        <v>0</v>
      </c>
      <c r="HA196" s="6">
        <f>COUNTIFS(Table49[Country],Tabela1[[#This Row],[Country]],Table49[All-Around Classification],"&gt;0")</f>
        <v>0</v>
      </c>
      <c r="HB196" s="6">
        <f>COUNTIFS(Table26[Country],Tabela1[[#This Row],[Country]],Table26[Single Sculls Classification],"&gt;0")</f>
        <v>0</v>
      </c>
      <c r="HC196" s="6">
        <f>COUNTIFS(Table63[Country],Tabela1[[#This Row],[Country]],Table63[Single Sculls Classification],"&gt;0")</f>
        <v>0</v>
      </c>
      <c r="HD196" s="6">
        <f>COUNTIFS(Table16[Country],Tabela1[[#This Row],[Country]],Table16[Men''s Double Sculls Classification],"&gt;0")</f>
        <v>0</v>
      </c>
      <c r="HE196" s="6">
        <f>COUNTIFS(Table16[Country],Tabela1[[#This Row],[Country]],Table16[Women''s Double Sculls Classification],"&gt;0")</f>
        <v>0</v>
      </c>
      <c r="HF196" s="6">
        <f>COUNTIFS(Table72[Country],Tabela1[[#This Row],[Country]],Table72[Men''s Quadruple Sculls Classification],"&gt;0")</f>
        <v>0</v>
      </c>
      <c r="HG196" s="6">
        <f>COUNTIFS(Table72[Country],Tabela1[[#This Row],[Country]],Table72[Women''s Quadruple Sculls Classification],"&gt;0")</f>
        <v>0</v>
      </c>
      <c r="HH196" s="6">
        <f>COUNTIFS(Table16[Country],Tabela1[[#This Row],[Country]],Table16[Men''s Coxless Pairs Classification],"&gt;0")</f>
        <v>0</v>
      </c>
      <c r="HI196" s="6">
        <f>COUNTIFS(Table16[Country],Tabela1[[#This Row],[Country]],Table16[Women''s Coxless Pairs Classification],"&gt;0")</f>
        <v>0</v>
      </c>
      <c r="HJ196" s="6">
        <f>COUNTIFS(Table72[Country],Tabela1[[#This Row],[Country]],Table72[Men''s Coxless Fours Classification],"&gt;0")</f>
        <v>0</v>
      </c>
      <c r="HK196" s="6">
        <f>COUNTIFS(Table72[Country],Tabela1[[#This Row],[Country]],Table72[Women''s Coxless Fours Classification],"&gt;0")</f>
        <v>0</v>
      </c>
      <c r="HL196" s="6">
        <f>COUNTIFS(Table72[Country],Tabela1[[#This Row],[Country]],Table72[Men''s Eights Classification],"&gt;0")</f>
        <v>0</v>
      </c>
      <c r="HM196" s="6">
        <f>COUNTIFS(Table72[Country],Tabela1[[#This Row],[Country]],Table72[Women''s Eights Classification],"&gt;0")</f>
        <v>0</v>
      </c>
      <c r="HN196" s="6">
        <f>COUNTIFS(Table16[Country],Tabela1[[#This Row],[Country]],Table16[Men''s Lwt. Double Sculls Classification],"&gt;0")</f>
        <v>0</v>
      </c>
      <c r="HO196" s="6">
        <f>COUNTIFS(Table16[Country],Tabela1[[#This Row],[Country]],Table16[Women''s Lwt. Double Sculls Classification],"&gt;0")</f>
        <v>0</v>
      </c>
      <c r="HP196" s="6">
        <f>COUNTIFS(Table91949698[Country],Tabela1[[#This Row],[Country]],Table91949698[Men''s Classification],"&gt;0")</f>
        <v>0</v>
      </c>
      <c r="HQ196" s="6">
        <f>COUNTIFS(Table91949698[Country],Tabela1[[#This Row],[Country]],Table91949698[Women''s Classification],"&gt;0")</f>
        <v>0</v>
      </c>
      <c r="HR196" s="6">
        <f>COUNTIFS(Table25[Country],Tabela1[[#This Row],[Country]],Table25[Mixed 470 Classification],"&gt;0")</f>
        <v>0</v>
      </c>
      <c r="HS196" s="6">
        <f>COUNTIFS(Table25[Country],Tabela1[[#This Row],[Country]],Table25[Men''s 49er Classification],"&gt;0")</f>
        <v>0</v>
      </c>
      <c r="HT196" s="6">
        <f>COUNTIFS(Table25[Country],Tabela1[[#This Row],[Country]],Table25[Women''s 49er FX Classification],"&gt;0")</f>
        <v>0</v>
      </c>
      <c r="HU196" s="6">
        <f>COUNTIFS(Table17[Country],Tabela1[[#This Row],[Country]],Table17[Formula Kite Classification],"&gt;0")</f>
        <v>0</v>
      </c>
      <c r="HV196" s="6">
        <f>COUNTIFS(Table18[Country],Tabela1[[#This Row],[Country]],Table18[Formula Kite Classification],"&gt;0")</f>
        <v>0</v>
      </c>
      <c r="HW196" s="6">
        <f>COUNTIFS(Table17[Country],Tabela1[[#This Row],[Country]],Table17[ILCA 7 Classification],"&gt;0")</f>
        <v>0</v>
      </c>
      <c r="HX196" s="6">
        <f>COUNTIFS(Table18[Country],Tabela1[[#This Row],[Country]],Table18[ILCA 6 Classification],"&gt;0")</f>
        <v>0</v>
      </c>
      <c r="HY196" s="6">
        <f>COUNTIFS(Table17[Country],Tabela1[[#This Row],[Country]],Table17[IQFoil Classification],"&gt;0")</f>
        <v>0</v>
      </c>
      <c r="HZ196" s="6">
        <f>COUNTIFS(Table18[Country],Tabela1[[#This Row],[Country]],Table18[IQFoil Classification],"&gt;0")</f>
        <v>0</v>
      </c>
      <c r="IA196" s="6">
        <f>COUNTIFS(Table25[Country],Tabela1[[#This Row],[Country]],Table25[Mixed Nacra 17 Classification],"&gt;0")</f>
        <v>0</v>
      </c>
      <c r="IB196" s="6">
        <f>COUNTIFS(Table53[Country],Tabela1[[#This Row],[Country]],Table53[10m Air Pistol Classification],"&gt;0")</f>
        <v>0</v>
      </c>
      <c r="IC196" s="6">
        <f>COUNTIFS(Table19[Country],Tabela1[[#This Row],[Country]],Table19[10m Air Pistol Classification],"&gt;0")</f>
        <v>0</v>
      </c>
      <c r="ID196" s="6">
        <f>COUNTIFS(Table54[Country],Tabela1[[#This Row],[Country]],Table54[Mixed 10m Air Pistol Team Classification],"&gt;0")</f>
        <v>0</v>
      </c>
      <c r="IE196" s="6">
        <f>COUNTIFS(Table53[Country],Tabela1[[#This Row],[Country]],Table53[10m Air Rifle Classification],"&gt;0")</f>
        <v>0</v>
      </c>
      <c r="IF196" s="6">
        <f>COUNTIFS(Table19[Country],Tabela1[[#This Row],[Country]],Table19[10m Air Rifle Classification],"&gt;0")</f>
        <v>0</v>
      </c>
      <c r="IG196" s="6">
        <f>COUNTIFS(Table54[Country],Tabela1[[#This Row],[Country]],Table54[Mixed 10m Air Rifle Team Classification],"&gt;0")</f>
        <v>0</v>
      </c>
      <c r="IH196" s="6">
        <f>COUNTIFS(Table53[Country],Tabela1[[#This Row],[Country]],Table53[25m Rapid Fire Pistol Classification],"&gt;0")</f>
        <v>0</v>
      </c>
      <c r="II196" s="6">
        <f>COUNTIFS(Table19[Country],Tabela1[[#This Row],[Country]],Table19[25m Pistol Classification],"&gt;0")</f>
        <v>0</v>
      </c>
      <c r="IJ196" s="6">
        <f>COUNTIFS(Table53[Country],Tabela1[[#This Row],[Country]],Table53[50m Rifle 3 Positions Classification],"&gt;0")</f>
        <v>0</v>
      </c>
      <c r="IK196" s="6">
        <f>COUNTIFS(Table19[Country],Tabela1[[#This Row],[Country]],Table19[50m Rifle 3 Positions Classification],"&gt;0")</f>
        <v>0</v>
      </c>
      <c r="IL196" s="6">
        <f>COUNTIFS(Table53[Country],Tabela1[[#This Row],[Country]],Table53[Skeet Classification],"&gt;0")</f>
        <v>0</v>
      </c>
      <c r="IM196" s="6">
        <f>COUNTIFS(Table19[Country],Tabela1[[#This Row],[Country]],Table19[Skeet Classification],"&gt;0")</f>
        <v>0</v>
      </c>
      <c r="IN196" s="6">
        <f>COUNTIFS(Table54[Country],Tabela1[[#This Row],[Country]],Table54[Mixed Skeet Team Classification],"&gt;0")</f>
        <v>0</v>
      </c>
      <c r="IO196" s="6">
        <f>COUNTIFS(Table53[Country],Tabela1[[#This Row],[Country]],Table53[Trap Classification],"&gt;0")</f>
        <v>0</v>
      </c>
      <c r="IP196" s="6">
        <f>COUNTIFS(Table19[Country],Tabela1[[#This Row],[Country]],Table19[Trap Classification],"&gt;0")</f>
        <v>0</v>
      </c>
      <c r="IQ196" s="6">
        <f>COUNTIFS(Table73[Country],Tabela1[[#This Row],[Country]],Table73[Park Classification],"&gt;0")</f>
        <v>0</v>
      </c>
      <c r="IR196" s="6">
        <f>COUNTIFS(Table74[Country],Tabela1[[#This Row],[Country]],Table74[Park Classification],"&gt;0")</f>
        <v>0</v>
      </c>
      <c r="IS196" s="6">
        <f>COUNTIFS(Table73[Country],Tabela1[[#This Row],[Country]],Table73[Street Classification],"&gt;0")</f>
        <v>0</v>
      </c>
      <c r="IT196" s="6">
        <f>COUNTIFS(Table74[Country],Tabela1[[#This Row],[Country]],Table74[Street Classification],"&gt;0")</f>
        <v>0</v>
      </c>
      <c r="IU196" s="6">
        <f>COUNTIFS(Table75[Country],Tabela1[[#This Row],[Country]],Table75[Boulder and Lead Classification],"&gt;0")</f>
        <v>0</v>
      </c>
      <c r="IV196" s="6">
        <f>COUNTIFS(Table76[Country],Tabela1[[#This Row],[Country]],Table76[Boulder and Lead Classification],"&gt;0")</f>
        <v>0</v>
      </c>
      <c r="IW196" s="6">
        <f>COUNTIFS(Table75[Country],Tabela1[[#This Row],[Country]],Table75[Speed Classification],"&gt;0")</f>
        <v>0</v>
      </c>
      <c r="IX196" s="6">
        <f>COUNTIFS(Table76[Country],Tabela1[[#This Row],[Country]],Table76[Speed Classification],"&gt;0")</f>
        <v>0</v>
      </c>
      <c r="IY196" s="6">
        <f>COUNTIFS(Table64[Country],Tabela1[[#This Row],[Country]],Table64[Shortboard Classification],"&gt;0")</f>
        <v>0</v>
      </c>
      <c r="IZ196" s="6">
        <f>COUNTIFS(Table77[Country],Tabela1[[#This Row],[Country]],Table77[Shortboard Classification],"&gt;0")</f>
        <v>0</v>
      </c>
      <c r="JA196" s="6">
        <f>COUNTIFS(Table20[Country],Tabela1[[#This Row],[Country]],Table20[50m Freestyle Classification],"&gt;0")</f>
        <v>0</v>
      </c>
      <c r="JB196" s="6">
        <f>COUNTIFS(Table21[Country],Tabela1[[#This Row],[Country]],Table21[50m Freestyle Classification],"&gt;0")</f>
        <v>0</v>
      </c>
      <c r="JC196" s="6">
        <f>COUNTIFS(Table20[Country],Tabela1[[#This Row],[Country]],Table20[100m Freestyle Classification],"&gt;0")</f>
        <v>0</v>
      </c>
      <c r="JD196" s="6">
        <f>COUNTIFS(Table21[Country],Tabela1[[#This Row],[Country]],Table21[100m Freestyle Classification],"&gt;0")</f>
        <v>0</v>
      </c>
      <c r="JE196" s="6">
        <f>COUNTIFS(Table20[Country],Tabela1[[#This Row],[Country]],Table20[200m Freestyle Classification],"&gt;0")</f>
        <v>0</v>
      </c>
      <c r="JF196" s="6">
        <f>COUNTIFS(Table21[Country],Tabela1[[#This Row],[Country]],Table21[200m Freestyle Classification],"&gt;0")</f>
        <v>0</v>
      </c>
      <c r="JG196" s="6">
        <f>COUNTIFS(Table20[Country],Tabela1[[#This Row],[Country]],Table20[400m Freestyle Classification],"&gt;0")</f>
        <v>0</v>
      </c>
      <c r="JH196" s="6">
        <f>COUNTIFS(Table21[Country],Tabela1[[#This Row],[Country]],Table21[400m Freestyle Classification],"&gt;0")</f>
        <v>0</v>
      </c>
      <c r="JI196" s="6">
        <f>COUNTIFS(Table20[Country],Tabela1[[#This Row],[Country]],Table20[800m Freestyle Classification],"&gt;0")</f>
        <v>0</v>
      </c>
      <c r="JJ196" s="6">
        <f>COUNTIFS(Table21[Country],Tabela1[[#This Row],[Country]],Table21[800m Freestyle Classification],"&gt;0")</f>
        <v>0</v>
      </c>
      <c r="JK196" s="6">
        <f>COUNTIFS(Table20[Country],Tabela1[[#This Row],[Country]],Table20[1500m Freestyle Classification],"&gt;0")</f>
        <v>0</v>
      </c>
      <c r="JL196" s="6">
        <f>COUNTIFS(Table21[Country],Tabela1[[#This Row],[Country]],Table21[1500m Freestyle Classification],"&gt;0")</f>
        <v>0</v>
      </c>
      <c r="JM196" s="6">
        <f>COUNTIFS(Table20[Country],Tabela1[[#This Row],[Country]],Table20[100m Backstroke Classification],"&gt;0")</f>
        <v>0</v>
      </c>
      <c r="JN196" s="6">
        <f>COUNTIFS(Table21[Country],Tabela1[[#This Row],[Country]],Table21[100m Backstroke Classification],"&gt;0")</f>
        <v>0</v>
      </c>
      <c r="JO196" s="6">
        <f>COUNTIFS(Table20[Country],Tabela1[[#This Row],[Country]],Table20[200m Backstroke Classification],"&gt;0")</f>
        <v>0</v>
      </c>
      <c r="JP196" s="6">
        <f>COUNTIFS(Table21[Country],Tabela1[[#This Row],[Country]],Table21[200m Backstroke Classification],"&gt;0")</f>
        <v>0</v>
      </c>
      <c r="JQ196" s="6">
        <f>COUNTIFS(Table20[Country],Tabela1[[#This Row],[Country]],Table20[100m Breaststroke Classification],"&gt;0")</f>
        <v>0</v>
      </c>
      <c r="JR196" s="6">
        <f>COUNTIFS(Table21[Country],Tabela1[[#This Row],[Country]],Table21[100m Breaststroke Classification],"&gt;0")</f>
        <v>0</v>
      </c>
      <c r="JS196" s="6">
        <f>COUNTIFS(Table20[Country],Tabela1[[#This Row],[Country]],Table20[200m Breaststroke Classification],"&gt;0")</f>
        <v>0</v>
      </c>
      <c r="JT196" s="6">
        <f>COUNTIFS(Table21[Country],Tabela1[[#This Row],[Country]],Table21[200m Breaststroke Classification],"&gt;0")</f>
        <v>0</v>
      </c>
      <c r="JU196" s="6">
        <f>COUNTIFS(Table20[Country],Tabela1[[#This Row],[Country]],Table20[100m Butterfly Classification],"&gt;0")</f>
        <v>0</v>
      </c>
      <c r="JV196" s="6">
        <f>COUNTIFS(Table21[Country],Tabela1[[#This Row],[Country]],Table21[100m Butterfly Classification],"&gt;0")</f>
        <v>0</v>
      </c>
      <c r="JW196" s="6">
        <f>COUNTIFS(Table20[Country],Tabela1[[#This Row],[Country]],Table20[200m Butterfly Classification],"&gt;0")</f>
        <v>0</v>
      </c>
      <c r="JX196" s="6">
        <f>COUNTIFS(Table21[Country],Tabela1[[#This Row],[Country]],Table21[200m Butterfly Classification],"&gt;0")</f>
        <v>0</v>
      </c>
      <c r="JY196" s="6">
        <f>COUNTIFS(Table20[Country],Tabela1[[#This Row],[Country]],Table20[200m Medley Classification],"&gt;0")</f>
        <v>0</v>
      </c>
      <c r="JZ196" s="6">
        <f>COUNTIFS(Table21[Country],Tabela1[[#This Row],[Country]],Table21[200m Medley Classification],"&gt;0")</f>
        <v>0</v>
      </c>
      <c r="KA196" s="6">
        <f>COUNTIFS(Table20[Country],Tabela1[[#This Row],[Country]],Table20[400m Medley Classification],"&gt;0")</f>
        <v>0</v>
      </c>
      <c r="KB196" s="6">
        <f>COUNTIFS(Table21[Country],Tabela1[[#This Row],[Country]],Table21[400m Medley Classification],"&gt;0")</f>
        <v>0</v>
      </c>
      <c r="KC196" s="6">
        <f>COUNTIFS(Table78[Country],Tabela1[[#This Row],[Country]],Table78[Men''s 4x100m Freestyle Relay Classification],"&gt;0")</f>
        <v>0</v>
      </c>
      <c r="KD196" s="6">
        <f>COUNTIFS(Table78[Country],Tabela1[[#This Row],[Country]],Table78[Women''s 4x100m Freestyle Relay Classification],"&gt;0")</f>
        <v>0</v>
      </c>
      <c r="KE196" s="6">
        <f>COUNTIFS(Table78[Country],Tabela1[[#This Row],[Country]],Table78[Men''s 4x200m Freestyle Relay Classification],"&gt;0")</f>
        <v>0</v>
      </c>
      <c r="KF196" s="6">
        <f>COUNTIFS(Table78[Country],Tabela1[[#This Row],[Country]],Table78[Women''s 4x200m Freestyle Relay Classification],"&gt;0")</f>
        <v>0</v>
      </c>
      <c r="KG196" s="6">
        <f>COUNTIFS(Table78[Country],Tabela1[[#This Row],[Country]],Table78[Men''s 4x100m Medley Relay Classification],"&gt;0")</f>
        <v>0</v>
      </c>
      <c r="KH196" s="6">
        <f>COUNTIFS(Table78[Country],Tabela1[[#This Row],[Country]],Table78[Women''s 4x100m Medley Relay Classification],"&gt;0")</f>
        <v>0</v>
      </c>
      <c r="KI196" s="6">
        <f>COUNTIFS(Table78[Country],Tabela1[[#This Row],[Country]],Table78[Mixed 4x100m Medley Relay Classification],"&gt;0")</f>
        <v>0</v>
      </c>
      <c r="KJ196" s="6">
        <f>COUNTIFS(Table20[Country],Tabela1[[#This Row],[Country]],Table20[10km Open Water Classification],"&gt;0")</f>
        <v>0</v>
      </c>
      <c r="KK196" s="6">
        <f>COUNTIFS(Table21[Country],Tabela1[[#This Row],[Country]],Table21[10km Open Water Classification],"&gt;0")</f>
        <v>0</v>
      </c>
      <c r="KL196" s="6">
        <f>COUNTIFS(Table22[Country],Tabela1[[#This Row],[Country]],Table22[Classification],"&gt;0")</f>
        <v>0</v>
      </c>
      <c r="KM196" s="6">
        <f>COUNTIFS(Table30[Country],Tabela1[[#This Row],[Country]],Table30[Classification],"&gt;0")</f>
        <v>0</v>
      </c>
      <c r="KN196" s="6">
        <f>COUNTIFS(Table55[Country],Tabela1[[#This Row],[Country]],Table55[Men''s Classification],"&gt;0")</f>
        <v>0</v>
      </c>
      <c r="KO196" s="6">
        <f>COUNTIFS(Table55[Country],Tabela1[[#This Row],[Country]],Table55[Women''s Classification],"&gt;0")</f>
        <v>0</v>
      </c>
      <c r="KP196" s="6">
        <f>COUNTIFS(Table56[Country],Tabela1[[#This Row],[Country]],Table56[Mixed Classification],"&gt;0")</f>
        <v>0</v>
      </c>
      <c r="KQ196" s="6">
        <f>COUNTIFS(Table29[Country],Tabela1[[#This Row],[Country]],Table29[58kg Classification],"&gt;0")</f>
        <v>0</v>
      </c>
      <c r="KR196" s="6">
        <f>COUNTIFS(Table29[Country],Tabela1[[#This Row],[Country]],Table29[68kg Classification],"&gt;0")</f>
        <v>0</v>
      </c>
      <c r="KS196" s="6">
        <f>COUNTIFS(Table29[Country],Tabela1[[#This Row],[Country]],Table29[80kg Classification],"&gt;0")</f>
        <v>0</v>
      </c>
      <c r="KT196" s="6">
        <f>COUNTIFS(Table29[Country],Tabela1[[#This Row],[Country]],Table29[Plus 80kg Classification],"&gt;0")</f>
        <v>0</v>
      </c>
      <c r="KU196" s="6">
        <f>COUNTIFS(Table34[Country],Tabela1[[#This Row],[Country]],Table34[49kg Classification],"&gt;0")</f>
        <v>0</v>
      </c>
      <c r="KV196" s="6">
        <f>COUNTIFS(Table34[Country],Tabela1[[#This Row],[Country]],Table34[57kg Classification],"&gt;0")</f>
        <v>0</v>
      </c>
      <c r="KW196" s="6">
        <f>COUNTIFS(Table34[Country],Tabela1[[#This Row],[Country]],Table34[67kg Classification],"&gt;0")</f>
        <v>0</v>
      </c>
      <c r="KX196" s="6">
        <f>COUNTIFS(Table34[Country],Tabela1[[#This Row],[Country]],Table34[Plus 67kg Classification],"&gt;0")</f>
        <v>0</v>
      </c>
      <c r="KY196" s="6">
        <f>COUNTIFS(Table57[Country],Tabela1[[#This Row],[Country]],Table57[Classification],"&gt;0")</f>
        <v>0</v>
      </c>
      <c r="KZ196" s="6">
        <f>COUNTIFS(Table58[Country],Tabela1[[#This Row],[Country]],Table58[Classification],"&gt;0")</f>
        <v>0</v>
      </c>
      <c r="LA196" s="6">
        <f>COUNTIFS(Table79[Country],Tabela1[[#This Row],[Country]],Table79[Men''s Classification],"&gt;0")</f>
        <v>0</v>
      </c>
      <c r="LB196" s="6">
        <f>COUNTIFS(Table79[Country],Tabela1[[#This Row],[Country]],Table79[Women''s Classification],"&gt;0")</f>
        <v>0</v>
      </c>
      <c r="LC196" s="6">
        <f>COUNTIFS(Table79[Country],Tabela1[[#This Row],[Country]],Table79[Mixed Classification],"&gt;0")</f>
        <v>0</v>
      </c>
      <c r="LD196" s="6">
        <f>COUNTIFS(Table65[Country],Tabela1[[#This Row],[Country]],Table65[Classification],"&gt;0")</f>
        <v>0</v>
      </c>
      <c r="LE196" s="6">
        <f>COUNTIFS(Table59[Country],Tabela1[[#This Row],[Country]],Table59[Classification],"&gt;0")</f>
        <v>0</v>
      </c>
      <c r="LF196" s="6">
        <f>COUNTIFS(Table87[Country],Tabela1[[#This Row],[Country]],Table87[Mixed Relay Classification],"&gt;0")</f>
        <v>0</v>
      </c>
      <c r="LG196" s="6">
        <f>COUNTIFS(Table91949698100[Country],Tabela1[[#This Row],[Country]],Table91949698100[Men''s Classification],"&gt;0")</f>
        <v>0</v>
      </c>
      <c r="LH196" s="6">
        <f>COUNTIFS(Table91949698100[Country],Tabela1[[#This Row],[Country]],Table91949698100[Women''s Classification],"&gt;0")</f>
        <v>0</v>
      </c>
      <c r="LI196" s="6">
        <f>COUNTIFS(Table91949698100102[Country],Tabela1[[#This Row],[Country]],Table91949698100102[Men''s Classification],"&gt;0")</f>
        <v>0</v>
      </c>
      <c r="LJ196" s="6">
        <f>COUNTIFS(Table91949698100102[Country],Tabela1[[#This Row],[Country]],Table91949698100102[Women''s Classification],"&gt;0")</f>
        <v>0</v>
      </c>
      <c r="LK196" s="6">
        <f>COUNTIFS(Table23[Country],Tabela1[[#This Row],[Country]],Table23[61kg Classification],"&gt;0")</f>
        <v>0</v>
      </c>
      <c r="LL196" s="6">
        <f>COUNTIFS(Table23[Country],Tabela1[[#This Row],[Country]],Table23[73kg Classification],"&gt;0")</f>
        <v>0</v>
      </c>
      <c r="LM196" s="6">
        <f>COUNTIFS(Table23[Country],Tabela1[[#This Row],[Country]],Table23[89kg Classification],"&gt;0")</f>
        <v>0</v>
      </c>
      <c r="LN196" s="6">
        <f>COUNTIFS(Table23[Country],Tabela1[[#This Row],[Country]],Table23[102kg Classification],"&gt;0")</f>
        <v>0</v>
      </c>
      <c r="LO196" s="6">
        <f>COUNTIFS(Table23[Country],Tabela1[[#This Row],[Country]],Table23[Plus 102kg Classification],"&gt;0")</f>
        <v>0</v>
      </c>
      <c r="LP196" s="6">
        <f>COUNTIFS(Table28[Country],Tabela1[[#This Row],[Country]],Table28[49kg Classification],"&gt;0")</f>
        <v>0</v>
      </c>
      <c r="LQ196" s="6">
        <f>COUNTIFS(Table28[Country],Tabela1[[#This Row],[Country]],Table28[59kg Classification],"&gt;0")</f>
        <v>0</v>
      </c>
      <c r="LR196" s="6">
        <f>COUNTIFS(Table28[Country],Tabela1[[#This Row],[Country]],Table28[71kg Classification],"&gt;0")</f>
        <v>0</v>
      </c>
      <c r="LS196" s="6">
        <f>COUNTIFS(Table28[Country],Tabela1[[#This Row],[Country]],Table28[81kg Classification],"&gt;0")</f>
        <v>0</v>
      </c>
      <c r="LT196" s="6">
        <f>COUNTIFS(Table28[Country],Tabela1[[#This Row],[Country]],Table28[Plus 81kg Classification],"&gt;0")</f>
        <v>0</v>
      </c>
      <c r="LU196" s="6">
        <f>COUNTIFS(Table24[Country],Tabela1[[#This Row],[Country]],Table24[Freestyle 57kg Classification],"&gt;0")</f>
        <v>0</v>
      </c>
      <c r="LV196" s="6">
        <f>COUNTIFS(Table24[Country],Tabela1[[#This Row],[Country]],Table24[Freestyle 65kg Classification],"&gt;0")</f>
        <v>0</v>
      </c>
      <c r="LW196" s="6">
        <f>COUNTIFS(Table24[Country],Tabela1[[#This Row],[Country]],Table24[Freestyle 74kg Classification],"&gt;0")</f>
        <v>0</v>
      </c>
      <c r="LX196" s="6">
        <f>COUNTIFS(Table24[Country],Tabela1[[#This Row],[Country]],Table24[Freestyle 86kg Classification],"&gt;0")</f>
        <v>0</v>
      </c>
      <c r="LY196" s="6">
        <f>COUNTIFS(Table24[Country],Tabela1[[#This Row],[Country]],Table24[Freestyle 97kg Classification],"&gt;0")</f>
        <v>0</v>
      </c>
      <c r="LZ196" s="6">
        <f>COUNTIFS(Table24[Country],Tabela1[[#This Row],[Country]],Table24[Freestyle 125kg Classification],"&gt;0")</f>
        <v>0</v>
      </c>
      <c r="MA196" s="6">
        <f>COUNTIFS(Table24[Country],Tabela1[[#This Row],[Country]],Table24[Greco-Roman 60kg Classification],"&gt;0")</f>
        <v>0</v>
      </c>
      <c r="MB196" s="6">
        <f>COUNTIFS(Table24[Country],Tabela1[[#This Row],[Country]],Table24[Greco-Roman 67kg Classification],"&gt;0")</f>
        <v>0</v>
      </c>
      <c r="MC196" s="6">
        <f>COUNTIFS(Table24[Country],Tabela1[[#This Row],[Country]],Table24[Greco-Roman 77kg Classification],"&gt;0")</f>
        <v>0</v>
      </c>
      <c r="MD196" s="6">
        <f>COUNTIFS(Table24[Country],Tabela1[[#This Row],[Country]],Table24[Greco-Roman 87kg Classification],"&gt;0")</f>
        <v>0</v>
      </c>
      <c r="ME196" s="6">
        <f>COUNTIFS(Table24[Country],Tabela1[[#This Row],[Country]],Table24[Greco-Roman 97kg Classification],"&gt;0")</f>
        <v>0</v>
      </c>
      <c r="MF196" s="6">
        <f>COUNTIFS(Table24[Country],Tabela1[[#This Row],[Country]],Table24[Greco-Roman 130kg Classification],"&gt;0")</f>
        <v>0</v>
      </c>
      <c r="MG196" s="6">
        <f>COUNTIFS(Table31[Country],Tabela1[[#This Row],[Country]],Table31[50kg Classification],"&gt;0")</f>
        <v>0</v>
      </c>
      <c r="MH196" s="6">
        <f>COUNTIFS(Table31[Country],Tabela1[[#This Row],[Country]],Table31[53kg Classification],"&gt;0")</f>
        <v>0</v>
      </c>
      <c r="MI196" s="6">
        <f>COUNTIFS(Table31[Country],Tabela1[[#This Row],[Country]],Table31[57kg Classification],"&gt;0")</f>
        <v>0</v>
      </c>
      <c r="MJ196" s="6">
        <f>COUNTIFS(Table31[Country],Tabela1[[#This Row],[Country]],Table31[62kg Classification],"&gt;0")</f>
        <v>0</v>
      </c>
      <c r="MK196" s="6">
        <f>COUNTIFS(Table31[Country],Tabela1[[#This Row],[Country]],Table31[68kg Classification],"&gt;0")</f>
        <v>0</v>
      </c>
      <c r="ML196" s="6">
        <f>COUNTIFS(Table31[Country],Tabela1[[#This Row],[Country]],Table31[76kg Classification],"&gt;0")</f>
        <v>0</v>
      </c>
      <c r="MM196" s="6">
        <f>COUNTIFS(Table102[Country],Tabela1[[#This Row],[Country]],Table102[Downhill Classification],"&gt;0")</f>
        <v>0</v>
      </c>
      <c r="MN196" s="6">
        <f>COUNTIFS(Table102105[Country],Tabela1[[#This Row],[Country]],Table102105[Downhill Classification],"&gt;0")</f>
        <v>0</v>
      </c>
      <c r="MO196" s="6">
        <f>COUNTIFS(Table102[Country],Tabela1[[#This Row],[Country]],Table102[Giant Slalom Classification],"&gt;0")</f>
        <v>0</v>
      </c>
      <c r="MP196" s="6">
        <f>COUNTIFS(Table102105[Country],Tabela1[[#This Row],[Country]],Table102105[Giant Slalom Classification],"&gt;0")</f>
        <v>0</v>
      </c>
      <c r="MQ196" s="6">
        <f>COUNTIFS(Table102[Country],Tabela1[[#This Row],[Country]],Table102[Slalom Classification],"&gt;0")</f>
        <v>0</v>
      </c>
      <c r="MR196" s="6">
        <f>COUNTIFS(Table102105[Country],Tabela1[[#This Row],[Country]],Table102105[Slalom Classification],"&gt;0")</f>
        <v>0</v>
      </c>
      <c r="MS196" s="6">
        <f>COUNTIFS(Table102[Country],Tabela1[[#This Row],[Country]],Table102[Super-G Classification],"&gt;0")</f>
        <v>0</v>
      </c>
      <c r="MT196" s="6">
        <f>COUNTIFS(Table102105[Country],Tabela1[[#This Row],[Country]],Table102105[Super-G Classification],"&gt;0")</f>
        <v>0</v>
      </c>
      <c r="MU196" s="6">
        <f>COUNTIFS(Table105[Country],Tabela1[[#This Row],[Country]],Table105[Men''s Combined Classification],"&gt;0")</f>
        <v>0</v>
      </c>
      <c r="MV196" s="6">
        <f>COUNTIFS(Table105[Country],Tabela1[[#This Row],[Country]],Table105[Women''s Combined Classification],"&gt;0")</f>
        <v>0</v>
      </c>
      <c r="MW196" s="6">
        <f>COUNTIFS(Table106[Country],Tabela1[[#This Row],[Country]],Table106[Individual Classification],"&gt;0")</f>
        <v>0</v>
      </c>
      <c r="MX196" s="6">
        <f>COUNTIFS(Table106109[Country],Tabela1[[#This Row],[Country]],Table106109[Individual Classification],"&gt;0")</f>
        <v>0</v>
      </c>
      <c r="MY196" s="6">
        <f>COUNTIFS(Table106[Country],Tabela1[[#This Row],[Country]],Table106[Mass Start Classification],"&gt;0")</f>
        <v>0</v>
      </c>
      <c r="MZ196" s="6">
        <f>COUNTIFS(Table106109[Country],Tabela1[[#This Row],[Country]],Table106109[Mass Start Classification],"&gt;0")</f>
        <v>0</v>
      </c>
      <c r="NA196" s="6">
        <f>COUNTIFS(Table106[Country],Tabela1[[#This Row],[Country]],Table106[Pursuit Classification],"&gt;0")</f>
        <v>0</v>
      </c>
      <c r="NB196" s="6">
        <f>COUNTIFS(Table106109[Country],Tabela1[[#This Row],[Country]],Table106109[Pursuit Classification],"&gt;0")</f>
        <v>0</v>
      </c>
      <c r="NC196" s="6">
        <f>COUNTIFS(Table106[Country],Tabela1[[#This Row],[Country]],Table106[Sprint Classification],"&gt;0")</f>
        <v>0</v>
      </c>
      <c r="ND196" s="6">
        <f>COUNTIFS(Table106109[Country],Tabela1[[#This Row],[Country]],Table106109[Sprint Classification],"&gt;0")</f>
        <v>0</v>
      </c>
      <c r="NE196" s="6">
        <f>COUNTIFS(Table109[Country],Tabela1[[#This Row],[Country]],Table109[Men''s Relay Classification],"&gt;0")</f>
        <v>0</v>
      </c>
      <c r="NF196" s="6">
        <f>COUNTIFS(Table109[Country],Tabela1[[#This Row],[Country]],Table109[Women''s Relay Classification],"&gt;0")</f>
        <v>0</v>
      </c>
      <c r="NG196" s="6">
        <f>COUNTIFS(Table109[Country],Tabela1[[#This Row],[Country]],Table109[Mixed Relay Classification],"&gt;0")</f>
        <v>0</v>
      </c>
      <c r="NH196" s="6">
        <f>COUNTIFS(Table110[Country],Tabela1[[#This Row],[Country]],Table110[Monobob Classification],"&gt;0")</f>
        <v>0</v>
      </c>
      <c r="NI196" s="6">
        <f>COUNTIFS(Table111[Country],Tabela1[[#This Row],[Country]],Table111[Men''s Classification],"&gt;0")</f>
        <v>0</v>
      </c>
      <c r="NJ196" s="6">
        <f>COUNTIFS(Table111[Country],Tabela1[[#This Row],[Country]],Table111[Women''s Classification],"&gt;0")</f>
        <v>0</v>
      </c>
      <c r="NK196" s="6">
        <f>COUNTIFS(Table112[Country],Tabela1[[#This Row],[Country]],Table112[Men''s Four Classification],"&gt;0")</f>
        <v>0</v>
      </c>
      <c r="NL196" s="6">
        <f>COUNTIFS(Table113[Country],Tabela1[[#This Row],[Country]],Table113[Classical Classification],"&gt;0")</f>
        <v>0</v>
      </c>
      <c r="NM196" s="6">
        <f>COUNTIFS(Table113116[Country],Tabela1[[#This Row],[Country]],Table113116[Classical Classification],"&gt;0")</f>
        <v>0</v>
      </c>
      <c r="NN196" s="6">
        <f>COUNTIFS(Table113[Country],Tabela1[[#This Row],[Country]],Table113[Freestyle Classification],"&gt;0")</f>
        <v>0</v>
      </c>
      <c r="NO196" s="6">
        <f>COUNTIFS(Table113116[Country],Tabela1[[#This Row],[Country]],Table113116[Freestyle Classification],"&gt;0")</f>
        <v>0</v>
      </c>
      <c r="NP196" s="6">
        <f>COUNTIFS(Table117[Country],Tabela1[[#This Row],[Country]],Table117[Men''s Relay Classification],"&gt;0")</f>
        <v>0</v>
      </c>
      <c r="NQ196" s="6">
        <f>COUNTIFS(Table117[Country],Tabela1[[#This Row],[Country]],Table117[Women''s Relay Classification],"&gt;0")</f>
        <v>0</v>
      </c>
      <c r="NR196" s="6">
        <f>COUNTIFS(Table113[Country],Tabela1[[#This Row],[Country]],Table113[Skiathlon Classification],"&gt;0")</f>
        <v>0</v>
      </c>
      <c r="NS196" s="6">
        <f>COUNTIFS(Table113116[Country],Tabela1[[#This Row],[Country]],Table113116[Skiathlon Classification],"&gt;0")</f>
        <v>0</v>
      </c>
      <c r="NT196" s="6">
        <f>COUNTIFS(Table113[Country],Tabela1[[#This Row],[Country]],Table113[Sprint Classification],"&gt;0")</f>
        <v>0</v>
      </c>
      <c r="NU196" s="6">
        <f>COUNTIFS(Table113116[Country],Tabela1[[#This Row],[Country]],Table113116[Sprint Classification],"&gt;0")</f>
        <v>0</v>
      </c>
      <c r="NV196" s="6">
        <f>COUNTIFS(Table116[Country],Tabela1[[#This Row],[Country]],Table116[Men''s Team Sprint Classification],"&gt;0")</f>
        <v>0</v>
      </c>
      <c r="NW196" s="6">
        <f>COUNTIFS(Table116[Country],Tabela1[[#This Row],[Country]],Table116[Women''s Team Sprint Classification],"&gt;0")</f>
        <v>0</v>
      </c>
      <c r="NX196" s="6">
        <f>COUNTIFS(Table119[Country],Tabela1[[#This Row],[Country]],Table119[Men''s Classification],"&gt;0")</f>
        <v>0</v>
      </c>
      <c r="NY196" s="6">
        <f>COUNTIFS(Table119[Country],Tabela1[[#This Row],[Country]],Table119[Women''s Classification],"&gt;0")</f>
        <v>0</v>
      </c>
      <c r="NZ196" s="6">
        <f>COUNTIFS(Table118[Country],Tabela1[[#This Row],[Country]],Table118[Mixed Classification],"&gt;0")</f>
        <v>0</v>
      </c>
      <c r="OA196" s="6">
        <f>COUNTIFS(Table120[Country],Tabela1[[#This Row],[Country]],Table120[Classification],"&gt;0")</f>
        <v>0</v>
      </c>
      <c r="OB196" s="6">
        <f>COUNTIFS(Table120123[Country],Tabela1[[#This Row],[Country]],Table120123[Classification],"&gt;0")</f>
        <v>0</v>
      </c>
      <c r="OC196" s="6">
        <f>COUNTIFS(Table123[Country],Tabela1[[#This Row],[Country]],Table123[Ice Dance Classification],"&gt;0")</f>
        <v>0</v>
      </c>
      <c r="OD196" s="6">
        <f>COUNTIFS(Table123[Country],Tabela1[[#This Row],[Country]],Table123[Pair Skating Classification],"&gt;0")</f>
        <v>0</v>
      </c>
      <c r="OE196" s="6">
        <f>COUNTIFS(Table124[Country],Tabela1[[#This Row],[Country]],Table124[Mixed Classification],"&gt;0")</f>
        <v>0</v>
      </c>
      <c r="OF196" s="6">
        <f>COUNTIFS(Table125[Country],Tabela1[[#This Row],[Country]],Table125[Aerials Classification],"&gt;0")</f>
        <v>0</v>
      </c>
      <c r="OG196" s="6">
        <f>COUNTIFS(Table125128[Country],Tabela1[[#This Row],[Country]],Table125128[Aerials Classification],"&gt;0")</f>
        <v>0</v>
      </c>
      <c r="OH196" s="6">
        <f>COUNTIFS(Table128[Country],Tabela1[[#This Row],[Country]],Table128[Mixed Aerials Classification],"&gt;0")</f>
        <v>0</v>
      </c>
      <c r="OI196" s="6">
        <f>COUNTIFS(Table125[Country],Tabela1[[#This Row],[Country]],Table125[Big Air Classification],"&gt;0")</f>
        <v>0</v>
      </c>
      <c r="OJ196" s="6">
        <f>COUNTIFS(Table125128[Country],Tabela1[[#This Row],[Country]],Table125128[Big Air Classification],"&gt;0")</f>
        <v>0</v>
      </c>
      <c r="OK196" s="6">
        <f>COUNTIFS(Table125[Country],Tabela1[[#This Row],[Country]],Table125[Dual Moguls Classification],"&gt;0")</f>
        <v>0</v>
      </c>
      <c r="OL196" s="6">
        <f>COUNTIFS(Table125128[Country],Tabela1[[#This Row],[Country]],Table125128[Dual Moguls Classification],"&gt;0")</f>
        <v>0</v>
      </c>
      <c r="OM196" s="6">
        <f>COUNTIFS(Table125[Country],Tabela1[[#This Row],[Country]],Table125[Halfpipe Classification],"&gt;0")</f>
        <v>0</v>
      </c>
      <c r="ON196" s="6">
        <f>COUNTIFS(Table125128[Country],Tabela1[[#This Row],[Country]],Table125128[Halfpipe Classification],"&gt;0")</f>
        <v>0</v>
      </c>
      <c r="OO196" s="6">
        <f>COUNTIFS(Table125[Country],Tabela1[[#This Row],[Country]],Table125[Moguls Classification],"&gt;0")</f>
        <v>0</v>
      </c>
      <c r="OP196" s="6">
        <f>COUNTIFS(Table125128[Country],Tabela1[[#This Row],[Country]],Table125128[Moguls Classification],"&gt;0")</f>
        <v>0</v>
      </c>
      <c r="OQ196" s="6">
        <f>COUNTIFS(Table125[Country],Tabela1[[#This Row],[Country]],Table125[Ski Cross Classification],"&gt;0")</f>
        <v>0</v>
      </c>
      <c r="OR196" s="6">
        <f>COUNTIFS(Table125128[Country],Tabela1[[#This Row],[Country]],Table125128[Ski Cross Classification],"&gt;0")</f>
        <v>0</v>
      </c>
      <c r="OS196" s="6">
        <f>COUNTIFS(Table125[Country],Tabela1[[#This Row],[Country]],Table125[Slopestyle Classification],"&gt;0")</f>
        <v>0</v>
      </c>
      <c r="OT196" s="6">
        <f>COUNTIFS(Table125128[Country],Tabela1[[#This Row],[Country]],Table125128[Slopestyle Classification],"&gt;0")</f>
        <v>0</v>
      </c>
      <c r="OU196" s="6">
        <f>COUNTIFS(Table119131[Country],Tabela1[[#This Row],[Country]],Table119131[Men''s Classification],"&gt;0")</f>
        <v>0</v>
      </c>
      <c r="OV196" s="6">
        <f>COUNTIFS(Table119131[Country],Tabela1[[#This Row],[Country]],Table119131[Women''s Classification],"&gt;0")</f>
        <v>0</v>
      </c>
      <c r="OW196" s="6">
        <f>COUNTIFS(Table131[Country],Tabela1[[#This Row],[Country]],Table131[Classification],"&gt;0")</f>
        <v>0</v>
      </c>
      <c r="OX196" s="6">
        <f>COUNTIFS(Table131134[Country],Tabela1[[#This Row],[Country]],Table131134[Classification],"&gt;0")</f>
        <v>0</v>
      </c>
      <c r="OY196" s="6">
        <f>COUNTIFS(Table134[Country],Tabela1[[#This Row],[Country]],Table134[Men''s Classification],"&gt;0")</f>
        <v>0</v>
      </c>
      <c r="OZ196" s="6">
        <f>COUNTIFS(Table134[Country],Tabela1[[#This Row],[Country]],Table134[Women''s Classification],"&gt;0")</f>
        <v>0</v>
      </c>
      <c r="PA196" s="6">
        <f>COUNTIFS(Table135[Country],Tabela1[[#This Row],[Country]],Table135[Mixed Relay Classification],"&gt;0")</f>
        <v>0</v>
      </c>
      <c r="PB196" s="6">
        <f>COUNTIFS(Table136[Country],Tabela1[[#This Row],[Country]],Table136[Individual Classification],"&gt;0")</f>
        <v>0</v>
      </c>
      <c r="PC196" s="6">
        <f>COUNTIFS(Table136[Country],Tabela1[[#This Row],[Country]],Table136[Sprint Classification],"&gt;0")</f>
        <v>0</v>
      </c>
      <c r="PD196" s="6">
        <f>COUNTIFS(Table137[Country],Tabela1[[#This Row],[Country]],Table137[Men''s Team Sprint Large Hill Classification],"&gt;0")</f>
        <v>0</v>
      </c>
      <c r="PE196" s="6">
        <f>COUNTIFS(Table138[Country],Tabela1[[#This Row],[Country]],Table138[500m Classification],"&gt;0")</f>
        <v>0</v>
      </c>
      <c r="PF196" s="6">
        <f>COUNTIFS(Table138141[Country],Tabela1[[#This Row],[Country]],Table138141[500m Classification],"&gt;0")</f>
        <v>0</v>
      </c>
      <c r="PG196" s="6">
        <f>COUNTIFS(Table138[Country],Tabela1[[#This Row],[Country]],Table138[1000m Classification],"&gt;0")</f>
        <v>0</v>
      </c>
      <c r="PH196" s="6">
        <f>COUNTIFS(Table138141[Country],Tabela1[[#This Row],[Country]],Table138141[1000m Classification],"&gt;0")</f>
        <v>0</v>
      </c>
      <c r="PI196" s="6">
        <f>COUNTIFS(Table138[Country],Tabela1[[#This Row],[Country]],Table138[1500m Classification],"&gt;0")</f>
        <v>0</v>
      </c>
      <c r="PJ196" s="6">
        <f>COUNTIFS(Table138141[Country],Tabela1[[#This Row],[Country]],Table138141[1500m Classification],"&gt;0")</f>
        <v>0</v>
      </c>
      <c r="PK196" s="6">
        <f>COUNTIFS(Table141[Country],Tabela1[[#This Row],[Country]],Table141[Men''s 5000m Relay Classification],"&gt;0")</f>
        <v>0</v>
      </c>
      <c r="PL196" s="6">
        <f>COUNTIFS(Table141[Country],Tabela1[[#This Row],[Country]],Table141[Women''s 3000m Relay Classification],"&gt;0")</f>
        <v>0</v>
      </c>
      <c r="PM196" s="6">
        <f>COUNTIFS(Table141[Country],Tabela1[[#This Row],[Country]],Table141[Mixed 2000m Relay Classification],"&gt;0")</f>
        <v>0</v>
      </c>
      <c r="PN196" s="6">
        <f>COUNTIFS(Table142[Country],Tabela1[[#This Row],[Country]],Table142[Classification],"&gt;0")</f>
        <v>0</v>
      </c>
      <c r="PO196" s="6">
        <f>COUNTIFS(Table142145[Country],Tabela1[[#This Row],[Country]],Table142145[Classification],"&gt;0")</f>
        <v>0</v>
      </c>
      <c r="PP196" s="6">
        <f>COUNTIFS(Tabela15[Country],Tabela1[[#This Row],[Country]],Tabela15[Mixed Team Classification],"&gt;0")</f>
        <v>0</v>
      </c>
      <c r="PQ196" s="6">
        <f>COUNTIFS(Table145[Country],Tabela1[[#This Row],[Country]],Table145[Large Hill Classification],"&gt;0")</f>
        <v>0</v>
      </c>
      <c r="PR196" s="6">
        <f>COUNTIFS(Table145[Country],Tabela1[[#This Row],[Country]],Table145[Normal Hill Classification],"&gt;0")</f>
        <v>0</v>
      </c>
      <c r="PS196" s="6">
        <f>COUNTIFS(Table145148[Country],Tabela1[[#This Row],[Country]],Table145148[Large Hill Classification],"&gt;0")</f>
        <v>0</v>
      </c>
      <c r="PT196" s="6">
        <f>COUNTIFS(Table145148[Country],Tabela1[[#This Row],[Country]],Table145148[Normal Hill Classification],"&gt;0")</f>
        <v>0</v>
      </c>
      <c r="PU196" s="6">
        <f>COUNTIFS(Table148[Country],Tabela1[[#This Row],[Country]],Table148[Men''s Super Team Classification],"&gt;0")</f>
        <v>0</v>
      </c>
      <c r="PV196" s="6">
        <f>COUNTIFS(Tabela114[Country],Tabela1[[#This Row],[Country]],Tabela114[Mixed Normal Hill Classification],"&gt;0")</f>
        <v>0</v>
      </c>
      <c r="PW196" s="6">
        <f>COUNTIFS(Tabela50[Country],Tabela1[[#This Row],[Country]],Tabela50[Sprint Classification],"&gt;0")</f>
        <v>0</v>
      </c>
      <c r="PX196" s="6">
        <f>COUNTIFS(Tabela50101[Country],Tabela1[[#This Row],[Country]],Tabela50101[Sprint Classification],"&gt;0")</f>
        <v>0</v>
      </c>
      <c r="PY196" s="6">
        <f>COUNTIFS(Tabela103[Country],Tabela1[[#This Row],[Country]],Tabela103[Mixed Relay Classification],"&gt;0")</f>
        <v>0</v>
      </c>
      <c r="PZ196" s="6">
        <f>COUNTIFS(Table149[Country],Tabela1[[#This Row],[Country]],Table149[Big Air Classification],"&gt;0")</f>
        <v>0</v>
      </c>
      <c r="QA196" s="6">
        <f>COUNTIFS(Table149152[Country],Tabela1[[#This Row],[Country]],Table149152[Big Air Classification],"&gt;0")</f>
        <v>0</v>
      </c>
      <c r="QB196" s="6">
        <f>COUNTIFS(Table149[Country],Tabela1[[#This Row],[Country]],Table149[Halfpipe Classification],"&gt;0")</f>
        <v>0</v>
      </c>
      <c r="QC196" s="6">
        <f>COUNTIFS(Table149152[Country],Tabela1[[#This Row],[Country]],Table149152[Halfpipe Classification],"&gt;0")</f>
        <v>0</v>
      </c>
      <c r="QD196" s="6">
        <f>COUNTIFS(Table149[Country],Tabela1[[#This Row],[Country]],Table149[Parallel Giant Slalom Classification],"&gt;0")</f>
        <v>0</v>
      </c>
      <c r="QE196" s="6">
        <f>COUNTIFS(Table149152[Country],Tabela1[[#This Row],[Country]],Table149152[Parallel Giant Slalom Classification],"&gt;0")</f>
        <v>0</v>
      </c>
      <c r="QF196" s="6">
        <f>COUNTIFS(Table149[Country],Tabela1[[#This Row],[Country]],Table149[Slopestyle Classification],"&gt;0")</f>
        <v>0</v>
      </c>
      <c r="QG196" s="6">
        <f>COUNTIFS(Table149152[Country],Tabela1[[#This Row],[Country]],Table149152[Slopestyle Classification],"&gt;0")</f>
        <v>0</v>
      </c>
      <c r="QH196" s="6">
        <f>COUNTIFS(Table149[Country],Tabela1[[#This Row],[Country]],Table149[Snowboard Cross Classification],"&gt;0")</f>
        <v>0</v>
      </c>
      <c r="QI196" s="6">
        <f>COUNTIFS(Table149152[Country],Tabela1[[#This Row],[Country]],Table149152[Snowboard Cross Classification],"&gt;0")</f>
        <v>0</v>
      </c>
      <c r="QJ196" s="6">
        <f>COUNTIFS(Table153[Country],Tabela1[[#This Row],[Country]],Table153[Mixed Team Snowboard Cross Classification],"&gt;0")</f>
        <v>0</v>
      </c>
      <c r="QK196" s="6">
        <f>COUNTIFS(Table154[Country],Tabela1[[#This Row],[Country]],Table154[500m Classification],"&gt;0")</f>
        <v>0</v>
      </c>
      <c r="QL196" s="6">
        <f>COUNTIFS(Table154157[Country],Tabela1[[#This Row],[Country]],Table154157[500m Classification],"&gt;0")</f>
        <v>0</v>
      </c>
      <c r="QM196" s="6">
        <f>COUNTIFS(Table154[Country],Tabela1[[#This Row],[Country]],Table154[1000m Classification],"&gt;0")</f>
        <v>0</v>
      </c>
      <c r="QN196" s="6">
        <f>COUNTIFS(Table154157[Country],Tabela1[[#This Row],[Country]],Table154157[1000m Classification],"&gt;0")</f>
        <v>0</v>
      </c>
      <c r="QO196" s="6">
        <f>COUNTIFS(Table154[Country],Tabela1[[#This Row],[Country]],Table154[1500m Classification],"&gt;0")</f>
        <v>0</v>
      </c>
      <c r="QP196" s="6">
        <f>COUNTIFS(Table154157[Country],Tabela1[[#This Row],[Country]],Table154157[1500m Classification],"&gt;0")</f>
        <v>0</v>
      </c>
      <c r="QQ196" s="6">
        <f>COUNTIFS(Table154157[Country],Tabela1[[#This Row],[Country]],Table154157[3000m Classification],"&gt;0")</f>
        <v>0</v>
      </c>
      <c r="QR196" s="6">
        <f>COUNTIFS(Table154[Country],Tabela1[[#This Row],[Country]],Table154[5000m Classification],"&gt;0")</f>
        <v>0</v>
      </c>
      <c r="QS196" s="6">
        <f>COUNTIFS(Table154157[Country],Tabela1[[#This Row],[Country]],Table154157[5000m Classification],"&gt;0")</f>
        <v>0</v>
      </c>
      <c r="QT196" s="6">
        <f>COUNTIFS(Table154[Country],Tabela1[[#This Row],[Country]],Table154[10000m Classification],"&gt;0")</f>
        <v>0</v>
      </c>
      <c r="QU196" s="6">
        <f>COUNTIFS(Table154[Country],Tabela1[[#This Row],[Country]],Table154[Mass Start Classification],"&gt;0")</f>
        <v>0</v>
      </c>
      <c r="QV196" s="6">
        <f>COUNTIFS(Table154157[Country],Tabela1[[#This Row],[Country]],Table154157[Mass Start Classification],"&gt;0")</f>
        <v>0</v>
      </c>
      <c r="QW196" s="6">
        <f>COUNTIFS(Table157[Country],Tabela1[[#This Row],[Country]],Table157[Men''s Pursuit Classification],"&gt;0")</f>
        <v>0</v>
      </c>
      <c r="QX196" s="6">
        <f>COUNTIFS(Table157[Country],Tabela1[[#This Row],[Country]],Table157[Women''s Pursuit Classification],"&gt;0")</f>
        <v>0</v>
      </c>
      <c r="QY196" s="3" t="s">
        <v>663</v>
      </c>
    </row>
    <row r="197" spans="1:467" x14ac:dyDescent="0.3">
      <c r="A197" s="6">
        <v>196</v>
      </c>
      <c r="B197" s="6" t="s">
        <v>678</v>
      </c>
      <c r="C197" t="e" vm="196">
        <f>IF(ISBLANK(Tabela1[[#This Row],[Image Link]]), "", _xlfn.IMAGE(Tabela1[[#This Row],[Image Link]],1,1))</f>
        <v>#VALUE!</v>
      </c>
      <c r="D197" s="6">
        <f>SUM(Tabela1[[#This Row],[Archery - Men''s Individual Recurve]:[Speed Skating - Women''s Team Pursuit]])</f>
        <v>0</v>
      </c>
      <c r="E197" s="6">
        <f>COUNTIF(Tabela1[[#This Row],[Archery - Men''s Individual Recurve]:[Speed Skating - Women''s Team Pursuit]],"&gt;0")</f>
        <v>0</v>
      </c>
      <c r="F197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97" s="6">
        <f>SUM(Tabela1[[#This Row],[Archery - Men''s Individual Recurve]:[Wrestling - Women''s Freestyle 76kg]])</f>
        <v>0</v>
      </c>
      <c r="H197" s="6">
        <f>SUM(Tabela1[[#This Row],[Alpine Skiing - Men''s Downhill]:[Speed Skating - Women''s Team Pursuit]])</f>
        <v>0</v>
      </c>
      <c r="I197" s="6">
        <f>Tabela1[[#This Row],[Summer Gold Medals]]+Tabela1[[#This Row],[Winter Gold Medals]]</f>
        <v>0</v>
      </c>
      <c r="J197" s="6">
        <f>Tabela1[[#This Row],[Summer Silver Medals]]+Tabela1[[#This Row],[Winter Silver Medals]]</f>
        <v>0</v>
      </c>
      <c r="K197" s="6">
        <f>Tabela1[[#This Row],[Summer Bronze Medals]]+Tabela1[[#This Row],[Winter Bronze Medals]]</f>
        <v>0</v>
      </c>
      <c r="L197" s="6">
        <f>SUM(Tabela1[[#This Row],[Total Gold Medals]:[Total Bronze Medals]])</f>
        <v>0</v>
      </c>
      <c r="M197" s="6"/>
      <c r="N197" s="6"/>
      <c r="O197" s="6"/>
      <c r="P197" s="6">
        <f>SUM(Tabela1[[#This Row],[Summer Gold Medals]:[Summer Bronze Medals]])</f>
        <v>0</v>
      </c>
      <c r="Q197" s="6"/>
      <c r="R197" s="6"/>
      <c r="S197" s="6"/>
      <c r="T197" s="6">
        <f>Tabela1[[#This Row],[Winter Gold Medals]]+Tabela1[[#This Row],[Winter Silver Medals]]+Tabela1[[#This Row],[Winter Bronze Medals]]</f>
        <v>0</v>
      </c>
      <c r="U197" s="7" t="e">
        <f>Tabela1[[#This Row],[Total Medals]]/Tabela1[[#This Row],[Total Quotas]]</f>
        <v>#DIV/0!</v>
      </c>
      <c r="V197" s="6">
        <f>COUNTIFS(Table3[Country],Tabela1[[#This Row],[Country]],Table3[Recurve Classification],"&gt;0")</f>
        <v>0</v>
      </c>
      <c r="W197" s="6">
        <f>COUNTIFS(Table33[Country],Tabela1[[#This Row],[Country]],Table33[Recurve Classification],"&gt;0")</f>
        <v>0</v>
      </c>
      <c r="X197" s="6">
        <f>COUNTIFS(Table35[Country],Tabela1[[#This Row],[Country]],Table35[Men''s Team Recurve Classification],"&gt;0")</f>
        <v>0</v>
      </c>
      <c r="Y197" s="6">
        <f>COUNTIFS(Table35[Country],Tabela1[[#This Row],[Country]],Table35[Women''s Team Recurve Classification],"&gt;0")</f>
        <v>0</v>
      </c>
      <c r="Z197" s="6">
        <f>COUNTIFS(Tabela88[Country],Tabela1[[#This Row],[Country]],Tabela88[Mixed Team Recurve Classification],"&gt;0")</f>
        <v>0</v>
      </c>
      <c r="AA197" s="6">
        <f>COUNTIFS(Table36[Country],Tabela1[[#This Row],[Country]],Table36[Classification],"&gt;0")</f>
        <v>0</v>
      </c>
      <c r="AB197" s="6">
        <f>COUNTIFS(Table37[Country],Tabela1[[#This Row],[Country]],Table37[Classification],"&gt;0")</f>
        <v>0</v>
      </c>
      <c r="AC197" s="6">
        <f>COUNTIFS(Table4[Country],Tabela1[[#This Row],[Country]],Table4[100m Classification],"&gt;0")</f>
        <v>0</v>
      </c>
      <c r="AD197" s="6">
        <f>COUNTIFS(Table5[Country],Tabela1[[#This Row],[Country]],Table5[100m Classification],"&gt;0")</f>
        <v>0</v>
      </c>
      <c r="AE197" s="6">
        <f>COUNTIFS(Table4[Country],Tabela1[[#This Row],[Country]],Table4[200m Classification],"&gt;0")</f>
        <v>0</v>
      </c>
      <c r="AF197" s="6">
        <f>COUNTIFS(Table5[Country],Tabela1[[#This Row],[Country]],Table5[200m Classification],"&gt;0")</f>
        <v>0</v>
      </c>
      <c r="AG197" s="6">
        <f>COUNTIFS(Table4[Country],Tabela1[[#This Row],[Country]],Table4[400m Classification],"&gt;0")</f>
        <v>0</v>
      </c>
      <c r="AH197" s="6">
        <f>COUNTIFS(Table5[Country],Tabela1[[#This Row],[Country]],Table5[400m Classification],"&gt;0")</f>
        <v>0</v>
      </c>
      <c r="AI197" s="6">
        <f>COUNTIFS(Table4[Country],Tabela1[[#This Row],[Country]],Table4[800m Classification],"&gt;0")</f>
        <v>0</v>
      </c>
      <c r="AJ197" s="6">
        <f>COUNTIFS(Table5[Country],Tabela1[[#This Row],[Country]],Table5[800m Classification],"&gt;0")</f>
        <v>0</v>
      </c>
      <c r="AK197" s="6">
        <f>COUNTIFS(Table4[Country],Tabela1[[#This Row],[Country]],Table4[1500m Classification],"&gt;0")</f>
        <v>0</v>
      </c>
      <c r="AL197" s="6">
        <f>COUNTIFS(Table5[Country],Tabela1[[#This Row],[Country]],Table5[1500m Classification],"&gt;0")</f>
        <v>0</v>
      </c>
      <c r="AM197" s="6">
        <f>COUNTIFS(Table4[Country],Tabela1[[#This Row],[Country]],Table4[5000m Classification],"&gt;0")</f>
        <v>0</v>
      </c>
      <c r="AN197" s="6">
        <f>COUNTIFS(Table5[Country],Tabela1[[#This Row],[Country]],Table5[5000m Classification],"&gt;0")</f>
        <v>0</v>
      </c>
      <c r="AO197" s="6">
        <f>COUNTIFS(Table4[Country],Tabela1[[#This Row],[Country]],Table4[10000m Classification],"&gt;0")</f>
        <v>0</v>
      </c>
      <c r="AP197" s="6">
        <f>COUNTIFS(Table5[Country],Tabela1[[#This Row],[Country]],Table5[10000m Classification],"&gt;0")</f>
        <v>0</v>
      </c>
      <c r="AQ197" s="6">
        <f>COUNTIFS(Table4[Country],Tabela1[[#This Row],[Country]],Table4[110m Hurdles Classification],"&gt;0")</f>
        <v>0</v>
      </c>
      <c r="AR197" s="6">
        <f>COUNTIFS(Table5[Country],Tabela1[[#This Row],[Country]],Table5[100m Hurdles Classification],"&gt;0")</f>
        <v>0</v>
      </c>
      <c r="AS197" s="6">
        <f>COUNTIFS(Table4[Country],Tabela1[[#This Row],[Country]],Table4[400m Hurdles Classification],"&gt;0")</f>
        <v>0</v>
      </c>
      <c r="AT197" s="6">
        <f>COUNTIFS(Table5[Country],Tabela1[[#This Row],[Country]],Table5[400m Hurdles Classification],"&gt;0")</f>
        <v>0</v>
      </c>
      <c r="AU197" s="6">
        <f>COUNTIFS(Table4[Country],Tabela1[[#This Row],[Country]],Table4[3000m Steeplechase Classification],"&gt;0")</f>
        <v>0</v>
      </c>
      <c r="AV197" s="6">
        <f>COUNTIFS(Table5[Country],Tabela1[[#This Row],[Country]],Table5[3000m Steeplechase Classification],"&gt;0")</f>
        <v>0</v>
      </c>
      <c r="AW197" s="6">
        <f>COUNTIFS(Table27[Country],Tabela1[[#This Row],[Country]],Table27[Men''s 4x100m Relay Classification],"&gt;0")</f>
        <v>0</v>
      </c>
      <c r="AX197" s="6">
        <f>COUNTIFS(Table27[Country],Tabela1[[#This Row],[Country]],Table27[Women''s 4x100m Relay Classification],"&gt;0")</f>
        <v>0</v>
      </c>
      <c r="AY197" s="6">
        <f>COUNTIFS(Table27[Country],Tabela1[[#This Row],[Country]],Table27[Men''s 4x400m Relay Classification],"&gt;0")</f>
        <v>0</v>
      </c>
      <c r="AZ197" s="6">
        <f>COUNTIFS(Table27[Country],Tabela1[[#This Row],[Country]],Table27[Women''s 4x400m Relay Classification],"&gt;0")</f>
        <v>0</v>
      </c>
      <c r="BA197" s="6">
        <f>COUNTIFS(Table27[Country],Tabela1[[#This Row],[Country]],Table27[Mixed 4x400m Relay Classification],"&gt;0")</f>
        <v>0</v>
      </c>
      <c r="BB197" s="6">
        <f>COUNTIFS(Table4[Country],Tabela1[[#This Row],[Country]],Table4[Marathon Classification],"&gt;0")</f>
        <v>0</v>
      </c>
      <c r="BC197" s="6">
        <f>COUNTIFS(Table5[Country],Tabela1[[#This Row],[Country]],Table5[Marathon Classification],"&gt;0")</f>
        <v>0</v>
      </c>
      <c r="BD197" s="6">
        <f>COUNTIFS(Table4[Country],Tabela1[[#This Row],[Country]],Table4[20km Race Walk Classification],"&gt;0")</f>
        <v>0</v>
      </c>
      <c r="BE197" s="6">
        <f>COUNTIFS(Table5[Country],Tabela1[[#This Row],[Country]],Table5[20km Race Walk Classification],"&gt;0")</f>
        <v>0</v>
      </c>
      <c r="BF197" s="6">
        <f>COUNTIFS(Tabela96[Country],Tabela1[[#This Row],[Country]],Tabela96[Mixed Marathon Race Walk Relay Classification],"&gt;0")</f>
        <v>0</v>
      </c>
      <c r="BG197" s="6">
        <f>COUNTIFS(Table4[Country],Tabela1[[#This Row],[Country]],Table4[Discus Throw Classification],"&gt;0")</f>
        <v>0</v>
      </c>
      <c r="BH197" s="6">
        <f>COUNTIFS(Table5[Country],Tabela1[[#This Row],[Country]],Table5[Discus Throw Classification],"&gt;0")</f>
        <v>0</v>
      </c>
      <c r="BI197" s="6">
        <f>COUNTIFS(Table4[Country],Tabela1[[#This Row],[Country]],Table4[Hammer Throw Classification],"&gt;0")</f>
        <v>0</v>
      </c>
      <c r="BJ197" s="6">
        <f>COUNTIFS(Table5[Country],Tabela1[[#This Row],[Country]],Table5[Hammer Throw Classification],"&gt;0")</f>
        <v>0</v>
      </c>
      <c r="BK197" s="6">
        <f>COUNTIFS(Table4[Country],Tabela1[[#This Row],[Country]],Table4[High Jump Classification],"&gt;0")</f>
        <v>0</v>
      </c>
      <c r="BL197" s="6">
        <f>COUNTIFS(Table5[Country],Tabela1[[#This Row],[Country]],Table5[High Jump Classification],"&gt;0")</f>
        <v>0</v>
      </c>
      <c r="BM197" s="6">
        <f>COUNTIFS(Table4[Country],Tabela1[[#This Row],[Country]],Table4[Javelin Throw Classification],"&gt;0")</f>
        <v>0</v>
      </c>
      <c r="BN197" s="6">
        <f>COUNTIFS(Table5[Country],Tabela1[[#This Row],[Country]],Table5[Javelin Throw Classification],"&gt;0")</f>
        <v>0</v>
      </c>
      <c r="BO197" s="6">
        <f>COUNTIFS(Table4[Country],Tabela1[[#This Row],[Country]],Table4[Long Jump Classification],"&gt;0")</f>
        <v>0</v>
      </c>
      <c r="BP197" s="6">
        <f>COUNTIFS(Table5[Country],Tabela1[[#This Row],[Country]],Table5[Long Jump Classification],"&gt;0")</f>
        <v>0</v>
      </c>
      <c r="BQ197" s="6">
        <f>COUNTIFS(Table4[Country],Tabela1[[#This Row],[Country]],Table4[Pole Vault Classification],"&gt;0")</f>
        <v>0</v>
      </c>
      <c r="BR197" s="6">
        <f>COUNTIFS(Table5[Country],Tabela1[[#This Row],[Country]],Table5[Pole Vault Classification],"&gt;0")</f>
        <v>0</v>
      </c>
      <c r="BS197" s="6">
        <f>COUNTIFS(Table4[Country],Tabela1[[#This Row],[Country]],Table4[Shot Put Classification],"&gt;0")</f>
        <v>0</v>
      </c>
      <c r="BT197" s="6">
        <f>COUNTIFS(Table5[Country],Tabela1[[#This Row],[Country]],Table5[Shot Put Classification],"&gt;0")</f>
        <v>0</v>
      </c>
      <c r="BU197" s="6">
        <f>COUNTIFS(Table4[Country],Tabela1[[#This Row],[Country]],Table4[Triple Jump Classification],"&gt;0")</f>
        <v>0</v>
      </c>
      <c r="BV197" s="6">
        <f>COUNTIFS(Table5[Country],Tabela1[[#This Row],[Country]],Table5[Triple Jump Classification],"&gt;0")</f>
        <v>0</v>
      </c>
      <c r="BW197" s="6">
        <f>COUNTIFS(Table4[Country],Tabela1[[#This Row],[Country]],Table4[Decathlon Classification],"&gt;0")</f>
        <v>0</v>
      </c>
      <c r="BX197" s="6">
        <f>COUNTIFS(Table5[Country],Tabela1[[#This Row],[Country]],Table5[Heptathlon Classification],"&gt;0")</f>
        <v>0</v>
      </c>
      <c r="BY197" s="6">
        <f>COUNTIFS(Table61[Country],Tabela1[[#This Row],[Country]],Table61[Classification],"&gt;0")</f>
        <v>0</v>
      </c>
      <c r="BZ197" s="6">
        <f>COUNTIFS(Table38[Country],Tabela1[[#This Row],[Country]],Table38[Classification],"&gt;0")</f>
        <v>0</v>
      </c>
      <c r="CA197" s="6">
        <f>COUNTIFS(Table39[Country],Tabela1[[#This Row],[Country]],Table39[Men''s Classification],"&gt;0")</f>
        <v>0</v>
      </c>
      <c r="CB197" s="6">
        <f>COUNTIFS(Table39[Country],Tabela1[[#This Row],[Country]],Table39[Women''s Classification],"&gt;0")</f>
        <v>0</v>
      </c>
      <c r="CC197" s="6">
        <f>COUNTIFS(Table39[Country],Tabela1[[#This Row],[Country]],Table39[Mixed Classification],"&gt;0")</f>
        <v>0</v>
      </c>
      <c r="CD197" s="6">
        <f>COUNTIFS(Table89[Country],Tabela1[[#This Row],[Country]],Table89[Men''s Classification],"&gt;0")</f>
        <v>0</v>
      </c>
      <c r="CE197" s="6">
        <f>COUNTIFS(Table89[Country],Tabela1[[#This Row],[Country]],Table89[Women''s Classification],"&gt;0")</f>
        <v>0</v>
      </c>
      <c r="CF197" s="6">
        <f>COUNTIFS(Table90[Country],Tabela1[[#This Row],[Country]],Table90[Men''s Classification],"&gt;0")</f>
        <v>0</v>
      </c>
      <c r="CG197" s="6">
        <f>COUNTIFS(Table90[Country],Tabela1[[#This Row],[Country]],Table90[Women''s Classification],"&gt;0")</f>
        <v>0</v>
      </c>
      <c r="CH197" s="6">
        <f>COUNTIFS(Table60[Country],Tabela1[[#This Row],[Country]],Table60[Men''s Classification],"&gt;0")</f>
        <v>0</v>
      </c>
      <c r="CI197" s="6">
        <f>COUNTIFS(Table60[Country],Tabela1[[#This Row],[Country]],Table60[Women''s Classification],"&gt;0")</f>
        <v>0</v>
      </c>
      <c r="CJ197" s="6">
        <f>COUNTIFS(Table6[Country],Tabela1[[#This Row],[Country]],Table6[51kg Classification],"&gt;0")</f>
        <v>0</v>
      </c>
      <c r="CK197" s="6">
        <f>COUNTIFS(Table6[Country],Tabela1[[#This Row],[Country]],Table6[57kg Classification],"&gt;0")</f>
        <v>0</v>
      </c>
      <c r="CL197" s="6">
        <f>COUNTIFS(Table6[Country],Tabela1[[#This Row],[Country]],Table6[63.5kg Classification],"&gt;0")</f>
        <v>0</v>
      </c>
      <c r="CM197" s="6">
        <f>COUNTIFS(Table6[Country],Tabela1[[#This Row],[Country]],Table6[71kg Classification],"&gt;0")</f>
        <v>0</v>
      </c>
      <c r="CN197" s="6">
        <f>COUNTIFS(Table6[Country],Tabela1[[#This Row],[Country]],Table6[80kg Classification],"&gt;0")</f>
        <v>0</v>
      </c>
      <c r="CO197" s="6">
        <f>COUNTIFS(Table6[Country],Tabela1[[#This Row],[Country]],Table6[92kg Classification],"&gt;0")</f>
        <v>0</v>
      </c>
      <c r="CP197" s="6">
        <f>COUNTIFS(Table6[Country],Tabela1[[#This Row],[Country]],Table6[Plus 92kg Classification],"&gt;0")</f>
        <v>0</v>
      </c>
      <c r="CQ197" s="6">
        <f>COUNTIFS(Table7[Country],Tabela1[[#This Row],[Country]],Table7[50kg Classification],"&gt;0")</f>
        <v>0</v>
      </c>
      <c r="CR197" s="6">
        <f>COUNTIFS(Table7[Country],Tabela1[[#This Row],[Country]],Table7[54kg Classification],"&gt;0")</f>
        <v>0</v>
      </c>
      <c r="CS197" s="6">
        <f>COUNTIFS(Table7[Country],Tabela1[[#This Row],[Country]],Table7[57kg Classification],"&gt;0")</f>
        <v>0</v>
      </c>
      <c r="CT197" s="6">
        <f>COUNTIFS(Table7[Country],Tabela1[[#This Row],[Country]],Table7[60kg Classification],"&gt;0")</f>
        <v>0</v>
      </c>
      <c r="CU197" s="6">
        <f>COUNTIFS(Table7[Country],Tabela1[[#This Row],[Country]],Table7[66kg Classification],"&gt;0")</f>
        <v>0</v>
      </c>
      <c r="CV197" s="6">
        <f>COUNTIFS(Table7[Country],Tabela1[[#This Row],[Country]],Table7[75kg Classification],"&gt;0")</f>
        <v>0</v>
      </c>
      <c r="CW197" s="6">
        <f>COUNTIFS(Tabela94[Country],Tabela1[[#This Row],[Country]],Tabela94[Classification],"&gt;0")</f>
        <v>0</v>
      </c>
      <c r="CX197" s="6">
        <f>COUNTIFS(Tabela9499[Country],Tabela1[[#This Row],[Country]],Tabela9499[Classification],"&gt;0")</f>
        <v>0</v>
      </c>
      <c r="CY197" s="6">
        <f>COUNTIFS(Tabela107[Country],Tabela1[[#This Row],[Country]],Tabela107[C1 Slalom Classification],"&gt;0")</f>
        <v>0</v>
      </c>
      <c r="CZ197" s="6">
        <f>COUNTIFS(Tabela107122[Country],Tabela1[[#This Row],[Country]],Tabela107122[C1 Slalom Classification],"&gt;0")</f>
        <v>0</v>
      </c>
      <c r="DA197" s="6">
        <f>COUNTIFS(Tabela107[Country],Tabela1[[#This Row],[Country]],Tabela107[K1 Slalom Classification],"&gt;0")</f>
        <v>0</v>
      </c>
      <c r="DB197" s="6">
        <f>COUNTIFS(Tabela107122[Country],Tabela1[[#This Row],[Country]],Tabela107122[K1 Slalom Classification],"&gt;0")</f>
        <v>0</v>
      </c>
      <c r="DC197" s="6">
        <f>COUNTIFS(Tabela107[Country],Tabela1[[#This Row],[Country]],Tabela107[Kayak Cross Slalom Classification],"&gt;0")</f>
        <v>0</v>
      </c>
      <c r="DD197" s="6">
        <f>COUNTIFS(Tabela107122[Country],Tabela1[[#This Row],[Country]],Tabela107122[Kayak Cross Slalom Classification],"&gt;0")</f>
        <v>0</v>
      </c>
      <c r="DE197" s="6">
        <f>COUNTIFS(Table8[Country],Tabela1[[#This Row],[Country]],Table8[C1 200m Classification],"&gt;0")</f>
        <v>0</v>
      </c>
      <c r="DF197" s="6">
        <f>COUNTIFS(Table40[Country],Tabela1[[#This Row],[Country]],Table40[C1 1000m Classification],"&gt;0")</f>
        <v>0</v>
      </c>
      <c r="DG197" s="6">
        <f>COUNTIFS(Table68[Country],Tabela1[[#This Row],[Country]],Table68[Men''s C2 500m Classification],"&gt;0")</f>
        <v>0</v>
      </c>
      <c r="DH197" s="6">
        <f>COUNTIFS(Table68[Country],Tabela1[[#This Row],[Country]],Table68[Women''s C2 500m Classification],"&gt;0")</f>
        <v>0</v>
      </c>
      <c r="DI197" s="6">
        <f>COUNTIFS(Table8[Country],Tabela1[[#This Row],[Country]],Table8[K1 500m Classification],"&gt;0")</f>
        <v>0</v>
      </c>
      <c r="DJ197" s="6">
        <f>COUNTIFS(Table40[Country],Tabela1[[#This Row],[Country]],Table40[K1 1000m Classification],"&gt;0")</f>
        <v>0</v>
      </c>
      <c r="DK197" s="6">
        <f>COUNTIFS(Table68[Country],Tabela1[[#This Row],[Country]],Table68[Men''s K2 500m Classification],"&gt;0")</f>
        <v>0</v>
      </c>
      <c r="DL197" s="6">
        <f>COUNTIFS(Table68[Country],Tabela1[[#This Row],[Country]],Table68[Women''s K2 500m Classification],"&gt;0")</f>
        <v>0</v>
      </c>
      <c r="DM197" s="6">
        <f>COUNTIFS(Table83[Country],Tabela1[[#This Row],[Country]],Table83[Men''s K4 500m Classification],"&gt;0")</f>
        <v>0</v>
      </c>
      <c r="DN197" s="6">
        <f>COUNTIFS(Table83[Country],Tabela1[[#This Row],[Country]],Table83[Women''s K4 500m Classification],"&gt;0")</f>
        <v>0</v>
      </c>
      <c r="DO197" s="6">
        <f>COUNTIFS(Tabela126[Country],Tabela1[[#This Row],[Country]],Tabela126[Classification],"&gt;0")</f>
        <v>0</v>
      </c>
      <c r="DP197" s="6">
        <f>COUNTIFS(Tabela126130[Country],Tabela1[[#This Row],[Country]],Tabela126130[Classification],"&gt;0")</f>
        <v>0</v>
      </c>
      <c r="DQ197" s="6">
        <f>COUNTIFS(Table70[Country],Tabela1[[#This Row],[Country]],Table70[Classification],"&gt;0")</f>
        <v>0</v>
      </c>
      <c r="DR197" s="6">
        <f>COUNTIFS(Table80[Country],Tabela1[[#This Row],[Country]],Table80[Classification],"&gt;0")</f>
        <v>0</v>
      </c>
      <c r="DS197" s="6">
        <f>COUNTIFS(Table66[Country],Tabela1[[#This Row],[Country]],Table66[Classification],"&gt;0")</f>
        <v>0</v>
      </c>
      <c r="DT197" s="6">
        <f>COUNTIFS(Table67[Country],Tabela1[[#This Row],[Country]],Table67[Classification],"&gt;0")</f>
        <v>0</v>
      </c>
      <c r="DU197" s="6">
        <f>COUNTIFS(Table69[Country],Tabela1[[#This Row],[Country]],Table69[Keirin Classification],"&gt;0")</f>
        <v>0</v>
      </c>
      <c r="DV197" s="6">
        <f>COUNTIFS(Table41[Country],Tabela1[[#This Row],[Country]],Table41[Keirin Classification],"&gt;0")</f>
        <v>0</v>
      </c>
      <c r="DW197" s="6">
        <f>COUNTIFS(Table84[Country],Tabela1[[#This Row],[Country]],Table84[Men''s Madison Classification],"&gt;0")</f>
        <v>0</v>
      </c>
      <c r="DX197" s="6">
        <f>COUNTIFS(Table84[Country],Tabela1[[#This Row],[Country]],Table84[Women''s Madison Classification],"&gt;0")</f>
        <v>0</v>
      </c>
      <c r="DY197" s="6">
        <f>COUNTIFS(Table69[Country],Tabela1[[#This Row],[Country]],Table69[Omnium Classification],"&gt;0")</f>
        <v>0</v>
      </c>
      <c r="DZ197" s="6">
        <f>COUNTIFS(Table41[Country],Tabela1[[#This Row],[Country]],Table41[Omnium Classification],"&gt;0")</f>
        <v>0</v>
      </c>
      <c r="EA197" s="6">
        <f>COUNTIFS(Table9[Country],Tabela1[[#This Row],[Country]],Table9[Road Race Classification],"&gt;0")</f>
        <v>0</v>
      </c>
      <c r="EB197" s="6">
        <f>COUNTIFS(Table14[Country],Tabela1[[#This Row],[Country]],Table14[Road Race Classification],"&gt;0")</f>
        <v>0</v>
      </c>
      <c r="EC197" s="6">
        <f>COUNTIFS(Table69[Country],Tabela1[[#This Row],[Country]],Table69[Sprint Classification],"&gt;0")</f>
        <v>0</v>
      </c>
      <c r="ED197" s="6">
        <f>COUNTIFS(Table41[Country],Tabela1[[#This Row],[Country]],Table41[Sprint Classification],"&gt;0")</f>
        <v>0</v>
      </c>
      <c r="EE197" s="6">
        <f>COUNTIFS(Table85[Country],Tabela1[[#This Row],[Country]],Table85[Men''s Sprint Classification],"&gt;0")</f>
        <v>0</v>
      </c>
      <c r="EF197" s="6">
        <f>COUNTIFS(Table85[Country],Tabela1[[#This Row],[Country]],Table85[Women''s Sprint Classification],"&gt;0")</f>
        <v>0</v>
      </c>
      <c r="EG197" s="6">
        <f>COUNTIFS(Table85[Country],Tabela1[[#This Row],[Country]],Table85[Men''s Pursuit Classification],"&gt;0")</f>
        <v>0</v>
      </c>
      <c r="EH197" s="6">
        <f>COUNTIFS(Table85[Country],Tabela1[[#This Row],[Country]],Table85[Women''s Pursuit Classification],"&gt;0")</f>
        <v>0</v>
      </c>
      <c r="EI197" s="6">
        <f>COUNTIFS(Table9[Country],Tabela1[[#This Row],[Country]],Table9[Time-Trial Classification],"&gt;0")</f>
        <v>0</v>
      </c>
      <c r="EJ197" s="6">
        <f>COUNTIFS(Table14[Country],Tabela1[[#This Row],[Country]],Table14[Time-Trial Classification],"&gt;0")</f>
        <v>0</v>
      </c>
      <c r="EK197" s="6">
        <f>COUNTIFS(Table42[Country],Tabela1[[#This Row],[Country]],Table42[Springboard Classification],"&gt;0")</f>
        <v>0</v>
      </c>
      <c r="EL197" s="6">
        <f>COUNTIFS(Table43[Country],Tabela1[[#This Row],[Country]],Table43[Springboard Classification],"&gt;0")</f>
        <v>0</v>
      </c>
      <c r="EM197" s="6">
        <f>COUNTIFS(Table42[Country],Tabela1[[#This Row],[Country]],Table42[Platform Classification],"&gt;0")</f>
        <v>0</v>
      </c>
      <c r="EN197" s="6">
        <f>COUNTIFS(Table43[Country],Tabela1[[#This Row],[Country]],Table43[Platform Classification],"&gt;0")</f>
        <v>0</v>
      </c>
      <c r="EO197" s="6">
        <f>COUNTIFS(Table86[Country],Tabela1[[#This Row],[Country]],Table86[Men''s Synchronized Springboard Classification],"&gt;0")</f>
        <v>0</v>
      </c>
      <c r="EP197" s="6">
        <f>COUNTIFS(Table86[Country],Tabela1[[#This Row],[Country]],Table86[Women''s Synchronized Springboard Classification],"&gt;0")</f>
        <v>0</v>
      </c>
      <c r="EQ197" s="6">
        <f>COUNTIFS(Table86[Country],Tabela1[[#This Row],[Country]],Table86[Men''s Synchronized Platform Classification],"&gt;0")</f>
        <v>0</v>
      </c>
      <c r="ER197" s="6">
        <f>COUNTIFS(Table86[Country],Tabela1[[#This Row],[Country]],Table86[Women''s Synchronized Platform Classification],"&gt;0")</f>
        <v>0</v>
      </c>
      <c r="ES197" s="6">
        <f>COUNTIFS(Table44[Country],Tabela1[[#This Row],[Country]],Table44[Dressage Classification],"&gt;0")</f>
        <v>0</v>
      </c>
      <c r="ET197" s="6">
        <f>COUNTIFS(Table45[Country],Tabela1[[#This Row],[Country]],Table45[Dressage Classification],"&gt;0")</f>
        <v>0</v>
      </c>
      <c r="EU197" s="6">
        <f>COUNTIFS(Table44[Country],Tabela1[[#This Row],[Country]],Table44[Eventing Classification],"&gt;0")</f>
        <v>0</v>
      </c>
      <c r="EV197" s="6">
        <f>COUNTIFS(Table45[Country],Tabela1[[#This Row],[Country]],Table45[Eventing Classification],"&gt;0")</f>
        <v>0</v>
      </c>
      <c r="EW197" s="6">
        <f>COUNTIFS(Table44[Country],Tabela1[[#This Row],[Country]],Table44[Jumping Classification],"&gt;0")</f>
        <v>0</v>
      </c>
      <c r="EX197" s="6">
        <f>COUNTIFS(Table45[Country],Tabela1[[#This Row],[Country]],Table45[Jumping Classification],"&gt;0")</f>
        <v>0</v>
      </c>
      <c r="EY197" s="6">
        <f>COUNTIFS(Table10[Country],Tabela1[[#This Row],[Country]],Table10[Épée Classification],"&gt;0")</f>
        <v>0</v>
      </c>
      <c r="EZ197" s="6">
        <f>COUNTIFS(Table11[Country],Tabela1[[#This Row],[Country]],Table11[Épée Classification],"&gt;0")</f>
        <v>0</v>
      </c>
      <c r="FA197" s="6">
        <f>COUNTIFS(Table46[Country],Tabela1[[#This Row],[Country]],Table46[Men''s Épée Classification],"&gt;0")</f>
        <v>0</v>
      </c>
      <c r="FB197" s="6">
        <f>COUNTIFS(Table46[Country],Tabela1[[#This Row],[Country]],Table46[Women''s Épée Classification],"&gt;0")</f>
        <v>0</v>
      </c>
      <c r="FC197" s="6">
        <f>COUNTIFS(Table10[Country],Tabela1[[#This Row],[Country]],Table10[Foil Classification],"&gt;0")</f>
        <v>0</v>
      </c>
      <c r="FD197" s="6">
        <f>COUNTIFS(Table11[Country],Tabela1[[#This Row],[Country]],Table11[Foil Classification],"&gt;0")</f>
        <v>0</v>
      </c>
      <c r="FE197" s="6">
        <f>COUNTIFS(Table46[Country],Tabela1[[#This Row],[Country]],Table46[Men''s Foil Classification],"&gt;0")</f>
        <v>0</v>
      </c>
      <c r="FF197" s="6">
        <f>COUNTIFS(Table46[Country],Tabela1[[#This Row],[Country]],Table46[Women''s Foil Classification],"&gt;0")</f>
        <v>0</v>
      </c>
      <c r="FG197" s="6">
        <f>COUNTIFS(Table10[Country],Tabela1[[#This Row],[Country]],Table10[Sabre Classification],"&gt;0")</f>
        <v>0</v>
      </c>
      <c r="FH197" s="6">
        <f>COUNTIFS(Table11[Country],Tabela1[[#This Row],[Country]],Table11[Sabre Classification],"&gt;0")</f>
        <v>0</v>
      </c>
      <c r="FI197" s="6">
        <f>COUNTIFS(Table46[Country],Tabela1[[#This Row],[Country]],Table46[Men''s Sabre Classification],"&gt;0")</f>
        <v>0</v>
      </c>
      <c r="FJ197" s="6">
        <f>COUNTIFS(Table46[Country],Tabela1[[#This Row],[Country]],Table46[Women''s Sabre Classification],"&gt;0")</f>
        <v>0</v>
      </c>
      <c r="FK197" s="6">
        <f>COUNTIFS(Table91[Country],Tabela1[[#This Row],[Country]],Table91[Men''s Classification],"&gt;0")</f>
        <v>0</v>
      </c>
      <c r="FL197" s="6">
        <f>COUNTIFS(Table91[Country],Tabela1[[#This Row],[Country]],Table91[Women''s Classification],"&gt;0")</f>
        <v>0</v>
      </c>
      <c r="FM197" s="6">
        <f>COUNTIFS(Table9194[Country],Tabela1[[#This Row],[Country]],Table9194[Men''s Classification],"&gt;0")</f>
        <v>0</v>
      </c>
      <c r="FN197" s="6">
        <f>COUNTIFS(Table9194[Country],Tabela1[[#This Row],[Country]],Table9194[Women''s Classification],"&gt;0")</f>
        <v>0</v>
      </c>
      <c r="FO197" s="6">
        <f>COUNTIFS(Table71[Country],Tabela1[[#This Row],[Country]],Table71[Classification],"&gt;0")</f>
        <v>0</v>
      </c>
      <c r="FP197" s="6">
        <f>COUNTIFS(Table62[Country],Tabela1[[#This Row],[Country]],Table62[Classification],"&gt;0")</f>
        <v>0</v>
      </c>
      <c r="FQ197" s="6">
        <f>COUNTIFS(Table47[Country],Tabela1[[#This Row],[Country]],Table47[All-Around Classification],"&gt;0")</f>
        <v>0</v>
      </c>
      <c r="FR197" s="6">
        <f>COUNTIFS(Table48[Country],Tabela1[[#This Row],[Country]],Table48[All-Around Classification],"&gt;0")</f>
        <v>0</v>
      </c>
      <c r="FS197" s="6">
        <f>COUNTIFS(Table81[Country],Tabela1[[#This Row],[Country]],Table81[Men''s All-Around Classification],"&gt;0")</f>
        <v>0</v>
      </c>
      <c r="FT197" s="6">
        <f>COUNTIFS(Table81[Country],Tabela1[[#This Row],[Country]],Table81[Women''s All-Around Classification],"&gt;0")</f>
        <v>0</v>
      </c>
      <c r="FU197" s="6">
        <f>COUNTIFS(Table48[Country],Tabela1[[#This Row],[Country]],Table48[Balance Beam Classification],"&gt;0")</f>
        <v>0</v>
      </c>
      <c r="FV197" s="6">
        <f>COUNTIFS(Table47[Country],Tabela1[[#This Row],[Country]],Table47[Floor Exercise Classification],"&gt;0")</f>
        <v>0</v>
      </c>
      <c r="FW197" s="6">
        <f>COUNTIFS(Table48[Country],Tabela1[[#This Row],[Country]],Table48[Floor Exercise Classification],"&gt;0")</f>
        <v>0</v>
      </c>
      <c r="FX197" s="6">
        <f>COUNTIFS(Table47[Country],Tabela1[[#This Row],[Country]],Table47[Horizontal Bar Classification],"&gt;0")</f>
        <v>0</v>
      </c>
      <c r="FY197" s="6">
        <f>COUNTIFS(Table47[Country],Tabela1[[#This Row],[Country]],Table47[Parallel Bars Classification],"&gt;0")</f>
        <v>0</v>
      </c>
      <c r="FZ197" s="6">
        <f>COUNTIFS(Table47[Country],Tabela1[[#This Row],[Country]],Table47[Pommel Horse Classification],"&gt;0")</f>
        <v>0</v>
      </c>
      <c r="GA197" s="6">
        <f>COUNTIFS(Table47[Country],Tabela1[[#This Row],[Country]],Table47[Rings Classification],"&gt;0")</f>
        <v>0</v>
      </c>
      <c r="GB197" s="6">
        <f>COUNTIFS(Tabela132[Country],Tabela1[[#This Row],[Country]],Tabela132[Classification],"&gt;0")</f>
        <v>0</v>
      </c>
      <c r="GC197" s="6">
        <f>COUNTIFS(Tabela139[Country],Tabela1[[#This Row],[Country]],Tabela139[Classification],"&gt;0")</f>
        <v>0</v>
      </c>
      <c r="GD197" s="6">
        <f>COUNTIFS(Table48[Country],Tabela1[[#This Row],[Country]],Table48[Uneven Bars Classification],"&gt;0")</f>
        <v>0</v>
      </c>
      <c r="GE197" s="6">
        <f>COUNTIFS(Table47[Country],Tabela1[[#This Row],[Country]],Table47[Vault Classification],"&gt;0")</f>
        <v>0</v>
      </c>
      <c r="GF197" s="6">
        <f>COUNTIFS(Table48[Country],Tabela1[[#This Row],[Country]],Table48[Vault Classification],"&gt;0")</f>
        <v>0</v>
      </c>
      <c r="GG197" s="6">
        <f>COUNTIFS(Table919496[Country],Tabela1[[#This Row],[Country]],Table919496[Men''s Classification],"&gt;0")</f>
        <v>0</v>
      </c>
      <c r="GH197" s="6">
        <f>COUNTIFS(Table919496[Country],Tabela1[[#This Row],[Country]],Table919496[Women''s Classification],"&gt;0")</f>
        <v>0</v>
      </c>
      <c r="GI197" s="6">
        <f>COUNTIFS(Table12[Country],Tabela1[[#This Row],[Country]],Table12[60kg Classification],"&gt;0")</f>
        <v>0</v>
      </c>
      <c r="GJ197" s="6">
        <f>COUNTIFS(Table12[Country],Tabela1[[#This Row],[Country]],Table12[66kg Classification],"&gt;0")</f>
        <v>0</v>
      </c>
      <c r="GK197" s="6">
        <f>COUNTIFS(Table12[Country],Tabela1[[#This Row],[Country]],Table12[73kg Classification],"&gt;0")</f>
        <v>0</v>
      </c>
      <c r="GL197" s="6">
        <f>COUNTIFS(Table12[Country],Tabela1[[#This Row],[Country]],Table12[81kg Classification],"&gt;0")</f>
        <v>0</v>
      </c>
      <c r="GM197" s="6">
        <f>COUNTIFS(Table12[Country],Tabela1[[#This Row],[Country]],Table12[90kg Classification],"&gt;0")</f>
        <v>0</v>
      </c>
      <c r="GN197" s="6">
        <f>COUNTIFS(Table12[Country],Tabela1[[#This Row],[Country]],Table12[100kg Classification],"&gt;0")</f>
        <v>0</v>
      </c>
      <c r="GO197" s="6">
        <f>COUNTIFS(Table12[Country],Tabela1[[#This Row],[Country]],Table12[Plus 100kg Classification],"&gt;0")</f>
        <v>0</v>
      </c>
      <c r="GP197" s="6">
        <f>COUNTIFS(Table13[Country],Tabela1[[#This Row],[Country]],Table13[48kg Classification],"&gt;0")</f>
        <v>0</v>
      </c>
      <c r="GQ197" s="6">
        <f>COUNTIFS(Table13[Country],Tabela1[[#This Row],[Country]],Table13[52kg Classification],"&gt;0")</f>
        <v>0</v>
      </c>
      <c r="GR197" s="6">
        <f>COUNTIFS(Table13[Country],Tabela1[[#This Row],[Country]],Table13[57kg Classification],"&gt;0")</f>
        <v>0</v>
      </c>
      <c r="GS197" s="6">
        <f>COUNTIFS(Table13[Country],Tabela1[[#This Row],[Country]],Table13[63kg Classification],"&gt;0")</f>
        <v>0</v>
      </c>
      <c r="GT197" s="6">
        <f>COUNTIFS(Table13[Country],Tabela1[[#This Row],[Country]],Table13[70kg Classification],"&gt;0")</f>
        <v>0</v>
      </c>
      <c r="GU197" s="6">
        <f>COUNTIFS(Table13[Country],Tabela1[[#This Row],[Country]],Table13[78kg Classification],"&gt;0")</f>
        <v>0</v>
      </c>
      <c r="GV197" s="6">
        <f>COUNTIFS(Table13[Country],Tabela1[[#This Row],[Country]],Table13[Plus 78kg Classification],"&gt;0")</f>
        <v>0</v>
      </c>
      <c r="GW197" s="6">
        <f>COUNTIFS(Table82[Country],Tabela1[[#This Row],[Country]],Table82[Mixed Classification],"&gt;0")</f>
        <v>0</v>
      </c>
      <c r="GX197" s="6">
        <f>COUNTIFS(Table51[Country],Tabela1[[#This Row],[Country]],Table51[Classification],"&gt;0")</f>
        <v>0</v>
      </c>
      <c r="GY197" s="6">
        <f>COUNTIFS(Table52[Country],Tabela1[[#This Row],[Country]],Table52[Classification],"&gt;0")</f>
        <v>0</v>
      </c>
      <c r="GZ197" s="6">
        <f>COUNTIFS(Table32[Country],Tabela1[[#This Row],[Country]],Table32[All-Around Classification],"&gt;0")</f>
        <v>0</v>
      </c>
      <c r="HA197" s="6">
        <f>COUNTIFS(Table49[Country],Tabela1[[#This Row],[Country]],Table49[All-Around Classification],"&gt;0")</f>
        <v>0</v>
      </c>
      <c r="HB197" s="6">
        <f>COUNTIFS(Table26[Country],Tabela1[[#This Row],[Country]],Table26[Single Sculls Classification],"&gt;0")</f>
        <v>0</v>
      </c>
      <c r="HC197" s="6">
        <f>COUNTIFS(Table63[Country],Tabela1[[#This Row],[Country]],Table63[Single Sculls Classification],"&gt;0")</f>
        <v>0</v>
      </c>
      <c r="HD197" s="6">
        <f>COUNTIFS(Table16[Country],Tabela1[[#This Row],[Country]],Table16[Men''s Double Sculls Classification],"&gt;0")</f>
        <v>0</v>
      </c>
      <c r="HE197" s="6">
        <f>COUNTIFS(Table16[Country],Tabela1[[#This Row],[Country]],Table16[Women''s Double Sculls Classification],"&gt;0")</f>
        <v>0</v>
      </c>
      <c r="HF197" s="6">
        <f>COUNTIFS(Table72[Country],Tabela1[[#This Row],[Country]],Table72[Men''s Quadruple Sculls Classification],"&gt;0")</f>
        <v>0</v>
      </c>
      <c r="HG197" s="6">
        <f>COUNTIFS(Table72[Country],Tabela1[[#This Row],[Country]],Table72[Women''s Quadruple Sculls Classification],"&gt;0")</f>
        <v>0</v>
      </c>
      <c r="HH197" s="6">
        <f>COUNTIFS(Table16[Country],Tabela1[[#This Row],[Country]],Table16[Men''s Coxless Pairs Classification],"&gt;0")</f>
        <v>0</v>
      </c>
      <c r="HI197" s="6">
        <f>COUNTIFS(Table16[Country],Tabela1[[#This Row],[Country]],Table16[Women''s Coxless Pairs Classification],"&gt;0")</f>
        <v>0</v>
      </c>
      <c r="HJ197" s="6">
        <f>COUNTIFS(Table72[Country],Tabela1[[#This Row],[Country]],Table72[Men''s Coxless Fours Classification],"&gt;0")</f>
        <v>0</v>
      </c>
      <c r="HK197" s="6">
        <f>COUNTIFS(Table72[Country],Tabela1[[#This Row],[Country]],Table72[Women''s Coxless Fours Classification],"&gt;0")</f>
        <v>0</v>
      </c>
      <c r="HL197" s="6">
        <f>COUNTIFS(Table72[Country],Tabela1[[#This Row],[Country]],Table72[Men''s Eights Classification],"&gt;0")</f>
        <v>0</v>
      </c>
      <c r="HM197" s="6">
        <f>COUNTIFS(Table72[Country],Tabela1[[#This Row],[Country]],Table72[Women''s Eights Classification],"&gt;0")</f>
        <v>0</v>
      </c>
      <c r="HN197" s="6">
        <f>COUNTIFS(Table16[Country],Tabela1[[#This Row],[Country]],Table16[Men''s Lwt. Double Sculls Classification],"&gt;0")</f>
        <v>0</v>
      </c>
      <c r="HO197" s="6">
        <f>COUNTIFS(Table16[Country],Tabela1[[#This Row],[Country]],Table16[Women''s Lwt. Double Sculls Classification],"&gt;0")</f>
        <v>0</v>
      </c>
      <c r="HP197" s="6">
        <f>COUNTIFS(Table91949698[Country],Tabela1[[#This Row],[Country]],Table91949698[Men''s Classification],"&gt;0")</f>
        <v>0</v>
      </c>
      <c r="HQ197" s="6">
        <f>COUNTIFS(Table91949698[Country],Tabela1[[#This Row],[Country]],Table91949698[Women''s Classification],"&gt;0")</f>
        <v>0</v>
      </c>
      <c r="HR197" s="6">
        <f>COUNTIFS(Table25[Country],Tabela1[[#This Row],[Country]],Table25[Mixed 470 Classification],"&gt;0")</f>
        <v>0</v>
      </c>
      <c r="HS197" s="6">
        <f>COUNTIFS(Table25[Country],Tabela1[[#This Row],[Country]],Table25[Men''s 49er Classification],"&gt;0")</f>
        <v>0</v>
      </c>
      <c r="HT197" s="6">
        <f>COUNTIFS(Table25[Country],Tabela1[[#This Row],[Country]],Table25[Women''s 49er FX Classification],"&gt;0")</f>
        <v>0</v>
      </c>
      <c r="HU197" s="6">
        <f>COUNTIFS(Table17[Country],Tabela1[[#This Row],[Country]],Table17[Formula Kite Classification],"&gt;0")</f>
        <v>0</v>
      </c>
      <c r="HV197" s="6">
        <f>COUNTIFS(Table18[Country],Tabela1[[#This Row],[Country]],Table18[Formula Kite Classification],"&gt;0")</f>
        <v>0</v>
      </c>
      <c r="HW197" s="6">
        <f>COUNTIFS(Table17[Country],Tabela1[[#This Row],[Country]],Table17[ILCA 7 Classification],"&gt;0")</f>
        <v>0</v>
      </c>
      <c r="HX197" s="6">
        <f>COUNTIFS(Table18[Country],Tabela1[[#This Row],[Country]],Table18[ILCA 6 Classification],"&gt;0")</f>
        <v>0</v>
      </c>
      <c r="HY197" s="6">
        <f>COUNTIFS(Table17[Country],Tabela1[[#This Row],[Country]],Table17[IQFoil Classification],"&gt;0")</f>
        <v>0</v>
      </c>
      <c r="HZ197" s="6">
        <f>COUNTIFS(Table18[Country],Tabela1[[#This Row],[Country]],Table18[IQFoil Classification],"&gt;0")</f>
        <v>0</v>
      </c>
      <c r="IA197" s="6">
        <f>COUNTIFS(Table25[Country],Tabela1[[#This Row],[Country]],Table25[Mixed Nacra 17 Classification],"&gt;0")</f>
        <v>0</v>
      </c>
      <c r="IB197" s="6">
        <f>COUNTIFS(Table53[Country],Tabela1[[#This Row],[Country]],Table53[10m Air Pistol Classification],"&gt;0")</f>
        <v>0</v>
      </c>
      <c r="IC197" s="6">
        <f>COUNTIFS(Table19[Country],Tabela1[[#This Row],[Country]],Table19[10m Air Pistol Classification],"&gt;0")</f>
        <v>0</v>
      </c>
      <c r="ID197" s="6">
        <f>COUNTIFS(Table54[Country],Tabela1[[#This Row],[Country]],Table54[Mixed 10m Air Pistol Team Classification],"&gt;0")</f>
        <v>0</v>
      </c>
      <c r="IE197" s="6">
        <f>COUNTIFS(Table53[Country],Tabela1[[#This Row],[Country]],Table53[10m Air Rifle Classification],"&gt;0")</f>
        <v>0</v>
      </c>
      <c r="IF197" s="6">
        <f>COUNTIFS(Table19[Country],Tabela1[[#This Row],[Country]],Table19[10m Air Rifle Classification],"&gt;0")</f>
        <v>0</v>
      </c>
      <c r="IG197" s="6">
        <f>COUNTIFS(Table54[Country],Tabela1[[#This Row],[Country]],Table54[Mixed 10m Air Rifle Team Classification],"&gt;0")</f>
        <v>0</v>
      </c>
      <c r="IH197" s="6">
        <f>COUNTIFS(Table53[Country],Tabela1[[#This Row],[Country]],Table53[25m Rapid Fire Pistol Classification],"&gt;0")</f>
        <v>0</v>
      </c>
      <c r="II197" s="6">
        <f>COUNTIFS(Table19[Country],Tabela1[[#This Row],[Country]],Table19[25m Pistol Classification],"&gt;0")</f>
        <v>0</v>
      </c>
      <c r="IJ197" s="6">
        <f>COUNTIFS(Table53[Country],Tabela1[[#This Row],[Country]],Table53[50m Rifle 3 Positions Classification],"&gt;0")</f>
        <v>0</v>
      </c>
      <c r="IK197" s="6">
        <f>COUNTIFS(Table19[Country],Tabela1[[#This Row],[Country]],Table19[50m Rifle 3 Positions Classification],"&gt;0")</f>
        <v>0</v>
      </c>
      <c r="IL197" s="6">
        <f>COUNTIFS(Table53[Country],Tabela1[[#This Row],[Country]],Table53[Skeet Classification],"&gt;0")</f>
        <v>0</v>
      </c>
      <c r="IM197" s="6">
        <f>COUNTIFS(Table19[Country],Tabela1[[#This Row],[Country]],Table19[Skeet Classification],"&gt;0")</f>
        <v>0</v>
      </c>
      <c r="IN197" s="6">
        <f>COUNTIFS(Table54[Country],Tabela1[[#This Row],[Country]],Table54[Mixed Skeet Team Classification],"&gt;0")</f>
        <v>0</v>
      </c>
      <c r="IO197" s="6">
        <f>COUNTIFS(Table53[Country],Tabela1[[#This Row],[Country]],Table53[Trap Classification],"&gt;0")</f>
        <v>0</v>
      </c>
      <c r="IP197" s="6">
        <f>COUNTIFS(Table19[Country],Tabela1[[#This Row],[Country]],Table19[Trap Classification],"&gt;0")</f>
        <v>0</v>
      </c>
      <c r="IQ197" s="6">
        <f>COUNTIFS(Table73[Country],Tabela1[[#This Row],[Country]],Table73[Park Classification],"&gt;0")</f>
        <v>0</v>
      </c>
      <c r="IR197" s="6">
        <f>COUNTIFS(Table74[Country],Tabela1[[#This Row],[Country]],Table74[Park Classification],"&gt;0")</f>
        <v>0</v>
      </c>
      <c r="IS197" s="6">
        <f>COUNTIFS(Table73[Country],Tabela1[[#This Row],[Country]],Table73[Street Classification],"&gt;0")</f>
        <v>0</v>
      </c>
      <c r="IT197" s="6">
        <f>COUNTIFS(Table74[Country],Tabela1[[#This Row],[Country]],Table74[Street Classification],"&gt;0")</f>
        <v>0</v>
      </c>
      <c r="IU197" s="6">
        <f>COUNTIFS(Table75[Country],Tabela1[[#This Row],[Country]],Table75[Boulder and Lead Classification],"&gt;0")</f>
        <v>0</v>
      </c>
      <c r="IV197" s="6">
        <f>COUNTIFS(Table76[Country],Tabela1[[#This Row],[Country]],Table76[Boulder and Lead Classification],"&gt;0")</f>
        <v>0</v>
      </c>
      <c r="IW197" s="6">
        <f>COUNTIFS(Table75[Country],Tabela1[[#This Row],[Country]],Table75[Speed Classification],"&gt;0")</f>
        <v>0</v>
      </c>
      <c r="IX197" s="6">
        <f>COUNTIFS(Table76[Country],Tabela1[[#This Row],[Country]],Table76[Speed Classification],"&gt;0")</f>
        <v>0</v>
      </c>
      <c r="IY197" s="6">
        <f>COUNTIFS(Table64[Country],Tabela1[[#This Row],[Country]],Table64[Shortboard Classification],"&gt;0")</f>
        <v>0</v>
      </c>
      <c r="IZ197" s="6">
        <f>COUNTIFS(Table77[Country],Tabela1[[#This Row],[Country]],Table77[Shortboard Classification],"&gt;0")</f>
        <v>0</v>
      </c>
      <c r="JA197" s="6">
        <f>COUNTIFS(Table20[Country],Tabela1[[#This Row],[Country]],Table20[50m Freestyle Classification],"&gt;0")</f>
        <v>0</v>
      </c>
      <c r="JB197" s="6">
        <f>COUNTIFS(Table21[Country],Tabela1[[#This Row],[Country]],Table21[50m Freestyle Classification],"&gt;0")</f>
        <v>0</v>
      </c>
      <c r="JC197" s="6">
        <f>COUNTIFS(Table20[Country],Tabela1[[#This Row],[Country]],Table20[100m Freestyle Classification],"&gt;0")</f>
        <v>0</v>
      </c>
      <c r="JD197" s="6">
        <f>COUNTIFS(Table21[Country],Tabela1[[#This Row],[Country]],Table21[100m Freestyle Classification],"&gt;0")</f>
        <v>0</v>
      </c>
      <c r="JE197" s="6">
        <f>COUNTIFS(Table20[Country],Tabela1[[#This Row],[Country]],Table20[200m Freestyle Classification],"&gt;0")</f>
        <v>0</v>
      </c>
      <c r="JF197" s="6">
        <f>COUNTIFS(Table21[Country],Tabela1[[#This Row],[Country]],Table21[200m Freestyle Classification],"&gt;0")</f>
        <v>0</v>
      </c>
      <c r="JG197" s="6">
        <f>COUNTIFS(Table20[Country],Tabela1[[#This Row],[Country]],Table20[400m Freestyle Classification],"&gt;0")</f>
        <v>0</v>
      </c>
      <c r="JH197" s="6">
        <f>COUNTIFS(Table21[Country],Tabela1[[#This Row],[Country]],Table21[400m Freestyle Classification],"&gt;0")</f>
        <v>0</v>
      </c>
      <c r="JI197" s="6">
        <f>COUNTIFS(Table20[Country],Tabela1[[#This Row],[Country]],Table20[800m Freestyle Classification],"&gt;0")</f>
        <v>0</v>
      </c>
      <c r="JJ197" s="6">
        <f>COUNTIFS(Table21[Country],Tabela1[[#This Row],[Country]],Table21[800m Freestyle Classification],"&gt;0")</f>
        <v>0</v>
      </c>
      <c r="JK197" s="6">
        <f>COUNTIFS(Table20[Country],Tabela1[[#This Row],[Country]],Table20[1500m Freestyle Classification],"&gt;0")</f>
        <v>0</v>
      </c>
      <c r="JL197" s="6">
        <f>COUNTIFS(Table21[Country],Tabela1[[#This Row],[Country]],Table21[1500m Freestyle Classification],"&gt;0")</f>
        <v>0</v>
      </c>
      <c r="JM197" s="6">
        <f>COUNTIFS(Table20[Country],Tabela1[[#This Row],[Country]],Table20[100m Backstroke Classification],"&gt;0")</f>
        <v>0</v>
      </c>
      <c r="JN197" s="6">
        <f>COUNTIFS(Table21[Country],Tabela1[[#This Row],[Country]],Table21[100m Backstroke Classification],"&gt;0")</f>
        <v>0</v>
      </c>
      <c r="JO197" s="6">
        <f>COUNTIFS(Table20[Country],Tabela1[[#This Row],[Country]],Table20[200m Backstroke Classification],"&gt;0")</f>
        <v>0</v>
      </c>
      <c r="JP197" s="6">
        <f>COUNTIFS(Table21[Country],Tabela1[[#This Row],[Country]],Table21[200m Backstroke Classification],"&gt;0")</f>
        <v>0</v>
      </c>
      <c r="JQ197" s="6">
        <f>COUNTIFS(Table20[Country],Tabela1[[#This Row],[Country]],Table20[100m Breaststroke Classification],"&gt;0")</f>
        <v>0</v>
      </c>
      <c r="JR197" s="6">
        <f>COUNTIFS(Table21[Country],Tabela1[[#This Row],[Country]],Table21[100m Breaststroke Classification],"&gt;0")</f>
        <v>0</v>
      </c>
      <c r="JS197" s="6">
        <f>COUNTIFS(Table20[Country],Tabela1[[#This Row],[Country]],Table20[200m Breaststroke Classification],"&gt;0")</f>
        <v>0</v>
      </c>
      <c r="JT197" s="6">
        <f>COUNTIFS(Table21[Country],Tabela1[[#This Row],[Country]],Table21[200m Breaststroke Classification],"&gt;0")</f>
        <v>0</v>
      </c>
      <c r="JU197" s="6">
        <f>COUNTIFS(Table20[Country],Tabela1[[#This Row],[Country]],Table20[100m Butterfly Classification],"&gt;0")</f>
        <v>0</v>
      </c>
      <c r="JV197" s="6">
        <f>COUNTIFS(Table21[Country],Tabela1[[#This Row],[Country]],Table21[100m Butterfly Classification],"&gt;0")</f>
        <v>0</v>
      </c>
      <c r="JW197" s="6">
        <f>COUNTIFS(Table20[Country],Tabela1[[#This Row],[Country]],Table20[200m Butterfly Classification],"&gt;0")</f>
        <v>0</v>
      </c>
      <c r="JX197" s="6">
        <f>COUNTIFS(Table21[Country],Tabela1[[#This Row],[Country]],Table21[200m Butterfly Classification],"&gt;0")</f>
        <v>0</v>
      </c>
      <c r="JY197" s="6">
        <f>COUNTIFS(Table20[Country],Tabela1[[#This Row],[Country]],Table20[200m Medley Classification],"&gt;0")</f>
        <v>0</v>
      </c>
      <c r="JZ197" s="6">
        <f>COUNTIFS(Table21[Country],Tabela1[[#This Row],[Country]],Table21[200m Medley Classification],"&gt;0")</f>
        <v>0</v>
      </c>
      <c r="KA197" s="6">
        <f>COUNTIFS(Table20[Country],Tabela1[[#This Row],[Country]],Table20[400m Medley Classification],"&gt;0")</f>
        <v>0</v>
      </c>
      <c r="KB197" s="6">
        <f>COUNTIFS(Table21[Country],Tabela1[[#This Row],[Country]],Table21[400m Medley Classification],"&gt;0")</f>
        <v>0</v>
      </c>
      <c r="KC197" s="6">
        <f>COUNTIFS(Table78[Country],Tabela1[[#This Row],[Country]],Table78[Men''s 4x100m Freestyle Relay Classification],"&gt;0")</f>
        <v>0</v>
      </c>
      <c r="KD197" s="6">
        <f>COUNTIFS(Table78[Country],Tabela1[[#This Row],[Country]],Table78[Women''s 4x100m Freestyle Relay Classification],"&gt;0")</f>
        <v>0</v>
      </c>
      <c r="KE197" s="6">
        <f>COUNTIFS(Table78[Country],Tabela1[[#This Row],[Country]],Table78[Men''s 4x200m Freestyle Relay Classification],"&gt;0")</f>
        <v>0</v>
      </c>
      <c r="KF197" s="6">
        <f>COUNTIFS(Table78[Country],Tabela1[[#This Row],[Country]],Table78[Women''s 4x200m Freestyle Relay Classification],"&gt;0")</f>
        <v>0</v>
      </c>
      <c r="KG197" s="6">
        <f>COUNTIFS(Table78[Country],Tabela1[[#This Row],[Country]],Table78[Men''s 4x100m Medley Relay Classification],"&gt;0")</f>
        <v>0</v>
      </c>
      <c r="KH197" s="6">
        <f>COUNTIFS(Table78[Country],Tabela1[[#This Row],[Country]],Table78[Women''s 4x100m Medley Relay Classification],"&gt;0")</f>
        <v>0</v>
      </c>
      <c r="KI197" s="6">
        <f>COUNTIFS(Table78[Country],Tabela1[[#This Row],[Country]],Table78[Mixed 4x100m Medley Relay Classification],"&gt;0")</f>
        <v>0</v>
      </c>
      <c r="KJ197" s="6">
        <f>COUNTIFS(Table20[Country],Tabela1[[#This Row],[Country]],Table20[10km Open Water Classification],"&gt;0")</f>
        <v>0</v>
      </c>
      <c r="KK197" s="6">
        <f>COUNTIFS(Table21[Country],Tabela1[[#This Row],[Country]],Table21[10km Open Water Classification],"&gt;0")</f>
        <v>0</v>
      </c>
      <c r="KL197" s="6">
        <f>COUNTIFS(Table22[Country],Tabela1[[#This Row],[Country]],Table22[Classification],"&gt;0")</f>
        <v>0</v>
      </c>
      <c r="KM197" s="6">
        <f>COUNTIFS(Table30[Country],Tabela1[[#This Row],[Country]],Table30[Classification],"&gt;0")</f>
        <v>0</v>
      </c>
      <c r="KN197" s="6">
        <f>COUNTIFS(Table55[Country],Tabela1[[#This Row],[Country]],Table55[Men''s Classification],"&gt;0")</f>
        <v>0</v>
      </c>
      <c r="KO197" s="6">
        <f>COUNTIFS(Table55[Country],Tabela1[[#This Row],[Country]],Table55[Women''s Classification],"&gt;0")</f>
        <v>0</v>
      </c>
      <c r="KP197" s="6">
        <f>COUNTIFS(Table56[Country],Tabela1[[#This Row],[Country]],Table56[Mixed Classification],"&gt;0")</f>
        <v>0</v>
      </c>
      <c r="KQ197" s="6">
        <f>COUNTIFS(Table29[Country],Tabela1[[#This Row],[Country]],Table29[58kg Classification],"&gt;0")</f>
        <v>0</v>
      </c>
      <c r="KR197" s="6">
        <f>COUNTIFS(Table29[Country],Tabela1[[#This Row],[Country]],Table29[68kg Classification],"&gt;0")</f>
        <v>0</v>
      </c>
      <c r="KS197" s="6">
        <f>COUNTIFS(Table29[Country],Tabela1[[#This Row],[Country]],Table29[80kg Classification],"&gt;0")</f>
        <v>0</v>
      </c>
      <c r="KT197" s="6">
        <f>COUNTIFS(Table29[Country],Tabela1[[#This Row],[Country]],Table29[Plus 80kg Classification],"&gt;0")</f>
        <v>0</v>
      </c>
      <c r="KU197" s="6">
        <f>COUNTIFS(Table34[Country],Tabela1[[#This Row],[Country]],Table34[49kg Classification],"&gt;0")</f>
        <v>0</v>
      </c>
      <c r="KV197" s="6">
        <f>COUNTIFS(Table34[Country],Tabela1[[#This Row],[Country]],Table34[57kg Classification],"&gt;0")</f>
        <v>0</v>
      </c>
      <c r="KW197" s="6">
        <f>COUNTIFS(Table34[Country],Tabela1[[#This Row],[Country]],Table34[67kg Classification],"&gt;0")</f>
        <v>0</v>
      </c>
      <c r="KX197" s="6">
        <f>COUNTIFS(Table34[Country],Tabela1[[#This Row],[Country]],Table34[Plus 67kg Classification],"&gt;0")</f>
        <v>0</v>
      </c>
      <c r="KY197" s="6">
        <f>COUNTIFS(Table57[Country],Tabela1[[#This Row],[Country]],Table57[Classification],"&gt;0")</f>
        <v>0</v>
      </c>
      <c r="KZ197" s="6">
        <f>COUNTIFS(Table58[Country],Tabela1[[#This Row],[Country]],Table58[Classification],"&gt;0")</f>
        <v>0</v>
      </c>
      <c r="LA197" s="6">
        <f>COUNTIFS(Table79[Country],Tabela1[[#This Row],[Country]],Table79[Men''s Classification],"&gt;0")</f>
        <v>0</v>
      </c>
      <c r="LB197" s="6">
        <f>COUNTIFS(Table79[Country],Tabela1[[#This Row],[Country]],Table79[Women''s Classification],"&gt;0")</f>
        <v>0</v>
      </c>
      <c r="LC197" s="6">
        <f>COUNTIFS(Table79[Country],Tabela1[[#This Row],[Country]],Table79[Mixed Classification],"&gt;0")</f>
        <v>0</v>
      </c>
      <c r="LD197" s="6">
        <f>COUNTIFS(Table65[Country],Tabela1[[#This Row],[Country]],Table65[Classification],"&gt;0")</f>
        <v>0</v>
      </c>
      <c r="LE197" s="6">
        <f>COUNTIFS(Table59[Country],Tabela1[[#This Row],[Country]],Table59[Classification],"&gt;0")</f>
        <v>0</v>
      </c>
      <c r="LF197" s="6">
        <f>COUNTIFS(Table87[Country],Tabela1[[#This Row],[Country]],Table87[Mixed Relay Classification],"&gt;0")</f>
        <v>0</v>
      </c>
      <c r="LG197" s="6">
        <f>COUNTIFS(Table91949698100[Country],Tabela1[[#This Row],[Country]],Table91949698100[Men''s Classification],"&gt;0")</f>
        <v>0</v>
      </c>
      <c r="LH197" s="6">
        <f>COUNTIFS(Table91949698100[Country],Tabela1[[#This Row],[Country]],Table91949698100[Women''s Classification],"&gt;0")</f>
        <v>0</v>
      </c>
      <c r="LI197" s="6">
        <f>COUNTIFS(Table91949698100102[Country],Tabela1[[#This Row],[Country]],Table91949698100102[Men''s Classification],"&gt;0")</f>
        <v>0</v>
      </c>
      <c r="LJ197" s="6">
        <f>COUNTIFS(Table91949698100102[Country],Tabela1[[#This Row],[Country]],Table91949698100102[Women''s Classification],"&gt;0")</f>
        <v>0</v>
      </c>
      <c r="LK197" s="6">
        <f>COUNTIFS(Table23[Country],Tabela1[[#This Row],[Country]],Table23[61kg Classification],"&gt;0")</f>
        <v>0</v>
      </c>
      <c r="LL197" s="6">
        <f>COUNTIFS(Table23[Country],Tabela1[[#This Row],[Country]],Table23[73kg Classification],"&gt;0")</f>
        <v>0</v>
      </c>
      <c r="LM197" s="6">
        <f>COUNTIFS(Table23[Country],Tabela1[[#This Row],[Country]],Table23[89kg Classification],"&gt;0")</f>
        <v>0</v>
      </c>
      <c r="LN197" s="6">
        <f>COUNTIFS(Table23[Country],Tabela1[[#This Row],[Country]],Table23[102kg Classification],"&gt;0")</f>
        <v>0</v>
      </c>
      <c r="LO197" s="6">
        <f>COUNTIFS(Table23[Country],Tabela1[[#This Row],[Country]],Table23[Plus 102kg Classification],"&gt;0")</f>
        <v>0</v>
      </c>
      <c r="LP197" s="6">
        <f>COUNTIFS(Table28[Country],Tabela1[[#This Row],[Country]],Table28[49kg Classification],"&gt;0")</f>
        <v>0</v>
      </c>
      <c r="LQ197" s="6">
        <f>COUNTIFS(Table28[Country],Tabela1[[#This Row],[Country]],Table28[59kg Classification],"&gt;0")</f>
        <v>0</v>
      </c>
      <c r="LR197" s="6">
        <f>COUNTIFS(Table28[Country],Tabela1[[#This Row],[Country]],Table28[71kg Classification],"&gt;0")</f>
        <v>0</v>
      </c>
      <c r="LS197" s="6">
        <f>COUNTIFS(Table28[Country],Tabela1[[#This Row],[Country]],Table28[81kg Classification],"&gt;0")</f>
        <v>0</v>
      </c>
      <c r="LT197" s="6">
        <f>COUNTIFS(Table28[Country],Tabela1[[#This Row],[Country]],Table28[Plus 81kg Classification],"&gt;0")</f>
        <v>0</v>
      </c>
      <c r="LU197" s="6">
        <f>COUNTIFS(Table24[Country],Tabela1[[#This Row],[Country]],Table24[Freestyle 57kg Classification],"&gt;0")</f>
        <v>0</v>
      </c>
      <c r="LV197" s="6">
        <f>COUNTIFS(Table24[Country],Tabela1[[#This Row],[Country]],Table24[Freestyle 65kg Classification],"&gt;0")</f>
        <v>0</v>
      </c>
      <c r="LW197" s="6">
        <f>COUNTIFS(Table24[Country],Tabela1[[#This Row],[Country]],Table24[Freestyle 74kg Classification],"&gt;0")</f>
        <v>0</v>
      </c>
      <c r="LX197" s="6">
        <f>COUNTIFS(Table24[Country],Tabela1[[#This Row],[Country]],Table24[Freestyle 86kg Classification],"&gt;0")</f>
        <v>0</v>
      </c>
      <c r="LY197" s="6">
        <f>COUNTIFS(Table24[Country],Tabela1[[#This Row],[Country]],Table24[Freestyle 97kg Classification],"&gt;0")</f>
        <v>0</v>
      </c>
      <c r="LZ197" s="6">
        <f>COUNTIFS(Table24[Country],Tabela1[[#This Row],[Country]],Table24[Freestyle 125kg Classification],"&gt;0")</f>
        <v>0</v>
      </c>
      <c r="MA197" s="6">
        <f>COUNTIFS(Table24[Country],Tabela1[[#This Row],[Country]],Table24[Greco-Roman 60kg Classification],"&gt;0")</f>
        <v>0</v>
      </c>
      <c r="MB197" s="6">
        <f>COUNTIFS(Table24[Country],Tabela1[[#This Row],[Country]],Table24[Greco-Roman 67kg Classification],"&gt;0")</f>
        <v>0</v>
      </c>
      <c r="MC197" s="6">
        <f>COUNTIFS(Table24[Country],Tabela1[[#This Row],[Country]],Table24[Greco-Roman 77kg Classification],"&gt;0")</f>
        <v>0</v>
      </c>
      <c r="MD197" s="6">
        <f>COUNTIFS(Table24[Country],Tabela1[[#This Row],[Country]],Table24[Greco-Roman 87kg Classification],"&gt;0")</f>
        <v>0</v>
      </c>
      <c r="ME197" s="6">
        <f>COUNTIFS(Table24[Country],Tabela1[[#This Row],[Country]],Table24[Greco-Roman 97kg Classification],"&gt;0")</f>
        <v>0</v>
      </c>
      <c r="MF197" s="6">
        <f>COUNTIFS(Table24[Country],Tabela1[[#This Row],[Country]],Table24[Greco-Roman 130kg Classification],"&gt;0")</f>
        <v>0</v>
      </c>
      <c r="MG197" s="6">
        <f>COUNTIFS(Table31[Country],Tabela1[[#This Row],[Country]],Table31[50kg Classification],"&gt;0")</f>
        <v>0</v>
      </c>
      <c r="MH197" s="6">
        <f>COUNTIFS(Table31[Country],Tabela1[[#This Row],[Country]],Table31[53kg Classification],"&gt;0")</f>
        <v>0</v>
      </c>
      <c r="MI197" s="6">
        <f>COUNTIFS(Table31[Country],Tabela1[[#This Row],[Country]],Table31[57kg Classification],"&gt;0")</f>
        <v>0</v>
      </c>
      <c r="MJ197" s="6">
        <f>COUNTIFS(Table31[Country],Tabela1[[#This Row],[Country]],Table31[62kg Classification],"&gt;0")</f>
        <v>0</v>
      </c>
      <c r="MK197" s="6">
        <f>COUNTIFS(Table31[Country],Tabela1[[#This Row],[Country]],Table31[68kg Classification],"&gt;0")</f>
        <v>0</v>
      </c>
      <c r="ML197" s="6">
        <f>COUNTIFS(Table31[Country],Tabela1[[#This Row],[Country]],Table31[76kg Classification],"&gt;0")</f>
        <v>0</v>
      </c>
      <c r="MM197" s="6">
        <f>COUNTIFS(Table102[Country],Tabela1[[#This Row],[Country]],Table102[Downhill Classification],"&gt;0")</f>
        <v>0</v>
      </c>
      <c r="MN197" s="6">
        <f>COUNTIFS(Table102105[Country],Tabela1[[#This Row],[Country]],Table102105[Downhill Classification],"&gt;0")</f>
        <v>0</v>
      </c>
      <c r="MO197" s="6">
        <f>COUNTIFS(Table102[Country],Tabela1[[#This Row],[Country]],Table102[Giant Slalom Classification],"&gt;0")</f>
        <v>0</v>
      </c>
      <c r="MP197" s="6">
        <f>COUNTIFS(Table102105[Country],Tabela1[[#This Row],[Country]],Table102105[Giant Slalom Classification],"&gt;0")</f>
        <v>0</v>
      </c>
      <c r="MQ197" s="6">
        <f>COUNTIFS(Table102[Country],Tabela1[[#This Row],[Country]],Table102[Slalom Classification],"&gt;0")</f>
        <v>0</v>
      </c>
      <c r="MR197" s="6">
        <f>COUNTIFS(Table102105[Country],Tabela1[[#This Row],[Country]],Table102105[Slalom Classification],"&gt;0")</f>
        <v>0</v>
      </c>
      <c r="MS197" s="6">
        <f>COUNTIFS(Table102[Country],Tabela1[[#This Row],[Country]],Table102[Super-G Classification],"&gt;0")</f>
        <v>0</v>
      </c>
      <c r="MT197" s="6">
        <f>COUNTIFS(Table102105[Country],Tabela1[[#This Row],[Country]],Table102105[Super-G Classification],"&gt;0")</f>
        <v>0</v>
      </c>
      <c r="MU197" s="6">
        <f>COUNTIFS(Table105[Country],Tabela1[[#This Row],[Country]],Table105[Men''s Combined Classification],"&gt;0")</f>
        <v>0</v>
      </c>
      <c r="MV197" s="6">
        <f>COUNTIFS(Table105[Country],Tabela1[[#This Row],[Country]],Table105[Women''s Combined Classification],"&gt;0")</f>
        <v>0</v>
      </c>
      <c r="MW197" s="6">
        <f>COUNTIFS(Table106[Country],Tabela1[[#This Row],[Country]],Table106[Individual Classification],"&gt;0")</f>
        <v>0</v>
      </c>
      <c r="MX197" s="6">
        <f>COUNTIFS(Table106109[Country],Tabela1[[#This Row],[Country]],Table106109[Individual Classification],"&gt;0")</f>
        <v>0</v>
      </c>
      <c r="MY197" s="6">
        <f>COUNTIFS(Table106[Country],Tabela1[[#This Row],[Country]],Table106[Mass Start Classification],"&gt;0")</f>
        <v>0</v>
      </c>
      <c r="MZ197" s="6">
        <f>COUNTIFS(Table106109[Country],Tabela1[[#This Row],[Country]],Table106109[Mass Start Classification],"&gt;0")</f>
        <v>0</v>
      </c>
      <c r="NA197" s="6">
        <f>COUNTIFS(Table106[Country],Tabela1[[#This Row],[Country]],Table106[Pursuit Classification],"&gt;0")</f>
        <v>0</v>
      </c>
      <c r="NB197" s="6">
        <f>COUNTIFS(Table106109[Country],Tabela1[[#This Row],[Country]],Table106109[Pursuit Classification],"&gt;0")</f>
        <v>0</v>
      </c>
      <c r="NC197" s="6">
        <f>COUNTIFS(Table106[Country],Tabela1[[#This Row],[Country]],Table106[Sprint Classification],"&gt;0")</f>
        <v>0</v>
      </c>
      <c r="ND197" s="6">
        <f>COUNTIFS(Table106109[Country],Tabela1[[#This Row],[Country]],Table106109[Sprint Classification],"&gt;0")</f>
        <v>0</v>
      </c>
      <c r="NE197" s="6">
        <f>COUNTIFS(Table109[Country],Tabela1[[#This Row],[Country]],Table109[Men''s Relay Classification],"&gt;0")</f>
        <v>0</v>
      </c>
      <c r="NF197" s="6">
        <f>COUNTIFS(Table109[Country],Tabela1[[#This Row],[Country]],Table109[Women''s Relay Classification],"&gt;0")</f>
        <v>0</v>
      </c>
      <c r="NG197" s="6">
        <f>COUNTIFS(Table109[Country],Tabela1[[#This Row],[Country]],Table109[Mixed Relay Classification],"&gt;0")</f>
        <v>0</v>
      </c>
      <c r="NH197" s="6">
        <f>COUNTIFS(Table110[Country],Tabela1[[#This Row],[Country]],Table110[Monobob Classification],"&gt;0")</f>
        <v>0</v>
      </c>
      <c r="NI197" s="6">
        <f>COUNTIFS(Table111[Country],Tabela1[[#This Row],[Country]],Table111[Men''s Classification],"&gt;0")</f>
        <v>0</v>
      </c>
      <c r="NJ197" s="6">
        <f>COUNTIFS(Table111[Country],Tabela1[[#This Row],[Country]],Table111[Women''s Classification],"&gt;0")</f>
        <v>0</v>
      </c>
      <c r="NK197" s="6">
        <f>COUNTIFS(Table112[Country],Tabela1[[#This Row],[Country]],Table112[Men''s Four Classification],"&gt;0")</f>
        <v>0</v>
      </c>
      <c r="NL197" s="6">
        <f>COUNTIFS(Table113[Country],Tabela1[[#This Row],[Country]],Table113[Classical Classification],"&gt;0")</f>
        <v>0</v>
      </c>
      <c r="NM197" s="6">
        <f>COUNTIFS(Table113116[Country],Tabela1[[#This Row],[Country]],Table113116[Classical Classification],"&gt;0")</f>
        <v>0</v>
      </c>
      <c r="NN197" s="6">
        <f>COUNTIFS(Table113[Country],Tabela1[[#This Row],[Country]],Table113[Freestyle Classification],"&gt;0")</f>
        <v>0</v>
      </c>
      <c r="NO197" s="6">
        <f>COUNTIFS(Table113116[Country],Tabela1[[#This Row],[Country]],Table113116[Freestyle Classification],"&gt;0")</f>
        <v>0</v>
      </c>
      <c r="NP197" s="6">
        <f>COUNTIFS(Table117[Country],Tabela1[[#This Row],[Country]],Table117[Men''s Relay Classification],"&gt;0")</f>
        <v>0</v>
      </c>
      <c r="NQ197" s="6">
        <f>COUNTIFS(Table117[Country],Tabela1[[#This Row],[Country]],Table117[Women''s Relay Classification],"&gt;0")</f>
        <v>0</v>
      </c>
      <c r="NR197" s="6">
        <f>COUNTIFS(Table113[Country],Tabela1[[#This Row],[Country]],Table113[Skiathlon Classification],"&gt;0")</f>
        <v>0</v>
      </c>
      <c r="NS197" s="6">
        <f>COUNTIFS(Table113116[Country],Tabela1[[#This Row],[Country]],Table113116[Skiathlon Classification],"&gt;0")</f>
        <v>0</v>
      </c>
      <c r="NT197" s="6">
        <f>COUNTIFS(Table113[Country],Tabela1[[#This Row],[Country]],Table113[Sprint Classification],"&gt;0")</f>
        <v>0</v>
      </c>
      <c r="NU197" s="6">
        <f>COUNTIFS(Table113116[Country],Tabela1[[#This Row],[Country]],Table113116[Sprint Classification],"&gt;0")</f>
        <v>0</v>
      </c>
      <c r="NV197" s="6">
        <f>COUNTIFS(Table116[Country],Tabela1[[#This Row],[Country]],Table116[Men''s Team Sprint Classification],"&gt;0")</f>
        <v>0</v>
      </c>
      <c r="NW197" s="6">
        <f>COUNTIFS(Table116[Country],Tabela1[[#This Row],[Country]],Table116[Women''s Team Sprint Classification],"&gt;0")</f>
        <v>0</v>
      </c>
      <c r="NX197" s="6">
        <f>COUNTIFS(Table119[Country],Tabela1[[#This Row],[Country]],Table119[Men''s Classification],"&gt;0")</f>
        <v>0</v>
      </c>
      <c r="NY197" s="6">
        <f>COUNTIFS(Table119[Country],Tabela1[[#This Row],[Country]],Table119[Women''s Classification],"&gt;0")</f>
        <v>0</v>
      </c>
      <c r="NZ197" s="6">
        <f>COUNTIFS(Table118[Country],Tabela1[[#This Row],[Country]],Table118[Mixed Classification],"&gt;0")</f>
        <v>0</v>
      </c>
      <c r="OA197" s="6">
        <f>COUNTIFS(Table120[Country],Tabela1[[#This Row],[Country]],Table120[Classification],"&gt;0")</f>
        <v>0</v>
      </c>
      <c r="OB197" s="6">
        <f>COUNTIFS(Table120123[Country],Tabela1[[#This Row],[Country]],Table120123[Classification],"&gt;0")</f>
        <v>0</v>
      </c>
      <c r="OC197" s="6">
        <f>COUNTIFS(Table123[Country],Tabela1[[#This Row],[Country]],Table123[Ice Dance Classification],"&gt;0")</f>
        <v>0</v>
      </c>
      <c r="OD197" s="6">
        <f>COUNTIFS(Table123[Country],Tabela1[[#This Row],[Country]],Table123[Pair Skating Classification],"&gt;0")</f>
        <v>0</v>
      </c>
      <c r="OE197" s="6">
        <f>COUNTIFS(Table124[Country],Tabela1[[#This Row],[Country]],Table124[Mixed Classification],"&gt;0")</f>
        <v>0</v>
      </c>
      <c r="OF197" s="6">
        <f>COUNTIFS(Table125[Country],Tabela1[[#This Row],[Country]],Table125[Aerials Classification],"&gt;0")</f>
        <v>0</v>
      </c>
      <c r="OG197" s="6">
        <f>COUNTIFS(Table125128[Country],Tabela1[[#This Row],[Country]],Table125128[Aerials Classification],"&gt;0")</f>
        <v>0</v>
      </c>
      <c r="OH197" s="6">
        <f>COUNTIFS(Table128[Country],Tabela1[[#This Row],[Country]],Table128[Mixed Aerials Classification],"&gt;0")</f>
        <v>0</v>
      </c>
      <c r="OI197" s="6">
        <f>COUNTIFS(Table125[Country],Tabela1[[#This Row],[Country]],Table125[Big Air Classification],"&gt;0")</f>
        <v>0</v>
      </c>
      <c r="OJ197" s="6">
        <f>COUNTIFS(Table125128[Country],Tabela1[[#This Row],[Country]],Table125128[Big Air Classification],"&gt;0")</f>
        <v>0</v>
      </c>
      <c r="OK197" s="6">
        <f>COUNTIFS(Table125[Country],Tabela1[[#This Row],[Country]],Table125[Dual Moguls Classification],"&gt;0")</f>
        <v>0</v>
      </c>
      <c r="OL197" s="6">
        <f>COUNTIFS(Table125128[Country],Tabela1[[#This Row],[Country]],Table125128[Dual Moguls Classification],"&gt;0")</f>
        <v>0</v>
      </c>
      <c r="OM197" s="6">
        <f>COUNTIFS(Table125[Country],Tabela1[[#This Row],[Country]],Table125[Halfpipe Classification],"&gt;0")</f>
        <v>0</v>
      </c>
      <c r="ON197" s="6">
        <f>COUNTIFS(Table125128[Country],Tabela1[[#This Row],[Country]],Table125128[Halfpipe Classification],"&gt;0")</f>
        <v>0</v>
      </c>
      <c r="OO197" s="6">
        <f>COUNTIFS(Table125[Country],Tabela1[[#This Row],[Country]],Table125[Moguls Classification],"&gt;0")</f>
        <v>0</v>
      </c>
      <c r="OP197" s="6">
        <f>COUNTIFS(Table125128[Country],Tabela1[[#This Row],[Country]],Table125128[Moguls Classification],"&gt;0")</f>
        <v>0</v>
      </c>
      <c r="OQ197" s="6">
        <f>COUNTIFS(Table125[Country],Tabela1[[#This Row],[Country]],Table125[Ski Cross Classification],"&gt;0")</f>
        <v>0</v>
      </c>
      <c r="OR197" s="6">
        <f>COUNTIFS(Table125128[Country],Tabela1[[#This Row],[Country]],Table125128[Ski Cross Classification],"&gt;0")</f>
        <v>0</v>
      </c>
      <c r="OS197" s="6">
        <f>COUNTIFS(Table125[Country],Tabela1[[#This Row],[Country]],Table125[Slopestyle Classification],"&gt;0")</f>
        <v>0</v>
      </c>
      <c r="OT197" s="6">
        <f>COUNTIFS(Table125128[Country],Tabela1[[#This Row],[Country]],Table125128[Slopestyle Classification],"&gt;0")</f>
        <v>0</v>
      </c>
      <c r="OU197" s="6">
        <f>COUNTIFS(Table119131[Country],Tabela1[[#This Row],[Country]],Table119131[Men''s Classification],"&gt;0")</f>
        <v>0</v>
      </c>
      <c r="OV197" s="6">
        <f>COUNTIFS(Table119131[Country],Tabela1[[#This Row],[Country]],Table119131[Women''s Classification],"&gt;0")</f>
        <v>0</v>
      </c>
      <c r="OW197" s="6">
        <f>COUNTIFS(Table131[Country],Tabela1[[#This Row],[Country]],Table131[Classification],"&gt;0")</f>
        <v>0</v>
      </c>
      <c r="OX197" s="6">
        <f>COUNTIFS(Table131134[Country],Tabela1[[#This Row],[Country]],Table131134[Classification],"&gt;0")</f>
        <v>0</v>
      </c>
      <c r="OY197" s="6">
        <f>COUNTIFS(Table134[Country],Tabela1[[#This Row],[Country]],Table134[Men''s Classification],"&gt;0")</f>
        <v>0</v>
      </c>
      <c r="OZ197" s="6">
        <f>COUNTIFS(Table134[Country],Tabela1[[#This Row],[Country]],Table134[Women''s Classification],"&gt;0")</f>
        <v>0</v>
      </c>
      <c r="PA197" s="6">
        <f>COUNTIFS(Table135[Country],Tabela1[[#This Row],[Country]],Table135[Mixed Relay Classification],"&gt;0")</f>
        <v>0</v>
      </c>
      <c r="PB197" s="6">
        <f>COUNTIFS(Table136[Country],Tabela1[[#This Row],[Country]],Table136[Individual Classification],"&gt;0")</f>
        <v>0</v>
      </c>
      <c r="PC197" s="6">
        <f>COUNTIFS(Table136[Country],Tabela1[[#This Row],[Country]],Table136[Sprint Classification],"&gt;0")</f>
        <v>0</v>
      </c>
      <c r="PD197" s="6">
        <f>COUNTIFS(Table137[Country],Tabela1[[#This Row],[Country]],Table137[Men''s Team Sprint Large Hill Classification],"&gt;0")</f>
        <v>0</v>
      </c>
      <c r="PE197" s="6">
        <f>COUNTIFS(Table138[Country],Tabela1[[#This Row],[Country]],Table138[500m Classification],"&gt;0")</f>
        <v>0</v>
      </c>
      <c r="PF197" s="6">
        <f>COUNTIFS(Table138141[Country],Tabela1[[#This Row],[Country]],Table138141[500m Classification],"&gt;0")</f>
        <v>0</v>
      </c>
      <c r="PG197" s="6">
        <f>COUNTIFS(Table138[Country],Tabela1[[#This Row],[Country]],Table138[1000m Classification],"&gt;0")</f>
        <v>0</v>
      </c>
      <c r="PH197" s="6">
        <f>COUNTIFS(Table138141[Country],Tabela1[[#This Row],[Country]],Table138141[1000m Classification],"&gt;0")</f>
        <v>0</v>
      </c>
      <c r="PI197" s="6">
        <f>COUNTIFS(Table138[Country],Tabela1[[#This Row],[Country]],Table138[1500m Classification],"&gt;0")</f>
        <v>0</v>
      </c>
      <c r="PJ197" s="6">
        <f>COUNTIFS(Table138141[Country],Tabela1[[#This Row],[Country]],Table138141[1500m Classification],"&gt;0")</f>
        <v>0</v>
      </c>
      <c r="PK197" s="6">
        <f>COUNTIFS(Table141[Country],Tabela1[[#This Row],[Country]],Table141[Men''s 5000m Relay Classification],"&gt;0")</f>
        <v>0</v>
      </c>
      <c r="PL197" s="6">
        <f>COUNTIFS(Table141[Country],Tabela1[[#This Row],[Country]],Table141[Women''s 3000m Relay Classification],"&gt;0")</f>
        <v>0</v>
      </c>
      <c r="PM197" s="6">
        <f>COUNTIFS(Table141[Country],Tabela1[[#This Row],[Country]],Table141[Mixed 2000m Relay Classification],"&gt;0")</f>
        <v>0</v>
      </c>
      <c r="PN197" s="6">
        <f>COUNTIFS(Table142[Country],Tabela1[[#This Row],[Country]],Table142[Classification],"&gt;0")</f>
        <v>0</v>
      </c>
      <c r="PO197" s="6">
        <f>COUNTIFS(Table142145[Country],Tabela1[[#This Row],[Country]],Table142145[Classification],"&gt;0")</f>
        <v>0</v>
      </c>
      <c r="PP197" s="6">
        <f>COUNTIFS(Tabela15[Country],Tabela1[[#This Row],[Country]],Tabela15[Mixed Team Classification],"&gt;0")</f>
        <v>0</v>
      </c>
      <c r="PQ197" s="6">
        <f>COUNTIFS(Table145[Country],Tabela1[[#This Row],[Country]],Table145[Large Hill Classification],"&gt;0")</f>
        <v>0</v>
      </c>
      <c r="PR197" s="6">
        <f>COUNTIFS(Table145[Country],Tabela1[[#This Row],[Country]],Table145[Normal Hill Classification],"&gt;0")</f>
        <v>0</v>
      </c>
      <c r="PS197" s="6">
        <f>COUNTIFS(Table145148[Country],Tabela1[[#This Row],[Country]],Table145148[Large Hill Classification],"&gt;0")</f>
        <v>0</v>
      </c>
      <c r="PT197" s="6">
        <f>COUNTIFS(Table145148[Country],Tabela1[[#This Row],[Country]],Table145148[Normal Hill Classification],"&gt;0")</f>
        <v>0</v>
      </c>
      <c r="PU197" s="6">
        <f>COUNTIFS(Table148[Country],Tabela1[[#This Row],[Country]],Table148[Men''s Super Team Classification],"&gt;0")</f>
        <v>0</v>
      </c>
      <c r="PV197" s="6">
        <f>COUNTIFS(Tabela114[Country],Tabela1[[#This Row],[Country]],Tabela114[Mixed Normal Hill Classification],"&gt;0")</f>
        <v>0</v>
      </c>
      <c r="PW197" s="6">
        <f>COUNTIFS(Tabela50[Country],Tabela1[[#This Row],[Country]],Tabela50[Sprint Classification],"&gt;0")</f>
        <v>0</v>
      </c>
      <c r="PX197" s="6">
        <f>COUNTIFS(Tabela50101[Country],Tabela1[[#This Row],[Country]],Tabela50101[Sprint Classification],"&gt;0")</f>
        <v>0</v>
      </c>
      <c r="PY197" s="6">
        <f>COUNTIFS(Tabela103[Country],Tabela1[[#This Row],[Country]],Tabela103[Mixed Relay Classification],"&gt;0")</f>
        <v>0</v>
      </c>
      <c r="PZ197" s="6">
        <f>COUNTIFS(Table149[Country],Tabela1[[#This Row],[Country]],Table149[Big Air Classification],"&gt;0")</f>
        <v>0</v>
      </c>
      <c r="QA197" s="6">
        <f>COUNTIFS(Table149152[Country],Tabela1[[#This Row],[Country]],Table149152[Big Air Classification],"&gt;0")</f>
        <v>0</v>
      </c>
      <c r="QB197" s="6">
        <f>COUNTIFS(Table149[Country],Tabela1[[#This Row],[Country]],Table149[Halfpipe Classification],"&gt;0")</f>
        <v>0</v>
      </c>
      <c r="QC197" s="6">
        <f>COUNTIFS(Table149152[Country],Tabela1[[#This Row],[Country]],Table149152[Halfpipe Classification],"&gt;0")</f>
        <v>0</v>
      </c>
      <c r="QD197" s="6">
        <f>COUNTIFS(Table149[Country],Tabela1[[#This Row],[Country]],Table149[Parallel Giant Slalom Classification],"&gt;0")</f>
        <v>0</v>
      </c>
      <c r="QE197" s="6">
        <f>COUNTIFS(Table149152[Country],Tabela1[[#This Row],[Country]],Table149152[Parallel Giant Slalom Classification],"&gt;0")</f>
        <v>0</v>
      </c>
      <c r="QF197" s="6">
        <f>COUNTIFS(Table149[Country],Tabela1[[#This Row],[Country]],Table149[Slopestyle Classification],"&gt;0")</f>
        <v>0</v>
      </c>
      <c r="QG197" s="6">
        <f>COUNTIFS(Table149152[Country],Tabela1[[#This Row],[Country]],Table149152[Slopestyle Classification],"&gt;0")</f>
        <v>0</v>
      </c>
      <c r="QH197" s="6">
        <f>COUNTIFS(Table149[Country],Tabela1[[#This Row],[Country]],Table149[Snowboard Cross Classification],"&gt;0")</f>
        <v>0</v>
      </c>
      <c r="QI197" s="6">
        <f>COUNTIFS(Table149152[Country],Tabela1[[#This Row],[Country]],Table149152[Snowboard Cross Classification],"&gt;0")</f>
        <v>0</v>
      </c>
      <c r="QJ197" s="6">
        <f>COUNTIFS(Table153[Country],Tabela1[[#This Row],[Country]],Table153[Mixed Team Snowboard Cross Classification],"&gt;0")</f>
        <v>0</v>
      </c>
      <c r="QK197" s="6">
        <f>COUNTIFS(Table154[Country],Tabela1[[#This Row],[Country]],Table154[500m Classification],"&gt;0")</f>
        <v>0</v>
      </c>
      <c r="QL197" s="6">
        <f>COUNTIFS(Table154157[Country],Tabela1[[#This Row],[Country]],Table154157[500m Classification],"&gt;0")</f>
        <v>0</v>
      </c>
      <c r="QM197" s="6">
        <f>COUNTIFS(Table154[Country],Tabela1[[#This Row],[Country]],Table154[1000m Classification],"&gt;0")</f>
        <v>0</v>
      </c>
      <c r="QN197" s="6">
        <f>COUNTIFS(Table154157[Country],Tabela1[[#This Row],[Country]],Table154157[1000m Classification],"&gt;0")</f>
        <v>0</v>
      </c>
      <c r="QO197" s="6">
        <f>COUNTIFS(Table154[Country],Tabela1[[#This Row],[Country]],Table154[1500m Classification],"&gt;0")</f>
        <v>0</v>
      </c>
      <c r="QP197" s="6">
        <f>COUNTIFS(Table154157[Country],Tabela1[[#This Row],[Country]],Table154157[1500m Classification],"&gt;0")</f>
        <v>0</v>
      </c>
      <c r="QQ197" s="6">
        <f>COUNTIFS(Table154157[Country],Tabela1[[#This Row],[Country]],Table154157[3000m Classification],"&gt;0")</f>
        <v>0</v>
      </c>
      <c r="QR197" s="6">
        <f>COUNTIFS(Table154[Country],Tabela1[[#This Row],[Country]],Table154[5000m Classification],"&gt;0")</f>
        <v>0</v>
      </c>
      <c r="QS197" s="6">
        <f>COUNTIFS(Table154157[Country],Tabela1[[#This Row],[Country]],Table154157[5000m Classification],"&gt;0")</f>
        <v>0</v>
      </c>
      <c r="QT197" s="6">
        <f>COUNTIFS(Table154[Country],Tabela1[[#This Row],[Country]],Table154[10000m Classification],"&gt;0")</f>
        <v>0</v>
      </c>
      <c r="QU197" s="6">
        <f>COUNTIFS(Table154[Country],Tabela1[[#This Row],[Country]],Table154[Mass Start Classification],"&gt;0")</f>
        <v>0</v>
      </c>
      <c r="QV197" s="6">
        <f>COUNTIFS(Table154157[Country],Tabela1[[#This Row],[Country]],Table154157[Mass Start Classification],"&gt;0")</f>
        <v>0</v>
      </c>
      <c r="QW197" s="6">
        <f>COUNTIFS(Table157[Country],Tabela1[[#This Row],[Country]],Table157[Men''s Pursuit Classification],"&gt;0")</f>
        <v>0</v>
      </c>
      <c r="QX197" s="6">
        <f>COUNTIFS(Table157[Country],Tabela1[[#This Row],[Country]],Table157[Women''s Pursuit Classification],"&gt;0")</f>
        <v>0</v>
      </c>
      <c r="QY197" s="4" t="s">
        <v>679</v>
      </c>
    </row>
    <row r="198" spans="1:467" x14ac:dyDescent="0.3">
      <c r="A198" s="6">
        <v>197</v>
      </c>
      <c r="B198" s="6" t="s">
        <v>686</v>
      </c>
      <c r="C198" t="e" vm="197">
        <f>IF(ISBLANK(Tabela1[[#This Row],[Image Link]]), "", _xlfn.IMAGE(Tabela1[[#This Row],[Image Link]],1,1))</f>
        <v>#VALUE!</v>
      </c>
      <c r="D198" s="6">
        <f>SUM(Tabela1[[#This Row],[Archery - Men''s Individual Recurve]:[Speed Skating - Women''s Team Pursuit]])</f>
        <v>0</v>
      </c>
      <c r="E198" s="6">
        <f>COUNTIF(Tabela1[[#This Row],[Archery - Men''s Individual Recurve]:[Speed Skating - Women''s Team Pursuit]],"&gt;0")</f>
        <v>0</v>
      </c>
      <c r="F198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98" s="6">
        <f>SUM(Tabela1[[#This Row],[Archery - Men''s Individual Recurve]:[Wrestling - Women''s Freestyle 76kg]])</f>
        <v>0</v>
      </c>
      <c r="H198" s="6">
        <f>SUM(Tabela1[[#This Row],[Alpine Skiing - Men''s Downhill]:[Speed Skating - Women''s Team Pursuit]])</f>
        <v>0</v>
      </c>
      <c r="I198" s="6">
        <f>Tabela1[[#This Row],[Summer Gold Medals]]+Tabela1[[#This Row],[Winter Gold Medals]]</f>
        <v>0</v>
      </c>
      <c r="J198" s="6">
        <f>Tabela1[[#This Row],[Summer Silver Medals]]+Tabela1[[#This Row],[Winter Silver Medals]]</f>
        <v>0</v>
      </c>
      <c r="K198" s="6">
        <f>Tabela1[[#This Row],[Summer Bronze Medals]]+Tabela1[[#This Row],[Winter Bronze Medals]]</f>
        <v>0</v>
      </c>
      <c r="L198" s="6">
        <f>SUM(Tabela1[[#This Row],[Total Gold Medals]:[Total Bronze Medals]])</f>
        <v>0</v>
      </c>
      <c r="M198" s="6"/>
      <c r="N198" s="6"/>
      <c r="O198" s="6"/>
      <c r="P198" s="6">
        <f>SUM(Tabela1[[#This Row],[Summer Gold Medals]:[Summer Bronze Medals]])</f>
        <v>0</v>
      </c>
      <c r="Q198" s="6"/>
      <c r="R198" s="6"/>
      <c r="S198" s="6"/>
      <c r="T198" s="6">
        <f>Tabela1[[#This Row],[Winter Gold Medals]]+Tabela1[[#This Row],[Winter Silver Medals]]+Tabela1[[#This Row],[Winter Bronze Medals]]</f>
        <v>0</v>
      </c>
      <c r="U198" s="7" t="e">
        <f>Tabela1[[#This Row],[Total Medals]]/Tabela1[[#This Row],[Total Quotas]]</f>
        <v>#DIV/0!</v>
      </c>
      <c r="V198" s="6">
        <f>COUNTIFS(Table3[Country],Tabela1[[#This Row],[Country]],Table3[Recurve Classification],"&gt;0")</f>
        <v>0</v>
      </c>
      <c r="W198" s="6">
        <f>COUNTIFS(Table33[Country],Tabela1[[#This Row],[Country]],Table33[Recurve Classification],"&gt;0")</f>
        <v>0</v>
      </c>
      <c r="X198" s="6">
        <f>COUNTIFS(Table35[Country],Tabela1[[#This Row],[Country]],Table35[Men''s Team Recurve Classification],"&gt;0")</f>
        <v>0</v>
      </c>
      <c r="Y198" s="6">
        <f>COUNTIFS(Table35[Country],Tabela1[[#This Row],[Country]],Table35[Women''s Team Recurve Classification],"&gt;0")</f>
        <v>0</v>
      </c>
      <c r="Z198" s="6">
        <f>COUNTIFS(Tabela88[Country],Tabela1[[#This Row],[Country]],Tabela88[Mixed Team Recurve Classification],"&gt;0")</f>
        <v>0</v>
      </c>
      <c r="AA198" s="6">
        <f>COUNTIFS(Table36[Country],Tabela1[[#This Row],[Country]],Table36[Classification],"&gt;0")</f>
        <v>0</v>
      </c>
      <c r="AB198" s="6">
        <f>COUNTIFS(Table37[Country],Tabela1[[#This Row],[Country]],Table37[Classification],"&gt;0")</f>
        <v>0</v>
      </c>
      <c r="AC198" s="6">
        <f>COUNTIFS(Table4[Country],Tabela1[[#This Row],[Country]],Table4[100m Classification],"&gt;0")</f>
        <v>0</v>
      </c>
      <c r="AD198" s="6">
        <f>COUNTIFS(Table5[Country],Tabela1[[#This Row],[Country]],Table5[100m Classification],"&gt;0")</f>
        <v>0</v>
      </c>
      <c r="AE198" s="6">
        <f>COUNTIFS(Table4[Country],Tabela1[[#This Row],[Country]],Table4[200m Classification],"&gt;0")</f>
        <v>0</v>
      </c>
      <c r="AF198" s="6">
        <f>COUNTIFS(Table5[Country],Tabela1[[#This Row],[Country]],Table5[200m Classification],"&gt;0")</f>
        <v>0</v>
      </c>
      <c r="AG198" s="6">
        <f>COUNTIFS(Table4[Country],Tabela1[[#This Row],[Country]],Table4[400m Classification],"&gt;0")</f>
        <v>0</v>
      </c>
      <c r="AH198" s="6">
        <f>COUNTIFS(Table5[Country],Tabela1[[#This Row],[Country]],Table5[400m Classification],"&gt;0")</f>
        <v>0</v>
      </c>
      <c r="AI198" s="6">
        <f>COUNTIFS(Table4[Country],Tabela1[[#This Row],[Country]],Table4[800m Classification],"&gt;0")</f>
        <v>0</v>
      </c>
      <c r="AJ198" s="6">
        <f>COUNTIFS(Table5[Country],Tabela1[[#This Row],[Country]],Table5[800m Classification],"&gt;0")</f>
        <v>0</v>
      </c>
      <c r="AK198" s="6">
        <f>COUNTIFS(Table4[Country],Tabela1[[#This Row],[Country]],Table4[1500m Classification],"&gt;0")</f>
        <v>0</v>
      </c>
      <c r="AL198" s="6">
        <f>COUNTIFS(Table5[Country],Tabela1[[#This Row],[Country]],Table5[1500m Classification],"&gt;0")</f>
        <v>0</v>
      </c>
      <c r="AM198" s="6">
        <f>COUNTIFS(Table4[Country],Tabela1[[#This Row],[Country]],Table4[5000m Classification],"&gt;0")</f>
        <v>0</v>
      </c>
      <c r="AN198" s="6">
        <f>COUNTIFS(Table5[Country],Tabela1[[#This Row],[Country]],Table5[5000m Classification],"&gt;0")</f>
        <v>0</v>
      </c>
      <c r="AO198" s="6">
        <f>COUNTIFS(Table4[Country],Tabela1[[#This Row],[Country]],Table4[10000m Classification],"&gt;0")</f>
        <v>0</v>
      </c>
      <c r="AP198" s="6">
        <f>COUNTIFS(Table5[Country],Tabela1[[#This Row],[Country]],Table5[10000m Classification],"&gt;0")</f>
        <v>0</v>
      </c>
      <c r="AQ198" s="6">
        <f>COUNTIFS(Table4[Country],Tabela1[[#This Row],[Country]],Table4[110m Hurdles Classification],"&gt;0")</f>
        <v>0</v>
      </c>
      <c r="AR198" s="6">
        <f>COUNTIFS(Table5[Country],Tabela1[[#This Row],[Country]],Table5[100m Hurdles Classification],"&gt;0")</f>
        <v>0</v>
      </c>
      <c r="AS198" s="6">
        <f>COUNTIFS(Table4[Country],Tabela1[[#This Row],[Country]],Table4[400m Hurdles Classification],"&gt;0")</f>
        <v>0</v>
      </c>
      <c r="AT198" s="6">
        <f>COUNTIFS(Table5[Country],Tabela1[[#This Row],[Country]],Table5[400m Hurdles Classification],"&gt;0")</f>
        <v>0</v>
      </c>
      <c r="AU198" s="6">
        <f>COUNTIFS(Table4[Country],Tabela1[[#This Row],[Country]],Table4[3000m Steeplechase Classification],"&gt;0")</f>
        <v>0</v>
      </c>
      <c r="AV198" s="6">
        <f>COUNTIFS(Table5[Country],Tabela1[[#This Row],[Country]],Table5[3000m Steeplechase Classification],"&gt;0")</f>
        <v>0</v>
      </c>
      <c r="AW198" s="6">
        <f>COUNTIFS(Table27[Country],Tabela1[[#This Row],[Country]],Table27[Men''s 4x100m Relay Classification],"&gt;0")</f>
        <v>0</v>
      </c>
      <c r="AX198" s="6">
        <f>COUNTIFS(Table27[Country],Tabela1[[#This Row],[Country]],Table27[Women''s 4x100m Relay Classification],"&gt;0")</f>
        <v>0</v>
      </c>
      <c r="AY198" s="6">
        <f>COUNTIFS(Table27[Country],Tabela1[[#This Row],[Country]],Table27[Men''s 4x400m Relay Classification],"&gt;0")</f>
        <v>0</v>
      </c>
      <c r="AZ198" s="6">
        <f>COUNTIFS(Table27[Country],Tabela1[[#This Row],[Country]],Table27[Women''s 4x400m Relay Classification],"&gt;0")</f>
        <v>0</v>
      </c>
      <c r="BA198" s="6">
        <f>COUNTIFS(Table27[Country],Tabela1[[#This Row],[Country]],Table27[Mixed 4x400m Relay Classification],"&gt;0")</f>
        <v>0</v>
      </c>
      <c r="BB198" s="6">
        <f>COUNTIFS(Table4[Country],Tabela1[[#This Row],[Country]],Table4[Marathon Classification],"&gt;0")</f>
        <v>0</v>
      </c>
      <c r="BC198" s="6">
        <f>COUNTIFS(Table5[Country],Tabela1[[#This Row],[Country]],Table5[Marathon Classification],"&gt;0")</f>
        <v>0</v>
      </c>
      <c r="BD198" s="6">
        <f>COUNTIFS(Table4[Country],Tabela1[[#This Row],[Country]],Table4[20km Race Walk Classification],"&gt;0")</f>
        <v>0</v>
      </c>
      <c r="BE198" s="6">
        <f>COUNTIFS(Table5[Country],Tabela1[[#This Row],[Country]],Table5[20km Race Walk Classification],"&gt;0")</f>
        <v>0</v>
      </c>
      <c r="BF198" s="6">
        <f>COUNTIFS(Tabela96[Country],Tabela1[[#This Row],[Country]],Tabela96[Mixed Marathon Race Walk Relay Classification],"&gt;0")</f>
        <v>0</v>
      </c>
      <c r="BG198" s="6">
        <f>COUNTIFS(Table4[Country],Tabela1[[#This Row],[Country]],Table4[Discus Throw Classification],"&gt;0")</f>
        <v>0</v>
      </c>
      <c r="BH198" s="6">
        <f>COUNTIFS(Table5[Country],Tabela1[[#This Row],[Country]],Table5[Discus Throw Classification],"&gt;0")</f>
        <v>0</v>
      </c>
      <c r="BI198" s="6">
        <f>COUNTIFS(Table4[Country],Tabela1[[#This Row],[Country]],Table4[Hammer Throw Classification],"&gt;0")</f>
        <v>0</v>
      </c>
      <c r="BJ198" s="6">
        <f>COUNTIFS(Table5[Country],Tabela1[[#This Row],[Country]],Table5[Hammer Throw Classification],"&gt;0")</f>
        <v>0</v>
      </c>
      <c r="BK198" s="6">
        <f>COUNTIFS(Table4[Country],Tabela1[[#This Row],[Country]],Table4[High Jump Classification],"&gt;0")</f>
        <v>0</v>
      </c>
      <c r="BL198" s="6">
        <f>COUNTIFS(Table5[Country],Tabela1[[#This Row],[Country]],Table5[High Jump Classification],"&gt;0")</f>
        <v>0</v>
      </c>
      <c r="BM198" s="6">
        <f>COUNTIFS(Table4[Country],Tabela1[[#This Row],[Country]],Table4[Javelin Throw Classification],"&gt;0")</f>
        <v>0</v>
      </c>
      <c r="BN198" s="6">
        <f>COUNTIFS(Table5[Country],Tabela1[[#This Row],[Country]],Table5[Javelin Throw Classification],"&gt;0")</f>
        <v>0</v>
      </c>
      <c r="BO198" s="6">
        <f>COUNTIFS(Table4[Country],Tabela1[[#This Row],[Country]],Table4[Long Jump Classification],"&gt;0")</f>
        <v>0</v>
      </c>
      <c r="BP198" s="6">
        <f>COUNTIFS(Table5[Country],Tabela1[[#This Row],[Country]],Table5[Long Jump Classification],"&gt;0")</f>
        <v>0</v>
      </c>
      <c r="BQ198" s="6">
        <f>COUNTIFS(Table4[Country],Tabela1[[#This Row],[Country]],Table4[Pole Vault Classification],"&gt;0")</f>
        <v>0</v>
      </c>
      <c r="BR198" s="6">
        <f>COUNTIFS(Table5[Country],Tabela1[[#This Row],[Country]],Table5[Pole Vault Classification],"&gt;0")</f>
        <v>0</v>
      </c>
      <c r="BS198" s="6">
        <f>COUNTIFS(Table4[Country],Tabela1[[#This Row],[Country]],Table4[Shot Put Classification],"&gt;0")</f>
        <v>0</v>
      </c>
      <c r="BT198" s="6">
        <f>COUNTIFS(Table5[Country],Tabela1[[#This Row],[Country]],Table5[Shot Put Classification],"&gt;0")</f>
        <v>0</v>
      </c>
      <c r="BU198" s="6">
        <f>COUNTIFS(Table4[Country],Tabela1[[#This Row],[Country]],Table4[Triple Jump Classification],"&gt;0")</f>
        <v>0</v>
      </c>
      <c r="BV198" s="6">
        <f>COUNTIFS(Table5[Country],Tabela1[[#This Row],[Country]],Table5[Triple Jump Classification],"&gt;0")</f>
        <v>0</v>
      </c>
      <c r="BW198" s="6">
        <f>COUNTIFS(Table4[Country],Tabela1[[#This Row],[Country]],Table4[Decathlon Classification],"&gt;0")</f>
        <v>0</v>
      </c>
      <c r="BX198" s="6">
        <f>COUNTIFS(Table5[Country],Tabela1[[#This Row],[Country]],Table5[Heptathlon Classification],"&gt;0")</f>
        <v>0</v>
      </c>
      <c r="BY198" s="6">
        <f>COUNTIFS(Table61[Country],Tabela1[[#This Row],[Country]],Table61[Classification],"&gt;0")</f>
        <v>0</v>
      </c>
      <c r="BZ198" s="6">
        <f>COUNTIFS(Table38[Country],Tabela1[[#This Row],[Country]],Table38[Classification],"&gt;0")</f>
        <v>0</v>
      </c>
      <c r="CA198" s="6">
        <f>COUNTIFS(Table39[Country],Tabela1[[#This Row],[Country]],Table39[Men''s Classification],"&gt;0")</f>
        <v>0</v>
      </c>
      <c r="CB198" s="6">
        <f>COUNTIFS(Table39[Country],Tabela1[[#This Row],[Country]],Table39[Women''s Classification],"&gt;0")</f>
        <v>0</v>
      </c>
      <c r="CC198" s="6">
        <f>COUNTIFS(Table39[Country],Tabela1[[#This Row],[Country]],Table39[Mixed Classification],"&gt;0")</f>
        <v>0</v>
      </c>
      <c r="CD198" s="6">
        <f>COUNTIFS(Table89[Country],Tabela1[[#This Row],[Country]],Table89[Men''s Classification],"&gt;0")</f>
        <v>0</v>
      </c>
      <c r="CE198" s="6">
        <f>COUNTIFS(Table89[Country],Tabela1[[#This Row],[Country]],Table89[Women''s Classification],"&gt;0")</f>
        <v>0</v>
      </c>
      <c r="CF198" s="6">
        <f>COUNTIFS(Table90[Country],Tabela1[[#This Row],[Country]],Table90[Men''s Classification],"&gt;0")</f>
        <v>0</v>
      </c>
      <c r="CG198" s="6">
        <f>COUNTIFS(Table90[Country],Tabela1[[#This Row],[Country]],Table90[Women''s Classification],"&gt;0")</f>
        <v>0</v>
      </c>
      <c r="CH198" s="6">
        <f>COUNTIFS(Table60[Country],Tabela1[[#This Row],[Country]],Table60[Men''s Classification],"&gt;0")</f>
        <v>0</v>
      </c>
      <c r="CI198" s="6">
        <f>COUNTIFS(Table60[Country],Tabela1[[#This Row],[Country]],Table60[Women''s Classification],"&gt;0")</f>
        <v>0</v>
      </c>
      <c r="CJ198" s="6">
        <f>COUNTIFS(Table6[Country],Tabela1[[#This Row],[Country]],Table6[51kg Classification],"&gt;0")</f>
        <v>0</v>
      </c>
      <c r="CK198" s="6">
        <f>COUNTIFS(Table6[Country],Tabela1[[#This Row],[Country]],Table6[57kg Classification],"&gt;0")</f>
        <v>0</v>
      </c>
      <c r="CL198" s="6">
        <f>COUNTIFS(Table6[Country],Tabela1[[#This Row],[Country]],Table6[63.5kg Classification],"&gt;0")</f>
        <v>0</v>
      </c>
      <c r="CM198" s="6">
        <f>COUNTIFS(Table6[Country],Tabela1[[#This Row],[Country]],Table6[71kg Classification],"&gt;0")</f>
        <v>0</v>
      </c>
      <c r="CN198" s="6">
        <f>COUNTIFS(Table6[Country],Tabela1[[#This Row],[Country]],Table6[80kg Classification],"&gt;0")</f>
        <v>0</v>
      </c>
      <c r="CO198" s="6">
        <f>COUNTIFS(Table6[Country],Tabela1[[#This Row],[Country]],Table6[92kg Classification],"&gt;0")</f>
        <v>0</v>
      </c>
      <c r="CP198" s="6">
        <f>COUNTIFS(Table6[Country],Tabela1[[#This Row],[Country]],Table6[Plus 92kg Classification],"&gt;0")</f>
        <v>0</v>
      </c>
      <c r="CQ198" s="6">
        <f>COUNTIFS(Table7[Country],Tabela1[[#This Row],[Country]],Table7[50kg Classification],"&gt;0")</f>
        <v>0</v>
      </c>
      <c r="CR198" s="6">
        <f>COUNTIFS(Table7[Country],Tabela1[[#This Row],[Country]],Table7[54kg Classification],"&gt;0")</f>
        <v>0</v>
      </c>
      <c r="CS198" s="6">
        <f>COUNTIFS(Table7[Country],Tabela1[[#This Row],[Country]],Table7[57kg Classification],"&gt;0")</f>
        <v>0</v>
      </c>
      <c r="CT198" s="6">
        <f>COUNTIFS(Table7[Country],Tabela1[[#This Row],[Country]],Table7[60kg Classification],"&gt;0")</f>
        <v>0</v>
      </c>
      <c r="CU198" s="6">
        <f>COUNTIFS(Table7[Country],Tabela1[[#This Row],[Country]],Table7[66kg Classification],"&gt;0")</f>
        <v>0</v>
      </c>
      <c r="CV198" s="6">
        <f>COUNTIFS(Table7[Country],Tabela1[[#This Row],[Country]],Table7[75kg Classification],"&gt;0")</f>
        <v>0</v>
      </c>
      <c r="CW198" s="6">
        <f>COUNTIFS(Tabela94[Country],Tabela1[[#This Row],[Country]],Tabela94[Classification],"&gt;0")</f>
        <v>0</v>
      </c>
      <c r="CX198" s="6">
        <f>COUNTIFS(Tabela9499[Country],Tabela1[[#This Row],[Country]],Tabela9499[Classification],"&gt;0")</f>
        <v>0</v>
      </c>
      <c r="CY198" s="6">
        <f>COUNTIFS(Tabela107[Country],Tabela1[[#This Row],[Country]],Tabela107[C1 Slalom Classification],"&gt;0")</f>
        <v>0</v>
      </c>
      <c r="CZ198" s="6">
        <f>COUNTIFS(Tabela107122[Country],Tabela1[[#This Row],[Country]],Tabela107122[C1 Slalom Classification],"&gt;0")</f>
        <v>0</v>
      </c>
      <c r="DA198" s="6">
        <f>COUNTIFS(Tabela107[Country],Tabela1[[#This Row],[Country]],Tabela107[K1 Slalom Classification],"&gt;0")</f>
        <v>0</v>
      </c>
      <c r="DB198" s="6">
        <f>COUNTIFS(Tabela107122[Country],Tabela1[[#This Row],[Country]],Tabela107122[K1 Slalom Classification],"&gt;0")</f>
        <v>0</v>
      </c>
      <c r="DC198" s="6">
        <f>COUNTIFS(Tabela107[Country],Tabela1[[#This Row],[Country]],Tabela107[Kayak Cross Slalom Classification],"&gt;0")</f>
        <v>0</v>
      </c>
      <c r="DD198" s="6">
        <f>COUNTIFS(Tabela107122[Country],Tabela1[[#This Row],[Country]],Tabela107122[Kayak Cross Slalom Classification],"&gt;0")</f>
        <v>0</v>
      </c>
      <c r="DE198" s="6">
        <f>COUNTIFS(Table8[Country],Tabela1[[#This Row],[Country]],Table8[C1 200m Classification],"&gt;0")</f>
        <v>0</v>
      </c>
      <c r="DF198" s="6">
        <f>COUNTIFS(Table40[Country],Tabela1[[#This Row],[Country]],Table40[C1 1000m Classification],"&gt;0")</f>
        <v>0</v>
      </c>
      <c r="DG198" s="6">
        <f>COUNTIFS(Table68[Country],Tabela1[[#This Row],[Country]],Table68[Men''s C2 500m Classification],"&gt;0")</f>
        <v>0</v>
      </c>
      <c r="DH198" s="6">
        <f>COUNTIFS(Table68[Country],Tabela1[[#This Row],[Country]],Table68[Women''s C2 500m Classification],"&gt;0")</f>
        <v>0</v>
      </c>
      <c r="DI198" s="6">
        <f>COUNTIFS(Table8[Country],Tabela1[[#This Row],[Country]],Table8[K1 500m Classification],"&gt;0")</f>
        <v>0</v>
      </c>
      <c r="DJ198" s="6">
        <f>COUNTIFS(Table40[Country],Tabela1[[#This Row],[Country]],Table40[K1 1000m Classification],"&gt;0")</f>
        <v>0</v>
      </c>
      <c r="DK198" s="6">
        <f>COUNTIFS(Table68[Country],Tabela1[[#This Row],[Country]],Table68[Men''s K2 500m Classification],"&gt;0")</f>
        <v>0</v>
      </c>
      <c r="DL198" s="6">
        <f>COUNTIFS(Table68[Country],Tabela1[[#This Row],[Country]],Table68[Women''s K2 500m Classification],"&gt;0")</f>
        <v>0</v>
      </c>
      <c r="DM198" s="6">
        <f>COUNTIFS(Table83[Country],Tabela1[[#This Row],[Country]],Table83[Men''s K4 500m Classification],"&gt;0")</f>
        <v>0</v>
      </c>
      <c r="DN198" s="6">
        <f>COUNTIFS(Table83[Country],Tabela1[[#This Row],[Country]],Table83[Women''s K4 500m Classification],"&gt;0")</f>
        <v>0</v>
      </c>
      <c r="DO198" s="6">
        <f>COUNTIFS(Tabela126[Country],Tabela1[[#This Row],[Country]],Tabela126[Classification],"&gt;0")</f>
        <v>0</v>
      </c>
      <c r="DP198" s="6">
        <f>COUNTIFS(Tabela126130[Country],Tabela1[[#This Row],[Country]],Tabela126130[Classification],"&gt;0")</f>
        <v>0</v>
      </c>
      <c r="DQ198" s="6">
        <f>COUNTIFS(Table70[Country],Tabela1[[#This Row],[Country]],Table70[Classification],"&gt;0")</f>
        <v>0</v>
      </c>
      <c r="DR198" s="6">
        <f>COUNTIFS(Table80[Country],Tabela1[[#This Row],[Country]],Table80[Classification],"&gt;0")</f>
        <v>0</v>
      </c>
      <c r="DS198" s="6">
        <f>COUNTIFS(Table66[Country],Tabela1[[#This Row],[Country]],Table66[Classification],"&gt;0")</f>
        <v>0</v>
      </c>
      <c r="DT198" s="6">
        <f>COUNTIFS(Table67[Country],Tabela1[[#This Row],[Country]],Table67[Classification],"&gt;0")</f>
        <v>0</v>
      </c>
      <c r="DU198" s="6">
        <f>COUNTIFS(Table69[Country],Tabela1[[#This Row],[Country]],Table69[Keirin Classification],"&gt;0")</f>
        <v>0</v>
      </c>
      <c r="DV198" s="6">
        <f>COUNTIFS(Table41[Country],Tabela1[[#This Row],[Country]],Table41[Keirin Classification],"&gt;0")</f>
        <v>0</v>
      </c>
      <c r="DW198" s="6">
        <f>COUNTIFS(Table84[Country],Tabela1[[#This Row],[Country]],Table84[Men''s Madison Classification],"&gt;0")</f>
        <v>0</v>
      </c>
      <c r="DX198" s="6">
        <f>COUNTIFS(Table84[Country],Tabela1[[#This Row],[Country]],Table84[Women''s Madison Classification],"&gt;0")</f>
        <v>0</v>
      </c>
      <c r="DY198" s="6">
        <f>COUNTIFS(Table69[Country],Tabela1[[#This Row],[Country]],Table69[Omnium Classification],"&gt;0")</f>
        <v>0</v>
      </c>
      <c r="DZ198" s="6">
        <f>COUNTIFS(Table41[Country],Tabela1[[#This Row],[Country]],Table41[Omnium Classification],"&gt;0")</f>
        <v>0</v>
      </c>
      <c r="EA198" s="6">
        <f>COUNTIFS(Table9[Country],Tabela1[[#This Row],[Country]],Table9[Road Race Classification],"&gt;0")</f>
        <v>0</v>
      </c>
      <c r="EB198" s="6">
        <f>COUNTIFS(Table14[Country],Tabela1[[#This Row],[Country]],Table14[Road Race Classification],"&gt;0")</f>
        <v>0</v>
      </c>
      <c r="EC198" s="6">
        <f>COUNTIFS(Table69[Country],Tabela1[[#This Row],[Country]],Table69[Sprint Classification],"&gt;0")</f>
        <v>0</v>
      </c>
      <c r="ED198" s="6">
        <f>COUNTIFS(Table41[Country],Tabela1[[#This Row],[Country]],Table41[Sprint Classification],"&gt;0")</f>
        <v>0</v>
      </c>
      <c r="EE198" s="6">
        <f>COUNTIFS(Table85[Country],Tabela1[[#This Row],[Country]],Table85[Men''s Sprint Classification],"&gt;0")</f>
        <v>0</v>
      </c>
      <c r="EF198" s="6">
        <f>COUNTIFS(Table85[Country],Tabela1[[#This Row],[Country]],Table85[Women''s Sprint Classification],"&gt;0")</f>
        <v>0</v>
      </c>
      <c r="EG198" s="6">
        <f>COUNTIFS(Table85[Country],Tabela1[[#This Row],[Country]],Table85[Men''s Pursuit Classification],"&gt;0")</f>
        <v>0</v>
      </c>
      <c r="EH198" s="6">
        <f>COUNTIFS(Table85[Country],Tabela1[[#This Row],[Country]],Table85[Women''s Pursuit Classification],"&gt;0")</f>
        <v>0</v>
      </c>
      <c r="EI198" s="6">
        <f>COUNTIFS(Table9[Country],Tabela1[[#This Row],[Country]],Table9[Time-Trial Classification],"&gt;0")</f>
        <v>0</v>
      </c>
      <c r="EJ198" s="6">
        <f>COUNTIFS(Table14[Country],Tabela1[[#This Row],[Country]],Table14[Time-Trial Classification],"&gt;0")</f>
        <v>0</v>
      </c>
      <c r="EK198" s="6">
        <f>COUNTIFS(Table42[Country],Tabela1[[#This Row],[Country]],Table42[Springboard Classification],"&gt;0")</f>
        <v>0</v>
      </c>
      <c r="EL198" s="6">
        <f>COUNTIFS(Table43[Country],Tabela1[[#This Row],[Country]],Table43[Springboard Classification],"&gt;0")</f>
        <v>0</v>
      </c>
      <c r="EM198" s="6">
        <f>COUNTIFS(Table42[Country],Tabela1[[#This Row],[Country]],Table42[Platform Classification],"&gt;0")</f>
        <v>0</v>
      </c>
      <c r="EN198" s="6">
        <f>COUNTIFS(Table43[Country],Tabela1[[#This Row],[Country]],Table43[Platform Classification],"&gt;0")</f>
        <v>0</v>
      </c>
      <c r="EO198" s="6">
        <f>COUNTIFS(Table86[Country],Tabela1[[#This Row],[Country]],Table86[Men''s Synchronized Springboard Classification],"&gt;0")</f>
        <v>0</v>
      </c>
      <c r="EP198" s="6">
        <f>COUNTIFS(Table86[Country],Tabela1[[#This Row],[Country]],Table86[Women''s Synchronized Springboard Classification],"&gt;0")</f>
        <v>0</v>
      </c>
      <c r="EQ198" s="6">
        <f>COUNTIFS(Table86[Country],Tabela1[[#This Row],[Country]],Table86[Men''s Synchronized Platform Classification],"&gt;0")</f>
        <v>0</v>
      </c>
      <c r="ER198" s="6">
        <f>COUNTIFS(Table86[Country],Tabela1[[#This Row],[Country]],Table86[Women''s Synchronized Platform Classification],"&gt;0")</f>
        <v>0</v>
      </c>
      <c r="ES198" s="6">
        <f>COUNTIFS(Table44[Country],Tabela1[[#This Row],[Country]],Table44[Dressage Classification],"&gt;0")</f>
        <v>0</v>
      </c>
      <c r="ET198" s="6">
        <f>COUNTIFS(Table45[Country],Tabela1[[#This Row],[Country]],Table45[Dressage Classification],"&gt;0")</f>
        <v>0</v>
      </c>
      <c r="EU198" s="6">
        <f>COUNTIFS(Table44[Country],Tabela1[[#This Row],[Country]],Table44[Eventing Classification],"&gt;0")</f>
        <v>0</v>
      </c>
      <c r="EV198" s="6">
        <f>COUNTIFS(Table45[Country],Tabela1[[#This Row],[Country]],Table45[Eventing Classification],"&gt;0")</f>
        <v>0</v>
      </c>
      <c r="EW198" s="6">
        <f>COUNTIFS(Table44[Country],Tabela1[[#This Row],[Country]],Table44[Jumping Classification],"&gt;0")</f>
        <v>0</v>
      </c>
      <c r="EX198" s="6">
        <f>COUNTIFS(Table45[Country],Tabela1[[#This Row],[Country]],Table45[Jumping Classification],"&gt;0")</f>
        <v>0</v>
      </c>
      <c r="EY198" s="6">
        <f>COUNTIFS(Table10[Country],Tabela1[[#This Row],[Country]],Table10[Épée Classification],"&gt;0")</f>
        <v>0</v>
      </c>
      <c r="EZ198" s="6">
        <f>COUNTIFS(Table11[Country],Tabela1[[#This Row],[Country]],Table11[Épée Classification],"&gt;0")</f>
        <v>0</v>
      </c>
      <c r="FA198" s="6">
        <f>COUNTIFS(Table46[Country],Tabela1[[#This Row],[Country]],Table46[Men''s Épée Classification],"&gt;0")</f>
        <v>0</v>
      </c>
      <c r="FB198" s="6">
        <f>COUNTIFS(Table46[Country],Tabela1[[#This Row],[Country]],Table46[Women''s Épée Classification],"&gt;0")</f>
        <v>0</v>
      </c>
      <c r="FC198" s="6">
        <f>COUNTIFS(Table10[Country],Tabela1[[#This Row],[Country]],Table10[Foil Classification],"&gt;0")</f>
        <v>0</v>
      </c>
      <c r="FD198" s="6">
        <f>COUNTIFS(Table11[Country],Tabela1[[#This Row],[Country]],Table11[Foil Classification],"&gt;0")</f>
        <v>0</v>
      </c>
      <c r="FE198" s="6">
        <f>COUNTIFS(Table46[Country],Tabela1[[#This Row],[Country]],Table46[Men''s Foil Classification],"&gt;0")</f>
        <v>0</v>
      </c>
      <c r="FF198" s="6">
        <f>COUNTIFS(Table46[Country],Tabela1[[#This Row],[Country]],Table46[Women''s Foil Classification],"&gt;0")</f>
        <v>0</v>
      </c>
      <c r="FG198" s="6">
        <f>COUNTIFS(Table10[Country],Tabela1[[#This Row],[Country]],Table10[Sabre Classification],"&gt;0")</f>
        <v>0</v>
      </c>
      <c r="FH198" s="6">
        <f>COUNTIFS(Table11[Country],Tabela1[[#This Row],[Country]],Table11[Sabre Classification],"&gt;0")</f>
        <v>0</v>
      </c>
      <c r="FI198" s="6">
        <f>COUNTIFS(Table46[Country],Tabela1[[#This Row],[Country]],Table46[Men''s Sabre Classification],"&gt;0")</f>
        <v>0</v>
      </c>
      <c r="FJ198" s="6">
        <f>COUNTIFS(Table46[Country],Tabela1[[#This Row],[Country]],Table46[Women''s Sabre Classification],"&gt;0")</f>
        <v>0</v>
      </c>
      <c r="FK198" s="6">
        <f>COUNTIFS(Table91[Country],Tabela1[[#This Row],[Country]],Table91[Men''s Classification],"&gt;0")</f>
        <v>0</v>
      </c>
      <c r="FL198" s="6">
        <f>COUNTIFS(Table91[Country],Tabela1[[#This Row],[Country]],Table91[Women''s Classification],"&gt;0")</f>
        <v>0</v>
      </c>
      <c r="FM198" s="6">
        <f>COUNTIFS(Table9194[Country],Tabela1[[#This Row],[Country]],Table9194[Men''s Classification],"&gt;0")</f>
        <v>0</v>
      </c>
      <c r="FN198" s="6">
        <f>COUNTIFS(Table9194[Country],Tabela1[[#This Row],[Country]],Table9194[Women''s Classification],"&gt;0")</f>
        <v>0</v>
      </c>
      <c r="FO198" s="6">
        <f>COUNTIFS(Table71[Country],Tabela1[[#This Row],[Country]],Table71[Classification],"&gt;0")</f>
        <v>0</v>
      </c>
      <c r="FP198" s="6">
        <f>COUNTIFS(Table62[Country],Tabela1[[#This Row],[Country]],Table62[Classification],"&gt;0")</f>
        <v>0</v>
      </c>
      <c r="FQ198" s="6">
        <f>COUNTIFS(Table47[Country],Tabela1[[#This Row],[Country]],Table47[All-Around Classification],"&gt;0")</f>
        <v>0</v>
      </c>
      <c r="FR198" s="6">
        <f>COUNTIFS(Table48[Country],Tabela1[[#This Row],[Country]],Table48[All-Around Classification],"&gt;0")</f>
        <v>0</v>
      </c>
      <c r="FS198" s="6">
        <f>COUNTIFS(Table81[Country],Tabela1[[#This Row],[Country]],Table81[Men''s All-Around Classification],"&gt;0")</f>
        <v>0</v>
      </c>
      <c r="FT198" s="6">
        <f>COUNTIFS(Table81[Country],Tabela1[[#This Row],[Country]],Table81[Women''s All-Around Classification],"&gt;0")</f>
        <v>0</v>
      </c>
      <c r="FU198" s="6">
        <f>COUNTIFS(Table48[Country],Tabela1[[#This Row],[Country]],Table48[Balance Beam Classification],"&gt;0")</f>
        <v>0</v>
      </c>
      <c r="FV198" s="6">
        <f>COUNTIFS(Table47[Country],Tabela1[[#This Row],[Country]],Table47[Floor Exercise Classification],"&gt;0")</f>
        <v>0</v>
      </c>
      <c r="FW198" s="6">
        <f>COUNTIFS(Table48[Country],Tabela1[[#This Row],[Country]],Table48[Floor Exercise Classification],"&gt;0")</f>
        <v>0</v>
      </c>
      <c r="FX198" s="6">
        <f>COUNTIFS(Table47[Country],Tabela1[[#This Row],[Country]],Table47[Horizontal Bar Classification],"&gt;0")</f>
        <v>0</v>
      </c>
      <c r="FY198" s="6">
        <f>COUNTIFS(Table47[Country],Tabela1[[#This Row],[Country]],Table47[Parallel Bars Classification],"&gt;0")</f>
        <v>0</v>
      </c>
      <c r="FZ198" s="6">
        <f>COUNTIFS(Table47[Country],Tabela1[[#This Row],[Country]],Table47[Pommel Horse Classification],"&gt;0")</f>
        <v>0</v>
      </c>
      <c r="GA198" s="6">
        <f>COUNTIFS(Table47[Country],Tabela1[[#This Row],[Country]],Table47[Rings Classification],"&gt;0")</f>
        <v>0</v>
      </c>
      <c r="GB198" s="6">
        <f>COUNTIFS(Tabela132[Country],Tabela1[[#This Row],[Country]],Tabela132[Classification],"&gt;0")</f>
        <v>0</v>
      </c>
      <c r="GC198" s="6">
        <f>COUNTIFS(Tabela139[Country],Tabela1[[#This Row],[Country]],Tabela139[Classification],"&gt;0")</f>
        <v>0</v>
      </c>
      <c r="GD198" s="6">
        <f>COUNTIFS(Table48[Country],Tabela1[[#This Row],[Country]],Table48[Uneven Bars Classification],"&gt;0")</f>
        <v>0</v>
      </c>
      <c r="GE198" s="6">
        <f>COUNTIFS(Table47[Country],Tabela1[[#This Row],[Country]],Table47[Vault Classification],"&gt;0")</f>
        <v>0</v>
      </c>
      <c r="GF198" s="6">
        <f>COUNTIFS(Table48[Country],Tabela1[[#This Row],[Country]],Table48[Vault Classification],"&gt;0")</f>
        <v>0</v>
      </c>
      <c r="GG198" s="6">
        <f>COUNTIFS(Table919496[Country],Tabela1[[#This Row],[Country]],Table919496[Men''s Classification],"&gt;0")</f>
        <v>0</v>
      </c>
      <c r="GH198" s="6">
        <f>COUNTIFS(Table919496[Country],Tabela1[[#This Row],[Country]],Table919496[Women''s Classification],"&gt;0")</f>
        <v>0</v>
      </c>
      <c r="GI198" s="6">
        <f>COUNTIFS(Table12[Country],Tabela1[[#This Row],[Country]],Table12[60kg Classification],"&gt;0")</f>
        <v>0</v>
      </c>
      <c r="GJ198" s="6">
        <f>COUNTIFS(Table12[Country],Tabela1[[#This Row],[Country]],Table12[66kg Classification],"&gt;0")</f>
        <v>0</v>
      </c>
      <c r="GK198" s="6">
        <f>COUNTIFS(Table12[Country],Tabela1[[#This Row],[Country]],Table12[73kg Classification],"&gt;0")</f>
        <v>0</v>
      </c>
      <c r="GL198" s="6">
        <f>COUNTIFS(Table12[Country],Tabela1[[#This Row],[Country]],Table12[81kg Classification],"&gt;0")</f>
        <v>0</v>
      </c>
      <c r="GM198" s="6">
        <f>COUNTIFS(Table12[Country],Tabela1[[#This Row],[Country]],Table12[90kg Classification],"&gt;0")</f>
        <v>0</v>
      </c>
      <c r="GN198" s="6">
        <f>COUNTIFS(Table12[Country],Tabela1[[#This Row],[Country]],Table12[100kg Classification],"&gt;0")</f>
        <v>0</v>
      </c>
      <c r="GO198" s="6">
        <f>COUNTIFS(Table12[Country],Tabela1[[#This Row],[Country]],Table12[Plus 100kg Classification],"&gt;0")</f>
        <v>0</v>
      </c>
      <c r="GP198" s="6">
        <f>COUNTIFS(Table13[Country],Tabela1[[#This Row],[Country]],Table13[48kg Classification],"&gt;0")</f>
        <v>0</v>
      </c>
      <c r="GQ198" s="6">
        <f>COUNTIFS(Table13[Country],Tabela1[[#This Row],[Country]],Table13[52kg Classification],"&gt;0")</f>
        <v>0</v>
      </c>
      <c r="GR198" s="6">
        <f>COUNTIFS(Table13[Country],Tabela1[[#This Row],[Country]],Table13[57kg Classification],"&gt;0")</f>
        <v>0</v>
      </c>
      <c r="GS198" s="6">
        <f>COUNTIFS(Table13[Country],Tabela1[[#This Row],[Country]],Table13[63kg Classification],"&gt;0")</f>
        <v>0</v>
      </c>
      <c r="GT198" s="6">
        <f>COUNTIFS(Table13[Country],Tabela1[[#This Row],[Country]],Table13[70kg Classification],"&gt;0")</f>
        <v>0</v>
      </c>
      <c r="GU198" s="6">
        <f>COUNTIFS(Table13[Country],Tabela1[[#This Row],[Country]],Table13[78kg Classification],"&gt;0")</f>
        <v>0</v>
      </c>
      <c r="GV198" s="6">
        <f>COUNTIFS(Table13[Country],Tabela1[[#This Row],[Country]],Table13[Plus 78kg Classification],"&gt;0")</f>
        <v>0</v>
      </c>
      <c r="GW198" s="6">
        <f>COUNTIFS(Table82[Country],Tabela1[[#This Row],[Country]],Table82[Mixed Classification],"&gt;0")</f>
        <v>0</v>
      </c>
      <c r="GX198" s="6">
        <f>COUNTIFS(Table51[Country],Tabela1[[#This Row],[Country]],Table51[Classification],"&gt;0")</f>
        <v>0</v>
      </c>
      <c r="GY198" s="6">
        <f>COUNTIFS(Table52[Country],Tabela1[[#This Row],[Country]],Table52[Classification],"&gt;0")</f>
        <v>0</v>
      </c>
      <c r="GZ198" s="6">
        <f>COUNTIFS(Table32[Country],Tabela1[[#This Row],[Country]],Table32[All-Around Classification],"&gt;0")</f>
        <v>0</v>
      </c>
      <c r="HA198" s="6">
        <f>COUNTIFS(Table49[Country],Tabela1[[#This Row],[Country]],Table49[All-Around Classification],"&gt;0")</f>
        <v>0</v>
      </c>
      <c r="HB198" s="6">
        <f>COUNTIFS(Table26[Country],Tabela1[[#This Row],[Country]],Table26[Single Sculls Classification],"&gt;0")</f>
        <v>0</v>
      </c>
      <c r="HC198" s="6">
        <f>COUNTIFS(Table63[Country],Tabela1[[#This Row],[Country]],Table63[Single Sculls Classification],"&gt;0")</f>
        <v>0</v>
      </c>
      <c r="HD198" s="6">
        <f>COUNTIFS(Table16[Country],Tabela1[[#This Row],[Country]],Table16[Men''s Double Sculls Classification],"&gt;0")</f>
        <v>0</v>
      </c>
      <c r="HE198" s="6">
        <f>COUNTIFS(Table16[Country],Tabela1[[#This Row],[Country]],Table16[Women''s Double Sculls Classification],"&gt;0")</f>
        <v>0</v>
      </c>
      <c r="HF198" s="6">
        <f>COUNTIFS(Table72[Country],Tabela1[[#This Row],[Country]],Table72[Men''s Quadruple Sculls Classification],"&gt;0")</f>
        <v>0</v>
      </c>
      <c r="HG198" s="6">
        <f>COUNTIFS(Table72[Country],Tabela1[[#This Row],[Country]],Table72[Women''s Quadruple Sculls Classification],"&gt;0")</f>
        <v>0</v>
      </c>
      <c r="HH198" s="6">
        <f>COUNTIFS(Table16[Country],Tabela1[[#This Row],[Country]],Table16[Men''s Coxless Pairs Classification],"&gt;0")</f>
        <v>0</v>
      </c>
      <c r="HI198" s="6">
        <f>COUNTIFS(Table16[Country],Tabela1[[#This Row],[Country]],Table16[Women''s Coxless Pairs Classification],"&gt;0")</f>
        <v>0</v>
      </c>
      <c r="HJ198" s="6">
        <f>COUNTIFS(Table72[Country],Tabela1[[#This Row],[Country]],Table72[Men''s Coxless Fours Classification],"&gt;0")</f>
        <v>0</v>
      </c>
      <c r="HK198" s="6">
        <f>COUNTIFS(Table72[Country],Tabela1[[#This Row],[Country]],Table72[Women''s Coxless Fours Classification],"&gt;0")</f>
        <v>0</v>
      </c>
      <c r="HL198" s="6">
        <f>COUNTIFS(Table72[Country],Tabela1[[#This Row],[Country]],Table72[Men''s Eights Classification],"&gt;0")</f>
        <v>0</v>
      </c>
      <c r="HM198" s="6">
        <f>COUNTIFS(Table72[Country],Tabela1[[#This Row],[Country]],Table72[Women''s Eights Classification],"&gt;0")</f>
        <v>0</v>
      </c>
      <c r="HN198" s="6">
        <f>COUNTIFS(Table16[Country],Tabela1[[#This Row],[Country]],Table16[Men''s Lwt. Double Sculls Classification],"&gt;0")</f>
        <v>0</v>
      </c>
      <c r="HO198" s="6">
        <f>COUNTIFS(Table16[Country],Tabela1[[#This Row],[Country]],Table16[Women''s Lwt. Double Sculls Classification],"&gt;0")</f>
        <v>0</v>
      </c>
      <c r="HP198" s="6">
        <f>COUNTIFS(Table91949698[Country],Tabela1[[#This Row],[Country]],Table91949698[Men''s Classification],"&gt;0")</f>
        <v>0</v>
      </c>
      <c r="HQ198" s="6">
        <f>COUNTIFS(Table91949698[Country],Tabela1[[#This Row],[Country]],Table91949698[Women''s Classification],"&gt;0")</f>
        <v>0</v>
      </c>
      <c r="HR198" s="6">
        <f>COUNTIFS(Table25[Country],Tabela1[[#This Row],[Country]],Table25[Mixed 470 Classification],"&gt;0")</f>
        <v>0</v>
      </c>
      <c r="HS198" s="6">
        <f>COUNTIFS(Table25[Country],Tabela1[[#This Row],[Country]],Table25[Men''s 49er Classification],"&gt;0")</f>
        <v>0</v>
      </c>
      <c r="HT198" s="6">
        <f>COUNTIFS(Table25[Country],Tabela1[[#This Row],[Country]],Table25[Women''s 49er FX Classification],"&gt;0")</f>
        <v>0</v>
      </c>
      <c r="HU198" s="6">
        <f>COUNTIFS(Table17[Country],Tabela1[[#This Row],[Country]],Table17[Formula Kite Classification],"&gt;0")</f>
        <v>0</v>
      </c>
      <c r="HV198" s="6">
        <f>COUNTIFS(Table18[Country],Tabela1[[#This Row],[Country]],Table18[Formula Kite Classification],"&gt;0")</f>
        <v>0</v>
      </c>
      <c r="HW198" s="6">
        <f>COUNTIFS(Table17[Country],Tabela1[[#This Row],[Country]],Table17[ILCA 7 Classification],"&gt;0")</f>
        <v>0</v>
      </c>
      <c r="HX198" s="6">
        <f>COUNTIFS(Table18[Country],Tabela1[[#This Row],[Country]],Table18[ILCA 6 Classification],"&gt;0")</f>
        <v>0</v>
      </c>
      <c r="HY198" s="6">
        <f>COUNTIFS(Table17[Country],Tabela1[[#This Row],[Country]],Table17[IQFoil Classification],"&gt;0")</f>
        <v>0</v>
      </c>
      <c r="HZ198" s="6">
        <f>COUNTIFS(Table18[Country],Tabela1[[#This Row],[Country]],Table18[IQFoil Classification],"&gt;0")</f>
        <v>0</v>
      </c>
      <c r="IA198" s="6">
        <f>COUNTIFS(Table25[Country],Tabela1[[#This Row],[Country]],Table25[Mixed Nacra 17 Classification],"&gt;0")</f>
        <v>0</v>
      </c>
      <c r="IB198" s="6">
        <f>COUNTIFS(Table53[Country],Tabela1[[#This Row],[Country]],Table53[10m Air Pistol Classification],"&gt;0")</f>
        <v>0</v>
      </c>
      <c r="IC198" s="6">
        <f>COUNTIFS(Table19[Country],Tabela1[[#This Row],[Country]],Table19[10m Air Pistol Classification],"&gt;0")</f>
        <v>0</v>
      </c>
      <c r="ID198" s="6">
        <f>COUNTIFS(Table54[Country],Tabela1[[#This Row],[Country]],Table54[Mixed 10m Air Pistol Team Classification],"&gt;0")</f>
        <v>0</v>
      </c>
      <c r="IE198" s="6">
        <f>COUNTIFS(Table53[Country],Tabela1[[#This Row],[Country]],Table53[10m Air Rifle Classification],"&gt;0")</f>
        <v>0</v>
      </c>
      <c r="IF198" s="6">
        <f>COUNTIFS(Table19[Country],Tabela1[[#This Row],[Country]],Table19[10m Air Rifle Classification],"&gt;0")</f>
        <v>0</v>
      </c>
      <c r="IG198" s="6">
        <f>COUNTIFS(Table54[Country],Tabela1[[#This Row],[Country]],Table54[Mixed 10m Air Rifle Team Classification],"&gt;0")</f>
        <v>0</v>
      </c>
      <c r="IH198" s="6">
        <f>COUNTIFS(Table53[Country],Tabela1[[#This Row],[Country]],Table53[25m Rapid Fire Pistol Classification],"&gt;0")</f>
        <v>0</v>
      </c>
      <c r="II198" s="6">
        <f>COUNTIFS(Table19[Country],Tabela1[[#This Row],[Country]],Table19[25m Pistol Classification],"&gt;0")</f>
        <v>0</v>
      </c>
      <c r="IJ198" s="6">
        <f>COUNTIFS(Table53[Country],Tabela1[[#This Row],[Country]],Table53[50m Rifle 3 Positions Classification],"&gt;0")</f>
        <v>0</v>
      </c>
      <c r="IK198" s="6">
        <f>COUNTIFS(Table19[Country],Tabela1[[#This Row],[Country]],Table19[50m Rifle 3 Positions Classification],"&gt;0")</f>
        <v>0</v>
      </c>
      <c r="IL198" s="6">
        <f>COUNTIFS(Table53[Country],Tabela1[[#This Row],[Country]],Table53[Skeet Classification],"&gt;0")</f>
        <v>0</v>
      </c>
      <c r="IM198" s="6">
        <f>COUNTIFS(Table19[Country],Tabela1[[#This Row],[Country]],Table19[Skeet Classification],"&gt;0")</f>
        <v>0</v>
      </c>
      <c r="IN198" s="6">
        <f>COUNTIFS(Table54[Country],Tabela1[[#This Row],[Country]],Table54[Mixed Skeet Team Classification],"&gt;0")</f>
        <v>0</v>
      </c>
      <c r="IO198" s="6">
        <f>COUNTIFS(Table53[Country],Tabela1[[#This Row],[Country]],Table53[Trap Classification],"&gt;0")</f>
        <v>0</v>
      </c>
      <c r="IP198" s="6">
        <f>COUNTIFS(Table19[Country],Tabela1[[#This Row],[Country]],Table19[Trap Classification],"&gt;0")</f>
        <v>0</v>
      </c>
      <c r="IQ198" s="6">
        <f>COUNTIFS(Table73[Country],Tabela1[[#This Row],[Country]],Table73[Park Classification],"&gt;0")</f>
        <v>0</v>
      </c>
      <c r="IR198" s="6">
        <f>COUNTIFS(Table74[Country],Tabela1[[#This Row],[Country]],Table74[Park Classification],"&gt;0")</f>
        <v>0</v>
      </c>
      <c r="IS198" s="6">
        <f>COUNTIFS(Table73[Country],Tabela1[[#This Row],[Country]],Table73[Street Classification],"&gt;0")</f>
        <v>0</v>
      </c>
      <c r="IT198" s="6">
        <f>COUNTIFS(Table74[Country],Tabela1[[#This Row],[Country]],Table74[Street Classification],"&gt;0")</f>
        <v>0</v>
      </c>
      <c r="IU198" s="6">
        <f>COUNTIFS(Table75[Country],Tabela1[[#This Row],[Country]],Table75[Boulder and Lead Classification],"&gt;0")</f>
        <v>0</v>
      </c>
      <c r="IV198" s="6">
        <f>COUNTIFS(Table76[Country],Tabela1[[#This Row],[Country]],Table76[Boulder and Lead Classification],"&gt;0")</f>
        <v>0</v>
      </c>
      <c r="IW198" s="6">
        <f>COUNTIFS(Table75[Country],Tabela1[[#This Row],[Country]],Table75[Speed Classification],"&gt;0")</f>
        <v>0</v>
      </c>
      <c r="IX198" s="6">
        <f>COUNTIFS(Table76[Country],Tabela1[[#This Row],[Country]],Table76[Speed Classification],"&gt;0")</f>
        <v>0</v>
      </c>
      <c r="IY198" s="6">
        <f>COUNTIFS(Table64[Country],Tabela1[[#This Row],[Country]],Table64[Shortboard Classification],"&gt;0")</f>
        <v>0</v>
      </c>
      <c r="IZ198" s="6">
        <f>COUNTIFS(Table77[Country],Tabela1[[#This Row],[Country]],Table77[Shortboard Classification],"&gt;0")</f>
        <v>0</v>
      </c>
      <c r="JA198" s="6">
        <f>COUNTIFS(Table20[Country],Tabela1[[#This Row],[Country]],Table20[50m Freestyle Classification],"&gt;0")</f>
        <v>0</v>
      </c>
      <c r="JB198" s="6">
        <f>COUNTIFS(Table21[Country],Tabela1[[#This Row],[Country]],Table21[50m Freestyle Classification],"&gt;0")</f>
        <v>0</v>
      </c>
      <c r="JC198" s="6">
        <f>COUNTIFS(Table20[Country],Tabela1[[#This Row],[Country]],Table20[100m Freestyle Classification],"&gt;0")</f>
        <v>0</v>
      </c>
      <c r="JD198" s="6">
        <f>COUNTIFS(Table21[Country],Tabela1[[#This Row],[Country]],Table21[100m Freestyle Classification],"&gt;0")</f>
        <v>0</v>
      </c>
      <c r="JE198" s="6">
        <f>COUNTIFS(Table20[Country],Tabela1[[#This Row],[Country]],Table20[200m Freestyle Classification],"&gt;0")</f>
        <v>0</v>
      </c>
      <c r="JF198" s="6">
        <f>COUNTIFS(Table21[Country],Tabela1[[#This Row],[Country]],Table21[200m Freestyle Classification],"&gt;0")</f>
        <v>0</v>
      </c>
      <c r="JG198" s="6">
        <f>COUNTIFS(Table20[Country],Tabela1[[#This Row],[Country]],Table20[400m Freestyle Classification],"&gt;0")</f>
        <v>0</v>
      </c>
      <c r="JH198" s="6">
        <f>COUNTIFS(Table21[Country],Tabela1[[#This Row],[Country]],Table21[400m Freestyle Classification],"&gt;0")</f>
        <v>0</v>
      </c>
      <c r="JI198" s="6">
        <f>COUNTIFS(Table20[Country],Tabela1[[#This Row],[Country]],Table20[800m Freestyle Classification],"&gt;0")</f>
        <v>0</v>
      </c>
      <c r="JJ198" s="6">
        <f>COUNTIFS(Table21[Country],Tabela1[[#This Row],[Country]],Table21[800m Freestyle Classification],"&gt;0")</f>
        <v>0</v>
      </c>
      <c r="JK198" s="6">
        <f>COUNTIFS(Table20[Country],Tabela1[[#This Row],[Country]],Table20[1500m Freestyle Classification],"&gt;0")</f>
        <v>0</v>
      </c>
      <c r="JL198" s="6">
        <f>COUNTIFS(Table21[Country],Tabela1[[#This Row],[Country]],Table21[1500m Freestyle Classification],"&gt;0")</f>
        <v>0</v>
      </c>
      <c r="JM198" s="6">
        <f>COUNTIFS(Table20[Country],Tabela1[[#This Row],[Country]],Table20[100m Backstroke Classification],"&gt;0")</f>
        <v>0</v>
      </c>
      <c r="JN198" s="6">
        <f>COUNTIFS(Table21[Country],Tabela1[[#This Row],[Country]],Table21[100m Backstroke Classification],"&gt;0")</f>
        <v>0</v>
      </c>
      <c r="JO198" s="6">
        <f>COUNTIFS(Table20[Country],Tabela1[[#This Row],[Country]],Table20[200m Backstroke Classification],"&gt;0")</f>
        <v>0</v>
      </c>
      <c r="JP198" s="6">
        <f>COUNTIFS(Table21[Country],Tabela1[[#This Row],[Country]],Table21[200m Backstroke Classification],"&gt;0")</f>
        <v>0</v>
      </c>
      <c r="JQ198" s="6">
        <f>COUNTIFS(Table20[Country],Tabela1[[#This Row],[Country]],Table20[100m Breaststroke Classification],"&gt;0")</f>
        <v>0</v>
      </c>
      <c r="JR198" s="6">
        <f>COUNTIFS(Table21[Country],Tabela1[[#This Row],[Country]],Table21[100m Breaststroke Classification],"&gt;0")</f>
        <v>0</v>
      </c>
      <c r="JS198" s="6">
        <f>COUNTIFS(Table20[Country],Tabela1[[#This Row],[Country]],Table20[200m Breaststroke Classification],"&gt;0")</f>
        <v>0</v>
      </c>
      <c r="JT198" s="6">
        <f>COUNTIFS(Table21[Country],Tabela1[[#This Row],[Country]],Table21[200m Breaststroke Classification],"&gt;0")</f>
        <v>0</v>
      </c>
      <c r="JU198" s="6">
        <f>COUNTIFS(Table20[Country],Tabela1[[#This Row],[Country]],Table20[100m Butterfly Classification],"&gt;0")</f>
        <v>0</v>
      </c>
      <c r="JV198" s="6">
        <f>COUNTIFS(Table21[Country],Tabela1[[#This Row],[Country]],Table21[100m Butterfly Classification],"&gt;0")</f>
        <v>0</v>
      </c>
      <c r="JW198" s="6">
        <f>COUNTIFS(Table20[Country],Tabela1[[#This Row],[Country]],Table20[200m Butterfly Classification],"&gt;0")</f>
        <v>0</v>
      </c>
      <c r="JX198" s="6">
        <f>COUNTIFS(Table21[Country],Tabela1[[#This Row],[Country]],Table21[200m Butterfly Classification],"&gt;0")</f>
        <v>0</v>
      </c>
      <c r="JY198" s="6">
        <f>COUNTIFS(Table20[Country],Tabela1[[#This Row],[Country]],Table20[200m Medley Classification],"&gt;0")</f>
        <v>0</v>
      </c>
      <c r="JZ198" s="6">
        <f>COUNTIFS(Table21[Country],Tabela1[[#This Row],[Country]],Table21[200m Medley Classification],"&gt;0")</f>
        <v>0</v>
      </c>
      <c r="KA198" s="6">
        <f>COUNTIFS(Table20[Country],Tabela1[[#This Row],[Country]],Table20[400m Medley Classification],"&gt;0")</f>
        <v>0</v>
      </c>
      <c r="KB198" s="6">
        <f>COUNTIFS(Table21[Country],Tabela1[[#This Row],[Country]],Table21[400m Medley Classification],"&gt;0")</f>
        <v>0</v>
      </c>
      <c r="KC198" s="6">
        <f>COUNTIFS(Table78[Country],Tabela1[[#This Row],[Country]],Table78[Men''s 4x100m Freestyle Relay Classification],"&gt;0")</f>
        <v>0</v>
      </c>
      <c r="KD198" s="6">
        <f>COUNTIFS(Table78[Country],Tabela1[[#This Row],[Country]],Table78[Women''s 4x100m Freestyle Relay Classification],"&gt;0")</f>
        <v>0</v>
      </c>
      <c r="KE198" s="6">
        <f>COUNTIFS(Table78[Country],Tabela1[[#This Row],[Country]],Table78[Men''s 4x200m Freestyle Relay Classification],"&gt;0")</f>
        <v>0</v>
      </c>
      <c r="KF198" s="6">
        <f>COUNTIFS(Table78[Country],Tabela1[[#This Row],[Country]],Table78[Women''s 4x200m Freestyle Relay Classification],"&gt;0")</f>
        <v>0</v>
      </c>
      <c r="KG198" s="6">
        <f>COUNTIFS(Table78[Country],Tabela1[[#This Row],[Country]],Table78[Men''s 4x100m Medley Relay Classification],"&gt;0")</f>
        <v>0</v>
      </c>
      <c r="KH198" s="6">
        <f>COUNTIFS(Table78[Country],Tabela1[[#This Row],[Country]],Table78[Women''s 4x100m Medley Relay Classification],"&gt;0")</f>
        <v>0</v>
      </c>
      <c r="KI198" s="6">
        <f>COUNTIFS(Table78[Country],Tabela1[[#This Row],[Country]],Table78[Mixed 4x100m Medley Relay Classification],"&gt;0")</f>
        <v>0</v>
      </c>
      <c r="KJ198" s="6">
        <f>COUNTIFS(Table20[Country],Tabela1[[#This Row],[Country]],Table20[10km Open Water Classification],"&gt;0")</f>
        <v>0</v>
      </c>
      <c r="KK198" s="6">
        <f>COUNTIFS(Table21[Country],Tabela1[[#This Row],[Country]],Table21[10km Open Water Classification],"&gt;0")</f>
        <v>0</v>
      </c>
      <c r="KL198" s="6">
        <f>COUNTIFS(Table22[Country],Tabela1[[#This Row],[Country]],Table22[Classification],"&gt;0")</f>
        <v>0</v>
      </c>
      <c r="KM198" s="6">
        <f>COUNTIFS(Table30[Country],Tabela1[[#This Row],[Country]],Table30[Classification],"&gt;0")</f>
        <v>0</v>
      </c>
      <c r="KN198" s="6">
        <f>COUNTIFS(Table55[Country],Tabela1[[#This Row],[Country]],Table55[Men''s Classification],"&gt;0")</f>
        <v>0</v>
      </c>
      <c r="KO198" s="6">
        <f>COUNTIFS(Table55[Country],Tabela1[[#This Row],[Country]],Table55[Women''s Classification],"&gt;0")</f>
        <v>0</v>
      </c>
      <c r="KP198" s="6">
        <f>COUNTIFS(Table56[Country],Tabela1[[#This Row],[Country]],Table56[Mixed Classification],"&gt;0")</f>
        <v>0</v>
      </c>
      <c r="KQ198" s="6">
        <f>COUNTIFS(Table29[Country],Tabela1[[#This Row],[Country]],Table29[58kg Classification],"&gt;0")</f>
        <v>0</v>
      </c>
      <c r="KR198" s="6">
        <f>COUNTIFS(Table29[Country],Tabela1[[#This Row],[Country]],Table29[68kg Classification],"&gt;0")</f>
        <v>0</v>
      </c>
      <c r="KS198" s="6">
        <f>COUNTIFS(Table29[Country],Tabela1[[#This Row],[Country]],Table29[80kg Classification],"&gt;0")</f>
        <v>0</v>
      </c>
      <c r="KT198" s="6">
        <f>COUNTIFS(Table29[Country],Tabela1[[#This Row],[Country]],Table29[Plus 80kg Classification],"&gt;0")</f>
        <v>0</v>
      </c>
      <c r="KU198" s="6">
        <f>COUNTIFS(Table34[Country],Tabela1[[#This Row],[Country]],Table34[49kg Classification],"&gt;0")</f>
        <v>0</v>
      </c>
      <c r="KV198" s="6">
        <f>COUNTIFS(Table34[Country],Tabela1[[#This Row],[Country]],Table34[57kg Classification],"&gt;0")</f>
        <v>0</v>
      </c>
      <c r="KW198" s="6">
        <f>COUNTIFS(Table34[Country],Tabela1[[#This Row],[Country]],Table34[67kg Classification],"&gt;0")</f>
        <v>0</v>
      </c>
      <c r="KX198" s="6">
        <f>COUNTIFS(Table34[Country],Tabela1[[#This Row],[Country]],Table34[Plus 67kg Classification],"&gt;0")</f>
        <v>0</v>
      </c>
      <c r="KY198" s="6">
        <f>COUNTIFS(Table57[Country],Tabela1[[#This Row],[Country]],Table57[Classification],"&gt;0")</f>
        <v>0</v>
      </c>
      <c r="KZ198" s="6">
        <f>COUNTIFS(Table58[Country],Tabela1[[#This Row],[Country]],Table58[Classification],"&gt;0")</f>
        <v>0</v>
      </c>
      <c r="LA198" s="6">
        <f>COUNTIFS(Table79[Country],Tabela1[[#This Row],[Country]],Table79[Men''s Classification],"&gt;0")</f>
        <v>0</v>
      </c>
      <c r="LB198" s="6">
        <f>COUNTIFS(Table79[Country],Tabela1[[#This Row],[Country]],Table79[Women''s Classification],"&gt;0")</f>
        <v>0</v>
      </c>
      <c r="LC198" s="6">
        <f>COUNTIFS(Table79[Country],Tabela1[[#This Row],[Country]],Table79[Mixed Classification],"&gt;0")</f>
        <v>0</v>
      </c>
      <c r="LD198" s="6">
        <f>COUNTIFS(Table65[Country],Tabela1[[#This Row],[Country]],Table65[Classification],"&gt;0")</f>
        <v>0</v>
      </c>
      <c r="LE198" s="6">
        <f>COUNTIFS(Table59[Country],Tabela1[[#This Row],[Country]],Table59[Classification],"&gt;0")</f>
        <v>0</v>
      </c>
      <c r="LF198" s="6">
        <f>COUNTIFS(Table87[Country],Tabela1[[#This Row],[Country]],Table87[Mixed Relay Classification],"&gt;0")</f>
        <v>0</v>
      </c>
      <c r="LG198" s="6">
        <f>COUNTIFS(Table91949698100[Country],Tabela1[[#This Row],[Country]],Table91949698100[Men''s Classification],"&gt;0")</f>
        <v>0</v>
      </c>
      <c r="LH198" s="6">
        <f>COUNTIFS(Table91949698100[Country],Tabela1[[#This Row],[Country]],Table91949698100[Women''s Classification],"&gt;0")</f>
        <v>0</v>
      </c>
      <c r="LI198" s="6">
        <f>COUNTIFS(Table91949698100102[Country],Tabela1[[#This Row],[Country]],Table91949698100102[Men''s Classification],"&gt;0")</f>
        <v>0</v>
      </c>
      <c r="LJ198" s="6">
        <f>COUNTIFS(Table91949698100102[Country],Tabela1[[#This Row],[Country]],Table91949698100102[Women''s Classification],"&gt;0")</f>
        <v>0</v>
      </c>
      <c r="LK198" s="6">
        <f>COUNTIFS(Table23[Country],Tabela1[[#This Row],[Country]],Table23[61kg Classification],"&gt;0")</f>
        <v>0</v>
      </c>
      <c r="LL198" s="6">
        <f>COUNTIFS(Table23[Country],Tabela1[[#This Row],[Country]],Table23[73kg Classification],"&gt;0")</f>
        <v>0</v>
      </c>
      <c r="LM198" s="6">
        <f>COUNTIFS(Table23[Country],Tabela1[[#This Row],[Country]],Table23[89kg Classification],"&gt;0")</f>
        <v>0</v>
      </c>
      <c r="LN198" s="6">
        <f>COUNTIFS(Table23[Country],Tabela1[[#This Row],[Country]],Table23[102kg Classification],"&gt;0")</f>
        <v>0</v>
      </c>
      <c r="LO198" s="6">
        <f>COUNTIFS(Table23[Country],Tabela1[[#This Row],[Country]],Table23[Plus 102kg Classification],"&gt;0")</f>
        <v>0</v>
      </c>
      <c r="LP198" s="6">
        <f>COUNTIFS(Table28[Country],Tabela1[[#This Row],[Country]],Table28[49kg Classification],"&gt;0")</f>
        <v>0</v>
      </c>
      <c r="LQ198" s="6">
        <f>COUNTIFS(Table28[Country],Tabela1[[#This Row],[Country]],Table28[59kg Classification],"&gt;0")</f>
        <v>0</v>
      </c>
      <c r="LR198" s="6">
        <f>COUNTIFS(Table28[Country],Tabela1[[#This Row],[Country]],Table28[71kg Classification],"&gt;0")</f>
        <v>0</v>
      </c>
      <c r="LS198" s="6">
        <f>COUNTIFS(Table28[Country],Tabela1[[#This Row],[Country]],Table28[81kg Classification],"&gt;0")</f>
        <v>0</v>
      </c>
      <c r="LT198" s="6">
        <f>COUNTIFS(Table28[Country],Tabela1[[#This Row],[Country]],Table28[Plus 81kg Classification],"&gt;0")</f>
        <v>0</v>
      </c>
      <c r="LU198" s="6">
        <f>COUNTIFS(Table24[Country],Tabela1[[#This Row],[Country]],Table24[Freestyle 57kg Classification],"&gt;0")</f>
        <v>0</v>
      </c>
      <c r="LV198" s="6">
        <f>COUNTIFS(Table24[Country],Tabela1[[#This Row],[Country]],Table24[Freestyle 65kg Classification],"&gt;0")</f>
        <v>0</v>
      </c>
      <c r="LW198" s="6">
        <f>COUNTIFS(Table24[Country],Tabela1[[#This Row],[Country]],Table24[Freestyle 74kg Classification],"&gt;0")</f>
        <v>0</v>
      </c>
      <c r="LX198" s="6">
        <f>COUNTIFS(Table24[Country],Tabela1[[#This Row],[Country]],Table24[Freestyle 86kg Classification],"&gt;0")</f>
        <v>0</v>
      </c>
      <c r="LY198" s="6">
        <f>COUNTIFS(Table24[Country],Tabela1[[#This Row],[Country]],Table24[Freestyle 97kg Classification],"&gt;0")</f>
        <v>0</v>
      </c>
      <c r="LZ198" s="6">
        <f>COUNTIFS(Table24[Country],Tabela1[[#This Row],[Country]],Table24[Freestyle 125kg Classification],"&gt;0")</f>
        <v>0</v>
      </c>
      <c r="MA198" s="6">
        <f>COUNTIFS(Table24[Country],Tabela1[[#This Row],[Country]],Table24[Greco-Roman 60kg Classification],"&gt;0")</f>
        <v>0</v>
      </c>
      <c r="MB198" s="6">
        <f>COUNTIFS(Table24[Country],Tabela1[[#This Row],[Country]],Table24[Greco-Roman 67kg Classification],"&gt;0")</f>
        <v>0</v>
      </c>
      <c r="MC198" s="6">
        <f>COUNTIFS(Table24[Country],Tabela1[[#This Row],[Country]],Table24[Greco-Roman 77kg Classification],"&gt;0")</f>
        <v>0</v>
      </c>
      <c r="MD198" s="6">
        <f>COUNTIFS(Table24[Country],Tabela1[[#This Row],[Country]],Table24[Greco-Roman 87kg Classification],"&gt;0")</f>
        <v>0</v>
      </c>
      <c r="ME198" s="6">
        <f>COUNTIFS(Table24[Country],Tabela1[[#This Row],[Country]],Table24[Greco-Roman 97kg Classification],"&gt;0")</f>
        <v>0</v>
      </c>
      <c r="MF198" s="6">
        <f>COUNTIFS(Table24[Country],Tabela1[[#This Row],[Country]],Table24[Greco-Roman 130kg Classification],"&gt;0")</f>
        <v>0</v>
      </c>
      <c r="MG198" s="6">
        <f>COUNTIFS(Table31[Country],Tabela1[[#This Row],[Country]],Table31[50kg Classification],"&gt;0")</f>
        <v>0</v>
      </c>
      <c r="MH198" s="6">
        <f>COUNTIFS(Table31[Country],Tabela1[[#This Row],[Country]],Table31[53kg Classification],"&gt;0")</f>
        <v>0</v>
      </c>
      <c r="MI198" s="6">
        <f>COUNTIFS(Table31[Country],Tabela1[[#This Row],[Country]],Table31[57kg Classification],"&gt;0")</f>
        <v>0</v>
      </c>
      <c r="MJ198" s="6">
        <f>COUNTIFS(Table31[Country],Tabela1[[#This Row],[Country]],Table31[62kg Classification],"&gt;0")</f>
        <v>0</v>
      </c>
      <c r="MK198" s="6">
        <f>COUNTIFS(Table31[Country],Tabela1[[#This Row],[Country]],Table31[68kg Classification],"&gt;0")</f>
        <v>0</v>
      </c>
      <c r="ML198" s="6">
        <f>COUNTIFS(Table31[Country],Tabela1[[#This Row],[Country]],Table31[76kg Classification],"&gt;0")</f>
        <v>0</v>
      </c>
      <c r="MM198" s="6">
        <f>COUNTIFS(Table102[Country],Tabela1[[#This Row],[Country]],Table102[Downhill Classification],"&gt;0")</f>
        <v>0</v>
      </c>
      <c r="MN198" s="6">
        <f>COUNTIFS(Table102105[Country],Tabela1[[#This Row],[Country]],Table102105[Downhill Classification],"&gt;0")</f>
        <v>0</v>
      </c>
      <c r="MO198" s="6">
        <f>COUNTIFS(Table102[Country],Tabela1[[#This Row],[Country]],Table102[Giant Slalom Classification],"&gt;0")</f>
        <v>0</v>
      </c>
      <c r="MP198" s="6">
        <f>COUNTIFS(Table102105[Country],Tabela1[[#This Row],[Country]],Table102105[Giant Slalom Classification],"&gt;0")</f>
        <v>0</v>
      </c>
      <c r="MQ198" s="6">
        <f>COUNTIFS(Table102[Country],Tabela1[[#This Row],[Country]],Table102[Slalom Classification],"&gt;0")</f>
        <v>0</v>
      </c>
      <c r="MR198" s="6">
        <f>COUNTIFS(Table102105[Country],Tabela1[[#This Row],[Country]],Table102105[Slalom Classification],"&gt;0")</f>
        <v>0</v>
      </c>
      <c r="MS198" s="6">
        <f>COUNTIFS(Table102[Country],Tabela1[[#This Row],[Country]],Table102[Super-G Classification],"&gt;0")</f>
        <v>0</v>
      </c>
      <c r="MT198" s="6">
        <f>COUNTIFS(Table102105[Country],Tabela1[[#This Row],[Country]],Table102105[Super-G Classification],"&gt;0")</f>
        <v>0</v>
      </c>
      <c r="MU198" s="6">
        <f>COUNTIFS(Table105[Country],Tabela1[[#This Row],[Country]],Table105[Men''s Combined Classification],"&gt;0")</f>
        <v>0</v>
      </c>
      <c r="MV198" s="6">
        <f>COUNTIFS(Table105[Country],Tabela1[[#This Row],[Country]],Table105[Women''s Combined Classification],"&gt;0")</f>
        <v>0</v>
      </c>
      <c r="MW198" s="6">
        <f>COUNTIFS(Table106[Country],Tabela1[[#This Row],[Country]],Table106[Individual Classification],"&gt;0")</f>
        <v>0</v>
      </c>
      <c r="MX198" s="6">
        <f>COUNTIFS(Table106109[Country],Tabela1[[#This Row],[Country]],Table106109[Individual Classification],"&gt;0")</f>
        <v>0</v>
      </c>
      <c r="MY198" s="6">
        <f>COUNTIFS(Table106[Country],Tabela1[[#This Row],[Country]],Table106[Mass Start Classification],"&gt;0")</f>
        <v>0</v>
      </c>
      <c r="MZ198" s="6">
        <f>COUNTIFS(Table106109[Country],Tabela1[[#This Row],[Country]],Table106109[Mass Start Classification],"&gt;0")</f>
        <v>0</v>
      </c>
      <c r="NA198" s="6">
        <f>COUNTIFS(Table106[Country],Tabela1[[#This Row],[Country]],Table106[Pursuit Classification],"&gt;0")</f>
        <v>0</v>
      </c>
      <c r="NB198" s="6">
        <f>COUNTIFS(Table106109[Country],Tabela1[[#This Row],[Country]],Table106109[Pursuit Classification],"&gt;0")</f>
        <v>0</v>
      </c>
      <c r="NC198" s="6">
        <f>COUNTIFS(Table106[Country],Tabela1[[#This Row],[Country]],Table106[Sprint Classification],"&gt;0")</f>
        <v>0</v>
      </c>
      <c r="ND198" s="6">
        <f>COUNTIFS(Table106109[Country],Tabela1[[#This Row],[Country]],Table106109[Sprint Classification],"&gt;0")</f>
        <v>0</v>
      </c>
      <c r="NE198" s="6">
        <f>COUNTIFS(Table109[Country],Tabela1[[#This Row],[Country]],Table109[Men''s Relay Classification],"&gt;0")</f>
        <v>0</v>
      </c>
      <c r="NF198" s="6">
        <f>COUNTIFS(Table109[Country],Tabela1[[#This Row],[Country]],Table109[Women''s Relay Classification],"&gt;0")</f>
        <v>0</v>
      </c>
      <c r="NG198" s="6">
        <f>COUNTIFS(Table109[Country],Tabela1[[#This Row],[Country]],Table109[Mixed Relay Classification],"&gt;0")</f>
        <v>0</v>
      </c>
      <c r="NH198" s="6">
        <f>COUNTIFS(Table110[Country],Tabela1[[#This Row],[Country]],Table110[Monobob Classification],"&gt;0")</f>
        <v>0</v>
      </c>
      <c r="NI198" s="6">
        <f>COUNTIFS(Table111[Country],Tabela1[[#This Row],[Country]],Table111[Men''s Classification],"&gt;0")</f>
        <v>0</v>
      </c>
      <c r="NJ198" s="6">
        <f>COUNTIFS(Table111[Country],Tabela1[[#This Row],[Country]],Table111[Women''s Classification],"&gt;0")</f>
        <v>0</v>
      </c>
      <c r="NK198" s="6">
        <f>COUNTIFS(Table112[Country],Tabela1[[#This Row],[Country]],Table112[Men''s Four Classification],"&gt;0")</f>
        <v>0</v>
      </c>
      <c r="NL198" s="6">
        <f>COUNTIFS(Table113[Country],Tabela1[[#This Row],[Country]],Table113[Classical Classification],"&gt;0")</f>
        <v>0</v>
      </c>
      <c r="NM198" s="6">
        <f>COUNTIFS(Table113116[Country],Tabela1[[#This Row],[Country]],Table113116[Classical Classification],"&gt;0")</f>
        <v>0</v>
      </c>
      <c r="NN198" s="6">
        <f>COUNTIFS(Table113[Country],Tabela1[[#This Row],[Country]],Table113[Freestyle Classification],"&gt;0")</f>
        <v>0</v>
      </c>
      <c r="NO198" s="6">
        <f>COUNTIFS(Table113116[Country],Tabela1[[#This Row],[Country]],Table113116[Freestyle Classification],"&gt;0")</f>
        <v>0</v>
      </c>
      <c r="NP198" s="6">
        <f>COUNTIFS(Table117[Country],Tabela1[[#This Row],[Country]],Table117[Men''s Relay Classification],"&gt;0")</f>
        <v>0</v>
      </c>
      <c r="NQ198" s="6">
        <f>COUNTIFS(Table117[Country],Tabela1[[#This Row],[Country]],Table117[Women''s Relay Classification],"&gt;0")</f>
        <v>0</v>
      </c>
      <c r="NR198" s="6">
        <f>COUNTIFS(Table113[Country],Tabela1[[#This Row],[Country]],Table113[Skiathlon Classification],"&gt;0")</f>
        <v>0</v>
      </c>
      <c r="NS198" s="6">
        <f>COUNTIFS(Table113116[Country],Tabela1[[#This Row],[Country]],Table113116[Skiathlon Classification],"&gt;0")</f>
        <v>0</v>
      </c>
      <c r="NT198" s="6">
        <f>COUNTIFS(Table113[Country],Tabela1[[#This Row],[Country]],Table113[Sprint Classification],"&gt;0")</f>
        <v>0</v>
      </c>
      <c r="NU198" s="6">
        <f>COUNTIFS(Table113116[Country],Tabela1[[#This Row],[Country]],Table113116[Sprint Classification],"&gt;0")</f>
        <v>0</v>
      </c>
      <c r="NV198" s="6">
        <f>COUNTIFS(Table116[Country],Tabela1[[#This Row],[Country]],Table116[Men''s Team Sprint Classification],"&gt;0")</f>
        <v>0</v>
      </c>
      <c r="NW198" s="6">
        <f>COUNTIFS(Table116[Country],Tabela1[[#This Row],[Country]],Table116[Women''s Team Sprint Classification],"&gt;0")</f>
        <v>0</v>
      </c>
      <c r="NX198" s="6">
        <f>COUNTIFS(Table119[Country],Tabela1[[#This Row],[Country]],Table119[Men''s Classification],"&gt;0")</f>
        <v>0</v>
      </c>
      <c r="NY198" s="6">
        <f>COUNTIFS(Table119[Country],Tabela1[[#This Row],[Country]],Table119[Women''s Classification],"&gt;0")</f>
        <v>0</v>
      </c>
      <c r="NZ198" s="6">
        <f>COUNTIFS(Table118[Country],Tabela1[[#This Row],[Country]],Table118[Mixed Classification],"&gt;0")</f>
        <v>0</v>
      </c>
      <c r="OA198" s="6">
        <f>COUNTIFS(Table120[Country],Tabela1[[#This Row],[Country]],Table120[Classification],"&gt;0")</f>
        <v>0</v>
      </c>
      <c r="OB198" s="6">
        <f>COUNTIFS(Table120123[Country],Tabela1[[#This Row],[Country]],Table120123[Classification],"&gt;0")</f>
        <v>0</v>
      </c>
      <c r="OC198" s="6">
        <f>COUNTIFS(Table123[Country],Tabela1[[#This Row],[Country]],Table123[Ice Dance Classification],"&gt;0")</f>
        <v>0</v>
      </c>
      <c r="OD198" s="6">
        <f>COUNTIFS(Table123[Country],Tabela1[[#This Row],[Country]],Table123[Pair Skating Classification],"&gt;0")</f>
        <v>0</v>
      </c>
      <c r="OE198" s="6">
        <f>COUNTIFS(Table124[Country],Tabela1[[#This Row],[Country]],Table124[Mixed Classification],"&gt;0")</f>
        <v>0</v>
      </c>
      <c r="OF198" s="6">
        <f>COUNTIFS(Table125[Country],Tabela1[[#This Row],[Country]],Table125[Aerials Classification],"&gt;0")</f>
        <v>0</v>
      </c>
      <c r="OG198" s="6">
        <f>COUNTIFS(Table125128[Country],Tabela1[[#This Row],[Country]],Table125128[Aerials Classification],"&gt;0")</f>
        <v>0</v>
      </c>
      <c r="OH198" s="6">
        <f>COUNTIFS(Table128[Country],Tabela1[[#This Row],[Country]],Table128[Mixed Aerials Classification],"&gt;0")</f>
        <v>0</v>
      </c>
      <c r="OI198" s="6">
        <f>COUNTIFS(Table125[Country],Tabela1[[#This Row],[Country]],Table125[Big Air Classification],"&gt;0")</f>
        <v>0</v>
      </c>
      <c r="OJ198" s="6">
        <f>COUNTIFS(Table125128[Country],Tabela1[[#This Row],[Country]],Table125128[Big Air Classification],"&gt;0")</f>
        <v>0</v>
      </c>
      <c r="OK198" s="6">
        <f>COUNTIFS(Table125[Country],Tabela1[[#This Row],[Country]],Table125[Dual Moguls Classification],"&gt;0")</f>
        <v>0</v>
      </c>
      <c r="OL198" s="6">
        <f>COUNTIFS(Table125128[Country],Tabela1[[#This Row],[Country]],Table125128[Dual Moguls Classification],"&gt;0")</f>
        <v>0</v>
      </c>
      <c r="OM198" s="6">
        <f>COUNTIFS(Table125[Country],Tabela1[[#This Row],[Country]],Table125[Halfpipe Classification],"&gt;0")</f>
        <v>0</v>
      </c>
      <c r="ON198" s="6">
        <f>COUNTIFS(Table125128[Country],Tabela1[[#This Row],[Country]],Table125128[Halfpipe Classification],"&gt;0")</f>
        <v>0</v>
      </c>
      <c r="OO198" s="6">
        <f>COUNTIFS(Table125[Country],Tabela1[[#This Row],[Country]],Table125[Moguls Classification],"&gt;0")</f>
        <v>0</v>
      </c>
      <c r="OP198" s="6">
        <f>COUNTIFS(Table125128[Country],Tabela1[[#This Row],[Country]],Table125128[Moguls Classification],"&gt;0")</f>
        <v>0</v>
      </c>
      <c r="OQ198" s="6">
        <f>COUNTIFS(Table125[Country],Tabela1[[#This Row],[Country]],Table125[Ski Cross Classification],"&gt;0")</f>
        <v>0</v>
      </c>
      <c r="OR198" s="6">
        <f>COUNTIFS(Table125128[Country],Tabela1[[#This Row],[Country]],Table125128[Ski Cross Classification],"&gt;0")</f>
        <v>0</v>
      </c>
      <c r="OS198" s="6">
        <f>COUNTIFS(Table125[Country],Tabela1[[#This Row],[Country]],Table125[Slopestyle Classification],"&gt;0")</f>
        <v>0</v>
      </c>
      <c r="OT198" s="6">
        <f>COUNTIFS(Table125128[Country],Tabela1[[#This Row],[Country]],Table125128[Slopestyle Classification],"&gt;0")</f>
        <v>0</v>
      </c>
      <c r="OU198" s="6">
        <f>COUNTIFS(Table119131[Country],Tabela1[[#This Row],[Country]],Table119131[Men''s Classification],"&gt;0")</f>
        <v>0</v>
      </c>
      <c r="OV198" s="6">
        <f>COUNTIFS(Table119131[Country],Tabela1[[#This Row],[Country]],Table119131[Women''s Classification],"&gt;0")</f>
        <v>0</v>
      </c>
      <c r="OW198" s="6">
        <f>COUNTIFS(Table131[Country],Tabela1[[#This Row],[Country]],Table131[Classification],"&gt;0")</f>
        <v>0</v>
      </c>
      <c r="OX198" s="6">
        <f>COUNTIFS(Table131134[Country],Tabela1[[#This Row],[Country]],Table131134[Classification],"&gt;0")</f>
        <v>0</v>
      </c>
      <c r="OY198" s="6">
        <f>COUNTIFS(Table134[Country],Tabela1[[#This Row],[Country]],Table134[Men''s Classification],"&gt;0")</f>
        <v>0</v>
      </c>
      <c r="OZ198" s="6">
        <f>COUNTIFS(Table134[Country],Tabela1[[#This Row],[Country]],Table134[Women''s Classification],"&gt;0")</f>
        <v>0</v>
      </c>
      <c r="PA198" s="6">
        <f>COUNTIFS(Table135[Country],Tabela1[[#This Row],[Country]],Table135[Mixed Relay Classification],"&gt;0")</f>
        <v>0</v>
      </c>
      <c r="PB198" s="6">
        <f>COUNTIFS(Table136[Country],Tabela1[[#This Row],[Country]],Table136[Individual Classification],"&gt;0")</f>
        <v>0</v>
      </c>
      <c r="PC198" s="6">
        <f>COUNTIFS(Table136[Country],Tabela1[[#This Row],[Country]],Table136[Sprint Classification],"&gt;0")</f>
        <v>0</v>
      </c>
      <c r="PD198" s="6">
        <f>COUNTIFS(Table137[Country],Tabela1[[#This Row],[Country]],Table137[Men''s Team Sprint Large Hill Classification],"&gt;0")</f>
        <v>0</v>
      </c>
      <c r="PE198" s="6">
        <f>COUNTIFS(Table138[Country],Tabela1[[#This Row],[Country]],Table138[500m Classification],"&gt;0")</f>
        <v>0</v>
      </c>
      <c r="PF198" s="6">
        <f>COUNTIFS(Table138141[Country],Tabela1[[#This Row],[Country]],Table138141[500m Classification],"&gt;0")</f>
        <v>0</v>
      </c>
      <c r="PG198" s="6">
        <f>COUNTIFS(Table138[Country],Tabela1[[#This Row],[Country]],Table138[1000m Classification],"&gt;0")</f>
        <v>0</v>
      </c>
      <c r="PH198" s="6">
        <f>COUNTIFS(Table138141[Country],Tabela1[[#This Row],[Country]],Table138141[1000m Classification],"&gt;0")</f>
        <v>0</v>
      </c>
      <c r="PI198" s="6">
        <f>COUNTIFS(Table138[Country],Tabela1[[#This Row],[Country]],Table138[1500m Classification],"&gt;0")</f>
        <v>0</v>
      </c>
      <c r="PJ198" s="6">
        <f>COUNTIFS(Table138141[Country],Tabela1[[#This Row],[Country]],Table138141[1500m Classification],"&gt;0")</f>
        <v>0</v>
      </c>
      <c r="PK198" s="6">
        <f>COUNTIFS(Table141[Country],Tabela1[[#This Row],[Country]],Table141[Men''s 5000m Relay Classification],"&gt;0")</f>
        <v>0</v>
      </c>
      <c r="PL198" s="6">
        <f>COUNTIFS(Table141[Country],Tabela1[[#This Row],[Country]],Table141[Women''s 3000m Relay Classification],"&gt;0")</f>
        <v>0</v>
      </c>
      <c r="PM198" s="6">
        <f>COUNTIFS(Table141[Country],Tabela1[[#This Row],[Country]],Table141[Mixed 2000m Relay Classification],"&gt;0")</f>
        <v>0</v>
      </c>
      <c r="PN198" s="6">
        <f>COUNTIFS(Table142[Country],Tabela1[[#This Row],[Country]],Table142[Classification],"&gt;0")</f>
        <v>0</v>
      </c>
      <c r="PO198" s="6">
        <f>COUNTIFS(Table142145[Country],Tabela1[[#This Row],[Country]],Table142145[Classification],"&gt;0")</f>
        <v>0</v>
      </c>
      <c r="PP198" s="6">
        <f>COUNTIFS(Tabela15[Country],Tabela1[[#This Row],[Country]],Tabela15[Mixed Team Classification],"&gt;0")</f>
        <v>0</v>
      </c>
      <c r="PQ198" s="6">
        <f>COUNTIFS(Table145[Country],Tabela1[[#This Row],[Country]],Table145[Large Hill Classification],"&gt;0")</f>
        <v>0</v>
      </c>
      <c r="PR198" s="6">
        <f>COUNTIFS(Table145[Country],Tabela1[[#This Row],[Country]],Table145[Normal Hill Classification],"&gt;0")</f>
        <v>0</v>
      </c>
      <c r="PS198" s="6">
        <f>COUNTIFS(Table145148[Country],Tabela1[[#This Row],[Country]],Table145148[Large Hill Classification],"&gt;0")</f>
        <v>0</v>
      </c>
      <c r="PT198" s="6">
        <f>COUNTIFS(Table145148[Country],Tabela1[[#This Row],[Country]],Table145148[Normal Hill Classification],"&gt;0")</f>
        <v>0</v>
      </c>
      <c r="PU198" s="6">
        <f>COUNTIFS(Table148[Country],Tabela1[[#This Row],[Country]],Table148[Men''s Super Team Classification],"&gt;0")</f>
        <v>0</v>
      </c>
      <c r="PV198" s="6">
        <f>COUNTIFS(Tabela114[Country],Tabela1[[#This Row],[Country]],Tabela114[Mixed Normal Hill Classification],"&gt;0")</f>
        <v>0</v>
      </c>
      <c r="PW198" s="6">
        <f>COUNTIFS(Tabela50[Country],Tabela1[[#This Row],[Country]],Tabela50[Sprint Classification],"&gt;0")</f>
        <v>0</v>
      </c>
      <c r="PX198" s="6">
        <f>COUNTIFS(Tabela50101[Country],Tabela1[[#This Row],[Country]],Tabela50101[Sprint Classification],"&gt;0")</f>
        <v>0</v>
      </c>
      <c r="PY198" s="6">
        <f>COUNTIFS(Tabela103[Country],Tabela1[[#This Row],[Country]],Tabela103[Mixed Relay Classification],"&gt;0")</f>
        <v>0</v>
      </c>
      <c r="PZ198" s="6">
        <f>COUNTIFS(Table149[Country],Tabela1[[#This Row],[Country]],Table149[Big Air Classification],"&gt;0")</f>
        <v>0</v>
      </c>
      <c r="QA198" s="6">
        <f>COUNTIFS(Table149152[Country],Tabela1[[#This Row],[Country]],Table149152[Big Air Classification],"&gt;0")</f>
        <v>0</v>
      </c>
      <c r="QB198" s="6">
        <f>COUNTIFS(Table149[Country],Tabela1[[#This Row],[Country]],Table149[Halfpipe Classification],"&gt;0")</f>
        <v>0</v>
      </c>
      <c r="QC198" s="6">
        <f>COUNTIFS(Table149152[Country],Tabela1[[#This Row],[Country]],Table149152[Halfpipe Classification],"&gt;0")</f>
        <v>0</v>
      </c>
      <c r="QD198" s="6">
        <f>COUNTIFS(Table149[Country],Tabela1[[#This Row],[Country]],Table149[Parallel Giant Slalom Classification],"&gt;0")</f>
        <v>0</v>
      </c>
      <c r="QE198" s="6">
        <f>COUNTIFS(Table149152[Country],Tabela1[[#This Row],[Country]],Table149152[Parallel Giant Slalom Classification],"&gt;0")</f>
        <v>0</v>
      </c>
      <c r="QF198" s="6">
        <f>COUNTIFS(Table149[Country],Tabela1[[#This Row],[Country]],Table149[Slopestyle Classification],"&gt;0")</f>
        <v>0</v>
      </c>
      <c r="QG198" s="6">
        <f>COUNTIFS(Table149152[Country],Tabela1[[#This Row],[Country]],Table149152[Slopestyle Classification],"&gt;0")</f>
        <v>0</v>
      </c>
      <c r="QH198" s="6">
        <f>COUNTIFS(Table149[Country],Tabela1[[#This Row],[Country]],Table149[Snowboard Cross Classification],"&gt;0")</f>
        <v>0</v>
      </c>
      <c r="QI198" s="6">
        <f>COUNTIFS(Table149152[Country],Tabela1[[#This Row],[Country]],Table149152[Snowboard Cross Classification],"&gt;0")</f>
        <v>0</v>
      </c>
      <c r="QJ198" s="6">
        <f>COUNTIFS(Table153[Country],Tabela1[[#This Row],[Country]],Table153[Mixed Team Snowboard Cross Classification],"&gt;0")</f>
        <v>0</v>
      </c>
      <c r="QK198" s="6">
        <f>COUNTIFS(Table154[Country],Tabela1[[#This Row],[Country]],Table154[500m Classification],"&gt;0")</f>
        <v>0</v>
      </c>
      <c r="QL198" s="6">
        <f>COUNTIFS(Table154157[Country],Tabela1[[#This Row],[Country]],Table154157[500m Classification],"&gt;0")</f>
        <v>0</v>
      </c>
      <c r="QM198" s="6">
        <f>COUNTIFS(Table154[Country],Tabela1[[#This Row],[Country]],Table154[1000m Classification],"&gt;0")</f>
        <v>0</v>
      </c>
      <c r="QN198" s="6">
        <f>COUNTIFS(Table154157[Country],Tabela1[[#This Row],[Country]],Table154157[1000m Classification],"&gt;0")</f>
        <v>0</v>
      </c>
      <c r="QO198" s="6">
        <f>COUNTIFS(Table154[Country],Tabela1[[#This Row],[Country]],Table154[1500m Classification],"&gt;0")</f>
        <v>0</v>
      </c>
      <c r="QP198" s="6">
        <f>COUNTIFS(Table154157[Country],Tabela1[[#This Row],[Country]],Table154157[1500m Classification],"&gt;0")</f>
        <v>0</v>
      </c>
      <c r="QQ198" s="6">
        <f>COUNTIFS(Table154157[Country],Tabela1[[#This Row],[Country]],Table154157[3000m Classification],"&gt;0")</f>
        <v>0</v>
      </c>
      <c r="QR198" s="6">
        <f>COUNTIFS(Table154[Country],Tabela1[[#This Row],[Country]],Table154[5000m Classification],"&gt;0")</f>
        <v>0</v>
      </c>
      <c r="QS198" s="6">
        <f>COUNTIFS(Table154157[Country],Tabela1[[#This Row],[Country]],Table154157[5000m Classification],"&gt;0")</f>
        <v>0</v>
      </c>
      <c r="QT198" s="6">
        <f>COUNTIFS(Table154[Country],Tabela1[[#This Row],[Country]],Table154[10000m Classification],"&gt;0")</f>
        <v>0</v>
      </c>
      <c r="QU198" s="6">
        <f>COUNTIFS(Table154[Country],Tabela1[[#This Row],[Country]],Table154[Mass Start Classification],"&gt;0")</f>
        <v>0</v>
      </c>
      <c r="QV198" s="6">
        <f>COUNTIFS(Table154157[Country],Tabela1[[#This Row],[Country]],Table154157[Mass Start Classification],"&gt;0")</f>
        <v>0</v>
      </c>
      <c r="QW198" s="6">
        <f>COUNTIFS(Table157[Country],Tabela1[[#This Row],[Country]],Table157[Men''s Pursuit Classification],"&gt;0")</f>
        <v>0</v>
      </c>
      <c r="QX198" s="6">
        <f>COUNTIFS(Table157[Country],Tabela1[[#This Row],[Country]],Table157[Women''s Pursuit Classification],"&gt;0")</f>
        <v>0</v>
      </c>
      <c r="QY198" s="3" t="s">
        <v>687</v>
      </c>
    </row>
    <row r="199" spans="1:467" x14ac:dyDescent="0.3">
      <c r="A199" s="6">
        <v>198</v>
      </c>
      <c r="B199" s="6" t="s">
        <v>692</v>
      </c>
      <c r="C199" t="e" vm="198">
        <f>IF(ISBLANK(Tabela1[[#This Row],[Image Link]]), "", _xlfn.IMAGE(Tabela1[[#This Row],[Image Link]],1,1))</f>
        <v>#VALUE!</v>
      </c>
      <c r="D199" s="6">
        <f>SUM(Tabela1[[#This Row],[Archery - Men''s Individual Recurve]:[Speed Skating - Women''s Team Pursuit]])</f>
        <v>0</v>
      </c>
      <c r="E199" s="6">
        <f>COUNTIF(Tabela1[[#This Row],[Archery - Men''s Individual Recurve]:[Speed Skating - Women''s Team Pursuit]],"&gt;0")</f>
        <v>0</v>
      </c>
      <c r="F199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199" s="6">
        <f>SUM(Tabela1[[#This Row],[Archery - Men''s Individual Recurve]:[Wrestling - Women''s Freestyle 76kg]])</f>
        <v>0</v>
      </c>
      <c r="H199" s="6">
        <f>SUM(Tabela1[[#This Row],[Alpine Skiing - Men''s Downhill]:[Speed Skating - Women''s Team Pursuit]])</f>
        <v>0</v>
      </c>
      <c r="I199" s="6">
        <f>Tabela1[[#This Row],[Summer Gold Medals]]+Tabela1[[#This Row],[Winter Gold Medals]]</f>
        <v>0</v>
      </c>
      <c r="J199" s="6">
        <f>Tabela1[[#This Row],[Summer Silver Medals]]+Tabela1[[#This Row],[Winter Silver Medals]]</f>
        <v>0</v>
      </c>
      <c r="K199" s="6">
        <f>Tabela1[[#This Row],[Summer Bronze Medals]]+Tabela1[[#This Row],[Winter Bronze Medals]]</f>
        <v>0</v>
      </c>
      <c r="L199" s="6">
        <f>SUM(Tabela1[[#This Row],[Total Gold Medals]:[Total Bronze Medals]])</f>
        <v>0</v>
      </c>
      <c r="M199" s="6"/>
      <c r="N199" s="6"/>
      <c r="O199" s="6"/>
      <c r="P199" s="6">
        <f>SUM(Tabela1[[#This Row],[Summer Gold Medals]:[Summer Bronze Medals]])</f>
        <v>0</v>
      </c>
      <c r="Q199" s="6"/>
      <c r="R199" s="6"/>
      <c r="S199" s="6"/>
      <c r="T199" s="6">
        <f>Tabela1[[#This Row],[Winter Gold Medals]]+Tabela1[[#This Row],[Winter Silver Medals]]+Tabela1[[#This Row],[Winter Bronze Medals]]</f>
        <v>0</v>
      </c>
      <c r="U199" s="7" t="e">
        <f>Tabela1[[#This Row],[Total Medals]]/Tabela1[[#This Row],[Total Quotas]]</f>
        <v>#DIV/0!</v>
      </c>
      <c r="V199" s="6">
        <f>COUNTIFS(Table3[Country],Tabela1[[#This Row],[Country]],Table3[Recurve Classification],"&gt;0")</f>
        <v>0</v>
      </c>
      <c r="W199" s="6">
        <f>COUNTIFS(Table33[Country],Tabela1[[#This Row],[Country]],Table33[Recurve Classification],"&gt;0")</f>
        <v>0</v>
      </c>
      <c r="X199" s="6">
        <f>COUNTIFS(Table35[Country],Tabela1[[#This Row],[Country]],Table35[Men''s Team Recurve Classification],"&gt;0")</f>
        <v>0</v>
      </c>
      <c r="Y199" s="6">
        <f>COUNTIFS(Table35[Country],Tabela1[[#This Row],[Country]],Table35[Women''s Team Recurve Classification],"&gt;0")</f>
        <v>0</v>
      </c>
      <c r="Z199" s="6">
        <f>COUNTIFS(Tabela88[Country],Tabela1[[#This Row],[Country]],Tabela88[Mixed Team Recurve Classification],"&gt;0")</f>
        <v>0</v>
      </c>
      <c r="AA199" s="6">
        <f>COUNTIFS(Table36[Country],Tabela1[[#This Row],[Country]],Table36[Classification],"&gt;0")</f>
        <v>0</v>
      </c>
      <c r="AB199" s="6">
        <f>COUNTIFS(Table37[Country],Tabela1[[#This Row],[Country]],Table37[Classification],"&gt;0")</f>
        <v>0</v>
      </c>
      <c r="AC199" s="6">
        <f>COUNTIFS(Table4[Country],Tabela1[[#This Row],[Country]],Table4[100m Classification],"&gt;0")</f>
        <v>0</v>
      </c>
      <c r="AD199" s="6">
        <f>COUNTIFS(Table5[Country],Tabela1[[#This Row],[Country]],Table5[100m Classification],"&gt;0")</f>
        <v>0</v>
      </c>
      <c r="AE199" s="6">
        <f>COUNTIFS(Table4[Country],Tabela1[[#This Row],[Country]],Table4[200m Classification],"&gt;0")</f>
        <v>0</v>
      </c>
      <c r="AF199" s="6">
        <f>COUNTIFS(Table5[Country],Tabela1[[#This Row],[Country]],Table5[200m Classification],"&gt;0")</f>
        <v>0</v>
      </c>
      <c r="AG199" s="6">
        <f>COUNTIFS(Table4[Country],Tabela1[[#This Row],[Country]],Table4[400m Classification],"&gt;0")</f>
        <v>0</v>
      </c>
      <c r="AH199" s="6">
        <f>COUNTIFS(Table5[Country],Tabela1[[#This Row],[Country]],Table5[400m Classification],"&gt;0")</f>
        <v>0</v>
      </c>
      <c r="AI199" s="6">
        <f>COUNTIFS(Table4[Country],Tabela1[[#This Row],[Country]],Table4[800m Classification],"&gt;0")</f>
        <v>0</v>
      </c>
      <c r="AJ199" s="6">
        <f>COUNTIFS(Table5[Country],Tabela1[[#This Row],[Country]],Table5[800m Classification],"&gt;0")</f>
        <v>0</v>
      </c>
      <c r="AK199" s="6">
        <f>COUNTIFS(Table4[Country],Tabela1[[#This Row],[Country]],Table4[1500m Classification],"&gt;0")</f>
        <v>0</v>
      </c>
      <c r="AL199" s="6">
        <f>COUNTIFS(Table5[Country],Tabela1[[#This Row],[Country]],Table5[1500m Classification],"&gt;0")</f>
        <v>0</v>
      </c>
      <c r="AM199" s="6">
        <f>COUNTIFS(Table4[Country],Tabela1[[#This Row],[Country]],Table4[5000m Classification],"&gt;0")</f>
        <v>0</v>
      </c>
      <c r="AN199" s="6">
        <f>COUNTIFS(Table5[Country],Tabela1[[#This Row],[Country]],Table5[5000m Classification],"&gt;0")</f>
        <v>0</v>
      </c>
      <c r="AO199" s="6">
        <f>COUNTIFS(Table4[Country],Tabela1[[#This Row],[Country]],Table4[10000m Classification],"&gt;0")</f>
        <v>0</v>
      </c>
      <c r="AP199" s="6">
        <f>COUNTIFS(Table5[Country],Tabela1[[#This Row],[Country]],Table5[10000m Classification],"&gt;0")</f>
        <v>0</v>
      </c>
      <c r="AQ199" s="6">
        <f>COUNTIFS(Table4[Country],Tabela1[[#This Row],[Country]],Table4[110m Hurdles Classification],"&gt;0")</f>
        <v>0</v>
      </c>
      <c r="AR199" s="6">
        <f>COUNTIFS(Table5[Country],Tabela1[[#This Row],[Country]],Table5[100m Hurdles Classification],"&gt;0")</f>
        <v>0</v>
      </c>
      <c r="AS199" s="6">
        <f>COUNTIFS(Table4[Country],Tabela1[[#This Row],[Country]],Table4[400m Hurdles Classification],"&gt;0")</f>
        <v>0</v>
      </c>
      <c r="AT199" s="6">
        <f>COUNTIFS(Table5[Country],Tabela1[[#This Row],[Country]],Table5[400m Hurdles Classification],"&gt;0")</f>
        <v>0</v>
      </c>
      <c r="AU199" s="6">
        <f>COUNTIFS(Table4[Country],Tabela1[[#This Row],[Country]],Table4[3000m Steeplechase Classification],"&gt;0")</f>
        <v>0</v>
      </c>
      <c r="AV199" s="6">
        <f>COUNTIFS(Table5[Country],Tabela1[[#This Row],[Country]],Table5[3000m Steeplechase Classification],"&gt;0")</f>
        <v>0</v>
      </c>
      <c r="AW199" s="6">
        <f>COUNTIFS(Table27[Country],Tabela1[[#This Row],[Country]],Table27[Men''s 4x100m Relay Classification],"&gt;0")</f>
        <v>0</v>
      </c>
      <c r="AX199" s="6">
        <f>COUNTIFS(Table27[Country],Tabela1[[#This Row],[Country]],Table27[Women''s 4x100m Relay Classification],"&gt;0")</f>
        <v>0</v>
      </c>
      <c r="AY199" s="6">
        <f>COUNTIFS(Table27[Country],Tabela1[[#This Row],[Country]],Table27[Men''s 4x400m Relay Classification],"&gt;0")</f>
        <v>0</v>
      </c>
      <c r="AZ199" s="6">
        <f>COUNTIFS(Table27[Country],Tabela1[[#This Row],[Country]],Table27[Women''s 4x400m Relay Classification],"&gt;0")</f>
        <v>0</v>
      </c>
      <c r="BA199" s="6">
        <f>COUNTIFS(Table27[Country],Tabela1[[#This Row],[Country]],Table27[Mixed 4x400m Relay Classification],"&gt;0")</f>
        <v>0</v>
      </c>
      <c r="BB199" s="6">
        <f>COUNTIFS(Table4[Country],Tabela1[[#This Row],[Country]],Table4[Marathon Classification],"&gt;0")</f>
        <v>0</v>
      </c>
      <c r="BC199" s="6">
        <f>COUNTIFS(Table5[Country],Tabela1[[#This Row],[Country]],Table5[Marathon Classification],"&gt;0")</f>
        <v>0</v>
      </c>
      <c r="BD199" s="6">
        <f>COUNTIFS(Table4[Country],Tabela1[[#This Row],[Country]],Table4[20km Race Walk Classification],"&gt;0")</f>
        <v>0</v>
      </c>
      <c r="BE199" s="6">
        <f>COUNTIFS(Table5[Country],Tabela1[[#This Row],[Country]],Table5[20km Race Walk Classification],"&gt;0")</f>
        <v>0</v>
      </c>
      <c r="BF199" s="6">
        <f>COUNTIFS(Tabela96[Country],Tabela1[[#This Row],[Country]],Tabela96[Mixed Marathon Race Walk Relay Classification],"&gt;0")</f>
        <v>0</v>
      </c>
      <c r="BG199" s="6">
        <f>COUNTIFS(Table4[Country],Tabela1[[#This Row],[Country]],Table4[Discus Throw Classification],"&gt;0")</f>
        <v>0</v>
      </c>
      <c r="BH199" s="6">
        <f>COUNTIFS(Table5[Country],Tabela1[[#This Row],[Country]],Table5[Discus Throw Classification],"&gt;0")</f>
        <v>0</v>
      </c>
      <c r="BI199" s="6">
        <f>COUNTIFS(Table4[Country],Tabela1[[#This Row],[Country]],Table4[Hammer Throw Classification],"&gt;0")</f>
        <v>0</v>
      </c>
      <c r="BJ199" s="6">
        <f>COUNTIFS(Table5[Country],Tabela1[[#This Row],[Country]],Table5[Hammer Throw Classification],"&gt;0")</f>
        <v>0</v>
      </c>
      <c r="BK199" s="6">
        <f>COUNTIFS(Table4[Country],Tabela1[[#This Row],[Country]],Table4[High Jump Classification],"&gt;0")</f>
        <v>0</v>
      </c>
      <c r="BL199" s="6">
        <f>COUNTIFS(Table5[Country],Tabela1[[#This Row],[Country]],Table5[High Jump Classification],"&gt;0")</f>
        <v>0</v>
      </c>
      <c r="BM199" s="6">
        <f>COUNTIFS(Table4[Country],Tabela1[[#This Row],[Country]],Table4[Javelin Throw Classification],"&gt;0")</f>
        <v>0</v>
      </c>
      <c r="BN199" s="6">
        <f>COUNTIFS(Table5[Country],Tabela1[[#This Row],[Country]],Table5[Javelin Throw Classification],"&gt;0")</f>
        <v>0</v>
      </c>
      <c r="BO199" s="6">
        <f>COUNTIFS(Table4[Country],Tabela1[[#This Row],[Country]],Table4[Long Jump Classification],"&gt;0")</f>
        <v>0</v>
      </c>
      <c r="BP199" s="6">
        <f>COUNTIFS(Table5[Country],Tabela1[[#This Row],[Country]],Table5[Long Jump Classification],"&gt;0")</f>
        <v>0</v>
      </c>
      <c r="BQ199" s="6">
        <f>COUNTIFS(Table4[Country],Tabela1[[#This Row],[Country]],Table4[Pole Vault Classification],"&gt;0")</f>
        <v>0</v>
      </c>
      <c r="BR199" s="6">
        <f>COUNTIFS(Table5[Country],Tabela1[[#This Row],[Country]],Table5[Pole Vault Classification],"&gt;0")</f>
        <v>0</v>
      </c>
      <c r="BS199" s="6">
        <f>COUNTIFS(Table4[Country],Tabela1[[#This Row],[Country]],Table4[Shot Put Classification],"&gt;0")</f>
        <v>0</v>
      </c>
      <c r="BT199" s="6">
        <f>COUNTIFS(Table5[Country],Tabela1[[#This Row],[Country]],Table5[Shot Put Classification],"&gt;0")</f>
        <v>0</v>
      </c>
      <c r="BU199" s="6">
        <f>COUNTIFS(Table4[Country],Tabela1[[#This Row],[Country]],Table4[Triple Jump Classification],"&gt;0")</f>
        <v>0</v>
      </c>
      <c r="BV199" s="6">
        <f>COUNTIFS(Table5[Country],Tabela1[[#This Row],[Country]],Table5[Triple Jump Classification],"&gt;0")</f>
        <v>0</v>
      </c>
      <c r="BW199" s="6">
        <f>COUNTIFS(Table4[Country],Tabela1[[#This Row],[Country]],Table4[Decathlon Classification],"&gt;0")</f>
        <v>0</v>
      </c>
      <c r="BX199" s="6">
        <f>COUNTIFS(Table5[Country],Tabela1[[#This Row],[Country]],Table5[Heptathlon Classification],"&gt;0")</f>
        <v>0</v>
      </c>
      <c r="BY199" s="6">
        <f>COUNTIFS(Table61[Country],Tabela1[[#This Row],[Country]],Table61[Classification],"&gt;0")</f>
        <v>0</v>
      </c>
      <c r="BZ199" s="6">
        <f>COUNTIFS(Table38[Country],Tabela1[[#This Row],[Country]],Table38[Classification],"&gt;0")</f>
        <v>0</v>
      </c>
      <c r="CA199" s="6">
        <f>COUNTIFS(Table39[Country],Tabela1[[#This Row],[Country]],Table39[Men''s Classification],"&gt;0")</f>
        <v>0</v>
      </c>
      <c r="CB199" s="6">
        <f>COUNTIFS(Table39[Country],Tabela1[[#This Row],[Country]],Table39[Women''s Classification],"&gt;0")</f>
        <v>0</v>
      </c>
      <c r="CC199" s="6">
        <f>COUNTIFS(Table39[Country],Tabela1[[#This Row],[Country]],Table39[Mixed Classification],"&gt;0")</f>
        <v>0</v>
      </c>
      <c r="CD199" s="6">
        <f>COUNTIFS(Table89[Country],Tabela1[[#This Row],[Country]],Table89[Men''s Classification],"&gt;0")</f>
        <v>0</v>
      </c>
      <c r="CE199" s="6">
        <f>COUNTIFS(Table89[Country],Tabela1[[#This Row],[Country]],Table89[Women''s Classification],"&gt;0")</f>
        <v>0</v>
      </c>
      <c r="CF199" s="6">
        <f>COUNTIFS(Table90[Country],Tabela1[[#This Row],[Country]],Table90[Men''s Classification],"&gt;0")</f>
        <v>0</v>
      </c>
      <c r="CG199" s="6">
        <f>COUNTIFS(Table90[Country],Tabela1[[#This Row],[Country]],Table90[Women''s Classification],"&gt;0")</f>
        <v>0</v>
      </c>
      <c r="CH199" s="6">
        <f>COUNTIFS(Table60[Country],Tabela1[[#This Row],[Country]],Table60[Men''s Classification],"&gt;0")</f>
        <v>0</v>
      </c>
      <c r="CI199" s="6">
        <f>COUNTIFS(Table60[Country],Tabela1[[#This Row],[Country]],Table60[Women''s Classification],"&gt;0")</f>
        <v>0</v>
      </c>
      <c r="CJ199" s="6">
        <f>COUNTIFS(Table6[Country],Tabela1[[#This Row],[Country]],Table6[51kg Classification],"&gt;0")</f>
        <v>0</v>
      </c>
      <c r="CK199" s="6">
        <f>COUNTIFS(Table6[Country],Tabela1[[#This Row],[Country]],Table6[57kg Classification],"&gt;0")</f>
        <v>0</v>
      </c>
      <c r="CL199" s="6">
        <f>COUNTIFS(Table6[Country],Tabela1[[#This Row],[Country]],Table6[63.5kg Classification],"&gt;0")</f>
        <v>0</v>
      </c>
      <c r="CM199" s="6">
        <f>COUNTIFS(Table6[Country],Tabela1[[#This Row],[Country]],Table6[71kg Classification],"&gt;0")</f>
        <v>0</v>
      </c>
      <c r="CN199" s="6">
        <f>COUNTIFS(Table6[Country],Tabela1[[#This Row],[Country]],Table6[80kg Classification],"&gt;0")</f>
        <v>0</v>
      </c>
      <c r="CO199" s="6">
        <f>COUNTIFS(Table6[Country],Tabela1[[#This Row],[Country]],Table6[92kg Classification],"&gt;0")</f>
        <v>0</v>
      </c>
      <c r="CP199" s="6">
        <f>COUNTIFS(Table6[Country],Tabela1[[#This Row],[Country]],Table6[Plus 92kg Classification],"&gt;0")</f>
        <v>0</v>
      </c>
      <c r="CQ199" s="6">
        <f>COUNTIFS(Table7[Country],Tabela1[[#This Row],[Country]],Table7[50kg Classification],"&gt;0")</f>
        <v>0</v>
      </c>
      <c r="CR199" s="6">
        <f>COUNTIFS(Table7[Country],Tabela1[[#This Row],[Country]],Table7[54kg Classification],"&gt;0")</f>
        <v>0</v>
      </c>
      <c r="CS199" s="6">
        <f>COUNTIFS(Table7[Country],Tabela1[[#This Row],[Country]],Table7[57kg Classification],"&gt;0")</f>
        <v>0</v>
      </c>
      <c r="CT199" s="6">
        <f>COUNTIFS(Table7[Country],Tabela1[[#This Row],[Country]],Table7[60kg Classification],"&gt;0")</f>
        <v>0</v>
      </c>
      <c r="CU199" s="6">
        <f>COUNTIFS(Table7[Country],Tabela1[[#This Row],[Country]],Table7[66kg Classification],"&gt;0")</f>
        <v>0</v>
      </c>
      <c r="CV199" s="6">
        <f>COUNTIFS(Table7[Country],Tabela1[[#This Row],[Country]],Table7[75kg Classification],"&gt;0")</f>
        <v>0</v>
      </c>
      <c r="CW199" s="6">
        <f>COUNTIFS(Tabela94[Country],Tabela1[[#This Row],[Country]],Tabela94[Classification],"&gt;0")</f>
        <v>0</v>
      </c>
      <c r="CX199" s="6">
        <f>COUNTIFS(Tabela9499[Country],Tabela1[[#This Row],[Country]],Tabela9499[Classification],"&gt;0")</f>
        <v>0</v>
      </c>
      <c r="CY199" s="6">
        <f>COUNTIFS(Tabela107[Country],Tabela1[[#This Row],[Country]],Tabela107[C1 Slalom Classification],"&gt;0")</f>
        <v>0</v>
      </c>
      <c r="CZ199" s="6">
        <f>COUNTIFS(Tabela107122[Country],Tabela1[[#This Row],[Country]],Tabela107122[C1 Slalom Classification],"&gt;0")</f>
        <v>0</v>
      </c>
      <c r="DA199" s="6">
        <f>COUNTIFS(Tabela107[Country],Tabela1[[#This Row],[Country]],Tabela107[K1 Slalom Classification],"&gt;0")</f>
        <v>0</v>
      </c>
      <c r="DB199" s="6">
        <f>COUNTIFS(Tabela107122[Country],Tabela1[[#This Row],[Country]],Tabela107122[K1 Slalom Classification],"&gt;0")</f>
        <v>0</v>
      </c>
      <c r="DC199" s="6">
        <f>COUNTIFS(Tabela107[Country],Tabela1[[#This Row],[Country]],Tabela107[Kayak Cross Slalom Classification],"&gt;0")</f>
        <v>0</v>
      </c>
      <c r="DD199" s="6">
        <f>COUNTIFS(Tabela107122[Country],Tabela1[[#This Row],[Country]],Tabela107122[Kayak Cross Slalom Classification],"&gt;0")</f>
        <v>0</v>
      </c>
      <c r="DE199" s="6">
        <f>COUNTIFS(Table8[Country],Tabela1[[#This Row],[Country]],Table8[C1 200m Classification],"&gt;0")</f>
        <v>0</v>
      </c>
      <c r="DF199" s="6">
        <f>COUNTIFS(Table40[Country],Tabela1[[#This Row],[Country]],Table40[C1 1000m Classification],"&gt;0")</f>
        <v>0</v>
      </c>
      <c r="DG199" s="6">
        <f>COUNTIFS(Table68[Country],Tabela1[[#This Row],[Country]],Table68[Men''s C2 500m Classification],"&gt;0")</f>
        <v>0</v>
      </c>
      <c r="DH199" s="6">
        <f>COUNTIFS(Table68[Country],Tabela1[[#This Row],[Country]],Table68[Women''s C2 500m Classification],"&gt;0")</f>
        <v>0</v>
      </c>
      <c r="DI199" s="6">
        <f>COUNTIFS(Table8[Country],Tabela1[[#This Row],[Country]],Table8[K1 500m Classification],"&gt;0")</f>
        <v>0</v>
      </c>
      <c r="DJ199" s="6">
        <f>COUNTIFS(Table40[Country],Tabela1[[#This Row],[Country]],Table40[K1 1000m Classification],"&gt;0")</f>
        <v>0</v>
      </c>
      <c r="DK199" s="6">
        <f>COUNTIFS(Table68[Country],Tabela1[[#This Row],[Country]],Table68[Men''s K2 500m Classification],"&gt;0")</f>
        <v>0</v>
      </c>
      <c r="DL199" s="6">
        <f>COUNTIFS(Table68[Country],Tabela1[[#This Row],[Country]],Table68[Women''s K2 500m Classification],"&gt;0")</f>
        <v>0</v>
      </c>
      <c r="DM199" s="6">
        <f>COUNTIFS(Table83[Country],Tabela1[[#This Row],[Country]],Table83[Men''s K4 500m Classification],"&gt;0")</f>
        <v>0</v>
      </c>
      <c r="DN199" s="6">
        <f>COUNTIFS(Table83[Country],Tabela1[[#This Row],[Country]],Table83[Women''s K4 500m Classification],"&gt;0")</f>
        <v>0</v>
      </c>
      <c r="DO199" s="6">
        <f>COUNTIFS(Tabela126[Country],Tabela1[[#This Row],[Country]],Tabela126[Classification],"&gt;0")</f>
        <v>0</v>
      </c>
      <c r="DP199" s="6">
        <f>COUNTIFS(Tabela126130[Country],Tabela1[[#This Row],[Country]],Tabela126130[Classification],"&gt;0")</f>
        <v>0</v>
      </c>
      <c r="DQ199" s="6">
        <f>COUNTIFS(Table70[Country],Tabela1[[#This Row],[Country]],Table70[Classification],"&gt;0")</f>
        <v>0</v>
      </c>
      <c r="DR199" s="6">
        <f>COUNTIFS(Table80[Country],Tabela1[[#This Row],[Country]],Table80[Classification],"&gt;0")</f>
        <v>0</v>
      </c>
      <c r="DS199" s="6">
        <f>COUNTIFS(Table66[Country],Tabela1[[#This Row],[Country]],Table66[Classification],"&gt;0")</f>
        <v>0</v>
      </c>
      <c r="DT199" s="6">
        <f>COUNTIFS(Table67[Country],Tabela1[[#This Row],[Country]],Table67[Classification],"&gt;0")</f>
        <v>0</v>
      </c>
      <c r="DU199" s="6">
        <f>COUNTIFS(Table69[Country],Tabela1[[#This Row],[Country]],Table69[Keirin Classification],"&gt;0")</f>
        <v>0</v>
      </c>
      <c r="DV199" s="6">
        <f>COUNTIFS(Table41[Country],Tabela1[[#This Row],[Country]],Table41[Keirin Classification],"&gt;0")</f>
        <v>0</v>
      </c>
      <c r="DW199" s="6">
        <f>COUNTIFS(Table84[Country],Tabela1[[#This Row],[Country]],Table84[Men''s Madison Classification],"&gt;0")</f>
        <v>0</v>
      </c>
      <c r="DX199" s="6">
        <f>COUNTIFS(Table84[Country],Tabela1[[#This Row],[Country]],Table84[Women''s Madison Classification],"&gt;0")</f>
        <v>0</v>
      </c>
      <c r="DY199" s="6">
        <f>COUNTIFS(Table69[Country],Tabela1[[#This Row],[Country]],Table69[Omnium Classification],"&gt;0")</f>
        <v>0</v>
      </c>
      <c r="DZ199" s="6">
        <f>COUNTIFS(Table41[Country],Tabela1[[#This Row],[Country]],Table41[Omnium Classification],"&gt;0")</f>
        <v>0</v>
      </c>
      <c r="EA199" s="6">
        <f>COUNTIFS(Table9[Country],Tabela1[[#This Row],[Country]],Table9[Road Race Classification],"&gt;0")</f>
        <v>0</v>
      </c>
      <c r="EB199" s="6">
        <f>COUNTIFS(Table14[Country],Tabela1[[#This Row],[Country]],Table14[Road Race Classification],"&gt;0")</f>
        <v>0</v>
      </c>
      <c r="EC199" s="6">
        <f>COUNTIFS(Table69[Country],Tabela1[[#This Row],[Country]],Table69[Sprint Classification],"&gt;0")</f>
        <v>0</v>
      </c>
      <c r="ED199" s="6">
        <f>COUNTIFS(Table41[Country],Tabela1[[#This Row],[Country]],Table41[Sprint Classification],"&gt;0")</f>
        <v>0</v>
      </c>
      <c r="EE199" s="6">
        <f>COUNTIFS(Table85[Country],Tabela1[[#This Row],[Country]],Table85[Men''s Sprint Classification],"&gt;0")</f>
        <v>0</v>
      </c>
      <c r="EF199" s="6">
        <f>COUNTIFS(Table85[Country],Tabela1[[#This Row],[Country]],Table85[Women''s Sprint Classification],"&gt;0")</f>
        <v>0</v>
      </c>
      <c r="EG199" s="6">
        <f>COUNTIFS(Table85[Country],Tabela1[[#This Row],[Country]],Table85[Men''s Pursuit Classification],"&gt;0")</f>
        <v>0</v>
      </c>
      <c r="EH199" s="6">
        <f>COUNTIFS(Table85[Country],Tabela1[[#This Row],[Country]],Table85[Women''s Pursuit Classification],"&gt;0")</f>
        <v>0</v>
      </c>
      <c r="EI199" s="6">
        <f>COUNTIFS(Table9[Country],Tabela1[[#This Row],[Country]],Table9[Time-Trial Classification],"&gt;0")</f>
        <v>0</v>
      </c>
      <c r="EJ199" s="6">
        <f>COUNTIFS(Table14[Country],Tabela1[[#This Row],[Country]],Table14[Time-Trial Classification],"&gt;0")</f>
        <v>0</v>
      </c>
      <c r="EK199" s="6">
        <f>COUNTIFS(Table42[Country],Tabela1[[#This Row],[Country]],Table42[Springboard Classification],"&gt;0")</f>
        <v>0</v>
      </c>
      <c r="EL199" s="6">
        <f>COUNTIFS(Table43[Country],Tabela1[[#This Row],[Country]],Table43[Springboard Classification],"&gt;0")</f>
        <v>0</v>
      </c>
      <c r="EM199" s="6">
        <f>COUNTIFS(Table42[Country],Tabela1[[#This Row],[Country]],Table42[Platform Classification],"&gt;0")</f>
        <v>0</v>
      </c>
      <c r="EN199" s="6">
        <f>COUNTIFS(Table43[Country],Tabela1[[#This Row],[Country]],Table43[Platform Classification],"&gt;0")</f>
        <v>0</v>
      </c>
      <c r="EO199" s="6">
        <f>COUNTIFS(Table86[Country],Tabela1[[#This Row],[Country]],Table86[Men''s Synchronized Springboard Classification],"&gt;0")</f>
        <v>0</v>
      </c>
      <c r="EP199" s="6">
        <f>COUNTIFS(Table86[Country],Tabela1[[#This Row],[Country]],Table86[Women''s Synchronized Springboard Classification],"&gt;0")</f>
        <v>0</v>
      </c>
      <c r="EQ199" s="6">
        <f>COUNTIFS(Table86[Country],Tabela1[[#This Row],[Country]],Table86[Men''s Synchronized Platform Classification],"&gt;0")</f>
        <v>0</v>
      </c>
      <c r="ER199" s="6">
        <f>COUNTIFS(Table86[Country],Tabela1[[#This Row],[Country]],Table86[Women''s Synchronized Platform Classification],"&gt;0")</f>
        <v>0</v>
      </c>
      <c r="ES199" s="6">
        <f>COUNTIFS(Table44[Country],Tabela1[[#This Row],[Country]],Table44[Dressage Classification],"&gt;0")</f>
        <v>0</v>
      </c>
      <c r="ET199" s="6">
        <f>COUNTIFS(Table45[Country],Tabela1[[#This Row],[Country]],Table45[Dressage Classification],"&gt;0")</f>
        <v>0</v>
      </c>
      <c r="EU199" s="6">
        <f>COUNTIFS(Table44[Country],Tabela1[[#This Row],[Country]],Table44[Eventing Classification],"&gt;0")</f>
        <v>0</v>
      </c>
      <c r="EV199" s="6">
        <f>COUNTIFS(Table45[Country],Tabela1[[#This Row],[Country]],Table45[Eventing Classification],"&gt;0")</f>
        <v>0</v>
      </c>
      <c r="EW199" s="6">
        <f>COUNTIFS(Table44[Country],Tabela1[[#This Row],[Country]],Table44[Jumping Classification],"&gt;0")</f>
        <v>0</v>
      </c>
      <c r="EX199" s="6">
        <f>COUNTIFS(Table45[Country],Tabela1[[#This Row],[Country]],Table45[Jumping Classification],"&gt;0")</f>
        <v>0</v>
      </c>
      <c r="EY199" s="6">
        <f>COUNTIFS(Table10[Country],Tabela1[[#This Row],[Country]],Table10[Épée Classification],"&gt;0")</f>
        <v>0</v>
      </c>
      <c r="EZ199" s="6">
        <f>COUNTIFS(Table11[Country],Tabela1[[#This Row],[Country]],Table11[Épée Classification],"&gt;0")</f>
        <v>0</v>
      </c>
      <c r="FA199" s="6">
        <f>COUNTIFS(Table46[Country],Tabela1[[#This Row],[Country]],Table46[Men''s Épée Classification],"&gt;0")</f>
        <v>0</v>
      </c>
      <c r="FB199" s="6">
        <f>COUNTIFS(Table46[Country],Tabela1[[#This Row],[Country]],Table46[Women''s Épée Classification],"&gt;0")</f>
        <v>0</v>
      </c>
      <c r="FC199" s="6">
        <f>COUNTIFS(Table10[Country],Tabela1[[#This Row],[Country]],Table10[Foil Classification],"&gt;0")</f>
        <v>0</v>
      </c>
      <c r="FD199" s="6">
        <f>COUNTIFS(Table11[Country],Tabela1[[#This Row],[Country]],Table11[Foil Classification],"&gt;0")</f>
        <v>0</v>
      </c>
      <c r="FE199" s="6">
        <f>COUNTIFS(Table46[Country],Tabela1[[#This Row],[Country]],Table46[Men''s Foil Classification],"&gt;0")</f>
        <v>0</v>
      </c>
      <c r="FF199" s="6">
        <f>COUNTIFS(Table46[Country],Tabela1[[#This Row],[Country]],Table46[Women''s Foil Classification],"&gt;0")</f>
        <v>0</v>
      </c>
      <c r="FG199" s="6">
        <f>COUNTIFS(Table10[Country],Tabela1[[#This Row],[Country]],Table10[Sabre Classification],"&gt;0")</f>
        <v>0</v>
      </c>
      <c r="FH199" s="6">
        <f>COUNTIFS(Table11[Country],Tabela1[[#This Row],[Country]],Table11[Sabre Classification],"&gt;0")</f>
        <v>0</v>
      </c>
      <c r="FI199" s="6">
        <f>COUNTIFS(Table46[Country],Tabela1[[#This Row],[Country]],Table46[Men''s Sabre Classification],"&gt;0")</f>
        <v>0</v>
      </c>
      <c r="FJ199" s="6">
        <f>COUNTIFS(Table46[Country],Tabela1[[#This Row],[Country]],Table46[Women''s Sabre Classification],"&gt;0")</f>
        <v>0</v>
      </c>
      <c r="FK199" s="6">
        <f>COUNTIFS(Table91[Country],Tabela1[[#This Row],[Country]],Table91[Men''s Classification],"&gt;0")</f>
        <v>0</v>
      </c>
      <c r="FL199" s="6">
        <f>COUNTIFS(Table91[Country],Tabela1[[#This Row],[Country]],Table91[Women''s Classification],"&gt;0")</f>
        <v>0</v>
      </c>
      <c r="FM199" s="6">
        <f>COUNTIFS(Table9194[Country],Tabela1[[#This Row],[Country]],Table9194[Men''s Classification],"&gt;0")</f>
        <v>0</v>
      </c>
      <c r="FN199" s="6">
        <f>COUNTIFS(Table9194[Country],Tabela1[[#This Row],[Country]],Table9194[Women''s Classification],"&gt;0")</f>
        <v>0</v>
      </c>
      <c r="FO199" s="6">
        <f>COUNTIFS(Table71[Country],Tabela1[[#This Row],[Country]],Table71[Classification],"&gt;0")</f>
        <v>0</v>
      </c>
      <c r="FP199" s="6">
        <f>COUNTIFS(Table62[Country],Tabela1[[#This Row],[Country]],Table62[Classification],"&gt;0")</f>
        <v>0</v>
      </c>
      <c r="FQ199" s="6">
        <f>COUNTIFS(Table47[Country],Tabela1[[#This Row],[Country]],Table47[All-Around Classification],"&gt;0")</f>
        <v>0</v>
      </c>
      <c r="FR199" s="6">
        <f>COUNTIFS(Table48[Country],Tabela1[[#This Row],[Country]],Table48[All-Around Classification],"&gt;0")</f>
        <v>0</v>
      </c>
      <c r="FS199" s="6">
        <f>COUNTIFS(Table81[Country],Tabela1[[#This Row],[Country]],Table81[Men''s All-Around Classification],"&gt;0")</f>
        <v>0</v>
      </c>
      <c r="FT199" s="6">
        <f>COUNTIFS(Table81[Country],Tabela1[[#This Row],[Country]],Table81[Women''s All-Around Classification],"&gt;0")</f>
        <v>0</v>
      </c>
      <c r="FU199" s="6">
        <f>COUNTIFS(Table48[Country],Tabela1[[#This Row],[Country]],Table48[Balance Beam Classification],"&gt;0")</f>
        <v>0</v>
      </c>
      <c r="FV199" s="6">
        <f>COUNTIFS(Table47[Country],Tabela1[[#This Row],[Country]],Table47[Floor Exercise Classification],"&gt;0")</f>
        <v>0</v>
      </c>
      <c r="FW199" s="6">
        <f>COUNTIFS(Table48[Country],Tabela1[[#This Row],[Country]],Table48[Floor Exercise Classification],"&gt;0")</f>
        <v>0</v>
      </c>
      <c r="FX199" s="6">
        <f>COUNTIFS(Table47[Country],Tabela1[[#This Row],[Country]],Table47[Horizontal Bar Classification],"&gt;0")</f>
        <v>0</v>
      </c>
      <c r="FY199" s="6">
        <f>COUNTIFS(Table47[Country],Tabela1[[#This Row],[Country]],Table47[Parallel Bars Classification],"&gt;0")</f>
        <v>0</v>
      </c>
      <c r="FZ199" s="6">
        <f>COUNTIFS(Table47[Country],Tabela1[[#This Row],[Country]],Table47[Pommel Horse Classification],"&gt;0")</f>
        <v>0</v>
      </c>
      <c r="GA199" s="6">
        <f>COUNTIFS(Table47[Country],Tabela1[[#This Row],[Country]],Table47[Rings Classification],"&gt;0")</f>
        <v>0</v>
      </c>
      <c r="GB199" s="6">
        <f>COUNTIFS(Tabela132[Country],Tabela1[[#This Row],[Country]],Tabela132[Classification],"&gt;0")</f>
        <v>0</v>
      </c>
      <c r="GC199" s="6">
        <f>COUNTIFS(Tabela139[Country],Tabela1[[#This Row],[Country]],Tabela139[Classification],"&gt;0")</f>
        <v>0</v>
      </c>
      <c r="GD199" s="6">
        <f>COUNTIFS(Table48[Country],Tabela1[[#This Row],[Country]],Table48[Uneven Bars Classification],"&gt;0")</f>
        <v>0</v>
      </c>
      <c r="GE199" s="6">
        <f>COUNTIFS(Table47[Country],Tabela1[[#This Row],[Country]],Table47[Vault Classification],"&gt;0")</f>
        <v>0</v>
      </c>
      <c r="GF199" s="6">
        <f>COUNTIFS(Table48[Country],Tabela1[[#This Row],[Country]],Table48[Vault Classification],"&gt;0")</f>
        <v>0</v>
      </c>
      <c r="GG199" s="6">
        <f>COUNTIFS(Table919496[Country],Tabela1[[#This Row],[Country]],Table919496[Men''s Classification],"&gt;0")</f>
        <v>0</v>
      </c>
      <c r="GH199" s="6">
        <f>COUNTIFS(Table919496[Country],Tabela1[[#This Row],[Country]],Table919496[Women''s Classification],"&gt;0")</f>
        <v>0</v>
      </c>
      <c r="GI199" s="6">
        <f>COUNTIFS(Table12[Country],Tabela1[[#This Row],[Country]],Table12[60kg Classification],"&gt;0")</f>
        <v>0</v>
      </c>
      <c r="GJ199" s="6">
        <f>COUNTIFS(Table12[Country],Tabela1[[#This Row],[Country]],Table12[66kg Classification],"&gt;0")</f>
        <v>0</v>
      </c>
      <c r="GK199" s="6">
        <f>COUNTIFS(Table12[Country],Tabela1[[#This Row],[Country]],Table12[73kg Classification],"&gt;0")</f>
        <v>0</v>
      </c>
      <c r="GL199" s="6">
        <f>COUNTIFS(Table12[Country],Tabela1[[#This Row],[Country]],Table12[81kg Classification],"&gt;0")</f>
        <v>0</v>
      </c>
      <c r="GM199" s="6">
        <f>COUNTIFS(Table12[Country],Tabela1[[#This Row],[Country]],Table12[90kg Classification],"&gt;0")</f>
        <v>0</v>
      </c>
      <c r="GN199" s="6">
        <f>COUNTIFS(Table12[Country],Tabela1[[#This Row],[Country]],Table12[100kg Classification],"&gt;0")</f>
        <v>0</v>
      </c>
      <c r="GO199" s="6">
        <f>COUNTIFS(Table12[Country],Tabela1[[#This Row],[Country]],Table12[Plus 100kg Classification],"&gt;0")</f>
        <v>0</v>
      </c>
      <c r="GP199" s="6">
        <f>COUNTIFS(Table13[Country],Tabela1[[#This Row],[Country]],Table13[48kg Classification],"&gt;0")</f>
        <v>0</v>
      </c>
      <c r="GQ199" s="6">
        <f>COUNTIFS(Table13[Country],Tabela1[[#This Row],[Country]],Table13[52kg Classification],"&gt;0")</f>
        <v>0</v>
      </c>
      <c r="GR199" s="6">
        <f>COUNTIFS(Table13[Country],Tabela1[[#This Row],[Country]],Table13[57kg Classification],"&gt;0")</f>
        <v>0</v>
      </c>
      <c r="GS199" s="6">
        <f>COUNTIFS(Table13[Country],Tabela1[[#This Row],[Country]],Table13[63kg Classification],"&gt;0")</f>
        <v>0</v>
      </c>
      <c r="GT199" s="6">
        <f>COUNTIFS(Table13[Country],Tabela1[[#This Row],[Country]],Table13[70kg Classification],"&gt;0")</f>
        <v>0</v>
      </c>
      <c r="GU199" s="6">
        <f>COUNTIFS(Table13[Country],Tabela1[[#This Row],[Country]],Table13[78kg Classification],"&gt;0")</f>
        <v>0</v>
      </c>
      <c r="GV199" s="6">
        <f>COUNTIFS(Table13[Country],Tabela1[[#This Row],[Country]],Table13[Plus 78kg Classification],"&gt;0")</f>
        <v>0</v>
      </c>
      <c r="GW199" s="6">
        <f>COUNTIFS(Table82[Country],Tabela1[[#This Row],[Country]],Table82[Mixed Classification],"&gt;0")</f>
        <v>0</v>
      </c>
      <c r="GX199" s="6">
        <f>COUNTIFS(Table51[Country],Tabela1[[#This Row],[Country]],Table51[Classification],"&gt;0")</f>
        <v>0</v>
      </c>
      <c r="GY199" s="6">
        <f>COUNTIFS(Table52[Country],Tabela1[[#This Row],[Country]],Table52[Classification],"&gt;0")</f>
        <v>0</v>
      </c>
      <c r="GZ199" s="6">
        <f>COUNTIFS(Table32[Country],Tabela1[[#This Row],[Country]],Table32[All-Around Classification],"&gt;0")</f>
        <v>0</v>
      </c>
      <c r="HA199" s="6">
        <f>COUNTIFS(Table49[Country],Tabela1[[#This Row],[Country]],Table49[All-Around Classification],"&gt;0")</f>
        <v>0</v>
      </c>
      <c r="HB199" s="6">
        <f>COUNTIFS(Table26[Country],Tabela1[[#This Row],[Country]],Table26[Single Sculls Classification],"&gt;0")</f>
        <v>0</v>
      </c>
      <c r="HC199" s="6">
        <f>COUNTIFS(Table63[Country],Tabela1[[#This Row],[Country]],Table63[Single Sculls Classification],"&gt;0")</f>
        <v>0</v>
      </c>
      <c r="HD199" s="6">
        <f>COUNTIFS(Table16[Country],Tabela1[[#This Row],[Country]],Table16[Men''s Double Sculls Classification],"&gt;0")</f>
        <v>0</v>
      </c>
      <c r="HE199" s="6">
        <f>COUNTIFS(Table16[Country],Tabela1[[#This Row],[Country]],Table16[Women''s Double Sculls Classification],"&gt;0")</f>
        <v>0</v>
      </c>
      <c r="HF199" s="6">
        <f>COUNTIFS(Table72[Country],Tabela1[[#This Row],[Country]],Table72[Men''s Quadruple Sculls Classification],"&gt;0")</f>
        <v>0</v>
      </c>
      <c r="HG199" s="6">
        <f>COUNTIFS(Table72[Country],Tabela1[[#This Row],[Country]],Table72[Women''s Quadruple Sculls Classification],"&gt;0")</f>
        <v>0</v>
      </c>
      <c r="HH199" s="6">
        <f>COUNTIFS(Table16[Country],Tabela1[[#This Row],[Country]],Table16[Men''s Coxless Pairs Classification],"&gt;0")</f>
        <v>0</v>
      </c>
      <c r="HI199" s="6">
        <f>COUNTIFS(Table16[Country],Tabela1[[#This Row],[Country]],Table16[Women''s Coxless Pairs Classification],"&gt;0")</f>
        <v>0</v>
      </c>
      <c r="HJ199" s="6">
        <f>COUNTIFS(Table72[Country],Tabela1[[#This Row],[Country]],Table72[Men''s Coxless Fours Classification],"&gt;0")</f>
        <v>0</v>
      </c>
      <c r="HK199" s="6">
        <f>COUNTIFS(Table72[Country],Tabela1[[#This Row],[Country]],Table72[Women''s Coxless Fours Classification],"&gt;0")</f>
        <v>0</v>
      </c>
      <c r="HL199" s="6">
        <f>COUNTIFS(Table72[Country],Tabela1[[#This Row],[Country]],Table72[Men''s Eights Classification],"&gt;0")</f>
        <v>0</v>
      </c>
      <c r="HM199" s="6">
        <f>COUNTIFS(Table72[Country],Tabela1[[#This Row],[Country]],Table72[Women''s Eights Classification],"&gt;0")</f>
        <v>0</v>
      </c>
      <c r="HN199" s="6">
        <f>COUNTIFS(Table16[Country],Tabela1[[#This Row],[Country]],Table16[Men''s Lwt. Double Sculls Classification],"&gt;0")</f>
        <v>0</v>
      </c>
      <c r="HO199" s="6">
        <f>COUNTIFS(Table16[Country],Tabela1[[#This Row],[Country]],Table16[Women''s Lwt. Double Sculls Classification],"&gt;0")</f>
        <v>0</v>
      </c>
      <c r="HP199" s="6">
        <f>COUNTIFS(Table91949698[Country],Tabela1[[#This Row],[Country]],Table91949698[Men''s Classification],"&gt;0")</f>
        <v>0</v>
      </c>
      <c r="HQ199" s="6">
        <f>COUNTIFS(Table91949698[Country],Tabela1[[#This Row],[Country]],Table91949698[Women''s Classification],"&gt;0")</f>
        <v>0</v>
      </c>
      <c r="HR199" s="6">
        <f>COUNTIFS(Table25[Country],Tabela1[[#This Row],[Country]],Table25[Mixed 470 Classification],"&gt;0")</f>
        <v>0</v>
      </c>
      <c r="HS199" s="6">
        <f>COUNTIFS(Table25[Country],Tabela1[[#This Row],[Country]],Table25[Men''s 49er Classification],"&gt;0")</f>
        <v>0</v>
      </c>
      <c r="HT199" s="6">
        <f>COUNTIFS(Table25[Country],Tabela1[[#This Row],[Country]],Table25[Women''s 49er FX Classification],"&gt;0")</f>
        <v>0</v>
      </c>
      <c r="HU199" s="6">
        <f>COUNTIFS(Table17[Country],Tabela1[[#This Row],[Country]],Table17[Formula Kite Classification],"&gt;0")</f>
        <v>0</v>
      </c>
      <c r="HV199" s="6">
        <f>COUNTIFS(Table18[Country],Tabela1[[#This Row],[Country]],Table18[Formula Kite Classification],"&gt;0")</f>
        <v>0</v>
      </c>
      <c r="HW199" s="6">
        <f>COUNTIFS(Table17[Country],Tabela1[[#This Row],[Country]],Table17[ILCA 7 Classification],"&gt;0")</f>
        <v>0</v>
      </c>
      <c r="HX199" s="6">
        <f>COUNTIFS(Table18[Country],Tabela1[[#This Row],[Country]],Table18[ILCA 6 Classification],"&gt;0")</f>
        <v>0</v>
      </c>
      <c r="HY199" s="6">
        <f>COUNTIFS(Table17[Country],Tabela1[[#This Row],[Country]],Table17[IQFoil Classification],"&gt;0")</f>
        <v>0</v>
      </c>
      <c r="HZ199" s="6">
        <f>COUNTIFS(Table18[Country],Tabela1[[#This Row],[Country]],Table18[IQFoil Classification],"&gt;0")</f>
        <v>0</v>
      </c>
      <c r="IA199" s="6">
        <f>COUNTIFS(Table25[Country],Tabela1[[#This Row],[Country]],Table25[Mixed Nacra 17 Classification],"&gt;0")</f>
        <v>0</v>
      </c>
      <c r="IB199" s="6">
        <f>COUNTIFS(Table53[Country],Tabela1[[#This Row],[Country]],Table53[10m Air Pistol Classification],"&gt;0")</f>
        <v>0</v>
      </c>
      <c r="IC199" s="6">
        <f>COUNTIFS(Table19[Country],Tabela1[[#This Row],[Country]],Table19[10m Air Pistol Classification],"&gt;0")</f>
        <v>0</v>
      </c>
      <c r="ID199" s="6">
        <f>COUNTIFS(Table54[Country],Tabela1[[#This Row],[Country]],Table54[Mixed 10m Air Pistol Team Classification],"&gt;0")</f>
        <v>0</v>
      </c>
      <c r="IE199" s="6">
        <f>COUNTIFS(Table53[Country],Tabela1[[#This Row],[Country]],Table53[10m Air Rifle Classification],"&gt;0")</f>
        <v>0</v>
      </c>
      <c r="IF199" s="6">
        <f>COUNTIFS(Table19[Country],Tabela1[[#This Row],[Country]],Table19[10m Air Rifle Classification],"&gt;0")</f>
        <v>0</v>
      </c>
      <c r="IG199" s="6">
        <f>COUNTIFS(Table54[Country],Tabela1[[#This Row],[Country]],Table54[Mixed 10m Air Rifle Team Classification],"&gt;0")</f>
        <v>0</v>
      </c>
      <c r="IH199" s="6">
        <f>COUNTIFS(Table53[Country],Tabela1[[#This Row],[Country]],Table53[25m Rapid Fire Pistol Classification],"&gt;0")</f>
        <v>0</v>
      </c>
      <c r="II199" s="6">
        <f>COUNTIFS(Table19[Country],Tabela1[[#This Row],[Country]],Table19[25m Pistol Classification],"&gt;0")</f>
        <v>0</v>
      </c>
      <c r="IJ199" s="6">
        <f>COUNTIFS(Table53[Country],Tabela1[[#This Row],[Country]],Table53[50m Rifle 3 Positions Classification],"&gt;0")</f>
        <v>0</v>
      </c>
      <c r="IK199" s="6">
        <f>COUNTIFS(Table19[Country],Tabela1[[#This Row],[Country]],Table19[50m Rifle 3 Positions Classification],"&gt;0")</f>
        <v>0</v>
      </c>
      <c r="IL199" s="6">
        <f>COUNTIFS(Table53[Country],Tabela1[[#This Row],[Country]],Table53[Skeet Classification],"&gt;0")</f>
        <v>0</v>
      </c>
      <c r="IM199" s="6">
        <f>COUNTIFS(Table19[Country],Tabela1[[#This Row],[Country]],Table19[Skeet Classification],"&gt;0")</f>
        <v>0</v>
      </c>
      <c r="IN199" s="6">
        <f>COUNTIFS(Table54[Country],Tabela1[[#This Row],[Country]],Table54[Mixed Skeet Team Classification],"&gt;0")</f>
        <v>0</v>
      </c>
      <c r="IO199" s="6">
        <f>COUNTIFS(Table53[Country],Tabela1[[#This Row],[Country]],Table53[Trap Classification],"&gt;0")</f>
        <v>0</v>
      </c>
      <c r="IP199" s="6">
        <f>COUNTIFS(Table19[Country],Tabela1[[#This Row],[Country]],Table19[Trap Classification],"&gt;0")</f>
        <v>0</v>
      </c>
      <c r="IQ199" s="6">
        <f>COUNTIFS(Table73[Country],Tabela1[[#This Row],[Country]],Table73[Park Classification],"&gt;0")</f>
        <v>0</v>
      </c>
      <c r="IR199" s="6">
        <f>COUNTIFS(Table74[Country],Tabela1[[#This Row],[Country]],Table74[Park Classification],"&gt;0")</f>
        <v>0</v>
      </c>
      <c r="IS199" s="6">
        <f>COUNTIFS(Table73[Country],Tabela1[[#This Row],[Country]],Table73[Street Classification],"&gt;0")</f>
        <v>0</v>
      </c>
      <c r="IT199" s="6">
        <f>COUNTIFS(Table74[Country],Tabela1[[#This Row],[Country]],Table74[Street Classification],"&gt;0")</f>
        <v>0</v>
      </c>
      <c r="IU199" s="6">
        <f>COUNTIFS(Table75[Country],Tabela1[[#This Row],[Country]],Table75[Boulder and Lead Classification],"&gt;0")</f>
        <v>0</v>
      </c>
      <c r="IV199" s="6">
        <f>COUNTIFS(Table76[Country],Tabela1[[#This Row],[Country]],Table76[Boulder and Lead Classification],"&gt;0")</f>
        <v>0</v>
      </c>
      <c r="IW199" s="6">
        <f>COUNTIFS(Table75[Country],Tabela1[[#This Row],[Country]],Table75[Speed Classification],"&gt;0")</f>
        <v>0</v>
      </c>
      <c r="IX199" s="6">
        <f>COUNTIFS(Table76[Country],Tabela1[[#This Row],[Country]],Table76[Speed Classification],"&gt;0")</f>
        <v>0</v>
      </c>
      <c r="IY199" s="6">
        <f>COUNTIFS(Table64[Country],Tabela1[[#This Row],[Country]],Table64[Shortboard Classification],"&gt;0")</f>
        <v>0</v>
      </c>
      <c r="IZ199" s="6">
        <f>COUNTIFS(Table77[Country],Tabela1[[#This Row],[Country]],Table77[Shortboard Classification],"&gt;0")</f>
        <v>0</v>
      </c>
      <c r="JA199" s="6">
        <f>COUNTIFS(Table20[Country],Tabela1[[#This Row],[Country]],Table20[50m Freestyle Classification],"&gt;0")</f>
        <v>0</v>
      </c>
      <c r="JB199" s="6">
        <f>COUNTIFS(Table21[Country],Tabela1[[#This Row],[Country]],Table21[50m Freestyle Classification],"&gt;0")</f>
        <v>0</v>
      </c>
      <c r="JC199" s="6">
        <f>COUNTIFS(Table20[Country],Tabela1[[#This Row],[Country]],Table20[100m Freestyle Classification],"&gt;0")</f>
        <v>0</v>
      </c>
      <c r="JD199" s="6">
        <f>COUNTIFS(Table21[Country],Tabela1[[#This Row],[Country]],Table21[100m Freestyle Classification],"&gt;0")</f>
        <v>0</v>
      </c>
      <c r="JE199" s="6">
        <f>COUNTIFS(Table20[Country],Tabela1[[#This Row],[Country]],Table20[200m Freestyle Classification],"&gt;0")</f>
        <v>0</v>
      </c>
      <c r="JF199" s="6">
        <f>COUNTIFS(Table21[Country],Tabela1[[#This Row],[Country]],Table21[200m Freestyle Classification],"&gt;0")</f>
        <v>0</v>
      </c>
      <c r="JG199" s="6">
        <f>COUNTIFS(Table20[Country],Tabela1[[#This Row],[Country]],Table20[400m Freestyle Classification],"&gt;0")</f>
        <v>0</v>
      </c>
      <c r="JH199" s="6">
        <f>COUNTIFS(Table21[Country],Tabela1[[#This Row],[Country]],Table21[400m Freestyle Classification],"&gt;0")</f>
        <v>0</v>
      </c>
      <c r="JI199" s="6">
        <f>COUNTIFS(Table20[Country],Tabela1[[#This Row],[Country]],Table20[800m Freestyle Classification],"&gt;0")</f>
        <v>0</v>
      </c>
      <c r="JJ199" s="6">
        <f>COUNTIFS(Table21[Country],Tabela1[[#This Row],[Country]],Table21[800m Freestyle Classification],"&gt;0")</f>
        <v>0</v>
      </c>
      <c r="JK199" s="6">
        <f>COUNTIFS(Table20[Country],Tabela1[[#This Row],[Country]],Table20[1500m Freestyle Classification],"&gt;0")</f>
        <v>0</v>
      </c>
      <c r="JL199" s="6">
        <f>COUNTIFS(Table21[Country],Tabela1[[#This Row],[Country]],Table21[1500m Freestyle Classification],"&gt;0")</f>
        <v>0</v>
      </c>
      <c r="JM199" s="6">
        <f>COUNTIFS(Table20[Country],Tabela1[[#This Row],[Country]],Table20[100m Backstroke Classification],"&gt;0")</f>
        <v>0</v>
      </c>
      <c r="JN199" s="6">
        <f>COUNTIFS(Table21[Country],Tabela1[[#This Row],[Country]],Table21[100m Backstroke Classification],"&gt;0")</f>
        <v>0</v>
      </c>
      <c r="JO199" s="6">
        <f>COUNTIFS(Table20[Country],Tabela1[[#This Row],[Country]],Table20[200m Backstroke Classification],"&gt;0")</f>
        <v>0</v>
      </c>
      <c r="JP199" s="6">
        <f>COUNTIFS(Table21[Country],Tabela1[[#This Row],[Country]],Table21[200m Backstroke Classification],"&gt;0")</f>
        <v>0</v>
      </c>
      <c r="JQ199" s="6">
        <f>COUNTIFS(Table20[Country],Tabela1[[#This Row],[Country]],Table20[100m Breaststroke Classification],"&gt;0")</f>
        <v>0</v>
      </c>
      <c r="JR199" s="6">
        <f>COUNTIFS(Table21[Country],Tabela1[[#This Row],[Country]],Table21[100m Breaststroke Classification],"&gt;0")</f>
        <v>0</v>
      </c>
      <c r="JS199" s="6">
        <f>COUNTIFS(Table20[Country],Tabela1[[#This Row],[Country]],Table20[200m Breaststroke Classification],"&gt;0")</f>
        <v>0</v>
      </c>
      <c r="JT199" s="6">
        <f>COUNTIFS(Table21[Country],Tabela1[[#This Row],[Country]],Table21[200m Breaststroke Classification],"&gt;0")</f>
        <v>0</v>
      </c>
      <c r="JU199" s="6">
        <f>COUNTIFS(Table20[Country],Tabela1[[#This Row],[Country]],Table20[100m Butterfly Classification],"&gt;0")</f>
        <v>0</v>
      </c>
      <c r="JV199" s="6">
        <f>COUNTIFS(Table21[Country],Tabela1[[#This Row],[Country]],Table21[100m Butterfly Classification],"&gt;0")</f>
        <v>0</v>
      </c>
      <c r="JW199" s="6">
        <f>COUNTIFS(Table20[Country],Tabela1[[#This Row],[Country]],Table20[200m Butterfly Classification],"&gt;0")</f>
        <v>0</v>
      </c>
      <c r="JX199" s="6">
        <f>COUNTIFS(Table21[Country],Tabela1[[#This Row],[Country]],Table21[200m Butterfly Classification],"&gt;0")</f>
        <v>0</v>
      </c>
      <c r="JY199" s="6">
        <f>COUNTIFS(Table20[Country],Tabela1[[#This Row],[Country]],Table20[200m Medley Classification],"&gt;0")</f>
        <v>0</v>
      </c>
      <c r="JZ199" s="6">
        <f>COUNTIFS(Table21[Country],Tabela1[[#This Row],[Country]],Table21[200m Medley Classification],"&gt;0")</f>
        <v>0</v>
      </c>
      <c r="KA199" s="6">
        <f>COUNTIFS(Table20[Country],Tabela1[[#This Row],[Country]],Table20[400m Medley Classification],"&gt;0")</f>
        <v>0</v>
      </c>
      <c r="KB199" s="6">
        <f>COUNTIFS(Table21[Country],Tabela1[[#This Row],[Country]],Table21[400m Medley Classification],"&gt;0")</f>
        <v>0</v>
      </c>
      <c r="KC199" s="6">
        <f>COUNTIFS(Table78[Country],Tabela1[[#This Row],[Country]],Table78[Men''s 4x100m Freestyle Relay Classification],"&gt;0")</f>
        <v>0</v>
      </c>
      <c r="KD199" s="6">
        <f>COUNTIFS(Table78[Country],Tabela1[[#This Row],[Country]],Table78[Women''s 4x100m Freestyle Relay Classification],"&gt;0")</f>
        <v>0</v>
      </c>
      <c r="KE199" s="6">
        <f>COUNTIFS(Table78[Country],Tabela1[[#This Row],[Country]],Table78[Men''s 4x200m Freestyle Relay Classification],"&gt;0")</f>
        <v>0</v>
      </c>
      <c r="KF199" s="6">
        <f>COUNTIFS(Table78[Country],Tabela1[[#This Row],[Country]],Table78[Women''s 4x200m Freestyle Relay Classification],"&gt;0")</f>
        <v>0</v>
      </c>
      <c r="KG199" s="6">
        <f>COUNTIFS(Table78[Country],Tabela1[[#This Row],[Country]],Table78[Men''s 4x100m Medley Relay Classification],"&gt;0")</f>
        <v>0</v>
      </c>
      <c r="KH199" s="6">
        <f>COUNTIFS(Table78[Country],Tabela1[[#This Row],[Country]],Table78[Women''s 4x100m Medley Relay Classification],"&gt;0")</f>
        <v>0</v>
      </c>
      <c r="KI199" s="6">
        <f>COUNTIFS(Table78[Country],Tabela1[[#This Row],[Country]],Table78[Mixed 4x100m Medley Relay Classification],"&gt;0")</f>
        <v>0</v>
      </c>
      <c r="KJ199" s="6">
        <f>COUNTIFS(Table20[Country],Tabela1[[#This Row],[Country]],Table20[10km Open Water Classification],"&gt;0")</f>
        <v>0</v>
      </c>
      <c r="KK199" s="6">
        <f>COUNTIFS(Table21[Country],Tabela1[[#This Row],[Country]],Table21[10km Open Water Classification],"&gt;0")</f>
        <v>0</v>
      </c>
      <c r="KL199" s="6">
        <f>COUNTIFS(Table22[Country],Tabela1[[#This Row],[Country]],Table22[Classification],"&gt;0")</f>
        <v>0</v>
      </c>
      <c r="KM199" s="6">
        <f>COUNTIFS(Table30[Country],Tabela1[[#This Row],[Country]],Table30[Classification],"&gt;0")</f>
        <v>0</v>
      </c>
      <c r="KN199" s="6">
        <f>COUNTIFS(Table55[Country],Tabela1[[#This Row],[Country]],Table55[Men''s Classification],"&gt;0")</f>
        <v>0</v>
      </c>
      <c r="KO199" s="6">
        <f>COUNTIFS(Table55[Country],Tabela1[[#This Row],[Country]],Table55[Women''s Classification],"&gt;0")</f>
        <v>0</v>
      </c>
      <c r="KP199" s="6">
        <f>COUNTIFS(Table56[Country],Tabela1[[#This Row],[Country]],Table56[Mixed Classification],"&gt;0")</f>
        <v>0</v>
      </c>
      <c r="KQ199" s="6">
        <f>COUNTIFS(Table29[Country],Tabela1[[#This Row],[Country]],Table29[58kg Classification],"&gt;0")</f>
        <v>0</v>
      </c>
      <c r="KR199" s="6">
        <f>COUNTIFS(Table29[Country],Tabela1[[#This Row],[Country]],Table29[68kg Classification],"&gt;0")</f>
        <v>0</v>
      </c>
      <c r="KS199" s="6">
        <f>COUNTIFS(Table29[Country],Tabela1[[#This Row],[Country]],Table29[80kg Classification],"&gt;0")</f>
        <v>0</v>
      </c>
      <c r="KT199" s="6">
        <f>COUNTIFS(Table29[Country],Tabela1[[#This Row],[Country]],Table29[Plus 80kg Classification],"&gt;0")</f>
        <v>0</v>
      </c>
      <c r="KU199" s="6">
        <f>COUNTIFS(Table34[Country],Tabela1[[#This Row],[Country]],Table34[49kg Classification],"&gt;0")</f>
        <v>0</v>
      </c>
      <c r="KV199" s="6">
        <f>COUNTIFS(Table34[Country],Tabela1[[#This Row],[Country]],Table34[57kg Classification],"&gt;0")</f>
        <v>0</v>
      </c>
      <c r="KW199" s="6">
        <f>COUNTIFS(Table34[Country],Tabela1[[#This Row],[Country]],Table34[67kg Classification],"&gt;0")</f>
        <v>0</v>
      </c>
      <c r="KX199" s="6">
        <f>COUNTIFS(Table34[Country],Tabela1[[#This Row],[Country]],Table34[Plus 67kg Classification],"&gt;0")</f>
        <v>0</v>
      </c>
      <c r="KY199" s="6">
        <f>COUNTIFS(Table57[Country],Tabela1[[#This Row],[Country]],Table57[Classification],"&gt;0")</f>
        <v>0</v>
      </c>
      <c r="KZ199" s="6">
        <f>COUNTIFS(Table58[Country],Tabela1[[#This Row],[Country]],Table58[Classification],"&gt;0")</f>
        <v>0</v>
      </c>
      <c r="LA199" s="6">
        <f>COUNTIFS(Table79[Country],Tabela1[[#This Row],[Country]],Table79[Men''s Classification],"&gt;0")</f>
        <v>0</v>
      </c>
      <c r="LB199" s="6">
        <f>COUNTIFS(Table79[Country],Tabela1[[#This Row],[Country]],Table79[Women''s Classification],"&gt;0")</f>
        <v>0</v>
      </c>
      <c r="LC199" s="6">
        <f>COUNTIFS(Table79[Country],Tabela1[[#This Row],[Country]],Table79[Mixed Classification],"&gt;0")</f>
        <v>0</v>
      </c>
      <c r="LD199" s="6">
        <f>COUNTIFS(Table65[Country],Tabela1[[#This Row],[Country]],Table65[Classification],"&gt;0")</f>
        <v>0</v>
      </c>
      <c r="LE199" s="6">
        <f>COUNTIFS(Table59[Country],Tabela1[[#This Row],[Country]],Table59[Classification],"&gt;0")</f>
        <v>0</v>
      </c>
      <c r="LF199" s="6">
        <f>COUNTIFS(Table87[Country],Tabela1[[#This Row],[Country]],Table87[Mixed Relay Classification],"&gt;0")</f>
        <v>0</v>
      </c>
      <c r="LG199" s="6">
        <f>COUNTIFS(Table91949698100[Country],Tabela1[[#This Row],[Country]],Table91949698100[Men''s Classification],"&gt;0")</f>
        <v>0</v>
      </c>
      <c r="LH199" s="6">
        <f>COUNTIFS(Table91949698100[Country],Tabela1[[#This Row],[Country]],Table91949698100[Women''s Classification],"&gt;0")</f>
        <v>0</v>
      </c>
      <c r="LI199" s="6">
        <f>COUNTIFS(Table91949698100102[Country],Tabela1[[#This Row],[Country]],Table91949698100102[Men''s Classification],"&gt;0")</f>
        <v>0</v>
      </c>
      <c r="LJ199" s="6">
        <f>COUNTIFS(Table91949698100102[Country],Tabela1[[#This Row],[Country]],Table91949698100102[Women''s Classification],"&gt;0")</f>
        <v>0</v>
      </c>
      <c r="LK199" s="6">
        <f>COUNTIFS(Table23[Country],Tabela1[[#This Row],[Country]],Table23[61kg Classification],"&gt;0")</f>
        <v>0</v>
      </c>
      <c r="LL199" s="6">
        <f>COUNTIFS(Table23[Country],Tabela1[[#This Row],[Country]],Table23[73kg Classification],"&gt;0")</f>
        <v>0</v>
      </c>
      <c r="LM199" s="6">
        <f>COUNTIFS(Table23[Country],Tabela1[[#This Row],[Country]],Table23[89kg Classification],"&gt;0")</f>
        <v>0</v>
      </c>
      <c r="LN199" s="6">
        <f>COUNTIFS(Table23[Country],Tabela1[[#This Row],[Country]],Table23[102kg Classification],"&gt;0")</f>
        <v>0</v>
      </c>
      <c r="LO199" s="6">
        <f>COUNTIFS(Table23[Country],Tabela1[[#This Row],[Country]],Table23[Plus 102kg Classification],"&gt;0")</f>
        <v>0</v>
      </c>
      <c r="LP199" s="6">
        <f>COUNTIFS(Table28[Country],Tabela1[[#This Row],[Country]],Table28[49kg Classification],"&gt;0")</f>
        <v>0</v>
      </c>
      <c r="LQ199" s="6">
        <f>COUNTIFS(Table28[Country],Tabela1[[#This Row],[Country]],Table28[59kg Classification],"&gt;0")</f>
        <v>0</v>
      </c>
      <c r="LR199" s="6">
        <f>COUNTIFS(Table28[Country],Tabela1[[#This Row],[Country]],Table28[71kg Classification],"&gt;0")</f>
        <v>0</v>
      </c>
      <c r="LS199" s="6">
        <f>COUNTIFS(Table28[Country],Tabela1[[#This Row],[Country]],Table28[81kg Classification],"&gt;0")</f>
        <v>0</v>
      </c>
      <c r="LT199" s="6">
        <f>COUNTIFS(Table28[Country],Tabela1[[#This Row],[Country]],Table28[Plus 81kg Classification],"&gt;0")</f>
        <v>0</v>
      </c>
      <c r="LU199" s="6">
        <f>COUNTIFS(Table24[Country],Tabela1[[#This Row],[Country]],Table24[Freestyle 57kg Classification],"&gt;0")</f>
        <v>0</v>
      </c>
      <c r="LV199" s="6">
        <f>COUNTIFS(Table24[Country],Tabela1[[#This Row],[Country]],Table24[Freestyle 65kg Classification],"&gt;0")</f>
        <v>0</v>
      </c>
      <c r="LW199" s="6">
        <f>COUNTIFS(Table24[Country],Tabela1[[#This Row],[Country]],Table24[Freestyle 74kg Classification],"&gt;0")</f>
        <v>0</v>
      </c>
      <c r="LX199" s="6">
        <f>COUNTIFS(Table24[Country],Tabela1[[#This Row],[Country]],Table24[Freestyle 86kg Classification],"&gt;0")</f>
        <v>0</v>
      </c>
      <c r="LY199" s="6">
        <f>COUNTIFS(Table24[Country],Tabela1[[#This Row],[Country]],Table24[Freestyle 97kg Classification],"&gt;0")</f>
        <v>0</v>
      </c>
      <c r="LZ199" s="6">
        <f>COUNTIFS(Table24[Country],Tabela1[[#This Row],[Country]],Table24[Freestyle 125kg Classification],"&gt;0")</f>
        <v>0</v>
      </c>
      <c r="MA199" s="6">
        <f>COUNTIFS(Table24[Country],Tabela1[[#This Row],[Country]],Table24[Greco-Roman 60kg Classification],"&gt;0")</f>
        <v>0</v>
      </c>
      <c r="MB199" s="6">
        <f>COUNTIFS(Table24[Country],Tabela1[[#This Row],[Country]],Table24[Greco-Roman 67kg Classification],"&gt;0")</f>
        <v>0</v>
      </c>
      <c r="MC199" s="6">
        <f>COUNTIFS(Table24[Country],Tabela1[[#This Row],[Country]],Table24[Greco-Roman 77kg Classification],"&gt;0")</f>
        <v>0</v>
      </c>
      <c r="MD199" s="6">
        <f>COUNTIFS(Table24[Country],Tabela1[[#This Row],[Country]],Table24[Greco-Roman 87kg Classification],"&gt;0")</f>
        <v>0</v>
      </c>
      <c r="ME199" s="6">
        <f>COUNTIFS(Table24[Country],Tabela1[[#This Row],[Country]],Table24[Greco-Roman 97kg Classification],"&gt;0")</f>
        <v>0</v>
      </c>
      <c r="MF199" s="6">
        <f>COUNTIFS(Table24[Country],Tabela1[[#This Row],[Country]],Table24[Greco-Roman 130kg Classification],"&gt;0")</f>
        <v>0</v>
      </c>
      <c r="MG199" s="6">
        <f>COUNTIFS(Table31[Country],Tabela1[[#This Row],[Country]],Table31[50kg Classification],"&gt;0")</f>
        <v>0</v>
      </c>
      <c r="MH199" s="6">
        <f>COUNTIFS(Table31[Country],Tabela1[[#This Row],[Country]],Table31[53kg Classification],"&gt;0")</f>
        <v>0</v>
      </c>
      <c r="MI199" s="6">
        <f>COUNTIFS(Table31[Country],Tabela1[[#This Row],[Country]],Table31[57kg Classification],"&gt;0")</f>
        <v>0</v>
      </c>
      <c r="MJ199" s="6">
        <f>COUNTIFS(Table31[Country],Tabela1[[#This Row],[Country]],Table31[62kg Classification],"&gt;0")</f>
        <v>0</v>
      </c>
      <c r="MK199" s="6">
        <f>COUNTIFS(Table31[Country],Tabela1[[#This Row],[Country]],Table31[68kg Classification],"&gt;0")</f>
        <v>0</v>
      </c>
      <c r="ML199" s="6">
        <f>COUNTIFS(Table31[Country],Tabela1[[#This Row],[Country]],Table31[76kg Classification],"&gt;0")</f>
        <v>0</v>
      </c>
      <c r="MM199" s="6">
        <f>COUNTIFS(Table102[Country],Tabela1[[#This Row],[Country]],Table102[Downhill Classification],"&gt;0")</f>
        <v>0</v>
      </c>
      <c r="MN199" s="6">
        <f>COUNTIFS(Table102105[Country],Tabela1[[#This Row],[Country]],Table102105[Downhill Classification],"&gt;0")</f>
        <v>0</v>
      </c>
      <c r="MO199" s="6">
        <f>COUNTIFS(Table102[Country],Tabela1[[#This Row],[Country]],Table102[Giant Slalom Classification],"&gt;0")</f>
        <v>0</v>
      </c>
      <c r="MP199" s="6">
        <f>COUNTIFS(Table102105[Country],Tabela1[[#This Row],[Country]],Table102105[Giant Slalom Classification],"&gt;0")</f>
        <v>0</v>
      </c>
      <c r="MQ199" s="6">
        <f>COUNTIFS(Table102[Country],Tabela1[[#This Row],[Country]],Table102[Slalom Classification],"&gt;0")</f>
        <v>0</v>
      </c>
      <c r="MR199" s="6">
        <f>COUNTIFS(Table102105[Country],Tabela1[[#This Row],[Country]],Table102105[Slalom Classification],"&gt;0")</f>
        <v>0</v>
      </c>
      <c r="MS199" s="6">
        <f>COUNTIFS(Table102[Country],Tabela1[[#This Row],[Country]],Table102[Super-G Classification],"&gt;0")</f>
        <v>0</v>
      </c>
      <c r="MT199" s="6">
        <f>COUNTIFS(Table102105[Country],Tabela1[[#This Row],[Country]],Table102105[Super-G Classification],"&gt;0")</f>
        <v>0</v>
      </c>
      <c r="MU199" s="6">
        <f>COUNTIFS(Table105[Country],Tabela1[[#This Row],[Country]],Table105[Men''s Combined Classification],"&gt;0")</f>
        <v>0</v>
      </c>
      <c r="MV199" s="6">
        <f>COUNTIFS(Table105[Country],Tabela1[[#This Row],[Country]],Table105[Women''s Combined Classification],"&gt;0")</f>
        <v>0</v>
      </c>
      <c r="MW199" s="6">
        <f>COUNTIFS(Table106[Country],Tabela1[[#This Row],[Country]],Table106[Individual Classification],"&gt;0")</f>
        <v>0</v>
      </c>
      <c r="MX199" s="6">
        <f>COUNTIFS(Table106109[Country],Tabela1[[#This Row],[Country]],Table106109[Individual Classification],"&gt;0")</f>
        <v>0</v>
      </c>
      <c r="MY199" s="6">
        <f>COUNTIFS(Table106[Country],Tabela1[[#This Row],[Country]],Table106[Mass Start Classification],"&gt;0")</f>
        <v>0</v>
      </c>
      <c r="MZ199" s="6">
        <f>COUNTIFS(Table106109[Country],Tabela1[[#This Row],[Country]],Table106109[Mass Start Classification],"&gt;0")</f>
        <v>0</v>
      </c>
      <c r="NA199" s="6">
        <f>COUNTIFS(Table106[Country],Tabela1[[#This Row],[Country]],Table106[Pursuit Classification],"&gt;0")</f>
        <v>0</v>
      </c>
      <c r="NB199" s="6">
        <f>COUNTIFS(Table106109[Country],Tabela1[[#This Row],[Country]],Table106109[Pursuit Classification],"&gt;0")</f>
        <v>0</v>
      </c>
      <c r="NC199" s="6">
        <f>COUNTIFS(Table106[Country],Tabela1[[#This Row],[Country]],Table106[Sprint Classification],"&gt;0")</f>
        <v>0</v>
      </c>
      <c r="ND199" s="6">
        <f>COUNTIFS(Table106109[Country],Tabela1[[#This Row],[Country]],Table106109[Sprint Classification],"&gt;0")</f>
        <v>0</v>
      </c>
      <c r="NE199" s="6">
        <f>COUNTIFS(Table109[Country],Tabela1[[#This Row],[Country]],Table109[Men''s Relay Classification],"&gt;0")</f>
        <v>0</v>
      </c>
      <c r="NF199" s="6">
        <f>COUNTIFS(Table109[Country],Tabela1[[#This Row],[Country]],Table109[Women''s Relay Classification],"&gt;0")</f>
        <v>0</v>
      </c>
      <c r="NG199" s="6">
        <f>COUNTIFS(Table109[Country],Tabela1[[#This Row],[Country]],Table109[Mixed Relay Classification],"&gt;0")</f>
        <v>0</v>
      </c>
      <c r="NH199" s="6">
        <f>COUNTIFS(Table110[Country],Tabela1[[#This Row],[Country]],Table110[Monobob Classification],"&gt;0")</f>
        <v>0</v>
      </c>
      <c r="NI199" s="6">
        <f>COUNTIFS(Table111[Country],Tabela1[[#This Row],[Country]],Table111[Men''s Classification],"&gt;0")</f>
        <v>0</v>
      </c>
      <c r="NJ199" s="6">
        <f>COUNTIFS(Table111[Country],Tabela1[[#This Row],[Country]],Table111[Women''s Classification],"&gt;0")</f>
        <v>0</v>
      </c>
      <c r="NK199" s="6">
        <f>COUNTIFS(Table112[Country],Tabela1[[#This Row],[Country]],Table112[Men''s Four Classification],"&gt;0")</f>
        <v>0</v>
      </c>
      <c r="NL199" s="6">
        <f>COUNTIFS(Table113[Country],Tabela1[[#This Row],[Country]],Table113[Classical Classification],"&gt;0")</f>
        <v>0</v>
      </c>
      <c r="NM199" s="6">
        <f>COUNTIFS(Table113116[Country],Tabela1[[#This Row],[Country]],Table113116[Classical Classification],"&gt;0")</f>
        <v>0</v>
      </c>
      <c r="NN199" s="6">
        <f>COUNTIFS(Table113[Country],Tabela1[[#This Row],[Country]],Table113[Freestyle Classification],"&gt;0")</f>
        <v>0</v>
      </c>
      <c r="NO199" s="6">
        <f>COUNTIFS(Table113116[Country],Tabela1[[#This Row],[Country]],Table113116[Freestyle Classification],"&gt;0")</f>
        <v>0</v>
      </c>
      <c r="NP199" s="6">
        <f>COUNTIFS(Table117[Country],Tabela1[[#This Row],[Country]],Table117[Men''s Relay Classification],"&gt;0")</f>
        <v>0</v>
      </c>
      <c r="NQ199" s="6">
        <f>COUNTIFS(Table117[Country],Tabela1[[#This Row],[Country]],Table117[Women''s Relay Classification],"&gt;0")</f>
        <v>0</v>
      </c>
      <c r="NR199" s="6">
        <f>COUNTIFS(Table113[Country],Tabela1[[#This Row],[Country]],Table113[Skiathlon Classification],"&gt;0")</f>
        <v>0</v>
      </c>
      <c r="NS199" s="6">
        <f>COUNTIFS(Table113116[Country],Tabela1[[#This Row],[Country]],Table113116[Skiathlon Classification],"&gt;0")</f>
        <v>0</v>
      </c>
      <c r="NT199" s="6">
        <f>COUNTIFS(Table113[Country],Tabela1[[#This Row],[Country]],Table113[Sprint Classification],"&gt;0")</f>
        <v>0</v>
      </c>
      <c r="NU199" s="6">
        <f>COUNTIFS(Table113116[Country],Tabela1[[#This Row],[Country]],Table113116[Sprint Classification],"&gt;0")</f>
        <v>0</v>
      </c>
      <c r="NV199" s="6">
        <f>COUNTIFS(Table116[Country],Tabela1[[#This Row],[Country]],Table116[Men''s Team Sprint Classification],"&gt;0")</f>
        <v>0</v>
      </c>
      <c r="NW199" s="6">
        <f>COUNTIFS(Table116[Country],Tabela1[[#This Row],[Country]],Table116[Women''s Team Sprint Classification],"&gt;0")</f>
        <v>0</v>
      </c>
      <c r="NX199" s="6">
        <f>COUNTIFS(Table119[Country],Tabela1[[#This Row],[Country]],Table119[Men''s Classification],"&gt;0")</f>
        <v>0</v>
      </c>
      <c r="NY199" s="6">
        <f>COUNTIFS(Table119[Country],Tabela1[[#This Row],[Country]],Table119[Women''s Classification],"&gt;0")</f>
        <v>0</v>
      </c>
      <c r="NZ199" s="6">
        <f>COUNTIFS(Table118[Country],Tabela1[[#This Row],[Country]],Table118[Mixed Classification],"&gt;0")</f>
        <v>0</v>
      </c>
      <c r="OA199" s="6">
        <f>COUNTIFS(Table120[Country],Tabela1[[#This Row],[Country]],Table120[Classification],"&gt;0")</f>
        <v>0</v>
      </c>
      <c r="OB199" s="6">
        <f>COUNTIFS(Table120123[Country],Tabela1[[#This Row],[Country]],Table120123[Classification],"&gt;0")</f>
        <v>0</v>
      </c>
      <c r="OC199" s="6">
        <f>COUNTIFS(Table123[Country],Tabela1[[#This Row],[Country]],Table123[Ice Dance Classification],"&gt;0")</f>
        <v>0</v>
      </c>
      <c r="OD199" s="6">
        <f>COUNTIFS(Table123[Country],Tabela1[[#This Row],[Country]],Table123[Pair Skating Classification],"&gt;0")</f>
        <v>0</v>
      </c>
      <c r="OE199" s="6">
        <f>COUNTIFS(Table124[Country],Tabela1[[#This Row],[Country]],Table124[Mixed Classification],"&gt;0")</f>
        <v>0</v>
      </c>
      <c r="OF199" s="6">
        <f>COUNTIFS(Table125[Country],Tabela1[[#This Row],[Country]],Table125[Aerials Classification],"&gt;0")</f>
        <v>0</v>
      </c>
      <c r="OG199" s="6">
        <f>COUNTIFS(Table125128[Country],Tabela1[[#This Row],[Country]],Table125128[Aerials Classification],"&gt;0")</f>
        <v>0</v>
      </c>
      <c r="OH199" s="6">
        <f>COUNTIFS(Table128[Country],Tabela1[[#This Row],[Country]],Table128[Mixed Aerials Classification],"&gt;0")</f>
        <v>0</v>
      </c>
      <c r="OI199" s="6">
        <f>COUNTIFS(Table125[Country],Tabela1[[#This Row],[Country]],Table125[Big Air Classification],"&gt;0")</f>
        <v>0</v>
      </c>
      <c r="OJ199" s="6">
        <f>COUNTIFS(Table125128[Country],Tabela1[[#This Row],[Country]],Table125128[Big Air Classification],"&gt;0")</f>
        <v>0</v>
      </c>
      <c r="OK199" s="6">
        <f>COUNTIFS(Table125[Country],Tabela1[[#This Row],[Country]],Table125[Dual Moguls Classification],"&gt;0")</f>
        <v>0</v>
      </c>
      <c r="OL199" s="6">
        <f>COUNTIFS(Table125128[Country],Tabela1[[#This Row],[Country]],Table125128[Dual Moguls Classification],"&gt;0")</f>
        <v>0</v>
      </c>
      <c r="OM199" s="6">
        <f>COUNTIFS(Table125[Country],Tabela1[[#This Row],[Country]],Table125[Halfpipe Classification],"&gt;0")</f>
        <v>0</v>
      </c>
      <c r="ON199" s="6">
        <f>COUNTIFS(Table125128[Country],Tabela1[[#This Row],[Country]],Table125128[Halfpipe Classification],"&gt;0")</f>
        <v>0</v>
      </c>
      <c r="OO199" s="6">
        <f>COUNTIFS(Table125[Country],Tabela1[[#This Row],[Country]],Table125[Moguls Classification],"&gt;0")</f>
        <v>0</v>
      </c>
      <c r="OP199" s="6">
        <f>COUNTIFS(Table125128[Country],Tabela1[[#This Row],[Country]],Table125128[Moguls Classification],"&gt;0")</f>
        <v>0</v>
      </c>
      <c r="OQ199" s="6">
        <f>COUNTIFS(Table125[Country],Tabela1[[#This Row],[Country]],Table125[Ski Cross Classification],"&gt;0")</f>
        <v>0</v>
      </c>
      <c r="OR199" s="6">
        <f>COUNTIFS(Table125128[Country],Tabela1[[#This Row],[Country]],Table125128[Ski Cross Classification],"&gt;0")</f>
        <v>0</v>
      </c>
      <c r="OS199" s="6">
        <f>COUNTIFS(Table125[Country],Tabela1[[#This Row],[Country]],Table125[Slopestyle Classification],"&gt;0")</f>
        <v>0</v>
      </c>
      <c r="OT199" s="6">
        <f>COUNTIFS(Table125128[Country],Tabela1[[#This Row],[Country]],Table125128[Slopestyle Classification],"&gt;0")</f>
        <v>0</v>
      </c>
      <c r="OU199" s="6">
        <f>COUNTIFS(Table119131[Country],Tabela1[[#This Row],[Country]],Table119131[Men''s Classification],"&gt;0")</f>
        <v>0</v>
      </c>
      <c r="OV199" s="6">
        <f>COUNTIFS(Table119131[Country],Tabela1[[#This Row],[Country]],Table119131[Women''s Classification],"&gt;0")</f>
        <v>0</v>
      </c>
      <c r="OW199" s="6">
        <f>COUNTIFS(Table131[Country],Tabela1[[#This Row],[Country]],Table131[Classification],"&gt;0")</f>
        <v>0</v>
      </c>
      <c r="OX199" s="6">
        <f>COUNTIFS(Table131134[Country],Tabela1[[#This Row],[Country]],Table131134[Classification],"&gt;0")</f>
        <v>0</v>
      </c>
      <c r="OY199" s="6">
        <f>COUNTIFS(Table134[Country],Tabela1[[#This Row],[Country]],Table134[Men''s Classification],"&gt;0")</f>
        <v>0</v>
      </c>
      <c r="OZ199" s="6">
        <f>COUNTIFS(Table134[Country],Tabela1[[#This Row],[Country]],Table134[Women''s Classification],"&gt;0")</f>
        <v>0</v>
      </c>
      <c r="PA199" s="6">
        <f>COUNTIFS(Table135[Country],Tabela1[[#This Row],[Country]],Table135[Mixed Relay Classification],"&gt;0")</f>
        <v>0</v>
      </c>
      <c r="PB199" s="6">
        <f>COUNTIFS(Table136[Country],Tabela1[[#This Row],[Country]],Table136[Individual Classification],"&gt;0")</f>
        <v>0</v>
      </c>
      <c r="PC199" s="6">
        <f>COUNTIFS(Table136[Country],Tabela1[[#This Row],[Country]],Table136[Sprint Classification],"&gt;0")</f>
        <v>0</v>
      </c>
      <c r="PD199" s="6">
        <f>COUNTIFS(Table137[Country],Tabela1[[#This Row],[Country]],Table137[Men''s Team Sprint Large Hill Classification],"&gt;0")</f>
        <v>0</v>
      </c>
      <c r="PE199" s="6">
        <f>COUNTIFS(Table138[Country],Tabela1[[#This Row],[Country]],Table138[500m Classification],"&gt;0")</f>
        <v>0</v>
      </c>
      <c r="PF199" s="6">
        <f>COUNTIFS(Table138141[Country],Tabela1[[#This Row],[Country]],Table138141[500m Classification],"&gt;0")</f>
        <v>0</v>
      </c>
      <c r="PG199" s="6">
        <f>COUNTIFS(Table138[Country],Tabela1[[#This Row],[Country]],Table138[1000m Classification],"&gt;0")</f>
        <v>0</v>
      </c>
      <c r="PH199" s="6">
        <f>COUNTIFS(Table138141[Country],Tabela1[[#This Row],[Country]],Table138141[1000m Classification],"&gt;0")</f>
        <v>0</v>
      </c>
      <c r="PI199" s="6">
        <f>COUNTIFS(Table138[Country],Tabela1[[#This Row],[Country]],Table138[1500m Classification],"&gt;0")</f>
        <v>0</v>
      </c>
      <c r="PJ199" s="6">
        <f>COUNTIFS(Table138141[Country],Tabela1[[#This Row],[Country]],Table138141[1500m Classification],"&gt;0")</f>
        <v>0</v>
      </c>
      <c r="PK199" s="6">
        <f>COUNTIFS(Table141[Country],Tabela1[[#This Row],[Country]],Table141[Men''s 5000m Relay Classification],"&gt;0")</f>
        <v>0</v>
      </c>
      <c r="PL199" s="6">
        <f>COUNTIFS(Table141[Country],Tabela1[[#This Row],[Country]],Table141[Women''s 3000m Relay Classification],"&gt;0")</f>
        <v>0</v>
      </c>
      <c r="PM199" s="6">
        <f>COUNTIFS(Table141[Country],Tabela1[[#This Row],[Country]],Table141[Mixed 2000m Relay Classification],"&gt;0")</f>
        <v>0</v>
      </c>
      <c r="PN199" s="6">
        <f>COUNTIFS(Table142[Country],Tabela1[[#This Row],[Country]],Table142[Classification],"&gt;0")</f>
        <v>0</v>
      </c>
      <c r="PO199" s="6">
        <f>COUNTIFS(Table142145[Country],Tabela1[[#This Row],[Country]],Table142145[Classification],"&gt;0")</f>
        <v>0</v>
      </c>
      <c r="PP199" s="6">
        <f>COUNTIFS(Tabela15[Country],Tabela1[[#This Row],[Country]],Tabela15[Mixed Team Classification],"&gt;0")</f>
        <v>0</v>
      </c>
      <c r="PQ199" s="6">
        <f>COUNTIFS(Table145[Country],Tabela1[[#This Row],[Country]],Table145[Large Hill Classification],"&gt;0")</f>
        <v>0</v>
      </c>
      <c r="PR199" s="6">
        <f>COUNTIFS(Table145[Country],Tabela1[[#This Row],[Country]],Table145[Normal Hill Classification],"&gt;0")</f>
        <v>0</v>
      </c>
      <c r="PS199" s="6">
        <f>COUNTIFS(Table145148[Country],Tabela1[[#This Row],[Country]],Table145148[Large Hill Classification],"&gt;0")</f>
        <v>0</v>
      </c>
      <c r="PT199" s="6">
        <f>COUNTIFS(Table145148[Country],Tabela1[[#This Row],[Country]],Table145148[Normal Hill Classification],"&gt;0")</f>
        <v>0</v>
      </c>
      <c r="PU199" s="6">
        <f>COUNTIFS(Table148[Country],Tabela1[[#This Row],[Country]],Table148[Men''s Super Team Classification],"&gt;0")</f>
        <v>0</v>
      </c>
      <c r="PV199" s="6">
        <f>COUNTIFS(Tabela114[Country],Tabela1[[#This Row],[Country]],Tabela114[Mixed Normal Hill Classification],"&gt;0")</f>
        <v>0</v>
      </c>
      <c r="PW199" s="6">
        <f>COUNTIFS(Tabela50[Country],Tabela1[[#This Row],[Country]],Tabela50[Sprint Classification],"&gt;0")</f>
        <v>0</v>
      </c>
      <c r="PX199" s="6">
        <f>COUNTIFS(Tabela50101[Country],Tabela1[[#This Row],[Country]],Tabela50101[Sprint Classification],"&gt;0")</f>
        <v>0</v>
      </c>
      <c r="PY199" s="6">
        <f>COUNTIFS(Tabela103[Country],Tabela1[[#This Row],[Country]],Tabela103[Mixed Relay Classification],"&gt;0")</f>
        <v>0</v>
      </c>
      <c r="PZ199" s="6">
        <f>COUNTIFS(Table149[Country],Tabela1[[#This Row],[Country]],Table149[Big Air Classification],"&gt;0")</f>
        <v>0</v>
      </c>
      <c r="QA199" s="6">
        <f>COUNTIFS(Table149152[Country],Tabela1[[#This Row],[Country]],Table149152[Big Air Classification],"&gt;0")</f>
        <v>0</v>
      </c>
      <c r="QB199" s="6">
        <f>COUNTIFS(Table149[Country],Tabela1[[#This Row],[Country]],Table149[Halfpipe Classification],"&gt;0")</f>
        <v>0</v>
      </c>
      <c r="QC199" s="6">
        <f>COUNTIFS(Table149152[Country],Tabela1[[#This Row],[Country]],Table149152[Halfpipe Classification],"&gt;0")</f>
        <v>0</v>
      </c>
      <c r="QD199" s="6">
        <f>COUNTIFS(Table149[Country],Tabela1[[#This Row],[Country]],Table149[Parallel Giant Slalom Classification],"&gt;0")</f>
        <v>0</v>
      </c>
      <c r="QE199" s="6">
        <f>COUNTIFS(Table149152[Country],Tabela1[[#This Row],[Country]],Table149152[Parallel Giant Slalom Classification],"&gt;0")</f>
        <v>0</v>
      </c>
      <c r="QF199" s="6">
        <f>COUNTIFS(Table149[Country],Tabela1[[#This Row],[Country]],Table149[Slopestyle Classification],"&gt;0")</f>
        <v>0</v>
      </c>
      <c r="QG199" s="6">
        <f>COUNTIFS(Table149152[Country],Tabela1[[#This Row],[Country]],Table149152[Slopestyle Classification],"&gt;0")</f>
        <v>0</v>
      </c>
      <c r="QH199" s="6">
        <f>COUNTIFS(Table149[Country],Tabela1[[#This Row],[Country]],Table149[Snowboard Cross Classification],"&gt;0")</f>
        <v>0</v>
      </c>
      <c r="QI199" s="6">
        <f>COUNTIFS(Table149152[Country],Tabela1[[#This Row],[Country]],Table149152[Snowboard Cross Classification],"&gt;0")</f>
        <v>0</v>
      </c>
      <c r="QJ199" s="6">
        <f>COUNTIFS(Table153[Country],Tabela1[[#This Row],[Country]],Table153[Mixed Team Snowboard Cross Classification],"&gt;0")</f>
        <v>0</v>
      </c>
      <c r="QK199" s="6">
        <f>COUNTIFS(Table154[Country],Tabela1[[#This Row],[Country]],Table154[500m Classification],"&gt;0")</f>
        <v>0</v>
      </c>
      <c r="QL199" s="6">
        <f>COUNTIFS(Table154157[Country],Tabela1[[#This Row],[Country]],Table154157[500m Classification],"&gt;0")</f>
        <v>0</v>
      </c>
      <c r="QM199" s="6">
        <f>COUNTIFS(Table154[Country],Tabela1[[#This Row],[Country]],Table154[1000m Classification],"&gt;0")</f>
        <v>0</v>
      </c>
      <c r="QN199" s="6">
        <f>COUNTIFS(Table154157[Country],Tabela1[[#This Row],[Country]],Table154157[1000m Classification],"&gt;0")</f>
        <v>0</v>
      </c>
      <c r="QO199" s="6">
        <f>COUNTIFS(Table154[Country],Tabela1[[#This Row],[Country]],Table154[1500m Classification],"&gt;0")</f>
        <v>0</v>
      </c>
      <c r="QP199" s="6">
        <f>COUNTIFS(Table154157[Country],Tabela1[[#This Row],[Country]],Table154157[1500m Classification],"&gt;0")</f>
        <v>0</v>
      </c>
      <c r="QQ199" s="6">
        <f>COUNTIFS(Table154157[Country],Tabela1[[#This Row],[Country]],Table154157[3000m Classification],"&gt;0")</f>
        <v>0</v>
      </c>
      <c r="QR199" s="6">
        <f>COUNTIFS(Table154[Country],Tabela1[[#This Row],[Country]],Table154[5000m Classification],"&gt;0")</f>
        <v>0</v>
      </c>
      <c r="QS199" s="6">
        <f>COUNTIFS(Table154157[Country],Tabela1[[#This Row],[Country]],Table154157[5000m Classification],"&gt;0")</f>
        <v>0</v>
      </c>
      <c r="QT199" s="6">
        <f>COUNTIFS(Table154[Country],Tabela1[[#This Row],[Country]],Table154[10000m Classification],"&gt;0")</f>
        <v>0</v>
      </c>
      <c r="QU199" s="6">
        <f>COUNTIFS(Table154[Country],Tabela1[[#This Row],[Country]],Table154[Mass Start Classification],"&gt;0")</f>
        <v>0</v>
      </c>
      <c r="QV199" s="6">
        <f>COUNTIFS(Table154157[Country],Tabela1[[#This Row],[Country]],Table154157[Mass Start Classification],"&gt;0")</f>
        <v>0</v>
      </c>
      <c r="QW199" s="6">
        <f>COUNTIFS(Table157[Country],Tabela1[[#This Row],[Country]],Table157[Men''s Pursuit Classification],"&gt;0")</f>
        <v>0</v>
      </c>
      <c r="QX199" s="6">
        <f>COUNTIFS(Table157[Country],Tabela1[[#This Row],[Country]],Table157[Women''s Pursuit Classification],"&gt;0")</f>
        <v>0</v>
      </c>
      <c r="QY199" s="3" t="s">
        <v>693</v>
      </c>
    </row>
    <row r="200" spans="1:467" x14ac:dyDescent="0.3">
      <c r="A200" s="6">
        <v>199</v>
      </c>
      <c r="B200" s="6" t="s">
        <v>452</v>
      </c>
      <c r="C200" t="e" vm="199">
        <f>IF(ISBLANK(Tabela1[[#This Row],[Image Link]]), "", _xlfn.IMAGE(Tabela1[[#This Row],[Image Link]],1,1))</f>
        <v>#VALUE!</v>
      </c>
      <c r="D200" s="6">
        <f>SUM(Tabela1[[#This Row],[Archery - Men''s Individual Recurve]:[Speed Skating - Women''s Team Pursuit]])</f>
        <v>0</v>
      </c>
      <c r="E200" s="6">
        <f>COUNTIF(Tabela1[[#This Row],[Archery - Men''s Individual Recurve]:[Speed Skating - Women''s Team Pursuit]],"&gt;0")</f>
        <v>0</v>
      </c>
      <c r="F200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200" s="6">
        <f>SUM(Tabela1[[#This Row],[Archery - Men''s Individual Recurve]:[Wrestling - Women''s Freestyle 76kg]])</f>
        <v>0</v>
      </c>
      <c r="H200" s="6">
        <f>SUM(Tabela1[[#This Row],[Alpine Skiing - Men''s Downhill]:[Speed Skating - Women''s Team Pursuit]])</f>
        <v>0</v>
      </c>
      <c r="I200" s="6">
        <f>Tabela1[[#This Row],[Summer Gold Medals]]+Tabela1[[#This Row],[Winter Gold Medals]]</f>
        <v>0</v>
      </c>
      <c r="J200" s="6">
        <f>Tabela1[[#This Row],[Summer Silver Medals]]+Tabela1[[#This Row],[Winter Silver Medals]]</f>
        <v>0</v>
      </c>
      <c r="K200" s="6">
        <f>Tabela1[[#This Row],[Summer Bronze Medals]]+Tabela1[[#This Row],[Winter Bronze Medals]]</f>
        <v>0</v>
      </c>
      <c r="L200" s="6">
        <f>SUM(Tabela1[[#This Row],[Total Gold Medals]:[Total Bronze Medals]])</f>
        <v>0</v>
      </c>
      <c r="M200" s="6"/>
      <c r="N200" s="6"/>
      <c r="O200" s="6"/>
      <c r="P200" s="6">
        <f>SUM(Tabela1[[#This Row],[Summer Gold Medals]:[Summer Bronze Medals]])</f>
        <v>0</v>
      </c>
      <c r="Q200" s="6"/>
      <c r="R200" s="6"/>
      <c r="S200" s="6"/>
      <c r="T200" s="6">
        <f>Tabela1[[#This Row],[Winter Gold Medals]]+Tabela1[[#This Row],[Winter Silver Medals]]+Tabela1[[#This Row],[Winter Bronze Medals]]</f>
        <v>0</v>
      </c>
      <c r="U200" s="7" t="e">
        <f>Tabela1[[#This Row],[Total Medals]]/Tabela1[[#This Row],[Total Quotas]]</f>
        <v>#DIV/0!</v>
      </c>
      <c r="V200" s="6">
        <f>COUNTIFS(Table3[Country],Tabela1[[#This Row],[Country]],Table3[Recurve Classification],"&gt;0")</f>
        <v>0</v>
      </c>
      <c r="W200" s="6">
        <f>COUNTIFS(Table33[Country],Tabela1[[#This Row],[Country]],Table33[Recurve Classification],"&gt;0")</f>
        <v>0</v>
      </c>
      <c r="X200" s="6">
        <f>COUNTIFS(Table35[Country],Tabela1[[#This Row],[Country]],Table35[Men''s Team Recurve Classification],"&gt;0")</f>
        <v>0</v>
      </c>
      <c r="Y200" s="6">
        <f>COUNTIFS(Table35[Country],Tabela1[[#This Row],[Country]],Table35[Women''s Team Recurve Classification],"&gt;0")</f>
        <v>0</v>
      </c>
      <c r="Z200" s="6">
        <f>COUNTIFS(Tabela88[Country],Tabela1[[#This Row],[Country]],Tabela88[Mixed Team Recurve Classification],"&gt;0")</f>
        <v>0</v>
      </c>
      <c r="AA200" s="6">
        <f>COUNTIFS(Table36[Country],Tabela1[[#This Row],[Country]],Table36[Classification],"&gt;0")</f>
        <v>0</v>
      </c>
      <c r="AB200" s="6">
        <f>COUNTIFS(Table37[Country],Tabela1[[#This Row],[Country]],Table37[Classification],"&gt;0")</f>
        <v>0</v>
      </c>
      <c r="AC200" s="6">
        <f>COUNTIFS(Table4[Country],Tabela1[[#This Row],[Country]],Table4[100m Classification],"&gt;0")</f>
        <v>0</v>
      </c>
      <c r="AD200" s="6">
        <f>COUNTIFS(Table5[Country],Tabela1[[#This Row],[Country]],Table5[100m Classification],"&gt;0")</f>
        <v>0</v>
      </c>
      <c r="AE200" s="6">
        <f>COUNTIFS(Table4[Country],Tabela1[[#This Row],[Country]],Table4[200m Classification],"&gt;0")</f>
        <v>0</v>
      </c>
      <c r="AF200" s="6">
        <f>COUNTIFS(Table5[Country],Tabela1[[#This Row],[Country]],Table5[200m Classification],"&gt;0")</f>
        <v>0</v>
      </c>
      <c r="AG200" s="6">
        <f>COUNTIFS(Table4[Country],Tabela1[[#This Row],[Country]],Table4[400m Classification],"&gt;0")</f>
        <v>0</v>
      </c>
      <c r="AH200" s="6">
        <f>COUNTIFS(Table5[Country],Tabela1[[#This Row],[Country]],Table5[400m Classification],"&gt;0")</f>
        <v>0</v>
      </c>
      <c r="AI200" s="6">
        <f>COUNTIFS(Table4[Country],Tabela1[[#This Row],[Country]],Table4[800m Classification],"&gt;0")</f>
        <v>0</v>
      </c>
      <c r="AJ200" s="6">
        <f>COUNTIFS(Table5[Country],Tabela1[[#This Row],[Country]],Table5[800m Classification],"&gt;0")</f>
        <v>0</v>
      </c>
      <c r="AK200" s="6">
        <f>COUNTIFS(Table4[Country],Tabela1[[#This Row],[Country]],Table4[1500m Classification],"&gt;0")</f>
        <v>0</v>
      </c>
      <c r="AL200" s="6">
        <f>COUNTIFS(Table5[Country],Tabela1[[#This Row],[Country]],Table5[1500m Classification],"&gt;0")</f>
        <v>0</v>
      </c>
      <c r="AM200" s="6">
        <f>COUNTIFS(Table4[Country],Tabela1[[#This Row],[Country]],Table4[5000m Classification],"&gt;0")</f>
        <v>0</v>
      </c>
      <c r="AN200" s="6">
        <f>COUNTIFS(Table5[Country],Tabela1[[#This Row],[Country]],Table5[5000m Classification],"&gt;0")</f>
        <v>0</v>
      </c>
      <c r="AO200" s="6">
        <f>COUNTIFS(Table4[Country],Tabela1[[#This Row],[Country]],Table4[10000m Classification],"&gt;0")</f>
        <v>0</v>
      </c>
      <c r="AP200" s="6">
        <f>COUNTIFS(Table5[Country],Tabela1[[#This Row],[Country]],Table5[10000m Classification],"&gt;0")</f>
        <v>0</v>
      </c>
      <c r="AQ200" s="6">
        <f>COUNTIFS(Table4[Country],Tabela1[[#This Row],[Country]],Table4[110m Hurdles Classification],"&gt;0")</f>
        <v>0</v>
      </c>
      <c r="AR200" s="6">
        <f>COUNTIFS(Table5[Country],Tabela1[[#This Row],[Country]],Table5[100m Hurdles Classification],"&gt;0")</f>
        <v>0</v>
      </c>
      <c r="AS200" s="6">
        <f>COUNTIFS(Table4[Country],Tabela1[[#This Row],[Country]],Table4[400m Hurdles Classification],"&gt;0")</f>
        <v>0</v>
      </c>
      <c r="AT200" s="6">
        <f>COUNTIFS(Table5[Country],Tabela1[[#This Row],[Country]],Table5[400m Hurdles Classification],"&gt;0")</f>
        <v>0</v>
      </c>
      <c r="AU200" s="6">
        <f>COUNTIFS(Table4[Country],Tabela1[[#This Row],[Country]],Table4[3000m Steeplechase Classification],"&gt;0")</f>
        <v>0</v>
      </c>
      <c r="AV200" s="6">
        <f>COUNTIFS(Table5[Country],Tabela1[[#This Row],[Country]],Table5[3000m Steeplechase Classification],"&gt;0")</f>
        <v>0</v>
      </c>
      <c r="AW200" s="6">
        <f>COUNTIFS(Table27[Country],Tabela1[[#This Row],[Country]],Table27[Men''s 4x100m Relay Classification],"&gt;0")</f>
        <v>0</v>
      </c>
      <c r="AX200" s="6">
        <f>COUNTIFS(Table27[Country],Tabela1[[#This Row],[Country]],Table27[Women''s 4x100m Relay Classification],"&gt;0")</f>
        <v>0</v>
      </c>
      <c r="AY200" s="6">
        <f>COUNTIFS(Table27[Country],Tabela1[[#This Row],[Country]],Table27[Men''s 4x400m Relay Classification],"&gt;0")</f>
        <v>0</v>
      </c>
      <c r="AZ200" s="6">
        <f>COUNTIFS(Table27[Country],Tabela1[[#This Row],[Country]],Table27[Women''s 4x400m Relay Classification],"&gt;0")</f>
        <v>0</v>
      </c>
      <c r="BA200" s="6">
        <f>COUNTIFS(Table27[Country],Tabela1[[#This Row],[Country]],Table27[Mixed 4x400m Relay Classification],"&gt;0")</f>
        <v>0</v>
      </c>
      <c r="BB200" s="6">
        <f>COUNTIFS(Table4[Country],Tabela1[[#This Row],[Country]],Table4[Marathon Classification],"&gt;0")</f>
        <v>0</v>
      </c>
      <c r="BC200" s="6">
        <f>COUNTIFS(Table5[Country],Tabela1[[#This Row],[Country]],Table5[Marathon Classification],"&gt;0")</f>
        <v>0</v>
      </c>
      <c r="BD200" s="6">
        <f>COUNTIFS(Table4[Country],Tabela1[[#This Row],[Country]],Table4[20km Race Walk Classification],"&gt;0")</f>
        <v>0</v>
      </c>
      <c r="BE200" s="6">
        <f>COUNTIFS(Table5[Country],Tabela1[[#This Row],[Country]],Table5[20km Race Walk Classification],"&gt;0")</f>
        <v>0</v>
      </c>
      <c r="BF200" s="6">
        <f>COUNTIFS(Tabela96[Country],Tabela1[[#This Row],[Country]],Tabela96[Mixed Marathon Race Walk Relay Classification],"&gt;0")</f>
        <v>0</v>
      </c>
      <c r="BG200" s="6">
        <f>COUNTIFS(Table4[Country],Tabela1[[#This Row],[Country]],Table4[Discus Throw Classification],"&gt;0")</f>
        <v>0</v>
      </c>
      <c r="BH200" s="6">
        <f>COUNTIFS(Table5[Country],Tabela1[[#This Row],[Country]],Table5[Discus Throw Classification],"&gt;0")</f>
        <v>0</v>
      </c>
      <c r="BI200" s="6">
        <f>COUNTIFS(Table4[Country],Tabela1[[#This Row],[Country]],Table4[Hammer Throw Classification],"&gt;0")</f>
        <v>0</v>
      </c>
      <c r="BJ200" s="6">
        <f>COUNTIFS(Table5[Country],Tabela1[[#This Row],[Country]],Table5[Hammer Throw Classification],"&gt;0")</f>
        <v>0</v>
      </c>
      <c r="BK200" s="6">
        <f>COUNTIFS(Table4[Country],Tabela1[[#This Row],[Country]],Table4[High Jump Classification],"&gt;0")</f>
        <v>0</v>
      </c>
      <c r="BL200" s="6">
        <f>COUNTIFS(Table5[Country],Tabela1[[#This Row],[Country]],Table5[High Jump Classification],"&gt;0")</f>
        <v>0</v>
      </c>
      <c r="BM200" s="6">
        <f>COUNTIFS(Table4[Country],Tabela1[[#This Row],[Country]],Table4[Javelin Throw Classification],"&gt;0")</f>
        <v>0</v>
      </c>
      <c r="BN200" s="6">
        <f>COUNTIFS(Table5[Country],Tabela1[[#This Row],[Country]],Table5[Javelin Throw Classification],"&gt;0")</f>
        <v>0</v>
      </c>
      <c r="BO200" s="6">
        <f>COUNTIFS(Table4[Country],Tabela1[[#This Row],[Country]],Table4[Long Jump Classification],"&gt;0")</f>
        <v>0</v>
      </c>
      <c r="BP200" s="6">
        <f>COUNTIFS(Table5[Country],Tabela1[[#This Row],[Country]],Table5[Long Jump Classification],"&gt;0")</f>
        <v>0</v>
      </c>
      <c r="BQ200" s="6">
        <f>COUNTIFS(Table4[Country],Tabela1[[#This Row],[Country]],Table4[Pole Vault Classification],"&gt;0")</f>
        <v>0</v>
      </c>
      <c r="BR200" s="6">
        <f>COUNTIFS(Table5[Country],Tabela1[[#This Row],[Country]],Table5[Pole Vault Classification],"&gt;0")</f>
        <v>0</v>
      </c>
      <c r="BS200" s="6">
        <f>COUNTIFS(Table4[Country],Tabela1[[#This Row],[Country]],Table4[Shot Put Classification],"&gt;0")</f>
        <v>0</v>
      </c>
      <c r="BT200" s="6">
        <f>COUNTIFS(Table5[Country],Tabela1[[#This Row],[Country]],Table5[Shot Put Classification],"&gt;0")</f>
        <v>0</v>
      </c>
      <c r="BU200" s="6">
        <f>COUNTIFS(Table4[Country],Tabela1[[#This Row],[Country]],Table4[Triple Jump Classification],"&gt;0")</f>
        <v>0</v>
      </c>
      <c r="BV200" s="6">
        <f>COUNTIFS(Table5[Country],Tabela1[[#This Row],[Country]],Table5[Triple Jump Classification],"&gt;0")</f>
        <v>0</v>
      </c>
      <c r="BW200" s="6">
        <f>COUNTIFS(Table4[Country],Tabela1[[#This Row],[Country]],Table4[Decathlon Classification],"&gt;0")</f>
        <v>0</v>
      </c>
      <c r="BX200" s="6">
        <f>COUNTIFS(Table5[Country],Tabela1[[#This Row],[Country]],Table5[Heptathlon Classification],"&gt;0")</f>
        <v>0</v>
      </c>
      <c r="BY200" s="6">
        <f>COUNTIFS(Table61[Country],Tabela1[[#This Row],[Country]],Table61[Classification],"&gt;0")</f>
        <v>0</v>
      </c>
      <c r="BZ200" s="6">
        <f>COUNTIFS(Table38[Country],Tabela1[[#This Row],[Country]],Table38[Classification],"&gt;0")</f>
        <v>0</v>
      </c>
      <c r="CA200" s="6">
        <f>COUNTIFS(Table39[Country],Tabela1[[#This Row],[Country]],Table39[Men''s Classification],"&gt;0")</f>
        <v>0</v>
      </c>
      <c r="CB200" s="6">
        <f>COUNTIFS(Table39[Country],Tabela1[[#This Row],[Country]],Table39[Women''s Classification],"&gt;0")</f>
        <v>0</v>
      </c>
      <c r="CC200" s="6">
        <f>COUNTIFS(Table39[Country],Tabela1[[#This Row],[Country]],Table39[Mixed Classification],"&gt;0")</f>
        <v>0</v>
      </c>
      <c r="CD200" s="6">
        <f>COUNTIFS(Table89[Country],Tabela1[[#This Row],[Country]],Table89[Men''s Classification],"&gt;0")</f>
        <v>0</v>
      </c>
      <c r="CE200" s="6">
        <f>COUNTIFS(Table89[Country],Tabela1[[#This Row],[Country]],Table89[Women''s Classification],"&gt;0")</f>
        <v>0</v>
      </c>
      <c r="CF200" s="6">
        <f>COUNTIFS(Table90[Country],Tabela1[[#This Row],[Country]],Table90[Men''s Classification],"&gt;0")</f>
        <v>0</v>
      </c>
      <c r="CG200" s="6">
        <f>COUNTIFS(Table90[Country],Tabela1[[#This Row],[Country]],Table90[Women''s Classification],"&gt;0")</f>
        <v>0</v>
      </c>
      <c r="CH200" s="6">
        <f>COUNTIFS(Table60[Country],Tabela1[[#This Row],[Country]],Table60[Men''s Classification],"&gt;0")</f>
        <v>0</v>
      </c>
      <c r="CI200" s="6">
        <f>COUNTIFS(Table60[Country],Tabela1[[#This Row],[Country]],Table60[Women''s Classification],"&gt;0")</f>
        <v>0</v>
      </c>
      <c r="CJ200" s="6">
        <f>COUNTIFS(Table6[Country],Tabela1[[#This Row],[Country]],Table6[51kg Classification],"&gt;0")</f>
        <v>0</v>
      </c>
      <c r="CK200" s="6">
        <f>COUNTIFS(Table6[Country],Tabela1[[#This Row],[Country]],Table6[57kg Classification],"&gt;0")</f>
        <v>0</v>
      </c>
      <c r="CL200" s="6">
        <f>COUNTIFS(Table6[Country],Tabela1[[#This Row],[Country]],Table6[63.5kg Classification],"&gt;0")</f>
        <v>0</v>
      </c>
      <c r="CM200" s="6">
        <f>COUNTIFS(Table6[Country],Tabela1[[#This Row],[Country]],Table6[71kg Classification],"&gt;0")</f>
        <v>0</v>
      </c>
      <c r="CN200" s="6">
        <f>COUNTIFS(Table6[Country],Tabela1[[#This Row],[Country]],Table6[80kg Classification],"&gt;0")</f>
        <v>0</v>
      </c>
      <c r="CO200" s="6">
        <f>COUNTIFS(Table6[Country],Tabela1[[#This Row],[Country]],Table6[92kg Classification],"&gt;0")</f>
        <v>0</v>
      </c>
      <c r="CP200" s="6">
        <f>COUNTIFS(Table6[Country],Tabela1[[#This Row],[Country]],Table6[Plus 92kg Classification],"&gt;0")</f>
        <v>0</v>
      </c>
      <c r="CQ200" s="6">
        <f>COUNTIFS(Table7[Country],Tabela1[[#This Row],[Country]],Table7[50kg Classification],"&gt;0")</f>
        <v>0</v>
      </c>
      <c r="CR200" s="6">
        <f>COUNTIFS(Table7[Country],Tabela1[[#This Row],[Country]],Table7[54kg Classification],"&gt;0")</f>
        <v>0</v>
      </c>
      <c r="CS200" s="6">
        <f>COUNTIFS(Table7[Country],Tabela1[[#This Row],[Country]],Table7[57kg Classification],"&gt;0")</f>
        <v>0</v>
      </c>
      <c r="CT200" s="6">
        <f>COUNTIFS(Table7[Country],Tabela1[[#This Row],[Country]],Table7[60kg Classification],"&gt;0")</f>
        <v>0</v>
      </c>
      <c r="CU200" s="6">
        <f>COUNTIFS(Table7[Country],Tabela1[[#This Row],[Country]],Table7[66kg Classification],"&gt;0")</f>
        <v>0</v>
      </c>
      <c r="CV200" s="6">
        <f>COUNTIFS(Table7[Country],Tabela1[[#This Row],[Country]],Table7[75kg Classification],"&gt;0")</f>
        <v>0</v>
      </c>
      <c r="CW200" s="6">
        <f>COUNTIFS(Tabela94[Country],Tabela1[[#This Row],[Country]],Tabela94[Classification],"&gt;0")</f>
        <v>0</v>
      </c>
      <c r="CX200" s="6">
        <f>COUNTIFS(Tabela9499[Country],Tabela1[[#This Row],[Country]],Tabela9499[Classification],"&gt;0")</f>
        <v>0</v>
      </c>
      <c r="CY200" s="6">
        <f>COUNTIFS(Tabela107[Country],Tabela1[[#This Row],[Country]],Tabela107[C1 Slalom Classification],"&gt;0")</f>
        <v>0</v>
      </c>
      <c r="CZ200" s="6">
        <f>COUNTIFS(Tabela107122[Country],Tabela1[[#This Row],[Country]],Tabela107122[C1 Slalom Classification],"&gt;0")</f>
        <v>0</v>
      </c>
      <c r="DA200" s="6">
        <f>COUNTIFS(Tabela107[Country],Tabela1[[#This Row],[Country]],Tabela107[K1 Slalom Classification],"&gt;0")</f>
        <v>0</v>
      </c>
      <c r="DB200" s="6">
        <f>COUNTIFS(Tabela107122[Country],Tabela1[[#This Row],[Country]],Tabela107122[K1 Slalom Classification],"&gt;0")</f>
        <v>0</v>
      </c>
      <c r="DC200" s="6">
        <f>COUNTIFS(Tabela107[Country],Tabela1[[#This Row],[Country]],Tabela107[Kayak Cross Slalom Classification],"&gt;0")</f>
        <v>0</v>
      </c>
      <c r="DD200" s="6">
        <f>COUNTIFS(Tabela107122[Country],Tabela1[[#This Row],[Country]],Tabela107122[Kayak Cross Slalom Classification],"&gt;0")</f>
        <v>0</v>
      </c>
      <c r="DE200" s="6">
        <f>COUNTIFS(Table8[Country],Tabela1[[#This Row],[Country]],Table8[C1 200m Classification],"&gt;0")</f>
        <v>0</v>
      </c>
      <c r="DF200" s="6">
        <f>COUNTIFS(Table40[Country],Tabela1[[#This Row],[Country]],Table40[C1 1000m Classification],"&gt;0")</f>
        <v>0</v>
      </c>
      <c r="DG200" s="6">
        <f>COUNTIFS(Table68[Country],Tabela1[[#This Row],[Country]],Table68[Men''s C2 500m Classification],"&gt;0")</f>
        <v>0</v>
      </c>
      <c r="DH200" s="6">
        <f>COUNTIFS(Table68[Country],Tabela1[[#This Row],[Country]],Table68[Women''s C2 500m Classification],"&gt;0")</f>
        <v>0</v>
      </c>
      <c r="DI200" s="6">
        <f>COUNTIFS(Table8[Country],Tabela1[[#This Row],[Country]],Table8[K1 500m Classification],"&gt;0")</f>
        <v>0</v>
      </c>
      <c r="DJ200" s="6">
        <f>COUNTIFS(Table40[Country],Tabela1[[#This Row],[Country]],Table40[K1 1000m Classification],"&gt;0")</f>
        <v>0</v>
      </c>
      <c r="DK200" s="6">
        <f>COUNTIFS(Table68[Country],Tabela1[[#This Row],[Country]],Table68[Men''s K2 500m Classification],"&gt;0")</f>
        <v>0</v>
      </c>
      <c r="DL200" s="6">
        <f>COUNTIFS(Table68[Country],Tabela1[[#This Row],[Country]],Table68[Women''s K2 500m Classification],"&gt;0")</f>
        <v>0</v>
      </c>
      <c r="DM200" s="6">
        <f>COUNTIFS(Table83[Country],Tabela1[[#This Row],[Country]],Table83[Men''s K4 500m Classification],"&gt;0")</f>
        <v>0</v>
      </c>
      <c r="DN200" s="6">
        <f>COUNTIFS(Table83[Country],Tabela1[[#This Row],[Country]],Table83[Women''s K4 500m Classification],"&gt;0")</f>
        <v>0</v>
      </c>
      <c r="DO200" s="6">
        <f>COUNTIFS(Tabela126[Country],Tabela1[[#This Row],[Country]],Tabela126[Classification],"&gt;0")</f>
        <v>0</v>
      </c>
      <c r="DP200" s="6">
        <f>COUNTIFS(Tabela126130[Country],Tabela1[[#This Row],[Country]],Tabela126130[Classification],"&gt;0")</f>
        <v>0</v>
      </c>
      <c r="DQ200" s="6">
        <f>COUNTIFS(Table70[Country],Tabela1[[#This Row],[Country]],Table70[Classification],"&gt;0")</f>
        <v>0</v>
      </c>
      <c r="DR200" s="6">
        <f>COUNTIFS(Table80[Country],Tabela1[[#This Row],[Country]],Table80[Classification],"&gt;0")</f>
        <v>0</v>
      </c>
      <c r="DS200" s="6">
        <f>COUNTIFS(Table66[Country],Tabela1[[#This Row],[Country]],Table66[Classification],"&gt;0")</f>
        <v>0</v>
      </c>
      <c r="DT200" s="6">
        <f>COUNTIFS(Table67[Country],Tabela1[[#This Row],[Country]],Table67[Classification],"&gt;0")</f>
        <v>0</v>
      </c>
      <c r="DU200" s="6">
        <f>COUNTIFS(Table69[Country],Tabela1[[#This Row],[Country]],Table69[Keirin Classification],"&gt;0")</f>
        <v>0</v>
      </c>
      <c r="DV200" s="6">
        <f>COUNTIFS(Table41[Country],Tabela1[[#This Row],[Country]],Table41[Keirin Classification],"&gt;0")</f>
        <v>0</v>
      </c>
      <c r="DW200" s="6">
        <f>COUNTIFS(Table84[Country],Tabela1[[#This Row],[Country]],Table84[Men''s Madison Classification],"&gt;0")</f>
        <v>0</v>
      </c>
      <c r="DX200" s="6">
        <f>COUNTIFS(Table84[Country],Tabela1[[#This Row],[Country]],Table84[Women''s Madison Classification],"&gt;0")</f>
        <v>0</v>
      </c>
      <c r="DY200" s="6">
        <f>COUNTIFS(Table69[Country],Tabela1[[#This Row],[Country]],Table69[Omnium Classification],"&gt;0")</f>
        <v>0</v>
      </c>
      <c r="DZ200" s="6">
        <f>COUNTIFS(Table41[Country],Tabela1[[#This Row],[Country]],Table41[Omnium Classification],"&gt;0")</f>
        <v>0</v>
      </c>
      <c r="EA200" s="6">
        <f>COUNTIFS(Table9[Country],Tabela1[[#This Row],[Country]],Table9[Road Race Classification],"&gt;0")</f>
        <v>0</v>
      </c>
      <c r="EB200" s="6">
        <f>COUNTIFS(Table14[Country],Tabela1[[#This Row],[Country]],Table14[Road Race Classification],"&gt;0")</f>
        <v>0</v>
      </c>
      <c r="EC200" s="6">
        <f>COUNTIFS(Table69[Country],Tabela1[[#This Row],[Country]],Table69[Sprint Classification],"&gt;0")</f>
        <v>0</v>
      </c>
      <c r="ED200" s="6">
        <f>COUNTIFS(Table41[Country],Tabela1[[#This Row],[Country]],Table41[Sprint Classification],"&gt;0")</f>
        <v>0</v>
      </c>
      <c r="EE200" s="6">
        <f>COUNTIFS(Table85[Country],Tabela1[[#This Row],[Country]],Table85[Men''s Sprint Classification],"&gt;0")</f>
        <v>0</v>
      </c>
      <c r="EF200" s="6">
        <f>COUNTIFS(Table85[Country],Tabela1[[#This Row],[Country]],Table85[Women''s Sprint Classification],"&gt;0")</f>
        <v>0</v>
      </c>
      <c r="EG200" s="6">
        <f>COUNTIFS(Table85[Country],Tabela1[[#This Row],[Country]],Table85[Men''s Pursuit Classification],"&gt;0")</f>
        <v>0</v>
      </c>
      <c r="EH200" s="6">
        <f>COUNTIFS(Table85[Country],Tabela1[[#This Row],[Country]],Table85[Women''s Pursuit Classification],"&gt;0")</f>
        <v>0</v>
      </c>
      <c r="EI200" s="6">
        <f>COUNTIFS(Table9[Country],Tabela1[[#This Row],[Country]],Table9[Time-Trial Classification],"&gt;0")</f>
        <v>0</v>
      </c>
      <c r="EJ200" s="6">
        <f>COUNTIFS(Table14[Country],Tabela1[[#This Row],[Country]],Table14[Time-Trial Classification],"&gt;0")</f>
        <v>0</v>
      </c>
      <c r="EK200" s="6">
        <f>COUNTIFS(Table42[Country],Tabela1[[#This Row],[Country]],Table42[Springboard Classification],"&gt;0")</f>
        <v>0</v>
      </c>
      <c r="EL200" s="6">
        <f>COUNTIFS(Table43[Country],Tabela1[[#This Row],[Country]],Table43[Springboard Classification],"&gt;0")</f>
        <v>0</v>
      </c>
      <c r="EM200" s="6">
        <f>COUNTIFS(Table42[Country],Tabela1[[#This Row],[Country]],Table42[Platform Classification],"&gt;0")</f>
        <v>0</v>
      </c>
      <c r="EN200" s="6">
        <f>COUNTIFS(Table43[Country],Tabela1[[#This Row],[Country]],Table43[Platform Classification],"&gt;0")</f>
        <v>0</v>
      </c>
      <c r="EO200" s="6">
        <f>COUNTIFS(Table86[Country],Tabela1[[#This Row],[Country]],Table86[Men''s Synchronized Springboard Classification],"&gt;0")</f>
        <v>0</v>
      </c>
      <c r="EP200" s="6">
        <f>COUNTIFS(Table86[Country],Tabela1[[#This Row],[Country]],Table86[Women''s Synchronized Springboard Classification],"&gt;0")</f>
        <v>0</v>
      </c>
      <c r="EQ200" s="6">
        <f>COUNTIFS(Table86[Country],Tabela1[[#This Row],[Country]],Table86[Men''s Synchronized Platform Classification],"&gt;0")</f>
        <v>0</v>
      </c>
      <c r="ER200" s="6">
        <f>COUNTIFS(Table86[Country],Tabela1[[#This Row],[Country]],Table86[Women''s Synchronized Platform Classification],"&gt;0")</f>
        <v>0</v>
      </c>
      <c r="ES200" s="6">
        <f>COUNTIFS(Table44[Country],Tabela1[[#This Row],[Country]],Table44[Dressage Classification],"&gt;0")</f>
        <v>0</v>
      </c>
      <c r="ET200" s="6">
        <f>COUNTIFS(Table45[Country],Tabela1[[#This Row],[Country]],Table45[Dressage Classification],"&gt;0")</f>
        <v>0</v>
      </c>
      <c r="EU200" s="6">
        <f>COUNTIFS(Table44[Country],Tabela1[[#This Row],[Country]],Table44[Eventing Classification],"&gt;0")</f>
        <v>0</v>
      </c>
      <c r="EV200" s="6">
        <f>COUNTIFS(Table45[Country],Tabela1[[#This Row],[Country]],Table45[Eventing Classification],"&gt;0")</f>
        <v>0</v>
      </c>
      <c r="EW200" s="6">
        <f>COUNTIFS(Table44[Country],Tabela1[[#This Row],[Country]],Table44[Jumping Classification],"&gt;0")</f>
        <v>0</v>
      </c>
      <c r="EX200" s="6">
        <f>COUNTIFS(Table45[Country],Tabela1[[#This Row],[Country]],Table45[Jumping Classification],"&gt;0")</f>
        <v>0</v>
      </c>
      <c r="EY200" s="6">
        <f>COUNTIFS(Table10[Country],Tabela1[[#This Row],[Country]],Table10[Épée Classification],"&gt;0")</f>
        <v>0</v>
      </c>
      <c r="EZ200" s="6">
        <f>COUNTIFS(Table11[Country],Tabela1[[#This Row],[Country]],Table11[Épée Classification],"&gt;0")</f>
        <v>0</v>
      </c>
      <c r="FA200" s="6">
        <f>COUNTIFS(Table46[Country],Tabela1[[#This Row],[Country]],Table46[Men''s Épée Classification],"&gt;0")</f>
        <v>0</v>
      </c>
      <c r="FB200" s="6">
        <f>COUNTIFS(Table46[Country],Tabela1[[#This Row],[Country]],Table46[Women''s Épée Classification],"&gt;0")</f>
        <v>0</v>
      </c>
      <c r="FC200" s="6">
        <f>COUNTIFS(Table10[Country],Tabela1[[#This Row],[Country]],Table10[Foil Classification],"&gt;0")</f>
        <v>0</v>
      </c>
      <c r="FD200" s="6">
        <f>COUNTIFS(Table11[Country],Tabela1[[#This Row],[Country]],Table11[Foil Classification],"&gt;0")</f>
        <v>0</v>
      </c>
      <c r="FE200" s="6">
        <f>COUNTIFS(Table46[Country],Tabela1[[#This Row],[Country]],Table46[Men''s Foil Classification],"&gt;0")</f>
        <v>0</v>
      </c>
      <c r="FF200" s="6">
        <f>COUNTIFS(Table46[Country],Tabela1[[#This Row],[Country]],Table46[Women''s Foil Classification],"&gt;0")</f>
        <v>0</v>
      </c>
      <c r="FG200" s="6">
        <f>COUNTIFS(Table10[Country],Tabela1[[#This Row],[Country]],Table10[Sabre Classification],"&gt;0")</f>
        <v>0</v>
      </c>
      <c r="FH200" s="6">
        <f>COUNTIFS(Table11[Country],Tabela1[[#This Row],[Country]],Table11[Sabre Classification],"&gt;0")</f>
        <v>0</v>
      </c>
      <c r="FI200" s="6">
        <f>COUNTIFS(Table46[Country],Tabela1[[#This Row],[Country]],Table46[Men''s Sabre Classification],"&gt;0")</f>
        <v>0</v>
      </c>
      <c r="FJ200" s="6">
        <f>COUNTIFS(Table46[Country],Tabela1[[#This Row],[Country]],Table46[Women''s Sabre Classification],"&gt;0")</f>
        <v>0</v>
      </c>
      <c r="FK200" s="6">
        <f>COUNTIFS(Table91[Country],Tabela1[[#This Row],[Country]],Table91[Men''s Classification],"&gt;0")</f>
        <v>0</v>
      </c>
      <c r="FL200" s="6">
        <f>COUNTIFS(Table91[Country],Tabela1[[#This Row],[Country]],Table91[Women''s Classification],"&gt;0")</f>
        <v>0</v>
      </c>
      <c r="FM200" s="6">
        <f>COUNTIFS(Table9194[Country],Tabela1[[#This Row],[Country]],Table9194[Men''s Classification],"&gt;0")</f>
        <v>0</v>
      </c>
      <c r="FN200" s="6">
        <f>COUNTIFS(Table9194[Country],Tabela1[[#This Row],[Country]],Table9194[Women''s Classification],"&gt;0")</f>
        <v>0</v>
      </c>
      <c r="FO200" s="6">
        <f>COUNTIFS(Table71[Country],Tabela1[[#This Row],[Country]],Table71[Classification],"&gt;0")</f>
        <v>0</v>
      </c>
      <c r="FP200" s="6">
        <f>COUNTIFS(Table62[Country],Tabela1[[#This Row],[Country]],Table62[Classification],"&gt;0")</f>
        <v>0</v>
      </c>
      <c r="FQ200" s="6">
        <f>COUNTIFS(Table47[Country],Tabela1[[#This Row],[Country]],Table47[All-Around Classification],"&gt;0")</f>
        <v>0</v>
      </c>
      <c r="FR200" s="6">
        <f>COUNTIFS(Table48[Country],Tabela1[[#This Row],[Country]],Table48[All-Around Classification],"&gt;0")</f>
        <v>0</v>
      </c>
      <c r="FS200" s="6">
        <f>COUNTIFS(Table81[Country],Tabela1[[#This Row],[Country]],Table81[Men''s All-Around Classification],"&gt;0")</f>
        <v>0</v>
      </c>
      <c r="FT200" s="6">
        <f>COUNTIFS(Table81[Country],Tabela1[[#This Row],[Country]],Table81[Women''s All-Around Classification],"&gt;0")</f>
        <v>0</v>
      </c>
      <c r="FU200" s="6">
        <f>COUNTIFS(Table48[Country],Tabela1[[#This Row],[Country]],Table48[Balance Beam Classification],"&gt;0")</f>
        <v>0</v>
      </c>
      <c r="FV200" s="6">
        <f>COUNTIFS(Table47[Country],Tabela1[[#This Row],[Country]],Table47[Floor Exercise Classification],"&gt;0")</f>
        <v>0</v>
      </c>
      <c r="FW200" s="6">
        <f>COUNTIFS(Table48[Country],Tabela1[[#This Row],[Country]],Table48[Floor Exercise Classification],"&gt;0")</f>
        <v>0</v>
      </c>
      <c r="FX200" s="6">
        <f>COUNTIFS(Table47[Country],Tabela1[[#This Row],[Country]],Table47[Horizontal Bar Classification],"&gt;0")</f>
        <v>0</v>
      </c>
      <c r="FY200" s="6">
        <f>COUNTIFS(Table47[Country],Tabela1[[#This Row],[Country]],Table47[Parallel Bars Classification],"&gt;0")</f>
        <v>0</v>
      </c>
      <c r="FZ200" s="6">
        <f>COUNTIFS(Table47[Country],Tabela1[[#This Row],[Country]],Table47[Pommel Horse Classification],"&gt;0")</f>
        <v>0</v>
      </c>
      <c r="GA200" s="6">
        <f>COUNTIFS(Table47[Country],Tabela1[[#This Row],[Country]],Table47[Rings Classification],"&gt;0")</f>
        <v>0</v>
      </c>
      <c r="GB200" s="6">
        <f>COUNTIFS(Tabela132[Country],Tabela1[[#This Row],[Country]],Tabela132[Classification],"&gt;0")</f>
        <v>0</v>
      </c>
      <c r="GC200" s="6">
        <f>COUNTIFS(Tabela139[Country],Tabela1[[#This Row],[Country]],Tabela139[Classification],"&gt;0")</f>
        <v>0</v>
      </c>
      <c r="GD200" s="6">
        <f>COUNTIFS(Table48[Country],Tabela1[[#This Row],[Country]],Table48[Uneven Bars Classification],"&gt;0")</f>
        <v>0</v>
      </c>
      <c r="GE200" s="6">
        <f>COUNTIFS(Table47[Country],Tabela1[[#This Row],[Country]],Table47[Vault Classification],"&gt;0")</f>
        <v>0</v>
      </c>
      <c r="GF200" s="6">
        <f>COUNTIFS(Table48[Country],Tabela1[[#This Row],[Country]],Table48[Vault Classification],"&gt;0")</f>
        <v>0</v>
      </c>
      <c r="GG200" s="6">
        <f>COUNTIFS(Table919496[Country],Tabela1[[#This Row],[Country]],Table919496[Men''s Classification],"&gt;0")</f>
        <v>0</v>
      </c>
      <c r="GH200" s="6">
        <f>COUNTIFS(Table919496[Country],Tabela1[[#This Row],[Country]],Table919496[Women''s Classification],"&gt;0")</f>
        <v>0</v>
      </c>
      <c r="GI200" s="6">
        <f>COUNTIFS(Table12[Country],Tabela1[[#This Row],[Country]],Table12[60kg Classification],"&gt;0")</f>
        <v>0</v>
      </c>
      <c r="GJ200" s="6">
        <f>COUNTIFS(Table12[Country],Tabela1[[#This Row],[Country]],Table12[66kg Classification],"&gt;0")</f>
        <v>0</v>
      </c>
      <c r="GK200" s="6">
        <f>COUNTIFS(Table12[Country],Tabela1[[#This Row],[Country]],Table12[73kg Classification],"&gt;0")</f>
        <v>0</v>
      </c>
      <c r="GL200" s="6">
        <f>COUNTIFS(Table12[Country],Tabela1[[#This Row],[Country]],Table12[81kg Classification],"&gt;0")</f>
        <v>0</v>
      </c>
      <c r="GM200" s="6">
        <f>COUNTIFS(Table12[Country],Tabela1[[#This Row],[Country]],Table12[90kg Classification],"&gt;0")</f>
        <v>0</v>
      </c>
      <c r="GN200" s="6">
        <f>COUNTIFS(Table12[Country],Tabela1[[#This Row],[Country]],Table12[100kg Classification],"&gt;0")</f>
        <v>0</v>
      </c>
      <c r="GO200" s="6">
        <f>COUNTIFS(Table12[Country],Tabela1[[#This Row],[Country]],Table12[Plus 100kg Classification],"&gt;0")</f>
        <v>0</v>
      </c>
      <c r="GP200" s="6">
        <f>COUNTIFS(Table13[Country],Tabela1[[#This Row],[Country]],Table13[48kg Classification],"&gt;0")</f>
        <v>0</v>
      </c>
      <c r="GQ200" s="6">
        <f>COUNTIFS(Table13[Country],Tabela1[[#This Row],[Country]],Table13[52kg Classification],"&gt;0")</f>
        <v>0</v>
      </c>
      <c r="GR200" s="6">
        <f>COUNTIFS(Table13[Country],Tabela1[[#This Row],[Country]],Table13[57kg Classification],"&gt;0")</f>
        <v>0</v>
      </c>
      <c r="GS200" s="6">
        <f>COUNTIFS(Table13[Country],Tabela1[[#This Row],[Country]],Table13[63kg Classification],"&gt;0")</f>
        <v>0</v>
      </c>
      <c r="GT200" s="6">
        <f>COUNTIFS(Table13[Country],Tabela1[[#This Row],[Country]],Table13[70kg Classification],"&gt;0")</f>
        <v>0</v>
      </c>
      <c r="GU200" s="6">
        <f>COUNTIFS(Table13[Country],Tabela1[[#This Row],[Country]],Table13[78kg Classification],"&gt;0")</f>
        <v>0</v>
      </c>
      <c r="GV200" s="6">
        <f>COUNTIFS(Table13[Country],Tabela1[[#This Row],[Country]],Table13[Plus 78kg Classification],"&gt;0")</f>
        <v>0</v>
      </c>
      <c r="GW200" s="6">
        <f>COUNTIFS(Table82[Country],Tabela1[[#This Row],[Country]],Table82[Mixed Classification],"&gt;0")</f>
        <v>0</v>
      </c>
      <c r="GX200" s="6">
        <f>COUNTIFS(Table51[Country],Tabela1[[#This Row],[Country]],Table51[Classification],"&gt;0")</f>
        <v>0</v>
      </c>
      <c r="GY200" s="6">
        <f>COUNTIFS(Table52[Country],Tabela1[[#This Row],[Country]],Table52[Classification],"&gt;0")</f>
        <v>0</v>
      </c>
      <c r="GZ200" s="6">
        <f>COUNTIFS(Table32[Country],Tabela1[[#This Row],[Country]],Table32[All-Around Classification],"&gt;0")</f>
        <v>0</v>
      </c>
      <c r="HA200" s="6">
        <f>COUNTIFS(Table49[Country],Tabela1[[#This Row],[Country]],Table49[All-Around Classification],"&gt;0")</f>
        <v>0</v>
      </c>
      <c r="HB200" s="6">
        <f>COUNTIFS(Table26[Country],Tabela1[[#This Row],[Country]],Table26[Single Sculls Classification],"&gt;0")</f>
        <v>0</v>
      </c>
      <c r="HC200" s="6">
        <f>COUNTIFS(Table63[Country],Tabela1[[#This Row],[Country]],Table63[Single Sculls Classification],"&gt;0")</f>
        <v>0</v>
      </c>
      <c r="HD200" s="6">
        <f>COUNTIFS(Table16[Country],Tabela1[[#This Row],[Country]],Table16[Men''s Double Sculls Classification],"&gt;0")</f>
        <v>0</v>
      </c>
      <c r="HE200" s="6">
        <f>COUNTIFS(Table16[Country],Tabela1[[#This Row],[Country]],Table16[Women''s Double Sculls Classification],"&gt;0")</f>
        <v>0</v>
      </c>
      <c r="HF200" s="6">
        <f>COUNTIFS(Table72[Country],Tabela1[[#This Row],[Country]],Table72[Men''s Quadruple Sculls Classification],"&gt;0")</f>
        <v>0</v>
      </c>
      <c r="HG200" s="6">
        <f>COUNTIFS(Table72[Country],Tabela1[[#This Row],[Country]],Table72[Women''s Quadruple Sculls Classification],"&gt;0")</f>
        <v>0</v>
      </c>
      <c r="HH200" s="6">
        <f>COUNTIFS(Table16[Country],Tabela1[[#This Row],[Country]],Table16[Men''s Coxless Pairs Classification],"&gt;0")</f>
        <v>0</v>
      </c>
      <c r="HI200" s="6">
        <f>COUNTIFS(Table16[Country],Tabela1[[#This Row],[Country]],Table16[Women''s Coxless Pairs Classification],"&gt;0")</f>
        <v>0</v>
      </c>
      <c r="HJ200" s="6">
        <f>COUNTIFS(Table72[Country],Tabela1[[#This Row],[Country]],Table72[Men''s Coxless Fours Classification],"&gt;0")</f>
        <v>0</v>
      </c>
      <c r="HK200" s="6">
        <f>COUNTIFS(Table72[Country],Tabela1[[#This Row],[Country]],Table72[Women''s Coxless Fours Classification],"&gt;0")</f>
        <v>0</v>
      </c>
      <c r="HL200" s="6">
        <f>COUNTIFS(Table72[Country],Tabela1[[#This Row],[Country]],Table72[Men''s Eights Classification],"&gt;0")</f>
        <v>0</v>
      </c>
      <c r="HM200" s="6">
        <f>COUNTIFS(Table72[Country],Tabela1[[#This Row],[Country]],Table72[Women''s Eights Classification],"&gt;0")</f>
        <v>0</v>
      </c>
      <c r="HN200" s="6">
        <f>COUNTIFS(Table16[Country],Tabela1[[#This Row],[Country]],Table16[Men''s Lwt. Double Sculls Classification],"&gt;0")</f>
        <v>0</v>
      </c>
      <c r="HO200" s="6">
        <f>COUNTIFS(Table16[Country],Tabela1[[#This Row],[Country]],Table16[Women''s Lwt. Double Sculls Classification],"&gt;0")</f>
        <v>0</v>
      </c>
      <c r="HP200" s="6">
        <f>COUNTIFS(Table91949698[Country],Tabela1[[#This Row],[Country]],Table91949698[Men''s Classification],"&gt;0")</f>
        <v>0</v>
      </c>
      <c r="HQ200" s="6">
        <f>COUNTIFS(Table91949698[Country],Tabela1[[#This Row],[Country]],Table91949698[Women''s Classification],"&gt;0")</f>
        <v>0</v>
      </c>
      <c r="HR200" s="6">
        <f>COUNTIFS(Table25[Country],Tabela1[[#This Row],[Country]],Table25[Mixed 470 Classification],"&gt;0")</f>
        <v>0</v>
      </c>
      <c r="HS200" s="6">
        <f>COUNTIFS(Table25[Country],Tabela1[[#This Row],[Country]],Table25[Men''s 49er Classification],"&gt;0")</f>
        <v>0</v>
      </c>
      <c r="HT200" s="6">
        <f>COUNTIFS(Table25[Country],Tabela1[[#This Row],[Country]],Table25[Women''s 49er FX Classification],"&gt;0")</f>
        <v>0</v>
      </c>
      <c r="HU200" s="6">
        <f>COUNTIFS(Table17[Country],Tabela1[[#This Row],[Country]],Table17[Formula Kite Classification],"&gt;0")</f>
        <v>0</v>
      </c>
      <c r="HV200" s="6">
        <f>COUNTIFS(Table18[Country],Tabela1[[#This Row],[Country]],Table18[Formula Kite Classification],"&gt;0")</f>
        <v>0</v>
      </c>
      <c r="HW200" s="6">
        <f>COUNTIFS(Table17[Country],Tabela1[[#This Row],[Country]],Table17[ILCA 7 Classification],"&gt;0")</f>
        <v>0</v>
      </c>
      <c r="HX200" s="6">
        <f>COUNTIFS(Table18[Country],Tabela1[[#This Row],[Country]],Table18[ILCA 6 Classification],"&gt;0")</f>
        <v>0</v>
      </c>
      <c r="HY200" s="6">
        <f>COUNTIFS(Table17[Country],Tabela1[[#This Row],[Country]],Table17[IQFoil Classification],"&gt;0")</f>
        <v>0</v>
      </c>
      <c r="HZ200" s="6">
        <f>COUNTIFS(Table18[Country],Tabela1[[#This Row],[Country]],Table18[IQFoil Classification],"&gt;0")</f>
        <v>0</v>
      </c>
      <c r="IA200" s="6">
        <f>COUNTIFS(Table25[Country],Tabela1[[#This Row],[Country]],Table25[Mixed Nacra 17 Classification],"&gt;0")</f>
        <v>0</v>
      </c>
      <c r="IB200" s="6">
        <f>COUNTIFS(Table53[Country],Tabela1[[#This Row],[Country]],Table53[10m Air Pistol Classification],"&gt;0")</f>
        <v>0</v>
      </c>
      <c r="IC200" s="6">
        <f>COUNTIFS(Table19[Country],Tabela1[[#This Row],[Country]],Table19[10m Air Pistol Classification],"&gt;0")</f>
        <v>0</v>
      </c>
      <c r="ID200" s="6">
        <f>COUNTIFS(Table54[Country],Tabela1[[#This Row],[Country]],Table54[Mixed 10m Air Pistol Team Classification],"&gt;0")</f>
        <v>0</v>
      </c>
      <c r="IE200" s="6">
        <f>COUNTIFS(Table53[Country],Tabela1[[#This Row],[Country]],Table53[10m Air Rifle Classification],"&gt;0")</f>
        <v>0</v>
      </c>
      <c r="IF200" s="6">
        <f>COUNTIFS(Table19[Country],Tabela1[[#This Row],[Country]],Table19[10m Air Rifle Classification],"&gt;0")</f>
        <v>0</v>
      </c>
      <c r="IG200" s="6">
        <f>COUNTIFS(Table54[Country],Tabela1[[#This Row],[Country]],Table54[Mixed 10m Air Rifle Team Classification],"&gt;0")</f>
        <v>0</v>
      </c>
      <c r="IH200" s="6">
        <f>COUNTIFS(Table53[Country],Tabela1[[#This Row],[Country]],Table53[25m Rapid Fire Pistol Classification],"&gt;0")</f>
        <v>0</v>
      </c>
      <c r="II200" s="6">
        <f>COUNTIFS(Table19[Country],Tabela1[[#This Row],[Country]],Table19[25m Pistol Classification],"&gt;0")</f>
        <v>0</v>
      </c>
      <c r="IJ200" s="6">
        <f>COUNTIFS(Table53[Country],Tabela1[[#This Row],[Country]],Table53[50m Rifle 3 Positions Classification],"&gt;0")</f>
        <v>0</v>
      </c>
      <c r="IK200" s="6">
        <f>COUNTIFS(Table19[Country],Tabela1[[#This Row],[Country]],Table19[50m Rifle 3 Positions Classification],"&gt;0")</f>
        <v>0</v>
      </c>
      <c r="IL200" s="6">
        <f>COUNTIFS(Table53[Country],Tabela1[[#This Row],[Country]],Table53[Skeet Classification],"&gt;0")</f>
        <v>0</v>
      </c>
      <c r="IM200" s="6">
        <f>COUNTIFS(Table19[Country],Tabela1[[#This Row],[Country]],Table19[Skeet Classification],"&gt;0")</f>
        <v>0</v>
      </c>
      <c r="IN200" s="6">
        <f>COUNTIFS(Table54[Country],Tabela1[[#This Row],[Country]],Table54[Mixed Skeet Team Classification],"&gt;0")</f>
        <v>0</v>
      </c>
      <c r="IO200" s="6">
        <f>COUNTIFS(Table53[Country],Tabela1[[#This Row],[Country]],Table53[Trap Classification],"&gt;0")</f>
        <v>0</v>
      </c>
      <c r="IP200" s="6">
        <f>COUNTIFS(Table19[Country],Tabela1[[#This Row],[Country]],Table19[Trap Classification],"&gt;0")</f>
        <v>0</v>
      </c>
      <c r="IQ200" s="6">
        <f>COUNTIFS(Table73[Country],Tabela1[[#This Row],[Country]],Table73[Park Classification],"&gt;0")</f>
        <v>0</v>
      </c>
      <c r="IR200" s="6">
        <f>COUNTIFS(Table74[Country],Tabela1[[#This Row],[Country]],Table74[Park Classification],"&gt;0")</f>
        <v>0</v>
      </c>
      <c r="IS200" s="6">
        <f>COUNTIFS(Table73[Country],Tabela1[[#This Row],[Country]],Table73[Street Classification],"&gt;0")</f>
        <v>0</v>
      </c>
      <c r="IT200" s="6">
        <f>COUNTIFS(Table74[Country],Tabela1[[#This Row],[Country]],Table74[Street Classification],"&gt;0")</f>
        <v>0</v>
      </c>
      <c r="IU200" s="6">
        <f>COUNTIFS(Table75[Country],Tabela1[[#This Row],[Country]],Table75[Boulder and Lead Classification],"&gt;0")</f>
        <v>0</v>
      </c>
      <c r="IV200" s="6">
        <f>COUNTIFS(Table76[Country],Tabela1[[#This Row],[Country]],Table76[Boulder and Lead Classification],"&gt;0")</f>
        <v>0</v>
      </c>
      <c r="IW200" s="6">
        <f>COUNTIFS(Table75[Country],Tabela1[[#This Row],[Country]],Table75[Speed Classification],"&gt;0")</f>
        <v>0</v>
      </c>
      <c r="IX200" s="6">
        <f>COUNTIFS(Table76[Country],Tabela1[[#This Row],[Country]],Table76[Speed Classification],"&gt;0")</f>
        <v>0</v>
      </c>
      <c r="IY200" s="6">
        <f>COUNTIFS(Table64[Country],Tabela1[[#This Row],[Country]],Table64[Shortboard Classification],"&gt;0")</f>
        <v>0</v>
      </c>
      <c r="IZ200" s="6">
        <f>COUNTIFS(Table77[Country],Tabela1[[#This Row],[Country]],Table77[Shortboard Classification],"&gt;0")</f>
        <v>0</v>
      </c>
      <c r="JA200" s="6">
        <f>COUNTIFS(Table20[Country],Tabela1[[#This Row],[Country]],Table20[50m Freestyle Classification],"&gt;0")</f>
        <v>0</v>
      </c>
      <c r="JB200" s="6">
        <f>COUNTIFS(Table21[Country],Tabela1[[#This Row],[Country]],Table21[50m Freestyle Classification],"&gt;0")</f>
        <v>0</v>
      </c>
      <c r="JC200" s="6">
        <f>COUNTIFS(Table20[Country],Tabela1[[#This Row],[Country]],Table20[100m Freestyle Classification],"&gt;0")</f>
        <v>0</v>
      </c>
      <c r="JD200" s="6">
        <f>COUNTIFS(Table21[Country],Tabela1[[#This Row],[Country]],Table21[100m Freestyle Classification],"&gt;0")</f>
        <v>0</v>
      </c>
      <c r="JE200" s="6">
        <f>COUNTIFS(Table20[Country],Tabela1[[#This Row],[Country]],Table20[200m Freestyle Classification],"&gt;0")</f>
        <v>0</v>
      </c>
      <c r="JF200" s="6">
        <f>COUNTIFS(Table21[Country],Tabela1[[#This Row],[Country]],Table21[200m Freestyle Classification],"&gt;0")</f>
        <v>0</v>
      </c>
      <c r="JG200" s="6">
        <f>COUNTIFS(Table20[Country],Tabela1[[#This Row],[Country]],Table20[400m Freestyle Classification],"&gt;0")</f>
        <v>0</v>
      </c>
      <c r="JH200" s="6">
        <f>COUNTIFS(Table21[Country],Tabela1[[#This Row],[Country]],Table21[400m Freestyle Classification],"&gt;0")</f>
        <v>0</v>
      </c>
      <c r="JI200" s="6">
        <f>COUNTIFS(Table20[Country],Tabela1[[#This Row],[Country]],Table20[800m Freestyle Classification],"&gt;0")</f>
        <v>0</v>
      </c>
      <c r="JJ200" s="6">
        <f>COUNTIFS(Table21[Country],Tabela1[[#This Row],[Country]],Table21[800m Freestyle Classification],"&gt;0")</f>
        <v>0</v>
      </c>
      <c r="JK200" s="6">
        <f>COUNTIFS(Table20[Country],Tabela1[[#This Row],[Country]],Table20[1500m Freestyle Classification],"&gt;0")</f>
        <v>0</v>
      </c>
      <c r="JL200" s="6">
        <f>COUNTIFS(Table21[Country],Tabela1[[#This Row],[Country]],Table21[1500m Freestyle Classification],"&gt;0")</f>
        <v>0</v>
      </c>
      <c r="JM200" s="6">
        <f>COUNTIFS(Table20[Country],Tabela1[[#This Row],[Country]],Table20[100m Backstroke Classification],"&gt;0")</f>
        <v>0</v>
      </c>
      <c r="JN200" s="6">
        <f>COUNTIFS(Table21[Country],Tabela1[[#This Row],[Country]],Table21[100m Backstroke Classification],"&gt;0")</f>
        <v>0</v>
      </c>
      <c r="JO200" s="6">
        <f>COUNTIFS(Table20[Country],Tabela1[[#This Row],[Country]],Table20[200m Backstroke Classification],"&gt;0")</f>
        <v>0</v>
      </c>
      <c r="JP200" s="6">
        <f>COUNTIFS(Table21[Country],Tabela1[[#This Row],[Country]],Table21[200m Backstroke Classification],"&gt;0")</f>
        <v>0</v>
      </c>
      <c r="JQ200" s="6">
        <f>COUNTIFS(Table20[Country],Tabela1[[#This Row],[Country]],Table20[100m Breaststroke Classification],"&gt;0")</f>
        <v>0</v>
      </c>
      <c r="JR200" s="6">
        <f>COUNTIFS(Table21[Country],Tabela1[[#This Row],[Country]],Table21[100m Breaststroke Classification],"&gt;0")</f>
        <v>0</v>
      </c>
      <c r="JS200" s="6">
        <f>COUNTIFS(Table20[Country],Tabela1[[#This Row],[Country]],Table20[200m Breaststroke Classification],"&gt;0")</f>
        <v>0</v>
      </c>
      <c r="JT200" s="6">
        <f>COUNTIFS(Table21[Country],Tabela1[[#This Row],[Country]],Table21[200m Breaststroke Classification],"&gt;0")</f>
        <v>0</v>
      </c>
      <c r="JU200" s="6">
        <f>COUNTIFS(Table20[Country],Tabela1[[#This Row],[Country]],Table20[100m Butterfly Classification],"&gt;0")</f>
        <v>0</v>
      </c>
      <c r="JV200" s="6">
        <f>COUNTIFS(Table21[Country],Tabela1[[#This Row],[Country]],Table21[100m Butterfly Classification],"&gt;0")</f>
        <v>0</v>
      </c>
      <c r="JW200" s="6">
        <f>COUNTIFS(Table20[Country],Tabela1[[#This Row],[Country]],Table20[200m Butterfly Classification],"&gt;0")</f>
        <v>0</v>
      </c>
      <c r="JX200" s="6">
        <f>COUNTIFS(Table21[Country],Tabela1[[#This Row],[Country]],Table21[200m Butterfly Classification],"&gt;0")</f>
        <v>0</v>
      </c>
      <c r="JY200" s="6">
        <f>COUNTIFS(Table20[Country],Tabela1[[#This Row],[Country]],Table20[200m Medley Classification],"&gt;0")</f>
        <v>0</v>
      </c>
      <c r="JZ200" s="6">
        <f>COUNTIFS(Table21[Country],Tabela1[[#This Row],[Country]],Table21[200m Medley Classification],"&gt;0")</f>
        <v>0</v>
      </c>
      <c r="KA200" s="6">
        <f>COUNTIFS(Table20[Country],Tabela1[[#This Row],[Country]],Table20[400m Medley Classification],"&gt;0")</f>
        <v>0</v>
      </c>
      <c r="KB200" s="6">
        <f>COUNTIFS(Table21[Country],Tabela1[[#This Row],[Country]],Table21[400m Medley Classification],"&gt;0")</f>
        <v>0</v>
      </c>
      <c r="KC200" s="6">
        <f>COUNTIFS(Table78[Country],Tabela1[[#This Row],[Country]],Table78[Men''s 4x100m Freestyle Relay Classification],"&gt;0")</f>
        <v>0</v>
      </c>
      <c r="KD200" s="6">
        <f>COUNTIFS(Table78[Country],Tabela1[[#This Row],[Country]],Table78[Women''s 4x100m Freestyle Relay Classification],"&gt;0")</f>
        <v>0</v>
      </c>
      <c r="KE200" s="6">
        <f>COUNTIFS(Table78[Country],Tabela1[[#This Row],[Country]],Table78[Men''s 4x200m Freestyle Relay Classification],"&gt;0")</f>
        <v>0</v>
      </c>
      <c r="KF200" s="6">
        <f>COUNTIFS(Table78[Country],Tabela1[[#This Row],[Country]],Table78[Women''s 4x200m Freestyle Relay Classification],"&gt;0")</f>
        <v>0</v>
      </c>
      <c r="KG200" s="6">
        <f>COUNTIFS(Table78[Country],Tabela1[[#This Row],[Country]],Table78[Men''s 4x100m Medley Relay Classification],"&gt;0")</f>
        <v>0</v>
      </c>
      <c r="KH200" s="6">
        <f>COUNTIFS(Table78[Country],Tabela1[[#This Row],[Country]],Table78[Women''s 4x100m Medley Relay Classification],"&gt;0")</f>
        <v>0</v>
      </c>
      <c r="KI200" s="6">
        <f>COUNTIFS(Table78[Country],Tabela1[[#This Row],[Country]],Table78[Mixed 4x100m Medley Relay Classification],"&gt;0")</f>
        <v>0</v>
      </c>
      <c r="KJ200" s="6">
        <f>COUNTIFS(Table20[Country],Tabela1[[#This Row],[Country]],Table20[10km Open Water Classification],"&gt;0")</f>
        <v>0</v>
      </c>
      <c r="KK200" s="6">
        <f>COUNTIFS(Table21[Country],Tabela1[[#This Row],[Country]],Table21[10km Open Water Classification],"&gt;0")</f>
        <v>0</v>
      </c>
      <c r="KL200" s="6">
        <f>COUNTIFS(Table22[Country],Tabela1[[#This Row],[Country]],Table22[Classification],"&gt;0")</f>
        <v>0</v>
      </c>
      <c r="KM200" s="6">
        <f>COUNTIFS(Table30[Country],Tabela1[[#This Row],[Country]],Table30[Classification],"&gt;0")</f>
        <v>0</v>
      </c>
      <c r="KN200" s="6">
        <f>COUNTIFS(Table55[Country],Tabela1[[#This Row],[Country]],Table55[Men''s Classification],"&gt;0")</f>
        <v>0</v>
      </c>
      <c r="KO200" s="6">
        <f>COUNTIFS(Table55[Country],Tabela1[[#This Row],[Country]],Table55[Women''s Classification],"&gt;0")</f>
        <v>0</v>
      </c>
      <c r="KP200" s="6">
        <f>COUNTIFS(Table56[Country],Tabela1[[#This Row],[Country]],Table56[Mixed Classification],"&gt;0")</f>
        <v>0</v>
      </c>
      <c r="KQ200" s="6">
        <f>COUNTIFS(Table29[Country],Tabela1[[#This Row],[Country]],Table29[58kg Classification],"&gt;0")</f>
        <v>0</v>
      </c>
      <c r="KR200" s="6">
        <f>COUNTIFS(Table29[Country],Tabela1[[#This Row],[Country]],Table29[68kg Classification],"&gt;0")</f>
        <v>0</v>
      </c>
      <c r="KS200" s="6">
        <f>COUNTIFS(Table29[Country],Tabela1[[#This Row],[Country]],Table29[80kg Classification],"&gt;0")</f>
        <v>0</v>
      </c>
      <c r="KT200" s="6">
        <f>COUNTIFS(Table29[Country],Tabela1[[#This Row],[Country]],Table29[Plus 80kg Classification],"&gt;0")</f>
        <v>0</v>
      </c>
      <c r="KU200" s="6">
        <f>COUNTIFS(Table34[Country],Tabela1[[#This Row],[Country]],Table34[49kg Classification],"&gt;0")</f>
        <v>0</v>
      </c>
      <c r="KV200" s="6">
        <f>COUNTIFS(Table34[Country],Tabela1[[#This Row],[Country]],Table34[57kg Classification],"&gt;0")</f>
        <v>0</v>
      </c>
      <c r="KW200" s="6">
        <f>COUNTIFS(Table34[Country],Tabela1[[#This Row],[Country]],Table34[67kg Classification],"&gt;0")</f>
        <v>0</v>
      </c>
      <c r="KX200" s="6">
        <f>COUNTIFS(Table34[Country],Tabela1[[#This Row],[Country]],Table34[Plus 67kg Classification],"&gt;0")</f>
        <v>0</v>
      </c>
      <c r="KY200" s="6">
        <f>COUNTIFS(Table57[Country],Tabela1[[#This Row],[Country]],Table57[Classification],"&gt;0")</f>
        <v>0</v>
      </c>
      <c r="KZ200" s="6">
        <f>COUNTIFS(Table58[Country],Tabela1[[#This Row],[Country]],Table58[Classification],"&gt;0")</f>
        <v>0</v>
      </c>
      <c r="LA200" s="6">
        <f>COUNTIFS(Table79[Country],Tabela1[[#This Row],[Country]],Table79[Men''s Classification],"&gt;0")</f>
        <v>0</v>
      </c>
      <c r="LB200" s="6">
        <f>COUNTIFS(Table79[Country],Tabela1[[#This Row],[Country]],Table79[Women''s Classification],"&gt;0")</f>
        <v>0</v>
      </c>
      <c r="LC200" s="6">
        <f>COUNTIFS(Table79[Country],Tabela1[[#This Row],[Country]],Table79[Mixed Classification],"&gt;0")</f>
        <v>0</v>
      </c>
      <c r="LD200" s="6">
        <f>COUNTIFS(Table65[Country],Tabela1[[#This Row],[Country]],Table65[Classification],"&gt;0")</f>
        <v>0</v>
      </c>
      <c r="LE200" s="6">
        <f>COUNTIFS(Table59[Country],Tabela1[[#This Row],[Country]],Table59[Classification],"&gt;0")</f>
        <v>0</v>
      </c>
      <c r="LF200" s="6">
        <f>COUNTIFS(Table87[Country],Tabela1[[#This Row],[Country]],Table87[Mixed Relay Classification],"&gt;0")</f>
        <v>0</v>
      </c>
      <c r="LG200" s="6">
        <f>COUNTIFS(Table91949698100[Country],Tabela1[[#This Row],[Country]],Table91949698100[Men''s Classification],"&gt;0")</f>
        <v>0</v>
      </c>
      <c r="LH200" s="6">
        <f>COUNTIFS(Table91949698100[Country],Tabela1[[#This Row],[Country]],Table91949698100[Women''s Classification],"&gt;0")</f>
        <v>0</v>
      </c>
      <c r="LI200" s="6">
        <f>COUNTIFS(Table91949698100102[Country],Tabela1[[#This Row],[Country]],Table91949698100102[Men''s Classification],"&gt;0")</f>
        <v>0</v>
      </c>
      <c r="LJ200" s="6">
        <f>COUNTIFS(Table91949698100102[Country],Tabela1[[#This Row],[Country]],Table91949698100102[Women''s Classification],"&gt;0")</f>
        <v>0</v>
      </c>
      <c r="LK200" s="6">
        <f>COUNTIFS(Table23[Country],Tabela1[[#This Row],[Country]],Table23[61kg Classification],"&gt;0")</f>
        <v>0</v>
      </c>
      <c r="LL200" s="6">
        <f>COUNTIFS(Table23[Country],Tabela1[[#This Row],[Country]],Table23[73kg Classification],"&gt;0")</f>
        <v>0</v>
      </c>
      <c r="LM200" s="6">
        <f>COUNTIFS(Table23[Country],Tabela1[[#This Row],[Country]],Table23[89kg Classification],"&gt;0")</f>
        <v>0</v>
      </c>
      <c r="LN200" s="6">
        <f>COUNTIFS(Table23[Country],Tabela1[[#This Row],[Country]],Table23[102kg Classification],"&gt;0")</f>
        <v>0</v>
      </c>
      <c r="LO200" s="6">
        <f>COUNTIFS(Table23[Country],Tabela1[[#This Row],[Country]],Table23[Plus 102kg Classification],"&gt;0")</f>
        <v>0</v>
      </c>
      <c r="LP200" s="6">
        <f>COUNTIFS(Table28[Country],Tabela1[[#This Row],[Country]],Table28[49kg Classification],"&gt;0")</f>
        <v>0</v>
      </c>
      <c r="LQ200" s="6">
        <f>COUNTIFS(Table28[Country],Tabela1[[#This Row],[Country]],Table28[59kg Classification],"&gt;0")</f>
        <v>0</v>
      </c>
      <c r="LR200" s="6">
        <f>COUNTIFS(Table28[Country],Tabela1[[#This Row],[Country]],Table28[71kg Classification],"&gt;0")</f>
        <v>0</v>
      </c>
      <c r="LS200" s="6">
        <f>COUNTIFS(Table28[Country],Tabela1[[#This Row],[Country]],Table28[81kg Classification],"&gt;0")</f>
        <v>0</v>
      </c>
      <c r="LT200" s="6">
        <f>COUNTIFS(Table28[Country],Tabela1[[#This Row],[Country]],Table28[Plus 81kg Classification],"&gt;0")</f>
        <v>0</v>
      </c>
      <c r="LU200" s="6">
        <f>COUNTIFS(Table24[Country],Tabela1[[#This Row],[Country]],Table24[Freestyle 57kg Classification],"&gt;0")</f>
        <v>0</v>
      </c>
      <c r="LV200" s="6">
        <f>COUNTIFS(Table24[Country],Tabela1[[#This Row],[Country]],Table24[Freestyle 65kg Classification],"&gt;0")</f>
        <v>0</v>
      </c>
      <c r="LW200" s="6">
        <f>COUNTIFS(Table24[Country],Tabela1[[#This Row],[Country]],Table24[Freestyle 74kg Classification],"&gt;0")</f>
        <v>0</v>
      </c>
      <c r="LX200" s="6">
        <f>COUNTIFS(Table24[Country],Tabela1[[#This Row],[Country]],Table24[Freestyle 86kg Classification],"&gt;0")</f>
        <v>0</v>
      </c>
      <c r="LY200" s="6">
        <f>COUNTIFS(Table24[Country],Tabela1[[#This Row],[Country]],Table24[Freestyle 97kg Classification],"&gt;0")</f>
        <v>0</v>
      </c>
      <c r="LZ200" s="6">
        <f>COUNTIFS(Table24[Country],Tabela1[[#This Row],[Country]],Table24[Freestyle 125kg Classification],"&gt;0")</f>
        <v>0</v>
      </c>
      <c r="MA200" s="6">
        <f>COUNTIFS(Table24[Country],Tabela1[[#This Row],[Country]],Table24[Greco-Roman 60kg Classification],"&gt;0")</f>
        <v>0</v>
      </c>
      <c r="MB200" s="6">
        <f>COUNTIFS(Table24[Country],Tabela1[[#This Row],[Country]],Table24[Greco-Roman 67kg Classification],"&gt;0")</f>
        <v>0</v>
      </c>
      <c r="MC200" s="6">
        <f>COUNTIFS(Table24[Country],Tabela1[[#This Row],[Country]],Table24[Greco-Roman 77kg Classification],"&gt;0")</f>
        <v>0</v>
      </c>
      <c r="MD200" s="6">
        <f>COUNTIFS(Table24[Country],Tabela1[[#This Row],[Country]],Table24[Greco-Roman 87kg Classification],"&gt;0")</f>
        <v>0</v>
      </c>
      <c r="ME200" s="6">
        <f>COUNTIFS(Table24[Country],Tabela1[[#This Row],[Country]],Table24[Greco-Roman 97kg Classification],"&gt;0")</f>
        <v>0</v>
      </c>
      <c r="MF200" s="6">
        <f>COUNTIFS(Table24[Country],Tabela1[[#This Row],[Country]],Table24[Greco-Roman 130kg Classification],"&gt;0")</f>
        <v>0</v>
      </c>
      <c r="MG200" s="6">
        <f>COUNTIFS(Table31[Country],Tabela1[[#This Row],[Country]],Table31[50kg Classification],"&gt;0")</f>
        <v>0</v>
      </c>
      <c r="MH200" s="6">
        <f>COUNTIFS(Table31[Country],Tabela1[[#This Row],[Country]],Table31[53kg Classification],"&gt;0")</f>
        <v>0</v>
      </c>
      <c r="MI200" s="6">
        <f>COUNTIFS(Table31[Country],Tabela1[[#This Row],[Country]],Table31[57kg Classification],"&gt;0")</f>
        <v>0</v>
      </c>
      <c r="MJ200" s="6">
        <f>COUNTIFS(Table31[Country],Tabela1[[#This Row],[Country]],Table31[62kg Classification],"&gt;0")</f>
        <v>0</v>
      </c>
      <c r="MK200" s="6">
        <f>COUNTIFS(Table31[Country],Tabela1[[#This Row],[Country]],Table31[68kg Classification],"&gt;0")</f>
        <v>0</v>
      </c>
      <c r="ML200" s="6">
        <f>COUNTIFS(Table31[Country],Tabela1[[#This Row],[Country]],Table31[76kg Classification],"&gt;0")</f>
        <v>0</v>
      </c>
      <c r="MM200" s="6">
        <f>COUNTIFS(Table102[Country],Tabela1[[#This Row],[Country]],Table102[Downhill Classification],"&gt;0")</f>
        <v>0</v>
      </c>
      <c r="MN200" s="6">
        <f>COUNTIFS(Table102105[Country],Tabela1[[#This Row],[Country]],Table102105[Downhill Classification],"&gt;0")</f>
        <v>0</v>
      </c>
      <c r="MO200" s="6">
        <f>COUNTIFS(Table102[Country],Tabela1[[#This Row],[Country]],Table102[Giant Slalom Classification],"&gt;0")</f>
        <v>0</v>
      </c>
      <c r="MP200" s="6">
        <f>COUNTIFS(Table102105[Country],Tabela1[[#This Row],[Country]],Table102105[Giant Slalom Classification],"&gt;0")</f>
        <v>0</v>
      </c>
      <c r="MQ200" s="6">
        <f>COUNTIFS(Table102[Country],Tabela1[[#This Row],[Country]],Table102[Slalom Classification],"&gt;0")</f>
        <v>0</v>
      </c>
      <c r="MR200" s="6">
        <f>COUNTIFS(Table102105[Country],Tabela1[[#This Row],[Country]],Table102105[Slalom Classification],"&gt;0")</f>
        <v>0</v>
      </c>
      <c r="MS200" s="6">
        <f>COUNTIFS(Table102[Country],Tabela1[[#This Row],[Country]],Table102[Super-G Classification],"&gt;0")</f>
        <v>0</v>
      </c>
      <c r="MT200" s="6">
        <f>COUNTIFS(Table102105[Country],Tabela1[[#This Row],[Country]],Table102105[Super-G Classification],"&gt;0")</f>
        <v>0</v>
      </c>
      <c r="MU200" s="6">
        <f>COUNTIFS(Table105[Country],Tabela1[[#This Row],[Country]],Table105[Men''s Combined Classification],"&gt;0")</f>
        <v>0</v>
      </c>
      <c r="MV200" s="6">
        <f>COUNTIFS(Table105[Country],Tabela1[[#This Row],[Country]],Table105[Women''s Combined Classification],"&gt;0")</f>
        <v>0</v>
      </c>
      <c r="MW200" s="6">
        <f>COUNTIFS(Table106[Country],Tabela1[[#This Row],[Country]],Table106[Individual Classification],"&gt;0")</f>
        <v>0</v>
      </c>
      <c r="MX200" s="6">
        <f>COUNTIFS(Table106109[Country],Tabela1[[#This Row],[Country]],Table106109[Individual Classification],"&gt;0")</f>
        <v>0</v>
      </c>
      <c r="MY200" s="6">
        <f>COUNTIFS(Table106[Country],Tabela1[[#This Row],[Country]],Table106[Mass Start Classification],"&gt;0")</f>
        <v>0</v>
      </c>
      <c r="MZ200" s="6">
        <f>COUNTIFS(Table106109[Country],Tabela1[[#This Row],[Country]],Table106109[Mass Start Classification],"&gt;0")</f>
        <v>0</v>
      </c>
      <c r="NA200" s="6">
        <f>COUNTIFS(Table106[Country],Tabela1[[#This Row],[Country]],Table106[Pursuit Classification],"&gt;0")</f>
        <v>0</v>
      </c>
      <c r="NB200" s="6">
        <f>COUNTIFS(Table106109[Country],Tabela1[[#This Row],[Country]],Table106109[Pursuit Classification],"&gt;0")</f>
        <v>0</v>
      </c>
      <c r="NC200" s="6">
        <f>COUNTIFS(Table106[Country],Tabela1[[#This Row],[Country]],Table106[Sprint Classification],"&gt;0")</f>
        <v>0</v>
      </c>
      <c r="ND200" s="6">
        <f>COUNTIFS(Table106109[Country],Tabela1[[#This Row],[Country]],Table106109[Sprint Classification],"&gt;0")</f>
        <v>0</v>
      </c>
      <c r="NE200" s="6">
        <f>COUNTIFS(Table109[Country],Tabela1[[#This Row],[Country]],Table109[Men''s Relay Classification],"&gt;0")</f>
        <v>0</v>
      </c>
      <c r="NF200" s="6">
        <f>COUNTIFS(Table109[Country],Tabela1[[#This Row],[Country]],Table109[Women''s Relay Classification],"&gt;0")</f>
        <v>0</v>
      </c>
      <c r="NG200" s="6">
        <f>COUNTIFS(Table109[Country],Tabela1[[#This Row],[Country]],Table109[Mixed Relay Classification],"&gt;0")</f>
        <v>0</v>
      </c>
      <c r="NH200" s="6">
        <f>COUNTIFS(Table110[Country],Tabela1[[#This Row],[Country]],Table110[Monobob Classification],"&gt;0")</f>
        <v>0</v>
      </c>
      <c r="NI200" s="6">
        <f>COUNTIFS(Table111[Country],Tabela1[[#This Row],[Country]],Table111[Men''s Classification],"&gt;0")</f>
        <v>0</v>
      </c>
      <c r="NJ200" s="6">
        <f>COUNTIFS(Table111[Country],Tabela1[[#This Row],[Country]],Table111[Women''s Classification],"&gt;0")</f>
        <v>0</v>
      </c>
      <c r="NK200" s="6">
        <f>COUNTIFS(Table112[Country],Tabela1[[#This Row],[Country]],Table112[Men''s Four Classification],"&gt;0")</f>
        <v>0</v>
      </c>
      <c r="NL200" s="6">
        <f>COUNTIFS(Table113[Country],Tabela1[[#This Row],[Country]],Table113[Classical Classification],"&gt;0")</f>
        <v>0</v>
      </c>
      <c r="NM200" s="6">
        <f>COUNTIFS(Table113116[Country],Tabela1[[#This Row],[Country]],Table113116[Classical Classification],"&gt;0")</f>
        <v>0</v>
      </c>
      <c r="NN200" s="6">
        <f>COUNTIFS(Table113[Country],Tabela1[[#This Row],[Country]],Table113[Freestyle Classification],"&gt;0")</f>
        <v>0</v>
      </c>
      <c r="NO200" s="6">
        <f>COUNTIFS(Table113116[Country],Tabela1[[#This Row],[Country]],Table113116[Freestyle Classification],"&gt;0")</f>
        <v>0</v>
      </c>
      <c r="NP200" s="6">
        <f>COUNTIFS(Table117[Country],Tabela1[[#This Row],[Country]],Table117[Men''s Relay Classification],"&gt;0")</f>
        <v>0</v>
      </c>
      <c r="NQ200" s="6">
        <f>COUNTIFS(Table117[Country],Tabela1[[#This Row],[Country]],Table117[Women''s Relay Classification],"&gt;0")</f>
        <v>0</v>
      </c>
      <c r="NR200" s="6">
        <f>COUNTIFS(Table113[Country],Tabela1[[#This Row],[Country]],Table113[Skiathlon Classification],"&gt;0")</f>
        <v>0</v>
      </c>
      <c r="NS200" s="6">
        <f>COUNTIFS(Table113116[Country],Tabela1[[#This Row],[Country]],Table113116[Skiathlon Classification],"&gt;0")</f>
        <v>0</v>
      </c>
      <c r="NT200" s="6">
        <f>COUNTIFS(Table113[Country],Tabela1[[#This Row],[Country]],Table113[Sprint Classification],"&gt;0")</f>
        <v>0</v>
      </c>
      <c r="NU200" s="6">
        <f>COUNTIFS(Table113116[Country],Tabela1[[#This Row],[Country]],Table113116[Sprint Classification],"&gt;0")</f>
        <v>0</v>
      </c>
      <c r="NV200" s="6">
        <f>COUNTIFS(Table116[Country],Tabela1[[#This Row],[Country]],Table116[Men''s Team Sprint Classification],"&gt;0")</f>
        <v>0</v>
      </c>
      <c r="NW200" s="6">
        <f>COUNTIFS(Table116[Country],Tabela1[[#This Row],[Country]],Table116[Women''s Team Sprint Classification],"&gt;0")</f>
        <v>0</v>
      </c>
      <c r="NX200" s="6">
        <f>COUNTIFS(Table119[Country],Tabela1[[#This Row],[Country]],Table119[Men''s Classification],"&gt;0")</f>
        <v>0</v>
      </c>
      <c r="NY200" s="6">
        <f>COUNTIFS(Table119[Country],Tabela1[[#This Row],[Country]],Table119[Women''s Classification],"&gt;0")</f>
        <v>0</v>
      </c>
      <c r="NZ200" s="6">
        <f>COUNTIFS(Table118[Country],Tabela1[[#This Row],[Country]],Table118[Mixed Classification],"&gt;0")</f>
        <v>0</v>
      </c>
      <c r="OA200" s="6">
        <f>COUNTIFS(Table120[Country],Tabela1[[#This Row],[Country]],Table120[Classification],"&gt;0")</f>
        <v>0</v>
      </c>
      <c r="OB200" s="6">
        <f>COUNTIFS(Table120123[Country],Tabela1[[#This Row],[Country]],Table120123[Classification],"&gt;0")</f>
        <v>0</v>
      </c>
      <c r="OC200" s="6">
        <f>COUNTIFS(Table123[Country],Tabela1[[#This Row],[Country]],Table123[Ice Dance Classification],"&gt;0")</f>
        <v>0</v>
      </c>
      <c r="OD200" s="6">
        <f>COUNTIFS(Table123[Country],Tabela1[[#This Row],[Country]],Table123[Pair Skating Classification],"&gt;0")</f>
        <v>0</v>
      </c>
      <c r="OE200" s="6">
        <f>COUNTIFS(Table124[Country],Tabela1[[#This Row],[Country]],Table124[Mixed Classification],"&gt;0")</f>
        <v>0</v>
      </c>
      <c r="OF200" s="6">
        <f>COUNTIFS(Table125[Country],Tabela1[[#This Row],[Country]],Table125[Aerials Classification],"&gt;0")</f>
        <v>0</v>
      </c>
      <c r="OG200" s="6">
        <f>COUNTIFS(Table125128[Country],Tabela1[[#This Row],[Country]],Table125128[Aerials Classification],"&gt;0")</f>
        <v>0</v>
      </c>
      <c r="OH200" s="6">
        <f>COUNTIFS(Table128[Country],Tabela1[[#This Row],[Country]],Table128[Mixed Aerials Classification],"&gt;0")</f>
        <v>0</v>
      </c>
      <c r="OI200" s="6">
        <f>COUNTIFS(Table125[Country],Tabela1[[#This Row],[Country]],Table125[Big Air Classification],"&gt;0")</f>
        <v>0</v>
      </c>
      <c r="OJ200" s="6">
        <f>COUNTIFS(Table125128[Country],Tabela1[[#This Row],[Country]],Table125128[Big Air Classification],"&gt;0")</f>
        <v>0</v>
      </c>
      <c r="OK200" s="6">
        <f>COUNTIFS(Table125[Country],Tabela1[[#This Row],[Country]],Table125[Dual Moguls Classification],"&gt;0")</f>
        <v>0</v>
      </c>
      <c r="OL200" s="6">
        <f>COUNTIFS(Table125128[Country],Tabela1[[#This Row],[Country]],Table125128[Dual Moguls Classification],"&gt;0")</f>
        <v>0</v>
      </c>
      <c r="OM200" s="6">
        <f>COUNTIFS(Table125[Country],Tabela1[[#This Row],[Country]],Table125[Halfpipe Classification],"&gt;0")</f>
        <v>0</v>
      </c>
      <c r="ON200" s="6">
        <f>COUNTIFS(Table125128[Country],Tabela1[[#This Row],[Country]],Table125128[Halfpipe Classification],"&gt;0")</f>
        <v>0</v>
      </c>
      <c r="OO200" s="6">
        <f>COUNTIFS(Table125[Country],Tabela1[[#This Row],[Country]],Table125[Moguls Classification],"&gt;0")</f>
        <v>0</v>
      </c>
      <c r="OP200" s="6">
        <f>COUNTIFS(Table125128[Country],Tabela1[[#This Row],[Country]],Table125128[Moguls Classification],"&gt;0")</f>
        <v>0</v>
      </c>
      <c r="OQ200" s="6">
        <f>COUNTIFS(Table125[Country],Tabela1[[#This Row],[Country]],Table125[Ski Cross Classification],"&gt;0")</f>
        <v>0</v>
      </c>
      <c r="OR200" s="6">
        <f>COUNTIFS(Table125128[Country],Tabela1[[#This Row],[Country]],Table125128[Ski Cross Classification],"&gt;0")</f>
        <v>0</v>
      </c>
      <c r="OS200" s="6">
        <f>COUNTIFS(Table125[Country],Tabela1[[#This Row],[Country]],Table125[Slopestyle Classification],"&gt;0")</f>
        <v>0</v>
      </c>
      <c r="OT200" s="6">
        <f>COUNTIFS(Table125128[Country],Tabela1[[#This Row],[Country]],Table125128[Slopestyle Classification],"&gt;0")</f>
        <v>0</v>
      </c>
      <c r="OU200" s="6">
        <f>COUNTIFS(Table119131[Country],Tabela1[[#This Row],[Country]],Table119131[Men''s Classification],"&gt;0")</f>
        <v>0</v>
      </c>
      <c r="OV200" s="6">
        <f>COUNTIFS(Table119131[Country],Tabela1[[#This Row],[Country]],Table119131[Women''s Classification],"&gt;0")</f>
        <v>0</v>
      </c>
      <c r="OW200" s="6">
        <f>COUNTIFS(Table131[Country],Tabela1[[#This Row],[Country]],Table131[Classification],"&gt;0")</f>
        <v>0</v>
      </c>
      <c r="OX200" s="6">
        <f>COUNTIFS(Table131134[Country],Tabela1[[#This Row],[Country]],Table131134[Classification],"&gt;0")</f>
        <v>0</v>
      </c>
      <c r="OY200" s="6">
        <f>COUNTIFS(Table134[Country],Tabela1[[#This Row],[Country]],Table134[Men''s Classification],"&gt;0")</f>
        <v>0</v>
      </c>
      <c r="OZ200" s="6">
        <f>COUNTIFS(Table134[Country],Tabela1[[#This Row],[Country]],Table134[Women''s Classification],"&gt;0")</f>
        <v>0</v>
      </c>
      <c r="PA200" s="6">
        <f>COUNTIFS(Table135[Country],Tabela1[[#This Row],[Country]],Table135[Mixed Relay Classification],"&gt;0")</f>
        <v>0</v>
      </c>
      <c r="PB200" s="6">
        <f>COUNTIFS(Table136[Country],Tabela1[[#This Row],[Country]],Table136[Individual Classification],"&gt;0")</f>
        <v>0</v>
      </c>
      <c r="PC200" s="6">
        <f>COUNTIFS(Table136[Country],Tabela1[[#This Row],[Country]],Table136[Sprint Classification],"&gt;0")</f>
        <v>0</v>
      </c>
      <c r="PD200" s="6">
        <f>COUNTIFS(Table137[Country],Tabela1[[#This Row],[Country]],Table137[Men''s Team Sprint Large Hill Classification],"&gt;0")</f>
        <v>0</v>
      </c>
      <c r="PE200" s="6">
        <f>COUNTIFS(Table138[Country],Tabela1[[#This Row],[Country]],Table138[500m Classification],"&gt;0")</f>
        <v>0</v>
      </c>
      <c r="PF200" s="6">
        <f>COUNTIFS(Table138141[Country],Tabela1[[#This Row],[Country]],Table138141[500m Classification],"&gt;0")</f>
        <v>0</v>
      </c>
      <c r="PG200" s="6">
        <f>COUNTIFS(Table138[Country],Tabela1[[#This Row],[Country]],Table138[1000m Classification],"&gt;0")</f>
        <v>0</v>
      </c>
      <c r="PH200" s="6">
        <f>COUNTIFS(Table138141[Country],Tabela1[[#This Row],[Country]],Table138141[1000m Classification],"&gt;0")</f>
        <v>0</v>
      </c>
      <c r="PI200" s="6">
        <f>COUNTIFS(Table138[Country],Tabela1[[#This Row],[Country]],Table138[1500m Classification],"&gt;0")</f>
        <v>0</v>
      </c>
      <c r="PJ200" s="6">
        <f>COUNTIFS(Table138141[Country],Tabela1[[#This Row],[Country]],Table138141[1500m Classification],"&gt;0")</f>
        <v>0</v>
      </c>
      <c r="PK200" s="6">
        <f>COUNTIFS(Table141[Country],Tabela1[[#This Row],[Country]],Table141[Men''s 5000m Relay Classification],"&gt;0")</f>
        <v>0</v>
      </c>
      <c r="PL200" s="6">
        <f>COUNTIFS(Table141[Country],Tabela1[[#This Row],[Country]],Table141[Women''s 3000m Relay Classification],"&gt;0")</f>
        <v>0</v>
      </c>
      <c r="PM200" s="6">
        <f>COUNTIFS(Table141[Country],Tabela1[[#This Row],[Country]],Table141[Mixed 2000m Relay Classification],"&gt;0")</f>
        <v>0</v>
      </c>
      <c r="PN200" s="6">
        <f>COUNTIFS(Table142[Country],Tabela1[[#This Row],[Country]],Table142[Classification],"&gt;0")</f>
        <v>0</v>
      </c>
      <c r="PO200" s="6">
        <f>COUNTIFS(Table142145[Country],Tabela1[[#This Row],[Country]],Table142145[Classification],"&gt;0")</f>
        <v>0</v>
      </c>
      <c r="PP200" s="6">
        <f>COUNTIFS(Tabela15[Country],Tabela1[[#This Row],[Country]],Tabela15[Mixed Team Classification],"&gt;0")</f>
        <v>0</v>
      </c>
      <c r="PQ200" s="6">
        <f>COUNTIFS(Table145[Country],Tabela1[[#This Row],[Country]],Table145[Large Hill Classification],"&gt;0")</f>
        <v>0</v>
      </c>
      <c r="PR200" s="6">
        <f>COUNTIFS(Table145[Country],Tabela1[[#This Row],[Country]],Table145[Normal Hill Classification],"&gt;0")</f>
        <v>0</v>
      </c>
      <c r="PS200" s="6">
        <f>COUNTIFS(Table145148[Country],Tabela1[[#This Row],[Country]],Table145148[Large Hill Classification],"&gt;0")</f>
        <v>0</v>
      </c>
      <c r="PT200" s="6">
        <f>COUNTIFS(Table145148[Country],Tabela1[[#This Row],[Country]],Table145148[Normal Hill Classification],"&gt;0")</f>
        <v>0</v>
      </c>
      <c r="PU200" s="6">
        <f>COUNTIFS(Table148[Country],Tabela1[[#This Row],[Country]],Table148[Men''s Super Team Classification],"&gt;0")</f>
        <v>0</v>
      </c>
      <c r="PV200" s="6">
        <f>COUNTIFS(Tabela114[Country],Tabela1[[#This Row],[Country]],Tabela114[Mixed Normal Hill Classification],"&gt;0")</f>
        <v>0</v>
      </c>
      <c r="PW200" s="6">
        <f>COUNTIFS(Tabela50[Country],Tabela1[[#This Row],[Country]],Tabela50[Sprint Classification],"&gt;0")</f>
        <v>0</v>
      </c>
      <c r="PX200" s="6">
        <f>COUNTIFS(Tabela50101[Country],Tabela1[[#This Row],[Country]],Tabela50101[Sprint Classification],"&gt;0")</f>
        <v>0</v>
      </c>
      <c r="PY200" s="6">
        <f>COUNTIFS(Tabela103[Country],Tabela1[[#This Row],[Country]],Tabela103[Mixed Relay Classification],"&gt;0")</f>
        <v>0</v>
      </c>
      <c r="PZ200" s="6">
        <f>COUNTIFS(Table149[Country],Tabela1[[#This Row],[Country]],Table149[Big Air Classification],"&gt;0")</f>
        <v>0</v>
      </c>
      <c r="QA200" s="6">
        <f>COUNTIFS(Table149152[Country],Tabela1[[#This Row],[Country]],Table149152[Big Air Classification],"&gt;0")</f>
        <v>0</v>
      </c>
      <c r="QB200" s="6">
        <f>COUNTIFS(Table149[Country],Tabela1[[#This Row],[Country]],Table149[Halfpipe Classification],"&gt;0")</f>
        <v>0</v>
      </c>
      <c r="QC200" s="6">
        <f>COUNTIFS(Table149152[Country],Tabela1[[#This Row],[Country]],Table149152[Halfpipe Classification],"&gt;0")</f>
        <v>0</v>
      </c>
      <c r="QD200" s="6">
        <f>COUNTIFS(Table149[Country],Tabela1[[#This Row],[Country]],Table149[Parallel Giant Slalom Classification],"&gt;0")</f>
        <v>0</v>
      </c>
      <c r="QE200" s="6">
        <f>COUNTIFS(Table149152[Country],Tabela1[[#This Row],[Country]],Table149152[Parallel Giant Slalom Classification],"&gt;0")</f>
        <v>0</v>
      </c>
      <c r="QF200" s="6">
        <f>COUNTIFS(Table149[Country],Tabela1[[#This Row],[Country]],Table149[Slopestyle Classification],"&gt;0")</f>
        <v>0</v>
      </c>
      <c r="QG200" s="6">
        <f>COUNTIFS(Table149152[Country],Tabela1[[#This Row],[Country]],Table149152[Slopestyle Classification],"&gt;0")</f>
        <v>0</v>
      </c>
      <c r="QH200" s="6">
        <f>COUNTIFS(Table149[Country],Tabela1[[#This Row],[Country]],Table149[Snowboard Cross Classification],"&gt;0")</f>
        <v>0</v>
      </c>
      <c r="QI200" s="6">
        <f>COUNTIFS(Table149152[Country],Tabela1[[#This Row],[Country]],Table149152[Snowboard Cross Classification],"&gt;0")</f>
        <v>0</v>
      </c>
      <c r="QJ200" s="6">
        <f>COUNTIFS(Table153[Country],Tabela1[[#This Row],[Country]],Table153[Mixed Team Snowboard Cross Classification],"&gt;0")</f>
        <v>0</v>
      </c>
      <c r="QK200" s="6">
        <f>COUNTIFS(Table154[Country],Tabela1[[#This Row],[Country]],Table154[500m Classification],"&gt;0")</f>
        <v>0</v>
      </c>
      <c r="QL200" s="6">
        <f>COUNTIFS(Table154157[Country],Tabela1[[#This Row],[Country]],Table154157[500m Classification],"&gt;0")</f>
        <v>0</v>
      </c>
      <c r="QM200" s="6">
        <f>COUNTIFS(Table154[Country],Tabela1[[#This Row],[Country]],Table154[1000m Classification],"&gt;0")</f>
        <v>0</v>
      </c>
      <c r="QN200" s="6">
        <f>COUNTIFS(Table154157[Country],Tabela1[[#This Row],[Country]],Table154157[1000m Classification],"&gt;0")</f>
        <v>0</v>
      </c>
      <c r="QO200" s="6">
        <f>COUNTIFS(Table154[Country],Tabela1[[#This Row],[Country]],Table154[1500m Classification],"&gt;0")</f>
        <v>0</v>
      </c>
      <c r="QP200" s="6">
        <f>COUNTIFS(Table154157[Country],Tabela1[[#This Row],[Country]],Table154157[1500m Classification],"&gt;0")</f>
        <v>0</v>
      </c>
      <c r="QQ200" s="6">
        <f>COUNTIFS(Table154157[Country],Tabela1[[#This Row],[Country]],Table154157[3000m Classification],"&gt;0")</f>
        <v>0</v>
      </c>
      <c r="QR200" s="6">
        <f>COUNTIFS(Table154[Country],Tabela1[[#This Row],[Country]],Table154[5000m Classification],"&gt;0")</f>
        <v>0</v>
      </c>
      <c r="QS200" s="6">
        <f>COUNTIFS(Table154157[Country],Tabela1[[#This Row],[Country]],Table154157[5000m Classification],"&gt;0")</f>
        <v>0</v>
      </c>
      <c r="QT200" s="6">
        <f>COUNTIFS(Table154[Country],Tabela1[[#This Row],[Country]],Table154[10000m Classification],"&gt;0")</f>
        <v>0</v>
      </c>
      <c r="QU200" s="6">
        <f>COUNTIFS(Table154[Country],Tabela1[[#This Row],[Country]],Table154[Mass Start Classification],"&gt;0")</f>
        <v>0</v>
      </c>
      <c r="QV200" s="6">
        <f>COUNTIFS(Table154157[Country],Tabela1[[#This Row],[Country]],Table154157[Mass Start Classification],"&gt;0")</f>
        <v>0</v>
      </c>
      <c r="QW200" s="6">
        <f>COUNTIFS(Table157[Country],Tabela1[[#This Row],[Country]],Table157[Men''s Pursuit Classification],"&gt;0")</f>
        <v>0</v>
      </c>
      <c r="QX200" s="6">
        <f>COUNTIFS(Table157[Country],Tabela1[[#This Row],[Country]],Table157[Women''s Pursuit Classification],"&gt;0")</f>
        <v>0</v>
      </c>
      <c r="QY200" s="4" t="s">
        <v>453</v>
      </c>
    </row>
    <row r="201" spans="1:467" x14ac:dyDescent="0.3">
      <c r="A201" s="6">
        <v>200</v>
      </c>
      <c r="B201" s="6" t="s">
        <v>696</v>
      </c>
      <c r="C201" t="e" vm="200">
        <f>IF(ISBLANK(Tabela1[[#This Row],[Image Link]]), "", _xlfn.IMAGE(Tabela1[[#This Row],[Image Link]],1,1))</f>
        <v>#VALUE!</v>
      </c>
      <c r="D201" s="6">
        <f>SUM(Tabela1[[#This Row],[Archery - Men''s Individual Recurve]:[Speed Skating - Women''s Team Pursuit]])</f>
        <v>0</v>
      </c>
      <c r="E201" s="6">
        <f>COUNTIF(Tabela1[[#This Row],[Archery - Men''s Individual Recurve]:[Speed Skating - Women''s Team Pursuit]],"&gt;0")</f>
        <v>0</v>
      </c>
      <c r="F201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201" s="6">
        <f>SUM(Tabela1[[#This Row],[Archery - Men''s Individual Recurve]:[Wrestling - Women''s Freestyle 76kg]])</f>
        <v>0</v>
      </c>
      <c r="H201" s="6">
        <f>SUM(Tabela1[[#This Row],[Alpine Skiing - Men''s Downhill]:[Speed Skating - Women''s Team Pursuit]])</f>
        <v>0</v>
      </c>
      <c r="I201" s="6">
        <f>Tabela1[[#This Row],[Summer Gold Medals]]+Tabela1[[#This Row],[Winter Gold Medals]]</f>
        <v>0</v>
      </c>
      <c r="J201" s="6">
        <f>Tabela1[[#This Row],[Summer Silver Medals]]+Tabela1[[#This Row],[Winter Silver Medals]]</f>
        <v>0</v>
      </c>
      <c r="K201" s="6">
        <f>Tabela1[[#This Row],[Summer Bronze Medals]]+Tabela1[[#This Row],[Winter Bronze Medals]]</f>
        <v>0</v>
      </c>
      <c r="L201" s="6">
        <f>SUM(Tabela1[[#This Row],[Total Gold Medals]:[Total Bronze Medals]])</f>
        <v>0</v>
      </c>
      <c r="M201" s="6"/>
      <c r="N201" s="6"/>
      <c r="O201" s="6"/>
      <c r="P201" s="6">
        <f>SUM(Tabela1[[#This Row],[Summer Gold Medals]:[Summer Bronze Medals]])</f>
        <v>0</v>
      </c>
      <c r="Q201" s="6"/>
      <c r="R201" s="6"/>
      <c r="S201" s="6"/>
      <c r="T201" s="6">
        <f>Tabela1[[#This Row],[Winter Gold Medals]]+Tabela1[[#This Row],[Winter Silver Medals]]+Tabela1[[#This Row],[Winter Bronze Medals]]</f>
        <v>0</v>
      </c>
      <c r="U201" s="7" t="e">
        <f>Tabela1[[#This Row],[Total Medals]]/Tabela1[[#This Row],[Total Quotas]]</f>
        <v>#DIV/0!</v>
      </c>
      <c r="V201" s="6">
        <f>COUNTIFS(Table3[Country],Tabela1[[#This Row],[Country]],Table3[Recurve Classification],"&gt;0")</f>
        <v>0</v>
      </c>
      <c r="W201" s="6">
        <f>COUNTIFS(Table33[Country],Tabela1[[#This Row],[Country]],Table33[Recurve Classification],"&gt;0")</f>
        <v>0</v>
      </c>
      <c r="X201" s="6">
        <f>COUNTIFS(Table35[Country],Tabela1[[#This Row],[Country]],Table35[Men''s Team Recurve Classification],"&gt;0")</f>
        <v>0</v>
      </c>
      <c r="Y201" s="6">
        <f>COUNTIFS(Table35[Country],Tabela1[[#This Row],[Country]],Table35[Women''s Team Recurve Classification],"&gt;0")</f>
        <v>0</v>
      </c>
      <c r="Z201" s="6">
        <f>COUNTIFS(Tabela88[Country],Tabela1[[#This Row],[Country]],Tabela88[Mixed Team Recurve Classification],"&gt;0")</f>
        <v>0</v>
      </c>
      <c r="AA201" s="6">
        <f>COUNTIFS(Table36[Country],Tabela1[[#This Row],[Country]],Table36[Classification],"&gt;0")</f>
        <v>0</v>
      </c>
      <c r="AB201" s="6">
        <f>COUNTIFS(Table37[Country],Tabela1[[#This Row],[Country]],Table37[Classification],"&gt;0")</f>
        <v>0</v>
      </c>
      <c r="AC201" s="6">
        <f>COUNTIFS(Table4[Country],Tabela1[[#This Row],[Country]],Table4[100m Classification],"&gt;0")</f>
        <v>0</v>
      </c>
      <c r="AD201" s="6">
        <f>COUNTIFS(Table5[Country],Tabela1[[#This Row],[Country]],Table5[100m Classification],"&gt;0")</f>
        <v>0</v>
      </c>
      <c r="AE201" s="6">
        <f>COUNTIFS(Table4[Country],Tabela1[[#This Row],[Country]],Table4[200m Classification],"&gt;0")</f>
        <v>0</v>
      </c>
      <c r="AF201" s="6">
        <f>COUNTIFS(Table5[Country],Tabela1[[#This Row],[Country]],Table5[200m Classification],"&gt;0")</f>
        <v>0</v>
      </c>
      <c r="AG201" s="6">
        <f>COUNTIFS(Table4[Country],Tabela1[[#This Row],[Country]],Table4[400m Classification],"&gt;0")</f>
        <v>0</v>
      </c>
      <c r="AH201" s="6">
        <f>COUNTIFS(Table5[Country],Tabela1[[#This Row],[Country]],Table5[400m Classification],"&gt;0")</f>
        <v>0</v>
      </c>
      <c r="AI201" s="6">
        <f>COUNTIFS(Table4[Country],Tabela1[[#This Row],[Country]],Table4[800m Classification],"&gt;0")</f>
        <v>0</v>
      </c>
      <c r="AJ201" s="6">
        <f>COUNTIFS(Table5[Country],Tabela1[[#This Row],[Country]],Table5[800m Classification],"&gt;0")</f>
        <v>0</v>
      </c>
      <c r="AK201" s="6">
        <f>COUNTIFS(Table4[Country],Tabela1[[#This Row],[Country]],Table4[1500m Classification],"&gt;0")</f>
        <v>0</v>
      </c>
      <c r="AL201" s="6">
        <f>COUNTIFS(Table5[Country],Tabela1[[#This Row],[Country]],Table5[1500m Classification],"&gt;0")</f>
        <v>0</v>
      </c>
      <c r="AM201" s="6">
        <f>COUNTIFS(Table4[Country],Tabela1[[#This Row],[Country]],Table4[5000m Classification],"&gt;0")</f>
        <v>0</v>
      </c>
      <c r="AN201" s="6">
        <f>COUNTIFS(Table5[Country],Tabela1[[#This Row],[Country]],Table5[5000m Classification],"&gt;0")</f>
        <v>0</v>
      </c>
      <c r="AO201" s="6">
        <f>COUNTIFS(Table4[Country],Tabela1[[#This Row],[Country]],Table4[10000m Classification],"&gt;0")</f>
        <v>0</v>
      </c>
      <c r="AP201" s="6">
        <f>COUNTIFS(Table5[Country],Tabela1[[#This Row],[Country]],Table5[10000m Classification],"&gt;0")</f>
        <v>0</v>
      </c>
      <c r="AQ201" s="6">
        <f>COUNTIFS(Table4[Country],Tabela1[[#This Row],[Country]],Table4[110m Hurdles Classification],"&gt;0")</f>
        <v>0</v>
      </c>
      <c r="AR201" s="6">
        <f>COUNTIFS(Table5[Country],Tabela1[[#This Row],[Country]],Table5[100m Hurdles Classification],"&gt;0")</f>
        <v>0</v>
      </c>
      <c r="AS201" s="6">
        <f>COUNTIFS(Table4[Country],Tabela1[[#This Row],[Country]],Table4[400m Hurdles Classification],"&gt;0")</f>
        <v>0</v>
      </c>
      <c r="AT201" s="6">
        <f>COUNTIFS(Table5[Country],Tabela1[[#This Row],[Country]],Table5[400m Hurdles Classification],"&gt;0")</f>
        <v>0</v>
      </c>
      <c r="AU201" s="6">
        <f>COUNTIFS(Table4[Country],Tabela1[[#This Row],[Country]],Table4[3000m Steeplechase Classification],"&gt;0")</f>
        <v>0</v>
      </c>
      <c r="AV201" s="6">
        <f>COUNTIFS(Table5[Country],Tabela1[[#This Row],[Country]],Table5[3000m Steeplechase Classification],"&gt;0")</f>
        <v>0</v>
      </c>
      <c r="AW201" s="6">
        <f>COUNTIFS(Table27[Country],Tabela1[[#This Row],[Country]],Table27[Men''s 4x100m Relay Classification],"&gt;0")</f>
        <v>0</v>
      </c>
      <c r="AX201" s="6">
        <f>COUNTIFS(Table27[Country],Tabela1[[#This Row],[Country]],Table27[Women''s 4x100m Relay Classification],"&gt;0")</f>
        <v>0</v>
      </c>
      <c r="AY201" s="6">
        <f>COUNTIFS(Table27[Country],Tabela1[[#This Row],[Country]],Table27[Men''s 4x400m Relay Classification],"&gt;0")</f>
        <v>0</v>
      </c>
      <c r="AZ201" s="6">
        <f>COUNTIFS(Table27[Country],Tabela1[[#This Row],[Country]],Table27[Women''s 4x400m Relay Classification],"&gt;0")</f>
        <v>0</v>
      </c>
      <c r="BA201" s="6">
        <f>COUNTIFS(Table27[Country],Tabela1[[#This Row],[Country]],Table27[Mixed 4x400m Relay Classification],"&gt;0")</f>
        <v>0</v>
      </c>
      <c r="BB201" s="6">
        <f>COUNTIFS(Table4[Country],Tabela1[[#This Row],[Country]],Table4[Marathon Classification],"&gt;0")</f>
        <v>0</v>
      </c>
      <c r="BC201" s="6">
        <f>COUNTIFS(Table5[Country],Tabela1[[#This Row],[Country]],Table5[Marathon Classification],"&gt;0")</f>
        <v>0</v>
      </c>
      <c r="BD201" s="6">
        <f>COUNTIFS(Table4[Country],Tabela1[[#This Row],[Country]],Table4[20km Race Walk Classification],"&gt;0")</f>
        <v>0</v>
      </c>
      <c r="BE201" s="6">
        <f>COUNTIFS(Table5[Country],Tabela1[[#This Row],[Country]],Table5[20km Race Walk Classification],"&gt;0")</f>
        <v>0</v>
      </c>
      <c r="BF201" s="6">
        <f>COUNTIFS(Tabela96[Country],Tabela1[[#This Row],[Country]],Tabela96[Mixed Marathon Race Walk Relay Classification],"&gt;0")</f>
        <v>0</v>
      </c>
      <c r="BG201" s="6">
        <f>COUNTIFS(Table4[Country],Tabela1[[#This Row],[Country]],Table4[Discus Throw Classification],"&gt;0")</f>
        <v>0</v>
      </c>
      <c r="BH201" s="6">
        <f>COUNTIFS(Table5[Country],Tabela1[[#This Row],[Country]],Table5[Discus Throw Classification],"&gt;0")</f>
        <v>0</v>
      </c>
      <c r="BI201" s="6">
        <f>COUNTIFS(Table4[Country],Tabela1[[#This Row],[Country]],Table4[Hammer Throw Classification],"&gt;0")</f>
        <v>0</v>
      </c>
      <c r="BJ201" s="6">
        <f>COUNTIFS(Table5[Country],Tabela1[[#This Row],[Country]],Table5[Hammer Throw Classification],"&gt;0")</f>
        <v>0</v>
      </c>
      <c r="BK201" s="6">
        <f>COUNTIFS(Table4[Country],Tabela1[[#This Row],[Country]],Table4[High Jump Classification],"&gt;0")</f>
        <v>0</v>
      </c>
      <c r="BL201" s="6">
        <f>COUNTIFS(Table5[Country],Tabela1[[#This Row],[Country]],Table5[High Jump Classification],"&gt;0")</f>
        <v>0</v>
      </c>
      <c r="BM201" s="6">
        <f>COUNTIFS(Table4[Country],Tabela1[[#This Row],[Country]],Table4[Javelin Throw Classification],"&gt;0")</f>
        <v>0</v>
      </c>
      <c r="BN201" s="6">
        <f>COUNTIFS(Table5[Country],Tabela1[[#This Row],[Country]],Table5[Javelin Throw Classification],"&gt;0")</f>
        <v>0</v>
      </c>
      <c r="BO201" s="6">
        <f>COUNTIFS(Table4[Country],Tabela1[[#This Row],[Country]],Table4[Long Jump Classification],"&gt;0")</f>
        <v>0</v>
      </c>
      <c r="BP201" s="6">
        <f>COUNTIFS(Table5[Country],Tabela1[[#This Row],[Country]],Table5[Long Jump Classification],"&gt;0")</f>
        <v>0</v>
      </c>
      <c r="BQ201" s="6">
        <f>COUNTIFS(Table4[Country],Tabela1[[#This Row],[Country]],Table4[Pole Vault Classification],"&gt;0")</f>
        <v>0</v>
      </c>
      <c r="BR201" s="6">
        <f>COUNTIFS(Table5[Country],Tabela1[[#This Row],[Country]],Table5[Pole Vault Classification],"&gt;0")</f>
        <v>0</v>
      </c>
      <c r="BS201" s="6">
        <f>COUNTIFS(Table4[Country],Tabela1[[#This Row],[Country]],Table4[Shot Put Classification],"&gt;0")</f>
        <v>0</v>
      </c>
      <c r="BT201" s="6">
        <f>COUNTIFS(Table5[Country],Tabela1[[#This Row],[Country]],Table5[Shot Put Classification],"&gt;0")</f>
        <v>0</v>
      </c>
      <c r="BU201" s="6">
        <f>COUNTIFS(Table4[Country],Tabela1[[#This Row],[Country]],Table4[Triple Jump Classification],"&gt;0")</f>
        <v>0</v>
      </c>
      <c r="BV201" s="6">
        <f>COUNTIFS(Table5[Country],Tabela1[[#This Row],[Country]],Table5[Triple Jump Classification],"&gt;0")</f>
        <v>0</v>
      </c>
      <c r="BW201" s="6">
        <f>COUNTIFS(Table4[Country],Tabela1[[#This Row],[Country]],Table4[Decathlon Classification],"&gt;0")</f>
        <v>0</v>
      </c>
      <c r="BX201" s="6">
        <f>COUNTIFS(Table5[Country],Tabela1[[#This Row],[Country]],Table5[Heptathlon Classification],"&gt;0")</f>
        <v>0</v>
      </c>
      <c r="BY201" s="6">
        <f>COUNTIFS(Table61[Country],Tabela1[[#This Row],[Country]],Table61[Classification],"&gt;0")</f>
        <v>0</v>
      </c>
      <c r="BZ201" s="6">
        <f>COUNTIFS(Table38[Country],Tabela1[[#This Row],[Country]],Table38[Classification],"&gt;0")</f>
        <v>0</v>
      </c>
      <c r="CA201" s="6">
        <f>COUNTIFS(Table39[Country],Tabela1[[#This Row],[Country]],Table39[Men''s Classification],"&gt;0")</f>
        <v>0</v>
      </c>
      <c r="CB201" s="6">
        <f>COUNTIFS(Table39[Country],Tabela1[[#This Row],[Country]],Table39[Women''s Classification],"&gt;0")</f>
        <v>0</v>
      </c>
      <c r="CC201" s="6">
        <f>COUNTIFS(Table39[Country],Tabela1[[#This Row],[Country]],Table39[Mixed Classification],"&gt;0")</f>
        <v>0</v>
      </c>
      <c r="CD201" s="6">
        <f>COUNTIFS(Table89[Country],Tabela1[[#This Row],[Country]],Table89[Men''s Classification],"&gt;0")</f>
        <v>0</v>
      </c>
      <c r="CE201" s="6">
        <f>COUNTIFS(Table89[Country],Tabela1[[#This Row],[Country]],Table89[Women''s Classification],"&gt;0")</f>
        <v>0</v>
      </c>
      <c r="CF201" s="6">
        <f>COUNTIFS(Table90[Country],Tabela1[[#This Row],[Country]],Table90[Men''s Classification],"&gt;0")</f>
        <v>0</v>
      </c>
      <c r="CG201" s="6">
        <f>COUNTIFS(Table90[Country],Tabela1[[#This Row],[Country]],Table90[Women''s Classification],"&gt;0")</f>
        <v>0</v>
      </c>
      <c r="CH201" s="6">
        <f>COUNTIFS(Table60[Country],Tabela1[[#This Row],[Country]],Table60[Men''s Classification],"&gt;0")</f>
        <v>0</v>
      </c>
      <c r="CI201" s="6">
        <f>COUNTIFS(Table60[Country],Tabela1[[#This Row],[Country]],Table60[Women''s Classification],"&gt;0")</f>
        <v>0</v>
      </c>
      <c r="CJ201" s="6">
        <f>COUNTIFS(Table6[Country],Tabela1[[#This Row],[Country]],Table6[51kg Classification],"&gt;0")</f>
        <v>0</v>
      </c>
      <c r="CK201" s="6">
        <f>COUNTIFS(Table6[Country],Tabela1[[#This Row],[Country]],Table6[57kg Classification],"&gt;0")</f>
        <v>0</v>
      </c>
      <c r="CL201" s="6">
        <f>COUNTIFS(Table6[Country],Tabela1[[#This Row],[Country]],Table6[63.5kg Classification],"&gt;0")</f>
        <v>0</v>
      </c>
      <c r="CM201" s="6">
        <f>COUNTIFS(Table6[Country],Tabela1[[#This Row],[Country]],Table6[71kg Classification],"&gt;0")</f>
        <v>0</v>
      </c>
      <c r="CN201" s="6">
        <f>COUNTIFS(Table6[Country],Tabela1[[#This Row],[Country]],Table6[80kg Classification],"&gt;0")</f>
        <v>0</v>
      </c>
      <c r="CO201" s="6">
        <f>COUNTIFS(Table6[Country],Tabela1[[#This Row],[Country]],Table6[92kg Classification],"&gt;0")</f>
        <v>0</v>
      </c>
      <c r="CP201" s="6">
        <f>COUNTIFS(Table6[Country],Tabela1[[#This Row],[Country]],Table6[Plus 92kg Classification],"&gt;0")</f>
        <v>0</v>
      </c>
      <c r="CQ201" s="6">
        <f>COUNTIFS(Table7[Country],Tabela1[[#This Row],[Country]],Table7[50kg Classification],"&gt;0")</f>
        <v>0</v>
      </c>
      <c r="CR201" s="6">
        <f>COUNTIFS(Table7[Country],Tabela1[[#This Row],[Country]],Table7[54kg Classification],"&gt;0")</f>
        <v>0</v>
      </c>
      <c r="CS201" s="6">
        <f>COUNTIFS(Table7[Country],Tabela1[[#This Row],[Country]],Table7[57kg Classification],"&gt;0")</f>
        <v>0</v>
      </c>
      <c r="CT201" s="6">
        <f>COUNTIFS(Table7[Country],Tabela1[[#This Row],[Country]],Table7[60kg Classification],"&gt;0")</f>
        <v>0</v>
      </c>
      <c r="CU201" s="6">
        <f>COUNTIFS(Table7[Country],Tabela1[[#This Row],[Country]],Table7[66kg Classification],"&gt;0")</f>
        <v>0</v>
      </c>
      <c r="CV201" s="6">
        <f>COUNTIFS(Table7[Country],Tabela1[[#This Row],[Country]],Table7[75kg Classification],"&gt;0")</f>
        <v>0</v>
      </c>
      <c r="CW201" s="6">
        <f>COUNTIFS(Tabela94[Country],Tabela1[[#This Row],[Country]],Tabela94[Classification],"&gt;0")</f>
        <v>0</v>
      </c>
      <c r="CX201" s="6">
        <f>COUNTIFS(Tabela9499[Country],Tabela1[[#This Row],[Country]],Tabela9499[Classification],"&gt;0")</f>
        <v>0</v>
      </c>
      <c r="CY201" s="6">
        <f>COUNTIFS(Tabela107[Country],Tabela1[[#This Row],[Country]],Tabela107[C1 Slalom Classification],"&gt;0")</f>
        <v>0</v>
      </c>
      <c r="CZ201" s="6">
        <f>COUNTIFS(Tabela107122[Country],Tabela1[[#This Row],[Country]],Tabela107122[C1 Slalom Classification],"&gt;0")</f>
        <v>0</v>
      </c>
      <c r="DA201" s="6">
        <f>COUNTIFS(Tabela107[Country],Tabela1[[#This Row],[Country]],Tabela107[K1 Slalom Classification],"&gt;0")</f>
        <v>0</v>
      </c>
      <c r="DB201" s="6">
        <f>COUNTIFS(Tabela107122[Country],Tabela1[[#This Row],[Country]],Tabela107122[K1 Slalom Classification],"&gt;0")</f>
        <v>0</v>
      </c>
      <c r="DC201" s="6">
        <f>COUNTIFS(Tabela107[Country],Tabela1[[#This Row],[Country]],Tabela107[Kayak Cross Slalom Classification],"&gt;0")</f>
        <v>0</v>
      </c>
      <c r="DD201" s="6">
        <f>COUNTIFS(Tabela107122[Country],Tabela1[[#This Row],[Country]],Tabela107122[Kayak Cross Slalom Classification],"&gt;0")</f>
        <v>0</v>
      </c>
      <c r="DE201" s="6">
        <f>COUNTIFS(Table8[Country],Tabela1[[#This Row],[Country]],Table8[C1 200m Classification],"&gt;0")</f>
        <v>0</v>
      </c>
      <c r="DF201" s="6">
        <f>COUNTIFS(Table40[Country],Tabela1[[#This Row],[Country]],Table40[C1 1000m Classification],"&gt;0")</f>
        <v>0</v>
      </c>
      <c r="DG201" s="6">
        <f>COUNTIFS(Table68[Country],Tabela1[[#This Row],[Country]],Table68[Men''s C2 500m Classification],"&gt;0")</f>
        <v>0</v>
      </c>
      <c r="DH201" s="6">
        <f>COUNTIFS(Table68[Country],Tabela1[[#This Row],[Country]],Table68[Women''s C2 500m Classification],"&gt;0")</f>
        <v>0</v>
      </c>
      <c r="DI201" s="6">
        <f>COUNTIFS(Table8[Country],Tabela1[[#This Row],[Country]],Table8[K1 500m Classification],"&gt;0")</f>
        <v>0</v>
      </c>
      <c r="DJ201" s="6">
        <f>COUNTIFS(Table40[Country],Tabela1[[#This Row],[Country]],Table40[K1 1000m Classification],"&gt;0")</f>
        <v>0</v>
      </c>
      <c r="DK201" s="6">
        <f>COUNTIFS(Table68[Country],Tabela1[[#This Row],[Country]],Table68[Men''s K2 500m Classification],"&gt;0")</f>
        <v>0</v>
      </c>
      <c r="DL201" s="6">
        <f>COUNTIFS(Table68[Country],Tabela1[[#This Row],[Country]],Table68[Women''s K2 500m Classification],"&gt;0")</f>
        <v>0</v>
      </c>
      <c r="DM201" s="6">
        <f>COUNTIFS(Table83[Country],Tabela1[[#This Row],[Country]],Table83[Men''s K4 500m Classification],"&gt;0")</f>
        <v>0</v>
      </c>
      <c r="DN201" s="6">
        <f>COUNTIFS(Table83[Country],Tabela1[[#This Row],[Country]],Table83[Women''s K4 500m Classification],"&gt;0")</f>
        <v>0</v>
      </c>
      <c r="DO201" s="6">
        <f>COUNTIFS(Tabela126[Country],Tabela1[[#This Row],[Country]],Tabela126[Classification],"&gt;0")</f>
        <v>0</v>
      </c>
      <c r="DP201" s="6">
        <f>COUNTIFS(Tabela126130[Country],Tabela1[[#This Row],[Country]],Tabela126130[Classification],"&gt;0")</f>
        <v>0</v>
      </c>
      <c r="DQ201" s="6">
        <f>COUNTIFS(Table70[Country],Tabela1[[#This Row],[Country]],Table70[Classification],"&gt;0")</f>
        <v>0</v>
      </c>
      <c r="DR201" s="6">
        <f>COUNTIFS(Table80[Country],Tabela1[[#This Row],[Country]],Table80[Classification],"&gt;0")</f>
        <v>0</v>
      </c>
      <c r="DS201" s="6">
        <f>COUNTIFS(Table66[Country],Tabela1[[#This Row],[Country]],Table66[Classification],"&gt;0")</f>
        <v>0</v>
      </c>
      <c r="DT201" s="6">
        <f>COUNTIFS(Table67[Country],Tabela1[[#This Row],[Country]],Table67[Classification],"&gt;0")</f>
        <v>0</v>
      </c>
      <c r="DU201" s="6">
        <f>COUNTIFS(Table69[Country],Tabela1[[#This Row],[Country]],Table69[Keirin Classification],"&gt;0")</f>
        <v>0</v>
      </c>
      <c r="DV201" s="6">
        <f>COUNTIFS(Table41[Country],Tabela1[[#This Row],[Country]],Table41[Keirin Classification],"&gt;0")</f>
        <v>0</v>
      </c>
      <c r="DW201" s="6">
        <f>COUNTIFS(Table84[Country],Tabela1[[#This Row],[Country]],Table84[Men''s Madison Classification],"&gt;0")</f>
        <v>0</v>
      </c>
      <c r="DX201" s="6">
        <f>COUNTIFS(Table84[Country],Tabela1[[#This Row],[Country]],Table84[Women''s Madison Classification],"&gt;0")</f>
        <v>0</v>
      </c>
      <c r="DY201" s="6">
        <f>COUNTIFS(Table69[Country],Tabela1[[#This Row],[Country]],Table69[Omnium Classification],"&gt;0")</f>
        <v>0</v>
      </c>
      <c r="DZ201" s="6">
        <f>COUNTIFS(Table41[Country],Tabela1[[#This Row],[Country]],Table41[Omnium Classification],"&gt;0")</f>
        <v>0</v>
      </c>
      <c r="EA201" s="6">
        <f>COUNTIFS(Table9[Country],Tabela1[[#This Row],[Country]],Table9[Road Race Classification],"&gt;0")</f>
        <v>0</v>
      </c>
      <c r="EB201" s="6">
        <f>COUNTIFS(Table14[Country],Tabela1[[#This Row],[Country]],Table14[Road Race Classification],"&gt;0")</f>
        <v>0</v>
      </c>
      <c r="EC201" s="6">
        <f>COUNTIFS(Table69[Country],Tabela1[[#This Row],[Country]],Table69[Sprint Classification],"&gt;0")</f>
        <v>0</v>
      </c>
      <c r="ED201" s="6">
        <f>COUNTIFS(Table41[Country],Tabela1[[#This Row],[Country]],Table41[Sprint Classification],"&gt;0")</f>
        <v>0</v>
      </c>
      <c r="EE201" s="6">
        <f>COUNTIFS(Table85[Country],Tabela1[[#This Row],[Country]],Table85[Men''s Sprint Classification],"&gt;0")</f>
        <v>0</v>
      </c>
      <c r="EF201" s="6">
        <f>COUNTIFS(Table85[Country],Tabela1[[#This Row],[Country]],Table85[Women''s Sprint Classification],"&gt;0")</f>
        <v>0</v>
      </c>
      <c r="EG201" s="6">
        <f>COUNTIFS(Table85[Country],Tabela1[[#This Row],[Country]],Table85[Men''s Pursuit Classification],"&gt;0")</f>
        <v>0</v>
      </c>
      <c r="EH201" s="6">
        <f>COUNTIFS(Table85[Country],Tabela1[[#This Row],[Country]],Table85[Women''s Pursuit Classification],"&gt;0")</f>
        <v>0</v>
      </c>
      <c r="EI201" s="6">
        <f>COUNTIFS(Table9[Country],Tabela1[[#This Row],[Country]],Table9[Time-Trial Classification],"&gt;0")</f>
        <v>0</v>
      </c>
      <c r="EJ201" s="6">
        <f>COUNTIFS(Table14[Country],Tabela1[[#This Row],[Country]],Table14[Time-Trial Classification],"&gt;0")</f>
        <v>0</v>
      </c>
      <c r="EK201" s="6">
        <f>COUNTIFS(Table42[Country],Tabela1[[#This Row],[Country]],Table42[Springboard Classification],"&gt;0")</f>
        <v>0</v>
      </c>
      <c r="EL201" s="6">
        <f>COUNTIFS(Table43[Country],Tabela1[[#This Row],[Country]],Table43[Springboard Classification],"&gt;0")</f>
        <v>0</v>
      </c>
      <c r="EM201" s="6">
        <f>COUNTIFS(Table42[Country],Tabela1[[#This Row],[Country]],Table42[Platform Classification],"&gt;0")</f>
        <v>0</v>
      </c>
      <c r="EN201" s="6">
        <f>COUNTIFS(Table43[Country],Tabela1[[#This Row],[Country]],Table43[Platform Classification],"&gt;0")</f>
        <v>0</v>
      </c>
      <c r="EO201" s="6">
        <f>COUNTIFS(Table86[Country],Tabela1[[#This Row],[Country]],Table86[Men''s Synchronized Springboard Classification],"&gt;0")</f>
        <v>0</v>
      </c>
      <c r="EP201" s="6">
        <f>COUNTIFS(Table86[Country],Tabela1[[#This Row],[Country]],Table86[Women''s Synchronized Springboard Classification],"&gt;0")</f>
        <v>0</v>
      </c>
      <c r="EQ201" s="6">
        <f>COUNTIFS(Table86[Country],Tabela1[[#This Row],[Country]],Table86[Men''s Synchronized Platform Classification],"&gt;0")</f>
        <v>0</v>
      </c>
      <c r="ER201" s="6">
        <f>COUNTIFS(Table86[Country],Tabela1[[#This Row],[Country]],Table86[Women''s Synchronized Platform Classification],"&gt;0")</f>
        <v>0</v>
      </c>
      <c r="ES201" s="6">
        <f>COUNTIFS(Table44[Country],Tabela1[[#This Row],[Country]],Table44[Dressage Classification],"&gt;0")</f>
        <v>0</v>
      </c>
      <c r="ET201" s="6">
        <f>COUNTIFS(Table45[Country],Tabela1[[#This Row],[Country]],Table45[Dressage Classification],"&gt;0")</f>
        <v>0</v>
      </c>
      <c r="EU201" s="6">
        <f>COUNTIFS(Table44[Country],Tabela1[[#This Row],[Country]],Table44[Eventing Classification],"&gt;0")</f>
        <v>0</v>
      </c>
      <c r="EV201" s="6">
        <f>COUNTIFS(Table45[Country],Tabela1[[#This Row],[Country]],Table45[Eventing Classification],"&gt;0")</f>
        <v>0</v>
      </c>
      <c r="EW201" s="6">
        <f>COUNTIFS(Table44[Country],Tabela1[[#This Row],[Country]],Table44[Jumping Classification],"&gt;0")</f>
        <v>0</v>
      </c>
      <c r="EX201" s="6">
        <f>COUNTIFS(Table45[Country],Tabela1[[#This Row],[Country]],Table45[Jumping Classification],"&gt;0")</f>
        <v>0</v>
      </c>
      <c r="EY201" s="6">
        <f>COUNTIFS(Table10[Country],Tabela1[[#This Row],[Country]],Table10[Épée Classification],"&gt;0")</f>
        <v>0</v>
      </c>
      <c r="EZ201" s="6">
        <f>COUNTIFS(Table11[Country],Tabela1[[#This Row],[Country]],Table11[Épée Classification],"&gt;0")</f>
        <v>0</v>
      </c>
      <c r="FA201" s="6">
        <f>COUNTIFS(Table46[Country],Tabela1[[#This Row],[Country]],Table46[Men''s Épée Classification],"&gt;0")</f>
        <v>0</v>
      </c>
      <c r="FB201" s="6">
        <f>COUNTIFS(Table46[Country],Tabela1[[#This Row],[Country]],Table46[Women''s Épée Classification],"&gt;0")</f>
        <v>0</v>
      </c>
      <c r="FC201" s="6">
        <f>COUNTIFS(Table10[Country],Tabela1[[#This Row],[Country]],Table10[Foil Classification],"&gt;0")</f>
        <v>0</v>
      </c>
      <c r="FD201" s="6">
        <f>COUNTIFS(Table11[Country],Tabela1[[#This Row],[Country]],Table11[Foil Classification],"&gt;0")</f>
        <v>0</v>
      </c>
      <c r="FE201" s="6">
        <f>COUNTIFS(Table46[Country],Tabela1[[#This Row],[Country]],Table46[Men''s Foil Classification],"&gt;0")</f>
        <v>0</v>
      </c>
      <c r="FF201" s="6">
        <f>COUNTIFS(Table46[Country],Tabela1[[#This Row],[Country]],Table46[Women''s Foil Classification],"&gt;0")</f>
        <v>0</v>
      </c>
      <c r="FG201" s="6">
        <f>COUNTIFS(Table10[Country],Tabela1[[#This Row],[Country]],Table10[Sabre Classification],"&gt;0")</f>
        <v>0</v>
      </c>
      <c r="FH201" s="6">
        <f>COUNTIFS(Table11[Country],Tabela1[[#This Row],[Country]],Table11[Sabre Classification],"&gt;0")</f>
        <v>0</v>
      </c>
      <c r="FI201" s="6">
        <f>COUNTIFS(Table46[Country],Tabela1[[#This Row],[Country]],Table46[Men''s Sabre Classification],"&gt;0")</f>
        <v>0</v>
      </c>
      <c r="FJ201" s="6">
        <f>COUNTIFS(Table46[Country],Tabela1[[#This Row],[Country]],Table46[Women''s Sabre Classification],"&gt;0")</f>
        <v>0</v>
      </c>
      <c r="FK201" s="6">
        <f>COUNTIFS(Table91[Country],Tabela1[[#This Row],[Country]],Table91[Men''s Classification],"&gt;0")</f>
        <v>0</v>
      </c>
      <c r="FL201" s="6">
        <f>COUNTIFS(Table91[Country],Tabela1[[#This Row],[Country]],Table91[Women''s Classification],"&gt;0")</f>
        <v>0</v>
      </c>
      <c r="FM201" s="6">
        <f>COUNTIFS(Table9194[Country],Tabela1[[#This Row],[Country]],Table9194[Men''s Classification],"&gt;0")</f>
        <v>0</v>
      </c>
      <c r="FN201" s="6">
        <f>COUNTIFS(Table9194[Country],Tabela1[[#This Row],[Country]],Table9194[Women''s Classification],"&gt;0")</f>
        <v>0</v>
      </c>
      <c r="FO201" s="6">
        <f>COUNTIFS(Table71[Country],Tabela1[[#This Row],[Country]],Table71[Classification],"&gt;0")</f>
        <v>0</v>
      </c>
      <c r="FP201" s="6">
        <f>COUNTIFS(Table62[Country],Tabela1[[#This Row],[Country]],Table62[Classification],"&gt;0")</f>
        <v>0</v>
      </c>
      <c r="FQ201" s="6">
        <f>COUNTIFS(Table47[Country],Tabela1[[#This Row],[Country]],Table47[All-Around Classification],"&gt;0")</f>
        <v>0</v>
      </c>
      <c r="FR201" s="6">
        <f>COUNTIFS(Table48[Country],Tabela1[[#This Row],[Country]],Table48[All-Around Classification],"&gt;0")</f>
        <v>0</v>
      </c>
      <c r="FS201" s="6">
        <f>COUNTIFS(Table81[Country],Tabela1[[#This Row],[Country]],Table81[Men''s All-Around Classification],"&gt;0")</f>
        <v>0</v>
      </c>
      <c r="FT201" s="6">
        <f>COUNTIFS(Table81[Country],Tabela1[[#This Row],[Country]],Table81[Women''s All-Around Classification],"&gt;0")</f>
        <v>0</v>
      </c>
      <c r="FU201" s="6">
        <f>COUNTIFS(Table48[Country],Tabela1[[#This Row],[Country]],Table48[Balance Beam Classification],"&gt;0")</f>
        <v>0</v>
      </c>
      <c r="FV201" s="6">
        <f>COUNTIFS(Table47[Country],Tabela1[[#This Row],[Country]],Table47[Floor Exercise Classification],"&gt;0")</f>
        <v>0</v>
      </c>
      <c r="FW201" s="6">
        <f>COUNTIFS(Table48[Country],Tabela1[[#This Row],[Country]],Table48[Floor Exercise Classification],"&gt;0")</f>
        <v>0</v>
      </c>
      <c r="FX201" s="6">
        <f>COUNTIFS(Table47[Country],Tabela1[[#This Row],[Country]],Table47[Horizontal Bar Classification],"&gt;0")</f>
        <v>0</v>
      </c>
      <c r="FY201" s="6">
        <f>COUNTIFS(Table47[Country],Tabela1[[#This Row],[Country]],Table47[Parallel Bars Classification],"&gt;0")</f>
        <v>0</v>
      </c>
      <c r="FZ201" s="6">
        <f>COUNTIFS(Table47[Country],Tabela1[[#This Row],[Country]],Table47[Pommel Horse Classification],"&gt;0")</f>
        <v>0</v>
      </c>
      <c r="GA201" s="6">
        <f>COUNTIFS(Table47[Country],Tabela1[[#This Row],[Country]],Table47[Rings Classification],"&gt;0")</f>
        <v>0</v>
      </c>
      <c r="GB201" s="6">
        <f>COUNTIFS(Tabela132[Country],Tabela1[[#This Row],[Country]],Tabela132[Classification],"&gt;0")</f>
        <v>0</v>
      </c>
      <c r="GC201" s="6">
        <f>COUNTIFS(Tabela139[Country],Tabela1[[#This Row],[Country]],Tabela139[Classification],"&gt;0")</f>
        <v>0</v>
      </c>
      <c r="GD201" s="6">
        <f>COUNTIFS(Table48[Country],Tabela1[[#This Row],[Country]],Table48[Uneven Bars Classification],"&gt;0")</f>
        <v>0</v>
      </c>
      <c r="GE201" s="6">
        <f>COUNTIFS(Table47[Country],Tabela1[[#This Row],[Country]],Table47[Vault Classification],"&gt;0")</f>
        <v>0</v>
      </c>
      <c r="GF201" s="6">
        <f>COUNTIFS(Table48[Country],Tabela1[[#This Row],[Country]],Table48[Vault Classification],"&gt;0")</f>
        <v>0</v>
      </c>
      <c r="GG201" s="6">
        <f>COUNTIFS(Table919496[Country],Tabela1[[#This Row],[Country]],Table919496[Men''s Classification],"&gt;0")</f>
        <v>0</v>
      </c>
      <c r="GH201" s="6">
        <f>COUNTIFS(Table919496[Country],Tabela1[[#This Row],[Country]],Table919496[Women''s Classification],"&gt;0")</f>
        <v>0</v>
      </c>
      <c r="GI201" s="6">
        <f>COUNTIFS(Table12[Country],Tabela1[[#This Row],[Country]],Table12[60kg Classification],"&gt;0")</f>
        <v>0</v>
      </c>
      <c r="GJ201" s="6">
        <f>COUNTIFS(Table12[Country],Tabela1[[#This Row],[Country]],Table12[66kg Classification],"&gt;0")</f>
        <v>0</v>
      </c>
      <c r="GK201" s="6">
        <f>COUNTIFS(Table12[Country],Tabela1[[#This Row],[Country]],Table12[73kg Classification],"&gt;0")</f>
        <v>0</v>
      </c>
      <c r="GL201" s="6">
        <f>COUNTIFS(Table12[Country],Tabela1[[#This Row],[Country]],Table12[81kg Classification],"&gt;0")</f>
        <v>0</v>
      </c>
      <c r="GM201" s="6">
        <f>COUNTIFS(Table12[Country],Tabela1[[#This Row],[Country]],Table12[90kg Classification],"&gt;0")</f>
        <v>0</v>
      </c>
      <c r="GN201" s="6">
        <f>COUNTIFS(Table12[Country],Tabela1[[#This Row],[Country]],Table12[100kg Classification],"&gt;0")</f>
        <v>0</v>
      </c>
      <c r="GO201" s="6">
        <f>COUNTIFS(Table12[Country],Tabela1[[#This Row],[Country]],Table12[Plus 100kg Classification],"&gt;0")</f>
        <v>0</v>
      </c>
      <c r="GP201" s="6">
        <f>COUNTIFS(Table13[Country],Tabela1[[#This Row],[Country]],Table13[48kg Classification],"&gt;0")</f>
        <v>0</v>
      </c>
      <c r="GQ201" s="6">
        <f>COUNTIFS(Table13[Country],Tabela1[[#This Row],[Country]],Table13[52kg Classification],"&gt;0")</f>
        <v>0</v>
      </c>
      <c r="GR201" s="6">
        <f>COUNTIFS(Table13[Country],Tabela1[[#This Row],[Country]],Table13[57kg Classification],"&gt;0")</f>
        <v>0</v>
      </c>
      <c r="GS201" s="6">
        <f>COUNTIFS(Table13[Country],Tabela1[[#This Row],[Country]],Table13[63kg Classification],"&gt;0")</f>
        <v>0</v>
      </c>
      <c r="GT201" s="6">
        <f>COUNTIFS(Table13[Country],Tabela1[[#This Row],[Country]],Table13[70kg Classification],"&gt;0")</f>
        <v>0</v>
      </c>
      <c r="GU201" s="6">
        <f>COUNTIFS(Table13[Country],Tabela1[[#This Row],[Country]],Table13[78kg Classification],"&gt;0")</f>
        <v>0</v>
      </c>
      <c r="GV201" s="6">
        <f>COUNTIFS(Table13[Country],Tabela1[[#This Row],[Country]],Table13[Plus 78kg Classification],"&gt;0")</f>
        <v>0</v>
      </c>
      <c r="GW201" s="6">
        <f>COUNTIFS(Table82[Country],Tabela1[[#This Row],[Country]],Table82[Mixed Classification],"&gt;0")</f>
        <v>0</v>
      </c>
      <c r="GX201" s="6">
        <f>COUNTIFS(Table51[Country],Tabela1[[#This Row],[Country]],Table51[Classification],"&gt;0")</f>
        <v>0</v>
      </c>
      <c r="GY201" s="6">
        <f>COUNTIFS(Table52[Country],Tabela1[[#This Row],[Country]],Table52[Classification],"&gt;0")</f>
        <v>0</v>
      </c>
      <c r="GZ201" s="6">
        <f>COUNTIFS(Table32[Country],Tabela1[[#This Row],[Country]],Table32[All-Around Classification],"&gt;0")</f>
        <v>0</v>
      </c>
      <c r="HA201" s="6">
        <f>COUNTIFS(Table49[Country],Tabela1[[#This Row],[Country]],Table49[All-Around Classification],"&gt;0")</f>
        <v>0</v>
      </c>
      <c r="HB201" s="6">
        <f>COUNTIFS(Table26[Country],Tabela1[[#This Row],[Country]],Table26[Single Sculls Classification],"&gt;0")</f>
        <v>0</v>
      </c>
      <c r="HC201" s="6">
        <f>COUNTIFS(Table63[Country],Tabela1[[#This Row],[Country]],Table63[Single Sculls Classification],"&gt;0")</f>
        <v>0</v>
      </c>
      <c r="HD201" s="6">
        <f>COUNTIFS(Table16[Country],Tabela1[[#This Row],[Country]],Table16[Men''s Double Sculls Classification],"&gt;0")</f>
        <v>0</v>
      </c>
      <c r="HE201" s="6">
        <f>COUNTIFS(Table16[Country],Tabela1[[#This Row],[Country]],Table16[Women''s Double Sculls Classification],"&gt;0")</f>
        <v>0</v>
      </c>
      <c r="HF201" s="6">
        <f>COUNTIFS(Table72[Country],Tabela1[[#This Row],[Country]],Table72[Men''s Quadruple Sculls Classification],"&gt;0")</f>
        <v>0</v>
      </c>
      <c r="HG201" s="6">
        <f>COUNTIFS(Table72[Country],Tabela1[[#This Row],[Country]],Table72[Women''s Quadruple Sculls Classification],"&gt;0")</f>
        <v>0</v>
      </c>
      <c r="HH201" s="6">
        <f>COUNTIFS(Table16[Country],Tabela1[[#This Row],[Country]],Table16[Men''s Coxless Pairs Classification],"&gt;0")</f>
        <v>0</v>
      </c>
      <c r="HI201" s="6">
        <f>COUNTIFS(Table16[Country],Tabela1[[#This Row],[Country]],Table16[Women''s Coxless Pairs Classification],"&gt;0")</f>
        <v>0</v>
      </c>
      <c r="HJ201" s="6">
        <f>COUNTIFS(Table72[Country],Tabela1[[#This Row],[Country]],Table72[Men''s Coxless Fours Classification],"&gt;0")</f>
        <v>0</v>
      </c>
      <c r="HK201" s="6">
        <f>COUNTIFS(Table72[Country],Tabela1[[#This Row],[Country]],Table72[Women''s Coxless Fours Classification],"&gt;0")</f>
        <v>0</v>
      </c>
      <c r="HL201" s="6">
        <f>COUNTIFS(Table72[Country],Tabela1[[#This Row],[Country]],Table72[Men''s Eights Classification],"&gt;0")</f>
        <v>0</v>
      </c>
      <c r="HM201" s="6">
        <f>COUNTIFS(Table72[Country],Tabela1[[#This Row],[Country]],Table72[Women''s Eights Classification],"&gt;0")</f>
        <v>0</v>
      </c>
      <c r="HN201" s="6">
        <f>COUNTIFS(Table16[Country],Tabela1[[#This Row],[Country]],Table16[Men''s Lwt. Double Sculls Classification],"&gt;0")</f>
        <v>0</v>
      </c>
      <c r="HO201" s="6">
        <f>COUNTIFS(Table16[Country],Tabela1[[#This Row],[Country]],Table16[Women''s Lwt. Double Sculls Classification],"&gt;0")</f>
        <v>0</v>
      </c>
      <c r="HP201" s="6">
        <f>COUNTIFS(Table91949698[Country],Tabela1[[#This Row],[Country]],Table91949698[Men''s Classification],"&gt;0")</f>
        <v>0</v>
      </c>
      <c r="HQ201" s="6">
        <f>COUNTIFS(Table91949698[Country],Tabela1[[#This Row],[Country]],Table91949698[Women''s Classification],"&gt;0")</f>
        <v>0</v>
      </c>
      <c r="HR201" s="6">
        <f>COUNTIFS(Table25[Country],Tabela1[[#This Row],[Country]],Table25[Mixed 470 Classification],"&gt;0")</f>
        <v>0</v>
      </c>
      <c r="HS201" s="6">
        <f>COUNTIFS(Table25[Country],Tabela1[[#This Row],[Country]],Table25[Men''s 49er Classification],"&gt;0")</f>
        <v>0</v>
      </c>
      <c r="HT201" s="6">
        <f>COUNTIFS(Table25[Country],Tabela1[[#This Row],[Country]],Table25[Women''s 49er FX Classification],"&gt;0")</f>
        <v>0</v>
      </c>
      <c r="HU201" s="6">
        <f>COUNTIFS(Table17[Country],Tabela1[[#This Row],[Country]],Table17[Formula Kite Classification],"&gt;0")</f>
        <v>0</v>
      </c>
      <c r="HV201" s="6">
        <f>COUNTIFS(Table18[Country],Tabela1[[#This Row],[Country]],Table18[Formula Kite Classification],"&gt;0")</f>
        <v>0</v>
      </c>
      <c r="HW201" s="6">
        <f>COUNTIFS(Table17[Country],Tabela1[[#This Row],[Country]],Table17[ILCA 7 Classification],"&gt;0")</f>
        <v>0</v>
      </c>
      <c r="HX201" s="6">
        <f>COUNTIFS(Table18[Country],Tabela1[[#This Row],[Country]],Table18[ILCA 6 Classification],"&gt;0")</f>
        <v>0</v>
      </c>
      <c r="HY201" s="6">
        <f>COUNTIFS(Table17[Country],Tabela1[[#This Row],[Country]],Table17[IQFoil Classification],"&gt;0")</f>
        <v>0</v>
      </c>
      <c r="HZ201" s="6">
        <f>COUNTIFS(Table18[Country],Tabela1[[#This Row],[Country]],Table18[IQFoil Classification],"&gt;0")</f>
        <v>0</v>
      </c>
      <c r="IA201" s="6">
        <f>COUNTIFS(Table25[Country],Tabela1[[#This Row],[Country]],Table25[Mixed Nacra 17 Classification],"&gt;0")</f>
        <v>0</v>
      </c>
      <c r="IB201" s="6">
        <f>COUNTIFS(Table53[Country],Tabela1[[#This Row],[Country]],Table53[10m Air Pistol Classification],"&gt;0")</f>
        <v>0</v>
      </c>
      <c r="IC201" s="6">
        <f>COUNTIFS(Table19[Country],Tabela1[[#This Row],[Country]],Table19[10m Air Pistol Classification],"&gt;0")</f>
        <v>0</v>
      </c>
      <c r="ID201" s="6">
        <f>COUNTIFS(Table54[Country],Tabela1[[#This Row],[Country]],Table54[Mixed 10m Air Pistol Team Classification],"&gt;0")</f>
        <v>0</v>
      </c>
      <c r="IE201" s="6">
        <f>COUNTIFS(Table53[Country],Tabela1[[#This Row],[Country]],Table53[10m Air Rifle Classification],"&gt;0")</f>
        <v>0</v>
      </c>
      <c r="IF201" s="6">
        <f>COUNTIFS(Table19[Country],Tabela1[[#This Row],[Country]],Table19[10m Air Rifle Classification],"&gt;0")</f>
        <v>0</v>
      </c>
      <c r="IG201" s="6">
        <f>COUNTIFS(Table54[Country],Tabela1[[#This Row],[Country]],Table54[Mixed 10m Air Rifle Team Classification],"&gt;0")</f>
        <v>0</v>
      </c>
      <c r="IH201" s="6">
        <f>COUNTIFS(Table53[Country],Tabela1[[#This Row],[Country]],Table53[25m Rapid Fire Pistol Classification],"&gt;0")</f>
        <v>0</v>
      </c>
      <c r="II201" s="6">
        <f>COUNTIFS(Table19[Country],Tabela1[[#This Row],[Country]],Table19[25m Pistol Classification],"&gt;0")</f>
        <v>0</v>
      </c>
      <c r="IJ201" s="6">
        <f>COUNTIFS(Table53[Country],Tabela1[[#This Row],[Country]],Table53[50m Rifle 3 Positions Classification],"&gt;0")</f>
        <v>0</v>
      </c>
      <c r="IK201" s="6">
        <f>COUNTIFS(Table19[Country],Tabela1[[#This Row],[Country]],Table19[50m Rifle 3 Positions Classification],"&gt;0")</f>
        <v>0</v>
      </c>
      <c r="IL201" s="6">
        <f>COUNTIFS(Table53[Country],Tabela1[[#This Row],[Country]],Table53[Skeet Classification],"&gt;0")</f>
        <v>0</v>
      </c>
      <c r="IM201" s="6">
        <f>COUNTIFS(Table19[Country],Tabela1[[#This Row],[Country]],Table19[Skeet Classification],"&gt;0")</f>
        <v>0</v>
      </c>
      <c r="IN201" s="6">
        <f>COUNTIFS(Table54[Country],Tabela1[[#This Row],[Country]],Table54[Mixed Skeet Team Classification],"&gt;0")</f>
        <v>0</v>
      </c>
      <c r="IO201" s="6">
        <f>COUNTIFS(Table53[Country],Tabela1[[#This Row],[Country]],Table53[Trap Classification],"&gt;0")</f>
        <v>0</v>
      </c>
      <c r="IP201" s="6">
        <f>COUNTIFS(Table19[Country],Tabela1[[#This Row],[Country]],Table19[Trap Classification],"&gt;0")</f>
        <v>0</v>
      </c>
      <c r="IQ201" s="6">
        <f>COUNTIFS(Table73[Country],Tabela1[[#This Row],[Country]],Table73[Park Classification],"&gt;0")</f>
        <v>0</v>
      </c>
      <c r="IR201" s="6">
        <f>COUNTIFS(Table74[Country],Tabela1[[#This Row],[Country]],Table74[Park Classification],"&gt;0")</f>
        <v>0</v>
      </c>
      <c r="IS201" s="6">
        <f>COUNTIFS(Table73[Country],Tabela1[[#This Row],[Country]],Table73[Street Classification],"&gt;0")</f>
        <v>0</v>
      </c>
      <c r="IT201" s="6">
        <f>COUNTIFS(Table74[Country],Tabela1[[#This Row],[Country]],Table74[Street Classification],"&gt;0")</f>
        <v>0</v>
      </c>
      <c r="IU201" s="6">
        <f>COUNTIFS(Table75[Country],Tabela1[[#This Row],[Country]],Table75[Boulder and Lead Classification],"&gt;0")</f>
        <v>0</v>
      </c>
      <c r="IV201" s="6">
        <f>COUNTIFS(Table76[Country],Tabela1[[#This Row],[Country]],Table76[Boulder and Lead Classification],"&gt;0")</f>
        <v>0</v>
      </c>
      <c r="IW201" s="6">
        <f>COUNTIFS(Table75[Country],Tabela1[[#This Row],[Country]],Table75[Speed Classification],"&gt;0")</f>
        <v>0</v>
      </c>
      <c r="IX201" s="6">
        <f>COUNTIFS(Table76[Country],Tabela1[[#This Row],[Country]],Table76[Speed Classification],"&gt;0")</f>
        <v>0</v>
      </c>
      <c r="IY201" s="6">
        <f>COUNTIFS(Table64[Country],Tabela1[[#This Row],[Country]],Table64[Shortboard Classification],"&gt;0")</f>
        <v>0</v>
      </c>
      <c r="IZ201" s="6">
        <f>COUNTIFS(Table77[Country],Tabela1[[#This Row],[Country]],Table77[Shortboard Classification],"&gt;0")</f>
        <v>0</v>
      </c>
      <c r="JA201" s="6">
        <f>COUNTIFS(Table20[Country],Tabela1[[#This Row],[Country]],Table20[50m Freestyle Classification],"&gt;0")</f>
        <v>0</v>
      </c>
      <c r="JB201" s="6">
        <f>COUNTIFS(Table21[Country],Tabela1[[#This Row],[Country]],Table21[50m Freestyle Classification],"&gt;0")</f>
        <v>0</v>
      </c>
      <c r="JC201" s="6">
        <f>COUNTIFS(Table20[Country],Tabela1[[#This Row],[Country]],Table20[100m Freestyle Classification],"&gt;0")</f>
        <v>0</v>
      </c>
      <c r="JD201" s="6">
        <f>COUNTIFS(Table21[Country],Tabela1[[#This Row],[Country]],Table21[100m Freestyle Classification],"&gt;0")</f>
        <v>0</v>
      </c>
      <c r="JE201" s="6">
        <f>COUNTIFS(Table20[Country],Tabela1[[#This Row],[Country]],Table20[200m Freestyle Classification],"&gt;0")</f>
        <v>0</v>
      </c>
      <c r="JF201" s="6">
        <f>COUNTIFS(Table21[Country],Tabela1[[#This Row],[Country]],Table21[200m Freestyle Classification],"&gt;0")</f>
        <v>0</v>
      </c>
      <c r="JG201" s="6">
        <f>COUNTIFS(Table20[Country],Tabela1[[#This Row],[Country]],Table20[400m Freestyle Classification],"&gt;0")</f>
        <v>0</v>
      </c>
      <c r="JH201" s="6">
        <f>COUNTIFS(Table21[Country],Tabela1[[#This Row],[Country]],Table21[400m Freestyle Classification],"&gt;0")</f>
        <v>0</v>
      </c>
      <c r="JI201" s="6">
        <f>COUNTIFS(Table20[Country],Tabela1[[#This Row],[Country]],Table20[800m Freestyle Classification],"&gt;0")</f>
        <v>0</v>
      </c>
      <c r="JJ201" s="6">
        <f>COUNTIFS(Table21[Country],Tabela1[[#This Row],[Country]],Table21[800m Freestyle Classification],"&gt;0")</f>
        <v>0</v>
      </c>
      <c r="JK201" s="6">
        <f>COUNTIFS(Table20[Country],Tabela1[[#This Row],[Country]],Table20[1500m Freestyle Classification],"&gt;0")</f>
        <v>0</v>
      </c>
      <c r="JL201" s="6">
        <f>COUNTIFS(Table21[Country],Tabela1[[#This Row],[Country]],Table21[1500m Freestyle Classification],"&gt;0")</f>
        <v>0</v>
      </c>
      <c r="JM201" s="6">
        <f>COUNTIFS(Table20[Country],Tabela1[[#This Row],[Country]],Table20[100m Backstroke Classification],"&gt;0")</f>
        <v>0</v>
      </c>
      <c r="JN201" s="6">
        <f>COUNTIFS(Table21[Country],Tabela1[[#This Row],[Country]],Table21[100m Backstroke Classification],"&gt;0")</f>
        <v>0</v>
      </c>
      <c r="JO201" s="6">
        <f>COUNTIFS(Table20[Country],Tabela1[[#This Row],[Country]],Table20[200m Backstroke Classification],"&gt;0")</f>
        <v>0</v>
      </c>
      <c r="JP201" s="6">
        <f>COUNTIFS(Table21[Country],Tabela1[[#This Row],[Country]],Table21[200m Backstroke Classification],"&gt;0")</f>
        <v>0</v>
      </c>
      <c r="JQ201" s="6">
        <f>COUNTIFS(Table20[Country],Tabela1[[#This Row],[Country]],Table20[100m Breaststroke Classification],"&gt;0")</f>
        <v>0</v>
      </c>
      <c r="JR201" s="6">
        <f>COUNTIFS(Table21[Country],Tabela1[[#This Row],[Country]],Table21[100m Breaststroke Classification],"&gt;0")</f>
        <v>0</v>
      </c>
      <c r="JS201" s="6">
        <f>COUNTIFS(Table20[Country],Tabela1[[#This Row],[Country]],Table20[200m Breaststroke Classification],"&gt;0")</f>
        <v>0</v>
      </c>
      <c r="JT201" s="6">
        <f>COUNTIFS(Table21[Country],Tabela1[[#This Row],[Country]],Table21[200m Breaststroke Classification],"&gt;0")</f>
        <v>0</v>
      </c>
      <c r="JU201" s="6">
        <f>COUNTIFS(Table20[Country],Tabela1[[#This Row],[Country]],Table20[100m Butterfly Classification],"&gt;0")</f>
        <v>0</v>
      </c>
      <c r="JV201" s="6">
        <f>COUNTIFS(Table21[Country],Tabela1[[#This Row],[Country]],Table21[100m Butterfly Classification],"&gt;0")</f>
        <v>0</v>
      </c>
      <c r="JW201" s="6">
        <f>COUNTIFS(Table20[Country],Tabela1[[#This Row],[Country]],Table20[200m Butterfly Classification],"&gt;0")</f>
        <v>0</v>
      </c>
      <c r="JX201" s="6">
        <f>COUNTIFS(Table21[Country],Tabela1[[#This Row],[Country]],Table21[200m Butterfly Classification],"&gt;0")</f>
        <v>0</v>
      </c>
      <c r="JY201" s="6">
        <f>COUNTIFS(Table20[Country],Tabela1[[#This Row],[Country]],Table20[200m Medley Classification],"&gt;0")</f>
        <v>0</v>
      </c>
      <c r="JZ201" s="6">
        <f>COUNTIFS(Table21[Country],Tabela1[[#This Row],[Country]],Table21[200m Medley Classification],"&gt;0")</f>
        <v>0</v>
      </c>
      <c r="KA201" s="6">
        <f>COUNTIFS(Table20[Country],Tabela1[[#This Row],[Country]],Table20[400m Medley Classification],"&gt;0")</f>
        <v>0</v>
      </c>
      <c r="KB201" s="6">
        <f>COUNTIFS(Table21[Country],Tabela1[[#This Row],[Country]],Table21[400m Medley Classification],"&gt;0")</f>
        <v>0</v>
      </c>
      <c r="KC201" s="6">
        <f>COUNTIFS(Table78[Country],Tabela1[[#This Row],[Country]],Table78[Men''s 4x100m Freestyle Relay Classification],"&gt;0")</f>
        <v>0</v>
      </c>
      <c r="KD201" s="6">
        <f>COUNTIFS(Table78[Country],Tabela1[[#This Row],[Country]],Table78[Women''s 4x100m Freestyle Relay Classification],"&gt;0")</f>
        <v>0</v>
      </c>
      <c r="KE201" s="6">
        <f>COUNTIFS(Table78[Country],Tabela1[[#This Row],[Country]],Table78[Men''s 4x200m Freestyle Relay Classification],"&gt;0")</f>
        <v>0</v>
      </c>
      <c r="KF201" s="6">
        <f>COUNTIFS(Table78[Country],Tabela1[[#This Row],[Country]],Table78[Women''s 4x200m Freestyle Relay Classification],"&gt;0")</f>
        <v>0</v>
      </c>
      <c r="KG201" s="6">
        <f>COUNTIFS(Table78[Country],Tabela1[[#This Row],[Country]],Table78[Men''s 4x100m Medley Relay Classification],"&gt;0")</f>
        <v>0</v>
      </c>
      <c r="KH201" s="6">
        <f>COUNTIFS(Table78[Country],Tabela1[[#This Row],[Country]],Table78[Women''s 4x100m Medley Relay Classification],"&gt;0")</f>
        <v>0</v>
      </c>
      <c r="KI201" s="6">
        <f>COUNTIFS(Table78[Country],Tabela1[[#This Row],[Country]],Table78[Mixed 4x100m Medley Relay Classification],"&gt;0")</f>
        <v>0</v>
      </c>
      <c r="KJ201" s="6">
        <f>COUNTIFS(Table20[Country],Tabela1[[#This Row],[Country]],Table20[10km Open Water Classification],"&gt;0")</f>
        <v>0</v>
      </c>
      <c r="KK201" s="6">
        <f>COUNTIFS(Table21[Country],Tabela1[[#This Row],[Country]],Table21[10km Open Water Classification],"&gt;0")</f>
        <v>0</v>
      </c>
      <c r="KL201" s="6">
        <f>COUNTIFS(Table22[Country],Tabela1[[#This Row],[Country]],Table22[Classification],"&gt;0")</f>
        <v>0</v>
      </c>
      <c r="KM201" s="6">
        <f>COUNTIFS(Table30[Country],Tabela1[[#This Row],[Country]],Table30[Classification],"&gt;0")</f>
        <v>0</v>
      </c>
      <c r="KN201" s="6">
        <f>COUNTIFS(Table55[Country],Tabela1[[#This Row],[Country]],Table55[Men''s Classification],"&gt;0")</f>
        <v>0</v>
      </c>
      <c r="KO201" s="6">
        <f>COUNTIFS(Table55[Country],Tabela1[[#This Row],[Country]],Table55[Women''s Classification],"&gt;0")</f>
        <v>0</v>
      </c>
      <c r="KP201" s="6">
        <f>COUNTIFS(Table56[Country],Tabela1[[#This Row],[Country]],Table56[Mixed Classification],"&gt;0")</f>
        <v>0</v>
      </c>
      <c r="KQ201" s="6">
        <f>COUNTIFS(Table29[Country],Tabela1[[#This Row],[Country]],Table29[58kg Classification],"&gt;0")</f>
        <v>0</v>
      </c>
      <c r="KR201" s="6">
        <f>COUNTIFS(Table29[Country],Tabela1[[#This Row],[Country]],Table29[68kg Classification],"&gt;0")</f>
        <v>0</v>
      </c>
      <c r="KS201" s="6">
        <f>COUNTIFS(Table29[Country],Tabela1[[#This Row],[Country]],Table29[80kg Classification],"&gt;0")</f>
        <v>0</v>
      </c>
      <c r="KT201" s="6">
        <f>COUNTIFS(Table29[Country],Tabela1[[#This Row],[Country]],Table29[Plus 80kg Classification],"&gt;0")</f>
        <v>0</v>
      </c>
      <c r="KU201" s="6">
        <f>COUNTIFS(Table34[Country],Tabela1[[#This Row],[Country]],Table34[49kg Classification],"&gt;0")</f>
        <v>0</v>
      </c>
      <c r="KV201" s="6">
        <f>COUNTIFS(Table34[Country],Tabela1[[#This Row],[Country]],Table34[57kg Classification],"&gt;0")</f>
        <v>0</v>
      </c>
      <c r="KW201" s="6">
        <f>COUNTIFS(Table34[Country],Tabela1[[#This Row],[Country]],Table34[67kg Classification],"&gt;0")</f>
        <v>0</v>
      </c>
      <c r="KX201" s="6">
        <f>COUNTIFS(Table34[Country],Tabela1[[#This Row],[Country]],Table34[Plus 67kg Classification],"&gt;0")</f>
        <v>0</v>
      </c>
      <c r="KY201" s="6">
        <f>COUNTIFS(Table57[Country],Tabela1[[#This Row],[Country]],Table57[Classification],"&gt;0")</f>
        <v>0</v>
      </c>
      <c r="KZ201" s="6">
        <f>COUNTIFS(Table58[Country],Tabela1[[#This Row],[Country]],Table58[Classification],"&gt;0")</f>
        <v>0</v>
      </c>
      <c r="LA201" s="6">
        <f>COUNTIFS(Table79[Country],Tabela1[[#This Row],[Country]],Table79[Men''s Classification],"&gt;0")</f>
        <v>0</v>
      </c>
      <c r="LB201" s="6">
        <f>COUNTIFS(Table79[Country],Tabela1[[#This Row],[Country]],Table79[Women''s Classification],"&gt;0")</f>
        <v>0</v>
      </c>
      <c r="LC201" s="6">
        <f>COUNTIFS(Table79[Country],Tabela1[[#This Row],[Country]],Table79[Mixed Classification],"&gt;0")</f>
        <v>0</v>
      </c>
      <c r="LD201" s="6">
        <f>COUNTIFS(Table65[Country],Tabela1[[#This Row],[Country]],Table65[Classification],"&gt;0")</f>
        <v>0</v>
      </c>
      <c r="LE201" s="6">
        <f>COUNTIFS(Table59[Country],Tabela1[[#This Row],[Country]],Table59[Classification],"&gt;0")</f>
        <v>0</v>
      </c>
      <c r="LF201" s="6">
        <f>COUNTIFS(Table87[Country],Tabela1[[#This Row],[Country]],Table87[Mixed Relay Classification],"&gt;0")</f>
        <v>0</v>
      </c>
      <c r="LG201" s="6">
        <f>COUNTIFS(Table91949698100[Country],Tabela1[[#This Row],[Country]],Table91949698100[Men''s Classification],"&gt;0")</f>
        <v>0</v>
      </c>
      <c r="LH201" s="6">
        <f>COUNTIFS(Table91949698100[Country],Tabela1[[#This Row],[Country]],Table91949698100[Women''s Classification],"&gt;0")</f>
        <v>0</v>
      </c>
      <c r="LI201" s="6">
        <f>COUNTIFS(Table91949698100102[Country],Tabela1[[#This Row],[Country]],Table91949698100102[Men''s Classification],"&gt;0")</f>
        <v>0</v>
      </c>
      <c r="LJ201" s="6">
        <f>COUNTIFS(Table91949698100102[Country],Tabela1[[#This Row],[Country]],Table91949698100102[Women''s Classification],"&gt;0")</f>
        <v>0</v>
      </c>
      <c r="LK201" s="6">
        <f>COUNTIFS(Table23[Country],Tabela1[[#This Row],[Country]],Table23[61kg Classification],"&gt;0")</f>
        <v>0</v>
      </c>
      <c r="LL201" s="6">
        <f>COUNTIFS(Table23[Country],Tabela1[[#This Row],[Country]],Table23[73kg Classification],"&gt;0")</f>
        <v>0</v>
      </c>
      <c r="LM201" s="6">
        <f>COUNTIFS(Table23[Country],Tabela1[[#This Row],[Country]],Table23[89kg Classification],"&gt;0")</f>
        <v>0</v>
      </c>
      <c r="LN201" s="6">
        <f>COUNTIFS(Table23[Country],Tabela1[[#This Row],[Country]],Table23[102kg Classification],"&gt;0")</f>
        <v>0</v>
      </c>
      <c r="LO201" s="6">
        <f>COUNTIFS(Table23[Country],Tabela1[[#This Row],[Country]],Table23[Plus 102kg Classification],"&gt;0")</f>
        <v>0</v>
      </c>
      <c r="LP201" s="6">
        <f>COUNTIFS(Table28[Country],Tabela1[[#This Row],[Country]],Table28[49kg Classification],"&gt;0")</f>
        <v>0</v>
      </c>
      <c r="LQ201" s="6">
        <f>COUNTIFS(Table28[Country],Tabela1[[#This Row],[Country]],Table28[59kg Classification],"&gt;0")</f>
        <v>0</v>
      </c>
      <c r="LR201" s="6">
        <f>COUNTIFS(Table28[Country],Tabela1[[#This Row],[Country]],Table28[71kg Classification],"&gt;0")</f>
        <v>0</v>
      </c>
      <c r="LS201" s="6">
        <f>COUNTIFS(Table28[Country],Tabela1[[#This Row],[Country]],Table28[81kg Classification],"&gt;0")</f>
        <v>0</v>
      </c>
      <c r="LT201" s="6">
        <f>COUNTIFS(Table28[Country],Tabela1[[#This Row],[Country]],Table28[Plus 81kg Classification],"&gt;0")</f>
        <v>0</v>
      </c>
      <c r="LU201" s="6">
        <f>COUNTIFS(Table24[Country],Tabela1[[#This Row],[Country]],Table24[Freestyle 57kg Classification],"&gt;0")</f>
        <v>0</v>
      </c>
      <c r="LV201" s="6">
        <f>COUNTIFS(Table24[Country],Tabela1[[#This Row],[Country]],Table24[Freestyle 65kg Classification],"&gt;0")</f>
        <v>0</v>
      </c>
      <c r="LW201" s="6">
        <f>COUNTIFS(Table24[Country],Tabela1[[#This Row],[Country]],Table24[Freestyle 74kg Classification],"&gt;0")</f>
        <v>0</v>
      </c>
      <c r="LX201" s="6">
        <f>COUNTIFS(Table24[Country],Tabela1[[#This Row],[Country]],Table24[Freestyle 86kg Classification],"&gt;0")</f>
        <v>0</v>
      </c>
      <c r="LY201" s="6">
        <f>COUNTIFS(Table24[Country],Tabela1[[#This Row],[Country]],Table24[Freestyle 97kg Classification],"&gt;0")</f>
        <v>0</v>
      </c>
      <c r="LZ201" s="6">
        <f>COUNTIFS(Table24[Country],Tabela1[[#This Row],[Country]],Table24[Freestyle 125kg Classification],"&gt;0")</f>
        <v>0</v>
      </c>
      <c r="MA201" s="6">
        <f>COUNTIFS(Table24[Country],Tabela1[[#This Row],[Country]],Table24[Greco-Roman 60kg Classification],"&gt;0")</f>
        <v>0</v>
      </c>
      <c r="MB201" s="6">
        <f>COUNTIFS(Table24[Country],Tabela1[[#This Row],[Country]],Table24[Greco-Roman 67kg Classification],"&gt;0")</f>
        <v>0</v>
      </c>
      <c r="MC201" s="6">
        <f>COUNTIFS(Table24[Country],Tabela1[[#This Row],[Country]],Table24[Greco-Roman 77kg Classification],"&gt;0")</f>
        <v>0</v>
      </c>
      <c r="MD201" s="6">
        <f>COUNTIFS(Table24[Country],Tabela1[[#This Row],[Country]],Table24[Greco-Roman 87kg Classification],"&gt;0")</f>
        <v>0</v>
      </c>
      <c r="ME201" s="6">
        <f>COUNTIFS(Table24[Country],Tabela1[[#This Row],[Country]],Table24[Greco-Roman 97kg Classification],"&gt;0")</f>
        <v>0</v>
      </c>
      <c r="MF201" s="6">
        <f>COUNTIFS(Table24[Country],Tabela1[[#This Row],[Country]],Table24[Greco-Roman 130kg Classification],"&gt;0")</f>
        <v>0</v>
      </c>
      <c r="MG201" s="6">
        <f>COUNTIFS(Table31[Country],Tabela1[[#This Row],[Country]],Table31[50kg Classification],"&gt;0")</f>
        <v>0</v>
      </c>
      <c r="MH201" s="6">
        <f>COUNTIFS(Table31[Country],Tabela1[[#This Row],[Country]],Table31[53kg Classification],"&gt;0")</f>
        <v>0</v>
      </c>
      <c r="MI201" s="6">
        <f>COUNTIFS(Table31[Country],Tabela1[[#This Row],[Country]],Table31[57kg Classification],"&gt;0")</f>
        <v>0</v>
      </c>
      <c r="MJ201" s="6">
        <f>COUNTIFS(Table31[Country],Tabela1[[#This Row],[Country]],Table31[62kg Classification],"&gt;0")</f>
        <v>0</v>
      </c>
      <c r="MK201" s="6">
        <f>COUNTIFS(Table31[Country],Tabela1[[#This Row],[Country]],Table31[68kg Classification],"&gt;0")</f>
        <v>0</v>
      </c>
      <c r="ML201" s="6">
        <f>COUNTIFS(Table31[Country],Tabela1[[#This Row],[Country]],Table31[76kg Classification],"&gt;0")</f>
        <v>0</v>
      </c>
      <c r="MM201" s="6">
        <f>COUNTIFS(Table102[Country],Tabela1[[#This Row],[Country]],Table102[Downhill Classification],"&gt;0")</f>
        <v>0</v>
      </c>
      <c r="MN201" s="6">
        <f>COUNTIFS(Table102105[Country],Tabela1[[#This Row],[Country]],Table102105[Downhill Classification],"&gt;0")</f>
        <v>0</v>
      </c>
      <c r="MO201" s="6">
        <f>COUNTIFS(Table102[Country],Tabela1[[#This Row],[Country]],Table102[Giant Slalom Classification],"&gt;0")</f>
        <v>0</v>
      </c>
      <c r="MP201" s="6">
        <f>COUNTIFS(Table102105[Country],Tabela1[[#This Row],[Country]],Table102105[Giant Slalom Classification],"&gt;0")</f>
        <v>0</v>
      </c>
      <c r="MQ201" s="6">
        <f>COUNTIFS(Table102[Country],Tabela1[[#This Row],[Country]],Table102[Slalom Classification],"&gt;0")</f>
        <v>0</v>
      </c>
      <c r="MR201" s="6">
        <f>COUNTIFS(Table102105[Country],Tabela1[[#This Row],[Country]],Table102105[Slalom Classification],"&gt;0")</f>
        <v>0</v>
      </c>
      <c r="MS201" s="6">
        <f>COUNTIFS(Table102[Country],Tabela1[[#This Row],[Country]],Table102[Super-G Classification],"&gt;0")</f>
        <v>0</v>
      </c>
      <c r="MT201" s="6">
        <f>COUNTIFS(Table102105[Country],Tabela1[[#This Row],[Country]],Table102105[Super-G Classification],"&gt;0")</f>
        <v>0</v>
      </c>
      <c r="MU201" s="6">
        <f>COUNTIFS(Table105[Country],Tabela1[[#This Row],[Country]],Table105[Men''s Combined Classification],"&gt;0")</f>
        <v>0</v>
      </c>
      <c r="MV201" s="6">
        <f>COUNTIFS(Table105[Country],Tabela1[[#This Row],[Country]],Table105[Women''s Combined Classification],"&gt;0")</f>
        <v>0</v>
      </c>
      <c r="MW201" s="6">
        <f>COUNTIFS(Table106[Country],Tabela1[[#This Row],[Country]],Table106[Individual Classification],"&gt;0")</f>
        <v>0</v>
      </c>
      <c r="MX201" s="6">
        <f>COUNTIFS(Table106109[Country],Tabela1[[#This Row],[Country]],Table106109[Individual Classification],"&gt;0")</f>
        <v>0</v>
      </c>
      <c r="MY201" s="6">
        <f>COUNTIFS(Table106[Country],Tabela1[[#This Row],[Country]],Table106[Mass Start Classification],"&gt;0")</f>
        <v>0</v>
      </c>
      <c r="MZ201" s="6">
        <f>COUNTIFS(Table106109[Country],Tabela1[[#This Row],[Country]],Table106109[Mass Start Classification],"&gt;0")</f>
        <v>0</v>
      </c>
      <c r="NA201" s="6">
        <f>COUNTIFS(Table106[Country],Tabela1[[#This Row],[Country]],Table106[Pursuit Classification],"&gt;0")</f>
        <v>0</v>
      </c>
      <c r="NB201" s="6">
        <f>COUNTIFS(Table106109[Country],Tabela1[[#This Row],[Country]],Table106109[Pursuit Classification],"&gt;0")</f>
        <v>0</v>
      </c>
      <c r="NC201" s="6">
        <f>COUNTIFS(Table106[Country],Tabela1[[#This Row],[Country]],Table106[Sprint Classification],"&gt;0")</f>
        <v>0</v>
      </c>
      <c r="ND201" s="6">
        <f>COUNTIFS(Table106109[Country],Tabela1[[#This Row],[Country]],Table106109[Sprint Classification],"&gt;0")</f>
        <v>0</v>
      </c>
      <c r="NE201" s="6">
        <f>COUNTIFS(Table109[Country],Tabela1[[#This Row],[Country]],Table109[Men''s Relay Classification],"&gt;0")</f>
        <v>0</v>
      </c>
      <c r="NF201" s="6">
        <f>COUNTIFS(Table109[Country],Tabela1[[#This Row],[Country]],Table109[Women''s Relay Classification],"&gt;0")</f>
        <v>0</v>
      </c>
      <c r="NG201" s="6">
        <f>COUNTIFS(Table109[Country],Tabela1[[#This Row],[Country]],Table109[Mixed Relay Classification],"&gt;0")</f>
        <v>0</v>
      </c>
      <c r="NH201" s="6">
        <f>COUNTIFS(Table110[Country],Tabela1[[#This Row],[Country]],Table110[Monobob Classification],"&gt;0")</f>
        <v>0</v>
      </c>
      <c r="NI201" s="6">
        <f>COUNTIFS(Table111[Country],Tabela1[[#This Row],[Country]],Table111[Men''s Classification],"&gt;0")</f>
        <v>0</v>
      </c>
      <c r="NJ201" s="6">
        <f>COUNTIFS(Table111[Country],Tabela1[[#This Row],[Country]],Table111[Women''s Classification],"&gt;0")</f>
        <v>0</v>
      </c>
      <c r="NK201" s="6">
        <f>COUNTIFS(Table112[Country],Tabela1[[#This Row],[Country]],Table112[Men''s Four Classification],"&gt;0")</f>
        <v>0</v>
      </c>
      <c r="NL201" s="6">
        <f>COUNTIFS(Table113[Country],Tabela1[[#This Row],[Country]],Table113[Classical Classification],"&gt;0")</f>
        <v>0</v>
      </c>
      <c r="NM201" s="6">
        <f>COUNTIFS(Table113116[Country],Tabela1[[#This Row],[Country]],Table113116[Classical Classification],"&gt;0")</f>
        <v>0</v>
      </c>
      <c r="NN201" s="6">
        <f>COUNTIFS(Table113[Country],Tabela1[[#This Row],[Country]],Table113[Freestyle Classification],"&gt;0")</f>
        <v>0</v>
      </c>
      <c r="NO201" s="6">
        <f>COUNTIFS(Table113116[Country],Tabela1[[#This Row],[Country]],Table113116[Freestyle Classification],"&gt;0")</f>
        <v>0</v>
      </c>
      <c r="NP201" s="6">
        <f>COUNTIFS(Table117[Country],Tabela1[[#This Row],[Country]],Table117[Men''s Relay Classification],"&gt;0")</f>
        <v>0</v>
      </c>
      <c r="NQ201" s="6">
        <f>COUNTIFS(Table117[Country],Tabela1[[#This Row],[Country]],Table117[Women''s Relay Classification],"&gt;0")</f>
        <v>0</v>
      </c>
      <c r="NR201" s="6">
        <f>COUNTIFS(Table113[Country],Tabela1[[#This Row],[Country]],Table113[Skiathlon Classification],"&gt;0")</f>
        <v>0</v>
      </c>
      <c r="NS201" s="6">
        <f>COUNTIFS(Table113116[Country],Tabela1[[#This Row],[Country]],Table113116[Skiathlon Classification],"&gt;0")</f>
        <v>0</v>
      </c>
      <c r="NT201" s="6">
        <f>COUNTIFS(Table113[Country],Tabela1[[#This Row],[Country]],Table113[Sprint Classification],"&gt;0")</f>
        <v>0</v>
      </c>
      <c r="NU201" s="6">
        <f>COUNTIFS(Table113116[Country],Tabela1[[#This Row],[Country]],Table113116[Sprint Classification],"&gt;0")</f>
        <v>0</v>
      </c>
      <c r="NV201" s="6">
        <f>COUNTIFS(Table116[Country],Tabela1[[#This Row],[Country]],Table116[Men''s Team Sprint Classification],"&gt;0")</f>
        <v>0</v>
      </c>
      <c r="NW201" s="6">
        <f>COUNTIFS(Table116[Country],Tabela1[[#This Row],[Country]],Table116[Women''s Team Sprint Classification],"&gt;0")</f>
        <v>0</v>
      </c>
      <c r="NX201" s="6">
        <f>COUNTIFS(Table119[Country],Tabela1[[#This Row],[Country]],Table119[Men''s Classification],"&gt;0")</f>
        <v>0</v>
      </c>
      <c r="NY201" s="6">
        <f>COUNTIFS(Table119[Country],Tabela1[[#This Row],[Country]],Table119[Women''s Classification],"&gt;0")</f>
        <v>0</v>
      </c>
      <c r="NZ201" s="6">
        <f>COUNTIFS(Table118[Country],Tabela1[[#This Row],[Country]],Table118[Mixed Classification],"&gt;0")</f>
        <v>0</v>
      </c>
      <c r="OA201" s="6">
        <f>COUNTIFS(Table120[Country],Tabela1[[#This Row],[Country]],Table120[Classification],"&gt;0")</f>
        <v>0</v>
      </c>
      <c r="OB201" s="6">
        <f>COUNTIFS(Table120123[Country],Tabela1[[#This Row],[Country]],Table120123[Classification],"&gt;0")</f>
        <v>0</v>
      </c>
      <c r="OC201" s="6">
        <f>COUNTIFS(Table123[Country],Tabela1[[#This Row],[Country]],Table123[Ice Dance Classification],"&gt;0")</f>
        <v>0</v>
      </c>
      <c r="OD201" s="6">
        <f>COUNTIFS(Table123[Country],Tabela1[[#This Row],[Country]],Table123[Pair Skating Classification],"&gt;0")</f>
        <v>0</v>
      </c>
      <c r="OE201" s="6">
        <f>COUNTIFS(Table124[Country],Tabela1[[#This Row],[Country]],Table124[Mixed Classification],"&gt;0")</f>
        <v>0</v>
      </c>
      <c r="OF201" s="6">
        <f>COUNTIFS(Table125[Country],Tabela1[[#This Row],[Country]],Table125[Aerials Classification],"&gt;0")</f>
        <v>0</v>
      </c>
      <c r="OG201" s="6">
        <f>COUNTIFS(Table125128[Country],Tabela1[[#This Row],[Country]],Table125128[Aerials Classification],"&gt;0")</f>
        <v>0</v>
      </c>
      <c r="OH201" s="6">
        <f>COUNTIFS(Table128[Country],Tabela1[[#This Row],[Country]],Table128[Mixed Aerials Classification],"&gt;0")</f>
        <v>0</v>
      </c>
      <c r="OI201" s="6">
        <f>COUNTIFS(Table125[Country],Tabela1[[#This Row],[Country]],Table125[Big Air Classification],"&gt;0")</f>
        <v>0</v>
      </c>
      <c r="OJ201" s="6">
        <f>COUNTIFS(Table125128[Country],Tabela1[[#This Row],[Country]],Table125128[Big Air Classification],"&gt;0")</f>
        <v>0</v>
      </c>
      <c r="OK201" s="6">
        <f>COUNTIFS(Table125[Country],Tabela1[[#This Row],[Country]],Table125[Dual Moguls Classification],"&gt;0")</f>
        <v>0</v>
      </c>
      <c r="OL201" s="6">
        <f>COUNTIFS(Table125128[Country],Tabela1[[#This Row],[Country]],Table125128[Dual Moguls Classification],"&gt;0")</f>
        <v>0</v>
      </c>
      <c r="OM201" s="6">
        <f>COUNTIFS(Table125[Country],Tabela1[[#This Row],[Country]],Table125[Halfpipe Classification],"&gt;0")</f>
        <v>0</v>
      </c>
      <c r="ON201" s="6">
        <f>COUNTIFS(Table125128[Country],Tabela1[[#This Row],[Country]],Table125128[Halfpipe Classification],"&gt;0")</f>
        <v>0</v>
      </c>
      <c r="OO201" s="6">
        <f>COUNTIFS(Table125[Country],Tabela1[[#This Row],[Country]],Table125[Moguls Classification],"&gt;0")</f>
        <v>0</v>
      </c>
      <c r="OP201" s="6">
        <f>COUNTIFS(Table125128[Country],Tabela1[[#This Row],[Country]],Table125128[Moguls Classification],"&gt;0")</f>
        <v>0</v>
      </c>
      <c r="OQ201" s="6">
        <f>COUNTIFS(Table125[Country],Tabela1[[#This Row],[Country]],Table125[Ski Cross Classification],"&gt;0")</f>
        <v>0</v>
      </c>
      <c r="OR201" s="6">
        <f>COUNTIFS(Table125128[Country],Tabela1[[#This Row],[Country]],Table125128[Ski Cross Classification],"&gt;0")</f>
        <v>0</v>
      </c>
      <c r="OS201" s="6">
        <f>COUNTIFS(Table125[Country],Tabela1[[#This Row],[Country]],Table125[Slopestyle Classification],"&gt;0")</f>
        <v>0</v>
      </c>
      <c r="OT201" s="6">
        <f>COUNTIFS(Table125128[Country],Tabela1[[#This Row],[Country]],Table125128[Slopestyle Classification],"&gt;0")</f>
        <v>0</v>
      </c>
      <c r="OU201" s="6">
        <f>COUNTIFS(Table119131[Country],Tabela1[[#This Row],[Country]],Table119131[Men''s Classification],"&gt;0")</f>
        <v>0</v>
      </c>
      <c r="OV201" s="6">
        <f>COUNTIFS(Table119131[Country],Tabela1[[#This Row],[Country]],Table119131[Women''s Classification],"&gt;0")</f>
        <v>0</v>
      </c>
      <c r="OW201" s="6">
        <f>COUNTIFS(Table131[Country],Tabela1[[#This Row],[Country]],Table131[Classification],"&gt;0")</f>
        <v>0</v>
      </c>
      <c r="OX201" s="6">
        <f>COUNTIFS(Table131134[Country],Tabela1[[#This Row],[Country]],Table131134[Classification],"&gt;0")</f>
        <v>0</v>
      </c>
      <c r="OY201" s="6">
        <f>COUNTIFS(Table134[Country],Tabela1[[#This Row],[Country]],Table134[Men''s Classification],"&gt;0")</f>
        <v>0</v>
      </c>
      <c r="OZ201" s="6">
        <f>COUNTIFS(Table134[Country],Tabela1[[#This Row],[Country]],Table134[Women''s Classification],"&gt;0")</f>
        <v>0</v>
      </c>
      <c r="PA201" s="6">
        <f>COUNTIFS(Table135[Country],Tabela1[[#This Row],[Country]],Table135[Mixed Relay Classification],"&gt;0")</f>
        <v>0</v>
      </c>
      <c r="PB201" s="6">
        <f>COUNTIFS(Table136[Country],Tabela1[[#This Row],[Country]],Table136[Individual Classification],"&gt;0")</f>
        <v>0</v>
      </c>
      <c r="PC201" s="6">
        <f>COUNTIFS(Table136[Country],Tabela1[[#This Row],[Country]],Table136[Sprint Classification],"&gt;0")</f>
        <v>0</v>
      </c>
      <c r="PD201" s="6">
        <f>COUNTIFS(Table137[Country],Tabela1[[#This Row],[Country]],Table137[Men''s Team Sprint Large Hill Classification],"&gt;0")</f>
        <v>0</v>
      </c>
      <c r="PE201" s="6">
        <f>COUNTIFS(Table138[Country],Tabela1[[#This Row],[Country]],Table138[500m Classification],"&gt;0")</f>
        <v>0</v>
      </c>
      <c r="PF201" s="6">
        <f>COUNTIFS(Table138141[Country],Tabela1[[#This Row],[Country]],Table138141[500m Classification],"&gt;0")</f>
        <v>0</v>
      </c>
      <c r="PG201" s="6">
        <f>COUNTIFS(Table138[Country],Tabela1[[#This Row],[Country]],Table138[1000m Classification],"&gt;0")</f>
        <v>0</v>
      </c>
      <c r="PH201" s="6">
        <f>COUNTIFS(Table138141[Country],Tabela1[[#This Row],[Country]],Table138141[1000m Classification],"&gt;0")</f>
        <v>0</v>
      </c>
      <c r="PI201" s="6">
        <f>COUNTIFS(Table138[Country],Tabela1[[#This Row],[Country]],Table138[1500m Classification],"&gt;0")</f>
        <v>0</v>
      </c>
      <c r="PJ201" s="6">
        <f>COUNTIFS(Table138141[Country],Tabela1[[#This Row],[Country]],Table138141[1500m Classification],"&gt;0")</f>
        <v>0</v>
      </c>
      <c r="PK201" s="6">
        <f>COUNTIFS(Table141[Country],Tabela1[[#This Row],[Country]],Table141[Men''s 5000m Relay Classification],"&gt;0")</f>
        <v>0</v>
      </c>
      <c r="PL201" s="6">
        <f>COUNTIFS(Table141[Country],Tabela1[[#This Row],[Country]],Table141[Women''s 3000m Relay Classification],"&gt;0")</f>
        <v>0</v>
      </c>
      <c r="PM201" s="6">
        <f>COUNTIFS(Table141[Country],Tabela1[[#This Row],[Country]],Table141[Mixed 2000m Relay Classification],"&gt;0")</f>
        <v>0</v>
      </c>
      <c r="PN201" s="6">
        <f>COUNTIFS(Table142[Country],Tabela1[[#This Row],[Country]],Table142[Classification],"&gt;0")</f>
        <v>0</v>
      </c>
      <c r="PO201" s="6">
        <f>COUNTIFS(Table142145[Country],Tabela1[[#This Row],[Country]],Table142145[Classification],"&gt;0")</f>
        <v>0</v>
      </c>
      <c r="PP201" s="6">
        <f>COUNTIFS(Tabela15[Country],Tabela1[[#This Row],[Country]],Tabela15[Mixed Team Classification],"&gt;0")</f>
        <v>0</v>
      </c>
      <c r="PQ201" s="6">
        <f>COUNTIFS(Table145[Country],Tabela1[[#This Row],[Country]],Table145[Large Hill Classification],"&gt;0")</f>
        <v>0</v>
      </c>
      <c r="PR201" s="6">
        <f>COUNTIFS(Table145[Country],Tabela1[[#This Row],[Country]],Table145[Normal Hill Classification],"&gt;0")</f>
        <v>0</v>
      </c>
      <c r="PS201" s="6">
        <f>COUNTIFS(Table145148[Country],Tabela1[[#This Row],[Country]],Table145148[Large Hill Classification],"&gt;0")</f>
        <v>0</v>
      </c>
      <c r="PT201" s="6">
        <f>COUNTIFS(Table145148[Country],Tabela1[[#This Row],[Country]],Table145148[Normal Hill Classification],"&gt;0")</f>
        <v>0</v>
      </c>
      <c r="PU201" s="6">
        <f>COUNTIFS(Table148[Country],Tabela1[[#This Row],[Country]],Table148[Men''s Super Team Classification],"&gt;0")</f>
        <v>0</v>
      </c>
      <c r="PV201" s="6">
        <f>COUNTIFS(Tabela114[Country],Tabela1[[#This Row],[Country]],Tabela114[Mixed Normal Hill Classification],"&gt;0")</f>
        <v>0</v>
      </c>
      <c r="PW201" s="6">
        <f>COUNTIFS(Tabela50[Country],Tabela1[[#This Row],[Country]],Tabela50[Sprint Classification],"&gt;0")</f>
        <v>0</v>
      </c>
      <c r="PX201" s="6">
        <f>COUNTIFS(Tabela50101[Country],Tabela1[[#This Row],[Country]],Tabela50101[Sprint Classification],"&gt;0")</f>
        <v>0</v>
      </c>
      <c r="PY201" s="6">
        <f>COUNTIFS(Tabela103[Country],Tabela1[[#This Row],[Country]],Tabela103[Mixed Relay Classification],"&gt;0")</f>
        <v>0</v>
      </c>
      <c r="PZ201" s="6">
        <f>COUNTIFS(Table149[Country],Tabela1[[#This Row],[Country]],Table149[Big Air Classification],"&gt;0")</f>
        <v>0</v>
      </c>
      <c r="QA201" s="6">
        <f>COUNTIFS(Table149152[Country],Tabela1[[#This Row],[Country]],Table149152[Big Air Classification],"&gt;0")</f>
        <v>0</v>
      </c>
      <c r="QB201" s="6">
        <f>COUNTIFS(Table149[Country],Tabela1[[#This Row],[Country]],Table149[Halfpipe Classification],"&gt;0")</f>
        <v>0</v>
      </c>
      <c r="QC201" s="6">
        <f>COUNTIFS(Table149152[Country],Tabela1[[#This Row],[Country]],Table149152[Halfpipe Classification],"&gt;0")</f>
        <v>0</v>
      </c>
      <c r="QD201" s="6">
        <f>COUNTIFS(Table149[Country],Tabela1[[#This Row],[Country]],Table149[Parallel Giant Slalom Classification],"&gt;0")</f>
        <v>0</v>
      </c>
      <c r="QE201" s="6">
        <f>COUNTIFS(Table149152[Country],Tabela1[[#This Row],[Country]],Table149152[Parallel Giant Slalom Classification],"&gt;0")</f>
        <v>0</v>
      </c>
      <c r="QF201" s="6">
        <f>COUNTIFS(Table149[Country],Tabela1[[#This Row],[Country]],Table149[Slopestyle Classification],"&gt;0")</f>
        <v>0</v>
      </c>
      <c r="QG201" s="6">
        <f>COUNTIFS(Table149152[Country],Tabela1[[#This Row],[Country]],Table149152[Slopestyle Classification],"&gt;0")</f>
        <v>0</v>
      </c>
      <c r="QH201" s="6">
        <f>COUNTIFS(Table149[Country],Tabela1[[#This Row],[Country]],Table149[Snowboard Cross Classification],"&gt;0")</f>
        <v>0</v>
      </c>
      <c r="QI201" s="6">
        <f>COUNTIFS(Table149152[Country],Tabela1[[#This Row],[Country]],Table149152[Snowboard Cross Classification],"&gt;0")</f>
        <v>0</v>
      </c>
      <c r="QJ201" s="6">
        <f>COUNTIFS(Table153[Country],Tabela1[[#This Row],[Country]],Table153[Mixed Team Snowboard Cross Classification],"&gt;0")</f>
        <v>0</v>
      </c>
      <c r="QK201" s="6">
        <f>COUNTIFS(Table154[Country],Tabela1[[#This Row],[Country]],Table154[500m Classification],"&gt;0")</f>
        <v>0</v>
      </c>
      <c r="QL201" s="6">
        <f>COUNTIFS(Table154157[Country],Tabela1[[#This Row],[Country]],Table154157[500m Classification],"&gt;0")</f>
        <v>0</v>
      </c>
      <c r="QM201" s="6">
        <f>COUNTIFS(Table154[Country],Tabela1[[#This Row],[Country]],Table154[1000m Classification],"&gt;0")</f>
        <v>0</v>
      </c>
      <c r="QN201" s="6">
        <f>COUNTIFS(Table154157[Country],Tabela1[[#This Row],[Country]],Table154157[1000m Classification],"&gt;0")</f>
        <v>0</v>
      </c>
      <c r="QO201" s="6">
        <f>COUNTIFS(Table154[Country],Tabela1[[#This Row],[Country]],Table154[1500m Classification],"&gt;0")</f>
        <v>0</v>
      </c>
      <c r="QP201" s="6">
        <f>COUNTIFS(Table154157[Country],Tabela1[[#This Row],[Country]],Table154157[1500m Classification],"&gt;0")</f>
        <v>0</v>
      </c>
      <c r="QQ201" s="6">
        <f>COUNTIFS(Table154157[Country],Tabela1[[#This Row],[Country]],Table154157[3000m Classification],"&gt;0")</f>
        <v>0</v>
      </c>
      <c r="QR201" s="6">
        <f>COUNTIFS(Table154[Country],Tabela1[[#This Row],[Country]],Table154[5000m Classification],"&gt;0")</f>
        <v>0</v>
      </c>
      <c r="QS201" s="6">
        <f>COUNTIFS(Table154157[Country],Tabela1[[#This Row],[Country]],Table154157[5000m Classification],"&gt;0")</f>
        <v>0</v>
      </c>
      <c r="QT201" s="6">
        <f>COUNTIFS(Table154[Country],Tabela1[[#This Row],[Country]],Table154[10000m Classification],"&gt;0")</f>
        <v>0</v>
      </c>
      <c r="QU201" s="6">
        <f>COUNTIFS(Table154[Country],Tabela1[[#This Row],[Country]],Table154[Mass Start Classification],"&gt;0")</f>
        <v>0</v>
      </c>
      <c r="QV201" s="6">
        <f>COUNTIFS(Table154157[Country],Tabela1[[#This Row],[Country]],Table154157[Mass Start Classification],"&gt;0")</f>
        <v>0</v>
      </c>
      <c r="QW201" s="6">
        <f>COUNTIFS(Table157[Country],Tabela1[[#This Row],[Country]],Table157[Men''s Pursuit Classification],"&gt;0")</f>
        <v>0</v>
      </c>
      <c r="QX201" s="6">
        <f>COUNTIFS(Table157[Country],Tabela1[[#This Row],[Country]],Table157[Women''s Pursuit Classification],"&gt;0")</f>
        <v>0</v>
      </c>
      <c r="QY201" s="3" t="s">
        <v>697</v>
      </c>
    </row>
    <row r="202" spans="1:467" x14ac:dyDescent="0.3">
      <c r="A202" s="6">
        <v>201</v>
      </c>
      <c r="B202" s="6" t="s">
        <v>698</v>
      </c>
      <c r="C202" t="e" vm="201">
        <f>IF(ISBLANK(Tabela1[[#This Row],[Image Link]]), "", _xlfn.IMAGE(Tabela1[[#This Row],[Image Link]],1,1))</f>
        <v>#VALUE!</v>
      </c>
      <c r="D202" s="6">
        <f>SUM(Tabela1[[#This Row],[Archery - Men''s Individual Recurve]:[Speed Skating - Women''s Team Pursuit]])</f>
        <v>0</v>
      </c>
      <c r="E202" s="6">
        <f>COUNTIF(Tabela1[[#This Row],[Archery - Men''s Individual Recurve]:[Speed Skating - Women''s Team Pursuit]],"&gt;0")</f>
        <v>0</v>
      </c>
      <c r="F202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202" s="6">
        <f>SUM(Tabela1[[#This Row],[Archery - Men''s Individual Recurve]:[Wrestling - Women''s Freestyle 76kg]])</f>
        <v>0</v>
      </c>
      <c r="H202" s="6">
        <f>SUM(Tabela1[[#This Row],[Alpine Skiing - Men''s Downhill]:[Speed Skating - Women''s Team Pursuit]])</f>
        <v>0</v>
      </c>
      <c r="I202" s="6">
        <f>Tabela1[[#This Row],[Summer Gold Medals]]+Tabela1[[#This Row],[Winter Gold Medals]]</f>
        <v>0</v>
      </c>
      <c r="J202" s="6">
        <f>Tabela1[[#This Row],[Summer Silver Medals]]+Tabela1[[#This Row],[Winter Silver Medals]]</f>
        <v>0</v>
      </c>
      <c r="K202" s="6">
        <f>Tabela1[[#This Row],[Summer Bronze Medals]]+Tabela1[[#This Row],[Winter Bronze Medals]]</f>
        <v>0</v>
      </c>
      <c r="L202" s="6">
        <f>SUM(Tabela1[[#This Row],[Total Gold Medals]:[Total Bronze Medals]])</f>
        <v>0</v>
      </c>
      <c r="M202" s="6"/>
      <c r="N202" s="6"/>
      <c r="O202" s="6"/>
      <c r="P202" s="6">
        <f>SUM(Tabela1[[#This Row],[Summer Gold Medals]:[Summer Bronze Medals]])</f>
        <v>0</v>
      </c>
      <c r="Q202" s="6"/>
      <c r="R202" s="6"/>
      <c r="S202" s="6"/>
      <c r="T202" s="6">
        <f>Tabela1[[#This Row],[Winter Gold Medals]]+Tabela1[[#This Row],[Winter Silver Medals]]+Tabela1[[#This Row],[Winter Bronze Medals]]</f>
        <v>0</v>
      </c>
      <c r="U202" s="7" t="e">
        <f>Tabela1[[#This Row],[Total Medals]]/Tabela1[[#This Row],[Total Quotas]]</f>
        <v>#DIV/0!</v>
      </c>
      <c r="V202" s="6">
        <f>COUNTIFS(Table3[Country],Tabela1[[#This Row],[Country]],Table3[Recurve Classification],"&gt;0")</f>
        <v>0</v>
      </c>
      <c r="W202" s="6">
        <f>COUNTIFS(Table33[Country],Tabela1[[#This Row],[Country]],Table33[Recurve Classification],"&gt;0")</f>
        <v>0</v>
      </c>
      <c r="X202" s="6">
        <f>COUNTIFS(Table35[Country],Tabela1[[#This Row],[Country]],Table35[Men''s Team Recurve Classification],"&gt;0")</f>
        <v>0</v>
      </c>
      <c r="Y202" s="6">
        <f>COUNTIFS(Table35[Country],Tabela1[[#This Row],[Country]],Table35[Women''s Team Recurve Classification],"&gt;0")</f>
        <v>0</v>
      </c>
      <c r="Z202" s="6">
        <f>COUNTIFS(Tabela88[Country],Tabela1[[#This Row],[Country]],Tabela88[Mixed Team Recurve Classification],"&gt;0")</f>
        <v>0</v>
      </c>
      <c r="AA202" s="6">
        <f>COUNTIFS(Table36[Country],Tabela1[[#This Row],[Country]],Table36[Classification],"&gt;0")</f>
        <v>0</v>
      </c>
      <c r="AB202" s="6">
        <f>COUNTIFS(Table37[Country],Tabela1[[#This Row],[Country]],Table37[Classification],"&gt;0")</f>
        <v>0</v>
      </c>
      <c r="AC202" s="6">
        <f>COUNTIFS(Table4[Country],Tabela1[[#This Row],[Country]],Table4[100m Classification],"&gt;0")</f>
        <v>0</v>
      </c>
      <c r="AD202" s="6">
        <f>COUNTIFS(Table5[Country],Tabela1[[#This Row],[Country]],Table5[100m Classification],"&gt;0")</f>
        <v>0</v>
      </c>
      <c r="AE202" s="6">
        <f>COUNTIFS(Table4[Country],Tabela1[[#This Row],[Country]],Table4[200m Classification],"&gt;0")</f>
        <v>0</v>
      </c>
      <c r="AF202" s="6">
        <f>COUNTIFS(Table5[Country],Tabela1[[#This Row],[Country]],Table5[200m Classification],"&gt;0")</f>
        <v>0</v>
      </c>
      <c r="AG202" s="6">
        <f>COUNTIFS(Table4[Country],Tabela1[[#This Row],[Country]],Table4[400m Classification],"&gt;0")</f>
        <v>0</v>
      </c>
      <c r="AH202" s="6">
        <f>COUNTIFS(Table5[Country],Tabela1[[#This Row],[Country]],Table5[400m Classification],"&gt;0")</f>
        <v>0</v>
      </c>
      <c r="AI202" s="6">
        <f>COUNTIFS(Table4[Country],Tabela1[[#This Row],[Country]],Table4[800m Classification],"&gt;0")</f>
        <v>0</v>
      </c>
      <c r="AJ202" s="6">
        <f>COUNTIFS(Table5[Country],Tabela1[[#This Row],[Country]],Table5[800m Classification],"&gt;0")</f>
        <v>0</v>
      </c>
      <c r="AK202" s="6">
        <f>COUNTIFS(Table4[Country],Tabela1[[#This Row],[Country]],Table4[1500m Classification],"&gt;0")</f>
        <v>0</v>
      </c>
      <c r="AL202" s="6">
        <f>COUNTIFS(Table5[Country],Tabela1[[#This Row],[Country]],Table5[1500m Classification],"&gt;0")</f>
        <v>0</v>
      </c>
      <c r="AM202" s="6">
        <f>COUNTIFS(Table4[Country],Tabela1[[#This Row],[Country]],Table4[5000m Classification],"&gt;0")</f>
        <v>0</v>
      </c>
      <c r="AN202" s="6">
        <f>COUNTIFS(Table5[Country],Tabela1[[#This Row],[Country]],Table5[5000m Classification],"&gt;0")</f>
        <v>0</v>
      </c>
      <c r="AO202" s="6">
        <f>COUNTIFS(Table4[Country],Tabela1[[#This Row],[Country]],Table4[10000m Classification],"&gt;0")</f>
        <v>0</v>
      </c>
      <c r="AP202" s="6">
        <f>COUNTIFS(Table5[Country],Tabela1[[#This Row],[Country]],Table5[10000m Classification],"&gt;0")</f>
        <v>0</v>
      </c>
      <c r="AQ202" s="6">
        <f>COUNTIFS(Table4[Country],Tabela1[[#This Row],[Country]],Table4[110m Hurdles Classification],"&gt;0")</f>
        <v>0</v>
      </c>
      <c r="AR202" s="6">
        <f>COUNTIFS(Table5[Country],Tabela1[[#This Row],[Country]],Table5[100m Hurdles Classification],"&gt;0")</f>
        <v>0</v>
      </c>
      <c r="AS202" s="6">
        <f>COUNTIFS(Table4[Country],Tabela1[[#This Row],[Country]],Table4[400m Hurdles Classification],"&gt;0")</f>
        <v>0</v>
      </c>
      <c r="AT202" s="6">
        <f>COUNTIFS(Table5[Country],Tabela1[[#This Row],[Country]],Table5[400m Hurdles Classification],"&gt;0")</f>
        <v>0</v>
      </c>
      <c r="AU202" s="6">
        <f>COUNTIFS(Table4[Country],Tabela1[[#This Row],[Country]],Table4[3000m Steeplechase Classification],"&gt;0")</f>
        <v>0</v>
      </c>
      <c r="AV202" s="6">
        <f>COUNTIFS(Table5[Country],Tabela1[[#This Row],[Country]],Table5[3000m Steeplechase Classification],"&gt;0")</f>
        <v>0</v>
      </c>
      <c r="AW202" s="6">
        <f>COUNTIFS(Table27[Country],Tabela1[[#This Row],[Country]],Table27[Men''s 4x100m Relay Classification],"&gt;0")</f>
        <v>0</v>
      </c>
      <c r="AX202" s="6">
        <f>COUNTIFS(Table27[Country],Tabela1[[#This Row],[Country]],Table27[Women''s 4x100m Relay Classification],"&gt;0")</f>
        <v>0</v>
      </c>
      <c r="AY202" s="6">
        <f>COUNTIFS(Table27[Country],Tabela1[[#This Row],[Country]],Table27[Men''s 4x400m Relay Classification],"&gt;0")</f>
        <v>0</v>
      </c>
      <c r="AZ202" s="6">
        <f>COUNTIFS(Table27[Country],Tabela1[[#This Row],[Country]],Table27[Women''s 4x400m Relay Classification],"&gt;0")</f>
        <v>0</v>
      </c>
      <c r="BA202" s="6">
        <f>COUNTIFS(Table27[Country],Tabela1[[#This Row],[Country]],Table27[Mixed 4x400m Relay Classification],"&gt;0")</f>
        <v>0</v>
      </c>
      <c r="BB202" s="6">
        <f>COUNTIFS(Table4[Country],Tabela1[[#This Row],[Country]],Table4[Marathon Classification],"&gt;0")</f>
        <v>0</v>
      </c>
      <c r="BC202" s="6">
        <f>COUNTIFS(Table5[Country],Tabela1[[#This Row],[Country]],Table5[Marathon Classification],"&gt;0")</f>
        <v>0</v>
      </c>
      <c r="BD202" s="6">
        <f>COUNTIFS(Table4[Country],Tabela1[[#This Row],[Country]],Table4[20km Race Walk Classification],"&gt;0")</f>
        <v>0</v>
      </c>
      <c r="BE202" s="6">
        <f>COUNTIFS(Table5[Country],Tabela1[[#This Row],[Country]],Table5[20km Race Walk Classification],"&gt;0")</f>
        <v>0</v>
      </c>
      <c r="BF202" s="6">
        <f>COUNTIFS(Tabela96[Country],Tabela1[[#This Row],[Country]],Tabela96[Mixed Marathon Race Walk Relay Classification],"&gt;0")</f>
        <v>0</v>
      </c>
      <c r="BG202" s="6">
        <f>COUNTIFS(Table4[Country],Tabela1[[#This Row],[Country]],Table4[Discus Throw Classification],"&gt;0")</f>
        <v>0</v>
      </c>
      <c r="BH202" s="6">
        <f>COUNTIFS(Table5[Country],Tabela1[[#This Row],[Country]],Table5[Discus Throw Classification],"&gt;0")</f>
        <v>0</v>
      </c>
      <c r="BI202" s="6">
        <f>COUNTIFS(Table4[Country],Tabela1[[#This Row],[Country]],Table4[Hammer Throw Classification],"&gt;0")</f>
        <v>0</v>
      </c>
      <c r="BJ202" s="6">
        <f>COUNTIFS(Table5[Country],Tabela1[[#This Row],[Country]],Table5[Hammer Throw Classification],"&gt;0")</f>
        <v>0</v>
      </c>
      <c r="BK202" s="6">
        <f>COUNTIFS(Table4[Country],Tabela1[[#This Row],[Country]],Table4[High Jump Classification],"&gt;0")</f>
        <v>0</v>
      </c>
      <c r="BL202" s="6">
        <f>COUNTIFS(Table5[Country],Tabela1[[#This Row],[Country]],Table5[High Jump Classification],"&gt;0")</f>
        <v>0</v>
      </c>
      <c r="BM202" s="6">
        <f>COUNTIFS(Table4[Country],Tabela1[[#This Row],[Country]],Table4[Javelin Throw Classification],"&gt;0")</f>
        <v>0</v>
      </c>
      <c r="BN202" s="6">
        <f>COUNTIFS(Table5[Country],Tabela1[[#This Row],[Country]],Table5[Javelin Throw Classification],"&gt;0")</f>
        <v>0</v>
      </c>
      <c r="BO202" s="6">
        <f>COUNTIFS(Table4[Country],Tabela1[[#This Row],[Country]],Table4[Long Jump Classification],"&gt;0")</f>
        <v>0</v>
      </c>
      <c r="BP202" s="6">
        <f>COUNTIFS(Table5[Country],Tabela1[[#This Row],[Country]],Table5[Long Jump Classification],"&gt;0")</f>
        <v>0</v>
      </c>
      <c r="BQ202" s="6">
        <f>COUNTIFS(Table4[Country],Tabela1[[#This Row],[Country]],Table4[Pole Vault Classification],"&gt;0")</f>
        <v>0</v>
      </c>
      <c r="BR202" s="6">
        <f>COUNTIFS(Table5[Country],Tabela1[[#This Row],[Country]],Table5[Pole Vault Classification],"&gt;0")</f>
        <v>0</v>
      </c>
      <c r="BS202" s="6">
        <f>COUNTIFS(Table4[Country],Tabela1[[#This Row],[Country]],Table4[Shot Put Classification],"&gt;0")</f>
        <v>0</v>
      </c>
      <c r="BT202" s="6">
        <f>COUNTIFS(Table5[Country],Tabela1[[#This Row],[Country]],Table5[Shot Put Classification],"&gt;0")</f>
        <v>0</v>
      </c>
      <c r="BU202" s="6">
        <f>COUNTIFS(Table4[Country],Tabela1[[#This Row],[Country]],Table4[Triple Jump Classification],"&gt;0")</f>
        <v>0</v>
      </c>
      <c r="BV202" s="6">
        <f>COUNTIFS(Table5[Country],Tabela1[[#This Row],[Country]],Table5[Triple Jump Classification],"&gt;0")</f>
        <v>0</v>
      </c>
      <c r="BW202" s="6">
        <f>COUNTIFS(Table4[Country],Tabela1[[#This Row],[Country]],Table4[Decathlon Classification],"&gt;0")</f>
        <v>0</v>
      </c>
      <c r="BX202" s="6">
        <f>COUNTIFS(Table5[Country],Tabela1[[#This Row],[Country]],Table5[Heptathlon Classification],"&gt;0")</f>
        <v>0</v>
      </c>
      <c r="BY202" s="6">
        <f>COUNTIFS(Table61[Country],Tabela1[[#This Row],[Country]],Table61[Classification],"&gt;0")</f>
        <v>0</v>
      </c>
      <c r="BZ202" s="6">
        <f>COUNTIFS(Table38[Country],Tabela1[[#This Row],[Country]],Table38[Classification],"&gt;0")</f>
        <v>0</v>
      </c>
      <c r="CA202" s="6">
        <f>COUNTIFS(Table39[Country],Tabela1[[#This Row],[Country]],Table39[Men''s Classification],"&gt;0")</f>
        <v>0</v>
      </c>
      <c r="CB202" s="6">
        <f>COUNTIFS(Table39[Country],Tabela1[[#This Row],[Country]],Table39[Women''s Classification],"&gt;0")</f>
        <v>0</v>
      </c>
      <c r="CC202" s="6">
        <f>COUNTIFS(Table39[Country],Tabela1[[#This Row],[Country]],Table39[Mixed Classification],"&gt;0")</f>
        <v>0</v>
      </c>
      <c r="CD202" s="6">
        <f>COUNTIFS(Table89[Country],Tabela1[[#This Row],[Country]],Table89[Men''s Classification],"&gt;0")</f>
        <v>0</v>
      </c>
      <c r="CE202" s="6">
        <f>COUNTIFS(Table89[Country],Tabela1[[#This Row],[Country]],Table89[Women''s Classification],"&gt;0")</f>
        <v>0</v>
      </c>
      <c r="CF202" s="6">
        <f>COUNTIFS(Table90[Country],Tabela1[[#This Row],[Country]],Table90[Men''s Classification],"&gt;0")</f>
        <v>0</v>
      </c>
      <c r="CG202" s="6">
        <f>COUNTIFS(Table90[Country],Tabela1[[#This Row],[Country]],Table90[Women''s Classification],"&gt;0")</f>
        <v>0</v>
      </c>
      <c r="CH202" s="6">
        <f>COUNTIFS(Table60[Country],Tabela1[[#This Row],[Country]],Table60[Men''s Classification],"&gt;0")</f>
        <v>0</v>
      </c>
      <c r="CI202" s="6">
        <f>COUNTIFS(Table60[Country],Tabela1[[#This Row],[Country]],Table60[Women''s Classification],"&gt;0")</f>
        <v>0</v>
      </c>
      <c r="CJ202" s="6">
        <f>COUNTIFS(Table6[Country],Tabela1[[#This Row],[Country]],Table6[51kg Classification],"&gt;0")</f>
        <v>0</v>
      </c>
      <c r="CK202" s="6">
        <f>COUNTIFS(Table6[Country],Tabela1[[#This Row],[Country]],Table6[57kg Classification],"&gt;0")</f>
        <v>0</v>
      </c>
      <c r="CL202" s="6">
        <f>COUNTIFS(Table6[Country],Tabela1[[#This Row],[Country]],Table6[63.5kg Classification],"&gt;0")</f>
        <v>0</v>
      </c>
      <c r="CM202" s="6">
        <f>COUNTIFS(Table6[Country],Tabela1[[#This Row],[Country]],Table6[71kg Classification],"&gt;0")</f>
        <v>0</v>
      </c>
      <c r="CN202" s="6">
        <f>COUNTIFS(Table6[Country],Tabela1[[#This Row],[Country]],Table6[80kg Classification],"&gt;0")</f>
        <v>0</v>
      </c>
      <c r="CO202" s="6">
        <f>COUNTIFS(Table6[Country],Tabela1[[#This Row],[Country]],Table6[92kg Classification],"&gt;0")</f>
        <v>0</v>
      </c>
      <c r="CP202" s="6">
        <f>COUNTIFS(Table6[Country],Tabela1[[#This Row],[Country]],Table6[Plus 92kg Classification],"&gt;0")</f>
        <v>0</v>
      </c>
      <c r="CQ202" s="6">
        <f>COUNTIFS(Table7[Country],Tabela1[[#This Row],[Country]],Table7[50kg Classification],"&gt;0")</f>
        <v>0</v>
      </c>
      <c r="CR202" s="6">
        <f>COUNTIFS(Table7[Country],Tabela1[[#This Row],[Country]],Table7[54kg Classification],"&gt;0")</f>
        <v>0</v>
      </c>
      <c r="CS202" s="6">
        <f>COUNTIFS(Table7[Country],Tabela1[[#This Row],[Country]],Table7[57kg Classification],"&gt;0")</f>
        <v>0</v>
      </c>
      <c r="CT202" s="6">
        <f>COUNTIFS(Table7[Country],Tabela1[[#This Row],[Country]],Table7[60kg Classification],"&gt;0")</f>
        <v>0</v>
      </c>
      <c r="CU202" s="6">
        <f>COUNTIFS(Table7[Country],Tabela1[[#This Row],[Country]],Table7[66kg Classification],"&gt;0")</f>
        <v>0</v>
      </c>
      <c r="CV202" s="6">
        <f>COUNTIFS(Table7[Country],Tabela1[[#This Row],[Country]],Table7[75kg Classification],"&gt;0")</f>
        <v>0</v>
      </c>
      <c r="CW202" s="6">
        <f>COUNTIFS(Tabela94[Country],Tabela1[[#This Row],[Country]],Tabela94[Classification],"&gt;0")</f>
        <v>0</v>
      </c>
      <c r="CX202" s="6">
        <f>COUNTIFS(Tabela9499[Country],Tabela1[[#This Row],[Country]],Tabela9499[Classification],"&gt;0")</f>
        <v>0</v>
      </c>
      <c r="CY202" s="6">
        <f>COUNTIFS(Tabela107[Country],Tabela1[[#This Row],[Country]],Tabela107[C1 Slalom Classification],"&gt;0")</f>
        <v>0</v>
      </c>
      <c r="CZ202" s="6">
        <f>COUNTIFS(Tabela107122[Country],Tabela1[[#This Row],[Country]],Tabela107122[C1 Slalom Classification],"&gt;0")</f>
        <v>0</v>
      </c>
      <c r="DA202" s="6">
        <f>COUNTIFS(Tabela107[Country],Tabela1[[#This Row],[Country]],Tabela107[K1 Slalom Classification],"&gt;0")</f>
        <v>0</v>
      </c>
      <c r="DB202" s="6">
        <f>COUNTIFS(Tabela107122[Country],Tabela1[[#This Row],[Country]],Tabela107122[K1 Slalom Classification],"&gt;0")</f>
        <v>0</v>
      </c>
      <c r="DC202" s="6">
        <f>COUNTIFS(Tabela107[Country],Tabela1[[#This Row],[Country]],Tabela107[Kayak Cross Slalom Classification],"&gt;0")</f>
        <v>0</v>
      </c>
      <c r="DD202" s="6">
        <f>COUNTIFS(Tabela107122[Country],Tabela1[[#This Row],[Country]],Tabela107122[Kayak Cross Slalom Classification],"&gt;0")</f>
        <v>0</v>
      </c>
      <c r="DE202" s="6">
        <f>COUNTIFS(Table8[Country],Tabela1[[#This Row],[Country]],Table8[C1 200m Classification],"&gt;0")</f>
        <v>0</v>
      </c>
      <c r="DF202" s="6">
        <f>COUNTIFS(Table40[Country],Tabela1[[#This Row],[Country]],Table40[C1 1000m Classification],"&gt;0")</f>
        <v>0</v>
      </c>
      <c r="DG202" s="6">
        <f>COUNTIFS(Table68[Country],Tabela1[[#This Row],[Country]],Table68[Men''s C2 500m Classification],"&gt;0")</f>
        <v>0</v>
      </c>
      <c r="DH202" s="6">
        <f>COUNTIFS(Table68[Country],Tabela1[[#This Row],[Country]],Table68[Women''s C2 500m Classification],"&gt;0")</f>
        <v>0</v>
      </c>
      <c r="DI202" s="6">
        <f>COUNTIFS(Table8[Country],Tabela1[[#This Row],[Country]],Table8[K1 500m Classification],"&gt;0")</f>
        <v>0</v>
      </c>
      <c r="DJ202" s="6">
        <f>COUNTIFS(Table40[Country],Tabela1[[#This Row],[Country]],Table40[K1 1000m Classification],"&gt;0")</f>
        <v>0</v>
      </c>
      <c r="DK202" s="6">
        <f>COUNTIFS(Table68[Country],Tabela1[[#This Row],[Country]],Table68[Men''s K2 500m Classification],"&gt;0")</f>
        <v>0</v>
      </c>
      <c r="DL202" s="6">
        <f>COUNTIFS(Table68[Country],Tabela1[[#This Row],[Country]],Table68[Women''s K2 500m Classification],"&gt;0")</f>
        <v>0</v>
      </c>
      <c r="DM202" s="6">
        <f>COUNTIFS(Table83[Country],Tabela1[[#This Row],[Country]],Table83[Men''s K4 500m Classification],"&gt;0")</f>
        <v>0</v>
      </c>
      <c r="DN202" s="6">
        <f>COUNTIFS(Table83[Country],Tabela1[[#This Row],[Country]],Table83[Women''s K4 500m Classification],"&gt;0")</f>
        <v>0</v>
      </c>
      <c r="DO202" s="6">
        <f>COUNTIFS(Tabela126[Country],Tabela1[[#This Row],[Country]],Tabela126[Classification],"&gt;0")</f>
        <v>0</v>
      </c>
      <c r="DP202" s="6">
        <f>COUNTIFS(Tabela126130[Country],Tabela1[[#This Row],[Country]],Tabela126130[Classification],"&gt;0")</f>
        <v>0</v>
      </c>
      <c r="DQ202" s="6">
        <f>COUNTIFS(Table70[Country],Tabela1[[#This Row],[Country]],Table70[Classification],"&gt;0")</f>
        <v>0</v>
      </c>
      <c r="DR202" s="6">
        <f>COUNTIFS(Table80[Country],Tabela1[[#This Row],[Country]],Table80[Classification],"&gt;0")</f>
        <v>0</v>
      </c>
      <c r="DS202" s="6">
        <f>COUNTIFS(Table66[Country],Tabela1[[#This Row],[Country]],Table66[Classification],"&gt;0")</f>
        <v>0</v>
      </c>
      <c r="DT202" s="6">
        <f>COUNTIFS(Table67[Country],Tabela1[[#This Row],[Country]],Table67[Classification],"&gt;0")</f>
        <v>0</v>
      </c>
      <c r="DU202" s="6">
        <f>COUNTIFS(Table69[Country],Tabela1[[#This Row],[Country]],Table69[Keirin Classification],"&gt;0")</f>
        <v>0</v>
      </c>
      <c r="DV202" s="6">
        <f>COUNTIFS(Table41[Country],Tabela1[[#This Row],[Country]],Table41[Keirin Classification],"&gt;0")</f>
        <v>0</v>
      </c>
      <c r="DW202" s="6">
        <f>COUNTIFS(Table84[Country],Tabela1[[#This Row],[Country]],Table84[Men''s Madison Classification],"&gt;0")</f>
        <v>0</v>
      </c>
      <c r="DX202" s="6">
        <f>COUNTIFS(Table84[Country],Tabela1[[#This Row],[Country]],Table84[Women''s Madison Classification],"&gt;0")</f>
        <v>0</v>
      </c>
      <c r="DY202" s="6">
        <f>COUNTIFS(Table69[Country],Tabela1[[#This Row],[Country]],Table69[Omnium Classification],"&gt;0")</f>
        <v>0</v>
      </c>
      <c r="DZ202" s="6">
        <f>COUNTIFS(Table41[Country],Tabela1[[#This Row],[Country]],Table41[Omnium Classification],"&gt;0")</f>
        <v>0</v>
      </c>
      <c r="EA202" s="6">
        <f>COUNTIFS(Table9[Country],Tabela1[[#This Row],[Country]],Table9[Road Race Classification],"&gt;0")</f>
        <v>0</v>
      </c>
      <c r="EB202" s="6">
        <f>COUNTIFS(Table14[Country],Tabela1[[#This Row],[Country]],Table14[Road Race Classification],"&gt;0")</f>
        <v>0</v>
      </c>
      <c r="EC202" s="6">
        <f>COUNTIFS(Table69[Country],Tabela1[[#This Row],[Country]],Table69[Sprint Classification],"&gt;0")</f>
        <v>0</v>
      </c>
      <c r="ED202" s="6">
        <f>COUNTIFS(Table41[Country],Tabela1[[#This Row],[Country]],Table41[Sprint Classification],"&gt;0")</f>
        <v>0</v>
      </c>
      <c r="EE202" s="6">
        <f>COUNTIFS(Table85[Country],Tabela1[[#This Row],[Country]],Table85[Men''s Sprint Classification],"&gt;0")</f>
        <v>0</v>
      </c>
      <c r="EF202" s="6">
        <f>COUNTIFS(Table85[Country],Tabela1[[#This Row],[Country]],Table85[Women''s Sprint Classification],"&gt;0")</f>
        <v>0</v>
      </c>
      <c r="EG202" s="6">
        <f>COUNTIFS(Table85[Country],Tabela1[[#This Row],[Country]],Table85[Men''s Pursuit Classification],"&gt;0")</f>
        <v>0</v>
      </c>
      <c r="EH202" s="6">
        <f>COUNTIFS(Table85[Country],Tabela1[[#This Row],[Country]],Table85[Women''s Pursuit Classification],"&gt;0")</f>
        <v>0</v>
      </c>
      <c r="EI202" s="6">
        <f>COUNTIFS(Table9[Country],Tabela1[[#This Row],[Country]],Table9[Time-Trial Classification],"&gt;0")</f>
        <v>0</v>
      </c>
      <c r="EJ202" s="6">
        <f>COUNTIFS(Table14[Country],Tabela1[[#This Row],[Country]],Table14[Time-Trial Classification],"&gt;0")</f>
        <v>0</v>
      </c>
      <c r="EK202" s="6">
        <f>COUNTIFS(Table42[Country],Tabela1[[#This Row],[Country]],Table42[Springboard Classification],"&gt;0")</f>
        <v>0</v>
      </c>
      <c r="EL202" s="6">
        <f>COUNTIFS(Table43[Country],Tabela1[[#This Row],[Country]],Table43[Springboard Classification],"&gt;0")</f>
        <v>0</v>
      </c>
      <c r="EM202" s="6">
        <f>COUNTIFS(Table42[Country],Tabela1[[#This Row],[Country]],Table42[Platform Classification],"&gt;0")</f>
        <v>0</v>
      </c>
      <c r="EN202" s="6">
        <f>COUNTIFS(Table43[Country],Tabela1[[#This Row],[Country]],Table43[Platform Classification],"&gt;0")</f>
        <v>0</v>
      </c>
      <c r="EO202" s="6">
        <f>COUNTIFS(Table86[Country],Tabela1[[#This Row],[Country]],Table86[Men''s Synchronized Springboard Classification],"&gt;0")</f>
        <v>0</v>
      </c>
      <c r="EP202" s="6">
        <f>COUNTIFS(Table86[Country],Tabela1[[#This Row],[Country]],Table86[Women''s Synchronized Springboard Classification],"&gt;0")</f>
        <v>0</v>
      </c>
      <c r="EQ202" s="6">
        <f>COUNTIFS(Table86[Country],Tabela1[[#This Row],[Country]],Table86[Men''s Synchronized Platform Classification],"&gt;0")</f>
        <v>0</v>
      </c>
      <c r="ER202" s="6">
        <f>COUNTIFS(Table86[Country],Tabela1[[#This Row],[Country]],Table86[Women''s Synchronized Platform Classification],"&gt;0")</f>
        <v>0</v>
      </c>
      <c r="ES202" s="6">
        <f>COUNTIFS(Table44[Country],Tabela1[[#This Row],[Country]],Table44[Dressage Classification],"&gt;0")</f>
        <v>0</v>
      </c>
      <c r="ET202" s="6">
        <f>COUNTIFS(Table45[Country],Tabela1[[#This Row],[Country]],Table45[Dressage Classification],"&gt;0")</f>
        <v>0</v>
      </c>
      <c r="EU202" s="6">
        <f>COUNTIFS(Table44[Country],Tabela1[[#This Row],[Country]],Table44[Eventing Classification],"&gt;0")</f>
        <v>0</v>
      </c>
      <c r="EV202" s="6">
        <f>COUNTIFS(Table45[Country],Tabela1[[#This Row],[Country]],Table45[Eventing Classification],"&gt;0")</f>
        <v>0</v>
      </c>
      <c r="EW202" s="6">
        <f>COUNTIFS(Table44[Country],Tabela1[[#This Row],[Country]],Table44[Jumping Classification],"&gt;0")</f>
        <v>0</v>
      </c>
      <c r="EX202" s="6">
        <f>COUNTIFS(Table45[Country],Tabela1[[#This Row],[Country]],Table45[Jumping Classification],"&gt;0")</f>
        <v>0</v>
      </c>
      <c r="EY202" s="6">
        <f>COUNTIFS(Table10[Country],Tabela1[[#This Row],[Country]],Table10[Épée Classification],"&gt;0")</f>
        <v>0</v>
      </c>
      <c r="EZ202" s="6">
        <f>COUNTIFS(Table11[Country],Tabela1[[#This Row],[Country]],Table11[Épée Classification],"&gt;0")</f>
        <v>0</v>
      </c>
      <c r="FA202" s="6">
        <f>COUNTIFS(Table46[Country],Tabela1[[#This Row],[Country]],Table46[Men''s Épée Classification],"&gt;0")</f>
        <v>0</v>
      </c>
      <c r="FB202" s="6">
        <f>COUNTIFS(Table46[Country],Tabela1[[#This Row],[Country]],Table46[Women''s Épée Classification],"&gt;0")</f>
        <v>0</v>
      </c>
      <c r="FC202" s="6">
        <f>COUNTIFS(Table10[Country],Tabela1[[#This Row],[Country]],Table10[Foil Classification],"&gt;0")</f>
        <v>0</v>
      </c>
      <c r="FD202" s="6">
        <f>COUNTIFS(Table11[Country],Tabela1[[#This Row],[Country]],Table11[Foil Classification],"&gt;0")</f>
        <v>0</v>
      </c>
      <c r="FE202" s="6">
        <f>COUNTIFS(Table46[Country],Tabela1[[#This Row],[Country]],Table46[Men''s Foil Classification],"&gt;0")</f>
        <v>0</v>
      </c>
      <c r="FF202" s="6">
        <f>COUNTIFS(Table46[Country],Tabela1[[#This Row],[Country]],Table46[Women''s Foil Classification],"&gt;0")</f>
        <v>0</v>
      </c>
      <c r="FG202" s="6">
        <f>COUNTIFS(Table10[Country],Tabela1[[#This Row],[Country]],Table10[Sabre Classification],"&gt;0")</f>
        <v>0</v>
      </c>
      <c r="FH202" s="6">
        <f>COUNTIFS(Table11[Country],Tabela1[[#This Row],[Country]],Table11[Sabre Classification],"&gt;0")</f>
        <v>0</v>
      </c>
      <c r="FI202" s="6">
        <f>COUNTIFS(Table46[Country],Tabela1[[#This Row],[Country]],Table46[Men''s Sabre Classification],"&gt;0")</f>
        <v>0</v>
      </c>
      <c r="FJ202" s="6">
        <f>COUNTIFS(Table46[Country],Tabela1[[#This Row],[Country]],Table46[Women''s Sabre Classification],"&gt;0")</f>
        <v>0</v>
      </c>
      <c r="FK202" s="6">
        <f>COUNTIFS(Table91[Country],Tabela1[[#This Row],[Country]],Table91[Men''s Classification],"&gt;0")</f>
        <v>0</v>
      </c>
      <c r="FL202" s="6">
        <f>COUNTIFS(Table91[Country],Tabela1[[#This Row],[Country]],Table91[Women''s Classification],"&gt;0")</f>
        <v>0</v>
      </c>
      <c r="FM202" s="6">
        <f>COUNTIFS(Table9194[Country],Tabela1[[#This Row],[Country]],Table9194[Men''s Classification],"&gt;0")</f>
        <v>0</v>
      </c>
      <c r="FN202" s="6">
        <f>COUNTIFS(Table9194[Country],Tabela1[[#This Row],[Country]],Table9194[Women''s Classification],"&gt;0")</f>
        <v>0</v>
      </c>
      <c r="FO202" s="6">
        <f>COUNTIFS(Table71[Country],Tabela1[[#This Row],[Country]],Table71[Classification],"&gt;0")</f>
        <v>0</v>
      </c>
      <c r="FP202" s="6">
        <f>COUNTIFS(Table62[Country],Tabela1[[#This Row],[Country]],Table62[Classification],"&gt;0")</f>
        <v>0</v>
      </c>
      <c r="FQ202" s="6">
        <f>COUNTIFS(Table47[Country],Tabela1[[#This Row],[Country]],Table47[All-Around Classification],"&gt;0")</f>
        <v>0</v>
      </c>
      <c r="FR202" s="6">
        <f>COUNTIFS(Table48[Country],Tabela1[[#This Row],[Country]],Table48[All-Around Classification],"&gt;0")</f>
        <v>0</v>
      </c>
      <c r="FS202" s="6">
        <f>COUNTIFS(Table81[Country],Tabela1[[#This Row],[Country]],Table81[Men''s All-Around Classification],"&gt;0")</f>
        <v>0</v>
      </c>
      <c r="FT202" s="6">
        <f>COUNTIFS(Table81[Country],Tabela1[[#This Row],[Country]],Table81[Women''s All-Around Classification],"&gt;0")</f>
        <v>0</v>
      </c>
      <c r="FU202" s="6">
        <f>COUNTIFS(Table48[Country],Tabela1[[#This Row],[Country]],Table48[Balance Beam Classification],"&gt;0")</f>
        <v>0</v>
      </c>
      <c r="FV202" s="6">
        <f>COUNTIFS(Table47[Country],Tabela1[[#This Row],[Country]],Table47[Floor Exercise Classification],"&gt;0")</f>
        <v>0</v>
      </c>
      <c r="FW202" s="6">
        <f>COUNTIFS(Table48[Country],Tabela1[[#This Row],[Country]],Table48[Floor Exercise Classification],"&gt;0")</f>
        <v>0</v>
      </c>
      <c r="FX202" s="6">
        <f>COUNTIFS(Table47[Country],Tabela1[[#This Row],[Country]],Table47[Horizontal Bar Classification],"&gt;0")</f>
        <v>0</v>
      </c>
      <c r="FY202" s="6">
        <f>COUNTIFS(Table47[Country],Tabela1[[#This Row],[Country]],Table47[Parallel Bars Classification],"&gt;0")</f>
        <v>0</v>
      </c>
      <c r="FZ202" s="6">
        <f>COUNTIFS(Table47[Country],Tabela1[[#This Row],[Country]],Table47[Pommel Horse Classification],"&gt;0")</f>
        <v>0</v>
      </c>
      <c r="GA202" s="6">
        <f>COUNTIFS(Table47[Country],Tabela1[[#This Row],[Country]],Table47[Rings Classification],"&gt;0")</f>
        <v>0</v>
      </c>
      <c r="GB202" s="6">
        <f>COUNTIFS(Tabela132[Country],Tabela1[[#This Row],[Country]],Tabela132[Classification],"&gt;0")</f>
        <v>0</v>
      </c>
      <c r="GC202" s="6">
        <f>COUNTIFS(Tabela139[Country],Tabela1[[#This Row],[Country]],Tabela139[Classification],"&gt;0")</f>
        <v>0</v>
      </c>
      <c r="GD202" s="6">
        <f>COUNTIFS(Table48[Country],Tabela1[[#This Row],[Country]],Table48[Uneven Bars Classification],"&gt;0")</f>
        <v>0</v>
      </c>
      <c r="GE202" s="6">
        <f>COUNTIFS(Table47[Country],Tabela1[[#This Row],[Country]],Table47[Vault Classification],"&gt;0")</f>
        <v>0</v>
      </c>
      <c r="GF202" s="6">
        <f>COUNTIFS(Table48[Country],Tabela1[[#This Row],[Country]],Table48[Vault Classification],"&gt;0")</f>
        <v>0</v>
      </c>
      <c r="GG202" s="6">
        <f>COUNTIFS(Table919496[Country],Tabela1[[#This Row],[Country]],Table919496[Men''s Classification],"&gt;0")</f>
        <v>0</v>
      </c>
      <c r="GH202" s="6">
        <f>COUNTIFS(Table919496[Country],Tabela1[[#This Row],[Country]],Table919496[Women''s Classification],"&gt;0")</f>
        <v>0</v>
      </c>
      <c r="GI202" s="6">
        <f>COUNTIFS(Table12[Country],Tabela1[[#This Row],[Country]],Table12[60kg Classification],"&gt;0")</f>
        <v>0</v>
      </c>
      <c r="GJ202" s="6">
        <f>COUNTIFS(Table12[Country],Tabela1[[#This Row],[Country]],Table12[66kg Classification],"&gt;0")</f>
        <v>0</v>
      </c>
      <c r="GK202" s="6">
        <f>COUNTIFS(Table12[Country],Tabela1[[#This Row],[Country]],Table12[73kg Classification],"&gt;0")</f>
        <v>0</v>
      </c>
      <c r="GL202" s="6">
        <f>COUNTIFS(Table12[Country],Tabela1[[#This Row],[Country]],Table12[81kg Classification],"&gt;0")</f>
        <v>0</v>
      </c>
      <c r="GM202" s="6">
        <f>COUNTIFS(Table12[Country],Tabela1[[#This Row],[Country]],Table12[90kg Classification],"&gt;0")</f>
        <v>0</v>
      </c>
      <c r="GN202" s="6">
        <f>COUNTIFS(Table12[Country],Tabela1[[#This Row],[Country]],Table12[100kg Classification],"&gt;0")</f>
        <v>0</v>
      </c>
      <c r="GO202" s="6">
        <f>COUNTIFS(Table12[Country],Tabela1[[#This Row],[Country]],Table12[Plus 100kg Classification],"&gt;0")</f>
        <v>0</v>
      </c>
      <c r="GP202" s="6">
        <f>COUNTIFS(Table13[Country],Tabela1[[#This Row],[Country]],Table13[48kg Classification],"&gt;0")</f>
        <v>0</v>
      </c>
      <c r="GQ202" s="6">
        <f>COUNTIFS(Table13[Country],Tabela1[[#This Row],[Country]],Table13[52kg Classification],"&gt;0")</f>
        <v>0</v>
      </c>
      <c r="GR202" s="6">
        <f>COUNTIFS(Table13[Country],Tabela1[[#This Row],[Country]],Table13[57kg Classification],"&gt;0")</f>
        <v>0</v>
      </c>
      <c r="GS202" s="6">
        <f>COUNTIFS(Table13[Country],Tabela1[[#This Row],[Country]],Table13[63kg Classification],"&gt;0")</f>
        <v>0</v>
      </c>
      <c r="GT202" s="6">
        <f>COUNTIFS(Table13[Country],Tabela1[[#This Row],[Country]],Table13[70kg Classification],"&gt;0")</f>
        <v>0</v>
      </c>
      <c r="GU202" s="6">
        <f>COUNTIFS(Table13[Country],Tabela1[[#This Row],[Country]],Table13[78kg Classification],"&gt;0")</f>
        <v>0</v>
      </c>
      <c r="GV202" s="6">
        <f>COUNTIFS(Table13[Country],Tabela1[[#This Row],[Country]],Table13[Plus 78kg Classification],"&gt;0")</f>
        <v>0</v>
      </c>
      <c r="GW202" s="6">
        <f>COUNTIFS(Table82[Country],Tabela1[[#This Row],[Country]],Table82[Mixed Classification],"&gt;0")</f>
        <v>0</v>
      </c>
      <c r="GX202" s="6">
        <f>COUNTIFS(Table51[Country],Tabela1[[#This Row],[Country]],Table51[Classification],"&gt;0")</f>
        <v>0</v>
      </c>
      <c r="GY202" s="6">
        <f>COUNTIFS(Table52[Country],Tabela1[[#This Row],[Country]],Table52[Classification],"&gt;0")</f>
        <v>0</v>
      </c>
      <c r="GZ202" s="6">
        <f>COUNTIFS(Table32[Country],Tabela1[[#This Row],[Country]],Table32[All-Around Classification],"&gt;0")</f>
        <v>0</v>
      </c>
      <c r="HA202" s="6">
        <f>COUNTIFS(Table49[Country],Tabela1[[#This Row],[Country]],Table49[All-Around Classification],"&gt;0")</f>
        <v>0</v>
      </c>
      <c r="HB202" s="6">
        <f>COUNTIFS(Table26[Country],Tabela1[[#This Row],[Country]],Table26[Single Sculls Classification],"&gt;0")</f>
        <v>0</v>
      </c>
      <c r="HC202" s="6">
        <f>COUNTIFS(Table63[Country],Tabela1[[#This Row],[Country]],Table63[Single Sculls Classification],"&gt;0")</f>
        <v>0</v>
      </c>
      <c r="HD202" s="6">
        <f>COUNTIFS(Table16[Country],Tabela1[[#This Row],[Country]],Table16[Men''s Double Sculls Classification],"&gt;0")</f>
        <v>0</v>
      </c>
      <c r="HE202" s="6">
        <f>COUNTIFS(Table16[Country],Tabela1[[#This Row],[Country]],Table16[Women''s Double Sculls Classification],"&gt;0")</f>
        <v>0</v>
      </c>
      <c r="HF202" s="6">
        <f>COUNTIFS(Table72[Country],Tabela1[[#This Row],[Country]],Table72[Men''s Quadruple Sculls Classification],"&gt;0")</f>
        <v>0</v>
      </c>
      <c r="HG202" s="6">
        <f>COUNTIFS(Table72[Country],Tabela1[[#This Row],[Country]],Table72[Women''s Quadruple Sculls Classification],"&gt;0")</f>
        <v>0</v>
      </c>
      <c r="HH202" s="6">
        <f>COUNTIFS(Table16[Country],Tabela1[[#This Row],[Country]],Table16[Men''s Coxless Pairs Classification],"&gt;0")</f>
        <v>0</v>
      </c>
      <c r="HI202" s="6">
        <f>COUNTIFS(Table16[Country],Tabela1[[#This Row],[Country]],Table16[Women''s Coxless Pairs Classification],"&gt;0")</f>
        <v>0</v>
      </c>
      <c r="HJ202" s="6">
        <f>COUNTIFS(Table72[Country],Tabela1[[#This Row],[Country]],Table72[Men''s Coxless Fours Classification],"&gt;0")</f>
        <v>0</v>
      </c>
      <c r="HK202" s="6">
        <f>COUNTIFS(Table72[Country],Tabela1[[#This Row],[Country]],Table72[Women''s Coxless Fours Classification],"&gt;0")</f>
        <v>0</v>
      </c>
      <c r="HL202" s="6">
        <f>COUNTIFS(Table72[Country],Tabela1[[#This Row],[Country]],Table72[Men''s Eights Classification],"&gt;0")</f>
        <v>0</v>
      </c>
      <c r="HM202" s="6">
        <f>COUNTIFS(Table72[Country],Tabela1[[#This Row],[Country]],Table72[Women''s Eights Classification],"&gt;0")</f>
        <v>0</v>
      </c>
      <c r="HN202" s="6">
        <f>COUNTIFS(Table16[Country],Tabela1[[#This Row],[Country]],Table16[Men''s Lwt. Double Sculls Classification],"&gt;0")</f>
        <v>0</v>
      </c>
      <c r="HO202" s="6">
        <f>COUNTIFS(Table16[Country],Tabela1[[#This Row],[Country]],Table16[Women''s Lwt. Double Sculls Classification],"&gt;0")</f>
        <v>0</v>
      </c>
      <c r="HP202" s="6">
        <f>COUNTIFS(Table91949698[Country],Tabela1[[#This Row],[Country]],Table91949698[Men''s Classification],"&gt;0")</f>
        <v>0</v>
      </c>
      <c r="HQ202" s="6">
        <f>COUNTIFS(Table91949698[Country],Tabela1[[#This Row],[Country]],Table91949698[Women''s Classification],"&gt;0")</f>
        <v>0</v>
      </c>
      <c r="HR202" s="6">
        <f>COUNTIFS(Table25[Country],Tabela1[[#This Row],[Country]],Table25[Mixed 470 Classification],"&gt;0")</f>
        <v>0</v>
      </c>
      <c r="HS202" s="6">
        <f>COUNTIFS(Table25[Country],Tabela1[[#This Row],[Country]],Table25[Men''s 49er Classification],"&gt;0")</f>
        <v>0</v>
      </c>
      <c r="HT202" s="6">
        <f>COUNTIFS(Table25[Country],Tabela1[[#This Row],[Country]],Table25[Women''s 49er FX Classification],"&gt;0")</f>
        <v>0</v>
      </c>
      <c r="HU202" s="6">
        <f>COUNTIFS(Table17[Country],Tabela1[[#This Row],[Country]],Table17[Formula Kite Classification],"&gt;0")</f>
        <v>0</v>
      </c>
      <c r="HV202" s="6">
        <f>COUNTIFS(Table18[Country],Tabela1[[#This Row],[Country]],Table18[Formula Kite Classification],"&gt;0")</f>
        <v>0</v>
      </c>
      <c r="HW202" s="6">
        <f>COUNTIFS(Table17[Country],Tabela1[[#This Row],[Country]],Table17[ILCA 7 Classification],"&gt;0")</f>
        <v>0</v>
      </c>
      <c r="HX202" s="6">
        <f>COUNTIFS(Table18[Country],Tabela1[[#This Row],[Country]],Table18[ILCA 6 Classification],"&gt;0")</f>
        <v>0</v>
      </c>
      <c r="HY202" s="6">
        <f>COUNTIFS(Table17[Country],Tabela1[[#This Row],[Country]],Table17[IQFoil Classification],"&gt;0")</f>
        <v>0</v>
      </c>
      <c r="HZ202" s="6">
        <f>COUNTIFS(Table18[Country],Tabela1[[#This Row],[Country]],Table18[IQFoil Classification],"&gt;0")</f>
        <v>0</v>
      </c>
      <c r="IA202" s="6">
        <f>COUNTIFS(Table25[Country],Tabela1[[#This Row],[Country]],Table25[Mixed Nacra 17 Classification],"&gt;0")</f>
        <v>0</v>
      </c>
      <c r="IB202" s="6">
        <f>COUNTIFS(Table53[Country],Tabela1[[#This Row],[Country]],Table53[10m Air Pistol Classification],"&gt;0")</f>
        <v>0</v>
      </c>
      <c r="IC202" s="6">
        <f>COUNTIFS(Table19[Country],Tabela1[[#This Row],[Country]],Table19[10m Air Pistol Classification],"&gt;0")</f>
        <v>0</v>
      </c>
      <c r="ID202" s="6">
        <f>COUNTIFS(Table54[Country],Tabela1[[#This Row],[Country]],Table54[Mixed 10m Air Pistol Team Classification],"&gt;0")</f>
        <v>0</v>
      </c>
      <c r="IE202" s="6">
        <f>COUNTIFS(Table53[Country],Tabela1[[#This Row],[Country]],Table53[10m Air Rifle Classification],"&gt;0")</f>
        <v>0</v>
      </c>
      <c r="IF202" s="6">
        <f>COUNTIFS(Table19[Country],Tabela1[[#This Row],[Country]],Table19[10m Air Rifle Classification],"&gt;0")</f>
        <v>0</v>
      </c>
      <c r="IG202" s="6">
        <f>COUNTIFS(Table54[Country],Tabela1[[#This Row],[Country]],Table54[Mixed 10m Air Rifle Team Classification],"&gt;0")</f>
        <v>0</v>
      </c>
      <c r="IH202" s="6">
        <f>COUNTIFS(Table53[Country],Tabela1[[#This Row],[Country]],Table53[25m Rapid Fire Pistol Classification],"&gt;0")</f>
        <v>0</v>
      </c>
      <c r="II202" s="6">
        <f>COUNTIFS(Table19[Country],Tabela1[[#This Row],[Country]],Table19[25m Pistol Classification],"&gt;0")</f>
        <v>0</v>
      </c>
      <c r="IJ202" s="6">
        <f>COUNTIFS(Table53[Country],Tabela1[[#This Row],[Country]],Table53[50m Rifle 3 Positions Classification],"&gt;0")</f>
        <v>0</v>
      </c>
      <c r="IK202" s="6">
        <f>COUNTIFS(Table19[Country],Tabela1[[#This Row],[Country]],Table19[50m Rifle 3 Positions Classification],"&gt;0")</f>
        <v>0</v>
      </c>
      <c r="IL202" s="6">
        <f>COUNTIFS(Table53[Country],Tabela1[[#This Row],[Country]],Table53[Skeet Classification],"&gt;0")</f>
        <v>0</v>
      </c>
      <c r="IM202" s="6">
        <f>COUNTIFS(Table19[Country],Tabela1[[#This Row],[Country]],Table19[Skeet Classification],"&gt;0")</f>
        <v>0</v>
      </c>
      <c r="IN202" s="6">
        <f>COUNTIFS(Table54[Country],Tabela1[[#This Row],[Country]],Table54[Mixed Skeet Team Classification],"&gt;0")</f>
        <v>0</v>
      </c>
      <c r="IO202" s="6">
        <f>COUNTIFS(Table53[Country],Tabela1[[#This Row],[Country]],Table53[Trap Classification],"&gt;0")</f>
        <v>0</v>
      </c>
      <c r="IP202" s="6">
        <f>COUNTIFS(Table19[Country],Tabela1[[#This Row],[Country]],Table19[Trap Classification],"&gt;0")</f>
        <v>0</v>
      </c>
      <c r="IQ202" s="6">
        <f>COUNTIFS(Table73[Country],Tabela1[[#This Row],[Country]],Table73[Park Classification],"&gt;0")</f>
        <v>0</v>
      </c>
      <c r="IR202" s="6">
        <f>COUNTIFS(Table74[Country],Tabela1[[#This Row],[Country]],Table74[Park Classification],"&gt;0")</f>
        <v>0</v>
      </c>
      <c r="IS202" s="6">
        <f>COUNTIFS(Table73[Country],Tabela1[[#This Row],[Country]],Table73[Street Classification],"&gt;0")</f>
        <v>0</v>
      </c>
      <c r="IT202" s="6">
        <f>COUNTIFS(Table74[Country],Tabela1[[#This Row],[Country]],Table74[Street Classification],"&gt;0")</f>
        <v>0</v>
      </c>
      <c r="IU202" s="6">
        <f>COUNTIFS(Table75[Country],Tabela1[[#This Row],[Country]],Table75[Boulder and Lead Classification],"&gt;0")</f>
        <v>0</v>
      </c>
      <c r="IV202" s="6">
        <f>COUNTIFS(Table76[Country],Tabela1[[#This Row],[Country]],Table76[Boulder and Lead Classification],"&gt;0")</f>
        <v>0</v>
      </c>
      <c r="IW202" s="6">
        <f>COUNTIFS(Table75[Country],Tabela1[[#This Row],[Country]],Table75[Speed Classification],"&gt;0")</f>
        <v>0</v>
      </c>
      <c r="IX202" s="6">
        <f>COUNTIFS(Table76[Country],Tabela1[[#This Row],[Country]],Table76[Speed Classification],"&gt;0")</f>
        <v>0</v>
      </c>
      <c r="IY202" s="6">
        <f>COUNTIFS(Table64[Country],Tabela1[[#This Row],[Country]],Table64[Shortboard Classification],"&gt;0")</f>
        <v>0</v>
      </c>
      <c r="IZ202" s="6">
        <f>COUNTIFS(Table77[Country],Tabela1[[#This Row],[Country]],Table77[Shortboard Classification],"&gt;0")</f>
        <v>0</v>
      </c>
      <c r="JA202" s="6">
        <f>COUNTIFS(Table20[Country],Tabela1[[#This Row],[Country]],Table20[50m Freestyle Classification],"&gt;0")</f>
        <v>0</v>
      </c>
      <c r="JB202" s="6">
        <f>COUNTIFS(Table21[Country],Tabela1[[#This Row],[Country]],Table21[50m Freestyle Classification],"&gt;0")</f>
        <v>0</v>
      </c>
      <c r="JC202" s="6">
        <f>COUNTIFS(Table20[Country],Tabela1[[#This Row],[Country]],Table20[100m Freestyle Classification],"&gt;0")</f>
        <v>0</v>
      </c>
      <c r="JD202" s="6">
        <f>COUNTIFS(Table21[Country],Tabela1[[#This Row],[Country]],Table21[100m Freestyle Classification],"&gt;0")</f>
        <v>0</v>
      </c>
      <c r="JE202" s="6">
        <f>COUNTIFS(Table20[Country],Tabela1[[#This Row],[Country]],Table20[200m Freestyle Classification],"&gt;0")</f>
        <v>0</v>
      </c>
      <c r="JF202" s="6">
        <f>COUNTIFS(Table21[Country],Tabela1[[#This Row],[Country]],Table21[200m Freestyle Classification],"&gt;0")</f>
        <v>0</v>
      </c>
      <c r="JG202" s="6">
        <f>COUNTIFS(Table20[Country],Tabela1[[#This Row],[Country]],Table20[400m Freestyle Classification],"&gt;0")</f>
        <v>0</v>
      </c>
      <c r="JH202" s="6">
        <f>COUNTIFS(Table21[Country],Tabela1[[#This Row],[Country]],Table21[400m Freestyle Classification],"&gt;0")</f>
        <v>0</v>
      </c>
      <c r="JI202" s="6">
        <f>COUNTIFS(Table20[Country],Tabela1[[#This Row],[Country]],Table20[800m Freestyle Classification],"&gt;0")</f>
        <v>0</v>
      </c>
      <c r="JJ202" s="6">
        <f>COUNTIFS(Table21[Country],Tabela1[[#This Row],[Country]],Table21[800m Freestyle Classification],"&gt;0")</f>
        <v>0</v>
      </c>
      <c r="JK202" s="6">
        <f>COUNTIFS(Table20[Country],Tabela1[[#This Row],[Country]],Table20[1500m Freestyle Classification],"&gt;0")</f>
        <v>0</v>
      </c>
      <c r="JL202" s="6">
        <f>COUNTIFS(Table21[Country],Tabela1[[#This Row],[Country]],Table21[1500m Freestyle Classification],"&gt;0")</f>
        <v>0</v>
      </c>
      <c r="JM202" s="6">
        <f>COUNTIFS(Table20[Country],Tabela1[[#This Row],[Country]],Table20[100m Backstroke Classification],"&gt;0")</f>
        <v>0</v>
      </c>
      <c r="JN202" s="6">
        <f>COUNTIFS(Table21[Country],Tabela1[[#This Row],[Country]],Table21[100m Backstroke Classification],"&gt;0")</f>
        <v>0</v>
      </c>
      <c r="JO202" s="6">
        <f>COUNTIFS(Table20[Country],Tabela1[[#This Row],[Country]],Table20[200m Backstroke Classification],"&gt;0")</f>
        <v>0</v>
      </c>
      <c r="JP202" s="6">
        <f>COUNTIFS(Table21[Country],Tabela1[[#This Row],[Country]],Table21[200m Backstroke Classification],"&gt;0")</f>
        <v>0</v>
      </c>
      <c r="JQ202" s="6">
        <f>COUNTIFS(Table20[Country],Tabela1[[#This Row],[Country]],Table20[100m Breaststroke Classification],"&gt;0")</f>
        <v>0</v>
      </c>
      <c r="JR202" s="6">
        <f>COUNTIFS(Table21[Country],Tabela1[[#This Row],[Country]],Table21[100m Breaststroke Classification],"&gt;0")</f>
        <v>0</v>
      </c>
      <c r="JS202" s="6">
        <f>COUNTIFS(Table20[Country],Tabela1[[#This Row],[Country]],Table20[200m Breaststroke Classification],"&gt;0")</f>
        <v>0</v>
      </c>
      <c r="JT202" s="6">
        <f>COUNTIFS(Table21[Country],Tabela1[[#This Row],[Country]],Table21[200m Breaststroke Classification],"&gt;0")</f>
        <v>0</v>
      </c>
      <c r="JU202" s="6">
        <f>COUNTIFS(Table20[Country],Tabela1[[#This Row],[Country]],Table20[100m Butterfly Classification],"&gt;0")</f>
        <v>0</v>
      </c>
      <c r="JV202" s="6">
        <f>COUNTIFS(Table21[Country],Tabela1[[#This Row],[Country]],Table21[100m Butterfly Classification],"&gt;0")</f>
        <v>0</v>
      </c>
      <c r="JW202" s="6">
        <f>COUNTIFS(Table20[Country],Tabela1[[#This Row],[Country]],Table20[200m Butterfly Classification],"&gt;0")</f>
        <v>0</v>
      </c>
      <c r="JX202" s="6">
        <f>COUNTIFS(Table21[Country],Tabela1[[#This Row],[Country]],Table21[200m Butterfly Classification],"&gt;0")</f>
        <v>0</v>
      </c>
      <c r="JY202" s="6">
        <f>COUNTIFS(Table20[Country],Tabela1[[#This Row],[Country]],Table20[200m Medley Classification],"&gt;0")</f>
        <v>0</v>
      </c>
      <c r="JZ202" s="6">
        <f>COUNTIFS(Table21[Country],Tabela1[[#This Row],[Country]],Table21[200m Medley Classification],"&gt;0")</f>
        <v>0</v>
      </c>
      <c r="KA202" s="6">
        <f>COUNTIFS(Table20[Country],Tabela1[[#This Row],[Country]],Table20[400m Medley Classification],"&gt;0")</f>
        <v>0</v>
      </c>
      <c r="KB202" s="6">
        <f>COUNTIFS(Table21[Country],Tabela1[[#This Row],[Country]],Table21[400m Medley Classification],"&gt;0")</f>
        <v>0</v>
      </c>
      <c r="KC202" s="6">
        <f>COUNTIFS(Table78[Country],Tabela1[[#This Row],[Country]],Table78[Men''s 4x100m Freestyle Relay Classification],"&gt;0")</f>
        <v>0</v>
      </c>
      <c r="KD202" s="6">
        <f>COUNTIFS(Table78[Country],Tabela1[[#This Row],[Country]],Table78[Women''s 4x100m Freestyle Relay Classification],"&gt;0")</f>
        <v>0</v>
      </c>
      <c r="KE202" s="6">
        <f>COUNTIFS(Table78[Country],Tabela1[[#This Row],[Country]],Table78[Men''s 4x200m Freestyle Relay Classification],"&gt;0")</f>
        <v>0</v>
      </c>
      <c r="KF202" s="6">
        <f>COUNTIFS(Table78[Country],Tabela1[[#This Row],[Country]],Table78[Women''s 4x200m Freestyle Relay Classification],"&gt;0")</f>
        <v>0</v>
      </c>
      <c r="KG202" s="6">
        <f>COUNTIFS(Table78[Country],Tabela1[[#This Row],[Country]],Table78[Men''s 4x100m Medley Relay Classification],"&gt;0")</f>
        <v>0</v>
      </c>
      <c r="KH202" s="6">
        <f>COUNTIFS(Table78[Country],Tabela1[[#This Row],[Country]],Table78[Women''s 4x100m Medley Relay Classification],"&gt;0")</f>
        <v>0</v>
      </c>
      <c r="KI202" s="6">
        <f>COUNTIFS(Table78[Country],Tabela1[[#This Row],[Country]],Table78[Mixed 4x100m Medley Relay Classification],"&gt;0")</f>
        <v>0</v>
      </c>
      <c r="KJ202" s="6">
        <f>COUNTIFS(Table20[Country],Tabela1[[#This Row],[Country]],Table20[10km Open Water Classification],"&gt;0")</f>
        <v>0</v>
      </c>
      <c r="KK202" s="6">
        <f>COUNTIFS(Table21[Country],Tabela1[[#This Row],[Country]],Table21[10km Open Water Classification],"&gt;0")</f>
        <v>0</v>
      </c>
      <c r="KL202" s="6">
        <f>COUNTIFS(Table22[Country],Tabela1[[#This Row],[Country]],Table22[Classification],"&gt;0")</f>
        <v>0</v>
      </c>
      <c r="KM202" s="6">
        <f>COUNTIFS(Table30[Country],Tabela1[[#This Row],[Country]],Table30[Classification],"&gt;0")</f>
        <v>0</v>
      </c>
      <c r="KN202" s="6">
        <f>COUNTIFS(Table55[Country],Tabela1[[#This Row],[Country]],Table55[Men''s Classification],"&gt;0")</f>
        <v>0</v>
      </c>
      <c r="KO202" s="6">
        <f>COUNTIFS(Table55[Country],Tabela1[[#This Row],[Country]],Table55[Women''s Classification],"&gt;0")</f>
        <v>0</v>
      </c>
      <c r="KP202" s="6">
        <f>COUNTIFS(Table56[Country],Tabela1[[#This Row],[Country]],Table56[Mixed Classification],"&gt;0")</f>
        <v>0</v>
      </c>
      <c r="KQ202" s="6">
        <f>COUNTIFS(Table29[Country],Tabela1[[#This Row],[Country]],Table29[58kg Classification],"&gt;0")</f>
        <v>0</v>
      </c>
      <c r="KR202" s="6">
        <f>COUNTIFS(Table29[Country],Tabela1[[#This Row],[Country]],Table29[68kg Classification],"&gt;0")</f>
        <v>0</v>
      </c>
      <c r="KS202" s="6">
        <f>COUNTIFS(Table29[Country],Tabela1[[#This Row],[Country]],Table29[80kg Classification],"&gt;0")</f>
        <v>0</v>
      </c>
      <c r="KT202" s="6">
        <f>COUNTIFS(Table29[Country],Tabela1[[#This Row],[Country]],Table29[Plus 80kg Classification],"&gt;0")</f>
        <v>0</v>
      </c>
      <c r="KU202" s="6">
        <f>COUNTIFS(Table34[Country],Tabela1[[#This Row],[Country]],Table34[49kg Classification],"&gt;0")</f>
        <v>0</v>
      </c>
      <c r="KV202" s="6">
        <f>COUNTIFS(Table34[Country],Tabela1[[#This Row],[Country]],Table34[57kg Classification],"&gt;0")</f>
        <v>0</v>
      </c>
      <c r="KW202" s="6">
        <f>COUNTIFS(Table34[Country],Tabela1[[#This Row],[Country]],Table34[67kg Classification],"&gt;0")</f>
        <v>0</v>
      </c>
      <c r="KX202" s="6">
        <f>COUNTIFS(Table34[Country],Tabela1[[#This Row],[Country]],Table34[Plus 67kg Classification],"&gt;0")</f>
        <v>0</v>
      </c>
      <c r="KY202" s="6">
        <f>COUNTIFS(Table57[Country],Tabela1[[#This Row],[Country]],Table57[Classification],"&gt;0")</f>
        <v>0</v>
      </c>
      <c r="KZ202" s="6">
        <f>COUNTIFS(Table58[Country],Tabela1[[#This Row],[Country]],Table58[Classification],"&gt;0")</f>
        <v>0</v>
      </c>
      <c r="LA202" s="6">
        <f>COUNTIFS(Table79[Country],Tabela1[[#This Row],[Country]],Table79[Men''s Classification],"&gt;0")</f>
        <v>0</v>
      </c>
      <c r="LB202" s="6">
        <f>COUNTIFS(Table79[Country],Tabela1[[#This Row],[Country]],Table79[Women''s Classification],"&gt;0")</f>
        <v>0</v>
      </c>
      <c r="LC202" s="6">
        <f>COUNTIFS(Table79[Country],Tabela1[[#This Row],[Country]],Table79[Mixed Classification],"&gt;0")</f>
        <v>0</v>
      </c>
      <c r="LD202" s="6">
        <f>COUNTIFS(Table65[Country],Tabela1[[#This Row],[Country]],Table65[Classification],"&gt;0")</f>
        <v>0</v>
      </c>
      <c r="LE202" s="6">
        <f>COUNTIFS(Table59[Country],Tabela1[[#This Row],[Country]],Table59[Classification],"&gt;0")</f>
        <v>0</v>
      </c>
      <c r="LF202" s="6">
        <f>COUNTIFS(Table87[Country],Tabela1[[#This Row],[Country]],Table87[Mixed Relay Classification],"&gt;0")</f>
        <v>0</v>
      </c>
      <c r="LG202" s="6">
        <f>COUNTIFS(Table91949698100[Country],Tabela1[[#This Row],[Country]],Table91949698100[Men''s Classification],"&gt;0")</f>
        <v>0</v>
      </c>
      <c r="LH202" s="6">
        <f>COUNTIFS(Table91949698100[Country],Tabela1[[#This Row],[Country]],Table91949698100[Women''s Classification],"&gt;0")</f>
        <v>0</v>
      </c>
      <c r="LI202" s="6">
        <f>COUNTIFS(Table91949698100102[Country],Tabela1[[#This Row],[Country]],Table91949698100102[Men''s Classification],"&gt;0")</f>
        <v>0</v>
      </c>
      <c r="LJ202" s="6">
        <f>COUNTIFS(Table91949698100102[Country],Tabela1[[#This Row],[Country]],Table91949698100102[Women''s Classification],"&gt;0")</f>
        <v>0</v>
      </c>
      <c r="LK202" s="6">
        <f>COUNTIFS(Table23[Country],Tabela1[[#This Row],[Country]],Table23[61kg Classification],"&gt;0")</f>
        <v>0</v>
      </c>
      <c r="LL202" s="6">
        <f>COUNTIFS(Table23[Country],Tabela1[[#This Row],[Country]],Table23[73kg Classification],"&gt;0")</f>
        <v>0</v>
      </c>
      <c r="LM202" s="6">
        <f>COUNTIFS(Table23[Country],Tabela1[[#This Row],[Country]],Table23[89kg Classification],"&gt;0")</f>
        <v>0</v>
      </c>
      <c r="LN202" s="6">
        <f>COUNTIFS(Table23[Country],Tabela1[[#This Row],[Country]],Table23[102kg Classification],"&gt;0")</f>
        <v>0</v>
      </c>
      <c r="LO202" s="6">
        <f>COUNTIFS(Table23[Country],Tabela1[[#This Row],[Country]],Table23[Plus 102kg Classification],"&gt;0")</f>
        <v>0</v>
      </c>
      <c r="LP202" s="6">
        <f>COUNTIFS(Table28[Country],Tabela1[[#This Row],[Country]],Table28[49kg Classification],"&gt;0")</f>
        <v>0</v>
      </c>
      <c r="LQ202" s="6">
        <f>COUNTIFS(Table28[Country],Tabela1[[#This Row],[Country]],Table28[59kg Classification],"&gt;0")</f>
        <v>0</v>
      </c>
      <c r="LR202" s="6">
        <f>COUNTIFS(Table28[Country],Tabela1[[#This Row],[Country]],Table28[71kg Classification],"&gt;0")</f>
        <v>0</v>
      </c>
      <c r="LS202" s="6">
        <f>COUNTIFS(Table28[Country],Tabela1[[#This Row],[Country]],Table28[81kg Classification],"&gt;0")</f>
        <v>0</v>
      </c>
      <c r="LT202" s="6">
        <f>COUNTIFS(Table28[Country],Tabela1[[#This Row],[Country]],Table28[Plus 81kg Classification],"&gt;0")</f>
        <v>0</v>
      </c>
      <c r="LU202" s="6">
        <f>COUNTIFS(Table24[Country],Tabela1[[#This Row],[Country]],Table24[Freestyle 57kg Classification],"&gt;0")</f>
        <v>0</v>
      </c>
      <c r="LV202" s="6">
        <f>COUNTIFS(Table24[Country],Tabela1[[#This Row],[Country]],Table24[Freestyle 65kg Classification],"&gt;0")</f>
        <v>0</v>
      </c>
      <c r="LW202" s="6">
        <f>COUNTIFS(Table24[Country],Tabela1[[#This Row],[Country]],Table24[Freestyle 74kg Classification],"&gt;0")</f>
        <v>0</v>
      </c>
      <c r="LX202" s="6">
        <f>COUNTIFS(Table24[Country],Tabela1[[#This Row],[Country]],Table24[Freestyle 86kg Classification],"&gt;0")</f>
        <v>0</v>
      </c>
      <c r="LY202" s="6">
        <f>COUNTIFS(Table24[Country],Tabela1[[#This Row],[Country]],Table24[Freestyle 97kg Classification],"&gt;0")</f>
        <v>0</v>
      </c>
      <c r="LZ202" s="6">
        <f>COUNTIFS(Table24[Country],Tabela1[[#This Row],[Country]],Table24[Freestyle 125kg Classification],"&gt;0")</f>
        <v>0</v>
      </c>
      <c r="MA202" s="6">
        <f>COUNTIFS(Table24[Country],Tabela1[[#This Row],[Country]],Table24[Greco-Roman 60kg Classification],"&gt;0")</f>
        <v>0</v>
      </c>
      <c r="MB202" s="6">
        <f>COUNTIFS(Table24[Country],Tabela1[[#This Row],[Country]],Table24[Greco-Roman 67kg Classification],"&gt;0")</f>
        <v>0</v>
      </c>
      <c r="MC202" s="6">
        <f>COUNTIFS(Table24[Country],Tabela1[[#This Row],[Country]],Table24[Greco-Roman 77kg Classification],"&gt;0")</f>
        <v>0</v>
      </c>
      <c r="MD202" s="6">
        <f>COUNTIFS(Table24[Country],Tabela1[[#This Row],[Country]],Table24[Greco-Roman 87kg Classification],"&gt;0")</f>
        <v>0</v>
      </c>
      <c r="ME202" s="6">
        <f>COUNTIFS(Table24[Country],Tabela1[[#This Row],[Country]],Table24[Greco-Roman 97kg Classification],"&gt;0")</f>
        <v>0</v>
      </c>
      <c r="MF202" s="6">
        <f>COUNTIFS(Table24[Country],Tabela1[[#This Row],[Country]],Table24[Greco-Roman 130kg Classification],"&gt;0")</f>
        <v>0</v>
      </c>
      <c r="MG202" s="6">
        <f>COUNTIFS(Table31[Country],Tabela1[[#This Row],[Country]],Table31[50kg Classification],"&gt;0")</f>
        <v>0</v>
      </c>
      <c r="MH202" s="6">
        <f>COUNTIFS(Table31[Country],Tabela1[[#This Row],[Country]],Table31[53kg Classification],"&gt;0")</f>
        <v>0</v>
      </c>
      <c r="MI202" s="6">
        <f>COUNTIFS(Table31[Country],Tabela1[[#This Row],[Country]],Table31[57kg Classification],"&gt;0")</f>
        <v>0</v>
      </c>
      <c r="MJ202" s="6">
        <f>COUNTIFS(Table31[Country],Tabela1[[#This Row],[Country]],Table31[62kg Classification],"&gt;0")</f>
        <v>0</v>
      </c>
      <c r="MK202" s="6">
        <f>COUNTIFS(Table31[Country],Tabela1[[#This Row],[Country]],Table31[68kg Classification],"&gt;0")</f>
        <v>0</v>
      </c>
      <c r="ML202" s="6">
        <f>COUNTIFS(Table31[Country],Tabela1[[#This Row],[Country]],Table31[76kg Classification],"&gt;0")</f>
        <v>0</v>
      </c>
      <c r="MM202" s="6">
        <f>COUNTIFS(Table102[Country],Tabela1[[#This Row],[Country]],Table102[Downhill Classification],"&gt;0")</f>
        <v>0</v>
      </c>
      <c r="MN202" s="6">
        <f>COUNTIFS(Table102105[Country],Tabela1[[#This Row],[Country]],Table102105[Downhill Classification],"&gt;0")</f>
        <v>0</v>
      </c>
      <c r="MO202" s="6">
        <f>COUNTIFS(Table102[Country],Tabela1[[#This Row],[Country]],Table102[Giant Slalom Classification],"&gt;0")</f>
        <v>0</v>
      </c>
      <c r="MP202" s="6">
        <f>COUNTIFS(Table102105[Country],Tabela1[[#This Row],[Country]],Table102105[Giant Slalom Classification],"&gt;0")</f>
        <v>0</v>
      </c>
      <c r="MQ202" s="6">
        <f>COUNTIFS(Table102[Country],Tabela1[[#This Row],[Country]],Table102[Slalom Classification],"&gt;0")</f>
        <v>0</v>
      </c>
      <c r="MR202" s="6">
        <f>COUNTIFS(Table102105[Country],Tabela1[[#This Row],[Country]],Table102105[Slalom Classification],"&gt;0")</f>
        <v>0</v>
      </c>
      <c r="MS202" s="6">
        <f>COUNTIFS(Table102[Country],Tabela1[[#This Row],[Country]],Table102[Super-G Classification],"&gt;0")</f>
        <v>0</v>
      </c>
      <c r="MT202" s="6">
        <f>COUNTIFS(Table102105[Country],Tabela1[[#This Row],[Country]],Table102105[Super-G Classification],"&gt;0")</f>
        <v>0</v>
      </c>
      <c r="MU202" s="6">
        <f>COUNTIFS(Table105[Country],Tabela1[[#This Row],[Country]],Table105[Men''s Combined Classification],"&gt;0")</f>
        <v>0</v>
      </c>
      <c r="MV202" s="6">
        <f>COUNTIFS(Table105[Country],Tabela1[[#This Row],[Country]],Table105[Women''s Combined Classification],"&gt;0")</f>
        <v>0</v>
      </c>
      <c r="MW202" s="6">
        <f>COUNTIFS(Table106[Country],Tabela1[[#This Row],[Country]],Table106[Individual Classification],"&gt;0")</f>
        <v>0</v>
      </c>
      <c r="MX202" s="6">
        <f>COUNTIFS(Table106109[Country],Tabela1[[#This Row],[Country]],Table106109[Individual Classification],"&gt;0")</f>
        <v>0</v>
      </c>
      <c r="MY202" s="6">
        <f>COUNTIFS(Table106[Country],Tabela1[[#This Row],[Country]],Table106[Mass Start Classification],"&gt;0")</f>
        <v>0</v>
      </c>
      <c r="MZ202" s="6">
        <f>COUNTIFS(Table106109[Country],Tabela1[[#This Row],[Country]],Table106109[Mass Start Classification],"&gt;0")</f>
        <v>0</v>
      </c>
      <c r="NA202" s="6">
        <f>COUNTIFS(Table106[Country],Tabela1[[#This Row],[Country]],Table106[Pursuit Classification],"&gt;0")</f>
        <v>0</v>
      </c>
      <c r="NB202" s="6">
        <f>COUNTIFS(Table106109[Country],Tabela1[[#This Row],[Country]],Table106109[Pursuit Classification],"&gt;0")</f>
        <v>0</v>
      </c>
      <c r="NC202" s="6">
        <f>COUNTIFS(Table106[Country],Tabela1[[#This Row],[Country]],Table106[Sprint Classification],"&gt;0")</f>
        <v>0</v>
      </c>
      <c r="ND202" s="6">
        <f>COUNTIFS(Table106109[Country],Tabela1[[#This Row],[Country]],Table106109[Sprint Classification],"&gt;0")</f>
        <v>0</v>
      </c>
      <c r="NE202" s="6">
        <f>COUNTIFS(Table109[Country],Tabela1[[#This Row],[Country]],Table109[Men''s Relay Classification],"&gt;0")</f>
        <v>0</v>
      </c>
      <c r="NF202" s="6">
        <f>COUNTIFS(Table109[Country],Tabela1[[#This Row],[Country]],Table109[Women''s Relay Classification],"&gt;0")</f>
        <v>0</v>
      </c>
      <c r="NG202" s="6">
        <f>COUNTIFS(Table109[Country],Tabela1[[#This Row],[Country]],Table109[Mixed Relay Classification],"&gt;0")</f>
        <v>0</v>
      </c>
      <c r="NH202" s="6">
        <f>COUNTIFS(Table110[Country],Tabela1[[#This Row],[Country]],Table110[Monobob Classification],"&gt;0")</f>
        <v>0</v>
      </c>
      <c r="NI202" s="6">
        <f>COUNTIFS(Table111[Country],Tabela1[[#This Row],[Country]],Table111[Men''s Classification],"&gt;0")</f>
        <v>0</v>
      </c>
      <c r="NJ202" s="6">
        <f>COUNTIFS(Table111[Country],Tabela1[[#This Row],[Country]],Table111[Women''s Classification],"&gt;0")</f>
        <v>0</v>
      </c>
      <c r="NK202" s="6">
        <f>COUNTIFS(Table112[Country],Tabela1[[#This Row],[Country]],Table112[Men''s Four Classification],"&gt;0")</f>
        <v>0</v>
      </c>
      <c r="NL202" s="6">
        <f>COUNTIFS(Table113[Country],Tabela1[[#This Row],[Country]],Table113[Classical Classification],"&gt;0")</f>
        <v>0</v>
      </c>
      <c r="NM202" s="6">
        <f>COUNTIFS(Table113116[Country],Tabela1[[#This Row],[Country]],Table113116[Classical Classification],"&gt;0")</f>
        <v>0</v>
      </c>
      <c r="NN202" s="6">
        <f>COUNTIFS(Table113[Country],Tabela1[[#This Row],[Country]],Table113[Freestyle Classification],"&gt;0")</f>
        <v>0</v>
      </c>
      <c r="NO202" s="6">
        <f>COUNTIFS(Table113116[Country],Tabela1[[#This Row],[Country]],Table113116[Freestyle Classification],"&gt;0")</f>
        <v>0</v>
      </c>
      <c r="NP202" s="6">
        <f>COUNTIFS(Table117[Country],Tabela1[[#This Row],[Country]],Table117[Men''s Relay Classification],"&gt;0")</f>
        <v>0</v>
      </c>
      <c r="NQ202" s="6">
        <f>COUNTIFS(Table117[Country],Tabela1[[#This Row],[Country]],Table117[Women''s Relay Classification],"&gt;0")</f>
        <v>0</v>
      </c>
      <c r="NR202" s="6">
        <f>COUNTIFS(Table113[Country],Tabela1[[#This Row],[Country]],Table113[Skiathlon Classification],"&gt;0")</f>
        <v>0</v>
      </c>
      <c r="NS202" s="6">
        <f>COUNTIFS(Table113116[Country],Tabela1[[#This Row],[Country]],Table113116[Skiathlon Classification],"&gt;0")</f>
        <v>0</v>
      </c>
      <c r="NT202" s="6">
        <f>COUNTIFS(Table113[Country],Tabela1[[#This Row],[Country]],Table113[Sprint Classification],"&gt;0")</f>
        <v>0</v>
      </c>
      <c r="NU202" s="6">
        <f>COUNTIFS(Table113116[Country],Tabela1[[#This Row],[Country]],Table113116[Sprint Classification],"&gt;0")</f>
        <v>0</v>
      </c>
      <c r="NV202" s="6">
        <f>COUNTIFS(Table116[Country],Tabela1[[#This Row],[Country]],Table116[Men''s Team Sprint Classification],"&gt;0")</f>
        <v>0</v>
      </c>
      <c r="NW202" s="6">
        <f>COUNTIFS(Table116[Country],Tabela1[[#This Row],[Country]],Table116[Women''s Team Sprint Classification],"&gt;0")</f>
        <v>0</v>
      </c>
      <c r="NX202" s="6">
        <f>COUNTIFS(Table119[Country],Tabela1[[#This Row],[Country]],Table119[Men''s Classification],"&gt;0")</f>
        <v>0</v>
      </c>
      <c r="NY202" s="6">
        <f>COUNTIFS(Table119[Country],Tabela1[[#This Row],[Country]],Table119[Women''s Classification],"&gt;0")</f>
        <v>0</v>
      </c>
      <c r="NZ202" s="6">
        <f>COUNTIFS(Table118[Country],Tabela1[[#This Row],[Country]],Table118[Mixed Classification],"&gt;0")</f>
        <v>0</v>
      </c>
      <c r="OA202" s="6">
        <f>COUNTIFS(Table120[Country],Tabela1[[#This Row],[Country]],Table120[Classification],"&gt;0")</f>
        <v>0</v>
      </c>
      <c r="OB202" s="6">
        <f>COUNTIFS(Table120123[Country],Tabela1[[#This Row],[Country]],Table120123[Classification],"&gt;0")</f>
        <v>0</v>
      </c>
      <c r="OC202" s="6">
        <f>COUNTIFS(Table123[Country],Tabela1[[#This Row],[Country]],Table123[Ice Dance Classification],"&gt;0")</f>
        <v>0</v>
      </c>
      <c r="OD202" s="6">
        <f>COUNTIFS(Table123[Country],Tabela1[[#This Row],[Country]],Table123[Pair Skating Classification],"&gt;0")</f>
        <v>0</v>
      </c>
      <c r="OE202" s="6">
        <f>COUNTIFS(Table124[Country],Tabela1[[#This Row],[Country]],Table124[Mixed Classification],"&gt;0")</f>
        <v>0</v>
      </c>
      <c r="OF202" s="6">
        <f>COUNTIFS(Table125[Country],Tabela1[[#This Row],[Country]],Table125[Aerials Classification],"&gt;0")</f>
        <v>0</v>
      </c>
      <c r="OG202" s="6">
        <f>COUNTIFS(Table125128[Country],Tabela1[[#This Row],[Country]],Table125128[Aerials Classification],"&gt;0")</f>
        <v>0</v>
      </c>
      <c r="OH202" s="6">
        <f>COUNTIFS(Table128[Country],Tabela1[[#This Row],[Country]],Table128[Mixed Aerials Classification],"&gt;0")</f>
        <v>0</v>
      </c>
      <c r="OI202" s="6">
        <f>COUNTIFS(Table125[Country],Tabela1[[#This Row],[Country]],Table125[Big Air Classification],"&gt;0")</f>
        <v>0</v>
      </c>
      <c r="OJ202" s="6">
        <f>COUNTIFS(Table125128[Country],Tabela1[[#This Row],[Country]],Table125128[Big Air Classification],"&gt;0")</f>
        <v>0</v>
      </c>
      <c r="OK202" s="6">
        <f>COUNTIFS(Table125[Country],Tabela1[[#This Row],[Country]],Table125[Dual Moguls Classification],"&gt;0")</f>
        <v>0</v>
      </c>
      <c r="OL202" s="6">
        <f>COUNTIFS(Table125128[Country],Tabela1[[#This Row],[Country]],Table125128[Dual Moguls Classification],"&gt;0")</f>
        <v>0</v>
      </c>
      <c r="OM202" s="6">
        <f>COUNTIFS(Table125[Country],Tabela1[[#This Row],[Country]],Table125[Halfpipe Classification],"&gt;0")</f>
        <v>0</v>
      </c>
      <c r="ON202" s="6">
        <f>COUNTIFS(Table125128[Country],Tabela1[[#This Row],[Country]],Table125128[Halfpipe Classification],"&gt;0")</f>
        <v>0</v>
      </c>
      <c r="OO202" s="6">
        <f>COUNTIFS(Table125[Country],Tabela1[[#This Row],[Country]],Table125[Moguls Classification],"&gt;0")</f>
        <v>0</v>
      </c>
      <c r="OP202" s="6">
        <f>COUNTIFS(Table125128[Country],Tabela1[[#This Row],[Country]],Table125128[Moguls Classification],"&gt;0")</f>
        <v>0</v>
      </c>
      <c r="OQ202" s="6">
        <f>COUNTIFS(Table125[Country],Tabela1[[#This Row],[Country]],Table125[Ski Cross Classification],"&gt;0")</f>
        <v>0</v>
      </c>
      <c r="OR202" s="6">
        <f>COUNTIFS(Table125128[Country],Tabela1[[#This Row],[Country]],Table125128[Ski Cross Classification],"&gt;0")</f>
        <v>0</v>
      </c>
      <c r="OS202" s="6">
        <f>COUNTIFS(Table125[Country],Tabela1[[#This Row],[Country]],Table125[Slopestyle Classification],"&gt;0")</f>
        <v>0</v>
      </c>
      <c r="OT202" s="6">
        <f>COUNTIFS(Table125128[Country],Tabela1[[#This Row],[Country]],Table125128[Slopestyle Classification],"&gt;0")</f>
        <v>0</v>
      </c>
      <c r="OU202" s="6">
        <f>COUNTIFS(Table119131[Country],Tabela1[[#This Row],[Country]],Table119131[Men''s Classification],"&gt;0")</f>
        <v>0</v>
      </c>
      <c r="OV202" s="6">
        <f>COUNTIFS(Table119131[Country],Tabela1[[#This Row],[Country]],Table119131[Women''s Classification],"&gt;0")</f>
        <v>0</v>
      </c>
      <c r="OW202" s="6">
        <f>COUNTIFS(Table131[Country],Tabela1[[#This Row],[Country]],Table131[Classification],"&gt;0")</f>
        <v>0</v>
      </c>
      <c r="OX202" s="6">
        <f>COUNTIFS(Table131134[Country],Tabela1[[#This Row],[Country]],Table131134[Classification],"&gt;0")</f>
        <v>0</v>
      </c>
      <c r="OY202" s="6">
        <f>COUNTIFS(Table134[Country],Tabela1[[#This Row],[Country]],Table134[Men''s Classification],"&gt;0")</f>
        <v>0</v>
      </c>
      <c r="OZ202" s="6">
        <f>COUNTIFS(Table134[Country],Tabela1[[#This Row],[Country]],Table134[Women''s Classification],"&gt;0")</f>
        <v>0</v>
      </c>
      <c r="PA202" s="6">
        <f>COUNTIFS(Table135[Country],Tabela1[[#This Row],[Country]],Table135[Mixed Relay Classification],"&gt;0")</f>
        <v>0</v>
      </c>
      <c r="PB202" s="6">
        <f>COUNTIFS(Table136[Country],Tabela1[[#This Row],[Country]],Table136[Individual Classification],"&gt;0")</f>
        <v>0</v>
      </c>
      <c r="PC202" s="6">
        <f>COUNTIFS(Table136[Country],Tabela1[[#This Row],[Country]],Table136[Sprint Classification],"&gt;0")</f>
        <v>0</v>
      </c>
      <c r="PD202" s="6">
        <f>COUNTIFS(Table137[Country],Tabela1[[#This Row],[Country]],Table137[Men''s Team Sprint Large Hill Classification],"&gt;0")</f>
        <v>0</v>
      </c>
      <c r="PE202" s="6">
        <f>COUNTIFS(Table138[Country],Tabela1[[#This Row],[Country]],Table138[500m Classification],"&gt;0")</f>
        <v>0</v>
      </c>
      <c r="PF202" s="6">
        <f>COUNTIFS(Table138141[Country],Tabela1[[#This Row],[Country]],Table138141[500m Classification],"&gt;0")</f>
        <v>0</v>
      </c>
      <c r="PG202" s="6">
        <f>COUNTIFS(Table138[Country],Tabela1[[#This Row],[Country]],Table138[1000m Classification],"&gt;0")</f>
        <v>0</v>
      </c>
      <c r="PH202" s="6">
        <f>COUNTIFS(Table138141[Country],Tabela1[[#This Row],[Country]],Table138141[1000m Classification],"&gt;0")</f>
        <v>0</v>
      </c>
      <c r="PI202" s="6">
        <f>COUNTIFS(Table138[Country],Tabela1[[#This Row],[Country]],Table138[1500m Classification],"&gt;0")</f>
        <v>0</v>
      </c>
      <c r="PJ202" s="6">
        <f>COUNTIFS(Table138141[Country],Tabela1[[#This Row],[Country]],Table138141[1500m Classification],"&gt;0")</f>
        <v>0</v>
      </c>
      <c r="PK202" s="6">
        <f>COUNTIFS(Table141[Country],Tabela1[[#This Row],[Country]],Table141[Men''s 5000m Relay Classification],"&gt;0")</f>
        <v>0</v>
      </c>
      <c r="PL202" s="6">
        <f>COUNTIFS(Table141[Country],Tabela1[[#This Row],[Country]],Table141[Women''s 3000m Relay Classification],"&gt;0")</f>
        <v>0</v>
      </c>
      <c r="PM202" s="6">
        <f>COUNTIFS(Table141[Country],Tabela1[[#This Row],[Country]],Table141[Mixed 2000m Relay Classification],"&gt;0")</f>
        <v>0</v>
      </c>
      <c r="PN202" s="6">
        <f>COUNTIFS(Table142[Country],Tabela1[[#This Row],[Country]],Table142[Classification],"&gt;0")</f>
        <v>0</v>
      </c>
      <c r="PO202" s="6">
        <f>COUNTIFS(Table142145[Country],Tabela1[[#This Row],[Country]],Table142145[Classification],"&gt;0")</f>
        <v>0</v>
      </c>
      <c r="PP202" s="6">
        <f>COUNTIFS(Tabela15[Country],Tabela1[[#This Row],[Country]],Tabela15[Mixed Team Classification],"&gt;0")</f>
        <v>0</v>
      </c>
      <c r="PQ202" s="6">
        <f>COUNTIFS(Table145[Country],Tabela1[[#This Row],[Country]],Table145[Large Hill Classification],"&gt;0")</f>
        <v>0</v>
      </c>
      <c r="PR202" s="6">
        <f>COUNTIFS(Table145[Country],Tabela1[[#This Row],[Country]],Table145[Normal Hill Classification],"&gt;0")</f>
        <v>0</v>
      </c>
      <c r="PS202" s="6">
        <f>COUNTIFS(Table145148[Country],Tabela1[[#This Row],[Country]],Table145148[Large Hill Classification],"&gt;0")</f>
        <v>0</v>
      </c>
      <c r="PT202" s="6">
        <f>COUNTIFS(Table145148[Country],Tabela1[[#This Row],[Country]],Table145148[Normal Hill Classification],"&gt;0")</f>
        <v>0</v>
      </c>
      <c r="PU202" s="6">
        <f>COUNTIFS(Table148[Country],Tabela1[[#This Row],[Country]],Table148[Men''s Super Team Classification],"&gt;0")</f>
        <v>0</v>
      </c>
      <c r="PV202" s="6">
        <f>COUNTIFS(Tabela114[Country],Tabela1[[#This Row],[Country]],Tabela114[Mixed Normal Hill Classification],"&gt;0")</f>
        <v>0</v>
      </c>
      <c r="PW202" s="6">
        <f>COUNTIFS(Tabela50[Country],Tabela1[[#This Row],[Country]],Tabela50[Sprint Classification],"&gt;0")</f>
        <v>0</v>
      </c>
      <c r="PX202" s="6">
        <f>COUNTIFS(Tabela50101[Country],Tabela1[[#This Row],[Country]],Tabela50101[Sprint Classification],"&gt;0")</f>
        <v>0</v>
      </c>
      <c r="PY202" s="6">
        <f>COUNTIFS(Tabela103[Country],Tabela1[[#This Row],[Country]],Tabela103[Mixed Relay Classification],"&gt;0")</f>
        <v>0</v>
      </c>
      <c r="PZ202" s="6">
        <f>COUNTIFS(Table149[Country],Tabela1[[#This Row],[Country]],Table149[Big Air Classification],"&gt;0")</f>
        <v>0</v>
      </c>
      <c r="QA202" s="6">
        <f>COUNTIFS(Table149152[Country],Tabela1[[#This Row],[Country]],Table149152[Big Air Classification],"&gt;0")</f>
        <v>0</v>
      </c>
      <c r="QB202" s="6">
        <f>COUNTIFS(Table149[Country],Tabela1[[#This Row],[Country]],Table149[Halfpipe Classification],"&gt;0")</f>
        <v>0</v>
      </c>
      <c r="QC202" s="6">
        <f>COUNTIFS(Table149152[Country],Tabela1[[#This Row],[Country]],Table149152[Halfpipe Classification],"&gt;0")</f>
        <v>0</v>
      </c>
      <c r="QD202" s="6">
        <f>COUNTIFS(Table149[Country],Tabela1[[#This Row],[Country]],Table149[Parallel Giant Slalom Classification],"&gt;0")</f>
        <v>0</v>
      </c>
      <c r="QE202" s="6">
        <f>COUNTIFS(Table149152[Country],Tabela1[[#This Row],[Country]],Table149152[Parallel Giant Slalom Classification],"&gt;0")</f>
        <v>0</v>
      </c>
      <c r="QF202" s="6">
        <f>COUNTIFS(Table149[Country],Tabela1[[#This Row],[Country]],Table149[Slopestyle Classification],"&gt;0")</f>
        <v>0</v>
      </c>
      <c r="QG202" s="6">
        <f>COUNTIFS(Table149152[Country],Tabela1[[#This Row],[Country]],Table149152[Slopestyle Classification],"&gt;0")</f>
        <v>0</v>
      </c>
      <c r="QH202" s="6">
        <f>COUNTIFS(Table149[Country],Tabela1[[#This Row],[Country]],Table149[Snowboard Cross Classification],"&gt;0")</f>
        <v>0</v>
      </c>
      <c r="QI202" s="6">
        <f>COUNTIFS(Table149152[Country],Tabela1[[#This Row],[Country]],Table149152[Snowboard Cross Classification],"&gt;0")</f>
        <v>0</v>
      </c>
      <c r="QJ202" s="6">
        <f>COUNTIFS(Table153[Country],Tabela1[[#This Row],[Country]],Table153[Mixed Team Snowboard Cross Classification],"&gt;0")</f>
        <v>0</v>
      </c>
      <c r="QK202" s="6">
        <f>COUNTIFS(Table154[Country],Tabela1[[#This Row],[Country]],Table154[500m Classification],"&gt;0")</f>
        <v>0</v>
      </c>
      <c r="QL202" s="6">
        <f>COUNTIFS(Table154157[Country],Tabela1[[#This Row],[Country]],Table154157[500m Classification],"&gt;0")</f>
        <v>0</v>
      </c>
      <c r="QM202" s="6">
        <f>COUNTIFS(Table154[Country],Tabela1[[#This Row],[Country]],Table154[1000m Classification],"&gt;0")</f>
        <v>0</v>
      </c>
      <c r="QN202" s="6">
        <f>COUNTIFS(Table154157[Country],Tabela1[[#This Row],[Country]],Table154157[1000m Classification],"&gt;0")</f>
        <v>0</v>
      </c>
      <c r="QO202" s="6">
        <f>COUNTIFS(Table154[Country],Tabela1[[#This Row],[Country]],Table154[1500m Classification],"&gt;0")</f>
        <v>0</v>
      </c>
      <c r="QP202" s="6">
        <f>COUNTIFS(Table154157[Country],Tabela1[[#This Row],[Country]],Table154157[1500m Classification],"&gt;0")</f>
        <v>0</v>
      </c>
      <c r="QQ202" s="6">
        <f>COUNTIFS(Table154157[Country],Tabela1[[#This Row],[Country]],Table154157[3000m Classification],"&gt;0")</f>
        <v>0</v>
      </c>
      <c r="QR202" s="6">
        <f>COUNTIFS(Table154[Country],Tabela1[[#This Row],[Country]],Table154[5000m Classification],"&gt;0")</f>
        <v>0</v>
      </c>
      <c r="QS202" s="6">
        <f>COUNTIFS(Table154157[Country],Tabela1[[#This Row],[Country]],Table154157[5000m Classification],"&gt;0")</f>
        <v>0</v>
      </c>
      <c r="QT202" s="6">
        <f>COUNTIFS(Table154[Country],Tabela1[[#This Row],[Country]],Table154[10000m Classification],"&gt;0")</f>
        <v>0</v>
      </c>
      <c r="QU202" s="6">
        <f>COUNTIFS(Table154[Country],Tabela1[[#This Row],[Country]],Table154[Mass Start Classification],"&gt;0")</f>
        <v>0</v>
      </c>
      <c r="QV202" s="6">
        <f>COUNTIFS(Table154157[Country],Tabela1[[#This Row],[Country]],Table154157[Mass Start Classification],"&gt;0")</f>
        <v>0</v>
      </c>
      <c r="QW202" s="6">
        <f>COUNTIFS(Table157[Country],Tabela1[[#This Row],[Country]],Table157[Men''s Pursuit Classification],"&gt;0")</f>
        <v>0</v>
      </c>
      <c r="QX202" s="6">
        <f>COUNTIFS(Table157[Country],Tabela1[[#This Row],[Country]],Table157[Women''s Pursuit Classification],"&gt;0")</f>
        <v>0</v>
      </c>
      <c r="QY202" s="4" t="s">
        <v>699</v>
      </c>
    </row>
    <row r="203" spans="1:467" x14ac:dyDescent="0.3">
      <c r="A203" s="6">
        <v>202</v>
      </c>
      <c r="B203" s="6" t="s">
        <v>704</v>
      </c>
      <c r="C203" t="e" vm="202">
        <f>IF(ISBLANK(Tabela1[[#This Row],[Image Link]]), "", _xlfn.IMAGE(Tabela1[[#This Row],[Image Link]],1,1))</f>
        <v>#VALUE!</v>
      </c>
      <c r="D203" s="6">
        <f>SUM(Tabela1[[#This Row],[Archery - Men''s Individual Recurve]:[Speed Skating - Women''s Team Pursuit]])</f>
        <v>0</v>
      </c>
      <c r="E203" s="6">
        <f>COUNTIF(Tabela1[[#This Row],[Archery - Men''s Individual Recurve]:[Speed Skating - Women''s Team Pursuit]],"&gt;0")</f>
        <v>0</v>
      </c>
      <c r="F203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203" s="6">
        <f>SUM(Tabela1[[#This Row],[Archery - Men''s Individual Recurve]:[Wrestling - Women''s Freestyle 76kg]])</f>
        <v>0</v>
      </c>
      <c r="H203" s="6">
        <f>SUM(Tabela1[[#This Row],[Alpine Skiing - Men''s Downhill]:[Speed Skating - Women''s Team Pursuit]])</f>
        <v>0</v>
      </c>
      <c r="I203" s="6">
        <f>Tabela1[[#This Row],[Summer Gold Medals]]+Tabela1[[#This Row],[Winter Gold Medals]]</f>
        <v>0</v>
      </c>
      <c r="J203" s="6">
        <f>Tabela1[[#This Row],[Summer Silver Medals]]+Tabela1[[#This Row],[Winter Silver Medals]]</f>
        <v>0</v>
      </c>
      <c r="K203" s="6">
        <f>Tabela1[[#This Row],[Summer Bronze Medals]]+Tabela1[[#This Row],[Winter Bronze Medals]]</f>
        <v>0</v>
      </c>
      <c r="L203" s="6">
        <f>SUM(Tabela1[[#This Row],[Total Gold Medals]:[Total Bronze Medals]])</f>
        <v>0</v>
      </c>
      <c r="M203" s="6"/>
      <c r="N203" s="6"/>
      <c r="O203" s="6"/>
      <c r="P203" s="6">
        <f>SUM(Tabela1[[#This Row],[Summer Gold Medals]:[Summer Bronze Medals]])</f>
        <v>0</v>
      </c>
      <c r="Q203" s="6"/>
      <c r="R203" s="6"/>
      <c r="S203" s="6"/>
      <c r="T203" s="6">
        <f>Tabela1[[#This Row],[Winter Gold Medals]]+Tabela1[[#This Row],[Winter Silver Medals]]+Tabela1[[#This Row],[Winter Bronze Medals]]</f>
        <v>0</v>
      </c>
      <c r="U203" s="7" t="e">
        <f>Tabela1[[#This Row],[Total Medals]]/Tabela1[[#This Row],[Total Quotas]]</f>
        <v>#DIV/0!</v>
      </c>
      <c r="V203" s="6">
        <f>COUNTIFS(Table3[Country],Tabela1[[#This Row],[Country]],Table3[Recurve Classification],"&gt;0")</f>
        <v>0</v>
      </c>
      <c r="W203" s="6">
        <f>COUNTIFS(Table33[Country],Tabela1[[#This Row],[Country]],Table33[Recurve Classification],"&gt;0")</f>
        <v>0</v>
      </c>
      <c r="X203" s="6">
        <f>COUNTIFS(Table35[Country],Tabela1[[#This Row],[Country]],Table35[Men''s Team Recurve Classification],"&gt;0")</f>
        <v>0</v>
      </c>
      <c r="Y203" s="6">
        <f>COUNTIFS(Table35[Country],Tabela1[[#This Row],[Country]],Table35[Women''s Team Recurve Classification],"&gt;0")</f>
        <v>0</v>
      </c>
      <c r="Z203" s="6">
        <f>COUNTIFS(Tabela88[Country],Tabela1[[#This Row],[Country]],Tabela88[Mixed Team Recurve Classification],"&gt;0")</f>
        <v>0</v>
      </c>
      <c r="AA203" s="6">
        <f>COUNTIFS(Table36[Country],Tabela1[[#This Row],[Country]],Table36[Classification],"&gt;0")</f>
        <v>0</v>
      </c>
      <c r="AB203" s="6">
        <f>COUNTIFS(Table37[Country],Tabela1[[#This Row],[Country]],Table37[Classification],"&gt;0")</f>
        <v>0</v>
      </c>
      <c r="AC203" s="6">
        <f>COUNTIFS(Table4[Country],Tabela1[[#This Row],[Country]],Table4[100m Classification],"&gt;0")</f>
        <v>0</v>
      </c>
      <c r="AD203" s="6">
        <f>COUNTIFS(Table5[Country],Tabela1[[#This Row],[Country]],Table5[100m Classification],"&gt;0")</f>
        <v>0</v>
      </c>
      <c r="AE203" s="6">
        <f>COUNTIFS(Table4[Country],Tabela1[[#This Row],[Country]],Table4[200m Classification],"&gt;0")</f>
        <v>0</v>
      </c>
      <c r="AF203" s="6">
        <f>COUNTIFS(Table5[Country],Tabela1[[#This Row],[Country]],Table5[200m Classification],"&gt;0")</f>
        <v>0</v>
      </c>
      <c r="AG203" s="6">
        <f>COUNTIFS(Table4[Country],Tabela1[[#This Row],[Country]],Table4[400m Classification],"&gt;0")</f>
        <v>0</v>
      </c>
      <c r="AH203" s="6">
        <f>COUNTIFS(Table5[Country],Tabela1[[#This Row],[Country]],Table5[400m Classification],"&gt;0")</f>
        <v>0</v>
      </c>
      <c r="AI203" s="6">
        <f>COUNTIFS(Table4[Country],Tabela1[[#This Row],[Country]],Table4[800m Classification],"&gt;0")</f>
        <v>0</v>
      </c>
      <c r="AJ203" s="6">
        <f>COUNTIFS(Table5[Country],Tabela1[[#This Row],[Country]],Table5[800m Classification],"&gt;0")</f>
        <v>0</v>
      </c>
      <c r="AK203" s="6">
        <f>COUNTIFS(Table4[Country],Tabela1[[#This Row],[Country]],Table4[1500m Classification],"&gt;0")</f>
        <v>0</v>
      </c>
      <c r="AL203" s="6">
        <f>COUNTIFS(Table5[Country],Tabela1[[#This Row],[Country]],Table5[1500m Classification],"&gt;0")</f>
        <v>0</v>
      </c>
      <c r="AM203" s="6">
        <f>COUNTIFS(Table4[Country],Tabela1[[#This Row],[Country]],Table4[5000m Classification],"&gt;0")</f>
        <v>0</v>
      </c>
      <c r="AN203" s="6">
        <f>COUNTIFS(Table5[Country],Tabela1[[#This Row],[Country]],Table5[5000m Classification],"&gt;0")</f>
        <v>0</v>
      </c>
      <c r="AO203" s="6">
        <f>COUNTIFS(Table4[Country],Tabela1[[#This Row],[Country]],Table4[10000m Classification],"&gt;0")</f>
        <v>0</v>
      </c>
      <c r="AP203" s="6">
        <f>COUNTIFS(Table5[Country],Tabela1[[#This Row],[Country]],Table5[10000m Classification],"&gt;0")</f>
        <v>0</v>
      </c>
      <c r="AQ203" s="6">
        <f>COUNTIFS(Table4[Country],Tabela1[[#This Row],[Country]],Table4[110m Hurdles Classification],"&gt;0")</f>
        <v>0</v>
      </c>
      <c r="AR203" s="6">
        <f>COUNTIFS(Table5[Country],Tabela1[[#This Row],[Country]],Table5[100m Hurdles Classification],"&gt;0")</f>
        <v>0</v>
      </c>
      <c r="AS203" s="6">
        <f>COUNTIFS(Table4[Country],Tabela1[[#This Row],[Country]],Table4[400m Hurdles Classification],"&gt;0")</f>
        <v>0</v>
      </c>
      <c r="AT203" s="6">
        <f>COUNTIFS(Table5[Country],Tabela1[[#This Row],[Country]],Table5[400m Hurdles Classification],"&gt;0")</f>
        <v>0</v>
      </c>
      <c r="AU203" s="6">
        <f>COUNTIFS(Table4[Country],Tabela1[[#This Row],[Country]],Table4[3000m Steeplechase Classification],"&gt;0")</f>
        <v>0</v>
      </c>
      <c r="AV203" s="6">
        <f>COUNTIFS(Table5[Country],Tabela1[[#This Row],[Country]],Table5[3000m Steeplechase Classification],"&gt;0")</f>
        <v>0</v>
      </c>
      <c r="AW203" s="6">
        <f>COUNTIFS(Table27[Country],Tabela1[[#This Row],[Country]],Table27[Men''s 4x100m Relay Classification],"&gt;0")</f>
        <v>0</v>
      </c>
      <c r="AX203" s="6">
        <f>COUNTIFS(Table27[Country],Tabela1[[#This Row],[Country]],Table27[Women''s 4x100m Relay Classification],"&gt;0")</f>
        <v>0</v>
      </c>
      <c r="AY203" s="6">
        <f>COUNTIFS(Table27[Country],Tabela1[[#This Row],[Country]],Table27[Men''s 4x400m Relay Classification],"&gt;0")</f>
        <v>0</v>
      </c>
      <c r="AZ203" s="6">
        <f>COUNTIFS(Table27[Country],Tabela1[[#This Row],[Country]],Table27[Women''s 4x400m Relay Classification],"&gt;0")</f>
        <v>0</v>
      </c>
      <c r="BA203" s="6">
        <f>COUNTIFS(Table27[Country],Tabela1[[#This Row],[Country]],Table27[Mixed 4x400m Relay Classification],"&gt;0")</f>
        <v>0</v>
      </c>
      <c r="BB203" s="6">
        <f>COUNTIFS(Table4[Country],Tabela1[[#This Row],[Country]],Table4[Marathon Classification],"&gt;0")</f>
        <v>0</v>
      </c>
      <c r="BC203" s="6">
        <f>COUNTIFS(Table5[Country],Tabela1[[#This Row],[Country]],Table5[Marathon Classification],"&gt;0")</f>
        <v>0</v>
      </c>
      <c r="BD203" s="6">
        <f>COUNTIFS(Table4[Country],Tabela1[[#This Row],[Country]],Table4[20km Race Walk Classification],"&gt;0")</f>
        <v>0</v>
      </c>
      <c r="BE203" s="6">
        <f>COUNTIFS(Table5[Country],Tabela1[[#This Row],[Country]],Table5[20km Race Walk Classification],"&gt;0")</f>
        <v>0</v>
      </c>
      <c r="BF203" s="6">
        <f>COUNTIFS(Tabela96[Country],Tabela1[[#This Row],[Country]],Tabela96[Mixed Marathon Race Walk Relay Classification],"&gt;0")</f>
        <v>0</v>
      </c>
      <c r="BG203" s="6">
        <f>COUNTIFS(Table4[Country],Tabela1[[#This Row],[Country]],Table4[Discus Throw Classification],"&gt;0")</f>
        <v>0</v>
      </c>
      <c r="BH203" s="6">
        <f>COUNTIFS(Table5[Country],Tabela1[[#This Row],[Country]],Table5[Discus Throw Classification],"&gt;0")</f>
        <v>0</v>
      </c>
      <c r="BI203" s="6">
        <f>COUNTIFS(Table4[Country],Tabela1[[#This Row],[Country]],Table4[Hammer Throw Classification],"&gt;0")</f>
        <v>0</v>
      </c>
      <c r="BJ203" s="6">
        <f>COUNTIFS(Table5[Country],Tabela1[[#This Row],[Country]],Table5[Hammer Throw Classification],"&gt;0")</f>
        <v>0</v>
      </c>
      <c r="BK203" s="6">
        <f>COUNTIFS(Table4[Country],Tabela1[[#This Row],[Country]],Table4[High Jump Classification],"&gt;0")</f>
        <v>0</v>
      </c>
      <c r="BL203" s="6">
        <f>COUNTIFS(Table5[Country],Tabela1[[#This Row],[Country]],Table5[High Jump Classification],"&gt;0")</f>
        <v>0</v>
      </c>
      <c r="BM203" s="6">
        <f>COUNTIFS(Table4[Country],Tabela1[[#This Row],[Country]],Table4[Javelin Throw Classification],"&gt;0")</f>
        <v>0</v>
      </c>
      <c r="BN203" s="6">
        <f>COUNTIFS(Table5[Country],Tabela1[[#This Row],[Country]],Table5[Javelin Throw Classification],"&gt;0")</f>
        <v>0</v>
      </c>
      <c r="BO203" s="6">
        <f>COUNTIFS(Table4[Country],Tabela1[[#This Row],[Country]],Table4[Long Jump Classification],"&gt;0")</f>
        <v>0</v>
      </c>
      <c r="BP203" s="6">
        <f>COUNTIFS(Table5[Country],Tabela1[[#This Row],[Country]],Table5[Long Jump Classification],"&gt;0")</f>
        <v>0</v>
      </c>
      <c r="BQ203" s="6">
        <f>COUNTIFS(Table4[Country],Tabela1[[#This Row],[Country]],Table4[Pole Vault Classification],"&gt;0")</f>
        <v>0</v>
      </c>
      <c r="BR203" s="6">
        <f>COUNTIFS(Table5[Country],Tabela1[[#This Row],[Country]],Table5[Pole Vault Classification],"&gt;0")</f>
        <v>0</v>
      </c>
      <c r="BS203" s="6">
        <f>COUNTIFS(Table4[Country],Tabela1[[#This Row],[Country]],Table4[Shot Put Classification],"&gt;0")</f>
        <v>0</v>
      </c>
      <c r="BT203" s="6">
        <f>COUNTIFS(Table5[Country],Tabela1[[#This Row],[Country]],Table5[Shot Put Classification],"&gt;0")</f>
        <v>0</v>
      </c>
      <c r="BU203" s="6">
        <f>COUNTIFS(Table4[Country],Tabela1[[#This Row],[Country]],Table4[Triple Jump Classification],"&gt;0")</f>
        <v>0</v>
      </c>
      <c r="BV203" s="6">
        <f>COUNTIFS(Table5[Country],Tabela1[[#This Row],[Country]],Table5[Triple Jump Classification],"&gt;0")</f>
        <v>0</v>
      </c>
      <c r="BW203" s="6">
        <f>COUNTIFS(Table4[Country],Tabela1[[#This Row],[Country]],Table4[Decathlon Classification],"&gt;0")</f>
        <v>0</v>
      </c>
      <c r="BX203" s="6">
        <f>COUNTIFS(Table5[Country],Tabela1[[#This Row],[Country]],Table5[Heptathlon Classification],"&gt;0")</f>
        <v>0</v>
      </c>
      <c r="BY203" s="6">
        <f>COUNTIFS(Table61[Country],Tabela1[[#This Row],[Country]],Table61[Classification],"&gt;0")</f>
        <v>0</v>
      </c>
      <c r="BZ203" s="6">
        <f>COUNTIFS(Table38[Country],Tabela1[[#This Row],[Country]],Table38[Classification],"&gt;0")</f>
        <v>0</v>
      </c>
      <c r="CA203" s="6">
        <f>COUNTIFS(Table39[Country],Tabela1[[#This Row],[Country]],Table39[Men''s Classification],"&gt;0")</f>
        <v>0</v>
      </c>
      <c r="CB203" s="6">
        <f>COUNTIFS(Table39[Country],Tabela1[[#This Row],[Country]],Table39[Women''s Classification],"&gt;0")</f>
        <v>0</v>
      </c>
      <c r="CC203" s="6">
        <f>COUNTIFS(Table39[Country],Tabela1[[#This Row],[Country]],Table39[Mixed Classification],"&gt;0")</f>
        <v>0</v>
      </c>
      <c r="CD203" s="6">
        <f>COUNTIFS(Table89[Country],Tabela1[[#This Row],[Country]],Table89[Men''s Classification],"&gt;0")</f>
        <v>0</v>
      </c>
      <c r="CE203" s="6">
        <f>COUNTIFS(Table89[Country],Tabela1[[#This Row],[Country]],Table89[Women''s Classification],"&gt;0")</f>
        <v>0</v>
      </c>
      <c r="CF203" s="6">
        <f>COUNTIFS(Table90[Country],Tabela1[[#This Row],[Country]],Table90[Men''s Classification],"&gt;0")</f>
        <v>0</v>
      </c>
      <c r="CG203" s="6">
        <f>COUNTIFS(Table90[Country],Tabela1[[#This Row],[Country]],Table90[Women''s Classification],"&gt;0")</f>
        <v>0</v>
      </c>
      <c r="CH203" s="6">
        <f>COUNTIFS(Table60[Country],Tabela1[[#This Row],[Country]],Table60[Men''s Classification],"&gt;0")</f>
        <v>0</v>
      </c>
      <c r="CI203" s="6">
        <f>COUNTIFS(Table60[Country],Tabela1[[#This Row],[Country]],Table60[Women''s Classification],"&gt;0")</f>
        <v>0</v>
      </c>
      <c r="CJ203" s="6">
        <f>COUNTIFS(Table6[Country],Tabela1[[#This Row],[Country]],Table6[51kg Classification],"&gt;0")</f>
        <v>0</v>
      </c>
      <c r="CK203" s="6">
        <f>COUNTIFS(Table6[Country],Tabela1[[#This Row],[Country]],Table6[57kg Classification],"&gt;0")</f>
        <v>0</v>
      </c>
      <c r="CL203" s="6">
        <f>COUNTIFS(Table6[Country],Tabela1[[#This Row],[Country]],Table6[63.5kg Classification],"&gt;0")</f>
        <v>0</v>
      </c>
      <c r="CM203" s="6">
        <f>COUNTIFS(Table6[Country],Tabela1[[#This Row],[Country]],Table6[71kg Classification],"&gt;0")</f>
        <v>0</v>
      </c>
      <c r="CN203" s="6">
        <f>COUNTIFS(Table6[Country],Tabela1[[#This Row],[Country]],Table6[80kg Classification],"&gt;0")</f>
        <v>0</v>
      </c>
      <c r="CO203" s="6">
        <f>COUNTIFS(Table6[Country],Tabela1[[#This Row],[Country]],Table6[92kg Classification],"&gt;0")</f>
        <v>0</v>
      </c>
      <c r="CP203" s="6">
        <f>COUNTIFS(Table6[Country],Tabela1[[#This Row],[Country]],Table6[Plus 92kg Classification],"&gt;0")</f>
        <v>0</v>
      </c>
      <c r="CQ203" s="6">
        <f>COUNTIFS(Table7[Country],Tabela1[[#This Row],[Country]],Table7[50kg Classification],"&gt;0")</f>
        <v>0</v>
      </c>
      <c r="CR203" s="6">
        <f>COUNTIFS(Table7[Country],Tabela1[[#This Row],[Country]],Table7[54kg Classification],"&gt;0")</f>
        <v>0</v>
      </c>
      <c r="CS203" s="6">
        <f>COUNTIFS(Table7[Country],Tabela1[[#This Row],[Country]],Table7[57kg Classification],"&gt;0")</f>
        <v>0</v>
      </c>
      <c r="CT203" s="6">
        <f>COUNTIFS(Table7[Country],Tabela1[[#This Row],[Country]],Table7[60kg Classification],"&gt;0")</f>
        <v>0</v>
      </c>
      <c r="CU203" s="6">
        <f>COUNTIFS(Table7[Country],Tabela1[[#This Row],[Country]],Table7[66kg Classification],"&gt;0")</f>
        <v>0</v>
      </c>
      <c r="CV203" s="6">
        <f>COUNTIFS(Table7[Country],Tabela1[[#This Row],[Country]],Table7[75kg Classification],"&gt;0")</f>
        <v>0</v>
      </c>
      <c r="CW203" s="6">
        <f>COUNTIFS(Tabela94[Country],Tabela1[[#This Row],[Country]],Tabela94[Classification],"&gt;0")</f>
        <v>0</v>
      </c>
      <c r="CX203" s="6">
        <f>COUNTIFS(Tabela9499[Country],Tabela1[[#This Row],[Country]],Tabela9499[Classification],"&gt;0")</f>
        <v>0</v>
      </c>
      <c r="CY203" s="6">
        <f>COUNTIFS(Tabela107[Country],Tabela1[[#This Row],[Country]],Tabela107[C1 Slalom Classification],"&gt;0")</f>
        <v>0</v>
      </c>
      <c r="CZ203" s="6">
        <f>COUNTIFS(Tabela107122[Country],Tabela1[[#This Row],[Country]],Tabela107122[C1 Slalom Classification],"&gt;0")</f>
        <v>0</v>
      </c>
      <c r="DA203" s="6">
        <f>COUNTIFS(Tabela107[Country],Tabela1[[#This Row],[Country]],Tabela107[K1 Slalom Classification],"&gt;0")</f>
        <v>0</v>
      </c>
      <c r="DB203" s="6">
        <f>COUNTIFS(Tabela107122[Country],Tabela1[[#This Row],[Country]],Tabela107122[K1 Slalom Classification],"&gt;0")</f>
        <v>0</v>
      </c>
      <c r="DC203" s="6">
        <f>COUNTIFS(Tabela107[Country],Tabela1[[#This Row],[Country]],Tabela107[Kayak Cross Slalom Classification],"&gt;0")</f>
        <v>0</v>
      </c>
      <c r="DD203" s="6">
        <f>COUNTIFS(Tabela107122[Country],Tabela1[[#This Row],[Country]],Tabela107122[Kayak Cross Slalom Classification],"&gt;0")</f>
        <v>0</v>
      </c>
      <c r="DE203" s="6">
        <f>COUNTIFS(Table8[Country],Tabela1[[#This Row],[Country]],Table8[C1 200m Classification],"&gt;0")</f>
        <v>0</v>
      </c>
      <c r="DF203" s="6">
        <f>COUNTIFS(Table40[Country],Tabela1[[#This Row],[Country]],Table40[C1 1000m Classification],"&gt;0")</f>
        <v>0</v>
      </c>
      <c r="DG203" s="6">
        <f>COUNTIFS(Table68[Country],Tabela1[[#This Row],[Country]],Table68[Men''s C2 500m Classification],"&gt;0")</f>
        <v>0</v>
      </c>
      <c r="DH203" s="6">
        <f>COUNTIFS(Table68[Country],Tabela1[[#This Row],[Country]],Table68[Women''s C2 500m Classification],"&gt;0")</f>
        <v>0</v>
      </c>
      <c r="DI203" s="6">
        <f>COUNTIFS(Table8[Country],Tabela1[[#This Row],[Country]],Table8[K1 500m Classification],"&gt;0")</f>
        <v>0</v>
      </c>
      <c r="DJ203" s="6">
        <f>COUNTIFS(Table40[Country],Tabela1[[#This Row],[Country]],Table40[K1 1000m Classification],"&gt;0")</f>
        <v>0</v>
      </c>
      <c r="DK203" s="6">
        <f>COUNTIFS(Table68[Country],Tabela1[[#This Row],[Country]],Table68[Men''s K2 500m Classification],"&gt;0")</f>
        <v>0</v>
      </c>
      <c r="DL203" s="6">
        <f>COUNTIFS(Table68[Country],Tabela1[[#This Row],[Country]],Table68[Women''s K2 500m Classification],"&gt;0")</f>
        <v>0</v>
      </c>
      <c r="DM203" s="6">
        <f>COUNTIFS(Table83[Country],Tabela1[[#This Row],[Country]],Table83[Men''s K4 500m Classification],"&gt;0")</f>
        <v>0</v>
      </c>
      <c r="DN203" s="6">
        <f>COUNTIFS(Table83[Country],Tabela1[[#This Row],[Country]],Table83[Women''s K4 500m Classification],"&gt;0")</f>
        <v>0</v>
      </c>
      <c r="DO203" s="6">
        <f>COUNTIFS(Tabela126[Country],Tabela1[[#This Row],[Country]],Tabela126[Classification],"&gt;0")</f>
        <v>0</v>
      </c>
      <c r="DP203" s="6">
        <f>COUNTIFS(Tabela126130[Country],Tabela1[[#This Row],[Country]],Tabela126130[Classification],"&gt;0")</f>
        <v>0</v>
      </c>
      <c r="DQ203" s="6">
        <f>COUNTIFS(Table70[Country],Tabela1[[#This Row],[Country]],Table70[Classification],"&gt;0")</f>
        <v>0</v>
      </c>
      <c r="DR203" s="6">
        <f>COUNTIFS(Table80[Country],Tabela1[[#This Row],[Country]],Table80[Classification],"&gt;0")</f>
        <v>0</v>
      </c>
      <c r="DS203" s="6">
        <f>COUNTIFS(Table66[Country],Tabela1[[#This Row],[Country]],Table66[Classification],"&gt;0")</f>
        <v>0</v>
      </c>
      <c r="DT203" s="6">
        <f>COUNTIFS(Table67[Country],Tabela1[[#This Row],[Country]],Table67[Classification],"&gt;0")</f>
        <v>0</v>
      </c>
      <c r="DU203" s="6">
        <f>COUNTIFS(Table69[Country],Tabela1[[#This Row],[Country]],Table69[Keirin Classification],"&gt;0")</f>
        <v>0</v>
      </c>
      <c r="DV203" s="6">
        <f>COUNTIFS(Table41[Country],Tabela1[[#This Row],[Country]],Table41[Keirin Classification],"&gt;0")</f>
        <v>0</v>
      </c>
      <c r="DW203" s="6">
        <f>COUNTIFS(Table84[Country],Tabela1[[#This Row],[Country]],Table84[Men''s Madison Classification],"&gt;0")</f>
        <v>0</v>
      </c>
      <c r="DX203" s="6">
        <f>COUNTIFS(Table84[Country],Tabela1[[#This Row],[Country]],Table84[Women''s Madison Classification],"&gt;0")</f>
        <v>0</v>
      </c>
      <c r="DY203" s="6">
        <f>COUNTIFS(Table69[Country],Tabela1[[#This Row],[Country]],Table69[Omnium Classification],"&gt;0")</f>
        <v>0</v>
      </c>
      <c r="DZ203" s="6">
        <f>COUNTIFS(Table41[Country],Tabela1[[#This Row],[Country]],Table41[Omnium Classification],"&gt;0")</f>
        <v>0</v>
      </c>
      <c r="EA203" s="6">
        <f>COUNTIFS(Table9[Country],Tabela1[[#This Row],[Country]],Table9[Road Race Classification],"&gt;0")</f>
        <v>0</v>
      </c>
      <c r="EB203" s="6">
        <f>COUNTIFS(Table14[Country],Tabela1[[#This Row],[Country]],Table14[Road Race Classification],"&gt;0")</f>
        <v>0</v>
      </c>
      <c r="EC203" s="6">
        <f>COUNTIFS(Table69[Country],Tabela1[[#This Row],[Country]],Table69[Sprint Classification],"&gt;0")</f>
        <v>0</v>
      </c>
      <c r="ED203" s="6">
        <f>COUNTIFS(Table41[Country],Tabela1[[#This Row],[Country]],Table41[Sprint Classification],"&gt;0")</f>
        <v>0</v>
      </c>
      <c r="EE203" s="6">
        <f>COUNTIFS(Table85[Country],Tabela1[[#This Row],[Country]],Table85[Men''s Sprint Classification],"&gt;0")</f>
        <v>0</v>
      </c>
      <c r="EF203" s="6">
        <f>COUNTIFS(Table85[Country],Tabela1[[#This Row],[Country]],Table85[Women''s Sprint Classification],"&gt;0")</f>
        <v>0</v>
      </c>
      <c r="EG203" s="6">
        <f>COUNTIFS(Table85[Country],Tabela1[[#This Row],[Country]],Table85[Men''s Pursuit Classification],"&gt;0")</f>
        <v>0</v>
      </c>
      <c r="EH203" s="6">
        <f>COUNTIFS(Table85[Country],Tabela1[[#This Row],[Country]],Table85[Women''s Pursuit Classification],"&gt;0")</f>
        <v>0</v>
      </c>
      <c r="EI203" s="6">
        <f>COUNTIFS(Table9[Country],Tabela1[[#This Row],[Country]],Table9[Time-Trial Classification],"&gt;0")</f>
        <v>0</v>
      </c>
      <c r="EJ203" s="6">
        <f>COUNTIFS(Table14[Country],Tabela1[[#This Row],[Country]],Table14[Time-Trial Classification],"&gt;0")</f>
        <v>0</v>
      </c>
      <c r="EK203" s="6">
        <f>COUNTIFS(Table42[Country],Tabela1[[#This Row],[Country]],Table42[Springboard Classification],"&gt;0")</f>
        <v>0</v>
      </c>
      <c r="EL203" s="6">
        <f>COUNTIFS(Table43[Country],Tabela1[[#This Row],[Country]],Table43[Springboard Classification],"&gt;0")</f>
        <v>0</v>
      </c>
      <c r="EM203" s="6">
        <f>COUNTIFS(Table42[Country],Tabela1[[#This Row],[Country]],Table42[Platform Classification],"&gt;0")</f>
        <v>0</v>
      </c>
      <c r="EN203" s="6">
        <f>COUNTIFS(Table43[Country],Tabela1[[#This Row],[Country]],Table43[Platform Classification],"&gt;0")</f>
        <v>0</v>
      </c>
      <c r="EO203" s="6">
        <f>COUNTIFS(Table86[Country],Tabela1[[#This Row],[Country]],Table86[Men''s Synchronized Springboard Classification],"&gt;0")</f>
        <v>0</v>
      </c>
      <c r="EP203" s="6">
        <f>COUNTIFS(Table86[Country],Tabela1[[#This Row],[Country]],Table86[Women''s Synchronized Springboard Classification],"&gt;0")</f>
        <v>0</v>
      </c>
      <c r="EQ203" s="6">
        <f>COUNTIFS(Table86[Country],Tabela1[[#This Row],[Country]],Table86[Men''s Synchronized Platform Classification],"&gt;0")</f>
        <v>0</v>
      </c>
      <c r="ER203" s="6">
        <f>COUNTIFS(Table86[Country],Tabela1[[#This Row],[Country]],Table86[Women''s Synchronized Platform Classification],"&gt;0")</f>
        <v>0</v>
      </c>
      <c r="ES203" s="6">
        <f>COUNTIFS(Table44[Country],Tabela1[[#This Row],[Country]],Table44[Dressage Classification],"&gt;0")</f>
        <v>0</v>
      </c>
      <c r="ET203" s="6">
        <f>COUNTIFS(Table45[Country],Tabela1[[#This Row],[Country]],Table45[Dressage Classification],"&gt;0")</f>
        <v>0</v>
      </c>
      <c r="EU203" s="6">
        <f>COUNTIFS(Table44[Country],Tabela1[[#This Row],[Country]],Table44[Eventing Classification],"&gt;0")</f>
        <v>0</v>
      </c>
      <c r="EV203" s="6">
        <f>COUNTIFS(Table45[Country],Tabela1[[#This Row],[Country]],Table45[Eventing Classification],"&gt;0")</f>
        <v>0</v>
      </c>
      <c r="EW203" s="6">
        <f>COUNTIFS(Table44[Country],Tabela1[[#This Row],[Country]],Table44[Jumping Classification],"&gt;0")</f>
        <v>0</v>
      </c>
      <c r="EX203" s="6">
        <f>COUNTIFS(Table45[Country],Tabela1[[#This Row],[Country]],Table45[Jumping Classification],"&gt;0")</f>
        <v>0</v>
      </c>
      <c r="EY203" s="6">
        <f>COUNTIFS(Table10[Country],Tabela1[[#This Row],[Country]],Table10[Épée Classification],"&gt;0")</f>
        <v>0</v>
      </c>
      <c r="EZ203" s="6">
        <f>COUNTIFS(Table11[Country],Tabela1[[#This Row],[Country]],Table11[Épée Classification],"&gt;0")</f>
        <v>0</v>
      </c>
      <c r="FA203" s="6">
        <f>COUNTIFS(Table46[Country],Tabela1[[#This Row],[Country]],Table46[Men''s Épée Classification],"&gt;0")</f>
        <v>0</v>
      </c>
      <c r="FB203" s="6">
        <f>COUNTIFS(Table46[Country],Tabela1[[#This Row],[Country]],Table46[Women''s Épée Classification],"&gt;0")</f>
        <v>0</v>
      </c>
      <c r="FC203" s="6">
        <f>COUNTIFS(Table10[Country],Tabela1[[#This Row],[Country]],Table10[Foil Classification],"&gt;0")</f>
        <v>0</v>
      </c>
      <c r="FD203" s="6">
        <f>COUNTIFS(Table11[Country],Tabela1[[#This Row],[Country]],Table11[Foil Classification],"&gt;0")</f>
        <v>0</v>
      </c>
      <c r="FE203" s="6">
        <f>COUNTIFS(Table46[Country],Tabela1[[#This Row],[Country]],Table46[Men''s Foil Classification],"&gt;0")</f>
        <v>0</v>
      </c>
      <c r="FF203" s="6">
        <f>COUNTIFS(Table46[Country],Tabela1[[#This Row],[Country]],Table46[Women''s Foil Classification],"&gt;0")</f>
        <v>0</v>
      </c>
      <c r="FG203" s="6">
        <f>COUNTIFS(Table10[Country],Tabela1[[#This Row],[Country]],Table10[Sabre Classification],"&gt;0")</f>
        <v>0</v>
      </c>
      <c r="FH203" s="6">
        <f>COUNTIFS(Table11[Country],Tabela1[[#This Row],[Country]],Table11[Sabre Classification],"&gt;0")</f>
        <v>0</v>
      </c>
      <c r="FI203" s="6">
        <f>COUNTIFS(Table46[Country],Tabela1[[#This Row],[Country]],Table46[Men''s Sabre Classification],"&gt;0")</f>
        <v>0</v>
      </c>
      <c r="FJ203" s="6">
        <f>COUNTIFS(Table46[Country],Tabela1[[#This Row],[Country]],Table46[Women''s Sabre Classification],"&gt;0")</f>
        <v>0</v>
      </c>
      <c r="FK203" s="6">
        <f>COUNTIFS(Table91[Country],Tabela1[[#This Row],[Country]],Table91[Men''s Classification],"&gt;0")</f>
        <v>0</v>
      </c>
      <c r="FL203" s="6">
        <f>COUNTIFS(Table91[Country],Tabela1[[#This Row],[Country]],Table91[Women''s Classification],"&gt;0")</f>
        <v>0</v>
      </c>
      <c r="FM203" s="6">
        <f>COUNTIFS(Table9194[Country],Tabela1[[#This Row],[Country]],Table9194[Men''s Classification],"&gt;0")</f>
        <v>0</v>
      </c>
      <c r="FN203" s="6">
        <f>COUNTIFS(Table9194[Country],Tabela1[[#This Row],[Country]],Table9194[Women''s Classification],"&gt;0")</f>
        <v>0</v>
      </c>
      <c r="FO203" s="6">
        <f>COUNTIFS(Table71[Country],Tabela1[[#This Row],[Country]],Table71[Classification],"&gt;0")</f>
        <v>0</v>
      </c>
      <c r="FP203" s="6">
        <f>COUNTIFS(Table62[Country],Tabela1[[#This Row],[Country]],Table62[Classification],"&gt;0")</f>
        <v>0</v>
      </c>
      <c r="FQ203" s="6">
        <f>COUNTIFS(Table47[Country],Tabela1[[#This Row],[Country]],Table47[All-Around Classification],"&gt;0")</f>
        <v>0</v>
      </c>
      <c r="FR203" s="6">
        <f>COUNTIFS(Table48[Country],Tabela1[[#This Row],[Country]],Table48[All-Around Classification],"&gt;0")</f>
        <v>0</v>
      </c>
      <c r="FS203" s="6">
        <f>COUNTIFS(Table81[Country],Tabela1[[#This Row],[Country]],Table81[Men''s All-Around Classification],"&gt;0")</f>
        <v>0</v>
      </c>
      <c r="FT203" s="6">
        <f>COUNTIFS(Table81[Country],Tabela1[[#This Row],[Country]],Table81[Women''s All-Around Classification],"&gt;0")</f>
        <v>0</v>
      </c>
      <c r="FU203" s="6">
        <f>COUNTIFS(Table48[Country],Tabela1[[#This Row],[Country]],Table48[Balance Beam Classification],"&gt;0")</f>
        <v>0</v>
      </c>
      <c r="FV203" s="6">
        <f>COUNTIFS(Table47[Country],Tabela1[[#This Row],[Country]],Table47[Floor Exercise Classification],"&gt;0")</f>
        <v>0</v>
      </c>
      <c r="FW203" s="6">
        <f>COUNTIFS(Table48[Country],Tabela1[[#This Row],[Country]],Table48[Floor Exercise Classification],"&gt;0")</f>
        <v>0</v>
      </c>
      <c r="FX203" s="6">
        <f>COUNTIFS(Table47[Country],Tabela1[[#This Row],[Country]],Table47[Horizontal Bar Classification],"&gt;0")</f>
        <v>0</v>
      </c>
      <c r="FY203" s="6">
        <f>COUNTIFS(Table47[Country],Tabela1[[#This Row],[Country]],Table47[Parallel Bars Classification],"&gt;0")</f>
        <v>0</v>
      </c>
      <c r="FZ203" s="6">
        <f>COUNTIFS(Table47[Country],Tabela1[[#This Row],[Country]],Table47[Pommel Horse Classification],"&gt;0")</f>
        <v>0</v>
      </c>
      <c r="GA203" s="6">
        <f>COUNTIFS(Table47[Country],Tabela1[[#This Row],[Country]],Table47[Rings Classification],"&gt;0")</f>
        <v>0</v>
      </c>
      <c r="GB203" s="6">
        <f>COUNTIFS(Tabela132[Country],Tabela1[[#This Row],[Country]],Tabela132[Classification],"&gt;0")</f>
        <v>0</v>
      </c>
      <c r="GC203" s="6">
        <f>COUNTIFS(Tabela139[Country],Tabela1[[#This Row],[Country]],Tabela139[Classification],"&gt;0")</f>
        <v>0</v>
      </c>
      <c r="GD203" s="6">
        <f>COUNTIFS(Table48[Country],Tabela1[[#This Row],[Country]],Table48[Uneven Bars Classification],"&gt;0")</f>
        <v>0</v>
      </c>
      <c r="GE203" s="6">
        <f>COUNTIFS(Table47[Country],Tabela1[[#This Row],[Country]],Table47[Vault Classification],"&gt;0")</f>
        <v>0</v>
      </c>
      <c r="GF203" s="6">
        <f>COUNTIFS(Table48[Country],Tabela1[[#This Row],[Country]],Table48[Vault Classification],"&gt;0")</f>
        <v>0</v>
      </c>
      <c r="GG203" s="6">
        <f>COUNTIFS(Table919496[Country],Tabela1[[#This Row],[Country]],Table919496[Men''s Classification],"&gt;0")</f>
        <v>0</v>
      </c>
      <c r="GH203" s="6">
        <f>COUNTIFS(Table919496[Country],Tabela1[[#This Row],[Country]],Table919496[Women''s Classification],"&gt;0")</f>
        <v>0</v>
      </c>
      <c r="GI203" s="6">
        <f>COUNTIFS(Table12[Country],Tabela1[[#This Row],[Country]],Table12[60kg Classification],"&gt;0")</f>
        <v>0</v>
      </c>
      <c r="GJ203" s="6">
        <f>COUNTIFS(Table12[Country],Tabela1[[#This Row],[Country]],Table12[66kg Classification],"&gt;0")</f>
        <v>0</v>
      </c>
      <c r="GK203" s="6">
        <f>COUNTIFS(Table12[Country],Tabela1[[#This Row],[Country]],Table12[73kg Classification],"&gt;0")</f>
        <v>0</v>
      </c>
      <c r="GL203" s="6">
        <f>COUNTIFS(Table12[Country],Tabela1[[#This Row],[Country]],Table12[81kg Classification],"&gt;0")</f>
        <v>0</v>
      </c>
      <c r="GM203" s="6">
        <f>COUNTIFS(Table12[Country],Tabela1[[#This Row],[Country]],Table12[90kg Classification],"&gt;0")</f>
        <v>0</v>
      </c>
      <c r="GN203" s="6">
        <f>COUNTIFS(Table12[Country],Tabela1[[#This Row],[Country]],Table12[100kg Classification],"&gt;0")</f>
        <v>0</v>
      </c>
      <c r="GO203" s="6">
        <f>COUNTIFS(Table12[Country],Tabela1[[#This Row],[Country]],Table12[Plus 100kg Classification],"&gt;0")</f>
        <v>0</v>
      </c>
      <c r="GP203" s="6">
        <f>COUNTIFS(Table13[Country],Tabela1[[#This Row],[Country]],Table13[48kg Classification],"&gt;0")</f>
        <v>0</v>
      </c>
      <c r="GQ203" s="6">
        <f>COUNTIFS(Table13[Country],Tabela1[[#This Row],[Country]],Table13[52kg Classification],"&gt;0")</f>
        <v>0</v>
      </c>
      <c r="GR203" s="6">
        <f>COUNTIFS(Table13[Country],Tabela1[[#This Row],[Country]],Table13[57kg Classification],"&gt;0")</f>
        <v>0</v>
      </c>
      <c r="GS203" s="6">
        <f>COUNTIFS(Table13[Country],Tabela1[[#This Row],[Country]],Table13[63kg Classification],"&gt;0")</f>
        <v>0</v>
      </c>
      <c r="GT203" s="6">
        <f>COUNTIFS(Table13[Country],Tabela1[[#This Row],[Country]],Table13[70kg Classification],"&gt;0")</f>
        <v>0</v>
      </c>
      <c r="GU203" s="6">
        <f>COUNTIFS(Table13[Country],Tabela1[[#This Row],[Country]],Table13[78kg Classification],"&gt;0")</f>
        <v>0</v>
      </c>
      <c r="GV203" s="6">
        <f>COUNTIFS(Table13[Country],Tabela1[[#This Row],[Country]],Table13[Plus 78kg Classification],"&gt;0")</f>
        <v>0</v>
      </c>
      <c r="GW203" s="6">
        <f>COUNTIFS(Table82[Country],Tabela1[[#This Row],[Country]],Table82[Mixed Classification],"&gt;0")</f>
        <v>0</v>
      </c>
      <c r="GX203" s="6">
        <f>COUNTIFS(Table51[Country],Tabela1[[#This Row],[Country]],Table51[Classification],"&gt;0")</f>
        <v>0</v>
      </c>
      <c r="GY203" s="6">
        <f>COUNTIFS(Table52[Country],Tabela1[[#This Row],[Country]],Table52[Classification],"&gt;0")</f>
        <v>0</v>
      </c>
      <c r="GZ203" s="6">
        <f>COUNTIFS(Table32[Country],Tabela1[[#This Row],[Country]],Table32[All-Around Classification],"&gt;0")</f>
        <v>0</v>
      </c>
      <c r="HA203" s="6">
        <f>COUNTIFS(Table49[Country],Tabela1[[#This Row],[Country]],Table49[All-Around Classification],"&gt;0")</f>
        <v>0</v>
      </c>
      <c r="HB203" s="6">
        <f>COUNTIFS(Table26[Country],Tabela1[[#This Row],[Country]],Table26[Single Sculls Classification],"&gt;0")</f>
        <v>0</v>
      </c>
      <c r="HC203" s="6">
        <f>COUNTIFS(Table63[Country],Tabela1[[#This Row],[Country]],Table63[Single Sculls Classification],"&gt;0")</f>
        <v>0</v>
      </c>
      <c r="HD203" s="6">
        <f>COUNTIFS(Table16[Country],Tabela1[[#This Row],[Country]],Table16[Men''s Double Sculls Classification],"&gt;0")</f>
        <v>0</v>
      </c>
      <c r="HE203" s="6">
        <f>COUNTIFS(Table16[Country],Tabela1[[#This Row],[Country]],Table16[Women''s Double Sculls Classification],"&gt;0")</f>
        <v>0</v>
      </c>
      <c r="HF203" s="6">
        <f>COUNTIFS(Table72[Country],Tabela1[[#This Row],[Country]],Table72[Men''s Quadruple Sculls Classification],"&gt;0")</f>
        <v>0</v>
      </c>
      <c r="HG203" s="6">
        <f>COUNTIFS(Table72[Country],Tabela1[[#This Row],[Country]],Table72[Women''s Quadruple Sculls Classification],"&gt;0")</f>
        <v>0</v>
      </c>
      <c r="HH203" s="6">
        <f>COUNTIFS(Table16[Country],Tabela1[[#This Row],[Country]],Table16[Men''s Coxless Pairs Classification],"&gt;0")</f>
        <v>0</v>
      </c>
      <c r="HI203" s="6">
        <f>COUNTIFS(Table16[Country],Tabela1[[#This Row],[Country]],Table16[Women''s Coxless Pairs Classification],"&gt;0")</f>
        <v>0</v>
      </c>
      <c r="HJ203" s="6">
        <f>COUNTIFS(Table72[Country],Tabela1[[#This Row],[Country]],Table72[Men''s Coxless Fours Classification],"&gt;0")</f>
        <v>0</v>
      </c>
      <c r="HK203" s="6">
        <f>COUNTIFS(Table72[Country],Tabela1[[#This Row],[Country]],Table72[Women''s Coxless Fours Classification],"&gt;0")</f>
        <v>0</v>
      </c>
      <c r="HL203" s="6">
        <f>COUNTIFS(Table72[Country],Tabela1[[#This Row],[Country]],Table72[Men''s Eights Classification],"&gt;0")</f>
        <v>0</v>
      </c>
      <c r="HM203" s="6">
        <f>COUNTIFS(Table72[Country],Tabela1[[#This Row],[Country]],Table72[Women''s Eights Classification],"&gt;0")</f>
        <v>0</v>
      </c>
      <c r="HN203" s="6">
        <f>COUNTIFS(Table16[Country],Tabela1[[#This Row],[Country]],Table16[Men''s Lwt. Double Sculls Classification],"&gt;0")</f>
        <v>0</v>
      </c>
      <c r="HO203" s="6">
        <f>COUNTIFS(Table16[Country],Tabela1[[#This Row],[Country]],Table16[Women''s Lwt. Double Sculls Classification],"&gt;0")</f>
        <v>0</v>
      </c>
      <c r="HP203" s="6">
        <f>COUNTIFS(Table91949698[Country],Tabela1[[#This Row],[Country]],Table91949698[Men''s Classification],"&gt;0")</f>
        <v>0</v>
      </c>
      <c r="HQ203" s="6">
        <f>COUNTIFS(Table91949698[Country],Tabela1[[#This Row],[Country]],Table91949698[Women''s Classification],"&gt;0")</f>
        <v>0</v>
      </c>
      <c r="HR203" s="6">
        <f>COUNTIFS(Table25[Country],Tabela1[[#This Row],[Country]],Table25[Mixed 470 Classification],"&gt;0")</f>
        <v>0</v>
      </c>
      <c r="HS203" s="6">
        <f>COUNTIFS(Table25[Country],Tabela1[[#This Row],[Country]],Table25[Men''s 49er Classification],"&gt;0")</f>
        <v>0</v>
      </c>
      <c r="HT203" s="6">
        <f>COUNTIFS(Table25[Country],Tabela1[[#This Row],[Country]],Table25[Women''s 49er FX Classification],"&gt;0")</f>
        <v>0</v>
      </c>
      <c r="HU203" s="6">
        <f>COUNTIFS(Table17[Country],Tabela1[[#This Row],[Country]],Table17[Formula Kite Classification],"&gt;0")</f>
        <v>0</v>
      </c>
      <c r="HV203" s="6">
        <f>COUNTIFS(Table18[Country],Tabela1[[#This Row],[Country]],Table18[Formula Kite Classification],"&gt;0")</f>
        <v>0</v>
      </c>
      <c r="HW203" s="6">
        <f>COUNTIFS(Table17[Country],Tabela1[[#This Row],[Country]],Table17[ILCA 7 Classification],"&gt;0")</f>
        <v>0</v>
      </c>
      <c r="HX203" s="6">
        <f>COUNTIFS(Table18[Country],Tabela1[[#This Row],[Country]],Table18[ILCA 6 Classification],"&gt;0")</f>
        <v>0</v>
      </c>
      <c r="HY203" s="6">
        <f>COUNTIFS(Table17[Country],Tabela1[[#This Row],[Country]],Table17[IQFoil Classification],"&gt;0")</f>
        <v>0</v>
      </c>
      <c r="HZ203" s="6">
        <f>COUNTIFS(Table18[Country],Tabela1[[#This Row],[Country]],Table18[IQFoil Classification],"&gt;0")</f>
        <v>0</v>
      </c>
      <c r="IA203" s="6">
        <f>COUNTIFS(Table25[Country],Tabela1[[#This Row],[Country]],Table25[Mixed Nacra 17 Classification],"&gt;0")</f>
        <v>0</v>
      </c>
      <c r="IB203" s="6">
        <f>COUNTIFS(Table53[Country],Tabela1[[#This Row],[Country]],Table53[10m Air Pistol Classification],"&gt;0")</f>
        <v>0</v>
      </c>
      <c r="IC203" s="6">
        <f>COUNTIFS(Table19[Country],Tabela1[[#This Row],[Country]],Table19[10m Air Pistol Classification],"&gt;0")</f>
        <v>0</v>
      </c>
      <c r="ID203" s="6">
        <f>COUNTIFS(Table54[Country],Tabela1[[#This Row],[Country]],Table54[Mixed 10m Air Pistol Team Classification],"&gt;0")</f>
        <v>0</v>
      </c>
      <c r="IE203" s="6">
        <f>COUNTIFS(Table53[Country],Tabela1[[#This Row],[Country]],Table53[10m Air Rifle Classification],"&gt;0")</f>
        <v>0</v>
      </c>
      <c r="IF203" s="6">
        <f>COUNTIFS(Table19[Country],Tabela1[[#This Row],[Country]],Table19[10m Air Rifle Classification],"&gt;0")</f>
        <v>0</v>
      </c>
      <c r="IG203" s="6">
        <f>COUNTIFS(Table54[Country],Tabela1[[#This Row],[Country]],Table54[Mixed 10m Air Rifle Team Classification],"&gt;0")</f>
        <v>0</v>
      </c>
      <c r="IH203" s="6">
        <f>COUNTIFS(Table53[Country],Tabela1[[#This Row],[Country]],Table53[25m Rapid Fire Pistol Classification],"&gt;0")</f>
        <v>0</v>
      </c>
      <c r="II203" s="6">
        <f>COUNTIFS(Table19[Country],Tabela1[[#This Row],[Country]],Table19[25m Pistol Classification],"&gt;0")</f>
        <v>0</v>
      </c>
      <c r="IJ203" s="6">
        <f>COUNTIFS(Table53[Country],Tabela1[[#This Row],[Country]],Table53[50m Rifle 3 Positions Classification],"&gt;0")</f>
        <v>0</v>
      </c>
      <c r="IK203" s="6">
        <f>COUNTIFS(Table19[Country],Tabela1[[#This Row],[Country]],Table19[50m Rifle 3 Positions Classification],"&gt;0")</f>
        <v>0</v>
      </c>
      <c r="IL203" s="6">
        <f>COUNTIFS(Table53[Country],Tabela1[[#This Row],[Country]],Table53[Skeet Classification],"&gt;0")</f>
        <v>0</v>
      </c>
      <c r="IM203" s="6">
        <f>COUNTIFS(Table19[Country],Tabela1[[#This Row],[Country]],Table19[Skeet Classification],"&gt;0")</f>
        <v>0</v>
      </c>
      <c r="IN203" s="6">
        <f>COUNTIFS(Table54[Country],Tabela1[[#This Row],[Country]],Table54[Mixed Skeet Team Classification],"&gt;0")</f>
        <v>0</v>
      </c>
      <c r="IO203" s="6">
        <f>COUNTIFS(Table53[Country],Tabela1[[#This Row],[Country]],Table53[Trap Classification],"&gt;0")</f>
        <v>0</v>
      </c>
      <c r="IP203" s="6">
        <f>COUNTIFS(Table19[Country],Tabela1[[#This Row],[Country]],Table19[Trap Classification],"&gt;0")</f>
        <v>0</v>
      </c>
      <c r="IQ203" s="6">
        <f>COUNTIFS(Table73[Country],Tabela1[[#This Row],[Country]],Table73[Park Classification],"&gt;0")</f>
        <v>0</v>
      </c>
      <c r="IR203" s="6">
        <f>COUNTIFS(Table74[Country],Tabela1[[#This Row],[Country]],Table74[Park Classification],"&gt;0")</f>
        <v>0</v>
      </c>
      <c r="IS203" s="6">
        <f>COUNTIFS(Table73[Country],Tabela1[[#This Row],[Country]],Table73[Street Classification],"&gt;0")</f>
        <v>0</v>
      </c>
      <c r="IT203" s="6">
        <f>COUNTIFS(Table74[Country],Tabela1[[#This Row],[Country]],Table74[Street Classification],"&gt;0")</f>
        <v>0</v>
      </c>
      <c r="IU203" s="6">
        <f>COUNTIFS(Table75[Country],Tabela1[[#This Row],[Country]],Table75[Boulder and Lead Classification],"&gt;0")</f>
        <v>0</v>
      </c>
      <c r="IV203" s="6">
        <f>COUNTIFS(Table76[Country],Tabela1[[#This Row],[Country]],Table76[Boulder and Lead Classification],"&gt;0")</f>
        <v>0</v>
      </c>
      <c r="IW203" s="6">
        <f>COUNTIFS(Table75[Country],Tabela1[[#This Row],[Country]],Table75[Speed Classification],"&gt;0")</f>
        <v>0</v>
      </c>
      <c r="IX203" s="6">
        <f>COUNTIFS(Table76[Country],Tabela1[[#This Row],[Country]],Table76[Speed Classification],"&gt;0")</f>
        <v>0</v>
      </c>
      <c r="IY203" s="6">
        <f>COUNTIFS(Table64[Country],Tabela1[[#This Row],[Country]],Table64[Shortboard Classification],"&gt;0")</f>
        <v>0</v>
      </c>
      <c r="IZ203" s="6">
        <f>COUNTIFS(Table77[Country],Tabela1[[#This Row],[Country]],Table77[Shortboard Classification],"&gt;0")</f>
        <v>0</v>
      </c>
      <c r="JA203" s="6">
        <f>COUNTIFS(Table20[Country],Tabela1[[#This Row],[Country]],Table20[50m Freestyle Classification],"&gt;0")</f>
        <v>0</v>
      </c>
      <c r="JB203" s="6">
        <f>COUNTIFS(Table21[Country],Tabela1[[#This Row],[Country]],Table21[50m Freestyle Classification],"&gt;0")</f>
        <v>0</v>
      </c>
      <c r="JC203" s="6">
        <f>COUNTIFS(Table20[Country],Tabela1[[#This Row],[Country]],Table20[100m Freestyle Classification],"&gt;0")</f>
        <v>0</v>
      </c>
      <c r="JD203" s="6">
        <f>COUNTIFS(Table21[Country],Tabela1[[#This Row],[Country]],Table21[100m Freestyle Classification],"&gt;0")</f>
        <v>0</v>
      </c>
      <c r="JE203" s="6">
        <f>COUNTIFS(Table20[Country],Tabela1[[#This Row],[Country]],Table20[200m Freestyle Classification],"&gt;0")</f>
        <v>0</v>
      </c>
      <c r="JF203" s="6">
        <f>COUNTIFS(Table21[Country],Tabela1[[#This Row],[Country]],Table21[200m Freestyle Classification],"&gt;0")</f>
        <v>0</v>
      </c>
      <c r="JG203" s="6">
        <f>COUNTIFS(Table20[Country],Tabela1[[#This Row],[Country]],Table20[400m Freestyle Classification],"&gt;0")</f>
        <v>0</v>
      </c>
      <c r="JH203" s="6">
        <f>COUNTIFS(Table21[Country],Tabela1[[#This Row],[Country]],Table21[400m Freestyle Classification],"&gt;0")</f>
        <v>0</v>
      </c>
      <c r="JI203" s="6">
        <f>COUNTIFS(Table20[Country],Tabela1[[#This Row],[Country]],Table20[800m Freestyle Classification],"&gt;0")</f>
        <v>0</v>
      </c>
      <c r="JJ203" s="6">
        <f>COUNTIFS(Table21[Country],Tabela1[[#This Row],[Country]],Table21[800m Freestyle Classification],"&gt;0")</f>
        <v>0</v>
      </c>
      <c r="JK203" s="6">
        <f>COUNTIFS(Table20[Country],Tabela1[[#This Row],[Country]],Table20[1500m Freestyle Classification],"&gt;0")</f>
        <v>0</v>
      </c>
      <c r="JL203" s="6">
        <f>COUNTIFS(Table21[Country],Tabela1[[#This Row],[Country]],Table21[1500m Freestyle Classification],"&gt;0")</f>
        <v>0</v>
      </c>
      <c r="JM203" s="6">
        <f>COUNTIFS(Table20[Country],Tabela1[[#This Row],[Country]],Table20[100m Backstroke Classification],"&gt;0")</f>
        <v>0</v>
      </c>
      <c r="JN203" s="6">
        <f>COUNTIFS(Table21[Country],Tabela1[[#This Row],[Country]],Table21[100m Backstroke Classification],"&gt;0")</f>
        <v>0</v>
      </c>
      <c r="JO203" s="6">
        <f>COUNTIFS(Table20[Country],Tabela1[[#This Row],[Country]],Table20[200m Backstroke Classification],"&gt;0")</f>
        <v>0</v>
      </c>
      <c r="JP203" s="6">
        <f>COUNTIFS(Table21[Country],Tabela1[[#This Row],[Country]],Table21[200m Backstroke Classification],"&gt;0")</f>
        <v>0</v>
      </c>
      <c r="JQ203" s="6">
        <f>COUNTIFS(Table20[Country],Tabela1[[#This Row],[Country]],Table20[100m Breaststroke Classification],"&gt;0")</f>
        <v>0</v>
      </c>
      <c r="JR203" s="6">
        <f>COUNTIFS(Table21[Country],Tabela1[[#This Row],[Country]],Table21[100m Breaststroke Classification],"&gt;0")</f>
        <v>0</v>
      </c>
      <c r="JS203" s="6">
        <f>COUNTIFS(Table20[Country],Tabela1[[#This Row],[Country]],Table20[200m Breaststroke Classification],"&gt;0")</f>
        <v>0</v>
      </c>
      <c r="JT203" s="6">
        <f>COUNTIFS(Table21[Country],Tabela1[[#This Row],[Country]],Table21[200m Breaststroke Classification],"&gt;0")</f>
        <v>0</v>
      </c>
      <c r="JU203" s="6">
        <f>COUNTIFS(Table20[Country],Tabela1[[#This Row],[Country]],Table20[100m Butterfly Classification],"&gt;0")</f>
        <v>0</v>
      </c>
      <c r="JV203" s="6">
        <f>COUNTIFS(Table21[Country],Tabela1[[#This Row],[Country]],Table21[100m Butterfly Classification],"&gt;0")</f>
        <v>0</v>
      </c>
      <c r="JW203" s="6">
        <f>COUNTIFS(Table20[Country],Tabela1[[#This Row],[Country]],Table20[200m Butterfly Classification],"&gt;0")</f>
        <v>0</v>
      </c>
      <c r="JX203" s="6">
        <f>COUNTIFS(Table21[Country],Tabela1[[#This Row],[Country]],Table21[200m Butterfly Classification],"&gt;0")</f>
        <v>0</v>
      </c>
      <c r="JY203" s="6">
        <f>COUNTIFS(Table20[Country],Tabela1[[#This Row],[Country]],Table20[200m Medley Classification],"&gt;0")</f>
        <v>0</v>
      </c>
      <c r="JZ203" s="6">
        <f>COUNTIFS(Table21[Country],Tabela1[[#This Row],[Country]],Table21[200m Medley Classification],"&gt;0")</f>
        <v>0</v>
      </c>
      <c r="KA203" s="6">
        <f>COUNTIFS(Table20[Country],Tabela1[[#This Row],[Country]],Table20[400m Medley Classification],"&gt;0")</f>
        <v>0</v>
      </c>
      <c r="KB203" s="6">
        <f>COUNTIFS(Table21[Country],Tabela1[[#This Row],[Country]],Table21[400m Medley Classification],"&gt;0")</f>
        <v>0</v>
      </c>
      <c r="KC203" s="6">
        <f>COUNTIFS(Table78[Country],Tabela1[[#This Row],[Country]],Table78[Men''s 4x100m Freestyle Relay Classification],"&gt;0")</f>
        <v>0</v>
      </c>
      <c r="KD203" s="6">
        <f>COUNTIFS(Table78[Country],Tabela1[[#This Row],[Country]],Table78[Women''s 4x100m Freestyle Relay Classification],"&gt;0")</f>
        <v>0</v>
      </c>
      <c r="KE203" s="6">
        <f>COUNTIFS(Table78[Country],Tabela1[[#This Row],[Country]],Table78[Men''s 4x200m Freestyle Relay Classification],"&gt;0")</f>
        <v>0</v>
      </c>
      <c r="KF203" s="6">
        <f>COUNTIFS(Table78[Country],Tabela1[[#This Row],[Country]],Table78[Women''s 4x200m Freestyle Relay Classification],"&gt;0")</f>
        <v>0</v>
      </c>
      <c r="KG203" s="6">
        <f>COUNTIFS(Table78[Country],Tabela1[[#This Row],[Country]],Table78[Men''s 4x100m Medley Relay Classification],"&gt;0")</f>
        <v>0</v>
      </c>
      <c r="KH203" s="6">
        <f>COUNTIFS(Table78[Country],Tabela1[[#This Row],[Country]],Table78[Women''s 4x100m Medley Relay Classification],"&gt;0")</f>
        <v>0</v>
      </c>
      <c r="KI203" s="6">
        <f>COUNTIFS(Table78[Country],Tabela1[[#This Row],[Country]],Table78[Mixed 4x100m Medley Relay Classification],"&gt;0")</f>
        <v>0</v>
      </c>
      <c r="KJ203" s="6">
        <f>COUNTIFS(Table20[Country],Tabela1[[#This Row],[Country]],Table20[10km Open Water Classification],"&gt;0")</f>
        <v>0</v>
      </c>
      <c r="KK203" s="6">
        <f>COUNTIFS(Table21[Country],Tabela1[[#This Row],[Country]],Table21[10km Open Water Classification],"&gt;0")</f>
        <v>0</v>
      </c>
      <c r="KL203" s="6">
        <f>COUNTIFS(Table22[Country],Tabela1[[#This Row],[Country]],Table22[Classification],"&gt;0")</f>
        <v>0</v>
      </c>
      <c r="KM203" s="6">
        <f>COUNTIFS(Table30[Country],Tabela1[[#This Row],[Country]],Table30[Classification],"&gt;0")</f>
        <v>0</v>
      </c>
      <c r="KN203" s="6">
        <f>COUNTIFS(Table55[Country],Tabela1[[#This Row],[Country]],Table55[Men''s Classification],"&gt;0")</f>
        <v>0</v>
      </c>
      <c r="KO203" s="6">
        <f>COUNTIFS(Table55[Country],Tabela1[[#This Row],[Country]],Table55[Women''s Classification],"&gt;0")</f>
        <v>0</v>
      </c>
      <c r="KP203" s="6">
        <f>COUNTIFS(Table56[Country],Tabela1[[#This Row],[Country]],Table56[Mixed Classification],"&gt;0")</f>
        <v>0</v>
      </c>
      <c r="KQ203" s="6">
        <f>COUNTIFS(Table29[Country],Tabela1[[#This Row],[Country]],Table29[58kg Classification],"&gt;0")</f>
        <v>0</v>
      </c>
      <c r="KR203" s="6">
        <f>COUNTIFS(Table29[Country],Tabela1[[#This Row],[Country]],Table29[68kg Classification],"&gt;0")</f>
        <v>0</v>
      </c>
      <c r="KS203" s="6">
        <f>COUNTIFS(Table29[Country],Tabela1[[#This Row],[Country]],Table29[80kg Classification],"&gt;0")</f>
        <v>0</v>
      </c>
      <c r="KT203" s="6">
        <f>COUNTIFS(Table29[Country],Tabela1[[#This Row],[Country]],Table29[Plus 80kg Classification],"&gt;0")</f>
        <v>0</v>
      </c>
      <c r="KU203" s="6">
        <f>COUNTIFS(Table34[Country],Tabela1[[#This Row],[Country]],Table34[49kg Classification],"&gt;0")</f>
        <v>0</v>
      </c>
      <c r="KV203" s="6">
        <f>COUNTIFS(Table34[Country],Tabela1[[#This Row],[Country]],Table34[57kg Classification],"&gt;0")</f>
        <v>0</v>
      </c>
      <c r="KW203" s="6">
        <f>COUNTIFS(Table34[Country],Tabela1[[#This Row],[Country]],Table34[67kg Classification],"&gt;0")</f>
        <v>0</v>
      </c>
      <c r="KX203" s="6">
        <f>COUNTIFS(Table34[Country],Tabela1[[#This Row],[Country]],Table34[Plus 67kg Classification],"&gt;0")</f>
        <v>0</v>
      </c>
      <c r="KY203" s="6">
        <f>COUNTIFS(Table57[Country],Tabela1[[#This Row],[Country]],Table57[Classification],"&gt;0")</f>
        <v>0</v>
      </c>
      <c r="KZ203" s="6">
        <f>COUNTIFS(Table58[Country],Tabela1[[#This Row],[Country]],Table58[Classification],"&gt;0")</f>
        <v>0</v>
      </c>
      <c r="LA203" s="6">
        <f>COUNTIFS(Table79[Country],Tabela1[[#This Row],[Country]],Table79[Men''s Classification],"&gt;0")</f>
        <v>0</v>
      </c>
      <c r="LB203" s="6">
        <f>COUNTIFS(Table79[Country],Tabela1[[#This Row],[Country]],Table79[Women''s Classification],"&gt;0")</f>
        <v>0</v>
      </c>
      <c r="LC203" s="6">
        <f>COUNTIFS(Table79[Country],Tabela1[[#This Row],[Country]],Table79[Mixed Classification],"&gt;0")</f>
        <v>0</v>
      </c>
      <c r="LD203" s="6">
        <f>COUNTIFS(Table65[Country],Tabela1[[#This Row],[Country]],Table65[Classification],"&gt;0")</f>
        <v>0</v>
      </c>
      <c r="LE203" s="6">
        <f>COUNTIFS(Table59[Country],Tabela1[[#This Row],[Country]],Table59[Classification],"&gt;0")</f>
        <v>0</v>
      </c>
      <c r="LF203" s="6">
        <f>COUNTIFS(Table87[Country],Tabela1[[#This Row],[Country]],Table87[Mixed Relay Classification],"&gt;0")</f>
        <v>0</v>
      </c>
      <c r="LG203" s="6">
        <f>COUNTIFS(Table91949698100[Country],Tabela1[[#This Row],[Country]],Table91949698100[Men''s Classification],"&gt;0")</f>
        <v>0</v>
      </c>
      <c r="LH203" s="6">
        <f>COUNTIFS(Table91949698100[Country],Tabela1[[#This Row],[Country]],Table91949698100[Women''s Classification],"&gt;0")</f>
        <v>0</v>
      </c>
      <c r="LI203" s="6">
        <f>COUNTIFS(Table91949698100102[Country],Tabela1[[#This Row],[Country]],Table91949698100102[Men''s Classification],"&gt;0")</f>
        <v>0</v>
      </c>
      <c r="LJ203" s="6">
        <f>COUNTIFS(Table91949698100102[Country],Tabela1[[#This Row],[Country]],Table91949698100102[Women''s Classification],"&gt;0")</f>
        <v>0</v>
      </c>
      <c r="LK203" s="6">
        <f>COUNTIFS(Table23[Country],Tabela1[[#This Row],[Country]],Table23[61kg Classification],"&gt;0")</f>
        <v>0</v>
      </c>
      <c r="LL203" s="6">
        <f>COUNTIFS(Table23[Country],Tabela1[[#This Row],[Country]],Table23[73kg Classification],"&gt;0")</f>
        <v>0</v>
      </c>
      <c r="LM203" s="6">
        <f>COUNTIFS(Table23[Country],Tabela1[[#This Row],[Country]],Table23[89kg Classification],"&gt;0")</f>
        <v>0</v>
      </c>
      <c r="LN203" s="6">
        <f>COUNTIFS(Table23[Country],Tabela1[[#This Row],[Country]],Table23[102kg Classification],"&gt;0")</f>
        <v>0</v>
      </c>
      <c r="LO203" s="6">
        <f>COUNTIFS(Table23[Country],Tabela1[[#This Row],[Country]],Table23[Plus 102kg Classification],"&gt;0")</f>
        <v>0</v>
      </c>
      <c r="LP203" s="6">
        <f>COUNTIFS(Table28[Country],Tabela1[[#This Row],[Country]],Table28[49kg Classification],"&gt;0")</f>
        <v>0</v>
      </c>
      <c r="LQ203" s="6">
        <f>COUNTIFS(Table28[Country],Tabela1[[#This Row],[Country]],Table28[59kg Classification],"&gt;0")</f>
        <v>0</v>
      </c>
      <c r="LR203" s="6">
        <f>COUNTIFS(Table28[Country],Tabela1[[#This Row],[Country]],Table28[71kg Classification],"&gt;0")</f>
        <v>0</v>
      </c>
      <c r="LS203" s="6">
        <f>COUNTIFS(Table28[Country],Tabela1[[#This Row],[Country]],Table28[81kg Classification],"&gt;0")</f>
        <v>0</v>
      </c>
      <c r="LT203" s="6">
        <f>COUNTIFS(Table28[Country],Tabela1[[#This Row],[Country]],Table28[Plus 81kg Classification],"&gt;0")</f>
        <v>0</v>
      </c>
      <c r="LU203" s="6">
        <f>COUNTIFS(Table24[Country],Tabela1[[#This Row],[Country]],Table24[Freestyle 57kg Classification],"&gt;0")</f>
        <v>0</v>
      </c>
      <c r="LV203" s="6">
        <f>COUNTIFS(Table24[Country],Tabela1[[#This Row],[Country]],Table24[Freestyle 65kg Classification],"&gt;0")</f>
        <v>0</v>
      </c>
      <c r="LW203" s="6">
        <f>COUNTIFS(Table24[Country],Tabela1[[#This Row],[Country]],Table24[Freestyle 74kg Classification],"&gt;0")</f>
        <v>0</v>
      </c>
      <c r="LX203" s="6">
        <f>COUNTIFS(Table24[Country],Tabela1[[#This Row],[Country]],Table24[Freestyle 86kg Classification],"&gt;0")</f>
        <v>0</v>
      </c>
      <c r="LY203" s="6">
        <f>COUNTIFS(Table24[Country],Tabela1[[#This Row],[Country]],Table24[Freestyle 97kg Classification],"&gt;0")</f>
        <v>0</v>
      </c>
      <c r="LZ203" s="6">
        <f>COUNTIFS(Table24[Country],Tabela1[[#This Row],[Country]],Table24[Freestyle 125kg Classification],"&gt;0")</f>
        <v>0</v>
      </c>
      <c r="MA203" s="6">
        <f>COUNTIFS(Table24[Country],Tabela1[[#This Row],[Country]],Table24[Greco-Roman 60kg Classification],"&gt;0")</f>
        <v>0</v>
      </c>
      <c r="MB203" s="6">
        <f>COUNTIFS(Table24[Country],Tabela1[[#This Row],[Country]],Table24[Greco-Roman 67kg Classification],"&gt;0")</f>
        <v>0</v>
      </c>
      <c r="MC203" s="6">
        <f>COUNTIFS(Table24[Country],Tabela1[[#This Row],[Country]],Table24[Greco-Roman 77kg Classification],"&gt;0")</f>
        <v>0</v>
      </c>
      <c r="MD203" s="6">
        <f>COUNTIFS(Table24[Country],Tabela1[[#This Row],[Country]],Table24[Greco-Roman 87kg Classification],"&gt;0")</f>
        <v>0</v>
      </c>
      <c r="ME203" s="6">
        <f>COUNTIFS(Table24[Country],Tabela1[[#This Row],[Country]],Table24[Greco-Roman 97kg Classification],"&gt;0")</f>
        <v>0</v>
      </c>
      <c r="MF203" s="6">
        <f>COUNTIFS(Table24[Country],Tabela1[[#This Row],[Country]],Table24[Greco-Roman 130kg Classification],"&gt;0")</f>
        <v>0</v>
      </c>
      <c r="MG203" s="6">
        <f>COUNTIFS(Table31[Country],Tabela1[[#This Row],[Country]],Table31[50kg Classification],"&gt;0")</f>
        <v>0</v>
      </c>
      <c r="MH203" s="6">
        <f>COUNTIFS(Table31[Country],Tabela1[[#This Row],[Country]],Table31[53kg Classification],"&gt;0")</f>
        <v>0</v>
      </c>
      <c r="MI203" s="6">
        <f>COUNTIFS(Table31[Country],Tabela1[[#This Row],[Country]],Table31[57kg Classification],"&gt;0")</f>
        <v>0</v>
      </c>
      <c r="MJ203" s="6">
        <f>COUNTIFS(Table31[Country],Tabela1[[#This Row],[Country]],Table31[62kg Classification],"&gt;0")</f>
        <v>0</v>
      </c>
      <c r="MK203" s="6">
        <f>COUNTIFS(Table31[Country],Tabela1[[#This Row],[Country]],Table31[68kg Classification],"&gt;0")</f>
        <v>0</v>
      </c>
      <c r="ML203" s="6">
        <f>COUNTIFS(Table31[Country],Tabela1[[#This Row],[Country]],Table31[76kg Classification],"&gt;0")</f>
        <v>0</v>
      </c>
      <c r="MM203" s="6">
        <f>COUNTIFS(Table102[Country],Tabela1[[#This Row],[Country]],Table102[Downhill Classification],"&gt;0")</f>
        <v>0</v>
      </c>
      <c r="MN203" s="6">
        <f>COUNTIFS(Table102105[Country],Tabela1[[#This Row],[Country]],Table102105[Downhill Classification],"&gt;0")</f>
        <v>0</v>
      </c>
      <c r="MO203" s="6">
        <f>COUNTIFS(Table102[Country],Tabela1[[#This Row],[Country]],Table102[Giant Slalom Classification],"&gt;0")</f>
        <v>0</v>
      </c>
      <c r="MP203" s="6">
        <f>COUNTIFS(Table102105[Country],Tabela1[[#This Row],[Country]],Table102105[Giant Slalom Classification],"&gt;0")</f>
        <v>0</v>
      </c>
      <c r="MQ203" s="6">
        <f>COUNTIFS(Table102[Country],Tabela1[[#This Row],[Country]],Table102[Slalom Classification],"&gt;0")</f>
        <v>0</v>
      </c>
      <c r="MR203" s="6">
        <f>COUNTIFS(Table102105[Country],Tabela1[[#This Row],[Country]],Table102105[Slalom Classification],"&gt;0")</f>
        <v>0</v>
      </c>
      <c r="MS203" s="6">
        <f>COUNTIFS(Table102[Country],Tabela1[[#This Row],[Country]],Table102[Super-G Classification],"&gt;0")</f>
        <v>0</v>
      </c>
      <c r="MT203" s="6">
        <f>COUNTIFS(Table102105[Country],Tabela1[[#This Row],[Country]],Table102105[Super-G Classification],"&gt;0")</f>
        <v>0</v>
      </c>
      <c r="MU203" s="6">
        <f>COUNTIFS(Table105[Country],Tabela1[[#This Row],[Country]],Table105[Men''s Combined Classification],"&gt;0")</f>
        <v>0</v>
      </c>
      <c r="MV203" s="6">
        <f>COUNTIFS(Table105[Country],Tabela1[[#This Row],[Country]],Table105[Women''s Combined Classification],"&gt;0")</f>
        <v>0</v>
      </c>
      <c r="MW203" s="6">
        <f>COUNTIFS(Table106[Country],Tabela1[[#This Row],[Country]],Table106[Individual Classification],"&gt;0")</f>
        <v>0</v>
      </c>
      <c r="MX203" s="6">
        <f>COUNTIFS(Table106109[Country],Tabela1[[#This Row],[Country]],Table106109[Individual Classification],"&gt;0")</f>
        <v>0</v>
      </c>
      <c r="MY203" s="6">
        <f>COUNTIFS(Table106[Country],Tabela1[[#This Row],[Country]],Table106[Mass Start Classification],"&gt;0")</f>
        <v>0</v>
      </c>
      <c r="MZ203" s="6">
        <f>COUNTIFS(Table106109[Country],Tabela1[[#This Row],[Country]],Table106109[Mass Start Classification],"&gt;0")</f>
        <v>0</v>
      </c>
      <c r="NA203" s="6">
        <f>COUNTIFS(Table106[Country],Tabela1[[#This Row],[Country]],Table106[Pursuit Classification],"&gt;0")</f>
        <v>0</v>
      </c>
      <c r="NB203" s="6">
        <f>COUNTIFS(Table106109[Country],Tabela1[[#This Row],[Country]],Table106109[Pursuit Classification],"&gt;0")</f>
        <v>0</v>
      </c>
      <c r="NC203" s="6">
        <f>COUNTIFS(Table106[Country],Tabela1[[#This Row],[Country]],Table106[Sprint Classification],"&gt;0")</f>
        <v>0</v>
      </c>
      <c r="ND203" s="6">
        <f>COUNTIFS(Table106109[Country],Tabela1[[#This Row],[Country]],Table106109[Sprint Classification],"&gt;0")</f>
        <v>0</v>
      </c>
      <c r="NE203" s="6">
        <f>COUNTIFS(Table109[Country],Tabela1[[#This Row],[Country]],Table109[Men''s Relay Classification],"&gt;0")</f>
        <v>0</v>
      </c>
      <c r="NF203" s="6">
        <f>COUNTIFS(Table109[Country],Tabela1[[#This Row],[Country]],Table109[Women''s Relay Classification],"&gt;0")</f>
        <v>0</v>
      </c>
      <c r="NG203" s="6">
        <f>COUNTIFS(Table109[Country],Tabela1[[#This Row],[Country]],Table109[Mixed Relay Classification],"&gt;0")</f>
        <v>0</v>
      </c>
      <c r="NH203" s="6">
        <f>COUNTIFS(Table110[Country],Tabela1[[#This Row],[Country]],Table110[Monobob Classification],"&gt;0")</f>
        <v>0</v>
      </c>
      <c r="NI203" s="6">
        <f>COUNTIFS(Table111[Country],Tabela1[[#This Row],[Country]],Table111[Men''s Classification],"&gt;0")</f>
        <v>0</v>
      </c>
      <c r="NJ203" s="6">
        <f>COUNTIFS(Table111[Country],Tabela1[[#This Row],[Country]],Table111[Women''s Classification],"&gt;0")</f>
        <v>0</v>
      </c>
      <c r="NK203" s="6">
        <f>COUNTIFS(Table112[Country],Tabela1[[#This Row],[Country]],Table112[Men''s Four Classification],"&gt;0")</f>
        <v>0</v>
      </c>
      <c r="NL203" s="6">
        <f>COUNTIFS(Table113[Country],Tabela1[[#This Row],[Country]],Table113[Classical Classification],"&gt;0")</f>
        <v>0</v>
      </c>
      <c r="NM203" s="6">
        <f>COUNTIFS(Table113116[Country],Tabela1[[#This Row],[Country]],Table113116[Classical Classification],"&gt;0")</f>
        <v>0</v>
      </c>
      <c r="NN203" s="6">
        <f>COUNTIFS(Table113[Country],Tabela1[[#This Row],[Country]],Table113[Freestyle Classification],"&gt;0")</f>
        <v>0</v>
      </c>
      <c r="NO203" s="6">
        <f>COUNTIFS(Table113116[Country],Tabela1[[#This Row],[Country]],Table113116[Freestyle Classification],"&gt;0")</f>
        <v>0</v>
      </c>
      <c r="NP203" s="6">
        <f>COUNTIFS(Table117[Country],Tabela1[[#This Row],[Country]],Table117[Men''s Relay Classification],"&gt;0")</f>
        <v>0</v>
      </c>
      <c r="NQ203" s="6">
        <f>COUNTIFS(Table117[Country],Tabela1[[#This Row],[Country]],Table117[Women''s Relay Classification],"&gt;0")</f>
        <v>0</v>
      </c>
      <c r="NR203" s="6">
        <f>COUNTIFS(Table113[Country],Tabela1[[#This Row],[Country]],Table113[Skiathlon Classification],"&gt;0")</f>
        <v>0</v>
      </c>
      <c r="NS203" s="6">
        <f>COUNTIFS(Table113116[Country],Tabela1[[#This Row],[Country]],Table113116[Skiathlon Classification],"&gt;0")</f>
        <v>0</v>
      </c>
      <c r="NT203" s="6">
        <f>COUNTIFS(Table113[Country],Tabela1[[#This Row],[Country]],Table113[Sprint Classification],"&gt;0")</f>
        <v>0</v>
      </c>
      <c r="NU203" s="6">
        <f>COUNTIFS(Table113116[Country],Tabela1[[#This Row],[Country]],Table113116[Sprint Classification],"&gt;0")</f>
        <v>0</v>
      </c>
      <c r="NV203" s="6">
        <f>COUNTIFS(Table116[Country],Tabela1[[#This Row],[Country]],Table116[Men''s Team Sprint Classification],"&gt;0")</f>
        <v>0</v>
      </c>
      <c r="NW203" s="6">
        <f>COUNTIFS(Table116[Country],Tabela1[[#This Row],[Country]],Table116[Women''s Team Sprint Classification],"&gt;0")</f>
        <v>0</v>
      </c>
      <c r="NX203" s="6">
        <f>COUNTIFS(Table119[Country],Tabela1[[#This Row],[Country]],Table119[Men''s Classification],"&gt;0")</f>
        <v>0</v>
      </c>
      <c r="NY203" s="6">
        <f>COUNTIFS(Table119[Country],Tabela1[[#This Row],[Country]],Table119[Women''s Classification],"&gt;0")</f>
        <v>0</v>
      </c>
      <c r="NZ203" s="6">
        <f>COUNTIFS(Table118[Country],Tabela1[[#This Row],[Country]],Table118[Mixed Classification],"&gt;0")</f>
        <v>0</v>
      </c>
      <c r="OA203" s="6">
        <f>COUNTIFS(Table120[Country],Tabela1[[#This Row],[Country]],Table120[Classification],"&gt;0")</f>
        <v>0</v>
      </c>
      <c r="OB203" s="6">
        <f>COUNTIFS(Table120123[Country],Tabela1[[#This Row],[Country]],Table120123[Classification],"&gt;0")</f>
        <v>0</v>
      </c>
      <c r="OC203" s="6">
        <f>COUNTIFS(Table123[Country],Tabela1[[#This Row],[Country]],Table123[Ice Dance Classification],"&gt;0")</f>
        <v>0</v>
      </c>
      <c r="OD203" s="6">
        <f>COUNTIFS(Table123[Country],Tabela1[[#This Row],[Country]],Table123[Pair Skating Classification],"&gt;0")</f>
        <v>0</v>
      </c>
      <c r="OE203" s="6">
        <f>COUNTIFS(Table124[Country],Tabela1[[#This Row],[Country]],Table124[Mixed Classification],"&gt;0")</f>
        <v>0</v>
      </c>
      <c r="OF203" s="6">
        <f>COUNTIFS(Table125[Country],Tabela1[[#This Row],[Country]],Table125[Aerials Classification],"&gt;0")</f>
        <v>0</v>
      </c>
      <c r="OG203" s="6">
        <f>COUNTIFS(Table125128[Country],Tabela1[[#This Row],[Country]],Table125128[Aerials Classification],"&gt;0")</f>
        <v>0</v>
      </c>
      <c r="OH203" s="6">
        <f>COUNTIFS(Table128[Country],Tabela1[[#This Row],[Country]],Table128[Mixed Aerials Classification],"&gt;0")</f>
        <v>0</v>
      </c>
      <c r="OI203" s="6">
        <f>COUNTIFS(Table125[Country],Tabela1[[#This Row],[Country]],Table125[Big Air Classification],"&gt;0")</f>
        <v>0</v>
      </c>
      <c r="OJ203" s="6">
        <f>COUNTIFS(Table125128[Country],Tabela1[[#This Row],[Country]],Table125128[Big Air Classification],"&gt;0")</f>
        <v>0</v>
      </c>
      <c r="OK203" s="6">
        <f>COUNTIFS(Table125[Country],Tabela1[[#This Row],[Country]],Table125[Dual Moguls Classification],"&gt;0")</f>
        <v>0</v>
      </c>
      <c r="OL203" s="6">
        <f>COUNTIFS(Table125128[Country],Tabela1[[#This Row],[Country]],Table125128[Dual Moguls Classification],"&gt;0")</f>
        <v>0</v>
      </c>
      <c r="OM203" s="6">
        <f>COUNTIFS(Table125[Country],Tabela1[[#This Row],[Country]],Table125[Halfpipe Classification],"&gt;0")</f>
        <v>0</v>
      </c>
      <c r="ON203" s="6">
        <f>COUNTIFS(Table125128[Country],Tabela1[[#This Row],[Country]],Table125128[Halfpipe Classification],"&gt;0")</f>
        <v>0</v>
      </c>
      <c r="OO203" s="6">
        <f>COUNTIFS(Table125[Country],Tabela1[[#This Row],[Country]],Table125[Moguls Classification],"&gt;0")</f>
        <v>0</v>
      </c>
      <c r="OP203" s="6">
        <f>COUNTIFS(Table125128[Country],Tabela1[[#This Row],[Country]],Table125128[Moguls Classification],"&gt;0")</f>
        <v>0</v>
      </c>
      <c r="OQ203" s="6">
        <f>COUNTIFS(Table125[Country],Tabela1[[#This Row],[Country]],Table125[Ski Cross Classification],"&gt;0")</f>
        <v>0</v>
      </c>
      <c r="OR203" s="6">
        <f>COUNTIFS(Table125128[Country],Tabela1[[#This Row],[Country]],Table125128[Ski Cross Classification],"&gt;0")</f>
        <v>0</v>
      </c>
      <c r="OS203" s="6">
        <f>COUNTIFS(Table125[Country],Tabela1[[#This Row],[Country]],Table125[Slopestyle Classification],"&gt;0")</f>
        <v>0</v>
      </c>
      <c r="OT203" s="6">
        <f>COUNTIFS(Table125128[Country],Tabela1[[#This Row],[Country]],Table125128[Slopestyle Classification],"&gt;0")</f>
        <v>0</v>
      </c>
      <c r="OU203" s="6">
        <f>COUNTIFS(Table119131[Country],Tabela1[[#This Row],[Country]],Table119131[Men''s Classification],"&gt;0")</f>
        <v>0</v>
      </c>
      <c r="OV203" s="6">
        <f>COUNTIFS(Table119131[Country],Tabela1[[#This Row],[Country]],Table119131[Women''s Classification],"&gt;0")</f>
        <v>0</v>
      </c>
      <c r="OW203" s="6">
        <f>COUNTIFS(Table131[Country],Tabela1[[#This Row],[Country]],Table131[Classification],"&gt;0")</f>
        <v>0</v>
      </c>
      <c r="OX203" s="6">
        <f>COUNTIFS(Table131134[Country],Tabela1[[#This Row],[Country]],Table131134[Classification],"&gt;0")</f>
        <v>0</v>
      </c>
      <c r="OY203" s="6">
        <f>COUNTIFS(Table134[Country],Tabela1[[#This Row],[Country]],Table134[Men''s Classification],"&gt;0")</f>
        <v>0</v>
      </c>
      <c r="OZ203" s="6">
        <f>COUNTIFS(Table134[Country],Tabela1[[#This Row],[Country]],Table134[Women''s Classification],"&gt;0")</f>
        <v>0</v>
      </c>
      <c r="PA203" s="6">
        <f>COUNTIFS(Table135[Country],Tabela1[[#This Row],[Country]],Table135[Mixed Relay Classification],"&gt;0")</f>
        <v>0</v>
      </c>
      <c r="PB203" s="6">
        <f>COUNTIFS(Table136[Country],Tabela1[[#This Row],[Country]],Table136[Individual Classification],"&gt;0")</f>
        <v>0</v>
      </c>
      <c r="PC203" s="6">
        <f>COUNTIFS(Table136[Country],Tabela1[[#This Row],[Country]],Table136[Sprint Classification],"&gt;0")</f>
        <v>0</v>
      </c>
      <c r="PD203" s="6">
        <f>COUNTIFS(Table137[Country],Tabela1[[#This Row],[Country]],Table137[Men''s Team Sprint Large Hill Classification],"&gt;0")</f>
        <v>0</v>
      </c>
      <c r="PE203" s="6">
        <f>COUNTIFS(Table138[Country],Tabela1[[#This Row],[Country]],Table138[500m Classification],"&gt;0")</f>
        <v>0</v>
      </c>
      <c r="PF203" s="6">
        <f>COUNTIFS(Table138141[Country],Tabela1[[#This Row],[Country]],Table138141[500m Classification],"&gt;0")</f>
        <v>0</v>
      </c>
      <c r="PG203" s="6">
        <f>COUNTIFS(Table138[Country],Tabela1[[#This Row],[Country]],Table138[1000m Classification],"&gt;0")</f>
        <v>0</v>
      </c>
      <c r="PH203" s="6">
        <f>COUNTIFS(Table138141[Country],Tabela1[[#This Row],[Country]],Table138141[1000m Classification],"&gt;0")</f>
        <v>0</v>
      </c>
      <c r="PI203" s="6">
        <f>COUNTIFS(Table138[Country],Tabela1[[#This Row],[Country]],Table138[1500m Classification],"&gt;0")</f>
        <v>0</v>
      </c>
      <c r="PJ203" s="6">
        <f>COUNTIFS(Table138141[Country],Tabela1[[#This Row],[Country]],Table138141[1500m Classification],"&gt;0")</f>
        <v>0</v>
      </c>
      <c r="PK203" s="6">
        <f>COUNTIFS(Table141[Country],Tabela1[[#This Row],[Country]],Table141[Men''s 5000m Relay Classification],"&gt;0")</f>
        <v>0</v>
      </c>
      <c r="PL203" s="6">
        <f>COUNTIFS(Table141[Country],Tabela1[[#This Row],[Country]],Table141[Women''s 3000m Relay Classification],"&gt;0")</f>
        <v>0</v>
      </c>
      <c r="PM203" s="6">
        <f>COUNTIFS(Table141[Country],Tabela1[[#This Row],[Country]],Table141[Mixed 2000m Relay Classification],"&gt;0")</f>
        <v>0</v>
      </c>
      <c r="PN203" s="6">
        <f>COUNTIFS(Table142[Country],Tabela1[[#This Row],[Country]],Table142[Classification],"&gt;0")</f>
        <v>0</v>
      </c>
      <c r="PO203" s="6">
        <f>COUNTIFS(Table142145[Country],Tabela1[[#This Row],[Country]],Table142145[Classification],"&gt;0")</f>
        <v>0</v>
      </c>
      <c r="PP203" s="6">
        <f>COUNTIFS(Tabela15[Country],Tabela1[[#This Row],[Country]],Tabela15[Mixed Team Classification],"&gt;0")</f>
        <v>0</v>
      </c>
      <c r="PQ203" s="6">
        <f>COUNTIFS(Table145[Country],Tabela1[[#This Row],[Country]],Table145[Large Hill Classification],"&gt;0")</f>
        <v>0</v>
      </c>
      <c r="PR203" s="6">
        <f>COUNTIFS(Table145[Country],Tabela1[[#This Row],[Country]],Table145[Normal Hill Classification],"&gt;0")</f>
        <v>0</v>
      </c>
      <c r="PS203" s="6">
        <f>COUNTIFS(Table145148[Country],Tabela1[[#This Row],[Country]],Table145148[Large Hill Classification],"&gt;0")</f>
        <v>0</v>
      </c>
      <c r="PT203" s="6">
        <f>COUNTIFS(Table145148[Country],Tabela1[[#This Row],[Country]],Table145148[Normal Hill Classification],"&gt;0")</f>
        <v>0</v>
      </c>
      <c r="PU203" s="6">
        <f>COUNTIFS(Table148[Country],Tabela1[[#This Row],[Country]],Table148[Men''s Super Team Classification],"&gt;0")</f>
        <v>0</v>
      </c>
      <c r="PV203" s="6">
        <f>COUNTIFS(Tabela114[Country],Tabela1[[#This Row],[Country]],Tabela114[Mixed Normal Hill Classification],"&gt;0")</f>
        <v>0</v>
      </c>
      <c r="PW203" s="6">
        <f>COUNTIFS(Tabela50[Country],Tabela1[[#This Row],[Country]],Tabela50[Sprint Classification],"&gt;0")</f>
        <v>0</v>
      </c>
      <c r="PX203" s="6">
        <f>COUNTIFS(Tabela50101[Country],Tabela1[[#This Row],[Country]],Tabela50101[Sprint Classification],"&gt;0")</f>
        <v>0</v>
      </c>
      <c r="PY203" s="6">
        <f>COUNTIFS(Tabela103[Country],Tabela1[[#This Row],[Country]],Tabela103[Mixed Relay Classification],"&gt;0")</f>
        <v>0</v>
      </c>
      <c r="PZ203" s="6">
        <f>COUNTIFS(Table149[Country],Tabela1[[#This Row],[Country]],Table149[Big Air Classification],"&gt;0")</f>
        <v>0</v>
      </c>
      <c r="QA203" s="6">
        <f>COUNTIFS(Table149152[Country],Tabela1[[#This Row],[Country]],Table149152[Big Air Classification],"&gt;0")</f>
        <v>0</v>
      </c>
      <c r="QB203" s="6">
        <f>COUNTIFS(Table149[Country],Tabela1[[#This Row],[Country]],Table149[Halfpipe Classification],"&gt;0")</f>
        <v>0</v>
      </c>
      <c r="QC203" s="6">
        <f>COUNTIFS(Table149152[Country],Tabela1[[#This Row],[Country]],Table149152[Halfpipe Classification],"&gt;0")</f>
        <v>0</v>
      </c>
      <c r="QD203" s="6">
        <f>COUNTIFS(Table149[Country],Tabela1[[#This Row],[Country]],Table149[Parallel Giant Slalom Classification],"&gt;0")</f>
        <v>0</v>
      </c>
      <c r="QE203" s="6">
        <f>COUNTIFS(Table149152[Country],Tabela1[[#This Row],[Country]],Table149152[Parallel Giant Slalom Classification],"&gt;0")</f>
        <v>0</v>
      </c>
      <c r="QF203" s="6">
        <f>COUNTIFS(Table149[Country],Tabela1[[#This Row],[Country]],Table149[Slopestyle Classification],"&gt;0")</f>
        <v>0</v>
      </c>
      <c r="QG203" s="6">
        <f>COUNTIFS(Table149152[Country],Tabela1[[#This Row],[Country]],Table149152[Slopestyle Classification],"&gt;0")</f>
        <v>0</v>
      </c>
      <c r="QH203" s="6">
        <f>COUNTIFS(Table149[Country],Tabela1[[#This Row],[Country]],Table149[Snowboard Cross Classification],"&gt;0")</f>
        <v>0</v>
      </c>
      <c r="QI203" s="6">
        <f>COUNTIFS(Table149152[Country],Tabela1[[#This Row],[Country]],Table149152[Snowboard Cross Classification],"&gt;0")</f>
        <v>0</v>
      </c>
      <c r="QJ203" s="6">
        <f>COUNTIFS(Table153[Country],Tabela1[[#This Row],[Country]],Table153[Mixed Team Snowboard Cross Classification],"&gt;0")</f>
        <v>0</v>
      </c>
      <c r="QK203" s="6">
        <f>COUNTIFS(Table154[Country],Tabela1[[#This Row],[Country]],Table154[500m Classification],"&gt;0")</f>
        <v>0</v>
      </c>
      <c r="QL203" s="6">
        <f>COUNTIFS(Table154157[Country],Tabela1[[#This Row],[Country]],Table154157[500m Classification],"&gt;0")</f>
        <v>0</v>
      </c>
      <c r="QM203" s="6">
        <f>COUNTIFS(Table154[Country],Tabela1[[#This Row],[Country]],Table154[1000m Classification],"&gt;0")</f>
        <v>0</v>
      </c>
      <c r="QN203" s="6">
        <f>COUNTIFS(Table154157[Country],Tabela1[[#This Row],[Country]],Table154157[1000m Classification],"&gt;0")</f>
        <v>0</v>
      </c>
      <c r="QO203" s="6">
        <f>COUNTIFS(Table154[Country],Tabela1[[#This Row],[Country]],Table154[1500m Classification],"&gt;0")</f>
        <v>0</v>
      </c>
      <c r="QP203" s="6">
        <f>COUNTIFS(Table154157[Country],Tabela1[[#This Row],[Country]],Table154157[1500m Classification],"&gt;0")</f>
        <v>0</v>
      </c>
      <c r="QQ203" s="6">
        <f>COUNTIFS(Table154157[Country],Tabela1[[#This Row],[Country]],Table154157[3000m Classification],"&gt;0")</f>
        <v>0</v>
      </c>
      <c r="QR203" s="6">
        <f>COUNTIFS(Table154[Country],Tabela1[[#This Row],[Country]],Table154[5000m Classification],"&gt;0")</f>
        <v>0</v>
      </c>
      <c r="QS203" s="6">
        <f>COUNTIFS(Table154157[Country],Tabela1[[#This Row],[Country]],Table154157[5000m Classification],"&gt;0")</f>
        <v>0</v>
      </c>
      <c r="QT203" s="6">
        <f>COUNTIFS(Table154[Country],Tabela1[[#This Row],[Country]],Table154[10000m Classification],"&gt;0")</f>
        <v>0</v>
      </c>
      <c r="QU203" s="6">
        <f>COUNTIFS(Table154[Country],Tabela1[[#This Row],[Country]],Table154[Mass Start Classification],"&gt;0")</f>
        <v>0</v>
      </c>
      <c r="QV203" s="6">
        <f>COUNTIFS(Table154157[Country],Tabela1[[#This Row],[Country]],Table154157[Mass Start Classification],"&gt;0")</f>
        <v>0</v>
      </c>
      <c r="QW203" s="6">
        <f>COUNTIFS(Table157[Country],Tabela1[[#This Row],[Country]],Table157[Men''s Pursuit Classification],"&gt;0")</f>
        <v>0</v>
      </c>
      <c r="QX203" s="6">
        <f>COUNTIFS(Table157[Country],Tabela1[[#This Row],[Country]],Table157[Women''s Pursuit Classification],"&gt;0")</f>
        <v>0</v>
      </c>
      <c r="QY203" s="4" t="s">
        <v>705</v>
      </c>
    </row>
    <row r="204" spans="1:467" x14ac:dyDescent="0.3">
      <c r="A204" s="6">
        <v>203</v>
      </c>
      <c r="B204" s="6" t="s">
        <v>708</v>
      </c>
      <c r="C204" t="e" vm="203">
        <f>IF(ISBLANK(Tabela1[[#This Row],[Image Link]]), "", _xlfn.IMAGE(Tabela1[[#This Row],[Image Link]],1,1))</f>
        <v>#VALUE!</v>
      </c>
      <c r="D204" s="6">
        <f>SUM(Tabela1[[#This Row],[Archery - Men''s Individual Recurve]:[Speed Skating - Women''s Team Pursuit]])</f>
        <v>0</v>
      </c>
      <c r="E204" s="6">
        <f>COUNTIF(Tabela1[[#This Row],[Archery - Men''s Individual Recurve]:[Speed Skating - Women''s Team Pursuit]],"&gt;0")</f>
        <v>0</v>
      </c>
      <c r="F204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204" s="6">
        <f>SUM(Tabela1[[#This Row],[Archery - Men''s Individual Recurve]:[Wrestling - Women''s Freestyle 76kg]])</f>
        <v>0</v>
      </c>
      <c r="H204" s="6">
        <f>SUM(Tabela1[[#This Row],[Alpine Skiing - Men''s Downhill]:[Speed Skating - Women''s Team Pursuit]])</f>
        <v>0</v>
      </c>
      <c r="I204" s="6">
        <f>Tabela1[[#This Row],[Summer Gold Medals]]+Tabela1[[#This Row],[Winter Gold Medals]]</f>
        <v>0</v>
      </c>
      <c r="J204" s="6">
        <f>Tabela1[[#This Row],[Summer Silver Medals]]+Tabela1[[#This Row],[Winter Silver Medals]]</f>
        <v>0</v>
      </c>
      <c r="K204" s="6">
        <f>Tabela1[[#This Row],[Summer Bronze Medals]]+Tabela1[[#This Row],[Winter Bronze Medals]]</f>
        <v>0</v>
      </c>
      <c r="L204" s="6">
        <f>SUM(Tabela1[[#This Row],[Total Gold Medals]:[Total Bronze Medals]])</f>
        <v>0</v>
      </c>
      <c r="M204" s="6"/>
      <c r="N204" s="6"/>
      <c r="O204" s="6"/>
      <c r="P204" s="6">
        <f>SUM(Tabela1[[#This Row],[Summer Gold Medals]:[Summer Bronze Medals]])</f>
        <v>0</v>
      </c>
      <c r="Q204" s="6"/>
      <c r="R204" s="6"/>
      <c r="S204" s="6"/>
      <c r="T204" s="6">
        <f>Tabela1[[#This Row],[Winter Gold Medals]]+Tabela1[[#This Row],[Winter Silver Medals]]+Tabela1[[#This Row],[Winter Bronze Medals]]</f>
        <v>0</v>
      </c>
      <c r="U204" s="7" t="e">
        <f>Tabela1[[#This Row],[Total Medals]]/Tabela1[[#This Row],[Total Quotas]]</f>
        <v>#DIV/0!</v>
      </c>
      <c r="V204" s="6">
        <f>COUNTIFS(Table3[Country],Tabela1[[#This Row],[Country]],Table3[Recurve Classification],"&gt;0")</f>
        <v>0</v>
      </c>
      <c r="W204" s="6">
        <f>COUNTIFS(Table33[Country],Tabela1[[#This Row],[Country]],Table33[Recurve Classification],"&gt;0")</f>
        <v>0</v>
      </c>
      <c r="X204" s="6">
        <f>COUNTIFS(Table35[Country],Tabela1[[#This Row],[Country]],Table35[Men''s Team Recurve Classification],"&gt;0")</f>
        <v>0</v>
      </c>
      <c r="Y204" s="6">
        <f>COUNTIFS(Table35[Country],Tabela1[[#This Row],[Country]],Table35[Women''s Team Recurve Classification],"&gt;0")</f>
        <v>0</v>
      </c>
      <c r="Z204" s="6">
        <f>COUNTIFS(Tabela88[Country],Tabela1[[#This Row],[Country]],Tabela88[Mixed Team Recurve Classification],"&gt;0")</f>
        <v>0</v>
      </c>
      <c r="AA204" s="6">
        <f>COUNTIFS(Table36[Country],Tabela1[[#This Row],[Country]],Table36[Classification],"&gt;0")</f>
        <v>0</v>
      </c>
      <c r="AB204" s="6">
        <f>COUNTIFS(Table37[Country],Tabela1[[#This Row],[Country]],Table37[Classification],"&gt;0")</f>
        <v>0</v>
      </c>
      <c r="AC204" s="6">
        <f>COUNTIFS(Table4[Country],Tabela1[[#This Row],[Country]],Table4[100m Classification],"&gt;0")</f>
        <v>0</v>
      </c>
      <c r="AD204" s="6">
        <f>COUNTIFS(Table5[Country],Tabela1[[#This Row],[Country]],Table5[100m Classification],"&gt;0")</f>
        <v>0</v>
      </c>
      <c r="AE204" s="6">
        <f>COUNTIFS(Table4[Country],Tabela1[[#This Row],[Country]],Table4[200m Classification],"&gt;0")</f>
        <v>0</v>
      </c>
      <c r="AF204" s="6">
        <f>COUNTIFS(Table5[Country],Tabela1[[#This Row],[Country]],Table5[200m Classification],"&gt;0")</f>
        <v>0</v>
      </c>
      <c r="AG204" s="6">
        <f>COUNTIFS(Table4[Country],Tabela1[[#This Row],[Country]],Table4[400m Classification],"&gt;0")</f>
        <v>0</v>
      </c>
      <c r="AH204" s="6">
        <f>COUNTIFS(Table5[Country],Tabela1[[#This Row],[Country]],Table5[400m Classification],"&gt;0")</f>
        <v>0</v>
      </c>
      <c r="AI204" s="6">
        <f>COUNTIFS(Table4[Country],Tabela1[[#This Row],[Country]],Table4[800m Classification],"&gt;0")</f>
        <v>0</v>
      </c>
      <c r="AJ204" s="6">
        <f>COUNTIFS(Table5[Country],Tabela1[[#This Row],[Country]],Table5[800m Classification],"&gt;0")</f>
        <v>0</v>
      </c>
      <c r="AK204" s="6">
        <f>COUNTIFS(Table4[Country],Tabela1[[#This Row],[Country]],Table4[1500m Classification],"&gt;0")</f>
        <v>0</v>
      </c>
      <c r="AL204" s="6">
        <f>COUNTIFS(Table5[Country],Tabela1[[#This Row],[Country]],Table5[1500m Classification],"&gt;0")</f>
        <v>0</v>
      </c>
      <c r="AM204" s="6">
        <f>COUNTIFS(Table4[Country],Tabela1[[#This Row],[Country]],Table4[5000m Classification],"&gt;0")</f>
        <v>0</v>
      </c>
      <c r="AN204" s="6">
        <f>COUNTIFS(Table5[Country],Tabela1[[#This Row],[Country]],Table5[5000m Classification],"&gt;0")</f>
        <v>0</v>
      </c>
      <c r="AO204" s="6">
        <f>COUNTIFS(Table4[Country],Tabela1[[#This Row],[Country]],Table4[10000m Classification],"&gt;0")</f>
        <v>0</v>
      </c>
      <c r="AP204" s="6">
        <f>COUNTIFS(Table5[Country],Tabela1[[#This Row],[Country]],Table5[10000m Classification],"&gt;0")</f>
        <v>0</v>
      </c>
      <c r="AQ204" s="6">
        <f>COUNTIFS(Table4[Country],Tabela1[[#This Row],[Country]],Table4[110m Hurdles Classification],"&gt;0")</f>
        <v>0</v>
      </c>
      <c r="AR204" s="6">
        <f>COUNTIFS(Table5[Country],Tabela1[[#This Row],[Country]],Table5[100m Hurdles Classification],"&gt;0")</f>
        <v>0</v>
      </c>
      <c r="AS204" s="6">
        <f>COUNTIFS(Table4[Country],Tabela1[[#This Row],[Country]],Table4[400m Hurdles Classification],"&gt;0")</f>
        <v>0</v>
      </c>
      <c r="AT204" s="6">
        <f>COUNTIFS(Table5[Country],Tabela1[[#This Row],[Country]],Table5[400m Hurdles Classification],"&gt;0")</f>
        <v>0</v>
      </c>
      <c r="AU204" s="6">
        <f>COUNTIFS(Table4[Country],Tabela1[[#This Row],[Country]],Table4[3000m Steeplechase Classification],"&gt;0")</f>
        <v>0</v>
      </c>
      <c r="AV204" s="6">
        <f>COUNTIFS(Table5[Country],Tabela1[[#This Row],[Country]],Table5[3000m Steeplechase Classification],"&gt;0")</f>
        <v>0</v>
      </c>
      <c r="AW204" s="6">
        <f>COUNTIFS(Table27[Country],Tabela1[[#This Row],[Country]],Table27[Men''s 4x100m Relay Classification],"&gt;0")</f>
        <v>0</v>
      </c>
      <c r="AX204" s="6">
        <f>COUNTIFS(Table27[Country],Tabela1[[#This Row],[Country]],Table27[Women''s 4x100m Relay Classification],"&gt;0")</f>
        <v>0</v>
      </c>
      <c r="AY204" s="6">
        <f>COUNTIFS(Table27[Country],Tabela1[[#This Row],[Country]],Table27[Men''s 4x400m Relay Classification],"&gt;0")</f>
        <v>0</v>
      </c>
      <c r="AZ204" s="6">
        <f>COUNTIFS(Table27[Country],Tabela1[[#This Row],[Country]],Table27[Women''s 4x400m Relay Classification],"&gt;0")</f>
        <v>0</v>
      </c>
      <c r="BA204" s="6">
        <f>COUNTIFS(Table27[Country],Tabela1[[#This Row],[Country]],Table27[Mixed 4x400m Relay Classification],"&gt;0")</f>
        <v>0</v>
      </c>
      <c r="BB204" s="6">
        <f>COUNTIFS(Table4[Country],Tabela1[[#This Row],[Country]],Table4[Marathon Classification],"&gt;0")</f>
        <v>0</v>
      </c>
      <c r="BC204" s="6">
        <f>COUNTIFS(Table5[Country],Tabela1[[#This Row],[Country]],Table5[Marathon Classification],"&gt;0")</f>
        <v>0</v>
      </c>
      <c r="BD204" s="6">
        <f>COUNTIFS(Table4[Country],Tabela1[[#This Row],[Country]],Table4[20km Race Walk Classification],"&gt;0")</f>
        <v>0</v>
      </c>
      <c r="BE204" s="6">
        <f>COUNTIFS(Table5[Country],Tabela1[[#This Row],[Country]],Table5[20km Race Walk Classification],"&gt;0")</f>
        <v>0</v>
      </c>
      <c r="BF204" s="6">
        <f>COUNTIFS(Tabela96[Country],Tabela1[[#This Row],[Country]],Tabela96[Mixed Marathon Race Walk Relay Classification],"&gt;0")</f>
        <v>0</v>
      </c>
      <c r="BG204" s="6">
        <f>COUNTIFS(Table4[Country],Tabela1[[#This Row],[Country]],Table4[Discus Throw Classification],"&gt;0")</f>
        <v>0</v>
      </c>
      <c r="BH204" s="6">
        <f>COUNTIFS(Table5[Country],Tabela1[[#This Row],[Country]],Table5[Discus Throw Classification],"&gt;0")</f>
        <v>0</v>
      </c>
      <c r="BI204" s="6">
        <f>COUNTIFS(Table4[Country],Tabela1[[#This Row],[Country]],Table4[Hammer Throw Classification],"&gt;0")</f>
        <v>0</v>
      </c>
      <c r="BJ204" s="6">
        <f>COUNTIFS(Table5[Country],Tabela1[[#This Row],[Country]],Table5[Hammer Throw Classification],"&gt;0")</f>
        <v>0</v>
      </c>
      <c r="BK204" s="6">
        <f>COUNTIFS(Table4[Country],Tabela1[[#This Row],[Country]],Table4[High Jump Classification],"&gt;0")</f>
        <v>0</v>
      </c>
      <c r="BL204" s="6">
        <f>COUNTIFS(Table5[Country],Tabela1[[#This Row],[Country]],Table5[High Jump Classification],"&gt;0")</f>
        <v>0</v>
      </c>
      <c r="BM204" s="6">
        <f>COUNTIFS(Table4[Country],Tabela1[[#This Row],[Country]],Table4[Javelin Throw Classification],"&gt;0")</f>
        <v>0</v>
      </c>
      <c r="BN204" s="6">
        <f>COUNTIFS(Table5[Country],Tabela1[[#This Row],[Country]],Table5[Javelin Throw Classification],"&gt;0")</f>
        <v>0</v>
      </c>
      <c r="BO204" s="6">
        <f>COUNTIFS(Table4[Country],Tabela1[[#This Row],[Country]],Table4[Long Jump Classification],"&gt;0")</f>
        <v>0</v>
      </c>
      <c r="BP204" s="6">
        <f>COUNTIFS(Table5[Country],Tabela1[[#This Row],[Country]],Table5[Long Jump Classification],"&gt;0")</f>
        <v>0</v>
      </c>
      <c r="BQ204" s="6">
        <f>COUNTIFS(Table4[Country],Tabela1[[#This Row],[Country]],Table4[Pole Vault Classification],"&gt;0")</f>
        <v>0</v>
      </c>
      <c r="BR204" s="6">
        <f>COUNTIFS(Table5[Country],Tabela1[[#This Row],[Country]],Table5[Pole Vault Classification],"&gt;0")</f>
        <v>0</v>
      </c>
      <c r="BS204" s="6">
        <f>COUNTIFS(Table4[Country],Tabela1[[#This Row],[Country]],Table4[Shot Put Classification],"&gt;0")</f>
        <v>0</v>
      </c>
      <c r="BT204" s="6">
        <f>COUNTIFS(Table5[Country],Tabela1[[#This Row],[Country]],Table5[Shot Put Classification],"&gt;0")</f>
        <v>0</v>
      </c>
      <c r="BU204" s="6">
        <f>COUNTIFS(Table4[Country],Tabela1[[#This Row],[Country]],Table4[Triple Jump Classification],"&gt;0")</f>
        <v>0</v>
      </c>
      <c r="BV204" s="6">
        <f>COUNTIFS(Table5[Country],Tabela1[[#This Row],[Country]],Table5[Triple Jump Classification],"&gt;0")</f>
        <v>0</v>
      </c>
      <c r="BW204" s="6">
        <f>COUNTIFS(Table4[Country],Tabela1[[#This Row],[Country]],Table4[Decathlon Classification],"&gt;0")</f>
        <v>0</v>
      </c>
      <c r="BX204" s="6">
        <f>COUNTIFS(Table5[Country],Tabela1[[#This Row],[Country]],Table5[Heptathlon Classification],"&gt;0")</f>
        <v>0</v>
      </c>
      <c r="BY204" s="6">
        <f>COUNTIFS(Table61[Country],Tabela1[[#This Row],[Country]],Table61[Classification],"&gt;0")</f>
        <v>0</v>
      </c>
      <c r="BZ204" s="6">
        <f>COUNTIFS(Table38[Country],Tabela1[[#This Row],[Country]],Table38[Classification],"&gt;0")</f>
        <v>0</v>
      </c>
      <c r="CA204" s="6">
        <f>COUNTIFS(Table39[Country],Tabela1[[#This Row],[Country]],Table39[Men''s Classification],"&gt;0")</f>
        <v>0</v>
      </c>
      <c r="CB204" s="6">
        <f>COUNTIFS(Table39[Country],Tabela1[[#This Row],[Country]],Table39[Women''s Classification],"&gt;0")</f>
        <v>0</v>
      </c>
      <c r="CC204" s="6">
        <f>COUNTIFS(Table39[Country],Tabela1[[#This Row],[Country]],Table39[Mixed Classification],"&gt;0")</f>
        <v>0</v>
      </c>
      <c r="CD204" s="6">
        <f>COUNTIFS(Table89[Country],Tabela1[[#This Row],[Country]],Table89[Men''s Classification],"&gt;0")</f>
        <v>0</v>
      </c>
      <c r="CE204" s="6">
        <f>COUNTIFS(Table89[Country],Tabela1[[#This Row],[Country]],Table89[Women''s Classification],"&gt;0")</f>
        <v>0</v>
      </c>
      <c r="CF204" s="6">
        <f>COUNTIFS(Table90[Country],Tabela1[[#This Row],[Country]],Table90[Men''s Classification],"&gt;0")</f>
        <v>0</v>
      </c>
      <c r="CG204" s="6">
        <f>COUNTIFS(Table90[Country],Tabela1[[#This Row],[Country]],Table90[Women''s Classification],"&gt;0")</f>
        <v>0</v>
      </c>
      <c r="CH204" s="6">
        <f>COUNTIFS(Table60[Country],Tabela1[[#This Row],[Country]],Table60[Men''s Classification],"&gt;0")</f>
        <v>0</v>
      </c>
      <c r="CI204" s="6">
        <f>COUNTIFS(Table60[Country],Tabela1[[#This Row],[Country]],Table60[Women''s Classification],"&gt;0")</f>
        <v>0</v>
      </c>
      <c r="CJ204" s="6">
        <f>COUNTIFS(Table6[Country],Tabela1[[#This Row],[Country]],Table6[51kg Classification],"&gt;0")</f>
        <v>0</v>
      </c>
      <c r="CK204" s="6">
        <f>COUNTIFS(Table6[Country],Tabela1[[#This Row],[Country]],Table6[57kg Classification],"&gt;0")</f>
        <v>0</v>
      </c>
      <c r="CL204" s="6">
        <f>COUNTIFS(Table6[Country],Tabela1[[#This Row],[Country]],Table6[63.5kg Classification],"&gt;0")</f>
        <v>0</v>
      </c>
      <c r="CM204" s="6">
        <f>COUNTIFS(Table6[Country],Tabela1[[#This Row],[Country]],Table6[71kg Classification],"&gt;0")</f>
        <v>0</v>
      </c>
      <c r="CN204" s="6">
        <f>COUNTIFS(Table6[Country],Tabela1[[#This Row],[Country]],Table6[80kg Classification],"&gt;0")</f>
        <v>0</v>
      </c>
      <c r="CO204" s="6">
        <f>COUNTIFS(Table6[Country],Tabela1[[#This Row],[Country]],Table6[92kg Classification],"&gt;0")</f>
        <v>0</v>
      </c>
      <c r="CP204" s="6">
        <f>COUNTIFS(Table6[Country],Tabela1[[#This Row],[Country]],Table6[Plus 92kg Classification],"&gt;0")</f>
        <v>0</v>
      </c>
      <c r="CQ204" s="6">
        <f>COUNTIFS(Table7[Country],Tabela1[[#This Row],[Country]],Table7[50kg Classification],"&gt;0")</f>
        <v>0</v>
      </c>
      <c r="CR204" s="6">
        <f>COUNTIFS(Table7[Country],Tabela1[[#This Row],[Country]],Table7[54kg Classification],"&gt;0")</f>
        <v>0</v>
      </c>
      <c r="CS204" s="6">
        <f>COUNTIFS(Table7[Country],Tabela1[[#This Row],[Country]],Table7[57kg Classification],"&gt;0")</f>
        <v>0</v>
      </c>
      <c r="CT204" s="6">
        <f>COUNTIFS(Table7[Country],Tabela1[[#This Row],[Country]],Table7[60kg Classification],"&gt;0")</f>
        <v>0</v>
      </c>
      <c r="CU204" s="6">
        <f>COUNTIFS(Table7[Country],Tabela1[[#This Row],[Country]],Table7[66kg Classification],"&gt;0")</f>
        <v>0</v>
      </c>
      <c r="CV204" s="6">
        <f>COUNTIFS(Table7[Country],Tabela1[[#This Row],[Country]],Table7[75kg Classification],"&gt;0")</f>
        <v>0</v>
      </c>
      <c r="CW204" s="6">
        <f>COUNTIFS(Tabela94[Country],Tabela1[[#This Row],[Country]],Tabela94[Classification],"&gt;0")</f>
        <v>0</v>
      </c>
      <c r="CX204" s="6">
        <f>COUNTIFS(Tabela9499[Country],Tabela1[[#This Row],[Country]],Tabela9499[Classification],"&gt;0")</f>
        <v>0</v>
      </c>
      <c r="CY204" s="6">
        <f>COUNTIFS(Tabela107[Country],Tabela1[[#This Row],[Country]],Tabela107[C1 Slalom Classification],"&gt;0")</f>
        <v>0</v>
      </c>
      <c r="CZ204" s="6">
        <f>COUNTIFS(Tabela107122[Country],Tabela1[[#This Row],[Country]],Tabela107122[C1 Slalom Classification],"&gt;0")</f>
        <v>0</v>
      </c>
      <c r="DA204" s="6">
        <f>COUNTIFS(Tabela107[Country],Tabela1[[#This Row],[Country]],Tabela107[K1 Slalom Classification],"&gt;0")</f>
        <v>0</v>
      </c>
      <c r="DB204" s="6">
        <f>COUNTIFS(Tabela107122[Country],Tabela1[[#This Row],[Country]],Tabela107122[K1 Slalom Classification],"&gt;0")</f>
        <v>0</v>
      </c>
      <c r="DC204" s="6">
        <f>COUNTIFS(Tabela107[Country],Tabela1[[#This Row],[Country]],Tabela107[Kayak Cross Slalom Classification],"&gt;0")</f>
        <v>0</v>
      </c>
      <c r="DD204" s="6">
        <f>COUNTIFS(Tabela107122[Country],Tabela1[[#This Row],[Country]],Tabela107122[Kayak Cross Slalom Classification],"&gt;0")</f>
        <v>0</v>
      </c>
      <c r="DE204" s="6">
        <f>COUNTIFS(Table8[Country],Tabela1[[#This Row],[Country]],Table8[C1 200m Classification],"&gt;0")</f>
        <v>0</v>
      </c>
      <c r="DF204" s="6">
        <f>COUNTIFS(Table40[Country],Tabela1[[#This Row],[Country]],Table40[C1 1000m Classification],"&gt;0")</f>
        <v>0</v>
      </c>
      <c r="DG204" s="6">
        <f>COUNTIFS(Table68[Country],Tabela1[[#This Row],[Country]],Table68[Men''s C2 500m Classification],"&gt;0")</f>
        <v>0</v>
      </c>
      <c r="DH204" s="6">
        <f>COUNTIFS(Table68[Country],Tabela1[[#This Row],[Country]],Table68[Women''s C2 500m Classification],"&gt;0")</f>
        <v>0</v>
      </c>
      <c r="DI204" s="6">
        <f>COUNTIFS(Table8[Country],Tabela1[[#This Row],[Country]],Table8[K1 500m Classification],"&gt;0")</f>
        <v>0</v>
      </c>
      <c r="DJ204" s="6">
        <f>COUNTIFS(Table40[Country],Tabela1[[#This Row],[Country]],Table40[K1 1000m Classification],"&gt;0")</f>
        <v>0</v>
      </c>
      <c r="DK204" s="6">
        <f>COUNTIFS(Table68[Country],Tabela1[[#This Row],[Country]],Table68[Men''s K2 500m Classification],"&gt;0")</f>
        <v>0</v>
      </c>
      <c r="DL204" s="6">
        <f>COUNTIFS(Table68[Country],Tabela1[[#This Row],[Country]],Table68[Women''s K2 500m Classification],"&gt;0")</f>
        <v>0</v>
      </c>
      <c r="DM204" s="6">
        <f>COUNTIFS(Table83[Country],Tabela1[[#This Row],[Country]],Table83[Men''s K4 500m Classification],"&gt;0")</f>
        <v>0</v>
      </c>
      <c r="DN204" s="6">
        <f>COUNTIFS(Table83[Country],Tabela1[[#This Row],[Country]],Table83[Women''s K4 500m Classification],"&gt;0")</f>
        <v>0</v>
      </c>
      <c r="DO204" s="6">
        <f>COUNTIFS(Tabela126[Country],Tabela1[[#This Row],[Country]],Tabela126[Classification],"&gt;0")</f>
        <v>0</v>
      </c>
      <c r="DP204" s="6">
        <f>COUNTIFS(Tabela126130[Country],Tabela1[[#This Row],[Country]],Tabela126130[Classification],"&gt;0")</f>
        <v>0</v>
      </c>
      <c r="DQ204" s="6">
        <f>COUNTIFS(Table70[Country],Tabela1[[#This Row],[Country]],Table70[Classification],"&gt;0")</f>
        <v>0</v>
      </c>
      <c r="DR204" s="6">
        <f>COUNTIFS(Table80[Country],Tabela1[[#This Row],[Country]],Table80[Classification],"&gt;0")</f>
        <v>0</v>
      </c>
      <c r="DS204" s="6">
        <f>COUNTIFS(Table66[Country],Tabela1[[#This Row],[Country]],Table66[Classification],"&gt;0")</f>
        <v>0</v>
      </c>
      <c r="DT204" s="6">
        <f>COUNTIFS(Table67[Country],Tabela1[[#This Row],[Country]],Table67[Classification],"&gt;0")</f>
        <v>0</v>
      </c>
      <c r="DU204" s="6">
        <f>COUNTIFS(Table69[Country],Tabela1[[#This Row],[Country]],Table69[Keirin Classification],"&gt;0")</f>
        <v>0</v>
      </c>
      <c r="DV204" s="6">
        <f>COUNTIFS(Table41[Country],Tabela1[[#This Row],[Country]],Table41[Keirin Classification],"&gt;0")</f>
        <v>0</v>
      </c>
      <c r="DW204" s="6">
        <f>COUNTIFS(Table84[Country],Tabela1[[#This Row],[Country]],Table84[Men''s Madison Classification],"&gt;0")</f>
        <v>0</v>
      </c>
      <c r="DX204" s="6">
        <f>COUNTIFS(Table84[Country],Tabela1[[#This Row],[Country]],Table84[Women''s Madison Classification],"&gt;0")</f>
        <v>0</v>
      </c>
      <c r="DY204" s="6">
        <f>COUNTIFS(Table69[Country],Tabela1[[#This Row],[Country]],Table69[Omnium Classification],"&gt;0")</f>
        <v>0</v>
      </c>
      <c r="DZ204" s="6">
        <f>COUNTIFS(Table41[Country],Tabela1[[#This Row],[Country]],Table41[Omnium Classification],"&gt;0")</f>
        <v>0</v>
      </c>
      <c r="EA204" s="6">
        <f>COUNTIFS(Table9[Country],Tabela1[[#This Row],[Country]],Table9[Road Race Classification],"&gt;0")</f>
        <v>0</v>
      </c>
      <c r="EB204" s="6">
        <f>COUNTIFS(Table14[Country],Tabela1[[#This Row],[Country]],Table14[Road Race Classification],"&gt;0")</f>
        <v>0</v>
      </c>
      <c r="EC204" s="6">
        <f>COUNTIFS(Table69[Country],Tabela1[[#This Row],[Country]],Table69[Sprint Classification],"&gt;0")</f>
        <v>0</v>
      </c>
      <c r="ED204" s="6">
        <f>COUNTIFS(Table41[Country],Tabela1[[#This Row],[Country]],Table41[Sprint Classification],"&gt;0")</f>
        <v>0</v>
      </c>
      <c r="EE204" s="6">
        <f>COUNTIFS(Table85[Country],Tabela1[[#This Row],[Country]],Table85[Men''s Sprint Classification],"&gt;0")</f>
        <v>0</v>
      </c>
      <c r="EF204" s="6">
        <f>COUNTIFS(Table85[Country],Tabela1[[#This Row],[Country]],Table85[Women''s Sprint Classification],"&gt;0")</f>
        <v>0</v>
      </c>
      <c r="EG204" s="6">
        <f>COUNTIFS(Table85[Country],Tabela1[[#This Row],[Country]],Table85[Men''s Pursuit Classification],"&gt;0")</f>
        <v>0</v>
      </c>
      <c r="EH204" s="6">
        <f>COUNTIFS(Table85[Country],Tabela1[[#This Row],[Country]],Table85[Women''s Pursuit Classification],"&gt;0")</f>
        <v>0</v>
      </c>
      <c r="EI204" s="6">
        <f>COUNTIFS(Table9[Country],Tabela1[[#This Row],[Country]],Table9[Time-Trial Classification],"&gt;0")</f>
        <v>0</v>
      </c>
      <c r="EJ204" s="6">
        <f>COUNTIFS(Table14[Country],Tabela1[[#This Row],[Country]],Table14[Time-Trial Classification],"&gt;0")</f>
        <v>0</v>
      </c>
      <c r="EK204" s="6">
        <f>COUNTIFS(Table42[Country],Tabela1[[#This Row],[Country]],Table42[Springboard Classification],"&gt;0")</f>
        <v>0</v>
      </c>
      <c r="EL204" s="6">
        <f>COUNTIFS(Table43[Country],Tabela1[[#This Row],[Country]],Table43[Springboard Classification],"&gt;0")</f>
        <v>0</v>
      </c>
      <c r="EM204" s="6">
        <f>COUNTIFS(Table42[Country],Tabela1[[#This Row],[Country]],Table42[Platform Classification],"&gt;0")</f>
        <v>0</v>
      </c>
      <c r="EN204" s="6">
        <f>COUNTIFS(Table43[Country],Tabela1[[#This Row],[Country]],Table43[Platform Classification],"&gt;0")</f>
        <v>0</v>
      </c>
      <c r="EO204" s="6">
        <f>COUNTIFS(Table86[Country],Tabela1[[#This Row],[Country]],Table86[Men''s Synchronized Springboard Classification],"&gt;0")</f>
        <v>0</v>
      </c>
      <c r="EP204" s="6">
        <f>COUNTIFS(Table86[Country],Tabela1[[#This Row],[Country]],Table86[Women''s Synchronized Springboard Classification],"&gt;0")</f>
        <v>0</v>
      </c>
      <c r="EQ204" s="6">
        <f>COUNTIFS(Table86[Country],Tabela1[[#This Row],[Country]],Table86[Men''s Synchronized Platform Classification],"&gt;0")</f>
        <v>0</v>
      </c>
      <c r="ER204" s="6">
        <f>COUNTIFS(Table86[Country],Tabela1[[#This Row],[Country]],Table86[Women''s Synchronized Platform Classification],"&gt;0")</f>
        <v>0</v>
      </c>
      <c r="ES204" s="6">
        <f>COUNTIFS(Table44[Country],Tabela1[[#This Row],[Country]],Table44[Dressage Classification],"&gt;0")</f>
        <v>0</v>
      </c>
      <c r="ET204" s="6">
        <f>COUNTIFS(Table45[Country],Tabela1[[#This Row],[Country]],Table45[Dressage Classification],"&gt;0")</f>
        <v>0</v>
      </c>
      <c r="EU204" s="6">
        <f>COUNTIFS(Table44[Country],Tabela1[[#This Row],[Country]],Table44[Eventing Classification],"&gt;0")</f>
        <v>0</v>
      </c>
      <c r="EV204" s="6">
        <f>COUNTIFS(Table45[Country],Tabela1[[#This Row],[Country]],Table45[Eventing Classification],"&gt;0")</f>
        <v>0</v>
      </c>
      <c r="EW204" s="6">
        <f>COUNTIFS(Table44[Country],Tabela1[[#This Row],[Country]],Table44[Jumping Classification],"&gt;0")</f>
        <v>0</v>
      </c>
      <c r="EX204" s="6">
        <f>COUNTIFS(Table45[Country],Tabela1[[#This Row],[Country]],Table45[Jumping Classification],"&gt;0")</f>
        <v>0</v>
      </c>
      <c r="EY204" s="6">
        <f>COUNTIFS(Table10[Country],Tabela1[[#This Row],[Country]],Table10[Épée Classification],"&gt;0")</f>
        <v>0</v>
      </c>
      <c r="EZ204" s="6">
        <f>COUNTIFS(Table11[Country],Tabela1[[#This Row],[Country]],Table11[Épée Classification],"&gt;0")</f>
        <v>0</v>
      </c>
      <c r="FA204" s="6">
        <f>COUNTIFS(Table46[Country],Tabela1[[#This Row],[Country]],Table46[Men''s Épée Classification],"&gt;0")</f>
        <v>0</v>
      </c>
      <c r="FB204" s="6">
        <f>COUNTIFS(Table46[Country],Tabela1[[#This Row],[Country]],Table46[Women''s Épée Classification],"&gt;0")</f>
        <v>0</v>
      </c>
      <c r="FC204" s="6">
        <f>COUNTIFS(Table10[Country],Tabela1[[#This Row],[Country]],Table10[Foil Classification],"&gt;0")</f>
        <v>0</v>
      </c>
      <c r="FD204" s="6">
        <f>COUNTIFS(Table11[Country],Tabela1[[#This Row],[Country]],Table11[Foil Classification],"&gt;0")</f>
        <v>0</v>
      </c>
      <c r="FE204" s="6">
        <f>COUNTIFS(Table46[Country],Tabela1[[#This Row],[Country]],Table46[Men''s Foil Classification],"&gt;0")</f>
        <v>0</v>
      </c>
      <c r="FF204" s="6">
        <f>COUNTIFS(Table46[Country],Tabela1[[#This Row],[Country]],Table46[Women''s Foil Classification],"&gt;0")</f>
        <v>0</v>
      </c>
      <c r="FG204" s="6">
        <f>COUNTIFS(Table10[Country],Tabela1[[#This Row],[Country]],Table10[Sabre Classification],"&gt;0")</f>
        <v>0</v>
      </c>
      <c r="FH204" s="6">
        <f>COUNTIFS(Table11[Country],Tabela1[[#This Row],[Country]],Table11[Sabre Classification],"&gt;0")</f>
        <v>0</v>
      </c>
      <c r="FI204" s="6">
        <f>COUNTIFS(Table46[Country],Tabela1[[#This Row],[Country]],Table46[Men''s Sabre Classification],"&gt;0")</f>
        <v>0</v>
      </c>
      <c r="FJ204" s="6">
        <f>COUNTIFS(Table46[Country],Tabela1[[#This Row],[Country]],Table46[Women''s Sabre Classification],"&gt;0")</f>
        <v>0</v>
      </c>
      <c r="FK204" s="6">
        <f>COUNTIFS(Table91[Country],Tabela1[[#This Row],[Country]],Table91[Men''s Classification],"&gt;0")</f>
        <v>0</v>
      </c>
      <c r="FL204" s="6">
        <f>COUNTIFS(Table91[Country],Tabela1[[#This Row],[Country]],Table91[Women''s Classification],"&gt;0")</f>
        <v>0</v>
      </c>
      <c r="FM204" s="6">
        <f>COUNTIFS(Table9194[Country],Tabela1[[#This Row],[Country]],Table9194[Men''s Classification],"&gt;0")</f>
        <v>0</v>
      </c>
      <c r="FN204" s="6">
        <f>COUNTIFS(Table9194[Country],Tabela1[[#This Row],[Country]],Table9194[Women''s Classification],"&gt;0")</f>
        <v>0</v>
      </c>
      <c r="FO204" s="6">
        <f>COUNTIFS(Table71[Country],Tabela1[[#This Row],[Country]],Table71[Classification],"&gt;0")</f>
        <v>0</v>
      </c>
      <c r="FP204" s="6">
        <f>COUNTIFS(Table62[Country],Tabela1[[#This Row],[Country]],Table62[Classification],"&gt;0")</f>
        <v>0</v>
      </c>
      <c r="FQ204" s="6">
        <f>COUNTIFS(Table47[Country],Tabela1[[#This Row],[Country]],Table47[All-Around Classification],"&gt;0")</f>
        <v>0</v>
      </c>
      <c r="FR204" s="6">
        <f>COUNTIFS(Table48[Country],Tabela1[[#This Row],[Country]],Table48[All-Around Classification],"&gt;0")</f>
        <v>0</v>
      </c>
      <c r="FS204" s="6">
        <f>COUNTIFS(Table81[Country],Tabela1[[#This Row],[Country]],Table81[Men''s All-Around Classification],"&gt;0")</f>
        <v>0</v>
      </c>
      <c r="FT204" s="6">
        <f>COUNTIFS(Table81[Country],Tabela1[[#This Row],[Country]],Table81[Women''s All-Around Classification],"&gt;0")</f>
        <v>0</v>
      </c>
      <c r="FU204" s="6">
        <f>COUNTIFS(Table48[Country],Tabela1[[#This Row],[Country]],Table48[Balance Beam Classification],"&gt;0")</f>
        <v>0</v>
      </c>
      <c r="FV204" s="6">
        <f>COUNTIFS(Table47[Country],Tabela1[[#This Row],[Country]],Table47[Floor Exercise Classification],"&gt;0")</f>
        <v>0</v>
      </c>
      <c r="FW204" s="6">
        <f>COUNTIFS(Table48[Country],Tabela1[[#This Row],[Country]],Table48[Floor Exercise Classification],"&gt;0")</f>
        <v>0</v>
      </c>
      <c r="FX204" s="6">
        <f>COUNTIFS(Table47[Country],Tabela1[[#This Row],[Country]],Table47[Horizontal Bar Classification],"&gt;0")</f>
        <v>0</v>
      </c>
      <c r="FY204" s="6">
        <f>COUNTIFS(Table47[Country],Tabela1[[#This Row],[Country]],Table47[Parallel Bars Classification],"&gt;0")</f>
        <v>0</v>
      </c>
      <c r="FZ204" s="6">
        <f>COUNTIFS(Table47[Country],Tabela1[[#This Row],[Country]],Table47[Pommel Horse Classification],"&gt;0")</f>
        <v>0</v>
      </c>
      <c r="GA204" s="6">
        <f>COUNTIFS(Table47[Country],Tabela1[[#This Row],[Country]],Table47[Rings Classification],"&gt;0")</f>
        <v>0</v>
      </c>
      <c r="GB204" s="6">
        <f>COUNTIFS(Tabela132[Country],Tabela1[[#This Row],[Country]],Tabela132[Classification],"&gt;0")</f>
        <v>0</v>
      </c>
      <c r="GC204" s="6">
        <f>COUNTIFS(Tabela139[Country],Tabela1[[#This Row],[Country]],Tabela139[Classification],"&gt;0")</f>
        <v>0</v>
      </c>
      <c r="GD204" s="6">
        <f>COUNTIFS(Table48[Country],Tabela1[[#This Row],[Country]],Table48[Uneven Bars Classification],"&gt;0")</f>
        <v>0</v>
      </c>
      <c r="GE204" s="6">
        <f>COUNTIFS(Table47[Country],Tabela1[[#This Row],[Country]],Table47[Vault Classification],"&gt;0")</f>
        <v>0</v>
      </c>
      <c r="GF204" s="6">
        <f>COUNTIFS(Table48[Country],Tabela1[[#This Row],[Country]],Table48[Vault Classification],"&gt;0")</f>
        <v>0</v>
      </c>
      <c r="GG204" s="6">
        <f>COUNTIFS(Table919496[Country],Tabela1[[#This Row],[Country]],Table919496[Men''s Classification],"&gt;0")</f>
        <v>0</v>
      </c>
      <c r="GH204" s="6">
        <f>COUNTIFS(Table919496[Country],Tabela1[[#This Row],[Country]],Table919496[Women''s Classification],"&gt;0")</f>
        <v>0</v>
      </c>
      <c r="GI204" s="6">
        <f>COUNTIFS(Table12[Country],Tabela1[[#This Row],[Country]],Table12[60kg Classification],"&gt;0")</f>
        <v>0</v>
      </c>
      <c r="GJ204" s="6">
        <f>COUNTIFS(Table12[Country],Tabela1[[#This Row],[Country]],Table12[66kg Classification],"&gt;0")</f>
        <v>0</v>
      </c>
      <c r="GK204" s="6">
        <f>COUNTIFS(Table12[Country],Tabela1[[#This Row],[Country]],Table12[73kg Classification],"&gt;0")</f>
        <v>0</v>
      </c>
      <c r="GL204" s="6">
        <f>COUNTIFS(Table12[Country],Tabela1[[#This Row],[Country]],Table12[81kg Classification],"&gt;0")</f>
        <v>0</v>
      </c>
      <c r="GM204" s="6">
        <f>COUNTIFS(Table12[Country],Tabela1[[#This Row],[Country]],Table12[90kg Classification],"&gt;0")</f>
        <v>0</v>
      </c>
      <c r="GN204" s="6">
        <f>COUNTIFS(Table12[Country],Tabela1[[#This Row],[Country]],Table12[100kg Classification],"&gt;0")</f>
        <v>0</v>
      </c>
      <c r="GO204" s="6">
        <f>COUNTIFS(Table12[Country],Tabela1[[#This Row],[Country]],Table12[Plus 100kg Classification],"&gt;0")</f>
        <v>0</v>
      </c>
      <c r="GP204" s="6">
        <f>COUNTIFS(Table13[Country],Tabela1[[#This Row],[Country]],Table13[48kg Classification],"&gt;0")</f>
        <v>0</v>
      </c>
      <c r="GQ204" s="6">
        <f>COUNTIFS(Table13[Country],Tabela1[[#This Row],[Country]],Table13[52kg Classification],"&gt;0")</f>
        <v>0</v>
      </c>
      <c r="GR204" s="6">
        <f>COUNTIFS(Table13[Country],Tabela1[[#This Row],[Country]],Table13[57kg Classification],"&gt;0")</f>
        <v>0</v>
      </c>
      <c r="GS204" s="6">
        <f>COUNTIFS(Table13[Country],Tabela1[[#This Row],[Country]],Table13[63kg Classification],"&gt;0")</f>
        <v>0</v>
      </c>
      <c r="GT204" s="6">
        <f>COUNTIFS(Table13[Country],Tabela1[[#This Row],[Country]],Table13[70kg Classification],"&gt;0")</f>
        <v>0</v>
      </c>
      <c r="GU204" s="6">
        <f>COUNTIFS(Table13[Country],Tabela1[[#This Row],[Country]],Table13[78kg Classification],"&gt;0")</f>
        <v>0</v>
      </c>
      <c r="GV204" s="6">
        <f>COUNTIFS(Table13[Country],Tabela1[[#This Row],[Country]],Table13[Plus 78kg Classification],"&gt;0")</f>
        <v>0</v>
      </c>
      <c r="GW204" s="6">
        <f>COUNTIFS(Table82[Country],Tabela1[[#This Row],[Country]],Table82[Mixed Classification],"&gt;0")</f>
        <v>0</v>
      </c>
      <c r="GX204" s="6">
        <f>COUNTIFS(Table51[Country],Tabela1[[#This Row],[Country]],Table51[Classification],"&gt;0")</f>
        <v>0</v>
      </c>
      <c r="GY204" s="6">
        <f>COUNTIFS(Table52[Country],Tabela1[[#This Row],[Country]],Table52[Classification],"&gt;0")</f>
        <v>0</v>
      </c>
      <c r="GZ204" s="6">
        <f>COUNTIFS(Table32[Country],Tabela1[[#This Row],[Country]],Table32[All-Around Classification],"&gt;0")</f>
        <v>0</v>
      </c>
      <c r="HA204" s="6">
        <f>COUNTIFS(Table49[Country],Tabela1[[#This Row],[Country]],Table49[All-Around Classification],"&gt;0")</f>
        <v>0</v>
      </c>
      <c r="HB204" s="6">
        <f>COUNTIFS(Table26[Country],Tabela1[[#This Row],[Country]],Table26[Single Sculls Classification],"&gt;0")</f>
        <v>0</v>
      </c>
      <c r="HC204" s="6">
        <f>COUNTIFS(Table63[Country],Tabela1[[#This Row],[Country]],Table63[Single Sculls Classification],"&gt;0")</f>
        <v>0</v>
      </c>
      <c r="HD204" s="6">
        <f>COUNTIFS(Table16[Country],Tabela1[[#This Row],[Country]],Table16[Men''s Double Sculls Classification],"&gt;0")</f>
        <v>0</v>
      </c>
      <c r="HE204" s="6">
        <f>COUNTIFS(Table16[Country],Tabela1[[#This Row],[Country]],Table16[Women''s Double Sculls Classification],"&gt;0")</f>
        <v>0</v>
      </c>
      <c r="HF204" s="6">
        <f>COUNTIFS(Table72[Country],Tabela1[[#This Row],[Country]],Table72[Men''s Quadruple Sculls Classification],"&gt;0")</f>
        <v>0</v>
      </c>
      <c r="HG204" s="6">
        <f>COUNTIFS(Table72[Country],Tabela1[[#This Row],[Country]],Table72[Women''s Quadruple Sculls Classification],"&gt;0")</f>
        <v>0</v>
      </c>
      <c r="HH204" s="6">
        <f>COUNTIFS(Table16[Country],Tabela1[[#This Row],[Country]],Table16[Men''s Coxless Pairs Classification],"&gt;0")</f>
        <v>0</v>
      </c>
      <c r="HI204" s="6">
        <f>COUNTIFS(Table16[Country],Tabela1[[#This Row],[Country]],Table16[Women''s Coxless Pairs Classification],"&gt;0")</f>
        <v>0</v>
      </c>
      <c r="HJ204" s="6">
        <f>COUNTIFS(Table72[Country],Tabela1[[#This Row],[Country]],Table72[Men''s Coxless Fours Classification],"&gt;0")</f>
        <v>0</v>
      </c>
      <c r="HK204" s="6">
        <f>COUNTIFS(Table72[Country],Tabela1[[#This Row],[Country]],Table72[Women''s Coxless Fours Classification],"&gt;0")</f>
        <v>0</v>
      </c>
      <c r="HL204" s="6">
        <f>COUNTIFS(Table72[Country],Tabela1[[#This Row],[Country]],Table72[Men''s Eights Classification],"&gt;0")</f>
        <v>0</v>
      </c>
      <c r="HM204" s="6">
        <f>COUNTIFS(Table72[Country],Tabela1[[#This Row],[Country]],Table72[Women''s Eights Classification],"&gt;0")</f>
        <v>0</v>
      </c>
      <c r="HN204" s="6">
        <f>COUNTIFS(Table16[Country],Tabela1[[#This Row],[Country]],Table16[Men''s Lwt. Double Sculls Classification],"&gt;0")</f>
        <v>0</v>
      </c>
      <c r="HO204" s="6">
        <f>COUNTIFS(Table16[Country],Tabela1[[#This Row],[Country]],Table16[Women''s Lwt. Double Sculls Classification],"&gt;0")</f>
        <v>0</v>
      </c>
      <c r="HP204" s="6">
        <f>COUNTIFS(Table91949698[Country],Tabela1[[#This Row],[Country]],Table91949698[Men''s Classification],"&gt;0")</f>
        <v>0</v>
      </c>
      <c r="HQ204" s="6">
        <f>COUNTIFS(Table91949698[Country],Tabela1[[#This Row],[Country]],Table91949698[Women''s Classification],"&gt;0")</f>
        <v>0</v>
      </c>
      <c r="HR204" s="6">
        <f>COUNTIFS(Table25[Country],Tabela1[[#This Row],[Country]],Table25[Mixed 470 Classification],"&gt;0")</f>
        <v>0</v>
      </c>
      <c r="HS204" s="6">
        <f>COUNTIFS(Table25[Country],Tabela1[[#This Row],[Country]],Table25[Men''s 49er Classification],"&gt;0")</f>
        <v>0</v>
      </c>
      <c r="HT204" s="6">
        <f>COUNTIFS(Table25[Country],Tabela1[[#This Row],[Country]],Table25[Women''s 49er FX Classification],"&gt;0")</f>
        <v>0</v>
      </c>
      <c r="HU204" s="6">
        <f>COUNTIFS(Table17[Country],Tabela1[[#This Row],[Country]],Table17[Formula Kite Classification],"&gt;0")</f>
        <v>0</v>
      </c>
      <c r="HV204" s="6">
        <f>COUNTIFS(Table18[Country],Tabela1[[#This Row],[Country]],Table18[Formula Kite Classification],"&gt;0")</f>
        <v>0</v>
      </c>
      <c r="HW204" s="6">
        <f>COUNTIFS(Table17[Country],Tabela1[[#This Row],[Country]],Table17[ILCA 7 Classification],"&gt;0")</f>
        <v>0</v>
      </c>
      <c r="HX204" s="6">
        <f>COUNTIFS(Table18[Country],Tabela1[[#This Row],[Country]],Table18[ILCA 6 Classification],"&gt;0")</f>
        <v>0</v>
      </c>
      <c r="HY204" s="6">
        <f>COUNTIFS(Table17[Country],Tabela1[[#This Row],[Country]],Table17[IQFoil Classification],"&gt;0")</f>
        <v>0</v>
      </c>
      <c r="HZ204" s="6">
        <f>COUNTIFS(Table18[Country],Tabela1[[#This Row],[Country]],Table18[IQFoil Classification],"&gt;0")</f>
        <v>0</v>
      </c>
      <c r="IA204" s="6">
        <f>COUNTIFS(Table25[Country],Tabela1[[#This Row],[Country]],Table25[Mixed Nacra 17 Classification],"&gt;0")</f>
        <v>0</v>
      </c>
      <c r="IB204" s="6">
        <f>COUNTIFS(Table53[Country],Tabela1[[#This Row],[Country]],Table53[10m Air Pistol Classification],"&gt;0")</f>
        <v>0</v>
      </c>
      <c r="IC204" s="6">
        <f>COUNTIFS(Table19[Country],Tabela1[[#This Row],[Country]],Table19[10m Air Pistol Classification],"&gt;0")</f>
        <v>0</v>
      </c>
      <c r="ID204" s="6">
        <f>COUNTIFS(Table54[Country],Tabela1[[#This Row],[Country]],Table54[Mixed 10m Air Pistol Team Classification],"&gt;0")</f>
        <v>0</v>
      </c>
      <c r="IE204" s="6">
        <f>COUNTIFS(Table53[Country],Tabela1[[#This Row],[Country]],Table53[10m Air Rifle Classification],"&gt;0")</f>
        <v>0</v>
      </c>
      <c r="IF204" s="6">
        <f>COUNTIFS(Table19[Country],Tabela1[[#This Row],[Country]],Table19[10m Air Rifle Classification],"&gt;0")</f>
        <v>0</v>
      </c>
      <c r="IG204" s="6">
        <f>COUNTIFS(Table54[Country],Tabela1[[#This Row],[Country]],Table54[Mixed 10m Air Rifle Team Classification],"&gt;0")</f>
        <v>0</v>
      </c>
      <c r="IH204" s="6">
        <f>COUNTIFS(Table53[Country],Tabela1[[#This Row],[Country]],Table53[25m Rapid Fire Pistol Classification],"&gt;0")</f>
        <v>0</v>
      </c>
      <c r="II204" s="6">
        <f>COUNTIFS(Table19[Country],Tabela1[[#This Row],[Country]],Table19[25m Pistol Classification],"&gt;0")</f>
        <v>0</v>
      </c>
      <c r="IJ204" s="6">
        <f>COUNTIFS(Table53[Country],Tabela1[[#This Row],[Country]],Table53[50m Rifle 3 Positions Classification],"&gt;0")</f>
        <v>0</v>
      </c>
      <c r="IK204" s="6">
        <f>COUNTIFS(Table19[Country],Tabela1[[#This Row],[Country]],Table19[50m Rifle 3 Positions Classification],"&gt;0")</f>
        <v>0</v>
      </c>
      <c r="IL204" s="6">
        <f>COUNTIFS(Table53[Country],Tabela1[[#This Row],[Country]],Table53[Skeet Classification],"&gt;0")</f>
        <v>0</v>
      </c>
      <c r="IM204" s="6">
        <f>COUNTIFS(Table19[Country],Tabela1[[#This Row],[Country]],Table19[Skeet Classification],"&gt;0")</f>
        <v>0</v>
      </c>
      <c r="IN204" s="6">
        <f>COUNTIFS(Table54[Country],Tabela1[[#This Row],[Country]],Table54[Mixed Skeet Team Classification],"&gt;0")</f>
        <v>0</v>
      </c>
      <c r="IO204" s="6">
        <f>COUNTIFS(Table53[Country],Tabela1[[#This Row],[Country]],Table53[Trap Classification],"&gt;0")</f>
        <v>0</v>
      </c>
      <c r="IP204" s="6">
        <f>COUNTIFS(Table19[Country],Tabela1[[#This Row],[Country]],Table19[Trap Classification],"&gt;0")</f>
        <v>0</v>
      </c>
      <c r="IQ204" s="6">
        <f>COUNTIFS(Table73[Country],Tabela1[[#This Row],[Country]],Table73[Park Classification],"&gt;0")</f>
        <v>0</v>
      </c>
      <c r="IR204" s="6">
        <f>COUNTIFS(Table74[Country],Tabela1[[#This Row],[Country]],Table74[Park Classification],"&gt;0")</f>
        <v>0</v>
      </c>
      <c r="IS204" s="6">
        <f>COUNTIFS(Table73[Country],Tabela1[[#This Row],[Country]],Table73[Street Classification],"&gt;0")</f>
        <v>0</v>
      </c>
      <c r="IT204" s="6">
        <f>COUNTIFS(Table74[Country],Tabela1[[#This Row],[Country]],Table74[Street Classification],"&gt;0")</f>
        <v>0</v>
      </c>
      <c r="IU204" s="6">
        <f>COUNTIFS(Table75[Country],Tabela1[[#This Row],[Country]],Table75[Boulder and Lead Classification],"&gt;0")</f>
        <v>0</v>
      </c>
      <c r="IV204" s="6">
        <f>COUNTIFS(Table76[Country],Tabela1[[#This Row],[Country]],Table76[Boulder and Lead Classification],"&gt;0")</f>
        <v>0</v>
      </c>
      <c r="IW204" s="6">
        <f>COUNTIFS(Table75[Country],Tabela1[[#This Row],[Country]],Table75[Speed Classification],"&gt;0")</f>
        <v>0</v>
      </c>
      <c r="IX204" s="6">
        <f>COUNTIFS(Table76[Country],Tabela1[[#This Row],[Country]],Table76[Speed Classification],"&gt;0")</f>
        <v>0</v>
      </c>
      <c r="IY204" s="6">
        <f>COUNTIFS(Table64[Country],Tabela1[[#This Row],[Country]],Table64[Shortboard Classification],"&gt;0")</f>
        <v>0</v>
      </c>
      <c r="IZ204" s="6">
        <f>COUNTIFS(Table77[Country],Tabela1[[#This Row],[Country]],Table77[Shortboard Classification],"&gt;0")</f>
        <v>0</v>
      </c>
      <c r="JA204" s="6">
        <f>COUNTIFS(Table20[Country],Tabela1[[#This Row],[Country]],Table20[50m Freestyle Classification],"&gt;0")</f>
        <v>0</v>
      </c>
      <c r="JB204" s="6">
        <f>COUNTIFS(Table21[Country],Tabela1[[#This Row],[Country]],Table21[50m Freestyle Classification],"&gt;0")</f>
        <v>0</v>
      </c>
      <c r="JC204" s="6">
        <f>COUNTIFS(Table20[Country],Tabela1[[#This Row],[Country]],Table20[100m Freestyle Classification],"&gt;0")</f>
        <v>0</v>
      </c>
      <c r="JD204" s="6">
        <f>COUNTIFS(Table21[Country],Tabela1[[#This Row],[Country]],Table21[100m Freestyle Classification],"&gt;0")</f>
        <v>0</v>
      </c>
      <c r="JE204" s="6">
        <f>COUNTIFS(Table20[Country],Tabela1[[#This Row],[Country]],Table20[200m Freestyle Classification],"&gt;0")</f>
        <v>0</v>
      </c>
      <c r="JF204" s="6">
        <f>COUNTIFS(Table21[Country],Tabela1[[#This Row],[Country]],Table21[200m Freestyle Classification],"&gt;0")</f>
        <v>0</v>
      </c>
      <c r="JG204" s="6">
        <f>COUNTIFS(Table20[Country],Tabela1[[#This Row],[Country]],Table20[400m Freestyle Classification],"&gt;0")</f>
        <v>0</v>
      </c>
      <c r="JH204" s="6">
        <f>COUNTIFS(Table21[Country],Tabela1[[#This Row],[Country]],Table21[400m Freestyle Classification],"&gt;0")</f>
        <v>0</v>
      </c>
      <c r="JI204" s="6">
        <f>COUNTIFS(Table20[Country],Tabela1[[#This Row],[Country]],Table20[800m Freestyle Classification],"&gt;0")</f>
        <v>0</v>
      </c>
      <c r="JJ204" s="6">
        <f>COUNTIFS(Table21[Country],Tabela1[[#This Row],[Country]],Table21[800m Freestyle Classification],"&gt;0")</f>
        <v>0</v>
      </c>
      <c r="JK204" s="6">
        <f>COUNTIFS(Table20[Country],Tabela1[[#This Row],[Country]],Table20[1500m Freestyle Classification],"&gt;0")</f>
        <v>0</v>
      </c>
      <c r="JL204" s="6">
        <f>COUNTIFS(Table21[Country],Tabela1[[#This Row],[Country]],Table21[1500m Freestyle Classification],"&gt;0")</f>
        <v>0</v>
      </c>
      <c r="JM204" s="6">
        <f>COUNTIFS(Table20[Country],Tabela1[[#This Row],[Country]],Table20[100m Backstroke Classification],"&gt;0")</f>
        <v>0</v>
      </c>
      <c r="JN204" s="6">
        <f>COUNTIFS(Table21[Country],Tabela1[[#This Row],[Country]],Table21[100m Backstroke Classification],"&gt;0")</f>
        <v>0</v>
      </c>
      <c r="JO204" s="6">
        <f>COUNTIFS(Table20[Country],Tabela1[[#This Row],[Country]],Table20[200m Backstroke Classification],"&gt;0")</f>
        <v>0</v>
      </c>
      <c r="JP204" s="6">
        <f>COUNTIFS(Table21[Country],Tabela1[[#This Row],[Country]],Table21[200m Backstroke Classification],"&gt;0")</f>
        <v>0</v>
      </c>
      <c r="JQ204" s="6">
        <f>COUNTIFS(Table20[Country],Tabela1[[#This Row],[Country]],Table20[100m Breaststroke Classification],"&gt;0")</f>
        <v>0</v>
      </c>
      <c r="JR204" s="6">
        <f>COUNTIFS(Table21[Country],Tabela1[[#This Row],[Country]],Table21[100m Breaststroke Classification],"&gt;0")</f>
        <v>0</v>
      </c>
      <c r="JS204" s="6">
        <f>COUNTIFS(Table20[Country],Tabela1[[#This Row],[Country]],Table20[200m Breaststroke Classification],"&gt;0")</f>
        <v>0</v>
      </c>
      <c r="JT204" s="6">
        <f>COUNTIFS(Table21[Country],Tabela1[[#This Row],[Country]],Table21[200m Breaststroke Classification],"&gt;0")</f>
        <v>0</v>
      </c>
      <c r="JU204" s="6">
        <f>COUNTIFS(Table20[Country],Tabela1[[#This Row],[Country]],Table20[100m Butterfly Classification],"&gt;0")</f>
        <v>0</v>
      </c>
      <c r="JV204" s="6">
        <f>COUNTIFS(Table21[Country],Tabela1[[#This Row],[Country]],Table21[100m Butterfly Classification],"&gt;0")</f>
        <v>0</v>
      </c>
      <c r="JW204" s="6">
        <f>COUNTIFS(Table20[Country],Tabela1[[#This Row],[Country]],Table20[200m Butterfly Classification],"&gt;0")</f>
        <v>0</v>
      </c>
      <c r="JX204" s="6">
        <f>COUNTIFS(Table21[Country],Tabela1[[#This Row],[Country]],Table21[200m Butterfly Classification],"&gt;0")</f>
        <v>0</v>
      </c>
      <c r="JY204" s="6">
        <f>COUNTIFS(Table20[Country],Tabela1[[#This Row],[Country]],Table20[200m Medley Classification],"&gt;0")</f>
        <v>0</v>
      </c>
      <c r="JZ204" s="6">
        <f>COUNTIFS(Table21[Country],Tabela1[[#This Row],[Country]],Table21[200m Medley Classification],"&gt;0")</f>
        <v>0</v>
      </c>
      <c r="KA204" s="6">
        <f>COUNTIFS(Table20[Country],Tabela1[[#This Row],[Country]],Table20[400m Medley Classification],"&gt;0")</f>
        <v>0</v>
      </c>
      <c r="KB204" s="6">
        <f>COUNTIFS(Table21[Country],Tabela1[[#This Row],[Country]],Table21[400m Medley Classification],"&gt;0")</f>
        <v>0</v>
      </c>
      <c r="KC204" s="6">
        <f>COUNTIFS(Table78[Country],Tabela1[[#This Row],[Country]],Table78[Men''s 4x100m Freestyle Relay Classification],"&gt;0")</f>
        <v>0</v>
      </c>
      <c r="KD204" s="6">
        <f>COUNTIFS(Table78[Country],Tabela1[[#This Row],[Country]],Table78[Women''s 4x100m Freestyle Relay Classification],"&gt;0")</f>
        <v>0</v>
      </c>
      <c r="KE204" s="6">
        <f>COUNTIFS(Table78[Country],Tabela1[[#This Row],[Country]],Table78[Men''s 4x200m Freestyle Relay Classification],"&gt;0")</f>
        <v>0</v>
      </c>
      <c r="KF204" s="6">
        <f>COUNTIFS(Table78[Country],Tabela1[[#This Row],[Country]],Table78[Women''s 4x200m Freestyle Relay Classification],"&gt;0")</f>
        <v>0</v>
      </c>
      <c r="KG204" s="6">
        <f>COUNTIFS(Table78[Country],Tabela1[[#This Row],[Country]],Table78[Men''s 4x100m Medley Relay Classification],"&gt;0")</f>
        <v>0</v>
      </c>
      <c r="KH204" s="6">
        <f>COUNTIFS(Table78[Country],Tabela1[[#This Row],[Country]],Table78[Women''s 4x100m Medley Relay Classification],"&gt;0")</f>
        <v>0</v>
      </c>
      <c r="KI204" s="6">
        <f>COUNTIFS(Table78[Country],Tabela1[[#This Row],[Country]],Table78[Mixed 4x100m Medley Relay Classification],"&gt;0")</f>
        <v>0</v>
      </c>
      <c r="KJ204" s="6">
        <f>COUNTIFS(Table20[Country],Tabela1[[#This Row],[Country]],Table20[10km Open Water Classification],"&gt;0")</f>
        <v>0</v>
      </c>
      <c r="KK204" s="6">
        <f>COUNTIFS(Table21[Country],Tabela1[[#This Row],[Country]],Table21[10km Open Water Classification],"&gt;0")</f>
        <v>0</v>
      </c>
      <c r="KL204" s="6">
        <f>COUNTIFS(Table22[Country],Tabela1[[#This Row],[Country]],Table22[Classification],"&gt;0")</f>
        <v>0</v>
      </c>
      <c r="KM204" s="6">
        <f>COUNTIFS(Table30[Country],Tabela1[[#This Row],[Country]],Table30[Classification],"&gt;0")</f>
        <v>0</v>
      </c>
      <c r="KN204" s="6">
        <f>COUNTIFS(Table55[Country],Tabela1[[#This Row],[Country]],Table55[Men''s Classification],"&gt;0")</f>
        <v>0</v>
      </c>
      <c r="KO204" s="6">
        <f>COUNTIFS(Table55[Country],Tabela1[[#This Row],[Country]],Table55[Women''s Classification],"&gt;0")</f>
        <v>0</v>
      </c>
      <c r="KP204" s="6">
        <f>COUNTIFS(Table56[Country],Tabela1[[#This Row],[Country]],Table56[Mixed Classification],"&gt;0")</f>
        <v>0</v>
      </c>
      <c r="KQ204" s="6">
        <f>COUNTIFS(Table29[Country],Tabela1[[#This Row],[Country]],Table29[58kg Classification],"&gt;0")</f>
        <v>0</v>
      </c>
      <c r="KR204" s="6">
        <f>COUNTIFS(Table29[Country],Tabela1[[#This Row],[Country]],Table29[68kg Classification],"&gt;0")</f>
        <v>0</v>
      </c>
      <c r="KS204" s="6">
        <f>COUNTIFS(Table29[Country],Tabela1[[#This Row],[Country]],Table29[80kg Classification],"&gt;0")</f>
        <v>0</v>
      </c>
      <c r="KT204" s="6">
        <f>COUNTIFS(Table29[Country],Tabela1[[#This Row],[Country]],Table29[Plus 80kg Classification],"&gt;0")</f>
        <v>0</v>
      </c>
      <c r="KU204" s="6">
        <f>COUNTIFS(Table34[Country],Tabela1[[#This Row],[Country]],Table34[49kg Classification],"&gt;0")</f>
        <v>0</v>
      </c>
      <c r="KV204" s="6">
        <f>COUNTIFS(Table34[Country],Tabela1[[#This Row],[Country]],Table34[57kg Classification],"&gt;0")</f>
        <v>0</v>
      </c>
      <c r="KW204" s="6">
        <f>COUNTIFS(Table34[Country],Tabela1[[#This Row],[Country]],Table34[67kg Classification],"&gt;0")</f>
        <v>0</v>
      </c>
      <c r="KX204" s="6">
        <f>COUNTIFS(Table34[Country],Tabela1[[#This Row],[Country]],Table34[Plus 67kg Classification],"&gt;0")</f>
        <v>0</v>
      </c>
      <c r="KY204" s="6">
        <f>COUNTIFS(Table57[Country],Tabela1[[#This Row],[Country]],Table57[Classification],"&gt;0")</f>
        <v>0</v>
      </c>
      <c r="KZ204" s="6">
        <f>COUNTIFS(Table58[Country],Tabela1[[#This Row],[Country]],Table58[Classification],"&gt;0")</f>
        <v>0</v>
      </c>
      <c r="LA204" s="6">
        <f>COUNTIFS(Table79[Country],Tabela1[[#This Row],[Country]],Table79[Men''s Classification],"&gt;0")</f>
        <v>0</v>
      </c>
      <c r="LB204" s="6">
        <f>COUNTIFS(Table79[Country],Tabela1[[#This Row],[Country]],Table79[Women''s Classification],"&gt;0")</f>
        <v>0</v>
      </c>
      <c r="LC204" s="6">
        <f>COUNTIFS(Table79[Country],Tabela1[[#This Row],[Country]],Table79[Mixed Classification],"&gt;0")</f>
        <v>0</v>
      </c>
      <c r="LD204" s="6">
        <f>COUNTIFS(Table65[Country],Tabela1[[#This Row],[Country]],Table65[Classification],"&gt;0")</f>
        <v>0</v>
      </c>
      <c r="LE204" s="6">
        <f>COUNTIFS(Table59[Country],Tabela1[[#This Row],[Country]],Table59[Classification],"&gt;0")</f>
        <v>0</v>
      </c>
      <c r="LF204" s="6">
        <f>COUNTIFS(Table87[Country],Tabela1[[#This Row],[Country]],Table87[Mixed Relay Classification],"&gt;0")</f>
        <v>0</v>
      </c>
      <c r="LG204" s="6">
        <f>COUNTIFS(Table91949698100[Country],Tabela1[[#This Row],[Country]],Table91949698100[Men''s Classification],"&gt;0")</f>
        <v>0</v>
      </c>
      <c r="LH204" s="6">
        <f>COUNTIFS(Table91949698100[Country],Tabela1[[#This Row],[Country]],Table91949698100[Women''s Classification],"&gt;0")</f>
        <v>0</v>
      </c>
      <c r="LI204" s="6">
        <f>COUNTIFS(Table91949698100102[Country],Tabela1[[#This Row],[Country]],Table91949698100102[Men''s Classification],"&gt;0")</f>
        <v>0</v>
      </c>
      <c r="LJ204" s="6">
        <f>COUNTIFS(Table91949698100102[Country],Tabela1[[#This Row],[Country]],Table91949698100102[Women''s Classification],"&gt;0")</f>
        <v>0</v>
      </c>
      <c r="LK204" s="6">
        <f>COUNTIFS(Table23[Country],Tabela1[[#This Row],[Country]],Table23[61kg Classification],"&gt;0")</f>
        <v>0</v>
      </c>
      <c r="LL204" s="6">
        <f>COUNTIFS(Table23[Country],Tabela1[[#This Row],[Country]],Table23[73kg Classification],"&gt;0")</f>
        <v>0</v>
      </c>
      <c r="LM204" s="6">
        <f>COUNTIFS(Table23[Country],Tabela1[[#This Row],[Country]],Table23[89kg Classification],"&gt;0")</f>
        <v>0</v>
      </c>
      <c r="LN204" s="6">
        <f>COUNTIFS(Table23[Country],Tabela1[[#This Row],[Country]],Table23[102kg Classification],"&gt;0")</f>
        <v>0</v>
      </c>
      <c r="LO204" s="6">
        <f>COUNTIFS(Table23[Country],Tabela1[[#This Row],[Country]],Table23[Plus 102kg Classification],"&gt;0")</f>
        <v>0</v>
      </c>
      <c r="LP204" s="6">
        <f>COUNTIFS(Table28[Country],Tabela1[[#This Row],[Country]],Table28[49kg Classification],"&gt;0")</f>
        <v>0</v>
      </c>
      <c r="LQ204" s="6">
        <f>COUNTIFS(Table28[Country],Tabela1[[#This Row],[Country]],Table28[59kg Classification],"&gt;0")</f>
        <v>0</v>
      </c>
      <c r="LR204" s="6">
        <f>COUNTIFS(Table28[Country],Tabela1[[#This Row],[Country]],Table28[71kg Classification],"&gt;0")</f>
        <v>0</v>
      </c>
      <c r="LS204" s="6">
        <f>COUNTIFS(Table28[Country],Tabela1[[#This Row],[Country]],Table28[81kg Classification],"&gt;0")</f>
        <v>0</v>
      </c>
      <c r="LT204" s="6">
        <f>COUNTIFS(Table28[Country],Tabela1[[#This Row],[Country]],Table28[Plus 81kg Classification],"&gt;0")</f>
        <v>0</v>
      </c>
      <c r="LU204" s="6">
        <f>COUNTIFS(Table24[Country],Tabela1[[#This Row],[Country]],Table24[Freestyle 57kg Classification],"&gt;0")</f>
        <v>0</v>
      </c>
      <c r="LV204" s="6">
        <f>COUNTIFS(Table24[Country],Tabela1[[#This Row],[Country]],Table24[Freestyle 65kg Classification],"&gt;0")</f>
        <v>0</v>
      </c>
      <c r="LW204" s="6">
        <f>COUNTIFS(Table24[Country],Tabela1[[#This Row],[Country]],Table24[Freestyle 74kg Classification],"&gt;0")</f>
        <v>0</v>
      </c>
      <c r="LX204" s="6">
        <f>COUNTIFS(Table24[Country],Tabela1[[#This Row],[Country]],Table24[Freestyle 86kg Classification],"&gt;0")</f>
        <v>0</v>
      </c>
      <c r="LY204" s="6">
        <f>COUNTIFS(Table24[Country],Tabela1[[#This Row],[Country]],Table24[Freestyle 97kg Classification],"&gt;0")</f>
        <v>0</v>
      </c>
      <c r="LZ204" s="6">
        <f>COUNTIFS(Table24[Country],Tabela1[[#This Row],[Country]],Table24[Freestyle 125kg Classification],"&gt;0")</f>
        <v>0</v>
      </c>
      <c r="MA204" s="6">
        <f>COUNTIFS(Table24[Country],Tabela1[[#This Row],[Country]],Table24[Greco-Roman 60kg Classification],"&gt;0")</f>
        <v>0</v>
      </c>
      <c r="MB204" s="6">
        <f>COUNTIFS(Table24[Country],Tabela1[[#This Row],[Country]],Table24[Greco-Roman 67kg Classification],"&gt;0")</f>
        <v>0</v>
      </c>
      <c r="MC204" s="6">
        <f>COUNTIFS(Table24[Country],Tabela1[[#This Row],[Country]],Table24[Greco-Roman 77kg Classification],"&gt;0")</f>
        <v>0</v>
      </c>
      <c r="MD204" s="6">
        <f>COUNTIFS(Table24[Country],Tabela1[[#This Row],[Country]],Table24[Greco-Roman 87kg Classification],"&gt;0")</f>
        <v>0</v>
      </c>
      <c r="ME204" s="6">
        <f>COUNTIFS(Table24[Country],Tabela1[[#This Row],[Country]],Table24[Greco-Roman 97kg Classification],"&gt;0")</f>
        <v>0</v>
      </c>
      <c r="MF204" s="6">
        <f>COUNTIFS(Table24[Country],Tabela1[[#This Row],[Country]],Table24[Greco-Roman 130kg Classification],"&gt;0")</f>
        <v>0</v>
      </c>
      <c r="MG204" s="6">
        <f>COUNTIFS(Table31[Country],Tabela1[[#This Row],[Country]],Table31[50kg Classification],"&gt;0")</f>
        <v>0</v>
      </c>
      <c r="MH204" s="6">
        <f>COUNTIFS(Table31[Country],Tabela1[[#This Row],[Country]],Table31[53kg Classification],"&gt;0")</f>
        <v>0</v>
      </c>
      <c r="MI204" s="6">
        <f>COUNTIFS(Table31[Country],Tabela1[[#This Row],[Country]],Table31[57kg Classification],"&gt;0")</f>
        <v>0</v>
      </c>
      <c r="MJ204" s="6">
        <f>COUNTIFS(Table31[Country],Tabela1[[#This Row],[Country]],Table31[62kg Classification],"&gt;0")</f>
        <v>0</v>
      </c>
      <c r="MK204" s="6">
        <f>COUNTIFS(Table31[Country],Tabela1[[#This Row],[Country]],Table31[68kg Classification],"&gt;0")</f>
        <v>0</v>
      </c>
      <c r="ML204" s="6">
        <f>COUNTIFS(Table31[Country],Tabela1[[#This Row],[Country]],Table31[76kg Classification],"&gt;0")</f>
        <v>0</v>
      </c>
      <c r="MM204" s="6">
        <f>COUNTIFS(Table102[Country],Tabela1[[#This Row],[Country]],Table102[Downhill Classification],"&gt;0")</f>
        <v>0</v>
      </c>
      <c r="MN204" s="6">
        <f>COUNTIFS(Table102105[Country],Tabela1[[#This Row],[Country]],Table102105[Downhill Classification],"&gt;0")</f>
        <v>0</v>
      </c>
      <c r="MO204" s="6">
        <f>COUNTIFS(Table102[Country],Tabela1[[#This Row],[Country]],Table102[Giant Slalom Classification],"&gt;0")</f>
        <v>0</v>
      </c>
      <c r="MP204" s="6">
        <f>COUNTIFS(Table102105[Country],Tabela1[[#This Row],[Country]],Table102105[Giant Slalom Classification],"&gt;0")</f>
        <v>0</v>
      </c>
      <c r="MQ204" s="6">
        <f>COUNTIFS(Table102[Country],Tabela1[[#This Row],[Country]],Table102[Slalom Classification],"&gt;0")</f>
        <v>0</v>
      </c>
      <c r="MR204" s="6">
        <f>COUNTIFS(Table102105[Country],Tabela1[[#This Row],[Country]],Table102105[Slalom Classification],"&gt;0")</f>
        <v>0</v>
      </c>
      <c r="MS204" s="6">
        <f>COUNTIFS(Table102[Country],Tabela1[[#This Row],[Country]],Table102[Super-G Classification],"&gt;0")</f>
        <v>0</v>
      </c>
      <c r="MT204" s="6">
        <f>COUNTIFS(Table102105[Country],Tabela1[[#This Row],[Country]],Table102105[Super-G Classification],"&gt;0")</f>
        <v>0</v>
      </c>
      <c r="MU204" s="6">
        <f>COUNTIFS(Table105[Country],Tabela1[[#This Row],[Country]],Table105[Men''s Combined Classification],"&gt;0")</f>
        <v>0</v>
      </c>
      <c r="MV204" s="6">
        <f>COUNTIFS(Table105[Country],Tabela1[[#This Row],[Country]],Table105[Women''s Combined Classification],"&gt;0")</f>
        <v>0</v>
      </c>
      <c r="MW204" s="6">
        <f>COUNTIFS(Table106[Country],Tabela1[[#This Row],[Country]],Table106[Individual Classification],"&gt;0")</f>
        <v>0</v>
      </c>
      <c r="MX204" s="6">
        <f>COUNTIFS(Table106109[Country],Tabela1[[#This Row],[Country]],Table106109[Individual Classification],"&gt;0")</f>
        <v>0</v>
      </c>
      <c r="MY204" s="6">
        <f>COUNTIFS(Table106[Country],Tabela1[[#This Row],[Country]],Table106[Mass Start Classification],"&gt;0")</f>
        <v>0</v>
      </c>
      <c r="MZ204" s="6">
        <f>COUNTIFS(Table106109[Country],Tabela1[[#This Row],[Country]],Table106109[Mass Start Classification],"&gt;0")</f>
        <v>0</v>
      </c>
      <c r="NA204" s="6">
        <f>COUNTIFS(Table106[Country],Tabela1[[#This Row],[Country]],Table106[Pursuit Classification],"&gt;0")</f>
        <v>0</v>
      </c>
      <c r="NB204" s="6">
        <f>COUNTIFS(Table106109[Country],Tabela1[[#This Row],[Country]],Table106109[Pursuit Classification],"&gt;0")</f>
        <v>0</v>
      </c>
      <c r="NC204" s="6">
        <f>COUNTIFS(Table106[Country],Tabela1[[#This Row],[Country]],Table106[Sprint Classification],"&gt;0")</f>
        <v>0</v>
      </c>
      <c r="ND204" s="6">
        <f>COUNTIFS(Table106109[Country],Tabela1[[#This Row],[Country]],Table106109[Sprint Classification],"&gt;0")</f>
        <v>0</v>
      </c>
      <c r="NE204" s="6">
        <f>COUNTIFS(Table109[Country],Tabela1[[#This Row],[Country]],Table109[Men''s Relay Classification],"&gt;0")</f>
        <v>0</v>
      </c>
      <c r="NF204" s="6">
        <f>COUNTIFS(Table109[Country],Tabela1[[#This Row],[Country]],Table109[Women''s Relay Classification],"&gt;0")</f>
        <v>0</v>
      </c>
      <c r="NG204" s="6">
        <f>COUNTIFS(Table109[Country],Tabela1[[#This Row],[Country]],Table109[Mixed Relay Classification],"&gt;0")</f>
        <v>0</v>
      </c>
      <c r="NH204" s="6">
        <f>COUNTIFS(Table110[Country],Tabela1[[#This Row],[Country]],Table110[Monobob Classification],"&gt;0")</f>
        <v>0</v>
      </c>
      <c r="NI204" s="6">
        <f>COUNTIFS(Table111[Country],Tabela1[[#This Row],[Country]],Table111[Men''s Classification],"&gt;0")</f>
        <v>0</v>
      </c>
      <c r="NJ204" s="6">
        <f>COUNTIFS(Table111[Country],Tabela1[[#This Row],[Country]],Table111[Women''s Classification],"&gt;0")</f>
        <v>0</v>
      </c>
      <c r="NK204" s="6">
        <f>COUNTIFS(Table112[Country],Tabela1[[#This Row],[Country]],Table112[Men''s Four Classification],"&gt;0")</f>
        <v>0</v>
      </c>
      <c r="NL204" s="6">
        <f>COUNTIFS(Table113[Country],Tabela1[[#This Row],[Country]],Table113[Classical Classification],"&gt;0")</f>
        <v>0</v>
      </c>
      <c r="NM204" s="6">
        <f>COUNTIFS(Table113116[Country],Tabela1[[#This Row],[Country]],Table113116[Classical Classification],"&gt;0")</f>
        <v>0</v>
      </c>
      <c r="NN204" s="6">
        <f>COUNTIFS(Table113[Country],Tabela1[[#This Row],[Country]],Table113[Freestyle Classification],"&gt;0")</f>
        <v>0</v>
      </c>
      <c r="NO204" s="6">
        <f>COUNTIFS(Table113116[Country],Tabela1[[#This Row],[Country]],Table113116[Freestyle Classification],"&gt;0")</f>
        <v>0</v>
      </c>
      <c r="NP204" s="6">
        <f>COUNTIFS(Table117[Country],Tabela1[[#This Row],[Country]],Table117[Men''s Relay Classification],"&gt;0")</f>
        <v>0</v>
      </c>
      <c r="NQ204" s="6">
        <f>COUNTIFS(Table117[Country],Tabela1[[#This Row],[Country]],Table117[Women''s Relay Classification],"&gt;0")</f>
        <v>0</v>
      </c>
      <c r="NR204" s="6">
        <f>COUNTIFS(Table113[Country],Tabela1[[#This Row],[Country]],Table113[Skiathlon Classification],"&gt;0")</f>
        <v>0</v>
      </c>
      <c r="NS204" s="6">
        <f>COUNTIFS(Table113116[Country],Tabela1[[#This Row],[Country]],Table113116[Skiathlon Classification],"&gt;0")</f>
        <v>0</v>
      </c>
      <c r="NT204" s="6">
        <f>COUNTIFS(Table113[Country],Tabela1[[#This Row],[Country]],Table113[Sprint Classification],"&gt;0")</f>
        <v>0</v>
      </c>
      <c r="NU204" s="6">
        <f>COUNTIFS(Table113116[Country],Tabela1[[#This Row],[Country]],Table113116[Sprint Classification],"&gt;0")</f>
        <v>0</v>
      </c>
      <c r="NV204" s="6">
        <f>COUNTIFS(Table116[Country],Tabela1[[#This Row],[Country]],Table116[Men''s Team Sprint Classification],"&gt;0")</f>
        <v>0</v>
      </c>
      <c r="NW204" s="6">
        <f>COUNTIFS(Table116[Country],Tabela1[[#This Row],[Country]],Table116[Women''s Team Sprint Classification],"&gt;0")</f>
        <v>0</v>
      </c>
      <c r="NX204" s="6">
        <f>COUNTIFS(Table119[Country],Tabela1[[#This Row],[Country]],Table119[Men''s Classification],"&gt;0")</f>
        <v>0</v>
      </c>
      <c r="NY204" s="6">
        <f>COUNTIFS(Table119[Country],Tabela1[[#This Row],[Country]],Table119[Women''s Classification],"&gt;0")</f>
        <v>0</v>
      </c>
      <c r="NZ204" s="6">
        <f>COUNTIFS(Table118[Country],Tabela1[[#This Row],[Country]],Table118[Mixed Classification],"&gt;0")</f>
        <v>0</v>
      </c>
      <c r="OA204" s="6">
        <f>COUNTIFS(Table120[Country],Tabela1[[#This Row],[Country]],Table120[Classification],"&gt;0")</f>
        <v>0</v>
      </c>
      <c r="OB204" s="6">
        <f>COUNTIFS(Table120123[Country],Tabela1[[#This Row],[Country]],Table120123[Classification],"&gt;0")</f>
        <v>0</v>
      </c>
      <c r="OC204" s="6">
        <f>COUNTIFS(Table123[Country],Tabela1[[#This Row],[Country]],Table123[Ice Dance Classification],"&gt;0")</f>
        <v>0</v>
      </c>
      <c r="OD204" s="6">
        <f>COUNTIFS(Table123[Country],Tabela1[[#This Row],[Country]],Table123[Pair Skating Classification],"&gt;0")</f>
        <v>0</v>
      </c>
      <c r="OE204" s="6">
        <f>COUNTIFS(Table124[Country],Tabela1[[#This Row],[Country]],Table124[Mixed Classification],"&gt;0")</f>
        <v>0</v>
      </c>
      <c r="OF204" s="6">
        <f>COUNTIFS(Table125[Country],Tabela1[[#This Row],[Country]],Table125[Aerials Classification],"&gt;0")</f>
        <v>0</v>
      </c>
      <c r="OG204" s="6">
        <f>COUNTIFS(Table125128[Country],Tabela1[[#This Row],[Country]],Table125128[Aerials Classification],"&gt;0")</f>
        <v>0</v>
      </c>
      <c r="OH204" s="6">
        <f>COUNTIFS(Table128[Country],Tabela1[[#This Row],[Country]],Table128[Mixed Aerials Classification],"&gt;0")</f>
        <v>0</v>
      </c>
      <c r="OI204" s="6">
        <f>COUNTIFS(Table125[Country],Tabela1[[#This Row],[Country]],Table125[Big Air Classification],"&gt;0")</f>
        <v>0</v>
      </c>
      <c r="OJ204" s="6">
        <f>COUNTIFS(Table125128[Country],Tabela1[[#This Row],[Country]],Table125128[Big Air Classification],"&gt;0")</f>
        <v>0</v>
      </c>
      <c r="OK204" s="6">
        <f>COUNTIFS(Table125[Country],Tabela1[[#This Row],[Country]],Table125[Dual Moguls Classification],"&gt;0")</f>
        <v>0</v>
      </c>
      <c r="OL204" s="6">
        <f>COUNTIFS(Table125128[Country],Tabela1[[#This Row],[Country]],Table125128[Dual Moguls Classification],"&gt;0")</f>
        <v>0</v>
      </c>
      <c r="OM204" s="6">
        <f>COUNTIFS(Table125[Country],Tabela1[[#This Row],[Country]],Table125[Halfpipe Classification],"&gt;0")</f>
        <v>0</v>
      </c>
      <c r="ON204" s="6">
        <f>COUNTIFS(Table125128[Country],Tabela1[[#This Row],[Country]],Table125128[Halfpipe Classification],"&gt;0")</f>
        <v>0</v>
      </c>
      <c r="OO204" s="6">
        <f>COUNTIFS(Table125[Country],Tabela1[[#This Row],[Country]],Table125[Moguls Classification],"&gt;0")</f>
        <v>0</v>
      </c>
      <c r="OP204" s="6">
        <f>COUNTIFS(Table125128[Country],Tabela1[[#This Row],[Country]],Table125128[Moguls Classification],"&gt;0")</f>
        <v>0</v>
      </c>
      <c r="OQ204" s="6">
        <f>COUNTIFS(Table125[Country],Tabela1[[#This Row],[Country]],Table125[Ski Cross Classification],"&gt;0")</f>
        <v>0</v>
      </c>
      <c r="OR204" s="6">
        <f>COUNTIFS(Table125128[Country],Tabela1[[#This Row],[Country]],Table125128[Ski Cross Classification],"&gt;0")</f>
        <v>0</v>
      </c>
      <c r="OS204" s="6">
        <f>COUNTIFS(Table125[Country],Tabela1[[#This Row],[Country]],Table125[Slopestyle Classification],"&gt;0")</f>
        <v>0</v>
      </c>
      <c r="OT204" s="6">
        <f>COUNTIFS(Table125128[Country],Tabela1[[#This Row],[Country]],Table125128[Slopestyle Classification],"&gt;0")</f>
        <v>0</v>
      </c>
      <c r="OU204" s="6">
        <f>COUNTIFS(Table119131[Country],Tabela1[[#This Row],[Country]],Table119131[Men''s Classification],"&gt;0")</f>
        <v>0</v>
      </c>
      <c r="OV204" s="6">
        <f>COUNTIFS(Table119131[Country],Tabela1[[#This Row],[Country]],Table119131[Women''s Classification],"&gt;0")</f>
        <v>0</v>
      </c>
      <c r="OW204" s="6">
        <f>COUNTIFS(Table131[Country],Tabela1[[#This Row],[Country]],Table131[Classification],"&gt;0")</f>
        <v>0</v>
      </c>
      <c r="OX204" s="6">
        <f>COUNTIFS(Table131134[Country],Tabela1[[#This Row],[Country]],Table131134[Classification],"&gt;0")</f>
        <v>0</v>
      </c>
      <c r="OY204" s="6">
        <f>COUNTIFS(Table134[Country],Tabela1[[#This Row],[Country]],Table134[Men''s Classification],"&gt;0")</f>
        <v>0</v>
      </c>
      <c r="OZ204" s="6">
        <f>COUNTIFS(Table134[Country],Tabela1[[#This Row],[Country]],Table134[Women''s Classification],"&gt;0")</f>
        <v>0</v>
      </c>
      <c r="PA204" s="6">
        <f>COUNTIFS(Table135[Country],Tabela1[[#This Row],[Country]],Table135[Mixed Relay Classification],"&gt;0")</f>
        <v>0</v>
      </c>
      <c r="PB204" s="6">
        <f>COUNTIFS(Table136[Country],Tabela1[[#This Row],[Country]],Table136[Individual Classification],"&gt;0")</f>
        <v>0</v>
      </c>
      <c r="PC204" s="6">
        <f>COUNTIFS(Table136[Country],Tabela1[[#This Row],[Country]],Table136[Sprint Classification],"&gt;0")</f>
        <v>0</v>
      </c>
      <c r="PD204" s="6">
        <f>COUNTIFS(Table137[Country],Tabela1[[#This Row],[Country]],Table137[Men''s Team Sprint Large Hill Classification],"&gt;0")</f>
        <v>0</v>
      </c>
      <c r="PE204" s="6">
        <f>COUNTIFS(Table138[Country],Tabela1[[#This Row],[Country]],Table138[500m Classification],"&gt;0")</f>
        <v>0</v>
      </c>
      <c r="PF204" s="6">
        <f>COUNTIFS(Table138141[Country],Tabela1[[#This Row],[Country]],Table138141[500m Classification],"&gt;0")</f>
        <v>0</v>
      </c>
      <c r="PG204" s="6">
        <f>COUNTIFS(Table138[Country],Tabela1[[#This Row],[Country]],Table138[1000m Classification],"&gt;0")</f>
        <v>0</v>
      </c>
      <c r="PH204" s="6">
        <f>COUNTIFS(Table138141[Country],Tabela1[[#This Row],[Country]],Table138141[1000m Classification],"&gt;0")</f>
        <v>0</v>
      </c>
      <c r="PI204" s="6">
        <f>COUNTIFS(Table138[Country],Tabela1[[#This Row],[Country]],Table138[1500m Classification],"&gt;0")</f>
        <v>0</v>
      </c>
      <c r="PJ204" s="6">
        <f>COUNTIFS(Table138141[Country],Tabela1[[#This Row],[Country]],Table138141[1500m Classification],"&gt;0")</f>
        <v>0</v>
      </c>
      <c r="PK204" s="6">
        <f>COUNTIFS(Table141[Country],Tabela1[[#This Row],[Country]],Table141[Men''s 5000m Relay Classification],"&gt;0")</f>
        <v>0</v>
      </c>
      <c r="PL204" s="6">
        <f>COUNTIFS(Table141[Country],Tabela1[[#This Row],[Country]],Table141[Women''s 3000m Relay Classification],"&gt;0")</f>
        <v>0</v>
      </c>
      <c r="PM204" s="6">
        <f>COUNTIFS(Table141[Country],Tabela1[[#This Row],[Country]],Table141[Mixed 2000m Relay Classification],"&gt;0")</f>
        <v>0</v>
      </c>
      <c r="PN204" s="6">
        <f>COUNTIFS(Table142[Country],Tabela1[[#This Row],[Country]],Table142[Classification],"&gt;0")</f>
        <v>0</v>
      </c>
      <c r="PO204" s="6">
        <f>COUNTIFS(Table142145[Country],Tabela1[[#This Row],[Country]],Table142145[Classification],"&gt;0")</f>
        <v>0</v>
      </c>
      <c r="PP204" s="6">
        <f>COUNTIFS(Tabela15[Country],Tabela1[[#This Row],[Country]],Tabela15[Mixed Team Classification],"&gt;0")</f>
        <v>0</v>
      </c>
      <c r="PQ204" s="6">
        <f>COUNTIFS(Table145[Country],Tabela1[[#This Row],[Country]],Table145[Large Hill Classification],"&gt;0")</f>
        <v>0</v>
      </c>
      <c r="PR204" s="6">
        <f>COUNTIFS(Table145[Country],Tabela1[[#This Row],[Country]],Table145[Normal Hill Classification],"&gt;0")</f>
        <v>0</v>
      </c>
      <c r="PS204" s="6">
        <f>COUNTIFS(Table145148[Country],Tabela1[[#This Row],[Country]],Table145148[Large Hill Classification],"&gt;0")</f>
        <v>0</v>
      </c>
      <c r="PT204" s="6">
        <f>COUNTIFS(Table145148[Country],Tabela1[[#This Row],[Country]],Table145148[Normal Hill Classification],"&gt;0")</f>
        <v>0</v>
      </c>
      <c r="PU204" s="6">
        <f>COUNTIFS(Table148[Country],Tabela1[[#This Row],[Country]],Table148[Men''s Super Team Classification],"&gt;0")</f>
        <v>0</v>
      </c>
      <c r="PV204" s="6">
        <f>COUNTIFS(Tabela114[Country],Tabela1[[#This Row],[Country]],Tabela114[Mixed Normal Hill Classification],"&gt;0")</f>
        <v>0</v>
      </c>
      <c r="PW204" s="6">
        <f>COUNTIFS(Tabela50[Country],Tabela1[[#This Row],[Country]],Tabela50[Sprint Classification],"&gt;0")</f>
        <v>0</v>
      </c>
      <c r="PX204" s="6">
        <f>COUNTIFS(Tabela50101[Country],Tabela1[[#This Row],[Country]],Tabela50101[Sprint Classification],"&gt;0")</f>
        <v>0</v>
      </c>
      <c r="PY204" s="6">
        <f>COUNTIFS(Tabela103[Country],Tabela1[[#This Row],[Country]],Tabela103[Mixed Relay Classification],"&gt;0")</f>
        <v>0</v>
      </c>
      <c r="PZ204" s="6">
        <f>COUNTIFS(Table149[Country],Tabela1[[#This Row],[Country]],Table149[Big Air Classification],"&gt;0")</f>
        <v>0</v>
      </c>
      <c r="QA204" s="6">
        <f>COUNTIFS(Table149152[Country],Tabela1[[#This Row],[Country]],Table149152[Big Air Classification],"&gt;0")</f>
        <v>0</v>
      </c>
      <c r="QB204" s="6">
        <f>COUNTIFS(Table149[Country],Tabela1[[#This Row],[Country]],Table149[Halfpipe Classification],"&gt;0")</f>
        <v>0</v>
      </c>
      <c r="QC204" s="6">
        <f>COUNTIFS(Table149152[Country],Tabela1[[#This Row],[Country]],Table149152[Halfpipe Classification],"&gt;0")</f>
        <v>0</v>
      </c>
      <c r="QD204" s="6">
        <f>COUNTIFS(Table149[Country],Tabela1[[#This Row],[Country]],Table149[Parallel Giant Slalom Classification],"&gt;0")</f>
        <v>0</v>
      </c>
      <c r="QE204" s="6">
        <f>COUNTIFS(Table149152[Country],Tabela1[[#This Row],[Country]],Table149152[Parallel Giant Slalom Classification],"&gt;0")</f>
        <v>0</v>
      </c>
      <c r="QF204" s="6">
        <f>COUNTIFS(Table149[Country],Tabela1[[#This Row],[Country]],Table149[Slopestyle Classification],"&gt;0")</f>
        <v>0</v>
      </c>
      <c r="QG204" s="6">
        <f>COUNTIFS(Table149152[Country],Tabela1[[#This Row],[Country]],Table149152[Slopestyle Classification],"&gt;0")</f>
        <v>0</v>
      </c>
      <c r="QH204" s="6">
        <f>COUNTIFS(Table149[Country],Tabela1[[#This Row],[Country]],Table149[Snowboard Cross Classification],"&gt;0")</f>
        <v>0</v>
      </c>
      <c r="QI204" s="6">
        <f>COUNTIFS(Table149152[Country],Tabela1[[#This Row],[Country]],Table149152[Snowboard Cross Classification],"&gt;0")</f>
        <v>0</v>
      </c>
      <c r="QJ204" s="6">
        <f>COUNTIFS(Table153[Country],Tabela1[[#This Row],[Country]],Table153[Mixed Team Snowboard Cross Classification],"&gt;0")</f>
        <v>0</v>
      </c>
      <c r="QK204" s="6">
        <f>COUNTIFS(Table154[Country],Tabela1[[#This Row],[Country]],Table154[500m Classification],"&gt;0")</f>
        <v>0</v>
      </c>
      <c r="QL204" s="6">
        <f>COUNTIFS(Table154157[Country],Tabela1[[#This Row],[Country]],Table154157[500m Classification],"&gt;0")</f>
        <v>0</v>
      </c>
      <c r="QM204" s="6">
        <f>COUNTIFS(Table154[Country],Tabela1[[#This Row],[Country]],Table154[1000m Classification],"&gt;0")</f>
        <v>0</v>
      </c>
      <c r="QN204" s="6">
        <f>COUNTIFS(Table154157[Country],Tabela1[[#This Row],[Country]],Table154157[1000m Classification],"&gt;0")</f>
        <v>0</v>
      </c>
      <c r="QO204" s="6">
        <f>COUNTIFS(Table154[Country],Tabela1[[#This Row],[Country]],Table154[1500m Classification],"&gt;0")</f>
        <v>0</v>
      </c>
      <c r="QP204" s="6">
        <f>COUNTIFS(Table154157[Country],Tabela1[[#This Row],[Country]],Table154157[1500m Classification],"&gt;0")</f>
        <v>0</v>
      </c>
      <c r="QQ204" s="6">
        <f>COUNTIFS(Table154157[Country],Tabela1[[#This Row],[Country]],Table154157[3000m Classification],"&gt;0")</f>
        <v>0</v>
      </c>
      <c r="QR204" s="6">
        <f>COUNTIFS(Table154[Country],Tabela1[[#This Row],[Country]],Table154[5000m Classification],"&gt;0")</f>
        <v>0</v>
      </c>
      <c r="QS204" s="6">
        <f>COUNTIFS(Table154157[Country],Tabela1[[#This Row],[Country]],Table154157[5000m Classification],"&gt;0")</f>
        <v>0</v>
      </c>
      <c r="QT204" s="6">
        <f>COUNTIFS(Table154[Country],Tabela1[[#This Row],[Country]],Table154[10000m Classification],"&gt;0")</f>
        <v>0</v>
      </c>
      <c r="QU204" s="6">
        <f>COUNTIFS(Table154[Country],Tabela1[[#This Row],[Country]],Table154[Mass Start Classification],"&gt;0")</f>
        <v>0</v>
      </c>
      <c r="QV204" s="6">
        <f>COUNTIFS(Table154157[Country],Tabela1[[#This Row],[Country]],Table154157[Mass Start Classification],"&gt;0")</f>
        <v>0</v>
      </c>
      <c r="QW204" s="6">
        <f>COUNTIFS(Table157[Country],Tabela1[[#This Row],[Country]],Table157[Men''s Pursuit Classification],"&gt;0")</f>
        <v>0</v>
      </c>
      <c r="QX204" s="6">
        <f>COUNTIFS(Table157[Country],Tabela1[[#This Row],[Country]],Table157[Women''s Pursuit Classification],"&gt;0")</f>
        <v>0</v>
      </c>
      <c r="QY204" s="3" t="s">
        <v>709</v>
      </c>
    </row>
    <row r="205" spans="1:467" x14ac:dyDescent="0.3">
      <c r="A205" s="6">
        <v>204</v>
      </c>
      <c r="B205" s="6" t="s">
        <v>714</v>
      </c>
      <c r="C205" t="e" vm="204">
        <f>IF(ISBLANK(Tabela1[[#This Row],[Image Link]]), "", _xlfn.IMAGE(Tabela1[[#This Row],[Image Link]],1,1))</f>
        <v>#VALUE!</v>
      </c>
      <c r="D205" s="6">
        <f>SUM(Tabela1[[#This Row],[Archery - Men''s Individual Recurve]:[Speed Skating - Women''s Team Pursuit]])</f>
        <v>0</v>
      </c>
      <c r="E205" s="6">
        <f>COUNTIF(Tabela1[[#This Row],[Archery - Men''s Individual Recurve]:[Speed Skating - Women''s Team Pursuit]],"&gt;0")</f>
        <v>0</v>
      </c>
      <c r="F205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205" s="6">
        <f>SUM(Tabela1[[#This Row],[Archery - Men''s Individual Recurve]:[Wrestling - Women''s Freestyle 76kg]])</f>
        <v>0</v>
      </c>
      <c r="H205" s="6">
        <f>SUM(Tabela1[[#This Row],[Alpine Skiing - Men''s Downhill]:[Speed Skating - Women''s Team Pursuit]])</f>
        <v>0</v>
      </c>
      <c r="I205" s="6">
        <f>Tabela1[[#This Row],[Summer Gold Medals]]+Tabela1[[#This Row],[Winter Gold Medals]]</f>
        <v>0</v>
      </c>
      <c r="J205" s="6">
        <f>Tabela1[[#This Row],[Summer Silver Medals]]+Tabela1[[#This Row],[Winter Silver Medals]]</f>
        <v>0</v>
      </c>
      <c r="K205" s="6">
        <f>Tabela1[[#This Row],[Summer Bronze Medals]]+Tabela1[[#This Row],[Winter Bronze Medals]]</f>
        <v>0</v>
      </c>
      <c r="L205" s="6">
        <f>SUM(Tabela1[[#This Row],[Total Gold Medals]:[Total Bronze Medals]])</f>
        <v>0</v>
      </c>
      <c r="M205" s="6"/>
      <c r="N205" s="6"/>
      <c r="O205" s="6"/>
      <c r="P205" s="6">
        <f>SUM(Tabela1[[#This Row],[Summer Gold Medals]:[Summer Bronze Medals]])</f>
        <v>0</v>
      </c>
      <c r="Q205" s="6"/>
      <c r="R205" s="6"/>
      <c r="S205" s="6"/>
      <c r="T205" s="6">
        <f>Tabela1[[#This Row],[Winter Gold Medals]]+Tabela1[[#This Row],[Winter Silver Medals]]+Tabela1[[#This Row],[Winter Bronze Medals]]</f>
        <v>0</v>
      </c>
      <c r="U205" s="7" t="e">
        <f>Tabela1[[#This Row],[Total Medals]]/Tabela1[[#This Row],[Total Quotas]]</f>
        <v>#DIV/0!</v>
      </c>
      <c r="V205" s="6">
        <f>COUNTIFS(Table3[Country],Tabela1[[#This Row],[Country]],Table3[Recurve Classification],"&gt;0")</f>
        <v>0</v>
      </c>
      <c r="W205" s="6">
        <f>COUNTIFS(Table33[Country],Tabela1[[#This Row],[Country]],Table33[Recurve Classification],"&gt;0")</f>
        <v>0</v>
      </c>
      <c r="X205" s="6">
        <f>COUNTIFS(Table35[Country],Tabela1[[#This Row],[Country]],Table35[Men''s Team Recurve Classification],"&gt;0")</f>
        <v>0</v>
      </c>
      <c r="Y205" s="6">
        <f>COUNTIFS(Table35[Country],Tabela1[[#This Row],[Country]],Table35[Women''s Team Recurve Classification],"&gt;0")</f>
        <v>0</v>
      </c>
      <c r="Z205" s="6">
        <f>COUNTIFS(Tabela88[Country],Tabela1[[#This Row],[Country]],Tabela88[Mixed Team Recurve Classification],"&gt;0")</f>
        <v>0</v>
      </c>
      <c r="AA205" s="6">
        <f>COUNTIFS(Table36[Country],Tabela1[[#This Row],[Country]],Table36[Classification],"&gt;0")</f>
        <v>0</v>
      </c>
      <c r="AB205" s="6">
        <f>COUNTIFS(Table37[Country],Tabela1[[#This Row],[Country]],Table37[Classification],"&gt;0")</f>
        <v>0</v>
      </c>
      <c r="AC205" s="6">
        <f>COUNTIFS(Table4[Country],Tabela1[[#This Row],[Country]],Table4[100m Classification],"&gt;0")</f>
        <v>0</v>
      </c>
      <c r="AD205" s="6">
        <f>COUNTIFS(Table5[Country],Tabela1[[#This Row],[Country]],Table5[100m Classification],"&gt;0")</f>
        <v>0</v>
      </c>
      <c r="AE205" s="6">
        <f>COUNTIFS(Table4[Country],Tabela1[[#This Row],[Country]],Table4[200m Classification],"&gt;0")</f>
        <v>0</v>
      </c>
      <c r="AF205" s="6">
        <f>COUNTIFS(Table5[Country],Tabela1[[#This Row],[Country]],Table5[200m Classification],"&gt;0")</f>
        <v>0</v>
      </c>
      <c r="AG205" s="6">
        <f>COUNTIFS(Table4[Country],Tabela1[[#This Row],[Country]],Table4[400m Classification],"&gt;0")</f>
        <v>0</v>
      </c>
      <c r="AH205" s="6">
        <f>COUNTIFS(Table5[Country],Tabela1[[#This Row],[Country]],Table5[400m Classification],"&gt;0")</f>
        <v>0</v>
      </c>
      <c r="AI205" s="6">
        <f>COUNTIFS(Table4[Country],Tabela1[[#This Row],[Country]],Table4[800m Classification],"&gt;0")</f>
        <v>0</v>
      </c>
      <c r="AJ205" s="6">
        <f>COUNTIFS(Table5[Country],Tabela1[[#This Row],[Country]],Table5[800m Classification],"&gt;0")</f>
        <v>0</v>
      </c>
      <c r="AK205" s="6">
        <f>COUNTIFS(Table4[Country],Tabela1[[#This Row],[Country]],Table4[1500m Classification],"&gt;0")</f>
        <v>0</v>
      </c>
      <c r="AL205" s="6">
        <f>COUNTIFS(Table5[Country],Tabela1[[#This Row],[Country]],Table5[1500m Classification],"&gt;0")</f>
        <v>0</v>
      </c>
      <c r="AM205" s="6">
        <f>COUNTIFS(Table4[Country],Tabela1[[#This Row],[Country]],Table4[5000m Classification],"&gt;0")</f>
        <v>0</v>
      </c>
      <c r="AN205" s="6">
        <f>COUNTIFS(Table5[Country],Tabela1[[#This Row],[Country]],Table5[5000m Classification],"&gt;0")</f>
        <v>0</v>
      </c>
      <c r="AO205" s="6">
        <f>COUNTIFS(Table4[Country],Tabela1[[#This Row],[Country]],Table4[10000m Classification],"&gt;0")</f>
        <v>0</v>
      </c>
      <c r="AP205" s="6">
        <f>COUNTIFS(Table5[Country],Tabela1[[#This Row],[Country]],Table5[10000m Classification],"&gt;0")</f>
        <v>0</v>
      </c>
      <c r="AQ205" s="6">
        <f>COUNTIFS(Table4[Country],Tabela1[[#This Row],[Country]],Table4[110m Hurdles Classification],"&gt;0")</f>
        <v>0</v>
      </c>
      <c r="AR205" s="6">
        <f>COUNTIFS(Table5[Country],Tabela1[[#This Row],[Country]],Table5[100m Hurdles Classification],"&gt;0")</f>
        <v>0</v>
      </c>
      <c r="AS205" s="6">
        <f>COUNTIFS(Table4[Country],Tabela1[[#This Row],[Country]],Table4[400m Hurdles Classification],"&gt;0")</f>
        <v>0</v>
      </c>
      <c r="AT205" s="6">
        <f>COUNTIFS(Table5[Country],Tabela1[[#This Row],[Country]],Table5[400m Hurdles Classification],"&gt;0")</f>
        <v>0</v>
      </c>
      <c r="AU205" s="6">
        <f>COUNTIFS(Table4[Country],Tabela1[[#This Row],[Country]],Table4[3000m Steeplechase Classification],"&gt;0")</f>
        <v>0</v>
      </c>
      <c r="AV205" s="6">
        <f>COUNTIFS(Table5[Country],Tabela1[[#This Row],[Country]],Table5[3000m Steeplechase Classification],"&gt;0")</f>
        <v>0</v>
      </c>
      <c r="AW205" s="6">
        <f>COUNTIFS(Table27[Country],Tabela1[[#This Row],[Country]],Table27[Men''s 4x100m Relay Classification],"&gt;0")</f>
        <v>0</v>
      </c>
      <c r="AX205" s="6">
        <f>COUNTIFS(Table27[Country],Tabela1[[#This Row],[Country]],Table27[Women''s 4x100m Relay Classification],"&gt;0")</f>
        <v>0</v>
      </c>
      <c r="AY205" s="6">
        <f>COUNTIFS(Table27[Country],Tabela1[[#This Row],[Country]],Table27[Men''s 4x400m Relay Classification],"&gt;0")</f>
        <v>0</v>
      </c>
      <c r="AZ205" s="6">
        <f>COUNTIFS(Table27[Country],Tabela1[[#This Row],[Country]],Table27[Women''s 4x400m Relay Classification],"&gt;0")</f>
        <v>0</v>
      </c>
      <c r="BA205" s="6">
        <f>COUNTIFS(Table27[Country],Tabela1[[#This Row],[Country]],Table27[Mixed 4x400m Relay Classification],"&gt;0")</f>
        <v>0</v>
      </c>
      <c r="BB205" s="6">
        <f>COUNTIFS(Table4[Country],Tabela1[[#This Row],[Country]],Table4[Marathon Classification],"&gt;0")</f>
        <v>0</v>
      </c>
      <c r="BC205" s="6">
        <f>COUNTIFS(Table5[Country],Tabela1[[#This Row],[Country]],Table5[Marathon Classification],"&gt;0")</f>
        <v>0</v>
      </c>
      <c r="BD205" s="6">
        <f>COUNTIFS(Table4[Country],Tabela1[[#This Row],[Country]],Table4[20km Race Walk Classification],"&gt;0")</f>
        <v>0</v>
      </c>
      <c r="BE205" s="6">
        <f>COUNTIFS(Table5[Country],Tabela1[[#This Row],[Country]],Table5[20km Race Walk Classification],"&gt;0")</f>
        <v>0</v>
      </c>
      <c r="BF205" s="6">
        <f>COUNTIFS(Tabela96[Country],Tabela1[[#This Row],[Country]],Tabela96[Mixed Marathon Race Walk Relay Classification],"&gt;0")</f>
        <v>0</v>
      </c>
      <c r="BG205" s="6">
        <f>COUNTIFS(Table4[Country],Tabela1[[#This Row],[Country]],Table4[Discus Throw Classification],"&gt;0")</f>
        <v>0</v>
      </c>
      <c r="BH205" s="6">
        <f>COUNTIFS(Table5[Country],Tabela1[[#This Row],[Country]],Table5[Discus Throw Classification],"&gt;0")</f>
        <v>0</v>
      </c>
      <c r="BI205" s="6">
        <f>COUNTIFS(Table4[Country],Tabela1[[#This Row],[Country]],Table4[Hammer Throw Classification],"&gt;0")</f>
        <v>0</v>
      </c>
      <c r="BJ205" s="6">
        <f>COUNTIFS(Table5[Country],Tabela1[[#This Row],[Country]],Table5[Hammer Throw Classification],"&gt;0")</f>
        <v>0</v>
      </c>
      <c r="BK205" s="6">
        <f>COUNTIFS(Table4[Country],Tabela1[[#This Row],[Country]],Table4[High Jump Classification],"&gt;0")</f>
        <v>0</v>
      </c>
      <c r="BL205" s="6">
        <f>COUNTIFS(Table5[Country],Tabela1[[#This Row],[Country]],Table5[High Jump Classification],"&gt;0")</f>
        <v>0</v>
      </c>
      <c r="BM205" s="6">
        <f>COUNTIFS(Table4[Country],Tabela1[[#This Row],[Country]],Table4[Javelin Throw Classification],"&gt;0")</f>
        <v>0</v>
      </c>
      <c r="BN205" s="6">
        <f>COUNTIFS(Table5[Country],Tabela1[[#This Row],[Country]],Table5[Javelin Throw Classification],"&gt;0")</f>
        <v>0</v>
      </c>
      <c r="BO205" s="6">
        <f>COUNTIFS(Table4[Country],Tabela1[[#This Row],[Country]],Table4[Long Jump Classification],"&gt;0")</f>
        <v>0</v>
      </c>
      <c r="BP205" s="6">
        <f>COUNTIFS(Table5[Country],Tabela1[[#This Row],[Country]],Table5[Long Jump Classification],"&gt;0")</f>
        <v>0</v>
      </c>
      <c r="BQ205" s="6">
        <f>COUNTIFS(Table4[Country],Tabela1[[#This Row],[Country]],Table4[Pole Vault Classification],"&gt;0")</f>
        <v>0</v>
      </c>
      <c r="BR205" s="6">
        <f>COUNTIFS(Table5[Country],Tabela1[[#This Row],[Country]],Table5[Pole Vault Classification],"&gt;0")</f>
        <v>0</v>
      </c>
      <c r="BS205" s="6">
        <f>COUNTIFS(Table4[Country],Tabela1[[#This Row],[Country]],Table4[Shot Put Classification],"&gt;0")</f>
        <v>0</v>
      </c>
      <c r="BT205" s="6">
        <f>COUNTIFS(Table5[Country],Tabela1[[#This Row],[Country]],Table5[Shot Put Classification],"&gt;0")</f>
        <v>0</v>
      </c>
      <c r="BU205" s="6">
        <f>COUNTIFS(Table4[Country],Tabela1[[#This Row],[Country]],Table4[Triple Jump Classification],"&gt;0")</f>
        <v>0</v>
      </c>
      <c r="BV205" s="6">
        <f>COUNTIFS(Table5[Country],Tabela1[[#This Row],[Country]],Table5[Triple Jump Classification],"&gt;0")</f>
        <v>0</v>
      </c>
      <c r="BW205" s="6">
        <f>COUNTIFS(Table4[Country],Tabela1[[#This Row],[Country]],Table4[Decathlon Classification],"&gt;0")</f>
        <v>0</v>
      </c>
      <c r="BX205" s="6">
        <f>COUNTIFS(Table5[Country],Tabela1[[#This Row],[Country]],Table5[Heptathlon Classification],"&gt;0")</f>
        <v>0</v>
      </c>
      <c r="BY205" s="6">
        <f>COUNTIFS(Table61[Country],Tabela1[[#This Row],[Country]],Table61[Classification],"&gt;0")</f>
        <v>0</v>
      </c>
      <c r="BZ205" s="6">
        <f>COUNTIFS(Table38[Country],Tabela1[[#This Row],[Country]],Table38[Classification],"&gt;0")</f>
        <v>0</v>
      </c>
      <c r="CA205" s="6">
        <f>COUNTIFS(Table39[Country],Tabela1[[#This Row],[Country]],Table39[Men''s Classification],"&gt;0")</f>
        <v>0</v>
      </c>
      <c r="CB205" s="6">
        <f>COUNTIFS(Table39[Country],Tabela1[[#This Row],[Country]],Table39[Women''s Classification],"&gt;0")</f>
        <v>0</v>
      </c>
      <c r="CC205" s="6">
        <f>COUNTIFS(Table39[Country],Tabela1[[#This Row],[Country]],Table39[Mixed Classification],"&gt;0")</f>
        <v>0</v>
      </c>
      <c r="CD205" s="6">
        <f>COUNTIFS(Table89[Country],Tabela1[[#This Row],[Country]],Table89[Men''s Classification],"&gt;0")</f>
        <v>0</v>
      </c>
      <c r="CE205" s="6">
        <f>COUNTIFS(Table89[Country],Tabela1[[#This Row],[Country]],Table89[Women''s Classification],"&gt;0")</f>
        <v>0</v>
      </c>
      <c r="CF205" s="6">
        <f>COUNTIFS(Table90[Country],Tabela1[[#This Row],[Country]],Table90[Men''s Classification],"&gt;0")</f>
        <v>0</v>
      </c>
      <c r="CG205" s="6">
        <f>COUNTIFS(Table90[Country],Tabela1[[#This Row],[Country]],Table90[Women''s Classification],"&gt;0")</f>
        <v>0</v>
      </c>
      <c r="CH205" s="6">
        <f>COUNTIFS(Table60[Country],Tabela1[[#This Row],[Country]],Table60[Men''s Classification],"&gt;0")</f>
        <v>0</v>
      </c>
      <c r="CI205" s="6">
        <f>COUNTIFS(Table60[Country],Tabela1[[#This Row],[Country]],Table60[Women''s Classification],"&gt;0")</f>
        <v>0</v>
      </c>
      <c r="CJ205" s="6">
        <f>COUNTIFS(Table6[Country],Tabela1[[#This Row],[Country]],Table6[51kg Classification],"&gt;0")</f>
        <v>0</v>
      </c>
      <c r="CK205" s="6">
        <f>COUNTIFS(Table6[Country],Tabela1[[#This Row],[Country]],Table6[57kg Classification],"&gt;0")</f>
        <v>0</v>
      </c>
      <c r="CL205" s="6">
        <f>COUNTIFS(Table6[Country],Tabela1[[#This Row],[Country]],Table6[63.5kg Classification],"&gt;0")</f>
        <v>0</v>
      </c>
      <c r="CM205" s="6">
        <f>COUNTIFS(Table6[Country],Tabela1[[#This Row],[Country]],Table6[71kg Classification],"&gt;0")</f>
        <v>0</v>
      </c>
      <c r="CN205" s="6">
        <f>COUNTIFS(Table6[Country],Tabela1[[#This Row],[Country]],Table6[80kg Classification],"&gt;0")</f>
        <v>0</v>
      </c>
      <c r="CO205" s="6">
        <f>COUNTIFS(Table6[Country],Tabela1[[#This Row],[Country]],Table6[92kg Classification],"&gt;0")</f>
        <v>0</v>
      </c>
      <c r="CP205" s="6">
        <f>COUNTIFS(Table6[Country],Tabela1[[#This Row],[Country]],Table6[Plus 92kg Classification],"&gt;0")</f>
        <v>0</v>
      </c>
      <c r="CQ205" s="6">
        <f>COUNTIFS(Table7[Country],Tabela1[[#This Row],[Country]],Table7[50kg Classification],"&gt;0")</f>
        <v>0</v>
      </c>
      <c r="CR205" s="6">
        <f>COUNTIFS(Table7[Country],Tabela1[[#This Row],[Country]],Table7[54kg Classification],"&gt;0")</f>
        <v>0</v>
      </c>
      <c r="CS205" s="6">
        <f>COUNTIFS(Table7[Country],Tabela1[[#This Row],[Country]],Table7[57kg Classification],"&gt;0")</f>
        <v>0</v>
      </c>
      <c r="CT205" s="6">
        <f>COUNTIFS(Table7[Country],Tabela1[[#This Row],[Country]],Table7[60kg Classification],"&gt;0")</f>
        <v>0</v>
      </c>
      <c r="CU205" s="6">
        <f>COUNTIFS(Table7[Country],Tabela1[[#This Row],[Country]],Table7[66kg Classification],"&gt;0")</f>
        <v>0</v>
      </c>
      <c r="CV205" s="6">
        <f>COUNTIFS(Table7[Country],Tabela1[[#This Row],[Country]],Table7[75kg Classification],"&gt;0")</f>
        <v>0</v>
      </c>
      <c r="CW205" s="6">
        <f>COUNTIFS(Tabela94[Country],Tabela1[[#This Row],[Country]],Tabela94[Classification],"&gt;0")</f>
        <v>0</v>
      </c>
      <c r="CX205" s="6">
        <f>COUNTIFS(Tabela9499[Country],Tabela1[[#This Row],[Country]],Tabela9499[Classification],"&gt;0")</f>
        <v>0</v>
      </c>
      <c r="CY205" s="6">
        <f>COUNTIFS(Tabela107[Country],Tabela1[[#This Row],[Country]],Tabela107[C1 Slalom Classification],"&gt;0")</f>
        <v>0</v>
      </c>
      <c r="CZ205" s="6">
        <f>COUNTIFS(Tabela107122[Country],Tabela1[[#This Row],[Country]],Tabela107122[C1 Slalom Classification],"&gt;0")</f>
        <v>0</v>
      </c>
      <c r="DA205" s="6">
        <f>COUNTIFS(Tabela107[Country],Tabela1[[#This Row],[Country]],Tabela107[K1 Slalom Classification],"&gt;0")</f>
        <v>0</v>
      </c>
      <c r="DB205" s="6">
        <f>COUNTIFS(Tabela107122[Country],Tabela1[[#This Row],[Country]],Tabela107122[K1 Slalom Classification],"&gt;0")</f>
        <v>0</v>
      </c>
      <c r="DC205" s="6">
        <f>COUNTIFS(Tabela107[Country],Tabela1[[#This Row],[Country]],Tabela107[Kayak Cross Slalom Classification],"&gt;0")</f>
        <v>0</v>
      </c>
      <c r="DD205" s="6">
        <f>COUNTIFS(Tabela107122[Country],Tabela1[[#This Row],[Country]],Tabela107122[Kayak Cross Slalom Classification],"&gt;0")</f>
        <v>0</v>
      </c>
      <c r="DE205" s="6">
        <f>COUNTIFS(Table8[Country],Tabela1[[#This Row],[Country]],Table8[C1 200m Classification],"&gt;0")</f>
        <v>0</v>
      </c>
      <c r="DF205" s="6">
        <f>COUNTIFS(Table40[Country],Tabela1[[#This Row],[Country]],Table40[C1 1000m Classification],"&gt;0")</f>
        <v>0</v>
      </c>
      <c r="DG205" s="6">
        <f>COUNTIFS(Table68[Country],Tabela1[[#This Row],[Country]],Table68[Men''s C2 500m Classification],"&gt;0")</f>
        <v>0</v>
      </c>
      <c r="DH205" s="6">
        <f>COUNTIFS(Table68[Country],Tabela1[[#This Row],[Country]],Table68[Women''s C2 500m Classification],"&gt;0")</f>
        <v>0</v>
      </c>
      <c r="DI205" s="6">
        <f>COUNTIFS(Table8[Country],Tabela1[[#This Row],[Country]],Table8[K1 500m Classification],"&gt;0")</f>
        <v>0</v>
      </c>
      <c r="DJ205" s="6">
        <f>COUNTIFS(Table40[Country],Tabela1[[#This Row],[Country]],Table40[K1 1000m Classification],"&gt;0")</f>
        <v>0</v>
      </c>
      <c r="DK205" s="6">
        <f>COUNTIFS(Table68[Country],Tabela1[[#This Row],[Country]],Table68[Men''s K2 500m Classification],"&gt;0")</f>
        <v>0</v>
      </c>
      <c r="DL205" s="6">
        <f>COUNTIFS(Table68[Country],Tabela1[[#This Row],[Country]],Table68[Women''s K2 500m Classification],"&gt;0")</f>
        <v>0</v>
      </c>
      <c r="DM205" s="6">
        <f>COUNTIFS(Table83[Country],Tabela1[[#This Row],[Country]],Table83[Men''s K4 500m Classification],"&gt;0")</f>
        <v>0</v>
      </c>
      <c r="DN205" s="6">
        <f>COUNTIFS(Table83[Country],Tabela1[[#This Row],[Country]],Table83[Women''s K4 500m Classification],"&gt;0")</f>
        <v>0</v>
      </c>
      <c r="DO205" s="6">
        <f>COUNTIFS(Tabela126[Country],Tabela1[[#This Row],[Country]],Tabela126[Classification],"&gt;0")</f>
        <v>0</v>
      </c>
      <c r="DP205" s="6">
        <f>COUNTIFS(Tabela126130[Country],Tabela1[[#This Row],[Country]],Tabela126130[Classification],"&gt;0")</f>
        <v>0</v>
      </c>
      <c r="DQ205" s="6">
        <f>COUNTIFS(Table70[Country],Tabela1[[#This Row],[Country]],Table70[Classification],"&gt;0")</f>
        <v>0</v>
      </c>
      <c r="DR205" s="6">
        <f>COUNTIFS(Table80[Country],Tabela1[[#This Row],[Country]],Table80[Classification],"&gt;0")</f>
        <v>0</v>
      </c>
      <c r="DS205" s="6">
        <f>COUNTIFS(Table66[Country],Tabela1[[#This Row],[Country]],Table66[Classification],"&gt;0")</f>
        <v>0</v>
      </c>
      <c r="DT205" s="6">
        <f>COUNTIFS(Table67[Country],Tabela1[[#This Row],[Country]],Table67[Classification],"&gt;0")</f>
        <v>0</v>
      </c>
      <c r="DU205" s="6">
        <f>COUNTIFS(Table69[Country],Tabela1[[#This Row],[Country]],Table69[Keirin Classification],"&gt;0")</f>
        <v>0</v>
      </c>
      <c r="DV205" s="6">
        <f>COUNTIFS(Table41[Country],Tabela1[[#This Row],[Country]],Table41[Keirin Classification],"&gt;0")</f>
        <v>0</v>
      </c>
      <c r="DW205" s="6">
        <f>COUNTIFS(Table84[Country],Tabela1[[#This Row],[Country]],Table84[Men''s Madison Classification],"&gt;0")</f>
        <v>0</v>
      </c>
      <c r="DX205" s="6">
        <f>COUNTIFS(Table84[Country],Tabela1[[#This Row],[Country]],Table84[Women''s Madison Classification],"&gt;0")</f>
        <v>0</v>
      </c>
      <c r="DY205" s="6">
        <f>COUNTIFS(Table69[Country],Tabela1[[#This Row],[Country]],Table69[Omnium Classification],"&gt;0")</f>
        <v>0</v>
      </c>
      <c r="DZ205" s="6">
        <f>COUNTIFS(Table41[Country],Tabela1[[#This Row],[Country]],Table41[Omnium Classification],"&gt;0")</f>
        <v>0</v>
      </c>
      <c r="EA205" s="6">
        <f>COUNTIFS(Table9[Country],Tabela1[[#This Row],[Country]],Table9[Road Race Classification],"&gt;0")</f>
        <v>0</v>
      </c>
      <c r="EB205" s="6">
        <f>COUNTIFS(Table14[Country],Tabela1[[#This Row],[Country]],Table14[Road Race Classification],"&gt;0")</f>
        <v>0</v>
      </c>
      <c r="EC205" s="6">
        <f>COUNTIFS(Table69[Country],Tabela1[[#This Row],[Country]],Table69[Sprint Classification],"&gt;0")</f>
        <v>0</v>
      </c>
      <c r="ED205" s="6">
        <f>COUNTIFS(Table41[Country],Tabela1[[#This Row],[Country]],Table41[Sprint Classification],"&gt;0")</f>
        <v>0</v>
      </c>
      <c r="EE205" s="6">
        <f>COUNTIFS(Table85[Country],Tabela1[[#This Row],[Country]],Table85[Men''s Sprint Classification],"&gt;0")</f>
        <v>0</v>
      </c>
      <c r="EF205" s="6">
        <f>COUNTIFS(Table85[Country],Tabela1[[#This Row],[Country]],Table85[Women''s Sprint Classification],"&gt;0")</f>
        <v>0</v>
      </c>
      <c r="EG205" s="6">
        <f>COUNTIFS(Table85[Country],Tabela1[[#This Row],[Country]],Table85[Men''s Pursuit Classification],"&gt;0")</f>
        <v>0</v>
      </c>
      <c r="EH205" s="6">
        <f>COUNTIFS(Table85[Country],Tabela1[[#This Row],[Country]],Table85[Women''s Pursuit Classification],"&gt;0")</f>
        <v>0</v>
      </c>
      <c r="EI205" s="6">
        <f>COUNTIFS(Table9[Country],Tabela1[[#This Row],[Country]],Table9[Time-Trial Classification],"&gt;0")</f>
        <v>0</v>
      </c>
      <c r="EJ205" s="6">
        <f>COUNTIFS(Table14[Country],Tabela1[[#This Row],[Country]],Table14[Time-Trial Classification],"&gt;0")</f>
        <v>0</v>
      </c>
      <c r="EK205" s="6">
        <f>COUNTIFS(Table42[Country],Tabela1[[#This Row],[Country]],Table42[Springboard Classification],"&gt;0")</f>
        <v>0</v>
      </c>
      <c r="EL205" s="6">
        <f>COUNTIFS(Table43[Country],Tabela1[[#This Row],[Country]],Table43[Springboard Classification],"&gt;0")</f>
        <v>0</v>
      </c>
      <c r="EM205" s="6">
        <f>COUNTIFS(Table42[Country],Tabela1[[#This Row],[Country]],Table42[Platform Classification],"&gt;0")</f>
        <v>0</v>
      </c>
      <c r="EN205" s="6">
        <f>COUNTIFS(Table43[Country],Tabela1[[#This Row],[Country]],Table43[Platform Classification],"&gt;0")</f>
        <v>0</v>
      </c>
      <c r="EO205" s="6">
        <f>COUNTIFS(Table86[Country],Tabela1[[#This Row],[Country]],Table86[Men''s Synchronized Springboard Classification],"&gt;0")</f>
        <v>0</v>
      </c>
      <c r="EP205" s="6">
        <f>COUNTIFS(Table86[Country],Tabela1[[#This Row],[Country]],Table86[Women''s Synchronized Springboard Classification],"&gt;0")</f>
        <v>0</v>
      </c>
      <c r="EQ205" s="6">
        <f>COUNTIFS(Table86[Country],Tabela1[[#This Row],[Country]],Table86[Men''s Synchronized Platform Classification],"&gt;0")</f>
        <v>0</v>
      </c>
      <c r="ER205" s="6">
        <f>COUNTIFS(Table86[Country],Tabela1[[#This Row],[Country]],Table86[Women''s Synchronized Platform Classification],"&gt;0")</f>
        <v>0</v>
      </c>
      <c r="ES205" s="6">
        <f>COUNTIFS(Table44[Country],Tabela1[[#This Row],[Country]],Table44[Dressage Classification],"&gt;0")</f>
        <v>0</v>
      </c>
      <c r="ET205" s="6">
        <f>COUNTIFS(Table45[Country],Tabela1[[#This Row],[Country]],Table45[Dressage Classification],"&gt;0")</f>
        <v>0</v>
      </c>
      <c r="EU205" s="6">
        <f>COUNTIFS(Table44[Country],Tabela1[[#This Row],[Country]],Table44[Eventing Classification],"&gt;0")</f>
        <v>0</v>
      </c>
      <c r="EV205" s="6">
        <f>COUNTIFS(Table45[Country],Tabela1[[#This Row],[Country]],Table45[Eventing Classification],"&gt;0")</f>
        <v>0</v>
      </c>
      <c r="EW205" s="6">
        <f>COUNTIFS(Table44[Country],Tabela1[[#This Row],[Country]],Table44[Jumping Classification],"&gt;0")</f>
        <v>0</v>
      </c>
      <c r="EX205" s="6">
        <f>COUNTIFS(Table45[Country],Tabela1[[#This Row],[Country]],Table45[Jumping Classification],"&gt;0")</f>
        <v>0</v>
      </c>
      <c r="EY205" s="6">
        <f>COUNTIFS(Table10[Country],Tabela1[[#This Row],[Country]],Table10[Épée Classification],"&gt;0")</f>
        <v>0</v>
      </c>
      <c r="EZ205" s="6">
        <f>COUNTIFS(Table11[Country],Tabela1[[#This Row],[Country]],Table11[Épée Classification],"&gt;0")</f>
        <v>0</v>
      </c>
      <c r="FA205" s="6">
        <f>COUNTIFS(Table46[Country],Tabela1[[#This Row],[Country]],Table46[Men''s Épée Classification],"&gt;0")</f>
        <v>0</v>
      </c>
      <c r="FB205" s="6">
        <f>COUNTIFS(Table46[Country],Tabela1[[#This Row],[Country]],Table46[Women''s Épée Classification],"&gt;0")</f>
        <v>0</v>
      </c>
      <c r="FC205" s="6">
        <f>COUNTIFS(Table10[Country],Tabela1[[#This Row],[Country]],Table10[Foil Classification],"&gt;0")</f>
        <v>0</v>
      </c>
      <c r="FD205" s="6">
        <f>COUNTIFS(Table11[Country],Tabela1[[#This Row],[Country]],Table11[Foil Classification],"&gt;0")</f>
        <v>0</v>
      </c>
      <c r="FE205" s="6">
        <f>COUNTIFS(Table46[Country],Tabela1[[#This Row],[Country]],Table46[Men''s Foil Classification],"&gt;0")</f>
        <v>0</v>
      </c>
      <c r="FF205" s="6">
        <f>COUNTIFS(Table46[Country],Tabela1[[#This Row],[Country]],Table46[Women''s Foil Classification],"&gt;0")</f>
        <v>0</v>
      </c>
      <c r="FG205" s="6">
        <f>COUNTIFS(Table10[Country],Tabela1[[#This Row],[Country]],Table10[Sabre Classification],"&gt;0")</f>
        <v>0</v>
      </c>
      <c r="FH205" s="6">
        <f>COUNTIFS(Table11[Country],Tabela1[[#This Row],[Country]],Table11[Sabre Classification],"&gt;0")</f>
        <v>0</v>
      </c>
      <c r="FI205" s="6">
        <f>COUNTIFS(Table46[Country],Tabela1[[#This Row],[Country]],Table46[Men''s Sabre Classification],"&gt;0")</f>
        <v>0</v>
      </c>
      <c r="FJ205" s="6">
        <f>COUNTIFS(Table46[Country],Tabela1[[#This Row],[Country]],Table46[Women''s Sabre Classification],"&gt;0")</f>
        <v>0</v>
      </c>
      <c r="FK205" s="6">
        <f>COUNTIFS(Table91[Country],Tabela1[[#This Row],[Country]],Table91[Men''s Classification],"&gt;0")</f>
        <v>0</v>
      </c>
      <c r="FL205" s="6">
        <f>COUNTIFS(Table91[Country],Tabela1[[#This Row],[Country]],Table91[Women''s Classification],"&gt;0")</f>
        <v>0</v>
      </c>
      <c r="FM205" s="6">
        <f>COUNTIFS(Table9194[Country],Tabela1[[#This Row],[Country]],Table9194[Men''s Classification],"&gt;0")</f>
        <v>0</v>
      </c>
      <c r="FN205" s="6">
        <f>COUNTIFS(Table9194[Country],Tabela1[[#This Row],[Country]],Table9194[Women''s Classification],"&gt;0")</f>
        <v>0</v>
      </c>
      <c r="FO205" s="6">
        <f>COUNTIFS(Table71[Country],Tabela1[[#This Row],[Country]],Table71[Classification],"&gt;0")</f>
        <v>0</v>
      </c>
      <c r="FP205" s="6">
        <f>COUNTIFS(Table62[Country],Tabela1[[#This Row],[Country]],Table62[Classification],"&gt;0")</f>
        <v>0</v>
      </c>
      <c r="FQ205" s="6">
        <f>COUNTIFS(Table47[Country],Tabela1[[#This Row],[Country]],Table47[All-Around Classification],"&gt;0")</f>
        <v>0</v>
      </c>
      <c r="FR205" s="6">
        <f>COUNTIFS(Table48[Country],Tabela1[[#This Row],[Country]],Table48[All-Around Classification],"&gt;0")</f>
        <v>0</v>
      </c>
      <c r="FS205" s="6">
        <f>COUNTIFS(Table81[Country],Tabela1[[#This Row],[Country]],Table81[Men''s All-Around Classification],"&gt;0")</f>
        <v>0</v>
      </c>
      <c r="FT205" s="6">
        <f>COUNTIFS(Table81[Country],Tabela1[[#This Row],[Country]],Table81[Women''s All-Around Classification],"&gt;0")</f>
        <v>0</v>
      </c>
      <c r="FU205" s="6">
        <f>COUNTIFS(Table48[Country],Tabela1[[#This Row],[Country]],Table48[Balance Beam Classification],"&gt;0")</f>
        <v>0</v>
      </c>
      <c r="FV205" s="6">
        <f>COUNTIFS(Table47[Country],Tabela1[[#This Row],[Country]],Table47[Floor Exercise Classification],"&gt;0")</f>
        <v>0</v>
      </c>
      <c r="FW205" s="6">
        <f>COUNTIFS(Table48[Country],Tabela1[[#This Row],[Country]],Table48[Floor Exercise Classification],"&gt;0")</f>
        <v>0</v>
      </c>
      <c r="FX205" s="6">
        <f>COUNTIFS(Table47[Country],Tabela1[[#This Row],[Country]],Table47[Horizontal Bar Classification],"&gt;0")</f>
        <v>0</v>
      </c>
      <c r="FY205" s="6">
        <f>COUNTIFS(Table47[Country],Tabela1[[#This Row],[Country]],Table47[Parallel Bars Classification],"&gt;0")</f>
        <v>0</v>
      </c>
      <c r="FZ205" s="6">
        <f>COUNTIFS(Table47[Country],Tabela1[[#This Row],[Country]],Table47[Pommel Horse Classification],"&gt;0")</f>
        <v>0</v>
      </c>
      <c r="GA205" s="6">
        <f>COUNTIFS(Table47[Country],Tabela1[[#This Row],[Country]],Table47[Rings Classification],"&gt;0")</f>
        <v>0</v>
      </c>
      <c r="GB205" s="6">
        <f>COUNTIFS(Tabela132[Country],Tabela1[[#This Row],[Country]],Tabela132[Classification],"&gt;0")</f>
        <v>0</v>
      </c>
      <c r="GC205" s="6">
        <f>COUNTIFS(Tabela139[Country],Tabela1[[#This Row],[Country]],Tabela139[Classification],"&gt;0")</f>
        <v>0</v>
      </c>
      <c r="GD205" s="6">
        <f>COUNTIFS(Table48[Country],Tabela1[[#This Row],[Country]],Table48[Uneven Bars Classification],"&gt;0")</f>
        <v>0</v>
      </c>
      <c r="GE205" s="6">
        <f>COUNTIFS(Table47[Country],Tabela1[[#This Row],[Country]],Table47[Vault Classification],"&gt;0")</f>
        <v>0</v>
      </c>
      <c r="GF205" s="6">
        <f>COUNTIFS(Table48[Country],Tabela1[[#This Row],[Country]],Table48[Vault Classification],"&gt;0")</f>
        <v>0</v>
      </c>
      <c r="GG205" s="6">
        <f>COUNTIFS(Table919496[Country],Tabela1[[#This Row],[Country]],Table919496[Men''s Classification],"&gt;0")</f>
        <v>0</v>
      </c>
      <c r="GH205" s="6">
        <f>COUNTIFS(Table919496[Country],Tabela1[[#This Row],[Country]],Table919496[Women''s Classification],"&gt;0")</f>
        <v>0</v>
      </c>
      <c r="GI205" s="6">
        <f>COUNTIFS(Table12[Country],Tabela1[[#This Row],[Country]],Table12[60kg Classification],"&gt;0")</f>
        <v>0</v>
      </c>
      <c r="GJ205" s="6">
        <f>COUNTIFS(Table12[Country],Tabela1[[#This Row],[Country]],Table12[66kg Classification],"&gt;0")</f>
        <v>0</v>
      </c>
      <c r="GK205" s="6">
        <f>COUNTIFS(Table12[Country],Tabela1[[#This Row],[Country]],Table12[73kg Classification],"&gt;0")</f>
        <v>0</v>
      </c>
      <c r="GL205" s="6">
        <f>COUNTIFS(Table12[Country],Tabela1[[#This Row],[Country]],Table12[81kg Classification],"&gt;0")</f>
        <v>0</v>
      </c>
      <c r="GM205" s="6">
        <f>COUNTIFS(Table12[Country],Tabela1[[#This Row],[Country]],Table12[90kg Classification],"&gt;0")</f>
        <v>0</v>
      </c>
      <c r="GN205" s="6">
        <f>COUNTIFS(Table12[Country],Tabela1[[#This Row],[Country]],Table12[100kg Classification],"&gt;0")</f>
        <v>0</v>
      </c>
      <c r="GO205" s="6">
        <f>COUNTIFS(Table12[Country],Tabela1[[#This Row],[Country]],Table12[Plus 100kg Classification],"&gt;0")</f>
        <v>0</v>
      </c>
      <c r="GP205" s="6">
        <f>COUNTIFS(Table13[Country],Tabela1[[#This Row],[Country]],Table13[48kg Classification],"&gt;0")</f>
        <v>0</v>
      </c>
      <c r="GQ205" s="6">
        <f>COUNTIFS(Table13[Country],Tabela1[[#This Row],[Country]],Table13[52kg Classification],"&gt;0")</f>
        <v>0</v>
      </c>
      <c r="GR205" s="6">
        <f>COUNTIFS(Table13[Country],Tabela1[[#This Row],[Country]],Table13[57kg Classification],"&gt;0")</f>
        <v>0</v>
      </c>
      <c r="GS205" s="6">
        <f>COUNTIFS(Table13[Country],Tabela1[[#This Row],[Country]],Table13[63kg Classification],"&gt;0")</f>
        <v>0</v>
      </c>
      <c r="GT205" s="6">
        <f>COUNTIFS(Table13[Country],Tabela1[[#This Row],[Country]],Table13[70kg Classification],"&gt;0")</f>
        <v>0</v>
      </c>
      <c r="GU205" s="6">
        <f>COUNTIFS(Table13[Country],Tabela1[[#This Row],[Country]],Table13[78kg Classification],"&gt;0")</f>
        <v>0</v>
      </c>
      <c r="GV205" s="6">
        <f>COUNTIFS(Table13[Country],Tabela1[[#This Row],[Country]],Table13[Plus 78kg Classification],"&gt;0")</f>
        <v>0</v>
      </c>
      <c r="GW205" s="6">
        <f>COUNTIFS(Table82[Country],Tabela1[[#This Row],[Country]],Table82[Mixed Classification],"&gt;0")</f>
        <v>0</v>
      </c>
      <c r="GX205" s="6">
        <f>COUNTIFS(Table51[Country],Tabela1[[#This Row],[Country]],Table51[Classification],"&gt;0")</f>
        <v>0</v>
      </c>
      <c r="GY205" s="6">
        <f>COUNTIFS(Table52[Country],Tabela1[[#This Row],[Country]],Table52[Classification],"&gt;0")</f>
        <v>0</v>
      </c>
      <c r="GZ205" s="6">
        <f>COUNTIFS(Table32[Country],Tabela1[[#This Row],[Country]],Table32[All-Around Classification],"&gt;0")</f>
        <v>0</v>
      </c>
      <c r="HA205" s="6">
        <f>COUNTIFS(Table49[Country],Tabela1[[#This Row],[Country]],Table49[All-Around Classification],"&gt;0")</f>
        <v>0</v>
      </c>
      <c r="HB205" s="6">
        <f>COUNTIFS(Table26[Country],Tabela1[[#This Row],[Country]],Table26[Single Sculls Classification],"&gt;0")</f>
        <v>0</v>
      </c>
      <c r="HC205" s="6">
        <f>COUNTIFS(Table63[Country],Tabela1[[#This Row],[Country]],Table63[Single Sculls Classification],"&gt;0")</f>
        <v>0</v>
      </c>
      <c r="HD205" s="6">
        <f>COUNTIFS(Table16[Country],Tabela1[[#This Row],[Country]],Table16[Men''s Double Sculls Classification],"&gt;0")</f>
        <v>0</v>
      </c>
      <c r="HE205" s="6">
        <f>COUNTIFS(Table16[Country],Tabela1[[#This Row],[Country]],Table16[Women''s Double Sculls Classification],"&gt;0")</f>
        <v>0</v>
      </c>
      <c r="HF205" s="6">
        <f>COUNTIFS(Table72[Country],Tabela1[[#This Row],[Country]],Table72[Men''s Quadruple Sculls Classification],"&gt;0")</f>
        <v>0</v>
      </c>
      <c r="HG205" s="6">
        <f>COUNTIFS(Table72[Country],Tabela1[[#This Row],[Country]],Table72[Women''s Quadruple Sculls Classification],"&gt;0")</f>
        <v>0</v>
      </c>
      <c r="HH205" s="6">
        <f>COUNTIFS(Table16[Country],Tabela1[[#This Row],[Country]],Table16[Men''s Coxless Pairs Classification],"&gt;0")</f>
        <v>0</v>
      </c>
      <c r="HI205" s="6">
        <f>COUNTIFS(Table16[Country],Tabela1[[#This Row],[Country]],Table16[Women''s Coxless Pairs Classification],"&gt;0")</f>
        <v>0</v>
      </c>
      <c r="HJ205" s="6">
        <f>COUNTIFS(Table72[Country],Tabela1[[#This Row],[Country]],Table72[Men''s Coxless Fours Classification],"&gt;0")</f>
        <v>0</v>
      </c>
      <c r="HK205" s="6">
        <f>COUNTIFS(Table72[Country],Tabela1[[#This Row],[Country]],Table72[Women''s Coxless Fours Classification],"&gt;0")</f>
        <v>0</v>
      </c>
      <c r="HL205" s="6">
        <f>COUNTIFS(Table72[Country],Tabela1[[#This Row],[Country]],Table72[Men''s Eights Classification],"&gt;0")</f>
        <v>0</v>
      </c>
      <c r="HM205" s="6">
        <f>COUNTIFS(Table72[Country],Tabela1[[#This Row],[Country]],Table72[Women''s Eights Classification],"&gt;0")</f>
        <v>0</v>
      </c>
      <c r="HN205" s="6">
        <f>COUNTIFS(Table16[Country],Tabela1[[#This Row],[Country]],Table16[Men''s Lwt. Double Sculls Classification],"&gt;0")</f>
        <v>0</v>
      </c>
      <c r="HO205" s="6">
        <f>COUNTIFS(Table16[Country],Tabela1[[#This Row],[Country]],Table16[Women''s Lwt. Double Sculls Classification],"&gt;0")</f>
        <v>0</v>
      </c>
      <c r="HP205" s="6">
        <f>COUNTIFS(Table91949698[Country],Tabela1[[#This Row],[Country]],Table91949698[Men''s Classification],"&gt;0")</f>
        <v>0</v>
      </c>
      <c r="HQ205" s="6">
        <f>COUNTIFS(Table91949698[Country],Tabela1[[#This Row],[Country]],Table91949698[Women''s Classification],"&gt;0")</f>
        <v>0</v>
      </c>
      <c r="HR205" s="6">
        <f>COUNTIFS(Table25[Country],Tabela1[[#This Row],[Country]],Table25[Mixed 470 Classification],"&gt;0")</f>
        <v>0</v>
      </c>
      <c r="HS205" s="6">
        <f>COUNTIFS(Table25[Country],Tabela1[[#This Row],[Country]],Table25[Men''s 49er Classification],"&gt;0")</f>
        <v>0</v>
      </c>
      <c r="HT205" s="6">
        <f>COUNTIFS(Table25[Country],Tabela1[[#This Row],[Country]],Table25[Women''s 49er FX Classification],"&gt;0")</f>
        <v>0</v>
      </c>
      <c r="HU205" s="6">
        <f>COUNTIFS(Table17[Country],Tabela1[[#This Row],[Country]],Table17[Formula Kite Classification],"&gt;0")</f>
        <v>0</v>
      </c>
      <c r="HV205" s="6">
        <f>COUNTIFS(Table18[Country],Tabela1[[#This Row],[Country]],Table18[Formula Kite Classification],"&gt;0")</f>
        <v>0</v>
      </c>
      <c r="HW205" s="6">
        <f>COUNTIFS(Table17[Country],Tabela1[[#This Row],[Country]],Table17[ILCA 7 Classification],"&gt;0")</f>
        <v>0</v>
      </c>
      <c r="HX205" s="6">
        <f>COUNTIFS(Table18[Country],Tabela1[[#This Row],[Country]],Table18[ILCA 6 Classification],"&gt;0")</f>
        <v>0</v>
      </c>
      <c r="HY205" s="6">
        <f>COUNTIFS(Table17[Country],Tabela1[[#This Row],[Country]],Table17[IQFoil Classification],"&gt;0")</f>
        <v>0</v>
      </c>
      <c r="HZ205" s="6">
        <f>COUNTIFS(Table18[Country],Tabela1[[#This Row],[Country]],Table18[IQFoil Classification],"&gt;0")</f>
        <v>0</v>
      </c>
      <c r="IA205" s="6">
        <f>COUNTIFS(Table25[Country],Tabela1[[#This Row],[Country]],Table25[Mixed Nacra 17 Classification],"&gt;0")</f>
        <v>0</v>
      </c>
      <c r="IB205" s="6">
        <f>COUNTIFS(Table53[Country],Tabela1[[#This Row],[Country]],Table53[10m Air Pistol Classification],"&gt;0")</f>
        <v>0</v>
      </c>
      <c r="IC205" s="6">
        <f>COUNTIFS(Table19[Country],Tabela1[[#This Row],[Country]],Table19[10m Air Pistol Classification],"&gt;0")</f>
        <v>0</v>
      </c>
      <c r="ID205" s="6">
        <f>COUNTIFS(Table54[Country],Tabela1[[#This Row],[Country]],Table54[Mixed 10m Air Pistol Team Classification],"&gt;0")</f>
        <v>0</v>
      </c>
      <c r="IE205" s="6">
        <f>COUNTIFS(Table53[Country],Tabela1[[#This Row],[Country]],Table53[10m Air Rifle Classification],"&gt;0")</f>
        <v>0</v>
      </c>
      <c r="IF205" s="6">
        <f>COUNTIFS(Table19[Country],Tabela1[[#This Row],[Country]],Table19[10m Air Rifle Classification],"&gt;0")</f>
        <v>0</v>
      </c>
      <c r="IG205" s="6">
        <f>COUNTIFS(Table54[Country],Tabela1[[#This Row],[Country]],Table54[Mixed 10m Air Rifle Team Classification],"&gt;0")</f>
        <v>0</v>
      </c>
      <c r="IH205" s="6">
        <f>COUNTIFS(Table53[Country],Tabela1[[#This Row],[Country]],Table53[25m Rapid Fire Pistol Classification],"&gt;0")</f>
        <v>0</v>
      </c>
      <c r="II205" s="6">
        <f>COUNTIFS(Table19[Country],Tabela1[[#This Row],[Country]],Table19[25m Pistol Classification],"&gt;0")</f>
        <v>0</v>
      </c>
      <c r="IJ205" s="6">
        <f>COUNTIFS(Table53[Country],Tabela1[[#This Row],[Country]],Table53[50m Rifle 3 Positions Classification],"&gt;0")</f>
        <v>0</v>
      </c>
      <c r="IK205" s="6">
        <f>COUNTIFS(Table19[Country],Tabela1[[#This Row],[Country]],Table19[50m Rifle 3 Positions Classification],"&gt;0")</f>
        <v>0</v>
      </c>
      <c r="IL205" s="6">
        <f>COUNTIFS(Table53[Country],Tabela1[[#This Row],[Country]],Table53[Skeet Classification],"&gt;0")</f>
        <v>0</v>
      </c>
      <c r="IM205" s="6">
        <f>COUNTIFS(Table19[Country],Tabela1[[#This Row],[Country]],Table19[Skeet Classification],"&gt;0")</f>
        <v>0</v>
      </c>
      <c r="IN205" s="6">
        <f>COUNTIFS(Table54[Country],Tabela1[[#This Row],[Country]],Table54[Mixed Skeet Team Classification],"&gt;0")</f>
        <v>0</v>
      </c>
      <c r="IO205" s="6">
        <f>COUNTIFS(Table53[Country],Tabela1[[#This Row],[Country]],Table53[Trap Classification],"&gt;0")</f>
        <v>0</v>
      </c>
      <c r="IP205" s="6">
        <f>COUNTIFS(Table19[Country],Tabela1[[#This Row],[Country]],Table19[Trap Classification],"&gt;0")</f>
        <v>0</v>
      </c>
      <c r="IQ205" s="6">
        <f>COUNTIFS(Table73[Country],Tabela1[[#This Row],[Country]],Table73[Park Classification],"&gt;0")</f>
        <v>0</v>
      </c>
      <c r="IR205" s="6">
        <f>COUNTIFS(Table74[Country],Tabela1[[#This Row],[Country]],Table74[Park Classification],"&gt;0")</f>
        <v>0</v>
      </c>
      <c r="IS205" s="6">
        <f>COUNTIFS(Table73[Country],Tabela1[[#This Row],[Country]],Table73[Street Classification],"&gt;0")</f>
        <v>0</v>
      </c>
      <c r="IT205" s="6">
        <f>COUNTIFS(Table74[Country],Tabela1[[#This Row],[Country]],Table74[Street Classification],"&gt;0")</f>
        <v>0</v>
      </c>
      <c r="IU205" s="6">
        <f>COUNTIFS(Table75[Country],Tabela1[[#This Row],[Country]],Table75[Boulder and Lead Classification],"&gt;0")</f>
        <v>0</v>
      </c>
      <c r="IV205" s="6">
        <f>COUNTIFS(Table76[Country],Tabela1[[#This Row],[Country]],Table76[Boulder and Lead Classification],"&gt;0")</f>
        <v>0</v>
      </c>
      <c r="IW205" s="6">
        <f>COUNTIFS(Table75[Country],Tabela1[[#This Row],[Country]],Table75[Speed Classification],"&gt;0")</f>
        <v>0</v>
      </c>
      <c r="IX205" s="6">
        <f>COUNTIFS(Table76[Country],Tabela1[[#This Row],[Country]],Table76[Speed Classification],"&gt;0")</f>
        <v>0</v>
      </c>
      <c r="IY205" s="6">
        <f>COUNTIFS(Table64[Country],Tabela1[[#This Row],[Country]],Table64[Shortboard Classification],"&gt;0")</f>
        <v>0</v>
      </c>
      <c r="IZ205" s="6">
        <f>COUNTIFS(Table77[Country],Tabela1[[#This Row],[Country]],Table77[Shortboard Classification],"&gt;0")</f>
        <v>0</v>
      </c>
      <c r="JA205" s="6">
        <f>COUNTIFS(Table20[Country],Tabela1[[#This Row],[Country]],Table20[50m Freestyle Classification],"&gt;0")</f>
        <v>0</v>
      </c>
      <c r="JB205" s="6">
        <f>COUNTIFS(Table21[Country],Tabela1[[#This Row],[Country]],Table21[50m Freestyle Classification],"&gt;0")</f>
        <v>0</v>
      </c>
      <c r="JC205" s="6">
        <f>COUNTIFS(Table20[Country],Tabela1[[#This Row],[Country]],Table20[100m Freestyle Classification],"&gt;0")</f>
        <v>0</v>
      </c>
      <c r="JD205" s="6">
        <f>COUNTIFS(Table21[Country],Tabela1[[#This Row],[Country]],Table21[100m Freestyle Classification],"&gt;0")</f>
        <v>0</v>
      </c>
      <c r="JE205" s="6">
        <f>COUNTIFS(Table20[Country],Tabela1[[#This Row],[Country]],Table20[200m Freestyle Classification],"&gt;0")</f>
        <v>0</v>
      </c>
      <c r="JF205" s="6">
        <f>COUNTIFS(Table21[Country],Tabela1[[#This Row],[Country]],Table21[200m Freestyle Classification],"&gt;0")</f>
        <v>0</v>
      </c>
      <c r="JG205" s="6">
        <f>COUNTIFS(Table20[Country],Tabela1[[#This Row],[Country]],Table20[400m Freestyle Classification],"&gt;0")</f>
        <v>0</v>
      </c>
      <c r="JH205" s="6">
        <f>COUNTIFS(Table21[Country],Tabela1[[#This Row],[Country]],Table21[400m Freestyle Classification],"&gt;0")</f>
        <v>0</v>
      </c>
      <c r="JI205" s="6">
        <f>COUNTIFS(Table20[Country],Tabela1[[#This Row],[Country]],Table20[800m Freestyle Classification],"&gt;0")</f>
        <v>0</v>
      </c>
      <c r="JJ205" s="6">
        <f>COUNTIFS(Table21[Country],Tabela1[[#This Row],[Country]],Table21[800m Freestyle Classification],"&gt;0")</f>
        <v>0</v>
      </c>
      <c r="JK205" s="6">
        <f>COUNTIFS(Table20[Country],Tabela1[[#This Row],[Country]],Table20[1500m Freestyle Classification],"&gt;0")</f>
        <v>0</v>
      </c>
      <c r="JL205" s="6">
        <f>COUNTIFS(Table21[Country],Tabela1[[#This Row],[Country]],Table21[1500m Freestyle Classification],"&gt;0")</f>
        <v>0</v>
      </c>
      <c r="JM205" s="6">
        <f>COUNTIFS(Table20[Country],Tabela1[[#This Row],[Country]],Table20[100m Backstroke Classification],"&gt;0")</f>
        <v>0</v>
      </c>
      <c r="JN205" s="6">
        <f>COUNTIFS(Table21[Country],Tabela1[[#This Row],[Country]],Table21[100m Backstroke Classification],"&gt;0")</f>
        <v>0</v>
      </c>
      <c r="JO205" s="6">
        <f>COUNTIFS(Table20[Country],Tabela1[[#This Row],[Country]],Table20[200m Backstroke Classification],"&gt;0")</f>
        <v>0</v>
      </c>
      <c r="JP205" s="6">
        <f>COUNTIFS(Table21[Country],Tabela1[[#This Row],[Country]],Table21[200m Backstroke Classification],"&gt;0")</f>
        <v>0</v>
      </c>
      <c r="JQ205" s="6">
        <f>COUNTIFS(Table20[Country],Tabela1[[#This Row],[Country]],Table20[100m Breaststroke Classification],"&gt;0")</f>
        <v>0</v>
      </c>
      <c r="JR205" s="6">
        <f>COUNTIFS(Table21[Country],Tabela1[[#This Row],[Country]],Table21[100m Breaststroke Classification],"&gt;0")</f>
        <v>0</v>
      </c>
      <c r="JS205" s="6">
        <f>COUNTIFS(Table20[Country],Tabela1[[#This Row],[Country]],Table20[200m Breaststroke Classification],"&gt;0")</f>
        <v>0</v>
      </c>
      <c r="JT205" s="6">
        <f>COUNTIFS(Table21[Country],Tabela1[[#This Row],[Country]],Table21[200m Breaststroke Classification],"&gt;0")</f>
        <v>0</v>
      </c>
      <c r="JU205" s="6">
        <f>COUNTIFS(Table20[Country],Tabela1[[#This Row],[Country]],Table20[100m Butterfly Classification],"&gt;0")</f>
        <v>0</v>
      </c>
      <c r="JV205" s="6">
        <f>COUNTIFS(Table21[Country],Tabela1[[#This Row],[Country]],Table21[100m Butterfly Classification],"&gt;0")</f>
        <v>0</v>
      </c>
      <c r="JW205" s="6">
        <f>COUNTIFS(Table20[Country],Tabela1[[#This Row],[Country]],Table20[200m Butterfly Classification],"&gt;0")</f>
        <v>0</v>
      </c>
      <c r="JX205" s="6">
        <f>COUNTIFS(Table21[Country],Tabela1[[#This Row],[Country]],Table21[200m Butterfly Classification],"&gt;0")</f>
        <v>0</v>
      </c>
      <c r="JY205" s="6">
        <f>COUNTIFS(Table20[Country],Tabela1[[#This Row],[Country]],Table20[200m Medley Classification],"&gt;0")</f>
        <v>0</v>
      </c>
      <c r="JZ205" s="6">
        <f>COUNTIFS(Table21[Country],Tabela1[[#This Row],[Country]],Table21[200m Medley Classification],"&gt;0")</f>
        <v>0</v>
      </c>
      <c r="KA205" s="6">
        <f>COUNTIFS(Table20[Country],Tabela1[[#This Row],[Country]],Table20[400m Medley Classification],"&gt;0")</f>
        <v>0</v>
      </c>
      <c r="KB205" s="6">
        <f>COUNTIFS(Table21[Country],Tabela1[[#This Row],[Country]],Table21[400m Medley Classification],"&gt;0")</f>
        <v>0</v>
      </c>
      <c r="KC205" s="6">
        <f>COUNTIFS(Table78[Country],Tabela1[[#This Row],[Country]],Table78[Men''s 4x100m Freestyle Relay Classification],"&gt;0")</f>
        <v>0</v>
      </c>
      <c r="KD205" s="6">
        <f>COUNTIFS(Table78[Country],Tabela1[[#This Row],[Country]],Table78[Women''s 4x100m Freestyle Relay Classification],"&gt;0")</f>
        <v>0</v>
      </c>
      <c r="KE205" s="6">
        <f>COUNTIFS(Table78[Country],Tabela1[[#This Row],[Country]],Table78[Men''s 4x200m Freestyle Relay Classification],"&gt;0")</f>
        <v>0</v>
      </c>
      <c r="KF205" s="6">
        <f>COUNTIFS(Table78[Country],Tabela1[[#This Row],[Country]],Table78[Women''s 4x200m Freestyle Relay Classification],"&gt;0")</f>
        <v>0</v>
      </c>
      <c r="KG205" s="6">
        <f>COUNTIFS(Table78[Country],Tabela1[[#This Row],[Country]],Table78[Men''s 4x100m Medley Relay Classification],"&gt;0")</f>
        <v>0</v>
      </c>
      <c r="KH205" s="6">
        <f>COUNTIFS(Table78[Country],Tabela1[[#This Row],[Country]],Table78[Women''s 4x100m Medley Relay Classification],"&gt;0")</f>
        <v>0</v>
      </c>
      <c r="KI205" s="6">
        <f>COUNTIFS(Table78[Country],Tabela1[[#This Row],[Country]],Table78[Mixed 4x100m Medley Relay Classification],"&gt;0")</f>
        <v>0</v>
      </c>
      <c r="KJ205" s="6">
        <f>COUNTIFS(Table20[Country],Tabela1[[#This Row],[Country]],Table20[10km Open Water Classification],"&gt;0")</f>
        <v>0</v>
      </c>
      <c r="KK205" s="6">
        <f>COUNTIFS(Table21[Country],Tabela1[[#This Row],[Country]],Table21[10km Open Water Classification],"&gt;0")</f>
        <v>0</v>
      </c>
      <c r="KL205" s="6">
        <f>COUNTIFS(Table22[Country],Tabela1[[#This Row],[Country]],Table22[Classification],"&gt;0")</f>
        <v>0</v>
      </c>
      <c r="KM205" s="6">
        <f>COUNTIFS(Table30[Country],Tabela1[[#This Row],[Country]],Table30[Classification],"&gt;0")</f>
        <v>0</v>
      </c>
      <c r="KN205" s="6">
        <f>COUNTIFS(Table55[Country],Tabela1[[#This Row],[Country]],Table55[Men''s Classification],"&gt;0")</f>
        <v>0</v>
      </c>
      <c r="KO205" s="6">
        <f>COUNTIFS(Table55[Country],Tabela1[[#This Row],[Country]],Table55[Women''s Classification],"&gt;0")</f>
        <v>0</v>
      </c>
      <c r="KP205" s="6">
        <f>COUNTIFS(Table56[Country],Tabela1[[#This Row],[Country]],Table56[Mixed Classification],"&gt;0")</f>
        <v>0</v>
      </c>
      <c r="KQ205" s="6">
        <f>COUNTIFS(Table29[Country],Tabela1[[#This Row],[Country]],Table29[58kg Classification],"&gt;0")</f>
        <v>0</v>
      </c>
      <c r="KR205" s="6">
        <f>COUNTIFS(Table29[Country],Tabela1[[#This Row],[Country]],Table29[68kg Classification],"&gt;0")</f>
        <v>0</v>
      </c>
      <c r="KS205" s="6">
        <f>COUNTIFS(Table29[Country],Tabela1[[#This Row],[Country]],Table29[80kg Classification],"&gt;0")</f>
        <v>0</v>
      </c>
      <c r="KT205" s="6">
        <f>COUNTIFS(Table29[Country],Tabela1[[#This Row],[Country]],Table29[Plus 80kg Classification],"&gt;0")</f>
        <v>0</v>
      </c>
      <c r="KU205" s="6">
        <f>COUNTIFS(Table34[Country],Tabela1[[#This Row],[Country]],Table34[49kg Classification],"&gt;0")</f>
        <v>0</v>
      </c>
      <c r="KV205" s="6">
        <f>COUNTIFS(Table34[Country],Tabela1[[#This Row],[Country]],Table34[57kg Classification],"&gt;0")</f>
        <v>0</v>
      </c>
      <c r="KW205" s="6">
        <f>COUNTIFS(Table34[Country],Tabela1[[#This Row],[Country]],Table34[67kg Classification],"&gt;0")</f>
        <v>0</v>
      </c>
      <c r="KX205" s="6">
        <f>COUNTIFS(Table34[Country],Tabela1[[#This Row],[Country]],Table34[Plus 67kg Classification],"&gt;0")</f>
        <v>0</v>
      </c>
      <c r="KY205" s="6">
        <f>COUNTIFS(Table57[Country],Tabela1[[#This Row],[Country]],Table57[Classification],"&gt;0")</f>
        <v>0</v>
      </c>
      <c r="KZ205" s="6">
        <f>COUNTIFS(Table58[Country],Tabela1[[#This Row],[Country]],Table58[Classification],"&gt;0")</f>
        <v>0</v>
      </c>
      <c r="LA205" s="6">
        <f>COUNTIFS(Table79[Country],Tabela1[[#This Row],[Country]],Table79[Men''s Classification],"&gt;0")</f>
        <v>0</v>
      </c>
      <c r="LB205" s="6">
        <f>COUNTIFS(Table79[Country],Tabela1[[#This Row],[Country]],Table79[Women''s Classification],"&gt;0")</f>
        <v>0</v>
      </c>
      <c r="LC205" s="6">
        <f>COUNTIFS(Table79[Country],Tabela1[[#This Row],[Country]],Table79[Mixed Classification],"&gt;0")</f>
        <v>0</v>
      </c>
      <c r="LD205" s="6">
        <f>COUNTIFS(Table65[Country],Tabela1[[#This Row],[Country]],Table65[Classification],"&gt;0")</f>
        <v>0</v>
      </c>
      <c r="LE205" s="6">
        <f>COUNTIFS(Table59[Country],Tabela1[[#This Row],[Country]],Table59[Classification],"&gt;0")</f>
        <v>0</v>
      </c>
      <c r="LF205" s="6">
        <f>COUNTIFS(Table87[Country],Tabela1[[#This Row],[Country]],Table87[Mixed Relay Classification],"&gt;0")</f>
        <v>0</v>
      </c>
      <c r="LG205" s="6">
        <f>COUNTIFS(Table91949698100[Country],Tabela1[[#This Row],[Country]],Table91949698100[Men''s Classification],"&gt;0")</f>
        <v>0</v>
      </c>
      <c r="LH205" s="6">
        <f>COUNTIFS(Table91949698100[Country],Tabela1[[#This Row],[Country]],Table91949698100[Women''s Classification],"&gt;0")</f>
        <v>0</v>
      </c>
      <c r="LI205" s="6">
        <f>COUNTIFS(Table91949698100102[Country],Tabela1[[#This Row],[Country]],Table91949698100102[Men''s Classification],"&gt;0")</f>
        <v>0</v>
      </c>
      <c r="LJ205" s="6">
        <f>COUNTIFS(Table91949698100102[Country],Tabela1[[#This Row],[Country]],Table91949698100102[Women''s Classification],"&gt;0")</f>
        <v>0</v>
      </c>
      <c r="LK205" s="6">
        <f>COUNTIFS(Table23[Country],Tabela1[[#This Row],[Country]],Table23[61kg Classification],"&gt;0")</f>
        <v>0</v>
      </c>
      <c r="LL205" s="6">
        <f>COUNTIFS(Table23[Country],Tabela1[[#This Row],[Country]],Table23[73kg Classification],"&gt;0")</f>
        <v>0</v>
      </c>
      <c r="LM205" s="6">
        <f>COUNTIFS(Table23[Country],Tabela1[[#This Row],[Country]],Table23[89kg Classification],"&gt;0")</f>
        <v>0</v>
      </c>
      <c r="LN205" s="6">
        <f>COUNTIFS(Table23[Country],Tabela1[[#This Row],[Country]],Table23[102kg Classification],"&gt;0")</f>
        <v>0</v>
      </c>
      <c r="LO205" s="6">
        <f>COUNTIFS(Table23[Country],Tabela1[[#This Row],[Country]],Table23[Plus 102kg Classification],"&gt;0")</f>
        <v>0</v>
      </c>
      <c r="LP205" s="6">
        <f>COUNTIFS(Table28[Country],Tabela1[[#This Row],[Country]],Table28[49kg Classification],"&gt;0")</f>
        <v>0</v>
      </c>
      <c r="LQ205" s="6">
        <f>COUNTIFS(Table28[Country],Tabela1[[#This Row],[Country]],Table28[59kg Classification],"&gt;0")</f>
        <v>0</v>
      </c>
      <c r="LR205" s="6">
        <f>COUNTIFS(Table28[Country],Tabela1[[#This Row],[Country]],Table28[71kg Classification],"&gt;0")</f>
        <v>0</v>
      </c>
      <c r="LS205" s="6">
        <f>COUNTIFS(Table28[Country],Tabela1[[#This Row],[Country]],Table28[81kg Classification],"&gt;0")</f>
        <v>0</v>
      </c>
      <c r="LT205" s="6">
        <f>COUNTIFS(Table28[Country],Tabela1[[#This Row],[Country]],Table28[Plus 81kg Classification],"&gt;0")</f>
        <v>0</v>
      </c>
      <c r="LU205" s="6">
        <f>COUNTIFS(Table24[Country],Tabela1[[#This Row],[Country]],Table24[Freestyle 57kg Classification],"&gt;0")</f>
        <v>0</v>
      </c>
      <c r="LV205" s="6">
        <f>COUNTIFS(Table24[Country],Tabela1[[#This Row],[Country]],Table24[Freestyle 65kg Classification],"&gt;0")</f>
        <v>0</v>
      </c>
      <c r="LW205" s="6">
        <f>COUNTIFS(Table24[Country],Tabela1[[#This Row],[Country]],Table24[Freestyle 74kg Classification],"&gt;0")</f>
        <v>0</v>
      </c>
      <c r="LX205" s="6">
        <f>COUNTIFS(Table24[Country],Tabela1[[#This Row],[Country]],Table24[Freestyle 86kg Classification],"&gt;0")</f>
        <v>0</v>
      </c>
      <c r="LY205" s="6">
        <f>COUNTIFS(Table24[Country],Tabela1[[#This Row],[Country]],Table24[Freestyle 97kg Classification],"&gt;0")</f>
        <v>0</v>
      </c>
      <c r="LZ205" s="6">
        <f>COUNTIFS(Table24[Country],Tabela1[[#This Row],[Country]],Table24[Freestyle 125kg Classification],"&gt;0")</f>
        <v>0</v>
      </c>
      <c r="MA205" s="6">
        <f>COUNTIFS(Table24[Country],Tabela1[[#This Row],[Country]],Table24[Greco-Roman 60kg Classification],"&gt;0")</f>
        <v>0</v>
      </c>
      <c r="MB205" s="6">
        <f>COUNTIFS(Table24[Country],Tabela1[[#This Row],[Country]],Table24[Greco-Roman 67kg Classification],"&gt;0")</f>
        <v>0</v>
      </c>
      <c r="MC205" s="6">
        <f>COUNTIFS(Table24[Country],Tabela1[[#This Row],[Country]],Table24[Greco-Roman 77kg Classification],"&gt;0")</f>
        <v>0</v>
      </c>
      <c r="MD205" s="6">
        <f>COUNTIFS(Table24[Country],Tabela1[[#This Row],[Country]],Table24[Greco-Roman 87kg Classification],"&gt;0")</f>
        <v>0</v>
      </c>
      <c r="ME205" s="6">
        <f>COUNTIFS(Table24[Country],Tabela1[[#This Row],[Country]],Table24[Greco-Roman 97kg Classification],"&gt;0")</f>
        <v>0</v>
      </c>
      <c r="MF205" s="6">
        <f>COUNTIFS(Table24[Country],Tabela1[[#This Row],[Country]],Table24[Greco-Roman 130kg Classification],"&gt;0")</f>
        <v>0</v>
      </c>
      <c r="MG205" s="6">
        <f>COUNTIFS(Table31[Country],Tabela1[[#This Row],[Country]],Table31[50kg Classification],"&gt;0")</f>
        <v>0</v>
      </c>
      <c r="MH205" s="6">
        <f>COUNTIFS(Table31[Country],Tabela1[[#This Row],[Country]],Table31[53kg Classification],"&gt;0")</f>
        <v>0</v>
      </c>
      <c r="MI205" s="6">
        <f>COUNTIFS(Table31[Country],Tabela1[[#This Row],[Country]],Table31[57kg Classification],"&gt;0")</f>
        <v>0</v>
      </c>
      <c r="MJ205" s="6">
        <f>COUNTIFS(Table31[Country],Tabela1[[#This Row],[Country]],Table31[62kg Classification],"&gt;0")</f>
        <v>0</v>
      </c>
      <c r="MK205" s="6">
        <f>COUNTIFS(Table31[Country],Tabela1[[#This Row],[Country]],Table31[68kg Classification],"&gt;0")</f>
        <v>0</v>
      </c>
      <c r="ML205" s="6">
        <f>COUNTIFS(Table31[Country],Tabela1[[#This Row],[Country]],Table31[76kg Classification],"&gt;0")</f>
        <v>0</v>
      </c>
      <c r="MM205" s="6">
        <f>COUNTIFS(Table102[Country],Tabela1[[#This Row],[Country]],Table102[Downhill Classification],"&gt;0")</f>
        <v>0</v>
      </c>
      <c r="MN205" s="6">
        <f>COUNTIFS(Table102105[Country],Tabela1[[#This Row],[Country]],Table102105[Downhill Classification],"&gt;0")</f>
        <v>0</v>
      </c>
      <c r="MO205" s="6">
        <f>COUNTIFS(Table102[Country],Tabela1[[#This Row],[Country]],Table102[Giant Slalom Classification],"&gt;0")</f>
        <v>0</v>
      </c>
      <c r="MP205" s="6">
        <f>COUNTIFS(Table102105[Country],Tabela1[[#This Row],[Country]],Table102105[Giant Slalom Classification],"&gt;0")</f>
        <v>0</v>
      </c>
      <c r="MQ205" s="6">
        <f>COUNTIFS(Table102[Country],Tabela1[[#This Row],[Country]],Table102[Slalom Classification],"&gt;0")</f>
        <v>0</v>
      </c>
      <c r="MR205" s="6">
        <f>COUNTIFS(Table102105[Country],Tabela1[[#This Row],[Country]],Table102105[Slalom Classification],"&gt;0")</f>
        <v>0</v>
      </c>
      <c r="MS205" s="6">
        <f>COUNTIFS(Table102[Country],Tabela1[[#This Row],[Country]],Table102[Super-G Classification],"&gt;0")</f>
        <v>0</v>
      </c>
      <c r="MT205" s="6">
        <f>COUNTIFS(Table102105[Country],Tabela1[[#This Row],[Country]],Table102105[Super-G Classification],"&gt;0")</f>
        <v>0</v>
      </c>
      <c r="MU205" s="6">
        <f>COUNTIFS(Table105[Country],Tabela1[[#This Row],[Country]],Table105[Men''s Combined Classification],"&gt;0")</f>
        <v>0</v>
      </c>
      <c r="MV205" s="6">
        <f>COUNTIFS(Table105[Country],Tabela1[[#This Row],[Country]],Table105[Women''s Combined Classification],"&gt;0")</f>
        <v>0</v>
      </c>
      <c r="MW205" s="6">
        <f>COUNTIFS(Table106[Country],Tabela1[[#This Row],[Country]],Table106[Individual Classification],"&gt;0")</f>
        <v>0</v>
      </c>
      <c r="MX205" s="6">
        <f>COUNTIFS(Table106109[Country],Tabela1[[#This Row],[Country]],Table106109[Individual Classification],"&gt;0")</f>
        <v>0</v>
      </c>
      <c r="MY205" s="6">
        <f>COUNTIFS(Table106[Country],Tabela1[[#This Row],[Country]],Table106[Mass Start Classification],"&gt;0")</f>
        <v>0</v>
      </c>
      <c r="MZ205" s="6">
        <f>COUNTIFS(Table106109[Country],Tabela1[[#This Row],[Country]],Table106109[Mass Start Classification],"&gt;0")</f>
        <v>0</v>
      </c>
      <c r="NA205" s="6">
        <f>COUNTIFS(Table106[Country],Tabela1[[#This Row],[Country]],Table106[Pursuit Classification],"&gt;0")</f>
        <v>0</v>
      </c>
      <c r="NB205" s="6">
        <f>COUNTIFS(Table106109[Country],Tabela1[[#This Row],[Country]],Table106109[Pursuit Classification],"&gt;0")</f>
        <v>0</v>
      </c>
      <c r="NC205" s="6">
        <f>COUNTIFS(Table106[Country],Tabela1[[#This Row],[Country]],Table106[Sprint Classification],"&gt;0")</f>
        <v>0</v>
      </c>
      <c r="ND205" s="6">
        <f>COUNTIFS(Table106109[Country],Tabela1[[#This Row],[Country]],Table106109[Sprint Classification],"&gt;0")</f>
        <v>0</v>
      </c>
      <c r="NE205" s="6">
        <f>COUNTIFS(Table109[Country],Tabela1[[#This Row],[Country]],Table109[Men''s Relay Classification],"&gt;0")</f>
        <v>0</v>
      </c>
      <c r="NF205" s="6">
        <f>COUNTIFS(Table109[Country],Tabela1[[#This Row],[Country]],Table109[Women''s Relay Classification],"&gt;0")</f>
        <v>0</v>
      </c>
      <c r="NG205" s="6">
        <f>COUNTIFS(Table109[Country],Tabela1[[#This Row],[Country]],Table109[Mixed Relay Classification],"&gt;0")</f>
        <v>0</v>
      </c>
      <c r="NH205" s="6">
        <f>COUNTIFS(Table110[Country],Tabela1[[#This Row],[Country]],Table110[Monobob Classification],"&gt;0")</f>
        <v>0</v>
      </c>
      <c r="NI205" s="6">
        <f>COUNTIFS(Table111[Country],Tabela1[[#This Row],[Country]],Table111[Men''s Classification],"&gt;0")</f>
        <v>0</v>
      </c>
      <c r="NJ205" s="6">
        <f>COUNTIFS(Table111[Country],Tabela1[[#This Row],[Country]],Table111[Women''s Classification],"&gt;0")</f>
        <v>0</v>
      </c>
      <c r="NK205" s="6">
        <f>COUNTIFS(Table112[Country],Tabela1[[#This Row],[Country]],Table112[Men''s Four Classification],"&gt;0")</f>
        <v>0</v>
      </c>
      <c r="NL205" s="6">
        <f>COUNTIFS(Table113[Country],Tabela1[[#This Row],[Country]],Table113[Classical Classification],"&gt;0")</f>
        <v>0</v>
      </c>
      <c r="NM205" s="6">
        <f>COUNTIFS(Table113116[Country],Tabela1[[#This Row],[Country]],Table113116[Classical Classification],"&gt;0")</f>
        <v>0</v>
      </c>
      <c r="NN205" s="6">
        <f>COUNTIFS(Table113[Country],Tabela1[[#This Row],[Country]],Table113[Freestyle Classification],"&gt;0")</f>
        <v>0</v>
      </c>
      <c r="NO205" s="6">
        <f>COUNTIFS(Table113116[Country],Tabela1[[#This Row],[Country]],Table113116[Freestyle Classification],"&gt;0")</f>
        <v>0</v>
      </c>
      <c r="NP205" s="6">
        <f>COUNTIFS(Table117[Country],Tabela1[[#This Row],[Country]],Table117[Men''s Relay Classification],"&gt;0")</f>
        <v>0</v>
      </c>
      <c r="NQ205" s="6">
        <f>COUNTIFS(Table117[Country],Tabela1[[#This Row],[Country]],Table117[Women''s Relay Classification],"&gt;0")</f>
        <v>0</v>
      </c>
      <c r="NR205" s="6">
        <f>COUNTIFS(Table113[Country],Tabela1[[#This Row],[Country]],Table113[Skiathlon Classification],"&gt;0")</f>
        <v>0</v>
      </c>
      <c r="NS205" s="6">
        <f>COUNTIFS(Table113116[Country],Tabela1[[#This Row],[Country]],Table113116[Skiathlon Classification],"&gt;0")</f>
        <v>0</v>
      </c>
      <c r="NT205" s="6">
        <f>COUNTIFS(Table113[Country],Tabela1[[#This Row],[Country]],Table113[Sprint Classification],"&gt;0")</f>
        <v>0</v>
      </c>
      <c r="NU205" s="6">
        <f>COUNTIFS(Table113116[Country],Tabela1[[#This Row],[Country]],Table113116[Sprint Classification],"&gt;0")</f>
        <v>0</v>
      </c>
      <c r="NV205" s="6">
        <f>COUNTIFS(Table116[Country],Tabela1[[#This Row],[Country]],Table116[Men''s Team Sprint Classification],"&gt;0")</f>
        <v>0</v>
      </c>
      <c r="NW205" s="6">
        <f>COUNTIFS(Table116[Country],Tabela1[[#This Row],[Country]],Table116[Women''s Team Sprint Classification],"&gt;0")</f>
        <v>0</v>
      </c>
      <c r="NX205" s="6">
        <f>COUNTIFS(Table119[Country],Tabela1[[#This Row],[Country]],Table119[Men''s Classification],"&gt;0")</f>
        <v>0</v>
      </c>
      <c r="NY205" s="6">
        <f>COUNTIFS(Table119[Country],Tabela1[[#This Row],[Country]],Table119[Women''s Classification],"&gt;0")</f>
        <v>0</v>
      </c>
      <c r="NZ205" s="6">
        <f>COUNTIFS(Table118[Country],Tabela1[[#This Row],[Country]],Table118[Mixed Classification],"&gt;0")</f>
        <v>0</v>
      </c>
      <c r="OA205" s="6">
        <f>COUNTIFS(Table120[Country],Tabela1[[#This Row],[Country]],Table120[Classification],"&gt;0")</f>
        <v>0</v>
      </c>
      <c r="OB205" s="6">
        <f>COUNTIFS(Table120123[Country],Tabela1[[#This Row],[Country]],Table120123[Classification],"&gt;0")</f>
        <v>0</v>
      </c>
      <c r="OC205" s="6">
        <f>COUNTIFS(Table123[Country],Tabela1[[#This Row],[Country]],Table123[Ice Dance Classification],"&gt;0")</f>
        <v>0</v>
      </c>
      <c r="OD205" s="6">
        <f>COUNTIFS(Table123[Country],Tabela1[[#This Row],[Country]],Table123[Pair Skating Classification],"&gt;0")</f>
        <v>0</v>
      </c>
      <c r="OE205" s="6">
        <f>COUNTIFS(Table124[Country],Tabela1[[#This Row],[Country]],Table124[Mixed Classification],"&gt;0")</f>
        <v>0</v>
      </c>
      <c r="OF205" s="6">
        <f>COUNTIFS(Table125[Country],Tabela1[[#This Row],[Country]],Table125[Aerials Classification],"&gt;0")</f>
        <v>0</v>
      </c>
      <c r="OG205" s="6">
        <f>COUNTIFS(Table125128[Country],Tabela1[[#This Row],[Country]],Table125128[Aerials Classification],"&gt;0")</f>
        <v>0</v>
      </c>
      <c r="OH205" s="6">
        <f>COUNTIFS(Table128[Country],Tabela1[[#This Row],[Country]],Table128[Mixed Aerials Classification],"&gt;0")</f>
        <v>0</v>
      </c>
      <c r="OI205" s="6">
        <f>COUNTIFS(Table125[Country],Tabela1[[#This Row],[Country]],Table125[Big Air Classification],"&gt;0")</f>
        <v>0</v>
      </c>
      <c r="OJ205" s="6">
        <f>COUNTIFS(Table125128[Country],Tabela1[[#This Row],[Country]],Table125128[Big Air Classification],"&gt;0")</f>
        <v>0</v>
      </c>
      <c r="OK205" s="6">
        <f>COUNTIFS(Table125[Country],Tabela1[[#This Row],[Country]],Table125[Dual Moguls Classification],"&gt;0")</f>
        <v>0</v>
      </c>
      <c r="OL205" s="6">
        <f>COUNTIFS(Table125128[Country],Tabela1[[#This Row],[Country]],Table125128[Dual Moguls Classification],"&gt;0")</f>
        <v>0</v>
      </c>
      <c r="OM205" s="6">
        <f>COUNTIFS(Table125[Country],Tabela1[[#This Row],[Country]],Table125[Halfpipe Classification],"&gt;0")</f>
        <v>0</v>
      </c>
      <c r="ON205" s="6">
        <f>COUNTIFS(Table125128[Country],Tabela1[[#This Row],[Country]],Table125128[Halfpipe Classification],"&gt;0")</f>
        <v>0</v>
      </c>
      <c r="OO205" s="6">
        <f>COUNTIFS(Table125[Country],Tabela1[[#This Row],[Country]],Table125[Moguls Classification],"&gt;0")</f>
        <v>0</v>
      </c>
      <c r="OP205" s="6">
        <f>COUNTIFS(Table125128[Country],Tabela1[[#This Row],[Country]],Table125128[Moguls Classification],"&gt;0")</f>
        <v>0</v>
      </c>
      <c r="OQ205" s="6">
        <f>COUNTIFS(Table125[Country],Tabela1[[#This Row],[Country]],Table125[Ski Cross Classification],"&gt;0")</f>
        <v>0</v>
      </c>
      <c r="OR205" s="6">
        <f>COUNTIFS(Table125128[Country],Tabela1[[#This Row],[Country]],Table125128[Ski Cross Classification],"&gt;0")</f>
        <v>0</v>
      </c>
      <c r="OS205" s="6">
        <f>COUNTIFS(Table125[Country],Tabela1[[#This Row],[Country]],Table125[Slopestyle Classification],"&gt;0")</f>
        <v>0</v>
      </c>
      <c r="OT205" s="6">
        <f>COUNTIFS(Table125128[Country],Tabela1[[#This Row],[Country]],Table125128[Slopestyle Classification],"&gt;0")</f>
        <v>0</v>
      </c>
      <c r="OU205" s="6">
        <f>COUNTIFS(Table119131[Country],Tabela1[[#This Row],[Country]],Table119131[Men''s Classification],"&gt;0")</f>
        <v>0</v>
      </c>
      <c r="OV205" s="6">
        <f>COUNTIFS(Table119131[Country],Tabela1[[#This Row],[Country]],Table119131[Women''s Classification],"&gt;0")</f>
        <v>0</v>
      </c>
      <c r="OW205" s="6">
        <f>COUNTIFS(Table131[Country],Tabela1[[#This Row],[Country]],Table131[Classification],"&gt;0")</f>
        <v>0</v>
      </c>
      <c r="OX205" s="6">
        <f>COUNTIFS(Table131134[Country],Tabela1[[#This Row],[Country]],Table131134[Classification],"&gt;0")</f>
        <v>0</v>
      </c>
      <c r="OY205" s="6">
        <f>COUNTIFS(Table134[Country],Tabela1[[#This Row],[Country]],Table134[Men''s Classification],"&gt;0")</f>
        <v>0</v>
      </c>
      <c r="OZ205" s="6">
        <f>COUNTIFS(Table134[Country],Tabela1[[#This Row],[Country]],Table134[Women''s Classification],"&gt;0")</f>
        <v>0</v>
      </c>
      <c r="PA205" s="6">
        <f>COUNTIFS(Table135[Country],Tabela1[[#This Row],[Country]],Table135[Mixed Relay Classification],"&gt;0")</f>
        <v>0</v>
      </c>
      <c r="PB205" s="6">
        <f>COUNTIFS(Table136[Country],Tabela1[[#This Row],[Country]],Table136[Individual Classification],"&gt;0")</f>
        <v>0</v>
      </c>
      <c r="PC205" s="6">
        <f>COUNTIFS(Table136[Country],Tabela1[[#This Row],[Country]],Table136[Sprint Classification],"&gt;0")</f>
        <v>0</v>
      </c>
      <c r="PD205" s="6">
        <f>COUNTIFS(Table137[Country],Tabela1[[#This Row],[Country]],Table137[Men''s Team Sprint Large Hill Classification],"&gt;0")</f>
        <v>0</v>
      </c>
      <c r="PE205" s="6">
        <f>COUNTIFS(Table138[Country],Tabela1[[#This Row],[Country]],Table138[500m Classification],"&gt;0")</f>
        <v>0</v>
      </c>
      <c r="PF205" s="6">
        <f>COUNTIFS(Table138141[Country],Tabela1[[#This Row],[Country]],Table138141[500m Classification],"&gt;0")</f>
        <v>0</v>
      </c>
      <c r="PG205" s="6">
        <f>COUNTIFS(Table138[Country],Tabela1[[#This Row],[Country]],Table138[1000m Classification],"&gt;0")</f>
        <v>0</v>
      </c>
      <c r="PH205" s="6">
        <f>COUNTIFS(Table138141[Country],Tabela1[[#This Row],[Country]],Table138141[1000m Classification],"&gt;0")</f>
        <v>0</v>
      </c>
      <c r="PI205" s="6">
        <f>COUNTIFS(Table138[Country],Tabela1[[#This Row],[Country]],Table138[1500m Classification],"&gt;0")</f>
        <v>0</v>
      </c>
      <c r="PJ205" s="6">
        <f>COUNTIFS(Table138141[Country],Tabela1[[#This Row],[Country]],Table138141[1500m Classification],"&gt;0")</f>
        <v>0</v>
      </c>
      <c r="PK205" s="6">
        <f>COUNTIFS(Table141[Country],Tabela1[[#This Row],[Country]],Table141[Men''s 5000m Relay Classification],"&gt;0")</f>
        <v>0</v>
      </c>
      <c r="PL205" s="6">
        <f>COUNTIFS(Table141[Country],Tabela1[[#This Row],[Country]],Table141[Women''s 3000m Relay Classification],"&gt;0")</f>
        <v>0</v>
      </c>
      <c r="PM205" s="6">
        <f>COUNTIFS(Table141[Country],Tabela1[[#This Row],[Country]],Table141[Mixed 2000m Relay Classification],"&gt;0")</f>
        <v>0</v>
      </c>
      <c r="PN205" s="6">
        <f>COUNTIFS(Table142[Country],Tabela1[[#This Row],[Country]],Table142[Classification],"&gt;0")</f>
        <v>0</v>
      </c>
      <c r="PO205" s="6">
        <f>COUNTIFS(Table142145[Country],Tabela1[[#This Row],[Country]],Table142145[Classification],"&gt;0")</f>
        <v>0</v>
      </c>
      <c r="PP205" s="6">
        <f>COUNTIFS(Tabela15[Country],Tabela1[[#This Row],[Country]],Tabela15[Mixed Team Classification],"&gt;0")</f>
        <v>0</v>
      </c>
      <c r="PQ205" s="6">
        <f>COUNTIFS(Table145[Country],Tabela1[[#This Row],[Country]],Table145[Large Hill Classification],"&gt;0")</f>
        <v>0</v>
      </c>
      <c r="PR205" s="6">
        <f>COUNTIFS(Table145[Country],Tabela1[[#This Row],[Country]],Table145[Normal Hill Classification],"&gt;0")</f>
        <v>0</v>
      </c>
      <c r="PS205" s="6">
        <f>COUNTIFS(Table145148[Country],Tabela1[[#This Row],[Country]],Table145148[Large Hill Classification],"&gt;0")</f>
        <v>0</v>
      </c>
      <c r="PT205" s="6">
        <f>COUNTIFS(Table145148[Country],Tabela1[[#This Row],[Country]],Table145148[Normal Hill Classification],"&gt;0")</f>
        <v>0</v>
      </c>
      <c r="PU205" s="6">
        <f>COUNTIFS(Table148[Country],Tabela1[[#This Row],[Country]],Table148[Men''s Super Team Classification],"&gt;0")</f>
        <v>0</v>
      </c>
      <c r="PV205" s="6">
        <f>COUNTIFS(Tabela114[Country],Tabela1[[#This Row],[Country]],Tabela114[Mixed Normal Hill Classification],"&gt;0")</f>
        <v>0</v>
      </c>
      <c r="PW205" s="6">
        <f>COUNTIFS(Tabela50[Country],Tabela1[[#This Row],[Country]],Tabela50[Sprint Classification],"&gt;0")</f>
        <v>0</v>
      </c>
      <c r="PX205" s="6">
        <f>COUNTIFS(Tabela50101[Country],Tabela1[[#This Row],[Country]],Tabela50101[Sprint Classification],"&gt;0")</f>
        <v>0</v>
      </c>
      <c r="PY205" s="6">
        <f>COUNTIFS(Tabela103[Country],Tabela1[[#This Row],[Country]],Tabela103[Mixed Relay Classification],"&gt;0")</f>
        <v>0</v>
      </c>
      <c r="PZ205" s="6">
        <f>COUNTIFS(Table149[Country],Tabela1[[#This Row],[Country]],Table149[Big Air Classification],"&gt;0")</f>
        <v>0</v>
      </c>
      <c r="QA205" s="6">
        <f>COUNTIFS(Table149152[Country],Tabela1[[#This Row],[Country]],Table149152[Big Air Classification],"&gt;0")</f>
        <v>0</v>
      </c>
      <c r="QB205" s="6">
        <f>COUNTIFS(Table149[Country],Tabela1[[#This Row],[Country]],Table149[Halfpipe Classification],"&gt;0")</f>
        <v>0</v>
      </c>
      <c r="QC205" s="6">
        <f>COUNTIFS(Table149152[Country],Tabela1[[#This Row],[Country]],Table149152[Halfpipe Classification],"&gt;0")</f>
        <v>0</v>
      </c>
      <c r="QD205" s="6">
        <f>COUNTIFS(Table149[Country],Tabela1[[#This Row],[Country]],Table149[Parallel Giant Slalom Classification],"&gt;0")</f>
        <v>0</v>
      </c>
      <c r="QE205" s="6">
        <f>COUNTIFS(Table149152[Country],Tabela1[[#This Row],[Country]],Table149152[Parallel Giant Slalom Classification],"&gt;0")</f>
        <v>0</v>
      </c>
      <c r="QF205" s="6">
        <f>COUNTIFS(Table149[Country],Tabela1[[#This Row],[Country]],Table149[Slopestyle Classification],"&gt;0")</f>
        <v>0</v>
      </c>
      <c r="QG205" s="6">
        <f>COUNTIFS(Table149152[Country],Tabela1[[#This Row],[Country]],Table149152[Slopestyle Classification],"&gt;0")</f>
        <v>0</v>
      </c>
      <c r="QH205" s="6">
        <f>COUNTIFS(Table149[Country],Tabela1[[#This Row],[Country]],Table149[Snowboard Cross Classification],"&gt;0")</f>
        <v>0</v>
      </c>
      <c r="QI205" s="6">
        <f>COUNTIFS(Table149152[Country],Tabela1[[#This Row],[Country]],Table149152[Snowboard Cross Classification],"&gt;0")</f>
        <v>0</v>
      </c>
      <c r="QJ205" s="6">
        <f>COUNTIFS(Table153[Country],Tabela1[[#This Row],[Country]],Table153[Mixed Team Snowboard Cross Classification],"&gt;0")</f>
        <v>0</v>
      </c>
      <c r="QK205" s="6">
        <f>COUNTIFS(Table154[Country],Tabela1[[#This Row],[Country]],Table154[500m Classification],"&gt;0")</f>
        <v>0</v>
      </c>
      <c r="QL205" s="6">
        <f>COUNTIFS(Table154157[Country],Tabela1[[#This Row],[Country]],Table154157[500m Classification],"&gt;0")</f>
        <v>0</v>
      </c>
      <c r="QM205" s="6">
        <f>COUNTIFS(Table154[Country],Tabela1[[#This Row],[Country]],Table154[1000m Classification],"&gt;0")</f>
        <v>0</v>
      </c>
      <c r="QN205" s="6">
        <f>COUNTIFS(Table154157[Country],Tabela1[[#This Row],[Country]],Table154157[1000m Classification],"&gt;0")</f>
        <v>0</v>
      </c>
      <c r="QO205" s="6">
        <f>COUNTIFS(Table154[Country],Tabela1[[#This Row],[Country]],Table154[1500m Classification],"&gt;0")</f>
        <v>0</v>
      </c>
      <c r="QP205" s="6">
        <f>COUNTIFS(Table154157[Country],Tabela1[[#This Row],[Country]],Table154157[1500m Classification],"&gt;0")</f>
        <v>0</v>
      </c>
      <c r="QQ205" s="6">
        <f>COUNTIFS(Table154157[Country],Tabela1[[#This Row],[Country]],Table154157[3000m Classification],"&gt;0")</f>
        <v>0</v>
      </c>
      <c r="QR205" s="6">
        <f>COUNTIFS(Table154[Country],Tabela1[[#This Row],[Country]],Table154[5000m Classification],"&gt;0")</f>
        <v>0</v>
      </c>
      <c r="QS205" s="6">
        <f>COUNTIFS(Table154157[Country],Tabela1[[#This Row],[Country]],Table154157[5000m Classification],"&gt;0")</f>
        <v>0</v>
      </c>
      <c r="QT205" s="6">
        <f>COUNTIFS(Table154[Country],Tabela1[[#This Row],[Country]],Table154[10000m Classification],"&gt;0")</f>
        <v>0</v>
      </c>
      <c r="QU205" s="6">
        <f>COUNTIFS(Table154[Country],Tabela1[[#This Row],[Country]],Table154[Mass Start Classification],"&gt;0")</f>
        <v>0</v>
      </c>
      <c r="QV205" s="6">
        <f>COUNTIFS(Table154157[Country],Tabela1[[#This Row],[Country]],Table154157[Mass Start Classification],"&gt;0")</f>
        <v>0</v>
      </c>
      <c r="QW205" s="6">
        <f>COUNTIFS(Table157[Country],Tabela1[[#This Row],[Country]],Table157[Men''s Pursuit Classification],"&gt;0")</f>
        <v>0</v>
      </c>
      <c r="QX205" s="6">
        <f>COUNTIFS(Table157[Country],Tabela1[[#This Row],[Country]],Table157[Women''s Pursuit Classification],"&gt;0")</f>
        <v>0</v>
      </c>
      <c r="QY205" s="4" t="s">
        <v>715</v>
      </c>
    </row>
    <row r="206" spans="1:467" x14ac:dyDescent="0.3">
      <c r="A206" s="6">
        <v>205</v>
      </c>
      <c r="B206" s="6" t="s">
        <v>720</v>
      </c>
      <c r="C206" t="e" vm="205">
        <f>IF(ISBLANK(Tabela1[[#This Row],[Image Link]]), "", _xlfn.IMAGE(Tabela1[[#This Row],[Image Link]],1,1))</f>
        <v>#VALUE!</v>
      </c>
      <c r="D206" s="6">
        <f>SUM(Tabela1[[#This Row],[Archery - Men''s Individual Recurve]:[Speed Skating - Women''s Team Pursuit]])</f>
        <v>0</v>
      </c>
      <c r="E206" s="6">
        <f>COUNTIF(Tabela1[[#This Row],[Archery - Men''s Individual Recurve]:[Speed Skating - Women''s Team Pursuit]],"&gt;0")</f>
        <v>0</v>
      </c>
      <c r="F206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206" s="6">
        <f>SUM(Tabela1[[#This Row],[Archery - Men''s Individual Recurve]:[Wrestling - Women''s Freestyle 76kg]])</f>
        <v>0</v>
      </c>
      <c r="H206" s="6">
        <f>SUM(Tabela1[[#This Row],[Alpine Skiing - Men''s Downhill]:[Speed Skating - Women''s Team Pursuit]])</f>
        <v>0</v>
      </c>
      <c r="I206" s="6">
        <f>Tabela1[[#This Row],[Summer Gold Medals]]+Tabela1[[#This Row],[Winter Gold Medals]]</f>
        <v>0</v>
      </c>
      <c r="J206" s="6">
        <f>Tabela1[[#This Row],[Summer Silver Medals]]+Tabela1[[#This Row],[Winter Silver Medals]]</f>
        <v>0</v>
      </c>
      <c r="K206" s="6">
        <f>Tabela1[[#This Row],[Summer Bronze Medals]]+Tabela1[[#This Row],[Winter Bronze Medals]]</f>
        <v>0</v>
      </c>
      <c r="L206" s="6">
        <f>SUM(Tabela1[[#This Row],[Total Gold Medals]:[Total Bronze Medals]])</f>
        <v>0</v>
      </c>
      <c r="M206" s="6"/>
      <c r="N206" s="6"/>
      <c r="O206" s="6"/>
      <c r="P206" s="6">
        <f>SUM(Tabela1[[#This Row],[Summer Gold Medals]:[Summer Bronze Medals]])</f>
        <v>0</v>
      </c>
      <c r="Q206" s="6"/>
      <c r="R206" s="6"/>
      <c r="S206" s="6"/>
      <c r="T206" s="6">
        <f>Tabela1[[#This Row],[Winter Gold Medals]]+Tabela1[[#This Row],[Winter Silver Medals]]+Tabela1[[#This Row],[Winter Bronze Medals]]</f>
        <v>0</v>
      </c>
      <c r="U206" s="7" t="e">
        <f>Tabela1[[#This Row],[Total Medals]]/Tabela1[[#This Row],[Total Quotas]]</f>
        <v>#DIV/0!</v>
      </c>
      <c r="V206" s="6">
        <f>COUNTIFS(Table3[Country],Tabela1[[#This Row],[Country]],Table3[Recurve Classification],"&gt;0")</f>
        <v>0</v>
      </c>
      <c r="W206" s="6">
        <f>COUNTIFS(Table33[Country],Tabela1[[#This Row],[Country]],Table33[Recurve Classification],"&gt;0")</f>
        <v>0</v>
      </c>
      <c r="X206" s="6">
        <f>COUNTIFS(Table35[Country],Tabela1[[#This Row],[Country]],Table35[Men''s Team Recurve Classification],"&gt;0")</f>
        <v>0</v>
      </c>
      <c r="Y206" s="6">
        <f>COUNTIFS(Table35[Country],Tabela1[[#This Row],[Country]],Table35[Women''s Team Recurve Classification],"&gt;0")</f>
        <v>0</v>
      </c>
      <c r="Z206" s="6">
        <f>COUNTIFS(Tabela88[Country],Tabela1[[#This Row],[Country]],Tabela88[Mixed Team Recurve Classification],"&gt;0")</f>
        <v>0</v>
      </c>
      <c r="AA206" s="6">
        <f>COUNTIFS(Table36[Country],Tabela1[[#This Row],[Country]],Table36[Classification],"&gt;0")</f>
        <v>0</v>
      </c>
      <c r="AB206" s="6">
        <f>COUNTIFS(Table37[Country],Tabela1[[#This Row],[Country]],Table37[Classification],"&gt;0")</f>
        <v>0</v>
      </c>
      <c r="AC206" s="6">
        <f>COUNTIFS(Table4[Country],Tabela1[[#This Row],[Country]],Table4[100m Classification],"&gt;0")</f>
        <v>0</v>
      </c>
      <c r="AD206" s="6">
        <f>COUNTIFS(Table5[Country],Tabela1[[#This Row],[Country]],Table5[100m Classification],"&gt;0")</f>
        <v>0</v>
      </c>
      <c r="AE206" s="6">
        <f>COUNTIFS(Table4[Country],Tabela1[[#This Row],[Country]],Table4[200m Classification],"&gt;0")</f>
        <v>0</v>
      </c>
      <c r="AF206" s="6">
        <f>COUNTIFS(Table5[Country],Tabela1[[#This Row],[Country]],Table5[200m Classification],"&gt;0")</f>
        <v>0</v>
      </c>
      <c r="AG206" s="6">
        <f>COUNTIFS(Table4[Country],Tabela1[[#This Row],[Country]],Table4[400m Classification],"&gt;0")</f>
        <v>0</v>
      </c>
      <c r="AH206" s="6">
        <f>COUNTIFS(Table5[Country],Tabela1[[#This Row],[Country]],Table5[400m Classification],"&gt;0")</f>
        <v>0</v>
      </c>
      <c r="AI206" s="6">
        <f>COUNTIFS(Table4[Country],Tabela1[[#This Row],[Country]],Table4[800m Classification],"&gt;0")</f>
        <v>0</v>
      </c>
      <c r="AJ206" s="6">
        <f>COUNTIFS(Table5[Country],Tabela1[[#This Row],[Country]],Table5[800m Classification],"&gt;0")</f>
        <v>0</v>
      </c>
      <c r="AK206" s="6">
        <f>COUNTIFS(Table4[Country],Tabela1[[#This Row],[Country]],Table4[1500m Classification],"&gt;0")</f>
        <v>0</v>
      </c>
      <c r="AL206" s="6">
        <f>COUNTIFS(Table5[Country],Tabela1[[#This Row],[Country]],Table5[1500m Classification],"&gt;0")</f>
        <v>0</v>
      </c>
      <c r="AM206" s="6">
        <f>COUNTIFS(Table4[Country],Tabela1[[#This Row],[Country]],Table4[5000m Classification],"&gt;0")</f>
        <v>0</v>
      </c>
      <c r="AN206" s="6">
        <f>COUNTIFS(Table5[Country],Tabela1[[#This Row],[Country]],Table5[5000m Classification],"&gt;0")</f>
        <v>0</v>
      </c>
      <c r="AO206" s="6">
        <f>COUNTIFS(Table4[Country],Tabela1[[#This Row],[Country]],Table4[10000m Classification],"&gt;0")</f>
        <v>0</v>
      </c>
      <c r="AP206" s="6">
        <f>COUNTIFS(Table5[Country],Tabela1[[#This Row],[Country]],Table5[10000m Classification],"&gt;0")</f>
        <v>0</v>
      </c>
      <c r="AQ206" s="6">
        <f>COUNTIFS(Table4[Country],Tabela1[[#This Row],[Country]],Table4[110m Hurdles Classification],"&gt;0")</f>
        <v>0</v>
      </c>
      <c r="AR206" s="6">
        <f>COUNTIFS(Table5[Country],Tabela1[[#This Row],[Country]],Table5[100m Hurdles Classification],"&gt;0")</f>
        <v>0</v>
      </c>
      <c r="AS206" s="6">
        <f>COUNTIFS(Table4[Country],Tabela1[[#This Row],[Country]],Table4[400m Hurdles Classification],"&gt;0")</f>
        <v>0</v>
      </c>
      <c r="AT206" s="6">
        <f>COUNTIFS(Table5[Country],Tabela1[[#This Row],[Country]],Table5[400m Hurdles Classification],"&gt;0")</f>
        <v>0</v>
      </c>
      <c r="AU206" s="6">
        <f>COUNTIFS(Table4[Country],Tabela1[[#This Row],[Country]],Table4[3000m Steeplechase Classification],"&gt;0")</f>
        <v>0</v>
      </c>
      <c r="AV206" s="6">
        <f>COUNTIFS(Table5[Country],Tabela1[[#This Row],[Country]],Table5[3000m Steeplechase Classification],"&gt;0")</f>
        <v>0</v>
      </c>
      <c r="AW206" s="6">
        <f>COUNTIFS(Table27[Country],Tabela1[[#This Row],[Country]],Table27[Men''s 4x100m Relay Classification],"&gt;0")</f>
        <v>0</v>
      </c>
      <c r="AX206" s="6">
        <f>COUNTIFS(Table27[Country],Tabela1[[#This Row],[Country]],Table27[Women''s 4x100m Relay Classification],"&gt;0")</f>
        <v>0</v>
      </c>
      <c r="AY206" s="6">
        <f>COUNTIFS(Table27[Country],Tabela1[[#This Row],[Country]],Table27[Men''s 4x400m Relay Classification],"&gt;0")</f>
        <v>0</v>
      </c>
      <c r="AZ206" s="6">
        <f>COUNTIFS(Table27[Country],Tabela1[[#This Row],[Country]],Table27[Women''s 4x400m Relay Classification],"&gt;0")</f>
        <v>0</v>
      </c>
      <c r="BA206" s="6">
        <f>COUNTIFS(Table27[Country],Tabela1[[#This Row],[Country]],Table27[Mixed 4x400m Relay Classification],"&gt;0")</f>
        <v>0</v>
      </c>
      <c r="BB206" s="6">
        <f>COUNTIFS(Table4[Country],Tabela1[[#This Row],[Country]],Table4[Marathon Classification],"&gt;0")</f>
        <v>0</v>
      </c>
      <c r="BC206" s="6">
        <f>COUNTIFS(Table5[Country],Tabela1[[#This Row],[Country]],Table5[Marathon Classification],"&gt;0")</f>
        <v>0</v>
      </c>
      <c r="BD206" s="6">
        <f>COUNTIFS(Table4[Country],Tabela1[[#This Row],[Country]],Table4[20km Race Walk Classification],"&gt;0")</f>
        <v>0</v>
      </c>
      <c r="BE206" s="6">
        <f>COUNTIFS(Table5[Country],Tabela1[[#This Row],[Country]],Table5[20km Race Walk Classification],"&gt;0")</f>
        <v>0</v>
      </c>
      <c r="BF206" s="6">
        <f>COUNTIFS(Tabela96[Country],Tabela1[[#This Row],[Country]],Tabela96[Mixed Marathon Race Walk Relay Classification],"&gt;0")</f>
        <v>0</v>
      </c>
      <c r="BG206" s="6">
        <f>COUNTIFS(Table4[Country],Tabela1[[#This Row],[Country]],Table4[Discus Throw Classification],"&gt;0")</f>
        <v>0</v>
      </c>
      <c r="BH206" s="6">
        <f>COUNTIFS(Table5[Country],Tabela1[[#This Row],[Country]],Table5[Discus Throw Classification],"&gt;0")</f>
        <v>0</v>
      </c>
      <c r="BI206" s="6">
        <f>COUNTIFS(Table4[Country],Tabela1[[#This Row],[Country]],Table4[Hammer Throw Classification],"&gt;0")</f>
        <v>0</v>
      </c>
      <c r="BJ206" s="6">
        <f>COUNTIFS(Table5[Country],Tabela1[[#This Row],[Country]],Table5[Hammer Throw Classification],"&gt;0")</f>
        <v>0</v>
      </c>
      <c r="BK206" s="6">
        <f>COUNTIFS(Table4[Country],Tabela1[[#This Row],[Country]],Table4[High Jump Classification],"&gt;0")</f>
        <v>0</v>
      </c>
      <c r="BL206" s="6">
        <f>COUNTIFS(Table5[Country],Tabela1[[#This Row],[Country]],Table5[High Jump Classification],"&gt;0")</f>
        <v>0</v>
      </c>
      <c r="BM206" s="6">
        <f>COUNTIFS(Table4[Country],Tabela1[[#This Row],[Country]],Table4[Javelin Throw Classification],"&gt;0")</f>
        <v>0</v>
      </c>
      <c r="BN206" s="6">
        <f>COUNTIFS(Table5[Country],Tabela1[[#This Row],[Country]],Table5[Javelin Throw Classification],"&gt;0")</f>
        <v>0</v>
      </c>
      <c r="BO206" s="6">
        <f>COUNTIFS(Table4[Country],Tabela1[[#This Row],[Country]],Table4[Long Jump Classification],"&gt;0")</f>
        <v>0</v>
      </c>
      <c r="BP206" s="6">
        <f>COUNTIFS(Table5[Country],Tabela1[[#This Row],[Country]],Table5[Long Jump Classification],"&gt;0")</f>
        <v>0</v>
      </c>
      <c r="BQ206" s="6">
        <f>COUNTIFS(Table4[Country],Tabela1[[#This Row],[Country]],Table4[Pole Vault Classification],"&gt;0")</f>
        <v>0</v>
      </c>
      <c r="BR206" s="6">
        <f>COUNTIFS(Table5[Country],Tabela1[[#This Row],[Country]],Table5[Pole Vault Classification],"&gt;0")</f>
        <v>0</v>
      </c>
      <c r="BS206" s="6">
        <f>COUNTIFS(Table4[Country],Tabela1[[#This Row],[Country]],Table4[Shot Put Classification],"&gt;0")</f>
        <v>0</v>
      </c>
      <c r="BT206" s="6">
        <f>COUNTIFS(Table5[Country],Tabela1[[#This Row],[Country]],Table5[Shot Put Classification],"&gt;0")</f>
        <v>0</v>
      </c>
      <c r="BU206" s="6">
        <f>COUNTIFS(Table4[Country],Tabela1[[#This Row],[Country]],Table4[Triple Jump Classification],"&gt;0")</f>
        <v>0</v>
      </c>
      <c r="BV206" s="6">
        <f>COUNTIFS(Table5[Country],Tabela1[[#This Row],[Country]],Table5[Triple Jump Classification],"&gt;0")</f>
        <v>0</v>
      </c>
      <c r="BW206" s="6">
        <f>COUNTIFS(Table4[Country],Tabela1[[#This Row],[Country]],Table4[Decathlon Classification],"&gt;0")</f>
        <v>0</v>
      </c>
      <c r="BX206" s="6">
        <f>COUNTIFS(Table5[Country],Tabela1[[#This Row],[Country]],Table5[Heptathlon Classification],"&gt;0")</f>
        <v>0</v>
      </c>
      <c r="BY206" s="6">
        <f>COUNTIFS(Table61[Country],Tabela1[[#This Row],[Country]],Table61[Classification],"&gt;0")</f>
        <v>0</v>
      </c>
      <c r="BZ206" s="6">
        <f>COUNTIFS(Table38[Country],Tabela1[[#This Row],[Country]],Table38[Classification],"&gt;0")</f>
        <v>0</v>
      </c>
      <c r="CA206" s="6">
        <f>COUNTIFS(Table39[Country],Tabela1[[#This Row],[Country]],Table39[Men''s Classification],"&gt;0")</f>
        <v>0</v>
      </c>
      <c r="CB206" s="6">
        <f>COUNTIFS(Table39[Country],Tabela1[[#This Row],[Country]],Table39[Women''s Classification],"&gt;0")</f>
        <v>0</v>
      </c>
      <c r="CC206" s="6">
        <f>COUNTIFS(Table39[Country],Tabela1[[#This Row],[Country]],Table39[Mixed Classification],"&gt;0")</f>
        <v>0</v>
      </c>
      <c r="CD206" s="6">
        <f>COUNTIFS(Table89[Country],Tabela1[[#This Row],[Country]],Table89[Men''s Classification],"&gt;0")</f>
        <v>0</v>
      </c>
      <c r="CE206" s="6">
        <f>COUNTIFS(Table89[Country],Tabela1[[#This Row],[Country]],Table89[Women''s Classification],"&gt;0")</f>
        <v>0</v>
      </c>
      <c r="CF206" s="6">
        <f>COUNTIFS(Table90[Country],Tabela1[[#This Row],[Country]],Table90[Men''s Classification],"&gt;0")</f>
        <v>0</v>
      </c>
      <c r="CG206" s="6">
        <f>COUNTIFS(Table90[Country],Tabela1[[#This Row],[Country]],Table90[Women''s Classification],"&gt;0")</f>
        <v>0</v>
      </c>
      <c r="CH206" s="6">
        <f>COUNTIFS(Table60[Country],Tabela1[[#This Row],[Country]],Table60[Men''s Classification],"&gt;0")</f>
        <v>0</v>
      </c>
      <c r="CI206" s="6">
        <f>COUNTIFS(Table60[Country],Tabela1[[#This Row],[Country]],Table60[Women''s Classification],"&gt;0")</f>
        <v>0</v>
      </c>
      <c r="CJ206" s="6">
        <f>COUNTIFS(Table6[Country],Tabela1[[#This Row],[Country]],Table6[51kg Classification],"&gt;0")</f>
        <v>0</v>
      </c>
      <c r="CK206" s="6">
        <f>COUNTIFS(Table6[Country],Tabela1[[#This Row],[Country]],Table6[57kg Classification],"&gt;0")</f>
        <v>0</v>
      </c>
      <c r="CL206" s="6">
        <f>COUNTIFS(Table6[Country],Tabela1[[#This Row],[Country]],Table6[63.5kg Classification],"&gt;0")</f>
        <v>0</v>
      </c>
      <c r="CM206" s="6">
        <f>COUNTIFS(Table6[Country],Tabela1[[#This Row],[Country]],Table6[71kg Classification],"&gt;0")</f>
        <v>0</v>
      </c>
      <c r="CN206" s="6">
        <f>COUNTIFS(Table6[Country],Tabela1[[#This Row],[Country]],Table6[80kg Classification],"&gt;0")</f>
        <v>0</v>
      </c>
      <c r="CO206" s="6">
        <f>COUNTIFS(Table6[Country],Tabela1[[#This Row],[Country]],Table6[92kg Classification],"&gt;0")</f>
        <v>0</v>
      </c>
      <c r="CP206" s="6">
        <f>COUNTIFS(Table6[Country],Tabela1[[#This Row],[Country]],Table6[Plus 92kg Classification],"&gt;0")</f>
        <v>0</v>
      </c>
      <c r="CQ206" s="6">
        <f>COUNTIFS(Table7[Country],Tabela1[[#This Row],[Country]],Table7[50kg Classification],"&gt;0")</f>
        <v>0</v>
      </c>
      <c r="CR206" s="6">
        <f>COUNTIFS(Table7[Country],Tabela1[[#This Row],[Country]],Table7[54kg Classification],"&gt;0")</f>
        <v>0</v>
      </c>
      <c r="CS206" s="6">
        <f>COUNTIFS(Table7[Country],Tabela1[[#This Row],[Country]],Table7[57kg Classification],"&gt;0")</f>
        <v>0</v>
      </c>
      <c r="CT206" s="6">
        <f>COUNTIFS(Table7[Country],Tabela1[[#This Row],[Country]],Table7[60kg Classification],"&gt;0")</f>
        <v>0</v>
      </c>
      <c r="CU206" s="6">
        <f>COUNTIFS(Table7[Country],Tabela1[[#This Row],[Country]],Table7[66kg Classification],"&gt;0")</f>
        <v>0</v>
      </c>
      <c r="CV206" s="6">
        <f>COUNTIFS(Table7[Country],Tabela1[[#This Row],[Country]],Table7[75kg Classification],"&gt;0")</f>
        <v>0</v>
      </c>
      <c r="CW206" s="6">
        <f>COUNTIFS(Tabela94[Country],Tabela1[[#This Row],[Country]],Tabela94[Classification],"&gt;0")</f>
        <v>0</v>
      </c>
      <c r="CX206" s="6">
        <f>COUNTIFS(Tabela9499[Country],Tabela1[[#This Row],[Country]],Tabela9499[Classification],"&gt;0")</f>
        <v>0</v>
      </c>
      <c r="CY206" s="6">
        <f>COUNTIFS(Tabela107[Country],Tabela1[[#This Row],[Country]],Tabela107[C1 Slalom Classification],"&gt;0")</f>
        <v>0</v>
      </c>
      <c r="CZ206" s="6">
        <f>COUNTIFS(Tabela107122[Country],Tabela1[[#This Row],[Country]],Tabela107122[C1 Slalom Classification],"&gt;0")</f>
        <v>0</v>
      </c>
      <c r="DA206" s="6">
        <f>COUNTIFS(Tabela107[Country],Tabela1[[#This Row],[Country]],Tabela107[K1 Slalom Classification],"&gt;0")</f>
        <v>0</v>
      </c>
      <c r="DB206" s="6">
        <f>COUNTIFS(Tabela107122[Country],Tabela1[[#This Row],[Country]],Tabela107122[K1 Slalom Classification],"&gt;0")</f>
        <v>0</v>
      </c>
      <c r="DC206" s="6">
        <f>COUNTIFS(Tabela107[Country],Tabela1[[#This Row],[Country]],Tabela107[Kayak Cross Slalom Classification],"&gt;0")</f>
        <v>0</v>
      </c>
      <c r="DD206" s="6">
        <f>COUNTIFS(Tabela107122[Country],Tabela1[[#This Row],[Country]],Tabela107122[Kayak Cross Slalom Classification],"&gt;0")</f>
        <v>0</v>
      </c>
      <c r="DE206" s="6">
        <f>COUNTIFS(Table8[Country],Tabela1[[#This Row],[Country]],Table8[C1 200m Classification],"&gt;0")</f>
        <v>0</v>
      </c>
      <c r="DF206" s="6">
        <f>COUNTIFS(Table40[Country],Tabela1[[#This Row],[Country]],Table40[C1 1000m Classification],"&gt;0")</f>
        <v>0</v>
      </c>
      <c r="DG206" s="6">
        <f>COUNTIFS(Table68[Country],Tabela1[[#This Row],[Country]],Table68[Men''s C2 500m Classification],"&gt;0")</f>
        <v>0</v>
      </c>
      <c r="DH206" s="6">
        <f>COUNTIFS(Table68[Country],Tabela1[[#This Row],[Country]],Table68[Women''s C2 500m Classification],"&gt;0")</f>
        <v>0</v>
      </c>
      <c r="DI206" s="6">
        <f>COUNTIFS(Table8[Country],Tabela1[[#This Row],[Country]],Table8[K1 500m Classification],"&gt;0")</f>
        <v>0</v>
      </c>
      <c r="DJ206" s="6">
        <f>COUNTIFS(Table40[Country],Tabela1[[#This Row],[Country]],Table40[K1 1000m Classification],"&gt;0")</f>
        <v>0</v>
      </c>
      <c r="DK206" s="6">
        <f>COUNTIFS(Table68[Country],Tabela1[[#This Row],[Country]],Table68[Men''s K2 500m Classification],"&gt;0")</f>
        <v>0</v>
      </c>
      <c r="DL206" s="6">
        <f>COUNTIFS(Table68[Country],Tabela1[[#This Row],[Country]],Table68[Women''s K2 500m Classification],"&gt;0")</f>
        <v>0</v>
      </c>
      <c r="DM206" s="6">
        <f>COUNTIFS(Table83[Country],Tabela1[[#This Row],[Country]],Table83[Men''s K4 500m Classification],"&gt;0")</f>
        <v>0</v>
      </c>
      <c r="DN206" s="6">
        <f>COUNTIFS(Table83[Country],Tabela1[[#This Row],[Country]],Table83[Women''s K4 500m Classification],"&gt;0")</f>
        <v>0</v>
      </c>
      <c r="DO206" s="6">
        <f>COUNTIFS(Tabela126[Country],Tabela1[[#This Row],[Country]],Tabela126[Classification],"&gt;0")</f>
        <v>0</v>
      </c>
      <c r="DP206" s="6">
        <f>COUNTIFS(Tabela126130[Country],Tabela1[[#This Row],[Country]],Tabela126130[Classification],"&gt;0")</f>
        <v>0</v>
      </c>
      <c r="DQ206" s="6">
        <f>COUNTIFS(Table70[Country],Tabela1[[#This Row],[Country]],Table70[Classification],"&gt;0")</f>
        <v>0</v>
      </c>
      <c r="DR206" s="6">
        <f>COUNTIFS(Table80[Country],Tabela1[[#This Row],[Country]],Table80[Classification],"&gt;0")</f>
        <v>0</v>
      </c>
      <c r="DS206" s="6">
        <f>COUNTIFS(Table66[Country],Tabela1[[#This Row],[Country]],Table66[Classification],"&gt;0")</f>
        <v>0</v>
      </c>
      <c r="DT206" s="6">
        <f>COUNTIFS(Table67[Country],Tabela1[[#This Row],[Country]],Table67[Classification],"&gt;0")</f>
        <v>0</v>
      </c>
      <c r="DU206" s="6">
        <f>COUNTIFS(Table69[Country],Tabela1[[#This Row],[Country]],Table69[Keirin Classification],"&gt;0")</f>
        <v>0</v>
      </c>
      <c r="DV206" s="6">
        <f>COUNTIFS(Table41[Country],Tabela1[[#This Row],[Country]],Table41[Keirin Classification],"&gt;0")</f>
        <v>0</v>
      </c>
      <c r="DW206" s="6">
        <f>COUNTIFS(Table84[Country],Tabela1[[#This Row],[Country]],Table84[Men''s Madison Classification],"&gt;0")</f>
        <v>0</v>
      </c>
      <c r="DX206" s="6">
        <f>COUNTIFS(Table84[Country],Tabela1[[#This Row],[Country]],Table84[Women''s Madison Classification],"&gt;0")</f>
        <v>0</v>
      </c>
      <c r="DY206" s="6">
        <f>COUNTIFS(Table69[Country],Tabela1[[#This Row],[Country]],Table69[Omnium Classification],"&gt;0")</f>
        <v>0</v>
      </c>
      <c r="DZ206" s="6">
        <f>COUNTIFS(Table41[Country],Tabela1[[#This Row],[Country]],Table41[Omnium Classification],"&gt;0")</f>
        <v>0</v>
      </c>
      <c r="EA206" s="6">
        <f>COUNTIFS(Table9[Country],Tabela1[[#This Row],[Country]],Table9[Road Race Classification],"&gt;0")</f>
        <v>0</v>
      </c>
      <c r="EB206" s="6">
        <f>COUNTIFS(Table14[Country],Tabela1[[#This Row],[Country]],Table14[Road Race Classification],"&gt;0")</f>
        <v>0</v>
      </c>
      <c r="EC206" s="6">
        <f>COUNTIFS(Table69[Country],Tabela1[[#This Row],[Country]],Table69[Sprint Classification],"&gt;0")</f>
        <v>0</v>
      </c>
      <c r="ED206" s="6">
        <f>COUNTIFS(Table41[Country],Tabela1[[#This Row],[Country]],Table41[Sprint Classification],"&gt;0")</f>
        <v>0</v>
      </c>
      <c r="EE206" s="6">
        <f>COUNTIFS(Table85[Country],Tabela1[[#This Row],[Country]],Table85[Men''s Sprint Classification],"&gt;0")</f>
        <v>0</v>
      </c>
      <c r="EF206" s="6">
        <f>COUNTIFS(Table85[Country],Tabela1[[#This Row],[Country]],Table85[Women''s Sprint Classification],"&gt;0")</f>
        <v>0</v>
      </c>
      <c r="EG206" s="6">
        <f>COUNTIFS(Table85[Country],Tabela1[[#This Row],[Country]],Table85[Men''s Pursuit Classification],"&gt;0")</f>
        <v>0</v>
      </c>
      <c r="EH206" s="6">
        <f>COUNTIFS(Table85[Country],Tabela1[[#This Row],[Country]],Table85[Women''s Pursuit Classification],"&gt;0")</f>
        <v>0</v>
      </c>
      <c r="EI206" s="6">
        <f>COUNTIFS(Table9[Country],Tabela1[[#This Row],[Country]],Table9[Time-Trial Classification],"&gt;0")</f>
        <v>0</v>
      </c>
      <c r="EJ206" s="6">
        <f>COUNTIFS(Table14[Country],Tabela1[[#This Row],[Country]],Table14[Time-Trial Classification],"&gt;0")</f>
        <v>0</v>
      </c>
      <c r="EK206" s="6">
        <f>COUNTIFS(Table42[Country],Tabela1[[#This Row],[Country]],Table42[Springboard Classification],"&gt;0")</f>
        <v>0</v>
      </c>
      <c r="EL206" s="6">
        <f>COUNTIFS(Table43[Country],Tabela1[[#This Row],[Country]],Table43[Springboard Classification],"&gt;0")</f>
        <v>0</v>
      </c>
      <c r="EM206" s="6">
        <f>COUNTIFS(Table42[Country],Tabela1[[#This Row],[Country]],Table42[Platform Classification],"&gt;0")</f>
        <v>0</v>
      </c>
      <c r="EN206" s="6">
        <f>COUNTIFS(Table43[Country],Tabela1[[#This Row],[Country]],Table43[Platform Classification],"&gt;0")</f>
        <v>0</v>
      </c>
      <c r="EO206" s="6">
        <f>COUNTIFS(Table86[Country],Tabela1[[#This Row],[Country]],Table86[Men''s Synchronized Springboard Classification],"&gt;0")</f>
        <v>0</v>
      </c>
      <c r="EP206" s="6">
        <f>COUNTIFS(Table86[Country],Tabela1[[#This Row],[Country]],Table86[Women''s Synchronized Springboard Classification],"&gt;0")</f>
        <v>0</v>
      </c>
      <c r="EQ206" s="6">
        <f>COUNTIFS(Table86[Country],Tabela1[[#This Row],[Country]],Table86[Men''s Synchronized Platform Classification],"&gt;0")</f>
        <v>0</v>
      </c>
      <c r="ER206" s="6">
        <f>COUNTIFS(Table86[Country],Tabela1[[#This Row],[Country]],Table86[Women''s Synchronized Platform Classification],"&gt;0")</f>
        <v>0</v>
      </c>
      <c r="ES206" s="6">
        <f>COUNTIFS(Table44[Country],Tabela1[[#This Row],[Country]],Table44[Dressage Classification],"&gt;0")</f>
        <v>0</v>
      </c>
      <c r="ET206" s="6">
        <f>COUNTIFS(Table45[Country],Tabela1[[#This Row],[Country]],Table45[Dressage Classification],"&gt;0")</f>
        <v>0</v>
      </c>
      <c r="EU206" s="6">
        <f>COUNTIFS(Table44[Country],Tabela1[[#This Row],[Country]],Table44[Eventing Classification],"&gt;0")</f>
        <v>0</v>
      </c>
      <c r="EV206" s="6">
        <f>COUNTIFS(Table45[Country],Tabela1[[#This Row],[Country]],Table45[Eventing Classification],"&gt;0")</f>
        <v>0</v>
      </c>
      <c r="EW206" s="6">
        <f>COUNTIFS(Table44[Country],Tabela1[[#This Row],[Country]],Table44[Jumping Classification],"&gt;0")</f>
        <v>0</v>
      </c>
      <c r="EX206" s="6">
        <f>COUNTIFS(Table45[Country],Tabela1[[#This Row],[Country]],Table45[Jumping Classification],"&gt;0")</f>
        <v>0</v>
      </c>
      <c r="EY206" s="6">
        <f>COUNTIFS(Table10[Country],Tabela1[[#This Row],[Country]],Table10[Épée Classification],"&gt;0")</f>
        <v>0</v>
      </c>
      <c r="EZ206" s="6">
        <f>COUNTIFS(Table11[Country],Tabela1[[#This Row],[Country]],Table11[Épée Classification],"&gt;0")</f>
        <v>0</v>
      </c>
      <c r="FA206" s="6">
        <f>COUNTIFS(Table46[Country],Tabela1[[#This Row],[Country]],Table46[Men''s Épée Classification],"&gt;0")</f>
        <v>0</v>
      </c>
      <c r="FB206" s="6">
        <f>COUNTIFS(Table46[Country],Tabela1[[#This Row],[Country]],Table46[Women''s Épée Classification],"&gt;0")</f>
        <v>0</v>
      </c>
      <c r="FC206" s="6">
        <f>COUNTIFS(Table10[Country],Tabela1[[#This Row],[Country]],Table10[Foil Classification],"&gt;0")</f>
        <v>0</v>
      </c>
      <c r="FD206" s="6">
        <f>COUNTIFS(Table11[Country],Tabela1[[#This Row],[Country]],Table11[Foil Classification],"&gt;0")</f>
        <v>0</v>
      </c>
      <c r="FE206" s="6">
        <f>COUNTIFS(Table46[Country],Tabela1[[#This Row],[Country]],Table46[Men''s Foil Classification],"&gt;0")</f>
        <v>0</v>
      </c>
      <c r="FF206" s="6">
        <f>COUNTIFS(Table46[Country],Tabela1[[#This Row],[Country]],Table46[Women''s Foil Classification],"&gt;0")</f>
        <v>0</v>
      </c>
      <c r="FG206" s="6">
        <f>COUNTIFS(Table10[Country],Tabela1[[#This Row],[Country]],Table10[Sabre Classification],"&gt;0")</f>
        <v>0</v>
      </c>
      <c r="FH206" s="6">
        <f>COUNTIFS(Table11[Country],Tabela1[[#This Row],[Country]],Table11[Sabre Classification],"&gt;0")</f>
        <v>0</v>
      </c>
      <c r="FI206" s="6">
        <f>COUNTIFS(Table46[Country],Tabela1[[#This Row],[Country]],Table46[Men''s Sabre Classification],"&gt;0")</f>
        <v>0</v>
      </c>
      <c r="FJ206" s="6">
        <f>COUNTIFS(Table46[Country],Tabela1[[#This Row],[Country]],Table46[Women''s Sabre Classification],"&gt;0")</f>
        <v>0</v>
      </c>
      <c r="FK206" s="6">
        <f>COUNTIFS(Table91[Country],Tabela1[[#This Row],[Country]],Table91[Men''s Classification],"&gt;0")</f>
        <v>0</v>
      </c>
      <c r="FL206" s="6">
        <f>COUNTIFS(Table91[Country],Tabela1[[#This Row],[Country]],Table91[Women''s Classification],"&gt;0")</f>
        <v>0</v>
      </c>
      <c r="FM206" s="6">
        <f>COUNTIFS(Table9194[Country],Tabela1[[#This Row],[Country]],Table9194[Men''s Classification],"&gt;0")</f>
        <v>0</v>
      </c>
      <c r="FN206" s="6">
        <f>COUNTIFS(Table9194[Country],Tabela1[[#This Row],[Country]],Table9194[Women''s Classification],"&gt;0")</f>
        <v>0</v>
      </c>
      <c r="FO206" s="6">
        <f>COUNTIFS(Table71[Country],Tabela1[[#This Row],[Country]],Table71[Classification],"&gt;0")</f>
        <v>0</v>
      </c>
      <c r="FP206" s="6">
        <f>COUNTIFS(Table62[Country],Tabela1[[#This Row],[Country]],Table62[Classification],"&gt;0")</f>
        <v>0</v>
      </c>
      <c r="FQ206" s="6">
        <f>COUNTIFS(Table47[Country],Tabela1[[#This Row],[Country]],Table47[All-Around Classification],"&gt;0")</f>
        <v>0</v>
      </c>
      <c r="FR206" s="6">
        <f>COUNTIFS(Table48[Country],Tabela1[[#This Row],[Country]],Table48[All-Around Classification],"&gt;0")</f>
        <v>0</v>
      </c>
      <c r="FS206" s="6">
        <f>COUNTIFS(Table81[Country],Tabela1[[#This Row],[Country]],Table81[Men''s All-Around Classification],"&gt;0")</f>
        <v>0</v>
      </c>
      <c r="FT206" s="6">
        <f>COUNTIFS(Table81[Country],Tabela1[[#This Row],[Country]],Table81[Women''s All-Around Classification],"&gt;0")</f>
        <v>0</v>
      </c>
      <c r="FU206" s="6">
        <f>COUNTIFS(Table48[Country],Tabela1[[#This Row],[Country]],Table48[Balance Beam Classification],"&gt;0")</f>
        <v>0</v>
      </c>
      <c r="FV206" s="6">
        <f>COUNTIFS(Table47[Country],Tabela1[[#This Row],[Country]],Table47[Floor Exercise Classification],"&gt;0")</f>
        <v>0</v>
      </c>
      <c r="FW206" s="6">
        <f>COUNTIFS(Table48[Country],Tabela1[[#This Row],[Country]],Table48[Floor Exercise Classification],"&gt;0")</f>
        <v>0</v>
      </c>
      <c r="FX206" s="6">
        <f>COUNTIFS(Table47[Country],Tabela1[[#This Row],[Country]],Table47[Horizontal Bar Classification],"&gt;0")</f>
        <v>0</v>
      </c>
      <c r="FY206" s="6">
        <f>COUNTIFS(Table47[Country],Tabela1[[#This Row],[Country]],Table47[Parallel Bars Classification],"&gt;0")</f>
        <v>0</v>
      </c>
      <c r="FZ206" s="6">
        <f>COUNTIFS(Table47[Country],Tabela1[[#This Row],[Country]],Table47[Pommel Horse Classification],"&gt;0")</f>
        <v>0</v>
      </c>
      <c r="GA206" s="6">
        <f>COUNTIFS(Table47[Country],Tabela1[[#This Row],[Country]],Table47[Rings Classification],"&gt;0")</f>
        <v>0</v>
      </c>
      <c r="GB206" s="6">
        <f>COUNTIFS(Tabela132[Country],Tabela1[[#This Row],[Country]],Tabela132[Classification],"&gt;0")</f>
        <v>0</v>
      </c>
      <c r="GC206" s="6">
        <f>COUNTIFS(Tabela139[Country],Tabela1[[#This Row],[Country]],Tabela139[Classification],"&gt;0")</f>
        <v>0</v>
      </c>
      <c r="GD206" s="6">
        <f>COUNTIFS(Table48[Country],Tabela1[[#This Row],[Country]],Table48[Uneven Bars Classification],"&gt;0")</f>
        <v>0</v>
      </c>
      <c r="GE206" s="6">
        <f>COUNTIFS(Table47[Country],Tabela1[[#This Row],[Country]],Table47[Vault Classification],"&gt;0")</f>
        <v>0</v>
      </c>
      <c r="GF206" s="6">
        <f>COUNTIFS(Table48[Country],Tabela1[[#This Row],[Country]],Table48[Vault Classification],"&gt;0")</f>
        <v>0</v>
      </c>
      <c r="GG206" s="6">
        <f>COUNTIFS(Table919496[Country],Tabela1[[#This Row],[Country]],Table919496[Men''s Classification],"&gt;0")</f>
        <v>0</v>
      </c>
      <c r="GH206" s="6">
        <f>COUNTIFS(Table919496[Country],Tabela1[[#This Row],[Country]],Table919496[Women''s Classification],"&gt;0")</f>
        <v>0</v>
      </c>
      <c r="GI206" s="6">
        <f>COUNTIFS(Table12[Country],Tabela1[[#This Row],[Country]],Table12[60kg Classification],"&gt;0")</f>
        <v>0</v>
      </c>
      <c r="GJ206" s="6">
        <f>COUNTIFS(Table12[Country],Tabela1[[#This Row],[Country]],Table12[66kg Classification],"&gt;0")</f>
        <v>0</v>
      </c>
      <c r="GK206" s="6">
        <f>COUNTIFS(Table12[Country],Tabela1[[#This Row],[Country]],Table12[73kg Classification],"&gt;0")</f>
        <v>0</v>
      </c>
      <c r="GL206" s="6">
        <f>COUNTIFS(Table12[Country],Tabela1[[#This Row],[Country]],Table12[81kg Classification],"&gt;0")</f>
        <v>0</v>
      </c>
      <c r="GM206" s="6">
        <f>COUNTIFS(Table12[Country],Tabela1[[#This Row],[Country]],Table12[90kg Classification],"&gt;0")</f>
        <v>0</v>
      </c>
      <c r="GN206" s="6">
        <f>COUNTIFS(Table12[Country],Tabela1[[#This Row],[Country]],Table12[100kg Classification],"&gt;0")</f>
        <v>0</v>
      </c>
      <c r="GO206" s="6">
        <f>COUNTIFS(Table12[Country],Tabela1[[#This Row],[Country]],Table12[Plus 100kg Classification],"&gt;0")</f>
        <v>0</v>
      </c>
      <c r="GP206" s="6">
        <f>COUNTIFS(Table13[Country],Tabela1[[#This Row],[Country]],Table13[48kg Classification],"&gt;0")</f>
        <v>0</v>
      </c>
      <c r="GQ206" s="6">
        <f>COUNTIFS(Table13[Country],Tabela1[[#This Row],[Country]],Table13[52kg Classification],"&gt;0")</f>
        <v>0</v>
      </c>
      <c r="GR206" s="6">
        <f>COUNTIFS(Table13[Country],Tabela1[[#This Row],[Country]],Table13[57kg Classification],"&gt;0")</f>
        <v>0</v>
      </c>
      <c r="GS206" s="6">
        <f>COUNTIFS(Table13[Country],Tabela1[[#This Row],[Country]],Table13[63kg Classification],"&gt;0")</f>
        <v>0</v>
      </c>
      <c r="GT206" s="6">
        <f>COUNTIFS(Table13[Country],Tabela1[[#This Row],[Country]],Table13[70kg Classification],"&gt;0")</f>
        <v>0</v>
      </c>
      <c r="GU206" s="6">
        <f>COUNTIFS(Table13[Country],Tabela1[[#This Row],[Country]],Table13[78kg Classification],"&gt;0")</f>
        <v>0</v>
      </c>
      <c r="GV206" s="6">
        <f>COUNTIFS(Table13[Country],Tabela1[[#This Row],[Country]],Table13[Plus 78kg Classification],"&gt;0")</f>
        <v>0</v>
      </c>
      <c r="GW206" s="6">
        <f>COUNTIFS(Table82[Country],Tabela1[[#This Row],[Country]],Table82[Mixed Classification],"&gt;0")</f>
        <v>0</v>
      </c>
      <c r="GX206" s="6">
        <f>COUNTIFS(Table51[Country],Tabela1[[#This Row],[Country]],Table51[Classification],"&gt;0")</f>
        <v>0</v>
      </c>
      <c r="GY206" s="6">
        <f>COUNTIFS(Table52[Country],Tabela1[[#This Row],[Country]],Table52[Classification],"&gt;0")</f>
        <v>0</v>
      </c>
      <c r="GZ206" s="6">
        <f>COUNTIFS(Table32[Country],Tabela1[[#This Row],[Country]],Table32[All-Around Classification],"&gt;0")</f>
        <v>0</v>
      </c>
      <c r="HA206" s="6">
        <f>COUNTIFS(Table49[Country],Tabela1[[#This Row],[Country]],Table49[All-Around Classification],"&gt;0")</f>
        <v>0</v>
      </c>
      <c r="HB206" s="6">
        <f>COUNTIFS(Table26[Country],Tabela1[[#This Row],[Country]],Table26[Single Sculls Classification],"&gt;0")</f>
        <v>0</v>
      </c>
      <c r="HC206" s="6">
        <f>COUNTIFS(Table63[Country],Tabela1[[#This Row],[Country]],Table63[Single Sculls Classification],"&gt;0")</f>
        <v>0</v>
      </c>
      <c r="HD206" s="6">
        <f>COUNTIFS(Table16[Country],Tabela1[[#This Row],[Country]],Table16[Men''s Double Sculls Classification],"&gt;0")</f>
        <v>0</v>
      </c>
      <c r="HE206" s="6">
        <f>COUNTIFS(Table16[Country],Tabela1[[#This Row],[Country]],Table16[Women''s Double Sculls Classification],"&gt;0")</f>
        <v>0</v>
      </c>
      <c r="HF206" s="6">
        <f>COUNTIFS(Table72[Country],Tabela1[[#This Row],[Country]],Table72[Men''s Quadruple Sculls Classification],"&gt;0")</f>
        <v>0</v>
      </c>
      <c r="HG206" s="6">
        <f>COUNTIFS(Table72[Country],Tabela1[[#This Row],[Country]],Table72[Women''s Quadruple Sculls Classification],"&gt;0")</f>
        <v>0</v>
      </c>
      <c r="HH206" s="6">
        <f>COUNTIFS(Table16[Country],Tabela1[[#This Row],[Country]],Table16[Men''s Coxless Pairs Classification],"&gt;0")</f>
        <v>0</v>
      </c>
      <c r="HI206" s="6">
        <f>COUNTIFS(Table16[Country],Tabela1[[#This Row],[Country]],Table16[Women''s Coxless Pairs Classification],"&gt;0")</f>
        <v>0</v>
      </c>
      <c r="HJ206" s="6">
        <f>COUNTIFS(Table72[Country],Tabela1[[#This Row],[Country]],Table72[Men''s Coxless Fours Classification],"&gt;0")</f>
        <v>0</v>
      </c>
      <c r="HK206" s="6">
        <f>COUNTIFS(Table72[Country],Tabela1[[#This Row],[Country]],Table72[Women''s Coxless Fours Classification],"&gt;0")</f>
        <v>0</v>
      </c>
      <c r="HL206" s="6">
        <f>COUNTIFS(Table72[Country],Tabela1[[#This Row],[Country]],Table72[Men''s Eights Classification],"&gt;0")</f>
        <v>0</v>
      </c>
      <c r="HM206" s="6">
        <f>COUNTIFS(Table72[Country],Tabela1[[#This Row],[Country]],Table72[Women''s Eights Classification],"&gt;0")</f>
        <v>0</v>
      </c>
      <c r="HN206" s="6">
        <f>COUNTIFS(Table16[Country],Tabela1[[#This Row],[Country]],Table16[Men''s Lwt. Double Sculls Classification],"&gt;0")</f>
        <v>0</v>
      </c>
      <c r="HO206" s="6">
        <f>COUNTIFS(Table16[Country],Tabela1[[#This Row],[Country]],Table16[Women''s Lwt. Double Sculls Classification],"&gt;0")</f>
        <v>0</v>
      </c>
      <c r="HP206" s="6">
        <f>COUNTIFS(Table91949698[Country],Tabela1[[#This Row],[Country]],Table91949698[Men''s Classification],"&gt;0")</f>
        <v>0</v>
      </c>
      <c r="HQ206" s="6">
        <f>COUNTIFS(Table91949698[Country],Tabela1[[#This Row],[Country]],Table91949698[Women''s Classification],"&gt;0")</f>
        <v>0</v>
      </c>
      <c r="HR206" s="6">
        <f>COUNTIFS(Table25[Country],Tabela1[[#This Row],[Country]],Table25[Mixed 470 Classification],"&gt;0")</f>
        <v>0</v>
      </c>
      <c r="HS206" s="6">
        <f>COUNTIFS(Table25[Country],Tabela1[[#This Row],[Country]],Table25[Men''s 49er Classification],"&gt;0")</f>
        <v>0</v>
      </c>
      <c r="HT206" s="6">
        <f>COUNTIFS(Table25[Country],Tabela1[[#This Row],[Country]],Table25[Women''s 49er FX Classification],"&gt;0")</f>
        <v>0</v>
      </c>
      <c r="HU206" s="6">
        <f>COUNTIFS(Table17[Country],Tabela1[[#This Row],[Country]],Table17[Formula Kite Classification],"&gt;0")</f>
        <v>0</v>
      </c>
      <c r="HV206" s="6">
        <f>COUNTIFS(Table18[Country],Tabela1[[#This Row],[Country]],Table18[Formula Kite Classification],"&gt;0")</f>
        <v>0</v>
      </c>
      <c r="HW206" s="6">
        <f>COUNTIFS(Table17[Country],Tabela1[[#This Row],[Country]],Table17[ILCA 7 Classification],"&gt;0")</f>
        <v>0</v>
      </c>
      <c r="HX206" s="6">
        <f>COUNTIFS(Table18[Country],Tabela1[[#This Row],[Country]],Table18[ILCA 6 Classification],"&gt;0")</f>
        <v>0</v>
      </c>
      <c r="HY206" s="6">
        <f>COUNTIFS(Table17[Country],Tabela1[[#This Row],[Country]],Table17[IQFoil Classification],"&gt;0")</f>
        <v>0</v>
      </c>
      <c r="HZ206" s="6">
        <f>COUNTIFS(Table18[Country],Tabela1[[#This Row],[Country]],Table18[IQFoil Classification],"&gt;0")</f>
        <v>0</v>
      </c>
      <c r="IA206" s="6">
        <f>COUNTIFS(Table25[Country],Tabela1[[#This Row],[Country]],Table25[Mixed Nacra 17 Classification],"&gt;0")</f>
        <v>0</v>
      </c>
      <c r="IB206" s="6">
        <f>COUNTIFS(Table53[Country],Tabela1[[#This Row],[Country]],Table53[10m Air Pistol Classification],"&gt;0")</f>
        <v>0</v>
      </c>
      <c r="IC206" s="6">
        <f>COUNTIFS(Table19[Country],Tabela1[[#This Row],[Country]],Table19[10m Air Pistol Classification],"&gt;0")</f>
        <v>0</v>
      </c>
      <c r="ID206" s="6">
        <f>COUNTIFS(Table54[Country],Tabela1[[#This Row],[Country]],Table54[Mixed 10m Air Pistol Team Classification],"&gt;0")</f>
        <v>0</v>
      </c>
      <c r="IE206" s="6">
        <f>COUNTIFS(Table53[Country],Tabela1[[#This Row],[Country]],Table53[10m Air Rifle Classification],"&gt;0")</f>
        <v>0</v>
      </c>
      <c r="IF206" s="6">
        <f>COUNTIFS(Table19[Country],Tabela1[[#This Row],[Country]],Table19[10m Air Rifle Classification],"&gt;0")</f>
        <v>0</v>
      </c>
      <c r="IG206" s="6">
        <f>COUNTIFS(Table54[Country],Tabela1[[#This Row],[Country]],Table54[Mixed 10m Air Rifle Team Classification],"&gt;0")</f>
        <v>0</v>
      </c>
      <c r="IH206" s="6">
        <f>COUNTIFS(Table53[Country],Tabela1[[#This Row],[Country]],Table53[25m Rapid Fire Pistol Classification],"&gt;0")</f>
        <v>0</v>
      </c>
      <c r="II206" s="6">
        <f>COUNTIFS(Table19[Country],Tabela1[[#This Row],[Country]],Table19[25m Pistol Classification],"&gt;0")</f>
        <v>0</v>
      </c>
      <c r="IJ206" s="6">
        <f>COUNTIFS(Table53[Country],Tabela1[[#This Row],[Country]],Table53[50m Rifle 3 Positions Classification],"&gt;0")</f>
        <v>0</v>
      </c>
      <c r="IK206" s="6">
        <f>COUNTIFS(Table19[Country],Tabela1[[#This Row],[Country]],Table19[50m Rifle 3 Positions Classification],"&gt;0")</f>
        <v>0</v>
      </c>
      <c r="IL206" s="6">
        <f>COUNTIFS(Table53[Country],Tabela1[[#This Row],[Country]],Table53[Skeet Classification],"&gt;0")</f>
        <v>0</v>
      </c>
      <c r="IM206" s="6">
        <f>COUNTIFS(Table19[Country],Tabela1[[#This Row],[Country]],Table19[Skeet Classification],"&gt;0")</f>
        <v>0</v>
      </c>
      <c r="IN206" s="6">
        <f>COUNTIFS(Table54[Country],Tabela1[[#This Row],[Country]],Table54[Mixed Skeet Team Classification],"&gt;0")</f>
        <v>0</v>
      </c>
      <c r="IO206" s="6">
        <f>COUNTIFS(Table53[Country],Tabela1[[#This Row],[Country]],Table53[Trap Classification],"&gt;0")</f>
        <v>0</v>
      </c>
      <c r="IP206" s="6">
        <f>COUNTIFS(Table19[Country],Tabela1[[#This Row],[Country]],Table19[Trap Classification],"&gt;0")</f>
        <v>0</v>
      </c>
      <c r="IQ206" s="6">
        <f>COUNTIFS(Table73[Country],Tabela1[[#This Row],[Country]],Table73[Park Classification],"&gt;0")</f>
        <v>0</v>
      </c>
      <c r="IR206" s="6">
        <f>COUNTIFS(Table74[Country],Tabela1[[#This Row],[Country]],Table74[Park Classification],"&gt;0")</f>
        <v>0</v>
      </c>
      <c r="IS206" s="6">
        <f>COUNTIFS(Table73[Country],Tabela1[[#This Row],[Country]],Table73[Street Classification],"&gt;0")</f>
        <v>0</v>
      </c>
      <c r="IT206" s="6">
        <f>COUNTIFS(Table74[Country],Tabela1[[#This Row],[Country]],Table74[Street Classification],"&gt;0")</f>
        <v>0</v>
      </c>
      <c r="IU206" s="6">
        <f>COUNTIFS(Table75[Country],Tabela1[[#This Row],[Country]],Table75[Boulder and Lead Classification],"&gt;0")</f>
        <v>0</v>
      </c>
      <c r="IV206" s="6">
        <f>COUNTIFS(Table76[Country],Tabela1[[#This Row],[Country]],Table76[Boulder and Lead Classification],"&gt;0")</f>
        <v>0</v>
      </c>
      <c r="IW206" s="6">
        <f>COUNTIFS(Table75[Country],Tabela1[[#This Row],[Country]],Table75[Speed Classification],"&gt;0")</f>
        <v>0</v>
      </c>
      <c r="IX206" s="6">
        <f>COUNTIFS(Table76[Country],Tabela1[[#This Row],[Country]],Table76[Speed Classification],"&gt;0")</f>
        <v>0</v>
      </c>
      <c r="IY206" s="6">
        <f>COUNTIFS(Table64[Country],Tabela1[[#This Row],[Country]],Table64[Shortboard Classification],"&gt;0")</f>
        <v>0</v>
      </c>
      <c r="IZ206" s="6">
        <f>COUNTIFS(Table77[Country],Tabela1[[#This Row],[Country]],Table77[Shortboard Classification],"&gt;0")</f>
        <v>0</v>
      </c>
      <c r="JA206" s="6">
        <f>COUNTIFS(Table20[Country],Tabela1[[#This Row],[Country]],Table20[50m Freestyle Classification],"&gt;0")</f>
        <v>0</v>
      </c>
      <c r="JB206" s="6">
        <f>COUNTIFS(Table21[Country],Tabela1[[#This Row],[Country]],Table21[50m Freestyle Classification],"&gt;0")</f>
        <v>0</v>
      </c>
      <c r="JC206" s="6">
        <f>COUNTIFS(Table20[Country],Tabela1[[#This Row],[Country]],Table20[100m Freestyle Classification],"&gt;0")</f>
        <v>0</v>
      </c>
      <c r="JD206" s="6">
        <f>COUNTIFS(Table21[Country],Tabela1[[#This Row],[Country]],Table21[100m Freestyle Classification],"&gt;0")</f>
        <v>0</v>
      </c>
      <c r="JE206" s="6">
        <f>COUNTIFS(Table20[Country],Tabela1[[#This Row],[Country]],Table20[200m Freestyle Classification],"&gt;0")</f>
        <v>0</v>
      </c>
      <c r="JF206" s="6">
        <f>COUNTIFS(Table21[Country],Tabela1[[#This Row],[Country]],Table21[200m Freestyle Classification],"&gt;0")</f>
        <v>0</v>
      </c>
      <c r="JG206" s="6">
        <f>COUNTIFS(Table20[Country],Tabela1[[#This Row],[Country]],Table20[400m Freestyle Classification],"&gt;0")</f>
        <v>0</v>
      </c>
      <c r="JH206" s="6">
        <f>COUNTIFS(Table21[Country],Tabela1[[#This Row],[Country]],Table21[400m Freestyle Classification],"&gt;0")</f>
        <v>0</v>
      </c>
      <c r="JI206" s="6">
        <f>COUNTIFS(Table20[Country],Tabela1[[#This Row],[Country]],Table20[800m Freestyle Classification],"&gt;0")</f>
        <v>0</v>
      </c>
      <c r="JJ206" s="6">
        <f>COUNTIFS(Table21[Country],Tabela1[[#This Row],[Country]],Table21[800m Freestyle Classification],"&gt;0")</f>
        <v>0</v>
      </c>
      <c r="JK206" s="6">
        <f>COUNTIFS(Table20[Country],Tabela1[[#This Row],[Country]],Table20[1500m Freestyle Classification],"&gt;0")</f>
        <v>0</v>
      </c>
      <c r="JL206" s="6">
        <f>COUNTIFS(Table21[Country],Tabela1[[#This Row],[Country]],Table21[1500m Freestyle Classification],"&gt;0")</f>
        <v>0</v>
      </c>
      <c r="JM206" s="6">
        <f>COUNTIFS(Table20[Country],Tabela1[[#This Row],[Country]],Table20[100m Backstroke Classification],"&gt;0")</f>
        <v>0</v>
      </c>
      <c r="JN206" s="6">
        <f>COUNTIFS(Table21[Country],Tabela1[[#This Row],[Country]],Table21[100m Backstroke Classification],"&gt;0")</f>
        <v>0</v>
      </c>
      <c r="JO206" s="6">
        <f>COUNTIFS(Table20[Country],Tabela1[[#This Row],[Country]],Table20[200m Backstroke Classification],"&gt;0")</f>
        <v>0</v>
      </c>
      <c r="JP206" s="6">
        <f>COUNTIFS(Table21[Country],Tabela1[[#This Row],[Country]],Table21[200m Backstroke Classification],"&gt;0")</f>
        <v>0</v>
      </c>
      <c r="JQ206" s="6">
        <f>COUNTIFS(Table20[Country],Tabela1[[#This Row],[Country]],Table20[100m Breaststroke Classification],"&gt;0")</f>
        <v>0</v>
      </c>
      <c r="JR206" s="6">
        <f>COUNTIFS(Table21[Country],Tabela1[[#This Row],[Country]],Table21[100m Breaststroke Classification],"&gt;0")</f>
        <v>0</v>
      </c>
      <c r="JS206" s="6">
        <f>COUNTIFS(Table20[Country],Tabela1[[#This Row],[Country]],Table20[200m Breaststroke Classification],"&gt;0")</f>
        <v>0</v>
      </c>
      <c r="JT206" s="6">
        <f>COUNTIFS(Table21[Country],Tabela1[[#This Row],[Country]],Table21[200m Breaststroke Classification],"&gt;0")</f>
        <v>0</v>
      </c>
      <c r="JU206" s="6">
        <f>COUNTIFS(Table20[Country],Tabela1[[#This Row],[Country]],Table20[100m Butterfly Classification],"&gt;0")</f>
        <v>0</v>
      </c>
      <c r="JV206" s="6">
        <f>COUNTIFS(Table21[Country],Tabela1[[#This Row],[Country]],Table21[100m Butterfly Classification],"&gt;0")</f>
        <v>0</v>
      </c>
      <c r="JW206" s="6">
        <f>COUNTIFS(Table20[Country],Tabela1[[#This Row],[Country]],Table20[200m Butterfly Classification],"&gt;0")</f>
        <v>0</v>
      </c>
      <c r="JX206" s="6">
        <f>COUNTIFS(Table21[Country],Tabela1[[#This Row],[Country]],Table21[200m Butterfly Classification],"&gt;0")</f>
        <v>0</v>
      </c>
      <c r="JY206" s="6">
        <f>COUNTIFS(Table20[Country],Tabela1[[#This Row],[Country]],Table20[200m Medley Classification],"&gt;0")</f>
        <v>0</v>
      </c>
      <c r="JZ206" s="6">
        <f>COUNTIFS(Table21[Country],Tabela1[[#This Row],[Country]],Table21[200m Medley Classification],"&gt;0")</f>
        <v>0</v>
      </c>
      <c r="KA206" s="6">
        <f>COUNTIFS(Table20[Country],Tabela1[[#This Row],[Country]],Table20[400m Medley Classification],"&gt;0")</f>
        <v>0</v>
      </c>
      <c r="KB206" s="6">
        <f>COUNTIFS(Table21[Country],Tabela1[[#This Row],[Country]],Table21[400m Medley Classification],"&gt;0")</f>
        <v>0</v>
      </c>
      <c r="KC206" s="6">
        <f>COUNTIFS(Table78[Country],Tabela1[[#This Row],[Country]],Table78[Men''s 4x100m Freestyle Relay Classification],"&gt;0")</f>
        <v>0</v>
      </c>
      <c r="KD206" s="6">
        <f>COUNTIFS(Table78[Country],Tabela1[[#This Row],[Country]],Table78[Women''s 4x100m Freestyle Relay Classification],"&gt;0")</f>
        <v>0</v>
      </c>
      <c r="KE206" s="6">
        <f>COUNTIFS(Table78[Country],Tabela1[[#This Row],[Country]],Table78[Men''s 4x200m Freestyle Relay Classification],"&gt;0")</f>
        <v>0</v>
      </c>
      <c r="KF206" s="6">
        <f>COUNTIFS(Table78[Country],Tabela1[[#This Row],[Country]],Table78[Women''s 4x200m Freestyle Relay Classification],"&gt;0")</f>
        <v>0</v>
      </c>
      <c r="KG206" s="6">
        <f>COUNTIFS(Table78[Country],Tabela1[[#This Row],[Country]],Table78[Men''s 4x100m Medley Relay Classification],"&gt;0")</f>
        <v>0</v>
      </c>
      <c r="KH206" s="6">
        <f>COUNTIFS(Table78[Country],Tabela1[[#This Row],[Country]],Table78[Women''s 4x100m Medley Relay Classification],"&gt;0")</f>
        <v>0</v>
      </c>
      <c r="KI206" s="6">
        <f>COUNTIFS(Table78[Country],Tabela1[[#This Row],[Country]],Table78[Mixed 4x100m Medley Relay Classification],"&gt;0")</f>
        <v>0</v>
      </c>
      <c r="KJ206" s="6">
        <f>COUNTIFS(Table20[Country],Tabela1[[#This Row],[Country]],Table20[10km Open Water Classification],"&gt;0")</f>
        <v>0</v>
      </c>
      <c r="KK206" s="6">
        <f>COUNTIFS(Table21[Country],Tabela1[[#This Row],[Country]],Table21[10km Open Water Classification],"&gt;0")</f>
        <v>0</v>
      </c>
      <c r="KL206" s="6">
        <f>COUNTIFS(Table22[Country],Tabela1[[#This Row],[Country]],Table22[Classification],"&gt;0")</f>
        <v>0</v>
      </c>
      <c r="KM206" s="6">
        <f>COUNTIFS(Table30[Country],Tabela1[[#This Row],[Country]],Table30[Classification],"&gt;0")</f>
        <v>0</v>
      </c>
      <c r="KN206" s="6">
        <f>COUNTIFS(Table55[Country],Tabela1[[#This Row],[Country]],Table55[Men''s Classification],"&gt;0")</f>
        <v>0</v>
      </c>
      <c r="KO206" s="6">
        <f>COUNTIFS(Table55[Country],Tabela1[[#This Row],[Country]],Table55[Women''s Classification],"&gt;0")</f>
        <v>0</v>
      </c>
      <c r="KP206" s="6">
        <f>COUNTIFS(Table56[Country],Tabela1[[#This Row],[Country]],Table56[Mixed Classification],"&gt;0")</f>
        <v>0</v>
      </c>
      <c r="KQ206" s="6">
        <f>COUNTIFS(Table29[Country],Tabela1[[#This Row],[Country]],Table29[58kg Classification],"&gt;0")</f>
        <v>0</v>
      </c>
      <c r="KR206" s="6">
        <f>COUNTIFS(Table29[Country],Tabela1[[#This Row],[Country]],Table29[68kg Classification],"&gt;0")</f>
        <v>0</v>
      </c>
      <c r="KS206" s="6">
        <f>COUNTIFS(Table29[Country],Tabela1[[#This Row],[Country]],Table29[80kg Classification],"&gt;0")</f>
        <v>0</v>
      </c>
      <c r="KT206" s="6">
        <f>COUNTIFS(Table29[Country],Tabela1[[#This Row],[Country]],Table29[Plus 80kg Classification],"&gt;0")</f>
        <v>0</v>
      </c>
      <c r="KU206" s="6">
        <f>COUNTIFS(Table34[Country],Tabela1[[#This Row],[Country]],Table34[49kg Classification],"&gt;0")</f>
        <v>0</v>
      </c>
      <c r="KV206" s="6">
        <f>COUNTIFS(Table34[Country],Tabela1[[#This Row],[Country]],Table34[57kg Classification],"&gt;0")</f>
        <v>0</v>
      </c>
      <c r="KW206" s="6">
        <f>COUNTIFS(Table34[Country],Tabela1[[#This Row],[Country]],Table34[67kg Classification],"&gt;0")</f>
        <v>0</v>
      </c>
      <c r="KX206" s="6">
        <f>COUNTIFS(Table34[Country],Tabela1[[#This Row],[Country]],Table34[Plus 67kg Classification],"&gt;0")</f>
        <v>0</v>
      </c>
      <c r="KY206" s="6">
        <f>COUNTIFS(Table57[Country],Tabela1[[#This Row],[Country]],Table57[Classification],"&gt;0")</f>
        <v>0</v>
      </c>
      <c r="KZ206" s="6">
        <f>COUNTIFS(Table58[Country],Tabela1[[#This Row],[Country]],Table58[Classification],"&gt;0")</f>
        <v>0</v>
      </c>
      <c r="LA206" s="6">
        <f>COUNTIFS(Table79[Country],Tabela1[[#This Row],[Country]],Table79[Men''s Classification],"&gt;0")</f>
        <v>0</v>
      </c>
      <c r="LB206" s="6">
        <f>COUNTIFS(Table79[Country],Tabela1[[#This Row],[Country]],Table79[Women''s Classification],"&gt;0")</f>
        <v>0</v>
      </c>
      <c r="LC206" s="6">
        <f>COUNTIFS(Table79[Country],Tabela1[[#This Row],[Country]],Table79[Mixed Classification],"&gt;0")</f>
        <v>0</v>
      </c>
      <c r="LD206" s="6">
        <f>COUNTIFS(Table65[Country],Tabela1[[#This Row],[Country]],Table65[Classification],"&gt;0")</f>
        <v>0</v>
      </c>
      <c r="LE206" s="6">
        <f>COUNTIFS(Table59[Country],Tabela1[[#This Row],[Country]],Table59[Classification],"&gt;0")</f>
        <v>0</v>
      </c>
      <c r="LF206" s="6">
        <f>COUNTIFS(Table87[Country],Tabela1[[#This Row],[Country]],Table87[Mixed Relay Classification],"&gt;0")</f>
        <v>0</v>
      </c>
      <c r="LG206" s="6">
        <f>COUNTIFS(Table91949698100[Country],Tabela1[[#This Row],[Country]],Table91949698100[Men''s Classification],"&gt;0")</f>
        <v>0</v>
      </c>
      <c r="LH206" s="6">
        <f>COUNTIFS(Table91949698100[Country],Tabela1[[#This Row],[Country]],Table91949698100[Women''s Classification],"&gt;0")</f>
        <v>0</v>
      </c>
      <c r="LI206" s="6">
        <f>COUNTIFS(Table91949698100102[Country],Tabela1[[#This Row],[Country]],Table91949698100102[Men''s Classification],"&gt;0")</f>
        <v>0</v>
      </c>
      <c r="LJ206" s="6">
        <f>COUNTIFS(Table91949698100102[Country],Tabela1[[#This Row],[Country]],Table91949698100102[Women''s Classification],"&gt;0")</f>
        <v>0</v>
      </c>
      <c r="LK206" s="6">
        <f>COUNTIFS(Table23[Country],Tabela1[[#This Row],[Country]],Table23[61kg Classification],"&gt;0")</f>
        <v>0</v>
      </c>
      <c r="LL206" s="6">
        <f>COUNTIFS(Table23[Country],Tabela1[[#This Row],[Country]],Table23[73kg Classification],"&gt;0")</f>
        <v>0</v>
      </c>
      <c r="LM206" s="6">
        <f>COUNTIFS(Table23[Country],Tabela1[[#This Row],[Country]],Table23[89kg Classification],"&gt;0")</f>
        <v>0</v>
      </c>
      <c r="LN206" s="6">
        <f>COUNTIFS(Table23[Country],Tabela1[[#This Row],[Country]],Table23[102kg Classification],"&gt;0")</f>
        <v>0</v>
      </c>
      <c r="LO206" s="6">
        <f>COUNTIFS(Table23[Country],Tabela1[[#This Row],[Country]],Table23[Plus 102kg Classification],"&gt;0")</f>
        <v>0</v>
      </c>
      <c r="LP206" s="6">
        <f>COUNTIFS(Table28[Country],Tabela1[[#This Row],[Country]],Table28[49kg Classification],"&gt;0")</f>
        <v>0</v>
      </c>
      <c r="LQ206" s="6">
        <f>COUNTIFS(Table28[Country],Tabela1[[#This Row],[Country]],Table28[59kg Classification],"&gt;0")</f>
        <v>0</v>
      </c>
      <c r="LR206" s="6">
        <f>COUNTIFS(Table28[Country],Tabela1[[#This Row],[Country]],Table28[71kg Classification],"&gt;0")</f>
        <v>0</v>
      </c>
      <c r="LS206" s="6">
        <f>COUNTIFS(Table28[Country],Tabela1[[#This Row],[Country]],Table28[81kg Classification],"&gt;0")</f>
        <v>0</v>
      </c>
      <c r="LT206" s="6">
        <f>COUNTIFS(Table28[Country],Tabela1[[#This Row],[Country]],Table28[Plus 81kg Classification],"&gt;0")</f>
        <v>0</v>
      </c>
      <c r="LU206" s="6">
        <f>COUNTIFS(Table24[Country],Tabela1[[#This Row],[Country]],Table24[Freestyle 57kg Classification],"&gt;0")</f>
        <v>0</v>
      </c>
      <c r="LV206" s="6">
        <f>COUNTIFS(Table24[Country],Tabela1[[#This Row],[Country]],Table24[Freestyle 65kg Classification],"&gt;0")</f>
        <v>0</v>
      </c>
      <c r="LW206" s="6">
        <f>COUNTIFS(Table24[Country],Tabela1[[#This Row],[Country]],Table24[Freestyle 74kg Classification],"&gt;0")</f>
        <v>0</v>
      </c>
      <c r="LX206" s="6">
        <f>COUNTIFS(Table24[Country],Tabela1[[#This Row],[Country]],Table24[Freestyle 86kg Classification],"&gt;0")</f>
        <v>0</v>
      </c>
      <c r="LY206" s="6">
        <f>COUNTIFS(Table24[Country],Tabela1[[#This Row],[Country]],Table24[Freestyle 97kg Classification],"&gt;0")</f>
        <v>0</v>
      </c>
      <c r="LZ206" s="6">
        <f>COUNTIFS(Table24[Country],Tabela1[[#This Row],[Country]],Table24[Freestyle 125kg Classification],"&gt;0")</f>
        <v>0</v>
      </c>
      <c r="MA206" s="6">
        <f>COUNTIFS(Table24[Country],Tabela1[[#This Row],[Country]],Table24[Greco-Roman 60kg Classification],"&gt;0")</f>
        <v>0</v>
      </c>
      <c r="MB206" s="6">
        <f>COUNTIFS(Table24[Country],Tabela1[[#This Row],[Country]],Table24[Greco-Roman 67kg Classification],"&gt;0")</f>
        <v>0</v>
      </c>
      <c r="MC206" s="6">
        <f>COUNTIFS(Table24[Country],Tabela1[[#This Row],[Country]],Table24[Greco-Roman 77kg Classification],"&gt;0")</f>
        <v>0</v>
      </c>
      <c r="MD206" s="6">
        <f>COUNTIFS(Table24[Country],Tabela1[[#This Row],[Country]],Table24[Greco-Roman 87kg Classification],"&gt;0")</f>
        <v>0</v>
      </c>
      <c r="ME206" s="6">
        <f>COUNTIFS(Table24[Country],Tabela1[[#This Row],[Country]],Table24[Greco-Roman 97kg Classification],"&gt;0")</f>
        <v>0</v>
      </c>
      <c r="MF206" s="6">
        <f>COUNTIFS(Table24[Country],Tabela1[[#This Row],[Country]],Table24[Greco-Roman 130kg Classification],"&gt;0")</f>
        <v>0</v>
      </c>
      <c r="MG206" s="6">
        <f>COUNTIFS(Table31[Country],Tabela1[[#This Row],[Country]],Table31[50kg Classification],"&gt;0")</f>
        <v>0</v>
      </c>
      <c r="MH206" s="6">
        <f>COUNTIFS(Table31[Country],Tabela1[[#This Row],[Country]],Table31[53kg Classification],"&gt;0")</f>
        <v>0</v>
      </c>
      <c r="MI206" s="6">
        <f>COUNTIFS(Table31[Country],Tabela1[[#This Row],[Country]],Table31[57kg Classification],"&gt;0")</f>
        <v>0</v>
      </c>
      <c r="MJ206" s="6">
        <f>COUNTIFS(Table31[Country],Tabela1[[#This Row],[Country]],Table31[62kg Classification],"&gt;0")</f>
        <v>0</v>
      </c>
      <c r="MK206" s="6">
        <f>COUNTIFS(Table31[Country],Tabela1[[#This Row],[Country]],Table31[68kg Classification],"&gt;0")</f>
        <v>0</v>
      </c>
      <c r="ML206" s="6">
        <f>COUNTIFS(Table31[Country],Tabela1[[#This Row],[Country]],Table31[76kg Classification],"&gt;0")</f>
        <v>0</v>
      </c>
      <c r="MM206" s="6">
        <f>COUNTIFS(Table102[Country],Tabela1[[#This Row],[Country]],Table102[Downhill Classification],"&gt;0")</f>
        <v>0</v>
      </c>
      <c r="MN206" s="6">
        <f>COUNTIFS(Table102105[Country],Tabela1[[#This Row],[Country]],Table102105[Downhill Classification],"&gt;0")</f>
        <v>0</v>
      </c>
      <c r="MO206" s="6">
        <f>COUNTIFS(Table102[Country],Tabela1[[#This Row],[Country]],Table102[Giant Slalom Classification],"&gt;0")</f>
        <v>0</v>
      </c>
      <c r="MP206" s="6">
        <f>COUNTIFS(Table102105[Country],Tabela1[[#This Row],[Country]],Table102105[Giant Slalom Classification],"&gt;0")</f>
        <v>0</v>
      </c>
      <c r="MQ206" s="6">
        <f>COUNTIFS(Table102[Country],Tabela1[[#This Row],[Country]],Table102[Slalom Classification],"&gt;0")</f>
        <v>0</v>
      </c>
      <c r="MR206" s="6">
        <f>COUNTIFS(Table102105[Country],Tabela1[[#This Row],[Country]],Table102105[Slalom Classification],"&gt;0")</f>
        <v>0</v>
      </c>
      <c r="MS206" s="6">
        <f>COUNTIFS(Table102[Country],Tabela1[[#This Row],[Country]],Table102[Super-G Classification],"&gt;0")</f>
        <v>0</v>
      </c>
      <c r="MT206" s="6">
        <f>COUNTIFS(Table102105[Country],Tabela1[[#This Row],[Country]],Table102105[Super-G Classification],"&gt;0")</f>
        <v>0</v>
      </c>
      <c r="MU206" s="6">
        <f>COUNTIFS(Table105[Country],Tabela1[[#This Row],[Country]],Table105[Men''s Combined Classification],"&gt;0")</f>
        <v>0</v>
      </c>
      <c r="MV206" s="6">
        <f>COUNTIFS(Table105[Country],Tabela1[[#This Row],[Country]],Table105[Women''s Combined Classification],"&gt;0")</f>
        <v>0</v>
      </c>
      <c r="MW206" s="6">
        <f>COUNTIFS(Table106[Country],Tabela1[[#This Row],[Country]],Table106[Individual Classification],"&gt;0")</f>
        <v>0</v>
      </c>
      <c r="MX206" s="6">
        <f>COUNTIFS(Table106109[Country],Tabela1[[#This Row],[Country]],Table106109[Individual Classification],"&gt;0")</f>
        <v>0</v>
      </c>
      <c r="MY206" s="6">
        <f>COUNTIFS(Table106[Country],Tabela1[[#This Row],[Country]],Table106[Mass Start Classification],"&gt;0")</f>
        <v>0</v>
      </c>
      <c r="MZ206" s="6">
        <f>COUNTIFS(Table106109[Country],Tabela1[[#This Row],[Country]],Table106109[Mass Start Classification],"&gt;0")</f>
        <v>0</v>
      </c>
      <c r="NA206" s="6">
        <f>COUNTIFS(Table106[Country],Tabela1[[#This Row],[Country]],Table106[Pursuit Classification],"&gt;0")</f>
        <v>0</v>
      </c>
      <c r="NB206" s="6">
        <f>COUNTIFS(Table106109[Country],Tabela1[[#This Row],[Country]],Table106109[Pursuit Classification],"&gt;0")</f>
        <v>0</v>
      </c>
      <c r="NC206" s="6">
        <f>COUNTIFS(Table106[Country],Tabela1[[#This Row],[Country]],Table106[Sprint Classification],"&gt;0")</f>
        <v>0</v>
      </c>
      <c r="ND206" s="6">
        <f>COUNTIFS(Table106109[Country],Tabela1[[#This Row],[Country]],Table106109[Sprint Classification],"&gt;0")</f>
        <v>0</v>
      </c>
      <c r="NE206" s="6">
        <f>COUNTIFS(Table109[Country],Tabela1[[#This Row],[Country]],Table109[Men''s Relay Classification],"&gt;0")</f>
        <v>0</v>
      </c>
      <c r="NF206" s="6">
        <f>COUNTIFS(Table109[Country],Tabela1[[#This Row],[Country]],Table109[Women''s Relay Classification],"&gt;0")</f>
        <v>0</v>
      </c>
      <c r="NG206" s="6">
        <f>COUNTIFS(Table109[Country],Tabela1[[#This Row],[Country]],Table109[Mixed Relay Classification],"&gt;0")</f>
        <v>0</v>
      </c>
      <c r="NH206" s="6">
        <f>COUNTIFS(Table110[Country],Tabela1[[#This Row],[Country]],Table110[Monobob Classification],"&gt;0")</f>
        <v>0</v>
      </c>
      <c r="NI206" s="6">
        <f>COUNTIFS(Table111[Country],Tabela1[[#This Row],[Country]],Table111[Men''s Classification],"&gt;0")</f>
        <v>0</v>
      </c>
      <c r="NJ206" s="6">
        <f>COUNTIFS(Table111[Country],Tabela1[[#This Row],[Country]],Table111[Women''s Classification],"&gt;0")</f>
        <v>0</v>
      </c>
      <c r="NK206" s="6">
        <f>COUNTIFS(Table112[Country],Tabela1[[#This Row],[Country]],Table112[Men''s Four Classification],"&gt;0")</f>
        <v>0</v>
      </c>
      <c r="NL206" s="6">
        <f>COUNTIFS(Table113[Country],Tabela1[[#This Row],[Country]],Table113[Classical Classification],"&gt;0")</f>
        <v>0</v>
      </c>
      <c r="NM206" s="6">
        <f>COUNTIFS(Table113116[Country],Tabela1[[#This Row],[Country]],Table113116[Classical Classification],"&gt;0")</f>
        <v>0</v>
      </c>
      <c r="NN206" s="6">
        <f>COUNTIFS(Table113[Country],Tabela1[[#This Row],[Country]],Table113[Freestyle Classification],"&gt;0")</f>
        <v>0</v>
      </c>
      <c r="NO206" s="6">
        <f>COUNTIFS(Table113116[Country],Tabela1[[#This Row],[Country]],Table113116[Freestyle Classification],"&gt;0")</f>
        <v>0</v>
      </c>
      <c r="NP206" s="6">
        <f>COUNTIFS(Table117[Country],Tabela1[[#This Row],[Country]],Table117[Men''s Relay Classification],"&gt;0")</f>
        <v>0</v>
      </c>
      <c r="NQ206" s="6">
        <f>COUNTIFS(Table117[Country],Tabela1[[#This Row],[Country]],Table117[Women''s Relay Classification],"&gt;0")</f>
        <v>0</v>
      </c>
      <c r="NR206" s="6">
        <f>COUNTIFS(Table113[Country],Tabela1[[#This Row],[Country]],Table113[Skiathlon Classification],"&gt;0")</f>
        <v>0</v>
      </c>
      <c r="NS206" s="6">
        <f>COUNTIFS(Table113116[Country],Tabela1[[#This Row],[Country]],Table113116[Skiathlon Classification],"&gt;0")</f>
        <v>0</v>
      </c>
      <c r="NT206" s="6">
        <f>COUNTIFS(Table113[Country],Tabela1[[#This Row],[Country]],Table113[Sprint Classification],"&gt;0")</f>
        <v>0</v>
      </c>
      <c r="NU206" s="6">
        <f>COUNTIFS(Table113116[Country],Tabela1[[#This Row],[Country]],Table113116[Sprint Classification],"&gt;0")</f>
        <v>0</v>
      </c>
      <c r="NV206" s="6">
        <f>COUNTIFS(Table116[Country],Tabela1[[#This Row],[Country]],Table116[Men''s Team Sprint Classification],"&gt;0")</f>
        <v>0</v>
      </c>
      <c r="NW206" s="6">
        <f>COUNTIFS(Table116[Country],Tabela1[[#This Row],[Country]],Table116[Women''s Team Sprint Classification],"&gt;0")</f>
        <v>0</v>
      </c>
      <c r="NX206" s="6">
        <f>COUNTIFS(Table119[Country],Tabela1[[#This Row],[Country]],Table119[Men''s Classification],"&gt;0")</f>
        <v>0</v>
      </c>
      <c r="NY206" s="6">
        <f>COUNTIFS(Table119[Country],Tabela1[[#This Row],[Country]],Table119[Women''s Classification],"&gt;0")</f>
        <v>0</v>
      </c>
      <c r="NZ206" s="6">
        <f>COUNTIFS(Table118[Country],Tabela1[[#This Row],[Country]],Table118[Mixed Classification],"&gt;0")</f>
        <v>0</v>
      </c>
      <c r="OA206" s="6">
        <f>COUNTIFS(Table120[Country],Tabela1[[#This Row],[Country]],Table120[Classification],"&gt;0")</f>
        <v>0</v>
      </c>
      <c r="OB206" s="6">
        <f>COUNTIFS(Table120123[Country],Tabela1[[#This Row],[Country]],Table120123[Classification],"&gt;0")</f>
        <v>0</v>
      </c>
      <c r="OC206" s="6">
        <f>COUNTIFS(Table123[Country],Tabela1[[#This Row],[Country]],Table123[Ice Dance Classification],"&gt;0")</f>
        <v>0</v>
      </c>
      <c r="OD206" s="6">
        <f>COUNTIFS(Table123[Country],Tabela1[[#This Row],[Country]],Table123[Pair Skating Classification],"&gt;0")</f>
        <v>0</v>
      </c>
      <c r="OE206" s="6">
        <f>COUNTIFS(Table124[Country],Tabela1[[#This Row],[Country]],Table124[Mixed Classification],"&gt;0")</f>
        <v>0</v>
      </c>
      <c r="OF206" s="6">
        <f>COUNTIFS(Table125[Country],Tabela1[[#This Row],[Country]],Table125[Aerials Classification],"&gt;0")</f>
        <v>0</v>
      </c>
      <c r="OG206" s="6">
        <f>COUNTIFS(Table125128[Country],Tabela1[[#This Row],[Country]],Table125128[Aerials Classification],"&gt;0")</f>
        <v>0</v>
      </c>
      <c r="OH206" s="6">
        <f>COUNTIFS(Table128[Country],Tabela1[[#This Row],[Country]],Table128[Mixed Aerials Classification],"&gt;0")</f>
        <v>0</v>
      </c>
      <c r="OI206" s="6">
        <f>COUNTIFS(Table125[Country],Tabela1[[#This Row],[Country]],Table125[Big Air Classification],"&gt;0")</f>
        <v>0</v>
      </c>
      <c r="OJ206" s="6">
        <f>COUNTIFS(Table125128[Country],Tabela1[[#This Row],[Country]],Table125128[Big Air Classification],"&gt;0")</f>
        <v>0</v>
      </c>
      <c r="OK206" s="6">
        <f>COUNTIFS(Table125[Country],Tabela1[[#This Row],[Country]],Table125[Dual Moguls Classification],"&gt;0")</f>
        <v>0</v>
      </c>
      <c r="OL206" s="6">
        <f>COUNTIFS(Table125128[Country],Tabela1[[#This Row],[Country]],Table125128[Dual Moguls Classification],"&gt;0")</f>
        <v>0</v>
      </c>
      <c r="OM206" s="6">
        <f>COUNTIFS(Table125[Country],Tabela1[[#This Row],[Country]],Table125[Halfpipe Classification],"&gt;0")</f>
        <v>0</v>
      </c>
      <c r="ON206" s="6">
        <f>COUNTIFS(Table125128[Country],Tabela1[[#This Row],[Country]],Table125128[Halfpipe Classification],"&gt;0")</f>
        <v>0</v>
      </c>
      <c r="OO206" s="6">
        <f>COUNTIFS(Table125[Country],Tabela1[[#This Row],[Country]],Table125[Moguls Classification],"&gt;0")</f>
        <v>0</v>
      </c>
      <c r="OP206" s="6">
        <f>COUNTIFS(Table125128[Country],Tabela1[[#This Row],[Country]],Table125128[Moguls Classification],"&gt;0")</f>
        <v>0</v>
      </c>
      <c r="OQ206" s="6">
        <f>COUNTIFS(Table125[Country],Tabela1[[#This Row],[Country]],Table125[Ski Cross Classification],"&gt;0")</f>
        <v>0</v>
      </c>
      <c r="OR206" s="6">
        <f>COUNTIFS(Table125128[Country],Tabela1[[#This Row],[Country]],Table125128[Ski Cross Classification],"&gt;0")</f>
        <v>0</v>
      </c>
      <c r="OS206" s="6">
        <f>COUNTIFS(Table125[Country],Tabela1[[#This Row],[Country]],Table125[Slopestyle Classification],"&gt;0")</f>
        <v>0</v>
      </c>
      <c r="OT206" s="6">
        <f>COUNTIFS(Table125128[Country],Tabela1[[#This Row],[Country]],Table125128[Slopestyle Classification],"&gt;0")</f>
        <v>0</v>
      </c>
      <c r="OU206" s="6">
        <f>COUNTIFS(Table119131[Country],Tabela1[[#This Row],[Country]],Table119131[Men''s Classification],"&gt;0")</f>
        <v>0</v>
      </c>
      <c r="OV206" s="6">
        <f>COUNTIFS(Table119131[Country],Tabela1[[#This Row],[Country]],Table119131[Women''s Classification],"&gt;0")</f>
        <v>0</v>
      </c>
      <c r="OW206" s="6">
        <f>COUNTIFS(Table131[Country],Tabela1[[#This Row],[Country]],Table131[Classification],"&gt;0")</f>
        <v>0</v>
      </c>
      <c r="OX206" s="6">
        <f>COUNTIFS(Table131134[Country],Tabela1[[#This Row],[Country]],Table131134[Classification],"&gt;0")</f>
        <v>0</v>
      </c>
      <c r="OY206" s="6">
        <f>COUNTIFS(Table134[Country],Tabela1[[#This Row],[Country]],Table134[Men''s Classification],"&gt;0")</f>
        <v>0</v>
      </c>
      <c r="OZ206" s="6">
        <f>COUNTIFS(Table134[Country],Tabela1[[#This Row],[Country]],Table134[Women''s Classification],"&gt;0")</f>
        <v>0</v>
      </c>
      <c r="PA206" s="6">
        <f>COUNTIFS(Table135[Country],Tabela1[[#This Row],[Country]],Table135[Mixed Relay Classification],"&gt;0")</f>
        <v>0</v>
      </c>
      <c r="PB206" s="6">
        <f>COUNTIFS(Table136[Country],Tabela1[[#This Row],[Country]],Table136[Individual Classification],"&gt;0")</f>
        <v>0</v>
      </c>
      <c r="PC206" s="6">
        <f>COUNTIFS(Table136[Country],Tabela1[[#This Row],[Country]],Table136[Sprint Classification],"&gt;0")</f>
        <v>0</v>
      </c>
      <c r="PD206" s="6">
        <f>COUNTIFS(Table137[Country],Tabela1[[#This Row],[Country]],Table137[Men''s Team Sprint Large Hill Classification],"&gt;0")</f>
        <v>0</v>
      </c>
      <c r="PE206" s="6">
        <f>COUNTIFS(Table138[Country],Tabela1[[#This Row],[Country]],Table138[500m Classification],"&gt;0")</f>
        <v>0</v>
      </c>
      <c r="PF206" s="6">
        <f>COUNTIFS(Table138141[Country],Tabela1[[#This Row],[Country]],Table138141[500m Classification],"&gt;0")</f>
        <v>0</v>
      </c>
      <c r="PG206" s="6">
        <f>COUNTIFS(Table138[Country],Tabela1[[#This Row],[Country]],Table138[1000m Classification],"&gt;0")</f>
        <v>0</v>
      </c>
      <c r="PH206" s="6">
        <f>COUNTIFS(Table138141[Country],Tabela1[[#This Row],[Country]],Table138141[1000m Classification],"&gt;0")</f>
        <v>0</v>
      </c>
      <c r="PI206" s="6">
        <f>COUNTIFS(Table138[Country],Tabela1[[#This Row],[Country]],Table138[1500m Classification],"&gt;0")</f>
        <v>0</v>
      </c>
      <c r="PJ206" s="6">
        <f>COUNTIFS(Table138141[Country],Tabela1[[#This Row],[Country]],Table138141[1500m Classification],"&gt;0")</f>
        <v>0</v>
      </c>
      <c r="PK206" s="6">
        <f>COUNTIFS(Table141[Country],Tabela1[[#This Row],[Country]],Table141[Men''s 5000m Relay Classification],"&gt;0")</f>
        <v>0</v>
      </c>
      <c r="PL206" s="6">
        <f>COUNTIFS(Table141[Country],Tabela1[[#This Row],[Country]],Table141[Women''s 3000m Relay Classification],"&gt;0")</f>
        <v>0</v>
      </c>
      <c r="PM206" s="6">
        <f>COUNTIFS(Table141[Country],Tabela1[[#This Row],[Country]],Table141[Mixed 2000m Relay Classification],"&gt;0")</f>
        <v>0</v>
      </c>
      <c r="PN206" s="6">
        <f>COUNTIFS(Table142[Country],Tabela1[[#This Row],[Country]],Table142[Classification],"&gt;0")</f>
        <v>0</v>
      </c>
      <c r="PO206" s="6">
        <f>COUNTIFS(Table142145[Country],Tabela1[[#This Row],[Country]],Table142145[Classification],"&gt;0")</f>
        <v>0</v>
      </c>
      <c r="PP206" s="6">
        <f>COUNTIFS(Tabela15[Country],Tabela1[[#This Row],[Country]],Tabela15[Mixed Team Classification],"&gt;0")</f>
        <v>0</v>
      </c>
      <c r="PQ206" s="6">
        <f>COUNTIFS(Table145[Country],Tabela1[[#This Row],[Country]],Table145[Large Hill Classification],"&gt;0")</f>
        <v>0</v>
      </c>
      <c r="PR206" s="6">
        <f>COUNTIFS(Table145[Country],Tabela1[[#This Row],[Country]],Table145[Normal Hill Classification],"&gt;0")</f>
        <v>0</v>
      </c>
      <c r="PS206" s="6">
        <f>COUNTIFS(Table145148[Country],Tabela1[[#This Row],[Country]],Table145148[Large Hill Classification],"&gt;0")</f>
        <v>0</v>
      </c>
      <c r="PT206" s="6">
        <f>COUNTIFS(Table145148[Country],Tabela1[[#This Row],[Country]],Table145148[Normal Hill Classification],"&gt;0")</f>
        <v>0</v>
      </c>
      <c r="PU206" s="6">
        <f>COUNTIFS(Table148[Country],Tabela1[[#This Row],[Country]],Table148[Men''s Super Team Classification],"&gt;0")</f>
        <v>0</v>
      </c>
      <c r="PV206" s="6">
        <f>COUNTIFS(Tabela114[Country],Tabela1[[#This Row],[Country]],Tabela114[Mixed Normal Hill Classification],"&gt;0")</f>
        <v>0</v>
      </c>
      <c r="PW206" s="6">
        <f>COUNTIFS(Tabela50[Country],Tabela1[[#This Row],[Country]],Tabela50[Sprint Classification],"&gt;0")</f>
        <v>0</v>
      </c>
      <c r="PX206" s="6">
        <f>COUNTIFS(Tabela50101[Country],Tabela1[[#This Row],[Country]],Tabela50101[Sprint Classification],"&gt;0")</f>
        <v>0</v>
      </c>
      <c r="PY206" s="6">
        <f>COUNTIFS(Tabela103[Country],Tabela1[[#This Row],[Country]],Tabela103[Mixed Relay Classification],"&gt;0")</f>
        <v>0</v>
      </c>
      <c r="PZ206" s="6">
        <f>COUNTIFS(Table149[Country],Tabela1[[#This Row],[Country]],Table149[Big Air Classification],"&gt;0")</f>
        <v>0</v>
      </c>
      <c r="QA206" s="6">
        <f>COUNTIFS(Table149152[Country],Tabela1[[#This Row],[Country]],Table149152[Big Air Classification],"&gt;0")</f>
        <v>0</v>
      </c>
      <c r="QB206" s="6">
        <f>COUNTIFS(Table149[Country],Tabela1[[#This Row],[Country]],Table149[Halfpipe Classification],"&gt;0")</f>
        <v>0</v>
      </c>
      <c r="QC206" s="6">
        <f>COUNTIFS(Table149152[Country],Tabela1[[#This Row],[Country]],Table149152[Halfpipe Classification],"&gt;0")</f>
        <v>0</v>
      </c>
      <c r="QD206" s="6">
        <f>COUNTIFS(Table149[Country],Tabela1[[#This Row],[Country]],Table149[Parallel Giant Slalom Classification],"&gt;0")</f>
        <v>0</v>
      </c>
      <c r="QE206" s="6">
        <f>COUNTIFS(Table149152[Country],Tabela1[[#This Row],[Country]],Table149152[Parallel Giant Slalom Classification],"&gt;0")</f>
        <v>0</v>
      </c>
      <c r="QF206" s="6">
        <f>COUNTIFS(Table149[Country],Tabela1[[#This Row],[Country]],Table149[Slopestyle Classification],"&gt;0")</f>
        <v>0</v>
      </c>
      <c r="QG206" s="6">
        <f>COUNTIFS(Table149152[Country],Tabela1[[#This Row],[Country]],Table149152[Slopestyle Classification],"&gt;0")</f>
        <v>0</v>
      </c>
      <c r="QH206" s="6">
        <f>COUNTIFS(Table149[Country],Tabela1[[#This Row],[Country]],Table149[Snowboard Cross Classification],"&gt;0")</f>
        <v>0</v>
      </c>
      <c r="QI206" s="6">
        <f>COUNTIFS(Table149152[Country],Tabela1[[#This Row],[Country]],Table149152[Snowboard Cross Classification],"&gt;0")</f>
        <v>0</v>
      </c>
      <c r="QJ206" s="6">
        <f>COUNTIFS(Table153[Country],Tabela1[[#This Row],[Country]],Table153[Mixed Team Snowboard Cross Classification],"&gt;0")</f>
        <v>0</v>
      </c>
      <c r="QK206" s="6">
        <f>COUNTIFS(Table154[Country],Tabela1[[#This Row],[Country]],Table154[500m Classification],"&gt;0")</f>
        <v>0</v>
      </c>
      <c r="QL206" s="6">
        <f>COUNTIFS(Table154157[Country],Tabela1[[#This Row],[Country]],Table154157[500m Classification],"&gt;0")</f>
        <v>0</v>
      </c>
      <c r="QM206" s="6">
        <f>COUNTIFS(Table154[Country],Tabela1[[#This Row],[Country]],Table154[1000m Classification],"&gt;0")</f>
        <v>0</v>
      </c>
      <c r="QN206" s="6">
        <f>COUNTIFS(Table154157[Country],Tabela1[[#This Row],[Country]],Table154157[1000m Classification],"&gt;0")</f>
        <v>0</v>
      </c>
      <c r="QO206" s="6">
        <f>COUNTIFS(Table154[Country],Tabela1[[#This Row],[Country]],Table154[1500m Classification],"&gt;0")</f>
        <v>0</v>
      </c>
      <c r="QP206" s="6">
        <f>COUNTIFS(Table154157[Country],Tabela1[[#This Row],[Country]],Table154157[1500m Classification],"&gt;0")</f>
        <v>0</v>
      </c>
      <c r="QQ206" s="6">
        <f>COUNTIFS(Table154157[Country],Tabela1[[#This Row],[Country]],Table154157[3000m Classification],"&gt;0")</f>
        <v>0</v>
      </c>
      <c r="QR206" s="6">
        <f>COUNTIFS(Table154[Country],Tabela1[[#This Row],[Country]],Table154[5000m Classification],"&gt;0")</f>
        <v>0</v>
      </c>
      <c r="QS206" s="6">
        <f>COUNTIFS(Table154157[Country],Tabela1[[#This Row],[Country]],Table154157[5000m Classification],"&gt;0")</f>
        <v>0</v>
      </c>
      <c r="QT206" s="6">
        <f>COUNTIFS(Table154[Country],Tabela1[[#This Row],[Country]],Table154[10000m Classification],"&gt;0")</f>
        <v>0</v>
      </c>
      <c r="QU206" s="6">
        <f>COUNTIFS(Table154[Country],Tabela1[[#This Row],[Country]],Table154[Mass Start Classification],"&gt;0")</f>
        <v>0</v>
      </c>
      <c r="QV206" s="6">
        <f>COUNTIFS(Table154157[Country],Tabela1[[#This Row],[Country]],Table154157[Mass Start Classification],"&gt;0")</f>
        <v>0</v>
      </c>
      <c r="QW206" s="6">
        <f>COUNTIFS(Table157[Country],Tabela1[[#This Row],[Country]],Table157[Men''s Pursuit Classification],"&gt;0")</f>
        <v>0</v>
      </c>
      <c r="QX206" s="6">
        <f>COUNTIFS(Table157[Country],Tabela1[[#This Row],[Country]],Table157[Women''s Pursuit Classification],"&gt;0")</f>
        <v>0</v>
      </c>
      <c r="QY206" s="3" t="s">
        <v>721</v>
      </c>
    </row>
    <row r="207" spans="1:467" x14ac:dyDescent="0.3">
      <c r="A207" s="6">
        <v>206</v>
      </c>
      <c r="B207" s="6" t="s">
        <v>722</v>
      </c>
      <c r="C207" t="e" vm="206">
        <f>IF(ISBLANK(Tabela1[[#This Row],[Image Link]]), "", _xlfn.IMAGE(Tabela1[[#This Row],[Image Link]],1,1))</f>
        <v>#VALUE!</v>
      </c>
      <c r="D207" s="6">
        <f>SUM(Tabela1[[#This Row],[Archery - Men''s Individual Recurve]:[Speed Skating - Women''s Team Pursuit]])</f>
        <v>0</v>
      </c>
      <c r="E207" s="6">
        <f>COUNTIF(Tabela1[[#This Row],[Archery - Men''s Individual Recurve]:[Speed Skating - Women''s Team Pursuit]],"&gt;0")</f>
        <v>0</v>
      </c>
      <c r="F207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207" s="6">
        <f>SUM(Tabela1[[#This Row],[Archery - Men''s Individual Recurve]:[Wrestling - Women''s Freestyle 76kg]])</f>
        <v>0</v>
      </c>
      <c r="H207" s="6">
        <f>SUM(Tabela1[[#This Row],[Alpine Skiing - Men''s Downhill]:[Speed Skating - Women''s Team Pursuit]])</f>
        <v>0</v>
      </c>
      <c r="I207" s="6">
        <f>Tabela1[[#This Row],[Summer Gold Medals]]+Tabela1[[#This Row],[Winter Gold Medals]]</f>
        <v>0</v>
      </c>
      <c r="J207" s="6">
        <f>Tabela1[[#This Row],[Summer Silver Medals]]+Tabela1[[#This Row],[Winter Silver Medals]]</f>
        <v>0</v>
      </c>
      <c r="K207" s="6">
        <f>Tabela1[[#This Row],[Summer Bronze Medals]]+Tabela1[[#This Row],[Winter Bronze Medals]]</f>
        <v>0</v>
      </c>
      <c r="L207" s="6">
        <f>SUM(Tabela1[[#This Row],[Total Gold Medals]:[Total Bronze Medals]])</f>
        <v>0</v>
      </c>
      <c r="M207" s="6"/>
      <c r="N207" s="6"/>
      <c r="O207" s="6"/>
      <c r="P207" s="6">
        <f>SUM(Tabela1[[#This Row],[Summer Gold Medals]:[Summer Bronze Medals]])</f>
        <v>0</v>
      </c>
      <c r="Q207" s="6"/>
      <c r="R207" s="6"/>
      <c r="S207" s="6"/>
      <c r="T207" s="6">
        <f>Tabela1[[#This Row],[Winter Gold Medals]]+Tabela1[[#This Row],[Winter Silver Medals]]+Tabela1[[#This Row],[Winter Bronze Medals]]</f>
        <v>0</v>
      </c>
      <c r="U207" s="7" t="e">
        <f>Tabela1[[#This Row],[Total Medals]]/Tabela1[[#This Row],[Total Quotas]]</f>
        <v>#DIV/0!</v>
      </c>
      <c r="V207" s="6">
        <f>COUNTIFS(Table3[Country],Tabela1[[#This Row],[Country]],Table3[Recurve Classification],"&gt;0")</f>
        <v>0</v>
      </c>
      <c r="W207" s="6">
        <f>COUNTIFS(Table33[Country],Tabela1[[#This Row],[Country]],Table33[Recurve Classification],"&gt;0")</f>
        <v>0</v>
      </c>
      <c r="X207" s="6">
        <f>COUNTIFS(Table35[Country],Tabela1[[#This Row],[Country]],Table35[Men''s Team Recurve Classification],"&gt;0")</f>
        <v>0</v>
      </c>
      <c r="Y207" s="6">
        <f>COUNTIFS(Table35[Country],Tabela1[[#This Row],[Country]],Table35[Women''s Team Recurve Classification],"&gt;0")</f>
        <v>0</v>
      </c>
      <c r="Z207" s="6">
        <f>COUNTIFS(Tabela88[Country],Tabela1[[#This Row],[Country]],Tabela88[Mixed Team Recurve Classification],"&gt;0")</f>
        <v>0</v>
      </c>
      <c r="AA207" s="6">
        <f>COUNTIFS(Table36[Country],Tabela1[[#This Row],[Country]],Table36[Classification],"&gt;0")</f>
        <v>0</v>
      </c>
      <c r="AB207" s="6">
        <f>COUNTIFS(Table37[Country],Tabela1[[#This Row],[Country]],Table37[Classification],"&gt;0")</f>
        <v>0</v>
      </c>
      <c r="AC207" s="6">
        <f>COUNTIFS(Table4[Country],Tabela1[[#This Row],[Country]],Table4[100m Classification],"&gt;0")</f>
        <v>0</v>
      </c>
      <c r="AD207" s="6">
        <f>COUNTIFS(Table5[Country],Tabela1[[#This Row],[Country]],Table5[100m Classification],"&gt;0")</f>
        <v>0</v>
      </c>
      <c r="AE207" s="6">
        <f>COUNTIFS(Table4[Country],Tabela1[[#This Row],[Country]],Table4[200m Classification],"&gt;0")</f>
        <v>0</v>
      </c>
      <c r="AF207" s="6">
        <f>COUNTIFS(Table5[Country],Tabela1[[#This Row],[Country]],Table5[200m Classification],"&gt;0")</f>
        <v>0</v>
      </c>
      <c r="AG207" s="6">
        <f>COUNTIFS(Table4[Country],Tabela1[[#This Row],[Country]],Table4[400m Classification],"&gt;0")</f>
        <v>0</v>
      </c>
      <c r="AH207" s="6">
        <f>COUNTIFS(Table5[Country],Tabela1[[#This Row],[Country]],Table5[400m Classification],"&gt;0")</f>
        <v>0</v>
      </c>
      <c r="AI207" s="6">
        <f>COUNTIFS(Table4[Country],Tabela1[[#This Row],[Country]],Table4[800m Classification],"&gt;0")</f>
        <v>0</v>
      </c>
      <c r="AJ207" s="6">
        <f>COUNTIFS(Table5[Country],Tabela1[[#This Row],[Country]],Table5[800m Classification],"&gt;0")</f>
        <v>0</v>
      </c>
      <c r="AK207" s="6">
        <f>COUNTIFS(Table4[Country],Tabela1[[#This Row],[Country]],Table4[1500m Classification],"&gt;0")</f>
        <v>0</v>
      </c>
      <c r="AL207" s="6">
        <f>COUNTIFS(Table5[Country],Tabela1[[#This Row],[Country]],Table5[1500m Classification],"&gt;0")</f>
        <v>0</v>
      </c>
      <c r="AM207" s="6">
        <f>COUNTIFS(Table4[Country],Tabela1[[#This Row],[Country]],Table4[5000m Classification],"&gt;0")</f>
        <v>0</v>
      </c>
      <c r="AN207" s="6">
        <f>COUNTIFS(Table5[Country],Tabela1[[#This Row],[Country]],Table5[5000m Classification],"&gt;0")</f>
        <v>0</v>
      </c>
      <c r="AO207" s="6">
        <f>COUNTIFS(Table4[Country],Tabela1[[#This Row],[Country]],Table4[10000m Classification],"&gt;0")</f>
        <v>0</v>
      </c>
      <c r="AP207" s="6">
        <f>COUNTIFS(Table5[Country],Tabela1[[#This Row],[Country]],Table5[10000m Classification],"&gt;0")</f>
        <v>0</v>
      </c>
      <c r="AQ207" s="6">
        <f>COUNTIFS(Table4[Country],Tabela1[[#This Row],[Country]],Table4[110m Hurdles Classification],"&gt;0")</f>
        <v>0</v>
      </c>
      <c r="AR207" s="6">
        <f>COUNTIFS(Table5[Country],Tabela1[[#This Row],[Country]],Table5[100m Hurdles Classification],"&gt;0")</f>
        <v>0</v>
      </c>
      <c r="AS207" s="6">
        <f>COUNTIFS(Table4[Country],Tabela1[[#This Row],[Country]],Table4[400m Hurdles Classification],"&gt;0")</f>
        <v>0</v>
      </c>
      <c r="AT207" s="6">
        <f>COUNTIFS(Table5[Country],Tabela1[[#This Row],[Country]],Table5[400m Hurdles Classification],"&gt;0")</f>
        <v>0</v>
      </c>
      <c r="AU207" s="6">
        <f>COUNTIFS(Table4[Country],Tabela1[[#This Row],[Country]],Table4[3000m Steeplechase Classification],"&gt;0")</f>
        <v>0</v>
      </c>
      <c r="AV207" s="6">
        <f>COUNTIFS(Table5[Country],Tabela1[[#This Row],[Country]],Table5[3000m Steeplechase Classification],"&gt;0")</f>
        <v>0</v>
      </c>
      <c r="AW207" s="6">
        <f>COUNTIFS(Table27[Country],Tabela1[[#This Row],[Country]],Table27[Men''s 4x100m Relay Classification],"&gt;0")</f>
        <v>0</v>
      </c>
      <c r="AX207" s="6">
        <f>COUNTIFS(Table27[Country],Tabela1[[#This Row],[Country]],Table27[Women''s 4x100m Relay Classification],"&gt;0")</f>
        <v>0</v>
      </c>
      <c r="AY207" s="6">
        <f>COUNTIFS(Table27[Country],Tabela1[[#This Row],[Country]],Table27[Men''s 4x400m Relay Classification],"&gt;0")</f>
        <v>0</v>
      </c>
      <c r="AZ207" s="6">
        <f>COUNTIFS(Table27[Country],Tabela1[[#This Row],[Country]],Table27[Women''s 4x400m Relay Classification],"&gt;0")</f>
        <v>0</v>
      </c>
      <c r="BA207" s="6">
        <f>COUNTIFS(Table27[Country],Tabela1[[#This Row],[Country]],Table27[Mixed 4x400m Relay Classification],"&gt;0")</f>
        <v>0</v>
      </c>
      <c r="BB207" s="6">
        <f>COUNTIFS(Table4[Country],Tabela1[[#This Row],[Country]],Table4[Marathon Classification],"&gt;0")</f>
        <v>0</v>
      </c>
      <c r="BC207" s="6">
        <f>COUNTIFS(Table5[Country],Tabela1[[#This Row],[Country]],Table5[Marathon Classification],"&gt;0")</f>
        <v>0</v>
      </c>
      <c r="BD207" s="6">
        <f>COUNTIFS(Table4[Country],Tabela1[[#This Row],[Country]],Table4[20km Race Walk Classification],"&gt;0")</f>
        <v>0</v>
      </c>
      <c r="BE207" s="6">
        <f>COUNTIFS(Table5[Country],Tabela1[[#This Row],[Country]],Table5[20km Race Walk Classification],"&gt;0")</f>
        <v>0</v>
      </c>
      <c r="BF207" s="6">
        <f>COUNTIFS(Tabela96[Country],Tabela1[[#This Row],[Country]],Tabela96[Mixed Marathon Race Walk Relay Classification],"&gt;0")</f>
        <v>0</v>
      </c>
      <c r="BG207" s="6">
        <f>COUNTIFS(Table4[Country],Tabela1[[#This Row],[Country]],Table4[Discus Throw Classification],"&gt;0")</f>
        <v>0</v>
      </c>
      <c r="BH207" s="6">
        <f>COUNTIFS(Table5[Country],Tabela1[[#This Row],[Country]],Table5[Discus Throw Classification],"&gt;0")</f>
        <v>0</v>
      </c>
      <c r="BI207" s="6">
        <f>COUNTIFS(Table4[Country],Tabela1[[#This Row],[Country]],Table4[Hammer Throw Classification],"&gt;0")</f>
        <v>0</v>
      </c>
      <c r="BJ207" s="6">
        <f>COUNTIFS(Table5[Country],Tabela1[[#This Row],[Country]],Table5[Hammer Throw Classification],"&gt;0")</f>
        <v>0</v>
      </c>
      <c r="BK207" s="6">
        <f>COUNTIFS(Table4[Country],Tabela1[[#This Row],[Country]],Table4[High Jump Classification],"&gt;0")</f>
        <v>0</v>
      </c>
      <c r="BL207" s="6">
        <f>COUNTIFS(Table5[Country],Tabela1[[#This Row],[Country]],Table5[High Jump Classification],"&gt;0")</f>
        <v>0</v>
      </c>
      <c r="BM207" s="6">
        <f>COUNTIFS(Table4[Country],Tabela1[[#This Row],[Country]],Table4[Javelin Throw Classification],"&gt;0")</f>
        <v>0</v>
      </c>
      <c r="BN207" s="6">
        <f>COUNTIFS(Table5[Country],Tabela1[[#This Row],[Country]],Table5[Javelin Throw Classification],"&gt;0")</f>
        <v>0</v>
      </c>
      <c r="BO207" s="6">
        <f>COUNTIFS(Table4[Country],Tabela1[[#This Row],[Country]],Table4[Long Jump Classification],"&gt;0")</f>
        <v>0</v>
      </c>
      <c r="BP207" s="6">
        <f>COUNTIFS(Table5[Country],Tabela1[[#This Row],[Country]],Table5[Long Jump Classification],"&gt;0")</f>
        <v>0</v>
      </c>
      <c r="BQ207" s="6">
        <f>COUNTIFS(Table4[Country],Tabela1[[#This Row],[Country]],Table4[Pole Vault Classification],"&gt;0")</f>
        <v>0</v>
      </c>
      <c r="BR207" s="6">
        <f>COUNTIFS(Table5[Country],Tabela1[[#This Row],[Country]],Table5[Pole Vault Classification],"&gt;0")</f>
        <v>0</v>
      </c>
      <c r="BS207" s="6">
        <f>COUNTIFS(Table4[Country],Tabela1[[#This Row],[Country]],Table4[Shot Put Classification],"&gt;0")</f>
        <v>0</v>
      </c>
      <c r="BT207" s="6">
        <f>COUNTIFS(Table5[Country],Tabela1[[#This Row],[Country]],Table5[Shot Put Classification],"&gt;0")</f>
        <v>0</v>
      </c>
      <c r="BU207" s="6">
        <f>COUNTIFS(Table4[Country],Tabela1[[#This Row],[Country]],Table4[Triple Jump Classification],"&gt;0")</f>
        <v>0</v>
      </c>
      <c r="BV207" s="6">
        <f>COUNTIFS(Table5[Country],Tabela1[[#This Row],[Country]],Table5[Triple Jump Classification],"&gt;0")</f>
        <v>0</v>
      </c>
      <c r="BW207" s="6">
        <f>COUNTIFS(Table4[Country],Tabela1[[#This Row],[Country]],Table4[Decathlon Classification],"&gt;0")</f>
        <v>0</v>
      </c>
      <c r="BX207" s="6">
        <f>COUNTIFS(Table5[Country],Tabela1[[#This Row],[Country]],Table5[Heptathlon Classification],"&gt;0")</f>
        <v>0</v>
      </c>
      <c r="BY207" s="6">
        <f>COUNTIFS(Table61[Country],Tabela1[[#This Row],[Country]],Table61[Classification],"&gt;0")</f>
        <v>0</v>
      </c>
      <c r="BZ207" s="6">
        <f>COUNTIFS(Table38[Country],Tabela1[[#This Row],[Country]],Table38[Classification],"&gt;0")</f>
        <v>0</v>
      </c>
      <c r="CA207" s="6">
        <f>COUNTIFS(Table39[Country],Tabela1[[#This Row],[Country]],Table39[Men''s Classification],"&gt;0")</f>
        <v>0</v>
      </c>
      <c r="CB207" s="6">
        <f>COUNTIFS(Table39[Country],Tabela1[[#This Row],[Country]],Table39[Women''s Classification],"&gt;0")</f>
        <v>0</v>
      </c>
      <c r="CC207" s="6">
        <f>COUNTIFS(Table39[Country],Tabela1[[#This Row],[Country]],Table39[Mixed Classification],"&gt;0")</f>
        <v>0</v>
      </c>
      <c r="CD207" s="6">
        <f>COUNTIFS(Table89[Country],Tabela1[[#This Row],[Country]],Table89[Men''s Classification],"&gt;0")</f>
        <v>0</v>
      </c>
      <c r="CE207" s="6">
        <f>COUNTIFS(Table89[Country],Tabela1[[#This Row],[Country]],Table89[Women''s Classification],"&gt;0")</f>
        <v>0</v>
      </c>
      <c r="CF207" s="6">
        <f>COUNTIFS(Table90[Country],Tabela1[[#This Row],[Country]],Table90[Men''s Classification],"&gt;0")</f>
        <v>0</v>
      </c>
      <c r="CG207" s="6">
        <f>COUNTIFS(Table90[Country],Tabela1[[#This Row],[Country]],Table90[Women''s Classification],"&gt;0")</f>
        <v>0</v>
      </c>
      <c r="CH207" s="6">
        <f>COUNTIFS(Table60[Country],Tabela1[[#This Row],[Country]],Table60[Men''s Classification],"&gt;0")</f>
        <v>0</v>
      </c>
      <c r="CI207" s="6">
        <f>COUNTIFS(Table60[Country],Tabela1[[#This Row],[Country]],Table60[Women''s Classification],"&gt;0")</f>
        <v>0</v>
      </c>
      <c r="CJ207" s="6">
        <f>COUNTIFS(Table6[Country],Tabela1[[#This Row],[Country]],Table6[51kg Classification],"&gt;0")</f>
        <v>0</v>
      </c>
      <c r="CK207" s="6">
        <f>COUNTIFS(Table6[Country],Tabela1[[#This Row],[Country]],Table6[57kg Classification],"&gt;0")</f>
        <v>0</v>
      </c>
      <c r="CL207" s="6">
        <f>COUNTIFS(Table6[Country],Tabela1[[#This Row],[Country]],Table6[63.5kg Classification],"&gt;0")</f>
        <v>0</v>
      </c>
      <c r="CM207" s="6">
        <f>COUNTIFS(Table6[Country],Tabela1[[#This Row],[Country]],Table6[71kg Classification],"&gt;0")</f>
        <v>0</v>
      </c>
      <c r="CN207" s="6">
        <f>COUNTIFS(Table6[Country],Tabela1[[#This Row],[Country]],Table6[80kg Classification],"&gt;0")</f>
        <v>0</v>
      </c>
      <c r="CO207" s="6">
        <f>COUNTIFS(Table6[Country],Tabela1[[#This Row],[Country]],Table6[92kg Classification],"&gt;0")</f>
        <v>0</v>
      </c>
      <c r="CP207" s="6">
        <f>COUNTIFS(Table6[Country],Tabela1[[#This Row],[Country]],Table6[Plus 92kg Classification],"&gt;0")</f>
        <v>0</v>
      </c>
      <c r="CQ207" s="6">
        <f>COUNTIFS(Table7[Country],Tabela1[[#This Row],[Country]],Table7[50kg Classification],"&gt;0")</f>
        <v>0</v>
      </c>
      <c r="CR207" s="6">
        <f>COUNTIFS(Table7[Country],Tabela1[[#This Row],[Country]],Table7[54kg Classification],"&gt;0")</f>
        <v>0</v>
      </c>
      <c r="CS207" s="6">
        <f>COUNTIFS(Table7[Country],Tabela1[[#This Row],[Country]],Table7[57kg Classification],"&gt;0")</f>
        <v>0</v>
      </c>
      <c r="CT207" s="6">
        <f>COUNTIFS(Table7[Country],Tabela1[[#This Row],[Country]],Table7[60kg Classification],"&gt;0")</f>
        <v>0</v>
      </c>
      <c r="CU207" s="6">
        <f>COUNTIFS(Table7[Country],Tabela1[[#This Row],[Country]],Table7[66kg Classification],"&gt;0")</f>
        <v>0</v>
      </c>
      <c r="CV207" s="6">
        <f>COUNTIFS(Table7[Country],Tabela1[[#This Row],[Country]],Table7[75kg Classification],"&gt;0")</f>
        <v>0</v>
      </c>
      <c r="CW207" s="6">
        <f>COUNTIFS(Tabela94[Country],Tabela1[[#This Row],[Country]],Tabela94[Classification],"&gt;0")</f>
        <v>0</v>
      </c>
      <c r="CX207" s="6">
        <f>COUNTIFS(Tabela9499[Country],Tabela1[[#This Row],[Country]],Tabela9499[Classification],"&gt;0")</f>
        <v>0</v>
      </c>
      <c r="CY207" s="6">
        <f>COUNTIFS(Tabela107[Country],Tabela1[[#This Row],[Country]],Tabela107[C1 Slalom Classification],"&gt;0")</f>
        <v>0</v>
      </c>
      <c r="CZ207" s="6">
        <f>COUNTIFS(Tabela107122[Country],Tabela1[[#This Row],[Country]],Tabela107122[C1 Slalom Classification],"&gt;0")</f>
        <v>0</v>
      </c>
      <c r="DA207" s="6">
        <f>COUNTIFS(Tabela107[Country],Tabela1[[#This Row],[Country]],Tabela107[K1 Slalom Classification],"&gt;0")</f>
        <v>0</v>
      </c>
      <c r="DB207" s="6">
        <f>COUNTIFS(Tabela107122[Country],Tabela1[[#This Row],[Country]],Tabela107122[K1 Slalom Classification],"&gt;0")</f>
        <v>0</v>
      </c>
      <c r="DC207" s="6">
        <f>COUNTIFS(Tabela107[Country],Tabela1[[#This Row],[Country]],Tabela107[Kayak Cross Slalom Classification],"&gt;0")</f>
        <v>0</v>
      </c>
      <c r="DD207" s="6">
        <f>COUNTIFS(Tabela107122[Country],Tabela1[[#This Row],[Country]],Tabela107122[Kayak Cross Slalom Classification],"&gt;0")</f>
        <v>0</v>
      </c>
      <c r="DE207" s="6">
        <f>COUNTIFS(Table8[Country],Tabela1[[#This Row],[Country]],Table8[C1 200m Classification],"&gt;0")</f>
        <v>0</v>
      </c>
      <c r="DF207" s="6">
        <f>COUNTIFS(Table40[Country],Tabela1[[#This Row],[Country]],Table40[C1 1000m Classification],"&gt;0")</f>
        <v>0</v>
      </c>
      <c r="DG207" s="6">
        <f>COUNTIFS(Table68[Country],Tabela1[[#This Row],[Country]],Table68[Men''s C2 500m Classification],"&gt;0")</f>
        <v>0</v>
      </c>
      <c r="DH207" s="6">
        <f>COUNTIFS(Table68[Country],Tabela1[[#This Row],[Country]],Table68[Women''s C2 500m Classification],"&gt;0")</f>
        <v>0</v>
      </c>
      <c r="DI207" s="6">
        <f>COUNTIFS(Table8[Country],Tabela1[[#This Row],[Country]],Table8[K1 500m Classification],"&gt;0")</f>
        <v>0</v>
      </c>
      <c r="DJ207" s="6">
        <f>COUNTIFS(Table40[Country],Tabela1[[#This Row],[Country]],Table40[K1 1000m Classification],"&gt;0")</f>
        <v>0</v>
      </c>
      <c r="DK207" s="6">
        <f>COUNTIFS(Table68[Country],Tabela1[[#This Row],[Country]],Table68[Men''s K2 500m Classification],"&gt;0")</f>
        <v>0</v>
      </c>
      <c r="DL207" s="6">
        <f>COUNTIFS(Table68[Country],Tabela1[[#This Row],[Country]],Table68[Women''s K2 500m Classification],"&gt;0")</f>
        <v>0</v>
      </c>
      <c r="DM207" s="6">
        <f>COUNTIFS(Table83[Country],Tabela1[[#This Row],[Country]],Table83[Men''s K4 500m Classification],"&gt;0")</f>
        <v>0</v>
      </c>
      <c r="DN207" s="6">
        <f>COUNTIFS(Table83[Country],Tabela1[[#This Row],[Country]],Table83[Women''s K4 500m Classification],"&gt;0")</f>
        <v>0</v>
      </c>
      <c r="DO207" s="6">
        <f>COUNTIFS(Tabela126[Country],Tabela1[[#This Row],[Country]],Tabela126[Classification],"&gt;0")</f>
        <v>0</v>
      </c>
      <c r="DP207" s="6">
        <f>COUNTIFS(Tabela126130[Country],Tabela1[[#This Row],[Country]],Tabela126130[Classification],"&gt;0")</f>
        <v>0</v>
      </c>
      <c r="DQ207" s="6">
        <f>COUNTIFS(Table70[Country],Tabela1[[#This Row],[Country]],Table70[Classification],"&gt;0")</f>
        <v>0</v>
      </c>
      <c r="DR207" s="6">
        <f>COUNTIFS(Table80[Country],Tabela1[[#This Row],[Country]],Table80[Classification],"&gt;0")</f>
        <v>0</v>
      </c>
      <c r="DS207" s="6">
        <f>COUNTIFS(Table66[Country],Tabela1[[#This Row],[Country]],Table66[Classification],"&gt;0")</f>
        <v>0</v>
      </c>
      <c r="DT207" s="6">
        <f>COUNTIFS(Table67[Country],Tabela1[[#This Row],[Country]],Table67[Classification],"&gt;0")</f>
        <v>0</v>
      </c>
      <c r="DU207" s="6">
        <f>COUNTIFS(Table69[Country],Tabela1[[#This Row],[Country]],Table69[Keirin Classification],"&gt;0")</f>
        <v>0</v>
      </c>
      <c r="DV207" s="6">
        <f>COUNTIFS(Table41[Country],Tabela1[[#This Row],[Country]],Table41[Keirin Classification],"&gt;0")</f>
        <v>0</v>
      </c>
      <c r="DW207" s="6">
        <f>COUNTIFS(Table84[Country],Tabela1[[#This Row],[Country]],Table84[Men''s Madison Classification],"&gt;0")</f>
        <v>0</v>
      </c>
      <c r="DX207" s="6">
        <f>COUNTIFS(Table84[Country],Tabela1[[#This Row],[Country]],Table84[Women''s Madison Classification],"&gt;0")</f>
        <v>0</v>
      </c>
      <c r="DY207" s="6">
        <f>COUNTIFS(Table69[Country],Tabela1[[#This Row],[Country]],Table69[Omnium Classification],"&gt;0")</f>
        <v>0</v>
      </c>
      <c r="DZ207" s="6">
        <f>COUNTIFS(Table41[Country],Tabela1[[#This Row],[Country]],Table41[Omnium Classification],"&gt;0")</f>
        <v>0</v>
      </c>
      <c r="EA207" s="6">
        <f>COUNTIFS(Table9[Country],Tabela1[[#This Row],[Country]],Table9[Road Race Classification],"&gt;0")</f>
        <v>0</v>
      </c>
      <c r="EB207" s="6">
        <f>COUNTIFS(Table14[Country],Tabela1[[#This Row],[Country]],Table14[Road Race Classification],"&gt;0")</f>
        <v>0</v>
      </c>
      <c r="EC207" s="6">
        <f>COUNTIFS(Table69[Country],Tabela1[[#This Row],[Country]],Table69[Sprint Classification],"&gt;0")</f>
        <v>0</v>
      </c>
      <c r="ED207" s="6">
        <f>COUNTIFS(Table41[Country],Tabela1[[#This Row],[Country]],Table41[Sprint Classification],"&gt;0")</f>
        <v>0</v>
      </c>
      <c r="EE207" s="6">
        <f>COUNTIFS(Table85[Country],Tabela1[[#This Row],[Country]],Table85[Men''s Sprint Classification],"&gt;0")</f>
        <v>0</v>
      </c>
      <c r="EF207" s="6">
        <f>COUNTIFS(Table85[Country],Tabela1[[#This Row],[Country]],Table85[Women''s Sprint Classification],"&gt;0")</f>
        <v>0</v>
      </c>
      <c r="EG207" s="6">
        <f>COUNTIFS(Table85[Country],Tabela1[[#This Row],[Country]],Table85[Men''s Pursuit Classification],"&gt;0")</f>
        <v>0</v>
      </c>
      <c r="EH207" s="6">
        <f>COUNTIFS(Table85[Country],Tabela1[[#This Row],[Country]],Table85[Women''s Pursuit Classification],"&gt;0")</f>
        <v>0</v>
      </c>
      <c r="EI207" s="6">
        <f>COUNTIFS(Table9[Country],Tabela1[[#This Row],[Country]],Table9[Time-Trial Classification],"&gt;0")</f>
        <v>0</v>
      </c>
      <c r="EJ207" s="6">
        <f>COUNTIFS(Table14[Country],Tabela1[[#This Row],[Country]],Table14[Time-Trial Classification],"&gt;0")</f>
        <v>0</v>
      </c>
      <c r="EK207" s="6">
        <f>COUNTIFS(Table42[Country],Tabela1[[#This Row],[Country]],Table42[Springboard Classification],"&gt;0")</f>
        <v>0</v>
      </c>
      <c r="EL207" s="6">
        <f>COUNTIFS(Table43[Country],Tabela1[[#This Row],[Country]],Table43[Springboard Classification],"&gt;0")</f>
        <v>0</v>
      </c>
      <c r="EM207" s="6">
        <f>COUNTIFS(Table42[Country],Tabela1[[#This Row],[Country]],Table42[Platform Classification],"&gt;0")</f>
        <v>0</v>
      </c>
      <c r="EN207" s="6">
        <f>COUNTIFS(Table43[Country],Tabela1[[#This Row],[Country]],Table43[Platform Classification],"&gt;0")</f>
        <v>0</v>
      </c>
      <c r="EO207" s="6">
        <f>COUNTIFS(Table86[Country],Tabela1[[#This Row],[Country]],Table86[Men''s Synchronized Springboard Classification],"&gt;0")</f>
        <v>0</v>
      </c>
      <c r="EP207" s="6">
        <f>COUNTIFS(Table86[Country],Tabela1[[#This Row],[Country]],Table86[Women''s Synchronized Springboard Classification],"&gt;0")</f>
        <v>0</v>
      </c>
      <c r="EQ207" s="6">
        <f>COUNTIFS(Table86[Country],Tabela1[[#This Row],[Country]],Table86[Men''s Synchronized Platform Classification],"&gt;0")</f>
        <v>0</v>
      </c>
      <c r="ER207" s="6">
        <f>COUNTIFS(Table86[Country],Tabela1[[#This Row],[Country]],Table86[Women''s Synchronized Platform Classification],"&gt;0")</f>
        <v>0</v>
      </c>
      <c r="ES207" s="6">
        <f>COUNTIFS(Table44[Country],Tabela1[[#This Row],[Country]],Table44[Dressage Classification],"&gt;0")</f>
        <v>0</v>
      </c>
      <c r="ET207" s="6">
        <f>COUNTIFS(Table45[Country],Tabela1[[#This Row],[Country]],Table45[Dressage Classification],"&gt;0")</f>
        <v>0</v>
      </c>
      <c r="EU207" s="6">
        <f>COUNTIFS(Table44[Country],Tabela1[[#This Row],[Country]],Table44[Eventing Classification],"&gt;0")</f>
        <v>0</v>
      </c>
      <c r="EV207" s="6">
        <f>COUNTIFS(Table45[Country],Tabela1[[#This Row],[Country]],Table45[Eventing Classification],"&gt;0")</f>
        <v>0</v>
      </c>
      <c r="EW207" s="6">
        <f>COUNTIFS(Table44[Country],Tabela1[[#This Row],[Country]],Table44[Jumping Classification],"&gt;0")</f>
        <v>0</v>
      </c>
      <c r="EX207" s="6">
        <f>COUNTIFS(Table45[Country],Tabela1[[#This Row],[Country]],Table45[Jumping Classification],"&gt;0")</f>
        <v>0</v>
      </c>
      <c r="EY207" s="6">
        <f>COUNTIFS(Table10[Country],Tabela1[[#This Row],[Country]],Table10[Épée Classification],"&gt;0")</f>
        <v>0</v>
      </c>
      <c r="EZ207" s="6">
        <f>COUNTIFS(Table11[Country],Tabela1[[#This Row],[Country]],Table11[Épée Classification],"&gt;0")</f>
        <v>0</v>
      </c>
      <c r="FA207" s="6">
        <f>COUNTIFS(Table46[Country],Tabela1[[#This Row],[Country]],Table46[Men''s Épée Classification],"&gt;0")</f>
        <v>0</v>
      </c>
      <c r="FB207" s="6">
        <f>COUNTIFS(Table46[Country],Tabela1[[#This Row],[Country]],Table46[Women''s Épée Classification],"&gt;0")</f>
        <v>0</v>
      </c>
      <c r="FC207" s="6">
        <f>COUNTIFS(Table10[Country],Tabela1[[#This Row],[Country]],Table10[Foil Classification],"&gt;0")</f>
        <v>0</v>
      </c>
      <c r="FD207" s="6">
        <f>COUNTIFS(Table11[Country],Tabela1[[#This Row],[Country]],Table11[Foil Classification],"&gt;0")</f>
        <v>0</v>
      </c>
      <c r="FE207" s="6">
        <f>COUNTIFS(Table46[Country],Tabela1[[#This Row],[Country]],Table46[Men''s Foil Classification],"&gt;0")</f>
        <v>0</v>
      </c>
      <c r="FF207" s="6">
        <f>COUNTIFS(Table46[Country],Tabela1[[#This Row],[Country]],Table46[Women''s Foil Classification],"&gt;0")</f>
        <v>0</v>
      </c>
      <c r="FG207" s="6">
        <f>COUNTIFS(Table10[Country],Tabela1[[#This Row],[Country]],Table10[Sabre Classification],"&gt;0")</f>
        <v>0</v>
      </c>
      <c r="FH207" s="6">
        <f>COUNTIFS(Table11[Country],Tabela1[[#This Row],[Country]],Table11[Sabre Classification],"&gt;0")</f>
        <v>0</v>
      </c>
      <c r="FI207" s="6">
        <f>COUNTIFS(Table46[Country],Tabela1[[#This Row],[Country]],Table46[Men''s Sabre Classification],"&gt;0")</f>
        <v>0</v>
      </c>
      <c r="FJ207" s="6">
        <f>COUNTIFS(Table46[Country],Tabela1[[#This Row],[Country]],Table46[Women''s Sabre Classification],"&gt;0")</f>
        <v>0</v>
      </c>
      <c r="FK207" s="6">
        <f>COUNTIFS(Table91[Country],Tabela1[[#This Row],[Country]],Table91[Men''s Classification],"&gt;0")</f>
        <v>0</v>
      </c>
      <c r="FL207" s="6">
        <f>COUNTIFS(Table91[Country],Tabela1[[#This Row],[Country]],Table91[Women''s Classification],"&gt;0")</f>
        <v>0</v>
      </c>
      <c r="FM207" s="6">
        <f>COUNTIFS(Table9194[Country],Tabela1[[#This Row],[Country]],Table9194[Men''s Classification],"&gt;0")</f>
        <v>0</v>
      </c>
      <c r="FN207" s="6">
        <f>COUNTIFS(Table9194[Country],Tabela1[[#This Row],[Country]],Table9194[Women''s Classification],"&gt;0")</f>
        <v>0</v>
      </c>
      <c r="FO207" s="6">
        <f>COUNTIFS(Table71[Country],Tabela1[[#This Row],[Country]],Table71[Classification],"&gt;0")</f>
        <v>0</v>
      </c>
      <c r="FP207" s="6">
        <f>COUNTIFS(Table62[Country],Tabela1[[#This Row],[Country]],Table62[Classification],"&gt;0")</f>
        <v>0</v>
      </c>
      <c r="FQ207" s="6">
        <f>COUNTIFS(Table47[Country],Tabela1[[#This Row],[Country]],Table47[All-Around Classification],"&gt;0")</f>
        <v>0</v>
      </c>
      <c r="FR207" s="6">
        <f>COUNTIFS(Table48[Country],Tabela1[[#This Row],[Country]],Table48[All-Around Classification],"&gt;0")</f>
        <v>0</v>
      </c>
      <c r="FS207" s="6">
        <f>COUNTIFS(Table81[Country],Tabela1[[#This Row],[Country]],Table81[Men''s All-Around Classification],"&gt;0")</f>
        <v>0</v>
      </c>
      <c r="FT207" s="6">
        <f>COUNTIFS(Table81[Country],Tabela1[[#This Row],[Country]],Table81[Women''s All-Around Classification],"&gt;0")</f>
        <v>0</v>
      </c>
      <c r="FU207" s="6">
        <f>COUNTIFS(Table48[Country],Tabela1[[#This Row],[Country]],Table48[Balance Beam Classification],"&gt;0")</f>
        <v>0</v>
      </c>
      <c r="FV207" s="6">
        <f>COUNTIFS(Table47[Country],Tabela1[[#This Row],[Country]],Table47[Floor Exercise Classification],"&gt;0")</f>
        <v>0</v>
      </c>
      <c r="FW207" s="6">
        <f>COUNTIFS(Table48[Country],Tabela1[[#This Row],[Country]],Table48[Floor Exercise Classification],"&gt;0")</f>
        <v>0</v>
      </c>
      <c r="FX207" s="6">
        <f>COUNTIFS(Table47[Country],Tabela1[[#This Row],[Country]],Table47[Horizontal Bar Classification],"&gt;0")</f>
        <v>0</v>
      </c>
      <c r="FY207" s="6">
        <f>COUNTIFS(Table47[Country],Tabela1[[#This Row],[Country]],Table47[Parallel Bars Classification],"&gt;0")</f>
        <v>0</v>
      </c>
      <c r="FZ207" s="6">
        <f>COUNTIFS(Table47[Country],Tabela1[[#This Row],[Country]],Table47[Pommel Horse Classification],"&gt;0")</f>
        <v>0</v>
      </c>
      <c r="GA207" s="6">
        <f>COUNTIFS(Table47[Country],Tabela1[[#This Row],[Country]],Table47[Rings Classification],"&gt;0")</f>
        <v>0</v>
      </c>
      <c r="GB207" s="6">
        <f>COUNTIFS(Tabela132[Country],Tabela1[[#This Row],[Country]],Tabela132[Classification],"&gt;0")</f>
        <v>0</v>
      </c>
      <c r="GC207" s="6">
        <f>COUNTIFS(Tabela139[Country],Tabela1[[#This Row],[Country]],Tabela139[Classification],"&gt;0")</f>
        <v>0</v>
      </c>
      <c r="GD207" s="6">
        <f>COUNTIFS(Table48[Country],Tabela1[[#This Row],[Country]],Table48[Uneven Bars Classification],"&gt;0")</f>
        <v>0</v>
      </c>
      <c r="GE207" s="6">
        <f>COUNTIFS(Table47[Country],Tabela1[[#This Row],[Country]],Table47[Vault Classification],"&gt;0")</f>
        <v>0</v>
      </c>
      <c r="GF207" s="6">
        <f>COUNTIFS(Table48[Country],Tabela1[[#This Row],[Country]],Table48[Vault Classification],"&gt;0")</f>
        <v>0</v>
      </c>
      <c r="GG207" s="6">
        <f>COUNTIFS(Table919496[Country],Tabela1[[#This Row],[Country]],Table919496[Men''s Classification],"&gt;0")</f>
        <v>0</v>
      </c>
      <c r="GH207" s="6">
        <f>COUNTIFS(Table919496[Country],Tabela1[[#This Row],[Country]],Table919496[Women''s Classification],"&gt;0")</f>
        <v>0</v>
      </c>
      <c r="GI207" s="6">
        <f>COUNTIFS(Table12[Country],Tabela1[[#This Row],[Country]],Table12[60kg Classification],"&gt;0")</f>
        <v>0</v>
      </c>
      <c r="GJ207" s="6">
        <f>COUNTIFS(Table12[Country],Tabela1[[#This Row],[Country]],Table12[66kg Classification],"&gt;0")</f>
        <v>0</v>
      </c>
      <c r="GK207" s="6">
        <f>COUNTIFS(Table12[Country],Tabela1[[#This Row],[Country]],Table12[73kg Classification],"&gt;0")</f>
        <v>0</v>
      </c>
      <c r="GL207" s="6">
        <f>COUNTIFS(Table12[Country],Tabela1[[#This Row],[Country]],Table12[81kg Classification],"&gt;0")</f>
        <v>0</v>
      </c>
      <c r="GM207" s="6">
        <f>COUNTIFS(Table12[Country],Tabela1[[#This Row],[Country]],Table12[90kg Classification],"&gt;0")</f>
        <v>0</v>
      </c>
      <c r="GN207" s="6">
        <f>COUNTIFS(Table12[Country],Tabela1[[#This Row],[Country]],Table12[100kg Classification],"&gt;0")</f>
        <v>0</v>
      </c>
      <c r="GO207" s="6">
        <f>COUNTIFS(Table12[Country],Tabela1[[#This Row],[Country]],Table12[Plus 100kg Classification],"&gt;0")</f>
        <v>0</v>
      </c>
      <c r="GP207" s="6">
        <f>COUNTIFS(Table13[Country],Tabela1[[#This Row],[Country]],Table13[48kg Classification],"&gt;0")</f>
        <v>0</v>
      </c>
      <c r="GQ207" s="6">
        <f>COUNTIFS(Table13[Country],Tabela1[[#This Row],[Country]],Table13[52kg Classification],"&gt;0")</f>
        <v>0</v>
      </c>
      <c r="GR207" s="6">
        <f>COUNTIFS(Table13[Country],Tabela1[[#This Row],[Country]],Table13[57kg Classification],"&gt;0")</f>
        <v>0</v>
      </c>
      <c r="GS207" s="6">
        <f>COUNTIFS(Table13[Country],Tabela1[[#This Row],[Country]],Table13[63kg Classification],"&gt;0")</f>
        <v>0</v>
      </c>
      <c r="GT207" s="6">
        <f>COUNTIFS(Table13[Country],Tabela1[[#This Row],[Country]],Table13[70kg Classification],"&gt;0")</f>
        <v>0</v>
      </c>
      <c r="GU207" s="6">
        <f>COUNTIFS(Table13[Country],Tabela1[[#This Row],[Country]],Table13[78kg Classification],"&gt;0")</f>
        <v>0</v>
      </c>
      <c r="GV207" s="6">
        <f>COUNTIFS(Table13[Country],Tabela1[[#This Row],[Country]],Table13[Plus 78kg Classification],"&gt;0")</f>
        <v>0</v>
      </c>
      <c r="GW207" s="6">
        <f>COUNTIFS(Table82[Country],Tabela1[[#This Row],[Country]],Table82[Mixed Classification],"&gt;0")</f>
        <v>0</v>
      </c>
      <c r="GX207" s="6">
        <f>COUNTIFS(Table51[Country],Tabela1[[#This Row],[Country]],Table51[Classification],"&gt;0")</f>
        <v>0</v>
      </c>
      <c r="GY207" s="6">
        <f>COUNTIFS(Table52[Country],Tabela1[[#This Row],[Country]],Table52[Classification],"&gt;0")</f>
        <v>0</v>
      </c>
      <c r="GZ207" s="6">
        <f>COUNTIFS(Table32[Country],Tabela1[[#This Row],[Country]],Table32[All-Around Classification],"&gt;0")</f>
        <v>0</v>
      </c>
      <c r="HA207" s="6">
        <f>COUNTIFS(Table49[Country],Tabela1[[#This Row],[Country]],Table49[All-Around Classification],"&gt;0")</f>
        <v>0</v>
      </c>
      <c r="HB207" s="6">
        <f>COUNTIFS(Table26[Country],Tabela1[[#This Row],[Country]],Table26[Single Sculls Classification],"&gt;0")</f>
        <v>0</v>
      </c>
      <c r="HC207" s="6">
        <f>COUNTIFS(Table63[Country],Tabela1[[#This Row],[Country]],Table63[Single Sculls Classification],"&gt;0")</f>
        <v>0</v>
      </c>
      <c r="HD207" s="6">
        <f>COUNTIFS(Table16[Country],Tabela1[[#This Row],[Country]],Table16[Men''s Double Sculls Classification],"&gt;0")</f>
        <v>0</v>
      </c>
      <c r="HE207" s="6">
        <f>COUNTIFS(Table16[Country],Tabela1[[#This Row],[Country]],Table16[Women''s Double Sculls Classification],"&gt;0")</f>
        <v>0</v>
      </c>
      <c r="HF207" s="6">
        <f>COUNTIFS(Table72[Country],Tabela1[[#This Row],[Country]],Table72[Men''s Quadruple Sculls Classification],"&gt;0")</f>
        <v>0</v>
      </c>
      <c r="HG207" s="6">
        <f>COUNTIFS(Table72[Country],Tabela1[[#This Row],[Country]],Table72[Women''s Quadruple Sculls Classification],"&gt;0")</f>
        <v>0</v>
      </c>
      <c r="HH207" s="6">
        <f>COUNTIFS(Table16[Country],Tabela1[[#This Row],[Country]],Table16[Men''s Coxless Pairs Classification],"&gt;0")</f>
        <v>0</v>
      </c>
      <c r="HI207" s="6">
        <f>COUNTIFS(Table16[Country],Tabela1[[#This Row],[Country]],Table16[Women''s Coxless Pairs Classification],"&gt;0")</f>
        <v>0</v>
      </c>
      <c r="HJ207" s="6">
        <f>COUNTIFS(Table72[Country],Tabela1[[#This Row],[Country]],Table72[Men''s Coxless Fours Classification],"&gt;0")</f>
        <v>0</v>
      </c>
      <c r="HK207" s="6">
        <f>COUNTIFS(Table72[Country],Tabela1[[#This Row],[Country]],Table72[Women''s Coxless Fours Classification],"&gt;0")</f>
        <v>0</v>
      </c>
      <c r="HL207" s="6">
        <f>COUNTIFS(Table72[Country],Tabela1[[#This Row],[Country]],Table72[Men''s Eights Classification],"&gt;0")</f>
        <v>0</v>
      </c>
      <c r="HM207" s="6">
        <f>COUNTIFS(Table72[Country],Tabela1[[#This Row],[Country]],Table72[Women''s Eights Classification],"&gt;0")</f>
        <v>0</v>
      </c>
      <c r="HN207" s="6">
        <f>COUNTIFS(Table16[Country],Tabela1[[#This Row],[Country]],Table16[Men''s Lwt. Double Sculls Classification],"&gt;0")</f>
        <v>0</v>
      </c>
      <c r="HO207" s="6">
        <f>COUNTIFS(Table16[Country],Tabela1[[#This Row],[Country]],Table16[Women''s Lwt. Double Sculls Classification],"&gt;0")</f>
        <v>0</v>
      </c>
      <c r="HP207" s="6">
        <f>COUNTIFS(Table91949698[Country],Tabela1[[#This Row],[Country]],Table91949698[Men''s Classification],"&gt;0")</f>
        <v>0</v>
      </c>
      <c r="HQ207" s="6">
        <f>COUNTIFS(Table91949698[Country],Tabela1[[#This Row],[Country]],Table91949698[Women''s Classification],"&gt;0")</f>
        <v>0</v>
      </c>
      <c r="HR207" s="6">
        <f>COUNTIFS(Table25[Country],Tabela1[[#This Row],[Country]],Table25[Mixed 470 Classification],"&gt;0")</f>
        <v>0</v>
      </c>
      <c r="HS207" s="6">
        <f>COUNTIFS(Table25[Country],Tabela1[[#This Row],[Country]],Table25[Men''s 49er Classification],"&gt;0")</f>
        <v>0</v>
      </c>
      <c r="HT207" s="6">
        <f>COUNTIFS(Table25[Country],Tabela1[[#This Row],[Country]],Table25[Women''s 49er FX Classification],"&gt;0")</f>
        <v>0</v>
      </c>
      <c r="HU207" s="6">
        <f>COUNTIFS(Table17[Country],Tabela1[[#This Row],[Country]],Table17[Formula Kite Classification],"&gt;0")</f>
        <v>0</v>
      </c>
      <c r="HV207" s="6">
        <f>COUNTIFS(Table18[Country],Tabela1[[#This Row],[Country]],Table18[Formula Kite Classification],"&gt;0")</f>
        <v>0</v>
      </c>
      <c r="HW207" s="6">
        <f>COUNTIFS(Table17[Country],Tabela1[[#This Row],[Country]],Table17[ILCA 7 Classification],"&gt;0")</f>
        <v>0</v>
      </c>
      <c r="HX207" s="6">
        <f>COUNTIFS(Table18[Country],Tabela1[[#This Row],[Country]],Table18[ILCA 6 Classification],"&gt;0")</f>
        <v>0</v>
      </c>
      <c r="HY207" s="6">
        <f>COUNTIFS(Table17[Country],Tabela1[[#This Row],[Country]],Table17[IQFoil Classification],"&gt;0")</f>
        <v>0</v>
      </c>
      <c r="HZ207" s="6">
        <f>COUNTIFS(Table18[Country],Tabela1[[#This Row],[Country]],Table18[IQFoil Classification],"&gt;0")</f>
        <v>0</v>
      </c>
      <c r="IA207" s="6">
        <f>COUNTIFS(Table25[Country],Tabela1[[#This Row],[Country]],Table25[Mixed Nacra 17 Classification],"&gt;0")</f>
        <v>0</v>
      </c>
      <c r="IB207" s="6">
        <f>COUNTIFS(Table53[Country],Tabela1[[#This Row],[Country]],Table53[10m Air Pistol Classification],"&gt;0")</f>
        <v>0</v>
      </c>
      <c r="IC207" s="6">
        <f>COUNTIFS(Table19[Country],Tabela1[[#This Row],[Country]],Table19[10m Air Pistol Classification],"&gt;0")</f>
        <v>0</v>
      </c>
      <c r="ID207" s="6">
        <f>COUNTIFS(Table54[Country],Tabela1[[#This Row],[Country]],Table54[Mixed 10m Air Pistol Team Classification],"&gt;0")</f>
        <v>0</v>
      </c>
      <c r="IE207" s="6">
        <f>COUNTIFS(Table53[Country],Tabela1[[#This Row],[Country]],Table53[10m Air Rifle Classification],"&gt;0")</f>
        <v>0</v>
      </c>
      <c r="IF207" s="6">
        <f>COUNTIFS(Table19[Country],Tabela1[[#This Row],[Country]],Table19[10m Air Rifle Classification],"&gt;0")</f>
        <v>0</v>
      </c>
      <c r="IG207" s="6">
        <f>COUNTIFS(Table54[Country],Tabela1[[#This Row],[Country]],Table54[Mixed 10m Air Rifle Team Classification],"&gt;0")</f>
        <v>0</v>
      </c>
      <c r="IH207" s="6">
        <f>COUNTIFS(Table53[Country],Tabela1[[#This Row],[Country]],Table53[25m Rapid Fire Pistol Classification],"&gt;0")</f>
        <v>0</v>
      </c>
      <c r="II207" s="6">
        <f>COUNTIFS(Table19[Country],Tabela1[[#This Row],[Country]],Table19[25m Pistol Classification],"&gt;0")</f>
        <v>0</v>
      </c>
      <c r="IJ207" s="6">
        <f>COUNTIFS(Table53[Country],Tabela1[[#This Row],[Country]],Table53[50m Rifle 3 Positions Classification],"&gt;0")</f>
        <v>0</v>
      </c>
      <c r="IK207" s="6">
        <f>COUNTIFS(Table19[Country],Tabela1[[#This Row],[Country]],Table19[50m Rifle 3 Positions Classification],"&gt;0")</f>
        <v>0</v>
      </c>
      <c r="IL207" s="6">
        <f>COUNTIFS(Table53[Country],Tabela1[[#This Row],[Country]],Table53[Skeet Classification],"&gt;0")</f>
        <v>0</v>
      </c>
      <c r="IM207" s="6">
        <f>COUNTIFS(Table19[Country],Tabela1[[#This Row],[Country]],Table19[Skeet Classification],"&gt;0")</f>
        <v>0</v>
      </c>
      <c r="IN207" s="6">
        <f>COUNTIFS(Table54[Country],Tabela1[[#This Row],[Country]],Table54[Mixed Skeet Team Classification],"&gt;0")</f>
        <v>0</v>
      </c>
      <c r="IO207" s="6">
        <f>COUNTIFS(Table53[Country],Tabela1[[#This Row],[Country]],Table53[Trap Classification],"&gt;0")</f>
        <v>0</v>
      </c>
      <c r="IP207" s="6">
        <f>COUNTIFS(Table19[Country],Tabela1[[#This Row],[Country]],Table19[Trap Classification],"&gt;0")</f>
        <v>0</v>
      </c>
      <c r="IQ207" s="6">
        <f>COUNTIFS(Table73[Country],Tabela1[[#This Row],[Country]],Table73[Park Classification],"&gt;0")</f>
        <v>0</v>
      </c>
      <c r="IR207" s="6">
        <f>COUNTIFS(Table74[Country],Tabela1[[#This Row],[Country]],Table74[Park Classification],"&gt;0")</f>
        <v>0</v>
      </c>
      <c r="IS207" s="6">
        <f>COUNTIFS(Table73[Country],Tabela1[[#This Row],[Country]],Table73[Street Classification],"&gt;0")</f>
        <v>0</v>
      </c>
      <c r="IT207" s="6">
        <f>COUNTIFS(Table74[Country],Tabela1[[#This Row],[Country]],Table74[Street Classification],"&gt;0")</f>
        <v>0</v>
      </c>
      <c r="IU207" s="6">
        <f>COUNTIFS(Table75[Country],Tabela1[[#This Row],[Country]],Table75[Boulder and Lead Classification],"&gt;0")</f>
        <v>0</v>
      </c>
      <c r="IV207" s="6">
        <f>COUNTIFS(Table76[Country],Tabela1[[#This Row],[Country]],Table76[Boulder and Lead Classification],"&gt;0")</f>
        <v>0</v>
      </c>
      <c r="IW207" s="6">
        <f>COUNTIFS(Table75[Country],Tabela1[[#This Row],[Country]],Table75[Speed Classification],"&gt;0")</f>
        <v>0</v>
      </c>
      <c r="IX207" s="6">
        <f>COUNTIFS(Table76[Country],Tabela1[[#This Row],[Country]],Table76[Speed Classification],"&gt;0")</f>
        <v>0</v>
      </c>
      <c r="IY207" s="6">
        <f>COUNTIFS(Table64[Country],Tabela1[[#This Row],[Country]],Table64[Shortboard Classification],"&gt;0")</f>
        <v>0</v>
      </c>
      <c r="IZ207" s="6">
        <f>COUNTIFS(Table77[Country],Tabela1[[#This Row],[Country]],Table77[Shortboard Classification],"&gt;0")</f>
        <v>0</v>
      </c>
      <c r="JA207" s="6">
        <f>COUNTIFS(Table20[Country],Tabela1[[#This Row],[Country]],Table20[50m Freestyle Classification],"&gt;0")</f>
        <v>0</v>
      </c>
      <c r="JB207" s="6">
        <f>COUNTIFS(Table21[Country],Tabela1[[#This Row],[Country]],Table21[50m Freestyle Classification],"&gt;0")</f>
        <v>0</v>
      </c>
      <c r="JC207" s="6">
        <f>COUNTIFS(Table20[Country],Tabela1[[#This Row],[Country]],Table20[100m Freestyle Classification],"&gt;0")</f>
        <v>0</v>
      </c>
      <c r="JD207" s="6">
        <f>COUNTIFS(Table21[Country],Tabela1[[#This Row],[Country]],Table21[100m Freestyle Classification],"&gt;0")</f>
        <v>0</v>
      </c>
      <c r="JE207" s="6">
        <f>COUNTIFS(Table20[Country],Tabela1[[#This Row],[Country]],Table20[200m Freestyle Classification],"&gt;0")</f>
        <v>0</v>
      </c>
      <c r="JF207" s="6">
        <f>COUNTIFS(Table21[Country],Tabela1[[#This Row],[Country]],Table21[200m Freestyle Classification],"&gt;0")</f>
        <v>0</v>
      </c>
      <c r="JG207" s="6">
        <f>COUNTIFS(Table20[Country],Tabela1[[#This Row],[Country]],Table20[400m Freestyle Classification],"&gt;0")</f>
        <v>0</v>
      </c>
      <c r="JH207" s="6">
        <f>COUNTIFS(Table21[Country],Tabela1[[#This Row],[Country]],Table21[400m Freestyle Classification],"&gt;0")</f>
        <v>0</v>
      </c>
      <c r="JI207" s="6">
        <f>COUNTIFS(Table20[Country],Tabela1[[#This Row],[Country]],Table20[800m Freestyle Classification],"&gt;0")</f>
        <v>0</v>
      </c>
      <c r="JJ207" s="6">
        <f>COUNTIFS(Table21[Country],Tabela1[[#This Row],[Country]],Table21[800m Freestyle Classification],"&gt;0")</f>
        <v>0</v>
      </c>
      <c r="JK207" s="6">
        <f>COUNTIFS(Table20[Country],Tabela1[[#This Row],[Country]],Table20[1500m Freestyle Classification],"&gt;0")</f>
        <v>0</v>
      </c>
      <c r="JL207" s="6">
        <f>COUNTIFS(Table21[Country],Tabela1[[#This Row],[Country]],Table21[1500m Freestyle Classification],"&gt;0")</f>
        <v>0</v>
      </c>
      <c r="JM207" s="6">
        <f>COUNTIFS(Table20[Country],Tabela1[[#This Row],[Country]],Table20[100m Backstroke Classification],"&gt;0")</f>
        <v>0</v>
      </c>
      <c r="JN207" s="6">
        <f>COUNTIFS(Table21[Country],Tabela1[[#This Row],[Country]],Table21[100m Backstroke Classification],"&gt;0")</f>
        <v>0</v>
      </c>
      <c r="JO207" s="6">
        <f>COUNTIFS(Table20[Country],Tabela1[[#This Row],[Country]],Table20[200m Backstroke Classification],"&gt;0")</f>
        <v>0</v>
      </c>
      <c r="JP207" s="6">
        <f>COUNTIFS(Table21[Country],Tabela1[[#This Row],[Country]],Table21[200m Backstroke Classification],"&gt;0")</f>
        <v>0</v>
      </c>
      <c r="JQ207" s="6">
        <f>COUNTIFS(Table20[Country],Tabela1[[#This Row],[Country]],Table20[100m Breaststroke Classification],"&gt;0")</f>
        <v>0</v>
      </c>
      <c r="JR207" s="6">
        <f>COUNTIFS(Table21[Country],Tabela1[[#This Row],[Country]],Table21[100m Breaststroke Classification],"&gt;0")</f>
        <v>0</v>
      </c>
      <c r="JS207" s="6">
        <f>COUNTIFS(Table20[Country],Tabela1[[#This Row],[Country]],Table20[200m Breaststroke Classification],"&gt;0")</f>
        <v>0</v>
      </c>
      <c r="JT207" s="6">
        <f>COUNTIFS(Table21[Country],Tabela1[[#This Row],[Country]],Table21[200m Breaststroke Classification],"&gt;0")</f>
        <v>0</v>
      </c>
      <c r="JU207" s="6">
        <f>COUNTIFS(Table20[Country],Tabela1[[#This Row],[Country]],Table20[100m Butterfly Classification],"&gt;0")</f>
        <v>0</v>
      </c>
      <c r="JV207" s="6">
        <f>COUNTIFS(Table21[Country],Tabela1[[#This Row],[Country]],Table21[100m Butterfly Classification],"&gt;0")</f>
        <v>0</v>
      </c>
      <c r="JW207" s="6">
        <f>COUNTIFS(Table20[Country],Tabela1[[#This Row],[Country]],Table20[200m Butterfly Classification],"&gt;0")</f>
        <v>0</v>
      </c>
      <c r="JX207" s="6">
        <f>COUNTIFS(Table21[Country],Tabela1[[#This Row],[Country]],Table21[200m Butterfly Classification],"&gt;0")</f>
        <v>0</v>
      </c>
      <c r="JY207" s="6">
        <f>COUNTIFS(Table20[Country],Tabela1[[#This Row],[Country]],Table20[200m Medley Classification],"&gt;0")</f>
        <v>0</v>
      </c>
      <c r="JZ207" s="6">
        <f>COUNTIFS(Table21[Country],Tabela1[[#This Row],[Country]],Table21[200m Medley Classification],"&gt;0")</f>
        <v>0</v>
      </c>
      <c r="KA207" s="6">
        <f>COUNTIFS(Table20[Country],Tabela1[[#This Row],[Country]],Table20[400m Medley Classification],"&gt;0")</f>
        <v>0</v>
      </c>
      <c r="KB207" s="6">
        <f>COUNTIFS(Table21[Country],Tabela1[[#This Row],[Country]],Table21[400m Medley Classification],"&gt;0")</f>
        <v>0</v>
      </c>
      <c r="KC207" s="6">
        <f>COUNTIFS(Table78[Country],Tabela1[[#This Row],[Country]],Table78[Men''s 4x100m Freestyle Relay Classification],"&gt;0")</f>
        <v>0</v>
      </c>
      <c r="KD207" s="6">
        <f>COUNTIFS(Table78[Country],Tabela1[[#This Row],[Country]],Table78[Women''s 4x100m Freestyle Relay Classification],"&gt;0")</f>
        <v>0</v>
      </c>
      <c r="KE207" s="6">
        <f>COUNTIFS(Table78[Country],Tabela1[[#This Row],[Country]],Table78[Men''s 4x200m Freestyle Relay Classification],"&gt;0")</f>
        <v>0</v>
      </c>
      <c r="KF207" s="6">
        <f>COUNTIFS(Table78[Country],Tabela1[[#This Row],[Country]],Table78[Women''s 4x200m Freestyle Relay Classification],"&gt;0")</f>
        <v>0</v>
      </c>
      <c r="KG207" s="6">
        <f>COUNTIFS(Table78[Country],Tabela1[[#This Row],[Country]],Table78[Men''s 4x100m Medley Relay Classification],"&gt;0")</f>
        <v>0</v>
      </c>
      <c r="KH207" s="6">
        <f>COUNTIFS(Table78[Country],Tabela1[[#This Row],[Country]],Table78[Women''s 4x100m Medley Relay Classification],"&gt;0")</f>
        <v>0</v>
      </c>
      <c r="KI207" s="6">
        <f>COUNTIFS(Table78[Country],Tabela1[[#This Row],[Country]],Table78[Mixed 4x100m Medley Relay Classification],"&gt;0")</f>
        <v>0</v>
      </c>
      <c r="KJ207" s="6">
        <f>COUNTIFS(Table20[Country],Tabela1[[#This Row],[Country]],Table20[10km Open Water Classification],"&gt;0")</f>
        <v>0</v>
      </c>
      <c r="KK207" s="6">
        <f>COUNTIFS(Table21[Country],Tabela1[[#This Row],[Country]],Table21[10km Open Water Classification],"&gt;0")</f>
        <v>0</v>
      </c>
      <c r="KL207" s="6">
        <f>COUNTIFS(Table22[Country],Tabela1[[#This Row],[Country]],Table22[Classification],"&gt;0")</f>
        <v>0</v>
      </c>
      <c r="KM207" s="6">
        <f>COUNTIFS(Table30[Country],Tabela1[[#This Row],[Country]],Table30[Classification],"&gt;0")</f>
        <v>0</v>
      </c>
      <c r="KN207" s="6">
        <f>COUNTIFS(Table55[Country],Tabela1[[#This Row],[Country]],Table55[Men''s Classification],"&gt;0")</f>
        <v>0</v>
      </c>
      <c r="KO207" s="6">
        <f>COUNTIFS(Table55[Country],Tabela1[[#This Row],[Country]],Table55[Women''s Classification],"&gt;0")</f>
        <v>0</v>
      </c>
      <c r="KP207" s="6">
        <f>COUNTIFS(Table56[Country],Tabela1[[#This Row],[Country]],Table56[Mixed Classification],"&gt;0")</f>
        <v>0</v>
      </c>
      <c r="KQ207" s="6">
        <f>COUNTIFS(Table29[Country],Tabela1[[#This Row],[Country]],Table29[58kg Classification],"&gt;0")</f>
        <v>0</v>
      </c>
      <c r="KR207" s="6">
        <f>COUNTIFS(Table29[Country],Tabela1[[#This Row],[Country]],Table29[68kg Classification],"&gt;0")</f>
        <v>0</v>
      </c>
      <c r="KS207" s="6">
        <f>COUNTIFS(Table29[Country],Tabela1[[#This Row],[Country]],Table29[80kg Classification],"&gt;0")</f>
        <v>0</v>
      </c>
      <c r="KT207" s="6">
        <f>COUNTIFS(Table29[Country],Tabela1[[#This Row],[Country]],Table29[Plus 80kg Classification],"&gt;0")</f>
        <v>0</v>
      </c>
      <c r="KU207" s="6">
        <f>COUNTIFS(Table34[Country],Tabela1[[#This Row],[Country]],Table34[49kg Classification],"&gt;0")</f>
        <v>0</v>
      </c>
      <c r="KV207" s="6">
        <f>COUNTIFS(Table34[Country],Tabela1[[#This Row],[Country]],Table34[57kg Classification],"&gt;0")</f>
        <v>0</v>
      </c>
      <c r="KW207" s="6">
        <f>COUNTIFS(Table34[Country],Tabela1[[#This Row],[Country]],Table34[67kg Classification],"&gt;0")</f>
        <v>0</v>
      </c>
      <c r="KX207" s="6">
        <f>COUNTIFS(Table34[Country],Tabela1[[#This Row],[Country]],Table34[Plus 67kg Classification],"&gt;0")</f>
        <v>0</v>
      </c>
      <c r="KY207" s="6">
        <f>COUNTIFS(Table57[Country],Tabela1[[#This Row],[Country]],Table57[Classification],"&gt;0")</f>
        <v>0</v>
      </c>
      <c r="KZ207" s="6">
        <f>COUNTIFS(Table58[Country],Tabela1[[#This Row],[Country]],Table58[Classification],"&gt;0")</f>
        <v>0</v>
      </c>
      <c r="LA207" s="6">
        <f>COUNTIFS(Table79[Country],Tabela1[[#This Row],[Country]],Table79[Men''s Classification],"&gt;0")</f>
        <v>0</v>
      </c>
      <c r="LB207" s="6">
        <f>COUNTIFS(Table79[Country],Tabela1[[#This Row],[Country]],Table79[Women''s Classification],"&gt;0")</f>
        <v>0</v>
      </c>
      <c r="LC207" s="6">
        <f>COUNTIFS(Table79[Country],Tabela1[[#This Row],[Country]],Table79[Mixed Classification],"&gt;0")</f>
        <v>0</v>
      </c>
      <c r="LD207" s="6">
        <f>COUNTIFS(Table65[Country],Tabela1[[#This Row],[Country]],Table65[Classification],"&gt;0")</f>
        <v>0</v>
      </c>
      <c r="LE207" s="6">
        <f>COUNTIFS(Table59[Country],Tabela1[[#This Row],[Country]],Table59[Classification],"&gt;0")</f>
        <v>0</v>
      </c>
      <c r="LF207" s="6">
        <f>COUNTIFS(Table87[Country],Tabela1[[#This Row],[Country]],Table87[Mixed Relay Classification],"&gt;0")</f>
        <v>0</v>
      </c>
      <c r="LG207" s="6">
        <f>COUNTIFS(Table91949698100[Country],Tabela1[[#This Row],[Country]],Table91949698100[Men''s Classification],"&gt;0")</f>
        <v>0</v>
      </c>
      <c r="LH207" s="6">
        <f>COUNTIFS(Table91949698100[Country],Tabela1[[#This Row],[Country]],Table91949698100[Women''s Classification],"&gt;0")</f>
        <v>0</v>
      </c>
      <c r="LI207" s="6">
        <f>COUNTIFS(Table91949698100102[Country],Tabela1[[#This Row],[Country]],Table91949698100102[Men''s Classification],"&gt;0")</f>
        <v>0</v>
      </c>
      <c r="LJ207" s="6">
        <f>COUNTIFS(Table91949698100102[Country],Tabela1[[#This Row],[Country]],Table91949698100102[Women''s Classification],"&gt;0")</f>
        <v>0</v>
      </c>
      <c r="LK207" s="6">
        <f>COUNTIFS(Table23[Country],Tabela1[[#This Row],[Country]],Table23[61kg Classification],"&gt;0")</f>
        <v>0</v>
      </c>
      <c r="LL207" s="6">
        <f>COUNTIFS(Table23[Country],Tabela1[[#This Row],[Country]],Table23[73kg Classification],"&gt;0")</f>
        <v>0</v>
      </c>
      <c r="LM207" s="6">
        <f>COUNTIFS(Table23[Country],Tabela1[[#This Row],[Country]],Table23[89kg Classification],"&gt;0")</f>
        <v>0</v>
      </c>
      <c r="LN207" s="6">
        <f>COUNTIFS(Table23[Country],Tabela1[[#This Row],[Country]],Table23[102kg Classification],"&gt;0")</f>
        <v>0</v>
      </c>
      <c r="LO207" s="6">
        <f>COUNTIFS(Table23[Country],Tabela1[[#This Row],[Country]],Table23[Plus 102kg Classification],"&gt;0")</f>
        <v>0</v>
      </c>
      <c r="LP207" s="6">
        <f>COUNTIFS(Table28[Country],Tabela1[[#This Row],[Country]],Table28[49kg Classification],"&gt;0")</f>
        <v>0</v>
      </c>
      <c r="LQ207" s="6">
        <f>COUNTIFS(Table28[Country],Tabela1[[#This Row],[Country]],Table28[59kg Classification],"&gt;0")</f>
        <v>0</v>
      </c>
      <c r="LR207" s="6">
        <f>COUNTIFS(Table28[Country],Tabela1[[#This Row],[Country]],Table28[71kg Classification],"&gt;0")</f>
        <v>0</v>
      </c>
      <c r="LS207" s="6">
        <f>COUNTIFS(Table28[Country],Tabela1[[#This Row],[Country]],Table28[81kg Classification],"&gt;0")</f>
        <v>0</v>
      </c>
      <c r="LT207" s="6">
        <f>COUNTIFS(Table28[Country],Tabela1[[#This Row],[Country]],Table28[Plus 81kg Classification],"&gt;0")</f>
        <v>0</v>
      </c>
      <c r="LU207" s="6">
        <f>COUNTIFS(Table24[Country],Tabela1[[#This Row],[Country]],Table24[Freestyle 57kg Classification],"&gt;0")</f>
        <v>0</v>
      </c>
      <c r="LV207" s="6">
        <f>COUNTIFS(Table24[Country],Tabela1[[#This Row],[Country]],Table24[Freestyle 65kg Classification],"&gt;0")</f>
        <v>0</v>
      </c>
      <c r="LW207" s="6">
        <f>COUNTIFS(Table24[Country],Tabela1[[#This Row],[Country]],Table24[Freestyle 74kg Classification],"&gt;0")</f>
        <v>0</v>
      </c>
      <c r="LX207" s="6">
        <f>COUNTIFS(Table24[Country],Tabela1[[#This Row],[Country]],Table24[Freestyle 86kg Classification],"&gt;0")</f>
        <v>0</v>
      </c>
      <c r="LY207" s="6">
        <f>COUNTIFS(Table24[Country],Tabela1[[#This Row],[Country]],Table24[Freestyle 97kg Classification],"&gt;0")</f>
        <v>0</v>
      </c>
      <c r="LZ207" s="6">
        <f>COUNTIFS(Table24[Country],Tabela1[[#This Row],[Country]],Table24[Freestyle 125kg Classification],"&gt;0")</f>
        <v>0</v>
      </c>
      <c r="MA207" s="6">
        <f>COUNTIFS(Table24[Country],Tabela1[[#This Row],[Country]],Table24[Greco-Roman 60kg Classification],"&gt;0")</f>
        <v>0</v>
      </c>
      <c r="MB207" s="6">
        <f>COUNTIFS(Table24[Country],Tabela1[[#This Row],[Country]],Table24[Greco-Roman 67kg Classification],"&gt;0")</f>
        <v>0</v>
      </c>
      <c r="MC207" s="6">
        <f>COUNTIFS(Table24[Country],Tabela1[[#This Row],[Country]],Table24[Greco-Roman 77kg Classification],"&gt;0")</f>
        <v>0</v>
      </c>
      <c r="MD207" s="6">
        <f>COUNTIFS(Table24[Country],Tabela1[[#This Row],[Country]],Table24[Greco-Roman 87kg Classification],"&gt;0")</f>
        <v>0</v>
      </c>
      <c r="ME207" s="6">
        <f>COUNTIFS(Table24[Country],Tabela1[[#This Row],[Country]],Table24[Greco-Roman 97kg Classification],"&gt;0")</f>
        <v>0</v>
      </c>
      <c r="MF207" s="6">
        <f>COUNTIFS(Table24[Country],Tabela1[[#This Row],[Country]],Table24[Greco-Roman 130kg Classification],"&gt;0")</f>
        <v>0</v>
      </c>
      <c r="MG207" s="6">
        <f>COUNTIFS(Table31[Country],Tabela1[[#This Row],[Country]],Table31[50kg Classification],"&gt;0")</f>
        <v>0</v>
      </c>
      <c r="MH207" s="6">
        <f>COUNTIFS(Table31[Country],Tabela1[[#This Row],[Country]],Table31[53kg Classification],"&gt;0")</f>
        <v>0</v>
      </c>
      <c r="MI207" s="6">
        <f>COUNTIFS(Table31[Country],Tabela1[[#This Row],[Country]],Table31[57kg Classification],"&gt;0")</f>
        <v>0</v>
      </c>
      <c r="MJ207" s="6">
        <f>COUNTIFS(Table31[Country],Tabela1[[#This Row],[Country]],Table31[62kg Classification],"&gt;0")</f>
        <v>0</v>
      </c>
      <c r="MK207" s="6">
        <f>COUNTIFS(Table31[Country],Tabela1[[#This Row],[Country]],Table31[68kg Classification],"&gt;0")</f>
        <v>0</v>
      </c>
      <c r="ML207" s="6">
        <f>COUNTIFS(Table31[Country],Tabela1[[#This Row],[Country]],Table31[76kg Classification],"&gt;0")</f>
        <v>0</v>
      </c>
      <c r="MM207" s="6">
        <f>COUNTIFS(Table102[Country],Tabela1[[#This Row],[Country]],Table102[Downhill Classification],"&gt;0")</f>
        <v>0</v>
      </c>
      <c r="MN207" s="6">
        <f>COUNTIFS(Table102105[Country],Tabela1[[#This Row],[Country]],Table102105[Downhill Classification],"&gt;0")</f>
        <v>0</v>
      </c>
      <c r="MO207" s="6">
        <f>COUNTIFS(Table102[Country],Tabela1[[#This Row],[Country]],Table102[Giant Slalom Classification],"&gt;0")</f>
        <v>0</v>
      </c>
      <c r="MP207" s="6">
        <f>COUNTIFS(Table102105[Country],Tabela1[[#This Row],[Country]],Table102105[Giant Slalom Classification],"&gt;0")</f>
        <v>0</v>
      </c>
      <c r="MQ207" s="6">
        <f>COUNTIFS(Table102[Country],Tabela1[[#This Row],[Country]],Table102[Slalom Classification],"&gt;0")</f>
        <v>0</v>
      </c>
      <c r="MR207" s="6">
        <f>COUNTIFS(Table102105[Country],Tabela1[[#This Row],[Country]],Table102105[Slalom Classification],"&gt;0")</f>
        <v>0</v>
      </c>
      <c r="MS207" s="6">
        <f>COUNTIFS(Table102[Country],Tabela1[[#This Row],[Country]],Table102[Super-G Classification],"&gt;0")</f>
        <v>0</v>
      </c>
      <c r="MT207" s="6">
        <f>COUNTIFS(Table102105[Country],Tabela1[[#This Row],[Country]],Table102105[Super-G Classification],"&gt;0")</f>
        <v>0</v>
      </c>
      <c r="MU207" s="6">
        <f>COUNTIFS(Table105[Country],Tabela1[[#This Row],[Country]],Table105[Men''s Combined Classification],"&gt;0")</f>
        <v>0</v>
      </c>
      <c r="MV207" s="6">
        <f>COUNTIFS(Table105[Country],Tabela1[[#This Row],[Country]],Table105[Women''s Combined Classification],"&gt;0")</f>
        <v>0</v>
      </c>
      <c r="MW207" s="6">
        <f>COUNTIFS(Table106[Country],Tabela1[[#This Row],[Country]],Table106[Individual Classification],"&gt;0")</f>
        <v>0</v>
      </c>
      <c r="MX207" s="6">
        <f>COUNTIFS(Table106109[Country],Tabela1[[#This Row],[Country]],Table106109[Individual Classification],"&gt;0")</f>
        <v>0</v>
      </c>
      <c r="MY207" s="6">
        <f>COUNTIFS(Table106[Country],Tabela1[[#This Row],[Country]],Table106[Mass Start Classification],"&gt;0")</f>
        <v>0</v>
      </c>
      <c r="MZ207" s="6">
        <f>COUNTIFS(Table106109[Country],Tabela1[[#This Row],[Country]],Table106109[Mass Start Classification],"&gt;0")</f>
        <v>0</v>
      </c>
      <c r="NA207" s="6">
        <f>COUNTIFS(Table106[Country],Tabela1[[#This Row],[Country]],Table106[Pursuit Classification],"&gt;0")</f>
        <v>0</v>
      </c>
      <c r="NB207" s="6">
        <f>COUNTIFS(Table106109[Country],Tabela1[[#This Row],[Country]],Table106109[Pursuit Classification],"&gt;0")</f>
        <v>0</v>
      </c>
      <c r="NC207" s="6">
        <f>COUNTIFS(Table106[Country],Tabela1[[#This Row],[Country]],Table106[Sprint Classification],"&gt;0")</f>
        <v>0</v>
      </c>
      <c r="ND207" s="6">
        <f>COUNTIFS(Table106109[Country],Tabela1[[#This Row],[Country]],Table106109[Sprint Classification],"&gt;0")</f>
        <v>0</v>
      </c>
      <c r="NE207" s="6">
        <f>COUNTIFS(Table109[Country],Tabela1[[#This Row],[Country]],Table109[Men''s Relay Classification],"&gt;0")</f>
        <v>0</v>
      </c>
      <c r="NF207" s="6">
        <f>COUNTIFS(Table109[Country],Tabela1[[#This Row],[Country]],Table109[Women''s Relay Classification],"&gt;0")</f>
        <v>0</v>
      </c>
      <c r="NG207" s="6">
        <f>COUNTIFS(Table109[Country],Tabela1[[#This Row],[Country]],Table109[Mixed Relay Classification],"&gt;0")</f>
        <v>0</v>
      </c>
      <c r="NH207" s="6">
        <f>COUNTIFS(Table110[Country],Tabela1[[#This Row],[Country]],Table110[Monobob Classification],"&gt;0")</f>
        <v>0</v>
      </c>
      <c r="NI207" s="6">
        <f>COUNTIFS(Table111[Country],Tabela1[[#This Row],[Country]],Table111[Men''s Classification],"&gt;0")</f>
        <v>0</v>
      </c>
      <c r="NJ207" s="6">
        <f>COUNTIFS(Table111[Country],Tabela1[[#This Row],[Country]],Table111[Women''s Classification],"&gt;0")</f>
        <v>0</v>
      </c>
      <c r="NK207" s="6">
        <f>COUNTIFS(Table112[Country],Tabela1[[#This Row],[Country]],Table112[Men''s Four Classification],"&gt;0")</f>
        <v>0</v>
      </c>
      <c r="NL207" s="6">
        <f>COUNTIFS(Table113[Country],Tabela1[[#This Row],[Country]],Table113[Classical Classification],"&gt;0")</f>
        <v>0</v>
      </c>
      <c r="NM207" s="6">
        <f>COUNTIFS(Table113116[Country],Tabela1[[#This Row],[Country]],Table113116[Classical Classification],"&gt;0")</f>
        <v>0</v>
      </c>
      <c r="NN207" s="6">
        <f>COUNTIFS(Table113[Country],Tabela1[[#This Row],[Country]],Table113[Freestyle Classification],"&gt;0")</f>
        <v>0</v>
      </c>
      <c r="NO207" s="6">
        <f>COUNTIFS(Table113116[Country],Tabela1[[#This Row],[Country]],Table113116[Freestyle Classification],"&gt;0")</f>
        <v>0</v>
      </c>
      <c r="NP207" s="6">
        <f>COUNTIFS(Table117[Country],Tabela1[[#This Row],[Country]],Table117[Men''s Relay Classification],"&gt;0")</f>
        <v>0</v>
      </c>
      <c r="NQ207" s="6">
        <f>COUNTIFS(Table117[Country],Tabela1[[#This Row],[Country]],Table117[Women''s Relay Classification],"&gt;0")</f>
        <v>0</v>
      </c>
      <c r="NR207" s="6">
        <f>COUNTIFS(Table113[Country],Tabela1[[#This Row],[Country]],Table113[Skiathlon Classification],"&gt;0")</f>
        <v>0</v>
      </c>
      <c r="NS207" s="6">
        <f>COUNTIFS(Table113116[Country],Tabela1[[#This Row],[Country]],Table113116[Skiathlon Classification],"&gt;0")</f>
        <v>0</v>
      </c>
      <c r="NT207" s="6">
        <f>COUNTIFS(Table113[Country],Tabela1[[#This Row],[Country]],Table113[Sprint Classification],"&gt;0")</f>
        <v>0</v>
      </c>
      <c r="NU207" s="6">
        <f>COUNTIFS(Table113116[Country],Tabela1[[#This Row],[Country]],Table113116[Sprint Classification],"&gt;0")</f>
        <v>0</v>
      </c>
      <c r="NV207" s="6">
        <f>COUNTIFS(Table116[Country],Tabela1[[#This Row],[Country]],Table116[Men''s Team Sprint Classification],"&gt;0")</f>
        <v>0</v>
      </c>
      <c r="NW207" s="6">
        <f>COUNTIFS(Table116[Country],Tabela1[[#This Row],[Country]],Table116[Women''s Team Sprint Classification],"&gt;0")</f>
        <v>0</v>
      </c>
      <c r="NX207" s="6">
        <f>COUNTIFS(Table119[Country],Tabela1[[#This Row],[Country]],Table119[Men''s Classification],"&gt;0")</f>
        <v>0</v>
      </c>
      <c r="NY207" s="6">
        <f>COUNTIFS(Table119[Country],Tabela1[[#This Row],[Country]],Table119[Women''s Classification],"&gt;0")</f>
        <v>0</v>
      </c>
      <c r="NZ207" s="6">
        <f>COUNTIFS(Table118[Country],Tabela1[[#This Row],[Country]],Table118[Mixed Classification],"&gt;0")</f>
        <v>0</v>
      </c>
      <c r="OA207" s="6">
        <f>COUNTIFS(Table120[Country],Tabela1[[#This Row],[Country]],Table120[Classification],"&gt;0")</f>
        <v>0</v>
      </c>
      <c r="OB207" s="6">
        <f>COUNTIFS(Table120123[Country],Tabela1[[#This Row],[Country]],Table120123[Classification],"&gt;0")</f>
        <v>0</v>
      </c>
      <c r="OC207" s="6">
        <f>COUNTIFS(Table123[Country],Tabela1[[#This Row],[Country]],Table123[Ice Dance Classification],"&gt;0")</f>
        <v>0</v>
      </c>
      <c r="OD207" s="6">
        <f>COUNTIFS(Table123[Country],Tabela1[[#This Row],[Country]],Table123[Pair Skating Classification],"&gt;0")</f>
        <v>0</v>
      </c>
      <c r="OE207" s="6">
        <f>COUNTIFS(Table124[Country],Tabela1[[#This Row],[Country]],Table124[Mixed Classification],"&gt;0")</f>
        <v>0</v>
      </c>
      <c r="OF207" s="6">
        <f>COUNTIFS(Table125[Country],Tabela1[[#This Row],[Country]],Table125[Aerials Classification],"&gt;0")</f>
        <v>0</v>
      </c>
      <c r="OG207" s="6">
        <f>COUNTIFS(Table125128[Country],Tabela1[[#This Row],[Country]],Table125128[Aerials Classification],"&gt;0")</f>
        <v>0</v>
      </c>
      <c r="OH207" s="6">
        <f>COUNTIFS(Table128[Country],Tabela1[[#This Row],[Country]],Table128[Mixed Aerials Classification],"&gt;0")</f>
        <v>0</v>
      </c>
      <c r="OI207" s="6">
        <f>COUNTIFS(Table125[Country],Tabela1[[#This Row],[Country]],Table125[Big Air Classification],"&gt;0")</f>
        <v>0</v>
      </c>
      <c r="OJ207" s="6">
        <f>COUNTIFS(Table125128[Country],Tabela1[[#This Row],[Country]],Table125128[Big Air Classification],"&gt;0")</f>
        <v>0</v>
      </c>
      <c r="OK207" s="6">
        <f>COUNTIFS(Table125[Country],Tabela1[[#This Row],[Country]],Table125[Dual Moguls Classification],"&gt;0")</f>
        <v>0</v>
      </c>
      <c r="OL207" s="6">
        <f>COUNTIFS(Table125128[Country],Tabela1[[#This Row],[Country]],Table125128[Dual Moguls Classification],"&gt;0")</f>
        <v>0</v>
      </c>
      <c r="OM207" s="6">
        <f>COUNTIFS(Table125[Country],Tabela1[[#This Row],[Country]],Table125[Halfpipe Classification],"&gt;0")</f>
        <v>0</v>
      </c>
      <c r="ON207" s="6">
        <f>COUNTIFS(Table125128[Country],Tabela1[[#This Row],[Country]],Table125128[Halfpipe Classification],"&gt;0")</f>
        <v>0</v>
      </c>
      <c r="OO207" s="6">
        <f>COUNTIFS(Table125[Country],Tabela1[[#This Row],[Country]],Table125[Moguls Classification],"&gt;0")</f>
        <v>0</v>
      </c>
      <c r="OP207" s="6">
        <f>COUNTIFS(Table125128[Country],Tabela1[[#This Row],[Country]],Table125128[Moguls Classification],"&gt;0")</f>
        <v>0</v>
      </c>
      <c r="OQ207" s="6">
        <f>COUNTIFS(Table125[Country],Tabela1[[#This Row],[Country]],Table125[Ski Cross Classification],"&gt;0")</f>
        <v>0</v>
      </c>
      <c r="OR207" s="6">
        <f>COUNTIFS(Table125128[Country],Tabela1[[#This Row],[Country]],Table125128[Ski Cross Classification],"&gt;0")</f>
        <v>0</v>
      </c>
      <c r="OS207" s="6">
        <f>COUNTIFS(Table125[Country],Tabela1[[#This Row],[Country]],Table125[Slopestyle Classification],"&gt;0")</f>
        <v>0</v>
      </c>
      <c r="OT207" s="6">
        <f>COUNTIFS(Table125128[Country],Tabela1[[#This Row],[Country]],Table125128[Slopestyle Classification],"&gt;0")</f>
        <v>0</v>
      </c>
      <c r="OU207" s="6">
        <f>COUNTIFS(Table119131[Country],Tabela1[[#This Row],[Country]],Table119131[Men''s Classification],"&gt;0")</f>
        <v>0</v>
      </c>
      <c r="OV207" s="6">
        <f>COUNTIFS(Table119131[Country],Tabela1[[#This Row],[Country]],Table119131[Women''s Classification],"&gt;0")</f>
        <v>0</v>
      </c>
      <c r="OW207" s="6">
        <f>COUNTIFS(Table131[Country],Tabela1[[#This Row],[Country]],Table131[Classification],"&gt;0")</f>
        <v>0</v>
      </c>
      <c r="OX207" s="6">
        <f>COUNTIFS(Table131134[Country],Tabela1[[#This Row],[Country]],Table131134[Classification],"&gt;0")</f>
        <v>0</v>
      </c>
      <c r="OY207" s="6">
        <f>COUNTIFS(Table134[Country],Tabela1[[#This Row],[Country]],Table134[Men''s Classification],"&gt;0")</f>
        <v>0</v>
      </c>
      <c r="OZ207" s="6">
        <f>COUNTIFS(Table134[Country],Tabela1[[#This Row],[Country]],Table134[Women''s Classification],"&gt;0")</f>
        <v>0</v>
      </c>
      <c r="PA207" s="6">
        <f>COUNTIFS(Table135[Country],Tabela1[[#This Row],[Country]],Table135[Mixed Relay Classification],"&gt;0")</f>
        <v>0</v>
      </c>
      <c r="PB207" s="6">
        <f>COUNTIFS(Table136[Country],Tabela1[[#This Row],[Country]],Table136[Individual Classification],"&gt;0")</f>
        <v>0</v>
      </c>
      <c r="PC207" s="6">
        <f>COUNTIFS(Table136[Country],Tabela1[[#This Row],[Country]],Table136[Sprint Classification],"&gt;0")</f>
        <v>0</v>
      </c>
      <c r="PD207" s="6">
        <f>COUNTIFS(Table137[Country],Tabela1[[#This Row],[Country]],Table137[Men''s Team Sprint Large Hill Classification],"&gt;0")</f>
        <v>0</v>
      </c>
      <c r="PE207" s="6">
        <f>COUNTIFS(Table138[Country],Tabela1[[#This Row],[Country]],Table138[500m Classification],"&gt;0")</f>
        <v>0</v>
      </c>
      <c r="PF207" s="6">
        <f>COUNTIFS(Table138141[Country],Tabela1[[#This Row],[Country]],Table138141[500m Classification],"&gt;0")</f>
        <v>0</v>
      </c>
      <c r="PG207" s="6">
        <f>COUNTIFS(Table138[Country],Tabela1[[#This Row],[Country]],Table138[1000m Classification],"&gt;0")</f>
        <v>0</v>
      </c>
      <c r="PH207" s="6">
        <f>COUNTIFS(Table138141[Country],Tabela1[[#This Row],[Country]],Table138141[1000m Classification],"&gt;0")</f>
        <v>0</v>
      </c>
      <c r="PI207" s="6">
        <f>COUNTIFS(Table138[Country],Tabela1[[#This Row],[Country]],Table138[1500m Classification],"&gt;0")</f>
        <v>0</v>
      </c>
      <c r="PJ207" s="6">
        <f>COUNTIFS(Table138141[Country],Tabela1[[#This Row],[Country]],Table138141[1500m Classification],"&gt;0")</f>
        <v>0</v>
      </c>
      <c r="PK207" s="6">
        <f>COUNTIFS(Table141[Country],Tabela1[[#This Row],[Country]],Table141[Men''s 5000m Relay Classification],"&gt;0")</f>
        <v>0</v>
      </c>
      <c r="PL207" s="6">
        <f>COUNTIFS(Table141[Country],Tabela1[[#This Row],[Country]],Table141[Women''s 3000m Relay Classification],"&gt;0")</f>
        <v>0</v>
      </c>
      <c r="PM207" s="6">
        <f>COUNTIFS(Table141[Country],Tabela1[[#This Row],[Country]],Table141[Mixed 2000m Relay Classification],"&gt;0")</f>
        <v>0</v>
      </c>
      <c r="PN207" s="6">
        <f>COUNTIFS(Table142[Country],Tabela1[[#This Row],[Country]],Table142[Classification],"&gt;0")</f>
        <v>0</v>
      </c>
      <c r="PO207" s="6">
        <f>COUNTIFS(Table142145[Country],Tabela1[[#This Row],[Country]],Table142145[Classification],"&gt;0")</f>
        <v>0</v>
      </c>
      <c r="PP207" s="6">
        <f>COUNTIFS(Tabela15[Country],Tabela1[[#This Row],[Country]],Tabela15[Mixed Team Classification],"&gt;0")</f>
        <v>0</v>
      </c>
      <c r="PQ207" s="6">
        <f>COUNTIFS(Table145[Country],Tabela1[[#This Row],[Country]],Table145[Large Hill Classification],"&gt;0")</f>
        <v>0</v>
      </c>
      <c r="PR207" s="6">
        <f>COUNTIFS(Table145[Country],Tabela1[[#This Row],[Country]],Table145[Normal Hill Classification],"&gt;0")</f>
        <v>0</v>
      </c>
      <c r="PS207" s="6">
        <f>COUNTIFS(Table145148[Country],Tabela1[[#This Row],[Country]],Table145148[Large Hill Classification],"&gt;0")</f>
        <v>0</v>
      </c>
      <c r="PT207" s="6">
        <f>COUNTIFS(Table145148[Country],Tabela1[[#This Row],[Country]],Table145148[Normal Hill Classification],"&gt;0")</f>
        <v>0</v>
      </c>
      <c r="PU207" s="6">
        <f>COUNTIFS(Table148[Country],Tabela1[[#This Row],[Country]],Table148[Men''s Super Team Classification],"&gt;0")</f>
        <v>0</v>
      </c>
      <c r="PV207" s="6">
        <f>COUNTIFS(Tabela114[Country],Tabela1[[#This Row],[Country]],Tabela114[Mixed Normal Hill Classification],"&gt;0")</f>
        <v>0</v>
      </c>
      <c r="PW207" s="6">
        <f>COUNTIFS(Tabela50[Country],Tabela1[[#This Row],[Country]],Tabela50[Sprint Classification],"&gt;0")</f>
        <v>0</v>
      </c>
      <c r="PX207" s="6">
        <f>COUNTIFS(Tabela50101[Country],Tabela1[[#This Row],[Country]],Tabela50101[Sprint Classification],"&gt;0")</f>
        <v>0</v>
      </c>
      <c r="PY207" s="6">
        <f>COUNTIFS(Tabela103[Country],Tabela1[[#This Row],[Country]],Tabela103[Mixed Relay Classification],"&gt;0")</f>
        <v>0</v>
      </c>
      <c r="PZ207" s="6">
        <f>COUNTIFS(Table149[Country],Tabela1[[#This Row],[Country]],Table149[Big Air Classification],"&gt;0")</f>
        <v>0</v>
      </c>
      <c r="QA207" s="6">
        <f>COUNTIFS(Table149152[Country],Tabela1[[#This Row],[Country]],Table149152[Big Air Classification],"&gt;0")</f>
        <v>0</v>
      </c>
      <c r="QB207" s="6">
        <f>COUNTIFS(Table149[Country],Tabela1[[#This Row],[Country]],Table149[Halfpipe Classification],"&gt;0")</f>
        <v>0</v>
      </c>
      <c r="QC207" s="6">
        <f>COUNTIFS(Table149152[Country],Tabela1[[#This Row],[Country]],Table149152[Halfpipe Classification],"&gt;0")</f>
        <v>0</v>
      </c>
      <c r="QD207" s="6">
        <f>COUNTIFS(Table149[Country],Tabela1[[#This Row],[Country]],Table149[Parallel Giant Slalom Classification],"&gt;0")</f>
        <v>0</v>
      </c>
      <c r="QE207" s="6">
        <f>COUNTIFS(Table149152[Country],Tabela1[[#This Row],[Country]],Table149152[Parallel Giant Slalom Classification],"&gt;0")</f>
        <v>0</v>
      </c>
      <c r="QF207" s="6">
        <f>COUNTIFS(Table149[Country],Tabela1[[#This Row],[Country]],Table149[Slopestyle Classification],"&gt;0")</f>
        <v>0</v>
      </c>
      <c r="QG207" s="6">
        <f>COUNTIFS(Table149152[Country],Tabela1[[#This Row],[Country]],Table149152[Slopestyle Classification],"&gt;0")</f>
        <v>0</v>
      </c>
      <c r="QH207" s="6">
        <f>COUNTIFS(Table149[Country],Tabela1[[#This Row],[Country]],Table149[Snowboard Cross Classification],"&gt;0")</f>
        <v>0</v>
      </c>
      <c r="QI207" s="6">
        <f>COUNTIFS(Table149152[Country],Tabela1[[#This Row],[Country]],Table149152[Snowboard Cross Classification],"&gt;0")</f>
        <v>0</v>
      </c>
      <c r="QJ207" s="6">
        <f>COUNTIFS(Table153[Country],Tabela1[[#This Row],[Country]],Table153[Mixed Team Snowboard Cross Classification],"&gt;0")</f>
        <v>0</v>
      </c>
      <c r="QK207" s="6">
        <f>COUNTIFS(Table154[Country],Tabela1[[#This Row],[Country]],Table154[500m Classification],"&gt;0")</f>
        <v>0</v>
      </c>
      <c r="QL207" s="6">
        <f>COUNTIFS(Table154157[Country],Tabela1[[#This Row],[Country]],Table154157[500m Classification],"&gt;0")</f>
        <v>0</v>
      </c>
      <c r="QM207" s="6">
        <f>COUNTIFS(Table154[Country],Tabela1[[#This Row],[Country]],Table154[1000m Classification],"&gt;0")</f>
        <v>0</v>
      </c>
      <c r="QN207" s="6">
        <f>COUNTIFS(Table154157[Country],Tabela1[[#This Row],[Country]],Table154157[1000m Classification],"&gt;0")</f>
        <v>0</v>
      </c>
      <c r="QO207" s="6">
        <f>COUNTIFS(Table154[Country],Tabela1[[#This Row],[Country]],Table154[1500m Classification],"&gt;0")</f>
        <v>0</v>
      </c>
      <c r="QP207" s="6">
        <f>COUNTIFS(Table154157[Country],Tabela1[[#This Row],[Country]],Table154157[1500m Classification],"&gt;0")</f>
        <v>0</v>
      </c>
      <c r="QQ207" s="6">
        <f>COUNTIFS(Table154157[Country],Tabela1[[#This Row],[Country]],Table154157[3000m Classification],"&gt;0")</f>
        <v>0</v>
      </c>
      <c r="QR207" s="6">
        <f>COUNTIFS(Table154[Country],Tabela1[[#This Row],[Country]],Table154[5000m Classification],"&gt;0")</f>
        <v>0</v>
      </c>
      <c r="QS207" s="6">
        <f>COUNTIFS(Table154157[Country],Tabela1[[#This Row],[Country]],Table154157[5000m Classification],"&gt;0")</f>
        <v>0</v>
      </c>
      <c r="QT207" s="6">
        <f>COUNTIFS(Table154[Country],Tabela1[[#This Row],[Country]],Table154[10000m Classification],"&gt;0")</f>
        <v>0</v>
      </c>
      <c r="QU207" s="6">
        <f>COUNTIFS(Table154[Country],Tabela1[[#This Row],[Country]],Table154[Mass Start Classification],"&gt;0")</f>
        <v>0</v>
      </c>
      <c r="QV207" s="6">
        <f>COUNTIFS(Table154157[Country],Tabela1[[#This Row],[Country]],Table154157[Mass Start Classification],"&gt;0")</f>
        <v>0</v>
      </c>
      <c r="QW207" s="6">
        <f>COUNTIFS(Table157[Country],Tabela1[[#This Row],[Country]],Table157[Men''s Pursuit Classification],"&gt;0")</f>
        <v>0</v>
      </c>
      <c r="QX207" s="6">
        <f>COUNTIFS(Table157[Country],Tabela1[[#This Row],[Country]],Table157[Women''s Pursuit Classification],"&gt;0")</f>
        <v>0</v>
      </c>
      <c r="QY207" s="4" t="s">
        <v>723</v>
      </c>
    </row>
    <row r="208" spans="1:467" x14ac:dyDescent="0.3">
      <c r="A208" s="6">
        <v>207</v>
      </c>
      <c r="B208" s="6" t="s">
        <v>728</v>
      </c>
      <c r="C208" t="e" vm="207">
        <f>IF(ISBLANK(Tabela1[[#This Row],[Image Link]]), "", _xlfn.IMAGE(Tabela1[[#This Row],[Image Link]],1,1))</f>
        <v>#VALUE!</v>
      </c>
      <c r="D208" s="6">
        <f>SUM(Tabela1[[#This Row],[Archery - Men''s Individual Recurve]:[Speed Skating - Women''s Team Pursuit]])</f>
        <v>0</v>
      </c>
      <c r="E208" s="6">
        <f>COUNTIF(Tabela1[[#This Row],[Archery - Men''s Individual Recurve]:[Speed Skating - Women''s Team Pursuit]],"&gt;0")</f>
        <v>0</v>
      </c>
      <c r="F208" s="6" t="str">
        <f>IF(SUM(Tabela1[[#This Row],[Archery - Men''s Individual Recurve]:[Wrestling - Women''s Freestyle 76kg]])&gt;=SUM(Tabela1[[#This Row],[Alpine Skiing - Men''s Downhill]:[Speed Skating - Women''s Team Pursuit]]),"Summer Olympics","Winter Olympics")</f>
        <v>Summer Olympics</v>
      </c>
      <c r="G208" s="6">
        <f>SUM(Tabela1[[#This Row],[Archery - Men''s Individual Recurve]:[Wrestling - Women''s Freestyle 76kg]])</f>
        <v>0</v>
      </c>
      <c r="H208" s="6">
        <f>SUM(Tabela1[[#This Row],[Alpine Skiing - Men''s Downhill]:[Speed Skating - Women''s Team Pursuit]])</f>
        <v>0</v>
      </c>
      <c r="I208" s="6">
        <f>Tabela1[[#This Row],[Summer Gold Medals]]+Tabela1[[#This Row],[Winter Gold Medals]]</f>
        <v>0</v>
      </c>
      <c r="J208" s="6">
        <f>Tabela1[[#This Row],[Summer Silver Medals]]+Tabela1[[#This Row],[Winter Silver Medals]]</f>
        <v>0</v>
      </c>
      <c r="K208" s="6">
        <f>Tabela1[[#This Row],[Summer Bronze Medals]]+Tabela1[[#This Row],[Winter Bronze Medals]]</f>
        <v>0</v>
      </c>
      <c r="L208" s="6">
        <f>SUM(Tabela1[[#This Row],[Total Gold Medals]:[Total Bronze Medals]])</f>
        <v>0</v>
      </c>
      <c r="M208" s="6"/>
      <c r="N208" s="6"/>
      <c r="O208" s="6"/>
      <c r="P208" s="6">
        <f>SUM(Tabela1[[#This Row],[Summer Gold Medals]:[Summer Bronze Medals]])</f>
        <v>0</v>
      </c>
      <c r="Q208" s="6"/>
      <c r="R208" s="6"/>
      <c r="S208" s="6"/>
      <c r="T208" s="6">
        <f>Tabela1[[#This Row],[Winter Gold Medals]]+Tabela1[[#This Row],[Winter Silver Medals]]+Tabela1[[#This Row],[Winter Bronze Medals]]</f>
        <v>0</v>
      </c>
      <c r="U208" s="7" t="e">
        <f>Tabela1[[#This Row],[Total Medals]]/Tabela1[[#This Row],[Total Quotas]]</f>
        <v>#DIV/0!</v>
      </c>
      <c r="V208" s="6">
        <f>COUNTIFS(Table3[Country],Tabela1[[#This Row],[Country]],Table3[Recurve Classification],"&gt;0")</f>
        <v>0</v>
      </c>
      <c r="W208" s="6">
        <f>COUNTIFS(Table33[Country],Tabela1[[#This Row],[Country]],Table33[Recurve Classification],"&gt;0")</f>
        <v>0</v>
      </c>
      <c r="X208" s="6">
        <f>COUNTIFS(Table35[Country],Tabela1[[#This Row],[Country]],Table35[Men''s Team Recurve Classification],"&gt;0")</f>
        <v>0</v>
      </c>
      <c r="Y208" s="6">
        <f>COUNTIFS(Table35[Country],Tabela1[[#This Row],[Country]],Table35[Women''s Team Recurve Classification],"&gt;0")</f>
        <v>0</v>
      </c>
      <c r="Z208" s="6">
        <f>COUNTIFS(Tabela88[Country],Tabela1[[#This Row],[Country]],Tabela88[Mixed Team Recurve Classification],"&gt;0")</f>
        <v>0</v>
      </c>
      <c r="AA208" s="6">
        <f>COUNTIFS(Table36[Country],Tabela1[[#This Row],[Country]],Table36[Classification],"&gt;0")</f>
        <v>0</v>
      </c>
      <c r="AB208" s="6">
        <f>COUNTIFS(Table37[Country],Tabela1[[#This Row],[Country]],Table37[Classification],"&gt;0")</f>
        <v>0</v>
      </c>
      <c r="AC208" s="6">
        <f>COUNTIFS(Table4[Country],Tabela1[[#This Row],[Country]],Table4[100m Classification],"&gt;0")</f>
        <v>0</v>
      </c>
      <c r="AD208" s="6">
        <f>COUNTIFS(Table5[Country],Tabela1[[#This Row],[Country]],Table5[100m Classification],"&gt;0")</f>
        <v>0</v>
      </c>
      <c r="AE208" s="6">
        <f>COUNTIFS(Table4[Country],Tabela1[[#This Row],[Country]],Table4[200m Classification],"&gt;0")</f>
        <v>0</v>
      </c>
      <c r="AF208" s="6">
        <f>COUNTIFS(Table5[Country],Tabela1[[#This Row],[Country]],Table5[200m Classification],"&gt;0")</f>
        <v>0</v>
      </c>
      <c r="AG208" s="6">
        <f>COUNTIFS(Table4[Country],Tabela1[[#This Row],[Country]],Table4[400m Classification],"&gt;0")</f>
        <v>0</v>
      </c>
      <c r="AH208" s="6">
        <f>COUNTIFS(Table5[Country],Tabela1[[#This Row],[Country]],Table5[400m Classification],"&gt;0")</f>
        <v>0</v>
      </c>
      <c r="AI208" s="6">
        <f>COUNTIFS(Table4[Country],Tabela1[[#This Row],[Country]],Table4[800m Classification],"&gt;0")</f>
        <v>0</v>
      </c>
      <c r="AJ208" s="6">
        <f>COUNTIFS(Table5[Country],Tabela1[[#This Row],[Country]],Table5[800m Classification],"&gt;0")</f>
        <v>0</v>
      </c>
      <c r="AK208" s="6">
        <f>COUNTIFS(Table4[Country],Tabela1[[#This Row],[Country]],Table4[1500m Classification],"&gt;0")</f>
        <v>0</v>
      </c>
      <c r="AL208" s="6">
        <f>COUNTIFS(Table5[Country],Tabela1[[#This Row],[Country]],Table5[1500m Classification],"&gt;0")</f>
        <v>0</v>
      </c>
      <c r="AM208" s="6">
        <f>COUNTIFS(Table4[Country],Tabela1[[#This Row],[Country]],Table4[5000m Classification],"&gt;0")</f>
        <v>0</v>
      </c>
      <c r="AN208" s="6">
        <f>COUNTIFS(Table5[Country],Tabela1[[#This Row],[Country]],Table5[5000m Classification],"&gt;0")</f>
        <v>0</v>
      </c>
      <c r="AO208" s="6">
        <f>COUNTIFS(Table4[Country],Tabela1[[#This Row],[Country]],Table4[10000m Classification],"&gt;0")</f>
        <v>0</v>
      </c>
      <c r="AP208" s="6">
        <f>COUNTIFS(Table5[Country],Tabela1[[#This Row],[Country]],Table5[10000m Classification],"&gt;0")</f>
        <v>0</v>
      </c>
      <c r="AQ208" s="6">
        <f>COUNTIFS(Table4[Country],Tabela1[[#This Row],[Country]],Table4[110m Hurdles Classification],"&gt;0")</f>
        <v>0</v>
      </c>
      <c r="AR208" s="6">
        <f>COUNTIFS(Table5[Country],Tabela1[[#This Row],[Country]],Table5[100m Hurdles Classification],"&gt;0")</f>
        <v>0</v>
      </c>
      <c r="AS208" s="6">
        <f>COUNTIFS(Table4[Country],Tabela1[[#This Row],[Country]],Table4[400m Hurdles Classification],"&gt;0")</f>
        <v>0</v>
      </c>
      <c r="AT208" s="6">
        <f>COUNTIFS(Table5[Country],Tabela1[[#This Row],[Country]],Table5[400m Hurdles Classification],"&gt;0")</f>
        <v>0</v>
      </c>
      <c r="AU208" s="6">
        <f>COUNTIFS(Table4[Country],Tabela1[[#This Row],[Country]],Table4[3000m Steeplechase Classification],"&gt;0")</f>
        <v>0</v>
      </c>
      <c r="AV208" s="6">
        <f>COUNTIFS(Table5[Country],Tabela1[[#This Row],[Country]],Table5[3000m Steeplechase Classification],"&gt;0")</f>
        <v>0</v>
      </c>
      <c r="AW208" s="6">
        <f>COUNTIFS(Table27[Country],Tabela1[[#This Row],[Country]],Table27[Men''s 4x100m Relay Classification],"&gt;0")</f>
        <v>0</v>
      </c>
      <c r="AX208" s="6">
        <f>COUNTIFS(Table27[Country],Tabela1[[#This Row],[Country]],Table27[Women''s 4x100m Relay Classification],"&gt;0")</f>
        <v>0</v>
      </c>
      <c r="AY208" s="6">
        <f>COUNTIFS(Table27[Country],Tabela1[[#This Row],[Country]],Table27[Men''s 4x400m Relay Classification],"&gt;0")</f>
        <v>0</v>
      </c>
      <c r="AZ208" s="6">
        <f>COUNTIFS(Table27[Country],Tabela1[[#This Row],[Country]],Table27[Women''s 4x400m Relay Classification],"&gt;0")</f>
        <v>0</v>
      </c>
      <c r="BA208" s="6">
        <f>COUNTIFS(Table27[Country],Tabela1[[#This Row],[Country]],Table27[Mixed 4x400m Relay Classification],"&gt;0")</f>
        <v>0</v>
      </c>
      <c r="BB208" s="6">
        <f>COUNTIFS(Table4[Country],Tabela1[[#This Row],[Country]],Table4[Marathon Classification],"&gt;0")</f>
        <v>0</v>
      </c>
      <c r="BC208" s="6">
        <f>COUNTIFS(Table5[Country],Tabela1[[#This Row],[Country]],Table5[Marathon Classification],"&gt;0")</f>
        <v>0</v>
      </c>
      <c r="BD208" s="6">
        <f>COUNTIFS(Table4[Country],Tabela1[[#This Row],[Country]],Table4[20km Race Walk Classification],"&gt;0")</f>
        <v>0</v>
      </c>
      <c r="BE208" s="6">
        <f>COUNTIFS(Table5[Country],Tabela1[[#This Row],[Country]],Table5[20km Race Walk Classification],"&gt;0")</f>
        <v>0</v>
      </c>
      <c r="BF208" s="6">
        <f>COUNTIFS(Tabela96[Country],Tabela1[[#This Row],[Country]],Tabela96[Mixed Marathon Race Walk Relay Classification],"&gt;0")</f>
        <v>0</v>
      </c>
      <c r="BG208" s="6">
        <f>COUNTIFS(Table4[Country],Tabela1[[#This Row],[Country]],Table4[Discus Throw Classification],"&gt;0")</f>
        <v>0</v>
      </c>
      <c r="BH208" s="6">
        <f>COUNTIFS(Table5[Country],Tabela1[[#This Row],[Country]],Table5[Discus Throw Classification],"&gt;0")</f>
        <v>0</v>
      </c>
      <c r="BI208" s="6">
        <f>COUNTIFS(Table4[Country],Tabela1[[#This Row],[Country]],Table4[Hammer Throw Classification],"&gt;0")</f>
        <v>0</v>
      </c>
      <c r="BJ208" s="6">
        <f>COUNTIFS(Table5[Country],Tabela1[[#This Row],[Country]],Table5[Hammer Throw Classification],"&gt;0")</f>
        <v>0</v>
      </c>
      <c r="BK208" s="6">
        <f>COUNTIFS(Table4[Country],Tabela1[[#This Row],[Country]],Table4[High Jump Classification],"&gt;0")</f>
        <v>0</v>
      </c>
      <c r="BL208" s="6">
        <f>COUNTIFS(Table5[Country],Tabela1[[#This Row],[Country]],Table5[High Jump Classification],"&gt;0")</f>
        <v>0</v>
      </c>
      <c r="BM208" s="6">
        <f>COUNTIFS(Table4[Country],Tabela1[[#This Row],[Country]],Table4[Javelin Throw Classification],"&gt;0")</f>
        <v>0</v>
      </c>
      <c r="BN208" s="6">
        <f>COUNTIFS(Table5[Country],Tabela1[[#This Row],[Country]],Table5[Javelin Throw Classification],"&gt;0")</f>
        <v>0</v>
      </c>
      <c r="BO208" s="6">
        <f>COUNTIFS(Table4[Country],Tabela1[[#This Row],[Country]],Table4[Long Jump Classification],"&gt;0")</f>
        <v>0</v>
      </c>
      <c r="BP208" s="6">
        <f>COUNTIFS(Table5[Country],Tabela1[[#This Row],[Country]],Table5[Long Jump Classification],"&gt;0")</f>
        <v>0</v>
      </c>
      <c r="BQ208" s="6">
        <f>COUNTIFS(Table4[Country],Tabela1[[#This Row],[Country]],Table4[Pole Vault Classification],"&gt;0")</f>
        <v>0</v>
      </c>
      <c r="BR208" s="6">
        <f>COUNTIFS(Table5[Country],Tabela1[[#This Row],[Country]],Table5[Pole Vault Classification],"&gt;0")</f>
        <v>0</v>
      </c>
      <c r="BS208" s="6">
        <f>COUNTIFS(Table4[Country],Tabela1[[#This Row],[Country]],Table4[Shot Put Classification],"&gt;0")</f>
        <v>0</v>
      </c>
      <c r="BT208" s="6">
        <f>COUNTIFS(Table5[Country],Tabela1[[#This Row],[Country]],Table5[Shot Put Classification],"&gt;0")</f>
        <v>0</v>
      </c>
      <c r="BU208" s="6">
        <f>COUNTIFS(Table4[Country],Tabela1[[#This Row],[Country]],Table4[Triple Jump Classification],"&gt;0")</f>
        <v>0</v>
      </c>
      <c r="BV208" s="6">
        <f>COUNTIFS(Table5[Country],Tabela1[[#This Row],[Country]],Table5[Triple Jump Classification],"&gt;0")</f>
        <v>0</v>
      </c>
      <c r="BW208" s="6">
        <f>COUNTIFS(Table4[Country],Tabela1[[#This Row],[Country]],Table4[Decathlon Classification],"&gt;0")</f>
        <v>0</v>
      </c>
      <c r="BX208" s="6">
        <f>COUNTIFS(Table5[Country],Tabela1[[#This Row],[Country]],Table5[Heptathlon Classification],"&gt;0")</f>
        <v>0</v>
      </c>
      <c r="BY208" s="6">
        <f>COUNTIFS(Table61[Country],Tabela1[[#This Row],[Country]],Table61[Classification],"&gt;0")</f>
        <v>0</v>
      </c>
      <c r="BZ208" s="6">
        <f>COUNTIFS(Table38[Country],Tabela1[[#This Row],[Country]],Table38[Classification],"&gt;0")</f>
        <v>0</v>
      </c>
      <c r="CA208" s="6">
        <f>COUNTIFS(Table39[Country],Tabela1[[#This Row],[Country]],Table39[Men''s Classification],"&gt;0")</f>
        <v>0</v>
      </c>
      <c r="CB208" s="6">
        <f>COUNTIFS(Table39[Country],Tabela1[[#This Row],[Country]],Table39[Women''s Classification],"&gt;0")</f>
        <v>0</v>
      </c>
      <c r="CC208" s="6">
        <f>COUNTIFS(Table39[Country],Tabela1[[#This Row],[Country]],Table39[Mixed Classification],"&gt;0")</f>
        <v>0</v>
      </c>
      <c r="CD208" s="6">
        <f>COUNTIFS(Table89[Country],Tabela1[[#This Row],[Country]],Table89[Men''s Classification],"&gt;0")</f>
        <v>0</v>
      </c>
      <c r="CE208" s="6">
        <f>COUNTIFS(Table89[Country],Tabela1[[#This Row],[Country]],Table89[Women''s Classification],"&gt;0")</f>
        <v>0</v>
      </c>
      <c r="CF208" s="6">
        <f>COUNTIFS(Table90[Country],Tabela1[[#This Row],[Country]],Table90[Men''s Classification],"&gt;0")</f>
        <v>0</v>
      </c>
      <c r="CG208" s="6">
        <f>COUNTIFS(Table90[Country],Tabela1[[#This Row],[Country]],Table90[Women''s Classification],"&gt;0")</f>
        <v>0</v>
      </c>
      <c r="CH208" s="6">
        <f>COUNTIFS(Table60[Country],Tabela1[[#This Row],[Country]],Table60[Men''s Classification],"&gt;0")</f>
        <v>0</v>
      </c>
      <c r="CI208" s="6">
        <f>COUNTIFS(Table60[Country],Tabela1[[#This Row],[Country]],Table60[Women''s Classification],"&gt;0")</f>
        <v>0</v>
      </c>
      <c r="CJ208" s="6">
        <f>COUNTIFS(Table6[Country],Tabela1[[#This Row],[Country]],Table6[51kg Classification],"&gt;0")</f>
        <v>0</v>
      </c>
      <c r="CK208" s="6">
        <f>COUNTIFS(Table6[Country],Tabela1[[#This Row],[Country]],Table6[57kg Classification],"&gt;0")</f>
        <v>0</v>
      </c>
      <c r="CL208" s="6">
        <f>COUNTIFS(Table6[Country],Tabela1[[#This Row],[Country]],Table6[63.5kg Classification],"&gt;0")</f>
        <v>0</v>
      </c>
      <c r="CM208" s="6">
        <f>COUNTIFS(Table6[Country],Tabela1[[#This Row],[Country]],Table6[71kg Classification],"&gt;0")</f>
        <v>0</v>
      </c>
      <c r="CN208" s="6">
        <f>COUNTIFS(Table6[Country],Tabela1[[#This Row],[Country]],Table6[80kg Classification],"&gt;0")</f>
        <v>0</v>
      </c>
      <c r="CO208" s="6">
        <f>COUNTIFS(Table6[Country],Tabela1[[#This Row],[Country]],Table6[92kg Classification],"&gt;0")</f>
        <v>0</v>
      </c>
      <c r="CP208" s="6">
        <f>COUNTIFS(Table6[Country],Tabela1[[#This Row],[Country]],Table6[Plus 92kg Classification],"&gt;0")</f>
        <v>0</v>
      </c>
      <c r="CQ208" s="6">
        <f>COUNTIFS(Table7[Country],Tabela1[[#This Row],[Country]],Table7[50kg Classification],"&gt;0")</f>
        <v>0</v>
      </c>
      <c r="CR208" s="6">
        <f>COUNTIFS(Table7[Country],Tabela1[[#This Row],[Country]],Table7[54kg Classification],"&gt;0")</f>
        <v>0</v>
      </c>
      <c r="CS208" s="6">
        <f>COUNTIFS(Table7[Country],Tabela1[[#This Row],[Country]],Table7[57kg Classification],"&gt;0")</f>
        <v>0</v>
      </c>
      <c r="CT208" s="6">
        <f>COUNTIFS(Table7[Country],Tabela1[[#This Row],[Country]],Table7[60kg Classification],"&gt;0")</f>
        <v>0</v>
      </c>
      <c r="CU208" s="6">
        <f>COUNTIFS(Table7[Country],Tabela1[[#This Row],[Country]],Table7[66kg Classification],"&gt;0")</f>
        <v>0</v>
      </c>
      <c r="CV208" s="6">
        <f>COUNTIFS(Table7[Country],Tabela1[[#This Row],[Country]],Table7[75kg Classification],"&gt;0")</f>
        <v>0</v>
      </c>
      <c r="CW208" s="6">
        <f>COUNTIFS(Tabela94[Country],Tabela1[[#This Row],[Country]],Tabela94[Classification],"&gt;0")</f>
        <v>0</v>
      </c>
      <c r="CX208" s="6">
        <f>COUNTIFS(Tabela9499[Country],Tabela1[[#This Row],[Country]],Tabela9499[Classification],"&gt;0")</f>
        <v>0</v>
      </c>
      <c r="CY208" s="6">
        <f>COUNTIFS(Tabela107[Country],Tabela1[[#This Row],[Country]],Tabela107[C1 Slalom Classification],"&gt;0")</f>
        <v>0</v>
      </c>
      <c r="CZ208" s="6">
        <f>COUNTIFS(Tabela107122[Country],Tabela1[[#This Row],[Country]],Tabela107122[C1 Slalom Classification],"&gt;0")</f>
        <v>0</v>
      </c>
      <c r="DA208" s="6">
        <f>COUNTIFS(Tabela107[Country],Tabela1[[#This Row],[Country]],Tabela107[K1 Slalom Classification],"&gt;0")</f>
        <v>0</v>
      </c>
      <c r="DB208" s="6">
        <f>COUNTIFS(Tabela107122[Country],Tabela1[[#This Row],[Country]],Tabela107122[K1 Slalom Classification],"&gt;0")</f>
        <v>0</v>
      </c>
      <c r="DC208" s="6">
        <f>COUNTIFS(Tabela107[Country],Tabela1[[#This Row],[Country]],Tabela107[Kayak Cross Slalom Classification],"&gt;0")</f>
        <v>0</v>
      </c>
      <c r="DD208" s="6">
        <f>COUNTIFS(Tabela107122[Country],Tabela1[[#This Row],[Country]],Tabela107122[Kayak Cross Slalom Classification],"&gt;0")</f>
        <v>0</v>
      </c>
      <c r="DE208" s="6">
        <f>COUNTIFS(Table8[Country],Tabela1[[#This Row],[Country]],Table8[C1 200m Classification],"&gt;0")</f>
        <v>0</v>
      </c>
      <c r="DF208" s="6">
        <f>COUNTIFS(Table40[Country],Tabela1[[#This Row],[Country]],Table40[C1 1000m Classification],"&gt;0")</f>
        <v>0</v>
      </c>
      <c r="DG208" s="6">
        <f>COUNTIFS(Table68[Country],Tabela1[[#This Row],[Country]],Table68[Men''s C2 500m Classification],"&gt;0")</f>
        <v>0</v>
      </c>
      <c r="DH208" s="6">
        <f>COUNTIFS(Table68[Country],Tabela1[[#This Row],[Country]],Table68[Women''s C2 500m Classification],"&gt;0")</f>
        <v>0</v>
      </c>
      <c r="DI208" s="6">
        <f>COUNTIFS(Table8[Country],Tabela1[[#This Row],[Country]],Table8[K1 500m Classification],"&gt;0")</f>
        <v>0</v>
      </c>
      <c r="DJ208" s="6">
        <f>COUNTIFS(Table40[Country],Tabela1[[#This Row],[Country]],Table40[K1 1000m Classification],"&gt;0")</f>
        <v>0</v>
      </c>
      <c r="DK208" s="6">
        <f>COUNTIFS(Table68[Country],Tabela1[[#This Row],[Country]],Table68[Men''s K2 500m Classification],"&gt;0")</f>
        <v>0</v>
      </c>
      <c r="DL208" s="6">
        <f>COUNTIFS(Table68[Country],Tabela1[[#This Row],[Country]],Table68[Women''s K2 500m Classification],"&gt;0")</f>
        <v>0</v>
      </c>
      <c r="DM208" s="6">
        <f>COUNTIFS(Table83[Country],Tabela1[[#This Row],[Country]],Table83[Men''s K4 500m Classification],"&gt;0")</f>
        <v>0</v>
      </c>
      <c r="DN208" s="6">
        <f>COUNTIFS(Table83[Country],Tabela1[[#This Row],[Country]],Table83[Women''s K4 500m Classification],"&gt;0")</f>
        <v>0</v>
      </c>
      <c r="DO208" s="6">
        <f>COUNTIFS(Tabela126[Country],Tabela1[[#This Row],[Country]],Tabela126[Classification],"&gt;0")</f>
        <v>0</v>
      </c>
      <c r="DP208" s="6">
        <f>COUNTIFS(Tabela126130[Country],Tabela1[[#This Row],[Country]],Tabela126130[Classification],"&gt;0")</f>
        <v>0</v>
      </c>
      <c r="DQ208" s="6">
        <f>COUNTIFS(Table70[Country],Tabela1[[#This Row],[Country]],Table70[Classification],"&gt;0")</f>
        <v>0</v>
      </c>
      <c r="DR208" s="6">
        <f>COUNTIFS(Table80[Country],Tabela1[[#This Row],[Country]],Table80[Classification],"&gt;0")</f>
        <v>0</v>
      </c>
      <c r="DS208" s="6">
        <f>COUNTIFS(Table66[Country],Tabela1[[#This Row],[Country]],Table66[Classification],"&gt;0")</f>
        <v>0</v>
      </c>
      <c r="DT208" s="6">
        <f>COUNTIFS(Table67[Country],Tabela1[[#This Row],[Country]],Table67[Classification],"&gt;0")</f>
        <v>0</v>
      </c>
      <c r="DU208" s="6">
        <f>COUNTIFS(Table69[Country],Tabela1[[#This Row],[Country]],Table69[Keirin Classification],"&gt;0")</f>
        <v>0</v>
      </c>
      <c r="DV208" s="6">
        <f>COUNTIFS(Table41[Country],Tabela1[[#This Row],[Country]],Table41[Keirin Classification],"&gt;0")</f>
        <v>0</v>
      </c>
      <c r="DW208" s="6">
        <f>COUNTIFS(Table84[Country],Tabela1[[#This Row],[Country]],Table84[Men''s Madison Classification],"&gt;0")</f>
        <v>0</v>
      </c>
      <c r="DX208" s="6">
        <f>COUNTIFS(Table84[Country],Tabela1[[#This Row],[Country]],Table84[Women''s Madison Classification],"&gt;0")</f>
        <v>0</v>
      </c>
      <c r="DY208" s="6">
        <f>COUNTIFS(Table69[Country],Tabela1[[#This Row],[Country]],Table69[Omnium Classification],"&gt;0")</f>
        <v>0</v>
      </c>
      <c r="DZ208" s="6">
        <f>COUNTIFS(Table41[Country],Tabela1[[#This Row],[Country]],Table41[Omnium Classification],"&gt;0")</f>
        <v>0</v>
      </c>
      <c r="EA208" s="6">
        <f>COUNTIFS(Table9[Country],Tabela1[[#This Row],[Country]],Table9[Road Race Classification],"&gt;0")</f>
        <v>0</v>
      </c>
      <c r="EB208" s="6">
        <f>COUNTIFS(Table14[Country],Tabela1[[#This Row],[Country]],Table14[Road Race Classification],"&gt;0")</f>
        <v>0</v>
      </c>
      <c r="EC208" s="6">
        <f>COUNTIFS(Table69[Country],Tabela1[[#This Row],[Country]],Table69[Sprint Classification],"&gt;0")</f>
        <v>0</v>
      </c>
      <c r="ED208" s="6">
        <f>COUNTIFS(Table41[Country],Tabela1[[#This Row],[Country]],Table41[Sprint Classification],"&gt;0")</f>
        <v>0</v>
      </c>
      <c r="EE208" s="6">
        <f>COUNTIFS(Table85[Country],Tabela1[[#This Row],[Country]],Table85[Men''s Sprint Classification],"&gt;0")</f>
        <v>0</v>
      </c>
      <c r="EF208" s="6">
        <f>COUNTIFS(Table85[Country],Tabela1[[#This Row],[Country]],Table85[Women''s Sprint Classification],"&gt;0")</f>
        <v>0</v>
      </c>
      <c r="EG208" s="6">
        <f>COUNTIFS(Table85[Country],Tabela1[[#This Row],[Country]],Table85[Men''s Pursuit Classification],"&gt;0")</f>
        <v>0</v>
      </c>
      <c r="EH208" s="6">
        <f>COUNTIFS(Table85[Country],Tabela1[[#This Row],[Country]],Table85[Women''s Pursuit Classification],"&gt;0")</f>
        <v>0</v>
      </c>
      <c r="EI208" s="6">
        <f>COUNTIFS(Table9[Country],Tabela1[[#This Row],[Country]],Table9[Time-Trial Classification],"&gt;0")</f>
        <v>0</v>
      </c>
      <c r="EJ208" s="6">
        <f>COUNTIFS(Table14[Country],Tabela1[[#This Row],[Country]],Table14[Time-Trial Classification],"&gt;0")</f>
        <v>0</v>
      </c>
      <c r="EK208" s="6">
        <f>COUNTIFS(Table42[Country],Tabela1[[#This Row],[Country]],Table42[Springboard Classification],"&gt;0")</f>
        <v>0</v>
      </c>
      <c r="EL208" s="6">
        <f>COUNTIFS(Table43[Country],Tabela1[[#This Row],[Country]],Table43[Springboard Classification],"&gt;0")</f>
        <v>0</v>
      </c>
      <c r="EM208" s="6">
        <f>COUNTIFS(Table42[Country],Tabela1[[#This Row],[Country]],Table42[Platform Classification],"&gt;0")</f>
        <v>0</v>
      </c>
      <c r="EN208" s="6">
        <f>COUNTIFS(Table43[Country],Tabela1[[#This Row],[Country]],Table43[Platform Classification],"&gt;0")</f>
        <v>0</v>
      </c>
      <c r="EO208" s="6">
        <f>COUNTIFS(Table86[Country],Tabela1[[#This Row],[Country]],Table86[Men''s Synchronized Springboard Classification],"&gt;0")</f>
        <v>0</v>
      </c>
      <c r="EP208" s="6">
        <f>COUNTIFS(Table86[Country],Tabela1[[#This Row],[Country]],Table86[Women''s Synchronized Springboard Classification],"&gt;0")</f>
        <v>0</v>
      </c>
      <c r="EQ208" s="6">
        <f>COUNTIFS(Table86[Country],Tabela1[[#This Row],[Country]],Table86[Men''s Synchronized Platform Classification],"&gt;0")</f>
        <v>0</v>
      </c>
      <c r="ER208" s="6">
        <f>COUNTIFS(Table86[Country],Tabela1[[#This Row],[Country]],Table86[Women''s Synchronized Platform Classification],"&gt;0")</f>
        <v>0</v>
      </c>
      <c r="ES208" s="6">
        <f>COUNTIFS(Table44[Country],Tabela1[[#This Row],[Country]],Table44[Dressage Classification],"&gt;0")</f>
        <v>0</v>
      </c>
      <c r="ET208" s="6">
        <f>COUNTIFS(Table45[Country],Tabela1[[#This Row],[Country]],Table45[Dressage Classification],"&gt;0")</f>
        <v>0</v>
      </c>
      <c r="EU208" s="6">
        <f>COUNTIFS(Table44[Country],Tabela1[[#This Row],[Country]],Table44[Eventing Classification],"&gt;0")</f>
        <v>0</v>
      </c>
      <c r="EV208" s="6">
        <f>COUNTIFS(Table45[Country],Tabela1[[#This Row],[Country]],Table45[Eventing Classification],"&gt;0")</f>
        <v>0</v>
      </c>
      <c r="EW208" s="6">
        <f>COUNTIFS(Table44[Country],Tabela1[[#This Row],[Country]],Table44[Jumping Classification],"&gt;0")</f>
        <v>0</v>
      </c>
      <c r="EX208" s="6">
        <f>COUNTIFS(Table45[Country],Tabela1[[#This Row],[Country]],Table45[Jumping Classification],"&gt;0")</f>
        <v>0</v>
      </c>
      <c r="EY208" s="6">
        <f>COUNTIFS(Table10[Country],Tabela1[[#This Row],[Country]],Table10[Épée Classification],"&gt;0")</f>
        <v>0</v>
      </c>
      <c r="EZ208" s="6">
        <f>COUNTIFS(Table11[Country],Tabela1[[#This Row],[Country]],Table11[Épée Classification],"&gt;0")</f>
        <v>0</v>
      </c>
      <c r="FA208" s="6">
        <f>COUNTIFS(Table46[Country],Tabela1[[#This Row],[Country]],Table46[Men''s Épée Classification],"&gt;0")</f>
        <v>0</v>
      </c>
      <c r="FB208" s="6">
        <f>COUNTIFS(Table46[Country],Tabela1[[#This Row],[Country]],Table46[Women''s Épée Classification],"&gt;0")</f>
        <v>0</v>
      </c>
      <c r="FC208" s="6">
        <f>COUNTIFS(Table10[Country],Tabela1[[#This Row],[Country]],Table10[Foil Classification],"&gt;0")</f>
        <v>0</v>
      </c>
      <c r="FD208" s="6">
        <f>COUNTIFS(Table11[Country],Tabela1[[#This Row],[Country]],Table11[Foil Classification],"&gt;0")</f>
        <v>0</v>
      </c>
      <c r="FE208" s="6">
        <f>COUNTIFS(Table46[Country],Tabela1[[#This Row],[Country]],Table46[Men''s Foil Classification],"&gt;0")</f>
        <v>0</v>
      </c>
      <c r="FF208" s="6">
        <f>COUNTIFS(Table46[Country],Tabela1[[#This Row],[Country]],Table46[Women''s Foil Classification],"&gt;0")</f>
        <v>0</v>
      </c>
      <c r="FG208" s="6">
        <f>COUNTIFS(Table10[Country],Tabela1[[#This Row],[Country]],Table10[Sabre Classification],"&gt;0")</f>
        <v>0</v>
      </c>
      <c r="FH208" s="6">
        <f>COUNTIFS(Table11[Country],Tabela1[[#This Row],[Country]],Table11[Sabre Classification],"&gt;0")</f>
        <v>0</v>
      </c>
      <c r="FI208" s="6">
        <f>COUNTIFS(Table46[Country],Tabela1[[#This Row],[Country]],Table46[Men''s Sabre Classification],"&gt;0")</f>
        <v>0</v>
      </c>
      <c r="FJ208" s="6">
        <f>COUNTIFS(Table46[Country],Tabela1[[#This Row],[Country]],Table46[Women''s Sabre Classification],"&gt;0")</f>
        <v>0</v>
      </c>
      <c r="FK208" s="6">
        <f>COUNTIFS(Table91[Country],Tabela1[[#This Row],[Country]],Table91[Men''s Classification],"&gt;0")</f>
        <v>0</v>
      </c>
      <c r="FL208" s="6">
        <f>COUNTIFS(Table91[Country],Tabela1[[#This Row],[Country]],Table91[Women''s Classification],"&gt;0")</f>
        <v>0</v>
      </c>
      <c r="FM208" s="6">
        <f>COUNTIFS(Table9194[Country],Tabela1[[#This Row],[Country]],Table9194[Men''s Classification],"&gt;0")</f>
        <v>0</v>
      </c>
      <c r="FN208" s="6">
        <f>COUNTIFS(Table9194[Country],Tabela1[[#This Row],[Country]],Table9194[Women''s Classification],"&gt;0")</f>
        <v>0</v>
      </c>
      <c r="FO208" s="6">
        <f>COUNTIFS(Table71[Country],Tabela1[[#This Row],[Country]],Table71[Classification],"&gt;0")</f>
        <v>0</v>
      </c>
      <c r="FP208" s="6">
        <f>COUNTIFS(Table62[Country],Tabela1[[#This Row],[Country]],Table62[Classification],"&gt;0")</f>
        <v>0</v>
      </c>
      <c r="FQ208" s="6">
        <f>COUNTIFS(Table47[Country],Tabela1[[#This Row],[Country]],Table47[All-Around Classification],"&gt;0")</f>
        <v>0</v>
      </c>
      <c r="FR208" s="6">
        <f>COUNTIFS(Table48[Country],Tabela1[[#This Row],[Country]],Table48[All-Around Classification],"&gt;0")</f>
        <v>0</v>
      </c>
      <c r="FS208" s="6">
        <f>COUNTIFS(Table81[Country],Tabela1[[#This Row],[Country]],Table81[Men''s All-Around Classification],"&gt;0")</f>
        <v>0</v>
      </c>
      <c r="FT208" s="6">
        <f>COUNTIFS(Table81[Country],Tabela1[[#This Row],[Country]],Table81[Women''s All-Around Classification],"&gt;0")</f>
        <v>0</v>
      </c>
      <c r="FU208" s="6">
        <f>COUNTIFS(Table48[Country],Tabela1[[#This Row],[Country]],Table48[Balance Beam Classification],"&gt;0")</f>
        <v>0</v>
      </c>
      <c r="FV208" s="6">
        <f>COUNTIFS(Table47[Country],Tabela1[[#This Row],[Country]],Table47[Floor Exercise Classification],"&gt;0")</f>
        <v>0</v>
      </c>
      <c r="FW208" s="6">
        <f>COUNTIFS(Table48[Country],Tabela1[[#This Row],[Country]],Table48[Floor Exercise Classification],"&gt;0")</f>
        <v>0</v>
      </c>
      <c r="FX208" s="6">
        <f>COUNTIFS(Table47[Country],Tabela1[[#This Row],[Country]],Table47[Horizontal Bar Classification],"&gt;0")</f>
        <v>0</v>
      </c>
      <c r="FY208" s="6">
        <f>COUNTIFS(Table47[Country],Tabela1[[#This Row],[Country]],Table47[Parallel Bars Classification],"&gt;0")</f>
        <v>0</v>
      </c>
      <c r="FZ208" s="6">
        <f>COUNTIFS(Table47[Country],Tabela1[[#This Row],[Country]],Table47[Pommel Horse Classification],"&gt;0")</f>
        <v>0</v>
      </c>
      <c r="GA208" s="6">
        <f>COUNTIFS(Table47[Country],Tabela1[[#This Row],[Country]],Table47[Rings Classification],"&gt;0")</f>
        <v>0</v>
      </c>
      <c r="GB208" s="6">
        <f>COUNTIFS(Tabela132[Country],Tabela1[[#This Row],[Country]],Tabela132[Classification],"&gt;0")</f>
        <v>0</v>
      </c>
      <c r="GC208" s="6">
        <f>COUNTIFS(Tabela139[Country],Tabela1[[#This Row],[Country]],Tabela139[Classification],"&gt;0")</f>
        <v>0</v>
      </c>
      <c r="GD208" s="6">
        <f>COUNTIFS(Table48[Country],Tabela1[[#This Row],[Country]],Table48[Uneven Bars Classification],"&gt;0")</f>
        <v>0</v>
      </c>
      <c r="GE208" s="6">
        <f>COUNTIFS(Table47[Country],Tabela1[[#This Row],[Country]],Table47[Vault Classification],"&gt;0")</f>
        <v>0</v>
      </c>
      <c r="GF208" s="6">
        <f>COUNTIFS(Table48[Country],Tabela1[[#This Row],[Country]],Table48[Vault Classification],"&gt;0")</f>
        <v>0</v>
      </c>
      <c r="GG208" s="6">
        <f>COUNTIFS(Table919496[Country],Tabela1[[#This Row],[Country]],Table919496[Men''s Classification],"&gt;0")</f>
        <v>0</v>
      </c>
      <c r="GH208" s="6">
        <f>COUNTIFS(Table919496[Country],Tabela1[[#This Row],[Country]],Table919496[Women''s Classification],"&gt;0")</f>
        <v>0</v>
      </c>
      <c r="GI208" s="6">
        <f>COUNTIFS(Table12[Country],Tabela1[[#This Row],[Country]],Table12[60kg Classification],"&gt;0")</f>
        <v>0</v>
      </c>
      <c r="GJ208" s="6">
        <f>COUNTIFS(Table12[Country],Tabela1[[#This Row],[Country]],Table12[66kg Classification],"&gt;0")</f>
        <v>0</v>
      </c>
      <c r="GK208" s="6">
        <f>COUNTIFS(Table12[Country],Tabela1[[#This Row],[Country]],Table12[73kg Classification],"&gt;0")</f>
        <v>0</v>
      </c>
      <c r="GL208" s="6">
        <f>COUNTIFS(Table12[Country],Tabela1[[#This Row],[Country]],Table12[81kg Classification],"&gt;0")</f>
        <v>0</v>
      </c>
      <c r="GM208" s="6">
        <f>COUNTIFS(Table12[Country],Tabela1[[#This Row],[Country]],Table12[90kg Classification],"&gt;0")</f>
        <v>0</v>
      </c>
      <c r="GN208" s="6">
        <f>COUNTIFS(Table12[Country],Tabela1[[#This Row],[Country]],Table12[100kg Classification],"&gt;0")</f>
        <v>0</v>
      </c>
      <c r="GO208" s="6">
        <f>COUNTIFS(Table12[Country],Tabela1[[#This Row],[Country]],Table12[Plus 100kg Classification],"&gt;0")</f>
        <v>0</v>
      </c>
      <c r="GP208" s="6">
        <f>COUNTIFS(Table13[Country],Tabela1[[#This Row],[Country]],Table13[48kg Classification],"&gt;0")</f>
        <v>0</v>
      </c>
      <c r="GQ208" s="6">
        <f>COUNTIFS(Table13[Country],Tabela1[[#This Row],[Country]],Table13[52kg Classification],"&gt;0")</f>
        <v>0</v>
      </c>
      <c r="GR208" s="6">
        <f>COUNTIFS(Table13[Country],Tabela1[[#This Row],[Country]],Table13[57kg Classification],"&gt;0")</f>
        <v>0</v>
      </c>
      <c r="GS208" s="6">
        <f>COUNTIFS(Table13[Country],Tabela1[[#This Row],[Country]],Table13[63kg Classification],"&gt;0")</f>
        <v>0</v>
      </c>
      <c r="GT208" s="6">
        <f>COUNTIFS(Table13[Country],Tabela1[[#This Row],[Country]],Table13[70kg Classification],"&gt;0")</f>
        <v>0</v>
      </c>
      <c r="GU208" s="6">
        <f>COUNTIFS(Table13[Country],Tabela1[[#This Row],[Country]],Table13[78kg Classification],"&gt;0")</f>
        <v>0</v>
      </c>
      <c r="GV208" s="6">
        <f>COUNTIFS(Table13[Country],Tabela1[[#This Row],[Country]],Table13[Plus 78kg Classification],"&gt;0")</f>
        <v>0</v>
      </c>
      <c r="GW208" s="6">
        <f>COUNTIFS(Table82[Country],Tabela1[[#This Row],[Country]],Table82[Mixed Classification],"&gt;0")</f>
        <v>0</v>
      </c>
      <c r="GX208" s="6">
        <f>COUNTIFS(Table51[Country],Tabela1[[#This Row],[Country]],Table51[Classification],"&gt;0")</f>
        <v>0</v>
      </c>
      <c r="GY208" s="6">
        <f>COUNTIFS(Table52[Country],Tabela1[[#This Row],[Country]],Table52[Classification],"&gt;0")</f>
        <v>0</v>
      </c>
      <c r="GZ208" s="6">
        <f>COUNTIFS(Table32[Country],Tabela1[[#This Row],[Country]],Table32[All-Around Classification],"&gt;0")</f>
        <v>0</v>
      </c>
      <c r="HA208" s="6">
        <f>COUNTIFS(Table49[Country],Tabela1[[#This Row],[Country]],Table49[All-Around Classification],"&gt;0")</f>
        <v>0</v>
      </c>
      <c r="HB208" s="6">
        <f>COUNTIFS(Table26[Country],Tabela1[[#This Row],[Country]],Table26[Single Sculls Classification],"&gt;0")</f>
        <v>0</v>
      </c>
      <c r="HC208" s="6">
        <f>COUNTIFS(Table63[Country],Tabela1[[#This Row],[Country]],Table63[Single Sculls Classification],"&gt;0")</f>
        <v>0</v>
      </c>
      <c r="HD208" s="6">
        <f>COUNTIFS(Table16[Country],Tabela1[[#This Row],[Country]],Table16[Men''s Double Sculls Classification],"&gt;0")</f>
        <v>0</v>
      </c>
      <c r="HE208" s="6">
        <f>COUNTIFS(Table16[Country],Tabela1[[#This Row],[Country]],Table16[Women''s Double Sculls Classification],"&gt;0")</f>
        <v>0</v>
      </c>
      <c r="HF208" s="6">
        <f>COUNTIFS(Table72[Country],Tabela1[[#This Row],[Country]],Table72[Men''s Quadruple Sculls Classification],"&gt;0")</f>
        <v>0</v>
      </c>
      <c r="HG208" s="6">
        <f>COUNTIFS(Table72[Country],Tabela1[[#This Row],[Country]],Table72[Women''s Quadruple Sculls Classification],"&gt;0")</f>
        <v>0</v>
      </c>
      <c r="HH208" s="6">
        <f>COUNTIFS(Table16[Country],Tabela1[[#This Row],[Country]],Table16[Men''s Coxless Pairs Classification],"&gt;0")</f>
        <v>0</v>
      </c>
      <c r="HI208" s="6">
        <f>COUNTIFS(Table16[Country],Tabela1[[#This Row],[Country]],Table16[Women''s Coxless Pairs Classification],"&gt;0")</f>
        <v>0</v>
      </c>
      <c r="HJ208" s="6">
        <f>COUNTIFS(Table72[Country],Tabela1[[#This Row],[Country]],Table72[Men''s Coxless Fours Classification],"&gt;0")</f>
        <v>0</v>
      </c>
      <c r="HK208" s="6">
        <f>COUNTIFS(Table72[Country],Tabela1[[#This Row],[Country]],Table72[Women''s Coxless Fours Classification],"&gt;0")</f>
        <v>0</v>
      </c>
      <c r="HL208" s="6">
        <f>COUNTIFS(Table72[Country],Tabela1[[#This Row],[Country]],Table72[Men''s Eights Classification],"&gt;0")</f>
        <v>0</v>
      </c>
      <c r="HM208" s="6">
        <f>COUNTIFS(Table72[Country],Tabela1[[#This Row],[Country]],Table72[Women''s Eights Classification],"&gt;0")</f>
        <v>0</v>
      </c>
      <c r="HN208" s="6">
        <f>COUNTIFS(Table16[Country],Tabela1[[#This Row],[Country]],Table16[Men''s Lwt. Double Sculls Classification],"&gt;0")</f>
        <v>0</v>
      </c>
      <c r="HO208" s="6">
        <f>COUNTIFS(Table16[Country],Tabela1[[#This Row],[Country]],Table16[Women''s Lwt. Double Sculls Classification],"&gt;0")</f>
        <v>0</v>
      </c>
      <c r="HP208" s="6">
        <f>COUNTIFS(Table91949698[Country],Tabela1[[#This Row],[Country]],Table91949698[Men''s Classification],"&gt;0")</f>
        <v>0</v>
      </c>
      <c r="HQ208" s="6">
        <f>COUNTIFS(Table91949698[Country],Tabela1[[#This Row],[Country]],Table91949698[Women''s Classification],"&gt;0")</f>
        <v>0</v>
      </c>
      <c r="HR208" s="6">
        <f>COUNTIFS(Table25[Country],Tabela1[[#This Row],[Country]],Table25[Mixed 470 Classification],"&gt;0")</f>
        <v>0</v>
      </c>
      <c r="HS208" s="6">
        <f>COUNTIFS(Table25[Country],Tabela1[[#This Row],[Country]],Table25[Men''s 49er Classification],"&gt;0")</f>
        <v>0</v>
      </c>
      <c r="HT208" s="6">
        <f>COUNTIFS(Table25[Country],Tabela1[[#This Row],[Country]],Table25[Women''s 49er FX Classification],"&gt;0")</f>
        <v>0</v>
      </c>
      <c r="HU208" s="6">
        <f>COUNTIFS(Table17[Country],Tabela1[[#This Row],[Country]],Table17[Formula Kite Classification],"&gt;0")</f>
        <v>0</v>
      </c>
      <c r="HV208" s="6">
        <f>COUNTIFS(Table18[Country],Tabela1[[#This Row],[Country]],Table18[Formula Kite Classification],"&gt;0")</f>
        <v>0</v>
      </c>
      <c r="HW208" s="6">
        <f>COUNTIFS(Table17[Country],Tabela1[[#This Row],[Country]],Table17[ILCA 7 Classification],"&gt;0")</f>
        <v>0</v>
      </c>
      <c r="HX208" s="6">
        <f>COUNTIFS(Table18[Country],Tabela1[[#This Row],[Country]],Table18[ILCA 6 Classification],"&gt;0")</f>
        <v>0</v>
      </c>
      <c r="HY208" s="6">
        <f>COUNTIFS(Table17[Country],Tabela1[[#This Row],[Country]],Table17[IQFoil Classification],"&gt;0")</f>
        <v>0</v>
      </c>
      <c r="HZ208" s="6">
        <f>COUNTIFS(Table18[Country],Tabela1[[#This Row],[Country]],Table18[IQFoil Classification],"&gt;0")</f>
        <v>0</v>
      </c>
      <c r="IA208" s="6">
        <f>COUNTIFS(Table25[Country],Tabela1[[#This Row],[Country]],Table25[Mixed Nacra 17 Classification],"&gt;0")</f>
        <v>0</v>
      </c>
      <c r="IB208" s="6">
        <f>COUNTIFS(Table53[Country],Tabela1[[#This Row],[Country]],Table53[10m Air Pistol Classification],"&gt;0")</f>
        <v>0</v>
      </c>
      <c r="IC208" s="6">
        <f>COUNTIFS(Table19[Country],Tabela1[[#This Row],[Country]],Table19[10m Air Pistol Classification],"&gt;0")</f>
        <v>0</v>
      </c>
      <c r="ID208" s="6">
        <f>COUNTIFS(Table54[Country],Tabela1[[#This Row],[Country]],Table54[Mixed 10m Air Pistol Team Classification],"&gt;0")</f>
        <v>0</v>
      </c>
      <c r="IE208" s="6">
        <f>COUNTIFS(Table53[Country],Tabela1[[#This Row],[Country]],Table53[10m Air Rifle Classification],"&gt;0")</f>
        <v>0</v>
      </c>
      <c r="IF208" s="6">
        <f>COUNTIFS(Table19[Country],Tabela1[[#This Row],[Country]],Table19[10m Air Rifle Classification],"&gt;0")</f>
        <v>0</v>
      </c>
      <c r="IG208" s="6">
        <f>COUNTIFS(Table54[Country],Tabela1[[#This Row],[Country]],Table54[Mixed 10m Air Rifle Team Classification],"&gt;0")</f>
        <v>0</v>
      </c>
      <c r="IH208" s="6">
        <f>COUNTIFS(Table53[Country],Tabela1[[#This Row],[Country]],Table53[25m Rapid Fire Pistol Classification],"&gt;0")</f>
        <v>0</v>
      </c>
      <c r="II208" s="6">
        <f>COUNTIFS(Table19[Country],Tabela1[[#This Row],[Country]],Table19[25m Pistol Classification],"&gt;0")</f>
        <v>0</v>
      </c>
      <c r="IJ208" s="6">
        <f>COUNTIFS(Table53[Country],Tabela1[[#This Row],[Country]],Table53[50m Rifle 3 Positions Classification],"&gt;0")</f>
        <v>0</v>
      </c>
      <c r="IK208" s="6">
        <f>COUNTIFS(Table19[Country],Tabela1[[#This Row],[Country]],Table19[50m Rifle 3 Positions Classification],"&gt;0")</f>
        <v>0</v>
      </c>
      <c r="IL208" s="6">
        <f>COUNTIFS(Table53[Country],Tabela1[[#This Row],[Country]],Table53[Skeet Classification],"&gt;0")</f>
        <v>0</v>
      </c>
      <c r="IM208" s="6">
        <f>COUNTIFS(Table19[Country],Tabela1[[#This Row],[Country]],Table19[Skeet Classification],"&gt;0")</f>
        <v>0</v>
      </c>
      <c r="IN208" s="6">
        <f>COUNTIFS(Table54[Country],Tabela1[[#This Row],[Country]],Table54[Mixed Skeet Team Classification],"&gt;0")</f>
        <v>0</v>
      </c>
      <c r="IO208" s="6">
        <f>COUNTIFS(Table53[Country],Tabela1[[#This Row],[Country]],Table53[Trap Classification],"&gt;0")</f>
        <v>0</v>
      </c>
      <c r="IP208" s="6">
        <f>COUNTIFS(Table19[Country],Tabela1[[#This Row],[Country]],Table19[Trap Classification],"&gt;0")</f>
        <v>0</v>
      </c>
      <c r="IQ208" s="6">
        <f>COUNTIFS(Table73[Country],Tabela1[[#This Row],[Country]],Table73[Park Classification],"&gt;0")</f>
        <v>0</v>
      </c>
      <c r="IR208" s="6">
        <f>COUNTIFS(Table74[Country],Tabela1[[#This Row],[Country]],Table74[Park Classification],"&gt;0")</f>
        <v>0</v>
      </c>
      <c r="IS208" s="6">
        <f>COUNTIFS(Table73[Country],Tabela1[[#This Row],[Country]],Table73[Street Classification],"&gt;0")</f>
        <v>0</v>
      </c>
      <c r="IT208" s="6">
        <f>COUNTIFS(Table74[Country],Tabela1[[#This Row],[Country]],Table74[Street Classification],"&gt;0")</f>
        <v>0</v>
      </c>
      <c r="IU208" s="6">
        <f>COUNTIFS(Table75[Country],Tabela1[[#This Row],[Country]],Table75[Boulder and Lead Classification],"&gt;0")</f>
        <v>0</v>
      </c>
      <c r="IV208" s="6">
        <f>COUNTIFS(Table76[Country],Tabela1[[#This Row],[Country]],Table76[Boulder and Lead Classification],"&gt;0")</f>
        <v>0</v>
      </c>
      <c r="IW208" s="6">
        <f>COUNTIFS(Table75[Country],Tabela1[[#This Row],[Country]],Table75[Speed Classification],"&gt;0")</f>
        <v>0</v>
      </c>
      <c r="IX208" s="6">
        <f>COUNTIFS(Table76[Country],Tabela1[[#This Row],[Country]],Table76[Speed Classification],"&gt;0")</f>
        <v>0</v>
      </c>
      <c r="IY208" s="6">
        <f>COUNTIFS(Table64[Country],Tabela1[[#This Row],[Country]],Table64[Shortboard Classification],"&gt;0")</f>
        <v>0</v>
      </c>
      <c r="IZ208" s="6">
        <f>COUNTIFS(Table77[Country],Tabela1[[#This Row],[Country]],Table77[Shortboard Classification],"&gt;0")</f>
        <v>0</v>
      </c>
      <c r="JA208" s="6">
        <f>COUNTIFS(Table20[Country],Tabela1[[#This Row],[Country]],Table20[50m Freestyle Classification],"&gt;0")</f>
        <v>0</v>
      </c>
      <c r="JB208" s="6">
        <f>COUNTIFS(Table21[Country],Tabela1[[#This Row],[Country]],Table21[50m Freestyle Classification],"&gt;0")</f>
        <v>0</v>
      </c>
      <c r="JC208" s="6">
        <f>COUNTIFS(Table20[Country],Tabela1[[#This Row],[Country]],Table20[100m Freestyle Classification],"&gt;0")</f>
        <v>0</v>
      </c>
      <c r="JD208" s="6">
        <f>COUNTIFS(Table21[Country],Tabela1[[#This Row],[Country]],Table21[100m Freestyle Classification],"&gt;0")</f>
        <v>0</v>
      </c>
      <c r="JE208" s="6">
        <f>COUNTIFS(Table20[Country],Tabela1[[#This Row],[Country]],Table20[200m Freestyle Classification],"&gt;0")</f>
        <v>0</v>
      </c>
      <c r="JF208" s="6">
        <f>COUNTIFS(Table21[Country],Tabela1[[#This Row],[Country]],Table21[200m Freestyle Classification],"&gt;0")</f>
        <v>0</v>
      </c>
      <c r="JG208" s="6">
        <f>COUNTIFS(Table20[Country],Tabela1[[#This Row],[Country]],Table20[400m Freestyle Classification],"&gt;0")</f>
        <v>0</v>
      </c>
      <c r="JH208" s="6">
        <f>COUNTIFS(Table21[Country],Tabela1[[#This Row],[Country]],Table21[400m Freestyle Classification],"&gt;0")</f>
        <v>0</v>
      </c>
      <c r="JI208" s="6">
        <f>COUNTIFS(Table20[Country],Tabela1[[#This Row],[Country]],Table20[800m Freestyle Classification],"&gt;0")</f>
        <v>0</v>
      </c>
      <c r="JJ208" s="6">
        <f>COUNTIFS(Table21[Country],Tabela1[[#This Row],[Country]],Table21[800m Freestyle Classification],"&gt;0")</f>
        <v>0</v>
      </c>
      <c r="JK208" s="6">
        <f>COUNTIFS(Table20[Country],Tabela1[[#This Row],[Country]],Table20[1500m Freestyle Classification],"&gt;0")</f>
        <v>0</v>
      </c>
      <c r="JL208" s="6">
        <f>COUNTIFS(Table21[Country],Tabela1[[#This Row],[Country]],Table21[1500m Freestyle Classification],"&gt;0")</f>
        <v>0</v>
      </c>
      <c r="JM208" s="6">
        <f>COUNTIFS(Table20[Country],Tabela1[[#This Row],[Country]],Table20[100m Backstroke Classification],"&gt;0")</f>
        <v>0</v>
      </c>
      <c r="JN208" s="6">
        <f>COUNTIFS(Table21[Country],Tabela1[[#This Row],[Country]],Table21[100m Backstroke Classification],"&gt;0")</f>
        <v>0</v>
      </c>
      <c r="JO208" s="6">
        <f>COUNTIFS(Table20[Country],Tabela1[[#This Row],[Country]],Table20[200m Backstroke Classification],"&gt;0")</f>
        <v>0</v>
      </c>
      <c r="JP208" s="6">
        <f>COUNTIFS(Table21[Country],Tabela1[[#This Row],[Country]],Table21[200m Backstroke Classification],"&gt;0")</f>
        <v>0</v>
      </c>
      <c r="JQ208" s="6">
        <f>COUNTIFS(Table20[Country],Tabela1[[#This Row],[Country]],Table20[100m Breaststroke Classification],"&gt;0")</f>
        <v>0</v>
      </c>
      <c r="JR208" s="6">
        <f>COUNTIFS(Table21[Country],Tabela1[[#This Row],[Country]],Table21[100m Breaststroke Classification],"&gt;0")</f>
        <v>0</v>
      </c>
      <c r="JS208" s="6">
        <f>COUNTIFS(Table20[Country],Tabela1[[#This Row],[Country]],Table20[200m Breaststroke Classification],"&gt;0")</f>
        <v>0</v>
      </c>
      <c r="JT208" s="6">
        <f>COUNTIFS(Table21[Country],Tabela1[[#This Row],[Country]],Table21[200m Breaststroke Classification],"&gt;0")</f>
        <v>0</v>
      </c>
      <c r="JU208" s="6">
        <f>COUNTIFS(Table20[Country],Tabela1[[#This Row],[Country]],Table20[100m Butterfly Classification],"&gt;0")</f>
        <v>0</v>
      </c>
      <c r="JV208" s="6">
        <f>COUNTIFS(Table21[Country],Tabela1[[#This Row],[Country]],Table21[100m Butterfly Classification],"&gt;0")</f>
        <v>0</v>
      </c>
      <c r="JW208" s="6">
        <f>COUNTIFS(Table20[Country],Tabela1[[#This Row],[Country]],Table20[200m Butterfly Classification],"&gt;0")</f>
        <v>0</v>
      </c>
      <c r="JX208" s="6">
        <f>COUNTIFS(Table21[Country],Tabela1[[#This Row],[Country]],Table21[200m Butterfly Classification],"&gt;0")</f>
        <v>0</v>
      </c>
      <c r="JY208" s="6">
        <f>COUNTIFS(Table20[Country],Tabela1[[#This Row],[Country]],Table20[200m Medley Classification],"&gt;0")</f>
        <v>0</v>
      </c>
      <c r="JZ208" s="6">
        <f>COUNTIFS(Table21[Country],Tabela1[[#This Row],[Country]],Table21[200m Medley Classification],"&gt;0")</f>
        <v>0</v>
      </c>
      <c r="KA208" s="6">
        <f>COUNTIFS(Table20[Country],Tabela1[[#This Row],[Country]],Table20[400m Medley Classification],"&gt;0")</f>
        <v>0</v>
      </c>
      <c r="KB208" s="6">
        <f>COUNTIFS(Table21[Country],Tabela1[[#This Row],[Country]],Table21[400m Medley Classification],"&gt;0")</f>
        <v>0</v>
      </c>
      <c r="KC208" s="6">
        <f>COUNTIFS(Table78[Country],Tabela1[[#This Row],[Country]],Table78[Men''s 4x100m Freestyle Relay Classification],"&gt;0")</f>
        <v>0</v>
      </c>
      <c r="KD208" s="6">
        <f>COUNTIFS(Table78[Country],Tabela1[[#This Row],[Country]],Table78[Women''s 4x100m Freestyle Relay Classification],"&gt;0")</f>
        <v>0</v>
      </c>
      <c r="KE208" s="6">
        <f>COUNTIFS(Table78[Country],Tabela1[[#This Row],[Country]],Table78[Men''s 4x200m Freestyle Relay Classification],"&gt;0")</f>
        <v>0</v>
      </c>
      <c r="KF208" s="6">
        <f>COUNTIFS(Table78[Country],Tabela1[[#This Row],[Country]],Table78[Women''s 4x200m Freestyle Relay Classification],"&gt;0")</f>
        <v>0</v>
      </c>
      <c r="KG208" s="6">
        <f>COUNTIFS(Table78[Country],Tabela1[[#This Row],[Country]],Table78[Men''s 4x100m Medley Relay Classification],"&gt;0")</f>
        <v>0</v>
      </c>
      <c r="KH208" s="6">
        <f>COUNTIFS(Table78[Country],Tabela1[[#This Row],[Country]],Table78[Women''s 4x100m Medley Relay Classification],"&gt;0")</f>
        <v>0</v>
      </c>
      <c r="KI208" s="6">
        <f>COUNTIFS(Table78[Country],Tabela1[[#This Row],[Country]],Table78[Mixed 4x100m Medley Relay Classification],"&gt;0")</f>
        <v>0</v>
      </c>
      <c r="KJ208" s="6">
        <f>COUNTIFS(Table20[Country],Tabela1[[#This Row],[Country]],Table20[10km Open Water Classification],"&gt;0")</f>
        <v>0</v>
      </c>
      <c r="KK208" s="6">
        <f>COUNTIFS(Table21[Country],Tabela1[[#This Row],[Country]],Table21[10km Open Water Classification],"&gt;0")</f>
        <v>0</v>
      </c>
      <c r="KL208" s="6">
        <f>COUNTIFS(Table22[Country],Tabela1[[#This Row],[Country]],Table22[Classification],"&gt;0")</f>
        <v>0</v>
      </c>
      <c r="KM208" s="6">
        <f>COUNTIFS(Table30[Country],Tabela1[[#This Row],[Country]],Table30[Classification],"&gt;0")</f>
        <v>0</v>
      </c>
      <c r="KN208" s="6">
        <f>COUNTIFS(Table55[Country],Tabela1[[#This Row],[Country]],Table55[Men''s Classification],"&gt;0")</f>
        <v>0</v>
      </c>
      <c r="KO208" s="6">
        <f>COUNTIFS(Table55[Country],Tabela1[[#This Row],[Country]],Table55[Women''s Classification],"&gt;0")</f>
        <v>0</v>
      </c>
      <c r="KP208" s="6">
        <f>COUNTIFS(Table56[Country],Tabela1[[#This Row],[Country]],Table56[Mixed Classification],"&gt;0")</f>
        <v>0</v>
      </c>
      <c r="KQ208" s="6">
        <f>COUNTIFS(Table29[Country],Tabela1[[#This Row],[Country]],Table29[58kg Classification],"&gt;0")</f>
        <v>0</v>
      </c>
      <c r="KR208" s="6">
        <f>COUNTIFS(Table29[Country],Tabela1[[#This Row],[Country]],Table29[68kg Classification],"&gt;0")</f>
        <v>0</v>
      </c>
      <c r="KS208" s="6">
        <f>COUNTIFS(Table29[Country],Tabela1[[#This Row],[Country]],Table29[80kg Classification],"&gt;0")</f>
        <v>0</v>
      </c>
      <c r="KT208" s="6">
        <f>COUNTIFS(Table29[Country],Tabela1[[#This Row],[Country]],Table29[Plus 80kg Classification],"&gt;0")</f>
        <v>0</v>
      </c>
      <c r="KU208" s="6">
        <f>COUNTIFS(Table34[Country],Tabela1[[#This Row],[Country]],Table34[49kg Classification],"&gt;0")</f>
        <v>0</v>
      </c>
      <c r="KV208" s="6">
        <f>COUNTIFS(Table34[Country],Tabela1[[#This Row],[Country]],Table34[57kg Classification],"&gt;0")</f>
        <v>0</v>
      </c>
      <c r="KW208" s="6">
        <f>COUNTIFS(Table34[Country],Tabela1[[#This Row],[Country]],Table34[67kg Classification],"&gt;0")</f>
        <v>0</v>
      </c>
      <c r="KX208" s="6">
        <f>COUNTIFS(Table34[Country],Tabela1[[#This Row],[Country]],Table34[Plus 67kg Classification],"&gt;0")</f>
        <v>0</v>
      </c>
      <c r="KY208" s="6">
        <f>COUNTIFS(Table57[Country],Tabela1[[#This Row],[Country]],Table57[Classification],"&gt;0")</f>
        <v>0</v>
      </c>
      <c r="KZ208" s="6">
        <f>COUNTIFS(Table58[Country],Tabela1[[#This Row],[Country]],Table58[Classification],"&gt;0")</f>
        <v>0</v>
      </c>
      <c r="LA208" s="6">
        <f>COUNTIFS(Table79[Country],Tabela1[[#This Row],[Country]],Table79[Men''s Classification],"&gt;0")</f>
        <v>0</v>
      </c>
      <c r="LB208" s="6">
        <f>COUNTIFS(Table79[Country],Tabela1[[#This Row],[Country]],Table79[Women''s Classification],"&gt;0")</f>
        <v>0</v>
      </c>
      <c r="LC208" s="6">
        <f>COUNTIFS(Table79[Country],Tabela1[[#This Row],[Country]],Table79[Mixed Classification],"&gt;0")</f>
        <v>0</v>
      </c>
      <c r="LD208" s="6">
        <f>COUNTIFS(Table65[Country],Tabela1[[#This Row],[Country]],Table65[Classification],"&gt;0")</f>
        <v>0</v>
      </c>
      <c r="LE208" s="6">
        <f>COUNTIFS(Table59[Country],Tabela1[[#This Row],[Country]],Table59[Classification],"&gt;0")</f>
        <v>0</v>
      </c>
      <c r="LF208" s="6">
        <f>COUNTIFS(Table87[Country],Tabela1[[#This Row],[Country]],Table87[Mixed Relay Classification],"&gt;0")</f>
        <v>0</v>
      </c>
      <c r="LG208" s="6">
        <f>COUNTIFS(Table91949698100[Country],Tabela1[[#This Row],[Country]],Table91949698100[Men''s Classification],"&gt;0")</f>
        <v>0</v>
      </c>
      <c r="LH208" s="6">
        <f>COUNTIFS(Table91949698100[Country],Tabela1[[#This Row],[Country]],Table91949698100[Women''s Classification],"&gt;0")</f>
        <v>0</v>
      </c>
      <c r="LI208" s="6">
        <f>COUNTIFS(Table91949698100102[Country],Tabela1[[#This Row],[Country]],Table91949698100102[Men''s Classification],"&gt;0")</f>
        <v>0</v>
      </c>
      <c r="LJ208" s="6">
        <f>COUNTIFS(Table91949698100102[Country],Tabela1[[#This Row],[Country]],Table91949698100102[Women''s Classification],"&gt;0")</f>
        <v>0</v>
      </c>
      <c r="LK208" s="6">
        <f>COUNTIFS(Table23[Country],Tabela1[[#This Row],[Country]],Table23[61kg Classification],"&gt;0")</f>
        <v>0</v>
      </c>
      <c r="LL208" s="6">
        <f>COUNTIFS(Table23[Country],Tabela1[[#This Row],[Country]],Table23[73kg Classification],"&gt;0")</f>
        <v>0</v>
      </c>
      <c r="LM208" s="6">
        <f>COUNTIFS(Table23[Country],Tabela1[[#This Row],[Country]],Table23[89kg Classification],"&gt;0")</f>
        <v>0</v>
      </c>
      <c r="LN208" s="6">
        <f>COUNTIFS(Table23[Country],Tabela1[[#This Row],[Country]],Table23[102kg Classification],"&gt;0")</f>
        <v>0</v>
      </c>
      <c r="LO208" s="6">
        <f>COUNTIFS(Table23[Country],Tabela1[[#This Row],[Country]],Table23[Plus 102kg Classification],"&gt;0")</f>
        <v>0</v>
      </c>
      <c r="LP208" s="6">
        <f>COUNTIFS(Table28[Country],Tabela1[[#This Row],[Country]],Table28[49kg Classification],"&gt;0")</f>
        <v>0</v>
      </c>
      <c r="LQ208" s="6">
        <f>COUNTIFS(Table28[Country],Tabela1[[#This Row],[Country]],Table28[59kg Classification],"&gt;0")</f>
        <v>0</v>
      </c>
      <c r="LR208" s="6">
        <f>COUNTIFS(Table28[Country],Tabela1[[#This Row],[Country]],Table28[71kg Classification],"&gt;0")</f>
        <v>0</v>
      </c>
      <c r="LS208" s="6">
        <f>COUNTIFS(Table28[Country],Tabela1[[#This Row],[Country]],Table28[81kg Classification],"&gt;0")</f>
        <v>0</v>
      </c>
      <c r="LT208" s="6">
        <f>COUNTIFS(Table28[Country],Tabela1[[#This Row],[Country]],Table28[Plus 81kg Classification],"&gt;0")</f>
        <v>0</v>
      </c>
      <c r="LU208" s="6">
        <f>COUNTIFS(Table24[Country],Tabela1[[#This Row],[Country]],Table24[Freestyle 57kg Classification],"&gt;0")</f>
        <v>0</v>
      </c>
      <c r="LV208" s="6">
        <f>COUNTIFS(Table24[Country],Tabela1[[#This Row],[Country]],Table24[Freestyle 65kg Classification],"&gt;0")</f>
        <v>0</v>
      </c>
      <c r="LW208" s="6">
        <f>COUNTIFS(Table24[Country],Tabela1[[#This Row],[Country]],Table24[Freestyle 74kg Classification],"&gt;0")</f>
        <v>0</v>
      </c>
      <c r="LX208" s="6">
        <f>COUNTIFS(Table24[Country],Tabela1[[#This Row],[Country]],Table24[Freestyle 86kg Classification],"&gt;0")</f>
        <v>0</v>
      </c>
      <c r="LY208" s="6">
        <f>COUNTIFS(Table24[Country],Tabela1[[#This Row],[Country]],Table24[Freestyle 97kg Classification],"&gt;0")</f>
        <v>0</v>
      </c>
      <c r="LZ208" s="6">
        <f>COUNTIFS(Table24[Country],Tabela1[[#This Row],[Country]],Table24[Freestyle 125kg Classification],"&gt;0")</f>
        <v>0</v>
      </c>
      <c r="MA208" s="6">
        <f>COUNTIFS(Table24[Country],Tabela1[[#This Row],[Country]],Table24[Greco-Roman 60kg Classification],"&gt;0")</f>
        <v>0</v>
      </c>
      <c r="MB208" s="6">
        <f>COUNTIFS(Table24[Country],Tabela1[[#This Row],[Country]],Table24[Greco-Roman 67kg Classification],"&gt;0")</f>
        <v>0</v>
      </c>
      <c r="MC208" s="6">
        <f>COUNTIFS(Table24[Country],Tabela1[[#This Row],[Country]],Table24[Greco-Roman 77kg Classification],"&gt;0")</f>
        <v>0</v>
      </c>
      <c r="MD208" s="6">
        <f>COUNTIFS(Table24[Country],Tabela1[[#This Row],[Country]],Table24[Greco-Roman 87kg Classification],"&gt;0")</f>
        <v>0</v>
      </c>
      <c r="ME208" s="6">
        <f>COUNTIFS(Table24[Country],Tabela1[[#This Row],[Country]],Table24[Greco-Roman 97kg Classification],"&gt;0")</f>
        <v>0</v>
      </c>
      <c r="MF208" s="6">
        <f>COUNTIFS(Table24[Country],Tabela1[[#This Row],[Country]],Table24[Greco-Roman 130kg Classification],"&gt;0")</f>
        <v>0</v>
      </c>
      <c r="MG208" s="6">
        <f>COUNTIFS(Table31[Country],Tabela1[[#This Row],[Country]],Table31[50kg Classification],"&gt;0")</f>
        <v>0</v>
      </c>
      <c r="MH208" s="6">
        <f>COUNTIFS(Table31[Country],Tabela1[[#This Row],[Country]],Table31[53kg Classification],"&gt;0")</f>
        <v>0</v>
      </c>
      <c r="MI208" s="6">
        <f>COUNTIFS(Table31[Country],Tabela1[[#This Row],[Country]],Table31[57kg Classification],"&gt;0")</f>
        <v>0</v>
      </c>
      <c r="MJ208" s="6">
        <f>COUNTIFS(Table31[Country],Tabela1[[#This Row],[Country]],Table31[62kg Classification],"&gt;0")</f>
        <v>0</v>
      </c>
      <c r="MK208" s="6">
        <f>COUNTIFS(Table31[Country],Tabela1[[#This Row],[Country]],Table31[68kg Classification],"&gt;0")</f>
        <v>0</v>
      </c>
      <c r="ML208" s="6">
        <f>COUNTIFS(Table31[Country],Tabela1[[#This Row],[Country]],Table31[76kg Classification],"&gt;0")</f>
        <v>0</v>
      </c>
      <c r="MM208" s="6">
        <f>COUNTIFS(Table102[Country],Tabela1[[#This Row],[Country]],Table102[Downhill Classification],"&gt;0")</f>
        <v>0</v>
      </c>
      <c r="MN208" s="6">
        <f>COUNTIFS(Table102105[Country],Tabela1[[#This Row],[Country]],Table102105[Downhill Classification],"&gt;0")</f>
        <v>0</v>
      </c>
      <c r="MO208" s="6">
        <f>COUNTIFS(Table102[Country],Tabela1[[#This Row],[Country]],Table102[Giant Slalom Classification],"&gt;0")</f>
        <v>0</v>
      </c>
      <c r="MP208" s="6">
        <f>COUNTIFS(Table102105[Country],Tabela1[[#This Row],[Country]],Table102105[Giant Slalom Classification],"&gt;0")</f>
        <v>0</v>
      </c>
      <c r="MQ208" s="6">
        <f>COUNTIFS(Table102[Country],Tabela1[[#This Row],[Country]],Table102[Slalom Classification],"&gt;0")</f>
        <v>0</v>
      </c>
      <c r="MR208" s="6">
        <f>COUNTIFS(Table102105[Country],Tabela1[[#This Row],[Country]],Table102105[Slalom Classification],"&gt;0")</f>
        <v>0</v>
      </c>
      <c r="MS208" s="6">
        <f>COUNTIFS(Table102[Country],Tabela1[[#This Row],[Country]],Table102[Super-G Classification],"&gt;0")</f>
        <v>0</v>
      </c>
      <c r="MT208" s="6">
        <f>COUNTIFS(Table102105[Country],Tabela1[[#This Row],[Country]],Table102105[Super-G Classification],"&gt;0")</f>
        <v>0</v>
      </c>
      <c r="MU208" s="6">
        <f>COUNTIFS(Table105[Country],Tabela1[[#This Row],[Country]],Table105[Men''s Combined Classification],"&gt;0")</f>
        <v>0</v>
      </c>
      <c r="MV208" s="6">
        <f>COUNTIFS(Table105[Country],Tabela1[[#This Row],[Country]],Table105[Women''s Combined Classification],"&gt;0")</f>
        <v>0</v>
      </c>
      <c r="MW208" s="6">
        <f>COUNTIFS(Table106[Country],Tabela1[[#This Row],[Country]],Table106[Individual Classification],"&gt;0")</f>
        <v>0</v>
      </c>
      <c r="MX208" s="6">
        <f>COUNTIFS(Table106109[Country],Tabela1[[#This Row],[Country]],Table106109[Individual Classification],"&gt;0")</f>
        <v>0</v>
      </c>
      <c r="MY208" s="6">
        <f>COUNTIFS(Table106[Country],Tabela1[[#This Row],[Country]],Table106[Mass Start Classification],"&gt;0")</f>
        <v>0</v>
      </c>
      <c r="MZ208" s="6">
        <f>COUNTIFS(Table106109[Country],Tabela1[[#This Row],[Country]],Table106109[Mass Start Classification],"&gt;0")</f>
        <v>0</v>
      </c>
      <c r="NA208" s="6">
        <f>COUNTIFS(Table106[Country],Tabela1[[#This Row],[Country]],Table106[Pursuit Classification],"&gt;0")</f>
        <v>0</v>
      </c>
      <c r="NB208" s="6">
        <f>COUNTIFS(Table106109[Country],Tabela1[[#This Row],[Country]],Table106109[Pursuit Classification],"&gt;0")</f>
        <v>0</v>
      </c>
      <c r="NC208" s="6">
        <f>COUNTIFS(Table106[Country],Tabela1[[#This Row],[Country]],Table106[Sprint Classification],"&gt;0")</f>
        <v>0</v>
      </c>
      <c r="ND208" s="6">
        <f>COUNTIFS(Table106109[Country],Tabela1[[#This Row],[Country]],Table106109[Sprint Classification],"&gt;0")</f>
        <v>0</v>
      </c>
      <c r="NE208" s="6">
        <f>COUNTIFS(Table109[Country],Tabela1[[#This Row],[Country]],Table109[Men''s Relay Classification],"&gt;0")</f>
        <v>0</v>
      </c>
      <c r="NF208" s="6">
        <f>COUNTIFS(Table109[Country],Tabela1[[#This Row],[Country]],Table109[Women''s Relay Classification],"&gt;0")</f>
        <v>0</v>
      </c>
      <c r="NG208" s="6">
        <f>COUNTIFS(Table109[Country],Tabela1[[#This Row],[Country]],Table109[Mixed Relay Classification],"&gt;0")</f>
        <v>0</v>
      </c>
      <c r="NH208" s="6">
        <f>COUNTIFS(Table110[Country],Tabela1[[#This Row],[Country]],Table110[Monobob Classification],"&gt;0")</f>
        <v>0</v>
      </c>
      <c r="NI208" s="6">
        <f>COUNTIFS(Table111[Country],Tabela1[[#This Row],[Country]],Table111[Men''s Classification],"&gt;0")</f>
        <v>0</v>
      </c>
      <c r="NJ208" s="6">
        <f>COUNTIFS(Table111[Country],Tabela1[[#This Row],[Country]],Table111[Women''s Classification],"&gt;0")</f>
        <v>0</v>
      </c>
      <c r="NK208" s="6">
        <f>COUNTIFS(Table112[Country],Tabela1[[#This Row],[Country]],Table112[Men''s Four Classification],"&gt;0")</f>
        <v>0</v>
      </c>
      <c r="NL208" s="6">
        <f>COUNTIFS(Table113[Country],Tabela1[[#This Row],[Country]],Table113[Classical Classification],"&gt;0")</f>
        <v>0</v>
      </c>
      <c r="NM208" s="6">
        <f>COUNTIFS(Table113116[Country],Tabela1[[#This Row],[Country]],Table113116[Classical Classification],"&gt;0")</f>
        <v>0</v>
      </c>
      <c r="NN208" s="6">
        <f>COUNTIFS(Table113[Country],Tabela1[[#This Row],[Country]],Table113[Freestyle Classification],"&gt;0")</f>
        <v>0</v>
      </c>
      <c r="NO208" s="6">
        <f>COUNTIFS(Table113116[Country],Tabela1[[#This Row],[Country]],Table113116[Freestyle Classification],"&gt;0")</f>
        <v>0</v>
      </c>
      <c r="NP208" s="6">
        <f>COUNTIFS(Table117[Country],Tabela1[[#This Row],[Country]],Table117[Men''s Relay Classification],"&gt;0")</f>
        <v>0</v>
      </c>
      <c r="NQ208" s="6">
        <f>COUNTIFS(Table117[Country],Tabela1[[#This Row],[Country]],Table117[Women''s Relay Classification],"&gt;0")</f>
        <v>0</v>
      </c>
      <c r="NR208" s="6">
        <f>COUNTIFS(Table113[Country],Tabela1[[#This Row],[Country]],Table113[Skiathlon Classification],"&gt;0")</f>
        <v>0</v>
      </c>
      <c r="NS208" s="6">
        <f>COUNTIFS(Table113116[Country],Tabela1[[#This Row],[Country]],Table113116[Skiathlon Classification],"&gt;0")</f>
        <v>0</v>
      </c>
      <c r="NT208" s="6">
        <f>COUNTIFS(Table113[Country],Tabela1[[#This Row],[Country]],Table113[Sprint Classification],"&gt;0")</f>
        <v>0</v>
      </c>
      <c r="NU208" s="6">
        <f>COUNTIFS(Table113116[Country],Tabela1[[#This Row],[Country]],Table113116[Sprint Classification],"&gt;0")</f>
        <v>0</v>
      </c>
      <c r="NV208" s="6">
        <f>COUNTIFS(Table116[Country],Tabela1[[#This Row],[Country]],Table116[Men''s Team Sprint Classification],"&gt;0")</f>
        <v>0</v>
      </c>
      <c r="NW208" s="6">
        <f>COUNTIFS(Table116[Country],Tabela1[[#This Row],[Country]],Table116[Women''s Team Sprint Classification],"&gt;0")</f>
        <v>0</v>
      </c>
      <c r="NX208" s="6">
        <f>COUNTIFS(Table119[Country],Tabela1[[#This Row],[Country]],Table119[Men''s Classification],"&gt;0")</f>
        <v>0</v>
      </c>
      <c r="NY208" s="6">
        <f>COUNTIFS(Table119[Country],Tabela1[[#This Row],[Country]],Table119[Women''s Classification],"&gt;0")</f>
        <v>0</v>
      </c>
      <c r="NZ208" s="6">
        <f>COUNTIFS(Table118[Country],Tabela1[[#This Row],[Country]],Table118[Mixed Classification],"&gt;0")</f>
        <v>0</v>
      </c>
      <c r="OA208" s="6">
        <f>COUNTIFS(Table120[Country],Tabela1[[#This Row],[Country]],Table120[Classification],"&gt;0")</f>
        <v>0</v>
      </c>
      <c r="OB208" s="6">
        <f>COUNTIFS(Table120123[Country],Tabela1[[#This Row],[Country]],Table120123[Classification],"&gt;0")</f>
        <v>0</v>
      </c>
      <c r="OC208" s="6">
        <f>COUNTIFS(Table123[Country],Tabela1[[#This Row],[Country]],Table123[Ice Dance Classification],"&gt;0")</f>
        <v>0</v>
      </c>
      <c r="OD208" s="6">
        <f>COUNTIFS(Table123[Country],Tabela1[[#This Row],[Country]],Table123[Pair Skating Classification],"&gt;0")</f>
        <v>0</v>
      </c>
      <c r="OE208" s="6">
        <f>COUNTIFS(Table124[Country],Tabela1[[#This Row],[Country]],Table124[Mixed Classification],"&gt;0")</f>
        <v>0</v>
      </c>
      <c r="OF208" s="6">
        <f>COUNTIFS(Table125[Country],Tabela1[[#This Row],[Country]],Table125[Aerials Classification],"&gt;0")</f>
        <v>0</v>
      </c>
      <c r="OG208" s="6">
        <f>COUNTIFS(Table125128[Country],Tabela1[[#This Row],[Country]],Table125128[Aerials Classification],"&gt;0")</f>
        <v>0</v>
      </c>
      <c r="OH208" s="6">
        <f>COUNTIFS(Table128[Country],Tabela1[[#This Row],[Country]],Table128[Mixed Aerials Classification],"&gt;0")</f>
        <v>0</v>
      </c>
      <c r="OI208" s="6">
        <f>COUNTIFS(Table125[Country],Tabela1[[#This Row],[Country]],Table125[Big Air Classification],"&gt;0")</f>
        <v>0</v>
      </c>
      <c r="OJ208" s="6">
        <f>COUNTIFS(Table125128[Country],Tabela1[[#This Row],[Country]],Table125128[Big Air Classification],"&gt;0")</f>
        <v>0</v>
      </c>
      <c r="OK208" s="6">
        <f>COUNTIFS(Table125[Country],Tabela1[[#This Row],[Country]],Table125[Dual Moguls Classification],"&gt;0")</f>
        <v>0</v>
      </c>
      <c r="OL208" s="6">
        <f>COUNTIFS(Table125128[Country],Tabela1[[#This Row],[Country]],Table125128[Dual Moguls Classification],"&gt;0")</f>
        <v>0</v>
      </c>
      <c r="OM208" s="6">
        <f>COUNTIFS(Table125[Country],Tabela1[[#This Row],[Country]],Table125[Halfpipe Classification],"&gt;0")</f>
        <v>0</v>
      </c>
      <c r="ON208" s="6">
        <f>COUNTIFS(Table125128[Country],Tabela1[[#This Row],[Country]],Table125128[Halfpipe Classification],"&gt;0")</f>
        <v>0</v>
      </c>
      <c r="OO208" s="6">
        <f>COUNTIFS(Table125[Country],Tabela1[[#This Row],[Country]],Table125[Moguls Classification],"&gt;0")</f>
        <v>0</v>
      </c>
      <c r="OP208" s="6">
        <f>COUNTIFS(Table125128[Country],Tabela1[[#This Row],[Country]],Table125128[Moguls Classification],"&gt;0")</f>
        <v>0</v>
      </c>
      <c r="OQ208" s="6">
        <f>COUNTIFS(Table125[Country],Tabela1[[#This Row],[Country]],Table125[Ski Cross Classification],"&gt;0")</f>
        <v>0</v>
      </c>
      <c r="OR208" s="6">
        <f>COUNTIFS(Table125128[Country],Tabela1[[#This Row],[Country]],Table125128[Ski Cross Classification],"&gt;0")</f>
        <v>0</v>
      </c>
      <c r="OS208" s="6">
        <f>COUNTIFS(Table125[Country],Tabela1[[#This Row],[Country]],Table125[Slopestyle Classification],"&gt;0")</f>
        <v>0</v>
      </c>
      <c r="OT208" s="6">
        <f>COUNTIFS(Table125128[Country],Tabela1[[#This Row],[Country]],Table125128[Slopestyle Classification],"&gt;0")</f>
        <v>0</v>
      </c>
      <c r="OU208" s="6">
        <f>COUNTIFS(Table119131[Country],Tabela1[[#This Row],[Country]],Table119131[Men''s Classification],"&gt;0")</f>
        <v>0</v>
      </c>
      <c r="OV208" s="6">
        <f>COUNTIFS(Table119131[Country],Tabela1[[#This Row],[Country]],Table119131[Women''s Classification],"&gt;0")</f>
        <v>0</v>
      </c>
      <c r="OW208" s="6">
        <f>COUNTIFS(Table131[Country],Tabela1[[#This Row],[Country]],Table131[Classification],"&gt;0")</f>
        <v>0</v>
      </c>
      <c r="OX208" s="6">
        <f>COUNTIFS(Table131134[Country],Tabela1[[#This Row],[Country]],Table131134[Classification],"&gt;0")</f>
        <v>0</v>
      </c>
      <c r="OY208" s="6">
        <f>COUNTIFS(Table134[Country],Tabela1[[#This Row],[Country]],Table134[Men''s Classification],"&gt;0")</f>
        <v>0</v>
      </c>
      <c r="OZ208" s="6">
        <f>COUNTIFS(Table134[Country],Tabela1[[#This Row],[Country]],Table134[Women''s Classification],"&gt;0")</f>
        <v>0</v>
      </c>
      <c r="PA208" s="6">
        <f>COUNTIFS(Table135[Country],Tabela1[[#This Row],[Country]],Table135[Mixed Relay Classification],"&gt;0")</f>
        <v>0</v>
      </c>
      <c r="PB208" s="6">
        <f>COUNTIFS(Table136[Country],Tabela1[[#This Row],[Country]],Table136[Individual Classification],"&gt;0")</f>
        <v>0</v>
      </c>
      <c r="PC208" s="6">
        <f>COUNTIFS(Table136[Country],Tabela1[[#This Row],[Country]],Table136[Sprint Classification],"&gt;0")</f>
        <v>0</v>
      </c>
      <c r="PD208" s="6">
        <f>COUNTIFS(Table137[Country],Tabela1[[#This Row],[Country]],Table137[Men''s Team Sprint Large Hill Classification],"&gt;0")</f>
        <v>0</v>
      </c>
      <c r="PE208" s="6">
        <f>COUNTIFS(Table138[Country],Tabela1[[#This Row],[Country]],Table138[500m Classification],"&gt;0")</f>
        <v>0</v>
      </c>
      <c r="PF208" s="6">
        <f>COUNTIFS(Table138141[Country],Tabela1[[#This Row],[Country]],Table138141[500m Classification],"&gt;0")</f>
        <v>0</v>
      </c>
      <c r="PG208" s="6">
        <f>COUNTIFS(Table138[Country],Tabela1[[#This Row],[Country]],Table138[1000m Classification],"&gt;0")</f>
        <v>0</v>
      </c>
      <c r="PH208" s="6">
        <f>COUNTIFS(Table138141[Country],Tabela1[[#This Row],[Country]],Table138141[1000m Classification],"&gt;0")</f>
        <v>0</v>
      </c>
      <c r="PI208" s="6">
        <f>COUNTIFS(Table138[Country],Tabela1[[#This Row],[Country]],Table138[1500m Classification],"&gt;0")</f>
        <v>0</v>
      </c>
      <c r="PJ208" s="6">
        <f>COUNTIFS(Table138141[Country],Tabela1[[#This Row],[Country]],Table138141[1500m Classification],"&gt;0")</f>
        <v>0</v>
      </c>
      <c r="PK208" s="6">
        <f>COUNTIFS(Table141[Country],Tabela1[[#This Row],[Country]],Table141[Men''s 5000m Relay Classification],"&gt;0")</f>
        <v>0</v>
      </c>
      <c r="PL208" s="6">
        <f>COUNTIFS(Table141[Country],Tabela1[[#This Row],[Country]],Table141[Women''s 3000m Relay Classification],"&gt;0")</f>
        <v>0</v>
      </c>
      <c r="PM208" s="6">
        <f>COUNTIFS(Table141[Country],Tabela1[[#This Row],[Country]],Table141[Mixed 2000m Relay Classification],"&gt;0")</f>
        <v>0</v>
      </c>
      <c r="PN208" s="6">
        <f>COUNTIFS(Table142[Country],Tabela1[[#This Row],[Country]],Table142[Classification],"&gt;0")</f>
        <v>0</v>
      </c>
      <c r="PO208" s="6">
        <f>COUNTIFS(Table142145[Country],Tabela1[[#This Row],[Country]],Table142145[Classification],"&gt;0")</f>
        <v>0</v>
      </c>
      <c r="PP208" s="6">
        <f>COUNTIFS(Tabela15[Country],Tabela1[[#This Row],[Country]],Tabela15[Mixed Team Classification],"&gt;0")</f>
        <v>0</v>
      </c>
      <c r="PQ208" s="6">
        <f>COUNTIFS(Table145[Country],Tabela1[[#This Row],[Country]],Table145[Large Hill Classification],"&gt;0")</f>
        <v>0</v>
      </c>
      <c r="PR208" s="6">
        <f>COUNTIFS(Table145[Country],Tabela1[[#This Row],[Country]],Table145[Normal Hill Classification],"&gt;0")</f>
        <v>0</v>
      </c>
      <c r="PS208" s="6">
        <f>COUNTIFS(Table145148[Country],Tabela1[[#This Row],[Country]],Table145148[Large Hill Classification],"&gt;0")</f>
        <v>0</v>
      </c>
      <c r="PT208" s="6">
        <f>COUNTIFS(Table145148[Country],Tabela1[[#This Row],[Country]],Table145148[Normal Hill Classification],"&gt;0")</f>
        <v>0</v>
      </c>
      <c r="PU208" s="6">
        <f>COUNTIFS(Table148[Country],Tabela1[[#This Row],[Country]],Table148[Men''s Super Team Classification],"&gt;0")</f>
        <v>0</v>
      </c>
      <c r="PV208" s="6">
        <f>COUNTIFS(Tabela114[Country],Tabela1[[#This Row],[Country]],Tabela114[Mixed Normal Hill Classification],"&gt;0")</f>
        <v>0</v>
      </c>
      <c r="PW208" s="6">
        <f>COUNTIFS(Tabela50[Country],Tabela1[[#This Row],[Country]],Tabela50[Sprint Classification],"&gt;0")</f>
        <v>0</v>
      </c>
      <c r="PX208" s="6">
        <f>COUNTIFS(Tabela50101[Country],Tabela1[[#This Row],[Country]],Tabela50101[Sprint Classification],"&gt;0")</f>
        <v>0</v>
      </c>
      <c r="PY208" s="6">
        <f>COUNTIFS(Tabela103[Country],Tabela1[[#This Row],[Country]],Tabela103[Mixed Relay Classification],"&gt;0")</f>
        <v>0</v>
      </c>
      <c r="PZ208" s="6">
        <f>COUNTIFS(Table149[Country],Tabela1[[#This Row],[Country]],Table149[Big Air Classification],"&gt;0")</f>
        <v>0</v>
      </c>
      <c r="QA208" s="6">
        <f>COUNTIFS(Table149152[Country],Tabela1[[#This Row],[Country]],Table149152[Big Air Classification],"&gt;0")</f>
        <v>0</v>
      </c>
      <c r="QB208" s="6">
        <f>COUNTIFS(Table149[Country],Tabela1[[#This Row],[Country]],Table149[Halfpipe Classification],"&gt;0")</f>
        <v>0</v>
      </c>
      <c r="QC208" s="6">
        <f>COUNTIFS(Table149152[Country],Tabela1[[#This Row],[Country]],Table149152[Halfpipe Classification],"&gt;0")</f>
        <v>0</v>
      </c>
      <c r="QD208" s="6">
        <f>COUNTIFS(Table149[Country],Tabela1[[#This Row],[Country]],Table149[Parallel Giant Slalom Classification],"&gt;0")</f>
        <v>0</v>
      </c>
      <c r="QE208" s="6">
        <f>COUNTIFS(Table149152[Country],Tabela1[[#This Row],[Country]],Table149152[Parallel Giant Slalom Classification],"&gt;0")</f>
        <v>0</v>
      </c>
      <c r="QF208" s="6">
        <f>COUNTIFS(Table149[Country],Tabela1[[#This Row],[Country]],Table149[Slopestyle Classification],"&gt;0")</f>
        <v>0</v>
      </c>
      <c r="QG208" s="6">
        <f>COUNTIFS(Table149152[Country],Tabela1[[#This Row],[Country]],Table149152[Slopestyle Classification],"&gt;0")</f>
        <v>0</v>
      </c>
      <c r="QH208" s="6">
        <f>COUNTIFS(Table149[Country],Tabela1[[#This Row],[Country]],Table149[Snowboard Cross Classification],"&gt;0")</f>
        <v>0</v>
      </c>
      <c r="QI208" s="6">
        <f>COUNTIFS(Table149152[Country],Tabela1[[#This Row],[Country]],Table149152[Snowboard Cross Classification],"&gt;0")</f>
        <v>0</v>
      </c>
      <c r="QJ208" s="6">
        <f>COUNTIFS(Table153[Country],Tabela1[[#This Row],[Country]],Table153[Mixed Team Snowboard Cross Classification],"&gt;0")</f>
        <v>0</v>
      </c>
      <c r="QK208" s="6">
        <f>COUNTIFS(Table154[Country],Tabela1[[#This Row],[Country]],Table154[500m Classification],"&gt;0")</f>
        <v>0</v>
      </c>
      <c r="QL208" s="6">
        <f>COUNTIFS(Table154157[Country],Tabela1[[#This Row],[Country]],Table154157[500m Classification],"&gt;0")</f>
        <v>0</v>
      </c>
      <c r="QM208" s="6">
        <f>COUNTIFS(Table154[Country],Tabela1[[#This Row],[Country]],Table154[1000m Classification],"&gt;0")</f>
        <v>0</v>
      </c>
      <c r="QN208" s="6">
        <f>COUNTIFS(Table154157[Country],Tabela1[[#This Row],[Country]],Table154157[1000m Classification],"&gt;0")</f>
        <v>0</v>
      </c>
      <c r="QO208" s="6">
        <f>COUNTIFS(Table154[Country],Tabela1[[#This Row],[Country]],Table154[1500m Classification],"&gt;0")</f>
        <v>0</v>
      </c>
      <c r="QP208" s="6">
        <f>COUNTIFS(Table154157[Country],Tabela1[[#This Row],[Country]],Table154157[1500m Classification],"&gt;0")</f>
        <v>0</v>
      </c>
      <c r="QQ208" s="6">
        <f>COUNTIFS(Table154157[Country],Tabela1[[#This Row],[Country]],Table154157[3000m Classification],"&gt;0")</f>
        <v>0</v>
      </c>
      <c r="QR208" s="6">
        <f>COUNTIFS(Table154[Country],Tabela1[[#This Row],[Country]],Table154[5000m Classification],"&gt;0")</f>
        <v>0</v>
      </c>
      <c r="QS208" s="6">
        <f>COUNTIFS(Table154157[Country],Tabela1[[#This Row],[Country]],Table154157[5000m Classification],"&gt;0")</f>
        <v>0</v>
      </c>
      <c r="QT208" s="6">
        <f>COUNTIFS(Table154[Country],Tabela1[[#This Row],[Country]],Table154[10000m Classification],"&gt;0")</f>
        <v>0</v>
      </c>
      <c r="QU208" s="6">
        <f>COUNTIFS(Table154[Country],Tabela1[[#This Row],[Country]],Table154[Mass Start Classification],"&gt;0")</f>
        <v>0</v>
      </c>
      <c r="QV208" s="6">
        <f>COUNTIFS(Table154157[Country],Tabela1[[#This Row],[Country]],Table154157[Mass Start Classification],"&gt;0")</f>
        <v>0</v>
      </c>
      <c r="QW208" s="6">
        <f>COUNTIFS(Table157[Country],Tabela1[[#This Row],[Country]],Table157[Men''s Pursuit Classification],"&gt;0")</f>
        <v>0</v>
      </c>
      <c r="QX208" s="6">
        <f>COUNTIFS(Table157[Country],Tabela1[[#This Row],[Country]],Table157[Women''s Pursuit Classification],"&gt;0")</f>
        <v>0</v>
      </c>
      <c r="QY208" s="3" t="s">
        <v>729</v>
      </c>
    </row>
    <row r="209" spans="2:471" ht="13.95" customHeight="1" x14ac:dyDescent="0.3"/>
    <row r="210" spans="2:471" x14ac:dyDescent="0.3">
      <c r="D210" s="6">
        <f>SUM(Tabela1[Total Quotas])</f>
        <v>4614</v>
      </c>
      <c r="G210" s="6">
        <f>SUM(Tabela1[Summer Olympics Quotas])</f>
        <v>3157</v>
      </c>
      <c r="H210" s="6">
        <f>SUM(Tabela1[Winter Olympics Quotas])</f>
        <v>1457</v>
      </c>
      <c r="I210" s="6">
        <f>SUM(Tabela1[Total Gold Medals])</f>
        <v>445</v>
      </c>
      <c r="J210" s="6">
        <f>SUM(Tabela1[Total Silver Medals])</f>
        <v>448</v>
      </c>
      <c r="K210" s="6">
        <f>SUM(Tabela1[Total Bronze Medals])</f>
        <v>499</v>
      </c>
      <c r="L210" s="6"/>
      <c r="M210" s="6">
        <f>SUM(Tabela1[Summer Gold Medals])</f>
        <v>329</v>
      </c>
      <c r="N210" s="6">
        <f>SUM(Tabela1[Summer Silver Medals])</f>
        <v>330</v>
      </c>
      <c r="O210" s="6">
        <f>SUM(Tabela1[Summer Bronze Medals])</f>
        <v>385</v>
      </c>
      <c r="P210" s="6"/>
      <c r="Q210" s="6">
        <f>SUM(Tabela1[Winter Gold Medals])</f>
        <v>116</v>
      </c>
      <c r="R210" s="6">
        <f>SUM(Tabela1[Winter Silver Medals])</f>
        <v>118</v>
      </c>
      <c r="S210" s="6">
        <f>SUM(Tabela1[Winter Bronze Medals])</f>
        <v>114</v>
      </c>
    </row>
    <row r="212" spans="2:471" x14ac:dyDescent="0.3">
      <c r="B212" s="10" t="s">
        <v>3</v>
      </c>
      <c r="C212" s="10"/>
      <c r="D212" s="10"/>
      <c r="E212" s="10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6">
        <f>SUM(Tabela1[Archery - Men''s Individual Recurve])</f>
        <v>23</v>
      </c>
      <c r="W212" s="6">
        <f>SUM(Tabela1[Archery - Women''s Individual Recurve])</f>
        <v>22</v>
      </c>
      <c r="X212" s="6">
        <f>SUM(Tabela1[Archery - Men''s Team Recurve])</f>
        <v>10</v>
      </c>
      <c r="Y212" s="6">
        <f>SUM(Tabela1[Archery - Women''s Team Recurve])</f>
        <v>9</v>
      </c>
      <c r="Z212" s="6">
        <f>SUM(Tabela1[Archery - Mixed Team Recurve])</f>
        <v>14</v>
      </c>
      <c r="AA212" s="6">
        <f>SUM(Tabela1[Artistic Swimming - Women''s Duet])</f>
        <v>6</v>
      </c>
      <c r="AB212" s="6">
        <f>SUM(Tabela1[Artistic Swimming - Women''s Team])</f>
        <v>10</v>
      </c>
      <c r="AC212" s="6">
        <f>SUM(Tabela1[Athletics - Men''s 100m])</f>
        <v>14</v>
      </c>
      <c r="AD212" s="6">
        <f>SUM(Tabela1[Athletics - Women''s 100m])</f>
        <v>18</v>
      </c>
      <c r="AE212" s="6">
        <f>SUM(Tabela1[Athletics - Men''s 200m])</f>
        <v>12</v>
      </c>
      <c r="AF212" s="6">
        <f>SUM(Tabela1[Athletics - Women''s 200m])</f>
        <v>11</v>
      </c>
      <c r="AG212" s="6">
        <f>SUM(Tabela1[Athletics - Men''s 400m])</f>
        <v>11</v>
      </c>
      <c r="AH212" s="6">
        <f>SUM(Tabela1[Athletics - Women''s 400m])</f>
        <v>10</v>
      </c>
      <c r="AI212" s="6">
        <f>SUM(Tabela1[Athletics - Men''s 800m])</f>
        <v>17</v>
      </c>
      <c r="AJ212" s="6">
        <f>SUM(Tabela1[Athletics - Women''s 800m])</f>
        <v>18</v>
      </c>
      <c r="AK212" s="6">
        <f>SUM(Tabela1[Athletics - Men''s 1500m])</f>
        <v>10</v>
      </c>
      <c r="AL212" s="6">
        <f>SUM(Tabela1[Athletics - Women''s 1500m])</f>
        <v>14</v>
      </c>
      <c r="AM212" s="6">
        <f>SUM(Tabela1[Athletics - Men''s 5000m])</f>
        <v>14</v>
      </c>
      <c r="AN212" s="6">
        <f>SUM(Tabela1[Athletics - Women''s 5000m])</f>
        <v>18</v>
      </c>
      <c r="AO212" s="6">
        <f>SUM(Tabela1[Athletics - Men''s 10000m])</f>
        <v>13</v>
      </c>
      <c r="AP212" s="6">
        <f>SUM(Tabela1[Athletics - Women''s 10000m])</f>
        <v>7</v>
      </c>
      <c r="AQ212" s="6">
        <f>SUM(Tabela1[Athletics - Men''s 110m Hurdles])</f>
        <v>15</v>
      </c>
      <c r="AR212" s="6">
        <f>SUM(Tabela1[Athletics - Women''s 100m Hurdles])</f>
        <v>9</v>
      </c>
      <c r="AS212" s="6">
        <f>SUM(Tabela1[Athletics - Men''s 400m Hurdles])</f>
        <v>16</v>
      </c>
      <c r="AT212" s="6">
        <f>SUM(Tabela1[Athletics - Women''s 400m Hurdles])</f>
        <v>15</v>
      </c>
      <c r="AU212" s="6">
        <f>SUM(Tabela1[Athletics - Men''s 3000m Steeplechase])</f>
        <v>10</v>
      </c>
      <c r="AV212" s="6">
        <f>SUM(Tabela1[Athletics - Women''s 3000m Steeplechase])</f>
        <v>13</v>
      </c>
      <c r="AW212" s="6">
        <f>SUM(Tabela1[Athletics - Men''s 4x100m Relay])</f>
        <v>8</v>
      </c>
      <c r="AX212" s="6">
        <f>SUM(Tabela1[Athletics - Women''s 4x100m Relay])</f>
        <v>11</v>
      </c>
      <c r="AY212" s="6">
        <f>SUM(Tabela1[Athletics - Men''s 4x400m Relay])</f>
        <v>8</v>
      </c>
      <c r="AZ212" s="6">
        <f>SUM(Tabela1[Athletics - Women''s 4x400m Relay])</f>
        <v>14</v>
      </c>
      <c r="BA212" s="6">
        <f>SUM(Tabela1[Athletics - Mixed 4x400m Relay])</f>
        <v>9</v>
      </c>
      <c r="BB212" s="6">
        <f>SUM(Tabela1[Athletics - Men''s Marathon])</f>
        <v>24</v>
      </c>
      <c r="BC212" s="6">
        <f>SUM(Tabela1[Athletics - Women''s Marathon])</f>
        <v>26</v>
      </c>
      <c r="BD212" s="6">
        <f>SUM(Tabela1[Athletics - Men''s 20km Race Walk])</f>
        <v>17</v>
      </c>
      <c r="BE212" s="6">
        <f>SUM(Tabela1[Athletics - Women''s 20km Race Walk])</f>
        <v>12</v>
      </c>
      <c r="BF212" s="6">
        <f>SUM(Tabela1[Athletics - Mixed Marathon Race Walk Relay])</f>
        <v>15</v>
      </c>
      <c r="BG212" s="6">
        <f>SUM(Tabela1[Athletics - Men''s Discus Throw])</f>
        <v>10</v>
      </c>
      <c r="BH212" s="6">
        <f>SUM(Tabela1[Athletics - Women''s Discus Throw])</f>
        <v>7</v>
      </c>
      <c r="BI212" s="6">
        <f>SUM(Tabela1[Athletics - Men''s Hammer Throw])</f>
        <v>11</v>
      </c>
      <c r="BJ212" s="6">
        <f>SUM(Tabela1[Athletics - Women''s Hammer Throw])</f>
        <v>12</v>
      </c>
      <c r="BK212" s="6">
        <f>SUM(Tabela1[Athletics - Men''s High Jump])</f>
        <v>7</v>
      </c>
      <c r="BL212" s="6">
        <f>SUM(Tabela1[Athletics - Women''s High Jump])</f>
        <v>10</v>
      </c>
      <c r="BM212" s="6">
        <f>SUM(Tabela1[Athletics - Men''s Javelin Throw])</f>
        <v>9</v>
      </c>
      <c r="BN212" s="6">
        <f>SUM(Tabela1[Athletics - Women''s Javelin Throw])</f>
        <v>11</v>
      </c>
      <c r="BO212" s="6">
        <f>SUM(Tabela1[Athletics - Men''s Long Jump])</f>
        <v>10</v>
      </c>
      <c r="BP212" s="6">
        <f>SUM(Tabela1[Athletics - Women''s Long Jump])</f>
        <v>10</v>
      </c>
      <c r="BQ212" s="6">
        <f>SUM(Tabela1[Athletics - Men''s Pole Vault])</f>
        <v>12</v>
      </c>
      <c r="BR212" s="6">
        <f>SUM(Tabela1[Athletics - Women''s Pole Vault])</f>
        <v>10</v>
      </c>
      <c r="BS212" s="6">
        <f>SUM(Tabela1[Athletics - Men''s Shot Put])</f>
        <v>10</v>
      </c>
      <c r="BT212" s="6">
        <f>SUM(Tabela1[Athletics - Women''s Shot Put])</f>
        <v>10</v>
      </c>
      <c r="BU212" s="6">
        <f>SUM(Tabela1[Athletics - Men''s Triple Jump])</f>
        <v>17</v>
      </c>
      <c r="BV212" s="6">
        <f>SUM(Tabela1[Athletics - Women''s Triple Jump])</f>
        <v>6</v>
      </c>
      <c r="BW212" s="6">
        <f>SUM(Tabela1[Athletics - Men''s Decathlon])</f>
        <v>4</v>
      </c>
      <c r="BX212" s="6">
        <f>SUM(Tabela1[Athletics - Women''s Heptathlon])</f>
        <v>8</v>
      </c>
      <c r="BY212" s="6">
        <f>SUM(Tabela1[Badminton - Men''s Singles])</f>
        <v>11</v>
      </c>
      <c r="BZ212" s="6">
        <f>SUM(Tabela1[Badminton - Women''s Singles])</f>
        <v>11</v>
      </c>
      <c r="CA212" s="6">
        <f>SUM(Tabela1[Badminton - Men''s Doubles])</f>
        <v>6</v>
      </c>
      <c r="CB212" s="6">
        <f>SUM(Tabela1[Badminton - Women''s Doubles])</f>
        <v>7</v>
      </c>
      <c r="CC212" s="6">
        <f>SUM(Tabela1[Badminton - Mixed Doubles])</f>
        <v>5</v>
      </c>
      <c r="CD212" s="6">
        <f>SUM(Tabela1[Basketball - Men''s Tournament])</f>
        <v>11</v>
      </c>
      <c r="CE212" s="6">
        <f>SUM(Tabela1[Basketball - Women''s Tournament])</f>
        <v>11</v>
      </c>
      <c r="CF212" s="6">
        <f>SUM(Tabela1[3x3 Basketball - Men''s Tournament])</f>
        <v>5</v>
      </c>
      <c r="CG212" s="6">
        <f>SUM(Tabela1[3x3 Basketball - Women''s Tournament])</f>
        <v>5</v>
      </c>
      <c r="CH212" s="6">
        <f>SUM(Tabela1[Beach Volleyball - Men''s Tournament])</f>
        <v>14</v>
      </c>
      <c r="CI212" s="6">
        <f>SUM(Tabela1[Beach Volleyball - Women''s Tournament])</f>
        <v>12</v>
      </c>
      <c r="CJ212" s="6">
        <f>SUM(Tabela1[Boxing - Men''s 51kg])</f>
        <v>2</v>
      </c>
      <c r="CK212" s="6">
        <f>SUM(Tabela1[Boxing - Men''s 57kg])</f>
        <v>6</v>
      </c>
      <c r="CL212" s="6">
        <f>SUM(Tabela1[Boxing - Men''s 63.5kg])</f>
        <v>5</v>
      </c>
      <c r="CM212" s="6">
        <f>SUM(Tabela1[Boxing - Men''s 71kg])</f>
        <v>9</v>
      </c>
      <c r="CN212" s="6">
        <f>SUM(Tabela1[Boxing - Men''s 80kg])</f>
        <v>7</v>
      </c>
      <c r="CO212" s="6">
        <f>SUM(Tabela1[Boxing - Men''s 92kg])</f>
        <v>9</v>
      </c>
      <c r="CP212" s="6">
        <f>SUM(Tabela1[Boxing - Men''s +92kg])</f>
        <v>5</v>
      </c>
      <c r="CQ212" s="6">
        <f>SUM(Tabela1[Boxing - Women''s 50kg])</f>
        <v>8</v>
      </c>
      <c r="CR212" s="6">
        <f>SUM(Tabela1[Boxing - Women''s 54kg])</f>
        <v>10</v>
      </c>
      <c r="CS212" s="6">
        <f>SUM(Tabela1[Boxing - Women''s 57kg])</f>
        <v>7</v>
      </c>
      <c r="CT212" s="6">
        <f>SUM(Tabela1[Boxing - Women''s 60kg])</f>
        <v>7</v>
      </c>
      <c r="CU212" s="6">
        <f>SUM(Tabela1[Boxing - Women''s 66kg])</f>
        <v>7</v>
      </c>
      <c r="CV212" s="6">
        <f>SUM(Tabela1[Boxing - Women''s 75kg])</f>
        <v>8</v>
      </c>
      <c r="CW212" s="6">
        <f>SUM(Tabela1[Breaking - Men''s Individual])</f>
        <v>3</v>
      </c>
      <c r="CX212" s="6">
        <f>SUM(Tabela1[Breaking - Women''s Individual])</f>
        <v>5</v>
      </c>
      <c r="CY212" s="6">
        <f>SUM(Tabela1[Canoeing - Men''s C1 Slalom])</f>
        <v>13</v>
      </c>
      <c r="CZ212" s="6">
        <f>SUM(Tabela1[Canoeing - Women''s C1 Slalom])</f>
        <v>5</v>
      </c>
      <c r="DA212" s="6">
        <f>SUM(Tabela1[Canoeing - Men''s K1 Slalom])</f>
        <v>11</v>
      </c>
      <c r="DB212" s="6">
        <f>SUM(Tabela1[Canoeing - Women''s K1 Slalom])</f>
        <v>6</v>
      </c>
      <c r="DC212" s="6">
        <f>SUM(Tabela1[Canoeing - Men''s Kayak Cross Slalom])</f>
        <v>19</v>
      </c>
      <c r="DD212" s="6">
        <f>SUM(Tabela1[Canoeing - Women''s Kayak Cross Slalom])</f>
        <v>11</v>
      </c>
      <c r="DE212" s="6">
        <f>SUM(Tabela1[Canoeing - Women''s C1 200m])</f>
        <v>7</v>
      </c>
      <c r="DF212" s="6">
        <f>SUM(Tabela1[Canoeing - Men''s C1 1000m])</f>
        <v>7</v>
      </c>
      <c r="DG212" s="6">
        <f>SUM(Tabela1[Canoeing - Men''s C2 500m])</f>
        <v>6</v>
      </c>
      <c r="DH212" s="6">
        <f>SUM(Tabela1[Canoeing - Women''s C2 500m])</f>
        <v>5</v>
      </c>
      <c r="DI212" s="6">
        <f>SUM(Tabela1[Canoeing - Women''s K1 500m])</f>
        <v>6</v>
      </c>
      <c r="DJ212" s="6">
        <f>SUM(Tabela1[Canoeing - Men''s K1 1000m])</f>
        <v>3</v>
      </c>
      <c r="DK212" s="6">
        <f>SUM(Tabela1[Canoeing - Men''s K2 500m])</f>
        <v>7</v>
      </c>
      <c r="DL212" s="6">
        <f>SUM(Tabela1[Canoeing - Women''s K2 500m])</f>
        <v>5</v>
      </c>
      <c r="DM212" s="6">
        <f>SUM(Tabela1[Canoeing - Men''s K4 500m])</f>
        <v>4</v>
      </c>
      <c r="DN212" s="6">
        <f>SUM(Tabela1[Canoeing - Women''s K4 500m])</f>
        <v>3</v>
      </c>
      <c r="DO212" s="6">
        <f>SUM(Tabela1[Cycling - Men''s BMX Freestyle])</f>
        <v>4</v>
      </c>
      <c r="DP212" s="6">
        <f>SUM(Tabela1[Cycling - Women''s BMX Freestyle])</f>
        <v>4</v>
      </c>
      <c r="DQ212" s="6">
        <f>SUM(Tabela1[Cycling - Men''s BMX Racing])</f>
        <v>9</v>
      </c>
      <c r="DR212" s="6">
        <f>SUM(Tabela1[Cycling - Women''s BMX Racing])</f>
        <v>9</v>
      </c>
      <c r="DS212" s="6">
        <f>SUM(Tabela1[Cycling - Men''s Cross-Country])</f>
        <v>13</v>
      </c>
      <c r="DT212" s="6">
        <f>SUM(Tabela1[Cycling - Women''s Cross-Country])</f>
        <v>7</v>
      </c>
      <c r="DU212" s="6">
        <f>SUM(Tabela1[Cycling - Men''s Keirin])</f>
        <v>10</v>
      </c>
      <c r="DV212" s="6">
        <f>SUM(Tabela1[Cycling - Women''s Keirin])</f>
        <v>7</v>
      </c>
      <c r="DW212" s="6">
        <f>SUM(Tabela1[Cycling - Men''s Madison])</f>
        <v>7</v>
      </c>
      <c r="DX212" s="6">
        <f>SUM(Tabela1[Cycling - Women''s Madison])</f>
        <v>8</v>
      </c>
      <c r="DY212" s="6">
        <f>SUM(Tabela1[Cycling - Men''s Omnium])</f>
        <v>6</v>
      </c>
      <c r="DZ212" s="6">
        <f>SUM(Tabela1[Cycling - Women''s Omnium])</f>
        <v>6</v>
      </c>
      <c r="EA212" s="6">
        <f>SUM(Tabela1[Cycling - Men''s Road Race])</f>
        <v>30</v>
      </c>
      <c r="EB212" s="6">
        <f>SUM(Tabela1[Cycling - Women''s Road Race])</f>
        <v>34</v>
      </c>
      <c r="EC212" s="6">
        <f>SUM(Tabela1[Cycling - Men''s Sprint])</f>
        <v>11</v>
      </c>
      <c r="ED212" s="6">
        <f>SUM(Tabela1[Cycling - Women''s Sprint])</f>
        <v>7</v>
      </c>
      <c r="EE212" s="6">
        <f>SUM(Tabela1[Cycling - Men''s Team Sprint])</f>
        <v>4</v>
      </c>
      <c r="EF212" s="6">
        <f>SUM(Tabela1[Cycling - Women''s Team Sprint])</f>
        <v>5</v>
      </c>
      <c r="EG212" s="6">
        <f>SUM(Tabela1[Cycling - Men''s Team Pursuit])</f>
        <v>7</v>
      </c>
      <c r="EH212" s="6">
        <f>SUM(Tabela1[Cycling - Women''s Team Pursuit])</f>
        <v>7</v>
      </c>
      <c r="EI212" s="6">
        <f>SUM(Tabela1[Cycling - Men''s Time-Trial])</f>
        <v>10</v>
      </c>
      <c r="EJ212" s="6">
        <f>SUM(Tabela1[Cycling - Women''s Time-Trial])</f>
        <v>7</v>
      </c>
      <c r="EK212" s="6">
        <f>SUM(Tabela1[Diving - Men''s Springboard])</f>
        <v>6</v>
      </c>
      <c r="EL212" s="6">
        <f>SUM(Tabela1[Diving - Women''s Springboard])</f>
        <v>8</v>
      </c>
      <c r="EM212" s="6">
        <f>SUM(Tabela1[Diving - Men''s Platform])</f>
        <v>7</v>
      </c>
      <c r="EN212" s="6">
        <f>SUM(Tabela1[Diving - Women''s Platform])</f>
        <v>12</v>
      </c>
      <c r="EO212" s="6">
        <f>SUM(Tabela1[Diving - Men''s Synchronized Springboard])</f>
        <v>5</v>
      </c>
      <c r="EP212" s="6">
        <f>SUM(Tabela1[Diving - Women''s Synchronized Springboard])</f>
        <v>6</v>
      </c>
      <c r="EQ212" s="6">
        <f>SUM(Tabela1[Diving - Men''s Synchronized Platform])</f>
        <v>5</v>
      </c>
      <c r="ER212" s="6">
        <f>SUM(Tabela1[Diving - Women''s Synchronized Platform])</f>
        <v>3</v>
      </c>
      <c r="ES212" s="6">
        <f>SUM(Tabela1[Equestrian - Individual Dressage])</f>
        <v>17</v>
      </c>
      <c r="ET212" s="6">
        <f>SUM(Tabela1[Equestrian - Team Dressage])</f>
        <v>8</v>
      </c>
      <c r="EU212" s="6">
        <f>SUM(Tabela1[Equestrian - Individual Eventing])</f>
        <v>28</v>
      </c>
      <c r="EV212" s="6">
        <f>SUM(Tabela1[Equestrian - Team Eventing])</f>
        <v>11</v>
      </c>
      <c r="EW212" s="6">
        <f>SUM(Tabela1[Equestrian - Individual Jumping])</f>
        <v>27</v>
      </c>
      <c r="EX212" s="6">
        <f>SUM(Tabela1[Equestrian - Team Jumping])</f>
        <v>13</v>
      </c>
      <c r="EY212" s="6">
        <f>SUM(Tabela1[Fencing - Men''s Épée])</f>
        <v>15</v>
      </c>
      <c r="EZ212" s="6">
        <f>SUM(Tabela1[Fencing - Women''s Épée])</f>
        <v>8</v>
      </c>
      <c r="FA212" s="6">
        <f>SUM(Tabela1[Fencing - Men''s Team Épée])</f>
        <v>7</v>
      </c>
      <c r="FB212" s="6">
        <f>SUM(Tabela1[Fencing - Women''s Team Épée])</f>
        <v>5</v>
      </c>
      <c r="FC212" s="6">
        <f>SUM(Tabela1[Fencing - Men''s Foil])</f>
        <v>14</v>
      </c>
      <c r="FD212" s="6">
        <f>SUM(Tabela1[Fencing - Women''s Foil])</f>
        <v>13</v>
      </c>
      <c r="FE212" s="6">
        <f>SUM(Tabela1[Fencing - Men''s Team Foil])</f>
        <v>7</v>
      </c>
      <c r="FF212" s="6">
        <f>SUM(Tabela1[Fencing - Women''s Team Foil])</f>
        <v>6</v>
      </c>
      <c r="FG212" s="6">
        <f>SUM(Tabela1[Fencing - Men''s Sabre])</f>
        <v>10</v>
      </c>
      <c r="FH212" s="6">
        <f>SUM(Tabela1[Fencing - Women''s Sabre])</f>
        <v>13</v>
      </c>
      <c r="FI212" s="6">
        <f>SUM(Tabela1[Fencing - Men''s Team Sabre])</f>
        <v>4</v>
      </c>
      <c r="FJ212" s="6">
        <f>SUM(Tabela1[Fencing - Women''s Team Sabre])</f>
        <v>6</v>
      </c>
      <c r="FK212" s="6">
        <f>SUM(Tabela1[Field Hockey - Men''s Tournament])</f>
        <v>9</v>
      </c>
      <c r="FL212" s="6">
        <f>SUM(Tabela1[Field Hockey - Women''s Tournament])</f>
        <v>11</v>
      </c>
      <c r="FM212" s="6">
        <f>SUM(Tabela1[Football - Men''s Tournament])</f>
        <v>16</v>
      </c>
      <c r="FN212" s="6">
        <f>SUM(Tabela1[Football - Women''s Tournament])</f>
        <v>12</v>
      </c>
      <c r="FO212" s="6">
        <f>SUM(Tabela1[Golf - Men''s Individual])</f>
        <v>23</v>
      </c>
      <c r="FP212" s="6">
        <f>SUM(Tabela1[Golf - Women''s Individual])</f>
        <v>18</v>
      </c>
      <c r="FQ212" s="6">
        <f>SUM(Tabela1[Gymnastics - Men''s Individual All-Around])</f>
        <v>8</v>
      </c>
      <c r="FR212" s="6">
        <f>SUM(Tabela1[Gymnastics - Women''s Individual All-Around])</f>
        <v>20</v>
      </c>
      <c r="FS212" s="6">
        <f>SUM(Tabela1[Gymnastics - Men''s Team All-Around])</f>
        <v>10</v>
      </c>
      <c r="FT212" s="6">
        <f>SUM(Tabela1[Gymnastics - Women''s Team All-Around])</f>
        <v>9</v>
      </c>
      <c r="FU212" s="6">
        <f>SUM(Tabela1[Gymnastics - Women''s Balance Beam])</f>
        <v>24</v>
      </c>
      <c r="FV212" s="6">
        <f>SUM(Tabela1[Gymnastics - Men''s Floor Exercise])</f>
        <v>13</v>
      </c>
      <c r="FW212" s="6">
        <f>SUM(Tabela1[Gymnastics - Women''s Floor Exercise])</f>
        <v>23</v>
      </c>
      <c r="FX212" s="6">
        <f>SUM(Tabela1[Gymnastics - Men''s Horizontal Bar])</f>
        <v>16</v>
      </c>
      <c r="FY212" s="6">
        <f>SUM(Tabela1[Gymnastics - Men''s Parallel Bars])</f>
        <v>16</v>
      </c>
      <c r="FZ212" s="6">
        <f>SUM(Tabela1[Gymnastics - Men''s Pommel Horse])</f>
        <v>19</v>
      </c>
      <c r="GA212" s="6">
        <f>SUM(Tabela1[Gymnastics - Men''s Rings])</f>
        <v>11</v>
      </c>
      <c r="GB212" s="6">
        <f>SUM(Tabela1[Gymnastics - Men''s Trampoline])</f>
        <v>4</v>
      </c>
      <c r="GC212" s="6">
        <f>SUM(Tabela1[Gymnastics - Women''s Trampoline])</f>
        <v>6</v>
      </c>
      <c r="GD212" s="6">
        <f>SUM(Tabela1[Gymnastics - Women''s Uneven Bars])</f>
        <v>22</v>
      </c>
      <c r="GE212" s="6">
        <f>SUM(Tabela1[Gymnastics - Men''s Vault])</f>
        <v>1</v>
      </c>
      <c r="GF212" s="6">
        <f>SUM(Tabela1[Gymnastics - Women''s Vault])</f>
        <v>5</v>
      </c>
      <c r="GG212" s="6">
        <f>SUM(Tabela1[Handball - Men''s Tournament])</f>
        <v>12</v>
      </c>
      <c r="GH212" s="6">
        <f>SUM(Tabela1[Handball - Women''s Tournament])</f>
        <v>9</v>
      </c>
      <c r="GI212" s="6">
        <f>SUM(Tabela1[Judo - Men''s 60kg])</f>
        <v>9</v>
      </c>
      <c r="GJ212" s="6">
        <f>SUM(Tabela1[Judo - Men''s 66kg])</f>
        <v>4</v>
      </c>
      <c r="GK212" s="6">
        <f>SUM(Tabela1[Judo - Men''s 73kg])</f>
        <v>9</v>
      </c>
      <c r="GL212" s="6">
        <f>SUM(Tabela1[Judo - Men''s 81kg])</f>
        <v>8</v>
      </c>
      <c r="GM212" s="6">
        <f>SUM(Tabela1[Judo - Men''s 90kg])</f>
        <v>10</v>
      </c>
      <c r="GN212" s="6">
        <f>SUM(Tabela1[Judo - Men''s 100kg])</f>
        <v>6</v>
      </c>
      <c r="GO212" s="6">
        <f>SUM(Tabela1[Judo - Men''s +100kg])</f>
        <v>6</v>
      </c>
      <c r="GP212" s="6">
        <f>SUM(Tabela1[Judo - Women''s 48kg])</f>
        <v>10</v>
      </c>
      <c r="GQ212" s="6">
        <f>SUM(Tabela1[Judo - Women''s 52kg])</f>
        <v>9</v>
      </c>
      <c r="GR212" s="6">
        <f>SUM(Tabela1[Judo - Women''s 57kg])</f>
        <v>4</v>
      </c>
      <c r="GS212" s="6">
        <f>SUM(Tabela1[Judo - Women''s 63kg])</f>
        <v>13</v>
      </c>
      <c r="GT212" s="6">
        <f>SUM(Tabela1[Judo - Women''s 70kg])</f>
        <v>6</v>
      </c>
      <c r="GU212" s="6">
        <f>SUM(Tabela1[Judo - Women''s 78kg])</f>
        <v>5</v>
      </c>
      <c r="GV212" s="6">
        <f>SUM(Tabela1[Judo - Women''s +78kg])</f>
        <v>6</v>
      </c>
      <c r="GW212" s="6">
        <f>SUM(Tabela1[Judo - Mixed Team])</f>
        <v>11</v>
      </c>
      <c r="GX212" s="6">
        <f>SUM(Tabela1[Modern Pentathlon - Men''s Individual])</f>
        <v>8</v>
      </c>
      <c r="GY212" s="6">
        <f>SUM(Tabela1[Modern Pentathlon - Women''s Individual])</f>
        <v>13</v>
      </c>
      <c r="GZ212" s="6">
        <f>SUM(Tabela1[Rhythmic Gymnastics - Women''s Individual All-Around])</f>
        <v>8</v>
      </c>
      <c r="HA212" s="6">
        <f>SUM(Tabela1[Rhythmic Gymnastics - Women''s Group All-Around])</f>
        <v>11</v>
      </c>
      <c r="HB212" s="6">
        <f>SUM(Tabela1[Rowing - Men''s Single Sculls])</f>
        <v>8</v>
      </c>
      <c r="HC212" s="6">
        <f>SUM(Tabela1[Rowing - Women''s Single Sculls])</f>
        <v>7</v>
      </c>
      <c r="HD212" s="6">
        <f>SUM(Tabela1[Rowing - Men''s Double Sculls])</f>
        <v>8</v>
      </c>
      <c r="HE212" s="6">
        <f>SUM(Tabela1[Rowing - Women''s Double Sculls])</f>
        <v>8</v>
      </c>
      <c r="HF212" s="6">
        <f>SUM(Tabela1[Rowing - Men''s Quadruple Sculls])</f>
        <v>6</v>
      </c>
      <c r="HG212" s="6">
        <f>SUM(Tabela1[Rowing - Women''s Quadruple Sculls])</f>
        <v>5</v>
      </c>
      <c r="HH212" s="6">
        <f>SUM(Tabela1[Rowing - Men''s Coxless Pairs])</f>
        <v>5</v>
      </c>
      <c r="HI212" s="6">
        <f>SUM(Tabela1[Rowing - Women''s Coxless Pairs])</f>
        <v>8</v>
      </c>
      <c r="HJ212" s="6">
        <f>SUM(Tabela1[Rowing - Men''s Coxless Fours])</f>
        <v>7</v>
      </c>
      <c r="HK212" s="6">
        <f>SUM(Tabela1[Rowing - Women''s Coxless Fours])</f>
        <v>7</v>
      </c>
      <c r="HL212" s="6">
        <f>SUM(Tabela1[Rowing - Men''s Eights])</f>
        <v>7</v>
      </c>
      <c r="HM212" s="6">
        <f>SUM(Tabela1[Rowing - Women''s Eights])</f>
        <v>7</v>
      </c>
      <c r="HN212" s="6">
        <f>SUM(Tabela1[Rowing - Men''s Lwt. Double Sculls])</f>
        <v>9</v>
      </c>
      <c r="HO212" s="6">
        <f>SUM(Tabela1[Rowing - Women''s Lwt. Double Sculls])</f>
        <v>8</v>
      </c>
      <c r="HP212" s="6">
        <f>SUM(Tabela1[Rugby Sevens - Men''s Tournament])</f>
        <v>9</v>
      </c>
      <c r="HQ212" s="6">
        <f>SUM(Tabela1[Rugby Sevens - Women''s Tournament])</f>
        <v>11</v>
      </c>
      <c r="HR212" s="6">
        <f>SUM(Tabela1[Sailing - Mixed 470])</f>
        <v>7</v>
      </c>
      <c r="HS212" s="6">
        <f>SUM(Tabela1[Sailing - Men''s 49er])</f>
        <v>8</v>
      </c>
      <c r="HT212" s="6">
        <f>SUM(Tabela1[Sailing - Women''s 49er FX])</f>
        <v>11</v>
      </c>
      <c r="HU212" s="6">
        <f>SUM(Tabela1[Sailing - Men''s Formula Kite])</f>
        <v>6</v>
      </c>
      <c r="HV212" s="6">
        <f>SUM(Tabela1[Sailing - Women''s Formula Kite])</f>
        <v>6</v>
      </c>
      <c r="HW212" s="6">
        <f>SUM(Tabela1[Sailing - Men''s ILCA 7])</f>
        <v>12</v>
      </c>
      <c r="HX212" s="6">
        <f>SUM(Tabela1[Sailing - Women''s ILCA 6])</f>
        <v>14</v>
      </c>
      <c r="HY212" s="6">
        <f>SUM(Tabela1[Sailing - Men''s IQFoil])</f>
        <v>9</v>
      </c>
      <c r="HZ212" s="6">
        <f>SUM(Tabela1[Sailing - Women''s IQFoil])</f>
        <v>8</v>
      </c>
      <c r="IA212" s="6">
        <f>SUM(Tabela1[Sailing - Mixed Nacra 17])</f>
        <v>12</v>
      </c>
      <c r="IB212" s="6">
        <f>SUM(Tabela1[Shooting - Men''s 10m Air Pistol])</f>
        <v>5</v>
      </c>
      <c r="IC212" s="6">
        <f>SUM(Tabela1[Shooting - Women''s 10m Air Pistol])</f>
        <v>9</v>
      </c>
      <c r="ID212" s="6">
        <f>SUM(Tabela1[Shooting - Mixed 10m Air Pistol Team])</f>
        <v>5</v>
      </c>
      <c r="IE212" s="6">
        <f>SUM(Tabela1[Shooting - Men''s 10m Air Rifle])</f>
        <v>17</v>
      </c>
      <c r="IF212" s="6">
        <f>SUM(Tabela1[Shooting - Women''s 10m Air Rifle])</f>
        <v>9</v>
      </c>
      <c r="IG212" s="6">
        <f>SUM(Tabela1[Shooting - Mixed 10m Air Rifle Team])</f>
        <v>10</v>
      </c>
      <c r="IH212" s="6">
        <f>SUM(Tabela1[Shooting - Men''s 25m Rapid Fire Pistol])</f>
        <v>7</v>
      </c>
      <c r="II212" s="6">
        <f>SUM(Tabela1[Shooting - Women''s 25m Pistol])</f>
        <v>11</v>
      </c>
      <c r="IJ212" s="6">
        <f>SUM(Tabela1[Shooting - Men''s 50m Rifle 3 Positions])</f>
        <v>14</v>
      </c>
      <c r="IK212" s="6">
        <f>SUM(Tabela1[Shooting - Women''s 50m Rifle 3 Positions])</f>
        <v>6</v>
      </c>
      <c r="IL212" s="6">
        <f>SUM(Tabela1[Shooting - Men''s Skeet])</f>
        <v>4</v>
      </c>
      <c r="IM212" s="6">
        <f>SUM(Tabela1[Shooting - Women''s Skeet])</f>
        <v>9</v>
      </c>
      <c r="IN212" s="6">
        <f>SUM(Tabela1[Shooting - Mixed Skeet Team])</f>
        <v>4</v>
      </c>
      <c r="IO212" s="6">
        <f>SUM(Tabela1[Shooting - Men''s Trap])</f>
        <v>6</v>
      </c>
      <c r="IP212" s="6">
        <f>SUM(Tabela1[Shooting - Women''s Trap])</f>
        <v>14</v>
      </c>
      <c r="IQ212" s="6">
        <f>SUM(Tabela1[Skateboarding - Men''s Park])</f>
        <v>12</v>
      </c>
      <c r="IR212" s="6">
        <f>SUM(Tabela1[Skateboarding - Women''s Park])</f>
        <v>12</v>
      </c>
      <c r="IS212" s="6">
        <f>SUM(Tabela1[Skateboarding - Men''s Street])</f>
        <v>14</v>
      </c>
      <c r="IT212" s="6">
        <f>SUM(Tabela1[Skateboarding - Women''s Street])</f>
        <v>8</v>
      </c>
      <c r="IU212" s="6">
        <f>SUM(Tabela1[Sport Climbing - Men''s Boulder and Lead])</f>
        <v>3</v>
      </c>
      <c r="IV212" s="6">
        <f>SUM(Tabela1[Sport Climbing - Women''s Boulder and Lead])</f>
        <v>7</v>
      </c>
      <c r="IW212" s="6">
        <f>SUM(Tabela1[Sport Climbing - Men''s Speed])</f>
        <v>1</v>
      </c>
      <c r="IX212" s="6">
        <f>SUM(Tabela1[Sport Climbing - Women''s Speed])</f>
        <v>5</v>
      </c>
      <c r="IY212" s="6">
        <f>SUM(Tabela1[Surfing - Men''s Shortboard])</f>
        <v>10</v>
      </c>
      <c r="IZ212" s="6">
        <f>SUM(Tabela1[Surfing - Women''s Shortboard])</f>
        <v>9</v>
      </c>
      <c r="JA212" s="6">
        <f>SUM(Tabela1[Swimming - Men''s 50m Freestyle])</f>
        <v>19</v>
      </c>
      <c r="JB212" s="6">
        <f>SUM(Tabela1[Swimming - Women''s 50m Freestyle])</f>
        <v>18</v>
      </c>
      <c r="JC212" s="6">
        <f>SUM(Tabela1[Swimming - Men''s 100m Freestyle])</f>
        <v>24</v>
      </c>
      <c r="JD212" s="6">
        <f>SUM(Tabela1[Swimming - Women''s 100m Freestyle])</f>
        <v>9</v>
      </c>
      <c r="JE212" s="6">
        <f>SUM(Tabela1[Swimming - Men''s 200m Freestyle])</f>
        <v>6</v>
      </c>
      <c r="JF212" s="6">
        <f>SUM(Tabela1[Swimming - Women''s 200m Freestyle])</f>
        <v>7</v>
      </c>
      <c r="JG212" s="6">
        <f>SUM(Tabela1[Swimming - Men''s 400m Freestyle])</f>
        <v>9</v>
      </c>
      <c r="JH212" s="6">
        <f>SUM(Tabela1[Swimming - Women''s 400m Freestyle])</f>
        <v>6</v>
      </c>
      <c r="JI212" s="6">
        <f>SUM(Tabela1[Swimming - Men''s 800m Freestyle])</f>
        <v>9</v>
      </c>
      <c r="JJ212" s="6">
        <f>SUM(Tabela1[Swimming - Women''s 800m Freestyle])</f>
        <v>5</v>
      </c>
      <c r="JK212" s="6">
        <f>SUM(Tabela1[Swimming - Men''s 1500m Freestyle])</f>
        <v>8</v>
      </c>
      <c r="JL212" s="6">
        <f>SUM(Tabela1[Swimming - Women''s 1500m Freestyle])</f>
        <v>6</v>
      </c>
      <c r="JM212" s="6">
        <f>SUM(Tabela1[Swimming - Men''s 100m Backstroke])</f>
        <v>13</v>
      </c>
      <c r="JN212" s="6">
        <f>SUM(Tabela1[Swimming - Women''s 100m Backstroke])</f>
        <v>10</v>
      </c>
      <c r="JO212" s="6">
        <f>SUM(Tabela1[Swimming - Men''s 200m Backstroke])</f>
        <v>11</v>
      </c>
      <c r="JP212" s="6">
        <f>SUM(Tabela1[Swimming - Women''s 200m Backstroke])</f>
        <v>7</v>
      </c>
      <c r="JQ212" s="6">
        <f>SUM(Tabela1[Swimming - Men''s 100m Breaststroke])</f>
        <v>11</v>
      </c>
      <c r="JR212" s="6">
        <f>SUM(Tabela1[Swimming - Women''s 100m Breaststroke])</f>
        <v>7</v>
      </c>
      <c r="JS212" s="6">
        <f>SUM(Tabela1[Swimming - Men''s 200m Breaststroke])</f>
        <v>10</v>
      </c>
      <c r="JT212" s="6">
        <f>SUM(Tabela1[Swimming - Women''s 200m Breaststroke])</f>
        <v>3</v>
      </c>
      <c r="JU212" s="6">
        <f>SUM(Tabela1[Swimming - Men''s 100m Butterfly])</f>
        <v>11</v>
      </c>
      <c r="JV212" s="6">
        <f>SUM(Tabela1[Swimming - Women''s 100m Butterfly])</f>
        <v>9</v>
      </c>
      <c r="JW212" s="6">
        <f>SUM(Tabela1[Swimming - Men''s 200m Butterfly])</f>
        <v>3</v>
      </c>
      <c r="JX212" s="6">
        <f>SUM(Tabela1[Swimming - Women''s 200m Butterfly])</f>
        <v>7</v>
      </c>
      <c r="JY212" s="6">
        <f>SUM(Tabela1[Swimming - Men''s 200m Individual Medley])</f>
        <v>7</v>
      </c>
      <c r="JZ212" s="6">
        <f>SUM(Tabela1[Swimming - Women''s 200m Individual Medley])</f>
        <v>10</v>
      </c>
      <c r="KA212" s="6">
        <f>SUM(Tabela1[Swimming - Men''s 400m Individual Medley])</f>
        <v>4</v>
      </c>
      <c r="KB212" s="6">
        <f>SUM(Tabela1[Swimming - Women''s 400m Individual Medley])</f>
        <v>7</v>
      </c>
      <c r="KC212" s="6">
        <f>SUM(Tabela1[Swimming - Men''s 4x100m Freestyle Relay])</f>
        <v>12</v>
      </c>
      <c r="KD212" s="6">
        <f>SUM(Tabela1[Swimming - Women''s 4x100m Freestyle Relay])</f>
        <v>11</v>
      </c>
      <c r="KE212" s="6">
        <f>SUM(Tabela1[Swimming - Men''s 4x200m Freestyle Relay])</f>
        <v>12</v>
      </c>
      <c r="KF212" s="6">
        <f>SUM(Tabela1[Swimming - Women''s 4x200m Freestyle Relay])</f>
        <v>10</v>
      </c>
      <c r="KG212" s="6">
        <f>SUM(Tabela1[Swimming - Men''s 4x100m Medley Relay])</f>
        <v>13</v>
      </c>
      <c r="KH212" s="6">
        <f>SUM(Tabela1[Swimming - Women''s 4x100m Medley Relay])</f>
        <v>13</v>
      </c>
      <c r="KI212" s="6">
        <f>SUM(Tabela1[Swimming - Mixed 4x100m Medley Relay])</f>
        <v>13</v>
      </c>
      <c r="KJ212" s="6">
        <f>SUM(Tabela1[Swimming - Men''s 10km Open Water])</f>
        <v>9</v>
      </c>
      <c r="KK212" s="6">
        <f>SUM(Tabela1[Swimming - Women''s 10km Open Water])</f>
        <v>9</v>
      </c>
      <c r="KL212" s="6">
        <f>SUM(Tabela1[Table Tennis - Men''s Singles])</f>
        <v>26</v>
      </c>
      <c r="KM212" s="6">
        <f>SUM(Tabela1[Table Tennis - Women''s Singles])</f>
        <v>32</v>
      </c>
      <c r="KN212" s="6">
        <f>SUM(Tabela1[Table Tennis - Men''s Team])</f>
        <v>12</v>
      </c>
      <c r="KO212" s="6">
        <f>SUM(Tabela1[Table Tennis - Women''s Team])</f>
        <v>14</v>
      </c>
      <c r="KP212" s="6">
        <f>SUM(Tabela1[Table Tennis - Mixed Doubles])</f>
        <v>6</v>
      </c>
      <c r="KQ212" s="6">
        <f>SUM(Tabela1[Taekwondo - Men''s 58kg])</f>
        <v>7</v>
      </c>
      <c r="KR212" s="6">
        <f>SUM(Tabela1[Taekwondo - Men''s 68kg])</f>
        <v>5</v>
      </c>
      <c r="KS212" s="6">
        <f>SUM(Tabela1[Taekwondo - Men''s 80kg])</f>
        <v>7</v>
      </c>
      <c r="KT212" s="6">
        <f>SUM(Tabela1[Taekwondo - Men''s +80kg])</f>
        <v>7</v>
      </c>
      <c r="KU212" s="6">
        <f>SUM(Tabela1[Taekwondo - Women''s 49kg])</f>
        <v>5</v>
      </c>
      <c r="KV212" s="6">
        <f>SUM(Tabela1[Taekwondo - Women''s 57kg])</f>
        <v>6</v>
      </c>
      <c r="KW212" s="6">
        <f>SUM(Tabela1[Taekwondo - Women''s 67kg])</f>
        <v>7</v>
      </c>
      <c r="KX212" s="6">
        <f>SUM(Tabela1[Taekwondo - Women''s +67kg])</f>
        <v>3</v>
      </c>
      <c r="KY212" s="6">
        <f>SUM(Tabela1[Tennis - Men''s Singles])</f>
        <v>24</v>
      </c>
      <c r="KZ212" s="6">
        <f>SUM(Tabela1[Tennis - Women''s Singles])</f>
        <v>24</v>
      </c>
      <c r="LA212" s="6">
        <f>SUM(Tabela1[Tennis - Men''s Doubles])</f>
        <v>19</v>
      </c>
      <c r="LB212" s="6">
        <f>SUM(Tabela1[Tennis - Women''s Doubles])</f>
        <v>22</v>
      </c>
      <c r="LC212" s="6">
        <f>SUM(Tabela1[Tennis - Mixed Doubles])</f>
        <v>9</v>
      </c>
      <c r="LD212" s="6">
        <f>SUM(Tabela1[Triathlon - Men''s Individual])</f>
        <v>17</v>
      </c>
      <c r="LE212" s="6">
        <f>SUM(Tabela1[Triathlon - Women''s Individual])</f>
        <v>20</v>
      </c>
      <c r="LF212" s="6">
        <f>SUM(Tabela1[Triathlon - Mixed Relay])</f>
        <v>13</v>
      </c>
      <c r="LG212" s="6">
        <f>SUM(Tabela1[Volleyball - Men''s Tournament])</f>
        <v>12</v>
      </c>
      <c r="LH212" s="6">
        <f>SUM(Tabela1[Volleyball - Women''s Tournament])</f>
        <v>12</v>
      </c>
      <c r="LI212" s="6">
        <f>SUM(Tabela1[Water Polo - Men''s Tournament])</f>
        <v>10</v>
      </c>
      <c r="LJ212" s="6">
        <f>SUM(Tabela1[Water Polo - Women''s Tournament])</f>
        <v>9</v>
      </c>
      <c r="LK212" s="6">
        <f>SUM(Tabela1[Weightlifting - Men''s 61kg])</f>
        <v>1</v>
      </c>
      <c r="LL212" s="6">
        <f>SUM(Tabela1[Weightlifting - Men''s 73kg])</f>
        <v>4</v>
      </c>
      <c r="LM212" s="6">
        <f>SUM(Tabela1[Weightlifting - Men''s 89kg])</f>
        <v>4</v>
      </c>
      <c r="LN212" s="6">
        <f>SUM(Tabela1[Weightlifting - Men''s 102kg])</f>
        <v>3</v>
      </c>
      <c r="LO212" s="6">
        <f>SUM(Tabela1[Weightlifting - Men''s +102kg])</f>
        <v>5</v>
      </c>
      <c r="LP212" s="6">
        <f>SUM(Tabela1[Weightlifting - Women''s 49kg])</f>
        <v>2</v>
      </c>
      <c r="LQ212" s="6">
        <f>SUM(Tabela1[Weightlifting - Women''s 59kg])</f>
        <v>3</v>
      </c>
      <c r="LR212" s="6">
        <f>SUM(Tabela1[Weightlifting - Women''s 71kg])</f>
        <v>4</v>
      </c>
      <c r="LS212" s="6">
        <f>SUM(Tabela1[Weightlifting - Women''s 81kg])</f>
        <v>2</v>
      </c>
      <c r="LT212" s="6">
        <f>SUM(Tabela1[Weightlifting - Women''s +81kg])</f>
        <v>2</v>
      </c>
      <c r="LU212" s="6">
        <f>SUM(Tabela1[Wrestling - Men''s Freestyle 57kg])</f>
        <v>4</v>
      </c>
      <c r="LV212" s="6">
        <f>SUM(Tabela1[Wrestling - Men''s Freestyle 65kg])</f>
        <v>5</v>
      </c>
      <c r="LW212" s="6">
        <f>SUM(Tabela1[Wrestling - Men''s Freestyle 74kg])</f>
        <v>4</v>
      </c>
      <c r="LX212" s="6">
        <f>SUM(Tabela1[Wrestling - Men''s Freestyle 86kg])</f>
        <v>5</v>
      </c>
      <c r="LY212" s="6">
        <f>SUM(Tabela1[Wrestling - Men''s Freestyle 97kg])</f>
        <v>5</v>
      </c>
      <c r="LZ212" s="6">
        <f>SUM(Tabela1[Wrestling - Men''s Freestyle 125kg])</f>
        <v>5</v>
      </c>
      <c r="MA212" s="6">
        <f>SUM(Tabela1[Wrestling - Men''s Greco-Roman 60kg])</f>
        <v>3</v>
      </c>
      <c r="MB212" s="6">
        <f>SUM(Tabela1[Wrestling - Men''s Greco-Roman 67kg])</f>
        <v>3</v>
      </c>
      <c r="MC212" s="6">
        <f>SUM(Tabela1[Wrestling - Men''s Greco-Roman 77kg])</f>
        <v>6</v>
      </c>
      <c r="MD212" s="6">
        <f>SUM(Tabela1[Wrestling - Men''s Greco-Roman 87kg])</f>
        <v>3</v>
      </c>
      <c r="ME212" s="6">
        <f>SUM(Tabela1[Wrestling - Men''s Greco-Roman 97kg])</f>
        <v>6</v>
      </c>
      <c r="MF212" s="6">
        <f>SUM(Tabela1[Wrestling - Men''s Greco-Roman 130kg])</f>
        <v>6</v>
      </c>
      <c r="MG212" s="6">
        <f>SUM(Tabela1[Wrestling - Women''s Freestyle 50kg])</f>
        <v>2</v>
      </c>
      <c r="MH212" s="6">
        <f>SUM(Tabela1[Wrestling - Women''s Freestyle 53kg])</f>
        <v>2</v>
      </c>
      <c r="MI212" s="6">
        <f>SUM(Tabela1[Wrestling - Women''s Freestyle 57kg])</f>
        <v>4</v>
      </c>
      <c r="MJ212" s="6">
        <f>SUM(Tabela1[Wrestling - Women''s Freestyle 62kg])</f>
        <v>3</v>
      </c>
      <c r="MK212" s="6">
        <f>SUM(Tabela1[Wrestling - Women''s Freestyle 68kg])</f>
        <v>5</v>
      </c>
      <c r="ML212" s="6">
        <f>SUM(Tabela1[Wrestling - Women''s Freestyle 76kg])</f>
        <v>6</v>
      </c>
      <c r="MM212" s="6">
        <f>SUM(Tabela1[Alpine Skiing - Men''s Downhill])</f>
        <v>19</v>
      </c>
      <c r="MN212" s="6">
        <f>SUM(Tabela1[Alpine Skiing - Women''s Downhill])</f>
        <v>13</v>
      </c>
      <c r="MO212" s="6">
        <f>SUM(Tabela1[Alpine Skiing - Men''s Giant Slalom])</f>
        <v>32</v>
      </c>
      <c r="MP212" s="6">
        <f>SUM(Tabela1[Alpine Skiing - Women''s Giant Slalom])</f>
        <v>25</v>
      </c>
      <c r="MQ212" s="6">
        <f>SUM(Tabela1[Alpine Skiing - Men''s Slalom])</f>
        <v>33</v>
      </c>
      <c r="MR212" s="6">
        <f>SUM(Tabela1[Alpine Skiing - Women''s Slalom])</f>
        <v>32</v>
      </c>
      <c r="MS212" s="6">
        <f>SUM(Tabela1[Alpine Skiing - Men''s Super-G])</f>
        <v>19</v>
      </c>
      <c r="MT212" s="6">
        <f>SUM(Tabela1[Alpine Skiing - Women''s Super-G])</f>
        <v>13</v>
      </c>
      <c r="MU212" s="6">
        <f>SUM(Tabela1[Alpine Skiing - Men''s Team Combined])</f>
        <v>14</v>
      </c>
      <c r="MV212" s="6">
        <f>SUM(Tabela1[Alpine Skiing - Women''s Team Combined])</f>
        <v>15</v>
      </c>
      <c r="MW212" s="6">
        <f>SUM(Tabela1[Biathlon - Men''s Individual])</f>
        <v>29</v>
      </c>
      <c r="MX212" s="6">
        <f>SUM(Tabela1[Biathlon - Women''s Individual])</f>
        <v>28</v>
      </c>
      <c r="MY212" s="6">
        <f>SUM(Tabela1[Biathlon - Men''s Mass Start])</f>
        <v>13</v>
      </c>
      <c r="MZ212" s="6">
        <f>SUM(Tabela1[Biathlon - Women''s Mass Start])</f>
        <v>8</v>
      </c>
      <c r="NA212" s="6">
        <f>SUM(Tabela1[Biathlon - Men''s Pursuit])</f>
        <v>21</v>
      </c>
      <c r="NB212" s="6">
        <f>SUM(Tabela1[Biathlon - Women''s Pursuit])</f>
        <v>17</v>
      </c>
      <c r="NC212" s="6">
        <f>SUM(Tabela1[Biathlon - Men''s Sprint])</f>
        <v>32</v>
      </c>
      <c r="ND212" s="6">
        <f>SUM(Tabela1[Biathlon - Women''s Sprint])</f>
        <v>29</v>
      </c>
      <c r="NE212" s="6">
        <f>SUM(Tabela1[Biathlon - Men''s Relay])</f>
        <v>16</v>
      </c>
      <c r="NF212" s="6">
        <f>SUM(Tabela1[Biathlon - Women''s Relay])</f>
        <v>12</v>
      </c>
      <c r="NG212" s="6">
        <f>SUM(Tabela1[Biathlon - Mixed Relay])</f>
        <v>15</v>
      </c>
      <c r="NH212" s="6">
        <f>SUM(Tabela1[Bobsleigh - Women''s Monobob])</f>
        <v>6</v>
      </c>
      <c r="NI212" s="6">
        <f>SUM(Tabela1[Bobsleigh - Men''s Two])</f>
        <v>11</v>
      </c>
      <c r="NJ212" s="6">
        <f>SUM(Tabela1[Bobsleigh - Women''s Two])</f>
        <v>15</v>
      </c>
      <c r="NK212" s="6">
        <f>SUM(Tabela1[Bobsleigh - Men''s Four])</f>
        <v>17</v>
      </c>
      <c r="NL212" s="6">
        <f>SUM(Tabela1[Cross-country skiing - Men''s Classical])</f>
        <v>18</v>
      </c>
      <c r="NM212" s="6">
        <f>SUM(Tabela1[Cross-country skiing - Women''s Classical])</f>
        <v>21</v>
      </c>
      <c r="NN212" s="6">
        <f>SUM(Tabela1[Cross-country skiing - Men''s Freestyle])</f>
        <v>35</v>
      </c>
      <c r="NO212" s="6">
        <f>SUM(Tabela1[Cross-country skiing - Women''s Freestyle])</f>
        <v>37</v>
      </c>
      <c r="NP212" s="6">
        <f>SUM(Tabela1[Cross-country skiing - Men''s Relay])</f>
        <v>6</v>
      </c>
      <c r="NQ212" s="6">
        <f>SUM(Tabela1[Cross-country skiing - Women''s Relay])</f>
        <v>15</v>
      </c>
      <c r="NR212" s="6">
        <f>SUM(Tabela1[Cross-country skiing - Men''s Skiathlon])</f>
        <v>25</v>
      </c>
      <c r="NS212" s="6">
        <f>SUM(Tabela1[Cross-country skiing - Women''s Skiathlon])</f>
        <v>32</v>
      </c>
      <c r="NT212" s="6">
        <f>SUM(Tabela1[Cross-country skiing - Men''s Sprint])</f>
        <v>29</v>
      </c>
      <c r="NU212" s="6">
        <f>SUM(Tabela1[Cross-country skiing - Women''s Sprint])</f>
        <v>34</v>
      </c>
      <c r="NV212" s="6">
        <f>SUM(Tabela1[Cross-country skiing - Men''s Team Sprint])</f>
        <v>9</v>
      </c>
      <c r="NW212" s="6">
        <f>SUM(Tabela1[Cross-country skiing - Women''s Team Sprint])</f>
        <v>15</v>
      </c>
      <c r="NX212" s="6">
        <f>SUM(Tabela1[Curling - Men''s Tournament])</f>
        <v>8</v>
      </c>
      <c r="NY212" s="6">
        <f>SUM(Tabela1[Curling - Women''s Tournament])</f>
        <v>5</v>
      </c>
      <c r="NZ212" s="6">
        <f>SUM(Tabela1[Curling - Mixed Doubles])</f>
        <v>5</v>
      </c>
      <c r="OA212" s="6">
        <f>SUM(Tabela1[Figure Skating - Men''s Singles])</f>
        <v>6</v>
      </c>
      <c r="OB212" s="6">
        <f>SUM(Tabela1[Figure Skating - Women''s Singles])</f>
        <v>4</v>
      </c>
      <c r="OC212" s="6">
        <f>SUM(Tabela1[Figure Skating - Ice Dance])</f>
        <v>11</v>
      </c>
      <c r="OD212" s="6">
        <f>SUM(Tabela1[Figure Skating - Pair Skating])</f>
        <v>6</v>
      </c>
      <c r="OE212" s="6">
        <f>SUM(Tabela1[Figure Skating - Team Event])</f>
        <v>6</v>
      </c>
      <c r="OF212" s="6">
        <f>SUM(Tabela1[Freestyle Skiing - Men''s Aerials])</f>
        <v>12</v>
      </c>
      <c r="OG212" s="6">
        <f>SUM(Tabela1[Freestyle Skiing - Women''s Aerials])</f>
        <v>10</v>
      </c>
      <c r="OH212" s="6">
        <f>SUM(Tabela1[Freestyle Skiing - Mixed Team Aerials])</f>
        <v>5</v>
      </c>
      <c r="OI212" s="6">
        <f>SUM(Tabela1[Freestyle Skiing - Men''s Big Air])</f>
        <v>9</v>
      </c>
      <c r="OJ212" s="6">
        <f>SUM(Tabela1[Freestyle Skiing - Women''s Big Air])</f>
        <v>14</v>
      </c>
      <c r="OK212" s="6">
        <f>SUM(Tabela1[Freestyle Skiing - Men''s Dual Moguls])</f>
        <v>14</v>
      </c>
      <c r="OL212" s="6">
        <f>SUM(Tabela1[Freestyle Skiing - Women''s Dual Moguls])</f>
        <v>17</v>
      </c>
      <c r="OM212" s="6">
        <f>SUM(Tabela1[Freestyle Skiing - Men''s Halfpipe])</f>
        <v>11</v>
      </c>
      <c r="ON212" s="6">
        <f>SUM(Tabela1[Freestyle Skiing - Women''s Halfpipe])</f>
        <v>9</v>
      </c>
      <c r="OO212" s="6">
        <f>SUM(Tabela1[Freestyle Skiing - Men''s Moguls])</f>
        <v>14</v>
      </c>
      <c r="OP212" s="6">
        <f>SUM(Tabela1[Freestyle Skiing - Women''s Moguls])</f>
        <v>17</v>
      </c>
      <c r="OQ212" s="6">
        <f>SUM(Tabela1[Freestyle Skiing - Men''s Ski Cross])</f>
        <v>11</v>
      </c>
      <c r="OR212" s="6">
        <f>SUM(Tabela1[Freestyle Skiing - Women''s Ski Cross])</f>
        <v>10</v>
      </c>
      <c r="OS212" s="6">
        <f>SUM(Tabela1[Freestyle Skiing - Men''s Slopestyle])</f>
        <v>9</v>
      </c>
      <c r="OT212" s="6">
        <f>SUM(Tabela1[Freestyle Skiing - Women''s Slopestyle])</f>
        <v>13</v>
      </c>
      <c r="OU212" s="6">
        <f>SUM(Tabela1[Ice Hockey - Men''s Tournament])</f>
        <v>12</v>
      </c>
      <c r="OV212" s="6">
        <f>SUM(Tabela1[Ice Hockey - Women''s Tournament])</f>
        <v>10</v>
      </c>
      <c r="OW212" s="6">
        <f>SUM(Tabela1[Luge - Men''s Singles])</f>
        <v>11</v>
      </c>
      <c r="OX212" s="6">
        <f>SUM(Tabela1[Luge - Women''s Singles])</f>
        <v>11</v>
      </c>
      <c r="OY212" s="6">
        <f>SUM(Tabela1[Luge - Men''s Doubles])</f>
        <v>11</v>
      </c>
      <c r="OZ212" s="6">
        <f>SUM(Tabela1[Luge - Women''s Doubles])</f>
        <v>6</v>
      </c>
      <c r="PA212" s="6">
        <f>SUM(Tabela1[Luge - Mixed Team Relay])</f>
        <v>6</v>
      </c>
      <c r="PB212" s="6">
        <f>SUM(Tabela1[Nordic Combined - Men''s Individual])</f>
        <v>15</v>
      </c>
      <c r="PC212" s="6">
        <f>SUM(Tabela1[Nordic Combined - Men''s Sprint])</f>
        <v>15</v>
      </c>
      <c r="PD212" s="6">
        <f>SUM(Tabela1[Nordic Combined - Men''s Team Sprint Large Hill])</f>
        <v>7</v>
      </c>
      <c r="PE212" s="6">
        <f>SUM(Tabela1[Short track speed skating - Men''s 500m])</f>
        <v>7</v>
      </c>
      <c r="PF212" s="6">
        <f>SUM(Tabela1[Short track speed skating - Women''s 500m])</f>
        <v>8</v>
      </c>
      <c r="PG212" s="6">
        <f>SUM(Tabela1[Short track speed skating - Men''s 1000m])</f>
        <v>7</v>
      </c>
      <c r="PH212" s="6">
        <f>SUM(Tabela1[Short track speed skating - Women''s 1000m])</f>
        <v>8</v>
      </c>
      <c r="PI212" s="6">
        <f>SUM(Tabela1[Short track speed skating - Men''s 1500m])</f>
        <v>9</v>
      </c>
      <c r="PJ212" s="6">
        <f>SUM(Tabela1[Short track speed skating - Women''s 1500m])</f>
        <v>9</v>
      </c>
      <c r="PK212" s="6">
        <f>SUM(Tabela1[Short track speed skating - Men''s 5000m Relay])</f>
        <v>5</v>
      </c>
      <c r="PL212" s="6">
        <f>SUM(Tabela1[Short track speed skating - Women''s 3000m Relay])</f>
        <v>4</v>
      </c>
      <c r="PM212" s="6">
        <f>SUM(Tabela1[Short track speed skating - Mixed 2000m Relay])</f>
        <v>8</v>
      </c>
      <c r="PN212" s="6">
        <f>SUM(Tabela1[Skeleton - Men''s Individual])</f>
        <v>7</v>
      </c>
      <c r="PO212" s="6">
        <f>SUM(Tabela1[Skeleton - Women''s Individual])</f>
        <v>7</v>
      </c>
      <c r="PP212" s="6">
        <f>SUM(Tabela1[Skeleton - Mixed Team])</f>
        <v>7</v>
      </c>
      <c r="PQ212" s="6">
        <f>SUM(Tabela1[Ski Jumping - Men''s Individual Large Hill])</f>
        <v>9</v>
      </c>
      <c r="PR212" s="6">
        <f>SUM(Tabela1[Ski Jumping - Men''s Individual Normal Hill])</f>
        <v>9</v>
      </c>
      <c r="PS212" s="6">
        <f>SUM(Tabela1[Ski Jumping - Women''s Individual Large Hill])</f>
        <v>20</v>
      </c>
      <c r="PT212" s="6">
        <f>SUM(Tabela1[Ski Jumping - Women''s Individual Normal Hill])</f>
        <v>22</v>
      </c>
      <c r="PU212" s="6">
        <f>SUM(Tabela1[Ski Jumping - Men''s Super Team])</f>
        <v>4</v>
      </c>
      <c r="PV212" s="6">
        <f>SUM(Tabela1[Ski Jumping - Mixed Team Normal Hill])</f>
        <v>9</v>
      </c>
      <c r="PW212" s="6">
        <f>SUM(Tabela1[Ski Mountaineering - Men''s Sprint])</f>
        <v>4</v>
      </c>
      <c r="PX212" s="6">
        <f>SUM(Tabela1[Ski Mountaineering - Women''s Sprint])</f>
        <v>5</v>
      </c>
      <c r="PY212" s="6">
        <f>SUM(Tabela1[Ski Mountaineering - Mixed Relay])</f>
        <v>6</v>
      </c>
      <c r="PZ212" s="6">
        <f>SUM(Tabela1[Snowboarding - Men''s Big Air])</f>
        <v>9</v>
      </c>
      <c r="QA212" s="6">
        <f>SUM(Tabela1[Snowboarding - Women''s Big Air])</f>
        <v>8</v>
      </c>
      <c r="QB212" s="6">
        <f>SUM(Tabela1[Snowboarding - Men''s Halfpipe])</f>
        <v>7</v>
      </c>
      <c r="QC212" s="6">
        <f>SUM(Tabela1[Snowboarding - Women''s Halfpipe])</f>
        <v>9</v>
      </c>
      <c r="QD212" s="6">
        <f>SUM(Tabela1[Snowboarding - Men''s Parallel Giant Slalom])</f>
        <v>8</v>
      </c>
      <c r="QE212" s="6">
        <f>SUM(Tabela1[Snowboarding - Women''s Parallel Giant Slalom])</f>
        <v>7</v>
      </c>
      <c r="QF212" s="6">
        <f>SUM(Tabela1[Snowboarding - Men''s Slopestyle])</f>
        <v>10</v>
      </c>
      <c r="QG212" s="6">
        <f>SUM(Tabela1[Snowboarding - Women''s Slopestyle])</f>
        <v>8</v>
      </c>
      <c r="QH212" s="6">
        <f>SUM(Tabela1[Snowboarding - Men''s Snowboard Cross])</f>
        <v>8</v>
      </c>
      <c r="QI212" s="6">
        <f>SUM(Tabela1[Snowboarding - Women''s Snowboard Cross])</f>
        <v>9</v>
      </c>
      <c r="QJ212" s="6">
        <f>SUM(Tabela1[Snowboarding - Mixed Team Snowboard Cross])</f>
        <v>9</v>
      </c>
      <c r="QK212" s="6">
        <f>SUM(Tabela1[Speed Skating - Men''s 500m])</f>
        <v>5</v>
      </c>
      <c r="QL212" s="6">
        <f>SUM(Tabela1[Speed Skating - Women''s 500m])</f>
        <v>11</v>
      </c>
      <c r="QM212" s="6">
        <f>SUM(Tabela1[Speed Skating - Men''s 1000m])</f>
        <v>7</v>
      </c>
      <c r="QN212" s="6">
        <f>SUM(Tabela1[Speed Skating - Women''s 1000m])</f>
        <v>9</v>
      </c>
      <c r="QO212" s="6">
        <f>SUM(Tabela1[Speed Skating - Men''s 1500m])</f>
        <v>7</v>
      </c>
      <c r="QP212" s="6">
        <f>SUM(Tabela1[Speed Skating - Women''s 1500m])</f>
        <v>10</v>
      </c>
      <c r="QQ212" s="6">
        <f>SUM(Tabela1[Speed Skating - Women''s 3000m])</f>
        <v>5</v>
      </c>
      <c r="QR212" s="6">
        <f>SUM(Tabela1[Speed Skating - Men''s 5000m])</f>
        <v>8</v>
      </c>
      <c r="QS212" s="6">
        <f>SUM(Tabela1[Speed Skating - Women''s 5000m])</f>
        <v>3</v>
      </c>
      <c r="QT212" s="6">
        <f>SUM(Tabela1[Speed Skating - Men''s 10000m])</f>
        <v>3</v>
      </c>
      <c r="QU212" s="6">
        <f>SUM(Tabela1[Speed Skating - Men''s Mass Start])</f>
        <v>11</v>
      </c>
      <c r="QV212" s="6">
        <f>SUM(Tabela1[Speed Skating - Women''s Mass Start])</f>
        <v>10</v>
      </c>
      <c r="QW212" s="6">
        <f>SUM(Tabela1[Speed Skating - Men''s Team Pursuit])</f>
        <v>7</v>
      </c>
      <c r="QX212" s="6">
        <f>SUM(Tabela1[Speed Skating - Women''s Team Pursuit])</f>
        <v>5</v>
      </c>
      <c r="QY212" s="6"/>
      <c r="QZ212" s="6"/>
      <c r="RA212" s="6"/>
      <c r="RB212" s="6"/>
      <c r="RC212" s="6">
        <f>SUM(Tabela1[Speed Skating - Women''s Team Pursuit])</f>
        <v>5</v>
      </c>
    </row>
    <row r="213" spans="2:471" x14ac:dyDescent="0.3">
      <c r="B213" s="10" t="s">
        <v>740</v>
      </c>
      <c r="C213" s="10"/>
      <c r="D213" s="10"/>
      <c r="E213" s="10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6">
        <f>COUNTIF(Tabela1[Archery - Men''s Individual Recurve],"&gt;0")</f>
        <v>17</v>
      </c>
      <c r="W213" s="6">
        <f>COUNTIF(Tabela1[Archery - Women''s Individual Recurve],"&gt;0")</f>
        <v>14</v>
      </c>
      <c r="X213" s="6">
        <f>COUNTIF(Tabela1[Archery - Men''s Team Recurve],"&gt;0")</f>
        <v>10</v>
      </c>
      <c r="Y213" s="6">
        <f>COUNTIF(Tabela1[Archery - Women''s Team Recurve],"&gt;0")</f>
        <v>9</v>
      </c>
      <c r="Z213" s="6">
        <f>COUNTIF(Tabela1[Archery - Mixed Team Recurve],"&gt;0")</f>
        <v>14</v>
      </c>
      <c r="AA213" s="6">
        <f>COUNTIF(Tabela1[Artistic Swimming - Women''s Duet],"&gt;0")</f>
        <v>6</v>
      </c>
      <c r="AB213" s="6">
        <f>COUNTIF(Tabela1[Artistic Swimming - Women''s Team],"&gt;0")</f>
        <v>10</v>
      </c>
      <c r="AC213" s="6">
        <f>COUNTIF(Tabela1[Athletics - Men''s 100m],"&gt;0")</f>
        <v>10</v>
      </c>
      <c r="AD213" s="6">
        <f>COUNTIF(Tabela1[Athletics - Women''s 100m],"&gt;0")</f>
        <v>16</v>
      </c>
      <c r="AE213" s="6">
        <f>COUNTIF(Tabela1[Athletics - Men''s 200m],"&gt;0")</f>
        <v>10</v>
      </c>
      <c r="AF213" s="6">
        <f>COUNTIF(Tabela1[Athletics - Women''s 200m],"&gt;0")</f>
        <v>9</v>
      </c>
      <c r="AG213" s="6">
        <f>COUNTIF(Tabela1[Athletics - Men''s 400m],"&gt;0")</f>
        <v>10</v>
      </c>
      <c r="AH213" s="6">
        <f>COUNTIF(Tabela1[Athletics - Women''s 400m],"&gt;0")</f>
        <v>8</v>
      </c>
      <c r="AI213" s="6">
        <f>COUNTIF(Tabela1[Athletics - Men''s 800m],"&gt;0")</f>
        <v>15</v>
      </c>
      <c r="AJ213" s="6">
        <f>COUNTIF(Tabela1[Athletics - Women''s 800m],"&gt;0")</f>
        <v>15</v>
      </c>
      <c r="AK213" s="6">
        <f>COUNTIF(Tabela1[Athletics - Men''s 1500m],"&gt;0")</f>
        <v>7</v>
      </c>
      <c r="AL213" s="6">
        <f>COUNTIF(Tabela1[Athletics - Women''s 1500m],"&gt;0")</f>
        <v>12</v>
      </c>
      <c r="AM213" s="6">
        <f>COUNTIF(Tabela1[Athletics - Men''s 5000m],"&gt;0")</f>
        <v>11</v>
      </c>
      <c r="AN213" s="6">
        <f>COUNTIF(Tabela1[Athletics - Women''s 5000m],"&gt;0")</f>
        <v>13</v>
      </c>
      <c r="AO213" s="6">
        <f>COUNTIF(Tabela1[Athletics - Men''s 10000m],"&gt;0")</f>
        <v>8</v>
      </c>
      <c r="AP213" s="6">
        <f>COUNTIF(Tabela1[Athletics - Women''s 10000m],"&gt;0")</f>
        <v>5</v>
      </c>
      <c r="AQ213" s="6">
        <f>COUNTIF(Tabela1[Athletics - Men''s 110m Hurdles],"&gt;0")</f>
        <v>13</v>
      </c>
      <c r="AR213" s="6">
        <f>COUNTIF(Tabela1[Athletics - Women''s 100m Hurdles],"&gt;0")</f>
        <v>7</v>
      </c>
      <c r="AS213" s="6">
        <f>COUNTIF(Tabela1[Athletics - Men''s 400m Hurdles],"&gt;0")</f>
        <v>13</v>
      </c>
      <c r="AT213" s="6">
        <f>COUNTIF(Tabela1[Athletics - Women''s 400m Hurdles],"&gt;0")</f>
        <v>11</v>
      </c>
      <c r="AU213" s="6">
        <f>COUNTIF(Tabela1[Athletics - Men''s 3000m Steeplechase],"&gt;0")</f>
        <v>9</v>
      </c>
      <c r="AV213" s="6">
        <f>COUNTIF(Tabela1[Athletics - Women''s 3000m Steeplechase],"&gt;0")</f>
        <v>11</v>
      </c>
      <c r="AW213" s="6">
        <f>COUNTIF(Tabela1[Athletics - Men''s 4x100m Relay],"&gt;0")</f>
        <v>8</v>
      </c>
      <c r="AX213" s="6">
        <f>COUNTIF(Tabela1[Athletics - Women''s 4x100m Relay],"&gt;0")</f>
        <v>11</v>
      </c>
      <c r="AY213" s="6">
        <f>COUNTIF(Tabela1[Athletics - Men''s 4x400m Relay],"&gt;0")</f>
        <v>8</v>
      </c>
      <c r="AZ213" s="6">
        <f>COUNTIF(Tabela1[Athletics - Women''s 4x400m Relay],"&gt;0")</f>
        <v>14</v>
      </c>
      <c r="BA213" s="6">
        <f>COUNTIF(Tabela1[Athletics - Mixed 4x400m Relay],"&gt;0")</f>
        <v>9</v>
      </c>
      <c r="BB213" s="6">
        <f>COUNTIF(Tabela1[Athletics - Men''s Marathon],"&gt;0")</f>
        <v>18</v>
      </c>
      <c r="BC213" s="6">
        <f>COUNTIF(Tabela1[Athletics - Women''s Marathon],"&gt;0")</f>
        <v>20</v>
      </c>
      <c r="BD213" s="6">
        <f>COUNTIF(Tabela1[Athletics - Men''s 20km Race Walk],"&gt;0")</f>
        <v>14</v>
      </c>
      <c r="BE213" s="6">
        <f>COUNTIF(Tabela1[Athletics - Women''s 20km Race Walk],"&gt;0")</f>
        <v>9</v>
      </c>
      <c r="BF213" s="6">
        <f>COUNTIF(Tabela1[Athletics - Mixed Marathon Race Walk Relay],"&gt;0")</f>
        <v>14</v>
      </c>
      <c r="BG213" s="6">
        <f>COUNTIF(Tabela1[Athletics - Men''s Discus Throw],"&gt;0")</f>
        <v>8</v>
      </c>
      <c r="BH213" s="6">
        <f>COUNTIF(Tabela1[Athletics - Women''s Discus Throw],"&gt;0")</f>
        <v>6</v>
      </c>
      <c r="BI213" s="6">
        <f>COUNTIF(Tabela1[Athletics - Men''s Hammer Throw],"&gt;0")</f>
        <v>8</v>
      </c>
      <c r="BJ213" s="6">
        <f>COUNTIF(Tabela1[Athletics - Women''s Hammer Throw],"&gt;0")</f>
        <v>11</v>
      </c>
      <c r="BK213" s="6">
        <f>COUNTIF(Tabela1[Athletics - Men''s High Jump],"&gt;0")</f>
        <v>7</v>
      </c>
      <c r="BL213" s="6">
        <f>COUNTIF(Tabela1[Athletics - Women''s High Jump],"&gt;0")</f>
        <v>9</v>
      </c>
      <c r="BM213" s="6">
        <f>COUNTIF(Tabela1[Athletics - Men''s Javelin Throw],"&gt;0")</f>
        <v>7</v>
      </c>
      <c r="BN213" s="6">
        <f>COUNTIF(Tabela1[Athletics - Women''s Javelin Throw],"&gt;0")</f>
        <v>11</v>
      </c>
      <c r="BO213" s="6">
        <f>COUNTIF(Tabela1[Athletics - Men''s Long Jump],"&gt;0")</f>
        <v>9</v>
      </c>
      <c r="BP213" s="6">
        <f>COUNTIF(Tabela1[Athletics - Women''s Long Jump],"&gt;0")</f>
        <v>10</v>
      </c>
      <c r="BQ213" s="6">
        <f>COUNTIF(Tabela1[Athletics - Men''s Pole Vault],"&gt;0")</f>
        <v>10</v>
      </c>
      <c r="BR213" s="6">
        <f>COUNTIF(Tabela1[Athletics - Women''s Pole Vault],"&gt;0")</f>
        <v>9</v>
      </c>
      <c r="BS213" s="6">
        <f>COUNTIF(Tabela1[Athletics - Men''s Shot Put],"&gt;0")</f>
        <v>9</v>
      </c>
      <c r="BT213" s="6">
        <f>COUNTIF(Tabela1[Athletics - Women''s Shot Put],"&gt;0")</f>
        <v>9</v>
      </c>
      <c r="BU213" s="6">
        <f>COUNTIF(Tabela1[Athletics - Men''s Triple Jump],"&gt;0")</f>
        <v>13</v>
      </c>
      <c r="BV213" s="6">
        <f>COUNTIF(Tabela1[Athletics - Women''s Triple Jump],"&gt;0")</f>
        <v>6</v>
      </c>
      <c r="BW213" s="6">
        <f>COUNTIF(Tabela1[Athletics - Men''s Decathlon],"&gt;0")</f>
        <v>3</v>
      </c>
      <c r="BX213" s="6">
        <f>COUNTIF(Tabela1[Athletics - Women''s Heptathlon],"&gt;0")</f>
        <v>7</v>
      </c>
      <c r="BY213" s="6">
        <f>COUNTIF(Tabela1[Badminton - Men''s Singles],"&gt;0")</f>
        <v>10</v>
      </c>
      <c r="BZ213" s="6">
        <f>COUNTIF(Tabela1[Badminton - Women''s Singles],"&gt;0")</f>
        <v>11</v>
      </c>
      <c r="CA213" s="6">
        <f>COUNTIF(Tabela1[Badminton - Men''s Doubles],"&gt;0")</f>
        <v>6</v>
      </c>
      <c r="CB213" s="6">
        <f>COUNTIF(Tabela1[Badminton - Women''s Doubles],"&gt;0")</f>
        <v>6</v>
      </c>
      <c r="CC213" s="6">
        <f>COUNTIF(Tabela1[Badminton - Mixed Doubles],"&gt;0")</f>
        <v>5</v>
      </c>
      <c r="CD213" s="6">
        <f>COUNTIF(Tabela1[Basketball - Men''s Tournament],"&gt;0")</f>
        <v>11</v>
      </c>
      <c r="CE213" s="6">
        <f>COUNTIF(Tabela1[Basketball - Women''s Tournament],"&gt;0")</f>
        <v>11</v>
      </c>
      <c r="CF213" s="6">
        <f>COUNTIF(Tabela1[3x3 Basketball - Men''s Tournament],"&gt;0")</f>
        <v>5</v>
      </c>
      <c r="CG213" s="6">
        <f>COUNTIF(Tabela1[3x3 Basketball - Women''s Tournament],"&gt;0")</f>
        <v>5</v>
      </c>
      <c r="CH213" s="6">
        <f>COUNTIF(Tabela1[Beach Volleyball - Men''s Tournament],"&gt;0")</f>
        <v>11</v>
      </c>
      <c r="CI213" s="6">
        <f>COUNTIF(Tabela1[Beach Volleyball - Women''s Tournament],"&gt;0")</f>
        <v>11</v>
      </c>
      <c r="CJ213" s="6">
        <f>COUNTIF(Tabela1[Boxing - Men''s 51kg],"&gt;0")</f>
        <v>2</v>
      </c>
      <c r="CK213" s="6">
        <f>COUNTIF(Tabela1[Boxing - Men''s 57kg],"&gt;0")</f>
        <v>6</v>
      </c>
      <c r="CL213" s="6">
        <f>COUNTIF(Tabela1[Boxing - Men''s 63.5kg],"&gt;0")</f>
        <v>5</v>
      </c>
      <c r="CM213" s="6">
        <f>COUNTIF(Tabela1[Boxing - Men''s 71kg],"&gt;0")</f>
        <v>9</v>
      </c>
      <c r="CN213" s="6">
        <f>COUNTIF(Tabela1[Boxing - Men''s 80kg],"&gt;0")</f>
        <v>7</v>
      </c>
      <c r="CO213" s="6">
        <f>COUNTIF(Tabela1[Boxing - Men''s 92kg],"&gt;0")</f>
        <v>9</v>
      </c>
      <c r="CP213" s="6">
        <f>COUNTIF(Tabela1[Boxing - Men''s +92kg],"&gt;0")</f>
        <v>5</v>
      </c>
      <c r="CQ213" s="6">
        <f>COUNTIF(Tabela1[Boxing - Women''s 50kg],"&gt;0")</f>
        <v>8</v>
      </c>
      <c r="CR213" s="6">
        <f>COUNTIF(Tabela1[Boxing - Women''s 54kg],"&gt;0")</f>
        <v>10</v>
      </c>
      <c r="CS213" s="6">
        <f>COUNTIF(Tabela1[Boxing - Women''s 57kg],"&gt;0")</f>
        <v>7</v>
      </c>
      <c r="CT213" s="6">
        <f>COUNTIF(Tabela1[Boxing - Women''s 60kg],"&gt;0")</f>
        <v>7</v>
      </c>
      <c r="CU213" s="6">
        <f>COUNTIF(Tabela1[Boxing - Women''s 66kg],"&gt;0")</f>
        <v>7</v>
      </c>
      <c r="CV213" s="6">
        <f>COUNTIF(Tabela1[Boxing - Women''s 75kg],"&gt;0")</f>
        <v>8</v>
      </c>
      <c r="CW213" s="6">
        <f>COUNTIF(Tabela1[Breaking - Men''s Individual],"&gt;0")</f>
        <v>3</v>
      </c>
      <c r="CX213" s="6">
        <f>COUNTIF(Tabela1[Breaking - Women''s Individual],"&gt;0")</f>
        <v>5</v>
      </c>
      <c r="CY213" s="6">
        <f>COUNTIF(Tabela1[Canoeing - Men''s C1 Slalom],"&gt;0")</f>
        <v>13</v>
      </c>
      <c r="CZ213" s="6">
        <f>COUNTIF(Tabela1[Canoeing - Women''s C1 Slalom],"&gt;0")</f>
        <v>5</v>
      </c>
      <c r="DA213" s="6">
        <f>COUNTIF(Tabela1[Canoeing - Men''s K1 Slalom],"&gt;0")</f>
        <v>11</v>
      </c>
      <c r="DB213" s="6">
        <f>COUNTIF(Tabela1[Canoeing - Women''s K1 Slalom],"&gt;0")</f>
        <v>6</v>
      </c>
      <c r="DC213" s="6">
        <f>COUNTIF(Tabela1[Canoeing - Men''s Kayak Cross Slalom],"&gt;0")</f>
        <v>15</v>
      </c>
      <c r="DD213" s="6">
        <f>COUNTIF(Tabela1[Canoeing - Women''s Kayak Cross Slalom],"&gt;0")</f>
        <v>8</v>
      </c>
      <c r="DE213" s="6">
        <f>COUNTIF(Tabela1[Canoeing - Women''s C1 200m],"&gt;0")</f>
        <v>6</v>
      </c>
      <c r="DF213" s="6">
        <f>COUNTIF(Tabela1[Canoeing - Men''s C1 1000m],"&gt;0")</f>
        <v>6</v>
      </c>
      <c r="DG213" s="6">
        <f>COUNTIF(Tabela1[Canoeing - Men''s C2 500m],"&gt;0")</f>
        <v>6</v>
      </c>
      <c r="DH213" s="6">
        <f>COUNTIF(Tabela1[Canoeing - Women''s C2 500m],"&gt;0")</f>
        <v>5</v>
      </c>
      <c r="DI213" s="6">
        <f>COUNTIF(Tabela1[Canoeing - Women''s K1 500m],"&gt;0")</f>
        <v>6</v>
      </c>
      <c r="DJ213" s="6">
        <f>COUNTIF(Tabela1[Canoeing - Men''s K1 1000m],"&gt;0")</f>
        <v>3</v>
      </c>
      <c r="DK213" s="6">
        <f>COUNTIF(Tabela1[Canoeing - Men''s K2 500m],"&gt;0")</f>
        <v>6</v>
      </c>
      <c r="DL213" s="6">
        <f>COUNTIF(Tabela1[Canoeing - Women''s K2 500m],"&gt;0")</f>
        <v>5</v>
      </c>
      <c r="DM213" s="6">
        <f>COUNTIF(Tabela1[Canoeing - Men''s K4 500m],"&gt;0")</f>
        <v>4</v>
      </c>
      <c r="DN213" s="6">
        <f>COUNTIF(Tabela1[Canoeing - Women''s K4 500m],"&gt;0")</f>
        <v>3</v>
      </c>
      <c r="DO213" s="6">
        <f>COUNTIF(Tabela1[Cycling - Men''s BMX Freestyle],"&gt;0")</f>
        <v>4</v>
      </c>
      <c r="DP213" s="6">
        <f>COUNTIF(Tabela1[Cycling - Women''s BMX Freestyle],"&gt;0")</f>
        <v>4</v>
      </c>
      <c r="DQ213" s="6">
        <f>COUNTIF(Tabela1[Cycling - Men''s BMX Racing],"&gt;0")</f>
        <v>8</v>
      </c>
      <c r="DR213" s="6">
        <f>COUNTIF(Tabela1[Cycling - Women''s BMX Racing],"&gt;0")</f>
        <v>8</v>
      </c>
      <c r="DS213" s="6">
        <f>COUNTIF(Tabela1[Cycling - Men''s Cross-Country],"&gt;0")</f>
        <v>10</v>
      </c>
      <c r="DT213" s="6">
        <f>COUNTIF(Tabela1[Cycling - Women''s Cross-Country],"&gt;0")</f>
        <v>6</v>
      </c>
      <c r="DU213" s="6">
        <f>COUNTIF(Tabela1[Cycling - Men''s Keirin],"&gt;0")</f>
        <v>9</v>
      </c>
      <c r="DV213" s="6">
        <f>COUNTIF(Tabela1[Cycling - Women''s Keirin],"&gt;0")</f>
        <v>7</v>
      </c>
      <c r="DW213" s="6">
        <f>COUNTIF(Tabela1[Cycling - Men''s Madison],"&gt;0")</f>
        <v>7</v>
      </c>
      <c r="DX213" s="6">
        <f>COUNTIF(Tabela1[Cycling - Women''s Madison],"&gt;0")</f>
        <v>8</v>
      </c>
      <c r="DY213" s="6">
        <f>COUNTIF(Tabela1[Cycling - Men''s Omnium],"&gt;0")</f>
        <v>6</v>
      </c>
      <c r="DZ213" s="6">
        <f>COUNTIF(Tabela1[Cycling - Women''s Omnium],"&gt;0")</f>
        <v>6</v>
      </c>
      <c r="EA213" s="6">
        <f>COUNTIF(Tabela1[Cycling - Men''s Road Race],"&gt;0")</f>
        <v>26</v>
      </c>
      <c r="EB213" s="6">
        <f>COUNTIF(Tabela1[Cycling - Women''s Road Race],"&gt;0")</f>
        <v>28</v>
      </c>
      <c r="EC213" s="6">
        <f>COUNTIF(Tabela1[Cycling - Men''s Sprint],"&gt;0")</f>
        <v>10</v>
      </c>
      <c r="ED213" s="6">
        <f>COUNTIF(Tabela1[Cycling - Women''s Sprint],"&gt;0")</f>
        <v>7</v>
      </c>
      <c r="EE213" s="6">
        <f>COUNTIF(Tabela1[Cycling - Men''s Team Sprint],"&gt;0")</f>
        <v>4</v>
      </c>
      <c r="EF213" s="6">
        <f>COUNTIF(Tabela1[Cycling - Women''s Team Sprint],"&gt;0")</f>
        <v>5</v>
      </c>
      <c r="EG213" s="6">
        <f>COUNTIF(Tabela1[Cycling - Men''s Team Pursuit],"&gt;0")</f>
        <v>7</v>
      </c>
      <c r="EH213" s="6">
        <f>COUNTIF(Tabela1[Cycling - Women''s Team Pursuit],"&gt;0")</f>
        <v>7</v>
      </c>
      <c r="EI213" s="6">
        <f>COUNTIF(Tabela1[Cycling - Men''s Time-Trial],"&gt;0")</f>
        <v>10</v>
      </c>
      <c r="EJ213" s="6">
        <f>COUNTIF(Tabela1[Cycling - Women''s Time-Trial],"&gt;0")</f>
        <v>7</v>
      </c>
      <c r="EK213" s="6">
        <f>COUNTIF(Tabela1[Diving - Men''s Springboard],"&gt;0")</f>
        <v>6</v>
      </c>
      <c r="EL213" s="6">
        <f>COUNTIF(Tabela1[Diving - Women''s Springboard],"&gt;0")</f>
        <v>7</v>
      </c>
      <c r="EM213" s="6">
        <f>COUNTIF(Tabela1[Diving - Men''s Platform],"&gt;0")</f>
        <v>6</v>
      </c>
      <c r="EN213" s="6">
        <f>COUNTIF(Tabela1[Diving - Women''s Platform],"&gt;0")</f>
        <v>10</v>
      </c>
      <c r="EO213" s="6">
        <f>COUNTIF(Tabela1[Diving - Men''s Synchronized Springboard],"&gt;0")</f>
        <v>5</v>
      </c>
      <c r="EP213" s="6">
        <f>COUNTIF(Tabela1[Diving - Women''s Synchronized Springboard],"&gt;0")</f>
        <v>6</v>
      </c>
      <c r="EQ213" s="6">
        <f>COUNTIF(Tabela1[Diving - Men''s Synchronized Platform],"&gt;0")</f>
        <v>5</v>
      </c>
      <c r="ER213" s="6">
        <f>COUNTIF(Tabela1[Diving - Women''s Synchronized Platform],"&gt;0")</f>
        <v>3</v>
      </c>
      <c r="ES213" s="6">
        <f>COUNTIF(Tabela1[Equestrian - Individual Dressage],"&gt;0")</f>
        <v>12</v>
      </c>
      <c r="ET213" s="6">
        <f>COUNTIF(Tabela1[Equestrian - Team Dressage],"&gt;0")</f>
        <v>8</v>
      </c>
      <c r="EU213" s="6">
        <f>COUNTIF(Tabela1[Equestrian - Individual Eventing],"&gt;0")</f>
        <v>19</v>
      </c>
      <c r="EV213" s="6">
        <f>COUNTIF(Tabela1[Equestrian - Team Eventing],"&gt;0")</f>
        <v>11</v>
      </c>
      <c r="EW213" s="6">
        <f>COUNTIF(Tabela1[Equestrian - Individual Jumping],"&gt;0")</f>
        <v>21</v>
      </c>
      <c r="EX213" s="6">
        <f>COUNTIF(Tabela1[Equestrian - Team Jumping],"&gt;0")</f>
        <v>13</v>
      </c>
      <c r="EY213" s="6">
        <f>COUNTIF(Tabela1[Fencing - Men''s Épée],"&gt;0")</f>
        <v>10</v>
      </c>
      <c r="EZ213" s="6">
        <f>COUNTIF(Tabela1[Fencing - Women''s Épée],"&gt;0")</f>
        <v>6</v>
      </c>
      <c r="FA213" s="6">
        <f>COUNTIF(Tabela1[Fencing - Men''s Team Épée],"&gt;0")</f>
        <v>7</v>
      </c>
      <c r="FB213" s="6">
        <f>COUNTIF(Tabela1[Fencing - Women''s Team Épée],"&gt;0")</f>
        <v>5</v>
      </c>
      <c r="FC213" s="6">
        <f>COUNTIF(Tabela1[Fencing - Men''s Foil],"&gt;0")</f>
        <v>11</v>
      </c>
      <c r="FD213" s="6">
        <f>COUNTIF(Tabela1[Fencing - Women''s Foil],"&gt;0")</f>
        <v>9</v>
      </c>
      <c r="FE213" s="6">
        <f>COUNTIF(Tabela1[Fencing - Men''s Team Foil],"&gt;0")</f>
        <v>7</v>
      </c>
      <c r="FF213" s="6">
        <f>COUNTIF(Tabela1[Fencing - Women''s Team Foil],"&gt;0")</f>
        <v>6</v>
      </c>
      <c r="FG213" s="6">
        <f>COUNTIF(Tabela1[Fencing - Men''s Sabre],"&gt;0")</f>
        <v>7</v>
      </c>
      <c r="FH213" s="6">
        <f>COUNTIF(Tabela1[Fencing - Women''s Sabre],"&gt;0")</f>
        <v>9</v>
      </c>
      <c r="FI213" s="6">
        <f>COUNTIF(Tabela1[Fencing - Men''s Team Sabre],"&gt;0")</f>
        <v>4</v>
      </c>
      <c r="FJ213" s="6">
        <f>COUNTIF(Tabela1[Fencing - Women''s Team Sabre],"&gt;0")</f>
        <v>6</v>
      </c>
      <c r="FK213" s="6">
        <f>COUNTIF(Tabela1[Field Hockey - Men''s Tournament],"&gt;0")</f>
        <v>9</v>
      </c>
      <c r="FL213" s="6">
        <f>COUNTIF(Tabela1[Field Hockey - Women''s Tournament],"&gt;0")</f>
        <v>11</v>
      </c>
      <c r="FM213" s="6">
        <f>COUNTIF(Tabela1[Football - Men''s Tournament],"&gt;0")</f>
        <v>16</v>
      </c>
      <c r="FN213" s="6">
        <f>COUNTIF(Tabela1[Football - Women''s Tournament],"&gt;0")</f>
        <v>12</v>
      </c>
      <c r="FO213" s="6">
        <f>COUNTIF(Tabela1[Golf - Men''s Individual],"&gt;0")</f>
        <v>17</v>
      </c>
      <c r="FP213" s="6">
        <f>COUNTIF(Tabela1[Golf - Women''s Individual],"&gt;0")</f>
        <v>12</v>
      </c>
      <c r="FQ213" s="6">
        <f>COUNTIF(Tabela1[Gymnastics - Men''s Individual All-Around],"&gt;0")</f>
        <v>8</v>
      </c>
      <c r="FR213" s="6">
        <f>COUNTIF(Tabela1[Gymnastics - Women''s Individual All-Around],"&gt;0")</f>
        <v>15</v>
      </c>
      <c r="FS213" s="6">
        <f>COUNTIF(Tabela1[Gymnastics - Men''s Team All-Around],"&gt;0")</f>
        <v>10</v>
      </c>
      <c r="FT213" s="6">
        <f>COUNTIF(Tabela1[Gymnastics - Women''s Team All-Around],"&gt;0")</f>
        <v>9</v>
      </c>
      <c r="FU213" s="6">
        <f>COUNTIF(Tabela1[Gymnastics - Women''s Balance Beam],"&gt;0")</f>
        <v>17</v>
      </c>
      <c r="FV213" s="6">
        <f>COUNTIF(Tabela1[Gymnastics - Men''s Floor Exercise],"&gt;0")</f>
        <v>12</v>
      </c>
      <c r="FW213" s="6">
        <f>COUNTIF(Tabela1[Gymnastics - Women''s Floor Exercise],"&gt;0")</f>
        <v>16</v>
      </c>
      <c r="FX213" s="6">
        <f>COUNTIF(Tabela1[Gymnastics - Men''s Horizontal Bar],"&gt;0")</f>
        <v>11</v>
      </c>
      <c r="FY213" s="6">
        <f>COUNTIF(Tabela1[Gymnastics - Men''s Parallel Bars],"&gt;0")</f>
        <v>12</v>
      </c>
      <c r="FZ213" s="6">
        <f>COUNTIF(Tabela1[Gymnastics - Men''s Pommel Horse],"&gt;0")</f>
        <v>13</v>
      </c>
      <c r="GA213" s="6">
        <f>COUNTIF(Tabela1[Gymnastics - Men''s Rings],"&gt;0")</f>
        <v>10</v>
      </c>
      <c r="GB213" s="6">
        <f>COUNTIF(Tabela1[Gymnastics - Men''s Trampoline],"&gt;0")</f>
        <v>4</v>
      </c>
      <c r="GC213" s="6">
        <f>COUNTIF(Tabela1[Gymnastics - Women''s Trampoline],"&gt;0")</f>
        <v>6</v>
      </c>
      <c r="GD213" s="6">
        <f>COUNTIF(Tabela1[Gymnastics - Women''s Uneven Bars],"&gt;0")</f>
        <v>16</v>
      </c>
      <c r="GE213" s="6">
        <f>COUNTIF(Tabela1[Gymnastics - Men''s Vault],"&gt;0")</f>
        <v>1</v>
      </c>
      <c r="GF213" s="6">
        <f>COUNTIF(Tabela1[Gymnastics - Women''s Vault],"&gt;0")</f>
        <v>5</v>
      </c>
      <c r="GG213" s="6">
        <f>COUNTIF(Tabela1[Handball - Men''s Tournament],"&gt;0")</f>
        <v>12</v>
      </c>
      <c r="GH213" s="6">
        <f>COUNTIF(Tabela1[Handball - Women''s Tournament],"&gt;0")</f>
        <v>9</v>
      </c>
      <c r="GI213" s="6">
        <f>COUNTIF(Tabela1[Judo - Men''s 60kg],"&gt;0")</f>
        <v>9</v>
      </c>
      <c r="GJ213" s="6">
        <f>COUNTIF(Tabela1[Judo - Men''s 66kg],"&gt;0")</f>
        <v>4</v>
      </c>
      <c r="GK213" s="6">
        <f>COUNTIF(Tabela1[Judo - Men''s 73kg],"&gt;0")</f>
        <v>9</v>
      </c>
      <c r="GL213" s="6">
        <f>COUNTIF(Tabela1[Judo - Men''s 81kg],"&gt;0")</f>
        <v>8</v>
      </c>
      <c r="GM213" s="6">
        <f>COUNTIF(Tabela1[Judo - Men''s 90kg],"&gt;0")</f>
        <v>10</v>
      </c>
      <c r="GN213" s="6">
        <f>COUNTIF(Tabela1[Judo - Men''s 100kg],"&gt;0")</f>
        <v>6</v>
      </c>
      <c r="GO213" s="6">
        <f>COUNTIF(Tabela1[Judo - Men''s +100kg],"&gt;0")</f>
        <v>6</v>
      </c>
      <c r="GP213" s="6">
        <f>COUNTIF(Tabela1[Judo - Women''s 48kg],"&gt;0")</f>
        <v>10</v>
      </c>
      <c r="GQ213" s="6">
        <f>COUNTIF(Tabela1[Judo - Women''s 52kg],"&gt;0")</f>
        <v>9</v>
      </c>
      <c r="GR213" s="6">
        <f>COUNTIF(Tabela1[Judo - Women''s 57kg],"&gt;0")</f>
        <v>4</v>
      </c>
      <c r="GS213" s="6">
        <f>COUNTIF(Tabela1[Judo - Women''s 63kg],"&gt;0")</f>
        <v>13</v>
      </c>
      <c r="GT213" s="6">
        <f>COUNTIF(Tabela1[Judo - Women''s 70kg],"&gt;0")</f>
        <v>6</v>
      </c>
      <c r="GU213" s="6">
        <f>COUNTIF(Tabela1[Judo - Women''s 78kg],"&gt;0")</f>
        <v>5</v>
      </c>
      <c r="GV213" s="6">
        <f>COUNTIF(Tabela1[Judo - Women''s +78kg],"&gt;0")</f>
        <v>6</v>
      </c>
      <c r="GW213" s="6">
        <f>COUNTIF(Tabela1[Judo - Mixed Team],"&gt;0")</f>
        <v>11</v>
      </c>
      <c r="GX213" s="6">
        <f>COUNTIF(Tabela1[Modern Pentathlon - Men''s Individual],"&gt;0")</f>
        <v>7</v>
      </c>
      <c r="GY213" s="6">
        <f>COUNTIF(Tabela1[Modern Pentathlon - Women''s Individual],"&gt;0")</f>
        <v>11</v>
      </c>
      <c r="GZ213" s="6">
        <f>COUNTIF(Tabela1[Rhythmic Gymnastics - Women''s Individual All-Around],"&gt;0")</f>
        <v>7</v>
      </c>
      <c r="HA213" s="6">
        <f>COUNTIF(Tabela1[Rhythmic Gymnastics - Women''s Group All-Around],"&gt;0")</f>
        <v>11</v>
      </c>
      <c r="HB213" s="6">
        <f>COUNTIF(Tabela1[Rowing - Men''s Single Sculls],"&gt;0")</f>
        <v>8</v>
      </c>
      <c r="HC213" s="6">
        <f>COUNTIF(Tabela1[Rowing - Women''s Single Sculls],"&gt;0")</f>
        <v>7</v>
      </c>
      <c r="HD213" s="6">
        <f>COUNTIF(Tabela1[Rowing - Men''s Double Sculls],"&gt;0")</f>
        <v>8</v>
      </c>
      <c r="HE213" s="6">
        <f>COUNTIF(Tabela1[Rowing - Women''s Double Sculls],"&gt;0")</f>
        <v>8</v>
      </c>
      <c r="HF213" s="6">
        <f>COUNTIF(Tabela1[Rowing - Men''s Quadruple Sculls],"&gt;0")</f>
        <v>6</v>
      </c>
      <c r="HG213" s="6">
        <f>COUNTIF(Tabela1[Rowing - Women''s Quadruple Sculls],"&gt;0")</f>
        <v>5</v>
      </c>
      <c r="HH213" s="6">
        <f>COUNTIF(Tabela1[Rowing - Men''s Coxless Pairs],"&gt;0")</f>
        <v>5</v>
      </c>
      <c r="HI213" s="6">
        <f>COUNTIF(Tabela1[Rowing - Women''s Coxless Pairs],"&gt;0")</f>
        <v>8</v>
      </c>
      <c r="HJ213" s="6">
        <f>COUNTIF(Tabela1[Rowing - Men''s Coxless Fours],"&gt;0")</f>
        <v>7</v>
      </c>
      <c r="HK213" s="6">
        <f>COUNTIF(Tabela1[Rowing - Women''s Coxless Fours],"&gt;0")</f>
        <v>7</v>
      </c>
      <c r="HL213" s="6">
        <f>COUNTIF(Tabela1[Rowing - Men''s Eights],"&gt;0")</f>
        <v>7</v>
      </c>
      <c r="HM213" s="6">
        <f>COUNTIF(Tabela1[Rowing - Women''s Eights],"&gt;0")</f>
        <v>7</v>
      </c>
      <c r="HN213" s="6">
        <f>COUNTIF(Tabela1[Rowing - Men''s Lwt. Double Sculls],"&gt;0")</f>
        <v>9</v>
      </c>
      <c r="HO213" s="6">
        <f>COUNTIF(Tabela1[Rowing - Women''s Lwt. Double Sculls],"&gt;0")</f>
        <v>8</v>
      </c>
      <c r="HP213" s="6">
        <f>COUNTIF(Tabela1[Rugby Sevens - Men''s Tournament],"&gt;0")</f>
        <v>9</v>
      </c>
      <c r="HQ213" s="6">
        <f>COUNTIF(Tabela1[Rugby Sevens - Women''s Tournament],"&gt;0")</f>
        <v>11</v>
      </c>
      <c r="HR213" s="6">
        <f>COUNTIF(Tabela1[Sailing - Mixed 470],"&gt;0")</f>
        <v>7</v>
      </c>
      <c r="HS213" s="6">
        <f>COUNTIF(Tabela1[Sailing - Men''s 49er],"&gt;0")</f>
        <v>8</v>
      </c>
      <c r="HT213" s="6">
        <f>COUNTIF(Tabela1[Sailing - Women''s 49er FX],"&gt;0")</f>
        <v>11</v>
      </c>
      <c r="HU213" s="6">
        <f>COUNTIF(Tabela1[Sailing - Men''s Formula Kite],"&gt;0")</f>
        <v>6</v>
      </c>
      <c r="HV213" s="6">
        <f>COUNTIF(Tabela1[Sailing - Women''s Formula Kite],"&gt;0")</f>
        <v>6</v>
      </c>
      <c r="HW213" s="6">
        <f>COUNTIF(Tabela1[Sailing - Men''s ILCA 7],"&gt;0")</f>
        <v>12</v>
      </c>
      <c r="HX213" s="6">
        <f>COUNTIF(Tabela1[Sailing - Women''s ILCA 6],"&gt;0")</f>
        <v>14</v>
      </c>
      <c r="HY213" s="6">
        <f>COUNTIF(Tabela1[Sailing - Men''s IQFoil],"&gt;0")</f>
        <v>9</v>
      </c>
      <c r="HZ213" s="6">
        <f>COUNTIF(Tabela1[Sailing - Women''s IQFoil],"&gt;0")</f>
        <v>8</v>
      </c>
      <c r="IA213" s="6">
        <f>COUNTIF(Tabela1[Sailing - Mixed Nacra 17],"&gt;0")</f>
        <v>12</v>
      </c>
      <c r="IB213" s="6">
        <f>COUNTIF(Tabela1[Shooting - Men''s 10m Air Pistol],"&gt;0")</f>
        <v>5</v>
      </c>
      <c r="IC213" s="6">
        <f>COUNTIF(Tabela1[Shooting - Women''s 10m Air Pistol],"&gt;0")</f>
        <v>9</v>
      </c>
      <c r="ID213" s="6">
        <f>COUNTIF(Tabela1[Shooting - Mixed 10m Air Pistol Team],"&gt;0")</f>
        <v>5</v>
      </c>
      <c r="IE213" s="6">
        <f>COUNTIF(Tabela1[Shooting - Men''s 10m Air Rifle],"&gt;0")</f>
        <v>14</v>
      </c>
      <c r="IF213" s="6">
        <f>COUNTIF(Tabela1[Shooting - Women''s 10m Air Rifle],"&gt;0")</f>
        <v>8</v>
      </c>
      <c r="IG213" s="6">
        <f>COUNTIF(Tabela1[Shooting - Mixed 10m Air Rifle Team],"&gt;0")</f>
        <v>9</v>
      </c>
      <c r="IH213" s="6">
        <f>COUNTIF(Tabela1[Shooting - Men''s 25m Rapid Fire Pistol],"&gt;0")</f>
        <v>6</v>
      </c>
      <c r="II213" s="6">
        <f>COUNTIF(Tabela1[Shooting - Women''s 25m Pistol],"&gt;0")</f>
        <v>10</v>
      </c>
      <c r="IJ213" s="6">
        <f>COUNTIF(Tabela1[Shooting - Men''s 50m Rifle 3 Positions],"&gt;0")</f>
        <v>11</v>
      </c>
      <c r="IK213" s="6">
        <f>COUNTIF(Tabela1[Shooting - Women''s 50m Rifle 3 Positions],"&gt;0")</f>
        <v>5</v>
      </c>
      <c r="IL213" s="6">
        <f>COUNTIF(Tabela1[Shooting - Men''s Skeet],"&gt;0")</f>
        <v>4</v>
      </c>
      <c r="IM213" s="6">
        <f>COUNTIF(Tabela1[Shooting - Women''s Skeet],"&gt;0")</f>
        <v>9</v>
      </c>
      <c r="IN213" s="6">
        <f>COUNTIF(Tabela1[Shooting - Mixed Skeet Team],"&gt;0")</f>
        <v>3</v>
      </c>
      <c r="IO213" s="6">
        <f>COUNTIF(Tabela1[Shooting - Men''s Trap],"&gt;0")</f>
        <v>6</v>
      </c>
      <c r="IP213" s="6">
        <f>COUNTIF(Tabela1[Shooting - Women''s Trap],"&gt;0")</f>
        <v>13</v>
      </c>
      <c r="IQ213" s="6">
        <f>COUNTIF(Tabela1[Skateboarding - Men''s Park],"&gt;0")</f>
        <v>8</v>
      </c>
      <c r="IR213" s="6">
        <f>COUNTIF(Tabela1[Skateboarding - Women''s Park],"&gt;0")</f>
        <v>7</v>
      </c>
      <c r="IS213" s="6">
        <f>COUNTIF(Tabela1[Skateboarding - Men''s Street],"&gt;0")</f>
        <v>8</v>
      </c>
      <c r="IT213" s="6">
        <f>COUNTIF(Tabela1[Skateboarding - Women''s Street],"&gt;0")</f>
        <v>5</v>
      </c>
      <c r="IU213" s="6">
        <f>COUNTIF(Tabela1[Sport Climbing - Men''s Boulder and Lead],"&gt;0")</f>
        <v>2</v>
      </c>
      <c r="IV213" s="6">
        <f>COUNTIF(Tabela1[Sport Climbing - Women''s Boulder and Lead],"&gt;0")</f>
        <v>5</v>
      </c>
      <c r="IW213" s="6">
        <f>COUNTIF(Tabela1[Sport Climbing - Men''s Speed],"&gt;0")</f>
        <v>1</v>
      </c>
      <c r="IX213" s="6">
        <f>COUNTIF(Tabela1[Sport Climbing - Women''s Speed],"&gt;0")</f>
        <v>5</v>
      </c>
      <c r="IY213" s="6">
        <f>COUNTIF(Tabela1[Surfing - Men''s Shortboard],"&gt;0")</f>
        <v>7</v>
      </c>
      <c r="IZ213" s="6">
        <f>COUNTIF(Tabela1[Surfing - Women''s Shortboard],"&gt;0")</f>
        <v>7</v>
      </c>
      <c r="JA213" s="6">
        <f>COUNTIF(Tabela1[Swimming - Men''s 50m Freestyle],"&gt;0")</f>
        <v>18</v>
      </c>
      <c r="JB213" s="6">
        <f>COUNTIF(Tabela1[Swimming - Women''s 50m Freestyle],"&gt;0")</f>
        <v>16</v>
      </c>
      <c r="JC213" s="6">
        <f>COUNTIF(Tabela1[Swimming - Men''s 100m Freestyle],"&gt;0")</f>
        <v>21</v>
      </c>
      <c r="JD213" s="6">
        <f>COUNTIF(Tabela1[Swimming - Women''s 100m Freestyle],"&gt;0")</f>
        <v>7</v>
      </c>
      <c r="JE213" s="6">
        <f>COUNTIF(Tabela1[Swimming - Men''s 200m Freestyle],"&gt;0")</f>
        <v>6</v>
      </c>
      <c r="JF213" s="6">
        <f>COUNTIF(Tabela1[Swimming - Women''s 200m Freestyle],"&gt;0")</f>
        <v>7</v>
      </c>
      <c r="JG213" s="6">
        <f>COUNTIF(Tabela1[Swimming - Men''s 400m Freestyle],"&gt;0")</f>
        <v>9</v>
      </c>
      <c r="JH213" s="6">
        <f>COUNTIF(Tabela1[Swimming - Women''s 400m Freestyle],"&gt;0")</f>
        <v>6</v>
      </c>
      <c r="JI213" s="6">
        <f>COUNTIF(Tabela1[Swimming - Men''s 800m Freestyle],"&gt;0")</f>
        <v>9</v>
      </c>
      <c r="JJ213" s="6">
        <f>COUNTIF(Tabela1[Swimming - Women''s 800m Freestyle],"&gt;0")</f>
        <v>5</v>
      </c>
      <c r="JK213" s="6">
        <f>COUNTIF(Tabela1[Swimming - Men''s 1500m Freestyle],"&gt;0")</f>
        <v>8</v>
      </c>
      <c r="JL213" s="6">
        <f>COUNTIF(Tabela1[Swimming - Women''s 1500m Freestyle],"&gt;0")</f>
        <v>5</v>
      </c>
      <c r="JM213" s="6">
        <f>COUNTIF(Tabela1[Swimming - Men''s 100m Backstroke],"&gt;0")</f>
        <v>13</v>
      </c>
      <c r="JN213" s="6">
        <f>COUNTIF(Tabela1[Swimming - Women''s 100m Backstroke],"&gt;0")</f>
        <v>10</v>
      </c>
      <c r="JO213" s="6">
        <f>COUNTIF(Tabela1[Swimming - Men''s 200m Backstroke],"&gt;0")</f>
        <v>9</v>
      </c>
      <c r="JP213" s="6">
        <f>COUNTIF(Tabela1[Swimming - Women''s 200m Backstroke],"&gt;0")</f>
        <v>6</v>
      </c>
      <c r="JQ213" s="6">
        <f>COUNTIF(Tabela1[Swimming - Men''s 100m Breaststroke],"&gt;0")</f>
        <v>10</v>
      </c>
      <c r="JR213" s="6">
        <f>COUNTIF(Tabela1[Swimming - Women''s 100m Breaststroke],"&gt;0")</f>
        <v>7</v>
      </c>
      <c r="JS213" s="6">
        <f>COUNTIF(Tabela1[Swimming - Men''s 200m Breaststroke],"&gt;0")</f>
        <v>8</v>
      </c>
      <c r="JT213" s="6">
        <f>COUNTIF(Tabela1[Swimming - Women''s 200m Breaststroke],"&gt;0")</f>
        <v>2</v>
      </c>
      <c r="JU213" s="6">
        <f>COUNTIF(Tabela1[Swimming - Men''s 100m Butterfly],"&gt;0")</f>
        <v>10</v>
      </c>
      <c r="JV213" s="6">
        <f>COUNTIF(Tabela1[Swimming - Women''s 100m Butterfly],"&gt;0")</f>
        <v>8</v>
      </c>
      <c r="JW213" s="6">
        <f>COUNTIF(Tabela1[Swimming - Men''s 200m Butterfly],"&gt;0")</f>
        <v>3</v>
      </c>
      <c r="JX213" s="6">
        <f>COUNTIF(Tabela1[Swimming - Women''s 200m Butterfly],"&gt;0")</f>
        <v>6</v>
      </c>
      <c r="JY213" s="6">
        <f>COUNTIF(Tabela1[Swimming - Men''s 200m Individual Medley],"&gt;0")</f>
        <v>6</v>
      </c>
      <c r="JZ213" s="6">
        <f>COUNTIF(Tabela1[Swimming - Women''s 200m Individual Medley],"&gt;0")</f>
        <v>9</v>
      </c>
      <c r="KA213" s="6">
        <f>COUNTIF(Tabela1[Swimming - Men''s 400m Individual Medley],"&gt;0")</f>
        <v>4</v>
      </c>
      <c r="KB213" s="6">
        <f>COUNTIF(Tabela1[Swimming - Women''s 400m Individual Medley],"&gt;0")</f>
        <v>6</v>
      </c>
      <c r="KC213" s="6">
        <f>COUNTIF(Tabela1[Swimming - Men''s 4x100m Freestyle Relay],"&gt;0")</f>
        <v>12</v>
      </c>
      <c r="KD213" s="6">
        <f>COUNTIF(Tabela1[Swimming - Women''s 4x100m Freestyle Relay],"&gt;0")</f>
        <v>11</v>
      </c>
      <c r="KE213" s="6">
        <f>COUNTIF(Tabela1[Swimming - Men''s 4x200m Freestyle Relay],"&gt;0")</f>
        <v>12</v>
      </c>
      <c r="KF213" s="6">
        <f>COUNTIF(Tabela1[Swimming - Women''s 4x200m Freestyle Relay],"&gt;0")</f>
        <v>10</v>
      </c>
      <c r="KG213" s="6">
        <f>COUNTIF(Tabela1[Swimming - Men''s 4x100m Medley Relay],"&gt;0")</f>
        <v>13</v>
      </c>
      <c r="KH213" s="6">
        <f>COUNTIF(Tabela1[Swimming - Women''s 4x100m Medley Relay],"&gt;0")</f>
        <v>13</v>
      </c>
      <c r="KI213" s="6">
        <f>COUNTIF(Tabela1[Swimming - Mixed 4x100m Medley Relay],"&gt;0")</f>
        <v>13</v>
      </c>
      <c r="KJ213" s="6">
        <f>COUNTIF(Tabela1[Swimming - Men''s 10km Open Water],"&gt;0")</f>
        <v>9</v>
      </c>
      <c r="KK213" s="6">
        <f>COUNTIF(Tabela1[Swimming - Women''s 10km Open Water],"&gt;0")</f>
        <v>8</v>
      </c>
      <c r="KL213" s="6">
        <f>COUNTIF(Tabela1[Table Tennis - Men''s Singles],"&gt;0")</f>
        <v>23</v>
      </c>
      <c r="KM213" s="6">
        <f>COUNTIF(Tabela1[Table Tennis - Women''s Singles],"&gt;0")</f>
        <v>25</v>
      </c>
      <c r="KN213" s="6">
        <f>COUNTIF(Tabela1[Table Tennis - Men''s Team],"&gt;0")</f>
        <v>12</v>
      </c>
      <c r="KO213" s="6">
        <f>COUNTIF(Tabela1[Table Tennis - Women''s Team],"&gt;0")</f>
        <v>14</v>
      </c>
      <c r="KP213" s="6">
        <f>COUNTIF(Tabela1[Table Tennis - Mixed Doubles],"&gt;0")</f>
        <v>6</v>
      </c>
      <c r="KQ213" s="6">
        <f>COUNTIF(Tabela1[Taekwondo - Men''s 58kg],"&gt;0")</f>
        <v>7</v>
      </c>
      <c r="KR213" s="6">
        <f>COUNTIF(Tabela1[Taekwondo - Men''s 68kg],"&gt;0")</f>
        <v>5</v>
      </c>
      <c r="KS213" s="6">
        <f>COUNTIF(Tabela1[Taekwondo - Men''s 80kg],"&gt;0")</f>
        <v>7</v>
      </c>
      <c r="KT213" s="6">
        <f>COUNTIF(Tabela1[Taekwondo - Men''s +80kg],"&gt;0")</f>
        <v>7</v>
      </c>
      <c r="KU213" s="6">
        <f>COUNTIF(Tabela1[Taekwondo - Women''s 49kg],"&gt;0")</f>
        <v>5</v>
      </c>
      <c r="KV213" s="6">
        <f>COUNTIF(Tabela1[Taekwondo - Women''s 57kg],"&gt;0")</f>
        <v>6</v>
      </c>
      <c r="KW213" s="6">
        <f>COUNTIF(Tabela1[Taekwondo - Women''s 67kg],"&gt;0")</f>
        <v>7</v>
      </c>
      <c r="KX213" s="6">
        <f>COUNTIF(Tabela1[Taekwondo - Women''s +67kg],"&gt;0")</f>
        <v>3</v>
      </c>
      <c r="KY213" s="6">
        <f>COUNTIF(Tabela1[Tennis - Men''s Singles],"&gt;0")</f>
        <v>16</v>
      </c>
      <c r="KZ213" s="6">
        <f>COUNTIF(Tabela1[Tennis - Women''s Singles],"&gt;0")</f>
        <v>18</v>
      </c>
      <c r="LA213" s="6">
        <f>COUNTIF(Tabela1[Tennis - Men''s Doubles],"&gt;0")</f>
        <v>16</v>
      </c>
      <c r="LB213" s="6">
        <f>COUNTIF(Tabela1[Tennis - Women''s Doubles],"&gt;0")</f>
        <v>16</v>
      </c>
      <c r="LC213" s="6">
        <f>COUNTIF(Tabela1[Tennis - Mixed Doubles],"&gt;0")</f>
        <v>9</v>
      </c>
      <c r="LD213" s="6">
        <f>COUNTIF(Tabela1[Triathlon - Men''s Individual],"&gt;0")</f>
        <v>12</v>
      </c>
      <c r="LE213" s="6">
        <f>COUNTIF(Tabela1[Triathlon - Women''s Individual],"&gt;0")</f>
        <v>14</v>
      </c>
      <c r="LF213" s="6">
        <f>COUNTIF(Tabela1[Triathlon - Mixed Relay],"&gt;0")</f>
        <v>13</v>
      </c>
      <c r="LG213" s="6">
        <f>COUNTIF(Tabela1[Volleyball - Men''s Tournament],"&gt;0")</f>
        <v>12</v>
      </c>
      <c r="LH213" s="6">
        <f>COUNTIF(Tabela1[Volleyball - Women''s Tournament],"&gt;0")</f>
        <v>12</v>
      </c>
      <c r="LI213" s="6">
        <f>COUNTIF(Tabela1[Water Polo - Men''s Tournament],"&gt;0")</f>
        <v>10</v>
      </c>
      <c r="LJ213" s="6">
        <f>COUNTIF(Tabela1[Water Polo - Women''s Tournament],"&gt;0")</f>
        <v>9</v>
      </c>
      <c r="LK213" s="6">
        <f>COUNTIF(Tabela1[Weightlifting - Men''s 61kg],"&gt;0")</f>
        <v>1</v>
      </c>
      <c r="LL213" s="6">
        <f>COUNTIF(Tabela1[Weightlifting - Men''s 73kg],"&gt;0")</f>
        <v>4</v>
      </c>
      <c r="LM213" s="6">
        <f>COUNTIF(Tabela1[Weightlifting - Men''s 89kg],"&gt;0")</f>
        <v>4</v>
      </c>
      <c r="LN213" s="6">
        <f>COUNTIF(Tabela1[Weightlifting - Men''s 102kg],"&gt;0")</f>
        <v>3</v>
      </c>
      <c r="LO213" s="6">
        <f>COUNTIF(Tabela1[Weightlifting - Men''s +102kg],"&gt;0")</f>
        <v>5</v>
      </c>
      <c r="LP213" s="6">
        <f>COUNTIF(Tabela1[Weightlifting - Women''s 49kg],"&gt;0")</f>
        <v>2</v>
      </c>
      <c r="LQ213" s="6">
        <f>COUNTIF(Tabela1[Weightlifting - Women''s 59kg],"&gt;0")</f>
        <v>3</v>
      </c>
      <c r="LR213" s="6">
        <f>COUNTIF(Tabela1[Weightlifting - Women''s 71kg],"&gt;0")</f>
        <v>4</v>
      </c>
      <c r="LS213" s="6">
        <f>COUNTIF(Tabela1[Weightlifting - Women''s 81kg],"&gt;0")</f>
        <v>2</v>
      </c>
      <c r="LT213" s="6">
        <f>COUNTIF(Tabela1[Weightlifting - Women''s +81kg],"&gt;0")</f>
        <v>2</v>
      </c>
      <c r="LU213" s="6">
        <f>COUNTIF(Tabela1[Wrestling - Men''s Freestyle 57kg],"&gt;0")</f>
        <v>4</v>
      </c>
      <c r="LV213" s="6">
        <f>COUNTIF(Tabela1[Wrestling - Men''s Freestyle 65kg],"&gt;0")</f>
        <v>5</v>
      </c>
      <c r="LW213" s="6">
        <f>COUNTIF(Tabela1[Wrestling - Men''s Freestyle 74kg],"&gt;0")</f>
        <v>4</v>
      </c>
      <c r="LX213" s="6">
        <f>COUNTIF(Tabela1[Wrestling - Men''s Freestyle 86kg],"&gt;0")</f>
        <v>5</v>
      </c>
      <c r="LY213" s="6">
        <f>COUNTIF(Tabela1[Wrestling - Men''s Freestyle 97kg],"&gt;0")</f>
        <v>5</v>
      </c>
      <c r="LZ213" s="6">
        <f>COUNTIF(Tabela1[Wrestling - Men''s Freestyle 125kg],"&gt;0")</f>
        <v>5</v>
      </c>
      <c r="MA213" s="6">
        <f>COUNTIF(Tabela1[Wrestling - Men''s Greco-Roman 60kg],"&gt;0")</f>
        <v>3</v>
      </c>
      <c r="MB213" s="6">
        <f>COUNTIF(Tabela1[Wrestling - Men''s Greco-Roman 67kg],"&gt;0")</f>
        <v>3</v>
      </c>
      <c r="MC213" s="6">
        <f>COUNTIF(Tabela1[Wrestling - Men''s Greco-Roman 77kg],"&gt;0")</f>
        <v>6</v>
      </c>
      <c r="MD213" s="6">
        <f>COUNTIF(Tabela1[Wrestling - Men''s Greco-Roman 87kg],"&gt;0")</f>
        <v>3</v>
      </c>
      <c r="ME213" s="6">
        <f>COUNTIF(Tabela1[Wrestling - Men''s Greco-Roman 97kg],"&gt;0")</f>
        <v>6</v>
      </c>
      <c r="MF213" s="6">
        <f>COUNTIF(Tabela1[Wrestling - Men''s Greco-Roman 130kg],"&gt;0")</f>
        <v>6</v>
      </c>
      <c r="MG213" s="6">
        <f>COUNTIF(Tabela1[Wrestling - Women''s Freestyle 50kg],"&gt;0")</f>
        <v>2</v>
      </c>
      <c r="MH213" s="6">
        <f>COUNTIF(Tabela1[Wrestling - Women''s Freestyle 53kg],"&gt;0")</f>
        <v>2</v>
      </c>
      <c r="MI213" s="6">
        <f>COUNTIF(Tabela1[Wrestling - Women''s Freestyle 57kg],"&gt;0")</f>
        <v>4</v>
      </c>
      <c r="MJ213" s="6">
        <f>COUNTIF(Tabela1[Wrestling - Women''s Freestyle 62kg],"&gt;0")</f>
        <v>3</v>
      </c>
      <c r="MK213" s="6">
        <f>COUNTIF(Tabela1[Wrestling - Women''s Freestyle 68kg],"&gt;0")</f>
        <v>5</v>
      </c>
      <c r="ML213" s="6">
        <f>COUNTIF(Tabela1[Wrestling - Women''s Freestyle 76kg],"&gt;0")</f>
        <v>6</v>
      </c>
      <c r="MM213" s="6">
        <f>COUNTIF(Tabela1[Alpine Skiing - Men''s Downhill],"&gt;0")</f>
        <v>12</v>
      </c>
      <c r="MN213" s="6">
        <f>COUNTIF(Tabela1[Alpine Skiing - Women''s Downhill],"&gt;0")</f>
        <v>10</v>
      </c>
      <c r="MO213" s="6">
        <f>COUNTIF(Tabela1[Alpine Skiing - Men''s Giant Slalom],"&gt;0")</f>
        <v>27</v>
      </c>
      <c r="MP213" s="6">
        <f>COUNTIF(Tabela1[Alpine Skiing - Women''s Giant Slalom],"&gt;0")</f>
        <v>18</v>
      </c>
      <c r="MQ213" s="6">
        <f>COUNTIF(Tabela1[Alpine Skiing - Men''s Slalom],"&gt;0")</f>
        <v>28</v>
      </c>
      <c r="MR213" s="6">
        <f>COUNTIF(Tabela1[Alpine Skiing - Women''s Slalom],"&gt;0")</f>
        <v>22</v>
      </c>
      <c r="MS213" s="6">
        <f>COUNTIF(Tabela1[Alpine Skiing - Men''s Super-G],"&gt;0")</f>
        <v>12</v>
      </c>
      <c r="MT213" s="6">
        <f>COUNTIF(Tabela1[Alpine Skiing - Women''s Super-G],"&gt;0")</f>
        <v>11</v>
      </c>
      <c r="MU213" s="6">
        <f>COUNTIF(Tabela1[Alpine Skiing - Men''s Team Combined],"&gt;0")</f>
        <v>7</v>
      </c>
      <c r="MV213" s="6">
        <f>COUNTIF(Tabela1[Alpine Skiing - Women''s Team Combined],"&gt;0")</f>
        <v>9</v>
      </c>
      <c r="MW213" s="6">
        <f>COUNTIF(Tabela1[Biathlon - Men''s Individual],"&gt;0")</f>
        <v>18</v>
      </c>
      <c r="MX213" s="6">
        <f>COUNTIF(Tabela1[Biathlon - Women''s Individual],"&gt;0")</f>
        <v>17</v>
      </c>
      <c r="MY213" s="6">
        <f>COUNTIF(Tabela1[Biathlon - Men''s Mass Start],"&gt;0")</f>
        <v>7</v>
      </c>
      <c r="MZ213" s="6">
        <f>COUNTIF(Tabela1[Biathlon - Women''s Mass Start],"&gt;0")</f>
        <v>7</v>
      </c>
      <c r="NA213" s="6">
        <f>COUNTIF(Tabela1[Biathlon - Men''s Pursuit],"&gt;0")</f>
        <v>14</v>
      </c>
      <c r="NB213" s="6">
        <f>COUNTIF(Tabela1[Biathlon - Women''s Pursuit],"&gt;0")</f>
        <v>12</v>
      </c>
      <c r="NC213" s="6">
        <f>COUNTIF(Tabela1[Biathlon - Men''s Sprint],"&gt;0")</f>
        <v>19</v>
      </c>
      <c r="ND213" s="6">
        <f>COUNTIF(Tabela1[Biathlon - Women''s Sprint],"&gt;0")</f>
        <v>17</v>
      </c>
      <c r="NE213" s="6">
        <f>COUNTIF(Tabela1[Biathlon - Men''s Relay],"&gt;0")</f>
        <v>16</v>
      </c>
      <c r="NF213" s="6">
        <f>COUNTIF(Tabela1[Biathlon - Women''s Relay],"&gt;0")</f>
        <v>12</v>
      </c>
      <c r="NG213" s="6">
        <f>COUNTIF(Tabela1[Biathlon - Mixed Relay],"&gt;0")</f>
        <v>15</v>
      </c>
      <c r="NH213" s="6">
        <f>COUNTIF(Tabela1[Bobsleigh - Women''s Monobob],"&gt;0")</f>
        <v>4</v>
      </c>
      <c r="NI213" s="6">
        <f>COUNTIF(Tabela1[Bobsleigh - Men''s Two],"&gt;0")</f>
        <v>10</v>
      </c>
      <c r="NJ213" s="6">
        <f>COUNTIF(Tabela1[Bobsleigh - Women''s Two],"&gt;0")</f>
        <v>10</v>
      </c>
      <c r="NK213" s="6">
        <f>COUNTIF(Tabela1[Bobsleigh - Men''s Four],"&gt;0")</f>
        <v>13</v>
      </c>
      <c r="NL213" s="6">
        <f>COUNTIF(Tabela1[Cross-country skiing - Men''s Classical],"&gt;0")</f>
        <v>17</v>
      </c>
      <c r="NM213" s="6">
        <f>COUNTIF(Tabela1[Cross-country skiing - Women''s Classical],"&gt;0")</f>
        <v>11</v>
      </c>
      <c r="NN213" s="6">
        <f>COUNTIF(Tabela1[Cross-country skiing - Men''s Freestyle],"&gt;0")</f>
        <v>28</v>
      </c>
      <c r="NO213" s="6">
        <f>COUNTIF(Tabela1[Cross-country skiing - Women''s Freestyle],"&gt;0")</f>
        <v>20</v>
      </c>
      <c r="NP213" s="6">
        <f>COUNTIF(Tabela1[Cross-country skiing - Men''s Relay],"&gt;0")</f>
        <v>6</v>
      </c>
      <c r="NQ213" s="6">
        <f>COUNTIF(Tabela1[Cross-country skiing - Women''s Relay],"&gt;0")</f>
        <v>15</v>
      </c>
      <c r="NR213" s="6">
        <f>COUNTIF(Tabela1[Cross-country skiing - Men''s Skiathlon],"&gt;0")</f>
        <v>19</v>
      </c>
      <c r="NS213" s="6">
        <f>COUNTIF(Tabela1[Cross-country skiing - Women''s Skiathlon],"&gt;0")</f>
        <v>16</v>
      </c>
      <c r="NT213" s="6">
        <f>COUNTIF(Tabela1[Cross-country skiing - Men''s Sprint],"&gt;0")</f>
        <v>23</v>
      </c>
      <c r="NU213" s="6">
        <f>COUNTIF(Tabela1[Cross-country skiing - Women''s Sprint],"&gt;0")</f>
        <v>18</v>
      </c>
      <c r="NV213" s="6">
        <f>COUNTIF(Tabela1[Cross-country skiing - Men''s Team Sprint],"&gt;0")</f>
        <v>9</v>
      </c>
      <c r="NW213" s="6">
        <f>COUNTIF(Tabela1[Cross-country skiing - Women''s Team Sprint],"&gt;0")</f>
        <v>15</v>
      </c>
      <c r="NX213" s="6">
        <f>COUNTIF(Tabela1[Curling - Men''s Tournament],"&gt;0")</f>
        <v>8</v>
      </c>
      <c r="NY213" s="6">
        <f>COUNTIF(Tabela1[Curling - Women''s Tournament],"&gt;0")</f>
        <v>5</v>
      </c>
      <c r="NZ213" s="6">
        <f>COUNTIF(Tabela1[Curling - Mixed Doubles],"&gt;0")</f>
        <v>5</v>
      </c>
      <c r="OA213" s="6">
        <f>COUNTIF(Tabela1[Figure Skating - Men''s Singles],"&gt;0")</f>
        <v>6</v>
      </c>
      <c r="OB213" s="6">
        <f>COUNTIF(Tabela1[Figure Skating - Women''s Singles],"&gt;0")</f>
        <v>3</v>
      </c>
      <c r="OC213" s="6">
        <f>COUNTIF(Tabela1[Figure Skating - Ice Dance],"&gt;0")</f>
        <v>9</v>
      </c>
      <c r="OD213" s="6">
        <f>COUNTIF(Tabela1[Figure Skating - Pair Skating],"&gt;0")</f>
        <v>4</v>
      </c>
      <c r="OE213" s="6">
        <f>COUNTIF(Tabela1[Figure Skating - Team Event],"&gt;0")</f>
        <v>6</v>
      </c>
      <c r="OF213" s="6">
        <f>COUNTIF(Tabela1[Freestyle Skiing - Men''s Aerials],"&gt;0")</f>
        <v>6</v>
      </c>
      <c r="OG213" s="6">
        <f>COUNTIF(Tabela1[Freestyle Skiing - Women''s Aerials],"&gt;0")</f>
        <v>6</v>
      </c>
      <c r="OH213" s="6">
        <f>COUNTIF(Tabela1[Freestyle Skiing - Mixed Team Aerials],"&gt;0")</f>
        <v>5</v>
      </c>
      <c r="OI213" s="6">
        <f>COUNTIF(Tabela1[Freestyle Skiing - Men''s Big Air],"&gt;0")</f>
        <v>7</v>
      </c>
      <c r="OJ213" s="6">
        <f>COUNTIF(Tabela1[Freestyle Skiing - Women''s Big Air],"&gt;0")</f>
        <v>9</v>
      </c>
      <c r="OK213" s="6">
        <f>COUNTIF(Tabela1[Freestyle Skiing - Men''s Dual Moguls],"&gt;0")</f>
        <v>6</v>
      </c>
      <c r="OL213" s="6">
        <f>COUNTIF(Tabela1[Freestyle Skiing - Women''s Dual Moguls],"&gt;0")</f>
        <v>9</v>
      </c>
      <c r="OM213" s="6">
        <f>COUNTIF(Tabela1[Freestyle Skiing - Men''s Halfpipe],"&gt;0")</f>
        <v>7</v>
      </c>
      <c r="ON213" s="6">
        <f>COUNTIF(Tabela1[Freestyle Skiing - Women''s Halfpipe],"&gt;0")</f>
        <v>6</v>
      </c>
      <c r="OO213" s="6">
        <f>COUNTIF(Tabela1[Freestyle Skiing - Men''s Moguls],"&gt;0")</f>
        <v>6</v>
      </c>
      <c r="OP213" s="6">
        <f>COUNTIF(Tabela1[Freestyle Skiing - Women''s Moguls],"&gt;0")</f>
        <v>9</v>
      </c>
      <c r="OQ213" s="6">
        <f>COUNTIF(Tabela1[Freestyle Skiing - Men''s Ski Cross],"&gt;0")</f>
        <v>7</v>
      </c>
      <c r="OR213" s="6">
        <f>COUNTIF(Tabela1[Freestyle Skiing - Women''s Ski Cross],"&gt;0")</f>
        <v>8</v>
      </c>
      <c r="OS213" s="6">
        <f>COUNTIF(Tabela1[Freestyle Skiing - Men''s Slopestyle],"&gt;0")</f>
        <v>7</v>
      </c>
      <c r="OT213" s="6">
        <f>COUNTIF(Tabela1[Freestyle Skiing - Women''s Slopestyle],"&gt;0")</f>
        <v>9</v>
      </c>
      <c r="OU213" s="6">
        <f>COUNTIF(Tabela1[Ice Hockey - Men''s Tournament],"&gt;0")</f>
        <v>12</v>
      </c>
      <c r="OV213" s="6">
        <f>COUNTIF(Tabela1[Ice Hockey - Women''s Tournament],"&gt;0")</f>
        <v>10</v>
      </c>
      <c r="OW213" s="6">
        <f>COUNTIF(Tabela1[Luge - Men''s Singles],"&gt;0")</f>
        <v>8</v>
      </c>
      <c r="OX213" s="6">
        <f>COUNTIF(Tabela1[Luge - Women''s Singles],"&gt;0")</f>
        <v>7</v>
      </c>
      <c r="OY213" s="6">
        <f>COUNTIF(Tabela1[Luge - Men''s Doubles],"&gt;0")</f>
        <v>8</v>
      </c>
      <c r="OZ213" s="6">
        <f>COUNTIF(Tabela1[Luge - Women''s Doubles],"&gt;0")</f>
        <v>6</v>
      </c>
      <c r="PA213" s="6">
        <f>COUNTIF(Tabela1[Luge - Mixed Team Relay],"&gt;0")</f>
        <v>6</v>
      </c>
      <c r="PB213" s="6">
        <f>COUNTIF(Tabela1[Nordic Combined - Men''s Individual],"&gt;0")</f>
        <v>7</v>
      </c>
      <c r="PC213" s="6">
        <f>COUNTIF(Tabela1[Nordic Combined - Men''s Sprint],"&gt;0")</f>
        <v>7</v>
      </c>
      <c r="PD213" s="6">
        <f>COUNTIF(Tabela1[Nordic Combined - Men''s Team Sprint Large Hill],"&gt;0")</f>
        <v>7</v>
      </c>
      <c r="PE213" s="6">
        <f>COUNTIF(Tabela1[Short track speed skating - Men''s 500m],"&gt;0")</f>
        <v>6</v>
      </c>
      <c r="PF213" s="6">
        <f>COUNTIF(Tabela1[Short track speed skating - Women''s 500m],"&gt;0")</f>
        <v>7</v>
      </c>
      <c r="PG213" s="6">
        <f>COUNTIF(Tabela1[Short track speed skating - Men''s 1000m],"&gt;0")</f>
        <v>6</v>
      </c>
      <c r="PH213" s="6">
        <f>COUNTIF(Tabela1[Short track speed skating - Women''s 1000m],"&gt;0")</f>
        <v>6</v>
      </c>
      <c r="PI213" s="6">
        <f>COUNTIF(Tabela1[Short track speed skating - Men''s 1500m],"&gt;0")</f>
        <v>7</v>
      </c>
      <c r="PJ213" s="6">
        <f>COUNTIF(Tabela1[Short track speed skating - Women''s 1500m],"&gt;0")</f>
        <v>6</v>
      </c>
      <c r="PK213" s="6">
        <f>COUNTIF(Tabela1[Short track speed skating - Men''s 5000m Relay],"&gt;0")</f>
        <v>5</v>
      </c>
      <c r="PL213" s="6">
        <f>COUNTIF(Tabela1[Short track speed skating - Women''s 3000m Relay],"&gt;0")</f>
        <v>4</v>
      </c>
      <c r="PM213" s="6">
        <f>COUNTIF(Tabela1[Short track speed skating - Mixed 2000m Relay],"&gt;0")</f>
        <v>8</v>
      </c>
      <c r="PN213" s="6">
        <f>COUNTIF(Tabela1[Skeleton - Men''s Individual],"&gt;0")</f>
        <v>7</v>
      </c>
      <c r="PO213" s="6">
        <f>COUNTIF(Tabela1[Skeleton - Women''s Individual],"&gt;0")</f>
        <v>5</v>
      </c>
      <c r="PP213" s="6">
        <f>COUNTIF(Tabela1[Skeleton - Mixed Team],"&gt;0")</f>
        <v>5</v>
      </c>
      <c r="PQ213" s="6">
        <f>COUNTIF(Tabela1[Ski Jumping - Men''s Individual Large Hill],"&gt;0")</f>
        <v>7</v>
      </c>
      <c r="PR213" s="6">
        <f>COUNTIF(Tabela1[Ski Jumping - Men''s Individual Normal Hill],"&gt;0")</f>
        <v>7</v>
      </c>
      <c r="PS213" s="6">
        <f>COUNTIF(Tabela1[Ski Jumping - Women''s Individual Large Hill],"&gt;0")</f>
        <v>12</v>
      </c>
      <c r="PT213" s="6">
        <f>COUNTIF(Tabela1[Ski Jumping - Women''s Individual Normal Hill],"&gt;0")</f>
        <v>12</v>
      </c>
      <c r="PU213" s="6">
        <f>COUNTIF(Tabela1[Ski Jumping - Men''s Super Team],"&gt;0")</f>
        <v>4</v>
      </c>
      <c r="PV213" s="6">
        <f>COUNTIF(Tabela1[Ski Jumping - Mixed Team Normal Hill],"&gt;0")</f>
        <v>9</v>
      </c>
      <c r="PW213" s="6">
        <f>COUNTIF(Tabela1[Ski Mountaineering - Men''s Sprint],"&gt;0")</f>
        <v>4</v>
      </c>
      <c r="PX213" s="6">
        <f>COUNTIF(Tabela1[Ski Mountaineering - Women''s Sprint],"&gt;0")</f>
        <v>4</v>
      </c>
      <c r="PY213" s="6">
        <f>COUNTIF(Tabela1[Ski Mountaineering - Mixed Relay],"&gt;0")</f>
        <v>6</v>
      </c>
      <c r="PZ213" s="6">
        <f>COUNTIF(Tabela1[Snowboarding - Men''s Big Air],"&gt;0")</f>
        <v>7</v>
      </c>
      <c r="QA213" s="6">
        <f>COUNTIF(Tabela1[Snowboarding - Women''s Big Air],"&gt;0")</f>
        <v>7</v>
      </c>
      <c r="QB213" s="6">
        <f>COUNTIF(Tabela1[Snowboarding - Men''s Halfpipe],"&gt;0")</f>
        <v>4</v>
      </c>
      <c r="QC213" s="6">
        <f>COUNTIF(Tabela1[Snowboarding - Women''s Halfpipe],"&gt;0")</f>
        <v>5</v>
      </c>
      <c r="QD213" s="6">
        <f>COUNTIF(Tabela1[Snowboarding - Men''s Parallel Giant Slalom],"&gt;0")</f>
        <v>5</v>
      </c>
      <c r="QE213" s="6">
        <f>COUNTIF(Tabela1[Snowboarding - Women''s Parallel Giant Slalom],"&gt;0")</f>
        <v>7</v>
      </c>
      <c r="QF213" s="6">
        <f>COUNTIF(Tabela1[Snowboarding - Men''s Slopestyle],"&gt;0")</f>
        <v>8</v>
      </c>
      <c r="QG213" s="6">
        <f>COUNTIF(Tabela1[Snowboarding - Women''s Slopestyle],"&gt;0")</f>
        <v>7</v>
      </c>
      <c r="QH213" s="6">
        <f>COUNTIF(Tabela1[Snowboarding - Men''s Snowboard Cross],"&gt;0")</f>
        <v>6</v>
      </c>
      <c r="QI213" s="6">
        <f>COUNTIF(Tabela1[Snowboarding - Women''s Snowboard Cross],"&gt;0")</f>
        <v>6</v>
      </c>
      <c r="QJ213" s="6">
        <f>COUNTIF(Tabela1[Snowboarding - Mixed Team Snowboard Cross],"&gt;0")</f>
        <v>6</v>
      </c>
      <c r="QK213" s="6">
        <f>COUNTIF(Tabela1[Speed Skating - Men''s 500m],"&gt;0")</f>
        <v>4</v>
      </c>
      <c r="QL213" s="6">
        <f>COUNTIF(Tabela1[Speed Skating - Women''s 500m],"&gt;0")</f>
        <v>8</v>
      </c>
      <c r="QM213" s="6">
        <f>COUNTIF(Tabela1[Speed Skating - Men''s 1000m],"&gt;0")</f>
        <v>5</v>
      </c>
      <c r="QN213" s="6">
        <f>COUNTIF(Tabela1[Speed Skating - Women''s 1000m],"&gt;0")</f>
        <v>7</v>
      </c>
      <c r="QO213" s="6">
        <f>COUNTIF(Tabela1[Speed Skating - Men''s 1500m],"&gt;0")</f>
        <v>5</v>
      </c>
      <c r="QP213" s="6">
        <f>COUNTIF(Tabela1[Speed Skating - Women''s 1500m],"&gt;0")</f>
        <v>5</v>
      </c>
      <c r="QQ213" s="6">
        <f>COUNTIF(Tabela1[Speed Skating - Women''s 3000m],"&gt;0")</f>
        <v>5</v>
      </c>
      <c r="QR213" s="6">
        <f>COUNTIF(Tabela1[Speed Skating - Men''s 5000m],"&gt;0")</f>
        <v>6</v>
      </c>
      <c r="QS213" s="6">
        <f>COUNTIF(Tabela1[Speed Skating - Women''s 5000m],"&gt;0")</f>
        <v>3</v>
      </c>
      <c r="QT213" s="6">
        <f>COUNTIF(Tabela1[Speed Skating - Men''s 10000m],"&gt;0")</f>
        <v>3</v>
      </c>
      <c r="QU213" s="6">
        <f>COUNTIF(Tabela1[Speed Skating - Men''s Mass Start],"&gt;0")</f>
        <v>7</v>
      </c>
      <c r="QV213" s="6">
        <f>COUNTIF(Tabela1[Speed Skating - Women''s Mass Start],"&gt;0")</f>
        <v>8</v>
      </c>
      <c r="QW213" s="6">
        <f>COUNTIF(Tabela1[Speed Skating - Men''s Team Pursuit],"&gt;0")</f>
        <v>7</v>
      </c>
      <c r="QX213" s="6">
        <f>COUNTIF(Tabela1[Speed Skating - Women''s Team Pursuit],"&gt;0")</f>
        <v>5</v>
      </c>
      <c r="QY213" s="6"/>
      <c r="QZ213" s="6"/>
      <c r="RA213" s="6"/>
      <c r="RB213" s="6"/>
      <c r="RC213" s="6">
        <f>COUNTIF(Tabela1[Speed Skating - Women''s Team Pursuit],"&gt;0")</f>
        <v>5</v>
      </c>
    </row>
  </sheetData>
  <mergeCells count="2">
    <mergeCell ref="B212:E212"/>
    <mergeCell ref="B213:E213"/>
  </mergeCells>
  <phoneticPr fontId="1" type="noConversion"/>
  <hyperlinks>
    <hyperlink ref="QY90" r:id="rId1" xr:uid="{22FC054F-22A1-464E-AD9B-A37FEBB4BA21}"/>
    <hyperlink ref="QY98" r:id="rId2" xr:uid="{427B7EEF-A35A-47BC-AA1B-E567B45E40AD}"/>
    <hyperlink ref="QY107" r:id="rId3" xr:uid="{C71DC176-FCCB-4C98-86EC-BAD97AD6E618}"/>
    <hyperlink ref="QY144" r:id="rId4" xr:uid="{9EA63FBC-57E9-4F9E-BED2-7FC80D4D21F0}"/>
    <hyperlink ref="QY134" r:id="rId5" xr:uid="{F46E7290-7E15-4F7C-ACAC-BD8553B72327}"/>
    <hyperlink ref="QY195" r:id="rId6" xr:uid="{235371E5-CFE3-4ECB-B592-D0CCF930EE57}"/>
    <hyperlink ref="QY126" r:id="rId7" xr:uid="{81C47193-F34B-4637-8EDB-A1711C7369D1}"/>
    <hyperlink ref="QY202" r:id="rId8" xr:uid="{E57FDFD5-A738-44CA-ACD7-130952AF48D0}"/>
    <hyperlink ref="QY207" r:id="rId9" xr:uid="{6E8DF422-45DD-4FF8-88D9-5F1AB069AB27}"/>
    <hyperlink ref="QY148" r:id="rId10" xr:uid="{44F4B99B-5345-4F80-9680-F5DFE833A489}"/>
    <hyperlink ref="QY101" r:id="rId11" xr:uid="{A1493800-8A7E-44D6-BE67-3211F3A63069}"/>
    <hyperlink ref="QY143" r:id="rId12" xr:uid="{6168895D-42D1-4379-A2F0-818961B807B8}"/>
    <hyperlink ref="QY106" r:id="rId13" xr:uid="{F502BB5E-8A20-4C6C-8E40-E9222760F95F}"/>
    <hyperlink ref="QY140" r:id="rId14" xr:uid="{385EA308-3264-47AC-9529-CBBAB0AA5373}"/>
    <hyperlink ref="QY147" r:id="rId15" xr:uid="{746669B8-3D41-4555-988E-0163DA35D154}"/>
    <hyperlink ref="QY194" r:id="rId16" xr:uid="{1C79938F-23C3-4C62-82D0-1D66F5133223}"/>
    <hyperlink ref="QY192" r:id="rId17" xr:uid="{C90B8CD8-5BEB-4D48-8B69-9DA9F36FF086}"/>
    <hyperlink ref="QY189" r:id="rId18" xr:uid="{8578615C-1926-46B5-B94C-0383BBCEC2FE}"/>
    <hyperlink ref="QY188" r:id="rId19" xr:uid="{CF6EF5A3-1D9A-4772-A868-4A3826443C2C}"/>
    <hyperlink ref="QY138" r:id="rId20" xr:uid="{535FE586-D06E-400B-AF45-06343EA2C120}"/>
    <hyperlink ref="QY146" r:id="rId21" xr:uid="{929EE66F-B35E-4548-B84B-A9B6472B5BA8}"/>
    <hyperlink ref="QY77" r:id="rId22" xr:uid="{FCC27551-952B-4183-A630-94FDA9D9C6EA}"/>
    <hyperlink ref="QY154" r:id="rId23" xr:uid="{B5E5EBC2-315C-4A40-BB47-98D366A60865}"/>
    <hyperlink ref="QY74" r:id="rId24" xr:uid="{29B5E9B3-D0D1-4B7A-B602-388A3DF1E9DC}"/>
    <hyperlink ref="QY94" r:id="rId25" xr:uid="{318F636B-26D0-4F09-BE77-9B61A84BA0DE}"/>
    <hyperlink ref="QY156" r:id="rId26" xr:uid="{C63BC2E5-8336-4878-9125-590D51A79201}"/>
    <hyperlink ref="QY178" r:id="rId27" xr:uid="{8A9CAACB-6B7F-4064-859F-8AC503FE19C5}"/>
    <hyperlink ref="QY163" r:id="rId28" xr:uid="{A6A63CB2-E701-46F6-BCF5-73CE070657D0}"/>
    <hyperlink ref="QY64" r:id="rId29" xr:uid="{33B82783-CE16-4812-ADB8-FEE22A7FADF0}"/>
    <hyperlink ref="QY170" r:id="rId30" xr:uid="{F88EF61C-4867-4FE2-90C5-E537FB976F06}"/>
    <hyperlink ref="QY152" r:id="rId31" xr:uid="{253088A6-F12A-481B-84FB-1B39651CD913}"/>
    <hyperlink ref="QY136" r:id="rId32" xr:uid="{52A2B0E0-D8B2-4648-9461-FA40DC6525F1}"/>
    <hyperlink ref="QY58" r:id="rId33" xr:uid="{96C3A4AA-A53B-4B70-9583-7762364C427F}"/>
    <hyperlink ref="QY46" r:id="rId34" xr:uid="{143D4330-92E3-4539-9FDA-596FF5945751}"/>
    <hyperlink ref="QY53" r:id="rId35" xr:uid="{0E9E1702-2781-4631-BA66-B7305C4AD478}"/>
    <hyperlink ref="QY180" r:id="rId36" xr:uid="{7E03B516-BE89-4916-BA90-2E74C525D06F}"/>
    <hyperlink ref="QY100" r:id="rId37" xr:uid="{0F178D86-3CC5-455A-A456-9AA7051F135D}"/>
    <hyperlink ref="QY142" r:id="rId38" xr:uid="{8CE114EC-A0DE-4A08-BE2B-718EBE6A26A4}"/>
    <hyperlink ref="QY141" r:id="rId39" xr:uid="{4E14E8E5-7E39-481E-A8DE-935321D00D05}"/>
    <hyperlink ref="QY75" r:id="rId40" xr:uid="{953DA2EA-8898-446C-8514-8AFB5B650A09}"/>
    <hyperlink ref="QY132" r:id="rId41" xr:uid="{2E734B6F-E2A0-4706-A154-6788807436C8}"/>
    <hyperlink ref="QY185" r:id="rId42" xr:uid="{6A62A28C-1DD7-456B-80AC-9FC6B9F955B8}"/>
    <hyperlink ref="QY183" r:id="rId43" xr:uid="{4CE3B1B3-D3EF-4FF1-ADD9-503E5454C2A7}"/>
    <hyperlink ref="QY182" r:id="rId44" xr:uid="{2E999253-EACC-4B8E-A612-99D48023766F}"/>
    <hyperlink ref="QY67" r:id="rId45" xr:uid="{BE3F6B03-A511-4FF8-997C-4ABC0F790283}"/>
    <hyperlink ref="QY33" r:id="rId46" xr:uid="{75037924-C230-4B01-92BC-20B9035427C1}"/>
    <hyperlink ref="QY128" r:id="rId47" xr:uid="{0DF118FD-9D7B-443F-8B36-40EB5B9312F2}"/>
    <hyperlink ref="QY97" r:id="rId48" xr:uid="{85F3EA3D-A1AC-480D-A74D-176687AA2FA3}"/>
    <hyperlink ref="QY197" r:id="rId49" xr:uid="{ED582E29-5E3F-4D0D-A58C-A081D6F52755}"/>
    <hyperlink ref="QY104" r:id="rId50" xr:uid="{8980FF3D-9D07-4EA0-963C-AC9D89B11B75}"/>
    <hyperlink ref="QY114" r:id="rId51" xr:uid="{DA94F490-976B-40CA-B452-3ECDEA015E04}"/>
    <hyperlink ref="QY54" r:id="rId52" xr:uid="{C636D6E1-258B-457C-AC8A-F7E9E69105FE}"/>
    <hyperlink ref="QY153" r:id="rId53" xr:uid="{82CB33CD-868F-47E1-BD38-905D01B51070}"/>
    <hyperlink ref="QY155" r:id="rId54" xr:uid="{BF754390-83A7-449F-91E5-499A0696F325}"/>
    <hyperlink ref="QY133" r:id="rId55" xr:uid="{705BF911-6AB8-4FC0-BF11-46518AC9EBA6}"/>
    <hyperlink ref="QY176" r:id="rId56" xr:uid="{3CA1C282-F023-4372-BB49-DAAF93868D62}"/>
    <hyperlink ref="QY200" r:id="rId57" xr:uid="{06D3BB05-0F03-44EF-8BAD-EE4BE7504487}"/>
    <hyperlink ref="QY179" r:id="rId58" xr:uid="{C38300EF-D975-4A61-A8B8-6E9C428FB878}"/>
    <hyperlink ref="QY79" r:id="rId59" xr:uid="{EA9D4850-2FC3-45F0-AE5C-DC24FA928E1F}"/>
    <hyperlink ref="QY131" r:id="rId60" xr:uid="{95B49A70-C07C-4D11-9C6C-65D8BFFBFEE2}"/>
    <hyperlink ref="QY113" r:id="rId61" xr:uid="{CB0C4D9A-6B66-48DC-9F41-F88DD71035E9}"/>
    <hyperlink ref="QY137" r:id="rId62" xr:uid="{BD7195D9-0106-4596-9BA4-357A5959A1D1}"/>
    <hyperlink ref="QY171" r:id="rId63" xr:uid="{E4B9E2C5-0712-4674-8843-3901F243E30D}"/>
    <hyperlink ref="QY41" r:id="rId64" xr:uid="{75D26D25-5DDB-451A-B886-6CA59998804A}"/>
    <hyperlink ref="QY173" r:id="rId65" xr:uid="{4209D2C6-412E-4C01-ACCE-121BCB74F303}"/>
    <hyperlink ref="QY172" r:id="rId66" xr:uid="{EE3F32D3-66A6-4DAB-9845-E63692F31434}"/>
    <hyperlink ref="QY123" r:id="rId67" xr:uid="{180970A9-3900-4EAF-91D7-9119C5BD6985}"/>
    <hyperlink ref="QY203" r:id="rId68" xr:uid="{F6C5C9CC-F720-44DC-817C-B579E559611E}"/>
    <hyperlink ref="QY105" r:id="rId69" xr:uid="{2E9D76E7-CB9F-47EC-9BD6-500342261E3F}"/>
    <hyperlink ref="QY130" r:id="rId70" xr:uid="{203D9C0F-859B-4730-ACC9-26E8E42367DB}"/>
    <hyperlink ref="QY187" r:id="rId71" xr:uid="{711CC501-78A7-408B-8884-8B3B2D75C4F7}"/>
    <hyperlink ref="QY86" r:id="rId72" xr:uid="{02A92878-FCF3-4329-A599-C3B58CA54140}"/>
    <hyperlink ref="QY80" r:id="rId73" xr:uid="{C26CD876-8C69-42BA-AB01-BAC75D6826EB}"/>
    <hyperlink ref="QY116" r:id="rId74" xr:uid="{C8622AF6-E3D4-432C-8C68-C1A72AC221B1}"/>
    <hyperlink ref="QY14" r:id="rId75" xr:uid="{32796B5B-78E6-491E-AF0A-328DF0A49F43}"/>
    <hyperlink ref="QY38" r:id="rId76" xr:uid="{5CE6BDCF-C4A0-4C68-9288-A1341991EE12}"/>
    <hyperlink ref="QY22" r:id="rId77" xr:uid="{004DEA02-ACE7-4B52-9B0D-09556F67931C}"/>
    <hyperlink ref="QY30" r:id="rId78" xr:uid="{A6308A7B-B8ED-4E1B-BB1C-591D307AC7F4}"/>
    <hyperlink ref="QY205" r:id="rId79" xr:uid="{D5E8B6A7-E28B-4EA7-BC0C-9E06415213D5}"/>
    <hyperlink ref="QY103" r:id="rId80" xr:uid="{77F30E13-625C-40EA-A8AA-AE45D9B58252}"/>
    <hyperlink ref="QY95" r:id="rId81" xr:uid="{77A3E5BB-ADDC-4372-823B-D863D1EBC7A9}"/>
    <hyperlink ref="QY139" r:id="rId82" xr:uid="{2645A76A-A930-42CB-B4FB-2509C50496DD}"/>
    <hyperlink ref="QY129" r:id="rId83" xr:uid="{1AB85BED-0A15-4B83-B7F5-673928236A2E}"/>
    <hyperlink ref="QY99" r:id="rId84" xr:uid="{A64A19B3-3E85-47E5-BF84-51A15DC583DA}"/>
    <hyperlink ref="QY127" r:id="rId85" xr:uid="{5DFBD47E-BB30-4715-8E55-FC0B287E082A}"/>
    <hyperlink ref="QY76" r:id="rId86" xr:uid="{217EF28E-1B2C-4FBD-B205-18AC8A5B081B}"/>
    <hyperlink ref="QY102" r:id="rId87" xr:uid="{A1906298-4B87-4B99-826C-E18188BD1BD5}"/>
    <hyperlink ref="QY118" r:id="rId88" xr:uid="{F29F664A-42AC-493F-9E06-BC10C705CEEB}"/>
    <hyperlink ref="QY150" r:id="rId89" xr:uid="{10D848D9-3EFD-481A-BF82-9973655C2629}"/>
    <hyperlink ref="QY66" r:id="rId90" xr:uid="{60D44647-300F-43D2-BB24-AF20C11AFC15}"/>
    <hyperlink ref="QY174" r:id="rId91" xr:uid="{D871A376-7B1B-4ADD-BC01-66CAA2EA2920}"/>
    <hyperlink ref="QY164" r:id="rId92" xr:uid="{485FEC4C-2A20-4AFD-8D0A-35A788E42BC9}"/>
    <hyperlink ref="QY119" r:id="rId93" xr:uid="{F0ADC09E-2ECC-4268-A71C-1E26A0D91B04}"/>
    <hyperlink ref="QY85" r:id="rId94" xr:uid="{DA9F762F-2C81-4942-A963-DD74CC87270F}"/>
    <hyperlink ref="QY73" r:id="rId95" xr:uid="{6526EE68-F2E3-40E3-9FD0-2A671A03A06D}"/>
    <hyperlink ref="QY39" r:id="rId96" xr:uid="{55AE626C-07C5-4E8C-BDDC-4342893D8815}"/>
    <hyperlink ref="QY52" r:id="rId97" xr:uid="{EB06F0CA-402A-4E98-9590-DC57147C9D35}"/>
    <hyperlink ref="QY62" r:id="rId98" xr:uid="{BEC35207-9506-435A-B7BA-FA49CEA486BC}"/>
    <hyperlink ref="QY175" r:id="rId99" xr:uid="{54BD369B-33D1-457C-80B8-3D12AC231C21}"/>
    <hyperlink ref="QY60" r:id="rId100" xr:uid="{E4143BF9-3CFB-460B-ACFD-13C411F31AA9}"/>
    <hyperlink ref="QY161" r:id="rId101" xr:uid="{B32306DC-19D0-4307-AC79-5284DA2D170C}"/>
    <hyperlink ref="QY84" r:id="rId102" xr:uid="{638A7108-14DE-452A-8E16-4DD91278A573}"/>
    <hyperlink ref="QY93" r:id="rId103" xr:uid="{38113A7D-FC98-48D4-9B2D-D90AE7F5671B}"/>
    <hyperlink ref="QY191" r:id="rId104" xr:uid="{ECFBB0B0-56E0-40DA-B611-1F7D05B879A8}"/>
    <hyperlink ref="QY109" r:id="rId105" xr:uid="{11A31C9C-DA91-4909-9C85-286A6B68E495}"/>
    <hyperlink ref="QY69" r:id="rId106" xr:uid="{EABFCE5E-A158-4C33-85BE-7B82E850522D}"/>
    <hyperlink ref="QY151" r:id="rId107" xr:uid="{C83F97F9-F75A-47F3-B3F7-7865B907F14E}"/>
    <hyperlink ref="QY168" r:id="rId108" xr:uid="{0FD9CCD2-7BC0-4EB1-9112-833A64E20230}"/>
    <hyperlink ref="QY193" r:id="rId109" xr:uid="{102F9B15-388E-4A7E-B430-DE01F36269AB}"/>
    <hyperlink ref="QY157" r:id="rId110" xr:uid="{CD35693E-700F-4074-A3A5-28E2F9BE15D5}"/>
    <hyperlink ref="QY145" r:id="rId111" xr:uid="{70F2B06B-375B-4827-BA4B-8D3591F3C208}"/>
    <hyperlink ref="QY162" r:id="rId112" xr:uid="{C5661D39-1372-4F95-9100-5367902F1EF8}"/>
    <hyperlink ref="QY206" r:id="rId113" xr:uid="{367AE3D7-3339-48C7-B436-7DC8EE61D58B}"/>
    <hyperlink ref="QY27" r:id="rId114" xr:uid="{335D00E7-B44C-4D16-9946-E7F3FFD9EA30}"/>
    <hyperlink ref="QY158" r:id="rId115" xr:uid="{623F8829-036D-4F03-A4AF-52A79D9CDCD7}"/>
    <hyperlink ref="QY70" r:id="rId116" xr:uid="{D470C19D-04E0-4EF5-8372-3D52A7F3533E}"/>
    <hyperlink ref="QY47" r:id="rId117" xr:uid="{A4F02910-8BAC-4F08-8C0C-4FEEC665E8C2}"/>
    <hyperlink ref="QY82" r:id="rId118" xr:uid="{CFBD1C60-96F5-460B-848B-4EB3DACBBABF}"/>
    <hyperlink ref="QY115" r:id="rId119" xr:uid="{79E1A546-CD6A-486E-A33C-13A36E46E34B}"/>
    <hyperlink ref="QY199" r:id="rId120" xr:uid="{B6B00ACC-49E8-4CAC-BA1A-E8063EF93641}"/>
    <hyperlink ref="QY198" r:id="rId121" xr:uid="{B488A53E-09EE-4CB3-BD9D-16D7F96E2D47}"/>
    <hyperlink ref="QY122" r:id="rId122" xr:uid="{9D985AB2-D425-4766-A6AB-12D0EF38A6DB}"/>
    <hyperlink ref="QY31" r:id="rId123" xr:uid="{B2646F9B-C9D8-47F8-853B-52D6728AD885}"/>
    <hyperlink ref="QY89" r:id="rId124" xr:uid="{9942A0D4-4F00-4E7F-8416-F0F62252DDDC}"/>
    <hyperlink ref="QY87" r:id="rId125" xr:uid="{5C2AD95E-03B6-455B-9B3B-842E20C4B40B}"/>
    <hyperlink ref="QY34" r:id="rId126" xr:uid="{3F3676CB-E428-4A8E-9E29-B7FFCAAB6585}"/>
    <hyperlink ref="QY169" r:id="rId127" xr:uid="{BCECEB7B-E4DE-4C03-84E6-793CD85137FD}"/>
    <hyperlink ref="QY81" r:id="rId128" xr:uid="{92B6EB96-5A6F-4E90-BD84-B22864CD74F2}"/>
    <hyperlink ref="QY108" r:id="rId129" xr:uid="{2E6048DE-890D-4131-A32D-C71B328CA87A}"/>
    <hyperlink ref="QY91" r:id="rId130" xr:uid="{FB1E0CAB-D6D6-4DFF-83F1-54322AB7F4E3}"/>
    <hyperlink ref="QY42" r:id="rId131" xr:uid="{6EED71B7-ED53-4185-B412-25C1461076EF}"/>
    <hyperlink ref="QY159" r:id="rId132" xr:uid="{31B1E84A-64B2-4DF0-A989-B16E7AA08343}"/>
    <hyperlink ref="QY117" r:id="rId133" xr:uid="{41A3D30A-B44D-412C-A459-C0663817E757}"/>
    <hyperlink ref="QY71" r:id="rId134" xr:uid="{3D14C416-6277-470C-A612-966D7D8246E5}"/>
    <hyperlink ref="QY12" r:id="rId135" xr:uid="{A3F6B1D9-D712-4CC9-A1CA-5A5C8126D5E7}"/>
    <hyperlink ref="QY96" r:id="rId136" xr:uid="{B6FCABA2-1FE4-4C34-A1A1-E23EA657F72A}"/>
    <hyperlink ref="QY45" r:id="rId137" xr:uid="{15972666-4FDD-464D-91FE-CF5381E845FD}"/>
    <hyperlink ref="QY18" r:id="rId138" xr:uid="{E9C2CB9D-8940-4221-8502-7AFD473A2BAA}"/>
    <hyperlink ref="QY40" r:id="rId139" xr:uid="{BEA355AE-DB56-412D-A2AB-806C58687140}"/>
    <hyperlink ref="QY51" r:id="rId140" xr:uid="{056155D9-295A-493E-BFEA-A8B0474CBE3F}"/>
    <hyperlink ref="QY78" r:id="rId141" xr:uid="{D63E75C0-E309-4C18-ADC7-372022C7BCE7}"/>
    <hyperlink ref="QY57" r:id="rId142" xr:uid="{AF22B688-6BEA-49C4-87A2-55E32C56749C}"/>
    <hyperlink ref="QY83" r:id="rId143" xr:uid="{3E7C9D3F-F3D2-4D22-AFB7-7B86A6CCBF33}"/>
    <hyperlink ref="QY32" r:id="rId144" xr:uid="{F561778F-226A-4C69-BBBF-E3983778C885}"/>
    <hyperlink ref="QY160" r:id="rId145" xr:uid="{3C516C51-2218-4DCA-A134-476FF017D9FE}"/>
    <hyperlink ref="QY15" r:id="rId146" xr:uid="{32A8421B-5A0A-4667-95D8-0C1111EA211E}"/>
    <hyperlink ref="QY36" r:id="rId147" xr:uid="{63C5CEF0-DADC-461D-8CDA-5F513C0C468E}"/>
    <hyperlink ref="QY181" r:id="rId148" xr:uid="{0C2C1FFC-43D1-43EA-9F6D-F17678263E61}"/>
    <hyperlink ref="QY166" r:id="rId149" xr:uid="{F3C84EF6-1A3A-4733-BBF6-2488246DEB82}"/>
    <hyperlink ref="QY124" r:id="rId150" xr:uid="{E793BD82-DF60-4BD3-8154-6BE0AB8DDE20}"/>
    <hyperlink ref="QY92" r:id="rId151" xr:uid="{4117C36F-3A14-478E-9DDC-8C8000FE3246}"/>
    <hyperlink ref="QY208" r:id="rId152" xr:uid="{B427F83E-A846-4943-A09F-018DE75776D1}"/>
    <hyperlink ref="QY201" r:id="rId153" xr:uid="{4FA7B77E-47EE-477F-987D-BE321212B6EB}"/>
    <hyperlink ref="QY110" r:id="rId154" xr:uid="{75619B97-D081-4FFC-B397-0B18DA8E881B}"/>
    <hyperlink ref="QY190" r:id="rId155" xr:uid="{3706096E-02D0-4DB0-A1F4-8154D1D14EAC}"/>
    <hyperlink ref="QY196" r:id="rId156" xr:uid="{D3771778-0DE3-45F1-A940-5B941F1A7BEE}"/>
    <hyperlink ref="QY88" r:id="rId157" xr:uid="{7192AE30-AD54-4493-ADAC-4995F47E4499}"/>
    <hyperlink ref="QY120" r:id="rId158" xr:uid="{94037EE9-4450-475B-8DF5-06A4C1FF07EE}"/>
    <hyperlink ref="QY184" r:id="rId159" xr:uid="{C4250378-09E0-4C01-A8C7-44E86727AE58}"/>
    <hyperlink ref="QY149" r:id="rId160" xr:uid="{CD0E1D9E-F897-4511-B217-7FD77A327812}"/>
    <hyperlink ref="QY63" r:id="rId161" xr:uid="{29A3132D-B702-4366-9615-57A846DF54FB}"/>
    <hyperlink ref="QY50" r:id="rId162" xr:uid="{FB6918F4-62F9-403E-942F-D10031697F12}"/>
    <hyperlink ref="QY24" r:id="rId163" xr:uid="{947F2A96-730C-46DF-90F3-858474C9CA54}"/>
    <hyperlink ref="QY68" r:id="rId164" xr:uid="{26B698BE-BF26-43F6-9BB6-6E0055715C56}"/>
    <hyperlink ref="QY49" r:id="rId165" xr:uid="{5F4A0D9B-33AC-40EC-B224-33EC15838B79}"/>
    <hyperlink ref="QY35" r:id="rId166" xr:uid="{81238BFD-8C78-4683-A9D8-58260EBFB675}"/>
    <hyperlink ref="QY121" r:id="rId167" xr:uid="{B1CEC632-49C4-4DCF-AAF8-8573CA5F405F}"/>
    <hyperlink ref="QY186" r:id="rId168" xr:uid="{8C66089A-F3A6-4BFA-BE74-EFC1EAD96A2A}"/>
    <hyperlink ref="QY111" r:id="rId169" xr:uid="{C4694F59-F800-44A0-B6EC-29D69462099F}"/>
    <hyperlink ref="QY25" r:id="rId170" xr:uid="{0A531A9D-6F93-4221-AB64-ED5A21838497}"/>
    <hyperlink ref="QY112" r:id="rId171" xr:uid="{1E00044F-4FFF-44AA-BC84-571B7F1D1AAE}"/>
    <hyperlink ref="QY13" r:id="rId172" xr:uid="{91866676-0A3E-451F-89FC-28633A9FA665}"/>
    <hyperlink ref="QY56" r:id="rId173" xr:uid="{F88035C5-F714-4EF3-9BB7-6D64EEE229B7}"/>
    <hyperlink ref="QY55" r:id="rId174" xr:uid="{85B8575C-7209-4CC2-8565-F3B7524157AF}"/>
    <hyperlink ref="QY61" r:id="rId175" xr:uid="{9ACEFA1D-CA84-4AA0-972E-823DDE6067C0}"/>
    <hyperlink ref="QY65" r:id="rId176" xr:uid="{DDD66206-C303-4891-AEA8-A36950406726}"/>
    <hyperlink ref="QY28" r:id="rId177" xr:uid="{F5F00374-00F7-4467-AECD-4012768758BE}"/>
    <hyperlink ref="QY48" r:id="rId178" xr:uid="{B07D5225-6E3D-4C43-9E6B-70C314E34E78}"/>
    <hyperlink ref="QY135" r:id="rId179" xr:uid="{87F0052C-092C-4732-B3D2-30B1D084A7B5}"/>
    <hyperlink ref="QY167" r:id="rId180" xr:uid="{9250BAA4-1F02-432E-9DC8-679670A12B52}"/>
    <hyperlink ref="QY165" r:id="rId181" xr:uid="{A89088B6-3F3B-4A0F-B79C-0A3E0BE35675}"/>
    <hyperlink ref="QY125" r:id="rId182" xr:uid="{5941C77D-CBA3-475C-9830-E1A8917D2445}"/>
    <hyperlink ref="QY6" r:id="rId183" xr:uid="{FF119BFD-7134-42BC-937C-158B2071F688}"/>
    <hyperlink ref="QY26" r:id="rId184" xr:uid="{10F7A951-A573-4116-A412-295D1AF0DFAD}"/>
    <hyperlink ref="QY9" r:id="rId185" xr:uid="{A4AD9547-D3A1-4361-B4A2-9746EDE93832}"/>
    <hyperlink ref="QY43" r:id="rId186" xr:uid="{4BE9B3F5-37C6-4D7E-89FC-39D289B81C68}"/>
    <hyperlink ref="QY17" r:id="rId187" xr:uid="{836DF5ED-C6F3-4058-9169-C1B50E8E64F0}"/>
    <hyperlink ref="QY3" r:id="rId188" xr:uid="{37941C4F-AE50-4F92-BCC9-CB86C921949C}"/>
    <hyperlink ref="QY59" r:id="rId189" xr:uid="{D247721D-80C6-4602-970D-9BE597207979}"/>
    <hyperlink ref="QY5" r:id="rId190" xr:uid="{F875D6CD-C3F0-46AD-8528-F244B6A7FBBE}"/>
    <hyperlink ref="QY16" r:id="rId191" xr:uid="{4BE16BD7-933C-4817-BDF2-1F6BAF46A185}"/>
    <hyperlink ref="QY10" r:id="rId192" xr:uid="{DCE0149B-7BCE-4133-A017-753ABCD5DCF4}"/>
    <hyperlink ref="QY204" r:id="rId193" xr:uid="{408496DD-5A7A-4C12-AE12-1E4B28A1CB7A}"/>
    <hyperlink ref="QY4" r:id="rId194" xr:uid="{50BCEEA0-7C5D-4469-9AB4-B0A5113DF80B}"/>
    <hyperlink ref="QY20" r:id="rId195" xr:uid="{612C6CB3-9DD8-4494-A3B9-062591CD64A9}"/>
    <hyperlink ref="QY29" r:id="rId196" xr:uid="{AC116DB6-3A52-4F70-AD4A-3205E8E40D24}"/>
    <hyperlink ref="QY21" r:id="rId197" xr:uid="{7E935B5D-B48D-47D4-8274-E418B03E4A67}"/>
    <hyperlink ref="QY37" r:id="rId198" xr:uid="{C4609C0B-FCC3-4E30-9CA4-8F48A881A5B6}"/>
    <hyperlink ref="QY2" r:id="rId199" xr:uid="{49881C3D-80FB-47CD-8892-9546CD1B7E88}"/>
    <hyperlink ref="QY11" r:id="rId200" xr:uid="{E3325D8C-347B-4CAC-923D-8F2E1FD5FEBB}"/>
    <hyperlink ref="QY44" r:id="rId201" xr:uid="{2890B083-22FB-4556-BE39-F7A52E34CA86}"/>
    <hyperlink ref="QY7" r:id="rId202" xr:uid="{DE716B88-DD14-40E6-9E64-F1F06974E41F}"/>
    <hyperlink ref="QY19" r:id="rId203" xr:uid="{D8CE9E4D-44DC-466C-A292-C6336B147928}"/>
    <hyperlink ref="QY23" r:id="rId204" xr:uid="{7FAEDD00-06BE-4295-81F1-601BE4D6C7D6}"/>
    <hyperlink ref="QY177" r:id="rId205" xr:uid="{C1E294E8-C33D-472A-9FF6-2547CFACE449}"/>
    <hyperlink ref="QY8" r:id="rId206" xr:uid="{A7EB3FF6-02B4-40F9-A6F8-41B8EB0F988B}"/>
    <hyperlink ref="QY72" r:id="rId207" xr:uid="{C905A75B-04FD-4185-A26C-0D951DD741D1}"/>
  </hyperlinks>
  <pageMargins left="0.7" right="0.7" top="0.75" bottom="0.75" header="0.3" footer="0.3"/>
  <tableParts count="1">
    <tablePart r:id="rId20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4C64E-A043-4BB1-AEEE-D7229590BD26}">
  <dimension ref="A1:L451"/>
  <sheetViews>
    <sheetView tabSelected="1" topLeftCell="A439" zoomScaleNormal="100" workbookViewId="0">
      <selection activeCell="F446" sqref="F446"/>
    </sheetView>
  </sheetViews>
  <sheetFormatPr defaultRowHeight="14.4" x14ac:dyDescent="0.3"/>
  <cols>
    <col min="1" max="1" width="47.77734375" bestFit="1" customWidth="1"/>
    <col min="2" max="2" width="17.44140625" bestFit="1" customWidth="1"/>
    <col min="3" max="3" width="8.33203125" bestFit="1" customWidth="1"/>
    <col min="4" max="4" width="16.109375" bestFit="1" customWidth="1"/>
    <col min="5" max="5" width="19.6640625" bestFit="1" customWidth="1"/>
    <col min="6" max="6" width="19.6640625" customWidth="1"/>
    <col min="7" max="7" width="29.88671875" bestFit="1" customWidth="1"/>
    <col min="8" max="10" width="8.88671875" customWidth="1"/>
  </cols>
  <sheetData>
    <row r="1" spans="1:12" x14ac:dyDescent="0.3">
      <c r="A1" t="s">
        <v>741</v>
      </c>
      <c r="B1" t="s">
        <v>742</v>
      </c>
      <c r="C1" t="s">
        <v>743</v>
      </c>
      <c r="D1" t="s">
        <v>744</v>
      </c>
      <c r="E1" t="s">
        <v>745</v>
      </c>
      <c r="G1" s="8" t="s">
        <v>746</v>
      </c>
      <c r="H1" s="6">
        <f>SUMIFS(Table2[Quotas Avaliable],Table2[Event],"*Archery*")</f>
        <v>179</v>
      </c>
      <c r="I1" s="6">
        <f>SUMIFS(Table2[Quotas Missing],Table2[Event],"*Archery*")</f>
        <v>101</v>
      </c>
      <c r="J1" s="7">
        <f>(H1-I1)/H1</f>
        <v>0.43575418994413406</v>
      </c>
      <c r="K1" s="6"/>
      <c r="L1" s="6"/>
    </row>
    <row r="2" spans="1:12" x14ac:dyDescent="0.3">
      <c r="A2" s="6" t="s">
        <v>21</v>
      </c>
      <c r="B2" s="6">
        <v>102</v>
      </c>
      <c r="C2" s="6" t="str" cm="1">
        <f t="array" ref="C2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" s="6" cm="1">
        <f t="array" ref="D2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88</v>
      </c>
      <c r="E2" s="7">
        <f>Table2[[#This Row],[Quotas Missing]]/Table2[[#This Row],[Quotas Avaliable]]</f>
        <v>0.86274509803921573</v>
      </c>
      <c r="F2" s="6"/>
      <c r="G2" s="8" t="s">
        <v>747</v>
      </c>
      <c r="H2" s="6">
        <f>SUMIFS(Table2[Quotas Avaliable],Table2[Event],"*Artistic Swimming*")</f>
        <v>27</v>
      </c>
      <c r="I2" s="6">
        <f>SUMIFS(Table2[Quotas Missing],Table2[Event],"*Artistic Swimming*")</f>
        <v>11</v>
      </c>
      <c r="J2" s="7">
        <f>(H2-I2)/H2</f>
        <v>0.59259259259259256</v>
      </c>
      <c r="K2" s="6"/>
      <c r="L2" s="6"/>
    </row>
    <row r="3" spans="1:12" x14ac:dyDescent="0.3">
      <c r="A3" s="6" t="s">
        <v>792</v>
      </c>
      <c r="B3" s="6">
        <v>113</v>
      </c>
      <c r="C3" s="6" t="str" cm="1">
        <f t="array" ref="C3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" s="6" cm="1">
        <f t="array" ref="D3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78</v>
      </c>
      <c r="E3" s="7">
        <f>Table2[[#This Row],[Quotas Missing]]/Table2[[#This Row],[Quotas Avaliable]]</f>
        <v>0.69026548672566368</v>
      </c>
      <c r="F3" s="6"/>
      <c r="G3" s="8" t="s">
        <v>749</v>
      </c>
      <c r="H3" s="6">
        <f>SUMIFS(Table2[Quotas Avaliable],Table2[Event],"*Athletics*")</f>
        <v>1842</v>
      </c>
      <c r="I3" s="6">
        <f>SUMIFS(Table2[Quotas Missing],Table2[Event],"*Athletics*")</f>
        <v>1259</v>
      </c>
      <c r="J3" s="7">
        <f>(H3-I3)/H3</f>
        <v>0.31650380021715524</v>
      </c>
      <c r="K3" s="6"/>
      <c r="L3" s="6"/>
    </row>
    <row r="4" spans="1:12" x14ac:dyDescent="0.3">
      <c r="A4" s="6" t="s">
        <v>789</v>
      </c>
      <c r="B4" s="6">
        <v>111</v>
      </c>
      <c r="C4" s="6" t="str" cm="1">
        <f t="array" ref="C4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4" s="6" cm="1">
        <f t="array" ref="D4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74</v>
      </c>
      <c r="E4" s="7">
        <f>Table2[[#This Row],[Quotas Missing]]/Table2[[#This Row],[Quotas Avaliable]]</f>
        <v>0.66666666666666663</v>
      </c>
      <c r="F4" s="6"/>
      <c r="G4" s="8" t="s">
        <v>751</v>
      </c>
      <c r="H4" s="6">
        <f>SUMIFS(Table2[Quotas Avaliable],Table2[Event],"*Badminton*")</f>
        <v>128</v>
      </c>
      <c r="I4" s="6">
        <f>SUMIFS(Table2[Quotas Missing],Table2[Event],"*Badminton*")</f>
        <v>88</v>
      </c>
      <c r="J4" s="7">
        <f t="shared" ref="J4:J6" si="0">(H4-I4)/H4</f>
        <v>0.3125</v>
      </c>
      <c r="K4" s="6"/>
      <c r="L4" s="6"/>
    </row>
    <row r="5" spans="1:12" x14ac:dyDescent="0.3">
      <c r="A5" s="6" t="s">
        <v>22</v>
      </c>
      <c r="B5" s="6">
        <v>91</v>
      </c>
      <c r="C5" s="6" t="str" cm="1">
        <f t="array" ref="C5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5" s="6" cm="1">
        <f t="array" ref="D5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73</v>
      </c>
      <c r="E5" s="7">
        <f>Table2[[#This Row],[Quotas Missing]]/Table2[[#This Row],[Quotas Avaliable]]</f>
        <v>0.80219780219780223</v>
      </c>
      <c r="F5" s="6"/>
      <c r="G5" s="8" t="s">
        <v>752</v>
      </c>
      <c r="H5" s="6">
        <f>SUMIFS(Table2[Quotas Avaliable],Table2[Event],"*Basketball*")-H6</f>
        <v>24</v>
      </c>
      <c r="I5" s="6">
        <f>SUMIFS(Table2[Quotas Missing],Table2[Event],"*Basketball*")-I6</f>
        <v>2</v>
      </c>
      <c r="J5" s="7">
        <f t="shared" si="0"/>
        <v>0.91666666666666663</v>
      </c>
      <c r="K5" s="6"/>
      <c r="L5" s="6"/>
    </row>
    <row r="6" spans="1:12" x14ac:dyDescent="0.3">
      <c r="A6" s="6" t="s">
        <v>40</v>
      </c>
      <c r="B6" s="6">
        <v>91</v>
      </c>
      <c r="C6" s="6" t="str" cm="1">
        <f t="array" ref="C6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6" s="6" cm="1">
        <f t="array" ref="D6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65</v>
      </c>
      <c r="E6" s="7">
        <f>Table2[[#This Row],[Quotas Missing]]/Table2[[#This Row],[Quotas Avaliable]]</f>
        <v>0.7142857142857143</v>
      </c>
      <c r="F6" s="6"/>
      <c r="G6" s="8" t="s">
        <v>753</v>
      </c>
      <c r="H6" s="6">
        <f>SUMIFS(Table2[Quotas Avaliable],Table2[Event],"*3x3 Basketball*")</f>
        <v>16</v>
      </c>
      <c r="I6" s="6">
        <f>SUMIFS(Table2[Quotas Missing],Table2[Event],"*3x3 Basketball*")</f>
        <v>6</v>
      </c>
      <c r="J6" s="7">
        <f t="shared" si="0"/>
        <v>0.625</v>
      </c>
      <c r="K6" s="6"/>
      <c r="L6" s="6"/>
    </row>
    <row r="7" spans="1:12" x14ac:dyDescent="0.3">
      <c r="A7" s="6" t="s">
        <v>1193</v>
      </c>
      <c r="B7" s="6">
        <v>94</v>
      </c>
      <c r="C7" s="6" t="str" cm="1">
        <f t="array" ref="C7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7" s="6" cm="1">
        <f t="array" ref="D7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65</v>
      </c>
      <c r="E7" s="7">
        <f>Table2[[#This Row],[Quotas Missing]]/Table2[[#This Row],[Quotas Avaliable]]</f>
        <v>0.69148936170212771</v>
      </c>
      <c r="F7" s="6"/>
      <c r="G7" s="8" t="s">
        <v>754</v>
      </c>
      <c r="H7" s="6">
        <f>SUMIFS(Table2[Quotas Avaliable],Table2[Event],"*Breaking*")</f>
        <v>33</v>
      </c>
      <c r="I7" s="6">
        <f>SUMIFS(Table2[Quotas Missing],Table2[Event],"*Breaking*")</f>
        <v>25</v>
      </c>
      <c r="J7" s="7">
        <f t="shared" ref="J7:J36" si="1">(H7-I7)/H7</f>
        <v>0.24242424242424243</v>
      </c>
      <c r="K7" s="6"/>
      <c r="L7" s="6"/>
    </row>
    <row r="8" spans="1:12" x14ac:dyDescent="0.3">
      <c r="A8" s="6" t="s">
        <v>249</v>
      </c>
      <c r="B8" s="6">
        <v>95</v>
      </c>
      <c r="C8" s="6" t="str" cm="1">
        <f t="array" ref="C8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8" s="6" cm="1">
        <f t="array" ref="D8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63</v>
      </c>
      <c r="E8" s="7">
        <f>Table2[[#This Row],[Quotas Missing]]/Table2[[#This Row],[Quotas Avaliable]]</f>
        <v>0.66315789473684206</v>
      </c>
      <c r="F8" s="6"/>
      <c r="G8" s="8" t="s">
        <v>755</v>
      </c>
      <c r="H8" s="6">
        <f>SUMIFS(Table2[Quotas Avaliable],Table2[Event],"*Boxing*")</f>
        <v>246</v>
      </c>
      <c r="I8" s="6">
        <f>SUMIFS(Table2[Quotas Missing],Table2[Event],"*Boxing*")</f>
        <v>156</v>
      </c>
      <c r="J8" s="7">
        <f t="shared" si="1"/>
        <v>0.36585365853658536</v>
      </c>
      <c r="K8" s="6"/>
      <c r="L8" s="6"/>
    </row>
    <row r="9" spans="1:12" x14ac:dyDescent="0.3">
      <c r="A9" s="6" t="s">
        <v>248</v>
      </c>
      <c r="B9" s="6">
        <v>95</v>
      </c>
      <c r="C9" s="6" t="str" cm="1">
        <f t="array" ref="C9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9" s="6" cm="1">
        <f t="array" ref="D9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62</v>
      </c>
      <c r="E9" s="7">
        <f>Table2[[#This Row],[Quotas Missing]]/Table2[[#This Row],[Quotas Avaliable]]</f>
        <v>0.65263157894736845</v>
      </c>
      <c r="F9" s="6"/>
      <c r="G9" s="8" t="s">
        <v>756</v>
      </c>
      <c r="H9" s="6">
        <f>SUMIFS(Table2[Quotas Avaliable],Table2[Event],"*Canoeing*")</f>
        <v>379</v>
      </c>
      <c r="I9" s="6">
        <f>SUMIFS(Table2[Quotas Missing],Table2[Event],"*Canoeing*")</f>
        <v>261</v>
      </c>
      <c r="J9" s="7">
        <f t="shared" si="1"/>
        <v>0.31134564643799473</v>
      </c>
      <c r="K9" s="6"/>
      <c r="L9" s="6"/>
    </row>
    <row r="10" spans="1:12" x14ac:dyDescent="0.3">
      <c r="A10" s="6" t="s">
        <v>253</v>
      </c>
      <c r="B10" s="6">
        <v>90</v>
      </c>
      <c r="C10" s="6" t="str" cm="1">
        <f t="array" ref="C10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0" s="6" cm="1">
        <f t="array" ref="D10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62</v>
      </c>
      <c r="E10" s="7">
        <f>Table2[[#This Row],[Quotas Missing]]/Table2[[#This Row],[Quotas Avaliable]]</f>
        <v>0.68888888888888888</v>
      </c>
      <c r="F10" s="6"/>
      <c r="G10" s="8" t="s">
        <v>757</v>
      </c>
      <c r="H10" s="6">
        <f>SUMIFS(Table2[Quotas Avaliable],Table2[Event],"*BMX*")</f>
        <v>72</v>
      </c>
      <c r="I10" s="6">
        <f>SUMIFS(Table2[Quotas Missing],Table2[Event],"*BMX*")</f>
        <v>46</v>
      </c>
      <c r="J10" s="7">
        <f t="shared" si="1"/>
        <v>0.3611111111111111</v>
      </c>
      <c r="K10" s="6"/>
      <c r="L10" s="6"/>
    </row>
    <row r="11" spans="1:12" x14ac:dyDescent="0.3">
      <c r="A11" s="6" t="s">
        <v>261</v>
      </c>
      <c r="B11" s="6">
        <v>91</v>
      </c>
      <c r="C11" s="6" t="str" cm="1">
        <f t="array" ref="C11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1" s="6" cm="1">
        <f t="array" ref="D11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62</v>
      </c>
      <c r="E11" s="7">
        <f>Table2[[#This Row],[Quotas Missing]]/Table2[[#This Row],[Quotas Avaliable]]</f>
        <v>0.68131868131868134</v>
      </c>
      <c r="F11" s="6"/>
      <c r="G11" s="8" t="s">
        <v>758</v>
      </c>
      <c r="H11" s="6">
        <f>SUMIFS(Table2[Quotas Avaliable],Table2[Event],"*Cycling*Cross-Country*")</f>
        <v>72</v>
      </c>
      <c r="I11" s="6">
        <f>SUMIFS(Table2[Quotas Missing],Table2[Event],"*Cycling*Cross-Country*")</f>
        <v>52</v>
      </c>
      <c r="J11" s="7">
        <f t="shared" si="1"/>
        <v>0.27777777777777779</v>
      </c>
      <c r="K11" s="6"/>
      <c r="L11" s="6"/>
    </row>
    <row r="12" spans="1:12" x14ac:dyDescent="0.3">
      <c r="A12" s="6" t="s">
        <v>174</v>
      </c>
      <c r="B12" s="6">
        <v>79</v>
      </c>
      <c r="C12" s="6" t="str" cm="1">
        <f t="array" ref="C12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2" s="6" cm="1">
        <f t="array" ref="D12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61</v>
      </c>
      <c r="E12" s="7">
        <f>Table2[[#This Row],[Quotas Missing]]/Table2[[#This Row],[Quotas Avaliable]]</f>
        <v>0.77215189873417722</v>
      </c>
      <c r="F12" s="6"/>
      <c r="G12" s="8" t="s">
        <v>759</v>
      </c>
      <c r="H12" s="6">
        <f>SUMIFS(Table2[Quotas Avaliable],Table2[Event],"*Cycling*")-H10-H11</f>
        <v>479</v>
      </c>
      <c r="I12" s="6">
        <f>SUMIFS(Table2[Quotas Missing],Table2[Event],"*Cycling*")-I10-I11</f>
        <v>313</v>
      </c>
      <c r="J12" s="7">
        <f t="shared" si="1"/>
        <v>0.3465553235908142</v>
      </c>
      <c r="K12" s="6"/>
      <c r="L12" s="6"/>
    </row>
    <row r="13" spans="1:12" x14ac:dyDescent="0.3">
      <c r="A13" s="6" t="s">
        <v>252</v>
      </c>
      <c r="B13" s="6">
        <v>89</v>
      </c>
      <c r="C13" s="6" t="str" cm="1">
        <f t="array" ref="C13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3" s="6" cm="1">
        <f t="array" ref="D13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60</v>
      </c>
      <c r="E13" s="7">
        <f>Table2[[#This Row],[Quotas Missing]]/Table2[[#This Row],[Quotas Avaliable]]</f>
        <v>0.6741573033707865</v>
      </c>
      <c r="F13" s="6"/>
      <c r="G13" s="8" t="s">
        <v>760</v>
      </c>
      <c r="H13" s="6">
        <f>SUMIFS(Table2[Quotas Avaliable],Table2[Event],"*Diving*")</f>
        <v>140</v>
      </c>
      <c r="I13" s="6">
        <f>SUMIFS(Table2[Quotas Missing],Table2[Event],"*Diving*")</f>
        <v>88</v>
      </c>
      <c r="J13" s="7">
        <f t="shared" si="1"/>
        <v>0.37142857142857144</v>
      </c>
      <c r="K13" s="6"/>
      <c r="L13" s="6"/>
    </row>
    <row r="14" spans="1:12" x14ac:dyDescent="0.3">
      <c r="A14" s="6" t="s">
        <v>101</v>
      </c>
      <c r="B14" s="6">
        <v>90</v>
      </c>
      <c r="C14" s="6" t="str" cm="1">
        <f t="array" ref="C14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4" s="6" cm="1">
        <f t="array" ref="D14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60</v>
      </c>
      <c r="E14" s="7">
        <f>Table2[[#This Row],[Quotas Missing]]/Table2[[#This Row],[Quotas Avaliable]]</f>
        <v>0.66666666666666663</v>
      </c>
      <c r="F14" s="6"/>
      <c r="G14" s="8" t="s">
        <v>761</v>
      </c>
      <c r="H14" s="6">
        <f>SUMIFS(Table2[Quotas Avaliable],Table2[Event],"*Equestrian*")</f>
        <v>248</v>
      </c>
      <c r="I14" s="6">
        <f>SUMIFS(Table2[Quotas Missing],Table2[Event],"*Equestrian*")</f>
        <v>144</v>
      </c>
      <c r="J14" s="7">
        <f t="shared" si="1"/>
        <v>0.41935483870967744</v>
      </c>
      <c r="K14" s="6"/>
      <c r="L14" s="6"/>
    </row>
    <row r="15" spans="1:12" x14ac:dyDescent="0.3">
      <c r="A15" s="6" t="s">
        <v>260</v>
      </c>
      <c r="B15" s="6">
        <v>90</v>
      </c>
      <c r="C15" s="6" t="str" cm="1">
        <f t="array" ref="C15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5" s="6" cm="1">
        <f t="array" ref="D15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58</v>
      </c>
      <c r="E15" s="7">
        <f>Table2[[#This Row],[Quotas Missing]]/Table2[[#This Row],[Quotas Avaliable]]</f>
        <v>0.64444444444444449</v>
      </c>
      <c r="F15" s="6"/>
      <c r="G15" s="8" t="s">
        <v>762</v>
      </c>
      <c r="H15" s="6">
        <f>SUMIFS(Table2[Quotas Avaliable],Table2[Event],"*Fencing*")</f>
        <v>260</v>
      </c>
      <c r="I15" s="6">
        <f>SUMIFS(Table2[Quotas Missing],Table2[Event],"*Fencing*")</f>
        <v>152</v>
      </c>
      <c r="J15" s="7">
        <f t="shared" si="1"/>
        <v>0.41538461538461541</v>
      </c>
      <c r="K15" s="6"/>
      <c r="L15" s="6"/>
    </row>
    <row r="16" spans="1:12" x14ac:dyDescent="0.3">
      <c r="A16" s="6" t="s">
        <v>102</v>
      </c>
      <c r="B16" s="6">
        <v>92</v>
      </c>
      <c r="C16" s="6" t="str" cm="1">
        <f t="array" ref="C16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6" s="6" cm="1">
        <f t="array" ref="D16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58</v>
      </c>
      <c r="E16" s="7">
        <f>Table2[[#This Row],[Quotas Missing]]/Table2[[#This Row],[Quotas Avaliable]]</f>
        <v>0.63043478260869568</v>
      </c>
      <c r="F16" s="6"/>
      <c r="G16" s="8" t="s">
        <v>763</v>
      </c>
      <c r="H16" s="6">
        <f>SUMIFS(Table2[Quotas Avaliable],Table2[Event],"*Field Hockey*")</f>
        <v>24</v>
      </c>
      <c r="I16" s="6">
        <f>SUMIFS(Table2[Quotas Missing],Table2[Event],"*Field Hockey*")</f>
        <v>4</v>
      </c>
      <c r="J16" s="7">
        <f t="shared" si="1"/>
        <v>0.83333333333333337</v>
      </c>
      <c r="K16" s="6"/>
      <c r="L16" s="6"/>
    </row>
    <row r="17" spans="1:12" x14ac:dyDescent="0.3">
      <c r="A17" s="6" t="s">
        <v>119</v>
      </c>
      <c r="B17" s="6">
        <v>80</v>
      </c>
      <c r="C17" s="6" t="str" cm="1">
        <f t="array" ref="C17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7" s="6" cm="1">
        <f t="array" ref="D17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58</v>
      </c>
      <c r="E17" s="7">
        <f>Table2[[#This Row],[Quotas Missing]]/Table2[[#This Row],[Quotas Avaliable]]</f>
        <v>0.72499999999999998</v>
      </c>
      <c r="F17" s="6"/>
      <c r="G17" s="8" t="s">
        <v>764</v>
      </c>
      <c r="H17" s="6">
        <f>SUMIFS(Table2[Quotas Avaliable],Table2[Event],"*Football*")</f>
        <v>28</v>
      </c>
      <c r="I17" s="6">
        <f>SUMIFS(Table2[Quotas Missing],Table2[Event],"*Football*")</f>
        <v>0</v>
      </c>
      <c r="J17" s="7">
        <f t="shared" si="1"/>
        <v>1</v>
      </c>
      <c r="K17" s="6"/>
      <c r="L17" s="6"/>
    </row>
    <row r="18" spans="1:12" x14ac:dyDescent="0.3">
      <c r="A18" s="6" t="s">
        <v>39</v>
      </c>
      <c r="B18" s="6">
        <v>81</v>
      </c>
      <c r="C18" s="6" t="str" cm="1">
        <f t="array" ref="C18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8" s="6" cm="1">
        <f t="array" ref="D18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57</v>
      </c>
      <c r="E18" s="7">
        <f>Table2[[#This Row],[Quotas Missing]]/Table2[[#This Row],[Quotas Avaliable]]</f>
        <v>0.70370370370370372</v>
      </c>
      <c r="F18" s="6"/>
      <c r="G18" s="8" t="s">
        <v>765</v>
      </c>
      <c r="H18" s="6">
        <f>SUMIFS(Table2[Quotas Avaliable],Table2[Event],"*Golf*")</f>
        <v>120</v>
      </c>
      <c r="I18" s="6">
        <f>SUMIFS(Table2[Quotas Missing],Table2[Event],"*Golf*")</f>
        <v>79</v>
      </c>
      <c r="J18" s="7">
        <f t="shared" si="1"/>
        <v>0.34166666666666667</v>
      </c>
      <c r="K18" s="6"/>
      <c r="L18" s="6"/>
    </row>
    <row r="19" spans="1:12" x14ac:dyDescent="0.3">
      <c r="A19" s="6" t="s">
        <v>1191</v>
      </c>
      <c r="B19" s="6">
        <v>89</v>
      </c>
      <c r="C19" s="6" t="str" cm="1">
        <f t="array" ref="C19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9" s="6" cm="1">
        <f t="array" ref="D19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55</v>
      </c>
      <c r="E19" s="7">
        <f>Table2[[#This Row],[Quotas Missing]]/Table2[[#This Row],[Quotas Avaliable]]</f>
        <v>0.6179775280898876</v>
      </c>
      <c r="F19" s="6"/>
      <c r="G19" s="8" t="s">
        <v>766</v>
      </c>
      <c r="H19" s="6">
        <f>SUMIFS(Table2[Quotas Avaliable],Table2[Event],"*Gymnastics*")-H23</f>
        <v>751</v>
      </c>
      <c r="I19" s="6">
        <f>SUMIFS(Table2[Quotas Missing],Table2[Event],"*Gymnastics*")-I23</f>
        <v>544</v>
      </c>
      <c r="J19" s="7">
        <f t="shared" si="1"/>
        <v>0.27563249001331558</v>
      </c>
      <c r="K19" s="6"/>
      <c r="L19" s="6"/>
    </row>
    <row r="20" spans="1:12" x14ac:dyDescent="0.3">
      <c r="A20" s="6" t="s">
        <v>175</v>
      </c>
      <c r="B20" s="6">
        <v>79</v>
      </c>
      <c r="C20" s="6" t="str" cm="1">
        <f t="array" ref="C20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0" s="6" cm="1">
        <f t="array" ref="D20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55</v>
      </c>
      <c r="E20" s="7">
        <f>Table2[[#This Row],[Quotas Missing]]/Table2[[#This Row],[Quotas Avaliable]]</f>
        <v>0.69620253164556967</v>
      </c>
      <c r="F20" s="6"/>
      <c r="G20" s="8" t="s">
        <v>767</v>
      </c>
      <c r="H20" s="6">
        <f>SUMIFS(Table2[Quotas Avaliable],Table2[Event],"*Handball*")</f>
        <v>24</v>
      </c>
      <c r="I20" s="6">
        <f>SUMIFS(Table2[Quotas Missing],Table2[Event],"*Handball*")</f>
        <v>3</v>
      </c>
      <c r="J20" s="7">
        <f t="shared" si="1"/>
        <v>0.875</v>
      </c>
      <c r="K20" s="6"/>
      <c r="L20" s="6"/>
    </row>
    <row r="21" spans="1:12" x14ac:dyDescent="0.3">
      <c r="A21" s="6" t="s">
        <v>113</v>
      </c>
      <c r="B21" s="6">
        <v>78</v>
      </c>
      <c r="C21" s="6" t="str" cm="1">
        <f t="array" ref="C21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1" s="6" cm="1">
        <f t="array" ref="D21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54</v>
      </c>
      <c r="E21" s="7">
        <f>Table2[[#This Row],[Quotas Missing]]/Table2[[#This Row],[Quotas Avaliable]]</f>
        <v>0.69230769230769229</v>
      </c>
      <c r="F21" s="6"/>
      <c r="G21" s="8" t="s">
        <v>768</v>
      </c>
      <c r="H21" s="6">
        <f>SUMIFS(Table2[Quotas Avaliable],Table2[Event],"*Judo*")</f>
        <v>397</v>
      </c>
      <c r="I21" s="6">
        <f>SUMIFS(Table2[Quotas Missing],Table2[Event],"*Judo*")</f>
        <v>281</v>
      </c>
      <c r="J21" s="7">
        <f t="shared" si="1"/>
        <v>0.29219143576826195</v>
      </c>
      <c r="K21" s="6"/>
      <c r="L21" s="6"/>
    </row>
    <row r="22" spans="1:12" x14ac:dyDescent="0.3">
      <c r="A22" s="6" t="s">
        <v>173</v>
      </c>
      <c r="B22" s="6">
        <v>73</v>
      </c>
      <c r="C22" s="6" t="str" cm="1">
        <f t="array" ref="C22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2" s="6" cm="1">
        <f t="array" ref="D22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54</v>
      </c>
      <c r="E22" s="7">
        <f>Table2[[#This Row],[Quotas Missing]]/Table2[[#This Row],[Quotas Avaliable]]</f>
        <v>0.73972602739726023</v>
      </c>
      <c r="F22" s="6"/>
      <c r="G22" s="8" t="s">
        <v>769</v>
      </c>
      <c r="H22" s="6">
        <f>SUMIFS(Table2[Quotas Avaliable],Table2[Event],"*Modern Pentathlon*")</f>
        <v>72</v>
      </c>
      <c r="I22" s="6">
        <f>SUMIFS(Table2[Quotas Missing],Table2[Event],"*Modern Pentathlon*")</f>
        <v>51</v>
      </c>
      <c r="J22" s="7">
        <f t="shared" si="1"/>
        <v>0.29166666666666669</v>
      </c>
      <c r="K22" s="6"/>
      <c r="L22" s="6"/>
    </row>
    <row r="23" spans="1:12" x14ac:dyDescent="0.3">
      <c r="A23" s="6" t="s">
        <v>1152</v>
      </c>
      <c r="B23" s="6">
        <v>75</v>
      </c>
      <c r="C23" s="6" t="str" cm="1">
        <f t="array" ref="C23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3" s="6" cm="1">
        <f t="array" ref="D23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52</v>
      </c>
      <c r="E23" s="7">
        <f>Table2[[#This Row],[Quotas Missing]]/Table2[[#This Row],[Quotas Avaliable]]</f>
        <v>0.69333333333333336</v>
      </c>
      <c r="F23" s="6"/>
      <c r="G23" s="8" t="s">
        <v>770</v>
      </c>
      <c r="H23" s="6">
        <f>SUMIFS(Table2[Quotas Avaliable],Table2[Event],"*Rhythmic*")</f>
        <v>38</v>
      </c>
      <c r="I23" s="6">
        <f>SUMIFS(Table2[Quotas Missing],Table2[Event],"*Rhythmic*")</f>
        <v>19</v>
      </c>
      <c r="J23" s="7">
        <f t="shared" si="1"/>
        <v>0.5</v>
      </c>
      <c r="K23" s="6"/>
      <c r="L23" s="6"/>
    </row>
    <row r="24" spans="1:12" x14ac:dyDescent="0.3">
      <c r="A24" s="6" t="s">
        <v>114</v>
      </c>
      <c r="B24" s="6">
        <v>67</v>
      </c>
      <c r="C24" s="6" t="str" cm="1">
        <f t="array" ref="C24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4" s="6" cm="1">
        <f t="array" ref="D24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51</v>
      </c>
      <c r="E24" s="7">
        <f>Table2[[#This Row],[Quotas Missing]]/Table2[[#This Row],[Quotas Avaliable]]</f>
        <v>0.76119402985074625</v>
      </c>
      <c r="F24" s="6"/>
      <c r="G24" s="8" t="s">
        <v>771</v>
      </c>
      <c r="H24" s="6">
        <f>SUMIFS(Table2[Quotas Avaliable],Table2[Event],"*Rowing*")</f>
        <v>199</v>
      </c>
      <c r="I24" s="6">
        <f>SUMIFS(Table2[Quotas Missing],Table2[Event],"*Rowing*")</f>
        <v>99</v>
      </c>
      <c r="J24" s="7">
        <f t="shared" si="1"/>
        <v>0.50251256281407031</v>
      </c>
      <c r="K24" s="6"/>
      <c r="L24" s="6"/>
    </row>
    <row r="25" spans="1:12" x14ac:dyDescent="0.3">
      <c r="A25" s="6" t="s">
        <v>116</v>
      </c>
      <c r="B25" s="6">
        <v>62</v>
      </c>
      <c r="C25" s="6" t="str" cm="1">
        <f t="array" ref="C25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5" s="6" cm="1">
        <f t="array" ref="D25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51</v>
      </c>
      <c r="E25" s="7">
        <f>Table2[[#This Row],[Quotas Missing]]/Table2[[#This Row],[Quotas Avaliable]]</f>
        <v>0.82258064516129037</v>
      </c>
      <c r="F25" s="6"/>
      <c r="G25" s="8" t="s">
        <v>772</v>
      </c>
      <c r="H25" s="6">
        <f>SUMIFS(Table2[Quotas Avaliable],Table2[Event],"*Rugby*")</f>
        <v>24</v>
      </c>
      <c r="I25" s="6">
        <f>SUMIFS(Table2[Quotas Missing],Table2[Event],"*Rugby*")</f>
        <v>4</v>
      </c>
      <c r="J25" s="7">
        <f t="shared" si="1"/>
        <v>0.83333333333333337</v>
      </c>
      <c r="K25" s="6"/>
      <c r="L25" s="6"/>
    </row>
    <row r="26" spans="1:12" x14ac:dyDescent="0.3">
      <c r="A26" s="6" t="s">
        <v>247</v>
      </c>
      <c r="B26" s="6">
        <v>75</v>
      </c>
      <c r="C26" s="6" t="str" cm="1">
        <f t="array" ref="C26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6" s="6" cm="1">
        <f t="array" ref="D26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50</v>
      </c>
      <c r="E26" s="7">
        <f>Table2[[#This Row],[Quotas Missing]]/Table2[[#This Row],[Quotas Avaliable]]</f>
        <v>0.66666666666666663</v>
      </c>
      <c r="F26" s="6"/>
      <c r="G26" s="8" t="s">
        <v>773</v>
      </c>
      <c r="H26" s="6">
        <f>SUMIFS(Table2[Quotas Avaliable],Table2[Event],"*Sailing*")</f>
        <v>252</v>
      </c>
      <c r="I26" s="6">
        <f>SUMIFS(Table2[Quotas Missing],Table2[Event],"*Sailing*")</f>
        <v>159</v>
      </c>
      <c r="J26" s="7">
        <f t="shared" si="1"/>
        <v>0.36904761904761907</v>
      </c>
      <c r="K26" s="6"/>
      <c r="L26" s="6"/>
    </row>
    <row r="27" spans="1:12" x14ac:dyDescent="0.3">
      <c r="A27" s="6" t="s">
        <v>1151</v>
      </c>
      <c r="B27" s="6">
        <v>63</v>
      </c>
      <c r="C27" s="6" t="str" cm="1">
        <f t="array" ref="C27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7" s="6" cm="1">
        <f t="array" ref="D27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50</v>
      </c>
      <c r="E27" s="7">
        <f>Table2[[#This Row],[Quotas Missing]]/Table2[[#This Row],[Quotas Avaliable]]</f>
        <v>0.79365079365079361</v>
      </c>
      <c r="F27" s="6"/>
      <c r="G27" s="8" t="s">
        <v>775</v>
      </c>
      <c r="H27" s="6">
        <f>SUMIFS(Table2[Quotas Avaliable],Table2[Event],"*Shooting*")</f>
        <v>493</v>
      </c>
      <c r="I27" s="6">
        <f>SUMIFS(Table2[Quotas Missing],Table2[Event],"*Shooting*")</f>
        <v>363</v>
      </c>
      <c r="J27" s="7">
        <f t="shared" si="1"/>
        <v>0.26369168356997974</v>
      </c>
      <c r="K27" s="6"/>
      <c r="L27" s="6"/>
    </row>
    <row r="28" spans="1:12" x14ac:dyDescent="0.3">
      <c r="A28" s="6" t="s">
        <v>246</v>
      </c>
      <c r="B28" s="6">
        <v>81</v>
      </c>
      <c r="C28" s="6" t="str" cm="1">
        <f t="array" ref="C28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8" s="6" cm="1">
        <f t="array" ref="D28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49</v>
      </c>
      <c r="E28" s="7">
        <f>Table2[[#This Row],[Quotas Missing]]/Table2[[#This Row],[Quotas Avaliable]]</f>
        <v>0.60493827160493829</v>
      </c>
      <c r="F28" s="6"/>
      <c r="G28" s="8" t="s">
        <v>776</v>
      </c>
      <c r="H28" s="6">
        <f>SUMIFS(Table2[Quotas Avaliable],Table2[Event],"*Skateboarding*")</f>
        <v>88</v>
      </c>
      <c r="I28" s="6">
        <f>SUMIFS(Table2[Quotas Missing],Table2[Event],"*Skateboarding*")</f>
        <v>42</v>
      </c>
      <c r="J28" s="7">
        <f t="shared" si="1"/>
        <v>0.52272727272727271</v>
      </c>
      <c r="K28" s="6"/>
      <c r="L28" s="6"/>
    </row>
    <row r="29" spans="1:12" x14ac:dyDescent="0.3">
      <c r="A29" s="6" t="s">
        <v>774</v>
      </c>
      <c r="B29" s="6">
        <v>74</v>
      </c>
      <c r="C29" s="6" t="str" cm="1">
        <f t="array" ref="C29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9" s="6" cm="1">
        <f t="array" ref="D29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49</v>
      </c>
      <c r="E29" s="7">
        <f>Table2[[#This Row],[Quotas Missing]]/Table2[[#This Row],[Quotas Avaliable]]</f>
        <v>0.66216216216216217</v>
      </c>
      <c r="F29" s="6"/>
      <c r="G29" s="8" t="s">
        <v>777</v>
      </c>
      <c r="H29" s="6">
        <f>SUMIFS(Table2[Quotas Avaliable],Table2[Event],"*Climbing*")</f>
        <v>68</v>
      </c>
      <c r="I29" s="6">
        <f>SUMIFS(Table2[Quotas Missing],Table2[Event],"*Climbing*")</f>
        <v>52</v>
      </c>
      <c r="J29" s="7">
        <f t="shared" si="1"/>
        <v>0.23529411764705882</v>
      </c>
      <c r="K29" s="6"/>
      <c r="L29" s="6"/>
    </row>
    <row r="30" spans="1:12" x14ac:dyDescent="0.3">
      <c r="A30" s="6" t="s">
        <v>115</v>
      </c>
      <c r="B30" s="6">
        <v>65</v>
      </c>
      <c r="C30" s="6" t="str" cm="1">
        <f t="array" ref="C30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0" s="6" cm="1">
        <f t="array" ref="D30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49</v>
      </c>
      <c r="E30" s="7">
        <f>Table2[[#This Row],[Quotas Missing]]/Table2[[#This Row],[Quotas Avaliable]]</f>
        <v>0.75384615384615383</v>
      </c>
      <c r="F30" s="6"/>
      <c r="G30" s="8" t="s">
        <v>778</v>
      </c>
      <c r="H30" s="6">
        <f>SUMIFS(Table2[Quotas Avaliable],Table2[Event],"*Surfing*")</f>
        <v>48</v>
      </c>
      <c r="I30" s="6">
        <f>SUMIFS(Table2[Quotas Missing],Table2[Event],"*Surfing*")</f>
        <v>29</v>
      </c>
      <c r="J30" s="7">
        <f t="shared" si="1"/>
        <v>0.39583333333333331</v>
      </c>
      <c r="K30" s="6"/>
      <c r="L30" s="6"/>
    </row>
    <row r="31" spans="1:12" x14ac:dyDescent="0.3">
      <c r="A31" s="6" t="s">
        <v>111</v>
      </c>
      <c r="B31" s="6">
        <v>73</v>
      </c>
      <c r="C31" s="6" t="str" cm="1">
        <f t="array" ref="C31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1" s="6" cm="1">
        <f t="array" ref="D31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46</v>
      </c>
      <c r="E31" s="7">
        <f>Table2[[#This Row],[Quotas Missing]]/Table2[[#This Row],[Quotas Avaliable]]</f>
        <v>0.63013698630136983</v>
      </c>
      <c r="F31" s="6"/>
      <c r="G31" s="8" t="s">
        <v>779</v>
      </c>
      <c r="H31" s="6">
        <f>SUMIFS(Table2[Quotas Avaliable],Table2[Event],"*Swimming*")-H2</f>
        <v>1092</v>
      </c>
      <c r="I31" s="6">
        <f>SUMIFS(Table2[Quotas Missing],Table2[Event],"*Swimming*")-I2</f>
        <v>734</v>
      </c>
      <c r="J31" s="7">
        <f t="shared" si="1"/>
        <v>0.32783882783882784</v>
      </c>
      <c r="K31" s="6"/>
      <c r="L31" s="6"/>
    </row>
    <row r="32" spans="1:12" x14ac:dyDescent="0.3">
      <c r="A32" s="6" t="s">
        <v>1572</v>
      </c>
      <c r="B32" s="6">
        <v>64</v>
      </c>
      <c r="C32" s="6" t="str" cm="1">
        <f t="array" ref="C32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2" s="6" cm="1">
        <f t="array" ref="D32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45</v>
      </c>
      <c r="E32" s="7">
        <f>Table2[[#This Row],[Quotas Missing]]/Table2[[#This Row],[Quotas Avaliable]]</f>
        <v>0.703125</v>
      </c>
      <c r="F32" s="6"/>
      <c r="G32" s="8" t="s">
        <v>780</v>
      </c>
      <c r="H32" s="6">
        <f>SUMIFS(Table2[Quotas Avaliable],Table2[Event],"*Table Tennis*")</f>
        <v>182</v>
      </c>
      <c r="I32" s="6">
        <f>SUMIFS(Table2[Quotas Missing],Table2[Event],"*Table Tennis*")</f>
        <v>92</v>
      </c>
      <c r="J32" s="7">
        <f t="shared" si="1"/>
        <v>0.49450549450549453</v>
      </c>
      <c r="K32" s="6"/>
      <c r="L32" s="6"/>
    </row>
    <row r="33" spans="1:12" x14ac:dyDescent="0.3">
      <c r="A33" s="6" t="s">
        <v>748</v>
      </c>
      <c r="B33" s="6">
        <v>62</v>
      </c>
      <c r="C33" s="6" t="str" cm="1">
        <f t="array" ref="C33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3" s="6" cm="1">
        <f t="array" ref="D33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44</v>
      </c>
      <c r="E33" s="7">
        <f>Table2[[#This Row],[Quotas Missing]]/Table2[[#This Row],[Quotas Avaliable]]</f>
        <v>0.70967741935483875</v>
      </c>
      <c r="F33" s="6"/>
      <c r="G33" s="8" t="s">
        <v>781</v>
      </c>
      <c r="H33" s="6">
        <f>SUMIFS(Table2[Quotas Avaliable],Table2[Event],"*Taekwondo*")</f>
        <v>134</v>
      </c>
      <c r="I33" s="6">
        <f>SUMIFS(Table2[Quotas Missing],Table2[Event],"*Taekwondo*")</f>
        <v>87</v>
      </c>
      <c r="J33" s="7">
        <f t="shared" si="1"/>
        <v>0.35074626865671643</v>
      </c>
      <c r="K33" s="6"/>
      <c r="L33" s="6"/>
    </row>
    <row r="34" spans="1:12" x14ac:dyDescent="0.3">
      <c r="A34" s="6" t="s">
        <v>107</v>
      </c>
      <c r="B34" s="6">
        <v>60</v>
      </c>
      <c r="C34" s="6" t="str" cm="1">
        <f t="array" ref="C34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4" s="6" cm="1">
        <f t="array" ref="D34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43</v>
      </c>
      <c r="E34" s="7">
        <f>Table2[[#This Row],[Quotas Missing]]/Table2[[#This Row],[Quotas Avaliable]]</f>
        <v>0.71666666666666667</v>
      </c>
      <c r="F34" s="6"/>
      <c r="G34" s="8" t="s">
        <v>782</v>
      </c>
      <c r="H34" s="6">
        <f>SUMIFS(Table2[Quotas Avaliable],Table2[Event],"*Tennis*")-H32</f>
        <v>208</v>
      </c>
      <c r="I34" s="6">
        <f>SUMIFS(Table2[Quotas Missing],Table2[Event],"*Tennis*")-I32</f>
        <v>110</v>
      </c>
      <c r="J34" s="7">
        <f t="shared" si="1"/>
        <v>0.47115384615384615</v>
      </c>
      <c r="K34" s="6"/>
      <c r="L34" s="6"/>
    </row>
    <row r="35" spans="1:12" x14ac:dyDescent="0.3">
      <c r="A35" s="6" t="s">
        <v>257</v>
      </c>
      <c r="B35" s="6">
        <v>59</v>
      </c>
      <c r="C35" s="6" t="str" cm="1">
        <f t="array" ref="C35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5" s="6" cm="1">
        <f t="array" ref="D35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42</v>
      </c>
      <c r="E35" s="7">
        <f>Table2[[#This Row],[Quotas Missing]]/Table2[[#This Row],[Quotas Avaliable]]</f>
        <v>0.71186440677966101</v>
      </c>
      <c r="F35" s="6"/>
      <c r="G35" s="8" t="s">
        <v>783</v>
      </c>
      <c r="H35" s="6">
        <f>SUMIFS(Table2[Quotas Avaliable],Table2[Event],"*Triathlon*")</f>
        <v>125</v>
      </c>
      <c r="I35" s="6">
        <f>SUMIFS(Table2[Quotas Missing],Table2[Event],"*Triathlon*")</f>
        <v>75</v>
      </c>
      <c r="J35" s="7">
        <f t="shared" si="1"/>
        <v>0.4</v>
      </c>
      <c r="K35" s="6"/>
      <c r="L35" s="6"/>
    </row>
    <row r="36" spans="1:12" x14ac:dyDescent="0.3">
      <c r="A36" s="6" t="s">
        <v>2991</v>
      </c>
      <c r="B36" s="6">
        <v>64</v>
      </c>
      <c r="C36" s="6" t="str" cm="1">
        <f t="array" ref="C36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6" s="6" cm="1">
        <f t="array" ref="D36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42</v>
      </c>
      <c r="E36" s="7">
        <f>Table2[[#This Row],[Quotas Missing]]/Table2[[#This Row],[Quotas Avaliable]]</f>
        <v>0.65625</v>
      </c>
      <c r="F36" s="6"/>
      <c r="G36" s="8" t="s">
        <v>784</v>
      </c>
      <c r="H36" s="6">
        <f>SUMIFS(Table2[Quotas Avaliable],Table2[Event],"*Beach Volleyball*")</f>
        <v>48</v>
      </c>
      <c r="I36" s="6">
        <f>SUMIFS(Table2[Quotas Missing],Table2[Event],"*Beach Volleyball*")</f>
        <v>22</v>
      </c>
      <c r="J36" s="7">
        <f t="shared" si="1"/>
        <v>0.54166666666666663</v>
      </c>
      <c r="K36" s="6"/>
      <c r="L36" s="6"/>
    </row>
    <row r="37" spans="1:12" x14ac:dyDescent="0.3">
      <c r="A37" s="6" t="s">
        <v>1079</v>
      </c>
      <c r="B37" s="6">
        <v>60</v>
      </c>
      <c r="C37" s="6" t="str" cm="1">
        <f t="array" ref="C37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7" s="6" cm="1">
        <f t="array" ref="D37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42</v>
      </c>
      <c r="E37" s="7">
        <f>Table2[[#This Row],[Quotas Missing]]/Table2[[#This Row],[Quotas Avaliable]]</f>
        <v>0.7</v>
      </c>
      <c r="F37" s="6"/>
      <c r="G37" s="8" t="s">
        <v>786</v>
      </c>
      <c r="H37" s="6">
        <f>SUMIFS(Table2[Quotas Avaliable],Table2[Event],"*Volleyball*")-H36</f>
        <v>24</v>
      </c>
      <c r="I37" s="6">
        <f>SUMIFS(Table2[Quotas Missing],Table2[Event],"*Volleyball*")-I36</f>
        <v>0</v>
      </c>
      <c r="J37" s="7">
        <f t="shared" ref="J37:J56" si="2">(H37-I37)/H37</f>
        <v>1</v>
      </c>
      <c r="K37" s="6"/>
      <c r="L37" s="6"/>
    </row>
    <row r="38" spans="1:12" x14ac:dyDescent="0.3">
      <c r="A38" s="6" t="s">
        <v>1130</v>
      </c>
      <c r="B38" s="6">
        <v>50</v>
      </c>
      <c r="C38" s="6" t="str" cm="1">
        <f t="array" ref="C38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8" s="6" cm="1">
        <f t="array" ref="D38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41</v>
      </c>
      <c r="E38" s="7">
        <f>Table2[[#This Row],[Quotas Missing]]/Table2[[#This Row],[Quotas Avaliable]]</f>
        <v>0.82</v>
      </c>
      <c r="F38" s="6"/>
      <c r="G38" s="8" t="s">
        <v>787</v>
      </c>
      <c r="H38" s="6">
        <f>SUMIFS(Table2[Quotas Avaliable],Table2[Event],"*Water Polo*")</f>
        <v>22</v>
      </c>
      <c r="I38" s="6">
        <f>SUMIFS(Table2[Quotas Missing],Table2[Event],"*Water Polo*")</f>
        <v>3</v>
      </c>
      <c r="J38" s="7">
        <f t="shared" si="2"/>
        <v>0.86363636363636365</v>
      </c>
      <c r="K38" s="6"/>
      <c r="L38" s="6"/>
    </row>
    <row r="39" spans="1:12" x14ac:dyDescent="0.3">
      <c r="A39" s="6" t="s">
        <v>2990</v>
      </c>
      <c r="B39" s="6">
        <v>64</v>
      </c>
      <c r="C39" s="6" t="str" cm="1">
        <f t="array" ref="C39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9" s="6" cm="1">
        <f t="array" ref="D39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41</v>
      </c>
      <c r="E39" s="7">
        <f>Table2[[#This Row],[Quotas Missing]]/Table2[[#This Row],[Quotas Avaliable]]</f>
        <v>0.640625</v>
      </c>
      <c r="F39" s="6"/>
      <c r="G39" s="8" t="s">
        <v>788</v>
      </c>
      <c r="H39" s="6">
        <f>SUMIFS(Table2[Quotas Avaliable],Table2[Event],"*Weightlifting*")</f>
        <v>122</v>
      </c>
      <c r="I39" s="6">
        <f>SUMIFS(Table2[Quotas Missing],Table2[Event],"*Weightlifting*")</f>
        <v>92</v>
      </c>
      <c r="J39" s="7">
        <f t="shared" si="2"/>
        <v>0.24590163934426229</v>
      </c>
      <c r="K39" s="6"/>
      <c r="L39" s="6"/>
    </row>
    <row r="40" spans="1:12" x14ac:dyDescent="0.3">
      <c r="A40" s="6" t="s">
        <v>197</v>
      </c>
      <c r="B40" s="6">
        <v>67</v>
      </c>
      <c r="C40" s="6" t="str" cm="1">
        <f t="array" ref="C40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40" s="6" cm="1">
        <f t="array" ref="D40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41</v>
      </c>
      <c r="E40" s="7">
        <f>Table2[[#This Row],[Quotas Missing]]/Table2[[#This Row],[Quotas Avaliable]]</f>
        <v>0.61194029850746268</v>
      </c>
      <c r="F40" s="6"/>
      <c r="G40" s="8" t="s">
        <v>790</v>
      </c>
      <c r="H40" s="6">
        <f>SUMIFS(Table2[Quotas Avaliable],Table2[Event],"*Wrestling*")</f>
        <v>288</v>
      </c>
      <c r="I40" s="6">
        <f>SUMIFS(Table2[Quotas Missing],Table2[Event],"*Wrestling*")</f>
        <v>211</v>
      </c>
      <c r="J40" s="7">
        <f t="shared" si="2"/>
        <v>0.2673611111111111</v>
      </c>
      <c r="K40" s="6"/>
      <c r="L40" s="6"/>
    </row>
    <row r="41" spans="1:12" x14ac:dyDescent="0.3">
      <c r="A41" s="6" t="s">
        <v>210</v>
      </c>
      <c r="B41" s="6">
        <v>64</v>
      </c>
      <c r="C41" s="6" t="str" cm="1">
        <f t="array" ref="C41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41" s="6" cm="1">
        <f t="array" ref="D41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40</v>
      </c>
      <c r="E41" s="7">
        <f>Table2[[#This Row],[Quotas Missing]]/Table2[[#This Row],[Quotas Avaliable]]</f>
        <v>0.625</v>
      </c>
      <c r="F41" s="6"/>
      <c r="G41" s="8" t="s">
        <v>791</v>
      </c>
      <c r="H41" s="6">
        <f>SUMIFS(Table2[Quotas Avaliable],Table2[Event],"*Alpine Skiing*")</f>
        <v>552</v>
      </c>
      <c r="I41" s="6">
        <f>SUMIFS(Table2[Quotas Missing],Table2[Event],"*Alpine Skiing*")</f>
        <v>337</v>
      </c>
      <c r="J41" s="7">
        <f t="shared" si="2"/>
        <v>0.38949275362318841</v>
      </c>
      <c r="K41" s="6"/>
      <c r="L41" s="6"/>
    </row>
    <row r="42" spans="1:12" x14ac:dyDescent="0.3">
      <c r="A42" s="6" t="s">
        <v>1131</v>
      </c>
      <c r="B42" s="6">
        <v>49</v>
      </c>
      <c r="C42" s="6" t="str" cm="1">
        <f t="array" ref="C42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42" s="6" cm="1">
        <f t="array" ref="D42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40</v>
      </c>
      <c r="E42" s="7">
        <f>Table2[[#This Row],[Quotas Missing]]/Table2[[#This Row],[Quotas Avaliable]]</f>
        <v>0.81632653061224492</v>
      </c>
      <c r="F42" s="6"/>
      <c r="G42" s="8" t="s">
        <v>793</v>
      </c>
      <c r="H42" s="6">
        <f>SUMIFS(Table2[Quotas Avaliable],Table2[Event],"*Biathlon*")</f>
        <v>600</v>
      </c>
      <c r="I42" s="6">
        <f>SUMIFS(Table2[Quotas Missing],Table2[Event],"*Biathlon*")</f>
        <v>380</v>
      </c>
      <c r="J42" s="7">
        <f t="shared" si="2"/>
        <v>0.36666666666666664</v>
      </c>
      <c r="K42" s="6"/>
      <c r="L42" s="6"/>
    </row>
    <row r="43" spans="1:12" x14ac:dyDescent="0.3">
      <c r="A43" s="6" t="s">
        <v>1107</v>
      </c>
      <c r="B43" s="6">
        <v>60</v>
      </c>
      <c r="C43" s="6" t="str" cm="1">
        <f t="array" ref="C43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43" s="6" cm="1">
        <f t="array" ref="D43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40</v>
      </c>
      <c r="E43" s="7">
        <f>Table2[[#This Row],[Quotas Missing]]/Table2[[#This Row],[Quotas Avaliable]]</f>
        <v>0.66666666666666663</v>
      </c>
      <c r="F43" s="6"/>
      <c r="G43" s="8" t="s">
        <v>794</v>
      </c>
      <c r="H43" s="6">
        <f>SUMIFS(Table2[Quotas Avaliable],Table2[Event],"*Bobsleigh*")</f>
        <v>103</v>
      </c>
      <c r="I43" s="6">
        <f>SUMIFS(Table2[Quotas Missing],Table2[Event],"*Bobsleigh*")</f>
        <v>54</v>
      </c>
      <c r="J43" s="7">
        <f t="shared" si="2"/>
        <v>0.47572815533980584</v>
      </c>
      <c r="K43" s="6"/>
      <c r="L43" s="6"/>
    </row>
    <row r="44" spans="1:12" x14ac:dyDescent="0.3">
      <c r="A44" s="6" t="s">
        <v>211</v>
      </c>
      <c r="B44" s="6">
        <v>64</v>
      </c>
      <c r="C44" s="6" t="str" cm="1">
        <f t="array" ref="C44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44" s="6" cm="1">
        <f t="array" ref="D44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40</v>
      </c>
      <c r="E44" s="7">
        <f>Table2[[#This Row],[Quotas Missing]]/Table2[[#This Row],[Quotas Avaliable]]</f>
        <v>0.625</v>
      </c>
      <c r="F44" s="6"/>
      <c r="G44" s="8" t="s">
        <v>795</v>
      </c>
      <c r="H44" s="6">
        <f>SUMIFS(Table2[Quotas Avaliable],Table2[Event],"*Cross-Country Skiing*")</f>
        <v>736</v>
      </c>
      <c r="I44" s="6">
        <f>SUMIFS(Table2[Quotas Missing],Table2[Event],"*Cross-Country Skiing*")</f>
        <v>460</v>
      </c>
      <c r="J44" s="7">
        <f t="shared" si="2"/>
        <v>0.375</v>
      </c>
      <c r="K44" s="6"/>
      <c r="L44" s="6"/>
    </row>
    <row r="45" spans="1:12" x14ac:dyDescent="0.3">
      <c r="A45" s="6" t="s">
        <v>256</v>
      </c>
      <c r="B45" s="6">
        <v>60</v>
      </c>
      <c r="C45" s="6" t="str" cm="1">
        <f t="array" ref="C45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45" s="6" cm="1">
        <f t="array" ref="D45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39</v>
      </c>
      <c r="E45" s="7">
        <f>Table2[[#This Row],[Quotas Missing]]/Table2[[#This Row],[Quotas Avaliable]]</f>
        <v>0.65</v>
      </c>
      <c r="F45" s="6"/>
      <c r="G45" s="8" t="s">
        <v>796</v>
      </c>
      <c r="H45" s="6">
        <f>SUMIFS(Table2[Quotas Avaliable],Table2[Event],"*Curling*")</f>
        <v>30</v>
      </c>
      <c r="I45" s="6">
        <f>SUMIFS(Table2[Quotas Missing],Table2[Event],"*Curling*")</f>
        <v>12</v>
      </c>
      <c r="J45" s="7">
        <f t="shared" si="2"/>
        <v>0.6</v>
      </c>
      <c r="K45" s="6"/>
      <c r="L45" s="6"/>
    </row>
    <row r="46" spans="1:12" x14ac:dyDescent="0.3">
      <c r="A46" s="6" t="s">
        <v>785</v>
      </c>
      <c r="B46" s="6">
        <v>70</v>
      </c>
      <c r="C46" s="6" t="str" cm="1">
        <f t="array" ref="C46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46" s="6" cm="1">
        <f t="array" ref="D46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38</v>
      </c>
      <c r="E46" s="7">
        <f>Table2[[#This Row],[Quotas Missing]]/Table2[[#This Row],[Quotas Avaliable]]</f>
        <v>0.54285714285714282</v>
      </c>
      <c r="F46" s="6"/>
      <c r="G46" s="8" t="s">
        <v>797</v>
      </c>
      <c r="H46" s="6">
        <f>SUMIFS(Table2[Quotas Avaliable],Table2[Event],"*Figure Skating*")</f>
        <v>110</v>
      </c>
      <c r="I46" s="6">
        <f>SUMIFS(Table2[Quotas Missing],Table2[Event],"*Figure Skating*")</f>
        <v>77</v>
      </c>
      <c r="J46" s="7">
        <f t="shared" si="2"/>
        <v>0.3</v>
      </c>
      <c r="K46" s="6"/>
      <c r="L46" s="6"/>
    </row>
    <row r="47" spans="1:12" x14ac:dyDescent="0.3">
      <c r="A47" s="6" t="s">
        <v>1061</v>
      </c>
      <c r="B47" s="6">
        <v>55</v>
      </c>
      <c r="C47" s="6" t="str" cm="1">
        <f t="array" ref="C47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47" s="6" cm="1">
        <f t="array" ref="D47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38</v>
      </c>
      <c r="E47" s="7">
        <f>Table2[[#This Row],[Quotas Missing]]/Table2[[#This Row],[Quotas Avaliable]]</f>
        <v>0.69090909090909092</v>
      </c>
      <c r="F47" s="6"/>
      <c r="G47" s="8" t="s">
        <v>798</v>
      </c>
      <c r="H47" s="6">
        <f>SUMIFS(Table2[Quotas Avaliable],Table2[Event],"*Freestyle Skiing*")</f>
        <v>389</v>
      </c>
      <c r="I47" s="6">
        <f>SUMIFS(Table2[Quotas Missing],Table2[Event],"*Freestyle Skiing*")</f>
        <v>214</v>
      </c>
      <c r="J47" s="7">
        <f t="shared" si="2"/>
        <v>0.44987146529562982</v>
      </c>
      <c r="K47" s="6"/>
      <c r="L47" s="6"/>
    </row>
    <row r="48" spans="1:12" x14ac:dyDescent="0.3">
      <c r="A48" s="6" t="s">
        <v>1105</v>
      </c>
      <c r="B48" s="6">
        <v>60</v>
      </c>
      <c r="C48" s="6" t="str" cm="1">
        <f t="array" ref="C48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48" s="6" cm="1">
        <f t="array" ref="D48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37</v>
      </c>
      <c r="E48" s="7">
        <f>Table2[[#This Row],[Quotas Missing]]/Table2[[#This Row],[Quotas Avaliable]]</f>
        <v>0.6166666666666667</v>
      </c>
      <c r="F48" s="6"/>
      <c r="G48" s="8" t="s">
        <v>799</v>
      </c>
      <c r="H48" s="6">
        <f>SUMIFS(Table2[Quotas Avaliable],Table2[Event],"*Ice Hockey*")</f>
        <v>22</v>
      </c>
      <c r="I48" s="6">
        <f>SUMIFS(Table2[Quotas Missing],Table2[Event],"*Ice Hockey*")</f>
        <v>0</v>
      </c>
      <c r="J48" s="7">
        <f t="shared" si="2"/>
        <v>1</v>
      </c>
      <c r="K48" s="6"/>
      <c r="L48" s="6"/>
    </row>
    <row r="49" spans="1:12" x14ac:dyDescent="0.3">
      <c r="A49" s="6" t="s">
        <v>26</v>
      </c>
      <c r="B49" s="6">
        <v>47</v>
      </c>
      <c r="C49" s="6" t="str" cm="1">
        <f t="array" ref="C49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49" s="6" cm="1">
        <f t="array" ref="D49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37</v>
      </c>
      <c r="E49" s="7">
        <f>Table2[[#This Row],[Quotas Missing]]/Table2[[#This Row],[Quotas Avaliable]]</f>
        <v>0.78723404255319152</v>
      </c>
      <c r="F49" s="6"/>
      <c r="G49" s="8" t="s">
        <v>800</v>
      </c>
      <c r="H49" s="6">
        <f>SUMIFS(Table2[Quotas Avaliable],Table2[Event],"*Luge*")</f>
        <v>87</v>
      </c>
      <c r="I49" s="6">
        <f>SUMIFS(Table2[Quotas Missing],Table2[Event],"*Luge*")</f>
        <v>42</v>
      </c>
      <c r="J49" s="7">
        <f t="shared" si="2"/>
        <v>0.51724137931034486</v>
      </c>
      <c r="K49" s="6"/>
      <c r="L49" s="6"/>
    </row>
    <row r="50" spans="1:12" x14ac:dyDescent="0.3">
      <c r="A50" s="6" t="s">
        <v>27</v>
      </c>
      <c r="B50" s="6">
        <v>53</v>
      </c>
      <c r="C50" s="6" t="str" cm="1">
        <f t="array" ref="C50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50" s="6" cm="1">
        <f t="array" ref="D50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36</v>
      </c>
      <c r="E50" s="7">
        <f>Table2[[#This Row],[Quotas Missing]]/Table2[[#This Row],[Quotas Avaliable]]</f>
        <v>0.67924528301886788</v>
      </c>
      <c r="F50" s="6"/>
      <c r="G50" s="8" t="s">
        <v>801</v>
      </c>
      <c r="H50" s="6">
        <f>SUMIFS(Table2[Quotas Avaliable],Table2[Event],"*Nordic Combined*")</f>
        <v>86</v>
      </c>
      <c r="I50" s="6">
        <f>SUMIFS(Table2[Quotas Missing],Table2[Event],"*Nordic Combined*")</f>
        <v>49</v>
      </c>
      <c r="J50" s="7">
        <f t="shared" si="2"/>
        <v>0.43023255813953487</v>
      </c>
      <c r="K50" s="6"/>
      <c r="L50" s="6"/>
    </row>
    <row r="51" spans="1:12" x14ac:dyDescent="0.3">
      <c r="A51" s="6" t="s">
        <v>109</v>
      </c>
      <c r="B51" s="6">
        <v>64</v>
      </c>
      <c r="C51" s="6" t="str" cm="1">
        <f t="array" ref="C51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51" s="6" cm="1">
        <f t="array" ref="D51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36</v>
      </c>
      <c r="E51" s="7">
        <f>Table2[[#This Row],[Quotas Missing]]/Table2[[#This Row],[Quotas Avaliable]]</f>
        <v>0.5625</v>
      </c>
      <c r="F51" s="6"/>
      <c r="G51" s="8" t="s">
        <v>802</v>
      </c>
      <c r="H51" s="6">
        <f>SUMIFS(Table2[Quotas Avaliable],Table2[Event],"*Short Track*")</f>
        <v>228</v>
      </c>
      <c r="I51" s="6">
        <f>SUMIFS(Table2[Quotas Missing],Table2[Event],"*Short Track*")</f>
        <v>163</v>
      </c>
      <c r="J51" s="7">
        <f t="shared" si="2"/>
        <v>0.28508771929824561</v>
      </c>
      <c r="K51" s="6"/>
      <c r="L51" s="6"/>
    </row>
    <row r="52" spans="1:12" x14ac:dyDescent="0.3">
      <c r="A52" s="6" t="s">
        <v>1106</v>
      </c>
      <c r="B52" s="6">
        <v>44</v>
      </c>
      <c r="C52" s="6" t="str" cm="1">
        <f t="array" ref="C52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52" s="6" cm="1">
        <f t="array" ref="D52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36</v>
      </c>
      <c r="E52" s="7">
        <f>Table2[[#This Row],[Quotas Missing]]/Table2[[#This Row],[Quotas Avaliable]]</f>
        <v>0.81818181818181823</v>
      </c>
      <c r="F52" s="6"/>
      <c r="G52" s="8" t="s">
        <v>803</v>
      </c>
      <c r="H52" s="6">
        <f>SUMIFS(Table2[Quotas Avaliable],Table2[Event],"*Skeleton*")</f>
        <v>64</v>
      </c>
      <c r="I52" s="6">
        <f>SUMIFS(Table2[Quotas Missing],Table2[Event],"*Skeleton*")</f>
        <v>43</v>
      </c>
      <c r="J52" s="7">
        <f t="shared" si="2"/>
        <v>0.328125</v>
      </c>
      <c r="K52" s="6"/>
      <c r="L52" s="6"/>
    </row>
    <row r="53" spans="1:12" x14ac:dyDescent="0.3">
      <c r="A53" s="6" t="s">
        <v>156</v>
      </c>
      <c r="B53" s="6">
        <v>44</v>
      </c>
      <c r="C53" s="6" t="str" cm="1">
        <f t="array" ref="C53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53" s="6" cm="1">
        <f t="array" ref="D53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35</v>
      </c>
      <c r="E53" s="7">
        <f>Table2[[#This Row],[Quotas Missing]]/Table2[[#This Row],[Quotas Avaliable]]</f>
        <v>0.79545454545454541</v>
      </c>
      <c r="F53" s="6"/>
      <c r="G53" s="8" t="s">
        <v>804</v>
      </c>
      <c r="H53" s="6">
        <f>SUMIFS(Table2[Quotas Avaliable],Table2[Event],"*Ski Jumping*")</f>
        <v>225</v>
      </c>
      <c r="I53" s="6">
        <f>SUMIFS(Table2[Quotas Missing],Table2[Event],"*Ski Jumping*")</f>
        <v>152</v>
      </c>
      <c r="J53" s="7">
        <f t="shared" si="2"/>
        <v>0.32444444444444442</v>
      </c>
      <c r="K53" s="6"/>
      <c r="L53" s="6"/>
    </row>
    <row r="54" spans="1:12" x14ac:dyDescent="0.3">
      <c r="A54" s="6" t="s">
        <v>198</v>
      </c>
      <c r="B54" s="6">
        <v>67</v>
      </c>
      <c r="C54" s="6" t="str" cm="1">
        <f t="array" ref="C54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54" s="6" cm="1">
        <f t="array" ref="D54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35</v>
      </c>
      <c r="E54" s="7">
        <f>Table2[[#This Row],[Quotas Missing]]/Table2[[#This Row],[Quotas Avaliable]]</f>
        <v>0.52238805970149249</v>
      </c>
      <c r="F54" s="6"/>
      <c r="G54" s="8" t="s">
        <v>863</v>
      </c>
      <c r="H54" s="6">
        <f>SUMIFS(Table2[Quotas Avaliable],Table2[Event],"*Ski Mountaineering*")</f>
        <v>48</v>
      </c>
      <c r="I54" s="6">
        <f>SUMIFS(Table2[Quotas Missing],Table2[Event],"*Ski Mountaineering*")</f>
        <v>33</v>
      </c>
      <c r="J54" s="7">
        <f t="shared" si="2"/>
        <v>0.3125</v>
      </c>
      <c r="K54" s="6"/>
      <c r="L54" s="6"/>
    </row>
    <row r="55" spans="1:12" x14ac:dyDescent="0.3">
      <c r="A55" s="6" t="s">
        <v>29</v>
      </c>
      <c r="B55" s="6">
        <v>45</v>
      </c>
      <c r="C55" s="6" t="str" cm="1">
        <f t="array" ref="C55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55" s="6" cm="1">
        <f t="array" ref="D55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35</v>
      </c>
      <c r="E55" s="7">
        <f>Table2[[#This Row],[Quotas Missing]]/Table2[[#This Row],[Quotas Avaliable]]</f>
        <v>0.77777777777777779</v>
      </c>
      <c r="F55" s="6"/>
      <c r="G55" s="8" t="s">
        <v>805</v>
      </c>
      <c r="H55" s="6">
        <f>SUMIFS(Table2[Quotas Avaliable],Table2[Event],"*Snowboarding*")</f>
        <v>310</v>
      </c>
      <c r="I55" s="6">
        <f>SUMIFS(Table2[Quotas Missing],Table2[Event],"*Snowboarding*")</f>
        <v>218</v>
      </c>
      <c r="J55" s="7">
        <f t="shared" si="2"/>
        <v>0.29677419354838708</v>
      </c>
      <c r="K55" s="6"/>
      <c r="L55" s="6"/>
    </row>
    <row r="56" spans="1:12" x14ac:dyDescent="0.3">
      <c r="A56" s="6" t="s">
        <v>1084</v>
      </c>
      <c r="B56" s="6">
        <v>55</v>
      </c>
      <c r="C56" s="6" t="str" cm="1">
        <f t="array" ref="C56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56" s="6" cm="1">
        <f t="array" ref="D56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35</v>
      </c>
      <c r="E56" s="7">
        <f>Table2[[#This Row],[Quotas Missing]]/Table2[[#This Row],[Quotas Avaliable]]</f>
        <v>0.63636363636363635</v>
      </c>
      <c r="F56" s="6"/>
      <c r="G56" s="8" t="s">
        <v>806</v>
      </c>
      <c r="H56" s="6">
        <f>SUMIFS(Table2[Quotas Avaliable],Table2[Event],"*Speed Skating*")-H51</f>
        <v>312</v>
      </c>
      <c r="I56" s="6">
        <f>SUMIFS(Table2[Quotas Missing],Table2[Event],"*Speed Skating*")-I51</f>
        <v>211</v>
      </c>
      <c r="J56" s="7">
        <f t="shared" si="2"/>
        <v>0.32371794871794873</v>
      </c>
      <c r="K56" s="6"/>
      <c r="L56" s="6"/>
    </row>
    <row r="57" spans="1:12" x14ac:dyDescent="0.3">
      <c r="A57" s="6" t="s">
        <v>85</v>
      </c>
      <c r="B57" s="6">
        <v>40</v>
      </c>
      <c r="C57" s="6" t="str" cm="1">
        <f t="array" ref="C57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57" s="6" cm="1">
        <f t="array" ref="D57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34</v>
      </c>
      <c r="E57" s="7">
        <f>Table2[[#This Row],[Quotas Missing]]/Table2[[#This Row],[Quotas Avaliable]]</f>
        <v>0.85</v>
      </c>
      <c r="F57" s="6"/>
      <c r="H57" s="6">
        <f>SUM(H1:H56)</f>
        <v>12918</v>
      </c>
      <c r="I57" s="6">
        <f>SUM(I1:I56)</f>
        <v>8304</v>
      </c>
      <c r="J57" s="6">
        <f>COUNTIF(J1:J56,100%)</f>
        <v>3</v>
      </c>
    </row>
    <row r="58" spans="1:12" x14ac:dyDescent="0.3">
      <c r="A58" s="6" t="s">
        <v>158</v>
      </c>
      <c r="B58" s="6">
        <v>43</v>
      </c>
      <c r="C58" s="6" t="str" cm="1">
        <f t="array" ref="C58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58" s="6" cm="1">
        <f t="array" ref="D58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34</v>
      </c>
      <c r="E58" s="7">
        <f>Table2[[#This Row],[Quotas Missing]]/Table2[[#This Row],[Quotas Avaliable]]</f>
        <v>0.79069767441860461</v>
      </c>
      <c r="F58" s="6"/>
    </row>
    <row r="59" spans="1:12" x14ac:dyDescent="0.3">
      <c r="A59" s="6" t="s">
        <v>25</v>
      </c>
      <c r="B59" s="6">
        <v>45</v>
      </c>
      <c r="C59" s="6" t="str" cm="1">
        <f t="array" ref="C59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59" s="6" cm="1">
        <f t="array" ref="D59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34</v>
      </c>
      <c r="E59" s="7">
        <f>Table2[[#This Row],[Quotas Missing]]/Table2[[#This Row],[Quotas Avaliable]]</f>
        <v>0.75555555555555554</v>
      </c>
      <c r="F59" s="6"/>
    </row>
    <row r="60" spans="1:12" x14ac:dyDescent="0.3">
      <c r="A60" s="6" t="s">
        <v>24</v>
      </c>
      <c r="B60" s="6">
        <v>45</v>
      </c>
      <c r="C60" s="6" t="str" cm="1">
        <f t="array" ref="C60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60" s="6" cm="1">
        <f t="array" ref="D60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34</v>
      </c>
      <c r="E60" s="7">
        <f>Table2[[#This Row],[Quotas Missing]]/Table2[[#This Row],[Quotas Avaliable]]</f>
        <v>0.75555555555555554</v>
      </c>
      <c r="F60" s="6"/>
      <c r="G60" s="8" t="str">
        <f>INDEX(G1:G56, MATCH(MAX(I1:I56), I1:I56, 0))</f>
        <v>Athletics Quotas</v>
      </c>
      <c r="I60" s="6">
        <f>MAX(I1:I56)</f>
        <v>1259</v>
      </c>
      <c r="J60" s="7">
        <f>(I60/I57)</f>
        <v>0.15161368015414259</v>
      </c>
    </row>
    <row r="61" spans="1:12" x14ac:dyDescent="0.3">
      <c r="A61" s="6" t="s">
        <v>185</v>
      </c>
      <c r="B61" s="6">
        <v>46</v>
      </c>
      <c r="C61" s="6" t="str" cm="1">
        <f t="array" ref="C61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61" s="6" cm="1">
        <f t="array" ref="D61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33</v>
      </c>
      <c r="E61" s="7">
        <f>Table2[[#This Row],[Quotas Missing]]/Table2[[#This Row],[Quotas Avaliable]]</f>
        <v>0.71739130434782605</v>
      </c>
      <c r="F61" s="6"/>
      <c r="G61" s="8" t="str" cm="1">
        <f t="array" ref="G61">INDEX(G1:G56, MATCH(MIN(IF(I1:I56&gt;0,I1:I56)), I1:I56, 0))</f>
        <v>Basketball Quotas</v>
      </c>
      <c r="I61" s="6" cm="1">
        <f t="array" ref="I61">MIN(IF(I1:I56&gt;0,I1:I56))</f>
        <v>2</v>
      </c>
      <c r="J61" s="6"/>
    </row>
    <row r="62" spans="1:12" x14ac:dyDescent="0.3">
      <c r="A62" s="6" t="s">
        <v>1155</v>
      </c>
      <c r="B62" s="6">
        <v>45</v>
      </c>
      <c r="C62" s="6" t="str" cm="1">
        <f t="array" ref="C62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62" s="6" cm="1">
        <f t="array" ref="D62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33</v>
      </c>
      <c r="E62" s="7">
        <f>Table2[[#This Row],[Quotas Missing]]/Table2[[#This Row],[Quotas Avaliable]]</f>
        <v>0.73333333333333328</v>
      </c>
      <c r="F62" s="6"/>
    </row>
    <row r="63" spans="1:12" x14ac:dyDescent="0.3">
      <c r="A63" s="6" t="s">
        <v>1154</v>
      </c>
      <c r="B63" s="6">
        <v>49</v>
      </c>
      <c r="C63" s="6" t="str" cm="1">
        <f t="array" ref="C63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63" s="6" cm="1">
        <f t="array" ref="D63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32</v>
      </c>
      <c r="E63" s="7">
        <f>Table2[[#This Row],[Quotas Missing]]/Table2[[#This Row],[Quotas Avaliable]]</f>
        <v>0.65306122448979587</v>
      </c>
      <c r="F63" s="6"/>
    </row>
    <row r="64" spans="1:12" x14ac:dyDescent="0.3">
      <c r="A64" s="6" t="s">
        <v>28</v>
      </c>
      <c r="B64" s="6">
        <v>50</v>
      </c>
      <c r="C64" s="6" t="str" cm="1">
        <f t="array" ref="C64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64" s="6" cm="1">
        <f t="array" ref="D64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32</v>
      </c>
      <c r="E64" s="7">
        <f>Table2[[#This Row],[Quotas Missing]]/Table2[[#This Row],[Quotas Avaliable]]</f>
        <v>0.64</v>
      </c>
      <c r="F64" s="6"/>
    </row>
    <row r="65" spans="1:6" x14ac:dyDescent="0.3">
      <c r="A65" s="6" t="s">
        <v>157</v>
      </c>
      <c r="B65" s="6">
        <v>49</v>
      </c>
      <c r="C65" s="6" t="str" cm="1">
        <f t="array" ref="C65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65" s="6" cm="1">
        <f t="array" ref="D65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32</v>
      </c>
      <c r="E65" s="7">
        <f>Table2[[#This Row],[Quotas Missing]]/Table2[[#This Row],[Quotas Avaliable]]</f>
        <v>0.65306122448979587</v>
      </c>
      <c r="F65" s="6"/>
    </row>
    <row r="66" spans="1:6" x14ac:dyDescent="0.3">
      <c r="A66" s="6" t="s">
        <v>23</v>
      </c>
      <c r="B66" s="6">
        <v>43</v>
      </c>
      <c r="C66" s="6" t="str" cm="1">
        <f t="array" ref="C66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66" s="6" cm="1">
        <f t="array" ref="D66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31</v>
      </c>
      <c r="E66" s="7">
        <f>Table2[[#This Row],[Quotas Missing]]/Table2[[#This Row],[Quotas Avaliable]]</f>
        <v>0.72093023255813948</v>
      </c>
      <c r="F66" s="6"/>
    </row>
    <row r="67" spans="1:6" x14ac:dyDescent="0.3">
      <c r="A67" s="6" t="s">
        <v>150</v>
      </c>
      <c r="B67" s="6">
        <v>43</v>
      </c>
      <c r="C67" s="6" t="str" cm="1">
        <f t="array" ref="C67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67" s="6" cm="1">
        <f t="array" ref="D67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31</v>
      </c>
      <c r="E67" s="7">
        <f>Table2[[#This Row],[Quotas Missing]]/Table2[[#This Row],[Quotas Avaliable]]</f>
        <v>0.72093023255813948</v>
      </c>
      <c r="F67" s="6"/>
    </row>
    <row r="68" spans="1:6" x14ac:dyDescent="0.3">
      <c r="A68" s="6" t="s">
        <v>34</v>
      </c>
      <c r="B68" s="6">
        <v>40</v>
      </c>
      <c r="C68" s="6" t="str" cm="1">
        <f t="array" ref="C68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68" s="6" cm="1">
        <f t="array" ref="D68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31</v>
      </c>
      <c r="E68" s="7">
        <f>Table2[[#This Row],[Quotas Missing]]/Table2[[#This Row],[Quotas Avaliable]]</f>
        <v>0.77500000000000002</v>
      </c>
      <c r="F68" s="6"/>
    </row>
    <row r="69" spans="1:6" x14ac:dyDescent="0.3">
      <c r="A69" s="6" t="s">
        <v>251</v>
      </c>
      <c r="B69" s="6">
        <v>43</v>
      </c>
      <c r="C69" s="6" t="str" cm="1">
        <f t="array" ref="C69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69" s="6" cm="1">
        <f t="array" ref="D69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30</v>
      </c>
      <c r="E69" s="7">
        <f>Table2[[#This Row],[Quotas Missing]]/Table2[[#This Row],[Quotas Avaliable]]</f>
        <v>0.69767441860465118</v>
      </c>
      <c r="F69" s="6"/>
    </row>
    <row r="70" spans="1:6" x14ac:dyDescent="0.3">
      <c r="A70" s="6" t="s">
        <v>30</v>
      </c>
      <c r="B70" s="6">
        <v>44</v>
      </c>
      <c r="C70" s="6" t="str" cm="1">
        <f t="array" ref="C70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70" s="6" cm="1">
        <f t="array" ref="D70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30</v>
      </c>
      <c r="E70" s="7">
        <f>Table2[[#This Row],[Quotas Missing]]/Table2[[#This Row],[Quotas Avaliable]]</f>
        <v>0.68181818181818177</v>
      </c>
      <c r="F70" s="6"/>
    </row>
    <row r="71" spans="1:6" x14ac:dyDescent="0.3">
      <c r="A71" s="6" t="s">
        <v>59</v>
      </c>
      <c r="B71" s="6">
        <v>41</v>
      </c>
      <c r="C71" s="6" t="str" cm="1">
        <f t="array" ref="C71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71" s="6" cm="1">
        <f t="array" ref="D71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30</v>
      </c>
      <c r="E71" s="7">
        <f>Table2[[#This Row],[Quotas Missing]]/Table2[[#This Row],[Quotas Avaliable]]</f>
        <v>0.73170731707317072</v>
      </c>
      <c r="F71" s="6"/>
    </row>
    <row r="72" spans="1:6" x14ac:dyDescent="0.3">
      <c r="A72" s="6" t="s">
        <v>161</v>
      </c>
      <c r="B72" s="6">
        <v>44</v>
      </c>
      <c r="C72" s="6" t="str" cm="1">
        <f t="array" ref="C72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72" s="6" cm="1">
        <f t="array" ref="D72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30</v>
      </c>
      <c r="E72" s="7">
        <f>Table2[[#This Row],[Quotas Missing]]/Table2[[#This Row],[Quotas Avaliable]]</f>
        <v>0.68181818181818177</v>
      </c>
      <c r="F72" s="6"/>
    </row>
    <row r="73" spans="1:6" x14ac:dyDescent="0.3">
      <c r="A73" s="6" t="s">
        <v>194</v>
      </c>
      <c r="B73" s="6">
        <v>37</v>
      </c>
      <c r="C73" s="6" t="str" cm="1">
        <f t="array" ref="C73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73" s="6" cm="1">
        <f t="array" ref="D73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30</v>
      </c>
      <c r="E73" s="7">
        <f>Table2[[#This Row],[Quotas Missing]]/Table2[[#This Row],[Quotas Avaliable]]</f>
        <v>0.81081081081081086</v>
      </c>
      <c r="F73" s="6"/>
    </row>
    <row r="74" spans="1:6" x14ac:dyDescent="0.3">
      <c r="A74" s="6" t="s">
        <v>151</v>
      </c>
      <c r="B74" s="6">
        <v>43</v>
      </c>
      <c r="C74" s="6" t="str" cm="1">
        <f t="array" ref="C74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74" s="6" cm="1">
        <f t="array" ref="D74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29</v>
      </c>
      <c r="E74" s="7">
        <f>Table2[[#This Row],[Quotas Missing]]/Table2[[#This Row],[Quotas Avaliable]]</f>
        <v>0.67441860465116277</v>
      </c>
      <c r="F74" s="6"/>
    </row>
    <row r="75" spans="1:6" x14ac:dyDescent="0.3">
      <c r="A75" s="6" t="s">
        <v>1092</v>
      </c>
      <c r="B75" s="6">
        <v>36</v>
      </c>
      <c r="C75" s="6" t="str" cm="1">
        <f t="array" ref="C75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75" s="6" cm="1">
        <f t="array" ref="D75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29</v>
      </c>
      <c r="E75" s="7">
        <f>Table2[[#This Row],[Quotas Missing]]/Table2[[#This Row],[Quotas Avaliable]]</f>
        <v>0.80555555555555558</v>
      </c>
      <c r="F75" s="6"/>
    </row>
    <row r="76" spans="1:6" x14ac:dyDescent="0.3">
      <c r="A76" s="6" t="s">
        <v>160</v>
      </c>
      <c r="B76" s="6">
        <v>40</v>
      </c>
      <c r="C76" s="6" t="str" cm="1">
        <f t="array" ref="C76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76" s="6" cm="1">
        <f t="array" ref="D76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29</v>
      </c>
      <c r="E76" s="7">
        <f>Table2[[#This Row],[Quotas Missing]]/Table2[[#This Row],[Quotas Avaliable]]</f>
        <v>0.72499999999999998</v>
      </c>
      <c r="F76" s="6"/>
    </row>
    <row r="77" spans="1:6" x14ac:dyDescent="0.3">
      <c r="A77" s="6" t="s">
        <v>189</v>
      </c>
      <c r="B77" s="6">
        <v>40</v>
      </c>
      <c r="C77" s="6" t="str" cm="1">
        <f t="array" ref="C77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77" s="6" cm="1">
        <f t="array" ref="D77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29</v>
      </c>
      <c r="E77" s="7">
        <f>Table2[[#This Row],[Quotas Missing]]/Table2[[#This Row],[Quotas Avaliable]]</f>
        <v>0.72499999999999998</v>
      </c>
      <c r="F77" s="6"/>
    </row>
    <row r="78" spans="1:6" x14ac:dyDescent="0.3">
      <c r="A78" s="6" t="s">
        <v>60</v>
      </c>
      <c r="B78" s="6">
        <v>39</v>
      </c>
      <c r="C78" s="6" t="str" cm="1">
        <f t="array" ref="C78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78" s="6" cm="1">
        <f t="array" ref="D78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28</v>
      </c>
      <c r="E78" s="7">
        <f>Table2[[#This Row],[Quotas Missing]]/Table2[[#This Row],[Quotas Avaliable]]</f>
        <v>0.71794871794871795</v>
      </c>
      <c r="F78" s="6"/>
    </row>
    <row r="79" spans="1:6" x14ac:dyDescent="0.3">
      <c r="A79" s="6" t="s">
        <v>1133</v>
      </c>
      <c r="B79" s="6">
        <v>50</v>
      </c>
      <c r="C79" s="6" t="str" cm="1">
        <f t="array" ref="C79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79" s="6" cm="1">
        <f t="array" ref="D79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28</v>
      </c>
      <c r="E79" s="7">
        <f>Table2[[#This Row],[Quotas Missing]]/Table2[[#This Row],[Quotas Avaliable]]</f>
        <v>0.56000000000000005</v>
      </c>
      <c r="F79" s="6"/>
    </row>
    <row r="80" spans="1:6" x14ac:dyDescent="0.3">
      <c r="A80" s="6" t="s">
        <v>1094</v>
      </c>
      <c r="B80" s="6">
        <v>36</v>
      </c>
      <c r="C80" s="6" t="str" cm="1">
        <f t="array" ref="C80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80" s="6" cm="1">
        <f t="array" ref="D80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28</v>
      </c>
      <c r="E80" s="7">
        <f>Table2[[#This Row],[Quotas Missing]]/Table2[[#This Row],[Quotas Avaliable]]</f>
        <v>0.77777777777777779</v>
      </c>
      <c r="F80" s="6"/>
    </row>
    <row r="81" spans="1:6" x14ac:dyDescent="0.3">
      <c r="A81" s="6" t="s">
        <v>106</v>
      </c>
      <c r="B81" s="6">
        <v>35</v>
      </c>
      <c r="C81" s="6" t="str" cm="1">
        <f t="array" ref="C81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81" s="6" cm="1">
        <f t="array" ref="D81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28</v>
      </c>
      <c r="E81" s="7">
        <f>Table2[[#This Row],[Quotas Missing]]/Table2[[#This Row],[Quotas Avaliable]]</f>
        <v>0.8</v>
      </c>
      <c r="F81" s="6"/>
    </row>
    <row r="82" spans="1:6" x14ac:dyDescent="0.3">
      <c r="A82" s="6" t="s">
        <v>1110</v>
      </c>
      <c r="B82" s="6">
        <v>36</v>
      </c>
      <c r="C82" s="6" t="str" cm="1">
        <f t="array" ref="C82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82" s="6" cm="1">
        <f t="array" ref="D82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28</v>
      </c>
      <c r="E82" s="7">
        <f>Table2[[#This Row],[Quotas Missing]]/Table2[[#This Row],[Quotas Avaliable]]</f>
        <v>0.77777777777777779</v>
      </c>
      <c r="F82" s="6"/>
    </row>
    <row r="83" spans="1:6" x14ac:dyDescent="0.3">
      <c r="A83" s="6" t="s">
        <v>155</v>
      </c>
      <c r="B83" s="6">
        <v>33</v>
      </c>
      <c r="C83" s="6" t="str" cm="1">
        <f t="array" ref="C83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83" s="6" cm="1">
        <f t="array" ref="D83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28</v>
      </c>
      <c r="E83" s="7">
        <f>Table2[[#This Row],[Quotas Missing]]/Table2[[#This Row],[Quotas Avaliable]]</f>
        <v>0.84848484848484851</v>
      </c>
      <c r="F83" s="6"/>
    </row>
    <row r="84" spans="1:6" x14ac:dyDescent="0.3">
      <c r="A84" s="6" t="s">
        <v>179</v>
      </c>
      <c r="B84" s="6">
        <v>37</v>
      </c>
      <c r="C84" s="6" t="str" cm="1">
        <f t="array" ref="C84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84" s="6" cm="1">
        <f t="array" ref="D84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28</v>
      </c>
      <c r="E84" s="7">
        <f>Table2[[#This Row],[Quotas Missing]]/Table2[[#This Row],[Quotas Avaliable]]</f>
        <v>0.7567567567567568</v>
      </c>
      <c r="F84" s="6"/>
    </row>
    <row r="85" spans="1:6" x14ac:dyDescent="0.3">
      <c r="A85" s="6" t="s">
        <v>1132</v>
      </c>
      <c r="B85" s="6">
        <v>47</v>
      </c>
      <c r="C85" s="6" t="str" cm="1">
        <f t="array" ref="C85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85" s="6" cm="1">
        <f t="array" ref="D85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27</v>
      </c>
      <c r="E85" s="7">
        <f>Table2[[#This Row],[Quotas Missing]]/Table2[[#This Row],[Quotas Avaliable]]</f>
        <v>0.57446808510638303</v>
      </c>
      <c r="F85" s="6"/>
    </row>
    <row r="86" spans="1:6" x14ac:dyDescent="0.3">
      <c r="A86" s="6" t="s">
        <v>807</v>
      </c>
      <c r="B86" s="6">
        <v>36</v>
      </c>
      <c r="C86" s="6" t="str" cm="1">
        <f t="array" ref="C86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86" s="6" cm="1">
        <f t="array" ref="D86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27</v>
      </c>
      <c r="E86" s="7">
        <f>Table2[[#This Row],[Quotas Missing]]/Table2[[#This Row],[Quotas Avaliable]]</f>
        <v>0.75</v>
      </c>
      <c r="F86" s="6"/>
    </row>
    <row r="87" spans="1:6" x14ac:dyDescent="0.3">
      <c r="A87" s="6" t="s">
        <v>808</v>
      </c>
      <c r="B87" s="6">
        <v>36</v>
      </c>
      <c r="C87" s="6" t="str" cm="1">
        <f t="array" ref="C87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87" s="6" cm="1">
        <f t="array" ref="D87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27</v>
      </c>
      <c r="E87" s="7">
        <f>Table2[[#This Row],[Quotas Missing]]/Table2[[#This Row],[Quotas Avaliable]]</f>
        <v>0.75</v>
      </c>
      <c r="F87" s="6"/>
    </row>
    <row r="88" spans="1:6" x14ac:dyDescent="0.3">
      <c r="A88" s="6" t="s">
        <v>162</v>
      </c>
      <c r="B88" s="6">
        <v>32</v>
      </c>
      <c r="C88" s="6" t="str" cm="1">
        <f t="array" ref="C88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88" s="6" cm="1">
        <f t="array" ref="D88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26</v>
      </c>
      <c r="E88" s="7">
        <f>Table2[[#This Row],[Quotas Missing]]/Table2[[#This Row],[Quotas Avaliable]]</f>
        <v>0.8125</v>
      </c>
      <c r="F88" s="6"/>
    </row>
    <row r="89" spans="1:6" x14ac:dyDescent="0.3">
      <c r="A89" s="6" t="s">
        <v>186</v>
      </c>
      <c r="B89" s="6">
        <v>36</v>
      </c>
      <c r="C89" s="6" t="str" cm="1">
        <f t="array" ref="C89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89" s="6" cm="1">
        <f t="array" ref="D89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26</v>
      </c>
      <c r="E89" s="7">
        <f>Table2[[#This Row],[Quotas Missing]]/Table2[[#This Row],[Quotas Avaliable]]</f>
        <v>0.72222222222222221</v>
      </c>
      <c r="F89" s="6"/>
    </row>
    <row r="90" spans="1:6" x14ac:dyDescent="0.3">
      <c r="A90" s="6" t="s">
        <v>37</v>
      </c>
      <c r="B90" s="6">
        <v>36</v>
      </c>
      <c r="C90" s="6" t="str" cm="1">
        <f t="array" ref="C90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90" s="6" cm="1">
        <f t="array" ref="D90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26</v>
      </c>
      <c r="E90" s="7">
        <f>Table2[[#This Row],[Quotas Missing]]/Table2[[#This Row],[Quotas Avaliable]]</f>
        <v>0.72222222222222221</v>
      </c>
      <c r="F90" s="6"/>
    </row>
    <row r="91" spans="1:6" x14ac:dyDescent="0.3">
      <c r="A91" s="6" t="s">
        <v>86</v>
      </c>
      <c r="B91" s="6">
        <v>29</v>
      </c>
      <c r="C91" s="6" t="str" cm="1">
        <f t="array" ref="C91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91" s="6" cm="1">
        <f t="array" ref="D91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26</v>
      </c>
      <c r="E91" s="7">
        <f>Table2[[#This Row],[Quotas Missing]]/Table2[[#This Row],[Quotas Avaliable]]</f>
        <v>0.89655172413793105</v>
      </c>
      <c r="F91" s="6"/>
    </row>
    <row r="92" spans="1:6" x14ac:dyDescent="0.3">
      <c r="A92" s="6" t="s">
        <v>81</v>
      </c>
      <c r="B92" s="6">
        <v>33</v>
      </c>
      <c r="C92" s="6" t="str" cm="1">
        <f t="array" ref="C92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92" s="6" cm="1">
        <f t="array" ref="D92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26</v>
      </c>
      <c r="E92" s="7">
        <f>Table2[[#This Row],[Quotas Missing]]/Table2[[#This Row],[Quotas Avaliable]]</f>
        <v>0.78787878787878785</v>
      </c>
      <c r="F92" s="6"/>
    </row>
    <row r="93" spans="1:6" x14ac:dyDescent="0.3">
      <c r="A93" s="6" t="s">
        <v>1088</v>
      </c>
      <c r="B93" s="6">
        <v>37</v>
      </c>
      <c r="C93" s="6" t="str" cm="1">
        <f t="array" ref="C93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93" s="6" cm="1">
        <f t="array" ref="D93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26</v>
      </c>
      <c r="E93" s="7">
        <f>Table2[[#This Row],[Quotas Missing]]/Table2[[#This Row],[Quotas Avaliable]]</f>
        <v>0.70270270270270274</v>
      </c>
      <c r="F93" s="6"/>
    </row>
    <row r="94" spans="1:6" x14ac:dyDescent="0.3">
      <c r="A94" s="6" t="s">
        <v>163</v>
      </c>
      <c r="B94" s="6">
        <v>30</v>
      </c>
      <c r="C94" s="6" t="str" cm="1">
        <f t="array" ref="C94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94" s="6" cm="1">
        <f t="array" ref="D94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26</v>
      </c>
      <c r="E94" s="7">
        <f>Table2[[#This Row],[Quotas Missing]]/Table2[[#This Row],[Quotas Avaliable]]</f>
        <v>0.8666666666666667</v>
      </c>
      <c r="F94" s="6"/>
    </row>
    <row r="95" spans="1:6" x14ac:dyDescent="0.3">
      <c r="A95" s="6" t="s">
        <v>138</v>
      </c>
      <c r="B95" s="6">
        <v>32</v>
      </c>
      <c r="C95" s="6" t="str" cm="1">
        <f t="array" ref="C95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95" s="6" cm="1">
        <f t="array" ref="D95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25</v>
      </c>
      <c r="E95" s="7">
        <f>Table2[[#This Row],[Quotas Missing]]/Table2[[#This Row],[Quotas Avaliable]]</f>
        <v>0.78125</v>
      </c>
      <c r="F95" s="6"/>
    </row>
    <row r="96" spans="1:6" x14ac:dyDescent="0.3">
      <c r="A96" s="6" t="s">
        <v>137</v>
      </c>
      <c r="B96" s="6">
        <v>33</v>
      </c>
      <c r="C96" s="6" t="str" cm="1">
        <f t="array" ref="C96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96" s="6" cm="1">
        <f t="array" ref="D96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25</v>
      </c>
      <c r="E96" s="7">
        <f>Table2[[#This Row],[Quotas Missing]]/Table2[[#This Row],[Quotas Avaliable]]</f>
        <v>0.75757575757575757</v>
      </c>
      <c r="F96" s="6"/>
    </row>
    <row r="97" spans="1:6" x14ac:dyDescent="0.3">
      <c r="A97" s="6" t="s">
        <v>33</v>
      </c>
      <c r="B97" s="6">
        <v>40</v>
      </c>
      <c r="C97" s="6" t="str" cm="1">
        <f t="array" ref="C97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97" s="6" cm="1">
        <f t="array" ref="D97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25</v>
      </c>
      <c r="E97" s="7">
        <f>Table2[[#This Row],[Quotas Missing]]/Table2[[#This Row],[Quotas Avaliable]]</f>
        <v>0.625</v>
      </c>
      <c r="F97" s="6"/>
    </row>
    <row r="98" spans="1:6" x14ac:dyDescent="0.3">
      <c r="A98" s="6" t="s">
        <v>31</v>
      </c>
      <c r="B98" s="6">
        <v>39</v>
      </c>
      <c r="C98" s="6" t="str" cm="1">
        <f t="array" ref="C98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98" s="6" cm="1">
        <f t="array" ref="D98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25</v>
      </c>
      <c r="E98" s="7">
        <f>Table2[[#This Row],[Quotas Missing]]/Table2[[#This Row],[Quotas Avaliable]]</f>
        <v>0.64102564102564108</v>
      </c>
      <c r="F98" s="6"/>
    </row>
    <row r="99" spans="1:6" x14ac:dyDescent="0.3">
      <c r="A99" s="6" t="s">
        <v>42</v>
      </c>
      <c r="B99" s="6">
        <v>32</v>
      </c>
      <c r="C99" s="6" t="str" cm="1">
        <f t="array" ref="C99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99" s="6" cm="1">
        <f t="array" ref="D99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25</v>
      </c>
      <c r="E99" s="7">
        <f>Table2[[#This Row],[Quotas Missing]]/Table2[[#This Row],[Quotas Avaliable]]</f>
        <v>0.78125</v>
      </c>
      <c r="F99" s="6"/>
    </row>
    <row r="100" spans="1:6" x14ac:dyDescent="0.3">
      <c r="A100" s="6" t="s">
        <v>277</v>
      </c>
      <c r="B100" s="6">
        <v>29</v>
      </c>
      <c r="C100" s="6" t="str" cm="1">
        <f t="array" ref="C100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00" s="6" cm="1">
        <f t="array" ref="D100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25</v>
      </c>
      <c r="E100" s="7">
        <f>Table2[[#This Row],[Quotas Missing]]/Table2[[#This Row],[Quotas Avaliable]]</f>
        <v>0.86206896551724133</v>
      </c>
      <c r="F100" s="6"/>
    </row>
    <row r="101" spans="1:6" x14ac:dyDescent="0.3">
      <c r="A101" s="6" t="s">
        <v>125</v>
      </c>
      <c r="B101" s="6">
        <v>33</v>
      </c>
      <c r="C101" s="6" t="str" cm="1">
        <f t="array" ref="C101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01" s="6" cm="1">
        <f t="array" ref="D101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25</v>
      </c>
      <c r="E101" s="7">
        <f>Table2[[#This Row],[Quotas Missing]]/Table2[[#This Row],[Quotas Avaliable]]</f>
        <v>0.75757575757575757</v>
      </c>
      <c r="F101" s="6"/>
    </row>
    <row r="102" spans="1:6" x14ac:dyDescent="0.3">
      <c r="A102" s="6" t="s">
        <v>811</v>
      </c>
      <c r="B102" s="6">
        <v>32</v>
      </c>
      <c r="C102" s="6" t="str" cm="1">
        <f t="array" ref="C102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02" s="6" cm="1">
        <f t="array" ref="D102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25</v>
      </c>
      <c r="E102" s="7">
        <f>Table2[[#This Row],[Quotas Missing]]/Table2[[#This Row],[Quotas Avaliable]]</f>
        <v>0.78125</v>
      </c>
      <c r="F102" s="6"/>
    </row>
    <row r="103" spans="1:6" x14ac:dyDescent="0.3">
      <c r="A103" s="6" t="s">
        <v>812</v>
      </c>
      <c r="B103" s="6">
        <v>32</v>
      </c>
      <c r="C103" s="6" t="str" cm="1">
        <f t="array" ref="C103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03" s="6" cm="1">
        <f t="array" ref="D103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25</v>
      </c>
      <c r="E103" s="7">
        <f>Table2[[#This Row],[Quotas Missing]]/Table2[[#This Row],[Quotas Avaliable]]</f>
        <v>0.78125</v>
      </c>
      <c r="F103" s="6"/>
    </row>
    <row r="104" spans="1:6" x14ac:dyDescent="0.3">
      <c r="A104" s="6" t="s">
        <v>307</v>
      </c>
      <c r="B104" s="6">
        <v>32</v>
      </c>
      <c r="C104" s="6" t="str" cm="1">
        <f t="array" ref="C104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04" s="6" cm="1">
        <f t="array" ref="D104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25</v>
      </c>
      <c r="E104" s="7">
        <f>Table2[[#This Row],[Quotas Missing]]/Table2[[#This Row],[Quotas Avaliable]]</f>
        <v>0.78125</v>
      </c>
      <c r="F104" s="6"/>
    </row>
    <row r="105" spans="1:6" x14ac:dyDescent="0.3">
      <c r="A105" s="6" t="s">
        <v>193</v>
      </c>
      <c r="B105" s="6">
        <v>36</v>
      </c>
      <c r="C105" s="6" t="str" cm="1">
        <f t="array" ref="C105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05" s="6" cm="1">
        <f t="array" ref="D105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25</v>
      </c>
      <c r="E105" s="7">
        <f>Table2[[#This Row],[Quotas Missing]]/Table2[[#This Row],[Quotas Avaliable]]</f>
        <v>0.69444444444444442</v>
      </c>
      <c r="F105" s="6"/>
    </row>
    <row r="106" spans="1:6" x14ac:dyDescent="0.3">
      <c r="A106" s="6" t="s">
        <v>105</v>
      </c>
      <c r="B106" s="6">
        <v>34</v>
      </c>
      <c r="C106" s="6" t="str" cm="1">
        <f t="array" ref="C106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06" s="6" cm="1">
        <f t="array" ref="D106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24</v>
      </c>
      <c r="E106" s="7">
        <f>Table2[[#This Row],[Quotas Missing]]/Table2[[#This Row],[Quotas Avaliable]]</f>
        <v>0.70588235294117652</v>
      </c>
      <c r="F106" s="6"/>
    </row>
    <row r="107" spans="1:6" x14ac:dyDescent="0.3">
      <c r="A107" s="6" t="s">
        <v>45</v>
      </c>
      <c r="B107" s="6">
        <v>31</v>
      </c>
      <c r="C107" s="6" t="str" cm="1">
        <f t="array" ref="C107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07" s="6" cm="1">
        <f t="array" ref="D107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24</v>
      </c>
      <c r="E107" s="7">
        <f>Table2[[#This Row],[Quotas Missing]]/Table2[[#This Row],[Quotas Avaliable]]</f>
        <v>0.77419354838709675</v>
      </c>
      <c r="F107" s="6"/>
    </row>
    <row r="108" spans="1:6" x14ac:dyDescent="0.3">
      <c r="A108" s="6" t="s">
        <v>36</v>
      </c>
      <c r="B108" s="6">
        <v>39</v>
      </c>
      <c r="C108" s="6" t="str" cm="1">
        <f t="array" ref="C108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08" s="6" cm="1">
        <f t="array" ref="D108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24</v>
      </c>
      <c r="E108" s="7">
        <f>Table2[[#This Row],[Quotas Missing]]/Table2[[#This Row],[Quotas Avaliable]]</f>
        <v>0.61538461538461542</v>
      </c>
      <c r="F108" s="6"/>
    </row>
    <row r="109" spans="1:6" x14ac:dyDescent="0.3">
      <c r="A109" s="6" t="s">
        <v>56</v>
      </c>
      <c r="B109" s="6">
        <v>30</v>
      </c>
      <c r="C109" s="6" t="str" cm="1">
        <f t="array" ref="C109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09" s="6" cm="1">
        <f t="array" ref="D109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24</v>
      </c>
      <c r="E109" s="7">
        <f>Table2[[#This Row],[Quotas Missing]]/Table2[[#This Row],[Quotas Avaliable]]</f>
        <v>0.8</v>
      </c>
      <c r="F109" s="6"/>
    </row>
    <row r="110" spans="1:6" x14ac:dyDescent="0.3">
      <c r="A110" s="6" t="s">
        <v>1101</v>
      </c>
      <c r="B110" s="6">
        <v>34</v>
      </c>
      <c r="C110" s="6" t="str" cm="1">
        <f t="array" ref="C110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10" s="6" cm="1">
        <f t="array" ref="D110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24</v>
      </c>
      <c r="E110" s="7">
        <f>Table2[[#This Row],[Quotas Missing]]/Table2[[#This Row],[Quotas Avaliable]]</f>
        <v>0.70588235294117652</v>
      </c>
      <c r="F110" s="6"/>
    </row>
    <row r="111" spans="1:6" x14ac:dyDescent="0.3">
      <c r="A111" s="6" t="s">
        <v>131</v>
      </c>
      <c r="B111" s="6">
        <v>28</v>
      </c>
      <c r="C111" s="6" t="str" cm="1">
        <f t="array" ref="C111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11" s="6" cm="1">
        <f t="array" ref="D111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24</v>
      </c>
      <c r="E111" s="7">
        <f>Table2[[#This Row],[Quotas Missing]]/Table2[[#This Row],[Quotas Avaliable]]</f>
        <v>0.8571428571428571</v>
      </c>
      <c r="F111" s="6"/>
    </row>
    <row r="112" spans="1:6" x14ac:dyDescent="0.3">
      <c r="A112" s="6" t="s">
        <v>165</v>
      </c>
      <c r="B112" s="6">
        <v>30</v>
      </c>
      <c r="C112" s="6" t="str" cm="1">
        <f t="array" ref="C112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12" s="6" cm="1">
        <f t="array" ref="D112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24</v>
      </c>
      <c r="E112" s="7">
        <f>Table2[[#This Row],[Quotas Missing]]/Table2[[#This Row],[Quotas Avaliable]]</f>
        <v>0.8</v>
      </c>
      <c r="F112" s="6"/>
    </row>
    <row r="113" spans="1:6" x14ac:dyDescent="0.3">
      <c r="A113" s="6" t="s">
        <v>810</v>
      </c>
      <c r="B113" s="6">
        <v>32</v>
      </c>
      <c r="C113" s="6" t="str" cm="1">
        <f t="array" ref="C113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13" s="6" cm="1">
        <f t="array" ref="D113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24</v>
      </c>
      <c r="E113" s="7">
        <f>Table2[[#This Row],[Quotas Missing]]/Table2[[#This Row],[Quotas Avaliable]]</f>
        <v>0.75</v>
      </c>
      <c r="F113" s="6"/>
    </row>
    <row r="114" spans="1:6" x14ac:dyDescent="0.3">
      <c r="A114" s="6" t="s">
        <v>809</v>
      </c>
      <c r="B114" s="6">
        <v>32</v>
      </c>
      <c r="C114" s="6" t="str" cm="1">
        <f t="array" ref="C114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14" s="6" cm="1">
        <f t="array" ref="D114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24</v>
      </c>
      <c r="E114" s="7">
        <f>Table2[[#This Row],[Quotas Missing]]/Table2[[#This Row],[Quotas Avaliable]]</f>
        <v>0.75</v>
      </c>
      <c r="F114" s="6"/>
    </row>
    <row r="115" spans="1:6" x14ac:dyDescent="0.3">
      <c r="A115" s="6" t="s">
        <v>306</v>
      </c>
      <c r="B115" s="6">
        <v>32</v>
      </c>
      <c r="C115" s="6" t="str" cm="1">
        <f t="array" ref="C115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15" s="6" cm="1">
        <f t="array" ref="D115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24</v>
      </c>
      <c r="E115" s="7">
        <f>Table2[[#This Row],[Quotas Missing]]/Table2[[#This Row],[Quotas Avaliable]]</f>
        <v>0.75</v>
      </c>
      <c r="F115" s="6"/>
    </row>
    <row r="116" spans="1:6" x14ac:dyDescent="0.3">
      <c r="A116" s="6" t="s">
        <v>310</v>
      </c>
      <c r="B116" s="6">
        <v>32</v>
      </c>
      <c r="C116" s="6" t="str" cm="1">
        <f t="array" ref="C116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16" s="6" cm="1">
        <f t="array" ref="D116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24</v>
      </c>
      <c r="E116" s="7">
        <f>Table2[[#This Row],[Quotas Missing]]/Table2[[#This Row],[Quotas Avaliable]]</f>
        <v>0.75</v>
      </c>
      <c r="F116" s="6"/>
    </row>
    <row r="117" spans="1:6" x14ac:dyDescent="0.3">
      <c r="A117" s="6" t="s">
        <v>312</v>
      </c>
      <c r="B117" s="6">
        <v>29</v>
      </c>
      <c r="C117" s="6" t="str" cm="1">
        <f t="array" ref="C117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17" s="6" cm="1">
        <f t="array" ref="D117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24</v>
      </c>
      <c r="E117" s="7">
        <f>Table2[[#This Row],[Quotas Missing]]/Table2[[#This Row],[Quotas Avaliable]]</f>
        <v>0.82758620689655171</v>
      </c>
      <c r="F117" s="6"/>
    </row>
    <row r="118" spans="1:6" x14ac:dyDescent="0.3">
      <c r="A118" s="6" t="s">
        <v>191</v>
      </c>
      <c r="B118" s="6">
        <v>27</v>
      </c>
      <c r="C118" s="6" t="str" cm="1">
        <f t="array" ref="C118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18" s="6" cm="1">
        <f t="array" ref="D118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24</v>
      </c>
      <c r="E118" s="7">
        <f>Table2[[#This Row],[Quotas Missing]]/Table2[[#This Row],[Quotas Avaliable]]</f>
        <v>0.88888888888888884</v>
      </c>
      <c r="F118" s="6"/>
    </row>
    <row r="119" spans="1:6" x14ac:dyDescent="0.3">
      <c r="A119" s="6" t="s">
        <v>178</v>
      </c>
      <c r="B119" s="6">
        <v>31</v>
      </c>
      <c r="C119" s="6" t="str" cm="1">
        <f t="array" ref="C119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19" s="6" cm="1">
        <f t="array" ref="D119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24</v>
      </c>
      <c r="E119" s="7">
        <f>Table2[[#This Row],[Quotas Missing]]/Table2[[#This Row],[Quotas Avaliable]]</f>
        <v>0.77419354838709675</v>
      </c>
      <c r="F119" s="6"/>
    </row>
    <row r="120" spans="1:6" x14ac:dyDescent="0.3">
      <c r="A120" s="6" t="s">
        <v>1115</v>
      </c>
      <c r="B120" s="6">
        <v>34</v>
      </c>
      <c r="C120" s="6" t="str" cm="1">
        <f t="array" ref="C120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20" s="6" cm="1">
        <f t="array" ref="D120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24</v>
      </c>
      <c r="E120" s="7">
        <f>Table2[[#This Row],[Quotas Missing]]/Table2[[#This Row],[Quotas Avaliable]]</f>
        <v>0.70588235294117652</v>
      </c>
      <c r="F120" s="6"/>
    </row>
    <row r="121" spans="1:6" x14ac:dyDescent="0.3">
      <c r="A121" s="6" t="s">
        <v>49</v>
      </c>
      <c r="B121" s="6">
        <v>33</v>
      </c>
      <c r="C121" s="6" t="str" cm="1">
        <f t="array" ref="C121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21" s="6" cm="1">
        <f t="array" ref="D121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23</v>
      </c>
      <c r="E121" s="7">
        <f>Table2[[#This Row],[Quotas Missing]]/Table2[[#This Row],[Quotas Avaliable]]</f>
        <v>0.69696969696969702</v>
      </c>
      <c r="F121" s="6"/>
    </row>
    <row r="122" spans="1:6" x14ac:dyDescent="0.3">
      <c r="A122" s="6" t="s">
        <v>1091</v>
      </c>
      <c r="B122" s="6">
        <v>36</v>
      </c>
      <c r="C122" s="6" t="str" cm="1">
        <f t="array" ref="C122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22" s="6" cm="1">
        <f t="array" ref="D122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23</v>
      </c>
      <c r="E122" s="7">
        <f>Table2[[#This Row],[Quotas Missing]]/Table2[[#This Row],[Quotas Avaliable]]</f>
        <v>0.63888888888888884</v>
      </c>
      <c r="F122" s="6"/>
    </row>
    <row r="123" spans="1:6" x14ac:dyDescent="0.3">
      <c r="A123" s="6" t="s">
        <v>250</v>
      </c>
      <c r="B123" s="6">
        <v>42</v>
      </c>
      <c r="C123" s="6" t="str" cm="1">
        <f t="array" ref="C123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23" s="6" cm="1">
        <f t="array" ref="D123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23</v>
      </c>
      <c r="E123" s="7">
        <f>Table2[[#This Row],[Quotas Missing]]/Table2[[#This Row],[Quotas Avaliable]]</f>
        <v>0.54761904761904767</v>
      </c>
      <c r="F123" s="6"/>
    </row>
    <row r="124" spans="1:6" x14ac:dyDescent="0.3">
      <c r="A124" s="6" t="s">
        <v>1102</v>
      </c>
      <c r="B124" s="6">
        <v>36</v>
      </c>
      <c r="C124" s="6" t="str" cm="1">
        <f t="array" ref="C124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24" s="6" cm="1">
        <f t="array" ref="D124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23</v>
      </c>
      <c r="E124" s="7">
        <f>Table2[[#This Row],[Quotas Missing]]/Table2[[#This Row],[Quotas Avaliable]]</f>
        <v>0.63888888888888884</v>
      </c>
      <c r="F124" s="6"/>
    </row>
    <row r="125" spans="1:6" x14ac:dyDescent="0.3">
      <c r="A125" s="6" t="s">
        <v>245</v>
      </c>
      <c r="B125" s="6">
        <v>36</v>
      </c>
      <c r="C125" s="6" t="str" cm="1">
        <f t="array" ref="C125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25" s="6" cm="1">
        <f t="array" ref="D125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23</v>
      </c>
      <c r="E125" s="7">
        <f>Table2[[#This Row],[Quotas Missing]]/Table2[[#This Row],[Quotas Avaliable]]</f>
        <v>0.63888888888888884</v>
      </c>
      <c r="F125" s="6"/>
    </row>
    <row r="126" spans="1:6" x14ac:dyDescent="0.3">
      <c r="A126" s="6" t="s">
        <v>35</v>
      </c>
      <c r="B126" s="6">
        <v>39</v>
      </c>
      <c r="C126" s="6" t="str" cm="1">
        <f t="array" ref="C126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26" s="6" cm="1">
        <f t="array" ref="D126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23</v>
      </c>
      <c r="E126" s="7">
        <f>Table2[[#This Row],[Quotas Missing]]/Table2[[#This Row],[Quotas Avaliable]]</f>
        <v>0.58974358974358976</v>
      </c>
      <c r="F126" s="6"/>
    </row>
    <row r="127" spans="1:6" x14ac:dyDescent="0.3">
      <c r="A127" s="6" t="s">
        <v>47</v>
      </c>
      <c r="B127" s="6">
        <v>32</v>
      </c>
      <c r="C127" s="6" t="str" cm="1">
        <f t="array" ref="C127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27" s="6" cm="1">
        <f t="array" ref="D127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23</v>
      </c>
      <c r="E127" s="7">
        <f>Table2[[#This Row],[Quotas Missing]]/Table2[[#This Row],[Quotas Avaliable]]</f>
        <v>0.71875</v>
      </c>
      <c r="F127" s="6"/>
    </row>
    <row r="128" spans="1:6" x14ac:dyDescent="0.3">
      <c r="A128" s="6" t="s">
        <v>38</v>
      </c>
      <c r="B128" s="6">
        <v>36</v>
      </c>
      <c r="C128" s="6" t="str" cm="1">
        <f t="array" ref="C128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28" s="6" cm="1">
        <f t="array" ref="D128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23</v>
      </c>
      <c r="E128" s="7">
        <f>Table2[[#This Row],[Quotas Missing]]/Table2[[#This Row],[Quotas Avaliable]]</f>
        <v>0.63888888888888884</v>
      </c>
      <c r="F128" s="6"/>
    </row>
    <row r="129" spans="1:6" x14ac:dyDescent="0.3">
      <c r="A129" s="6" t="s">
        <v>96</v>
      </c>
      <c r="B129" s="6">
        <v>30</v>
      </c>
      <c r="C129" s="6" t="str" cm="1">
        <f t="array" ref="C129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29" s="6" cm="1">
        <f t="array" ref="D129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23</v>
      </c>
      <c r="E129" s="7">
        <f>Table2[[#This Row],[Quotas Missing]]/Table2[[#This Row],[Quotas Avaliable]]</f>
        <v>0.76666666666666672</v>
      </c>
      <c r="F129" s="6"/>
    </row>
    <row r="130" spans="1:6" x14ac:dyDescent="0.3">
      <c r="A130" s="6" t="s">
        <v>1097</v>
      </c>
      <c r="B130" s="6">
        <v>37</v>
      </c>
      <c r="C130" s="6" t="str" cm="1">
        <f t="array" ref="C130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30" s="6" cm="1">
        <f t="array" ref="D130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23</v>
      </c>
      <c r="E130" s="7">
        <f>Table2[[#This Row],[Quotas Missing]]/Table2[[#This Row],[Quotas Avaliable]]</f>
        <v>0.6216216216216216</v>
      </c>
      <c r="F130" s="6"/>
    </row>
    <row r="131" spans="1:6" x14ac:dyDescent="0.3">
      <c r="A131" s="6" t="s">
        <v>276</v>
      </c>
      <c r="B131" s="6">
        <v>29</v>
      </c>
      <c r="C131" s="6" t="str" cm="1">
        <f t="array" ref="C131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31" s="6" cm="1">
        <f t="array" ref="D131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23</v>
      </c>
      <c r="E131" s="7">
        <f>Table2[[#This Row],[Quotas Missing]]/Table2[[#This Row],[Quotas Avaliable]]</f>
        <v>0.7931034482758621</v>
      </c>
      <c r="F131" s="6"/>
    </row>
    <row r="132" spans="1:6" x14ac:dyDescent="0.3">
      <c r="A132" s="6" t="s">
        <v>123</v>
      </c>
      <c r="B132" s="6">
        <v>27</v>
      </c>
      <c r="C132" s="6" t="str" cm="1">
        <f t="array" ref="C132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32" s="6" cm="1">
        <f t="array" ref="D132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23</v>
      </c>
      <c r="E132" s="7">
        <f>Table2[[#This Row],[Quotas Missing]]/Table2[[#This Row],[Quotas Avaliable]]</f>
        <v>0.85185185185185186</v>
      </c>
      <c r="F132" s="6"/>
    </row>
    <row r="133" spans="1:6" x14ac:dyDescent="0.3">
      <c r="A133" s="6" t="s">
        <v>1080</v>
      </c>
      <c r="B133" s="6">
        <v>36</v>
      </c>
      <c r="C133" s="6" t="str" cm="1">
        <f t="array" ref="C133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33" s="6" cm="1">
        <f t="array" ref="D133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23</v>
      </c>
      <c r="E133" s="7">
        <f>Table2[[#This Row],[Quotas Missing]]/Table2[[#This Row],[Quotas Avaliable]]</f>
        <v>0.63888888888888884</v>
      </c>
      <c r="F133" s="6"/>
    </row>
    <row r="134" spans="1:6" x14ac:dyDescent="0.3">
      <c r="A134" s="6" t="s">
        <v>311</v>
      </c>
      <c r="B134" s="6">
        <v>32</v>
      </c>
      <c r="C134" s="6" t="str" cm="1">
        <f t="array" ref="C134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34" s="6" cm="1">
        <f t="array" ref="D134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23</v>
      </c>
      <c r="E134" s="7">
        <f>Table2[[#This Row],[Quotas Missing]]/Table2[[#This Row],[Quotas Avaliable]]</f>
        <v>0.71875</v>
      </c>
      <c r="F134" s="6"/>
    </row>
    <row r="135" spans="1:6" x14ac:dyDescent="0.3">
      <c r="A135" s="6" t="s">
        <v>316</v>
      </c>
      <c r="B135" s="6">
        <v>30</v>
      </c>
      <c r="C135" s="6" t="str" cm="1">
        <f t="array" ref="C135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35" s="6" cm="1">
        <f t="array" ref="D135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23</v>
      </c>
      <c r="E135" s="7">
        <f>Table2[[#This Row],[Quotas Missing]]/Table2[[#This Row],[Quotas Avaliable]]</f>
        <v>0.76666666666666672</v>
      </c>
      <c r="F135" s="6"/>
    </row>
    <row r="136" spans="1:6" x14ac:dyDescent="0.3">
      <c r="A136" s="6" t="s">
        <v>190</v>
      </c>
      <c r="B136" s="6">
        <v>32</v>
      </c>
      <c r="C136" s="6" t="str" cm="1">
        <f t="array" ref="C136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36" s="6" cm="1">
        <f t="array" ref="D136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23</v>
      </c>
      <c r="E136" s="7">
        <f>Table2[[#This Row],[Quotas Missing]]/Table2[[#This Row],[Quotas Avaliable]]</f>
        <v>0.71875</v>
      </c>
      <c r="F136" s="6"/>
    </row>
    <row r="137" spans="1:6" x14ac:dyDescent="0.3">
      <c r="A137" s="6" t="s">
        <v>159</v>
      </c>
      <c r="B137" s="6">
        <v>29</v>
      </c>
      <c r="C137" s="6" t="str" cm="1">
        <f t="array" ref="C137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37" s="6" cm="1">
        <f t="array" ref="D137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22</v>
      </c>
      <c r="E137" s="7">
        <f>Table2[[#This Row],[Quotas Missing]]/Table2[[#This Row],[Quotas Avaliable]]</f>
        <v>0.75862068965517238</v>
      </c>
      <c r="F137" s="6"/>
    </row>
    <row r="138" spans="1:6" x14ac:dyDescent="0.3">
      <c r="A138" s="6" t="s">
        <v>46</v>
      </c>
      <c r="B138" s="6">
        <v>32</v>
      </c>
      <c r="C138" s="6" t="str" cm="1">
        <f t="array" ref="C138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38" s="6" cm="1">
        <f t="array" ref="D138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22</v>
      </c>
      <c r="E138" s="7">
        <f>Table2[[#This Row],[Quotas Missing]]/Table2[[#This Row],[Quotas Avaliable]]</f>
        <v>0.6875</v>
      </c>
      <c r="F138" s="6"/>
    </row>
    <row r="139" spans="1:6" x14ac:dyDescent="0.3">
      <c r="A139" s="6" t="s">
        <v>181</v>
      </c>
      <c r="B139" s="6">
        <v>31</v>
      </c>
      <c r="C139" s="6" t="str" cm="1">
        <f t="array" ref="C139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39" s="6" cm="1">
        <f t="array" ref="D139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22</v>
      </c>
      <c r="E139" s="7">
        <f>Table2[[#This Row],[Quotas Missing]]/Table2[[#This Row],[Quotas Avaliable]]</f>
        <v>0.70967741935483875</v>
      </c>
      <c r="F139" s="6"/>
    </row>
    <row r="140" spans="1:6" x14ac:dyDescent="0.3">
      <c r="A140" s="6" t="s">
        <v>41</v>
      </c>
      <c r="B140" s="6">
        <v>32</v>
      </c>
      <c r="C140" s="6" t="str" cm="1">
        <f t="array" ref="C140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40" s="6" cm="1">
        <f t="array" ref="D140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22</v>
      </c>
      <c r="E140" s="7">
        <f>Table2[[#This Row],[Quotas Missing]]/Table2[[#This Row],[Quotas Avaliable]]</f>
        <v>0.6875</v>
      </c>
      <c r="F140" s="6"/>
    </row>
    <row r="141" spans="1:6" x14ac:dyDescent="0.3">
      <c r="A141" s="6" t="s">
        <v>32</v>
      </c>
      <c r="B141" s="6">
        <v>40</v>
      </c>
      <c r="C141" s="6" t="str" cm="1">
        <f t="array" ref="C141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41" s="6" cm="1">
        <f t="array" ref="D141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22</v>
      </c>
      <c r="E141" s="7">
        <f>Table2[[#This Row],[Quotas Missing]]/Table2[[#This Row],[Quotas Avaliable]]</f>
        <v>0.55000000000000004</v>
      </c>
      <c r="F141" s="6"/>
    </row>
    <row r="142" spans="1:6" x14ac:dyDescent="0.3">
      <c r="A142" s="6" t="s">
        <v>255</v>
      </c>
      <c r="B142" s="6">
        <v>30</v>
      </c>
      <c r="C142" s="6" t="str" cm="1">
        <f t="array" ref="C142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42" s="6" cm="1">
        <f t="array" ref="D142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22</v>
      </c>
      <c r="E142" s="7">
        <f>Table2[[#This Row],[Quotas Missing]]/Table2[[#This Row],[Quotas Avaliable]]</f>
        <v>0.73333333333333328</v>
      </c>
      <c r="F142" s="6"/>
    </row>
    <row r="143" spans="1:6" x14ac:dyDescent="0.3">
      <c r="A143" s="6" t="s">
        <v>309</v>
      </c>
      <c r="B143" s="6">
        <v>30</v>
      </c>
      <c r="C143" s="6" t="str" cm="1">
        <f t="array" ref="C143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43" s="6" cm="1">
        <f t="array" ref="D143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22</v>
      </c>
      <c r="E143" s="7">
        <f>Table2[[#This Row],[Quotas Missing]]/Table2[[#This Row],[Quotas Avaliable]]</f>
        <v>0.73333333333333328</v>
      </c>
      <c r="F143" s="6"/>
    </row>
    <row r="144" spans="1:6" x14ac:dyDescent="0.3">
      <c r="A144" s="6" t="s">
        <v>314</v>
      </c>
      <c r="B144" s="6">
        <v>29</v>
      </c>
      <c r="C144" s="6" t="str" cm="1">
        <f t="array" ref="C144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44" s="6" cm="1">
        <f t="array" ref="D144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22</v>
      </c>
      <c r="E144" s="7">
        <f>Table2[[#This Row],[Quotas Missing]]/Table2[[#This Row],[Quotas Avaliable]]</f>
        <v>0.75862068965517238</v>
      </c>
      <c r="F144" s="6"/>
    </row>
    <row r="145" spans="1:6" x14ac:dyDescent="0.3">
      <c r="A145" s="6" t="s">
        <v>1229</v>
      </c>
      <c r="B145" s="6">
        <v>36</v>
      </c>
      <c r="C145" s="6" t="str" cm="1">
        <f t="array" ref="C145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45" s="6" cm="1">
        <f t="array" ref="D145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21</v>
      </c>
      <c r="E145" s="7">
        <f>Table2[[#This Row],[Quotas Missing]]/Table2[[#This Row],[Quotas Avaliable]]</f>
        <v>0.58333333333333337</v>
      </c>
      <c r="F145" s="6"/>
    </row>
    <row r="146" spans="1:6" x14ac:dyDescent="0.3">
      <c r="A146" s="6" t="s">
        <v>1228</v>
      </c>
      <c r="B146" s="6">
        <v>36</v>
      </c>
      <c r="C146" s="6" t="str" cm="1">
        <f t="array" ref="C146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46" s="6" cm="1">
        <f t="array" ref="D146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21</v>
      </c>
      <c r="E146" s="7">
        <f>Table2[[#This Row],[Quotas Missing]]/Table2[[#This Row],[Quotas Avaliable]]</f>
        <v>0.58333333333333337</v>
      </c>
      <c r="F146" s="6"/>
    </row>
    <row r="147" spans="1:6" x14ac:dyDescent="0.3">
      <c r="A147" s="6" t="s">
        <v>302</v>
      </c>
      <c r="B147" s="6">
        <v>30</v>
      </c>
      <c r="C147" s="6" t="str" cm="1">
        <f t="array" ref="C147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47" s="6" cm="1">
        <f t="array" ref="D147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21</v>
      </c>
      <c r="E147" s="7">
        <f>Table2[[#This Row],[Quotas Missing]]/Table2[[#This Row],[Quotas Avaliable]]</f>
        <v>0.7</v>
      </c>
      <c r="F147" s="6"/>
    </row>
    <row r="148" spans="1:6" x14ac:dyDescent="0.3">
      <c r="A148" s="6" t="s">
        <v>43</v>
      </c>
      <c r="B148" s="6">
        <v>32</v>
      </c>
      <c r="C148" s="6" t="str" cm="1">
        <f t="array" ref="C148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48" s="6" cm="1">
        <f t="array" ref="D148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21</v>
      </c>
      <c r="E148" s="7">
        <f>Table2[[#This Row],[Quotas Missing]]/Table2[[#This Row],[Quotas Avaliable]]</f>
        <v>0.65625</v>
      </c>
      <c r="F148" s="6"/>
    </row>
    <row r="149" spans="1:6" x14ac:dyDescent="0.3">
      <c r="A149" s="6" t="s">
        <v>53</v>
      </c>
      <c r="B149" s="6">
        <v>31</v>
      </c>
      <c r="C149" s="6" t="str" cm="1">
        <f t="array" ref="C149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49" s="6" cm="1">
        <f t="array" ref="D149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21</v>
      </c>
      <c r="E149" s="7">
        <f>Table2[[#This Row],[Quotas Missing]]/Table2[[#This Row],[Quotas Avaliable]]</f>
        <v>0.67741935483870963</v>
      </c>
      <c r="F149" s="6"/>
    </row>
    <row r="150" spans="1:6" x14ac:dyDescent="0.3">
      <c r="A150" s="6" t="s">
        <v>48</v>
      </c>
      <c r="B150" s="6">
        <v>32</v>
      </c>
      <c r="C150" s="6" t="str" cm="1">
        <f t="array" ref="C150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50" s="6" cm="1">
        <f t="array" ref="D150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21</v>
      </c>
      <c r="E150" s="7">
        <f>Table2[[#This Row],[Quotas Missing]]/Table2[[#This Row],[Quotas Avaliable]]</f>
        <v>0.65625</v>
      </c>
      <c r="F150" s="6"/>
    </row>
    <row r="151" spans="1:6" x14ac:dyDescent="0.3">
      <c r="A151" s="6" t="s">
        <v>50</v>
      </c>
      <c r="B151" s="6">
        <v>31</v>
      </c>
      <c r="C151" s="6" t="str" cm="1">
        <f t="array" ref="C151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51" s="6" cm="1">
        <f t="array" ref="D151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21</v>
      </c>
      <c r="E151" s="7">
        <f>Table2[[#This Row],[Quotas Missing]]/Table2[[#This Row],[Quotas Avaliable]]</f>
        <v>0.67741935483870963</v>
      </c>
      <c r="F151" s="6"/>
    </row>
    <row r="152" spans="1:6" x14ac:dyDescent="0.3">
      <c r="A152" s="6" t="s">
        <v>54</v>
      </c>
      <c r="B152" s="6">
        <v>31</v>
      </c>
      <c r="C152" s="6" t="str" cm="1">
        <f t="array" ref="C152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52" s="6" cm="1">
        <f t="array" ref="D152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21</v>
      </c>
      <c r="E152" s="7">
        <f>Table2[[#This Row],[Quotas Missing]]/Table2[[#This Row],[Quotas Avaliable]]</f>
        <v>0.67741935483870963</v>
      </c>
      <c r="F152" s="6"/>
    </row>
    <row r="153" spans="1:6" x14ac:dyDescent="0.3">
      <c r="A153" s="6" t="s">
        <v>1090</v>
      </c>
      <c r="B153" s="6">
        <v>28</v>
      </c>
      <c r="C153" s="6" t="str" cm="1">
        <f t="array" ref="C153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53" s="6" cm="1">
        <f t="array" ref="D153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21</v>
      </c>
      <c r="E153" s="7">
        <f>Table2[[#This Row],[Quotas Missing]]/Table2[[#This Row],[Quotas Avaliable]]</f>
        <v>0.75</v>
      </c>
      <c r="F153" s="6"/>
    </row>
    <row r="154" spans="1:6" x14ac:dyDescent="0.3">
      <c r="A154" s="6" t="s">
        <v>1098</v>
      </c>
      <c r="B154" s="6">
        <v>34</v>
      </c>
      <c r="C154" s="6" t="str" cm="1">
        <f t="array" ref="C154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54" s="6" cm="1">
        <f t="array" ref="D154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21</v>
      </c>
      <c r="E154" s="7">
        <f>Table2[[#This Row],[Quotas Missing]]/Table2[[#This Row],[Quotas Avaliable]]</f>
        <v>0.61764705882352944</v>
      </c>
      <c r="F154" s="6"/>
    </row>
    <row r="155" spans="1:6" x14ac:dyDescent="0.3">
      <c r="A155" s="6" t="s">
        <v>288</v>
      </c>
      <c r="B155" s="6">
        <v>31</v>
      </c>
      <c r="C155" s="6" t="str" cm="1">
        <f t="array" ref="C155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55" s="6" cm="1">
        <f t="array" ref="D155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21</v>
      </c>
      <c r="E155" s="7">
        <f>Table2[[#This Row],[Quotas Missing]]/Table2[[#This Row],[Quotas Avaliable]]</f>
        <v>0.67741935483870963</v>
      </c>
      <c r="F155" s="6"/>
    </row>
    <row r="156" spans="1:6" x14ac:dyDescent="0.3">
      <c r="A156" s="6" t="s">
        <v>124</v>
      </c>
      <c r="B156" s="6">
        <v>30</v>
      </c>
      <c r="C156" s="6" t="str" cm="1">
        <f t="array" ref="C156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56" s="6" cm="1">
        <f t="array" ref="D156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21</v>
      </c>
      <c r="E156" s="7">
        <f>Table2[[#This Row],[Quotas Missing]]/Table2[[#This Row],[Quotas Avaliable]]</f>
        <v>0.7</v>
      </c>
      <c r="F156" s="6"/>
    </row>
    <row r="157" spans="1:6" x14ac:dyDescent="0.3">
      <c r="A157" s="6" t="s">
        <v>129</v>
      </c>
      <c r="B157" s="6">
        <v>31</v>
      </c>
      <c r="C157" s="6" t="str" cm="1">
        <f t="array" ref="C157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57" s="6" cm="1">
        <f t="array" ref="D157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21</v>
      </c>
      <c r="E157" s="7">
        <f>Table2[[#This Row],[Quotas Missing]]/Table2[[#This Row],[Quotas Avaliable]]</f>
        <v>0.67741935483870963</v>
      </c>
      <c r="F157" s="6"/>
    </row>
    <row r="158" spans="1:6" x14ac:dyDescent="0.3">
      <c r="A158" s="6" t="s">
        <v>303</v>
      </c>
      <c r="B158" s="6">
        <v>29</v>
      </c>
      <c r="C158" s="6" t="str" cm="1">
        <f t="array" ref="C158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58" s="6" cm="1">
        <f t="array" ref="D158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21</v>
      </c>
      <c r="E158" s="7">
        <f>Table2[[#This Row],[Quotas Missing]]/Table2[[#This Row],[Quotas Avaliable]]</f>
        <v>0.72413793103448276</v>
      </c>
      <c r="F158" s="6"/>
    </row>
    <row r="159" spans="1:6" x14ac:dyDescent="0.3">
      <c r="A159" s="6" t="s">
        <v>315</v>
      </c>
      <c r="B159" s="6">
        <v>30</v>
      </c>
      <c r="C159" s="6" t="str" cm="1">
        <f t="array" ref="C159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59" s="6" cm="1">
        <f t="array" ref="D159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21</v>
      </c>
      <c r="E159" s="7">
        <f>Table2[[#This Row],[Quotas Missing]]/Table2[[#This Row],[Quotas Avaliable]]</f>
        <v>0.7</v>
      </c>
      <c r="F159" s="6"/>
    </row>
    <row r="160" spans="1:6" x14ac:dyDescent="0.3">
      <c r="A160" s="6" t="s">
        <v>1093</v>
      </c>
      <c r="B160" s="6">
        <v>35</v>
      </c>
      <c r="C160" s="6" t="str" cm="1">
        <f t="array" ref="C160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60" s="6" cm="1">
        <f t="array" ref="D160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20</v>
      </c>
      <c r="E160" s="7">
        <f>Table2[[#This Row],[Quotas Missing]]/Table2[[#This Row],[Quotas Avaliable]]</f>
        <v>0.5714285714285714</v>
      </c>
      <c r="F160" s="6"/>
    </row>
    <row r="161" spans="1:6" x14ac:dyDescent="0.3">
      <c r="A161" s="6" t="s">
        <v>750</v>
      </c>
      <c r="B161" s="6">
        <v>41</v>
      </c>
      <c r="C161" s="6" t="str" cm="1">
        <f t="array" ref="C161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61" s="6" cm="1">
        <f t="array" ref="D161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20</v>
      </c>
      <c r="E161" s="7">
        <f>Table2[[#This Row],[Quotas Missing]]/Table2[[#This Row],[Quotas Avaliable]]</f>
        <v>0.48780487804878048</v>
      </c>
      <c r="F161" s="6"/>
    </row>
    <row r="162" spans="1:6" x14ac:dyDescent="0.3">
      <c r="A162" s="6" t="s">
        <v>281</v>
      </c>
      <c r="B162" s="6">
        <v>29</v>
      </c>
      <c r="C162" s="6" t="str" cm="1">
        <f t="array" ref="C162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62" s="6" cm="1">
        <f t="array" ref="D162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20</v>
      </c>
      <c r="E162" s="7">
        <f>Table2[[#This Row],[Quotas Missing]]/Table2[[#This Row],[Quotas Avaliable]]</f>
        <v>0.68965517241379315</v>
      </c>
      <c r="F162" s="6"/>
    </row>
    <row r="163" spans="1:6" x14ac:dyDescent="0.3">
      <c r="A163" s="6" t="s">
        <v>52</v>
      </c>
      <c r="B163" s="6">
        <v>30</v>
      </c>
      <c r="C163" s="6" t="str" cm="1">
        <f t="array" ref="C163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63" s="6" cm="1">
        <f t="array" ref="D163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20</v>
      </c>
      <c r="E163" s="7">
        <f>Table2[[#This Row],[Quotas Missing]]/Table2[[#This Row],[Quotas Avaliable]]</f>
        <v>0.66666666666666663</v>
      </c>
      <c r="F163" s="6"/>
    </row>
    <row r="164" spans="1:6" x14ac:dyDescent="0.3">
      <c r="A164" s="6" t="s">
        <v>1175</v>
      </c>
      <c r="B164" s="6">
        <v>29</v>
      </c>
      <c r="C164" s="6" t="str" cm="1">
        <f t="array" ref="C164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64" s="6" cm="1">
        <f t="array" ref="D164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20</v>
      </c>
      <c r="E164" s="7">
        <f>Table2[[#This Row],[Quotas Missing]]/Table2[[#This Row],[Quotas Avaliable]]</f>
        <v>0.68965517241379315</v>
      </c>
      <c r="F164" s="6"/>
    </row>
    <row r="165" spans="1:6" x14ac:dyDescent="0.3">
      <c r="A165" s="6" t="s">
        <v>135</v>
      </c>
      <c r="B165" s="6">
        <v>26</v>
      </c>
      <c r="C165" s="6" t="str" cm="1">
        <f t="array" ref="C165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65" s="6" cm="1">
        <f t="array" ref="D165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20</v>
      </c>
      <c r="E165" s="7">
        <f>Table2[[#This Row],[Quotas Missing]]/Table2[[#This Row],[Quotas Avaliable]]</f>
        <v>0.76923076923076927</v>
      </c>
      <c r="F165" s="6"/>
    </row>
    <row r="166" spans="1:6" x14ac:dyDescent="0.3">
      <c r="A166" s="6" t="s">
        <v>44</v>
      </c>
      <c r="B166" s="6">
        <v>32</v>
      </c>
      <c r="C166" s="6" t="str" cm="1">
        <f t="array" ref="C166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66" s="6" cm="1">
        <f t="array" ref="D166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20</v>
      </c>
      <c r="E166" s="7">
        <f>Table2[[#This Row],[Quotas Missing]]/Table2[[#This Row],[Quotas Avaliable]]</f>
        <v>0.625</v>
      </c>
      <c r="F166" s="6"/>
    </row>
    <row r="167" spans="1:6" x14ac:dyDescent="0.3">
      <c r="A167" s="6" t="s">
        <v>95</v>
      </c>
      <c r="B167" s="6">
        <v>30</v>
      </c>
      <c r="C167" s="6" t="str" cm="1">
        <f t="array" ref="C167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67" s="6" cm="1">
        <f t="array" ref="D167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20</v>
      </c>
      <c r="E167" s="7">
        <f>Table2[[#This Row],[Quotas Missing]]/Table2[[#This Row],[Quotas Avaliable]]</f>
        <v>0.66666666666666663</v>
      </c>
      <c r="F167" s="6"/>
    </row>
    <row r="168" spans="1:6" x14ac:dyDescent="0.3">
      <c r="A168" s="6" t="s">
        <v>1170</v>
      </c>
      <c r="B168" s="6">
        <v>28</v>
      </c>
      <c r="C168" s="6" t="str" cm="1">
        <f t="array" ref="C168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68" s="6" cm="1">
        <f t="array" ref="D168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20</v>
      </c>
      <c r="E168" s="7">
        <f>Table2[[#This Row],[Quotas Missing]]/Table2[[#This Row],[Quotas Avaliable]]</f>
        <v>0.7142857142857143</v>
      </c>
      <c r="F168" s="6"/>
    </row>
    <row r="169" spans="1:6" x14ac:dyDescent="0.3">
      <c r="A169" s="6" t="s">
        <v>287</v>
      </c>
      <c r="B169" s="6">
        <v>31</v>
      </c>
      <c r="C169" s="6" t="str" cm="1">
        <f t="array" ref="C169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69" s="6" cm="1">
        <f t="array" ref="D169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20</v>
      </c>
      <c r="E169" s="7">
        <f>Table2[[#This Row],[Quotas Missing]]/Table2[[#This Row],[Quotas Avaliable]]</f>
        <v>0.64516129032258063</v>
      </c>
      <c r="F169" s="6"/>
    </row>
    <row r="170" spans="1:6" x14ac:dyDescent="0.3">
      <c r="A170" s="6" t="s">
        <v>164</v>
      </c>
      <c r="B170" s="6">
        <v>29</v>
      </c>
      <c r="C170" s="6" t="str" cm="1">
        <f t="array" ref="C170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70" s="6" cm="1">
        <f t="array" ref="D170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20</v>
      </c>
      <c r="E170" s="7">
        <f>Table2[[#This Row],[Quotas Missing]]/Table2[[#This Row],[Quotas Avaliable]]</f>
        <v>0.68965517241379315</v>
      </c>
      <c r="F170" s="6"/>
    </row>
    <row r="171" spans="1:6" x14ac:dyDescent="0.3">
      <c r="A171" s="6" t="s">
        <v>176</v>
      </c>
      <c r="B171" s="6">
        <v>29</v>
      </c>
      <c r="C171" s="6" t="str" cm="1">
        <f t="array" ref="C171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71" s="6" cm="1">
        <f t="array" ref="D171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20</v>
      </c>
      <c r="E171" s="7">
        <f>Table2[[#This Row],[Quotas Missing]]/Table2[[#This Row],[Quotas Avaliable]]</f>
        <v>0.68965517241379315</v>
      </c>
      <c r="F171" s="6"/>
    </row>
    <row r="172" spans="1:6" x14ac:dyDescent="0.3">
      <c r="A172" s="6" t="s">
        <v>188</v>
      </c>
      <c r="B172" s="6">
        <v>27</v>
      </c>
      <c r="C172" s="6" t="str" cm="1">
        <f t="array" ref="C172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72" s="6" cm="1">
        <f t="array" ref="D172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20</v>
      </c>
      <c r="E172" s="7">
        <f>Table2[[#This Row],[Quotas Missing]]/Table2[[#This Row],[Quotas Avaliable]]</f>
        <v>0.7407407407407407</v>
      </c>
      <c r="F172" s="6"/>
    </row>
    <row r="173" spans="1:6" x14ac:dyDescent="0.3">
      <c r="A173" s="6" t="s">
        <v>196</v>
      </c>
      <c r="B173" s="6">
        <v>23</v>
      </c>
      <c r="C173" s="6" t="str" cm="1">
        <f t="array" ref="C173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73" s="6" cm="1">
        <f t="array" ref="D173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20</v>
      </c>
      <c r="E173" s="7">
        <f>Table2[[#This Row],[Quotas Missing]]/Table2[[#This Row],[Quotas Avaliable]]</f>
        <v>0.86956521739130432</v>
      </c>
      <c r="F173" s="6"/>
    </row>
    <row r="174" spans="1:6" x14ac:dyDescent="0.3">
      <c r="A174" s="6" t="s">
        <v>289</v>
      </c>
      <c r="B174" s="6">
        <v>28</v>
      </c>
      <c r="C174" s="6" t="str" cm="1">
        <f t="array" ref="C174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74" s="6" cm="1">
        <f t="array" ref="D174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19</v>
      </c>
      <c r="E174" s="7">
        <f>Table2[[#This Row],[Quotas Missing]]/Table2[[#This Row],[Quotas Avaliable]]</f>
        <v>0.6785714285714286</v>
      </c>
      <c r="F174" s="6"/>
    </row>
    <row r="175" spans="1:6" x14ac:dyDescent="0.3">
      <c r="A175" s="6" t="s">
        <v>308</v>
      </c>
      <c r="B175" s="6">
        <v>29</v>
      </c>
      <c r="C175" s="6" t="str" cm="1">
        <f t="array" ref="C175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75" s="6" cm="1">
        <f t="array" ref="D175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19</v>
      </c>
      <c r="E175" s="7">
        <f>Table2[[#This Row],[Quotas Missing]]/Table2[[#This Row],[Quotas Avaliable]]</f>
        <v>0.65517241379310343</v>
      </c>
      <c r="F175" s="6"/>
    </row>
    <row r="176" spans="1:6" x14ac:dyDescent="0.3">
      <c r="A176" s="6" t="s">
        <v>263</v>
      </c>
      <c r="B176" s="6">
        <v>25</v>
      </c>
      <c r="C176" s="6" t="str" cm="1">
        <f t="array" ref="C176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76" s="6" cm="1">
        <f t="array" ref="D176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19</v>
      </c>
      <c r="E176" s="7">
        <f>Table2[[#This Row],[Quotas Missing]]/Table2[[#This Row],[Quotas Avaliable]]</f>
        <v>0.76</v>
      </c>
      <c r="F176" s="6"/>
    </row>
    <row r="177" spans="1:6" x14ac:dyDescent="0.3">
      <c r="A177" s="6" t="s">
        <v>1087</v>
      </c>
      <c r="B177" s="6">
        <v>38</v>
      </c>
      <c r="C177" s="6" t="str" cm="1">
        <f t="array" ref="C177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77" s="6" cm="1">
        <f t="array" ref="D177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19</v>
      </c>
      <c r="E177" s="7">
        <f>Table2[[#This Row],[Quotas Missing]]/Table2[[#This Row],[Quotas Avaliable]]</f>
        <v>0.5</v>
      </c>
      <c r="F177" s="6"/>
    </row>
    <row r="178" spans="1:6" x14ac:dyDescent="0.3">
      <c r="A178" s="6" t="s">
        <v>80</v>
      </c>
      <c r="B178" s="6">
        <v>25</v>
      </c>
      <c r="C178" s="6" t="str" cm="1">
        <f t="array" ref="C178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78" s="6" cm="1">
        <f t="array" ref="D178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19</v>
      </c>
      <c r="E178" s="7">
        <f>Table2[[#This Row],[Quotas Missing]]/Table2[[#This Row],[Quotas Avaliable]]</f>
        <v>0.76</v>
      </c>
      <c r="F178" s="6"/>
    </row>
    <row r="179" spans="1:6" x14ac:dyDescent="0.3">
      <c r="A179" s="6" t="s">
        <v>1089</v>
      </c>
      <c r="B179" s="6">
        <v>30</v>
      </c>
      <c r="C179" s="6" t="str" cm="1">
        <f t="array" ref="C179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79" s="6" cm="1">
        <f t="array" ref="D179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19</v>
      </c>
      <c r="E179" s="7">
        <f>Table2[[#This Row],[Quotas Missing]]/Table2[[#This Row],[Quotas Avaliable]]</f>
        <v>0.6333333333333333</v>
      </c>
      <c r="F179" s="6"/>
    </row>
    <row r="180" spans="1:6" x14ac:dyDescent="0.3">
      <c r="A180" s="6" t="s">
        <v>1166</v>
      </c>
      <c r="B180" s="6">
        <v>26</v>
      </c>
      <c r="C180" s="6" t="str" cm="1">
        <f t="array" ref="C180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80" s="6" cm="1">
        <f t="array" ref="D180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19</v>
      </c>
      <c r="E180" s="7">
        <f>Table2[[#This Row],[Quotas Missing]]/Table2[[#This Row],[Quotas Avaliable]]</f>
        <v>0.73076923076923073</v>
      </c>
      <c r="F180" s="6"/>
    </row>
    <row r="181" spans="1:6" x14ac:dyDescent="0.3">
      <c r="A181" s="6" t="s">
        <v>1165</v>
      </c>
      <c r="B181" s="6">
        <v>25</v>
      </c>
      <c r="C181" s="6" t="str" cm="1">
        <f t="array" ref="C181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81" s="6" cm="1">
        <f t="array" ref="D181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19</v>
      </c>
      <c r="E181" s="7">
        <f>Table2[[#This Row],[Quotas Missing]]/Table2[[#This Row],[Quotas Avaliable]]</f>
        <v>0.76</v>
      </c>
      <c r="F181" s="6"/>
    </row>
    <row r="182" spans="1:6" x14ac:dyDescent="0.3">
      <c r="A182" s="6" t="s">
        <v>127</v>
      </c>
      <c r="B182" s="6">
        <v>25</v>
      </c>
      <c r="C182" s="6" t="str" cm="1">
        <f t="array" ref="C182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82" s="6" cm="1">
        <f t="array" ref="D182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19</v>
      </c>
      <c r="E182" s="7">
        <f>Table2[[#This Row],[Quotas Missing]]/Table2[[#This Row],[Quotas Avaliable]]</f>
        <v>0.76</v>
      </c>
      <c r="F182" s="6"/>
    </row>
    <row r="183" spans="1:6" x14ac:dyDescent="0.3">
      <c r="A183" s="6" t="s">
        <v>126</v>
      </c>
      <c r="B183" s="6">
        <v>29</v>
      </c>
      <c r="C183" s="6" t="str" cm="1">
        <f t="array" ref="C183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83" s="6" cm="1">
        <f t="array" ref="D183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19</v>
      </c>
      <c r="E183" s="7">
        <f>Table2[[#This Row],[Quotas Missing]]/Table2[[#This Row],[Quotas Avaliable]]</f>
        <v>0.65517241379310343</v>
      </c>
      <c r="F183" s="6"/>
    </row>
    <row r="184" spans="1:6" x14ac:dyDescent="0.3">
      <c r="A184" s="6" t="s">
        <v>317</v>
      </c>
      <c r="B184" s="6">
        <v>29</v>
      </c>
      <c r="C184" s="6" t="str" cm="1">
        <f t="array" ref="C184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84" s="6" cm="1">
        <f t="array" ref="D184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19</v>
      </c>
      <c r="E184" s="7">
        <f>Table2[[#This Row],[Quotas Missing]]/Table2[[#This Row],[Quotas Avaliable]]</f>
        <v>0.65517241379310343</v>
      </c>
      <c r="F184" s="6"/>
    </row>
    <row r="185" spans="1:6" x14ac:dyDescent="0.3">
      <c r="A185" s="6" t="s">
        <v>177</v>
      </c>
      <c r="B185" s="6">
        <v>25</v>
      </c>
      <c r="C185" s="6" t="str" cm="1">
        <f t="array" ref="C185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85" s="6" cm="1">
        <f t="array" ref="D185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19</v>
      </c>
      <c r="E185" s="7">
        <f>Table2[[#This Row],[Quotas Missing]]/Table2[[#This Row],[Quotas Avaliable]]</f>
        <v>0.76</v>
      </c>
      <c r="F185" s="6"/>
    </row>
    <row r="186" spans="1:6" x14ac:dyDescent="0.3">
      <c r="A186" s="6" t="s">
        <v>187</v>
      </c>
      <c r="B186" s="6">
        <v>29</v>
      </c>
      <c r="C186" s="6" t="str" cm="1">
        <f t="array" ref="C186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86" s="6" cm="1">
        <f t="array" ref="D186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18</v>
      </c>
      <c r="E186" s="7">
        <f>Table2[[#This Row],[Quotas Missing]]/Table2[[#This Row],[Quotas Avaliable]]</f>
        <v>0.62068965517241381</v>
      </c>
      <c r="F186" s="6"/>
    </row>
    <row r="187" spans="1:6" x14ac:dyDescent="0.3">
      <c r="A187" s="6" t="s">
        <v>57</v>
      </c>
      <c r="B187" s="6">
        <v>22</v>
      </c>
      <c r="C187" s="6" t="str" cm="1">
        <f t="array" ref="C187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87" s="6" cm="1">
        <f t="array" ref="D187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18</v>
      </c>
      <c r="E187" s="7">
        <f>Table2[[#This Row],[Quotas Missing]]/Table2[[#This Row],[Quotas Avaliable]]</f>
        <v>0.81818181818181823</v>
      </c>
      <c r="F187" s="6"/>
    </row>
    <row r="188" spans="1:6" x14ac:dyDescent="0.3">
      <c r="A188" s="6" t="s">
        <v>51</v>
      </c>
      <c r="B188" s="6">
        <v>30</v>
      </c>
      <c r="C188" s="6" t="str" cm="1">
        <f t="array" ref="C188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88" s="6" cm="1">
        <f t="array" ref="D188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18</v>
      </c>
      <c r="E188" s="7">
        <f>Table2[[#This Row],[Quotas Missing]]/Table2[[#This Row],[Quotas Avaliable]]</f>
        <v>0.6</v>
      </c>
      <c r="F188" s="6"/>
    </row>
    <row r="189" spans="1:6" x14ac:dyDescent="0.3">
      <c r="A189" s="6" t="s">
        <v>1203</v>
      </c>
      <c r="B189" s="6">
        <v>25</v>
      </c>
      <c r="C189" s="6" t="str" cm="1">
        <f t="array" ref="C189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89" s="6" cm="1">
        <f t="array" ref="D189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18</v>
      </c>
      <c r="E189" s="7">
        <f>Table2[[#This Row],[Quotas Missing]]/Table2[[#This Row],[Quotas Avaliable]]</f>
        <v>0.72</v>
      </c>
      <c r="F189" s="6"/>
    </row>
    <row r="190" spans="1:6" x14ac:dyDescent="0.3">
      <c r="A190" s="6" t="s">
        <v>82</v>
      </c>
      <c r="B190" s="6">
        <v>25</v>
      </c>
      <c r="C190" s="6" t="str" cm="1">
        <f t="array" ref="C190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90" s="6" cm="1">
        <f t="array" ref="D190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18</v>
      </c>
      <c r="E190" s="7">
        <f>Table2[[#This Row],[Quotas Missing]]/Table2[[#This Row],[Quotas Avaliable]]</f>
        <v>0.72</v>
      </c>
      <c r="F190" s="6"/>
    </row>
    <row r="191" spans="1:6" x14ac:dyDescent="0.3">
      <c r="A191" s="6" t="s">
        <v>1190</v>
      </c>
      <c r="B191" s="6">
        <v>27</v>
      </c>
      <c r="C191" s="6" t="str" cm="1">
        <f t="array" ref="C191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91" s="6" cm="1">
        <f t="array" ref="D191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18</v>
      </c>
      <c r="E191" s="7">
        <f>Table2[[#This Row],[Quotas Missing]]/Table2[[#This Row],[Quotas Avaliable]]</f>
        <v>0.66666666666666663</v>
      </c>
      <c r="F191" s="6"/>
    </row>
    <row r="192" spans="1:6" x14ac:dyDescent="0.3">
      <c r="A192" s="6" t="s">
        <v>133</v>
      </c>
      <c r="B192" s="6">
        <v>24</v>
      </c>
      <c r="C192" s="6" t="str" cm="1">
        <f t="array" ref="C192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92" s="6" cm="1">
        <f t="array" ref="D192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18</v>
      </c>
      <c r="E192" s="7">
        <f>Table2[[#This Row],[Quotas Missing]]/Table2[[#This Row],[Quotas Avaliable]]</f>
        <v>0.75</v>
      </c>
      <c r="F192" s="6"/>
    </row>
    <row r="193" spans="1:6" x14ac:dyDescent="0.3">
      <c r="A193" s="6" t="s">
        <v>1112</v>
      </c>
      <c r="B193" s="6">
        <v>28</v>
      </c>
      <c r="C193" s="6" t="str" cm="1">
        <f t="array" ref="C193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93" s="6" cm="1">
        <f t="array" ref="D193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18</v>
      </c>
      <c r="E193" s="7">
        <f>Table2[[#This Row],[Quotas Missing]]/Table2[[#This Row],[Quotas Avaliable]]</f>
        <v>0.6428571428571429</v>
      </c>
      <c r="F193" s="6"/>
    </row>
    <row r="194" spans="1:6" x14ac:dyDescent="0.3">
      <c r="A194" s="6" t="s">
        <v>1082</v>
      </c>
      <c r="B194" s="6">
        <v>25</v>
      </c>
      <c r="C194" s="6" t="str" cm="1">
        <f t="array" ref="C194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94" s="6" cm="1">
        <f t="array" ref="D194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18</v>
      </c>
      <c r="E194" s="7">
        <f>Table2[[#This Row],[Quotas Missing]]/Table2[[#This Row],[Quotas Avaliable]]</f>
        <v>0.72</v>
      </c>
      <c r="F194" s="6"/>
    </row>
    <row r="195" spans="1:6" x14ac:dyDescent="0.3">
      <c r="A195" s="6" t="s">
        <v>321</v>
      </c>
      <c r="B195" s="6">
        <v>29</v>
      </c>
      <c r="C195" s="6" t="str" cm="1">
        <f t="array" ref="C195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95" s="6" cm="1">
        <f t="array" ref="D195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18</v>
      </c>
      <c r="E195" s="7">
        <f>Table2[[#This Row],[Quotas Missing]]/Table2[[#This Row],[Quotas Avaliable]]</f>
        <v>0.62068965517241381</v>
      </c>
      <c r="F195" s="6"/>
    </row>
    <row r="196" spans="1:6" x14ac:dyDescent="0.3">
      <c r="A196" s="6" t="s">
        <v>313</v>
      </c>
      <c r="B196" s="6">
        <v>29</v>
      </c>
      <c r="C196" s="6" t="str" cm="1">
        <f t="array" ref="C196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96" s="6" cm="1">
        <f t="array" ref="D196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18</v>
      </c>
      <c r="E196" s="7">
        <f>Table2[[#This Row],[Quotas Missing]]/Table2[[#This Row],[Quotas Avaliable]]</f>
        <v>0.62068965517241381</v>
      </c>
      <c r="F196" s="6"/>
    </row>
    <row r="197" spans="1:6" x14ac:dyDescent="0.3">
      <c r="A197" s="6" t="s">
        <v>244</v>
      </c>
      <c r="B197" s="6">
        <v>36</v>
      </c>
      <c r="C197" s="6" t="str" cm="1">
        <f t="array" ref="C197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97" s="6" cm="1">
        <f t="array" ref="D197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17</v>
      </c>
      <c r="E197" s="7">
        <f>Table2[[#This Row],[Quotas Missing]]/Table2[[#This Row],[Quotas Avaliable]]</f>
        <v>0.47222222222222221</v>
      </c>
      <c r="F197" s="6"/>
    </row>
    <row r="198" spans="1:6" x14ac:dyDescent="0.3">
      <c r="A198" s="6" t="s">
        <v>254</v>
      </c>
      <c r="B198" s="6">
        <v>30</v>
      </c>
      <c r="C198" s="6" t="str" cm="1">
        <f t="array" ref="C198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98" s="6" cm="1">
        <f t="array" ref="D198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17</v>
      </c>
      <c r="E198" s="7">
        <f>Table2[[#This Row],[Quotas Missing]]/Table2[[#This Row],[Quotas Avaliable]]</f>
        <v>0.56666666666666665</v>
      </c>
      <c r="F198" s="6"/>
    </row>
    <row r="199" spans="1:6" x14ac:dyDescent="0.3">
      <c r="A199" s="6" t="s">
        <v>1169</v>
      </c>
      <c r="B199" s="6">
        <v>29</v>
      </c>
      <c r="C199" s="6" t="str" cm="1">
        <f t="array" ref="C199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99" s="6" cm="1">
        <f t="array" ref="D199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17</v>
      </c>
      <c r="E199" s="7">
        <f>Table2[[#This Row],[Quotas Missing]]/Table2[[#This Row],[Quotas Avaliable]]</f>
        <v>0.58620689655172409</v>
      </c>
      <c r="F199" s="6"/>
    </row>
    <row r="200" spans="1:6" x14ac:dyDescent="0.3">
      <c r="A200" s="6" t="s">
        <v>120</v>
      </c>
      <c r="B200" s="6">
        <v>18</v>
      </c>
      <c r="C200" s="6" t="str" cm="1">
        <f t="array" ref="C200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00" s="6" cm="1">
        <f t="array" ref="D200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17</v>
      </c>
      <c r="E200" s="7">
        <f>Table2[[#This Row],[Quotas Missing]]/Table2[[#This Row],[Quotas Avaliable]]</f>
        <v>0.94444444444444442</v>
      </c>
      <c r="F200" s="6"/>
    </row>
    <row r="201" spans="1:6" x14ac:dyDescent="0.3">
      <c r="A201" s="6" t="s">
        <v>128</v>
      </c>
      <c r="B201" s="6">
        <v>23</v>
      </c>
      <c r="C201" s="6" t="str" cm="1">
        <f t="array" ref="C201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01" s="6" cm="1">
        <f t="array" ref="D201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17</v>
      </c>
      <c r="E201" s="7">
        <f>Table2[[#This Row],[Quotas Missing]]/Table2[[#This Row],[Quotas Avaliable]]</f>
        <v>0.73913043478260865</v>
      </c>
      <c r="F201" s="6"/>
    </row>
    <row r="202" spans="1:6" x14ac:dyDescent="0.3">
      <c r="A202" s="6" t="s">
        <v>130</v>
      </c>
      <c r="B202" s="6">
        <v>26</v>
      </c>
      <c r="C202" s="6" t="str" cm="1">
        <f t="array" ref="C202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02" s="6" cm="1">
        <f t="array" ref="D202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17</v>
      </c>
      <c r="E202" s="7">
        <f>Table2[[#This Row],[Quotas Missing]]/Table2[[#This Row],[Quotas Avaliable]]</f>
        <v>0.65384615384615385</v>
      </c>
      <c r="F202" s="6"/>
    </row>
    <row r="203" spans="1:6" x14ac:dyDescent="0.3">
      <c r="A203" s="6" t="s">
        <v>134</v>
      </c>
      <c r="B203" s="6">
        <v>22</v>
      </c>
      <c r="C203" s="6" t="str" cm="1">
        <f t="array" ref="C203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03" s="6" cm="1">
        <f t="array" ref="D203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17</v>
      </c>
      <c r="E203" s="7">
        <f>Table2[[#This Row],[Quotas Missing]]/Table2[[#This Row],[Quotas Avaliable]]</f>
        <v>0.77272727272727271</v>
      </c>
      <c r="F203" s="6"/>
    </row>
    <row r="204" spans="1:6" x14ac:dyDescent="0.3">
      <c r="A204" s="6" t="s">
        <v>1129</v>
      </c>
      <c r="B204" s="6">
        <v>24</v>
      </c>
      <c r="C204" s="6" t="str" cm="1">
        <f t="array" ref="C204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04" s="6" cm="1">
        <f t="array" ref="D204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17</v>
      </c>
      <c r="E204" s="7">
        <f>Table2[[#This Row],[Quotas Missing]]/Table2[[#This Row],[Quotas Avaliable]]</f>
        <v>0.70833333333333337</v>
      </c>
      <c r="F204" s="6"/>
    </row>
    <row r="205" spans="1:6" x14ac:dyDescent="0.3">
      <c r="A205" s="6" t="s">
        <v>304</v>
      </c>
      <c r="B205" s="6">
        <v>24</v>
      </c>
      <c r="C205" s="6" t="str" cm="1">
        <f t="array" ref="C205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05" s="6" cm="1">
        <f t="array" ref="D205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17</v>
      </c>
      <c r="E205" s="7">
        <f>Table2[[#This Row],[Quotas Missing]]/Table2[[#This Row],[Quotas Avaliable]]</f>
        <v>0.70833333333333337</v>
      </c>
      <c r="F205" s="6"/>
    </row>
    <row r="206" spans="1:6" x14ac:dyDescent="0.3">
      <c r="A206" s="6" t="s">
        <v>322</v>
      </c>
      <c r="B206" s="6">
        <v>27</v>
      </c>
      <c r="C206" s="6" t="str" cm="1">
        <f t="array" ref="C206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06" s="6" cm="1">
        <f t="array" ref="D206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17</v>
      </c>
      <c r="E206" s="7">
        <f>Table2[[#This Row],[Quotas Missing]]/Table2[[#This Row],[Quotas Avaliable]]</f>
        <v>0.62962962962962965</v>
      </c>
      <c r="F206" s="6"/>
    </row>
    <row r="207" spans="1:6" x14ac:dyDescent="0.3">
      <c r="A207" s="6" t="s">
        <v>1204</v>
      </c>
      <c r="B207" s="6">
        <v>20</v>
      </c>
      <c r="C207" s="6" t="str" cm="1">
        <f t="array" ref="C207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07" s="6" cm="1">
        <f t="array" ref="D207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17</v>
      </c>
      <c r="E207" s="7">
        <f>Table2[[#This Row],[Quotas Missing]]/Table2[[#This Row],[Quotas Avaliable]]</f>
        <v>0.85</v>
      </c>
      <c r="F207" s="6"/>
    </row>
    <row r="208" spans="1:6" x14ac:dyDescent="0.3">
      <c r="A208" s="6" t="s">
        <v>1114</v>
      </c>
      <c r="B208" s="6">
        <v>23</v>
      </c>
      <c r="C208" s="6" t="str" cm="1">
        <f t="array" ref="C208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08" s="6" cm="1">
        <f t="array" ref="D208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16</v>
      </c>
      <c r="E208" s="7">
        <f>Table2[[#This Row],[Quotas Missing]]/Table2[[#This Row],[Quotas Avaliable]]</f>
        <v>0.69565217391304346</v>
      </c>
      <c r="F208" s="6"/>
    </row>
    <row r="209" spans="1:6" x14ac:dyDescent="0.3">
      <c r="A209" s="6" t="s">
        <v>285</v>
      </c>
      <c r="B209" s="6">
        <v>30</v>
      </c>
      <c r="C209" s="6" t="str" cm="1">
        <f t="array" ref="C209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09" s="6" cm="1">
        <f t="array" ref="D209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16</v>
      </c>
      <c r="E209" s="7">
        <f>Table2[[#This Row],[Quotas Missing]]/Table2[[#This Row],[Quotas Avaliable]]</f>
        <v>0.53333333333333333</v>
      </c>
      <c r="F209" s="6"/>
    </row>
    <row r="210" spans="1:6" x14ac:dyDescent="0.3">
      <c r="A210" s="6" t="s">
        <v>100</v>
      </c>
      <c r="B210" s="6">
        <v>22</v>
      </c>
      <c r="C210" s="6" t="str" cm="1">
        <f t="array" ref="C210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10" s="6" cm="1">
        <f t="array" ref="D210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16</v>
      </c>
      <c r="E210" s="7">
        <f>Table2[[#This Row],[Quotas Missing]]/Table2[[#This Row],[Quotas Avaliable]]</f>
        <v>0.72727272727272729</v>
      </c>
      <c r="F210" s="6"/>
    </row>
    <row r="211" spans="1:6" x14ac:dyDescent="0.3">
      <c r="A211" s="6" t="s">
        <v>183</v>
      </c>
      <c r="B211" s="6">
        <v>24</v>
      </c>
      <c r="C211" s="6" t="str" cm="1">
        <f t="array" ref="C211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11" s="6" cm="1">
        <f t="array" ref="D211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16</v>
      </c>
      <c r="E211" s="7">
        <f>Table2[[#This Row],[Quotas Missing]]/Table2[[#This Row],[Quotas Avaliable]]</f>
        <v>0.66666666666666663</v>
      </c>
      <c r="F211" s="6"/>
    </row>
    <row r="212" spans="1:6" x14ac:dyDescent="0.3">
      <c r="A212" s="6" t="s">
        <v>166</v>
      </c>
      <c r="B212" s="6">
        <v>30</v>
      </c>
      <c r="C212" s="6" t="str" cm="1">
        <f t="array" ref="C212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12" s="6" cm="1">
        <f t="array" ref="D212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16</v>
      </c>
      <c r="E212" s="7">
        <f>Table2[[#This Row],[Quotas Missing]]/Table2[[#This Row],[Quotas Avaliable]]</f>
        <v>0.53333333333333333</v>
      </c>
      <c r="F212" s="6"/>
    </row>
    <row r="213" spans="1:6" x14ac:dyDescent="0.3">
      <c r="A213" s="6" t="s">
        <v>78</v>
      </c>
      <c r="B213" s="6">
        <v>21</v>
      </c>
      <c r="C213" s="6" t="str" cm="1">
        <f t="array" ref="C213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13" s="6" cm="1">
        <f t="array" ref="D213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16</v>
      </c>
      <c r="E213" s="7">
        <f>Table2[[#This Row],[Quotas Missing]]/Table2[[#This Row],[Quotas Avaliable]]</f>
        <v>0.76190476190476186</v>
      </c>
      <c r="F213" s="6"/>
    </row>
    <row r="214" spans="1:6" x14ac:dyDescent="0.3">
      <c r="A214" s="6" t="s">
        <v>99</v>
      </c>
      <c r="B214" s="6">
        <v>22</v>
      </c>
      <c r="C214" s="6" t="str" cm="1">
        <f t="array" ref="C214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14" s="6" cm="1">
        <f t="array" ref="D214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16</v>
      </c>
      <c r="E214" s="7">
        <f>Table2[[#This Row],[Quotas Missing]]/Table2[[#This Row],[Quotas Avaliable]]</f>
        <v>0.72727272727272729</v>
      </c>
      <c r="F214" s="6"/>
    </row>
    <row r="215" spans="1:6" x14ac:dyDescent="0.3">
      <c r="A215" s="6" t="s">
        <v>122</v>
      </c>
      <c r="B215" s="6">
        <v>25</v>
      </c>
      <c r="C215" s="6" t="str" cm="1">
        <f t="array" ref="C215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15" s="6" cm="1">
        <f t="array" ref="D215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16</v>
      </c>
      <c r="E215" s="7">
        <f>Table2[[#This Row],[Quotas Missing]]/Table2[[#This Row],[Quotas Avaliable]]</f>
        <v>0.64</v>
      </c>
      <c r="F215" s="6"/>
    </row>
    <row r="216" spans="1:6" x14ac:dyDescent="0.3">
      <c r="A216" s="6" t="s">
        <v>132</v>
      </c>
      <c r="B216" s="6">
        <v>29</v>
      </c>
      <c r="C216" s="6" t="str" cm="1">
        <f t="array" ref="C216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16" s="6" cm="1">
        <f t="array" ref="D216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16</v>
      </c>
      <c r="E216" s="7">
        <f>Table2[[#This Row],[Quotas Missing]]/Table2[[#This Row],[Quotas Avaliable]]</f>
        <v>0.55172413793103448</v>
      </c>
      <c r="F216" s="6"/>
    </row>
    <row r="217" spans="1:6" x14ac:dyDescent="0.3">
      <c r="A217" s="6" t="s">
        <v>1135</v>
      </c>
      <c r="B217" s="6">
        <v>24</v>
      </c>
      <c r="C217" s="6" t="str" cm="1">
        <f t="array" ref="C217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17" s="6" cm="1">
        <f t="array" ref="D217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16</v>
      </c>
      <c r="E217" s="7">
        <f>Table2[[#This Row],[Quotas Missing]]/Table2[[#This Row],[Quotas Avaliable]]</f>
        <v>0.66666666666666663</v>
      </c>
      <c r="F217" s="6"/>
    </row>
    <row r="218" spans="1:6" x14ac:dyDescent="0.3">
      <c r="A218" s="6" t="s">
        <v>153</v>
      </c>
      <c r="B218" s="6">
        <v>24</v>
      </c>
      <c r="C218" s="6" t="str" cm="1">
        <f t="array" ref="C218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18" s="6" cm="1">
        <f t="array" ref="D218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16</v>
      </c>
      <c r="E218" s="7">
        <f>Table2[[#This Row],[Quotas Missing]]/Table2[[#This Row],[Quotas Avaliable]]</f>
        <v>0.66666666666666663</v>
      </c>
      <c r="F218" s="6"/>
    </row>
    <row r="219" spans="1:6" x14ac:dyDescent="0.3">
      <c r="A219" s="6" t="s">
        <v>55</v>
      </c>
      <c r="B219" s="6">
        <v>32</v>
      </c>
      <c r="C219" s="6" t="str" cm="1">
        <f t="array" ref="C219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19" s="6" cm="1">
        <f t="array" ref="D219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15</v>
      </c>
      <c r="E219" s="7">
        <f>Table2[[#This Row],[Quotas Missing]]/Table2[[#This Row],[Quotas Avaliable]]</f>
        <v>0.46875</v>
      </c>
      <c r="F219" s="6"/>
    </row>
    <row r="220" spans="1:6" x14ac:dyDescent="0.3">
      <c r="A220" s="6" t="s">
        <v>855</v>
      </c>
      <c r="B220" s="6">
        <v>29</v>
      </c>
      <c r="C220" s="6" t="str" cm="1">
        <f t="array" ref="C220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20" s="6" cm="1">
        <f t="array" ref="D220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15</v>
      </c>
      <c r="E220" s="7">
        <f>Table2[[#This Row],[Quotas Missing]]/Table2[[#This Row],[Quotas Avaliable]]</f>
        <v>0.51724137931034486</v>
      </c>
      <c r="F220" s="6"/>
    </row>
    <row r="221" spans="1:6" x14ac:dyDescent="0.3">
      <c r="A221" s="6" t="s">
        <v>87</v>
      </c>
      <c r="B221" s="6">
        <v>20</v>
      </c>
      <c r="C221" s="6" t="str" cm="1">
        <f t="array" ref="C221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21" s="6" cm="1">
        <f t="array" ref="D221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15</v>
      </c>
      <c r="E221" s="7">
        <f>Table2[[#This Row],[Quotas Missing]]/Table2[[#This Row],[Quotas Avaliable]]</f>
        <v>0.75</v>
      </c>
      <c r="F221" s="6"/>
    </row>
    <row r="222" spans="1:6" x14ac:dyDescent="0.3">
      <c r="A222" s="6" t="s">
        <v>73</v>
      </c>
      <c r="B222" s="6">
        <v>22</v>
      </c>
      <c r="C222" s="6" t="str" cm="1">
        <f t="array" ref="C222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22" s="6" cm="1">
        <f t="array" ref="D222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15</v>
      </c>
      <c r="E222" s="7">
        <f>Table2[[#This Row],[Quotas Missing]]/Table2[[#This Row],[Quotas Avaliable]]</f>
        <v>0.68181818181818177</v>
      </c>
      <c r="F222" s="6"/>
    </row>
    <row r="223" spans="1:6" x14ac:dyDescent="0.3">
      <c r="A223" s="6" t="s">
        <v>264</v>
      </c>
      <c r="B223" s="6">
        <v>26</v>
      </c>
      <c r="C223" s="6" t="str" cm="1">
        <f t="array" ref="C223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23" s="6" cm="1">
        <f t="array" ref="D223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15</v>
      </c>
      <c r="E223" s="7">
        <f>Table2[[#This Row],[Quotas Missing]]/Table2[[#This Row],[Quotas Avaliable]]</f>
        <v>0.57692307692307687</v>
      </c>
      <c r="F223" s="6"/>
    </row>
    <row r="224" spans="1:6" x14ac:dyDescent="0.3">
      <c r="A224" s="6" t="s">
        <v>64</v>
      </c>
      <c r="B224" s="6">
        <v>17</v>
      </c>
      <c r="C224" s="6" t="str" cm="1">
        <f t="array" ref="C224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24" s="6" cm="1">
        <f t="array" ref="D224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15</v>
      </c>
      <c r="E224" s="7">
        <f>Table2[[#This Row],[Quotas Missing]]/Table2[[#This Row],[Quotas Avaliable]]</f>
        <v>0.88235294117647056</v>
      </c>
      <c r="F224" s="6"/>
    </row>
    <row r="225" spans="1:6" x14ac:dyDescent="0.3">
      <c r="A225" s="6" t="s">
        <v>66</v>
      </c>
      <c r="B225" s="6">
        <v>20</v>
      </c>
      <c r="C225" s="6" t="str" cm="1">
        <f t="array" ref="C225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25" s="6" cm="1">
        <f t="array" ref="D225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15</v>
      </c>
      <c r="E225" s="7">
        <f>Table2[[#This Row],[Quotas Missing]]/Table2[[#This Row],[Quotas Avaliable]]</f>
        <v>0.75</v>
      </c>
      <c r="F225" s="6"/>
    </row>
    <row r="226" spans="1:6" x14ac:dyDescent="0.3">
      <c r="A226" s="6" t="s">
        <v>93</v>
      </c>
      <c r="B226" s="6">
        <v>24</v>
      </c>
      <c r="C226" s="6" t="str" cm="1">
        <f t="array" ref="C226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26" s="6" cm="1">
        <f t="array" ref="D226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15</v>
      </c>
      <c r="E226" s="7">
        <f>Table2[[#This Row],[Quotas Missing]]/Table2[[#This Row],[Quotas Avaliable]]</f>
        <v>0.625</v>
      </c>
      <c r="F226" s="6"/>
    </row>
    <row r="227" spans="1:6" x14ac:dyDescent="0.3">
      <c r="A227" s="6" t="s">
        <v>94</v>
      </c>
      <c r="B227" s="6">
        <v>24</v>
      </c>
      <c r="C227" s="6" t="str" cm="1">
        <f t="array" ref="C227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27" s="6" cm="1">
        <f t="array" ref="D227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15</v>
      </c>
      <c r="E227" s="7">
        <f>Table2[[#This Row],[Quotas Missing]]/Table2[[#This Row],[Quotas Avaliable]]</f>
        <v>0.625</v>
      </c>
      <c r="F227" s="6"/>
    </row>
    <row r="228" spans="1:6" x14ac:dyDescent="0.3">
      <c r="A228" s="6" t="s">
        <v>280</v>
      </c>
      <c r="B228" s="6">
        <v>25</v>
      </c>
      <c r="C228" s="6" t="str" cm="1">
        <f t="array" ref="C228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28" s="6" cm="1">
        <f t="array" ref="D228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15</v>
      </c>
      <c r="E228" s="7">
        <f>Table2[[#This Row],[Quotas Missing]]/Table2[[#This Row],[Quotas Avaliable]]</f>
        <v>0.6</v>
      </c>
      <c r="F228" s="6"/>
    </row>
    <row r="229" spans="1:6" x14ac:dyDescent="0.3">
      <c r="A229" s="6" t="s">
        <v>152</v>
      </c>
      <c r="B229" s="6">
        <v>24</v>
      </c>
      <c r="C229" s="6" t="str" cm="1">
        <f t="array" ref="C229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29" s="6" cm="1">
        <f t="array" ref="D229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15</v>
      </c>
      <c r="E229" s="7">
        <f>Table2[[#This Row],[Quotas Missing]]/Table2[[#This Row],[Quotas Avaliable]]</f>
        <v>0.625</v>
      </c>
      <c r="F229" s="6"/>
    </row>
    <row r="230" spans="1:6" x14ac:dyDescent="0.3">
      <c r="A230" s="6" t="s">
        <v>305</v>
      </c>
      <c r="B230" s="6">
        <v>24</v>
      </c>
      <c r="C230" s="6" t="str" cm="1">
        <f t="array" ref="C230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30" s="6" cm="1">
        <f t="array" ref="D230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15</v>
      </c>
      <c r="E230" s="7">
        <f>Table2[[#This Row],[Quotas Missing]]/Table2[[#This Row],[Quotas Avaliable]]</f>
        <v>0.625</v>
      </c>
      <c r="F230" s="6"/>
    </row>
    <row r="231" spans="1:6" x14ac:dyDescent="0.3">
      <c r="A231" s="6" t="s">
        <v>318</v>
      </c>
      <c r="B231" s="6">
        <v>20</v>
      </c>
      <c r="C231" s="6" t="str" cm="1">
        <f t="array" ref="C231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31" s="6" cm="1">
        <f t="array" ref="D231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15</v>
      </c>
      <c r="E231" s="7">
        <f>Table2[[#This Row],[Quotas Missing]]/Table2[[#This Row],[Quotas Avaliable]]</f>
        <v>0.75</v>
      </c>
      <c r="F231" s="6"/>
    </row>
    <row r="232" spans="1:6" x14ac:dyDescent="0.3">
      <c r="A232" s="6" t="s">
        <v>1083</v>
      </c>
      <c r="B232" s="6">
        <v>24</v>
      </c>
      <c r="C232" s="6" t="str" cm="1">
        <f t="array" ref="C232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32" s="6" cm="1">
        <f t="array" ref="D232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15</v>
      </c>
      <c r="E232" s="7">
        <f>Table2[[#This Row],[Quotas Missing]]/Table2[[#This Row],[Quotas Avaliable]]</f>
        <v>0.625</v>
      </c>
      <c r="F232" s="6"/>
    </row>
    <row r="233" spans="1:6" x14ac:dyDescent="0.3">
      <c r="A233" s="6" t="s">
        <v>195</v>
      </c>
      <c r="B233" s="6">
        <v>25</v>
      </c>
      <c r="C233" s="6" t="str" cm="1">
        <f t="array" ref="C233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33" s="6" cm="1">
        <f t="array" ref="D233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15</v>
      </c>
      <c r="E233" s="7">
        <f>Table2[[#This Row],[Quotas Missing]]/Table2[[#This Row],[Quotas Avaliable]]</f>
        <v>0.6</v>
      </c>
      <c r="F233" s="6"/>
    </row>
    <row r="234" spans="1:6" x14ac:dyDescent="0.3">
      <c r="A234" s="6" t="s">
        <v>1176</v>
      </c>
      <c r="B234" s="6">
        <v>24</v>
      </c>
      <c r="C234" s="6" t="str" cm="1">
        <f t="array" ref="C234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34" s="6" cm="1">
        <f t="array" ref="D234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15</v>
      </c>
      <c r="E234" s="7">
        <f>Table2[[#This Row],[Quotas Missing]]/Table2[[#This Row],[Quotas Avaliable]]</f>
        <v>0.625</v>
      </c>
      <c r="F234" s="6"/>
    </row>
    <row r="235" spans="1:6" x14ac:dyDescent="0.3">
      <c r="A235" s="6" t="s">
        <v>180</v>
      </c>
      <c r="B235" s="6">
        <v>21</v>
      </c>
      <c r="C235" s="6" t="str" cm="1">
        <f t="array" ref="C235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35" s="6" cm="1">
        <f t="array" ref="D235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15</v>
      </c>
      <c r="E235" s="7">
        <f>Table2[[#This Row],[Quotas Missing]]/Table2[[#This Row],[Quotas Avaliable]]</f>
        <v>0.7142857142857143</v>
      </c>
      <c r="F235" s="6"/>
    </row>
    <row r="236" spans="1:6" x14ac:dyDescent="0.3">
      <c r="A236" s="6" t="s">
        <v>58</v>
      </c>
      <c r="B236" s="6">
        <v>22</v>
      </c>
      <c r="C236" s="6" t="str" cm="1">
        <f t="array" ref="C236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36" s="6" cm="1">
        <f t="array" ref="D236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14</v>
      </c>
      <c r="E236" s="7">
        <f>Table2[[#This Row],[Quotas Missing]]/Table2[[#This Row],[Quotas Avaliable]]</f>
        <v>0.63636363636363635</v>
      </c>
      <c r="F236" s="6"/>
    </row>
    <row r="237" spans="1:6" x14ac:dyDescent="0.3">
      <c r="A237" s="6" t="s">
        <v>71</v>
      </c>
      <c r="B237" s="6">
        <v>22</v>
      </c>
      <c r="C237" s="6" t="str" cm="1">
        <f t="array" ref="C237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37" s="6" cm="1">
        <f t="array" ref="D237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14</v>
      </c>
      <c r="E237" s="7">
        <f>Table2[[#This Row],[Quotas Missing]]/Table2[[#This Row],[Quotas Avaliable]]</f>
        <v>0.63636363636363635</v>
      </c>
      <c r="F237" s="6"/>
    </row>
    <row r="238" spans="1:6" x14ac:dyDescent="0.3">
      <c r="A238" s="6" t="s">
        <v>74</v>
      </c>
      <c r="B238" s="6">
        <v>21</v>
      </c>
      <c r="C238" s="6" t="str" cm="1">
        <f t="array" ref="C238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38" s="6" cm="1">
        <f t="array" ref="D238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14</v>
      </c>
      <c r="E238" s="7">
        <f>Table2[[#This Row],[Quotas Missing]]/Table2[[#This Row],[Quotas Avaliable]]</f>
        <v>0.66666666666666663</v>
      </c>
      <c r="F238" s="6"/>
    </row>
    <row r="239" spans="1:6" x14ac:dyDescent="0.3">
      <c r="A239" s="6" t="s">
        <v>283</v>
      </c>
      <c r="B239" s="6">
        <v>25</v>
      </c>
      <c r="C239" s="6" t="str" cm="1">
        <f t="array" ref="C239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39" s="6" cm="1">
        <f t="array" ref="D239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14</v>
      </c>
      <c r="E239" s="7">
        <f>Table2[[#This Row],[Quotas Missing]]/Table2[[#This Row],[Quotas Avaliable]]</f>
        <v>0.56000000000000005</v>
      </c>
      <c r="F239" s="6"/>
    </row>
    <row r="240" spans="1:6" x14ac:dyDescent="0.3">
      <c r="A240" s="6" t="s">
        <v>121</v>
      </c>
      <c r="B240" s="6">
        <v>19</v>
      </c>
      <c r="C240" s="6" t="str" cm="1">
        <f t="array" ref="C240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40" s="6" cm="1">
        <f t="array" ref="D240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14</v>
      </c>
      <c r="E240" s="7">
        <f>Table2[[#This Row],[Quotas Missing]]/Table2[[#This Row],[Quotas Avaliable]]</f>
        <v>0.73684210526315785</v>
      </c>
      <c r="F240" s="6"/>
    </row>
    <row r="241" spans="1:6" x14ac:dyDescent="0.3">
      <c r="A241" s="6" t="s">
        <v>291</v>
      </c>
      <c r="B241" s="6">
        <v>25</v>
      </c>
      <c r="C241" s="6" t="str" cm="1">
        <f t="array" ref="C241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41" s="6" cm="1">
        <f t="array" ref="D241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14</v>
      </c>
      <c r="E241" s="7">
        <f>Table2[[#This Row],[Quotas Missing]]/Table2[[#This Row],[Quotas Avaliable]]</f>
        <v>0.56000000000000005</v>
      </c>
      <c r="F241" s="6"/>
    </row>
    <row r="242" spans="1:6" x14ac:dyDescent="0.3">
      <c r="A242" s="6" t="s">
        <v>292</v>
      </c>
      <c r="B242" s="6">
        <v>25</v>
      </c>
      <c r="C242" s="6" t="str" cm="1">
        <f t="array" ref="C242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42" s="6" cm="1">
        <f t="array" ref="D242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14</v>
      </c>
      <c r="E242" s="7">
        <f>Table2[[#This Row],[Quotas Missing]]/Table2[[#This Row],[Quotas Avaliable]]</f>
        <v>0.56000000000000005</v>
      </c>
      <c r="F242" s="6"/>
    </row>
    <row r="243" spans="1:6" x14ac:dyDescent="0.3">
      <c r="A243" s="6" t="s">
        <v>148</v>
      </c>
      <c r="B243" s="6">
        <v>20</v>
      </c>
      <c r="C243" s="6" t="str" cm="1">
        <f t="array" ref="C243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43" s="6" cm="1">
        <f t="array" ref="D243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14</v>
      </c>
      <c r="E243" s="7">
        <f>Table2[[#This Row],[Quotas Missing]]/Table2[[#This Row],[Quotas Avaliable]]</f>
        <v>0.7</v>
      </c>
      <c r="F243" s="6"/>
    </row>
    <row r="244" spans="1:6" x14ac:dyDescent="0.3">
      <c r="A244" s="6" t="s">
        <v>149</v>
      </c>
      <c r="B244" s="6">
        <v>20</v>
      </c>
      <c r="C244" s="6" t="str" cm="1">
        <f t="array" ref="C244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44" s="6" cm="1">
        <f t="array" ref="D244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14</v>
      </c>
      <c r="E244" s="7">
        <f>Table2[[#This Row],[Quotas Missing]]/Table2[[#This Row],[Quotas Avaliable]]</f>
        <v>0.7</v>
      </c>
      <c r="F244" s="6"/>
    </row>
    <row r="245" spans="1:6" x14ac:dyDescent="0.3">
      <c r="A245" s="6" t="s">
        <v>170</v>
      </c>
      <c r="B245" s="6">
        <v>22</v>
      </c>
      <c r="C245" s="6" t="str" cm="1">
        <f t="array" ref="C245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45" s="6" cm="1">
        <f t="array" ref="D245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14</v>
      </c>
      <c r="E245" s="7">
        <f>Table2[[#This Row],[Quotas Missing]]/Table2[[#This Row],[Quotas Avaliable]]</f>
        <v>0.63636363636363635</v>
      </c>
      <c r="F245" s="6"/>
    </row>
    <row r="246" spans="1:6" x14ac:dyDescent="0.3">
      <c r="A246" s="6" t="s">
        <v>860</v>
      </c>
      <c r="B246" s="6">
        <v>18</v>
      </c>
      <c r="C246" s="6" t="str" cm="1">
        <f t="array" ref="C246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46" s="6" cm="1">
        <f t="array" ref="D246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14</v>
      </c>
      <c r="E246" s="7">
        <f>Table2[[#This Row],[Quotas Missing]]/Table2[[#This Row],[Quotas Avaliable]]</f>
        <v>0.77777777777777779</v>
      </c>
      <c r="F246" s="6"/>
    </row>
    <row r="247" spans="1:6" x14ac:dyDescent="0.3">
      <c r="A247" s="6" t="s">
        <v>1060</v>
      </c>
      <c r="B247" s="6">
        <v>24</v>
      </c>
      <c r="C247" s="6" t="str" cm="1">
        <f t="array" ref="C247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47" s="6" cm="1">
        <f t="array" ref="D247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14</v>
      </c>
      <c r="E247" s="7">
        <f>Table2[[#This Row],[Quotas Missing]]/Table2[[#This Row],[Quotas Avaliable]]</f>
        <v>0.58333333333333337</v>
      </c>
      <c r="F247" s="6"/>
    </row>
    <row r="248" spans="1:6" x14ac:dyDescent="0.3">
      <c r="A248" s="6" t="s">
        <v>232</v>
      </c>
      <c r="B248" s="6">
        <v>17</v>
      </c>
      <c r="C248" s="6" t="str" cm="1">
        <f t="array" ref="C248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48" s="6" cm="1">
        <f t="array" ref="D248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14</v>
      </c>
      <c r="E248" s="7">
        <f>Table2[[#This Row],[Quotas Missing]]/Table2[[#This Row],[Quotas Avaliable]]</f>
        <v>0.82352941176470584</v>
      </c>
      <c r="F248" s="6"/>
    </row>
    <row r="249" spans="1:6" x14ac:dyDescent="0.3">
      <c r="A249" s="6" t="s">
        <v>239</v>
      </c>
      <c r="B249" s="6">
        <v>16</v>
      </c>
      <c r="C249" s="6" t="str" cm="1">
        <f t="array" ref="C249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49" s="6" cm="1">
        <f t="array" ref="D249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14</v>
      </c>
      <c r="E249" s="7">
        <f>Table2[[#This Row],[Quotas Missing]]/Table2[[#This Row],[Quotas Avaliable]]</f>
        <v>0.875</v>
      </c>
      <c r="F249" s="6"/>
    </row>
    <row r="250" spans="1:6" x14ac:dyDescent="0.3">
      <c r="A250" s="6" t="s">
        <v>282</v>
      </c>
      <c r="B250" s="6">
        <v>27</v>
      </c>
      <c r="C250" s="6" t="str" cm="1">
        <f t="array" ref="C250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50" s="6" cm="1">
        <f t="array" ref="D250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13</v>
      </c>
      <c r="E250" s="7">
        <f>Table2[[#This Row],[Quotas Missing]]/Table2[[#This Row],[Quotas Avaliable]]</f>
        <v>0.48148148148148145</v>
      </c>
      <c r="F250" s="6"/>
    </row>
    <row r="251" spans="1:6" x14ac:dyDescent="0.3">
      <c r="A251" s="6" t="s">
        <v>856</v>
      </c>
      <c r="B251" s="6">
        <v>30</v>
      </c>
      <c r="C251" s="6" t="str" cm="1">
        <f t="array" ref="C251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51" s="6" cm="1">
        <f t="array" ref="D251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13</v>
      </c>
      <c r="E251" s="7">
        <f>Table2[[#This Row],[Quotas Missing]]/Table2[[#This Row],[Quotas Avaliable]]</f>
        <v>0.43333333333333335</v>
      </c>
      <c r="F251" s="6"/>
    </row>
    <row r="252" spans="1:6" x14ac:dyDescent="0.3">
      <c r="A252" s="6" t="s">
        <v>235</v>
      </c>
      <c r="B252" s="6">
        <v>16</v>
      </c>
      <c r="C252" s="6" t="str" cm="1">
        <f t="array" ref="C252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52" s="6" cm="1">
        <f t="array" ref="D252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13</v>
      </c>
      <c r="E252" s="7">
        <f>Table2[[#This Row],[Quotas Missing]]/Table2[[#This Row],[Quotas Avaliable]]</f>
        <v>0.8125</v>
      </c>
      <c r="F252" s="6"/>
    </row>
    <row r="253" spans="1:6" x14ac:dyDescent="0.3">
      <c r="A253" s="6" t="s">
        <v>1205</v>
      </c>
      <c r="B253" s="6">
        <v>20</v>
      </c>
      <c r="C253" s="6" t="str" cm="1">
        <f t="array" ref="C253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53" s="6" cm="1">
        <f t="array" ref="D253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13</v>
      </c>
      <c r="E253" s="7">
        <f>Table2[[#This Row],[Quotas Missing]]/Table2[[#This Row],[Quotas Avaliable]]</f>
        <v>0.65</v>
      </c>
      <c r="F253" s="6"/>
    </row>
    <row r="254" spans="1:6" x14ac:dyDescent="0.3">
      <c r="A254" s="6" t="s">
        <v>854</v>
      </c>
      <c r="B254" s="6">
        <v>28</v>
      </c>
      <c r="C254" s="6" t="str" cm="1">
        <f t="array" ref="C254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54" s="6" cm="1">
        <f t="array" ref="D254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13</v>
      </c>
      <c r="E254" s="7">
        <f>Table2[[#This Row],[Quotas Missing]]/Table2[[#This Row],[Quotas Avaliable]]</f>
        <v>0.4642857142857143</v>
      </c>
      <c r="F254" s="6"/>
    </row>
    <row r="255" spans="1:6" x14ac:dyDescent="0.3">
      <c r="A255" s="6" t="s">
        <v>2994</v>
      </c>
      <c r="B255" s="6">
        <v>27</v>
      </c>
      <c r="C255" s="6" t="str" cm="1">
        <f t="array" ref="C255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55" s="6" cm="1">
        <f t="array" ref="D255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13</v>
      </c>
      <c r="E255" s="7">
        <f>Table2[[#This Row],[Quotas Missing]]/Table2[[#This Row],[Quotas Avaliable]]</f>
        <v>0.48148148148148145</v>
      </c>
      <c r="F255" s="6"/>
    </row>
    <row r="256" spans="1:6" x14ac:dyDescent="0.3">
      <c r="A256" s="6" t="s">
        <v>75</v>
      </c>
      <c r="B256" s="6">
        <v>20</v>
      </c>
      <c r="C256" s="6" t="str" cm="1">
        <f t="array" ref="C256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56" s="6" cm="1">
        <f t="array" ref="D256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13</v>
      </c>
      <c r="E256" s="7">
        <f>Table2[[#This Row],[Quotas Missing]]/Table2[[#This Row],[Quotas Avaliable]]</f>
        <v>0.65</v>
      </c>
      <c r="F256" s="6"/>
    </row>
    <row r="257" spans="1:6" x14ac:dyDescent="0.3">
      <c r="A257" s="6" t="s">
        <v>1160</v>
      </c>
      <c r="B257" s="6">
        <v>16</v>
      </c>
      <c r="C257" s="6" t="str" cm="1">
        <f t="array" ref="C257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57" s="6" cm="1">
        <f t="array" ref="D257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13</v>
      </c>
      <c r="E257" s="7">
        <f>Table2[[#This Row],[Quotas Missing]]/Table2[[#This Row],[Quotas Avaliable]]</f>
        <v>0.8125</v>
      </c>
      <c r="F257" s="6"/>
    </row>
    <row r="258" spans="1:6" x14ac:dyDescent="0.3">
      <c r="A258" s="6" t="s">
        <v>79</v>
      </c>
      <c r="B258" s="6">
        <v>24</v>
      </c>
      <c r="C258" s="6" t="str" cm="1">
        <f t="array" ref="C258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58" s="6" cm="1">
        <f t="array" ref="D258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13</v>
      </c>
      <c r="E258" s="7">
        <f>Table2[[#This Row],[Quotas Missing]]/Table2[[#This Row],[Quotas Avaliable]]</f>
        <v>0.54166666666666663</v>
      </c>
      <c r="F258" s="6"/>
    </row>
    <row r="259" spans="1:6" x14ac:dyDescent="0.3">
      <c r="A259" s="6" t="s">
        <v>88</v>
      </c>
      <c r="B259" s="6">
        <v>20</v>
      </c>
      <c r="C259" s="6" t="str" cm="1">
        <f t="array" ref="C259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59" s="6" cm="1">
        <f t="array" ref="D259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13</v>
      </c>
      <c r="E259" s="7">
        <f>Table2[[#This Row],[Quotas Missing]]/Table2[[#This Row],[Quotas Avaliable]]</f>
        <v>0.65</v>
      </c>
      <c r="F259" s="6"/>
    </row>
    <row r="260" spans="1:6" x14ac:dyDescent="0.3">
      <c r="A260" s="6" t="s">
        <v>1125</v>
      </c>
      <c r="B260" s="6">
        <v>19</v>
      </c>
      <c r="C260" s="6" t="str" cm="1">
        <f t="array" ref="C260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60" s="6" cm="1">
        <f t="array" ref="D260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13</v>
      </c>
      <c r="E260" s="7">
        <f>Table2[[#This Row],[Quotas Missing]]/Table2[[#This Row],[Quotas Avaliable]]</f>
        <v>0.68421052631578949</v>
      </c>
      <c r="F260" s="6"/>
    </row>
    <row r="261" spans="1:6" x14ac:dyDescent="0.3">
      <c r="A261" s="6" t="s">
        <v>1199</v>
      </c>
      <c r="B261" s="6">
        <v>17</v>
      </c>
      <c r="C261" s="6" t="str" cm="1">
        <f t="array" ref="C261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61" s="6" cm="1">
        <f t="array" ref="D261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13</v>
      </c>
      <c r="E261" s="7">
        <f>Table2[[#This Row],[Quotas Missing]]/Table2[[#This Row],[Quotas Avaliable]]</f>
        <v>0.76470588235294112</v>
      </c>
      <c r="F261" s="6"/>
    </row>
    <row r="262" spans="1:6" x14ac:dyDescent="0.3">
      <c r="A262" s="6" t="s">
        <v>861</v>
      </c>
      <c r="B262" s="6">
        <v>18</v>
      </c>
      <c r="C262" s="6" t="str" cm="1">
        <f t="array" ref="C262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62" s="6" cm="1">
        <f t="array" ref="D262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13</v>
      </c>
      <c r="E262" s="7">
        <f>Table2[[#This Row],[Quotas Missing]]/Table2[[#This Row],[Quotas Avaliable]]</f>
        <v>0.72222222222222221</v>
      </c>
      <c r="F262" s="6"/>
    </row>
    <row r="263" spans="1:6" x14ac:dyDescent="0.3">
      <c r="A263" s="6" t="s">
        <v>171</v>
      </c>
      <c r="B263" s="6">
        <v>14</v>
      </c>
      <c r="C263" s="6" t="str" cm="1">
        <f t="array" ref="C263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63" s="6" cm="1">
        <f t="array" ref="D263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13</v>
      </c>
      <c r="E263" s="7">
        <f>Table2[[#This Row],[Quotas Missing]]/Table2[[#This Row],[Quotas Avaliable]]</f>
        <v>0.9285714285714286</v>
      </c>
      <c r="F263" s="6"/>
    </row>
    <row r="264" spans="1:6" x14ac:dyDescent="0.3">
      <c r="A264" s="6" t="s">
        <v>209</v>
      </c>
      <c r="B264" s="6">
        <v>16</v>
      </c>
      <c r="C264" s="6" t="str" cm="1">
        <f t="array" ref="C264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64" s="6" cm="1">
        <f t="array" ref="D264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13</v>
      </c>
      <c r="E264" s="7">
        <f>Table2[[#This Row],[Quotas Missing]]/Table2[[#This Row],[Quotas Avaliable]]</f>
        <v>0.8125</v>
      </c>
      <c r="F264" s="6"/>
    </row>
    <row r="265" spans="1:6" x14ac:dyDescent="0.3">
      <c r="A265" s="6" t="s">
        <v>212</v>
      </c>
      <c r="B265" s="6">
        <v>32</v>
      </c>
      <c r="C265" s="6" t="str" cm="1">
        <f t="array" ref="C265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65" s="6" cm="1">
        <f t="array" ref="D265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13</v>
      </c>
      <c r="E265" s="7">
        <f>Table2[[#This Row],[Quotas Missing]]/Table2[[#This Row],[Quotas Avaliable]]</f>
        <v>0.40625</v>
      </c>
      <c r="F265" s="6"/>
    </row>
    <row r="266" spans="1:6" x14ac:dyDescent="0.3">
      <c r="A266" s="6" t="s">
        <v>228</v>
      </c>
      <c r="B266" s="6">
        <v>17</v>
      </c>
      <c r="C266" s="6" t="str" cm="1">
        <f t="array" ref="C266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66" s="6" cm="1">
        <f t="array" ref="D266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13</v>
      </c>
      <c r="E266" s="7">
        <f>Table2[[#This Row],[Quotas Missing]]/Table2[[#This Row],[Quotas Avaliable]]</f>
        <v>0.76470588235294112</v>
      </c>
      <c r="F266" s="6"/>
    </row>
    <row r="267" spans="1:6" x14ac:dyDescent="0.3">
      <c r="A267" s="6" t="s">
        <v>233</v>
      </c>
      <c r="B267" s="6">
        <v>16</v>
      </c>
      <c r="C267" s="6" t="str" cm="1">
        <f t="array" ref="C267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67" s="6" cm="1">
        <f t="array" ref="D267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13</v>
      </c>
      <c r="E267" s="7">
        <f>Table2[[#This Row],[Quotas Missing]]/Table2[[#This Row],[Quotas Avaliable]]</f>
        <v>0.8125</v>
      </c>
      <c r="F267" s="6"/>
    </row>
    <row r="268" spans="1:6" x14ac:dyDescent="0.3">
      <c r="A268" s="6" t="s">
        <v>238</v>
      </c>
      <c r="B268" s="6">
        <v>15</v>
      </c>
      <c r="C268" s="6" t="str" cm="1">
        <f t="array" ref="C268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68" s="6" cm="1">
        <f t="array" ref="D268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13</v>
      </c>
      <c r="E268" s="7">
        <f>Table2[[#This Row],[Quotas Missing]]/Table2[[#This Row],[Quotas Avaliable]]</f>
        <v>0.8666666666666667</v>
      </c>
      <c r="F268" s="6"/>
    </row>
    <row r="269" spans="1:6" x14ac:dyDescent="0.3">
      <c r="A269" s="6" t="s">
        <v>241</v>
      </c>
      <c r="B269" s="6">
        <v>16</v>
      </c>
      <c r="C269" s="6" t="str" cm="1">
        <f t="array" ref="C269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69" s="6" cm="1">
        <f t="array" ref="D269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13</v>
      </c>
      <c r="E269" s="7">
        <f>Table2[[#This Row],[Quotas Missing]]/Table2[[#This Row],[Quotas Avaliable]]</f>
        <v>0.8125</v>
      </c>
      <c r="F269" s="6"/>
    </row>
    <row r="270" spans="1:6" x14ac:dyDescent="0.3">
      <c r="A270" s="6" t="s">
        <v>145</v>
      </c>
      <c r="B270" s="6">
        <v>19</v>
      </c>
      <c r="C270" s="6" t="str" cm="1">
        <f t="array" ref="C270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70" s="6" cm="1">
        <f t="array" ref="D270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12</v>
      </c>
      <c r="E270" s="7">
        <f>Table2[[#This Row],[Quotas Missing]]/Table2[[#This Row],[Quotas Avaliable]]</f>
        <v>0.63157894736842102</v>
      </c>
      <c r="F270" s="6"/>
    </row>
    <row r="271" spans="1:6" x14ac:dyDescent="0.3">
      <c r="A271" s="6" t="s">
        <v>286</v>
      </c>
      <c r="B271" s="6">
        <v>29</v>
      </c>
      <c r="C271" s="6" t="str" cm="1">
        <f t="array" ref="C271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71" s="6" cm="1">
        <f t="array" ref="D271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12</v>
      </c>
      <c r="E271" s="7">
        <f>Table2[[#This Row],[Quotas Missing]]/Table2[[#This Row],[Quotas Avaliable]]</f>
        <v>0.41379310344827586</v>
      </c>
      <c r="F271" s="6"/>
    </row>
    <row r="272" spans="1:6" x14ac:dyDescent="0.3">
      <c r="A272" s="6" t="s">
        <v>279</v>
      </c>
      <c r="B272" s="6">
        <v>24</v>
      </c>
      <c r="C272" s="6" t="str" cm="1">
        <f t="array" ref="C272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72" s="6" cm="1">
        <f t="array" ref="D272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12</v>
      </c>
      <c r="E272" s="7">
        <f>Table2[[#This Row],[Quotas Missing]]/Table2[[#This Row],[Quotas Avaliable]]</f>
        <v>0.5</v>
      </c>
      <c r="F272" s="6"/>
    </row>
    <row r="273" spans="1:6" x14ac:dyDescent="0.3">
      <c r="A273" s="6" t="s">
        <v>1202</v>
      </c>
      <c r="B273" s="6">
        <v>25</v>
      </c>
      <c r="C273" s="6" t="str" cm="1">
        <f t="array" ref="C273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73" s="6" cm="1">
        <f t="array" ref="D273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12</v>
      </c>
      <c r="E273" s="7">
        <f>Table2[[#This Row],[Quotas Missing]]/Table2[[#This Row],[Quotas Avaliable]]</f>
        <v>0.48</v>
      </c>
      <c r="F273" s="6"/>
    </row>
    <row r="274" spans="1:6" x14ac:dyDescent="0.3">
      <c r="A274" s="6" t="s">
        <v>1073</v>
      </c>
      <c r="B274" s="6">
        <v>24</v>
      </c>
      <c r="C274" s="6" t="str" cm="1">
        <f t="array" ref="C274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74" s="6" cm="1">
        <f t="array" ref="D274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12</v>
      </c>
      <c r="E274" s="7">
        <f>Table2[[#This Row],[Quotas Missing]]/Table2[[#This Row],[Quotas Avaliable]]</f>
        <v>0.5</v>
      </c>
      <c r="F274" s="6"/>
    </row>
    <row r="275" spans="1:6" x14ac:dyDescent="0.3">
      <c r="A275" s="6" t="s">
        <v>1159</v>
      </c>
      <c r="B275" s="6">
        <v>17</v>
      </c>
      <c r="C275" s="6" t="str" cm="1">
        <f t="array" ref="C275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75" s="6" cm="1">
        <f t="array" ref="D275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12</v>
      </c>
      <c r="E275" s="7">
        <f>Table2[[#This Row],[Quotas Missing]]/Table2[[#This Row],[Quotas Avaliable]]</f>
        <v>0.70588235294117652</v>
      </c>
      <c r="F275" s="6"/>
    </row>
    <row r="276" spans="1:6" x14ac:dyDescent="0.3">
      <c r="A276" s="6" t="s">
        <v>278</v>
      </c>
      <c r="B276" s="6">
        <v>23</v>
      </c>
      <c r="C276" s="6" t="str" cm="1">
        <f t="array" ref="C276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76" s="6" cm="1">
        <f t="array" ref="D276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12</v>
      </c>
      <c r="E276" s="7">
        <f>Table2[[#This Row],[Quotas Missing]]/Table2[[#This Row],[Quotas Avaliable]]</f>
        <v>0.52173913043478259</v>
      </c>
      <c r="F276" s="6"/>
    </row>
    <row r="277" spans="1:6" x14ac:dyDescent="0.3">
      <c r="A277" s="6" t="s">
        <v>284</v>
      </c>
      <c r="B277" s="6">
        <v>21</v>
      </c>
      <c r="C277" s="6" t="str" cm="1">
        <f t="array" ref="C277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77" s="6" cm="1">
        <f t="array" ref="D277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12</v>
      </c>
      <c r="E277" s="7">
        <f>Table2[[#This Row],[Quotas Missing]]/Table2[[#This Row],[Quotas Avaliable]]</f>
        <v>0.5714285714285714</v>
      </c>
      <c r="F277" s="6"/>
    </row>
    <row r="278" spans="1:6" x14ac:dyDescent="0.3">
      <c r="A278" s="6" t="s">
        <v>117</v>
      </c>
      <c r="B278" s="6">
        <v>16</v>
      </c>
      <c r="C278" s="6" t="str" cm="1">
        <f t="array" ref="C278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78" s="6" cm="1">
        <f t="array" ref="D278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12</v>
      </c>
      <c r="E278" s="7">
        <f>Table2[[#This Row],[Quotas Missing]]/Table2[[#This Row],[Quotas Avaliable]]</f>
        <v>0.75</v>
      </c>
      <c r="F278" s="6"/>
    </row>
    <row r="279" spans="1:6" x14ac:dyDescent="0.3">
      <c r="A279" s="6" t="s">
        <v>146</v>
      </c>
      <c r="B279" s="6">
        <v>20</v>
      </c>
      <c r="C279" s="6" t="str" cm="1">
        <f t="array" ref="C279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79" s="6" cm="1">
        <f t="array" ref="D279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12</v>
      </c>
      <c r="E279" s="7">
        <f>Table2[[#This Row],[Quotas Missing]]/Table2[[#This Row],[Quotas Avaliable]]</f>
        <v>0.6</v>
      </c>
      <c r="F279" s="6"/>
    </row>
    <row r="280" spans="1:6" x14ac:dyDescent="0.3">
      <c r="A280" s="6" t="s">
        <v>1113</v>
      </c>
      <c r="B280" s="6">
        <v>17</v>
      </c>
      <c r="C280" s="6" t="str" cm="1">
        <f t="array" ref="C280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80" s="6" cm="1">
        <f t="array" ref="D280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12</v>
      </c>
      <c r="E280" s="7">
        <f>Table2[[#This Row],[Quotas Missing]]/Table2[[#This Row],[Quotas Avaliable]]</f>
        <v>0.70588235294117652</v>
      </c>
      <c r="F280" s="6"/>
    </row>
    <row r="281" spans="1:6" x14ac:dyDescent="0.3">
      <c r="A281" s="6" t="s">
        <v>319</v>
      </c>
      <c r="B281" s="6">
        <v>20</v>
      </c>
      <c r="C281" s="6" t="str" cm="1">
        <f t="array" ref="C281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81" s="6" cm="1">
        <f t="array" ref="D281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12</v>
      </c>
      <c r="E281" s="7">
        <f>Table2[[#This Row],[Quotas Missing]]/Table2[[#This Row],[Quotas Avaliable]]</f>
        <v>0.6</v>
      </c>
      <c r="F281" s="6"/>
    </row>
    <row r="282" spans="1:6" x14ac:dyDescent="0.3">
      <c r="A282" s="6" t="s">
        <v>1116</v>
      </c>
      <c r="B282" s="6">
        <v>16</v>
      </c>
      <c r="C282" s="6" t="str" cm="1">
        <f t="array" ref="C282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82" s="6" cm="1">
        <f t="array" ref="D282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12</v>
      </c>
      <c r="E282" s="7">
        <f>Table2[[#This Row],[Quotas Missing]]/Table2[[#This Row],[Quotas Avaliable]]</f>
        <v>0.75</v>
      </c>
      <c r="F282" s="6"/>
    </row>
    <row r="283" spans="1:6" x14ac:dyDescent="0.3">
      <c r="A283" s="6" t="s">
        <v>192</v>
      </c>
      <c r="B283" s="6">
        <v>19</v>
      </c>
      <c r="C283" s="6" t="str" cm="1">
        <f t="array" ref="C283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83" s="6" cm="1">
        <f t="array" ref="D283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12</v>
      </c>
      <c r="E283" s="7">
        <f>Table2[[#This Row],[Quotas Missing]]/Table2[[#This Row],[Quotas Avaliable]]</f>
        <v>0.63157894736842102</v>
      </c>
      <c r="F283" s="6"/>
    </row>
    <row r="284" spans="1:6" x14ac:dyDescent="0.3">
      <c r="A284" s="6" t="s">
        <v>203</v>
      </c>
      <c r="B284" s="6">
        <v>17</v>
      </c>
      <c r="C284" s="6" t="str" cm="1">
        <f t="array" ref="C284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84" s="6" cm="1">
        <f t="array" ref="D284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12</v>
      </c>
      <c r="E284" s="7">
        <f>Table2[[#This Row],[Quotas Missing]]/Table2[[#This Row],[Quotas Avaliable]]</f>
        <v>0.70588235294117652</v>
      </c>
      <c r="F284" s="6"/>
    </row>
    <row r="285" spans="1:6" x14ac:dyDescent="0.3">
      <c r="A285" s="6" t="s">
        <v>206</v>
      </c>
      <c r="B285" s="6">
        <v>17</v>
      </c>
      <c r="C285" s="6" t="str" cm="1">
        <f t="array" ref="C285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85" s="6" cm="1">
        <f t="array" ref="D285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12</v>
      </c>
      <c r="E285" s="7">
        <f>Table2[[#This Row],[Quotas Missing]]/Table2[[#This Row],[Quotas Avaliable]]</f>
        <v>0.70588235294117652</v>
      </c>
      <c r="F285" s="6"/>
    </row>
    <row r="286" spans="1:6" x14ac:dyDescent="0.3">
      <c r="A286" s="6" t="s">
        <v>240</v>
      </c>
      <c r="B286" s="6">
        <v>16</v>
      </c>
      <c r="C286" s="6" t="str" cm="1">
        <f t="array" ref="C286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86" s="6" cm="1">
        <f t="array" ref="D286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12</v>
      </c>
      <c r="E286" s="7">
        <f>Table2[[#This Row],[Quotas Missing]]/Table2[[#This Row],[Quotas Avaliable]]</f>
        <v>0.75</v>
      </c>
      <c r="F286" s="6"/>
    </row>
    <row r="287" spans="1:6" x14ac:dyDescent="0.3">
      <c r="A287" s="6" t="s">
        <v>72</v>
      </c>
      <c r="B287" s="6">
        <v>21</v>
      </c>
      <c r="C287" s="6" t="str" cm="1">
        <f t="array" ref="C287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87" s="6" cm="1">
        <f t="array" ref="D287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11</v>
      </c>
      <c r="E287" s="7">
        <f>Table2[[#This Row],[Quotas Missing]]/Table2[[#This Row],[Quotas Avaliable]]</f>
        <v>0.52380952380952384</v>
      </c>
      <c r="F287" s="6"/>
    </row>
    <row r="288" spans="1:6" x14ac:dyDescent="0.3">
      <c r="A288" s="6" t="s">
        <v>1064</v>
      </c>
      <c r="B288" s="6">
        <v>17</v>
      </c>
      <c r="C288" s="6" t="str" cm="1">
        <f t="array" ref="C288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88" s="6" cm="1">
        <f t="array" ref="D288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11</v>
      </c>
      <c r="E288" s="7">
        <f>Table2[[#This Row],[Quotas Missing]]/Table2[[#This Row],[Quotas Avaliable]]</f>
        <v>0.6470588235294118</v>
      </c>
      <c r="F288" s="6"/>
    </row>
    <row r="289" spans="1:6" x14ac:dyDescent="0.3">
      <c r="A289" s="6" t="s">
        <v>61</v>
      </c>
      <c r="B289" s="6">
        <v>17</v>
      </c>
      <c r="C289" s="6" t="str" cm="1">
        <f t="array" ref="C289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89" s="6" cm="1">
        <f t="array" ref="D289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11</v>
      </c>
      <c r="E289" s="7">
        <f>Table2[[#This Row],[Quotas Missing]]/Table2[[#This Row],[Quotas Avaliable]]</f>
        <v>0.6470588235294118</v>
      </c>
      <c r="F289" s="6"/>
    </row>
    <row r="290" spans="1:6" x14ac:dyDescent="0.3">
      <c r="A290" s="6" t="s">
        <v>70</v>
      </c>
      <c r="B290" s="6">
        <v>16</v>
      </c>
      <c r="C290" s="6" t="str" cm="1">
        <f t="array" ref="C290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90" s="6" cm="1">
        <f t="array" ref="D290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11</v>
      </c>
      <c r="E290" s="7">
        <f>Table2[[#This Row],[Quotas Missing]]/Table2[[#This Row],[Quotas Avaliable]]</f>
        <v>0.6875</v>
      </c>
      <c r="F290" s="6"/>
    </row>
    <row r="291" spans="1:6" x14ac:dyDescent="0.3">
      <c r="A291" s="6" t="s">
        <v>65</v>
      </c>
      <c r="B291" s="6">
        <v>17</v>
      </c>
      <c r="C291" s="6" t="str" cm="1">
        <f t="array" ref="C291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91" s="6" cm="1">
        <f t="array" ref="D291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11</v>
      </c>
      <c r="E291" s="7">
        <f>Table2[[#This Row],[Quotas Missing]]/Table2[[#This Row],[Quotas Avaliable]]</f>
        <v>0.6470588235294118</v>
      </c>
      <c r="F291" s="6"/>
    </row>
    <row r="292" spans="1:6" x14ac:dyDescent="0.3">
      <c r="A292" s="6" t="s">
        <v>67</v>
      </c>
      <c r="B292" s="6">
        <v>20</v>
      </c>
      <c r="C292" s="6" t="str" cm="1">
        <f t="array" ref="C292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92" s="6" cm="1">
        <f t="array" ref="D292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11</v>
      </c>
      <c r="E292" s="7">
        <f>Table2[[#This Row],[Quotas Missing]]/Table2[[#This Row],[Quotas Avaliable]]</f>
        <v>0.55000000000000004</v>
      </c>
      <c r="F292" s="6"/>
    </row>
    <row r="293" spans="1:6" x14ac:dyDescent="0.3">
      <c r="A293" s="6" t="s">
        <v>68</v>
      </c>
      <c r="B293" s="6">
        <v>18</v>
      </c>
      <c r="C293" s="6" t="str" cm="1">
        <f t="array" ref="C293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93" s="6" cm="1">
        <f t="array" ref="D293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11</v>
      </c>
      <c r="E293" s="7">
        <f>Table2[[#This Row],[Quotas Missing]]/Table2[[#This Row],[Quotas Avaliable]]</f>
        <v>0.61111111111111116</v>
      </c>
      <c r="F293" s="6"/>
    </row>
    <row r="294" spans="1:6" x14ac:dyDescent="0.3">
      <c r="A294" s="6" t="s">
        <v>1192</v>
      </c>
      <c r="B294" s="6">
        <v>26</v>
      </c>
      <c r="C294" s="6" t="str" cm="1">
        <f t="array" ref="C294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94" s="6" cm="1">
        <f t="array" ref="D294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11</v>
      </c>
      <c r="E294" s="7">
        <f>Table2[[#This Row],[Quotas Missing]]/Table2[[#This Row],[Quotas Avaliable]]</f>
        <v>0.42307692307692307</v>
      </c>
      <c r="F294" s="6"/>
    </row>
    <row r="295" spans="1:6" x14ac:dyDescent="0.3">
      <c r="A295" s="6" t="s">
        <v>1111</v>
      </c>
      <c r="B295" s="6">
        <v>15</v>
      </c>
      <c r="C295" s="6" t="str" cm="1">
        <f t="array" ref="C295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95" s="6" cm="1">
        <f t="array" ref="D295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11</v>
      </c>
      <c r="E295" s="7">
        <f>Table2[[#This Row],[Quotas Missing]]/Table2[[#This Row],[Quotas Avaliable]]</f>
        <v>0.73333333333333328</v>
      </c>
      <c r="F295" s="6"/>
    </row>
    <row r="296" spans="1:6" x14ac:dyDescent="0.3">
      <c r="A296" s="6" t="s">
        <v>182</v>
      </c>
      <c r="B296" s="6">
        <v>16</v>
      </c>
      <c r="C296" s="6" t="str" cm="1">
        <f t="array" ref="C296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96" s="6" cm="1">
        <f t="array" ref="D296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11</v>
      </c>
      <c r="E296" s="7">
        <f>Table2[[#This Row],[Quotas Missing]]/Table2[[#This Row],[Quotas Avaliable]]</f>
        <v>0.6875</v>
      </c>
      <c r="F296" s="6"/>
    </row>
    <row r="297" spans="1:6" x14ac:dyDescent="0.3">
      <c r="A297" s="6" t="s">
        <v>202</v>
      </c>
      <c r="B297" s="6">
        <v>18</v>
      </c>
      <c r="C297" s="6" t="str" cm="1">
        <f t="array" ref="C297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97" s="6" cm="1">
        <f t="array" ref="D297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11</v>
      </c>
      <c r="E297" s="7">
        <f>Table2[[#This Row],[Quotas Missing]]/Table2[[#This Row],[Quotas Avaliable]]</f>
        <v>0.61111111111111116</v>
      </c>
      <c r="F297" s="6"/>
    </row>
    <row r="298" spans="1:6" x14ac:dyDescent="0.3">
      <c r="A298" s="6" t="s">
        <v>216</v>
      </c>
      <c r="B298" s="6">
        <v>12</v>
      </c>
      <c r="C298" s="6" t="str" cm="1">
        <f t="array" ref="C298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98" s="6" cm="1">
        <f t="array" ref="D298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11</v>
      </c>
      <c r="E298" s="7">
        <f>Table2[[#This Row],[Quotas Missing]]/Table2[[#This Row],[Quotas Avaliable]]</f>
        <v>0.91666666666666663</v>
      </c>
      <c r="F298" s="6"/>
    </row>
    <row r="299" spans="1:6" x14ac:dyDescent="0.3">
      <c r="A299" s="6" t="s">
        <v>224</v>
      </c>
      <c r="B299" s="6">
        <v>13</v>
      </c>
      <c r="C299" s="6" t="str" cm="1">
        <f t="array" ref="C299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99" s="6" cm="1">
        <f t="array" ref="D299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11</v>
      </c>
      <c r="E299" s="7">
        <f>Table2[[#This Row],[Quotas Missing]]/Table2[[#This Row],[Quotas Avaliable]]</f>
        <v>0.84615384615384615</v>
      </c>
      <c r="F299" s="6"/>
    </row>
    <row r="300" spans="1:6" x14ac:dyDescent="0.3">
      <c r="A300" s="6" t="s">
        <v>231</v>
      </c>
      <c r="B300" s="6">
        <v>16</v>
      </c>
      <c r="C300" s="6" t="str" cm="1">
        <f t="array" ref="C300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00" s="6" cm="1">
        <f t="array" ref="D300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11</v>
      </c>
      <c r="E300" s="7">
        <f>Table2[[#This Row],[Quotas Missing]]/Table2[[#This Row],[Quotas Avaliable]]</f>
        <v>0.6875</v>
      </c>
      <c r="F300" s="6"/>
    </row>
    <row r="301" spans="1:6" x14ac:dyDescent="0.3">
      <c r="A301" s="6" t="s">
        <v>226</v>
      </c>
      <c r="B301" s="6">
        <v>15</v>
      </c>
      <c r="C301" s="6" t="str" cm="1">
        <f t="array" ref="C301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01" s="6" cm="1">
        <f t="array" ref="D301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11</v>
      </c>
      <c r="E301" s="7">
        <f>Table2[[#This Row],[Quotas Missing]]/Table2[[#This Row],[Quotas Avaliable]]</f>
        <v>0.73333333333333328</v>
      </c>
      <c r="F301" s="6"/>
    </row>
    <row r="302" spans="1:6" x14ac:dyDescent="0.3">
      <c r="A302" s="6" t="s">
        <v>227</v>
      </c>
      <c r="B302" s="6">
        <v>16</v>
      </c>
      <c r="C302" s="6" t="str" cm="1">
        <f t="array" ref="C302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02" s="6" cm="1">
        <f t="array" ref="D302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11</v>
      </c>
      <c r="E302" s="7">
        <f>Table2[[#This Row],[Quotas Missing]]/Table2[[#This Row],[Quotas Avaliable]]</f>
        <v>0.6875</v>
      </c>
      <c r="F302" s="6"/>
    </row>
    <row r="303" spans="1:6" x14ac:dyDescent="0.3">
      <c r="A303" s="6" t="s">
        <v>229</v>
      </c>
      <c r="B303" s="6">
        <v>16</v>
      </c>
      <c r="C303" s="6" t="str" cm="1">
        <f t="array" ref="C303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03" s="6" cm="1">
        <f t="array" ref="D303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11</v>
      </c>
      <c r="E303" s="7">
        <f>Table2[[#This Row],[Quotas Missing]]/Table2[[#This Row],[Quotas Avaliable]]</f>
        <v>0.6875</v>
      </c>
      <c r="F303" s="6"/>
    </row>
    <row r="304" spans="1:6" x14ac:dyDescent="0.3">
      <c r="A304" s="6" t="s">
        <v>230</v>
      </c>
      <c r="B304" s="6">
        <v>16</v>
      </c>
      <c r="C304" s="6" t="str" cm="1">
        <f t="array" ref="C304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04" s="6" cm="1">
        <f t="array" ref="D304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11</v>
      </c>
      <c r="E304" s="7">
        <f>Table2[[#This Row],[Quotas Missing]]/Table2[[#This Row],[Quotas Avaliable]]</f>
        <v>0.6875</v>
      </c>
      <c r="F304" s="6"/>
    </row>
    <row r="305" spans="1:6" x14ac:dyDescent="0.3">
      <c r="A305" s="6" t="s">
        <v>242</v>
      </c>
      <c r="B305" s="6">
        <v>16</v>
      </c>
      <c r="C305" s="6" t="str" cm="1">
        <f t="array" ref="C305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05" s="6" cm="1">
        <f t="array" ref="D305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11</v>
      </c>
      <c r="E305" s="7">
        <f>Table2[[#This Row],[Quotas Missing]]/Table2[[#This Row],[Quotas Avaliable]]</f>
        <v>0.6875</v>
      </c>
      <c r="F305" s="6"/>
    </row>
    <row r="306" spans="1:6" x14ac:dyDescent="0.3">
      <c r="A306" s="6" t="s">
        <v>1156</v>
      </c>
      <c r="B306" s="6">
        <v>25</v>
      </c>
      <c r="C306" s="6" t="str" cm="1">
        <f t="array" ref="C306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06" s="6" cm="1">
        <f t="array" ref="D306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10</v>
      </c>
      <c r="E306" s="7">
        <f>Table2[[#This Row],[Quotas Missing]]/Table2[[#This Row],[Quotas Avaliable]]</f>
        <v>0.4</v>
      </c>
      <c r="F306" s="6"/>
    </row>
    <row r="307" spans="1:6" x14ac:dyDescent="0.3">
      <c r="A307" s="6" t="s">
        <v>290</v>
      </c>
      <c r="B307" s="6">
        <v>23</v>
      </c>
      <c r="C307" s="6" t="str" cm="1">
        <f t="array" ref="C307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07" s="6" cm="1">
        <f t="array" ref="D307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10</v>
      </c>
      <c r="E307" s="7">
        <f>Table2[[#This Row],[Quotas Missing]]/Table2[[#This Row],[Quotas Avaliable]]</f>
        <v>0.43478260869565216</v>
      </c>
      <c r="F307" s="6"/>
    </row>
    <row r="308" spans="1:6" x14ac:dyDescent="0.3">
      <c r="A308" s="6" t="s">
        <v>204</v>
      </c>
      <c r="B308" s="6">
        <v>17</v>
      </c>
      <c r="C308" s="6" t="str" cm="1">
        <f t="array" ref="C308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08" s="6" cm="1">
        <f t="array" ref="D308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10</v>
      </c>
      <c r="E308" s="7">
        <f>Table2[[#This Row],[Quotas Missing]]/Table2[[#This Row],[Quotas Avaliable]]</f>
        <v>0.58823529411764708</v>
      </c>
      <c r="F308" s="6"/>
    </row>
    <row r="309" spans="1:6" x14ac:dyDescent="0.3">
      <c r="A309" s="6" t="s">
        <v>63</v>
      </c>
      <c r="B309" s="6">
        <v>15</v>
      </c>
      <c r="C309" s="6" t="str" cm="1">
        <f t="array" ref="C309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09" s="6" cm="1">
        <f t="array" ref="D309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10</v>
      </c>
      <c r="E309" s="7">
        <f>Table2[[#This Row],[Quotas Missing]]/Table2[[#This Row],[Quotas Avaliable]]</f>
        <v>0.66666666666666663</v>
      </c>
      <c r="F309" s="6"/>
    </row>
    <row r="310" spans="1:6" x14ac:dyDescent="0.3">
      <c r="A310" s="6" t="s">
        <v>1053</v>
      </c>
      <c r="B310" s="6">
        <v>24</v>
      </c>
      <c r="C310" s="6" t="str" cm="1">
        <f t="array" ref="C310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10" s="6" cm="1">
        <f t="array" ref="D310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10</v>
      </c>
      <c r="E310" s="7">
        <f>Table2[[#This Row],[Quotas Missing]]/Table2[[#This Row],[Quotas Avaliable]]</f>
        <v>0.41666666666666669</v>
      </c>
      <c r="F310" s="6"/>
    </row>
    <row r="311" spans="1:6" x14ac:dyDescent="0.3">
      <c r="A311" s="6" t="s">
        <v>266</v>
      </c>
      <c r="B311" s="6">
        <v>27</v>
      </c>
      <c r="C311" s="6" t="str" cm="1">
        <f t="array" ref="C311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11" s="6" cm="1">
        <f t="array" ref="D311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10</v>
      </c>
      <c r="E311" s="7">
        <f>Table2[[#This Row],[Quotas Missing]]/Table2[[#This Row],[Quotas Avaliable]]</f>
        <v>0.37037037037037035</v>
      </c>
      <c r="F311" s="6"/>
    </row>
    <row r="312" spans="1:6" x14ac:dyDescent="0.3">
      <c r="A312" s="6" t="s">
        <v>265</v>
      </c>
      <c r="B312" s="6">
        <v>25</v>
      </c>
      <c r="C312" s="6" t="str" cm="1">
        <f t="array" ref="C312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12" s="6" cm="1">
        <f t="array" ref="D312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10</v>
      </c>
      <c r="E312" s="7">
        <f>Table2[[#This Row],[Quotas Missing]]/Table2[[#This Row],[Quotas Avaliable]]</f>
        <v>0.4</v>
      </c>
      <c r="F312" s="6"/>
    </row>
    <row r="313" spans="1:6" x14ac:dyDescent="0.3">
      <c r="A313" s="6" t="s">
        <v>118</v>
      </c>
      <c r="B313" s="6">
        <v>16</v>
      </c>
      <c r="C313" s="6" t="str" cm="1">
        <f t="array" ref="C313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13" s="6" cm="1">
        <f t="array" ref="D313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10</v>
      </c>
      <c r="E313" s="7">
        <f>Table2[[#This Row],[Quotas Missing]]/Table2[[#This Row],[Quotas Avaliable]]</f>
        <v>0.625</v>
      </c>
      <c r="F313" s="6"/>
    </row>
    <row r="314" spans="1:6" x14ac:dyDescent="0.3">
      <c r="A314" s="6" t="s">
        <v>167</v>
      </c>
      <c r="B314" s="6">
        <v>22</v>
      </c>
      <c r="C314" s="6" t="str" cm="1">
        <f t="array" ref="C314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14" s="6" cm="1">
        <f t="array" ref="D314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10</v>
      </c>
      <c r="E314" s="7">
        <f>Table2[[#This Row],[Quotas Missing]]/Table2[[#This Row],[Quotas Avaliable]]</f>
        <v>0.45454545454545453</v>
      </c>
      <c r="F314" s="6"/>
    </row>
    <row r="315" spans="1:6" x14ac:dyDescent="0.3">
      <c r="A315" s="6" t="s">
        <v>168</v>
      </c>
      <c r="B315" s="6">
        <v>22</v>
      </c>
      <c r="C315" s="6" t="str" cm="1">
        <f t="array" ref="C315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15" s="6" cm="1">
        <f t="array" ref="D315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10</v>
      </c>
      <c r="E315" s="7">
        <f>Table2[[#This Row],[Quotas Missing]]/Table2[[#This Row],[Quotas Avaliable]]</f>
        <v>0.45454545454545453</v>
      </c>
      <c r="F315" s="6"/>
    </row>
    <row r="316" spans="1:6" x14ac:dyDescent="0.3">
      <c r="A316" s="6" t="s">
        <v>184</v>
      </c>
      <c r="B316" s="6">
        <v>16</v>
      </c>
      <c r="C316" s="6" t="str" cm="1">
        <f t="array" ref="C316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16" s="6" cm="1">
        <f t="array" ref="D316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10</v>
      </c>
      <c r="E316" s="7">
        <f>Table2[[#This Row],[Quotas Missing]]/Table2[[#This Row],[Quotas Avaliable]]</f>
        <v>0.625</v>
      </c>
      <c r="F316" s="6"/>
    </row>
    <row r="317" spans="1:6" x14ac:dyDescent="0.3">
      <c r="A317" s="6" t="s">
        <v>201</v>
      </c>
      <c r="B317" s="6">
        <v>16</v>
      </c>
      <c r="C317" s="6" t="str" cm="1">
        <f t="array" ref="C317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17" s="6" cm="1">
        <f t="array" ref="D317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10</v>
      </c>
      <c r="E317" s="7">
        <f>Table2[[#This Row],[Quotas Missing]]/Table2[[#This Row],[Quotas Avaliable]]</f>
        <v>0.625</v>
      </c>
      <c r="F317" s="6"/>
    </row>
    <row r="318" spans="1:6" x14ac:dyDescent="0.3">
      <c r="A318" s="6" t="s">
        <v>205</v>
      </c>
      <c r="B318" s="6">
        <v>17</v>
      </c>
      <c r="C318" s="6" t="str" cm="1">
        <f t="array" ref="C318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18" s="6" cm="1">
        <f t="array" ref="D318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10</v>
      </c>
      <c r="E318" s="7">
        <f>Table2[[#This Row],[Quotas Missing]]/Table2[[#This Row],[Quotas Avaliable]]</f>
        <v>0.58823529411764708</v>
      </c>
      <c r="F318" s="6"/>
    </row>
    <row r="319" spans="1:6" x14ac:dyDescent="0.3">
      <c r="A319" s="6" t="s">
        <v>207</v>
      </c>
      <c r="B319" s="6">
        <v>16</v>
      </c>
      <c r="C319" s="6" t="str" cm="1">
        <f t="array" ref="C319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19" s="6" cm="1">
        <f t="array" ref="D319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10</v>
      </c>
      <c r="E319" s="7">
        <f>Table2[[#This Row],[Quotas Missing]]/Table2[[#This Row],[Quotas Avaliable]]</f>
        <v>0.625</v>
      </c>
      <c r="F319" s="6"/>
    </row>
    <row r="320" spans="1:6" x14ac:dyDescent="0.3">
      <c r="A320" s="6" t="s">
        <v>213</v>
      </c>
      <c r="B320" s="6">
        <v>32</v>
      </c>
      <c r="C320" s="6" t="str" cm="1">
        <f t="array" ref="C320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20" s="6" cm="1">
        <f t="array" ref="D320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10</v>
      </c>
      <c r="E320" s="7">
        <f>Table2[[#This Row],[Quotas Missing]]/Table2[[#This Row],[Quotas Avaliable]]</f>
        <v>0.3125</v>
      </c>
      <c r="F320" s="6"/>
    </row>
    <row r="321" spans="1:6" x14ac:dyDescent="0.3">
      <c r="A321" s="6" t="s">
        <v>219</v>
      </c>
      <c r="B321" s="6">
        <v>13</v>
      </c>
      <c r="C321" s="6" t="str" cm="1">
        <f t="array" ref="C321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21" s="6" cm="1">
        <f t="array" ref="D321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10</v>
      </c>
      <c r="E321" s="7">
        <f>Table2[[#This Row],[Quotas Missing]]/Table2[[#This Row],[Quotas Avaliable]]</f>
        <v>0.76923076923076927</v>
      </c>
      <c r="F321" s="6"/>
    </row>
    <row r="322" spans="1:6" x14ac:dyDescent="0.3">
      <c r="A322" s="6" t="s">
        <v>225</v>
      </c>
      <c r="B322" s="6">
        <v>12</v>
      </c>
      <c r="C322" s="6" t="str" cm="1">
        <f t="array" ref="C322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22" s="6" cm="1">
        <f t="array" ref="D322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10</v>
      </c>
      <c r="E322" s="7">
        <f>Table2[[#This Row],[Quotas Missing]]/Table2[[#This Row],[Quotas Avaliable]]</f>
        <v>0.83333333333333337</v>
      </c>
      <c r="F322" s="6"/>
    </row>
    <row r="323" spans="1:6" x14ac:dyDescent="0.3">
      <c r="A323" s="6" t="s">
        <v>221</v>
      </c>
      <c r="B323" s="6">
        <v>12</v>
      </c>
      <c r="C323" s="6" t="str" cm="1">
        <f t="array" ref="C323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23" s="6" cm="1">
        <f t="array" ref="D323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10</v>
      </c>
      <c r="E323" s="7">
        <f>Table2[[#This Row],[Quotas Missing]]/Table2[[#This Row],[Quotas Avaliable]]</f>
        <v>0.83333333333333337</v>
      </c>
      <c r="F323" s="6"/>
    </row>
    <row r="324" spans="1:6" x14ac:dyDescent="0.3">
      <c r="A324" s="6" t="s">
        <v>237</v>
      </c>
      <c r="B324" s="6">
        <v>16</v>
      </c>
      <c r="C324" s="6" t="str" cm="1">
        <f t="array" ref="C324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24" s="6" cm="1">
        <f t="array" ref="D324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10</v>
      </c>
      <c r="E324" s="7">
        <f>Table2[[#This Row],[Quotas Missing]]/Table2[[#This Row],[Quotas Avaliable]]</f>
        <v>0.625</v>
      </c>
      <c r="F324" s="6"/>
    </row>
    <row r="325" spans="1:6" x14ac:dyDescent="0.3">
      <c r="A325" s="6" t="s">
        <v>234</v>
      </c>
      <c r="B325" s="6">
        <v>16</v>
      </c>
      <c r="C325" s="6" t="str" cm="1">
        <f t="array" ref="C325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25" s="6" cm="1">
        <f t="array" ref="D325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10</v>
      </c>
      <c r="E325" s="7">
        <f>Table2[[#This Row],[Quotas Missing]]/Table2[[#This Row],[Quotas Avaliable]]</f>
        <v>0.625</v>
      </c>
      <c r="F325" s="6"/>
    </row>
    <row r="326" spans="1:6" x14ac:dyDescent="0.3">
      <c r="A326" s="6" t="s">
        <v>236</v>
      </c>
      <c r="B326" s="6">
        <v>16</v>
      </c>
      <c r="C326" s="6" t="str" cm="1">
        <f t="array" ref="C326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26" s="6" cm="1">
        <f t="array" ref="D326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10</v>
      </c>
      <c r="E326" s="7">
        <f>Table2[[#This Row],[Quotas Missing]]/Table2[[#This Row],[Quotas Avaliable]]</f>
        <v>0.625</v>
      </c>
      <c r="F326" s="6"/>
    </row>
    <row r="327" spans="1:6" x14ac:dyDescent="0.3">
      <c r="A327" s="6" t="s">
        <v>243</v>
      </c>
      <c r="B327" s="6">
        <v>16</v>
      </c>
      <c r="C327" s="6" t="str" cm="1">
        <f t="array" ref="C327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27" s="6" cm="1">
        <f t="array" ref="D327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10</v>
      </c>
      <c r="E327" s="7">
        <f>Table2[[#This Row],[Quotas Missing]]/Table2[[#This Row],[Quotas Avaliable]]</f>
        <v>0.625</v>
      </c>
      <c r="F327" s="6"/>
    </row>
    <row r="328" spans="1:6" x14ac:dyDescent="0.3">
      <c r="A328" s="6" t="s">
        <v>62</v>
      </c>
      <c r="B328" s="6">
        <v>16</v>
      </c>
      <c r="C328" s="6" t="str" cm="1">
        <f t="array" ref="C328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28" s="6" cm="1">
        <f t="array" ref="D328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9</v>
      </c>
      <c r="E328" s="7">
        <f>Table2[[#This Row],[Quotas Missing]]/Table2[[#This Row],[Quotas Avaliable]]</f>
        <v>0.5625</v>
      </c>
      <c r="F328" s="6"/>
    </row>
    <row r="329" spans="1:6" x14ac:dyDescent="0.3">
      <c r="A329" s="6" t="s">
        <v>147</v>
      </c>
      <c r="B329" s="6">
        <v>20</v>
      </c>
      <c r="C329" s="6" t="str" cm="1">
        <f t="array" ref="C329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29" s="6" cm="1">
        <f t="array" ref="D329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9</v>
      </c>
      <c r="E329" s="7">
        <f>Table2[[#This Row],[Quotas Missing]]/Table2[[#This Row],[Quotas Avaliable]]</f>
        <v>0.45</v>
      </c>
      <c r="F329" s="6"/>
    </row>
    <row r="330" spans="1:6" x14ac:dyDescent="0.3">
      <c r="A330" s="6" t="s">
        <v>1201</v>
      </c>
      <c r="B330" s="6">
        <v>12</v>
      </c>
      <c r="C330" s="6" t="str" cm="1">
        <f t="array" ref="C330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30" s="6" cm="1">
        <f t="array" ref="D330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9</v>
      </c>
      <c r="E330" s="7">
        <f>Table2[[#This Row],[Quotas Missing]]/Table2[[#This Row],[Quotas Avaliable]]</f>
        <v>0.75</v>
      </c>
      <c r="F330" s="6"/>
    </row>
    <row r="331" spans="1:6" x14ac:dyDescent="0.3">
      <c r="A331" s="6" t="s">
        <v>320</v>
      </c>
      <c r="B331" s="6">
        <v>12</v>
      </c>
      <c r="C331" s="6" t="str" cm="1">
        <f t="array" ref="C331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31" s="6" cm="1">
        <f t="array" ref="D331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9</v>
      </c>
      <c r="E331" s="7">
        <f>Table2[[#This Row],[Quotas Missing]]/Table2[[#This Row],[Quotas Avaliable]]</f>
        <v>0.75</v>
      </c>
      <c r="F331" s="6"/>
    </row>
    <row r="332" spans="1:6" x14ac:dyDescent="0.3">
      <c r="A332" s="6" t="s">
        <v>172</v>
      </c>
      <c r="B332" s="6">
        <v>14</v>
      </c>
      <c r="C332" s="6" t="str" cm="1">
        <f t="array" ref="C332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32" s="6" cm="1">
        <f t="array" ref="D332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9</v>
      </c>
      <c r="E332" s="7">
        <f>Table2[[#This Row],[Quotas Missing]]/Table2[[#This Row],[Quotas Avaliable]]</f>
        <v>0.6428571428571429</v>
      </c>
      <c r="F332" s="6"/>
    </row>
    <row r="333" spans="1:6" x14ac:dyDescent="0.3">
      <c r="A333" s="6" t="s">
        <v>1117</v>
      </c>
      <c r="B333" s="6">
        <v>16</v>
      </c>
      <c r="C333" s="6" t="str" cm="1">
        <f t="array" ref="C333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33" s="6" cm="1">
        <f t="array" ref="D333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9</v>
      </c>
      <c r="E333" s="7">
        <f>Table2[[#This Row],[Quotas Missing]]/Table2[[#This Row],[Quotas Avaliable]]</f>
        <v>0.5625</v>
      </c>
      <c r="F333" s="6"/>
    </row>
    <row r="334" spans="1:6" x14ac:dyDescent="0.3">
      <c r="A334" s="6" t="s">
        <v>208</v>
      </c>
      <c r="B334" s="6">
        <v>16</v>
      </c>
      <c r="C334" s="6" t="str" cm="1">
        <f t="array" ref="C334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34" s="6" cm="1">
        <f t="array" ref="D334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9</v>
      </c>
      <c r="E334" s="7">
        <f>Table2[[#This Row],[Quotas Missing]]/Table2[[#This Row],[Quotas Avaliable]]</f>
        <v>0.5625</v>
      </c>
      <c r="F334" s="6"/>
    </row>
    <row r="335" spans="1:6" x14ac:dyDescent="0.3">
      <c r="A335" s="6" t="s">
        <v>222</v>
      </c>
      <c r="B335" s="6">
        <v>12</v>
      </c>
      <c r="C335" s="6" t="str" cm="1">
        <f t="array" ref="C335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35" s="6" cm="1">
        <f t="array" ref="D335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9</v>
      </c>
      <c r="E335" s="7">
        <f>Table2[[#This Row],[Quotas Missing]]/Table2[[#This Row],[Quotas Avaliable]]</f>
        <v>0.75</v>
      </c>
      <c r="F335" s="6"/>
    </row>
    <row r="336" spans="1:6" x14ac:dyDescent="0.3">
      <c r="A336" s="6" t="s">
        <v>1066</v>
      </c>
      <c r="B336" s="6">
        <v>16</v>
      </c>
      <c r="C336" s="6" t="str" cm="1">
        <f t="array" ref="C336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36" s="6" cm="1">
        <f t="array" ref="D336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8</v>
      </c>
      <c r="E336" s="7">
        <f>Table2[[#This Row],[Quotas Missing]]/Table2[[#This Row],[Quotas Avaliable]]</f>
        <v>0.5</v>
      </c>
      <c r="F336" s="6"/>
    </row>
    <row r="337" spans="1:6" x14ac:dyDescent="0.3">
      <c r="A337" s="6" t="s">
        <v>1067</v>
      </c>
      <c r="B337" s="6">
        <v>16</v>
      </c>
      <c r="C337" s="6" t="str" cm="1">
        <f t="array" ref="C337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37" s="6" cm="1">
        <f t="array" ref="D337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8</v>
      </c>
      <c r="E337" s="7">
        <f>Table2[[#This Row],[Quotas Missing]]/Table2[[#This Row],[Quotas Avaliable]]</f>
        <v>0.5</v>
      </c>
      <c r="F337" s="6"/>
    </row>
    <row r="338" spans="1:6" x14ac:dyDescent="0.3">
      <c r="A338" s="6" t="s">
        <v>259</v>
      </c>
      <c r="B338" s="6">
        <v>20</v>
      </c>
      <c r="C338" s="6" t="str" cm="1">
        <f t="array" ref="C338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38" s="6" cm="1">
        <f t="array" ref="D338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8</v>
      </c>
      <c r="E338" s="7">
        <f>Table2[[#This Row],[Quotas Missing]]/Table2[[#This Row],[Quotas Avaliable]]</f>
        <v>0.4</v>
      </c>
      <c r="F338" s="6"/>
    </row>
    <row r="339" spans="1:6" x14ac:dyDescent="0.3">
      <c r="A339" s="6" t="s">
        <v>76</v>
      </c>
      <c r="B339" s="6">
        <v>16</v>
      </c>
      <c r="C339" s="6" t="str" cm="1">
        <f t="array" ref="C339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39" s="6" cm="1">
        <f t="array" ref="D339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8</v>
      </c>
      <c r="E339" s="7">
        <f>Table2[[#This Row],[Quotas Missing]]/Table2[[#This Row],[Quotas Avaliable]]</f>
        <v>0.5</v>
      </c>
      <c r="F339" s="6"/>
    </row>
    <row r="340" spans="1:6" x14ac:dyDescent="0.3">
      <c r="A340" s="6" t="s">
        <v>83</v>
      </c>
      <c r="B340" s="6">
        <v>13</v>
      </c>
      <c r="C340" s="6" t="str" cm="1">
        <f t="array" ref="C340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40" s="6" cm="1">
        <f t="array" ref="D340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8</v>
      </c>
      <c r="E340" s="7">
        <f>Table2[[#This Row],[Quotas Missing]]/Table2[[#This Row],[Quotas Avaliable]]</f>
        <v>0.61538461538461542</v>
      </c>
      <c r="F340" s="6"/>
    </row>
    <row r="341" spans="1:6" x14ac:dyDescent="0.3">
      <c r="A341" s="6" t="s">
        <v>91</v>
      </c>
      <c r="B341" s="6">
        <v>12</v>
      </c>
      <c r="C341" s="6" t="str" cm="1">
        <f t="array" ref="C341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41" s="6" cm="1">
        <f t="array" ref="D341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8</v>
      </c>
      <c r="E341" s="7">
        <f>Table2[[#This Row],[Quotas Missing]]/Table2[[#This Row],[Quotas Avaliable]]</f>
        <v>0.66666666666666663</v>
      </c>
      <c r="F341" s="6"/>
    </row>
    <row r="342" spans="1:6" x14ac:dyDescent="0.3">
      <c r="A342" s="6" t="s">
        <v>97</v>
      </c>
      <c r="B342" s="6">
        <v>15</v>
      </c>
      <c r="C342" s="6" t="str" cm="1">
        <f t="array" ref="C342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42" s="6" cm="1">
        <f t="array" ref="D342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8</v>
      </c>
      <c r="E342" s="7">
        <f>Table2[[#This Row],[Quotas Missing]]/Table2[[#This Row],[Quotas Avaliable]]</f>
        <v>0.53333333333333333</v>
      </c>
      <c r="F342" s="6"/>
    </row>
    <row r="343" spans="1:6" x14ac:dyDescent="0.3">
      <c r="A343" s="6" t="s">
        <v>92</v>
      </c>
      <c r="B343" s="6">
        <v>12</v>
      </c>
      <c r="C343" s="6" t="str" cm="1">
        <f t="array" ref="C343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43" s="6" cm="1">
        <f t="array" ref="D343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8</v>
      </c>
      <c r="E343" s="7">
        <f>Table2[[#This Row],[Quotas Missing]]/Table2[[#This Row],[Quotas Avaliable]]</f>
        <v>0.66666666666666663</v>
      </c>
      <c r="F343" s="6"/>
    </row>
    <row r="344" spans="1:6" x14ac:dyDescent="0.3">
      <c r="A344" s="6" t="s">
        <v>136</v>
      </c>
      <c r="B344" s="6">
        <v>19</v>
      </c>
      <c r="C344" s="6" t="str" cm="1">
        <f t="array" ref="C344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44" s="6" cm="1">
        <f t="array" ref="D344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8</v>
      </c>
      <c r="E344" s="7">
        <f>Table2[[#This Row],[Quotas Missing]]/Table2[[#This Row],[Quotas Avaliable]]</f>
        <v>0.42105263157894735</v>
      </c>
      <c r="F344" s="6"/>
    </row>
    <row r="345" spans="1:6" x14ac:dyDescent="0.3">
      <c r="A345" s="6" t="s">
        <v>1179</v>
      </c>
      <c r="B345" s="6">
        <v>13</v>
      </c>
      <c r="C345" s="6" t="str" cm="1">
        <f t="array" ref="C345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45" s="6" cm="1">
        <f t="array" ref="D345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8</v>
      </c>
      <c r="E345" s="7">
        <f>Table2[[#This Row],[Quotas Missing]]/Table2[[#This Row],[Quotas Avaliable]]</f>
        <v>0.61538461538461542</v>
      </c>
      <c r="F345" s="6"/>
    </row>
    <row r="346" spans="1:6" x14ac:dyDescent="0.3">
      <c r="A346" s="6" t="s">
        <v>144</v>
      </c>
      <c r="B346" s="6">
        <v>16</v>
      </c>
      <c r="C346" s="6" t="str" cm="1">
        <f t="array" ref="C346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46" s="6" cm="1">
        <f t="array" ref="D346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8</v>
      </c>
      <c r="E346" s="7">
        <f>Table2[[#This Row],[Quotas Missing]]/Table2[[#This Row],[Quotas Avaliable]]</f>
        <v>0.5</v>
      </c>
      <c r="F346" s="6"/>
    </row>
    <row r="347" spans="1:6" x14ac:dyDescent="0.3">
      <c r="A347" s="6" t="s">
        <v>169</v>
      </c>
      <c r="B347" s="6">
        <v>22</v>
      </c>
      <c r="C347" s="6" t="str" cm="1">
        <f t="array" ref="C347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47" s="6" cm="1">
        <f t="array" ref="D347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8</v>
      </c>
      <c r="E347" s="7">
        <f>Table2[[#This Row],[Quotas Missing]]/Table2[[#This Row],[Quotas Avaliable]]</f>
        <v>0.36363636363636365</v>
      </c>
      <c r="F347" s="6"/>
    </row>
    <row r="348" spans="1:6" x14ac:dyDescent="0.3">
      <c r="A348" s="6" t="s">
        <v>857</v>
      </c>
      <c r="B348" s="6">
        <v>15</v>
      </c>
      <c r="C348" s="6" t="str" cm="1">
        <f t="array" ref="C348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48" s="6" cm="1">
        <f t="array" ref="D348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8</v>
      </c>
      <c r="E348" s="7">
        <f>Table2[[#This Row],[Quotas Missing]]/Table2[[#This Row],[Quotas Avaliable]]</f>
        <v>0.53333333333333333</v>
      </c>
      <c r="F348" s="6"/>
    </row>
    <row r="349" spans="1:6" x14ac:dyDescent="0.3">
      <c r="A349" s="6" t="s">
        <v>217</v>
      </c>
      <c r="B349" s="6">
        <v>12</v>
      </c>
      <c r="C349" s="6" t="str" cm="1">
        <f t="array" ref="C349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49" s="6" cm="1">
        <f t="array" ref="D349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8</v>
      </c>
      <c r="E349" s="7">
        <f>Table2[[#This Row],[Quotas Missing]]/Table2[[#This Row],[Quotas Avaliable]]</f>
        <v>0.66666666666666663</v>
      </c>
      <c r="F349" s="6"/>
    </row>
    <row r="350" spans="1:6" x14ac:dyDescent="0.3">
      <c r="A350" s="6" t="s">
        <v>218</v>
      </c>
      <c r="B350" s="6">
        <v>12</v>
      </c>
      <c r="C350" s="6" t="str" cm="1">
        <f t="array" ref="C350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50" s="6" cm="1">
        <f t="array" ref="D350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8</v>
      </c>
      <c r="E350" s="7">
        <f>Table2[[#This Row],[Quotas Missing]]/Table2[[#This Row],[Quotas Avaliable]]</f>
        <v>0.66666666666666663</v>
      </c>
      <c r="F350" s="6"/>
    </row>
    <row r="351" spans="1:6" x14ac:dyDescent="0.3">
      <c r="A351" s="6" t="s">
        <v>223</v>
      </c>
      <c r="B351" s="6">
        <v>12</v>
      </c>
      <c r="C351" s="6" t="str" cm="1">
        <f t="array" ref="C351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51" s="6" cm="1">
        <f t="array" ref="D351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8</v>
      </c>
      <c r="E351" s="7">
        <f>Table2[[#This Row],[Quotas Missing]]/Table2[[#This Row],[Quotas Avaliable]]</f>
        <v>0.66666666666666663</v>
      </c>
      <c r="F351" s="6"/>
    </row>
    <row r="352" spans="1:6" x14ac:dyDescent="0.3">
      <c r="A352" s="6" t="s">
        <v>853</v>
      </c>
      <c r="B352" s="6">
        <v>21</v>
      </c>
      <c r="C352" s="6" t="str" cm="1">
        <f t="array" ref="C352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52" s="6" cm="1">
        <f t="array" ref="D352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7</v>
      </c>
      <c r="E352" s="7">
        <f>Table2[[#This Row],[Quotas Missing]]/Table2[[#This Row],[Quotas Avaliable]]</f>
        <v>0.33333333333333331</v>
      </c>
      <c r="F352" s="6"/>
    </row>
    <row r="353" spans="1:6" x14ac:dyDescent="0.3">
      <c r="A353" s="6" t="s">
        <v>90</v>
      </c>
      <c r="B353" s="6">
        <v>10</v>
      </c>
      <c r="C353" s="6" t="str" cm="1">
        <f t="array" ref="C353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53" s="6" cm="1">
        <f t="array" ref="D353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7</v>
      </c>
      <c r="E353" s="7">
        <f>Table2[[#This Row],[Quotas Missing]]/Table2[[#This Row],[Quotas Avaliable]]</f>
        <v>0.7</v>
      </c>
      <c r="F353" s="6"/>
    </row>
    <row r="354" spans="1:6" x14ac:dyDescent="0.3">
      <c r="A354" s="6" t="s">
        <v>1198</v>
      </c>
      <c r="B354" s="6">
        <v>14</v>
      </c>
      <c r="C354" s="6" t="str" cm="1">
        <f t="array" ref="C354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54" s="6" cm="1">
        <f t="array" ref="D354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7</v>
      </c>
      <c r="E354" s="7">
        <f>Table2[[#This Row],[Quotas Missing]]/Table2[[#This Row],[Quotas Avaliable]]</f>
        <v>0.5</v>
      </c>
      <c r="F354" s="6"/>
    </row>
    <row r="355" spans="1:6" x14ac:dyDescent="0.3">
      <c r="A355" s="6" t="s">
        <v>143</v>
      </c>
      <c r="B355" s="6">
        <v>16</v>
      </c>
      <c r="C355" s="6" t="str" cm="1">
        <f t="array" ref="C355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55" s="6" cm="1">
        <f t="array" ref="D355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7</v>
      </c>
      <c r="E355" s="7">
        <f>Table2[[#This Row],[Quotas Missing]]/Table2[[#This Row],[Quotas Avaliable]]</f>
        <v>0.4375</v>
      </c>
      <c r="F355" s="6"/>
    </row>
    <row r="356" spans="1:6" x14ac:dyDescent="0.3">
      <c r="A356" s="6" t="s">
        <v>1068</v>
      </c>
      <c r="B356" s="6">
        <v>16</v>
      </c>
      <c r="C356" s="6" t="str" cm="1">
        <f t="array" ref="C356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56" s="6" cm="1">
        <f t="array" ref="D356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7</v>
      </c>
      <c r="E356" s="7">
        <f>Table2[[#This Row],[Quotas Missing]]/Table2[[#This Row],[Quotas Avaliable]]</f>
        <v>0.4375</v>
      </c>
      <c r="F356" s="6"/>
    </row>
    <row r="357" spans="1:6" x14ac:dyDescent="0.3">
      <c r="A357" s="6" t="s">
        <v>69</v>
      </c>
      <c r="B357" s="6">
        <v>16</v>
      </c>
      <c r="C357" s="6" t="str" cm="1">
        <f t="array" ref="C357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57" s="6" cm="1">
        <f t="array" ref="D357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7</v>
      </c>
      <c r="E357" s="7">
        <f>Table2[[#This Row],[Quotas Missing]]/Table2[[#This Row],[Quotas Avaliable]]</f>
        <v>0.4375</v>
      </c>
      <c r="F357" s="6"/>
    </row>
    <row r="358" spans="1:6" x14ac:dyDescent="0.3">
      <c r="A358" s="6" t="s">
        <v>77</v>
      </c>
      <c r="B358" s="6">
        <v>20</v>
      </c>
      <c r="C358" s="6" t="str" cm="1">
        <f t="array" ref="C358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58" s="6" cm="1">
        <f t="array" ref="D358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7</v>
      </c>
      <c r="E358" s="7">
        <f>Table2[[#This Row],[Quotas Missing]]/Table2[[#This Row],[Quotas Avaliable]]</f>
        <v>0.35</v>
      </c>
      <c r="F358" s="6"/>
    </row>
    <row r="359" spans="1:6" x14ac:dyDescent="0.3">
      <c r="A359" s="6" t="s">
        <v>84</v>
      </c>
      <c r="B359" s="6">
        <v>13</v>
      </c>
      <c r="C359" s="6" t="str" cm="1">
        <f t="array" ref="C359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59" s="6" cm="1">
        <f t="array" ref="D359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7</v>
      </c>
      <c r="E359" s="7">
        <f>Table2[[#This Row],[Quotas Missing]]/Table2[[#This Row],[Quotas Avaliable]]</f>
        <v>0.53846153846153844</v>
      </c>
      <c r="F359" s="6"/>
    </row>
    <row r="360" spans="1:6" x14ac:dyDescent="0.3">
      <c r="A360" s="6" t="s">
        <v>89</v>
      </c>
      <c r="B360" s="6">
        <v>11</v>
      </c>
      <c r="C360" s="6" t="str" cm="1">
        <f t="array" ref="C360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60" s="6" cm="1">
        <f t="array" ref="D360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7</v>
      </c>
      <c r="E360" s="7">
        <f>Table2[[#This Row],[Quotas Missing]]/Table2[[#This Row],[Quotas Avaliable]]</f>
        <v>0.63636363636363635</v>
      </c>
      <c r="F360" s="6"/>
    </row>
    <row r="361" spans="1:6" x14ac:dyDescent="0.3">
      <c r="A361" s="6" t="s">
        <v>98</v>
      </c>
      <c r="B361" s="6">
        <v>15</v>
      </c>
      <c r="C361" s="6" t="str" cm="1">
        <f t="array" ref="C361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61" s="6" cm="1">
        <f t="array" ref="D361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7</v>
      </c>
      <c r="E361" s="7">
        <f>Table2[[#This Row],[Quotas Missing]]/Table2[[#This Row],[Quotas Avaliable]]</f>
        <v>0.46666666666666667</v>
      </c>
      <c r="F361" s="6"/>
    </row>
    <row r="362" spans="1:6" x14ac:dyDescent="0.3">
      <c r="A362" s="6" t="s">
        <v>108</v>
      </c>
      <c r="B362" s="6">
        <v>15</v>
      </c>
      <c r="C362" s="6" t="str" cm="1">
        <f t="array" ref="C362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62" s="6" cm="1">
        <f t="array" ref="D362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7</v>
      </c>
      <c r="E362" s="7">
        <f>Table2[[#This Row],[Quotas Missing]]/Table2[[#This Row],[Quotas Avaliable]]</f>
        <v>0.46666666666666667</v>
      </c>
      <c r="F362" s="6"/>
    </row>
    <row r="363" spans="1:6" x14ac:dyDescent="0.3">
      <c r="A363" s="6" t="s">
        <v>112</v>
      </c>
      <c r="B363" s="6">
        <v>20</v>
      </c>
      <c r="C363" s="6" t="str" cm="1">
        <f t="array" ref="C363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63" s="6" cm="1">
        <f t="array" ref="D363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7</v>
      </c>
      <c r="E363" s="7">
        <f>Table2[[#This Row],[Quotas Missing]]/Table2[[#This Row],[Quotas Avaliable]]</f>
        <v>0.35</v>
      </c>
      <c r="F363" s="6"/>
    </row>
    <row r="364" spans="1:6" x14ac:dyDescent="0.3">
      <c r="A364" s="6" t="s">
        <v>154</v>
      </c>
      <c r="B364" s="6">
        <v>19</v>
      </c>
      <c r="C364" s="6" t="str" cm="1">
        <f t="array" ref="C364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64" s="6" cm="1">
        <f t="array" ref="D364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7</v>
      </c>
      <c r="E364" s="7">
        <f>Table2[[#This Row],[Quotas Missing]]/Table2[[#This Row],[Quotas Avaliable]]</f>
        <v>0.36842105263157893</v>
      </c>
      <c r="F364" s="6"/>
    </row>
    <row r="365" spans="1:6" x14ac:dyDescent="0.3">
      <c r="A365" s="6" t="s">
        <v>1134</v>
      </c>
      <c r="B365" s="6">
        <v>16</v>
      </c>
      <c r="C365" s="6" t="str" cm="1">
        <f t="array" ref="C365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65" s="6" cm="1">
        <f t="array" ref="D365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7</v>
      </c>
      <c r="E365" s="7">
        <f>Table2[[#This Row],[Quotas Missing]]/Table2[[#This Row],[Quotas Avaliable]]</f>
        <v>0.4375</v>
      </c>
      <c r="F365" s="6"/>
    </row>
    <row r="366" spans="1:6" x14ac:dyDescent="0.3">
      <c r="A366" s="6" t="s">
        <v>214</v>
      </c>
      <c r="B366" s="6">
        <v>16</v>
      </c>
      <c r="C366" s="6" t="str" cm="1">
        <f t="array" ref="C366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66" s="6" cm="1">
        <f t="array" ref="D366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7</v>
      </c>
      <c r="E366" s="7">
        <f>Table2[[#This Row],[Quotas Missing]]/Table2[[#This Row],[Quotas Avaliable]]</f>
        <v>0.4375</v>
      </c>
      <c r="F366" s="6"/>
    </row>
    <row r="367" spans="1:6" x14ac:dyDescent="0.3">
      <c r="A367" s="6" t="s">
        <v>220</v>
      </c>
      <c r="B367" s="6">
        <v>12</v>
      </c>
      <c r="C367" s="6" t="str" cm="1">
        <f t="array" ref="C367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67" s="6" cm="1">
        <f t="array" ref="D367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7</v>
      </c>
      <c r="E367" s="7">
        <f>Table2[[#This Row],[Quotas Missing]]/Table2[[#This Row],[Quotas Avaliable]]</f>
        <v>0.58333333333333337</v>
      </c>
      <c r="F367" s="6"/>
    </row>
    <row r="368" spans="1:6" x14ac:dyDescent="0.3">
      <c r="A368" s="6" t="s">
        <v>262</v>
      </c>
      <c r="B368" s="6">
        <v>21</v>
      </c>
      <c r="C368" s="6" t="str" cm="1">
        <f t="array" ref="C368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68" s="6" cm="1">
        <f t="array" ref="D368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6</v>
      </c>
      <c r="E368" s="7">
        <f>Table2[[#This Row],[Quotas Missing]]/Table2[[#This Row],[Quotas Avaliable]]</f>
        <v>0.2857142857142857</v>
      </c>
      <c r="F368" s="6"/>
    </row>
    <row r="369" spans="1:6" x14ac:dyDescent="0.3">
      <c r="A369" s="6" t="s">
        <v>858</v>
      </c>
      <c r="B369" s="6">
        <v>17</v>
      </c>
      <c r="C369" s="6" t="str" cm="1">
        <f t="array" ref="C369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69" s="6" cm="1">
        <f t="array" ref="D369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6</v>
      </c>
      <c r="E369" s="7">
        <f>Table2[[#This Row],[Quotas Missing]]/Table2[[#This Row],[Quotas Avaliable]]</f>
        <v>0.35294117647058826</v>
      </c>
      <c r="F369" s="6"/>
    </row>
    <row r="370" spans="1:6" x14ac:dyDescent="0.3">
      <c r="A370" s="6" t="s">
        <v>862</v>
      </c>
      <c r="B370" s="6">
        <v>12</v>
      </c>
      <c r="C370" s="6" t="str" cm="1">
        <f t="array" ref="C370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70" s="6" cm="1">
        <f t="array" ref="D370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6</v>
      </c>
      <c r="E370" s="7">
        <f>Table2[[#This Row],[Quotas Missing]]/Table2[[#This Row],[Quotas Avaliable]]</f>
        <v>0.5</v>
      </c>
      <c r="F370" s="6"/>
    </row>
    <row r="371" spans="1:6" x14ac:dyDescent="0.3">
      <c r="A371" s="6" t="s">
        <v>1121</v>
      </c>
      <c r="B371" s="6">
        <v>16</v>
      </c>
      <c r="C371" s="6" t="str" cm="1">
        <f t="array" ref="C371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71" s="6" cm="1">
        <f t="array" ref="D371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6</v>
      </c>
      <c r="E371" s="7">
        <f>Table2[[#This Row],[Quotas Missing]]/Table2[[#This Row],[Quotas Avaliable]]</f>
        <v>0.375</v>
      </c>
      <c r="F371" s="6"/>
    </row>
    <row r="372" spans="1:6" x14ac:dyDescent="0.3">
      <c r="A372" s="6" t="s">
        <v>1070</v>
      </c>
      <c r="B372" s="6">
        <v>16</v>
      </c>
      <c r="C372" s="6" t="str" cm="1">
        <f t="array" ref="C372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72" s="6" cm="1">
        <f t="array" ref="D372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5</v>
      </c>
      <c r="E372" s="7">
        <f>Table2[[#This Row],[Quotas Missing]]/Table2[[#This Row],[Quotas Avaliable]]</f>
        <v>0.3125</v>
      </c>
      <c r="F372" s="6"/>
    </row>
    <row r="373" spans="1:6" x14ac:dyDescent="0.3">
      <c r="A373" s="6" t="s">
        <v>275</v>
      </c>
      <c r="B373" s="6">
        <v>10</v>
      </c>
      <c r="C373" s="6" t="str" cm="1">
        <f t="array" ref="C373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73" s="6" cm="1">
        <f t="array" ref="D373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5</v>
      </c>
      <c r="E373" s="7">
        <f>Table2[[#This Row],[Quotas Missing]]/Table2[[#This Row],[Quotas Avaliable]]</f>
        <v>0.5</v>
      </c>
      <c r="F373" s="6"/>
    </row>
    <row r="374" spans="1:6" x14ac:dyDescent="0.3">
      <c r="A374" s="6" t="s">
        <v>1074</v>
      </c>
      <c r="B374" s="6">
        <v>10</v>
      </c>
      <c r="C374" s="6" t="str" cm="1">
        <f t="array" ref="C374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74" s="6" cm="1">
        <f t="array" ref="D374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5</v>
      </c>
      <c r="E374" s="7">
        <f>Table2[[#This Row],[Quotas Missing]]/Table2[[#This Row],[Quotas Avaliable]]</f>
        <v>0.5</v>
      </c>
      <c r="F374" s="6"/>
    </row>
    <row r="375" spans="1:6" x14ac:dyDescent="0.3">
      <c r="A375" s="6" t="s">
        <v>1171</v>
      </c>
      <c r="B375" s="6">
        <v>8</v>
      </c>
      <c r="C375" s="6" t="str" cm="1">
        <f t="array" ref="C375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75" s="6" cm="1">
        <f t="array" ref="D375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5</v>
      </c>
      <c r="E375" s="7">
        <f>Table2[[#This Row],[Quotas Missing]]/Table2[[#This Row],[Quotas Avaliable]]</f>
        <v>0.625</v>
      </c>
      <c r="F375" s="6"/>
    </row>
    <row r="376" spans="1:6" x14ac:dyDescent="0.3">
      <c r="A376" s="6" t="s">
        <v>110</v>
      </c>
      <c r="B376" s="6">
        <v>16</v>
      </c>
      <c r="C376" s="6" t="str" cm="1">
        <f t="array" ref="C376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76" s="6" cm="1">
        <f t="array" ref="D376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5</v>
      </c>
      <c r="E376" s="7">
        <f>Table2[[#This Row],[Quotas Missing]]/Table2[[#This Row],[Quotas Avaliable]]</f>
        <v>0.3125</v>
      </c>
      <c r="F376" s="6"/>
    </row>
    <row r="377" spans="1:6" x14ac:dyDescent="0.3">
      <c r="A377" s="6" t="s">
        <v>859</v>
      </c>
      <c r="B377" s="6">
        <v>11</v>
      </c>
      <c r="C377" s="6" t="str" cm="1">
        <f t="array" ref="C377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77" s="6" cm="1">
        <f t="array" ref="D377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5</v>
      </c>
      <c r="E377" s="7">
        <f>Table2[[#This Row],[Quotas Missing]]/Table2[[#This Row],[Quotas Avaliable]]</f>
        <v>0.45454545454545453</v>
      </c>
      <c r="F377" s="6"/>
    </row>
    <row r="378" spans="1:6" x14ac:dyDescent="0.3">
      <c r="A378" s="6" t="s">
        <v>139</v>
      </c>
      <c r="B378" s="6">
        <v>13</v>
      </c>
      <c r="C378" s="6" t="str" cm="1">
        <f t="array" ref="C378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78" s="6" cm="1">
        <f t="array" ref="D378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5</v>
      </c>
      <c r="E378" s="7">
        <f>Table2[[#This Row],[Quotas Missing]]/Table2[[#This Row],[Quotas Avaliable]]</f>
        <v>0.38461538461538464</v>
      </c>
      <c r="F378" s="6"/>
    </row>
    <row r="379" spans="1:6" x14ac:dyDescent="0.3">
      <c r="A379" s="6" t="s">
        <v>1180</v>
      </c>
      <c r="B379" s="6">
        <v>13</v>
      </c>
      <c r="C379" s="6" t="str" cm="1">
        <f t="array" ref="C379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79" s="6" cm="1">
        <f t="array" ref="D379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5</v>
      </c>
      <c r="E379" s="7">
        <f>Table2[[#This Row],[Quotas Missing]]/Table2[[#This Row],[Quotas Avaliable]]</f>
        <v>0.38461538461538464</v>
      </c>
      <c r="F379" s="6"/>
    </row>
    <row r="380" spans="1:6" x14ac:dyDescent="0.3">
      <c r="A380" s="6" t="s">
        <v>140</v>
      </c>
      <c r="B380" s="6">
        <v>13</v>
      </c>
      <c r="C380" s="6" t="str" cm="1">
        <f t="array" ref="C380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80" s="6" cm="1">
        <f t="array" ref="D380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5</v>
      </c>
      <c r="E380" s="7">
        <f>Table2[[#This Row],[Quotas Missing]]/Table2[[#This Row],[Quotas Avaliable]]</f>
        <v>0.38461538461538464</v>
      </c>
      <c r="F380" s="6"/>
    </row>
    <row r="381" spans="1:6" x14ac:dyDescent="0.3">
      <c r="A381" s="6" t="s">
        <v>1119</v>
      </c>
      <c r="B381" s="6">
        <v>16</v>
      </c>
      <c r="C381" s="6" t="str" cm="1">
        <f t="array" ref="C381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81" s="6" cm="1">
        <f t="array" ref="D381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5</v>
      </c>
      <c r="E381" s="7">
        <f>Table2[[#This Row],[Quotas Missing]]/Table2[[#This Row],[Quotas Avaliable]]</f>
        <v>0.3125</v>
      </c>
      <c r="F381" s="6"/>
    </row>
    <row r="382" spans="1:6" x14ac:dyDescent="0.3">
      <c r="A382" s="6" t="s">
        <v>258</v>
      </c>
      <c r="B382" s="6">
        <v>20</v>
      </c>
      <c r="C382" s="6" t="str" cm="1">
        <f t="array" ref="C382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82" s="6" cm="1">
        <f t="array" ref="D382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4</v>
      </c>
      <c r="E382" s="7">
        <f>Table2[[#This Row],[Quotas Missing]]/Table2[[#This Row],[Quotas Avaliable]]</f>
        <v>0.2</v>
      </c>
      <c r="F382" s="6"/>
    </row>
    <row r="383" spans="1:6" x14ac:dyDescent="0.3">
      <c r="A383" s="6" t="s">
        <v>1120</v>
      </c>
      <c r="B383" s="6">
        <v>16</v>
      </c>
      <c r="C383" s="6" t="str" cm="1">
        <f t="array" ref="C383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83" s="6" cm="1">
        <f t="array" ref="D383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4</v>
      </c>
      <c r="E383" s="7">
        <f>Table2[[#This Row],[Quotas Missing]]/Table2[[#This Row],[Quotas Avaliable]]</f>
        <v>0.25</v>
      </c>
      <c r="F383" s="6"/>
    </row>
    <row r="384" spans="1:6" x14ac:dyDescent="0.3">
      <c r="A384" s="6" t="s">
        <v>814</v>
      </c>
      <c r="B384" s="6">
        <v>10</v>
      </c>
      <c r="C384" s="6" t="str" cm="1">
        <f t="array" ref="C384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84" s="6" cm="1">
        <f t="array" ref="D384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4</v>
      </c>
      <c r="E384" s="7">
        <f>Table2[[#This Row],[Quotas Missing]]/Table2[[#This Row],[Quotas Avaliable]]</f>
        <v>0.4</v>
      </c>
      <c r="F384" s="6"/>
    </row>
    <row r="385" spans="1:6" x14ac:dyDescent="0.3">
      <c r="A385" s="6" t="s">
        <v>813</v>
      </c>
      <c r="B385" s="6">
        <v>19</v>
      </c>
      <c r="C385" s="6" t="str" cm="1">
        <f t="array" ref="C385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85" s="6" cm="1">
        <f t="array" ref="D385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4</v>
      </c>
      <c r="E385" s="7">
        <f>Table2[[#This Row],[Quotas Missing]]/Table2[[#This Row],[Quotas Avaliable]]</f>
        <v>0.21052631578947367</v>
      </c>
      <c r="F385" s="6"/>
    </row>
    <row r="386" spans="1:6" x14ac:dyDescent="0.3">
      <c r="A386" s="6" t="s">
        <v>1161</v>
      </c>
      <c r="B386" s="6">
        <v>8</v>
      </c>
      <c r="C386" s="6" t="str" cm="1">
        <f t="array" ref="C386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86" s="6" cm="1">
        <f t="array" ref="D386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4</v>
      </c>
      <c r="E386" s="7">
        <f>Table2[[#This Row],[Quotas Missing]]/Table2[[#This Row],[Quotas Avaliable]]</f>
        <v>0.5</v>
      </c>
      <c r="F386" s="6"/>
    </row>
    <row r="387" spans="1:6" x14ac:dyDescent="0.3">
      <c r="A387" s="6" t="s">
        <v>1103</v>
      </c>
      <c r="B387" s="6">
        <v>8</v>
      </c>
      <c r="C387" s="6" t="str" cm="1">
        <f t="array" ref="C387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87" s="6" cm="1">
        <f t="array" ref="D387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4</v>
      </c>
      <c r="E387" s="7">
        <f>Table2[[#This Row],[Quotas Missing]]/Table2[[#This Row],[Quotas Avaliable]]</f>
        <v>0.5</v>
      </c>
      <c r="F387" s="6"/>
    </row>
    <row r="388" spans="1:6" x14ac:dyDescent="0.3">
      <c r="A388" s="6" t="s">
        <v>1126</v>
      </c>
      <c r="B388" s="6">
        <v>10</v>
      </c>
      <c r="C388" s="6" t="str" cm="1">
        <f t="array" ref="C388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88" s="6" cm="1">
        <f t="array" ref="D388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4</v>
      </c>
      <c r="E388" s="7">
        <f>Table2[[#This Row],[Quotas Missing]]/Table2[[#This Row],[Quotas Avaliable]]</f>
        <v>0.4</v>
      </c>
      <c r="F388" s="6"/>
    </row>
    <row r="389" spans="1:6" x14ac:dyDescent="0.3">
      <c r="A389" s="6" t="s">
        <v>142</v>
      </c>
      <c r="B389" s="6">
        <v>9</v>
      </c>
      <c r="C389" s="6" t="str" cm="1">
        <f t="array" ref="C389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89" s="6" cm="1">
        <f t="array" ref="D389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4</v>
      </c>
      <c r="E389" s="7">
        <f>Table2[[#This Row],[Quotas Missing]]/Table2[[#This Row],[Quotas Avaliable]]</f>
        <v>0.44444444444444442</v>
      </c>
      <c r="F389" s="6"/>
    </row>
    <row r="390" spans="1:6" x14ac:dyDescent="0.3">
      <c r="A390" s="6" t="s">
        <v>815</v>
      </c>
      <c r="B390" s="6">
        <v>12</v>
      </c>
      <c r="C390" s="6" t="str" cm="1">
        <f t="array" ref="C390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90" s="6" cm="1">
        <f t="array" ref="D390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4</v>
      </c>
      <c r="E390" s="7">
        <f>Table2[[#This Row],[Quotas Missing]]/Table2[[#This Row],[Quotas Avaliable]]</f>
        <v>0.33333333333333331</v>
      </c>
      <c r="F390" s="6"/>
    </row>
    <row r="391" spans="1:6" x14ac:dyDescent="0.3">
      <c r="A391" s="6" t="s">
        <v>816</v>
      </c>
      <c r="B391" s="6">
        <v>8</v>
      </c>
      <c r="C391" s="6" t="str" cm="1">
        <f t="array" ref="C391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91" s="6" cm="1">
        <f t="array" ref="D391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4</v>
      </c>
      <c r="E391" s="7">
        <f>Table2[[#This Row],[Quotas Missing]]/Table2[[#This Row],[Quotas Avaliable]]</f>
        <v>0.5</v>
      </c>
      <c r="F391" s="6"/>
    </row>
    <row r="392" spans="1:6" x14ac:dyDescent="0.3">
      <c r="A392" s="6" t="s">
        <v>1118</v>
      </c>
      <c r="B392" s="6">
        <v>16</v>
      </c>
      <c r="C392" s="6" t="str" cm="1">
        <f t="array" ref="C392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92" s="6" cm="1">
        <f t="array" ref="D392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4</v>
      </c>
      <c r="E392" s="7">
        <f>Table2[[#This Row],[Quotas Missing]]/Table2[[#This Row],[Quotas Avaliable]]</f>
        <v>0.25</v>
      </c>
      <c r="F392" s="6"/>
    </row>
    <row r="393" spans="1:6" x14ac:dyDescent="0.3">
      <c r="A393" s="6" t="s">
        <v>199</v>
      </c>
      <c r="B393" s="6">
        <v>16</v>
      </c>
      <c r="C393" s="6" t="str" cm="1">
        <f t="array" ref="C393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93" s="6" cm="1">
        <f t="array" ref="D393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4</v>
      </c>
      <c r="E393" s="7">
        <f>Table2[[#This Row],[Quotas Missing]]/Table2[[#This Row],[Quotas Avaliable]]</f>
        <v>0.25</v>
      </c>
      <c r="F393" s="6"/>
    </row>
    <row r="394" spans="1:6" x14ac:dyDescent="0.3">
      <c r="A394" s="6" t="s">
        <v>1122</v>
      </c>
      <c r="B394" s="6">
        <v>16</v>
      </c>
      <c r="C394" s="6" t="str" cm="1">
        <f t="array" ref="C394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94" s="6" cm="1">
        <f t="array" ref="D394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3</v>
      </c>
      <c r="E394" s="7">
        <f>Table2[[#This Row],[Quotas Missing]]/Table2[[#This Row],[Quotas Avaliable]]</f>
        <v>0.1875</v>
      </c>
      <c r="F394" s="6"/>
    </row>
    <row r="395" spans="1:6" x14ac:dyDescent="0.3">
      <c r="A395" s="6" t="s">
        <v>2993</v>
      </c>
      <c r="B395" s="6">
        <v>12</v>
      </c>
      <c r="C395" s="6" t="str" cm="1">
        <f t="array" ref="C395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95" s="6" cm="1">
        <f t="array" ref="D395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3</v>
      </c>
      <c r="E395" s="7">
        <f>Table2[[#This Row],[Quotas Missing]]/Table2[[#This Row],[Quotas Avaliable]]</f>
        <v>0.25</v>
      </c>
      <c r="F395" s="6"/>
    </row>
    <row r="396" spans="1:6" x14ac:dyDescent="0.3">
      <c r="A396" s="6" t="s">
        <v>1051</v>
      </c>
      <c r="B396" s="6">
        <v>8</v>
      </c>
      <c r="C396" s="6" t="str" cm="1">
        <f t="array" ref="C396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96" s="6" cm="1">
        <f t="array" ref="D396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3</v>
      </c>
      <c r="E396" s="7">
        <f>Table2[[#This Row],[Quotas Missing]]/Table2[[#This Row],[Quotas Avaliable]]</f>
        <v>0.375</v>
      </c>
      <c r="F396" s="6"/>
    </row>
    <row r="397" spans="1:6" x14ac:dyDescent="0.3">
      <c r="A397" s="6" t="s">
        <v>1072</v>
      </c>
      <c r="B397" s="6">
        <v>8</v>
      </c>
      <c r="C397" s="6" t="str" cm="1">
        <f t="array" ref="C397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97" s="6" cm="1">
        <f t="array" ref="D397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3</v>
      </c>
      <c r="E397" s="7">
        <f>Table2[[#This Row],[Quotas Missing]]/Table2[[#This Row],[Quotas Avaliable]]</f>
        <v>0.375</v>
      </c>
      <c r="F397" s="6"/>
    </row>
    <row r="398" spans="1:6" x14ac:dyDescent="0.3">
      <c r="A398" s="6" t="s">
        <v>103</v>
      </c>
      <c r="B398" s="6">
        <v>10</v>
      </c>
      <c r="C398" s="6" t="str" cm="1">
        <f t="array" ref="C398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98" s="6" cm="1">
        <f t="array" ref="D398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3</v>
      </c>
      <c r="E398" s="7">
        <f>Table2[[#This Row],[Quotas Missing]]/Table2[[#This Row],[Quotas Avaliable]]</f>
        <v>0.3</v>
      </c>
      <c r="F398" s="6"/>
    </row>
    <row r="399" spans="1:6" x14ac:dyDescent="0.3">
      <c r="A399" s="6" t="s">
        <v>104</v>
      </c>
      <c r="B399" s="6">
        <v>10</v>
      </c>
      <c r="C399" s="6" t="str" cm="1">
        <f t="array" ref="C399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99" s="6" cm="1">
        <f t="array" ref="D399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3</v>
      </c>
      <c r="E399" s="7">
        <f>Table2[[#This Row],[Quotas Missing]]/Table2[[#This Row],[Quotas Avaliable]]</f>
        <v>0.3</v>
      </c>
      <c r="F399" s="6"/>
    </row>
    <row r="400" spans="1:6" x14ac:dyDescent="0.3">
      <c r="A400" s="6" t="s">
        <v>1162</v>
      </c>
      <c r="B400" s="6">
        <v>8</v>
      </c>
      <c r="C400" s="6" t="str" cm="1">
        <f t="array" ref="C400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400" s="6" cm="1">
        <f t="array" ref="D400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3</v>
      </c>
      <c r="E400" s="7">
        <f>Table2[[#This Row],[Quotas Missing]]/Table2[[#This Row],[Quotas Avaliable]]</f>
        <v>0.375</v>
      </c>
      <c r="F400" s="6"/>
    </row>
    <row r="401" spans="1:6" x14ac:dyDescent="0.3">
      <c r="A401" s="6" t="s">
        <v>1167</v>
      </c>
      <c r="B401" s="6">
        <v>8</v>
      </c>
      <c r="C401" s="6" t="str" cm="1">
        <f t="array" ref="C401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401" s="6" cm="1">
        <f t="array" ref="D401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3</v>
      </c>
      <c r="E401" s="7">
        <f>Table2[[#This Row],[Quotas Missing]]/Table2[[#This Row],[Quotas Avaliable]]</f>
        <v>0.375</v>
      </c>
      <c r="F401" s="6"/>
    </row>
    <row r="402" spans="1:6" x14ac:dyDescent="0.3">
      <c r="A402" s="6" t="s">
        <v>1168</v>
      </c>
      <c r="B402" s="6">
        <v>8</v>
      </c>
      <c r="C402" s="6" t="str" cm="1">
        <f t="array" ref="C402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402" s="6" cm="1">
        <f t="array" ref="D402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3</v>
      </c>
      <c r="E402" s="7">
        <f>Table2[[#This Row],[Quotas Missing]]/Table2[[#This Row],[Quotas Avaliable]]</f>
        <v>0.375</v>
      </c>
      <c r="F402" s="6"/>
    </row>
    <row r="403" spans="1:6" x14ac:dyDescent="0.3">
      <c r="A403" s="6" t="s">
        <v>1096</v>
      </c>
      <c r="B403" s="6">
        <v>8</v>
      </c>
      <c r="C403" s="6" t="str" cm="1">
        <f t="array" ref="C403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403" s="6" cm="1">
        <f t="array" ref="D403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3</v>
      </c>
      <c r="E403" s="7">
        <f>Table2[[#This Row],[Quotas Missing]]/Table2[[#This Row],[Quotas Avaliable]]</f>
        <v>0.375</v>
      </c>
      <c r="F403" s="6"/>
    </row>
    <row r="404" spans="1:6" x14ac:dyDescent="0.3">
      <c r="A404" s="6" t="s">
        <v>1055</v>
      </c>
      <c r="B404" s="6">
        <v>12</v>
      </c>
      <c r="C404" s="6" t="str" cm="1">
        <f t="array" ref="C404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404" s="6" cm="1">
        <f t="array" ref="D404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3</v>
      </c>
      <c r="E404" s="7">
        <f>Table2[[#This Row],[Quotas Missing]]/Table2[[#This Row],[Quotas Avaliable]]</f>
        <v>0.25</v>
      </c>
      <c r="F404" s="6"/>
    </row>
    <row r="405" spans="1:6" x14ac:dyDescent="0.3">
      <c r="A405" s="6" t="s">
        <v>1109</v>
      </c>
      <c r="B405" s="6">
        <v>12</v>
      </c>
      <c r="C405" s="6" t="str" cm="1">
        <f t="array" ref="C405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405" s="6" cm="1">
        <f t="array" ref="D405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3</v>
      </c>
      <c r="E405" s="7">
        <f>Table2[[#This Row],[Quotas Missing]]/Table2[[#This Row],[Quotas Avaliable]]</f>
        <v>0.25</v>
      </c>
      <c r="F405" s="6"/>
    </row>
    <row r="406" spans="1:6" x14ac:dyDescent="0.3">
      <c r="A406" s="6" t="s">
        <v>1077</v>
      </c>
      <c r="B406" s="6">
        <v>12</v>
      </c>
      <c r="C406" s="6" t="str" cm="1">
        <f t="array" ref="C406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406" s="6" cm="1">
        <f t="array" ref="D406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3</v>
      </c>
      <c r="E406" s="7">
        <f>Table2[[#This Row],[Quotas Missing]]/Table2[[#This Row],[Quotas Avaliable]]</f>
        <v>0.25</v>
      </c>
      <c r="F406" s="6"/>
    </row>
    <row r="407" spans="1:6" x14ac:dyDescent="0.3">
      <c r="A407" s="6" t="s">
        <v>1128</v>
      </c>
      <c r="B407" s="6">
        <v>9</v>
      </c>
      <c r="C407" s="6" t="str" cm="1">
        <f t="array" ref="C407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407" s="6" cm="1">
        <f t="array" ref="D407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3</v>
      </c>
      <c r="E407" s="7">
        <f>Table2[[#This Row],[Quotas Missing]]/Table2[[#This Row],[Quotas Avaliable]]</f>
        <v>0.33333333333333331</v>
      </c>
      <c r="F407" s="6"/>
    </row>
    <row r="408" spans="1:6" x14ac:dyDescent="0.3">
      <c r="A408" s="6" t="s">
        <v>1136</v>
      </c>
      <c r="B408" s="6">
        <v>14</v>
      </c>
      <c r="C408" s="6" t="str" cm="1">
        <f t="array" ref="C408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408" s="6" cm="1">
        <f t="array" ref="D408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3</v>
      </c>
      <c r="E408" s="7">
        <f>Table2[[#This Row],[Quotas Missing]]/Table2[[#This Row],[Quotas Avaliable]]</f>
        <v>0.21428571428571427</v>
      </c>
      <c r="F408" s="6"/>
    </row>
    <row r="409" spans="1:6" x14ac:dyDescent="0.3">
      <c r="A409" s="6" t="s">
        <v>141</v>
      </c>
      <c r="B409" s="6">
        <v>9</v>
      </c>
      <c r="C409" s="6" t="str" cm="1">
        <f t="array" ref="C409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409" s="6" cm="1">
        <f t="array" ref="D409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3</v>
      </c>
      <c r="E409" s="7">
        <f>Table2[[#This Row],[Quotas Missing]]/Table2[[#This Row],[Quotas Avaliable]]</f>
        <v>0.33333333333333331</v>
      </c>
      <c r="F409" s="6"/>
    </row>
    <row r="410" spans="1:6" x14ac:dyDescent="0.3">
      <c r="A410" s="6" t="s">
        <v>1059</v>
      </c>
      <c r="B410" s="6">
        <v>12</v>
      </c>
      <c r="C410" s="6" t="str" cm="1">
        <f t="array" ref="C410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410" s="6" cm="1">
        <f t="array" ref="D410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3</v>
      </c>
      <c r="E410" s="7">
        <f>Table2[[#This Row],[Quotas Missing]]/Table2[[#This Row],[Quotas Avaliable]]</f>
        <v>0.25</v>
      </c>
      <c r="F410" s="6"/>
    </row>
    <row r="411" spans="1:6" x14ac:dyDescent="0.3">
      <c r="A411" s="6" t="s">
        <v>817</v>
      </c>
      <c r="B411" s="6">
        <v>8</v>
      </c>
      <c r="C411" s="6" t="str" cm="1">
        <f t="array" ref="C411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411" s="6" cm="1">
        <f t="array" ref="D411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3</v>
      </c>
      <c r="E411" s="7">
        <f>Table2[[#This Row],[Quotas Missing]]/Table2[[#This Row],[Quotas Avaliable]]</f>
        <v>0.375</v>
      </c>
      <c r="F411" s="6"/>
    </row>
    <row r="412" spans="1:6" x14ac:dyDescent="0.3">
      <c r="A412" s="6" t="s">
        <v>1226</v>
      </c>
      <c r="B412" s="6">
        <v>12</v>
      </c>
      <c r="C412" s="6" t="str" cm="1">
        <f t="array" ref="C412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412" s="6" cm="1">
        <f t="array" ref="D412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3</v>
      </c>
      <c r="E412" s="7">
        <f>Table2[[#This Row],[Quotas Missing]]/Table2[[#This Row],[Quotas Avaliable]]</f>
        <v>0.25</v>
      </c>
      <c r="F412" s="6"/>
    </row>
    <row r="413" spans="1:6" x14ac:dyDescent="0.3">
      <c r="A413" s="6" t="s">
        <v>324</v>
      </c>
      <c r="B413" s="6">
        <v>8</v>
      </c>
      <c r="C413" s="6" t="str" cm="1">
        <f t="array" ref="C413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413" s="6" cm="1">
        <f t="array" ref="D413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3</v>
      </c>
      <c r="E413" s="7">
        <f>Table2[[#This Row],[Quotas Missing]]/Table2[[#This Row],[Quotas Avaliable]]</f>
        <v>0.375</v>
      </c>
      <c r="F413" s="6"/>
    </row>
    <row r="414" spans="1:6" x14ac:dyDescent="0.3">
      <c r="A414" s="6" t="s">
        <v>1124</v>
      </c>
      <c r="B414" s="6">
        <v>16</v>
      </c>
      <c r="C414" s="6" t="str" cm="1">
        <f t="array" ref="C414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414" s="6" cm="1">
        <f t="array" ref="D414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3</v>
      </c>
      <c r="E414" s="7">
        <f>Table2[[#This Row],[Quotas Missing]]/Table2[[#This Row],[Quotas Avaliable]]</f>
        <v>0.1875</v>
      </c>
      <c r="F414" s="6"/>
    </row>
    <row r="415" spans="1:6" x14ac:dyDescent="0.3">
      <c r="A415" s="6" t="s">
        <v>1123</v>
      </c>
      <c r="B415" s="6">
        <v>16</v>
      </c>
      <c r="C415" s="6" t="str" cm="1">
        <f t="array" ref="C415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415" s="6" cm="1">
        <f t="array" ref="D415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3</v>
      </c>
      <c r="E415" s="7">
        <f>Table2[[#This Row],[Quotas Missing]]/Table2[[#This Row],[Quotas Avaliable]]</f>
        <v>0.1875</v>
      </c>
      <c r="F415" s="6"/>
    </row>
    <row r="416" spans="1:6" x14ac:dyDescent="0.3">
      <c r="A416" s="6" t="s">
        <v>1054</v>
      </c>
      <c r="B416" s="6">
        <v>10</v>
      </c>
      <c r="C416" s="6" t="str" cm="1">
        <f t="array" ref="C416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416" s="6" cm="1">
        <f t="array" ref="D416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</v>
      </c>
      <c r="E416" s="7">
        <f>Table2[[#This Row],[Quotas Missing]]/Table2[[#This Row],[Quotas Avaliable]]</f>
        <v>0.2</v>
      </c>
      <c r="F416" s="6"/>
    </row>
    <row r="417" spans="1:7" x14ac:dyDescent="0.3">
      <c r="A417" s="6" t="s">
        <v>1104</v>
      </c>
      <c r="B417" s="6">
        <v>8</v>
      </c>
      <c r="C417" s="6" t="str" cm="1">
        <f t="array" ref="C417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417" s="6" cm="1">
        <f t="array" ref="D417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</v>
      </c>
      <c r="E417" s="7">
        <f>Table2[[#This Row],[Quotas Missing]]/Table2[[#This Row],[Quotas Avaliable]]</f>
        <v>0.25</v>
      </c>
      <c r="F417" s="6"/>
    </row>
    <row r="418" spans="1:7" x14ac:dyDescent="0.3">
      <c r="A418" s="6" t="s">
        <v>2992</v>
      </c>
      <c r="B418" s="6">
        <v>12</v>
      </c>
      <c r="C418" s="6" t="str" cm="1">
        <f t="array" ref="C418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418" s="6" cm="1">
        <f t="array" ref="D418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</v>
      </c>
      <c r="E418" s="7">
        <f>Table2[[#This Row],[Quotas Missing]]/Table2[[#This Row],[Quotas Avaliable]]</f>
        <v>0.16666666666666666</v>
      </c>
      <c r="F418" s="6"/>
    </row>
    <row r="419" spans="1:7" x14ac:dyDescent="0.3">
      <c r="A419" s="6" t="s">
        <v>1069</v>
      </c>
      <c r="B419" s="6">
        <v>16</v>
      </c>
      <c r="C419" s="6" t="str" cm="1">
        <f t="array" ref="C419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419" s="6" cm="1">
        <f t="array" ref="D419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</v>
      </c>
      <c r="E419" s="7">
        <f>Table2[[#This Row],[Quotas Missing]]/Table2[[#This Row],[Quotas Avaliable]]</f>
        <v>0.125</v>
      </c>
      <c r="F419" s="6"/>
    </row>
    <row r="420" spans="1:7" x14ac:dyDescent="0.3">
      <c r="A420" s="6" t="s">
        <v>1172</v>
      </c>
      <c r="B420" s="6">
        <v>8</v>
      </c>
      <c r="C420" s="6" t="str" cm="1">
        <f t="array" ref="C420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420" s="6" cm="1">
        <f t="array" ref="D420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</v>
      </c>
      <c r="E420" s="7">
        <f>Table2[[#This Row],[Quotas Missing]]/Table2[[#This Row],[Quotas Avaliable]]</f>
        <v>0.25</v>
      </c>
      <c r="F420" s="6"/>
    </row>
    <row r="421" spans="1:7" x14ac:dyDescent="0.3">
      <c r="A421" s="6" t="s">
        <v>1100</v>
      </c>
      <c r="B421" s="6">
        <v>8</v>
      </c>
      <c r="C421" s="6" t="str" cm="1">
        <f t="array" ref="C421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421" s="6" cm="1">
        <f t="array" ref="D421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</v>
      </c>
      <c r="E421" s="7">
        <f>Table2[[#This Row],[Quotas Missing]]/Table2[[#This Row],[Quotas Avaliable]]</f>
        <v>0.25</v>
      </c>
      <c r="F421" s="6"/>
    </row>
    <row r="422" spans="1:7" x14ac:dyDescent="0.3">
      <c r="A422" s="6" t="s">
        <v>1127</v>
      </c>
      <c r="B422" s="6">
        <v>7</v>
      </c>
      <c r="C422" s="6" t="str" cm="1">
        <f t="array" ref="C422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422" s="6" cm="1">
        <f t="array" ref="D422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</v>
      </c>
      <c r="E422" s="7">
        <f>Table2[[#This Row],[Quotas Missing]]/Table2[[#This Row],[Quotas Avaliable]]</f>
        <v>0.2857142857142857</v>
      </c>
      <c r="F422" s="6"/>
    </row>
    <row r="423" spans="1:7" x14ac:dyDescent="0.3">
      <c r="A423" s="6" t="s">
        <v>1108</v>
      </c>
      <c r="B423" s="6">
        <v>12</v>
      </c>
      <c r="C423" s="6" t="str" cm="1">
        <f t="array" ref="C423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423" s="6" cm="1">
        <f t="array" ref="D423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</v>
      </c>
      <c r="E423" s="7">
        <f>Table2[[#This Row],[Quotas Missing]]/Table2[[#This Row],[Quotas Avaliable]]</f>
        <v>0.16666666666666666</v>
      </c>
      <c r="F423" s="6"/>
    </row>
    <row r="424" spans="1:7" x14ac:dyDescent="0.3">
      <c r="A424" s="6" t="s">
        <v>1178</v>
      </c>
      <c r="B424" s="6">
        <v>9</v>
      </c>
      <c r="C424" s="6" t="str" cm="1">
        <f t="array" ref="C424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424" s="6" cm="1">
        <f t="array" ref="D424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</v>
      </c>
      <c r="E424" s="7">
        <f>Table2[[#This Row],[Quotas Missing]]/Table2[[#This Row],[Quotas Avaliable]]</f>
        <v>0.22222222222222221</v>
      </c>
      <c r="F424" s="6"/>
      <c r="G424" s="6"/>
    </row>
    <row r="425" spans="1:7" x14ac:dyDescent="0.3">
      <c r="A425" s="6" t="s">
        <v>1181</v>
      </c>
      <c r="B425" s="6">
        <v>9</v>
      </c>
      <c r="C425" s="6" t="str" cm="1">
        <f t="array" ref="C425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425" s="6" cm="1">
        <f t="array" ref="D425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</v>
      </c>
      <c r="E425" s="7">
        <f>Table2[[#This Row],[Quotas Missing]]/Table2[[#This Row],[Quotas Avaliable]]</f>
        <v>0.22222222222222221</v>
      </c>
      <c r="F425" s="6"/>
    </row>
    <row r="426" spans="1:7" x14ac:dyDescent="0.3">
      <c r="A426" s="6" t="s">
        <v>200</v>
      </c>
      <c r="B426" s="6">
        <v>16</v>
      </c>
      <c r="C426" s="6" t="str" cm="1">
        <f t="array" ref="C426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426" s="6" cm="1">
        <f t="array" ref="D426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</v>
      </c>
      <c r="E426" s="7">
        <f>Table2[[#This Row],[Quotas Missing]]/Table2[[#This Row],[Quotas Avaliable]]</f>
        <v>0.125</v>
      </c>
      <c r="F426" s="6"/>
    </row>
    <row r="427" spans="1:7" x14ac:dyDescent="0.3">
      <c r="A427" s="6" t="s">
        <v>215</v>
      </c>
      <c r="B427" s="6">
        <v>15</v>
      </c>
      <c r="C427" s="6" t="str" cm="1">
        <f t="array" ref="C427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427" s="6" cm="1">
        <f t="array" ref="D427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</v>
      </c>
      <c r="E427" s="7">
        <f>Table2[[#This Row],[Quotas Missing]]/Table2[[#This Row],[Quotas Avaliable]]</f>
        <v>0.13333333333333333</v>
      </c>
      <c r="F427" s="6"/>
    </row>
    <row r="428" spans="1:7" x14ac:dyDescent="0.3">
      <c r="A428" s="6" t="s">
        <v>1063</v>
      </c>
      <c r="B428" s="6">
        <v>12</v>
      </c>
      <c r="C428" s="6" t="str" cm="1">
        <f t="array" ref="C428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428" s="6" cm="1">
        <f t="array" ref="D428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2</v>
      </c>
      <c r="E428" s="7">
        <f>Table2[[#This Row],[Quotas Missing]]/Table2[[#This Row],[Quotas Avaliable]]</f>
        <v>0.16666666666666666</v>
      </c>
      <c r="F428" s="6"/>
    </row>
    <row r="429" spans="1:7" x14ac:dyDescent="0.3">
      <c r="A429" s="6" t="s">
        <v>1095</v>
      </c>
      <c r="B429" s="6">
        <v>8</v>
      </c>
      <c r="C429" s="6" t="str" cm="1">
        <f t="array" ref="C429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429" s="6" cm="1">
        <f t="array" ref="D429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</v>
      </c>
      <c r="E429" s="7">
        <f>Table2[[#This Row],[Quotas Missing]]/Table2[[#This Row],[Quotas Avaliable]]</f>
        <v>0.125</v>
      </c>
      <c r="F429" s="6"/>
    </row>
    <row r="430" spans="1:7" x14ac:dyDescent="0.3">
      <c r="A430" s="6" t="s">
        <v>1052</v>
      </c>
      <c r="B430" s="6">
        <v>12</v>
      </c>
      <c r="C430" s="6" t="str" cm="1">
        <f t="array" ref="C430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430" s="6" cm="1">
        <f t="array" ref="D430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</v>
      </c>
      <c r="E430" s="7">
        <f>Table2[[#This Row],[Quotas Missing]]/Table2[[#This Row],[Quotas Avaliable]]</f>
        <v>8.3333333333333329E-2</v>
      </c>
      <c r="F430" s="6"/>
    </row>
    <row r="431" spans="1:7" x14ac:dyDescent="0.3">
      <c r="A431" s="6" t="s">
        <v>1071</v>
      </c>
      <c r="B431" s="6">
        <v>12</v>
      </c>
      <c r="C431" s="6" t="str" cm="1">
        <f t="array" ref="C431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431" s="6" cm="1">
        <f t="array" ref="D431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</v>
      </c>
      <c r="E431" s="7">
        <f>Table2[[#This Row],[Quotas Missing]]/Table2[[#This Row],[Quotas Avaliable]]</f>
        <v>8.3333333333333329E-2</v>
      </c>
      <c r="F431" s="6"/>
    </row>
    <row r="432" spans="1:7" x14ac:dyDescent="0.3">
      <c r="A432" s="6" t="s">
        <v>1099</v>
      </c>
      <c r="B432" s="6">
        <v>8</v>
      </c>
      <c r="C432" s="6" t="str" cm="1">
        <f t="array" ref="C432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432" s="6" cm="1">
        <f t="array" ref="D432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</v>
      </c>
      <c r="E432" s="7">
        <f>Table2[[#This Row],[Quotas Missing]]/Table2[[#This Row],[Quotas Avaliable]]</f>
        <v>0.125</v>
      </c>
      <c r="F432" s="6"/>
    </row>
    <row r="433" spans="1:7" x14ac:dyDescent="0.3">
      <c r="A433" s="6" t="s">
        <v>1075</v>
      </c>
      <c r="B433" s="6">
        <v>12</v>
      </c>
      <c r="C433" s="6" t="str" cm="1">
        <f t="array" ref="C433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433" s="6" cm="1">
        <f t="array" ref="D433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</v>
      </c>
      <c r="E433" s="7">
        <f>Table2[[#This Row],[Quotas Missing]]/Table2[[#This Row],[Quotas Avaliable]]</f>
        <v>8.3333333333333329E-2</v>
      </c>
      <c r="F433" s="6"/>
    </row>
    <row r="434" spans="1:7" x14ac:dyDescent="0.3">
      <c r="A434" s="6" t="s">
        <v>1081</v>
      </c>
      <c r="B434" s="6">
        <v>12</v>
      </c>
      <c r="C434" s="6" t="str" cm="1">
        <f t="array" ref="C434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434" s="6" cm="1">
        <f t="array" ref="D434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</v>
      </c>
      <c r="E434" s="7">
        <f>Table2[[#This Row],[Quotas Missing]]/Table2[[#This Row],[Quotas Avaliable]]</f>
        <v>8.3333333333333329E-2</v>
      </c>
      <c r="F434" s="6"/>
      <c r="G434" s="6"/>
    </row>
    <row r="435" spans="1:7" x14ac:dyDescent="0.3">
      <c r="A435" s="6" t="s">
        <v>323</v>
      </c>
      <c r="B435" s="6">
        <v>8</v>
      </c>
      <c r="C435" s="6" t="str" cm="1">
        <f t="array" ref="C435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435" s="6" cm="1">
        <f t="array" ref="D435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</v>
      </c>
      <c r="E435" s="7">
        <f>Table2[[#This Row],[Quotas Missing]]/Table2[[#This Row],[Quotas Avaliable]]</f>
        <v>0.125</v>
      </c>
      <c r="F435" s="6"/>
    </row>
    <row r="436" spans="1:7" x14ac:dyDescent="0.3">
      <c r="A436" s="6" t="s">
        <v>1086</v>
      </c>
      <c r="B436" s="6">
        <v>10</v>
      </c>
      <c r="C436" s="6" t="str" cm="1">
        <f t="array" ref="C436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436" s="6" cm="1">
        <f t="array" ref="D436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1</v>
      </c>
      <c r="E436" s="7">
        <f>Table2[[#This Row],[Quotas Missing]]/Table2[[#This Row],[Quotas Avaliable]]</f>
        <v>0.1</v>
      </c>
      <c r="F436" s="6"/>
    </row>
    <row r="437" spans="1:7" x14ac:dyDescent="0.3">
      <c r="A437" s="6" t="s">
        <v>1056</v>
      </c>
      <c r="B437" s="6">
        <v>16</v>
      </c>
      <c r="C437" s="6" t="str" cm="1">
        <f t="array" ref="C437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437" s="6" cm="1">
        <f t="array" ref="D437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437" s="7">
        <f>Table2[[#This Row],[Quotas Missing]]/Table2[[#This Row],[Quotas Avaliable]]</f>
        <v>0</v>
      </c>
      <c r="F437" s="6"/>
      <c r="G437" s="6"/>
    </row>
    <row r="438" spans="1:7" x14ac:dyDescent="0.3">
      <c r="A438" s="6" t="s">
        <v>1065</v>
      </c>
      <c r="B438" s="6">
        <v>10</v>
      </c>
      <c r="C438" s="6" t="str" cm="1">
        <f t="array" ref="C438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438" s="6" cm="1">
        <f t="array" ref="D438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438" s="7">
        <f>Table2[[#This Row],[Quotas Missing]]/Table2[[#This Row],[Quotas Avaliable]]</f>
        <v>0</v>
      </c>
      <c r="F438" s="6"/>
    </row>
    <row r="439" spans="1:7" x14ac:dyDescent="0.3">
      <c r="A439" s="6" t="s">
        <v>1076</v>
      </c>
      <c r="B439" s="6">
        <v>12</v>
      </c>
      <c r="C439" s="6" t="str" cm="1">
        <f t="array" ref="C439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439" s="6" cm="1">
        <f t="array" ref="D439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439" s="7">
        <f>Table2[[#This Row],[Quotas Missing]]/Table2[[#This Row],[Quotas Avaliable]]</f>
        <v>0</v>
      </c>
      <c r="F439" s="6"/>
    </row>
    <row r="440" spans="1:7" x14ac:dyDescent="0.3">
      <c r="A440" s="6" t="s">
        <v>1057</v>
      </c>
      <c r="B440" s="6">
        <v>12</v>
      </c>
      <c r="C440" s="6" t="str" cm="1">
        <f t="array" ref="C440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440" s="6" cm="1">
        <f t="array" ref="D440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440" s="7">
        <f>Table2[[#This Row],[Quotas Missing]]/Table2[[#This Row],[Quotas Avaliable]]</f>
        <v>0</v>
      </c>
      <c r="F440" s="6"/>
    </row>
    <row r="441" spans="1:7" x14ac:dyDescent="0.3">
      <c r="A441" s="6" t="s">
        <v>1058</v>
      </c>
      <c r="B441" s="6">
        <v>12</v>
      </c>
      <c r="C441" s="6" t="str" cm="1">
        <f t="array" ref="C441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441" s="6" cm="1">
        <f t="array" ref="D441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441" s="7">
        <f>Table2[[#This Row],[Quotas Missing]]/Table2[[#This Row],[Quotas Avaliable]]</f>
        <v>0</v>
      </c>
      <c r="F441" s="6"/>
    </row>
    <row r="442" spans="1:7" x14ac:dyDescent="0.3">
      <c r="A442" s="6" t="s">
        <v>1078</v>
      </c>
      <c r="B442" s="6">
        <v>10</v>
      </c>
      <c r="C442" s="6" t="str" cm="1">
        <f t="array" ref="C442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442" s="6" cm="1">
        <f t="array" ref="D442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442" s="7">
        <f>Table2[[#This Row],[Quotas Missing]]/Table2[[#This Row],[Quotas Avaliable]]</f>
        <v>0</v>
      </c>
      <c r="F442" s="6"/>
    </row>
    <row r="443" spans="1:7" x14ac:dyDescent="0.3">
      <c r="A443" s="6" t="s">
        <v>1182</v>
      </c>
      <c r="B443" s="6">
        <v>7</v>
      </c>
      <c r="C443" s="6" t="str" cm="1">
        <f t="array" ref="C443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443" s="6" cm="1">
        <f t="array" ref="D443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443" s="7">
        <f>Table2[[#This Row],[Quotas Missing]]/Table2[[#This Row],[Quotas Avaliable]]</f>
        <v>0</v>
      </c>
      <c r="F443" s="6"/>
      <c r="G443" s="6"/>
    </row>
    <row r="444" spans="1:7" x14ac:dyDescent="0.3">
      <c r="A444" s="6" t="s">
        <v>1183</v>
      </c>
      <c r="B444" s="6">
        <v>7</v>
      </c>
      <c r="C444" s="6" t="str" cm="1">
        <f t="array" ref="C444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444" s="6" cm="1">
        <f t="array" ref="D444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444" s="7">
        <f>Table2[[#This Row],[Quotas Missing]]/Table2[[#This Row],[Quotas Avaliable]]</f>
        <v>0</v>
      </c>
      <c r="F444" s="6"/>
    </row>
    <row r="445" spans="1:7" x14ac:dyDescent="0.3">
      <c r="A445" s="6" t="s">
        <v>1062</v>
      </c>
      <c r="B445" s="6">
        <v>12</v>
      </c>
      <c r="C445" s="6" t="str" cm="1">
        <f t="array" ref="C445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445" s="6" cm="1">
        <f t="array" ref="D445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445" s="7">
        <f>Table2[[#This Row],[Quotas Missing]]/Table2[[#This Row],[Quotas Avaliable]]</f>
        <v>0</v>
      </c>
      <c r="F445" s="6"/>
      <c r="G445" s="6"/>
    </row>
    <row r="446" spans="1:7" x14ac:dyDescent="0.3">
      <c r="A446" s="6" t="s">
        <v>1085</v>
      </c>
      <c r="B446" s="6">
        <v>12</v>
      </c>
      <c r="C446" s="6" t="str" cm="1">
        <f t="array" ref="C446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446" s="6" cm="1">
        <f t="array" ref="D446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446" s="7">
        <f>Table2[[#This Row],[Quotas Missing]]/Table2[[#This Row],[Quotas Avaliable]]</f>
        <v>0</v>
      </c>
      <c r="F446" s="11"/>
      <c r="G446" s="6"/>
    </row>
    <row r="447" spans="1:7" x14ac:dyDescent="0.3">
      <c r="E447" s="2"/>
      <c r="F447" s="2"/>
    </row>
    <row r="448" spans="1:7" x14ac:dyDescent="0.3">
      <c r="B448" s="6"/>
      <c r="C448" s="6"/>
      <c r="D448" s="6"/>
      <c r="E448" s="6">
        <f>COUNTIF(Table2[Percentage Missing],100%)</f>
        <v>0</v>
      </c>
      <c r="F448" s="6"/>
    </row>
    <row r="449" spans="1:7" x14ac:dyDescent="0.3">
      <c r="A449" s="1" t="s">
        <v>3</v>
      </c>
      <c r="B449" s="6">
        <f>SUM(Table2[Quotas Avaliable])</f>
        <v>12918</v>
      </c>
      <c r="C449" s="6">
        <f>COUNTIF(Table2[Check],"Yes")</f>
        <v>10</v>
      </c>
      <c r="D449" s="6">
        <f>SUM(Table2[Quotas Missing])</f>
        <v>8304</v>
      </c>
      <c r="E449" s="7">
        <f>SUM(E2:E446)</f>
        <v>263.71539437659993</v>
      </c>
      <c r="F449" s="6">
        <f>SUM(I1:I40)</f>
        <v>5859</v>
      </c>
      <c r="G449" s="6">
        <f>SUM(I41:I56)</f>
        <v>2445</v>
      </c>
    </row>
    <row r="450" spans="1:7" x14ac:dyDescent="0.3">
      <c r="B450" s="6"/>
      <c r="C450" s="6"/>
      <c r="D450" s="7">
        <f>D449/B449</f>
        <v>0.64282396655829077</v>
      </c>
      <c r="E450" s="6"/>
      <c r="F450" s="7">
        <f>F449/SUM(H1:H40)</f>
        <v>0.64984472049689446</v>
      </c>
      <c r="G450" s="7">
        <f>G449/SUM(H41:H56)</f>
        <v>0.62660174269605329</v>
      </c>
    </row>
    <row r="451" spans="1:7" x14ac:dyDescent="0.3">
      <c r="B451" s="6"/>
      <c r="C451" s="6"/>
      <c r="D451" s="6"/>
      <c r="E451" s="6"/>
      <c r="F451" s="6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89345-68ED-4DA6-B0F2-379FDFBD17FA}">
  <dimension ref="A1:BS212"/>
  <sheetViews>
    <sheetView topLeftCell="A25" workbookViewId="0">
      <selection activeCell="C5" sqref="C5"/>
    </sheetView>
  </sheetViews>
  <sheetFormatPr defaultRowHeight="14.4" x14ac:dyDescent="0.3"/>
  <cols>
    <col min="1" max="1" width="26.109375" bestFit="1" customWidth="1"/>
    <col min="2" max="2" width="6.5546875" customWidth="1"/>
    <col min="3" max="3" width="13.88671875" bestFit="1" customWidth="1"/>
    <col min="4" max="4" width="16.33203125" bestFit="1" customWidth="1"/>
    <col min="5" max="5" width="25.77734375" bestFit="1" customWidth="1"/>
    <col min="6" max="6" width="25" bestFit="1" customWidth="1"/>
    <col min="7" max="7" width="17" bestFit="1" customWidth="1"/>
    <col min="8" max="8" width="19.109375" bestFit="1" customWidth="1"/>
    <col min="9" max="9" width="18.33203125" bestFit="1" customWidth="1"/>
    <col min="10" max="10" width="21.77734375" bestFit="1" customWidth="1"/>
    <col min="11" max="11" width="23.77734375" bestFit="1" customWidth="1"/>
    <col min="12" max="12" width="15.44140625" bestFit="1" customWidth="1"/>
    <col min="13" max="13" width="17.109375" bestFit="1" customWidth="1"/>
    <col min="14" max="14" width="24" bestFit="1" customWidth="1"/>
    <col min="15" max="15" width="23.21875" bestFit="1" customWidth="1"/>
    <col min="16" max="16" width="28.44140625" bestFit="1" customWidth="1"/>
    <col min="17" max="17" width="26.44140625" bestFit="1" customWidth="1"/>
    <col min="18" max="18" width="28.88671875" bestFit="1" customWidth="1"/>
    <col min="19" max="19" width="20.6640625" bestFit="1" customWidth="1"/>
    <col min="20" max="20" width="20.88671875" bestFit="1" customWidth="1"/>
    <col min="21" max="21" width="14.88671875" bestFit="1" customWidth="1"/>
    <col min="22" max="22" width="26.77734375" bestFit="1" customWidth="1"/>
    <col min="23" max="23" width="26.6640625" bestFit="1" customWidth="1"/>
    <col min="24" max="24" width="26.44140625" bestFit="1" customWidth="1"/>
    <col min="25" max="25" width="16.21875" bestFit="1" customWidth="1"/>
    <col min="26" max="26" width="20.44140625" bestFit="1" customWidth="1"/>
    <col min="27" max="27" width="16.5546875" bestFit="1" customWidth="1"/>
    <col min="28" max="28" width="13.109375" bestFit="1" customWidth="1"/>
    <col min="29" max="29" width="17.21875" bestFit="1" customWidth="1"/>
    <col min="30" max="30" width="13.6640625" bestFit="1" customWidth="1"/>
    <col min="31" max="31" width="27.77734375" bestFit="1" customWidth="1"/>
    <col min="32" max="32" width="26.5546875" bestFit="1" customWidth="1"/>
    <col min="33" max="33" width="26.88671875" bestFit="1" customWidth="1"/>
    <col min="34" max="34" width="16" bestFit="1" customWidth="1"/>
    <col min="35" max="35" width="21.5546875" bestFit="1" customWidth="1"/>
    <col min="36" max="36" width="15.109375" bestFit="1" customWidth="1"/>
    <col min="37" max="37" width="17.33203125" bestFit="1" customWidth="1"/>
    <col min="38" max="38" width="22.109375" bestFit="1" customWidth="1"/>
    <col min="39" max="39" width="22.21875" bestFit="1" customWidth="1"/>
    <col min="40" max="40" width="15.77734375" bestFit="1" customWidth="1"/>
    <col min="41" max="41" width="18.5546875" bestFit="1" customWidth="1"/>
    <col min="42" max="42" width="20.33203125" bestFit="1" customWidth="1"/>
    <col min="43" max="43" width="19.77734375" bestFit="1" customWidth="1"/>
    <col min="44" max="44" width="15.109375" bestFit="1" customWidth="1"/>
    <col min="45" max="45" width="21" bestFit="1" customWidth="1"/>
    <col min="46" max="46" width="17.33203125" bestFit="1" customWidth="1"/>
    <col min="47" max="47" width="18" bestFit="1" customWidth="1"/>
    <col min="48" max="48" width="19.109375" bestFit="1" customWidth="1"/>
    <col min="49" max="49" width="20.6640625" bestFit="1" customWidth="1"/>
    <col min="50" max="50" width="17.6640625" bestFit="1" customWidth="1"/>
    <col min="51" max="51" width="20.6640625" bestFit="1" customWidth="1"/>
    <col min="52" max="52" width="16.77734375" bestFit="1" customWidth="1"/>
    <col min="53" max="53" width="17.88671875" bestFit="1" customWidth="1"/>
    <col min="54" max="54" width="27.109375" bestFit="1" customWidth="1"/>
    <col min="55" max="55" width="15.6640625" bestFit="1" customWidth="1"/>
    <col min="56" max="56" width="21.6640625" bestFit="1" customWidth="1"/>
    <col min="57" max="57" width="22.77734375" bestFit="1" customWidth="1"/>
    <col min="58" max="58" width="18.88671875" bestFit="1" customWidth="1"/>
    <col min="59" max="59" width="13.6640625" bestFit="1" customWidth="1"/>
    <col min="60" max="60" width="24.6640625" bestFit="1" customWidth="1"/>
    <col min="61" max="61" width="32.109375" bestFit="1" customWidth="1"/>
    <col min="62" max="62" width="17.109375" bestFit="1" customWidth="1"/>
    <col min="63" max="63" width="19.88671875" bestFit="1" customWidth="1"/>
    <col min="64" max="64" width="26.44140625" bestFit="1" customWidth="1"/>
    <col min="65" max="65" width="22.109375" bestFit="1" customWidth="1"/>
    <col min="66" max="66" width="21.77734375" bestFit="1" customWidth="1"/>
    <col min="67" max="67" width="23.21875" bestFit="1" customWidth="1"/>
    <col min="68" max="68" width="16.5546875" bestFit="1" customWidth="1"/>
    <col min="69" max="69" width="16.21875" bestFit="1" customWidth="1"/>
    <col min="70" max="70" width="14.6640625" bestFit="1" customWidth="1"/>
  </cols>
  <sheetData>
    <row r="1" spans="1:71" x14ac:dyDescent="0.3">
      <c r="A1" t="s">
        <v>1</v>
      </c>
      <c r="B1" t="s">
        <v>2</v>
      </c>
      <c r="C1" t="s">
        <v>3</v>
      </c>
      <c r="D1" t="s">
        <v>746</v>
      </c>
      <c r="E1" t="s">
        <v>818</v>
      </c>
      <c r="F1" t="s">
        <v>747</v>
      </c>
      <c r="G1" t="s">
        <v>749</v>
      </c>
      <c r="H1" t="s">
        <v>751</v>
      </c>
      <c r="I1" t="s">
        <v>752</v>
      </c>
      <c r="J1" t="s">
        <v>753</v>
      </c>
      <c r="K1" t="s">
        <v>784</v>
      </c>
      <c r="L1" t="s">
        <v>755</v>
      </c>
      <c r="M1" t="s">
        <v>754</v>
      </c>
      <c r="N1" t="s">
        <v>819</v>
      </c>
      <c r="O1" t="s">
        <v>820</v>
      </c>
      <c r="P1" t="s">
        <v>821</v>
      </c>
      <c r="Q1" t="s">
        <v>822</v>
      </c>
      <c r="R1" t="s">
        <v>823</v>
      </c>
      <c r="S1" t="s">
        <v>824</v>
      </c>
      <c r="T1" t="s">
        <v>825</v>
      </c>
      <c r="U1" t="s">
        <v>760</v>
      </c>
      <c r="V1" t="s">
        <v>1218</v>
      </c>
      <c r="W1" t="s">
        <v>1219</v>
      </c>
      <c r="X1" t="s">
        <v>1220</v>
      </c>
      <c r="Y1" t="s">
        <v>762</v>
      </c>
      <c r="Z1" t="s">
        <v>763</v>
      </c>
      <c r="AA1" t="s">
        <v>764</v>
      </c>
      <c r="AB1" t="s">
        <v>765</v>
      </c>
      <c r="AC1" t="s">
        <v>767</v>
      </c>
      <c r="AD1" t="s">
        <v>768</v>
      </c>
      <c r="AE1" t="s">
        <v>826</v>
      </c>
      <c r="AF1" t="s">
        <v>769</v>
      </c>
      <c r="AG1" t="s">
        <v>770</v>
      </c>
      <c r="AH1" t="s">
        <v>771</v>
      </c>
      <c r="AI1" t="s">
        <v>772</v>
      </c>
      <c r="AJ1" t="s">
        <v>773</v>
      </c>
      <c r="AK1" t="s">
        <v>775</v>
      </c>
      <c r="AL1" t="s">
        <v>776</v>
      </c>
      <c r="AM1" t="s">
        <v>777</v>
      </c>
      <c r="AN1" t="s">
        <v>778</v>
      </c>
      <c r="AO1" t="s">
        <v>779</v>
      </c>
      <c r="AP1" t="s">
        <v>780</v>
      </c>
      <c r="AQ1" t="s">
        <v>781</v>
      </c>
      <c r="AR1" t="s">
        <v>782</v>
      </c>
      <c r="AS1" t="s">
        <v>827</v>
      </c>
      <c r="AT1" t="s">
        <v>783</v>
      </c>
      <c r="AU1" t="s">
        <v>786</v>
      </c>
      <c r="AV1" t="s">
        <v>787</v>
      </c>
      <c r="AW1" t="s">
        <v>788</v>
      </c>
      <c r="AX1" t="s">
        <v>790</v>
      </c>
      <c r="AY1" t="s">
        <v>791</v>
      </c>
      <c r="AZ1" t="s">
        <v>793</v>
      </c>
      <c r="BA1" t="s">
        <v>794</v>
      </c>
      <c r="BB1" t="s">
        <v>828</v>
      </c>
      <c r="BC1" t="s">
        <v>796</v>
      </c>
      <c r="BD1" t="s">
        <v>797</v>
      </c>
      <c r="BE1" t="s">
        <v>798</v>
      </c>
      <c r="BF1" t="s">
        <v>799</v>
      </c>
      <c r="BG1" t="s">
        <v>800</v>
      </c>
      <c r="BH1" t="s">
        <v>801</v>
      </c>
      <c r="BI1" t="s">
        <v>802</v>
      </c>
      <c r="BJ1" t="s">
        <v>803</v>
      </c>
      <c r="BK1" t="s">
        <v>804</v>
      </c>
      <c r="BL1" t="s">
        <v>863</v>
      </c>
      <c r="BM1" t="s">
        <v>805</v>
      </c>
      <c r="BN1" t="s">
        <v>806</v>
      </c>
      <c r="BO1" t="s">
        <v>829</v>
      </c>
      <c r="BP1" t="s">
        <v>830</v>
      </c>
      <c r="BQ1" t="s">
        <v>1216</v>
      </c>
      <c r="BR1" t="s">
        <v>1217</v>
      </c>
      <c r="BS1" t="s">
        <v>831</v>
      </c>
    </row>
    <row r="2" spans="1:71" x14ac:dyDescent="0.3">
      <c r="A2" s="6" t="s">
        <v>332</v>
      </c>
      <c r="B2" t="e" vm="1">
        <f>IF(ISBLANK(Table92[[#This Row],[Flag Link]]), "", _xlfn.IMAGE(Table92[[#This Row],[Flag Link]],1,1))</f>
        <v>#VALUE!</v>
      </c>
      <c r="C2" s="6">
        <f>SUM(Table92[[#This Row],[Archery Quotas]:[Speed Skating Quotas]])</f>
        <v>414</v>
      </c>
      <c r="D2" s="6">
        <f>SUM(INDEX(Tabela1[[Archery - Men''s Individual Recurve]:[Archery - Mixed Team Recurve]],MATCH(Table92[[#This Row],[Country]],Tabela1[Country], 0),0))</f>
        <v>6</v>
      </c>
      <c r="E2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17</v>
      </c>
      <c r="F2" s="6">
        <f>SUM(INDEX(Tabela1[[Artistic Swimming - Women''s Duet]:[Artistic Swimming - Women''s Team]],MATCH(Table92[[#This Row],[Country]],Tabela1[Country], 0),0))</f>
        <v>2</v>
      </c>
      <c r="G2" s="6">
        <f>SUM(INDEX(Tabela1[[Athletics - Men''s 100m]:[Athletics - Women''s Heptathlon]],MATCH(Table92[[#This Row],[Country]],Tabela1[Country], 0),0))</f>
        <v>55</v>
      </c>
      <c r="H2" s="6">
        <f>SUM(INDEX(Tabela1[[Badminton - Men''s Singles]:[Badminton - Mixed Doubles]],MATCH(Table92[[#This Row],[Country]],Tabela1[Country], 0),0))</f>
        <v>5</v>
      </c>
      <c r="I2" s="6">
        <f>SUM(INDEX(Tabela1[[Basketball - Men''s Tournament]:[Basketball - Women''s Tournament]],MATCH(Table92[[#This Row],[Country]],Tabela1[Country], 0),0))</f>
        <v>2</v>
      </c>
      <c r="J2" s="6">
        <f>SUM(INDEX(Tabela1[[3x3 Basketball - Men''s Tournament]:[3x3 Basketball - Women''s Tournament]],MATCH(Table92[[#This Row],[Country]],Tabela1[Country], 0),0))</f>
        <v>1</v>
      </c>
      <c r="K2" s="6">
        <f>SUM(INDEX(Tabela1[[Beach Volleyball - Men''s Tournament]:[Beach Volleyball - Women''s Tournament]],MATCH(Table92[[#This Row],[Country]],Tabela1[Country], 0),0))</f>
        <v>4</v>
      </c>
      <c r="L2" s="6">
        <f>SUM(INDEX(Tabela1[[Boxing - Men''s 51kg]:[Boxing - Women''s 75kg]],MATCH(Table92[[#This Row],[Country]],Tabela1[Country], 0),0))</f>
        <v>4</v>
      </c>
      <c r="M2" s="6">
        <f>SUM(INDEX(Tabela1[[Breaking - Men''s Individual]:[Breaking - Women''s Individual]],MATCH(Table92[[#This Row],[Country]],Tabela1[Country], 0),0))</f>
        <v>2</v>
      </c>
      <c r="N2" s="6">
        <f>SUM(INDEX(Tabela1[[Canoeing - Men''s C1 Slalom]:[Canoeing - Women''s Kayak Cross Slalom]],MATCH(Table92[[#This Row],[Country]],Tabela1[Country], 0),0))</f>
        <v>2</v>
      </c>
      <c r="O2" s="6">
        <f>SUM(INDEX(Tabela1[[Canoeing - Women''s C1 200m]:[Canoeing - Women''s K4 500m]],MATCH(Table92[[#This Row],[Country]],Tabela1[Country], 0),0))</f>
        <v>0</v>
      </c>
      <c r="P2" s="6">
        <f>SUM(INDEX(Tabela1[[Cycling - Men''s BMX Freestyle]:[Cycling - Women''s BMX Freestyle]],MATCH(Table92[[#This Row],[Country]],Tabela1[Country], 0),0))</f>
        <v>0</v>
      </c>
      <c r="Q2" s="6">
        <f>SUM(INDEX(Tabela1[[Cycling - Men''s BMX Racing]:[Cycling - Women''s BMX Racing]],MATCH(Table92[[#This Row],[Country]],Tabela1[Country], 0),0))</f>
        <v>4</v>
      </c>
      <c r="R2" s="6">
        <f>SUM(INDEX(Tabela1[[Cycling - Men''s Cross-Country]:[Cycling - Women''s Cross-Country]],MATCH(Table92[[#This Row],[Country]],Tabela1[Country], 0),0))</f>
        <v>4</v>
      </c>
      <c r="S2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4</v>
      </c>
      <c r="T2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4</v>
      </c>
      <c r="U2" s="6">
        <f>SUM(INDEX(Tabela1[[Diving - Men''s Springboard]:[Diving - Women''s Synchronized Platform]],MATCH(Table92[[#This Row],[Country]],Tabela1[Country], 0),0))</f>
        <v>3</v>
      </c>
      <c r="V2" s="6">
        <f>SUM(INDEX(Tabela1[[Equestrian - Individual Dressage]:[Equestrian - Team Dressage]],MATCH(Table92[[#This Row],[Country]],Tabela1[Country], 0),0))</f>
        <v>0</v>
      </c>
      <c r="W2" s="6">
        <f>SUM(INDEX(Tabela1[[Equestrian - Individual Eventing]:[Equestrian - Team Eventing]],MATCH(Table92[[#This Row],[Country]],Tabela1[Country], 0),0))</f>
        <v>4</v>
      </c>
      <c r="X2" s="6">
        <f>SUM(INDEX(Tabela1[[Equestrian - Individual Jumping]:[Equestrian - Team Jumping]],MATCH(Table92[[#This Row],[Country]],Tabela1[Country], 0),0))</f>
        <v>2</v>
      </c>
      <c r="Y2" s="6">
        <f>SUM(INDEX(Tabela1[[Fencing - Men''s Épée]:[Fencing - Women''s Team Sabre]],MATCH(Table92[[#This Row],[Country]],Tabela1[Country], 0),0))</f>
        <v>12</v>
      </c>
      <c r="Z2" s="6">
        <f>SUM(INDEX(Tabela1[[Field Hockey - Men''s Tournament]:[Field Hockey - Women''s Tournament]],MATCH(Table92[[#This Row],[Country]],Tabela1[Country], 0),0))</f>
        <v>1</v>
      </c>
      <c r="AA2" s="6">
        <f>SUM(INDEX(Tabela1[[Football - Men''s Tournament]:[Football - Women''s Tournament]],MATCH(Table92[[#This Row],[Country]],Tabela1[Country], 0),0))</f>
        <v>2</v>
      </c>
      <c r="AB2" s="6">
        <f>SUM(INDEX(Tabela1[[Golf - Men''s Individual]:[Golf - Women''s Individual]],MATCH(Table92[[#This Row],[Country]],Tabela1[Country], 0),0))</f>
        <v>6</v>
      </c>
      <c r="AC2" s="6">
        <f>SUM(INDEX(Tabela1[[Handball - Men''s Tournament]:[Handball - Women''s Tournament]],MATCH(Table92[[#This Row],[Country]],Tabela1[Country], 0),0))</f>
        <v>0</v>
      </c>
      <c r="AD2" s="6">
        <f>SUM(INDEX(Tabela1[[Judo - Men''s 60kg]:[Judo - Mixed Team]],MATCH(Table92[[#This Row],[Country]],Tabela1[Country], 0),0))</f>
        <v>2</v>
      </c>
      <c r="AE2" s="6">
        <f>SUM(INDEX(Tabela1[[Swimming - Men''s 10km Open Water]:[Swimming - Women''s 10km Open Water]],MATCH(Table92[[#This Row],[Country]],Tabela1[Country], 0),0))</f>
        <v>1</v>
      </c>
      <c r="AF2" s="6">
        <f>SUM(INDEX(Tabela1[[Modern Pentathlon - Men''s Individual]:[Modern Pentathlon - Women''s Individual]],MATCH(Table92[[#This Row],[Country]],Tabela1[Country], 0),0))</f>
        <v>0</v>
      </c>
      <c r="AG2" s="6">
        <f>SUM(INDEX(Tabela1[[Rhythmic Gymnastics - Women''s Individual All-Around]:[Rhythmic Gymnastics - Women''s Group All-Around]],MATCH(Table92[[#This Row],[Country]],Tabela1[Country], 0),0))</f>
        <v>0</v>
      </c>
      <c r="AH2" s="6">
        <f>SUM(INDEX(Tabela1[[Rowing - Men''s Single Sculls]:[Rowing - Women''s Lwt. Double Sculls]],MATCH(Table92[[#This Row],[Country]],Tabela1[Country], 0),0))</f>
        <v>8</v>
      </c>
      <c r="AI2" s="6">
        <f>SUM(INDEX(Tabela1[[Rugby Sevens - Men''s Tournament]:[Rugby Sevens - Women''s Tournament]],MATCH(Table92[[#This Row],[Country]],Tabela1[Country], 0),0))</f>
        <v>2</v>
      </c>
      <c r="AJ2" s="6">
        <f>SUM(INDEX(Tabela1[[Sailing - Mixed 470]:[Sailing - Mixed Nacra 17]],MATCH(Table92[[#This Row],[Country]],Tabela1[Country], 0),0))</f>
        <v>8</v>
      </c>
      <c r="AK2" s="6">
        <f>SUM(INDEX(Tabela1[[Shooting - Men''s 10m Air Pistol]:[Shooting - Women''s Trap]],MATCH(Table92[[#This Row],[Country]],Tabela1[Country], 0),0))</f>
        <v>10</v>
      </c>
      <c r="AL2" s="6">
        <f>SUM(INDEX(Tabela1[[Skateboarding - Men''s Park]:[Skateboarding - Women''s Street]],MATCH(Table92[[#This Row],[Country]],Tabela1[Country], 0),0))</f>
        <v>12</v>
      </c>
      <c r="AM2" s="6">
        <f>SUM(INDEX(Tabela1[[Sport Climbing - Men''s Boulder and Lead]:[Sport Climbing - Women''s Speed]],MATCH(Table92[[#This Row],[Country]],Tabela1[Country], 0),0))</f>
        <v>3</v>
      </c>
      <c r="AN2" s="6">
        <f>SUM(INDEX(Tabela1[[Surfing - Men''s Shortboard]:[Surfing - Women''s Shortboard]],MATCH(Table92[[#This Row],[Country]],Tabela1[Country], 0),0))</f>
        <v>3</v>
      </c>
      <c r="AO2" s="6">
        <f>SUM(INDEX(Tabela1[[Swimming - Men''s 50m Freestyle]:[Swimming - Mixed 4x100m Medley Relay]],MATCH(Table92[[#This Row],[Country]],Tabela1[Country], 0),0))</f>
        <v>26</v>
      </c>
      <c r="AP2" s="6">
        <f>SUM(INDEX(Tabela1[[Table Tennis - Men''s Singles]:[Table Tennis - Mixed Doubles]],MATCH(Table92[[#This Row],[Country]],Tabela1[Country], 0),0))</f>
        <v>4</v>
      </c>
      <c r="AQ2" s="6">
        <f>SUM(INDEX(Tabela1[[Taekwondo - Men''s 58kg]:[Taekwondo - Women''s +67kg]],MATCH(Table92[[#This Row],[Country]],Tabela1[Country], 0),0))</f>
        <v>2</v>
      </c>
      <c r="AR2" s="6">
        <f>SUM(INDEX(Tabela1[[Tennis - Men''s Singles]:[Tennis - Mixed Doubles]],MATCH(Table92[[#This Row],[Country]],Tabela1[Country], 0),0))</f>
        <v>10</v>
      </c>
      <c r="AS2" s="6">
        <f>SUM(INDEX(Tabela1[[Gymnastics - Men''s Trampoline]:[Gymnastics - Women''s Trampoline]],MATCH(Table92[[#This Row],[Country]],Tabela1[Country], 0),0))</f>
        <v>1</v>
      </c>
      <c r="AT2" s="6">
        <f>SUM(INDEX(Tabela1[[Triathlon - Men''s Individual]:[Triathlon - Mixed Relay]],MATCH(Table92[[#This Row],[Country]],Tabela1[Country], 0),0))</f>
        <v>3</v>
      </c>
      <c r="AU2" s="6">
        <f>SUM(INDEX(Tabela1[[Volleyball - Men''s Tournament]:[Volleyball - Women''s Tournament]],MATCH(Table92[[#This Row],[Country]],Tabela1[Country], 0),0))</f>
        <v>2</v>
      </c>
      <c r="AV2" s="6">
        <f>SUM(INDEX(Tabela1[[Water Polo - Men''s Tournament]:[Water Polo - Women''s Tournament]],MATCH(Table92[[#This Row],[Country]],Tabela1[Country], 0),0))</f>
        <v>2</v>
      </c>
      <c r="AW2" s="6">
        <f>SUM(INDEX(Tabela1[[Weightlifting - Men''s 61kg]:[Weightlifting - Women''s +81kg]],MATCH(Table92[[#This Row],[Country]],Tabela1[Country], 0),0))</f>
        <v>0</v>
      </c>
      <c r="AX2" s="6">
        <f>SUM(INDEX(Tabela1[[Wrestling - Men''s Freestyle 57kg]:[Wrestling - Women''s Freestyle 76kg]],MATCH(Table92[[#This Row],[Country]],Tabela1[Country], 0),0))</f>
        <v>7</v>
      </c>
      <c r="AY2" s="6">
        <f>SUM(INDEX(Tabela1[[Alpine Skiing - Men''s Downhill]:[Alpine Skiing - Women''s Team Combined]],MATCH(Table92[[#This Row],[Country]],Tabela1[Country], 0),0))</f>
        <v>26</v>
      </c>
      <c r="AZ2" s="6">
        <f>SUM(INDEX(Tabela1[[Biathlon - Men''s Individual]:[Biathlon - Mixed Relay]],MATCH(Table92[[#This Row],[Country]],Tabela1[Country], 0),0))</f>
        <v>9</v>
      </c>
      <c r="BA2" s="6">
        <f>SUM(INDEX(Tabela1[[Bobsleigh - Women''s Monobob]:[Bobsleigh - Men''s Four]],MATCH(Table92[[#This Row],[Country]],Tabela1[Country], 0),0))</f>
        <v>9</v>
      </c>
      <c r="BB2" s="6">
        <f>SUM(INDEX(Tabela1[[Cross-country skiing - Men''s Classical]:[Cross-country skiing - Women''s Team Sprint]],MATCH(Table92[[#This Row],[Country]],Tabela1[Country], 0),0))</f>
        <v>25</v>
      </c>
      <c r="BC2" s="6">
        <f>SUM(INDEX(Tabela1[[Curling - Men''s Tournament]:[Curling - Mixed Doubles]],MATCH(Table92[[#This Row],[Country]],Tabela1[Country], 0),0))</f>
        <v>3</v>
      </c>
      <c r="BD2" s="6">
        <f>SUM(INDEX(Tabela1[[Figure Skating - Men''s Singles]:[Figure Skating - Team Event]],MATCH(Table92[[#This Row],[Country]],Tabela1[Country], 0),0))</f>
        <v>8</v>
      </c>
      <c r="BE2" s="6">
        <f>SUM(INDEX(Tabela1[[Freestyle Skiing - Men''s Aerials]:[Freestyle Skiing - Women''s Slopestyle]],MATCH(Table92[[#This Row],[Country]],Tabela1[Country], 0),0))</f>
        <v>23</v>
      </c>
      <c r="BF2" s="6">
        <f>SUM(INDEX(Tabela1[[Ice Hockey - Men''s Tournament]:[Ice Hockey - Women''s Tournament]],MATCH(Table92[[#This Row],[Country]],Tabela1[Country], 0),0))</f>
        <v>2</v>
      </c>
      <c r="BG2" s="6">
        <f>SUM(INDEX(Tabela1[[Luge - Men''s Singles]:[Luge - Mixed Team Relay]],MATCH(Table92[[#This Row],[Country]],Tabela1[Country], 0),0))</f>
        <v>7</v>
      </c>
      <c r="BH2" s="6">
        <f>SUM(INDEX(Tabela1[[Nordic Combined - Men''s Individual]:[Nordic Combined - Men''s Team Sprint Large Hill]],MATCH(Table92[[#This Row],[Country]],Tabela1[Country], 0),0))</f>
        <v>3</v>
      </c>
      <c r="BI2" s="6">
        <f>SUM(INDEX(Tabela1[[Short track speed skating - Men''s 500m]:[Short track speed skating - Mixed 2000m Relay]],MATCH(Table92[[#This Row],[Country]],Tabela1[Country], 0),0))</f>
        <v>6</v>
      </c>
      <c r="BJ2" s="6">
        <f>SUM(INDEX(Tabela1[[Skeleton - Men''s Individual]:[Skeleton - Mixed Team]],MATCH(Table92[[#This Row],[Country]],Tabela1[Country], 0),0))</f>
        <v>5</v>
      </c>
      <c r="BK2" s="6">
        <f>SUM(INDEX(Tabela1[[Ski Jumping - Men''s Individual Large Hill]:[Ski Jumping - Mixed Team Normal Hill]],MATCH(Table92[[#This Row],[Country]],Tabela1[Country], 0),0))</f>
        <v>7</v>
      </c>
      <c r="BL2" s="6">
        <f>SUM(INDEX(Tabela1[[Ski Mountaineering - Men''s Sprint]:[Ski Mountaineering - Mixed Relay]],MATCH(Table92[[#This Row],[Country]],Tabela1[Country], 0),0))</f>
        <v>2</v>
      </c>
      <c r="BM2" s="6">
        <f>SUM(INDEX(Tabela1[[Snowboarding - Men''s Big Air]:[Snowboarding - Mixed Team Snowboard Cross]],MATCH(Table92[[#This Row],[Country]],Tabela1[Country], 0),0))</f>
        <v>15</v>
      </c>
      <c r="BN2" s="6">
        <f>SUM(INDEX(Tabela1[[Speed Skating - Men''s 500m]:[Speed Skating - Women''s Team Pursuit]],MATCH(Table92[[#This Row],[Country]],Tabela1[Country], 0),0))</f>
        <v>12</v>
      </c>
      <c r="BO2" s="6" t="str">
        <f>SUBSTITUTE(INDEX(Table92[[#Headers],[Archery Quotas]:[Speed Skating Quotas]], MATCH(MAX(Table92[[#This Row],[Archery Quotas]:[Speed Skating Quotas]]), Table92[[#This Row],[Archery Quotas]:[Speed Skating Quotas]], 0))," Quotas","")</f>
        <v>Athletics</v>
      </c>
      <c r="BP2" s="6">
        <f>SUM(Table92[[#This Row],[Summer Sports]:[Winter Sports]])</f>
        <v>56</v>
      </c>
      <c r="BQ2" s="6">
        <f>COUNTIF(Table92[[#This Row],[Archery Quotas]:[Wrestling Quotas]],"&lt;&gt;0")</f>
        <v>40</v>
      </c>
      <c r="BR2" s="6">
        <f>COUNTIF(Table92[[#This Row],[Alpine Skiing Quotas]:[Speed Skating Quotas]],"&lt;&gt;0")</f>
        <v>16</v>
      </c>
      <c r="BS2" s="3" t="s">
        <v>333</v>
      </c>
    </row>
    <row r="3" spans="1:71" x14ac:dyDescent="0.3">
      <c r="A3" s="6" t="s">
        <v>344</v>
      </c>
      <c r="B3" t="e" vm="2">
        <f>IF(ISBLANK(Table92[[#This Row],[Flag Link]]), "", _xlfn.IMAGE(Table92[[#This Row],[Flag Link]],1,1))</f>
        <v>#VALUE!</v>
      </c>
      <c r="C3" s="6">
        <f>SUM(Table92[[#This Row],[Archery Quotas]:[Speed Skating Quotas]])</f>
        <v>287</v>
      </c>
      <c r="D3" s="6">
        <f>SUM(INDEX(Tabela1[[Archery - Men''s Individual Recurve]:[Archery - Mixed Team Recurve]],MATCH(Table92[[#This Row],[Country]],Tabela1[Country], 0),0))</f>
        <v>8</v>
      </c>
      <c r="E3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3" s="6">
        <f>SUM(INDEX(Tabela1[[Artistic Swimming - Women''s Duet]:[Artistic Swimming - Women''s Team]],MATCH(Table92[[#This Row],[Country]],Tabela1[Country], 0),0))</f>
        <v>2</v>
      </c>
      <c r="G3" s="6">
        <f>SUM(INDEX(Tabela1[[Athletics - Men''s 100m]:[Athletics - Women''s Heptathlon]],MATCH(Table92[[#This Row],[Country]],Tabela1[Country], 0),0))</f>
        <v>36</v>
      </c>
      <c r="H3" s="6">
        <f>SUM(INDEX(Tabela1[[Badminton - Men''s Singles]:[Badminton - Mixed Doubles]],MATCH(Table92[[#This Row],[Country]],Tabela1[Country], 0),0))</f>
        <v>2</v>
      </c>
      <c r="I3" s="6">
        <f>SUM(INDEX(Tabela1[[Basketball - Men''s Tournament]:[Basketball - Women''s Tournament]],MATCH(Table92[[#This Row],[Country]],Tabela1[Country], 0),0))</f>
        <v>1</v>
      </c>
      <c r="J3" s="6">
        <f>SUM(INDEX(Tabela1[[3x3 Basketball - Men''s Tournament]:[3x3 Basketball - Women''s Tournament]],MATCH(Table92[[#This Row],[Country]],Tabela1[Country], 0),0))</f>
        <v>2</v>
      </c>
      <c r="K3" s="6">
        <f>SUM(INDEX(Tabela1[[Beach Volleyball - Men''s Tournament]:[Beach Volleyball - Women''s Tournament]],MATCH(Table92[[#This Row],[Country]],Tabela1[Country], 0),0))</f>
        <v>2</v>
      </c>
      <c r="L3" s="6">
        <f>SUM(INDEX(Tabela1[[Boxing - Men''s 51kg]:[Boxing - Women''s 75kg]],MATCH(Table92[[#This Row],[Country]],Tabela1[Country], 0),0))</f>
        <v>2</v>
      </c>
      <c r="M3" s="6">
        <f>SUM(INDEX(Tabela1[[Breaking - Men''s Individual]:[Breaking - Women''s Individual]],MATCH(Table92[[#This Row],[Country]],Tabela1[Country], 0),0))</f>
        <v>1</v>
      </c>
      <c r="N3" s="6">
        <f>SUM(INDEX(Tabela1[[Canoeing - Men''s C1 Slalom]:[Canoeing - Women''s Kayak Cross Slalom]],MATCH(Table92[[#This Row],[Country]],Tabela1[Country], 0),0))</f>
        <v>7</v>
      </c>
      <c r="O3" s="6">
        <f>SUM(INDEX(Tabela1[[Canoeing - Women''s C1 200m]:[Canoeing - Women''s K4 500m]],MATCH(Table92[[#This Row],[Country]],Tabela1[Country], 0),0))</f>
        <v>5</v>
      </c>
      <c r="P3" s="6">
        <f>SUM(INDEX(Tabela1[[Cycling - Men''s BMX Freestyle]:[Cycling - Women''s BMX Freestyle]],MATCH(Table92[[#This Row],[Country]],Tabela1[Country], 0),0))</f>
        <v>2</v>
      </c>
      <c r="Q3" s="6">
        <f>SUM(INDEX(Tabela1[[Cycling - Men''s BMX Racing]:[Cycling - Women''s BMX Racing]],MATCH(Table92[[#This Row],[Country]],Tabela1[Country], 0),0))</f>
        <v>2</v>
      </c>
      <c r="R3" s="6">
        <f>SUM(INDEX(Tabela1[[Cycling - Men''s Cross-Country]:[Cycling - Women''s Cross-Country]],MATCH(Table92[[#This Row],[Country]],Tabela1[Country], 0),0))</f>
        <v>2</v>
      </c>
      <c r="S3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5</v>
      </c>
      <c r="T3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4</v>
      </c>
      <c r="U3" s="6">
        <f>SUM(INDEX(Tabela1[[Diving - Men''s Springboard]:[Diving - Women''s Synchronized Platform]],MATCH(Table92[[#This Row],[Country]],Tabela1[Country], 0),0))</f>
        <v>3</v>
      </c>
      <c r="V3" s="6">
        <f>SUM(INDEX(Tabela1[[Equestrian - Individual Dressage]:[Equestrian - Team Dressage]],MATCH(Table92[[#This Row],[Country]],Tabela1[Country], 0),0))</f>
        <v>0</v>
      </c>
      <c r="W3" s="6">
        <f>SUM(INDEX(Tabela1[[Equestrian - Individual Eventing]:[Equestrian - Team Eventing]],MATCH(Table92[[#This Row],[Country]],Tabela1[Country], 0),0))</f>
        <v>2</v>
      </c>
      <c r="X3" s="6">
        <f>SUM(INDEX(Tabela1[[Equestrian - Individual Jumping]:[Equestrian - Team Jumping]],MATCH(Table92[[#This Row],[Country]],Tabela1[Country], 0),0))</f>
        <v>2</v>
      </c>
      <c r="Y3" s="6">
        <f>SUM(INDEX(Tabela1[[Fencing - Men''s Épée]:[Fencing - Women''s Team Sabre]],MATCH(Table92[[#This Row],[Country]],Tabela1[Country], 0),0))</f>
        <v>14</v>
      </c>
      <c r="Z3" s="6">
        <f>SUM(INDEX(Tabela1[[Field Hockey - Men''s Tournament]:[Field Hockey - Women''s Tournament]],MATCH(Table92[[#This Row],[Country]],Tabela1[Country], 0),0))</f>
        <v>2</v>
      </c>
      <c r="AA3" s="6">
        <f>SUM(INDEX(Tabela1[[Football - Men''s Tournament]:[Football - Women''s Tournament]],MATCH(Table92[[#This Row],[Country]],Tabela1[Country], 0),0))</f>
        <v>2</v>
      </c>
      <c r="AB3" s="6">
        <f>SUM(INDEX(Tabela1[[Golf - Men''s Individual]:[Golf - Women''s Individual]],MATCH(Table92[[#This Row],[Country]],Tabela1[Country], 0),0))</f>
        <v>1</v>
      </c>
      <c r="AC3" s="6">
        <f>SUM(INDEX(Tabela1[[Handball - Men''s Tournament]:[Handball - Women''s Tournament]],MATCH(Table92[[#This Row],[Country]],Tabela1[Country], 0),0))</f>
        <v>2</v>
      </c>
      <c r="AD3" s="6">
        <f>SUM(INDEX(Tabela1[[Judo - Men''s 60kg]:[Judo - Mixed Team]],MATCH(Table92[[#This Row],[Country]],Tabela1[Country], 0),0))</f>
        <v>7</v>
      </c>
      <c r="AE3" s="6">
        <f>SUM(INDEX(Tabela1[[Swimming - Men''s 10km Open Water]:[Swimming - Women''s 10km Open Water]],MATCH(Table92[[#This Row],[Country]],Tabela1[Country], 0),0))</f>
        <v>2</v>
      </c>
      <c r="AF3" s="6">
        <f>SUM(INDEX(Tabela1[[Modern Pentathlon - Men''s Individual]:[Modern Pentathlon - Women''s Individual]],MATCH(Table92[[#This Row],[Country]],Tabela1[Country], 0),0))</f>
        <v>2</v>
      </c>
      <c r="AG3" s="6">
        <f>SUM(INDEX(Tabela1[[Rhythmic Gymnastics - Women''s Individual All-Around]:[Rhythmic Gymnastics - Women''s Group All-Around]],MATCH(Table92[[#This Row],[Country]],Tabela1[Country], 0),0))</f>
        <v>2</v>
      </c>
      <c r="AH3" s="6">
        <f>SUM(INDEX(Tabela1[[Rowing - Men''s Single Sculls]:[Rowing - Women''s Lwt. Double Sculls]],MATCH(Table92[[#This Row],[Country]],Tabela1[Country], 0),0))</f>
        <v>2</v>
      </c>
      <c r="AI3" s="6">
        <f>SUM(INDEX(Tabela1[[Rugby Sevens - Men''s Tournament]:[Rugby Sevens - Women''s Tournament]],MATCH(Table92[[#This Row],[Country]],Tabela1[Country], 0),0))</f>
        <v>2</v>
      </c>
      <c r="AJ3" s="6">
        <f>SUM(INDEX(Tabela1[[Sailing - Mixed 470]:[Sailing - Mixed Nacra 17]],MATCH(Table92[[#This Row],[Country]],Tabela1[Country], 0),0))</f>
        <v>5</v>
      </c>
      <c r="AK3" s="6">
        <f>SUM(INDEX(Tabela1[[Shooting - Men''s 10m Air Pistol]:[Shooting - Women''s Trap]],MATCH(Table92[[#This Row],[Country]],Tabela1[Country], 0),0))</f>
        <v>11</v>
      </c>
      <c r="AL3" s="6">
        <f>SUM(INDEX(Tabela1[[Skateboarding - Men''s Park]:[Skateboarding - Women''s Street]],MATCH(Table92[[#This Row],[Country]],Tabela1[Country], 0),0))</f>
        <v>4</v>
      </c>
      <c r="AM3" s="6">
        <f>SUM(INDEX(Tabela1[[Sport Climbing - Men''s Boulder and Lead]:[Sport Climbing - Women''s Speed]],MATCH(Table92[[#This Row],[Country]],Tabela1[Country], 0),0))</f>
        <v>1</v>
      </c>
      <c r="AN3" s="6">
        <f>SUM(INDEX(Tabela1[[Surfing - Men''s Shortboard]:[Surfing - Women''s Shortboard]],MATCH(Table92[[#This Row],[Country]],Tabela1[Country], 0),0))</f>
        <v>2</v>
      </c>
      <c r="AO3" s="6">
        <f>SUM(INDEX(Tabela1[[Swimming - Men''s 50m Freestyle]:[Swimming - Mixed 4x100m Medley Relay]],MATCH(Table92[[#This Row],[Country]],Tabela1[Country], 0),0))</f>
        <v>20</v>
      </c>
      <c r="AP3" s="6">
        <f>SUM(INDEX(Tabela1[[Table Tennis - Men''s Singles]:[Table Tennis - Mixed Doubles]],MATCH(Table92[[#This Row],[Country]],Tabela1[Country], 0),0))</f>
        <v>7</v>
      </c>
      <c r="AQ3" s="6">
        <f>SUM(INDEX(Tabela1[[Taekwondo - Men''s 58kg]:[Taekwondo - Women''s +67kg]],MATCH(Table92[[#This Row],[Country]],Tabela1[Country], 0),0))</f>
        <v>2</v>
      </c>
      <c r="AR3" s="6">
        <f>SUM(INDEX(Tabela1[[Tennis - Men''s Singles]:[Tennis - Mixed Doubles]],MATCH(Table92[[#This Row],[Country]],Tabela1[Country], 0),0))</f>
        <v>4</v>
      </c>
      <c r="AS3" s="6">
        <f>SUM(INDEX(Tabela1[[Gymnastics - Men''s Trampoline]:[Gymnastics - Women''s Trampoline]],MATCH(Table92[[#This Row],[Country]],Tabela1[Country], 0),0))</f>
        <v>2</v>
      </c>
      <c r="AT3" s="6">
        <f>SUM(INDEX(Tabela1[[Triathlon - Men''s Individual]:[Triathlon - Mixed Relay]],MATCH(Table92[[#This Row],[Country]],Tabela1[Country], 0),0))</f>
        <v>2</v>
      </c>
      <c r="AU3" s="6">
        <f>SUM(INDEX(Tabela1[[Volleyball - Men''s Tournament]:[Volleyball - Women''s Tournament]],MATCH(Table92[[#This Row],[Country]],Tabela1[Country], 0),0))</f>
        <v>2</v>
      </c>
      <c r="AV3" s="6">
        <f>SUM(INDEX(Tabela1[[Water Polo - Men''s Tournament]:[Water Polo - Women''s Tournament]],MATCH(Table92[[#This Row],[Country]],Tabela1[Country], 0),0))</f>
        <v>2</v>
      </c>
      <c r="AW3" s="6">
        <f>SUM(INDEX(Tabela1[[Weightlifting - Men''s 61kg]:[Weightlifting - Women''s +81kg]],MATCH(Table92[[#This Row],[Country]],Tabela1[Country], 0),0))</f>
        <v>4</v>
      </c>
      <c r="AX3" s="6">
        <f>SUM(INDEX(Tabela1[[Wrestling - Men''s Freestyle 57kg]:[Wrestling - Women''s Freestyle 76kg]],MATCH(Table92[[#This Row],[Country]],Tabela1[Country], 0),0))</f>
        <v>0</v>
      </c>
      <c r="AY3" s="6">
        <f>SUM(INDEX(Tabela1[[Alpine Skiing - Men''s Downhill]:[Alpine Skiing - Women''s Team Combined]],MATCH(Table92[[#This Row],[Country]],Tabela1[Country], 0),0))</f>
        <v>14</v>
      </c>
      <c r="AZ3" s="6">
        <f>SUM(INDEX(Tabela1[[Biathlon - Men''s Individual]:[Biathlon - Mixed Relay]],MATCH(Table92[[#This Row],[Country]],Tabela1[Country], 0),0))</f>
        <v>15</v>
      </c>
      <c r="BA3" s="6">
        <f>SUM(INDEX(Tabela1[[Bobsleigh - Women''s Monobob]:[Bobsleigh - Men''s Four]],MATCH(Table92[[#This Row],[Country]],Tabela1[Country], 0),0))</f>
        <v>2</v>
      </c>
      <c r="BB3" s="6">
        <f>SUM(INDEX(Tabela1[[Cross-country skiing - Men''s Classical]:[Cross-country skiing - Women''s Team Sprint]],MATCH(Table92[[#This Row],[Country]],Tabela1[Country], 0),0))</f>
        <v>10</v>
      </c>
      <c r="BC3" s="6">
        <f>SUM(INDEX(Tabela1[[Curling - Men''s Tournament]:[Curling - Mixed Doubles]],MATCH(Table92[[#This Row],[Country]],Tabela1[Country], 0),0))</f>
        <v>0</v>
      </c>
      <c r="BD3" s="6">
        <f>SUM(INDEX(Tabela1[[Figure Skating - Men''s Singles]:[Figure Skating - Team Event]],MATCH(Table92[[#This Row],[Country]],Tabela1[Country], 0),0))</f>
        <v>4</v>
      </c>
      <c r="BE3" s="6">
        <f>SUM(INDEX(Tabela1[[Freestyle Skiing - Men''s Aerials]:[Freestyle Skiing - Women''s Slopestyle]],MATCH(Table92[[#This Row],[Country]],Tabela1[Country], 0),0))</f>
        <v>10</v>
      </c>
      <c r="BF3" s="6">
        <f>SUM(INDEX(Tabela1[[Ice Hockey - Men''s Tournament]:[Ice Hockey - Women''s Tournament]],MATCH(Table92[[#This Row],[Country]],Tabela1[Country], 0),0))</f>
        <v>2</v>
      </c>
      <c r="BG3" s="6">
        <f>SUM(INDEX(Tabela1[[Luge - Men''s Singles]:[Luge - Mixed Team Relay]],MATCH(Table92[[#This Row],[Country]],Tabela1[Country], 0),0))</f>
        <v>0</v>
      </c>
      <c r="BH3" s="6">
        <f>SUM(INDEX(Tabela1[[Nordic Combined - Men''s Individual]:[Nordic Combined - Men''s Team Sprint Large Hill]],MATCH(Table92[[#This Row],[Country]],Tabela1[Country], 0),0))</f>
        <v>7</v>
      </c>
      <c r="BI3" s="6">
        <f>SUM(INDEX(Tabela1[[Short track speed skating - Men''s 500m]:[Short track speed skating - Mixed 2000m Relay]],MATCH(Table92[[#This Row],[Country]],Tabela1[Country], 0),0))</f>
        <v>5</v>
      </c>
      <c r="BJ3" s="6">
        <f>SUM(INDEX(Tabela1[[Skeleton - Men''s Individual]:[Skeleton - Mixed Team]],MATCH(Table92[[#This Row],[Country]],Tabela1[Country], 0),0))</f>
        <v>1</v>
      </c>
      <c r="BK3" s="6">
        <f>SUM(INDEX(Tabela1[[Ski Jumping - Men''s Individual Large Hill]:[Ski Jumping - Mixed Team Normal Hill]],MATCH(Table92[[#This Row],[Country]],Tabela1[Country], 0),0))</f>
        <v>6</v>
      </c>
      <c r="BL3" s="6">
        <f>SUM(INDEX(Tabela1[[Ski Mountaineering - Men''s Sprint]:[Ski Mountaineering - Mixed Relay]],MATCH(Table92[[#This Row],[Country]],Tabela1[Country], 0),0))</f>
        <v>0</v>
      </c>
      <c r="BM3" s="6">
        <f>SUM(INDEX(Tabela1[[Snowboarding - Men''s Big Air]:[Snowboarding - Mixed Team Snowboard Cross]],MATCH(Table92[[#This Row],[Country]],Tabela1[Country], 0),0))</f>
        <v>8</v>
      </c>
      <c r="BN3" s="6">
        <f>SUM(INDEX(Tabela1[[Speed Skating - Men''s 500m]:[Speed Skating - Women''s Team Pursuit]],MATCH(Table92[[#This Row],[Country]],Tabela1[Country], 0),0))</f>
        <v>7</v>
      </c>
      <c r="BO3" s="6" t="str">
        <f>SUBSTITUTE(INDEX(Table92[[#Headers],[Archery Quotas]:[Speed Skating Quotas]], MATCH(MAX(Table92[[#This Row],[Archery Quotas]:[Speed Skating Quotas]]), Table92[[#This Row],[Archery Quotas]:[Speed Skating Quotas]], 0))," Quotas","")</f>
        <v>Athletics</v>
      </c>
      <c r="BP3" s="6">
        <f>SUM(Table92[[#This Row],[Summer Sports]:[Winter Sports]])</f>
        <v>57</v>
      </c>
      <c r="BQ3" s="6">
        <f>COUNTIF(Table92[[#This Row],[Archery Quotas]:[Wrestling Quotas]],"&lt;&gt;0")</f>
        <v>44</v>
      </c>
      <c r="BR3" s="6">
        <f>COUNTIF(Table92[[#This Row],[Alpine Skiing Quotas]:[Speed Skating Quotas]],"&lt;&gt;0")</f>
        <v>13</v>
      </c>
      <c r="BS3" s="3" t="s">
        <v>345</v>
      </c>
    </row>
    <row r="4" spans="1:71" x14ac:dyDescent="0.3">
      <c r="A4" s="6" t="s">
        <v>428</v>
      </c>
      <c r="B4" t="e" vm="3">
        <f>IF(ISBLANK(Table92[[#This Row],[Flag Link]]), "", _xlfn.IMAGE(Table92[[#This Row],[Flag Link]],1,1))</f>
        <v>#VALUE!</v>
      </c>
      <c r="C4" s="6">
        <f>SUM(Table92[[#This Row],[Archery Quotas]:[Speed Skating Quotas]])</f>
        <v>247</v>
      </c>
      <c r="D4" s="6">
        <f>SUM(INDEX(Tabela1[[Archery - Men''s Individual Recurve]:[Archery - Mixed Team Recurve]],MATCH(Table92[[#This Row],[Country]],Tabela1[Country], 0),0))</f>
        <v>3</v>
      </c>
      <c r="E4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17</v>
      </c>
      <c r="F4" s="6">
        <f>SUM(INDEX(Tabela1[[Artistic Swimming - Women''s Duet]:[Artistic Swimming - Women''s Team]],MATCH(Table92[[#This Row],[Country]],Tabela1[Country], 0),0))</f>
        <v>1</v>
      </c>
      <c r="G4" s="6">
        <f>SUM(INDEX(Tabela1[[Athletics - Men''s 100m]:[Athletics - Women''s Heptathlon]],MATCH(Table92[[#This Row],[Country]],Tabela1[Country], 0),0))</f>
        <v>25</v>
      </c>
      <c r="H4" s="6">
        <f>SUM(INDEX(Tabela1[[Badminton - Men''s Singles]:[Badminton - Mixed Doubles]],MATCH(Table92[[#This Row],[Country]],Tabela1[Country], 0),0))</f>
        <v>4</v>
      </c>
      <c r="I4" s="6">
        <f>SUM(INDEX(Tabela1[[Basketball - Men''s Tournament]:[Basketball - Women''s Tournament]],MATCH(Table92[[#This Row],[Country]],Tabela1[Country], 0),0))</f>
        <v>2</v>
      </c>
      <c r="J4" s="6">
        <f>SUM(INDEX(Tabela1[[3x3 Basketball - Men''s Tournament]:[3x3 Basketball - Women''s Tournament]],MATCH(Table92[[#This Row],[Country]],Tabela1[Country], 0),0))</f>
        <v>0</v>
      </c>
      <c r="K4" s="6">
        <f>SUM(INDEX(Tabela1[[Beach Volleyball - Men''s Tournament]:[Beach Volleyball - Women''s Tournament]],MATCH(Table92[[#This Row],[Country]],Tabela1[Country], 0),0))</f>
        <v>1</v>
      </c>
      <c r="L4" s="6">
        <f>SUM(INDEX(Tabela1[[Boxing - Men''s 51kg]:[Boxing - Women''s 75kg]],MATCH(Table92[[#This Row],[Country]],Tabela1[Country], 0),0))</f>
        <v>1</v>
      </c>
      <c r="M4" s="6">
        <f>SUM(INDEX(Tabela1[[Breaking - Men''s Individual]:[Breaking - Women''s Individual]],MATCH(Table92[[#This Row],[Country]],Tabela1[Country], 0),0))</f>
        <v>1</v>
      </c>
      <c r="N4" s="6">
        <f>SUM(INDEX(Tabela1[[Canoeing - Men''s C1 Slalom]:[Canoeing - Women''s Kayak Cross Slalom]],MATCH(Table92[[#This Row],[Country]],Tabela1[Country], 0),0))</f>
        <v>1</v>
      </c>
      <c r="O4" s="6">
        <f>SUM(INDEX(Tabela1[[Canoeing - Women''s C1 200m]:[Canoeing - Women''s K4 500m]],MATCH(Table92[[#This Row],[Country]],Tabela1[Country], 0),0))</f>
        <v>0</v>
      </c>
      <c r="P4" s="6">
        <f>SUM(INDEX(Tabela1[[Cycling - Men''s BMX Freestyle]:[Cycling - Women''s BMX Freestyle]],MATCH(Table92[[#This Row],[Country]],Tabela1[Country], 0),0))</f>
        <v>0</v>
      </c>
      <c r="Q4" s="6">
        <f>SUM(INDEX(Tabela1[[Cycling - Men''s BMX Racing]:[Cycling - Women''s BMX Racing]],MATCH(Table92[[#This Row],[Country]],Tabela1[Country], 0),0))</f>
        <v>0</v>
      </c>
      <c r="R4" s="6">
        <f>SUM(INDEX(Tabela1[[Cycling - Men''s Cross-Country]:[Cycling - Women''s Cross-Country]],MATCH(Table92[[#This Row],[Country]],Tabela1[Country], 0),0))</f>
        <v>0</v>
      </c>
      <c r="S4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2</v>
      </c>
      <c r="T4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5</v>
      </c>
      <c r="U4" s="6">
        <f>SUM(INDEX(Tabela1[[Diving - Men''s Springboard]:[Diving - Women''s Synchronized Platform]],MATCH(Table92[[#This Row],[Country]],Tabela1[Country], 0),0))</f>
        <v>1</v>
      </c>
      <c r="V4" s="6">
        <f>SUM(INDEX(Tabela1[[Equestrian - Individual Dressage]:[Equestrian - Team Dressage]],MATCH(Table92[[#This Row],[Country]],Tabela1[Country], 0),0))</f>
        <v>0</v>
      </c>
      <c r="W4" s="6">
        <f>SUM(INDEX(Tabela1[[Equestrian - Individual Eventing]:[Equestrian - Team Eventing]],MATCH(Table92[[#This Row],[Country]],Tabela1[Country], 0),0))</f>
        <v>3</v>
      </c>
      <c r="X4" s="6">
        <f>SUM(INDEX(Tabela1[[Equestrian - Individual Jumping]:[Equestrian - Team Jumping]],MATCH(Table92[[#This Row],[Country]],Tabela1[Country], 0),0))</f>
        <v>2</v>
      </c>
      <c r="Y4" s="6">
        <f>SUM(INDEX(Tabela1[[Fencing - Men''s Épée]:[Fencing - Women''s Team Sabre]],MATCH(Table92[[#This Row],[Country]],Tabela1[Country], 0),0))</f>
        <v>12</v>
      </c>
      <c r="Z4" s="6">
        <f>SUM(INDEX(Tabela1[[Field Hockey - Men''s Tournament]:[Field Hockey - Women''s Tournament]],MATCH(Table92[[#This Row],[Country]],Tabela1[Country], 0),0))</f>
        <v>1</v>
      </c>
      <c r="AA4" s="6">
        <f>SUM(INDEX(Tabela1[[Football - Men''s Tournament]:[Football - Women''s Tournament]],MATCH(Table92[[#This Row],[Country]],Tabela1[Country], 0),0))</f>
        <v>2</v>
      </c>
      <c r="AB4" s="6">
        <f>SUM(INDEX(Tabela1[[Golf - Men''s Individual]:[Golf - Women''s Individual]],MATCH(Table92[[#This Row],[Country]],Tabela1[Country], 0),0))</f>
        <v>3</v>
      </c>
      <c r="AC4" s="6">
        <f>SUM(INDEX(Tabela1[[Handball - Men''s Tournament]:[Handball - Women''s Tournament]],MATCH(Table92[[#This Row],[Country]],Tabela1[Country], 0),0))</f>
        <v>1</v>
      </c>
      <c r="AD4" s="6">
        <f>SUM(INDEX(Tabela1[[Judo - Men''s 60kg]:[Judo - Mixed Team]],MATCH(Table92[[#This Row],[Country]],Tabela1[Country], 0),0))</f>
        <v>8</v>
      </c>
      <c r="AE4" s="6">
        <f>SUM(INDEX(Tabela1[[Swimming - Men''s 10km Open Water]:[Swimming - Women''s 10km Open Water]],MATCH(Table92[[#This Row],[Country]],Tabela1[Country], 0),0))</f>
        <v>1</v>
      </c>
      <c r="AF4" s="6">
        <f>SUM(INDEX(Tabela1[[Modern Pentathlon - Men''s Individual]:[Modern Pentathlon - Women''s Individual]],MATCH(Table92[[#This Row],[Country]],Tabela1[Country], 0),0))</f>
        <v>1</v>
      </c>
      <c r="AG4" s="6">
        <f>SUM(INDEX(Tabela1[[Rhythmic Gymnastics - Women''s Individual All-Around]:[Rhythmic Gymnastics - Women''s Group All-Around]],MATCH(Table92[[#This Row],[Country]],Tabela1[Country], 0),0))</f>
        <v>0</v>
      </c>
      <c r="AH4" s="6">
        <f>SUM(INDEX(Tabela1[[Rowing - Men''s Single Sculls]:[Rowing - Women''s Lwt. Double Sculls]],MATCH(Table92[[#This Row],[Country]],Tabela1[Country], 0),0))</f>
        <v>1</v>
      </c>
      <c r="AI4" s="6">
        <f>SUM(INDEX(Tabela1[[Rugby Sevens - Men''s Tournament]:[Rugby Sevens - Women''s Tournament]],MATCH(Table92[[#This Row],[Country]],Tabela1[Country], 0),0))</f>
        <v>2</v>
      </c>
      <c r="AJ4" s="6">
        <f>SUM(INDEX(Tabela1[[Sailing - Mixed 470]:[Sailing - Mixed Nacra 17]],MATCH(Table92[[#This Row],[Country]],Tabela1[Country], 0),0))</f>
        <v>2</v>
      </c>
      <c r="AK4" s="6">
        <f>SUM(INDEX(Tabela1[[Shooting - Men''s 10m Air Pistol]:[Shooting - Women''s Trap]],MATCH(Table92[[#This Row],[Country]],Tabela1[Country], 0),0))</f>
        <v>2</v>
      </c>
      <c r="AL4" s="6">
        <f>SUM(INDEX(Tabela1[[Skateboarding - Men''s Park]:[Skateboarding - Women''s Street]],MATCH(Table92[[#This Row],[Country]],Tabela1[Country], 0),0))</f>
        <v>4</v>
      </c>
      <c r="AM4" s="6">
        <f>SUM(INDEX(Tabela1[[Sport Climbing - Men''s Boulder and Lead]:[Sport Climbing - Women''s Speed]],MATCH(Table92[[#This Row],[Country]],Tabela1[Country], 0),0))</f>
        <v>1</v>
      </c>
      <c r="AN4" s="6">
        <f>SUM(INDEX(Tabela1[[Surfing - Men''s Shortboard]:[Surfing - Women''s Shortboard]],MATCH(Table92[[#This Row],[Country]],Tabela1[Country], 0),0))</f>
        <v>3</v>
      </c>
      <c r="AO4" s="6">
        <f>SUM(INDEX(Tabela1[[Swimming - Men''s 50m Freestyle]:[Swimming - Mixed 4x100m Medley Relay]],MATCH(Table92[[#This Row],[Country]],Tabela1[Country], 0),0))</f>
        <v>15</v>
      </c>
      <c r="AP4" s="6">
        <f>SUM(INDEX(Tabela1[[Table Tennis - Men''s Singles]:[Table Tennis - Mixed Doubles]],MATCH(Table92[[#This Row],[Country]],Tabela1[Country], 0),0))</f>
        <v>4</v>
      </c>
      <c r="AQ4" s="6">
        <f>SUM(INDEX(Tabela1[[Taekwondo - Men''s 58kg]:[Taekwondo - Women''s +67kg]],MATCH(Table92[[#This Row],[Country]],Tabela1[Country], 0),0))</f>
        <v>0</v>
      </c>
      <c r="AR4" s="6">
        <f>SUM(INDEX(Tabela1[[Tennis - Men''s Singles]:[Tennis - Mixed Doubles]],MATCH(Table92[[#This Row],[Country]],Tabela1[Country], 0),0))</f>
        <v>3</v>
      </c>
      <c r="AS4" s="6">
        <f>SUM(INDEX(Tabela1[[Gymnastics - Men''s Trampoline]:[Gymnastics - Women''s Trampoline]],MATCH(Table92[[#This Row],[Country]],Tabela1[Country], 0),0))</f>
        <v>2</v>
      </c>
      <c r="AT4" s="6">
        <f>SUM(INDEX(Tabela1[[Triathlon - Men''s Individual]:[Triathlon - Mixed Relay]],MATCH(Table92[[#This Row],[Country]],Tabela1[Country], 0),0))</f>
        <v>3</v>
      </c>
      <c r="AU4" s="6">
        <f>SUM(INDEX(Tabela1[[Volleyball - Men''s Tournament]:[Volleyball - Women''s Tournament]],MATCH(Table92[[#This Row],[Country]],Tabela1[Country], 0),0))</f>
        <v>2</v>
      </c>
      <c r="AV4" s="6">
        <f>SUM(INDEX(Tabela1[[Water Polo - Men''s Tournament]:[Water Polo - Women''s Tournament]],MATCH(Table92[[#This Row],[Country]],Tabela1[Country], 0),0))</f>
        <v>1</v>
      </c>
      <c r="AW4" s="6">
        <f>SUM(INDEX(Tabela1[[Weightlifting - Men''s 61kg]:[Weightlifting - Women''s +81kg]],MATCH(Table92[[#This Row],[Country]],Tabela1[Country], 0),0))</f>
        <v>2</v>
      </c>
      <c r="AX4" s="6">
        <f>SUM(INDEX(Tabela1[[Wrestling - Men''s Freestyle 57kg]:[Wrestling - Women''s Freestyle 76kg]],MATCH(Table92[[#This Row],[Country]],Tabela1[Country], 0),0))</f>
        <v>8</v>
      </c>
      <c r="AY4" s="6">
        <f>SUM(INDEX(Tabela1[[Alpine Skiing - Men''s Downhill]:[Alpine Skiing - Women''s Team Combined]],MATCH(Table92[[#This Row],[Country]],Tabela1[Country], 0),0))</f>
        <v>2</v>
      </c>
      <c r="AZ4" s="6">
        <f>SUM(INDEX(Tabela1[[Biathlon - Men''s Individual]:[Biathlon - Mixed Relay]],MATCH(Table92[[#This Row],[Country]],Tabela1[Country], 0),0))</f>
        <v>0</v>
      </c>
      <c r="BA4" s="6">
        <f>SUM(INDEX(Tabela1[[Bobsleigh - Women''s Monobob]:[Bobsleigh - Men''s Four]],MATCH(Table92[[#This Row],[Country]],Tabela1[Country], 0),0))</f>
        <v>0</v>
      </c>
      <c r="BB4" s="6">
        <f>SUM(INDEX(Tabela1[[Cross-country skiing - Men''s Classical]:[Cross-country skiing - Women''s Team Sprint]],MATCH(Table92[[#This Row],[Country]],Tabela1[Country], 0),0))</f>
        <v>5</v>
      </c>
      <c r="BC4" s="6">
        <f>SUM(INDEX(Tabela1[[Curling - Men''s Tournament]:[Curling - Mixed Doubles]],MATCH(Table92[[#This Row],[Country]],Tabela1[Country], 0),0))</f>
        <v>1</v>
      </c>
      <c r="BD4" s="6">
        <f>SUM(INDEX(Tabela1[[Figure Skating - Men''s Singles]:[Figure Skating - Team Event]],MATCH(Table92[[#This Row],[Country]],Tabela1[Country], 0),0))</f>
        <v>4</v>
      </c>
      <c r="BE4" s="6">
        <f>SUM(INDEX(Tabela1[[Freestyle Skiing - Men''s Aerials]:[Freestyle Skiing - Women''s Slopestyle]],MATCH(Table92[[#This Row],[Country]],Tabela1[Country], 0),0))</f>
        <v>23</v>
      </c>
      <c r="BF4" s="6">
        <f>SUM(INDEX(Tabela1[[Ice Hockey - Men''s Tournament]:[Ice Hockey - Women''s Tournament]],MATCH(Table92[[#This Row],[Country]],Tabela1[Country], 0),0))</f>
        <v>1</v>
      </c>
      <c r="BG4" s="6">
        <f>SUM(INDEX(Tabela1[[Luge - Men''s Singles]:[Luge - Mixed Team Relay]],MATCH(Table92[[#This Row],[Country]],Tabela1[Country], 0),0))</f>
        <v>0</v>
      </c>
      <c r="BH4" s="6">
        <f>SUM(INDEX(Tabela1[[Nordic Combined - Men''s Individual]:[Nordic Combined - Men''s Team Sprint Large Hill]],MATCH(Table92[[#This Row],[Country]],Tabela1[Country], 0),0))</f>
        <v>0</v>
      </c>
      <c r="BI4" s="6">
        <f>SUM(INDEX(Tabela1[[Short track speed skating - Men''s 500m]:[Short track speed skating - Mixed 2000m Relay]],MATCH(Table92[[#This Row],[Country]],Tabela1[Country], 0),0))</f>
        <v>11</v>
      </c>
      <c r="BJ4" s="6">
        <f>SUM(INDEX(Tabela1[[Skeleton - Men''s Individual]:[Skeleton - Mixed Team]],MATCH(Table92[[#This Row],[Country]],Tabela1[Country], 0),0))</f>
        <v>0</v>
      </c>
      <c r="BK4" s="6">
        <f>SUM(INDEX(Tabela1[[Ski Jumping - Men''s Individual Large Hill]:[Ski Jumping - Mixed Team Normal Hill]],MATCH(Table92[[#This Row],[Country]],Tabela1[Country], 0),0))</f>
        <v>12</v>
      </c>
      <c r="BL4" s="6">
        <f>SUM(INDEX(Tabela1[[Ski Mountaineering - Men''s Sprint]:[Ski Mountaineering - Mixed Relay]],MATCH(Table92[[#This Row],[Country]],Tabela1[Country], 0),0))</f>
        <v>0</v>
      </c>
      <c r="BM4" s="6">
        <f>SUM(INDEX(Tabela1[[Snowboarding - Men''s Big Air]:[Snowboarding - Mixed Team Snowboard Cross]],MATCH(Table92[[#This Row],[Country]],Tabela1[Country], 0),0))</f>
        <v>14</v>
      </c>
      <c r="BN4" s="6">
        <f>SUM(INDEX(Tabela1[[Speed Skating - Men''s 500m]:[Speed Skating - Women''s Team Pursuit]],MATCH(Table92[[#This Row],[Country]],Tabela1[Country], 0),0))</f>
        <v>21</v>
      </c>
      <c r="BO4" s="6" t="str">
        <f>SUBSTITUTE(INDEX(Table92[[#Headers],[Archery Quotas]:[Speed Skating Quotas]], MATCH(MAX(Table92[[#This Row],[Archery Quotas]:[Speed Skating Quotas]]), Table92[[#This Row],[Archery Quotas]:[Speed Skating Quotas]], 0))," Quotas","")</f>
        <v>Athletics</v>
      </c>
      <c r="BP4" s="6">
        <f>SUM(Table92[[#This Row],[Summer Sports]:[Winter Sports]])</f>
        <v>49</v>
      </c>
      <c r="BQ4" s="6">
        <f>COUNTIF(Table92[[#This Row],[Archery Quotas]:[Wrestling Quotas]],"&lt;&gt;0")</f>
        <v>39</v>
      </c>
      <c r="BR4" s="6">
        <f>COUNTIF(Table92[[#This Row],[Alpine Skiing Quotas]:[Speed Skating Quotas]],"&lt;&gt;0")</f>
        <v>10</v>
      </c>
      <c r="BS4" s="3" t="s">
        <v>429</v>
      </c>
    </row>
    <row r="5" spans="1:71" x14ac:dyDescent="0.3">
      <c r="A5" s="6" t="s">
        <v>356</v>
      </c>
      <c r="B5" t="e" vm="4">
        <f>IF(ISBLANK(Table92[[#This Row],[Flag Link]]), "", _xlfn.IMAGE(Table92[[#This Row],[Flag Link]],1,1))</f>
        <v>#VALUE!</v>
      </c>
      <c r="C5" s="6">
        <f>SUM(Table92[[#This Row],[Archery Quotas]:[Speed Skating Quotas]])</f>
        <v>227</v>
      </c>
      <c r="D5" s="6">
        <f>SUM(INDEX(Tabela1[[Archery - Men''s Individual Recurve]:[Archery - Mixed Team Recurve]],MATCH(Table92[[#This Row],[Country]],Tabela1[Country], 0),0))</f>
        <v>2</v>
      </c>
      <c r="E5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3</v>
      </c>
      <c r="F5" s="6">
        <f>SUM(INDEX(Tabela1[[Artistic Swimming - Women''s Duet]:[Artistic Swimming - Women''s Team]],MATCH(Table92[[#This Row],[Country]],Tabela1[Country], 0),0))</f>
        <v>1</v>
      </c>
      <c r="G5" s="6">
        <f>SUM(INDEX(Tabela1[[Athletics - Men''s 100m]:[Athletics - Women''s Heptathlon]],MATCH(Table92[[#This Row],[Country]],Tabela1[Country], 0),0))</f>
        <v>15</v>
      </c>
      <c r="H5" s="6">
        <f>SUM(INDEX(Tabela1[[Badminton - Men''s Singles]:[Badminton - Mixed Doubles]],MATCH(Table92[[#This Row],[Country]],Tabela1[Country], 0),0))</f>
        <v>0</v>
      </c>
      <c r="I5" s="6">
        <f>SUM(INDEX(Tabela1[[Basketball - Men''s Tournament]:[Basketball - Women''s Tournament]],MATCH(Table92[[#This Row],[Country]],Tabela1[Country], 0),0))</f>
        <v>0</v>
      </c>
      <c r="J5" s="6">
        <f>SUM(INDEX(Tabela1[[3x3 Basketball - Men''s Tournament]:[3x3 Basketball - Women''s Tournament]],MATCH(Table92[[#This Row],[Country]],Tabela1[Country], 0),0))</f>
        <v>0</v>
      </c>
      <c r="K5" s="6">
        <f>SUM(INDEX(Tabela1[[Beach Volleyball - Men''s Tournament]:[Beach Volleyball - Women''s Tournament]],MATCH(Table92[[#This Row],[Country]],Tabela1[Country], 0),0))</f>
        <v>2</v>
      </c>
      <c r="L5" s="6">
        <f>SUM(INDEX(Tabela1[[Boxing - Men''s 51kg]:[Boxing - Women''s 75kg]],MATCH(Table92[[#This Row],[Country]],Tabela1[Country], 0),0))</f>
        <v>2</v>
      </c>
      <c r="M5" s="6">
        <f>SUM(INDEX(Tabela1[[Breaking - Men''s Individual]:[Breaking - Women''s Individual]],MATCH(Table92[[#This Row],[Country]],Tabela1[Country], 0),0))</f>
        <v>0</v>
      </c>
      <c r="N5" s="6">
        <f>SUM(INDEX(Tabela1[[Canoeing - Men''s C1 Slalom]:[Canoeing - Women''s Kayak Cross Slalom]],MATCH(Table92[[#This Row],[Country]],Tabela1[Country], 0),0))</f>
        <v>3</v>
      </c>
      <c r="O5" s="6">
        <f>SUM(INDEX(Tabela1[[Canoeing - Women''s C1 200m]:[Canoeing - Women''s K4 500m]],MATCH(Table92[[#This Row],[Country]],Tabela1[Country], 0),0))</f>
        <v>0</v>
      </c>
      <c r="P5" s="6">
        <f>SUM(INDEX(Tabela1[[Cycling - Men''s BMX Freestyle]:[Cycling - Women''s BMX Freestyle]],MATCH(Table92[[#This Row],[Country]],Tabela1[Country], 0),0))</f>
        <v>0</v>
      </c>
      <c r="Q5" s="6">
        <f>SUM(INDEX(Tabela1[[Cycling - Men''s BMX Racing]:[Cycling - Women''s BMX Racing]],MATCH(Table92[[#This Row],[Country]],Tabela1[Country], 0),0))</f>
        <v>1</v>
      </c>
      <c r="R5" s="6">
        <f>SUM(INDEX(Tabela1[[Cycling - Men''s Cross-Country]:[Cycling - Women''s Cross-Country]],MATCH(Table92[[#This Row],[Country]],Tabela1[Country], 0),0))</f>
        <v>1</v>
      </c>
      <c r="S5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2</v>
      </c>
      <c r="T5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5</v>
      </c>
      <c r="U5" s="6">
        <f>SUM(INDEX(Tabela1[[Diving - Men''s Springboard]:[Diving - Women''s Synchronized Platform]],MATCH(Table92[[#This Row],[Country]],Tabela1[Country], 0),0))</f>
        <v>2</v>
      </c>
      <c r="V5" s="6">
        <f>SUM(INDEX(Tabela1[[Equestrian - Individual Dressage]:[Equestrian - Team Dressage]],MATCH(Table92[[#This Row],[Country]],Tabela1[Country], 0),0))</f>
        <v>0</v>
      </c>
      <c r="W5" s="6">
        <f>SUM(INDEX(Tabela1[[Equestrian - Individual Eventing]:[Equestrian - Team Eventing]],MATCH(Table92[[#This Row],[Country]],Tabela1[Country], 0),0))</f>
        <v>2</v>
      </c>
      <c r="X5" s="6">
        <f>SUM(INDEX(Tabela1[[Equestrian - Individual Jumping]:[Equestrian - Team Jumping]],MATCH(Table92[[#This Row],[Country]],Tabela1[Country], 0),0))</f>
        <v>0</v>
      </c>
      <c r="Y5" s="6">
        <f>SUM(INDEX(Tabela1[[Fencing - Men''s Épée]:[Fencing - Women''s Team Sabre]],MATCH(Table92[[#This Row],[Country]],Tabela1[Country], 0),0))</f>
        <v>10</v>
      </c>
      <c r="Z5" s="6">
        <f>SUM(INDEX(Tabela1[[Field Hockey - Men''s Tournament]:[Field Hockey - Women''s Tournament]],MATCH(Table92[[#This Row],[Country]],Tabela1[Country], 0),0))</f>
        <v>0</v>
      </c>
      <c r="AA5" s="6">
        <f>SUM(INDEX(Tabela1[[Football - Men''s Tournament]:[Football - Women''s Tournament]],MATCH(Table92[[#This Row],[Country]],Tabela1[Country], 0),0))</f>
        <v>0</v>
      </c>
      <c r="AB5" s="6">
        <f>SUM(INDEX(Tabela1[[Golf - Men''s Individual]:[Golf - Women''s Individual]],MATCH(Table92[[#This Row],[Country]],Tabela1[Country], 0),0))</f>
        <v>2</v>
      </c>
      <c r="AC5" s="6">
        <f>SUM(INDEX(Tabela1[[Handball - Men''s Tournament]:[Handball - Women''s Tournament]],MATCH(Table92[[#This Row],[Country]],Tabela1[Country], 0),0))</f>
        <v>0</v>
      </c>
      <c r="AD5" s="6">
        <f>SUM(INDEX(Tabela1[[Judo - Men''s 60kg]:[Judo - Mixed Team]],MATCH(Table92[[#This Row],[Country]],Tabela1[Country], 0),0))</f>
        <v>3</v>
      </c>
      <c r="AE5" s="6">
        <f>SUM(INDEX(Tabela1[[Swimming - Men''s 10km Open Water]:[Swimming - Women''s 10km Open Water]],MATCH(Table92[[#This Row],[Country]],Tabela1[Country], 0),0))</f>
        <v>0</v>
      </c>
      <c r="AF5" s="6">
        <f>SUM(INDEX(Tabela1[[Modern Pentathlon - Men''s Individual]:[Modern Pentathlon - Women''s Individual]],MATCH(Table92[[#This Row],[Country]],Tabela1[Country], 0),0))</f>
        <v>0</v>
      </c>
      <c r="AG5" s="6">
        <f>SUM(INDEX(Tabela1[[Rhythmic Gymnastics - Women''s Individual All-Around]:[Rhythmic Gymnastics - Women''s Group All-Around]],MATCH(Table92[[#This Row],[Country]],Tabela1[Country], 0),0))</f>
        <v>2</v>
      </c>
      <c r="AH5" s="6">
        <f>SUM(INDEX(Tabela1[[Rowing - Men''s Single Sculls]:[Rowing - Women''s Lwt. Double Sculls]],MATCH(Table92[[#This Row],[Country]],Tabela1[Country], 0),0))</f>
        <v>8</v>
      </c>
      <c r="AI5" s="6">
        <f>SUM(INDEX(Tabela1[[Rugby Sevens - Men''s Tournament]:[Rugby Sevens - Women''s Tournament]],MATCH(Table92[[#This Row],[Country]],Tabela1[Country], 0),0))</f>
        <v>0</v>
      </c>
      <c r="AJ5" s="6">
        <f>SUM(INDEX(Tabela1[[Sailing - Mixed 470]:[Sailing - Mixed Nacra 17]],MATCH(Table92[[#This Row],[Country]],Tabela1[Country], 0),0))</f>
        <v>2</v>
      </c>
      <c r="AK5" s="6">
        <f>SUM(INDEX(Tabela1[[Shooting - Men''s 10m Air Pistol]:[Shooting - Women''s Trap]],MATCH(Table92[[#This Row],[Country]],Tabela1[Country], 0),0))</f>
        <v>9</v>
      </c>
      <c r="AL5" s="6">
        <f>SUM(INDEX(Tabela1[[Skateboarding - Men''s Park]:[Skateboarding - Women''s Street]],MATCH(Table92[[#This Row],[Country]],Tabela1[Country], 0),0))</f>
        <v>1</v>
      </c>
      <c r="AM5" s="6">
        <f>SUM(INDEX(Tabela1[[Sport Climbing - Men''s Boulder and Lead]:[Sport Climbing - Women''s Speed]],MATCH(Table92[[#This Row],[Country]],Tabela1[Country], 0),0))</f>
        <v>1</v>
      </c>
      <c r="AN5" s="6">
        <f>SUM(INDEX(Tabela1[[Surfing - Men''s Shortboard]:[Surfing - Women''s Shortboard]],MATCH(Table92[[#This Row],[Country]],Tabela1[Country], 0),0))</f>
        <v>0</v>
      </c>
      <c r="AO5" s="6">
        <f>SUM(INDEX(Tabela1[[Swimming - Men''s 50m Freestyle]:[Swimming - Mixed 4x100m Medley Relay]],MATCH(Table92[[#This Row],[Country]],Tabela1[Country], 0),0))</f>
        <v>12</v>
      </c>
      <c r="AP5" s="6">
        <f>SUM(INDEX(Tabela1[[Table Tennis - Men''s Singles]:[Table Tennis - Mixed Doubles]],MATCH(Table92[[#This Row],[Country]],Tabela1[Country], 0),0))</f>
        <v>2</v>
      </c>
      <c r="AQ5" s="6">
        <f>SUM(INDEX(Tabela1[[Taekwondo - Men''s 58kg]:[Taekwondo - Women''s +67kg]],MATCH(Table92[[#This Row],[Country]],Tabela1[Country], 0),0))</f>
        <v>1</v>
      </c>
      <c r="AR5" s="6">
        <f>SUM(INDEX(Tabela1[[Tennis - Men''s Singles]:[Tennis - Mixed Doubles]],MATCH(Table92[[#This Row],[Country]],Tabela1[Country], 0),0))</f>
        <v>7</v>
      </c>
      <c r="AS5" s="6">
        <f>SUM(INDEX(Tabela1[[Gymnastics - Men''s Trampoline]:[Gymnastics - Women''s Trampoline]],MATCH(Table92[[#This Row],[Country]],Tabela1[Country], 0),0))</f>
        <v>0</v>
      </c>
      <c r="AT5" s="6">
        <f>SUM(INDEX(Tabela1[[Triathlon - Men''s Individual]:[Triathlon - Mixed Relay]],MATCH(Table92[[#This Row],[Country]],Tabela1[Country], 0),0))</f>
        <v>3</v>
      </c>
      <c r="AU5" s="6">
        <f>SUM(INDEX(Tabela1[[Volleyball - Men''s Tournament]:[Volleyball - Women''s Tournament]],MATCH(Table92[[#This Row],[Country]],Tabela1[Country], 0),0))</f>
        <v>2</v>
      </c>
      <c r="AV5" s="6">
        <f>SUM(INDEX(Tabela1[[Water Polo - Men''s Tournament]:[Water Polo - Women''s Tournament]],MATCH(Table92[[#This Row],[Country]],Tabela1[Country], 0),0))</f>
        <v>2</v>
      </c>
      <c r="AW5" s="6">
        <f>SUM(INDEX(Tabela1[[Weightlifting - Men''s 61kg]:[Weightlifting - Women''s +81kg]],MATCH(Table92[[#This Row],[Country]],Tabela1[Country], 0),0))</f>
        <v>0</v>
      </c>
      <c r="AX5" s="6">
        <f>SUM(INDEX(Tabela1[[Wrestling - Men''s Freestyle 57kg]:[Wrestling - Women''s Freestyle 76kg]],MATCH(Table92[[#This Row],[Country]],Tabela1[Country], 0),0))</f>
        <v>0</v>
      </c>
      <c r="AY5" s="6">
        <f>SUM(INDEX(Tabela1[[Alpine Skiing - Men''s Downhill]:[Alpine Skiing - Women''s Team Combined]],MATCH(Table92[[#This Row],[Country]],Tabela1[Country], 0),0))</f>
        <v>21</v>
      </c>
      <c r="AZ5" s="6">
        <f>SUM(INDEX(Tabela1[[Biathlon - Men''s Individual]:[Biathlon - Mixed Relay]],MATCH(Table92[[#This Row],[Country]],Tabela1[Country], 0),0))</f>
        <v>24</v>
      </c>
      <c r="BA5" s="6">
        <f>SUM(INDEX(Tabela1[[Bobsleigh - Women''s Monobob]:[Bobsleigh - Men''s Four]],MATCH(Table92[[#This Row],[Country]],Tabela1[Country], 0),0))</f>
        <v>5</v>
      </c>
      <c r="BB5" s="6">
        <f>SUM(INDEX(Tabela1[[Cross-country skiing - Men''s Classical]:[Cross-country skiing - Women''s Team Sprint]],MATCH(Table92[[#This Row],[Country]],Tabela1[Country], 0),0))</f>
        <v>10</v>
      </c>
      <c r="BC5" s="6">
        <f>SUM(INDEX(Tabela1[[Curling - Men''s Tournament]:[Curling - Mixed Doubles]],MATCH(Table92[[#This Row],[Country]],Tabela1[Country], 0),0))</f>
        <v>1</v>
      </c>
      <c r="BD5" s="6">
        <f>SUM(INDEX(Tabela1[[Figure Skating - Men''s Singles]:[Figure Skating - Team Event]],MATCH(Table92[[#This Row],[Country]],Tabela1[Country], 0),0))</f>
        <v>3</v>
      </c>
      <c r="BE5" s="6">
        <f>SUM(INDEX(Tabela1[[Freestyle Skiing - Men''s Aerials]:[Freestyle Skiing - Women''s Slopestyle]],MATCH(Table92[[#This Row],[Country]],Tabela1[Country], 0),0))</f>
        <v>3</v>
      </c>
      <c r="BF5" s="6">
        <f>SUM(INDEX(Tabela1[[Ice Hockey - Men''s Tournament]:[Ice Hockey - Women''s Tournament]],MATCH(Table92[[#This Row],[Country]],Tabela1[Country], 0),0))</f>
        <v>2</v>
      </c>
      <c r="BG5" s="6">
        <f>SUM(INDEX(Tabela1[[Luge - Men''s Singles]:[Luge - Mixed Team Relay]],MATCH(Table92[[#This Row],[Country]],Tabela1[Country], 0),0))</f>
        <v>9</v>
      </c>
      <c r="BH5" s="6">
        <f>SUM(INDEX(Tabela1[[Nordic Combined - Men''s Individual]:[Nordic Combined - Men''s Team Sprint Large Hill]],MATCH(Table92[[#This Row],[Country]],Tabela1[Country], 0),0))</f>
        <v>7</v>
      </c>
      <c r="BI5" s="6">
        <f>SUM(INDEX(Tabela1[[Short track speed skating - Men''s 500m]:[Short track speed skating - Mixed 2000m Relay]],MATCH(Table92[[#This Row],[Country]],Tabela1[Country], 0),0))</f>
        <v>11</v>
      </c>
      <c r="BJ5" s="6">
        <f>SUM(INDEX(Tabela1[[Skeleton - Men''s Individual]:[Skeleton - Mixed Team]],MATCH(Table92[[#This Row],[Country]],Tabela1[Country], 0),0))</f>
        <v>0</v>
      </c>
      <c r="BK5" s="6">
        <f>SUM(INDEX(Tabela1[[Ski Jumping - Men''s Individual Large Hill]:[Ski Jumping - Mixed Team Normal Hill]],MATCH(Table92[[#This Row],[Country]],Tabela1[Country], 0),0))</f>
        <v>10</v>
      </c>
      <c r="BL5" s="6">
        <f>SUM(INDEX(Tabela1[[Ski Mountaineering - Men''s Sprint]:[Ski Mountaineering - Mixed Relay]],MATCH(Table92[[#This Row],[Country]],Tabela1[Country], 0),0))</f>
        <v>4</v>
      </c>
      <c r="BM5" s="6">
        <f>SUM(INDEX(Tabela1[[Snowboarding - Men''s Big Air]:[Snowboarding - Mixed Team Snowboard Cross]],MATCH(Table92[[#This Row],[Country]],Tabela1[Country], 0),0))</f>
        <v>7</v>
      </c>
      <c r="BN5" s="6">
        <f>SUM(INDEX(Tabela1[[Speed Skating - Men''s 500m]:[Speed Skating - Women''s Team Pursuit]],MATCH(Table92[[#This Row],[Country]],Tabela1[Country], 0),0))</f>
        <v>2</v>
      </c>
      <c r="BO5" s="6" t="str">
        <f>SUBSTITUTE(INDEX(Table92[[#Headers],[Archery Quotas]:[Speed Skating Quotas]], MATCH(MAX(Table92[[#This Row],[Archery Quotas]:[Speed Skating Quotas]]), Table92[[#This Row],[Archery Quotas]:[Speed Skating Quotas]], 0))," Quotas","")</f>
        <v>Biathlon</v>
      </c>
      <c r="BP5" s="6">
        <f>SUM(Table92[[#This Row],[Summer Sports]:[Winter Sports]])</f>
        <v>44</v>
      </c>
      <c r="BQ5" s="6">
        <f>COUNTIF(Table92[[#This Row],[Archery Quotas]:[Wrestling Quotas]],"&lt;&gt;0")</f>
        <v>29</v>
      </c>
      <c r="BR5" s="6">
        <f>COUNTIF(Table92[[#This Row],[Alpine Skiing Quotas]:[Speed Skating Quotas]],"&lt;&gt;0")</f>
        <v>15</v>
      </c>
      <c r="BS5" s="3" t="s">
        <v>357</v>
      </c>
    </row>
    <row r="6" spans="1:71" x14ac:dyDescent="0.3">
      <c r="A6" s="6" t="s">
        <v>354</v>
      </c>
      <c r="B6" t="e" vm="5">
        <f>IF(ISBLANK(Table92[[#This Row],[Flag Link]]), "", _xlfn.IMAGE(Table92[[#This Row],[Flag Link]],1,1))</f>
        <v>#VALUE!</v>
      </c>
      <c r="C6" s="6">
        <f>SUM(Table92[[#This Row],[Archery Quotas]:[Speed Skating Quotas]])</f>
        <v>222</v>
      </c>
      <c r="D6" s="6">
        <f>SUM(INDEX(Tabela1[[Archery - Men''s Individual Recurve]:[Archery - Mixed Team Recurve]],MATCH(Table92[[#This Row],[Country]],Tabela1[Country], 0),0))</f>
        <v>2</v>
      </c>
      <c r="E6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16</v>
      </c>
      <c r="F6" s="6">
        <f>SUM(INDEX(Tabela1[[Artistic Swimming - Women''s Duet]:[Artistic Swimming - Women''s Team]],MATCH(Table92[[#This Row],[Country]],Tabela1[Country], 0),0))</f>
        <v>2</v>
      </c>
      <c r="G6" s="6">
        <f>SUM(INDEX(Tabela1[[Athletics - Men''s 100m]:[Athletics - Women''s Heptathlon]],MATCH(Table92[[#This Row],[Country]],Tabela1[Country], 0),0))</f>
        <v>32</v>
      </c>
      <c r="H6" s="6">
        <f>SUM(INDEX(Tabela1[[Badminton - Men''s Singles]:[Badminton - Mixed Doubles]],MATCH(Table92[[#This Row],[Country]],Tabela1[Country], 0),0))</f>
        <v>1</v>
      </c>
      <c r="I6" s="6">
        <f>SUM(INDEX(Tabela1[[Basketball - Men''s Tournament]:[Basketball - Women''s Tournament]],MATCH(Table92[[#This Row],[Country]],Tabela1[Country], 0),0))</f>
        <v>2</v>
      </c>
      <c r="J6" s="6">
        <f>SUM(INDEX(Tabela1[[3x3 Basketball - Men''s Tournament]:[3x3 Basketball - Women''s Tournament]],MATCH(Table92[[#This Row],[Country]],Tabela1[Country], 0),0))</f>
        <v>1</v>
      </c>
      <c r="K6" s="6">
        <f>SUM(INDEX(Tabela1[[Beach Volleyball - Men''s Tournament]:[Beach Volleyball - Women''s Tournament]],MATCH(Table92[[#This Row],[Country]],Tabela1[Country], 0),0))</f>
        <v>2</v>
      </c>
      <c r="L6" s="6">
        <f>SUM(INDEX(Tabela1[[Boxing - Men''s 51kg]:[Boxing - Women''s 75kg]],MATCH(Table92[[#This Row],[Country]],Tabela1[Country], 0),0))</f>
        <v>6</v>
      </c>
      <c r="M6" s="6">
        <f>SUM(INDEX(Tabela1[[Breaking - Men''s Individual]:[Breaking - Women''s Individual]],MATCH(Table92[[#This Row],[Country]],Tabela1[Country], 0),0))</f>
        <v>1</v>
      </c>
      <c r="N6" s="6">
        <f>SUM(INDEX(Tabela1[[Canoeing - Men''s C1 Slalom]:[Canoeing - Women''s Kayak Cross Slalom]],MATCH(Table92[[#This Row],[Country]],Tabela1[Country], 0),0))</f>
        <v>4</v>
      </c>
      <c r="O6" s="6">
        <f>SUM(INDEX(Tabela1[[Canoeing - Women''s C1 200m]:[Canoeing - Women''s K4 500m]],MATCH(Table92[[#This Row],[Country]],Tabela1[Country], 0),0))</f>
        <v>5</v>
      </c>
      <c r="P6" s="6">
        <f>SUM(INDEX(Tabela1[[Cycling - Men''s BMX Freestyle]:[Cycling - Women''s BMX Freestyle]],MATCH(Table92[[#This Row],[Country]],Tabela1[Country], 0),0))</f>
        <v>0</v>
      </c>
      <c r="Q6" s="6">
        <f>SUM(INDEX(Tabela1[[Cycling - Men''s BMX Racing]:[Cycling - Women''s BMX Racing]],MATCH(Table92[[#This Row],[Country]],Tabela1[Country], 0),0))</f>
        <v>1</v>
      </c>
      <c r="R6" s="6">
        <f>SUM(INDEX(Tabela1[[Cycling - Men''s Cross-Country]:[Cycling - Women''s Cross-Country]],MATCH(Table92[[#This Row],[Country]],Tabela1[Country], 0),0))</f>
        <v>0</v>
      </c>
      <c r="S6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1</v>
      </c>
      <c r="T6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12</v>
      </c>
      <c r="U6" s="6">
        <f>SUM(INDEX(Tabela1[[Diving - Men''s Springboard]:[Diving - Women''s Synchronized Platform]],MATCH(Table92[[#This Row],[Country]],Tabela1[Country], 0),0))</f>
        <v>5</v>
      </c>
      <c r="V6" s="6">
        <f>SUM(INDEX(Tabela1[[Equestrian - Individual Dressage]:[Equestrian - Team Dressage]],MATCH(Table92[[#This Row],[Country]],Tabela1[Country], 0),0))</f>
        <v>2</v>
      </c>
      <c r="W6" s="6">
        <f>SUM(INDEX(Tabela1[[Equestrian - Individual Eventing]:[Equestrian - Team Eventing]],MATCH(Table92[[#This Row],[Country]],Tabela1[Country], 0),0))</f>
        <v>2</v>
      </c>
      <c r="X6" s="6">
        <f>SUM(INDEX(Tabela1[[Equestrian - Individual Jumping]:[Equestrian - Team Jumping]],MATCH(Table92[[#This Row],[Country]],Tabela1[Country], 0),0))</f>
        <v>4</v>
      </c>
      <c r="Y6" s="6">
        <f>SUM(INDEX(Tabela1[[Fencing - Men''s Épée]:[Fencing - Women''s Team Sabre]],MATCH(Table92[[#This Row],[Country]],Tabela1[Country], 0),0))</f>
        <v>0</v>
      </c>
      <c r="Z6" s="6">
        <f>SUM(INDEX(Tabela1[[Field Hockey - Men''s Tournament]:[Field Hockey - Women''s Tournament]],MATCH(Table92[[#This Row],[Country]],Tabela1[Country], 0),0))</f>
        <v>2</v>
      </c>
      <c r="AA6" s="6">
        <f>SUM(INDEX(Tabela1[[Football - Men''s Tournament]:[Football - Women''s Tournament]],MATCH(Table92[[#This Row],[Country]],Tabela1[Country], 0),0))</f>
        <v>1</v>
      </c>
      <c r="AB6" s="6">
        <f>SUM(INDEX(Tabela1[[Golf - Men''s Individual]:[Golf - Women''s Individual]],MATCH(Table92[[#This Row],[Country]],Tabela1[Country], 0),0))</f>
        <v>3</v>
      </c>
      <c r="AC6" s="6">
        <f>SUM(INDEX(Tabela1[[Handball - Men''s Tournament]:[Handball - Women''s Tournament]],MATCH(Table92[[#This Row],[Country]],Tabela1[Country], 0),0))</f>
        <v>0</v>
      </c>
      <c r="AD6" s="6">
        <f>SUM(INDEX(Tabela1[[Judo - Men''s 60kg]:[Judo - Mixed Team]],MATCH(Table92[[#This Row],[Country]],Tabela1[Country], 0),0))</f>
        <v>1</v>
      </c>
      <c r="AE6" s="6">
        <f>SUM(INDEX(Tabela1[[Swimming - Men''s 10km Open Water]:[Swimming - Women''s 10km Open Water]],MATCH(Table92[[#This Row],[Country]],Tabela1[Country], 0),0))</f>
        <v>2</v>
      </c>
      <c r="AF6" s="6">
        <f>SUM(INDEX(Tabela1[[Modern Pentathlon - Men''s Individual]:[Modern Pentathlon - Women''s Individual]],MATCH(Table92[[#This Row],[Country]],Tabela1[Country], 0),0))</f>
        <v>1</v>
      </c>
      <c r="AG6" s="6">
        <f>SUM(INDEX(Tabela1[[Rhythmic Gymnastics - Women''s Individual All-Around]:[Rhythmic Gymnastics - Women''s Group All-Around]],MATCH(Table92[[#This Row],[Country]],Tabela1[Country], 0),0))</f>
        <v>0</v>
      </c>
      <c r="AH6" s="6">
        <f>SUM(INDEX(Tabela1[[Rowing - Men''s Single Sculls]:[Rowing - Women''s Lwt. Double Sculls]],MATCH(Table92[[#This Row],[Country]],Tabela1[Country], 0),0))</f>
        <v>7</v>
      </c>
      <c r="AI6" s="6">
        <f>SUM(INDEX(Tabela1[[Rugby Sevens - Men''s Tournament]:[Rugby Sevens - Women''s Tournament]],MATCH(Table92[[#This Row],[Country]],Tabela1[Country], 0),0))</f>
        <v>2</v>
      </c>
      <c r="AJ6" s="6">
        <f>SUM(INDEX(Tabela1[[Sailing - Mixed 470]:[Sailing - Mixed Nacra 17]],MATCH(Table92[[#This Row],[Country]],Tabela1[Country], 0),0))</f>
        <v>6</v>
      </c>
      <c r="AK6" s="6">
        <f>SUM(INDEX(Tabela1[[Shooting - Men''s 10m Air Pistol]:[Shooting - Women''s Trap]],MATCH(Table92[[#This Row],[Country]],Tabela1[Country], 0),0))</f>
        <v>6</v>
      </c>
      <c r="AL6" s="6">
        <f>SUM(INDEX(Tabela1[[Skateboarding - Men''s Park]:[Skateboarding - Women''s Street]],MATCH(Table92[[#This Row],[Country]],Tabela1[Country], 0),0))</f>
        <v>4</v>
      </c>
      <c r="AM6" s="6">
        <f>SUM(INDEX(Tabela1[[Sport Climbing - Men''s Boulder and Lead]:[Sport Climbing - Women''s Speed]],MATCH(Table92[[#This Row],[Country]],Tabela1[Country], 0),0))</f>
        <v>0</v>
      </c>
      <c r="AN6" s="6">
        <f>SUM(INDEX(Tabela1[[Surfing - Men''s Shortboard]:[Surfing - Women''s Shortboard]],MATCH(Table92[[#This Row],[Country]],Tabela1[Country], 0),0))</f>
        <v>3</v>
      </c>
      <c r="AO6" s="6">
        <f>SUM(INDEX(Tabela1[[Swimming - Men''s 50m Freestyle]:[Swimming - Mixed 4x100m Medley Relay]],MATCH(Table92[[#This Row],[Country]],Tabela1[Country], 0),0))</f>
        <v>21</v>
      </c>
      <c r="AP6" s="6">
        <f>SUM(INDEX(Tabela1[[Table Tennis - Men''s Singles]:[Table Tennis - Mixed Doubles]],MATCH(Table92[[#This Row],[Country]],Tabela1[Country], 0),0))</f>
        <v>2</v>
      </c>
      <c r="AQ6" s="6">
        <f>SUM(INDEX(Tabela1[[Taekwondo - Men''s 58kg]:[Taekwondo - Women''s +67kg]],MATCH(Table92[[#This Row],[Country]],Tabela1[Country], 0),0))</f>
        <v>0</v>
      </c>
      <c r="AR6" s="6">
        <f>SUM(INDEX(Tabela1[[Tennis - Men''s Singles]:[Tennis - Mixed Doubles]],MATCH(Table92[[#This Row],[Country]],Tabela1[Country], 0),0))</f>
        <v>7</v>
      </c>
      <c r="AS6" s="6">
        <f>SUM(INDEX(Tabela1[[Gymnastics - Men''s Trampoline]:[Gymnastics - Women''s Trampoline]],MATCH(Table92[[#This Row],[Country]],Tabela1[Country], 0),0))</f>
        <v>0</v>
      </c>
      <c r="AT6" s="6">
        <f>SUM(INDEX(Tabela1[[Triathlon - Men''s Individual]:[Triathlon - Mixed Relay]],MATCH(Table92[[#This Row],[Country]],Tabela1[Country], 0),0))</f>
        <v>3</v>
      </c>
      <c r="AU6" s="6">
        <f>SUM(INDEX(Tabela1[[Volleyball - Men''s Tournament]:[Volleyball - Women''s Tournament]],MATCH(Table92[[#This Row],[Country]],Tabela1[Country], 0),0))</f>
        <v>0</v>
      </c>
      <c r="AV6" s="6">
        <f>SUM(INDEX(Tabela1[[Water Polo - Men''s Tournament]:[Water Polo - Women''s Tournament]],MATCH(Table92[[#This Row],[Country]],Tabela1[Country], 0),0))</f>
        <v>2</v>
      </c>
      <c r="AW6" s="6">
        <f>SUM(INDEX(Tabela1[[Weightlifting - Men''s 61kg]:[Weightlifting - Women''s +81kg]],MATCH(Table92[[#This Row],[Country]],Tabela1[Country], 0),0))</f>
        <v>3</v>
      </c>
      <c r="AX6" s="6">
        <f>SUM(INDEX(Tabela1[[Wrestling - Men''s Freestyle 57kg]:[Wrestling - Women''s Freestyle 76kg]],MATCH(Table92[[#This Row],[Country]],Tabela1[Country], 0),0))</f>
        <v>1</v>
      </c>
      <c r="AY6" s="6">
        <f>SUM(INDEX(Tabela1[[Alpine Skiing - Men''s Downhill]:[Alpine Skiing - Women''s Team Combined]],MATCH(Table92[[#This Row],[Country]],Tabela1[Country], 0),0))</f>
        <v>3</v>
      </c>
      <c r="AZ6" s="6">
        <f>SUM(INDEX(Tabela1[[Biathlon - Men''s Individual]:[Biathlon - Mixed Relay]],MATCH(Table92[[#This Row],[Country]],Tabela1[Country], 0),0))</f>
        <v>0</v>
      </c>
      <c r="BA6" s="6">
        <f>SUM(INDEX(Tabela1[[Bobsleigh - Women''s Monobob]:[Bobsleigh - Men''s Four]],MATCH(Table92[[#This Row],[Country]],Tabela1[Country], 0),0))</f>
        <v>1</v>
      </c>
      <c r="BB6" s="6">
        <f>SUM(INDEX(Tabela1[[Cross-country skiing - Men''s Classical]:[Cross-country skiing - Women''s Team Sprint]],MATCH(Table92[[#This Row],[Country]],Tabela1[Country], 0),0))</f>
        <v>10</v>
      </c>
      <c r="BC6" s="6">
        <f>SUM(INDEX(Tabela1[[Curling - Men''s Tournament]:[Curling - Mixed Doubles]],MATCH(Table92[[#This Row],[Country]],Tabela1[Country], 0),0))</f>
        <v>0</v>
      </c>
      <c r="BD6" s="6">
        <f>SUM(INDEX(Tabela1[[Figure Skating - Men''s Singles]:[Figure Skating - Team Event]],MATCH(Table92[[#This Row],[Country]],Tabela1[Country], 0),0))</f>
        <v>1</v>
      </c>
      <c r="BE6" s="6">
        <f>SUM(INDEX(Tabela1[[Freestyle Skiing - Men''s Aerials]:[Freestyle Skiing - Women''s Slopestyle]],MATCH(Table92[[#This Row],[Country]],Tabela1[Country], 0),0))</f>
        <v>16</v>
      </c>
      <c r="BF6" s="6">
        <f>SUM(INDEX(Tabela1[[Ice Hockey - Men''s Tournament]:[Ice Hockey - Women''s Tournament]],MATCH(Table92[[#This Row],[Country]],Tabela1[Country], 0),0))</f>
        <v>0</v>
      </c>
      <c r="BG6" s="6">
        <f>SUM(INDEX(Tabela1[[Luge - Men''s Singles]:[Luge - Mixed Team Relay]],MATCH(Table92[[#This Row],[Country]],Tabela1[Country], 0),0))</f>
        <v>0</v>
      </c>
      <c r="BH6" s="6">
        <f>SUM(INDEX(Tabela1[[Nordic Combined - Men''s Individual]:[Nordic Combined - Men''s Team Sprint Large Hill]],MATCH(Table92[[#This Row],[Country]],Tabela1[Country], 0),0))</f>
        <v>0</v>
      </c>
      <c r="BI6" s="6">
        <f>SUM(INDEX(Tabela1[[Short track speed skating - Men''s 500m]:[Short track speed skating - Mixed 2000m Relay]],MATCH(Table92[[#This Row],[Country]],Tabela1[Country], 0),0))</f>
        <v>0</v>
      </c>
      <c r="BJ6" s="6">
        <f>SUM(INDEX(Tabela1[[Skeleton - Men''s Individual]:[Skeleton - Mixed Team]],MATCH(Table92[[#This Row],[Country]],Tabela1[Country], 0),0))</f>
        <v>1</v>
      </c>
      <c r="BK6" s="6">
        <f>SUM(INDEX(Tabela1[[Ski Jumping - Men''s Individual Large Hill]:[Ski Jumping - Mixed Team Normal Hill]],MATCH(Table92[[#This Row],[Country]],Tabela1[Country], 0),0))</f>
        <v>0</v>
      </c>
      <c r="BL6" s="6">
        <f>SUM(INDEX(Tabela1[[Ski Mountaineering - Men''s Sprint]:[Ski Mountaineering - Mixed Relay]],MATCH(Table92[[#This Row],[Country]],Tabela1[Country], 0),0))</f>
        <v>2</v>
      </c>
      <c r="BM6" s="6">
        <f>SUM(INDEX(Tabela1[[Snowboarding - Men''s Big Air]:[Snowboarding - Mixed Team Snowboard Cross]],MATCH(Table92[[#This Row],[Country]],Tabela1[Country], 0),0))</f>
        <v>10</v>
      </c>
      <c r="BN6" s="6">
        <f>SUM(INDEX(Tabela1[[Speed Skating - Men''s 500m]:[Speed Skating - Women''s Team Pursuit]],MATCH(Table92[[#This Row],[Country]],Tabela1[Country], 0),0))</f>
        <v>0</v>
      </c>
      <c r="BO6" s="6" t="str">
        <f>SUBSTITUTE(INDEX(Table92[[#Headers],[Archery Quotas]:[Speed Skating Quotas]], MATCH(MAX(Table92[[#This Row],[Archery Quotas]:[Speed Skating Quotas]]), Table92[[#This Row],[Archery Quotas]:[Speed Skating Quotas]], 0))," Quotas","")</f>
        <v>Athletics</v>
      </c>
      <c r="BP6" s="6">
        <f>SUM(Table92[[#This Row],[Summer Sports]:[Winter Sports]])</f>
        <v>46</v>
      </c>
      <c r="BQ6" s="6">
        <f>COUNTIF(Table92[[#This Row],[Archery Quotas]:[Wrestling Quotas]],"&lt;&gt;0")</f>
        <v>38</v>
      </c>
      <c r="BR6" s="6">
        <f>COUNTIF(Table92[[#This Row],[Alpine Skiing Quotas]:[Speed Skating Quotas]],"&lt;&gt;0")</f>
        <v>8</v>
      </c>
      <c r="BS6" s="3" t="s">
        <v>355</v>
      </c>
    </row>
    <row r="7" spans="1:71" x14ac:dyDescent="0.3">
      <c r="A7" s="6" t="s">
        <v>402</v>
      </c>
      <c r="B7" t="e" vm="6">
        <f>IF(ISBLANK(Table92[[#This Row],[Flag Link]]), "", _xlfn.IMAGE(Table92[[#This Row],[Flag Link]],1,1))</f>
        <v>#VALUE!</v>
      </c>
      <c r="C7" s="6">
        <f>SUM(Table92[[#This Row],[Archery Quotas]:[Speed Skating Quotas]])</f>
        <v>213</v>
      </c>
      <c r="D7" s="6">
        <f>SUM(INDEX(Tabela1[[Archery - Men''s Individual Recurve]:[Archery - Mixed Team Recurve]],MATCH(Table92[[#This Row],[Country]],Tabela1[Country], 0),0))</f>
        <v>6</v>
      </c>
      <c r="E7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20</v>
      </c>
      <c r="F7" s="6">
        <f>SUM(INDEX(Tabela1[[Artistic Swimming - Women''s Duet]:[Artistic Swimming - Women''s Team]],MATCH(Table92[[#This Row],[Country]],Tabela1[Country], 0),0))</f>
        <v>0</v>
      </c>
      <c r="G7" s="6">
        <f>SUM(INDEX(Tabela1[[Athletics - Men''s 100m]:[Athletics - Women''s Heptathlon]],MATCH(Table92[[#This Row],[Country]],Tabela1[Country], 0),0))</f>
        <v>35</v>
      </c>
      <c r="H7" s="6">
        <f>SUM(INDEX(Tabela1[[Badminton - Men''s Singles]:[Badminton - Mixed Doubles]],MATCH(Table92[[#This Row],[Country]],Tabela1[Country], 0),0))</f>
        <v>2</v>
      </c>
      <c r="I7" s="6">
        <f>SUM(INDEX(Tabela1[[Basketball - Men''s Tournament]:[Basketball - Women''s Tournament]],MATCH(Table92[[#This Row],[Country]],Tabela1[Country], 0),0))</f>
        <v>0</v>
      </c>
      <c r="J7" s="6">
        <f>SUM(INDEX(Tabela1[[3x3 Basketball - Men''s Tournament]:[3x3 Basketball - Women''s Tournament]],MATCH(Table92[[#This Row],[Country]],Tabela1[Country], 0),0))</f>
        <v>0</v>
      </c>
      <c r="K7" s="6">
        <f>SUM(INDEX(Tabela1[[Beach Volleyball - Men''s Tournament]:[Beach Volleyball - Women''s Tournament]],MATCH(Table92[[#This Row],[Country]],Tabela1[Country], 0),0))</f>
        <v>0</v>
      </c>
      <c r="L7" s="6">
        <f>SUM(INDEX(Tabela1[[Boxing - Men''s 51kg]:[Boxing - Women''s 75kg]],MATCH(Table92[[#This Row],[Country]],Tabela1[Country], 0),0))</f>
        <v>4</v>
      </c>
      <c r="M7" s="6">
        <f>SUM(INDEX(Tabela1[[Breaking - Men''s Individual]:[Breaking - Women''s Individual]],MATCH(Table92[[#This Row],[Country]],Tabela1[Country], 0),0))</f>
        <v>0</v>
      </c>
      <c r="N7" s="6">
        <f>SUM(INDEX(Tabela1[[Canoeing - Men''s C1 Slalom]:[Canoeing - Women''s Kayak Cross Slalom]],MATCH(Table92[[#This Row],[Country]],Tabela1[Country], 0),0))</f>
        <v>6</v>
      </c>
      <c r="O7" s="6">
        <f>SUM(INDEX(Tabela1[[Canoeing - Women''s C1 200m]:[Canoeing - Women''s K4 500m]],MATCH(Table92[[#This Row],[Country]],Tabela1[Country], 0),0))</f>
        <v>0</v>
      </c>
      <c r="P7" s="6">
        <f>SUM(INDEX(Tabela1[[Cycling - Men''s BMX Freestyle]:[Cycling - Women''s BMX Freestyle]],MATCH(Table92[[#This Row],[Country]],Tabela1[Country], 0),0))</f>
        <v>1</v>
      </c>
      <c r="Q7" s="6">
        <f>SUM(INDEX(Tabela1[[Cycling - Men''s BMX Racing]:[Cycling - Women''s BMX Racing]],MATCH(Table92[[#This Row],[Country]],Tabela1[Country], 0),0))</f>
        <v>2</v>
      </c>
      <c r="R7" s="6">
        <f>SUM(INDEX(Tabela1[[Cycling - Men''s Cross-Country]:[Cycling - Women''s Cross-Country]],MATCH(Table92[[#This Row],[Country]],Tabela1[Country], 0),0))</f>
        <v>3</v>
      </c>
      <c r="S7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6</v>
      </c>
      <c r="T7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6</v>
      </c>
      <c r="U7" s="6">
        <f>SUM(INDEX(Tabela1[[Diving - Men''s Springboard]:[Diving - Women''s Synchronized Platform]],MATCH(Table92[[#This Row],[Country]],Tabela1[Country], 0),0))</f>
        <v>8</v>
      </c>
      <c r="V7" s="6">
        <f>SUM(INDEX(Tabela1[[Equestrian - Individual Dressage]:[Equestrian - Team Dressage]],MATCH(Table92[[#This Row],[Country]],Tabela1[Country], 0),0))</f>
        <v>2</v>
      </c>
      <c r="W7" s="6">
        <f>SUM(INDEX(Tabela1[[Equestrian - Individual Eventing]:[Equestrian - Team Eventing]],MATCH(Table92[[#This Row],[Country]],Tabela1[Country], 0),0))</f>
        <v>2</v>
      </c>
      <c r="X7" s="6">
        <f>SUM(INDEX(Tabela1[[Equestrian - Individual Jumping]:[Equestrian - Team Jumping]],MATCH(Table92[[#This Row],[Country]],Tabela1[Country], 0),0))</f>
        <v>3</v>
      </c>
      <c r="Y7" s="6">
        <f>SUM(INDEX(Tabela1[[Fencing - Men''s Épée]:[Fencing - Women''s Team Sabre]],MATCH(Table92[[#This Row],[Country]],Tabela1[Country], 0),0))</f>
        <v>0</v>
      </c>
      <c r="Z7" s="6">
        <f>SUM(INDEX(Tabela1[[Field Hockey - Men''s Tournament]:[Field Hockey - Women''s Tournament]],MATCH(Table92[[#This Row],[Country]],Tabela1[Country], 0),0))</f>
        <v>2</v>
      </c>
      <c r="AA7" s="6">
        <f>SUM(INDEX(Tabela1[[Football - Men''s Tournament]:[Football - Women''s Tournament]],MATCH(Table92[[#This Row],[Country]],Tabela1[Country], 0),0))</f>
        <v>0</v>
      </c>
      <c r="AB7" s="6">
        <f>SUM(INDEX(Tabela1[[Golf - Men''s Individual]:[Golf - Women''s Individual]],MATCH(Table92[[#This Row],[Country]],Tabela1[Country], 0),0))</f>
        <v>1</v>
      </c>
      <c r="AC7" s="6">
        <f>SUM(INDEX(Tabela1[[Handball - Men''s Tournament]:[Handball - Women''s Tournament]],MATCH(Table92[[#This Row],[Country]],Tabela1[Country], 0),0))</f>
        <v>0</v>
      </c>
      <c r="AD7" s="6">
        <f>SUM(INDEX(Tabela1[[Judo - Men''s 60kg]:[Judo - Mixed Team]],MATCH(Table92[[#This Row],[Country]],Tabela1[Country], 0),0))</f>
        <v>2</v>
      </c>
      <c r="AE7" s="6">
        <f>SUM(INDEX(Tabela1[[Swimming - Men''s 10km Open Water]:[Swimming - Women''s 10km Open Water]],MATCH(Table92[[#This Row],[Country]],Tabela1[Country], 0),0))</f>
        <v>1</v>
      </c>
      <c r="AF7" s="6">
        <f>SUM(INDEX(Tabela1[[Modern Pentathlon - Men''s Individual]:[Modern Pentathlon - Women''s Individual]],MATCH(Table92[[#This Row],[Country]],Tabela1[Country], 0),0))</f>
        <v>2</v>
      </c>
      <c r="AG7" s="6">
        <f>SUM(INDEX(Tabela1[[Rhythmic Gymnastics - Women''s Individual All-Around]:[Rhythmic Gymnastics - Women''s Group All-Around]],MATCH(Table92[[#This Row],[Country]],Tabela1[Country], 0),0))</f>
        <v>0</v>
      </c>
      <c r="AH7" s="6">
        <f>SUM(INDEX(Tabela1[[Rowing - Men''s Single Sculls]:[Rowing - Women''s Lwt. Double Sculls]],MATCH(Table92[[#This Row],[Country]],Tabela1[Country], 0),0))</f>
        <v>8</v>
      </c>
      <c r="AI7" s="6">
        <f>SUM(INDEX(Tabela1[[Rugby Sevens - Men''s Tournament]:[Rugby Sevens - Women''s Tournament]],MATCH(Table92[[#This Row],[Country]],Tabela1[Country], 0),0))</f>
        <v>1</v>
      </c>
      <c r="AJ7" s="6">
        <f>SUM(INDEX(Tabela1[[Sailing - Mixed 470]:[Sailing - Mixed Nacra 17]],MATCH(Table92[[#This Row],[Country]],Tabela1[Country], 0),0))</f>
        <v>7</v>
      </c>
      <c r="AK7" s="6">
        <f>SUM(INDEX(Tabela1[[Shooting - Men''s 10m Air Pistol]:[Shooting - Women''s Trap]],MATCH(Table92[[#This Row],[Country]],Tabela1[Country], 0),0))</f>
        <v>7</v>
      </c>
      <c r="AL7" s="6">
        <f>SUM(INDEX(Tabela1[[Skateboarding - Men''s Park]:[Skateboarding - Women''s Street]],MATCH(Table92[[#This Row],[Country]],Tabela1[Country], 0),0))</f>
        <v>2</v>
      </c>
      <c r="AM7" s="6">
        <f>SUM(INDEX(Tabela1[[Sport Climbing - Men''s Boulder and Lead]:[Sport Climbing - Women''s Speed]],MATCH(Table92[[#This Row],[Country]],Tabela1[Country], 0),0))</f>
        <v>4</v>
      </c>
      <c r="AN7" s="6">
        <f>SUM(INDEX(Tabela1[[Surfing - Men''s Shortboard]:[Surfing - Women''s Shortboard]],MATCH(Table92[[#This Row],[Country]],Tabela1[Country], 0),0))</f>
        <v>0</v>
      </c>
      <c r="AO7" s="6">
        <f>SUM(INDEX(Tabela1[[Swimming - Men''s 50m Freestyle]:[Swimming - Mixed 4x100m Medley Relay]],MATCH(Table92[[#This Row],[Country]],Tabela1[Country], 0),0))</f>
        <v>26</v>
      </c>
      <c r="AP7" s="6">
        <f>SUM(INDEX(Tabela1[[Table Tennis - Men''s Singles]:[Table Tennis - Mixed Doubles]],MATCH(Table92[[#This Row],[Country]],Tabela1[Country], 0),0))</f>
        <v>1</v>
      </c>
      <c r="AQ7" s="6">
        <f>SUM(INDEX(Tabela1[[Taekwondo - Men''s 58kg]:[Taekwondo - Women''s +67kg]],MATCH(Table92[[#This Row],[Country]],Tabela1[Country], 0),0))</f>
        <v>1</v>
      </c>
      <c r="AR7" s="6">
        <f>SUM(INDEX(Tabela1[[Tennis - Men''s Singles]:[Tennis - Mixed Doubles]],MATCH(Table92[[#This Row],[Country]],Tabela1[Country], 0),0))</f>
        <v>5</v>
      </c>
      <c r="AS7" s="6">
        <f>SUM(INDEX(Tabela1[[Gymnastics - Men''s Trampoline]:[Gymnastics - Women''s Trampoline]],MATCH(Table92[[#This Row],[Country]],Tabela1[Country], 0),0))</f>
        <v>2</v>
      </c>
      <c r="AT7" s="6">
        <f>SUM(INDEX(Tabela1[[Triathlon - Men''s Individual]:[Triathlon - Mixed Relay]],MATCH(Table92[[#This Row],[Country]],Tabela1[Country], 0),0))</f>
        <v>5</v>
      </c>
      <c r="AU7" s="6">
        <f>SUM(INDEX(Tabela1[[Volleyball - Men''s Tournament]:[Volleyball - Women''s Tournament]],MATCH(Table92[[#This Row],[Country]],Tabela1[Country], 0),0))</f>
        <v>0</v>
      </c>
      <c r="AV7" s="6">
        <f>SUM(INDEX(Tabela1[[Water Polo - Men''s Tournament]:[Water Polo - Women''s Tournament]],MATCH(Table92[[#This Row],[Country]],Tabela1[Country], 0),0))</f>
        <v>0</v>
      </c>
      <c r="AW7" s="6">
        <f>SUM(INDEX(Tabela1[[Weightlifting - Men''s 61kg]:[Weightlifting - Women''s +81kg]],MATCH(Table92[[#This Row],[Country]],Tabela1[Country], 0),0))</f>
        <v>0</v>
      </c>
      <c r="AX7" s="6">
        <f>SUM(INDEX(Tabela1[[Wrestling - Men''s Freestyle 57kg]:[Wrestling - Women''s Freestyle 76kg]],MATCH(Table92[[#This Row],[Country]],Tabela1[Country], 0),0))</f>
        <v>0</v>
      </c>
      <c r="AY7" s="6">
        <f>SUM(INDEX(Tabela1[[Alpine Skiing - Men''s Downhill]:[Alpine Skiing - Women''s Team Combined]],MATCH(Table92[[#This Row],[Country]],Tabela1[Country], 0),0))</f>
        <v>1</v>
      </c>
      <c r="AZ7" s="6">
        <f>SUM(INDEX(Tabela1[[Biathlon - Men''s Individual]:[Biathlon - Mixed Relay]],MATCH(Table92[[#This Row],[Country]],Tabela1[Country], 0),0))</f>
        <v>2</v>
      </c>
      <c r="BA7" s="6">
        <f>SUM(INDEX(Tabela1[[Bobsleigh - Women''s Monobob]:[Bobsleigh - Men''s Four]],MATCH(Table92[[#This Row],[Country]],Tabela1[Country], 0),0))</f>
        <v>4</v>
      </c>
      <c r="BB7" s="6">
        <f>SUM(INDEX(Tabela1[[Cross-country skiing - Men''s Classical]:[Cross-country skiing - Women''s Team Sprint]],MATCH(Table92[[#This Row],[Country]],Tabela1[Country], 0),0))</f>
        <v>3</v>
      </c>
      <c r="BC7" s="6">
        <f>SUM(INDEX(Tabela1[[Curling - Men''s Tournament]:[Curling - Mixed Doubles]],MATCH(Table92[[#This Row],[Country]],Tabela1[Country], 0),0))</f>
        <v>3</v>
      </c>
      <c r="BD7" s="6">
        <f>SUM(INDEX(Tabela1[[Figure Skating - Men''s Singles]:[Figure Skating - Team Event]],MATCH(Table92[[#This Row],[Country]],Tabela1[Country], 0),0))</f>
        <v>3</v>
      </c>
      <c r="BE7" s="6">
        <f>SUM(INDEX(Tabela1[[Freestyle Skiing - Men''s Aerials]:[Freestyle Skiing - Women''s Slopestyle]],MATCH(Table92[[#This Row],[Country]],Tabela1[Country], 0),0))</f>
        <v>6</v>
      </c>
      <c r="BF7" s="6">
        <f>SUM(INDEX(Tabela1[[Ice Hockey - Men''s Tournament]:[Ice Hockey - Women''s Tournament]],MATCH(Table92[[#This Row],[Country]],Tabela1[Country], 0),0))</f>
        <v>0</v>
      </c>
      <c r="BG7" s="6">
        <f>SUM(INDEX(Tabela1[[Luge - Men''s Singles]:[Luge - Mixed Team Relay]],MATCH(Table92[[#This Row],[Country]],Tabela1[Country], 0),0))</f>
        <v>0</v>
      </c>
      <c r="BH7" s="6">
        <f>SUM(INDEX(Tabela1[[Nordic Combined - Men''s Individual]:[Nordic Combined - Men''s Team Sprint Large Hill]],MATCH(Table92[[#This Row],[Country]],Tabela1[Country], 0),0))</f>
        <v>0</v>
      </c>
      <c r="BI7" s="6">
        <f>SUM(INDEX(Tabela1[[Short track speed skating - Men''s 500m]:[Short track speed skating - Mixed 2000m Relay]],MATCH(Table92[[#This Row],[Country]],Tabela1[Country], 0),0))</f>
        <v>0</v>
      </c>
      <c r="BJ7" s="6">
        <f>SUM(INDEX(Tabela1[[Skeleton - Men''s Individual]:[Skeleton - Mixed Team]],MATCH(Table92[[#This Row],[Country]],Tabela1[Country], 0),0))</f>
        <v>4</v>
      </c>
      <c r="BK7" s="6">
        <f>SUM(INDEX(Tabela1[[Ski Jumping - Men''s Individual Large Hill]:[Ski Jumping - Mixed Team Normal Hill]],MATCH(Table92[[#This Row],[Country]],Tabela1[Country], 0),0))</f>
        <v>0</v>
      </c>
      <c r="BL7" s="6">
        <f>SUM(INDEX(Tabela1[[Ski Mountaineering - Men''s Sprint]:[Ski Mountaineering - Mixed Relay]],MATCH(Table92[[#This Row],[Country]],Tabela1[Country], 0),0))</f>
        <v>0</v>
      </c>
      <c r="BM7" s="6">
        <f>SUM(INDEX(Tabela1[[Snowboarding - Men''s Big Air]:[Snowboarding - Mixed Team Snowboard Cross]],MATCH(Table92[[#This Row],[Country]],Tabela1[Country], 0),0))</f>
        <v>4</v>
      </c>
      <c r="BN7" s="6">
        <f>SUM(INDEX(Tabela1[[Speed Skating - Men''s 500m]:[Speed Skating - Women''s Team Pursuit]],MATCH(Table92[[#This Row],[Country]],Tabela1[Country], 0),0))</f>
        <v>0</v>
      </c>
      <c r="BO7" s="6" t="str">
        <f>SUBSTITUTE(INDEX(Table92[[#Headers],[Archery Quotas]:[Speed Skating Quotas]], MATCH(MAX(Table92[[#This Row],[Archery Quotas]:[Speed Skating Quotas]]), Table92[[#This Row],[Archery Quotas]:[Speed Skating Quotas]], 0))," Quotas","")</f>
        <v>Athletics</v>
      </c>
      <c r="BP7" s="6">
        <f>SUM(Table92[[#This Row],[Summer Sports]:[Winter Sports]])</f>
        <v>41</v>
      </c>
      <c r="BQ7" s="6">
        <f>COUNTIF(Table92[[#This Row],[Archery Quotas]:[Wrestling Quotas]],"&lt;&gt;0")</f>
        <v>32</v>
      </c>
      <c r="BR7" s="6">
        <f>COUNTIF(Table92[[#This Row],[Alpine Skiing Quotas]:[Speed Skating Quotas]],"&lt;&gt;0")</f>
        <v>9</v>
      </c>
      <c r="BS7" s="3" t="s">
        <v>403</v>
      </c>
    </row>
    <row r="8" spans="1:71" x14ac:dyDescent="0.3">
      <c r="A8" s="6" t="s">
        <v>384</v>
      </c>
      <c r="B8" t="e" vm="7">
        <f>IF(ISBLANK(Table92[[#This Row],[Flag Link]]), "", _xlfn.IMAGE(Table92[[#This Row],[Flag Link]],1,1))</f>
        <v>#VALUE!</v>
      </c>
      <c r="C8" s="6">
        <f>SUM(Table92[[#This Row],[Archery Quotas]:[Speed Skating Quotas]])</f>
        <v>189</v>
      </c>
      <c r="D8" s="6">
        <f>SUM(INDEX(Tabela1[[Archery - Men''s Individual Recurve]:[Archery - Mixed Team Recurve]],MATCH(Table92[[#This Row],[Country]],Tabela1[Country], 0),0))</f>
        <v>0</v>
      </c>
      <c r="E8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5</v>
      </c>
      <c r="F8" s="6">
        <f>SUM(INDEX(Tabela1[[Artistic Swimming - Women''s Duet]:[Artistic Swimming - Women''s Team]],MATCH(Table92[[#This Row],[Country]],Tabela1[Country], 0),0))</f>
        <v>1</v>
      </c>
      <c r="G8" s="6">
        <f>SUM(INDEX(Tabela1[[Athletics - Men''s 100m]:[Athletics - Women''s Heptathlon]],MATCH(Table92[[#This Row],[Country]],Tabela1[Country], 0),0))</f>
        <v>17</v>
      </c>
      <c r="H8" s="6">
        <f>SUM(INDEX(Tabela1[[Badminton - Men''s Singles]:[Badminton - Mixed Doubles]],MATCH(Table92[[#This Row],[Country]],Tabela1[Country], 0),0))</f>
        <v>0</v>
      </c>
      <c r="I8" s="6">
        <f>SUM(INDEX(Tabela1[[Basketball - Men''s Tournament]:[Basketball - Women''s Tournament]],MATCH(Table92[[#This Row],[Country]],Tabela1[Country], 0),0))</f>
        <v>2</v>
      </c>
      <c r="J8" s="6">
        <f>SUM(INDEX(Tabela1[[3x3 Basketball - Men''s Tournament]:[3x3 Basketball - Women''s Tournament]],MATCH(Table92[[#This Row],[Country]],Tabela1[Country], 0),0))</f>
        <v>1</v>
      </c>
      <c r="K8" s="6">
        <f>SUM(INDEX(Tabela1[[Beach Volleyball - Men''s Tournament]:[Beach Volleyball - Women''s Tournament]],MATCH(Table92[[#This Row],[Country]],Tabela1[Country], 0),0))</f>
        <v>1</v>
      </c>
      <c r="L8" s="6">
        <f>SUM(INDEX(Tabela1[[Boxing - Men''s 51kg]:[Boxing - Women''s 75kg]],MATCH(Table92[[#This Row],[Country]],Tabela1[Country], 0),0))</f>
        <v>0</v>
      </c>
      <c r="M8" s="6">
        <f>SUM(INDEX(Tabela1[[Breaking - Men''s Individual]:[Breaking - Women''s Individual]],MATCH(Table92[[#This Row],[Country]],Tabela1[Country], 0),0))</f>
        <v>0</v>
      </c>
      <c r="N8" s="6">
        <f>SUM(INDEX(Tabela1[[Canoeing - Men''s C1 Slalom]:[Canoeing - Women''s Kayak Cross Slalom]],MATCH(Table92[[#This Row],[Country]],Tabela1[Country], 0),0))</f>
        <v>3</v>
      </c>
      <c r="O8" s="6">
        <f>SUM(INDEX(Tabela1[[Canoeing - Women''s C1 200m]:[Canoeing - Women''s K4 500m]],MATCH(Table92[[#This Row],[Country]],Tabela1[Country], 0),0))</f>
        <v>1</v>
      </c>
      <c r="P8" s="6">
        <f>SUM(INDEX(Tabela1[[Cycling - Men''s BMX Freestyle]:[Cycling - Women''s BMX Freestyle]],MATCH(Table92[[#This Row],[Country]],Tabela1[Country], 0),0))</f>
        <v>0</v>
      </c>
      <c r="Q8" s="6">
        <f>SUM(INDEX(Tabela1[[Cycling - Men''s BMX Racing]:[Cycling - Women''s BMX Racing]],MATCH(Table92[[#This Row],[Country]],Tabela1[Country], 0),0))</f>
        <v>1</v>
      </c>
      <c r="R8" s="6">
        <f>SUM(INDEX(Tabela1[[Cycling - Men''s Cross-Country]:[Cycling - Women''s Cross-Country]],MATCH(Table92[[#This Row],[Country]],Tabela1[Country], 0),0))</f>
        <v>0</v>
      </c>
      <c r="S8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1</v>
      </c>
      <c r="T8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4</v>
      </c>
      <c r="U8" s="6">
        <f>SUM(INDEX(Tabela1[[Diving - Men''s Springboard]:[Diving - Women''s Synchronized Platform]],MATCH(Table92[[#This Row],[Country]],Tabela1[Country], 0),0))</f>
        <v>5</v>
      </c>
      <c r="V8" s="6">
        <f>SUM(INDEX(Tabela1[[Equestrian - Individual Dressage]:[Equestrian - Team Dressage]],MATCH(Table92[[#This Row],[Country]],Tabela1[Country], 0),0))</f>
        <v>0</v>
      </c>
      <c r="W8" s="6">
        <f>SUM(INDEX(Tabela1[[Equestrian - Individual Eventing]:[Equestrian - Team Eventing]],MATCH(Table92[[#This Row],[Country]],Tabela1[Country], 0),0))</f>
        <v>0</v>
      </c>
      <c r="X8" s="6">
        <f>SUM(INDEX(Tabela1[[Equestrian - Individual Jumping]:[Equestrian - Team Jumping]],MATCH(Table92[[#This Row],[Country]],Tabela1[Country], 0),0))</f>
        <v>1</v>
      </c>
      <c r="Y8" s="6">
        <f>SUM(INDEX(Tabela1[[Fencing - Men''s Épée]:[Fencing - Women''s Team Sabre]],MATCH(Table92[[#This Row],[Country]],Tabela1[Country], 0),0))</f>
        <v>7</v>
      </c>
      <c r="Z8" s="6">
        <f>SUM(INDEX(Tabela1[[Field Hockey - Men''s Tournament]:[Field Hockey - Women''s Tournament]],MATCH(Table92[[#This Row],[Country]],Tabela1[Country], 0),0))</f>
        <v>0</v>
      </c>
      <c r="AA8" s="6">
        <f>SUM(INDEX(Tabela1[[Football - Men''s Tournament]:[Football - Women''s Tournament]],MATCH(Table92[[#This Row],[Country]],Tabela1[Country], 0),0))</f>
        <v>1</v>
      </c>
      <c r="AB8" s="6">
        <f>SUM(INDEX(Tabela1[[Golf - Men''s Individual]:[Golf - Women''s Individual]],MATCH(Table92[[#This Row],[Country]],Tabela1[Country], 0),0))</f>
        <v>0</v>
      </c>
      <c r="AC8" s="6">
        <f>SUM(INDEX(Tabela1[[Handball - Men''s Tournament]:[Handball - Women''s Tournament]],MATCH(Table92[[#This Row],[Country]],Tabela1[Country], 0),0))</f>
        <v>0</v>
      </c>
      <c r="AD8" s="6">
        <f>SUM(INDEX(Tabela1[[Judo - Men''s 60kg]:[Judo - Mixed Team]],MATCH(Table92[[#This Row],[Country]],Tabela1[Country], 0),0))</f>
        <v>0</v>
      </c>
      <c r="AE8" s="6">
        <f>SUM(INDEX(Tabela1[[Swimming - Men''s 10km Open Water]:[Swimming - Women''s 10km Open Water]],MATCH(Table92[[#This Row],[Country]],Tabela1[Country], 0),0))</f>
        <v>1</v>
      </c>
      <c r="AF8" s="6">
        <f>SUM(INDEX(Tabela1[[Modern Pentathlon - Men''s Individual]:[Modern Pentathlon - Women''s Individual]],MATCH(Table92[[#This Row],[Country]],Tabela1[Country], 0),0))</f>
        <v>0</v>
      </c>
      <c r="AG8" s="6">
        <f>SUM(INDEX(Tabela1[[Rhythmic Gymnastics - Women''s Individual All-Around]:[Rhythmic Gymnastics - Women''s Group All-Around]],MATCH(Table92[[#This Row],[Country]],Tabela1[Country], 0),0))</f>
        <v>0</v>
      </c>
      <c r="AH8" s="6">
        <f>SUM(INDEX(Tabela1[[Rowing - Men''s Single Sculls]:[Rowing - Women''s Lwt. Double Sculls]],MATCH(Table92[[#This Row],[Country]],Tabela1[Country], 0),0))</f>
        <v>1</v>
      </c>
      <c r="AI8" s="6">
        <f>SUM(INDEX(Tabela1[[Rugby Sevens - Men''s Tournament]:[Rugby Sevens - Women''s Tournament]],MATCH(Table92[[#This Row],[Country]],Tabela1[Country], 0),0))</f>
        <v>1</v>
      </c>
      <c r="AJ8" s="6">
        <f>SUM(INDEX(Tabela1[[Sailing - Mixed 470]:[Sailing - Mixed Nacra 17]],MATCH(Table92[[#This Row],[Country]],Tabela1[Country], 0),0))</f>
        <v>1</v>
      </c>
      <c r="AK8" s="6">
        <f>SUM(INDEX(Tabela1[[Shooting - Men''s 10m Air Pistol]:[Shooting - Women''s Trap]],MATCH(Table92[[#This Row],[Country]],Tabela1[Country], 0),0))</f>
        <v>2</v>
      </c>
      <c r="AL8" s="6">
        <f>SUM(INDEX(Tabela1[[Skateboarding - Men''s Park]:[Skateboarding - Women''s Street]],MATCH(Table92[[#This Row],[Country]],Tabela1[Country], 0),0))</f>
        <v>2</v>
      </c>
      <c r="AM8" s="6">
        <f>SUM(INDEX(Tabela1[[Sport Climbing - Men''s Boulder and Lead]:[Sport Climbing - Women''s Speed]],MATCH(Table92[[#This Row],[Country]],Tabela1[Country], 0),0))</f>
        <v>0</v>
      </c>
      <c r="AN8" s="6">
        <f>SUM(INDEX(Tabela1[[Surfing - Men''s Shortboard]:[Surfing - Women''s Shortboard]],MATCH(Table92[[#This Row],[Country]],Tabela1[Country], 0),0))</f>
        <v>1</v>
      </c>
      <c r="AO8" s="6">
        <f>SUM(INDEX(Tabela1[[Swimming - Men''s 50m Freestyle]:[Swimming - Mixed 4x100m Medley Relay]],MATCH(Table92[[#This Row],[Country]],Tabela1[Country], 0),0))</f>
        <v>17</v>
      </c>
      <c r="AP8" s="6">
        <f>SUM(INDEX(Tabela1[[Table Tennis - Men''s Singles]:[Table Tennis - Mixed Doubles]],MATCH(Table92[[#This Row],[Country]],Tabela1[Country], 0),0))</f>
        <v>3</v>
      </c>
      <c r="AQ8" s="6">
        <f>SUM(INDEX(Tabela1[[Taekwondo - Men''s 58kg]:[Taekwondo - Women''s +67kg]],MATCH(Table92[[#This Row],[Country]],Tabela1[Country], 0),0))</f>
        <v>1</v>
      </c>
      <c r="AR8" s="6">
        <f>SUM(INDEX(Tabela1[[Tennis - Men''s Singles]:[Tennis - Mixed Doubles]],MATCH(Table92[[#This Row],[Country]],Tabela1[Country], 0),0))</f>
        <v>0</v>
      </c>
      <c r="AS8" s="6">
        <f>SUM(INDEX(Tabela1[[Gymnastics - Men''s Trampoline]:[Gymnastics - Women''s Trampoline]],MATCH(Table92[[#This Row],[Country]],Tabela1[Country], 0),0))</f>
        <v>0</v>
      </c>
      <c r="AT8" s="6">
        <f>SUM(INDEX(Tabela1[[Triathlon - Men''s Individual]:[Triathlon - Mixed Relay]],MATCH(Table92[[#This Row],[Country]],Tabela1[Country], 0),0))</f>
        <v>0</v>
      </c>
      <c r="AU8" s="6">
        <f>SUM(INDEX(Tabela1[[Volleyball - Men''s Tournament]:[Volleyball - Women''s Tournament]],MATCH(Table92[[#This Row],[Country]],Tabela1[Country], 0),0))</f>
        <v>1</v>
      </c>
      <c r="AV8" s="6">
        <f>SUM(INDEX(Tabela1[[Water Polo - Men''s Tournament]:[Water Polo - Women''s Tournament]],MATCH(Table92[[#This Row],[Country]],Tabela1[Country], 0),0))</f>
        <v>1</v>
      </c>
      <c r="AW8" s="6">
        <f>SUM(INDEX(Tabela1[[Weightlifting - Men''s 61kg]:[Weightlifting - Women''s +81kg]],MATCH(Table92[[#This Row],[Country]],Tabela1[Country], 0),0))</f>
        <v>0</v>
      </c>
      <c r="AX8" s="6">
        <f>SUM(INDEX(Tabela1[[Wrestling - Men''s Freestyle 57kg]:[Wrestling - Women''s Freestyle 76kg]],MATCH(Table92[[#This Row],[Country]],Tabela1[Country], 0),0))</f>
        <v>3</v>
      </c>
      <c r="AY8" s="6">
        <f>SUM(INDEX(Tabela1[[Alpine Skiing - Men''s Downhill]:[Alpine Skiing - Women''s Team Combined]],MATCH(Table92[[#This Row],[Country]],Tabela1[Country], 0),0))</f>
        <v>13</v>
      </c>
      <c r="AZ8" s="6">
        <f>SUM(INDEX(Tabela1[[Biathlon - Men''s Individual]:[Biathlon - Mixed Relay]],MATCH(Table92[[#This Row],[Country]],Tabela1[Country], 0),0))</f>
        <v>17</v>
      </c>
      <c r="BA8" s="6">
        <f>SUM(INDEX(Tabela1[[Bobsleigh - Women''s Monobob]:[Bobsleigh - Men''s Four]],MATCH(Table92[[#This Row],[Country]],Tabela1[Country], 0),0))</f>
        <v>6</v>
      </c>
      <c r="BB8" s="6">
        <f>SUM(INDEX(Tabela1[[Cross-country skiing - Men''s Classical]:[Cross-country skiing - Women''s Team Sprint]],MATCH(Table92[[#This Row],[Country]],Tabela1[Country], 0),0))</f>
        <v>19</v>
      </c>
      <c r="BC8" s="6">
        <f>SUM(INDEX(Tabela1[[Curling - Men''s Tournament]:[Curling - Mixed Doubles]],MATCH(Table92[[#This Row],[Country]],Tabela1[Country], 0),0))</f>
        <v>3</v>
      </c>
      <c r="BD8" s="6">
        <f>SUM(INDEX(Tabela1[[Figure Skating - Men''s Singles]:[Figure Skating - Team Event]],MATCH(Table92[[#This Row],[Country]],Tabela1[Country], 0),0))</f>
        <v>0</v>
      </c>
      <c r="BE8" s="6">
        <f>SUM(INDEX(Tabela1[[Freestyle Skiing - Men''s Aerials]:[Freestyle Skiing - Women''s Slopestyle]],MATCH(Table92[[#This Row],[Country]],Tabela1[Country], 0),0))</f>
        <v>16</v>
      </c>
      <c r="BF8" s="6">
        <f>SUM(INDEX(Tabela1[[Ice Hockey - Men''s Tournament]:[Ice Hockey - Women''s Tournament]],MATCH(Table92[[#This Row],[Country]],Tabela1[Country], 0),0))</f>
        <v>2</v>
      </c>
      <c r="BG8" s="6">
        <f>SUM(INDEX(Tabela1[[Luge - Men''s Singles]:[Luge - Mixed Team Relay]],MATCH(Table92[[#This Row],[Country]],Tabela1[Country], 0),0))</f>
        <v>4</v>
      </c>
      <c r="BH8" s="6">
        <f>SUM(INDEX(Tabela1[[Nordic Combined - Men''s Individual]:[Nordic Combined - Men''s Team Sprint Large Hill]],MATCH(Table92[[#This Row],[Country]],Tabela1[Country], 0),0))</f>
        <v>0</v>
      </c>
      <c r="BI8" s="6">
        <f>SUM(INDEX(Tabela1[[Short track speed skating - Men''s 500m]:[Short track speed skating - Mixed 2000m Relay]],MATCH(Table92[[#This Row],[Country]],Tabela1[Country], 0),0))</f>
        <v>0</v>
      </c>
      <c r="BJ8" s="6">
        <f>SUM(INDEX(Tabela1[[Skeleton - Men''s Individual]:[Skeleton - Mixed Team]],MATCH(Table92[[#This Row],[Country]],Tabela1[Country], 0),0))</f>
        <v>3</v>
      </c>
      <c r="BK8" s="6">
        <f>SUM(INDEX(Tabela1[[Ski Jumping - Men''s Individual Large Hill]:[Ski Jumping - Mixed Team Normal Hill]],MATCH(Table92[[#This Row],[Country]],Tabela1[Country], 0),0))</f>
        <v>5</v>
      </c>
      <c r="BL8" s="6">
        <f>SUM(INDEX(Tabela1[[Ski Mountaineering - Men''s Sprint]:[Ski Mountaineering - Mixed Relay]],MATCH(Table92[[#This Row],[Country]],Tabela1[Country], 0),0))</f>
        <v>0</v>
      </c>
      <c r="BM8" s="6">
        <f>SUM(INDEX(Tabela1[[Snowboarding - Men''s Big Air]:[Snowboarding - Mixed Team Snowboard Cross]],MATCH(Table92[[#This Row],[Country]],Tabela1[Country], 0),0))</f>
        <v>6</v>
      </c>
      <c r="BN8" s="6">
        <f>SUM(INDEX(Tabela1[[Speed Skating - Men''s 500m]:[Speed Skating - Women''s Team Pursuit]],MATCH(Table92[[#This Row],[Country]],Tabela1[Country], 0),0))</f>
        <v>9</v>
      </c>
      <c r="BO8" s="6" t="str">
        <f>SUBSTITUTE(INDEX(Table92[[#Headers],[Archery Quotas]:[Speed Skating Quotas]], MATCH(MAX(Table92[[#This Row],[Archery Quotas]:[Speed Skating Quotas]]), Table92[[#This Row],[Archery Quotas]:[Speed Skating Quotas]], 0))," Quotas","")</f>
        <v>Cross Country Skiing</v>
      </c>
      <c r="BP8" s="6">
        <f>SUM(Table92[[#This Row],[Summer Sports]:[Winter Sports]])</f>
        <v>40</v>
      </c>
      <c r="BQ8" s="6">
        <f>COUNTIF(Table92[[#This Row],[Archery Quotas]:[Wrestling Quotas]],"&lt;&gt;0")</f>
        <v>28</v>
      </c>
      <c r="BR8" s="6">
        <f>COUNTIF(Table92[[#This Row],[Alpine Skiing Quotas]:[Speed Skating Quotas]],"&lt;&gt;0")</f>
        <v>12</v>
      </c>
      <c r="BS8" s="3" t="s">
        <v>385</v>
      </c>
    </row>
    <row r="9" spans="1:71" x14ac:dyDescent="0.3">
      <c r="A9" s="6" t="s">
        <v>328</v>
      </c>
      <c r="B9" t="e" vm="8">
        <f>IF(ISBLANK(Table92[[#This Row],[Flag Link]]), "", _xlfn.IMAGE(Table92[[#This Row],[Flag Link]],1,1))</f>
        <v>#VALUE!</v>
      </c>
      <c r="C9" s="6">
        <f>SUM(Table92[[#This Row],[Archery Quotas]:[Speed Skating Quotas]])</f>
        <v>174</v>
      </c>
      <c r="D9" s="6">
        <f>SUM(INDEX(Tabela1[[Archery - Men''s Individual Recurve]:[Archery - Mixed Team Recurve]],MATCH(Table92[[#This Row],[Country]],Tabela1[Country], 0),0))</f>
        <v>6</v>
      </c>
      <c r="E9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6</v>
      </c>
      <c r="F9" s="6">
        <f>SUM(INDEX(Tabela1[[Artistic Swimming - Women''s Duet]:[Artistic Swimming - Women''s Team]],MATCH(Table92[[#This Row],[Country]],Tabela1[Country], 0),0))</f>
        <v>1</v>
      </c>
      <c r="G9" s="6">
        <f>SUM(INDEX(Tabela1[[Athletics - Men''s 100m]:[Athletics - Women''s Heptathlon]],MATCH(Table92[[#This Row],[Country]],Tabela1[Country], 0),0))</f>
        <v>19</v>
      </c>
      <c r="H9" s="6">
        <f>SUM(INDEX(Tabela1[[Badminton - Men''s Singles]:[Badminton - Mixed Doubles]],MATCH(Table92[[#This Row],[Country]],Tabela1[Country], 0),0))</f>
        <v>3</v>
      </c>
      <c r="I9" s="6">
        <f>SUM(INDEX(Tabela1[[Basketball - Men''s Tournament]:[Basketball - Women''s Tournament]],MATCH(Table92[[#This Row],[Country]],Tabela1[Country], 0),0))</f>
        <v>1</v>
      </c>
      <c r="J9" s="6">
        <f>SUM(INDEX(Tabela1[[3x3 Basketball - Men''s Tournament]:[3x3 Basketball - Women''s Tournament]],MATCH(Table92[[#This Row],[Country]],Tabela1[Country], 0),0))</f>
        <v>1</v>
      </c>
      <c r="K9" s="6">
        <f>SUM(INDEX(Tabela1[[Beach Volleyball - Men''s Tournament]:[Beach Volleyball - Women''s Tournament]],MATCH(Table92[[#This Row],[Country]],Tabela1[Country], 0),0))</f>
        <v>1</v>
      </c>
      <c r="L9" s="6">
        <f>SUM(INDEX(Tabela1[[Boxing - Men''s 51kg]:[Boxing - Women''s 75kg]],MATCH(Table92[[#This Row],[Country]],Tabela1[Country], 0),0))</f>
        <v>5</v>
      </c>
      <c r="M9" s="6">
        <f>SUM(INDEX(Tabela1[[Breaking - Men''s Individual]:[Breaking - Women''s Individual]],MATCH(Table92[[#This Row],[Country]],Tabela1[Country], 0),0))</f>
        <v>1</v>
      </c>
      <c r="N9" s="6">
        <f>SUM(INDEX(Tabela1[[Canoeing - Men''s C1 Slalom]:[Canoeing - Women''s Kayak Cross Slalom]],MATCH(Table92[[#This Row],[Country]],Tabela1[Country], 0),0))</f>
        <v>0</v>
      </c>
      <c r="O9" s="6">
        <f>SUM(INDEX(Tabela1[[Canoeing - Women''s C1 200m]:[Canoeing - Women''s K4 500m]],MATCH(Table92[[#This Row],[Country]],Tabela1[Country], 0),0))</f>
        <v>1</v>
      </c>
      <c r="P9" s="6">
        <f>SUM(INDEX(Tabela1[[Cycling - Men''s BMX Freestyle]:[Cycling - Women''s BMX Freestyle]],MATCH(Table92[[#This Row],[Country]],Tabela1[Country], 0),0))</f>
        <v>1</v>
      </c>
      <c r="Q9" s="6">
        <f>SUM(INDEX(Tabela1[[Cycling - Men''s BMX Racing]:[Cycling - Women''s BMX Racing]],MATCH(Table92[[#This Row],[Country]],Tabela1[Country], 0),0))</f>
        <v>0</v>
      </c>
      <c r="R9" s="6">
        <f>SUM(INDEX(Tabela1[[Cycling - Men''s Cross-Country]:[Cycling - Women''s Cross-Country]],MATCH(Table92[[#This Row],[Country]],Tabela1[Country], 0),0))</f>
        <v>1</v>
      </c>
      <c r="S9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9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6</v>
      </c>
      <c r="U9" s="6">
        <f>SUM(INDEX(Tabela1[[Diving - Men''s Springboard]:[Diving - Women''s Synchronized Platform]],MATCH(Table92[[#This Row],[Country]],Tabela1[Country], 0),0))</f>
        <v>5</v>
      </c>
      <c r="V9" s="6">
        <f>SUM(INDEX(Tabela1[[Equestrian - Individual Dressage]:[Equestrian - Team Dressage]],MATCH(Table92[[#This Row],[Country]],Tabela1[Country], 0),0))</f>
        <v>0</v>
      </c>
      <c r="W9" s="6">
        <f>SUM(INDEX(Tabela1[[Equestrian - Individual Eventing]:[Equestrian - Team Eventing]],MATCH(Table92[[#This Row],[Country]],Tabela1[Country], 0),0))</f>
        <v>2</v>
      </c>
      <c r="X9" s="6">
        <f>SUM(INDEX(Tabela1[[Equestrian - Individual Jumping]:[Equestrian - Team Jumping]],MATCH(Table92[[#This Row],[Country]],Tabela1[Country], 0),0))</f>
        <v>0</v>
      </c>
      <c r="Y9" s="6">
        <f>SUM(INDEX(Tabela1[[Fencing - Men''s Épée]:[Fencing - Women''s Team Sabre]],MATCH(Table92[[#This Row],[Country]],Tabela1[Country], 0),0))</f>
        <v>4</v>
      </c>
      <c r="Z9" s="6">
        <f>SUM(INDEX(Tabela1[[Field Hockey - Men''s Tournament]:[Field Hockey - Women''s Tournament]],MATCH(Table92[[#This Row],[Country]],Tabela1[Country], 0),0))</f>
        <v>1</v>
      </c>
      <c r="AA9" s="6">
        <f>SUM(INDEX(Tabela1[[Football - Men''s Tournament]:[Football - Women''s Tournament]],MATCH(Table92[[#This Row],[Country]],Tabela1[Country], 0),0))</f>
        <v>0</v>
      </c>
      <c r="AB9" s="6">
        <f>SUM(INDEX(Tabela1[[Golf - Men''s Individual]:[Golf - Women''s Individual]],MATCH(Table92[[#This Row],[Country]],Tabela1[Country], 0),0))</f>
        <v>2</v>
      </c>
      <c r="AC9" s="6">
        <f>SUM(INDEX(Tabela1[[Handball - Men''s Tournament]:[Handball - Women''s Tournament]],MATCH(Table92[[#This Row],[Country]],Tabela1[Country], 0),0))</f>
        <v>0</v>
      </c>
      <c r="AD9" s="6">
        <f>SUM(INDEX(Tabela1[[Judo - Men''s 60kg]:[Judo - Mixed Team]],MATCH(Table92[[#This Row],[Country]],Tabela1[Country], 0),0))</f>
        <v>2</v>
      </c>
      <c r="AE9" s="6">
        <f>SUM(INDEX(Tabela1[[Swimming - Men''s 10km Open Water]:[Swimming - Women''s 10km Open Water]],MATCH(Table92[[#This Row],[Country]],Tabela1[Country], 0),0))</f>
        <v>0</v>
      </c>
      <c r="AF9" s="6">
        <f>SUM(INDEX(Tabela1[[Modern Pentathlon - Men''s Individual]:[Modern Pentathlon - Women''s Individual]],MATCH(Table92[[#This Row],[Country]],Tabela1[Country], 0),0))</f>
        <v>0</v>
      </c>
      <c r="AG9" s="6">
        <f>SUM(INDEX(Tabela1[[Rhythmic Gymnastics - Women''s Individual All-Around]:[Rhythmic Gymnastics - Women''s Group All-Around]],MATCH(Table92[[#This Row],[Country]],Tabela1[Country], 0),0))</f>
        <v>1</v>
      </c>
      <c r="AH9" s="6">
        <f>SUM(INDEX(Tabela1[[Rowing - Men''s Single Sculls]:[Rowing - Women''s Lwt. Double Sculls]],MATCH(Table92[[#This Row],[Country]],Tabela1[Country], 0),0))</f>
        <v>5</v>
      </c>
      <c r="AI9" s="6">
        <f>SUM(INDEX(Tabela1[[Rugby Sevens - Men''s Tournament]:[Rugby Sevens - Women''s Tournament]],MATCH(Table92[[#This Row],[Country]],Tabela1[Country], 0),0))</f>
        <v>1</v>
      </c>
      <c r="AJ9" s="6">
        <f>SUM(INDEX(Tabela1[[Sailing - Mixed 470]:[Sailing - Mixed Nacra 17]],MATCH(Table92[[#This Row],[Country]],Tabela1[Country], 0),0))</f>
        <v>1</v>
      </c>
      <c r="AK9" s="6">
        <f>SUM(INDEX(Tabela1[[Shooting - Men''s 10m Air Pistol]:[Shooting - Women''s Trap]],MATCH(Table92[[#This Row],[Country]],Tabela1[Country], 0),0))</f>
        <v>1</v>
      </c>
      <c r="AL9" s="6">
        <f>SUM(INDEX(Tabela1[[Skateboarding - Men''s Park]:[Skateboarding - Women''s Street]],MATCH(Table92[[#This Row],[Country]],Tabela1[Country], 0),0))</f>
        <v>0</v>
      </c>
      <c r="AM9" s="6">
        <f>SUM(INDEX(Tabela1[[Sport Climbing - Men''s Boulder and Lead]:[Sport Climbing - Women''s Speed]],MATCH(Table92[[#This Row],[Country]],Tabela1[Country], 0),0))</f>
        <v>0</v>
      </c>
      <c r="AN9" s="6">
        <f>SUM(INDEX(Tabela1[[Surfing - Men''s Shortboard]:[Surfing - Women''s Shortboard]],MATCH(Table92[[#This Row],[Country]],Tabela1[Country], 0),0))</f>
        <v>0</v>
      </c>
      <c r="AO9" s="6">
        <f>SUM(INDEX(Tabela1[[Swimming - Men''s 50m Freestyle]:[Swimming - Mixed 4x100m Medley Relay]],MATCH(Table92[[#This Row],[Country]],Tabela1[Country], 0),0))</f>
        <v>16</v>
      </c>
      <c r="AP9" s="6">
        <f>SUM(INDEX(Tabela1[[Table Tennis - Men''s Singles]:[Table Tennis - Mixed Doubles]],MATCH(Table92[[#This Row],[Country]],Tabela1[Country], 0),0))</f>
        <v>4</v>
      </c>
      <c r="AQ9" s="6">
        <f>SUM(INDEX(Tabela1[[Taekwondo - Men''s 58kg]:[Taekwondo - Women''s +67kg]],MATCH(Table92[[#This Row],[Country]],Tabela1[Country], 0),0))</f>
        <v>1</v>
      </c>
      <c r="AR9" s="6">
        <f>SUM(INDEX(Tabela1[[Tennis - Men''s Singles]:[Tennis - Mixed Doubles]],MATCH(Table92[[#This Row],[Country]],Tabela1[Country], 0),0))</f>
        <v>3</v>
      </c>
      <c r="AS9" s="6">
        <f>SUM(INDEX(Tabela1[[Gymnastics - Men''s Trampoline]:[Gymnastics - Women''s Trampoline]],MATCH(Table92[[#This Row],[Country]],Tabela1[Country], 0),0))</f>
        <v>0</v>
      </c>
      <c r="AT9" s="6">
        <f>SUM(INDEX(Tabela1[[Triathlon - Men''s Individual]:[Triathlon - Mixed Relay]],MATCH(Table92[[#This Row],[Country]],Tabela1[Country], 0),0))</f>
        <v>0</v>
      </c>
      <c r="AU9" s="6">
        <f>SUM(INDEX(Tabela1[[Volleyball - Men''s Tournament]:[Volleyball - Women''s Tournament]],MATCH(Table92[[#This Row],[Country]],Tabela1[Country], 0),0))</f>
        <v>1</v>
      </c>
      <c r="AV9" s="6">
        <f>SUM(INDEX(Tabela1[[Water Polo - Men''s Tournament]:[Water Polo - Women''s Tournament]],MATCH(Table92[[#This Row],[Country]],Tabela1[Country], 0),0))</f>
        <v>1</v>
      </c>
      <c r="AW9" s="6">
        <f>SUM(INDEX(Tabela1[[Weightlifting - Men''s 61kg]:[Weightlifting - Women''s +81kg]],MATCH(Table92[[#This Row],[Country]],Tabela1[Country], 0),0))</f>
        <v>1</v>
      </c>
      <c r="AX9" s="6">
        <f>SUM(INDEX(Tabela1[[Wrestling - Men''s Freestyle 57kg]:[Wrestling - Women''s Freestyle 76kg]],MATCH(Table92[[#This Row],[Country]],Tabela1[Country], 0),0))</f>
        <v>5</v>
      </c>
      <c r="AY9" s="6">
        <f>SUM(INDEX(Tabela1[[Alpine Skiing - Men''s Downhill]:[Alpine Skiing - Women''s Team Combined]],MATCH(Table92[[#This Row],[Country]],Tabela1[Country], 0),0))</f>
        <v>0</v>
      </c>
      <c r="AZ9" s="6">
        <f>SUM(INDEX(Tabela1[[Biathlon - Men''s Individual]:[Biathlon - Mixed Relay]],MATCH(Table92[[#This Row],[Country]],Tabela1[Country], 0),0))</f>
        <v>3</v>
      </c>
      <c r="BA9" s="6">
        <f>SUM(INDEX(Tabela1[[Bobsleigh - Women''s Monobob]:[Bobsleigh - Men''s Four]],MATCH(Table92[[#This Row],[Country]],Tabela1[Country], 0),0))</f>
        <v>6</v>
      </c>
      <c r="BB9" s="6">
        <f>SUM(INDEX(Tabela1[[Cross-country skiing - Men''s Classical]:[Cross-country skiing - Women''s Team Sprint]],MATCH(Table92[[#This Row],[Country]],Tabela1[Country], 0),0))</f>
        <v>18</v>
      </c>
      <c r="BC9" s="6">
        <f>SUM(INDEX(Tabela1[[Curling - Men''s Tournament]:[Curling - Mixed Doubles]],MATCH(Table92[[#This Row],[Country]],Tabela1[Country], 0),0))</f>
        <v>1</v>
      </c>
      <c r="BD9" s="6">
        <f>SUM(INDEX(Tabela1[[Figure Skating - Men''s Singles]:[Figure Skating - Team Event]],MATCH(Table92[[#This Row],[Country]],Tabela1[Country], 0),0))</f>
        <v>0</v>
      </c>
      <c r="BE9" s="6">
        <f>SUM(INDEX(Tabela1[[Freestyle Skiing - Men''s Aerials]:[Freestyle Skiing - Women''s Slopestyle]],MATCH(Table92[[#This Row],[Country]],Tabela1[Country], 0),0))</f>
        <v>13</v>
      </c>
      <c r="BF9" s="6">
        <f>SUM(INDEX(Tabela1[[Ice Hockey - Men''s Tournament]:[Ice Hockey - Women''s Tournament]],MATCH(Table92[[#This Row],[Country]],Tabela1[Country], 0),0))</f>
        <v>0</v>
      </c>
      <c r="BG9" s="6">
        <f>SUM(INDEX(Tabela1[[Luge - Men''s Singles]:[Luge - Mixed Team Relay]],MATCH(Table92[[#This Row],[Country]],Tabela1[Country], 0),0))</f>
        <v>4</v>
      </c>
      <c r="BH9" s="6">
        <f>SUM(INDEX(Tabela1[[Nordic Combined - Men''s Individual]:[Nordic Combined - Men''s Team Sprint Large Hill]],MATCH(Table92[[#This Row],[Country]],Tabela1[Country], 0),0))</f>
        <v>0</v>
      </c>
      <c r="BI9" s="6">
        <f>SUM(INDEX(Tabela1[[Short track speed skating - Men''s 500m]:[Short track speed skating - Mixed 2000m Relay]],MATCH(Table92[[#This Row],[Country]],Tabela1[Country], 0),0))</f>
        <v>1</v>
      </c>
      <c r="BJ9" s="6">
        <f>SUM(INDEX(Tabela1[[Skeleton - Men''s Individual]:[Skeleton - Mixed Team]],MATCH(Table92[[#This Row],[Country]],Tabela1[Country], 0),0))</f>
        <v>0</v>
      </c>
      <c r="BK9" s="6">
        <f>SUM(INDEX(Tabela1[[Ski Jumping - Men''s Individual Large Hill]:[Ski Jumping - Mixed Team Normal Hill]],MATCH(Table92[[#This Row],[Country]],Tabela1[Country], 0),0))</f>
        <v>3</v>
      </c>
      <c r="BL9" s="6">
        <f>SUM(INDEX(Tabela1[[Ski Mountaineering - Men''s Sprint]:[Ski Mountaineering - Mixed Relay]],MATCH(Table92[[#This Row],[Country]],Tabela1[Country], 0),0))</f>
        <v>2</v>
      </c>
      <c r="BM9" s="6">
        <f>SUM(INDEX(Tabela1[[Snowboarding - Men''s Big Air]:[Snowboarding - Mixed Team Snowboard Cross]],MATCH(Table92[[#This Row],[Country]],Tabela1[Country], 0),0))</f>
        <v>4</v>
      </c>
      <c r="BN9" s="6">
        <f>SUM(INDEX(Tabela1[[Speed Skating - Men''s 500m]:[Speed Skating - Women''s Team Pursuit]],MATCH(Table92[[#This Row],[Country]],Tabela1[Country], 0),0))</f>
        <v>9</v>
      </c>
      <c r="BO9" s="6" t="str">
        <f>SUBSTITUTE(INDEX(Table92[[#Headers],[Archery Quotas]:[Speed Skating Quotas]], MATCH(MAX(Table92[[#This Row],[Archery Quotas]:[Speed Skating Quotas]]), Table92[[#This Row],[Archery Quotas]:[Speed Skating Quotas]], 0))," Quotas","")</f>
        <v>Athletics</v>
      </c>
      <c r="BP9" s="6">
        <f>SUM(Table92[[#This Row],[Summer Sports]:[Winter Sports]])</f>
        <v>44</v>
      </c>
      <c r="BQ9" s="6">
        <f>COUNTIF(Table92[[#This Row],[Archery Quotas]:[Wrestling Quotas]],"&lt;&gt;0")</f>
        <v>33</v>
      </c>
      <c r="BR9" s="6">
        <f>COUNTIF(Table92[[#This Row],[Alpine Skiing Quotas]:[Speed Skating Quotas]],"&lt;&gt;0")</f>
        <v>11</v>
      </c>
      <c r="BS9" s="3" t="s">
        <v>329</v>
      </c>
    </row>
    <row r="10" spans="1:71" x14ac:dyDescent="0.3">
      <c r="A10" s="6" t="s">
        <v>336</v>
      </c>
      <c r="B10" t="e" vm="9">
        <f>IF(ISBLANK(Table92[[#This Row],[Flag Link]]), "", _xlfn.IMAGE(Table92[[#This Row],[Flag Link]],1,1))</f>
        <v>#VALUE!</v>
      </c>
      <c r="C10" s="6">
        <f>SUM(Table92[[#This Row],[Archery Quotas]:[Speed Skating Quotas]])</f>
        <v>152</v>
      </c>
      <c r="D10" s="6">
        <f>SUM(INDEX(Tabela1[[Archery - Men''s Individual Recurve]:[Archery - Mixed Team Recurve]],MATCH(Table92[[#This Row],[Country]],Tabela1[Country], 0),0))</f>
        <v>0</v>
      </c>
      <c r="E10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15</v>
      </c>
      <c r="F10" s="6">
        <f>SUM(INDEX(Tabela1[[Artistic Swimming - Women''s Duet]:[Artistic Swimming - Women''s Team]],MATCH(Table92[[#This Row],[Country]],Tabela1[Country], 0),0))</f>
        <v>0</v>
      </c>
      <c r="G10" s="6">
        <f>SUM(INDEX(Tabela1[[Athletics - Men''s 100m]:[Athletics - Women''s Heptathlon]],MATCH(Table92[[#This Row],[Country]],Tabela1[Country], 0),0))</f>
        <v>25</v>
      </c>
      <c r="H10" s="6">
        <f>SUM(INDEX(Tabela1[[Badminton - Men''s Singles]:[Badminton - Mixed Doubles]],MATCH(Table92[[#This Row],[Country]],Tabela1[Country], 0),0))</f>
        <v>0</v>
      </c>
      <c r="I10" s="6">
        <f>SUM(INDEX(Tabela1[[Basketball - Men''s Tournament]:[Basketball - Women''s Tournament]],MATCH(Table92[[#This Row],[Country]],Tabela1[Country], 0),0))</f>
        <v>1</v>
      </c>
      <c r="J10" s="6">
        <f>SUM(INDEX(Tabela1[[3x3 Basketball - Men''s Tournament]:[3x3 Basketball - Women''s Tournament]],MATCH(Table92[[#This Row],[Country]],Tabela1[Country], 0),0))</f>
        <v>0</v>
      </c>
      <c r="K10" s="6">
        <f>SUM(INDEX(Tabela1[[Beach Volleyball - Men''s Tournament]:[Beach Volleyball - Women''s Tournament]],MATCH(Table92[[#This Row],[Country]],Tabela1[Country], 0),0))</f>
        <v>3</v>
      </c>
      <c r="L10" s="6">
        <f>SUM(INDEX(Tabela1[[Boxing - Men''s 51kg]:[Boxing - Women''s 75kg]],MATCH(Table92[[#This Row],[Country]],Tabela1[Country], 0),0))</f>
        <v>10</v>
      </c>
      <c r="M10" s="6">
        <f>SUM(INDEX(Tabela1[[Breaking - Men''s Individual]:[Breaking - Women''s Individual]],MATCH(Table92[[#This Row],[Country]],Tabela1[Country], 0),0))</f>
        <v>0</v>
      </c>
      <c r="N10" s="6">
        <f>SUM(INDEX(Tabela1[[Canoeing - Men''s C1 Slalom]:[Canoeing - Women''s Kayak Cross Slalom]],MATCH(Table92[[#This Row],[Country]],Tabela1[Country], 0),0))</f>
        <v>3</v>
      </c>
      <c r="O10" s="6">
        <f>SUM(INDEX(Tabela1[[Canoeing - Women''s C1 200m]:[Canoeing - Women''s K4 500m]],MATCH(Table92[[#This Row],[Country]],Tabela1[Country], 0),0))</f>
        <v>5</v>
      </c>
      <c r="P10" s="6">
        <f>SUM(INDEX(Tabela1[[Cycling - Men''s BMX Freestyle]:[Cycling - Women''s BMX Freestyle]],MATCH(Table92[[#This Row],[Country]],Tabela1[Country], 0),0))</f>
        <v>1</v>
      </c>
      <c r="Q10" s="6">
        <f>SUM(INDEX(Tabela1[[Cycling - Men''s BMX Racing]:[Cycling - Women''s BMX Racing]],MATCH(Table92[[#This Row],[Country]],Tabela1[Country], 0),0))</f>
        <v>1</v>
      </c>
      <c r="R10" s="6">
        <f>SUM(INDEX(Tabela1[[Cycling - Men''s Cross-Country]:[Cycling - Women''s Cross-Country]],MATCH(Table92[[#This Row],[Country]],Tabela1[Country], 0),0))</f>
        <v>1</v>
      </c>
      <c r="S10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0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0" s="6">
        <f>SUM(INDEX(Tabela1[[Diving - Men''s Springboard]:[Diving - Women''s Synchronized Platform]],MATCH(Table92[[#This Row],[Country]],Tabela1[Country], 0),0))</f>
        <v>0</v>
      </c>
      <c r="V10" s="6">
        <f>SUM(INDEX(Tabela1[[Equestrian - Individual Dressage]:[Equestrian - Team Dressage]],MATCH(Table92[[#This Row],[Country]],Tabela1[Country], 0),0))</f>
        <v>1</v>
      </c>
      <c r="W10" s="6">
        <f>SUM(INDEX(Tabela1[[Equestrian - Individual Eventing]:[Equestrian - Team Eventing]],MATCH(Table92[[#This Row],[Country]],Tabela1[Country], 0),0))</f>
        <v>4</v>
      </c>
      <c r="X10" s="6">
        <f>SUM(INDEX(Tabela1[[Equestrian - Individual Jumping]:[Equestrian - Team Jumping]],MATCH(Table92[[#This Row],[Country]],Tabela1[Country], 0),0))</f>
        <v>2</v>
      </c>
      <c r="Y10" s="6">
        <f>SUM(INDEX(Tabela1[[Fencing - Men''s Épée]:[Fencing - Women''s Team Sabre]],MATCH(Table92[[#This Row],[Country]],Tabela1[Country], 0),0))</f>
        <v>2</v>
      </c>
      <c r="Z10" s="6">
        <f>SUM(INDEX(Tabela1[[Field Hockey - Men''s Tournament]:[Field Hockey - Women''s Tournament]],MATCH(Table92[[#This Row],[Country]],Tabela1[Country], 0),0))</f>
        <v>0</v>
      </c>
      <c r="AA10" s="6">
        <f>SUM(INDEX(Tabela1[[Football - Men''s Tournament]:[Football - Women''s Tournament]],MATCH(Table92[[#This Row],[Country]],Tabela1[Country], 0),0))</f>
        <v>1</v>
      </c>
      <c r="AB10" s="6">
        <f>SUM(INDEX(Tabela1[[Golf - Men''s Individual]:[Golf - Women''s Individual]],MATCH(Table92[[#This Row],[Country]],Tabela1[Country], 0),0))</f>
        <v>0</v>
      </c>
      <c r="AC10" s="6">
        <f>SUM(INDEX(Tabela1[[Handball - Men''s Tournament]:[Handball - Women''s Tournament]],MATCH(Table92[[#This Row],[Country]],Tabela1[Country], 0),0))</f>
        <v>1</v>
      </c>
      <c r="AD10" s="6">
        <f>SUM(INDEX(Tabela1[[Judo - Men''s 60kg]:[Judo - Mixed Team]],MATCH(Table92[[#This Row],[Country]],Tabela1[Country], 0),0))</f>
        <v>12</v>
      </c>
      <c r="AE10" s="6">
        <f>SUM(INDEX(Tabela1[[Swimming - Men''s 10km Open Water]:[Swimming - Women''s 10km Open Water]],MATCH(Table92[[#This Row],[Country]],Tabela1[Country], 0),0))</f>
        <v>2</v>
      </c>
      <c r="AF10" s="6">
        <f>SUM(INDEX(Tabela1[[Modern Pentathlon - Men''s Individual]:[Modern Pentathlon - Women''s Individual]],MATCH(Table92[[#This Row],[Country]],Tabela1[Country], 0),0))</f>
        <v>1</v>
      </c>
      <c r="AG10" s="6">
        <f>SUM(INDEX(Tabela1[[Rhythmic Gymnastics - Women''s Individual All-Around]:[Rhythmic Gymnastics - Women''s Group All-Around]],MATCH(Table92[[#This Row],[Country]],Tabela1[Country], 0),0))</f>
        <v>2</v>
      </c>
      <c r="AH10" s="6">
        <f>SUM(INDEX(Tabela1[[Rowing - Men''s Single Sculls]:[Rowing - Women''s Lwt. Double Sculls]],MATCH(Table92[[#This Row],[Country]],Tabela1[Country], 0),0))</f>
        <v>0</v>
      </c>
      <c r="AI10" s="6">
        <f>SUM(INDEX(Tabela1[[Rugby Sevens - Men''s Tournament]:[Rugby Sevens - Women''s Tournament]],MATCH(Table92[[#This Row],[Country]],Tabela1[Country], 0),0))</f>
        <v>1</v>
      </c>
      <c r="AJ10" s="6">
        <f>SUM(INDEX(Tabela1[[Sailing - Mixed 470]:[Sailing - Mixed Nacra 17]],MATCH(Table92[[#This Row],[Country]],Tabela1[Country], 0),0))</f>
        <v>5</v>
      </c>
      <c r="AK10" s="6">
        <f>SUM(INDEX(Tabela1[[Shooting - Men''s 10m Air Pistol]:[Shooting - Women''s Trap]],MATCH(Table92[[#This Row],[Country]],Tabela1[Country], 0),0))</f>
        <v>1</v>
      </c>
      <c r="AL10" s="6">
        <f>SUM(INDEX(Tabela1[[Skateboarding - Men''s Park]:[Skateboarding - Women''s Street]],MATCH(Table92[[#This Row],[Country]],Tabela1[Country], 0),0))</f>
        <v>9</v>
      </c>
      <c r="AM10" s="6">
        <f>SUM(INDEX(Tabela1[[Sport Climbing - Men''s Boulder and Lead]:[Sport Climbing - Women''s Speed]],MATCH(Table92[[#This Row],[Country]],Tabela1[Country], 0),0))</f>
        <v>0</v>
      </c>
      <c r="AN10" s="6">
        <f>SUM(INDEX(Tabela1[[Surfing - Men''s Shortboard]:[Surfing - Women''s Shortboard]],MATCH(Table92[[#This Row],[Country]],Tabela1[Country], 0),0))</f>
        <v>3</v>
      </c>
      <c r="AO10" s="6">
        <f>SUM(INDEX(Tabela1[[Swimming - Men''s 50m Freestyle]:[Swimming - Mixed 4x100m Medley Relay]],MATCH(Table92[[#This Row],[Country]],Tabela1[Country], 0),0))</f>
        <v>11</v>
      </c>
      <c r="AP10" s="6">
        <f>SUM(INDEX(Tabela1[[Table Tennis - Men''s Singles]:[Table Tennis - Mixed Doubles]],MATCH(Table92[[#This Row],[Country]],Tabela1[Country], 0),0))</f>
        <v>6</v>
      </c>
      <c r="AQ10" s="6">
        <f>SUM(INDEX(Tabela1[[Taekwondo - Men''s 58kg]:[Taekwondo - Women''s +67kg]],MATCH(Table92[[#This Row],[Country]],Tabela1[Country], 0),0))</f>
        <v>1</v>
      </c>
      <c r="AR10" s="6">
        <f>SUM(INDEX(Tabela1[[Tennis - Men''s Singles]:[Tennis - Mixed Doubles]],MATCH(Table92[[#This Row],[Country]],Tabela1[Country], 0),0))</f>
        <v>6</v>
      </c>
      <c r="AS10" s="6">
        <f>SUM(INDEX(Tabela1[[Gymnastics - Men''s Trampoline]:[Gymnastics - Women''s Trampoline]],MATCH(Table92[[#This Row],[Country]],Tabela1[Country], 0),0))</f>
        <v>0</v>
      </c>
      <c r="AT10" s="6">
        <f>SUM(INDEX(Tabela1[[Triathlon - Men''s Individual]:[Triathlon - Mixed Relay]],MATCH(Table92[[#This Row],[Country]],Tabela1[Country], 0),0))</f>
        <v>2</v>
      </c>
      <c r="AU10" s="6">
        <f>SUM(INDEX(Tabela1[[Volleyball - Men''s Tournament]:[Volleyball - Women''s Tournament]],MATCH(Table92[[#This Row],[Country]],Tabela1[Country], 0),0))</f>
        <v>2</v>
      </c>
      <c r="AV10" s="6">
        <f>SUM(INDEX(Tabela1[[Water Polo - Men''s Tournament]:[Water Polo - Women''s Tournament]],MATCH(Table92[[#This Row],[Country]],Tabela1[Country], 0),0))</f>
        <v>0</v>
      </c>
      <c r="AW10" s="6">
        <f>SUM(INDEX(Tabela1[[Weightlifting - Men''s 61kg]:[Weightlifting - Women''s +81kg]],MATCH(Table92[[#This Row],[Country]],Tabela1[Country], 0),0))</f>
        <v>0</v>
      </c>
      <c r="AX10" s="6">
        <f>SUM(INDEX(Tabela1[[Wrestling - Men''s Freestyle 57kg]:[Wrestling - Women''s Freestyle 76kg]],MATCH(Table92[[#This Row],[Country]],Tabela1[Country], 0),0))</f>
        <v>0</v>
      </c>
      <c r="AY10" s="6">
        <f>SUM(INDEX(Tabela1[[Alpine Skiing - Men''s Downhill]:[Alpine Skiing - Women''s Team Combined]],MATCH(Table92[[#This Row],[Country]],Tabela1[Country], 0),0))</f>
        <v>0</v>
      </c>
      <c r="AZ10" s="6">
        <f>SUM(INDEX(Tabela1[[Biathlon - Men''s Individual]:[Biathlon - Mixed Relay]],MATCH(Table92[[#This Row],[Country]],Tabela1[Country], 0),0))</f>
        <v>0</v>
      </c>
      <c r="BA10" s="6">
        <f>SUM(INDEX(Tabela1[[Bobsleigh - Women''s Monobob]:[Bobsleigh - Men''s Four]],MATCH(Table92[[#This Row],[Country]],Tabela1[Country], 0),0))</f>
        <v>2</v>
      </c>
      <c r="BB10" s="6">
        <f>SUM(INDEX(Tabela1[[Cross-country skiing - Men''s Classical]:[Cross-country skiing - Women''s Team Sprint]],MATCH(Table92[[#This Row],[Country]],Tabela1[Country], 0),0))</f>
        <v>7</v>
      </c>
      <c r="BC10" s="6">
        <f>SUM(INDEX(Tabela1[[Curling - Men''s Tournament]:[Curling - Mixed Doubles]],MATCH(Table92[[#This Row],[Country]],Tabela1[Country], 0),0))</f>
        <v>0</v>
      </c>
      <c r="BD10" s="6">
        <f>SUM(INDEX(Tabela1[[Figure Skating - Men''s Singles]:[Figure Skating - Team Event]],MATCH(Table92[[#This Row],[Country]],Tabela1[Country], 0),0))</f>
        <v>0</v>
      </c>
      <c r="BE10" s="6">
        <f>SUM(INDEX(Tabela1[[Freestyle Skiing - Men''s Aerials]:[Freestyle Skiing - Women''s Slopestyle]],MATCH(Table92[[#This Row],[Country]],Tabela1[Country], 0),0))</f>
        <v>0</v>
      </c>
      <c r="BF10" s="6">
        <f>SUM(INDEX(Tabela1[[Ice Hockey - Men''s Tournament]:[Ice Hockey - Women''s Tournament]],MATCH(Table92[[#This Row],[Country]],Tabela1[Country], 0),0))</f>
        <v>0</v>
      </c>
      <c r="BG10" s="6">
        <f>SUM(INDEX(Tabela1[[Luge - Men''s Singles]:[Luge - Mixed Team Relay]],MATCH(Table92[[#This Row],[Country]],Tabela1[Country], 0),0))</f>
        <v>0</v>
      </c>
      <c r="BH10" s="6">
        <f>SUM(INDEX(Tabela1[[Nordic Combined - Men''s Individual]:[Nordic Combined - Men''s Team Sprint Large Hill]],MATCH(Table92[[#This Row],[Country]],Tabela1[Country], 0),0))</f>
        <v>0</v>
      </c>
      <c r="BI10" s="6">
        <f>SUM(INDEX(Tabela1[[Short track speed skating - Men''s 500m]:[Short track speed skating - Mixed 2000m Relay]],MATCH(Table92[[#This Row],[Country]],Tabela1[Country], 0),0))</f>
        <v>0</v>
      </c>
      <c r="BJ10" s="6">
        <f>SUM(INDEX(Tabela1[[Skeleton - Men''s Individual]:[Skeleton - Mixed Team]],MATCH(Table92[[#This Row],[Country]],Tabela1[Country], 0),0))</f>
        <v>1</v>
      </c>
      <c r="BK10" s="6">
        <f>SUM(INDEX(Tabela1[[Ski Jumping - Men''s Individual Large Hill]:[Ski Jumping - Mixed Team Normal Hill]],MATCH(Table92[[#This Row],[Country]],Tabela1[Country], 0),0))</f>
        <v>0</v>
      </c>
      <c r="BL10" s="6">
        <f>SUM(INDEX(Tabela1[[Ski Mountaineering - Men''s Sprint]:[Ski Mountaineering - Mixed Relay]],MATCH(Table92[[#This Row],[Country]],Tabela1[Country], 0),0))</f>
        <v>0</v>
      </c>
      <c r="BM10" s="6">
        <f>SUM(INDEX(Tabela1[[Snowboarding - Men''s Big Air]:[Snowboarding - Mixed Team Snowboard Cross]],MATCH(Table92[[#This Row],[Country]],Tabela1[Country], 0),0))</f>
        <v>2</v>
      </c>
      <c r="BN10" s="6">
        <f>SUM(INDEX(Tabela1[[Speed Skating - Men''s 500m]:[Speed Skating - Women''s Team Pursuit]],MATCH(Table92[[#This Row],[Country]],Tabela1[Country], 0),0))</f>
        <v>0</v>
      </c>
      <c r="BO10" s="6" t="str">
        <f>SUBSTITUTE(INDEX(Table92[[#Headers],[Archery Quotas]:[Speed Skating Quotas]], MATCH(MAX(Table92[[#This Row],[Archery Quotas]:[Speed Skating Quotas]]), Table92[[#This Row],[Archery Quotas]:[Speed Skating Quotas]], 0))," Quotas","")</f>
        <v>Athletics</v>
      </c>
      <c r="BP10" s="6">
        <f>SUM(Table92[[#This Row],[Summer Sports]:[Winter Sports]])</f>
        <v>35</v>
      </c>
      <c r="BQ10" s="6">
        <f>COUNTIF(Table92[[#This Row],[Archery Quotas]:[Wrestling Quotas]],"&lt;&gt;0")</f>
        <v>31</v>
      </c>
      <c r="BR10" s="6">
        <f>COUNTIF(Table92[[#This Row],[Alpine Skiing Quotas]:[Speed Skating Quotas]],"&lt;&gt;0")</f>
        <v>4</v>
      </c>
      <c r="BS10" s="3" t="s">
        <v>337</v>
      </c>
    </row>
    <row r="11" spans="1:71" x14ac:dyDescent="0.3">
      <c r="A11" s="6" t="s">
        <v>330</v>
      </c>
      <c r="B11" t="e" vm="10">
        <f>IF(ISBLANK(Table92[[#This Row],[Flag Link]]), "", _xlfn.IMAGE(Table92[[#This Row],[Flag Link]],1,1))</f>
        <v>#VALUE!</v>
      </c>
      <c r="C11" s="6">
        <f>SUM(Table92[[#This Row],[Archery Quotas]:[Speed Skating Quotas]])</f>
        <v>128</v>
      </c>
      <c r="D11" s="6">
        <f>SUM(INDEX(Tabela1[[Archery - Men''s Individual Recurve]:[Archery - Mixed Team Recurve]],MATCH(Table92[[#This Row],[Country]],Tabela1[Country], 0),0))</f>
        <v>2</v>
      </c>
      <c r="E11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14</v>
      </c>
      <c r="F11" s="6">
        <f>SUM(INDEX(Tabela1[[Artistic Swimming - Women''s Duet]:[Artistic Swimming - Women''s Team]],MATCH(Table92[[#This Row],[Country]],Tabela1[Country], 0),0))</f>
        <v>1</v>
      </c>
      <c r="G11" s="6">
        <f>SUM(INDEX(Tabela1[[Athletics - Men''s 100m]:[Athletics - Women''s Heptathlon]],MATCH(Table92[[#This Row],[Country]],Tabela1[Country], 0),0))</f>
        <v>16</v>
      </c>
      <c r="H11" s="6">
        <f>SUM(INDEX(Tabela1[[Badminton - Men''s Singles]:[Badminton - Mixed Doubles]],MATCH(Table92[[#This Row],[Country]],Tabela1[Country], 0),0))</f>
        <v>1</v>
      </c>
      <c r="I11" s="6">
        <f>SUM(INDEX(Tabela1[[Basketball - Men''s Tournament]:[Basketball - Women''s Tournament]],MATCH(Table92[[#This Row],[Country]],Tabela1[Country], 0),0))</f>
        <v>2</v>
      </c>
      <c r="J11" s="6">
        <f>SUM(INDEX(Tabela1[[3x3 Basketball - Men''s Tournament]:[3x3 Basketball - Women''s Tournament]],MATCH(Table92[[#This Row],[Country]],Tabela1[Country], 0),0))</f>
        <v>1</v>
      </c>
      <c r="K11" s="6">
        <f>SUM(INDEX(Tabela1[[Beach Volleyball - Men''s Tournament]:[Beach Volleyball - Women''s Tournament]],MATCH(Table92[[#This Row],[Country]],Tabela1[Country], 0),0))</f>
        <v>2</v>
      </c>
      <c r="L11" s="6">
        <f>SUM(INDEX(Tabela1[[Boxing - Men''s 51kg]:[Boxing - Women''s 75kg]],MATCH(Table92[[#This Row],[Country]],Tabela1[Country], 0),0))</f>
        <v>1</v>
      </c>
      <c r="M11" s="6">
        <f>SUM(INDEX(Tabela1[[Breaking - Men''s Individual]:[Breaking - Women''s Individual]],MATCH(Table92[[#This Row],[Country]],Tabela1[Country], 0),0))</f>
        <v>0</v>
      </c>
      <c r="N11" s="6">
        <f>SUM(INDEX(Tabela1[[Canoeing - Men''s C1 Slalom]:[Canoeing - Women''s Kayak Cross Slalom]],MATCH(Table92[[#This Row],[Country]],Tabela1[Country], 0),0))</f>
        <v>3</v>
      </c>
      <c r="O11" s="6">
        <f>SUM(INDEX(Tabela1[[Canoeing - Women''s C1 200m]:[Canoeing - Women''s K4 500m]],MATCH(Table92[[#This Row],[Country]],Tabela1[Country], 0),0))</f>
        <v>11</v>
      </c>
      <c r="P11" s="6">
        <f>SUM(INDEX(Tabela1[[Cycling - Men''s BMX Freestyle]:[Cycling - Women''s BMX Freestyle]],MATCH(Table92[[#This Row],[Country]],Tabela1[Country], 0),0))</f>
        <v>0</v>
      </c>
      <c r="Q11" s="6">
        <f>SUM(INDEX(Tabela1[[Cycling - Men''s BMX Racing]:[Cycling - Women''s BMX Racing]],MATCH(Table92[[#This Row],[Country]],Tabela1[Country], 0),0))</f>
        <v>0</v>
      </c>
      <c r="R11" s="6">
        <f>SUM(INDEX(Tabela1[[Cycling - Men''s Cross-Country]:[Cycling - Women''s Cross-Country]],MATCH(Table92[[#This Row],[Country]],Tabela1[Country], 0),0))</f>
        <v>0</v>
      </c>
      <c r="S11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3</v>
      </c>
      <c r="T11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2</v>
      </c>
      <c r="U11" s="6">
        <f>SUM(INDEX(Tabela1[[Diving - Men''s Springboard]:[Diving - Women''s Synchronized Platform]],MATCH(Table92[[#This Row],[Country]],Tabela1[Country], 0),0))</f>
        <v>2</v>
      </c>
      <c r="V11" s="6">
        <f>SUM(INDEX(Tabela1[[Equestrian - Individual Dressage]:[Equestrian - Team Dressage]],MATCH(Table92[[#This Row],[Country]],Tabela1[Country], 0),0))</f>
        <v>2</v>
      </c>
      <c r="W11" s="6">
        <f>SUM(INDEX(Tabela1[[Equestrian - Individual Eventing]:[Equestrian - Team Eventing]],MATCH(Table92[[#This Row],[Country]],Tabela1[Country], 0),0))</f>
        <v>0</v>
      </c>
      <c r="X11" s="6">
        <f>SUM(INDEX(Tabela1[[Equestrian - Individual Jumping]:[Equestrian - Team Jumping]],MATCH(Table92[[#This Row],[Country]],Tabela1[Country], 0),0))</f>
        <v>3</v>
      </c>
      <c r="Y11" s="6">
        <f>SUM(INDEX(Tabela1[[Fencing - Men''s Épée]:[Fencing - Women''s Team Sabre]],MATCH(Table92[[#This Row],[Country]],Tabela1[Country], 0),0))</f>
        <v>2</v>
      </c>
      <c r="Z11" s="6">
        <f>SUM(INDEX(Tabela1[[Field Hockey - Men''s Tournament]:[Field Hockey - Women''s Tournament]],MATCH(Table92[[#This Row],[Country]],Tabela1[Country], 0),0))</f>
        <v>2</v>
      </c>
      <c r="AA11" s="6">
        <f>SUM(INDEX(Tabela1[[Football - Men''s Tournament]:[Football - Women''s Tournament]],MATCH(Table92[[#This Row],[Country]],Tabela1[Country], 0),0))</f>
        <v>2</v>
      </c>
      <c r="AB11" s="6">
        <f>SUM(INDEX(Tabela1[[Golf - Men''s Individual]:[Golf - Women''s Individual]],MATCH(Table92[[#This Row],[Country]],Tabela1[Country], 0),0))</f>
        <v>1</v>
      </c>
      <c r="AC11" s="6">
        <f>SUM(INDEX(Tabela1[[Handball - Men''s Tournament]:[Handball - Women''s Tournament]],MATCH(Table92[[#This Row],[Country]],Tabela1[Country], 0),0))</f>
        <v>2</v>
      </c>
      <c r="AD11" s="6">
        <f>SUM(INDEX(Tabela1[[Judo - Men''s 60kg]:[Judo - Mixed Team]],MATCH(Table92[[#This Row],[Country]],Tabela1[Country], 0),0))</f>
        <v>7</v>
      </c>
      <c r="AE11" s="6">
        <f>SUM(INDEX(Tabela1[[Swimming - Men''s 10km Open Water]:[Swimming - Women''s 10km Open Water]],MATCH(Table92[[#This Row],[Country]],Tabela1[Country], 0),0))</f>
        <v>0</v>
      </c>
      <c r="AF11" s="6">
        <f>SUM(INDEX(Tabela1[[Modern Pentathlon - Men''s Individual]:[Modern Pentathlon - Women''s Individual]],MATCH(Table92[[#This Row],[Country]],Tabela1[Country], 0),0))</f>
        <v>0</v>
      </c>
      <c r="AG11" s="6">
        <f>SUM(INDEX(Tabela1[[Rhythmic Gymnastics - Women''s Individual All-Around]:[Rhythmic Gymnastics - Women''s Group All-Around]],MATCH(Table92[[#This Row],[Country]],Tabela1[Country], 0),0))</f>
        <v>1</v>
      </c>
      <c r="AH11" s="6">
        <f>SUM(INDEX(Tabela1[[Rowing - Men''s Single Sculls]:[Rowing - Women''s Lwt. Double Sculls]],MATCH(Table92[[#This Row],[Country]],Tabela1[Country], 0),0))</f>
        <v>3</v>
      </c>
      <c r="AI11" s="6">
        <f>SUM(INDEX(Tabela1[[Rugby Sevens - Men''s Tournament]:[Rugby Sevens - Women''s Tournament]],MATCH(Table92[[#This Row],[Country]],Tabela1[Country], 0),0))</f>
        <v>0</v>
      </c>
      <c r="AJ11" s="6">
        <f>SUM(INDEX(Tabela1[[Sailing - Mixed 470]:[Sailing - Mixed Nacra 17]],MATCH(Table92[[#This Row],[Country]],Tabela1[Country], 0),0))</f>
        <v>5</v>
      </c>
      <c r="AK11" s="6">
        <f>SUM(INDEX(Tabela1[[Shooting - Men''s 10m Air Pistol]:[Shooting - Women''s Trap]],MATCH(Table92[[#This Row],[Country]],Tabela1[Country], 0),0))</f>
        <v>2</v>
      </c>
      <c r="AL11" s="6">
        <f>SUM(INDEX(Tabela1[[Skateboarding - Men''s Park]:[Skateboarding - Women''s Street]],MATCH(Table92[[#This Row],[Country]],Tabela1[Country], 0),0))</f>
        <v>1</v>
      </c>
      <c r="AM11" s="6">
        <f>SUM(INDEX(Tabela1[[Sport Climbing - Men''s Boulder and Lead]:[Sport Climbing - Women''s Speed]],MATCH(Table92[[#This Row],[Country]],Tabela1[Country], 0),0))</f>
        <v>1</v>
      </c>
      <c r="AN11" s="6">
        <f>SUM(INDEX(Tabela1[[Surfing - Men''s Shortboard]:[Surfing - Women''s Shortboard]],MATCH(Table92[[#This Row],[Country]],Tabela1[Country], 0),0))</f>
        <v>0</v>
      </c>
      <c r="AO11" s="6">
        <f>SUM(INDEX(Tabela1[[Swimming - Men''s 50m Freestyle]:[Swimming - Mixed 4x100m Medley Relay]],MATCH(Table92[[#This Row],[Country]],Tabela1[Country], 0),0))</f>
        <v>10</v>
      </c>
      <c r="AP11" s="6">
        <f>SUM(INDEX(Tabela1[[Table Tennis - Men''s Singles]:[Table Tennis - Mixed Doubles]],MATCH(Table92[[#This Row],[Country]],Tabela1[Country], 0),0))</f>
        <v>0</v>
      </c>
      <c r="AQ11" s="6">
        <f>SUM(INDEX(Tabela1[[Taekwondo - Men''s 58kg]:[Taekwondo - Women''s +67kg]],MATCH(Table92[[#This Row],[Country]],Tabela1[Country], 0),0))</f>
        <v>4</v>
      </c>
      <c r="AR11" s="6">
        <f>SUM(INDEX(Tabela1[[Tennis - Men''s Singles]:[Tennis - Mixed Doubles]],MATCH(Table92[[#This Row],[Country]],Tabela1[Country], 0),0))</f>
        <v>7</v>
      </c>
      <c r="AS11" s="6">
        <f>SUM(INDEX(Tabela1[[Gymnastics - Men''s Trampoline]:[Gymnastics - Women''s Trampoline]],MATCH(Table92[[#This Row],[Country]],Tabela1[Country], 0),0))</f>
        <v>1</v>
      </c>
      <c r="AT11" s="6">
        <f>SUM(INDEX(Tabela1[[Triathlon - Men''s Individual]:[Triathlon - Mixed Relay]],MATCH(Table92[[#This Row],[Country]],Tabela1[Country], 0),0))</f>
        <v>3</v>
      </c>
      <c r="AU11" s="6">
        <f>SUM(INDEX(Tabela1[[Volleyball - Men''s Tournament]:[Volleyball - Women''s Tournament]],MATCH(Table92[[#This Row],[Country]],Tabela1[Country], 0),0))</f>
        <v>0</v>
      </c>
      <c r="AV11" s="6">
        <f>SUM(INDEX(Tabela1[[Water Polo - Men''s Tournament]:[Water Polo - Women''s Tournament]],MATCH(Table92[[#This Row],[Country]],Tabela1[Country], 0),0))</f>
        <v>2</v>
      </c>
      <c r="AW11" s="6">
        <f>SUM(INDEX(Tabela1[[Weightlifting - Men''s 61kg]:[Weightlifting - Women''s +81kg]],MATCH(Table92[[#This Row],[Country]],Tabela1[Country], 0),0))</f>
        <v>0</v>
      </c>
      <c r="AX11" s="6">
        <f>SUM(INDEX(Tabela1[[Wrestling - Men''s Freestyle 57kg]:[Wrestling - Women''s Freestyle 76kg]],MATCH(Table92[[#This Row],[Country]],Tabela1[Country], 0),0))</f>
        <v>0</v>
      </c>
      <c r="AY11" s="6">
        <f>SUM(INDEX(Tabela1[[Alpine Skiing - Men''s Downhill]:[Alpine Skiing - Women''s Team Combined]],MATCH(Table92[[#This Row],[Country]],Tabela1[Country], 0),0))</f>
        <v>0</v>
      </c>
      <c r="AZ11" s="6">
        <f>SUM(INDEX(Tabela1[[Biathlon - Men''s Individual]:[Biathlon - Mixed Relay]],MATCH(Table92[[#This Row],[Country]],Tabela1[Country], 0),0))</f>
        <v>0</v>
      </c>
      <c r="BA11" s="6">
        <f>SUM(INDEX(Tabela1[[Bobsleigh - Women''s Monobob]:[Bobsleigh - Men''s Four]],MATCH(Table92[[#This Row],[Country]],Tabela1[Country], 0),0))</f>
        <v>0</v>
      </c>
      <c r="BB11" s="6">
        <f>SUM(INDEX(Tabela1[[Cross-country skiing - Men''s Classical]:[Cross-country skiing - Women''s Team Sprint]],MATCH(Table92[[#This Row],[Country]],Tabela1[Country], 0),0))</f>
        <v>4</v>
      </c>
      <c r="BC11" s="6">
        <f>SUM(INDEX(Tabela1[[Curling - Men''s Tournament]:[Curling - Mixed Doubles]],MATCH(Table92[[#This Row],[Country]],Tabela1[Country], 0),0))</f>
        <v>0</v>
      </c>
      <c r="BD11" s="6">
        <f>SUM(INDEX(Tabela1[[Figure Skating - Men''s Singles]:[Figure Skating - Team Event]],MATCH(Table92[[#This Row],[Country]],Tabela1[Country], 0),0))</f>
        <v>1</v>
      </c>
      <c r="BE11" s="6">
        <f>SUM(INDEX(Tabela1[[Freestyle Skiing - Men''s Aerials]:[Freestyle Skiing - Women''s Slopestyle]],MATCH(Table92[[#This Row],[Country]],Tabela1[Country], 0),0))</f>
        <v>0</v>
      </c>
      <c r="BF11" s="6">
        <f>SUM(INDEX(Tabela1[[Ice Hockey - Men''s Tournament]:[Ice Hockey - Women''s Tournament]],MATCH(Table92[[#This Row],[Country]],Tabela1[Country], 0),0))</f>
        <v>0</v>
      </c>
      <c r="BG11" s="6">
        <f>SUM(INDEX(Tabela1[[Luge - Men''s Singles]:[Luge - Mixed Team Relay]],MATCH(Table92[[#This Row],[Country]],Tabela1[Country], 0),0))</f>
        <v>0</v>
      </c>
      <c r="BH11" s="6">
        <f>SUM(INDEX(Tabela1[[Nordic Combined - Men''s Individual]:[Nordic Combined - Men''s Team Sprint Large Hill]],MATCH(Table92[[#This Row],[Country]],Tabela1[Country], 0),0))</f>
        <v>0</v>
      </c>
      <c r="BI11" s="6">
        <f>SUM(INDEX(Tabela1[[Short track speed skating - Men''s 500m]:[Short track speed skating - Mixed 2000m Relay]],MATCH(Table92[[#This Row],[Country]],Tabela1[Country], 0),0))</f>
        <v>0</v>
      </c>
      <c r="BJ11" s="6">
        <f>SUM(INDEX(Tabela1[[Skeleton - Men''s Individual]:[Skeleton - Mixed Team]],MATCH(Table92[[#This Row],[Country]],Tabela1[Country], 0),0))</f>
        <v>0</v>
      </c>
      <c r="BK11" s="6">
        <f>SUM(INDEX(Tabela1[[Ski Jumping - Men''s Individual Large Hill]:[Ski Jumping - Mixed Team Normal Hill]],MATCH(Table92[[#This Row],[Country]],Tabela1[Country], 0),0))</f>
        <v>0</v>
      </c>
      <c r="BL11" s="6">
        <f>SUM(INDEX(Tabela1[[Ski Mountaineering - Men''s Sprint]:[Ski Mountaineering - Mixed Relay]],MATCH(Table92[[#This Row],[Country]],Tabela1[Country], 0),0))</f>
        <v>0</v>
      </c>
      <c r="BM11" s="6">
        <f>SUM(INDEX(Tabela1[[Snowboarding - Men''s Big Air]:[Snowboarding - Mixed Team Snowboard Cross]],MATCH(Table92[[#This Row],[Country]],Tabela1[Country], 0),0))</f>
        <v>0</v>
      </c>
      <c r="BN11" s="6">
        <f>SUM(INDEX(Tabela1[[Speed Skating - Men''s 500m]:[Speed Skating - Women''s Team Pursuit]],MATCH(Table92[[#This Row],[Country]],Tabela1[Country], 0),0))</f>
        <v>1</v>
      </c>
      <c r="BO11" s="6" t="str">
        <f>SUBSTITUTE(INDEX(Table92[[#Headers],[Archery Quotas]:[Speed Skating Quotas]], MATCH(MAX(Table92[[#This Row],[Archery Quotas]:[Speed Skating Quotas]]), Table92[[#This Row],[Archery Quotas]:[Speed Skating Quotas]], 0))," Quotas","")</f>
        <v>Athletics</v>
      </c>
      <c r="BP11" s="6">
        <f>SUM(Table92[[#This Row],[Summer Sports]:[Winter Sports]])</f>
        <v>37</v>
      </c>
      <c r="BQ11" s="6">
        <f>COUNTIF(Table92[[#This Row],[Archery Quotas]:[Wrestling Quotas]],"&lt;&gt;0")</f>
        <v>34</v>
      </c>
      <c r="BR11" s="6">
        <f>COUNTIF(Table92[[#This Row],[Alpine Skiing Quotas]:[Speed Skating Quotas]],"&lt;&gt;0")</f>
        <v>3</v>
      </c>
      <c r="BS11" s="3" t="s">
        <v>331</v>
      </c>
    </row>
    <row r="12" spans="1:71" x14ac:dyDescent="0.3">
      <c r="A12" s="6" t="s">
        <v>364</v>
      </c>
      <c r="B12" t="e" vm="11">
        <f>IF(ISBLANK(Table92[[#This Row],[Flag Link]]), "", _xlfn.IMAGE(Table92[[#This Row],[Flag Link]],1,1))</f>
        <v>#VALUE!</v>
      </c>
      <c r="C12" s="6">
        <f>SUM(Table92[[#This Row],[Archery Quotas]:[Speed Skating Quotas]])</f>
        <v>115</v>
      </c>
      <c r="D12" s="6">
        <f>SUM(INDEX(Tabela1[[Archery - Men''s Individual Recurve]:[Archery - Mixed Team Recurve]],MATCH(Table92[[#This Row],[Country]],Tabela1[Country], 0),0))</f>
        <v>0</v>
      </c>
      <c r="E12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2" s="6">
        <f>SUM(INDEX(Tabela1[[Artistic Swimming - Women''s Duet]:[Artistic Swimming - Women''s Team]],MATCH(Table92[[#This Row],[Country]],Tabela1[Country], 0),0))</f>
        <v>0</v>
      </c>
      <c r="G12" s="6">
        <f>SUM(INDEX(Tabela1[[Athletics - Men''s 100m]:[Athletics - Women''s Heptathlon]],MATCH(Table92[[#This Row],[Country]],Tabela1[Country], 0),0))</f>
        <v>11</v>
      </c>
      <c r="H12" s="6">
        <f>SUM(INDEX(Tabela1[[Badminton - Men''s Singles]:[Badminton - Mixed Doubles]],MATCH(Table92[[#This Row],[Country]],Tabela1[Country], 0),0))</f>
        <v>0</v>
      </c>
      <c r="I12" s="6">
        <f>SUM(INDEX(Tabela1[[Basketball - Men''s Tournament]:[Basketball - Women''s Tournament]],MATCH(Table92[[#This Row],[Country]],Tabela1[Country], 0),0))</f>
        <v>0</v>
      </c>
      <c r="J12" s="6">
        <f>SUM(INDEX(Tabela1[[3x3 Basketball - Men''s Tournament]:[3x3 Basketball - Women''s Tournament]],MATCH(Table92[[#This Row],[Country]],Tabela1[Country], 0),0))</f>
        <v>0</v>
      </c>
      <c r="K12" s="6">
        <f>SUM(INDEX(Tabela1[[Beach Volleyball - Men''s Tournament]:[Beach Volleyball - Women''s Tournament]],MATCH(Table92[[#This Row],[Country]],Tabela1[Country], 0),0))</f>
        <v>1</v>
      </c>
      <c r="L12" s="6">
        <f>SUM(INDEX(Tabela1[[Boxing - Men''s 51kg]:[Boxing - Women''s 75kg]],MATCH(Table92[[#This Row],[Country]],Tabela1[Country], 0),0))</f>
        <v>1</v>
      </c>
      <c r="M12" s="6">
        <f>SUM(INDEX(Tabela1[[Breaking - Men''s Individual]:[Breaking - Women''s Individual]],MATCH(Table92[[#This Row],[Country]],Tabela1[Country], 0),0))</f>
        <v>0</v>
      </c>
      <c r="N12" s="6">
        <f>SUM(INDEX(Tabela1[[Canoeing - Men''s C1 Slalom]:[Canoeing - Women''s Kayak Cross Slalom]],MATCH(Table92[[#This Row],[Country]],Tabela1[Country], 0),0))</f>
        <v>0</v>
      </c>
      <c r="O12" s="6">
        <f>SUM(INDEX(Tabela1[[Canoeing - Women''s C1 200m]:[Canoeing - Women''s K4 500m]],MATCH(Table92[[#This Row],[Country]],Tabela1[Country], 0),0))</f>
        <v>3</v>
      </c>
      <c r="P12" s="6">
        <f>SUM(INDEX(Tabela1[[Cycling - Men''s BMX Freestyle]:[Cycling - Women''s BMX Freestyle]],MATCH(Table92[[#This Row],[Country]],Tabela1[Country], 0),0))</f>
        <v>0</v>
      </c>
      <c r="Q12" s="6">
        <f>SUM(INDEX(Tabela1[[Cycling - Men''s BMX Racing]:[Cycling - Women''s BMX Racing]],MATCH(Table92[[#This Row],[Country]],Tabela1[Country], 0),0))</f>
        <v>0</v>
      </c>
      <c r="R12" s="6">
        <f>SUM(INDEX(Tabela1[[Cycling - Men''s Cross-Country]:[Cycling - Women''s Cross-Country]],MATCH(Table92[[#This Row],[Country]],Tabela1[Country], 0),0))</f>
        <v>0</v>
      </c>
      <c r="S12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3</v>
      </c>
      <c r="T12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1</v>
      </c>
      <c r="U12" s="6">
        <f>SUM(INDEX(Tabela1[[Diving - Men''s Springboard]:[Diving - Women''s Synchronized Platform]],MATCH(Table92[[#This Row],[Country]],Tabela1[Country], 0),0))</f>
        <v>0</v>
      </c>
      <c r="V12" s="6">
        <f>SUM(INDEX(Tabela1[[Equestrian - Individual Dressage]:[Equestrian - Team Dressage]],MATCH(Table92[[#This Row],[Country]],Tabela1[Country], 0),0))</f>
        <v>1</v>
      </c>
      <c r="W12" s="6">
        <f>SUM(INDEX(Tabela1[[Equestrian - Individual Eventing]:[Equestrian - Team Eventing]],MATCH(Table92[[#This Row],[Country]],Tabela1[Country], 0),0))</f>
        <v>0</v>
      </c>
      <c r="X12" s="6">
        <f>SUM(INDEX(Tabela1[[Equestrian - Individual Jumping]:[Equestrian - Team Jumping]],MATCH(Table92[[#This Row],[Country]],Tabela1[Country], 0),0))</f>
        <v>1</v>
      </c>
      <c r="Y12" s="6">
        <f>SUM(INDEX(Tabela1[[Fencing - Men''s Épée]:[Fencing - Women''s Team Sabre]],MATCH(Table92[[#This Row],[Country]],Tabela1[Country], 0),0))</f>
        <v>0</v>
      </c>
      <c r="Z12" s="6">
        <f>SUM(INDEX(Tabela1[[Field Hockey - Men''s Tournament]:[Field Hockey - Women''s Tournament]],MATCH(Table92[[#This Row],[Country]],Tabela1[Country], 0),0))</f>
        <v>0</v>
      </c>
      <c r="AA12" s="6">
        <f>SUM(INDEX(Tabela1[[Football - Men''s Tournament]:[Football - Women''s Tournament]],MATCH(Table92[[#This Row],[Country]],Tabela1[Country], 0),0))</f>
        <v>0</v>
      </c>
      <c r="AB12" s="6">
        <f>SUM(INDEX(Tabela1[[Golf - Men''s Individual]:[Golf - Women''s Individual]],MATCH(Table92[[#This Row],[Country]],Tabela1[Country], 0),0))</f>
        <v>2</v>
      </c>
      <c r="AC12" s="6">
        <f>SUM(INDEX(Tabela1[[Handball - Men''s Tournament]:[Handball - Women''s Tournament]],MATCH(Table92[[#This Row],[Country]],Tabela1[Country], 0),0))</f>
        <v>2</v>
      </c>
      <c r="AD12" s="6">
        <f>SUM(INDEX(Tabela1[[Judo - Men''s 60kg]:[Judo - Mixed Team]],MATCH(Table92[[#This Row],[Country]],Tabela1[Country], 0),0))</f>
        <v>0</v>
      </c>
      <c r="AE12" s="6">
        <f>SUM(INDEX(Tabela1[[Swimming - Men''s 10km Open Water]:[Swimming - Women''s 10km Open Water]],MATCH(Table92[[#This Row],[Country]],Tabela1[Country], 0),0))</f>
        <v>1</v>
      </c>
      <c r="AF12" s="6">
        <f>SUM(INDEX(Tabela1[[Modern Pentathlon - Men''s Individual]:[Modern Pentathlon - Women''s Individual]],MATCH(Table92[[#This Row],[Country]],Tabela1[Country], 0),0))</f>
        <v>0</v>
      </c>
      <c r="AG12" s="6">
        <f>SUM(INDEX(Tabela1[[Rhythmic Gymnastics - Women''s Individual All-Around]:[Rhythmic Gymnastics - Women''s Group All-Around]],MATCH(Table92[[#This Row],[Country]],Tabela1[Country], 0),0))</f>
        <v>0</v>
      </c>
      <c r="AH12" s="6">
        <f>SUM(INDEX(Tabela1[[Rowing - Men''s Single Sculls]:[Rowing - Women''s Lwt. Double Sculls]],MATCH(Table92[[#This Row],[Country]],Tabela1[Country], 0),0))</f>
        <v>4</v>
      </c>
      <c r="AI12" s="6">
        <f>SUM(INDEX(Tabela1[[Rugby Sevens - Men''s Tournament]:[Rugby Sevens - Women''s Tournament]],MATCH(Table92[[#This Row],[Country]],Tabela1[Country], 0),0))</f>
        <v>0</v>
      </c>
      <c r="AJ12" s="6">
        <f>SUM(INDEX(Tabela1[[Sailing - Mixed 470]:[Sailing - Mixed Nacra 17]],MATCH(Table92[[#This Row],[Country]],Tabela1[Country], 0),0))</f>
        <v>2</v>
      </c>
      <c r="AK12" s="6">
        <f>SUM(INDEX(Tabela1[[Shooting - Men''s 10m Air Pistol]:[Shooting - Women''s Trap]],MATCH(Table92[[#This Row],[Country]],Tabela1[Country], 0),0))</f>
        <v>10</v>
      </c>
      <c r="AL12" s="6">
        <f>SUM(INDEX(Tabela1[[Skateboarding - Men''s Park]:[Skateboarding - Women''s Street]],MATCH(Table92[[#This Row],[Country]],Tabela1[Country], 0),0))</f>
        <v>0</v>
      </c>
      <c r="AM12" s="6">
        <f>SUM(INDEX(Tabela1[[Sport Climbing - Men''s Boulder and Lead]:[Sport Climbing - Women''s Speed]],MATCH(Table92[[#This Row],[Country]],Tabela1[Country], 0),0))</f>
        <v>0</v>
      </c>
      <c r="AN12" s="6">
        <f>SUM(INDEX(Tabela1[[Surfing - Men''s Shortboard]:[Surfing - Women''s Shortboard]],MATCH(Table92[[#This Row],[Country]],Tabela1[Country], 0),0))</f>
        <v>0</v>
      </c>
      <c r="AO12" s="6">
        <f>SUM(INDEX(Tabela1[[Swimming - Men''s 50m Freestyle]:[Swimming - Mixed 4x100m Medley Relay]],MATCH(Table92[[#This Row],[Country]],Tabela1[Country], 0),0))</f>
        <v>2</v>
      </c>
      <c r="AP12" s="6">
        <f>SUM(INDEX(Tabela1[[Table Tennis - Men''s Singles]:[Table Tennis - Mixed Doubles]],MATCH(Table92[[#This Row],[Country]],Tabela1[Country], 0),0))</f>
        <v>0</v>
      </c>
      <c r="AQ12" s="6">
        <f>SUM(INDEX(Tabela1[[Taekwondo - Men''s 58kg]:[Taekwondo - Women''s +67kg]],MATCH(Table92[[#This Row],[Country]],Tabela1[Country], 0),0))</f>
        <v>0</v>
      </c>
      <c r="AR12" s="6">
        <f>SUM(INDEX(Tabela1[[Tennis - Men''s Singles]:[Tennis - Mixed Doubles]],MATCH(Table92[[#This Row],[Country]],Tabela1[Country], 0),0))</f>
        <v>1</v>
      </c>
      <c r="AS12" s="6">
        <f>SUM(INDEX(Tabela1[[Gymnastics - Men''s Trampoline]:[Gymnastics - Women''s Trampoline]],MATCH(Table92[[#This Row],[Country]],Tabela1[Country], 0),0))</f>
        <v>0</v>
      </c>
      <c r="AT12" s="6">
        <f>SUM(INDEX(Tabela1[[Triathlon - Men''s Individual]:[Triathlon - Mixed Relay]],MATCH(Table92[[#This Row],[Country]],Tabela1[Country], 0),0))</f>
        <v>3</v>
      </c>
      <c r="AU12" s="6">
        <f>SUM(INDEX(Tabela1[[Volleyball - Men''s Tournament]:[Volleyball - Women''s Tournament]],MATCH(Table92[[#This Row],[Country]],Tabela1[Country], 0),0))</f>
        <v>0</v>
      </c>
      <c r="AV12" s="6">
        <f>SUM(INDEX(Tabela1[[Water Polo - Men''s Tournament]:[Water Polo - Women''s Tournament]],MATCH(Table92[[#This Row],[Country]],Tabela1[Country], 0),0))</f>
        <v>0</v>
      </c>
      <c r="AW12" s="6">
        <f>SUM(INDEX(Tabela1[[Weightlifting - Men''s 61kg]:[Weightlifting - Women''s +81kg]],MATCH(Table92[[#This Row],[Country]],Tabela1[Country], 0),0))</f>
        <v>0</v>
      </c>
      <c r="AX12" s="6">
        <f>SUM(INDEX(Tabela1[[Wrestling - Men''s Freestyle 57kg]:[Wrestling - Women''s Freestyle 76kg]],MATCH(Table92[[#This Row],[Country]],Tabela1[Country], 0),0))</f>
        <v>0</v>
      </c>
      <c r="AY12" s="6">
        <f>SUM(INDEX(Tabela1[[Alpine Skiing - Men''s Downhill]:[Alpine Skiing - Women''s Team Combined]],MATCH(Table92[[#This Row],[Country]],Tabela1[Country], 0),0))</f>
        <v>10</v>
      </c>
      <c r="AZ12" s="6">
        <f>SUM(INDEX(Tabela1[[Biathlon - Men''s Individual]:[Biathlon - Mixed Relay]],MATCH(Table92[[#This Row],[Country]],Tabela1[Country], 0),0))</f>
        <v>17</v>
      </c>
      <c r="BA12" s="6">
        <f>SUM(INDEX(Tabela1[[Bobsleigh - Women''s Monobob]:[Bobsleigh - Men''s Four]],MATCH(Table92[[#This Row],[Country]],Tabela1[Country], 0),0))</f>
        <v>0</v>
      </c>
      <c r="BB12" s="6">
        <f>SUM(INDEX(Tabela1[[Cross-country skiing - Men''s Classical]:[Cross-country skiing - Women''s Team Sprint]],MATCH(Table92[[#This Row],[Country]],Tabela1[Country], 0),0))</f>
        <v>16</v>
      </c>
      <c r="BC12" s="6">
        <f>SUM(INDEX(Tabela1[[Curling - Men''s Tournament]:[Curling - Mixed Doubles]],MATCH(Table92[[#This Row],[Country]],Tabela1[Country], 0),0))</f>
        <v>2</v>
      </c>
      <c r="BD12" s="6">
        <f>SUM(INDEX(Tabela1[[Figure Skating - Men''s Singles]:[Figure Skating - Team Event]],MATCH(Table92[[#This Row],[Country]],Tabela1[Country], 0),0))</f>
        <v>0</v>
      </c>
      <c r="BE12" s="6">
        <f>SUM(INDEX(Tabela1[[Freestyle Skiing - Men''s Aerials]:[Freestyle Skiing - Women''s Slopestyle]],MATCH(Table92[[#This Row],[Country]],Tabela1[Country], 0),0))</f>
        <v>4</v>
      </c>
      <c r="BF12" s="6">
        <f>SUM(INDEX(Tabela1[[Ice Hockey - Men''s Tournament]:[Ice Hockey - Women''s Tournament]],MATCH(Table92[[#This Row],[Country]],Tabela1[Country], 0),0))</f>
        <v>0</v>
      </c>
      <c r="BG12" s="6">
        <f>SUM(INDEX(Tabela1[[Luge - Men''s Singles]:[Luge - Mixed Team Relay]],MATCH(Table92[[#This Row],[Country]],Tabela1[Country], 0),0))</f>
        <v>0</v>
      </c>
      <c r="BH12" s="6">
        <f>SUM(INDEX(Tabela1[[Nordic Combined - Men''s Individual]:[Nordic Combined - Men''s Team Sprint Large Hill]],MATCH(Table92[[#This Row],[Country]],Tabela1[Country], 0),0))</f>
        <v>7</v>
      </c>
      <c r="BI12" s="6">
        <f>SUM(INDEX(Tabela1[[Short track speed skating - Men''s 500m]:[Short track speed skating - Mixed 2000m Relay]],MATCH(Table92[[#This Row],[Country]],Tabela1[Country], 0),0))</f>
        <v>0</v>
      </c>
      <c r="BJ12" s="6">
        <f>SUM(INDEX(Tabela1[[Skeleton - Men''s Individual]:[Skeleton - Mixed Team]],MATCH(Table92[[#This Row],[Country]],Tabela1[Country], 0),0))</f>
        <v>0</v>
      </c>
      <c r="BK12" s="6">
        <f>SUM(INDEX(Tabela1[[Ski Jumping - Men''s Individual Large Hill]:[Ski Jumping - Mixed Team Normal Hill]],MATCH(Table92[[#This Row],[Country]],Tabela1[Country], 0),0))</f>
        <v>2</v>
      </c>
      <c r="BL12" s="6">
        <f>SUM(INDEX(Tabela1[[Ski Mountaineering - Men''s Sprint]:[Ski Mountaineering - Mixed Relay]],MATCH(Table92[[#This Row],[Country]],Tabela1[Country], 0),0))</f>
        <v>0</v>
      </c>
      <c r="BM12" s="6">
        <f>SUM(INDEX(Tabela1[[Snowboarding - Men''s Big Air]:[Snowboarding - Mixed Team Snowboard Cross]],MATCH(Table92[[#This Row],[Country]],Tabela1[Country], 0),0))</f>
        <v>2</v>
      </c>
      <c r="BN12" s="6">
        <f>SUM(INDEX(Tabela1[[Speed Skating - Men''s 500m]:[Speed Skating - Women''s Team Pursuit]],MATCH(Table92[[#This Row],[Country]],Tabela1[Country], 0),0))</f>
        <v>6</v>
      </c>
      <c r="BO12" s="6" t="str">
        <f>SUBSTITUTE(INDEX(Table92[[#Headers],[Archery Quotas]:[Speed Skating Quotas]], MATCH(MAX(Table92[[#This Row],[Archery Quotas]:[Speed Skating Quotas]]), Table92[[#This Row],[Archery Quotas]:[Speed Skating Quotas]], 0))," Quotas","")</f>
        <v>Biathlon</v>
      </c>
      <c r="BP12" s="6">
        <f>SUM(Table92[[#This Row],[Summer Sports]:[Winter Sports]])</f>
        <v>26</v>
      </c>
      <c r="BQ12" s="6">
        <f>COUNTIF(Table92[[#This Row],[Archery Quotas]:[Wrestling Quotas]],"&lt;&gt;0")</f>
        <v>17</v>
      </c>
      <c r="BR12" s="6">
        <f>COUNTIF(Table92[[#This Row],[Alpine Skiing Quotas]:[Speed Skating Quotas]],"&lt;&gt;0")</f>
        <v>9</v>
      </c>
      <c r="BS12" s="3" t="s">
        <v>365</v>
      </c>
    </row>
    <row r="13" spans="1:71" x14ac:dyDescent="0.3">
      <c r="A13" s="6" t="s">
        <v>372</v>
      </c>
      <c r="B13" t="e" vm="13">
        <f>IF(ISBLANK(Table92[[#This Row],[Flag Link]]), "", _xlfn.IMAGE(Table92[[#This Row],[Flag Link]],1,1))</f>
        <v>#VALUE!</v>
      </c>
      <c r="C13" s="6">
        <f>SUM(Table92[[#This Row],[Archery Quotas]:[Speed Skating Quotas]])</f>
        <v>102</v>
      </c>
      <c r="D13" s="6">
        <f>SUM(INDEX(Tabela1[[Archery - Men''s Individual Recurve]:[Archery - Mixed Team Recurve]],MATCH(Table92[[#This Row],[Country]],Tabela1[Country], 0),0))</f>
        <v>0</v>
      </c>
      <c r="E13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3" s="6">
        <f>SUM(INDEX(Tabela1[[Artistic Swimming - Women''s Duet]:[Artistic Swimming - Women''s Team]],MATCH(Table92[[#This Row],[Country]],Tabela1[Country], 0),0))</f>
        <v>0</v>
      </c>
      <c r="G13" s="6">
        <f>SUM(INDEX(Tabela1[[Athletics - Men''s 100m]:[Athletics - Women''s Heptathlon]],MATCH(Table92[[#This Row],[Country]],Tabela1[Country], 0),0))</f>
        <v>14</v>
      </c>
      <c r="H13" s="6">
        <f>SUM(INDEX(Tabela1[[Badminton - Men''s Singles]:[Badminton - Mixed Doubles]],MATCH(Table92[[#This Row],[Country]],Tabela1[Country], 0),0))</f>
        <v>1</v>
      </c>
      <c r="I13" s="6">
        <f>SUM(INDEX(Tabela1[[Basketball - Men''s Tournament]:[Basketball - Women''s Tournament]],MATCH(Table92[[#This Row],[Country]],Tabela1[Country], 0),0))</f>
        <v>0</v>
      </c>
      <c r="J13" s="6">
        <f>SUM(INDEX(Tabela1[[3x3 Basketball - Men''s Tournament]:[3x3 Basketball - Women''s Tournament]],MATCH(Table92[[#This Row],[Country]],Tabela1[Country], 0),0))</f>
        <v>0</v>
      </c>
      <c r="K13" s="6">
        <f>SUM(INDEX(Tabela1[[Beach Volleyball - Men''s Tournament]:[Beach Volleyball - Women''s Tournament]],MATCH(Table92[[#This Row],[Country]],Tabela1[Country], 0),0))</f>
        <v>0</v>
      </c>
      <c r="L13" s="6">
        <f>SUM(INDEX(Tabela1[[Boxing - Men''s 51kg]:[Boxing - Women''s 75kg]],MATCH(Table92[[#This Row],[Country]],Tabela1[Country], 0),0))</f>
        <v>1</v>
      </c>
      <c r="M13" s="6">
        <f>SUM(INDEX(Tabela1[[Breaking - Men''s Individual]:[Breaking - Women''s Individual]],MATCH(Table92[[#This Row],[Country]],Tabela1[Country], 0),0))</f>
        <v>0</v>
      </c>
      <c r="N13" s="6">
        <f>SUM(INDEX(Tabela1[[Canoeing - Men''s C1 Slalom]:[Canoeing - Women''s Kayak Cross Slalom]],MATCH(Table92[[#This Row],[Country]],Tabela1[Country], 0),0))</f>
        <v>0</v>
      </c>
      <c r="O13" s="6">
        <f>SUM(INDEX(Tabela1[[Canoeing - Women''s C1 200m]:[Canoeing - Women''s K4 500m]],MATCH(Table92[[#This Row],[Country]],Tabela1[Country], 0),0))</f>
        <v>0</v>
      </c>
      <c r="P13" s="6">
        <f>SUM(INDEX(Tabela1[[Cycling - Men''s BMX Freestyle]:[Cycling - Women''s BMX Freestyle]],MATCH(Table92[[#This Row],[Country]],Tabela1[Country], 0),0))</f>
        <v>0</v>
      </c>
      <c r="Q13" s="6">
        <f>SUM(INDEX(Tabela1[[Cycling - Men''s BMX Racing]:[Cycling - Women''s BMX Racing]],MATCH(Table92[[#This Row],[Country]],Tabela1[Country], 0),0))</f>
        <v>0</v>
      </c>
      <c r="R13" s="6">
        <f>SUM(INDEX(Tabela1[[Cycling - Men''s Cross-Country]:[Cycling - Women''s Cross-Country]],MATCH(Table92[[#This Row],[Country]],Tabela1[Country], 0),0))</f>
        <v>1</v>
      </c>
      <c r="S13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2</v>
      </c>
      <c r="T13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3" s="6">
        <f>SUM(INDEX(Tabela1[[Diving - Men''s Springboard]:[Diving - Women''s Synchronized Platform]],MATCH(Table92[[#This Row],[Country]],Tabela1[Country], 0),0))</f>
        <v>0</v>
      </c>
      <c r="V13" s="6">
        <f>SUM(INDEX(Tabela1[[Equestrian - Individual Dressage]:[Equestrian - Team Dressage]],MATCH(Table92[[#This Row],[Country]],Tabela1[Country], 0),0))</f>
        <v>3</v>
      </c>
      <c r="W13" s="6">
        <f>SUM(INDEX(Tabela1[[Equestrian - Individual Eventing]:[Equestrian - Team Eventing]],MATCH(Table92[[#This Row],[Country]],Tabela1[Country], 0),0))</f>
        <v>1</v>
      </c>
      <c r="X13" s="6">
        <f>SUM(INDEX(Tabela1[[Equestrian - Individual Jumping]:[Equestrian - Team Jumping]],MATCH(Table92[[#This Row],[Country]],Tabela1[Country], 0),0))</f>
        <v>0</v>
      </c>
      <c r="Y13" s="6">
        <f>SUM(INDEX(Tabela1[[Fencing - Men''s Épée]:[Fencing - Women''s Team Sabre]],MATCH(Table92[[#This Row],[Country]],Tabela1[Country], 0),0))</f>
        <v>0</v>
      </c>
      <c r="Z13" s="6">
        <f>SUM(INDEX(Tabela1[[Field Hockey - Men''s Tournament]:[Field Hockey - Women''s Tournament]],MATCH(Table92[[#This Row],[Country]],Tabela1[Country], 0),0))</f>
        <v>0</v>
      </c>
      <c r="AA13" s="6">
        <f>SUM(INDEX(Tabela1[[Football - Men''s Tournament]:[Football - Women''s Tournament]],MATCH(Table92[[#This Row],[Country]],Tabela1[Country], 0),0))</f>
        <v>0</v>
      </c>
      <c r="AB13" s="6">
        <f>SUM(INDEX(Tabela1[[Golf - Men''s Individual]:[Golf - Women''s Individual]],MATCH(Table92[[#This Row],[Country]],Tabela1[Country], 0),0))</f>
        <v>4</v>
      </c>
      <c r="AC13" s="6">
        <f>SUM(INDEX(Tabela1[[Handball - Men''s Tournament]:[Handball - Women''s Tournament]],MATCH(Table92[[#This Row],[Country]],Tabela1[Country], 0),0))</f>
        <v>0</v>
      </c>
      <c r="AD13" s="6">
        <f>SUM(INDEX(Tabela1[[Judo - Men''s 60kg]:[Judo - Mixed Team]],MATCH(Table92[[#This Row],[Country]],Tabela1[Country], 0),0))</f>
        <v>0</v>
      </c>
      <c r="AE13" s="6">
        <f>SUM(INDEX(Tabela1[[Swimming - Men''s 10km Open Water]:[Swimming - Women''s 10km Open Water]],MATCH(Table92[[#This Row],[Country]],Tabela1[Country], 0),0))</f>
        <v>0</v>
      </c>
      <c r="AF13" s="6">
        <f>SUM(INDEX(Tabela1[[Modern Pentathlon - Men''s Individual]:[Modern Pentathlon - Women''s Individual]],MATCH(Table92[[#This Row],[Country]],Tabela1[Country], 0),0))</f>
        <v>0</v>
      </c>
      <c r="AG13" s="6">
        <f>SUM(INDEX(Tabela1[[Rhythmic Gymnastics - Women''s Individual All-Around]:[Rhythmic Gymnastics - Women''s Group All-Around]],MATCH(Table92[[#This Row],[Country]],Tabela1[Country], 0),0))</f>
        <v>0</v>
      </c>
      <c r="AH13" s="6">
        <f>SUM(INDEX(Tabela1[[Rowing - Men''s Single Sculls]:[Rowing - Women''s Lwt. Double Sculls]],MATCH(Table92[[#This Row],[Country]],Tabela1[Country], 0),0))</f>
        <v>0</v>
      </c>
      <c r="AI13" s="6">
        <f>SUM(INDEX(Tabela1[[Rugby Sevens - Men''s Tournament]:[Rugby Sevens - Women''s Tournament]],MATCH(Table92[[#This Row],[Country]],Tabela1[Country], 0),0))</f>
        <v>0</v>
      </c>
      <c r="AJ13" s="6">
        <f>SUM(INDEX(Tabela1[[Sailing - Mixed 470]:[Sailing - Mixed Nacra 17]],MATCH(Table92[[#This Row],[Country]],Tabela1[Country], 0),0))</f>
        <v>5</v>
      </c>
      <c r="AK13" s="6">
        <f>SUM(INDEX(Tabela1[[Shooting - Men''s 10m Air Pistol]:[Shooting - Women''s Trap]],MATCH(Table92[[#This Row],[Country]],Tabela1[Country], 0),0))</f>
        <v>3</v>
      </c>
      <c r="AL13" s="6">
        <f>SUM(INDEX(Tabela1[[Skateboarding - Men''s Park]:[Skateboarding - Women''s Street]],MATCH(Table92[[#This Row],[Country]],Tabela1[Country], 0),0))</f>
        <v>1</v>
      </c>
      <c r="AM13" s="6">
        <f>SUM(INDEX(Tabela1[[Sport Climbing - Men''s Boulder and Lead]:[Sport Climbing - Women''s Speed]],MATCH(Table92[[#This Row],[Country]],Tabela1[Country], 0),0))</f>
        <v>0</v>
      </c>
      <c r="AN13" s="6">
        <f>SUM(INDEX(Tabela1[[Surfing - Men''s Shortboard]:[Surfing - Women''s Shortboard]],MATCH(Table92[[#This Row],[Country]],Tabela1[Country], 0),0))</f>
        <v>0</v>
      </c>
      <c r="AO13" s="6">
        <f>SUM(INDEX(Tabela1[[Swimming - Men''s 50m Freestyle]:[Swimming - Mixed 4x100m Medley Relay]],MATCH(Table92[[#This Row],[Country]],Tabela1[Country], 0),0))</f>
        <v>1</v>
      </c>
      <c r="AP13" s="6">
        <f>SUM(INDEX(Tabela1[[Table Tennis - Men''s Singles]:[Table Tennis - Mixed Doubles]],MATCH(Table92[[#This Row],[Country]],Tabela1[Country], 0),0))</f>
        <v>0</v>
      </c>
      <c r="AQ13" s="6">
        <f>SUM(INDEX(Tabela1[[Taekwondo - Men''s 58kg]:[Taekwondo - Women''s +67kg]],MATCH(Table92[[#This Row],[Country]],Tabela1[Country], 0),0))</f>
        <v>0</v>
      </c>
      <c r="AR13" s="6">
        <f>SUM(INDEX(Tabela1[[Tennis - Men''s Singles]:[Tennis - Mixed Doubles]],MATCH(Table92[[#This Row],[Country]],Tabela1[Country], 0),0))</f>
        <v>0</v>
      </c>
      <c r="AS13" s="6">
        <f>SUM(INDEX(Tabela1[[Gymnastics - Men''s Trampoline]:[Gymnastics - Women''s Trampoline]],MATCH(Table92[[#This Row],[Country]],Tabela1[Country], 0),0))</f>
        <v>0</v>
      </c>
      <c r="AT13" s="6">
        <f>SUM(INDEX(Tabela1[[Triathlon - Men''s Individual]:[Triathlon - Mixed Relay]],MATCH(Table92[[#This Row],[Country]],Tabela1[Country], 0),0))</f>
        <v>0</v>
      </c>
      <c r="AU13" s="6">
        <f>SUM(INDEX(Tabela1[[Volleyball - Men''s Tournament]:[Volleyball - Women''s Tournament]],MATCH(Table92[[#This Row],[Country]],Tabela1[Country], 0),0))</f>
        <v>0</v>
      </c>
      <c r="AV13" s="6">
        <f>SUM(INDEX(Tabela1[[Water Polo - Men''s Tournament]:[Water Polo - Women''s Tournament]],MATCH(Table92[[#This Row],[Country]],Tabela1[Country], 0),0))</f>
        <v>0</v>
      </c>
      <c r="AW13" s="6">
        <f>SUM(INDEX(Tabela1[[Weightlifting - Men''s 61kg]:[Weightlifting - Women''s +81kg]],MATCH(Table92[[#This Row],[Country]],Tabela1[Country], 0),0))</f>
        <v>0</v>
      </c>
      <c r="AX13" s="6">
        <f>SUM(INDEX(Tabela1[[Wrestling - Men''s Freestyle 57kg]:[Wrestling - Women''s Freestyle 76kg]],MATCH(Table92[[#This Row],[Country]],Tabela1[Country], 0),0))</f>
        <v>2</v>
      </c>
      <c r="AY13" s="6">
        <f>SUM(INDEX(Tabela1[[Alpine Skiing - Men''s Downhill]:[Alpine Skiing - Women''s Team Combined]],MATCH(Table92[[#This Row],[Country]],Tabela1[Country], 0),0))</f>
        <v>8</v>
      </c>
      <c r="AZ13" s="6">
        <f>SUM(INDEX(Tabela1[[Biathlon - Men''s Individual]:[Biathlon - Mixed Relay]],MATCH(Table92[[#This Row],[Country]],Tabela1[Country], 0),0))</f>
        <v>21</v>
      </c>
      <c r="BA13" s="6">
        <f>SUM(INDEX(Tabela1[[Bobsleigh - Women''s Monobob]:[Bobsleigh - Men''s Four]],MATCH(Table92[[#This Row],[Country]],Tabela1[Country], 0),0))</f>
        <v>0</v>
      </c>
      <c r="BB13" s="6">
        <f>SUM(INDEX(Tabela1[[Cross-country skiing - Men''s Classical]:[Cross-country skiing - Women''s Team Sprint]],MATCH(Table92[[#This Row],[Country]],Tabela1[Country], 0),0))</f>
        <v>12</v>
      </c>
      <c r="BC13" s="6">
        <f>SUM(INDEX(Tabela1[[Curling - Men''s Tournament]:[Curling - Mixed Doubles]],MATCH(Table92[[#This Row],[Country]],Tabela1[Country], 0),0))</f>
        <v>0</v>
      </c>
      <c r="BD13" s="6">
        <f>SUM(INDEX(Tabela1[[Figure Skating - Men''s Singles]:[Figure Skating - Team Event]],MATCH(Table92[[#This Row],[Country]],Tabela1[Country], 0),0))</f>
        <v>1</v>
      </c>
      <c r="BE13" s="6">
        <f>SUM(INDEX(Tabela1[[Freestyle Skiing - Men''s Aerials]:[Freestyle Skiing - Women''s Slopestyle]],MATCH(Table92[[#This Row],[Country]],Tabela1[Country], 0),0))</f>
        <v>8</v>
      </c>
      <c r="BF13" s="6">
        <f>SUM(INDEX(Tabela1[[Ice Hockey - Men''s Tournament]:[Ice Hockey - Women''s Tournament]],MATCH(Table92[[#This Row],[Country]],Tabela1[Country], 0),0))</f>
        <v>2</v>
      </c>
      <c r="BG13" s="6">
        <f>SUM(INDEX(Tabela1[[Luge - Men''s Singles]:[Luge - Mixed Team Relay]],MATCH(Table92[[#This Row],[Country]],Tabela1[Country], 0),0))</f>
        <v>0</v>
      </c>
      <c r="BH13" s="6">
        <f>SUM(INDEX(Tabela1[[Nordic Combined - Men''s Individual]:[Nordic Combined - Men''s Team Sprint Large Hill]],MATCH(Table92[[#This Row],[Country]],Tabela1[Country], 0),0))</f>
        <v>3</v>
      </c>
      <c r="BI13" s="6">
        <f>SUM(INDEX(Tabela1[[Short track speed skating - Men''s 500m]:[Short track speed skating - Mixed 2000m Relay]],MATCH(Table92[[#This Row],[Country]],Tabela1[Country], 0),0))</f>
        <v>0</v>
      </c>
      <c r="BJ13" s="6">
        <f>SUM(INDEX(Tabela1[[Skeleton - Men''s Individual]:[Skeleton - Mixed Team]],MATCH(Table92[[#This Row],[Country]],Tabela1[Country], 0),0))</f>
        <v>0</v>
      </c>
      <c r="BK13" s="6">
        <f>SUM(INDEX(Tabela1[[Ski Jumping - Men''s Individual Large Hill]:[Ski Jumping - Mixed Team Normal Hill]],MATCH(Table92[[#This Row],[Country]],Tabela1[Country], 0),0))</f>
        <v>8</v>
      </c>
      <c r="BL13" s="6">
        <f>SUM(INDEX(Tabela1[[Ski Mountaineering - Men''s Sprint]:[Ski Mountaineering - Mixed Relay]],MATCH(Table92[[#This Row],[Country]],Tabela1[Country], 0),0))</f>
        <v>0</v>
      </c>
      <c r="BM13" s="6">
        <f>SUM(INDEX(Tabela1[[Snowboarding - Men''s Big Air]:[Snowboarding - Mixed Team Snowboard Cross]],MATCH(Table92[[#This Row],[Country]],Tabela1[Country], 0),0))</f>
        <v>0</v>
      </c>
      <c r="BN13" s="6">
        <f>SUM(INDEX(Tabela1[[Speed Skating - Men''s 500m]:[Speed Skating - Women''s Team Pursuit]],MATCH(Table92[[#This Row],[Country]],Tabela1[Country], 0),0))</f>
        <v>0</v>
      </c>
      <c r="BO13" s="6" t="str">
        <f>SUBSTITUTE(INDEX(Table92[[#Headers],[Archery Quotas]:[Speed Skating Quotas]], MATCH(MAX(Table92[[#This Row],[Archery Quotas]:[Speed Skating Quotas]]), Table92[[#This Row],[Archery Quotas]:[Speed Skating Quotas]], 0))," Quotas","")</f>
        <v>Biathlon</v>
      </c>
      <c r="BP13" s="6">
        <f>SUM(Table92[[#This Row],[Summer Sports]:[Winter Sports]])</f>
        <v>21</v>
      </c>
      <c r="BQ13" s="6">
        <f>COUNTIF(Table92[[#This Row],[Archery Quotas]:[Wrestling Quotas]],"&lt;&gt;0")</f>
        <v>13</v>
      </c>
      <c r="BR13" s="6">
        <f>COUNTIF(Table92[[#This Row],[Alpine Skiing Quotas]:[Speed Skating Quotas]],"&lt;&gt;0")</f>
        <v>8</v>
      </c>
      <c r="BS13" s="4" t="s">
        <v>373</v>
      </c>
    </row>
    <row r="14" spans="1:71" x14ac:dyDescent="0.3">
      <c r="A14" s="6" t="s">
        <v>394</v>
      </c>
      <c r="B14" t="e" vm="12">
        <f>IF(ISBLANK(Table92[[#This Row],[Flag Link]]), "", _xlfn.IMAGE(Table92[[#This Row],[Flag Link]],1,1))</f>
        <v>#VALUE!</v>
      </c>
      <c r="C14" s="6">
        <f>SUM(Table92[[#This Row],[Archery Quotas]:[Speed Skating Quotas]])</f>
        <v>102</v>
      </c>
      <c r="D14" s="6">
        <f>SUM(INDEX(Tabela1[[Archery - Men''s Individual Recurve]:[Archery - Mixed Team Recurve]],MATCH(Table92[[#This Row],[Country]],Tabela1[Country], 0),0))</f>
        <v>0</v>
      </c>
      <c r="E14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4" s="6">
        <f>SUM(INDEX(Tabela1[[Artistic Swimming - Women''s Duet]:[Artistic Swimming - Women''s Team]],MATCH(Table92[[#This Row],[Country]],Tabela1[Country], 0),0))</f>
        <v>0</v>
      </c>
      <c r="G14" s="6">
        <f>SUM(INDEX(Tabela1[[Athletics - Men''s 100m]:[Athletics - Women''s Heptathlon]],MATCH(Table92[[#This Row],[Country]],Tabela1[Country], 0),0))</f>
        <v>22</v>
      </c>
      <c r="H14" s="6">
        <f>SUM(INDEX(Tabela1[[Badminton - Men''s Singles]:[Badminton - Mixed Doubles]],MATCH(Table92[[#This Row],[Country]],Tabela1[Country], 0),0))</f>
        <v>0</v>
      </c>
      <c r="I14" s="6">
        <f>SUM(INDEX(Tabela1[[Basketball - Men''s Tournament]:[Basketball - Women''s Tournament]],MATCH(Table92[[#This Row],[Country]],Tabela1[Country], 0),0))</f>
        <v>0</v>
      </c>
      <c r="J14" s="6">
        <f>SUM(INDEX(Tabela1[[3x3 Basketball - Men''s Tournament]:[3x3 Basketball - Women''s Tournament]],MATCH(Table92[[#This Row],[Country]],Tabela1[Country], 0),0))</f>
        <v>0</v>
      </c>
      <c r="K14" s="6">
        <f>SUM(INDEX(Tabela1[[Beach Volleyball - Men''s Tournament]:[Beach Volleyball - Women''s Tournament]],MATCH(Table92[[#This Row],[Country]],Tabela1[Country], 0),0))</f>
        <v>0</v>
      </c>
      <c r="L14" s="6">
        <f>SUM(INDEX(Tabela1[[Boxing - Men''s 51kg]:[Boxing - Women''s 75kg]],MATCH(Table92[[#This Row],[Country]],Tabela1[Country], 0),0))</f>
        <v>1</v>
      </c>
      <c r="M14" s="6">
        <f>SUM(INDEX(Tabela1[[Breaking - Men''s Individual]:[Breaking - Women''s Individual]],MATCH(Table92[[#This Row],[Country]],Tabela1[Country], 0),0))</f>
        <v>0</v>
      </c>
      <c r="N14" s="6">
        <f>SUM(INDEX(Tabela1[[Canoeing - Men''s C1 Slalom]:[Canoeing - Women''s Kayak Cross Slalom]],MATCH(Table92[[#This Row],[Country]],Tabela1[Country], 0),0))</f>
        <v>0</v>
      </c>
      <c r="O14" s="6">
        <f>SUM(INDEX(Tabela1[[Canoeing - Women''s C1 200m]:[Canoeing - Women''s K4 500m]],MATCH(Table92[[#This Row],[Country]],Tabela1[Country], 0),0))</f>
        <v>0</v>
      </c>
      <c r="P14" s="6">
        <f>SUM(INDEX(Tabela1[[Cycling - Men''s BMX Freestyle]:[Cycling - Women''s BMX Freestyle]],MATCH(Table92[[#This Row],[Country]],Tabela1[Country], 0),0))</f>
        <v>0</v>
      </c>
      <c r="Q14" s="6">
        <f>SUM(INDEX(Tabela1[[Cycling - Men''s BMX Racing]:[Cycling - Women''s BMX Racing]],MATCH(Table92[[#This Row],[Country]],Tabela1[Country], 0),0))</f>
        <v>0</v>
      </c>
      <c r="R14" s="6">
        <f>SUM(INDEX(Tabela1[[Cycling - Men''s Cross-Country]:[Cycling - Women''s Cross-Country]],MATCH(Table92[[#This Row],[Country]],Tabela1[Country], 0),0))</f>
        <v>0</v>
      </c>
      <c r="S14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3</v>
      </c>
      <c r="T14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4</v>
      </c>
      <c r="U14" s="6">
        <f>SUM(INDEX(Tabela1[[Diving - Men''s Springboard]:[Diving - Women''s Synchronized Platform]],MATCH(Table92[[#This Row],[Country]],Tabela1[Country], 0),0))</f>
        <v>0</v>
      </c>
      <c r="V14" s="6">
        <f>SUM(INDEX(Tabela1[[Equestrian - Individual Dressage]:[Equestrian - Team Dressage]],MATCH(Table92[[#This Row],[Country]],Tabela1[Country], 0),0))</f>
        <v>0</v>
      </c>
      <c r="W14" s="6">
        <f>SUM(INDEX(Tabela1[[Equestrian - Individual Eventing]:[Equestrian - Team Eventing]],MATCH(Table92[[#This Row],[Country]],Tabela1[Country], 0),0))</f>
        <v>0</v>
      </c>
      <c r="X14" s="6">
        <f>SUM(INDEX(Tabela1[[Equestrian - Individual Jumping]:[Equestrian - Team Jumping]],MATCH(Table92[[#This Row],[Country]],Tabela1[Country], 0),0))</f>
        <v>0</v>
      </c>
      <c r="Y14" s="6">
        <f>SUM(INDEX(Tabela1[[Fencing - Men''s Épée]:[Fencing - Women''s Team Sabre]],MATCH(Table92[[#This Row],[Country]],Tabela1[Country], 0),0))</f>
        <v>5</v>
      </c>
      <c r="Z14" s="6">
        <f>SUM(INDEX(Tabela1[[Field Hockey - Men''s Tournament]:[Field Hockey - Women''s Tournament]],MATCH(Table92[[#This Row],[Country]],Tabela1[Country], 0),0))</f>
        <v>0</v>
      </c>
      <c r="AA14" s="6">
        <f>SUM(INDEX(Tabela1[[Football - Men''s Tournament]:[Football - Women''s Tournament]],MATCH(Table92[[#This Row],[Country]],Tabela1[Country], 0),0))</f>
        <v>0</v>
      </c>
      <c r="AB14" s="6">
        <f>SUM(INDEX(Tabela1[[Golf - Men''s Individual]:[Golf - Women''s Individual]],MATCH(Table92[[#This Row],[Country]],Tabela1[Country], 0),0))</f>
        <v>0</v>
      </c>
      <c r="AC14" s="6">
        <f>SUM(INDEX(Tabela1[[Handball - Men''s Tournament]:[Handball - Women''s Tournament]],MATCH(Table92[[#This Row],[Country]],Tabela1[Country], 0),0))</f>
        <v>0</v>
      </c>
      <c r="AD14" s="6">
        <f>SUM(INDEX(Tabela1[[Judo - Men''s 60kg]:[Judo - Mixed Team]],MATCH(Table92[[#This Row],[Country]],Tabela1[Country], 0),0))</f>
        <v>1</v>
      </c>
      <c r="AE14" s="6">
        <f>SUM(INDEX(Tabela1[[Swimming - Men''s 10km Open Water]:[Swimming - Women''s 10km Open Water]],MATCH(Table92[[#This Row],[Country]],Tabela1[Country], 0),0))</f>
        <v>1</v>
      </c>
      <c r="AF14" s="6">
        <f>SUM(INDEX(Tabela1[[Modern Pentathlon - Men''s Individual]:[Modern Pentathlon - Women''s Individual]],MATCH(Table92[[#This Row],[Country]],Tabela1[Country], 0),0))</f>
        <v>0</v>
      </c>
      <c r="AG14" s="6">
        <f>SUM(INDEX(Tabela1[[Rhythmic Gymnastics - Women''s Individual All-Around]:[Rhythmic Gymnastics - Women''s Group All-Around]],MATCH(Table92[[#This Row],[Country]],Tabela1[Country], 0),0))</f>
        <v>0</v>
      </c>
      <c r="AH14" s="6">
        <f>SUM(INDEX(Tabela1[[Rowing - Men''s Single Sculls]:[Rowing - Women''s Lwt. Double Sculls]],MATCH(Table92[[#This Row],[Country]],Tabela1[Country], 0),0))</f>
        <v>2</v>
      </c>
      <c r="AI14" s="6">
        <f>SUM(INDEX(Tabela1[[Rugby Sevens - Men''s Tournament]:[Rugby Sevens - Women''s Tournament]],MATCH(Table92[[#This Row],[Country]],Tabela1[Country], 0),0))</f>
        <v>0</v>
      </c>
      <c r="AJ14" s="6">
        <f>SUM(INDEX(Tabela1[[Sailing - Mixed 470]:[Sailing - Mixed Nacra 17]],MATCH(Table92[[#This Row],[Country]],Tabela1[Country], 0),0))</f>
        <v>4</v>
      </c>
      <c r="AK14" s="6">
        <f>SUM(INDEX(Tabela1[[Shooting - Men''s 10m Air Pistol]:[Shooting - Women''s Trap]],MATCH(Table92[[#This Row],[Country]],Tabela1[Country], 0),0))</f>
        <v>6</v>
      </c>
      <c r="AL14" s="6">
        <f>SUM(INDEX(Tabela1[[Skateboarding - Men''s Park]:[Skateboarding - Women''s Street]],MATCH(Table92[[#This Row],[Country]],Tabela1[Country], 0),0))</f>
        <v>0</v>
      </c>
      <c r="AM14" s="6">
        <f>SUM(INDEX(Tabela1[[Sport Climbing - Men''s Boulder and Lead]:[Sport Climbing - Women''s Speed]],MATCH(Table92[[#This Row],[Country]],Tabela1[Country], 0),0))</f>
        <v>1</v>
      </c>
      <c r="AN14" s="6">
        <f>SUM(INDEX(Tabela1[[Surfing - Men''s Shortboard]:[Surfing - Women''s Shortboard]],MATCH(Table92[[#This Row],[Country]],Tabela1[Country], 0),0))</f>
        <v>0</v>
      </c>
      <c r="AO14" s="6">
        <f>SUM(INDEX(Tabela1[[Swimming - Men''s 50m Freestyle]:[Swimming - Mixed 4x100m Medley Relay]],MATCH(Table92[[#This Row],[Country]],Tabela1[Country], 0),0))</f>
        <v>9</v>
      </c>
      <c r="AP14" s="6">
        <f>SUM(INDEX(Tabela1[[Table Tennis - Men''s Singles]:[Table Tennis - Mixed Doubles]],MATCH(Table92[[#This Row],[Country]],Tabela1[Country], 0),0))</f>
        <v>2</v>
      </c>
      <c r="AQ14" s="6">
        <f>SUM(INDEX(Tabela1[[Taekwondo - Men''s 58kg]:[Taekwondo - Women''s +67kg]],MATCH(Table92[[#This Row],[Country]],Tabela1[Country], 0),0))</f>
        <v>0</v>
      </c>
      <c r="AR14" s="6">
        <f>SUM(INDEX(Tabela1[[Tennis - Men''s Singles]:[Tennis - Mixed Doubles]],MATCH(Table92[[#This Row],[Country]],Tabela1[Country], 0),0))</f>
        <v>0</v>
      </c>
      <c r="AS14" s="6">
        <f>SUM(INDEX(Tabela1[[Gymnastics - Men''s Trampoline]:[Gymnastics - Women''s Trampoline]],MATCH(Table92[[#This Row],[Country]],Tabela1[Country], 0),0))</f>
        <v>0</v>
      </c>
      <c r="AT14" s="6">
        <f>SUM(INDEX(Tabela1[[Triathlon - Men''s Individual]:[Triathlon - Mixed Relay]],MATCH(Table92[[#This Row],[Country]],Tabela1[Country], 0),0))</f>
        <v>0</v>
      </c>
      <c r="AU14" s="6">
        <f>SUM(INDEX(Tabela1[[Volleyball - Men''s Tournament]:[Volleyball - Women''s Tournament]],MATCH(Table92[[#This Row],[Country]],Tabela1[Country], 0),0))</f>
        <v>2</v>
      </c>
      <c r="AV14" s="6">
        <f>SUM(INDEX(Tabela1[[Water Polo - Men''s Tournament]:[Water Polo - Women''s Tournament]],MATCH(Table92[[#This Row],[Country]],Tabela1[Country], 0),0))</f>
        <v>0</v>
      </c>
      <c r="AW14" s="6">
        <f>SUM(INDEX(Tabela1[[Weightlifting - Men''s 61kg]:[Weightlifting - Women''s +81kg]],MATCH(Table92[[#This Row],[Country]],Tabela1[Country], 0),0))</f>
        <v>0</v>
      </c>
      <c r="AX14" s="6">
        <f>SUM(INDEX(Tabela1[[Wrestling - Men''s Freestyle 57kg]:[Wrestling - Women''s Freestyle 76kg]],MATCH(Table92[[#This Row],[Country]],Tabela1[Country], 0),0))</f>
        <v>1</v>
      </c>
      <c r="AY14" s="6">
        <f>SUM(INDEX(Tabela1[[Alpine Skiing - Men''s Downhill]:[Alpine Skiing - Women''s Team Combined]],MATCH(Table92[[#This Row],[Country]],Tabela1[Country], 0),0))</f>
        <v>1</v>
      </c>
      <c r="AZ14" s="6">
        <f>SUM(INDEX(Tabela1[[Biathlon - Men''s Individual]:[Biathlon - Mixed Relay]],MATCH(Table92[[#This Row],[Country]],Tabela1[Country], 0),0))</f>
        <v>12</v>
      </c>
      <c r="BA14" s="6">
        <f>SUM(INDEX(Tabela1[[Bobsleigh - Women''s Monobob]:[Bobsleigh - Men''s Four]],MATCH(Table92[[#This Row],[Country]],Tabela1[Country], 0),0))</f>
        <v>0</v>
      </c>
      <c r="BB14" s="6">
        <f>SUM(INDEX(Tabela1[[Cross-country skiing - Men''s Classical]:[Cross-country skiing - Women''s Team Sprint]],MATCH(Table92[[#This Row],[Country]],Tabela1[Country], 0),0))</f>
        <v>5</v>
      </c>
      <c r="BC14" s="6">
        <f>SUM(INDEX(Tabela1[[Curling - Men''s Tournament]:[Curling - Mixed Doubles]],MATCH(Table92[[#This Row],[Country]],Tabela1[Country], 0),0))</f>
        <v>0</v>
      </c>
      <c r="BD14" s="6">
        <f>SUM(INDEX(Tabela1[[Figure Skating - Men''s Singles]:[Figure Skating - Team Event]],MATCH(Table92[[#This Row],[Country]],Tabela1[Country], 0),0))</f>
        <v>0</v>
      </c>
      <c r="BE14" s="6">
        <f>SUM(INDEX(Tabela1[[Freestyle Skiing - Men''s Aerials]:[Freestyle Skiing - Women''s Slopestyle]],MATCH(Table92[[#This Row],[Country]],Tabela1[Country], 0),0))</f>
        <v>0</v>
      </c>
      <c r="BF14" s="6">
        <f>SUM(INDEX(Tabela1[[Ice Hockey - Men''s Tournament]:[Ice Hockey - Women''s Tournament]],MATCH(Table92[[#This Row],[Country]],Tabela1[Country], 0),0))</f>
        <v>0</v>
      </c>
      <c r="BG14" s="6">
        <f>SUM(INDEX(Tabela1[[Luge - Men''s Singles]:[Luge - Mixed Team Relay]],MATCH(Table92[[#This Row],[Country]],Tabela1[Country], 0),0))</f>
        <v>3</v>
      </c>
      <c r="BH14" s="6">
        <f>SUM(INDEX(Tabela1[[Nordic Combined - Men''s Individual]:[Nordic Combined - Men''s Team Sprint Large Hill]],MATCH(Table92[[#This Row],[Country]],Tabela1[Country], 0),0))</f>
        <v>0</v>
      </c>
      <c r="BI14" s="6">
        <f>SUM(INDEX(Tabela1[[Short track speed skating - Men''s 500m]:[Short track speed skating - Mixed 2000m Relay]],MATCH(Table92[[#This Row],[Country]],Tabela1[Country], 0),0))</f>
        <v>9</v>
      </c>
      <c r="BJ14" s="6">
        <f>SUM(INDEX(Tabela1[[Skeleton - Men''s Individual]:[Skeleton - Mixed Team]],MATCH(Table92[[#This Row],[Country]],Tabela1[Country], 0),0))</f>
        <v>0</v>
      </c>
      <c r="BK14" s="6">
        <f>SUM(INDEX(Tabela1[[Ski Jumping - Men''s Individual Large Hill]:[Ski Jumping - Mixed Team Normal Hill]],MATCH(Table92[[#This Row],[Country]],Tabela1[Country], 0),0))</f>
        <v>0</v>
      </c>
      <c r="BL14" s="6">
        <f>SUM(INDEX(Tabela1[[Ski Mountaineering - Men''s Sprint]:[Ski Mountaineering - Mixed Relay]],MATCH(Table92[[#This Row],[Country]],Tabela1[Country], 0),0))</f>
        <v>0</v>
      </c>
      <c r="BM14" s="6">
        <f>SUM(INDEX(Tabela1[[Snowboarding - Men''s Big Air]:[Snowboarding - Mixed Team Snowboard Cross]],MATCH(Table92[[#This Row],[Country]],Tabela1[Country], 0),0))</f>
        <v>0</v>
      </c>
      <c r="BN14" s="6">
        <f>SUM(INDEX(Tabela1[[Speed Skating - Men''s 500m]:[Speed Skating - Women''s Team Pursuit]],MATCH(Table92[[#This Row],[Country]],Tabela1[Country], 0),0))</f>
        <v>8</v>
      </c>
      <c r="BO14" s="6" t="str">
        <f>SUBSTITUTE(INDEX(Table92[[#Headers],[Archery Quotas]:[Speed Skating Quotas]], MATCH(MAX(Table92[[#This Row],[Archery Quotas]:[Speed Skating Quotas]]), Table92[[#This Row],[Archery Quotas]:[Speed Skating Quotas]], 0))," Quotas","")</f>
        <v>Athletics</v>
      </c>
      <c r="BP14" s="6">
        <f>SUM(Table92[[#This Row],[Summer Sports]:[Winter Sports]])</f>
        <v>21</v>
      </c>
      <c r="BQ14" s="6">
        <f>COUNTIF(Table92[[#This Row],[Archery Quotas]:[Wrestling Quotas]],"&lt;&gt;0")</f>
        <v>15</v>
      </c>
      <c r="BR14" s="6">
        <f>COUNTIF(Table92[[#This Row],[Alpine Skiing Quotas]:[Speed Skating Quotas]],"&lt;&gt;0")</f>
        <v>6</v>
      </c>
      <c r="BS14" s="3" t="s">
        <v>395</v>
      </c>
    </row>
    <row r="15" spans="1:71" x14ac:dyDescent="0.3">
      <c r="A15" s="6" t="s">
        <v>442</v>
      </c>
      <c r="B15" t="e" vm="14">
        <f>IF(ISBLANK(Table92[[#This Row],[Flag Link]]), "", _xlfn.IMAGE(Table92[[#This Row],[Flag Link]],1,1))</f>
        <v>#VALUE!</v>
      </c>
      <c r="C15" s="6">
        <f>SUM(Table92[[#This Row],[Archery Quotas]:[Speed Skating Quotas]])</f>
        <v>101</v>
      </c>
      <c r="D15" s="6">
        <f>SUM(INDEX(Tabela1[[Archery - Men''s Individual Recurve]:[Archery - Mixed Team Recurve]],MATCH(Table92[[#This Row],[Country]],Tabela1[Country], 0),0))</f>
        <v>0</v>
      </c>
      <c r="E15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5" s="6">
        <f>SUM(INDEX(Tabela1[[Artistic Swimming - Women''s Duet]:[Artistic Swimming - Women''s Team]],MATCH(Table92[[#This Row],[Country]],Tabela1[Country], 0),0))</f>
        <v>0</v>
      </c>
      <c r="G15" s="6">
        <f>SUM(INDEX(Tabela1[[Athletics - Men''s 100m]:[Athletics - Women''s Heptathlon]],MATCH(Table92[[#This Row],[Country]],Tabela1[Country], 0),0))</f>
        <v>7</v>
      </c>
      <c r="H15" s="6">
        <f>SUM(INDEX(Tabela1[[Badminton - Men''s Singles]:[Badminton - Mixed Doubles]],MATCH(Table92[[#This Row],[Country]],Tabela1[Country], 0),0))</f>
        <v>0</v>
      </c>
      <c r="I15" s="6">
        <f>SUM(INDEX(Tabela1[[Basketball - Men''s Tournament]:[Basketball - Women''s Tournament]],MATCH(Table92[[#This Row],[Country]],Tabela1[Country], 0),0))</f>
        <v>0</v>
      </c>
      <c r="J15" s="6">
        <f>SUM(INDEX(Tabela1[[3x3 Basketball - Men''s Tournament]:[3x3 Basketball - Women''s Tournament]],MATCH(Table92[[#This Row],[Country]],Tabela1[Country], 0),0))</f>
        <v>0</v>
      </c>
      <c r="K15" s="6">
        <f>SUM(INDEX(Tabela1[[Beach Volleyball - Men''s Tournament]:[Beach Volleyball - Women''s Tournament]],MATCH(Table92[[#This Row],[Country]],Tabela1[Country], 0),0))</f>
        <v>1</v>
      </c>
      <c r="L15" s="6">
        <f>SUM(INDEX(Tabela1[[Boxing - Men''s 51kg]:[Boxing - Women''s 75kg]],MATCH(Table92[[#This Row],[Country]],Tabela1[Country], 0),0))</f>
        <v>0</v>
      </c>
      <c r="M15" s="6">
        <f>SUM(INDEX(Tabela1[[Breaking - Men''s Individual]:[Breaking - Women''s Individual]],MATCH(Table92[[#This Row],[Country]],Tabela1[Country], 0),0))</f>
        <v>0</v>
      </c>
      <c r="N15" s="6">
        <f>SUM(INDEX(Tabela1[[Canoeing - Men''s C1 Slalom]:[Canoeing - Women''s Kayak Cross Slalom]],MATCH(Table92[[#This Row],[Country]],Tabela1[Country], 0),0))</f>
        <v>4</v>
      </c>
      <c r="O15" s="6">
        <f>SUM(INDEX(Tabela1[[Canoeing - Women''s C1 200m]:[Canoeing - Women''s K4 500m]],MATCH(Table92[[#This Row],[Country]],Tabela1[Country], 0),0))</f>
        <v>3</v>
      </c>
      <c r="P15" s="6">
        <f>SUM(INDEX(Tabela1[[Cycling - Men''s BMX Freestyle]:[Cycling - Women''s BMX Freestyle]],MATCH(Table92[[#This Row],[Country]],Tabela1[Country], 0),0))</f>
        <v>0</v>
      </c>
      <c r="Q15" s="6">
        <f>SUM(INDEX(Tabela1[[Cycling - Men''s BMX Racing]:[Cycling - Women''s BMX Racing]],MATCH(Table92[[#This Row],[Country]],Tabela1[Country], 0),0))</f>
        <v>0</v>
      </c>
      <c r="R15" s="6">
        <f>SUM(INDEX(Tabela1[[Cycling - Men''s Cross-Country]:[Cycling - Women''s Cross-Country]],MATCH(Table92[[#This Row],[Country]],Tabela1[Country], 0),0))</f>
        <v>0</v>
      </c>
      <c r="S15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2</v>
      </c>
      <c r="T15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2</v>
      </c>
      <c r="U15" s="6">
        <f>SUM(INDEX(Tabela1[[Diving - Men''s Springboard]:[Diving - Women''s Synchronized Platform]],MATCH(Table92[[#This Row],[Country]],Tabela1[Country], 0),0))</f>
        <v>0</v>
      </c>
      <c r="V15" s="6">
        <f>SUM(INDEX(Tabela1[[Equestrian - Individual Dressage]:[Equestrian - Team Dressage]],MATCH(Table92[[#This Row],[Country]],Tabela1[Country], 0),0))</f>
        <v>0</v>
      </c>
      <c r="W15" s="6">
        <f>SUM(INDEX(Tabela1[[Equestrian - Individual Eventing]:[Equestrian - Team Eventing]],MATCH(Table92[[#This Row],[Country]],Tabela1[Country], 0),0))</f>
        <v>1</v>
      </c>
      <c r="X15" s="6">
        <f>SUM(INDEX(Tabela1[[Equestrian - Individual Jumping]:[Equestrian - Team Jumping]],MATCH(Table92[[#This Row],[Country]],Tabela1[Country], 0),0))</f>
        <v>0</v>
      </c>
      <c r="Y15" s="6">
        <f>SUM(INDEX(Tabela1[[Fencing - Men''s Épée]:[Fencing - Women''s Team Sabre]],MATCH(Table92[[#This Row],[Country]],Tabela1[Country], 0),0))</f>
        <v>2</v>
      </c>
      <c r="Z15" s="6">
        <f>SUM(INDEX(Tabela1[[Field Hockey - Men''s Tournament]:[Field Hockey - Women''s Tournament]],MATCH(Table92[[#This Row],[Country]],Tabela1[Country], 0),0))</f>
        <v>0</v>
      </c>
      <c r="AA15" s="6">
        <f>SUM(INDEX(Tabela1[[Football - Men''s Tournament]:[Football - Women''s Tournament]],MATCH(Table92[[#This Row],[Country]],Tabela1[Country], 0),0))</f>
        <v>0</v>
      </c>
      <c r="AB15" s="6">
        <f>SUM(INDEX(Tabela1[[Golf - Men''s Individual]:[Golf - Women''s Individual]],MATCH(Table92[[#This Row],[Country]],Tabela1[Country], 0),0))</f>
        <v>0</v>
      </c>
      <c r="AC15" s="6">
        <f>SUM(INDEX(Tabela1[[Handball - Men''s Tournament]:[Handball - Women''s Tournament]],MATCH(Table92[[#This Row],[Country]],Tabela1[Country], 0),0))</f>
        <v>0</v>
      </c>
      <c r="AD15" s="6">
        <f>SUM(INDEX(Tabela1[[Judo - Men''s 60kg]:[Judo - Mixed Team]],MATCH(Table92[[#This Row],[Country]],Tabela1[Country], 0),0))</f>
        <v>2</v>
      </c>
      <c r="AE15" s="6">
        <f>SUM(INDEX(Tabela1[[Swimming - Men''s 10km Open Water]:[Swimming - Women''s 10km Open Water]],MATCH(Table92[[#This Row],[Country]],Tabela1[Country], 0),0))</f>
        <v>0</v>
      </c>
      <c r="AF15" s="6">
        <f>SUM(INDEX(Tabela1[[Modern Pentathlon - Men''s Individual]:[Modern Pentathlon - Women''s Individual]],MATCH(Table92[[#This Row],[Country]],Tabela1[Country], 0),0))</f>
        <v>1</v>
      </c>
      <c r="AG15" s="6">
        <f>SUM(INDEX(Tabela1[[Rhythmic Gymnastics - Women''s Individual All-Around]:[Rhythmic Gymnastics - Women''s Group All-Around]],MATCH(Table92[[#This Row],[Country]],Tabela1[Country], 0),0))</f>
        <v>0</v>
      </c>
      <c r="AH15" s="6">
        <f>SUM(INDEX(Tabela1[[Rowing - Men''s Single Sculls]:[Rowing - Women''s Lwt. Double Sculls]],MATCH(Table92[[#This Row],[Country]],Tabela1[Country], 0),0))</f>
        <v>0</v>
      </c>
      <c r="AI15" s="6">
        <f>SUM(INDEX(Tabela1[[Rugby Sevens - Men''s Tournament]:[Rugby Sevens - Women''s Tournament]],MATCH(Table92[[#This Row],[Country]],Tabela1[Country], 0),0))</f>
        <v>0</v>
      </c>
      <c r="AJ15" s="6">
        <f>SUM(INDEX(Tabela1[[Sailing - Mixed 470]:[Sailing - Mixed Nacra 17]],MATCH(Table92[[#This Row],[Country]],Tabela1[Country], 0),0))</f>
        <v>0</v>
      </c>
      <c r="AK15" s="6">
        <f>SUM(INDEX(Tabela1[[Shooting - Men''s 10m Air Pistol]:[Shooting - Women''s Trap]],MATCH(Table92[[#This Row],[Country]],Tabela1[Country], 0),0))</f>
        <v>3</v>
      </c>
      <c r="AL15" s="6">
        <f>SUM(INDEX(Tabela1[[Skateboarding - Men''s Park]:[Skateboarding - Women''s Street]],MATCH(Table92[[#This Row],[Country]],Tabela1[Country], 0),0))</f>
        <v>0</v>
      </c>
      <c r="AM15" s="6">
        <f>SUM(INDEX(Tabela1[[Sport Climbing - Men''s Boulder and Lead]:[Sport Climbing - Women''s Speed]],MATCH(Table92[[#This Row],[Country]],Tabela1[Country], 0),0))</f>
        <v>0</v>
      </c>
      <c r="AN15" s="6">
        <f>SUM(INDEX(Tabela1[[Surfing - Men''s Shortboard]:[Surfing - Women''s Shortboard]],MATCH(Table92[[#This Row],[Country]],Tabela1[Country], 0),0))</f>
        <v>0</v>
      </c>
      <c r="AO15" s="6">
        <f>SUM(INDEX(Tabela1[[Swimming - Men''s 50m Freestyle]:[Swimming - Mixed 4x100m Medley Relay]],MATCH(Table92[[#This Row],[Country]],Tabela1[Country], 0),0))</f>
        <v>0</v>
      </c>
      <c r="AP15" s="6">
        <f>SUM(INDEX(Tabela1[[Table Tennis - Men''s Singles]:[Table Tennis - Mixed Doubles]],MATCH(Table92[[#This Row],[Country]],Tabela1[Country], 0),0))</f>
        <v>1</v>
      </c>
      <c r="AQ15" s="6">
        <f>SUM(INDEX(Tabela1[[Taekwondo - Men''s 58kg]:[Taekwondo - Women''s +67kg]],MATCH(Table92[[#This Row],[Country]],Tabela1[Country], 0),0))</f>
        <v>1</v>
      </c>
      <c r="AR15" s="6">
        <f>SUM(INDEX(Tabela1[[Tennis - Men''s Singles]:[Tennis - Mixed Doubles]],MATCH(Table92[[#This Row],[Country]],Tabela1[Country], 0),0))</f>
        <v>5</v>
      </c>
      <c r="AS15" s="6">
        <f>SUM(INDEX(Tabela1[[Gymnastics - Men''s Trampoline]:[Gymnastics - Women''s Trampoline]],MATCH(Table92[[#This Row],[Country]],Tabela1[Country], 0),0))</f>
        <v>0</v>
      </c>
      <c r="AT15" s="6">
        <f>SUM(INDEX(Tabela1[[Triathlon - Men''s Individual]:[Triathlon - Mixed Relay]],MATCH(Table92[[#This Row],[Country]],Tabela1[Country], 0),0))</f>
        <v>1</v>
      </c>
      <c r="AU15" s="6">
        <f>SUM(INDEX(Tabela1[[Volleyball - Men''s Tournament]:[Volleyball - Women''s Tournament]],MATCH(Table92[[#This Row],[Country]],Tabela1[Country], 0),0))</f>
        <v>0</v>
      </c>
      <c r="AV15" s="6">
        <f>SUM(INDEX(Tabela1[[Water Polo - Men''s Tournament]:[Water Polo - Women''s Tournament]],MATCH(Table92[[#This Row],[Country]],Tabela1[Country], 0),0))</f>
        <v>0</v>
      </c>
      <c r="AW15" s="6">
        <f>SUM(INDEX(Tabela1[[Weightlifting - Men''s 61kg]:[Weightlifting - Women''s +81kg]],MATCH(Table92[[#This Row],[Country]],Tabela1[Country], 0),0))</f>
        <v>0</v>
      </c>
      <c r="AX15" s="6">
        <f>SUM(INDEX(Tabela1[[Wrestling - Men''s Freestyle 57kg]:[Wrestling - Women''s Freestyle 76kg]],MATCH(Table92[[#This Row],[Country]],Tabela1[Country], 0),0))</f>
        <v>0</v>
      </c>
      <c r="AY15" s="6">
        <f>SUM(INDEX(Tabela1[[Alpine Skiing - Men''s Downhill]:[Alpine Skiing - Women''s Team Combined]],MATCH(Table92[[#This Row],[Country]],Tabela1[Country], 0),0))</f>
        <v>8</v>
      </c>
      <c r="AZ15" s="6">
        <f>SUM(INDEX(Tabela1[[Biathlon - Men''s Individual]:[Biathlon - Mixed Relay]],MATCH(Table92[[#This Row],[Country]],Tabela1[Country], 0),0))</f>
        <v>10</v>
      </c>
      <c r="BA15" s="6">
        <f>SUM(INDEX(Tabela1[[Bobsleigh - Women''s Monobob]:[Bobsleigh - Men''s Four]],MATCH(Table92[[#This Row],[Country]],Tabela1[Country], 0),0))</f>
        <v>0</v>
      </c>
      <c r="BB15" s="6">
        <f>SUM(INDEX(Tabela1[[Cross-country skiing - Men''s Classical]:[Cross-country skiing - Women''s Team Sprint]],MATCH(Table92[[#This Row],[Country]],Tabela1[Country], 0),0))</f>
        <v>22</v>
      </c>
      <c r="BC15" s="6">
        <f>SUM(INDEX(Tabela1[[Curling - Men''s Tournament]:[Curling - Mixed Doubles]],MATCH(Table92[[#This Row],[Country]],Tabela1[Country], 0),0))</f>
        <v>0</v>
      </c>
      <c r="BD15" s="6">
        <f>SUM(INDEX(Tabela1[[Figure Skating - Men''s Singles]:[Figure Skating - Team Event]],MATCH(Table92[[#This Row],[Country]],Tabela1[Country], 0),0))</f>
        <v>1</v>
      </c>
      <c r="BE15" s="6">
        <f>SUM(INDEX(Tabela1[[Freestyle Skiing - Men''s Aerials]:[Freestyle Skiing - Women''s Slopestyle]],MATCH(Table92[[#This Row],[Country]],Tabela1[Country], 0),0))</f>
        <v>3</v>
      </c>
      <c r="BF15" s="6">
        <f>SUM(INDEX(Tabela1[[Ice Hockey - Men''s Tournament]:[Ice Hockey - Women''s Tournament]],MATCH(Table92[[#This Row],[Country]],Tabela1[Country], 0),0))</f>
        <v>2</v>
      </c>
      <c r="BG15" s="6">
        <f>SUM(INDEX(Tabela1[[Luge - Men''s Singles]:[Luge - Mixed Team Relay]],MATCH(Table92[[#This Row],[Country]],Tabela1[Country], 0),0))</f>
        <v>1</v>
      </c>
      <c r="BH15" s="6">
        <f>SUM(INDEX(Tabela1[[Nordic Combined - Men''s Individual]:[Nordic Combined - Men''s Team Sprint Large Hill]],MATCH(Table92[[#This Row],[Country]],Tabela1[Country], 0),0))</f>
        <v>5</v>
      </c>
      <c r="BI15" s="6">
        <f>SUM(INDEX(Tabela1[[Short track speed skating - Men''s 500m]:[Short track speed skating - Mixed 2000m Relay]],MATCH(Table92[[#This Row],[Country]],Tabela1[Country], 0),0))</f>
        <v>0</v>
      </c>
      <c r="BJ15" s="6">
        <f>SUM(INDEX(Tabela1[[Skeleton - Men''s Individual]:[Skeleton - Mixed Team]],MATCH(Table92[[#This Row],[Country]],Tabela1[Country], 0),0))</f>
        <v>0</v>
      </c>
      <c r="BK15" s="6">
        <f>SUM(INDEX(Tabela1[[Ski Jumping - Men''s Individual Large Hill]:[Ski Jumping - Mixed Team Normal Hill]],MATCH(Table92[[#This Row],[Country]],Tabela1[Country], 0),0))</f>
        <v>7</v>
      </c>
      <c r="BL15" s="6">
        <f>SUM(INDEX(Tabela1[[Ski Mountaineering - Men''s Sprint]:[Ski Mountaineering - Mixed Relay]],MATCH(Table92[[#This Row],[Country]],Tabela1[Country], 0),0))</f>
        <v>0</v>
      </c>
      <c r="BM15" s="6">
        <f>SUM(INDEX(Tabela1[[Snowboarding - Men''s Big Air]:[Snowboarding - Mixed Team Snowboard Cross]],MATCH(Table92[[#This Row],[Country]],Tabela1[Country], 0),0))</f>
        <v>5</v>
      </c>
      <c r="BN15" s="6">
        <f>SUM(INDEX(Tabela1[[Speed Skating - Men''s 500m]:[Speed Skating - Women''s Team Pursuit]],MATCH(Table92[[#This Row],[Country]],Tabela1[Country], 0),0))</f>
        <v>1</v>
      </c>
      <c r="BO15" s="6" t="str">
        <f>SUBSTITUTE(INDEX(Table92[[#Headers],[Archery Quotas]:[Speed Skating Quotas]], MATCH(MAX(Table92[[#This Row],[Archery Quotas]:[Speed Skating Quotas]]), Table92[[#This Row],[Archery Quotas]:[Speed Skating Quotas]], 0))," Quotas","")</f>
        <v>Cross Country Skiing</v>
      </c>
      <c r="BP15" s="6">
        <f>SUM(Table92[[#This Row],[Summer Sports]:[Winter Sports]])</f>
        <v>26</v>
      </c>
      <c r="BQ15" s="6">
        <f>COUNTIF(Table92[[#This Row],[Archery Quotas]:[Wrestling Quotas]],"&lt;&gt;0")</f>
        <v>15</v>
      </c>
      <c r="BR15" s="6">
        <f>COUNTIF(Table92[[#This Row],[Alpine Skiing Quotas]:[Speed Skating Quotas]],"&lt;&gt;0")</f>
        <v>11</v>
      </c>
      <c r="BS15" s="3" t="s">
        <v>443</v>
      </c>
    </row>
    <row r="16" spans="1:71" x14ac:dyDescent="0.3">
      <c r="A16" s="6" t="s">
        <v>334</v>
      </c>
      <c r="B16" t="e" vm="15">
        <f>IF(ISBLANK(Table92[[#This Row],[Flag Link]]), "", _xlfn.IMAGE(Table92[[#This Row],[Flag Link]],1,1))</f>
        <v>#VALUE!</v>
      </c>
      <c r="C16" s="6">
        <f>SUM(Table92[[#This Row],[Archery Quotas]:[Speed Skating Quotas]])</f>
        <v>90</v>
      </c>
      <c r="D16" s="6">
        <f>SUM(INDEX(Tabela1[[Archery - Men''s Individual Recurve]:[Archery - Mixed Team Recurve]],MATCH(Table92[[#This Row],[Country]],Tabela1[Country], 0),0))</f>
        <v>0</v>
      </c>
      <c r="E16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2</v>
      </c>
      <c r="F16" s="6">
        <f>SUM(INDEX(Tabela1[[Artistic Swimming - Women''s Duet]:[Artistic Swimming - Women''s Team]],MATCH(Table92[[#This Row],[Country]],Tabela1[Country], 0),0))</f>
        <v>0</v>
      </c>
      <c r="G16" s="6">
        <f>SUM(INDEX(Tabela1[[Athletics - Men''s 100m]:[Athletics - Women''s Heptathlon]],MATCH(Table92[[#This Row],[Country]],Tabela1[Country], 0),0))</f>
        <v>16</v>
      </c>
      <c r="H16" s="6">
        <f>SUM(INDEX(Tabela1[[Badminton - Men''s Singles]:[Badminton - Mixed Doubles]],MATCH(Table92[[#This Row],[Country]],Tabela1[Country], 0),0))</f>
        <v>1</v>
      </c>
      <c r="I16" s="6">
        <f>SUM(INDEX(Tabela1[[Basketball - Men''s Tournament]:[Basketball - Women''s Tournament]],MATCH(Table92[[#This Row],[Country]],Tabela1[Country], 0),0))</f>
        <v>2</v>
      </c>
      <c r="J16" s="6">
        <f>SUM(INDEX(Tabela1[[3x3 Basketball - Men''s Tournament]:[3x3 Basketball - Women''s Tournament]],MATCH(Table92[[#This Row],[Country]],Tabela1[Country], 0),0))</f>
        <v>0</v>
      </c>
      <c r="K16" s="6">
        <f>SUM(INDEX(Tabela1[[Beach Volleyball - Men''s Tournament]:[Beach Volleyball - Women''s Tournament]],MATCH(Table92[[#This Row],[Country]],Tabela1[Country], 0),0))</f>
        <v>0</v>
      </c>
      <c r="L16" s="6">
        <f>SUM(INDEX(Tabela1[[Boxing - Men''s 51kg]:[Boxing - Women''s 75kg]],MATCH(Table92[[#This Row],[Country]],Tabela1[Country], 0),0))</f>
        <v>1</v>
      </c>
      <c r="M16" s="6">
        <f>SUM(INDEX(Tabela1[[Breaking - Men''s Individual]:[Breaking - Women''s Individual]],MATCH(Table92[[#This Row],[Country]],Tabela1[Country], 0),0))</f>
        <v>0</v>
      </c>
      <c r="N16" s="6">
        <f>SUM(INDEX(Tabela1[[Canoeing - Men''s C1 Slalom]:[Canoeing - Women''s Kayak Cross Slalom]],MATCH(Table92[[#This Row],[Country]],Tabela1[Country], 0),0))</f>
        <v>2</v>
      </c>
      <c r="O16" s="6">
        <f>SUM(INDEX(Tabela1[[Canoeing - Women''s C1 200m]:[Canoeing - Women''s K4 500m]],MATCH(Table92[[#This Row],[Country]],Tabela1[Country], 0),0))</f>
        <v>2</v>
      </c>
      <c r="P16" s="6">
        <f>SUM(INDEX(Tabela1[[Cycling - Men''s BMX Freestyle]:[Cycling - Women''s BMX Freestyle]],MATCH(Table92[[#This Row],[Country]],Tabela1[Country], 0),0))</f>
        <v>0</v>
      </c>
      <c r="Q16" s="6">
        <f>SUM(INDEX(Tabela1[[Cycling - Men''s BMX Racing]:[Cycling - Women''s BMX Racing]],MATCH(Table92[[#This Row],[Country]],Tabela1[Country], 0),0))</f>
        <v>0</v>
      </c>
      <c r="R16" s="6">
        <f>SUM(INDEX(Tabela1[[Cycling - Men''s Cross-Country]:[Cycling - Women''s Cross-Country]],MATCH(Table92[[#This Row],[Country]],Tabela1[Country], 0),0))</f>
        <v>0</v>
      </c>
      <c r="S16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6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1</v>
      </c>
      <c r="U16" s="6">
        <f>SUM(INDEX(Tabela1[[Diving - Men''s Springboard]:[Diving - Women''s Synchronized Platform]],MATCH(Table92[[#This Row],[Country]],Tabela1[Country], 0),0))</f>
        <v>0</v>
      </c>
      <c r="V16" s="6">
        <f>SUM(INDEX(Tabela1[[Equestrian - Individual Dressage]:[Equestrian - Team Dressage]],MATCH(Table92[[#This Row],[Country]],Tabela1[Country], 0),0))</f>
        <v>0</v>
      </c>
      <c r="W16" s="6">
        <f>SUM(INDEX(Tabela1[[Equestrian - Individual Eventing]:[Equestrian - Team Eventing]],MATCH(Table92[[#This Row],[Country]],Tabela1[Country], 0),0))</f>
        <v>0</v>
      </c>
      <c r="X16" s="6">
        <f>SUM(INDEX(Tabela1[[Equestrian - Individual Jumping]:[Equestrian - Team Jumping]],MATCH(Table92[[#This Row],[Country]],Tabela1[Country], 0),0))</f>
        <v>0</v>
      </c>
      <c r="Y16" s="6">
        <f>SUM(INDEX(Tabela1[[Fencing - Men''s Épée]:[Fencing - Women''s Team Sabre]],MATCH(Table92[[#This Row],[Country]],Tabela1[Country], 0),0))</f>
        <v>0</v>
      </c>
      <c r="Z16" s="6">
        <f>SUM(INDEX(Tabela1[[Field Hockey - Men''s Tournament]:[Field Hockey - Women''s Tournament]],MATCH(Table92[[#This Row],[Country]],Tabela1[Country], 0),0))</f>
        <v>1</v>
      </c>
      <c r="AA16" s="6">
        <f>SUM(INDEX(Tabela1[[Football - Men''s Tournament]:[Football - Women''s Tournament]],MATCH(Table92[[#This Row],[Country]],Tabela1[Country], 0),0))</f>
        <v>1</v>
      </c>
      <c r="AB16" s="6">
        <f>SUM(INDEX(Tabela1[[Golf - Men''s Individual]:[Golf - Women''s Individual]],MATCH(Table92[[#This Row],[Country]],Tabela1[Country], 0),0))</f>
        <v>0</v>
      </c>
      <c r="AC16" s="6">
        <f>SUM(INDEX(Tabela1[[Handball - Men''s Tournament]:[Handball - Women''s Tournament]],MATCH(Table92[[#This Row],[Country]],Tabela1[Country], 0),0))</f>
        <v>1</v>
      </c>
      <c r="AD16" s="6">
        <f>SUM(INDEX(Tabela1[[Judo - Men''s 60kg]:[Judo - Mixed Team]],MATCH(Table92[[#This Row],[Country]],Tabela1[Country], 0),0))</f>
        <v>0</v>
      </c>
      <c r="AE16" s="6">
        <f>SUM(INDEX(Tabela1[[Swimming - Men''s 10km Open Water]:[Swimming - Women''s 10km Open Water]],MATCH(Table92[[#This Row],[Country]],Tabela1[Country], 0),0))</f>
        <v>1</v>
      </c>
      <c r="AF16" s="6">
        <f>SUM(INDEX(Tabela1[[Modern Pentathlon - Men''s Individual]:[Modern Pentathlon - Women''s Individual]],MATCH(Table92[[#This Row],[Country]],Tabela1[Country], 0),0))</f>
        <v>1</v>
      </c>
      <c r="AG16" s="6">
        <f>SUM(INDEX(Tabela1[[Rhythmic Gymnastics - Women''s Individual All-Around]:[Rhythmic Gymnastics - Women''s Group All-Around]],MATCH(Table92[[#This Row],[Country]],Tabela1[Country], 0),0))</f>
        <v>2</v>
      </c>
      <c r="AH16" s="6">
        <f>SUM(INDEX(Tabela1[[Rowing - Men''s Single Sculls]:[Rowing - Women''s Lwt. Double Sculls]],MATCH(Table92[[#This Row],[Country]],Tabela1[Country], 0),0))</f>
        <v>2</v>
      </c>
      <c r="AI16" s="6">
        <f>SUM(INDEX(Tabela1[[Rugby Sevens - Men''s Tournament]:[Rugby Sevens - Women''s Tournament]],MATCH(Table92[[#This Row],[Country]],Tabela1[Country], 0),0))</f>
        <v>0</v>
      </c>
      <c r="AJ16" s="6">
        <f>SUM(INDEX(Tabela1[[Sailing - Mixed 470]:[Sailing - Mixed Nacra 17]],MATCH(Table92[[#This Row],[Country]],Tabela1[Country], 0),0))</f>
        <v>1</v>
      </c>
      <c r="AK16" s="6">
        <f>SUM(INDEX(Tabela1[[Shooting - Men''s 10m Air Pistol]:[Shooting - Women''s Trap]],MATCH(Table92[[#This Row],[Country]],Tabela1[Country], 0),0))</f>
        <v>4</v>
      </c>
      <c r="AL16" s="6">
        <f>SUM(INDEX(Tabela1[[Skateboarding - Men''s Park]:[Skateboarding - Women''s Street]],MATCH(Table92[[#This Row],[Country]],Tabela1[Country], 0),0))</f>
        <v>0</v>
      </c>
      <c r="AM16" s="6">
        <f>SUM(INDEX(Tabela1[[Sport Climbing - Men''s Boulder and Lead]:[Sport Climbing - Women''s Speed]],MATCH(Table92[[#This Row],[Country]],Tabela1[Country], 0),0))</f>
        <v>1</v>
      </c>
      <c r="AN16" s="6">
        <f>SUM(INDEX(Tabela1[[Surfing - Men''s Shortboard]:[Surfing - Women''s Shortboard]],MATCH(Table92[[#This Row],[Country]],Tabela1[Country], 0),0))</f>
        <v>1</v>
      </c>
      <c r="AO16" s="6">
        <f>SUM(INDEX(Tabela1[[Swimming - Men''s 50m Freestyle]:[Swimming - Mixed 4x100m Medley Relay]],MATCH(Table92[[#This Row],[Country]],Tabela1[Country], 0),0))</f>
        <v>7</v>
      </c>
      <c r="AP16" s="6">
        <f>SUM(INDEX(Tabela1[[Table Tennis - Men''s Singles]:[Table Tennis - Mixed Doubles]],MATCH(Table92[[#This Row],[Country]],Tabela1[Country], 0),0))</f>
        <v>2</v>
      </c>
      <c r="AQ16" s="6">
        <f>SUM(INDEX(Tabela1[[Taekwondo - Men''s 58kg]:[Taekwondo - Women''s +67kg]],MATCH(Table92[[#This Row],[Country]],Tabela1[Country], 0),0))</f>
        <v>0</v>
      </c>
      <c r="AR16" s="6">
        <f>SUM(INDEX(Tabela1[[Tennis - Men''s Singles]:[Tennis - Mixed Doubles]],MATCH(Table92[[#This Row],[Country]],Tabela1[Country], 0),0))</f>
        <v>2</v>
      </c>
      <c r="AS16" s="6">
        <f>SUM(INDEX(Tabela1[[Gymnastics - Men''s Trampoline]:[Gymnastics - Women''s Trampoline]],MATCH(Table92[[#This Row],[Country]],Tabela1[Country], 0),0))</f>
        <v>0</v>
      </c>
      <c r="AT16" s="6">
        <f>SUM(INDEX(Tabela1[[Triathlon - Men''s Individual]:[Triathlon - Mixed Relay]],MATCH(Table92[[#This Row],[Country]],Tabela1[Country], 0),0))</f>
        <v>2</v>
      </c>
      <c r="AU16" s="6">
        <f>SUM(INDEX(Tabela1[[Volleyball - Men''s Tournament]:[Volleyball - Women''s Tournament]],MATCH(Table92[[#This Row],[Country]],Tabela1[Country], 0),0))</f>
        <v>1</v>
      </c>
      <c r="AV16" s="6">
        <f>SUM(INDEX(Tabela1[[Water Polo - Men''s Tournament]:[Water Polo - Women''s Tournament]],MATCH(Table92[[#This Row],[Country]],Tabela1[Country], 0),0))</f>
        <v>0</v>
      </c>
      <c r="AW16" s="6">
        <f>SUM(INDEX(Tabela1[[Weightlifting - Men''s 61kg]:[Weightlifting - Women''s +81kg]],MATCH(Table92[[#This Row],[Country]],Tabela1[Country], 0),0))</f>
        <v>0</v>
      </c>
      <c r="AX16" s="6">
        <f>SUM(INDEX(Tabela1[[Wrestling - Men''s Freestyle 57kg]:[Wrestling - Women''s Freestyle 76kg]],MATCH(Table92[[#This Row],[Country]],Tabela1[Country], 0),0))</f>
        <v>1</v>
      </c>
      <c r="AY16" s="6">
        <f>SUM(INDEX(Tabela1[[Alpine Skiing - Men''s Downhill]:[Alpine Skiing - Women''s Team Combined]],MATCH(Table92[[#This Row],[Country]],Tabela1[Country], 0),0))</f>
        <v>0</v>
      </c>
      <c r="AZ16" s="6">
        <f>SUM(INDEX(Tabela1[[Biathlon - Men''s Individual]:[Biathlon - Mixed Relay]],MATCH(Table92[[#This Row],[Country]],Tabela1[Country], 0),0))</f>
        <v>4</v>
      </c>
      <c r="BA16" s="6">
        <f>SUM(INDEX(Tabela1[[Bobsleigh - Women''s Monobob]:[Bobsleigh - Men''s Four]],MATCH(Table92[[#This Row],[Country]],Tabela1[Country], 0),0))</f>
        <v>3</v>
      </c>
      <c r="BB16" s="6">
        <f>SUM(INDEX(Tabela1[[Cross-country skiing - Men''s Classical]:[Cross-country skiing - Women''s Team Sprint]],MATCH(Table92[[#This Row],[Country]],Tabela1[Country], 0),0))</f>
        <v>6</v>
      </c>
      <c r="BC16" s="6">
        <f>SUM(INDEX(Tabela1[[Curling - Men''s Tournament]:[Curling - Mixed Doubles]],MATCH(Table92[[#This Row],[Country]],Tabela1[Country], 0),0))</f>
        <v>0</v>
      </c>
      <c r="BD16" s="6">
        <f>SUM(INDEX(Tabela1[[Figure Skating - Men''s Singles]:[Figure Skating - Team Event]],MATCH(Table92[[#This Row],[Country]],Tabela1[Country], 0),0))</f>
        <v>1</v>
      </c>
      <c r="BE16" s="6">
        <f>SUM(INDEX(Tabela1[[Freestyle Skiing - Men''s Aerials]:[Freestyle Skiing - Women''s Slopestyle]],MATCH(Table92[[#This Row],[Country]],Tabela1[Country], 0),0))</f>
        <v>0</v>
      </c>
      <c r="BF16" s="6">
        <f>SUM(INDEX(Tabela1[[Ice Hockey - Men''s Tournament]:[Ice Hockey - Women''s Tournament]],MATCH(Table92[[#This Row],[Country]],Tabela1[Country], 0),0))</f>
        <v>2</v>
      </c>
      <c r="BG16" s="6">
        <f>SUM(INDEX(Tabela1[[Luge - Men''s Singles]:[Luge - Mixed Team Relay]],MATCH(Table92[[#This Row],[Country]],Tabela1[Country], 0),0))</f>
        <v>4</v>
      </c>
      <c r="BH16" s="6">
        <f>SUM(INDEX(Tabela1[[Nordic Combined - Men''s Individual]:[Nordic Combined - Men''s Team Sprint Large Hill]],MATCH(Table92[[#This Row],[Country]],Tabela1[Country], 0),0))</f>
        <v>0</v>
      </c>
      <c r="BI16" s="6">
        <f>SUM(INDEX(Tabela1[[Short track speed skating - Men''s 500m]:[Short track speed skating - Mixed 2000m Relay]],MATCH(Table92[[#This Row],[Country]],Tabela1[Country], 0),0))</f>
        <v>0</v>
      </c>
      <c r="BJ16" s="6">
        <f>SUM(INDEX(Tabela1[[Skeleton - Men''s Individual]:[Skeleton - Mixed Team]],MATCH(Table92[[#This Row],[Country]],Tabela1[Country], 0),0))</f>
        <v>3</v>
      </c>
      <c r="BK16" s="6">
        <f>SUM(INDEX(Tabela1[[Ski Jumping - Men''s Individual Large Hill]:[Ski Jumping - Mixed Team Normal Hill]],MATCH(Table92[[#This Row],[Country]],Tabela1[Country], 0),0))</f>
        <v>3</v>
      </c>
      <c r="BL16" s="6">
        <f>SUM(INDEX(Tabela1[[Ski Mountaineering - Men''s Sprint]:[Ski Mountaineering - Mixed Relay]],MATCH(Table92[[#This Row],[Country]],Tabela1[Country], 0),0))</f>
        <v>0</v>
      </c>
      <c r="BM16" s="6">
        <f>SUM(INDEX(Tabela1[[Snowboarding - Men''s Big Air]:[Snowboarding - Mixed Team Snowboard Cross]],MATCH(Table92[[#This Row],[Country]],Tabela1[Country], 0),0))</f>
        <v>0</v>
      </c>
      <c r="BN16" s="6">
        <f>SUM(INDEX(Tabela1[[Speed Skating - Men''s 500m]:[Speed Skating - Women''s Team Pursuit]],MATCH(Table92[[#This Row],[Country]],Tabela1[Country], 0),0))</f>
        <v>6</v>
      </c>
      <c r="BO16" s="6" t="str">
        <f>SUBSTITUTE(INDEX(Table92[[#Headers],[Archery Quotas]:[Speed Skating Quotas]], MATCH(MAX(Table92[[#This Row],[Archery Quotas]:[Speed Skating Quotas]]), Table92[[#This Row],[Archery Quotas]:[Speed Skating Quotas]], 0))," Quotas","")</f>
        <v>Athletics</v>
      </c>
      <c r="BP16" s="6">
        <f>SUM(Table92[[#This Row],[Summer Sports]:[Winter Sports]])</f>
        <v>34</v>
      </c>
      <c r="BQ16" s="6">
        <f>COUNTIF(Table92[[#This Row],[Archery Quotas]:[Wrestling Quotas]],"&lt;&gt;0")</f>
        <v>25</v>
      </c>
      <c r="BR16" s="6">
        <f>COUNTIF(Table92[[#This Row],[Alpine Skiing Quotas]:[Speed Skating Quotas]],"&lt;&gt;0")</f>
        <v>9</v>
      </c>
      <c r="BS16" s="3" t="s">
        <v>335</v>
      </c>
    </row>
    <row r="17" spans="1:71" x14ac:dyDescent="0.3">
      <c r="A17" s="6" t="s">
        <v>412</v>
      </c>
      <c r="B17" t="e" vm="16">
        <f>IF(ISBLANK(Table92[[#This Row],[Flag Link]]), "", _xlfn.IMAGE(Table92[[#This Row],[Flag Link]],1,1))</f>
        <v>#VALUE!</v>
      </c>
      <c r="C17" s="6">
        <f>SUM(Table92[[#This Row],[Archery Quotas]:[Speed Skating Quotas]])</f>
        <v>88</v>
      </c>
      <c r="D17" s="6">
        <f>SUM(INDEX(Tabela1[[Archery - Men''s Individual Recurve]:[Archery - Mixed Team Recurve]],MATCH(Table92[[#This Row],[Country]],Tabela1[Country], 0),0))</f>
        <v>4</v>
      </c>
      <c r="E17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10</v>
      </c>
      <c r="F17" s="6">
        <f>SUM(INDEX(Tabela1[[Artistic Swimming - Women''s Duet]:[Artistic Swimming - Women''s Team]],MATCH(Table92[[#This Row],[Country]],Tabela1[Country], 0),0))</f>
        <v>0</v>
      </c>
      <c r="G17" s="6">
        <f>SUM(INDEX(Tabela1[[Athletics - Men''s 100m]:[Athletics - Women''s Heptathlon]],MATCH(Table92[[#This Row],[Country]],Tabela1[Country], 0),0))</f>
        <v>2</v>
      </c>
      <c r="H17" s="6">
        <f>SUM(INDEX(Tabela1[[Badminton - Men''s Singles]:[Badminton - Mixed Doubles]],MATCH(Table92[[#This Row],[Country]],Tabela1[Country], 0),0))</f>
        <v>0</v>
      </c>
      <c r="I17" s="6">
        <f>SUM(INDEX(Tabela1[[Basketball - Men''s Tournament]:[Basketball - Women''s Tournament]],MATCH(Table92[[#This Row],[Country]],Tabela1[Country], 0),0))</f>
        <v>0</v>
      </c>
      <c r="J17" s="6">
        <f>SUM(INDEX(Tabela1[[3x3 Basketball - Men''s Tournament]:[3x3 Basketball - Women''s Tournament]],MATCH(Table92[[#This Row],[Country]],Tabela1[Country], 0),0))</f>
        <v>1</v>
      </c>
      <c r="K17" s="6">
        <f>SUM(INDEX(Tabela1[[Beach Volleyball - Men''s Tournament]:[Beach Volleyball - Women''s Tournament]],MATCH(Table92[[#This Row],[Country]],Tabela1[Country], 0),0))</f>
        <v>0</v>
      </c>
      <c r="L17" s="6">
        <f>SUM(INDEX(Tabela1[[Boxing - Men''s 51kg]:[Boxing - Women''s 75kg]],MATCH(Table92[[#This Row],[Country]],Tabela1[Country], 0),0))</f>
        <v>1</v>
      </c>
      <c r="M17" s="6">
        <f>SUM(INDEX(Tabela1[[Breaking - Men''s Individual]:[Breaking - Women''s Individual]],MATCH(Table92[[#This Row],[Country]],Tabela1[Country], 0),0))</f>
        <v>1</v>
      </c>
      <c r="N17" s="6">
        <f>SUM(INDEX(Tabela1[[Canoeing - Men''s C1 Slalom]:[Canoeing - Women''s Kayak Cross Slalom]],MATCH(Table92[[#This Row],[Country]],Tabela1[Country], 0),0))</f>
        <v>2</v>
      </c>
      <c r="O17" s="6">
        <f>SUM(INDEX(Tabela1[[Canoeing - Women''s C1 200m]:[Canoeing - Women''s K4 500m]],MATCH(Table92[[#This Row],[Country]],Tabela1[Country], 0),0))</f>
        <v>0</v>
      </c>
      <c r="P17" s="6">
        <f>SUM(INDEX(Tabela1[[Cycling - Men''s BMX Freestyle]:[Cycling - Women''s BMX Freestyle]],MATCH(Table92[[#This Row],[Country]],Tabela1[Country], 0),0))</f>
        <v>0</v>
      </c>
      <c r="Q17" s="6">
        <f>SUM(INDEX(Tabela1[[Cycling - Men''s BMX Racing]:[Cycling - Women''s BMX Racing]],MATCH(Table92[[#This Row],[Country]],Tabela1[Country], 0),0))</f>
        <v>2</v>
      </c>
      <c r="R17" s="6">
        <f>SUM(INDEX(Tabela1[[Cycling - Men''s Cross-Country]:[Cycling - Women''s Cross-Country]],MATCH(Table92[[#This Row],[Country]],Tabela1[Country], 0),0))</f>
        <v>1</v>
      </c>
      <c r="S17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1</v>
      </c>
      <c r="T17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8</v>
      </c>
      <c r="U17" s="6">
        <f>SUM(INDEX(Tabela1[[Diving - Men''s Springboard]:[Diving - Women''s Synchronized Platform]],MATCH(Table92[[#This Row],[Country]],Tabela1[Country], 0),0))</f>
        <v>0</v>
      </c>
      <c r="V17" s="6">
        <f>SUM(INDEX(Tabela1[[Equestrian - Individual Dressage]:[Equestrian - Team Dressage]],MATCH(Table92[[#This Row],[Country]],Tabela1[Country], 0),0))</f>
        <v>4</v>
      </c>
      <c r="W17" s="6">
        <f>SUM(INDEX(Tabela1[[Equestrian - Individual Eventing]:[Equestrian - Team Eventing]],MATCH(Table92[[#This Row],[Country]],Tabela1[Country], 0),0))</f>
        <v>0</v>
      </c>
      <c r="X17" s="6">
        <f>SUM(INDEX(Tabela1[[Equestrian - Individual Jumping]:[Equestrian - Team Jumping]],MATCH(Table92[[#This Row],[Country]],Tabela1[Country], 0),0))</f>
        <v>3</v>
      </c>
      <c r="Y17" s="6">
        <f>SUM(INDEX(Tabela1[[Fencing - Men''s Épée]:[Fencing - Women''s Team Sabre]],MATCH(Table92[[#This Row],[Country]],Tabela1[Country], 0),0))</f>
        <v>0</v>
      </c>
      <c r="Z17" s="6">
        <f>SUM(INDEX(Tabela1[[Field Hockey - Men''s Tournament]:[Field Hockey - Women''s Tournament]],MATCH(Table92[[#This Row],[Country]],Tabela1[Country], 0),0))</f>
        <v>2</v>
      </c>
      <c r="AA17" s="6">
        <f>SUM(INDEX(Tabela1[[Football - Men''s Tournament]:[Football - Women''s Tournament]],MATCH(Table92[[#This Row],[Country]],Tabela1[Country], 0),0))</f>
        <v>0</v>
      </c>
      <c r="AB17" s="6">
        <f>SUM(INDEX(Tabela1[[Golf - Men''s Individual]:[Golf - Women''s Individual]],MATCH(Table92[[#This Row],[Country]],Tabela1[Country], 0),0))</f>
        <v>0</v>
      </c>
      <c r="AC17" s="6">
        <f>SUM(INDEX(Tabela1[[Handball - Men''s Tournament]:[Handball - Women''s Tournament]],MATCH(Table92[[#This Row],[Country]],Tabela1[Country], 0),0))</f>
        <v>1</v>
      </c>
      <c r="AD17" s="6">
        <f>SUM(INDEX(Tabela1[[Judo - Men''s 60kg]:[Judo - Mixed Team]],MATCH(Table92[[#This Row],[Country]],Tabela1[Country], 0),0))</f>
        <v>3</v>
      </c>
      <c r="AE17" s="6">
        <f>SUM(INDEX(Tabela1[[Swimming - Men''s 10km Open Water]:[Swimming - Women''s 10km Open Water]],MATCH(Table92[[#This Row],[Country]],Tabela1[Country], 0),0))</f>
        <v>0</v>
      </c>
      <c r="AF17" s="6">
        <f>SUM(INDEX(Tabela1[[Modern Pentathlon - Men''s Individual]:[Modern Pentathlon - Women''s Individual]],MATCH(Table92[[#This Row],[Country]],Tabela1[Country], 0),0))</f>
        <v>0</v>
      </c>
      <c r="AG17" s="6">
        <f>SUM(INDEX(Tabela1[[Rhythmic Gymnastics - Women''s Individual All-Around]:[Rhythmic Gymnastics - Women''s Group All-Around]],MATCH(Table92[[#This Row],[Country]],Tabela1[Country], 0),0))</f>
        <v>0</v>
      </c>
      <c r="AH17" s="6">
        <f>SUM(INDEX(Tabela1[[Rowing - Men''s Single Sculls]:[Rowing - Women''s Lwt. Double Sculls]],MATCH(Table92[[#This Row],[Country]],Tabela1[Country], 0),0))</f>
        <v>3</v>
      </c>
      <c r="AI17" s="6">
        <f>SUM(INDEX(Tabela1[[Rugby Sevens - Men''s Tournament]:[Rugby Sevens - Women''s Tournament]],MATCH(Table92[[#This Row],[Country]],Tabela1[Country], 0),0))</f>
        <v>0</v>
      </c>
      <c r="AJ17" s="6">
        <f>SUM(INDEX(Tabela1[[Sailing - Mixed 470]:[Sailing - Mixed Nacra 17]],MATCH(Table92[[#This Row],[Country]],Tabela1[Country], 0),0))</f>
        <v>2</v>
      </c>
      <c r="AK17" s="6">
        <f>SUM(INDEX(Tabela1[[Shooting - Men''s 10m Air Pistol]:[Shooting - Women''s Trap]],MATCH(Table92[[#This Row],[Country]],Tabela1[Country], 0),0))</f>
        <v>0</v>
      </c>
      <c r="AL17" s="6">
        <f>SUM(INDEX(Tabela1[[Skateboarding - Men''s Park]:[Skateboarding - Women''s Street]],MATCH(Table92[[#This Row],[Country]],Tabela1[Country], 0),0))</f>
        <v>0</v>
      </c>
      <c r="AM17" s="6">
        <f>SUM(INDEX(Tabela1[[Sport Climbing - Men''s Boulder and Lead]:[Sport Climbing - Women''s Speed]],MATCH(Table92[[#This Row],[Country]],Tabela1[Country], 0),0))</f>
        <v>0</v>
      </c>
      <c r="AN17" s="6">
        <f>SUM(INDEX(Tabela1[[Surfing - Men''s Shortboard]:[Surfing - Women''s Shortboard]],MATCH(Table92[[#This Row],[Country]],Tabela1[Country], 0),0))</f>
        <v>0</v>
      </c>
      <c r="AO17" s="6">
        <f>SUM(INDEX(Tabela1[[Swimming - Men''s 50m Freestyle]:[Swimming - Mixed 4x100m Medley Relay]],MATCH(Table92[[#This Row],[Country]],Tabela1[Country], 0),0))</f>
        <v>10</v>
      </c>
      <c r="AP17" s="6">
        <f>SUM(INDEX(Tabela1[[Table Tennis - Men''s Singles]:[Table Tennis - Mixed Doubles]],MATCH(Table92[[#This Row],[Country]],Tabela1[Country], 0),0))</f>
        <v>0</v>
      </c>
      <c r="AQ17" s="6">
        <f>SUM(INDEX(Tabela1[[Taekwondo - Men''s 58kg]:[Taekwondo - Women''s +67kg]],MATCH(Table92[[#This Row],[Country]],Tabela1[Country], 0),0))</f>
        <v>0</v>
      </c>
      <c r="AR17" s="6">
        <f>SUM(INDEX(Tabela1[[Tennis - Men''s Singles]:[Tennis - Mixed Doubles]],MATCH(Table92[[#This Row],[Country]],Tabela1[Country], 0),0))</f>
        <v>0</v>
      </c>
      <c r="AS17" s="6">
        <f>SUM(INDEX(Tabela1[[Gymnastics - Men''s Trampoline]:[Gymnastics - Women''s Trampoline]],MATCH(Table92[[#This Row],[Country]],Tabela1[Country], 0),0))</f>
        <v>0</v>
      </c>
      <c r="AT17" s="6">
        <f>SUM(INDEX(Tabela1[[Triathlon - Men''s Individual]:[Triathlon - Mixed Relay]],MATCH(Table92[[#This Row],[Country]],Tabela1[Country], 0),0))</f>
        <v>3</v>
      </c>
      <c r="AU17" s="6">
        <f>SUM(INDEX(Tabela1[[Volleyball - Men''s Tournament]:[Volleyball - Women''s Tournament]],MATCH(Table92[[#This Row],[Country]],Tabela1[Country], 0),0))</f>
        <v>1</v>
      </c>
      <c r="AV17" s="6">
        <f>SUM(INDEX(Tabela1[[Water Polo - Men''s Tournament]:[Water Polo - Women''s Tournament]],MATCH(Table92[[#This Row],[Country]],Tabela1[Country], 0),0))</f>
        <v>0</v>
      </c>
      <c r="AW17" s="6">
        <f>SUM(INDEX(Tabela1[[Weightlifting - Men''s 61kg]:[Weightlifting - Women''s +81kg]],MATCH(Table92[[#This Row],[Country]],Tabela1[Country], 0),0))</f>
        <v>0</v>
      </c>
      <c r="AX17" s="6">
        <f>SUM(INDEX(Tabela1[[Wrestling - Men''s Freestyle 57kg]:[Wrestling - Women''s Freestyle 76kg]],MATCH(Table92[[#This Row],[Country]],Tabela1[Country], 0),0))</f>
        <v>0</v>
      </c>
      <c r="AY17" s="6">
        <f>SUM(INDEX(Tabela1[[Alpine Skiing - Men''s Downhill]:[Alpine Skiing - Women''s Team Combined]],MATCH(Table92[[#This Row],[Country]],Tabela1[Country], 0),0))</f>
        <v>0</v>
      </c>
      <c r="AZ17" s="6">
        <f>SUM(INDEX(Tabela1[[Biathlon - Men''s Individual]:[Biathlon - Mixed Relay]],MATCH(Table92[[#This Row],[Country]],Tabela1[Country], 0),0))</f>
        <v>0</v>
      </c>
      <c r="BA17" s="6">
        <f>SUM(INDEX(Tabela1[[Bobsleigh - Women''s Monobob]:[Bobsleigh - Men''s Four]],MATCH(Table92[[#This Row],[Country]],Tabela1[Country], 0),0))</f>
        <v>2</v>
      </c>
      <c r="BB17" s="6">
        <f>SUM(INDEX(Tabela1[[Cross-country skiing - Men''s Classical]:[Cross-country skiing - Women''s Team Sprint]],MATCH(Table92[[#This Row],[Country]],Tabela1[Country], 0),0))</f>
        <v>0</v>
      </c>
      <c r="BC17" s="6">
        <f>SUM(INDEX(Tabela1[[Curling - Men''s Tournament]:[Curling - Mixed Doubles]],MATCH(Table92[[#This Row],[Country]],Tabela1[Country], 0),0))</f>
        <v>0</v>
      </c>
      <c r="BD17" s="6">
        <f>SUM(INDEX(Tabela1[[Figure Skating - Men''s Singles]:[Figure Skating - Team Event]],MATCH(Table92[[#This Row],[Country]],Tabela1[Country], 0),0))</f>
        <v>1</v>
      </c>
      <c r="BE17" s="6">
        <f>SUM(INDEX(Tabela1[[Freestyle Skiing - Men''s Aerials]:[Freestyle Skiing - Women''s Slopestyle]],MATCH(Table92[[#This Row],[Country]],Tabela1[Country], 0),0))</f>
        <v>0</v>
      </c>
      <c r="BF17" s="6">
        <f>SUM(INDEX(Tabela1[[Ice Hockey - Men''s Tournament]:[Ice Hockey - Women''s Tournament]],MATCH(Table92[[#This Row],[Country]],Tabela1[Country], 0),0))</f>
        <v>0</v>
      </c>
      <c r="BG17" s="6">
        <f>SUM(INDEX(Tabela1[[Luge - Men''s Singles]:[Luge - Mixed Team Relay]],MATCH(Table92[[#This Row],[Country]],Tabela1[Country], 0),0))</f>
        <v>0</v>
      </c>
      <c r="BH17" s="6">
        <f>SUM(INDEX(Tabela1[[Nordic Combined - Men''s Individual]:[Nordic Combined - Men''s Team Sprint Large Hill]],MATCH(Table92[[#This Row],[Country]],Tabela1[Country], 0),0))</f>
        <v>0</v>
      </c>
      <c r="BI17" s="6">
        <f>SUM(INDEX(Tabela1[[Short track speed skating - Men''s 500m]:[Short track speed skating - Mixed 2000m Relay]],MATCH(Table92[[#This Row],[Country]],Tabela1[Country], 0),0))</f>
        <v>3</v>
      </c>
      <c r="BJ17" s="6">
        <f>SUM(INDEX(Tabela1[[Skeleton - Men''s Individual]:[Skeleton - Mixed Team]],MATCH(Table92[[#This Row],[Country]],Tabela1[Country], 0),0))</f>
        <v>0</v>
      </c>
      <c r="BK17" s="6">
        <f>SUM(INDEX(Tabela1[[Ski Jumping - Men''s Individual Large Hill]:[Ski Jumping - Mixed Team Normal Hill]],MATCH(Table92[[#This Row],[Country]],Tabela1[Country], 0),0))</f>
        <v>0</v>
      </c>
      <c r="BL17" s="6">
        <f>SUM(INDEX(Tabela1[[Ski Mountaineering - Men''s Sprint]:[Ski Mountaineering - Mixed Relay]],MATCH(Table92[[#This Row],[Country]],Tabela1[Country], 0),0))</f>
        <v>0</v>
      </c>
      <c r="BM17" s="6">
        <f>SUM(INDEX(Tabela1[[Snowboarding - Men''s Big Air]:[Snowboarding - Mixed Team Snowboard Cross]],MATCH(Table92[[#This Row],[Country]],Tabela1[Country], 0),0))</f>
        <v>0</v>
      </c>
      <c r="BN17" s="6">
        <f>SUM(INDEX(Tabela1[[Speed Skating - Men''s 500m]:[Speed Skating - Women''s Team Pursuit]],MATCH(Table92[[#This Row],[Country]],Tabela1[Country], 0),0))</f>
        <v>17</v>
      </c>
      <c r="BO17" s="6" t="str">
        <f>SUBSTITUTE(INDEX(Table92[[#Headers],[Archery Quotas]:[Speed Skating Quotas]], MATCH(MAX(Table92[[#This Row],[Archery Quotas]:[Speed Skating Quotas]]), Table92[[#This Row],[Archery Quotas]:[Speed Skating Quotas]], 0))," Quotas","")</f>
        <v>Speed Skating</v>
      </c>
      <c r="BP17" s="6">
        <f>SUM(Table92[[#This Row],[Summer Sports]:[Winter Sports]])</f>
        <v>25</v>
      </c>
      <c r="BQ17" s="6">
        <f>COUNTIF(Table92[[#This Row],[Archery Quotas]:[Wrestling Quotas]],"&lt;&gt;0")</f>
        <v>21</v>
      </c>
      <c r="BR17" s="6">
        <f>COUNTIF(Table92[[#This Row],[Alpine Skiing Quotas]:[Speed Skating Quotas]],"&lt;&gt;0")</f>
        <v>4</v>
      </c>
      <c r="BS17" s="3" t="s">
        <v>413</v>
      </c>
    </row>
    <row r="18" spans="1:71" x14ac:dyDescent="0.3">
      <c r="A18" s="6" t="s">
        <v>444</v>
      </c>
      <c r="B18" t="e" vm="17">
        <f>IF(ISBLANK(Table92[[#This Row],[Flag Link]]), "", _xlfn.IMAGE(Table92[[#This Row],[Flag Link]],1,1))</f>
        <v>#VALUE!</v>
      </c>
      <c r="C18" s="6">
        <f>SUM(Table92[[#This Row],[Archery Quotas]:[Speed Skating Quotas]])</f>
        <v>70</v>
      </c>
      <c r="D18" s="6">
        <f>SUM(INDEX(Tabela1[[Archery - Men''s Individual Recurve]:[Archery - Mixed Team Recurve]],MATCH(Table92[[#This Row],[Country]],Tabela1[Country], 0),0))</f>
        <v>0</v>
      </c>
      <c r="E18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9</v>
      </c>
      <c r="F18" s="6">
        <f>SUM(INDEX(Tabela1[[Artistic Swimming - Women''s Duet]:[Artistic Swimming - Women''s Team]],MATCH(Table92[[#This Row],[Country]],Tabela1[Country], 0),0))</f>
        <v>0</v>
      </c>
      <c r="G18" s="6">
        <f>SUM(INDEX(Tabela1[[Athletics - Men''s 100m]:[Athletics - Women''s Heptathlon]],MATCH(Table92[[#This Row],[Country]],Tabela1[Country], 0),0))</f>
        <v>4</v>
      </c>
      <c r="H18" s="6">
        <f>SUM(INDEX(Tabela1[[Badminton - Men''s Singles]:[Badminton - Mixed Doubles]],MATCH(Table92[[#This Row],[Country]],Tabela1[Country], 0),0))</f>
        <v>0</v>
      </c>
      <c r="I18" s="6">
        <f>SUM(INDEX(Tabela1[[Basketball - Men''s Tournament]:[Basketball - Women''s Tournament]],MATCH(Table92[[#This Row],[Country]],Tabela1[Country], 0),0))</f>
        <v>0</v>
      </c>
      <c r="J18" s="6">
        <f>SUM(INDEX(Tabela1[[3x3 Basketball - Men''s Tournament]:[3x3 Basketball - Women''s Tournament]],MATCH(Table92[[#This Row],[Country]],Tabela1[Country], 0),0))</f>
        <v>0</v>
      </c>
      <c r="K18" s="6">
        <f>SUM(INDEX(Tabela1[[Beach Volleyball - Men''s Tournament]:[Beach Volleyball - Women''s Tournament]],MATCH(Table92[[#This Row],[Country]],Tabela1[Country], 0),0))</f>
        <v>0</v>
      </c>
      <c r="L18" s="6">
        <f>SUM(INDEX(Tabela1[[Boxing - Men''s 51kg]:[Boxing - Women''s 75kg]],MATCH(Table92[[#This Row],[Country]],Tabela1[Country], 0),0))</f>
        <v>0</v>
      </c>
      <c r="M18" s="6">
        <f>SUM(INDEX(Tabela1[[Breaking - Men''s Individual]:[Breaking - Women''s Individual]],MATCH(Table92[[#This Row],[Country]],Tabela1[Country], 0),0))</f>
        <v>0</v>
      </c>
      <c r="N18" s="6">
        <f>SUM(INDEX(Tabela1[[Canoeing - Men''s C1 Slalom]:[Canoeing - Women''s Kayak Cross Slalom]],MATCH(Table92[[#This Row],[Country]],Tabela1[Country], 0),0))</f>
        <v>0</v>
      </c>
      <c r="O18" s="6">
        <f>SUM(INDEX(Tabela1[[Canoeing - Women''s C1 200m]:[Canoeing - Women''s K4 500m]],MATCH(Table92[[#This Row],[Country]],Tabela1[Country], 0),0))</f>
        <v>0</v>
      </c>
      <c r="P18" s="6">
        <f>SUM(INDEX(Tabela1[[Cycling - Men''s BMX Freestyle]:[Cycling - Women''s BMX Freestyle]],MATCH(Table92[[#This Row],[Country]],Tabela1[Country], 0),0))</f>
        <v>0</v>
      </c>
      <c r="Q18" s="6">
        <f>SUM(INDEX(Tabela1[[Cycling - Men''s BMX Racing]:[Cycling - Women''s BMX Racing]],MATCH(Table92[[#This Row],[Country]],Tabela1[Country], 0),0))</f>
        <v>0</v>
      </c>
      <c r="R18" s="6">
        <f>SUM(INDEX(Tabela1[[Cycling - Men''s Cross-Country]:[Cycling - Women''s Cross-Country]],MATCH(Table92[[#This Row],[Country]],Tabela1[Country], 0),0))</f>
        <v>0</v>
      </c>
      <c r="S18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5</v>
      </c>
      <c r="T18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1</v>
      </c>
      <c r="U18" s="6">
        <f>SUM(INDEX(Tabela1[[Diving - Men''s Springboard]:[Diving - Women''s Synchronized Platform]],MATCH(Table92[[#This Row],[Country]],Tabela1[Country], 0),0))</f>
        <v>0</v>
      </c>
      <c r="V18" s="6">
        <f>SUM(INDEX(Tabela1[[Equestrian - Individual Dressage]:[Equestrian - Team Dressage]],MATCH(Table92[[#This Row],[Country]],Tabela1[Country], 0),0))</f>
        <v>0</v>
      </c>
      <c r="W18" s="6">
        <f>SUM(INDEX(Tabela1[[Equestrian - Individual Eventing]:[Equestrian - Team Eventing]],MATCH(Table92[[#This Row],[Country]],Tabela1[Country], 0),0))</f>
        <v>2</v>
      </c>
      <c r="X18" s="6">
        <f>SUM(INDEX(Tabela1[[Equestrian - Individual Jumping]:[Equestrian - Team Jumping]],MATCH(Table92[[#This Row],[Country]],Tabela1[Country], 0),0))</f>
        <v>0</v>
      </c>
      <c r="Y18" s="6">
        <f>SUM(INDEX(Tabela1[[Fencing - Men''s Épée]:[Fencing - Women''s Team Sabre]],MATCH(Table92[[#This Row],[Country]],Tabela1[Country], 0),0))</f>
        <v>0</v>
      </c>
      <c r="Z18" s="6">
        <f>SUM(INDEX(Tabela1[[Field Hockey - Men''s Tournament]:[Field Hockey - Women''s Tournament]],MATCH(Table92[[#This Row],[Country]],Tabela1[Country], 0),0))</f>
        <v>0</v>
      </c>
      <c r="AA18" s="6">
        <f>SUM(INDEX(Tabela1[[Football - Men''s Tournament]:[Football - Women''s Tournament]],MATCH(Table92[[#This Row],[Country]],Tabela1[Country], 0),0))</f>
        <v>0</v>
      </c>
      <c r="AB18" s="6">
        <f>SUM(INDEX(Tabela1[[Golf - Men''s Individual]:[Golf - Women''s Individual]],MATCH(Table92[[#This Row],[Country]],Tabela1[Country], 0),0))</f>
        <v>0</v>
      </c>
      <c r="AC18" s="6">
        <f>SUM(INDEX(Tabela1[[Handball - Men''s Tournament]:[Handball - Women''s Tournament]],MATCH(Table92[[#This Row],[Country]],Tabela1[Country], 0),0))</f>
        <v>0</v>
      </c>
      <c r="AD18" s="6">
        <f>SUM(INDEX(Tabela1[[Judo - Men''s 60kg]:[Judo - Mixed Team]],MATCH(Table92[[#This Row],[Country]],Tabela1[Country], 0),0))</f>
        <v>1</v>
      </c>
      <c r="AE18" s="6">
        <f>SUM(INDEX(Tabela1[[Swimming - Men''s 10km Open Water]:[Swimming - Women''s 10km Open Water]],MATCH(Table92[[#This Row],[Country]],Tabela1[Country], 0),0))</f>
        <v>0</v>
      </c>
      <c r="AF18" s="6">
        <f>SUM(INDEX(Tabela1[[Modern Pentathlon - Men''s Individual]:[Modern Pentathlon - Women''s Individual]],MATCH(Table92[[#This Row],[Country]],Tabela1[Country], 0),0))</f>
        <v>0</v>
      </c>
      <c r="AG18" s="6">
        <f>SUM(INDEX(Tabela1[[Rhythmic Gymnastics - Women''s Individual All-Around]:[Rhythmic Gymnastics - Women''s Group All-Around]],MATCH(Table92[[#This Row],[Country]],Tabela1[Country], 0),0))</f>
        <v>0</v>
      </c>
      <c r="AH18" s="6">
        <f>SUM(INDEX(Tabela1[[Rowing - Men''s Single Sculls]:[Rowing - Women''s Lwt. Double Sculls]],MATCH(Table92[[#This Row],[Country]],Tabela1[Country], 0),0))</f>
        <v>1</v>
      </c>
      <c r="AI18" s="6">
        <f>SUM(INDEX(Tabela1[[Rugby Sevens - Men''s Tournament]:[Rugby Sevens - Women''s Tournament]],MATCH(Table92[[#This Row],[Country]],Tabela1[Country], 0),0))</f>
        <v>0</v>
      </c>
      <c r="AJ18" s="6">
        <f>SUM(INDEX(Tabela1[[Sailing - Mixed 470]:[Sailing - Mixed Nacra 17]],MATCH(Table92[[#This Row],[Country]],Tabela1[Country], 0),0))</f>
        <v>3</v>
      </c>
      <c r="AK18" s="6">
        <f>SUM(INDEX(Tabela1[[Shooting - Men''s 10m Air Pistol]:[Shooting - Women''s Trap]],MATCH(Table92[[#This Row],[Country]],Tabela1[Country], 0),0))</f>
        <v>1</v>
      </c>
      <c r="AL18" s="6">
        <f>SUM(INDEX(Tabela1[[Skateboarding - Men''s Park]:[Skateboarding - Women''s Street]],MATCH(Table92[[#This Row],[Country]],Tabela1[Country], 0),0))</f>
        <v>0</v>
      </c>
      <c r="AM18" s="6">
        <f>SUM(INDEX(Tabela1[[Sport Climbing - Men''s Boulder and Lead]:[Sport Climbing - Women''s Speed]],MATCH(Table92[[#This Row],[Country]],Tabela1[Country], 0),0))</f>
        <v>0</v>
      </c>
      <c r="AN18" s="6">
        <f>SUM(INDEX(Tabela1[[Surfing - Men''s Shortboard]:[Surfing - Women''s Shortboard]],MATCH(Table92[[#This Row],[Country]],Tabela1[Country], 0),0))</f>
        <v>0</v>
      </c>
      <c r="AO18" s="6">
        <f>SUM(INDEX(Tabela1[[Swimming - Men''s 50m Freestyle]:[Swimming - Mixed 4x100m Medley Relay]],MATCH(Table92[[#This Row],[Country]],Tabela1[Country], 0),0))</f>
        <v>7</v>
      </c>
      <c r="AP18" s="6">
        <f>SUM(INDEX(Tabela1[[Table Tennis - Men''s Singles]:[Table Tennis - Mixed Doubles]],MATCH(Table92[[#This Row],[Country]],Tabela1[Country], 0),0))</f>
        <v>0</v>
      </c>
      <c r="AQ18" s="6">
        <f>SUM(INDEX(Tabela1[[Taekwondo - Men''s 58kg]:[Taekwondo - Women''s +67kg]],MATCH(Table92[[#This Row],[Country]],Tabela1[Country], 0),0))</f>
        <v>0</v>
      </c>
      <c r="AR18" s="6">
        <f>SUM(INDEX(Tabela1[[Tennis - Men''s Singles]:[Tennis - Mixed Doubles]],MATCH(Table92[[#This Row],[Country]],Tabela1[Country], 0),0))</f>
        <v>1</v>
      </c>
      <c r="AS18" s="6">
        <f>SUM(INDEX(Tabela1[[Gymnastics - Men''s Trampoline]:[Gymnastics - Women''s Trampoline]],MATCH(Table92[[#This Row],[Country]],Tabela1[Country], 0),0))</f>
        <v>0</v>
      </c>
      <c r="AT18" s="6">
        <f>SUM(INDEX(Tabela1[[Triathlon - Men''s Individual]:[Triathlon - Mixed Relay]],MATCH(Table92[[#This Row],[Country]],Tabela1[Country], 0),0))</f>
        <v>2</v>
      </c>
      <c r="AU18" s="6">
        <f>SUM(INDEX(Tabela1[[Volleyball - Men''s Tournament]:[Volleyball - Women''s Tournament]],MATCH(Table92[[#This Row],[Country]],Tabela1[Country], 0),0))</f>
        <v>0</v>
      </c>
      <c r="AV18" s="6">
        <f>SUM(INDEX(Tabela1[[Water Polo - Men''s Tournament]:[Water Polo - Women''s Tournament]],MATCH(Table92[[#This Row],[Country]],Tabela1[Country], 0),0))</f>
        <v>0</v>
      </c>
      <c r="AW18" s="6">
        <f>SUM(INDEX(Tabela1[[Weightlifting - Men''s 61kg]:[Weightlifting - Women''s +81kg]],MATCH(Table92[[#This Row],[Country]],Tabela1[Country], 0),0))</f>
        <v>0</v>
      </c>
      <c r="AX18" s="6">
        <f>SUM(INDEX(Tabela1[[Wrestling - Men''s Freestyle 57kg]:[Wrestling - Women''s Freestyle 76kg]],MATCH(Table92[[#This Row],[Country]],Tabela1[Country], 0),0))</f>
        <v>0</v>
      </c>
      <c r="AY18" s="6">
        <f>SUM(INDEX(Tabela1[[Alpine Skiing - Men''s Downhill]:[Alpine Skiing - Women''s Team Combined]],MATCH(Table92[[#This Row],[Country]],Tabela1[Country], 0),0))</f>
        <v>8</v>
      </c>
      <c r="AZ18" s="6">
        <f>SUM(INDEX(Tabela1[[Biathlon - Men''s Individual]:[Biathlon - Mixed Relay]],MATCH(Table92[[#This Row],[Country]],Tabela1[Country], 0),0))</f>
        <v>3</v>
      </c>
      <c r="BA18" s="6">
        <f>SUM(INDEX(Tabela1[[Bobsleigh - Women''s Monobob]:[Bobsleigh - Men''s Four]],MATCH(Table92[[#This Row],[Country]],Tabela1[Country], 0),0))</f>
        <v>3</v>
      </c>
      <c r="BB18" s="6">
        <f>SUM(INDEX(Tabela1[[Cross-country skiing - Men''s Classical]:[Cross-country skiing - Women''s Team Sprint]],MATCH(Table92[[#This Row],[Country]],Tabela1[Country], 0),0))</f>
        <v>0</v>
      </c>
      <c r="BC18" s="6">
        <f>SUM(INDEX(Tabela1[[Curling - Men''s Tournament]:[Curling - Mixed Doubles]],MATCH(Table92[[#This Row],[Country]],Tabela1[Country], 0),0))</f>
        <v>1</v>
      </c>
      <c r="BD18" s="6">
        <f>SUM(INDEX(Tabela1[[Figure Skating - Men''s Singles]:[Figure Skating - Team Event]],MATCH(Table92[[#This Row],[Country]],Tabela1[Country], 0),0))</f>
        <v>1</v>
      </c>
      <c r="BE18" s="6">
        <f>SUM(INDEX(Tabela1[[Freestyle Skiing - Men''s Aerials]:[Freestyle Skiing - Women''s Slopestyle]],MATCH(Table92[[#This Row],[Country]],Tabela1[Country], 0),0))</f>
        <v>12</v>
      </c>
      <c r="BF18" s="6">
        <f>SUM(INDEX(Tabela1[[Ice Hockey - Men''s Tournament]:[Ice Hockey - Women''s Tournament]],MATCH(Table92[[#This Row],[Country]],Tabela1[Country], 0),0))</f>
        <v>2</v>
      </c>
      <c r="BG18" s="6">
        <f>SUM(INDEX(Tabela1[[Luge - Men''s Singles]:[Luge - Mixed Team Relay]],MATCH(Table92[[#This Row],[Country]],Tabela1[Country], 0),0))</f>
        <v>0</v>
      </c>
      <c r="BH18" s="6">
        <f>SUM(INDEX(Tabela1[[Nordic Combined - Men''s Individual]:[Nordic Combined - Men''s Team Sprint Large Hill]],MATCH(Table92[[#This Row],[Country]],Tabela1[Country], 0),0))</f>
        <v>0</v>
      </c>
      <c r="BI18" s="6">
        <f>SUM(INDEX(Tabela1[[Short track speed skating - Men''s 500m]:[Short track speed skating - Mixed 2000m Relay]],MATCH(Table92[[#This Row],[Country]],Tabela1[Country], 0),0))</f>
        <v>0</v>
      </c>
      <c r="BJ18" s="6">
        <f>SUM(INDEX(Tabela1[[Skeleton - Men''s Individual]:[Skeleton - Mixed Team]],MATCH(Table92[[#This Row],[Country]],Tabela1[Country], 0),0))</f>
        <v>0</v>
      </c>
      <c r="BK18" s="6">
        <f>SUM(INDEX(Tabela1[[Ski Jumping - Men''s Individual Large Hill]:[Ski Jumping - Mixed Team Normal Hill]],MATCH(Table92[[#This Row],[Country]],Tabela1[Country], 0),0))</f>
        <v>0</v>
      </c>
      <c r="BL18" s="6">
        <f>SUM(INDEX(Tabela1[[Ski Mountaineering - Men''s Sprint]:[Ski Mountaineering - Mixed Relay]],MATCH(Table92[[#This Row],[Country]],Tabela1[Country], 0),0))</f>
        <v>0</v>
      </c>
      <c r="BM18" s="6">
        <f>SUM(INDEX(Tabela1[[Snowboarding - Men''s Big Air]:[Snowboarding - Mixed Team Snowboard Cross]],MATCH(Table92[[#This Row],[Country]],Tabela1[Country], 0),0))</f>
        <v>2</v>
      </c>
      <c r="BN18" s="6">
        <f>SUM(INDEX(Tabela1[[Speed Skating - Men''s 500m]:[Speed Skating - Women''s Team Pursuit]],MATCH(Table92[[#This Row],[Country]],Tabela1[Country], 0),0))</f>
        <v>1</v>
      </c>
      <c r="BO18" s="6" t="str">
        <f>SUBSTITUTE(INDEX(Table92[[#Headers],[Archery Quotas]:[Speed Skating Quotas]], MATCH(MAX(Table92[[#This Row],[Archery Quotas]:[Speed Skating Quotas]]), Table92[[#This Row],[Archery Quotas]:[Speed Skating Quotas]], 0))," Quotas","")</f>
        <v>Freestyle Skiing</v>
      </c>
      <c r="BP18" s="6">
        <f>SUM(Table92[[#This Row],[Summer Sports]:[Winter Sports]])</f>
        <v>21</v>
      </c>
      <c r="BQ18" s="6">
        <f>COUNTIF(Table92[[#This Row],[Archery Quotas]:[Wrestling Quotas]],"&lt;&gt;0")</f>
        <v>12</v>
      </c>
      <c r="BR18" s="6">
        <f>COUNTIF(Table92[[#This Row],[Alpine Skiing Quotas]:[Speed Skating Quotas]],"&lt;&gt;0")</f>
        <v>9</v>
      </c>
      <c r="BS18" s="3" t="s">
        <v>445</v>
      </c>
    </row>
    <row r="19" spans="1:71" x14ac:dyDescent="0.3">
      <c r="A19" s="6" t="s">
        <v>450</v>
      </c>
      <c r="B19" t="e" vm="18">
        <f>IF(ISBLANK(Table92[[#This Row],[Flag Link]]), "", _xlfn.IMAGE(Table92[[#This Row],[Flag Link]],1,1))</f>
        <v>#VALUE!</v>
      </c>
      <c r="C19" s="6">
        <f>SUM(Table92[[#This Row],[Archery Quotas]:[Speed Skating Quotas]])</f>
        <v>69</v>
      </c>
      <c r="D19" s="6">
        <f>SUM(INDEX(Tabela1[[Archery - Men''s Individual Recurve]:[Archery - Mixed Team Recurve]],MATCH(Table92[[#This Row],[Country]],Tabela1[Country], 0),0))</f>
        <v>0</v>
      </c>
      <c r="E19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3</v>
      </c>
      <c r="F19" s="6">
        <f>SUM(INDEX(Tabela1[[Artistic Swimming - Women''s Duet]:[Artistic Swimming - Women''s Team]],MATCH(Table92[[#This Row],[Country]],Tabela1[Country], 0),0))</f>
        <v>0</v>
      </c>
      <c r="G19" s="6">
        <f>SUM(INDEX(Tabela1[[Athletics - Men''s 100m]:[Athletics - Women''s Heptathlon]],MATCH(Table92[[#This Row],[Country]],Tabela1[Country], 0),0))</f>
        <v>6</v>
      </c>
      <c r="H19" s="6">
        <f>SUM(INDEX(Tabela1[[Badminton - Men''s Singles]:[Badminton - Mixed Doubles]],MATCH(Table92[[#This Row],[Country]],Tabela1[Country], 0),0))</f>
        <v>0</v>
      </c>
      <c r="I19" s="6">
        <f>SUM(INDEX(Tabela1[[Basketball - Men''s Tournament]:[Basketball - Women''s Tournament]],MATCH(Table92[[#This Row],[Country]],Tabela1[Country], 0),0))</f>
        <v>0</v>
      </c>
      <c r="J19" s="6">
        <f>SUM(INDEX(Tabela1[[3x3 Basketball - Men''s Tournament]:[3x3 Basketball - Women''s Tournament]],MATCH(Table92[[#This Row],[Country]],Tabela1[Country], 0),0))</f>
        <v>0</v>
      </c>
      <c r="K19" s="6">
        <f>SUM(INDEX(Tabela1[[Beach Volleyball - Men''s Tournament]:[Beach Volleyball - Women''s Tournament]],MATCH(Table92[[#This Row],[Country]],Tabela1[Country], 0),0))</f>
        <v>0</v>
      </c>
      <c r="L19" s="6">
        <f>SUM(INDEX(Tabela1[[Boxing - Men''s 51kg]:[Boxing - Women''s 75kg]],MATCH(Table92[[#This Row],[Country]],Tabela1[Country], 0),0))</f>
        <v>1</v>
      </c>
      <c r="M19" s="6">
        <f>SUM(INDEX(Tabela1[[Breaking - Men''s Individual]:[Breaking - Women''s Individual]],MATCH(Table92[[#This Row],[Country]],Tabela1[Country], 0),0))</f>
        <v>0</v>
      </c>
      <c r="N19" s="6">
        <f>SUM(INDEX(Tabela1[[Canoeing - Men''s C1 Slalom]:[Canoeing - Women''s Kayak Cross Slalom]],MATCH(Table92[[#This Row],[Country]],Tabela1[Country], 0),0))</f>
        <v>2</v>
      </c>
      <c r="O19" s="6">
        <f>SUM(INDEX(Tabela1[[Canoeing - Women''s C1 200m]:[Canoeing - Women''s K4 500m]],MATCH(Table92[[#This Row],[Country]],Tabela1[Country], 0),0))</f>
        <v>1</v>
      </c>
      <c r="P19" s="6">
        <f>SUM(INDEX(Tabela1[[Cycling - Men''s BMX Freestyle]:[Cycling - Women''s BMX Freestyle]],MATCH(Table92[[#This Row],[Country]],Tabela1[Country], 0),0))</f>
        <v>1</v>
      </c>
      <c r="Q19" s="6">
        <f>SUM(INDEX(Tabela1[[Cycling - Men''s BMX Racing]:[Cycling - Women''s BMX Racing]],MATCH(Table92[[#This Row],[Country]],Tabela1[Country], 0),0))</f>
        <v>0</v>
      </c>
      <c r="R19" s="6">
        <f>SUM(INDEX(Tabela1[[Cycling - Men''s Cross-Country]:[Cycling - Women''s Cross-Country]],MATCH(Table92[[#This Row],[Country]],Tabela1[Country], 0),0))</f>
        <v>0</v>
      </c>
      <c r="S19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9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9" s="6">
        <f>SUM(INDEX(Tabela1[[Diving - Men''s Springboard]:[Diving - Women''s Synchronized Platform]],MATCH(Table92[[#This Row],[Country]],Tabela1[Country], 0),0))</f>
        <v>0</v>
      </c>
      <c r="V19" s="6">
        <f>SUM(INDEX(Tabela1[[Equestrian - Individual Dressage]:[Equestrian - Team Dressage]],MATCH(Table92[[#This Row],[Country]],Tabela1[Country], 0),0))</f>
        <v>0</v>
      </c>
      <c r="W19" s="6">
        <f>SUM(INDEX(Tabela1[[Equestrian - Individual Eventing]:[Equestrian - Team Eventing]],MATCH(Table92[[#This Row],[Country]],Tabela1[Country], 0),0))</f>
        <v>0</v>
      </c>
      <c r="X19" s="6">
        <f>SUM(INDEX(Tabela1[[Equestrian - Individual Jumping]:[Equestrian - Team Jumping]],MATCH(Table92[[#This Row],[Country]],Tabela1[Country], 0),0))</f>
        <v>0</v>
      </c>
      <c r="Y19" s="6">
        <f>SUM(INDEX(Tabela1[[Fencing - Men''s Épée]:[Fencing - Women''s Team Sabre]],MATCH(Table92[[#This Row],[Country]],Tabela1[Country], 0),0))</f>
        <v>0</v>
      </c>
      <c r="Z19" s="6">
        <f>SUM(INDEX(Tabela1[[Field Hockey - Men''s Tournament]:[Field Hockey - Women''s Tournament]],MATCH(Table92[[#This Row],[Country]],Tabela1[Country], 0),0))</f>
        <v>0</v>
      </c>
      <c r="AA19" s="6">
        <f>SUM(INDEX(Tabela1[[Football - Men''s Tournament]:[Football - Women''s Tournament]],MATCH(Table92[[#This Row],[Country]],Tabela1[Country], 0),0))</f>
        <v>0</v>
      </c>
      <c r="AB19" s="6">
        <f>SUM(INDEX(Tabela1[[Golf - Men''s Individual]:[Golf - Women''s Individual]],MATCH(Table92[[#This Row],[Country]],Tabela1[Country], 0),0))</f>
        <v>0</v>
      </c>
      <c r="AC19" s="6">
        <f>SUM(INDEX(Tabela1[[Handball - Men''s Tournament]:[Handball - Women''s Tournament]],MATCH(Table92[[#This Row],[Country]],Tabela1[Country], 0),0))</f>
        <v>1</v>
      </c>
      <c r="AD19" s="6">
        <f>SUM(INDEX(Tabela1[[Judo - Men''s 60kg]:[Judo - Mixed Team]],MATCH(Table92[[#This Row],[Country]],Tabela1[Country], 0),0))</f>
        <v>3</v>
      </c>
      <c r="AE19" s="6">
        <f>SUM(INDEX(Tabela1[[Swimming - Men''s 10km Open Water]:[Swimming - Women''s 10km Open Water]],MATCH(Table92[[#This Row],[Country]],Tabela1[Country], 0),0))</f>
        <v>0</v>
      </c>
      <c r="AF19" s="6">
        <f>SUM(INDEX(Tabela1[[Modern Pentathlon - Men''s Individual]:[Modern Pentathlon - Women''s Individual]],MATCH(Table92[[#This Row],[Country]],Tabela1[Country], 0),0))</f>
        <v>0</v>
      </c>
      <c r="AG19" s="6">
        <f>SUM(INDEX(Tabela1[[Rhythmic Gymnastics - Women''s Individual All-Around]:[Rhythmic Gymnastics - Women''s Group All-Around]],MATCH(Table92[[#This Row],[Country]],Tabela1[Country], 0),0))</f>
        <v>0</v>
      </c>
      <c r="AH19" s="6">
        <f>SUM(INDEX(Tabela1[[Rowing - Men''s Single Sculls]:[Rowing - Women''s Lwt. Double Sculls]],MATCH(Table92[[#This Row],[Country]],Tabela1[Country], 0),0))</f>
        <v>2</v>
      </c>
      <c r="AI19" s="6">
        <f>SUM(INDEX(Tabela1[[Rugby Sevens - Men''s Tournament]:[Rugby Sevens - Women''s Tournament]],MATCH(Table92[[#This Row],[Country]],Tabela1[Country], 0),0))</f>
        <v>0</v>
      </c>
      <c r="AJ19" s="6">
        <f>SUM(INDEX(Tabela1[[Sailing - Mixed 470]:[Sailing - Mixed Nacra 17]],MATCH(Table92[[#This Row],[Country]],Tabela1[Country], 0),0))</f>
        <v>4</v>
      </c>
      <c r="AK19" s="6">
        <f>SUM(INDEX(Tabela1[[Shooting - Men''s 10m Air Pistol]:[Shooting - Women''s Trap]],MATCH(Table92[[#This Row],[Country]],Tabela1[Country], 0),0))</f>
        <v>5</v>
      </c>
      <c r="AL19" s="6">
        <f>SUM(INDEX(Tabela1[[Skateboarding - Men''s Park]:[Skateboarding - Women''s Street]],MATCH(Table92[[#This Row],[Country]],Tabela1[Country], 0),0))</f>
        <v>0</v>
      </c>
      <c r="AM19" s="6">
        <f>SUM(INDEX(Tabela1[[Sport Climbing - Men''s Boulder and Lead]:[Sport Climbing - Women''s Speed]],MATCH(Table92[[#This Row],[Country]],Tabela1[Country], 0),0))</f>
        <v>0</v>
      </c>
      <c r="AN19" s="6">
        <f>SUM(INDEX(Tabela1[[Surfing - Men''s Shortboard]:[Surfing - Women''s Shortboard]],MATCH(Table92[[#This Row],[Country]],Tabela1[Country], 0),0))</f>
        <v>0</v>
      </c>
      <c r="AO19" s="6">
        <f>SUM(INDEX(Tabela1[[Swimming - Men''s 50m Freestyle]:[Swimming - Mixed 4x100m Medley Relay]],MATCH(Table92[[#This Row],[Country]],Tabela1[Country], 0),0))</f>
        <v>5</v>
      </c>
      <c r="AP19" s="6">
        <f>SUM(INDEX(Tabela1[[Table Tennis - Men''s Singles]:[Table Tennis - Mixed Doubles]],MATCH(Table92[[#This Row],[Country]],Tabela1[Country], 0),0))</f>
        <v>4</v>
      </c>
      <c r="AQ19" s="6">
        <f>SUM(INDEX(Tabela1[[Taekwondo - Men''s 58kg]:[Taekwondo - Women''s +67kg]],MATCH(Table92[[#This Row],[Country]],Tabela1[Country], 0),0))</f>
        <v>3</v>
      </c>
      <c r="AR19" s="6">
        <f>SUM(INDEX(Tabela1[[Tennis - Men''s Singles]:[Tennis - Mixed Doubles]],MATCH(Table92[[#This Row],[Country]],Tabela1[Country], 0),0))</f>
        <v>3</v>
      </c>
      <c r="AS19" s="6">
        <f>SUM(INDEX(Tabela1[[Gymnastics - Men''s Trampoline]:[Gymnastics - Women''s Trampoline]],MATCH(Table92[[#This Row],[Country]],Tabela1[Country], 0),0))</f>
        <v>0</v>
      </c>
      <c r="AT19" s="6">
        <f>SUM(INDEX(Tabela1[[Triathlon - Men''s Individual]:[Triathlon - Mixed Relay]],MATCH(Table92[[#This Row],[Country]],Tabela1[Country], 0),0))</f>
        <v>0</v>
      </c>
      <c r="AU19" s="6">
        <f>SUM(INDEX(Tabela1[[Volleyball - Men''s Tournament]:[Volleyball - Women''s Tournament]],MATCH(Table92[[#This Row],[Country]],Tabela1[Country], 0),0))</f>
        <v>0</v>
      </c>
      <c r="AV19" s="6">
        <f>SUM(INDEX(Tabela1[[Water Polo - Men''s Tournament]:[Water Polo - Women''s Tournament]],MATCH(Table92[[#This Row],[Country]],Tabela1[Country], 0),0))</f>
        <v>1</v>
      </c>
      <c r="AW19" s="6">
        <f>SUM(INDEX(Tabela1[[Weightlifting - Men''s 61kg]:[Weightlifting - Women''s +81kg]],MATCH(Table92[[#This Row],[Country]],Tabela1[Country], 0),0))</f>
        <v>0</v>
      </c>
      <c r="AX19" s="6">
        <f>SUM(INDEX(Tabela1[[Wrestling - Men''s Freestyle 57kg]:[Wrestling - Women''s Freestyle 76kg]],MATCH(Table92[[#This Row],[Country]],Tabela1[Country], 0),0))</f>
        <v>0</v>
      </c>
      <c r="AY19" s="6">
        <f>SUM(INDEX(Tabela1[[Alpine Skiing - Men''s Downhill]:[Alpine Skiing - Women''s Team Combined]],MATCH(Table92[[#This Row],[Country]],Tabela1[Country], 0),0))</f>
        <v>8</v>
      </c>
      <c r="AZ19" s="6">
        <f>SUM(INDEX(Tabela1[[Biathlon - Men''s Individual]:[Biathlon - Mixed Relay]],MATCH(Table92[[#This Row],[Country]],Tabela1[Country], 0),0))</f>
        <v>7</v>
      </c>
      <c r="BA19" s="6">
        <f>SUM(INDEX(Tabela1[[Bobsleigh - Women''s Monobob]:[Bobsleigh - Men''s Four]],MATCH(Table92[[#This Row],[Country]],Tabela1[Country], 0),0))</f>
        <v>0</v>
      </c>
      <c r="BB19" s="6">
        <f>SUM(INDEX(Tabela1[[Cross-country skiing - Men''s Classical]:[Cross-country skiing - Women''s Team Sprint]],MATCH(Table92[[#This Row],[Country]],Tabela1[Country], 0),0))</f>
        <v>8</v>
      </c>
      <c r="BC19" s="6">
        <f>SUM(INDEX(Tabela1[[Curling - Men''s Tournament]:[Curling - Mixed Doubles]],MATCH(Table92[[#This Row],[Country]],Tabela1[Country], 0),0))</f>
        <v>0</v>
      </c>
      <c r="BD19" s="6">
        <f>SUM(INDEX(Tabela1[[Figure Skating - Men''s Singles]:[Figure Skating - Team Event]],MATCH(Table92[[#This Row],[Country]],Tabela1[Country], 0),0))</f>
        <v>0</v>
      </c>
      <c r="BE19" s="6">
        <f>SUM(INDEX(Tabela1[[Freestyle Skiing - Men''s Aerials]:[Freestyle Skiing - Women''s Slopestyle]],MATCH(Table92[[#This Row],[Country]],Tabela1[Country], 0),0))</f>
        <v>0</v>
      </c>
      <c r="BF19" s="6">
        <f>SUM(INDEX(Tabela1[[Ice Hockey - Men''s Tournament]:[Ice Hockey - Women''s Tournament]],MATCH(Table92[[#This Row],[Country]],Tabela1[Country], 0),0))</f>
        <v>0</v>
      </c>
      <c r="BG19" s="6">
        <f>SUM(INDEX(Tabela1[[Luge - Men''s Singles]:[Luge - Mixed Team Relay]],MATCH(Table92[[#This Row],[Country]],Tabela1[Country], 0),0))</f>
        <v>0</v>
      </c>
      <c r="BH19" s="6">
        <f>SUM(INDEX(Tabela1[[Nordic Combined - Men''s Individual]:[Nordic Combined - Men''s Team Sprint Large Hill]],MATCH(Table92[[#This Row],[Country]],Tabela1[Country], 0),0))</f>
        <v>0</v>
      </c>
      <c r="BI19" s="6">
        <f>SUM(INDEX(Tabela1[[Short track speed skating - Men''s 500m]:[Short track speed skating - Mixed 2000m Relay]],MATCH(Table92[[#This Row],[Country]],Tabela1[Country], 0),0))</f>
        <v>1</v>
      </c>
      <c r="BJ19" s="6">
        <f>SUM(INDEX(Tabela1[[Skeleton - Men''s Individual]:[Skeleton - Mixed Team]],MATCH(Table92[[#This Row],[Country]],Tabela1[Country], 0),0))</f>
        <v>0</v>
      </c>
      <c r="BK19" s="6">
        <f>SUM(INDEX(Tabela1[[Ski Jumping - Men''s Individual Large Hill]:[Ski Jumping - Mixed Team Normal Hill]],MATCH(Table92[[#This Row],[Country]],Tabela1[Country], 0),0))</f>
        <v>0</v>
      </c>
      <c r="BL19" s="6">
        <f>SUM(INDEX(Tabela1[[Ski Mountaineering - Men''s Sprint]:[Ski Mountaineering - Mixed Relay]],MATCH(Table92[[#This Row],[Country]],Tabela1[Country], 0),0))</f>
        <v>0</v>
      </c>
      <c r="BM19" s="6">
        <f>SUM(INDEX(Tabela1[[Snowboarding - Men''s Big Air]:[Snowboarding - Mixed Team Snowboard Cross]],MATCH(Table92[[#This Row],[Country]],Tabela1[Country], 0),0))</f>
        <v>0</v>
      </c>
      <c r="BN19" s="6">
        <f>SUM(INDEX(Tabela1[[Speed Skating - Men''s 500m]:[Speed Skating - Women''s Team Pursuit]],MATCH(Table92[[#This Row],[Country]],Tabela1[Country], 0),0))</f>
        <v>0</v>
      </c>
      <c r="BO19" s="6" t="str">
        <f>SUBSTITUTE(INDEX(Table92[[#Headers],[Archery Quotas]:[Speed Skating Quotas]], MATCH(MAX(Table92[[#This Row],[Archery Quotas]:[Speed Skating Quotas]]), Table92[[#This Row],[Archery Quotas]:[Speed Skating Quotas]], 0))," Quotas","")</f>
        <v>Alpine Skiing</v>
      </c>
      <c r="BP19" s="6">
        <f>SUM(Table92[[#This Row],[Summer Sports]:[Winter Sports]])</f>
        <v>20</v>
      </c>
      <c r="BQ19" s="6">
        <f>COUNTIF(Table92[[#This Row],[Archery Quotas]:[Wrestling Quotas]],"&lt;&gt;0")</f>
        <v>16</v>
      </c>
      <c r="BR19" s="6">
        <f>COUNTIF(Table92[[#This Row],[Alpine Skiing Quotas]:[Speed Skating Quotas]],"&lt;&gt;0")</f>
        <v>4</v>
      </c>
      <c r="BS19" s="3" t="s">
        <v>451</v>
      </c>
    </row>
    <row r="20" spans="1:71" x14ac:dyDescent="0.3">
      <c r="A20" s="6" t="s">
        <v>338</v>
      </c>
      <c r="B20" t="e" vm="19">
        <f>IF(ISBLANK(Table92[[#This Row],[Flag Link]]), "", _xlfn.IMAGE(Table92[[#This Row],[Flag Link]],1,1))</f>
        <v>#VALUE!</v>
      </c>
      <c r="C20" s="6">
        <f>SUM(Table92[[#This Row],[Archery Quotas]:[Speed Skating Quotas]])</f>
        <v>68</v>
      </c>
      <c r="D20" s="6">
        <f>SUM(INDEX(Tabela1[[Archery - Men''s Individual Recurve]:[Archery - Mixed Team Recurve]],MATCH(Table92[[#This Row],[Country]],Tabela1[Country], 0),0))</f>
        <v>0</v>
      </c>
      <c r="E20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20" s="6">
        <f>SUM(INDEX(Tabela1[[Artistic Swimming - Women''s Duet]:[Artistic Swimming - Women''s Team]],MATCH(Table92[[#This Row],[Country]],Tabela1[Country], 0),0))</f>
        <v>0</v>
      </c>
      <c r="G20" s="6">
        <f>SUM(INDEX(Tabela1[[Athletics - Men''s 100m]:[Athletics - Women''s Heptathlon]],MATCH(Table92[[#This Row],[Country]],Tabela1[Country], 0),0))</f>
        <v>4</v>
      </c>
      <c r="H20" s="6">
        <f>SUM(INDEX(Tabela1[[Badminton - Men''s Singles]:[Badminton - Mixed Doubles]],MATCH(Table92[[#This Row],[Country]],Tabela1[Country], 0),0))</f>
        <v>0</v>
      </c>
      <c r="I20" s="6">
        <f>SUM(INDEX(Tabela1[[Basketball - Men''s Tournament]:[Basketball - Women''s Tournament]],MATCH(Table92[[#This Row],[Country]],Tabela1[Country], 0),0))</f>
        <v>0</v>
      </c>
      <c r="J20" s="6">
        <f>SUM(INDEX(Tabela1[[3x3 Basketball - Men''s Tournament]:[3x3 Basketball - Women''s Tournament]],MATCH(Table92[[#This Row],[Country]],Tabela1[Country], 0),0))</f>
        <v>0</v>
      </c>
      <c r="K20" s="6">
        <f>SUM(INDEX(Tabela1[[Beach Volleyball - Men''s Tournament]:[Beach Volleyball - Women''s Tournament]],MATCH(Table92[[#This Row],[Country]],Tabela1[Country], 0),0))</f>
        <v>1</v>
      </c>
      <c r="L20" s="6">
        <f>SUM(INDEX(Tabela1[[Boxing - Men''s 51kg]:[Boxing - Women''s 75kg]],MATCH(Table92[[#This Row],[Country]],Tabela1[Country], 0),0))</f>
        <v>1</v>
      </c>
      <c r="M20" s="6">
        <f>SUM(INDEX(Tabela1[[Breaking - Men''s Individual]:[Breaking - Women''s Individual]],MATCH(Table92[[#This Row],[Country]],Tabela1[Country], 0),0))</f>
        <v>0</v>
      </c>
      <c r="N20" s="6">
        <f>SUM(INDEX(Tabela1[[Canoeing - Men''s C1 Slalom]:[Canoeing - Women''s Kayak Cross Slalom]],MATCH(Table92[[#This Row],[Country]],Tabela1[Country], 0),0))</f>
        <v>2</v>
      </c>
      <c r="O20" s="6">
        <f>SUM(INDEX(Tabela1[[Canoeing - Women''s C1 200m]:[Canoeing - Women''s K4 500m]],MATCH(Table92[[#This Row],[Country]],Tabela1[Country], 0),0))</f>
        <v>2</v>
      </c>
      <c r="P20" s="6">
        <f>SUM(INDEX(Tabela1[[Cycling - Men''s BMX Freestyle]:[Cycling - Women''s BMX Freestyle]],MATCH(Table92[[#This Row],[Country]],Tabela1[Country], 0),0))</f>
        <v>0</v>
      </c>
      <c r="Q20" s="6">
        <f>SUM(INDEX(Tabela1[[Cycling - Men''s BMX Racing]:[Cycling - Women''s BMX Racing]],MATCH(Table92[[#This Row],[Country]],Tabela1[Country], 0),0))</f>
        <v>0</v>
      </c>
      <c r="R20" s="6">
        <f>SUM(INDEX(Tabela1[[Cycling - Men''s Cross-Country]:[Cycling - Women''s Cross-Country]],MATCH(Table92[[#This Row],[Country]],Tabela1[Country], 0),0))</f>
        <v>0</v>
      </c>
      <c r="S20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20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20" s="6">
        <f>SUM(INDEX(Tabela1[[Diving - Men''s Springboard]:[Diving - Women''s Synchronized Platform]],MATCH(Table92[[#This Row],[Country]],Tabela1[Country], 0),0))</f>
        <v>0</v>
      </c>
      <c r="V20" s="6">
        <f>SUM(INDEX(Tabela1[[Equestrian - Individual Dressage]:[Equestrian - Team Dressage]],MATCH(Table92[[#This Row],[Country]],Tabela1[Country], 0),0))</f>
        <v>3</v>
      </c>
      <c r="W20" s="6">
        <f>SUM(INDEX(Tabela1[[Equestrian - Individual Eventing]:[Equestrian - Team Eventing]],MATCH(Table92[[#This Row],[Country]],Tabela1[Country], 0),0))</f>
        <v>2</v>
      </c>
      <c r="X20" s="6">
        <f>SUM(INDEX(Tabela1[[Equestrian - Individual Jumping]:[Equestrian - Team Jumping]],MATCH(Table92[[#This Row],[Country]],Tabela1[Country], 0),0))</f>
        <v>0</v>
      </c>
      <c r="Y20" s="6">
        <f>SUM(INDEX(Tabela1[[Fencing - Men''s Épée]:[Fencing - Women''s Team Sabre]],MATCH(Table92[[#This Row],[Country]],Tabela1[Country], 0),0))</f>
        <v>0</v>
      </c>
      <c r="Z20" s="6">
        <f>SUM(INDEX(Tabela1[[Field Hockey - Men''s Tournament]:[Field Hockey - Women''s Tournament]],MATCH(Table92[[#This Row],[Country]],Tabela1[Country], 0),0))</f>
        <v>0</v>
      </c>
      <c r="AA20" s="6">
        <f>SUM(INDEX(Tabela1[[Football - Men''s Tournament]:[Football - Women''s Tournament]],MATCH(Table92[[#This Row],[Country]],Tabela1[Country], 0),0))</f>
        <v>0</v>
      </c>
      <c r="AB20" s="6">
        <f>SUM(INDEX(Tabela1[[Golf - Men''s Individual]:[Golf - Women''s Individual]],MATCH(Table92[[#This Row],[Country]],Tabela1[Country], 0),0))</f>
        <v>1</v>
      </c>
      <c r="AC20" s="6">
        <f>SUM(INDEX(Tabela1[[Handball - Men''s Tournament]:[Handball - Women''s Tournament]],MATCH(Table92[[#This Row],[Country]],Tabela1[Country], 0),0))</f>
        <v>2</v>
      </c>
      <c r="AD20" s="6">
        <f>SUM(INDEX(Tabela1[[Judo - Men''s 60kg]:[Judo - Mixed Team]],MATCH(Table92[[#This Row],[Country]],Tabela1[Country], 0),0))</f>
        <v>2</v>
      </c>
      <c r="AE20" s="6">
        <f>SUM(INDEX(Tabela1[[Swimming - Men''s 10km Open Water]:[Swimming - Women''s 10km Open Water]],MATCH(Table92[[#This Row],[Country]],Tabela1[Country], 0),0))</f>
        <v>0</v>
      </c>
      <c r="AF20" s="6">
        <f>SUM(INDEX(Tabela1[[Modern Pentathlon - Men''s Individual]:[Modern Pentathlon - Women''s Individual]],MATCH(Table92[[#This Row],[Country]],Tabela1[Country], 0),0))</f>
        <v>0</v>
      </c>
      <c r="AG20" s="6">
        <f>SUM(INDEX(Tabela1[[Rhythmic Gymnastics - Women''s Individual All-Around]:[Rhythmic Gymnastics - Women''s Group All-Around]],MATCH(Table92[[#This Row],[Country]],Tabela1[Country], 0),0))</f>
        <v>0</v>
      </c>
      <c r="AH20" s="6">
        <f>SUM(INDEX(Tabela1[[Rowing - Men''s Single Sculls]:[Rowing - Women''s Lwt. Double Sculls]],MATCH(Table92[[#This Row],[Country]],Tabela1[Country], 0),0))</f>
        <v>0</v>
      </c>
      <c r="AI20" s="6">
        <f>SUM(INDEX(Tabela1[[Rugby Sevens - Men''s Tournament]:[Rugby Sevens - Women''s Tournament]],MATCH(Table92[[#This Row],[Country]],Tabela1[Country], 0),0))</f>
        <v>0</v>
      </c>
      <c r="AJ20" s="6">
        <f>SUM(INDEX(Tabela1[[Sailing - Mixed 470]:[Sailing - Mixed Nacra 17]],MATCH(Table92[[#This Row],[Country]],Tabela1[Country], 0),0))</f>
        <v>3</v>
      </c>
      <c r="AK20" s="6">
        <f>SUM(INDEX(Tabela1[[Shooting - Men''s 10m Air Pistol]:[Shooting - Women''s Trap]],MATCH(Table92[[#This Row],[Country]],Tabela1[Country], 0),0))</f>
        <v>0</v>
      </c>
      <c r="AL20" s="6">
        <f>SUM(INDEX(Tabela1[[Skateboarding - Men''s Park]:[Skateboarding - Women''s Street]],MATCH(Table92[[#This Row],[Country]],Tabela1[Country], 0),0))</f>
        <v>0</v>
      </c>
      <c r="AM20" s="6">
        <f>SUM(INDEX(Tabela1[[Sport Climbing - Men''s Boulder and Lead]:[Sport Climbing - Women''s Speed]],MATCH(Table92[[#This Row],[Country]],Tabela1[Country], 0),0))</f>
        <v>0</v>
      </c>
      <c r="AN20" s="6">
        <f>SUM(INDEX(Tabela1[[Surfing - Men''s Shortboard]:[Surfing - Women''s Shortboard]],MATCH(Table92[[#This Row],[Country]],Tabela1[Country], 0),0))</f>
        <v>0</v>
      </c>
      <c r="AO20" s="6">
        <f>SUM(INDEX(Tabela1[[Swimming - Men''s 50m Freestyle]:[Swimming - Mixed 4x100m Medley Relay]],MATCH(Table92[[#This Row],[Country]],Tabela1[Country], 0),0))</f>
        <v>8</v>
      </c>
      <c r="AP20" s="6">
        <f>SUM(INDEX(Tabela1[[Table Tennis - Men''s Singles]:[Table Tennis - Mixed Doubles]],MATCH(Table92[[#This Row],[Country]],Tabela1[Country], 0),0))</f>
        <v>4</v>
      </c>
      <c r="AQ20" s="6">
        <f>SUM(INDEX(Tabela1[[Taekwondo - Men''s 58kg]:[Taekwondo - Women''s +67kg]],MATCH(Table92[[#This Row],[Country]],Tabela1[Country], 0),0))</f>
        <v>0</v>
      </c>
      <c r="AR20" s="6">
        <f>SUM(INDEX(Tabela1[[Tennis - Men''s Singles]:[Tennis - Mixed Doubles]],MATCH(Table92[[#This Row],[Country]],Tabela1[Country], 0),0))</f>
        <v>0</v>
      </c>
      <c r="AS20" s="6">
        <f>SUM(INDEX(Tabela1[[Gymnastics - Men''s Trampoline]:[Gymnastics - Women''s Trampoline]],MATCH(Table92[[#This Row],[Country]],Tabela1[Country], 0),0))</f>
        <v>0</v>
      </c>
      <c r="AT20" s="6">
        <f>SUM(INDEX(Tabela1[[Triathlon - Men''s Individual]:[Triathlon - Mixed Relay]],MATCH(Table92[[#This Row],[Country]],Tabela1[Country], 0),0))</f>
        <v>1</v>
      </c>
      <c r="AU20" s="6">
        <f>SUM(INDEX(Tabela1[[Volleyball - Men''s Tournament]:[Volleyball - Women''s Tournament]],MATCH(Table92[[#This Row],[Country]],Tabela1[Country], 0),0))</f>
        <v>0</v>
      </c>
      <c r="AV20" s="6">
        <f>SUM(INDEX(Tabela1[[Water Polo - Men''s Tournament]:[Water Polo - Women''s Tournament]],MATCH(Table92[[#This Row],[Country]],Tabela1[Country], 0),0))</f>
        <v>0</v>
      </c>
      <c r="AW20" s="6">
        <f>SUM(INDEX(Tabela1[[Weightlifting - Men''s 61kg]:[Weightlifting - Women''s +81kg]],MATCH(Table92[[#This Row],[Country]],Tabela1[Country], 0),0))</f>
        <v>0</v>
      </c>
      <c r="AX20" s="6">
        <f>SUM(INDEX(Tabela1[[Wrestling - Men''s Freestyle 57kg]:[Wrestling - Women''s Freestyle 76kg]],MATCH(Table92[[#This Row],[Country]],Tabela1[Country], 0),0))</f>
        <v>0</v>
      </c>
      <c r="AY20" s="6">
        <f>SUM(INDEX(Tabela1[[Alpine Skiing - Men''s Downhill]:[Alpine Skiing - Women''s Team Combined]],MATCH(Table92[[#This Row],[Country]],Tabela1[Country], 0),0))</f>
        <v>4</v>
      </c>
      <c r="AZ20" s="6">
        <f>SUM(INDEX(Tabela1[[Biathlon - Men''s Individual]:[Biathlon - Mixed Relay]],MATCH(Table92[[#This Row],[Country]],Tabela1[Country], 0),0))</f>
        <v>6</v>
      </c>
      <c r="BA20" s="6">
        <f>SUM(INDEX(Tabela1[[Bobsleigh - Women''s Monobob]:[Bobsleigh - Men''s Four]],MATCH(Table92[[#This Row],[Country]],Tabela1[Country], 0),0))</f>
        <v>0</v>
      </c>
      <c r="BB20" s="6">
        <f>SUM(INDEX(Tabela1[[Cross-country skiing - Men''s Classical]:[Cross-country skiing - Women''s Team Sprint]],MATCH(Table92[[#This Row],[Country]],Tabela1[Country], 0),0))</f>
        <v>7</v>
      </c>
      <c r="BC20" s="6">
        <f>SUM(INDEX(Tabela1[[Curling - Men''s Tournament]:[Curling - Mixed Doubles]],MATCH(Table92[[#This Row],[Country]],Tabela1[Country], 0),0))</f>
        <v>3</v>
      </c>
      <c r="BD20" s="6">
        <f>SUM(INDEX(Tabela1[[Figure Skating - Men''s Singles]:[Figure Skating - Team Event]],MATCH(Table92[[#This Row],[Country]],Tabela1[Country], 0),0))</f>
        <v>1</v>
      </c>
      <c r="BE20" s="6">
        <f>SUM(INDEX(Tabela1[[Freestyle Skiing - Men''s Aerials]:[Freestyle Skiing - Women''s Slopestyle]],MATCH(Table92[[#This Row],[Country]],Tabela1[Country], 0),0))</f>
        <v>7</v>
      </c>
      <c r="BF20" s="6">
        <f>SUM(INDEX(Tabela1[[Ice Hockey - Men''s Tournament]:[Ice Hockey - Women''s Tournament]],MATCH(Table92[[#This Row],[Country]],Tabela1[Country], 0),0))</f>
        <v>2</v>
      </c>
      <c r="BG20" s="6">
        <f>SUM(INDEX(Tabela1[[Luge - Men''s Singles]:[Luge - Mixed Team Relay]],MATCH(Table92[[#This Row],[Country]],Tabela1[Country], 0),0))</f>
        <v>2</v>
      </c>
      <c r="BH20" s="6">
        <f>SUM(INDEX(Tabela1[[Nordic Combined - Men''s Individual]:[Nordic Combined - Men''s Team Sprint Large Hill]],MATCH(Table92[[#This Row],[Country]],Tabela1[Country], 0),0))</f>
        <v>0</v>
      </c>
      <c r="BI20" s="6">
        <f>SUM(INDEX(Tabela1[[Short track speed skating - Men''s 500m]:[Short track speed skating - Mixed 2000m Relay]],MATCH(Table92[[#This Row],[Country]],Tabela1[Country], 0),0))</f>
        <v>0</v>
      </c>
      <c r="BJ20" s="6">
        <f>SUM(INDEX(Tabela1[[Skeleton - Men''s Individual]:[Skeleton - Mixed Team]],MATCH(Table92[[#This Row],[Country]],Tabela1[Country], 0),0))</f>
        <v>0</v>
      </c>
      <c r="BK20" s="6">
        <f>SUM(INDEX(Tabela1[[Ski Jumping - Men''s Individual Large Hill]:[Ski Jumping - Mixed Team Normal Hill]],MATCH(Table92[[#This Row],[Country]],Tabela1[Country], 0),0))</f>
        <v>0</v>
      </c>
      <c r="BL20" s="6">
        <f>SUM(INDEX(Tabela1[[Ski Mountaineering - Men''s Sprint]:[Ski Mountaineering - Mixed Relay]],MATCH(Table92[[#This Row],[Country]],Tabela1[Country], 0),0))</f>
        <v>0</v>
      </c>
      <c r="BM20" s="6">
        <f>SUM(INDEX(Tabela1[[Snowboarding - Men''s Big Air]:[Snowboarding - Mixed Team Snowboard Cross]],MATCH(Table92[[#This Row],[Country]],Tabela1[Country], 0),0))</f>
        <v>0</v>
      </c>
      <c r="BN20" s="6">
        <f>SUM(INDEX(Tabela1[[Speed Skating - Men''s 500m]:[Speed Skating - Women''s Team Pursuit]],MATCH(Table92[[#This Row],[Country]],Tabela1[Country], 0),0))</f>
        <v>0</v>
      </c>
      <c r="BO20" s="6" t="str">
        <f>SUBSTITUTE(INDEX(Table92[[#Headers],[Archery Quotas]:[Speed Skating Quotas]], MATCH(MAX(Table92[[#This Row],[Archery Quotas]:[Speed Skating Quotas]]), Table92[[#This Row],[Archery Quotas]:[Speed Skating Quotas]], 0))," Quotas","")</f>
        <v>Swimming</v>
      </c>
      <c r="BP20" s="6">
        <f>SUM(Table92[[#This Row],[Summer Sports]:[Winter Sports]])</f>
        <v>22</v>
      </c>
      <c r="BQ20" s="6">
        <f>COUNTIF(Table92[[#This Row],[Archery Quotas]:[Wrestling Quotas]],"&lt;&gt;0")</f>
        <v>14</v>
      </c>
      <c r="BR20" s="6">
        <f>COUNTIF(Table92[[#This Row],[Alpine Skiing Quotas]:[Speed Skating Quotas]],"&lt;&gt;0")</f>
        <v>8</v>
      </c>
      <c r="BS20" s="3" t="s">
        <v>339</v>
      </c>
    </row>
    <row r="21" spans="1:71" x14ac:dyDescent="0.3">
      <c r="A21" s="6" t="s">
        <v>726</v>
      </c>
      <c r="B21" t="e" vm="20">
        <f>IF(ISBLANK(Table92[[#This Row],[Flag Link]]), "", _xlfn.IMAGE(Table92[[#This Row],[Flag Link]],1,1))</f>
        <v>#VALUE!</v>
      </c>
      <c r="C21" s="6">
        <f>SUM(Table92[[#This Row],[Archery Quotas]:[Speed Skating Quotas]])</f>
        <v>67</v>
      </c>
      <c r="D21" s="6">
        <f>SUM(INDEX(Tabela1[[Archery - Men''s Individual Recurve]:[Archery - Mixed Team Recurve]],MATCH(Table92[[#This Row],[Country]],Tabela1[Country], 0),0))</f>
        <v>2</v>
      </c>
      <c r="E21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7</v>
      </c>
      <c r="F21" s="6">
        <f>SUM(INDEX(Tabela1[[Artistic Swimming - Women''s Duet]:[Artistic Swimming - Women''s Team]],MATCH(Table92[[#This Row],[Country]],Tabela1[Country], 0),0))</f>
        <v>0</v>
      </c>
      <c r="G21" s="6">
        <f>SUM(INDEX(Tabela1[[Athletics - Men''s 100m]:[Athletics - Women''s Heptathlon]],MATCH(Table92[[#This Row],[Country]],Tabela1[Country], 0),0))</f>
        <v>3</v>
      </c>
      <c r="H21" s="6">
        <f>SUM(INDEX(Tabela1[[Badminton - Men''s Singles]:[Badminton - Mixed Doubles]],MATCH(Table92[[#This Row],[Country]],Tabela1[Country], 0),0))</f>
        <v>0</v>
      </c>
      <c r="I21" s="6">
        <f>SUM(INDEX(Tabela1[[Basketball - Men''s Tournament]:[Basketball - Women''s Tournament]],MATCH(Table92[[#This Row],[Country]],Tabela1[Country], 0),0))</f>
        <v>0</v>
      </c>
      <c r="J21" s="6">
        <f>SUM(INDEX(Tabela1[[3x3 Basketball - Men''s Tournament]:[3x3 Basketball - Women''s Tournament]],MATCH(Table92[[#This Row],[Country]],Tabela1[Country], 0),0))</f>
        <v>0</v>
      </c>
      <c r="K21" s="6">
        <f>SUM(INDEX(Tabela1[[Beach Volleyball - Men''s Tournament]:[Beach Volleyball - Women''s Tournament]],MATCH(Table92[[#This Row],[Country]],Tabela1[Country], 0),0))</f>
        <v>0</v>
      </c>
      <c r="L21" s="6">
        <f>SUM(INDEX(Tabela1[[Boxing - Men''s 51kg]:[Boxing - Women''s 75kg]],MATCH(Table92[[#This Row],[Country]],Tabela1[Country], 0),0))</f>
        <v>0</v>
      </c>
      <c r="M21" s="6">
        <f>SUM(INDEX(Tabela1[[Breaking - Men''s Individual]:[Breaking - Women''s Individual]],MATCH(Table92[[#This Row],[Country]],Tabela1[Country], 0),0))</f>
        <v>0</v>
      </c>
      <c r="N21" s="6">
        <f>SUM(INDEX(Tabela1[[Canoeing - Men''s C1 Slalom]:[Canoeing - Women''s Kayak Cross Slalom]],MATCH(Table92[[#This Row],[Country]],Tabela1[Country], 0),0))</f>
        <v>0</v>
      </c>
      <c r="O21" s="6">
        <f>SUM(INDEX(Tabela1[[Canoeing - Women''s C1 200m]:[Canoeing - Women''s K4 500m]],MATCH(Table92[[#This Row],[Country]],Tabela1[Country], 0),0))</f>
        <v>2</v>
      </c>
      <c r="P21" s="6">
        <f>SUM(INDEX(Tabela1[[Cycling - Men''s BMX Freestyle]:[Cycling - Women''s BMX Freestyle]],MATCH(Table92[[#This Row],[Country]],Tabela1[Country], 0),0))</f>
        <v>0</v>
      </c>
      <c r="Q21" s="6">
        <f>SUM(INDEX(Tabela1[[Cycling - Men''s BMX Racing]:[Cycling - Women''s BMX Racing]],MATCH(Table92[[#This Row],[Country]],Tabela1[Country], 0),0))</f>
        <v>0</v>
      </c>
      <c r="R21" s="6">
        <f>SUM(INDEX(Tabela1[[Cycling - Men''s Cross-Country]:[Cycling - Women''s Cross-Country]],MATCH(Table92[[#This Row],[Country]],Tabela1[Country], 0),0))</f>
        <v>0</v>
      </c>
      <c r="S21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1</v>
      </c>
      <c r="T21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21" s="6">
        <f>SUM(INDEX(Tabela1[[Diving - Men''s Springboard]:[Diving - Women''s Synchronized Platform]],MATCH(Table92[[#This Row],[Country]],Tabela1[Country], 0),0))</f>
        <v>6</v>
      </c>
      <c r="V21" s="6">
        <f>SUM(INDEX(Tabela1[[Equestrian - Individual Dressage]:[Equestrian - Team Dressage]],MATCH(Table92[[#This Row],[Country]],Tabela1[Country], 0),0))</f>
        <v>0</v>
      </c>
      <c r="W21" s="6">
        <f>SUM(INDEX(Tabela1[[Equestrian - Individual Eventing]:[Equestrian - Team Eventing]],MATCH(Table92[[#This Row],[Country]],Tabela1[Country], 0),0))</f>
        <v>0</v>
      </c>
      <c r="X21" s="6">
        <f>SUM(INDEX(Tabela1[[Equestrian - Individual Jumping]:[Equestrian - Team Jumping]],MATCH(Table92[[#This Row],[Country]],Tabela1[Country], 0),0))</f>
        <v>0</v>
      </c>
      <c r="Y21" s="6">
        <f>SUM(INDEX(Tabela1[[Fencing - Men''s Épée]:[Fencing - Women''s Team Sabre]],MATCH(Table92[[#This Row],[Country]],Tabela1[Country], 0),0))</f>
        <v>5</v>
      </c>
      <c r="Z21" s="6">
        <f>SUM(INDEX(Tabela1[[Field Hockey - Men''s Tournament]:[Field Hockey - Women''s Tournament]],MATCH(Table92[[#This Row],[Country]],Tabela1[Country], 0),0))</f>
        <v>0</v>
      </c>
      <c r="AA21" s="6">
        <f>SUM(INDEX(Tabela1[[Football - Men''s Tournament]:[Football - Women''s Tournament]],MATCH(Table92[[#This Row],[Country]],Tabela1[Country], 0),0))</f>
        <v>1</v>
      </c>
      <c r="AB21" s="6">
        <f>SUM(INDEX(Tabela1[[Golf - Men''s Individual]:[Golf - Women''s Individual]],MATCH(Table92[[#This Row],[Country]],Tabela1[Country], 0),0))</f>
        <v>0</v>
      </c>
      <c r="AC21" s="6">
        <f>SUM(INDEX(Tabela1[[Handball - Men''s Tournament]:[Handball - Women''s Tournament]],MATCH(Table92[[#This Row],[Country]],Tabela1[Country], 0),0))</f>
        <v>0</v>
      </c>
      <c r="AD21" s="6">
        <f>SUM(INDEX(Tabela1[[Judo - Men''s 60kg]:[Judo - Mixed Team]],MATCH(Table92[[#This Row],[Country]],Tabela1[Country], 0),0))</f>
        <v>0</v>
      </c>
      <c r="AE21" s="6">
        <f>SUM(INDEX(Tabela1[[Swimming - Men''s 10km Open Water]:[Swimming - Women''s 10km Open Water]],MATCH(Table92[[#This Row],[Country]],Tabela1[Country], 0),0))</f>
        <v>0</v>
      </c>
      <c r="AF21" s="6">
        <f>SUM(INDEX(Tabela1[[Modern Pentathlon - Men''s Individual]:[Modern Pentathlon - Women''s Individual]],MATCH(Table92[[#This Row],[Country]],Tabela1[Country], 0),0))</f>
        <v>0</v>
      </c>
      <c r="AG21" s="6">
        <f>SUM(INDEX(Tabela1[[Rhythmic Gymnastics - Women''s Individual All-Around]:[Rhythmic Gymnastics - Women''s Group All-Around]],MATCH(Table92[[#This Row],[Country]],Tabela1[Country], 0),0))</f>
        <v>1</v>
      </c>
      <c r="AH21" s="6">
        <f>SUM(INDEX(Tabela1[[Rowing - Men''s Single Sculls]:[Rowing - Women''s Lwt. Double Sculls]],MATCH(Table92[[#This Row],[Country]],Tabela1[Country], 0),0))</f>
        <v>2</v>
      </c>
      <c r="AI21" s="6">
        <f>SUM(INDEX(Tabela1[[Rugby Sevens - Men''s Tournament]:[Rugby Sevens - Women''s Tournament]],MATCH(Table92[[#This Row],[Country]],Tabela1[Country], 0),0))</f>
        <v>0</v>
      </c>
      <c r="AJ21" s="6">
        <f>SUM(INDEX(Tabela1[[Sailing - Mixed 470]:[Sailing - Mixed Nacra 17]],MATCH(Table92[[#This Row],[Country]],Tabela1[Country], 0),0))</f>
        <v>0</v>
      </c>
      <c r="AK21" s="6">
        <f>SUM(INDEX(Tabela1[[Shooting - Men''s 10m Air Pistol]:[Shooting - Women''s Trap]],MATCH(Table92[[#This Row],[Country]],Tabela1[Country], 0),0))</f>
        <v>2</v>
      </c>
      <c r="AL21" s="6">
        <f>SUM(INDEX(Tabela1[[Skateboarding - Men''s Park]:[Skateboarding - Women''s Street]],MATCH(Table92[[#This Row],[Country]],Tabela1[Country], 0),0))</f>
        <v>0</v>
      </c>
      <c r="AM21" s="6">
        <f>SUM(INDEX(Tabela1[[Sport Climbing - Men''s Boulder and Lead]:[Sport Climbing - Women''s Speed]],MATCH(Table92[[#This Row],[Country]],Tabela1[Country], 0),0))</f>
        <v>1</v>
      </c>
      <c r="AN21" s="6">
        <f>SUM(INDEX(Tabela1[[Surfing - Men''s Shortboard]:[Surfing - Women''s Shortboard]],MATCH(Table92[[#This Row],[Country]],Tabela1[Country], 0),0))</f>
        <v>0</v>
      </c>
      <c r="AO21" s="6">
        <f>SUM(INDEX(Tabela1[[Swimming - Men''s 50m Freestyle]:[Swimming - Mixed 4x100m Medley Relay]],MATCH(Table92[[#This Row],[Country]],Tabela1[Country], 0),0))</f>
        <v>3</v>
      </c>
      <c r="AP21" s="6">
        <f>SUM(INDEX(Tabela1[[Table Tennis - Men''s Singles]:[Table Tennis - Mixed Doubles]],MATCH(Table92[[#This Row],[Country]],Tabela1[Country], 0),0))</f>
        <v>1</v>
      </c>
      <c r="AQ21" s="6">
        <f>SUM(INDEX(Tabela1[[Taekwondo - Men''s 58kg]:[Taekwondo - Women''s +67kg]],MATCH(Table92[[#This Row],[Country]],Tabela1[Country], 0),0))</f>
        <v>0</v>
      </c>
      <c r="AR21" s="6">
        <f>SUM(INDEX(Tabela1[[Tennis - Men''s Singles]:[Tennis - Mixed Doubles]],MATCH(Table92[[#This Row],[Country]],Tabela1[Country], 0),0))</f>
        <v>1</v>
      </c>
      <c r="AS21" s="6">
        <f>SUM(INDEX(Tabela1[[Gymnastics - Men''s Trampoline]:[Gymnastics - Women''s Trampoline]],MATCH(Table92[[#This Row],[Country]],Tabela1[Country], 0),0))</f>
        <v>0</v>
      </c>
      <c r="AT21" s="6">
        <f>SUM(INDEX(Tabela1[[Triathlon - Men''s Individual]:[Triathlon - Mixed Relay]],MATCH(Table92[[#This Row],[Country]],Tabela1[Country], 0),0))</f>
        <v>0</v>
      </c>
      <c r="AU21" s="6">
        <f>SUM(INDEX(Tabela1[[Volleyball - Men''s Tournament]:[Volleyball - Women''s Tournament]],MATCH(Table92[[#This Row],[Country]],Tabela1[Country], 0),0))</f>
        <v>0</v>
      </c>
      <c r="AV21" s="6">
        <f>SUM(INDEX(Tabela1[[Water Polo - Men''s Tournament]:[Water Polo - Women''s Tournament]],MATCH(Table92[[#This Row],[Country]],Tabela1[Country], 0),0))</f>
        <v>0</v>
      </c>
      <c r="AW21" s="6">
        <f>SUM(INDEX(Tabela1[[Weightlifting - Men''s 61kg]:[Weightlifting - Women''s +81kg]],MATCH(Table92[[#This Row],[Country]],Tabela1[Country], 0),0))</f>
        <v>0</v>
      </c>
      <c r="AX21" s="6">
        <f>SUM(INDEX(Tabela1[[Wrestling - Men''s Freestyle 57kg]:[Wrestling - Women''s Freestyle 76kg]],MATCH(Table92[[#This Row],[Country]],Tabela1[Country], 0),0))</f>
        <v>1</v>
      </c>
      <c r="AY21" s="6">
        <f>SUM(INDEX(Tabela1[[Alpine Skiing - Men''s Downhill]:[Alpine Skiing - Women''s Team Combined]],MATCH(Table92[[#This Row],[Country]],Tabela1[Country], 0),0))</f>
        <v>4</v>
      </c>
      <c r="AZ21" s="6">
        <f>SUM(INDEX(Tabela1[[Biathlon - Men''s Individual]:[Biathlon - Mixed Relay]],MATCH(Table92[[#This Row],[Country]],Tabela1[Country], 0),0))</f>
        <v>4</v>
      </c>
      <c r="BA21" s="6">
        <f>SUM(INDEX(Tabela1[[Bobsleigh - Women''s Monobob]:[Bobsleigh - Men''s Four]],MATCH(Table92[[#This Row],[Country]],Tabela1[Country], 0),0))</f>
        <v>0</v>
      </c>
      <c r="BB21" s="6">
        <f>SUM(INDEX(Tabela1[[Cross-country skiing - Men''s Classical]:[Cross-country skiing - Women''s Team Sprint]],MATCH(Table92[[#This Row],[Country]],Tabela1[Country], 0),0))</f>
        <v>11</v>
      </c>
      <c r="BC21" s="6">
        <f>SUM(INDEX(Tabela1[[Curling - Men''s Tournament]:[Curling - Mixed Doubles]],MATCH(Table92[[#This Row],[Country]],Tabela1[Country], 0),0))</f>
        <v>0</v>
      </c>
      <c r="BD21" s="6">
        <f>SUM(INDEX(Tabela1[[Figure Skating - Men''s Singles]:[Figure Skating - Team Event]],MATCH(Table92[[#This Row],[Country]],Tabela1[Country], 0),0))</f>
        <v>0</v>
      </c>
      <c r="BE21" s="6">
        <f>SUM(INDEX(Tabela1[[Freestyle Skiing - Men''s Aerials]:[Freestyle Skiing - Women''s Slopestyle]],MATCH(Table92[[#This Row],[Country]],Tabela1[Country], 0),0))</f>
        <v>7</v>
      </c>
      <c r="BF21" s="6">
        <f>SUM(INDEX(Tabela1[[Ice Hockey - Men''s Tournament]:[Ice Hockey - Women''s Tournament]],MATCH(Table92[[#This Row],[Country]],Tabela1[Country], 0),0))</f>
        <v>0</v>
      </c>
      <c r="BG21" s="6">
        <f>SUM(INDEX(Tabela1[[Luge - Men''s Singles]:[Luge - Mixed Team Relay]],MATCH(Table92[[#This Row],[Country]],Tabela1[Country], 0),0))</f>
        <v>0</v>
      </c>
      <c r="BH21" s="6">
        <f>SUM(INDEX(Tabela1[[Nordic Combined - Men''s Individual]:[Nordic Combined - Men''s Team Sprint Large Hill]],MATCH(Table92[[#This Row],[Country]],Tabela1[Country], 0),0))</f>
        <v>0</v>
      </c>
      <c r="BI21" s="6">
        <f>SUM(INDEX(Tabela1[[Short track speed skating - Men''s 500m]:[Short track speed skating - Mixed 2000m Relay]],MATCH(Table92[[#This Row],[Country]],Tabela1[Country], 0),0))</f>
        <v>1</v>
      </c>
      <c r="BJ21" s="6">
        <f>SUM(INDEX(Tabela1[[Skeleton - Men''s Individual]:[Skeleton - Mixed Team]],MATCH(Table92[[#This Row],[Country]],Tabela1[Country], 0),0))</f>
        <v>0</v>
      </c>
      <c r="BK21" s="6">
        <f>SUM(INDEX(Tabela1[[Ski Jumping - Men''s Individual Large Hill]:[Ski Jumping - Mixed Team Normal Hill]],MATCH(Table92[[#This Row],[Country]],Tabela1[Country], 0),0))</f>
        <v>0</v>
      </c>
      <c r="BL21" s="6">
        <f>SUM(INDEX(Tabela1[[Ski Mountaineering - Men''s Sprint]:[Ski Mountaineering - Mixed Relay]],MATCH(Table92[[#This Row],[Country]],Tabela1[Country], 0),0))</f>
        <v>0</v>
      </c>
      <c r="BM21" s="6">
        <f>SUM(INDEX(Tabela1[[Snowboarding - Men''s Big Air]:[Snowboarding - Mixed Team Snowboard Cross]],MATCH(Table92[[#This Row],[Country]],Tabela1[Country], 0),0))</f>
        <v>1</v>
      </c>
      <c r="BN21" s="6">
        <f>SUM(INDEX(Tabela1[[Speed Skating - Men''s 500m]:[Speed Skating - Women''s Team Pursuit]],MATCH(Table92[[#This Row],[Country]],Tabela1[Country], 0),0))</f>
        <v>0</v>
      </c>
      <c r="BO21" s="6" t="str">
        <f>SUBSTITUTE(INDEX(Table92[[#Headers],[Archery Quotas]:[Speed Skating Quotas]], MATCH(MAX(Table92[[#This Row],[Archery Quotas]:[Speed Skating Quotas]]), Table92[[#This Row],[Archery Quotas]:[Speed Skating Quotas]], 0))," Quotas","")</f>
        <v>Cross Country Skiing</v>
      </c>
      <c r="BP21" s="6">
        <f>SUM(Table92[[#This Row],[Summer Sports]:[Winter Sports]])</f>
        <v>22</v>
      </c>
      <c r="BQ21" s="6">
        <f>COUNTIF(Table92[[#This Row],[Archery Quotas]:[Wrestling Quotas]],"&lt;&gt;0")</f>
        <v>16</v>
      </c>
      <c r="BR21" s="6">
        <f>COUNTIF(Table92[[#This Row],[Alpine Skiing Quotas]:[Speed Skating Quotas]],"&lt;&gt;0")</f>
        <v>6</v>
      </c>
      <c r="BS21" s="3" t="s">
        <v>727</v>
      </c>
    </row>
    <row r="22" spans="1:71" x14ac:dyDescent="0.3">
      <c r="A22" s="6" t="s">
        <v>596</v>
      </c>
      <c r="B22" t="e" vm="21">
        <f>IF(ISBLANK(Table92[[#This Row],[Flag Link]]), "", _xlfn.IMAGE(Table92[[#This Row],[Flag Link]],1,1))</f>
        <v>#VALUE!</v>
      </c>
      <c r="C22" s="6">
        <f>SUM(Table92[[#This Row],[Archery Quotas]:[Speed Skating Quotas]])</f>
        <v>63</v>
      </c>
      <c r="D22" s="6">
        <f>SUM(INDEX(Tabela1[[Archery - Men''s Individual Recurve]:[Archery - Mixed Team Recurve]],MATCH(Table92[[#This Row],[Country]],Tabela1[Country], 0),0))</f>
        <v>0</v>
      </c>
      <c r="E22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22" s="6">
        <f>SUM(INDEX(Tabela1[[Artistic Swimming - Women''s Duet]:[Artistic Swimming - Women''s Team]],MATCH(Table92[[#This Row],[Country]],Tabela1[Country], 0),0))</f>
        <v>0</v>
      </c>
      <c r="G22" s="6">
        <f>SUM(INDEX(Tabela1[[Athletics - Men''s 100m]:[Athletics - Women''s Heptathlon]],MATCH(Table92[[#This Row],[Country]],Tabela1[Country], 0),0))</f>
        <v>10</v>
      </c>
      <c r="H22" s="6">
        <f>SUM(INDEX(Tabela1[[Badminton - Men''s Singles]:[Badminton - Mixed Doubles]],MATCH(Table92[[#This Row],[Country]],Tabela1[Country], 0),0))</f>
        <v>1</v>
      </c>
      <c r="I22" s="6">
        <f>SUM(INDEX(Tabela1[[Basketball - Men''s Tournament]:[Basketball - Women''s Tournament]],MATCH(Table92[[#This Row],[Country]],Tabela1[Country], 0),0))</f>
        <v>0</v>
      </c>
      <c r="J22" s="6">
        <f>SUM(INDEX(Tabela1[[3x3 Basketball - Men''s Tournament]:[3x3 Basketball - Women''s Tournament]],MATCH(Table92[[#This Row],[Country]],Tabela1[Country], 0),0))</f>
        <v>0</v>
      </c>
      <c r="K22" s="6">
        <f>SUM(INDEX(Tabela1[[Beach Volleyball - Men''s Tournament]:[Beach Volleyball - Women''s Tournament]],MATCH(Table92[[#This Row],[Country]],Tabela1[Country], 0),0))</f>
        <v>0</v>
      </c>
      <c r="L22" s="6">
        <f>SUM(INDEX(Tabela1[[Boxing - Men''s 51kg]:[Boxing - Women''s 75kg]],MATCH(Table92[[#This Row],[Country]],Tabela1[Country], 0),0))</f>
        <v>5</v>
      </c>
      <c r="M22" s="6">
        <f>SUM(INDEX(Tabela1[[Breaking - Men''s Individual]:[Breaking - Women''s Individual]],MATCH(Table92[[#This Row],[Country]],Tabela1[Country], 0),0))</f>
        <v>0</v>
      </c>
      <c r="N22" s="6">
        <f>SUM(INDEX(Tabela1[[Canoeing - Men''s C1 Slalom]:[Canoeing - Women''s Kayak Cross Slalom]],MATCH(Table92[[#This Row],[Country]],Tabela1[Country], 0),0))</f>
        <v>2</v>
      </c>
      <c r="O22" s="6">
        <f>SUM(INDEX(Tabela1[[Canoeing - Women''s C1 200m]:[Canoeing - Women''s K4 500m]],MATCH(Table92[[#This Row],[Country]],Tabela1[Country], 0),0))</f>
        <v>0</v>
      </c>
      <c r="P22" s="6">
        <f>SUM(INDEX(Tabela1[[Cycling - Men''s BMX Freestyle]:[Cycling - Women''s BMX Freestyle]],MATCH(Table92[[#This Row],[Country]],Tabela1[Country], 0),0))</f>
        <v>0</v>
      </c>
      <c r="Q22" s="6">
        <f>SUM(INDEX(Tabela1[[Cycling - Men''s BMX Racing]:[Cycling - Women''s BMX Racing]],MATCH(Table92[[#This Row],[Country]],Tabela1[Country], 0),0))</f>
        <v>0</v>
      </c>
      <c r="R22" s="6">
        <f>SUM(INDEX(Tabela1[[Cycling - Men''s Cross-Country]:[Cycling - Women''s Cross-Country]],MATCH(Table92[[#This Row],[Country]],Tabela1[Country], 0),0))</f>
        <v>0</v>
      </c>
      <c r="S22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3</v>
      </c>
      <c r="T22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1</v>
      </c>
      <c r="U22" s="6">
        <f>SUM(INDEX(Tabela1[[Diving - Men''s Springboard]:[Diving - Women''s Synchronized Platform]],MATCH(Table92[[#This Row],[Country]],Tabela1[Country], 0),0))</f>
        <v>2</v>
      </c>
      <c r="V22" s="6">
        <f>SUM(INDEX(Tabela1[[Equestrian - Individual Dressage]:[Equestrian - Team Dressage]],MATCH(Table92[[#This Row],[Country]],Tabela1[Country], 0),0))</f>
        <v>0</v>
      </c>
      <c r="W22" s="6">
        <f>SUM(INDEX(Tabela1[[Equestrian - Individual Eventing]:[Equestrian - Team Eventing]],MATCH(Table92[[#This Row],[Country]],Tabela1[Country], 0),0))</f>
        <v>4</v>
      </c>
      <c r="X22" s="6">
        <f>SUM(INDEX(Tabela1[[Equestrian - Individual Jumping]:[Equestrian - Team Jumping]],MATCH(Table92[[#This Row],[Country]],Tabela1[Country], 0),0))</f>
        <v>3</v>
      </c>
      <c r="Y22" s="6">
        <f>SUM(INDEX(Tabela1[[Fencing - Men''s Épée]:[Fencing - Women''s Team Sabre]],MATCH(Table92[[#This Row],[Country]],Tabela1[Country], 0),0))</f>
        <v>0</v>
      </c>
      <c r="Z22" s="6">
        <f>SUM(INDEX(Tabela1[[Field Hockey - Men''s Tournament]:[Field Hockey - Women''s Tournament]],MATCH(Table92[[#This Row],[Country]],Tabela1[Country], 0),0))</f>
        <v>1</v>
      </c>
      <c r="AA22" s="6">
        <f>SUM(INDEX(Tabela1[[Football - Men''s Tournament]:[Football - Women''s Tournament]],MATCH(Table92[[#This Row],[Country]],Tabela1[Country], 0),0))</f>
        <v>0</v>
      </c>
      <c r="AB22" s="6">
        <f>SUM(INDEX(Tabela1[[Golf - Men''s Individual]:[Golf - Women''s Individual]],MATCH(Table92[[#This Row],[Country]],Tabela1[Country], 0),0))</f>
        <v>2</v>
      </c>
      <c r="AC22" s="6">
        <f>SUM(INDEX(Tabela1[[Handball - Men''s Tournament]:[Handball - Women''s Tournament]],MATCH(Table92[[#This Row],[Country]],Tabela1[Country], 0),0))</f>
        <v>0</v>
      </c>
      <c r="AD22" s="6">
        <f>SUM(INDEX(Tabela1[[Judo - Men''s 60kg]:[Judo - Mixed Team]],MATCH(Table92[[#This Row],[Country]],Tabela1[Country], 0),0))</f>
        <v>0</v>
      </c>
      <c r="AE22" s="6">
        <f>SUM(INDEX(Tabela1[[Swimming - Men''s 10km Open Water]:[Swimming - Women''s 10km Open Water]],MATCH(Table92[[#This Row],[Country]],Tabela1[Country], 0),0))</f>
        <v>1</v>
      </c>
      <c r="AF22" s="6">
        <f>SUM(INDEX(Tabela1[[Modern Pentathlon - Men''s Individual]:[Modern Pentathlon - Women''s Individual]],MATCH(Table92[[#This Row],[Country]],Tabela1[Country], 0),0))</f>
        <v>0</v>
      </c>
      <c r="AG22" s="6">
        <f>SUM(INDEX(Tabela1[[Rhythmic Gymnastics - Women''s Individual All-Around]:[Rhythmic Gymnastics - Women''s Group All-Around]],MATCH(Table92[[#This Row],[Country]],Tabela1[Country], 0),0))</f>
        <v>0</v>
      </c>
      <c r="AH22" s="6">
        <f>SUM(INDEX(Tabela1[[Rowing - Men''s Single Sculls]:[Rowing - Women''s Lwt. Double Sculls]],MATCH(Table92[[#This Row],[Country]],Tabela1[Country], 0),0))</f>
        <v>6</v>
      </c>
      <c r="AI22" s="6">
        <f>SUM(INDEX(Tabela1[[Rugby Sevens - Men''s Tournament]:[Rugby Sevens - Women''s Tournament]],MATCH(Table92[[#This Row],[Country]],Tabela1[Country], 0),0))</f>
        <v>2</v>
      </c>
      <c r="AJ22" s="6">
        <f>SUM(INDEX(Tabela1[[Sailing - Mixed 470]:[Sailing - Mixed Nacra 17]],MATCH(Table92[[#This Row],[Country]],Tabela1[Country], 0),0))</f>
        <v>2</v>
      </c>
      <c r="AK22" s="6">
        <f>SUM(INDEX(Tabela1[[Shooting - Men''s 10m Air Pistol]:[Shooting - Women''s Trap]],MATCH(Table92[[#This Row],[Country]],Tabela1[Country], 0),0))</f>
        <v>0</v>
      </c>
      <c r="AL22" s="6">
        <f>SUM(INDEX(Tabela1[[Skateboarding - Men''s Park]:[Skateboarding - Women''s Street]],MATCH(Table92[[#This Row],[Country]],Tabela1[Country], 0),0))</f>
        <v>0</v>
      </c>
      <c r="AM22" s="6">
        <f>SUM(INDEX(Tabela1[[Sport Climbing - Men''s Boulder and Lead]:[Sport Climbing - Women''s Speed]],MATCH(Table92[[#This Row],[Country]],Tabela1[Country], 0),0))</f>
        <v>0</v>
      </c>
      <c r="AN22" s="6">
        <f>SUM(INDEX(Tabela1[[Surfing - Men''s Shortboard]:[Surfing - Women''s Shortboard]],MATCH(Table92[[#This Row],[Country]],Tabela1[Country], 0),0))</f>
        <v>0</v>
      </c>
      <c r="AO22" s="6">
        <f>SUM(INDEX(Tabela1[[Swimming - Men''s 50m Freestyle]:[Swimming - Mixed 4x100m Medley Relay]],MATCH(Table92[[#This Row],[Country]],Tabela1[Country], 0),0))</f>
        <v>7</v>
      </c>
      <c r="AP22" s="6">
        <f>SUM(INDEX(Tabela1[[Table Tennis - Men''s Singles]:[Table Tennis - Mixed Doubles]],MATCH(Table92[[#This Row],[Country]],Tabela1[Country], 0),0))</f>
        <v>0</v>
      </c>
      <c r="AQ22" s="6">
        <f>SUM(INDEX(Tabela1[[Taekwondo - Men''s 58kg]:[Taekwondo - Women''s +67kg]],MATCH(Table92[[#This Row],[Country]],Tabela1[Country], 0),0))</f>
        <v>1</v>
      </c>
      <c r="AR22" s="6">
        <f>SUM(INDEX(Tabela1[[Tennis - Men''s Singles]:[Tennis - Mixed Doubles]],MATCH(Table92[[#This Row],[Country]],Tabela1[Country], 0),0))</f>
        <v>0</v>
      </c>
      <c r="AS22" s="6">
        <f>SUM(INDEX(Tabela1[[Gymnastics - Men''s Trampoline]:[Gymnastics - Women''s Trampoline]],MATCH(Table92[[#This Row],[Country]],Tabela1[Country], 0),0))</f>
        <v>0</v>
      </c>
      <c r="AT22" s="6">
        <f>SUM(INDEX(Tabela1[[Triathlon - Men''s Individual]:[Triathlon - Mixed Relay]],MATCH(Table92[[#This Row],[Country]],Tabela1[Country], 0),0))</f>
        <v>0</v>
      </c>
      <c r="AU22" s="6">
        <f>SUM(INDEX(Tabela1[[Volleyball - Men''s Tournament]:[Volleyball - Women''s Tournament]],MATCH(Table92[[#This Row],[Country]],Tabela1[Country], 0),0))</f>
        <v>0</v>
      </c>
      <c r="AV22" s="6">
        <f>SUM(INDEX(Tabela1[[Water Polo - Men''s Tournament]:[Water Polo - Women''s Tournament]],MATCH(Table92[[#This Row],[Country]],Tabela1[Country], 0),0))</f>
        <v>0</v>
      </c>
      <c r="AW22" s="6">
        <f>SUM(INDEX(Tabela1[[Weightlifting - Men''s 61kg]:[Weightlifting - Women''s +81kg]],MATCH(Table92[[#This Row],[Country]],Tabela1[Country], 0),0))</f>
        <v>0</v>
      </c>
      <c r="AX22" s="6">
        <f>SUM(INDEX(Tabela1[[Wrestling - Men''s Freestyle 57kg]:[Wrestling - Women''s Freestyle 76kg]],MATCH(Table92[[#This Row],[Country]],Tabela1[Country], 0),0))</f>
        <v>0</v>
      </c>
      <c r="AY22" s="6">
        <f>SUM(INDEX(Tabela1[[Alpine Skiing - Men''s Downhill]:[Alpine Skiing - Women''s Team Combined]],MATCH(Table92[[#This Row],[Country]],Tabela1[Country], 0),0))</f>
        <v>6</v>
      </c>
      <c r="AZ22" s="6">
        <f>SUM(INDEX(Tabela1[[Biathlon - Men''s Individual]:[Biathlon - Mixed Relay]],MATCH(Table92[[#This Row],[Country]],Tabela1[Country], 0),0))</f>
        <v>0</v>
      </c>
      <c r="BA22" s="6">
        <f>SUM(INDEX(Tabela1[[Bobsleigh - Women''s Monobob]:[Bobsleigh - Men''s Four]],MATCH(Table92[[#This Row],[Country]],Tabela1[Country], 0),0))</f>
        <v>0</v>
      </c>
      <c r="BB22" s="6">
        <f>SUM(INDEX(Tabela1[[Cross-country skiing - Men''s Classical]:[Cross-country skiing - Women''s Team Sprint]],MATCH(Table92[[#This Row],[Country]],Tabela1[Country], 0),0))</f>
        <v>3</v>
      </c>
      <c r="BC22" s="6">
        <f>SUM(INDEX(Tabela1[[Curling - Men''s Tournament]:[Curling - Mixed Doubles]],MATCH(Table92[[#This Row],[Country]],Tabela1[Country], 0),0))</f>
        <v>0</v>
      </c>
      <c r="BD22" s="6">
        <f>SUM(INDEX(Tabela1[[Figure Skating - Men''s Singles]:[Figure Skating - Team Event]],MATCH(Table92[[#This Row],[Country]],Tabela1[Country], 0),0))</f>
        <v>0</v>
      </c>
      <c r="BE22" s="6">
        <f>SUM(INDEX(Tabela1[[Freestyle Skiing - Men''s Aerials]:[Freestyle Skiing - Women''s Slopestyle]],MATCH(Table92[[#This Row],[Country]],Tabela1[Country], 0),0))</f>
        <v>1</v>
      </c>
      <c r="BF22" s="6">
        <f>SUM(INDEX(Tabela1[[Ice Hockey - Men''s Tournament]:[Ice Hockey - Women''s Tournament]],MATCH(Table92[[#This Row],[Country]],Tabela1[Country], 0),0))</f>
        <v>0</v>
      </c>
      <c r="BG22" s="6">
        <f>SUM(INDEX(Tabela1[[Luge - Men''s Singles]:[Luge - Mixed Team Relay]],MATCH(Table92[[#This Row],[Country]],Tabela1[Country], 0),0))</f>
        <v>0</v>
      </c>
      <c r="BH22" s="6">
        <f>SUM(INDEX(Tabela1[[Nordic Combined - Men''s Individual]:[Nordic Combined - Men''s Team Sprint Large Hill]],MATCH(Table92[[#This Row],[Country]],Tabela1[Country], 0),0))</f>
        <v>0</v>
      </c>
      <c r="BI22" s="6">
        <f>SUM(INDEX(Tabela1[[Short track speed skating - Men''s 500m]:[Short track speed skating - Mixed 2000m Relay]],MATCH(Table92[[#This Row],[Country]],Tabela1[Country], 0),0))</f>
        <v>0</v>
      </c>
      <c r="BJ22" s="6">
        <f>SUM(INDEX(Tabela1[[Skeleton - Men''s Individual]:[Skeleton - Mixed Team]],MATCH(Table92[[#This Row],[Country]],Tabela1[Country], 0),0))</f>
        <v>0</v>
      </c>
      <c r="BK22" s="6">
        <f>SUM(INDEX(Tabela1[[Ski Jumping - Men''s Individual Large Hill]:[Ski Jumping - Mixed Team Normal Hill]],MATCH(Table92[[#This Row],[Country]],Tabela1[Country], 0),0))</f>
        <v>0</v>
      </c>
      <c r="BL22" s="6">
        <f>SUM(INDEX(Tabela1[[Ski Mountaineering - Men''s Sprint]:[Ski Mountaineering - Mixed Relay]],MATCH(Table92[[#This Row],[Country]],Tabela1[Country], 0),0))</f>
        <v>0</v>
      </c>
      <c r="BM22" s="6">
        <f>SUM(INDEX(Tabela1[[Snowboarding - Men''s Big Air]:[Snowboarding - Mixed Team Snowboard Cross]],MATCH(Table92[[#This Row],[Country]],Tabela1[Country], 0),0))</f>
        <v>0</v>
      </c>
      <c r="BN22" s="6">
        <f>SUM(INDEX(Tabela1[[Speed Skating - Men''s 500m]:[Speed Skating - Women''s Team Pursuit]],MATCH(Table92[[#This Row],[Country]],Tabela1[Country], 0),0))</f>
        <v>0</v>
      </c>
      <c r="BO22" s="6" t="str">
        <f>SUBSTITUTE(INDEX(Table92[[#Headers],[Archery Quotas]:[Speed Skating Quotas]], MATCH(MAX(Table92[[#This Row],[Archery Quotas]:[Speed Skating Quotas]]), Table92[[#This Row],[Archery Quotas]:[Speed Skating Quotas]], 0))," Quotas","")</f>
        <v>Athletics</v>
      </c>
      <c r="BP22" s="6">
        <f>SUM(Table92[[#This Row],[Summer Sports]:[Winter Sports]])</f>
        <v>20</v>
      </c>
      <c r="BQ22" s="6">
        <f>COUNTIF(Table92[[#This Row],[Archery Quotas]:[Wrestling Quotas]],"&lt;&gt;0")</f>
        <v>17</v>
      </c>
      <c r="BR22" s="6">
        <f>COUNTIF(Table92[[#This Row],[Alpine Skiing Quotas]:[Speed Skating Quotas]],"&lt;&gt;0")</f>
        <v>3</v>
      </c>
      <c r="BS22" s="4" t="s">
        <v>597</v>
      </c>
    </row>
    <row r="23" spans="1:71" x14ac:dyDescent="0.3">
      <c r="A23" s="6" t="s">
        <v>358</v>
      </c>
      <c r="B23" t="e" vm="22">
        <f>IF(ISBLANK(Table92[[#This Row],[Flag Link]]), "", _xlfn.IMAGE(Table92[[#This Row],[Flag Link]],1,1))</f>
        <v>#VALUE!</v>
      </c>
      <c r="C23" s="6">
        <f>SUM(Table92[[#This Row],[Archery Quotas]:[Speed Skating Quotas]])</f>
        <v>61</v>
      </c>
      <c r="D23" s="6">
        <f>SUM(INDEX(Tabela1[[Archery - Men''s Individual Recurve]:[Archery - Mixed Team Recurve]],MATCH(Table92[[#This Row],[Country]],Tabela1[Country], 0),0))</f>
        <v>0</v>
      </c>
      <c r="E23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4</v>
      </c>
      <c r="F23" s="6">
        <f>SUM(INDEX(Tabela1[[Artistic Swimming - Women''s Duet]:[Artistic Swimming - Women''s Team]],MATCH(Table92[[#This Row],[Country]],Tabela1[Country], 0),0))</f>
        <v>0</v>
      </c>
      <c r="G23" s="6">
        <f>SUM(INDEX(Tabela1[[Athletics - Men''s 100m]:[Athletics - Women''s Heptathlon]],MATCH(Table92[[#This Row],[Country]],Tabela1[Country], 0),0))</f>
        <v>4</v>
      </c>
      <c r="H23" s="6">
        <f>SUM(INDEX(Tabela1[[Badminton - Men''s Singles]:[Badminton - Mixed Doubles]],MATCH(Table92[[#This Row],[Country]],Tabela1[Country], 0),0))</f>
        <v>1</v>
      </c>
      <c r="I23" s="6">
        <f>SUM(INDEX(Tabela1[[Basketball - Men''s Tournament]:[Basketball - Women''s Tournament]],MATCH(Table92[[#This Row],[Country]],Tabela1[Country], 0),0))</f>
        <v>0</v>
      </c>
      <c r="J23" s="6">
        <f>SUM(INDEX(Tabela1[[3x3 Basketball - Men''s Tournament]:[3x3 Basketball - Women''s Tournament]],MATCH(Table92[[#This Row],[Country]],Tabela1[Country], 0),0))</f>
        <v>0</v>
      </c>
      <c r="K23" s="6">
        <f>SUM(INDEX(Tabela1[[Beach Volleyball - Men''s Tournament]:[Beach Volleyball - Women''s Tournament]],MATCH(Table92[[#This Row],[Country]],Tabela1[Country], 0),0))</f>
        <v>0</v>
      </c>
      <c r="L23" s="6">
        <f>SUM(INDEX(Tabela1[[Boxing - Men''s 51kg]:[Boxing - Women''s 75kg]],MATCH(Table92[[#This Row],[Country]],Tabela1[Country], 0),0))</f>
        <v>0</v>
      </c>
      <c r="M23" s="6">
        <f>SUM(INDEX(Tabela1[[Breaking - Men''s Individual]:[Breaking - Women''s Individual]],MATCH(Table92[[#This Row],[Country]],Tabela1[Country], 0),0))</f>
        <v>0</v>
      </c>
      <c r="N23" s="6">
        <f>SUM(INDEX(Tabela1[[Canoeing - Men''s C1 Slalom]:[Canoeing - Women''s Kayak Cross Slalom]],MATCH(Table92[[#This Row],[Country]],Tabela1[Country], 0),0))</f>
        <v>2</v>
      </c>
      <c r="O23" s="6">
        <f>SUM(INDEX(Tabela1[[Canoeing - Women''s C1 200m]:[Canoeing - Women''s K4 500m]],MATCH(Table92[[#This Row],[Country]],Tabela1[Country], 0),0))</f>
        <v>0</v>
      </c>
      <c r="P23" s="6">
        <f>SUM(INDEX(Tabela1[[Cycling - Men''s BMX Freestyle]:[Cycling - Women''s BMX Freestyle]],MATCH(Table92[[#This Row],[Country]],Tabela1[Country], 0),0))</f>
        <v>0</v>
      </c>
      <c r="Q23" s="6">
        <f>SUM(INDEX(Tabela1[[Cycling - Men''s BMX Racing]:[Cycling - Women''s BMX Racing]],MATCH(Table92[[#This Row],[Country]],Tabela1[Country], 0),0))</f>
        <v>0</v>
      </c>
      <c r="R23" s="6">
        <f>SUM(INDEX(Tabela1[[Cycling - Men''s Cross-Country]:[Cycling - Women''s Cross-Country]],MATCH(Table92[[#This Row],[Country]],Tabela1[Country], 0),0))</f>
        <v>0</v>
      </c>
      <c r="S23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5</v>
      </c>
      <c r="T23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23" s="6">
        <f>SUM(INDEX(Tabela1[[Diving - Men''s Springboard]:[Diving - Women''s Synchronized Platform]],MATCH(Table92[[#This Row],[Country]],Tabela1[Country], 0),0))</f>
        <v>0</v>
      </c>
      <c r="V23" s="6">
        <f>SUM(INDEX(Tabela1[[Equestrian - Individual Dressage]:[Equestrian - Team Dressage]],MATCH(Table92[[#This Row],[Country]],Tabela1[Country], 0),0))</f>
        <v>3</v>
      </c>
      <c r="W23" s="6">
        <f>SUM(INDEX(Tabela1[[Equestrian - Individual Eventing]:[Equestrian - Team Eventing]],MATCH(Table92[[#This Row],[Country]],Tabela1[Country], 0),0))</f>
        <v>1</v>
      </c>
      <c r="X23" s="6">
        <f>SUM(INDEX(Tabela1[[Equestrian - Individual Jumping]:[Equestrian - Team Jumping]],MATCH(Table92[[#This Row],[Country]],Tabela1[Country], 0),0))</f>
        <v>2</v>
      </c>
      <c r="Y23" s="6">
        <f>SUM(INDEX(Tabela1[[Fencing - Men''s Épée]:[Fencing - Women''s Team Sabre]],MATCH(Table92[[#This Row],[Country]],Tabela1[Country], 0),0))</f>
        <v>0</v>
      </c>
      <c r="Z23" s="6">
        <f>SUM(INDEX(Tabela1[[Field Hockey - Men''s Tournament]:[Field Hockey - Women''s Tournament]],MATCH(Table92[[#This Row],[Country]],Tabela1[Country], 0),0))</f>
        <v>0</v>
      </c>
      <c r="AA23" s="6">
        <f>SUM(INDEX(Tabela1[[Football - Men''s Tournament]:[Football - Women''s Tournament]],MATCH(Table92[[#This Row],[Country]],Tabela1[Country], 0),0))</f>
        <v>0</v>
      </c>
      <c r="AB23" s="6">
        <f>SUM(INDEX(Tabela1[[Golf - Men''s Individual]:[Golf - Women''s Individual]],MATCH(Table92[[#This Row],[Country]],Tabela1[Country], 0),0))</f>
        <v>0</v>
      </c>
      <c r="AC23" s="6">
        <f>SUM(INDEX(Tabela1[[Handball - Men''s Tournament]:[Handball - Women''s Tournament]],MATCH(Table92[[#This Row],[Country]],Tabela1[Country], 0),0))</f>
        <v>0</v>
      </c>
      <c r="AD23" s="6">
        <f>SUM(INDEX(Tabela1[[Judo - Men''s 60kg]:[Judo - Mixed Team]],MATCH(Table92[[#This Row],[Country]],Tabela1[Country], 0),0))</f>
        <v>2</v>
      </c>
      <c r="AE23" s="6">
        <f>SUM(INDEX(Tabela1[[Swimming - Men''s 10km Open Water]:[Swimming - Women''s 10km Open Water]],MATCH(Table92[[#This Row],[Country]],Tabela1[Country], 0),0))</f>
        <v>0</v>
      </c>
      <c r="AF23" s="6">
        <f>SUM(INDEX(Tabela1[[Modern Pentathlon - Men''s Individual]:[Modern Pentathlon - Women''s Individual]],MATCH(Table92[[#This Row],[Country]],Tabela1[Country], 0),0))</f>
        <v>0</v>
      </c>
      <c r="AG23" s="6">
        <f>SUM(INDEX(Tabela1[[Rhythmic Gymnastics - Women''s Individual All-Around]:[Rhythmic Gymnastics - Women''s Group All-Around]],MATCH(Table92[[#This Row],[Country]],Tabela1[Country], 0),0))</f>
        <v>0</v>
      </c>
      <c r="AH23" s="6">
        <f>SUM(INDEX(Tabela1[[Rowing - Men''s Single Sculls]:[Rowing - Women''s Lwt. Double Sculls]],MATCH(Table92[[#This Row],[Country]],Tabela1[Country], 0),0))</f>
        <v>1</v>
      </c>
      <c r="AI23" s="6">
        <f>SUM(INDEX(Tabela1[[Rugby Sevens - Men''s Tournament]:[Rugby Sevens - Women''s Tournament]],MATCH(Table92[[#This Row],[Country]],Tabela1[Country], 0),0))</f>
        <v>0</v>
      </c>
      <c r="AJ23" s="6">
        <f>SUM(INDEX(Tabela1[[Sailing - Mixed 470]:[Sailing - Mixed Nacra 17]],MATCH(Table92[[#This Row],[Country]],Tabela1[Country], 0),0))</f>
        <v>0</v>
      </c>
      <c r="AK23" s="6">
        <f>SUM(INDEX(Tabela1[[Shooting - Men''s 10m Air Pistol]:[Shooting - Women''s Trap]],MATCH(Table92[[#This Row],[Country]],Tabela1[Country], 0),0))</f>
        <v>0</v>
      </c>
      <c r="AL23" s="6">
        <f>SUM(INDEX(Tabela1[[Skateboarding - Men''s Park]:[Skateboarding - Women''s Street]],MATCH(Table92[[#This Row],[Country]],Tabela1[Country], 0),0))</f>
        <v>0</v>
      </c>
      <c r="AM23" s="6">
        <f>SUM(INDEX(Tabela1[[Sport Climbing - Men''s Boulder and Lead]:[Sport Climbing - Women''s Speed]],MATCH(Table92[[#This Row],[Country]],Tabela1[Country], 0),0))</f>
        <v>0</v>
      </c>
      <c r="AN23" s="6">
        <f>SUM(INDEX(Tabela1[[Surfing - Men''s Shortboard]:[Surfing - Women''s Shortboard]],MATCH(Table92[[#This Row],[Country]],Tabela1[Country], 0),0))</f>
        <v>0</v>
      </c>
      <c r="AO23" s="6">
        <f>SUM(INDEX(Tabela1[[Swimming - Men''s 50m Freestyle]:[Swimming - Mixed 4x100m Medley Relay]],MATCH(Table92[[#This Row],[Country]],Tabela1[Country], 0),0))</f>
        <v>3</v>
      </c>
      <c r="AP23" s="6">
        <f>SUM(INDEX(Tabela1[[Table Tennis - Men''s Singles]:[Table Tennis - Mixed Doubles]],MATCH(Table92[[#This Row],[Country]],Tabela1[Country], 0),0))</f>
        <v>0</v>
      </c>
      <c r="AQ23" s="6">
        <f>SUM(INDEX(Tabela1[[Taekwondo - Men''s 58kg]:[Taekwondo - Women''s +67kg]],MATCH(Table92[[#This Row],[Country]],Tabela1[Country], 0),0))</f>
        <v>1</v>
      </c>
      <c r="AR23" s="6">
        <f>SUM(INDEX(Tabela1[[Tennis - Men''s Singles]:[Tennis - Mixed Doubles]],MATCH(Table92[[#This Row],[Country]],Tabela1[Country], 0),0))</f>
        <v>0</v>
      </c>
      <c r="AS23" s="6">
        <f>SUM(INDEX(Tabela1[[Gymnastics - Men''s Trampoline]:[Gymnastics - Women''s Trampoline]],MATCH(Table92[[#This Row],[Country]],Tabela1[Country], 0),0))</f>
        <v>0</v>
      </c>
      <c r="AT23" s="6">
        <f>SUM(INDEX(Tabela1[[Triathlon - Men''s Individual]:[Triathlon - Mixed Relay]],MATCH(Table92[[#This Row],[Country]],Tabela1[Country], 0),0))</f>
        <v>2</v>
      </c>
      <c r="AU23" s="6">
        <f>SUM(INDEX(Tabela1[[Volleyball - Men''s Tournament]:[Volleyball - Women''s Tournament]],MATCH(Table92[[#This Row],[Country]],Tabela1[Country], 0),0))</f>
        <v>0</v>
      </c>
      <c r="AV23" s="6">
        <f>SUM(INDEX(Tabela1[[Water Polo - Men''s Tournament]:[Water Polo - Women''s Tournament]],MATCH(Table92[[#This Row],[Country]],Tabela1[Country], 0),0))</f>
        <v>0</v>
      </c>
      <c r="AW23" s="6">
        <f>SUM(INDEX(Tabela1[[Weightlifting - Men''s 61kg]:[Weightlifting - Women''s +81kg]],MATCH(Table92[[#This Row],[Country]],Tabela1[Country], 0),0))</f>
        <v>0</v>
      </c>
      <c r="AX23" s="6">
        <f>SUM(INDEX(Tabela1[[Wrestling - Men''s Freestyle 57kg]:[Wrestling - Women''s Freestyle 76kg]],MATCH(Table92[[#This Row],[Country]],Tabela1[Country], 0),0))</f>
        <v>0</v>
      </c>
      <c r="AY23" s="6">
        <f>SUM(INDEX(Tabela1[[Alpine Skiing - Men''s Downhill]:[Alpine Skiing - Women''s Team Combined]],MATCH(Table92[[#This Row],[Country]],Tabela1[Country], 0),0))</f>
        <v>13</v>
      </c>
      <c r="AZ23" s="6">
        <f>SUM(INDEX(Tabela1[[Biathlon - Men''s Individual]:[Biathlon - Mixed Relay]],MATCH(Table92[[#This Row],[Country]],Tabela1[Country], 0),0))</f>
        <v>0</v>
      </c>
      <c r="BA23" s="6">
        <f>SUM(INDEX(Tabela1[[Bobsleigh - Women''s Monobob]:[Bobsleigh - Men''s Four]],MATCH(Table92[[#This Row],[Country]],Tabela1[Country], 0),0))</f>
        <v>1</v>
      </c>
      <c r="BB23" s="6">
        <f>SUM(INDEX(Tabela1[[Cross-country skiing - Men''s Classical]:[Cross-country skiing - Women''s Team Sprint]],MATCH(Table92[[#This Row],[Country]],Tabela1[Country], 0),0))</f>
        <v>0</v>
      </c>
      <c r="BC23" s="6">
        <f>SUM(INDEX(Tabela1[[Curling - Men''s Tournament]:[Curling - Mixed Doubles]],MATCH(Table92[[#This Row],[Country]],Tabela1[Country], 0),0))</f>
        <v>0</v>
      </c>
      <c r="BD23" s="6">
        <f>SUM(INDEX(Tabela1[[Figure Skating - Men''s Singles]:[Figure Skating - Team Event]],MATCH(Table92[[#This Row],[Country]],Tabela1[Country], 0),0))</f>
        <v>0</v>
      </c>
      <c r="BE23" s="6">
        <f>SUM(INDEX(Tabela1[[Freestyle Skiing - Men''s Aerials]:[Freestyle Skiing - Women''s Slopestyle]],MATCH(Table92[[#This Row],[Country]],Tabela1[Country], 0),0))</f>
        <v>2</v>
      </c>
      <c r="BF23" s="6">
        <f>SUM(INDEX(Tabela1[[Ice Hockey - Men''s Tournament]:[Ice Hockey - Women''s Tournament]],MATCH(Table92[[#This Row],[Country]],Tabela1[Country], 0),0))</f>
        <v>0</v>
      </c>
      <c r="BG23" s="6">
        <f>SUM(INDEX(Tabela1[[Luge - Men''s Singles]:[Luge - Mixed Team Relay]],MATCH(Table92[[#This Row],[Country]],Tabela1[Country], 0),0))</f>
        <v>0</v>
      </c>
      <c r="BH23" s="6">
        <f>SUM(INDEX(Tabela1[[Nordic Combined - Men''s Individual]:[Nordic Combined - Men''s Team Sprint Large Hill]],MATCH(Table92[[#This Row],[Country]],Tabela1[Country], 0),0))</f>
        <v>0</v>
      </c>
      <c r="BI23" s="6">
        <f>SUM(INDEX(Tabela1[[Short track speed skating - Men''s 500m]:[Short track speed skating - Mixed 2000m Relay]],MATCH(Table92[[#This Row],[Country]],Tabela1[Country], 0),0))</f>
        <v>0</v>
      </c>
      <c r="BJ23" s="6">
        <f>SUM(INDEX(Tabela1[[Skeleton - Men''s Individual]:[Skeleton - Mixed Team]],MATCH(Table92[[#This Row],[Country]],Tabela1[Country], 0),0))</f>
        <v>0</v>
      </c>
      <c r="BK23" s="6">
        <f>SUM(INDEX(Tabela1[[Ski Jumping - Men''s Individual Large Hill]:[Ski Jumping - Mixed Team Normal Hill]],MATCH(Table92[[#This Row],[Country]],Tabela1[Country], 0),0))</f>
        <v>5</v>
      </c>
      <c r="BL23" s="6">
        <f>SUM(INDEX(Tabela1[[Ski Mountaineering - Men''s Sprint]:[Ski Mountaineering - Mixed Relay]],MATCH(Table92[[#This Row],[Country]],Tabela1[Country], 0),0))</f>
        <v>2</v>
      </c>
      <c r="BM23" s="6">
        <f>SUM(INDEX(Tabela1[[Snowboarding - Men''s Big Air]:[Snowboarding - Mixed Team Snowboard Cross]],MATCH(Table92[[#This Row],[Country]],Tabela1[Country], 0),0))</f>
        <v>6</v>
      </c>
      <c r="BN23" s="6">
        <f>SUM(INDEX(Tabela1[[Speed Skating - Men''s 500m]:[Speed Skating - Women''s Team Pursuit]],MATCH(Table92[[#This Row],[Country]],Tabela1[Country], 0),0))</f>
        <v>1</v>
      </c>
      <c r="BO23" s="6" t="str">
        <f>SUBSTITUTE(INDEX(Table92[[#Headers],[Archery Quotas]:[Speed Skating Quotas]], MATCH(MAX(Table92[[#This Row],[Archery Quotas]:[Speed Skating Quotas]]), Table92[[#This Row],[Archery Quotas]:[Speed Skating Quotas]], 0))," Quotas","")</f>
        <v>Alpine Skiing</v>
      </c>
      <c r="BP23" s="6">
        <f>SUM(Table92[[#This Row],[Summer Sports]:[Winter Sports]])</f>
        <v>20</v>
      </c>
      <c r="BQ23" s="6">
        <f>COUNTIF(Table92[[#This Row],[Archery Quotas]:[Wrestling Quotas]],"&lt;&gt;0")</f>
        <v>13</v>
      </c>
      <c r="BR23" s="6">
        <f>COUNTIF(Table92[[#This Row],[Alpine Skiing Quotas]:[Speed Skating Quotas]],"&lt;&gt;0")</f>
        <v>7</v>
      </c>
      <c r="BS23" s="3" t="s">
        <v>359</v>
      </c>
    </row>
    <row r="24" spans="1:71" x14ac:dyDescent="0.3">
      <c r="A24" s="6" t="s">
        <v>614</v>
      </c>
      <c r="B24" t="e" vm="23">
        <f>IF(ISBLANK(Table92[[#This Row],[Flag Link]]), "", _xlfn.IMAGE(Table92[[#This Row],[Flag Link]],1,1))</f>
        <v>#VALUE!</v>
      </c>
      <c r="C24" s="6">
        <f>SUM(Table92[[#This Row],[Archery Quotas]:[Speed Skating Quotas]])</f>
        <v>52</v>
      </c>
      <c r="D24" s="6">
        <f>SUM(INDEX(Tabela1[[Archery - Men''s Individual Recurve]:[Archery - Mixed Team Recurve]],MATCH(Table92[[#This Row],[Country]],Tabela1[Country], 0),0))</f>
        <v>0</v>
      </c>
      <c r="E24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24" s="6">
        <f>SUM(INDEX(Tabela1[[Artistic Swimming - Women''s Duet]:[Artistic Swimming - Women''s Team]],MATCH(Table92[[#This Row],[Country]],Tabela1[Country], 0),0))</f>
        <v>0</v>
      </c>
      <c r="G24" s="6">
        <f>SUM(INDEX(Tabela1[[Athletics - Men''s 100m]:[Athletics - Women''s Heptathlon]],MATCH(Table92[[#This Row],[Country]],Tabela1[Country], 0),0))</f>
        <v>2</v>
      </c>
      <c r="H24" s="6">
        <f>SUM(INDEX(Tabela1[[Badminton - Men''s Singles]:[Badminton - Mixed Doubles]],MATCH(Table92[[#This Row],[Country]],Tabela1[Country], 0),0))</f>
        <v>0</v>
      </c>
      <c r="I24" s="6">
        <f>SUM(INDEX(Tabela1[[Basketball - Men''s Tournament]:[Basketball - Women''s Tournament]],MATCH(Table92[[#This Row],[Country]],Tabela1[Country], 0),0))</f>
        <v>0</v>
      </c>
      <c r="J24" s="6">
        <f>SUM(INDEX(Tabela1[[3x3 Basketball - Men''s Tournament]:[3x3 Basketball - Women''s Tournament]],MATCH(Table92[[#This Row],[Country]],Tabela1[Country], 0),0))</f>
        <v>1</v>
      </c>
      <c r="K24" s="6">
        <f>SUM(INDEX(Tabela1[[Beach Volleyball - Men''s Tournament]:[Beach Volleyball - Women''s Tournament]],MATCH(Table92[[#This Row],[Country]],Tabela1[Country], 0),0))</f>
        <v>1</v>
      </c>
      <c r="L24" s="6">
        <f>SUM(INDEX(Tabela1[[Boxing - Men''s 51kg]:[Boxing - Women''s 75kg]],MATCH(Table92[[#This Row],[Country]],Tabela1[Country], 0),0))</f>
        <v>0</v>
      </c>
      <c r="M24" s="6">
        <f>SUM(INDEX(Tabela1[[Breaking - Men''s Individual]:[Breaking - Women''s Individual]],MATCH(Table92[[#This Row],[Country]],Tabela1[Country], 0),0))</f>
        <v>0</v>
      </c>
      <c r="N24" s="6">
        <f>SUM(INDEX(Tabela1[[Canoeing - Men''s C1 Slalom]:[Canoeing - Women''s Kayak Cross Slalom]],MATCH(Table92[[#This Row],[Country]],Tabela1[Country], 0),0))</f>
        <v>0</v>
      </c>
      <c r="O24" s="6">
        <f>SUM(INDEX(Tabela1[[Canoeing - Women''s C1 200m]:[Canoeing - Women''s K4 500m]],MATCH(Table92[[#This Row],[Country]],Tabela1[Country], 0),0))</f>
        <v>0</v>
      </c>
      <c r="P24" s="6">
        <f>SUM(INDEX(Tabela1[[Cycling - Men''s BMX Freestyle]:[Cycling - Women''s BMX Freestyle]],MATCH(Table92[[#This Row],[Country]],Tabela1[Country], 0),0))</f>
        <v>0</v>
      </c>
      <c r="Q24" s="6">
        <f>SUM(INDEX(Tabela1[[Cycling - Men''s BMX Racing]:[Cycling - Women''s BMX Racing]],MATCH(Table92[[#This Row],[Country]],Tabela1[Country], 0),0))</f>
        <v>0</v>
      </c>
      <c r="R24" s="6">
        <f>SUM(INDEX(Tabela1[[Cycling - Men''s Cross-Country]:[Cycling - Women''s Cross-Country]],MATCH(Table92[[#This Row],[Country]],Tabela1[Country], 0),0))</f>
        <v>0</v>
      </c>
      <c r="S24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2</v>
      </c>
      <c r="T24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24" s="6">
        <f>SUM(INDEX(Tabela1[[Diving - Men''s Springboard]:[Diving - Women''s Synchronized Platform]],MATCH(Table92[[#This Row],[Country]],Tabela1[Country], 0),0))</f>
        <v>1</v>
      </c>
      <c r="V24" s="6">
        <f>SUM(INDEX(Tabela1[[Equestrian - Individual Dressage]:[Equestrian - Team Dressage]],MATCH(Table92[[#This Row],[Country]],Tabela1[Country], 0),0))</f>
        <v>0</v>
      </c>
      <c r="W24" s="6">
        <f>SUM(INDEX(Tabela1[[Equestrian - Individual Eventing]:[Equestrian - Team Eventing]],MATCH(Table92[[#This Row],[Country]],Tabela1[Country], 0),0))</f>
        <v>0</v>
      </c>
      <c r="X24" s="6">
        <f>SUM(INDEX(Tabela1[[Equestrian - Individual Jumping]:[Equestrian - Team Jumping]],MATCH(Table92[[#This Row],[Country]],Tabela1[Country], 0),0))</f>
        <v>0</v>
      </c>
      <c r="Y24" s="6">
        <f>SUM(INDEX(Tabela1[[Fencing - Men''s Épée]:[Fencing - Women''s Team Sabre]],MATCH(Table92[[#This Row],[Country]],Tabela1[Country], 0),0))</f>
        <v>0</v>
      </c>
      <c r="Z24" s="6">
        <f>SUM(INDEX(Tabela1[[Field Hockey - Men''s Tournament]:[Field Hockey - Women''s Tournament]],MATCH(Table92[[#This Row],[Country]],Tabela1[Country], 0),0))</f>
        <v>0</v>
      </c>
      <c r="AA24" s="6">
        <f>SUM(INDEX(Tabela1[[Football - Men''s Tournament]:[Football - Women''s Tournament]],MATCH(Table92[[#This Row],[Country]],Tabela1[Country], 0),0))</f>
        <v>0</v>
      </c>
      <c r="AB24" s="6">
        <f>SUM(INDEX(Tabela1[[Golf - Men''s Individual]:[Golf - Women''s Individual]],MATCH(Table92[[#This Row],[Country]],Tabela1[Country], 0),0))</f>
        <v>0</v>
      </c>
      <c r="AC24" s="6">
        <f>SUM(INDEX(Tabela1[[Handball - Men''s Tournament]:[Handball - Women''s Tournament]],MATCH(Table92[[#This Row],[Country]],Tabela1[Country], 0),0))</f>
        <v>0</v>
      </c>
      <c r="AD24" s="6">
        <f>SUM(INDEX(Tabela1[[Judo - Men''s 60kg]:[Judo - Mixed Team]],MATCH(Table92[[#This Row],[Country]],Tabela1[Country], 0),0))</f>
        <v>0</v>
      </c>
      <c r="AE24" s="6">
        <f>SUM(INDEX(Tabela1[[Swimming - Men''s 10km Open Water]:[Swimming - Women''s 10km Open Water]],MATCH(Table92[[#This Row],[Country]],Tabela1[Country], 0),0))</f>
        <v>0</v>
      </c>
      <c r="AF24" s="6">
        <f>SUM(INDEX(Tabela1[[Modern Pentathlon - Men''s Individual]:[Modern Pentathlon - Women''s Individual]],MATCH(Table92[[#This Row],[Country]],Tabela1[Country], 0),0))</f>
        <v>0</v>
      </c>
      <c r="AG24" s="6">
        <f>SUM(INDEX(Tabela1[[Rhythmic Gymnastics - Women''s Individual All-Around]:[Rhythmic Gymnastics - Women''s Group All-Around]],MATCH(Table92[[#This Row],[Country]],Tabela1[Country], 0),0))</f>
        <v>0</v>
      </c>
      <c r="AH24" s="6">
        <f>SUM(INDEX(Tabela1[[Rowing - Men''s Single Sculls]:[Rowing - Women''s Lwt. Double Sculls]],MATCH(Table92[[#This Row],[Country]],Tabela1[Country], 0),0))</f>
        <v>0</v>
      </c>
      <c r="AI24" s="6">
        <f>SUM(INDEX(Tabela1[[Rugby Sevens - Men''s Tournament]:[Rugby Sevens - Women''s Tournament]],MATCH(Table92[[#This Row],[Country]],Tabela1[Country], 0),0))</f>
        <v>0</v>
      </c>
      <c r="AJ24" s="6">
        <f>SUM(INDEX(Tabela1[[Sailing - Mixed 470]:[Sailing - Mixed Nacra 17]],MATCH(Table92[[#This Row],[Country]],Tabela1[Country], 0),0))</f>
        <v>0</v>
      </c>
      <c r="AK24" s="6">
        <f>SUM(INDEX(Tabela1[[Shooting - Men''s 10m Air Pistol]:[Shooting - Women''s Trap]],MATCH(Table92[[#This Row],[Country]],Tabela1[Country], 0),0))</f>
        <v>0</v>
      </c>
      <c r="AL24" s="6">
        <f>SUM(INDEX(Tabela1[[Skateboarding - Men''s Park]:[Skateboarding - Women''s Street]],MATCH(Table92[[#This Row],[Country]],Tabela1[Country], 0),0))</f>
        <v>0</v>
      </c>
      <c r="AM24" s="6">
        <f>SUM(INDEX(Tabela1[[Sport Climbing - Men''s Boulder and Lead]:[Sport Climbing - Women''s Speed]],MATCH(Table92[[#This Row],[Country]],Tabela1[Country], 0),0))</f>
        <v>0</v>
      </c>
      <c r="AN24" s="6">
        <f>SUM(INDEX(Tabela1[[Surfing - Men''s Shortboard]:[Surfing - Women''s Shortboard]],MATCH(Table92[[#This Row],[Country]],Tabela1[Country], 0),0))</f>
        <v>0</v>
      </c>
      <c r="AO24" s="6">
        <f>SUM(INDEX(Tabela1[[Swimming - Men''s 50m Freestyle]:[Swimming - Mixed 4x100m Medley Relay]],MATCH(Table92[[#This Row],[Country]],Tabela1[Country], 0),0))</f>
        <v>1</v>
      </c>
      <c r="AP24" s="6">
        <f>SUM(INDEX(Tabela1[[Table Tennis - Men''s Singles]:[Table Tennis - Mixed Doubles]],MATCH(Table92[[#This Row],[Country]],Tabela1[Country], 0),0))</f>
        <v>0</v>
      </c>
      <c r="AQ24" s="6">
        <f>SUM(INDEX(Tabela1[[Taekwondo - Men''s 58kg]:[Taekwondo - Women''s +67kg]],MATCH(Table92[[#This Row],[Country]],Tabela1[Country], 0),0))</f>
        <v>0</v>
      </c>
      <c r="AR24" s="6">
        <f>SUM(INDEX(Tabela1[[Tennis - Men''s Singles]:[Tennis - Mixed Doubles]],MATCH(Table92[[#This Row],[Country]],Tabela1[Country], 0),0))</f>
        <v>1</v>
      </c>
      <c r="AS24" s="6">
        <f>SUM(INDEX(Tabela1[[Gymnastics - Men''s Trampoline]:[Gymnastics - Women''s Trampoline]],MATCH(Table92[[#This Row],[Country]],Tabela1[Country], 0),0))</f>
        <v>0</v>
      </c>
      <c r="AT24" s="6">
        <f>SUM(INDEX(Tabela1[[Triathlon - Men''s Individual]:[Triathlon - Mixed Relay]],MATCH(Table92[[#This Row],[Country]],Tabela1[Country], 0),0))</f>
        <v>0</v>
      </c>
      <c r="AU24" s="6">
        <f>SUM(INDEX(Tabela1[[Volleyball - Men''s Tournament]:[Volleyball - Women''s Tournament]],MATCH(Table92[[#This Row],[Country]],Tabela1[Country], 0),0))</f>
        <v>0</v>
      </c>
      <c r="AV24" s="6">
        <f>SUM(INDEX(Tabela1[[Water Polo - Men''s Tournament]:[Water Polo - Women''s Tournament]],MATCH(Table92[[#This Row],[Country]],Tabela1[Country], 0),0))</f>
        <v>0</v>
      </c>
      <c r="AW24" s="6">
        <f>SUM(INDEX(Tabela1[[Weightlifting - Men''s 61kg]:[Weightlifting - Women''s +81kg]],MATCH(Table92[[#This Row],[Country]],Tabela1[Country], 0),0))</f>
        <v>1</v>
      </c>
      <c r="AX24" s="6">
        <f>SUM(INDEX(Tabela1[[Wrestling - Men''s Freestyle 57kg]:[Wrestling - Women''s Freestyle 76kg]],MATCH(Table92[[#This Row],[Country]],Tabela1[Country], 0),0))</f>
        <v>0</v>
      </c>
      <c r="AY24" s="6">
        <f>SUM(INDEX(Tabela1[[Alpine Skiing - Men''s Downhill]:[Alpine Skiing - Women''s Team Combined]],MATCH(Table92[[#This Row],[Country]],Tabela1[Country], 0),0))</f>
        <v>4</v>
      </c>
      <c r="AZ24" s="6">
        <f>SUM(INDEX(Tabela1[[Biathlon - Men''s Individual]:[Biathlon - Mixed Relay]],MATCH(Table92[[#This Row],[Country]],Tabela1[Country], 0),0))</f>
        <v>17</v>
      </c>
      <c r="BA24" s="6">
        <f>SUM(INDEX(Tabela1[[Bobsleigh - Women''s Monobob]:[Bobsleigh - Men''s Four]],MATCH(Table92[[#This Row],[Country]],Tabela1[Country], 0),0))</f>
        <v>1</v>
      </c>
      <c r="BB24" s="6">
        <f>SUM(INDEX(Tabela1[[Cross-country skiing - Men''s Classical]:[Cross-country skiing - Women''s Team Sprint]],MATCH(Table92[[#This Row],[Country]],Tabela1[Country], 0),0))</f>
        <v>7</v>
      </c>
      <c r="BC24" s="6">
        <f>SUM(INDEX(Tabela1[[Curling - Men''s Tournament]:[Curling - Mixed Doubles]],MATCH(Table92[[#This Row],[Country]],Tabela1[Country], 0),0))</f>
        <v>0</v>
      </c>
      <c r="BD24" s="6">
        <f>SUM(INDEX(Tabela1[[Figure Skating - Men''s Singles]:[Figure Skating - Team Event]],MATCH(Table92[[#This Row],[Country]],Tabela1[Country], 0),0))</f>
        <v>0</v>
      </c>
      <c r="BE24" s="6">
        <f>SUM(INDEX(Tabela1[[Freestyle Skiing - Men''s Aerials]:[Freestyle Skiing - Women''s Slopestyle]],MATCH(Table92[[#This Row],[Country]],Tabela1[Country], 0),0))</f>
        <v>0</v>
      </c>
      <c r="BF24" s="6">
        <f>SUM(INDEX(Tabela1[[Ice Hockey - Men''s Tournament]:[Ice Hockey - Women''s Tournament]],MATCH(Table92[[#This Row],[Country]],Tabela1[Country], 0),0))</f>
        <v>1</v>
      </c>
      <c r="BG24" s="6">
        <f>SUM(INDEX(Tabela1[[Luge - Men''s Singles]:[Luge - Mixed Team Relay]],MATCH(Table92[[#This Row],[Country]],Tabela1[Country], 0),0))</f>
        <v>8</v>
      </c>
      <c r="BH24" s="6">
        <f>SUM(INDEX(Tabela1[[Nordic Combined - Men''s Individual]:[Nordic Combined - Men''s Team Sprint Large Hill]],MATCH(Table92[[#This Row],[Country]],Tabela1[Country], 0),0))</f>
        <v>0</v>
      </c>
      <c r="BI24" s="6">
        <f>SUM(INDEX(Tabela1[[Short track speed skating - Men''s 500m]:[Short track speed skating - Mixed 2000m Relay]],MATCH(Table92[[#This Row],[Country]],Tabela1[Country], 0),0))</f>
        <v>2</v>
      </c>
      <c r="BJ24" s="6">
        <f>SUM(INDEX(Tabela1[[Skeleton - Men''s Individual]:[Skeleton - Mixed Team]],MATCH(Table92[[#This Row],[Country]],Tabela1[Country], 0),0))</f>
        <v>2</v>
      </c>
      <c r="BK24" s="6">
        <f>SUM(INDEX(Tabela1[[Ski Jumping - Men''s Individual Large Hill]:[Ski Jumping - Mixed Team Normal Hill]],MATCH(Table92[[#This Row],[Country]],Tabela1[Country], 0),0))</f>
        <v>0</v>
      </c>
      <c r="BL24" s="6">
        <f>SUM(INDEX(Tabela1[[Ski Mountaineering - Men''s Sprint]:[Ski Mountaineering - Mixed Relay]],MATCH(Table92[[#This Row],[Country]],Tabela1[Country], 0),0))</f>
        <v>0</v>
      </c>
      <c r="BM24" s="6">
        <f>SUM(INDEX(Tabela1[[Snowboarding - Men''s Big Air]:[Snowboarding - Mixed Team Snowboard Cross]],MATCH(Table92[[#This Row],[Country]],Tabela1[Country], 0),0))</f>
        <v>0</v>
      </c>
      <c r="BN24" s="6">
        <f>SUM(INDEX(Tabela1[[Speed Skating - Men''s 500m]:[Speed Skating - Women''s Team Pursuit]],MATCH(Table92[[#This Row],[Country]],Tabela1[Country], 0),0))</f>
        <v>0</v>
      </c>
      <c r="BO24" s="6" t="str">
        <f>SUBSTITUTE(INDEX(Table92[[#Headers],[Archery Quotas]:[Speed Skating Quotas]], MATCH(MAX(Table92[[#This Row],[Archery Quotas]:[Speed Skating Quotas]]), Table92[[#This Row],[Archery Quotas]:[Speed Skating Quotas]], 0))," Quotas","")</f>
        <v>Biathlon</v>
      </c>
      <c r="BP24" s="6">
        <f>SUM(Table92[[#This Row],[Summer Sports]:[Winter Sports]])</f>
        <v>16</v>
      </c>
      <c r="BQ24" s="6">
        <f>COUNTIF(Table92[[#This Row],[Archery Quotas]:[Wrestling Quotas]],"&lt;&gt;0")</f>
        <v>8</v>
      </c>
      <c r="BR24" s="6">
        <f>COUNTIF(Table92[[#This Row],[Alpine Skiing Quotas]:[Speed Skating Quotas]],"&lt;&gt;0")</f>
        <v>8</v>
      </c>
      <c r="BS24" s="3" t="s">
        <v>615</v>
      </c>
    </row>
    <row r="25" spans="1:71" x14ac:dyDescent="0.3">
      <c r="A25" s="6" t="s">
        <v>326</v>
      </c>
      <c r="B25" t="e" vm="24">
        <f>IF(ISBLANK(Table92[[#This Row],[Flag Link]]), "", _xlfn.IMAGE(Table92[[#This Row],[Flag Link]],1,1))</f>
        <v>#VALUE!</v>
      </c>
      <c r="C25" s="6">
        <f>SUM(Table92[[#This Row],[Archery Quotas]:[Speed Skating Quotas]])</f>
        <v>51</v>
      </c>
      <c r="D25" s="6">
        <f>SUM(INDEX(Tabela1[[Archery - Men''s Individual Recurve]:[Archery - Mixed Team Recurve]],MATCH(Table92[[#This Row],[Country]],Tabela1[Country], 0),0))</f>
        <v>0</v>
      </c>
      <c r="E25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25" s="6">
        <f>SUM(INDEX(Tabela1[[Artistic Swimming - Women''s Duet]:[Artistic Swimming - Women''s Team]],MATCH(Table92[[#This Row],[Country]],Tabela1[Country], 0),0))</f>
        <v>2</v>
      </c>
      <c r="G25" s="6">
        <f>SUM(INDEX(Tabela1[[Athletics - Men''s 100m]:[Athletics - Women''s Heptathlon]],MATCH(Table92[[#This Row],[Country]],Tabela1[Country], 0),0))</f>
        <v>4</v>
      </c>
      <c r="H25" s="6">
        <f>SUM(INDEX(Tabela1[[Badminton - Men''s Singles]:[Badminton - Mixed Doubles]],MATCH(Table92[[#This Row],[Country]],Tabela1[Country], 0),0))</f>
        <v>0</v>
      </c>
      <c r="I25" s="6">
        <f>SUM(INDEX(Tabela1[[Basketball - Men''s Tournament]:[Basketball - Women''s Tournament]],MATCH(Table92[[#This Row],[Country]],Tabela1[Country], 0),0))</f>
        <v>0</v>
      </c>
      <c r="J25" s="6">
        <f>SUM(INDEX(Tabela1[[3x3 Basketball - Men''s Tournament]:[3x3 Basketball - Women''s Tournament]],MATCH(Table92[[#This Row],[Country]],Tabela1[Country], 0),0))</f>
        <v>0</v>
      </c>
      <c r="K25" s="6">
        <f>SUM(INDEX(Tabela1[[Beach Volleyball - Men''s Tournament]:[Beach Volleyball - Women''s Tournament]],MATCH(Table92[[#This Row],[Country]],Tabela1[Country], 0),0))</f>
        <v>1</v>
      </c>
      <c r="L25" s="6">
        <f>SUM(INDEX(Tabela1[[Boxing - Men''s 51kg]:[Boxing - Women''s 75kg]],MATCH(Table92[[#This Row],[Country]],Tabela1[Country], 0),0))</f>
        <v>1</v>
      </c>
      <c r="M25" s="6">
        <f>SUM(INDEX(Tabela1[[Breaking - Men''s Individual]:[Breaking - Women''s Individual]],MATCH(Table92[[#This Row],[Country]],Tabela1[Country], 0),0))</f>
        <v>0</v>
      </c>
      <c r="N25" s="6">
        <f>SUM(INDEX(Tabela1[[Canoeing - Men''s C1 Slalom]:[Canoeing - Women''s Kayak Cross Slalom]],MATCH(Table92[[#This Row],[Country]],Tabela1[Country], 0),0))</f>
        <v>0</v>
      </c>
      <c r="O25" s="6">
        <f>SUM(INDEX(Tabela1[[Canoeing - Women''s C1 200m]:[Canoeing - Women''s K4 500m]],MATCH(Table92[[#This Row],[Country]],Tabela1[Country], 0),0))</f>
        <v>0</v>
      </c>
      <c r="P25" s="6">
        <f>SUM(INDEX(Tabela1[[Cycling - Men''s BMX Freestyle]:[Cycling - Women''s BMX Freestyle]],MATCH(Table92[[#This Row],[Country]],Tabela1[Country], 0),0))</f>
        <v>0</v>
      </c>
      <c r="Q25" s="6">
        <f>SUM(INDEX(Tabela1[[Cycling - Men''s BMX Racing]:[Cycling - Women''s BMX Racing]],MATCH(Table92[[#This Row],[Country]],Tabela1[Country], 0),0))</f>
        <v>0</v>
      </c>
      <c r="R25" s="6">
        <f>SUM(INDEX(Tabela1[[Cycling - Men''s Cross-Country]:[Cycling - Women''s Cross-Country]],MATCH(Table92[[#This Row],[Country]],Tabela1[Country], 0),0))</f>
        <v>0</v>
      </c>
      <c r="S25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25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25" s="6">
        <f>SUM(INDEX(Tabela1[[Diving - Men''s Springboard]:[Diving - Women''s Synchronized Platform]],MATCH(Table92[[#This Row],[Country]],Tabela1[Country], 0),0))</f>
        <v>2</v>
      </c>
      <c r="V25" s="6">
        <f>SUM(INDEX(Tabela1[[Equestrian - Individual Dressage]:[Equestrian - Team Dressage]],MATCH(Table92[[#This Row],[Country]],Tabela1[Country], 0),0))</f>
        <v>0</v>
      </c>
      <c r="W25" s="6">
        <f>SUM(INDEX(Tabela1[[Equestrian - Individual Eventing]:[Equestrian - Team Eventing]],MATCH(Table92[[#This Row],[Country]],Tabela1[Country], 0),0))</f>
        <v>0</v>
      </c>
      <c r="X25" s="6">
        <f>SUM(INDEX(Tabela1[[Equestrian - Individual Jumping]:[Equestrian - Team Jumping]],MATCH(Table92[[#This Row],[Country]],Tabela1[Country], 0),0))</f>
        <v>0</v>
      </c>
      <c r="Y25" s="6">
        <f>SUM(INDEX(Tabela1[[Fencing - Men''s Épée]:[Fencing - Women''s Team Sabre]],MATCH(Table92[[#This Row],[Country]],Tabela1[Country], 0),0))</f>
        <v>11</v>
      </c>
      <c r="Z25" s="6">
        <f>SUM(INDEX(Tabela1[[Field Hockey - Men''s Tournament]:[Field Hockey - Women''s Tournament]],MATCH(Table92[[#This Row],[Country]],Tabela1[Country], 0),0))</f>
        <v>0</v>
      </c>
      <c r="AA25" s="6">
        <f>SUM(INDEX(Tabela1[[Football - Men''s Tournament]:[Football - Women''s Tournament]],MATCH(Table92[[#This Row],[Country]],Tabela1[Country], 0),0))</f>
        <v>1</v>
      </c>
      <c r="AB25" s="6">
        <f>SUM(INDEX(Tabela1[[Golf - Men''s Individual]:[Golf - Women''s Individual]],MATCH(Table92[[#This Row],[Country]],Tabela1[Country], 0),0))</f>
        <v>0</v>
      </c>
      <c r="AC25" s="6">
        <f>SUM(INDEX(Tabela1[[Handball - Men''s Tournament]:[Handball - Women''s Tournament]],MATCH(Table92[[#This Row],[Country]],Tabela1[Country], 0),0))</f>
        <v>1</v>
      </c>
      <c r="AD25" s="6">
        <f>SUM(INDEX(Tabela1[[Judo - Men''s 60kg]:[Judo - Mixed Team]],MATCH(Table92[[#This Row],[Country]],Tabela1[Country], 0),0))</f>
        <v>2</v>
      </c>
      <c r="AE25" s="6">
        <f>SUM(INDEX(Tabela1[[Swimming - Men''s 10km Open Water]:[Swimming - Women''s 10km Open Water]],MATCH(Table92[[#This Row],[Country]],Tabela1[Country], 0),0))</f>
        <v>0</v>
      </c>
      <c r="AF25" s="6">
        <f>SUM(INDEX(Tabela1[[Modern Pentathlon - Men''s Individual]:[Modern Pentathlon - Women''s Individual]],MATCH(Table92[[#This Row],[Country]],Tabela1[Country], 0),0))</f>
        <v>4</v>
      </c>
      <c r="AG25" s="6">
        <f>SUM(INDEX(Tabela1[[Rhythmic Gymnastics - Women''s Individual All-Around]:[Rhythmic Gymnastics - Women''s Group All-Around]],MATCH(Table92[[#This Row],[Country]],Tabela1[Country], 0),0))</f>
        <v>1</v>
      </c>
      <c r="AH25" s="6">
        <f>SUM(INDEX(Tabela1[[Rowing - Men''s Single Sculls]:[Rowing - Women''s Lwt. Double Sculls]],MATCH(Table92[[#This Row],[Country]],Tabela1[Country], 0),0))</f>
        <v>1</v>
      </c>
      <c r="AI25" s="6">
        <f>SUM(INDEX(Tabela1[[Rugby Sevens - Men''s Tournament]:[Rugby Sevens - Women''s Tournament]],MATCH(Table92[[#This Row],[Country]],Tabela1[Country], 0),0))</f>
        <v>0</v>
      </c>
      <c r="AJ25" s="6">
        <f>SUM(INDEX(Tabela1[[Sailing - Mixed 470]:[Sailing - Mixed Nacra 17]],MATCH(Table92[[#This Row],[Country]],Tabela1[Country], 0),0))</f>
        <v>0</v>
      </c>
      <c r="AK25" s="6">
        <f>SUM(INDEX(Tabela1[[Shooting - Men''s 10m Air Pistol]:[Shooting - Women''s Trap]],MATCH(Table92[[#This Row],[Country]],Tabela1[Country], 0),0))</f>
        <v>2</v>
      </c>
      <c r="AL25" s="6">
        <f>SUM(INDEX(Tabela1[[Skateboarding - Men''s Park]:[Skateboarding - Women''s Street]],MATCH(Table92[[#This Row],[Country]],Tabela1[Country], 0),0))</f>
        <v>0</v>
      </c>
      <c r="AM25" s="6">
        <f>SUM(INDEX(Tabela1[[Sport Climbing - Men''s Boulder and Lead]:[Sport Climbing - Women''s Speed]],MATCH(Table92[[#This Row],[Country]],Tabela1[Country], 0),0))</f>
        <v>0</v>
      </c>
      <c r="AN25" s="6">
        <f>SUM(INDEX(Tabela1[[Surfing - Men''s Shortboard]:[Surfing - Women''s Shortboard]],MATCH(Table92[[#This Row],[Country]],Tabela1[Country], 0),0))</f>
        <v>0</v>
      </c>
      <c r="AO25" s="6">
        <f>SUM(INDEX(Tabela1[[Swimming - Men''s 50m Freestyle]:[Swimming - Mixed 4x100m Medley Relay]],MATCH(Table92[[#This Row],[Country]],Tabela1[Country], 0),0))</f>
        <v>0</v>
      </c>
      <c r="AP25" s="6">
        <f>SUM(INDEX(Tabela1[[Table Tennis - Men''s Singles]:[Table Tennis - Mixed Doubles]],MATCH(Table92[[#This Row],[Country]],Tabela1[Country], 0),0))</f>
        <v>4</v>
      </c>
      <c r="AQ25" s="6">
        <f>SUM(INDEX(Tabela1[[Taekwondo - Men''s 58kg]:[Taekwondo - Women''s +67kg]],MATCH(Table92[[#This Row],[Country]],Tabela1[Country], 0),0))</f>
        <v>2</v>
      </c>
      <c r="AR25" s="6">
        <f>SUM(INDEX(Tabela1[[Tennis - Men''s Singles]:[Tennis - Mixed Doubles]],MATCH(Table92[[#This Row],[Country]],Tabela1[Country], 0),0))</f>
        <v>1</v>
      </c>
      <c r="AS25" s="6">
        <f>SUM(INDEX(Tabela1[[Gymnastics - Men''s Trampoline]:[Gymnastics - Women''s Trampoline]],MATCH(Table92[[#This Row],[Country]],Tabela1[Country], 0),0))</f>
        <v>0</v>
      </c>
      <c r="AT25" s="6">
        <f>SUM(INDEX(Tabela1[[Triathlon - Men''s Individual]:[Triathlon - Mixed Relay]],MATCH(Table92[[#This Row],[Country]],Tabela1[Country], 0),0))</f>
        <v>0</v>
      </c>
      <c r="AU25" s="6">
        <f>SUM(INDEX(Tabela1[[Volleyball - Men''s Tournament]:[Volleyball - Women''s Tournament]],MATCH(Table92[[#This Row],[Country]],Tabela1[Country], 0),0))</f>
        <v>1</v>
      </c>
      <c r="AV25" s="6">
        <f>SUM(INDEX(Tabela1[[Water Polo - Men''s Tournament]:[Water Polo - Women''s Tournament]],MATCH(Table92[[#This Row],[Country]],Tabela1[Country], 0),0))</f>
        <v>0</v>
      </c>
      <c r="AW25" s="6">
        <f>SUM(INDEX(Tabela1[[Weightlifting - Men''s 61kg]:[Weightlifting - Women''s +81kg]],MATCH(Table92[[#This Row],[Country]],Tabela1[Country], 0),0))</f>
        <v>3</v>
      </c>
      <c r="AX25" s="6">
        <f>SUM(INDEX(Tabela1[[Wrestling - Men''s Freestyle 57kg]:[Wrestling - Women''s Freestyle 76kg]],MATCH(Table92[[#This Row],[Country]],Tabela1[Country], 0),0))</f>
        <v>7</v>
      </c>
      <c r="AY25" s="6">
        <f>SUM(INDEX(Tabela1[[Alpine Skiing - Men''s Downhill]:[Alpine Skiing - Women''s Team Combined]],MATCH(Table92[[#This Row],[Country]],Tabela1[Country], 0),0))</f>
        <v>0</v>
      </c>
      <c r="AZ25" s="6">
        <f>SUM(INDEX(Tabela1[[Biathlon - Men''s Individual]:[Biathlon - Mixed Relay]],MATCH(Table92[[#This Row],[Country]],Tabela1[Country], 0),0))</f>
        <v>0</v>
      </c>
      <c r="BA25" s="6">
        <f>SUM(INDEX(Tabela1[[Bobsleigh - Women''s Monobob]:[Bobsleigh - Men''s Four]],MATCH(Table92[[#This Row],[Country]],Tabela1[Country], 0),0))</f>
        <v>0</v>
      </c>
      <c r="BB25" s="6">
        <f>SUM(INDEX(Tabela1[[Cross-country skiing - Men''s Classical]:[Cross-country skiing - Women''s Team Sprint]],MATCH(Table92[[#This Row],[Country]],Tabela1[Country], 0),0))</f>
        <v>0</v>
      </c>
      <c r="BC25" s="6">
        <f>SUM(INDEX(Tabela1[[Curling - Men''s Tournament]:[Curling - Mixed Doubles]],MATCH(Table92[[#This Row],[Country]],Tabela1[Country], 0),0))</f>
        <v>0</v>
      </c>
      <c r="BD25" s="6">
        <f>SUM(INDEX(Tabela1[[Figure Skating - Men''s Singles]:[Figure Skating - Team Event]],MATCH(Table92[[#This Row],[Country]],Tabela1[Country], 0),0))</f>
        <v>0</v>
      </c>
      <c r="BE25" s="6">
        <f>SUM(INDEX(Tabela1[[Freestyle Skiing - Men''s Aerials]:[Freestyle Skiing - Women''s Slopestyle]],MATCH(Table92[[#This Row],[Country]],Tabela1[Country], 0),0))</f>
        <v>0</v>
      </c>
      <c r="BF25" s="6">
        <f>SUM(INDEX(Tabela1[[Ice Hockey - Men''s Tournament]:[Ice Hockey - Women''s Tournament]],MATCH(Table92[[#This Row],[Country]],Tabela1[Country], 0),0))</f>
        <v>0</v>
      </c>
      <c r="BG25" s="6">
        <f>SUM(INDEX(Tabela1[[Luge - Men''s Singles]:[Luge - Mixed Team Relay]],MATCH(Table92[[#This Row],[Country]],Tabela1[Country], 0),0))</f>
        <v>0</v>
      </c>
      <c r="BH25" s="6">
        <f>SUM(INDEX(Tabela1[[Nordic Combined - Men''s Individual]:[Nordic Combined - Men''s Team Sprint Large Hill]],MATCH(Table92[[#This Row],[Country]],Tabela1[Country], 0),0))</f>
        <v>0</v>
      </c>
      <c r="BI25" s="6">
        <f>SUM(INDEX(Tabela1[[Short track speed skating - Men''s 500m]:[Short track speed skating - Mixed 2000m Relay]],MATCH(Table92[[#This Row],[Country]],Tabela1[Country], 0),0))</f>
        <v>0</v>
      </c>
      <c r="BJ25" s="6">
        <f>SUM(INDEX(Tabela1[[Skeleton - Men''s Individual]:[Skeleton - Mixed Team]],MATCH(Table92[[#This Row],[Country]],Tabela1[Country], 0),0))</f>
        <v>0</v>
      </c>
      <c r="BK25" s="6">
        <f>SUM(INDEX(Tabela1[[Ski Jumping - Men''s Individual Large Hill]:[Ski Jumping - Mixed Team Normal Hill]],MATCH(Table92[[#This Row],[Country]],Tabela1[Country], 0),0))</f>
        <v>0</v>
      </c>
      <c r="BL25" s="6">
        <f>SUM(INDEX(Tabela1[[Ski Mountaineering - Men''s Sprint]:[Ski Mountaineering - Mixed Relay]],MATCH(Table92[[#This Row],[Country]],Tabela1[Country], 0),0))</f>
        <v>0</v>
      </c>
      <c r="BM25" s="6">
        <f>SUM(INDEX(Tabela1[[Snowboarding - Men''s Big Air]:[Snowboarding - Mixed Team Snowboard Cross]],MATCH(Table92[[#This Row],[Country]],Tabela1[Country], 0),0))</f>
        <v>0</v>
      </c>
      <c r="BN25" s="6">
        <f>SUM(INDEX(Tabela1[[Speed Skating - Men''s 500m]:[Speed Skating - Women''s Team Pursuit]],MATCH(Table92[[#This Row],[Country]],Tabela1[Country], 0),0))</f>
        <v>0</v>
      </c>
      <c r="BO25" s="6" t="str">
        <f>SUBSTITUTE(INDEX(Table92[[#Headers],[Archery Quotas]:[Speed Skating Quotas]], MATCH(MAX(Table92[[#This Row],[Archery Quotas]:[Speed Skating Quotas]]), Table92[[#This Row],[Archery Quotas]:[Speed Skating Quotas]], 0))," Quotas","")</f>
        <v>Fencing</v>
      </c>
      <c r="BP25" s="6">
        <f>SUM(Table92[[#This Row],[Summer Sports]:[Winter Sports]])</f>
        <v>19</v>
      </c>
      <c r="BQ25" s="6">
        <f>COUNTIF(Table92[[#This Row],[Archery Quotas]:[Wrestling Quotas]],"&lt;&gt;0")</f>
        <v>19</v>
      </c>
      <c r="BR25" s="6">
        <f>COUNTIF(Table92[[#This Row],[Alpine Skiing Quotas]:[Speed Skating Quotas]],"&lt;&gt;0")</f>
        <v>0</v>
      </c>
      <c r="BS25" s="3" t="s">
        <v>327</v>
      </c>
    </row>
    <row r="26" spans="1:71" x14ac:dyDescent="0.3">
      <c r="A26" s="6" t="s">
        <v>340</v>
      </c>
      <c r="B26" t="e" vm="25">
        <f>IF(ISBLANK(Table92[[#This Row],[Flag Link]]), "", _xlfn.IMAGE(Table92[[#This Row],[Flag Link]],1,1))</f>
        <v>#VALUE!</v>
      </c>
      <c r="C26" s="6">
        <f>SUM(Table92[[#This Row],[Archery Quotas]:[Speed Skating Quotas]])</f>
        <v>48</v>
      </c>
      <c r="D26" s="6">
        <f>SUM(INDEX(Tabela1[[Archery - Men''s Individual Recurve]:[Archery - Mixed Team Recurve]],MATCH(Table92[[#This Row],[Country]],Tabela1[Country], 0),0))</f>
        <v>1</v>
      </c>
      <c r="E26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26" s="6">
        <f>SUM(INDEX(Tabela1[[Artistic Swimming - Women''s Duet]:[Artistic Swimming - Women''s Team]],MATCH(Table92[[#This Row],[Country]],Tabela1[Country], 0),0))</f>
        <v>0</v>
      </c>
      <c r="G26" s="6">
        <f>SUM(INDEX(Tabela1[[Athletics - Men''s 100m]:[Athletics - Women''s Heptathlon]],MATCH(Table92[[#This Row],[Country]],Tabela1[Country], 0),0))</f>
        <v>5</v>
      </c>
      <c r="H26" s="6">
        <f>SUM(INDEX(Tabela1[[Badminton - Men''s Singles]:[Badminton - Mixed Doubles]],MATCH(Table92[[#This Row],[Country]],Tabela1[Country], 0),0))</f>
        <v>0</v>
      </c>
      <c r="I26" s="6">
        <f>SUM(INDEX(Tabela1[[Basketball - Men''s Tournament]:[Basketball - Women''s Tournament]],MATCH(Table92[[#This Row],[Country]],Tabela1[Country], 0),0))</f>
        <v>0</v>
      </c>
      <c r="J26" s="6">
        <f>SUM(INDEX(Tabela1[[3x3 Basketball - Men''s Tournament]:[3x3 Basketball - Women''s Tournament]],MATCH(Table92[[#This Row],[Country]],Tabela1[Country], 0),0))</f>
        <v>0</v>
      </c>
      <c r="K26" s="6">
        <f>SUM(INDEX(Tabela1[[Beach Volleyball - Men''s Tournament]:[Beach Volleyball - Women''s Tournament]],MATCH(Table92[[#This Row],[Country]],Tabela1[Country], 0),0))</f>
        <v>0</v>
      </c>
      <c r="L26" s="6">
        <f>SUM(INDEX(Tabela1[[Boxing - Men''s 51kg]:[Boxing - Women''s 75kg]],MATCH(Table92[[#This Row],[Country]],Tabela1[Country], 0),0))</f>
        <v>0</v>
      </c>
      <c r="M26" s="6">
        <f>SUM(INDEX(Tabela1[[Breaking - Men''s Individual]:[Breaking - Women''s Individual]],MATCH(Table92[[#This Row],[Country]],Tabela1[Country], 0),0))</f>
        <v>0</v>
      </c>
      <c r="N26" s="6">
        <f>SUM(INDEX(Tabela1[[Canoeing - Men''s C1 Slalom]:[Canoeing - Women''s Kayak Cross Slalom]],MATCH(Table92[[#This Row],[Country]],Tabela1[Country], 0),0))</f>
        <v>0</v>
      </c>
      <c r="O26" s="6">
        <f>SUM(INDEX(Tabela1[[Canoeing - Women''s C1 200m]:[Canoeing - Women''s K4 500m]],MATCH(Table92[[#This Row],[Country]],Tabela1[Country], 0),0))</f>
        <v>2</v>
      </c>
      <c r="P26" s="6">
        <f>SUM(INDEX(Tabela1[[Cycling - Men''s BMX Freestyle]:[Cycling - Women''s BMX Freestyle]],MATCH(Table92[[#This Row],[Country]],Tabela1[Country], 0),0))</f>
        <v>0</v>
      </c>
      <c r="Q26" s="6">
        <f>SUM(INDEX(Tabela1[[Cycling - Men''s BMX Racing]:[Cycling - Women''s BMX Racing]],MATCH(Table92[[#This Row],[Country]],Tabela1[Country], 0),0))</f>
        <v>1</v>
      </c>
      <c r="R26" s="6">
        <f>SUM(INDEX(Tabela1[[Cycling - Men''s Cross-Country]:[Cycling - Women''s Cross-Country]],MATCH(Table92[[#This Row],[Country]],Tabela1[Country], 0),0))</f>
        <v>0</v>
      </c>
      <c r="S26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1</v>
      </c>
      <c r="T26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26" s="6">
        <f>SUM(INDEX(Tabela1[[Diving - Men''s Springboard]:[Diving - Women''s Synchronized Platform]],MATCH(Table92[[#This Row],[Country]],Tabela1[Country], 0),0))</f>
        <v>0</v>
      </c>
      <c r="V26" s="6">
        <f>SUM(INDEX(Tabela1[[Equestrian - Individual Dressage]:[Equestrian - Team Dressage]],MATCH(Table92[[#This Row],[Country]],Tabela1[Country], 0),0))</f>
        <v>0</v>
      </c>
      <c r="W26" s="6">
        <f>SUM(INDEX(Tabela1[[Equestrian - Individual Eventing]:[Equestrian - Team Eventing]],MATCH(Table92[[#This Row],[Country]],Tabela1[Country], 0),0))</f>
        <v>0</v>
      </c>
      <c r="X26" s="6">
        <f>SUM(INDEX(Tabela1[[Equestrian - Individual Jumping]:[Equestrian - Team Jumping]],MATCH(Table92[[#This Row],[Country]],Tabela1[Country], 0),0))</f>
        <v>1</v>
      </c>
      <c r="Y26" s="6">
        <f>SUM(INDEX(Tabela1[[Fencing - Men''s Épée]:[Fencing - Women''s Team Sabre]],MATCH(Table92[[#This Row],[Country]],Tabela1[Country], 0),0))</f>
        <v>0</v>
      </c>
      <c r="Z26" s="6">
        <f>SUM(INDEX(Tabela1[[Field Hockey - Men''s Tournament]:[Field Hockey - Women''s Tournament]],MATCH(Table92[[#This Row],[Country]],Tabela1[Country], 0),0))</f>
        <v>2</v>
      </c>
      <c r="AA26" s="6">
        <f>SUM(INDEX(Tabela1[[Football - Men''s Tournament]:[Football - Women''s Tournament]],MATCH(Table92[[#This Row],[Country]],Tabela1[Country], 0),0))</f>
        <v>1</v>
      </c>
      <c r="AB26" s="6">
        <f>SUM(INDEX(Tabela1[[Golf - Men''s Individual]:[Golf - Women''s Individual]],MATCH(Table92[[#This Row],[Country]],Tabela1[Country], 0),0))</f>
        <v>1</v>
      </c>
      <c r="AC26" s="6">
        <f>SUM(INDEX(Tabela1[[Handball - Men''s Tournament]:[Handball - Women''s Tournament]],MATCH(Table92[[#This Row],[Country]],Tabela1[Country], 0),0))</f>
        <v>1</v>
      </c>
      <c r="AD26" s="6">
        <f>SUM(INDEX(Tabela1[[Judo - Men''s 60kg]:[Judo - Mixed Team]],MATCH(Table92[[#This Row],[Country]],Tabela1[Country], 0),0))</f>
        <v>1</v>
      </c>
      <c r="AE26" s="6">
        <f>SUM(INDEX(Tabela1[[Swimming - Men''s 10km Open Water]:[Swimming - Women''s 10km Open Water]],MATCH(Table92[[#This Row],[Country]],Tabela1[Country], 0),0))</f>
        <v>0</v>
      </c>
      <c r="AF26" s="6">
        <f>SUM(INDEX(Tabela1[[Modern Pentathlon - Men''s Individual]:[Modern Pentathlon - Women''s Individual]],MATCH(Table92[[#This Row],[Country]],Tabela1[Country], 0),0))</f>
        <v>0</v>
      </c>
      <c r="AG26" s="6">
        <f>SUM(INDEX(Tabela1[[Rhythmic Gymnastics - Women''s Individual All-Around]:[Rhythmic Gymnastics - Women''s Group All-Around]],MATCH(Table92[[#This Row],[Country]],Tabela1[Country], 0),0))</f>
        <v>0</v>
      </c>
      <c r="AH26" s="6">
        <f>SUM(INDEX(Tabela1[[Rowing - Men''s Single Sculls]:[Rowing - Women''s Lwt. Double Sculls]],MATCH(Table92[[#This Row],[Country]],Tabela1[Country], 0),0))</f>
        <v>2</v>
      </c>
      <c r="AI26" s="6">
        <f>SUM(INDEX(Tabela1[[Rugby Sevens - Men''s Tournament]:[Rugby Sevens - Women''s Tournament]],MATCH(Table92[[#This Row],[Country]],Tabela1[Country], 0),0))</f>
        <v>1</v>
      </c>
      <c r="AJ26" s="6">
        <f>SUM(INDEX(Tabela1[[Sailing - Mixed 470]:[Sailing - Mixed Nacra 17]],MATCH(Table92[[#This Row],[Country]],Tabela1[Country], 0),0))</f>
        <v>3</v>
      </c>
      <c r="AK26" s="6">
        <f>SUM(INDEX(Tabela1[[Shooting - Men''s 10m Air Pistol]:[Shooting - Women''s Trap]],MATCH(Table92[[#This Row],[Country]],Tabela1[Country], 0),0))</f>
        <v>3</v>
      </c>
      <c r="AL26" s="6">
        <f>SUM(INDEX(Tabela1[[Skateboarding - Men''s Park]:[Skateboarding - Women''s Street]],MATCH(Table92[[#This Row],[Country]],Tabela1[Country], 0),0))</f>
        <v>2</v>
      </c>
      <c r="AM26" s="6">
        <f>SUM(INDEX(Tabela1[[Sport Climbing - Men''s Boulder and Lead]:[Sport Climbing - Women''s Speed]],MATCH(Table92[[#This Row],[Country]],Tabela1[Country], 0),0))</f>
        <v>0</v>
      </c>
      <c r="AN26" s="6">
        <f>SUM(INDEX(Tabela1[[Surfing - Men''s Shortboard]:[Surfing - Women''s Shortboard]],MATCH(Table92[[#This Row],[Country]],Tabela1[Country], 0),0))</f>
        <v>0</v>
      </c>
      <c r="AO26" s="6">
        <f>SUM(INDEX(Tabela1[[Swimming - Men''s 50m Freestyle]:[Swimming - Mixed 4x100m Medley Relay]],MATCH(Table92[[#This Row],[Country]],Tabela1[Country], 0),0))</f>
        <v>5</v>
      </c>
      <c r="AP26" s="6">
        <f>SUM(INDEX(Tabela1[[Table Tennis - Men''s Singles]:[Table Tennis - Mixed Doubles]],MATCH(Table92[[#This Row],[Country]],Tabela1[Country], 0),0))</f>
        <v>0</v>
      </c>
      <c r="AQ26" s="6">
        <f>SUM(INDEX(Tabela1[[Taekwondo - Men''s 58kg]:[Taekwondo - Women''s +67kg]],MATCH(Table92[[#This Row],[Country]],Tabela1[Country], 0),0))</f>
        <v>1</v>
      </c>
      <c r="AR26" s="6">
        <f>SUM(INDEX(Tabela1[[Tennis - Men''s Singles]:[Tennis - Mixed Doubles]],MATCH(Table92[[#This Row],[Country]],Tabela1[Country], 0),0))</f>
        <v>8</v>
      </c>
      <c r="AS26" s="6">
        <f>SUM(INDEX(Tabela1[[Gymnastics - Men''s Trampoline]:[Gymnastics - Women''s Trampoline]],MATCH(Table92[[#This Row],[Country]],Tabela1[Country], 0),0))</f>
        <v>0</v>
      </c>
      <c r="AT26" s="6">
        <f>SUM(INDEX(Tabela1[[Triathlon - Men''s Individual]:[Triathlon - Mixed Relay]],MATCH(Table92[[#This Row],[Country]],Tabela1[Country], 0),0))</f>
        <v>1</v>
      </c>
      <c r="AU26" s="6">
        <f>SUM(INDEX(Tabela1[[Volleyball - Men''s Tournament]:[Volleyball - Women''s Tournament]],MATCH(Table92[[#This Row],[Country]],Tabela1[Country], 0),0))</f>
        <v>1</v>
      </c>
      <c r="AV26" s="6">
        <f>SUM(INDEX(Tabela1[[Water Polo - Men''s Tournament]:[Water Polo - Women''s Tournament]],MATCH(Table92[[#This Row],[Country]],Tabela1[Country], 0),0))</f>
        <v>0</v>
      </c>
      <c r="AW26" s="6">
        <f>SUM(INDEX(Tabela1[[Weightlifting - Men''s 61kg]:[Weightlifting - Women''s +81kg]],MATCH(Table92[[#This Row],[Country]],Tabela1[Country], 0),0))</f>
        <v>0</v>
      </c>
      <c r="AX26" s="6">
        <f>SUM(INDEX(Tabela1[[Wrestling - Men''s Freestyle 57kg]:[Wrestling - Women''s Freestyle 76kg]],MATCH(Table92[[#This Row],[Country]],Tabela1[Country], 0),0))</f>
        <v>0</v>
      </c>
      <c r="AY26" s="6">
        <f>SUM(INDEX(Tabela1[[Alpine Skiing - Men''s Downhill]:[Alpine Skiing - Women''s Team Combined]],MATCH(Table92[[#This Row],[Country]],Tabela1[Country], 0),0))</f>
        <v>4</v>
      </c>
      <c r="AZ26" s="6">
        <f>SUM(INDEX(Tabela1[[Biathlon - Men''s Individual]:[Biathlon - Mixed Relay]],MATCH(Table92[[#This Row],[Country]],Tabela1[Country], 0),0))</f>
        <v>0</v>
      </c>
      <c r="BA26" s="6">
        <f>SUM(INDEX(Tabela1[[Bobsleigh - Women''s Monobob]:[Bobsleigh - Men''s Four]],MATCH(Table92[[#This Row],[Country]],Tabela1[Country], 0),0))</f>
        <v>0</v>
      </c>
      <c r="BB26" s="6">
        <f>SUM(INDEX(Tabela1[[Cross-country skiing - Men''s Classical]:[Cross-country skiing - Women''s Team Sprint]],MATCH(Table92[[#This Row],[Country]],Tabela1[Country], 0),0))</f>
        <v>0</v>
      </c>
      <c r="BC26" s="6">
        <f>SUM(INDEX(Tabela1[[Curling - Men''s Tournament]:[Curling - Mixed Doubles]],MATCH(Table92[[#This Row],[Country]],Tabela1[Country], 0),0))</f>
        <v>0</v>
      </c>
      <c r="BD26" s="6">
        <f>SUM(INDEX(Tabela1[[Figure Skating - Men''s Singles]:[Figure Skating - Team Event]],MATCH(Table92[[#This Row],[Country]],Tabela1[Country], 0),0))</f>
        <v>0</v>
      </c>
      <c r="BE26" s="6">
        <f>SUM(INDEX(Tabela1[[Freestyle Skiing - Men''s Aerials]:[Freestyle Skiing - Women''s Slopestyle]],MATCH(Table92[[#This Row],[Country]],Tabela1[Country], 0),0))</f>
        <v>0</v>
      </c>
      <c r="BF26" s="6">
        <f>SUM(INDEX(Tabela1[[Ice Hockey - Men''s Tournament]:[Ice Hockey - Women''s Tournament]],MATCH(Table92[[#This Row],[Country]],Tabela1[Country], 0),0))</f>
        <v>0</v>
      </c>
      <c r="BG26" s="6">
        <f>SUM(INDEX(Tabela1[[Luge - Men''s Singles]:[Luge - Mixed Team Relay]],MATCH(Table92[[#This Row],[Country]],Tabela1[Country], 0),0))</f>
        <v>0</v>
      </c>
      <c r="BH26" s="6">
        <f>SUM(INDEX(Tabela1[[Nordic Combined - Men''s Individual]:[Nordic Combined - Men''s Team Sprint Large Hill]],MATCH(Table92[[#This Row],[Country]],Tabela1[Country], 0),0))</f>
        <v>0</v>
      </c>
      <c r="BI26" s="6">
        <f>SUM(INDEX(Tabela1[[Short track speed skating - Men''s 500m]:[Short track speed skating - Mixed 2000m Relay]],MATCH(Table92[[#This Row],[Country]],Tabela1[Country], 0),0))</f>
        <v>0</v>
      </c>
      <c r="BJ26" s="6">
        <f>SUM(INDEX(Tabela1[[Skeleton - Men''s Individual]:[Skeleton - Mixed Team]],MATCH(Table92[[#This Row],[Country]],Tabela1[Country], 0),0))</f>
        <v>0</v>
      </c>
      <c r="BK26" s="6">
        <f>SUM(INDEX(Tabela1[[Ski Jumping - Men''s Individual Large Hill]:[Ski Jumping - Mixed Team Normal Hill]],MATCH(Table92[[#This Row],[Country]],Tabela1[Country], 0),0))</f>
        <v>0</v>
      </c>
      <c r="BL26" s="6">
        <f>SUM(INDEX(Tabela1[[Ski Mountaineering - Men''s Sprint]:[Ski Mountaineering - Mixed Relay]],MATCH(Table92[[#This Row],[Country]],Tabela1[Country], 0),0))</f>
        <v>0</v>
      </c>
      <c r="BM26" s="6">
        <f>SUM(INDEX(Tabela1[[Snowboarding - Men''s Big Air]:[Snowboarding - Mixed Team Snowboard Cross]],MATCH(Table92[[#This Row],[Country]],Tabela1[Country], 0),0))</f>
        <v>0</v>
      </c>
      <c r="BN26" s="6">
        <f>SUM(INDEX(Tabela1[[Speed Skating - Men''s 500m]:[Speed Skating - Women''s Team Pursuit]],MATCH(Table92[[#This Row],[Country]],Tabela1[Country], 0),0))</f>
        <v>0</v>
      </c>
      <c r="BO26" s="6" t="str">
        <f>SUBSTITUTE(INDEX(Table92[[#Headers],[Archery Quotas]:[Speed Skating Quotas]], MATCH(MAX(Table92[[#This Row],[Archery Quotas]:[Speed Skating Quotas]]), Table92[[#This Row],[Archery Quotas]:[Speed Skating Quotas]], 0))," Quotas","")</f>
        <v>Tennis</v>
      </c>
      <c r="BP26" s="6">
        <f>SUM(Table92[[#This Row],[Summer Sports]:[Winter Sports]])</f>
        <v>22</v>
      </c>
      <c r="BQ26" s="6">
        <f>COUNTIF(Table92[[#This Row],[Archery Quotas]:[Wrestling Quotas]],"&lt;&gt;0")</f>
        <v>21</v>
      </c>
      <c r="BR26" s="6">
        <f>COUNTIF(Table92[[#This Row],[Alpine Skiing Quotas]:[Speed Skating Quotas]],"&lt;&gt;0")</f>
        <v>1</v>
      </c>
      <c r="BS26" s="3" t="s">
        <v>341</v>
      </c>
    </row>
    <row r="27" spans="1:71" x14ac:dyDescent="0.3">
      <c r="A27" s="6" t="s">
        <v>604</v>
      </c>
      <c r="B27" t="e" vm="26">
        <f>IF(ISBLANK(Table92[[#This Row],[Flag Link]]), "", _xlfn.IMAGE(Table92[[#This Row],[Flag Link]],1,1))</f>
        <v>#VALUE!</v>
      </c>
      <c r="C27" s="6">
        <f>SUM(Table92[[#This Row],[Archery Quotas]:[Speed Skating Quotas]])</f>
        <v>48</v>
      </c>
      <c r="D27" s="6">
        <f>SUM(INDEX(Tabela1[[Archery - Men''s Individual Recurve]:[Archery - Mixed Team Recurve]],MATCH(Table92[[#This Row],[Country]],Tabela1[Country], 0),0))</f>
        <v>4</v>
      </c>
      <c r="E27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27" s="6">
        <f>SUM(INDEX(Tabela1[[Artistic Swimming - Women''s Duet]:[Artistic Swimming - Women''s Team]],MATCH(Table92[[#This Row],[Country]],Tabela1[Country], 0),0))</f>
        <v>0</v>
      </c>
      <c r="G27" s="6">
        <f>SUM(INDEX(Tabela1[[Athletics - Men''s 100m]:[Athletics - Women''s Heptathlon]],MATCH(Table92[[#This Row],[Country]],Tabela1[Country], 0),0))</f>
        <v>2</v>
      </c>
      <c r="H27" s="6">
        <f>SUM(INDEX(Tabela1[[Badminton - Men''s Singles]:[Badminton - Mixed Doubles]],MATCH(Table92[[#This Row],[Country]],Tabela1[Country], 0),0))</f>
        <v>0</v>
      </c>
      <c r="I27" s="6">
        <f>SUM(INDEX(Tabela1[[Basketball - Men''s Tournament]:[Basketball - Women''s Tournament]],MATCH(Table92[[#This Row],[Country]],Tabela1[Country], 0),0))</f>
        <v>0</v>
      </c>
      <c r="J27" s="6">
        <f>SUM(INDEX(Tabela1[[3x3 Basketball - Men''s Tournament]:[3x3 Basketball - Women''s Tournament]],MATCH(Table92[[#This Row],[Country]],Tabela1[Country], 0),0))</f>
        <v>0</v>
      </c>
      <c r="K27" s="6">
        <f>SUM(INDEX(Tabela1[[Beach Volleyball - Men''s Tournament]:[Beach Volleyball - Women''s Tournament]],MATCH(Table92[[#This Row],[Country]],Tabela1[Country], 0),0))</f>
        <v>0</v>
      </c>
      <c r="L27" s="6">
        <f>SUM(INDEX(Tabela1[[Boxing - Men''s 51kg]:[Boxing - Women''s 75kg]],MATCH(Table92[[#This Row],[Country]],Tabela1[Country], 0),0))</f>
        <v>3</v>
      </c>
      <c r="M27" s="6">
        <f>SUM(INDEX(Tabela1[[Breaking - Men''s Individual]:[Breaking - Women''s Individual]],MATCH(Table92[[#This Row],[Country]],Tabela1[Country], 0),0))</f>
        <v>0</v>
      </c>
      <c r="N27" s="6">
        <f>SUM(INDEX(Tabela1[[Canoeing - Men''s C1 Slalom]:[Canoeing - Women''s Kayak Cross Slalom]],MATCH(Table92[[#This Row],[Country]],Tabela1[Country], 0),0))</f>
        <v>0</v>
      </c>
      <c r="O27" s="6">
        <f>SUM(INDEX(Tabela1[[Canoeing - Women''s C1 200m]:[Canoeing - Women''s K4 500m]],MATCH(Table92[[#This Row],[Country]],Tabela1[Country], 0),0))</f>
        <v>3</v>
      </c>
      <c r="P27" s="6">
        <f>SUM(INDEX(Tabela1[[Cycling - Men''s BMX Freestyle]:[Cycling - Women''s BMX Freestyle]],MATCH(Table92[[#This Row],[Country]],Tabela1[Country], 0),0))</f>
        <v>0</v>
      </c>
      <c r="Q27" s="6">
        <f>SUM(INDEX(Tabela1[[Cycling - Men''s BMX Racing]:[Cycling - Women''s BMX Racing]],MATCH(Table92[[#This Row],[Country]],Tabela1[Country], 0),0))</f>
        <v>0</v>
      </c>
      <c r="R27" s="6">
        <f>SUM(INDEX(Tabela1[[Cycling - Men''s Cross-Country]:[Cycling - Women''s Cross-Country]],MATCH(Table92[[#This Row],[Country]],Tabela1[Country], 0),0))</f>
        <v>0</v>
      </c>
      <c r="S27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1</v>
      </c>
      <c r="T27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27" s="6">
        <f>SUM(INDEX(Tabela1[[Diving - Men''s Springboard]:[Diving - Women''s Synchronized Platform]],MATCH(Table92[[#This Row],[Country]],Tabela1[Country], 0),0))</f>
        <v>0</v>
      </c>
      <c r="V27" s="6">
        <f>SUM(INDEX(Tabela1[[Equestrian - Individual Dressage]:[Equestrian - Team Dressage]],MATCH(Table92[[#This Row],[Country]],Tabela1[Country], 0),0))</f>
        <v>0</v>
      </c>
      <c r="W27" s="6">
        <f>SUM(INDEX(Tabela1[[Equestrian - Individual Eventing]:[Equestrian - Team Eventing]],MATCH(Table92[[#This Row],[Country]],Tabela1[Country], 0),0))</f>
        <v>0</v>
      </c>
      <c r="X27" s="6">
        <f>SUM(INDEX(Tabela1[[Equestrian - Individual Jumping]:[Equestrian - Team Jumping]],MATCH(Table92[[#This Row],[Country]],Tabela1[Country], 0),0))</f>
        <v>0</v>
      </c>
      <c r="Y27" s="6">
        <f>SUM(INDEX(Tabela1[[Fencing - Men''s Épée]:[Fencing - Women''s Team Sabre]],MATCH(Table92[[#This Row],[Country]],Tabela1[Country], 0),0))</f>
        <v>2</v>
      </c>
      <c r="Z27" s="6">
        <f>SUM(INDEX(Tabela1[[Field Hockey - Men''s Tournament]:[Field Hockey - Women''s Tournament]],MATCH(Table92[[#This Row],[Country]],Tabela1[Country], 0),0))</f>
        <v>0</v>
      </c>
      <c r="AA27" s="6">
        <f>SUM(INDEX(Tabela1[[Football - Men''s Tournament]:[Football - Women''s Tournament]],MATCH(Table92[[#This Row],[Country]],Tabela1[Country], 0),0))</f>
        <v>0</v>
      </c>
      <c r="AB27" s="6">
        <f>SUM(INDEX(Tabela1[[Golf - Men''s Individual]:[Golf - Women''s Individual]],MATCH(Table92[[#This Row],[Country]],Tabela1[Country], 0),0))</f>
        <v>0</v>
      </c>
      <c r="AC27" s="6">
        <f>SUM(INDEX(Tabela1[[Handball - Men''s Tournament]:[Handball - Women''s Tournament]],MATCH(Table92[[#This Row],[Country]],Tabela1[Country], 0),0))</f>
        <v>0</v>
      </c>
      <c r="AD27" s="6">
        <f>SUM(INDEX(Tabela1[[Judo - Men''s 60kg]:[Judo - Mixed Team]],MATCH(Table92[[#This Row],[Country]],Tabela1[Country], 0),0))</f>
        <v>0</v>
      </c>
      <c r="AE27" s="6">
        <f>SUM(INDEX(Tabela1[[Swimming - Men''s 10km Open Water]:[Swimming - Women''s 10km Open Water]],MATCH(Table92[[#This Row],[Country]],Tabela1[Country], 0),0))</f>
        <v>0</v>
      </c>
      <c r="AF27" s="6">
        <f>SUM(INDEX(Tabela1[[Modern Pentathlon - Men''s Individual]:[Modern Pentathlon - Women''s Individual]],MATCH(Table92[[#This Row],[Country]],Tabela1[Country], 0),0))</f>
        <v>1</v>
      </c>
      <c r="AG27" s="6">
        <f>SUM(INDEX(Tabela1[[Rhythmic Gymnastics - Women''s Individual All-Around]:[Rhythmic Gymnastics - Women''s Group All-Around]],MATCH(Table92[[#This Row],[Country]],Tabela1[Country], 0),0))</f>
        <v>0</v>
      </c>
      <c r="AH27" s="6">
        <f>SUM(INDEX(Tabela1[[Rowing - Men''s Single Sculls]:[Rowing - Women''s Lwt. Double Sculls]],MATCH(Table92[[#This Row],[Country]],Tabela1[Country], 0),0))</f>
        <v>0</v>
      </c>
      <c r="AI27" s="6">
        <f>SUM(INDEX(Tabela1[[Rugby Sevens - Men''s Tournament]:[Rugby Sevens - Women''s Tournament]],MATCH(Table92[[#This Row],[Country]],Tabela1[Country], 0),0))</f>
        <v>0</v>
      </c>
      <c r="AJ27" s="6">
        <f>SUM(INDEX(Tabela1[[Sailing - Mixed 470]:[Sailing - Mixed Nacra 17]],MATCH(Table92[[#This Row],[Country]],Tabela1[Country], 0),0))</f>
        <v>0</v>
      </c>
      <c r="AK27" s="6">
        <f>SUM(INDEX(Tabela1[[Shooting - Men''s 10m Air Pistol]:[Shooting - Women''s Trap]],MATCH(Table92[[#This Row],[Country]],Tabela1[Country], 0),0))</f>
        <v>3</v>
      </c>
      <c r="AL27" s="6">
        <f>SUM(INDEX(Tabela1[[Skateboarding - Men''s Park]:[Skateboarding - Women''s Street]],MATCH(Table92[[#This Row],[Country]],Tabela1[Country], 0),0))</f>
        <v>0</v>
      </c>
      <c r="AM27" s="6">
        <f>SUM(INDEX(Tabela1[[Sport Climbing - Men''s Boulder and Lead]:[Sport Climbing - Women''s Speed]],MATCH(Table92[[#This Row],[Country]],Tabela1[Country], 0),0))</f>
        <v>0</v>
      </c>
      <c r="AN27" s="6">
        <f>SUM(INDEX(Tabela1[[Surfing - Men''s Shortboard]:[Surfing - Women''s Shortboard]],MATCH(Table92[[#This Row],[Country]],Tabela1[Country], 0),0))</f>
        <v>0</v>
      </c>
      <c r="AO27" s="6">
        <f>SUM(INDEX(Tabela1[[Swimming - Men''s 50m Freestyle]:[Swimming - Mixed 4x100m Medley Relay]],MATCH(Table92[[#This Row],[Country]],Tabela1[Country], 0),0))</f>
        <v>0</v>
      </c>
      <c r="AP27" s="6">
        <f>SUM(INDEX(Tabela1[[Table Tennis - Men''s Singles]:[Table Tennis - Mixed Doubles]],MATCH(Table92[[#This Row],[Country]],Tabela1[Country], 0),0))</f>
        <v>1</v>
      </c>
      <c r="AQ27" s="6">
        <f>SUM(INDEX(Tabela1[[Taekwondo - Men''s 58kg]:[Taekwondo - Women''s +67kg]],MATCH(Table92[[#This Row],[Country]],Tabela1[Country], 0),0))</f>
        <v>2</v>
      </c>
      <c r="AR27" s="6">
        <f>SUM(INDEX(Tabela1[[Tennis - Men''s Singles]:[Tennis - Mixed Doubles]],MATCH(Table92[[#This Row],[Country]],Tabela1[Country], 0),0))</f>
        <v>1</v>
      </c>
      <c r="AS27" s="6">
        <f>SUM(INDEX(Tabela1[[Gymnastics - Men''s Trampoline]:[Gymnastics - Women''s Trampoline]],MATCH(Table92[[#This Row],[Country]],Tabela1[Country], 0),0))</f>
        <v>0</v>
      </c>
      <c r="AT27" s="6">
        <f>SUM(INDEX(Tabela1[[Triathlon - Men''s Individual]:[Triathlon - Mixed Relay]],MATCH(Table92[[#This Row],[Country]],Tabela1[Country], 0),0))</f>
        <v>0</v>
      </c>
      <c r="AU27" s="6">
        <f>SUM(INDEX(Tabela1[[Volleyball - Men''s Tournament]:[Volleyball - Women''s Tournament]],MATCH(Table92[[#This Row],[Country]],Tabela1[Country], 0),0))</f>
        <v>0</v>
      </c>
      <c r="AV27" s="6">
        <f>SUM(INDEX(Tabela1[[Water Polo - Men''s Tournament]:[Water Polo - Women''s Tournament]],MATCH(Table92[[#This Row],[Country]],Tabela1[Country], 0),0))</f>
        <v>0</v>
      </c>
      <c r="AW27" s="6">
        <f>SUM(INDEX(Tabela1[[Weightlifting - Men''s 61kg]:[Weightlifting - Women''s +81kg]],MATCH(Table92[[#This Row],[Country]],Tabela1[Country], 0),0))</f>
        <v>0</v>
      </c>
      <c r="AX27" s="6">
        <f>SUM(INDEX(Tabela1[[Wrestling - Men''s Freestyle 57kg]:[Wrestling - Women''s Freestyle 76kg]],MATCH(Table92[[#This Row],[Country]],Tabela1[Country], 0),0))</f>
        <v>2</v>
      </c>
      <c r="AY27" s="6">
        <f>SUM(INDEX(Tabela1[[Alpine Skiing - Men''s Downhill]:[Alpine Skiing - Women''s Team Combined]],MATCH(Table92[[#This Row],[Country]],Tabela1[Country], 0),0))</f>
        <v>0</v>
      </c>
      <c r="AZ27" s="6">
        <f>SUM(INDEX(Tabela1[[Biathlon - Men''s Individual]:[Biathlon - Mixed Relay]],MATCH(Table92[[#This Row],[Country]],Tabela1[Country], 0),0))</f>
        <v>5</v>
      </c>
      <c r="BA27" s="6">
        <f>SUM(INDEX(Tabela1[[Bobsleigh - Women''s Monobob]:[Bobsleigh - Men''s Four]],MATCH(Table92[[#This Row],[Country]],Tabela1[Country], 0),0))</f>
        <v>0</v>
      </c>
      <c r="BB27" s="6">
        <f>SUM(INDEX(Tabela1[[Cross-country skiing - Men''s Classical]:[Cross-country skiing - Women''s Team Sprint]],MATCH(Table92[[#This Row],[Country]],Tabela1[Country], 0),0))</f>
        <v>0</v>
      </c>
      <c r="BC27" s="6">
        <f>SUM(INDEX(Tabela1[[Curling - Men''s Tournament]:[Curling - Mixed Doubles]],MATCH(Table92[[#This Row],[Country]],Tabela1[Country], 0),0))</f>
        <v>0</v>
      </c>
      <c r="BD27" s="6">
        <f>SUM(INDEX(Tabela1[[Figure Skating - Men''s Singles]:[Figure Skating - Team Event]],MATCH(Table92[[#This Row],[Country]],Tabela1[Country], 0),0))</f>
        <v>0</v>
      </c>
      <c r="BE27" s="6">
        <f>SUM(INDEX(Tabela1[[Freestyle Skiing - Men''s Aerials]:[Freestyle Skiing - Women''s Slopestyle]],MATCH(Table92[[#This Row],[Country]],Tabela1[Country], 0),0))</f>
        <v>12</v>
      </c>
      <c r="BF27" s="6">
        <f>SUM(INDEX(Tabela1[[Ice Hockey - Men''s Tournament]:[Ice Hockey - Women''s Tournament]],MATCH(Table92[[#This Row],[Country]],Tabela1[Country], 0),0))</f>
        <v>0</v>
      </c>
      <c r="BG27" s="6">
        <f>SUM(INDEX(Tabela1[[Luge - Men''s Singles]:[Luge - Mixed Team Relay]],MATCH(Table92[[#This Row],[Country]],Tabela1[Country], 0),0))</f>
        <v>0</v>
      </c>
      <c r="BH27" s="6">
        <f>SUM(INDEX(Tabela1[[Nordic Combined - Men''s Individual]:[Nordic Combined - Men''s Team Sprint Large Hill]],MATCH(Table92[[#This Row],[Country]],Tabela1[Country], 0),0))</f>
        <v>0</v>
      </c>
      <c r="BI27" s="6">
        <f>SUM(INDEX(Tabela1[[Short track speed skating - Men''s 500m]:[Short track speed skating - Mixed 2000m Relay]],MATCH(Table92[[#This Row],[Country]],Tabela1[Country], 0),0))</f>
        <v>6</v>
      </c>
      <c r="BJ27" s="6">
        <f>SUM(INDEX(Tabela1[[Skeleton - Men''s Individual]:[Skeleton - Mixed Team]],MATCH(Table92[[#This Row],[Country]],Tabela1[Country], 0),0))</f>
        <v>0</v>
      </c>
      <c r="BK27" s="6">
        <f>SUM(INDEX(Tabela1[[Ski Jumping - Men''s Individual Large Hill]:[Ski Jumping - Mixed Team Normal Hill]],MATCH(Table92[[#This Row],[Country]],Tabela1[Country], 0),0))</f>
        <v>0</v>
      </c>
      <c r="BL27" s="6">
        <f>SUM(INDEX(Tabela1[[Ski Mountaineering - Men''s Sprint]:[Ski Mountaineering - Mixed Relay]],MATCH(Table92[[#This Row],[Country]],Tabela1[Country], 0),0))</f>
        <v>0</v>
      </c>
      <c r="BM27" s="6">
        <f>SUM(INDEX(Tabela1[[Snowboarding - Men''s Big Air]:[Snowboarding - Mixed Team Snowboard Cross]],MATCH(Table92[[#This Row],[Country]],Tabela1[Country], 0),0))</f>
        <v>0</v>
      </c>
      <c r="BN27" s="6">
        <f>SUM(INDEX(Tabela1[[Speed Skating - Men''s 500m]:[Speed Skating - Women''s Team Pursuit]],MATCH(Table92[[#This Row],[Country]],Tabela1[Country], 0),0))</f>
        <v>0</v>
      </c>
      <c r="BO27" s="6" t="str">
        <f>SUBSTITUTE(INDEX(Table92[[#Headers],[Archery Quotas]:[Speed Skating Quotas]], MATCH(MAX(Table92[[#This Row],[Archery Quotas]:[Speed Skating Quotas]]), Table92[[#This Row],[Archery Quotas]:[Speed Skating Quotas]], 0))," Quotas","")</f>
        <v>Freestyle Skiing</v>
      </c>
      <c r="BP27" s="6">
        <f>SUM(Table92[[#This Row],[Summer Sports]:[Winter Sports]])</f>
        <v>15</v>
      </c>
      <c r="BQ27" s="6">
        <f>COUNTIF(Table92[[#This Row],[Archery Quotas]:[Wrestling Quotas]],"&lt;&gt;0")</f>
        <v>12</v>
      </c>
      <c r="BR27" s="6">
        <f>COUNTIF(Table92[[#This Row],[Alpine Skiing Quotas]:[Speed Skating Quotas]],"&lt;&gt;0")</f>
        <v>3</v>
      </c>
      <c r="BS27" s="3" t="s">
        <v>605</v>
      </c>
    </row>
    <row r="28" spans="1:71" x14ac:dyDescent="0.3">
      <c r="A28" s="6" t="s">
        <v>474</v>
      </c>
      <c r="B28" t="e" vm="27">
        <f>IF(ISBLANK(Table92[[#This Row],[Flag Link]]), "", _xlfn.IMAGE(Table92[[#This Row],[Flag Link]],1,1))</f>
        <v>#VALUE!</v>
      </c>
      <c r="C28" s="6">
        <f>SUM(Table92[[#This Row],[Archery Quotas]:[Speed Skating Quotas]])</f>
        <v>45</v>
      </c>
      <c r="D28" s="6">
        <f>SUM(INDEX(Tabela1[[Archery - Men''s Individual Recurve]:[Archery - Mixed Team Recurve]],MATCH(Table92[[#This Row],[Country]],Tabela1[Country], 0),0))</f>
        <v>0</v>
      </c>
      <c r="E28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4</v>
      </c>
      <c r="F28" s="6">
        <f>SUM(INDEX(Tabela1[[Artistic Swimming - Women''s Duet]:[Artistic Swimming - Women''s Team]],MATCH(Table92[[#This Row],[Country]],Tabela1[Country], 0),0))</f>
        <v>1</v>
      </c>
      <c r="G28" s="6">
        <f>SUM(INDEX(Tabela1[[Athletics - Men''s 100m]:[Athletics - Women''s Heptathlon]],MATCH(Table92[[#This Row],[Country]],Tabela1[Country], 0),0))</f>
        <v>3</v>
      </c>
      <c r="H28" s="6">
        <f>SUM(INDEX(Tabela1[[Badminton - Men''s Singles]:[Badminton - Mixed Doubles]],MATCH(Table92[[#This Row],[Country]],Tabela1[Country], 0),0))</f>
        <v>0</v>
      </c>
      <c r="I28" s="6">
        <f>SUM(INDEX(Tabela1[[Basketball - Men''s Tournament]:[Basketball - Women''s Tournament]],MATCH(Table92[[#This Row],[Country]],Tabela1[Country], 0),0))</f>
        <v>0</v>
      </c>
      <c r="J28" s="6">
        <f>SUM(INDEX(Tabela1[[3x3 Basketball - Men''s Tournament]:[3x3 Basketball - Women''s Tournament]],MATCH(Table92[[#This Row],[Country]],Tabela1[Country], 0),0))</f>
        <v>0</v>
      </c>
      <c r="K28" s="6">
        <f>SUM(INDEX(Tabela1[[Beach Volleyball - Men''s Tournament]:[Beach Volleyball - Women''s Tournament]],MATCH(Table92[[#This Row],[Country]],Tabela1[Country], 0),0))</f>
        <v>0</v>
      </c>
      <c r="L28" s="6">
        <f>SUM(INDEX(Tabela1[[Boxing - Men''s 51kg]:[Boxing - Women''s 75kg]],MATCH(Table92[[#This Row],[Country]],Tabela1[Country], 0),0))</f>
        <v>0</v>
      </c>
      <c r="M28" s="6">
        <f>SUM(INDEX(Tabela1[[Breaking - Men''s Individual]:[Breaking - Women''s Individual]],MATCH(Table92[[#This Row],[Country]],Tabela1[Country], 0),0))</f>
        <v>0</v>
      </c>
      <c r="N28" s="6">
        <f>SUM(INDEX(Tabela1[[Canoeing - Men''s C1 Slalom]:[Canoeing - Women''s Kayak Cross Slalom]],MATCH(Table92[[#This Row],[Country]],Tabela1[Country], 0),0))</f>
        <v>0</v>
      </c>
      <c r="O28" s="6">
        <f>SUM(INDEX(Tabela1[[Canoeing - Women''s C1 200m]:[Canoeing - Women''s K4 500m]],MATCH(Table92[[#This Row],[Country]],Tabela1[Country], 0),0))</f>
        <v>2</v>
      </c>
      <c r="P28" s="6">
        <f>SUM(INDEX(Tabela1[[Cycling - Men''s BMX Freestyle]:[Cycling - Women''s BMX Freestyle]],MATCH(Table92[[#This Row],[Country]],Tabela1[Country], 0),0))</f>
        <v>0</v>
      </c>
      <c r="Q28" s="6">
        <f>SUM(INDEX(Tabela1[[Cycling - Men''s BMX Racing]:[Cycling - Women''s BMX Racing]],MATCH(Table92[[#This Row],[Country]],Tabela1[Country], 0),0))</f>
        <v>0</v>
      </c>
      <c r="R28" s="6">
        <f>SUM(INDEX(Tabela1[[Cycling - Men''s Cross-Country]:[Cycling - Women''s Cross-Country]],MATCH(Table92[[#This Row],[Country]],Tabela1[Country], 0),0))</f>
        <v>0</v>
      </c>
      <c r="S28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3</v>
      </c>
      <c r="T28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4</v>
      </c>
      <c r="U28" s="6">
        <f>SUM(INDEX(Tabela1[[Diving - Men''s Springboard]:[Diving - Women''s Synchronized Platform]],MATCH(Table92[[#This Row],[Country]],Tabela1[Country], 0),0))</f>
        <v>0</v>
      </c>
      <c r="V28" s="6">
        <f>SUM(INDEX(Tabela1[[Equestrian - Individual Dressage]:[Equestrian - Team Dressage]],MATCH(Table92[[#This Row],[Country]],Tabela1[Country], 0),0))</f>
        <v>1</v>
      </c>
      <c r="W28" s="6">
        <f>SUM(INDEX(Tabela1[[Equestrian - Individual Eventing]:[Equestrian - Team Eventing]],MATCH(Table92[[#This Row],[Country]],Tabela1[Country], 0),0))</f>
        <v>3</v>
      </c>
      <c r="X28" s="6">
        <f>SUM(INDEX(Tabela1[[Equestrian - Individual Jumping]:[Equestrian - Team Jumping]],MATCH(Table92[[#This Row],[Country]],Tabela1[Country], 0),0))</f>
        <v>0</v>
      </c>
      <c r="Y28" s="6">
        <f>SUM(INDEX(Tabela1[[Fencing - Men''s Épée]:[Fencing - Women''s Team Sabre]],MATCH(Table92[[#This Row],[Country]],Tabela1[Country], 0),0))</f>
        <v>0</v>
      </c>
      <c r="Z28" s="6">
        <f>SUM(INDEX(Tabela1[[Field Hockey - Men''s Tournament]:[Field Hockey - Women''s Tournament]],MATCH(Table92[[#This Row],[Country]],Tabela1[Country], 0),0))</f>
        <v>1</v>
      </c>
      <c r="AA28" s="6">
        <f>SUM(INDEX(Tabela1[[Football - Men''s Tournament]:[Football - Women''s Tournament]],MATCH(Table92[[#This Row],[Country]],Tabela1[Country], 0),0))</f>
        <v>2</v>
      </c>
      <c r="AB28" s="6">
        <f>SUM(INDEX(Tabela1[[Golf - Men''s Individual]:[Golf - Women''s Individual]],MATCH(Table92[[#This Row],[Country]],Tabela1[Country], 0),0))</f>
        <v>0</v>
      </c>
      <c r="AC28" s="6">
        <f>SUM(INDEX(Tabela1[[Handball - Men''s Tournament]:[Handball - Women''s Tournament]],MATCH(Table92[[#This Row],[Country]],Tabela1[Country], 0),0))</f>
        <v>0</v>
      </c>
      <c r="AD28" s="6">
        <f>SUM(INDEX(Tabela1[[Judo - Men''s 60kg]:[Judo - Mixed Team]],MATCH(Table92[[#This Row],[Country]],Tabela1[Country], 0),0))</f>
        <v>0</v>
      </c>
      <c r="AE28" s="6">
        <f>SUM(INDEX(Tabela1[[Swimming - Men''s 10km Open Water]:[Swimming - Women''s 10km Open Water]],MATCH(Table92[[#This Row],[Country]],Tabela1[Country], 0),0))</f>
        <v>0</v>
      </c>
      <c r="AF28" s="6">
        <f>SUM(INDEX(Tabela1[[Modern Pentathlon - Men''s Individual]:[Modern Pentathlon - Women''s Individual]],MATCH(Table92[[#This Row],[Country]],Tabela1[Country], 0),0))</f>
        <v>0</v>
      </c>
      <c r="AG28" s="6">
        <f>SUM(INDEX(Tabela1[[Rhythmic Gymnastics - Women''s Individual All-Around]:[Rhythmic Gymnastics - Women''s Group All-Around]],MATCH(Table92[[#This Row],[Country]],Tabela1[Country], 0),0))</f>
        <v>0</v>
      </c>
      <c r="AH28" s="6">
        <f>SUM(INDEX(Tabela1[[Rowing - Men''s Single Sculls]:[Rowing - Women''s Lwt. Double Sculls]],MATCH(Table92[[#This Row],[Country]],Tabela1[Country], 0),0))</f>
        <v>4</v>
      </c>
      <c r="AI28" s="6">
        <f>SUM(INDEX(Tabela1[[Rugby Sevens - Men''s Tournament]:[Rugby Sevens - Women''s Tournament]],MATCH(Table92[[#This Row],[Country]],Tabela1[Country], 0),0))</f>
        <v>1</v>
      </c>
      <c r="AJ28" s="6">
        <f>SUM(INDEX(Tabela1[[Sailing - Mixed 470]:[Sailing - Mixed Nacra 17]],MATCH(Table92[[#This Row],[Country]],Tabela1[Country], 0),0))</f>
        <v>0</v>
      </c>
      <c r="AK28" s="6">
        <f>SUM(INDEX(Tabela1[[Shooting - Men''s 10m Air Pistol]:[Shooting - Women''s Trap]],MATCH(Table92[[#This Row],[Country]],Tabela1[Country], 0),0))</f>
        <v>1</v>
      </c>
      <c r="AL28" s="6">
        <f>SUM(INDEX(Tabela1[[Skateboarding - Men''s Park]:[Skateboarding - Women''s Street]],MATCH(Table92[[#This Row],[Country]],Tabela1[Country], 0),0))</f>
        <v>0</v>
      </c>
      <c r="AM28" s="6">
        <f>SUM(INDEX(Tabela1[[Sport Climbing - Men''s Boulder and Lead]:[Sport Climbing - Women''s Speed]],MATCH(Table92[[#This Row],[Country]],Tabela1[Country], 0),0))</f>
        <v>0</v>
      </c>
      <c r="AN28" s="6">
        <f>SUM(INDEX(Tabela1[[Surfing - Men''s Shortboard]:[Surfing - Women''s Shortboard]],MATCH(Table92[[#This Row],[Country]],Tabela1[Country], 0),0))</f>
        <v>0</v>
      </c>
      <c r="AO28" s="6">
        <f>SUM(INDEX(Tabela1[[Swimming - Men''s 50m Freestyle]:[Swimming - Mixed 4x100m Medley Relay]],MATCH(Table92[[#This Row],[Country]],Tabela1[Country], 0),0))</f>
        <v>1</v>
      </c>
      <c r="AP28" s="6">
        <f>SUM(INDEX(Tabela1[[Table Tennis - Men''s Singles]:[Table Tennis - Mixed Doubles]],MATCH(Table92[[#This Row],[Country]],Tabela1[Country], 0),0))</f>
        <v>0</v>
      </c>
      <c r="AQ28" s="6">
        <f>SUM(INDEX(Tabela1[[Taekwondo - Men''s 58kg]:[Taekwondo - Women''s +67kg]],MATCH(Table92[[#This Row],[Country]],Tabela1[Country], 0),0))</f>
        <v>0</v>
      </c>
      <c r="AR28" s="6">
        <f>SUM(INDEX(Tabela1[[Tennis - Men''s Singles]:[Tennis - Mixed Doubles]],MATCH(Table92[[#This Row],[Country]],Tabela1[Country], 0),0))</f>
        <v>0</v>
      </c>
      <c r="AS28" s="6">
        <f>SUM(INDEX(Tabela1[[Gymnastics - Men''s Trampoline]:[Gymnastics - Women''s Trampoline]],MATCH(Table92[[#This Row],[Country]],Tabela1[Country], 0),0))</f>
        <v>1</v>
      </c>
      <c r="AT28" s="6">
        <f>SUM(INDEX(Tabela1[[Triathlon - Men''s Individual]:[Triathlon - Mixed Relay]],MATCH(Table92[[#This Row],[Country]],Tabela1[Country], 0),0))</f>
        <v>0</v>
      </c>
      <c r="AU28" s="6">
        <f>SUM(INDEX(Tabela1[[Volleyball - Men''s Tournament]:[Volleyball - Women''s Tournament]],MATCH(Table92[[#This Row],[Country]],Tabela1[Country], 0),0))</f>
        <v>0</v>
      </c>
      <c r="AV28" s="6">
        <f>SUM(INDEX(Tabela1[[Water Polo - Men''s Tournament]:[Water Polo - Women''s Tournament]],MATCH(Table92[[#This Row],[Country]],Tabela1[Country], 0),0))</f>
        <v>0</v>
      </c>
      <c r="AW28" s="6">
        <f>SUM(INDEX(Tabela1[[Weightlifting - Men''s 61kg]:[Weightlifting - Women''s +81kg]],MATCH(Table92[[#This Row],[Country]],Tabela1[Country], 0),0))</f>
        <v>0</v>
      </c>
      <c r="AX28" s="6">
        <f>SUM(INDEX(Tabela1[[Wrestling - Men''s Freestyle 57kg]:[Wrestling - Women''s Freestyle 76kg]],MATCH(Table92[[#This Row],[Country]],Tabela1[Country], 0),0))</f>
        <v>1</v>
      </c>
      <c r="AY28" s="6">
        <f>SUM(INDEX(Tabela1[[Alpine Skiing - Men''s Downhill]:[Alpine Skiing - Women''s Team Combined]],MATCH(Table92[[#This Row],[Country]],Tabela1[Country], 0),0))</f>
        <v>2</v>
      </c>
      <c r="AZ28" s="6">
        <f>SUM(INDEX(Tabela1[[Biathlon - Men''s Individual]:[Biathlon - Mixed Relay]],MATCH(Table92[[#This Row],[Country]],Tabela1[Country], 0),0))</f>
        <v>0</v>
      </c>
      <c r="BA28" s="6">
        <f>SUM(INDEX(Tabela1[[Bobsleigh - Women''s Monobob]:[Bobsleigh - Men''s Four]],MATCH(Table92[[#This Row],[Country]],Tabela1[Country], 0),0))</f>
        <v>0</v>
      </c>
      <c r="BB28" s="6">
        <f>SUM(INDEX(Tabela1[[Cross-country skiing - Men''s Classical]:[Cross-country skiing - Women''s Team Sprint]],MATCH(Table92[[#This Row],[Country]],Tabela1[Country], 0),0))</f>
        <v>0</v>
      </c>
      <c r="BC28" s="6">
        <f>SUM(INDEX(Tabela1[[Curling - Men''s Tournament]:[Curling - Mixed Doubles]],MATCH(Table92[[#This Row],[Country]],Tabela1[Country], 0),0))</f>
        <v>0</v>
      </c>
      <c r="BD28" s="6">
        <f>SUM(INDEX(Tabela1[[Figure Skating - Men''s Singles]:[Figure Skating - Team Event]],MATCH(Table92[[#This Row],[Country]],Tabela1[Country], 0),0))</f>
        <v>0</v>
      </c>
      <c r="BE28" s="6">
        <f>SUM(INDEX(Tabela1[[Freestyle Skiing - Men''s Aerials]:[Freestyle Skiing - Women''s Slopestyle]],MATCH(Table92[[#This Row],[Country]],Tabela1[Country], 0),0))</f>
        <v>6</v>
      </c>
      <c r="BF28" s="6">
        <f>SUM(INDEX(Tabela1[[Ice Hockey - Men''s Tournament]:[Ice Hockey - Women''s Tournament]],MATCH(Table92[[#This Row],[Country]],Tabela1[Country], 0),0))</f>
        <v>0</v>
      </c>
      <c r="BG28" s="6">
        <f>SUM(INDEX(Tabela1[[Luge - Men''s Singles]:[Luge - Mixed Team Relay]],MATCH(Table92[[#This Row],[Country]],Tabela1[Country], 0),0))</f>
        <v>0</v>
      </c>
      <c r="BH28" s="6">
        <f>SUM(INDEX(Tabela1[[Nordic Combined - Men''s Individual]:[Nordic Combined - Men''s Team Sprint Large Hill]],MATCH(Table92[[#This Row],[Country]],Tabela1[Country], 0),0))</f>
        <v>0</v>
      </c>
      <c r="BI28" s="6">
        <f>SUM(INDEX(Tabela1[[Short track speed skating - Men''s 500m]:[Short track speed skating - Mixed 2000m Relay]],MATCH(Table92[[#This Row],[Country]],Tabela1[Country], 0),0))</f>
        <v>0</v>
      </c>
      <c r="BJ28" s="6">
        <f>SUM(INDEX(Tabela1[[Skeleton - Men''s Individual]:[Skeleton - Mixed Team]],MATCH(Table92[[#This Row],[Country]],Tabela1[Country], 0),0))</f>
        <v>0</v>
      </c>
      <c r="BK28" s="6">
        <f>SUM(INDEX(Tabela1[[Ski Jumping - Men''s Individual Large Hill]:[Ski Jumping - Mixed Team Normal Hill]],MATCH(Table92[[#This Row],[Country]],Tabela1[Country], 0),0))</f>
        <v>0</v>
      </c>
      <c r="BL28" s="6">
        <f>SUM(INDEX(Tabela1[[Ski Mountaineering - Men''s Sprint]:[Ski Mountaineering - Mixed Relay]],MATCH(Table92[[#This Row],[Country]],Tabela1[Country], 0),0))</f>
        <v>0</v>
      </c>
      <c r="BM28" s="6">
        <f>SUM(INDEX(Tabela1[[Snowboarding - Men''s Big Air]:[Snowboarding - Mixed Team Snowboard Cross]],MATCH(Table92[[#This Row],[Country]],Tabela1[Country], 0),0))</f>
        <v>4</v>
      </c>
      <c r="BN28" s="6">
        <f>SUM(INDEX(Tabela1[[Speed Skating - Men''s 500m]:[Speed Skating - Women''s Team Pursuit]],MATCH(Table92[[#This Row],[Country]],Tabela1[Country], 0),0))</f>
        <v>0</v>
      </c>
      <c r="BO28" s="6" t="str">
        <f>SUBSTITUTE(INDEX(Table92[[#Headers],[Archery Quotas]:[Speed Skating Quotas]], MATCH(MAX(Table92[[#This Row],[Archery Quotas]:[Speed Skating Quotas]]), Table92[[#This Row],[Archery Quotas]:[Speed Skating Quotas]], 0))," Quotas","")</f>
        <v>Freestyle Skiing</v>
      </c>
      <c r="BP28" s="6">
        <f>SUM(Table92[[#This Row],[Summer Sports]:[Winter Sports]])</f>
        <v>19</v>
      </c>
      <c r="BQ28" s="6">
        <f>COUNTIF(Table92[[#This Row],[Archery Quotas]:[Wrestling Quotas]],"&lt;&gt;0")</f>
        <v>16</v>
      </c>
      <c r="BR28" s="6">
        <f>COUNTIF(Table92[[#This Row],[Alpine Skiing Quotas]:[Speed Skating Quotas]],"&lt;&gt;0")</f>
        <v>3</v>
      </c>
      <c r="BS28" s="3" t="s">
        <v>475</v>
      </c>
    </row>
    <row r="29" spans="1:71" x14ac:dyDescent="0.3">
      <c r="A29" s="6" t="s">
        <v>348</v>
      </c>
      <c r="B29" t="e" vm="28">
        <f>IF(ISBLANK(Table92[[#This Row],[Flag Link]]), "", _xlfn.IMAGE(Table92[[#This Row],[Flag Link]],1,1))</f>
        <v>#VALUE!</v>
      </c>
      <c r="C29" s="6">
        <f>SUM(Table92[[#This Row],[Archery Quotas]:[Speed Skating Quotas]])</f>
        <v>45</v>
      </c>
      <c r="D29" s="6">
        <f>SUM(INDEX(Tabela1[[Archery - Men''s Individual Recurve]:[Archery - Mixed Team Recurve]],MATCH(Table92[[#This Row],[Country]],Tabela1[Country], 0),0))</f>
        <v>0</v>
      </c>
      <c r="E29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6</v>
      </c>
      <c r="F29" s="6">
        <f>SUM(INDEX(Tabela1[[Artistic Swimming - Women''s Duet]:[Artistic Swimming - Women''s Team]],MATCH(Table92[[#This Row],[Country]],Tabela1[Country], 0),0))</f>
        <v>0</v>
      </c>
      <c r="G29" s="6">
        <f>SUM(INDEX(Tabela1[[Athletics - Men''s 100m]:[Athletics - Women''s Heptathlon]],MATCH(Table92[[#This Row],[Country]],Tabela1[Country], 0),0))</f>
        <v>6</v>
      </c>
      <c r="H29" s="6">
        <f>SUM(INDEX(Tabela1[[Badminton - Men''s Singles]:[Badminton - Mixed Doubles]],MATCH(Table92[[#This Row],[Country]],Tabela1[Country], 0),0))</f>
        <v>0</v>
      </c>
      <c r="I29" s="6">
        <f>SUM(INDEX(Tabela1[[Basketball - Men''s Tournament]:[Basketball - Women''s Tournament]],MATCH(Table92[[#This Row],[Country]],Tabela1[Country], 0),0))</f>
        <v>0</v>
      </c>
      <c r="J29" s="6">
        <f>SUM(INDEX(Tabela1[[3x3 Basketball - Men''s Tournament]:[3x3 Basketball - Women''s Tournament]],MATCH(Table92[[#This Row],[Country]],Tabela1[Country], 0),0))</f>
        <v>0</v>
      </c>
      <c r="K29" s="6">
        <f>SUM(INDEX(Tabela1[[Beach Volleyball - Men''s Tournament]:[Beach Volleyball - Women''s Tournament]],MATCH(Table92[[#This Row],[Country]],Tabela1[Country], 0),0))</f>
        <v>0</v>
      </c>
      <c r="L29" s="6">
        <f>SUM(INDEX(Tabela1[[Boxing - Men''s 51kg]:[Boxing - Women''s 75kg]],MATCH(Table92[[#This Row],[Country]],Tabela1[Country], 0),0))</f>
        <v>0</v>
      </c>
      <c r="M29" s="6">
        <f>SUM(INDEX(Tabela1[[Breaking - Men''s Individual]:[Breaking - Women''s Individual]],MATCH(Table92[[#This Row],[Country]],Tabela1[Country], 0),0))</f>
        <v>0</v>
      </c>
      <c r="N29" s="6">
        <f>SUM(INDEX(Tabela1[[Canoeing - Men''s C1 Slalom]:[Canoeing - Women''s Kayak Cross Slalom]],MATCH(Table92[[#This Row],[Country]],Tabela1[Country], 0),0))</f>
        <v>0</v>
      </c>
      <c r="O29" s="6">
        <f>SUM(INDEX(Tabela1[[Canoeing - Women''s C1 200m]:[Canoeing - Women''s K4 500m]],MATCH(Table92[[#This Row],[Country]],Tabela1[Country], 0),0))</f>
        <v>0</v>
      </c>
      <c r="P29" s="6">
        <f>SUM(INDEX(Tabela1[[Cycling - Men''s BMX Freestyle]:[Cycling - Women''s BMX Freestyle]],MATCH(Table92[[#This Row],[Country]],Tabela1[Country], 0),0))</f>
        <v>0</v>
      </c>
      <c r="Q29" s="6">
        <f>SUM(INDEX(Tabela1[[Cycling - Men''s BMX Racing]:[Cycling - Women''s BMX Racing]],MATCH(Table92[[#This Row],[Country]],Tabela1[Country], 0),0))</f>
        <v>0</v>
      </c>
      <c r="R29" s="6">
        <f>SUM(INDEX(Tabela1[[Cycling - Men''s Cross-Country]:[Cycling - Women''s Cross-Country]],MATCH(Table92[[#This Row],[Country]],Tabela1[Country], 0),0))</f>
        <v>0</v>
      </c>
      <c r="S29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29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29" s="6">
        <f>SUM(INDEX(Tabela1[[Diving - Men''s Springboard]:[Diving - Women''s Synchronized Platform]],MATCH(Table92[[#This Row],[Country]],Tabela1[Country], 0),0))</f>
        <v>0</v>
      </c>
      <c r="V29" s="6">
        <f>SUM(INDEX(Tabela1[[Equestrian - Individual Dressage]:[Equestrian - Team Dressage]],MATCH(Table92[[#This Row],[Country]],Tabela1[Country], 0),0))</f>
        <v>0</v>
      </c>
      <c r="W29" s="6">
        <f>SUM(INDEX(Tabela1[[Equestrian - Individual Eventing]:[Equestrian - Team Eventing]],MATCH(Table92[[#This Row],[Country]],Tabela1[Country], 0),0))</f>
        <v>0</v>
      </c>
      <c r="X29" s="6">
        <f>SUM(INDEX(Tabela1[[Equestrian - Individual Jumping]:[Equestrian - Team Jumping]],MATCH(Table92[[#This Row],[Country]],Tabela1[Country], 0),0))</f>
        <v>0</v>
      </c>
      <c r="Y29" s="6">
        <f>SUM(INDEX(Tabela1[[Fencing - Men''s Épée]:[Fencing - Women''s Team Sabre]],MATCH(Table92[[#This Row],[Country]],Tabela1[Country], 0),0))</f>
        <v>1</v>
      </c>
      <c r="Z29" s="6">
        <f>SUM(INDEX(Tabela1[[Field Hockey - Men''s Tournament]:[Field Hockey - Women''s Tournament]],MATCH(Table92[[#This Row],[Country]],Tabela1[Country], 0),0))</f>
        <v>0</v>
      </c>
      <c r="AA29" s="6">
        <f>SUM(INDEX(Tabela1[[Football - Men''s Tournament]:[Football - Women''s Tournament]],MATCH(Table92[[#This Row],[Country]],Tabela1[Country], 0),0))</f>
        <v>0</v>
      </c>
      <c r="AB29" s="6">
        <f>SUM(INDEX(Tabela1[[Golf - Men''s Individual]:[Golf - Women''s Individual]],MATCH(Table92[[#This Row],[Country]],Tabela1[Country], 0),0))</f>
        <v>0</v>
      </c>
      <c r="AC29" s="6">
        <f>SUM(INDEX(Tabela1[[Handball - Men''s Tournament]:[Handball - Women''s Tournament]],MATCH(Table92[[#This Row],[Country]],Tabela1[Country], 0),0))</f>
        <v>0</v>
      </c>
      <c r="AD29" s="6">
        <f>SUM(INDEX(Tabela1[[Judo - Men''s 60kg]:[Judo - Mixed Team]],MATCH(Table92[[#This Row],[Country]],Tabela1[Country], 0),0))</f>
        <v>1</v>
      </c>
      <c r="AE29" s="6">
        <f>SUM(INDEX(Tabela1[[Swimming - Men''s 10km Open Water]:[Swimming - Women''s 10km Open Water]],MATCH(Table92[[#This Row],[Country]],Tabela1[Country], 0),0))</f>
        <v>0</v>
      </c>
      <c r="AF29" s="6">
        <f>SUM(INDEX(Tabela1[[Modern Pentathlon - Men''s Individual]:[Modern Pentathlon - Women''s Individual]],MATCH(Table92[[#This Row],[Country]],Tabela1[Country], 0),0))</f>
        <v>0</v>
      </c>
      <c r="AG29" s="6">
        <f>SUM(INDEX(Tabela1[[Rhythmic Gymnastics - Women''s Individual All-Around]:[Rhythmic Gymnastics - Women''s Group All-Around]],MATCH(Table92[[#This Row],[Country]],Tabela1[Country], 0),0))</f>
        <v>1</v>
      </c>
      <c r="AH29" s="6">
        <f>SUM(INDEX(Tabela1[[Rowing - Men''s Single Sculls]:[Rowing - Women''s Lwt. Double Sculls]],MATCH(Table92[[#This Row],[Country]],Tabela1[Country], 0),0))</f>
        <v>8</v>
      </c>
      <c r="AI29" s="6">
        <f>SUM(INDEX(Tabela1[[Rugby Sevens - Men''s Tournament]:[Rugby Sevens - Women''s Tournament]],MATCH(Table92[[#This Row],[Country]],Tabela1[Country], 0),0))</f>
        <v>0</v>
      </c>
      <c r="AJ29" s="6">
        <f>SUM(INDEX(Tabela1[[Sailing - Mixed 470]:[Sailing - Mixed Nacra 17]],MATCH(Table92[[#This Row],[Country]],Tabela1[Country], 0),0))</f>
        <v>0</v>
      </c>
      <c r="AK29" s="6">
        <f>SUM(INDEX(Tabela1[[Shooting - Men''s 10m Air Pistol]:[Shooting - Women''s Trap]],MATCH(Table92[[#This Row],[Country]],Tabela1[Country], 0),0))</f>
        <v>0</v>
      </c>
      <c r="AL29" s="6">
        <f>SUM(INDEX(Tabela1[[Skateboarding - Men''s Park]:[Skateboarding - Women''s Street]],MATCH(Table92[[#This Row],[Country]],Tabela1[Country], 0),0))</f>
        <v>0</v>
      </c>
      <c r="AM29" s="6">
        <f>SUM(INDEX(Tabela1[[Sport Climbing - Men''s Boulder and Lead]:[Sport Climbing - Women''s Speed]],MATCH(Table92[[#This Row],[Country]],Tabela1[Country], 0),0))</f>
        <v>0</v>
      </c>
      <c r="AN29" s="6">
        <f>SUM(INDEX(Tabela1[[Surfing - Men''s Shortboard]:[Surfing - Women''s Shortboard]],MATCH(Table92[[#This Row],[Country]],Tabela1[Country], 0),0))</f>
        <v>0</v>
      </c>
      <c r="AO29" s="6">
        <f>SUM(INDEX(Tabela1[[Swimming - Men''s 50m Freestyle]:[Swimming - Mixed 4x100m Medley Relay]],MATCH(Table92[[#This Row],[Country]],Tabela1[Country], 0),0))</f>
        <v>4</v>
      </c>
      <c r="AP29" s="6">
        <f>SUM(INDEX(Tabela1[[Table Tennis - Men''s Singles]:[Table Tennis - Mixed Doubles]],MATCH(Table92[[#This Row],[Country]],Tabela1[Country], 0),0))</f>
        <v>3</v>
      </c>
      <c r="AQ29" s="6">
        <f>SUM(INDEX(Tabela1[[Taekwondo - Men''s 58kg]:[Taekwondo - Women''s +67kg]],MATCH(Table92[[#This Row],[Country]],Tabela1[Country], 0),0))</f>
        <v>0</v>
      </c>
      <c r="AR29" s="6">
        <f>SUM(INDEX(Tabela1[[Tennis - Men''s Singles]:[Tennis - Mixed Doubles]],MATCH(Table92[[#This Row],[Country]],Tabela1[Country], 0),0))</f>
        <v>4</v>
      </c>
      <c r="AS29" s="6">
        <f>SUM(INDEX(Tabela1[[Gymnastics - Men''s Trampoline]:[Gymnastics - Women''s Trampoline]],MATCH(Table92[[#This Row],[Country]],Tabela1[Country], 0),0))</f>
        <v>0</v>
      </c>
      <c r="AT29" s="6">
        <f>SUM(INDEX(Tabela1[[Triathlon - Men''s Individual]:[Triathlon - Mixed Relay]],MATCH(Table92[[#This Row],[Country]],Tabela1[Country], 0),0))</f>
        <v>1</v>
      </c>
      <c r="AU29" s="6">
        <f>SUM(INDEX(Tabela1[[Volleyball - Men''s Tournament]:[Volleyball - Women''s Tournament]],MATCH(Table92[[#This Row],[Country]],Tabela1[Country], 0),0))</f>
        <v>0</v>
      </c>
      <c r="AV29" s="6">
        <f>SUM(INDEX(Tabela1[[Water Polo - Men''s Tournament]:[Water Polo - Women''s Tournament]],MATCH(Table92[[#This Row],[Country]],Tabela1[Country], 0),0))</f>
        <v>1</v>
      </c>
      <c r="AW29" s="6">
        <f>SUM(INDEX(Tabela1[[Weightlifting - Men''s 61kg]:[Weightlifting - Women''s +81kg]],MATCH(Table92[[#This Row],[Country]],Tabela1[Country], 0),0))</f>
        <v>1</v>
      </c>
      <c r="AX29" s="6">
        <f>SUM(INDEX(Tabela1[[Wrestling - Men''s Freestyle 57kg]:[Wrestling - Women''s Freestyle 76kg]],MATCH(Table92[[#This Row],[Country]],Tabela1[Country], 0),0))</f>
        <v>1</v>
      </c>
      <c r="AY29" s="6">
        <f>SUM(INDEX(Tabela1[[Alpine Skiing - Men''s Downhill]:[Alpine Skiing - Women''s Team Combined]],MATCH(Table92[[#This Row],[Country]],Tabela1[Country], 0),0))</f>
        <v>4</v>
      </c>
      <c r="AZ29" s="6">
        <f>SUM(INDEX(Tabela1[[Biathlon - Men''s Individual]:[Biathlon - Mixed Relay]],MATCH(Table92[[#This Row],[Country]],Tabela1[Country], 0),0))</f>
        <v>3</v>
      </c>
      <c r="BA29" s="6">
        <f>SUM(INDEX(Tabela1[[Bobsleigh - Women''s Monobob]:[Bobsleigh - Men''s Four]],MATCH(Table92[[#This Row],[Country]],Tabela1[Country], 0),0))</f>
        <v>0</v>
      </c>
      <c r="BB29" s="6">
        <f>SUM(INDEX(Tabela1[[Cross-country skiing - Men''s Classical]:[Cross-country skiing - Women''s Team Sprint]],MATCH(Table92[[#This Row],[Country]],Tabela1[Country], 0),0))</f>
        <v>0</v>
      </c>
      <c r="BC29" s="6">
        <f>SUM(INDEX(Tabela1[[Curling - Men''s Tournament]:[Curling - Mixed Doubles]],MATCH(Table92[[#This Row],[Country]],Tabela1[Country], 0),0))</f>
        <v>0</v>
      </c>
      <c r="BD29" s="6">
        <f>SUM(INDEX(Tabela1[[Figure Skating - Men''s Singles]:[Figure Skating - Team Event]],MATCH(Table92[[#This Row],[Country]],Tabela1[Country], 0),0))</f>
        <v>0</v>
      </c>
      <c r="BE29" s="6">
        <f>SUM(INDEX(Tabela1[[Freestyle Skiing - Men''s Aerials]:[Freestyle Skiing - Women''s Slopestyle]],MATCH(Table92[[#This Row],[Country]],Tabela1[Country], 0),0))</f>
        <v>0</v>
      </c>
      <c r="BF29" s="6">
        <f>SUM(INDEX(Tabela1[[Ice Hockey - Men''s Tournament]:[Ice Hockey - Women''s Tournament]],MATCH(Table92[[#This Row],[Country]],Tabela1[Country], 0),0))</f>
        <v>0</v>
      </c>
      <c r="BG29" s="6">
        <f>SUM(INDEX(Tabela1[[Luge - Men''s Singles]:[Luge - Mixed Team Relay]],MATCH(Table92[[#This Row],[Country]],Tabela1[Country], 0),0))</f>
        <v>0</v>
      </c>
      <c r="BH29" s="6">
        <f>SUM(INDEX(Tabela1[[Nordic Combined - Men''s Individual]:[Nordic Combined - Men''s Team Sprint Large Hill]],MATCH(Table92[[#This Row],[Country]],Tabela1[Country], 0),0))</f>
        <v>0</v>
      </c>
      <c r="BI29" s="6">
        <f>SUM(INDEX(Tabela1[[Short track speed skating - Men''s 500m]:[Short track speed skating - Mixed 2000m Relay]],MATCH(Table92[[#This Row],[Country]],Tabela1[Country], 0),0))</f>
        <v>0</v>
      </c>
      <c r="BJ29" s="6">
        <f>SUM(INDEX(Tabela1[[Skeleton - Men''s Individual]:[Skeleton - Mixed Team]],MATCH(Table92[[#This Row],[Country]],Tabela1[Country], 0),0))</f>
        <v>0</v>
      </c>
      <c r="BK29" s="6">
        <f>SUM(INDEX(Tabela1[[Ski Jumping - Men''s Individual Large Hill]:[Ski Jumping - Mixed Team Normal Hill]],MATCH(Table92[[#This Row],[Country]],Tabela1[Country], 0),0))</f>
        <v>0</v>
      </c>
      <c r="BL29" s="6">
        <f>SUM(INDEX(Tabela1[[Ski Mountaineering - Men''s Sprint]:[Ski Mountaineering - Mixed Relay]],MATCH(Table92[[#This Row],[Country]],Tabela1[Country], 0),0))</f>
        <v>0</v>
      </c>
      <c r="BM29" s="6">
        <f>SUM(INDEX(Tabela1[[Snowboarding - Men''s Big Air]:[Snowboarding - Mixed Team Snowboard Cross]],MATCH(Table92[[#This Row],[Country]],Tabela1[Country], 0),0))</f>
        <v>0</v>
      </c>
      <c r="BN29" s="6">
        <f>SUM(INDEX(Tabela1[[Speed Skating - Men''s 500m]:[Speed Skating - Women''s Team Pursuit]],MATCH(Table92[[#This Row],[Country]],Tabela1[Country], 0),0))</f>
        <v>0</v>
      </c>
      <c r="BO29" s="6" t="str">
        <f>SUBSTITUTE(INDEX(Table92[[#Headers],[Archery Quotas]:[Speed Skating Quotas]], MATCH(MAX(Table92[[#This Row],[Archery Quotas]:[Speed Skating Quotas]]), Table92[[#This Row],[Archery Quotas]:[Speed Skating Quotas]], 0))," Quotas","")</f>
        <v>Rowing</v>
      </c>
      <c r="BP29" s="6">
        <f>SUM(Table92[[#This Row],[Summer Sports]:[Winter Sports]])</f>
        <v>15</v>
      </c>
      <c r="BQ29" s="6">
        <f>COUNTIF(Table92[[#This Row],[Archery Quotas]:[Wrestling Quotas]],"&lt;&gt;0")</f>
        <v>13</v>
      </c>
      <c r="BR29" s="6">
        <f>COUNTIF(Table92[[#This Row],[Alpine Skiing Quotas]:[Speed Skating Quotas]],"&lt;&gt;0")</f>
        <v>2</v>
      </c>
      <c r="BS29" s="3" t="s">
        <v>349</v>
      </c>
    </row>
    <row r="30" spans="1:71" x14ac:dyDescent="0.3">
      <c r="A30" s="6" t="s">
        <v>366</v>
      </c>
      <c r="B30" t="e" vm="30">
        <f>IF(ISBLANK(Table92[[#This Row],[Flag Link]]), "", _xlfn.IMAGE(Table92[[#This Row],[Flag Link]],1,1))</f>
        <v>#VALUE!</v>
      </c>
      <c r="C30" s="6">
        <f>SUM(Table92[[#This Row],[Archery Quotas]:[Speed Skating Quotas]])</f>
        <v>42</v>
      </c>
      <c r="D30" s="6">
        <f>SUM(INDEX(Tabela1[[Archery - Men''s Individual Recurve]:[Archery - Mixed Team Recurve]],MATCH(Table92[[#This Row],[Country]],Tabela1[Country], 0),0))</f>
        <v>0</v>
      </c>
      <c r="E30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30" s="6">
        <f>SUM(INDEX(Tabela1[[Artistic Swimming - Women''s Duet]:[Artistic Swimming - Women''s Team]],MATCH(Table92[[#This Row],[Country]],Tabela1[Country], 0),0))</f>
        <v>0</v>
      </c>
      <c r="G30" s="6">
        <f>SUM(INDEX(Tabela1[[Athletics - Men''s 100m]:[Athletics - Women''s Heptathlon]],MATCH(Table92[[#This Row],[Country]],Tabela1[Country], 0),0))</f>
        <v>4</v>
      </c>
      <c r="H30" s="6">
        <f>SUM(INDEX(Tabela1[[Badminton - Men''s Singles]:[Badminton - Mixed Doubles]],MATCH(Table92[[#This Row],[Country]],Tabela1[Country], 0),0))</f>
        <v>0</v>
      </c>
      <c r="I30" s="6">
        <f>SUM(INDEX(Tabela1[[Basketball - Men''s Tournament]:[Basketball - Women''s Tournament]],MATCH(Table92[[#This Row],[Country]],Tabela1[Country], 0),0))</f>
        <v>0</v>
      </c>
      <c r="J30" s="6">
        <f>SUM(INDEX(Tabela1[[3x3 Basketball - Men''s Tournament]:[3x3 Basketball - Women''s Tournament]],MATCH(Table92[[#This Row],[Country]],Tabela1[Country], 0),0))</f>
        <v>0</v>
      </c>
      <c r="K30" s="6">
        <f>SUM(INDEX(Tabela1[[Beach Volleyball - Men''s Tournament]:[Beach Volleyball - Women''s Tournament]],MATCH(Table92[[#This Row],[Country]],Tabela1[Country], 0),0))</f>
        <v>1</v>
      </c>
      <c r="L30" s="6">
        <f>SUM(INDEX(Tabela1[[Boxing - Men''s 51kg]:[Boxing - Women''s 75kg]],MATCH(Table92[[#This Row],[Country]],Tabela1[Country], 0),0))</f>
        <v>0</v>
      </c>
      <c r="M30" s="6">
        <f>SUM(INDEX(Tabela1[[Breaking - Men''s Individual]:[Breaking - Women''s Individual]],MATCH(Table92[[#This Row],[Country]],Tabela1[Country], 0),0))</f>
        <v>0</v>
      </c>
      <c r="N30" s="6">
        <f>SUM(INDEX(Tabela1[[Canoeing - Men''s C1 Slalom]:[Canoeing - Women''s Kayak Cross Slalom]],MATCH(Table92[[#This Row],[Country]],Tabela1[Country], 0),0))</f>
        <v>0</v>
      </c>
      <c r="O30" s="6">
        <f>SUM(INDEX(Tabela1[[Canoeing - Women''s C1 200m]:[Canoeing - Women''s K4 500m]],MATCH(Table92[[#This Row],[Country]],Tabela1[Country], 0),0))</f>
        <v>2</v>
      </c>
      <c r="P30" s="6">
        <f>SUM(INDEX(Tabela1[[Cycling - Men''s BMX Freestyle]:[Cycling - Women''s BMX Freestyle]],MATCH(Table92[[#This Row],[Country]],Tabela1[Country], 0),0))</f>
        <v>1</v>
      </c>
      <c r="Q30" s="6">
        <f>SUM(INDEX(Tabela1[[Cycling - Men''s BMX Racing]:[Cycling - Women''s BMX Racing]],MATCH(Table92[[#This Row],[Country]],Tabela1[Country], 0),0))</f>
        <v>1</v>
      </c>
      <c r="R30" s="6">
        <f>SUM(INDEX(Tabela1[[Cycling - Men''s Cross-Country]:[Cycling - Women''s Cross-Country]],MATCH(Table92[[#This Row],[Country]],Tabela1[Country], 0),0))</f>
        <v>1</v>
      </c>
      <c r="S30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1</v>
      </c>
      <c r="T30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30" s="6">
        <f>SUM(INDEX(Tabela1[[Diving - Men''s Springboard]:[Diving - Women''s Synchronized Platform]],MATCH(Table92[[#This Row],[Country]],Tabela1[Country], 0),0))</f>
        <v>0</v>
      </c>
      <c r="V30" s="6">
        <f>SUM(INDEX(Tabela1[[Equestrian - Individual Dressage]:[Equestrian - Team Dressage]],MATCH(Table92[[#This Row],[Country]],Tabela1[Country], 0),0))</f>
        <v>0</v>
      </c>
      <c r="W30" s="6">
        <f>SUM(INDEX(Tabela1[[Equestrian - Individual Eventing]:[Equestrian - Team Eventing]],MATCH(Table92[[#This Row],[Country]],Tabela1[Country], 0),0))</f>
        <v>0</v>
      </c>
      <c r="X30" s="6">
        <f>SUM(INDEX(Tabela1[[Equestrian - Individual Jumping]:[Equestrian - Team Jumping]],MATCH(Table92[[#This Row],[Country]],Tabela1[Country], 0),0))</f>
        <v>1</v>
      </c>
      <c r="Y30" s="6">
        <f>SUM(INDEX(Tabela1[[Fencing - Men''s Épée]:[Fencing - Women''s Team Sabre]],MATCH(Table92[[#This Row],[Country]],Tabela1[Country], 0),0))</f>
        <v>1</v>
      </c>
      <c r="Z30" s="6">
        <f>SUM(INDEX(Tabela1[[Field Hockey - Men''s Tournament]:[Field Hockey - Women''s Tournament]],MATCH(Table92[[#This Row],[Country]],Tabela1[Country], 0),0))</f>
        <v>0</v>
      </c>
      <c r="AA30" s="6">
        <f>SUM(INDEX(Tabela1[[Football - Men''s Tournament]:[Football - Women''s Tournament]],MATCH(Table92[[#This Row],[Country]],Tabela1[Country], 0),0))</f>
        <v>0</v>
      </c>
      <c r="AB30" s="6">
        <f>SUM(INDEX(Tabela1[[Golf - Men''s Individual]:[Golf - Women''s Individual]],MATCH(Table92[[#This Row],[Country]],Tabela1[Country], 0),0))</f>
        <v>2</v>
      </c>
      <c r="AC30" s="6">
        <f>SUM(INDEX(Tabela1[[Handball - Men''s Tournament]:[Handball - Women''s Tournament]],MATCH(Table92[[#This Row],[Country]],Tabela1[Country], 0),0))</f>
        <v>0</v>
      </c>
      <c r="AD30" s="6">
        <f>SUM(INDEX(Tabela1[[Judo - Men''s 60kg]:[Judo - Mixed Team]],MATCH(Table92[[#This Row],[Country]],Tabela1[Country], 0),0))</f>
        <v>2</v>
      </c>
      <c r="AE30" s="6">
        <f>SUM(INDEX(Tabela1[[Swimming - Men''s 10km Open Water]:[Swimming - Women''s 10km Open Water]],MATCH(Table92[[#This Row],[Country]],Tabela1[Country], 0),0))</f>
        <v>0</v>
      </c>
      <c r="AF30" s="6">
        <f>SUM(INDEX(Tabela1[[Modern Pentathlon - Men''s Individual]:[Modern Pentathlon - Women''s Individual]],MATCH(Table92[[#This Row],[Country]],Tabela1[Country], 0),0))</f>
        <v>1</v>
      </c>
      <c r="AG30" s="6">
        <f>SUM(INDEX(Tabela1[[Rhythmic Gymnastics - Women''s Individual All-Around]:[Rhythmic Gymnastics - Women''s Group All-Around]],MATCH(Table92[[#This Row],[Country]],Tabela1[Country], 0),0))</f>
        <v>0</v>
      </c>
      <c r="AH30" s="6">
        <f>SUM(INDEX(Tabela1[[Rowing - Men''s Single Sculls]:[Rowing - Women''s Lwt. Double Sculls]],MATCH(Table92[[#This Row],[Country]],Tabela1[Country], 0),0))</f>
        <v>2</v>
      </c>
      <c r="AI30" s="6">
        <f>SUM(INDEX(Tabela1[[Rugby Sevens - Men''s Tournament]:[Rugby Sevens - Women''s Tournament]],MATCH(Table92[[#This Row],[Country]],Tabela1[Country], 0),0))</f>
        <v>0</v>
      </c>
      <c r="AJ30" s="6">
        <f>SUM(INDEX(Tabela1[[Sailing - Mixed 470]:[Sailing - Mixed Nacra 17]],MATCH(Table92[[#This Row],[Country]],Tabela1[Country], 0),0))</f>
        <v>1</v>
      </c>
      <c r="AK30" s="6">
        <f>SUM(INDEX(Tabela1[[Shooting - Men''s 10m Air Pistol]:[Shooting - Women''s Trap]],MATCH(Table92[[#This Row],[Country]],Tabela1[Country], 0),0))</f>
        <v>1</v>
      </c>
      <c r="AL30" s="6">
        <f>SUM(INDEX(Tabela1[[Skateboarding - Men''s Park]:[Skateboarding - Women''s Street]],MATCH(Table92[[#This Row],[Country]],Tabela1[Country], 0),0))</f>
        <v>0</v>
      </c>
      <c r="AM30" s="6">
        <f>SUM(INDEX(Tabela1[[Sport Climbing - Men''s Boulder and Lead]:[Sport Climbing - Women''s Speed]],MATCH(Table92[[#This Row],[Country]],Tabela1[Country], 0),0))</f>
        <v>0</v>
      </c>
      <c r="AN30" s="6">
        <f>SUM(INDEX(Tabela1[[Surfing - Men''s Shortboard]:[Surfing - Women''s Shortboard]],MATCH(Table92[[#This Row],[Country]],Tabela1[Country], 0),0))</f>
        <v>0</v>
      </c>
      <c r="AO30" s="6">
        <f>SUM(INDEX(Tabela1[[Swimming - Men''s 50m Freestyle]:[Swimming - Mixed 4x100m Medley Relay]],MATCH(Table92[[#This Row],[Country]],Tabela1[Country], 0),0))</f>
        <v>3</v>
      </c>
      <c r="AP30" s="6">
        <f>SUM(INDEX(Tabela1[[Table Tennis - Men''s Singles]:[Table Tennis - Mixed Doubles]],MATCH(Table92[[#This Row],[Country]],Tabela1[Country], 0),0))</f>
        <v>2</v>
      </c>
      <c r="AQ30" s="6">
        <f>SUM(INDEX(Tabela1[[Taekwondo - Men''s 58kg]:[Taekwondo - Women''s +67kg]],MATCH(Table92[[#This Row],[Country]],Tabela1[Country], 0),0))</f>
        <v>1</v>
      </c>
      <c r="AR30" s="6">
        <f>SUM(INDEX(Tabela1[[Tennis - Men''s Singles]:[Tennis - Mixed Doubles]],MATCH(Table92[[#This Row],[Country]],Tabela1[Country], 0),0))</f>
        <v>2</v>
      </c>
      <c r="AS30" s="6">
        <f>SUM(INDEX(Tabela1[[Gymnastics - Men''s Trampoline]:[Gymnastics - Women''s Trampoline]],MATCH(Table92[[#This Row],[Country]],Tabela1[Country], 0),0))</f>
        <v>0</v>
      </c>
      <c r="AT30" s="6">
        <f>SUM(INDEX(Tabela1[[Triathlon - Men''s Individual]:[Triathlon - Mixed Relay]],MATCH(Table92[[#This Row],[Country]],Tabela1[Country], 0),0))</f>
        <v>2</v>
      </c>
      <c r="AU30" s="6">
        <f>SUM(INDEX(Tabela1[[Volleyball - Men''s Tournament]:[Volleyball - Women''s Tournament]],MATCH(Table92[[#This Row],[Country]],Tabela1[Country], 0),0))</f>
        <v>0</v>
      </c>
      <c r="AV30" s="6">
        <f>SUM(INDEX(Tabela1[[Water Polo - Men''s Tournament]:[Water Polo - Women''s Tournament]],MATCH(Table92[[#This Row],[Country]],Tabela1[Country], 0),0))</f>
        <v>0</v>
      </c>
      <c r="AW30" s="6">
        <f>SUM(INDEX(Tabela1[[Weightlifting - Men''s 61kg]:[Weightlifting - Women''s +81kg]],MATCH(Table92[[#This Row],[Country]],Tabela1[Country], 0),0))</f>
        <v>0</v>
      </c>
      <c r="AX30" s="6">
        <f>SUM(INDEX(Tabela1[[Wrestling - Men''s Freestyle 57kg]:[Wrestling - Women''s Freestyle 76kg]],MATCH(Table92[[#This Row],[Country]],Tabela1[Country], 0),0))</f>
        <v>1</v>
      </c>
      <c r="AY30" s="6">
        <f>SUM(INDEX(Tabela1[[Alpine Skiing - Men''s Downhill]:[Alpine Skiing - Women''s Team Combined]],MATCH(Table92[[#This Row],[Country]],Tabela1[Country], 0),0))</f>
        <v>4</v>
      </c>
      <c r="AZ30" s="6">
        <f>SUM(INDEX(Tabela1[[Biathlon - Men''s Individual]:[Biathlon - Mixed Relay]],MATCH(Table92[[#This Row],[Country]],Tabela1[Country], 0),0))</f>
        <v>0</v>
      </c>
      <c r="BA30" s="6">
        <f>SUM(INDEX(Tabela1[[Bobsleigh - Women''s Monobob]:[Bobsleigh - Men''s Four]],MATCH(Table92[[#This Row],[Country]],Tabela1[Country], 0),0))</f>
        <v>0</v>
      </c>
      <c r="BB30" s="6">
        <f>SUM(INDEX(Tabela1[[Cross-country skiing - Men''s Classical]:[Cross-country skiing - Women''s Team Sprint]],MATCH(Table92[[#This Row],[Country]],Tabela1[Country], 0),0))</f>
        <v>4</v>
      </c>
      <c r="BC30" s="6">
        <f>SUM(INDEX(Tabela1[[Curling - Men''s Tournament]:[Curling - Mixed Doubles]],MATCH(Table92[[#This Row],[Country]],Tabela1[Country], 0),0))</f>
        <v>0</v>
      </c>
      <c r="BD30" s="6">
        <f>SUM(INDEX(Tabela1[[Figure Skating - Men''s Singles]:[Figure Skating - Team Event]],MATCH(Table92[[#This Row],[Country]],Tabela1[Country], 0),0))</f>
        <v>0</v>
      </c>
      <c r="BE30" s="6">
        <f>SUM(INDEX(Tabela1[[Freestyle Skiing - Men''s Aerials]:[Freestyle Skiing - Women''s Slopestyle]],MATCH(Table92[[#This Row],[Country]],Tabela1[Country], 0),0))</f>
        <v>1</v>
      </c>
      <c r="BF30" s="6">
        <f>SUM(INDEX(Tabela1[[Ice Hockey - Men''s Tournament]:[Ice Hockey - Women''s Tournament]],MATCH(Table92[[#This Row],[Country]],Tabela1[Country], 0),0))</f>
        <v>0</v>
      </c>
      <c r="BG30" s="6">
        <f>SUM(INDEX(Tabela1[[Luge - Men''s Singles]:[Luge - Mixed Team Relay]],MATCH(Table92[[#This Row],[Country]],Tabela1[Country], 0),0))</f>
        <v>0</v>
      </c>
      <c r="BH30" s="6">
        <f>SUM(INDEX(Tabela1[[Nordic Combined - Men''s Individual]:[Nordic Combined - Men''s Team Sprint Large Hill]],MATCH(Table92[[#This Row],[Country]],Tabela1[Country], 0),0))</f>
        <v>0</v>
      </c>
      <c r="BI30" s="6">
        <f>SUM(INDEX(Tabela1[[Short track speed skating - Men''s 500m]:[Short track speed skating - Mixed 2000m Relay]],MATCH(Table92[[#This Row],[Country]],Tabela1[Country], 0),0))</f>
        <v>0</v>
      </c>
      <c r="BJ30" s="6">
        <f>SUM(INDEX(Tabela1[[Skeleton - Men''s Individual]:[Skeleton - Mixed Team]],MATCH(Table92[[#This Row],[Country]],Tabela1[Country], 0),0))</f>
        <v>0</v>
      </c>
      <c r="BK30" s="6">
        <f>SUM(INDEX(Tabela1[[Ski Jumping - Men''s Individual Large Hill]:[Ski Jumping - Mixed Team Normal Hill]],MATCH(Table92[[#This Row],[Country]],Tabela1[Country], 0),0))</f>
        <v>0</v>
      </c>
      <c r="BL30" s="6">
        <f>SUM(INDEX(Tabela1[[Ski Mountaineering - Men''s Sprint]:[Ski Mountaineering - Mixed Relay]],MATCH(Table92[[#This Row],[Country]],Tabela1[Country], 0),0))</f>
        <v>0</v>
      </c>
      <c r="BM30" s="6">
        <f>SUM(INDEX(Tabela1[[Snowboarding - Men''s Big Air]:[Snowboarding - Mixed Team Snowboard Cross]],MATCH(Table92[[#This Row],[Country]],Tabela1[Country], 0),0))</f>
        <v>0</v>
      </c>
      <c r="BN30" s="6">
        <f>SUM(INDEX(Tabela1[[Speed Skating - Men''s 500m]:[Speed Skating - Women''s Team Pursuit]],MATCH(Table92[[#This Row],[Country]],Tabela1[Country], 0),0))</f>
        <v>0</v>
      </c>
      <c r="BO30" s="6" t="str">
        <f>SUBSTITUTE(INDEX(Table92[[#Headers],[Archery Quotas]:[Speed Skating Quotas]], MATCH(MAX(Table92[[#This Row],[Archery Quotas]:[Speed Skating Quotas]]), Table92[[#This Row],[Archery Quotas]:[Speed Skating Quotas]], 0))," Quotas","")</f>
        <v>Athletics</v>
      </c>
      <c r="BP30" s="6">
        <f>SUM(Table92[[#This Row],[Summer Sports]:[Winter Sports]])</f>
        <v>24</v>
      </c>
      <c r="BQ30" s="6">
        <f>COUNTIF(Table92[[#This Row],[Archery Quotas]:[Wrestling Quotas]],"&lt;&gt;0")</f>
        <v>21</v>
      </c>
      <c r="BR30" s="6">
        <f>COUNTIF(Table92[[#This Row],[Alpine Skiing Quotas]:[Speed Skating Quotas]],"&lt;&gt;0")</f>
        <v>3</v>
      </c>
      <c r="BS30" s="3" t="s">
        <v>367</v>
      </c>
    </row>
    <row r="31" spans="1:71" x14ac:dyDescent="0.3">
      <c r="A31" s="6" t="s">
        <v>598</v>
      </c>
      <c r="B31" t="e" vm="32">
        <f>IF(ISBLANK(Table92[[#This Row],[Flag Link]]), "", _xlfn.IMAGE(Table92[[#This Row],[Flag Link]],1,1))</f>
        <v>#VALUE!</v>
      </c>
      <c r="C31" s="6">
        <f>SUM(Table92[[#This Row],[Archery Quotas]:[Speed Skating Quotas]])</f>
        <v>42</v>
      </c>
      <c r="D31" s="6">
        <f>SUM(INDEX(Tabela1[[Archery - Men''s Individual Recurve]:[Archery - Mixed Team Recurve]],MATCH(Table92[[#This Row],[Country]],Tabela1[Country], 0),0))</f>
        <v>2</v>
      </c>
      <c r="E31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2</v>
      </c>
      <c r="F31" s="6">
        <f>SUM(INDEX(Tabela1[[Artistic Swimming - Women''s Duet]:[Artistic Swimming - Women''s Team]],MATCH(Table92[[#This Row],[Country]],Tabela1[Country], 0),0))</f>
        <v>0</v>
      </c>
      <c r="G31" s="6">
        <f>SUM(INDEX(Tabela1[[Athletics - Men''s 100m]:[Athletics - Women''s Heptathlon]],MATCH(Table92[[#This Row],[Country]],Tabela1[Country], 0),0))</f>
        <v>2</v>
      </c>
      <c r="H31" s="6">
        <f>SUM(INDEX(Tabela1[[Badminton - Men''s Singles]:[Badminton - Mixed Doubles]],MATCH(Table92[[#This Row],[Country]],Tabela1[Country], 0),0))</f>
        <v>0</v>
      </c>
      <c r="I31" s="6">
        <f>SUM(INDEX(Tabela1[[Basketball - Men''s Tournament]:[Basketball - Women''s Tournament]],MATCH(Table92[[#This Row],[Country]],Tabela1[Country], 0),0))</f>
        <v>0</v>
      </c>
      <c r="J31" s="6">
        <f>SUM(INDEX(Tabela1[[3x3 Basketball - Men''s Tournament]:[3x3 Basketball - Women''s Tournament]],MATCH(Table92[[#This Row],[Country]],Tabela1[Country], 0),0))</f>
        <v>0</v>
      </c>
      <c r="K31" s="6">
        <f>SUM(INDEX(Tabela1[[Beach Volleyball - Men''s Tournament]:[Beach Volleyball - Women''s Tournament]],MATCH(Table92[[#This Row],[Country]],Tabela1[Country], 0),0))</f>
        <v>0</v>
      </c>
      <c r="L31" s="6">
        <f>SUM(INDEX(Tabela1[[Boxing - Men''s 51kg]:[Boxing - Women''s 75kg]],MATCH(Table92[[#This Row],[Country]],Tabela1[Country], 0),0))</f>
        <v>0</v>
      </c>
      <c r="M31" s="6">
        <f>SUM(INDEX(Tabela1[[Breaking - Men''s Individual]:[Breaking - Women''s Individual]],MATCH(Table92[[#This Row],[Country]],Tabela1[Country], 0),0))</f>
        <v>0</v>
      </c>
      <c r="N31" s="6">
        <f>SUM(INDEX(Tabela1[[Canoeing - Men''s C1 Slalom]:[Canoeing - Women''s Kayak Cross Slalom]],MATCH(Table92[[#This Row],[Country]],Tabela1[Country], 0),0))</f>
        <v>0</v>
      </c>
      <c r="O31" s="6">
        <f>SUM(INDEX(Tabela1[[Canoeing - Women''s C1 200m]:[Canoeing - Women''s K4 500m]],MATCH(Table92[[#This Row],[Country]],Tabela1[Country], 0),0))</f>
        <v>0</v>
      </c>
      <c r="P31" s="6">
        <f>SUM(INDEX(Tabela1[[Cycling - Men''s BMX Freestyle]:[Cycling - Women''s BMX Freestyle]],MATCH(Table92[[#This Row],[Country]],Tabela1[Country], 0),0))</f>
        <v>0</v>
      </c>
      <c r="Q31" s="6">
        <f>SUM(INDEX(Tabela1[[Cycling - Men''s BMX Racing]:[Cycling - Women''s BMX Racing]],MATCH(Table92[[#This Row],[Country]],Tabela1[Country], 0),0))</f>
        <v>0</v>
      </c>
      <c r="R31" s="6">
        <f>SUM(INDEX(Tabela1[[Cycling - Men''s Cross-Country]:[Cycling - Women''s Cross-Country]],MATCH(Table92[[#This Row],[Country]],Tabela1[Country], 0),0))</f>
        <v>0</v>
      </c>
      <c r="S31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31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31" s="6">
        <f>SUM(INDEX(Tabela1[[Diving - Men''s Springboard]:[Diving - Women''s Synchronized Platform]],MATCH(Table92[[#This Row],[Country]],Tabela1[Country], 0),0))</f>
        <v>0</v>
      </c>
      <c r="V31" s="6">
        <f>SUM(INDEX(Tabela1[[Equestrian - Individual Dressage]:[Equestrian - Team Dressage]],MATCH(Table92[[#This Row],[Country]],Tabela1[Country], 0),0))</f>
        <v>0</v>
      </c>
      <c r="W31" s="6">
        <f>SUM(INDEX(Tabela1[[Equestrian - Individual Eventing]:[Equestrian - Team Eventing]],MATCH(Table92[[#This Row],[Country]],Tabela1[Country], 0),0))</f>
        <v>0</v>
      </c>
      <c r="X31" s="6">
        <f>SUM(INDEX(Tabela1[[Equestrian - Individual Jumping]:[Equestrian - Team Jumping]],MATCH(Table92[[#This Row],[Country]],Tabela1[Country], 0),0))</f>
        <v>2</v>
      </c>
      <c r="Y31" s="6">
        <f>SUM(INDEX(Tabela1[[Fencing - Men''s Épée]:[Fencing - Women''s Team Sabre]],MATCH(Table92[[#This Row],[Country]],Tabela1[Country], 0),0))</f>
        <v>1</v>
      </c>
      <c r="Z31" s="6">
        <f>SUM(INDEX(Tabela1[[Field Hockey - Men''s Tournament]:[Field Hockey - Women''s Tournament]],MATCH(Table92[[#This Row],[Country]],Tabela1[Country], 0),0))</f>
        <v>0</v>
      </c>
      <c r="AA31" s="6">
        <f>SUM(INDEX(Tabela1[[Football - Men''s Tournament]:[Football - Women''s Tournament]],MATCH(Table92[[#This Row],[Country]],Tabela1[Country], 0),0))</f>
        <v>1</v>
      </c>
      <c r="AB31" s="6">
        <f>SUM(INDEX(Tabela1[[Golf - Men''s Individual]:[Golf - Women''s Individual]],MATCH(Table92[[#This Row],[Country]],Tabela1[Country], 0),0))</f>
        <v>0</v>
      </c>
      <c r="AC31" s="6">
        <f>SUM(INDEX(Tabela1[[Handball - Men''s Tournament]:[Handball - Women''s Tournament]],MATCH(Table92[[#This Row],[Country]],Tabela1[Country], 0),0))</f>
        <v>0</v>
      </c>
      <c r="AD31" s="6">
        <f>SUM(INDEX(Tabela1[[Judo - Men''s 60kg]:[Judo - Mixed Team]],MATCH(Table92[[#This Row],[Country]],Tabela1[Country], 0),0))</f>
        <v>5</v>
      </c>
      <c r="AE31" s="6">
        <f>SUM(INDEX(Tabela1[[Swimming - Men''s 10km Open Water]:[Swimming - Women''s 10km Open Water]],MATCH(Table92[[#This Row],[Country]],Tabela1[Country], 0),0))</f>
        <v>1</v>
      </c>
      <c r="AF31" s="6">
        <f>SUM(INDEX(Tabela1[[Modern Pentathlon - Men''s Individual]:[Modern Pentathlon - Women''s Individual]],MATCH(Table92[[#This Row],[Country]],Tabela1[Country], 0),0))</f>
        <v>0</v>
      </c>
      <c r="AG31" s="6">
        <f>SUM(INDEX(Tabela1[[Rhythmic Gymnastics - Women''s Individual All-Around]:[Rhythmic Gymnastics - Women''s Group All-Around]],MATCH(Table92[[#This Row],[Country]],Tabela1[Country], 0),0))</f>
        <v>2</v>
      </c>
      <c r="AH31" s="6">
        <f>SUM(INDEX(Tabela1[[Rowing - Men''s Single Sculls]:[Rowing - Women''s Lwt. Double Sculls]],MATCH(Table92[[#This Row],[Country]],Tabela1[Country], 0),0))</f>
        <v>0</v>
      </c>
      <c r="AI31" s="6">
        <f>SUM(INDEX(Tabela1[[Rugby Sevens - Men''s Tournament]:[Rugby Sevens - Women''s Tournament]],MATCH(Table92[[#This Row],[Country]],Tabela1[Country], 0),0))</f>
        <v>0</v>
      </c>
      <c r="AJ31" s="6">
        <f>SUM(INDEX(Tabela1[[Sailing - Mixed 470]:[Sailing - Mixed Nacra 17]],MATCH(Table92[[#This Row],[Country]],Tabela1[Country], 0),0))</f>
        <v>3</v>
      </c>
      <c r="AK31" s="6">
        <f>SUM(INDEX(Tabela1[[Shooting - Men''s 10m Air Pistol]:[Shooting - Women''s Trap]],MATCH(Table92[[#This Row],[Country]],Tabela1[Country], 0),0))</f>
        <v>0</v>
      </c>
      <c r="AL31" s="6">
        <f>SUM(INDEX(Tabela1[[Skateboarding - Men''s Park]:[Skateboarding - Women''s Street]],MATCH(Table92[[#This Row],[Country]],Tabela1[Country], 0),0))</f>
        <v>0</v>
      </c>
      <c r="AM31" s="6">
        <f>SUM(INDEX(Tabela1[[Sport Climbing - Men''s Boulder and Lead]:[Sport Climbing - Women''s Speed]],MATCH(Table92[[#This Row],[Country]],Tabela1[Country], 0),0))</f>
        <v>0</v>
      </c>
      <c r="AN31" s="6">
        <f>SUM(INDEX(Tabela1[[Surfing - Men''s Shortboard]:[Surfing - Women''s Shortboard]],MATCH(Table92[[#This Row],[Country]],Tabela1[Country], 0),0))</f>
        <v>1</v>
      </c>
      <c r="AO31" s="6">
        <f>SUM(INDEX(Tabela1[[Swimming - Men''s 50m Freestyle]:[Swimming - Mixed 4x100m Medley Relay]],MATCH(Table92[[#This Row],[Country]],Tabela1[Country], 0),0))</f>
        <v>16</v>
      </c>
      <c r="AP31" s="6">
        <f>SUM(INDEX(Tabela1[[Table Tennis - Men''s Singles]:[Table Tennis - Mixed Doubles]],MATCH(Table92[[#This Row],[Country]],Tabela1[Country], 0),0))</f>
        <v>0</v>
      </c>
      <c r="AQ31" s="6">
        <f>SUM(INDEX(Tabela1[[Taekwondo - Men''s 58kg]:[Taekwondo - Women''s +67kg]],MATCH(Table92[[#This Row],[Country]],Tabela1[Country], 0),0))</f>
        <v>0</v>
      </c>
      <c r="AR31" s="6">
        <f>SUM(INDEX(Tabela1[[Tennis - Men''s Singles]:[Tennis - Mixed Doubles]],MATCH(Table92[[#This Row],[Country]],Tabela1[Country], 0),0))</f>
        <v>0</v>
      </c>
      <c r="AS31" s="6">
        <f>SUM(INDEX(Tabela1[[Gymnastics - Men''s Trampoline]:[Gymnastics - Women''s Trampoline]],MATCH(Table92[[#This Row],[Country]],Tabela1[Country], 0),0))</f>
        <v>0</v>
      </c>
      <c r="AT31" s="6">
        <f>SUM(INDEX(Tabela1[[Triathlon - Men''s Individual]:[Triathlon - Mixed Relay]],MATCH(Table92[[#This Row],[Country]],Tabela1[Country], 0),0))</f>
        <v>1</v>
      </c>
      <c r="AU31" s="6">
        <f>SUM(INDEX(Tabela1[[Volleyball - Men''s Tournament]:[Volleyball - Women''s Tournament]],MATCH(Table92[[#This Row],[Country]],Tabela1[Country], 0),0))</f>
        <v>0</v>
      </c>
      <c r="AV31" s="6">
        <f>SUM(INDEX(Tabela1[[Water Polo - Men''s Tournament]:[Water Polo - Women''s Tournament]],MATCH(Table92[[#This Row],[Country]],Tabela1[Country], 0),0))</f>
        <v>0</v>
      </c>
      <c r="AW31" s="6">
        <f>SUM(INDEX(Tabela1[[Weightlifting - Men''s 61kg]:[Weightlifting - Women''s +81kg]],MATCH(Table92[[#This Row],[Country]],Tabela1[Country], 0),0))</f>
        <v>0</v>
      </c>
      <c r="AX31" s="6">
        <f>SUM(INDEX(Tabela1[[Wrestling - Men''s Freestyle 57kg]:[Wrestling - Women''s Freestyle 76kg]],MATCH(Table92[[#This Row],[Country]],Tabela1[Country], 0),0))</f>
        <v>0</v>
      </c>
      <c r="AY31" s="6">
        <f>SUM(INDEX(Tabela1[[Alpine Skiing - Men''s Downhill]:[Alpine Skiing - Women''s Team Combined]],MATCH(Table92[[#This Row],[Country]],Tabela1[Country], 0),0))</f>
        <v>0</v>
      </c>
      <c r="AZ31" s="6">
        <f>SUM(INDEX(Tabela1[[Biathlon - Men''s Individual]:[Biathlon - Mixed Relay]],MATCH(Table92[[#This Row],[Country]],Tabela1[Country], 0),0))</f>
        <v>0</v>
      </c>
      <c r="BA31" s="6">
        <f>SUM(INDEX(Tabela1[[Bobsleigh - Women''s Monobob]:[Bobsleigh - Men''s Four]],MATCH(Table92[[#This Row],[Country]],Tabela1[Country], 0),0))</f>
        <v>2</v>
      </c>
      <c r="BB31" s="6">
        <f>SUM(INDEX(Tabela1[[Cross-country skiing - Men''s Classical]:[Cross-country skiing - Women''s Team Sprint]],MATCH(Table92[[#This Row],[Country]],Tabela1[Country], 0),0))</f>
        <v>0</v>
      </c>
      <c r="BC31" s="6">
        <f>SUM(INDEX(Tabela1[[Curling - Men''s Tournament]:[Curling - Mixed Doubles]],MATCH(Table92[[#This Row],[Country]],Tabela1[Country], 0),0))</f>
        <v>0</v>
      </c>
      <c r="BD31" s="6">
        <f>SUM(INDEX(Tabela1[[Figure Skating - Men''s Singles]:[Figure Skating - Team Event]],MATCH(Table92[[#This Row],[Country]],Tabela1[Country], 0),0))</f>
        <v>0</v>
      </c>
      <c r="BE31" s="6">
        <f>SUM(INDEX(Tabela1[[Freestyle Skiing - Men''s Aerials]:[Freestyle Skiing - Women''s Slopestyle]],MATCH(Table92[[#This Row],[Country]],Tabela1[Country], 0),0))</f>
        <v>0</v>
      </c>
      <c r="BF31" s="6">
        <f>SUM(INDEX(Tabela1[[Ice Hockey - Men''s Tournament]:[Ice Hockey - Women''s Tournament]],MATCH(Table92[[#This Row],[Country]],Tabela1[Country], 0),0))</f>
        <v>0</v>
      </c>
      <c r="BG31" s="6">
        <f>SUM(INDEX(Tabela1[[Luge - Men''s Singles]:[Luge - Mixed Team Relay]],MATCH(Table92[[#This Row],[Country]],Tabela1[Country], 0),0))</f>
        <v>0</v>
      </c>
      <c r="BH31" s="6">
        <f>SUM(INDEX(Tabela1[[Nordic Combined - Men''s Individual]:[Nordic Combined - Men''s Team Sprint Large Hill]],MATCH(Table92[[#This Row],[Country]],Tabela1[Country], 0),0))</f>
        <v>0</v>
      </c>
      <c r="BI31" s="6">
        <f>SUM(INDEX(Tabela1[[Short track speed skating - Men''s 500m]:[Short track speed skating - Mixed 2000m Relay]],MATCH(Table92[[#This Row],[Country]],Tabela1[Country], 0),0))</f>
        <v>0</v>
      </c>
      <c r="BJ31" s="6">
        <f>SUM(INDEX(Tabela1[[Skeleton - Men''s Individual]:[Skeleton - Mixed Team]],MATCH(Table92[[#This Row],[Country]],Tabela1[Country], 0),0))</f>
        <v>1</v>
      </c>
      <c r="BK31" s="6">
        <f>SUM(INDEX(Tabela1[[Ski Jumping - Men''s Individual Large Hill]:[Ski Jumping - Mixed Team Normal Hill]],MATCH(Table92[[#This Row],[Country]],Tabela1[Country], 0),0))</f>
        <v>0</v>
      </c>
      <c r="BL31" s="6">
        <f>SUM(INDEX(Tabela1[[Ski Mountaineering - Men''s Sprint]:[Ski Mountaineering - Mixed Relay]],MATCH(Table92[[#This Row],[Country]],Tabela1[Country], 0),0))</f>
        <v>0</v>
      </c>
      <c r="BM31" s="6">
        <f>SUM(INDEX(Tabela1[[Snowboarding - Men''s Big Air]:[Snowboarding - Mixed Team Snowboard Cross]],MATCH(Table92[[#This Row],[Country]],Tabela1[Country], 0),0))</f>
        <v>0</v>
      </c>
      <c r="BN31" s="6">
        <f>SUM(INDEX(Tabela1[[Speed Skating - Men''s 500m]:[Speed Skating - Women''s Team Pursuit]],MATCH(Table92[[#This Row],[Country]],Tabela1[Country], 0),0))</f>
        <v>0</v>
      </c>
      <c r="BO31" s="6" t="str">
        <f>SUBSTITUTE(INDEX(Table92[[#Headers],[Archery Quotas]:[Speed Skating Quotas]], MATCH(MAX(Table92[[#This Row],[Archery Quotas]:[Speed Skating Quotas]]), Table92[[#This Row],[Archery Quotas]:[Speed Skating Quotas]], 0))," Quotas","")</f>
        <v>Swimming</v>
      </c>
      <c r="BP31" s="6">
        <f>SUM(Table92[[#This Row],[Summer Sports]:[Winter Sports]])</f>
        <v>15</v>
      </c>
      <c r="BQ31" s="6">
        <f>COUNTIF(Table92[[#This Row],[Archery Quotas]:[Wrestling Quotas]],"&lt;&gt;0")</f>
        <v>13</v>
      </c>
      <c r="BR31" s="6">
        <f>COUNTIF(Table92[[#This Row],[Alpine Skiing Quotas]:[Speed Skating Quotas]],"&lt;&gt;0")</f>
        <v>2</v>
      </c>
      <c r="BS31" s="4" t="s">
        <v>599</v>
      </c>
    </row>
    <row r="32" spans="1:71" x14ac:dyDescent="0.3">
      <c r="A32" s="6" t="s">
        <v>408</v>
      </c>
      <c r="B32" t="e" vm="29">
        <f>IF(ISBLANK(Table92[[#This Row],[Flag Link]]), "", _xlfn.IMAGE(Table92[[#This Row],[Flag Link]],1,1))</f>
        <v>#VALUE!</v>
      </c>
      <c r="C32" s="6">
        <f>SUM(Table92[[#This Row],[Archery Quotas]:[Speed Skating Quotas]])</f>
        <v>42</v>
      </c>
      <c r="D32" s="6">
        <f>SUM(INDEX(Tabela1[[Archery - Men''s Individual Recurve]:[Archery - Mixed Team Recurve]],MATCH(Table92[[#This Row],[Country]],Tabela1[Country], 0),0))</f>
        <v>0</v>
      </c>
      <c r="E32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32" s="6">
        <f>SUM(INDEX(Tabela1[[Artistic Swimming - Women''s Duet]:[Artistic Swimming - Women''s Team]],MATCH(Table92[[#This Row],[Country]],Tabela1[Country], 0),0))</f>
        <v>0</v>
      </c>
      <c r="G32" s="6">
        <f>SUM(INDEX(Tabela1[[Athletics - Men''s 100m]:[Athletics - Women''s Heptathlon]],MATCH(Table92[[#This Row],[Country]],Tabela1[Country], 0),0))</f>
        <v>4</v>
      </c>
      <c r="H32" s="6">
        <f>SUM(INDEX(Tabela1[[Badminton - Men''s Singles]:[Badminton - Mixed Doubles]],MATCH(Table92[[#This Row],[Country]],Tabela1[Country], 0),0))</f>
        <v>0</v>
      </c>
      <c r="I32" s="6">
        <f>SUM(INDEX(Tabela1[[Basketball - Men''s Tournament]:[Basketball - Women''s Tournament]],MATCH(Table92[[#This Row],[Country]],Tabela1[Country], 0),0))</f>
        <v>0</v>
      </c>
      <c r="J32" s="6">
        <f>SUM(INDEX(Tabela1[[3x3 Basketball - Men''s Tournament]:[3x3 Basketball - Women''s Tournament]],MATCH(Table92[[#This Row],[Country]],Tabela1[Country], 0),0))</f>
        <v>0</v>
      </c>
      <c r="K32" s="6">
        <f>SUM(INDEX(Tabela1[[Beach Volleyball - Men''s Tournament]:[Beach Volleyball - Women''s Tournament]],MATCH(Table92[[#This Row],[Country]],Tabela1[Country], 0),0))</f>
        <v>0</v>
      </c>
      <c r="L32" s="6">
        <f>SUM(INDEX(Tabela1[[Boxing - Men''s 51kg]:[Boxing - Women''s 75kg]],MATCH(Table92[[#This Row],[Country]],Tabela1[Country], 0),0))</f>
        <v>1</v>
      </c>
      <c r="M32" s="6">
        <f>SUM(INDEX(Tabela1[[Breaking - Men''s Individual]:[Breaking - Women''s Individual]],MATCH(Table92[[#This Row],[Country]],Tabela1[Country], 0),0))</f>
        <v>0</v>
      </c>
      <c r="N32" s="6">
        <f>SUM(INDEX(Tabela1[[Canoeing - Men''s C1 Slalom]:[Canoeing - Women''s Kayak Cross Slalom]],MATCH(Table92[[#This Row],[Country]],Tabela1[Country], 0),0))</f>
        <v>6</v>
      </c>
      <c r="O32" s="6">
        <f>SUM(INDEX(Tabela1[[Canoeing - Women''s C1 200m]:[Canoeing - Women''s K4 500m]],MATCH(Table92[[#This Row],[Country]],Tabela1[Country], 0),0))</f>
        <v>0</v>
      </c>
      <c r="P32" s="6">
        <f>SUM(INDEX(Tabela1[[Cycling - Men''s BMX Freestyle]:[Cycling - Women''s BMX Freestyle]],MATCH(Table92[[#This Row],[Country]],Tabela1[Country], 0),0))</f>
        <v>0</v>
      </c>
      <c r="Q32" s="6">
        <f>SUM(INDEX(Tabela1[[Cycling - Men''s BMX Racing]:[Cycling - Women''s BMX Racing]],MATCH(Table92[[#This Row],[Country]],Tabela1[Country], 0),0))</f>
        <v>0</v>
      </c>
      <c r="R32" s="6">
        <f>SUM(INDEX(Tabela1[[Cycling - Men''s Cross-Country]:[Cycling - Women''s Cross-Country]],MATCH(Table92[[#This Row],[Country]],Tabela1[Country], 0),0))</f>
        <v>0</v>
      </c>
      <c r="S32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2</v>
      </c>
      <c r="T32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32" s="6">
        <f>SUM(INDEX(Tabela1[[Diving - Men''s Springboard]:[Diving - Women''s Synchronized Platform]],MATCH(Table92[[#This Row],[Country]],Tabela1[Country], 0),0))</f>
        <v>0</v>
      </c>
      <c r="V32" s="6">
        <f>SUM(INDEX(Tabela1[[Equestrian - Individual Dressage]:[Equestrian - Team Dressage]],MATCH(Table92[[#This Row],[Country]],Tabela1[Country], 0),0))</f>
        <v>0</v>
      </c>
      <c r="W32" s="6">
        <f>SUM(INDEX(Tabela1[[Equestrian - Individual Eventing]:[Equestrian - Team Eventing]],MATCH(Table92[[#This Row],[Country]],Tabela1[Country], 0),0))</f>
        <v>0</v>
      </c>
      <c r="X32" s="6">
        <f>SUM(INDEX(Tabela1[[Equestrian - Individual Jumping]:[Equestrian - Team Jumping]],MATCH(Table92[[#This Row],[Country]],Tabela1[Country], 0),0))</f>
        <v>0</v>
      </c>
      <c r="Y32" s="6">
        <f>SUM(INDEX(Tabela1[[Fencing - Men''s Épée]:[Fencing - Women''s Team Sabre]],MATCH(Table92[[#This Row],[Country]],Tabela1[Country], 0),0))</f>
        <v>0</v>
      </c>
      <c r="Z32" s="6">
        <f>SUM(INDEX(Tabela1[[Field Hockey - Men''s Tournament]:[Field Hockey - Women''s Tournament]],MATCH(Table92[[#This Row],[Country]],Tabela1[Country], 0),0))</f>
        <v>0</v>
      </c>
      <c r="AA32" s="6">
        <f>SUM(INDEX(Tabela1[[Football - Men''s Tournament]:[Football - Women''s Tournament]],MATCH(Table92[[#This Row],[Country]],Tabela1[Country], 0),0))</f>
        <v>0</v>
      </c>
      <c r="AB32" s="6">
        <f>SUM(INDEX(Tabela1[[Golf - Men''s Individual]:[Golf - Women''s Individual]],MATCH(Table92[[#This Row],[Country]],Tabela1[Country], 0),0))</f>
        <v>0</v>
      </c>
      <c r="AC32" s="6">
        <f>SUM(INDEX(Tabela1[[Handball - Men''s Tournament]:[Handball - Women''s Tournament]],MATCH(Table92[[#This Row],[Country]],Tabela1[Country], 0),0))</f>
        <v>0</v>
      </c>
      <c r="AD32" s="6">
        <f>SUM(INDEX(Tabela1[[Judo - Men''s 60kg]:[Judo - Mixed Team]],MATCH(Table92[[#This Row],[Country]],Tabela1[Country], 0),0))</f>
        <v>1</v>
      </c>
      <c r="AE32" s="6">
        <f>SUM(INDEX(Tabela1[[Swimming - Men''s 10km Open Water]:[Swimming - Women''s 10km Open Water]],MATCH(Table92[[#This Row],[Country]],Tabela1[Country], 0),0))</f>
        <v>0</v>
      </c>
      <c r="AF32" s="6">
        <f>SUM(INDEX(Tabela1[[Modern Pentathlon - Men''s Individual]:[Modern Pentathlon - Women''s Individual]],MATCH(Table92[[#This Row],[Country]],Tabela1[Country], 0),0))</f>
        <v>0</v>
      </c>
      <c r="AG32" s="6">
        <f>SUM(INDEX(Tabela1[[Rhythmic Gymnastics - Women''s Individual All-Around]:[Rhythmic Gymnastics - Women''s Group All-Around]],MATCH(Table92[[#This Row],[Country]],Tabela1[Country], 0),0))</f>
        <v>0</v>
      </c>
      <c r="AH32" s="6">
        <f>SUM(INDEX(Tabela1[[Rowing - Men''s Single Sculls]:[Rowing - Women''s Lwt. Double Sculls]],MATCH(Table92[[#This Row],[Country]],Tabela1[Country], 0),0))</f>
        <v>0</v>
      </c>
      <c r="AI32" s="6">
        <f>SUM(INDEX(Tabela1[[Rugby Sevens - Men''s Tournament]:[Rugby Sevens - Women''s Tournament]],MATCH(Table92[[#This Row],[Country]],Tabela1[Country], 0),0))</f>
        <v>0</v>
      </c>
      <c r="AJ32" s="6">
        <f>SUM(INDEX(Tabela1[[Sailing - Mixed 470]:[Sailing - Mixed Nacra 17]],MATCH(Table92[[#This Row],[Country]],Tabela1[Country], 0),0))</f>
        <v>1</v>
      </c>
      <c r="AK32" s="6">
        <f>SUM(INDEX(Tabela1[[Shooting - Men''s 10m Air Pistol]:[Shooting - Women''s Trap]],MATCH(Table92[[#This Row],[Country]],Tabela1[Country], 0),0))</f>
        <v>1</v>
      </c>
      <c r="AL32" s="6">
        <f>SUM(INDEX(Tabela1[[Skateboarding - Men''s Park]:[Skateboarding - Women''s Street]],MATCH(Table92[[#This Row],[Country]],Tabela1[Country], 0),0))</f>
        <v>1</v>
      </c>
      <c r="AM32" s="6">
        <f>SUM(INDEX(Tabela1[[Sport Climbing - Men''s Boulder and Lead]:[Sport Climbing - Women''s Speed]],MATCH(Table92[[#This Row],[Country]],Tabela1[Country], 0),0))</f>
        <v>0</v>
      </c>
      <c r="AN32" s="6">
        <f>SUM(INDEX(Tabela1[[Surfing - Men''s Shortboard]:[Surfing - Women''s Shortboard]],MATCH(Table92[[#This Row],[Country]],Tabela1[Country], 0),0))</f>
        <v>0</v>
      </c>
      <c r="AO32" s="6">
        <f>SUM(INDEX(Tabela1[[Swimming - Men''s 50m Freestyle]:[Swimming - Mixed 4x100m Medley Relay]],MATCH(Table92[[#This Row],[Country]],Tabela1[Country], 0),0))</f>
        <v>0</v>
      </c>
      <c r="AP32" s="6">
        <f>SUM(INDEX(Tabela1[[Table Tennis - Men''s Singles]:[Table Tennis - Mixed Doubles]],MATCH(Table92[[#This Row],[Country]],Tabela1[Country], 0),0))</f>
        <v>1</v>
      </c>
      <c r="AQ32" s="6">
        <f>SUM(INDEX(Tabela1[[Taekwondo - Men''s 58kg]:[Taekwondo - Women''s +67kg]],MATCH(Table92[[#This Row],[Country]],Tabela1[Country], 0),0))</f>
        <v>0</v>
      </c>
      <c r="AR32" s="6">
        <f>SUM(INDEX(Tabela1[[Tennis - Men''s Singles]:[Tennis - Mixed Doubles]],MATCH(Table92[[#This Row],[Country]],Tabela1[Country], 0),0))</f>
        <v>1</v>
      </c>
      <c r="AS32" s="6">
        <f>SUM(INDEX(Tabela1[[Gymnastics - Men''s Trampoline]:[Gymnastics - Women''s Trampoline]],MATCH(Table92[[#This Row],[Country]],Tabela1[Country], 0),0))</f>
        <v>0</v>
      </c>
      <c r="AT32" s="6">
        <f>SUM(INDEX(Tabela1[[Triathlon - Men''s Individual]:[Triathlon - Mixed Relay]],MATCH(Table92[[#This Row],[Country]],Tabela1[Country], 0),0))</f>
        <v>0</v>
      </c>
      <c r="AU32" s="6">
        <f>SUM(INDEX(Tabela1[[Volleyball - Men''s Tournament]:[Volleyball - Women''s Tournament]],MATCH(Table92[[#This Row],[Country]],Tabela1[Country], 0),0))</f>
        <v>0</v>
      </c>
      <c r="AV32" s="6">
        <f>SUM(INDEX(Tabela1[[Water Polo - Men''s Tournament]:[Water Polo - Women''s Tournament]],MATCH(Table92[[#This Row],[Country]],Tabela1[Country], 0),0))</f>
        <v>0</v>
      </c>
      <c r="AW32" s="6">
        <f>SUM(INDEX(Tabela1[[Weightlifting - Men''s 61kg]:[Weightlifting - Women''s +81kg]],MATCH(Table92[[#This Row],[Country]],Tabela1[Country], 0),0))</f>
        <v>0</v>
      </c>
      <c r="AX32" s="6">
        <f>SUM(INDEX(Tabela1[[Wrestling - Men''s Freestyle 57kg]:[Wrestling - Women''s Freestyle 76kg]],MATCH(Table92[[#This Row],[Country]],Tabela1[Country], 0),0))</f>
        <v>0</v>
      </c>
      <c r="AY32" s="6">
        <f>SUM(INDEX(Tabela1[[Alpine Skiing - Men''s Downhill]:[Alpine Skiing - Women''s Team Combined]],MATCH(Table92[[#This Row],[Country]],Tabela1[Country], 0),0))</f>
        <v>3</v>
      </c>
      <c r="AZ32" s="6">
        <f>SUM(INDEX(Tabela1[[Biathlon - Men''s Individual]:[Biathlon - Mixed Relay]],MATCH(Table92[[#This Row],[Country]],Tabela1[Country], 0),0))</f>
        <v>7</v>
      </c>
      <c r="BA32" s="6">
        <f>SUM(INDEX(Tabela1[[Bobsleigh - Women''s Monobob]:[Bobsleigh - Men''s Four]],MATCH(Table92[[#This Row],[Country]],Tabela1[Country], 0),0))</f>
        <v>1</v>
      </c>
      <c r="BB32" s="6">
        <f>SUM(INDEX(Tabela1[[Cross-country skiing - Men''s Classical]:[Cross-country skiing - Women''s Team Sprint]],MATCH(Table92[[#This Row],[Country]],Tabela1[Country], 0),0))</f>
        <v>5</v>
      </c>
      <c r="BC32" s="6">
        <f>SUM(INDEX(Tabela1[[Curling - Men''s Tournament]:[Curling - Mixed Doubles]],MATCH(Table92[[#This Row],[Country]],Tabela1[Country], 0),0))</f>
        <v>0</v>
      </c>
      <c r="BD32" s="6">
        <f>SUM(INDEX(Tabela1[[Figure Skating - Men''s Singles]:[Figure Skating - Team Event]],MATCH(Table92[[#This Row],[Country]],Tabela1[Country], 0),0))</f>
        <v>0</v>
      </c>
      <c r="BE32" s="6">
        <f>SUM(INDEX(Tabela1[[Freestyle Skiing - Men''s Aerials]:[Freestyle Skiing - Women''s Slopestyle]],MATCH(Table92[[#This Row],[Country]],Tabela1[Country], 0),0))</f>
        <v>0</v>
      </c>
      <c r="BF32" s="6">
        <f>SUM(INDEX(Tabela1[[Ice Hockey - Men''s Tournament]:[Ice Hockey - Women''s Tournament]],MATCH(Table92[[#This Row],[Country]],Tabela1[Country], 0),0))</f>
        <v>1</v>
      </c>
      <c r="BG32" s="6">
        <f>SUM(INDEX(Tabela1[[Luge - Men''s Singles]:[Luge - Mixed Team Relay]],MATCH(Table92[[#This Row],[Country]],Tabela1[Country], 0),0))</f>
        <v>3</v>
      </c>
      <c r="BH32" s="6">
        <f>SUM(INDEX(Tabela1[[Nordic Combined - Men''s Individual]:[Nordic Combined - Men''s Team Sprint Large Hill]],MATCH(Table92[[#This Row],[Country]],Tabela1[Country], 0),0))</f>
        <v>0</v>
      </c>
      <c r="BI32" s="6">
        <f>SUM(INDEX(Tabela1[[Short track speed skating - Men''s 500m]:[Short track speed skating - Mixed 2000m Relay]],MATCH(Table92[[#This Row],[Country]],Tabela1[Country], 0),0))</f>
        <v>0</v>
      </c>
      <c r="BJ32" s="6">
        <f>SUM(INDEX(Tabela1[[Skeleton - Men''s Individual]:[Skeleton - Mixed Team]],MATCH(Table92[[#This Row],[Country]],Tabela1[Country], 0),0))</f>
        <v>0</v>
      </c>
      <c r="BK32" s="6">
        <f>SUM(INDEX(Tabela1[[Ski Jumping - Men''s Individual Large Hill]:[Ski Jumping - Mixed Team Normal Hill]],MATCH(Table92[[#This Row],[Country]],Tabela1[Country], 0),0))</f>
        <v>0</v>
      </c>
      <c r="BL32" s="6">
        <f>SUM(INDEX(Tabela1[[Ski Mountaineering - Men''s Sprint]:[Ski Mountaineering - Mixed Relay]],MATCH(Table92[[#This Row],[Country]],Tabela1[Country], 0),0))</f>
        <v>3</v>
      </c>
      <c r="BM32" s="6">
        <f>SUM(INDEX(Tabela1[[Snowboarding - Men''s Big Air]:[Snowboarding - Mixed Team Snowboard Cross]],MATCH(Table92[[#This Row],[Country]],Tabela1[Country], 0),0))</f>
        <v>0</v>
      </c>
      <c r="BN32" s="6">
        <f>SUM(INDEX(Tabela1[[Speed Skating - Men''s 500m]:[Speed Skating - Women''s Team Pursuit]],MATCH(Table92[[#This Row],[Country]],Tabela1[Country], 0),0))</f>
        <v>0</v>
      </c>
      <c r="BO32" s="6" t="str">
        <f>SUBSTITUTE(INDEX(Table92[[#Headers],[Archery Quotas]:[Speed Skating Quotas]], MATCH(MAX(Table92[[#This Row],[Archery Quotas]:[Speed Skating Quotas]]), Table92[[#This Row],[Archery Quotas]:[Speed Skating Quotas]], 0))," Quotas","")</f>
        <v>Biathlon</v>
      </c>
      <c r="BP32" s="6">
        <f>SUM(Table92[[#This Row],[Summer Sports]:[Winter Sports]])</f>
        <v>17</v>
      </c>
      <c r="BQ32" s="6">
        <f>COUNTIF(Table92[[#This Row],[Archery Quotas]:[Wrestling Quotas]],"&lt;&gt;0")</f>
        <v>10</v>
      </c>
      <c r="BR32" s="6">
        <f>COUNTIF(Table92[[#This Row],[Alpine Skiing Quotas]:[Speed Skating Quotas]],"&lt;&gt;0")</f>
        <v>7</v>
      </c>
      <c r="BS32" s="4" t="s">
        <v>409</v>
      </c>
    </row>
    <row r="33" spans="1:71" x14ac:dyDescent="0.3">
      <c r="A33" s="6" t="s">
        <v>350</v>
      </c>
      <c r="B33" t="e" vm="31">
        <f>IF(ISBLANK(Table92[[#This Row],[Flag Link]]), "", _xlfn.IMAGE(Table92[[#This Row],[Flag Link]],1,1))</f>
        <v>#VALUE!</v>
      </c>
      <c r="C33" s="6">
        <f>SUM(Table92[[#This Row],[Archery Quotas]:[Speed Skating Quotas]])</f>
        <v>42</v>
      </c>
      <c r="D33" s="6">
        <f>SUM(INDEX(Tabela1[[Archery - Men''s Individual Recurve]:[Archery - Mixed Team Recurve]],MATCH(Table92[[#This Row],[Country]],Tabela1[Country], 0),0))</f>
        <v>5</v>
      </c>
      <c r="E33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7</v>
      </c>
      <c r="F33" s="6">
        <f>SUM(INDEX(Tabela1[[Artistic Swimming - Women''s Duet]:[Artistic Swimming - Women''s Team]],MATCH(Table92[[#This Row],[Country]],Tabela1[Country], 0),0))</f>
        <v>2</v>
      </c>
      <c r="G33" s="6">
        <f>SUM(INDEX(Tabela1[[Athletics - Men''s 100m]:[Athletics - Women''s Heptathlon]],MATCH(Table92[[#This Row],[Country]],Tabela1[Country], 0),0))</f>
        <v>7</v>
      </c>
      <c r="H33" s="6">
        <f>SUM(INDEX(Tabela1[[Badminton - Men''s Singles]:[Badminton - Mixed Doubles]],MATCH(Table92[[#This Row],[Country]],Tabela1[Country], 0),0))</f>
        <v>0</v>
      </c>
      <c r="I33" s="6">
        <f>SUM(INDEX(Tabela1[[Basketball - Men''s Tournament]:[Basketball - Women''s Tournament]],MATCH(Table92[[#This Row],[Country]],Tabela1[Country], 0),0))</f>
        <v>0</v>
      </c>
      <c r="J33" s="6">
        <f>SUM(INDEX(Tabela1[[3x3 Basketball - Men''s Tournament]:[3x3 Basketball - Women''s Tournament]],MATCH(Table92[[#This Row],[Country]],Tabela1[Country], 0),0))</f>
        <v>0</v>
      </c>
      <c r="K33" s="6">
        <f>SUM(INDEX(Tabela1[[Beach Volleyball - Men''s Tournament]:[Beach Volleyball - Women''s Tournament]],MATCH(Table92[[#This Row],[Country]],Tabela1[Country], 0),0))</f>
        <v>0</v>
      </c>
      <c r="L33" s="6">
        <f>SUM(INDEX(Tabela1[[Boxing - Men''s 51kg]:[Boxing - Women''s 75kg]],MATCH(Table92[[#This Row],[Country]],Tabela1[Country], 0),0))</f>
        <v>0</v>
      </c>
      <c r="M33" s="6">
        <f>SUM(INDEX(Tabela1[[Breaking - Men''s Individual]:[Breaking - Women''s Individual]],MATCH(Table92[[#This Row],[Country]],Tabela1[Country], 0),0))</f>
        <v>0</v>
      </c>
      <c r="N33" s="6">
        <f>SUM(INDEX(Tabela1[[Canoeing - Men''s C1 Slalom]:[Canoeing - Women''s Kayak Cross Slalom]],MATCH(Table92[[#This Row],[Country]],Tabela1[Country], 0),0))</f>
        <v>2</v>
      </c>
      <c r="O33" s="6">
        <f>SUM(INDEX(Tabela1[[Canoeing - Women''s C1 200m]:[Canoeing - Women''s K4 500m]],MATCH(Table92[[#This Row],[Country]],Tabela1[Country], 0),0))</f>
        <v>0</v>
      </c>
      <c r="P33" s="6">
        <f>SUM(INDEX(Tabela1[[Cycling - Men''s BMX Freestyle]:[Cycling - Women''s BMX Freestyle]],MATCH(Table92[[#This Row],[Country]],Tabela1[Country], 0),0))</f>
        <v>0</v>
      </c>
      <c r="Q33" s="6">
        <f>SUM(INDEX(Tabela1[[Cycling - Men''s BMX Racing]:[Cycling - Women''s BMX Racing]],MATCH(Table92[[#This Row],[Country]],Tabela1[Country], 0),0))</f>
        <v>0</v>
      </c>
      <c r="R33" s="6">
        <f>SUM(INDEX(Tabela1[[Cycling - Men''s Cross-Country]:[Cycling - Women''s Cross-Country]],MATCH(Table92[[#This Row],[Country]],Tabela1[Country], 0),0))</f>
        <v>0</v>
      </c>
      <c r="S33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33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33" s="6">
        <f>SUM(INDEX(Tabela1[[Diving - Men''s Springboard]:[Diving - Women''s Synchronized Platform]],MATCH(Table92[[#This Row],[Country]],Tabela1[Country], 0),0))</f>
        <v>2</v>
      </c>
      <c r="V33" s="6">
        <f>SUM(INDEX(Tabela1[[Equestrian - Individual Dressage]:[Equestrian - Team Dressage]],MATCH(Table92[[#This Row],[Country]],Tabela1[Country], 0),0))</f>
        <v>0</v>
      </c>
      <c r="W33" s="6">
        <f>SUM(INDEX(Tabela1[[Equestrian - Individual Eventing]:[Equestrian - Team Eventing]],MATCH(Table92[[#This Row],[Country]],Tabela1[Country], 0),0))</f>
        <v>0</v>
      </c>
      <c r="X33" s="6">
        <f>SUM(INDEX(Tabela1[[Equestrian - Individual Jumping]:[Equestrian - Team Jumping]],MATCH(Table92[[#This Row],[Country]],Tabela1[Country], 0),0))</f>
        <v>2</v>
      </c>
      <c r="Y33" s="6">
        <f>SUM(INDEX(Tabela1[[Fencing - Men''s Épée]:[Fencing - Women''s Team Sabre]],MATCH(Table92[[#This Row],[Country]],Tabela1[Country], 0),0))</f>
        <v>1</v>
      </c>
      <c r="Z33" s="6">
        <f>SUM(INDEX(Tabela1[[Field Hockey - Men''s Tournament]:[Field Hockey - Women''s Tournament]],MATCH(Table92[[#This Row],[Country]],Tabela1[Country], 0),0))</f>
        <v>0</v>
      </c>
      <c r="AA33" s="6">
        <f>SUM(INDEX(Tabela1[[Football - Men''s Tournament]:[Football - Women''s Tournament]],MATCH(Table92[[#This Row],[Country]],Tabela1[Country], 0),0))</f>
        <v>0</v>
      </c>
      <c r="AB33" s="6">
        <f>SUM(INDEX(Tabela1[[Golf - Men''s Individual]:[Golf - Women''s Individual]],MATCH(Table92[[#This Row],[Country]],Tabela1[Country], 0),0))</f>
        <v>0</v>
      </c>
      <c r="AC33" s="6">
        <f>SUM(INDEX(Tabela1[[Handball - Men''s Tournament]:[Handball - Women''s Tournament]],MATCH(Table92[[#This Row],[Country]],Tabela1[Country], 0),0))</f>
        <v>0</v>
      </c>
      <c r="AD33" s="6">
        <f>SUM(INDEX(Tabela1[[Judo - Men''s 60kg]:[Judo - Mixed Team]],MATCH(Table92[[#This Row],[Country]],Tabela1[Country], 0),0))</f>
        <v>1</v>
      </c>
      <c r="AE33" s="6">
        <f>SUM(INDEX(Tabela1[[Swimming - Men''s 10km Open Water]:[Swimming - Women''s 10km Open Water]],MATCH(Table92[[#This Row],[Country]],Tabela1[Country], 0),0))</f>
        <v>0</v>
      </c>
      <c r="AF33" s="6">
        <f>SUM(INDEX(Tabela1[[Modern Pentathlon - Men''s Individual]:[Modern Pentathlon - Women''s Individual]],MATCH(Table92[[#This Row],[Country]],Tabela1[Country], 0),0))</f>
        <v>1</v>
      </c>
      <c r="AG33" s="6">
        <f>SUM(INDEX(Tabela1[[Rhythmic Gymnastics - Women''s Individual All-Around]:[Rhythmic Gymnastics - Women''s Group All-Around]],MATCH(Table92[[#This Row],[Country]],Tabela1[Country], 0),0))</f>
        <v>1</v>
      </c>
      <c r="AH33" s="6">
        <f>SUM(INDEX(Tabela1[[Rowing - Men''s Single Sculls]:[Rowing - Women''s Lwt. Double Sculls]],MATCH(Table92[[#This Row],[Country]],Tabela1[Country], 0),0))</f>
        <v>0</v>
      </c>
      <c r="AI33" s="6">
        <f>SUM(INDEX(Tabela1[[Rugby Sevens - Men''s Tournament]:[Rugby Sevens - Women''s Tournament]],MATCH(Table92[[#This Row],[Country]],Tabela1[Country], 0),0))</f>
        <v>0</v>
      </c>
      <c r="AJ33" s="6">
        <f>SUM(INDEX(Tabela1[[Sailing - Mixed 470]:[Sailing - Mixed Nacra 17]],MATCH(Table92[[#This Row],[Country]],Tabela1[Country], 0),0))</f>
        <v>0</v>
      </c>
      <c r="AK33" s="6">
        <f>SUM(INDEX(Tabela1[[Shooting - Men''s 10m Air Pistol]:[Shooting - Women''s Trap]],MATCH(Table92[[#This Row],[Country]],Tabela1[Country], 0),0))</f>
        <v>3</v>
      </c>
      <c r="AL33" s="6">
        <f>SUM(INDEX(Tabela1[[Skateboarding - Men''s Park]:[Skateboarding - Women''s Street]],MATCH(Table92[[#This Row],[Country]],Tabela1[Country], 0),0))</f>
        <v>0</v>
      </c>
      <c r="AM33" s="6">
        <f>SUM(INDEX(Tabela1[[Sport Climbing - Men''s Boulder and Lead]:[Sport Climbing - Women''s Speed]],MATCH(Table92[[#This Row],[Country]],Tabela1[Country], 0),0))</f>
        <v>0</v>
      </c>
      <c r="AN33" s="6">
        <f>SUM(INDEX(Tabela1[[Surfing - Men''s Shortboard]:[Surfing - Women''s Shortboard]],MATCH(Table92[[#This Row],[Country]],Tabela1[Country], 0),0))</f>
        <v>0</v>
      </c>
      <c r="AO33" s="6">
        <f>SUM(INDEX(Tabela1[[Swimming - Men''s 50m Freestyle]:[Swimming - Mixed 4x100m Medley Relay]],MATCH(Table92[[#This Row],[Country]],Tabela1[Country], 0),0))</f>
        <v>0</v>
      </c>
      <c r="AP33" s="6">
        <f>SUM(INDEX(Tabela1[[Table Tennis - Men''s Singles]:[Table Tennis - Mixed Doubles]],MATCH(Table92[[#This Row],[Country]],Tabela1[Country], 0),0))</f>
        <v>1</v>
      </c>
      <c r="AQ33" s="6">
        <f>SUM(INDEX(Tabela1[[Taekwondo - Men''s 58kg]:[Taekwondo - Women''s +67kg]],MATCH(Table92[[#This Row],[Country]],Tabela1[Country], 0),0))</f>
        <v>1</v>
      </c>
      <c r="AR33" s="6">
        <f>SUM(INDEX(Tabela1[[Tennis - Men''s Singles]:[Tennis - Mixed Doubles]],MATCH(Table92[[#This Row],[Country]],Tabela1[Country], 0),0))</f>
        <v>0</v>
      </c>
      <c r="AS33" s="6">
        <f>SUM(INDEX(Tabela1[[Gymnastics - Men''s Trampoline]:[Gymnastics - Women''s Trampoline]],MATCH(Table92[[#This Row],[Country]],Tabela1[Country], 0),0))</f>
        <v>0</v>
      </c>
      <c r="AT33" s="6">
        <f>SUM(INDEX(Tabela1[[Triathlon - Men''s Individual]:[Triathlon - Mixed Relay]],MATCH(Table92[[#This Row],[Country]],Tabela1[Country], 0),0))</f>
        <v>2</v>
      </c>
      <c r="AU33" s="6">
        <f>SUM(INDEX(Tabela1[[Volleyball - Men''s Tournament]:[Volleyball - Women''s Tournament]],MATCH(Table92[[#This Row],[Country]],Tabela1[Country], 0),0))</f>
        <v>0</v>
      </c>
      <c r="AV33" s="6">
        <f>SUM(INDEX(Tabela1[[Water Polo - Men''s Tournament]:[Water Polo - Women''s Tournament]],MATCH(Table92[[#This Row],[Country]],Tabela1[Country], 0),0))</f>
        <v>0</v>
      </c>
      <c r="AW33" s="6">
        <f>SUM(INDEX(Tabela1[[Weightlifting - Men''s 61kg]:[Weightlifting - Women''s +81kg]],MATCH(Table92[[#This Row],[Country]],Tabela1[Country], 0),0))</f>
        <v>0</v>
      </c>
      <c r="AX33" s="6">
        <f>SUM(INDEX(Tabela1[[Wrestling - Men''s Freestyle 57kg]:[Wrestling - Women''s Freestyle 76kg]],MATCH(Table92[[#This Row],[Country]],Tabela1[Country], 0),0))</f>
        <v>0</v>
      </c>
      <c r="AY33" s="6">
        <f>SUM(INDEX(Tabela1[[Alpine Skiing - Men''s Downhill]:[Alpine Skiing - Women''s Team Combined]],MATCH(Table92[[#This Row],[Country]],Tabela1[Country], 0),0))</f>
        <v>4</v>
      </c>
      <c r="AZ33" s="6">
        <f>SUM(INDEX(Tabela1[[Biathlon - Men''s Individual]:[Biathlon - Mixed Relay]],MATCH(Table92[[#This Row],[Country]],Tabela1[Country], 0),0))</f>
        <v>0</v>
      </c>
      <c r="BA33" s="6">
        <f>SUM(INDEX(Tabela1[[Bobsleigh - Women''s Monobob]:[Bobsleigh - Men''s Four]],MATCH(Table92[[#This Row],[Country]],Tabela1[Country], 0),0))</f>
        <v>0</v>
      </c>
      <c r="BB33" s="6">
        <f>SUM(INDEX(Tabela1[[Cross-country skiing - Men''s Classical]:[Cross-country skiing - Women''s Team Sprint]],MATCH(Table92[[#This Row],[Country]],Tabela1[Country], 0),0))</f>
        <v>0</v>
      </c>
      <c r="BC33" s="6">
        <f>SUM(INDEX(Tabela1[[Curling - Men''s Tournament]:[Curling - Mixed Doubles]],MATCH(Table92[[#This Row],[Country]],Tabela1[Country], 0),0))</f>
        <v>0</v>
      </c>
      <c r="BD33" s="6">
        <f>SUM(INDEX(Tabela1[[Figure Skating - Men''s Singles]:[Figure Skating - Team Event]],MATCH(Table92[[#This Row],[Country]],Tabela1[Country], 0),0))</f>
        <v>0</v>
      </c>
      <c r="BE33" s="6">
        <f>SUM(INDEX(Tabela1[[Freestyle Skiing - Men''s Aerials]:[Freestyle Skiing - Women''s Slopestyle]],MATCH(Table92[[#This Row],[Country]],Tabela1[Country], 0),0))</f>
        <v>0</v>
      </c>
      <c r="BF33" s="6">
        <f>SUM(INDEX(Tabela1[[Ice Hockey - Men''s Tournament]:[Ice Hockey - Women''s Tournament]],MATCH(Table92[[#This Row],[Country]],Tabela1[Country], 0),0))</f>
        <v>0</v>
      </c>
      <c r="BG33" s="6">
        <f>SUM(INDEX(Tabela1[[Luge - Men''s Singles]:[Luge - Mixed Team Relay]],MATCH(Table92[[#This Row],[Country]],Tabela1[Country], 0),0))</f>
        <v>0</v>
      </c>
      <c r="BH33" s="6">
        <f>SUM(INDEX(Tabela1[[Nordic Combined - Men''s Individual]:[Nordic Combined - Men''s Team Sprint Large Hill]],MATCH(Table92[[#This Row],[Country]],Tabela1[Country], 0),0))</f>
        <v>0</v>
      </c>
      <c r="BI33" s="6">
        <f>SUM(INDEX(Tabela1[[Short track speed skating - Men''s 500m]:[Short track speed skating - Mixed 2000m Relay]],MATCH(Table92[[#This Row],[Country]],Tabela1[Country], 0),0))</f>
        <v>0</v>
      </c>
      <c r="BJ33" s="6">
        <f>SUM(INDEX(Tabela1[[Skeleton - Men''s Individual]:[Skeleton - Mixed Team]],MATCH(Table92[[#This Row],[Country]],Tabela1[Country], 0),0))</f>
        <v>0</v>
      </c>
      <c r="BK33" s="6">
        <f>SUM(INDEX(Tabela1[[Ski Jumping - Men''s Individual Large Hill]:[Ski Jumping - Mixed Team Normal Hill]],MATCH(Table92[[#This Row],[Country]],Tabela1[Country], 0),0))</f>
        <v>0</v>
      </c>
      <c r="BL33" s="6">
        <f>SUM(INDEX(Tabela1[[Ski Mountaineering - Men''s Sprint]:[Ski Mountaineering - Mixed Relay]],MATCH(Table92[[#This Row],[Country]],Tabela1[Country], 0),0))</f>
        <v>0</v>
      </c>
      <c r="BM33" s="6">
        <f>SUM(INDEX(Tabela1[[Snowboarding - Men''s Big Air]:[Snowboarding - Mixed Team Snowboard Cross]],MATCH(Table92[[#This Row],[Country]],Tabela1[Country], 0),0))</f>
        <v>0</v>
      </c>
      <c r="BN33" s="6">
        <f>SUM(INDEX(Tabela1[[Speed Skating - Men''s 500m]:[Speed Skating - Women''s Team Pursuit]],MATCH(Table92[[#This Row],[Country]],Tabela1[Country], 0),0))</f>
        <v>0</v>
      </c>
      <c r="BO33" s="6" t="str">
        <f>SUBSTITUTE(INDEX(Table92[[#Headers],[Archery Quotas]:[Speed Skating Quotas]], MATCH(MAX(Table92[[#This Row],[Archery Quotas]:[Speed Skating Quotas]]), Table92[[#This Row],[Archery Quotas]:[Speed Skating Quotas]], 0))," Quotas","")</f>
        <v>Artistic Gymnastics</v>
      </c>
      <c r="BP33" s="6">
        <f>SUM(Table92[[#This Row],[Summer Sports]:[Winter Sports]])</f>
        <v>16</v>
      </c>
      <c r="BQ33" s="6">
        <f>COUNTIF(Table92[[#This Row],[Archery Quotas]:[Wrestling Quotas]],"&lt;&gt;0")</f>
        <v>15</v>
      </c>
      <c r="BR33" s="6">
        <f>COUNTIF(Table92[[#This Row],[Alpine Skiing Quotas]:[Speed Skating Quotas]],"&lt;&gt;0")</f>
        <v>1</v>
      </c>
      <c r="BS33" s="3" t="s">
        <v>351</v>
      </c>
    </row>
    <row r="34" spans="1:71" x14ac:dyDescent="0.3">
      <c r="A34" s="6" t="s">
        <v>362</v>
      </c>
      <c r="B34" t="e" vm="33">
        <f>IF(ISBLANK(Table92[[#This Row],[Flag Link]]), "", _xlfn.IMAGE(Table92[[#This Row],[Flag Link]],1,1))</f>
        <v>#VALUE!</v>
      </c>
      <c r="C34" s="6">
        <f>SUM(Table92[[#This Row],[Archery Quotas]:[Speed Skating Quotas]])</f>
        <v>40</v>
      </c>
      <c r="D34" s="6">
        <f>SUM(INDEX(Tabela1[[Archery - Men''s Individual Recurve]:[Archery - Mixed Team Recurve]],MATCH(Table92[[#This Row],[Country]],Tabela1[Country], 0),0))</f>
        <v>3</v>
      </c>
      <c r="E34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4</v>
      </c>
      <c r="F34" s="6">
        <f>SUM(INDEX(Tabela1[[Artistic Swimming - Women''s Duet]:[Artistic Swimming - Women''s Team]],MATCH(Table92[[#This Row],[Country]],Tabela1[Country], 0),0))</f>
        <v>0</v>
      </c>
      <c r="G34" s="6">
        <f>SUM(INDEX(Tabela1[[Athletics - Men''s 100m]:[Athletics - Women''s Heptathlon]],MATCH(Table92[[#This Row],[Country]],Tabela1[Country], 0),0))</f>
        <v>9</v>
      </c>
      <c r="H34" s="6">
        <f>SUM(INDEX(Tabela1[[Badminton - Men''s Singles]:[Badminton - Mixed Doubles]],MATCH(Table92[[#This Row],[Country]],Tabela1[Country], 0),0))</f>
        <v>0</v>
      </c>
      <c r="I34" s="6">
        <f>SUM(INDEX(Tabela1[[Basketball - Men''s Tournament]:[Basketball - Women''s Tournament]],MATCH(Table92[[#This Row],[Country]],Tabela1[Country], 0),0))</f>
        <v>0</v>
      </c>
      <c r="J34" s="6">
        <f>SUM(INDEX(Tabela1[[3x3 Basketball - Men''s Tournament]:[3x3 Basketball - Women''s Tournament]],MATCH(Table92[[#This Row],[Country]],Tabela1[Country], 0),0))</f>
        <v>0</v>
      </c>
      <c r="K34" s="6">
        <f>SUM(INDEX(Tabela1[[Beach Volleyball - Men''s Tournament]:[Beach Volleyball - Women''s Tournament]],MATCH(Table92[[#This Row],[Country]],Tabela1[Country], 0),0))</f>
        <v>0</v>
      </c>
      <c r="L34" s="6">
        <f>SUM(INDEX(Tabela1[[Boxing - Men''s 51kg]:[Boxing - Women''s 75kg]],MATCH(Table92[[#This Row],[Country]],Tabela1[Country], 0),0))</f>
        <v>4</v>
      </c>
      <c r="M34" s="6">
        <f>SUM(INDEX(Tabela1[[Breaking - Men''s Individual]:[Breaking - Women''s Individual]],MATCH(Table92[[#This Row],[Country]],Tabela1[Country], 0),0))</f>
        <v>0</v>
      </c>
      <c r="N34" s="6">
        <f>SUM(INDEX(Tabela1[[Canoeing - Men''s C1 Slalom]:[Canoeing - Women''s Kayak Cross Slalom]],MATCH(Table92[[#This Row],[Country]],Tabela1[Country], 0),0))</f>
        <v>0</v>
      </c>
      <c r="O34" s="6">
        <f>SUM(INDEX(Tabela1[[Canoeing - Women''s C1 200m]:[Canoeing - Women''s K4 500m]],MATCH(Table92[[#This Row],[Country]],Tabela1[Country], 0),0))</f>
        <v>0</v>
      </c>
      <c r="P34" s="6">
        <f>SUM(INDEX(Tabela1[[Cycling - Men''s BMX Freestyle]:[Cycling - Women''s BMX Freestyle]],MATCH(Table92[[#This Row],[Country]],Tabela1[Country], 0),0))</f>
        <v>1</v>
      </c>
      <c r="Q34" s="6">
        <f>SUM(INDEX(Tabela1[[Cycling - Men''s BMX Racing]:[Cycling - Women''s BMX Racing]],MATCH(Table92[[#This Row],[Country]],Tabela1[Country], 0),0))</f>
        <v>0</v>
      </c>
      <c r="R34" s="6">
        <f>SUM(INDEX(Tabela1[[Cycling - Men''s Cross-Country]:[Cycling - Women''s Cross-Country]],MATCH(Table92[[#This Row],[Country]],Tabela1[Country], 0),0))</f>
        <v>1</v>
      </c>
      <c r="S34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1</v>
      </c>
      <c r="T34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2</v>
      </c>
      <c r="U34" s="6">
        <f>SUM(INDEX(Tabela1[[Diving - Men''s Springboard]:[Diving - Women''s Synchronized Platform]],MATCH(Table92[[#This Row],[Country]],Tabela1[Country], 0),0))</f>
        <v>0</v>
      </c>
      <c r="V34" s="6">
        <f>SUM(INDEX(Tabela1[[Equestrian - Individual Dressage]:[Equestrian - Team Dressage]],MATCH(Table92[[#This Row],[Country]],Tabela1[Country], 0),0))</f>
        <v>0</v>
      </c>
      <c r="W34" s="6">
        <f>SUM(INDEX(Tabela1[[Equestrian - Individual Eventing]:[Equestrian - Team Eventing]],MATCH(Table92[[#This Row],[Country]],Tabela1[Country], 0),0))</f>
        <v>0</v>
      </c>
      <c r="X34" s="6">
        <f>SUM(INDEX(Tabela1[[Equestrian - Individual Jumping]:[Equestrian - Team Jumping]],MATCH(Table92[[#This Row],[Country]],Tabela1[Country], 0),0))</f>
        <v>1</v>
      </c>
      <c r="Y34" s="6">
        <f>SUM(INDEX(Tabela1[[Fencing - Men''s Épée]:[Fencing - Women''s Team Sabre]],MATCH(Table92[[#This Row],[Country]],Tabela1[Country], 0),0))</f>
        <v>1</v>
      </c>
      <c r="Z34" s="6">
        <f>SUM(INDEX(Tabela1[[Field Hockey - Men''s Tournament]:[Field Hockey - Women''s Tournament]],MATCH(Table92[[#This Row],[Country]],Tabela1[Country], 0),0))</f>
        <v>0</v>
      </c>
      <c r="AA34" s="6">
        <f>SUM(INDEX(Tabela1[[Football - Men''s Tournament]:[Football - Women''s Tournament]],MATCH(Table92[[#This Row],[Country]],Tabela1[Country], 0),0))</f>
        <v>1</v>
      </c>
      <c r="AB34" s="6">
        <f>SUM(INDEX(Tabela1[[Golf - Men''s Individual]:[Golf - Women''s Individual]],MATCH(Table92[[#This Row],[Country]],Tabela1[Country], 0),0))</f>
        <v>0</v>
      </c>
      <c r="AC34" s="6">
        <f>SUM(INDEX(Tabela1[[Handball - Men''s Tournament]:[Handball - Women''s Tournament]],MATCH(Table92[[#This Row],[Country]],Tabela1[Country], 0),0))</f>
        <v>0</v>
      </c>
      <c r="AD34" s="6">
        <f>SUM(INDEX(Tabela1[[Judo - Men''s 60kg]:[Judo - Mixed Team]],MATCH(Table92[[#This Row],[Country]],Tabela1[Country], 0),0))</f>
        <v>1</v>
      </c>
      <c r="AE34" s="6">
        <f>SUM(INDEX(Tabela1[[Swimming - Men''s 10km Open Water]:[Swimming - Women''s 10km Open Water]],MATCH(Table92[[#This Row],[Country]],Tabela1[Country], 0),0))</f>
        <v>0</v>
      </c>
      <c r="AF34" s="6">
        <f>SUM(INDEX(Tabela1[[Modern Pentathlon - Men''s Individual]:[Modern Pentathlon - Women''s Individual]],MATCH(Table92[[#This Row],[Country]],Tabela1[Country], 0),0))</f>
        <v>0</v>
      </c>
      <c r="AG34" s="6">
        <f>SUM(INDEX(Tabela1[[Rhythmic Gymnastics - Women''s Individual All-Around]:[Rhythmic Gymnastics - Women''s Group All-Around]],MATCH(Table92[[#This Row],[Country]],Tabela1[Country], 0),0))</f>
        <v>0</v>
      </c>
      <c r="AH34" s="6">
        <f>SUM(INDEX(Tabela1[[Rowing - Men''s Single Sculls]:[Rowing - Women''s Lwt. Double Sculls]],MATCH(Table92[[#This Row],[Country]],Tabela1[Country], 0),0))</f>
        <v>0</v>
      </c>
      <c r="AI34" s="6">
        <f>SUM(INDEX(Tabela1[[Rugby Sevens - Men''s Tournament]:[Rugby Sevens - Women''s Tournament]],MATCH(Table92[[#This Row],[Country]],Tabela1[Country], 0),0))</f>
        <v>0</v>
      </c>
      <c r="AJ34" s="6">
        <f>SUM(INDEX(Tabela1[[Sailing - Mixed 470]:[Sailing - Mixed Nacra 17]],MATCH(Table92[[#This Row],[Country]],Tabela1[Country], 0),0))</f>
        <v>1</v>
      </c>
      <c r="AK34" s="6">
        <f>SUM(INDEX(Tabela1[[Shooting - Men''s 10m Air Pistol]:[Shooting - Women''s Trap]],MATCH(Table92[[#This Row],[Country]],Tabela1[Country], 0),0))</f>
        <v>0</v>
      </c>
      <c r="AL34" s="6">
        <f>SUM(INDEX(Tabela1[[Skateboarding - Men''s Park]:[Skateboarding - Women''s Street]],MATCH(Table92[[#This Row],[Country]],Tabela1[Country], 0),0))</f>
        <v>1</v>
      </c>
      <c r="AM34" s="6">
        <f>SUM(INDEX(Tabela1[[Sport Climbing - Men''s Boulder and Lead]:[Sport Climbing - Women''s Speed]],MATCH(Table92[[#This Row],[Country]],Tabela1[Country], 0),0))</f>
        <v>0</v>
      </c>
      <c r="AN34" s="6">
        <f>SUM(INDEX(Tabela1[[Surfing - Men''s Shortboard]:[Surfing - Women''s Shortboard]],MATCH(Table92[[#This Row],[Country]],Tabela1[Country], 0),0))</f>
        <v>0</v>
      </c>
      <c r="AO34" s="6">
        <f>SUM(INDEX(Tabela1[[Swimming - Men''s 50m Freestyle]:[Swimming - Mixed 4x100m Medley Relay]],MATCH(Table92[[#This Row],[Country]],Tabela1[Country], 0),0))</f>
        <v>1</v>
      </c>
      <c r="AP34" s="6">
        <f>SUM(INDEX(Tabela1[[Table Tennis - Men''s Singles]:[Table Tennis - Mixed Doubles]],MATCH(Table92[[#This Row],[Country]],Tabela1[Country], 0),0))</f>
        <v>0</v>
      </c>
      <c r="AQ34" s="6">
        <f>SUM(INDEX(Tabela1[[Taekwondo - Men''s 58kg]:[Taekwondo - Women''s +67kg]],MATCH(Table92[[#This Row],[Country]],Tabela1[Country], 0),0))</f>
        <v>0</v>
      </c>
      <c r="AR34" s="6">
        <f>SUM(INDEX(Tabela1[[Tennis - Men''s Singles]:[Tennis - Mixed Doubles]],MATCH(Table92[[#This Row],[Country]],Tabela1[Country], 0),0))</f>
        <v>0</v>
      </c>
      <c r="AS34" s="6">
        <f>SUM(INDEX(Tabela1[[Gymnastics - Men''s Trampoline]:[Gymnastics - Women''s Trampoline]],MATCH(Table92[[#This Row],[Country]],Tabela1[Country], 0),0))</f>
        <v>0</v>
      </c>
      <c r="AT34" s="6">
        <f>SUM(INDEX(Tabela1[[Triathlon - Men''s Individual]:[Triathlon - Mixed Relay]],MATCH(Table92[[#This Row],[Country]],Tabela1[Country], 0),0))</f>
        <v>0</v>
      </c>
      <c r="AU34" s="6">
        <f>SUM(INDEX(Tabela1[[Volleyball - Men''s Tournament]:[Volleyball - Women''s Tournament]],MATCH(Table92[[#This Row],[Country]],Tabela1[Country], 0),0))</f>
        <v>0</v>
      </c>
      <c r="AV34" s="6">
        <f>SUM(INDEX(Tabela1[[Water Polo - Men''s Tournament]:[Water Polo - Women''s Tournament]],MATCH(Table92[[#This Row],[Country]],Tabela1[Country], 0),0))</f>
        <v>0</v>
      </c>
      <c r="AW34" s="6">
        <f>SUM(INDEX(Tabela1[[Weightlifting - Men''s 61kg]:[Weightlifting - Women''s +81kg]],MATCH(Table92[[#This Row],[Country]],Tabela1[Country], 0),0))</f>
        <v>2</v>
      </c>
      <c r="AX34" s="6">
        <f>SUM(INDEX(Tabela1[[Wrestling - Men''s Freestyle 57kg]:[Wrestling - Women''s Freestyle 76kg]],MATCH(Table92[[#This Row],[Country]],Tabela1[Country], 0),0))</f>
        <v>2</v>
      </c>
      <c r="AY34" s="6">
        <f>SUM(INDEX(Tabela1[[Alpine Skiing - Men''s Downhill]:[Alpine Skiing - Women''s Team Combined]],MATCH(Table92[[#This Row],[Country]],Tabela1[Country], 0),0))</f>
        <v>0</v>
      </c>
      <c r="AZ34" s="6">
        <f>SUM(INDEX(Tabela1[[Biathlon - Men''s Individual]:[Biathlon - Mixed Relay]],MATCH(Table92[[#This Row],[Country]],Tabela1[Country], 0),0))</f>
        <v>0</v>
      </c>
      <c r="BA34" s="6">
        <f>SUM(INDEX(Tabela1[[Bobsleigh - Women''s Monobob]:[Bobsleigh - Men''s Four]],MATCH(Table92[[#This Row],[Country]],Tabela1[Country], 0),0))</f>
        <v>0</v>
      </c>
      <c r="BB34" s="6">
        <f>SUM(INDEX(Tabela1[[Cross-country skiing - Men''s Classical]:[Cross-country skiing - Women''s Team Sprint]],MATCH(Table92[[#This Row],[Country]],Tabela1[Country], 0),0))</f>
        <v>4</v>
      </c>
      <c r="BC34" s="6">
        <f>SUM(INDEX(Tabela1[[Curling - Men''s Tournament]:[Curling - Mixed Doubles]],MATCH(Table92[[#This Row],[Country]],Tabela1[Country], 0),0))</f>
        <v>0</v>
      </c>
      <c r="BD34" s="6">
        <f>SUM(INDEX(Tabela1[[Figure Skating - Men''s Singles]:[Figure Skating - Team Event]],MATCH(Table92[[#This Row],[Country]],Tabela1[Country], 0),0))</f>
        <v>0</v>
      </c>
      <c r="BE34" s="6">
        <f>SUM(INDEX(Tabela1[[Freestyle Skiing - Men''s Aerials]:[Freestyle Skiing - Women''s Slopestyle]],MATCH(Table92[[#This Row],[Country]],Tabela1[Country], 0),0))</f>
        <v>0</v>
      </c>
      <c r="BF34" s="6">
        <f>SUM(INDEX(Tabela1[[Ice Hockey - Men''s Tournament]:[Ice Hockey - Women''s Tournament]],MATCH(Table92[[#This Row],[Country]],Tabela1[Country], 0),0))</f>
        <v>0</v>
      </c>
      <c r="BG34" s="6">
        <f>SUM(INDEX(Tabela1[[Luge - Men''s Singles]:[Luge - Mixed Team Relay]],MATCH(Table92[[#This Row],[Country]],Tabela1[Country], 0),0))</f>
        <v>0</v>
      </c>
      <c r="BH34" s="6">
        <f>SUM(INDEX(Tabela1[[Nordic Combined - Men''s Individual]:[Nordic Combined - Men''s Team Sprint Large Hill]],MATCH(Table92[[#This Row],[Country]],Tabela1[Country], 0),0))</f>
        <v>0</v>
      </c>
      <c r="BI34" s="6">
        <f>SUM(INDEX(Tabela1[[Short track speed skating - Men''s 500m]:[Short track speed skating - Mixed 2000m Relay]],MATCH(Table92[[#This Row],[Country]],Tabela1[Country], 0),0))</f>
        <v>0</v>
      </c>
      <c r="BJ34" s="6">
        <f>SUM(INDEX(Tabela1[[Skeleton - Men''s Individual]:[Skeleton - Mixed Team]],MATCH(Table92[[#This Row],[Country]],Tabela1[Country], 0),0))</f>
        <v>0</v>
      </c>
      <c r="BK34" s="6">
        <f>SUM(INDEX(Tabela1[[Ski Jumping - Men''s Individual Large Hill]:[Ski Jumping - Mixed Team Normal Hill]],MATCH(Table92[[#This Row],[Country]],Tabela1[Country], 0),0))</f>
        <v>0</v>
      </c>
      <c r="BL34" s="6">
        <f>SUM(INDEX(Tabela1[[Ski Mountaineering - Men''s Sprint]:[Ski Mountaineering - Mixed Relay]],MATCH(Table92[[#This Row],[Country]],Tabela1[Country], 0),0))</f>
        <v>0</v>
      </c>
      <c r="BM34" s="6">
        <f>SUM(INDEX(Tabela1[[Snowboarding - Men''s Big Air]:[Snowboarding - Mixed Team Snowboard Cross]],MATCH(Table92[[#This Row],[Country]],Tabela1[Country], 0),0))</f>
        <v>0</v>
      </c>
      <c r="BN34" s="6">
        <f>SUM(INDEX(Tabela1[[Speed Skating - Men''s 500m]:[Speed Skating - Women''s Team Pursuit]],MATCH(Table92[[#This Row],[Country]],Tabela1[Country], 0),0))</f>
        <v>0</v>
      </c>
      <c r="BO34" s="6" t="str">
        <f>SUBSTITUTE(INDEX(Table92[[#Headers],[Archery Quotas]:[Speed Skating Quotas]], MATCH(MAX(Table92[[#This Row],[Archery Quotas]:[Speed Skating Quotas]]), Table92[[#This Row],[Archery Quotas]:[Speed Skating Quotas]], 0))," Quotas","")</f>
        <v>Athletics</v>
      </c>
      <c r="BP34" s="6">
        <f>SUM(Table92[[#This Row],[Summer Sports]:[Winter Sports]])</f>
        <v>18</v>
      </c>
      <c r="BQ34" s="6">
        <f>COUNTIF(Table92[[#This Row],[Archery Quotas]:[Wrestling Quotas]],"&lt;&gt;0")</f>
        <v>17</v>
      </c>
      <c r="BR34" s="6">
        <f>COUNTIF(Table92[[#This Row],[Alpine Skiing Quotas]:[Speed Skating Quotas]],"&lt;&gt;0")</f>
        <v>1</v>
      </c>
      <c r="BS34" s="3" t="s">
        <v>363</v>
      </c>
    </row>
    <row r="35" spans="1:71" x14ac:dyDescent="0.3">
      <c r="A35" s="6" t="s">
        <v>370</v>
      </c>
      <c r="B35" t="e" vm="34">
        <f>IF(ISBLANK(Table92[[#This Row],[Flag Link]]), "", _xlfn.IMAGE(Table92[[#This Row],[Flag Link]],1,1))</f>
        <v>#VALUE!</v>
      </c>
      <c r="C35" s="6">
        <f>SUM(Table92[[#This Row],[Archery Quotas]:[Speed Skating Quotas]])</f>
        <v>39</v>
      </c>
      <c r="D35" s="6">
        <f>SUM(INDEX(Tabela1[[Archery - Men''s Individual Recurve]:[Archery - Mixed Team Recurve]],MATCH(Table92[[#This Row],[Country]],Tabela1[Country], 0),0))</f>
        <v>0</v>
      </c>
      <c r="E35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35" s="6">
        <f>SUM(INDEX(Tabela1[[Artistic Swimming - Women''s Duet]:[Artistic Swimming - Women''s Team]],MATCH(Table92[[#This Row],[Country]],Tabela1[Country], 0),0))</f>
        <v>0</v>
      </c>
      <c r="G35" s="6">
        <f>SUM(INDEX(Tabela1[[Athletics - Men''s 100m]:[Athletics - Women''s Heptathlon]],MATCH(Table92[[#This Row],[Country]],Tabela1[Country], 0),0))</f>
        <v>1</v>
      </c>
      <c r="H35" s="6">
        <f>SUM(INDEX(Tabela1[[Badminton - Men''s Singles]:[Badminton - Mixed Doubles]],MATCH(Table92[[#This Row],[Country]],Tabela1[Country], 0),0))</f>
        <v>0</v>
      </c>
      <c r="I35" s="6">
        <f>SUM(INDEX(Tabela1[[Basketball - Men''s Tournament]:[Basketball - Women''s Tournament]],MATCH(Table92[[#This Row],[Country]],Tabela1[Country], 0),0))</f>
        <v>0</v>
      </c>
      <c r="J35" s="6">
        <f>SUM(INDEX(Tabela1[[3x3 Basketball - Men''s Tournament]:[3x3 Basketball - Women''s Tournament]],MATCH(Table92[[#This Row],[Country]],Tabela1[Country], 0),0))</f>
        <v>0</v>
      </c>
      <c r="K35" s="6">
        <f>SUM(INDEX(Tabela1[[Beach Volleyball - Men''s Tournament]:[Beach Volleyball - Women''s Tournament]],MATCH(Table92[[#This Row],[Country]],Tabela1[Country], 0),0))</f>
        <v>0</v>
      </c>
      <c r="L35" s="6">
        <f>SUM(INDEX(Tabela1[[Boxing - Men''s 51kg]:[Boxing - Women''s 75kg]],MATCH(Table92[[#This Row],[Country]],Tabela1[Country], 0),0))</f>
        <v>0</v>
      </c>
      <c r="M35" s="6">
        <f>SUM(INDEX(Tabela1[[Breaking - Men''s Individual]:[Breaking - Women''s Individual]],MATCH(Table92[[#This Row],[Country]],Tabela1[Country], 0),0))</f>
        <v>0</v>
      </c>
      <c r="N35" s="6">
        <f>SUM(INDEX(Tabela1[[Canoeing - Men''s C1 Slalom]:[Canoeing - Women''s Kayak Cross Slalom]],MATCH(Table92[[#This Row],[Country]],Tabela1[Country], 0),0))</f>
        <v>0</v>
      </c>
      <c r="O35" s="6">
        <f>SUM(INDEX(Tabela1[[Canoeing - Women''s C1 200m]:[Canoeing - Women''s K4 500m]],MATCH(Table92[[#This Row],[Country]],Tabela1[Country], 0),0))</f>
        <v>0</v>
      </c>
      <c r="P35" s="6">
        <f>SUM(INDEX(Tabela1[[Cycling - Men''s BMX Freestyle]:[Cycling - Women''s BMX Freestyle]],MATCH(Table92[[#This Row],[Country]],Tabela1[Country], 0),0))</f>
        <v>0</v>
      </c>
      <c r="Q35" s="6">
        <f>SUM(INDEX(Tabela1[[Cycling - Men''s BMX Racing]:[Cycling - Women''s BMX Racing]],MATCH(Table92[[#This Row],[Country]],Tabela1[Country], 0),0))</f>
        <v>0</v>
      </c>
      <c r="R35" s="6">
        <f>SUM(INDEX(Tabela1[[Cycling - Men''s Cross-Country]:[Cycling - Women''s Cross-Country]],MATCH(Table92[[#This Row],[Country]],Tabela1[Country], 0),0))</f>
        <v>0</v>
      </c>
      <c r="S35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35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35" s="6">
        <f>SUM(INDEX(Tabela1[[Diving - Men''s Springboard]:[Diving - Women''s Synchronized Platform]],MATCH(Table92[[#This Row],[Country]],Tabela1[Country], 0),0))</f>
        <v>0</v>
      </c>
      <c r="V35" s="6">
        <f>SUM(INDEX(Tabela1[[Equestrian - Individual Dressage]:[Equestrian - Team Dressage]],MATCH(Table92[[#This Row],[Country]],Tabela1[Country], 0),0))</f>
        <v>0</v>
      </c>
      <c r="W35" s="6">
        <f>SUM(INDEX(Tabela1[[Equestrian - Individual Eventing]:[Equestrian - Team Eventing]],MATCH(Table92[[#This Row],[Country]],Tabela1[Country], 0),0))</f>
        <v>0</v>
      </c>
      <c r="X35" s="6">
        <f>SUM(INDEX(Tabela1[[Equestrian - Individual Jumping]:[Equestrian - Team Jumping]],MATCH(Table92[[#This Row],[Country]],Tabela1[Country], 0),0))</f>
        <v>0</v>
      </c>
      <c r="Y35" s="6">
        <f>SUM(INDEX(Tabela1[[Fencing - Men''s Épée]:[Fencing - Women''s Team Sabre]],MATCH(Table92[[#This Row],[Country]],Tabela1[Country], 0),0))</f>
        <v>0</v>
      </c>
      <c r="Z35" s="6">
        <f>SUM(INDEX(Tabela1[[Field Hockey - Men''s Tournament]:[Field Hockey - Women''s Tournament]],MATCH(Table92[[#This Row],[Country]],Tabela1[Country], 0),0))</f>
        <v>0</v>
      </c>
      <c r="AA35" s="6">
        <f>SUM(INDEX(Tabela1[[Football - Men''s Tournament]:[Football - Women''s Tournament]],MATCH(Table92[[#This Row],[Country]],Tabela1[Country], 0),0))</f>
        <v>0</v>
      </c>
      <c r="AB35" s="6">
        <f>SUM(INDEX(Tabela1[[Golf - Men''s Individual]:[Golf - Women''s Individual]],MATCH(Table92[[#This Row],[Country]],Tabela1[Country], 0),0))</f>
        <v>0</v>
      </c>
      <c r="AC35" s="6">
        <f>SUM(INDEX(Tabela1[[Handball - Men''s Tournament]:[Handball - Women''s Tournament]],MATCH(Table92[[#This Row],[Country]],Tabela1[Country], 0),0))</f>
        <v>0</v>
      </c>
      <c r="AD35" s="6">
        <f>SUM(INDEX(Tabela1[[Judo - Men''s 60kg]:[Judo - Mixed Team]],MATCH(Table92[[#This Row],[Country]],Tabela1[Country], 0),0))</f>
        <v>0</v>
      </c>
      <c r="AE35" s="6">
        <f>SUM(INDEX(Tabela1[[Swimming - Men''s 10km Open Water]:[Swimming - Women''s 10km Open Water]],MATCH(Table92[[#This Row],[Country]],Tabela1[Country], 0),0))</f>
        <v>0</v>
      </c>
      <c r="AF35" s="6">
        <f>SUM(INDEX(Tabela1[[Modern Pentathlon - Men''s Individual]:[Modern Pentathlon - Women''s Individual]],MATCH(Table92[[#This Row],[Country]],Tabela1[Country], 0),0))</f>
        <v>0</v>
      </c>
      <c r="AG35" s="6">
        <f>SUM(INDEX(Tabela1[[Rhythmic Gymnastics - Women''s Individual All-Around]:[Rhythmic Gymnastics - Women''s Group All-Around]],MATCH(Table92[[#This Row],[Country]],Tabela1[Country], 0),0))</f>
        <v>2</v>
      </c>
      <c r="AH35" s="6">
        <f>SUM(INDEX(Tabela1[[Rowing - Men''s Single Sculls]:[Rowing - Women''s Lwt. Double Sculls]],MATCH(Table92[[#This Row],[Country]],Tabela1[Country], 0),0))</f>
        <v>1</v>
      </c>
      <c r="AI35" s="6">
        <f>SUM(INDEX(Tabela1[[Rugby Sevens - Men''s Tournament]:[Rugby Sevens - Women''s Tournament]],MATCH(Table92[[#This Row],[Country]],Tabela1[Country], 0),0))</f>
        <v>0</v>
      </c>
      <c r="AJ35" s="6">
        <f>SUM(INDEX(Tabela1[[Sailing - Mixed 470]:[Sailing - Mixed Nacra 17]],MATCH(Table92[[#This Row],[Country]],Tabela1[Country], 0),0))</f>
        <v>0</v>
      </c>
      <c r="AK35" s="6">
        <f>SUM(INDEX(Tabela1[[Shooting - Men''s 10m Air Pistol]:[Shooting - Women''s Trap]],MATCH(Table92[[#This Row],[Country]],Tabela1[Country], 0),0))</f>
        <v>3</v>
      </c>
      <c r="AL35" s="6">
        <f>SUM(INDEX(Tabela1[[Skateboarding - Men''s Park]:[Skateboarding - Women''s Street]],MATCH(Table92[[#This Row],[Country]],Tabela1[Country], 0),0))</f>
        <v>0</v>
      </c>
      <c r="AM35" s="6">
        <f>SUM(INDEX(Tabela1[[Sport Climbing - Men''s Boulder and Lead]:[Sport Climbing - Women''s Speed]],MATCH(Table92[[#This Row],[Country]],Tabela1[Country], 0),0))</f>
        <v>0</v>
      </c>
      <c r="AN35" s="6">
        <f>SUM(INDEX(Tabela1[[Surfing - Men''s Shortboard]:[Surfing - Women''s Shortboard]],MATCH(Table92[[#This Row],[Country]],Tabela1[Country], 0),0))</f>
        <v>0</v>
      </c>
      <c r="AO35" s="6">
        <f>SUM(INDEX(Tabela1[[Swimming - Men''s 50m Freestyle]:[Swimming - Mixed 4x100m Medley Relay]],MATCH(Table92[[#This Row],[Country]],Tabela1[Country], 0),0))</f>
        <v>0</v>
      </c>
      <c r="AP35" s="6">
        <f>SUM(INDEX(Tabela1[[Table Tennis - Men''s Singles]:[Table Tennis - Mixed Doubles]],MATCH(Table92[[#This Row],[Country]],Tabela1[Country], 0),0))</f>
        <v>0</v>
      </c>
      <c r="AQ35" s="6">
        <f>SUM(INDEX(Tabela1[[Taekwondo - Men''s 58kg]:[Taekwondo - Women''s +67kg]],MATCH(Table92[[#This Row],[Country]],Tabela1[Country], 0),0))</f>
        <v>0</v>
      </c>
      <c r="AR35" s="6">
        <f>SUM(INDEX(Tabela1[[Tennis - Men''s Singles]:[Tennis - Mixed Doubles]],MATCH(Table92[[#This Row],[Country]],Tabela1[Country], 0),0))</f>
        <v>0</v>
      </c>
      <c r="AS35" s="6">
        <f>SUM(INDEX(Tabela1[[Gymnastics - Men''s Trampoline]:[Gymnastics - Women''s Trampoline]],MATCH(Table92[[#This Row],[Country]],Tabela1[Country], 0),0))</f>
        <v>0</v>
      </c>
      <c r="AT35" s="6">
        <f>SUM(INDEX(Tabela1[[Triathlon - Men''s Individual]:[Triathlon - Mixed Relay]],MATCH(Table92[[#This Row],[Country]],Tabela1[Country], 0),0))</f>
        <v>0</v>
      </c>
      <c r="AU35" s="6">
        <f>SUM(INDEX(Tabela1[[Volleyball - Men''s Tournament]:[Volleyball - Women''s Tournament]],MATCH(Table92[[#This Row],[Country]],Tabela1[Country], 0),0))</f>
        <v>0</v>
      </c>
      <c r="AV35" s="6">
        <f>SUM(INDEX(Tabela1[[Water Polo - Men''s Tournament]:[Water Polo - Women''s Tournament]],MATCH(Table92[[#This Row],[Country]],Tabela1[Country], 0),0))</f>
        <v>0</v>
      </c>
      <c r="AW35" s="6">
        <f>SUM(INDEX(Tabela1[[Weightlifting - Men''s 61kg]:[Weightlifting - Women''s +81kg]],MATCH(Table92[[#This Row],[Country]],Tabela1[Country], 0),0))</f>
        <v>0</v>
      </c>
      <c r="AX35" s="6">
        <f>SUM(INDEX(Tabela1[[Wrestling - Men''s Freestyle 57kg]:[Wrestling - Women''s Freestyle 76kg]],MATCH(Table92[[#This Row],[Country]],Tabela1[Country], 0),0))</f>
        <v>3</v>
      </c>
      <c r="AY35" s="6">
        <f>SUM(INDEX(Tabela1[[Alpine Skiing - Men''s Downhill]:[Alpine Skiing - Women''s Team Combined]],MATCH(Table92[[#This Row],[Country]],Tabela1[Country], 0),0))</f>
        <v>0</v>
      </c>
      <c r="AZ35" s="6">
        <f>SUM(INDEX(Tabela1[[Biathlon - Men''s Individual]:[Biathlon - Mixed Relay]],MATCH(Table92[[#This Row],[Country]],Tabela1[Country], 0),0))</f>
        <v>18</v>
      </c>
      <c r="BA35" s="6">
        <f>SUM(INDEX(Tabela1[[Bobsleigh - Women''s Monobob]:[Bobsleigh - Men''s Four]],MATCH(Table92[[#This Row],[Country]],Tabela1[Country], 0),0))</f>
        <v>0</v>
      </c>
      <c r="BB35" s="6">
        <f>SUM(INDEX(Tabela1[[Cross-country skiing - Men''s Classical]:[Cross-country skiing - Women''s Team Sprint]],MATCH(Table92[[#This Row],[Country]],Tabela1[Country], 0),0))</f>
        <v>8</v>
      </c>
      <c r="BC35" s="6">
        <f>SUM(INDEX(Tabela1[[Curling - Men''s Tournament]:[Curling - Mixed Doubles]],MATCH(Table92[[#This Row],[Country]],Tabela1[Country], 0),0))</f>
        <v>0</v>
      </c>
      <c r="BD35" s="6">
        <f>SUM(INDEX(Tabela1[[Figure Skating - Men''s Singles]:[Figure Skating - Team Event]],MATCH(Table92[[#This Row],[Country]],Tabela1[Country], 0),0))</f>
        <v>1</v>
      </c>
      <c r="BE35" s="6">
        <f>SUM(INDEX(Tabela1[[Freestyle Skiing - Men''s Aerials]:[Freestyle Skiing - Women''s Slopestyle]],MATCH(Table92[[#This Row],[Country]],Tabela1[Country], 0),0))</f>
        <v>0</v>
      </c>
      <c r="BF35" s="6">
        <f>SUM(INDEX(Tabela1[[Ice Hockey - Men''s Tournament]:[Ice Hockey - Women''s Tournament]],MATCH(Table92[[#This Row],[Country]],Tabela1[Country], 0),0))</f>
        <v>0</v>
      </c>
      <c r="BG35" s="6">
        <f>SUM(INDEX(Tabela1[[Luge - Men''s Singles]:[Luge - Mixed Team Relay]],MATCH(Table92[[#This Row],[Country]],Tabela1[Country], 0),0))</f>
        <v>0</v>
      </c>
      <c r="BH35" s="6">
        <f>SUM(INDEX(Tabela1[[Nordic Combined - Men''s Individual]:[Nordic Combined - Men''s Team Sprint Large Hill]],MATCH(Table92[[#This Row],[Country]],Tabela1[Country], 0),0))</f>
        <v>0</v>
      </c>
      <c r="BI35" s="6">
        <f>SUM(INDEX(Tabela1[[Short track speed skating - Men''s 500m]:[Short track speed skating - Mixed 2000m Relay]],MATCH(Table92[[#This Row],[Country]],Tabela1[Country], 0),0))</f>
        <v>0</v>
      </c>
      <c r="BJ35" s="6">
        <f>SUM(INDEX(Tabela1[[Skeleton - Men''s Individual]:[Skeleton - Mixed Team]],MATCH(Table92[[#This Row],[Country]],Tabela1[Country], 0),0))</f>
        <v>0</v>
      </c>
      <c r="BK35" s="6">
        <f>SUM(INDEX(Tabela1[[Ski Jumping - Men''s Individual Large Hill]:[Ski Jumping - Mixed Team Normal Hill]],MATCH(Table92[[#This Row],[Country]],Tabela1[Country], 0),0))</f>
        <v>2</v>
      </c>
      <c r="BL35" s="6">
        <f>SUM(INDEX(Tabela1[[Ski Mountaineering - Men''s Sprint]:[Ski Mountaineering - Mixed Relay]],MATCH(Table92[[#This Row],[Country]],Tabela1[Country], 0),0))</f>
        <v>0</v>
      </c>
      <c r="BM35" s="6">
        <f>SUM(INDEX(Tabela1[[Snowboarding - Men''s Big Air]:[Snowboarding - Mixed Team Snowboard Cross]],MATCH(Table92[[#This Row],[Country]],Tabela1[Country], 0),0))</f>
        <v>0</v>
      </c>
      <c r="BN35" s="6">
        <f>SUM(INDEX(Tabela1[[Speed Skating - Men''s 500m]:[Speed Skating - Women''s Team Pursuit]],MATCH(Table92[[#This Row],[Country]],Tabela1[Country], 0),0))</f>
        <v>0</v>
      </c>
      <c r="BO35" s="6" t="str">
        <f>SUBSTITUTE(INDEX(Table92[[#Headers],[Archery Quotas]:[Speed Skating Quotas]], MATCH(MAX(Table92[[#This Row],[Archery Quotas]:[Speed Skating Quotas]]), Table92[[#This Row],[Archery Quotas]:[Speed Skating Quotas]], 0))," Quotas","")</f>
        <v>Biathlon</v>
      </c>
      <c r="BP35" s="6">
        <f>SUM(Table92[[#This Row],[Summer Sports]:[Winter Sports]])</f>
        <v>9</v>
      </c>
      <c r="BQ35" s="6">
        <f>COUNTIF(Table92[[#This Row],[Archery Quotas]:[Wrestling Quotas]],"&lt;&gt;0")</f>
        <v>5</v>
      </c>
      <c r="BR35" s="6">
        <f>COUNTIF(Table92[[#This Row],[Alpine Skiing Quotas]:[Speed Skating Quotas]],"&lt;&gt;0")</f>
        <v>4</v>
      </c>
      <c r="BS35" s="3" t="s">
        <v>371</v>
      </c>
    </row>
    <row r="36" spans="1:71" x14ac:dyDescent="0.3">
      <c r="A36" s="6" t="s">
        <v>346</v>
      </c>
      <c r="B36" t="e" vm="35">
        <f>IF(ISBLANK(Table92[[#This Row],[Flag Link]]), "", _xlfn.IMAGE(Table92[[#This Row],[Flag Link]],1,1))</f>
        <v>#VALUE!</v>
      </c>
      <c r="C36" s="6">
        <f>SUM(Table92[[#This Row],[Archery Quotas]:[Speed Skating Quotas]])</f>
        <v>35</v>
      </c>
      <c r="D36" s="6">
        <f>SUM(INDEX(Tabela1[[Archery - Men''s Individual Recurve]:[Archery - Mixed Team Recurve]],MATCH(Table92[[#This Row],[Country]],Tabela1[Country], 0),0))</f>
        <v>0</v>
      </c>
      <c r="E36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4</v>
      </c>
      <c r="F36" s="6">
        <f>SUM(INDEX(Tabela1[[Artistic Swimming - Women''s Duet]:[Artistic Swimming - Women''s Team]],MATCH(Table92[[#This Row],[Country]],Tabela1[Country], 0),0))</f>
        <v>0</v>
      </c>
      <c r="G36" s="6">
        <f>SUM(INDEX(Tabela1[[Athletics - Men''s 100m]:[Athletics - Women''s Heptathlon]],MATCH(Table92[[#This Row],[Country]],Tabela1[Country], 0),0))</f>
        <v>9</v>
      </c>
      <c r="H36" s="6">
        <f>SUM(INDEX(Tabela1[[Badminton - Men''s Singles]:[Badminton - Mixed Doubles]],MATCH(Table92[[#This Row],[Country]],Tabela1[Country], 0),0))</f>
        <v>0</v>
      </c>
      <c r="I36" s="6">
        <f>SUM(INDEX(Tabela1[[Basketball - Men''s Tournament]:[Basketball - Women''s Tournament]],MATCH(Table92[[#This Row],[Country]],Tabela1[Country], 0),0))</f>
        <v>0</v>
      </c>
      <c r="J36" s="6">
        <f>SUM(INDEX(Tabela1[[3x3 Basketball - Men''s Tournament]:[3x3 Basketball - Women''s Tournament]],MATCH(Table92[[#This Row],[Country]],Tabela1[Country], 0),0))</f>
        <v>0</v>
      </c>
      <c r="K36" s="6">
        <f>SUM(INDEX(Tabela1[[Beach Volleyball - Men''s Tournament]:[Beach Volleyball - Women''s Tournament]],MATCH(Table92[[#This Row],[Country]],Tabela1[Country], 0),0))</f>
        <v>0</v>
      </c>
      <c r="L36" s="6">
        <f>SUM(INDEX(Tabela1[[Boxing - Men''s 51kg]:[Boxing - Women''s 75kg]],MATCH(Table92[[#This Row],[Country]],Tabela1[Country], 0),0))</f>
        <v>0</v>
      </c>
      <c r="M36" s="6">
        <f>SUM(INDEX(Tabela1[[Breaking - Men''s Individual]:[Breaking - Women''s Individual]],MATCH(Table92[[#This Row],[Country]],Tabela1[Country], 0),0))</f>
        <v>1</v>
      </c>
      <c r="N36" s="6">
        <f>SUM(INDEX(Tabela1[[Canoeing - Men''s C1 Slalom]:[Canoeing - Women''s Kayak Cross Slalom]],MATCH(Table92[[#This Row],[Country]],Tabela1[Country], 0),0))</f>
        <v>0</v>
      </c>
      <c r="O36" s="6">
        <f>SUM(INDEX(Tabela1[[Canoeing - Women''s C1 200m]:[Canoeing - Women''s K4 500m]],MATCH(Table92[[#This Row],[Country]],Tabela1[Country], 0),0))</f>
        <v>1</v>
      </c>
      <c r="P36" s="6">
        <f>SUM(INDEX(Tabela1[[Cycling - Men''s BMX Freestyle]:[Cycling - Women''s BMX Freestyle]],MATCH(Table92[[#This Row],[Country]],Tabela1[Country], 0),0))</f>
        <v>0</v>
      </c>
      <c r="Q36" s="6">
        <f>SUM(INDEX(Tabela1[[Cycling - Men''s BMX Racing]:[Cycling - Women''s BMX Racing]],MATCH(Table92[[#This Row],[Country]],Tabela1[Country], 0),0))</f>
        <v>0</v>
      </c>
      <c r="R36" s="6">
        <f>SUM(INDEX(Tabela1[[Cycling - Men''s Cross-Country]:[Cycling - Women''s Cross-Country]],MATCH(Table92[[#This Row],[Country]],Tabela1[Country], 0),0))</f>
        <v>1</v>
      </c>
      <c r="S36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2</v>
      </c>
      <c r="T36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1</v>
      </c>
      <c r="U36" s="6">
        <f>SUM(INDEX(Tabela1[[Diving - Men''s Springboard]:[Diving - Women''s Synchronized Platform]],MATCH(Table92[[#This Row],[Country]],Tabela1[Country], 0),0))</f>
        <v>0</v>
      </c>
      <c r="V36" s="6">
        <f>SUM(INDEX(Tabela1[[Equestrian - Individual Dressage]:[Equestrian - Team Dressage]],MATCH(Table92[[#This Row],[Country]],Tabela1[Country], 0),0))</f>
        <v>0</v>
      </c>
      <c r="W36" s="6">
        <f>SUM(INDEX(Tabela1[[Equestrian - Individual Eventing]:[Equestrian - Team Eventing]],MATCH(Table92[[#This Row],[Country]],Tabela1[Country], 0),0))</f>
        <v>1</v>
      </c>
      <c r="X36" s="6">
        <f>SUM(INDEX(Tabela1[[Equestrian - Individual Jumping]:[Equestrian - Team Jumping]],MATCH(Table92[[#This Row],[Country]],Tabela1[Country], 0),0))</f>
        <v>0</v>
      </c>
      <c r="Y36" s="6">
        <f>SUM(INDEX(Tabela1[[Fencing - Men''s Épée]:[Fencing - Women''s Team Sabre]],MATCH(Table92[[#This Row],[Country]],Tabela1[Country], 0),0))</f>
        <v>0</v>
      </c>
      <c r="Z36" s="6">
        <f>SUM(INDEX(Tabela1[[Field Hockey - Men''s Tournament]:[Field Hockey - Women''s Tournament]],MATCH(Table92[[#This Row],[Country]],Tabela1[Country], 0),0))</f>
        <v>0</v>
      </c>
      <c r="AA36" s="6">
        <f>SUM(INDEX(Tabela1[[Football - Men''s Tournament]:[Football - Women''s Tournament]],MATCH(Table92[[#This Row],[Country]],Tabela1[Country], 0),0))</f>
        <v>0</v>
      </c>
      <c r="AB36" s="6">
        <f>SUM(INDEX(Tabela1[[Golf - Men''s Individual]:[Golf - Women''s Individual]],MATCH(Table92[[#This Row],[Country]],Tabela1[Country], 0),0))</f>
        <v>0</v>
      </c>
      <c r="AC36" s="6">
        <f>SUM(INDEX(Tabela1[[Handball - Men''s Tournament]:[Handball - Women''s Tournament]],MATCH(Table92[[#This Row],[Country]],Tabela1[Country], 0),0))</f>
        <v>0</v>
      </c>
      <c r="AD36" s="6">
        <f>SUM(INDEX(Tabela1[[Judo - Men''s 60kg]:[Judo - Mixed Team]],MATCH(Table92[[#This Row],[Country]],Tabela1[Country], 0),0))</f>
        <v>1</v>
      </c>
      <c r="AE36" s="6">
        <f>SUM(INDEX(Tabela1[[Swimming - Men''s 10km Open Water]:[Swimming - Women''s 10km Open Water]],MATCH(Table92[[#This Row],[Country]],Tabela1[Country], 0),0))</f>
        <v>1</v>
      </c>
      <c r="AF36" s="6">
        <f>SUM(INDEX(Tabela1[[Modern Pentathlon - Men''s Individual]:[Modern Pentathlon - Women''s Individual]],MATCH(Table92[[#This Row],[Country]],Tabela1[Country], 0),0))</f>
        <v>0</v>
      </c>
      <c r="AG36" s="6">
        <f>SUM(INDEX(Tabela1[[Rhythmic Gymnastics - Women''s Individual All-Around]:[Rhythmic Gymnastics - Women''s Group All-Around]],MATCH(Table92[[#This Row],[Country]],Tabela1[Country], 0),0))</f>
        <v>0</v>
      </c>
      <c r="AH36" s="6">
        <f>SUM(INDEX(Tabela1[[Rowing - Men''s Single Sculls]:[Rowing - Women''s Lwt. Double Sculls]],MATCH(Table92[[#This Row],[Country]],Tabela1[Country], 0),0))</f>
        <v>0</v>
      </c>
      <c r="AI36" s="6">
        <f>SUM(INDEX(Tabela1[[Rugby Sevens - Men''s Tournament]:[Rugby Sevens - Women''s Tournament]],MATCH(Table92[[#This Row],[Country]],Tabela1[Country], 0),0))</f>
        <v>0</v>
      </c>
      <c r="AJ36" s="6">
        <f>SUM(INDEX(Tabela1[[Sailing - Mixed 470]:[Sailing - Mixed Nacra 17]],MATCH(Table92[[#This Row],[Country]],Tabela1[Country], 0),0))</f>
        <v>2</v>
      </c>
      <c r="AK36" s="6">
        <f>SUM(INDEX(Tabela1[[Shooting - Men''s 10m Air Pistol]:[Shooting - Women''s Trap]],MATCH(Table92[[#This Row],[Country]],Tabela1[Country], 0),0))</f>
        <v>1</v>
      </c>
      <c r="AL36" s="6">
        <f>SUM(INDEX(Tabela1[[Skateboarding - Men''s Park]:[Skateboarding - Women''s Street]],MATCH(Table92[[#This Row],[Country]],Tabela1[Country], 0),0))</f>
        <v>1</v>
      </c>
      <c r="AM36" s="6">
        <f>SUM(INDEX(Tabela1[[Sport Climbing - Men''s Boulder and Lead]:[Sport Climbing - Women''s Speed]],MATCH(Table92[[#This Row],[Country]],Tabela1[Country], 0),0))</f>
        <v>0</v>
      </c>
      <c r="AN36" s="6">
        <f>SUM(INDEX(Tabela1[[Surfing - Men''s Shortboard]:[Surfing - Women''s Shortboard]],MATCH(Table92[[#This Row],[Country]],Tabela1[Country], 0),0))</f>
        <v>0</v>
      </c>
      <c r="AO36" s="6">
        <f>SUM(INDEX(Tabela1[[Swimming - Men''s 50m Freestyle]:[Swimming - Mixed 4x100m Medley Relay]],MATCH(Table92[[#This Row],[Country]],Tabela1[Country], 0),0))</f>
        <v>0</v>
      </c>
      <c r="AP36" s="6">
        <f>SUM(INDEX(Tabela1[[Table Tennis - Men''s Singles]:[Table Tennis - Mixed Doubles]],MATCH(Table92[[#This Row],[Country]],Tabela1[Country], 0),0))</f>
        <v>4</v>
      </c>
      <c r="AQ36" s="6">
        <f>SUM(INDEX(Tabela1[[Taekwondo - Men''s 58kg]:[Taekwondo - Women''s +67kg]],MATCH(Table92[[#This Row],[Country]],Tabela1[Country], 0),0))</f>
        <v>0</v>
      </c>
      <c r="AR36" s="6">
        <f>SUM(INDEX(Tabela1[[Tennis - Men''s Singles]:[Tennis - Mixed Doubles]],MATCH(Table92[[#This Row],[Country]],Tabela1[Country], 0),0))</f>
        <v>3</v>
      </c>
      <c r="AS36" s="6">
        <f>SUM(INDEX(Tabela1[[Gymnastics - Men''s Trampoline]:[Gymnastics - Women''s Trampoline]],MATCH(Table92[[#This Row],[Country]],Tabela1[Country], 0),0))</f>
        <v>0</v>
      </c>
      <c r="AT36" s="6">
        <f>SUM(INDEX(Tabela1[[Triathlon - Men''s Individual]:[Triathlon - Mixed Relay]],MATCH(Table92[[#This Row],[Country]],Tabela1[Country], 0),0))</f>
        <v>0</v>
      </c>
      <c r="AU36" s="6">
        <f>SUM(INDEX(Tabela1[[Volleyball - Men''s Tournament]:[Volleyball - Women''s Tournament]],MATCH(Table92[[#This Row],[Country]],Tabela1[Country], 0),0))</f>
        <v>0</v>
      </c>
      <c r="AV36" s="6">
        <f>SUM(INDEX(Tabela1[[Water Polo - Men''s Tournament]:[Water Polo - Women''s Tournament]],MATCH(Table92[[#This Row],[Country]],Tabela1[Country], 0),0))</f>
        <v>0</v>
      </c>
      <c r="AW36" s="6">
        <f>SUM(INDEX(Tabela1[[Weightlifting - Men''s 61kg]:[Weightlifting - Women''s +81kg]],MATCH(Table92[[#This Row],[Country]],Tabela1[Country], 0),0))</f>
        <v>0</v>
      </c>
      <c r="AX36" s="6">
        <f>SUM(INDEX(Tabela1[[Wrestling - Men''s Freestyle 57kg]:[Wrestling - Women''s Freestyle 76kg]],MATCH(Table92[[#This Row],[Country]],Tabela1[Country], 0),0))</f>
        <v>0</v>
      </c>
      <c r="AY36" s="6">
        <f>SUM(INDEX(Tabela1[[Alpine Skiing - Men''s Downhill]:[Alpine Skiing - Women''s Team Combined]],MATCH(Table92[[#This Row],[Country]],Tabela1[Country], 0),0))</f>
        <v>0</v>
      </c>
      <c r="AZ36" s="6">
        <f>SUM(INDEX(Tabela1[[Biathlon - Men''s Individual]:[Biathlon - Mixed Relay]],MATCH(Table92[[#This Row],[Country]],Tabela1[Country], 0),0))</f>
        <v>0</v>
      </c>
      <c r="BA36" s="6">
        <f>SUM(INDEX(Tabela1[[Bobsleigh - Women''s Monobob]:[Bobsleigh - Men''s Four]],MATCH(Table92[[#This Row],[Country]],Tabela1[Country], 0),0))</f>
        <v>0</v>
      </c>
      <c r="BB36" s="6">
        <f>SUM(INDEX(Tabela1[[Cross-country skiing - Men''s Classical]:[Cross-country skiing - Women''s Team Sprint]],MATCH(Table92[[#This Row],[Country]],Tabela1[Country], 0),0))</f>
        <v>2</v>
      </c>
      <c r="BC36" s="6">
        <f>SUM(INDEX(Tabela1[[Curling - Men''s Tournament]:[Curling - Mixed Doubles]],MATCH(Table92[[#This Row],[Country]],Tabela1[Country], 0),0))</f>
        <v>0</v>
      </c>
      <c r="BD36" s="6">
        <f>SUM(INDEX(Tabela1[[Figure Skating - Men''s Singles]:[Figure Skating - Team Event]],MATCH(Table92[[#This Row],[Country]],Tabela1[Country], 0),0))</f>
        <v>0</v>
      </c>
      <c r="BE36" s="6">
        <f>SUM(INDEX(Tabela1[[Freestyle Skiing - Men''s Aerials]:[Freestyle Skiing - Women''s Slopestyle]],MATCH(Table92[[#This Row],[Country]],Tabela1[Country], 0),0))</f>
        <v>0</v>
      </c>
      <c r="BF36" s="6">
        <f>SUM(INDEX(Tabela1[[Ice Hockey - Men''s Tournament]:[Ice Hockey - Women''s Tournament]],MATCH(Table92[[#This Row],[Country]],Tabela1[Country], 0),0))</f>
        <v>0</v>
      </c>
      <c r="BG36" s="6">
        <f>SUM(INDEX(Tabela1[[Luge - Men''s Singles]:[Luge - Mixed Team Relay]],MATCH(Table92[[#This Row],[Country]],Tabela1[Country], 0),0))</f>
        <v>0</v>
      </c>
      <c r="BH36" s="6">
        <f>SUM(INDEX(Tabela1[[Nordic Combined - Men''s Individual]:[Nordic Combined - Men''s Team Sprint Large Hill]],MATCH(Table92[[#This Row],[Country]],Tabela1[Country], 0),0))</f>
        <v>0</v>
      </c>
      <c r="BI36" s="6">
        <f>SUM(INDEX(Tabela1[[Short track speed skating - Men''s 500m]:[Short track speed skating - Mixed 2000m Relay]],MATCH(Table92[[#This Row],[Country]],Tabela1[Country], 0),0))</f>
        <v>0</v>
      </c>
      <c r="BJ36" s="6">
        <f>SUM(INDEX(Tabela1[[Skeleton - Men''s Individual]:[Skeleton - Mixed Team]],MATCH(Table92[[#This Row],[Country]],Tabela1[Country], 0),0))</f>
        <v>0</v>
      </c>
      <c r="BK36" s="6">
        <f>SUM(INDEX(Tabela1[[Ski Jumping - Men''s Individual Large Hill]:[Ski Jumping - Mixed Team Normal Hill]],MATCH(Table92[[#This Row],[Country]],Tabela1[Country], 0),0))</f>
        <v>0</v>
      </c>
      <c r="BL36" s="6">
        <f>SUM(INDEX(Tabela1[[Ski Mountaineering - Men''s Sprint]:[Ski Mountaineering - Mixed Relay]],MATCH(Table92[[#This Row],[Country]],Tabela1[Country], 0),0))</f>
        <v>0</v>
      </c>
      <c r="BM36" s="6">
        <f>SUM(INDEX(Tabela1[[Snowboarding - Men''s Big Air]:[Snowboarding - Mixed Team Snowboard Cross]],MATCH(Table92[[#This Row],[Country]],Tabela1[Country], 0),0))</f>
        <v>0</v>
      </c>
      <c r="BN36" s="6">
        <f>SUM(INDEX(Tabela1[[Speed Skating - Men''s 500m]:[Speed Skating - Women''s Team Pursuit]],MATCH(Table92[[#This Row],[Country]],Tabela1[Country], 0),0))</f>
        <v>0</v>
      </c>
      <c r="BO36" s="6" t="str">
        <f>SUBSTITUTE(INDEX(Table92[[#Headers],[Archery Quotas]:[Speed Skating Quotas]], MATCH(MAX(Table92[[#This Row],[Archery Quotas]:[Speed Skating Quotas]]), Table92[[#This Row],[Archery Quotas]:[Speed Skating Quotas]], 0))," Quotas","")</f>
        <v>Athletics</v>
      </c>
      <c r="BP36" s="6">
        <f>SUM(Table92[[#This Row],[Summer Sports]:[Winter Sports]])</f>
        <v>16</v>
      </c>
      <c r="BQ36" s="6">
        <f>COUNTIF(Table92[[#This Row],[Archery Quotas]:[Wrestling Quotas]],"&lt;&gt;0")</f>
        <v>15</v>
      </c>
      <c r="BR36" s="6">
        <f>COUNTIF(Table92[[#This Row],[Alpine Skiing Quotas]:[Speed Skating Quotas]],"&lt;&gt;0")</f>
        <v>1</v>
      </c>
      <c r="BS36" s="3" t="s">
        <v>347</v>
      </c>
    </row>
    <row r="37" spans="1:71" x14ac:dyDescent="0.3">
      <c r="A37" s="6" t="s">
        <v>406</v>
      </c>
      <c r="B37" t="e" vm="36">
        <f>IF(ISBLANK(Table92[[#This Row],[Flag Link]]), "", _xlfn.IMAGE(Table92[[#This Row],[Flag Link]],1,1))</f>
        <v>#VALUE!</v>
      </c>
      <c r="C37" s="6">
        <f>SUM(Table92[[#This Row],[Archery Quotas]:[Speed Skating Quotas]])</f>
        <v>33</v>
      </c>
      <c r="D37" s="6">
        <f>SUM(INDEX(Tabela1[[Archery - Men''s Individual Recurve]:[Archery - Mixed Team Recurve]],MATCH(Table92[[#This Row],[Country]],Tabela1[Country], 0),0))</f>
        <v>0</v>
      </c>
      <c r="E37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37" s="6">
        <f>SUM(INDEX(Tabela1[[Artistic Swimming - Women''s Duet]:[Artistic Swimming - Women''s Team]],MATCH(Table92[[#This Row],[Country]],Tabela1[Country], 0),0))</f>
        <v>0</v>
      </c>
      <c r="G37" s="6">
        <f>SUM(INDEX(Tabela1[[Athletics - Men''s 100m]:[Athletics - Women''s Heptathlon]],MATCH(Table92[[#This Row],[Country]],Tabela1[Country], 0),0))</f>
        <v>3</v>
      </c>
      <c r="H37" s="6">
        <f>SUM(INDEX(Tabela1[[Badminton - Men''s Singles]:[Badminton - Mixed Doubles]],MATCH(Table92[[#This Row],[Country]],Tabela1[Country], 0),0))</f>
        <v>0</v>
      </c>
      <c r="I37" s="6">
        <f>SUM(INDEX(Tabela1[[Basketball - Men''s Tournament]:[Basketball - Women''s Tournament]],MATCH(Table92[[#This Row],[Country]],Tabela1[Country], 0),0))</f>
        <v>0</v>
      </c>
      <c r="J37" s="6">
        <f>SUM(INDEX(Tabela1[[3x3 Basketball - Men''s Tournament]:[3x3 Basketball - Women''s Tournament]],MATCH(Table92[[#This Row],[Country]],Tabela1[Country], 0),0))</f>
        <v>0</v>
      </c>
      <c r="K37" s="6">
        <f>SUM(INDEX(Tabela1[[Beach Volleyball - Men''s Tournament]:[Beach Volleyball - Women''s Tournament]],MATCH(Table92[[#This Row],[Country]],Tabela1[Country], 0),0))</f>
        <v>0</v>
      </c>
      <c r="L37" s="6">
        <f>SUM(INDEX(Tabela1[[Boxing - Men''s 51kg]:[Boxing - Women''s 75kg]],MATCH(Table92[[#This Row],[Country]],Tabela1[Country], 0),0))</f>
        <v>1</v>
      </c>
      <c r="M37" s="6">
        <f>SUM(INDEX(Tabela1[[Breaking - Men''s Individual]:[Breaking - Women''s Individual]],MATCH(Table92[[#This Row],[Country]],Tabela1[Country], 0),0))</f>
        <v>0</v>
      </c>
      <c r="N37" s="6">
        <f>SUM(INDEX(Tabela1[[Canoeing - Men''s C1 Slalom]:[Canoeing - Women''s Kayak Cross Slalom]],MATCH(Table92[[#This Row],[Country]],Tabela1[Country], 0),0))</f>
        <v>0</v>
      </c>
      <c r="O37" s="6">
        <f>SUM(INDEX(Tabela1[[Canoeing - Women''s C1 200m]:[Canoeing - Women''s K4 500m]],MATCH(Table92[[#This Row],[Country]],Tabela1[Country], 0),0))</f>
        <v>0</v>
      </c>
      <c r="P37" s="6">
        <f>SUM(INDEX(Tabela1[[Cycling - Men''s BMX Freestyle]:[Cycling - Women''s BMX Freestyle]],MATCH(Table92[[#This Row],[Country]],Tabela1[Country], 0),0))</f>
        <v>0</v>
      </c>
      <c r="Q37" s="6">
        <f>SUM(INDEX(Tabela1[[Cycling - Men''s BMX Racing]:[Cycling - Women''s BMX Racing]],MATCH(Table92[[#This Row],[Country]],Tabela1[Country], 0),0))</f>
        <v>0</v>
      </c>
      <c r="R37" s="6">
        <f>SUM(INDEX(Tabela1[[Cycling - Men''s Cross-Country]:[Cycling - Women''s Cross-Country]],MATCH(Table92[[#This Row],[Country]],Tabela1[Country], 0),0))</f>
        <v>0</v>
      </c>
      <c r="S37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37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37" s="6">
        <f>SUM(INDEX(Tabela1[[Diving - Men''s Springboard]:[Diving - Women''s Synchronized Platform]],MATCH(Table92[[#This Row],[Country]],Tabela1[Country], 0),0))</f>
        <v>0</v>
      </c>
      <c r="V37" s="6">
        <f>SUM(INDEX(Tabela1[[Equestrian - Individual Dressage]:[Equestrian - Team Dressage]],MATCH(Table92[[#This Row],[Country]],Tabela1[Country], 0),0))</f>
        <v>0</v>
      </c>
      <c r="W37" s="6">
        <f>SUM(INDEX(Tabela1[[Equestrian - Individual Eventing]:[Equestrian - Team Eventing]],MATCH(Table92[[#This Row],[Country]],Tabela1[Country], 0),0))</f>
        <v>1</v>
      </c>
      <c r="X37" s="6">
        <f>SUM(INDEX(Tabela1[[Equestrian - Individual Jumping]:[Equestrian - Team Jumping]],MATCH(Table92[[#This Row],[Country]],Tabela1[Country], 0),0))</f>
        <v>0</v>
      </c>
      <c r="Y37" s="6">
        <f>SUM(INDEX(Tabela1[[Fencing - Men''s Épée]:[Fencing - Women''s Team Sabre]],MATCH(Table92[[#This Row],[Country]],Tabela1[Country], 0),0))</f>
        <v>2</v>
      </c>
      <c r="Z37" s="6">
        <f>SUM(INDEX(Tabela1[[Field Hockey - Men''s Tournament]:[Field Hockey - Women''s Tournament]],MATCH(Table92[[#This Row],[Country]],Tabela1[Country], 0),0))</f>
        <v>0</v>
      </c>
      <c r="AA37" s="6">
        <f>SUM(INDEX(Tabela1[[Football - Men''s Tournament]:[Football - Women''s Tournament]],MATCH(Table92[[#This Row],[Country]],Tabela1[Country], 0),0))</f>
        <v>0</v>
      </c>
      <c r="AB37" s="6">
        <f>SUM(INDEX(Tabela1[[Golf - Men''s Individual]:[Golf - Women''s Individual]],MATCH(Table92[[#This Row],[Country]],Tabela1[Country], 0),0))</f>
        <v>0</v>
      </c>
      <c r="AC37" s="6">
        <f>SUM(INDEX(Tabela1[[Handball - Men''s Tournament]:[Handball - Women''s Tournament]],MATCH(Table92[[#This Row],[Country]],Tabela1[Country], 0),0))</f>
        <v>2</v>
      </c>
      <c r="AD37" s="6">
        <f>SUM(INDEX(Tabela1[[Judo - Men''s 60kg]:[Judo - Mixed Team]],MATCH(Table92[[#This Row],[Country]],Tabela1[Country], 0),0))</f>
        <v>0</v>
      </c>
      <c r="AE37" s="6">
        <f>SUM(INDEX(Tabela1[[Swimming - Men''s 10km Open Water]:[Swimming - Women''s 10km Open Water]],MATCH(Table92[[#This Row],[Country]],Tabela1[Country], 0),0))</f>
        <v>1</v>
      </c>
      <c r="AF37" s="6">
        <f>SUM(INDEX(Tabela1[[Modern Pentathlon - Men''s Individual]:[Modern Pentathlon - Women''s Individual]],MATCH(Table92[[#This Row],[Country]],Tabela1[Country], 0),0))</f>
        <v>1</v>
      </c>
      <c r="AG37" s="6">
        <f>SUM(INDEX(Tabela1[[Rhythmic Gymnastics - Women''s Individual All-Around]:[Rhythmic Gymnastics - Women''s Group All-Around]],MATCH(Table92[[#This Row],[Country]],Tabela1[Country], 0),0))</f>
        <v>0</v>
      </c>
      <c r="AH37" s="6">
        <f>SUM(INDEX(Tabela1[[Rowing - Men''s Single Sculls]:[Rowing - Women''s Lwt. Double Sculls]],MATCH(Table92[[#This Row],[Country]],Tabela1[Country], 0),0))</f>
        <v>0</v>
      </c>
      <c r="AI37" s="6">
        <f>SUM(INDEX(Tabela1[[Rugby Sevens - Men''s Tournament]:[Rugby Sevens - Women''s Tournament]],MATCH(Table92[[#This Row],[Country]],Tabela1[Country], 0),0))</f>
        <v>0</v>
      </c>
      <c r="AJ37" s="6">
        <f>SUM(INDEX(Tabela1[[Sailing - Mixed 470]:[Sailing - Mixed Nacra 17]],MATCH(Table92[[#This Row],[Country]],Tabela1[Country], 0),0))</f>
        <v>1</v>
      </c>
      <c r="AK37" s="6">
        <f>SUM(INDEX(Tabela1[[Shooting - Men''s 10m Air Pistol]:[Shooting - Women''s Trap]],MATCH(Table92[[#This Row],[Country]],Tabela1[Country], 0),0))</f>
        <v>2</v>
      </c>
      <c r="AL37" s="6">
        <f>SUM(INDEX(Tabela1[[Skateboarding - Men''s Park]:[Skateboarding - Women''s Street]],MATCH(Table92[[#This Row],[Country]],Tabela1[Country], 0),0))</f>
        <v>0</v>
      </c>
      <c r="AM37" s="6">
        <f>SUM(INDEX(Tabela1[[Sport Climbing - Men''s Boulder and Lead]:[Sport Climbing - Women''s Speed]],MATCH(Table92[[#This Row],[Country]],Tabela1[Country], 0),0))</f>
        <v>0</v>
      </c>
      <c r="AN37" s="6">
        <f>SUM(INDEX(Tabela1[[Surfing - Men''s Shortboard]:[Surfing - Women''s Shortboard]],MATCH(Table92[[#This Row],[Country]],Tabela1[Country], 0),0))</f>
        <v>0</v>
      </c>
      <c r="AO37" s="6">
        <f>SUM(INDEX(Tabela1[[Swimming - Men''s 50m Freestyle]:[Swimming - Mixed 4x100m Medley Relay]],MATCH(Table92[[#This Row],[Country]],Tabela1[Country], 0),0))</f>
        <v>2</v>
      </c>
      <c r="AP37" s="6">
        <f>SUM(INDEX(Tabela1[[Table Tennis - Men''s Singles]:[Table Tennis - Mixed Doubles]],MATCH(Table92[[#This Row],[Country]],Tabela1[Country], 0),0))</f>
        <v>0</v>
      </c>
      <c r="AQ37" s="6">
        <f>SUM(INDEX(Tabela1[[Taekwondo - Men''s 58kg]:[Taekwondo - Women''s +67kg]],MATCH(Table92[[#This Row],[Country]],Tabela1[Country], 0),0))</f>
        <v>2</v>
      </c>
      <c r="AR37" s="6">
        <f>SUM(INDEX(Tabela1[[Tennis - Men''s Singles]:[Tennis - Mixed Doubles]],MATCH(Table92[[#This Row],[Country]],Tabela1[Country], 0),0))</f>
        <v>2</v>
      </c>
      <c r="AS37" s="6">
        <f>SUM(INDEX(Tabela1[[Gymnastics - Men''s Trampoline]:[Gymnastics - Women''s Trampoline]],MATCH(Table92[[#This Row],[Country]],Tabela1[Country], 0),0))</f>
        <v>0</v>
      </c>
      <c r="AT37" s="6">
        <f>SUM(INDEX(Tabela1[[Triathlon - Men''s Individual]:[Triathlon - Mixed Relay]],MATCH(Table92[[#This Row],[Country]],Tabela1[Country], 0),0))</f>
        <v>1</v>
      </c>
      <c r="AU37" s="6">
        <f>SUM(INDEX(Tabela1[[Volleyball - Men''s Tournament]:[Volleyball - Women''s Tournament]],MATCH(Table92[[#This Row],[Country]],Tabela1[Country], 0),0))</f>
        <v>0</v>
      </c>
      <c r="AV37" s="6">
        <f>SUM(INDEX(Tabela1[[Water Polo - Men''s Tournament]:[Water Polo - Women''s Tournament]],MATCH(Table92[[#This Row],[Country]],Tabela1[Country], 0),0))</f>
        <v>2</v>
      </c>
      <c r="AW37" s="6">
        <f>SUM(INDEX(Tabela1[[Weightlifting - Men''s 61kg]:[Weightlifting - Women''s +81kg]],MATCH(Table92[[#This Row],[Country]],Tabela1[Country], 0),0))</f>
        <v>0</v>
      </c>
      <c r="AX37" s="6">
        <f>SUM(INDEX(Tabela1[[Wrestling - Men''s Freestyle 57kg]:[Wrestling - Women''s Freestyle 76kg]],MATCH(Table92[[#This Row],[Country]],Tabela1[Country], 0),0))</f>
        <v>1</v>
      </c>
      <c r="AY37" s="6">
        <f>SUM(INDEX(Tabela1[[Alpine Skiing - Men''s Downhill]:[Alpine Skiing - Women''s Team Combined]],MATCH(Table92[[#This Row],[Country]],Tabela1[Country], 0),0))</f>
        <v>0</v>
      </c>
      <c r="AZ37" s="6">
        <f>SUM(INDEX(Tabela1[[Biathlon - Men''s Individual]:[Biathlon - Mixed Relay]],MATCH(Table92[[#This Row],[Country]],Tabela1[Country], 0),0))</f>
        <v>0</v>
      </c>
      <c r="BA37" s="6">
        <f>SUM(INDEX(Tabela1[[Bobsleigh - Women''s Monobob]:[Bobsleigh - Men''s Four]],MATCH(Table92[[#This Row],[Country]],Tabela1[Country], 0),0))</f>
        <v>0</v>
      </c>
      <c r="BB37" s="6">
        <f>SUM(INDEX(Tabela1[[Cross-country skiing - Men''s Classical]:[Cross-country skiing - Women''s Team Sprint]],MATCH(Table92[[#This Row],[Country]],Tabela1[Country], 0),0))</f>
        <v>4</v>
      </c>
      <c r="BC37" s="6">
        <f>SUM(INDEX(Tabela1[[Curling - Men''s Tournament]:[Curling - Mixed Doubles]],MATCH(Table92[[#This Row],[Country]],Tabela1[Country], 0),0))</f>
        <v>0</v>
      </c>
      <c r="BD37" s="6">
        <f>SUM(INDEX(Tabela1[[Figure Skating - Men''s Singles]:[Figure Skating - Team Event]],MATCH(Table92[[#This Row],[Country]],Tabela1[Country], 0),0))</f>
        <v>0</v>
      </c>
      <c r="BE37" s="6">
        <f>SUM(INDEX(Tabela1[[Freestyle Skiing - Men''s Aerials]:[Freestyle Skiing - Women''s Slopestyle]],MATCH(Table92[[#This Row],[Country]],Tabela1[Country], 0),0))</f>
        <v>0</v>
      </c>
      <c r="BF37" s="6">
        <f>SUM(INDEX(Tabela1[[Ice Hockey - Men''s Tournament]:[Ice Hockey - Women''s Tournament]],MATCH(Table92[[#This Row],[Country]],Tabela1[Country], 0),0))</f>
        <v>0</v>
      </c>
      <c r="BG37" s="6">
        <f>SUM(INDEX(Tabela1[[Luge - Men''s Singles]:[Luge - Mixed Team Relay]],MATCH(Table92[[#This Row],[Country]],Tabela1[Country], 0),0))</f>
        <v>0</v>
      </c>
      <c r="BH37" s="6">
        <f>SUM(INDEX(Tabela1[[Nordic Combined - Men''s Individual]:[Nordic Combined - Men''s Team Sprint Large Hill]],MATCH(Table92[[#This Row],[Country]],Tabela1[Country], 0),0))</f>
        <v>0</v>
      </c>
      <c r="BI37" s="6">
        <f>SUM(INDEX(Tabela1[[Short track speed skating - Men''s 500m]:[Short track speed skating - Mixed 2000m Relay]],MATCH(Table92[[#This Row],[Country]],Tabela1[Country], 0),0))</f>
        <v>5</v>
      </c>
      <c r="BJ37" s="6">
        <f>SUM(INDEX(Tabela1[[Skeleton - Men''s Individual]:[Skeleton - Mixed Team]],MATCH(Table92[[#This Row],[Country]],Tabela1[Country], 0),0))</f>
        <v>0</v>
      </c>
      <c r="BK37" s="6">
        <f>SUM(INDEX(Tabela1[[Ski Jumping - Men''s Individual Large Hill]:[Ski Jumping - Mixed Team Normal Hill]],MATCH(Table92[[#This Row],[Country]],Tabela1[Country], 0),0))</f>
        <v>0</v>
      </c>
      <c r="BL37" s="6">
        <f>SUM(INDEX(Tabela1[[Ski Mountaineering - Men''s Sprint]:[Ski Mountaineering - Mixed Relay]],MATCH(Table92[[#This Row],[Country]],Tabela1[Country], 0),0))</f>
        <v>0</v>
      </c>
      <c r="BM37" s="6">
        <f>SUM(INDEX(Tabela1[[Snowboarding - Men''s Big Air]:[Snowboarding - Mixed Team Snowboard Cross]],MATCH(Table92[[#This Row],[Country]],Tabela1[Country], 0),0))</f>
        <v>0</v>
      </c>
      <c r="BN37" s="6">
        <f>SUM(INDEX(Tabela1[[Speed Skating - Men''s 500m]:[Speed Skating - Women''s Team Pursuit]],MATCH(Table92[[#This Row],[Country]],Tabela1[Country], 0),0))</f>
        <v>0</v>
      </c>
      <c r="BO37" s="6" t="str">
        <f>SUBSTITUTE(INDEX(Table92[[#Headers],[Archery Quotas]:[Speed Skating Quotas]], MATCH(MAX(Table92[[#This Row],[Archery Quotas]:[Speed Skating Quotas]]), Table92[[#This Row],[Archery Quotas]:[Speed Skating Quotas]], 0))," Quotas","")</f>
        <v>Short Track Speed Skating</v>
      </c>
      <c r="BP37" s="6">
        <f>SUM(Table92[[#This Row],[Summer Sports]:[Winter Sports]])</f>
        <v>17</v>
      </c>
      <c r="BQ37" s="6">
        <f>COUNTIF(Table92[[#This Row],[Archery Quotas]:[Wrestling Quotas]],"&lt;&gt;0")</f>
        <v>15</v>
      </c>
      <c r="BR37" s="6">
        <f>COUNTIF(Table92[[#This Row],[Alpine Skiing Quotas]:[Speed Skating Quotas]],"&lt;&gt;0")</f>
        <v>2</v>
      </c>
      <c r="BS37" s="3" t="s">
        <v>407</v>
      </c>
    </row>
    <row r="38" spans="1:71" x14ac:dyDescent="0.3">
      <c r="A38" s="6" t="s">
        <v>694</v>
      </c>
      <c r="B38" t="e" vm="37">
        <f>IF(ISBLANK(Table92[[#This Row],[Flag Link]]), "", _xlfn.IMAGE(Table92[[#This Row],[Flag Link]],1,1))</f>
        <v>#VALUE!</v>
      </c>
      <c r="C38" s="6">
        <f>SUM(Table92[[#This Row],[Archery Quotas]:[Speed Skating Quotas]])</f>
        <v>33</v>
      </c>
      <c r="D38" s="6">
        <f>SUM(INDEX(Tabela1[[Archery - Men''s Individual Recurve]:[Archery - Mixed Team Recurve]],MATCH(Table92[[#This Row],[Country]],Tabela1[Country], 0),0))</f>
        <v>0</v>
      </c>
      <c r="E38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38" s="6">
        <f>SUM(INDEX(Tabela1[[Artistic Swimming - Women''s Duet]:[Artistic Swimming - Women''s Team]],MATCH(Table92[[#This Row],[Country]],Tabela1[Country], 0),0))</f>
        <v>0</v>
      </c>
      <c r="G38" s="6">
        <f>SUM(INDEX(Tabela1[[Athletics - Men''s 100m]:[Athletics - Women''s Heptathlon]],MATCH(Table92[[#This Row],[Country]],Tabela1[Country], 0),0))</f>
        <v>3</v>
      </c>
      <c r="H38" s="6">
        <f>SUM(INDEX(Tabela1[[Badminton - Men''s Singles]:[Badminton - Mixed Doubles]],MATCH(Table92[[#This Row],[Country]],Tabela1[Country], 0),0))</f>
        <v>0</v>
      </c>
      <c r="I38" s="6">
        <f>SUM(INDEX(Tabela1[[Basketball - Men''s Tournament]:[Basketball - Women''s Tournament]],MATCH(Table92[[#This Row],[Country]],Tabela1[Country], 0),0))</f>
        <v>0</v>
      </c>
      <c r="J38" s="6">
        <f>SUM(INDEX(Tabela1[[3x3 Basketball - Men''s Tournament]:[3x3 Basketball - Women''s Tournament]],MATCH(Table92[[#This Row],[Country]],Tabela1[Country], 0),0))</f>
        <v>0</v>
      </c>
      <c r="K38" s="6">
        <f>SUM(INDEX(Tabela1[[Beach Volleyball - Men''s Tournament]:[Beach Volleyball - Women''s Tournament]],MATCH(Table92[[#This Row],[Country]],Tabela1[Country], 0),0))</f>
        <v>0</v>
      </c>
      <c r="L38" s="6">
        <f>SUM(INDEX(Tabela1[[Boxing - Men''s 51kg]:[Boxing - Women''s 75kg]],MATCH(Table92[[#This Row],[Country]],Tabela1[Country], 0),0))</f>
        <v>0</v>
      </c>
      <c r="M38" s="6">
        <f>SUM(INDEX(Tabela1[[Breaking - Men''s Individual]:[Breaking - Women''s Individual]],MATCH(Table92[[#This Row],[Country]],Tabela1[Country], 0),0))</f>
        <v>0</v>
      </c>
      <c r="N38" s="6">
        <f>SUM(INDEX(Tabela1[[Canoeing - Men''s C1 Slalom]:[Canoeing - Women''s Kayak Cross Slalom]],MATCH(Table92[[#This Row],[Country]],Tabela1[Country], 0),0))</f>
        <v>0</v>
      </c>
      <c r="O38" s="6">
        <f>SUM(INDEX(Tabela1[[Canoeing - Women''s C1 200m]:[Canoeing - Women''s K4 500m]],MATCH(Table92[[#This Row],[Country]],Tabela1[Country], 0),0))</f>
        <v>0</v>
      </c>
      <c r="P38" s="6">
        <f>SUM(INDEX(Tabela1[[Cycling - Men''s BMX Freestyle]:[Cycling - Women''s BMX Freestyle]],MATCH(Table92[[#This Row],[Country]],Tabela1[Country], 0),0))</f>
        <v>0</v>
      </c>
      <c r="Q38" s="6">
        <f>SUM(INDEX(Tabela1[[Cycling - Men''s BMX Racing]:[Cycling - Women''s BMX Racing]],MATCH(Table92[[#This Row],[Country]],Tabela1[Country], 0),0))</f>
        <v>0</v>
      </c>
      <c r="R38" s="6">
        <f>SUM(INDEX(Tabela1[[Cycling - Men''s Cross-Country]:[Cycling - Women''s Cross-Country]],MATCH(Table92[[#This Row],[Country]],Tabela1[Country], 0),0))</f>
        <v>0</v>
      </c>
      <c r="S38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38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38" s="6">
        <f>SUM(INDEX(Tabela1[[Diving - Men''s Springboard]:[Diving - Women''s Synchronized Platform]],MATCH(Table92[[#This Row],[Country]],Tabela1[Country], 0),0))</f>
        <v>0</v>
      </c>
      <c r="V38" s="6">
        <f>SUM(INDEX(Tabela1[[Equestrian - Individual Dressage]:[Equestrian - Team Dressage]],MATCH(Table92[[#This Row],[Country]],Tabela1[Country], 0),0))</f>
        <v>0</v>
      </c>
      <c r="W38" s="6">
        <f>SUM(INDEX(Tabela1[[Equestrian - Individual Eventing]:[Equestrian - Team Eventing]],MATCH(Table92[[#This Row],[Country]],Tabela1[Country], 0),0))</f>
        <v>0</v>
      </c>
      <c r="X38" s="6">
        <f>SUM(INDEX(Tabela1[[Equestrian - Individual Jumping]:[Equestrian - Team Jumping]],MATCH(Table92[[#This Row],[Country]],Tabela1[Country], 0),0))</f>
        <v>0</v>
      </c>
      <c r="Y38" s="6">
        <f>SUM(INDEX(Tabela1[[Fencing - Men''s Épée]:[Fencing - Women''s Team Sabre]],MATCH(Table92[[#This Row],[Country]],Tabela1[Country], 0),0))</f>
        <v>0</v>
      </c>
      <c r="Z38" s="6">
        <f>SUM(INDEX(Tabela1[[Field Hockey - Men''s Tournament]:[Field Hockey - Women''s Tournament]],MATCH(Table92[[#This Row],[Country]],Tabela1[Country], 0),0))</f>
        <v>0</v>
      </c>
      <c r="AA38" s="6">
        <f>SUM(INDEX(Tabela1[[Football - Men''s Tournament]:[Football - Women''s Tournament]],MATCH(Table92[[#This Row],[Country]],Tabela1[Country], 0),0))</f>
        <v>0</v>
      </c>
      <c r="AB38" s="6">
        <f>SUM(INDEX(Tabela1[[Golf - Men''s Individual]:[Golf - Women''s Individual]],MATCH(Table92[[#This Row],[Country]],Tabela1[Country], 0),0))</f>
        <v>1</v>
      </c>
      <c r="AC38" s="6">
        <f>SUM(INDEX(Tabela1[[Handball - Men''s Tournament]:[Handball - Women''s Tournament]],MATCH(Table92[[#This Row],[Country]],Tabela1[Country], 0),0))</f>
        <v>2</v>
      </c>
      <c r="AD38" s="6">
        <f>SUM(INDEX(Tabela1[[Judo - Men''s 60kg]:[Judo - Mixed Team]],MATCH(Table92[[#This Row],[Country]],Tabela1[Country], 0),0))</f>
        <v>2</v>
      </c>
      <c r="AE38" s="6">
        <f>SUM(INDEX(Tabela1[[Swimming - Men''s 10km Open Water]:[Swimming - Women''s 10km Open Water]],MATCH(Table92[[#This Row],[Country]],Tabela1[Country], 0),0))</f>
        <v>0</v>
      </c>
      <c r="AF38" s="6">
        <f>SUM(INDEX(Tabela1[[Modern Pentathlon - Men''s Individual]:[Modern Pentathlon - Women''s Individual]],MATCH(Table92[[#This Row],[Country]],Tabela1[Country], 0),0))</f>
        <v>0</v>
      </c>
      <c r="AG38" s="6">
        <f>SUM(INDEX(Tabela1[[Rhythmic Gymnastics - Women''s Individual All-Around]:[Rhythmic Gymnastics - Women''s Group All-Around]],MATCH(Table92[[#This Row],[Country]],Tabela1[Country], 0),0))</f>
        <v>0</v>
      </c>
      <c r="AH38" s="6">
        <f>SUM(INDEX(Tabela1[[Rowing - Men''s Single Sculls]:[Rowing - Women''s Lwt. Double Sculls]],MATCH(Table92[[#This Row],[Country]],Tabela1[Country], 0),0))</f>
        <v>0</v>
      </c>
      <c r="AI38" s="6">
        <f>SUM(INDEX(Tabela1[[Rugby Sevens - Men''s Tournament]:[Rugby Sevens - Women''s Tournament]],MATCH(Table92[[#This Row],[Country]],Tabela1[Country], 0),0))</f>
        <v>0</v>
      </c>
      <c r="AJ38" s="6">
        <f>SUM(INDEX(Tabela1[[Sailing - Mixed 470]:[Sailing - Mixed Nacra 17]],MATCH(Table92[[#This Row],[Country]],Tabela1[Country], 0),0))</f>
        <v>1</v>
      </c>
      <c r="AK38" s="6">
        <f>SUM(INDEX(Tabela1[[Shooting - Men''s 10m Air Pistol]:[Shooting - Women''s Trap]],MATCH(Table92[[#This Row],[Country]],Tabela1[Country], 0),0))</f>
        <v>0</v>
      </c>
      <c r="AL38" s="6">
        <f>SUM(INDEX(Tabela1[[Skateboarding - Men''s Park]:[Skateboarding - Women''s Street]],MATCH(Table92[[#This Row],[Country]],Tabela1[Country], 0),0))</f>
        <v>0</v>
      </c>
      <c r="AM38" s="6">
        <f>SUM(INDEX(Tabela1[[Sport Climbing - Men''s Boulder and Lead]:[Sport Climbing - Women''s Speed]],MATCH(Table92[[#This Row],[Country]],Tabela1[Country], 0),0))</f>
        <v>0</v>
      </c>
      <c r="AN38" s="6">
        <f>SUM(INDEX(Tabela1[[Surfing - Men''s Shortboard]:[Surfing - Women''s Shortboard]],MATCH(Table92[[#This Row],[Country]],Tabela1[Country], 0),0))</f>
        <v>0</v>
      </c>
      <c r="AO38" s="6">
        <f>SUM(INDEX(Tabela1[[Swimming - Men''s 50m Freestyle]:[Swimming - Mixed 4x100m Medley Relay]],MATCH(Table92[[#This Row],[Country]],Tabela1[Country], 0),0))</f>
        <v>0</v>
      </c>
      <c r="AP38" s="6">
        <f>SUM(INDEX(Tabela1[[Table Tennis - Men''s Singles]:[Table Tennis - Mixed Doubles]],MATCH(Table92[[#This Row],[Country]],Tabela1[Country], 0),0))</f>
        <v>1</v>
      </c>
      <c r="AQ38" s="6">
        <f>SUM(INDEX(Tabela1[[Taekwondo - Men''s 58kg]:[Taekwondo - Women''s +67kg]],MATCH(Table92[[#This Row],[Country]],Tabela1[Country], 0),0))</f>
        <v>0</v>
      </c>
      <c r="AR38" s="6">
        <f>SUM(INDEX(Tabela1[[Tennis - Men''s Singles]:[Tennis - Mixed Doubles]],MATCH(Table92[[#This Row],[Country]],Tabela1[Country], 0),0))</f>
        <v>0</v>
      </c>
      <c r="AS38" s="6">
        <f>SUM(INDEX(Tabela1[[Gymnastics - Men''s Trampoline]:[Gymnastics - Women''s Trampoline]],MATCH(Table92[[#This Row],[Country]],Tabela1[Country], 0),0))</f>
        <v>0</v>
      </c>
      <c r="AT38" s="6">
        <f>SUM(INDEX(Tabela1[[Triathlon - Men''s Individual]:[Triathlon - Mixed Relay]],MATCH(Table92[[#This Row],[Country]],Tabela1[Country], 0),0))</f>
        <v>0</v>
      </c>
      <c r="AU38" s="6">
        <f>SUM(INDEX(Tabela1[[Volleyball - Men''s Tournament]:[Volleyball - Women''s Tournament]],MATCH(Table92[[#This Row],[Country]],Tabela1[Country], 0),0))</f>
        <v>1</v>
      </c>
      <c r="AV38" s="6">
        <f>SUM(INDEX(Tabela1[[Water Polo - Men''s Tournament]:[Water Polo - Women''s Tournament]],MATCH(Table92[[#This Row],[Country]],Tabela1[Country], 0),0))</f>
        <v>0</v>
      </c>
      <c r="AW38" s="6">
        <f>SUM(INDEX(Tabela1[[Weightlifting - Men''s 61kg]:[Weightlifting - Women''s +81kg]],MATCH(Table92[[#This Row],[Country]],Tabela1[Country], 0),0))</f>
        <v>0</v>
      </c>
      <c r="AX38" s="6">
        <f>SUM(INDEX(Tabela1[[Wrestling - Men''s Freestyle 57kg]:[Wrestling - Women''s Freestyle 76kg]],MATCH(Table92[[#This Row],[Country]],Tabela1[Country], 0),0))</f>
        <v>0</v>
      </c>
      <c r="AY38" s="6">
        <f>SUM(INDEX(Tabela1[[Alpine Skiing - Men''s Downhill]:[Alpine Skiing - Women''s Team Combined]],MATCH(Table92[[#This Row],[Country]],Tabela1[Country], 0),0))</f>
        <v>4</v>
      </c>
      <c r="AZ38" s="6">
        <f>SUM(INDEX(Tabela1[[Biathlon - Men''s Individual]:[Biathlon - Mixed Relay]],MATCH(Table92[[#This Row],[Country]],Tabela1[Country], 0),0))</f>
        <v>5</v>
      </c>
      <c r="BA38" s="6">
        <f>SUM(INDEX(Tabela1[[Bobsleigh - Women''s Monobob]:[Bobsleigh - Men''s Four]],MATCH(Table92[[#This Row],[Country]],Tabela1[Country], 0),0))</f>
        <v>0</v>
      </c>
      <c r="BB38" s="6">
        <f>SUM(INDEX(Tabela1[[Cross-country skiing - Men''s Classical]:[Cross-country skiing - Women''s Team Sprint]],MATCH(Table92[[#This Row],[Country]],Tabela1[Country], 0),0))</f>
        <v>3</v>
      </c>
      <c r="BC38" s="6">
        <f>SUM(INDEX(Tabela1[[Curling - Men''s Tournament]:[Curling - Mixed Doubles]],MATCH(Table92[[#This Row],[Country]],Tabela1[Country], 0),0))</f>
        <v>0</v>
      </c>
      <c r="BD38" s="6">
        <f>SUM(INDEX(Tabela1[[Figure Skating - Men''s Singles]:[Figure Skating - Team Event]],MATCH(Table92[[#This Row],[Country]],Tabela1[Country], 0),0))</f>
        <v>0</v>
      </c>
      <c r="BE38" s="6">
        <f>SUM(INDEX(Tabela1[[Freestyle Skiing - Men''s Aerials]:[Freestyle Skiing - Women''s Slopestyle]],MATCH(Table92[[#This Row],[Country]],Tabela1[Country], 0),0))</f>
        <v>0</v>
      </c>
      <c r="BF38" s="6">
        <f>SUM(INDEX(Tabela1[[Ice Hockey - Men''s Tournament]:[Ice Hockey - Women''s Tournament]],MATCH(Table92[[#This Row],[Country]],Tabela1[Country], 0),0))</f>
        <v>0</v>
      </c>
      <c r="BG38" s="6">
        <f>SUM(INDEX(Tabela1[[Luge - Men''s Singles]:[Luge - Mixed Team Relay]],MATCH(Table92[[#This Row],[Country]],Tabela1[Country], 0),0))</f>
        <v>0</v>
      </c>
      <c r="BH38" s="6">
        <f>SUM(INDEX(Tabela1[[Nordic Combined - Men''s Individual]:[Nordic Combined - Men''s Team Sprint Large Hill]],MATCH(Table92[[#This Row],[Country]],Tabela1[Country], 0),0))</f>
        <v>5</v>
      </c>
      <c r="BI38" s="6">
        <f>SUM(INDEX(Tabela1[[Short track speed skating - Men''s 500m]:[Short track speed skating - Mixed 2000m Relay]],MATCH(Table92[[#This Row],[Country]],Tabela1[Country], 0),0))</f>
        <v>0</v>
      </c>
      <c r="BJ38" s="6">
        <f>SUM(INDEX(Tabela1[[Skeleton - Men''s Individual]:[Skeleton - Mixed Team]],MATCH(Table92[[#This Row],[Country]],Tabela1[Country], 0),0))</f>
        <v>0</v>
      </c>
      <c r="BK38" s="6">
        <f>SUM(INDEX(Tabela1[[Ski Jumping - Men''s Individual Large Hill]:[Ski Jumping - Mixed Team Normal Hill]],MATCH(Table92[[#This Row],[Country]],Tabela1[Country], 0),0))</f>
        <v>3</v>
      </c>
      <c r="BL38" s="6">
        <f>SUM(INDEX(Tabela1[[Ski Mountaineering - Men''s Sprint]:[Ski Mountaineering - Mixed Relay]],MATCH(Table92[[#This Row],[Country]],Tabela1[Country], 0),0))</f>
        <v>0</v>
      </c>
      <c r="BM38" s="6">
        <f>SUM(INDEX(Tabela1[[Snowboarding - Men''s Big Air]:[Snowboarding - Mixed Team Snowboard Cross]],MATCH(Table92[[#This Row],[Country]],Tabela1[Country], 0),0))</f>
        <v>2</v>
      </c>
      <c r="BN38" s="6">
        <f>SUM(INDEX(Tabela1[[Speed Skating - Men''s 500m]:[Speed Skating - Women''s Team Pursuit]],MATCH(Table92[[#This Row],[Country]],Tabela1[Country], 0),0))</f>
        <v>0</v>
      </c>
      <c r="BO38" s="6" t="str">
        <f>SUBSTITUTE(INDEX(Table92[[#Headers],[Archery Quotas]:[Speed Skating Quotas]], MATCH(MAX(Table92[[#This Row],[Archery Quotas]:[Speed Skating Quotas]]), Table92[[#This Row],[Archery Quotas]:[Speed Skating Quotas]], 0))," Quotas","")</f>
        <v>Biathlon</v>
      </c>
      <c r="BP38" s="6">
        <f>SUM(Table92[[#This Row],[Summer Sports]:[Winter Sports]])</f>
        <v>13</v>
      </c>
      <c r="BQ38" s="6">
        <f>COUNTIF(Table92[[#This Row],[Archery Quotas]:[Wrestling Quotas]],"&lt;&gt;0")</f>
        <v>7</v>
      </c>
      <c r="BR38" s="6">
        <f>COUNTIF(Table92[[#This Row],[Alpine Skiing Quotas]:[Speed Skating Quotas]],"&lt;&gt;0")</f>
        <v>6</v>
      </c>
      <c r="BS38" s="4" t="s">
        <v>695</v>
      </c>
    </row>
    <row r="39" spans="1:71" x14ac:dyDescent="0.3">
      <c r="A39" s="6" t="s">
        <v>718</v>
      </c>
      <c r="B39" t="e" vm="38">
        <f>IF(ISBLANK(Table92[[#This Row],[Flag Link]]), "", _xlfn.IMAGE(Table92[[#This Row],[Flag Link]],1,1))</f>
        <v>#VALUE!</v>
      </c>
      <c r="C39" s="6">
        <f>SUM(Table92[[#This Row],[Archery Quotas]:[Speed Skating Quotas]])</f>
        <v>31</v>
      </c>
      <c r="D39" s="6">
        <f>SUM(INDEX(Tabela1[[Archery - Men''s Individual Recurve]:[Archery - Mixed Team Recurve]],MATCH(Table92[[#This Row],[Country]],Tabela1[Country], 0),0))</f>
        <v>0</v>
      </c>
      <c r="E39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12</v>
      </c>
      <c r="F39" s="6">
        <f>SUM(INDEX(Tabela1[[Artistic Swimming - Women''s Duet]:[Artistic Swimming - Women''s Team]],MATCH(Table92[[#This Row],[Country]],Tabela1[Country], 0),0))</f>
        <v>0</v>
      </c>
      <c r="G39" s="6">
        <f>SUM(INDEX(Tabela1[[Athletics - Men''s 100m]:[Athletics - Women''s Heptathlon]],MATCH(Table92[[#This Row],[Country]],Tabela1[Country], 0),0))</f>
        <v>5</v>
      </c>
      <c r="H39" s="6">
        <f>SUM(INDEX(Tabela1[[Badminton - Men''s Singles]:[Badminton - Mixed Doubles]],MATCH(Table92[[#This Row],[Country]],Tabela1[Country], 0),0))</f>
        <v>1</v>
      </c>
      <c r="I39" s="6">
        <f>SUM(INDEX(Tabela1[[Basketball - Men''s Tournament]:[Basketball - Women''s Tournament]],MATCH(Table92[[#This Row],[Country]],Tabela1[Country], 0),0))</f>
        <v>0</v>
      </c>
      <c r="J39" s="6">
        <f>SUM(INDEX(Tabela1[[3x3 Basketball - Men''s Tournament]:[3x3 Basketball - Women''s Tournament]],MATCH(Table92[[#This Row],[Country]],Tabela1[Country], 0),0))</f>
        <v>0</v>
      </c>
      <c r="K39" s="6">
        <f>SUM(INDEX(Tabela1[[Beach Volleyball - Men''s Tournament]:[Beach Volleyball - Women''s Tournament]],MATCH(Table92[[#This Row],[Country]],Tabela1[Country], 0),0))</f>
        <v>0</v>
      </c>
      <c r="L39" s="6">
        <f>SUM(INDEX(Tabela1[[Boxing - Men''s 51kg]:[Boxing - Women''s 75kg]],MATCH(Table92[[#This Row],[Country]],Tabela1[Country], 0),0))</f>
        <v>1</v>
      </c>
      <c r="M39" s="6">
        <f>SUM(INDEX(Tabela1[[Breaking - Men''s Individual]:[Breaking - Women''s Individual]],MATCH(Table92[[#This Row],[Country]],Tabela1[Country], 0),0))</f>
        <v>0</v>
      </c>
      <c r="N39" s="6">
        <f>SUM(INDEX(Tabela1[[Canoeing - Men''s C1 Slalom]:[Canoeing - Women''s Kayak Cross Slalom]],MATCH(Table92[[#This Row],[Country]],Tabela1[Country], 0),0))</f>
        <v>0</v>
      </c>
      <c r="O39" s="6">
        <f>SUM(INDEX(Tabela1[[Canoeing - Women''s C1 200m]:[Canoeing - Women''s K4 500m]],MATCH(Table92[[#This Row],[Country]],Tabela1[Country], 0),0))</f>
        <v>0</v>
      </c>
      <c r="P39" s="6">
        <f>SUM(INDEX(Tabela1[[Cycling - Men''s BMX Freestyle]:[Cycling - Women''s BMX Freestyle]],MATCH(Table92[[#This Row],[Country]],Tabela1[Country], 0),0))</f>
        <v>0</v>
      </c>
      <c r="Q39" s="6">
        <f>SUM(INDEX(Tabela1[[Cycling - Men''s BMX Racing]:[Cycling - Women''s BMX Racing]],MATCH(Table92[[#This Row],[Country]],Tabela1[Country], 0),0))</f>
        <v>0</v>
      </c>
      <c r="R39" s="6">
        <f>SUM(INDEX(Tabela1[[Cycling - Men''s Cross-Country]:[Cycling - Women''s Cross-Country]],MATCH(Table92[[#This Row],[Country]],Tabela1[Country], 0),0))</f>
        <v>0</v>
      </c>
      <c r="S39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1</v>
      </c>
      <c r="T39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39" s="6">
        <f>SUM(INDEX(Tabela1[[Diving - Men''s Springboard]:[Diving - Women''s Synchronized Platform]],MATCH(Table92[[#This Row],[Country]],Tabela1[Country], 0),0))</f>
        <v>0</v>
      </c>
      <c r="V39" s="6">
        <f>SUM(INDEX(Tabela1[[Equestrian - Individual Dressage]:[Equestrian - Team Dressage]],MATCH(Table92[[#This Row],[Country]],Tabela1[Country], 0),0))</f>
        <v>0</v>
      </c>
      <c r="W39" s="6">
        <f>SUM(INDEX(Tabela1[[Equestrian - Individual Eventing]:[Equestrian - Team Eventing]],MATCH(Table92[[#This Row],[Country]],Tabela1[Country], 0),0))</f>
        <v>0</v>
      </c>
      <c r="X39" s="6">
        <f>SUM(INDEX(Tabela1[[Equestrian - Individual Jumping]:[Equestrian - Team Jumping]],MATCH(Table92[[#This Row],[Country]],Tabela1[Country], 0),0))</f>
        <v>0</v>
      </c>
      <c r="Y39" s="6">
        <f>SUM(INDEX(Tabela1[[Fencing - Men''s Épée]:[Fencing - Women''s Team Sabre]],MATCH(Table92[[#This Row],[Country]],Tabela1[Country], 0),0))</f>
        <v>0</v>
      </c>
      <c r="Z39" s="6">
        <f>SUM(INDEX(Tabela1[[Field Hockey - Men''s Tournament]:[Field Hockey - Women''s Tournament]],MATCH(Table92[[#This Row],[Country]],Tabela1[Country], 0),0))</f>
        <v>0</v>
      </c>
      <c r="AA39" s="6">
        <f>SUM(INDEX(Tabela1[[Football - Men''s Tournament]:[Football - Women''s Tournament]],MATCH(Table92[[#This Row],[Country]],Tabela1[Country], 0),0))</f>
        <v>0</v>
      </c>
      <c r="AB39" s="6">
        <f>SUM(INDEX(Tabela1[[Golf - Men''s Individual]:[Golf - Women''s Individual]],MATCH(Table92[[#This Row],[Country]],Tabela1[Country], 0),0))</f>
        <v>0</v>
      </c>
      <c r="AC39" s="6">
        <f>SUM(INDEX(Tabela1[[Handball - Men''s Tournament]:[Handball - Women''s Tournament]],MATCH(Table92[[#This Row],[Country]],Tabela1[Country], 0),0))</f>
        <v>0</v>
      </c>
      <c r="AD39" s="6">
        <f>SUM(INDEX(Tabela1[[Judo - Men''s 60kg]:[Judo - Mixed Team]],MATCH(Table92[[#This Row],[Country]],Tabela1[Country], 0),0))</f>
        <v>2</v>
      </c>
      <c r="AE39" s="6">
        <f>SUM(INDEX(Tabela1[[Swimming - Men''s 10km Open Water]:[Swimming - Women''s 10km Open Water]],MATCH(Table92[[#This Row],[Country]],Tabela1[Country], 0),0))</f>
        <v>0</v>
      </c>
      <c r="AF39" s="6">
        <f>SUM(INDEX(Tabela1[[Modern Pentathlon - Men''s Individual]:[Modern Pentathlon - Women''s Individual]],MATCH(Table92[[#This Row],[Country]],Tabela1[Country], 0),0))</f>
        <v>0</v>
      </c>
      <c r="AG39" s="6">
        <f>SUM(INDEX(Tabela1[[Rhythmic Gymnastics - Women''s Individual All-Around]:[Rhythmic Gymnastics - Women''s Group All-Around]],MATCH(Table92[[#This Row],[Country]],Tabela1[Country], 0),0))</f>
        <v>0</v>
      </c>
      <c r="AH39" s="6">
        <f>SUM(INDEX(Tabela1[[Rowing - Men''s Single Sculls]:[Rowing - Women''s Lwt. Double Sculls]],MATCH(Table92[[#This Row],[Country]],Tabela1[Country], 0),0))</f>
        <v>0</v>
      </c>
      <c r="AI39" s="6">
        <f>SUM(INDEX(Tabela1[[Rugby Sevens - Men''s Tournament]:[Rugby Sevens - Women''s Tournament]],MATCH(Table92[[#This Row],[Country]],Tabela1[Country], 0),0))</f>
        <v>0</v>
      </c>
      <c r="AJ39" s="6">
        <f>SUM(INDEX(Tabela1[[Sailing - Mixed 470]:[Sailing - Mixed Nacra 17]],MATCH(Table92[[#This Row],[Country]],Tabela1[Country], 0),0))</f>
        <v>2</v>
      </c>
      <c r="AK39" s="6">
        <f>SUM(INDEX(Tabela1[[Shooting - Men''s 10m Air Pistol]:[Shooting - Women''s Trap]],MATCH(Table92[[#This Row],[Country]],Tabela1[Country], 0),0))</f>
        <v>0</v>
      </c>
      <c r="AL39" s="6">
        <f>SUM(INDEX(Tabela1[[Skateboarding - Men''s Park]:[Skateboarding - Women''s Street]],MATCH(Table92[[#This Row],[Country]],Tabela1[Country], 0),0))</f>
        <v>0</v>
      </c>
      <c r="AM39" s="6">
        <f>SUM(INDEX(Tabela1[[Sport Climbing - Men''s Boulder and Lead]:[Sport Climbing - Women''s Speed]],MATCH(Table92[[#This Row],[Country]],Tabela1[Country], 0),0))</f>
        <v>0</v>
      </c>
      <c r="AN39" s="6">
        <f>SUM(INDEX(Tabela1[[Surfing - Men''s Shortboard]:[Surfing - Women''s Shortboard]],MATCH(Table92[[#This Row],[Country]],Tabela1[Country], 0),0))</f>
        <v>0</v>
      </c>
      <c r="AO39" s="6">
        <f>SUM(INDEX(Tabela1[[Swimming - Men''s 50m Freestyle]:[Swimming - Mixed 4x100m Medley Relay]],MATCH(Table92[[#This Row],[Country]],Tabela1[Country], 0),0))</f>
        <v>1</v>
      </c>
      <c r="AP39" s="6">
        <f>SUM(INDEX(Tabela1[[Table Tennis - Men''s Singles]:[Table Tennis - Mixed Doubles]],MATCH(Table92[[#This Row],[Country]],Tabela1[Country], 0),0))</f>
        <v>0</v>
      </c>
      <c r="AQ39" s="6">
        <f>SUM(INDEX(Tabela1[[Taekwondo - Men''s 58kg]:[Taekwondo - Women''s +67kg]],MATCH(Table92[[#This Row],[Country]],Tabela1[Country], 0),0))</f>
        <v>1</v>
      </c>
      <c r="AR39" s="6">
        <f>SUM(INDEX(Tabela1[[Tennis - Men''s Singles]:[Tennis - Mixed Doubles]],MATCH(Table92[[#This Row],[Country]],Tabela1[Country], 0),0))</f>
        <v>0</v>
      </c>
      <c r="AS39" s="6">
        <f>SUM(INDEX(Tabela1[[Gymnastics - Men''s Trampoline]:[Gymnastics - Women''s Trampoline]],MATCH(Table92[[#This Row],[Country]],Tabela1[Country], 0),0))</f>
        <v>0</v>
      </c>
      <c r="AT39" s="6">
        <f>SUM(INDEX(Tabela1[[Triathlon - Men''s Individual]:[Triathlon - Mixed Relay]],MATCH(Table92[[#This Row],[Country]],Tabela1[Country], 0),0))</f>
        <v>0</v>
      </c>
      <c r="AU39" s="6">
        <f>SUM(INDEX(Tabela1[[Volleyball - Men''s Tournament]:[Volleyball - Women''s Tournament]],MATCH(Table92[[#This Row],[Country]],Tabela1[Country], 0),0))</f>
        <v>1</v>
      </c>
      <c r="AV39" s="6">
        <f>SUM(INDEX(Tabela1[[Water Polo - Men''s Tournament]:[Water Polo - Women''s Tournament]],MATCH(Table92[[#This Row],[Country]],Tabela1[Country], 0),0))</f>
        <v>0</v>
      </c>
      <c r="AW39" s="6">
        <f>SUM(INDEX(Tabela1[[Weightlifting - Men''s 61kg]:[Weightlifting - Women''s +81kg]],MATCH(Table92[[#This Row],[Country]],Tabela1[Country], 0),0))</f>
        <v>0</v>
      </c>
      <c r="AX39" s="6">
        <f>SUM(INDEX(Tabela1[[Wrestling - Men''s Freestyle 57kg]:[Wrestling - Women''s Freestyle 76kg]],MATCH(Table92[[#This Row],[Country]],Tabela1[Country], 0),0))</f>
        <v>2</v>
      </c>
      <c r="AY39" s="6">
        <f>SUM(INDEX(Tabela1[[Alpine Skiing - Men''s Downhill]:[Alpine Skiing - Women''s Team Combined]],MATCH(Table92[[#This Row],[Country]],Tabela1[Country], 0),0))</f>
        <v>2</v>
      </c>
      <c r="AZ39" s="6">
        <f>SUM(INDEX(Tabela1[[Biathlon - Men''s Individual]:[Biathlon - Mixed Relay]],MATCH(Table92[[#This Row],[Country]],Tabela1[Country], 0),0))</f>
        <v>0</v>
      </c>
      <c r="BA39" s="6">
        <f>SUM(INDEX(Tabela1[[Bobsleigh - Women''s Monobob]:[Bobsleigh - Men''s Four]],MATCH(Table92[[#This Row],[Country]],Tabela1[Country], 0),0))</f>
        <v>0</v>
      </c>
      <c r="BB39" s="6">
        <f>SUM(INDEX(Tabela1[[Cross-country skiing - Men''s Classical]:[Cross-country skiing - Women''s Team Sprint]],MATCH(Table92[[#This Row],[Country]],Tabela1[Country], 0),0))</f>
        <v>0</v>
      </c>
      <c r="BC39" s="6">
        <f>SUM(INDEX(Tabela1[[Curling - Men''s Tournament]:[Curling - Mixed Doubles]],MATCH(Table92[[#This Row],[Country]],Tabela1[Country], 0),0))</f>
        <v>0</v>
      </c>
      <c r="BD39" s="6">
        <f>SUM(INDEX(Tabela1[[Figure Skating - Men''s Singles]:[Figure Skating - Team Event]],MATCH(Table92[[#This Row],[Country]],Tabela1[Country], 0),0))</f>
        <v>0</v>
      </c>
      <c r="BE39" s="6">
        <f>SUM(INDEX(Tabela1[[Freestyle Skiing - Men''s Aerials]:[Freestyle Skiing - Women''s Slopestyle]],MATCH(Table92[[#This Row],[Country]],Tabela1[Country], 0),0))</f>
        <v>0</v>
      </c>
      <c r="BF39" s="6">
        <f>SUM(INDEX(Tabela1[[Ice Hockey - Men''s Tournament]:[Ice Hockey - Women''s Tournament]],MATCH(Table92[[#This Row],[Country]],Tabela1[Country], 0),0))</f>
        <v>0</v>
      </c>
      <c r="BG39" s="6">
        <f>SUM(INDEX(Tabela1[[Luge - Men''s Singles]:[Luge - Mixed Team Relay]],MATCH(Table92[[#This Row],[Country]],Tabela1[Country], 0),0))</f>
        <v>0</v>
      </c>
      <c r="BH39" s="6">
        <f>SUM(INDEX(Tabela1[[Nordic Combined - Men''s Individual]:[Nordic Combined - Men''s Team Sprint Large Hill]],MATCH(Table92[[#This Row],[Country]],Tabela1[Country], 0),0))</f>
        <v>0</v>
      </c>
      <c r="BI39" s="6">
        <f>SUM(INDEX(Tabela1[[Short track speed skating - Men''s 500m]:[Short track speed skating - Mixed 2000m Relay]],MATCH(Table92[[#This Row],[Country]],Tabela1[Country], 0),0))</f>
        <v>0</v>
      </c>
      <c r="BJ39" s="6">
        <f>SUM(INDEX(Tabela1[[Skeleton - Men''s Individual]:[Skeleton - Mixed Team]],MATCH(Table92[[#This Row],[Country]],Tabela1[Country], 0),0))</f>
        <v>0</v>
      </c>
      <c r="BK39" s="6">
        <f>SUM(INDEX(Tabela1[[Ski Jumping - Men''s Individual Large Hill]:[Ski Jumping - Mixed Team Normal Hill]],MATCH(Table92[[#This Row],[Country]],Tabela1[Country], 0),0))</f>
        <v>0</v>
      </c>
      <c r="BL39" s="6">
        <f>SUM(INDEX(Tabela1[[Ski Mountaineering - Men''s Sprint]:[Ski Mountaineering - Mixed Relay]],MATCH(Table92[[#This Row],[Country]],Tabela1[Country], 0),0))</f>
        <v>0</v>
      </c>
      <c r="BM39" s="6">
        <f>SUM(INDEX(Tabela1[[Snowboarding - Men''s Big Air]:[Snowboarding - Mixed Team Snowboard Cross]],MATCH(Table92[[#This Row],[Country]],Tabela1[Country], 0),0))</f>
        <v>0</v>
      </c>
      <c r="BN39" s="6">
        <f>SUM(INDEX(Tabela1[[Speed Skating - Men''s 500m]:[Speed Skating - Women''s Team Pursuit]],MATCH(Table92[[#This Row],[Country]],Tabela1[Country], 0),0))</f>
        <v>0</v>
      </c>
      <c r="BO39" s="6" t="str">
        <f>SUBSTITUTE(INDEX(Table92[[#Headers],[Archery Quotas]:[Speed Skating Quotas]], MATCH(MAX(Table92[[#This Row],[Archery Quotas]:[Speed Skating Quotas]]), Table92[[#This Row],[Archery Quotas]:[Speed Skating Quotas]], 0))," Quotas","")</f>
        <v>Artistic Gymnastics</v>
      </c>
      <c r="BP39" s="6">
        <f>SUM(Table92[[#This Row],[Summer Sports]:[Winter Sports]])</f>
        <v>12</v>
      </c>
      <c r="BQ39" s="6">
        <f>COUNTIF(Table92[[#This Row],[Archery Quotas]:[Wrestling Quotas]],"&lt;&gt;0")</f>
        <v>11</v>
      </c>
      <c r="BR39" s="6">
        <f>COUNTIF(Table92[[#This Row],[Alpine Skiing Quotas]:[Speed Skating Quotas]],"&lt;&gt;0")</f>
        <v>1</v>
      </c>
      <c r="BS39" s="4" t="s">
        <v>719</v>
      </c>
    </row>
    <row r="40" spans="1:71" x14ac:dyDescent="0.3">
      <c r="A40" s="6" t="s">
        <v>520</v>
      </c>
      <c r="B40" t="e" vm="39">
        <f>IF(ISBLANK(Table92[[#This Row],[Flag Link]]), "", _xlfn.IMAGE(Table92[[#This Row],[Flag Link]],1,1))</f>
        <v>#VALUE!</v>
      </c>
      <c r="C40" s="6">
        <f>SUM(Table92[[#This Row],[Archery Quotas]:[Speed Skating Quotas]])</f>
        <v>29</v>
      </c>
      <c r="D40" s="6">
        <f>SUM(INDEX(Tabela1[[Archery - Men''s Individual Recurve]:[Archery - Mixed Team Recurve]],MATCH(Table92[[#This Row],[Country]],Tabela1[Country], 0),0))</f>
        <v>0</v>
      </c>
      <c r="E40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40" s="6">
        <f>SUM(INDEX(Tabela1[[Artistic Swimming - Women''s Duet]:[Artistic Swimming - Women''s Team]],MATCH(Table92[[#This Row],[Country]],Tabela1[Country], 0),0))</f>
        <v>0</v>
      </c>
      <c r="G40" s="6">
        <f>SUM(INDEX(Tabela1[[Athletics - Men''s 100m]:[Athletics - Women''s Heptathlon]],MATCH(Table92[[#This Row],[Country]],Tabela1[Country], 0),0))</f>
        <v>9</v>
      </c>
      <c r="H40" s="6">
        <f>SUM(INDEX(Tabela1[[Badminton - Men''s Singles]:[Badminton - Mixed Doubles]],MATCH(Table92[[#This Row],[Country]],Tabela1[Country], 0),0))</f>
        <v>0</v>
      </c>
      <c r="I40" s="6">
        <f>SUM(INDEX(Tabela1[[Basketball - Men''s Tournament]:[Basketball - Women''s Tournament]],MATCH(Table92[[#This Row],[Country]],Tabela1[Country], 0),0))</f>
        <v>1</v>
      </c>
      <c r="J40" s="6">
        <f>SUM(INDEX(Tabela1[[3x3 Basketball - Men''s Tournament]:[3x3 Basketball - Women''s Tournament]],MATCH(Table92[[#This Row],[Country]],Tabela1[Country], 0),0))</f>
        <v>0</v>
      </c>
      <c r="K40" s="6">
        <f>SUM(INDEX(Tabela1[[Beach Volleyball - Men''s Tournament]:[Beach Volleyball - Women''s Tournament]],MATCH(Table92[[#This Row],[Country]],Tabela1[Country], 0),0))</f>
        <v>0</v>
      </c>
      <c r="L40" s="6">
        <f>SUM(INDEX(Tabela1[[Boxing - Men''s 51kg]:[Boxing - Women''s 75kg]],MATCH(Table92[[#This Row],[Country]],Tabela1[Country], 0),0))</f>
        <v>1</v>
      </c>
      <c r="M40" s="6">
        <f>SUM(INDEX(Tabela1[[Breaking - Men''s Individual]:[Breaking - Women''s Individual]],MATCH(Table92[[#This Row],[Country]],Tabela1[Country], 0),0))</f>
        <v>0</v>
      </c>
      <c r="N40" s="6">
        <f>SUM(INDEX(Tabela1[[Canoeing - Men''s C1 Slalom]:[Canoeing - Women''s Kayak Cross Slalom]],MATCH(Table92[[#This Row],[Country]],Tabela1[Country], 0),0))</f>
        <v>0</v>
      </c>
      <c r="O40" s="6">
        <f>SUM(INDEX(Tabela1[[Canoeing - Women''s C1 200m]:[Canoeing - Women''s K4 500m]],MATCH(Table92[[#This Row],[Country]],Tabela1[Country], 0),0))</f>
        <v>0</v>
      </c>
      <c r="P40" s="6">
        <f>SUM(INDEX(Tabela1[[Cycling - Men''s BMX Freestyle]:[Cycling - Women''s BMX Freestyle]],MATCH(Table92[[#This Row],[Country]],Tabela1[Country], 0),0))</f>
        <v>0</v>
      </c>
      <c r="Q40" s="6">
        <f>SUM(INDEX(Tabela1[[Cycling - Men''s BMX Racing]:[Cycling - Women''s BMX Racing]],MATCH(Table92[[#This Row],[Country]],Tabela1[Country], 0),0))</f>
        <v>0</v>
      </c>
      <c r="R40" s="6">
        <f>SUM(INDEX(Tabela1[[Cycling - Men''s Cross-Country]:[Cycling - Women''s Cross-Country]],MATCH(Table92[[#This Row],[Country]],Tabela1[Country], 0),0))</f>
        <v>1</v>
      </c>
      <c r="S40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40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40" s="6">
        <f>SUM(INDEX(Tabela1[[Diving - Men''s Springboard]:[Diving - Women''s Synchronized Platform]],MATCH(Table92[[#This Row],[Country]],Tabela1[Country], 0),0))</f>
        <v>0</v>
      </c>
      <c r="V40" s="6">
        <f>SUM(INDEX(Tabela1[[Equestrian - Individual Dressage]:[Equestrian - Team Dressage]],MATCH(Table92[[#This Row],[Country]],Tabela1[Country], 0),0))</f>
        <v>0</v>
      </c>
      <c r="W40" s="6">
        <f>SUM(INDEX(Tabela1[[Equestrian - Individual Eventing]:[Equestrian - Team Eventing]],MATCH(Table92[[#This Row],[Country]],Tabela1[Country], 0),0))</f>
        <v>0</v>
      </c>
      <c r="X40" s="6">
        <f>SUM(INDEX(Tabela1[[Equestrian - Individual Jumping]:[Equestrian - Team Jumping]],MATCH(Table92[[#This Row],[Country]],Tabela1[Country], 0),0))</f>
        <v>2</v>
      </c>
      <c r="Y40" s="6">
        <f>SUM(INDEX(Tabela1[[Fencing - Men''s Épée]:[Fencing - Women''s Team Sabre]],MATCH(Table92[[#This Row],[Country]],Tabela1[Country], 0),0))</f>
        <v>0</v>
      </c>
      <c r="Z40" s="6">
        <f>SUM(INDEX(Tabela1[[Field Hockey - Men''s Tournament]:[Field Hockey - Women''s Tournament]],MATCH(Table92[[#This Row],[Country]],Tabela1[Country], 0),0))</f>
        <v>2</v>
      </c>
      <c r="AA40" s="6">
        <f>SUM(INDEX(Tabela1[[Football - Men''s Tournament]:[Football - Women''s Tournament]],MATCH(Table92[[#This Row],[Country]],Tabela1[Country], 0),0))</f>
        <v>0</v>
      </c>
      <c r="AB40" s="6">
        <f>SUM(INDEX(Tabela1[[Golf - Men''s Individual]:[Golf - Women''s Individual]],MATCH(Table92[[#This Row],[Country]],Tabela1[Country], 0),0))</f>
        <v>0</v>
      </c>
      <c r="AC40" s="6">
        <f>SUM(INDEX(Tabela1[[Handball - Men''s Tournament]:[Handball - Women''s Tournament]],MATCH(Table92[[#This Row],[Country]],Tabela1[Country], 0),0))</f>
        <v>0</v>
      </c>
      <c r="AD40" s="6">
        <f>SUM(INDEX(Tabela1[[Judo - Men''s 60kg]:[Judo - Mixed Team]],MATCH(Table92[[#This Row],[Country]],Tabela1[Country], 0),0))</f>
        <v>0</v>
      </c>
      <c r="AE40" s="6">
        <f>SUM(INDEX(Tabela1[[Swimming - Men''s 10km Open Water]:[Swimming - Women''s 10km Open Water]],MATCH(Table92[[#This Row],[Country]],Tabela1[Country], 0),0))</f>
        <v>0</v>
      </c>
      <c r="AF40" s="6">
        <f>SUM(INDEX(Tabela1[[Modern Pentathlon - Men''s Individual]:[Modern Pentathlon - Women''s Individual]],MATCH(Table92[[#This Row],[Country]],Tabela1[Country], 0),0))</f>
        <v>0</v>
      </c>
      <c r="AG40" s="6">
        <f>SUM(INDEX(Tabela1[[Rhythmic Gymnastics - Women''s Individual All-Around]:[Rhythmic Gymnastics - Women''s Group All-Around]],MATCH(Table92[[#This Row],[Country]],Tabela1[Country], 0),0))</f>
        <v>0</v>
      </c>
      <c r="AH40" s="6">
        <f>SUM(INDEX(Tabela1[[Rowing - Men''s Single Sculls]:[Rowing - Women''s Lwt. Double Sculls]],MATCH(Table92[[#This Row],[Country]],Tabela1[Country], 0),0))</f>
        <v>0</v>
      </c>
      <c r="AI40" s="6">
        <f>SUM(INDEX(Tabela1[[Rugby Sevens - Men''s Tournament]:[Rugby Sevens - Women''s Tournament]],MATCH(Table92[[#This Row],[Country]],Tabela1[Country], 0),0))</f>
        <v>0</v>
      </c>
      <c r="AJ40" s="6">
        <f>SUM(INDEX(Tabela1[[Sailing - Mixed 470]:[Sailing - Mixed Nacra 17]],MATCH(Table92[[#This Row],[Country]],Tabela1[Country], 0),0))</f>
        <v>0</v>
      </c>
      <c r="AK40" s="6">
        <f>SUM(INDEX(Tabela1[[Shooting - Men''s 10m Air Pistol]:[Shooting - Women''s Trap]],MATCH(Table92[[#This Row],[Country]],Tabela1[Country], 0),0))</f>
        <v>0</v>
      </c>
      <c r="AL40" s="6">
        <f>SUM(INDEX(Tabela1[[Skateboarding - Men''s Park]:[Skateboarding - Women''s Street]],MATCH(Table92[[#This Row],[Country]],Tabela1[Country], 0),0))</f>
        <v>0</v>
      </c>
      <c r="AM40" s="6">
        <f>SUM(INDEX(Tabela1[[Sport Climbing - Men''s Boulder and Lead]:[Sport Climbing - Women''s Speed]],MATCH(Table92[[#This Row],[Country]],Tabela1[Country], 0),0))</f>
        <v>0</v>
      </c>
      <c r="AN40" s="6">
        <f>SUM(INDEX(Tabela1[[Surfing - Men''s Shortboard]:[Surfing - Women''s Shortboard]],MATCH(Table92[[#This Row],[Country]],Tabela1[Country], 0),0))</f>
        <v>0</v>
      </c>
      <c r="AO40" s="6">
        <f>SUM(INDEX(Tabela1[[Swimming - Men''s 50m Freestyle]:[Swimming - Mixed 4x100m Medley Relay]],MATCH(Table92[[#This Row],[Country]],Tabela1[Country], 0),0))</f>
        <v>0</v>
      </c>
      <c r="AP40" s="6">
        <f>SUM(INDEX(Tabela1[[Table Tennis - Men''s Singles]:[Table Tennis - Mixed Doubles]],MATCH(Table92[[#This Row],[Country]],Tabela1[Country], 0),0))</f>
        <v>1</v>
      </c>
      <c r="AQ40" s="6">
        <f>SUM(INDEX(Tabela1[[Taekwondo - Men''s 58kg]:[Taekwondo - Women''s +67kg]],MATCH(Table92[[#This Row],[Country]],Tabela1[Country], 0),0))</f>
        <v>1</v>
      </c>
      <c r="AR40" s="6">
        <f>SUM(INDEX(Tabela1[[Tennis - Men''s Singles]:[Tennis - Mixed Doubles]],MATCH(Table92[[#This Row],[Country]],Tabela1[Country], 0),0))</f>
        <v>0</v>
      </c>
      <c r="AS40" s="6">
        <f>SUM(INDEX(Tabela1[[Gymnastics - Men''s Trampoline]:[Gymnastics - Women''s Trampoline]],MATCH(Table92[[#This Row],[Country]],Tabela1[Country], 0),0))</f>
        <v>0</v>
      </c>
      <c r="AT40" s="6">
        <f>SUM(INDEX(Tabela1[[Triathlon - Men''s Individual]:[Triathlon - Mixed Relay]],MATCH(Table92[[#This Row],[Country]],Tabela1[Country], 0),0))</f>
        <v>0</v>
      </c>
      <c r="AU40" s="6">
        <f>SUM(INDEX(Tabela1[[Volleyball - Men''s Tournament]:[Volleyball - Women''s Tournament]],MATCH(Table92[[#This Row],[Country]],Tabela1[Country], 0),0))</f>
        <v>0</v>
      </c>
      <c r="AV40" s="6">
        <f>SUM(INDEX(Tabela1[[Water Polo - Men''s Tournament]:[Water Polo - Women''s Tournament]],MATCH(Table92[[#This Row],[Country]],Tabela1[Country], 0),0))</f>
        <v>0</v>
      </c>
      <c r="AW40" s="6">
        <f>SUM(INDEX(Tabela1[[Weightlifting - Men''s 61kg]:[Weightlifting - Women''s +81kg]],MATCH(Table92[[#This Row],[Country]],Tabela1[Country], 0),0))</f>
        <v>0</v>
      </c>
      <c r="AX40" s="6">
        <f>SUM(INDEX(Tabela1[[Wrestling - Men''s Freestyle 57kg]:[Wrestling - Women''s Freestyle 76kg]],MATCH(Table92[[#This Row],[Country]],Tabela1[Country], 0),0))</f>
        <v>0</v>
      </c>
      <c r="AY40" s="6">
        <f>SUM(INDEX(Tabela1[[Alpine Skiing - Men''s Downhill]:[Alpine Skiing - Women''s Team Combined]],MATCH(Table92[[#This Row],[Country]],Tabela1[Country], 0),0))</f>
        <v>0</v>
      </c>
      <c r="AZ40" s="6">
        <f>SUM(INDEX(Tabela1[[Biathlon - Men''s Individual]:[Biathlon - Mixed Relay]],MATCH(Table92[[#This Row],[Country]],Tabela1[Country], 0),0))</f>
        <v>9</v>
      </c>
      <c r="BA40" s="6">
        <f>SUM(INDEX(Tabela1[[Bobsleigh - Women''s Monobob]:[Bobsleigh - Men''s Four]],MATCH(Table92[[#This Row],[Country]],Tabela1[Country], 0),0))</f>
        <v>0</v>
      </c>
      <c r="BB40" s="6">
        <f>SUM(INDEX(Tabela1[[Cross-country skiing - Men''s Classical]:[Cross-country skiing - Women''s Team Sprint]],MATCH(Table92[[#This Row],[Country]],Tabela1[Country], 0),0))</f>
        <v>0</v>
      </c>
      <c r="BC40" s="6">
        <f>SUM(INDEX(Tabela1[[Curling - Men''s Tournament]:[Curling - Mixed Doubles]],MATCH(Table92[[#This Row],[Country]],Tabela1[Country], 0),0))</f>
        <v>0</v>
      </c>
      <c r="BD40" s="6">
        <f>SUM(INDEX(Tabela1[[Figure Skating - Men''s Singles]:[Figure Skating - Team Event]],MATCH(Table92[[#This Row],[Country]],Tabela1[Country], 0),0))</f>
        <v>0</v>
      </c>
      <c r="BE40" s="6">
        <f>SUM(INDEX(Tabela1[[Freestyle Skiing - Men''s Aerials]:[Freestyle Skiing - Women''s Slopestyle]],MATCH(Table92[[#This Row],[Country]],Tabela1[Country], 0),0))</f>
        <v>0</v>
      </c>
      <c r="BF40" s="6">
        <f>SUM(INDEX(Tabela1[[Ice Hockey - Men''s Tournament]:[Ice Hockey - Women''s Tournament]],MATCH(Table92[[#This Row],[Country]],Tabela1[Country], 0),0))</f>
        <v>0</v>
      </c>
      <c r="BG40" s="6">
        <f>SUM(INDEX(Tabela1[[Luge - Men''s Singles]:[Luge - Mixed Team Relay]],MATCH(Table92[[#This Row],[Country]],Tabela1[Country], 0),0))</f>
        <v>0</v>
      </c>
      <c r="BH40" s="6">
        <f>SUM(INDEX(Tabela1[[Nordic Combined - Men''s Individual]:[Nordic Combined - Men''s Team Sprint Large Hill]],MATCH(Table92[[#This Row],[Country]],Tabela1[Country], 0),0))</f>
        <v>0</v>
      </c>
      <c r="BI40" s="6">
        <f>SUM(INDEX(Tabela1[[Short track speed skating - Men''s 500m]:[Short track speed skating - Mixed 2000m Relay]],MATCH(Table92[[#This Row],[Country]],Tabela1[Country], 0),0))</f>
        <v>2</v>
      </c>
      <c r="BJ40" s="6">
        <f>SUM(INDEX(Tabela1[[Skeleton - Men''s Individual]:[Skeleton - Mixed Team]],MATCH(Table92[[#This Row],[Country]],Tabela1[Country], 0),0))</f>
        <v>0</v>
      </c>
      <c r="BK40" s="6">
        <f>SUM(INDEX(Tabela1[[Ski Jumping - Men''s Individual Large Hill]:[Ski Jumping - Mixed Team Normal Hill]],MATCH(Table92[[#This Row],[Country]],Tabela1[Country], 0),0))</f>
        <v>0</v>
      </c>
      <c r="BL40" s="6">
        <f>SUM(INDEX(Tabela1[[Ski Mountaineering - Men''s Sprint]:[Ski Mountaineering - Mixed Relay]],MATCH(Table92[[#This Row],[Country]],Tabela1[Country], 0),0))</f>
        <v>0</v>
      </c>
      <c r="BM40" s="6">
        <f>SUM(INDEX(Tabela1[[Snowboarding - Men''s Big Air]:[Snowboarding - Mixed Team Snowboard Cross]],MATCH(Table92[[#This Row],[Country]],Tabela1[Country], 0),0))</f>
        <v>0</v>
      </c>
      <c r="BN40" s="6">
        <f>SUM(INDEX(Tabela1[[Speed Skating - Men''s 500m]:[Speed Skating - Women''s Team Pursuit]],MATCH(Table92[[#This Row],[Country]],Tabela1[Country], 0),0))</f>
        <v>0</v>
      </c>
      <c r="BO40" s="6" t="str">
        <f>SUBSTITUTE(INDEX(Table92[[#Headers],[Archery Quotas]:[Speed Skating Quotas]], MATCH(MAX(Table92[[#This Row],[Archery Quotas]:[Speed Skating Quotas]]), Table92[[#This Row],[Archery Quotas]:[Speed Skating Quotas]], 0))," Quotas","")</f>
        <v>Athletics</v>
      </c>
      <c r="BP40" s="6">
        <f>SUM(Table92[[#This Row],[Summer Sports]:[Winter Sports]])</f>
        <v>10</v>
      </c>
      <c r="BQ40" s="6">
        <f>COUNTIF(Table92[[#This Row],[Archery Quotas]:[Wrestling Quotas]],"&lt;&gt;0")</f>
        <v>8</v>
      </c>
      <c r="BR40" s="6">
        <f>COUNTIF(Table92[[#This Row],[Alpine Skiing Quotas]:[Speed Skating Quotas]],"&lt;&gt;0")</f>
        <v>2</v>
      </c>
      <c r="BS40" s="3" t="s">
        <v>521</v>
      </c>
    </row>
    <row r="41" spans="1:71" x14ac:dyDescent="0.3">
      <c r="A41" s="6" t="s">
        <v>368</v>
      </c>
      <c r="B41" t="e" vm="40">
        <f>IF(ISBLANK(Table92[[#This Row],[Flag Link]]), "", _xlfn.IMAGE(Table92[[#This Row],[Flag Link]],1,1))</f>
        <v>#VALUE!</v>
      </c>
      <c r="C41" s="6">
        <f>SUM(Table92[[#This Row],[Archery Quotas]:[Speed Skating Quotas]])</f>
        <v>28</v>
      </c>
      <c r="D41" s="6">
        <f>SUM(INDEX(Tabela1[[Archery - Men''s Individual Recurve]:[Archery - Mixed Team Recurve]],MATCH(Table92[[#This Row],[Country]],Tabela1[Country], 0),0))</f>
        <v>5</v>
      </c>
      <c r="E41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41" s="6">
        <f>SUM(INDEX(Tabela1[[Artistic Swimming - Women''s Duet]:[Artistic Swimming - Women''s Team]],MATCH(Table92[[#This Row],[Country]],Tabela1[Country], 0),0))</f>
        <v>0</v>
      </c>
      <c r="G41" s="6">
        <f>SUM(INDEX(Tabela1[[Athletics - Men''s 100m]:[Athletics - Women''s Heptathlon]],MATCH(Table92[[#This Row],[Country]],Tabela1[Country], 0),0))</f>
        <v>0</v>
      </c>
      <c r="H41" s="6">
        <f>SUM(INDEX(Tabela1[[Badminton - Men''s Singles]:[Badminton - Mixed Doubles]],MATCH(Table92[[#This Row],[Country]],Tabela1[Country], 0),0))</f>
        <v>1</v>
      </c>
      <c r="I41" s="6">
        <f>SUM(INDEX(Tabela1[[Basketball - Men''s Tournament]:[Basketball - Women''s Tournament]],MATCH(Table92[[#This Row],[Country]],Tabela1[Country], 0),0))</f>
        <v>0</v>
      </c>
      <c r="J41" s="6">
        <f>SUM(INDEX(Tabela1[[3x3 Basketball - Men''s Tournament]:[3x3 Basketball - Women''s Tournament]],MATCH(Table92[[#This Row],[Country]],Tabela1[Country], 0),0))</f>
        <v>0</v>
      </c>
      <c r="K41" s="6">
        <f>SUM(INDEX(Tabela1[[Beach Volleyball - Men''s Tournament]:[Beach Volleyball - Women''s Tournament]],MATCH(Table92[[#This Row],[Country]],Tabela1[Country], 0),0))</f>
        <v>0</v>
      </c>
      <c r="L41" s="6">
        <f>SUM(INDEX(Tabela1[[Boxing - Men''s 51kg]:[Boxing - Women''s 75kg]],MATCH(Table92[[#This Row],[Country]],Tabela1[Country], 0),0))</f>
        <v>4</v>
      </c>
      <c r="M41" s="6">
        <f>SUM(INDEX(Tabela1[[Breaking - Men''s Individual]:[Breaking - Women''s Individual]],MATCH(Table92[[#This Row],[Country]],Tabela1[Country], 0),0))</f>
        <v>0</v>
      </c>
      <c r="N41" s="6">
        <f>SUM(INDEX(Tabela1[[Canoeing - Men''s C1 Slalom]:[Canoeing - Women''s Kayak Cross Slalom]],MATCH(Table92[[#This Row],[Country]],Tabela1[Country], 0),0))</f>
        <v>0</v>
      </c>
      <c r="O41" s="6">
        <f>SUM(INDEX(Tabela1[[Canoeing - Women''s C1 200m]:[Canoeing - Women''s K4 500m]],MATCH(Table92[[#This Row],[Country]],Tabela1[Country], 0),0))</f>
        <v>0</v>
      </c>
      <c r="P41" s="6">
        <f>SUM(INDEX(Tabela1[[Cycling - Men''s BMX Freestyle]:[Cycling - Women''s BMX Freestyle]],MATCH(Table92[[#This Row],[Country]],Tabela1[Country], 0),0))</f>
        <v>0</v>
      </c>
      <c r="Q41" s="6">
        <f>SUM(INDEX(Tabela1[[Cycling - Men''s BMX Racing]:[Cycling - Women''s BMX Racing]],MATCH(Table92[[#This Row],[Country]],Tabela1[Country], 0),0))</f>
        <v>0</v>
      </c>
      <c r="R41" s="6">
        <f>SUM(INDEX(Tabela1[[Cycling - Men''s Cross-Country]:[Cycling - Women''s Cross-Country]],MATCH(Table92[[#This Row],[Country]],Tabela1[Country], 0),0))</f>
        <v>0</v>
      </c>
      <c r="S41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41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41" s="6">
        <f>SUM(INDEX(Tabela1[[Diving - Men''s Springboard]:[Diving - Women''s Synchronized Platform]],MATCH(Table92[[#This Row],[Country]],Tabela1[Country], 0),0))</f>
        <v>0</v>
      </c>
      <c r="V41" s="6">
        <f>SUM(INDEX(Tabela1[[Equestrian - Individual Dressage]:[Equestrian - Team Dressage]],MATCH(Table92[[#This Row],[Country]],Tabela1[Country], 0),0))</f>
        <v>0</v>
      </c>
      <c r="W41" s="6">
        <f>SUM(INDEX(Tabela1[[Equestrian - Individual Eventing]:[Equestrian - Team Eventing]],MATCH(Table92[[#This Row],[Country]],Tabela1[Country], 0),0))</f>
        <v>0</v>
      </c>
      <c r="X41" s="6">
        <f>SUM(INDEX(Tabela1[[Equestrian - Individual Jumping]:[Equestrian - Team Jumping]],MATCH(Table92[[#This Row],[Country]],Tabela1[Country], 0),0))</f>
        <v>0</v>
      </c>
      <c r="Y41" s="6">
        <f>SUM(INDEX(Tabela1[[Fencing - Men''s Épée]:[Fencing - Women''s Team Sabre]],MATCH(Table92[[#This Row],[Country]],Tabela1[Country], 0),0))</f>
        <v>0</v>
      </c>
      <c r="Z41" s="6">
        <f>SUM(INDEX(Tabela1[[Field Hockey - Men''s Tournament]:[Field Hockey - Women''s Tournament]],MATCH(Table92[[#This Row],[Country]],Tabela1[Country], 0),0))</f>
        <v>0</v>
      </c>
      <c r="AA41" s="6">
        <f>SUM(INDEX(Tabela1[[Football - Men''s Tournament]:[Football - Women''s Tournament]],MATCH(Table92[[#This Row],[Country]],Tabela1[Country], 0),0))</f>
        <v>0</v>
      </c>
      <c r="AB41" s="6">
        <f>SUM(INDEX(Tabela1[[Golf - Men''s Individual]:[Golf - Women''s Individual]],MATCH(Table92[[#This Row],[Country]],Tabela1[Country], 0),0))</f>
        <v>4</v>
      </c>
      <c r="AC41" s="6">
        <f>SUM(INDEX(Tabela1[[Handball - Men''s Tournament]:[Handball - Women''s Tournament]],MATCH(Table92[[#This Row],[Country]],Tabela1[Country], 0),0))</f>
        <v>0</v>
      </c>
      <c r="AD41" s="6">
        <f>SUM(INDEX(Tabela1[[Judo - Men''s 60kg]:[Judo - Mixed Team]],MATCH(Table92[[#This Row],[Country]],Tabela1[Country], 0),0))</f>
        <v>1</v>
      </c>
      <c r="AE41" s="6">
        <f>SUM(INDEX(Tabela1[[Swimming - Men''s 10km Open Water]:[Swimming - Women''s 10km Open Water]],MATCH(Table92[[#This Row],[Country]],Tabela1[Country], 0),0))</f>
        <v>0</v>
      </c>
      <c r="AF41" s="6">
        <f>SUM(INDEX(Tabela1[[Modern Pentathlon - Men''s Individual]:[Modern Pentathlon - Women''s Individual]],MATCH(Table92[[#This Row],[Country]],Tabela1[Country], 0),0))</f>
        <v>0</v>
      </c>
      <c r="AG41" s="6">
        <f>SUM(INDEX(Tabela1[[Rhythmic Gymnastics - Women''s Individual All-Around]:[Rhythmic Gymnastics - Women''s Group All-Around]],MATCH(Table92[[#This Row],[Country]],Tabela1[Country], 0),0))</f>
        <v>0</v>
      </c>
      <c r="AH41" s="6">
        <f>SUM(INDEX(Tabela1[[Rowing - Men''s Single Sculls]:[Rowing - Women''s Lwt. Double Sculls]],MATCH(Table92[[#This Row],[Country]],Tabela1[Country], 0),0))</f>
        <v>0</v>
      </c>
      <c r="AI41" s="6">
        <f>SUM(INDEX(Tabela1[[Rugby Sevens - Men''s Tournament]:[Rugby Sevens - Women''s Tournament]],MATCH(Table92[[#This Row],[Country]],Tabela1[Country], 0),0))</f>
        <v>0</v>
      </c>
      <c r="AJ41" s="6">
        <f>SUM(INDEX(Tabela1[[Sailing - Mixed 470]:[Sailing - Mixed Nacra 17]],MATCH(Table92[[#This Row],[Country]],Tabela1[Country], 0),0))</f>
        <v>0</v>
      </c>
      <c r="AK41" s="6">
        <f>SUM(INDEX(Tabela1[[Shooting - Men''s 10m Air Pistol]:[Shooting - Women''s Trap]],MATCH(Table92[[#This Row],[Country]],Tabela1[Country], 0),0))</f>
        <v>4</v>
      </c>
      <c r="AL41" s="6">
        <f>SUM(INDEX(Tabela1[[Skateboarding - Men''s Park]:[Skateboarding - Women''s Street]],MATCH(Table92[[#This Row],[Country]],Tabela1[Country], 0),0))</f>
        <v>0</v>
      </c>
      <c r="AM41" s="6">
        <f>SUM(INDEX(Tabela1[[Sport Climbing - Men''s Boulder and Lead]:[Sport Climbing - Women''s Speed]],MATCH(Table92[[#This Row],[Country]],Tabela1[Country], 0),0))</f>
        <v>0</v>
      </c>
      <c r="AN41" s="6">
        <f>SUM(INDEX(Tabela1[[Surfing - Men''s Shortboard]:[Surfing - Women''s Shortboard]],MATCH(Table92[[#This Row],[Country]],Tabela1[Country], 0),0))</f>
        <v>0</v>
      </c>
      <c r="AO41" s="6">
        <f>SUM(INDEX(Tabela1[[Swimming - Men''s 50m Freestyle]:[Swimming - Mixed 4x100m Medley Relay]],MATCH(Table92[[#This Row],[Country]],Tabela1[Country], 0),0))</f>
        <v>0</v>
      </c>
      <c r="AP41" s="6">
        <f>SUM(INDEX(Tabela1[[Table Tennis - Men''s Singles]:[Table Tennis - Mixed Doubles]],MATCH(Table92[[#This Row],[Country]],Tabela1[Country], 0),0))</f>
        <v>6</v>
      </c>
      <c r="AQ41" s="6">
        <f>SUM(INDEX(Tabela1[[Taekwondo - Men''s 58kg]:[Taekwondo - Women''s +67kg]],MATCH(Table92[[#This Row],[Country]],Tabela1[Country], 0),0))</f>
        <v>0</v>
      </c>
      <c r="AR41" s="6">
        <f>SUM(INDEX(Tabela1[[Tennis - Men''s Singles]:[Tennis - Mixed Doubles]],MATCH(Table92[[#This Row],[Country]],Tabela1[Country], 0),0))</f>
        <v>2</v>
      </c>
      <c r="AS41" s="6">
        <f>SUM(INDEX(Tabela1[[Gymnastics - Men''s Trampoline]:[Gymnastics - Women''s Trampoline]],MATCH(Table92[[#This Row],[Country]],Tabela1[Country], 0),0))</f>
        <v>0</v>
      </c>
      <c r="AT41" s="6">
        <f>SUM(INDEX(Tabela1[[Triathlon - Men''s Individual]:[Triathlon - Mixed Relay]],MATCH(Table92[[#This Row],[Country]],Tabela1[Country], 0),0))</f>
        <v>0</v>
      </c>
      <c r="AU41" s="6">
        <f>SUM(INDEX(Tabela1[[Volleyball - Men''s Tournament]:[Volleyball - Women''s Tournament]],MATCH(Table92[[#This Row],[Country]],Tabela1[Country], 0),0))</f>
        <v>0</v>
      </c>
      <c r="AV41" s="6">
        <f>SUM(INDEX(Tabela1[[Water Polo - Men''s Tournament]:[Water Polo - Women''s Tournament]],MATCH(Table92[[#This Row],[Country]],Tabela1[Country], 0),0))</f>
        <v>0</v>
      </c>
      <c r="AW41" s="6">
        <f>SUM(INDEX(Tabela1[[Weightlifting - Men''s 61kg]:[Weightlifting - Women''s +81kg]],MATCH(Table92[[#This Row],[Country]],Tabela1[Country], 0),0))</f>
        <v>1</v>
      </c>
      <c r="AX41" s="6">
        <f>SUM(INDEX(Tabela1[[Wrestling - Men''s Freestyle 57kg]:[Wrestling - Women''s Freestyle 76kg]],MATCH(Table92[[#This Row],[Country]],Tabela1[Country], 0),0))</f>
        <v>0</v>
      </c>
      <c r="AY41" s="6">
        <f>SUM(INDEX(Tabela1[[Alpine Skiing - Men''s Downhill]:[Alpine Skiing - Women''s Team Combined]],MATCH(Table92[[#This Row],[Country]],Tabela1[Country], 0),0))</f>
        <v>0</v>
      </c>
      <c r="AZ41" s="6">
        <f>SUM(INDEX(Tabela1[[Biathlon - Men''s Individual]:[Biathlon - Mixed Relay]],MATCH(Table92[[#This Row],[Country]],Tabela1[Country], 0),0))</f>
        <v>0</v>
      </c>
      <c r="BA41" s="6">
        <f>SUM(INDEX(Tabela1[[Bobsleigh - Women''s Monobob]:[Bobsleigh - Men''s Four]],MATCH(Table92[[#This Row],[Country]],Tabela1[Country], 0),0))</f>
        <v>0</v>
      </c>
      <c r="BB41" s="6">
        <f>SUM(INDEX(Tabela1[[Cross-country skiing - Men''s Classical]:[Cross-country skiing - Women''s Team Sprint]],MATCH(Table92[[#This Row],[Country]],Tabela1[Country], 0),0))</f>
        <v>0</v>
      </c>
      <c r="BC41" s="6">
        <f>SUM(INDEX(Tabela1[[Curling - Men''s Tournament]:[Curling - Mixed Doubles]],MATCH(Table92[[#This Row],[Country]],Tabela1[Country], 0),0))</f>
        <v>0</v>
      </c>
      <c r="BD41" s="6">
        <f>SUM(INDEX(Tabela1[[Figure Skating - Men''s Singles]:[Figure Skating - Team Event]],MATCH(Table92[[#This Row],[Country]],Tabela1[Country], 0),0))</f>
        <v>0</v>
      </c>
      <c r="BE41" s="6">
        <f>SUM(INDEX(Tabela1[[Freestyle Skiing - Men''s Aerials]:[Freestyle Skiing - Women''s Slopestyle]],MATCH(Table92[[#This Row],[Country]],Tabela1[Country], 0),0))</f>
        <v>0</v>
      </c>
      <c r="BF41" s="6">
        <f>SUM(INDEX(Tabela1[[Ice Hockey - Men''s Tournament]:[Ice Hockey - Women''s Tournament]],MATCH(Table92[[#This Row],[Country]],Tabela1[Country], 0),0))</f>
        <v>0</v>
      </c>
      <c r="BG41" s="6">
        <f>SUM(INDEX(Tabela1[[Luge - Men''s Singles]:[Luge - Mixed Team Relay]],MATCH(Table92[[#This Row],[Country]],Tabela1[Country], 0),0))</f>
        <v>0</v>
      </c>
      <c r="BH41" s="6">
        <f>SUM(INDEX(Tabela1[[Nordic Combined - Men''s Individual]:[Nordic Combined - Men''s Team Sprint Large Hill]],MATCH(Table92[[#This Row],[Country]],Tabela1[Country], 0),0))</f>
        <v>0</v>
      </c>
      <c r="BI41" s="6">
        <f>SUM(INDEX(Tabela1[[Short track speed skating - Men''s 500m]:[Short track speed skating - Mixed 2000m Relay]],MATCH(Table92[[#This Row],[Country]],Tabela1[Country], 0),0))</f>
        <v>0</v>
      </c>
      <c r="BJ41" s="6">
        <f>SUM(INDEX(Tabela1[[Skeleton - Men''s Individual]:[Skeleton - Mixed Team]],MATCH(Table92[[#This Row],[Country]],Tabela1[Country], 0),0))</f>
        <v>0</v>
      </c>
      <c r="BK41" s="6">
        <f>SUM(INDEX(Tabela1[[Ski Jumping - Men''s Individual Large Hill]:[Ski Jumping - Mixed Team Normal Hill]],MATCH(Table92[[#This Row],[Country]],Tabela1[Country], 0),0))</f>
        <v>0</v>
      </c>
      <c r="BL41" s="6">
        <f>SUM(INDEX(Tabela1[[Ski Mountaineering - Men''s Sprint]:[Ski Mountaineering - Mixed Relay]],MATCH(Table92[[#This Row],[Country]],Tabela1[Country], 0),0))</f>
        <v>0</v>
      </c>
      <c r="BM41" s="6">
        <f>SUM(INDEX(Tabela1[[Snowboarding - Men''s Big Air]:[Snowboarding - Mixed Team Snowboard Cross]],MATCH(Table92[[#This Row],[Country]],Tabela1[Country], 0),0))</f>
        <v>0</v>
      </c>
      <c r="BN41" s="6">
        <f>SUM(INDEX(Tabela1[[Speed Skating - Men''s 500m]:[Speed Skating - Women''s Team Pursuit]],MATCH(Table92[[#This Row],[Country]],Tabela1[Country], 0),0))</f>
        <v>0</v>
      </c>
      <c r="BO41" s="6" t="str">
        <f>SUBSTITUTE(INDEX(Table92[[#Headers],[Archery Quotas]:[Speed Skating Quotas]], MATCH(MAX(Table92[[#This Row],[Archery Quotas]:[Speed Skating Quotas]]), Table92[[#This Row],[Archery Quotas]:[Speed Skating Quotas]], 0))," Quotas","")</f>
        <v>Table Tennis</v>
      </c>
      <c r="BP41" s="6">
        <f>SUM(Table92[[#This Row],[Summer Sports]:[Winter Sports]])</f>
        <v>9</v>
      </c>
      <c r="BQ41" s="6">
        <f>COUNTIF(Table92[[#This Row],[Archery Quotas]:[Wrestling Quotas]],"&lt;&gt;0")</f>
        <v>9</v>
      </c>
      <c r="BR41" s="6">
        <f>COUNTIF(Table92[[#This Row],[Alpine Skiing Quotas]:[Speed Skating Quotas]],"&lt;&gt;0")</f>
        <v>0</v>
      </c>
      <c r="BS41" s="4" t="s">
        <v>369</v>
      </c>
    </row>
    <row r="42" spans="1:71" x14ac:dyDescent="0.3">
      <c r="A42" s="6" t="s">
        <v>380</v>
      </c>
      <c r="B42" t="e" vm="42">
        <f>IF(ISBLANK(Table92[[#This Row],[Flag Link]]), "", _xlfn.IMAGE(Table92[[#This Row],[Flag Link]],1,1))</f>
        <v>#VALUE!</v>
      </c>
      <c r="C42" s="6">
        <f>SUM(Table92[[#This Row],[Archery Quotas]:[Speed Skating Quotas]])</f>
        <v>25</v>
      </c>
      <c r="D42" s="6">
        <f>SUM(INDEX(Tabela1[[Archery - Men''s Individual Recurve]:[Archery - Mixed Team Recurve]],MATCH(Table92[[#This Row],[Country]],Tabela1[Country], 0),0))</f>
        <v>0</v>
      </c>
      <c r="E42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42" s="6">
        <f>SUM(INDEX(Tabela1[[Artistic Swimming - Women''s Duet]:[Artistic Swimming - Women''s Team]],MATCH(Table92[[#This Row],[Country]],Tabela1[Country], 0),0))</f>
        <v>0</v>
      </c>
      <c r="G42" s="6">
        <f>SUM(INDEX(Tabela1[[Athletics - Men''s 100m]:[Athletics - Women''s Heptathlon]],MATCH(Table92[[#This Row],[Country]],Tabela1[Country], 0),0))</f>
        <v>4</v>
      </c>
      <c r="H42" s="6">
        <f>SUM(INDEX(Tabela1[[Badminton - Men''s Singles]:[Badminton - Mixed Doubles]],MATCH(Table92[[#This Row],[Country]],Tabela1[Country], 0),0))</f>
        <v>0</v>
      </c>
      <c r="I42" s="6">
        <f>SUM(INDEX(Tabela1[[Basketball - Men''s Tournament]:[Basketball - Women''s Tournament]],MATCH(Table92[[#This Row],[Country]],Tabela1[Country], 0),0))</f>
        <v>0</v>
      </c>
      <c r="J42" s="6">
        <f>SUM(INDEX(Tabela1[[3x3 Basketball - Men''s Tournament]:[3x3 Basketball - Women''s Tournament]],MATCH(Table92[[#This Row],[Country]],Tabela1[Country], 0),0))</f>
        <v>0</v>
      </c>
      <c r="K42" s="6">
        <f>SUM(INDEX(Tabela1[[Beach Volleyball - Men''s Tournament]:[Beach Volleyball - Women''s Tournament]],MATCH(Table92[[#This Row],[Country]],Tabela1[Country], 0),0))</f>
        <v>0</v>
      </c>
      <c r="L42" s="6">
        <f>SUM(INDEX(Tabela1[[Boxing - Men''s 51kg]:[Boxing - Women''s 75kg]],MATCH(Table92[[#This Row],[Country]],Tabela1[Country], 0),0))</f>
        <v>2</v>
      </c>
      <c r="M42" s="6">
        <f>SUM(INDEX(Tabela1[[Breaking - Men''s Individual]:[Breaking - Women''s Individual]],MATCH(Table92[[#This Row],[Country]],Tabela1[Country], 0),0))</f>
        <v>0</v>
      </c>
      <c r="N42" s="6">
        <f>SUM(INDEX(Tabela1[[Canoeing - Men''s C1 Slalom]:[Canoeing - Women''s Kayak Cross Slalom]],MATCH(Table92[[#This Row],[Country]],Tabela1[Country], 0),0))</f>
        <v>0</v>
      </c>
      <c r="O42" s="6">
        <f>SUM(INDEX(Tabela1[[Canoeing - Women''s C1 200m]:[Canoeing - Women''s K4 500m]],MATCH(Table92[[#This Row],[Country]],Tabela1[Country], 0),0))</f>
        <v>0</v>
      </c>
      <c r="P42" s="6">
        <f>SUM(INDEX(Tabela1[[Cycling - Men''s BMX Freestyle]:[Cycling - Women''s BMX Freestyle]],MATCH(Table92[[#This Row],[Country]],Tabela1[Country], 0),0))</f>
        <v>0</v>
      </c>
      <c r="Q42" s="6">
        <f>SUM(INDEX(Tabela1[[Cycling - Men''s BMX Racing]:[Cycling - Women''s BMX Racing]],MATCH(Table92[[#This Row],[Country]],Tabela1[Country], 0),0))</f>
        <v>0</v>
      </c>
      <c r="R42" s="6">
        <f>SUM(INDEX(Tabela1[[Cycling - Men''s Cross-Country]:[Cycling - Women''s Cross-Country]],MATCH(Table92[[#This Row],[Country]],Tabela1[Country], 0),0))</f>
        <v>0</v>
      </c>
      <c r="S42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2</v>
      </c>
      <c r="T42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42" s="6">
        <f>SUM(INDEX(Tabela1[[Diving - Men''s Springboard]:[Diving - Women''s Synchronized Platform]],MATCH(Table92[[#This Row],[Country]],Tabela1[Country], 0),0))</f>
        <v>0</v>
      </c>
      <c r="V42" s="6">
        <f>SUM(INDEX(Tabela1[[Equestrian - Individual Dressage]:[Equestrian - Team Dressage]],MATCH(Table92[[#This Row],[Country]],Tabela1[Country], 0),0))</f>
        <v>0</v>
      </c>
      <c r="W42" s="6">
        <f>SUM(INDEX(Tabela1[[Equestrian - Individual Eventing]:[Equestrian - Team Eventing]],MATCH(Table92[[#This Row],[Country]],Tabela1[Country], 0),0))</f>
        <v>0</v>
      </c>
      <c r="X42" s="6">
        <f>SUM(INDEX(Tabela1[[Equestrian - Individual Jumping]:[Equestrian - Team Jumping]],MATCH(Table92[[#This Row],[Country]],Tabela1[Country], 0),0))</f>
        <v>0</v>
      </c>
      <c r="Y42" s="6">
        <f>SUM(INDEX(Tabela1[[Fencing - Men''s Épée]:[Fencing - Women''s Team Sabre]],MATCH(Table92[[#This Row],[Country]],Tabela1[Country], 0),0))</f>
        <v>4</v>
      </c>
      <c r="Z42" s="6">
        <f>SUM(INDEX(Tabela1[[Field Hockey - Men''s Tournament]:[Field Hockey - Women''s Tournament]],MATCH(Table92[[#This Row],[Country]],Tabela1[Country], 0),0))</f>
        <v>0</v>
      </c>
      <c r="AA42" s="6">
        <f>SUM(INDEX(Tabela1[[Football - Men''s Tournament]:[Football - Women''s Tournament]],MATCH(Table92[[#This Row],[Country]],Tabela1[Country], 0),0))</f>
        <v>0</v>
      </c>
      <c r="AB42" s="6">
        <f>SUM(INDEX(Tabela1[[Golf - Men''s Individual]:[Golf - Women''s Individual]],MATCH(Table92[[#This Row],[Country]],Tabela1[Country], 0),0))</f>
        <v>0</v>
      </c>
      <c r="AC42" s="6">
        <f>SUM(INDEX(Tabela1[[Handball - Men''s Tournament]:[Handball - Women''s Tournament]],MATCH(Table92[[#This Row],[Country]],Tabela1[Country], 0),0))</f>
        <v>0</v>
      </c>
      <c r="AD42" s="6">
        <f>SUM(INDEX(Tabela1[[Judo - Men''s 60kg]:[Judo - Mixed Team]],MATCH(Table92[[#This Row],[Country]],Tabela1[Country], 0),0))</f>
        <v>1</v>
      </c>
      <c r="AE42" s="6">
        <f>SUM(INDEX(Tabela1[[Swimming - Men''s 10km Open Water]:[Swimming - Women''s 10km Open Water]],MATCH(Table92[[#This Row],[Country]],Tabela1[Country], 0),0))</f>
        <v>0</v>
      </c>
      <c r="AF42" s="6">
        <f>SUM(INDEX(Tabela1[[Modern Pentathlon - Men''s Individual]:[Modern Pentathlon - Women''s Individual]],MATCH(Table92[[#This Row],[Country]],Tabela1[Country], 0),0))</f>
        <v>0</v>
      </c>
      <c r="AG42" s="6">
        <f>SUM(INDEX(Tabela1[[Rhythmic Gymnastics - Women''s Individual All-Around]:[Rhythmic Gymnastics - Women''s Group All-Around]],MATCH(Table92[[#This Row],[Country]],Tabela1[Country], 0),0))</f>
        <v>0</v>
      </c>
      <c r="AH42" s="6">
        <f>SUM(INDEX(Tabela1[[Rowing - Men''s Single Sculls]:[Rowing - Women''s Lwt. Double Sculls]],MATCH(Table92[[#This Row],[Country]],Tabela1[Country], 0),0))</f>
        <v>1</v>
      </c>
      <c r="AI42" s="6">
        <f>SUM(INDEX(Tabela1[[Rugby Sevens - Men''s Tournament]:[Rugby Sevens - Women''s Tournament]],MATCH(Table92[[#This Row],[Country]],Tabela1[Country], 0),0))</f>
        <v>0</v>
      </c>
      <c r="AJ42" s="6">
        <f>SUM(INDEX(Tabela1[[Sailing - Mixed 470]:[Sailing - Mixed Nacra 17]],MATCH(Table92[[#This Row],[Country]],Tabela1[Country], 0),0))</f>
        <v>0</v>
      </c>
      <c r="AK42" s="6">
        <f>SUM(INDEX(Tabela1[[Shooting - Men''s 10m Air Pistol]:[Shooting - Women''s Trap]],MATCH(Table92[[#This Row],[Country]],Tabela1[Country], 0),0))</f>
        <v>2</v>
      </c>
      <c r="AL42" s="6">
        <f>SUM(INDEX(Tabela1[[Skateboarding - Men''s Park]:[Skateboarding - Women''s Street]],MATCH(Table92[[#This Row],[Country]],Tabela1[Country], 0),0))</f>
        <v>0</v>
      </c>
      <c r="AM42" s="6">
        <f>SUM(INDEX(Tabela1[[Sport Climbing - Men''s Boulder and Lead]:[Sport Climbing - Women''s Speed]],MATCH(Table92[[#This Row],[Country]],Tabela1[Country], 0),0))</f>
        <v>0</v>
      </c>
      <c r="AN42" s="6">
        <f>SUM(INDEX(Tabela1[[Surfing - Men''s Shortboard]:[Surfing - Women''s Shortboard]],MATCH(Table92[[#This Row],[Country]],Tabela1[Country], 0),0))</f>
        <v>0</v>
      </c>
      <c r="AO42" s="6">
        <f>SUM(INDEX(Tabela1[[Swimming - Men''s 50m Freestyle]:[Swimming - Mixed 4x100m Medley Relay]],MATCH(Table92[[#This Row],[Country]],Tabela1[Country], 0),0))</f>
        <v>1</v>
      </c>
      <c r="AP42" s="6">
        <f>SUM(INDEX(Tabela1[[Table Tennis - Men''s Singles]:[Table Tennis - Mixed Doubles]],MATCH(Table92[[#This Row],[Country]],Tabela1[Country], 0),0))</f>
        <v>2</v>
      </c>
      <c r="AQ42" s="6">
        <f>SUM(INDEX(Tabela1[[Taekwondo - Men''s 58kg]:[Taekwondo - Women''s +67kg]],MATCH(Table92[[#This Row],[Country]],Tabela1[Country], 0),0))</f>
        <v>0</v>
      </c>
      <c r="AR42" s="6">
        <f>SUM(INDEX(Tabela1[[Tennis - Men''s Singles]:[Tennis - Mixed Doubles]],MATCH(Table92[[#This Row],[Country]],Tabela1[Country], 0),0))</f>
        <v>0</v>
      </c>
      <c r="AS42" s="6">
        <f>SUM(INDEX(Tabela1[[Gymnastics - Men''s Trampoline]:[Gymnastics - Women''s Trampoline]],MATCH(Table92[[#This Row],[Country]],Tabela1[Country], 0),0))</f>
        <v>0</v>
      </c>
      <c r="AT42" s="6">
        <f>SUM(INDEX(Tabela1[[Triathlon - Men''s Individual]:[Triathlon - Mixed Relay]],MATCH(Table92[[#This Row],[Country]],Tabela1[Country], 0),0))</f>
        <v>0</v>
      </c>
      <c r="AU42" s="6">
        <f>SUM(INDEX(Tabela1[[Volleyball - Men''s Tournament]:[Volleyball - Women''s Tournament]],MATCH(Table92[[#This Row],[Country]],Tabela1[Country], 0),0))</f>
        <v>0</v>
      </c>
      <c r="AV42" s="6">
        <f>SUM(INDEX(Tabela1[[Water Polo - Men''s Tournament]:[Water Polo - Women''s Tournament]],MATCH(Table92[[#This Row],[Country]],Tabela1[Country], 0),0))</f>
        <v>0</v>
      </c>
      <c r="AW42" s="6">
        <f>SUM(INDEX(Tabela1[[Weightlifting - Men''s 61kg]:[Weightlifting - Women''s +81kg]],MATCH(Table92[[#This Row],[Country]],Tabela1[Country], 0),0))</f>
        <v>1</v>
      </c>
      <c r="AX42" s="6">
        <f>SUM(INDEX(Tabela1[[Wrestling - Men''s Freestyle 57kg]:[Wrestling - Women''s Freestyle 76kg]],MATCH(Table92[[#This Row],[Country]],Tabela1[Country], 0),0))</f>
        <v>5</v>
      </c>
      <c r="AY42" s="6">
        <f>SUM(INDEX(Tabela1[[Alpine Skiing - Men''s Downhill]:[Alpine Skiing - Women''s Team Combined]],MATCH(Table92[[#This Row],[Country]],Tabela1[Country], 0),0))</f>
        <v>0</v>
      </c>
      <c r="AZ42" s="6">
        <f>SUM(INDEX(Tabela1[[Biathlon - Men''s Individual]:[Biathlon - Mixed Relay]],MATCH(Table92[[#This Row],[Country]],Tabela1[Country], 0),0))</f>
        <v>0</v>
      </c>
      <c r="BA42" s="6">
        <f>SUM(INDEX(Tabela1[[Bobsleigh - Women''s Monobob]:[Bobsleigh - Men''s Four]],MATCH(Table92[[#This Row],[Country]],Tabela1[Country], 0),0))</f>
        <v>0</v>
      </c>
      <c r="BB42" s="6">
        <f>SUM(INDEX(Tabela1[[Cross-country skiing - Men''s Classical]:[Cross-country skiing - Women''s Team Sprint]],MATCH(Table92[[#This Row],[Country]],Tabela1[Country], 0),0))</f>
        <v>0</v>
      </c>
      <c r="BC42" s="6">
        <f>SUM(INDEX(Tabela1[[Curling - Men''s Tournament]:[Curling - Mixed Doubles]],MATCH(Table92[[#This Row],[Country]],Tabela1[Country], 0),0))</f>
        <v>0</v>
      </c>
      <c r="BD42" s="6">
        <f>SUM(INDEX(Tabela1[[Figure Skating - Men''s Singles]:[Figure Skating - Team Event]],MATCH(Table92[[#This Row],[Country]],Tabela1[Country], 0),0))</f>
        <v>0</v>
      </c>
      <c r="BE42" s="6">
        <f>SUM(INDEX(Tabela1[[Freestyle Skiing - Men''s Aerials]:[Freestyle Skiing - Women''s Slopestyle]],MATCH(Table92[[#This Row],[Country]],Tabela1[Country], 0),0))</f>
        <v>0</v>
      </c>
      <c r="BF42" s="6">
        <f>SUM(INDEX(Tabela1[[Ice Hockey - Men''s Tournament]:[Ice Hockey - Women''s Tournament]],MATCH(Table92[[#This Row],[Country]],Tabela1[Country], 0),0))</f>
        <v>0</v>
      </c>
      <c r="BG42" s="6">
        <f>SUM(INDEX(Tabela1[[Luge - Men''s Singles]:[Luge - Mixed Team Relay]],MATCH(Table92[[#This Row],[Country]],Tabela1[Country], 0),0))</f>
        <v>0</v>
      </c>
      <c r="BH42" s="6">
        <f>SUM(INDEX(Tabela1[[Nordic Combined - Men''s Individual]:[Nordic Combined - Men''s Team Sprint Large Hill]],MATCH(Table92[[#This Row],[Country]],Tabela1[Country], 0),0))</f>
        <v>0</v>
      </c>
      <c r="BI42" s="6">
        <f>SUM(INDEX(Tabela1[[Short track speed skating - Men''s 500m]:[Short track speed skating - Mixed 2000m Relay]],MATCH(Table92[[#This Row],[Country]],Tabela1[Country], 0),0))</f>
        <v>0</v>
      </c>
      <c r="BJ42" s="6">
        <f>SUM(INDEX(Tabela1[[Skeleton - Men''s Individual]:[Skeleton - Mixed Team]],MATCH(Table92[[#This Row],[Country]],Tabela1[Country], 0),0))</f>
        <v>0</v>
      </c>
      <c r="BK42" s="6">
        <f>SUM(INDEX(Tabela1[[Ski Jumping - Men''s Individual Large Hill]:[Ski Jumping - Mixed Team Normal Hill]],MATCH(Table92[[#This Row],[Country]],Tabela1[Country], 0),0))</f>
        <v>0</v>
      </c>
      <c r="BL42" s="6">
        <f>SUM(INDEX(Tabela1[[Ski Mountaineering - Men''s Sprint]:[Ski Mountaineering - Mixed Relay]],MATCH(Table92[[#This Row],[Country]],Tabela1[Country], 0),0))</f>
        <v>0</v>
      </c>
      <c r="BM42" s="6">
        <f>SUM(INDEX(Tabela1[[Snowboarding - Men''s Big Air]:[Snowboarding - Mixed Team Snowboard Cross]],MATCH(Table92[[#This Row],[Country]],Tabela1[Country], 0),0))</f>
        <v>0</v>
      </c>
      <c r="BN42" s="6">
        <f>SUM(INDEX(Tabela1[[Speed Skating - Men''s 500m]:[Speed Skating - Women''s Team Pursuit]],MATCH(Table92[[#This Row],[Country]],Tabela1[Country], 0),0))</f>
        <v>0</v>
      </c>
      <c r="BO42" s="6" t="str">
        <f>SUBSTITUTE(INDEX(Table92[[#Headers],[Archery Quotas]:[Speed Skating Quotas]], MATCH(MAX(Table92[[#This Row],[Archery Quotas]:[Speed Skating Quotas]]), Table92[[#This Row],[Archery Quotas]:[Speed Skating Quotas]], 0))," Quotas","")</f>
        <v>Wrestling</v>
      </c>
      <c r="BP42" s="6">
        <f>SUM(Table92[[#This Row],[Summer Sports]:[Winter Sports]])</f>
        <v>11</v>
      </c>
      <c r="BQ42" s="6">
        <f>COUNTIF(Table92[[#This Row],[Archery Quotas]:[Wrestling Quotas]],"&lt;&gt;0")</f>
        <v>11</v>
      </c>
      <c r="BR42" s="6">
        <f>COUNTIF(Table92[[#This Row],[Alpine Skiing Quotas]:[Speed Skating Quotas]],"&lt;&gt;0")</f>
        <v>0</v>
      </c>
      <c r="BS42" s="3" t="s">
        <v>381</v>
      </c>
    </row>
    <row r="43" spans="1:71" x14ac:dyDescent="0.3">
      <c r="A43" s="6" t="s">
        <v>352</v>
      </c>
      <c r="B43" t="e" vm="41">
        <f>IF(ISBLANK(Table92[[#This Row],[Flag Link]]), "", _xlfn.IMAGE(Table92[[#This Row],[Flag Link]],1,1))</f>
        <v>#VALUE!</v>
      </c>
      <c r="C43" s="6">
        <f>SUM(Table92[[#This Row],[Archery Quotas]:[Speed Skating Quotas]])</f>
        <v>25</v>
      </c>
      <c r="D43" s="6">
        <f>SUM(INDEX(Tabela1[[Archery - Men''s Individual Recurve]:[Archery - Mixed Team Recurve]],MATCH(Table92[[#This Row],[Country]],Tabela1[Country], 0),0))</f>
        <v>0</v>
      </c>
      <c r="E43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43" s="6">
        <f>SUM(INDEX(Tabela1[[Artistic Swimming - Women''s Duet]:[Artistic Swimming - Women''s Team]],MATCH(Table92[[#This Row],[Country]],Tabela1[Country], 0),0))</f>
        <v>0</v>
      </c>
      <c r="G43" s="6">
        <f>SUM(INDEX(Tabela1[[Athletics - Men''s 100m]:[Athletics - Women''s Heptathlon]],MATCH(Table92[[#This Row],[Country]],Tabela1[Country], 0),0))</f>
        <v>6</v>
      </c>
      <c r="H43" s="6">
        <f>SUM(INDEX(Tabela1[[Badminton - Men''s Singles]:[Badminton - Mixed Doubles]],MATCH(Table92[[#This Row],[Country]],Tabela1[Country], 0),0))</f>
        <v>0</v>
      </c>
      <c r="I43" s="6">
        <f>SUM(INDEX(Tabela1[[Basketball - Men''s Tournament]:[Basketball - Women''s Tournament]],MATCH(Table92[[#This Row],[Country]],Tabela1[Country], 0),0))</f>
        <v>0</v>
      </c>
      <c r="J43" s="6">
        <f>SUM(INDEX(Tabela1[[3x3 Basketball - Men''s Tournament]:[3x3 Basketball - Women''s Tournament]],MATCH(Table92[[#This Row],[Country]],Tabela1[Country], 0),0))</f>
        <v>0</v>
      </c>
      <c r="K43" s="6">
        <f>SUM(INDEX(Tabela1[[Beach Volleyball - Men''s Tournament]:[Beach Volleyball - Women''s Tournament]],MATCH(Table92[[#This Row],[Country]],Tabela1[Country], 0),0))</f>
        <v>0</v>
      </c>
      <c r="L43" s="6">
        <f>SUM(INDEX(Tabela1[[Boxing - Men''s 51kg]:[Boxing - Women''s 75kg]],MATCH(Table92[[#This Row],[Country]],Tabela1[Country], 0),0))</f>
        <v>1</v>
      </c>
      <c r="M43" s="6">
        <f>SUM(INDEX(Tabela1[[Breaking - Men''s Individual]:[Breaking - Women''s Individual]],MATCH(Table92[[#This Row],[Country]],Tabela1[Country], 0),0))</f>
        <v>0</v>
      </c>
      <c r="N43" s="6">
        <f>SUM(INDEX(Tabela1[[Canoeing - Men''s C1 Slalom]:[Canoeing - Women''s Kayak Cross Slalom]],MATCH(Table92[[#This Row],[Country]],Tabela1[Country], 0),0))</f>
        <v>0</v>
      </c>
      <c r="O43" s="6">
        <f>SUM(INDEX(Tabela1[[Canoeing - Women''s C1 200m]:[Canoeing - Women''s K4 500m]],MATCH(Table92[[#This Row],[Country]],Tabela1[Country], 0),0))</f>
        <v>0</v>
      </c>
      <c r="P43" s="6">
        <f>SUM(INDEX(Tabela1[[Cycling - Men''s BMX Freestyle]:[Cycling - Women''s BMX Freestyle]],MATCH(Table92[[#This Row],[Country]],Tabela1[Country], 0),0))</f>
        <v>0</v>
      </c>
      <c r="Q43" s="6">
        <f>SUM(INDEX(Tabela1[[Cycling - Men''s BMX Racing]:[Cycling - Women''s BMX Racing]],MATCH(Table92[[#This Row],[Country]],Tabela1[Country], 0),0))</f>
        <v>0</v>
      </c>
      <c r="R43" s="6">
        <f>SUM(INDEX(Tabela1[[Cycling - Men''s Cross-Country]:[Cycling - Women''s Cross-Country]],MATCH(Table92[[#This Row],[Country]],Tabela1[Country], 0),0))</f>
        <v>0</v>
      </c>
      <c r="S43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43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43" s="6">
        <f>SUM(INDEX(Tabela1[[Diving - Men''s Springboard]:[Diving - Women''s Synchronized Platform]],MATCH(Table92[[#This Row],[Country]],Tabela1[Country], 0),0))</f>
        <v>0</v>
      </c>
      <c r="V43" s="6">
        <f>SUM(INDEX(Tabela1[[Equestrian - Individual Dressage]:[Equestrian - Team Dressage]],MATCH(Table92[[#This Row],[Country]],Tabela1[Country], 0),0))</f>
        <v>1</v>
      </c>
      <c r="W43" s="6">
        <f>SUM(INDEX(Tabela1[[Equestrian - Individual Eventing]:[Equestrian - Team Eventing]],MATCH(Table92[[#This Row],[Country]],Tabela1[Country], 0),0))</f>
        <v>0</v>
      </c>
      <c r="X43" s="6">
        <f>SUM(INDEX(Tabela1[[Equestrian - Individual Jumping]:[Equestrian - Team Jumping]],MATCH(Table92[[#This Row],[Country]],Tabela1[Country], 0),0))</f>
        <v>1</v>
      </c>
      <c r="Y43" s="6">
        <f>SUM(INDEX(Tabela1[[Fencing - Men''s Épée]:[Fencing - Women''s Team Sabre]],MATCH(Table92[[#This Row],[Country]],Tabela1[Country], 0),0))</f>
        <v>5</v>
      </c>
      <c r="Z43" s="6">
        <f>SUM(INDEX(Tabela1[[Field Hockey - Men''s Tournament]:[Field Hockey - Women''s Tournament]],MATCH(Table92[[#This Row],[Country]],Tabela1[Country], 0),0))</f>
        <v>0</v>
      </c>
      <c r="AA43" s="6">
        <f>SUM(INDEX(Tabela1[[Football - Men''s Tournament]:[Football - Women''s Tournament]],MATCH(Table92[[#This Row],[Country]],Tabela1[Country], 0),0))</f>
        <v>0</v>
      </c>
      <c r="AB43" s="6">
        <f>SUM(INDEX(Tabela1[[Golf - Men''s Individual]:[Golf - Women''s Individual]],MATCH(Table92[[#This Row],[Country]],Tabela1[Country], 0),0))</f>
        <v>0</v>
      </c>
      <c r="AC43" s="6">
        <f>SUM(INDEX(Tabela1[[Handball - Men''s Tournament]:[Handball - Women''s Tournament]],MATCH(Table92[[#This Row],[Country]],Tabela1[Country], 0),0))</f>
        <v>0</v>
      </c>
      <c r="AD43" s="6">
        <f>SUM(INDEX(Tabela1[[Judo - Men''s 60kg]:[Judo - Mixed Team]],MATCH(Table92[[#This Row],[Country]],Tabela1[Country], 0),0))</f>
        <v>1</v>
      </c>
      <c r="AE43" s="6">
        <f>SUM(INDEX(Tabela1[[Swimming - Men''s 10km Open Water]:[Swimming - Women''s 10km Open Water]],MATCH(Table92[[#This Row],[Country]],Tabela1[Country], 0),0))</f>
        <v>0</v>
      </c>
      <c r="AF43" s="6">
        <f>SUM(INDEX(Tabela1[[Modern Pentathlon - Men''s Individual]:[Modern Pentathlon - Women''s Individual]],MATCH(Table92[[#This Row],[Country]],Tabela1[Country], 0),0))</f>
        <v>0</v>
      </c>
      <c r="AG43" s="6">
        <f>SUM(INDEX(Tabela1[[Rhythmic Gymnastics - Women''s Individual All-Around]:[Rhythmic Gymnastics - Women''s Group All-Around]],MATCH(Table92[[#This Row],[Country]],Tabela1[Country], 0),0))</f>
        <v>0</v>
      </c>
      <c r="AH43" s="6">
        <f>SUM(INDEX(Tabela1[[Rowing - Men''s Single Sculls]:[Rowing - Women''s Lwt. Double Sculls]],MATCH(Table92[[#This Row],[Country]],Tabela1[Country], 0),0))</f>
        <v>0</v>
      </c>
      <c r="AI43" s="6">
        <f>SUM(INDEX(Tabela1[[Rugby Sevens - Men''s Tournament]:[Rugby Sevens - Women''s Tournament]],MATCH(Table92[[#This Row],[Country]],Tabela1[Country], 0),0))</f>
        <v>0</v>
      </c>
      <c r="AJ43" s="6">
        <f>SUM(INDEX(Tabela1[[Sailing - Mixed 470]:[Sailing - Mixed Nacra 17]],MATCH(Table92[[#This Row],[Country]],Tabela1[Country], 0),0))</f>
        <v>0</v>
      </c>
      <c r="AK43" s="6">
        <f>SUM(INDEX(Tabela1[[Shooting - Men''s 10m Air Pistol]:[Shooting - Women''s Trap]],MATCH(Table92[[#This Row],[Country]],Tabela1[Country], 0),0))</f>
        <v>0</v>
      </c>
      <c r="AL43" s="6">
        <f>SUM(INDEX(Tabela1[[Skateboarding - Men''s Park]:[Skateboarding - Women''s Street]],MATCH(Table92[[#This Row],[Country]],Tabela1[Country], 0),0))</f>
        <v>0</v>
      </c>
      <c r="AM43" s="6">
        <f>SUM(INDEX(Tabela1[[Sport Climbing - Men''s Boulder and Lead]:[Sport Climbing - Women''s Speed]],MATCH(Table92[[#This Row],[Country]],Tabela1[Country], 0),0))</f>
        <v>0</v>
      </c>
      <c r="AN43" s="6">
        <f>SUM(INDEX(Tabela1[[Surfing - Men''s Shortboard]:[Surfing - Women''s Shortboard]],MATCH(Table92[[#This Row],[Country]],Tabela1[Country], 0),0))</f>
        <v>0</v>
      </c>
      <c r="AO43" s="6">
        <f>SUM(INDEX(Tabela1[[Swimming - Men''s 50m Freestyle]:[Swimming - Mixed 4x100m Medley Relay]],MATCH(Table92[[#This Row],[Country]],Tabela1[Country], 0),0))</f>
        <v>5</v>
      </c>
      <c r="AP43" s="6">
        <f>SUM(INDEX(Tabela1[[Table Tennis - Men''s Singles]:[Table Tennis - Mixed Doubles]],MATCH(Table92[[#This Row],[Country]],Tabela1[Country], 0),0))</f>
        <v>0</v>
      </c>
      <c r="AQ43" s="6">
        <f>SUM(INDEX(Tabela1[[Taekwondo - Men''s 58kg]:[Taekwondo - Women''s +67kg]],MATCH(Table92[[#This Row],[Country]],Tabela1[Country], 0),0))</f>
        <v>1</v>
      </c>
      <c r="AR43" s="6">
        <f>SUM(INDEX(Tabela1[[Tennis - Men''s Singles]:[Tennis - Mixed Doubles]],MATCH(Table92[[#This Row],[Country]],Tabela1[Country], 0),0))</f>
        <v>0</v>
      </c>
      <c r="AS43" s="6">
        <f>SUM(INDEX(Tabela1[[Gymnastics - Men''s Trampoline]:[Gymnastics - Women''s Trampoline]],MATCH(Table92[[#This Row],[Country]],Tabela1[Country], 0),0))</f>
        <v>0</v>
      </c>
      <c r="AT43" s="6">
        <f>SUM(INDEX(Tabela1[[Triathlon - Men''s Individual]:[Triathlon - Mixed Relay]],MATCH(Table92[[#This Row],[Country]],Tabela1[Country], 0),0))</f>
        <v>0</v>
      </c>
      <c r="AU43" s="6">
        <f>SUM(INDEX(Tabela1[[Volleyball - Men''s Tournament]:[Volleyball - Women''s Tournament]],MATCH(Table92[[#This Row],[Country]],Tabela1[Country], 0),0))</f>
        <v>0</v>
      </c>
      <c r="AV43" s="6">
        <f>SUM(INDEX(Tabela1[[Water Polo - Men''s Tournament]:[Water Polo - Women''s Tournament]],MATCH(Table92[[#This Row],[Country]],Tabela1[Country], 0),0))</f>
        <v>0</v>
      </c>
      <c r="AW43" s="6">
        <f>SUM(INDEX(Tabela1[[Weightlifting - Men''s 61kg]:[Weightlifting - Women''s +81kg]],MATCH(Table92[[#This Row],[Country]],Tabela1[Country], 0),0))</f>
        <v>1</v>
      </c>
      <c r="AX43" s="6">
        <f>SUM(INDEX(Tabela1[[Wrestling - Men''s Freestyle 57kg]:[Wrestling - Women''s Freestyle 76kg]],MATCH(Table92[[#This Row],[Country]],Tabela1[Country], 0),0))</f>
        <v>1</v>
      </c>
      <c r="AY43" s="6">
        <f>SUM(INDEX(Tabela1[[Alpine Skiing - Men''s Downhill]:[Alpine Skiing - Women''s Team Combined]],MATCH(Table92[[#This Row],[Country]],Tabela1[Country], 0),0))</f>
        <v>0</v>
      </c>
      <c r="AZ43" s="6">
        <f>SUM(INDEX(Tabela1[[Biathlon - Men''s Individual]:[Biathlon - Mixed Relay]],MATCH(Table92[[#This Row],[Country]],Tabela1[Country], 0),0))</f>
        <v>0</v>
      </c>
      <c r="BA43" s="6">
        <f>SUM(INDEX(Tabela1[[Bobsleigh - Women''s Monobob]:[Bobsleigh - Men''s Four]],MATCH(Table92[[#This Row],[Country]],Tabela1[Country], 0),0))</f>
        <v>0</v>
      </c>
      <c r="BB43" s="6">
        <f>SUM(INDEX(Tabela1[[Cross-country skiing - Men''s Classical]:[Cross-country skiing - Women''s Team Sprint]],MATCH(Table92[[#This Row],[Country]],Tabela1[Country], 0),0))</f>
        <v>2</v>
      </c>
      <c r="BC43" s="6">
        <f>SUM(INDEX(Tabela1[[Curling - Men''s Tournament]:[Curling - Mixed Doubles]],MATCH(Table92[[#This Row],[Country]],Tabela1[Country], 0),0))</f>
        <v>0</v>
      </c>
      <c r="BD43" s="6">
        <f>SUM(INDEX(Tabela1[[Figure Skating - Men''s Singles]:[Figure Skating - Team Event]],MATCH(Table92[[#This Row],[Country]],Tabela1[Country], 0),0))</f>
        <v>0</v>
      </c>
      <c r="BE43" s="6">
        <f>SUM(INDEX(Tabela1[[Freestyle Skiing - Men''s Aerials]:[Freestyle Skiing - Women''s Slopestyle]],MATCH(Table92[[#This Row],[Country]],Tabela1[Country], 0),0))</f>
        <v>0</v>
      </c>
      <c r="BF43" s="6">
        <f>SUM(INDEX(Tabela1[[Ice Hockey - Men''s Tournament]:[Ice Hockey - Women''s Tournament]],MATCH(Table92[[#This Row],[Country]],Tabela1[Country], 0),0))</f>
        <v>0</v>
      </c>
      <c r="BG43" s="6">
        <f>SUM(INDEX(Tabela1[[Luge - Men''s Singles]:[Luge - Mixed Team Relay]],MATCH(Table92[[#This Row],[Country]],Tabela1[Country], 0),0))</f>
        <v>0</v>
      </c>
      <c r="BH43" s="6">
        <f>SUM(INDEX(Tabela1[[Nordic Combined - Men''s Individual]:[Nordic Combined - Men''s Team Sprint Large Hill]],MATCH(Table92[[#This Row],[Country]],Tabela1[Country], 0),0))</f>
        <v>0</v>
      </c>
      <c r="BI43" s="6">
        <f>SUM(INDEX(Tabela1[[Short track speed skating - Men''s 500m]:[Short track speed skating - Mixed 2000m Relay]],MATCH(Table92[[#This Row],[Country]],Tabela1[Country], 0),0))</f>
        <v>0</v>
      </c>
      <c r="BJ43" s="6">
        <f>SUM(INDEX(Tabela1[[Skeleton - Men''s Individual]:[Skeleton - Mixed Team]],MATCH(Table92[[#This Row],[Country]],Tabela1[Country], 0),0))</f>
        <v>0</v>
      </c>
      <c r="BK43" s="6">
        <f>SUM(INDEX(Tabela1[[Ski Jumping - Men''s Individual Large Hill]:[Ski Jumping - Mixed Team Normal Hill]],MATCH(Table92[[#This Row],[Country]],Tabela1[Country], 0),0))</f>
        <v>0</v>
      </c>
      <c r="BL43" s="6">
        <f>SUM(INDEX(Tabela1[[Ski Mountaineering - Men''s Sprint]:[Ski Mountaineering - Mixed Relay]],MATCH(Table92[[#This Row],[Country]],Tabela1[Country], 0),0))</f>
        <v>0</v>
      </c>
      <c r="BM43" s="6">
        <f>SUM(INDEX(Tabela1[[Snowboarding - Men''s Big Air]:[Snowboarding - Mixed Team Snowboard Cross]],MATCH(Table92[[#This Row],[Country]],Tabela1[Country], 0),0))</f>
        <v>0</v>
      </c>
      <c r="BN43" s="6">
        <f>SUM(INDEX(Tabela1[[Speed Skating - Men''s 500m]:[Speed Skating - Women''s Team Pursuit]],MATCH(Table92[[#This Row],[Country]],Tabela1[Country], 0),0))</f>
        <v>0</v>
      </c>
      <c r="BO43" s="6" t="str">
        <f>SUBSTITUTE(INDEX(Table92[[#Headers],[Archery Quotas]:[Speed Skating Quotas]], MATCH(MAX(Table92[[#This Row],[Archery Quotas]:[Speed Skating Quotas]]), Table92[[#This Row],[Archery Quotas]:[Speed Skating Quotas]], 0))," Quotas","")</f>
        <v>Athletics</v>
      </c>
      <c r="BP43" s="6">
        <f>SUM(Table92[[#This Row],[Summer Sports]:[Winter Sports]])</f>
        <v>11</v>
      </c>
      <c r="BQ43" s="6">
        <f>COUNTIF(Table92[[#This Row],[Archery Quotas]:[Wrestling Quotas]],"&lt;&gt;0")</f>
        <v>10</v>
      </c>
      <c r="BR43" s="6">
        <f>COUNTIF(Table92[[#This Row],[Alpine Skiing Quotas]:[Speed Skating Quotas]],"&lt;&gt;0")</f>
        <v>1</v>
      </c>
      <c r="BS43" s="3" t="s">
        <v>353</v>
      </c>
    </row>
    <row r="44" spans="1:71" x14ac:dyDescent="0.3">
      <c r="A44" s="6" t="s">
        <v>448</v>
      </c>
      <c r="B44" t="e" vm="43">
        <f>IF(ISBLANK(Table92[[#This Row],[Flag Link]]), "", _xlfn.IMAGE(Table92[[#This Row],[Flag Link]],1,1))</f>
        <v>#VALUE!</v>
      </c>
      <c r="C44" s="6">
        <f>SUM(Table92[[#This Row],[Archery Quotas]:[Speed Skating Quotas]])</f>
        <v>22</v>
      </c>
      <c r="D44" s="6">
        <f>SUM(INDEX(Tabela1[[Archery - Men''s Individual Recurve]:[Archery - Mixed Team Recurve]],MATCH(Table92[[#This Row],[Country]],Tabela1[Country], 0),0))</f>
        <v>4</v>
      </c>
      <c r="E44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44" s="6">
        <f>SUM(INDEX(Tabela1[[Artistic Swimming - Women''s Duet]:[Artistic Swimming - Women''s Team]],MATCH(Table92[[#This Row],[Country]],Tabela1[Country], 0),0))</f>
        <v>0</v>
      </c>
      <c r="G44" s="6">
        <f>SUM(INDEX(Tabela1[[Athletics - Men''s 100m]:[Athletics - Women''s Heptathlon]],MATCH(Table92[[#This Row],[Country]],Tabela1[Country], 0),0))</f>
        <v>1</v>
      </c>
      <c r="H44" s="6">
        <f>SUM(INDEX(Tabela1[[Badminton - Men''s Singles]:[Badminton - Mixed Doubles]],MATCH(Table92[[#This Row],[Country]],Tabela1[Country], 0),0))</f>
        <v>3</v>
      </c>
      <c r="I44" s="6">
        <f>SUM(INDEX(Tabela1[[Basketball - Men''s Tournament]:[Basketball - Women''s Tournament]],MATCH(Table92[[#This Row],[Country]],Tabela1[Country], 0),0))</f>
        <v>0</v>
      </c>
      <c r="J44" s="6">
        <f>SUM(INDEX(Tabela1[[3x3 Basketball - Men''s Tournament]:[3x3 Basketball - Women''s Tournament]],MATCH(Table92[[#This Row],[Country]],Tabela1[Country], 0),0))</f>
        <v>0</v>
      </c>
      <c r="K44" s="6">
        <f>SUM(INDEX(Tabela1[[Beach Volleyball - Men''s Tournament]:[Beach Volleyball - Women''s Tournament]],MATCH(Table92[[#This Row],[Country]],Tabela1[Country], 0),0))</f>
        <v>0</v>
      </c>
      <c r="L44" s="6">
        <f>SUM(INDEX(Tabela1[[Boxing - Men''s 51kg]:[Boxing - Women''s 75kg]],MATCH(Table92[[#This Row],[Country]],Tabela1[Country], 0),0))</f>
        <v>1</v>
      </c>
      <c r="M44" s="6">
        <f>SUM(INDEX(Tabela1[[Breaking - Men''s Individual]:[Breaking - Women''s Individual]],MATCH(Table92[[#This Row],[Country]],Tabela1[Country], 0),0))</f>
        <v>0</v>
      </c>
      <c r="N44" s="6">
        <f>SUM(INDEX(Tabela1[[Canoeing - Men''s C1 Slalom]:[Canoeing - Women''s Kayak Cross Slalom]],MATCH(Table92[[#This Row],[Country]],Tabela1[Country], 0),0))</f>
        <v>0</v>
      </c>
      <c r="O44" s="6">
        <f>SUM(INDEX(Tabela1[[Canoeing - Women''s C1 200m]:[Canoeing - Women''s K4 500m]],MATCH(Table92[[#This Row],[Country]],Tabela1[Country], 0),0))</f>
        <v>0</v>
      </c>
      <c r="P44" s="6">
        <f>SUM(INDEX(Tabela1[[Cycling - Men''s BMX Freestyle]:[Cycling - Women''s BMX Freestyle]],MATCH(Table92[[#This Row],[Country]],Tabela1[Country], 0),0))</f>
        <v>0</v>
      </c>
      <c r="Q44" s="6">
        <f>SUM(INDEX(Tabela1[[Cycling - Men''s BMX Racing]:[Cycling - Women''s BMX Racing]],MATCH(Table92[[#This Row],[Country]],Tabela1[Country], 0),0))</f>
        <v>0</v>
      </c>
      <c r="R44" s="6">
        <f>SUM(INDEX(Tabela1[[Cycling - Men''s Cross-Country]:[Cycling - Women''s Cross-Country]],MATCH(Table92[[#This Row],[Country]],Tabela1[Country], 0),0))</f>
        <v>0</v>
      </c>
      <c r="S44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44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44" s="6">
        <f>SUM(INDEX(Tabela1[[Diving - Men''s Springboard]:[Diving - Women''s Synchronized Platform]],MATCH(Table92[[#This Row],[Country]],Tabela1[Country], 0),0))</f>
        <v>0</v>
      </c>
      <c r="V44" s="6">
        <f>SUM(INDEX(Tabela1[[Equestrian - Individual Dressage]:[Equestrian - Team Dressage]],MATCH(Table92[[#This Row],[Country]],Tabela1[Country], 0),0))</f>
        <v>0</v>
      </c>
      <c r="W44" s="6">
        <f>SUM(INDEX(Tabela1[[Equestrian - Individual Eventing]:[Equestrian - Team Eventing]],MATCH(Table92[[#This Row],[Country]],Tabela1[Country], 0),0))</f>
        <v>0</v>
      </c>
      <c r="X44" s="6">
        <f>SUM(INDEX(Tabela1[[Equestrian - Individual Jumping]:[Equestrian - Team Jumping]],MATCH(Table92[[#This Row],[Country]],Tabela1[Country], 0),0))</f>
        <v>0</v>
      </c>
      <c r="Y44" s="6">
        <f>SUM(INDEX(Tabela1[[Fencing - Men''s Épée]:[Fencing - Women''s Team Sabre]],MATCH(Table92[[#This Row],[Country]],Tabela1[Country], 0),0))</f>
        <v>0</v>
      </c>
      <c r="Z44" s="6">
        <f>SUM(INDEX(Tabela1[[Field Hockey - Men''s Tournament]:[Field Hockey - Women''s Tournament]],MATCH(Table92[[#This Row],[Country]],Tabela1[Country], 0),0))</f>
        <v>0</v>
      </c>
      <c r="AA44" s="6">
        <f>SUM(INDEX(Tabela1[[Football - Men''s Tournament]:[Football - Women''s Tournament]],MATCH(Table92[[#This Row],[Country]],Tabela1[Country], 0),0))</f>
        <v>0</v>
      </c>
      <c r="AB44" s="6">
        <f>SUM(INDEX(Tabela1[[Golf - Men''s Individual]:[Golf - Women''s Individual]],MATCH(Table92[[#This Row],[Country]],Tabela1[Country], 0),0))</f>
        <v>1</v>
      </c>
      <c r="AC44" s="6">
        <f>SUM(INDEX(Tabela1[[Handball - Men''s Tournament]:[Handball - Women''s Tournament]],MATCH(Table92[[#This Row],[Country]],Tabela1[Country], 0),0))</f>
        <v>0</v>
      </c>
      <c r="AD44" s="6">
        <f>SUM(INDEX(Tabela1[[Judo - Men''s 60kg]:[Judo - Mixed Team]],MATCH(Table92[[#This Row],[Country]],Tabela1[Country], 0),0))</f>
        <v>1</v>
      </c>
      <c r="AE44" s="6">
        <f>SUM(INDEX(Tabela1[[Swimming - Men''s 10km Open Water]:[Swimming - Women''s 10km Open Water]],MATCH(Table92[[#This Row],[Country]],Tabela1[Country], 0),0))</f>
        <v>0</v>
      </c>
      <c r="AF44" s="6">
        <f>SUM(INDEX(Tabela1[[Modern Pentathlon - Men''s Individual]:[Modern Pentathlon - Women''s Individual]],MATCH(Table92[[#This Row],[Country]],Tabela1[Country], 0),0))</f>
        <v>0</v>
      </c>
      <c r="AG44" s="6">
        <f>SUM(INDEX(Tabela1[[Rhythmic Gymnastics - Women''s Individual All-Around]:[Rhythmic Gymnastics - Women''s Group All-Around]],MATCH(Table92[[#This Row],[Country]],Tabela1[Country], 0),0))</f>
        <v>0</v>
      </c>
      <c r="AH44" s="6">
        <f>SUM(INDEX(Tabela1[[Rowing - Men''s Single Sculls]:[Rowing - Women''s Lwt. Double Sculls]],MATCH(Table92[[#This Row],[Country]],Tabela1[Country], 0),0))</f>
        <v>0</v>
      </c>
      <c r="AI44" s="6">
        <f>SUM(INDEX(Tabela1[[Rugby Sevens - Men''s Tournament]:[Rugby Sevens - Women''s Tournament]],MATCH(Table92[[#This Row],[Country]],Tabela1[Country], 0),0))</f>
        <v>0</v>
      </c>
      <c r="AJ44" s="6">
        <f>SUM(INDEX(Tabela1[[Sailing - Mixed 470]:[Sailing - Mixed Nacra 17]],MATCH(Table92[[#This Row],[Country]],Tabela1[Country], 0),0))</f>
        <v>0</v>
      </c>
      <c r="AK44" s="6">
        <f>SUM(INDEX(Tabela1[[Shooting - Men''s 10m Air Pistol]:[Shooting - Women''s Trap]],MATCH(Table92[[#This Row],[Country]],Tabela1[Country], 0),0))</f>
        <v>5</v>
      </c>
      <c r="AL44" s="6">
        <f>SUM(INDEX(Tabela1[[Skateboarding - Men''s Park]:[Skateboarding - Women''s Street]],MATCH(Table92[[#This Row],[Country]],Tabela1[Country], 0),0))</f>
        <v>0</v>
      </c>
      <c r="AM44" s="6">
        <f>SUM(INDEX(Tabela1[[Sport Climbing - Men''s Boulder and Lead]:[Sport Climbing - Women''s Speed]],MATCH(Table92[[#This Row],[Country]],Tabela1[Country], 0),0))</f>
        <v>0</v>
      </c>
      <c r="AN44" s="6">
        <f>SUM(INDEX(Tabela1[[Surfing - Men''s Shortboard]:[Surfing - Women''s Shortboard]],MATCH(Table92[[#This Row],[Country]],Tabela1[Country], 0),0))</f>
        <v>0</v>
      </c>
      <c r="AO44" s="6">
        <f>SUM(INDEX(Tabela1[[Swimming - Men''s 50m Freestyle]:[Swimming - Mixed 4x100m Medley Relay]],MATCH(Table92[[#This Row],[Country]],Tabela1[Country], 0),0))</f>
        <v>1</v>
      </c>
      <c r="AP44" s="6">
        <f>SUM(INDEX(Tabela1[[Table Tennis - Men''s Singles]:[Table Tennis - Mixed Doubles]],MATCH(Table92[[#This Row],[Country]],Tabela1[Country], 0),0))</f>
        <v>3</v>
      </c>
      <c r="AQ44" s="6">
        <f>SUM(INDEX(Tabela1[[Taekwondo - Men''s 58kg]:[Taekwondo - Women''s +67kg]],MATCH(Table92[[#This Row],[Country]],Tabela1[Country], 0),0))</f>
        <v>0</v>
      </c>
      <c r="AR44" s="6">
        <f>SUM(INDEX(Tabela1[[Tennis - Men''s Singles]:[Tennis - Mixed Doubles]],MATCH(Table92[[#This Row],[Country]],Tabela1[Country], 0),0))</f>
        <v>1</v>
      </c>
      <c r="AS44" s="6">
        <f>SUM(INDEX(Tabela1[[Gymnastics - Men''s Trampoline]:[Gymnastics - Women''s Trampoline]],MATCH(Table92[[#This Row],[Country]],Tabela1[Country], 0),0))</f>
        <v>0</v>
      </c>
      <c r="AT44" s="6">
        <f>SUM(INDEX(Tabela1[[Triathlon - Men''s Individual]:[Triathlon - Mixed Relay]],MATCH(Table92[[#This Row],[Country]],Tabela1[Country], 0),0))</f>
        <v>0</v>
      </c>
      <c r="AU44" s="6">
        <f>SUM(INDEX(Tabela1[[Volleyball - Men''s Tournament]:[Volleyball - Women''s Tournament]],MATCH(Table92[[#This Row],[Country]],Tabela1[Country], 0),0))</f>
        <v>0</v>
      </c>
      <c r="AV44" s="6">
        <f>SUM(INDEX(Tabela1[[Water Polo - Men''s Tournament]:[Water Polo - Women''s Tournament]],MATCH(Table92[[#This Row],[Country]],Tabela1[Country], 0),0))</f>
        <v>0</v>
      </c>
      <c r="AW44" s="6">
        <f>SUM(INDEX(Tabela1[[Weightlifting - Men''s 61kg]:[Weightlifting - Women''s +81kg]],MATCH(Table92[[#This Row],[Country]],Tabela1[Country], 0),0))</f>
        <v>0</v>
      </c>
      <c r="AX44" s="6">
        <f>SUM(INDEX(Tabela1[[Wrestling - Men''s Freestyle 57kg]:[Wrestling - Women''s Freestyle 76kg]],MATCH(Table92[[#This Row],[Country]],Tabela1[Country], 0),0))</f>
        <v>1</v>
      </c>
      <c r="AY44" s="6">
        <f>SUM(INDEX(Tabela1[[Alpine Skiing - Men''s Downhill]:[Alpine Skiing - Women''s Team Combined]],MATCH(Table92[[#This Row],[Country]],Tabela1[Country], 0),0))</f>
        <v>0</v>
      </c>
      <c r="AZ44" s="6">
        <f>SUM(INDEX(Tabela1[[Biathlon - Men''s Individual]:[Biathlon - Mixed Relay]],MATCH(Table92[[#This Row],[Country]],Tabela1[Country], 0),0))</f>
        <v>0</v>
      </c>
      <c r="BA44" s="6">
        <f>SUM(INDEX(Tabela1[[Bobsleigh - Women''s Monobob]:[Bobsleigh - Men''s Four]],MATCH(Table92[[#This Row],[Country]],Tabela1[Country], 0),0))</f>
        <v>0</v>
      </c>
      <c r="BB44" s="6">
        <f>SUM(INDEX(Tabela1[[Cross-country skiing - Men''s Classical]:[Cross-country skiing - Women''s Team Sprint]],MATCH(Table92[[#This Row],[Country]],Tabela1[Country], 0),0))</f>
        <v>0</v>
      </c>
      <c r="BC44" s="6">
        <f>SUM(INDEX(Tabela1[[Curling - Men''s Tournament]:[Curling - Mixed Doubles]],MATCH(Table92[[#This Row],[Country]],Tabela1[Country], 0),0))</f>
        <v>0</v>
      </c>
      <c r="BD44" s="6">
        <f>SUM(INDEX(Tabela1[[Figure Skating - Men''s Singles]:[Figure Skating - Team Event]],MATCH(Table92[[#This Row],[Country]],Tabela1[Country], 0),0))</f>
        <v>0</v>
      </c>
      <c r="BE44" s="6">
        <f>SUM(INDEX(Tabela1[[Freestyle Skiing - Men''s Aerials]:[Freestyle Skiing - Women''s Slopestyle]],MATCH(Table92[[#This Row],[Country]],Tabela1[Country], 0),0))</f>
        <v>0</v>
      </c>
      <c r="BF44" s="6">
        <f>SUM(INDEX(Tabela1[[Ice Hockey - Men''s Tournament]:[Ice Hockey - Women''s Tournament]],MATCH(Table92[[#This Row],[Country]],Tabela1[Country], 0),0))</f>
        <v>0</v>
      </c>
      <c r="BG44" s="6">
        <f>SUM(INDEX(Tabela1[[Luge - Men''s Singles]:[Luge - Mixed Team Relay]],MATCH(Table92[[#This Row],[Country]],Tabela1[Country], 0),0))</f>
        <v>0</v>
      </c>
      <c r="BH44" s="6">
        <f>SUM(INDEX(Tabela1[[Nordic Combined - Men''s Individual]:[Nordic Combined - Men''s Team Sprint Large Hill]],MATCH(Table92[[#This Row],[Country]],Tabela1[Country], 0),0))</f>
        <v>0</v>
      </c>
      <c r="BI44" s="6">
        <f>SUM(INDEX(Tabela1[[Short track speed skating - Men''s 500m]:[Short track speed skating - Mixed 2000m Relay]],MATCH(Table92[[#This Row],[Country]],Tabela1[Country], 0),0))</f>
        <v>0</v>
      </c>
      <c r="BJ44" s="6">
        <f>SUM(INDEX(Tabela1[[Skeleton - Men''s Individual]:[Skeleton - Mixed Team]],MATCH(Table92[[#This Row],[Country]],Tabela1[Country], 0),0))</f>
        <v>0</v>
      </c>
      <c r="BK44" s="6">
        <f>SUM(INDEX(Tabela1[[Ski Jumping - Men''s Individual Large Hill]:[Ski Jumping - Mixed Team Normal Hill]],MATCH(Table92[[#This Row],[Country]],Tabela1[Country], 0),0))</f>
        <v>0</v>
      </c>
      <c r="BL44" s="6">
        <f>SUM(INDEX(Tabela1[[Ski Mountaineering - Men''s Sprint]:[Ski Mountaineering - Mixed Relay]],MATCH(Table92[[#This Row],[Country]],Tabela1[Country], 0),0))</f>
        <v>0</v>
      </c>
      <c r="BM44" s="6">
        <f>SUM(INDEX(Tabela1[[Snowboarding - Men''s Big Air]:[Snowboarding - Mixed Team Snowboard Cross]],MATCH(Table92[[#This Row],[Country]],Tabela1[Country], 0),0))</f>
        <v>0</v>
      </c>
      <c r="BN44" s="6">
        <f>SUM(INDEX(Tabela1[[Speed Skating - Men''s 500m]:[Speed Skating - Women''s Team Pursuit]],MATCH(Table92[[#This Row],[Country]],Tabela1[Country], 0),0))</f>
        <v>0</v>
      </c>
      <c r="BO44" s="6" t="str">
        <f>SUBSTITUTE(INDEX(Table92[[#Headers],[Archery Quotas]:[Speed Skating Quotas]], MATCH(MAX(Table92[[#This Row],[Archery Quotas]:[Speed Skating Quotas]]), Table92[[#This Row],[Archery Quotas]:[Speed Skating Quotas]], 0))," Quotas","")</f>
        <v>Shooting</v>
      </c>
      <c r="BP44" s="6">
        <f>SUM(Table92[[#This Row],[Summer Sports]:[Winter Sports]])</f>
        <v>11</v>
      </c>
      <c r="BQ44" s="6">
        <f>COUNTIF(Table92[[#This Row],[Archery Quotas]:[Wrestling Quotas]],"&lt;&gt;0")</f>
        <v>11</v>
      </c>
      <c r="BR44" s="6">
        <f>COUNTIF(Table92[[#This Row],[Alpine Skiing Quotas]:[Speed Skating Quotas]],"&lt;&gt;0")</f>
        <v>0</v>
      </c>
      <c r="BS44" s="3" t="s">
        <v>449</v>
      </c>
    </row>
    <row r="45" spans="1:71" x14ac:dyDescent="0.3">
      <c r="A45" s="6" t="s">
        <v>690</v>
      </c>
      <c r="B45" t="e" vm="44">
        <f>IF(ISBLANK(Table92[[#This Row],[Flag Link]]), "", _xlfn.IMAGE(Table92[[#This Row],[Flag Link]],1,1))</f>
        <v>#VALUE!</v>
      </c>
      <c r="C45" s="6">
        <f>SUM(Table92[[#This Row],[Archery Quotas]:[Speed Skating Quotas]])</f>
        <v>21</v>
      </c>
      <c r="D45" s="6">
        <f>SUM(INDEX(Tabela1[[Archery - Men''s Individual Recurve]:[Archery - Mixed Team Recurve]],MATCH(Table92[[#This Row],[Country]],Tabela1[Country], 0),0))</f>
        <v>0</v>
      </c>
      <c r="E45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45" s="6">
        <f>SUM(INDEX(Tabela1[[Artistic Swimming - Women''s Duet]:[Artistic Swimming - Women''s Team]],MATCH(Table92[[#This Row],[Country]],Tabela1[Country], 0),0))</f>
        <v>0</v>
      </c>
      <c r="G45" s="6">
        <f>SUM(INDEX(Tabela1[[Athletics - Men''s 100m]:[Athletics - Women''s Heptathlon]],MATCH(Table92[[#This Row],[Country]],Tabela1[Country], 0),0))</f>
        <v>2</v>
      </c>
      <c r="H45" s="6">
        <f>SUM(INDEX(Tabela1[[Badminton - Men''s Singles]:[Badminton - Mixed Doubles]],MATCH(Table92[[#This Row],[Country]],Tabela1[Country], 0),0))</f>
        <v>0</v>
      </c>
      <c r="I45" s="6">
        <f>SUM(INDEX(Tabela1[[Basketball - Men''s Tournament]:[Basketball - Women''s Tournament]],MATCH(Table92[[#This Row],[Country]],Tabela1[Country], 0),0))</f>
        <v>2</v>
      </c>
      <c r="J45" s="6">
        <f>SUM(INDEX(Tabela1[[3x3 Basketball - Men''s Tournament]:[3x3 Basketball - Women''s Tournament]],MATCH(Table92[[#This Row],[Country]],Tabela1[Country], 0),0))</f>
        <v>0</v>
      </c>
      <c r="K45" s="6">
        <f>SUM(INDEX(Tabela1[[Beach Volleyball - Men''s Tournament]:[Beach Volleyball - Women''s Tournament]],MATCH(Table92[[#This Row],[Country]],Tabela1[Country], 0),0))</f>
        <v>0</v>
      </c>
      <c r="L45" s="6">
        <f>SUM(INDEX(Tabela1[[Boxing - Men''s 51kg]:[Boxing - Women''s 75kg]],MATCH(Table92[[#This Row],[Country]],Tabela1[Country], 0),0))</f>
        <v>2</v>
      </c>
      <c r="M45" s="6">
        <f>SUM(INDEX(Tabela1[[Breaking - Men''s Individual]:[Breaking - Women''s Individual]],MATCH(Table92[[#This Row],[Country]],Tabela1[Country], 0),0))</f>
        <v>0</v>
      </c>
      <c r="N45" s="6">
        <f>SUM(INDEX(Tabela1[[Canoeing - Men''s C1 Slalom]:[Canoeing - Women''s Kayak Cross Slalom]],MATCH(Table92[[#This Row],[Country]],Tabela1[Country], 0),0))</f>
        <v>0</v>
      </c>
      <c r="O45" s="6">
        <f>SUM(INDEX(Tabela1[[Canoeing - Women''s C1 200m]:[Canoeing - Women''s K4 500m]],MATCH(Table92[[#This Row],[Country]],Tabela1[Country], 0),0))</f>
        <v>0</v>
      </c>
      <c r="P45" s="6">
        <f>SUM(INDEX(Tabela1[[Cycling - Men''s BMX Freestyle]:[Cycling - Women''s BMX Freestyle]],MATCH(Table92[[#This Row],[Country]],Tabela1[Country], 0),0))</f>
        <v>0</v>
      </c>
      <c r="Q45" s="6">
        <f>SUM(INDEX(Tabela1[[Cycling - Men''s BMX Racing]:[Cycling - Women''s BMX Racing]],MATCH(Table92[[#This Row],[Country]],Tabela1[Country], 0),0))</f>
        <v>0</v>
      </c>
      <c r="R45" s="6">
        <f>SUM(INDEX(Tabela1[[Cycling - Men''s Cross-Country]:[Cycling - Women''s Cross-Country]],MATCH(Table92[[#This Row],[Country]],Tabela1[Country], 0),0))</f>
        <v>0</v>
      </c>
      <c r="S45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1</v>
      </c>
      <c r="T45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45" s="6">
        <f>SUM(INDEX(Tabela1[[Diving - Men''s Springboard]:[Diving - Women''s Synchronized Platform]],MATCH(Table92[[#This Row],[Country]],Tabela1[Country], 0),0))</f>
        <v>0</v>
      </c>
      <c r="V45" s="6">
        <f>SUM(INDEX(Tabela1[[Equestrian - Individual Dressage]:[Equestrian - Team Dressage]],MATCH(Table92[[#This Row],[Country]],Tabela1[Country], 0),0))</f>
        <v>0</v>
      </c>
      <c r="W45" s="6">
        <f>SUM(INDEX(Tabela1[[Equestrian - Individual Eventing]:[Equestrian - Team Eventing]],MATCH(Table92[[#This Row],[Country]],Tabela1[Country], 0),0))</f>
        <v>0</v>
      </c>
      <c r="X45" s="6">
        <f>SUM(INDEX(Tabela1[[Equestrian - Individual Jumping]:[Equestrian - Team Jumping]],MATCH(Table92[[#This Row],[Country]],Tabela1[Country], 0),0))</f>
        <v>0</v>
      </c>
      <c r="Y45" s="6">
        <f>SUM(INDEX(Tabela1[[Fencing - Men''s Épée]:[Fencing - Women''s Team Sabre]],MATCH(Table92[[#This Row],[Country]],Tabela1[Country], 0),0))</f>
        <v>0</v>
      </c>
      <c r="Z45" s="6">
        <f>SUM(INDEX(Tabela1[[Field Hockey - Men''s Tournament]:[Field Hockey - Women''s Tournament]],MATCH(Table92[[#This Row],[Country]],Tabela1[Country], 0),0))</f>
        <v>0</v>
      </c>
      <c r="AA45" s="6">
        <f>SUM(INDEX(Tabela1[[Football - Men''s Tournament]:[Football - Women''s Tournament]],MATCH(Table92[[#This Row],[Country]],Tabela1[Country], 0),0))</f>
        <v>0</v>
      </c>
      <c r="AB45" s="6">
        <f>SUM(INDEX(Tabela1[[Golf - Men''s Individual]:[Golf - Women''s Individual]],MATCH(Table92[[#This Row],[Country]],Tabela1[Country], 0),0))</f>
        <v>0</v>
      </c>
      <c r="AC45" s="6">
        <f>SUM(INDEX(Tabela1[[Handball - Men''s Tournament]:[Handball - Women''s Tournament]],MATCH(Table92[[#This Row],[Country]],Tabela1[Country], 0),0))</f>
        <v>0</v>
      </c>
      <c r="AD45" s="6">
        <f>SUM(INDEX(Tabela1[[Judo - Men''s 60kg]:[Judo - Mixed Team]],MATCH(Table92[[#This Row],[Country]],Tabela1[Country], 0),0))</f>
        <v>2</v>
      </c>
      <c r="AE45" s="6">
        <f>SUM(INDEX(Tabela1[[Swimming - Men''s 10km Open Water]:[Swimming - Women''s 10km Open Water]],MATCH(Table92[[#This Row],[Country]],Tabela1[Country], 0),0))</f>
        <v>0</v>
      </c>
      <c r="AF45" s="6">
        <f>SUM(INDEX(Tabela1[[Modern Pentathlon - Men''s Individual]:[Modern Pentathlon - Women''s Individual]],MATCH(Table92[[#This Row],[Country]],Tabela1[Country], 0),0))</f>
        <v>0</v>
      </c>
      <c r="AG45" s="6">
        <f>SUM(INDEX(Tabela1[[Rhythmic Gymnastics - Women''s Individual All-Around]:[Rhythmic Gymnastics - Women''s Group All-Around]],MATCH(Table92[[#This Row],[Country]],Tabela1[Country], 0),0))</f>
        <v>0</v>
      </c>
      <c r="AH45" s="6">
        <f>SUM(INDEX(Tabela1[[Rowing - Men''s Single Sculls]:[Rowing - Women''s Lwt. Double Sculls]],MATCH(Table92[[#This Row],[Country]],Tabela1[Country], 0),0))</f>
        <v>1</v>
      </c>
      <c r="AI45" s="6">
        <f>SUM(INDEX(Tabela1[[Rugby Sevens - Men''s Tournament]:[Rugby Sevens - Women''s Tournament]],MATCH(Table92[[#This Row],[Country]],Tabela1[Country], 0),0))</f>
        <v>0</v>
      </c>
      <c r="AJ45" s="6">
        <f>SUM(INDEX(Tabela1[[Sailing - Mixed 470]:[Sailing - Mixed Nacra 17]],MATCH(Table92[[#This Row],[Country]],Tabela1[Country], 0),0))</f>
        <v>0</v>
      </c>
      <c r="AK45" s="6">
        <f>SUM(INDEX(Tabela1[[Shooting - Men''s 10m Air Pistol]:[Shooting - Women''s Trap]],MATCH(Table92[[#This Row],[Country]],Tabela1[Country], 0),0))</f>
        <v>2</v>
      </c>
      <c r="AL45" s="6">
        <f>SUM(INDEX(Tabela1[[Skateboarding - Men''s Park]:[Skateboarding - Women''s Street]],MATCH(Table92[[#This Row],[Country]],Tabela1[Country], 0),0))</f>
        <v>0</v>
      </c>
      <c r="AM45" s="6">
        <f>SUM(INDEX(Tabela1[[Sport Climbing - Men''s Boulder and Lead]:[Sport Climbing - Women''s Speed]],MATCH(Table92[[#This Row],[Country]],Tabela1[Country], 0),0))</f>
        <v>0</v>
      </c>
      <c r="AN45" s="6">
        <f>SUM(INDEX(Tabela1[[Surfing - Men''s Shortboard]:[Surfing - Women''s Shortboard]],MATCH(Table92[[#This Row],[Country]],Tabela1[Country], 0),0))</f>
        <v>0</v>
      </c>
      <c r="AO45" s="6">
        <f>SUM(INDEX(Tabela1[[Swimming - Men''s 50m Freestyle]:[Swimming - Mixed 4x100m Medley Relay]],MATCH(Table92[[#This Row],[Country]],Tabela1[Country], 0),0))</f>
        <v>5</v>
      </c>
      <c r="AP45" s="6">
        <f>SUM(INDEX(Tabela1[[Table Tennis - Men''s Singles]:[Table Tennis - Mixed Doubles]],MATCH(Table92[[#This Row],[Country]],Tabela1[Country], 0),0))</f>
        <v>0</v>
      </c>
      <c r="AQ45" s="6">
        <f>SUM(INDEX(Tabela1[[Taekwondo - Men''s 58kg]:[Taekwondo - Women''s +67kg]],MATCH(Table92[[#This Row],[Country]],Tabela1[Country], 0),0))</f>
        <v>0</v>
      </c>
      <c r="AR45" s="6">
        <f>SUM(INDEX(Tabela1[[Tennis - Men''s Singles]:[Tennis - Mixed Doubles]],MATCH(Table92[[#This Row],[Country]],Tabela1[Country], 0),0))</f>
        <v>0</v>
      </c>
      <c r="AS45" s="6">
        <f>SUM(INDEX(Tabela1[[Gymnastics - Men''s Trampoline]:[Gymnastics - Women''s Trampoline]],MATCH(Table92[[#This Row],[Country]],Tabela1[Country], 0),0))</f>
        <v>0</v>
      </c>
      <c r="AT45" s="6">
        <f>SUM(INDEX(Tabela1[[Triathlon - Men''s Individual]:[Triathlon - Mixed Relay]],MATCH(Table92[[#This Row],[Country]],Tabela1[Country], 0),0))</f>
        <v>0</v>
      </c>
      <c r="AU45" s="6">
        <f>SUM(INDEX(Tabela1[[Volleyball - Men''s Tournament]:[Volleyball - Women''s Tournament]],MATCH(Table92[[#This Row],[Country]],Tabela1[Country], 0),0))</f>
        <v>2</v>
      </c>
      <c r="AV45" s="6">
        <f>SUM(INDEX(Tabela1[[Water Polo - Men''s Tournament]:[Water Polo - Women''s Tournament]],MATCH(Table92[[#This Row],[Country]],Tabela1[Country], 0),0))</f>
        <v>0</v>
      </c>
      <c r="AW45" s="6">
        <f>SUM(INDEX(Tabela1[[Weightlifting - Men''s 61kg]:[Weightlifting - Women''s +81kg]],MATCH(Table92[[#This Row],[Country]],Tabela1[Country], 0),0))</f>
        <v>0</v>
      </c>
      <c r="AX45" s="6">
        <f>SUM(INDEX(Tabela1[[Wrestling - Men''s Freestyle 57kg]:[Wrestling - Women''s Freestyle 76kg]],MATCH(Table92[[#This Row],[Country]],Tabela1[Country], 0),0))</f>
        <v>0</v>
      </c>
      <c r="AY45" s="6">
        <f>SUM(INDEX(Tabela1[[Alpine Skiing - Men''s Downhill]:[Alpine Skiing - Women''s Team Combined]],MATCH(Table92[[#This Row],[Country]],Tabela1[Country], 0),0))</f>
        <v>0</v>
      </c>
      <c r="AZ45" s="6">
        <f>SUM(INDEX(Tabela1[[Biathlon - Men''s Individual]:[Biathlon - Mixed Relay]],MATCH(Table92[[#This Row],[Country]],Tabela1[Country], 0),0))</f>
        <v>0</v>
      </c>
      <c r="BA45" s="6">
        <f>SUM(INDEX(Tabela1[[Bobsleigh - Women''s Monobob]:[Bobsleigh - Men''s Four]],MATCH(Table92[[#This Row],[Country]],Tabela1[Country], 0),0))</f>
        <v>0</v>
      </c>
      <c r="BB45" s="6">
        <f>SUM(INDEX(Tabela1[[Cross-country skiing - Men''s Classical]:[Cross-country skiing - Women''s Team Sprint]],MATCH(Table92[[#This Row],[Country]],Tabela1[Country], 0),0))</f>
        <v>2</v>
      </c>
      <c r="BC45" s="6">
        <f>SUM(INDEX(Tabela1[[Curling - Men''s Tournament]:[Curling - Mixed Doubles]],MATCH(Table92[[#This Row],[Country]],Tabela1[Country], 0),0))</f>
        <v>0</v>
      </c>
      <c r="BD45" s="6">
        <f>SUM(INDEX(Tabela1[[Figure Skating - Men''s Singles]:[Figure Skating - Team Event]],MATCH(Table92[[#This Row],[Country]],Tabela1[Country], 0),0))</f>
        <v>0</v>
      </c>
      <c r="BE45" s="6">
        <f>SUM(INDEX(Tabela1[[Freestyle Skiing - Men''s Aerials]:[Freestyle Skiing - Women''s Slopestyle]],MATCH(Table92[[#This Row],[Country]],Tabela1[Country], 0),0))</f>
        <v>0</v>
      </c>
      <c r="BF45" s="6">
        <f>SUM(INDEX(Tabela1[[Ice Hockey - Men''s Tournament]:[Ice Hockey - Women''s Tournament]],MATCH(Table92[[#This Row],[Country]],Tabela1[Country], 0),0))</f>
        <v>0</v>
      </c>
      <c r="BG45" s="6">
        <f>SUM(INDEX(Tabela1[[Luge - Men''s Singles]:[Luge - Mixed Team Relay]],MATCH(Table92[[#This Row],[Country]],Tabela1[Country], 0),0))</f>
        <v>0</v>
      </c>
      <c r="BH45" s="6">
        <f>SUM(INDEX(Tabela1[[Nordic Combined - Men''s Individual]:[Nordic Combined - Men''s Team Sprint Large Hill]],MATCH(Table92[[#This Row],[Country]],Tabela1[Country], 0),0))</f>
        <v>0</v>
      </c>
      <c r="BI45" s="6">
        <f>SUM(INDEX(Tabela1[[Short track speed skating - Men''s 500m]:[Short track speed skating - Mixed 2000m Relay]],MATCH(Table92[[#This Row],[Country]],Tabela1[Country], 0),0))</f>
        <v>0</v>
      </c>
      <c r="BJ45" s="6">
        <f>SUM(INDEX(Tabela1[[Skeleton - Men''s Individual]:[Skeleton - Mixed Team]],MATCH(Table92[[#This Row],[Country]],Tabela1[Country], 0),0))</f>
        <v>0</v>
      </c>
      <c r="BK45" s="6">
        <f>SUM(INDEX(Tabela1[[Ski Jumping - Men''s Individual Large Hill]:[Ski Jumping - Mixed Team Normal Hill]],MATCH(Table92[[#This Row],[Country]],Tabela1[Country], 0),0))</f>
        <v>0</v>
      </c>
      <c r="BL45" s="6">
        <f>SUM(INDEX(Tabela1[[Ski Mountaineering - Men''s Sprint]:[Ski Mountaineering - Mixed Relay]],MATCH(Table92[[#This Row],[Country]],Tabela1[Country], 0),0))</f>
        <v>0</v>
      </c>
      <c r="BM45" s="6">
        <f>SUM(INDEX(Tabela1[[Snowboarding - Men''s Big Air]:[Snowboarding - Mixed Team Snowboard Cross]],MATCH(Table92[[#This Row],[Country]],Tabela1[Country], 0),0))</f>
        <v>0</v>
      </c>
      <c r="BN45" s="6">
        <f>SUM(INDEX(Tabela1[[Speed Skating - Men''s 500m]:[Speed Skating - Women''s Team Pursuit]],MATCH(Table92[[#This Row],[Country]],Tabela1[Country], 0),0))</f>
        <v>0</v>
      </c>
      <c r="BO45" s="6" t="str">
        <f>SUBSTITUTE(INDEX(Table92[[#Headers],[Archery Quotas]:[Speed Skating Quotas]], MATCH(MAX(Table92[[#This Row],[Archery Quotas]:[Speed Skating Quotas]]), Table92[[#This Row],[Archery Quotas]:[Speed Skating Quotas]], 0))," Quotas","")</f>
        <v>Swimming</v>
      </c>
      <c r="BP45" s="6">
        <f>SUM(Table92[[#This Row],[Summer Sports]:[Winter Sports]])</f>
        <v>10</v>
      </c>
      <c r="BQ45" s="6">
        <f>COUNTIF(Table92[[#This Row],[Archery Quotas]:[Wrestling Quotas]],"&lt;&gt;0")</f>
        <v>9</v>
      </c>
      <c r="BR45" s="6">
        <f>COUNTIF(Table92[[#This Row],[Alpine Skiing Quotas]:[Speed Skating Quotas]],"&lt;&gt;0")</f>
        <v>1</v>
      </c>
      <c r="BS45" s="3" t="s">
        <v>691</v>
      </c>
    </row>
    <row r="46" spans="1:71" x14ac:dyDescent="0.3">
      <c r="A46" s="6" t="s">
        <v>470</v>
      </c>
      <c r="B46" t="e" vm="45">
        <f>IF(ISBLANK(Table92[[#This Row],[Flag Link]]), "", _xlfn.IMAGE(Table92[[#This Row],[Flag Link]],1,1))</f>
        <v>#VALUE!</v>
      </c>
      <c r="C46" s="6">
        <f>SUM(Table92[[#This Row],[Archery Quotas]:[Speed Skating Quotas]])</f>
        <v>20</v>
      </c>
      <c r="D46" s="6">
        <f>SUM(INDEX(Tabela1[[Archery - Men''s Individual Recurve]:[Archery - Mixed Team Recurve]],MATCH(Table92[[#This Row],[Country]],Tabela1[Country], 0),0))</f>
        <v>0</v>
      </c>
      <c r="E46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46" s="6">
        <f>SUM(INDEX(Tabela1[[Artistic Swimming - Women''s Duet]:[Artistic Swimming - Women''s Team]],MATCH(Table92[[#This Row],[Country]],Tabela1[Country], 0),0))</f>
        <v>0</v>
      </c>
      <c r="G46" s="6">
        <f>SUM(INDEX(Tabela1[[Athletics - Men''s 100m]:[Athletics - Women''s Heptathlon]],MATCH(Table92[[#This Row],[Country]],Tabela1[Country], 0),0))</f>
        <v>3</v>
      </c>
      <c r="H46" s="6">
        <f>SUM(INDEX(Tabela1[[Badminton - Men''s Singles]:[Badminton - Mixed Doubles]],MATCH(Table92[[#This Row],[Country]],Tabela1[Country], 0),0))</f>
        <v>0</v>
      </c>
      <c r="I46" s="6">
        <f>SUM(INDEX(Tabela1[[Basketball - Men''s Tournament]:[Basketball - Women''s Tournament]],MATCH(Table92[[#This Row],[Country]],Tabela1[Country], 0),0))</f>
        <v>0</v>
      </c>
      <c r="J46" s="6">
        <f>SUM(INDEX(Tabela1[[3x3 Basketball - Men''s Tournament]:[3x3 Basketball - Women''s Tournament]],MATCH(Table92[[#This Row],[Country]],Tabela1[Country], 0),0))</f>
        <v>0</v>
      </c>
      <c r="K46" s="6">
        <f>SUM(INDEX(Tabela1[[Beach Volleyball - Men''s Tournament]:[Beach Volleyball - Women''s Tournament]],MATCH(Table92[[#This Row],[Country]],Tabela1[Country], 0),0))</f>
        <v>1</v>
      </c>
      <c r="L46" s="6">
        <f>SUM(INDEX(Tabela1[[Boxing - Men''s 51kg]:[Boxing - Women''s 75kg]],MATCH(Table92[[#This Row],[Country]],Tabela1[Country], 0),0))</f>
        <v>0</v>
      </c>
      <c r="M46" s="6">
        <f>SUM(INDEX(Tabela1[[Breaking - Men''s Individual]:[Breaking - Women''s Individual]],MATCH(Table92[[#This Row],[Country]],Tabela1[Country], 0),0))</f>
        <v>0</v>
      </c>
      <c r="N46" s="6">
        <f>SUM(INDEX(Tabela1[[Canoeing - Men''s C1 Slalom]:[Canoeing - Women''s Kayak Cross Slalom]],MATCH(Table92[[#This Row],[Country]],Tabela1[Country], 0),0))</f>
        <v>0</v>
      </c>
      <c r="O46" s="6">
        <f>SUM(INDEX(Tabela1[[Canoeing - Women''s C1 200m]:[Canoeing - Women''s K4 500m]],MATCH(Table92[[#This Row],[Country]],Tabela1[Country], 0),0))</f>
        <v>0</v>
      </c>
      <c r="P46" s="6">
        <f>SUM(INDEX(Tabela1[[Cycling - Men''s BMX Freestyle]:[Cycling - Women''s BMX Freestyle]],MATCH(Table92[[#This Row],[Country]],Tabela1[Country], 0),0))</f>
        <v>0</v>
      </c>
      <c r="Q46" s="6">
        <f>SUM(INDEX(Tabela1[[Cycling - Men''s BMX Racing]:[Cycling - Women''s BMX Racing]],MATCH(Table92[[#This Row],[Country]],Tabela1[Country], 0),0))</f>
        <v>0</v>
      </c>
      <c r="R46" s="6">
        <f>SUM(INDEX(Tabela1[[Cycling - Men''s Cross-Country]:[Cycling - Women''s Cross-Country]],MATCH(Table92[[#This Row],[Country]],Tabela1[Country], 0),0))</f>
        <v>0</v>
      </c>
      <c r="S46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1</v>
      </c>
      <c r="T46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46" s="6">
        <f>SUM(INDEX(Tabela1[[Diving - Men''s Springboard]:[Diving - Women''s Synchronized Platform]],MATCH(Table92[[#This Row],[Country]],Tabela1[Country], 0),0))</f>
        <v>2</v>
      </c>
      <c r="V46" s="6">
        <f>SUM(INDEX(Tabela1[[Equestrian - Individual Dressage]:[Equestrian - Team Dressage]],MATCH(Table92[[#This Row],[Country]],Tabela1[Country], 0),0))</f>
        <v>0</v>
      </c>
      <c r="W46" s="6">
        <f>SUM(INDEX(Tabela1[[Equestrian - Individual Eventing]:[Equestrian - Team Eventing]],MATCH(Table92[[#This Row],[Country]],Tabela1[Country], 0),0))</f>
        <v>0</v>
      </c>
      <c r="X46" s="6">
        <f>SUM(INDEX(Tabela1[[Equestrian - Individual Jumping]:[Equestrian - Team Jumping]],MATCH(Table92[[#This Row],[Country]],Tabela1[Country], 0),0))</f>
        <v>0</v>
      </c>
      <c r="Y46" s="6">
        <f>SUM(INDEX(Tabela1[[Fencing - Men''s Épée]:[Fencing - Women''s Team Sabre]],MATCH(Table92[[#This Row],[Country]],Tabela1[Country], 0),0))</f>
        <v>0</v>
      </c>
      <c r="Z46" s="6">
        <f>SUM(INDEX(Tabela1[[Field Hockey - Men''s Tournament]:[Field Hockey - Women''s Tournament]],MATCH(Table92[[#This Row],[Country]],Tabela1[Country], 0),0))</f>
        <v>0</v>
      </c>
      <c r="AA46" s="6">
        <f>SUM(INDEX(Tabela1[[Football - Men''s Tournament]:[Football - Women''s Tournament]],MATCH(Table92[[#This Row],[Country]],Tabela1[Country], 0),0))</f>
        <v>0</v>
      </c>
      <c r="AB46" s="6">
        <f>SUM(INDEX(Tabela1[[Golf - Men''s Individual]:[Golf - Women''s Individual]],MATCH(Table92[[#This Row],[Country]],Tabela1[Country], 0),0))</f>
        <v>0</v>
      </c>
      <c r="AC46" s="6">
        <f>SUM(INDEX(Tabela1[[Handball - Men''s Tournament]:[Handball - Women''s Tournament]],MATCH(Table92[[#This Row],[Country]],Tabela1[Country], 0),0))</f>
        <v>0</v>
      </c>
      <c r="AD46" s="6">
        <f>SUM(INDEX(Tabela1[[Judo - Men''s 60kg]:[Judo - Mixed Team]],MATCH(Table92[[#This Row],[Country]],Tabela1[Country], 0),0))</f>
        <v>1</v>
      </c>
      <c r="AE46" s="6">
        <f>SUM(INDEX(Tabela1[[Swimming - Men''s 10km Open Water]:[Swimming - Women''s 10km Open Water]],MATCH(Table92[[#This Row],[Country]],Tabela1[Country], 0),0))</f>
        <v>0</v>
      </c>
      <c r="AF46" s="6">
        <f>SUM(INDEX(Tabela1[[Modern Pentathlon - Men''s Individual]:[Modern Pentathlon - Women''s Individual]],MATCH(Table92[[#This Row],[Country]],Tabela1[Country], 0),0))</f>
        <v>1</v>
      </c>
      <c r="AG46" s="6">
        <f>SUM(INDEX(Tabela1[[Rhythmic Gymnastics - Women''s Individual All-Around]:[Rhythmic Gymnastics - Women''s Group All-Around]],MATCH(Table92[[#This Row],[Country]],Tabela1[Country], 0),0))</f>
        <v>0</v>
      </c>
      <c r="AH46" s="6">
        <f>SUM(INDEX(Tabela1[[Rowing - Men''s Single Sculls]:[Rowing - Women''s Lwt. Double Sculls]],MATCH(Table92[[#This Row],[Country]],Tabela1[Country], 0),0))</f>
        <v>1</v>
      </c>
      <c r="AI46" s="6">
        <f>SUM(INDEX(Tabela1[[Rugby Sevens - Men''s Tournament]:[Rugby Sevens - Women''s Tournament]],MATCH(Table92[[#This Row],[Country]],Tabela1[Country], 0),0))</f>
        <v>0</v>
      </c>
      <c r="AJ46" s="6">
        <f>SUM(INDEX(Tabela1[[Sailing - Mixed 470]:[Sailing - Mixed Nacra 17]],MATCH(Table92[[#This Row],[Country]],Tabela1[Country], 0),0))</f>
        <v>0</v>
      </c>
      <c r="AK46" s="6">
        <f>SUM(INDEX(Tabela1[[Shooting - Men''s 10m Air Pistol]:[Shooting - Women''s Trap]],MATCH(Table92[[#This Row],[Country]],Tabela1[Country], 0),0))</f>
        <v>2</v>
      </c>
      <c r="AL46" s="6">
        <f>SUM(INDEX(Tabela1[[Skateboarding - Men''s Park]:[Skateboarding - Women''s Street]],MATCH(Table92[[#This Row],[Country]],Tabela1[Country], 0),0))</f>
        <v>0</v>
      </c>
      <c r="AM46" s="6">
        <f>SUM(INDEX(Tabela1[[Sport Climbing - Men''s Boulder and Lead]:[Sport Climbing - Women''s Speed]],MATCH(Table92[[#This Row],[Country]],Tabela1[Country], 0),0))</f>
        <v>0</v>
      </c>
      <c r="AN46" s="6">
        <f>SUM(INDEX(Tabela1[[Surfing - Men''s Shortboard]:[Surfing - Women''s Shortboard]],MATCH(Table92[[#This Row],[Country]],Tabela1[Country], 0),0))</f>
        <v>0</v>
      </c>
      <c r="AO46" s="6">
        <f>SUM(INDEX(Tabela1[[Swimming - Men''s 50m Freestyle]:[Swimming - Mixed 4x100m Medley Relay]],MATCH(Table92[[#This Row],[Country]],Tabela1[Country], 0),0))</f>
        <v>2</v>
      </c>
      <c r="AP46" s="6">
        <f>SUM(INDEX(Tabela1[[Table Tennis - Men''s Singles]:[Table Tennis - Mixed Doubles]],MATCH(Table92[[#This Row],[Country]],Tabela1[Country], 0),0))</f>
        <v>2</v>
      </c>
      <c r="AQ46" s="6">
        <f>SUM(INDEX(Tabela1[[Taekwondo - Men''s 58kg]:[Taekwondo - Women''s +67kg]],MATCH(Table92[[#This Row],[Country]],Tabela1[Country], 0),0))</f>
        <v>0</v>
      </c>
      <c r="AR46" s="6">
        <f>SUM(INDEX(Tabela1[[Tennis - Men''s Singles]:[Tennis - Mixed Doubles]],MATCH(Table92[[#This Row],[Country]],Tabela1[Country], 0),0))</f>
        <v>0</v>
      </c>
      <c r="AS46" s="6">
        <f>SUM(INDEX(Tabela1[[Gymnastics - Men''s Trampoline]:[Gymnastics - Women''s Trampoline]],MATCH(Table92[[#This Row],[Country]],Tabela1[Country], 0),0))</f>
        <v>0</v>
      </c>
      <c r="AT46" s="6">
        <f>SUM(INDEX(Tabela1[[Triathlon - Men''s Individual]:[Triathlon - Mixed Relay]],MATCH(Table92[[#This Row],[Country]],Tabela1[Country], 0),0))</f>
        <v>0</v>
      </c>
      <c r="AU46" s="6">
        <f>SUM(INDEX(Tabela1[[Volleyball - Men''s Tournament]:[Volleyball - Women''s Tournament]],MATCH(Table92[[#This Row],[Country]],Tabela1[Country], 0),0))</f>
        <v>0</v>
      </c>
      <c r="AV46" s="6">
        <f>SUM(INDEX(Tabela1[[Water Polo - Men''s Tournament]:[Water Polo - Women''s Tournament]],MATCH(Table92[[#This Row],[Country]],Tabela1[Country], 0),0))</f>
        <v>0</v>
      </c>
      <c r="AW46" s="6">
        <f>SUM(INDEX(Tabela1[[Weightlifting - Men''s 61kg]:[Weightlifting - Women''s +81kg]],MATCH(Table92[[#This Row],[Country]],Tabela1[Country], 0),0))</f>
        <v>0</v>
      </c>
      <c r="AX46" s="6">
        <f>SUM(INDEX(Tabela1[[Wrestling - Men''s Freestyle 57kg]:[Wrestling - Women''s Freestyle 76kg]],MATCH(Table92[[#This Row],[Country]],Tabela1[Country], 0),0))</f>
        <v>4</v>
      </c>
      <c r="AY46" s="6">
        <f>SUM(INDEX(Tabela1[[Alpine Skiing - Men''s Downhill]:[Alpine Skiing - Women''s Team Combined]],MATCH(Table92[[#This Row],[Country]],Tabela1[Country], 0),0))</f>
        <v>0</v>
      </c>
      <c r="AZ46" s="6">
        <f>SUM(INDEX(Tabela1[[Biathlon - Men''s Individual]:[Biathlon - Mixed Relay]],MATCH(Table92[[#This Row],[Country]],Tabela1[Country], 0),0))</f>
        <v>0</v>
      </c>
      <c r="BA46" s="6">
        <f>SUM(INDEX(Tabela1[[Bobsleigh - Women''s Monobob]:[Bobsleigh - Men''s Four]],MATCH(Table92[[#This Row],[Country]],Tabela1[Country], 0),0))</f>
        <v>0</v>
      </c>
      <c r="BB46" s="6">
        <f>SUM(INDEX(Tabela1[[Cross-country skiing - Men''s Classical]:[Cross-country skiing - Women''s Team Sprint]],MATCH(Table92[[#This Row],[Country]],Tabela1[Country], 0),0))</f>
        <v>0</v>
      </c>
      <c r="BC46" s="6">
        <f>SUM(INDEX(Tabela1[[Curling - Men''s Tournament]:[Curling - Mixed Doubles]],MATCH(Table92[[#This Row],[Country]],Tabela1[Country], 0),0))</f>
        <v>0</v>
      </c>
      <c r="BD46" s="6">
        <f>SUM(INDEX(Tabela1[[Figure Skating - Men''s Singles]:[Figure Skating - Team Event]],MATCH(Table92[[#This Row],[Country]],Tabela1[Country], 0),0))</f>
        <v>0</v>
      </c>
      <c r="BE46" s="6">
        <f>SUM(INDEX(Tabela1[[Freestyle Skiing - Men''s Aerials]:[Freestyle Skiing - Women''s Slopestyle]],MATCH(Table92[[#This Row],[Country]],Tabela1[Country], 0),0))</f>
        <v>0</v>
      </c>
      <c r="BF46" s="6">
        <f>SUM(INDEX(Tabela1[[Ice Hockey - Men''s Tournament]:[Ice Hockey - Women''s Tournament]],MATCH(Table92[[#This Row],[Country]],Tabela1[Country], 0),0))</f>
        <v>0</v>
      </c>
      <c r="BG46" s="6">
        <f>SUM(INDEX(Tabela1[[Luge - Men''s Singles]:[Luge - Mixed Team Relay]],MATCH(Table92[[#This Row],[Country]],Tabela1[Country], 0),0))</f>
        <v>0</v>
      </c>
      <c r="BH46" s="6">
        <f>SUM(INDEX(Tabela1[[Nordic Combined - Men''s Individual]:[Nordic Combined - Men''s Team Sprint Large Hill]],MATCH(Table92[[#This Row],[Country]],Tabela1[Country], 0),0))</f>
        <v>0</v>
      </c>
      <c r="BI46" s="6">
        <f>SUM(INDEX(Tabela1[[Short track speed skating - Men''s 500m]:[Short track speed skating - Mixed 2000m Relay]],MATCH(Table92[[#This Row],[Country]],Tabela1[Country], 0),0))</f>
        <v>0</v>
      </c>
      <c r="BJ46" s="6">
        <f>SUM(INDEX(Tabela1[[Skeleton - Men''s Individual]:[Skeleton - Mixed Team]],MATCH(Table92[[#This Row],[Country]],Tabela1[Country], 0),0))</f>
        <v>0</v>
      </c>
      <c r="BK46" s="6">
        <f>SUM(INDEX(Tabela1[[Ski Jumping - Men''s Individual Large Hill]:[Ski Jumping - Mixed Team Normal Hill]],MATCH(Table92[[#This Row],[Country]],Tabela1[Country], 0),0))</f>
        <v>0</v>
      </c>
      <c r="BL46" s="6">
        <f>SUM(INDEX(Tabela1[[Ski Mountaineering - Men''s Sprint]:[Ski Mountaineering - Mixed Relay]],MATCH(Table92[[#This Row],[Country]],Tabela1[Country], 0),0))</f>
        <v>0</v>
      </c>
      <c r="BM46" s="6">
        <f>SUM(INDEX(Tabela1[[Snowboarding - Men''s Big Air]:[Snowboarding - Mixed Team Snowboard Cross]],MATCH(Table92[[#This Row],[Country]],Tabela1[Country], 0),0))</f>
        <v>0</v>
      </c>
      <c r="BN46" s="6">
        <f>SUM(INDEX(Tabela1[[Speed Skating - Men''s 500m]:[Speed Skating - Women''s Team Pursuit]],MATCH(Table92[[#This Row],[Country]],Tabela1[Country], 0),0))</f>
        <v>0</v>
      </c>
      <c r="BO46" s="6" t="str">
        <f>SUBSTITUTE(INDEX(Table92[[#Headers],[Archery Quotas]:[Speed Skating Quotas]], MATCH(MAX(Table92[[#This Row],[Archery Quotas]:[Speed Skating Quotas]]), Table92[[#This Row],[Archery Quotas]:[Speed Skating Quotas]], 0))," Quotas","")</f>
        <v>Wrestling</v>
      </c>
      <c r="BP46" s="6">
        <f>SUM(Table92[[#This Row],[Summer Sports]:[Winter Sports]])</f>
        <v>11</v>
      </c>
      <c r="BQ46" s="6">
        <f>COUNTIF(Table92[[#This Row],[Archery Quotas]:[Wrestling Quotas]],"&lt;&gt;0")</f>
        <v>11</v>
      </c>
      <c r="BR46" s="6">
        <f>COUNTIF(Table92[[#This Row],[Alpine Skiing Quotas]:[Speed Skating Quotas]],"&lt;&gt;0")</f>
        <v>0</v>
      </c>
      <c r="BS46" s="4" t="s">
        <v>471</v>
      </c>
    </row>
    <row r="47" spans="1:71" x14ac:dyDescent="0.3">
      <c r="A47" s="6" t="s">
        <v>342</v>
      </c>
      <c r="B47" t="e" vm="46">
        <f>IF(ISBLANK(Table92[[#This Row],[Flag Link]]), "", _xlfn.IMAGE(Table92[[#This Row],[Flag Link]],1,1))</f>
        <v>#VALUE!</v>
      </c>
      <c r="C47" s="6">
        <f>SUM(Table92[[#This Row],[Archery Quotas]:[Speed Skating Quotas]])</f>
        <v>19</v>
      </c>
      <c r="D47" s="6">
        <f>SUM(INDEX(Tabela1[[Archery - Men''s Individual Recurve]:[Archery - Mixed Team Recurve]],MATCH(Table92[[#This Row],[Country]],Tabela1[Country], 0),0))</f>
        <v>0</v>
      </c>
      <c r="E47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47" s="6">
        <f>SUM(INDEX(Tabela1[[Artistic Swimming - Women''s Duet]:[Artistic Swimming - Women''s Team]],MATCH(Table92[[#This Row],[Country]],Tabela1[Country], 0),0))</f>
        <v>0</v>
      </c>
      <c r="G47" s="6">
        <f>SUM(INDEX(Tabela1[[Athletics - Men''s 100m]:[Athletics - Women''s Heptathlon]],MATCH(Table92[[#This Row],[Country]],Tabela1[Country], 0),0))</f>
        <v>6</v>
      </c>
      <c r="H47" s="6">
        <f>SUM(INDEX(Tabela1[[Badminton - Men''s Singles]:[Badminton - Mixed Doubles]],MATCH(Table92[[#This Row],[Country]],Tabela1[Country], 0),0))</f>
        <v>0</v>
      </c>
      <c r="I47" s="6">
        <f>SUM(INDEX(Tabela1[[Basketball - Men''s Tournament]:[Basketball - Women''s Tournament]],MATCH(Table92[[#This Row],[Country]],Tabela1[Country], 0),0))</f>
        <v>1</v>
      </c>
      <c r="J47" s="6">
        <f>SUM(INDEX(Tabela1[[3x3 Basketball - Men''s Tournament]:[3x3 Basketball - Women''s Tournament]],MATCH(Table92[[#This Row],[Country]],Tabela1[Country], 0),0))</f>
        <v>0</v>
      </c>
      <c r="K47" s="6">
        <f>SUM(INDEX(Tabela1[[Beach Volleyball - Men''s Tournament]:[Beach Volleyball - Women''s Tournament]],MATCH(Table92[[#This Row],[Country]],Tabela1[Country], 0),0))</f>
        <v>0</v>
      </c>
      <c r="L47" s="6">
        <f>SUM(INDEX(Tabela1[[Boxing - Men''s 51kg]:[Boxing - Women''s 75kg]],MATCH(Table92[[#This Row],[Country]],Tabela1[Country], 0),0))</f>
        <v>0</v>
      </c>
      <c r="M47" s="6">
        <f>SUM(INDEX(Tabela1[[Breaking - Men''s Individual]:[Breaking - Women''s Individual]],MATCH(Table92[[#This Row],[Country]],Tabela1[Country], 0),0))</f>
        <v>0</v>
      </c>
      <c r="N47" s="6">
        <f>SUM(INDEX(Tabela1[[Canoeing - Men''s C1 Slalom]:[Canoeing - Women''s Kayak Cross Slalom]],MATCH(Table92[[#This Row],[Country]],Tabela1[Country], 0),0))</f>
        <v>0</v>
      </c>
      <c r="O47" s="6">
        <f>SUM(INDEX(Tabela1[[Canoeing - Women''s C1 200m]:[Canoeing - Women''s K4 500m]],MATCH(Table92[[#This Row],[Country]],Tabela1[Country], 0),0))</f>
        <v>0</v>
      </c>
      <c r="P47" s="6">
        <f>SUM(INDEX(Tabela1[[Cycling - Men''s BMX Freestyle]:[Cycling - Women''s BMX Freestyle]],MATCH(Table92[[#This Row],[Country]],Tabela1[Country], 0),0))</f>
        <v>0</v>
      </c>
      <c r="Q47" s="6">
        <f>SUM(INDEX(Tabela1[[Cycling - Men''s BMX Racing]:[Cycling - Women''s BMX Racing]],MATCH(Table92[[#This Row],[Country]],Tabela1[Country], 0),0))</f>
        <v>0</v>
      </c>
      <c r="R47" s="6">
        <f>SUM(INDEX(Tabela1[[Cycling - Men''s Cross-Country]:[Cycling - Women''s Cross-Country]],MATCH(Table92[[#This Row],[Country]],Tabela1[Country], 0),0))</f>
        <v>0</v>
      </c>
      <c r="S47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1</v>
      </c>
      <c r="T47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47" s="6">
        <f>SUM(INDEX(Tabela1[[Diving - Men''s Springboard]:[Diving - Women''s Synchronized Platform]],MATCH(Table92[[#This Row],[Country]],Tabela1[Country], 0),0))</f>
        <v>0</v>
      </c>
      <c r="V47" s="6">
        <f>SUM(INDEX(Tabela1[[Equestrian - Individual Dressage]:[Equestrian - Team Dressage]],MATCH(Table92[[#This Row],[Country]],Tabela1[Country], 0),0))</f>
        <v>0</v>
      </c>
      <c r="W47" s="6">
        <f>SUM(INDEX(Tabela1[[Equestrian - Individual Eventing]:[Equestrian - Team Eventing]],MATCH(Table92[[#This Row],[Country]],Tabela1[Country], 0),0))</f>
        <v>0</v>
      </c>
      <c r="X47" s="6">
        <f>SUM(INDEX(Tabela1[[Equestrian - Individual Jumping]:[Equestrian - Team Jumping]],MATCH(Table92[[#This Row],[Country]],Tabela1[Country], 0),0))</f>
        <v>0</v>
      </c>
      <c r="Y47" s="6">
        <f>SUM(INDEX(Tabela1[[Fencing - Men''s Épée]:[Fencing - Women''s Team Sabre]],MATCH(Table92[[#This Row],[Country]],Tabela1[Country], 0),0))</f>
        <v>0</v>
      </c>
      <c r="Z47" s="6">
        <f>SUM(INDEX(Tabela1[[Field Hockey - Men''s Tournament]:[Field Hockey - Women''s Tournament]],MATCH(Table92[[#This Row],[Country]],Tabela1[Country], 0),0))</f>
        <v>0</v>
      </c>
      <c r="AA47" s="6">
        <f>SUM(INDEX(Tabela1[[Football - Men''s Tournament]:[Football - Women''s Tournament]],MATCH(Table92[[#This Row],[Country]],Tabela1[Country], 0),0))</f>
        <v>0</v>
      </c>
      <c r="AB47" s="6">
        <f>SUM(INDEX(Tabela1[[Golf - Men''s Individual]:[Golf - Women''s Individual]],MATCH(Table92[[#This Row],[Country]],Tabela1[Country], 0),0))</f>
        <v>0</v>
      </c>
      <c r="AC47" s="6">
        <f>SUM(INDEX(Tabela1[[Handball - Men''s Tournament]:[Handball - Women''s Tournament]],MATCH(Table92[[#This Row],[Country]],Tabela1[Country], 0),0))</f>
        <v>0</v>
      </c>
      <c r="AD47" s="6">
        <f>SUM(INDEX(Tabela1[[Judo - Men''s 60kg]:[Judo - Mixed Team]],MATCH(Table92[[#This Row],[Country]],Tabela1[Country], 0),0))</f>
        <v>1</v>
      </c>
      <c r="AE47" s="6">
        <f>SUM(INDEX(Tabela1[[Swimming - Men''s 10km Open Water]:[Swimming - Women''s 10km Open Water]],MATCH(Table92[[#This Row],[Country]],Tabela1[Country], 0),0))</f>
        <v>0</v>
      </c>
      <c r="AF47" s="6">
        <f>SUM(INDEX(Tabela1[[Modern Pentathlon - Men''s Individual]:[Modern Pentathlon - Women''s Individual]],MATCH(Table92[[#This Row],[Country]],Tabela1[Country], 0),0))</f>
        <v>0</v>
      </c>
      <c r="AG47" s="6">
        <f>SUM(INDEX(Tabela1[[Rhythmic Gymnastics - Women''s Individual All-Around]:[Rhythmic Gymnastics - Women''s Group All-Around]],MATCH(Table92[[#This Row],[Country]],Tabela1[Country], 0),0))</f>
        <v>0</v>
      </c>
      <c r="AH47" s="6">
        <f>SUM(INDEX(Tabela1[[Rowing - Men''s Single Sculls]:[Rowing - Women''s Lwt. Double Sculls]],MATCH(Table92[[#This Row],[Country]],Tabela1[Country], 0),0))</f>
        <v>2</v>
      </c>
      <c r="AI47" s="6">
        <f>SUM(INDEX(Tabela1[[Rugby Sevens - Men''s Tournament]:[Rugby Sevens - Women''s Tournament]],MATCH(Table92[[#This Row],[Country]],Tabela1[Country], 0),0))</f>
        <v>0</v>
      </c>
      <c r="AJ47" s="6">
        <f>SUM(INDEX(Tabela1[[Sailing - Mixed 470]:[Sailing - Mixed Nacra 17]],MATCH(Table92[[#This Row],[Country]],Tabela1[Country], 0),0))</f>
        <v>1</v>
      </c>
      <c r="AK47" s="6">
        <f>SUM(INDEX(Tabela1[[Shooting - Men''s 10m Air Pistol]:[Shooting - Women''s Trap]],MATCH(Table92[[#This Row],[Country]],Tabela1[Country], 0),0))</f>
        <v>0</v>
      </c>
      <c r="AL47" s="6">
        <f>SUM(INDEX(Tabela1[[Skateboarding - Men''s Park]:[Skateboarding - Women''s Street]],MATCH(Table92[[#This Row],[Country]],Tabela1[Country], 0),0))</f>
        <v>0</v>
      </c>
      <c r="AM47" s="6">
        <f>SUM(INDEX(Tabela1[[Sport Climbing - Men''s Boulder and Lead]:[Sport Climbing - Women''s Speed]],MATCH(Table92[[#This Row],[Country]],Tabela1[Country], 0),0))</f>
        <v>0</v>
      </c>
      <c r="AN47" s="6">
        <f>SUM(INDEX(Tabela1[[Surfing - Men''s Shortboard]:[Surfing - Women''s Shortboard]],MATCH(Table92[[#This Row],[Country]],Tabela1[Country], 0),0))</f>
        <v>0</v>
      </c>
      <c r="AO47" s="6">
        <f>SUM(INDEX(Tabela1[[Swimming - Men''s 50m Freestyle]:[Swimming - Mixed 4x100m Medley Relay]],MATCH(Table92[[#This Row],[Country]],Tabela1[Country], 0),0))</f>
        <v>2</v>
      </c>
      <c r="AP47" s="6">
        <f>SUM(INDEX(Tabela1[[Table Tennis - Men''s Singles]:[Table Tennis - Mixed Doubles]],MATCH(Table92[[#This Row],[Country]],Tabela1[Country], 0),0))</f>
        <v>0</v>
      </c>
      <c r="AQ47" s="6">
        <f>SUM(INDEX(Tabela1[[Taekwondo - Men''s 58kg]:[Taekwondo - Women''s +67kg]],MATCH(Table92[[#This Row],[Country]],Tabela1[Country], 0),0))</f>
        <v>0</v>
      </c>
      <c r="AR47" s="6">
        <f>SUM(INDEX(Tabela1[[Tennis - Men''s Singles]:[Tennis - Mixed Doubles]],MATCH(Table92[[#This Row],[Country]],Tabela1[Country], 0),0))</f>
        <v>0</v>
      </c>
      <c r="AS47" s="6">
        <f>SUM(INDEX(Tabela1[[Gymnastics - Men''s Trampoline]:[Gymnastics - Women''s Trampoline]],MATCH(Table92[[#This Row],[Country]],Tabela1[Country], 0),0))</f>
        <v>0</v>
      </c>
      <c r="AT47" s="6">
        <f>SUM(INDEX(Tabela1[[Triathlon - Men''s Individual]:[Triathlon - Mixed Relay]],MATCH(Table92[[#This Row],[Country]],Tabela1[Country], 0),0))</f>
        <v>0</v>
      </c>
      <c r="AU47" s="6">
        <f>SUM(INDEX(Tabela1[[Volleyball - Men''s Tournament]:[Volleyball - Women''s Tournament]],MATCH(Table92[[#This Row],[Country]],Tabela1[Country], 0),0))</f>
        <v>0</v>
      </c>
      <c r="AV47" s="6">
        <f>SUM(INDEX(Tabela1[[Water Polo - Men''s Tournament]:[Water Polo - Women''s Tournament]],MATCH(Table92[[#This Row],[Country]],Tabela1[Country], 0),0))</f>
        <v>2</v>
      </c>
      <c r="AW47" s="6">
        <f>SUM(INDEX(Tabela1[[Weightlifting - Men''s 61kg]:[Weightlifting - Women''s +81kg]],MATCH(Table92[[#This Row],[Country]],Tabela1[Country], 0),0))</f>
        <v>0</v>
      </c>
      <c r="AX47" s="6">
        <f>SUM(INDEX(Tabela1[[Wrestling - Men''s Freestyle 57kg]:[Wrestling - Women''s Freestyle 76kg]],MATCH(Table92[[#This Row],[Country]],Tabela1[Country], 0),0))</f>
        <v>1</v>
      </c>
      <c r="AY47" s="6">
        <f>SUM(INDEX(Tabela1[[Alpine Skiing - Men''s Downhill]:[Alpine Skiing - Women''s Team Combined]],MATCH(Table92[[#This Row],[Country]],Tabela1[Country], 0),0))</f>
        <v>2</v>
      </c>
      <c r="AZ47" s="6">
        <f>SUM(INDEX(Tabela1[[Biathlon - Men''s Individual]:[Biathlon - Mixed Relay]],MATCH(Table92[[#This Row],[Country]],Tabela1[Country], 0),0))</f>
        <v>0</v>
      </c>
      <c r="BA47" s="6">
        <f>SUM(INDEX(Tabela1[[Bobsleigh - Women''s Monobob]:[Bobsleigh - Men''s Four]],MATCH(Table92[[#This Row],[Country]],Tabela1[Country], 0),0))</f>
        <v>0</v>
      </c>
      <c r="BB47" s="6">
        <f>SUM(INDEX(Tabela1[[Cross-country skiing - Men''s Classical]:[Cross-country skiing - Women''s Team Sprint]],MATCH(Table92[[#This Row],[Country]],Tabela1[Country], 0),0))</f>
        <v>0</v>
      </c>
      <c r="BC47" s="6">
        <f>SUM(INDEX(Tabela1[[Curling - Men''s Tournament]:[Curling - Mixed Doubles]],MATCH(Table92[[#This Row],[Country]],Tabela1[Country], 0),0))</f>
        <v>0</v>
      </c>
      <c r="BD47" s="6">
        <f>SUM(INDEX(Tabela1[[Figure Skating - Men''s Singles]:[Figure Skating - Team Event]],MATCH(Table92[[#This Row],[Country]],Tabela1[Country], 0),0))</f>
        <v>0</v>
      </c>
      <c r="BE47" s="6">
        <f>SUM(INDEX(Tabela1[[Freestyle Skiing - Men''s Aerials]:[Freestyle Skiing - Women''s Slopestyle]],MATCH(Table92[[#This Row],[Country]],Tabela1[Country], 0),0))</f>
        <v>0</v>
      </c>
      <c r="BF47" s="6">
        <f>SUM(INDEX(Tabela1[[Ice Hockey - Men''s Tournament]:[Ice Hockey - Women''s Tournament]],MATCH(Table92[[#This Row],[Country]],Tabela1[Country], 0),0))</f>
        <v>0</v>
      </c>
      <c r="BG47" s="6">
        <f>SUM(INDEX(Tabela1[[Luge - Men''s Singles]:[Luge - Mixed Team Relay]],MATCH(Table92[[#This Row],[Country]],Tabela1[Country], 0),0))</f>
        <v>0</v>
      </c>
      <c r="BH47" s="6">
        <f>SUM(INDEX(Tabela1[[Nordic Combined - Men''s Individual]:[Nordic Combined - Men''s Team Sprint Large Hill]],MATCH(Table92[[#This Row],[Country]],Tabela1[Country], 0),0))</f>
        <v>0</v>
      </c>
      <c r="BI47" s="6">
        <f>SUM(INDEX(Tabela1[[Short track speed skating - Men''s 500m]:[Short track speed skating - Mixed 2000m Relay]],MATCH(Table92[[#This Row],[Country]],Tabela1[Country], 0),0))</f>
        <v>0</v>
      </c>
      <c r="BJ47" s="6">
        <f>SUM(INDEX(Tabela1[[Skeleton - Men''s Individual]:[Skeleton - Mixed Team]],MATCH(Table92[[#This Row],[Country]],Tabela1[Country], 0),0))</f>
        <v>0</v>
      </c>
      <c r="BK47" s="6">
        <f>SUM(INDEX(Tabela1[[Ski Jumping - Men''s Individual Large Hill]:[Ski Jumping - Mixed Team Normal Hill]],MATCH(Table92[[#This Row],[Country]],Tabela1[Country], 0),0))</f>
        <v>0</v>
      </c>
      <c r="BL47" s="6">
        <f>SUM(INDEX(Tabela1[[Ski Mountaineering - Men''s Sprint]:[Ski Mountaineering - Mixed Relay]],MATCH(Table92[[#This Row],[Country]],Tabela1[Country], 0),0))</f>
        <v>0</v>
      </c>
      <c r="BM47" s="6">
        <f>SUM(INDEX(Tabela1[[Snowboarding - Men''s Big Air]:[Snowboarding - Mixed Team Snowboard Cross]],MATCH(Table92[[#This Row],[Country]],Tabela1[Country], 0),0))</f>
        <v>0</v>
      </c>
      <c r="BN47" s="6">
        <f>SUM(INDEX(Tabela1[[Speed Skating - Men''s 500m]:[Speed Skating - Women''s Team Pursuit]],MATCH(Table92[[#This Row],[Country]],Tabela1[Country], 0),0))</f>
        <v>0</v>
      </c>
      <c r="BO47" s="6" t="str">
        <f>SUBSTITUTE(INDEX(Table92[[#Headers],[Archery Quotas]:[Speed Skating Quotas]], MATCH(MAX(Table92[[#This Row],[Archery Quotas]:[Speed Skating Quotas]]), Table92[[#This Row],[Archery Quotas]:[Speed Skating Quotas]], 0))," Quotas","")</f>
        <v>Athletics</v>
      </c>
      <c r="BP47" s="6">
        <f>SUM(Table92[[#This Row],[Summer Sports]:[Winter Sports]])</f>
        <v>10</v>
      </c>
      <c r="BQ47" s="6">
        <f>COUNTIF(Table92[[#This Row],[Archery Quotas]:[Wrestling Quotas]],"&lt;&gt;0")</f>
        <v>9</v>
      </c>
      <c r="BR47" s="6">
        <f>COUNTIF(Table92[[#This Row],[Alpine Skiing Quotas]:[Speed Skating Quotas]],"&lt;&gt;0")</f>
        <v>1</v>
      </c>
      <c r="BS47" s="3" t="s">
        <v>343</v>
      </c>
    </row>
    <row r="48" spans="1:71" x14ac:dyDescent="0.3">
      <c r="A48" s="6" t="s">
        <v>600</v>
      </c>
      <c r="B48" t="e" vm="47">
        <f>IF(ISBLANK(Table92[[#This Row],[Flag Link]]), "", _xlfn.IMAGE(Table92[[#This Row],[Flag Link]],1,1))</f>
        <v>#VALUE!</v>
      </c>
      <c r="C48" s="6">
        <f>SUM(Table92[[#This Row],[Archery Quotas]:[Speed Skating Quotas]])</f>
        <v>17</v>
      </c>
      <c r="D48" s="6">
        <f>SUM(INDEX(Tabela1[[Archery - Men''s Individual Recurve]:[Archery - Mixed Team Recurve]],MATCH(Table92[[#This Row],[Country]],Tabela1[Country], 0),0))</f>
        <v>0</v>
      </c>
      <c r="E48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48" s="6">
        <f>SUM(INDEX(Tabela1[[Artistic Swimming - Women''s Duet]:[Artistic Swimming - Women''s Team]],MATCH(Table92[[#This Row],[Country]],Tabela1[Country], 0),0))</f>
        <v>0</v>
      </c>
      <c r="G48" s="6">
        <f>SUM(INDEX(Tabela1[[Athletics - Men''s 100m]:[Athletics - Women''s Heptathlon]],MATCH(Table92[[#This Row],[Country]],Tabela1[Country], 0),0))</f>
        <v>13</v>
      </c>
      <c r="H48" s="6">
        <f>SUM(INDEX(Tabela1[[Badminton - Men''s Singles]:[Badminton - Mixed Doubles]],MATCH(Table92[[#This Row],[Country]],Tabela1[Country], 0),0))</f>
        <v>0</v>
      </c>
      <c r="I48" s="6">
        <f>SUM(INDEX(Tabela1[[Basketball - Men''s Tournament]:[Basketball - Women''s Tournament]],MATCH(Table92[[#This Row],[Country]],Tabela1[Country], 0),0))</f>
        <v>0</v>
      </c>
      <c r="J48" s="6">
        <f>SUM(INDEX(Tabela1[[3x3 Basketball - Men''s Tournament]:[3x3 Basketball - Women''s Tournament]],MATCH(Table92[[#This Row],[Country]],Tabela1[Country], 0),0))</f>
        <v>0</v>
      </c>
      <c r="K48" s="6">
        <f>SUM(INDEX(Tabela1[[Beach Volleyball - Men''s Tournament]:[Beach Volleyball - Women''s Tournament]],MATCH(Table92[[#This Row],[Country]],Tabela1[Country], 0),0))</f>
        <v>0</v>
      </c>
      <c r="L48" s="6">
        <f>SUM(INDEX(Tabela1[[Boxing - Men''s 51kg]:[Boxing - Women''s 75kg]],MATCH(Table92[[#This Row],[Country]],Tabela1[Country], 0),0))</f>
        <v>0</v>
      </c>
      <c r="M48" s="6">
        <f>SUM(INDEX(Tabela1[[Breaking - Men''s Individual]:[Breaking - Women''s Individual]],MATCH(Table92[[#This Row],[Country]],Tabela1[Country], 0),0))</f>
        <v>0</v>
      </c>
      <c r="N48" s="6">
        <f>SUM(INDEX(Tabela1[[Canoeing - Men''s C1 Slalom]:[Canoeing - Women''s Kayak Cross Slalom]],MATCH(Table92[[#This Row],[Country]],Tabela1[Country], 0),0))</f>
        <v>0</v>
      </c>
      <c r="O48" s="6">
        <f>SUM(INDEX(Tabela1[[Canoeing - Women''s C1 200m]:[Canoeing - Women''s K4 500m]],MATCH(Table92[[#This Row],[Country]],Tabela1[Country], 0),0))</f>
        <v>0</v>
      </c>
      <c r="P48" s="6">
        <f>SUM(INDEX(Tabela1[[Cycling - Men''s BMX Freestyle]:[Cycling - Women''s BMX Freestyle]],MATCH(Table92[[#This Row],[Country]],Tabela1[Country], 0),0))</f>
        <v>0</v>
      </c>
      <c r="Q48" s="6">
        <f>SUM(INDEX(Tabela1[[Cycling - Men''s BMX Racing]:[Cycling - Women''s BMX Racing]],MATCH(Table92[[#This Row],[Country]],Tabela1[Country], 0),0))</f>
        <v>0</v>
      </c>
      <c r="R48" s="6">
        <f>SUM(INDEX(Tabela1[[Cycling - Men''s Cross-Country]:[Cycling - Women''s Cross-Country]],MATCH(Table92[[#This Row],[Country]],Tabela1[Country], 0),0))</f>
        <v>0</v>
      </c>
      <c r="S48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48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48" s="6">
        <f>SUM(INDEX(Tabela1[[Diving - Men''s Springboard]:[Diving - Women''s Synchronized Platform]],MATCH(Table92[[#This Row],[Country]],Tabela1[Country], 0),0))</f>
        <v>1</v>
      </c>
      <c r="V48" s="6">
        <f>SUM(INDEX(Tabela1[[Equestrian - Individual Dressage]:[Equestrian - Team Dressage]],MATCH(Table92[[#This Row],[Country]],Tabela1[Country], 0),0))</f>
        <v>0</v>
      </c>
      <c r="W48" s="6">
        <f>SUM(INDEX(Tabela1[[Equestrian - Individual Eventing]:[Equestrian - Team Eventing]],MATCH(Table92[[#This Row],[Country]],Tabela1[Country], 0),0))</f>
        <v>0</v>
      </c>
      <c r="X48" s="6">
        <f>SUM(INDEX(Tabela1[[Equestrian - Individual Jumping]:[Equestrian - Team Jumping]],MATCH(Table92[[#This Row],[Country]],Tabela1[Country], 0),0))</f>
        <v>0</v>
      </c>
      <c r="Y48" s="6">
        <f>SUM(INDEX(Tabela1[[Fencing - Men''s Épée]:[Fencing - Women''s Team Sabre]],MATCH(Table92[[#This Row],[Country]],Tabela1[Country], 0),0))</f>
        <v>0</v>
      </c>
      <c r="Z48" s="6">
        <f>SUM(INDEX(Tabela1[[Field Hockey - Men''s Tournament]:[Field Hockey - Women''s Tournament]],MATCH(Table92[[#This Row],[Country]],Tabela1[Country], 0),0))</f>
        <v>0</v>
      </c>
      <c r="AA48" s="6">
        <f>SUM(INDEX(Tabela1[[Football - Men''s Tournament]:[Football - Women''s Tournament]],MATCH(Table92[[#This Row],[Country]],Tabela1[Country], 0),0))</f>
        <v>0</v>
      </c>
      <c r="AB48" s="6">
        <f>SUM(INDEX(Tabela1[[Golf - Men''s Individual]:[Golf - Women''s Individual]],MATCH(Table92[[#This Row],[Country]],Tabela1[Country], 0),0))</f>
        <v>0</v>
      </c>
      <c r="AC48" s="6">
        <f>SUM(INDEX(Tabela1[[Handball - Men''s Tournament]:[Handball - Women''s Tournament]],MATCH(Table92[[#This Row],[Country]],Tabela1[Country], 0),0))</f>
        <v>0</v>
      </c>
      <c r="AD48" s="6">
        <f>SUM(INDEX(Tabela1[[Judo - Men''s 60kg]:[Judo - Mixed Team]],MATCH(Table92[[#This Row],[Country]],Tabela1[Country], 0),0))</f>
        <v>1</v>
      </c>
      <c r="AE48" s="6">
        <f>SUM(INDEX(Tabela1[[Swimming - Men''s 10km Open Water]:[Swimming - Women''s 10km Open Water]],MATCH(Table92[[#This Row],[Country]],Tabela1[Country], 0),0))</f>
        <v>0</v>
      </c>
      <c r="AF48" s="6">
        <f>SUM(INDEX(Tabela1[[Modern Pentathlon - Men''s Individual]:[Modern Pentathlon - Women''s Individual]],MATCH(Table92[[#This Row],[Country]],Tabela1[Country], 0),0))</f>
        <v>0</v>
      </c>
      <c r="AG48" s="6">
        <f>SUM(INDEX(Tabela1[[Rhythmic Gymnastics - Women''s Individual All-Around]:[Rhythmic Gymnastics - Women''s Group All-Around]],MATCH(Table92[[#This Row],[Country]],Tabela1[Country], 0),0))</f>
        <v>0</v>
      </c>
      <c r="AH48" s="6">
        <f>SUM(INDEX(Tabela1[[Rowing - Men''s Single Sculls]:[Rowing - Women''s Lwt. Double Sculls]],MATCH(Table92[[#This Row],[Country]],Tabela1[Country], 0),0))</f>
        <v>0</v>
      </c>
      <c r="AI48" s="6">
        <f>SUM(INDEX(Tabela1[[Rugby Sevens - Men''s Tournament]:[Rugby Sevens - Women''s Tournament]],MATCH(Table92[[#This Row],[Country]],Tabela1[Country], 0),0))</f>
        <v>0</v>
      </c>
      <c r="AJ48" s="6">
        <f>SUM(INDEX(Tabela1[[Sailing - Mixed 470]:[Sailing - Mixed Nacra 17]],MATCH(Table92[[#This Row],[Country]],Tabela1[Country], 0),0))</f>
        <v>0</v>
      </c>
      <c r="AK48" s="6">
        <f>SUM(INDEX(Tabela1[[Shooting - Men''s 10m Air Pistol]:[Shooting - Women''s Trap]],MATCH(Table92[[#This Row],[Country]],Tabela1[Country], 0),0))</f>
        <v>0</v>
      </c>
      <c r="AL48" s="6">
        <f>SUM(INDEX(Tabela1[[Skateboarding - Men''s Park]:[Skateboarding - Women''s Street]],MATCH(Table92[[#This Row],[Country]],Tabela1[Country], 0),0))</f>
        <v>0</v>
      </c>
      <c r="AM48" s="6">
        <f>SUM(INDEX(Tabela1[[Sport Climbing - Men''s Boulder and Lead]:[Sport Climbing - Women''s Speed]],MATCH(Table92[[#This Row],[Country]],Tabela1[Country], 0),0))</f>
        <v>0</v>
      </c>
      <c r="AN48" s="6">
        <f>SUM(INDEX(Tabela1[[Surfing - Men''s Shortboard]:[Surfing - Women''s Shortboard]],MATCH(Table92[[#This Row],[Country]],Tabela1[Country], 0),0))</f>
        <v>0</v>
      </c>
      <c r="AO48" s="6">
        <f>SUM(INDEX(Tabela1[[Swimming - Men''s 50m Freestyle]:[Swimming - Mixed 4x100m Medley Relay]],MATCH(Table92[[#This Row],[Country]],Tabela1[Country], 0),0))</f>
        <v>1</v>
      </c>
      <c r="AP48" s="6">
        <f>SUM(INDEX(Tabela1[[Table Tennis - Men''s Singles]:[Table Tennis - Mixed Doubles]],MATCH(Table92[[#This Row],[Country]],Tabela1[Country], 0),0))</f>
        <v>0</v>
      </c>
      <c r="AQ48" s="6">
        <f>SUM(INDEX(Tabela1[[Taekwondo - Men''s 58kg]:[Taekwondo - Women''s +67kg]],MATCH(Table92[[#This Row],[Country]],Tabela1[Country], 0),0))</f>
        <v>0</v>
      </c>
      <c r="AR48" s="6">
        <f>SUM(INDEX(Tabela1[[Tennis - Men''s Singles]:[Tennis - Mixed Doubles]],MATCH(Table92[[#This Row],[Country]],Tabela1[Country], 0),0))</f>
        <v>0</v>
      </c>
      <c r="AS48" s="6">
        <f>SUM(INDEX(Tabela1[[Gymnastics - Men''s Trampoline]:[Gymnastics - Women''s Trampoline]],MATCH(Table92[[#This Row],[Country]],Tabela1[Country], 0),0))</f>
        <v>0</v>
      </c>
      <c r="AT48" s="6">
        <f>SUM(INDEX(Tabela1[[Triathlon - Men''s Individual]:[Triathlon - Mixed Relay]],MATCH(Table92[[#This Row],[Country]],Tabela1[Country], 0),0))</f>
        <v>0</v>
      </c>
      <c r="AU48" s="6">
        <f>SUM(INDEX(Tabela1[[Volleyball - Men''s Tournament]:[Volleyball - Women''s Tournament]],MATCH(Table92[[#This Row],[Country]],Tabela1[Country], 0),0))</f>
        <v>0</v>
      </c>
      <c r="AV48" s="6">
        <f>SUM(INDEX(Tabela1[[Water Polo - Men''s Tournament]:[Water Polo - Women''s Tournament]],MATCH(Table92[[#This Row],[Country]],Tabela1[Country], 0),0))</f>
        <v>0</v>
      </c>
      <c r="AW48" s="6">
        <f>SUM(INDEX(Tabela1[[Weightlifting - Men''s 61kg]:[Weightlifting - Women''s +81kg]],MATCH(Table92[[#This Row],[Country]],Tabela1[Country], 0),0))</f>
        <v>0</v>
      </c>
      <c r="AX48" s="6">
        <f>SUM(INDEX(Tabela1[[Wrestling - Men''s Freestyle 57kg]:[Wrestling - Women''s Freestyle 76kg]],MATCH(Table92[[#This Row],[Country]],Tabela1[Country], 0),0))</f>
        <v>0</v>
      </c>
      <c r="AY48" s="6">
        <f>SUM(INDEX(Tabela1[[Alpine Skiing - Men''s Downhill]:[Alpine Skiing - Women''s Team Combined]],MATCH(Table92[[#This Row],[Country]],Tabela1[Country], 0),0))</f>
        <v>0</v>
      </c>
      <c r="AZ48" s="6">
        <f>SUM(INDEX(Tabela1[[Biathlon - Men''s Individual]:[Biathlon - Mixed Relay]],MATCH(Table92[[#This Row],[Country]],Tabela1[Country], 0),0))</f>
        <v>0</v>
      </c>
      <c r="BA48" s="6">
        <f>SUM(INDEX(Tabela1[[Bobsleigh - Women''s Monobob]:[Bobsleigh - Men''s Four]],MATCH(Table92[[#This Row],[Country]],Tabela1[Country], 0),0))</f>
        <v>1</v>
      </c>
      <c r="BB48" s="6">
        <f>SUM(INDEX(Tabela1[[Cross-country skiing - Men''s Classical]:[Cross-country skiing - Women''s Team Sprint]],MATCH(Table92[[#This Row],[Country]],Tabela1[Country], 0),0))</f>
        <v>0</v>
      </c>
      <c r="BC48" s="6">
        <f>SUM(INDEX(Tabela1[[Curling - Men''s Tournament]:[Curling - Mixed Doubles]],MATCH(Table92[[#This Row],[Country]],Tabela1[Country], 0),0))</f>
        <v>0</v>
      </c>
      <c r="BD48" s="6">
        <f>SUM(INDEX(Tabela1[[Figure Skating - Men''s Singles]:[Figure Skating - Team Event]],MATCH(Table92[[#This Row],[Country]],Tabela1[Country], 0),0))</f>
        <v>0</v>
      </c>
      <c r="BE48" s="6">
        <f>SUM(INDEX(Tabela1[[Freestyle Skiing - Men''s Aerials]:[Freestyle Skiing - Women''s Slopestyle]],MATCH(Table92[[#This Row],[Country]],Tabela1[Country], 0),0))</f>
        <v>0</v>
      </c>
      <c r="BF48" s="6">
        <f>SUM(INDEX(Tabela1[[Ice Hockey - Men''s Tournament]:[Ice Hockey - Women''s Tournament]],MATCH(Table92[[#This Row],[Country]],Tabela1[Country], 0),0))</f>
        <v>0</v>
      </c>
      <c r="BG48" s="6">
        <f>SUM(INDEX(Tabela1[[Luge - Men''s Singles]:[Luge - Mixed Team Relay]],MATCH(Table92[[#This Row],[Country]],Tabela1[Country], 0),0))</f>
        <v>0</v>
      </c>
      <c r="BH48" s="6">
        <f>SUM(INDEX(Tabela1[[Nordic Combined - Men''s Individual]:[Nordic Combined - Men''s Team Sprint Large Hill]],MATCH(Table92[[#This Row],[Country]],Tabela1[Country], 0),0))</f>
        <v>0</v>
      </c>
      <c r="BI48" s="6">
        <f>SUM(INDEX(Tabela1[[Short track speed skating - Men''s 500m]:[Short track speed skating - Mixed 2000m Relay]],MATCH(Table92[[#This Row],[Country]],Tabela1[Country], 0),0))</f>
        <v>0</v>
      </c>
      <c r="BJ48" s="6">
        <f>SUM(INDEX(Tabela1[[Skeleton - Men''s Individual]:[Skeleton - Mixed Team]],MATCH(Table92[[#This Row],[Country]],Tabela1[Country], 0),0))</f>
        <v>0</v>
      </c>
      <c r="BK48" s="6">
        <f>SUM(INDEX(Tabela1[[Ski Jumping - Men''s Individual Large Hill]:[Ski Jumping - Mixed Team Normal Hill]],MATCH(Table92[[#This Row],[Country]],Tabela1[Country], 0),0))</f>
        <v>0</v>
      </c>
      <c r="BL48" s="6">
        <f>SUM(INDEX(Tabela1[[Ski Mountaineering - Men''s Sprint]:[Ski Mountaineering - Mixed Relay]],MATCH(Table92[[#This Row],[Country]],Tabela1[Country], 0),0))</f>
        <v>0</v>
      </c>
      <c r="BM48" s="6">
        <f>SUM(INDEX(Tabela1[[Snowboarding - Men''s Big Air]:[Snowboarding - Mixed Team Snowboard Cross]],MATCH(Table92[[#This Row],[Country]],Tabela1[Country], 0),0))</f>
        <v>0</v>
      </c>
      <c r="BN48" s="6">
        <f>SUM(INDEX(Tabela1[[Speed Skating - Men''s 500m]:[Speed Skating - Women''s Team Pursuit]],MATCH(Table92[[#This Row],[Country]],Tabela1[Country], 0),0))</f>
        <v>0</v>
      </c>
      <c r="BO48" s="6" t="str">
        <f>SUBSTITUTE(INDEX(Table92[[#Headers],[Archery Quotas]:[Speed Skating Quotas]], MATCH(MAX(Table92[[#This Row],[Archery Quotas]:[Speed Skating Quotas]]), Table92[[#This Row],[Archery Quotas]:[Speed Skating Quotas]], 0))," Quotas","")</f>
        <v>Athletics</v>
      </c>
      <c r="BP48" s="6">
        <f>SUM(Table92[[#This Row],[Summer Sports]:[Winter Sports]])</f>
        <v>5</v>
      </c>
      <c r="BQ48" s="6">
        <f>COUNTIF(Table92[[#This Row],[Archery Quotas]:[Wrestling Quotas]],"&lt;&gt;0")</f>
        <v>4</v>
      </c>
      <c r="BR48" s="6">
        <f>COUNTIF(Table92[[#This Row],[Alpine Skiing Quotas]:[Speed Skating Quotas]],"&lt;&gt;0")</f>
        <v>1</v>
      </c>
      <c r="BS48" s="3" t="s">
        <v>601</v>
      </c>
    </row>
    <row r="49" spans="1:71" x14ac:dyDescent="0.3">
      <c r="A49" s="6" t="s">
        <v>414</v>
      </c>
      <c r="B49" t="e" vm="48">
        <f>IF(ISBLANK(Table92[[#This Row],[Flag Link]]), "", _xlfn.IMAGE(Table92[[#This Row],[Flag Link]],1,1))</f>
        <v>#VALUE!</v>
      </c>
      <c r="C49" s="6">
        <f>SUM(Table92[[#This Row],[Archery Quotas]:[Speed Skating Quotas]])</f>
        <v>16</v>
      </c>
      <c r="D49" s="6">
        <f>SUM(INDEX(Tabela1[[Archery - Men''s Individual Recurve]:[Archery - Mixed Team Recurve]],MATCH(Table92[[#This Row],[Country]],Tabela1[Country], 0),0))</f>
        <v>0</v>
      </c>
      <c r="E49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49" s="6">
        <f>SUM(INDEX(Tabela1[[Artistic Swimming - Women''s Duet]:[Artistic Swimming - Women''s Team]],MATCH(Table92[[#This Row],[Country]],Tabela1[Country], 0),0))</f>
        <v>0</v>
      </c>
      <c r="G49" s="6">
        <f>SUM(INDEX(Tabela1[[Athletics - Men''s 100m]:[Athletics - Women''s Heptathlon]],MATCH(Table92[[#This Row],[Country]],Tabela1[Country], 0),0))</f>
        <v>0</v>
      </c>
      <c r="H49" s="6">
        <f>SUM(INDEX(Tabela1[[Badminton - Men''s Singles]:[Badminton - Mixed Doubles]],MATCH(Table92[[#This Row],[Country]],Tabela1[Country], 0),0))</f>
        <v>2</v>
      </c>
      <c r="I49" s="6">
        <f>SUM(INDEX(Tabela1[[Basketball - Men''s Tournament]:[Basketball - Women''s Tournament]],MATCH(Table92[[#This Row],[Country]],Tabela1[Country], 0),0))</f>
        <v>0</v>
      </c>
      <c r="J49" s="6">
        <f>SUM(INDEX(Tabela1[[3x3 Basketball - Men''s Tournament]:[3x3 Basketball - Women''s Tournament]],MATCH(Table92[[#This Row],[Country]],Tabela1[Country], 0),0))</f>
        <v>0</v>
      </c>
      <c r="K49" s="6">
        <f>SUM(INDEX(Tabela1[[Beach Volleyball - Men''s Tournament]:[Beach Volleyball - Women''s Tournament]],MATCH(Table92[[#This Row],[Country]],Tabela1[Country], 0),0))</f>
        <v>0</v>
      </c>
      <c r="L49" s="6">
        <f>SUM(INDEX(Tabela1[[Boxing - Men''s 51kg]:[Boxing - Women''s 75kg]],MATCH(Table92[[#This Row],[Country]],Tabela1[Country], 0),0))</f>
        <v>1</v>
      </c>
      <c r="M49" s="6">
        <f>SUM(INDEX(Tabela1[[Breaking - Men''s Individual]:[Breaking - Women''s Individual]],MATCH(Table92[[#This Row],[Country]],Tabela1[Country], 0),0))</f>
        <v>0</v>
      </c>
      <c r="N49" s="6">
        <f>SUM(INDEX(Tabela1[[Canoeing - Men''s C1 Slalom]:[Canoeing - Women''s Kayak Cross Slalom]],MATCH(Table92[[#This Row],[Country]],Tabela1[Country], 0),0))</f>
        <v>0</v>
      </c>
      <c r="O49" s="6">
        <f>SUM(INDEX(Tabela1[[Canoeing - Women''s C1 200m]:[Canoeing - Women''s K4 500m]],MATCH(Table92[[#This Row],[Country]],Tabela1[Country], 0),0))</f>
        <v>0</v>
      </c>
      <c r="P49" s="6">
        <f>SUM(INDEX(Tabela1[[Cycling - Men''s BMX Freestyle]:[Cycling - Women''s BMX Freestyle]],MATCH(Table92[[#This Row],[Country]],Tabela1[Country], 0),0))</f>
        <v>0</v>
      </c>
      <c r="Q49" s="6">
        <f>SUM(INDEX(Tabela1[[Cycling - Men''s BMX Racing]:[Cycling - Women''s BMX Racing]],MATCH(Table92[[#This Row],[Country]],Tabela1[Country], 0),0))</f>
        <v>0</v>
      </c>
      <c r="R49" s="6">
        <f>SUM(INDEX(Tabela1[[Cycling - Men''s Cross-Country]:[Cycling - Women''s Cross-Country]],MATCH(Table92[[#This Row],[Country]],Tabela1[Country], 0),0))</f>
        <v>1</v>
      </c>
      <c r="S49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49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1</v>
      </c>
      <c r="U49" s="6">
        <f>SUM(INDEX(Tabela1[[Diving - Men''s Springboard]:[Diving - Women''s Synchronized Platform]],MATCH(Table92[[#This Row],[Country]],Tabela1[Country], 0),0))</f>
        <v>0</v>
      </c>
      <c r="V49" s="6">
        <f>SUM(INDEX(Tabela1[[Equestrian - Individual Dressage]:[Equestrian - Team Dressage]],MATCH(Table92[[#This Row],[Country]],Tabela1[Country], 0),0))</f>
        <v>2</v>
      </c>
      <c r="W49" s="6">
        <f>SUM(INDEX(Tabela1[[Equestrian - Individual Eventing]:[Equestrian - Team Eventing]],MATCH(Table92[[#This Row],[Country]],Tabela1[Country], 0),0))</f>
        <v>0</v>
      </c>
      <c r="X49" s="6">
        <f>SUM(INDEX(Tabela1[[Equestrian - Individual Jumping]:[Equestrian - Team Jumping]],MATCH(Table92[[#This Row],[Country]],Tabela1[Country], 0),0))</f>
        <v>1</v>
      </c>
      <c r="Y49" s="6">
        <f>SUM(INDEX(Tabela1[[Fencing - Men''s Épée]:[Fencing - Women''s Team Sabre]],MATCH(Table92[[#This Row],[Country]],Tabela1[Country], 0),0))</f>
        <v>0</v>
      </c>
      <c r="Z49" s="6">
        <f>SUM(INDEX(Tabela1[[Field Hockey - Men''s Tournament]:[Field Hockey - Women''s Tournament]],MATCH(Table92[[#This Row],[Country]],Tabela1[Country], 0),0))</f>
        <v>0</v>
      </c>
      <c r="AA49" s="6">
        <f>SUM(INDEX(Tabela1[[Football - Men''s Tournament]:[Football - Women''s Tournament]],MATCH(Table92[[#This Row],[Country]],Tabela1[Country], 0),0))</f>
        <v>0</v>
      </c>
      <c r="AB49" s="6">
        <f>SUM(INDEX(Tabela1[[Golf - Men''s Individual]:[Golf - Women''s Individual]],MATCH(Table92[[#This Row],[Country]],Tabela1[Country], 0),0))</f>
        <v>1</v>
      </c>
      <c r="AC49" s="6">
        <f>SUM(INDEX(Tabela1[[Handball - Men''s Tournament]:[Handball - Women''s Tournament]],MATCH(Table92[[#This Row],[Country]],Tabela1[Country], 0),0))</f>
        <v>2</v>
      </c>
      <c r="AD49" s="6">
        <f>SUM(INDEX(Tabela1[[Judo - Men''s 60kg]:[Judo - Mixed Team]],MATCH(Table92[[#This Row],[Country]],Tabela1[Country], 0),0))</f>
        <v>0</v>
      </c>
      <c r="AE49" s="6">
        <f>SUM(INDEX(Tabela1[[Swimming - Men''s 10km Open Water]:[Swimming - Women''s 10km Open Water]],MATCH(Table92[[#This Row],[Country]],Tabela1[Country], 0),0))</f>
        <v>0</v>
      </c>
      <c r="AF49" s="6">
        <f>SUM(INDEX(Tabela1[[Modern Pentathlon - Men''s Individual]:[Modern Pentathlon - Women''s Individual]],MATCH(Table92[[#This Row],[Country]],Tabela1[Country], 0),0))</f>
        <v>0</v>
      </c>
      <c r="AG49" s="6">
        <f>SUM(INDEX(Tabela1[[Rhythmic Gymnastics - Women''s Individual All-Around]:[Rhythmic Gymnastics - Women''s Group All-Around]],MATCH(Table92[[#This Row],[Country]],Tabela1[Country], 0),0))</f>
        <v>0</v>
      </c>
      <c r="AH49" s="6">
        <f>SUM(INDEX(Tabela1[[Rowing - Men''s Single Sculls]:[Rowing - Women''s Lwt. Double Sculls]],MATCH(Table92[[#This Row],[Country]],Tabela1[Country], 0),0))</f>
        <v>2</v>
      </c>
      <c r="AI49" s="6">
        <f>SUM(INDEX(Tabela1[[Rugby Sevens - Men''s Tournament]:[Rugby Sevens - Women''s Tournament]],MATCH(Table92[[#This Row],[Country]],Tabela1[Country], 0),0))</f>
        <v>0</v>
      </c>
      <c r="AJ49" s="6">
        <f>SUM(INDEX(Tabela1[[Sailing - Mixed 470]:[Sailing - Mixed Nacra 17]],MATCH(Table92[[#This Row],[Country]],Tabela1[Country], 0),0))</f>
        <v>1</v>
      </c>
      <c r="AK49" s="6">
        <f>SUM(INDEX(Tabela1[[Shooting - Men''s 10m Air Pistol]:[Shooting - Women''s Trap]],MATCH(Table92[[#This Row],[Country]],Tabela1[Country], 0),0))</f>
        <v>0</v>
      </c>
      <c r="AL49" s="6">
        <f>SUM(INDEX(Tabela1[[Skateboarding - Men''s Park]:[Skateboarding - Women''s Street]],MATCH(Table92[[#This Row],[Country]],Tabela1[Country], 0),0))</f>
        <v>0</v>
      </c>
      <c r="AM49" s="6">
        <f>SUM(INDEX(Tabela1[[Sport Climbing - Men''s Boulder and Lead]:[Sport Climbing - Women''s Speed]],MATCH(Table92[[#This Row],[Country]],Tabela1[Country], 0),0))</f>
        <v>0</v>
      </c>
      <c r="AN49" s="6">
        <f>SUM(INDEX(Tabela1[[Surfing - Men''s Shortboard]:[Surfing - Women''s Shortboard]],MATCH(Table92[[#This Row],[Country]],Tabela1[Country], 0),0))</f>
        <v>0</v>
      </c>
      <c r="AO49" s="6">
        <f>SUM(INDEX(Tabela1[[Swimming - Men''s 50m Freestyle]:[Swimming - Mixed 4x100m Medley Relay]],MATCH(Table92[[#This Row],[Country]],Tabela1[Country], 0),0))</f>
        <v>0</v>
      </c>
      <c r="AP49" s="6">
        <f>SUM(INDEX(Tabela1[[Table Tennis - Men''s Singles]:[Table Tennis - Mixed Doubles]],MATCH(Table92[[#This Row],[Country]],Tabela1[Country], 0),0))</f>
        <v>0</v>
      </c>
      <c r="AQ49" s="6">
        <f>SUM(INDEX(Tabela1[[Taekwondo - Men''s 58kg]:[Taekwondo - Women''s +67kg]],MATCH(Table92[[#This Row],[Country]],Tabela1[Country], 0),0))</f>
        <v>0</v>
      </c>
      <c r="AR49" s="6">
        <f>SUM(INDEX(Tabela1[[Tennis - Men''s Singles]:[Tennis - Mixed Doubles]],MATCH(Table92[[#This Row],[Country]],Tabela1[Country], 0),0))</f>
        <v>1</v>
      </c>
      <c r="AS49" s="6">
        <f>SUM(INDEX(Tabela1[[Gymnastics - Men''s Trampoline]:[Gymnastics - Women''s Trampoline]],MATCH(Table92[[#This Row],[Country]],Tabela1[Country], 0),0))</f>
        <v>0</v>
      </c>
      <c r="AT49" s="6">
        <f>SUM(INDEX(Tabela1[[Triathlon - Men''s Individual]:[Triathlon - Mixed Relay]],MATCH(Table92[[#This Row],[Country]],Tabela1[Country], 0),0))</f>
        <v>0</v>
      </c>
      <c r="AU49" s="6">
        <f>SUM(INDEX(Tabela1[[Volleyball - Men''s Tournament]:[Volleyball - Women''s Tournament]],MATCH(Table92[[#This Row],[Country]],Tabela1[Country], 0),0))</f>
        <v>0</v>
      </c>
      <c r="AV49" s="6">
        <f>SUM(INDEX(Tabela1[[Water Polo - Men''s Tournament]:[Water Polo - Women''s Tournament]],MATCH(Table92[[#This Row],[Country]],Tabela1[Country], 0),0))</f>
        <v>0</v>
      </c>
      <c r="AW49" s="6">
        <f>SUM(INDEX(Tabela1[[Weightlifting - Men''s 61kg]:[Weightlifting - Women''s +81kg]],MATCH(Table92[[#This Row],[Country]],Tabela1[Country], 0),0))</f>
        <v>0</v>
      </c>
      <c r="AX49" s="6">
        <f>SUM(INDEX(Tabela1[[Wrestling - Men''s Freestyle 57kg]:[Wrestling - Women''s Freestyle 76kg]],MATCH(Table92[[#This Row],[Country]],Tabela1[Country], 0),0))</f>
        <v>0</v>
      </c>
      <c r="AY49" s="6">
        <f>SUM(INDEX(Tabela1[[Alpine Skiing - Men''s Downhill]:[Alpine Skiing - Women''s Team Combined]],MATCH(Table92[[#This Row],[Country]],Tabela1[Country], 0),0))</f>
        <v>0</v>
      </c>
      <c r="AZ49" s="6">
        <f>SUM(INDEX(Tabela1[[Biathlon - Men''s Individual]:[Biathlon - Mixed Relay]],MATCH(Table92[[#This Row],[Country]],Tabela1[Country], 0),0))</f>
        <v>0</v>
      </c>
      <c r="BA49" s="6">
        <f>SUM(INDEX(Tabela1[[Bobsleigh - Women''s Monobob]:[Bobsleigh - Men''s Four]],MATCH(Table92[[#This Row],[Country]],Tabela1[Country], 0),0))</f>
        <v>0</v>
      </c>
      <c r="BB49" s="6">
        <f>SUM(INDEX(Tabela1[[Cross-country skiing - Men''s Classical]:[Cross-country skiing - Women''s Team Sprint]],MATCH(Table92[[#This Row],[Country]],Tabela1[Country], 0),0))</f>
        <v>0</v>
      </c>
      <c r="BC49" s="6">
        <f>SUM(INDEX(Tabela1[[Curling - Men''s Tournament]:[Curling - Mixed Doubles]],MATCH(Table92[[#This Row],[Country]],Tabela1[Country], 0),0))</f>
        <v>0</v>
      </c>
      <c r="BD49" s="6">
        <f>SUM(INDEX(Tabela1[[Figure Skating - Men''s Singles]:[Figure Skating - Team Event]],MATCH(Table92[[#This Row],[Country]],Tabela1[Country], 0),0))</f>
        <v>0</v>
      </c>
      <c r="BE49" s="6">
        <f>SUM(INDEX(Tabela1[[Freestyle Skiing - Men''s Aerials]:[Freestyle Skiing - Women''s Slopestyle]],MATCH(Table92[[#This Row],[Country]],Tabela1[Country], 0),0))</f>
        <v>0</v>
      </c>
      <c r="BF49" s="6">
        <f>SUM(INDEX(Tabela1[[Ice Hockey - Men''s Tournament]:[Ice Hockey - Women''s Tournament]],MATCH(Table92[[#This Row],[Country]],Tabela1[Country], 0),0))</f>
        <v>1</v>
      </c>
      <c r="BG49" s="6">
        <f>SUM(INDEX(Tabela1[[Luge - Men''s Singles]:[Luge - Mixed Team Relay]],MATCH(Table92[[#This Row],[Country]],Tabela1[Country], 0),0))</f>
        <v>0</v>
      </c>
      <c r="BH49" s="6">
        <f>SUM(INDEX(Tabela1[[Nordic Combined - Men''s Individual]:[Nordic Combined - Men''s Team Sprint Large Hill]],MATCH(Table92[[#This Row],[Country]],Tabela1[Country], 0),0))</f>
        <v>0</v>
      </c>
      <c r="BI49" s="6">
        <f>SUM(INDEX(Tabela1[[Short track speed skating - Men''s 500m]:[Short track speed skating - Mixed 2000m Relay]],MATCH(Table92[[#This Row],[Country]],Tabela1[Country], 0),0))</f>
        <v>0</v>
      </c>
      <c r="BJ49" s="6">
        <f>SUM(INDEX(Tabela1[[Skeleton - Men''s Individual]:[Skeleton - Mixed Team]],MATCH(Table92[[#This Row],[Country]],Tabela1[Country], 0),0))</f>
        <v>0</v>
      </c>
      <c r="BK49" s="6">
        <f>SUM(INDEX(Tabela1[[Ski Jumping - Men''s Individual Large Hill]:[Ski Jumping - Mixed Team Normal Hill]],MATCH(Table92[[#This Row],[Country]],Tabela1[Country], 0),0))</f>
        <v>0</v>
      </c>
      <c r="BL49" s="6">
        <f>SUM(INDEX(Tabela1[[Ski Mountaineering - Men''s Sprint]:[Ski Mountaineering - Mixed Relay]],MATCH(Table92[[#This Row],[Country]],Tabela1[Country], 0),0))</f>
        <v>0</v>
      </c>
      <c r="BM49" s="6">
        <f>SUM(INDEX(Tabela1[[Snowboarding - Men''s Big Air]:[Snowboarding - Mixed Team Snowboard Cross]],MATCH(Table92[[#This Row],[Country]],Tabela1[Country], 0),0))</f>
        <v>0</v>
      </c>
      <c r="BN49" s="6">
        <f>SUM(INDEX(Tabela1[[Speed Skating - Men''s 500m]:[Speed Skating - Women''s Team Pursuit]],MATCH(Table92[[#This Row],[Country]],Tabela1[Country], 0),0))</f>
        <v>0</v>
      </c>
      <c r="BO49" s="6" t="str">
        <f>SUBSTITUTE(INDEX(Table92[[#Headers],[Archery Quotas]:[Speed Skating Quotas]], MATCH(MAX(Table92[[#This Row],[Archery Quotas]:[Speed Skating Quotas]]), Table92[[#This Row],[Archery Quotas]:[Speed Skating Quotas]], 0))," Quotas","")</f>
        <v>Badminton</v>
      </c>
      <c r="BP49" s="6">
        <f>SUM(Table92[[#This Row],[Summer Sports]:[Winter Sports]])</f>
        <v>12</v>
      </c>
      <c r="BQ49" s="6">
        <f>COUNTIF(Table92[[#This Row],[Archery Quotas]:[Wrestling Quotas]],"&lt;&gt;0")</f>
        <v>11</v>
      </c>
      <c r="BR49" s="6">
        <f>COUNTIF(Table92[[#This Row],[Alpine Skiing Quotas]:[Speed Skating Quotas]],"&lt;&gt;0")</f>
        <v>1</v>
      </c>
      <c r="BS49" s="3" t="s">
        <v>415</v>
      </c>
    </row>
    <row r="50" spans="1:71" x14ac:dyDescent="0.3">
      <c r="A50" s="6" t="s">
        <v>620</v>
      </c>
      <c r="B50" t="e" vm="49">
        <f>IF(ISBLANK(Table92[[#This Row],[Flag Link]]), "", _xlfn.IMAGE(Table92[[#This Row],[Flag Link]],1,1))</f>
        <v>#VALUE!</v>
      </c>
      <c r="C50" s="6">
        <f>SUM(Table92[[#This Row],[Archery Quotas]:[Speed Skating Quotas]])</f>
        <v>15</v>
      </c>
      <c r="D50" s="6">
        <f>SUM(INDEX(Tabela1[[Archery - Men''s Individual Recurve]:[Archery - Mixed Team Recurve]],MATCH(Table92[[#This Row],[Country]],Tabela1[Country], 0),0))</f>
        <v>0</v>
      </c>
      <c r="E50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50" s="6">
        <f>SUM(INDEX(Tabela1[[Artistic Swimming - Women''s Duet]:[Artistic Swimming - Women''s Team]],MATCH(Table92[[#This Row],[Country]],Tabela1[Country], 0),0))</f>
        <v>0</v>
      </c>
      <c r="G50" s="6">
        <f>SUM(INDEX(Tabela1[[Athletics - Men''s 100m]:[Athletics - Women''s Heptathlon]],MATCH(Table92[[#This Row],[Country]],Tabela1[Country], 0),0))</f>
        <v>2</v>
      </c>
      <c r="H50" s="6">
        <f>SUM(INDEX(Tabela1[[Badminton - Men''s Singles]:[Badminton - Mixed Doubles]],MATCH(Table92[[#This Row],[Country]],Tabela1[Country], 0),0))</f>
        <v>0</v>
      </c>
      <c r="I50" s="6">
        <f>SUM(INDEX(Tabela1[[Basketball - Men''s Tournament]:[Basketball - Women''s Tournament]],MATCH(Table92[[#This Row],[Country]],Tabela1[Country], 0),0))</f>
        <v>0</v>
      </c>
      <c r="J50" s="6">
        <f>SUM(INDEX(Tabela1[[3x3 Basketball - Men''s Tournament]:[3x3 Basketball - Women''s Tournament]],MATCH(Table92[[#This Row],[Country]],Tabela1[Country], 0),0))</f>
        <v>0</v>
      </c>
      <c r="K50" s="6">
        <f>SUM(INDEX(Tabela1[[Beach Volleyball - Men''s Tournament]:[Beach Volleyball - Women''s Tournament]],MATCH(Table92[[#This Row],[Country]],Tabela1[Country], 0),0))</f>
        <v>0</v>
      </c>
      <c r="L50" s="6">
        <f>SUM(INDEX(Tabela1[[Boxing - Men''s 51kg]:[Boxing - Women''s 75kg]],MATCH(Table92[[#This Row],[Country]],Tabela1[Country], 0),0))</f>
        <v>0</v>
      </c>
      <c r="M50" s="6">
        <f>SUM(INDEX(Tabela1[[Breaking - Men''s Individual]:[Breaking - Women''s Individual]],MATCH(Table92[[#This Row],[Country]],Tabela1[Country], 0),0))</f>
        <v>0</v>
      </c>
      <c r="N50" s="6">
        <f>SUM(INDEX(Tabela1[[Canoeing - Men''s C1 Slalom]:[Canoeing - Women''s Kayak Cross Slalom]],MATCH(Table92[[#This Row],[Country]],Tabela1[Country], 0),0))</f>
        <v>0</v>
      </c>
      <c r="O50" s="6">
        <f>SUM(INDEX(Tabela1[[Canoeing - Women''s C1 200m]:[Canoeing - Women''s K4 500m]],MATCH(Table92[[#This Row],[Country]],Tabela1[Country], 0),0))</f>
        <v>0</v>
      </c>
      <c r="P50" s="6">
        <f>SUM(INDEX(Tabela1[[Cycling - Men''s BMX Freestyle]:[Cycling - Women''s BMX Freestyle]],MATCH(Table92[[#This Row],[Country]],Tabela1[Country], 0),0))</f>
        <v>0</v>
      </c>
      <c r="Q50" s="6">
        <f>SUM(INDEX(Tabela1[[Cycling - Men''s BMX Racing]:[Cycling - Women''s BMX Racing]],MATCH(Table92[[#This Row],[Country]],Tabela1[Country], 0),0))</f>
        <v>0</v>
      </c>
      <c r="R50" s="6">
        <f>SUM(INDEX(Tabela1[[Cycling - Men''s Cross-Country]:[Cycling - Women''s Cross-Country]],MATCH(Table92[[#This Row],[Country]],Tabela1[Country], 0),0))</f>
        <v>0</v>
      </c>
      <c r="S50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50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3</v>
      </c>
      <c r="U50" s="6">
        <f>SUM(INDEX(Tabela1[[Diving - Men''s Springboard]:[Diving - Women''s Synchronized Platform]],MATCH(Table92[[#This Row],[Country]],Tabela1[Country], 0),0))</f>
        <v>0</v>
      </c>
      <c r="V50" s="6">
        <f>SUM(INDEX(Tabela1[[Equestrian - Individual Dressage]:[Equestrian - Team Dressage]],MATCH(Table92[[#This Row],[Country]],Tabela1[Country], 0),0))</f>
        <v>0</v>
      </c>
      <c r="W50" s="6">
        <f>SUM(INDEX(Tabela1[[Equestrian - Individual Eventing]:[Equestrian - Team Eventing]],MATCH(Table92[[#This Row],[Country]],Tabela1[Country], 0),0))</f>
        <v>0</v>
      </c>
      <c r="X50" s="6">
        <f>SUM(INDEX(Tabela1[[Equestrian - Individual Jumping]:[Equestrian - Team Jumping]],MATCH(Table92[[#This Row],[Country]],Tabela1[Country], 0),0))</f>
        <v>0</v>
      </c>
      <c r="Y50" s="6">
        <f>SUM(INDEX(Tabela1[[Fencing - Men''s Épée]:[Fencing - Women''s Team Sabre]],MATCH(Table92[[#This Row],[Country]],Tabela1[Country], 0),0))</f>
        <v>0</v>
      </c>
      <c r="Z50" s="6">
        <f>SUM(INDEX(Tabela1[[Field Hockey - Men''s Tournament]:[Field Hockey - Women''s Tournament]],MATCH(Table92[[#This Row],[Country]],Tabela1[Country], 0),0))</f>
        <v>0</v>
      </c>
      <c r="AA50" s="6">
        <f>SUM(INDEX(Tabela1[[Football - Men''s Tournament]:[Football - Women''s Tournament]],MATCH(Table92[[#This Row],[Country]],Tabela1[Country], 0),0))</f>
        <v>0</v>
      </c>
      <c r="AB50" s="6">
        <f>SUM(INDEX(Tabela1[[Golf - Men''s Individual]:[Golf - Women''s Individual]],MATCH(Table92[[#This Row],[Country]],Tabela1[Country], 0),0))</f>
        <v>0</v>
      </c>
      <c r="AC50" s="6">
        <f>SUM(INDEX(Tabela1[[Handball - Men''s Tournament]:[Handball - Women''s Tournament]],MATCH(Table92[[#This Row],[Country]],Tabela1[Country], 0),0))</f>
        <v>0</v>
      </c>
      <c r="AD50" s="6">
        <f>SUM(INDEX(Tabela1[[Judo - Men''s 60kg]:[Judo - Mixed Team]],MATCH(Table92[[#This Row],[Country]],Tabela1[Country], 0),0))</f>
        <v>0</v>
      </c>
      <c r="AE50" s="6">
        <f>SUM(INDEX(Tabela1[[Swimming - Men''s 10km Open Water]:[Swimming - Women''s 10km Open Water]],MATCH(Table92[[#This Row],[Country]],Tabela1[Country], 0),0))</f>
        <v>0</v>
      </c>
      <c r="AF50" s="6">
        <f>SUM(INDEX(Tabela1[[Modern Pentathlon - Men''s Individual]:[Modern Pentathlon - Women''s Individual]],MATCH(Table92[[#This Row],[Country]],Tabela1[Country], 0),0))</f>
        <v>1</v>
      </c>
      <c r="AG50" s="6">
        <f>SUM(INDEX(Tabela1[[Rhythmic Gymnastics - Women''s Individual All-Around]:[Rhythmic Gymnastics - Women''s Group All-Around]],MATCH(Table92[[#This Row],[Country]],Tabela1[Country], 0),0))</f>
        <v>0</v>
      </c>
      <c r="AH50" s="6">
        <f>SUM(INDEX(Tabela1[[Rowing - Men''s Single Sculls]:[Rowing - Women''s Lwt. Double Sculls]],MATCH(Table92[[#This Row],[Country]],Tabela1[Country], 0),0))</f>
        <v>0</v>
      </c>
      <c r="AI50" s="6">
        <f>SUM(INDEX(Tabela1[[Rugby Sevens - Men''s Tournament]:[Rugby Sevens - Women''s Tournament]],MATCH(Table92[[#This Row],[Country]],Tabela1[Country], 0),0))</f>
        <v>0</v>
      </c>
      <c r="AJ50" s="6">
        <f>SUM(INDEX(Tabela1[[Sailing - Mixed 470]:[Sailing - Mixed Nacra 17]],MATCH(Table92[[#This Row],[Country]],Tabela1[Country], 0),0))</f>
        <v>0</v>
      </c>
      <c r="AK50" s="6">
        <f>SUM(INDEX(Tabela1[[Shooting - Men''s 10m Air Pistol]:[Shooting - Women''s Trap]],MATCH(Table92[[#This Row],[Country]],Tabela1[Country], 0),0))</f>
        <v>0</v>
      </c>
      <c r="AL50" s="6">
        <f>SUM(INDEX(Tabela1[[Skateboarding - Men''s Park]:[Skateboarding - Women''s Street]],MATCH(Table92[[#This Row],[Country]],Tabela1[Country], 0),0))</f>
        <v>0</v>
      </c>
      <c r="AM50" s="6">
        <f>SUM(INDEX(Tabela1[[Sport Climbing - Men''s Boulder and Lead]:[Sport Climbing - Women''s Speed]],MATCH(Table92[[#This Row],[Country]],Tabela1[Country], 0),0))</f>
        <v>0</v>
      </c>
      <c r="AN50" s="6">
        <f>SUM(INDEX(Tabela1[[Surfing - Men''s Shortboard]:[Surfing - Women''s Shortboard]],MATCH(Table92[[#This Row],[Country]],Tabela1[Country], 0),0))</f>
        <v>0</v>
      </c>
      <c r="AO50" s="6">
        <f>SUM(INDEX(Tabela1[[Swimming - Men''s 50m Freestyle]:[Swimming - Mixed 4x100m Medley Relay]],MATCH(Table92[[#This Row],[Country]],Tabela1[Country], 0),0))</f>
        <v>5</v>
      </c>
      <c r="AP50" s="6">
        <f>SUM(INDEX(Tabela1[[Table Tennis - Men''s Singles]:[Table Tennis - Mixed Doubles]],MATCH(Table92[[#This Row],[Country]],Tabela1[Country], 0),0))</f>
        <v>0</v>
      </c>
      <c r="AQ50" s="6">
        <f>SUM(INDEX(Tabela1[[Taekwondo - Men''s 58kg]:[Taekwondo - Women''s +67kg]],MATCH(Table92[[#This Row],[Country]],Tabela1[Country], 0),0))</f>
        <v>0</v>
      </c>
      <c r="AR50" s="6">
        <f>SUM(INDEX(Tabela1[[Tennis - Men''s Singles]:[Tennis - Mixed Doubles]],MATCH(Table92[[#This Row],[Country]],Tabela1[Country], 0),0))</f>
        <v>0</v>
      </c>
      <c r="AS50" s="6">
        <f>SUM(INDEX(Tabela1[[Gymnastics - Men''s Trampoline]:[Gymnastics - Women''s Trampoline]],MATCH(Table92[[#This Row],[Country]],Tabela1[Country], 0),0))</f>
        <v>0</v>
      </c>
      <c r="AT50" s="6">
        <f>SUM(INDEX(Tabela1[[Triathlon - Men''s Individual]:[Triathlon - Mixed Relay]],MATCH(Table92[[#This Row],[Country]],Tabela1[Country], 0),0))</f>
        <v>0</v>
      </c>
      <c r="AU50" s="6">
        <f>SUM(INDEX(Tabela1[[Volleyball - Men''s Tournament]:[Volleyball - Women''s Tournament]],MATCH(Table92[[#This Row],[Country]],Tabela1[Country], 0),0))</f>
        <v>0</v>
      </c>
      <c r="AV50" s="6">
        <f>SUM(INDEX(Tabela1[[Water Polo - Men''s Tournament]:[Water Polo - Women''s Tournament]],MATCH(Table92[[#This Row],[Country]],Tabela1[Country], 0),0))</f>
        <v>0</v>
      </c>
      <c r="AW50" s="6">
        <f>SUM(INDEX(Tabela1[[Weightlifting - Men''s 61kg]:[Weightlifting - Women''s +81kg]],MATCH(Table92[[#This Row],[Country]],Tabela1[Country], 0),0))</f>
        <v>0</v>
      </c>
      <c r="AX50" s="6">
        <f>SUM(INDEX(Tabela1[[Wrestling - Men''s Freestyle 57kg]:[Wrestling - Women''s Freestyle 76kg]],MATCH(Table92[[#This Row],[Country]],Tabela1[Country], 0),0))</f>
        <v>1</v>
      </c>
      <c r="AY50" s="6">
        <f>SUM(INDEX(Tabela1[[Alpine Skiing - Men''s Downhill]:[Alpine Skiing - Women''s Team Combined]],MATCH(Table92[[#This Row],[Country]],Tabela1[Country], 0),0))</f>
        <v>0</v>
      </c>
      <c r="AZ50" s="6">
        <f>SUM(INDEX(Tabela1[[Biathlon - Men''s Individual]:[Biathlon - Mixed Relay]],MATCH(Table92[[#This Row],[Country]],Tabela1[Country], 0),0))</f>
        <v>0</v>
      </c>
      <c r="BA50" s="6">
        <f>SUM(INDEX(Tabela1[[Bobsleigh - Women''s Monobob]:[Bobsleigh - Men''s Four]],MATCH(Table92[[#This Row],[Country]],Tabela1[Country], 0),0))</f>
        <v>0</v>
      </c>
      <c r="BB50" s="6">
        <f>SUM(INDEX(Tabela1[[Cross-country skiing - Men''s Classical]:[Cross-country skiing - Women''s Team Sprint]],MATCH(Table92[[#This Row],[Country]],Tabela1[Country], 0),0))</f>
        <v>3</v>
      </c>
      <c r="BC50" s="6">
        <f>SUM(INDEX(Tabela1[[Curling - Men''s Tournament]:[Curling - Mixed Doubles]],MATCH(Table92[[#This Row],[Country]],Tabela1[Country], 0),0))</f>
        <v>0</v>
      </c>
      <c r="BD50" s="6">
        <f>SUM(INDEX(Tabela1[[Figure Skating - Men''s Singles]:[Figure Skating - Team Event]],MATCH(Table92[[#This Row],[Country]],Tabela1[Country], 0),0))</f>
        <v>0</v>
      </c>
      <c r="BE50" s="6">
        <f>SUM(INDEX(Tabela1[[Freestyle Skiing - Men''s Aerials]:[Freestyle Skiing - Women''s Slopestyle]],MATCH(Table92[[#This Row],[Country]],Tabela1[Country], 0),0))</f>
        <v>0</v>
      </c>
      <c r="BF50" s="6">
        <f>SUM(INDEX(Tabela1[[Ice Hockey - Men''s Tournament]:[Ice Hockey - Women''s Tournament]],MATCH(Table92[[#This Row],[Country]],Tabela1[Country], 0),0))</f>
        <v>0</v>
      </c>
      <c r="BG50" s="6">
        <f>SUM(INDEX(Tabela1[[Luge - Men''s Singles]:[Luge - Mixed Team Relay]],MATCH(Table92[[#This Row],[Country]],Tabela1[Country], 0),0))</f>
        <v>0</v>
      </c>
      <c r="BH50" s="6">
        <f>SUM(INDEX(Tabela1[[Nordic Combined - Men''s Individual]:[Nordic Combined - Men''s Team Sprint Large Hill]],MATCH(Table92[[#This Row],[Country]],Tabela1[Country], 0),0))</f>
        <v>0</v>
      </c>
      <c r="BI50" s="6">
        <f>SUM(INDEX(Tabela1[[Short track speed skating - Men''s 500m]:[Short track speed skating - Mixed 2000m Relay]],MATCH(Table92[[#This Row],[Country]],Tabela1[Country], 0),0))</f>
        <v>0</v>
      </c>
      <c r="BJ50" s="6">
        <f>SUM(INDEX(Tabela1[[Skeleton - Men''s Individual]:[Skeleton - Mixed Team]],MATCH(Table92[[#This Row],[Country]],Tabela1[Country], 0),0))</f>
        <v>0</v>
      </c>
      <c r="BK50" s="6">
        <f>SUM(INDEX(Tabela1[[Ski Jumping - Men''s Individual Large Hill]:[Ski Jumping - Mixed Team Normal Hill]],MATCH(Table92[[#This Row],[Country]],Tabela1[Country], 0),0))</f>
        <v>0</v>
      </c>
      <c r="BL50" s="6">
        <f>SUM(INDEX(Tabela1[[Ski Mountaineering - Men''s Sprint]:[Ski Mountaineering - Mixed Relay]],MATCH(Table92[[#This Row],[Country]],Tabela1[Country], 0),0))</f>
        <v>0</v>
      </c>
      <c r="BM50" s="6">
        <f>SUM(INDEX(Tabela1[[Snowboarding - Men''s Big Air]:[Snowboarding - Mixed Team Snowboard Cross]],MATCH(Table92[[#This Row],[Country]],Tabela1[Country], 0),0))</f>
        <v>0</v>
      </c>
      <c r="BN50" s="6">
        <f>SUM(INDEX(Tabela1[[Speed Skating - Men''s 500m]:[Speed Skating - Women''s Team Pursuit]],MATCH(Table92[[#This Row],[Country]],Tabela1[Country], 0),0))</f>
        <v>0</v>
      </c>
      <c r="BO50" s="6" t="str">
        <f>SUBSTITUTE(INDEX(Table92[[#Headers],[Archery Quotas]:[Speed Skating Quotas]], MATCH(MAX(Table92[[#This Row],[Archery Quotas]:[Speed Skating Quotas]]), Table92[[#This Row],[Archery Quotas]:[Speed Skating Quotas]], 0))," Quotas","")</f>
        <v>Swimming</v>
      </c>
      <c r="BP50" s="6">
        <f>SUM(Table92[[#This Row],[Summer Sports]:[Winter Sports]])</f>
        <v>6</v>
      </c>
      <c r="BQ50" s="6">
        <f>COUNTIF(Table92[[#This Row],[Archery Quotas]:[Wrestling Quotas]],"&lt;&gt;0")</f>
        <v>5</v>
      </c>
      <c r="BR50" s="6">
        <f>COUNTIF(Table92[[#This Row],[Alpine Skiing Quotas]:[Speed Skating Quotas]],"&lt;&gt;0")</f>
        <v>1</v>
      </c>
      <c r="BS50" s="3" t="s">
        <v>621</v>
      </c>
    </row>
    <row r="51" spans="1:71" x14ac:dyDescent="0.3">
      <c r="A51" s="6" t="s">
        <v>378</v>
      </c>
      <c r="B51" t="e" vm="50">
        <f>IF(ISBLANK(Table92[[#This Row],[Flag Link]]), "", _xlfn.IMAGE(Table92[[#This Row],[Flag Link]],1,1))</f>
        <v>#VALUE!</v>
      </c>
      <c r="C51" s="6">
        <f>SUM(Table92[[#This Row],[Archery Quotas]:[Speed Skating Quotas]])</f>
        <v>14</v>
      </c>
      <c r="D51" s="6">
        <f>SUM(INDEX(Tabela1[[Archery - Men''s Individual Recurve]:[Archery - Mixed Team Recurve]],MATCH(Table92[[#This Row],[Country]],Tabela1[Country], 0),0))</f>
        <v>0</v>
      </c>
      <c r="E51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51" s="6">
        <f>SUM(INDEX(Tabela1[[Artistic Swimming - Women''s Duet]:[Artistic Swimming - Women''s Team]],MATCH(Table92[[#This Row],[Country]],Tabela1[Country], 0),0))</f>
        <v>0</v>
      </c>
      <c r="G51" s="6">
        <f>SUM(INDEX(Tabela1[[Athletics - Men''s 100m]:[Athletics - Women''s Heptathlon]],MATCH(Table92[[#This Row],[Country]],Tabela1[Country], 0),0))</f>
        <v>1</v>
      </c>
      <c r="H51" s="6">
        <f>SUM(INDEX(Tabela1[[Badminton - Men''s Singles]:[Badminton - Mixed Doubles]],MATCH(Table92[[#This Row],[Country]],Tabela1[Country], 0),0))</f>
        <v>0</v>
      </c>
      <c r="I51" s="6">
        <f>SUM(INDEX(Tabela1[[Basketball - Men''s Tournament]:[Basketball - Women''s Tournament]],MATCH(Table92[[#This Row],[Country]],Tabela1[Country], 0),0))</f>
        <v>0</v>
      </c>
      <c r="J51" s="6">
        <f>SUM(INDEX(Tabela1[[3x3 Basketball - Men''s Tournament]:[3x3 Basketball - Women''s Tournament]],MATCH(Table92[[#This Row],[Country]],Tabela1[Country], 0),0))</f>
        <v>0</v>
      </c>
      <c r="K51" s="6">
        <f>SUM(INDEX(Tabela1[[Beach Volleyball - Men''s Tournament]:[Beach Volleyball - Women''s Tournament]],MATCH(Table92[[#This Row],[Country]],Tabela1[Country], 0),0))</f>
        <v>1</v>
      </c>
      <c r="L51" s="6">
        <f>SUM(INDEX(Tabela1[[Boxing - Men''s 51kg]:[Boxing - Women''s 75kg]],MATCH(Table92[[#This Row],[Country]],Tabela1[Country], 0),0))</f>
        <v>3</v>
      </c>
      <c r="M51" s="6">
        <f>SUM(INDEX(Tabela1[[Breaking - Men''s Individual]:[Breaking - Women''s Individual]],MATCH(Table92[[#This Row],[Country]],Tabela1[Country], 0),0))</f>
        <v>0</v>
      </c>
      <c r="N51" s="6">
        <f>SUM(INDEX(Tabela1[[Canoeing - Men''s C1 Slalom]:[Canoeing - Women''s Kayak Cross Slalom]],MATCH(Table92[[#This Row],[Country]],Tabela1[Country], 0),0))</f>
        <v>0</v>
      </c>
      <c r="O51" s="6">
        <f>SUM(INDEX(Tabela1[[Canoeing - Women''s C1 200m]:[Canoeing - Women''s K4 500m]],MATCH(Table92[[#This Row],[Country]],Tabela1[Country], 0),0))</f>
        <v>0</v>
      </c>
      <c r="P51" s="6">
        <f>SUM(INDEX(Tabela1[[Cycling - Men''s BMX Freestyle]:[Cycling - Women''s BMX Freestyle]],MATCH(Table92[[#This Row],[Country]],Tabela1[Country], 0),0))</f>
        <v>0</v>
      </c>
      <c r="Q51" s="6">
        <f>SUM(INDEX(Tabela1[[Cycling - Men''s BMX Racing]:[Cycling - Women''s BMX Racing]],MATCH(Table92[[#This Row],[Country]],Tabela1[Country], 0),0))</f>
        <v>1</v>
      </c>
      <c r="R51" s="6">
        <f>SUM(INDEX(Tabela1[[Cycling - Men''s Cross-Country]:[Cycling - Women''s Cross-Country]],MATCH(Table92[[#This Row],[Country]],Tabela1[Country], 0),0))</f>
        <v>0</v>
      </c>
      <c r="S51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2</v>
      </c>
      <c r="T51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51" s="6">
        <f>SUM(INDEX(Tabela1[[Diving - Men''s Springboard]:[Diving - Women''s Synchronized Platform]],MATCH(Table92[[#This Row],[Country]],Tabela1[Country], 0),0))</f>
        <v>0</v>
      </c>
      <c r="V51" s="6">
        <f>SUM(INDEX(Tabela1[[Equestrian - Individual Dressage]:[Equestrian - Team Dressage]],MATCH(Table92[[#This Row],[Country]],Tabela1[Country], 0),0))</f>
        <v>0</v>
      </c>
      <c r="W51" s="6">
        <f>SUM(INDEX(Tabela1[[Equestrian - Individual Eventing]:[Equestrian - Team Eventing]],MATCH(Table92[[#This Row],[Country]],Tabela1[Country], 0),0))</f>
        <v>1</v>
      </c>
      <c r="X51" s="6">
        <f>SUM(INDEX(Tabela1[[Equestrian - Individual Jumping]:[Equestrian - Team Jumping]],MATCH(Table92[[#This Row],[Country]],Tabela1[Country], 0),0))</f>
        <v>0</v>
      </c>
      <c r="Y51" s="6">
        <f>SUM(INDEX(Tabela1[[Fencing - Men''s Épée]:[Fencing - Women''s Team Sabre]],MATCH(Table92[[#This Row],[Country]],Tabela1[Country], 0),0))</f>
        <v>0</v>
      </c>
      <c r="Z51" s="6">
        <f>SUM(INDEX(Tabela1[[Field Hockey - Men''s Tournament]:[Field Hockey - Women''s Tournament]],MATCH(Table92[[#This Row],[Country]],Tabela1[Country], 0),0))</f>
        <v>0</v>
      </c>
      <c r="AA51" s="6">
        <f>SUM(INDEX(Tabela1[[Football - Men''s Tournament]:[Football - Women''s Tournament]],MATCH(Table92[[#This Row],[Country]],Tabela1[Country], 0),0))</f>
        <v>1</v>
      </c>
      <c r="AB51" s="6">
        <f>SUM(INDEX(Tabela1[[Golf - Men''s Individual]:[Golf - Women''s Individual]],MATCH(Table92[[#This Row],[Country]],Tabela1[Country], 0),0))</f>
        <v>1</v>
      </c>
      <c r="AC51" s="6">
        <f>SUM(INDEX(Tabela1[[Handball - Men''s Tournament]:[Handball - Women''s Tournament]],MATCH(Table92[[#This Row],[Country]],Tabela1[Country], 0),0))</f>
        <v>0</v>
      </c>
      <c r="AD51" s="6">
        <f>SUM(INDEX(Tabela1[[Judo - Men''s 60kg]:[Judo - Mixed Team]],MATCH(Table92[[#This Row],[Country]],Tabela1[Country], 0),0))</f>
        <v>1</v>
      </c>
      <c r="AE51" s="6">
        <f>SUM(INDEX(Tabela1[[Swimming - Men''s 10km Open Water]:[Swimming - Women''s 10km Open Water]],MATCH(Table92[[#This Row],[Country]],Tabela1[Country], 0),0))</f>
        <v>0</v>
      </c>
      <c r="AF51" s="6">
        <f>SUM(INDEX(Tabela1[[Modern Pentathlon - Men''s Individual]:[Modern Pentathlon - Women''s Individual]],MATCH(Table92[[#This Row],[Country]],Tabela1[Country], 0),0))</f>
        <v>0</v>
      </c>
      <c r="AG51" s="6">
        <f>SUM(INDEX(Tabela1[[Rhythmic Gymnastics - Women''s Individual All-Around]:[Rhythmic Gymnastics - Women''s Group All-Around]],MATCH(Table92[[#This Row],[Country]],Tabela1[Country], 0),0))</f>
        <v>0</v>
      </c>
      <c r="AH51" s="6">
        <f>SUM(INDEX(Tabela1[[Rowing - Men''s Single Sculls]:[Rowing - Women''s Lwt. Double Sculls]],MATCH(Table92[[#This Row],[Country]],Tabela1[Country], 0),0))</f>
        <v>0</v>
      </c>
      <c r="AI51" s="6">
        <f>SUM(INDEX(Tabela1[[Rugby Sevens - Men''s Tournament]:[Rugby Sevens - Women''s Tournament]],MATCH(Table92[[#This Row],[Country]],Tabela1[Country], 0),0))</f>
        <v>0</v>
      </c>
      <c r="AJ51" s="6">
        <f>SUM(INDEX(Tabela1[[Sailing - Mixed 470]:[Sailing - Mixed Nacra 17]],MATCH(Table92[[#This Row],[Country]],Tabela1[Country], 0),0))</f>
        <v>0</v>
      </c>
      <c r="AK51" s="6">
        <f>SUM(INDEX(Tabela1[[Shooting - Men''s 10m Air Pistol]:[Shooting - Women''s Trap]],MATCH(Table92[[#This Row],[Country]],Tabela1[Country], 0),0))</f>
        <v>0</v>
      </c>
      <c r="AL51" s="6">
        <f>SUM(INDEX(Tabela1[[Skateboarding - Men''s Park]:[Skateboarding - Women''s Street]],MATCH(Table92[[#This Row],[Country]],Tabela1[Country], 0),0))</f>
        <v>0</v>
      </c>
      <c r="AM51" s="6">
        <f>SUM(INDEX(Tabela1[[Sport Climbing - Men''s Boulder and Lead]:[Sport Climbing - Women''s Speed]],MATCH(Table92[[#This Row],[Country]],Tabela1[Country], 0),0))</f>
        <v>0</v>
      </c>
      <c r="AN51" s="6">
        <f>SUM(INDEX(Tabela1[[Surfing - Men''s Shortboard]:[Surfing - Women''s Shortboard]],MATCH(Table92[[#This Row],[Country]],Tabela1[Country], 0),0))</f>
        <v>0</v>
      </c>
      <c r="AO51" s="6">
        <f>SUM(INDEX(Tabela1[[Swimming - Men''s 50m Freestyle]:[Swimming - Mixed 4x100m Medley Relay]],MATCH(Table92[[#This Row],[Country]],Tabela1[Country], 0),0))</f>
        <v>1</v>
      </c>
      <c r="AP51" s="6">
        <f>SUM(INDEX(Tabela1[[Table Tennis - Men''s Singles]:[Table Tennis - Mixed Doubles]],MATCH(Table92[[#This Row],[Country]],Tabela1[Country], 0),0))</f>
        <v>0</v>
      </c>
      <c r="AQ51" s="6">
        <f>SUM(INDEX(Tabela1[[Taekwondo - Men''s 58kg]:[Taekwondo - Women''s +67kg]],MATCH(Table92[[#This Row],[Country]],Tabela1[Country], 0),0))</f>
        <v>1</v>
      </c>
      <c r="AR51" s="6">
        <f>SUM(INDEX(Tabela1[[Tennis - Men''s Singles]:[Tennis - Mixed Doubles]],MATCH(Table92[[#This Row],[Country]],Tabela1[Country], 0),0))</f>
        <v>0</v>
      </c>
      <c r="AS51" s="6">
        <f>SUM(INDEX(Tabela1[[Gymnastics - Men''s Trampoline]:[Gymnastics - Women''s Trampoline]],MATCH(Table92[[#This Row],[Country]],Tabela1[Country], 0),0))</f>
        <v>0</v>
      </c>
      <c r="AT51" s="6">
        <f>SUM(INDEX(Tabela1[[Triathlon - Men''s Individual]:[Triathlon - Mixed Relay]],MATCH(Table92[[#This Row],[Country]],Tabela1[Country], 0),0))</f>
        <v>0</v>
      </c>
      <c r="AU51" s="6">
        <f>SUM(INDEX(Tabela1[[Volleyball - Men''s Tournament]:[Volleyball - Women''s Tournament]],MATCH(Table92[[#This Row],[Country]],Tabela1[Country], 0),0))</f>
        <v>0</v>
      </c>
      <c r="AV51" s="6">
        <f>SUM(INDEX(Tabela1[[Water Polo - Men''s Tournament]:[Water Polo - Women''s Tournament]],MATCH(Table92[[#This Row],[Country]],Tabela1[Country], 0),0))</f>
        <v>0</v>
      </c>
      <c r="AW51" s="6">
        <f>SUM(INDEX(Tabela1[[Weightlifting - Men''s 61kg]:[Weightlifting - Women''s +81kg]],MATCH(Table92[[#This Row],[Country]],Tabela1[Country], 0),0))</f>
        <v>0</v>
      </c>
      <c r="AX51" s="6">
        <f>SUM(INDEX(Tabela1[[Wrestling - Men''s Freestyle 57kg]:[Wrestling - Women''s Freestyle 76kg]],MATCH(Table92[[#This Row],[Country]],Tabela1[Country], 0),0))</f>
        <v>0</v>
      </c>
      <c r="AY51" s="6">
        <f>SUM(INDEX(Tabela1[[Alpine Skiing - Men''s Downhill]:[Alpine Skiing - Women''s Team Combined]],MATCH(Table92[[#This Row],[Country]],Tabela1[Country], 0),0))</f>
        <v>0</v>
      </c>
      <c r="AZ51" s="6">
        <f>SUM(INDEX(Tabela1[[Biathlon - Men''s Individual]:[Biathlon - Mixed Relay]],MATCH(Table92[[#This Row],[Country]],Tabela1[Country], 0),0))</f>
        <v>0</v>
      </c>
      <c r="BA51" s="6">
        <f>SUM(INDEX(Tabela1[[Bobsleigh - Women''s Monobob]:[Bobsleigh - Men''s Four]],MATCH(Table92[[#This Row],[Country]],Tabela1[Country], 0),0))</f>
        <v>0</v>
      </c>
      <c r="BB51" s="6">
        <f>SUM(INDEX(Tabela1[[Cross-country skiing - Men''s Classical]:[Cross-country skiing - Women''s Team Sprint]],MATCH(Table92[[#This Row],[Country]],Tabela1[Country], 0),0))</f>
        <v>0</v>
      </c>
      <c r="BC51" s="6">
        <f>SUM(INDEX(Tabela1[[Curling - Men''s Tournament]:[Curling - Mixed Doubles]],MATCH(Table92[[#This Row],[Country]],Tabela1[Country], 0),0))</f>
        <v>0</v>
      </c>
      <c r="BD51" s="6">
        <f>SUM(INDEX(Tabela1[[Figure Skating - Men''s Singles]:[Figure Skating - Team Event]],MATCH(Table92[[#This Row],[Country]],Tabela1[Country], 0),0))</f>
        <v>0</v>
      </c>
      <c r="BE51" s="6">
        <f>SUM(INDEX(Tabela1[[Freestyle Skiing - Men''s Aerials]:[Freestyle Skiing - Women''s Slopestyle]],MATCH(Table92[[#This Row],[Country]],Tabela1[Country], 0),0))</f>
        <v>0</v>
      </c>
      <c r="BF51" s="6">
        <f>SUM(INDEX(Tabela1[[Ice Hockey - Men''s Tournament]:[Ice Hockey - Women''s Tournament]],MATCH(Table92[[#This Row],[Country]],Tabela1[Country], 0),0))</f>
        <v>0</v>
      </c>
      <c r="BG51" s="6">
        <f>SUM(INDEX(Tabela1[[Luge - Men''s Singles]:[Luge - Mixed Team Relay]],MATCH(Table92[[#This Row],[Country]],Tabela1[Country], 0),0))</f>
        <v>0</v>
      </c>
      <c r="BH51" s="6">
        <f>SUM(INDEX(Tabela1[[Nordic Combined - Men''s Individual]:[Nordic Combined - Men''s Team Sprint Large Hill]],MATCH(Table92[[#This Row],[Country]],Tabela1[Country], 0),0))</f>
        <v>0</v>
      </c>
      <c r="BI51" s="6">
        <f>SUM(INDEX(Tabela1[[Short track speed skating - Men''s 500m]:[Short track speed skating - Mixed 2000m Relay]],MATCH(Table92[[#This Row],[Country]],Tabela1[Country], 0),0))</f>
        <v>0</v>
      </c>
      <c r="BJ51" s="6">
        <f>SUM(INDEX(Tabela1[[Skeleton - Men''s Individual]:[Skeleton - Mixed Team]],MATCH(Table92[[#This Row],[Country]],Tabela1[Country], 0),0))</f>
        <v>0</v>
      </c>
      <c r="BK51" s="6">
        <f>SUM(INDEX(Tabela1[[Ski Jumping - Men''s Individual Large Hill]:[Ski Jumping - Mixed Team Normal Hill]],MATCH(Table92[[#This Row],[Country]],Tabela1[Country], 0),0))</f>
        <v>0</v>
      </c>
      <c r="BL51" s="6">
        <f>SUM(INDEX(Tabela1[[Ski Mountaineering - Men''s Sprint]:[Ski Mountaineering - Mixed Relay]],MATCH(Table92[[#This Row],[Country]],Tabela1[Country], 0),0))</f>
        <v>0</v>
      </c>
      <c r="BM51" s="6">
        <f>SUM(INDEX(Tabela1[[Snowboarding - Men''s Big Air]:[Snowboarding - Mixed Team Snowboard Cross]],MATCH(Table92[[#This Row],[Country]],Tabela1[Country], 0),0))</f>
        <v>0</v>
      </c>
      <c r="BN51" s="6">
        <f>SUM(INDEX(Tabela1[[Speed Skating - Men''s 500m]:[Speed Skating - Women''s Team Pursuit]],MATCH(Table92[[#This Row],[Country]],Tabela1[Country], 0),0))</f>
        <v>0</v>
      </c>
      <c r="BO51" s="6" t="str">
        <f>SUBSTITUTE(INDEX(Table92[[#Headers],[Archery Quotas]:[Speed Skating Quotas]], MATCH(MAX(Table92[[#This Row],[Archery Quotas]:[Speed Skating Quotas]]), Table92[[#This Row],[Archery Quotas]:[Speed Skating Quotas]], 0))," Quotas","")</f>
        <v>Boxing</v>
      </c>
      <c r="BP51" s="6">
        <f>SUM(Table92[[#This Row],[Summer Sports]:[Winter Sports]])</f>
        <v>11</v>
      </c>
      <c r="BQ51" s="6">
        <f>COUNTIF(Table92[[#This Row],[Archery Quotas]:[Wrestling Quotas]],"&lt;&gt;0")</f>
        <v>11</v>
      </c>
      <c r="BR51" s="6">
        <f>COUNTIF(Table92[[#This Row],[Alpine Skiing Quotas]:[Speed Skating Quotas]],"&lt;&gt;0")</f>
        <v>0</v>
      </c>
      <c r="BS51" s="3" t="s">
        <v>379</v>
      </c>
    </row>
    <row r="52" spans="1:71" x14ac:dyDescent="0.3">
      <c r="A52" s="6" t="s">
        <v>580</v>
      </c>
      <c r="B52" t="e" vm="51">
        <f>IF(ISBLANK(Table92[[#This Row],[Flag Link]]), "", _xlfn.IMAGE(Table92[[#This Row],[Flag Link]],1,1))</f>
        <v>#VALUE!</v>
      </c>
      <c r="C52" s="6">
        <f>SUM(Table92[[#This Row],[Archery Quotas]:[Speed Skating Quotas]])</f>
        <v>13</v>
      </c>
      <c r="D52" s="6">
        <f>SUM(INDEX(Tabela1[[Archery - Men''s Individual Recurve]:[Archery - Mixed Team Recurve]],MATCH(Table92[[#This Row],[Country]],Tabela1[Country], 0),0))</f>
        <v>0</v>
      </c>
      <c r="E52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52" s="6">
        <f>SUM(INDEX(Tabela1[[Artistic Swimming - Women''s Duet]:[Artistic Swimming - Women''s Team]],MATCH(Table92[[#This Row],[Country]],Tabela1[Country], 0),0))</f>
        <v>0</v>
      </c>
      <c r="G52" s="6">
        <f>SUM(INDEX(Tabela1[[Athletics - Men''s 100m]:[Athletics - Women''s Heptathlon]],MATCH(Table92[[#This Row],[Country]],Tabela1[Country], 0),0))</f>
        <v>0</v>
      </c>
      <c r="H52" s="6">
        <f>SUM(INDEX(Tabela1[[Badminton - Men''s Singles]:[Badminton - Mixed Doubles]],MATCH(Table92[[#This Row],[Country]],Tabela1[Country], 0),0))</f>
        <v>0</v>
      </c>
      <c r="I52" s="6">
        <f>SUM(INDEX(Tabela1[[Basketball - Men''s Tournament]:[Basketball - Women''s Tournament]],MATCH(Table92[[#This Row],[Country]],Tabela1[Country], 0),0))</f>
        <v>0</v>
      </c>
      <c r="J52" s="6">
        <f>SUM(INDEX(Tabela1[[3x3 Basketball - Men''s Tournament]:[3x3 Basketball - Women''s Tournament]],MATCH(Table92[[#This Row],[Country]],Tabela1[Country], 0),0))</f>
        <v>0</v>
      </c>
      <c r="K52" s="6">
        <f>SUM(INDEX(Tabela1[[Beach Volleyball - Men''s Tournament]:[Beach Volleyball - Women''s Tournament]],MATCH(Table92[[#This Row],[Country]],Tabela1[Country], 0),0))</f>
        <v>0</v>
      </c>
      <c r="L52" s="6">
        <f>SUM(INDEX(Tabela1[[Boxing - Men''s 51kg]:[Boxing - Women''s 75kg]],MATCH(Table92[[#This Row],[Country]],Tabela1[Country], 0),0))</f>
        <v>1</v>
      </c>
      <c r="M52" s="6">
        <f>SUM(INDEX(Tabela1[[Breaking - Men''s Individual]:[Breaking - Women''s Individual]],MATCH(Table92[[#This Row],[Country]],Tabela1[Country], 0),0))</f>
        <v>0</v>
      </c>
      <c r="N52" s="6">
        <f>SUM(INDEX(Tabela1[[Canoeing - Men''s C1 Slalom]:[Canoeing - Women''s Kayak Cross Slalom]],MATCH(Table92[[#This Row],[Country]],Tabela1[Country], 0),0))</f>
        <v>0</v>
      </c>
      <c r="O52" s="6">
        <f>SUM(INDEX(Tabela1[[Canoeing - Women''s C1 200m]:[Canoeing - Women''s K4 500m]],MATCH(Table92[[#This Row],[Country]],Tabela1[Country], 0),0))</f>
        <v>0</v>
      </c>
      <c r="P52" s="6">
        <f>SUM(INDEX(Tabela1[[Cycling - Men''s BMX Freestyle]:[Cycling - Women''s BMX Freestyle]],MATCH(Table92[[#This Row],[Country]],Tabela1[Country], 0),0))</f>
        <v>0</v>
      </c>
      <c r="Q52" s="6">
        <f>SUM(INDEX(Tabela1[[Cycling - Men''s BMX Racing]:[Cycling - Women''s BMX Racing]],MATCH(Table92[[#This Row],[Country]],Tabela1[Country], 0),0))</f>
        <v>0</v>
      </c>
      <c r="R52" s="6">
        <f>SUM(INDEX(Tabela1[[Cycling - Men''s Cross-Country]:[Cycling - Women''s Cross-Country]],MATCH(Table92[[#This Row],[Country]],Tabela1[Country], 0),0))</f>
        <v>0</v>
      </c>
      <c r="S52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52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52" s="6">
        <f>SUM(INDEX(Tabela1[[Diving - Men''s Springboard]:[Diving - Women''s Synchronized Platform]],MATCH(Table92[[#This Row],[Country]],Tabela1[Country], 0),0))</f>
        <v>0</v>
      </c>
      <c r="V52" s="6">
        <f>SUM(INDEX(Tabela1[[Equestrian - Individual Dressage]:[Equestrian - Team Dressage]],MATCH(Table92[[#This Row],[Country]],Tabela1[Country], 0),0))</f>
        <v>0</v>
      </c>
      <c r="W52" s="6">
        <f>SUM(INDEX(Tabela1[[Equestrian - Individual Eventing]:[Equestrian - Team Eventing]],MATCH(Table92[[#This Row],[Country]],Tabela1[Country], 0),0))</f>
        <v>0</v>
      </c>
      <c r="X52" s="6">
        <f>SUM(INDEX(Tabela1[[Equestrian - Individual Jumping]:[Equestrian - Team Jumping]],MATCH(Table92[[#This Row],[Country]],Tabela1[Country], 0),0))</f>
        <v>0</v>
      </c>
      <c r="Y52" s="6">
        <f>SUM(INDEX(Tabela1[[Fencing - Men''s Épée]:[Fencing - Women''s Team Sabre]],MATCH(Table92[[#This Row],[Country]],Tabela1[Country], 0),0))</f>
        <v>0</v>
      </c>
      <c r="Z52" s="6">
        <f>SUM(INDEX(Tabela1[[Field Hockey - Men''s Tournament]:[Field Hockey - Women''s Tournament]],MATCH(Table92[[#This Row],[Country]],Tabela1[Country], 0),0))</f>
        <v>0</v>
      </c>
      <c r="AA52" s="6">
        <f>SUM(INDEX(Tabela1[[Football - Men''s Tournament]:[Football - Women''s Tournament]],MATCH(Table92[[#This Row],[Country]],Tabela1[Country], 0),0))</f>
        <v>0</v>
      </c>
      <c r="AB52" s="6">
        <f>SUM(INDEX(Tabela1[[Golf - Men''s Individual]:[Golf - Women''s Individual]],MATCH(Table92[[#This Row],[Country]],Tabela1[Country], 0),0))</f>
        <v>0</v>
      </c>
      <c r="AC52" s="6">
        <f>SUM(INDEX(Tabela1[[Handball - Men''s Tournament]:[Handball - Women''s Tournament]],MATCH(Table92[[#This Row],[Country]],Tabela1[Country], 0),0))</f>
        <v>0</v>
      </c>
      <c r="AD52" s="6">
        <f>SUM(INDEX(Tabela1[[Judo - Men''s 60kg]:[Judo - Mixed Team]],MATCH(Table92[[#This Row],[Country]],Tabela1[Country], 0),0))</f>
        <v>6</v>
      </c>
      <c r="AE52" s="6">
        <f>SUM(INDEX(Tabela1[[Swimming - Men''s 10km Open Water]:[Swimming - Women''s 10km Open Water]],MATCH(Table92[[#This Row],[Country]],Tabela1[Country], 0),0))</f>
        <v>0</v>
      </c>
      <c r="AF52" s="6">
        <f>SUM(INDEX(Tabela1[[Modern Pentathlon - Men''s Individual]:[Modern Pentathlon - Women''s Individual]],MATCH(Table92[[#This Row],[Country]],Tabela1[Country], 0),0))</f>
        <v>0</v>
      </c>
      <c r="AG52" s="6">
        <f>SUM(INDEX(Tabela1[[Rhythmic Gymnastics - Women''s Individual All-Around]:[Rhythmic Gymnastics - Women''s Group All-Around]],MATCH(Table92[[#This Row],[Country]],Tabela1[Country], 0),0))</f>
        <v>0</v>
      </c>
      <c r="AH52" s="6">
        <f>SUM(INDEX(Tabela1[[Rowing - Men''s Single Sculls]:[Rowing - Women''s Lwt. Double Sculls]],MATCH(Table92[[#This Row],[Country]],Tabela1[Country], 0),0))</f>
        <v>0</v>
      </c>
      <c r="AI52" s="6">
        <f>SUM(INDEX(Tabela1[[Rugby Sevens - Men''s Tournament]:[Rugby Sevens - Women''s Tournament]],MATCH(Table92[[#This Row],[Country]],Tabela1[Country], 0),0))</f>
        <v>0</v>
      </c>
      <c r="AJ52" s="6">
        <f>SUM(INDEX(Tabela1[[Sailing - Mixed 470]:[Sailing - Mixed Nacra 17]],MATCH(Table92[[#This Row],[Country]],Tabela1[Country], 0),0))</f>
        <v>0</v>
      </c>
      <c r="AK52" s="6">
        <f>SUM(INDEX(Tabela1[[Shooting - Men''s 10m Air Pistol]:[Shooting - Women''s Trap]],MATCH(Table92[[#This Row],[Country]],Tabela1[Country], 0),0))</f>
        <v>0</v>
      </c>
      <c r="AL52" s="6">
        <f>SUM(INDEX(Tabela1[[Skateboarding - Men''s Park]:[Skateboarding - Women''s Street]],MATCH(Table92[[#This Row],[Country]],Tabela1[Country], 0),0))</f>
        <v>0</v>
      </c>
      <c r="AM52" s="6">
        <f>SUM(INDEX(Tabela1[[Sport Climbing - Men''s Boulder and Lead]:[Sport Climbing - Women''s Speed]],MATCH(Table92[[#This Row],[Country]],Tabela1[Country], 0),0))</f>
        <v>0</v>
      </c>
      <c r="AN52" s="6">
        <f>SUM(INDEX(Tabela1[[Surfing - Men''s Shortboard]:[Surfing - Women''s Shortboard]],MATCH(Table92[[#This Row],[Country]],Tabela1[Country], 0),0))</f>
        <v>0</v>
      </c>
      <c r="AO52" s="6">
        <f>SUM(INDEX(Tabela1[[Swimming - Men''s 50m Freestyle]:[Swimming - Mixed 4x100m Medley Relay]],MATCH(Table92[[#This Row],[Country]],Tabela1[Country], 0),0))</f>
        <v>0</v>
      </c>
      <c r="AP52" s="6">
        <f>SUM(INDEX(Tabela1[[Table Tennis - Men''s Singles]:[Table Tennis - Mixed Doubles]],MATCH(Table92[[#This Row],[Country]],Tabela1[Country], 0),0))</f>
        <v>0</v>
      </c>
      <c r="AQ52" s="6">
        <f>SUM(INDEX(Tabela1[[Taekwondo - Men''s 58kg]:[Taekwondo - Women''s +67kg]],MATCH(Table92[[#This Row],[Country]],Tabela1[Country], 0),0))</f>
        <v>0</v>
      </c>
      <c r="AR52" s="6">
        <f>SUM(INDEX(Tabela1[[Tennis - Men''s Singles]:[Tennis - Mixed Doubles]],MATCH(Table92[[#This Row],[Country]],Tabela1[Country], 0),0))</f>
        <v>0</v>
      </c>
      <c r="AS52" s="6">
        <f>SUM(INDEX(Tabela1[[Gymnastics - Men''s Trampoline]:[Gymnastics - Women''s Trampoline]],MATCH(Table92[[#This Row],[Country]],Tabela1[Country], 0),0))</f>
        <v>0</v>
      </c>
      <c r="AT52" s="6">
        <f>SUM(INDEX(Tabela1[[Triathlon - Men''s Individual]:[Triathlon - Mixed Relay]],MATCH(Table92[[#This Row],[Country]],Tabela1[Country], 0),0))</f>
        <v>0</v>
      </c>
      <c r="AU52" s="6">
        <f>SUM(INDEX(Tabela1[[Volleyball - Men''s Tournament]:[Volleyball - Women''s Tournament]],MATCH(Table92[[#This Row],[Country]],Tabela1[Country], 0),0))</f>
        <v>0</v>
      </c>
      <c r="AV52" s="6">
        <f>SUM(INDEX(Tabela1[[Water Polo - Men''s Tournament]:[Water Polo - Women''s Tournament]],MATCH(Table92[[#This Row],[Country]],Tabela1[Country], 0),0))</f>
        <v>0</v>
      </c>
      <c r="AW52" s="6">
        <f>SUM(INDEX(Tabela1[[Weightlifting - Men''s 61kg]:[Weightlifting - Women''s +81kg]],MATCH(Table92[[#This Row],[Country]],Tabela1[Country], 0),0))</f>
        <v>1</v>
      </c>
      <c r="AX52" s="6">
        <f>SUM(INDEX(Tabela1[[Wrestling - Men''s Freestyle 57kg]:[Wrestling - Women''s Freestyle 76kg]],MATCH(Table92[[#This Row],[Country]],Tabela1[Country], 0),0))</f>
        <v>3</v>
      </c>
      <c r="AY52" s="6">
        <f>SUM(INDEX(Tabela1[[Alpine Skiing - Men''s Downhill]:[Alpine Skiing - Women''s Team Combined]],MATCH(Table92[[#This Row],[Country]],Tabela1[Country], 0),0))</f>
        <v>2</v>
      </c>
      <c r="AZ52" s="6">
        <f>SUM(INDEX(Tabela1[[Biathlon - Men''s Individual]:[Biathlon - Mixed Relay]],MATCH(Table92[[#This Row],[Country]],Tabela1[Country], 0),0))</f>
        <v>0</v>
      </c>
      <c r="BA52" s="6">
        <f>SUM(INDEX(Tabela1[[Bobsleigh - Women''s Monobob]:[Bobsleigh - Men''s Four]],MATCH(Table92[[#This Row],[Country]],Tabela1[Country], 0),0))</f>
        <v>0</v>
      </c>
      <c r="BB52" s="6">
        <f>SUM(INDEX(Tabela1[[Cross-country skiing - Men''s Classical]:[Cross-country skiing - Women''s Team Sprint]],MATCH(Table92[[#This Row],[Country]],Tabela1[Country], 0),0))</f>
        <v>0</v>
      </c>
      <c r="BC52" s="6">
        <f>SUM(INDEX(Tabela1[[Curling - Men''s Tournament]:[Curling - Mixed Doubles]],MATCH(Table92[[#This Row],[Country]],Tabela1[Country], 0),0))</f>
        <v>0</v>
      </c>
      <c r="BD52" s="6">
        <f>SUM(INDEX(Tabela1[[Figure Skating - Men''s Singles]:[Figure Skating - Team Event]],MATCH(Table92[[#This Row],[Country]],Tabela1[Country], 0),0))</f>
        <v>0</v>
      </c>
      <c r="BE52" s="6">
        <f>SUM(INDEX(Tabela1[[Freestyle Skiing - Men''s Aerials]:[Freestyle Skiing - Women''s Slopestyle]],MATCH(Table92[[#This Row],[Country]],Tabela1[Country], 0),0))</f>
        <v>0</v>
      </c>
      <c r="BF52" s="6">
        <f>SUM(INDEX(Tabela1[[Ice Hockey - Men''s Tournament]:[Ice Hockey - Women''s Tournament]],MATCH(Table92[[#This Row],[Country]],Tabela1[Country], 0),0))</f>
        <v>0</v>
      </c>
      <c r="BG52" s="6">
        <f>SUM(INDEX(Tabela1[[Luge - Men''s Singles]:[Luge - Mixed Team Relay]],MATCH(Table92[[#This Row],[Country]],Tabela1[Country], 0),0))</f>
        <v>0</v>
      </c>
      <c r="BH52" s="6">
        <f>SUM(INDEX(Tabela1[[Nordic Combined - Men''s Individual]:[Nordic Combined - Men''s Team Sprint Large Hill]],MATCH(Table92[[#This Row],[Country]],Tabela1[Country], 0),0))</f>
        <v>0</v>
      </c>
      <c r="BI52" s="6">
        <f>SUM(INDEX(Tabela1[[Short track speed skating - Men''s 500m]:[Short track speed skating - Mixed 2000m Relay]],MATCH(Table92[[#This Row],[Country]],Tabela1[Country], 0),0))</f>
        <v>0</v>
      </c>
      <c r="BJ52" s="6">
        <f>SUM(INDEX(Tabela1[[Skeleton - Men''s Individual]:[Skeleton - Mixed Team]],MATCH(Table92[[#This Row],[Country]],Tabela1[Country], 0),0))</f>
        <v>0</v>
      </c>
      <c r="BK52" s="6">
        <f>SUM(INDEX(Tabela1[[Ski Jumping - Men''s Individual Large Hill]:[Ski Jumping - Mixed Team Normal Hill]],MATCH(Table92[[#This Row],[Country]],Tabela1[Country], 0),0))</f>
        <v>0</v>
      </c>
      <c r="BL52" s="6">
        <f>SUM(INDEX(Tabela1[[Ski Mountaineering - Men''s Sprint]:[Ski Mountaineering - Mixed Relay]],MATCH(Table92[[#This Row],[Country]],Tabela1[Country], 0),0))</f>
        <v>0</v>
      </c>
      <c r="BM52" s="6">
        <f>SUM(INDEX(Tabela1[[Snowboarding - Men''s Big Air]:[Snowboarding - Mixed Team Snowboard Cross]],MATCH(Table92[[#This Row],[Country]],Tabela1[Country], 0),0))</f>
        <v>0</v>
      </c>
      <c r="BN52" s="6">
        <f>SUM(INDEX(Tabela1[[Speed Skating - Men''s 500m]:[Speed Skating - Women''s Team Pursuit]],MATCH(Table92[[#This Row],[Country]],Tabela1[Country], 0),0))</f>
        <v>0</v>
      </c>
      <c r="BO52" s="6" t="str">
        <f>SUBSTITUTE(INDEX(Table92[[#Headers],[Archery Quotas]:[Speed Skating Quotas]], MATCH(MAX(Table92[[#This Row],[Archery Quotas]:[Speed Skating Quotas]]), Table92[[#This Row],[Archery Quotas]:[Speed Skating Quotas]], 0))," Quotas","")</f>
        <v>Judo</v>
      </c>
      <c r="BP52" s="6">
        <f>SUM(Table92[[#This Row],[Summer Sports]:[Winter Sports]])</f>
        <v>5</v>
      </c>
      <c r="BQ52" s="6">
        <f>COUNTIF(Table92[[#This Row],[Archery Quotas]:[Wrestling Quotas]],"&lt;&gt;0")</f>
        <v>4</v>
      </c>
      <c r="BR52" s="6">
        <f>COUNTIF(Table92[[#This Row],[Alpine Skiing Quotas]:[Speed Skating Quotas]],"&lt;&gt;0")</f>
        <v>1</v>
      </c>
      <c r="BS52" s="4" t="s">
        <v>581</v>
      </c>
    </row>
    <row r="53" spans="1:71" x14ac:dyDescent="0.3">
      <c r="A53" s="6" t="s">
        <v>400</v>
      </c>
      <c r="B53" t="e" vm="54">
        <f>IF(ISBLANK(Table92[[#This Row],[Flag Link]]), "", _xlfn.IMAGE(Table92[[#This Row],[Flag Link]],1,1))</f>
        <v>#VALUE!</v>
      </c>
      <c r="C53" s="6">
        <f>SUM(Table92[[#This Row],[Archery Quotas]:[Speed Skating Quotas]])</f>
        <v>12</v>
      </c>
      <c r="D53" s="6">
        <f>SUM(INDEX(Tabela1[[Archery - Men''s Individual Recurve]:[Archery - Mixed Team Recurve]],MATCH(Table92[[#This Row],[Country]],Tabela1[Country], 0),0))</f>
        <v>0</v>
      </c>
      <c r="E53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53" s="6">
        <f>SUM(INDEX(Tabela1[[Artistic Swimming - Women''s Duet]:[Artistic Swimming - Women''s Team]],MATCH(Table92[[#This Row],[Country]],Tabela1[Country], 0),0))</f>
        <v>0</v>
      </c>
      <c r="G53" s="6">
        <f>SUM(INDEX(Tabela1[[Athletics - Men''s 100m]:[Athletics - Women''s Heptathlon]],MATCH(Table92[[#This Row],[Country]],Tabela1[Country], 0),0))</f>
        <v>3</v>
      </c>
      <c r="H53" s="6">
        <f>SUM(INDEX(Tabela1[[Badminton - Men''s Singles]:[Badminton - Mixed Doubles]],MATCH(Table92[[#This Row],[Country]],Tabela1[Country], 0),0))</f>
        <v>0</v>
      </c>
      <c r="I53" s="6">
        <f>SUM(INDEX(Tabela1[[Basketball - Men''s Tournament]:[Basketball - Women''s Tournament]],MATCH(Table92[[#This Row],[Country]],Tabela1[Country], 0),0))</f>
        <v>0</v>
      </c>
      <c r="J53" s="6">
        <f>SUM(INDEX(Tabela1[[3x3 Basketball - Men''s Tournament]:[3x3 Basketball - Women''s Tournament]],MATCH(Table92[[#This Row],[Country]],Tabela1[Country], 0),0))</f>
        <v>0</v>
      </c>
      <c r="K53" s="6">
        <f>SUM(INDEX(Tabela1[[Beach Volleyball - Men''s Tournament]:[Beach Volleyball - Women''s Tournament]],MATCH(Table92[[#This Row],[Country]],Tabela1[Country], 0),0))</f>
        <v>0</v>
      </c>
      <c r="L53" s="6">
        <f>SUM(INDEX(Tabela1[[Boxing - Men''s 51kg]:[Boxing - Women''s 75kg]],MATCH(Table92[[#This Row],[Country]],Tabela1[Country], 0),0))</f>
        <v>1</v>
      </c>
      <c r="M53" s="6">
        <f>SUM(INDEX(Tabela1[[Breaking - Men''s Individual]:[Breaking - Women''s Individual]],MATCH(Table92[[#This Row],[Country]],Tabela1[Country], 0),0))</f>
        <v>0</v>
      </c>
      <c r="N53" s="6">
        <f>SUM(INDEX(Tabela1[[Canoeing - Men''s C1 Slalom]:[Canoeing - Women''s Kayak Cross Slalom]],MATCH(Table92[[#This Row],[Country]],Tabela1[Country], 0),0))</f>
        <v>0</v>
      </c>
      <c r="O53" s="6">
        <f>SUM(INDEX(Tabela1[[Canoeing - Women''s C1 200m]:[Canoeing - Women''s K4 500m]],MATCH(Table92[[#This Row],[Country]],Tabela1[Country], 0),0))</f>
        <v>0</v>
      </c>
      <c r="P53" s="6">
        <f>SUM(INDEX(Tabela1[[Cycling - Men''s BMX Freestyle]:[Cycling - Women''s BMX Freestyle]],MATCH(Table92[[#This Row],[Country]],Tabela1[Country], 0),0))</f>
        <v>0</v>
      </c>
      <c r="Q53" s="6">
        <f>SUM(INDEX(Tabela1[[Cycling - Men''s BMX Racing]:[Cycling - Women''s BMX Racing]],MATCH(Table92[[#This Row],[Country]],Tabela1[Country], 0),0))</f>
        <v>0</v>
      </c>
      <c r="R53" s="6">
        <f>SUM(INDEX(Tabela1[[Cycling - Men''s Cross-Country]:[Cycling - Women''s Cross-Country]],MATCH(Table92[[#This Row],[Country]],Tabela1[Country], 0),0))</f>
        <v>0</v>
      </c>
      <c r="S53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53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53" s="6">
        <f>SUM(INDEX(Tabela1[[Diving - Men''s Springboard]:[Diving - Women''s Synchronized Platform]],MATCH(Table92[[#This Row],[Country]],Tabela1[Country], 0),0))</f>
        <v>0</v>
      </c>
      <c r="V53" s="6">
        <f>SUM(INDEX(Tabela1[[Equestrian - Individual Dressage]:[Equestrian - Team Dressage]],MATCH(Table92[[#This Row],[Country]],Tabela1[Country], 0),0))</f>
        <v>0</v>
      </c>
      <c r="W53" s="6">
        <f>SUM(INDEX(Tabela1[[Equestrian - Individual Eventing]:[Equestrian - Team Eventing]],MATCH(Table92[[#This Row],[Country]],Tabela1[Country], 0),0))</f>
        <v>1</v>
      </c>
      <c r="X53" s="6">
        <f>SUM(INDEX(Tabela1[[Equestrian - Individual Jumping]:[Equestrian - Team Jumping]],MATCH(Table92[[#This Row],[Country]],Tabela1[Country], 0),0))</f>
        <v>0</v>
      </c>
      <c r="Y53" s="6">
        <f>SUM(INDEX(Tabela1[[Fencing - Men''s Épée]:[Fencing - Women''s Team Sabre]],MATCH(Table92[[#This Row],[Country]],Tabela1[Country], 0),0))</f>
        <v>0</v>
      </c>
      <c r="Z53" s="6">
        <f>SUM(INDEX(Tabela1[[Field Hockey - Men''s Tournament]:[Field Hockey - Women''s Tournament]],MATCH(Table92[[#This Row],[Country]],Tabela1[Country], 0),0))</f>
        <v>0</v>
      </c>
      <c r="AA53" s="6">
        <f>SUM(INDEX(Tabela1[[Football - Men''s Tournament]:[Football - Women''s Tournament]],MATCH(Table92[[#This Row],[Country]],Tabela1[Country], 0),0))</f>
        <v>0</v>
      </c>
      <c r="AB53" s="6">
        <f>SUM(INDEX(Tabela1[[Golf - Men''s Individual]:[Golf - Women''s Individual]],MATCH(Table92[[#This Row],[Country]],Tabela1[Country], 0),0))</f>
        <v>0</v>
      </c>
      <c r="AC53" s="6">
        <f>SUM(INDEX(Tabela1[[Handball - Men''s Tournament]:[Handball - Women''s Tournament]],MATCH(Table92[[#This Row],[Country]],Tabela1[Country], 0),0))</f>
        <v>0</v>
      </c>
      <c r="AD53" s="6">
        <f>SUM(INDEX(Tabela1[[Judo - Men''s 60kg]:[Judo - Mixed Team]],MATCH(Table92[[#This Row],[Country]],Tabela1[Country], 0),0))</f>
        <v>0</v>
      </c>
      <c r="AE53" s="6">
        <f>SUM(INDEX(Tabela1[[Swimming - Men''s 10km Open Water]:[Swimming - Women''s 10km Open Water]],MATCH(Table92[[#This Row],[Country]],Tabela1[Country], 0),0))</f>
        <v>0</v>
      </c>
      <c r="AF53" s="6">
        <f>SUM(INDEX(Tabela1[[Modern Pentathlon - Men''s Individual]:[Modern Pentathlon - Women''s Individual]],MATCH(Table92[[#This Row],[Country]],Tabela1[Country], 0),0))</f>
        <v>2</v>
      </c>
      <c r="AG53" s="6">
        <f>SUM(INDEX(Tabela1[[Rhythmic Gymnastics - Women''s Individual All-Around]:[Rhythmic Gymnastics - Women''s Group All-Around]],MATCH(Table92[[#This Row],[Country]],Tabela1[Country], 0),0))</f>
        <v>0</v>
      </c>
      <c r="AH53" s="6">
        <f>SUM(INDEX(Tabela1[[Rowing - Men''s Single Sculls]:[Rowing - Women''s Lwt. Double Sculls]],MATCH(Table92[[#This Row],[Country]],Tabela1[Country], 0),0))</f>
        <v>0</v>
      </c>
      <c r="AI53" s="6">
        <f>SUM(INDEX(Tabela1[[Rugby Sevens - Men''s Tournament]:[Rugby Sevens - Women''s Tournament]],MATCH(Table92[[#This Row],[Country]],Tabela1[Country], 0),0))</f>
        <v>0</v>
      </c>
      <c r="AJ53" s="6">
        <f>SUM(INDEX(Tabela1[[Sailing - Mixed 470]:[Sailing - Mixed Nacra 17]],MATCH(Table92[[#This Row],[Country]],Tabela1[Country], 0),0))</f>
        <v>0</v>
      </c>
      <c r="AK53" s="6">
        <f>SUM(INDEX(Tabela1[[Shooting - Men''s 10m Air Pistol]:[Shooting - Women''s Trap]],MATCH(Table92[[#This Row],[Country]],Tabela1[Country], 0),0))</f>
        <v>2</v>
      </c>
      <c r="AL53" s="6">
        <f>SUM(INDEX(Tabela1[[Skateboarding - Men''s Park]:[Skateboarding - Women''s Street]],MATCH(Table92[[#This Row],[Country]],Tabela1[Country], 0),0))</f>
        <v>0</v>
      </c>
      <c r="AM53" s="6">
        <f>SUM(INDEX(Tabela1[[Sport Climbing - Men''s Boulder and Lead]:[Sport Climbing - Women''s Speed]],MATCH(Table92[[#This Row],[Country]],Tabela1[Country], 0),0))</f>
        <v>0</v>
      </c>
      <c r="AN53" s="6">
        <f>SUM(INDEX(Tabela1[[Surfing - Men''s Shortboard]:[Surfing - Women''s Shortboard]],MATCH(Table92[[#This Row],[Country]],Tabela1[Country], 0),0))</f>
        <v>0</v>
      </c>
      <c r="AO53" s="6">
        <f>SUM(INDEX(Tabela1[[Swimming - Men''s 50m Freestyle]:[Swimming - Mixed 4x100m Medley Relay]],MATCH(Table92[[#This Row],[Country]],Tabela1[Country], 0),0))</f>
        <v>2</v>
      </c>
      <c r="AP53" s="6">
        <f>SUM(INDEX(Tabela1[[Table Tennis - Men''s Singles]:[Table Tennis - Mixed Doubles]],MATCH(Table92[[#This Row],[Country]],Tabela1[Country], 0),0))</f>
        <v>0</v>
      </c>
      <c r="AQ53" s="6">
        <f>SUM(INDEX(Tabela1[[Taekwondo - Men''s 58kg]:[Taekwondo - Women''s +67kg]],MATCH(Table92[[#This Row],[Country]],Tabela1[Country], 0),0))</f>
        <v>0</v>
      </c>
      <c r="AR53" s="6">
        <f>SUM(INDEX(Tabela1[[Tennis - Men''s Singles]:[Tennis - Mixed Doubles]],MATCH(Table92[[#This Row],[Country]],Tabela1[Country], 0),0))</f>
        <v>0</v>
      </c>
      <c r="AS53" s="6">
        <f>SUM(INDEX(Tabela1[[Gymnastics - Men''s Trampoline]:[Gymnastics - Women''s Trampoline]],MATCH(Table92[[#This Row],[Country]],Tabela1[Country], 0),0))</f>
        <v>0</v>
      </c>
      <c r="AT53" s="6">
        <f>SUM(INDEX(Tabela1[[Triathlon - Men''s Individual]:[Triathlon - Mixed Relay]],MATCH(Table92[[#This Row],[Country]],Tabela1[Country], 0),0))</f>
        <v>0</v>
      </c>
      <c r="AU53" s="6">
        <f>SUM(INDEX(Tabela1[[Volleyball - Men''s Tournament]:[Volleyball - Women''s Tournament]],MATCH(Table92[[#This Row],[Country]],Tabela1[Country], 0),0))</f>
        <v>0</v>
      </c>
      <c r="AV53" s="6">
        <f>SUM(INDEX(Tabela1[[Water Polo - Men''s Tournament]:[Water Polo - Women''s Tournament]],MATCH(Table92[[#This Row],[Country]],Tabela1[Country], 0),0))</f>
        <v>0</v>
      </c>
      <c r="AW53" s="6">
        <f>SUM(INDEX(Tabela1[[Weightlifting - Men''s 61kg]:[Weightlifting - Women''s +81kg]],MATCH(Table92[[#This Row],[Country]],Tabela1[Country], 0),0))</f>
        <v>0</v>
      </c>
      <c r="AX53" s="6">
        <f>SUM(INDEX(Tabela1[[Wrestling - Men''s Freestyle 57kg]:[Wrestling - Women''s Freestyle 76kg]],MATCH(Table92[[#This Row],[Country]],Tabela1[Country], 0),0))</f>
        <v>1</v>
      </c>
      <c r="AY53" s="6">
        <f>SUM(INDEX(Tabela1[[Alpine Skiing - Men''s Downhill]:[Alpine Skiing - Women''s Team Combined]],MATCH(Table92[[#This Row],[Country]],Tabela1[Country], 0),0))</f>
        <v>0</v>
      </c>
      <c r="AZ53" s="6">
        <f>SUM(INDEX(Tabela1[[Biathlon - Men''s Individual]:[Biathlon - Mixed Relay]],MATCH(Table92[[#This Row],[Country]],Tabela1[Country], 0),0))</f>
        <v>0</v>
      </c>
      <c r="BA53" s="6">
        <f>SUM(INDEX(Tabela1[[Bobsleigh - Women''s Monobob]:[Bobsleigh - Men''s Four]],MATCH(Table92[[#This Row],[Country]],Tabela1[Country], 0),0))</f>
        <v>0</v>
      </c>
      <c r="BB53" s="6">
        <f>SUM(INDEX(Tabela1[[Cross-country skiing - Men''s Classical]:[Cross-country skiing - Women''s Team Sprint]],MATCH(Table92[[#This Row],[Country]],Tabela1[Country], 0),0))</f>
        <v>0</v>
      </c>
      <c r="BC53" s="6">
        <f>SUM(INDEX(Tabela1[[Curling - Men''s Tournament]:[Curling - Mixed Doubles]],MATCH(Table92[[#This Row],[Country]],Tabela1[Country], 0),0))</f>
        <v>0</v>
      </c>
      <c r="BD53" s="6">
        <f>SUM(INDEX(Tabela1[[Figure Skating - Men''s Singles]:[Figure Skating - Team Event]],MATCH(Table92[[#This Row],[Country]],Tabela1[Country], 0),0))</f>
        <v>0</v>
      </c>
      <c r="BE53" s="6">
        <f>SUM(INDEX(Tabela1[[Freestyle Skiing - Men''s Aerials]:[Freestyle Skiing - Women''s Slopestyle]],MATCH(Table92[[#This Row],[Country]],Tabela1[Country], 0),0))</f>
        <v>0</v>
      </c>
      <c r="BF53" s="6">
        <f>SUM(INDEX(Tabela1[[Ice Hockey - Men''s Tournament]:[Ice Hockey - Women''s Tournament]],MATCH(Table92[[#This Row],[Country]],Tabela1[Country], 0),0))</f>
        <v>0</v>
      </c>
      <c r="BG53" s="6">
        <f>SUM(INDEX(Tabela1[[Luge - Men''s Singles]:[Luge - Mixed Team Relay]],MATCH(Table92[[#This Row],[Country]],Tabela1[Country], 0),0))</f>
        <v>0</v>
      </c>
      <c r="BH53" s="6">
        <f>SUM(INDEX(Tabela1[[Nordic Combined - Men''s Individual]:[Nordic Combined - Men''s Team Sprint Large Hill]],MATCH(Table92[[#This Row],[Country]],Tabela1[Country], 0),0))</f>
        <v>0</v>
      </c>
      <c r="BI53" s="6">
        <f>SUM(INDEX(Tabela1[[Short track speed skating - Men''s 500m]:[Short track speed skating - Mixed 2000m Relay]],MATCH(Table92[[#This Row],[Country]],Tabela1[Country], 0),0))</f>
        <v>0</v>
      </c>
      <c r="BJ53" s="6">
        <f>SUM(INDEX(Tabela1[[Skeleton - Men''s Individual]:[Skeleton - Mixed Team]],MATCH(Table92[[#This Row],[Country]],Tabela1[Country], 0),0))</f>
        <v>0</v>
      </c>
      <c r="BK53" s="6">
        <f>SUM(INDEX(Tabela1[[Ski Jumping - Men''s Individual Large Hill]:[Ski Jumping - Mixed Team Normal Hill]],MATCH(Table92[[#This Row],[Country]],Tabela1[Country], 0),0))</f>
        <v>0</v>
      </c>
      <c r="BL53" s="6">
        <f>SUM(INDEX(Tabela1[[Ski Mountaineering - Men''s Sprint]:[Ski Mountaineering - Mixed Relay]],MATCH(Table92[[#This Row],[Country]],Tabela1[Country], 0),0))</f>
        <v>0</v>
      </c>
      <c r="BM53" s="6">
        <f>SUM(INDEX(Tabela1[[Snowboarding - Men''s Big Air]:[Snowboarding - Mixed Team Snowboard Cross]],MATCH(Table92[[#This Row],[Country]],Tabela1[Country], 0),0))</f>
        <v>0</v>
      </c>
      <c r="BN53" s="6">
        <f>SUM(INDEX(Tabela1[[Speed Skating - Men''s 500m]:[Speed Skating - Women''s Team Pursuit]],MATCH(Table92[[#This Row],[Country]],Tabela1[Country], 0),0))</f>
        <v>0</v>
      </c>
      <c r="BO53" s="6" t="str">
        <f>SUBSTITUTE(INDEX(Table92[[#Headers],[Archery Quotas]:[Speed Skating Quotas]], MATCH(MAX(Table92[[#This Row],[Archery Quotas]:[Speed Skating Quotas]]), Table92[[#This Row],[Archery Quotas]:[Speed Skating Quotas]], 0))," Quotas","")</f>
        <v>Athletics</v>
      </c>
      <c r="BP53" s="6">
        <f>SUM(Table92[[#This Row],[Summer Sports]:[Winter Sports]])</f>
        <v>7</v>
      </c>
      <c r="BQ53" s="6">
        <f>COUNTIF(Table92[[#This Row],[Archery Quotas]:[Wrestling Quotas]],"&lt;&gt;0")</f>
        <v>7</v>
      </c>
      <c r="BR53" s="6">
        <f>COUNTIF(Table92[[#This Row],[Alpine Skiing Quotas]:[Speed Skating Quotas]],"&lt;&gt;0")</f>
        <v>0</v>
      </c>
      <c r="BS53" s="3" t="s">
        <v>401</v>
      </c>
    </row>
    <row r="54" spans="1:71" x14ac:dyDescent="0.3">
      <c r="A54" s="6" t="s">
        <v>588</v>
      </c>
      <c r="B54" t="e" vm="52">
        <f>IF(ISBLANK(Table92[[#This Row],[Flag Link]]), "", _xlfn.IMAGE(Table92[[#This Row],[Flag Link]],1,1))</f>
        <v>#VALUE!</v>
      </c>
      <c r="C54" s="6">
        <f>SUM(Table92[[#This Row],[Archery Quotas]:[Speed Skating Quotas]])</f>
        <v>12</v>
      </c>
      <c r="D54" s="6">
        <f>SUM(INDEX(Tabela1[[Archery - Men''s Individual Recurve]:[Archery - Mixed Team Recurve]],MATCH(Table92[[#This Row],[Country]],Tabela1[Country], 0),0))</f>
        <v>0</v>
      </c>
      <c r="E54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4</v>
      </c>
      <c r="F54" s="6">
        <f>SUM(INDEX(Tabela1[[Artistic Swimming - Women''s Duet]:[Artistic Swimming - Women''s Team]],MATCH(Table92[[#This Row],[Country]],Tabela1[Country], 0),0))</f>
        <v>0</v>
      </c>
      <c r="G54" s="6">
        <f>SUM(INDEX(Tabela1[[Athletics - Men''s 100m]:[Athletics - Women''s Heptathlon]],MATCH(Table92[[#This Row],[Country]],Tabela1[Country], 0),0))</f>
        <v>1</v>
      </c>
      <c r="H54" s="6">
        <f>SUM(INDEX(Tabela1[[Badminton - Men''s Singles]:[Badminton - Mixed Doubles]],MATCH(Table92[[#This Row],[Country]],Tabela1[Country], 0),0))</f>
        <v>0</v>
      </c>
      <c r="I54" s="6">
        <f>SUM(INDEX(Tabela1[[Basketball - Men''s Tournament]:[Basketball - Women''s Tournament]],MATCH(Table92[[#This Row],[Country]],Tabela1[Country], 0),0))</f>
        <v>0</v>
      </c>
      <c r="J54" s="6">
        <f>SUM(INDEX(Tabela1[[3x3 Basketball - Men''s Tournament]:[3x3 Basketball - Women''s Tournament]],MATCH(Table92[[#This Row],[Country]],Tabela1[Country], 0),0))</f>
        <v>0</v>
      </c>
      <c r="K54" s="6">
        <f>SUM(INDEX(Tabela1[[Beach Volleyball - Men''s Tournament]:[Beach Volleyball - Women''s Tournament]],MATCH(Table92[[#This Row],[Country]],Tabela1[Country], 0),0))</f>
        <v>0</v>
      </c>
      <c r="L54" s="6">
        <f>SUM(INDEX(Tabela1[[Boxing - Men''s 51kg]:[Boxing - Women''s 75kg]],MATCH(Table92[[#This Row],[Country]],Tabela1[Country], 0),0))</f>
        <v>0</v>
      </c>
      <c r="M54" s="6">
        <f>SUM(INDEX(Tabela1[[Breaking - Men''s Individual]:[Breaking - Women''s Individual]],MATCH(Table92[[#This Row],[Country]],Tabela1[Country], 0),0))</f>
        <v>0</v>
      </c>
      <c r="N54" s="6">
        <f>SUM(INDEX(Tabela1[[Canoeing - Men''s C1 Slalom]:[Canoeing - Women''s Kayak Cross Slalom]],MATCH(Table92[[#This Row],[Country]],Tabela1[Country], 0),0))</f>
        <v>0</v>
      </c>
      <c r="O54" s="6">
        <f>SUM(INDEX(Tabela1[[Canoeing - Women''s C1 200m]:[Canoeing - Women''s K4 500m]],MATCH(Table92[[#This Row],[Country]],Tabela1[Country], 0),0))</f>
        <v>0</v>
      </c>
      <c r="P54" s="6">
        <f>SUM(INDEX(Tabela1[[Cycling - Men''s BMX Freestyle]:[Cycling - Women''s BMX Freestyle]],MATCH(Table92[[#This Row],[Country]],Tabela1[Country], 0),0))</f>
        <v>0</v>
      </c>
      <c r="Q54" s="6">
        <f>SUM(INDEX(Tabela1[[Cycling - Men''s BMX Racing]:[Cycling - Women''s BMX Racing]],MATCH(Table92[[#This Row],[Country]],Tabela1[Country], 0),0))</f>
        <v>0</v>
      </c>
      <c r="R54" s="6">
        <f>SUM(INDEX(Tabela1[[Cycling - Men''s Cross-Country]:[Cycling - Women''s Cross-Country]],MATCH(Table92[[#This Row],[Country]],Tabela1[Country], 0),0))</f>
        <v>0</v>
      </c>
      <c r="S54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54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54" s="6">
        <f>SUM(INDEX(Tabela1[[Diving - Men''s Springboard]:[Diving - Women''s Synchronized Platform]],MATCH(Table92[[#This Row],[Country]],Tabela1[Country], 0),0))</f>
        <v>0</v>
      </c>
      <c r="V54" s="6">
        <f>SUM(INDEX(Tabela1[[Equestrian - Individual Dressage]:[Equestrian - Team Dressage]],MATCH(Table92[[#This Row],[Country]],Tabela1[Country], 0),0))</f>
        <v>0</v>
      </c>
      <c r="W54" s="6">
        <f>SUM(INDEX(Tabela1[[Equestrian - Individual Eventing]:[Equestrian - Team Eventing]],MATCH(Table92[[#This Row],[Country]],Tabela1[Country], 0),0))</f>
        <v>0</v>
      </c>
      <c r="X54" s="6">
        <f>SUM(INDEX(Tabela1[[Equestrian - Individual Jumping]:[Equestrian - Team Jumping]],MATCH(Table92[[#This Row],[Country]],Tabela1[Country], 0),0))</f>
        <v>0</v>
      </c>
      <c r="Y54" s="6">
        <f>SUM(INDEX(Tabela1[[Fencing - Men''s Épée]:[Fencing - Women''s Team Sabre]],MATCH(Table92[[#This Row],[Country]],Tabela1[Country], 0),0))</f>
        <v>0</v>
      </c>
      <c r="Z54" s="6">
        <f>SUM(INDEX(Tabela1[[Field Hockey - Men''s Tournament]:[Field Hockey - Women''s Tournament]],MATCH(Table92[[#This Row],[Country]],Tabela1[Country], 0),0))</f>
        <v>0</v>
      </c>
      <c r="AA54" s="6">
        <f>SUM(INDEX(Tabela1[[Football - Men''s Tournament]:[Football - Women''s Tournament]],MATCH(Table92[[#This Row],[Country]],Tabela1[Country], 0),0))</f>
        <v>0</v>
      </c>
      <c r="AB54" s="6">
        <f>SUM(INDEX(Tabela1[[Golf - Men''s Individual]:[Golf - Women''s Individual]],MATCH(Table92[[#This Row],[Country]],Tabela1[Country], 0),0))</f>
        <v>0</v>
      </c>
      <c r="AC54" s="6">
        <f>SUM(INDEX(Tabela1[[Handball - Men''s Tournament]:[Handball - Women''s Tournament]],MATCH(Table92[[#This Row],[Country]],Tabela1[Country], 0),0))</f>
        <v>0</v>
      </c>
      <c r="AD54" s="6">
        <f>SUM(INDEX(Tabela1[[Judo - Men''s 60kg]:[Judo - Mixed Team]],MATCH(Table92[[#This Row],[Country]],Tabela1[Country], 0),0))</f>
        <v>0</v>
      </c>
      <c r="AE54" s="6">
        <f>SUM(INDEX(Tabela1[[Swimming - Men''s 10km Open Water]:[Swimming - Women''s 10km Open Water]],MATCH(Table92[[#This Row],[Country]],Tabela1[Country], 0),0))</f>
        <v>0</v>
      </c>
      <c r="AF54" s="6">
        <f>SUM(INDEX(Tabela1[[Modern Pentathlon - Men''s Individual]:[Modern Pentathlon - Women''s Individual]],MATCH(Table92[[#This Row],[Country]],Tabela1[Country], 0),0))</f>
        <v>0</v>
      </c>
      <c r="AG54" s="6">
        <f>SUM(INDEX(Tabela1[[Rhythmic Gymnastics - Women''s Individual All-Around]:[Rhythmic Gymnastics - Women''s Group All-Around]],MATCH(Table92[[#This Row],[Country]],Tabela1[Country], 0),0))</f>
        <v>0</v>
      </c>
      <c r="AH54" s="6">
        <f>SUM(INDEX(Tabela1[[Rowing - Men''s Single Sculls]:[Rowing - Women''s Lwt. Double Sculls]],MATCH(Table92[[#This Row],[Country]],Tabela1[Country], 0),0))</f>
        <v>0</v>
      </c>
      <c r="AI54" s="6">
        <f>SUM(INDEX(Tabela1[[Rugby Sevens - Men''s Tournament]:[Rugby Sevens - Women''s Tournament]],MATCH(Table92[[#This Row],[Country]],Tabela1[Country], 0),0))</f>
        <v>0</v>
      </c>
      <c r="AJ54" s="6">
        <f>SUM(INDEX(Tabela1[[Sailing - Mixed 470]:[Sailing - Mixed Nacra 17]],MATCH(Table92[[#This Row],[Country]],Tabela1[Country], 0),0))</f>
        <v>0</v>
      </c>
      <c r="AK54" s="6">
        <f>SUM(INDEX(Tabela1[[Shooting - Men''s 10m Air Pistol]:[Shooting - Women''s Trap]],MATCH(Table92[[#This Row],[Country]],Tabela1[Country], 0),0))</f>
        <v>0</v>
      </c>
      <c r="AL54" s="6">
        <f>SUM(INDEX(Tabela1[[Skateboarding - Men''s Park]:[Skateboarding - Women''s Street]],MATCH(Table92[[#This Row],[Country]],Tabela1[Country], 0),0))</f>
        <v>0</v>
      </c>
      <c r="AM54" s="6">
        <f>SUM(INDEX(Tabela1[[Sport Climbing - Men''s Boulder and Lead]:[Sport Climbing - Women''s Speed]],MATCH(Table92[[#This Row],[Country]],Tabela1[Country], 0),0))</f>
        <v>0</v>
      </c>
      <c r="AN54" s="6">
        <f>SUM(INDEX(Tabela1[[Surfing - Men''s Shortboard]:[Surfing - Women''s Shortboard]],MATCH(Table92[[#This Row],[Country]],Tabela1[Country], 0),0))</f>
        <v>0</v>
      </c>
      <c r="AO54" s="6">
        <f>SUM(INDEX(Tabela1[[Swimming - Men''s 50m Freestyle]:[Swimming - Mixed 4x100m Medley Relay]],MATCH(Table92[[#This Row],[Country]],Tabela1[Country], 0),0))</f>
        <v>1</v>
      </c>
      <c r="AP54" s="6">
        <f>SUM(INDEX(Tabela1[[Table Tennis - Men''s Singles]:[Table Tennis - Mixed Doubles]],MATCH(Table92[[#This Row],[Country]],Tabela1[Country], 0),0))</f>
        <v>0</v>
      </c>
      <c r="AQ54" s="6">
        <f>SUM(INDEX(Tabela1[[Taekwondo - Men''s 58kg]:[Taekwondo - Women''s +67kg]],MATCH(Table92[[#This Row],[Country]],Tabela1[Country], 0),0))</f>
        <v>0</v>
      </c>
      <c r="AR54" s="6">
        <f>SUM(INDEX(Tabela1[[Tennis - Men''s Singles]:[Tennis - Mixed Doubles]],MATCH(Table92[[#This Row],[Country]],Tabela1[Country], 0),0))</f>
        <v>0</v>
      </c>
      <c r="AS54" s="6">
        <f>SUM(INDEX(Tabela1[[Gymnastics - Men''s Trampoline]:[Gymnastics - Women''s Trampoline]],MATCH(Table92[[#This Row],[Country]],Tabela1[Country], 0),0))</f>
        <v>0</v>
      </c>
      <c r="AT54" s="6">
        <f>SUM(INDEX(Tabela1[[Triathlon - Men''s Individual]:[Triathlon - Mixed Relay]],MATCH(Table92[[#This Row],[Country]],Tabela1[Country], 0),0))</f>
        <v>0</v>
      </c>
      <c r="AU54" s="6">
        <f>SUM(INDEX(Tabela1[[Volleyball - Men''s Tournament]:[Volleyball - Women''s Tournament]],MATCH(Table92[[#This Row],[Country]],Tabela1[Country], 0),0))</f>
        <v>0</v>
      </c>
      <c r="AV54" s="6">
        <f>SUM(INDEX(Tabela1[[Water Polo - Men''s Tournament]:[Water Polo - Women''s Tournament]],MATCH(Table92[[#This Row],[Country]],Tabela1[Country], 0),0))</f>
        <v>0</v>
      </c>
      <c r="AW54" s="6">
        <f>SUM(INDEX(Tabela1[[Weightlifting - Men''s 61kg]:[Weightlifting - Women''s +81kg]],MATCH(Table92[[#This Row],[Country]],Tabela1[Country], 0),0))</f>
        <v>0</v>
      </c>
      <c r="AX54" s="6">
        <f>SUM(INDEX(Tabela1[[Wrestling - Men''s Freestyle 57kg]:[Wrestling - Women''s Freestyle 76kg]],MATCH(Table92[[#This Row],[Country]],Tabela1[Country], 0),0))</f>
        <v>0</v>
      </c>
      <c r="AY54" s="6">
        <f>SUM(INDEX(Tabela1[[Alpine Skiing - Men''s Downhill]:[Alpine Skiing - Women''s Team Combined]],MATCH(Table92[[#This Row],[Country]],Tabela1[Country], 0),0))</f>
        <v>2</v>
      </c>
      <c r="AZ54" s="6">
        <f>SUM(INDEX(Tabela1[[Biathlon - Men''s Individual]:[Biathlon - Mixed Relay]],MATCH(Table92[[#This Row],[Country]],Tabela1[Country], 0),0))</f>
        <v>0</v>
      </c>
      <c r="BA54" s="6">
        <f>SUM(INDEX(Tabela1[[Bobsleigh - Women''s Monobob]:[Bobsleigh - Men''s Four]],MATCH(Table92[[#This Row],[Country]],Tabela1[Country], 0),0))</f>
        <v>0</v>
      </c>
      <c r="BB54" s="6">
        <f>SUM(INDEX(Tabela1[[Cross-country skiing - Men''s Classical]:[Cross-country skiing - Women''s Team Sprint]],MATCH(Table92[[#This Row],[Country]],Tabela1[Country], 0),0))</f>
        <v>4</v>
      </c>
      <c r="BC54" s="6">
        <f>SUM(INDEX(Tabela1[[Curling - Men''s Tournament]:[Curling - Mixed Doubles]],MATCH(Table92[[#This Row],[Country]],Tabela1[Country], 0),0))</f>
        <v>0</v>
      </c>
      <c r="BD54" s="6">
        <f>SUM(INDEX(Tabela1[[Figure Skating - Men''s Singles]:[Figure Skating - Team Event]],MATCH(Table92[[#This Row],[Country]],Tabela1[Country], 0),0))</f>
        <v>0</v>
      </c>
      <c r="BE54" s="6">
        <f>SUM(INDEX(Tabela1[[Freestyle Skiing - Men''s Aerials]:[Freestyle Skiing - Women''s Slopestyle]],MATCH(Table92[[#This Row],[Country]],Tabela1[Country], 0),0))</f>
        <v>0</v>
      </c>
      <c r="BF54" s="6">
        <f>SUM(INDEX(Tabela1[[Ice Hockey - Men''s Tournament]:[Ice Hockey - Women''s Tournament]],MATCH(Table92[[#This Row],[Country]],Tabela1[Country], 0),0))</f>
        <v>0</v>
      </c>
      <c r="BG54" s="6">
        <f>SUM(INDEX(Tabela1[[Luge - Men''s Singles]:[Luge - Mixed Team Relay]],MATCH(Table92[[#This Row],[Country]],Tabela1[Country], 0),0))</f>
        <v>0</v>
      </c>
      <c r="BH54" s="6">
        <f>SUM(INDEX(Tabela1[[Nordic Combined - Men''s Individual]:[Nordic Combined - Men''s Team Sprint Large Hill]],MATCH(Table92[[#This Row],[Country]],Tabela1[Country], 0),0))</f>
        <v>0</v>
      </c>
      <c r="BI54" s="6">
        <f>SUM(INDEX(Tabela1[[Short track speed skating - Men''s 500m]:[Short track speed skating - Mixed 2000m Relay]],MATCH(Table92[[#This Row],[Country]],Tabela1[Country], 0),0))</f>
        <v>0</v>
      </c>
      <c r="BJ54" s="6">
        <f>SUM(INDEX(Tabela1[[Skeleton - Men''s Individual]:[Skeleton - Mixed Team]],MATCH(Table92[[#This Row],[Country]],Tabela1[Country], 0),0))</f>
        <v>0</v>
      </c>
      <c r="BK54" s="6">
        <f>SUM(INDEX(Tabela1[[Ski Jumping - Men''s Individual Large Hill]:[Ski Jumping - Mixed Team Normal Hill]],MATCH(Table92[[#This Row],[Country]],Tabela1[Country], 0),0))</f>
        <v>0</v>
      </c>
      <c r="BL54" s="6">
        <f>SUM(INDEX(Tabela1[[Ski Mountaineering - Men''s Sprint]:[Ski Mountaineering - Mixed Relay]],MATCH(Table92[[#This Row],[Country]],Tabela1[Country], 0),0))</f>
        <v>0</v>
      </c>
      <c r="BM54" s="6">
        <f>SUM(INDEX(Tabela1[[Snowboarding - Men''s Big Air]:[Snowboarding - Mixed Team Snowboard Cross]],MATCH(Table92[[#This Row],[Country]],Tabela1[Country], 0),0))</f>
        <v>0</v>
      </c>
      <c r="BN54" s="6">
        <f>SUM(INDEX(Tabela1[[Speed Skating - Men''s 500m]:[Speed Skating - Women''s Team Pursuit]],MATCH(Table92[[#This Row],[Country]],Tabela1[Country], 0),0))</f>
        <v>0</v>
      </c>
      <c r="BO54" s="6" t="str">
        <f>SUBSTITUTE(INDEX(Table92[[#Headers],[Archery Quotas]:[Speed Skating Quotas]], MATCH(MAX(Table92[[#This Row],[Archery Quotas]:[Speed Skating Quotas]]), Table92[[#This Row],[Archery Quotas]:[Speed Skating Quotas]], 0))," Quotas","")</f>
        <v>Artistic Gymnastics</v>
      </c>
      <c r="BP54" s="6">
        <f>SUM(Table92[[#This Row],[Summer Sports]:[Winter Sports]])</f>
        <v>5</v>
      </c>
      <c r="BQ54" s="6">
        <f>COUNTIF(Table92[[#This Row],[Archery Quotas]:[Wrestling Quotas]],"&lt;&gt;0")</f>
        <v>3</v>
      </c>
      <c r="BR54" s="6">
        <f>COUNTIF(Table92[[#This Row],[Alpine Skiing Quotas]:[Speed Skating Quotas]],"&lt;&gt;0")</f>
        <v>2</v>
      </c>
      <c r="BS54" s="4" t="s">
        <v>589</v>
      </c>
    </row>
    <row r="55" spans="1:71" x14ac:dyDescent="0.3">
      <c r="A55" s="6" t="s">
        <v>436</v>
      </c>
      <c r="B55" t="e" vm="53">
        <f>IF(ISBLANK(Table92[[#This Row],[Flag Link]]), "", _xlfn.IMAGE(Table92[[#This Row],[Flag Link]],1,1))</f>
        <v>#VALUE!</v>
      </c>
      <c r="C55" s="6">
        <f>SUM(Table92[[#This Row],[Archery Quotas]:[Speed Skating Quotas]])</f>
        <v>12</v>
      </c>
      <c r="D55" s="6">
        <f>SUM(INDEX(Tabela1[[Archery - Men''s Individual Recurve]:[Archery - Mixed Team Recurve]],MATCH(Table92[[#This Row],[Country]],Tabela1[Country], 0),0))</f>
        <v>0</v>
      </c>
      <c r="E55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55" s="6">
        <f>SUM(INDEX(Tabela1[[Artistic Swimming - Women''s Duet]:[Artistic Swimming - Women''s Team]],MATCH(Table92[[#This Row],[Country]],Tabela1[Country], 0),0))</f>
        <v>0</v>
      </c>
      <c r="G55" s="6">
        <f>SUM(INDEX(Tabela1[[Athletics - Men''s 100m]:[Athletics - Women''s Heptathlon]],MATCH(Table92[[#This Row],[Country]],Tabela1[Country], 0),0))</f>
        <v>11</v>
      </c>
      <c r="H55" s="6">
        <f>SUM(INDEX(Tabela1[[Badminton - Men''s Singles]:[Badminton - Mixed Doubles]],MATCH(Table92[[#This Row],[Country]],Tabela1[Country], 0),0))</f>
        <v>0</v>
      </c>
      <c r="I55" s="6">
        <f>SUM(INDEX(Tabela1[[Basketball - Men''s Tournament]:[Basketball - Women''s Tournament]],MATCH(Table92[[#This Row],[Country]],Tabela1[Country], 0),0))</f>
        <v>0</v>
      </c>
      <c r="J55" s="6">
        <f>SUM(INDEX(Tabela1[[3x3 Basketball - Men''s Tournament]:[3x3 Basketball - Women''s Tournament]],MATCH(Table92[[#This Row],[Country]],Tabela1[Country], 0),0))</f>
        <v>0</v>
      </c>
      <c r="K55" s="6">
        <f>SUM(INDEX(Tabela1[[Beach Volleyball - Men''s Tournament]:[Beach Volleyball - Women''s Tournament]],MATCH(Table92[[#This Row],[Country]],Tabela1[Country], 0),0))</f>
        <v>0</v>
      </c>
      <c r="L55" s="6">
        <f>SUM(INDEX(Tabela1[[Boxing - Men''s 51kg]:[Boxing - Women''s 75kg]],MATCH(Table92[[#This Row],[Country]],Tabela1[Country], 0),0))</f>
        <v>0</v>
      </c>
      <c r="M55" s="6">
        <f>SUM(INDEX(Tabela1[[Breaking - Men''s Individual]:[Breaking - Women''s Individual]],MATCH(Table92[[#This Row],[Country]],Tabela1[Country], 0),0))</f>
        <v>0</v>
      </c>
      <c r="N55" s="6">
        <f>SUM(INDEX(Tabela1[[Canoeing - Men''s C1 Slalom]:[Canoeing - Women''s Kayak Cross Slalom]],MATCH(Table92[[#This Row],[Country]],Tabela1[Country], 0),0))</f>
        <v>0</v>
      </c>
      <c r="O55" s="6">
        <f>SUM(INDEX(Tabela1[[Canoeing - Women''s C1 200m]:[Canoeing - Women''s K4 500m]],MATCH(Table92[[#This Row],[Country]],Tabela1[Country], 0),0))</f>
        <v>0</v>
      </c>
      <c r="P55" s="6">
        <f>SUM(INDEX(Tabela1[[Cycling - Men''s BMX Freestyle]:[Cycling - Women''s BMX Freestyle]],MATCH(Table92[[#This Row],[Country]],Tabela1[Country], 0),0))</f>
        <v>0</v>
      </c>
      <c r="Q55" s="6">
        <f>SUM(INDEX(Tabela1[[Cycling - Men''s BMX Racing]:[Cycling - Women''s BMX Racing]],MATCH(Table92[[#This Row],[Country]],Tabela1[Country], 0),0))</f>
        <v>0</v>
      </c>
      <c r="R55" s="6">
        <f>SUM(INDEX(Tabela1[[Cycling - Men''s Cross-Country]:[Cycling - Women''s Cross-Country]],MATCH(Table92[[#This Row],[Country]],Tabela1[Country], 0),0))</f>
        <v>0</v>
      </c>
      <c r="S55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55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55" s="6">
        <f>SUM(INDEX(Tabela1[[Diving - Men''s Springboard]:[Diving - Women''s Synchronized Platform]],MATCH(Table92[[#This Row],[Country]],Tabela1[Country], 0),0))</f>
        <v>0</v>
      </c>
      <c r="V55" s="6">
        <f>SUM(INDEX(Tabela1[[Equestrian - Individual Dressage]:[Equestrian - Team Dressage]],MATCH(Table92[[#This Row],[Country]],Tabela1[Country], 0),0))</f>
        <v>0</v>
      </c>
      <c r="W55" s="6">
        <f>SUM(INDEX(Tabela1[[Equestrian - Individual Eventing]:[Equestrian - Team Eventing]],MATCH(Table92[[#This Row],[Country]],Tabela1[Country], 0),0))</f>
        <v>0</v>
      </c>
      <c r="X55" s="6">
        <f>SUM(INDEX(Tabela1[[Equestrian - Individual Jumping]:[Equestrian - Team Jumping]],MATCH(Table92[[#This Row],[Country]],Tabela1[Country], 0),0))</f>
        <v>0</v>
      </c>
      <c r="Y55" s="6">
        <f>SUM(INDEX(Tabela1[[Fencing - Men''s Épée]:[Fencing - Women''s Team Sabre]],MATCH(Table92[[#This Row],[Country]],Tabela1[Country], 0),0))</f>
        <v>0</v>
      </c>
      <c r="Z55" s="6">
        <f>SUM(INDEX(Tabela1[[Field Hockey - Men''s Tournament]:[Field Hockey - Women''s Tournament]],MATCH(Table92[[#This Row],[Country]],Tabela1[Country], 0),0))</f>
        <v>0</v>
      </c>
      <c r="AA55" s="6">
        <f>SUM(INDEX(Tabela1[[Football - Men''s Tournament]:[Football - Women''s Tournament]],MATCH(Table92[[#This Row],[Country]],Tabela1[Country], 0),0))</f>
        <v>0</v>
      </c>
      <c r="AB55" s="6">
        <f>SUM(INDEX(Tabela1[[Golf - Men''s Individual]:[Golf - Women''s Individual]],MATCH(Table92[[#This Row],[Country]],Tabela1[Country], 0),0))</f>
        <v>0</v>
      </c>
      <c r="AC55" s="6">
        <f>SUM(INDEX(Tabela1[[Handball - Men''s Tournament]:[Handball - Women''s Tournament]],MATCH(Table92[[#This Row],[Country]],Tabela1[Country], 0),0))</f>
        <v>0</v>
      </c>
      <c r="AD55" s="6">
        <f>SUM(INDEX(Tabela1[[Judo - Men''s 60kg]:[Judo - Mixed Team]],MATCH(Table92[[#This Row],[Country]],Tabela1[Country], 0),0))</f>
        <v>0</v>
      </c>
      <c r="AE55" s="6">
        <f>SUM(INDEX(Tabela1[[Swimming - Men''s 10km Open Water]:[Swimming - Women''s 10km Open Water]],MATCH(Table92[[#This Row],[Country]],Tabela1[Country], 0),0))</f>
        <v>0</v>
      </c>
      <c r="AF55" s="6">
        <f>SUM(INDEX(Tabela1[[Modern Pentathlon - Men''s Individual]:[Modern Pentathlon - Women''s Individual]],MATCH(Table92[[#This Row],[Country]],Tabela1[Country], 0),0))</f>
        <v>0</v>
      </c>
      <c r="AG55" s="6">
        <f>SUM(INDEX(Tabela1[[Rhythmic Gymnastics - Women''s Individual All-Around]:[Rhythmic Gymnastics - Women''s Group All-Around]],MATCH(Table92[[#This Row],[Country]],Tabela1[Country], 0),0))</f>
        <v>0</v>
      </c>
      <c r="AH55" s="6">
        <f>SUM(INDEX(Tabela1[[Rowing - Men''s Single Sculls]:[Rowing - Women''s Lwt. Double Sculls]],MATCH(Table92[[#This Row],[Country]],Tabela1[Country], 0),0))</f>
        <v>0</v>
      </c>
      <c r="AI55" s="6">
        <f>SUM(INDEX(Tabela1[[Rugby Sevens - Men''s Tournament]:[Rugby Sevens - Women''s Tournament]],MATCH(Table92[[#This Row],[Country]],Tabela1[Country], 0),0))</f>
        <v>0</v>
      </c>
      <c r="AJ55" s="6">
        <f>SUM(INDEX(Tabela1[[Sailing - Mixed 470]:[Sailing - Mixed Nacra 17]],MATCH(Table92[[#This Row],[Country]],Tabela1[Country], 0),0))</f>
        <v>0</v>
      </c>
      <c r="AK55" s="6">
        <f>SUM(INDEX(Tabela1[[Shooting - Men''s 10m Air Pistol]:[Shooting - Women''s Trap]],MATCH(Table92[[#This Row],[Country]],Tabela1[Country], 0),0))</f>
        <v>0</v>
      </c>
      <c r="AL55" s="6">
        <f>SUM(INDEX(Tabela1[[Skateboarding - Men''s Park]:[Skateboarding - Women''s Street]],MATCH(Table92[[#This Row],[Country]],Tabela1[Country], 0),0))</f>
        <v>0</v>
      </c>
      <c r="AM55" s="6">
        <f>SUM(INDEX(Tabela1[[Sport Climbing - Men''s Boulder and Lead]:[Sport Climbing - Women''s Speed]],MATCH(Table92[[#This Row],[Country]],Tabela1[Country], 0),0))</f>
        <v>0</v>
      </c>
      <c r="AN55" s="6">
        <f>SUM(INDEX(Tabela1[[Surfing - Men''s Shortboard]:[Surfing - Women''s Shortboard]],MATCH(Table92[[#This Row],[Country]],Tabela1[Country], 0),0))</f>
        <v>0</v>
      </c>
      <c r="AO55" s="6">
        <f>SUM(INDEX(Tabela1[[Swimming - Men''s 50m Freestyle]:[Swimming - Mixed 4x100m Medley Relay]],MATCH(Table92[[#This Row],[Country]],Tabela1[Country], 0),0))</f>
        <v>0</v>
      </c>
      <c r="AP55" s="6">
        <f>SUM(INDEX(Tabela1[[Table Tennis - Men''s Singles]:[Table Tennis - Mixed Doubles]],MATCH(Table92[[#This Row],[Country]],Tabela1[Country], 0),0))</f>
        <v>0</v>
      </c>
      <c r="AQ55" s="6">
        <f>SUM(INDEX(Tabela1[[Taekwondo - Men''s 58kg]:[Taekwondo - Women''s +67kg]],MATCH(Table92[[#This Row],[Country]],Tabela1[Country], 0),0))</f>
        <v>0</v>
      </c>
      <c r="AR55" s="6">
        <f>SUM(INDEX(Tabela1[[Tennis - Men''s Singles]:[Tennis - Mixed Doubles]],MATCH(Table92[[#This Row],[Country]],Tabela1[Country], 0),0))</f>
        <v>0</v>
      </c>
      <c r="AS55" s="6">
        <f>SUM(INDEX(Tabela1[[Gymnastics - Men''s Trampoline]:[Gymnastics - Women''s Trampoline]],MATCH(Table92[[#This Row],[Country]],Tabela1[Country], 0),0))</f>
        <v>0</v>
      </c>
      <c r="AT55" s="6">
        <f>SUM(INDEX(Tabela1[[Triathlon - Men''s Individual]:[Triathlon - Mixed Relay]],MATCH(Table92[[#This Row],[Country]],Tabela1[Country], 0),0))</f>
        <v>0</v>
      </c>
      <c r="AU55" s="6">
        <f>SUM(INDEX(Tabela1[[Volleyball - Men''s Tournament]:[Volleyball - Women''s Tournament]],MATCH(Table92[[#This Row],[Country]],Tabela1[Country], 0),0))</f>
        <v>1</v>
      </c>
      <c r="AV55" s="6">
        <f>SUM(INDEX(Tabela1[[Water Polo - Men''s Tournament]:[Water Polo - Women''s Tournament]],MATCH(Table92[[#This Row],[Country]],Tabela1[Country], 0),0))</f>
        <v>0</v>
      </c>
      <c r="AW55" s="6">
        <f>SUM(INDEX(Tabela1[[Weightlifting - Men''s 61kg]:[Weightlifting - Women''s +81kg]],MATCH(Table92[[#This Row],[Country]],Tabela1[Country], 0),0))</f>
        <v>0</v>
      </c>
      <c r="AX55" s="6">
        <f>SUM(INDEX(Tabela1[[Wrestling - Men''s Freestyle 57kg]:[Wrestling - Women''s Freestyle 76kg]],MATCH(Table92[[#This Row],[Country]],Tabela1[Country], 0),0))</f>
        <v>0</v>
      </c>
      <c r="AY55" s="6">
        <f>SUM(INDEX(Tabela1[[Alpine Skiing - Men''s Downhill]:[Alpine Skiing - Women''s Team Combined]],MATCH(Table92[[#This Row],[Country]],Tabela1[Country], 0),0))</f>
        <v>0</v>
      </c>
      <c r="AZ55" s="6">
        <f>SUM(INDEX(Tabela1[[Biathlon - Men''s Individual]:[Biathlon - Mixed Relay]],MATCH(Table92[[#This Row],[Country]],Tabela1[Country], 0),0))</f>
        <v>0</v>
      </c>
      <c r="BA55" s="6">
        <f>SUM(INDEX(Tabela1[[Bobsleigh - Women''s Monobob]:[Bobsleigh - Men''s Four]],MATCH(Table92[[#This Row],[Country]],Tabela1[Country], 0),0))</f>
        <v>0</v>
      </c>
      <c r="BB55" s="6">
        <f>SUM(INDEX(Tabela1[[Cross-country skiing - Men''s Classical]:[Cross-country skiing - Women''s Team Sprint]],MATCH(Table92[[#This Row],[Country]],Tabela1[Country], 0),0))</f>
        <v>0</v>
      </c>
      <c r="BC55" s="6">
        <f>SUM(INDEX(Tabela1[[Curling - Men''s Tournament]:[Curling - Mixed Doubles]],MATCH(Table92[[#This Row],[Country]],Tabela1[Country], 0),0))</f>
        <v>0</v>
      </c>
      <c r="BD55" s="6">
        <f>SUM(INDEX(Tabela1[[Figure Skating - Men''s Singles]:[Figure Skating - Team Event]],MATCH(Table92[[#This Row],[Country]],Tabela1[Country], 0),0))</f>
        <v>0</v>
      </c>
      <c r="BE55" s="6">
        <f>SUM(INDEX(Tabela1[[Freestyle Skiing - Men''s Aerials]:[Freestyle Skiing - Women''s Slopestyle]],MATCH(Table92[[#This Row],[Country]],Tabela1[Country], 0),0))</f>
        <v>0</v>
      </c>
      <c r="BF55" s="6">
        <f>SUM(INDEX(Tabela1[[Ice Hockey - Men''s Tournament]:[Ice Hockey - Women''s Tournament]],MATCH(Table92[[#This Row],[Country]],Tabela1[Country], 0),0))</f>
        <v>0</v>
      </c>
      <c r="BG55" s="6">
        <f>SUM(INDEX(Tabela1[[Luge - Men''s Singles]:[Luge - Mixed Team Relay]],MATCH(Table92[[#This Row],[Country]],Tabela1[Country], 0),0))</f>
        <v>0</v>
      </c>
      <c r="BH55" s="6">
        <f>SUM(INDEX(Tabela1[[Nordic Combined - Men''s Individual]:[Nordic Combined - Men''s Team Sprint Large Hill]],MATCH(Table92[[#This Row],[Country]],Tabela1[Country], 0),0))</f>
        <v>0</v>
      </c>
      <c r="BI55" s="6">
        <f>SUM(INDEX(Tabela1[[Short track speed skating - Men''s 500m]:[Short track speed skating - Mixed 2000m Relay]],MATCH(Table92[[#This Row],[Country]],Tabela1[Country], 0),0))</f>
        <v>0</v>
      </c>
      <c r="BJ55" s="6">
        <f>SUM(INDEX(Tabela1[[Skeleton - Men''s Individual]:[Skeleton - Mixed Team]],MATCH(Table92[[#This Row],[Country]],Tabela1[Country], 0),0))</f>
        <v>0</v>
      </c>
      <c r="BK55" s="6">
        <f>SUM(INDEX(Tabela1[[Ski Jumping - Men''s Individual Large Hill]:[Ski Jumping - Mixed Team Normal Hill]],MATCH(Table92[[#This Row],[Country]],Tabela1[Country], 0),0))</f>
        <v>0</v>
      </c>
      <c r="BL55" s="6">
        <f>SUM(INDEX(Tabela1[[Ski Mountaineering - Men''s Sprint]:[Ski Mountaineering - Mixed Relay]],MATCH(Table92[[#This Row],[Country]],Tabela1[Country], 0),0))</f>
        <v>0</v>
      </c>
      <c r="BM55" s="6">
        <f>SUM(INDEX(Tabela1[[Snowboarding - Men''s Big Air]:[Snowboarding - Mixed Team Snowboard Cross]],MATCH(Table92[[#This Row],[Country]],Tabela1[Country], 0),0))</f>
        <v>0</v>
      </c>
      <c r="BN55" s="6">
        <f>SUM(INDEX(Tabela1[[Speed Skating - Men''s 500m]:[Speed Skating - Women''s Team Pursuit]],MATCH(Table92[[#This Row],[Country]],Tabela1[Country], 0),0))</f>
        <v>0</v>
      </c>
      <c r="BO55" s="6" t="str">
        <f>SUBSTITUTE(INDEX(Table92[[#Headers],[Archery Quotas]:[Speed Skating Quotas]], MATCH(MAX(Table92[[#This Row],[Archery Quotas]:[Speed Skating Quotas]]), Table92[[#This Row],[Archery Quotas]:[Speed Skating Quotas]], 0))," Quotas","")</f>
        <v>Athletics</v>
      </c>
      <c r="BP55" s="6">
        <f>SUM(Table92[[#This Row],[Summer Sports]:[Winter Sports]])</f>
        <v>2</v>
      </c>
      <c r="BQ55" s="6">
        <f>COUNTIF(Table92[[#This Row],[Archery Quotas]:[Wrestling Quotas]],"&lt;&gt;0")</f>
        <v>2</v>
      </c>
      <c r="BR55" s="6">
        <f>COUNTIF(Table92[[#This Row],[Alpine Skiing Quotas]:[Speed Skating Quotas]],"&lt;&gt;0")</f>
        <v>0</v>
      </c>
      <c r="BS55" s="4" t="s">
        <v>437</v>
      </c>
    </row>
    <row r="56" spans="1:71" x14ac:dyDescent="0.3">
      <c r="A56" s="6" t="s">
        <v>374</v>
      </c>
      <c r="B56" t="e" vm="57">
        <f>IF(ISBLANK(Table92[[#This Row],[Flag Link]]), "", _xlfn.IMAGE(Table92[[#This Row],[Flag Link]],1,1))</f>
        <v>#VALUE!</v>
      </c>
      <c r="C56" s="6">
        <f>SUM(Table92[[#This Row],[Archery Quotas]:[Speed Skating Quotas]])</f>
        <v>11</v>
      </c>
      <c r="D56" s="6">
        <f>SUM(INDEX(Tabela1[[Archery - Men''s Individual Recurve]:[Archery - Mixed Team Recurve]],MATCH(Table92[[#This Row],[Country]],Tabela1[Country], 0),0))</f>
        <v>0</v>
      </c>
      <c r="E56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56" s="6">
        <f>SUM(INDEX(Tabela1[[Artistic Swimming - Women''s Duet]:[Artistic Swimming - Women''s Team]],MATCH(Table92[[#This Row],[Country]],Tabela1[Country], 0),0))</f>
        <v>0</v>
      </c>
      <c r="G56" s="6">
        <f>SUM(INDEX(Tabela1[[Athletics - Men''s 100m]:[Athletics - Women''s Heptathlon]],MATCH(Table92[[#This Row],[Country]],Tabela1[Country], 0),0))</f>
        <v>4</v>
      </c>
      <c r="H56" s="6">
        <f>SUM(INDEX(Tabela1[[Badminton - Men''s Singles]:[Badminton - Mixed Doubles]],MATCH(Table92[[#This Row],[Country]],Tabela1[Country], 0),0))</f>
        <v>0</v>
      </c>
      <c r="I56" s="6">
        <f>SUM(INDEX(Tabela1[[Basketball - Men''s Tournament]:[Basketball - Women''s Tournament]],MATCH(Table92[[#This Row],[Country]],Tabela1[Country], 0),0))</f>
        <v>0</v>
      </c>
      <c r="J56" s="6">
        <f>SUM(INDEX(Tabela1[[3x3 Basketball - Men''s Tournament]:[3x3 Basketball - Women''s Tournament]],MATCH(Table92[[#This Row],[Country]],Tabela1[Country], 0),0))</f>
        <v>0</v>
      </c>
      <c r="K56" s="6">
        <f>SUM(INDEX(Tabela1[[Beach Volleyball - Men''s Tournament]:[Beach Volleyball - Women''s Tournament]],MATCH(Table92[[#This Row],[Country]],Tabela1[Country], 0),0))</f>
        <v>0</v>
      </c>
      <c r="L56" s="6">
        <f>SUM(INDEX(Tabela1[[Boxing - Men''s 51kg]:[Boxing - Women''s 75kg]],MATCH(Table92[[#This Row],[Country]],Tabela1[Country], 0),0))</f>
        <v>1</v>
      </c>
      <c r="M56" s="6">
        <f>SUM(INDEX(Tabela1[[Breaking - Men''s Individual]:[Breaking - Women''s Individual]],MATCH(Table92[[#This Row],[Country]],Tabela1[Country], 0),0))</f>
        <v>0</v>
      </c>
      <c r="N56" s="6">
        <f>SUM(INDEX(Tabela1[[Canoeing - Men''s C1 Slalom]:[Canoeing - Women''s Kayak Cross Slalom]],MATCH(Table92[[#This Row],[Country]],Tabela1[Country], 0),0))</f>
        <v>0</v>
      </c>
      <c r="O56" s="6">
        <f>SUM(INDEX(Tabela1[[Canoeing - Women''s C1 200m]:[Canoeing - Women''s K4 500m]],MATCH(Table92[[#This Row],[Country]],Tabela1[Country], 0),0))</f>
        <v>0</v>
      </c>
      <c r="P56" s="6">
        <f>SUM(INDEX(Tabela1[[Cycling - Men''s BMX Freestyle]:[Cycling - Women''s BMX Freestyle]],MATCH(Table92[[#This Row],[Country]],Tabela1[Country], 0),0))</f>
        <v>0</v>
      </c>
      <c r="Q56" s="6">
        <f>SUM(INDEX(Tabela1[[Cycling - Men''s BMX Racing]:[Cycling - Women''s BMX Racing]],MATCH(Table92[[#This Row],[Country]],Tabela1[Country], 0),0))</f>
        <v>0</v>
      </c>
      <c r="R56" s="6">
        <f>SUM(INDEX(Tabela1[[Cycling - Men''s Cross-Country]:[Cycling - Women''s Cross-Country]],MATCH(Table92[[#This Row],[Country]],Tabela1[Country], 0),0))</f>
        <v>0</v>
      </c>
      <c r="S56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56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56" s="6">
        <f>SUM(INDEX(Tabela1[[Diving - Men''s Springboard]:[Diving - Women''s Synchronized Platform]],MATCH(Table92[[#This Row],[Country]],Tabela1[Country], 0),0))</f>
        <v>2</v>
      </c>
      <c r="V56" s="6">
        <f>SUM(INDEX(Tabela1[[Equestrian - Individual Dressage]:[Equestrian - Team Dressage]],MATCH(Table92[[#This Row],[Country]],Tabela1[Country], 0),0))</f>
        <v>0</v>
      </c>
      <c r="W56" s="6">
        <f>SUM(INDEX(Tabela1[[Equestrian - Individual Eventing]:[Equestrian - Team Eventing]],MATCH(Table92[[#This Row],[Country]],Tabela1[Country], 0),0))</f>
        <v>0</v>
      </c>
      <c r="X56" s="6">
        <f>SUM(INDEX(Tabela1[[Equestrian - Individual Jumping]:[Equestrian - Team Jumping]],MATCH(Table92[[#This Row],[Country]],Tabela1[Country], 0),0))</f>
        <v>0</v>
      </c>
      <c r="Y56" s="6">
        <f>SUM(INDEX(Tabela1[[Fencing - Men''s Épée]:[Fencing - Women''s Team Sabre]],MATCH(Table92[[#This Row],[Country]],Tabela1[Country], 0),0))</f>
        <v>0</v>
      </c>
      <c r="Z56" s="6">
        <f>SUM(INDEX(Tabela1[[Field Hockey - Men''s Tournament]:[Field Hockey - Women''s Tournament]],MATCH(Table92[[#This Row],[Country]],Tabela1[Country], 0),0))</f>
        <v>0</v>
      </c>
      <c r="AA56" s="6">
        <f>SUM(INDEX(Tabela1[[Football - Men''s Tournament]:[Football - Women''s Tournament]],MATCH(Table92[[#This Row],[Country]],Tabela1[Country], 0),0))</f>
        <v>1</v>
      </c>
      <c r="AB56" s="6">
        <f>SUM(INDEX(Tabela1[[Golf - Men''s Individual]:[Golf - Women''s Individual]],MATCH(Table92[[#This Row],[Country]],Tabela1[Country], 0),0))</f>
        <v>0</v>
      </c>
      <c r="AC56" s="6">
        <f>SUM(INDEX(Tabela1[[Handball - Men''s Tournament]:[Handball - Women''s Tournament]],MATCH(Table92[[#This Row],[Country]],Tabela1[Country], 0),0))</f>
        <v>0</v>
      </c>
      <c r="AD56" s="6">
        <f>SUM(INDEX(Tabela1[[Judo - Men''s 60kg]:[Judo - Mixed Team]],MATCH(Table92[[#This Row],[Country]],Tabela1[Country], 0),0))</f>
        <v>1</v>
      </c>
      <c r="AE56" s="6">
        <f>SUM(INDEX(Tabela1[[Swimming - Men''s 10km Open Water]:[Swimming - Women''s 10km Open Water]],MATCH(Table92[[#This Row],[Country]],Tabela1[Country], 0),0))</f>
        <v>0</v>
      </c>
      <c r="AF56" s="6">
        <f>SUM(INDEX(Tabela1[[Modern Pentathlon - Men''s Individual]:[Modern Pentathlon - Women''s Individual]],MATCH(Table92[[#This Row],[Country]],Tabela1[Country], 0),0))</f>
        <v>0</v>
      </c>
      <c r="AG56" s="6">
        <f>SUM(INDEX(Tabela1[[Rhythmic Gymnastics - Women''s Individual All-Around]:[Rhythmic Gymnastics - Women''s Group All-Around]],MATCH(Table92[[#This Row],[Country]],Tabela1[Country], 0),0))</f>
        <v>0</v>
      </c>
      <c r="AH56" s="6">
        <f>SUM(INDEX(Tabela1[[Rowing - Men''s Single Sculls]:[Rowing - Women''s Lwt. Double Sculls]],MATCH(Table92[[#This Row],[Country]],Tabela1[Country], 0),0))</f>
        <v>0</v>
      </c>
      <c r="AI56" s="6">
        <f>SUM(INDEX(Tabela1[[Rugby Sevens - Men''s Tournament]:[Rugby Sevens - Women''s Tournament]],MATCH(Table92[[#This Row],[Country]],Tabela1[Country], 0),0))</f>
        <v>0</v>
      </c>
      <c r="AJ56" s="6">
        <f>SUM(INDEX(Tabela1[[Sailing - Mixed 470]:[Sailing - Mixed Nacra 17]],MATCH(Table92[[#This Row],[Country]],Tabela1[Country], 0),0))</f>
        <v>0</v>
      </c>
      <c r="AK56" s="6">
        <f>SUM(INDEX(Tabela1[[Shooting - Men''s 10m Air Pistol]:[Shooting - Women''s Trap]],MATCH(Table92[[#This Row],[Country]],Tabela1[Country], 0),0))</f>
        <v>0</v>
      </c>
      <c r="AL56" s="6">
        <f>SUM(INDEX(Tabela1[[Skateboarding - Men''s Park]:[Skateboarding - Women''s Street]],MATCH(Table92[[#This Row],[Country]],Tabela1[Country], 0),0))</f>
        <v>0</v>
      </c>
      <c r="AM56" s="6">
        <f>SUM(INDEX(Tabela1[[Sport Climbing - Men''s Boulder and Lead]:[Sport Climbing - Women''s Speed]],MATCH(Table92[[#This Row],[Country]],Tabela1[Country], 0),0))</f>
        <v>0</v>
      </c>
      <c r="AN56" s="6">
        <f>SUM(INDEX(Tabela1[[Surfing - Men''s Shortboard]:[Surfing - Women''s Shortboard]],MATCH(Table92[[#This Row],[Country]],Tabela1[Country], 0),0))</f>
        <v>0</v>
      </c>
      <c r="AO56" s="6">
        <f>SUM(INDEX(Tabela1[[Swimming - Men''s 50m Freestyle]:[Swimming - Mixed 4x100m Medley Relay]],MATCH(Table92[[#This Row],[Country]],Tabela1[Country], 0),0))</f>
        <v>0</v>
      </c>
      <c r="AP56" s="6">
        <f>SUM(INDEX(Tabela1[[Table Tennis - Men''s Singles]:[Table Tennis - Mixed Doubles]],MATCH(Table92[[#This Row],[Country]],Tabela1[Country], 0),0))</f>
        <v>0</v>
      </c>
      <c r="AQ56" s="6">
        <f>SUM(INDEX(Tabela1[[Taekwondo - Men''s 58kg]:[Taekwondo - Women''s +67kg]],MATCH(Table92[[#This Row],[Country]],Tabela1[Country], 0),0))</f>
        <v>0</v>
      </c>
      <c r="AR56" s="6">
        <f>SUM(INDEX(Tabela1[[Tennis - Men''s Singles]:[Tennis - Mixed Doubles]],MATCH(Table92[[#This Row],[Country]],Tabela1[Country], 0),0))</f>
        <v>0</v>
      </c>
      <c r="AS56" s="6">
        <f>SUM(INDEX(Tabela1[[Gymnastics - Men''s Trampoline]:[Gymnastics - Women''s Trampoline]],MATCH(Table92[[#This Row],[Country]],Tabela1[Country], 0),0))</f>
        <v>0</v>
      </c>
      <c r="AT56" s="6">
        <f>SUM(INDEX(Tabela1[[Triathlon - Men''s Individual]:[Triathlon - Mixed Relay]],MATCH(Table92[[#This Row],[Country]],Tabela1[Country], 0),0))</f>
        <v>0</v>
      </c>
      <c r="AU56" s="6">
        <f>SUM(INDEX(Tabela1[[Volleyball - Men''s Tournament]:[Volleyball - Women''s Tournament]],MATCH(Table92[[#This Row],[Country]],Tabela1[Country], 0),0))</f>
        <v>1</v>
      </c>
      <c r="AV56" s="6">
        <f>SUM(INDEX(Tabela1[[Water Polo - Men''s Tournament]:[Water Polo - Women''s Tournament]],MATCH(Table92[[#This Row],[Country]],Tabela1[Country], 0),0))</f>
        <v>0</v>
      </c>
      <c r="AW56" s="6">
        <f>SUM(INDEX(Tabela1[[Weightlifting - Men''s 61kg]:[Weightlifting - Women''s +81kg]],MATCH(Table92[[#This Row],[Country]],Tabela1[Country], 0),0))</f>
        <v>1</v>
      </c>
      <c r="AX56" s="6">
        <f>SUM(INDEX(Tabela1[[Wrestling - Men''s Freestyle 57kg]:[Wrestling - Women''s Freestyle 76kg]],MATCH(Table92[[#This Row],[Country]],Tabela1[Country], 0),0))</f>
        <v>0</v>
      </c>
      <c r="AY56" s="6">
        <f>SUM(INDEX(Tabela1[[Alpine Skiing - Men''s Downhill]:[Alpine Skiing - Women''s Team Combined]],MATCH(Table92[[#This Row],[Country]],Tabela1[Country], 0),0))</f>
        <v>0</v>
      </c>
      <c r="AZ56" s="6">
        <f>SUM(INDEX(Tabela1[[Biathlon - Men''s Individual]:[Biathlon - Mixed Relay]],MATCH(Table92[[#This Row],[Country]],Tabela1[Country], 0),0))</f>
        <v>0</v>
      </c>
      <c r="BA56" s="6">
        <f>SUM(INDEX(Tabela1[[Bobsleigh - Women''s Monobob]:[Bobsleigh - Men''s Four]],MATCH(Table92[[#This Row],[Country]],Tabela1[Country], 0),0))</f>
        <v>0</v>
      </c>
      <c r="BB56" s="6">
        <f>SUM(INDEX(Tabela1[[Cross-country skiing - Men''s Classical]:[Cross-country skiing - Women''s Team Sprint]],MATCH(Table92[[#This Row],[Country]],Tabela1[Country], 0),0))</f>
        <v>0</v>
      </c>
      <c r="BC56" s="6">
        <f>SUM(INDEX(Tabela1[[Curling - Men''s Tournament]:[Curling - Mixed Doubles]],MATCH(Table92[[#This Row],[Country]],Tabela1[Country], 0),0))</f>
        <v>0</v>
      </c>
      <c r="BD56" s="6">
        <f>SUM(INDEX(Tabela1[[Figure Skating - Men''s Singles]:[Figure Skating - Team Event]],MATCH(Table92[[#This Row],[Country]],Tabela1[Country], 0),0))</f>
        <v>0</v>
      </c>
      <c r="BE56" s="6">
        <f>SUM(INDEX(Tabela1[[Freestyle Skiing - Men''s Aerials]:[Freestyle Skiing - Women''s Slopestyle]],MATCH(Table92[[#This Row],[Country]],Tabela1[Country], 0),0))</f>
        <v>0</v>
      </c>
      <c r="BF56" s="6">
        <f>SUM(INDEX(Tabela1[[Ice Hockey - Men''s Tournament]:[Ice Hockey - Women''s Tournament]],MATCH(Table92[[#This Row],[Country]],Tabela1[Country], 0),0))</f>
        <v>0</v>
      </c>
      <c r="BG56" s="6">
        <f>SUM(INDEX(Tabela1[[Luge - Men''s Singles]:[Luge - Mixed Team Relay]],MATCH(Table92[[#This Row],[Country]],Tabela1[Country], 0),0))</f>
        <v>0</v>
      </c>
      <c r="BH56" s="6">
        <f>SUM(INDEX(Tabela1[[Nordic Combined - Men''s Individual]:[Nordic Combined - Men''s Team Sprint Large Hill]],MATCH(Table92[[#This Row],[Country]],Tabela1[Country], 0),0))</f>
        <v>0</v>
      </c>
      <c r="BI56" s="6">
        <f>SUM(INDEX(Tabela1[[Short track speed skating - Men''s 500m]:[Short track speed skating - Mixed 2000m Relay]],MATCH(Table92[[#This Row],[Country]],Tabela1[Country], 0),0))</f>
        <v>0</v>
      </c>
      <c r="BJ56" s="6">
        <f>SUM(INDEX(Tabela1[[Skeleton - Men''s Individual]:[Skeleton - Mixed Team]],MATCH(Table92[[#This Row],[Country]],Tabela1[Country], 0),0))</f>
        <v>0</v>
      </c>
      <c r="BK56" s="6">
        <f>SUM(INDEX(Tabela1[[Ski Jumping - Men''s Individual Large Hill]:[Ski Jumping - Mixed Team Normal Hill]],MATCH(Table92[[#This Row],[Country]],Tabela1[Country], 0),0))</f>
        <v>0</v>
      </c>
      <c r="BL56" s="6">
        <f>SUM(INDEX(Tabela1[[Ski Mountaineering - Men''s Sprint]:[Ski Mountaineering - Mixed Relay]],MATCH(Table92[[#This Row],[Country]],Tabela1[Country], 0),0))</f>
        <v>0</v>
      </c>
      <c r="BM56" s="6">
        <f>SUM(INDEX(Tabela1[[Snowboarding - Men''s Big Air]:[Snowboarding - Mixed Team Snowboard Cross]],MATCH(Table92[[#This Row],[Country]],Tabela1[Country], 0),0))</f>
        <v>0</v>
      </c>
      <c r="BN56" s="6">
        <f>SUM(INDEX(Tabela1[[Speed Skating - Men''s 500m]:[Speed Skating - Women''s Team Pursuit]],MATCH(Table92[[#This Row],[Country]],Tabela1[Country], 0),0))</f>
        <v>0</v>
      </c>
      <c r="BO56" s="6" t="str">
        <f>SUBSTITUTE(INDEX(Table92[[#Headers],[Archery Quotas]:[Speed Skating Quotas]], MATCH(MAX(Table92[[#This Row],[Archery Quotas]:[Speed Skating Quotas]]), Table92[[#This Row],[Archery Quotas]:[Speed Skating Quotas]], 0))," Quotas","")</f>
        <v>Athletics</v>
      </c>
      <c r="BP56" s="6">
        <f>SUM(Table92[[#This Row],[Summer Sports]:[Winter Sports]])</f>
        <v>7</v>
      </c>
      <c r="BQ56" s="6">
        <f>COUNTIF(Table92[[#This Row],[Archery Quotas]:[Wrestling Quotas]],"&lt;&gt;0")</f>
        <v>7</v>
      </c>
      <c r="BR56" s="6">
        <f>COUNTIF(Table92[[#This Row],[Alpine Skiing Quotas]:[Speed Skating Quotas]],"&lt;&gt;0")</f>
        <v>0</v>
      </c>
      <c r="BS56" s="4" t="s">
        <v>375</v>
      </c>
    </row>
    <row r="57" spans="1:71" x14ac:dyDescent="0.3">
      <c r="A57" s="6" t="s">
        <v>576</v>
      </c>
      <c r="B57" t="e" vm="55">
        <f>IF(ISBLANK(Table92[[#This Row],[Flag Link]]), "", _xlfn.IMAGE(Table92[[#This Row],[Flag Link]],1,1))</f>
        <v>#VALUE!</v>
      </c>
      <c r="C57" s="6">
        <f>SUM(Table92[[#This Row],[Archery Quotas]:[Speed Skating Quotas]])</f>
        <v>11</v>
      </c>
      <c r="D57" s="6">
        <f>SUM(INDEX(Tabela1[[Archery - Men''s Individual Recurve]:[Archery - Mixed Team Recurve]],MATCH(Table92[[#This Row],[Country]],Tabela1[Country], 0),0))</f>
        <v>0</v>
      </c>
      <c r="E57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57" s="6">
        <f>SUM(INDEX(Tabela1[[Artistic Swimming - Women''s Duet]:[Artistic Swimming - Women''s Team]],MATCH(Table92[[#This Row],[Country]],Tabela1[Country], 0),0))</f>
        <v>0</v>
      </c>
      <c r="G57" s="6">
        <f>SUM(INDEX(Tabela1[[Athletics - Men''s 100m]:[Athletics - Women''s Heptathlon]],MATCH(Table92[[#This Row],[Country]],Tabela1[Country], 0),0))</f>
        <v>11</v>
      </c>
      <c r="H57" s="6">
        <f>SUM(INDEX(Tabela1[[Badminton - Men''s Singles]:[Badminton - Mixed Doubles]],MATCH(Table92[[#This Row],[Country]],Tabela1[Country], 0),0))</f>
        <v>0</v>
      </c>
      <c r="I57" s="6">
        <f>SUM(INDEX(Tabela1[[Basketball - Men''s Tournament]:[Basketball - Women''s Tournament]],MATCH(Table92[[#This Row],[Country]],Tabela1[Country], 0),0))</f>
        <v>0</v>
      </c>
      <c r="J57" s="6">
        <f>SUM(INDEX(Tabela1[[3x3 Basketball - Men''s Tournament]:[3x3 Basketball - Women''s Tournament]],MATCH(Table92[[#This Row],[Country]],Tabela1[Country], 0),0))</f>
        <v>0</v>
      </c>
      <c r="K57" s="6">
        <f>SUM(INDEX(Tabela1[[Beach Volleyball - Men''s Tournament]:[Beach Volleyball - Women''s Tournament]],MATCH(Table92[[#This Row],[Country]],Tabela1[Country], 0),0))</f>
        <v>0</v>
      </c>
      <c r="L57" s="6">
        <f>SUM(INDEX(Tabela1[[Boxing - Men''s 51kg]:[Boxing - Women''s 75kg]],MATCH(Table92[[#This Row],[Country]],Tabela1[Country], 0),0))</f>
        <v>0</v>
      </c>
      <c r="M57" s="6">
        <f>SUM(INDEX(Tabela1[[Breaking - Men''s Individual]:[Breaking - Women''s Individual]],MATCH(Table92[[#This Row],[Country]],Tabela1[Country], 0),0))</f>
        <v>0</v>
      </c>
      <c r="N57" s="6">
        <f>SUM(INDEX(Tabela1[[Canoeing - Men''s C1 Slalom]:[Canoeing - Women''s Kayak Cross Slalom]],MATCH(Table92[[#This Row],[Country]],Tabela1[Country], 0),0))</f>
        <v>0</v>
      </c>
      <c r="O57" s="6">
        <f>SUM(INDEX(Tabela1[[Canoeing - Women''s C1 200m]:[Canoeing - Women''s K4 500m]],MATCH(Table92[[#This Row],[Country]],Tabela1[Country], 0),0))</f>
        <v>0</v>
      </c>
      <c r="P57" s="6">
        <f>SUM(INDEX(Tabela1[[Cycling - Men''s BMX Freestyle]:[Cycling - Women''s BMX Freestyle]],MATCH(Table92[[#This Row],[Country]],Tabela1[Country], 0),0))</f>
        <v>0</v>
      </c>
      <c r="Q57" s="6">
        <f>SUM(INDEX(Tabela1[[Cycling - Men''s BMX Racing]:[Cycling - Women''s BMX Racing]],MATCH(Table92[[#This Row],[Country]],Tabela1[Country], 0),0))</f>
        <v>0</v>
      </c>
      <c r="R57" s="6">
        <f>SUM(INDEX(Tabela1[[Cycling - Men''s Cross-Country]:[Cycling - Women''s Cross-Country]],MATCH(Table92[[#This Row],[Country]],Tabela1[Country], 0),0))</f>
        <v>0</v>
      </c>
      <c r="S57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57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57" s="6">
        <f>SUM(INDEX(Tabela1[[Diving - Men''s Springboard]:[Diving - Women''s Synchronized Platform]],MATCH(Table92[[#This Row],[Country]],Tabela1[Country], 0),0))</f>
        <v>0</v>
      </c>
      <c r="V57" s="6">
        <f>SUM(INDEX(Tabela1[[Equestrian - Individual Dressage]:[Equestrian - Team Dressage]],MATCH(Table92[[#This Row],[Country]],Tabela1[Country], 0),0))</f>
        <v>0</v>
      </c>
      <c r="W57" s="6">
        <f>SUM(INDEX(Tabela1[[Equestrian - Individual Eventing]:[Equestrian - Team Eventing]],MATCH(Table92[[#This Row],[Country]],Tabela1[Country], 0),0))</f>
        <v>0</v>
      </c>
      <c r="X57" s="6">
        <f>SUM(INDEX(Tabela1[[Equestrian - Individual Jumping]:[Equestrian - Team Jumping]],MATCH(Table92[[#This Row],[Country]],Tabela1[Country], 0),0))</f>
        <v>0</v>
      </c>
      <c r="Y57" s="6">
        <f>SUM(INDEX(Tabela1[[Fencing - Men''s Épée]:[Fencing - Women''s Team Sabre]],MATCH(Table92[[#This Row],[Country]],Tabela1[Country], 0),0))</f>
        <v>0</v>
      </c>
      <c r="Z57" s="6">
        <f>SUM(INDEX(Tabela1[[Field Hockey - Men''s Tournament]:[Field Hockey - Women''s Tournament]],MATCH(Table92[[#This Row],[Country]],Tabela1[Country], 0),0))</f>
        <v>0</v>
      </c>
      <c r="AA57" s="6">
        <f>SUM(INDEX(Tabela1[[Football - Men''s Tournament]:[Football - Women''s Tournament]],MATCH(Table92[[#This Row],[Country]],Tabela1[Country], 0),0))</f>
        <v>0</v>
      </c>
      <c r="AB57" s="6">
        <f>SUM(INDEX(Tabela1[[Golf - Men''s Individual]:[Golf - Women''s Individual]],MATCH(Table92[[#This Row],[Country]],Tabela1[Country], 0),0))</f>
        <v>0</v>
      </c>
      <c r="AC57" s="6">
        <f>SUM(INDEX(Tabela1[[Handball - Men''s Tournament]:[Handball - Women''s Tournament]],MATCH(Table92[[#This Row],[Country]],Tabela1[Country], 0),0))</f>
        <v>0</v>
      </c>
      <c r="AD57" s="6">
        <f>SUM(INDEX(Tabela1[[Judo - Men''s 60kg]:[Judo - Mixed Team]],MATCH(Table92[[#This Row],[Country]],Tabela1[Country], 0),0))</f>
        <v>0</v>
      </c>
      <c r="AE57" s="6">
        <f>SUM(INDEX(Tabela1[[Swimming - Men''s 10km Open Water]:[Swimming - Women''s 10km Open Water]],MATCH(Table92[[#This Row],[Country]],Tabela1[Country], 0),0))</f>
        <v>0</v>
      </c>
      <c r="AF57" s="6">
        <f>SUM(INDEX(Tabela1[[Modern Pentathlon - Men''s Individual]:[Modern Pentathlon - Women''s Individual]],MATCH(Table92[[#This Row],[Country]],Tabela1[Country], 0),0))</f>
        <v>0</v>
      </c>
      <c r="AG57" s="6">
        <f>SUM(INDEX(Tabela1[[Rhythmic Gymnastics - Women''s Individual All-Around]:[Rhythmic Gymnastics - Women''s Group All-Around]],MATCH(Table92[[#This Row],[Country]],Tabela1[Country], 0),0))</f>
        <v>0</v>
      </c>
      <c r="AH57" s="6">
        <f>SUM(INDEX(Tabela1[[Rowing - Men''s Single Sculls]:[Rowing - Women''s Lwt. Double Sculls]],MATCH(Table92[[#This Row],[Country]],Tabela1[Country], 0),0))</f>
        <v>0</v>
      </c>
      <c r="AI57" s="6">
        <f>SUM(INDEX(Tabela1[[Rugby Sevens - Men''s Tournament]:[Rugby Sevens - Women''s Tournament]],MATCH(Table92[[#This Row],[Country]],Tabela1[Country], 0),0))</f>
        <v>0</v>
      </c>
      <c r="AJ57" s="6">
        <f>SUM(INDEX(Tabela1[[Sailing - Mixed 470]:[Sailing - Mixed Nacra 17]],MATCH(Table92[[#This Row],[Country]],Tabela1[Country], 0),0))</f>
        <v>0</v>
      </c>
      <c r="AK57" s="6">
        <f>SUM(INDEX(Tabela1[[Shooting - Men''s 10m Air Pistol]:[Shooting - Women''s Trap]],MATCH(Table92[[#This Row],[Country]],Tabela1[Country], 0),0))</f>
        <v>0</v>
      </c>
      <c r="AL57" s="6">
        <f>SUM(INDEX(Tabela1[[Skateboarding - Men''s Park]:[Skateboarding - Women''s Street]],MATCH(Table92[[#This Row],[Country]],Tabela1[Country], 0),0))</f>
        <v>0</v>
      </c>
      <c r="AM57" s="6">
        <f>SUM(INDEX(Tabela1[[Sport Climbing - Men''s Boulder and Lead]:[Sport Climbing - Women''s Speed]],MATCH(Table92[[#This Row],[Country]],Tabela1[Country], 0),0))</f>
        <v>0</v>
      </c>
      <c r="AN57" s="6">
        <f>SUM(INDEX(Tabela1[[Surfing - Men''s Shortboard]:[Surfing - Women''s Shortboard]],MATCH(Table92[[#This Row],[Country]],Tabela1[Country], 0),0))</f>
        <v>0</v>
      </c>
      <c r="AO57" s="6">
        <f>SUM(INDEX(Tabela1[[Swimming - Men''s 50m Freestyle]:[Swimming - Mixed 4x100m Medley Relay]],MATCH(Table92[[#This Row],[Country]],Tabela1[Country], 0),0))</f>
        <v>0</v>
      </c>
      <c r="AP57" s="6">
        <f>SUM(INDEX(Tabela1[[Table Tennis - Men''s Singles]:[Table Tennis - Mixed Doubles]],MATCH(Table92[[#This Row],[Country]],Tabela1[Country], 0),0))</f>
        <v>0</v>
      </c>
      <c r="AQ57" s="6">
        <f>SUM(INDEX(Tabela1[[Taekwondo - Men''s 58kg]:[Taekwondo - Women''s +67kg]],MATCH(Table92[[#This Row],[Country]],Tabela1[Country], 0),0))</f>
        <v>0</v>
      </c>
      <c r="AR57" s="6">
        <f>SUM(INDEX(Tabela1[[Tennis - Men''s Singles]:[Tennis - Mixed Doubles]],MATCH(Table92[[#This Row],[Country]],Tabela1[Country], 0),0))</f>
        <v>0</v>
      </c>
      <c r="AS57" s="6">
        <f>SUM(INDEX(Tabela1[[Gymnastics - Men''s Trampoline]:[Gymnastics - Women''s Trampoline]],MATCH(Table92[[#This Row],[Country]],Tabela1[Country], 0),0))</f>
        <v>0</v>
      </c>
      <c r="AT57" s="6">
        <f>SUM(INDEX(Tabela1[[Triathlon - Men''s Individual]:[Triathlon - Mixed Relay]],MATCH(Table92[[#This Row],[Country]],Tabela1[Country], 0),0))</f>
        <v>0</v>
      </c>
      <c r="AU57" s="6">
        <f>SUM(INDEX(Tabela1[[Volleyball - Men''s Tournament]:[Volleyball - Women''s Tournament]],MATCH(Table92[[#This Row],[Country]],Tabela1[Country], 0),0))</f>
        <v>0</v>
      </c>
      <c r="AV57" s="6">
        <f>SUM(INDEX(Tabela1[[Water Polo - Men''s Tournament]:[Water Polo - Women''s Tournament]],MATCH(Table92[[#This Row],[Country]],Tabela1[Country], 0),0))</f>
        <v>0</v>
      </c>
      <c r="AW57" s="6">
        <f>SUM(INDEX(Tabela1[[Weightlifting - Men''s 61kg]:[Weightlifting - Women''s +81kg]],MATCH(Table92[[#This Row],[Country]],Tabela1[Country], 0),0))</f>
        <v>0</v>
      </c>
      <c r="AX57" s="6">
        <f>SUM(INDEX(Tabela1[[Wrestling - Men''s Freestyle 57kg]:[Wrestling - Women''s Freestyle 76kg]],MATCH(Table92[[#This Row],[Country]],Tabela1[Country], 0),0))</f>
        <v>0</v>
      </c>
      <c r="AY57" s="6">
        <f>SUM(INDEX(Tabela1[[Alpine Skiing - Men''s Downhill]:[Alpine Skiing - Women''s Team Combined]],MATCH(Table92[[#This Row],[Country]],Tabela1[Country], 0),0))</f>
        <v>0</v>
      </c>
      <c r="AZ57" s="6">
        <f>SUM(INDEX(Tabela1[[Biathlon - Men''s Individual]:[Biathlon - Mixed Relay]],MATCH(Table92[[#This Row],[Country]],Tabela1[Country], 0),0))</f>
        <v>0</v>
      </c>
      <c r="BA57" s="6">
        <f>SUM(INDEX(Tabela1[[Bobsleigh - Women''s Monobob]:[Bobsleigh - Men''s Four]],MATCH(Table92[[#This Row],[Country]],Tabela1[Country], 0),0))</f>
        <v>0</v>
      </c>
      <c r="BB57" s="6">
        <f>SUM(INDEX(Tabela1[[Cross-country skiing - Men''s Classical]:[Cross-country skiing - Women''s Team Sprint]],MATCH(Table92[[#This Row],[Country]],Tabela1[Country], 0),0))</f>
        <v>0</v>
      </c>
      <c r="BC57" s="6">
        <f>SUM(INDEX(Tabela1[[Curling - Men''s Tournament]:[Curling - Mixed Doubles]],MATCH(Table92[[#This Row],[Country]],Tabela1[Country], 0),0))</f>
        <v>0</v>
      </c>
      <c r="BD57" s="6">
        <f>SUM(INDEX(Tabela1[[Figure Skating - Men''s Singles]:[Figure Skating - Team Event]],MATCH(Table92[[#This Row],[Country]],Tabela1[Country], 0),0))</f>
        <v>0</v>
      </c>
      <c r="BE57" s="6">
        <f>SUM(INDEX(Tabela1[[Freestyle Skiing - Men''s Aerials]:[Freestyle Skiing - Women''s Slopestyle]],MATCH(Table92[[#This Row],[Country]],Tabela1[Country], 0),0))</f>
        <v>0</v>
      </c>
      <c r="BF57" s="6">
        <f>SUM(INDEX(Tabela1[[Ice Hockey - Men''s Tournament]:[Ice Hockey - Women''s Tournament]],MATCH(Table92[[#This Row],[Country]],Tabela1[Country], 0),0))</f>
        <v>0</v>
      </c>
      <c r="BG57" s="6">
        <f>SUM(INDEX(Tabela1[[Luge - Men''s Singles]:[Luge - Mixed Team Relay]],MATCH(Table92[[#This Row],[Country]],Tabela1[Country], 0),0))</f>
        <v>0</v>
      </c>
      <c r="BH57" s="6">
        <f>SUM(INDEX(Tabela1[[Nordic Combined - Men''s Individual]:[Nordic Combined - Men''s Team Sprint Large Hill]],MATCH(Table92[[#This Row],[Country]],Tabela1[Country], 0),0))</f>
        <v>0</v>
      </c>
      <c r="BI57" s="6">
        <f>SUM(INDEX(Tabela1[[Short track speed skating - Men''s 500m]:[Short track speed skating - Mixed 2000m Relay]],MATCH(Table92[[#This Row],[Country]],Tabela1[Country], 0),0))</f>
        <v>0</v>
      </c>
      <c r="BJ57" s="6">
        <f>SUM(INDEX(Tabela1[[Skeleton - Men''s Individual]:[Skeleton - Mixed Team]],MATCH(Table92[[#This Row],[Country]],Tabela1[Country], 0),0))</f>
        <v>0</v>
      </c>
      <c r="BK57" s="6">
        <f>SUM(INDEX(Tabela1[[Ski Jumping - Men''s Individual Large Hill]:[Ski Jumping - Mixed Team Normal Hill]],MATCH(Table92[[#This Row],[Country]],Tabela1[Country], 0),0))</f>
        <v>0</v>
      </c>
      <c r="BL57" s="6">
        <f>SUM(INDEX(Tabela1[[Ski Mountaineering - Men''s Sprint]:[Ski Mountaineering - Mixed Relay]],MATCH(Table92[[#This Row],[Country]],Tabela1[Country], 0),0))</f>
        <v>0</v>
      </c>
      <c r="BM57" s="6">
        <f>SUM(INDEX(Tabela1[[Snowboarding - Men''s Big Air]:[Snowboarding - Mixed Team Snowboard Cross]],MATCH(Table92[[#This Row],[Country]],Tabela1[Country], 0),0))</f>
        <v>0</v>
      </c>
      <c r="BN57" s="6">
        <f>SUM(INDEX(Tabela1[[Speed Skating - Men''s 500m]:[Speed Skating - Women''s Team Pursuit]],MATCH(Table92[[#This Row],[Country]],Tabela1[Country], 0),0))</f>
        <v>0</v>
      </c>
      <c r="BO57" s="6" t="str">
        <f>SUBSTITUTE(INDEX(Table92[[#Headers],[Archery Quotas]:[Speed Skating Quotas]], MATCH(MAX(Table92[[#This Row],[Archery Quotas]:[Speed Skating Quotas]]), Table92[[#This Row],[Archery Quotas]:[Speed Skating Quotas]], 0))," Quotas","")</f>
        <v>Athletics</v>
      </c>
      <c r="BP57" s="6">
        <f>SUM(Table92[[#This Row],[Summer Sports]:[Winter Sports]])</f>
        <v>1</v>
      </c>
      <c r="BQ57" s="6">
        <f>COUNTIF(Table92[[#This Row],[Archery Quotas]:[Wrestling Quotas]],"&lt;&gt;0")</f>
        <v>1</v>
      </c>
      <c r="BR57" s="6">
        <f>COUNTIF(Table92[[#This Row],[Alpine Skiing Quotas]:[Speed Skating Quotas]],"&lt;&gt;0")</f>
        <v>0</v>
      </c>
      <c r="BS57" s="3" t="s">
        <v>577</v>
      </c>
    </row>
    <row r="58" spans="1:71" x14ac:dyDescent="0.3">
      <c r="A58" s="6" t="s">
        <v>432</v>
      </c>
      <c r="B58" t="e" vm="59">
        <f>IF(ISBLANK(Table92[[#This Row],[Flag Link]]), "", _xlfn.IMAGE(Table92[[#This Row],[Flag Link]],1,1))</f>
        <v>#VALUE!</v>
      </c>
      <c r="C58" s="6">
        <f>SUM(Table92[[#This Row],[Archery Quotas]:[Speed Skating Quotas]])</f>
        <v>11</v>
      </c>
      <c r="D58" s="6">
        <f>SUM(INDEX(Tabela1[[Archery - Men''s Individual Recurve]:[Archery - Mixed Team Recurve]],MATCH(Table92[[#This Row],[Country]],Tabela1[Country], 0),0))</f>
        <v>5</v>
      </c>
      <c r="E58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58" s="6">
        <f>SUM(INDEX(Tabela1[[Artistic Swimming - Women''s Duet]:[Artistic Swimming - Women''s Team]],MATCH(Table92[[#This Row],[Country]],Tabela1[Country], 0),0))</f>
        <v>0</v>
      </c>
      <c r="G58" s="6">
        <f>SUM(INDEX(Tabela1[[Athletics - Men''s 100m]:[Athletics - Women''s Heptathlon]],MATCH(Table92[[#This Row],[Country]],Tabela1[Country], 0),0))</f>
        <v>0</v>
      </c>
      <c r="H58" s="6">
        <f>SUM(INDEX(Tabela1[[Badminton - Men''s Singles]:[Badminton - Mixed Doubles]],MATCH(Table92[[#This Row],[Country]],Tabela1[Country], 0),0))</f>
        <v>2</v>
      </c>
      <c r="I58" s="6">
        <f>SUM(INDEX(Tabela1[[Basketball - Men''s Tournament]:[Basketball - Women''s Tournament]],MATCH(Table92[[#This Row],[Country]],Tabela1[Country], 0),0))</f>
        <v>0</v>
      </c>
      <c r="J58" s="6">
        <f>SUM(INDEX(Tabela1[[3x3 Basketball - Men''s Tournament]:[3x3 Basketball - Women''s Tournament]],MATCH(Table92[[#This Row],[Country]],Tabela1[Country], 0),0))</f>
        <v>0</v>
      </c>
      <c r="K58" s="6">
        <f>SUM(INDEX(Tabela1[[Beach Volleyball - Men''s Tournament]:[Beach Volleyball - Women''s Tournament]],MATCH(Table92[[#This Row],[Country]],Tabela1[Country], 0),0))</f>
        <v>0</v>
      </c>
      <c r="L58" s="6">
        <f>SUM(INDEX(Tabela1[[Boxing - Men''s 51kg]:[Boxing - Women''s 75kg]],MATCH(Table92[[#This Row],[Country]],Tabela1[Country], 0),0))</f>
        <v>0</v>
      </c>
      <c r="M58" s="6">
        <f>SUM(INDEX(Tabela1[[Breaking - Men''s Individual]:[Breaking - Women''s Individual]],MATCH(Table92[[#This Row],[Country]],Tabela1[Country], 0),0))</f>
        <v>0</v>
      </c>
      <c r="N58" s="6">
        <f>SUM(INDEX(Tabela1[[Canoeing - Men''s C1 Slalom]:[Canoeing - Women''s Kayak Cross Slalom]],MATCH(Table92[[#This Row],[Country]],Tabela1[Country], 0),0))</f>
        <v>0</v>
      </c>
      <c r="O58" s="6">
        <f>SUM(INDEX(Tabela1[[Canoeing - Women''s C1 200m]:[Canoeing - Women''s K4 500m]],MATCH(Table92[[#This Row],[Country]],Tabela1[Country], 0),0))</f>
        <v>0</v>
      </c>
      <c r="P58" s="6">
        <f>SUM(INDEX(Tabela1[[Cycling - Men''s BMX Freestyle]:[Cycling - Women''s BMX Freestyle]],MATCH(Table92[[#This Row],[Country]],Tabela1[Country], 0),0))</f>
        <v>0</v>
      </c>
      <c r="Q58" s="6">
        <f>SUM(INDEX(Tabela1[[Cycling - Men''s BMX Racing]:[Cycling - Women''s BMX Racing]],MATCH(Table92[[#This Row],[Country]],Tabela1[Country], 0),0))</f>
        <v>0</v>
      </c>
      <c r="R58" s="6">
        <f>SUM(INDEX(Tabela1[[Cycling - Men''s Cross-Country]:[Cycling - Women''s Cross-Country]],MATCH(Table92[[#This Row],[Country]],Tabela1[Country], 0),0))</f>
        <v>0</v>
      </c>
      <c r="S58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58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58" s="6">
        <f>SUM(INDEX(Tabela1[[Diving - Men''s Springboard]:[Diving - Women''s Synchronized Platform]],MATCH(Table92[[#This Row],[Country]],Tabela1[Country], 0),0))</f>
        <v>0</v>
      </c>
      <c r="V58" s="6">
        <f>SUM(INDEX(Tabela1[[Equestrian - Individual Dressage]:[Equestrian - Team Dressage]],MATCH(Table92[[#This Row],[Country]],Tabela1[Country], 0),0))</f>
        <v>0</v>
      </c>
      <c r="W58" s="6">
        <f>SUM(INDEX(Tabela1[[Equestrian - Individual Eventing]:[Equestrian - Team Eventing]],MATCH(Table92[[#This Row],[Country]],Tabela1[Country], 0),0))</f>
        <v>0</v>
      </c>
      <c r="X58" s="6">
        <f>SUM(INDEX(Tabela1[[Equestrian - Individual Jumping]:[Equestrian - Team Jumping]],MATCH(Table92[[#This Row],[Country]],Tabela1[Country], 0),0))</f>
        <v>0</v>
      </c>
      <c r="Y58" s="6">
        <f>SUM(INDEX(Tabela1[[Fencing - Men''s Épée]:[Fencing - Women''s Team Sabre]],MATCH(Table92[[#This Row],[Country]],Tabela1[Country], 0),0))</f>
        <v>0</v>
      </c>
      <c r="Z58" s="6">
        <f>SUM(INDEX(Tabela1[[Field Hockey - Men''s Tournament]:[Field Hockey - Women''s Tournament]],MATCH(Table92[[#This Row],[Country]],Tabela1[Country], 0),0))</f>
        <v>0</v>
      </c>
      <c r="AA58" s="6">
        <f>SUM(INDEX(Tabela1[[Football - Men''s Tournament]:[Football - Women''s Tournament]],MATCH(Table92[[#This Row],[Country]],Tabela1[Country], 0),0))</f>
        <v>0</v>
      </c>
      <c r="AB58" s="6">
        <f>SUM(INDEX(Tabela1[[Golf - Men''s Individual]:[Golf - Women''s Individual]],MATCH(Table92[[#This Row],[Country]],Tabela1[Country], 0),0))</f>
        <v>0</v>
      </c>
      <c r="AC58" s="6">
        <f>SUM(INDEX(Tabela1[[Handball - Men''s Tournament]:[Handball - Women''s Tournament]],MATCH(Table92[[#This Row],[Country]],Tabela1[Country], 0),0))</f>
        <v>0</v>
      </c>
      <c r="AD58" s="6">
        <f>SUM(INDEX(Tabela1[[Judo - Men''s 60kg]:[Judo - Mixed Team]],MATCH(Table92[[#This Row],[Country]],Tabela1[Country], 0),0))</f>
        <v>0</v>
      </c>
      <c r="AE58" s="6">
        <f>SUM(INDEX(Tabela1[[Swimming - Men''s 10km Open Water]:[Swimming - Women''s 10km Open Water]],MATCH(Table92[[#This Row],[Country]],Tabela1[Country], 0),0))</f>
        <v>0</v>
      </c>
      <c r="AF58" s="6">
        <f>SUM(INDEX(Tabela1[[Modern Pentathlon - Men''s Individual]:[Modern Pentathlon - Women''s Individual]],MATCH(Table92[[#This Row],[Country]],Tabela1[Country], 0),0))</f>
        <v>0</v>
      </c>
      <c r="AG58" s="6">
        <f>SUM(INDEX(Tabela1[[Rhythmic Gymnastics - Women''s Individual All-Around]:[Rhythmic Gymnastics - Women''s Group All-Around]],MATCH(Table92[[#This Row],[Country]],Tabela1[Country], 0),0))</f>
        <v>0</v>
      </c>
      <c r="AH58" s="6">
        <f>SUM(INDEX(Tabela1[[Rowing - Men''s Single Sculls]:[Rowing - Women''s Lwt. Double Sculls]],MATCH(Table92[[#This Row],[Country]],Tabela1[Country], 0),0))</f>
        <v>1</v>
      </c>
      <c r="AI58" s="6">
        <f>SUM(INDEX(Tabela1[[Rugby Sevens - Men''s Tournament]:[Rugby Sevens - Women''s Tournament]],MATCH(Table92[[#This Row],[Country]],Tabela1[Country], 0),0))</f>
        <v>0</v>
      </c>
      <c r="AJ58" s="6">
        <f>SUM(INDEX(Tabela1[[Sailing - Mixed 470]:[Sailing - Mixed Nacra 17]],MATCH(Table92[[#This Row],[Country]],Tabela1[Country], 0),0))</f>
        <v>0</v>
      </c>
      <c r="AK58" s="6">
        <f>SUM(INDEX(Tabela1[[Shooting - Men''s 10m Air Pistol]:[Shooting - Women''s Trap]],MATCH(Table92[[#This Row],[Country]],Tabela1[Country], 0),0))</f>
        <v>0</v>
      </c>
      <c r="AL58" s="6">
        <f>SUM(INDEX(Tabela1[[Skateboarding - Men''s Park]:[Skateboarding - Women''s Street]],MATCH(Table92[[#This Row],[Country]],Tabela1[Country], 0),0))</f>
        <v>0</v>
      </c>
      <c r="AM58" s="6">
        <f>SUM(INDEX(Tabela1[[Sport Climbing - Men''s Boulder and Lead]:[Sport Climbing - Women''s Speed]],MATCH(Table92[[#This Row],[Country]],Tabela1[Country], 0),0))</f>
        <v>2</v>
      </c>
      <c r="AN58" s="6">
        <f>SUM(INDEX(Tabela1[[Surfing - Men''s Shortboard]:[Surfing - Women''s Shortboard]],MATCH(Table92[[#This Row],[Country]],Tabela1[Country], 0),0))</f>
        <v>0</v>
      </c>
      <c r="AO58" s="6">
        <f>SUM(INDEX(Tabela1[[Swimming - Men''s 50m Freestyle]:[Swimming - Mixed 4x100m Medley Relay]],MATCH(Table92[[#This Row],[Country]],Tabela1[Country], 0),0))</f>
        <v>0</v>
      </c>
      <c r="AP58" s="6">
        <f>SUM(INDEX(Tabela1[[Table Tennis - Men''s Singles]:[Table Tennis - Mixed Doubles]],MATCH(Table92[[#This Row],[Country]],Tabela1[Country], 0),0))</f>
        <v>0</v>
      </c>
      <c r="AQ58" s="6">
        <f>SUM(INDEX(Tabela1[[Taekwondo - Men''s 58kg]:[Taekwondo - Women''s +67kg]],MATCH(Table92[[#This Row],[Country]],Tabela1[Country], 0),0))</f>
        <v>0</v>
      </c>
      <c r="AR58" s="6">
        <f>SUM(INDEX(Tabela1[[Tennis - Men''s Singles]:[Tennis - Mixed Doubles]],MATCH(Table92[[#This Row],[Country]],Tabela1[Country], 0),0))</f>
        <v>0</v>
      </c>
      <c r="AS58" s="6">
        <f>SUM(INDEX(Tabela1[[Gymnastics - Men''s Trampoline]:[Gymnastics - Women''s Trampoline]],MATCH(Table92[[#This Row],[Country]],Tabela1[Country], 0),0))</f>
        <v>0</v>
      </c>
      <c r="AT58" s="6">
        <f>SUM(INDEX(Tabela1[[Triathlon - Men''s Individual]:[Triathlon - Mixed Relay]],MATCH(Table92[[#This Row],[Country]],Tabela1[Country], 0),0))</f>
        <v>0</v>
      </c>
      <c r="AU58" s="6">
        <f>SUM(INDEX(Tabela1[[Volleyball - Men''s Tournament]:[Volleyball - Women''s Tournament]],MATCH(Table92[[#This Row],[Country]],Tabela1[Country], 0),0))</f>
        <v>0</v>
      </c>
      <c r="AV58" s="6">
        <f>SUM(INDEX(Tabela1[[Water Polo - Men''s Tournament]:[Water Polo - Women''s Tournament]],MATCH(Table92[[#This Row],[Country]],Tabela1[Country], 0),0))</f>
        <v>0</v>
      </c>
      <c r="AW58" s="6">
        <f>SUM(INDEX(Tabela1[[Weightlifting - Men''s 61kg]:[Weightlifting - Women''s +81kg]],MATCH(Table92[[#This Row],[Country]],Tabela1[Country], 0),0))</f>
        <v>1</v>
      </c>
      <c r="AX58" s="6">
        <f>SUM(INDEX(Tabela1[[Wrestling - Men''s Freestyle 57kg]:[Wrestling - Women''s Freestyle 76kg]],MATCH(Table92[[#This Row],[Country]],Tabela1[Country], 0),0))</f>
        <v>0</v>
      </c>
      <c r="AY58" s="6">
        <f>SUM(INDEX(Tabela1[[Alpine Skiing - Men''s Downhill]:[Alpine Skiing - Women''s Team Combined]],MATCH(Table92[[#This Row],[Country]],Tabela1[Country], 0),0))</f>
        <v>0</v>
      </c>
      <c r="AZ58" s="6">
        <f>SUM(INDEX(Tabela1[[Biathlon - Men''s Individual]:[Biathlon - Mixed Relay]],MATCH(Table92[[#This Row],[Country]],Tabela1[Country], 0),0))</f>
        <v>0</v>
      </c>
      <c r="BA58" s="6">
        <f>SUM(INDEX(Tabela1[[Bobsleigh - Women''s Monobob]:[Bobsleigh - Men''s Four]],MATCH(Table92[[#This Row],[Country]],Tabela1[Country], 0),0))</f>
        <v>0</v>
      </c>
      <c r="BB58" s="6">
        <f>SUM(INDEX(Tabela1[[Cross-country skiing - Men''s Classical]:[Cross-country skiing - Women''s Team Sprint]],MATCH(Table92[[#This Row],[Country]],Tabela1[Country], 0),0))</f>
        <v>0</v>
      </c>
      <c r="BC58" s="6">
        <f>SUM(INDEX(Tabela1[[Curling - Men''s Tournament]:[Curling - Mixed Doubles]],MATCH(Table92[[#This Row],[Country]],Tabela1[Country], 0),0))</f>
        <v>0</v>
      </c>
      <c r="BD58" s="6">
        <f>SUM(INDEX(Tabela1[[Figure Skating - Men''s Singles]:[Figure Skating - Team Event]],MATCH(Table92[[#This Row],[Country]],Tabela1[Country], 0),0))</f>
        <v>0</v>
      </c>
      <c r="BE58" s="6">
        <f>SUM(INDEX(Tabela1[[Freestyle Skiing - Men''s Aerials]:[Freestyle Skiing - Women''s Slopestyle]],MATCH(Table92[[#This Row],[Country]],Tabela1[Country], 0),0))</f>
        <v>0</v>
      </c>
      <c r="BF58" s="6">
        <f>SUM(INDEX(Tabela1[[Ice Hockey - Men''s Tournament]:[Ice Hockey - Women''s Tournament]],MATCH(Table92[[#This Row],[Country]],Tabela1[Country], 0),0))</f>
        <v>0</v>
      </c>
      <c r="BG58" s="6">
        <f>SUM(INDEX(Tabela1[[Luge - Men''s Singles]:[Luge - Mixed Team Relay]],MATCH(Table92[[#This Row],[Country]],Tabela1[Country], 0),0))</f>
        <v>0</v>
      </c>
      <c r="BH58" s="6">
        <f>SUM(INDEX(Tabela1[[Nordic Combined - Men''s Individual]:[Nordic Combined - Men''s Team Sprint Large Hill]],MATCH(Table92[[#This Row],[Country]],Tabela1[Country], 0),0))</f>
        <v>0</v>
      </c>
      <c r="BI58" s="6">
        <f>SUM(INDEX(Tabela1[[Short track speed skating - Men''s 500m]:[Short track speed skating - Mixed 2000m Relay]],MATCH(Table92[[#This Row],[Country]],Tabela1[Country], 0),0))</f>
        <v>0</v>
      </c>
      <c r="BJ58" s="6">
        <f>SUM(INDEX(Tabela1[[Skeleton - Men''s Individual]:[Skeleton - Mixed Team]],MATCH(Table92[[#This Row],[Country]],Tabela1[Country], 0),0))</f>
        <v>0</v>
      </c>
      <c r="BK58" s="6">
        <f>SUM(INDEX(Tabela1[[Ski Jumping - Men''s Individual Large Hill]:[Ski Jumping - Mixed Team Normal Hill]],MATCH(Table92[[#This Row],[Country]],Tabela1[Country], 0),0))</f>
        <v>0</v>
      </c>
      <c r="BL58" s="6">
        <f>SUM(INDEX(Tabela1[[Ski Mountaineering - Men''s Sprint]:[Ski Mountaineering - Mixed Relay]],MATCH(Table92[[#This Row],[Country]],Tabela1[Country], 0),0))</f>
        <v>0</v>
      </c>
      <c r="BM58" s="6">
        <f>SUM(INDEX(Tabela1[[Snowboarding - Men''s Big Air]:[Snowboarding - Mixed Team Snowboard Cross]],MATCH(Table92[[#This Row],[Country]],Tabela1[Country], 0),0))</f>
        <v>0</v>
      </c>
      <c r="BN58" s="6">
        <f>SUM(INDEX(Tabela1[[Speed Skating - Men''s 500m]:[Speed Skating - Women''s Team Pursuit]],MATCH(Table92[[#This Row],[Country]],Tabela1[Country], 0),0))</f>
        <v>0</v>
      </c>
      <c r="BO58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58" s="6">
        <f>SUM(Table92[[#This Row],[Summer Sports]:[Winter Sports]])</f>
        <v>5</v>
      </c>
      <c r="BQ58" s="6">
        <f>COUNTIF(Table92[[#This Row],[Archery Quotas]:[Wrestling Quotas]],"&lt;&gt;0")</f>
        <v>5</v>
      </c>
      <c r="BR58" s="6">
        <f>COUNTIF(Table92[[#This Row],[Alpine Skiing Quotas]:[Speed Skating Quotas]],"&lt;&gt;0")</f>
        <v>0</v>
      </c>
      <c r="BS58" s="4" t="s">
        <v>433</v>
      </c>
    </row>
    <row r="59" spans="1:71" x14ac:dyDescent="0.3">
      <c r="A59" s="6" t="s">
        <v>360</v>
      </c>
      <c r="B59" t="e" vm="60">
        <f>IF(ISBLANK(Table92[[#This Row],[Flag Link]]), "", _xlfn.IMAGE(Table92[[#This Row],[Flag Link]],1,1))</f>
        <v>#VALUE!</v>
      </c>
      <c r="C59" s="6">
        <f>SUM(Table92[[#This Row],[Archery Quotas]:[Speed Skating Quotas]])</f>
        <v>11</v>
      </c>
      <c r="D59" s="6">
        <f>SUM(INDEX(Tabela1[[Archery - Men''s Individual Recurve]:[Archery - Mixed Team Recurve]],MATCH(Table92[[#This Row],[Country]],Tabela1[Country], 0),0))</f>
        <v>0</v>
      </c>
      <c r="E59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59" s="6">
        <f>SUM(INDEX(Tabela1[[Artistic Swimming - Women''s Duet]:[Artistic Swimming - Women''s Team]],MATCH(Table92[[#This Row],[Country]],Tabela1[Country], 0),0))</f>
        <v>0</v>
      </c>
      <c r="G59" s="6">
        <f>SUM(INDEX(Tabela1[[Athletics - Men''s 100m]:[Athletics - Women''s Heptathlon]],MATCH(Table92[[#This Row],[Country]],Tabela1[Country], 0),0))</f>
        <v>0</v>
      </c>
      <c r="H59" s="6">
        <f>SUM(INDEX(Tabela1[[Badminton - Men''s Singles]:[Badminton - Mixed Doubles]],MATCH(Table92[[#This Row],[Country]],Tabela1[Country], 0),0))</f>
        <v>0</v>
      </c>
      <c r="I59" s="6">
        <f>SUM(INDEX(Tabela1[[Basketball - Men''s Tournament]:[Basketball - Women''s Tournament]],MATCH(Table92[[#This Row],[Country]],Tabela1[Country], 0),0))</f>
        <v>0</v>
      </c>
      <c r="J59" s="6">
        <f>SUM(INDEX(Tabela1[[3x3 Basketball - Men''s Tournament]:[3x3 Basketball - Women''s Tournament]],MATCH(Table92[[#This Row],[Country]],Tabela1[Country], 0),0))</f>
        <v>0</v>
      </c>
      <c r="K59" s="6">
        <f>SUM(INDEX(Tabela1[[Beach Volleyball - Men''s Tournament]:[Beach Volleyball - Women''s Tournament]],MATCH(Table92[[#This Row],[Country]],Tabela1[Country], 0),0))</f>
        <v>0</v>
      </c>
      <c r="L59" s="6">
        <f>SUM(INDEX(Tabela1[[Boxing - Men''s 51kg]:[Boxing - Women''s 75kg]],MATCH(Table92[[#This Row],[Country]],Tabela1[Country], 0),0))</f>
        <v>0</v>
      </c>
      <c r="M59" s="6">
        <f>SUM(INDEX(Tabela1[[Breaking - Men''s Individual]:[Breaking - Women''s Individual]],MATCH(Table92[[#This Row],[Country]],Tabela1[Country], 0),0))</f>
        <v>0</v>
      </c>
      <c r="N59" s="6">
        <f>SUM(INDEX(Tabela1[[Canoeing - Men''s C1 Slalom]:[Canoeing - Women''s Kayak Cross Slalom]],MATCH(Table92[[#This Row],[Country]],Tabela1[Country], 0),0))</f>
        <v>0</v>
      </c>
      <c r="O59" s="6">
        <f>SUM(INDEX(Tabela1[[Canoeing - Women''s C1 200m]:[Canoeing - Women''s K4 500m]],MATCH(Table92[[#This Row],[Country]],Tabela1[Country], 0),0))</f>
        <v>1</v>
      </c>
      <c r="P59" s="6">
        <f>SUM(INDEX(Tabela1[[Cycling - Men''s BMX Freestyle]:[Cycling - Women''s BMX Freestyle]],MATCH(Table92[[#This Row],[Country]],Tabela1[Country], 0),0))</f>
        <v>0</v>
      </c>
      <c r="Q59" s="6">
        <f>SUM(INDEX(Tabela1[[Cycling - Men''s BMX Racing]:[Cycling - Women''s BMX Racing]],MATCH(Table92[[#This Row],[Country]],Tabela1[Country], 0),0))</f>
        <v>0</v>
      </c>
      <c r="R59" s="6">
        <f>SUM(INDEX(Tabela1[[Cycling - Men''s Cross-Country]:[Cycling - Women''s Cross-Country]],MATCH(Table92[[#This Row],[Country]],Tabela1[Country], 0),0))</f>
        <v>0</v>
      </c>
      <c r="S59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59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59" s="6">
        <f>SUM(INDEX(Tabela1[[Diving - Men''s Springboard]:[Diving - Women''s Synchronized Platform]],MATCH(Table92[[#This Row],[Country]],Tabela1[Country], 0),0))</f>
        <v>0</v>
      </c>
      <c r="V59" s="6">
        <f>SUM(INDEX(Tabela1[[Equestrian - Individual Dressage]:[Equestrian - Team Dressage]],MATCH(Table92[[#This Row],[Country]],Tabela1[Country], 0),0))</f>
        <v>0</v>
      </c>
      <c r="W59" s="6">
        <f>SUM(INDEX(Tabela1[[Equestrian - Individual Eventing]:[Equestrian - Team Eventing]],MATCH(Table92[[#This Row],[Country]],Tabela1[Country], 0),0))</f>
        <v>0</v>
      </c>
      <c r="X59" s="6">
        <f>SUM(INDEX(Tabela1[[Equestrian - Individual Jumping]:[Equestrian - Team Jumping]],MATCH(Table92[[#This Row],[Country]],Tabela1[Country], 0),0))</f>
        <v>0</v>
      </c>
      <c r="Y59" s="6">
        <f>SUM(INDEX(Tabela1[[Fencing - Men''s Épée]:[Fencing - Women''s Team Sabre]],MATCH(Table92[[#This Row],[Country]],Tabela1[Country], 0),0))</f>
        <v>0</v>
      </c>
      <c r="Z59" s="6">
        <f>SUM(INDEX(Tabela1[[Field Hockey - Men''s Tournament]:[Field Hockey - Women''s Tournament]],MATCH(Table92[[#This Row],[Country]],Tabela1[Country], 0),0))</f>
        <v>0</v>
      </c>
      <c r="AA59" s="6">
        <f>SUM(INDEX(Tabela1[[Football - Men''s Tournament]:[Football - Women''s Tournament]],MATCH(Table92[[#This Row],[Country]],Tabela1[Country], 0),0))</f>
        <v>0</v>
      </c>
      <c r="AB59" s="6">
        <f>SUM(INDEX(Tabela1[[Golf - Men''s Individual]:[Golf - Women''s Individual]],MATCH(Table92[[#This Row],[Country]],Tabela1[Country], 0),0))</f>
        <v>0</v>
      </c>
      <c r="AC59" s="6">
        <f>SUM(INDEX(Tabela1[[Handball - Men''s Tournament]:[Handball - Women''s Tournament]],MATCH(Table92[[#This Row],[Country]],Tabela1[Country], 0),0))</f>
        <v>0</v>
      </c>
      <c r="AD59" s="6">
        <f>SUM(INDEX(Tabela1[[Judo - Men''s 60kg]:[Judo - Mixed Team]],MATCH(Table92[[#This Row],[Country]],Tabela1[Country], 0),0))</f>
        <v>0</v>
      </c>
      <c r="AE59" s="6">
        <f>SUM(INDEX(Tabela1[[Swimming - Men''s 10km Open Water]:[Swimming - Women''s 10km Open Water]],MATCH(Table92[[#This Row],[Country]],Tabela1[Country], 0),0))</f>
        <v>0</v>
      </c>
      <c r="AF59" s="6">
        <f>SUM(INDEX(Tabela1[[Modern Pentathlon - Men''s Individual]:[Modern Pentathlon - Women''s Individual]],MATCH(Table92[[#This Row],[Country]],Tabela1[Country], 0),0))</f>
        <v>0</v>
      </c>
      <c r="AG59" s="6">
        <f>SUM(INDEX(Tabela1[[Rhythmic Gymnastics - Women''s Individual All-Around]:[Rhythmic Gymnastics - Women''s Group All-Around]],MATCH(Table92[[#This Row],[Country]],Tabela1[Country], 0),0))</f>
        <v>0</v>
      </c>
      <c r="AH59" s="6">
        <f>SUM(INDEX(Tabela1[[Rowing - Men''s Single Sculls]:[Rowing - Women''s Lwt. Double Sculls]],MATCH(Table92[[#This Row],[Country]],Tabela1[Country], 0),0))</f>
        <v>0</v>
      </c>
      <c r="AI59" s="6">
        <f>SUM(INDEX(Tabela1[[Rugby Sevens - Men''s Tournament]:[Rugby Sevens - Women''s Tournament]],MATCH(Table92[[#This Row],[Country]],Tabela1[Country], 0),0))</f>
        <v>0</v>
      </c>
      <c r="AJ59" s="6">
        <f>SUM(INDEX(Tabela1[[Sailing - Mixed 470]:[Sailing - Mixed Nacra 17]],MATCH(Table92[[#This Row],[Country]],Tabela1[Country], 0),0))</f>
        <v>0</v>
      </c>
      <c r="AK59" s="6">
        <f>SUM(INDEX(Tabela1[[Shooting - Men''s 10m Air Pistol]:[Shooting - Women''s Trap]],MATCH(Table92[[#This Row],[Country]],Tabela1[Country], 0),0))</f>
        <v>0</v>
      </c>
      <c r="AL59" s="6">
        <f>SUM(INDEX(Tabela1[[Skateboarding - Men''s Park]:[Skateboarding - Women''s Street]],MATCH(Table92[[#This Row],[Country]],Tabela1[Country], 0),0))</f>
        <v>0</v>
      </c>
      <c r="AM59" s="6">
        <f>SUM(INDEX(Tabela1[[Sport Climbing - Men''s Boulder and Lead]:[Sport Climbing - Women''s Speed]],MATCH(Table92[[#This Row],[Country]],Tabela1[Country], 0),0))</f>
        <v>0</v>
      </c>
      <c r="AN59" s="6">
        <f>SUM(INDEX(Tabela1[[Surfing - Men''s Shortboard]:[Surfing - Women''s Shortboard]],MATCH(Table92[[#This Row],[Country]],Tabela1[Country], 0),0))</f>
        <v>0</v>
      </c>
      <c r="AO59" s="6">
        <f>SUM(INDEX(Tabela1[[Swimming - Men''s 50m Freestyle]:[Swimming - Mixed 4x100m Medley Relay]],MATCH(Table92[[#This Row],[Country]],Tabela1[Country], 0),0))</f>
        <v>0</v>
      </c>
      <c r="AP59" s="6">
        <f>SUM(INDEX(Tabela1[[Table Tennis - Men''s Singles]:[Table Tennis - Mixed Doubles]],MATCH(Table92[[#This Row],[Country]],Tabela1[Country], 0),0))</f>
        <v>3</v>
      </c>
      <c r="AQ59" s="6">
        <f>SUM(INDEX(Tabela1[[Taekwondo - Men''s 58kg]:[Taekwondo - Women''s +67kg]],MATCH(Table92[[#This Row],[Country]],Tabela1[Country], 0),0))</f>
        <v>1</v>
      </c>
      <c r="AR59" s="6">
        <f>SUM(INDEX(Tabela1[[Tennis - Men''s Singles]:[Tennis - Mixed Doubles]],MATCH(Table92[[#This Row],[Country]],Tabela1[Country], 0),0))</f>
        <v>0</v>
      </c>
      <c r="AS59" s="6">
        <f>SUM(INDEX(Tabela1[[Gymnastics - Men''s Trampoline]:[Gymnastics - Women''s Trampoline]],MATCH(Table92[[#This Row],[Country]],Tabela1[Country], 0),0))</f>
        <v>0</v>
      </c>
      <c r="AT59" s="6">
        <f>SUM(INDEX(Tabela1[[Triathlon - Men''s Individual]:[Triathlon - Mixed Relay]],MATCH(Table92[[#This Row],[Country]],Tabela1[Country], 0),0))</f>
        <v>0</v>
      </c>
      <c r="AU59" s="6">
        <f>SUM(INDEX(Tabela1[[Volleyball - Men''s Tournament]:[Volleyball - Women''s Tournament]],MATCH(Table92[[#This Row],[Country]],Tabela1[Country], 0),0))</f>
        <v>0</v>
      </c>
      <c r="AV59" s="6">
        <f>SUM(INDEX(Tabela1[[Water Polo - Men''s Tournament]:[Water Polo - Women''s Tournament]],MATCH(Table92[[#This Row],[Country]],Tabela1[Country], 0),0))</f>
        <v>0</v>
      </c>
      <c r="AW59" s="6">
        <f>SUM(INDEX(Tabela1[[Weightlifting - Men''s 61kg]:[Weightlifting - Women''s +81kg]],MATCH(Table92[[#This Row],[Country]],Tabela1[Country], 0),0))</f>
        <v>1</v>
      </c>
      <c r="AX59" s="6">
        <f>SUM(INDEX(Tabela1[[Wrestling - Men''s Freestyle 57kg]:[Wrestling - Women''s Freestyle 76kg]],MATCH(Table92[[#This Row],[Country]],Tabela1[Country], 0),0))</f>
        <v>5</v>
      </c>
      <c r="AY59" s="6">
        <f>SUM(INDEX(Tabela1[[Alpine Skiing - Men''s Downhill]:[Alpine Skiing - Women''s Team Combined]],MATCH(Table92[[#This Row],[Country]],Tabela1[Country], 0),0))</f>
        <v>0</v>
      </c>
      <c r="AZ59" s="6">
        <f>SUM(INDEX(Tabela1[[Biathlon - Men''s Individual]:[Biathlon - Mixed Relay]],MATCH(Table92[[#This Row],[Country]],Tabela1[Country], 0),0))</f>
        <v>0</v>
      </c>
      <c r="BA59" s="6">
        <f>SUM(INDEX(Tabela1[[Bobsleigh - Women''s Monobob]:[Bobsleigh - Men''s Four]],MATCH(Table92[[#This Row],[Country]],Tabela1[Country], 0),0))</f>
        <v>0</v>
      </c>
      <c r="BB59" s="6">
        <f>SUM(INDEX(Tabela1[[Cross-country skiing - Men''s Classical]:[Cross-country skiing - Women''s Team Sprint]],MATCH(Table92[[#This Row],[Country]],Tabela1[Country], 0),0))</f>
        <v>0</v>
      </c>
      <c r="BC59" s="6">
        <f>SUM(INDEX(Tabela1[[Curling - Men''s Tournament]:[Curling - Mixed Doubles]],MATCH(Table92[[#This Row],[Country]],Tabela1[Country], 0),0))</f>
        <v>0</v>
      </c>
      <c r="BD59" s="6">
        <f>SUM(INDEX(Tabela1[[Figure Skating - Men''s Singles]:[Figure Skating - Team Event]],MATCH(Table92[[#This Row],[Country]],Tabela1[Country], 0),0))</f>
        <v>0</v>
      </c>
      <c r="BE59" s="6">
        <f>SUM(INDEX(Tabela1[[Freestyle Skiing - Men''s Aerials]:[Freestyle Skiing - Women''s Slopestyle]],MATCH(Table92[[#This Row],[Country]],Tabela1[Country], 0),0))</f>
        <v>0</v>
      </c>
      <c r="BF59" s="6">
        <f>SUM(INDEX(Tabela1[[Ice Hockey - Men''s Tournament]:[Ice Hockey - Women''s Tournament]],MATCH(Table92[[#This Row],[Country]],Tabela1[Country], 0),0))</f>
        <v>0</v>
      </c>
      <c r="BG59" s="6">
        <f>SUM(INDEX(Tabela1[[Luge - Men''s Singles]:[Luge - Mixed Team Relay]],MATCH(Table92[[#This Row],[Country]],Tabela1[Country], 0),0))</f>
        <v>0</v>
      </c>
      <c r="BH59" s="6">
        <f>SUM(INDEX(Tabela1[[Nordic Combined - Men''s Individual]:[Nordic Combined - Men''s Team Sprint Large Hill]],MATCH(Table92[[#This Row],[Country]],Tabela1[Country], 0),0))</f>
        <v>0</v>
      </c>
      <c r="BI59" s="6">
        <f>SUM(INDEX(Tabela1[[Short track speed skating - Men''s 500m]:[Short track speed skating - Mixed 2000m Relay]],MATCH(Table92[[#This Row],[Country]],Tabela1[Country], 0),0))</f>
        <v>0</v>
      </c>
      <c r="BJ59" s="6">
        <f>SUM(INDEX(Tabela1[[Skeleton - Men''s Individual]:[Skeleton - Mixed Team]],MATCH(Table92[[#This Row],[Country]],Tabela1[Country], 0),0))</f>
        <v>0</v>
      </c>
      <c r="BK59" s="6">
        <f>SUM(INDEX(Tabela1[[Ski Jumping - Men''s Individual Large Hill]:[Ski Jumping - Mixed Team Normal Hill]],MATCH(Table92[[#This Row],[Country]],Tabela1[Country], 0),0))</f>
        <v>0</v>
      </c>
      <c r="BL59" s="6">
        <f>SUM(INDEX(Tabela1[[Ski Mountaineering - Men''s Sprint]:[Ski Mountaineering - Mixed Relay]],MATCH(Table92[[#This Row],[Country]],Tabela1[Country], 0),0))</f>
        <v>0</v>
      </c>
      <c r="BM59" s="6">
        <f>SUM(INDEX(Tabela1[[Snowboarding - Men''s Big Air]:[Snowboarding - Mixed Team Snowboard Cross]],MATCH(Table92[[#This Row],[Country]],Tabela1[Country], 0),0))</f>
        <v>0</v>
      </c>
      <c r="BN59" s="6">
        <f>SUM(INDEX(Tabela1[[Speed Skating - Men''s 500m]:[Speed Skating - Women''s Team Pursuit]],MATCH(Table92[[#This Row],[Country]],Tabela1[Country], 0),0))</f>
        <v>0</v>
      </c>
      <c r="BO59" s="6" t="str">
        <f>SUBSTITUTE(INDEX(Table92[[#Headers],[Archery Quotas]:[Speed Skating Quotas]], MATCH(MAX(Table92[[#This Row],[Archery Quotas]:[Speed Skating Quotas]]), Table92[[#This Row],[Archery Quotas]:[Speed Skating Quotas]], 0))," Quotas","")</f>
        <v>Wrestling</v>
      </c>
      <c r="BP59" s="6">
        <f>SUM(Table92[[#This Row],[Summer Sports]:[Winter Sports]])</f>
        <v>5</v>
      </c>
      <c r="BQ59" s="6">
        <f>COUNTIF(Table92[[#This Row],[Archery Quotas]:[Wrestling Quotas]],"&lt;&gt;0")</f>
        <v>5</v>
      </c>
      <c r="BR59" s="6">
        <f>COUNTIF(Table92[[#This Row],[Alpine Skiing Quotas]:[Speed Skating Quotas]],"&lt;&gt;0")</f>
        <v>0</v>
      </c>
      <c r="BS59" s="3" t="s">
        <v>361</v>
      </c>
    </row>
    <row r="60" spans="1:71" x14ac:dyDescent="0.3">
      <c r="A60" s="6" t="s">
        <v>700</v>
      </c>
      <c r="B60" t="e" vm="58">
        <f>IF(ISBLANK(Table92[[#This Row],[Flag Link]]), "", _xlfn.IMAGE(Table92[[#This Row],[Flag Link]],1,1))</f>
        <v>#VALUE!</v>
      </c>
      <c r="C60" s="6">
        <f>SUM(Table92[[#This Row],[Archery Quotas]:[Speed Skating Quotas]])</f>
        <v>11</v>
      </c>
      <c r="D60" s="6">
        <f>SUM(INDEX(Tabela1[[Archery - Men''s Individual Recurve]:[Archery - Mixed Team Recurve]],MATCH(Table92[[#This Row],[Country]],Tabela1[Country], 0),0))</f>
        <v>3</v>
      </c>
      <c r="E60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60" s="6">
        <f>SUM(INDEX(Tabela1[[Artistic Swimming - Women''s Duet]:[Artistic Swimming - Women''s Team]],MATCH(Table92[[#This Row],[Country]],Tabela1[Country], 0),0))</f>
        <v>0</v>
      </c>
      <c r="G60" s="6">
        <f>SUM(INDEX(Tabela1[[Athletics - Men''s 100m]:[Athletics - Women''s Heptathlon]],MATCH(Table92[[#This Row],[Country]],Tabela1[Country], 0),0))</f>
        <v>0</v>
      </c>
      <c r="H60" s="6">
        <f>SUM(INDEX(Tabela1[[Badminton - Men''s Singles]:[Badminton - Mixed Doubles]],MATCH(Table92[[#This Row],[Country]],Tabela1[Country], 0),0))</f>
        <v>1</v>
      </c>
      <c r="I60" s="6">
        <f>SUM(INDEX(Tabela1[[Basketball - Men''s Tournament]:[Basketball - Women''s Tournament]],MATCH(Table92[[#This Row],[Country]],Tabela1[Country], 0),0))</f>
        <v>0</v>
      </c>
      <c r="J60" s="6">
        <f>SUM(INDEX(Tabela1[[3x3 Basketball - Men''s Tournament]:[3x3 Basketball - Women''s Tournament]],MATCH(Table92[[#This Row],[Country]],Tabela1[Country], 0),0))</f>
        <v>0</v>
      </c>
      <c r="K60" s="6">
        <f>SUM(INDEX(Tabela1[[Beach Volleyball - Men''s Tournament]:[Beach Volleyball - Women''s Tournament]],MATCH(Table92[[#This Row],[Country]],Tabela1[Country], 0),0))</f>
        <v>0</v>
      </c>
      <c r="L60" s="6">
        <f>SUM(INDEX(Tabela1[[Boxing - Men''s 51kg]:[Boxing - Women''s 75kg]],MATCH(Table92[[#This Row],[Country]],Tabela1[Country], 0),0))</f>
        <v>1</v>
      </c>
      <c r="M60" s="6">
        <f>SUM(INDEX(Tabela1[[Breaking - Men''s Individual]:[Breaking - Women''s Individual]],MATCH(Table92[[#This Row],[Country]],Tabela1[Country], 0),0))</f>
        <v>0</v>
      </c>
      <c r="N60" s="6">
        <f>SUM(INDEX(Tabela1[[Canoeing - Men''s C1 Slalom]:[Canoeing - Women''s Kayak Cross Slalom]],MATCH(Table92[[#This Row],[Country]],Tabela1[Country], 0),0))</f>
        <v>0</v>
      </c>
      <c r="O60" s="6">
        <f>SUM(INDEX(Tabela1[[Canoeing - Women''s C1 200m]:[Canoeing - Women''s K4 500m]],MATCH(Table92[[#This Row],[Country]],Tabela1[Country], 0),0))</f>
        <v>0</v>
      </c>
      <c r="P60" s="6">
        <f>SUM(INDEX(Tabela1[[Cycling - Men''s BMX Freestyle]:[Cycling - Women''s BMX Freestyle]],MATCH(Table92[[#This Row],[Country]],Tabela1[Country], 0),0))</f>
        <v>0</v>
      </c>
      <c r="Q60" s="6">
        <f>SUM(INDEX(Tabela1[[Cycling - Men''s BMX Racing]:[Cycling - Women''s BMX Racing]],MATCH(Table92[[#This Row],[Country]],Tabela1[Country], 0),0))</f>
        <v>0</v>
      </c>
      <c r="R60" s="6">
        <f>SUM(INDEX(Tabela1[[Cycling - Men''s Cross-Country]:[Cycling - Women''s Cross-Country]],MATCH(Table92[[#This Row],[Country]],Tabela1[Country], 0),0))</f>
        <v>0</v>
      </c>
      <c r="S60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60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60" s="6">
        <f>SUM(INDEX(Tabela1[[Diving - Men''s Springboard]:[Diving - Women''s Synchronized Platform]],MATCH(Table92[[#This Row],[Country]],Tabela1[Country], 0),0))</f>
        <v>0</v>
      </c>
      <c r="V60" s="6">
        <f>SUM(INDEX(Tabela1[[Equestrian - Individual Dressage]:[Equestrian - Team Dressage]],MATCH(Table92[[#This Row],[Country]],Tabela1[Country], 0),0))</f>
        <v>0</v>
      </c>
      <c r="W60" s="6">
        <f>SUM(INDEX(Tabela1[[Equestrian - Individual Eventing]:[Equestrian - Team Eventing]],MATCH(Table92[[#This Row],[Country]],Tabela1[Country], 0),0))</f>
        <v>0</v>
      </c>
      <c r="X60" s="6">
        <f>SUM(INDEX(Tabela1[[Equestrian - Individual Jumping]:[Equestrian - Team Jumping]],MATCH(Table92[[#This Row],[Country]],Tabela1[Country], 0),0))</f>
        <v>0</v>
      </c>
      <c r="Y60" s="6">
        <f>SUM(INDEX(Tabela1[[Fencing - Men''s Épée]:[Fencing - Women''s Team Sabre]],MATCH(Table92[[#This Row],[Country]],Tabela1[Country], 0),0))</f>
        <v>0</v>
      </c>
      <c r="Z60" s="6">
        <f>SUM(INDEX(Tabela1[[Field Hockey - Men''s Tournament]:[Field Hockey - Women''s Tournament]],MATCH(Table92[[#This Row],[Country]],Tabela1[Country], 0),0))</f>
        <v>0</v>
      </c>
      <c r="AA60" s="6">
        <f>SUM(INDEX(Tabela1[[Football - Men''s Tournament]:[Football - Women''s Tournament]],MATCH(Table92[[#This Row],[Country]],Tabela1[Country], 0),0))</f>
        <v>0</v>
      </c>
      <c r="AB60" s="6">
        <f>SUM(INDEX(Tabela1[[Golf - Men''s Individual]:[Golf - Women''s Individual]],MATCH(Table92[[#This Row],[Country]],Tabela1[Country], 0),0))</f>
        <v>0</v>
      </c>
      <c r="AC60" s="6">
        <f>SUM(INDEX(Tabela1[[Handball - Men''s Tournament]:[Handball - Women''s Tournament]],MATCH(Table92[[#This Row],[Country]],Tabela1[Country], 0),0))</f>
        <v>0</v>
      </c>
      <c r="AD60" s="6">
        <f>SUM(INDEX(Tabela1[[Judo - Men''s 60kg]:[Judo - Mixed Team]],MATCH(Table92[[#This Row],[Country]],Tabela1[Country], 0),0))</f>
        <v>0</v>
      </c>
      <c r="AE60" s="6">
        <f>SUM(INDEX(Tabela1[[Swimming - Men''s 10km Open Water]:[Swimming - Women''s 10km Open Water]],MATCH(Table92[[#This Row],[Country]],Tabela1[Country], 0),0))</f>
        <v>0</v>
      </c>
      <c r="AF60" s="6">
        <f>SUM(INDEX(Tabela1[[Modern Pentathlon - Men''s Individual]:[Modern Pentathlon - Women''s Individual]],MATCH(Table92[[#This Row],[Country]],Tabela1[Country], 0),0))</f>
        <v>0</v>
      </c>
      <c r="AG60" s="6">
        <f>SUM(INDEX(Tabela1[[Rhythmic Gymnastics - Women''s Individual All-Around]:[Rhythmic Gymnastics - Women''s Group All-Around]],MATCH(Table92[[#This Row],[Country]],Tabela1[Country], 0),0))</f>
        <v>0</v>
      </c>
      <c r="AH60" s="6">
        <f>SUM(INDEX(Tabela1[[Rowing - Men''s Single Sculls]:[Rowing - Women''s Lwt. Double Sculls]],MATCH(Table92[[#This Row],[Country]],Tabela1[Country], 0),0))</f>
        <v>0</v>
      </c>
      <c r="AI60" s="6">
        <f>SUM(INDEX(Tabela1[[Rugby Sevens - Men''s Tournament]:[Rugby Sevens - Women''s Tournament]],MATCH(Table92[[#This Row],[Country]],Tabela1[Country], 0),0))</f>
        <v>0</v>
      </c>
      <c r="AJ60" s="6">
        <f>SUM(INDEX(Tabela1[[Sailing - Mixed 470]:[Sailing - Mixed Nacra 17]],MATCH(Table92[[#This Row],[Country]],Tabela1[Country], 0),0))</f>
        <v>0</v>
      </c>
      <c r="AK60" s="6">
        <f>SUM(INDEX(Tabela1[[Shooting - Men''s 10m Air Pistol]:[Shooting - Women''s Trap]],MATCH(Table92[[#This Row],[Country]],Tabela1[Country], 0),0))</f>
        <v>1</v>
      </c>
      <c r="AL60" s="6">
        <f>SUM(INDEX(Tabela1[[Skateboarding - Men''s Park]:[Skateboarding - Women''s Street]],MATCH(Table92[[#This Row],[Country]],Tabela1[Country], 0),0))</f>
        <v>0</v>
      </c>
      <c r="AM60" s="6">
        <f>SUM(INDEX(Tabela1[[Sport Climbing - Men''s Boulder and Lead]:[Sport Climbing - Women''s Speed]],MATCH(Table92[[#This Row],[Country]],Tabela1[Country], 0),0))</f>
        <v>0</v>
      </c>
      <c r="AN60" s="6">
        <f>SUM(INDEX(Tabela1[[Surfing - Men''s Shortboard]:[Surfing - Women''s Shortboard]],MATCH(Table92[[#This Row],[Country]],Tabela1[Country], 0),0))</f>
        <v>0</v>
      </c>
      <c r="AO60" s="6">
        <f>SUM(INDEX(Tabela1[[Swimming - Men''s 50m Freestyle]:[Swimming - Mixed 4x100m Medley Relay]],MATCH(Table92[[#This Row],[Country]],Tabela1[Country], 0),0))</f>
        <v>0</v>
      </c>
      <c r="AP60" s="6">
        <f>SUM(INDEX(Tabela1[[Table Tennis - Men''s Singles]:[Table Tennis - Mixed Doubles]],MATCH(Table92[[#This Row],[Country]],Tabela1[Country], 0),0))</f>
        <v>2</v>
      </c>
      <c r="AQ60" s="6">
        <f>SUM(INDEX(Tabela1[[Taekwondo - Men''s 58kg]:[Taekwondo - Women''s +67kg]],MATCH(Table92[[#This Row],[Country]],Tabela1[Country], 0),0))</f>
        <v>1</v>
      </c>
      <c r="AR60" s="6">
        <f>SUM(INDEX(Tabela1[[Tennis - Men''s Singles]:[Tennis - Mixed Doubles]],MATCH(Table92[[#This Row],[Country]],Tabela1[Country], 0),0))</f>
        <v>0</v>
      </c>
      <c r="AS60" s="6">
        <f>SUM(INDEX(Tabela1[[Gymnastics - Men''s Trampoline]:[Gymnastics - Women''s Trampoline]],MATCH(Table92[[#This Row],[Country]],Tabela1[Country], 0),0))</f>
        <v>0</v>
      </c>
      <c r="AT60" s="6">
        <f>SUM(INDEX(Tabela1[[Triathlon - Men''s Individual]:[Triathlon - Mixed Relay]],MATCH(Table92[[#This Row],[Country]],Tabela1[Country], 0),0))</f>
        <v>0</v>
      </c>
      <c r="AU60" s="6">
        <f>SUM(INDEX(Tabela1[[Volleyball - Men''s Tournament]:[Volleyball - Women''s Tournament]],MATCH(Table92[[#This Row],[Country]],Tabela1[Country], 0),0))</f>
        <v>0</v>
      </c>
      <c r="AV60" s="6">
        <f>SUM(INDEX(Tabela1[[Water Polo - Men''s Tournament]:[Water Polo - Women''s Tournament]],MATCH(Table92[[#This Row],[Country]],Tabela1[Country], 0),0))</f>
        <v>0</v>
      </c>
      <c r="AW60" s="6">
        <f>SUM(INDEX(Tabela1[[Weightlifting - Men''s 61kg]:[Weightlifting - Women''s +81kg]],MATCH(Table92[[#This Row],[Country]],Tabela1[Country], 0),0))</f>
        <v>0</v>
      </c>
      <c r="AX60" s="6">
        <f>SUM(INDEX(Tabela1[[Wrestling - Men''s Freestyle 57kg]:[Wrestling - Women''s Freestyle 76kg]],MATCH(Table92[[#This Row],[Country]],Tabela1[Country], 0),0))</f>
        <v>0</v>
      </c>
      <c r="AY60" s="6">
        <f>SUM(INDEX(Tabela1[[Alpine Skiing - Men''s Downhill]:[Alpine Skiing - Women''s Team Combined]],MATCH(Table92[[#This Row],[Country]],Tabela1[Country], 0),0))</f>
        <v>0</v>
      </c>
      <c r="AZ60" s="6">
        <f>SUM(INDEX(Tabela1[[Biathlon - Men''s Individual]:[Biathlon - Mixed Relay]],MATCH(Table92[[#This Row],[Country]],Tabela1[Country], 0),0))</f>
        <v>0</v>
      </c>
      <c r="BA60" s="6">
        <f>SUM(INDEX(Tabela1[[Bobsleigh - Women''s Monobob]:[Bobsleigh - Men''s Four]],MATCH(Table92[[#This Row],[Country]],Tabela1[Country], 0),0))</f>
        <v>0</v>
      </c>
      <c r="BB60" s="6">
        <f>SUM(INDEX(Tabela1[[Cross-country skiing - Men''s Classical]:[Cross-country skiing - Women''s Team Sprint]],MATCH(Table92[[#This Row],[Country]],Tabela1[Country], 0),0))</f>
        <v>0</v>
      </c>
      <c r="BC60" s="6">
        <f>SUM(INDEX(Tabela1[[Curling - Men''s Tournament]:[Curling - Mixed Doubles]],MATCH(Table92[[#This Row],[Country]],Tabela1[Country], 0),0))</f>
        <v>0</v>
      </c>
      <c r="BD60" s="6">
        <f>SUM(INDEX(Tabela1[[Figure Skating - Men''s Singles]:[Figure Skating - Team Event]],MATCH(Table92[[#This Row],[Country]],Tabela1[Country], 0),0))</f>
        <v>2</v>
      </c>
      <c r="BE60" s="6">
        <f>SUM(INDEX(Tabela1[[Freestyle Skiing - Men''s Aerials]:[Freestyle Skiing - Women''s Slopestyle]],MATCH(Table92[[#This Row],[Country]],Tabela1[Country], 0),0))</f>
        <v>0</v>
      </c>
      <c r="BF60" s="6">
        <f>SUM(INDEX(Tabela1[[Ice Hockey - Men''s Tournament]:[Ice Hockey - Women''s Tournament]],MATCH(Table92[[#This Row],[Country]],Tabela1[Country], 0),0))</f>
        <v>0</v>
      </c>
      <c r="BG60" s="6">
        <f>SUM(INDEX(Tabela1[[Luge - Men''s Singles]:[Luge - Mixed Team Relay]],MATCH(Table92[[#This Row],[Country]],Tabela1[Country], 0),0))</f>
        <v>0</v>
      </c>
      <c r="BH60" s="6">
        <f>SUM(INDEX(Tabela1[[Nordic Combined - Men''s Individual]:[Nordic Combined - Men''s Team Sprint Large Hill]],MATCH(Table92[[#This Row],[Country]],Tabela1[Country], 0),0))</f>
        <v>0</v>
      </c>
      <c r="BI60" s="6">
        <f>SUM(INDEX(Tabela1[[Short track speed skating - Men''s 500m]:[Short track speed skating - Mixed 2000m Relay]],MATCH(Table92[[#This Row],[Country]],Tabela1[Country], 0),0))</f>
        <v>0</v>
      </c>
      <c r="BJ60" s="6">
        <f>SUM(INDEX(Tabela1[[Skeleton - Men''s Individual]:[Skeleton - Mixed Team]],MATCH(Table92[[#This Row],[Country]],Tabela1[Country], 0),0))</f>
        <v>0</v>
      </c>
      <c r="BK60" s="6">
        <f>SUM(INDEX(Tabela1[[Ski Jumping - Men''s Individual Large Hill]:[Ski Jumping - Mixed Team Normal Hill]],MATCH(Table92[[#This Row],[Country]],Tabela1[Country], 0),0))</f>
        <v>0</v>
      </c>
      <c r="BL60" s="6">
        <f>SUM(INDEX(Tabela1[[Ski Mountaineering - Men''s Sprint]:[Ski Mountaineering - Mixed Relay]],MATCH(Table92[[#This Row],[Country]],Tabela1[Country], 0),0))</f>
        <v>0</v>
      </c>
      <c r="BM60" s="6">
        <f>SUM(INDEX(Tabela1[[Snowboarding - Men''s Big Air]:[Snowboarding - Mixed Team Snowboard Cross]],MATCH(Table92[[#This Row],[Country]],Tabela1[Country], 0),0))</f>
        <v>0</v>
      </c>
      <c r="BN60" s="6">
        <f>SUM(INDEX(Tabela1[[Speed Skating - Men''s 500m]:[Speed Skating - Women''s Team Pursuit]],MATCH(Table92[[#This Row],[Country]],Tabela1[Country], 0),0))</f>
        <v>0</v>
      </c>
      <c r="BO60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60" s="6">
        <f>SUM(Table92[[#This Row],[Summer Sports]:[Winter Sports]])</f>
        <v>7</v>
      </c>
      <c r="BQ60" s="6">
        <f>COUNTIF(Table92[[#This Row],[Archery Quotas]:[Wrestling Quotas]],"&lt;&gt;0")</f>
        <v>6</v>
      </c>
      <c r="BR60" s="6">
        <f>COUNTIF(Table92[[#This Row],[Alpine Skiing Quotas]:[Speed Skating Quotas]],"&lt;&gt;0")</f>
        <v>1</v>
      </c>
      <c r="BS60" s="3" t="s">
        <v>701</v>
      </c>
    </row>
    <row r="61" spans="1:71" x14ac:dyDescent="0.3">
      <c r="A61" s="6" t="s">
        <v>404</v>
      </c>
      <c r="B61" t="e" vm="56">
        <f>IF(ISBLANK(Table92[[#This Row],[Flag Link]]), "", _xlfn.IMAGE(Table92[[#This Row],[Flag Link]],1,1))</f>
        <v>#VALUE!</v>
      </c>
      <c r="C61" s="6">
        <f>SUM(Table92[[#This Row],[Archery Quotas]:[Speed Skating Quotas]])</f>
        <v>11</v>
      </c>
      <c r="D61" s="6">
        <f>SUM(INDEX(Tabela1[[Archery - Men''s Individual Recurve]:[Archery - Mixed Team Recurve]],MATCH(Table92[[#This Row],[Country]],Tabela1[Country], 0),0))</f>
        <v>0</v>
      </c>
      <c r="E61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61" s="6">
        <f>SUM(INDEX(Tabela1[[Artistic Swimming - Women''s Duet]:[Artistic Swimming - Women''s Team]],MATCH(Table92[[#This Row],[Country]],Tabela1[Country], 0),0))</f>
        <v>0</v>
      </c>
      <c r="G61" s="6">
        <f>SUM(INDEX(Tabela1[[Athletics - Men''s 100m]:[Athletics - Women''s Heptathlon]],MATCH(Table92[[#This Row],[Country]],Tabela1[Country], 0),0))</f>
        <v>1</v>
      </c>
      <c r="H61" s="6">
        <f>SUM(INDEX(Tabela1[[Badminton - Men''s Singles]:[Badminton - Mixed Doubles]],MATCH(Table92[[#This Row],[Country]],Tabela1[Country], 0),0))</f>
        <v>0</v>
      </c>
      <c r="I61" s="6">
        <f>SUM(INDEX(Tabela1[[Basketball - Men''s Tournament]:[Basketball - Women''s Tournament]],MATCH(Table92[[#This Row],[Country]],Tabela1[Country], 0),0))</f>
        <v>0</v>
      </c>
      <c r="J61" s="6">
        <f>SUM(INDEX(Tabela1[[3x3 Basketball - Men''s Tournament]:[3x3 Basketball - Women''s Tournament]],MATCH(Table92[[#This Row],[Country]],Tabela1[Country], 0),0))</f>
        <v>0</v>
      </c>
      <c r="K61" s="6">
        <f>SUM(INDEX(Tabela1[[Beach Volleyball - Men''s Tournament]:[Beach Volleyball - Women''s Tournament]],MATCH(Table92[[#This Row],[Country]],Tabela1[Country], 0),0))</f>
        <v>0</v>
      </c>
      <c r="L61" s="6">
        <f>SUM(INDEX(Tabela1[[Boxing - Men''s 51kg]:[Boxing - Women''s 75kg]],MATCH(Table92[[#This Row],[Country]],Tabela1[Country], 0),0))</f>
        <v>0</v>
      </c>
      <c r="M61" s="6">
        <f>SUM(INDEX(Tabela1[[Breaking - Men''s Individual]:[Breaking - Women''s Individual]],MATCH(Table92[[#This Row],[Country]],Tabela1[Country], 0),0))</f>
        <v>0</v>
      </c>
      <c r="N61" s="6">
        <f>SUM(INDEX(Tabela1[[Canoeing - Men''s C1 Slalom]:[Canoeing - Women''s Kayak Cross Slalom]],MATCH(Table92[[#This Row],[Country]],Tabela1[Country], 0),0))</f>
        <v>3</v>
      </c>
      <c r="O61" s="6">
        <f>SUM(INDEX(Tabela1[[Canoeing - Women''s C1 200m]:[Canoeing - Women''s K4 500m]],MATCH(Table92[[#This Row],[Country]],Tabela1[Country], 0),0))</f>
        <v>0</v>
      </c>
      <c r="P61" s="6">
        <f>SUM(INDEX(Tabela1[[Cycling - Men''s BMX Freestyle]:[Cycling - Women''s BMX Freestyle]],MATCH(Table92[[#This Row],[Country]],Tabela1[Country], 0),0))</f>
        <v>0</v>
      </c>
      <c r="Q61" s="6">
        <f>SUM(INDEX(Tabela1[[Cycling - Men''s BMX Racing]:[Cycling - Women''s BMX Racing]],MATCH(Table92[[#This Row],[Country]],Tabela1[Country], 0),0))</f>
        <v>0</v>
      </c>
      <c r="R61" s="6">
        <f>SUM(INDEX(Tabela1[[Cycling - Men''s Cross-Country]:[Cycling - Women''s Cross-Country]],MATCH(Table92[[#This Row],[Country]],Tabela1[Country], 0),0))</f>
        <v>0</v>
      </c>
      <c r="S61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61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61" s="6">
        <f>SUM(INDEX(Tabela1[[Diving - Men''s Springboard]:[Diving - Women''s Synchronized Platform]],MATCH(Table92[[#This Row],[Country]],Tabela1[Country], 0),0))</f>
        <v>0</v>
      </c>
      <c r="V61" s="6">
        <f>SUM(INDEX(Tabela1[[Equestrian - Individual Dressage]:[Equestrian - Team Dressage]],MATCH(Table92[[#This Row],[Country]],Tabela1[Country], 0),0))</f>
        <v>0</v>
      </c>
      <c r="W61" s="6">
        <f>SUM(INDEX(Tabela1[[Equestrian - Individual Eventing]:[Equestrian - Team Eventing]],MATCH(Table92[[#This Row],[Country]],Tabela1[Country], 0),0))</f>
        <v>0</v>
      </c>
      <c r="X61" s="6">
        <f>SUM(INDEX(Tabela1[[Equestrian - Individual Jumping]:[Equestrian - Team Jumping]],MATCH(Table92[[#This Row],[Country]],Tabela1[Country], 0),0))</f>
        <v>0</v>
      </c>
      <c r="Y61" s="6">
        <f>SUM(INDEX(Tabela1[[Fencing - Men''s Épée]:[Fencing - Women''s Team Sabre]],MATCH(Table92[[#This Row],[Country]],Tabela1[Country], 0),0))</f>
        <v>2</v>
      </c>
      <c r="Z61" s="6">
        <f>SUM(INDEX(Tabela1[[Field Hockey - Men''s Tournament]:[Field Hockey - Women''s Tournament]],MATCH(Table92[[#This Row],[Country]],Tabela1[Country], 0),0))</f>
        <v>0</v>
      </c>
      <c r="AA61" s="6">
        <f>SUM(INDEX(Tabela1[[Football - Men''s Tournament]:[Football - Women''s Tournament]],MATCH(Table92[[#This Row],[Country]],Tabela1[Country], 0),0))</f>
        <v>0</v>
      </c>
      <c r="AB61" s="6">
        <f>SUM(INDEX(Tabela1[[Golf - Men''s Individual]:[Golf - Women''s Individual]],MATCH(Table92[[#This Row],[Country]],Tabela1[Country], 0),0))</f>
        <v>0</v>
      </c>
      <c r="AC61" s="6">
        <f>SUM(INDEX(Tabela1[[Handball - Men''s Tournament]:[Handball - Women''s Tournament]],MATCH(Table92[[#This Row],[Country]],Tabela1[Country], 0),0))</f>
        <v>0</v>
      </c>
      <c r="AD61" s="6">
        <f>SUM(INDEX(Tabela1[[Judo - Men''s 60kg]:[Judo - Mixed Team]],MATCH(Table92[[#This Row],[Country]],Tabela1[Country], 0),0))</f>
        <v>0</v>
      </c>
      <c r="AE61" s="6">
        <f>SUM(INDEX(Tabela1[[Swimming - Men''s 10km Open Water]:[Swimming - Women''s 10km Open Water]],MATCH(Table92[[#This Row],[Country]],Tabela1[Country], 0),0))</f>
        <v>0</v>
      </c>
      <c r="AF61" s="6">
        <f>SUM(INDEX(Tabela1[[Modern Pentathlon - Men''s Individual]:[Modern Pentathlon - Women''s Individual]],MATCH(Table92[[#This Row],[Country]],Tabela1[Country], 0),0))</f>
        <v>0</v>
      </c>
      <c r="AG61" s="6">
        <f>SUM(INDEX(Tabela1[[Rhythmic Gymnastics - Women''s Individual All-Around]:[Rhythmic Gymnastics - Women''s Group All-Around]],MATCH(Table92[[#This Row],[Country]],Tabela1[Country], 0),0))</f>
        <v>0</v>
      </c>
      <c r="AH61" s="6">
        <f>SUM(INDEX(Tabela1[[Rowing - Men''s Single Sculls]:[Rowing - Women''s Lwt. Double Sculls]],MATCH(Table92[[#This Row],[Country]],Tabela1[Country], 0),0))</f>
        <v>0</v>
      </c>
      <c r="AI61" s="6">
        <f>SUM(INDEX(Tabela1[[Rugby Sevens - Men''s Tournament]:[Rugby Sevens - Women''s Tournament]],MATCH(Table92[[#This Row],[Country]],Tabela1[Country], 0),0))</f>
        <v>0</v>
      </c>
      <c r="AJ61" s="6">
        <f>SUM(INDEX(Tabela1[[Sailing - Mixed 470]:[Sailing - Mixed Nacra 17]],MATCH(Table92[[#This Row],[Country]],Tabela1[Country], 0),0))</f>
        <v>0</v>
      </c>
      <c r="AK61" s="6">
        <f>SUM(INDEX(Tabela1[[Shooting - Men''s 10m Air Pistol]:[Shooting - Women''s Trap]],MATCH(Table92[[#This Row],[Country]],Tabela1[Country], 0),0))</f>
        <v>1</v>
      </c>
      <c r="AL61" s="6">
        <f>SUM(INDEX(Tabela1[[Skateboarding - Men''s Park]:[Skateboarding - Women''s Street]],MATCH(Table92[[#This Row],[Country]],Tabela1[Country], 0),0))</f>
        <v>0</v>
      </c>
      <c r="AM61" s="6">
        <f>SUM(INDEX(Tabela1[[Sport Climbing - Men''s Boulder and Lead]:[Sport Climbing - Women''s Speed]],MATCH(Table92[[#This Row],[Country]],Tabela1[Country], 0),0))</f>
        <v>0</v>
      </c>
      <c r="AN61" s="6">
        <f>SUM(INDEX(Tabela1[[Surfing - Men''s Shortboard]:[Surfing - Women''s Shortboard]],MATCH(Table92[[#This Row],[Country]],Tabela1[Country], 0),0))</f>
        <v>0</v>
      </c>
      <c r="AO61" s="6">
        <f>SUM(INDEX(Tabela1[[Swimming - Men''s 50m Freestyle]:[Swimming - Mixed 4x100m Medley Relay]],MATCH(Table92[[#This Row],[Country]],Tabela1[Country], 0),0))</f>
        <v>0</v>
      </c>
      <c r="AP61" s="6">
        <f>SUM(INDEX(Tabela1[[Table Tennis - Men''s Singles]:[Table Tennis - Mixed Doubles]],MATCH(Table92[[#This Row],[Country]],Tabela1[Country], 0),0))</f>
        <v>0</v>
      </c>
      <c r="AQ61" s="6">
        <f>SUM(INDEX(Tabela1[[Taekwondo - Men''s 58kg]:[Taekwondo - Women''s +67kg]],MATCH(Table92[[#This Row],[Country]],Tabela1[Country], 0),0))</f>
        <v>3</v>
      </c>
      <c r="AR61" s="6">
        <f>SUM(INDEX(Tabela1[[Tennis - Men''s Singles]:[Tennis - Mixed Doubles]],MATCH(Table92[[#This Row],[Country]],Tabela1[Country], 0),0))</f>
        <v>1</v>
      </c>
      <c r="AS61" s="6">
        <f>SUM(INDEX(Tabela1[[Gymnastics - Men''s Trampoline]:[Gymnastics - Women''s Trampoline]],MATCH(Table92[[#This Row],[Country]],Tabela1[Country], 0),0))</f>
        <v>0</v>
      </c>
      <c r="AT61" s="6">
        <f>SUM(INDEX(Tabela1[[Triathlon - Men''s Individual]:[Triathlon - Mixed Relay]],MATCH(Table92[[#This Row],[Country]],Tabela1[Country], 0),0))</f>
        <v>0</v>
      </c>
      <c r="AU61" s="6">
        <f>SUM(INDEX(Tabela1[[Volleyball - Men''s Tournament]:[Volleyball - Women''s Tournament]],MATCH(Table92[[#This Row],[Country]],Tabela1[Country], 0),0))</f>
        <v>0</v>
      </c>
      <c r="AV61" s="6">
        <f>SUM(INDEX(Tabela1[[Water Polo - Men''s Tournament]:[Water Polo - Women''s Tournament]],MATCH(Table92[[#This Row],[Country]],Tabela1[Country], 0),0))</f>
        <v>0</v>
      </c>
      <c r="AW61" s="6">
        <f>SUM(INDEX(Tabela1[[Weightlifting - Men''s 61kg]:[Weightlifting - Women''s +81kg]],MATCH(Table92[[#This Row],[Country]],Tabela1[Country], 0),0))</f>
        <v>0</v>
      </c>
      <c r="AX61" s="6">
        <f>SUM(INDEX(Tabela1[[Wrestling - Men''s Freestyle 57kg]:[Wrestling - Women''s Freestyle 76kg]],MATCH(Table92[[#This Row],[Country]],Tabela1[Country], 0),0))</f>
        <v>0</v>
      </c>
      <c r="AY61" s="6">
        <f>SUM(INDEX(Tabela1[[Alpine Skiing - Men''s Downhill]:[Alpine Skiing - Women''s Team Combined]],MATCH(Table92[[#This Row],[Country]],Tabela1[Country], 0),0))</f>
        <v>0</v>
      </c>
      <c r="AZ61" s="6">
        <f>SUM(INDEX(Tabela1[[Biathlon - Men''s Individual]:[Biathlon - Mixed Relay]],MATCH(Table92[[#This Row],[Country]],Tabela1[Country], 0),0))</f>
        <v>0</v>
      </c>
      <c r="BA61" s="6">
        <f>SUM(INDEX(Tabela1[[Bobsleigh - Women''s Monobob]:[Bobsleigh - Men''s Four]],MATCH(Table92[[#This Row],[Country]],Tabela1[Country], 0),0))</f>
        <v>0</v>
      </c>
      <c r="BB61" s="6">
        <f>SUM(INDEX(Tabela1[[Cross-country skiing - Men''s Classical]:[Cross-country skiing - Women''s Team Sprint]],MATCH(Table92[[#This Row],[Country]],Tabela1[Country], 0),0))</f>
        <v>0</v>
      </c>
      <c r="BC61" s="6">
        <f>SUM(INDEX(Tabela1[[Curling - Men''s Tournament]:[Curling - Mixed Doubles]],MATCH(Table92[[#This Row],[Country]],Tabela1[Country], 0),0))</f>
        <v>0</v>
      </c>
      <c r="BD61" s="6">
        <f>SUM(INDEX(Tabela1[[Figure Skating - Men''s Singles]:[Figure Skating - Team Event]],MATCH(Table92[[#This Row],[Country]],Tabela1[Country], 0),0))</f>
        <v>0</v>
      </c>
      <c r="BE61" s="6">
        <f>SUM(INDEX(Tabela1[[Freestyle Skiing - Men''s Aerials]:[Freestyle Skiing - Women''s Slopestyle]],MATCH(Table92[[#This Row],[Country]],Tabela1[Country], 0),0))</f>
        <v>0</v>
      </c>
      <c r="BF61" s="6">
        <f>SUM(INDEX(Tabela1[[Ice Hockey - Men''s Tournament]:[Ice Hockey - Women''s Tournament]],MATCH(Table92[[#This Row],[Country]],Tabela1[Country], 0),0))</f>
        <v>0</v>
      </c>
      <c r="BG61" s="6">
        <f>SUM(INDEX(Tabela1[[Luge - Men''s Singles]:[Luge - Mixed Team Relay]],MATCH(Table92[[#This Row],[Country]],Tabela1[Country], 0),0))</f>
        <v>0</v>
      </c>
      <c r="BH61" s="6">
        <f>SUM(INDEX(Tabela1[[Nordic Combined - Men''s Individual]:[Nordic Combined - Men''s Team Sprint Large Hill]],MATCH(Table92[[#This Row],[Country]],Tabela1[Country], 0),0))</f>
        <v>0</v>
      </c>
      <c r="BI61" s="6">
        <f>SUM(INDEX(Tabela1[[Short track speed skating - Men''s 500m]:[Short track speed skating - Mixed 2000m Relay]],MATCH(Table92[[#This Row],[Country]],Tabela1[Country], 0),0))</f>
        <v>0</v>
      </c>
      <c r="BJ61" s="6">
        <f>SUM(INDEX(Tabela1[[Skeleton - Men''s Individual]:[Skeleton - Mixed Team]],MATCH(Table92[[#This Row],[Country]],Tabela1[Country], 0),0))</f>
        <v>0</v>
      </c>
      <c r="BK61" s="6">
        <f>SUM(INDEX(Tabela1[[Ski Jumping - Men''s Individual Large Hill]:[Ski Jumping - Mixed Team Normal Hill]],MATCH(Table92[[#This Row],[Country]],Tabela1[Country], 0),0))</f>
        <v>0</v>
      </c>
      <c r="BL61" s="6">
        <f>SUM(INDEX(Tabela1[[Ski Mountaineering - Men''s Sprint]:[Ski Mountaineering - Mixed Relay]],MATCH(Table92[[#This Row],[Country]],Tabela1[Country], 0),0))</f>
        <v>0</v>
      </c>
      <c r="BM61" s="6">
        <f>SUM(INDEX(Tabela1[[Snowboarding - Men''s Big Air]:[Snowboarding - Mixed Team Snowboard Cross]],MATCH(Table92[[#This Row],[Country]],Tabela1[Country], 0),0))</f>
        <v>0</v>
      </c>
      <c r="BN61" s="6">
        <f>SUM(INDEX(Tabela1[[Speed Skating - Men''s 500m]:[Speed Skating - Women''s Team Pursuit]],MATCH(Table92[[#This Row],[Country]],Tabela1[Country], 0),0))</f>
        <v>0</v>
      </c>
      <c r="BO61" s="6" t="str">
        <f>SUBSTITUTE(INDEX(Table92[[#Headers],[Archery Quotas]:[Speed Skating Quotas]], MATCH(MAX(Table92[[#This Row],[Archery Quotas]:[Speed Skating Quotas]]), Table92[[#This Row],[Archery Quotas]:[Speed Skating Quotas]], 0))," Quotas","")</f>
        <v>Canoeing Slalom</v>
      </c>
      <c r="BP61" s="6">
        <f>SUM(Table92[[#This Row],[Summer Sports]:[Winter Sports]])</f>
        <v>6</v>
      </c>
      <c r="BQ61" s="6">
        <f>COUNTIF(Table92[[#This Row],[Archery Quotas]:[Wrestling Quotas]],"&lt;&gt;0")</f>
        <v>6</v>
      </c>
      <c r="BR61" s="6">
        <f>COUNTIF(Table92[[#This Row],[Alpine Skiing Quotas]:[Speed Skating Quotas]],"&lt;&gt;0")</f>
        <v>0</v>
      </c>
      <c r="BS61" s="3" t="s">
        <v>405</v>
      </c>
    </row>
    <row r="62" spans="1:71" x14ac:dyDescent="0.3">
      <c r="A62" s="6" t="s">
        <v>500</v>
      </c>
      <c r="B62" t="e" vm="63">
        <f>IF(ISBLANK(Table92[[#This Row],[Flag Link]]), "", _xlfn.IMAGE(Table92[[#This Row],[Flag Link]],1,1))</f>
        <v>#VALUE!</v>
      </c>
      <c r="C62" s="6">
        <f>SUM(Table92[[#This Row],[Archery Quotas]:[Speed Skating Quotas]])</f>
        <v>10</v>
      </c>
      <c r="D62" s="6">
        <f>SUM(INDEX(Tabela1[[Archery - Men''s Individual Recurve]:[Archery - Mixed Team Recurve]],MATCH(Table92[[#This Row],[Country]],Tabela1[Country], 0),0))</f>
        <v>0</v>
      </c>
      <c r="E62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62" s="6">
        <f>SUM(INDEX(Tabela1[[Artistic Swimming - Women''s Duet]:[Artistic Swimming - Women''s Team]],MATCH(Table92[[#This Row],[Country]],Tabela1[Country], 0),0))</f>
        <v>0</v>
      </c>
      <c r="G62" s="6">
        <f>SUM(INDEX(Tabela1[[Athletics - Men''s 100m]:[Athletics - Women''s Heptathlon]],MATCH(Table92[[#This Row],[Country]],Tabela1[Country], 0),0))</f>
        <v>1</v>
      </c>
      <c r="H62" s="6">
        <f>SUM(INDEX(Tabela1[[Badminton - Men''s Singles]:[Badminton - Mixed Doubles]],MATCH(Table92[[#This Row],[Country]],Tabela1[Country], 0),0))</f>
        <v>0</v>
      </c>
      <c r="I62" s="6">
        <f>SUM(INDEX(Tabela1[[Basketball - Men''s Tournament]:[Basketball - Women''s Tournament]],MATCH(Table92[[#This Row],[Country]],Tabela1[Country], 0),0))</f>
        <v>0</v>
      </c>
      <c r="J62" s="6">
        <f>SUM(INDEX(Tabela1[[3x3 Basketball - Men''s Tournament]:[3x3 Basketball - Women''s Tournament]],MATCH(Table92[[#This Row],[Country]],Tabela1[Country], 0),0))</f>
        <v>0</v>
      </c>
      <c r="K62" s="6">
        <f>SUM(INDEX(Tabela1[[Beach Volleyball - Men''s Tournament]:[Beach Volleyball - Women''s Tournament]],MATCH(Table92[[#This Row],[Country]],Tabela1[Country], 0),0))</f>
        <v>0</v>
      </c>
      <c r="L62" s="6">
        <f>SUM(INDEX(Tabela1[[Boxing - Men''s 51kg]:[Boxing - Women''s 75kg]],MATCH(Table92[[#This Row],[Country]],Tabela1[Country], 0),0))</f>
        <v>0</v>
      </c>
      <c r="M62" s="6">
        <f>SUM(INDEX(Tabela1[[Breaking - Men''s Individual]:[Breaking - Women''s Individual]],MATCH(Table92[[#This Row],[Country]],Tabela1[Country], 0),0))</f>
        <v>0</v>
      </c>
      <c r="N62" s="6">
        <f>SUM(INDEX(Tabela1[[Canoeing - Men''s C1 Slalom]:[Canoeing - Women''s Kayak Cross Slalom]],MATCH(Table92[[#This Row],[Country]],Tabela1[Country], 0),0))</f>
        <v>3</v>
      </c>
      <c r="O62" s="6">
        <f>SUM(INDEX(Tabela1[[Canoeing - Women''s C1 200m]:[Canoeing - Women''s K4 500m]],MATCH(Table92[[#This Row],[Country]],Tabela1[Country], 0),0))</f>
        <v>0</v>
      </c>
      <c r="P62" s="6">
        <f>SUM(INDEX(Tabela1[[Cycling - Men''s BMX Freestyle]:[Cycling - Women''s BMX Freestyle]],MATCH(Table92[[#This Row],[Country]],Tabela1[Country], 0),0))</f>
        <v>0</v>
      </c>
      <c r="Q62" s="6">
        <f>SUM(INDEX(Tabela1[[Cycling - Men''s BMX Racing]:[Cycling - Women''s BMX Racing]],MATCH(Table92[[#This Row],[Country]],Tabela1[Country], 0),0))</f>
        <v>0</v>
      </c>
      <c r="R62" s="6">
        <f>SUM(INDEX(Tabela1[[Cycling - Men''s Cross-Country]:[Cycling - Women''s Cross-Country]],MATCH(Table92[[#This Row],[Country]],Tabela1[Country], 0),0))</f>
        <v>0</v>
      </c>
      <c r="S62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62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62" s="6">
        <f>SUM(INDEX(Tabela1[[Diving - Men''s Springboard]:[Diving - Women''s Synchronized Platform]],MATCH(Table92[[#This Row],[Country]],Tabela1[Country], 0),0))</f>
        <v>0</v>
      </c>
      <c r="V62" s="6">
        <f>SUM(INDEX(Tabela1[[Equestrian - Individual Dressage]:[Equestrian - Team Dressage]],MATCH(Table92[[#This Row],[Country]],Tabela1[Country], 0),0))</f>
        <v>0</v>
      </c>
      <c r="W62" s="6">
        <f>SUM(INDEX(Tabela1[[Equestrian - Individual Eventing]:[Equestrian - Team Eventing]],MATCH(Table92[[#This Row],[Country]],Tabela1[Country], 0),0))</f>
        <v>0</v>
      </c>
      <c r="X62" s="6">
        <f>SUM(INDEX(Tabela1[[Equestrian - Individual Jumping]:[Equestrian - Team Jumping]],MATCH(Table92[[#This Row],[Country]],Tabela1[Country], 0),0))</f>
        <v>0</v>
      </c>
      <c r="Y62" s="6">
        <f>SUM(INDEX(Tabela1[[Fencing - Men''s Épée]:[Fencing - Women''s Team Sabre]],MATCH(Table92[[#This Row],[Country]],Tabela1[Country], 0),0))</f>
        <v>0</v>
      </c>
      <c r="Z62" s="6">
        <f>SUM(INDEX(Tabela1[[Field Hockey - Men''s Tournament]:[Field Hockey - Women''s Tournament]],MATCH(Table92[[#This Row],[Country]],Tabela1[Country], 0),0))</f>
        <v>0</v>
      </c>
      <c r="AA62" s="6">
        <f>SUM(INDEX(Tabela1[[Football - Men''s Tournament]:[Football - Women''s Tournament]],MATCH(Table92[[#This Row],[Country]],Tabela1[Country], 0),0))</f>
        <v>0</v>
      </c>
      <c r="AB62" s="6">
        <f>SUM(INDEX(Tabela1[[Golf - Men''s Individual]:[Golf - Women''s Individual]],MATCH(Table92[[#This Row],[Country]],Tabela1[Country], 0),0))</f>
        <v>0</v>
      </c>
      <c r="AC62" s="6">
        <f>SUM(INDEX(Tabela1[[Handball - Men''s Tournament]:[Handball - Women''s Tournament]],MATCH(Table92[[#This Row],[Country]],Tabela1[Country], 0),0))</f>
        <v>0</v>
      </c>
      <c r="AD62" s="6">
        <f>SUM(INDEX(Tabela1[[Judo - Men''s 60kg]:[Judo - Mixed Team]],MATCH(Table92[[#This Row],[Country]],Tabela1[Country], 0),0))</f>
        <v>0</v>
      </c>
      <c r="AE62" s="6">
        <f>SUM(INDEX(Tabela1[[Swimming - Men''s 10km Open Water]:[Swimming - Women''s 10km Open Water]],MATCH(Table92[[#This Row],[Country]],Tabela1[Country], 0),0))</f>
        <v>0</v>
      </c>
      <c r="AF62" s="6">
        <f>SUM(INDEX(Tabela1[[Modern Pentathlon - Men''s Individual]:[Modern Pentathlon - Women''s Individual]],MATCH(Table92[[#This Row],[Country]],Tabela1[Country], 0),0))</f>
        <v>0</v>
      </c>
      <c r="AG62" s="6">
        <f>SUM(INDEX(Tabela1[[Rhythmic Gymnastics - Women''s Individual All-Around]:[Rhythmic Gymnastics - Women''s Group All-Around]],MATCH(Table92[[#This Row],[Country]],Tabela1[Country], 0),0))</f>
        <v>0</v>
      </c>
      <c r="AH62" s="6">
        <f>SUM(INDEX(Tabela1[[Rowing - Men''s Single Sculls]:[Rowing - Women''s Lwt. Double Sculls]],MATCH(Table92[[#This Row],[Country]],Tabela1[Country], 0),0))</f>
        <v>0</v>
      </c>
      <c r="AI62" s="6">
        <f>SUM(INDEX(Tabela1[[Rugby Sevens - Men''s Tournament]:[Rugby Sevens - Women''s Tournament]],MATCH(Table92[[#This Row],[Country]],Tabela1[Country], 0),0))</f>
        <v>0</v>
      </c>
      <c r="AJ62" s="6">
        <f>SUM(INDEX(Tabela1[[Sailing - Mixed 470]:[Sailing - Mixed Nacra 17]],MATCH(Table92[[#This Row],[Country]],Tabela1[Country], 0),0))</f>
        <v>0</v>
      </c>
      <c r="AK62" s="6">
        <f>SUM(INDEX(Tabela1[[Shooting - Men''s 10m Air Pistol]:[Shooting - Women''s Trap]],MATCH(Table92[[#This Row],[Country]],Tabela1[Country], 0),0))</f>
        <v>0</v>
      </c>
      <c r="AL62" s="6">
        <f>SUM(INDEX(Tabela1[[Skateboarding - Men''s Park]:[Skateboarding - Women''s Street]],MATCH(Table92[[#This Row],[Country]],Tabela1[Country], 0),0))</f>
        <v>0</v>
      </c>
      <c r="AM62" s="6">
        <f>SUM(INDEX(Tabela1[[Sport Climbing - Men''s Boulder and Lead]:[Sport Climbing - Women''s Speed]],MATCH(Table92[[#This Row],[Country]],Tabela1[Country], 0),0))</f>
        <v>0</v>
      </c>
      <c r="AN62" s="6">
        <f>SUM(INDEX(Tabela1[[Surfing - Men''s Shortboard]:[Surfing - Women''s Shortboard]],MATCH(Table92[[#This Row],[Country]],Tabela1[Country], 0),0))</f>
        <v>0</v>
      </c>
      <c r="AO62" s="6">
        <f>SUM(INDEX(Tabela1[[Swimming - Men''s 50m Freestyle]:[Swimming - Mixed 4x100m Medley Relay]],MATCH(Table92[[#This Row],[Country]],Tabela1[Country], 0),0))</f>
        <v>0</v>
      </c>
      <c r="AP62" s="6">
        <f>SUM(INDEX(Tabela1[[Table Tennis - Men''s Singles]:[Table Tennis - Mixed Doubles]],MATCH(Table92[[#This Row],[Country]],Tabela1[Country], 0),0))</f>
        <v>0</v>
      </c>
      <c r="AQ62" s="6">
        <f>SUM(INDEX(Tabela1[[Taekwondo - Men''s 58kg]:[Taekwondo - Women''s +67kg]],MATCH(Table92[[#This Row],[Country]],Tabela1[Country], 0),0))</f>
        <v>0</v>
      </c>
      <c r="AR62" s="6">
        <f>SUM(INDEX(Tabela1[[Tennis - Men''s Singles]:[Tennis - Mixed Doubles]],MATCH(Table92[[#This Row],[Country]],Tabela1[Country], 0),0))</f>
        <v>0</v>
      </c>
      <c r="AS62" s="6">
        <f>SUM(INDEX(Tabela1[[Gymnastics - Men''s Trampoline]:[Gymnastics - Women''s Trampoline]],MATCH(Table92[[#This Row],[Country]],Tabela1[Country], 0),0))</f>
        <v>0</v>
      </c>
      <c r="AT62" s="6">
        <f>SUM(INDEX(Tabela1[[Triathlon - Men''s Individual]:[Triathlon - Mixed Relay]],MATCH(Table92[[#This Row],[Country]],Tabela1[Country], 0),0))</f>
        <v>0</v>
      </c>
      <c r="AU62" s="6">
        <f>SUM(INDEX(Tabela1[[Volleyball - Men''s Tournament]:[Volleyball - Women''s Tournament]],MATCH(Table92[[#This Row],[Country]],Tabela1[Country], 0),0))</f>
        <v>0</v>
      </c>
      <c r="AV62" s="6">
        <f>SUM(INDEX(Tabela1[[Water Polo - Men''s Tournament]:[Water Polo - Women''s Tournament]],MATCH(Table92[[#This Row],[Country]],Tabela1[Country], 0),0))</f>
        <v>0</v>
      </c>
      <c r="AW62" s="6">
        <f>SUM(INDEX(Tabela1[[Weightlifting - Men''s 61kg]:[Weightlifting - Women''s +81kg]],MATCH(Table92[[#This Row],[Country]],Tabela1[Country], 0),0))</f>
        <v>0</v>
      </c>
      <c r="AX62" s="6">
        <f>SUM(INDEX(Tabela1[[Wrestling - Men''s Freestyle 57kg]:[Wrestling - Women''s Freestyle 76kg]],MATCH(Table92[[#This Row],[Country]],Tabela1[Country], 0),0))</f>
        <v>0</v>
      </c>
      <c r="AY62" s="6">
        <f>SUM(INDEX(Tabela1[[Alpine Skiing - Men''s Downhill]:[Alpine Skiing - Women''s Team Combined]],MATCH(Table92[[#This Row],[Country]],Tabela1[Country], 0),0))</f>
        <v>3</v>
      </c>
      <c r="AZ62" s="6">
        <f>SUM(INDEX(Tabela1[[Biathlon - Men''s Individual]:[Biathlon - Mixed Relay]],MATCH(Table92[[#This Row],[Country]],Tabela1[Country], 0),0))</f>
        <v>0</v>
      </c>
      <c r="BA62" s="6">
        <f>SUM(INDEX(Tabela1[[Bobsleigh - Women''s Monobob]:[Bobsleigh - Men''s Four]],MATCH(Table92[[#This Row],[Country]],Tabela1[Country], 0),0))</f>
        <v>0</v>
      </c>
      <c r="BB62" s="6">
        <f>SUM(INDEX(Tabela1[[Cross-country skiing - Men''s Classical]:[Cross-country skiing - Women''s Team Sprint]],MATCH(Table92[[#This Row],[Country]],Tabela1[Country], 0),0))</f>
        <v>3</v>
      </c>
      <c r="BC62" s="6">
        <f>SUM(INDEX(Tabela1[[Curling - Men''s Tournament]:[Curling - Mixed Doubles]],MATCH(Table92[[#This Row],[Country]],Tabela1[Country], 0),0))</f>
        <v>0</v>
      </c>
      <c r="BD62" s="6">
        <f>SUM(INDEX(Tabela1[[Figure Skating - Men''s Singles]:[Figure Skating - Team Event]],MATCH(Table92[[#This Row],[Country]],Tabela1[Country], 0),0))</f>
        <v>0</v>
      </c>
      <c r="BE62" s="6">
        <f>SUM(INDEX(Tabela1[[Freestyle Skiing - Men''s Aerials]:[Freestyle Skiing - Women''s Slopestyle]],MATCH(Table92[[#This Row],[Country]],Tabela1[Country], 0),0))</f>
        <v>0</v>
      </c>
      <c r="BF62" s="6">
        <f>SUM(INDEX(Tabela1[[Ice Hockey - Men''s Tournament]:[Ice Hockey - Women''s Tournament]],MATCH(Table92[[#This Row],[Country]],Tabela1[Country], 0),0))</f>
        <v>0</v>
      </c>
      <c r="BG62" s="6">
        <f>SUM(INDEX(Tabela1[[Luge - Men''s Singles]:[Luge - Mixed Team Relay]],MATCH(Table92[[#This Row],[Country]],Tabela1[Country], 0),0))</f>
        <v>0</v>
      </c>
      <c r="BH62" s="6">
        <f>SUM(INDEX(Tabela1[[Nordic Combined - Men''s Individual]:[Nordic Combined - Men''s Team Sprint Large Hill]],MATCH(Table92[[#This Row],[Country]],Tabela1[Country], 0),0))</f>
        <v>0</v>
      </c>
      <c r="BI62" s="6">
        <f>SUM(INDEX(Tabela1[[Short track speed skating - Men''s 500m]:[Short track speed skating - Mixed 2000m Relay]],MATCH(Table92[[#This Row],[Country]],Tabela1[Country], 0),0))</f>
        <v>0</v>
      </c>
      <c r="BJ62" s="6">
        <f>SUM(INDEX(Tabela1[[Skeleton - Men''s Individual]:[Skeleton - Mixed Team]],MATCH(Table92[[#This Row],[Country]],Tabela1[Country], 0),0))</f>
        <v>0</v>
      </c>
      <c r="BK62" s="6">
        <f>SUM(INDEX(Tabela1[[Ski Jumping - Men''s Individual Large Hill]:[Ski Jumping - Mixed Team Normal Hill]],MATCH(Table92[[#This Row],[Country]],Tabela1[Country], 0),0))</f>
        <v>0</v>
      </c>
      <c r="BL62" s="6">
        <f>SUM(INDEX(Tabela1[[Ski Mountaineering - Men''s Sprint]:[Ski Mountaineering - Mixed Relay]],MATCH(Table92[[#This Row],[Country]],Tabela1[Country], 0),0))</f>
        <v>0</v>
      </c>
      <c r="BM62" s="6">
        <f>SUM(INDEX(Tabela1[[Snowboarding - Men''s Big Air]:[Snowboarding - Mixed Team Snowboard Cross]],MATCH(Table92[[#This Row],[Country]],Tabela1[Country], 0),0))</f>
        <v>0</v>
      </c>
      <c r="BN62" s="6">
        <f>SUM(INDEX(Tabela1[[Speed Skating - Men''s 500m]:[Speed Skating - Women''s Team Pursuit]],MATCH(Table92[[#This Row],[Country]],Tabela1[Country], 0),0))</f>
        <v>0</v>
      </c>
      <c r="BO62" s="6" t="str">
        <f>SUBSTITUTE(INDEX(Table92[[#Headers],[Archery Quotas]:[Speed Skating Quotas]], MATCH(MAX(Table92[[#This Row],[Archery Quotas]:[Speed Skating Quotas]]), Table92[[#This Row],[Archery Quotas]:[Speed Skating Quotas]], 0))," Quotas","")</f>
        <v>Canoeing Slalom</v>
      </c>
      <c r="BP62" s="6">
        <f>SUM(Table92[[#This Row],[Summer Sports]:[Winter Sports]])</f>
        <v>4</v>
      </c>
      <c r="BQ62" s="6">
        <f>COUNTIF(Table92[[#This Row],[Archery Quotas]:[Wrestling Quotas]],"&lt;&gt;0")</f>
        <v>2</v>
      </c>
      <c r="BR62" s="6">
        <f>COUNTIF(Table92[[#This Row],[Alpine Skiing Quotas]:[Speed Skating Quotas]],"&lt;&gt;0")</f>
        <v>2</v>
      </c>
      <c r="BS62" s="4" t="s">
        <v>501</v>
      </c>
    </row>
    <row r="63" spans="1:71" x14ac:dyDescent="0.3">
      <c r="A63" s="6" t="s">
        <v>506</v>
      </c>
      <c r="B63" t="e" vm="61">
        <f>IF(ISBLANK(Table92[[#This Row],[Flag Link]]), "", _xlfn.IMAGE(Table92[[#This Row],[Flag Link]],1,1))</f>
        <v>#VALUE!</v>
      </c>
      <c r="C63" s="6">
        <f>SUM(Table92[[#This Row],[Archery Quotas]:[Speed Skating Quotas]])</f>
        <v>10</v>
      </c>
      <c r="D63" s="6">
        <f>SUM(INDEX(Tabela1[[Archery - Men''s Individual Recurve]:[Archery - Mixed Team Recurve]],MATCH(Table92[[#This Row],[Country]],Tabela1[Country], 0),0))</f>
        <v>0</v>
      </c>
      <c r="E63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63" s="6">
        <f>SUM(INDEX(Tabela1[[Artistic Swimming - Women''s Duet]:[Artistic Swimming - Women''s Team]],MATCH(Table92[[#This Row],[Country]],Tabela1[Country], 0),0))</f>
        <v>0</v>
      </c>
      <c r="G63" s="6">
        <f>SUM(INDEX(Tabela1[[Athletics - Men''s 100m]:[Athletics - Women''s Heptathlon]],MATCH(Table92[[#This Row],[Country]],Tabela1[Country], 0),0))</f>
        <v>1</v>
      </c>
      <c r="H63" s="6">
        <f>SUM(INDEX(Tabela1[[Badminton - Men''s Singles]:[Badminton - Mixed Doubles]],MATCH(Table92[[#This Row],[Country]],Tabela1[Country], 0),0))</f>
        <v>0</v>
      </c>
      <c r="I63" s="6">
        <f>SUM(INDEX(Tabela1[[Basketball - Men''s Tournament]:[Basketball - Women''s Tournament]],MATCH(Table92[[#This Row],[Country]],Tabela1[Country], 0),0))</f>
        <v>0</v>
      </c>
      <c r="J63" s="6">
        <f>SUM(INDEX(Tabela1[[3x3 Basketball - Men''s Tournament]:[3x3 Basketball - Women''s Tournament]],MATCH(Table92[[#This Row],[Country]],Tabela1[Country], 0),0))</f>
        <v>0</v>
      </c>
      <c r="K63" s="6">
        <f>SUM(INDEX(Tabela1[[Beach Volleyball - Men''s Tournament]:[Beach Volleyball - Women''s Tournament]],MATCH(Table92[[#This Row],[Country]],Tabela1[Country], 0),0))</f>
        <v>0</v>
      </c>
      <c r="L63" s="6">
        <f>SUM(INDEX(Tabela1[[Boxing - Men''s 51kg]:[Boxing - Women''s 75kg]],MATCH(Table92[[#This Row],[Country]],Tabela1[Country], 0),0))</f>
        <v>1</v>
      </c>
      <c r="M63" s="6">
        <f>SUM(INDEX(Tabela1[[Breaking - Men''s Individual]:[Breaking - Women''s Individual]],MATCH(Table92[[#This Row],[Country]],Tabela1[Country], 0),0))</f>
        <v>0</v>
      </c>
      <c r="N63" s="6">
        <f>SUM(INDEX(Tabela1[[Canoeing - Men''s C1 Slalom]:[Canoeing - Women''s Kayak Cross Slalom]],MATCH(Table92[[#This Row],[Country]],Tabela1[Country], 0),0))</f>
        <v>0</v>
      </c>
      <c r="O63" s="6">
        <f>SUM(INDEX(Tabela1[[Canoeing - Women''s C1 200m]:[Canoeing - Women''s K4 500m]],MATCH(Table92[[#This Row],[Country]],Tabela1[Country], 0),0))</f>
        <v>0</v>
      </c>
      <c r="P63" s="6">
        <f>SUM(INDEX(Tabela1[[Cycling - Men''s BMX Freestyle]:[Cycling - Women''s BMX Freestyle]],MATCH(Table92[[#This Row],[Country]],Tabela1[Country], 0),0))</f>
        <v>0</v>
      </c>
      <c r="Q63" s="6">
        <f>SUM(INDEX(Tabela1[[Cycling - Men''s BMX Racing]:[Cycling - Women''s BMX Racing]],MATCH(Table92[[#This Row],[Country]],Tabela1[Country], 0),0))</f>
        <v>0</v>
      </c>
      <c r="R63" s="6">
        <f>SUM(INDEX(Tabela1[[Cycling - Men''s Cross-Country]:[Cycling - Women''s Cross-Country]],MATCH(Table92[[#This Row],[Country]],Tabela1[Country], 0),0))</f>
        <v>0</v>
      </c>
      <c r="S63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63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63" s="6">
        <f>SUM(INDEX(Tabela1[[Diving - Men''s Springboard]:[Diving - Women''s Synchronized Platform]],MATCH(Table92[[#This Row],[Country]],Tabela1[Country], 0),0))</f>
        <v>0</v>
      </c>
      <c r="V63" s="6">
        <f>SUM(INDEX(Tabela1[[Equestrian - Individual Dressage]:[Equestrian - Team Dressage]],MATCH(Table92[[#This Row],[Country]],Tabela1[Country], 0),0))</f>
        <v>0</v>
      </c>
      <c r="W63" s="6">
        <f>SUM(INDEX(Tabela1[[Equestrian - Individual Eventing]:[Equestrian - Team Eventing]],MATCH(Table92[[#This Row],[Country]],Tabela1[Country], 0),0))</f>
        <v>0</v>
      </c>
      <c r="X63" s="6">
        <f>SUM(INDEX(Tabela1[[Equestrian - Individual Jumping]:[Equestrian - Team Jumping]],MATCH(Table92[[#This Row],[Country]],Tabela1[Country], 0),0))</f>
        <v>0</v>
      </c>
      <c r="Y63" s="6">
        <f>SUM(INDEX(Tabela1[[Fencing - Men''s Épée]:[Fencing - Women''s Team Sabre]],MATCH(Table92[[#This Row],[Country]],Tabela1[Country], 0),0))</f>
        <v>0</v>
      </c>
      <c r="Z63" s="6">
        <f>SUM(INDEX(Tabela1[[Field Hockey - Men''s Tournament]:[Field Hockey - Women''s Tournament]],MATCH(Table92[[#This Row],[Country]],Tabela1[Country], 0),0))</f>
        <v>0</v>
      </c>
      <c r="AA63" s="6">
        <f>SUM(INDEX(Tabela1[[Football - Men''s Tournament]:[Football - Women''s Tournament]],MATCH(Table92[[#This Row],[Country]],Tabela1[Country], 0),0))</f>
        <v>0</v>
      </c>
      <c r="AB63" s="6">
        <f>SUM(INDEX(Tabela1[[Golf - Men''s Individual]:[Golf - Women''s Individual]],MATCH(Table92[[#This Row],[Country]],Tabela1[Country], 0),0))</f>
        <v>0</v>
      </c>
      <c r="AC63" s="6">
        <f>SUM(INDEX(Tabela1[[Handball - Men''s Tournament]:[Handball - Women''s Tournament]],MATCH(Table92[[#This Row],[Country]],Tabela1[Country], 0),0))</f>
        <v>0</v>
      </c>
      <c r="AD63" s="6">
        <f>SUM(INDEX(Tabela1[[Judo - Men''s 60kg]:[Judo - Mixed Team]],MATCH(Table92[[#This Row],[Country]],Tabela1[Country], 0),0))</f>
        <v>0</v>
      </c>
      <c r="AE63" s="6">
        <f>SUM(INDEX(Tabela1[[Swimming - Men''s 10km Open Water]:[Swimming - Women''s 10km Open Water]],MATCH(Table92[[#This Row],[Country]],Tabela1[Country], 0),0))</f>
        <v>0</v>
      </c>
      <c r="AF63" s="6">
        <f>SUM(INDEX(Tabela1[[Modern Pentathlon - Men''s Individual]:[Modern Pentathlon - Women''s Individual]],MATCH(Table92[[#This Row],[Country]],Tabela1[Country], 0),0))</f>
        <v>0</v>
      </c>
      <c r="AG63" s="6">
        <f>SUM(INDEX(Tabela1[[Rhythmic Gymnastics - Women''s Individual All-Around]:[Rhythmic Gymnastics - Women''s Group All-Around]],MATCH(Table92[[#This Row],[Country]],Tabela1[Country], 0),0))</f>
        <v>0</v>
      </c>
      <c r="AH63" s="6">
        <f>SUM(INDEX(Tabela1[[Rowing - Men''s Single Sculls]:[Rowing - Women''s Lwt. Double Sculls]],MATCH(Table92[[#This Row],[Country]],Tabela1[Country], 0),0))</f>
        <v>0</v>
      </c>
      <c r="AI63" s="6">
        <f>SUM(INDEX(Tabela1[[Rugby Sevens - Men''s Tournament]:[Rugby Sevens - Women''s Tournament]],MATCH(Table92[[#This Row],[Country]],Tabela1[Country], 0),0))</f>
        <v>0</v>
      </c>
      <c r="AJ63" s="6">
        <f>SUM(INDEX(Tabela1[[Sailing - Mixed 470]:[Sailing - Mixed Nacra 17]],MATCH(Table92[[#This Row],[Country]],Tabela1[Country], 0),0))</f>
        <v>0</v>
      </c>
      <c r="AK63" s="6">
        <f>SUM(INDEX(Tabela1[[Shooting - Men''s 10m Air Pistol]:[Shooting - Women''s Trap]],MATCH(Table92[[#This Row],[Country]],Tabela1[Country], 0),0))</f>
        <v>0</v>
      </c>
      <c r="AL63" s="6">
        <f>SUM(INDEX(Tabela1[[Skateboarding - Men''s Park]:[Skateboarding - Women''s Street]],MATCH(Table92[[#This Row],[Country]],Tabela1[Country], 0),0))</f>
        <v>0</v>
      </c>
      <c r="AM63" s="6">
        <f>SUM(INDEX(Tabela1[[Sport Climbing - Men''s Boulder and Lead]:[Sport Climbing - Women''s Speed]],MATCH(Table92[[#This Row],[Country]],Tabela1[Country], 0),0))</f>
        <v>0</v>
      </c>
      <c r="AN63" s="6">
        <f>SUM(INDEX(Tabela1[[Surfing - Men''s Shortboard]:[Surfing - Women''s Shortboard]],MATCH(Table92[[#This Row],[Country]],Tabela1[Country], 0),0))</f>
        <v>0</v>
      </c>
      <c r="AO63" s="6">
        <f>SUM(INDEX(Tabela1[[Swimming - Men''s 50m Freestyle]:[Swimming - Mixed 4x100m Medley Relay]],MATCH(Table92[[#This Row],[Country]],Tabela1[Country], 0),0))</f>
        <v>0</v>
      </c>
      <c r="AP63" s="6">
        <f>SUM(INDEX(Tabela1[[Table Tennis - Men''s Singles]:[Table Tennis - Mixed Doubles]],MATCH(Table92[[#This Row],[Country]],Tabela1[Country], 0),0))</f>
        <v>0</v>
      </c>
      <c r="AQ63" s="6">
        <f>SUM(INDEX(Tabela1[[Taekwondo - Men''s 58kg]:[Taekwondo - Women''s +67kg]],MATCH(Table92[[#This Row],[Country]],Tabela1[Country], 0),0))</f>
        <v>0</v>
      </c>
      <c r="AR63" s="6">
        <f>SUM(INDEX(Tabela1[[Tennis - Men''s Singles]:[Tennis - Mixed Doubles]],MATCH(Table92[[#This Row],[Country]],Tabela1[Country], 0),0))</f>
        <v>0</v>
      </c>
      <c r="AS63" s="6">
        <f>SUM(INDEX(Tabela1[[Gymnastics - Men''s Trampoline]:[Gymnastics - Women''s Trampoline]],MATCH(Table92[[#This Row],[Country]],Tabela1[Country], 0),0))</f>
        <v>0</v>
      </c>
      <c r="AT63" s="6">
        <f>SUM(INDEX(Tabela1[[Triathlon - Men''s Individual]:[Triathlon - Mixed Relay]],MATCH(Table92[[#This Row],[Country]],Tabela1[Country], 0),0))</f>
        <v>0</v>
      </c>
      <c r="AU63" s="6">
        <f>SUM(INDEX(Tabela1[[Volleyball - Men''s Tournament]:[Volleyball - Women''s Tournament]],MATCH(Table92[[#This Row],[Country]],Tabela1[Country], 0),0))</f>
        <v>0</v>
      </c>
      <c r="AV63" s="6">
        <f>SUM(INDEX(Tabela1[[Water Polo - Men''s Tournament]:[Water Polo - Women''s Tournament]],MATCH(Table92[[#This Row],[Country]],Tabela1[Country], 0),0))</f>
        <v>0</v>
      </c>
      <c r="AW63" s="6">
        <f>SUM(INDEX(Tabela1[[Weightlifting - Men''s 61kg]:[Weightlifting - Women''s +81kg]],MATCH(Table92[[#This Row],[Country]],Tabela1[Country], 0),0))</f>
        <v>3</v>
      </c>
      <c r="AX63" s="6">
        <f>SUM(INDEX(Tabela1[[Wrestling - Men''s Freestyle 57kg]:[Wrestling - Women''s Freestyle 76kg]],MATCH(Table92[[#This Row],[Country]],Tabela1[Country], 0),0))</f>
        <v>1</v>
      </c>
      <c r="AY63" s="6">
        <f>SUM(INDEX(Tabela1[[Alpine Skiing - Men''s Downhill]:[Alpine Skiing - Women''s Team Combined]],MATCH(Table92[[#This Row],[Country]],Tabela1[Country], 0),0))</f>
        <v>0</v>
      </c>
      <c r="AZ63" s="6">
        <f>SUM(INDEX(Tabela1[[Biathlon - Men''s Individual]:[Biathlon - Mixed Relay]],MATCH(Table92[[#This Row],[Country]],Tabela1[Country], 0),0))</f>
        <v>0</v>
      </c>
      <c r="BA63" s="6">
        <f>SUM(INDEX(Tabela1[[Bobsleigh - Women''s Monobob]:[Bobsleigh - Men''s Four]],MATCH(Table92[[#This Row],[Country]],Tabela1[Country], 0),0))</f>
        <v>0</v>
      </c>
      <c r="BB63" s="6">
        <f>SUM(INDEX(Tabela1[[Cross-country skiing - Men''s Classical]:[Cross-country skiing - Women''s Team Sprint]],MATCH(Table92[[#This Row],[Country]],Tabela1[Country], 0),0))</f>
        <v>4</v>
      </c>
      <c r="BC63" s="6">
        <f>SUM(INDEX(Tabela1[[Curling - Men''s Tournament]:[Curling - Mixed Doubles]],MATCH(Table92[[#This Row],[Country]],Tabela1[Country], 0),0))</f>
        <v>0</v>
      </c>
      <c r="BD63" s="6">
        <f>SUM(INDEX(Tabela1[[Figure Skating - Men''s Singles]:[Figure Skating - Team Event]],MATCH(Table92[[#This Row],[Country]],Tabela1[Country], 0),0))</f>
        <v>0</v>
      </c>
      <c r="BE63" s="6">
        <f>SUM(INDEX(Tabela1[[Freestyle Skiing - Men''s Aerials]:[Freestyle Skiing - Women''s Slopestyle]],MATCH(Table92[[#This Row],[Country]],Tabela1[Country], 0),0))</f>
        <v>0</v>
      </c>
      <c r="BF63" s="6">
        <f>SUM(INDEX(Tabela1[[Ice Hockey - Men''s Tournament]:[Ice Hockey - Women''s Tournament]],MATCH(Table92[[#This Row],[Country]],Tabela1[Country], 0),0))</f>
        <v>0</v>
      </c>
      <c r="BG63" s="6">
        <f>SUM(INDEX(Tabela1[[Luge - Men''s Singles]:[Luge - Mixed Team Relay]],MATCH(Table92[[#This Row],[Country]],Tabela1[Country], 0),0))</f>
        <v>0</v>
      </c>
      <c r="BH63" s="6">
        <f>SUM(INDEX(Tabela1[[Nordic Combined - Men''s Individual]:[Nordic Combined - Men''s Team Sprint Large Hill]],MATCH(Table92[[#This Row],[Country]],Tabela1[Country], 0),0))</f>
        <v>0</v>
      </c>
      <c r="BI63" s="6">
        <f>SUM(INDEX(Tabela1[[Short track speed skating - Men''s 500m]:[Short track speed skating - Mixed 2000m Relay]],MATCH(Table92[[#This Row],[Country]],Tabela1[Country], 0),0))</f>
        <v>0</v>
      </c>
      <c r="BJ63" s="6">
        <f>SUM(INDEX(Tabela1[[Skeleton - Men''s Individual]:[Skeleton - Mixed Team]],MATCH(Table92[[#This Row],[Country]],Tabela1[Country], 0),0))</f>
        <v>0</v>
      </c>
      <c r="BK63" s="6">
        <f>SUM(INDEX(Tabela1[[Ski Jumping - Men''s Individual Large Hill]:[Ski Jumping - Mixed Team Normal Hill]],MATCH(Table92[[#This Row],[Country]],Tabela1[Country], 0),0))</f>
        <v>0</v>
      </c>
      <c r="BL63" s="6">
        <f>SUM(INDEX(Tabela1[[Ski Mountaineering - Men''s Sprint]:[Ski Mountaineering - Mixed Relay]],MATCH(Table92[[#This Row],[Country]],Tabela1[Country], 0),0))</f>
        <v>0</v>
      </c>
      <c r="BM63" s="6">
        <f>SUM(INDEX(Tabela1[[Snowboarding - Men''s Big Air]:[Snowboarding - Mixed Team Snowboard Cross]],MATCH(Table92[[#This Row],[Country]],Tabela1[Country], 0),0))</f>
        <v>0</v>
      </c>
      <c r="BN63" s="6">
        <f>SUM(INDEX(Tabela1[[Speed Skating - Men''s 500m]:[Speed Skating - Women''s Team Pursuit]],MATCH(Table92[[#This Row],[Country]],Tabela1[Country], 0),0))</f>
        <v>0</v>
      </c>
      <c r="BO63" s="6" t="str">
        <f>SUBSTITUTE(INDEX(Table92[[#Headers],[Archery Quotas]:[Speed Skating Quotas]], MATCH(MAX(Table92[[#This Row],[Archery Quotas]:[Speed Skating Quotas]]), Table92[[#This Row],[Archery Quotas]:[Speed Skating Quotas]], 0))," Quotas","")</f>
        <v>Cross Country Skiing</v>
      </c>
      <c r="BP63" s="6">
        <f>SUM(Table92[[#This Row],[Summer Sports]:[Winter Sports]])</f>
        <v>5</v>
      </c>
      <c r="BQ63" s="6">
        <f>COUNTIF(Table92[[#This Row],[Archery Quotas]:[Wrestling Quotas]],"&lt;&gt;0")</f>
        <v>4</v>
      </c>
      <c r="BR63" s="6">
        <f>COUNTIF(Table92[[#This Row],[Alpine Skiing Quotas]:[Speed Skating Quotas]],"&lt;&gt;0")</f>
        <v>1</v>
      </c>
      <c r="BS63" s="4" t="s">
        <v>507</v>
      </c>
    </row>
    <row r="64" spans="1:71" x14ac:dyDescent="0.3">
      <c r="A64" s="6" t="s">
        <v>478</v>
      </c>
      <c r="B64" t="e" vm="62">
        <f>IF(ISBLANK(Table92[[#This Row],[Flag Link]]), "", _xlfn.IMAGE(Table92[[#This Row],[Flag Link]],1,1))</f>
        <v>#VALUE!</v>
      </c>
      <c r="C64" s="6">
        <f>SUM(Table92[[#This Row],[Archery Quotas]:[Speed Skating Quotas]])</f>
        <v>10</v>
      </c>
      <c r="D64" s="6">
        <f>SUM(INDEX(Tabela1[[Archery - Men''s Individual Recurve]:[Archery - Mixed Team Recurve]],MATCH(Table92[[#This Row],[Country]],Tabela1[Country], 0),0))</f>
        <v>0</v>
      </c>
      <c r="E64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64" s="6">
        <f>SUM(INDEX(Tabela1[[Artistic Swimming - Women''s Duet]:[Artistic Swimming - Women''s Team]],MATCH(Table92[[#This Row],[Country]],Tabela1[Country], 0),0))</f>
        <v>0</v>
      </c>
      <c r="G64" s="6">
        <f>SUM(INDEX(Tabela1[[Athletics - Men''s 100m]:[Athletics - Women''s Heptathlon]],MATCH(Table92[[#This Row],[Country]],Tabela1[Country], 0),0))</f>
        <v>0</v>
      </c>
      <c r="H64" s="6">
        <f>SUM(INDEX(Tabela1[[Badminton - Men''s Singles]:[Badminton - Mixed Doubles]],MATCH(Table92[[#This Row],[Country]],Tabela1[Country], 0),0))</f>
        <v>2</v>
      </c>
      <c r="I64" s="6">
        <f>SUM(INDEX(Tabela1[[Basketball - Men''s Tournament]:[Basketball - Women''s Tournament]],MATCH(Table92[[#This Row],[Country]],Tabela1[Country], 0),0))</f>
        <v>0</v>
      </c>
      <c r="J64" s="6">
        <f>SUM(INDEX(Tabela1[[3x3 Basketball - Men''s Tournament]:[3x3 Basketball - Women''s Tournament]],MATCH(Table92[[#This Row],[Country]],Tabela1[Country], 0),0))</f>
        <v>0</v>
      </c>
      <c r="K64" s="6">
        <f>SUM(INDEX(Tabela1[[Beach Volleyball - Men''s Tournament]:[Beach Volleyball - Women''s Tournament]],MATCH(Table92[[#This Row],[Country]],Tabela1[Country], 0),0))</f>
        <v>0</v>
      </c>
      <c r="L64" s="6">
        <f>SUM(INDEX(Tabela1[[Boxing - Men''s 51kg]:[Boxing - Women''s 75kg]],MATCH(Table92[[#This Row],[Country]],Tabela1[Country], 0),0))</f>
        <v>0</v>
      </c>
      <c r="M64" s="6">
        <f>SUM(INDEX(Tabela1[[Breaking - Men''s Individual]:[Breaking - Women''s Individual]],MATCH(Table92[[#This Row],[Country]],Tabela1[Country], 0),0))</f>
        <v>0</v>
      </c>
      <c r="N64" s="6">
        <f>SUM(INDEX(Tabela1[[Canoeing - Men''s C1 Slalom]:[Canoeing - Women''s Kayak Cross Slalom]],MATCH(Table92[[#This Row],[Country]],Tabela1[Country], 0),0))</f>
        <v>0</v>
      </c>
      <c r="O64" s="6">
        <f>SUM(INDEX(Tabela1[[Canoeing - Women''s C1 200m]:[Canoeing - Women''s K4 500m]],MATCH(Table92[[#This Row],[Country]],Tabela1[Country], 0),0))</f>
        <v>0</v>
      </c>
      <c r="P64" s="6">
        <f>SUM(INDEX(Tabela1[[Cycling - Men''s BMX Freestyle]:[Cycling - Women''s BMX Freestyle]],MATCH(Table92[[#This Row],[Country]],Tabela1[Country], 0),0))</f>
        <v>0</v>
      </c>
      <c r="Q64" s="6">
        <f>SUM(INDEX(Tabela1[[Cycling - Men''s BMX Racing]:[Cycling - Women''s BMX Racing]],MATCH(Table92[[#This Row],[Country]],Tabela1[Country], 0),0))</f>
        <v>0</v>
      </c>
      <c r="R64" s="6">
        <f>SUM(INDEX(Tabela1[[Cycling - Men''s Cross-Country]:[Cycling - Women''s Cross-Country]],MATCH(Table92[[#This Row],[Country]],Tabela1[Country], 0),0))</f>
        <v>0</v>
      </c>
      <c r="S64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64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2</v>
      </c>
      <c r="U64" s="6">
        <f>SUM(INDEX(Tabela1[[Diving - Men''s Springboard]:[Diving - Women''s Synchronized Platform]],MATCH(Table92[[#This Row],[Country]],Tabela1[Country], 0),0))</f>
        <v>0</v>
      </c>
      <c r="V64" s="6">
        <f>SUM(INDEX(Tabela1[[Equestrian - Individual Dressage]:[Equestrian - Team Dressage]],MATCH(Table92[[#This Row],[Country]],Tabela1[Country], 0),0))</f>
        <v>0</v>
      </c>
      <c r="W64" s="6">
        <f>SUM(INDEX(Tabela1[[Equestrian - Individual Eventing]:[Equestrian - Team Eventing]],MATCH(Table92[[#This Row],[Country]],Tabela1[Country], 0),0))</f>
        <v>0</v>
      </c>
      <c r="X64" s="6">
        <f>SUM(INDEX(Tabela1[[Equestrian - Individual Jumping]:[Equestrian - Team Jumping]],MATCH(Table92[[#This Row],[Country]],Tabela1[Country], 0),0))</f>
        <v>0</v>
      </c>
      <c r="Y64" s="6">
        <f>SUM(INDEX(Tabela1[[Fencing - Men''s Épée]:[Fencing - Women''s Team Sabre]],MATCH(Table92[[#This Row],[Country]],Tabela1[Country], 0),0))</f>
        <v>0</v>
      </c>
      <c r="Z64" s="6">
        <f>SUM(INDEX(Tabela1[[Field Hockey - Men''s Tournament]:[Field Hockey - Women''s Tournament]],MATCH(Table92[[#This Row],[Country]],Tabela1[Country], 0),0))</f>
        <v>0</v>
      </c>
      <c r="AA64" s="6">
        <f>SUM(INDEX(Tabela1[[Football - Men''s Tournament]:[Football - Women''s Tournament]],MATCH(Table92[[#This Row],[Country]],Tabela1[Country], 0),0))</f>
        <v>0</v>
      </c>
      <c r="AB64" s="6">
        <f>SUM(INDEX(Tabela1[[Golf - Men''s Individual]:[Golf - Women''s Individual]],MATCH(Table92[[#This Row],[Country]],Tabela1[Country], 0),0))</f>
        <v>0</v>
      </c>
      <c r="AC64" s="6">
        <f>SUM(INDEX(Tabela1[[Handball - Men''s Tournament]:[Handball - Women''s Tournament]],MATCH(Table92[[#This Row],[Country]],Tabela1[Country], 0),0))</f>
        <v>0</v>
      </c>
      <c r="AD64" s="6">
        <f>SUM(INDEX(Tabela1[[Judo - Men''s 60kg]:[Judo - Mixed Team]],MATCH(Table92[[#This Row],[Country]],Tabela1[Country], 0),0))</f>
        <v>0</v>
      </c>
      <c r="AE64" s="6">
        <f>SUM(INDEX(Tabela1[[Swimming - Men''s 10km Open Water]:[Swimming - Women''s 10km Open Water]],MATCH(Table92[[#This Row],[Country]],Tabela1[Country], 0),0))</f>
        <v>0</v>
      </c>
      <c r="AF64" s="6">
        <f>SUM(INDEX(Tabela1[[Modern Pentathlon - Men''s Individual]:[Modern Pentathlon - Women''s Individual]],MATCH(Table92[[#This Row],[Country]],Tabela1[Country], 0),0))</f>
        <v>0</v>
      </c>
      <c r="AG64" s="6">
        <f>SUM(INDEX(Tabela1[[Rhythmic Gymnastics - Women''s Individual All-Around]:[Rhythmic Gymnastics - Women''s Group All-Around]],MATCH(Table92[[#This Row],[Country]],Tabela1[Country], 0),0))</f>
        <v>0</v>
      </c>
      <c r="AH64" s="6">
        <f>SUM(INDEX(Tabela1[[Rowing - Men''s Single Sculls]:[Rowing - Women''s Lwt. Double Sculls]],MATCH(Table92[[#This Row],[Country]],Tabela1[Country], 0),0))</f>
        <v>0</v>
      </c>
      <c r="AI64" s="6">
        <f>SUM(INDEX(Tabela1[[Rugby Sevens - Men''s Tournament]:[Rugby Sevens - Women''s Tournament]],MATCH(Table92[[#This Row],[Country]],Tabela1[Country], 0),0))</f>
        <v>0</v>
      </c>
      <c r="AJ64" s="6">
        <f>SUM(INDEX(Tabela1[[Sailing - Mixed 470]:[Sailing - Mixed Nacra 17]],MATCH(Table92[[#This Row],[Country]],Tabela1[Country], 0),0))</f>
        <v>1</v>
      </c>
      <c r="AK64" s="6">
        <f>SUM(INDEX(Tabela1[[Shooting - Men''s 10m Air Pistol]:[Shooting - Women''s Trap]],MATCH(Table92[[#This Row],[Country]],Tabela1[Country], 0),0))</f>
        <v>0</v>
      </c>
      <c r="AL64" s="6">
        <f>SUM(INDEX(Tabela1[[Skateboarding - Men''s Park]:[Skateboarding - Women''s Street]],MATCH(Table92[[#This Row],[Country]],Tabela1[Country], 0),0))</f>
        <v>0</v>
      </c>
      <c r="AM64" s="6">
        <f>SUM(INDEX(Tabela1[[Sport Climbing - Men''s Boulder and Lead]:[Sport Climbing - Women''s Speed]],MATCH(Table92[[#This Row],[Country]],Tabela1[Country], 0),0))</f>
        <v>0</v>
      </c>
      <c r="AN64" s="6">
        <f>SUM(INDEX(Tabela1[[Surfing - Men''s Shortboard]:[Surfing - Women''s Shortboard]],MATCH(Table92[[#This Row],[Country]],Tabela1[Country], 0),0))</f>
        <v>0</v>
      </c>
      <c r="AO64" s="6">
        <f>SUM(INDEX(Tabela1[[Swimming - Men''s 50m Freestyle]:[Swimming - Mixed 4x100m Medley Relay]],MATCH(Table92[[#This Row],[Country]],Tabela1[Country], 0),0))</f>
        <v>0</v>
      </c>
      <c r="AP64" s="6">
        <f>SUM(INDEX(Tabela1[[Table Tennis - Men''s Singles]:[Table Tennis - Mixed Doubles]],MATCH(Table92[[#This Row],[Country]],Tabela1[Country], 0),0))</f>
        <v>0</v>
      </c>
      <c r="AQ64" s="6">
        <f>SUM(INDEX(Tabela1[[Taekwondo - Men''s 58kg]:[Taekwondo - Women''s +67kg]],MATCH(Table92[[#This Row],[Country]],Tabela1[Country], 0),0))</f>
        <v>0</v>
      </c>
      <c r="AR64" s="6">
        <f>SUM(INDEX(Tabela1[[Tennis - Men''s Singles]:[Tennis - Mixed Doubles]],MATCH(Table92[[#This Row],[Country]],Tabela1[Country], 0),0))</f>
        <v>0</v>
      </c>
      <c r="AS64" s="6">
        <f>SUM(INDEX(Tabela1[[Gymnastics - Men''s Trampoline]:[Gymnastics - Women''s Trampoline]],MATCH(Table92[[#This Row],[Country]],Tabela1[Country], 0),0))</f>
        <v>0</v>
      </c>
      <c r="AT64" s="6">
        <f>SUM(INDEX(Tabela1[[Triathlon - Men''s Individual]:[Triathlon - Mixed Relay]],MATCH(Table92[[#This Row],[Country]],Tabela1[Country], 0),0))</f>
        <v>0</v>
      </c>
      <c r="AU64" s="6">
        <f>SUM(INDEX(Tabela1[[Volleyball - Men''s Tournament]:[Volleyball - Women''s Tournament]],MATCH(Table92[[#This Row],[Country]],Tabela1[Country], 0),0))</f>
        <v>0</v>
      </c>
      <c r="AV64" s="6">
        <f>SUM(INDEX(Tabela1[[Water Polo - Men''s Tournament]:[Water Polo - Women''s Tournament]],MATCH(Table92[[#This Row],[Country]],Tabela1[Country], 0),0))</f>
        <v>0</v>
      </c>
      <c r="AW64" s="6">
        <f>SUM(INDEX(Tabela1[[Weightlifting - Men''s 61kg]:[Weightlifting - Women''s +81kg]],MATCH(Table92[[#This Row],[Country]],Tabela1[Country], 0),0))</f>
        <v>0</v>
      </c>
      <c r="AX64" s="6">
        <f>SUM(INDEX(Tabela1[[Wrestling - Men''s Freestyle 57kg]:[Wrestling - Women''s Freestyle 76kg]],MATCH(Table92[[#This Row],[Country]],Tabela1[Country], 0),0))</f>
        <v>0</v>
      </c>
      <c r="AY64" s="6">
        <f>SUM(INDEX(Tabela1[[Alpine Skiing - Men''s Downhill]:[Alpine Skiing - Women''s Team Combined]],MATCH(Table92[[#This Row],[Country]],Tabela1[Country], 0),0))</f>
        <v>0</v>
      </c>
      <c r="AZ64" s="6">
        <f>SUM(INDEX(Tabela1[[Biathlon - Men''s Individual]:[Biathlon - Mixed Relay]],MATCH(Table92[[#This Row],[Country]],Tabela1[Country], 0),0))</f>
        <v>0</v>
      </c>
      <c r="BA64" s="6">
        <f>SUM(INDEX(Tabela1[[Bobsleigh - Women''s Monobob]:[Bobsleigh - Men''s Four]],MATCH(Table92[[#This Row],[Country]],Tabela1[Country], 0),0))</f>
        <v>0</v>
      </c>
      <c r="BB64" s="6">
        <f>SUM(INDEX(Tabela1[[Cross-country skiing - Men''s Classical]:[Cross-country skiing - Women''s Team Sprint]],MATCH(Table92[[#This Row],[Country]],Tabela1[Country], 0),0))</f>
        <v>5</v>
      </c>
      <c r="BC64" s="6">
        <f>SUM(INDEX(Tabela1[[Curling - Men''s Tournament]:[Curling - Mixed Doubles]],MATCH(Table92[[#This Row],[Country]],Tabela1[Country], 0),0))</f>
        <v>0</v>
      </c>
      <c r="BD64" s="6">
        <f>SUM(INDEX(Tabela1[[Figure Skating - Men''s Singles]:[Figure Skating - Team Event]],MATCH(Table92[[#This Row],[Country]],Tabela1[Country], 0),0))</f>
        <v>0</v>
      </c>
      <c r="BE64" s="6">
        <f>SUM(INDEX(Tabela1[[Freestyle Skiing - Men''s Aerials]:[Freestyle Skiing - Women''s Slopestyle]],MATCH(Table92[[#This Row],[Country]],Tabela1[Country], 0),0))</f>
        <v>0</v>
      </c>
      <c r="BF64" s="6">
        <f>SUM(INDEX(Tabela1[[Ice Hockey - Men''s Tournament]:[Ice Hockey - Women''s Tournament]],MATCH(Table92[[#This Row],[Country]],Tabela1[Country], 0),0))</f>
        <v>0</v>
      </c>
      <c r="BG64" s="6">
        <f>SUM(INDEX(Tabela1[[Luge - Men''s Singles]:[Luge - Mixed Team Relay]],MATCH(Table92[[#This Row],[Country]],Tabela1[Country], 0),0))</f>
        <v>0</v>
      </c>
      <c r="BH64" s="6">
        <f>SUM(INDEX(Tabela1[[Nordic Combined - Men''s Individual]:[Nordic Combined - Men''s Team Sprint Large Hill]],MATCH(Table92[[#This Row],[Country]],Tabela1[Country], 0),0))</f>
        <v>0</v>
      </c>
      <c r="BI64" s="6">
        <f>SUM(INDEX(Tabela1[[Short track speed skating - Men''s 500m]:[Short track speed skating - Mixed 2000m Relay]],MATCH(Table92[[#This Row],[Country]],Tabela1[Country], 0),0))</f>
        <v>0</v>
      </c>
      <c r="BJ64" s="6">
        <f>SUM(INDEX(Tabela1[[Skeleton - Men''s Individual]:[Skeleton - Mixed Team]],MATCH(Table92[[#This Row],[Country]],Tabela1[Country], 0),0))</f>
        <v>0</v>
      </c>
      <c r="BK64" s="6">
        <f>SUM(INDEX(Tabela1[[Ski Jumping - Men''s Individual Large Hill]:[Ski Jumping - Mixed Team Normal Hill]],MATCH(Table92[[#This Row],[Country]],Tabela1[Country], 0),0))</f>
        <v>0</v>
      </c>
      <c r="BL64" s="6">
        <f>SUM(INDEX(Tabela1[[Ski Mountaineering - Men''s Sprint]:[Ski Mountaineering - Mixed Relay]],MATCH(Table92[[#This Row],[Country]],Tabela1[Country], 0),0))</f>
        <v>0</v>
      </c>
      <c r="BM64" s="6">
        <f>SUM(INDEX(Tabela1[[Snowboarding - Men''s Big Air]:[Snowboarding - Mixed Team Snowboard Cross]],MATCH(Table92[[#This Row],[Country]],Tabela1[Country], 0),0))</f>
        <v>0</v>
      </c>
      <c r="BN64" s="6">
        <f>SUM(INDEX(Tabela1[[Speed Skating - Men''s 500m]:[Speed Skating - Women''s Team Pursuit]],MATCH(Table92[[#This Row],[Country]],Tabela1[Country], 0),0))</f>
        <v>0</v>
      </c>
      <c r="BO64" s="6" t="str">
        <f>SUBSTITUTE(INDEX(Table92[[#Headers],[Archery Quotas]:[Speed Skating Quotas]], MATCH(MAX(Table92[[#This Row],[Archery Quotas]:[Speed Skating Quotas]]), Table92[[#This Row],[Archery Quotas]:[Speed Skating Quotas]], 0))," Quotas","")</f>
        <v>Cross Country Skiing</v>
      </c>
      <c r="BP64" s="6">
        <f>SUM(Table92[[#This Row],[Summer Sports]:[Winter Sports]])</f>
        <v>4</v>
      </c>
      <c r="BQ64" s="6">
        <f>COUNTIF(Table92[[#This Row],[Archery Quotas]:[Wrestling Quotas]],"&lt;&gt;0")</f>
        <v>3</v>
      </c>
      <c r="BR64" s="6">
        <f>COUNTIF(Table92[[#This Row],[Alpine Skiing Quotas]:[Speed Skating Quotas]],"&lt;&gt;0")</f>
        <v>1</v>
      </c>
      <c r="BS64" s="3" t="s">
        <v>479</v>
      </c>
    </row>
    <row r="65" spans="1:71" x14ac:dyDescent="0.3">
      <c r="A65" s="6" t="s">
        <v>512</v>
      </c>
      <c r="B65" t="e" vm="64">
        <f>IF(ISBLANK(Table92[[#This Row],[Flag Link]]), "", _xlfn.IMAGE(Table92[[#This Row],[Flag Link]],1,1))</f>
        <v>#VALUE!</v>
      </c>
      <c r="C65" s="6">
        <f>SUM(Table92[[#This Row],[Archery Quotas]:[Speed Skating Quotas]])</f>
        <v>9</v>
      </c>
      <c r="D65" s="6">
        <f>SUM(INDEX(Tabela1[[Archery - Men''s Individual Recurve]:[Archery - Mixed Team Recurve]],MATCH(Table92[[#This Row],[Country]],Tabela1[Country], 0),0))</f>
        <v>0</v>
      </c>
      <c r="E65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65" s="6">
        <f>SUM(INDEX(Tabela1[[Artistic Swimming - Women''s Duet]:[Artistic Swimming - Women''s Team]],MATCH(Table92[[#This Row],[Country]],Tabela1[Country], 0),0))</f>
        <v>0</v>
      </c>
      <c r="G65" s="6">
        <f>SUM(INDEX(Tabela1[[Athletics - Men''s 100m]:[Athletics - Women''s Heptathlon]],MATCH(Table92[[#This Row],[Country]],Tabela1[Country], 0),0))</f>
        <v>4</v>
      </c>
      <c r="H65" s="6">
        <f>SUM(INDEX(Tabela1[[Badminton - Men''s Singles]:[Badminton - Mixed Doubles]],MATCH(Table92[[#This Row],[Country]],Tabela1[Country], 0),0))</f>
        <v>0</v>
      </c>
      <c r="I65" s="6">
        <f>SUM(INDEX(Tabela1[[Basketball - Men''s Tournament]:[Basketball - Women''s Tournament]],MATCH(Table92[[#This Row],[Country]],Tabela1[Country], 0),0))</f>
        <v>0</v>
      </c>
      <c r="J65" s="6">
        <f>SUM(INDEX(Tabela1[[3x3 Basketball - Men''s Tournament]:[3x3 Basketball - Women''s Tournament]],MATCH(Table92[[#This Row],[Country]],Tabela1[Country], 0),0))</f>
        <v>0</v>
      </c>
      <c r="K65" s="6">
        <f>SUM(INDEX(Tabela1[[Beach Volleyball - Men''s Tournament]:[Beach Volleyball - Women''s Tournament]],MATCH(Table92[[#This Row],[Country]],Tabela1[Country], 0),0))</f>
        <v>0</v>
      </c>
      <c r="L65" s="6">
        <f>SUM(INDEX(Tabela1[[Boxing - Men''s 51kg]:[Boxing - Women''s 75kg]],MATCH(Table92[[#This Row],[Country]],Tabela1[Country], 0),0))</f>
        <v>0</v>
      </c>
      <c r="M65" s="6">
        <f>SUM(INDEX(Tabela1[[Breaking - Men''s Individual]:[Breaking - Women''s Individual]],MATCH(Table92[[#This Row],[Country]],Tabela1[Country], 0),0))</f>
        <v>0</v>
      </c>
      <c r="N65" s="6">
        <f>SUM(INDEX(Tabela1[[Canoeing - Men''s C1 Slalom]:[Canoeing - Women''s Kayak Cross Slalom]],MATCH(Table92[[#This Row],[Country]],Tabela1[Country], 0),0))</f>
        <v>0</v>
      </c>
      <c r="O65" s="6">
        <f>SUM(INDEX(Tabela1[[Canoeing - Women''s C1 200m]:[Canoeing - Women''s K4 500m]],MATCH(Table92[[#This Row],[Country]],Tabela1[Country], 0),0))</f>
        <v>0</v>
      </c>
      <c r="P65" s="6">
        <f>SUM(INDEX(Tabela1[[Cycling - Men''s BMX Freestyle]:[Cycling - Women''s BMX Freestyle]],MATCH(Table92[[#This Row],[Country]],Tabela1[Country], 0),0))</f>
        <v>0</v>
      </c>
      <c r="Q65" s="6">
        <f>SUM(INDEX(Tabela1[[Cycling - Men''s BMX Racing]:[Cycling - Women''s BMX Racing]],MATCH(Table92[[#This Row],[Country]],Tabela1[Country], 0),0))</f>
        <v>0</v>
      </c>
      <c r="R65" s="6">
        <f>SUM(INDEX(Tabela1[[Cycling - Men''s Cross-Country]:[Cycling - Women''s Cross-Country]],MATCH(Table92[[#This Row],[Country]],Tabela1[Country], 0),0))</f>
        <v>0</v>
      </c>
      <c r="S65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65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65" s="6">
        <f>SUM(INDEX(Tabela1[[Diving - Men''s Springboard]:[Diving - Women''s Synchronized Platform]],MATCH(Table92[[#This Row],[Country]],Tabela1[Country], 0),0))</f>
        <v>0</v>
      </c>
      <c r="V65" s="6">
        <f>SUM(INDEX(Tabela1[[Equestrian - Individual Dressage]:[Equestrian - Team Dressage]],MATCH(Table92[[#This Row],[Country]],Tabela1[Country], 0),0))</f>
        <v>0</v>
      </c>
      <c r="W65" s="6">
        <f>SUM(INDEX(Tabela1[[Equestrian - Individual Eventing]:[Equestrian - Team Eventing]],MATCH(Table92[[#This Row],[Country]],Tabela1[Country], 0),0))</f>
        <v>0</v>
      </c>
      <c r="X65" s="6">
        <f>SUM(INDEX(Tabela1[[Equestrian - Individual Jumping]:[Equestrian - Team Jumping]],MATCH(Table92[[#This Row],[Country]],Tabela1[Country], 0),0))</f>
        <v>0</v>
      </c>
      <c r="Y65" s="6">
        <f>SUM(INDEX(Tabela1[[Fencing - Men''s Épée]:[Fencing - Women''s Team Sabre]],MATCH(Table92[[#This Row],[Country]],Tabela1[Country], 0),0))</f>
        <v>0</v>
      </c>
      <c r="Z65" s="6">
        <f>SUM(INDEX(Tabela1[[Field Hockey - Men''s Tournament]:[Field Hockey - Women''s Tournament]],MATCH(Table92[[#This Row],[Country]],Tabela1[Country], 0),0))</f>
        <v>0</v>
      </c>
      <c r="AA65" s="6">
        <f>SUM(INDEX(Tabela1[[Football - Men''s Tournament]:[Football - Women''s Tournament]],MATCH(Table92[[#This Row],[Country]],Tabela1[Country], 0),0))</f>
        <v>0</v>
      </c>
      <c r="AB65" s="6">
        <f>SUM(INDEX(Tabela1[[Golf - Men''s Individual]:[Golf - Women''s Individual]],MATCH(Table92[[#This Row],[Country]],Tabela1[Country], 0),0))</f>
        <v>0</v>
      </c>
      <c r="AC65" s="6">
        <f>SUM(INDEX(Tabela1[[Handball - Men''s Tournament]:[Handball - Women''s Tournament]],MATCH(Table92[[#This Row],[Country]],Tabela1[Country], 0),0))</f>
        <v>0</v>
      </c>
      <c r="AD65" s="6">
        <f>SUM(INDEX(Tabela1[[Judo - Men''s 60kg]:[Judo - Mixed Team]],MATCH(Table92[[#This Row],[Country]],Tabela1[Country], 0),0))</f>
        <v>1</v>
      </c>
      <c r="AE65" s="6">
        <f>SUM(INDEX(Tabela1[[Swimming - Men''s 10km Open Water]:[Swimming - Women''s 10km Open Water]],MATCH(Table92[[#This Row],[Country]],Tabela1[Country], 0),0))</f>
        <v>0</v>
      </c>
      <c r="AF65" s="6">
        <f>SUM(INDEX(Tabela1[[Modern Pentathlon - Men''s Individual]:[Modern Pentathlon - Women''s Individual]],MATCH(Table92[[#This Row],[Country]],Tabela1[Country], 0),0))</f>
        <v>0</v>
      </c>
      <c r="AG65" s="6">
        <f>SUM(INDEX(Tabela1[[Rhythmic Gymnastics - Women''s Individual All-Around]:[Rhythmic Gymnastics - Women''s Group All-Around]],MATCH(Table92[[#This Row],[Country]],Tabela1[Country], 0),0))</f>
        <v>0</v>
      </c>
      <c r="AH65" s="6">
        <f>SUM(INDEX(Tabela1[[Rowing - Men''s Single Sculls]:[Rowing - Women''s Lwt. Double Sculls]],MATCH(Table92[[#This Row],[Country]],Tabela1[Country], 0),0))</f>
        <v>0</v>
      </c>
      <c r="AI65" s="6">
        <f>SUM(INDEX(Tabela1[[Rugby Sevens - Men''s Tournament]:[Rugby Sevens - Women''s Tournament]],MATCH(Table92[[#This Row],[Country]],Tabela1[Country], 0),0))</f>
        <v>0</v>
      </c>
      <c r="AJ65" s="6">
        <f>SUM(INDEX(Tabela1[[Sailing - Mixed 470]:[Sailing - Mixed Nacra 17]],MATCH(Table92[[#This Row],[Country]],Tabela1[Country], 0),0))</f>
        <v>0</v>
      </c>
      <c r="AK65" s="6">
        <f>SUM(INDEX(Tabela1[[Shooting - Men''s 10m Air Pistol]:[Shooting - Women''s Trap]],MATCH(Table92[[#This Row],[Country]],Tabela1[Country], 0),0))</f>
        <v>0</v>
      </c>
      <c r="AL65" s="6">
        <f>SUM(INDEX(Tabela1[[Skateboarding - Men''s Park]:[Skateboarding - Women''s Street]],MATCH(Table92[[#This Row],[Country]],Tabela1[Country], 0),0))</f>
        <v>0</v>
      </c>
      <c r="AM65" s="6">
        <f>SUM(INDEX(Tabela1[[Sport Climbing - Men''s Boulder and Lead]:[Sport Climbing - Women''s Speed]],MATCH(Table92[[#This Row],[Country]],Tabela1[Country], 0),0))</f>
        <v>0</v>
      </c>
      <c r="AN65" s="6">
        <f>SUM(INDEX(Tabela1[[Surfing - Men''s Shortboard]:[Surfing - Women''s Shortboard]],MATCH(Table92[[#This Row],[Country]],Tabela1[Country], 0),0))</f>
        <v>0</v>
      </c>
      <c r="AO65" s="6">
        <f>SUM(INDEX(Tabela1[[Swimming - Men''s 50m Freestyle]:[Swimming - Mixed 4x100m Medley Relay]],MATCH(Table92[[#This Row],[Country]],Tabela1[Country], 0),0))</f>
        <v>2</v>
      </c>
      <c r="AP65" s="6">
        <f>SUM(INDEX(Tabela1[[Table Tennis - Men''s Singles]:[Table Tennis - Mixed Doubles]],MATCH(Table92[[#This Row],[Country]],Tabela1[Country], 0),0))</f>
        <v>0</v>
      </c>
      <c r="AQ65" s="6">
        <f>SUM(INDEX(Tabela1[[Taekwondo - Men''s 58kg]:[Taekwondo - Women''s +67kg]],MATCH(Table92[[#This Row],[Country]],Tabela1[Country], 0),0))</f>
        <v>0</v>
      </c>
      <c r="AR65" s="6">
        <f>SUM(INDEX(Tabela1[[Tennis - Men''s Singles]:[Tennis - Mixed Doubles]],MATCH(Table92[[#This Row],[Country]],Tabela1[Country], 0),0))</f>
        <v>0</v>
      </c>
      <c r="AS65" s="6">
        <f>SUM(INDEX(Tabela1[[Gymnastics - Men''s Trampoline]:[Gymnastics - Women''s Trampoline]],MATCH(Table92[[#This Row],[Country]],Tabela1[Country], 0),0))</f>
        <v>0</v>
      </c>
      <c r="AT65" s="6">
        <f>SUM(INDEX(Tabela1[[Triathlon - Men''s Individual]:[Triathlon - Mixed Relay]],MATCH(Table92[[#This Row],[Country]],Tabela1[Country], 0),0))</f>
        <v>0</v>
      </c>
      <c r="AU65" s="6">
        <f>SUM(INDEX(Tabela1[[Volleyball - Men''s Tournament]:[Volleyball - Women''s Tournament]],MATCH(Table92[[#This Row],[Country]],Tabela1[Country], 0),0))</f>
        <v>0</v>
      </c>
      <c r="AV65" s="6">
        <f>SUM(INDEX(Tabela1[[Water Polo - Men''s Tournament]:[Water Polo - Women''s Tournament]],MATCH(Table92[[#This Row],[Country]],Tabela1[Country], 0),0))</f>
        <v>0</v>
      </c>
      <c r="AW65" s="6">
        <f>SUM(INDEX(Tabela1[[Weightlifting - Men''s 61kg]:[Weightlifting - Women''s +81kg]],MATCH(Table92[[#This Row],[Country]],Tabela1[Country], 0),0))</f>
        <v>2</v>
      </c>
      <c r="AX65" s="6">
        <f>SUM(INDEX(Tabela1[[Wrestling - Men''s Freestyle 57kg]:[Wrestling - Women''s Freestyle 76kg]],MATCH(Table92[[#This Row],[Country]],Tabela1[Country], 0),0))</f>
        <v>0</v>
      </c>
      <c r="AY65" s="6">
        <f>SUM(INDEX(Tabela1[[Alpine Skiing - Men''s Downhill]:[Alpine Skiing - Women''s Team Combined]],MATCH(Table92[[#This Row],[Country]],Tabela1[Country], 0),0))</f>
        <v>0</v>
      </c>
      <c r="AZ65" s="6">
        <f>SUM(INDEX(Tabela1[[Biathlon - Men''s Individual]:[Biathlon - Mixed Relay]],MATCH(Table92[[#This Row],[Country]],Tabela1[Country], 0),0))</f>
        <v>0</v>
      </c>
      <c r="BA65" s="6">
        <f>SUM(INDEX(Tabela1[[Bobsleigh - Women''s Monobob]:[Bobsleigh - Men''s Four]],MATCH(Table92[[#This Row],[Country]],Tabela1[Country], 0),0))</f>
        <v>0</v>
      </c>
      <c r="BB65" s="6">
        <f>SUM(INDEX(Tabela1[[Cross-country skiing - Men''s Classical]:[Cross-country skiing - Women''s Team Sprint]],MATCH(Table92[[#This Row],[Country]],Tabela1[Country], 0),0))</f>
        <v>0</v>
      </c>
      <c r="BC65" s="6">
        <f>SUM(INDEX(Tabela1[[Curling - Men''s Tournament]:[Curling - Mixed Doubles]],MATCH(Table92[[#This Row],[Country]],Tabela1[Country], 0),0))</f>
        <v>0</v>
      </c>
      <c r="BD65" s="6">
        <f>SUM(INDEX(Tabela1[[Figure Skating - Men''s Singles]:[Figure Skating - Team Event]],MATCH(Table92[[#This Row],[Country]],Tabela1[Country], 0),0))</f>
        <v>0</v>
      </c>
      <c r="BE65" s="6">
        <f>SUM(INDEX(Tabela1[[Freestyle Skiing - Men''s Aerials]:[Freestyle Skiing - Women''s Slopestyle]],MATCH(Table92[[#This Row],[Country]],Tabela1[Country], 0),0))</f>
        <v>0</v>
      </c>
      <c r="BF65" s="6">
        <f>SUM(INDEX(Tabela1[[Ice Hockey - Men''s Tournament]:[Ice Hockey - Women''s Tournament]],MATCH(Table92[[#This Row],[Country]],Tabela1[Country], 0),0))</f>
        <v>0</v>
      </c>
      <c r="BG65" s="6">
        <f>SUM(INDEX(Tabela1[[Luge - Men''s Singles]:[Luge - Mixed Team Relay]],MATCH(Table92[[#This Row],[Country]],Tabela1[Country], 0),0))</f>
        <v>0</v>
      </c>
      <c r="BH65" s="6">
        <f>SUM(INDEX(Tabela1[[Nordic Combined - Men''s Individual]:[Nordic Combined - Men''s Team Sprint Large Hill]],MATCH(Table92[[#This Row],[Country]],Tabela1[Country], 0),0))</f>
        <v>0</v>
      </c>
      <c r="BI65" s="6">
        <f>SUM(INDEX(Tabela1[[Short track speed skating - Men''s 500m]:[Short track speed skating - Mixed 2000m Relay]],MATCH(Table92[[#This Row],[Country]],Tabela1[Country], 0),0))</f>
        <v>0</v>
      </c>
      <c r="BJ65" s="6">
        <f>SUM(INDEX(Tabela1[[Skeleton - Men''s Individual]:[Skeleton - Mixed Team]],MATCH(Table92[[#This Row],[Country]],Tabela1[Country], 0),0))</f>
        <v>0</v>
      </c>
      <c r="BK65" s="6">
        <f>SUM(INDEX(Tabela1[[Ski Jumping - Men''s Individual Large Hill]:[Ski Jumping - Mixed Team Normal Hill]],MATCH(Table92[[#This Row],[Country]],Tabela1[Country], 0),0))</f>
        <v>0</v>
      </c>
      <c r="BL65" s="6">
        <f>SUM(INDEX(Tabela1[[Ski Mountaineering - Men''s Sprint]:[Ski Mountaineering - Mixed Relay]],MATCH(Table92[[#This Row],[Country]],Tabela1[Country], 0),0))</f>
        <v>0</v>
      </c>
      <c r="BM65" s="6">
        <f>SUM(INDEX(Tabela1[[Snowboarding - Men''s Big Air]:[Snowboarding - Mixed Team Snowboard Cross]],MATCH(Table92[[#This Row],[Country]],Tabela1[Country], 0),0))</f>
        <v>0</v>
      </c>
      <c r="BN65" s="6">
        <f>SUM(INDEX(Tabela1[[Speed Skating - Men''s 500m]:[Speed Skating - Women''s Team Pursuit]],MATCH(Table92[[#This Row],[Country]],Tabela1[Country], 0),0))</f>
        <v>0</v>
      </c>
      <c r="BO65" s="6" t="str">
        <f>SUBSTITUTE(INDEX(Table92[[#Headers],[Archery Quotas]:[Speed Skating Quotas]], MATCH(MAX(Table92[[#This Row],[Archery Quotas]:[Speed Skating Quotas]]), Table92[[#This Row],[Archery Quotas]:[Speed Skating Quotas]], 0))," Quotas","")</f>
        <v>Athletics</v>
      </c>
      <c r="BP65" s="6">
        <f>SUM(Table92[[#This Row],[Summer Sports]:[Winter Sports]])</f>
        <v>4</v>
      </c>
      <c r="BQ65" s="6">
        <f>COUNTIF(Table92[[#This Row],[Archery Quotas]:[Wrestling Quotas]],"&lt;&gt;0")</f>
        <v>4</v>
      </c>
      <c r="BR65" s="6">
        <f>COUNTIF(Table92[[#This Row],[Alpine Skiing Quotas]:[Speed Skating Quotas]],"&lt;&gt;0")</f>
        <v>0</v>
      </c>
      <c r="BS65" s="3" t="s">
        <v>513</v>
      </c>
    </row>
    <row r="66" spans="1:71" x14ac:dyDescent="0.3">
      <c r="A66" s="6" t="s">
        <v>724</v>
      </c>
      <c r="B66" t="e" vm="65">
        <f>IF(ISBLANK(Table92[[#This Row],[Flag Link]]), "", _xlfn.IMAGE(Table92[[#This Row],[Flag Link]],1,1))</f>
        <v>#VALUE!</v>
      </c>
      <c r="C66" s="6">
        <f>SUM(Table92[[#This Row],[Archery Quotas]:[Speed Skating Quotas]])</f>
        <v>9</v>
      </c>
      <c r="D66" s="6">
        <f>SUM(INDEX(Tabela1[[Archery - Men''s Individual Recurve]:[Archery - Mixed Team Recurve]],MATCH(Table92[[#This Row],[Country]],Tabela1[Country], 0),0))</f>
        <v>0</v>
      </c>
      <c r="E66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66" s="6">
        <f>SUM(INDEX(Tabela1[[Artistic Swimming - Women''s Duet]:[Artistic Swimming - Women''s Team]],MATCH(Table92[[#This Row],[Country]],Tabela1[Country], 0),0))</f>
        <v>0</v>
      </c>
      <c r="G66" s="6">
        <f>SUM(INDEX(Tabela1[[Athletics - Men''s 100m]:[Athletics - Women''s Heptathlon]],MATCH(Table92[[#This Row],[Country]],Tabela1[Country], 0),0))</f>
        <v>7</v>
      </c>
      <c r="H66" s="6">
        <f>SUM(INDEX(Tabela1[[Badminton - Men''s Singles]:[Badminton - Mixed Doubles]],MATCH(Table92[[#This Row],[Country]],Tabela1[Country], 0),0))</f>
        <v>0</v>
      </c>
      <c r="I66" s="6">
        <f>SUM(INDEX(Tabela1[[Basketball - Men''s Tournament]:[Basketball - Women''s Tournament]],MATCH(Table92[[#This Row],[Country]],Tabela1[Country], 0),0))</f>
        <v>0</v>
      </c>
      <c r="J66" s="6">
        <f>SUM(INDEX(Tabela1[[3x3 Basketball - Men''s Tournament]:[3x3 Basketball - Women''s Tournament]],MATCH(Table92[[#This Row],[Country]],Tabela1[Country], 0),0))</f>
        <v>0</v>
      </c>
      <c r="K66" s="6">
        <f>SUM(INDEX(Tabela1[[Beach Volleyball - Men''s Tournament]:[Beach Volleyball - Women''s Tournament]],MATCH(Table92[[#This Row],[Country]],Tabela1[Country], 0),0))</f>
        <v>0</v>
      </c>
      <c r="L66" s="6">
        <f>SUM(INDEX(Tabela1[[Boxing - Men''s 51kg]:[Boxing - Women''s 75kg]],MATCH(Table92[[#This Row],[Country]],Tabela1[Country], 0),0))</f>
        <v>0</v>
      </c>
      <c r="M66" s="6">
        <f>SUM(INDEX(Tabela1[[Breaking - Men''s Individual]:[Breaking - Women''s Individual]],MATCH(Table92[[#This Row],[Country]],Tabela1[Country], 0),0))</f>
        <v>0</v>
      </c>
      <c r="N66" s="6">
        <f>SUM(INDEX(Tabela1[[Canoeing - Men''s C1 Slalom]:[Canoeing - Women''s Kayak Cross Slalom]],MATCH(Table92[[#This Row],[Country]],Tabela1[Country], 0),0))</f>
        <v>0</v>
      </c>
      <c r="O66" s="6">
        <f>SUM(INDEX(Tabela1[[Canoeing - Women''s C1 200m]:[Canoeing - Women''s K4 500m]],MATCH(Table92[[#This Row],[Country]],Tabela1[Country], 0),0))</f>
        <v>0</v>
      </c>
      <c r="P66" s="6">
        <f>SUM(INDEX(Tabela1[[Cycling - Men''s BMX Freestyle]:[Cycling - Women''s BMX Freestyle]],MATCH(Table92[[#This Row],[Country]],Tabela1[Country], 0),0))</f>
        <v>0</v>
      </c>
      <c r="Q66" s="6">
        <f>SUM(INDEX(Tabela1[[Cycling - Men''s BMX Racing]:[Cycling - Women''s BMX Racing]],MATCH(Table92[[#This Row],[Country]],Tabela1[Country], 0),0))</f>
        <v>0</v>
      </c>
      <c r="R66" s="6">
        <f>SUM(INDEX(Tabela1[[Cycling - Men''s Cross-Country]:[Cycling - Women''s Cross-Country]],MATCH(Table92[[#This Row],[Country]],Tabela1[Country], 0),0))</f>
        <v>0</v>
      </c>
      <c r="S66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1</v>
      </c>
      <c r="T66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66" s="6">
        <f>SUM(INDEX(Tabela1[[Diving - Men''s Springboard]:[Diving - Women''s Synchronized Platform]],MATCH(Table92[[#This Row],[Country]],Tabela1[Country], 0),0))</f>
        <v>0</v>
      </c>
      <c r="V66" s="6">
        <f>SUM(INDEX(Tabela1[[Equestrian - Individual Dressage]:[Equestrian - Team Dressage]],MATCH(Table92[[#This Row],[Country]],Tabela1[Country], 0),0))</f>
        <v>0</v>
      </c>
      <c r="W66" s="6">
        <f>SUM(INDEX(Tabela1[[Equestrian - Individual Eventing]:[Equestrian - Team Eventing]],MATCH(Table92[[#This Row],[Country]],Tabela1[Country], 0),0))</f>
        <v>0</v>
      </c>
      <c r="X66" s="6">
        <f>SUM(INDEX(Tabela1[[Equestrian - Individual Jumping]:[Equestrian - Team Jumping]],MATCH(Table92[[#This Row],[Country]],Tabela1[Country], 0),0))</f>
        <v>0</v>
      </c>
      <c r="Y66" s="6">
        <f>SUM(INDEX(Tabela1[[Fencing - Men''s Épée]:[Fencing - Women''s Team Sabre]],MATCH(Table92[[#This Row],[Country]],Tabela1[Country], 0),0))</f>
        <v>0</v>
      </c>
      <c r="Z66" s="6">
        <f>SUM(INDEX(Tabela1[[Field Hockey - Men''s Tournament]:[Field Hockey - Women''s Tournament]],MATCH(Table92[[#This Row],[Country]],Tabela1[Country], 0),0))</f>
        <v>0</v>
      </c>
      <c r="AA66" s="6">
        <f>SUM(INDEX(Tabela1[[Football - Men''s Tournament]:[Football - Women''s Tournament]],MATCH(Table92[[#This Row],[Country]],Tabela1[Country], 0),0))</f>
        <v>0</v>
      </c>
      <c r="AB66" s="6">
        <f>SUM(INDEX(Tabela1[[Golf - Men''s Individual]:[Golf - Women''s Individual]],MATCH(Table92[[#This Row],[Country]],Tabela1[Country], 0),0))</f>
        <v>0</v>
      </c>
      <c r="AC66" s="6">
        <f>SUM(INDEX(Tabela1[[Handball - Men''s Tournament]:[Handball - Women''s Tournament]],MATCH(Table92[[#This Row],[Country]],Tabela1[Country], 0),0))</f>
        <v>0</v>
      </c>
      <c r="AD66" s="6">
        <f>SUM(INDEX(Tabela1[[Judo - Men''s 60kg]:[Judo - Mixed Team]],MATCH(Table92[[#This Row],[Country]],Tabela1[Country], 0),0))</f>
        <v>0</v>
      </c>
      <c r="AE66" s="6">
        <f>SUM(INDEX(Tabela1[[Swimming - Men''s 10km Open Water]:[Swimming - Women''s 10km Open Water]],MATCH(Table92[[#This Row],[Country]],Tabela1[Country], 0),0))</f>
        <v>0</v>
      </c>
      <c r="AF66" s="6">
        <f>SUM(INDEX(Tabela1[[Modern Pentathlon - Men''s Individual]:[Modern Pentathlon - Women''s Individual]],MATCH(Table92[[#This Row],[Country]],Tabela1[Country], 0),0))</f>
        <v>0</v>
      </c>
      <c r="AG66" s="6">
        <f>SUM(INDEX(Tabela1[[Rhythmic Gymnastics - Women''s Individual All-Around]:[Rhythmic Gymnastics - Women''s Group All-Around]],MATCH(Table92[[#This Row],[Country]],Tabela1[Country], 0),0))</f>
        <v>0</v>
      </c>
      <c r="AH66" s="6">
        <f>SUM(INDEX(Tabela1[[Rowing - Men''s Single Sculls]:[Rowing - Women''s Lwt. Double Sculls]],MATCH(Table92[[#This Row],[Country]],Tabela1[Country], 0),0))</f>
        <v>1</v>
      </c>
      <c r="AI66" s="6">
        <f>SUM(INDEX(Tabela1[[Rugby Sevens - Men''s Tournament]:[Rugby Sevens - Women''s Tournament]],MATCH(Table92[[#This Row],[Country]],Tabela1[Country], 0),0))</f>
        <v>0</v>
      </c>
      <c r="AJ66" s="6">
        <f>SUM(INDEX(Tabela1[[Sailing - Mixed 470]:[Sailing - Mixed Nacra 17]],MATCH(Table92[[#This Row],[Country]],Tabela1[Country], 0),0))</f>
        <v>0</v>
      </c>
      <c r="AK66" s="6">
        <f>SUM(INDEX(Tabela1[[Shooting - Men''s 10m Air Pistol]:[Shooting - Women''s Trap]],MATCH(Table92[[#This Row],[Country]],Tabela1[Country], 0),0))</f>
        <v>0</v>
      </c>
      <c r="AL66" s="6">
        <f>SUM(INDEX(Tabela1[[Skateboarding - Men''s Park]:[Skateboarding - Women''s Street]],MATCH(Table92[[#This Row],[Country]],Tabela1[Country], 0),0))</f>
        <v>0</v>
      </c>
      <c r="AM66" s="6">
        <f>SUM(INDEX(Tabela1[[Sport Climbing - Men''s Boulder and Lead]:[Sport Climbing - Women''s Speed]],MATCH(Table92[[#This Row],[Country]],Tabela1[Country], 0),0))</f>
        <v>0</v>
      </c>
      <c r="AN66" s="6">
        <f>SUM(INDEX(Tabela1[[Surfing - Men''s Shortboard]:[Surfing - Women''s Shortboard]],MATCH(Table92[[#This Row],[Country]],Tabela1[Country], 0),0))</f>
        <v>0</v>
      </c>
      <c r="AO66" s="6">
        <f>SUM(INDEX(Tabela1[[Swimming - Men''s 50m Freestyle]:[Swimming - Mixed 4x100m Medley Relay]],MATCH(Table92[[#This Row],[Country]],Tabela1[Country], 0),0))</f>
        <v>0</v>
      </c>
      <c r="AP66" s="6">
        <f>SUM(INDEX(Tabela1[[Table Tennis - Men''s Singles]:[Table Tennis - Mixed Doubles]],MATCH(Table92[[#This Row],[Country]],Tabela1[Country], 0),0))</f>
        <v>0</v>
      </c>
      <c r="AQ66" s="6">
        <f>SUM(INDEX(Tabela1[[Taekwondo - Men''s 58kg]:[Taekwondo - Women''s +67kg]],MATCH(Table92[[#This Row],[Country]],Tabela1[Country], 0),0))</f>
        <v>0</v>
      </c>
      <c r="AR66" s="6">
        <f>SUM(INDEX(Tabela1[[Tennis - Men''s Singles]:[Tennis - Mixed Doubles]],MATCH(Table92[[#This Row],[Country]],Tabela1[Country], 0),0))</f>
        <v>0</v>
      </c>
      <c r="AS66" s="6">
        <f>SUM(INDEX(Tabela1[[Gymnastics - Men''s Trampoline]:[Gymnastics - Women''s Trampoline]],MATCH(Table92[[#This Row],[Country]],Tabela1[Country], 0),0))</f>
        <v>0</v>
      </c>
      <c r="AT66" s="6">
        <f>SUM(INDEX(Tabela1[[Triathlon - Men''s Individual]:[Triathlon - Mixed Relay]],MATCH(Table92[[#This Row],[Country]],Tabela1[Country], 0),0))</f>
        <v>0</v>
      </c>
      <c r="AU66" s="6">
        <f>SUM(INDEX(Tabela1[[Volleyball - Men''s Tournament]:[Volleyball - Women''s Tournament]],MATCH(Table92[[#This Row],[Country]],Tabela1[Country], 0),0))</f>
        <v>0</v>
      </c>
      <c r="AV66" s="6">
        <f>SUM(INDEX(Tabela1[[Water Polo - Men''s Tournament]:[Water Polo - Women''s Tournament]],MATCH(Table92[[#This Row],[Country]],Tabela1[Country], 0),0))</f>
        <v>0</v>
      </c>
      <c r="AW66" s="6">
        <f>SUM(INDEX(Tabela1[[Weightlifting - Men''s 61kg]:[Weightlifting - Women''s +81kg]],MATCH(Table92[[#This Row],[Country]],Tabela1[Country], 0),0))</f>
        <v>0</v>
      </c>
      <c r="AX66" s="6">
        <f>SUM(INDEX(Tabela1[[Wrestling - Men''s Freestyle 57kg]:[Wrestling - Women''s Freestyle 76kg]],MATCH(Table92[[#This Row],[Country]],Tabela1[Country], 0),0))</f>
        <v>0</v>
      </c>
      <c r="AY66" s="6">
        <f>SUM(INDEX(Tabela1[[Alpine Skiing - Men''s Downhill]:[Alpine Skiing - Women''s Team Combined]],MATCH(Table92[[#This Row],[Country]],Tabela1[Country], 0),0))</f>
        <v>0</v>
      </c>
      <c r="AZ66" s="6">
        <f>SUM(INDEX(Tabela1[[Biathlon - Men''s Individual]:[Biathlon - Mixed Relay]],MATCH(Table92[[#This Row],[Country]],Tabela1[Country], 0),0))</f>
        <v>0</v>
      </c>
      <c r="BA66" s="6">
        <f>SUM(INDEX(Tabela1[[Bobsleigh - Women''s Monobob]:[Bobsleigh - Men''s Four]],MATCH(Table92[[#This Row],[Country]],Tabela1[Country], 0),0))</f>
        <v>0</v>
      </c>
      <c r="BB66" s="6">
        <f>SUM(INDEX(Tabela1[[Cross-country skiing - Men''s Classical]:[Cross-country skiing - Women''s Team Sprint]],MATCH(Table92[[#This Row],[Country]],Tabela1[Country], 0),0))</f>
        <v>0</v>
      </c>
      <c r="BC66" s="6">
        <f>SUM(INDEX(Tabela1[[Curling - Men''s Tournament]:[Curling - Mixed Doubles]],MATCH(Table92[[#This Row],[Country]],Tabela1[Country], 0),0))</f>
        <v>0</v>
      </c>
      <c r="BD66" s="6">
        <f>SUM(INDEX(Tabela1[[Figure Skating - Men''s Singles]:[Figure Skating - Team Event]],MATCH(Table92[[#This Row],[Country]],Tabela1[Country], 0),0))</f>
        <v>0</v>
      </c>
      <c r="BE66" s="6">
        <f>SUM(INDEX(Tabela1[[Freestyle Skiing - Men''s Aerials]:[Freestyle Skiing - Women''s Slopestyle]],MATCH(Table92[[#This Row],[Country]],Tabela1[Country], 0),0))</f>
        <v>0</v>
      </c>
      <c r="BF66" s="6">
        <f>SUM(INDEX(Tabela1[[Ice Hockey - Men''s Tournament]:[Ice Hockey - Women''s Tournament]],MATCH(Table92[[#This Row],[Country]],Tabela1[Country], 0),0))</f>
        <v>0</v>
      </c>
      <c r="BG66" s="6">
        <f>SUM(INDEX(Tabela1[[Luge - Men''s Singles]:[Luge - Mixed Team Relay]],MATCH(Table92[[#This Row],[Country]],Tabela1[Country], 0),0))</f>
        <v>0</v>
      </c>
      <c r="BH66" s="6">
        <f>SUM(INDEX(Tabela1[[Nordic Combined - Men''s Individual]:[Nordic Combined - Men''s Team Sprint Large Hill]],MATCH(Table92[[#This Row],[Country]],Tabela1[Country], 0),0))</f>
        <v>0</v>
      </c>
      <c r="BI66" s="6">
        <f>SUM(INDEX(Tabela1[[Short track speed skating - Men''s 500m]:[Short track speed skating - Mixed 2000m Relay]],MATCH(Table92[[#This Row],[Country]],Tabela1[Country], 0),0))</f>
        <v>0</v>
      </c>
      <c r="BJ66" s="6">
        <f>SUM(INDEX(Tabela1[[Skeleton - Men''s Individual]:[Skeleton - Mixed Team]],MATCH(Table92[[#This Row],[Country]],Tabela1[Country], 0),0))</f>
        <v>0</v>
      </c>
      <c r="BK66" s="6">
        <f>SUM(INDEX(Tabela1[[Ski Jumping - Men''s Individual Large Hill]:[Ski Jumping - Mixed Team Normal Hill]],MATCH(Table92[[#This Row],[Country]],Tabela1[Country], 0),0))</f>
        <v>0</v>
      </c>
      <c r="BL66" s="6">
        <f>SUM(INDEX(Tabela1[[Ski Mountaineering - Men''s Sprint]:[Ski Mountaineering - Mixed Relay]],MATCH(Table92[[#This Row],[Country]],Tabela1[Country], 0),0))</f>
        <v>0</v>
      </c>
      <c r="BM66" s="6">
        <f>SUM(INDEX(Tabela1[[Snowboarding - Men''s Big Air]:[Snowboarding - Mixed Team Snowboard Cross]],MATCH(Table92[[#This Row],[Country]],Tabela1[Country], 0),0))</f>
        <v>0</v>
      </c>
      <c r="BN66" s="6">
        <f>SUM(INDEX(Tabela1[[Speed Skating - Men''s 500m]:[Speed Skating - Women''s Team Pursuit]],MATCH(Table92[[#This Row],[Country]],Tabela1[Country], 0),0))</f>
        <v>0</v>
      </c>
      <c r="BO66" s="6" t="str">
        <f>SUBSTITUTE(INDEX(Table92[[#Headers],[Archery Quotas]:[Speed Skating Quotas]], MATCH(MAX(Table92[[#This Row],[Archery Quotas]:[Speed Skating Quotas]]), Table92[[#This Row],[Archery Quotas]:[Speed Skating Quotas]], 0))," Quotas","")</f>
        <v>Athletics</v>
      </c>
      <c r="BP66" s="6">
        <f>SUM(Table92[[#This Row],[Summer Sports]:[Winter Sports]])</f>
        <v>3</v>
      </c>
      <c r="BQ66" s="6">
        <f>COUNTIF(Table92[[#This Row],[Archery Quotas]:[Wrestling Quotas]],"&lt;&gt;0")</f>
        <v>3</v>
      </c>
      <c r="BR66" s="6">
        <f>COUNTIF(Table92[[#This Row],[Alpine Skiing Quotas]:[Speed Skating Quotas]],"&lt;&gt;0")</f>
        <v>0</v>
      </c>
      <c r="BS66" s="4" t="s">
        <v>725</v>
      </c>
    </row>
    <row r="67" spans="1:71" x14ac:dyDescent="0.3">
      <c r="A67" s="6" t="s">
        <v>526</v>
      </c>
      <c r="B67" t="e" vm="68">
        <f>IF(ISBLANK(Table92[[#This Row],[Flag Link]]), "", _xlfn.IMAGE(Table92[[#This Row],[Flag Link]],1,1))</f>
        <v>#VALUE!</v>
      </c>
      <c r="C67" s="6">
        <f>SUM(Table92[[#This Row],[Archery Quotas]:[Speed Skating Quotas]])</f>
        <v>8</v>
      </c>
      <c r="D67" s="6">
        <f>SUM(INDEX(Tabela1[[Archery - Men''s Individual Recurve]:[Archery - Mixed Team Recurve]],MATCH(Table92[[#This Row],[Country]],Tabela1[Country], 0),0))</f>
        <v>0</v>
      </c>
      <c r="E67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67" s="6">
        <f>SUM(INDEX(Tabela1[[Artistic Swimming - Women''s Duet]:[Artistic Swimming - Women''s Team]],MATCH(Table92[[#This Row],[Country]],Tabela1[Country], 0),0))</f>
        <v>0</v>
      </c>
      <c r="G67" s="6">
        <f>SUM(INDEX(Tabela1[[Athletics - Men''s 100m]:[Athletics - Women''s Heptathlon]],MATCH(Table92[[#This Row],[Country]],Tabela1[Country], 0),0))</f>
        <v>1</v>
      </c>
      <c r="H67" s="6">
        <f>SUM(INDEX(Tabela1[[Badminton - Men''s Singles]:[Badminton - Mixed Doubles]],MATCH(Table92[[#This Row],[Country]],Tabela1[Country], 0),0))</f>
        <v>0</v>
      </c>
      <c r="I67" s="6">
        <f>SUM(INDEX(Tabela1[[Basketball - Men''s Tournament]:[Basketball - Women''s Tournament]],MATCH(Table92[[#This Row],[Country]],Tabela1[Country], 0),0))</f>
        <v>0</v>
      </c>
      <c r="J67" s="6">
        <f>SUM(INDEX(Tabela1[[3x3 Basketball - Men''s Tournament]:[3x3 Basketball - Women''s Tournament]],MATCH(Table92[[#This Row],[Country]],Tabela1[Country], 0),0))</f>
        <v>0</v>
      </c>
      <c r="K67" s="6">
        <f>SUM(INDEX(Tabela1[[Beach Volleyball - Men''s Tournament]:[Beach Volleyball - Women''s Tournament]],MATCH(Table92[[#This Row],[Country]],Tabela1[Country], 0),0))</f>
        <v>0</v>
      </c>
      <c r="L67" s="6">
        <f>SUM(INDEX(Tabela1[[Boxing - Men''s 51kg]:[Boxing - Women''s 75kg]],MATCH(Table92[[#This Row],[Country]],Tabela1[Country], 0),0))</f>
        <v>0</v>
      </c>
      <c r="M67" s="6">
        <f>SUM(INDEX(Tabela1[[Breaking - Men''s Individual]:[Breaking - Women''s Individual]],MATCH(Table92[[#This Row],[Country]],Tabela1[Country], 0),0))</f>
        <v>0</v>
      </c>
      <c r="N67" s="6">
        <f>SUM(INDEX(Tabela1[[Canoeing - Men''s C1 Slalom]:[Canoeing - Women''s Kayak Cross Slalom]],MATCH(Table92[[#This Row],[Country]],Tabela1[Country], 0),0))</f>
        <v>0</v>
      </c>
      <c r="O67" s="6">
        <f>SUM(INDEX(Tabela1[[Canoeing - Women''s C1 200m]:[Canoeing - Women''s K4 500m]],MATCH(Table92[[#This Row],[Country]],Tabela1[Country], 0),0))</f>
        <v>0</v>
      </c>
      <c r="P67" s="6">
        <f>SUM(INDEX(Tabela1[[Cycling - Men''s BMX Freestyle]:[Cycling - Women''s BMX Freestyle]],MATCH(Table92[[#This Row],[Country]],Tabela1[Country], 0),0))</f>
        <v>0</v>
      </c>
      <c r="Q67" s="6">
        <f>SUM(INDEX(Tabela1[[Cycling - Men''s BMX Racing]:[Cycling - Women''s BMX Racing]],MATCH(Table92[[#This Row],[Country]],Tabela1[Country], 0),0))</f>
        <v>0</v>
      </c>
      <c r="R67" s="6">
        <f>SUM(INDEX(Tabela1[[Cycling - Men''s Cross-Country]:[Cycling - Women''s Cross-Country]],MATCH(Table92[[#This Row],[Country]],Tabela1[Country], 0),0))</f>
        <v>0</v>
      </c>
      <c r="S67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67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67" s="6">
        <f>SUM(INDEX(Tabela1[[Diving - Men''s Springboard]:[Diving - Women''s Synchronized Platform]],MATCH(Table92[[#This Row],[Country]],Tabela1[Country], 0),0))</f>
        <v>0</v>
      </c>
      <c r="V67" s="6">
        <f>SUM(INDEX(Tabela1[[Equestrian - Individual Dressage]:[Equestrian - Team Dressage]],MATCH(Table92[[#This Row],[Country]],Tabela1[Country], 0),0))</f>
        <v>0</v>
      </c>
      <c r="W67" s="6">
        <f>SUM(INDEX(Tabela1[[Equestrian - Individual Eventing]:[Equestrian - Team Eventing]],MATCH(Table92[[#This Row],[Country]],Tabela1[Country], 0),0))</f>
        <v>0</v>
      </c>
      <c r="X67" s="6">
        <f>SUM(INDEX(Tabela1[[Equestrian - Individual Jumping]:[Equestrian - Team Jumping]],MATCH(Table92[[#This Row],[Country]],Tabela1[Country], 0),0))</f>
        <v>0</v>
      </c>
      <c r="Y67" s="6">
        <f>SUM(INDEX(Tabela1[[Fencing - Men''s Épée]:[Fencing - Women''s Team Sabre]],MATCH(Table92[[#This Row],[Country]],Tabela1[Country], 0),0))</f>
        <v>0</v>
      </c>
      <c r="Z67" s="6">
        <f>SUM(INDEX(Tabela1[[Field Hockey - Men''s Tournament]:[Field Hockey - Women''s Tournament]],MATCH(Table92[[#This Row],[Country]],Tabela1[Country], 0),0))</f>
        <v>0</v>
      </c>
      <c r="AA67" s="6">
        <f>SUM(INDEX(Tabela1[[Football - Men''s Tournament]:[Football - Women''s Tournament]],MATCH(Table92[[#This Row],[Country]],Tabela1[Country], 0),0))</f>
        <v>0</v>
      </c>
      <c r="AB67" s="6">
        <f>SUM(INDEX(Tabela1[[Golf - Men''s Individual]:[Golf - Women''s Individual]],MATCH(Table92[[#This Row],[Country]],Tabela1[Country], 0),0))</f>
        <v>0</v>
      </c>
      <c r="AC67" s="6">
        <f>SUM(INDEX(Tabela1[[Handball - Men''s Tournament]:[Handball - Women''s Tournament]],MATCH(Table92[[#This Row],[Country]],Tabela1[Country], 0),0))</f>
        <v>0</v>
      </c>
      <c r="AD67" s="6">
        <f>SUM(INDEX(Tabela1[[Judo - Men''s 60kg]:[Judo - Mixed Team]],MATCH(Table92[[#This Row],[Country]],Tabela1[Country], 0),0))</f>
        <v>0</v>
      </c>
      <c r="AE67" s="6">
        <f>SUM(INDEX(Tabela1[[Swimming - Men''s 10km Open Water]:[Swimming - Women''s 10km Open Water]],MATCH(Table92[[#This Row],[Country]],Tabela1[Country], 0),0))</f>
        <v>0</v>
      </c>
      <c r="AF67" s="6">
        <f>SUM(INDEX(Tabela1[[Modern Pentathlon - Men''s Individual]:[Modern Pentathlon - Women''s Individual]],MATCH(Table92[[#This Row],[Country]],Tabela1[Country], 0),0))</f>
        <v>0</v>
      </c>
      <c r="AG67" s="6">
        <f>SUM(INDEX(Tabela1[[Rhythmic Gymnastics - Women''s Individual All-Around]:[Rhythmic Gymnastics - Women''s Group All-Around]],MATCH(Table92[[#This Row],[Country]],Tabela1[Country], 0),0))</f>
        <v>0</v>
      </c>
      <c r="AH67" s="6">
        <f>SUM(INDEX(Tabela1[[Rowing - Men''s Single Sculls]:[Rowing - Women''s Lwt. Double Sculls]],MATCH(Table92[[#This Row],[Country]],Tabela1[Country], 0),0))</f>
        <v>1</v>
      </c>
      <c r="AI67" s="6">
        <f>SUM(INDEX(Tabela1[[Rugby Sevens - Men''s Tournament]:[Rugby Sevens - Women''s Tournament]],MATCH(Table92[[#This Row],[Country]],Tabela1[Country], 0),0))</f>
        <v>0</v>
      </c>
      <c r="AJ67" s="6">
        <f>SUM(INDEX(Tabela1[[Sailing - Mixed 470]:[Sailing - Mixed Nacra 17]],MATCH(Table92[[#This Row],[Country]],Tabela1[Country], 0),0))</f>
        <v>1</v>
      </c>
      <c r="AK67" s="6">
        <f>SUM(INDEX(Tabela1[[Shooting - Men''s 10m Air Pistol]:[Shooting - Women''s Trap]],MATCH(Table92[[#This Row],[Country]],Tabela1[Country], 0),0))</f>
        <v>0</v>
      </c>
      <c r="AL67" s="6">
        <f>SUM(INDEX(Tabela1[[Skateboarding - Men''s Park]:[Skateboarding - Women''s Street]],MATCH(Table92[[#This Row],[Country]],Tabela1[Country], 0),0))</f>
        <v>0</v>
      </c>
      <c r="AM67" s="6">
        <f>SUM(INDEX(Tabela1[[Sport Climbing - Men''s Boulder and Lead]:[Sport Climbing - Women''s Speed]],MATCH(Table92[[#This Row],[Country]],Tabela1[Country], 0),0))</f>
        <v>0</v>
      </c>
      <c r="AN67" s="6">
        <f>SUM(INDEX(Tabela1[[Surfing - Men''s Shortboard]:[Surfing - Women''s Shortboard]],MATCH(Table92[[#This Row],[Country]],Tabela1[Country], 0),0))</f>
        <v>0</v>
      </c>
      <c r="AO67" s="6">
        <f>SUM(INDEX(Tabela1[[Swimming - Men''s 50m Freestyle]:[Swimming - Mixed 4x100m Medley Relay]],MATCH(Table92[[#This Row],[Country]],Tabela1[Country], 0),0))</f>
        <v>2</v>
      </c>
      <c r="AP67" s="6">
        <f>SUM(INDEX(Tabela1[[Table Tennis - Men''s Singles]:[Table Tennis - Mixed Doubles]],MATCH(Table92[[#This Row],[Country]],Tabela1[Country], 0),0))</f>
        <v>0</v>
      </c>
      <c r="AQ67" s="6">
        <f>SUM(INDEX(Tabela1[[Taekwondo - Men''s 58kg]:[Taekwondo - Women''s +67kg]],MATCH(Table92[[#This Row],[Country]],Tabela1[Country], 0),0))</f>
        <v>0</v>
      </c>
      <c r="AR67" s="6">
        <f>SUM(INDEX(Tabela1[[Tennis - Men''s Singles]:[Tennis - Mixed Doubles]],MATCH(Table92[[#This Row],[Country]],Tabela1[Country], 0),0))</f>
        <v>0</v>
      </c>
      <c r="AS67" s="6">
        <f>SUM(INDEX(Tabela1[[Gymnastics - Men''s Trampoline]:[Gymnastics - Women''s Trampoline]],MATCH(Table92[[#This Row],[Country]],Tabela1[Country], 0),0))</f>
        <v>0</v>
      </c>
      <c r="AT67" s="6">
        <f>SUM(INDEX(Tabela1[[Triathlon - Men''s Individual]:[Triathlon - Mixed Relay]],MATCH(Table92[[#This Row],[Country]],Tabela1[Country], 0),0))</f>
        <v>3</v>
      </c>
      <c r="AU67" s="6">
        <f>SUM(INDEX(Tabela1[[Volleyball - Men''s Tournament]:[Volleyball - Women''s Tournament]],MATCH(Table92[[#This Row],[Country]],Tabela1[Country], 0),0))</f>
        <v>0</v>
      </c>
      <c r="AV67" s="6">
        <f>SUM(INDEX(Tabela1[[Water Polo - Men''s Tournament]:[Water Polo - Women''s Tournament]],MATCH(Table92[[#This Row],[Country]],Tabela1[Country], 0),0))</f>
        <v>0</v>
      </c>
      <c r="AW67" s="6">
        <f>SUM(INDEX(Tabela1[[Weightlifting - Men''s 61kg]:[Weightlifting - Women''s +81kg]],MATCH(Table92[[#This Row],[Country]],Tabela1[Country], 0),0))</f>
        <v>0</v>
      </c>
      <c r="AX67" s="6">
        <f>SUM(INDEX(Tabela1[[Wrestling - Men''s Freestyle 57kg]:[Wrestling - Women''s Freestyle 76kg]],MATCH(Table92[[#This Row],[Country]],Tabela1[Country], 0),0))</f>
        <v>0</v>
      </c>
      <c r="AY67" s="6">
        <f>SUM(INDEX(Tabela1[[Alpine Skiing - Men''s Downhill]:[Alpine Skiing - Women''s Team Combined]],MATCH(Table92[[#This Row],[Country]],Tabela1[Country], 0),0))</f>
        <v>0</v>
      </c>
      <c r="AZ67" s="6">
        <f>SUM(INDEX(Tabela1[[Biathlon - Men''s Individual]:[Biathlon - Mixed Relay]],MATCH(Table92[[#This Row],[Country]],Tabela1[Country], 0),0))</f>
        <v>0</v>
      </c>
      <c r="BA67" s="6">
        <f>SUM(INDEX(Tabela1[[Bobsleigh - Women''s Monobob]:[Bobsleigh - Men''s Four]],MATCH(Table92[[#This Row],[Country]],Tabela1[Country], 0),0))</f>
        <v>0</v>
      </c>
      <c r="BB67" s="6">
        <f>SUM(INDEX(Tabela1[[Cross-country skiing - Men''s Classical]:[Cross-country skiing - Women''s Team Sprint]],MATCH(Table92[[#This Row],[Country]],Tabela1[Country], 0),0))</f>
        <v>0</v>
      </c>
      <c r="BC67" s="6">
        <f>SUM(INDEX(Tabela1[[Curling - Men''s Tournament]:[Curling - Mixed Doubles]],MATCH(Table92[[#This Row],[Country]],Tabela1[Country], 0),0))</f>
        <v>0</v>
      </c>
      <c r="BD67" s="6">
        <f>SUM(INDEX(Tabela1[[Figure Skating - Men''s Singles]:[Figure Skating - Team Event]],MATCH(Table92[[#This Row],[Country]],Tabela1[Country], 0),0))</f>
        <v>0</v>
      </c>
      <c r="BE67" s="6">
        <f>SUM(INDEX(Tabela1[[Freestyle Skiing - Men''s Aerials]:[Freestyle Skiing - Women''s Slopestyle]],MATCH(Table92[[#This Row],[Country]],Tabela1[Country], 0),0))</f>
        <v>0</v>
      </c>
      <c r="BF67" s="6">
        <f>SUM(INDEX(Tabela1[[Ice Hockey - Men''s Tournament]:[Ice Hockey - Women''s Tournament]],MATCH(Table92[[#This Row],[Country]],Tabela1[Country], 0),0))</f>
        <v>0</v>
      </c>
      <c r="BG67" s="6">
        <f>SUM(INDEX(Tabela1[[Luge - Men''s Singles]:[Luge - Mixed Team Relay]],MATCH(Table92[[#This Row],[Country]],Tabela1[Country], 0),0))</f>
        <v>0</v>
      </c>
      <c r="BH67" s="6">
        <f>SUM(INDEX(Tabela1[[Nordic Combined - Men''s Individual]:[Nordic Combined - Men''s Team Sprint Large Hill]],MATCH(Table92[[#This Row],[Country]],Tabela1[Country], 0),0))</f>
        <v>0</v>
      </c>
      <c r="BI67" s="6">
        <f>SUM(INDEX(Tabela1[[Short track speed skating - Men''s 500m]:[Short track speed skating - Mixed 2000m Relay]],MATCH(Table92[[#This Row],[Country]],Tabela1[Country], 0),0))</f>
        <v>0</v>
      </c>
      <c r="BJ67" s="6">
        <f>SUM(INDEX(Tabela1[[Skeleton - Men''s Individual]:[Skeleton - Mixed Team]],MATCH(Table92[[#This Row],[Country]],Tabela1[Country], 0),0))</f>
        <v>0</v>
      </c>
      <c r="BK67" s="6">
        <f>SUM(INDEX(Tabela1[[Ski Jumping - Men''s Individual Large Hill]:[Ski Jumping - Mixed Team Normal Hill]],MATCH(Table92[[#This Row],[Country]],Tabela1[Country], 0),0))</f>
        <v>0</v>
      </c>
      <c r="BL67" s="6">
        <f>SUM(INDEX(Tabela1[[Ski Mountaineering - Men''s Sprint]:[Ski Mountaineering - Mixed Relay]],MATCH(Table92[[#This Row],[Country]],Tabela1[Country], 0),0))</f>
        <v>0</v>
      </c>
      <c r="BM67" s="6">
        <f>SUM(INDEX(Tabela1[[Snowboarding - Men''s Big Air]:[Snowboarding - Mixed Team Snowboard Cross]],MATCH(Table92[[#This Row],[Country]],Tabela1[Country], 0),0))</f>
        <v>0</v>
      </c>
      <c r="BN67" s="6">
        <f>SUM(INDEX(Tabela1[[Speed Skating - Men''s 500m]:[Speed Skating - Women''s Team Pursuit]],MATCH(Table92[[#This Row],[Country]],Tabela1[Country], 0),0))</f>
        <v>0</v>
      </c>
      <c r="BO67" s="6" t="str">
        <f>SUBSTITUTE(INDEX(Table92[[#Headers],[Archery Quotas]:[Speed Skating Quotas]], MATCH(MAX(Table92[[#This Row],[Archery Quotas]:[Speed Skating Quotas]]), Table92[[#This Row],[Archery Quotas]:[Speed Skating Quotas]], 0))," Quotas","")</f>
        <v>Triathlon</v>
      </c>
      <c r="BP67" s="6">
        <f>SUM(Table92[[#This Row],[Summer Sports]:[Winter Sports]])</f>
        <v>5</v>
      </c>
      <c r="BQ67" s="6">
        <f>COUNTIF(Table92[[#This Row],[Archery Quotas]:[Wrestling Quotas]],"&lt;&gt;0")</f>
        <v>5</v>
      </c>
      <c r="BR67" s="6">
        <f>COUNTIF(Table92[[#This Row],[Alpine Skiing Quotas]:[Speed Skating Quotas]],"&lt;&gt;0")</f>
        <v>0</v>
      </c>
      <c r="BS67" s="3" t="s">
        <v>527</v>
      </c>
    </row>
    <row r="68" spans="1:71" x14ac:dyDescent="0.3">
      <c r="A68" s="6" t="s">
        <v>572</v>
      </c>
      <c r="B68" t="e" vm="67">
        <f>IF(ISBLANK(Table92[[#This Row],[Flag Link]]), "", _xlfn.IMAGE(Table92[[#This Row],[Flag Link]],1,1))</f>
        <v>#VALUE!</v>
      </c>
      <c r="C68" s="6">
        <f>SUM(Table92[[#This Row],[Archery Quotas]:[Speed Skating Quotas]])</f>
        <v>8</v>
      </c>
      <c r="D68" s="6">
        <f>SUM(INDEX(Tabela1[[Archery - Men''s Individual Recurve]:[Archery - Mixed Team Recurve]],MATCH(Table92[[#This Row],[Country]],Tabela1[Country], 0),0))</f>
        <v>0</v>
      </c>
      <c r="E68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68" s="6">
        <f>SUM(INDEX(Tabela1[[Artistic Swimming - Women''s Duet]:[Artistic Swimming - Women''s Team]],MATCH(Table92[[#This Row],[Country]],Tabela1[Country], 0),0))</f>
        <v>0</v>
      </c>
      <c r="G68" s="6">
        <f>SUM(INDEX(Tabela1[[Athletics - Men''s 100m]:[Athletics - Women''s Heptathlon]],MATCH(Table92[[#This Row],[Country]],Tabela1[Country], 0),0))</f>
        <v>0</v>
      </c>
      <c r="H68" s="6">
        <f>SUM(INDEX(Tabela1[[Badminton - Men''s Singles]:[Badminton - Mixed Doubles]],MATCH(Table92[[#This Row],[Country]],Tabela1[Country], 0),0))</f>
        <v>0</v>
      </c>
      <c r="I68" s="6">
        <f>SUM(INDEX(Tabela1[[Basketball - Men''s Tournament]:[Basketball - Women''s Tournament]],MATCH(Table92[[#This Row],[Country]],Tabela1[Country], 0),0))</f>
        <v>0</v>
      </c>
      <c r="J68" s="6">
        <f>SUM(INDEX(Tabela1[[3x3 Basketball - Men''s Tournament]:[3x3 Basketball - Women''s Tournament]],MATCH(Table92[[#This Row],[Country]],Tabela1[Country], 0),0))</f>
        <v>0</v>
      </c>
      <c r="K68" s="6">
        <f>SUM(INDEX(Tabela1[[Beach Volleyball - Men''s Tournament]:[Beach Volleyball - Women''s Tournament]],MATCH(Table92[[#This Row],[Country]],Tabela1[Country], 0),0))</f>
        <v>0</v>
      </c>
      <c r="L68" s="6">
        <f>SUM(INDEX(Tabela1[[Boxing - Men''s 51kg]:[Boxing - Women''s 75kg]],MATCH(Table92[[#This Row],[Country]],Tabela1[Country], 0),0))</f>
        <v>0</v>
      </c>
      <c r="M68" s="6">
        <f>SUM(INDEX(Tabela1[[Breaking - Men''s Individual]:[Breaking - Women''s Individual]],MATCH(Table92[[#This Row],[Country]],Tabela1[Country], 0),0))</f>
        <v>0</v>
      </c>
      <c r="N68" s="6">
        <f>SUM(INDEX(Tabela1[[Canoeing - Men''s C1 Slalom]:[Canoeing - Women''s Kayak Cross Slalom]],MATCH(Table92[[#This Row],[Country]],Tabela1[Country], 0),0))</f>
        <v>0</v>
      </c>
      <c r="O68" s="6">
        <f>SUM(INDEX(Tabela1[[Canoeing - Women''s C1 200m]:[Canoeing - Women''s K4 500m]],MATCH(Table92[[#This Row],[Country]],Tabela1[Country], 0),0))</f>
        <v>0</v>
      </c>
      <c r="P68" s="6">
        <f>SUM(INDEX(Tabela1[[Cycling - Men''s BMX Freestyle]:[Cycling - Women''s BMX Freestyle]],MATCH(Table92[[#This Row],[Country]],Tabela1[Country], 0),0))</f>
        <v>0</v>
      </c>
      <c r="Q68" s="6">
        <f>SUM(INDEX(Tabela1[[Cycling - Men''s BMX Racing]:[Cycling - Women''s BMX Racing]],MATCH(Table92[[#This Row],[Country]],Tabela1[Country], 0),0))</f>
        <v>0</v>
      </c>
      <c r="R68" s="6">
        <f>SUM(INDEX(Tabela1[[Cycling - Men''s Cross-Country]:[Cycling - Women''s Cross-Country]],MATCH(Table92[[#This Row],[Country]],Tabela1[Country], 0),0))</f>
        <v>0</v>
      </c>
      <c r="S68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68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68" s="6">
        <f>SUM(INDEX(Tabela1[[Diving - Men''s Springboard]:[Diving - Women''s Synchronized Platform]],MATCH(Table92[[#This Row],[Country]],Tabela1[Country], 0),0))</f>
        <v>0</v>
      </c>
      <c r="V68" s="6">
        <f>SUM(INDEX(Tabela1[[Equestrian - Individual Dressage]:[Equestrian - Team Dressage]],MATCH(Table92[[#This Row],[Country]],Tabela1[Country], 0),0))</f>
        <v>0</v>
      </c>
      <c r="W68" s="6">
        <f>SUM(INDEX(Tabela1[[Equestrian - Individual Eventing]:[Equestrian - Team Eventing]],MATCH(Table92[[#This Row],[Country]],Tabela1[Country], 0),0))</f>
        <v>0</v>
      </c>
      <c r="X68" s="6">
        <f>SUM(INDEX(Tabela1[[Equestrian - Individual Jumping]:[Equestrian - Team Jumping]],MATCH(Table92[[#This Row],[Country]],Tabela1[Country], 0),0))</f>
        <v>1</v>
      </c>
      <c r="Y68" s="6">
        <f>SUM(INDEX(Tabela1[[Fencing - Men''s Épée]:[Fencing - Women''s Team Sabre]],MATCH(Table92[[#This Row],[Country]],Tabela1[Country], 0),0))</f>
        <v>0</v>
      </c>
      <c r="Z68" s="6">
        <f>SUM(INDEX(Tabela1[[Field Hockey - Men''s Tournament]:[Field Hockey - Women''s Tournament]],MATCH(Table92[[#This Row],[Country]],Tabela1[Country], 0),0))</f>
        <v>0</v>
      </c>
      <c r="AA68" s="6">
        <f>SUM(INDEX(Tabela1[[Football - Men''s Tournament]:[Football - Women''s Tournament]],MATCH(Table92[[#This Row],[Country]],Tabela1[Country], 0),0))</f>
        <v>0</v>
      </c>
      <c r="AB68" s="6">
        <f>SUM(INDEX(Tabela1[[Golf - Men''s Individual]:[Golf - Women''s Individual]],MATCH(Table92[[#This Row],[Country]],Tabela1[Country], 0),0))</f>
        <v>0</v>
      </c>
      <c r="AC68" s="6">
        <f>SUM(INDEX(Tabela1[[Handball - Men''s Tournament]:[Handball - Women''s Tournament]],MATCH(Table92[[#This Row],[Country]],Tabela1[Country], 0),0))</f>
        <v>0</v>
      </c>
      <c r="AD68" s="6">
        <f>SUM(INDEX(Tabela1[[Judo - Men''s 60kg]:[Judo - Mixed Team]],MATCH(Table92[[#This Row],[Country]],Tabela1[Country], 0),0))</f>
        <v>0</v>
      </c>
      <c r="AE68" s="6">
        <f>SUM(INDEX(Tabela1[[Swimming - Men''s 10km Open Water]:[Swimming - Women''s 10km Open Water]],MATCH(Table92[[#This Row],[Country]],Tabela1[Country], 0),0))</f>
        <v>0</v>
      </c>
      <c r="AF68" s="6">
        <f>SUM(INDEX(Tabela1[[Modern Pentathlon - Men''s Individual]:[Modern Pentathlon - Women''s Individual]],MATCH(Table92[[#This Row],[Country]],Tabela1[Country], 0),0))</f>
        <v>0</v>
      </c>
      <c r="AG68" s="6">
        <f>SUM(INDEX(Tabela1[[Rhythmic Gymnastics - Women''s Individual All-Around]:[Rhythmic Gymnastics - Women''s Group All-Around]],MATCH(Table92[[#This Row],[Country]],Tabela1[Country], 0),0))</f>
        <v>0</v>
      </c>
      <c r="AH68" s="6">
        <f>SUM(INDEX(Tabela1[[Rowing - Men''s Single Sculls]:[Rowing - Women''s Lwt. Double Sculls]],MATCH(Table92[[#This Row],[Country]],Tabela1[Country], 0),0))</f>
        <v>1</v>
      </c>
      <c r="AI68" s="6">
        <f>SUM(INDEX(Tabela1[[Rugby Sevens - Men''s Tournament]:[Rugby Sevens - Women''s Tournament]],MATCH(Table92[[#This Row],[Country]],Tabela1[Country], 0),0))</f>
        <v>0</v>
      </c>
      <c r="AJ68" s="6">
        <f>SUM(INDEX(Tabela1[[Sailing - Mixed 470]:[Sailing - Mixed Nacra 17]],MATCH(Table92[[#This Row],[Country]],Tabela1[Country], 0),0))</f>
        <v>0</v>
      </c>
      <c r="AK68" s="6">
        <f>SUM(INDEX(Tabela1[[Shooting - Men''s 10m Air Pistol]:[Shooting - Women''s Trap]],MATCH(Table92[[#This Row],[Country]],Tabela1[Country], 0),0))</f>
        <v>1</v>
      </c>
      <c r="AL68" s="6">
        <f>SUM(INDEX(Tabela1[[Skateboarding - Men''s Park]:[Skateboarding - Women''s Street]],MATCH(Table92[[#This Row],[Country]],Tabela1[Country], 0),0))</f>
        <v>0</v>
      </c>
      <c r="AM68" s="6">
        <f>SUM(INDEX(Tabela1[[Sport Climbing - Men''s Boulder and Lead]:[Sport Climbing - Women''s Speed]],MATCH(Table92[[#This Row],[Country]],Tabela1[Country], 0),0))</f>
        <v>0</v>
      </c>
      <c r="AN68" s="6">
        <f>SUM(INDEX(Tabela1[[Surfing - Men''s Shortboard]:[Surfing - Women''s Shortboard]],MATCH(Table92[[#This Row],[Country]],Tabela1[Country], 0),0))</f>
        <v>0</v>
      </c>
      <c r="AO68" s="6">
        <f>SUM(INDEX(Tabela1[[Swimming - Men''s 50m Freestyle]:[Swimming - Mixed 4x100m Medley Relay]],MATCH(Table92[[#This Row],[Country]],Tabela1[Country], 0),0))</f>
        <v>0</v>
      </c>
      <c r="AP68" s="6">
        <f>SUM(INDEX(Tabela1[[Table Tennis - Men''s Singles]:[Table Tennis - Mixed Doubles]],MATCH(Table92[[#This Row],[Country]],Tabela1[Country], 0),0))</f>
        <v>0</v>
      </c>
      <c r="AQ68" s="6">
        <f>SUM(INDEX(Tabela1[[Taekwondo - Men''s 58kg]:[Taekwondo - Women''s +67kg]],MATCH(Table92[[#This Row],[Country]],Tabela1[Country], 0),0))</f>
        <v>0</v>
      </c>
      <c r="AR68" s="6">
        <f>SUM(INDEX(Tabela1[[Tennis - Men''s Singles]:[Tennis - Mixed Doubles]],MATCH(Table92[[#This Row],[Country]],Tabela1[Country], 0),0))</f>
        <v>0</v>
      </c>
      <c r="AS68" s="6">
        <f>SUM(INDEX(Tabela1[[Gymnastics - Men''s Trampoline]:[Gymnastics - Women''s Trampoline]],MATCH(Table92[[#This Row],[Country]],Tabela1[Country], 0),0))</f>
        <v>0</v>
      </c>
      <c r="AT68" s="6">
        <f>SUM(INDEX(Tabela1[[Triathlon - Men''s Individual]:[Triathlon - Mixed Relay]],MATCH(Table92[[#This Row],[Country]],Tabela1[Country], 0),0))</f>
        <v>0</v>
      </c>
      <c r="AU68" s="6">
        <f>SUM(INDEX(Tabela1[[Volleyball - Men''s Tournament]:[Volleyball - Women''s Tournament]],MATCH(Table92[[#This Row],[Country]],Tabela1[Country], 0),0))</f>
        <v>0</v>
      </c>
      <c r="AV68" s="6">
        <f>SUM(INDEX(Tabela1[[Water Polo - Men''s Tournament]:[Water Polo - Women''s Tournament]],MATCH(Table92[[#This Row],[Country]],Tabela1[Country], 0),0))</f>
        <v>0</v>
      </c>
      <c r="AW68" s="6">
        <f>SUM(INDEX(Tabela1[[Weightlifting - Men''s 61kg]:[Weightlifting - Women''s +81kg]],MATCH(Table92[[#This Row],[Country]],Tabela1[Country], 0),0))</f>
        <v>0</v>
      </c>
      <c r="AX68" s="6">
        <f>SUM(INDEX(Tabela1[[Wrestling - Men''s Freestyle 57kg]:[Wrestling - Women''s Freestyle 76kg]],MATCH(Table92[[#This Row],[Country]],Tabela1[Country], 0),0))</f>
        <v>1</v>
      </c>
      <c r="AY68" s="6">
        <f>SUM(INDEX(Tabela1[[Alpine Skiing - Men''s Downhill]:[Alpine Skiing - Women''s Team Combined]],MATCH(Table92[[#This Row],[Country]],Tabela1[Country], 0),0))</f>
        <v>0</v>
      </c>
      <c r="AZ68" s="6">
        <f>SUM(INDEX(Tabela1[[Biathlon - Men''s Individual]:[Biathlon - Mixed Relay]],MATCH(Table92[[#This Row],[Country]],Tabela1[Country], 0),0))</f>
        <v>0</v>
      </c>
      <c r="BA68" s="6">
        <f>SUM(INDEX(Tabela1[[Bobsleigh - Women''s Monobob]:[Bobsleigh - Men''s Four]],MATCH(Table92[[#This Row],[Country]],Tabela1[Country], 0),0))</f>
        <v>0</v>
      </c>
      <c r="BB68" s="6">
        <f>SUM(INDEX(Tabela1[[Cross-country skiing - Men''s Classical]:[Cross-country skiing - Women''s Team Sprint]],MATCH(Table92[[#This Row],[Country]],Tabela1[Country], 0),0))</f>
        <v>4</v>
      </c>
      <c r="BC68" s="6">
        <f>SUM(INDEX(Tabela1[[Curling - Men''s Tournament]:[Curling - Mixed Doubles]],MATCH(Table92[[#This Row],[Country]],Tabela1[Country], 0),0))</f>
        <v>0</v>
      </c>
      <c r="BD68" s="6">
        <f>SUM(INDEX(Tabela1[[Figure Skating - Men''s Singles]:[Figure Skating - Team Event]],MATCH(Table92[[#This Row],[Country]],Tabela1[Country], 0),0))</f>
        <v>0</v>
      </c>
      <c r="BE68" s="6">
        <f>SUM(INDEX(Tabela1[[Freestyle Skiing - Men''s Aerials]:[Freestyle Skiing - Women''s Slopestyle]],MATCH(Table92[[#This Row],[Country]],Tabela1[Country], 0),0))</f>
        <v>0</v>
      </c>
      <c r="BF68" s="6">
        <f>SUM(INDEX(Tabela1[[Ice Hockey - Men''s Tournament]:[Ice Hockey - Women''s Tournament]],MATCH(Table92[[#This Row],[Country]],Tabela1[Country], 0),0))</f>
        <v>0</v>
      </c>
      <c r="BG68" s="6">
        <f>SUM(INDEX(Tabela1[[Luge - Men''s Singles]:[Luge - Mixed Team Relay]],MATCH(Table92[[#This Row],[Country]],Tabela1[Country], 0),0))</f>
        <v>0</v>
      </c>
      <c r="BH68" s="6">
        <f>SUM(INDEX(Tabela1[[Nordic Combined - Men''s Individual]:[Nordic Combined - Men''s Team Sprint Large Hill]],MATCH(Table92[[#This Row],[Country]],Tabela1[Country], 0),0))</f>
        <v>0</v>
      </c>
      <c r="BI68" s="6">
        <f>SUM(INDEX(Tabela1[[Short track speed skating - Men''s 500m]:[Short track speed skating - Mixed 2000m Relay]],MATCH(Table92[[#This Row],[Country]],Tabela1[Country], 0),0))</f>
        <v>0</v>
      </c>
      <c r="BJ68" s="6">
        <f>SUM(INDEX(Tabela1[[Skeleton - Men''s Individual]:[Skeleton - Mixed Team]],MATCH(Table92[[#This Row],[Country]],Tabela1[Country], 0),0))</f>
        <v>0</v>
      </c>
      <c r="BK68" s="6">
        <f>SUM(INDEX(Tabela1[[Ski Jumping - Men''s Individual Large Hill]:[Ski Jumping - Mixed Team Normal Hill]],MATCH(Table92[[#This Row],[Country]],Tabela1[Country], 0),0))</f>
        <v>0</v>
      </c>
      <c r="BL68" s="6">
        <f>SUM(INDEX(Tabela1[[Ski Mountaineering - Men''s Sprint]:[Ski Mountaineering - Mixed Relay]],MATCH(Table92[[#This Row],[Country]],Tabela1[Country], 0),0))</f>
        <v>0</v>
      </c>
      <c r="BM68" s="6">
        <f>SUM(INDEX(Tabela1[[Snowboarding - Men''s Big Air]:[Snowboarding - Mixed Team Snowboard Cross]],MATCH(Table92[[#This Row],[Country]],Tabela1[Country], 0),0))</f>
        <v>0</v>
      </c>
      <c r="BN68" s="6">
        <f>SUM(INDEX(Tabela1[[Speed Skating - Men''s 500m]:[Speed Skating - Women''s Team Pursuit]],MATCH(Table92[[#This Row],[Country]],Tabela1[Country], 0),0))</f>
        <v>0</v>
      </c>
      <c r="BO68" s="6" t="str">
        <f>SUBSTITUTE(INDEX(Table92[[#Headers],[Archery Quotas]:[Speed Skating Quotas]], MATCH(MAX(Table92[[#This Row],[Archery Quotas]:[Speed Skating Quotas]]), Table92[[#This Row],[Archery Quotas]:[Speed Skating Quotas]], 0))," Quotas","")</f>
        <v>Cross Country Skiing</v>
      </c>
      <c r="BP68" s="6">
        <f>SUM(Table92[[#This Row],[Summer Sports]:[Winter Sports]])</f>
        <v>5</v>
      </c>
      <c r="BQ68" s="6">
        <f>COUNTIF(Table92[[#This Row],[Archery Quotas]:[Wrestling Quotas]],"&lt;&gt;0")</f>
        <v>4</v>
      </c>
      <c r="BR68" s="6">
        <f>COUNTIF(Table92[[#This Row],[Alpine Skiing Quotas]:[Speed Skating Quotas]],"&lt;&gt;0")</f>
        <v>1</v>
      </c>
      <c r="BS68" s="3" t="s">
        <v>573</v>
      </c>
    </row>
    <row r="69" spans="1:71" x14ac:dyDescent="0.3">
      <c r="A69" s="6" t="s">
        <v>602</v>
      </c>
      <c r="B69" t="e" vm="66">
        <f>IF(ISBLANK(Table92[[#This Row],[Flag Link]]), "", _xlfn.IMAGE(Table92[[#This Row],[Flag Link]],1,1))</f>
        <v>#VALUE!</v>
      </c>
      <c r="C69" s="6">
        <f>SUM(Table92[[#This Row],[Archery Quotas]:[Speed Skating Quotas]])</f>
        <v>8</v>
      </c>
      <c r="D69" s="6">
        <f>SUM(INDEX(Tabela1[[Archery - Men''s Individual Recurve]:[Archery - Mixed Team Recurve]],MATCH(Table92[[#This Row],[Country]],Tabela1[Country], 0),0))</f>
        <v>0</v>
      </c>
      <c r="E69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1</v>
      </c>
      <c r="F69" s="6">
        <f>SUM(INDEX(Tabela1[[Artistic Swimming - Women''s Duet]:[Artistic Swimming - Women''s Team]],MATCH(Table92[[#This Row],[Country]],Tabela1[Country], 0),0))</f>
        <v>0</v>
      </c>
      <c r="G69" s="6">
        <f>SUM(INDEX(Tabela1[[Athletics - Men''s 100m]:[Athletics - Women''s Heptathlon]],MATCH(Table92[[#This Row],[Country]],Tabela1[Country], 0),0))</f>
        <v>1</v>
      </c>
      <c r="H69" s="6">
        <f>SUM(INDEX(Tabela1[[Badminton - Men''s Singles]:[Badminton - Mixed Doubles]],MATCH(Table92[[#This Row],[Country]],Tabela1[Country], 0),0))</f>
        <v>0</v>
      </c>
      <c r="I69" s="6">
        <f>SUM(INDEX(Tabela1[[Basketball - Men''s Tournament]:[Basketball - Women''s Tournament]],MATCH(Table92[[#This Row],[Country]],Tabela1[Country], 0),0))</f>
        <v>0</v>
      </c>
      <c r="J69" s="6">
        <f>SUM(INDEX(Tabela1[[3x3 Basketball - Men''s Tournament]:[3x3 Basketball - Women''s Tournament]],MATCH(Table92[[#This Row],[Country]],Tabela1[Country], 0),0))</f>
        <v>0</v>
      </c>
      <c r="K69" s="6">
        <f>SUM(INDEX(Tabela1[[Beach Volleyball - Men''s Tournament]:[Beach Volleyball - Women''s Tournament]],MATCH(Table92[[#This Row],[Country]],Tabela1[Country], 0),0))</f>
        <v>0</v>
      </c>
      <c r="L69" s="6">
        <f>SUM(INDEX(Tabela1[[Boxing - Men''s 51kg]:[Boxing - Women''s 75kg]],MATCH(Table92[[#This Row],[Country]],Tabela1[Country], 0),0))</f>
        <v>2</v>
      </c>
      <c r="M69" s="6">
        <f>SUM(INDEX(Tabela1[[Breaking - Men''s Individual]:[Breaking - Women''s Individual]],MATCH(Table92[[#This Row],[Country]],Tabela1[Country], 0),0))</f>
        <v>0</v>
      </c>
      <c r="N69" s="6">
        <f>SUM(INDEX(Tabela1[[Canoeing - Men''s C1 Slalom]:[Canoeing - Women''s Kayak Cross Slalom]],MATCH(Table92[[#This Row],[Country]],Tabela1[Country], 0),0))</f>
        <v>0</v>
      </c>
      <c r="O69" s="6">
        <f>SUM(INDEX(Tabela1[[Canoeing - Women''s C1 200m]:[Canoeing - Women''s K4 500m]],MATCH(Table92[[#This Row],[Country]],Tabela1[Country], 0),0))</f>
        <v>0</v>
      </c>
      <c r="P69" s="6">
        <f>SUM(INDEX(Tabela1[[Cycling - Men''s BMX Freestyle]:[Cycling - Women''s BMX Freestyle]],MATCH(Table92[[#This Row],[Country]],Tabela1[Country], 0),0))</f>
        <v>0</v>
      </c>
      <c r="Q69" s="6">
        <f>SUM(INDEX(Tabela1[[Cycling - Men''s BMX Racing]:[Cycling - Women''s BMX Racing]],MATCH(Table92[[#This Row],[Country]],Tabela1[Country], 0),0))</f>
        <v>0</v>
      </c>
      <c r="R69" s="6">
        <f>SUM(INDEX(Tabela1[[Cycling - Men''s Cross-Country]:[Cycling - Women''s Cross-Country]],MATCH(Table92[[#This Row],[Country]],Tabela1[Country], 0),0))</f>
        <v>0</v>
      </c>
      <c r="S69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69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69" s="6">
        <f>SUM(INDEX(Tabela1[[Diving - Men''s Springboard]:[Diving - Women''s Synchronized Platform]],MATCH(Table92[[#This Row],[Country]],Tabela1[Country], 0),0))</f>
        <v>0</v>
      </c>
      <c r="V69" s="6">
        <f>SUM(INDEX(Tabela1[[Equestrian - Individual Dressage]:[Equestrian - Team Dressage]],MATCH(Table92[[#This Row],[Country]],Tabela1[Country], 0),0))</f>
        <v>0</v>
      </c>
      <c r="W69" s="6">
        <f>SUM(INDEX(Tabela1[[Equestrian - Individual Eventing]:[Equestrian - Team Eventing]],MATCH(Table92[[#This Row],[Country]],Tabela1[Country], 0),0))</f>
        <v>0</v>
      </c>
      <c r="X69" s="6">
        <f>SUM(INDEX(Tabela1[[Equestrian - Individual Jumping]:[Equestrian - Team Jumping]],MATCH(Table92[[#This Row],[Country]],Tabela1[Country], 0),0))</f>
        <v>0</v>
      </c>
      <c r="Y69" s="6">
        <f>SUM(INDEX(Tabela1[[Fencing - Men''s Épée]:[Fencing - Women''s Team Sabre]],MATCH(Table92[[#This Row],[Country]],Tabela1[Country], 0),0))</f>
        <v>0</v>
      </c>
      <c r="Z69" s="6">
        <f>SUM(INDEX(Tabela1[[Field Hockey - Men''s Tournament]:[Field Hockey - Women''s Tournament]],MATCH(Table92[[#This Row],[Country]],Tabela1[Country], 0),0))</f>
        <v>0</v>
      </c>
      <c r="AA69" s="6">
        <f>SUM(INDEX(Tabela1[[Football - Men''s Tournament]:[Football - Women''s Tournament]],MATCH(Table92[[#This Row],[Country]],Tabela1[Country], 0),0))</f>
        <v>0</v>
      </c>
      <c r="AB69" s="6">
        <f>SUM(INDEX(Tabela1[[Golf - Men''s Individual]:[Golf - Women''s Individual]],MATCH(Table92[[#This Row],[Country]],Tabela1[Country], 0),0))</f>
        <v>0</v>
      </c>
      <c r="AC69" s="6">
        <f>SUM(INDEX(Tabela1[[Handball - Men''s Tournament]:[Handball - Women''s Tournament]],MATCH(Table92[[#This Row],[Country]],Tabela1[Country], 0),0))</f>
        <v>0</v>
      </c>
      <c r="AD69" s="6">
        <f>SUM(INDEX(Tabela1[[Judo - Men''s 60kg]:[Judo - Mixed Team]],MATCH(Table92[[#This Row],[Country]],Tabela1[Country], 0),0))</f>
        <v>0</v>
      </c>
      <c r="AE69" s="6">
        <f>SUM(INDEX(Tabela1[[Swimming - Men''s 10km Open Water]:[Swimming - Women''s 10km Open Water]],MATCH(Table92[[#This Row],[Country]],Tabela1[Country], 0),0))</f>
        <v>0</v>
      </c>
      <c r="AF69" s="6">
        <f>SUM(INDEX(Tabela1[[Modern Pentathlon - Men''s Individual]:[Modern Pentathlon - Women''s Individual]],MATCH(Table92[[#This Row],[Country]],Tabela1[Country], 0),0))</f>
        <v>0</v>
      </c>
      <c r="AG69" s="6">
        <f>SUM(INDEX(Tabela1[[Rhythmic Gymnastics - Women''s Individual All-Around]:[Rhythmic Gymnastics - Women''s Group All-Around]],MATCH(Table92[[#This Row],[Country]],Tabela1[Country], 0),0))</f>
        <v>0</v>
      </c>
      <c r="AH69" s="6">
        <f>SUM(INDEX(Tabela1[[Rowing - Men''s Single Sculls]:[Rowing - Women''s Lwt. Double Sculls]],MATCH(Table92[[#This Row],[Country]],Tabela1[Country], 0),0))</f>
        <v>0</v>
      </c>
      <c r="AI69" s="6">
        <f>SUM(INDEX(Tabela1[[Rugby Sevens - Men''s Tournament]:[Rugby Sevens - Women''s Tournament]],MATCH(Table92[[#This Row],[Country]],Tabela1[Country], 0),0))</f>
        <v>0</v>
      </c>
      <c r="AJ69" s="6">
        <f>SUM(INDEX(Tabela1[[Sailing - Mixed 470]:[Sailing - Mixed Nacra 17]],MATCH(Table92[[#This Row],[Country]],Tabela1[Country], 0),0))</f>
        <v>0</v>
      </c>
      <c r="AK69" s="6">
        <f>SUM(INDEX(Tabela1[[Shooting - Men''s 10m Air Pistol]:[Shooting - Women''s Trap]],MATCH(Table92[[#This Row],[Country]],Tabela1[Country], 0),0))</f>
        <v>0</v>
      </c>
      <c r="AL69" s="6">
        <f>SUM(INDEX(Tabela1[[Skateboarding - Men''s Park]:[Skateboarding - Women''s Street]],MATCH(Table92[[#This Row],[Country]],Tabela1[Country], 0),0))</f>
        <v>0</v>
      </c>
      <c r="AM69" s="6">
        <f>SUM(INDEX(Tabela1[[Sport Climbing - Men''s Boulder and Lead]:[Sport Climbing - Women''s Speed]],MATCH(Table92[[#This Row],[Country]],Tabela1[Country], 0),0))</f>
        <v>0</v>
      </c>
      <c r="AN69" s="6">
        <f>SUM(INDEX(Tabela1[[Surfing - Men''s Shortboard]:[Surfing - Women''s Shortboard]],MATCH(Table92[[#This Row],[Country]],Tabela1[Country], 0),0))</f>
        <v>0</v>
      </c>
      <c r="AO69" s="6">
        <f>SUM(INDEX(Tabela1[[Swimming - Men''s 50m Freestyle]:[Swimming - Mixed 4x100m Medley Relay]],MATCH(Table92[[#This Row],[Country]],Tabela1[Country], 0),0))</f>
        <v>1</v>
      </c>
      <c r="AP69" s="6">
        <f>SUM(INDEX(Tabela1[[Table Tennis - Men''s Singles]:[Table Tennis - Mixed Doubles]],MATCH(Table92[[#This Row],[Country]],Tabela1[Country], 0),0))</f>
        <v>1</v>
      </c>
      <c r="AQ69" s="6">
        <f>SUM(INDEX(Tabela1[[Taekwondo - Men''s 58kg]:[Taekwondo - Women''s +67kg]],MATCH(Table92[[#This Row],[Country]],Tabela1[Country], 0),0))</f>
        <v>2</v>
      </c>
      <c r="AR69" s="6">
        <f>SUM(INDEX(Tabela1[[Tennis - Men''s Singles]:[Tennis - Mixed Doubles]],MATCH(Table92[[#This Row],[Country]],Tabela1[Country], 0),0))</f>
        <v>0</v>
      </c>
      <c r="AS69" s="6">
        <f>SUM(INDEX(Tabela1[[Gymnastics - Men''s Trampoline]:[Gymnastics - Women''s Trampoline]],MATCH(Table92[[#This Row],[Country]],Tabela1[Country], 0),0))</f>
        <v>0</v>
      </c>
      <c r="AT69" s="6">
        <f>SUM(INDEX(Tabela1[[Triathlon - Men''s Individual]:[Triathlon - Mixed Relay]],MATCH(Table92[[#This Row],[Country]],Tabela1[Country], 0),0))</f>
        <v>0</v>
      </c>
      <c r="AU69" s="6">
        <f>SUM(INDEX(Tabela1[[Volleyball - Men''s Tournament]:[Volleyball - Women''s Tournament]],MATCH(Table92[[#This Row],[Country]],Tabela1[Country], 0),0))</f>
        <v>0</v>
      </c>
      <c r="AV69" s="6">
        <f>SUM(INDEX(Tabela1[[Water Polo - Men''s Tournament]:[Water Polo - Women''s Tournament]],MATCH(Table92[[#This Row],[Country]],Tabela1[Country], 0),0))</f>
        <v>0</v>
      </c>
      <c r="AW69" s="6">
        <f>SUM(INDEX(Tabela1[[Weightlifting - Men''s 61kg]:[Weightlifting - Women''s +81kg]],MATCH(Table92[[#This Row],[Country]],Tabela1[Country], 0),0))</f>
        <v>0</v>
      </c>
      <c r="AX69" s="6">
        <f>SUM(INDEX(Tabela1[[Wrestling - Men''s Freestyle 57kg]:[Wrestling - Women''s Freestyle 76kg]],MATCH(Table92[[#This Row],[Country]],Tabela1[Country], 0),0))</f>
        <v>0</v>
      </c>
      <c r="AY69" s="6">
        <f>SUM(INDEX(Tabela1[[Alpine Skiing - Men''s Downhill]:[Alpine Skiing - Women''s Team Combined]],MATCH(Table92[[#This Row],[Country]],Tabela1[Country], 0),0))</f>
        <v>0</v>
      </c>
      <c r="AZ69" s="6">
        <f>SUM(INDEX(Tabela1[[Biathlon - Men''s Individual]:[Biathlon - Mixed Relay]],MATCH(Table92[[#This Row],[Country]],Tabela1[Country], 0),0))</f>
        <v>0</v>
      </c>
      <c r="BA69" s="6">
        <f>SUM(INDEX(Tabela1[[Bobsleigh - Women''s Monobob]:[Bobsleigh - Men''s Four]],MATCH(Table92[[#This Row],[Country]],Tabela1[Country], 0),0))</f>
        <v>0</v>
      </c>
      <c r="BB69" s="6">
        <f>SUM(INDEX(Tabela1[[Cross-country skiing - Men''s Classical]:[Cross-country skiing - Women''s Team Sprint]],MATCH(Table92[[#This Row],[Country]],Tabela1[Country], 0),0))</f>
        <v>0</v>
      </c>
      <c r="BC69" s="6">
        <f>SUM(INDEX(Tabela1[[Curling - Men''s Tournament]:[Curling - Mixed Doubles]],MATCH(Table92[[#This Row],[Country]],Tabela1[Country], 0),0))</f>
        <v>0</v>
      </c>
      <c r="BD69" s="6">
        <f>SUM(INDEX(Tabela1[[Figure Skating - Men''s Singles]:[Figure Skating - Team Event]],MATCH(Table92[[#This Row],[Country]],Tabela1[Country], 0),0))</f>
        <v>0</v>
      </c>
      <c r="BE69" s="6">
        <f>SUM(INDEX(Tabela1[[Freestyle Skiing - Men''s Aerials]:[Freestyle Skiing - Women''s Slopestyle]],MATCH(Table92[[#This Row],[Country]],Tabela1[Country], 0),0))</f>
        <v>0</v>
      </c>
      <c r="BF69" s="6">
        <f>SUM(INDEX(Tabela1[[Ice Hockey - Men''s Tournament]:[Ice Hockey - Women''s Tournament]],MATCH(Table92[[#This Row],[Country]],Tabela1[Country], 0),0))</f>
        <v>0</v>
      </c>
      <c r="BG69" s="6">
        <f>SUM(INDEX(Tabela1[[Luge - Men''s Singles]:[Luge - Mixed Team Relay]],MATCH(Table92[[#This Row],[Country]],Tabela1[Country], 0),0))</f>
        <v>0</v>
      </c>
      <c r="BH69" s="6">
        <f>SUM(INDEX(Tabela1[[Nordic Combined - Men''s Individual]:[Nordic Combined - Men''s Team Sprint Large Hill]],MATCH(Table92[[#This Row],[Country]],Tabela1[Country], 0),0))</f>
        <v>0</v>
      </c>
      <c r="BI69" s="6">
        <f>SUM(INDEX(Tabela1[[Short track speed skating - Men''s 500m]:[Short track speed skating - Mixed 2000m Relay]],MATCH(Table92[[#This Row],[Country]],Tabela1[Country], 0),0))</f>
        <v>0</v>
      </c>
      <c r="BJ69" s="6">
        <f>SUM(INDEX(Tabela1[[Skeleton - Men''s Individual]:[Skeleton - Mixed Team]],MATCH(Table92[[#This Row],[Country]],Tabela1[Country], 0),0))</f>
        <v>0</v>
      </c>
      <c r="BK69" s="6">
        <f>SUM(INDEX(Tabela1[[Ski Jumping - Men''s Individual Large Hill]:[Ski Jumping - Mixed Team Normal Hill]],MATCH(Table92[[#This Row],[Country]],Tabela1[Country], 0),0))</f>
        <v>0</v>
      </c>
      <c r="BL69" s="6">
        <f>SUM(INDEX(Tabela1[[Ski Mountaineering - Men''s Sprint]:[Ski Mountaineering - Mixed Relay]],MATCH(Table92[[#This Row],[Country]],Tabela1[Country], 0),0))</f>
        <v>0</v>
      </c>
      <c r="BM69" s="6">
        <f>SUM(INDEX(Tabela1[[Snowboarding - Men''s Big Air]:[Snowboarding - Mixed Team Snowboard Cross]],MATCH(Table92[[#This Row],[Country]],Tabela1[Country], 0),0))</f>
        <v>0</v>
      </c>
      <c r="BN69" s="6">
        <f>SUM(INDEX(Tabela1[[Speed Skating - Men''s 500m]:[Speed Skating - Women''s Team Pursuit]],MATCH(Table92[[#This Row],[Country]],Tabela1[Country], 0),0))</f>
        <v>0</v>
      </c>
      <c r="BO69" s="6" t="str">
        <f>SUBSTITUTE(INDEX(Table92[[#Headers],[Archery Quotas]:[Speed Skating Quotas]], MATCH(MAX(Table92[[#This Row],[Archery Quotas]:[Speed Skating Quotas]]), Table92[[#This Row],[Archery Quotas]:[Speed Skating Quotas]], 0))," Quotas","")</f>
        <v>Boxing</v>
      </c>
      <c r="BP69" s="6">
        <f>SUM(Table92[[#This Row],[Summer Sports]:[Winter Sports]])</f>
        <v>6</v>
      </c>
      <c r="BQ69" s="6">
        <f>COUNTIF(Table92[[#This Row],[Archery Quotas]:[Wrestling Quotas]],"&lt;&gt;0")</f>
        <v>6</v>
      </c>
      <c r="BR69" s="6">
        <f>COUNTIF(Table92[[#This Row],[Alpine Skiing Quotas]:[Speed Skating Quotas]],"&lt;&gt;0")</f>
        <v>0</v>
      </c>
      <c r="BS69" s="4" t="s">
        <v>603</v>
      </c>
    </row>
    <row r="70" spans="1:71" x14ac:dyDescent="0.3">
      <c r="A70" s="6" t="s">
        <v>482</v>
      </c>
      <c r="B70" t="e" vm="69">
        <f>IF(ISBLANK(Table92[[#This Row],[Flag Link]]), "", _xlfn.IMAGE(Table92[[#This Row],[Flag Link]],1,1))</f>
        <v>#VALUE!</v>
      </c>
      <c r="C70" s="6">
        <f>SUM(Table92[[#This Row],[Archery Quotas]:[Speed Skating Quotas]])</f>
        <v>8</v>
      </c>
      <c r="D70" s="6">
        <f>SUM(INDEX(Tabela1[[Archery - Men''s Individual Recurve]:[Archery - Mixed Team Recurve]],MATCH(Table92[[#This Row],[Country]],Tabela1[Country], 0),0))</f>
        <v>2</v>
      </c>
      <c r="E70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1</v>
      </c>
      <c r="F70" s="6">
        <f>SUM(INDEX(Tabela1[[Artistic Swimming - Women''s Duet]:[Artistic Swimming - Women''s Team]],MATCH(Table92[[#This Row],[Country]],Tabela1[Country], 0),0))</f>
        <v>0</v>
      </c>
      <c r="G70" s="6">
        <f>SUM(INDEX(Tabela1[[Athletics - Men''s 100m]:[Athletics - Women''s Heptathlon]],MATCH(Table92[[#This Row],[Country]],Tabela1[Country], 0),0))</f>
        <v>0</v>
      </c>
      <c r="H70" s="6">
        <f>SUM(INDEX(Tabela1[[Badminton - Men''s Singles]:[Badminton - Mixed Doubles]],MATCH(Table92[[#This Row],[Country]],Tabela1[Country], 0),0))</f>
        <v>0</v>
      </c>
      <c r="I70" s="6">
        <f>SUM(INDEX(Tabela1[[Basketball - Men''s Tournament]:[Basketball - Women''s Tournament]],MATCH(Table92[[#This Row],[Country]],Tabela1[Country], 0),0))</f>
        <v>0</v>
      </c>
      <c r="J70" s="6">
        <f>SUM(INDEX(Tabela1[[3x3 Basketball - Men''s Tournament]:[3x3 Basketball - Women''s Tournament]],MATCH(Table92[[#This Row],[Country]],Tabela1[Country], 0),0))</f>
        <v>0</v>
      </c>
      <c r="K70" s="6">
        <f>SUM(INDEX(Tabela1[[Beach Volleyball - Men''s Tournament]:[Beach Volleyball - Women''s Tournament]],MATCH(Table92[[#This Row],[Country]],Tabela1[Country], 0),0))</f>
        <v>0</v>
      </c>
      <c r="L70" s="6">
        <f>SUM(INDEX(Tabela1[[Boxing - Men''s 51kg]:[Boxing - Women''s 75kg]],MATCH(Table92[[#This Row],[Country]],Tabela1[Country], 0),0))</f>
        <v>0</v>
      </c>
      <c r="M70" s="6">
        <f>SUM(INDEX(Tabela1[[Breaking - Men''s Individual]:[Breaking - Women''s Individual]],MATCH(Table92[[#This Row],[Country]],Tabela1[Country], 0),0))</f>
        <v>0</v>
      </c>
      <c r="N70" s="6">
        <f>SUM(INDEX(Tabela1[[Canoeing - Men''s C1 Slalom]:[Canoeing - Women''s Kayak Cross Slalom]],MATCH(Table92[[#This Row],[Country]],Tabela1[Country], 0),0))</f>
        <v>0</v>
      </c>
      <c r="O70" s="6">
        <f>SUM(INDEX(Tabela1[[Canoeing - Women''s C1 200m]:[Canoeing - Women''s K4 500m]],MATCH(Table92[[#This Row],[Country]],Tabela1[Country], 0),0))</f>
        <v>0</v>
      </c>
      <c r="P70" s="6">
        <f>SUM(INDEX(Tabela1[[Cycling - Men''s BMX Freestyle]:[Cycling - Women''s BMX Freestyle]],MATCH(Table92[[#This Row],[Country]],Tabela1[Country], 0),0))</f>
        <v>0</v>
      </c>
      <c r="Q70" s="6">
        <f>SUM(INDEX(Tabela1[[Cycling - Men''s BMX Racing]:[Cycling - Women''s BMX Racing]],MATCH(Table92[[#This Row],[Country]],Tabela1[Country], 0),0))</f>
        <v>0</v>
      </c>
      <c r="R70" s="6">
        <f>SUM(INDEX(Tabela1[[Cycling - Men''s Cross-Country]:[Cycling - Women''s Cross-Country]],MATCH(Table92[[#This Row],[Country]],Tabela1[Country], 0),0))</f>
        <v>0</v>
      </c>
      <c r="S70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70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70" s="6">
        <f>SUM(INDEX(Tabela1[[Diving - Men''s Springboard]:[Diving - Women''s Synchronized Platform]],MATCH(Table92[[#This Row],[Country]],Tabela1[Country], 0),0))</f>
        <v>0</v>
      </c>
      <c r="V70" s="6">
        <f>SUM(INDEX(Tabela1[[Equestrian - Individual Dressage]:[Equestrian - Team Dressage]],MATCH(Table92[[#This Row],[Country]],Tabela1[Country], 0),0))</f>
        <v>0</v>
      </c>
      <c r="W70" s="6">
        <f>SUM(INDEX(Tabela1[[Equestrian - Individual Eventing]:[Equestrian - Team Eventing]],MATCH(Table92[[#This Row],[Country]],Tabela1[Country], 0),0))</f>
        <v>0</v>
      </c>
      <c r="X70" s="6">
        <f>SUM(INDEX(Tabela1[[Equestrian - Individual Jumping]:[Equestrian - Team Jumping]],MATCH(Table92[[#This Row],[Country]],Tabela1[Country], 0),0))</f>
        <v>0</v>
      </c>
      <c r="Y70" s="6">
        <f>SUM(INDEX(Tabela1[[Fencing - Men''s Épée]:[Fencing - Women''s Team Sabre]],MATCH(Table92[[#This Row],[Country]],Tabela1[Country], 0),0))</f>
        <v>0</v>
      </c>
      <c r="Z70" s="6">
        <f>SUM(INDEX(Tabela1[[Field Hockey - Men''s Tournament]:[Field Hockey - Women''s Tournament]],MATCH(Table92[[#This Row],[Country]],Tabela1[Country], 0),0))</f>
        <v>0</v>
      </c>
      <c r="AA70" s="6">
        <f>SUM(INDEX(Tabela1[[Football - Men''s Tournament]:[Football - Women''s Tournament]],MATCH(Table92[[#This Row],[Country]],Tabela1[Country], 0),0))</f>
        <v>1</v>
      </c>
      <c r="AB70" s="6">
        <f>SUM(INDEX(Tabela1[[Golf - Men''s Individual]:[Golf - Women''s Individual]],MATCH(Table92[[#This Row],[Country]],Tabela1[Country], 0),0))</f>
        <v>0</v>
      </c>
      <c r="AC70" s="6">
        <f>SUM(INDEX(Tabela1[[Handball - Men''s Tournament]:[Handball - Women''s Tournament]],MATCH(Table92[[#This Row],[Country]],Tabela1[Country], 0),0))</f>
        <v>0</v>
      </c>
      <c r="AD70" s="6">
        <f>SUM(INDEX(Tabela1[[Judo - Men''s 60kg]:[Judo - Mixed Team]],MATCH(Table92[[#This Row],[Country]],Tabela1[Country], 0),0))</f>
        <v>0</v>
      </c>
      <c r="AE70" s="6">
        <f>SUM(INDEX(Tabela1[[Swimming - Men''s 10km Open Water]:[Swimming - Women''s 10km Open Water]],MATCH(Table92[[#This Row],[Country]],Tabela1[Country], 0),0))</f>
        <v>0</v>
      </c>
      <c r="AF70" s="6">
        <f>SUM(INDEX(Tabela1[[Modern Pentathlon - Men''s Individual]:[Modern Pentathlon - Women''s Individual]],MATCH(Table92[[#This Row],[Country]],Tabela1[Country], 0),0))</f>
        <v>0</v>
      </c>
      <c r="AG70" s="6">
        <f>SUM(INDEX(Tabela1[[Rhythmic Gymnastics - Women''s Individual All-Around]:[Rhythmic Gymnastics - Women''s Group All-Around]],MATCH(Table92[[#This Row],[Country]],Tabela1[Country], 0),0))</f>
        <v>0</v>
      </c>
      <c r="AH70" s="6">
        <f>SUM(INDEX(Tabela1[[Rowing - Men''s Single Sculls]:[Rowing - Women''s Lwt. Double Sculls]],MATCH(Table92[[#This Row],[Country]],Tabela1[Country], 0),0))</f>
        <v>0</v>
      </c>
      <c r="AI70" s="6">
        <f>SUM(INDEX(Tabela1[[Rugby Sevens - Men''s Tournament]:[Rugby Sevens - Women''s Tournament]],MATCH(Table92[[#This Row],[Country]],Tabela1[Country], 0),0))</f>
        <v>0</v>
      </c>
      <c r="AJ70" s="6">
        <f>SUM(INDEX(Tabela1[[Sailing - Mixed 470]:[Sailing - Mixed Nacra 17]],MATCH(Table92[[#This Row],[Country]],Tabela1[Country], 0),0))</f>
        <v>0</v>
      </c>
      <c r="AK70" s="6">
        <f>SUM(INDEX(Tabela1[[Shooting - Men''s 10m Air Pistol]:[Shooting - Women''s Trap]],MATCH(Table92[[#This Row],[Country]],Tabela1[Country], 0),0))</f>
        <v>0</v>
      </c>
      <c r="AL70" s="6">
        <f>SUM(INDEX(Tabela1[[Skateboarding - Men''s Park]:[Skateboarding - Women''s Street]],MATCH(Table92[[#This Row],[Country]],Tabela1[Country], 0),0))</f>
        <v>0</v>
      </c>
      <c r="AM70" s="6">
        <f>SUM(INDEX(Tabela1[[Sport Climbing - Men''s Boulder and Lead]:[Sport Climbing - Women''s Speed]],MATCH(Table92[[#This Row],[Country]],Tabela1[Country], 0),0))</f>
        <v>0</v>
      </c>
      <c r="AN70" s="6">
        <f>SUM(INDEX(Tabela1[[Surfing - Men''s Shortboard]:[Surfing - Women''s Shortboard]],MATCH(Table92[[#This Row],[Country]],Tabela1[Country], 0),0))</f>
        <v>0</v>
      </c>
      <c r="AO70" s="6">
        <f>SUM(INDEX(Tabela1[[Swimming - Men''s 50m Freestyle]:[Swimming - Mixed 4x100m Medley Relay]],MATCH(Table92[[#This Row],[Country]],Tabela1[Country], 0),0))</f>
        <v>2</v>
      </c>
      <c r="AP70" s="6">
        <f>SUM(INDEX(Tabela1[[Table Tennis - Men''s Singles]:[Table Tennis - Mixed Doubles]],MATCH(Table92[[#This Row],[Country]],Tabela1[Country], 0),0))</f>
        <v>0</v>
      </c>
      <c r="AQ70" s="6">
        <f>SUM(INDEX(Tabela1[[Taekwondo - Men''s 58kg]:[Taekwondo - Women''s +67kg]],MATCH(Table92[[#This Row],[Country]],Tabela1[Country], 0),0))</f>
        <v>1</v>
      </c>
      <c r="AR70" s="6">
        <f>SUM(INDEX(Tabela1[[Tennis - Men''s Singles]:[Tennis - Mixed Doubles]],MATCH(Table92[[#This Row],[Country]],Tabela1[Country], 0),0))</f>
        <v>0</v>
      </c>
      <c r="AS70" s="6">
        <f>SUM(INDEX(Tabela1[[Gymnastics - Men''s Trampoline]:[Gymnastics - Women''s Trampoline]],MATCH(Table92[[#This Row],[Country]],Tabela1[Country], 0),0))</f>
        <v>0</v>
      </c>
      <c r="AT70" s="6">
        <f>SUM(INDEX(Tabela1[[Triathlon - Men''s Individual]:[Triathlon - Mixed Relay]],MATCH(Table92[[#This Row],[Country]],Tabela1[Country], 0),0))</f>
        <v>0</v>
      </c>
      <c r="AU70" s="6">
        <f>SUM(INDEX(Tabela1[[Volleyball - Men''s Tournament]:[Volleyball - Women''s Tournament]],MATCH(Table92[[#This Row],[Country]],Tabela1[Country], 0),0))</f>
        <v>0</v>
      </c>
      <c r="AV70" s="6">
        <f>SUM(INDEX(Tabela1[[Water Polo - Men''s Tournament]:[Water Polo - Women''s Tournament]],MATCH(Table92[[#This Row],[Country]],Tabela1[Country], 0),0))</f>
        <v>0</v>
      </c>
      <c r="AW70" s="6">
        <f>SUM(INDEX(Tabela1[[Weightlifting - Men''s 61kg]:[Weightlifting - Women''s +81kg]],MATCH(Table92[[#This Row],[Country]],Tabela1[Country], 0),0))</f>
        <v>0</v>
      </c>
      <c r="AX70" s="6">
        <f>SUM(INDEX(Tabela1[[Wrestling - Men''s Freestyle 57kg]:[Wrestling - Women''s Freestyle 76kg]],MATCH(Table92[[#This Row],[Country]],Tabela1[Country], 0),0))</f>
        <v>1</v>
      </c>
      <c r="AY70" s="6">
        <f>SUM(INDEX(Tabela1[[Alpine Skiing - Men''s Downhill]:[Alpine Skiing - Women''s Team Combined]],MATCH(Table92[[#This Row],[Country]],Tabela1[Country], 0),0))</f>
        <v>0</v>
      </c>
      <c r="AZ70" s="6">
        <f>SUM(INDEX(Tabela1[[Biathlon - Men''s Individual]:[Biathlon - Mixed Relay]],MATCH(Table92[[#This Row],[Country]],Tabela1[Country], 0),0))</f>
        <v>0</v>
      </c>
      <c r="BA70" s="6">
        <f>SUM(INDEX(Tabela1[[Bobsleigh - Women''s Monobob]:[Bobsleigh - Men''s Four]],MATCH(Table92[[#This Row],[Country]],Tabela1[Country], 0),0))</f>
        <v>0</v>
      </c>
      <c r="BB70" s="6">
        <f>SUM(INDEX(Tabela1[[Cross-country skiing - Men''s Classical]:[Cross-country skiing - Women''s Team Sprint]],MATCH(Table92[[#This Row],[Country]],Tabela1[Country], 0),0))</f>
        <v>0</v>
      </c>
      <c r="BC70" s="6">
        <f>SUM(INDEX(Tabela1[[Curling - Men''s Tournament]:[Curling - Mixed Doubles]],MATCH(Table92[[#This Row],[Country]],Tabela1[Country], 0),0))</f>
        <v>0</v>
      </c>
      <c r="BD70" s="6">
        <f>SUM(INDEX(Tabela1[[Figure Skating - Men''s Singles]:[Figure Skating - Team Event]],MATCH(Table92[[#This Row],[Country]],Tabela1[Country], 0),0))</f>
        <v>0</v>
      </c>
      <c r="BE70" s="6">
        <f>SUM(INDEX(Tabela1[[Freestyle Skiing - Men''s Aerials]:[Freestyle Skiing - Women''s Slopestyle]],MATCH(Table92[[#This Row],[Country]],Tabela1[Country], 0),0))</f>
        <v>0</v>
      </c>
      <c r="BF70" s="6">
        <f>SUM(INDEX(Tabela1[[Ice Hockey - Men''s Tournament]:[Ice Hockey - Women''s Tournament]],MATCH(Table92[[#This Row],[Country]],Tabela1[Country], 0),0))</f>
        <v>0</v>
      </c>
      <c r="BG70" s="6">
        <f>SUM(INDEX(Tabela1[[Luge - Men''s Singles]:[Luge - Mixed Team Relay]],MATCH(Table92[[#This Row],[Country]],Tabela1[Country], 0),0))</f>
        <v>0</v>
      </c>
      <c r="BH70" s="6">
        <f>SUM(INDEX(Tabela1[[Nordic Combined - Men''s Individual]:[Nordic Combined - Men''s Team Sprint Large Hill]],MATCH(Table92[[#This Row],[Country]],Tabela1[Country], 0),0))</f>
        <v>0</v>
      </c>
      <c r="BI70" s="6">
        <f>SUM(INDEX(Tabela1[[Short track speed skating - Men''s 500m]:[Short track speed skating - Mixed 2000m Relay]],MATCH(Table92[[#This Row],[Country]],Tabela1[Country], 0),0))</f>
        <v>0</v>
      </c>
      <c r="BJ70" s="6">
        <f>SUM(INDEX(Tabela1[[Skeleton - Men''s Individual]:[Skeleton - Mixed Team]],MATCH(Table92[[#This Row],[Country]],Tabela1[Country], 0),0))</f>
        <v>0</v>
      </c>
      <c r="BK70" s="6">
        <f>SUM(INDEX(Tabela1[[Ski Jumping - Men''s Individual Large Hill]:[Ski Jumping - Mixed Team Normal Hill]],MATCH(Table92[[#This Row],[Country]],Tabela1[Country], 0),0))</f>
        <v>0</v>
      </c>
      <c r="BL70" s="6">
        <f>SUM(INDEX(Tabela1[[Ski Mountaineering - Men''s Sprint]:[Ski Mountaineering - Mixed Relay]],MATCH(Table92[[#This Row],[Country]],Tabela1[Country], 0),0))</f>
        <v>0</v>
      </c>
      <c r="BM70" s="6">
        <f>SUM(INDEX(Tabela1[[Snowboarding - Men''s Big Air]:[Snowboarding - Mixed Team Snowboard Cross]],MATCH(Table92[[#This Row],[Country]],Tabela1[Country], 0),0))</f>
        <v>0</v>
      </c>
      <c r="BN70" s="6">
        <f>SUM(INDEX(Tabela1[[Speed Skating - Men''s 500m]:[Speed Skating - Women''s Team Pursuit]],MATCH(Table92[[#This Row],[Country]],Tabela1[Country], 0),0))</f>
        <v>0</v>
      </c>
      <c r="BO70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70" s="6">
        <f>SUM(Table92[[#This Row],[Summer Sports]:[Winter Sports]])</f>
        <v>6</v>
      </c>
      <c r="BQ70" s="6">
        <f>COUNTIF(Table92[[#This Row],[Archery Quotas]:[Wrestling Quotas]],"&lt;&gt;0")</f>
        <v>6</v>
      </c>
      <c r="BR70" s="6">
        <f>COUNTIF(Table92[[#This Row],[Alpine Skiing Quotas]:[Speed Skating Quotas]],"&lt;&gt;0")</f>
        <v>0</v>
      </c>
      <c r="BS70" s="3" t="s">
        <v>483</v>
      </c>
    </row>
    <row r="71" spans="1:71" x14ac:dyDescent="0.3">
      <c r="A71" s="6" t="s">
        <v>456</v>
      </c>
      <c r="B71" t="e" vm="73">
        <f>IF(ISBLANK(Table92[[#This Row],[Flag Link]]), "", _xlfn.IMAGE(Table92[[#This Row],[Flag Link]],1,1))</f>
        <v>#VALUE!</v>
      </c>
      <c r="C71" s="6">
        <f>SUM(Table92[[#This Row],[Archery Quotas]:[Speed Skating Quotas]])</f>
        <v>7</v>
      </c>
      <c r="D71" s="6">
        <f>SUM(INDEX(Tabela1[[Archery - Men''s Individual Recurve]:[Archery - Mixed Team Recurve]],MATCH(Table92[[#This Row],[Country]],Tabela1[Country], 0),0))</f>
        <v>0</v>
      </c>
      <c r="E71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71" s="6">
        <f>SUM(INDEX(Tabela1[[Artistic Swimming - Women''s Duet]:[Artistic Swimming - Women''s Team]],MATCH(Table92[[#This Row],[Country]],Tabela1[Country], 0),0))</f>
        <v>0</v>
      </c>
      <c r="G71" s="6">
        <f>SUM(INDEX(Tabela1[[Athletics - Men''s 100m]:[Athletics - Women''s Heptathlon]],MATCH(Table92[[#This Row],[Country]],Tabela1[Country], 0),0))</f>
        <v>1</v>
      </c>
      <c r="H71" s="6">
        <f>SUM(INDEX(Tabela1[[Badminton - Men''s Singles]:[Badminton - Mixed Doubles]],MATCH(Table92[[#This Row],[Country]],Tabela1[Country], 0),0))</f>
        <v>0</v>
      </c>
      <c r="I71" s="6">
        <f>SUM(INDEX(Tabela1[[Basketball - Men''s Tournament]:[Basketball - Women''s Tournament]],MATCH(Table92[[#This Row],[Country]],Tabela1[Country], 0),0))</f>
        <v>0</v>
      </c>
      <c r="J71" s="6">
        <f>SUM(INDEX(Tabela1[[3x3 Basketball - Men''s Tournament]:[3x3 Basketball - Women''s Tournament]],MATCH(Table92[[#This Row],[Country]],Tabela1[Country], 0),0))</f>
        <v>1</v>
      </c>
      <c r="K71" s="6">
        <f>SUM(INDEX(Tabela1[[Beach Volleyball - Men''s Tournament]:[Beach Volleyball - Women''s Tournament]],MATCH(Table92[[#This Row],[Country]],Tabela1[Country], 0),0))</f>
        <v>0</v>
      </c>
      <c r="L71" s="6">
        <f>SUM(INDEX(Tabela1[[Boxing - Men''s 51kg]:[Boxing - Women''s 75kg]],MATCH(Table92[[#This Row],[Country]],Tabela1[Country], 0),0))</f>
        <v>1</v>
      </c>
      <c r="M71" s="6">
        <f>SUM(INDEX(Tabela1[[Breaking - Men''s Individual]:[Breaking - Women''s Individual]],MATCH(Table92[[#This Row],[Country]],Tabela1[Country], 0),0))</f>
        <v>0</v>
      </c>
      <c r="N71" s="6">
        <f>SUM(INDEX(Tabela1[[Canoeing - Men''s C1 Slalom]:[Canoeing - Women''s Kayak Cross Slalom]],MATCH(Table92[[#This Row],[Country]],Tabela1[Country], 0),0))</f>
        <v>0</v>
      </c>
      <c r="O71" s="6">
        <f>SUM(INDEX(Tabela1[[Canoeing - Women''s C1 200m]:[Canoeing - Women''s K4 500m]],MATCH(Table92[[#This Row],[Country]],Tabela1[Country], 0),0))</f>
        <v>0</v>
      </c>
      <c r="P71" s="6">
        <f>SUM(INDEX(Tabela1[[Cycling - Men''s BMX Freestyle]:[Cycling - Women''s BMX Freestyle]],MATCH(Table92[[#This Row],[Country]],Tabela1[Country], 0),0))</f>
        <v>0</v>
      </c>
      <c r="Q71" s="6">
        <f>SUM(INDEX(Tabela1[[Cycling - Men''s BMX Racing]:[Cycling - Women''s BMX Racing]],MATCH(Table92[[#This Row],[Country]],Tabela1[Country], 0),0))</f>
        <v>0</v>
      </c>
      <c r="R71" s="6">
        <f>SUM(INDEX(Tabela1[[Cycling - Men''s Cross-Country]:[Cycling - Women''s Cross-Country]],MATCH(Table92[[#This Row],[Country]],Tabela1[Country], 0),0))</f>
        <v>0</v>
      </c>
      <c r="S71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71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71" s="6">
        <f>SUM(INDEX(Tabela1[[Diving - Men''s Springboard]:[Diving - Women''s Synchronized Platform]],MATCH(Table92[[#This Row],[Country]],Tabela1[Country], 0),0))</f>
        <v>0</v>
      </c>
      <c r="V71" s="6">
        <f>SUM(INDEX(Tabela1[[Equestrian - Individual Dressage]:[Equestrian - Team Dressage]],MATCH(Table92[[#This Row],[Country]],Tabela1[Country], 0),0))</f>
        <v>0</v>
      </c>
      <c r="W71" s="6">
        <f>SUM(INDEX(Tabela1[[Equestrian - Individual Eventing]:[Equestrian - Team Eventing]],MATCH(Table92[[#This Row],[Country]],Tabela1[Country], 0),0))</f>
        <v>0</v>
      </c>
      <c r="X71" s="6">
        <f>SUM(INDEX(Tabela1[[Equestrian - Individual Jumping]:[Equestrian - Team Jumping]],MATCH(Table92[[#This Row],[Country]],Tabela1[Country], 0),0))</f>
        <v>0</v>
      </c>
      <c r="Y71" s="6">
        <f>SUM(INDEX(Tabela1[[Fencing - Men''s Épée]:[Fencing - Women''s Team Sabre]],MATCH(Table92[[#This Row],[Country]],Tabela1[Country], 0),0))</f>
        <v>0</v>
      </c>
      <c r="Z71" s="6">
        <f>SUM(INDEX(Tabela1[[Field Hockey - Men''s Tournament]:[Field Hockey - Women''s Tournament]],MATCH(Table92[[#This Row],[Country]],Tabela1[Country], 0),0))</f>
        <v>0</v>
      </c>
      <c r="AA71" s="6">
        <f>SUM(INDEX(Tabela1[[Football - Men''s Tournament]:[Football - Women''s Tournament]],MATCH(Table92[[#This Row],[Country]],Tabela1[Country], 0),0))</f>
        <v>0</v>
      </c>
      <c r="AB71" s="6">
        <f>SUM(INDEX(Tabela1[[Golf - Men''s Individual]:[Golf - Women''s Individual]],MATCH(Table92[[#This Row],[Country]],Tabela1[Country], 0),0))</f>
        <v>0</v>
      </c>
      <c r="AC71" s="6">
        <f>SUM(INDEX(Tabela1[[Handball - Men''s Tournament]:[Handball - Women''s Tournament]],MATCH(Table92[[#This Row],[Country]],Tabela1[Country], 0),0))</f>
        <v>0</v>
      </c>
      <c r="AD71" s="6">
        <f>SUM(INDEX(Tabela1[[Judo - Men''s 60kg]:[Judo - Mixed Team]],MATCH(Table92[[#This Row],[Country]],Tabela1[Country], 0),0))</f>
        <v>1</v>
      </c>
      <c r="AE71" s="6">
        <f>SUM(INDEX(Tabela1[[Swimming - Men''s 10km Open Water]:[Swimming - Women''s 10km Open Water]],MATCH(Table92[[#This Row],[Country]],Tabela1[Country], 0),0))</f>
        <v>0</v>
      </c>
      <c r="AF71" s="6">
        <f>SUM(INDEX(Tabela1[[Modern Pentathlon - Men''s Individual]:[Modern Pentathlon - Women''s Individual]],MATCH(Table92[[#This Row],[Country]],Tabela1[Country], 0),0))</f>
        <v>0</v>
      </c>
      <c r="AG71" s="6">
        <f>SUM(INDEX(Tabela1[[Rhythmic Gymnastics - Women''s Individual All-Around]:[Rhythmic Gymnastics - Women''s Group All-Around]],MATCH(Table92[[#This Row],[Country]],Tabela1[Country], 0),0))</f>
        <v>1</v>
      </c>
      <c r="AH71" s="6">
        <f>SUM(INDEX(Tabela1[[Rowing - Men''s Single Sculls]:[Rowing - Women''s Lwt. Double Sculls]],MATCH(Table92[[#This Row],[Country]],Tabela1[Country], 0),0))</f>
        <v>1</v>
      </c>
      <c r="AI71" s="6">
        <f>SUM(INDEX(Tabela1[[Rugby Sevens - Men''s Tournament]:[Rugby Sevens - Women''s Tournament]],MATCH(Table92[[#This Row],[Country]],Tabela1[Country], 0),0))</f>
        <v>0</v>
      </c>
      <c r="AJ71" s="6">
        <f>SUM(INDEX(Tabela1[[Sailing - Mixed 470]:[Sailing - Mixed Nacra 17]],MATCH(Table92[[#This Row],[Country]],Tabela1[Country], 0),0))</f>
        <v>0</v>
      </c>
      <c r="AK71" s="6">
        <f>SUM(INDEX(Tabela1[[Shooting - Men''s 10m Air Pistol]:[Shooting - Women''s Trap]],MATCH(Table92[[#This Row],[Country]],Tabela1[Country], 0),0))</f>
        <v>0</v>
      </c>
      <c r="AL71" s="6">
        <f>SUM(INDEX(Tabela1[[Skateboarding - Men''s Park]:[Skateboarding - Women''s Street]],MATCH(Table92[[#This Row],[Country]],Tabela1[Country], 0),0))</f>
        <v>0</v>
      </c>
      <c r="AM71" s="6">
        <f>SUM(INDEX(Tabela1[[Sport Climbing - Men''s Boulder and Lead]:[Sport Climbing - Women''s Speed]],MATCH(Table92[[#This Row],[Country]],Tabela1[Country], 0),0))</f>
        <v>0</v>
      </c>
      <c r="AN71" s="6">
        <f>SUM(INDEX(Tabela1[[Surfing - Men''s Shortboard]:[Surfing - Women''s Shortboard]],MATCH(Table92[[#This Row],[Country]],Tabela1[Country], 0),0))</f>
        <v>0</v>
      </c>
      <c r="AO71" s="6">
        <f>SUM(INDEX(Tabela1[[Swimming - Men''s 50m Freestyle]:[Swimming - Mixed 4x100m Medley Relay]],MATCH(Table92[[#This Row],[Country]],Tabela1[Country], 0),0))</f>
        <v>0</v>
      </c>
      <c r="AP71" s="6">
        <f>SUM(INDEX(Tabela1[[Table Tennis - Men''s Singles]:[Table Tennis - Mixed Doubles]],MATCH(Table92[[#This Row],[Country]],Tabela1[Country], 0),0))</f>
        <v>0</v>
      </c>
      <c r="AQ71" s="6">
        <f>SUM(INDEX(Tabela1[[Taekwondo - Men''s 58kg]:[Taekwondo - Women''s +67kg]],MATCH(Table92[[#This Row],[Country]],Tabela1[Country], 0),0))</f>
        <v>0</v>
      </c>
      <c r="AR71" s="6">
        <f>SUM(INDEX(Tabela1[[Tennis - Men''s Singles]:[Tennis - Mixed Doubles]],MATCH(Table92[[#This Row],[Country]],Tabela1[Country], 0),0))</f>
        <v>0</v>
      </c>
      <c r="AS71" s="6">
        <f>SUM(INDEX(Tabela1[[Gymnastics - Men''s Trampoline]:[Gymnastics - Women''s Trampoline]],MATCH(Table92[[#This Row],[Country]],Tabela1[Country], 0),0))</f>
        <v>0</v>
      </c>
      <c r="AT71" s="6">
        <f>SUM(INDEX(Tabela1[[Triathlon - Men''s Individual]:[Triathlon - Mixed Relay]],MATCH(Table92[[#This Row],[Country]],Tabela1[Country], 0),0))</f>
        <v>0</v>
      </c>
      <c r="AU71" s="6">
        <f>SUM(INDEX(Tabela1[[Volleyball - Men''s Tournament]:[Volleyball - Women''s Tournament]],MATCH(Table92[[#This Row],[Country]],Tabela1[Country], 0),0))</f>
        <v>0</v>
      </c>
      <c r="AV71" s="6">
        <f>SUM(INDEX(Tabela1[[Water Polo - Men''s Tournament]:[Water Polo - Women''s Tournament]],MATCH(Table92[[#This Row],[Country]],Tabela1[Country], 0),0))</f>
        <v>0</v>
      </c>
      <c r="AW71" s="6">
        <f>SUM(INDEX(Tabela1[[Weightlifting - Men''s 61kg]:[Weightlifting - Women''s +81kg]],MATCH(Table92[[#This Row],[Country]],Tabela1[Country], 0),0))</f>
        <v>0</v>
      </c>
      <c r="AX71" s="6">
        <f>SUM(INDEX(Tabela1[[Wrestling - Men''s Freestyle 57kg]:[Wrestling - Women''s Freestyle 76kg]],MATCH(Table92[[#This Row],[Country]],Tabela1[Country], 0),0))</f>
        <v>1</v>
      </c>
      <c r="AY71" s="6">
        <f>SUM(INDEX(Tabela1[[Alpine Skiing - Men''s Downhill]:[Alpine Skiing - Women''s Team Combined]],MATCH(Table92[[#This Row],[Country]],Tabela1[Country], 0),0))</f>
        <v>0</v>
      </c>
      <c r="AZ71" s="6">
        <f>SUM(INDEX(Tabela1[[Biathlon - Men''s Individual]:[Biathlon - Mixed Relay]],MATCH(Table92[[#This Row],[Country]],Tabela1[Country], 0),0))</f>
        <v>0</v>
      </c>
      <c r="BA71" s="6">
        <f>SUM(INDEX(Tabela1[[Bobsleigh - Women''s Monobob]:[Bobsleigh - Men''s Four]],MATCH(Table92[[#This Row],[Country]],Tabela1[Country], 0),0))</f>
        <v>0</v>
      </c>
      <c r="BB71" s="6">
        <f>SUM(INDEX(Tabela1[[Cross-country skiing - Men''s Classical]:[Cross-country skiing - Women''s Team Sprint]],MATCH(Table92[[#This Row],[Country]],Tabela1[Country], 0),0))</f>
        <v>0</v>
      </c>
      <c r="BC71" s="6">
        <f>SUM(INDEX(Tabela1[[Curling - Men''s Tournament]:[Curling - Mixed Doubles]],MATCH(Table92[[#This Row],[Country]],Tabela1[Country], 0),0))</f>
        <v>0</v>
      </c>
      <c r="BD71" s="6">
        <f>SUM(INDEX(Tabela1[[Figure Skating - Men''s Singles]:[Figure Skating - Team Event]],MATCH(Table92[[#This Row],[Country]],Tabela1[Country], 0),0))</f>
        <v>0</v>
      </c>
      <c r="BE71" s="6">
        <f>SUM(INDEX(Tabela1[[Freestyle Skiing - Men''s Aerials]:[Freestyle Skiing - Women''s Slopestyle]],MATCH(Table92[[#This Row],[Country]],Tabela1[Country], 0),0))</f>
        <v>0</v>
      </c>
      <c r="BF71" s="6">
        <f>SUM(INDEX(Tabela1[[Ice Hockey - Men''s Tournament]:[Ice Hockey - Women''s Tournament]],MATCH(Table92[[#This Row],[Country]],Tabela1[Country], 0),0))</f>
        <v>0</v>
      </c>
      <c r="BG71" s="6">
        <f>SUM(INDEX(Tabela1[[Luge - Men''s Singles]:[Luge - Mixed Team Relay]],MATCH(Table92[[#This Row],[Country]],Tabela1[Country], 0),0))</f>
        <v>0</v>
      </c>
      <c r="BH71" s="6">
        <f>SUM(INDEX(Tabela1[[Nordic Combined - Men''s Individual]:[Nordic Combined - Men''s Team Sprint Large Hill]],MATCH(Table92[[#This Row],[Country]],Tabela1[Country], 0),0))</f>
        <v>0</v>
      </c>
      <c r="BI71" s="6">
        <f>SUM(INDEX(Tabela1[[Short track speed skating - Men''s 500m]:[Short track speed skating - Mixed 2000m Relay]],MATCH(Table92[[#This Row],[Country]],Tabela1[Country], 0),0))</f>
        <v>0</v>
      </c>
      <c r="BJ71" s="6">
        <f>SUM(INDEX(Tabela1[[Skeleton - Men''s Individual]:[Skeleton - Mixed Team]],MATCH(Table92[[#This Row],[Country]],Tabela1[Country], 0),0))</f>
        <v>0</v>
      </c>
      <c r="BK71" s="6">
        <f>SUM(INDEX(Tabela1[[Ski Jumping - Men''s Individual Large Hill]:[Ski Jumping - Mixed Team Normal Hill]],MATCH(Table92[[#This Row],[Country]],Tabela1[Country], 0),0))</f>
        <v>0</v>
      </c>
      <c r="BL71" s="6">
        <f>SUM(INDEX(Tabela1[[Ski Mountaineering - Men''s Sprint]:[Ski Mountaineering - Mixed Relay]],MATCH(Table92[[#This Row],[Country]],Tabela1[Country], 0),0))</f>
        <v>0</v>
      </c>
      <c r="BM71" s="6">
        <f>SUM(INDEX(Tabela1[[Snowboarding - Men''s Big Air]:[Snowboarding - Mixed Team Snowboard Cross]],MATCH(Table92[[#This Row],[Country]],Tabela1[Country], 0),0))</f>
        <v>0</v>
      </c>
      <c r="BN71" s="6">
        <f>SUM(INDEX(Tabela1[[Speed Skating - Men''s 500m]:[Speed Skating - Women''s Team Pursuit]],MATCH(Table92[[#This Row],[Country]],Tabela1[Country], 0),0))</f>
        <v>0</v>
      </c>
      <c r="BO71" s="6" t="str">
        <f>SUBSTITUTE(INDEX(Table92[[#Headers],[Archery Quotas]:[Speed Skating Quotas]], MATCH(MAX(Table92[[#This Row],[Archery Quotas]:[Speed Skating Quotas]]), Table92[[#This Row],[Archery Quotas]:[Speed Skating Quotas]], 0))," Quotas","")</f>
        <v>Athletics</v>
      </c>
      <c r="BP71" s="6">
        <f>SUM(Table92[[#This Row],[Summer Sports]:[Winter Sports]])</f>
        <v>7</v>
      </c>
      <c r="BQ71" s="6">
        <f>COUNTIF(Table92[[#This Row],[Archery Quotas]:[Wrestling Quotas]],"&lt;&gt;0")</f>
        <v>7</v>
      </c>
      <c r="BR71" s="6">
        <f>COUNTIF(Table92[[#This Row],[Alpine Skiing Quotas]:[Speed Skating Quotas]],"&lt;&gt;0")</f>
        <v>0</v>
      </c>
      <c r="BS71" s="4" t="s">
        <v>457</v>
      </c>
    </row>
    <row r="72" spans="1:71" x14ac:dyDescent="0.3">
      <c r="A72" s="6" t="s">
        <v>532</v>
      </c>
      <c r="B72" t="e" vm="70">
        <f>IF(ISBLANK(Table92[[#This Row],[Flag Link]]), "", _xlfn.IMAGE(Table92[[#This Row],[Flag Link]],1,1))</f>
        <v>#VALUE!</v>
      </c>
      <c r="C72" s="6">
        <f>SUM(Table92[[#This Row],[Archery Quotas]:[Speed Skating Quotas]])</f>
        <v>7</v>
      </c>
      <c r="D72" s="6">
        <f>SUM(INDEX(Tabela1[[Archery - Men''s Individual Recurve]:[Archery - Mixed Team Recurve]],MATCH(Table92[[#This Row],[Country]],Tabela1[Country], 0),0))</f>
        <v>0</v>
      </c>
      <c r="E72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72" s="6">
        <f>SUM(INDEX(Tabela1[[Artistic Swimming - Women''s Duet]:[Artistic Swimming - Women''s Team]],MATCH(Table92[[#This Row],[Country]],Tabela1[Country], 0),0))</f>
        <v>0</v>
      </c>
      <c r="G72" s="6">
        <f>SUM(INDEX(Tabela1[[Athletics - Men''s 100m]:[Athletics - Women''s Heptathlon]],MATCH(Table92[[#This Row],[Country]],Tabela1[Country], 0),0))</f>
        <v>6</v>
      </c>
      <c r="H72" s="6">
        <f>SUM(INDEX(Tabela1[[Badminton - Men''s Singles]:[Badminton - Mixed Doubles]],MATCH(Table92[[#This Row],[Country]],Tabela1[Country], 0),0))</f>
        <v>0</v>
      </c>
      <c r="I72" s="6">
        <f>SUM(INDEX(Tabela1[[Basketball - Men''s Tournament]:[Basketball - Women''s Tournament]],MATCH(Table92[[#This Row],[Country]],Tabela1[Country], 0),0))</f>
        <v>0</v>
      </c>
      <c r="J72" s="6">
        <f>SUM(INDEX(Tabela1[[3x3 Basketball - Men''s Tournament]:[3x3 Basketball - Women''s Tournament]],MATCH(Table92[[#This Row],[Country]],Tabela1[Country], 0),0))</f>
        <v>0</v>
      </c>
      <c r="K72" s="6">
        <f>SUM(INDEX(Tabela1[[Beach Volleyball - Men''s Tournament]:[Beach Volleyball - Women''s Tournament]],MATCH(Table92[[#This Row],[Country]],Tabela1[Country], 0),0))</f>
        <v>0</v>
      </c>
      <c r="L72" s="6">
        <f>SUM(INDEX(Tabela1[[Boxing - Men''s 51kg]:[Boxing - Women''s 75kg]],MATCH(Table92[[#This Row],[Country]],Tabela1[Country], 0),0))</f>
        <v>0</v>
      </c>
      <c r="M72" s="6">
        <f>SUM(INDEX(Tabela1[[Breaking - Men''s Individual]:[Breaking - Women''s Individual]],MATCH(Table92[[#This Row],[Country]],Tabela1[Country], 0),0))</f>
        <v>0</v>
      </c>
      <c r="N72" s="6">
        <f>SUM(INDEX(Tabela1[[Canoeing - Men''s C1 Slalom]:[Canoeing - Women''s Kayak Cross Slalom]],MATCH(Table92[[#This Row],[Country]],Tabela1[Country], 0),0))</f>
        <v>0</v>
      </c>
      <c r="O72" s="6">
        <f>SUM(INDEX(Tabela1[[Canoeing - Women''s C1 200m]:[Canoeing - Women''s K4 500m]],MATCH(Table92[[#This Row],[Country]],Tabela1[Country], 0),0))</f>
        <v>0</v>
      </c>
      <c r="P72" s="6">
        <f>SUM(INDEX(Tabela1[[Cycling - Men''s BMX Freestyle]:[Cycling - Women''s BMX Freestyle]],MATCH(Table92[[#This Row],[Country]],Tabela1[Country], 0),0))</f>
        <v>0</v>
      </c>
      <c r="Q72" s="6">
        <f>SUM(INDEX(Tabela1[[Cycling - Men''s BMX Racing]:[Cycling - Women''s BMX Racing]],MATCH(Table92[[#This Row],[Country]],Tabela1[Country], 0),0))</f>
        <v>0</v>
      </c>
      <c r="R72" s="6">
        <f>SUM(INDEX(Tabela1[[Cycling - Men''s Cross-Country]:[Cycling - Women''s Cross-Country]],MATCH(Table92[[#This Row],[Country]],Tabela1[Country], 0),0))</f>
        <v>0</v>
      </c>
      <c r="S72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72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72" s="6">
        <f>SUM(INDEX(Tabela1[[Diving - Men''s Springboard]:[Diving - Women''s Synchronized Platform]],MATCH(Table92[[#This Row],[Country]],Tabela1[Country], 0),0))</f>
        <v>0</v>
      </c>
      <c r="V72" s="6">
        <f>SUM(INDEX(Tabela1[[Equestrian - Individual Dressage]:[Equestrian - Team Dressage]],MATCH(Table92[[#This Row],[Country]],Tabela1[Country], 0),0))</f>
        <v>0</v>
      </c>
      <c r="W72" s="6">
        <f>SUM(INDEX(Tabela1[[Equestrian - Individual Eventing]:[Equestrian - Team Eventing]],MATCH(Table92[[#This Row],[Country]],Tabela1[Country], 0),0))</f>
        <v>0</v>
      </c>
      <c r="X72" s="6">
        <f>SUM(INDEX(Tabela1[[Equestrian - Individual Jumping]:[Equestrian - Team Jumping]],MATCH(Table92[[#This Row],[Country]],Tabela1[Country], 0),0))</f>
        <v>0</v>
      </c>
      <c r="Y72" s="6">
        <f>SUM(INDEX(Tabela1[[Fencing - Men''s Épée]:[Fencing - Women''s Team Sabre]],MATCH(Table92[[#This Row],[Country]],Tabela1[Country], 0),0))</f>
        <v>0</v>
      </c>
      <c r="Z72" s="6">
        <f>SUM(INDEX(Tabela1[[Field Hockey - Men''s Tournament]:[Field Hockey - Women''s Tournament]],MATCH(Table92[[#This Row],[Country]],Tabela1[Country], 0),0))</f>
        <v>0</v>
      </c>
      <c r="AA72" s="6">
        <f>SUM(INDEX(Tabela1[[Football - Men''s Tournament]:[Football - Women''s Tournament]],MATCH(Table92[[#This Row],[Country]],Tabela1[Country], 0),0))</f>
        <v>0</v>
      </c>
      <c r="AB72" s="6">
        <f>SUM(INDEX(Tabela1[[Golf - Men''s Individual]:[Golf - Women''s Individual]],MATCH(Table92[[#This Row],[Country]],Tabela1[Country], 0),0))</f>
        <v>0</v>
      </c>
      <c r="AC72" s="6">
        <f>SUM(INDEX(Tabela1[[Handball - Men''s Tournament]:[Handball - Women''s Tournament]],MATCH(Table92[[#This Row],[Country]],Tabela1[Country], 0),0))</f>
        <v>0</v>
      </c>
      <c r="AD72" s="6">
        <f>SUM(INDEX(Tabela1[[Judo - Men''s 60kg]:[Judo - Mixed Team]],MATCH(Table92[[#This Row],[Country]],Tabela1[Country], 0),0))</f>
        <v>0</v>
      </c>
      <c r="AE72" s="6">
        <f>SUM(INDEX(Tabela1[[Swimming - Men''s 10km Open Water]:[Swimming - Women''s 10km Open Water]],MATCH(Table92[[#This Row],[Country]],Tabela1[Country], 0),0))</f>
        <v>0</v>
      </c>
      <c r="AF72" s="6">
        <f>SUM(INDEX(Tabela1[[Modern Pentathlon - Men''s Individual]:[Modern Pentathlon - Women''s Individual]],MATCH(Table92[[#This Row],[Country]],Tabela1[Country], 0),0))</f>
        <v>0</v>
      </c>
      <c r="AG72" s="6">
        <f>SUM(INDEX(Tabela1[[Rhythmic Gymnastics - Women''s Individual All-Around]:[Rhythmic Gymnastics - Women''s Group All-Around]],MATCH(Table92[[#This Row],[Country]],Tabela1[Country], 0),0))</f>
        <v>0</v>
      </c>
      <c r="AH72" s="6">
        <f>SUM(INDEX(Tabela1[[Rowing - Men''s Single Sculls]:[Rowing - Women''s Lwt. Double Sculls]],MATCH(Table92[[#This Row],[Country]],Tabela1[Country], 0),0))</f>
        <v>0</v>
      </c>
      <c r="AI72" s="6">
        <f>SUM(INDEX(Tabela1[[Rugby Sevens - Men''s Tournament]:[Rugby Sevens - Women''s Tournament]],MATCH(Table92[[#This Row],[Country]],Tabela1[Country], 0),0))</f>
        <v>0</v>
      </c>
      <c r="AJ72" s="6">
        <f>SUM(INDEX(Tabela1[[Sailing - Mixed 470]:[Sailing - Mixed Nacra 17]],MATCH(Table92[[#This Row],[Country]],Tabela1[Country], 0),0))</f>
        <v>0</v>
      </c>
      <c r="AK72" s="6">
        <f>SUM(INDEX(Tabela1[[Shooting - Men''s 10m Air Pistol]:[Shooting - Women''s Trap]],MATCH(Table92[[#This Row],[Country]],Tabela1[Country], 0),0))</f>
        <v>0</v>
      </c>
      <c r="AL72" s="6">
        <f>SUM(INDEX(Tabela1[[Skateboarding - Men''s Park]:[Skateboarding - Women''s Street]],MATCH(Table92[[#This Row],[Country]],Tabela1[Country], 0),0))</f>
        <v>0</v>
      </c>
      <c r="AM72" s="6">
        <f>SUM(INDEX(Tabela1[[Sport Climbing - Men''s Boulder and Lead]:[Sport Climbing - Women''s Speed]],MATCH(Table92[[#This Row],[Country]],Tabela1[Country], 0),0))</f>
        <v>0</v>
      </c>
      <c r="AN72" s="6">
        <f>SUM(INDEX(Tabela1[[Surfing - Men''s Shortboard]:[Surfing - Women''s Shortboard]],MATCH(Table92[[#This Row],[Country]],Tabela1[Country], 0),0))</f>
        <v>0</v>
      </c>
      <c r="AO72" s="6">
        <f>SUM(INDEX(Tabela1[[Swimming - Men''s 50m Freestyle]:[Swimming - Mixed 4x100m Medley Relay]],MATCH(Table92[[#This Row],[Country]],Tabela1[Country], 0),0))</f>
        <v>1</v>
      </c>
      <c r="AP72" s="6">
        <f>SUM(INDEX(Tabela1[[Table Tennis - Men''s Singles]:[Table Tennis - Mixed Doubles]],MATCH(Table92[[#This Row],[Country]],Tabela1[Country], 0),0))</f>
        <v>0</v>
      </c>
      <c r="AQ72" s="6">
        <f>SUM(INDEX(Tabela1[[Taekwondo - Men''s 58kg]:[Taekwondo - Women''s +67kg]],MATCH(Table92[[#This Row],[Country]],Tabela1[Country], 0),0))</f>
        <v>0</v>
      </c>
      <c r="AR72" s="6">
        <f>SUM(INDEX(Tabela1[[Tennis - Men''s Singles]:[Tennis - Mixed Doubles]],MATCH(Table92[[#This Row],[Country]],Tabela1[Country], 0),0))</f>
        <v>0</v>
      </c>
      <c r="AS72" s="6">
        <f>SUM(INDEX(Tabela1[[Gymnastics - Men''s Trampoline]:[Gymnastics - Women''s Trampoline]],MATCH(Table92[[#This Row],[Country]],Tabela1[Country], 0),0))</f>
        <v>0</v>
      </c>
      <c r="AT72" s="6">
        <f>SUM(INDEX(Tabela1[[Triathlon - Men''s Individual]:[Triathlon - Mixed Relay]],MATCH(Table92[[#This Row],[Country]],Tabela1[Country], 0),0))</f>
        <v>0</v>
      </c>
      <c r="AU72" s="6">
        <f>SUM(INDEX(Tabela1[[Volleyball - Men''s Tournament]:[Volleyball - Women''s Tournament]],MATCH(Table92[[#This Row],[Country]],Tabela1[Country], 0),0))</f>
        <v>0</v>
      </c>
      <c r="AV72" s="6">
        <f>SUM(INDEX(Tabela1[[Water Polo - Men''s Tournament]:[Water Polo - Women''s Tournament]],MATCH(Table92[[#This Row],[Country]],Tabela1[Country], 0),0))</f>
        <v>0</v>
      </c>
      <c r="AW72" s="6">
        <f>SUM(INDEX(Tabela1[[Weightlifting - Men''s 61kg]:[Weightlifting - Women''s +81kg]],MATCH(Table92[[#This Row],[Country]],Tabela1[Country], 0),0))</f>
        <v>0</v>
      </c>
      <c r="AX72" s="6">
        <f>SUM(INDEX(Tabela1[[Wrestling - Men''s Freestyle 57kg]:[Wrestling - Women''s Freestyle 76kg]],MATCH(Table92[[#This Row],[Country]],Tabela1[Country], 0),0))</f>
        <v>0</v>
      </c>
      <c r="AY72" s="6">
        <f>SUM(INDEX(Tabela1[[Alpine Skiing - Men''s Downhill]:[Alpine Skiing - Women''s Team Combined]],MATCH(Table92[[#This Row],[Country]],Tabela1[Country], 0),0))</f>
        <v>0</v>
      </c>
      <c r="AZ72" s="6">
        <f>SUM(INDEX(Tabela1[[Biathlon - Men''s Individual]:[Biathlon - Mixed Relay]],MATCH(Table92[[#This Row],[Country]],Tabela1[Country], 0),0))</f>
        <v>0</v>
      </c>
      <c r="BA72" s="6">
        <f>SUM(INDEX(Tabela1[[Bobsleigh - Women''s Monobob]:[Bobsleigh - Men''s Four]],MATCH(Table92[[#This Row],[Country]],Tabela1[Country], 0),0))</f>
        <v>0</v>
      </c>
      <c r="BB72" s="6">
        <f>SUM(INDEX(Tabela1[[Cross-country skiing - Men''s Classical]:[Cross-country skiing - Women''s Team Sprint]],MATCH(Table92[[#This Row],[Country]],Tabela1[Country], 0),0))</f>
        <v>0</v>
      </c>
      <c r="BC72" s="6">
        <f>SUM(INDEX(Tabela1[[Curling - Men''s Tournament]:[Curling - Mixed Doubles]],MATCH(Table92[[#This Row],[Country]],Tabela1[Country], 0),0))</f>
        <v>0</v>
      </c>
      <c r="BD72" s="6">
        <f>SUM(INDEX(Tabela1[[Figure Skating - Men''s Singles]:[Figure Skating - Team Event]],MATCH(Table92[[#This Row],[Country]],Tabela1[Country], 0),0))</f>
        <v>0</v>
      </c>
      <c r="BE72" s="6">
        <f>SUM(INDEX(Tabela1[[Freestyle Skiing - Men''s Aerials]:[Freestyle Skiing - Women''s Slopestyle]],MATCH(Table92[[#This Row],[Country]],Tabela1[Country], 0),0))</f>
        <v>0</v>
      </c>
      <c r="BF72" s="6">
        <f>SUM(INDEX(Tabela1[[Ice Hockey - Men''s Tournament]:[Ice Hockey - Women''s Tournament]],MATCH(Table92[[#This Row],[Country]],Tabela1[Country], 0),0))</f>
        <v>0</v>
      </c>
      <c r="BG72" s="6">
        <f>SUM(INDEX(Tabela1[[Luge - Men''s Singles]:[Luge - Mixed Team Relay]],MATCH(Table92[[#This Row],[Country]],Tabela1[Country], 0),0))</f>
        <v>0</v>
      </c>
      <c r="BH72" s="6">
        <f>SUM(INDEX(Tabela1[[Nordic Combined - Men''s Individual]:[Nordic Combined - Men''s Team Sprint Large Hill]],MATCH(Table92[[#This Row],[Country]],Tabela1[Country], 0),0))</f>
        <v>0</v>
      </c>
      <c r="BI72" s="6">
        <f>SUM(INDEX(Tabela1[[Short track speed skating - Men''s 500m]:[Short track speed skating - Mixed 2000m Relay]],MATCH(Table92[[#This Row],[Country]],Tabela1[Country], 0),0))</f>
        <v>0</v>
      </c>
      <c r="BJ72" s="6">
        <f>SUM(INDEX(Tabela1[[Skeleton - Men''s Individual]:[Skeleton - Mixed Team]],MATCH(Table92[[#This Row],[Country]],Tabela1[Country], 0),0))</f>
        <v>0</v>
      </c>
      <c r="BK72" s="6">
        <f>SUM(INDEX(Tabela1[[Ski Jumping - Men''s Individual Large Hill]:[Ski Jumping - Mixed Team Normal Hill]],MATCH(Table92[[#This Row],[Country]],Tabela1[Country], 0),0))</f>
        <v>0</v>
      </c>
      <c r="BL72" s="6">
        <f>SUM(INDEX(Tabela1[[Ski Mountaineering - Men''s Sprint]:[Ski Mountaineering - Mixed Relay]],MATCH(Table92[[#This Row],[Country]],Tabela1[Country], 0),0))</f>
        <v>0</v>
      </c>
      <c r="BM72" s="6">
        <f>SUM(INDEX(Tabela1[[Snowboarding - Men''s Big Air]:[Snowboarding - Mixed Team Snowboard Cross]],MATCH(Table92[[#This Row],[Country]],Tabela1[Country], 0),0))</f>
        <v>0</v>
      </c>
      <c r="BN72" s="6">
        <f>SUM(INDEX(Tabela1[[Speed Skating - Men''s 500m]:[Speed Skating - Women''s Team Pursuit]],MATCH(Table92[[#This Row],[Country]],Tabela1[Country], 0),0))</f>
        <v>0</v>
      </c>
      <c r="BO72" s="6" t="str">
        <f>SUBSTITUTE(INDEX(Table92[[#Headers],[Archery Quotas]:[Speed Skating Quotas]], MATCH(MAX(Table92[[#This Row],[Archery Quotas]:[Speed Skating Quotas]]), Table92[[#This Row],[Archery Quotas]:[Speed Skating Quotas]], 0))," Quotas","")</f>
        <v>Athletics</v>
      </c>
      <c r="BP72" s="6">
        <f>SUM(Table92[[#This Row],[Summer Sports]:[Winter Sports]])</f>
        <v>2</v>
      </c>
      <c r="BQ72" s="6">
        <f>COUNTIF(Table92[[#This Row],[Archery Quotas]:[Wrestling Quotas]],"&lt;&gt;0")</f>
        <v>2</v>
      </c>
      <c r="BR72" s="6">
        <f>COUNTIF(Table92[[#This Row],[Alpine Skiing Quotas]:[Speed Skating Quotas]],"&lt;&gt;0")</f>
        <v>0</v>
      </c>
      <c r="BS72" s="3" t="s">
        <v>533</v>
      </c>
    </row>
    <row r="73" spans="1:71" x14ac:dyDescent="0.3">
      <c r="A73" s="6" t="s">
        <v>560</v>
      </c>
      <c r="B73" t="e" vm="72">
        <f>IF(ISBLANK(Table92[[#This Row],[Flag Link]]), "", _xlfn.IMAGE(Table92[[#This Row],[Flag Link]],1,1))</f>
        <v>#VALUE!</v>
      </c>
      <c r="C73" s="6">
        <f>SUM(Table92[[#This Row],[Archery Quotas]:[Speed Skating Quotas]])</f>
        <v>7</v>
      </c>
      <c r="D73" s="6">
        <f>SUM(INDEX(Tabela1[[Archery - Men''s Individual Recurve]:[Archery - Mixed Team Recurve]],MATCH(Table92[[#This Row],[Country]],Tabela1[Country], 0),0))</f>
        <v>0</v>
      </c>
      <c r="E73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73" s="6">
        <f>SUM(INDEX(Tabela1[[Artistic Swimming - Women''s Duet]:[Artistic Swimming - Women''s Team]],MATCH(Table92[[#This Row],[Country]],Tabela1[Country], 0),0))</f>
        <v>0</v>
      </c>
      <c r="G73" s="6">
        <f>SUM(INDEX(Tabela1[[Athletics - Men''s 100m]:[Athletics - Women''s Heptathlon]],MATCH(Table92[[#This Row],[Country]],Tabela1[Country], 0),0))</f>
        <v>1</v>
      </c>
      <c r="H73" s="6">
        <f>SUM(INDEX(Tabela1[[Badminton - Men''s Singles]:[Badminton - Mixed Doubles]],MATCH(Table92[[#This Row],[Country]],Tabela1[Country], 0),0))</f>
        <v>0</v>
      </c>
      <c r="I73" s="6">
        <f>SUM(INDEX(Tabela1[[Basketball - Men''s Tournament]:[Basketball - Women''s Tournament]],MATCH(Table92[[#This Row],[Country]],Tabela1[Country], 0),0))</f>
        <v>0</v>
      </c>
      <c r="J73" s="6">
        <f>SUM(INDEX(Tabela1[[3x3 Basketball - Men''s Tournament]:[3x3 Basketball - Women''s Tournament]],MATCH(Table92[[#This Row],[Country]],Tabela1[Country], 0),0))</f>
        <v>0</v>
      </c>
      <c r="K73" s="6">
        <f>SUM(INDEX(Tabela1[[Beach Volleyball - Men''s Tournament]:[Beach Volleyball - Women''s Tournament]],MATCH(Table92[[#This Row],[Country]],Tabela1[Country], 0),0))</f>
        <v>0</v>
      </c>
      <c r="L73" s="6">
        <f>SUM(INDEX(Tabela1[[Boxing - Men''s 51kg]:[Boxing - Women''s 75kg]],MATCH(Table92[[#This Row],[Country]],Tabela1[Country], 0),0))</f>
        <v>0</v>
      </c>
      <c r="M73" s="6">
        <f>SUM(INDEX(Tabela1[[Breaking - Men''s Individual]:[Breaking - Women''s Individual]],MATCH(Table92[[#This Row],[Country]],Tabela1[Country], 0),0))</f>
        <v>0</v>
      </c>
      <c r="N73" s="6">
        <f>SUM(INDEX(Tabela1[[Canoeing - Men''s C1 Slalom]:[Canoeing - Women''s Kayak Cross Slalom]],MATCH(Table92[[#This Row],[Country]],Tabela1[Country], 0),0))</f>
        <v>0</v>
      </c>
      <c r="O73" s="6">
        <f>SUM(INDEX(Tabela1[[Canoeing - Women''s C1 200m]:[Canoeing - Women''s K4 500m]],MATCH(Table92[[#This Row],[Country]],Tabela1[Country], 0),0))</f>
        <v>0</v>
      </c>
      <c r="P73" s="6">
        <f>SUM(INDEX(Tabela1[[Cycling - Men''s BMX Freestyle]:[Cycling - Women''s BMX Freestyle]],MATCH(Table92[[#This Row],[Country]],Tabela1[Country], 0),0))</f>
        <v>0</v>
      </c>
      <c r="Q73" s="6">
        <f>SUM(INDEX(Tabela1[[Cycling - Men''s BMX Racing]:[Cycling - Women''s BMX Racing]],MATCH(Table92[[#This Row],[Country]],Tabela1[Country], 0),0))</f>
        <v>0</v>
      </c>
      <c r="R73" s="6">
        <f>SUM(INDEX(Tabela1[[Cycling - Men''s Cross-Country]:[Cycling - Women''s Cross-Country]],MATCH(Table92[[#This Row],[Country]],Tabela1[Country], 0),0))</f>
        <v>0</v>
      </c>
      <c r="S73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1</v>
      </c>
      <c r="T73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73" s="6">
        <f>SUM(INDEX(Tabela1[[Diving - Men''s Springboard]:[Diving - Women''s Synchronized Platform]],MATCH(Table92[[#This Row],[Country]],Tabela1[Country], 0),0))</f>
        <v>0</v>
      </c>
      <c r="V73" s="6">
        <f>SUM(INDEX(Tabela1[[Equestrian - Individual Dressage]:[Equestrian - Team Dressage]],MATCH(Table92[[#This Row],[Country]],Tabela1[Country], 0),0))</f>
        <v>0</v>
      </c>
      <c r="W73" s="6">
        <f>SUM(INDEX(Tabela1[[Equestrian - Individual Eventing]:[Equestrian - Team Eventing]],MATCH(Table92[[#This Row],[Country]],Tabela1[Country], 0),0))</f>
        <v>0</v>
      </c>
      <c r="X73" s="6">
        <f>SUM(INDEX(Tabela1[[Equestrian - Individual Jumping]:[Equestrian - Team Jumping]],MATCH(Table92[[#This Row],[Country]],Tabela1[Country], 0),0))</f>
        <v>0</v>
      </c>
      <c r="Y73" s="6">
        <f>SUM(INDEX(Tabela1[[Fencing - Men''s Épée]:[Fencing - Women''s Team Sabre]],MATCH(Table92[[#This Row],[Country]],Tabela1[Country], 0),0))</f>
        <v>1</v>
      </c>
      <c r="Z73" s="6">
        <f>SUM(INDEX(Tabela1[[Field Hockey - Men''s Tournament]:[Field Hockey - Women''s Tournament]],MATCH(Table92[[#This Row],[Country]],Tabela1[Country], 0),0))</f>
        <v>0</v>
      </c>
      <c r="AA73" s="6">
        <f>SUM(INDEX(Tabela1[[Football - Men''s Tournament]:[Football - Women''s Tournament]],MATCH(Table92[[#This Row],[Country]],Tabela1[Country], 0),0))</f>
        <v>0</v>
      </c>
      <c r="AB73" s="6">
        <f>SUM(INDEX(Tabela1[[Golf - Men''s Individual]:[Golf - Women''s Individual]],MATCH(Table92[[#This Row],[Country]],Tabela1[Country], 0),0))</f>
        <v>0</v>
      </c>
      <c r="AC73" s="6">
        <f>SUM(INDEX(Tabela1[[Handball - Men''s Tournament]:[Handball - Women''s Tournament]],MATCH(Table92[[#This Row],[Country]],Tabela1[Country], 0),0))</f>
        <v>0</v>
      </c>
      <c r="AD73" s="6">
        <f>SUM(INDEX(Tabela1[[Judo - Men''s 60kg]:[Judo - Mixed Team]],MATCH(Table92[[#This Row],[Country]],Tabela1[Country], 0),0))</f>
        <v>0</v>
      </c>
      <c r="AE73" s="6">
        <f>SUM(INDEX(Tabela1[[Swimming - Men''s 10km Open Water]:[Swimming - Women''s 10km Open Water]],MATCH(Table92[[#This Row],[Country]],Tabela1[Country], 0),0))</f>
        <v>0</v>
      </c>
      <c r="AF73" s="6">
        <f>SUM(INDEX(Tabela1[[Modern Pentathlon - Men''s Individual]:[Modern Pentathlon - Women''s Individual]],MATCH(Table92[[#This Row],[Country]],Tabela1[Country], 0),0))</f>
        <v>0</v>
      </c>
      <c r="AG73" s="6">
        <f>SUM(INDEX(Tabela1[[Rhythmic Gymnastics - Women''s Individual All-Around]:[Rhythmic Gymnastics - Women''s Group All-Around]],MATCH(Table92[[#This Row],[Country]],Tabela1[Country], 0),0))</f>
        <v>0</v>
      </c>
      <c r="AH73" s="6">
        <f>SUM(INDEX(Tabela1[[Rowing - Men''s Single Sculls]:[Rowing - Women''s Lwt. Double Sculls]],MATCH(Table92[[#This Row],[Country]],Tabela1[Country], 0),0))</f>
        <v>0</v>
      </c>
      <c r="AI73" s="6">
        <f>SUM(INDEX(Tabela1[[Rugby Sevens - Men''s Tournament]:[Rugby Sevens - Women''s Tournament]],MATCH(Table92[[#This Row],[Country]],Tabela1[Country], 0),0))</f>
        <v>0</v>
      </c>
      <c r="AJ73" s="6">
        <f>SUM(INDEX(Tabela1[[Sailing - Mixed 470]:[Sailing - Mixed Nacra 17]],MATCH(Table92[[#This Row],[Country]],Tabela1[Country], 0),0))</f>
        <v>0</v>
      </c>
      <c r="AK73" s="6">
        <f>SUM(INDEX(Tabela1[[Shooting - Men''s 10m Air Pistol]:[Shooting - Women''s Trap]],MATCH(Table92[[#This Row],[Country]],Tabela1[Country], 0),0))</f>
        <v>1</v>
      </c>
      <c r="AL73" s="6">
        <f>SUM(INDEX(Tabela1[[Skateboarding - Men''s Park]:[Skateboarding - Women''s Street]],MATCH(Table92[[#This Row],[Country]],Tabela1[Country], 0),0))</f>
        <v>0</v>
      </c>
      <c r="AM73" s="6">
        <f>SUM(INDEX(Tabela1[[Sport Climbing - Men''s Boulder and Lead]:[Sport Climbing - Women''s Speed]],MATCH(Table92[[#This Row],[Country]],Tabela1[Country], 0),0))</f>
        <v>0</v>
      </c>
      <c r="AN73" s="6">
        <f>SUM(INDEX(Tabela1[[Surfing - Men''s Shortboard]:[Surfing - Women''s Shortboard]],MATCH(Table92[[#This Row],[Country]],Tabela1[Country], 0),0))</f>
        <v>0</v>
      </c>
      <c r="AO73" s="6">
        <f>SUM(INDEX(Tabela1[[Swimming - Men''s 50m Freestyle]:[Swimming - Mixed 4x100m Medley Relay]],MATCH(Table92[[#This Row],[Country]],Tabela1[Country], 0),0))</f>
        <v>1</v>
      </c>
      <c r="AP73" s="6">
        <f>SUM(INDEX(Tabela1[[Table Tennis - Men''s Singles]:[Table Tennis - Mixed Doubles]],MATCH(Table92[[#This Row],[Country]],Tabela1[Country], 0),0))</f>
        <v>0</v>
      </c>
      <c r="AQ73" s="6">
        <f>SUM(INDEX(Tabela1[[Taekwondo - Men''s 58kg]:[Taekwondo - Women''s +67kg]],MATCH(Table92[[#This Row],[Country]],Tabela1[Country], 0),0))</f>
        <v>0</v>
      </c>
      <c r="AR73" s="6">
        <f>SUM(INDEX(Tabela1[[Tennis - Men''s Singles]:[Tennis - Mixed Doubles]],MATCH(Table92[[#This Row],[Country]],Tabela1[Country], 0),0))</f>
        <v>0</v>
      </c>
      <c r="AS73" s="6">
        <f>SUM(INDEX(Tabela1[[Gymnastics - Men''s Trampoline]:[Gymnastics - Women''s Trampoline]],MATCH(Table92[[#This Row],[Country]],Tabela1[Country], 0),0))</f>
        <v>0</v>
      </c>
      <c r="AT73" s="6">
        <f>SUM(INDEX(Tabela1[[Triathlon - Men''s Individual]:[Triathlon - Mixed Relay]],MATCH(Table92[[#This Row],[Country]],Tabela1[Country], 0),0))</f>
        <v>0</v>
      </c>
      <c r="AU73" s="6">
        <f>SUM(INDEX(Tabela1[[Volleyball - Men''s Tournament]:[Volleyball - Women''s Tournament]],MATCH(Table92[[#This Row],[Country]],Tabela1[Country], 0),0))</f>
        <v>0</v>
      </c>
      <c r="AV73" s="6">
        <f>SUM(INDEX(Tabela1[[Water Polo - Men''s Tournament]:[Water Polo - Women''s Tournament]],MATCH(Table92[[#This Row],[Country]],Tabela1[Country], 0),0))</f>
        <v>0</v>
      </c>
      <c r="AW73" s="6">
        <f>SUM(INDEX(Tabela1[[Weightlifting - Men''s 61kg]:[Weightlifting - Women''s +81kg]],MATCH(Table92[[#This Row],[Country]],Tabela1[Country], 0),0))</f>
        <v>0</v>
      </c>
      <c r="AX73" s="6">
        <f>SUM(INDEX(Tabela1[[Wrestling - Men''s Freestyle 57kg]:[Wrestling - Women''s Freestyle 76kg]],MATCH(Table92[[#This Row],[Country]],Tabela1[Country], 0),0))</f>
        <v>0</v>
      </c>
      <c r="AY73" s="6">
        <f>SUM(INDEX(Tabela1[[Alpine Skiing - Men''s Downhill]:[Alpine Skiing - Women''s Team Combined]],MATCH(Table92[[#This Row],[Country]],Tabela1[Country], 0),0))</f>
        <v>2</v>
      </c>
      <c r="AZ73" s="6">
        <f>SUM(INDEX(Tabela1[[Biathlon - Men''s Individual]:[Biathlon - Mixed Relay]],MATCH(Table92[[#This Row],[Country]],Tabela1[Country], 0),0))</f>
        <v>0</v>
      </c>
      <c r="BA73" s="6">
        <f>SUM(INDEX(Tabela1[[Bobsleigh - Women''s Monobob]:[Bobsleigh - Men''s Four]],MATCH(Table92[[#This Row],[Country]],Tabela1[Country], 0),0))</f>
        <v>0</v>
      </c>
      <c r="BB73" s="6">
        <f>SUM(INDEX(Tabela1[[Cross-country skiing - Men''s Classical]:[Cross-country skiing - Women''s Team Sprint]],MATCH(Table92[[#This Row],[Country]],Tabela1[Country], 0),0))</f>
        <v>0</v>
      </c>
      <c r="BC73" s="6">
        <f>SUM(INDEX(Tabela1[[Curling - Men''s Tournament]:[Curling - Mixed Doubles]],MATCH(Table92[[#This Row],[Country]],Tabela1[Country], 0),0))</f>
        <v>0</v>
      </c>
      <c r="BD73" s="6">
        <f>SUM(INDEX(Tabela1[[Figure Skating - Men''s Singles]:[Figure Skating - Team Event]],MATCH(Table92[[#This Row],[Country]],Tabela1[Country], 0),0))</f>
        <v>0</v>
      </c>
      <c r="BE73" s="6">
        <f>SUM(INDEX(Tabela1[[Freestyle Skiing - Men''s Aerials]:[Freestyle Skiing - Women''s Slopestyle]],MATCH(Table92[[#This Row],[Country]],Tabela1[Country], 0),0))</f>
        <v>0</v>
      </c>
      <c r="BF73" s="6">
        <f>SUM(INDEX(Tabela1[[Ice Hockey - Men''s Tournament]:[Ice Hockey - Women''s Tournament]],MATCH(Table92[[#This Row],[Country]],Tabela1[Country], 0),0))</f>
        <v>0</v>
      </c>
      <c r="BG73" s="6">
        <f>SUM(INDEX(Tabela1[[Luge - Men''s Singles]:[Luge - Mixed Team Relay]],MATCH(Table92[[#This Row],[Country]],Tabela1[Country], 0),0))</f>
        <v>0</v>
      </c>
      <c r="BH73" s="6">
        <f>SUM(INDEX(Tabela1[[Nordic Combined - Men''s Individual]:[Nordic Combined - Men''s Team Sprint Large Hill]],MATCH(Table92[[#This Row],[Country]],Tabela1[Country], 0),0))</f>
        <v>0</v>
      </c>
      <c r="BI73" s="6">
        <f>SUM(INDEX(Tabela1[[Short track speed skating - Men''s 500m]:[Short track speed skating - Mixed 2000m Relay]],MATCH(Table92[[#This Row],[Country]],Tabela1[Country], 0),0))</f>
        <v>0</v>
      </c>
      <c r="BJ73" s="6">
        <f>SUM(INDEX(Tabela1[[Skeleton - Men''s Individual]:[Skeleton - Mixed Team]],MATCH(Table92[[#This Row],[Country]],Tabela1[Country], 0),0))</f>
        <v>0</v>
      </c>
      <c r="BK73" s="6">
        <f>SUM(INDEX(Tabela1[[Ski Jumping - Men''s Individual Large Hill]:[Ski Jumping - Mixed Team Normal Hill]],MATCH(Table92[[#This Row],[Country]],Tabela1[Country], 0),0))</f>
        <v>0</v>
      </c>
      <c r="BL73" s="6">
        <f>SUM(INDEX(Tabela1[[Ski Mountaineering - Men''s Sprint]:[Ski Mountaineering - Mixed Relay]],MATCH(Table92[[#This Row],[Country]],Tabela1[Country], 0),0))</f>
        <v>0</v>
      </c>
      <c r="BM73" s="6">
        <f>SUM(INDEX(Tabela1[[Snowboarding - Men''s Big Air]:[Snowboarding - Mixed Team Snowboard Cross]],MATCH(Table92[[#This Row],[Country]],Tabela1[Country], 0),0))</f>
        <v>0</v>
      </c>
      <c r="BN73" s="6">
        <f>SUM(INDEX(Tabela1[[Speed Skating - Men''s 500m]:[Speed Skating - Women''s Team Pursuit]],MATCH(Table92[[#This Row],[Country]],Tabela1[Country], 0),0))</f>
        <v>0</v>
      </c>
      <c r="BO73" s="6" t="str">
        <f>SUBSTITUTE(INDEX(Table92[[#Headers],[Archery Quotas]:[Speed Skating Quotas]], MATCH(MAX(Table92[[#This Row],[Archery Quotas]:[Speed Skating Quotas]]), Table92[[#This Row],[Archery Quotas]:[Speed Skating Quotas]], 0))," Quotas","")</f>
        <v>Alpine Skiing</v>
      </c>
      <c r="BP73" s="6">
        <f>SUM(Table92[[#This Row],[Summer Sports]:[Winter Sports]])</f>
        <v>6</v>
      </c>
      <c r="BQ73" s="6">
        <f>COUNTIF(Table92[[#This Row],[Archery Quotas]:[Wrestling Quotas]],"&lt;&gt;0")</f>
        <v>5</v>
      </c>
      <c r="BR73" s="6">
        <f>COUNTIF(Table92[[#This Row],[Alpine Skiing Quotas]:[Speed Skating Quotas]],"&lt;&gt;0")</f>
        <v>1</v>
      </c>
      <c r="BS73" s="4" t="s">
        <v>561</v>
      </c>
    </row>
    <row r="74" spans="1:71" x14ac:dyDescent="0.3">
      <c r="A74" s="6" t="s">
        <v>622</v>
      </c>
      <c r="B74" t="e" vm="74">
        <f>IF(ISBLANK(Table92[[#This Row],[Flag Link]]), "", _xlfn.IMAGE(Table92[[#This Row],[Flag Link]],1,1))</f>
        <v>#VALUE!</v>
      </c>
      <c r="C74" s="6">
        <f>SUM(Table92[[#This Row],[Archery Quotas]:[Speed Skating Quotas]])</f>
        <v>7</v>
      </c>
      <c r="D74" s="6">
        <f>SUM(INDEX(Tabela1[[Archery - Men''s Individual Recurve]:[Archery - Mixed Team Recurve]],MATCH(Table92[[#This Row],[Country]],Tabela1[Country], 0),0))</f>
        <v>1</v>
      </c>
      <c r="E74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74" s="6">
        <f>SUM(INDEX(Tabela1[[Artistic Swimming - Women''s Duet]:[Artistic Swimming - Women''s Team]],MATCH(Table92[[#This Row],[Country]],Tabela1[Country], 0),0))</f>
        <v>0</v>
      </c>
      <c r="G74" s="6">
        <f>SUM(INDEX(Tabela1[[Athletics - Men''s 100m]:[Athletics - Women''s Heptathlon]],MATCH(Table92[[#This Row],[Country]],Tabela1[Country], 0),0))</f>
        <v>0</v>
      </c>
      <c r="H74" s="6">
        <f>SUM(INDEX(Tabela1[[Badminton - Men''s Singles]:[Badminton - Mixed Doubles]],MATCH(Table92[[#This Row],[Country]],Tabela1[Country], 0),0))</f>
        <v>0</v>
      </c>
      <c r="I74" s="6">
        <f>SUM(INDEX(Tabela1[[Basketball - Men''s Tournament]:[Basketball - Women''s Tournament]],MATCH(Table92[[#This Row],[Country]],Tabela1[Country], 0),0))</f>
        <v>0</v>
      </c>
      <c r="J74" s="6">
        <f>SUM(INDEX(Tabela1[[3x3 Basketball - Men''s Tournament]:[3x3 Basketball - Women''s Tournament]],MATCH(Table92[[#This Row],[Country]],Tabela1[Country], 0),0))</f>
        <v>0</v>
      </c>
      <c r="K74" s="6">
        <f>SUM(INDEX(Tabela1[[Beach Volleyball - Men''s Tournament]:[Beach Volleyball - Women''s Tournament]],MATCH(Table92[[#This Row],[Country]],Tabela1[Country], 0),0))</f>
        <v>0</v>
      </c>
      <c r="L74" s="6">
        <f>SUM(INDEX(Tabela1[[Boxing - Men''s 51kg]:[Boxing - Women''s 75kg]],MATCH(Table92[[#This Row],[Country]],Tabela1[Country], 0),0))</f>
        <v>0</v>
      </c>
      <c r="M74" s="6">
        <f>SUM(INDEX(Tabela1[[Breaking - Men''s Individual]:[Breaking - Women''s Individual]],MATCH(Table92[[#This Row],[Country]],Tabela1[Country], 0),0))</f>
        <v>0</v>
      </c>
      <c r="N74" s="6">
        <f>SUM(INDEX(Tabela1[[Canoeing - Men''s C1 Slalom]:[Canoeing - Women''s Kayak Cross Slalom]],MATCH(Table92[[#This Row],[Country]],Tabela1[Country], 0),0))</f>
        <v>0</v>
      </c>
      <c r="O74" s="6">
        <f>SUM(INDEX(Tabela1[[Canoeing - Women''s C1 200m]:[Canoeing - Women''s K4 500m]],MATCH(Table92[[#This Row],[Country]],Tabela1[Country], 0),0))</f>
        <v>0</v>
      </c>
      <c r="P74" s="6">
        <f>SUM(INDEX(Tabela1[[Cycling - Men''s BMX Freestyle]:[Cycling - Women''s BMX Freestyle]],MATCH(Table92[[#This Row],[Country]],Tabela1[Country], 0),0))</f>
        <v>0</v>
      </c>
      <c r="Q74" s="6">
        <f>SUM(INDEX(Tabela1[[Cycling - Men''s BMX Racing]:[Cycling - Women''s BMX Racing]],MATCH(Table92[[#This Row],[Country]],Tabela1[Country], 0),0))</f>
        <v>0</v>
      </c>
      <c r="R74" s="6">
        <f>SUM(INDEX(Tabela1[[Cycling - Men''s Cross-Country]:[Cycling - Women''s Cross-Country]],MATCH(Table92[[#This Row],[Country]],Tabela1[Country], 0),0))</f>
        <v>0</v>
      </c>
      <c r="S74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2</v>
      </c>
      <c r="T74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74" s="6">
        <f>SUM(INDEX(Tabela1[[Diving - Men''s Springboard]:[Diving - Women''s Synchronized Platform]],MATCH(Table92[[#This Row],[Country]],Tabela1[Country], 0),0))</f>
        <v>0</v>
      </c>
      <c r="V74" s="6">
        <f>SUM(INDEX(Tabela1[[Equestrian - Individual Dressage]:[Equestrian - Team Dressage]],MATCH(Table92[[#This Row],[Country]],Tabela1[Country], 0),0))</f>
        <v>0</v>
      </c>
      <c r="W74" s="6">
        <f>SUM(INDEX(Tabela1[[Equestrian - Individual Eventing]:[Equestrian - Team Eventing]],MATCH(Table92[[#This Row],[Country]],Tabela1[Country], 0),0))</f>
        <v>0</v>
      </c>
      <c r="X74" s="6">
        <f>SUM(INDEX(Tabela1[[Equestrian - Individual Jumping]:[Equestrian - Team Jumping]],MATCH(Table92[[#This Row],[Country]],Tabela1[Country], 0),0))</f>
        <v>0</v>
      </c>
      <c r="Y74" s="6">
        <f>SUM(INDEX(Tabela1[[Fencing - Men''s Épée]:[Fencing - Women''s Team Sabre]],MATCH(Table92[[#This Row],[Country]],Tabela1[Country], 0),0))</f>
        <v>0</v>
      </c>
      <c r="Z74" s="6">
        <f>SUM(INDEX(Tabela1[[Field Hockey - Men''s Tournament]:[Field Hockey - Women''s Tournament]],MATCH(Table92[[#This Row],[Country]],Tabela1[Country], 0),0))</f>
        <v>0</v>
      </c>
      <c r="AA74" s="6">
        <f>SUM(INDEX(Tabela1[[Football - Men''s Tournament]:[Football - Women''s Tournament]],MATCH(Table92[[#This Row],[Country]],Tabela1[Country], 0),0))</f>
        <v>0</v>
      </c>
      <c r="AB74" s="6">
        <f>SUM(INDEX(Tabela1[[Golf - Men''s Individual]:[Golf - Women''s Individual]],MATCH(Table92[[#This Row],[Country]],Tabela1[Country], 0),0))</f>
        <v>0</v>
      </c>
      <c r="AC74" s="6">
        <f>SUM(INDEX(Tabela1[[Handball - Men''s Tournament]:[Handball - Women''s Tournament]],MATCH(Table92[[#This Row],[Country]],Tabela1[Country], 0),0))</f>
        <v>0</v>
      </c>
      <c r="AD74" s="6">
        <f>SUM(INDEX(Tabela1[[Judo - Men''s 60kg]:[Judo - Mixed Team]],MATCH(Table92[[#This Row],[Country]],Tabela1[Country], 0),0))</f>
        <v>0</v>
      </c>
      <c r="AE74" s="6">
        <f>SUM(INDEX(Tabela1[[Swimming - Men''s 10km Open Water]:[Swimming - Women''s 10km Open Water]],MATCH(Table92[[#This Row],[Country]],Tabela1[Country], 0),0))</f>
        <v>0</v>
      </c>
      <c r="AF74" s="6">
        <f>SUM(INDEX(Tabela1[[Modern Pentathlon - Men''s Individual]:[Modern Pentathlon - Women''s Individual]],MATCH(Table92[[#This Row],[Country]],Tabela1[Country], 0),0))</f>
        <v>0</v>
      </c>
      <c r="AG74" s="6">
        <f>SUM(INDEX(Tabela1[[Rhythmic Gymnastics - Women''s Individual All-Around]:[Rhythmic Gymnastics - Women''s Group All-Around]],MATCH(Table92[[#This Row],[Country]],Tabela1[Country], 0),0))</f>
        <v>0</v>
      </c>
      <c r="AH74" s="6">
        <f>SUM(INDEX(Tabela1[[Rowing - Men''s Single Sculls]:[Rowing - Women''s Lwt. Double Sculls]],MATCH(Table92[[#This Row],[Country]],Tabela1[Country], 0),0))</f>
        <v>0</v>
      </c>
      <c r="AI74" s="6">
        <f>SUM(INDEX(Tabela1[[Rugby Sevens - Men''s Tournament]:[Rugby Sevens - Women''s Tournament]],MATCH(Table92[[#This Row],[Country]],Tabela1[Country], 0),0))</f>
        <v>0</v>
      </c>
      <c r="AJ74" s="6">
        <f>SUM(INDEX(Tabela1[[Sailing - Mixed 470]:[Sailing - Mixed Nacra 17]],MATCH(Table92[[#This Row],[Country]],Tabela1[Country], 0),0))</f>
        <v>0</v>
      </c>
      <c r="AK74" s="6">
        <f>SUM(INDEX(Tabela1[[Shooting - Men''s 10m Air Pistol]:[Shooting - Women''s Trap]],MATCH(Table92[[#This Row],[Country]],Tabela1[Country], 0),0))</f>
        <v>0</v>
      </c>
      <c r="AL74" s="6">
        <f>SUM(INDEX(Tabela1[[Skateboarding - Men''s Park]:[Skateboarding - Women''s Street]],MATCH(Table92[[#This Row],[Country]],Tabela1[Country], 0),0))</f>
        <v>0</v>
      </c>
      <c r="AM74" s="6">
        <f>SUM(INDEX(Tabela1[[Sport Climbing - Men''s Boulder and Lead]:[Sport Climbing - Women''s Speed]],MATCH(Table92[[#This Row],[Country]],Tabela1[Country], 0),0))</f>
        <v>0</v>
      </c>
      <c r="AN74" s="6">
        <f>SUM(INDEX(Tabela1[[Surfing - Men''s Shortboard]:[Surfing - Women''s Shortboard]],MATCH(Table92[[#This Row],[Country]],Tabela1[Country], 0),0))</f>
        <v>0</v>
      </c>
      <c r="AO74" s="6">
        <f>SUM(INDEX(Tabela1[[Swimming - Men''s 50m Freestyle]:[Swimming - Mixed 4x100m Medley Relay]],MATCH(Table92[[#This Row],[Country]],Tabela1[Country], 0),0))</f>
        <v>0</v>
      </c>
      <c r="AP74" s="6">
        <f>SUM(INDEX(Tabela1[[Table Tennis - Men''s Singles]:[Table Tennis - Mixed Doubles]],MATCH(Table92[[#This Row],[Country]],Tabela1[Country], 0),0))</f>
        <v>2</v>
      </c>
      <c r="AQ74" s="6">
        <f>SUM(INDEX(Tabela1[[Taekwondo - Men''s 58kg]:[Taekwondo - Women''s +67kg]],MATCH(Table92[[#This Row],[Country]],Tabela1[Country], 0),0))</f>
        <v>0</v>
      </c>
      <c r="AR74" s="6">
        <f>SUM(INDEX(Tabela1[[Tennis - Men''s Singles]:[Tennis - Mixed Doubles]],MATCH(Table92[[#This Row],[Country]],Tabela1[Country], 0),0))</f>
        <v>0</v>
      </c>
      <c r="AS74" s="6">
        <f>SUM(INDEX(Tabela1[[Gymnastics - Men''s Trampoline]:[Gymnastics - Women''s Trampoline]],MATCH(Table92[[#This Row],[Country]],Tabela1[Country], 0),0))</f>
        <v>0</v>
      </c>
      <c r="AT74" s="6">
        <f>SUM(INDEX(Tabela1[[Triathlon - Men''s Individual]:[Triathlon - Mixed Relay]],MATCH(Table92[[#This Row],[Country]],Tabela1[Country], 0),0))</f>
        <v>0</v>
      </c>
      <c r="AU74" s="6">
        <f>SUM(INDEX(Tabela1[[Volleyball - Men''s Tournament]:[Volleyball - Women''s Tournament]],MATCH(Table92[[#This Row],[Country]],Tabela1[Country], 0),0))</f>
        <v>0</v>
      </c>
      <c r="AV74" s="6">
        <f>SUM(INDEX(Tabela1[[Water Polo - Men''s Tournament]:[Water Polo - Women''s Tournament]],MATCH(Table92[[#This Row],[Country]],Tabela1[Country], 0),0))</f>
        <v>0</v>
      </c>
      <c r="AW74" s="6">
        <f>SUM(INDEX(Tabela1[[Weightlifting - Men''s 61kg]:[Weightlifting - Women''s +81kg]],MATCH(Table92[[#This Row],[Country]],Tabela1[Country], 0),0))</f>
        <v>0</v>
      </c>
      <c r="AX74" s="6">
        <f>SUM(INDEX(Tabela1[[Wrestling - Men''s Freestyle 57kg]:[Wrestling - Women''s Freestyle 76kg]],MATCH(Table92[[#This Row],[Country]],Tabela1[Country], 0),0))</f>
        <v>0</v>
      </c>
      <c r="AY74" s="6">
        <f>SUM(INDEX(Tabela1[[Alpine Skiing - Men''s Downhill]:[Alpine Skiing - Women''s Team Combined]],MATCH(Table92[[#This Row],[Country]],Tabela1[Country], 0),0))</f>
        <v>2</v>
      </c>
      <c r="AZ74" s="6">
        <f>SUM(INDEX(Tabela1[[Biathlon - Men''s Individual]:[Biathlon - Mixed Relay]],MATCH(Table92[[#This Row],[Country]],Tabela1[Country], 0),0))</f>
        <v>0</v>
      </c>
      <c r="BA74" s="6">
        <f>SUM(INDEX(Tabela1[[Bobsleigh - Women''s Monobob]:[Bobsleigh - Men''s Four]],MATCH(Table92[[#This Row],[Country]],Tabela1[Country], 0),0))</f>
        <v>0</v>
      </c>
      <c r="BB74" s="6">
        <f>SUM(INDEX(Tabela1[[Cross-country skiing - Men''s Classical]:[Cross-country skiing - Women''s Team Sprint]],MATCH(Table92[[#This Row],[Country]],Tabela1[Country], 0),0))</f>
        <v>0</v>
      </c>
      <c r="BC74" s="6">
        <f>SUM(INDEX(Tabela1[[Curling - Men''s Tournament]:[Curling - Mixed Doubles]],MATCH(Table92[[#This Row],[Country]],Tabela1[Country], 0),0))</f>
        <v>0</v>
      </c>
      <c r="BD74" s="6">
        <f>SUM(INDEX(Tabela1[[Figure Skating - Men''s Singles]:[Figure Skating - Team Event]],MATCH(Table92[[#This Row],[Country]],Tabela1[Country], 0),0))</f>
        <v>0</v>
      </c>
      <c r="BE74" s="6">
        <f>SUM(INDEX(Tabela1[[Freestyle Skiing - Men''s Aerials]:[Freestyle Skiing - Women''s Slopestyle]],MATCH(Table92[[#This Row],[Country]],Tabela1[Country], 0),0))</f>
        <v>0</v>
      </c>
      <c r="BF74" s="6">
        <f>SUM(INDEX(Tabela1[[Ice Hockey - Men''s Tournament]:[Ice Hockey - Women''s Tournament]],MATCH(Table92[[#This Row],[Country]],Tabela1[Country], 0),0))</f>
        <v>0</v>
      </c>
      <c r="BG74" s="6">
        <f>SUM(INDEX(Tabela1[[Luge - Men''s Singles]:[Luge - Mixed Team Relay]],MATCH(Table92[[#This Row],[Country]],Tabela1[Country], 0),0))</f>
        <v>0</v>
      </c>
      <c r="BH74" s="6">
        <f>SUM(INDEX(Tabela1[[Nordic Combined - Men''s Individual]:[Nordic Combined - Men''s Team Sprint Large Hill]],MATCH(Table92[[#This Row],[Country]],Tabela1[Country], 0),0))</f>
        <v>0</v>
      </c>
      <c r="BI74" s="6">
        <f>SUM(INDEX(Tabela1[[Short track speed skating - Men''s 500m]:[Short track speed skating - Mixed 2000m Relay]],MATCH(Table92[[#This Row],[Country]],Tabela1[Country], 0),0))</f>
        <v>0</v>
      </c>
      <c r="BJ74" s="6">
        <f>SUM(INDEX(Tabela1[[Skeleton - Men''s Individual]:[Skeleton - Mixed Team]],MATCH(Table92[[#This Row],[Country]],Tabela1[Country], 0),0))</f>
        <v>0</v>
      </c>
      <c r="BK74" s="6">
        <f>SUM(INDEX(Tabela1[[Ski Jumping - Men''s Individual Large Hill]:[Ski Jumping - Mixed Team Normal Hill]],MATCH(Table92[[#This Row],[Country]],Tabela1[Country], 0),0))</f>
        <v>0</v>
      </c>
      <c r="BL74" s="6">
        <f>SUM(INDEX(Tabela1[[Ski Mountaineering - Men''s Sprint]:[Ski Mountaineering - Mixed Relay]],MATCH(Table92[[#This Row],[Country]],Tabela1[Country], 0),0))</f>
        <v>0</v>
      </c>
      <c r="BM74" s="6">
        <f>SUM(INDEX(Tabela1[[Snowboarding - Men''s Big Air]:[Snowboarding - Mixed Team Snowboard Cross]],MATCH(Table92[[#This Row],[Country]],Tabela1[Country], 0),0))</f>
        <v>0</v>
      </c>
      <c r="BN74" s="6">
        <f>SUM(INDEX(Tabela1[[Speed Skating - Men''s 500m]:[Speed Skating - Women''s Team Pursuit]],MATCH(Table92[[#This Row],[Country]],Tabela1[Country], 0),0))</f>
        <v>0</v>
      </c>
      <c r="BO74" s="6" t="str">
        <f>SUBSTITUTE(INDEX(Table92[[#Headers],[Archery Quotas]:[Speed Skating Quotas]], MATCH(MAX(Table92[[#This Row],[Archery Quotas]:[Speed Skating Quotas]]), Table92[[#This Row],[Archery Quotas]:[Speed Skating Quotas]], 0))," Quotas","")</f>
        <v>Cycling Road</v>
      </c>
      <c r="BP74" s="6">
        <f>SUM(Table92[[#This Row],[Summer Sports]:[Winter Sports]])</f>
        <v>4</v>
      </c>
      <c r="BQ74" s="6">
        <f>COUNTIF(Table92[[#This Row],[Archery Quotas]:[Wrestling Quotas]],"&lt;&gt;0")</f>
        <v>3</v>
      </c>
      <c r="BR74" s="6">
        <f>COUNTIF(Table92[[#This Row],[Alpine Skiing Quotas]:[Speed Skating Quotas]],"&lt;&gt;0")</f>
        <v>1</v>
      </c>
      <c r="BS74" s="4" t="s">
        <v>623</v>
      </c>
    </row>
    <row r="75" spans="1:71" x14ac:dyDescent="0.3">
      <c r="A75" s="6" t="s">
        <v>674</v>
      </c>
      <c r="B75" t="e" vm="71">
        <f>IF(ISBLANK(Table92[[#This Row],[Flag Link]]), "", _xlfn.IMAGE(Table92[[#This Row],[Flag Link]],1,1))</f>
        <v>#VALUE!</v>
      </c>
      <c r="C75" s="6">
        <f>SUM(Table92[[#This Row],[Archery Quotas]:[Speed Skating Quotas]])</f>
        <v>7</v>
      </c>
      <c r="D75" s="6">
        <f>SUM(INDEX(Tabela1[[Archery - Men''s Individual Recurve]:[Archery - Mixed Team Recurve]],MATCH(Table92[[#This Row],[Country]],Tabela1[Country], 0),0))</f>
        <v>0</v>
      </c>
      <c r="E75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75" s="6">
        <f>SUM(INDEX(Tabela1[[Artistic Swimming - Women''s Duet]:[Artistic Swimming - Women''s Team]],MATCH(Table92[[#This Row],[Country]],Tabela1[Country], 0),0))</f>
        <v>0</v>
      </c>
      <c r="G75" s="6">
        <f>SUM(INDEX(Tabela1[[Athletics - Men''s 100m]:[Athletics - Women''s Heptathlon]],MATCH(Table92[[#This Row],[Country]],Tabela1[Country], 0),0))</f>
        <v>0</v>
      </c>
      <c r="H75" s="6">
        <f>SUM(INDEX(Tabela1[[Badminton - Men''s Singles]:[Badminton - Mixed Doubles]],MATCH(Table92[[#This Row],[Country]],Tabela1[Country], 0),0))</f>
        <v>0</v>
      </c>
      <c r="I75" s="6">
        <f>SUM(INDEX(Tabela1[[Basketball - Men''s Tournament]:[Basketball - Women''s Tournament]],MATCH(Table92[[#This Row],[Country]],Tabela1[Country], 0),0))</f>
        <v>0</v>
      </c>
      <c r="J75" s="6">
        <f>SUM(INDEX(Tabela1[[3x3 Basketball - Men''s Tournament]:[3x3 Basketball - Women''s Tournament]],MATCH(Table92[[#This Row],[Country]],Tabela1[Country], 0),0))</f>
        <v>0</v>
      </c>
      <c r="K75" s="6">
        <f>SUM(INDEX(Tabela1[[Beach Volleyball - Men''s Tournament]:[Beach Volleyball - Women''s Tournament]],MATCH(Table92[[#This Row],[Country]],Tabela1[Country], 0),0))</f>
        <v>0</v>
      </c>
      <c r="L75" s="6">
        <f>SUM(INDEX(Tabela1[[Boxing - Men''s 51kg]:[Boxing - Women''s 75kg]],MATCH(Table92[[#This Row],[Country]],Tabela1[Country], 0),0))</f>
        <v>0</v>
      </c>
      <c r="M75" s="6">
        <f>SUM(INDEX(Tabela1[[Breaking - Men''s Individual]:[Breaking - Women''s Individual]],MATCH(Table92[[#This Row],[Country]],Tabela1[Country], 0),0))</f>
        <v>0</v>
      </c>
      <c r="N75" s="6">
        <f>SUM(INDEX(Tabela1[[Canoeing - Men''s C1 Slalom]:[Canoeing - Women''s Kayak Cross Slalom]],MATCH(Table92[[#This Row],[Country]],Tabela1[Country], 0),0))</f>
        <v>0</v>
      </c>
      <c r="O75" s="6">
        <f>SUM(INDEX(Tabela1[[Canoeing - Women''s C1 200m]:[Canoeing - Women''s K4 500m]],MATCH(Table92[[#This Row],[Country]],Tabela1[Country], 0),0))</f>
        <v>1</v>
      </c>
      <c r="P75" s="6">
        <f>SUM(INDEX(Tabela1[[Cycling - Men''s BMX Freestyle]:[Cycling - Women''s BMX Freestyle]],MATCH(Table92[[#This Row],[Country]],Tabela1[Country], 0),0))</f>
        <v>0</v>
      </c>
      <c r="Q75" s="6">
        <f>SUM(INDEX(Tabela1[[Cycling - Men''s BMX Racing]:[Cycling - Women''s BMX Racing]],MATCH(Table92[[#This Row],[Country]],Tabela1[Country], 0),0))</f>
        <v>0</v>
      </c>
      <c r="R75" s="6">
        <f>SUM(INDEX(Tabela1[[Cycling - Men''s Cross-Country]:[Cycling - Women''s Cross-Country]],MATCH(Table92[[#This Row],[Country]],Tabela1[Country], 0),0))</f>
        <v>0</v>
      </c>
      <c r="S75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1</v>
      </c>
      <c r="T75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75" s="6">
        <f>SUM(INDEX(Tabela1[[Diving - Men''s Springboard]:[Diving - Women''s Synchronized Platform]],MATCH(Table92[[#This Row],[Country]],Tabela1[Country], 0),0))</f>
        <v>0</v>
      </c>
      <c r="V75" s="6">
        <f>SUM(INDEX(Tabela1[[Equestrian - Individual Dressage]:[Equestrian - Team Dressage]],MATCH(Table92[[#This Row],[Country]],Tabela1[Country], 0),0))</f>
        <v>0</v>
      </c>
      <c r="W75" s="6">
        <f>SUM(INDEX(Tabela1[[Equestrian - Individual Eventing]:[Equestrian - Team Eventing]],MATCH(Table92[[#This Row],[Country]],Tabela1[Country], 0),0))</f>
        <v>0</v>
      </c>
      <c r="X75" s="6">
        <f>SUM(INDEX(Tabela1[[Equestrian - Individual Jumping]:[Equestrian - Team Jumping]],MATCH(Table92[[#This Row],[Country]],Tabela1[Country], 0),0))</f>
        <v>0</v>
      </c>
      <c r="Y75" s="6">
        <f>SUM(INDEX(Tabela1[[Fencing - Men''s Épée]:[Fencing - Women''s Team Sabre]],MATCH(Table92[[#This Row],[Country]],Tabela1[Country], 0),0))</f>
        <v>0</v>
      </c>
      <c r="Z75" s="6">
        <f>SUM(INDEX(Tabela1[[Field Hockey - Men''s Tournament]:[Field Hockey - Women''s Tournament]],MATCH(Table92[[#This Row],[Country]],Tabela1[Country], 0),0))</f>
        <v>0</v>
      </c>
      <c r="AA75" s="6">
        <f>SUM(INDEX(Tabela1[[Football - Men''s Tournament]:[Football - Women''s Tournament]],MATCH(Table92[[#This Row],[Country]],Tabela1[Country], 0),0))</f>
        <v>0</v>
      </c>
      <c r="AB75" s="6">
        <f>SUM(INDEX(Tabela1[[Golf - Men''s Individual]:[Golf - Women''s Individual]],MATCH(Table92[[#This Row],[Country]],Tabela1[Country], 0),0))</f>
        <v>0</v>
      </c>
      <c r="AC75" s="6">
        <f>SUM(INDEX(Tabela1[[Handball - Men''s Tournament]:[Handball - Women''s Tournament]],MATCH(Table92[[#This Row],[Country]],Tabela1[Country], 0),0))</f>
        <v>0</v>
      </c>
      <c r="AD75" s="6">
        <f>SUM(INDEX(Tabela1[[Judo - Men''s 60kg]:[Judo - Mixed Team]],MATCH(Table92[[#This Row],[Country]],Tabela1[Country], 0),0))</f>
        <v>0</v>
      </c>
      <c r="AE75" s="6">
        <f>SUM(INDEX(Tabela1[[Swimming - Men''s 10km Open Water]:[Swimming - Women''s 10km Open Water]],MATCH(Table92[[#This Row],[Country]],Tabela1[Country], 0),0))</f>
        <v>0</v>
      </c>
      <c r="AF75" s="6">
        <f>SUM(INDEX(Tabela1[[Modern Pentathlon - Men''s Individual]:[Modern Pentathlon - Women''s Individual]],MATCH(Table92[[#This Row],[Country]],Tabela1[Country], 0),0))</f>
        <v>0</v>
      </c>
      <c r="AG75" s="6">
        <f>SUM(INDEX(Tabela1[[Rhythmic Gymnastics - Women''s Individual All-Around]:[Rhythmic Gymnastics - Women''s Group All-Around]],MATCH(Table92[[#This Row],[Country]],Tabela1[Country], 0),0))</f>
        <v>0</v>
      </c>
      <c r="AH75" s="6">
        <f>SUM(INDEX(Tabela1[[Rowing - Men''s Single Sculls]:[Rowing - Women''s Lwt. Double Sculls]],MATCH(Table92[[#This Row],[Country]],Tabela1[Country], 0),0))</f>
        <v>0</v>
      </c>
      <c r="AI75" s="6">
        <f>SUM(INDEX(Tabela1[[Rugby Sevens - Men''s Tournament]:[Rugby Sevens - Women''s Tournament]],MATCH(Table92[[#This Row],[Country]],Tabela1[Country], 0),0))</f>
        <v>0</v>
      </c>
      <c r="AJ75" s="6">
        <f>SUM(INDEX(Tabela1[[Sailing - Mixed 470]:[Sailing - Mixed Nacra 17]],MATCH(Table92[[#This Row],[Country]],Tabela1[Country], 0),0))</f>
        <v>0</v>
      </c>
      <c r="AK75" s="6">
        <f>SUM(INDEX(Tabela1[[Shooting - Men''s 10m Air Pistol]:[Shooting - Women''s Trap]],MATCH(Table92[[#This Row],[Country]],Tabela1[Country], 0),0))</f>
        <v>0</v>
      </c>
      <c r="AL75" s="6">
        <f>SUM(INDEX(Tabela1[[Skateboarding - Men''s Park]:[Skateboarding - Women''s Street]],MATCH(Table92[[#This Row],[Country]],Tabela1[Country], 0),0))</f>
        <v>0</v>
      </c>
      <c r="AM75" s="6">
        <f>SUM(INDEX(Tabela1[[Sport Climbing - Men''s Boulder and Lead]:[Sport Climbing - Women''s Speed]],MATCH(Table92[[#This Row],[Country]],Tabela1[Country], 0),0))</f>
        <v>0</v>
      </c>
      <c r="AN75" s="6">
        <f>SUM(INDEX(Tabela1[[Surfing - Men''s Shortboard]:[Surfing - Women''s Shortboard]],MATCH(Table92[[#This Row],[Country]],Tabela1[Country], 0),0))</f>
        <v>0</v>
      </c>
      <c r="AO75" s="6">
        <f>SUM(INDEX(Tabela1[[Swimming - Men''s 50m Freestyle]:[Swimming - Mixed 4x100m Medley Relay]],MATCH(Table92[[#This Row],[Country]],Tabela1[Country], 0),0))</f>
        <v>0</v>
      </c>
      <c r="AP75" s="6">
        <f>SUM(INDEX(Tabela1[[Table Tennis - Men''s Singles]:[Table Tennis - Mixed Doubles]],MATCH(Table92[[#This Row],[Country]],Tabela1[Country], 0),0))</f>
        <v>0</v>
      </c>
      <c r="AQ75" s="6">
        <f>SUM(INDEX(Tabela1[[Taekwondo - Men''s 58kg]:[Taekwondo - Women''s +67kg]],MATCH(Table92[[#This Row],[Country]],Tabela1[Country], 0),0))</f>
        <v>0</v>
      </c>
      <c r="AR75" s="6">
        <f>SUM(INDEX(Tabela1[[Tennis - Men''s Singles]:[Tennis - Mixed Doubles]],MATCH(Table92[[#This Row],[Country]],Tabela1[Country], 0),0))</f>
        <v>3</v>
      </c>
      <c r="AS75" s="6">
        <f>SUM(INDEX(Tabela1[[Gymnastics - Men''s Trampoline]:[Gymnastics - Women''s Trampoline]],MATCH(Table92[[#This Row],[Country]],Tabela1[Country], 0),0))</f>
        <v>0</v>
      </c>
      <c r="AT75" s="6">
        <f>SUM(INDEX(Tabela1[[Triathlon - Men''s Individual]:[Triathlon - Mixed Relay]],MATCH(Table92[[#This Row],[Country]],Tabela1[Country], 0),0))</f>
        <v>0</v>
      </c>
      <c r="AU75" s="6">
        <f>SUM(INDEX(Tabela1[[Volleyball - Men''s Tournament]:[Volleyball - Women''s Tournament]],MATCH(Table92[[#This Row],[Country]],Tabela1[Country], 0),0))</f>
        <v>0</v>
      </c>
      <c r="AV75" s="6">
        <f>SUM(INDEX(Tabela1[[Water Polo - Men''s Tournament]:[Water Polo - Women''s Tournament]],MATCH(Table92[[#This Row],[Country]],Tabela1[Country], 0),0))</f>
        <v>0</v>
      </c>
      <c r="AW75" s="6">
        <f>SUM(INDEX(Tabela1[[Weightlifting - Men''s 61kg]:[Weightlifting - Women''s +81kg]],MATCH(Table92[[#This Row],[Country]],Tabela1[Country], 0),0))</f>
        <v>0</v>
      </c>
      <c r="AX75" s="6">
        <f>SUM(INDEX(Tabela1[[Wrestling - Men''s Freestyle 57kg]:[Wrestling - Women''s Freestyle 76kg]],MATCH(Table92[[#This Row],[Country]],Tabela1[Country], 0),0))</f>
        <v>0</v>
      </c>
      <c r="AY75" s="6">
        <f>SUM(INDEX(Tabela1[[Alpine Skiing - Men''s Downhill]:[Alpine Skiing - Women''s Team Combined]],MATCH(Table92[[#This Row],[Country]],Tabela1[Country], 0),0))</f>
        <v>0</v>
      </c>
      <c r="AZ75" s="6">
        <f>SUM(INDEX(Tabela1[[Biathlon - Men''s Individual]:[Biathlon - Mixed Relay]],MATCH(Table92[[#This Row],[Country]],Tabela1[Country], 0),0))</f>
        <v>0</v>
      </c>
      <c r="BA75" s="6">
        <f>SUM(INDEX(Tabela1[[Bobsleigh - Women''s Monobob]:[Bobsleigh - Men''s Four]],MATCH(Table92[[#This Row],[Country]],Tabela1[Country], 0),0))</f>
        <v>0</v>
      </c>
      <c r="BB75" s="6">
        <f>SUM(INDEX(Tabela1[[Cross-country skiing - Men''s Classical]:[Cross-country skiing - Women''s Team Sprint]],MATCH(Table92[[#This Row],[Country]],Tabela1[Country], 0),0))</f>
        <v>0</v>
      </c>
      <c r="BC75" s="6">
        <f>SUM(INDEX(Tabela1[[Curling - Men''s Tournament]:[Curling - Mixed Doubles]],MATCH(Table92[[#This Row],[Country]],Tabela1[Country], 0),0))</f>
        <v>0</v>
      </c>
      <c r="BD75" s="6">
        <f>SUM(INDEX(Tabela1[[Figure Skating - Men''s Singles]:[Figure Skating - Team Event]],MATCH(Table92[[#This Row],[Country]],Tabela1[Country], 0),0))</f>
        <v>0</v>
      </c>
      <c r="BE75" s="6">
        <f>SUM(INDEX(Tabela1[[Freestyle Skiing - Men''s Aerials]:[Freestyle Skiing - Women''s Slopestyle]],MATCH(Table92[[#This Row],[Country]],Tabela1[Country], 0),0))</f>
        <v>0</v>
      </c>
      <c r="BF75" s="6">
        <f>SUM(INDEX(Tabela1[[Ice Hockey - Men''s Tournament]:[Ice Hockey - Women''s Tournament]],MATCH(Table92[[#This Row],[Country]],Tabela1[Country], 0),0))</f>
        <v>0</v>
      </c>
      <c r="BG75" s="6">
        <f>SUM(INDEX(Tabela1[[Luge - Men''s Singles]:[Luge - Mixed Team Relay]],MATCH(Table92[[#This Row],[Country]],Tabela1[Country], 0),0))</f>
        <v>0</v>
      </c>
      <c r="BH75" s="6">
        <f>SUM(INDEX(Tabela1[[Nordic Combined - Men''s Individual]:[Nordic Combined - Men''s Team Sprint Large Hill]],MATCH(Table92[[#This Row],[Country]],Tabela1[Country], 0),0))</f>
        <v>0</v>
      </c>
      <c r="BI75" s="6">
        <f>SUM(INDEX(Tabela1[[Short track speed skating - Men''s 500m]:[Short track speed skating - Mixed 2000m Relay]],MATCH(Table92[[#This Row],[Country]],Tabela1[Country], 0),0))</f>
        <v>2</v>
      </c>
      <c r="BJ75" s="6">
        <f>SUM(INDEX(Tabela1[[Skeleton - Men''s Individual]:[Skeleton - Mixed Team]],MATCH(Table92[[#This Row],[Country]],Tabela1[Country], 0),0))</f>
        <v>0</v>
      </c>
      <c r="BK75" s="6">
        <f>SUM(INDEX(Tabela1[[Ski Jumping - Men''s Individual Large Hill]:[Ski Jumping - Mixed Team Normal Hill]],MATCH(Table92[[#This Row],[Country]],Tabela1[Country], 0),0))</f>
        <v>0</v>
      </c>
      <c r="BL75" s="6">
        <f>SUM(INDEX(Tabela1[[Ski Mountaineering - Men''s Sprint]:[Ski Mountaineering - Mixed Relay]],MATCH(Table92[[#This Row],[Country]],Tabela1[Country], 0),0))</f>
        <v>0</v>
      </c>
      <c r="BM75" s="6">
        <f>SUM(INDEX(Tabela1[[Snowboarding - Men''s Big Air]:[Snowboarding - Mixed Team Snowboard Cross]],MATCH(Table92[[#This Row],[Country]],Tabela1[Country], 0),0))</f>
        <v>0</v>
      </c>
      <c r="BN75" s="6">
        <f>SUM(INDEX(Tabela1[[Speed Skating - Men''s 500m]:[Speed Skating - Women''s Team Pursuit]],MATCH(Table92[[#This Row],[Country]],Tabela1[Country], 0),0))</f>
        <v>0</v>
      </c>
      <c r="BO75" s="6" t="str">
        <f>SUBSTITUTE(INDEX(Table92[[#Headers],[Archery Quotas]:[Speed Skating Quotas]], MATCH(MAX(Table92[[#This Row],[Archery Quotas]:[Speed Skating Quotas]]), Table92[[#This Row],[Archery Quotas]:[Speed Skating Quotas]], 0))," Quotas","")</f>
        <v>Tennis</v>
      </c>
      <c r="BP75" s="6">
        <f>SUM(Table92[[#This Row],[Summer Sports]:[Winter Sports]])</f>
        <v>4</v>
      </c>
      <c r="BQ75" s="6">
        <f>COUNTIF(Table92[[#This Row],[Archery Quotas]:[Wrestling Quotas]],"&lt;&gt;0")</f>
        <v>3</v>
      </c>
      <c r="BR75" s="6">
        <f>COUNTIF(Table92[[#This Row],[Alpine Skiing Quotas]:[Speed Skating Quotas]],"&lt;&gt;0")</f>
        <v>1</v>
      </c>
      <c r="BS75" s="3" t="s">
        <v>675</v>
      </c>
    </row>
    <row r="76" spans="1:71" x14ac:dyDescent="0.3">
      <c r="A76" s="6" t="s">
        <v>736</v>
      </c>
      <c r="B76" t="e" vm="75">
        <f>IF(ISBLANK(Table92[[#This Row],[Flag Link]]), "", _xlfn.IMAGE(Table92[[#This Row],[Flag Link]],1,1))</f>
        <v>#VALUE!</v>
      </c>
      <c r="C76" s="6">
        <f>SUM(Table92[[#This Row],[Archery Quotas]:[Speed Skating Quotas]])</f>
        <v>7</v>
      </c>
      <c r="D76" s="6">
        <f>SUM(INDEX(Tabela1[[Archery - Men''s Individual Recurve]:[Archery - Mixed Team Recurve]],MATCH(Table92[[#This Row],[Country]],Tabela1[Country], 0),0))</f>
        <v>0</v>
      </c>
      <c r="E76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76" s="6">
        <f>SUM(INDEX(Tabela1[[Artistic Swimming - Women''s Duet]:[Artistic Swimming - Women''s Team]],MATCH(Table92[[#This Row],[Country]],Tabela1[Country], 0),0))</f>
        <v>0</v>
      </c>
      <c r="G76" s="6">
        <f>SUM(INDEX(Tabela1[[Athletics - Men''s 100m]:[Athletics - Women''s Heptathlon]],MATCH(Table92[[#This Row],[Country]],Tabela1[Country], 0),0))</f>
        <v>2</v>
      </c>
      <c r="H76" s="6">
        <f>SUM(INDEX(Tabela1[[Badminton - Men''s Singles]:[Badminton - Mixed Doubles]],MATCH(Table92[[#This Row],[Country]],Tabela1[Country], 0),0))</f>
        <v>0</v>
      </c>
      <c r="I76" s="6">
        <f>SUM(INDEX(Tabela1[[Basketball - Men''s Tournament]:[Basketball - Women''s Tournament]],MATCH(Table92[[#This Row],[Country]],Tabela1[Country], 0),0))</f>
        <v>0</v>
      </c>
      <c r="J76" s="6">
        <f>SUM(INDEX(Tabela1[[3x3 Basketball - Men''s Tournament]:[3x3 Basketball - Women''s Tournament]],MATCH(Table92[[#This Row],[Country]],Tabela1[Country], 0),0))</f>
        <v>0</v>
      </c>
      <c r="K76" s="6">
        <f>SUM(INDEX(Tabela1[[Beach Volleyball - Men''s Tournament]:[Beach Volleyball - Women''s Tournament]],MATCH(Table92[[#This Row],[Country]],Tabela1[Country], 0),0))</f>
        <v>0</v>
      </c>
      <c r="L76" s="6">
        <f>SUM(INDEX(Tabela1[[Boxing - Men''s 51kg]:[Boxing - Women''s 75kg]],MATCH(Table92[[#This Row],[Country]],Tabela1[Country], 0),0))</f>
        <v>2</v>
      </c>
      <c r="M76" s="6">
        <f>SUM(INDEX(Tabela1[[Breaking - Men''s Individual]:[Breaking - Women''s Individual]],MATCH(Table92[[#This Row],[Country]],Tabela1[Country], 0),0))</f>
        <v>0</v>
      </c>
      <c r="N76" s="6">
        <f>SUM(INDEX(Tabela1[[Canoeing - Men''s C1 Slalom]:[Canoeing - Women''s Kayak Cross Slalom]],MATCH(Table92[[#This Row],[Country]],Tabela1[Country], 0),0))</f>
        <v>0</v>
      </c>
      <c r="O76" s="6">
        <f>SUM(INDEX(Tabela1[[Canoeing - Women''s C1 200m]:[Canoeing - Women''s K4 500m]],MATCH(Table92[[#This Row],[Country]],Tabela1[Country], 0),0))</f>
        <v>0</v>
      </c>
      <c r="P76" s="6">
        <f>SUM(INDEX(Tabela1[[Cycling - Men''s BMX Freestyle]:[Cycling - Women''s BMX Freestyle]],MATCH(Table92[[#This Row],[Country]],Tabela1[Country], 0),0))</f>
        <v>0</v>
      </c>
      <c r="Q76" s="6">
        <f>SUM(INDEX(Tabela1[[Cycling - Men''s BMX Racing]:[Cycling - Women''s BMX Racing]],MATCH(Table92[[#This Row],[Country]],Tabela1[Country], 0),0))</f>
        <v>0</v>
      </c>
      <c r="R76" s="6">
        <f>SUM(INDEX(Tabela1[[Cycling - Men''s Cross-Country]:[Cycling - Women''s Cross-Country]],MATCH(Table92[[#This Row],[Country]],Tabela1[Country], 0),0))</f>
        <v>0</v>
      </c>
      <c r="S76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76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76" s="6">
        <f>SUM(INDEX(Tabela1[[Diving - Men''s Springboard]:[Diving - Women''s Synchronized Platform]],MATCH(Table92[[#This Row],[Country]],Tabela1[Country], 0),0))</f>
        <v>0</v>
      </c>
      <c r="V76" s="6">
        <f>SUM(INDEX(Tabela1[[Equestrian - Individual Dressage]:[Equestrian - Team Dressage]],MATCH(Table92[[#This Row],[Country]],Tabela1[Country], 0),0))</f>
        <v>0</v>
      </c>
      <c r="W76" s="6">
        <f>SUM(INDEX(Tabela1[[Equestrian - Individual Eventing]:[Equestrian - Team Eventing]],MATCH(Table92[[#This Row],[Country]],Tabela1[Country], 0),0))</f>
        <v>0</v>
      </c>
      <c r="X76" s="6">
        <f>SUM(INDEX(Tabela1[[Equestrian - Individual Jumping]:[Equestrian - Team Jumping]],MATCH(Table92[[#This Row],[Country]],Tabela1[Country], 0),0))</f>
        <v>0</v>
      </c>
      <c r="Y76" s="6">
        <f>SUM(INDEX(Tabela1[[Fencing - Men''s Épée]:[Fencing - Women''s Team Sabre]],MATCH(Table92[[#This Row],[Country]],Tabela1[Country], 0),0))</f>
        <v>0</v>
      </c>
      <c r="Z76" s="6">
        <f>SUM(INDEX(Tabela1[[Field Hockey - Men''s Tournament]:[Field Hockey - Women''s Tournament]],MATCH(Table92[[#This Row],[Country]],Tabela1[Country], 0),0))</f>
        <v>0</v>
      </c>
      <c r="AA76" s="6">
        <f>SUM(INDEX(Tabela1[[Football - Men''s Tournament]:[Football - Women''s Tournament]],MATCH(Table92[[#This Row],[Country]],Tabela1[Country], 0),0))</f>
        <v>1</v>
      </c>
      <c r="AB76" s="6">
        <f>SUM(INDEX(Tabela1[[Golf - Men''s Individual]:[Golf - Women''s Individual]],MATCH(Table92[[#This Row],[Country]],Tabela1[Country], 0),0))</f>
        <v>0</v>
      </c>
      <c r="AC76" s="6">
        <f>SUM(INDEX(Tabela1[[Handball - Men''s Tournament]:[Handball - Women''s Tournament]],MATCH(Table92[[#This Row],[Country]],Tabela1[Country], 0),0))</f>
        <v>0</v>
      </c>
      <c r="AD76" s="6">
        <f>SUM(INDEX(Tabela1[[Judo - Men''s 60kg]:[Judo - Mixed Team]],MATCH(Table92[[#This Row],[Country]],Tabela1[Country], 0),0))</f>
        <v>1</v>
      </c>
      <c r="AE76" s="6">
        <f>SUM(INDEX(Tabela1[[Swimming - Men''s 10km Open Water]:[Swimming - Women''s 10km Open Water]],MATCH(Table92[[#This Row],[Country]],Tabela1[Country], 0),0))</f>
        <v>0</v>
      </c>
      <c r="AF76" s="6">
        <f>SUM(INDEX(Tabela1[[Modern Pentathlon - Men''s Individual]:[Modern Pentathlon - Women''s Individual]],MATCH(Table92[[#This Row],[Country]],Tabela1[Country], 0),0))</f>
        <v>0</v>
      </c>
      <c r="AG76" s="6">
        <f>SUM(INDEX(Tabela1[[Rhythmic Gymnastics - Women''s Individual All-Around]:[Rhythmic Gymnastics - Women''s Group All-Around]],MATCH(Table92[[#This Row],[Country]],Tabela1[Country], 0),0))</f>
        <v>0</v>
      </c>
      <c r="AH76" s="6">
        <f>SUM(INDEX(Tabela1[[Rowing - Men''s Single Sculls]:[Rowing - Women''s Lwt. Double Sculls]],MATCH(Table92[[#This Row],[Country]],Tabela1[Country], 0),0))</f>
        <v>0</v>
      </c>
      <c r="AI76" s="6">
        <f>SUM(INDEX(Tabela1[[Rugby Sevens - Men''s Tournament]:[Rugby Sevens - Women''s Tournament]],MATCH(Table92[[#This Row],[Country]],Tabela1[Country], 0),0))</f>
        <v>0</v>
      </c>
      <c r="AJ76" s="6">
        <f>SUM(INDEX(Tabela1[[Sailing - Mixed 470]:[Sailing - Mixed Nacra 17]],MATCH(Table92[[#This Row],[Country]],Tabela1[Country], 0),0))</f>
        <v>0</v>
      </c>
      <c r="AK76" s="6">
        <f>SUM(INDEX(Tabela1[[Shooting - Men''s 10m Air Pistol]:[Shooting - Women''s Trap]],MATCH(Table92[[#This Row],[Country]],Tabela1[Country], 0),0))</f>
        <v>0</v>
      </c>
      <c r="AL76" s="6">
        <f>SUM(INDEX(Tabela1[[Skateboarding - Men''s Park]:[Skateboarding - Women''s Street]],MATCH(Table92[[#This Row],[Country]],Tabela1[Country], 0),0))</f>
        <v>0</v>
      </c>
      <c r="AM76" s="6">
        <f>SUM(INDEX(Tabela1[[Sport Climbing - Men''s Boulder and Lead]:[Sport Climbing - Women''s Speed]],MATCH(Table92[[#This Row],[Country]],Tabela1[Country], 0),0))</f>
        <v>0</v>
      </c>
      <c r="AN76" s="6">
        <f>SUM(INDEX(Tabela1[[Surfing - Men''s Shortboard]:[Surfing - Women''s Shortboard]],MATCH(Table92[[#This Row],[Country]],Tabela1[Country], 0),0))</f>
        <v>0</v>
      </c>
      <c r="AO76" s="6">
        <f>SUM(INDEX(Tabela1[[Swimming - Men''s 50m Freestyle]:[Swimming - Mixed 4x100m Medley Relay]],MATCH(Table92[[#This Row],[Country]],Tabela1[Country], 0),0))</f>
        <v>1</v>
      </c>
      <c r="AP76" s="6">
        <f>SUM(INDEX(Tabela1[[Table Tennis - Men''s Singles]:[Table Tennis - Mixed Doubles]],MATCH(Table92[[#This Row],[Country]],Tabela1[Country], 0),0))</f>
        <v>0</v>
      </c>
      <c r="AQ76" s="6">
        <f>SUM(INDEX(Tabela1[[Taekwondo - Men''s 58kg]:[Taekwondo - Women''s +67kg]],MATCH(Table92[[#This Row],[Country]],Tabela1[Country], 0),0))</f>
        <v>0</v>
      </c>
      <c r="AR76" s="6">
        <f>SUM(INDEX(Tabela1[[Tennis - Men''s Singles]:[Tennis - Mixed Doubles]],MATCH(Table92[[#This Row],[Country]],Tabela1[Country], 0),0))</f>
        <v>0</v>
      </c>
      <c r="AS76" s="6">
        <f>SUM(INDEX(Tabela1[[Gymnastics - Men''s Trampoline]:[Gymnastics - Women''s Trampoline]],MATCH(Table92[[#This Row],[Country]],Tabela1[Country], 0),0))</f>
        <v>0</v>
      </c>
      <c r="AT76" s="6">
        <f>SUM(INDEX(Tabela1[[Triathlon - Men''s Individual]:[Triathlon - Mixed Relay]],MATCH(Table92[[#This Row],[Country]],Tabela1[Country], 0),0))</f>
        <v>0</v>
      </c>
      <c r="AU76" s="6">
        <f>SUM(INDEX(Tabela1[[Volleyball - Men''s Tournament]:[Volleyball - Women''s Tournament]],MATCH(Table92[[#This Row],[Country]],Tabela1[Country], 0),0))</f>
        <v>0</v>
      </c>
      <c r="AV76" s="6">
        <f>SUM(INDEX(Tabela1[[Water Polo - Men''s Tournament]:[Water Polo - Women''s Tournament]],MATCH(Table92[[#This Row],[Country]],Tabela1[Country], 0),0))</f>
        <v>0</v>
      </c>
      <c r="AW76" s="6">
        <f>SUM(INDEX(Tabela1[[Weightlifting - Men''s 61kg]:[Weightlifting - Women''s +81kg]],MATCH(Table92[[#This Row],[Country]],Tabela1[Country], 0),0))</f>
        <v>0</v>
      </c>
      <c r="AX76" s="6">
        <f>SUM(INDEX(Tabela1[[Wrestling - Men''s Freestyle 57kg]:[Wrestling - Women''s Freestyle 76kg]],MATCH(Table92[[#This Row],[Country]],Tabela1[Country], 0),0))</f>
        <v>0</v>
      </c>
      <c r="AY76" s="6">
        <f>SUM(INDEX(Tabela1[[Alpine Skiing - Men''s Downhill]:[Alpine Skiing - Women''s Team Combined]],MATCH(Table92[[#This Row],[Country]],Tabela1[Country], 0),0))</f>
        <v>0</v>
      </c>
      <c r="AZ76" s="6">
        <f>SUM(INDEX(Tabela1[[Biathlon - Men''s Individual]:[Biathlon - Mixed Relay]],MATCH(Table92[[#This Row],[Country]],Tabela1[Country], 0),0))</f>
        <v>0</v>
      </c>
      <c r="BA76" s="6">
        <f>SUM(INDEX(Tabela1[[Bobsleigh - Women''s Monobob]:[Bobsleigh - Men''s Four]],MATCH(Table92[[#This Row],[Country]],Tabela1[Country], 0),0))</f>
        <v>0</v>
      </c>
      <c r="BB76" s="6">
        <f>SUM(INDEX(Tabela1[[Cross-country skiing - Men''s Classical]:[Cross-country skiing - Women''s Team Sprint]],MATCH(Table92[[#This Row],[Country]],Tabela1[Country], 0),0))</f>
        <v>0</v>
      </c>
      <c r="BC76" s="6">
        <f>SUM(INDEX(Tabela1[[Curling - Men''s Tournament]:[Curling - Mixed Doubles]],MATCH(Table92[[#This Row],[Country]],Tabela1[Country], 0),0))</f>
        <v>0</v>
      </c>
      <c r="BD76" s="6">
        <f>SUM(INDEX(Tabela1[[Figure Skating - Men''s Singles]:[Figure Skating - Team Event]],MATCH(Table92[[#This Row],[Country]],Tabela1[Country], 0),0))</f>
        <v>0</v>
      </c>
      <c r="BE76" s="6">
        <f>SUM(INDEX(Tabela1[[Freestyle Skiing - Men''s Aerials]:[Freestyle Skiing - Women''s Slopestyle]],MATCH(Table92[[#This Row],[Country]],Tabela1[Country], 0),0))</f>
        <v>0</v>
      </c>
      <c r="BF76" s="6">
        <f>SUM(INDEX(Tabela1[[Ice Hockey - Men''s Tournament]:[Ice Hockey - Women''s Tournament]],MATCH(Table92[[#This Row],[Country]],Tabela1[Country], 0),0))</f>
        <v>0</v>
      </c>
      <c r="BG76" s="6">
        <f>SUM(INDEX(Tabela1[[Luge - Men''s Singles]:[Luge - Mixed Team Relay]],MATCH(Table92[[#This Row],[Country]],Tabela1[Country], 0),0))</f>
        <v>0</v>
      </c>
      <c r="BH76" s="6">
        <f>SUM(INDEX(Tabela1[[Nordic Combined - Men''s Individual]:[Nordic Combined - Men''s Team Sprint Large Hill]],MATCH(Table92[[#This Row],[Country]],Tabela1[Country], 0),0))</f>
        <v>0</v>
      </c>
      <c r="BI76" s="6">
        <f>SUM(INDEX(Tabela1[[Short track speed skating - Men''s 500m]:[Short track speed skating - Mixed 2000m Relay]],MATCH(Table92[[#This Row],[Country]],Tabela1[Country], 0),0))</f>
        <v>0</v>
      </c>
      <c r="BJ76" s="6">
        <f>SUM(INDEX(Tabela1[[Skeleton - Men''s Individual]:[Skeleton - Mixed Team]],MATCH(Table92[[#This Row],[Country]],Tabela1[Country], 0),0))</f>
        <v>0</v>
      </c>
      <c r="BK76" s="6">
        <f>SUM(INDEX(Tabela1[[Ski Jumping - Men''s Individual Large Hill]:[Ski Jumping - Mixed Team Normal Hill]],MATCH(Table92[[#This Row],[Country]],Tabela1[Country], 0),0))</f>
        <v>0</v>
      </c>
      <c r="BL76" s="6">
        <f>SUM(INDEX(Tabela1[[Ski Mountaineering - Men''s Sprint]:[Ski Mountaineering - Mixed Relay]],MATCH(Table92[[#This Row],[Country]],Tabela1[Country], 0),0))</f>
        <v>0</v>
      </c>
      <c r="BM76" s="6">
        <f>SUM(INDEX(Tabela1[[Snowboarding - Men''s Big Air]:[Snowboarding - Mixed Team Snowboard Cross]],MATCH(Table92[[#This Row],[Country]],Tabela1[Country], 0),0))</f>
        <v>0</v>
      </c>
      <c r="BN76" s="6">
        <f>SUM(INDEX(Tabela1[[Speed Skating - Men''s 500m]:[Speed Skating - Women''s Team Pursuit]],MATCH(Table92[[#This Row],[Country]],Tabela1[Country], 0),0))</f>
        <v>0</v>
      </c>
      <c r="BO76" s="6" t="str">
        <f>SUBSTITUTE(INDEX(Table92[[#Headers],[Archery Quotas]:[Speed Skating Quotas]], MATCH(MAX(Table92[[#This Row],[Archery Quotas]:[Speed Skating Quotas]]), Table92[[#This Row],[Archery Quotas]:[Speed Skating Quotas]], 0))," Quotas","")</f>
        <v>Athletics</v>
      </c>
      <c r="BP76" s="6">
        <f>SUM(Table92[[#This Row],[Summer Sports]:[Winter Sports]])</f>
        <v>5</v>
      </c>
      <c r="BQ76" s="6">
        <f>COUNTIF(Table92[[#This Row],[Archery Quotas]:[Wrestling Quotas]],"&lt;&gt;0")</f>
        <v>5</v>
      </c>
      <c r="BR76" s="6">
        <f>COUNTIF(Table92[[#This Row],[Alpine Skiing Quotas]:[Speed Skating Quotas]],"&lt;&gt;0")</f>
        <v>0</v>
      </c>
      <c r="BS76" s="4" t="s">
        <v>737</v>
      </c>
    </row>
    <row r="77" spans="1:71" x14ac:dyDescent="0.3">
      <c r="A77" s="6" t="s">
        <v>558</v>
      </c>
      <c r="B77" t="e" vm="77">
        <f>IF(ISBLANK(Table92[[#This Row],[Flag Link]]), "", _xlfn.IMAGE(Table92[[#This Row],[Flag Link]],1,1))</f>
        <v>#VALUE!</v>
      </c>
      <c r="C77" s="6">
        <f>SUM(Table92[[#This Row],[Archery Quotas]:[Speed Skating Quotas]])</f>
        <v>6</v>
      </c>
      <c r="D77" s="6">
        <f>SUM(INDEX(Tabela1[[Archery - Men''s Individual Recurve]:[Archery - Mixed Team Recurve]],MATCH(Table92[[#This Row],[Country]],Tabela1[Country], 0),0))</f>
        <v>0</v>
      </c>
      <c r="E77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77" s="6">
        <f>SUM(INDEX(Tabela1[[Artistic Swimming - Women''s Duet]:[Artistic Swimming - Women''s Team]],MATCH(Table92[[#This Row],[Country]],Tabela1[Country], 0),0))</f>
        <v>0</v>
      </c>
      <c r="G77" s="6">
        <f>SUM(INDEX(Tabela1[[Athletics - Men''s 100m]:[Athletics - Women''s Heptathlon]],MATCH(Table92[[#This Row],[Country]],Tabela1[Country], 0),0))</f>
        <v>1</v>
      </c>
      <c r="H77" s="6">
        <f>SUM(INDEX(Tabela1[[Badminton - Men''s Singles]:[Badminton - Mixed Doubles]],MATCH(Table92[[#This Row],[Country]],Tabela1[Country], 0),0))</f>
        <v>0</v>
      </c>
      <c r="I77" s="6">
        <f>SUM(INDEX(Tabela1[[Basketball - Men''s Tournament]:[Basketball - Women''s Tournament]],MATCH(Table92[[#This Row],[Country]],Tabela1[Country], 0),0))</f>
        <v>0</v>
      </c>
      <c r="J77" s="6">
        <f>SUM(INDEX(Tabela1[[3x3 Basketball - Men''s Tournament]:[3x3 Basketball - Women''s Tournament]],MATCH(Table92[[#This Row],[Country]],Tabela1[Country], 0),0))</f>
        <v>0</v>
      </c>
      <c r="K77" s="6">
        <f>SUM(INDEX(Tabela1[[Beach Volleyball - Men''s Tournament]:[Beach Volleyball - Women''s Tournament]],MATCH(Table92[[#This Row],[Country]],Tabela1[Country], 0),0))</f>
        <v>0</v>
      </c>
      <c r="L77" s="6">
        <f>SUM(INDEX(Tabela1[[Boxing - Men''s 51kg]:[Boxing - Women''s 75kg]],MATCH(Table92[[#This Row],[Country]],Tabela1[Country], 0),0))</f>
        <v>0</v>
      </c>
      <c r="M77" s="6">
        <f>SUM(INDEX(Tabela1[[Breaking - Men''s Individual]:[Breaking - Women''s Individual]],MATCH(Table92[[#This Row],[Country]],Tabela1[Country], 0),0))</f>
        <v>0</v>
      </c>
      <c r="N77" s="6">
        <f>SUM(INDEX(Tabela1[[Canoeing - Men''s C1 Slalom]:[Canoeing - Women''s Kayak Cross Slalom]],MATCH(Table92[[#This Row],[Country]],Tabela1[Country], 0),0))</f>
        <v>0</v>
      </c>
      <c r="O77" s="6">
        <f>SUM(INDEX(Tabela1[[Canoeing - Women''s C1 200m]:[Canoeing - Women''s K4 500m]],MATCH(Table92[[#This Row],[Country]],Tabela1[Country], 0),0))</f>
        <v>0</v>
      </c>
      <c r="P77" s="6">
        <f>SUM(INDEX(Tabela1[[Cycling - Men''s BMX Freestyle]:[Cycling - Women''s BMX Freestyle]],MATCH(Table92[[#This Row],[Country]],Tabela1[Country], 0),0))</f>
        <v>0</v>
      </c>
      <c r="Q77" s="6">
        <f>SUM(INDEX(Tabela1[[Cycling - Men''s BMX Racing]:[Cycling - Women''s BMX Racing]],MATCH(Table92[[#This Row],[Country]],Tabela1[Country], 0),0))</f>
        <v>0</v>
      </c>
      <c r="R77" s="6">
        <f>SUM(INDEX(Tabela1[[Cycling - Men''s Cross-Country]:[Cycling - Women''s Cross-Country]],MATCH(Table92[[#This Row],[Country]],Tabela1[Country], 0),0))</f>
        <v>0</v>
      </c>
      <c r="S77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1</v>
      </c>
      <c r="T77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77" s="6">
        <f>SUM(INDEX(Tabela1[[Diving - Men''s Springboard]:[Diving - Women''s Synchronized Platform]],MATCH(Table92[[#This Row],[Country]],Tabela1[Country], 0),0))</f>
        <v>0</v>
      </c>
      <c r="V77" s="6">
        <f>SUM(INDEX(Tabela1[[Equestrian - Individual Dressage]:[Equestrian - Team Dressage]],MATCH(Table92[[#This Row],[Country]],Tabela1[Country], 0),0))</f>
        <v>0</v>
      </c>
      <c r="W77" s="6">
        <f>SUM(INDEX(Tabela1[[Equestrian - Individual Eventing]:[Equestrian - Team Eventing]],MATCH(Table92[[#This Row],[Country]],Tabela1[Country], 0),0))</f>
        <v>0</v>
      </c>
      <c r="X77" s="6">
        <f>SUM(INDEX(Tabela1[[Equestrian - Individual Jumping]:[Equestrian - Team Jumping]],MATCH(Table92[[#This Row],[Country]],Tabela1[Country], 0),0))</f>
        <v>0</v>
      </c>
      <c r="Y77" s="6">
        <f>SUM(INDEX(Tabela1[[Fencing - Men''s Épée]:[Fencing - Women''s Team Sabre]],MATCH(Table92[[#This Row],[Country]],Tabela1[Country], 0),0))</f>
        <v>0</v>
      </c>
      <c r="Z77" s="6">
        <f>SUM(INDEX(Tabela1[[Field Hockey - Men''s Tournament]:[Field Hockey - Women''s Tournament]],MATCH(Table92[[#This Row],[Country]],Tabela1[Country], 0),0))</f>
        <v>0</v>
      </c>
      <c r="AA77" s="6">
        <f>SUM(INDEX(Tabela1[[Football - Men''s Tournament]:[Football - Women''s Tournament]],MATCH(Table92[[#This Row],[Country]],Tabela1[Country], 0),0))</f>
        <v>0</v>
      </c>
      <c r="AB77" s="6">
        <f>SUM(INDEX(Tabela1[[Golf - Men''s Individual]:[Golf - Women''s Individual]],MATCH(Table92[[#This Row],[Country]],Tabela1[Country], 0),0))</f>
        <v>0</v>
      </c>
      <c r="AC77" s="6">
        <f>SUM(INDEX(Tabela1[[Handball - Men''s Tournament]:[Handball - Women''s Tournament]],MATCH(Table92[[#This Row],[Country]],Tabela1[Country], 0),0))</f>
        <v>0</v>
      </c>
      <c r="AD77" s="6">
        <f>SUM(INDEX(Tabela1[[Judo - Men''s 60kg]:[Judo - Mixed Team]],MATCH(Table92[[#This Row],[Country]],Tabela1[Country], 0),0))</f>
        <v>1</v>
      </c>
      <c r="AE77" s="6">
        <f>SUM(INDEX(Tabela1[[Swimming - Men''s 10km Open Water]:[Swimming - Women''s 10km Open Water]],MATCH(Table92[[#This Row],[Country]],Tabela1[Country], 0),0))</f>
        <v>0</v>
      </c>
      <c r="AF77" s="6">
        <f>SUM(INDEX(Tabela1[[Modern Pentathlon - Men''s Individual]:[Modern Pentathlon - Women''s Individual]],MATCH(Table92[[#This Row],[Country]],Tabela1[Country], 0),0))</f>
        <v>0</v>
      </c>
      <c r="AG77" s="6">
        <f>SUM(INDEX(Tabela1[[Rhythmic Gymnastics - Women''s Individual All-Around]:[Rhythmic Gymnastics - Women''s Group All-Around]],MATCH(Table92[[#This Row],[Country]],Tabela1[Country], 0),0))</f>
        <v>0</v>
      </c>
      <c r="AH77" s="6">
        <f>SUM(INDEX(Tabela1[[Rowing - Men''s Single Sculls]:[Rowing - Women''s Lwt. Double Sculls]],MATCH(Table92[[#This Row],[Country]],Tabela1[Country], 0),0))</f>
        <v>0</v>
      </c>
      <c r="AI77" s="6">
        <f>SUM(INDEX(Tabela1[[Rugby Sevens - Men''s Tournament]:[Rugby Sevens - Women''s Tournament]],MATCH(Table92[[#This Row],[Country]],Tabela1[Country], 0),0))</f>
        <v>0</v>
      </c>
      <c r="AJ77" s="6">
        <f>SUM(INDEX(Tabela1[[Sailing - Mixed 470]:[Sailing - Mixed Nacra 17]],MATCH(Table92[[#This Row],[Country]],Tabela1[Country], 0),0))</f>
        <v>0</v>
      </c>
      <c r="AK77" s="6">
        <f>SUM(INDEX(Tabela1[[Shooting - Men''s 10m Air Pistol]:[Shooting - Women''s Trap]],MATCH(Table92[[#This Row],[Country]],Tabela1[Country], 0),0))</f>
        <v>0</v>
      </c>
      <c r="AL77" s="6">
        <f>SUM(INDEX(Tabela1[[Skateboarding - Men''s Park]:[Skateboarding - Women''s Street]],MATCH(Table92[[#This Row],[Country]],Tabela1[Country], 0),0))</f>
        <v>0</v>
      </c>
      <c r="AM77" s="6">
        <f>SUM(INDEX(Tabela1[[Sport Climbing - Men''s Boulder and Lead]:[Sport Climbing - Women''s Speed]],MATCH(Table92[[#This Row],[Country]],Tabela1[Country], 0),0))</f>
        <v>0</v>
      </c>
      <c r="AN77" s="6">
        <f>SUM(INDEX(Tabela1[[Surfing - Men''s Shortboard]:[Surfing - Women''s Shortboard]],MATCH(Table92[[#This Row],[Country]],Tabela1[Country], 0),0))</f>
        <v>1</v>
      </c>
      <c r="AO77" s="6">
        <f>SUM(INDEX(Tabela1[[Swimming - Men''s 50m Freestyle]:[Swimming - Mixed 4x100m Medley Relay]],MATCH(Table92[[#This Row],[Country]],Tabela1[Country], 0),0))</f>
        <v>2</v>
      </c>
      <c r="AP77" s="6">
        <f>SUM(INDEX(Tabela1[[Table Tennis - Men''s Singles]:[Table Tennis - Mixed Doubles]],MATCH(Table92[[#This Row],[Country]],Tabela1[Country], 0),0))</f>
        <v>0</v>
      </c>
      <c r="AQ77" s="6">
        <f>SUM(INDEX(Tabela1[[Taekwondo - Men''s 58kg]:[Taekwondo - Women''s +67kg]],MATCH(Table92[[#This Row],[Country]],Tabela1[Country], 0),0))</f>
        <v>0</v>
      </c>
      <c r="AR77" s="6">
        <f>SUM(INDEX(Tabela1[[Tennis - Men''s Singles]:[Tennis - Mixed Doubles]],MATCH(Table92[[#This Row],[Country]],Tabela1[Country], 0),0))</f>
        <v>0</v>
      </c>
      <c r="AS77" s="6">
        <f>SUM(INDEX(Tabela1[[Gymnastics - Men''s Trampoline]:[Gymnastics - Women''s Trampoline]],MATCH(Table92[[#This Row],[Country]],Tabela1[Country], 0),0))</f>
        <v>0</v>
      </c>
      <c r="AT77" s="6">
        <f>SUM(INDEX(Tabela1[[Triathlon - Men''s Individual]:[Triathlon - Mixed Relay]],MATCH(Table92[[#This Row],[Country]],Tabela1[Country], 0),0))</f>
        <v>0</v>
      </c>
      <c r="AU77" s="6">
        <f>SUM(INDEX(Tabela1[[Volleyball - Men''s Tournament]:[Volleyball - Women''s Tournament]],MATCH(Table92[[#This Row],[Country]],Tabela1[Country], 0),0))</f>
        <v>0</v>
      </c>
      <c r="AV77" s="6">
        <f>SUM(INDEX(Tabela1[[Water Polo - Men''s Tournament]:[Water Polo - Women''s Tournament]],MATCH(Table92[[#This Row],[Country]],Tabela1[Country], 0),0))</f>
        <v>0</v>
      </c>
      <c r="AW77" s="6">
        <f>SUM(INDEX(Tabela1[[Weightlifting - Men''s 61kg]:[Weightlifting - Women''s +81kg]],MATCH(Table92[[#This Row],[Country]],Tabela1[Country], 0),0))</f>
        <v>0</v>
      </c>
      <c r="AX77" s="6">
        <f>SUM(INDEX(Tabela1[[Wrestling - Men''s Freestyle 57kg]:[Wrestling - Women''s Freestyle 76kg]],MATCH(Table92[[#This Row],[Country]],Tabela1[Country], 0),0))</f>
        <v>0</v>
      </c>
      <c r="AY77" s="6">
        <f>SUM(INDEX(Tabela1[[Alpine Skiing - Men''s Downhill]:[Alpine Skiing - Women''s Team Combined]],MATCH(Table92[[#This Row],[Country]],Tabela1[Country], 0),0))</f>
        <v>0</v>
      </c>
      <c r="AZ77" s="6">
        <f>SUM(INDEX(Tabela1[[Biathlon - Men''s Individual]:[Biathlon - Mixed Relay]],MATCH(Table92[[#This Row],[Country]],Tabela1[Country], 0),0))</f>
        <v>0</v>
      </c>
      <c r="BA77" s="6">
        <f>SUM(INDEX(Tabela1[[Bobsleigh - Women''s Monobob]:[Bobsleigh - Men''s Four]],MATCH(Table92[[#This Row],[Country]],Tabela1[Country], 0),0))</f>
        <v>0</v>
      </c>
      <c r="BB77" s="6">
        <f>SUM(INDEX(Tabela1[[Cross-country skiing - Men''s Classical]:[Cross-country skiing - Women''s Team Sprint]],MATCH(Table92[[#This Row],[Country]],Tabela1[Country], 0),0))</f>
        <v>0</v>
      </c>
      <c r="BC77" s="6">
        <f>SUM(INDEX(Tabela1[[Curling - Men''s Tournament]:[Curling - Mixed Doubles]],MATCH(Table92[[#This Row],[Country]],Tabela1[Country], 0),0))</f>
        <v>0</v>
      </c>
      <c r="BD77" s="6">
        <f>SUM(INDEX(Tabela1[[Figure Skating - Men''s Singles]:[Figure Skating - Team Event]],MATCH(Table92[[#This Row],[Country]],Tabela1[Country], 0),0))</f>
        <v>0</v>
      </c>
      <c r="BE77" s="6">
        <f>SUM(INDEX(Tabela1[[Freestyle Skiing - Men''s Aerials]:[Freestyle Skiing - Women''s Slopestyle]],MATCH(Table92[[#This Row],[Country]],Tabela1[Country], 0),0))</f>
        <v>0</v>
      </c>
      <c r="BF77" s="6">
        <f>SUM(INDEX(Tabela1[[Ice Hockey - Men''s Tournament]:[Ice Hockey - Women''s Tournament]],MATCH(Table92[[#This Row],[Country]],Tabela1[Country], 0),0))</f>
        <v>0</v>
      </c>
      <c r="BG77" s="6">
        <f>SUM(INDEX(Tabela1[[Luge - Men''s Singles]:[Luge - Mixed Team Relay]],MATCH(Table92[[#This Row],[Country]],Tabela1[Country], 0),0))</f>
        <v>0</v>
      </c>
      <c r="BH77" s="6">
        <f>SUM(INDEX(Tabela1[[Nordic Combined - Men''s Individual]:[Nordic Combined - Men''s Team Sprint Large Hill]],MATCH(Table92[[#This Row],[Country]],Tabela1[Country], 0),0))</f>
        <v>0</v>
      </c>
      <c r="BI77" s="6">
        <f>SUM(INDEX(Tabela1[[Short track speed skating - Men''s 500m]:[Short track speed skating - Mixed 2000m Relay]],MATCH(Table92[[#This Row],[Country]],Tabela1[Country], 0),0))</f>
        <v>0</v>
      </c>
      <c r="BJ77" s="6">
        <f>SUM(INDEX(Tabela1[[Skeleton - Men''s Individual]:[Skeleton - Mixed Team]],MATCH(Table92[[#This Row],[Country]],Tabela1[Country], 0),0))</f>
        <v>0</v>
      </c>
      <c r="BK77" s="6">
        <f>SUM(INDEX(Tabela1[[Ski Jumping - Men''s Individual Large Hill]:[Ski Jumping - Mixed Team Normal Hill]],MATCH(Table92[[#This Row],[Country]],Tabela1[Country], 0),0))</f>
        <v>0</v>
      </c>
      <c r="BL77" s="6">
        <f>SUM(INDEX(Tabela1[[Ski Mountaineering - Men''s Sprint]:[Ski Mountaineering - Mixed Relay]],MATCH(Table92[[#This Row],[Country]],Tabela1[Country], 0),0))</f>
        <v>0</v>
      </c>
      <c r="BM77" s="6">
        <f>SUM(INDEX(Tabela1[[Snowboarding - Men''s Big Air]:[Snowboarding - Mixed Team Snowboard Cross]],MATCH(Table92[[#This Row],[Country]],Tabela1[Country], 0),0))</f>
        <v>0</v>
      </c>
      <c r="BN77" s="6">
        <f>SUM(INDEX(Tabela1[[Speed Skating - Men''s 500m]:[Speed Skating - Women''s Team Pursuit]],MATCH(Table92[[#This Row],[Country]],Tabela1[Country], 0),0))</f>
        <v>0</v>
      </c>
      <c r="BO77" s="6" t="str">
        <f>SUBSTITUTE(INDEX(Table92[[#Headers],[Archery Quotas]:[Speed Skating Quotas]], MATCH(MAX(Table92[[#This Row],[Archery Quotas]:[Speed Skating Quotas]]), Table92[[#This Row],[Archery Quotas]:[Speed Skating Quotas]], 0))," Quotas","")</f>
        <v>Swimming</v>
      </c>
      <c r="BP77" s="6">
        <f>SUM(Table92[[#This Row],[Summer Sports]:[Winter Sports]])</f>
        <v>5</v>
      </c>
      <c r="BQ77" s="6">
        <f>COUNTIF(Table92[[#This Row],[Archery Quotas]:[Wrestling Quotas]],"&lt;&gt;0")</f>
        <v>5</v>
      </c>
      <c r="BR77" s="6">
        <f>COUNTIF(Table92[[#This Row],[Alpine Skiing Quotas]:[Speed Skating Quotas]],"&lt;&gt;0")</f>
        <v>0</v>
      </c>
      <c r="BS77" s="3" t="s">
        <v>559</v>
      </c>
    </row>
    <row r="78" spans="1:71" x14ac:dyDescent="0.3">
      <c r="A78" s="6" t="s">
        <v>434</v>
      </c>
      <c r="B78" t="e" vm="78">
        <f>IF(ISBLANK(Table92[[#This Row],[Flag Link]]), "", _xlfn.IMAGE(Table92[[#This Row],[Flag Link]],1,1))</f>
        <v>#VALUE!</v>
      </c>
      <c r="C78" s="6">
        <f>SUM(Table92[[#This Row],[Archery Quotas]:[Speed Skating Quotas]])</f>
        <v>6</v>
      </c>
      <c r="D78" s="6">
        <f>SUM(INDEX(Tabela1[[Archery - Men''s Individual Recurve]:[Archery - Mixed Team Recurve]],MATCH(Table92[[#This Row],[Country]],Tabela1[Country], 0),0))</f>
        <v>1</v>
      </c>
      <c r="E78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78" s="6">
        <f>SUM(INDEX(Tabela1[[Artistic Swimming - Women''s Duet]:[Artistic Swimming - Women''s Team]],MATCH(Table92[[#This Row],[Country]],Tabela1[Country], 0),0))</f>
        <v>0</v>
      </c>
      <c r="G78" s="6">
        <f>SUM(INDEX(Tabela1[[Athletics - Men''s 100m]:[Athletics - Women''s Heptathlon]],MATCH(Table92[[#This Row],[Country]],Tabela1[Country], 0),0))</f>
        <v>1</v>
      </c>
      <c r="H78" s="6">
        <f>SUM(INDEX(Tabela1[[Badminton - Men''s Singles]:[Badminton - Mixed Doubles]],MATCH(Table92[[#This Row],[Country]],Tabela1[Country], 0),0))</f>
        <v>0</v>
      </c>
      <c r="I78" s="6">
        <f>SUM(INDEX(Tabela1[[Basketball - Men''s Tournament]:[Basketball - Women''s Tournament]],MATCH(Table92[[#This Row],[Country]],Tabela1[Country], 0),0))</f>
        <v>0</v>
      </c>
      <c r="J78" s="6">
        <f>SUM(INDEX(Tabela1[[3x3 Basketball - Men''s Tournament]:[3x3 Basketball - Women''s Tournament]],MATCH(Table92[[#This Row],[Country]],Tabela1[Country], 0),0))</f>
        <v>0</v>
      </c>
      <c r="K78" s="6">
        <f>SUM(INDEX(Tabela1[[Beach Volleyball - Men''s Tournament]:[Beach Volleyball - Women''s Tournament]],MATCH(Table92[[#This Row],[Country]],Tabela1[Country], 0),0))</f>
        <v>0</v>
      </c>
      <c r="L78" s="6">
        <f>SUM(INDEX(Tabela1[[Boxing - Men''s 51kg]:[Boxing - Women''s 75kg]],MATCH(Table92[[#This Row],[Country]],Tabela1[Country], 0),0))</f>
        <v>0</v>
      </c>
      <c r="M78" s="6">
        <f>SUM(INDEX(Tabela1[[Breaking - Men''s Individual]:[Breaking - Women''s Individual]],MATCH(Table92[[#This Row],[Country]],Tabela1[Country], 0),0))</f>
        <v>0</v>
      </c>
      <c r="N78" s="6">
        <f>SUM(INDEX(Tabela1[[Canoeing - Men''s C1 Slalom]:[Canoeing - Women''s Kayak Cross Slalom]],MATCH(Table92[[#This Row],[Country]],Tabela1[Country], 0),0))</f>
        <v>0</v>
      </c>
      <c r="O78" s="6">
        <f>SUM(INDEX(Tabela1[[Canoeing - Women''s C1 200m]:[Canoeing - Women''s K4 500m]],MATCH(Table92[[#This Row],[Country]],Tabela1[Country], 0),0))</f>
        <v>0</v>
      </c>
      <c r="P78" s="6">
        <f>SUM(INDEX(Tabela1[[Cycling - Men''s BMX Freestyle]:[Cycling - Women''s BMX Freestyle]],MATCH(Table92[[#This Row],[Country]],Tabela1[Country], 0),0))</f>
        <v>0</v>
      </c>
      <c r="Q78" s="6">
        <f>SUM(INDEX(Tabela1[[Cycling - Men''s BMX Racing]:[Cycling - Women''s BMX Racing]],MATCH(Table92[[#This Row],[Country]],Tabela1[Country], 0),0))</f>
        <v>0</v>
      </c>
      <c r="R78" s="6">
        <f>SUM(INDEX(Tabela1[[Cycling - Men''s Cross-Country]:[Cycling - Women''s Cross-Country]],MATCH(Table92[[#This Row],[Country]],Tabela1[Country], 0),0))</f>
        <v>0</v>
      </c>
      <c r="S78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78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78" s="6">
        <f>SUM(INDEX(Tabela1[[Diving - Men''s Springboard]:[Diving - Women''s Synchronized Platform]],MATCH(Table92[[#This Row],[Country]],Tabela1[Country], 0),0))</f>
        <v>0</v>
      </c>
      <c r="V78" s="6">
        <f>SUM(INDEX(Tabela1[[Equestrian - Individual Dressage]:[Equestrian - Team Dressage]],MATCH(Table92[[#This Row],[Country]],Tabela1[Country], 0),0))</f>
        <v>0</v>
      </c>
      <c r="W78" s="6">
        <f>SUM(INDEX(Tabela1[[Equestrian - Individual Eventing]:[Equestrian - Team Eventing]],MATCH(Table92[[#This Row],[Country]],Tabela1[Country], 0),0))</f>
        <v>0</v>
      </c>
      <c r="X78" s="6">
        <f>SUM(INDEX(Tabela1[[Equestrian - Individual Jumping]:[Equestrian - Team Jumping]],MATCH(Table92[[#This Row],[Country]],Tabela1[Country], 0),0))</f>
        <v>0</v>
      </c>
      <c r="Y78" s="6">
        <f>SUM(INDEX(Tabela1[[Fencing - Men''s Épée]:[Fencing - Women''s Team Sabre]],MATCH(Table92[[#This Row],[Country]],Tabela1[Country], 0),0))</f>
        <v>0</v>
      </c>
      <c r="Z78" s="6">
        <f>SUM(INDEX(Tabela1[[Field Hockey - Men''s Tournament]:[Field Hockey - Women''s Tournament]],MATCH(Table92[[#This Row],[Country]],Tabela1[Country], 0),0))</f>
        <v>0</v>
      </c>
      <c r="AA78" s="6">
        <f>SUM(INDEX(Tabela1[[Football - Men''s Tournament]:[Football - Women''s Tournament]],MATCH(Table92[[#This Row],[Country]],Tabela1[Country], 0),0))</f>
        <v>1</v>
      </c>
      <c r="AB78" s="6">
        <f>SUM(INDEX(Tabela1[[Golf - Men''s Individual]:[Golf - Women''s Individual]],MATCH(Table92[[#This Row],[Country]],Tabela1[Country], 0),0))</f>
        <v>0</v>
      </c>
      <c r="AC78" s="6">
        <f>SUM(INDEX(Tabela1[[Handball - Men''s Tournament]:[Handball - Women''s Tournament]],MATCH(Table92[[#This Row],[Country]],Tabela1[Country], 0),0))</f>
        <v>0</v>
      </c>
      <c r="AD78" s="6">
        <f>SUM(INDEX(Tabela1[[Judo - Men''s 60kg]:[Judo - Mixed Team]],MATCH(Table92[[#This Row],[Country]],Tabela1[Country], 0),0))</f>
        <v>1</v>
      </c>
      <c r="AE78" s="6">
        <f>SUM(INDEX(Tabela1[[Swimming - Men''s 10km Open Water]:[Swimming - Women''s 10km Open Water]],MATCH(Table92[[#This Row],[Country]],Tabela1[Country], 0),0))</f>
        <v>0</v>
      </c>
      <c r="AF78" s="6">
        <f>SUM(INDEX(Tabela1[[Modern Pentathlon - Men''s Individual]:[Modern Pentathlon - Women''s Individual]],MATCH(Table92[[#This Row],[Country]],Tabela1[Country], 0),0))</f>
        <v>0</v>
      </c>
      <c r="AG78" s="6">
        <f>SUM(INDEX(Tabela1[[Rhythmic Gymnastics - Women''s Individual All-Around]:[Rhythmic Gymnastics - Women''s Group All-Around]],MATCH(Table92[[#This Row],[Country]],Tabela1[Country], 0),0))</f>
        <v>0</v>
      </c>
      <c r="AH78" s="6">
        <f>SUM(INDEX(Tabela1[[Rowing - Men''s Single Sculls]:[Rowing - Women''s Lwt. Double Sculls]],MATCH(Table92[[#This Row],[Country]],Tabela1[Country], 0),0))</f>
        <v>0</v>
      </c>
      <c r="AI78" s="6">
        <f>SUM(INDEX(Tabela1[[Rugby Sevens - Men''s Tournament]:[Rugby Sevens - Women''s Tournament]],MATCH(Table92[[#This Row],[Country]],Tabela1[Country], 0),0))</f>
        <v>0</v>
      </c>
      <c r="AJ78" s="6">
        <f>SUM(INDEX(Tabela1[[Sailing - Mixed 470]:[Sailing - Mixed Nacra 17]],MATCH(Table92[[#This Row],[Country]],Tabela1[Country], 0),0))</f>
        <v>0</v>
      </c>
      <c r="AK78" s="6">
        <f>SUM(INDEX(Tabela1[[Shooting - Men''s 10m Air Pistol]:[Shooting - Women''s Trap]],MATCH(Table92[[#This Row],[Country]],Tabela1[Country], 0),0))</f>
        <v>0</v>
      </c>
      <c r="AL78" s="6">
        <f>SUM(INDEX(Tabela1[[Skateboarding - Men''s Park]:[Skateboarding - Women''s Street]],MATCH(Table92[[#This Row],[Country]],Tabela1[Country], 0),0))</f>
        <v>0</v>
      </c>
      <c r="AM78" s="6">
        <f>SUM(INDEX(Tabela1[[Sport Climbing - Men''s Boulder and Lead]:[Sport Climbing - Women''s Speed]],MATCH(Table92[[#This Row],[Country]],Tabela1[Country], 0),0))</f>
        <v>0</v>
      </c>
      <c r="AN78" s="6">
        <f>SUM(INDEX(Tabela1[[Surfing - Men''s Shortboard]:[Surfing - Women''s Shortboard]],MATCH(Table92[[#This Row],[Country]],Tabela1[Country], 0),0))</f>
        <v>0</v>
      </c>
      <c r="AO78" s="6">
        <f>SUM(INDEX(Tabela1[[Swimming - Men''s 50m Freestyle]:[Swimming - Mixed 4x100m Medley Relay]],MATCH(Table92[[#This Row],[Country]],Tabela1[Country], 0),0))</f>
        <v>2</v>
      </c>
      <c r="AP78" s="6">
        <f>SUM(INDEX(Tabela1[[Table Tennis - Men''s Singles]:[Table Tennis - Mixed Doubles]],MATCH(Table92[[#This Row],[Country]],Tabela1[Country], 0),0))</f>
        <v>0</v>
      </c>
      <c r="AQ78" s="6">
        <f>SUM(INDEX(Tabela1[[Taekwondo - Men''s 58kg]:[Taekwondo - Women''s +67kg]],MATCH(Table92[[#This Row],[Country]],Tabela1[Country], 0),0))</f>
        <v>0</v>
      </c>
      <c r="AR78" s="6">
        <f>SUM(INDEX(Tabela1[[Tennis - Men''s Singles]:[Tennis - Mixed Doubles]],MATCH(Table92[[#This Row],[Country]],Tabela1[Country], 0),0))</f>
        <v>0</v>
      </c>
      <c r="AS78" s="6">
        <f>SUM(INDEX(Tabela1[[Gymnastics - Men''s Trampoline]:[Gymnastics - Women''s Trampoline]],MATCH(Table92[[#This Row],[Country]],Tabela1[Country], 0),0))</f>
        <v>0</v>
      </c>
      <c r="AT78" s="6">
        <f>SUM(INDEX(Tabela1[[Triathlon - Men''s Individual]:[Triathlon - Mixed Relay]],MATCH(Table92[[#This Row],[Country]],Tabela1[Country], 0),0))</f>
        <v>0</v>
      </c>
      <c r="AU78" s="6">
        <f>SUM(INDEX(Tabela1[[Volleyball - Men''s Tournament]:[Volleyball - Women''s Tournament]],MATCH(Table92[[#This Row],[Country]],Tabela1[Country], 0),0))</f>
        <v>0</v>
      </c>
      <c r="AV78" s="6">
        <f>SUM(INDEX(Tabela1[[Water Polo - Men''s Tournament]:[Water Polo - Women''s Tournament]],MATCH(Table92[[#This Row],[Country]],Tabela1[Country], 0),0))</f>
        <v>0</v>
      </c>
      <c r="AW78" s="6">
        <f>SUM(INDEX(Tabela1[[Weightlifting - Men''s 61kg]:[Weightlifting - Women''s +81kg]],MATCH(Table92[[#This Row],[Country]],Tabela1[Country], 0),0))</f>
        <v>0</v>
      </c>
      <c r="AX78" s="6">
        <f>SUM(INDEX(Tabela1[[Wrestling - Men''s Freestyle 57kg]:[Wrestling - Women''s Freestyle 76kg]],MATCH(Table92[[#This Row],[Country]],Tabela1[Country], 0),0))</f>
        <v>0</v>
      </c>
      <c r="AY78" s="6">
        <f>SUM(INDEX(Tabela1[[Alpine Skiing - Men''s Downhill]:[Alpine Skiing - Women''s Team Combined]],MATCH(Table92[[#This Row],[Country]],Tabela1[Country], 0),0))</f>
        <v>0</v>
      </c>
      <c r="AZ78" s="6">
        <f>SUM(INDEX(Tabela1[[Biathlon - Men''s Individual]:[Biathlon - Mixed Relay]],MATCH(Table92[[#This Row],[Country]],Tabela1[Country], 0),0))</f>
        <v>0</v>
      </c>
      <c r="BA78" s="6">
        <f>SUM(INDEX(Tabela1[[Bobsleigh - Women''s Monobob]:[Bobsleigh - Men''s Four]],MATCH(Table92[[#This Row],[Country]],Tabela1[Country], 0),0))</f>
        <v>0</v>
      </c>
      <c r="BB78" s="6">
        <f>SUM(INDEX(Tabela1[[Cross-country skiing - Men''s Classical]:[Cross-country skiing - Women''s Team Sprint]],MATCH(Table92[[#This Row],[Country]],Tabela1[Country], 0),0))</f>
        <v>0</v>
      </c>
      <c r="BC78" s="6">
        <f>SUM(INDEX(Tabela1[[Curling - Men''s Tournament]:[Curling - Mixed Doubles]],MATCH(Table92[[#This Row],[Country]],Tabela1[Country], 0),0))</f>
        <v>0</v>
      </c>
      <c r="BD78" s="6">
        <f>SUM(INDEX(Tabela1[[Figure Skating - Men''s Singles]:[Figure Skating - Team Event]],MATCH(Table92[[#This Row],[Country]],Tabela1[Country], 0),0))</f>
        <v>0</v>
      </c>
      <c r="BE78" s="6">
        <f>SUM(INDEX(Tabela1[[Freestyle Skiing - Men''s Aerials]:[Freestyle Skiing - Women''s Slopestyle]],MATCH(Table92[[#This Row],[Country]],Tabela1[Country], 0),0))</f>
        <v>0</v>
      </c>
      <c r="BF78" s="6">
        <f>SUM(INDEX(Tabela1[[Ice Hockey - Men''s Tournament]:[Ice Hockey - Women''s Tournament]],MATCH(Table92[[#This Row],[Country]],Tabela1[Country], 0),0))</f>
        <v>0</v>
      </c>
      <c r="BG78" s="6">
        <f>SUM(INDEX(Tabela1[[Luge - Men''s Singles]:[Luge - Mixed Team Relay]],MATCH(Table92[[#This Row],[Country]],Tabela1[Country], 0),0))</f>
        <v>0</v>
      </c>
      <c r="BH78" s="6">
        <f>SUM(INDEX(Tabela1[[Nordic Combined - Men''s Individual]:[Nordic Combined - Men''s Team Sprint Large Hill]],MATCH(Table92[[#This Row],[Country]],Tabela1[Country], 0),0))</f>
        <v>0</v>
      </c>
      <c r="BI78" s="6">
        <f>SUM(INDEX(Tabela1[[Short track speed skating - Men''s 500m]:[Short track speed skating - Mixed 2000m Relay]],MATCH(Table92[[#This Row],[Country]],Tabela1[Country], 0),0))</f>
        <v>0</v>
      </c>
      <c r="BJ78" s="6">
        <f>SUM(INDEX(Tabela1[[Skeleton - Men''s Individual]:[Skeleton - Mixed Team]],MATCH(Table92[[#This Row],[Country]],Tabela1[Country], 0),0))</f>
        <v>0</v>
      </c>
      <c r="BK78" s="6">
        <f>SUM(INDEX(Tabela1[[Ski Jumping - Men''s Individual Large Hill]:[Ski Jumping - Mixed Team Normal Hill]],MATCH(Table92[[#This Row],[Country]],Tabela1[Country], 0),0))</f>
        <v>0</v>
      </c>
      <c r="BL78" s="6">
        <f>SUM(INDEX(Tabela1[[Ski Mountaineering - Men''s Sprint]:[Ski Mountaineering - Mixed Relay]],MATCH(Table92[[#This Row],[Country]],Tabela1[Country], 0),0))</f>
        <v>0</v>
      </c>
      <c r="BM78" s="6">
        <f>SUM(INDEX(Tabela1[[Snowboarding - Men''s Big Air]:[Snowboarding - Mixed Team Snowboard Cross]],MATCH(Table92[[#This Row],[Country]],Tabela1[Country], 0),0))</f>
        <v>0</v>
      </c>
      <c r="BN78" s="6">
        <f>SUM(INDEX(Tabela1[[Speed Skating - Men''s 500m]:[Speed Skating - Women''s Team Pursuit]],MATCH(Table92[[#This Row],[Country]],Tabela1[Country], 0),0))</f>
        <v>0</v>
      </c>
      <c r="BO78" s="6" t="str">
        <f>SUBSTITUTE(INDEX(Table92[[#Headers],[Archery Quotas]:[Speed Skating Quotas]], MATCH(MAX(Table92[[#This Row],[Archery Quotas]:[Speed Skating Quotas]]), Table92[[#This Row],[Archery Quotas]:[Speed Skating Quotas]], 0))," Quotas","")</f>
        <v>Swimming</v>
      </c>
      <c r="BP78" s="6">
        <f>SUM(Table92[[#This Row],[Summer Sports]:[Winter Sports]])</f>
        <v>5</v>
      </c>
      <c r="BQ78" s="6">
        <f>COUNTIF(Table92[[#This Row],[Archery Quotas]:[Wrestling Quotas]],"&lt;&gt;0")</f>
        <v>5</v>
      </c>
      <c r="BR78" s="6">
        <f>COUNTIF(Table92[[#This Row],[Alpine Skiing Quotas]:[Speed Skating Quotas]],"&lt;&gt;0")</f>
        <v>0</v>
      </c>
      <c r="BS78" s="4" t="s">
        <v>435</v>
      </c>
    </row>
    <row r="79" spans="1:71" x14ac:dyDescent="0.3">
      <c r="A79" s="6" t="s">
        <v>594</v>
      </c>
      <c r="B79" t="e" vm="76">
        <f>IF(ISBLANK(Table92[[#This Row],[Flag Link]]), "", _xlfn.IMAGE(Table92[[#This Row],[Flag Link]],1,1))</f>
        <v>#VALUE!</v>
      </c>
      <c r="C79" s="6">
        <f>SUM(Table92[[#This Row],[Archery Quotas]:[Speed Skating Quotas]])</f>
        <v>6</v>
      </c>
      <c r="D79" s="6">
        <f>SUM(INDEX(Tabela1[[Archery - Men''s Individual Recurve]:[Archery - Mixed Team Recurve]],MATCH(Table92[[#This Row],[Country]],Tabela1[Country], 0),0))</f>
        <v>0</v>
      </c>
      <c r="E79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79" s="6">
        <f>SUM(INDEX(Tabela1[[Artistic Swimming - Women''s Duet]:[Artistic Swimming - Women''s Team]],MATCH(Table92[[#This Row],[Country]],Tabela1[Country], 0),0))</f>
        <v>0</v>
      </c>
      <c r="G79" s="6">
        <f>SUM(INDEX(Tabela1[[Athletics - Men''s 100m]:[Athletics - Women''s Heptathlon]],MATCH(Table92[[#This Row],[Country]],Tabela1[Country], 0),0))</f>
        <v>1</v>
      </c>
      <c r="H79" s="6">
        <f>SUM(INDEX(Tabela1[[Badminton - Men''s Singles]:[Badminton - Mixed Doubles]],MATCH(Table92[[#This Row],[Country]],Tabela1[Country], 0),0))</f>
        <v>0</v>
      </c>
      <c r="I79" s="6">
        <f>SUM(INDEX(Tabela1[[Basketball - Men''s Tournament]:[Basketball - Women''s Tournament]],MATCH(Table92[[#This Row],[Country]],Tabela1[Country], 0),0))</f>
        <v>0</v>
      </c>
      <c r="J79" s="6">
        <f>SUM(INDEX(Tabela1[[3x3 Basketball - Men''s Tournament]:[3x3 Basketball - Women''s Tournament]],MATCH(Table92[[#This Row],[Country]],Tabela1[Country], 0),0))</f>
        <v>0</v>
      </c>
      <c r="K79" s="6">
        <f>SUM(INDEX(Tabela1[[Beach Volleyball - Men''s Tournament]:[Beach Volleyball - Women''s Tournament]],MATCH(Table92[[#This Row],[Country]],Tabela1[Country], 0),0))</f>
        <v>0</v>
      </c>
      <c r="L79" s="6">
        <f>SUM(INDEX(Tabela1[[Boxing - Men''s 51kg]:[Boxing - Women''s 75kg]],MATCH(Table92[[#This Row],[Country]],Tabela1[Country], 0),0))</f>
        <v>0</v>
      </c>
      <c r="M79" s="6">
        <f>SUM(INDEX(Tabela1[[Breaking - Men''s Individual]:[Breaking - Women''s Individual]],MATCH(Table92[[#This Row],[Country]],Tabela1[Country], 0),0))</f>
        <v>0</v>
      </c>
      <c r="N79" s="6">
        <f>SUM(INDEX(Tabela1[[Canoeing - Men''s C1 Slalom]:[Canoeing - Women''s Kayak Cross Slalom]],MATCH(Table92[[#This Row],[Country]],Tabela1[Country], 0),0))</f>
        <v>0</v>
      </c>
      <c r="O79" s="6">
        <f>SUM(INDEX(Tabela1[[Canoeing - Women''s C1 200m]:[Canoeing - Women''s K4 500m]],MATCH(Table92[[#This Row],[Country]],Tabela1[Country], 0),0))</f>
        <v>0</v>
      </c>
      <c r="P79" s="6">
        <f>SUM(INDEX(Tabela1[[Cycling - Men''s BMX Freestyle]:[Cycling - Women''s BMX Freestyle]],MATCH(Table92[[#This Row],[Country]],Tabela1[Country], 0),0))</f>
        <v>0</v>
      </c>
      <c r="Q79" s="6">
        <f>SUM(INDEX(Tabela1[[Cycling - Men''s BMX Racing]:[Cycling - Women''s BMX Racing]],MATCH(Table92[[#This Row],[Country]],Tabela1[Country], 0),0))</f>
        <v>0</v>
      </c>
      <c r="R79" s="6">
        <f>SUM(INDEX(Tabela1[[Cycling - Men''s Cross-Country]:[Cycling - Women''s Cross-Country]],MATCH(Table92[[#This Row],[Country]],Tabela1[Country], 0),0))</f>
        <v>0</v>
      </c>
      <c r="S79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79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79" s="6">
        <f>SUM(INDEX(Tabela1[[Diving - Men''s Springboard]:[Diving - Women''s Synchronized Platform]],MATCH(Table92[[#This Row],[Country]],Tabela1[Country], 0),0))</f>
        <v>0</v>
      </c>
      <c r="V79" s="6">
        <f>SUM(INDEX(Tabela1[[Equestrian - Individual Dressage]:[Equestrian - Team Dressage]],MATCH(Table92[[#This Row],[Country]],Tabela1[Country], 0),0))</f>
        <v>0</v>
      </c>
      <c r="W79" s="6">
        <f>SUM(INDEX(Tabela1[[Equestrian - Individual Eventing]:[Equestrian - Team Eventing]],MATCH(Table92[[#This Row],[Country]],Tabela1[Country], 0),0))</f>
        <v>0</v>
      </c>
      <c r="X79" s="6">
        <f>SUM(INDEX(Tabela1[[Equestrian - Individual Jumping]:[Equestrian - Team Jumping]],MATCH(Table92[[#This Row],[Country]],Tabela1[Country], 0),0))</f>
        <v>0</v>
      </c>
      <c r="Y79" s="6">
        <f>SUM(INDEX(Tabela1[[Fencing - Men''s Épée]:[Fencing - Women''s Team Sabre]],MATCH(Table92[[#This Row],[Country]],Tabela1[Country], 0),0))</f>
        <v>0</v>
      </c>
      <c r="Z79" s="6">
        <f>SUM(INDEX(Tabela1[[Field Hockey - Men''s Tournament]:[Field Hockey - Women''s Tournament]],MATCH(Table92[[#This Row],[Country]],Tabela1[Country], 0),0))</f>
        <v>0</v>
      </c>
      <c r="AA79" s="6">
        <f>SUM(INDEX(Tabela1[[Football - Men''s Tournament]:[Football - Women''s Tournament]],MATCH(Table92[[#This Row],[Country]],Tabela1[Country], 0),0))</f>
        <v>0</v>
      </c>
      <c r="AB79" s="6">
        <f>SUM(INDEX(Tabela1[[Golf - Men''s Individual]:[Golf - Women''s Individual]],MATCH(Table92[[#This Row],[Country]],Tabela1[Country], 0),0))</f>
        <v>0</v>
      </c>
      <c r="AC79" s="6">
        <f>SUM(INDEX(Tabela1[[Handball - Men''s Tournament]:[Handball - Women''s Tournament]],MATCH(Table92[[#This Row],[Country]],Tabela1[Country], 0),0))</f>
        <v>0</v>
      </c>
      <c r="AD79" s="6">
        <f>SUM(INDEX(Tabela1[[Judo - Men''s 60kg]:[Judo - Mixed Team]],MATCH(Table92[[#This Row],[Country]],Tabela1[Country], 0),0))</f>
        <v>0</v>
      </c>
      <c r="AE79" s="6">
        <f>SUM(INDEX(Tabela1[[Swimming - Men''s 10km Open Water]:[Swimming - Women''s 10km Open Water]],MATCH(Table92[[#This Row],[Country]],Tabela1[Country], 0),0))</f>
        <v>0</v>
      </c>
      <c r="AF79" s="6">
        <f>SUM(INDEX(Tabela1[[Modern Pentathlon - Men''s Individual]:[Modern Pentathlon - Women''s Individual]],MATCH(Table92[[#This Row],[Country]],Tabela1[Country], 0),0))</f>
        <v>0</v>
      </c>
      <c r="AG79" s="6">
        <f>SUM(INDEX(Tabela1[[Rhythmic Gymnastics - Women''s Individual All-Around]:[Rhythmic Gymnastics - Women''s Group All-Around]],MATCH(Table92[[#This Row],[Country]],Tabela1[Country], 0),0))</f>
        <v>0</v>
      </c>
      <c r="AH79" s="6">
        <f>SUM(INDEX(Tabela1[[Rowing - Men''s Single Sculls]:[Rowing - Women''s Lwt. Double Sculls]],MATCH(Table92[[#This Row],[Country]],Tabela1[Country], 0),0))</f>
        <v>0</v>
      </c>
      <c r="AI79" s="6">
        <f>SUM(INDEX(Tabela1[[Rugby Sevens - Men''s Tournament]:[Rugby Sevens - Women''s Tournament]],MATCH(Table92[[#This Row],[Country]],Tabela1[Country], 0),0))</f>
        <v>0</v>
      </c>
      <c r="AJ79" s="6">
        <f>SUM(INDEX(Tabela1[[Sailing - Mixed 470]:[Sailing - Mixed Nacra 17]],MATCH(Table92[[#This Row],[Country]],Tabela1[Country], 0),0))</f>
        <v>0</v>
      </c>
      <c r="AK79" s="6">
        <f>SUM(INDEX(Tabela1[[Shooting - Men''s 10m Air Pistol]:[Shooting - Women''s Trap]],MATCH(Table92[[#This Row],[Country]],Tabela1[Country], 0),0))</f>
        <v>0</v>
      </c>
      <c r="AL79" s="6">
        <f>SUM(INDEX(Tabela1[[Skateboarding - Men''s Park]:[Skateboarding - Women''s Street]],MATCH(Table92[[#This Row],[Country]],Tabela1[Country], 0),0))</f>
        <v>0</v>
      </c>
      <c r="AM79" s="6">
        <f>SUM(INDEX(Tabela1[[Sport Climbing - Men''s Boulder and Lead]:[Sport Climbing - Women''s Speed]],MATCH(Table92[[#This Row],[Country]],Tabela1[Country], 0),0))</f>
        <v>0</v>
      </c>
      <c r="AN79" s="6">
        <f>SUM(INDEX(Tabela1[[Surfing - Men''s Shortboard]:[Surfing - Women''s Shortboard]],MATCH(Table92[[#This Row],[Country]],Tabela1[Country], 0),0))</f>
        <v>0</v>
      </c>
      <c r="AO79" s="6">
        <f>SUM(INDEX(Tabela1[[Swimming - Men''s 50m Freestyle]:[Swimming - Mixed 4x100m Medley Relay]],MATCH(Table92[[#This Row],[Country]],Tabela1[Country], 0),0))</f>
        <v>2</v>
      </c>
      <c r="AP79" s="6">
        <f>SUM(INDEX(Tabela1[[Table Tennis - Men''s Singles]:[Table Tennis - Mixed Doubles]],MATCH(Table92[[#This Row],[Country]],Tabela1[Country], 0),0))</f>
        <v>0</v>
      </c>
      <c r="AQ79" s="6">
        <f>SUM(INDEX(Tabela1[[Taekwondo - Men''s 58kg]:[Taekwondo - Women''s +67kg]],MATCH(Table92[[#This Row],[Country]],Tabela1[Country], 0),0))</f>
        <v>0</v>
      </c>
      <c r="AR79" s="6">
        <f>SUM(INDEX(Tabela1[[Tennis - Men''s Singles]:[Tennis - Mixed Doubles]],MATCH(Table92[[#This Row],[Country]],Tabela1[Country], 0),0))</f>
        <v>0</v>
      </c>
      <c r="AS79" s="6">
        <f>SUM(INDEX(Tabela1[[Gymnastics - Men''s Trampoline]:[Gymnastics - Women''s Trampoline]],MATCH(Table92[[#This Row],[Country]],Tabela1[Country], 0),0))</f>
        <v>0</v>
      </c>
      <c r="AT79" s="6">
        <f>SUM(INDEX(Tabela1[[Triathlon - Men''s Individual]:[Triathlon - Mixed Relay]],MATCH(Table92[[#This Row],[Country]],Tabela1[Country], 0),0))</f>
        <v>1</v>
      </c>
      <c r="AU79" s="6">
        <f>SUM(INDEX(Tabela1[[Volleyball - Men''s Tournament]:[Volleyball - Women''s Tournament]],MATCH(Table92[[#This Row],[Country]],Tabela1[Country], 0),0))</f>
        <v>0</v>
      </c>
      <c r="AV79" s="6">
        <f>SUM(INDEX(Tabela1[[Water Polo - Men''s Tournament]:[Water Polo - Women''s Tournament]],MATCH(Table92[[#This Row],[Country]],Tabela1[Country], 0),0))</f>
        <v>0</v>
      </c>
      <c r="AW79" s="6">
        <f>SUM(INDEX(Tabela1[[Weightlifting - Men''s 61kg]:[Weightlifting - Women''s +81kg]],MATCH(Table92[[#This Row],[Country]],Tabela1[Country], 0),0))</f>
        <v>0</v>
      </c>
      <c r="AX79" s="6">
        <f>SUM(INDEX(Tabela1[[Wrestling - Men''s Freestyle 57kg]:[Wrestling - Women''s Freestyle 76kg]],MATCH(Table92[[#This Row],[Country]],Tabela1[Country], 0),0))</f>
        <v>0</v>
      </c>
      <c r="AY79" s="6">
        <f>SUM(INDEX(Tabela1[[Alpine Skiing - Men''s Downhill]:[Alpine Skiing - Women''s Team Combined]],MATCH(Table92[[#This Row],[Country]],Tabela1[Country], 0),0))</f>
        <v>0</v>
      </c>
      <c r="AZ79" s="6">
        <f>SUM(INDEX(Tabela1[[Biathlon - Men''s Individual]:[Biathlon - Mixed Relay]],MATCH(Table92[[#This Row],[Country]],Tabela1[Country], 0),0))</f>
        <v>0</v>
      </c>
      <c r="BA79" s="6">
        <f>SUM(INDEX(Tabela1[[Bobsleigh - Women''s Monobob]:[Bobsleigh - Men''s Four]],MATCH(Table92[[#This Row],[Country]],Tabela1[Country], 0),0))</f>
        <v>0</v>
      </c>
      <c r="BB79" s="6">
        <f>SUM(INDEX(Tabela1[[Cross-country skiing - Men''s Classical]:[Cross-country skiing - Women''s Team Sprint]],MATCH(Table92[[#This Row],[Country]],Tabela1[Country], 0),0))</f>
        <v>2</v>
      </c>
      <c r="BC79" s="6">
        <f>SUM(INDEX(Tabela1[[Curling - Men''s Tournament]:[Curling - Mixed Doubles]],MATCH(Table92[[#This Row],[Country]],Tabela1[Country], 0),0))</f>
        <v>0</v>
      </c>
      <c r="BD79" s="6">
        <f>SUM(INDEX(Tabela1[[Figure Skating - Men''s Singles]:[Figure Skating - Team Event]],MATCH(Table92[[#This Row],[Country]],Tabela1[Country], 0),0))</f>
        <v>0</v>
      </c>
      <c r="BE79" s="6">
        <f>SUM(INDEX(Tabela1[[Freestyle Skiing - Men''s Aerials]:[Freestyle Skiing - Women''s Slopestyle]],MATCH(Table92[[#This Row],[Country]],Tabela1[Country], 0),0))</f>
        <v>0</v>
      </c>
      <c r="BF79" s="6">
        <f>SUM(INDEX(Tabela1[[Ice Hockey - Men''s Tournament]:[Ice Hockey - Women''s Tournament]],MATCH(Table92[[#This Row],[Country]],Tabela1[Country], 0),0))</f>
        <v>0</v>
      </c>
      <c r="BG79" s="6">
        <f>SUM(INDEX(Tabela1[[Luge - Men''s Singles]:[Luge - Mixed Team Relay]],MATCH(Table92[[#This Row],[Country]],Tabela1[Country], 0),0))</f>
        <v>0</v>
      </c>
      <c r="BH79" s="6">
        <f>SUM(INDEX(Tabela1[[Nordic Combined - Men''s Individual]:[Nordic Combined - Men''s Team Sprint Large Hill]],MATCH(Table92[[#This Row],[Country]],Tabela1[Country], 0),0))</f>
        <v>0</v>
      </c>
      <c r="BI79" s="6">
        <f>SUM(INDEX(Tabela1[[Short track speed skating - Men''s 500m]:[Short track speed skating - Mixed 2000m Relay]],MATCH(Table92[[#This Row],[Country]],Tabela1[Country], 0),0))</f>
        <v>0</v>
      </c>
      <c r="BJ79" s="6">
        <f>SUM(INDEX(Tabela1[[Skeleton - Men''s Individual]:[Skeleton - Mixed Team]],MATCH(Table92[[#This Row],[Country]],Tabela1[Country], 0),0))</f>
        <v>0</v>
      </c>
      <c r="BK79" s="6">
        <f>SUM(INDEX(Tabela1[[Ski Jumping - Men''s Individual Large Hill]:[Ski Jumping - Mixed Team Normal Hill]],MATCH(Table92[[#This Row],[Country]],Tabela1[Country], 0),0))</f>
        <v>0</v>
      </c>
      <c r="BL79" s="6">
        <f>SUM(INDEX(Tabela1[[Ski Mountaineering - Men''s Sprint]:[Ski Mountaineering - Mixed Relay]],MATCH(Table92[[#This Row],[Country]],Tabela1[Country], 0),0))</f>
        <v>0</v>
      </c>
      <c r="BM79" s="6">
        <f>SUM(INDEX(Tabela1[[Snowboarding - Men''s Big Air]:[Snowboarding - Mixed Team Snowboard Cross]],MATCH(Table92[[#This Row],[Country]],Tabela1[Country], 0),0))</f>
        <v>0</v>
      </c>
      <c r="BN79" s="6">
        <f>SUM(INDEX(Tabela1[[Speed Skating - Men''s 500m]:[Speed Skating - Women''s Team Pursuit]],MATCH(Table92[[#This Row],[Country]],Tabela1[Country], 0),0))</f>
        <v>0</v>
      </c>
      <c r="BO79" s="6" t="str">
        <f>SUBSTITUTE(INDEX(Table92[[#Headers],[Archery Quotas]:[Speed Skating Quotas]], MATCH(MAX(Table92[[#This Row],[Archery Quotas]:[Speed Skating Quotas]]), Table92[[#This Row],[Archery Quotas]:[Speed Skating Quotas]], 0))," Quotas","")</f>
        <v>Swimming</v>
      </c>
      <c r="BP79" s="6">
        <f>SUM(Table92[[#This Row],[Summer Sports]:[Winter Sports]])</f>
        <v>4</v>
      </c>
      <c r="BQ79" s="6">
        <f>COUNTIF(Table92[[#This Row],[Archery Quotas]:[Wrestling Quotas]],"&lt;&gt;0")</f>
        <v>3</v>
      </c>
      <c r="BR79" s="6">
        <f>COUNTIF(Table92[[#This Row],[Alpine Skiing Quotas]:[Speed Skating Quotas]],"&lt;&gt;0")</f>
        <v>1</v>
      </c>
      <c r="BS79" s="4" t="s">
        <v>595</v>
      </c>
    </row>
    <row r="80" spans="1:71" x14ac:dyDescent="0.3">
      <c r="A80" s="6" t="s">
        <v>422</v>
      </c>
      <c r="B80" t="e" vm="79">
        <f>IF(ISBLANK(Table92[[#This Row],[Flag Link]]), "", _xlfn.IMAGE(Table92[[#This Row],[Flag Link]],1,1))</f>
        <v>#VALUE!</v>
      </c>
      <c r="C80" s="6">
        <f>SUM(Table92[[#This Row],[Archery Quotas]:[Speed Skating Quotas]])</f>
        <v>6</v>
      </c>
      <c r="D80" s="6">
        <f>SUM(INDEX(Tabela1[[Archery - Men''s Individual Recurve]:[Archery - Mixed Team Recurve]],MATCH(Table92[[#This Row],[Country]],Tabela1[Country], 0),0))</f>
        <v>0</v>
      </c>
      <c r="E80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80" s="6">
        <f>SUM(INDEX(Tabela1[[Artistic Swimming - Women''s Duet]:[Artistic Swimming - Women''s Team]],MATCH(Table92[[#This Row],[Country]],Tabela1[Country], 0),0))</f>
        <v>0</v>
      </c>
      <c r="G80" s="6">
        <f>SUM(INDEX(Tabela1[[Athletics - Men''s 100m]:[Athletics - Women''s Heptathlon]],MATCH(Table92[[#This Row],[Country]],Tabela1[Country], 0),0))</f>
        <v>0</v>
      </c>
      <c r="H80" s="6">
        <f>SUM(INDEX(Tabela1[[Badminton - Men''s Singles]:[Badminton - Mixed Doubles]],MATCH(Table92[[#This Row],[Country]],Tabela1[Country], 0),0))</f>
        <v>0</v>
      </c>
      <c r="I80" s="6">
        <f>SUM(INDEX(Tabela1[[Basketball - Men''s Tournament]:[Basketball - Women''s Tournament]],MATCH(Table92[[#This Row],[Country]],Tabela1[Country], 0),0))</f>
        <v>0</v>
      </c>
      <c r="J80" s="6">
        <f>SUM(INDEX(Tabela1[[3x3 Basketball - Men''s Tournament]:[3x3 Basketball - Women''s Tournament]],MATCH(Table92[[#This Row],[Country]],Tabela1[Country], 0),0))</f>
        <v>0</v>
      </c>
      <c r="K80" s="6">
        <f>SUM(INDEX(Tabela1[[Beach Volleyball - Men''s Tournament]:[Beach Volleyball - Women''s Tournament]],MATCH(Table92[[#This Row],[Country]],Tabela1[Country], 0),0))</f>
        <v>0</v>
      </c>
      <c r="L80" s="6">
        <f>SUM(INDEX(Tabela1[[Boxing - Men''s 51kg]:[Boxing - Women''s 75kg]],MATCH(Table92[[#This Row],[Country]],Tabela1[Country], 0),0))</f>
        <v>0</v>
      </c>
      <c r="M80" s="6">
        <f>SUM(INDEX(Tabela1[[Breaking - Men''s Individual]:[Breaking - Women''s Individual]],MATCH(Table92[[#This Row],[Country]],Tabela1[Country], 0),0))</f>
        <v>0</v>
      </c>
      <c r="N80" s="6">
        <f>SUM(INDEX(Tabela1[[Canoeing - Men''s C1 Slalom]:[Canoeing - Women''s Kayak Cross Slalom]],MATCH(Table92[[#This Row],[Country]],Tabela1[Country], 0),0))</f>
        <v>0</v>
      </c>
      <c r="O80" s="6">
        <f>SUM(INDEX(Tabela1[[Canoeing - Women''s C1 200m]:[Canoeing - Women''s K4 500m]],MATCH(Table92[[#This Row],[Country]],Tabela1[Country], 0),0))</f>
        <v>0</v>
      </c>
      <c r="P80" s="6">
        <f>SUM(INDEX(Tabela1[[Cycling - Men''s BMX Freestyle]:[Cycling - Women''s BMX Freestyle]],MATCH(Table92[[#This Row],[Country]],Tabela1[Country], 0),0))</f>
        <v>0</v>
      </c>
      <c r="Q80" s="6">
        <f>SUM(INDEX(Tabela1[[Cycling - Men''s BMX Racing]:[Cycling - Women''s BMX Racing]],MATCH(Table92[[#This Row],[Country]],Tabela1[Country], 0),0))</f>
        <v>0</v>
      </c>
      <c r="R80" s="6">
        <f>SUM(INDEX(Tabela1[[Cycling - Men''s Cross-Country]:[Cycling - Women''s Cross-Country]],MATCH(Table92[[#This Row],[Country]],Tabela1[Country], 0),0))</f>
        <v>0</v>
      </c>
      <c r="S80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80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80" s="6">
        <f>SUM(INDEX(Tabela1[[Diving - Men''s Springboard]:[Diving - Women''s Synchronized Platform]],MATCH(Table92[[#This Row],[Country]],Tabela1[Country], 0),0))</f>
        <v>0</v>
      </c>
      <c r="V80" s="6">
        <f>SUM(INDEX(Tabela1[[Equestrian - Individual Dressage]:[Equestrian - Team Dressage]],MATCH(Table92[[#This Row],[Country]],Tabela1[Country], 0),0))</f>
        <v>0</v>
      </c>
      <c r="W80" s="6">
        <f>SUM(INDEX(Tabela1[[Equestrian - Individual Eventing]:[Equestrian - Team Eventing]],MATCH(Table92[[#This Row],[Country]],Tabela1[Country], 0),0))</f>
        <v>0</v>
      </c>
      <c r="X80" s="6">
        <f>SUM(INDEX(Tabela1[[Equestrian - Individual Jumping]:[Equestrian - Team Jumping]],MATCH(Table92[[#This Row],[Country]],Tabela1[Country], 0),0))</f>
        <v>0</v>
      </c>
      <c r="Y80" s="6">
        <f>SUM(INDEX(Tabela1[[Fencing - Men''s Épée]:[Fencing - Women''s Team Sabre]],MATCH(Table92[[#This Row],[Country]],Tabela1[Country], 0),0))</f>
        <v>0</v>
      </c>
      <c r="Z80" s="6">
        <f>SUM(INDEX(Tabela1[[Field Hockey - Men''s Tournament]:[Field Hockey - Women''s Tournament]],MATCH(Table92[[#This Row],[Country]],Tabela1[Country], 0),0))</f>
        <v>0</v>
      </c>
      <c r="AA80" s="6">
        <f>SUM(INDEX(Tabela1[[Football - Men''s Tournament]:[Football - Women''s Tournament]],MATCH(Table92[[#This Row],[Country]],Tabela1[Country], 0),0))</f>
        <v>0</v>
      </c>
      <c r="AB80" s="6">
        <f>SUM(INDEX(Tabela1[[Golf - Men''s Individual]:[Golf - Women''s Individual]],MATCH(Table92[[#This Row],[Country]],Tabela1[Country], 0),0))</f>
        <v>1</v>
      </c>
      <c r="AC80" s="6">
        <f>SUM(INDEX(Tabela1[[Handball - Men''s Tournament]:[Handball - Women''s Tournament]],MATCH(Table92[[#This Row],[Country]],Tabela1[Country], 0),0))</f>
        <v>0</v>
      </c>
      <c r="AD80" s="6">
        <f>SUM(INDEX(Tabela1[[Judo - Men''s 60kg]:[Judo - Mixed Team]],MATCH(Table92[[#This Row],[Country]],Tabela1[Country], 0),0))</f>
        <v>0</v>
      </c>
      <c r="AE80" s="6">
        <f>SUM(INDEX(Tabela1[[Swimming - Men''s 10km Open Water]:[Swimming - Women''s 10km Open Water]],MATCH(Table92[[#This Row],[Country]],Tabela1[Country], 0),0))</f>
        <v>0</v>
      </c>
      <c r="AF80" s="6">
        <f>SUM(INDEX(Tabela1[[Modern Pentathlon - Men''s Individual]:[Modern Pentathlon - Women''s Individual]],MATCH(Table92[[#This Row],[Country]],Tabela1[Country], 0),0))</f>
        <v>0</v>
      </c>
      <c r="AG80" s="6">
        <f>SUM(INDEX(Tabela1[[Rhythmic Gymnastics - Women''s Individual All-Around]:[Rhythmic Gymnastics - Women''s Group All-Around]],MATCH(Table92[[#This Row],[Country]],Tabela1[Country], 0),0))</f>
        <v>0</v>
      </c>
      <c r="AH80" s="6">
        <f>SUM(INDEX(Tabela1[[Rowing - Men''s Single Sculls]:[Rowing - Women''s Lwt. Double Sculls]],MATCH(Table92[[#This Row],[Country]],Tabela1[Country], 0),0))</f>
        <v>0</v>
      </c>
      <c r="AI80" s="6">
        <f>SUM(INDEX(Tabela1[[Rugby Sevens - Men''s Tournament]:[Rugby Sevens - Women''s Tournament]],MATCH(Table92[[#This Row],[Country]],Tabela1[Country], 0),0))</f>
        <v>0</v>
      </c>
      <c r="AJ80" s="6">
        <f>SUM(INDEX(Tabela1[[Sailing - Mixed 470]:[Sailing - Mixed Nacra 17]],MATCH(Table92[[#This Row],[Country]],Tabela1[Country], 0),0))</f>
        <v>0</v>
      </c>
      <c r="AK80" s="6">
        <f>SUM(INDEX(Tabela1[[Shooting - Men''s 10m Air Pistol]:[Shooting - Women''s Trap]],MATCH(Table92[[#This Row],[Country]],Tabela1[Country], 0),0))</f>
        <v>0</v>
      </c>
      <c r="AL80" s="6">
        <f>SUM(INDEX(Tabela1[[Skateboarding - Men''s Park]:[Skateboarding - Women''s Street]],MATCH(Table92[[#This Row],[Country]],Tabela1[Country], 0),0))</f>
        <v>1</v>
      </c>
      <c r="AM80" s="6">
        <f>SUM(INDEX(Tabela1[[Sport Climbing - Men''s Boulder and Lead]:[Sport Climbing - Women''s Speed]],MATCH(Table92[[#This Row],[Country]],Tabela1[Country], 0),0))</f>
        <v>0</v>
      </c>
      <c r="AN80" s="6">
        <f>SUM(INDEX(Tabela1[[Surfing - Men''s Shortboard]:[Surfing - Women''s Shortboard]],MATCH(Table92[[#This Row],[Country]],Tabela1[Country], 0),0))</f>
        <v>0</v>
      </c>
      <c r="AO80" s="6">
        <f>SUM(INDEX(Tabela1[[Swimming - Men''s 50m Freestyle]:[Swimming - Mixed 4x100m Medley Relay]],MATCH(Table92[[#This Row],[Country]],Tabela1[Country], 0),0))</f>
        <v>0</v>
      </c>
      <c r="AP80" s="6">
        <f>SUM(INDEX(Tabela1[[Table Tennis - Men''s Singles]:[Table Tennis - Mixed Doubles]],MATCH(Table92[[#This Row],[Country]],Tabela1[Country], 0),0))</f>
        <v>0</v>
      </c>
      <c r="AQ80" s="6">
        <f>SUM(INDEX(Tabela1[[Taekwondo - Men''s 58kg]:[Taekwondo - Women''s +67kg]],MATCH(Table92[[#This Row],[Country]],Tabela1[Country], 0),0))</f>
        <v>0</v>
      </c>
      <c r="AR80" s="6">
        <f>SUM(INDEX(Tabela1[[Tennis - Men''s Singles]:[Tennis - Mixed Doubles]],MATCH(Table92[[#This Row],[Country]],Tabela1[Country], 0),0))</f>
        <v>0</v>
      </c>
      <c r="AS80" s="6">
        <f>SUM(INDEX(Tabela1[[Gymnastics - Men''s Trampoline]:[Gymnastics - Women''s Trampoline]],MATCH(Table92[[#This Row],[Country]],Tabela1[Country], 0),0))</f>
        <v>0</v>
      </c>
      <c r="AT80" s="6">
        <f>SUM(INDEX(Tabela1[[Triathlon - Men''s Individual]:[Triathlon - Mixed Relay]],MATCH(Table92[[#This Row],[Country]],Tabela1[Country], 0),0))</f>
        <v>0</v>
      </c>
      <c r="AU80" s="6">
        <f>SUM(INDEX(Tabela1[[Volleyball - Men''s Tournament]:[Volleyball - Women''s Tournament]],MATCH(Table92[[#This Row],[Country]],Tabela1[Country], 0),0))</f>
        <v>0</v>
      </c>
      <c r="AV80" s="6">
        <f>SUM(INDEX(Tabela1[[Water Polo - Men''s Tournament]:[Water Polo - Women''s Tournament]],MATCH(Table92[[#This Row],[Country]],Tabela1[Country], 0),0))</f>
        <v>0</v>
      </c>
      <c r="AW80" s="6">
        <f>SUM(INDEX(Tabela1[[Weightlifting - Men''s 61kg]:[Weightlifting - Women''s +81kg]],MATCH(Table92[[#This Row],[Country]],Tabela1[Country], 0),0))</f>
        <v>0</v>
      </c>
      <c r="AX80" s="6">
        <f>SUM(INDEX(Tabela1[[Wrestling - Men''s Freestyle 57kg]:[Wrestling - Women''s Freestyle 76kg]],MATCH(Table92[[#This Row],[Country]],Tabela1[Country], 0),0))</f>
        <v>0</v>
      </c>
      <c r="AY80" s="6">
        <f>SUM(INDEX(Tabela1[[Alpine Skiing - Men''s Downhill]:[Alpine Skiing - Women''s Team Combined]],MATCH(Table92[[#This Row],[Country]],Tabela1[Country], 0),0))</f>
        <v>2</v>
      </c>
      <c r="AZ80" s="6">
        <f>SUM(INDEX(Tabela1[[Biathlon - Men''s Individual]:[Biathlon - Mixed Relay]],MATCH(Table92[[#This Row],[Country]],Tabela1[Country], 0),0))</f>
        <v>0</v>
      </c>
      <c r="BA80" s="6">
        <f>SUM(INDEX(Tabela1[[Bobsleigh - Women''s Monobob]:[Bobsleigh - Men''s Four]],MATCH(Table92[[#This Row],[Country]],Tabela1[Country], 0),0))</f>
        <v>0</v>
      </c>
      <c r="BB80" s="6">
        <f>SUM(INDEX(Tabela1[[Cross-country skiing - Men''s Classical]:[Cross-country skiing - Women''s Team Sprint]],MATCH(Table92[[#This Row],[Country]],Tabela1[Country], 0),0))</f>
        <v>0</v>
      </c>
      <c r="BC80" s="6">
        <f>SUM(INDEX(Tabela1[[Curling - Men''s Tournament]:[Curling - Mixed Doubles]],MATCH(Table92[[#This Row],[Country]],Tabela1[Country], 0),0))</f>
        <v>0</v>
      </c>
      <c r="BD80" s="6">
        <f>SUM(INDEX(Tabela1[[Figure Skating - Men''s Singles]:[Figure Skating - Team Event]],MATCH(Table92[[#This Row],[Country]],Tabela1[Country], 0),0))</f>
        <v>0</v>
      </c>
      <c r="BE80" s="6">
        <f>SUM(INDEX(Tabela1[[Freestyle Skiing - Men''s Aerials]:[Freestyle Skiing - Women''s Slopestyle]],MATCH(Table92[[#This Row],[Country]],Tabela1[Country], 0),0))</f>
        <v>2</v>
      </c>
      <c r="BF80" s="6">
        <f>SUM(INDEX(Tabela1[[Ice Hockey - Men''s Tournament]:[Ice Hockey - Women''s Tournament]],MATCH(Table92[[#This Row],[Country]],Tabela1[Country], 0),0))</f>
        <v>0</v>
      </c>
      <c r="BG80" s="6">
        <f>SUM(INDEX(Tabela1[[Luge - Men''s Singles]:[Luge - Mixed Team Relay]],MATCH(Table92[[#This Row],[Country]],Tabela1[Country], 0),0))</f>
        <v>0</v>
      </c>
      <c r="BH80" s="6">
        <f>SUM(INDEX(Tabela1[[Nordic Combined - Men''s Individual]:[Nordic Combined - Men''s Team Sprint Large Hill]],MATCH(Table92[[#This Row],[Country]],Tabela1[Country], 0),0))</f>
        <v>0</v>
      </c>
      <c r="BI80" s="6">
        <f>SUM(INDEX(Tabela1[[Short track speed skating - Men''s 500m]:[Short track speed skating - Mixed 2000m Relay]],MATCH(Table92[[#This Row],[Country]],Tabela1[Country], 0),0))</f>
        <v>0</v>
      </c>
      <c r="BJ80" s="6">
        <f>SUM(INDEX(Tabela1[[Skeleton - Men''s Individual]:[Skeleton - Mixed Team]],MATCH(Table92[[#This Row],[Country]],Tabela1[Country], 0),0))</f>
        <v>0</v>
      </c>
      <c r="BK80" s="6">
        <f>SUM(INDEX(Tabela1[[Ski Jumping - Men''s Individual Large Hill]:[Ski Jumping - Mixed Team Normal Hill]],MATCH(Table92[[#This Row],[Country]],Tabela1[Country], 0),0))</f>
        <v>0</v>
      </c>
      <c r="BL80" s="6">
        <f>SUM(INDEX(Tabela1[[Ski Mountaineering - Men''s Sprint]:[Ski Mountaineering - Mixed Relay]],MATCH(Table92[[#This Row],[Country]],Tabela1[Country], 0),0))</f>
        <v>0</v>
      </c>
      <c r="BM80" s="6">
        <f>SUM(INDEX(Tabela1[[Snowboarding - Men''s Big Air]:[Snowboarding - Mixed Team Snowboard Cross]],MATCH(Table92[[#This Row],[Country]],Tabela1[Country], 0),0))</f>
        <v>0</v>
      </c>
      <c r="BN80" s="6">
        <f>SUM(INDEX(Tabela1[[Speed Skating - Men''s 500m]:[Speed Skating - Women''s Team Pursuit]],MATCH(Table92[[#This Row],[Country]],Tabela1[Country], 0),0))</f>
        <v>0</v>
      </c>
      <c r="BO80" s="6" t="str">
        <f>SUBSTITUTE(INDEX(Table92[[#Headers],[Archery Quotas]:[Speed Skating Quotas]], MATCH(MAX(Table92[[#This Row],[Archery Quotas]:[Speed Skating Quotas]]), Table92[[#This Row],[Archery Quotas]:[Speed Skating Quotas]], 0))," Quotas","")</f>
        <v>Alpine Skiing</v>
      </c>
      <c r="BP80" s="6">
        <f>SUM(Table92[[#This Row],[Summer Sports]:[Winter Sports]])</f>
        <v>4</v>
      </c>
      <c r="BQ80" s="6">
        <f>COUNTIF(Table92[[#This Row],[Archery Quotas]:[Wrestling Quotas]],"&lt;&gt;0")</f>
        <v>2</v>
      </c>
      <c r="BR80" s="6">
        <f>COUNTIF(Table92[[#This Row],[Alpine Skiing Quotas]:[Speed Skating Quotas]],"&lt;&gt;0")</f>
        <v>2</v>
      </c>
      <c r="BS80" s="4" t="s">
        <v>423</v>
      </c>
    </row>
    <row r="81" spans="1:71" x14ac:dyDescent="0.3">
      <c r="A81" s="6" t="s">
        <v>508</v>
      </c>
      <c r="B81" t="e" vm="80">
        <f>IF(ISBLANK(Table92[[#This Row],[Flag Link]]), "", _xlfn.IMAGE(Table92[[#This Row],[Flag Link]],1,1))</f>
        <v>#VALUE!</v>
      </c>
      <c r="C81" s="6">
        <f>SUM(Table92[[#This Row],[Archery Quotas]:[Speed Skating Quotas]])</f>
        <v>5</v>
      </c>
      <c r="D81" s="6">
        <f>SUM(INDEX(Tabela1[[Archery - Men''s Individual Recurve]:[Archery - Mixed Team Recurve]],MATCH(Table92[[#This Row],[Country]],Tabela1[Country], 0),0))</f>
        <v>0</v>
      </c>
      <c r="E81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81" s="6">
        <f>SUM(INDEX(Tabela1[[Artistic Swimming - Women''s Duet]:[Artistic Swimming - Women''s Team]],MATCH(Table92[[#This Row],[Country]],Tabela1[Country], 0),0))</f>
        <v>0</v>
      </c>
      <c r="G81" s="6">
        <f>SUM(INDEX(Tabela1[[Athletics - Men''s 100m]:[Athletics - Women''s Heptathlon]],MATCH(Table92[[#This Row],[Country]],Tabela1[Country], 0),0))</f>
        <v>0</v>
      </c>
      <c r="H81" s="6">
        <f>SUM(INDEX(Tabela1[[Badminton - Men''s Singles]:[Badminton - Mixed Doubles]],MATCH(Table92[[#This Row],[Country]],Tabela1[Country], 0),0))</f>
        <v>0</v>
      </c>
      <c r="I81" s="6">
        <f>SUM(INDEX(Tabela1[[Basketball - Men''s Tournament]:[Basketball - Women''s Tournament]],MATCH(Table92[[#This Row],[Country]],Tabela1[Country], 0),0))</f>
        <v>0</v>
      </c>
      <c r="J81" s="6">
        <f>SUM(INDEX(Tabela1[[3x3 Basketball - Men''s Tournament]:[3x3 Basketball - Women''s Tournament]],MATCH(Table92[[#This Row],[Country]],Tabela1[Country], 0),0))</f>
        <v>0</v>
      </c>
      <c r="K81" s="6">
        <f>SUM(INDEX(Tabela1[[Beach Volleyball - Men''s Tournament]:[Beach Volleyball - Women''s Tournament]],MATCH(Table92[[#This Row],[Country]],Tabela1[Country], 0),0))</f>
        <v>0</v>
      </c>
      <c r="L81" s="6">
        <f>SUM(INDEX(Tabela1[[Boxing - Men''s 51kg]:[Boxing - Women''s 75kg]],MATCH(Table92[[#This Row],[Country]],Tabela1[Country], 0),0))</f>
        <v>0</v>
      </c>
      <c r="M81" s="6">
        <f>SUM(INDEX(Tabela1[[Breaking - Men''s Individual]:[Breaking - Women''s Individual]],MATCH(Table92[[#This Row],[Country]],Tabela1[Country], 0),0))</f>
        <v>0</v>
      </c>
      <c r="N81" s="6">
        <f>SUM(INDEX(Tabela1[[Canoeing - Men''s C1 Slalom]:[Canoeing - Women''s Kayak Cross Slalom]],MATCH(Table92[[#This Row],[Country]],Tabela1[Country], 0),0))</f>
        <v>0</v>
      </c>
      <c r="O81" s="6">
        <f>SUM(INDEX(Tabela1[[Canoeing - Women''s C1 200m]:[Canoeing - Women''s K4 500m]],MATCH(Table92[[#This Row],[Country]],Tabela1[Country], 0),0))</f>
        <v>0</v>
      </c>
      <c r="P81" s="6">
        <f>SUM(INDEX(Tabela1[[Cycling - Men''s BMX Freestyle]:[Cycling - Women''s BMX Freestyle]],MATCH(Table92[[#This Row],[Country]],Tabela1[Country], 0),0))</f>
        <v>0</v>
      </c>
      <c r="Q81" s="6">
        <f>SUM(INDEX(Tabela1[[Cycling - Men''s BMX Racing]:[Cycling - Women''s BMX Racing]],MATCH(Table92[[#This Row],[Country]],Tabela1[Country], 0),0))</f>
        <v>1</v>
      </c>
      <c r="R81" s="6">
        <f>SUM(INDEX(Tabela1[[Cycling - Men''s Cross-Country]:[Cycling - Women''s Cross-Country]],MATCH(Table92[[#This Row],[Country]],Tabela1[Country], 0),0))</f>
        <v>0</v>
      </c>
      <c r="S81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81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81" s="6">
        <f>SUM(INDEX(Tabela1[[Diving - Men''s Springboard]:[Diving - Women''s Synchronized Platform]],MATCH(Table92[[#This Row],[Country]],Tabela1[Country], 0),0))</f>
        <v>0</v>
      </c>
      <c r="V81" s="6">
        <f>SUM(INDEX(Tabela1[[Equestrian - Individual Dressage]:[Equestrian - Team Dressage]],MATCH(Table92[[#This Row],[Country]],Tabela1[Country], 0),0))</f>
        <v>0</v>
      </c>
      <c r="W81" s="6">
        <f>SUM(INDEX(Tabela1[[Equestrian - Individual Eventing]:[Equestrian - Team Eventing]],MATCH(Table92[[#This Row],[Country]],Tabela1[Country], 0),0))</f>
        <v>0</v>
      </c>
      <c r="X81" s="6">
        <f>SUM(INDEX(Tabela1[[Equestrian - Individual Jumping]:[Equestrian - Team Jumping]],MATCH(Table92[[#This Row],[Country]],Tabela1[Country], 0),0))</f>
        <v>0</v>
      </c>
      <c r="Y81" s="6">
        <f>SUM(INDEX(Tabela1[[Fencing - Men''s Épée]:[Fencing - Women''s Team Sabre]],MATCH(Table92[[#This Row],[Country]],Tabela1[Country], 0),0))</f>
        <v>0</v>
      </c>
      <c r="Z81" s="6">
        <f>SUM(INDEX(Tabela1[[Field Hockey - Men''s Tournament]:[Field Hockey - Women''s Tournament]],MATCH(Table92[[#This Row],[Country]],Tabela1[Country], 0),0))</f>
        <v>0</v>
      </c>
      <c r="AA81" s="6">
        <f>SUM(INDEX(Tabela1[[Football - Men''s Tournament]:[Football - Women''s Tournament]],MATCH(Table92[[#This Row],[Country]],Tabela1[Country], 0),0))</f>
        <v>0</v>
      </c>
      <c r="AB81" s="6">
        <f>SUM(INDEX(Tabela1[[Golf - Men''s Individual]:[Golf - Women''s Individual]],MATCH(Table92[[#This Row],[Country]],Tabela1[Country], 0),0))</f>
        <v>0</v>
      </c>
      <c r="AC81" s="6">
        <f>SUM(INDEX(Tabela1[[Handball - Men''s Tournament]:[Handball - Women''s Tournament]],MATCH(Table92[[#This Row],[Country]],Tabela1[Country], 0),0))</f>
        <v>0</v>
      </c>
      <c r="AD81" s="6">
        <f>SUM(INDEX(Tabela1[[Judo - Men''s 60kg]:[Judo - Mixed Team]],MATCH(Table92[[#This Row],[Country]],Tabela1[Country], 0),0))</f>
        <v>0</v>
      </c>
      <c r="AE81" s="6">
        <f>SUM(INDEX(Tabela1[[Swimming - Men''s 10km Open Water]:[Swimming - Women''s 10km Open Water]],MATCH(Table92[[#This Row],[Country]],Tabela1[Country], 0),0))</f>
        <v>0</v>
      </c>
      <c r="AF81" s="6">
        <f>SUM(INDEX(Tabela1[[Modern Pentathlon - Men''s Individual]:[Modern Pentathlon - Women''s Individual]],MATCH(Table92[[#This Row],[Country]],Tabela1[Country], 0),0))</f>
        <v>0</v>
      </c>
      <c r="AG81" s="6">
        <f>SUM(INDEX(Tabela1[[Rhythmic Gymnastics - Women''s Individual All-Around]:[Rhythmic Gymnastics - Women''s Group All-Around]],MATCH(Table92[[#This Row],[Country]],Tabela1[Country], 0),0))</f>
        <v>0</v>
      </c>
      <c r="AH81" s="6">
        <f>SUM(INDEX(Tabela1[[Rowing - Men''s Single Sculls]:[Rowing - Women''s Lwt. Double Sculls]],MATCH(Table92[[#This Row],[Country]],Tabela1[Country], 0),0))</f>
        <v>0</v>
      </c>
      <c r="AI81" s="6">
        <f>SUM(INDEX(Tabela1[[Rugby Sevens - Men''s Tournament]:[Rugby Sevens - Women''s Tournament]],MATCH(Table92[[#This Row],[Country]],Tabela1[Country], 0),0))</f>
        <v>0</v>
      </c>
      <c r="AJ81" s="6">
        <f>SUM(INDEX(Tabela1[[Sailing - Mixed 470]:[Sailing - Mixed Nacra 17]],MATCH(Table92[[#This Row],[Country]],Tabela1[Country], 0),0))</f>
        <v>1</v>
      </c>
      <c r="AK81" s="6">
        <f>SUM(INDEX(Tabela1[[Shooting - Men''s 10m Air Pistol]:[Shooting - Women''s Trap]],MATCH(Table92[[#This Row],[Country]],Tabela1[Country], 0),0))</f>
        <v>0</v>
      </c>
      <c r="AL81" s="6">
        <f>SUM(INDEX(Tabela1[[Skateboarding - Men''s Park]:[Skateboarding - Women''s Street]],MATCH(Table92[[#This Row],[Country]],Tabela1[Country], 0),0))</f>
        <v>0</v>
      </c>
      <c r="AM81" s="6">
        <f>SUM(INDEX(Tabela1[[Sport Climbing - Men''s Boulder and Lead]:[Sport Climbing - Women''s Speed]],MATCH(Table92[[#This Row],[Country]],Tabela1[Country], 0),0))</f>
        <v>0</v>
      </c>
      <c r="AN81" s="6">
        <f>SUM(INDEX(Tabela1[[Surfing - Men''s Shortboard]:[Surfing - Women''s Shortboard]],MATCH(Table92[[#This Row],[Country]],Tabela1[Country], 0),0))</f>
        <v>0</v>
      </c>
      <c r="AO81" s="6">
        <f>SUM(INDEX(Tabela1[[Swimming - Men''s 50m Freestyle]:[Swimming - Mixed 4x100m Medley Relay]],MATCH(Table92[[#This Row],[Country]],Tabela1[Country], 0),0))</f>
        <v>3</v>
      </c>
      <c r="AP81" s="6">
        <f>SUM(INDEX(Tabela1[[Table Tennis - Men''s Singles]:[Table Tennis - Mixed Doubles]],MATCH(Table92[[#This Row],[Country]],Tabela1[Country], 0),0))</f>
        <v>0</v>
      </c>
      <c r="AQ81" s="6">
        <f>SUM(INDEX(Tabela1[[Taekwondo - Men''s 58kg]:[Taekwondo - Women''s +67kg]],MATCH(Table92[[#This Row],[Country]],Tabela1[Country], 0),0))</f>
        <v>0</v>
      </c>
      <c r="AR81" s="6">
        <f>SUM(INDEX(Tabela1[[Tennis - Men''s Singles]:[Tennis - Mixed Doubles]],MATCH(Table92[[#This Row],[Country]],Tabela1[Country], 0),0))</f>
        <v>0</v>
      </c>
      <c r="AS81" s="6">
        <f>SUM(INDEX(Tabela1[[Gymnastics - Men''s Trampoline]:[Gymnastics - Women''s Trampoline]],MATCH(Table92[[#This Row],[Country]],Tabela1[Country], 0),0))</f>
        <v>0</v>
      </c>
      <c r="AT81" s="6">
        <f>SUM(INDEX(Tabela1[[Triathlon - Men''s Individual]:[Triathlon - Mixed Relay]],MATCH(Table92[[#This Row],[Country]],Tabela1[Country], 0),0))</f>
        <v>0</v>
      </c>
      <c r="AU81" s="6">
        <f>SUM(INDEX(Tabela1[[Volleyball - Men''s Tournament]:[Volleyball - Women''s Tournament]],MATCH(Table92[[#This Row],[Country]],Tabela1[Country], 0),0))</f>
        <v>0</v>
      </c>
      <c r="AV81" s="6">
        <f>SUM(INDEX(Tabela1[[Water Polo - Men''s Tournament]:[Water Polo - Women''s Tournament]],MATCH(Table92[[#This Row],[Country]],Tabela1[Country], 0),0))</f>
        <v>0</v>
      </c>
      <c r="AW81" s="6">
        <f>SUM(INDEX(Tabela1[[Weightlifting - Men''s 61kg]:[Weightlifting - Women''s +81kg]],MATCH(Table92[[#This Row],[Country]],Tabela1[Country], 0),0))</f>
        <v>0</v>
      </c>
      <c r="AX81" s="6">
        <f>SUM(INDEX(Tabela1[[Wrestling - Men''s Freestyle 57kg]:[Wrestling - Women''s Freestyle 76kg]],MATCH(Table92[[#This Row],[Country]],Tabela1[Country], 0),0))</f>
        <v>0</v>
      </c>
      <c r="AY81" s="6">
        <f>SUM(INDEX(Tabela1[[Alpine Skiing - Men''s Downhill]:[Alpine Skiing - Women''s Team Combined]],MATCH(Table92[[#This Row],[Country]],Tabela1[Country], 0),0))</f>
        <v>0</v>
      </c>
      <c r="AZ81" s="6">
        <f>SUM(INDEX(Tabela1[[Biathlon - Men''s Individual]:[Biathlon - Mixed Relay]],MATCH(Table92[[#This Row],[Country]],Tabela1[Country], 0),0))</f>
        <v>0</v>
      </c>
      <c r="BA81" s="6">
        <f>SUM(INDEX(Tabela1[[Bobsleigh - Women''s Monobob]:[Bobsleigh - Men''s Four]],MATCH(Table92[[#This Row],[Country]],Tabela1[Country], 0),0))</f>
        <v>0</v>
      </c>
      <c r="BB81" s="6">
        <f>SUM(INDEX(Tabela1[[Cross-country skiing - Men''s Classical]:[Cross-country skiing - Women''s Team Sprint]],MATCH(Table92[[#This Row],[Country]],Tabela1[Country], 0),0))</f>
        <v>0</v>
      </c>
      <c r="BC81" s="6">
        <f>SUM(INDEX(Tabela1[[Curling - Men''s Tournament]:[Curling - Mixed Doubles]],MATCH(Table92[[#This Row],[Country]],Tabela1[Country], 0),0))</f>
        <v>0</v>
      </c>
      <c r="BD81" s="6">
        <f>SUM(INDEX(Tabela1[[Figure Skating - Men''s Singles]:[Figure Skating - Team Event]],MATCH(Table92[[#This Row],[Country]],Tabela1[Country], 0),0))</f>
        <v>0</v>
      </c>
      <c r="BE81" s="6">
        <f>SUM(INDEX(Tabela1[[Freestyle Skiing - Men''s Aerials]:[Freestyle Skiing - Women''s Slopestyle]],MATCH(Table92[[#This Row],[Country]],Tabela1[Country], 0),0))</f>
        <v>0</v>
      </c>
      <c r="BF81" s="6">
        <f>SUM(INDEX(Tabela1[[Ice Hockey - Men''s Tournament]:[Ice Hockey - Women''s Tournament]],MATCH(Table92[[#This Row],[Country]],Tabela1[Country], 0),0))</f>
        <v>0</v>
      </c>
      <c r="BG81" s="6">
        <f>SUM(INDEX(Tabela1[[Luge - Men''s Singles]:[Luge - Mixed Team Relay]],MATCH(Table92[[#This Row],[Country]],Tabela1[Country], 0),0))</f>
        <v>0</v>
      </c>
      <c r="BH81" s="6">
        <f>SUM(INDEX(Tabela1[[Nordic Combined - Men''s Individual]:[Nordic Combined - Men''s Team Sprint Large Hill]],MATCH(Table92[[#This Row],[Country]],Tabela1[Country], 0),0))</f>
        <v>0</v>
      </c>
      <c r="BI81" s="6">
        <f>SUM(INDEX(Tabela1[[Short track speed skating - Men''s 500m]:[Short track speed skating - Mixed 2000m Relay]],MATCH(Table92[[#This Row],[Country]],Tabela1[Country], 0),0))</f>
        <v>0</v>
      </c>
      <c r="BJ81" s="6">
        <f>SUM(INDEX(Tabela1[[Skeleton - Men''s Individual]:[Skeleton - Mixed Team]],MATCH(Table92[[#This Row],[Country]],Tabela1[Country], 0),0))</f>
        <v>0</v>
      </c>
      <c r="BK81" s="6">
        <f>SUM(INDEX(Tabela1[[Ski Jumping - Men''s Individual Large Hill]:[Ski Jumping - Mixed Team Normal Hill]],MATCH(Table92[[#This Row],[Country]],Tabela1[Country], 0),0))</f>
        <v>0</v>
      </c>
      <c r="BL81" s="6">
        <f>SUM(INDEX(Tabela1[[Ski Mountaineering - Men''s Sprint]:[Ski Mountaineering - Mixed Relay]],MATCH(Table92[[#This Row],[Country]],Tabela1[Country], 0),0))</f>
        <v>0</v>
      </c>
      <c r="BM81" s="6">
        <f>SUM(INDEX(Tabela1[[Snowboarding - Men''s Big Air]:[Snowboarding - Mixed Team Snowboard Cross]],MATCH(Table92[[#This Row],[Country]],Tabela1[Country], 0),0))</f>
        <v>0</v>
      </c>
      <c r="BN81" s="6">
        <f>SUM(INDEX(Tabela1[[Speed Skating - Men''s 500m]:[Speed Skating - Women''s Team Pursuit]],MATCH(Table92[[#This Row],[Country]],Tabela1[Country], 0),0))</f>
        <v>0</v>
      </c>
      <c r="BO81" s="6" t="str">
        <f>SUBSTITUTE(INDEX(Table92[[#Headers],[Archery Quotas]:[Speed Skating Quotas]], MATCH(MAX(Table92[[#This Row],[Archery Quotas]:[Speed Skating Quotas]]), Table92[[#This Row],[Archery Quotas]:[Speed Skating Quotas]], 0))," Quotas","")</f>
        <v>Swimming</v>
      </c>
      <c r="BP81" s="6">
        <f>SUM(Table92[[#This Row],[Summer Sports]:[Winter Sports]])</f>
        <v>3</v>
      </c>
      <c r="BQ81" s="6">
        <f>COUNTIF(Table92[[#This Row],[Archery Quotas]:[Wrestling Quotas]],"&lt;&gt;0")</f>
        <v>3</v>
      </c>
      <c r="BR81" s="6">
        <f>COUNTIF(Table92[[#This Row],[Alpine Skiing Quotas]:[Speed Skating Quotas]],"&lt;&gt;0")</f>
        <v>0</v>
      </c>
      <c r="BS81" s="3" t="s">
        <v>509</v>
      </c>
    </row>
    <row r="82" spans="1:71" x14ac:dyDescent="0.3">
      <c r="A82" s="6" t="s">
        <v>460</v>
      </c>
      <c r="B82" t="e" vm="84">
        <f>IF(ISBLANK(Table92[[#This Row],[Flag Link]]), "", _xlfn.IMAGE(Table92[[#This Row],[Flag Link]],1,1))</f>
        <v>#VALUE!</v>
      </c>
      <c r="C82" s="6">
        <f>SUM(Table92[[#This Row],[Archery Quotas]:[Speed Skating Quotas]])</f>
        <v>5</v>
      </c>
      <c r="D82" s="6">
        <f>SUM(INDEX(Tabela1[[Archery - Men''s Individual Recurve]:[Archery - Mixed Team Recurve]],MATCH(Table92[[#This Row],[Country]],Tabela1[Country], 0),0))</f>
        <v>0</v>
      </c>
      <c r="E82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82" s="6">
        <f>SUM(INDEX(Tabela1[[Artistic Swimming - Women''s Duet]:[Artistic Swimming - Women''s Team]],MATCH(Table92[[#This Row],[Country]],Tabela1[Country], 0),0))</f>
        <v>0</v>
      </c>
      <c r="G82" s="6">
        <f>SUM(INDEX(Tabela1[[Athletics - Men''s 100m]:[Athletics - Women''s Heptathlon]],MATCH(Table92[[#This Row],[Country]],Tabela1[Country], 0),0))</f>
        <v>0</v>
      </c>
      <c r="H82" s="6">
        <f>SUM(INDEX(Tabela1[[Badminton - Men''s Singles]:[Badminton - Mixed Doubles]],MATCH(Table92[[#This Row],[Country]],Tabela1[Country], 0),0))</f>
        <v>0</v>
      </c>
      <c r="I82" s="6">
        <f>SUM(INDEX(Tabela1[[Basketball - Men''s Tournament]:[Basketball - Women''s Tournament]],MATCH(Table92[[#This Row],[Country]],Tabela1[Country], 0),0))</f>
        <v>0</v>
      </c>
      <c r="J82" s="6">
        <f>SUM(INDEX(Tabela1[[3x3 Basketball - Men''s Tournament]:[3x3 Basketball - Women''s Tournament]],MATCH(Table92[[#This Row],[Country]],Tabela1[Country], 0),0))</f>
        <v>0</v>
      </c>
      <c r="K82" s="6">
        <f>SUM(INDEX(Tabela1[[Beach Volleyball - Men''s Tournament]:[Beach Volleyball - Women''s Tournament]],MATCH(Table92[[#This Row],[Country]],Tabela1[Country], 0),0))</f>
        <v>0</v>
      </c>
      <c r="L82" s="6">
        <f>SUM(INDEX(Tabela1[[Boxing - Men''s 51kg]:[Boxing - Women''s 75kg]],MATCH(Table92[[#This Row],[Country]],Tabela1[Country], 0),0))</f>
        <v>0</v>
      </c>
      <c r="M82" s="6">
        <f>SUM(INDEX(Tabela1[[Breaking - Men''s Individual]:[Breaking - Women''s Individual]],MATCH(Table92[[#This Row],[Country]],Tabela1[Country], 0),0))</f>
        <v>0</v>
      </c>
      <c r="N82" s="6">
        <f>SUM(INDEX(Tabela1[[Canoeing - Men''s C1 Slalom]:[Canoeing - Women''s Kayak Cross Slalom]],MATCH(Table92[[#This Row],[Country]],Tabela1[Country], 0),0))</f>
        <v>0</v>
      </c>
      <c r="O82" s="6">
        <f>SUM(INDEX(Tabela1[[Canoeing - Women''s C1 200m]:[Canoeing - Women''s K4 500m]],MATCH(Table92[[#This Row],[Country]],Tabela1[Country], 0),0))</f>
        <v>0</v>
      </c>
      <c r="P82" s="6">
        <f>SUM(INDEX(Tabela1[[Cycling - Men''s BMX Freestyle]:[Cycling - Women''s BMX Freestyle]],MATCH(Table92[[#This Row],[Country]],Tabela1[Country], 0),0))</f>
        <v>0</v>
      </c>
      <c r="Q82" s="6">
        <f>SUM(INDEX(Tabela1[[Cycling - Men''s BMX Racing]:[Cycling - Women''s BMX Racing]],MATCH(Table92[[#This Row],[Country]],Tabela1[Country], 0),0))</f>
        <v>0</v>
      </c>
      <c r="R82" s="6">
        <f>SUM(INDEX(Tabela1[[Cycling - Men''s Cross-Country]:[Cycling - Women''s Cross-Country]],MATCH(Table92[[#This Row],[Country]],Tabela1[Country], 0),0))</f>
        <v>0</v>
      </c>
      <c r="S82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82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82" s="6">
        <f>SUM(INDEX(Tabela1[[Diving - Men''s Springboard]:[Diving - Women''s Synchronized Platform]],MATCH(Table92[[#This Row],[Country]],Tabela1[Country], 0),0))</f>
        <v>0</v>
      </c>
      <c r="V82" s="6">
        <f>SUM(INDEX(Tabela1[[Equestrian - Individual Dressage]:[Equestrian - Team Dressage]],MATCH(Table92[[#This Row],[Country]],Tabela1[Country], 0),0))</f>
        <v>0</v>
      </c>
      <c r="W82" s="6">
        <f>SUM(INDEX(Tabela1[[Equestrian - Individual Eventing]:[Equestrian - Team Eventing]],MATCH(Table92[[#This Row],[Country]],Tabela1[Country], 0),0))</f>
        <v>0</v>
      </c>
      <c r="X82" s="6">
        <f>SUM(INDEX(Tabela1[[Equestrian - Individual Jumping]:[Equestrian - Team Jumping]],MATCH(Table92[[#This Row],[Country]],Tabela1[Country], 0),0))</f>
        <v>0</v>
      </c>
      <c r="Y82" s="6">
        <f>SUM(INDEX(Tabela1[[Fencing - Men''s Épée]:[Fencing - Women''s Team Sabre]],MATCH(Table92[[#This Row],[Country]],Tabela1[Country], 0),0))</f>
        <v>0</v>
      </c>
      <c r="Z82" s="6">
        <f>SUM(INDEX(Tabela1[[Field Hockey - Men''s Tournament]:[Field Hockey - Women''s Tournament]],MATCH(Table92[[#This Row],[Country]],Tabela1[Country], 0),0))</f>
        <v>0</v>
      </c>
      <c r="AA82" s="6">
        <f>SUM(INDEX(Tabela1[[Football - Men''s Tournament]:[Football - Women''s Tournament]],MATCH(Table92[[#This Row],[Country]],Tabela1[Country], 0),0))</f>
        <v>0</v>
      </c>
      <c r="AB82" s="6">
        <f>SUM(INDEX(Tabela1[[Golf - Men''s Individual]:[Golf - Women''s Individual]],MATCH(Table92[[#This Row],[Country]],Tabela1[Country], 0),0))</f>
        <v>0</v>
      </c>
      <c r="AC82" s="6">
        <f>SUM(INDEX(Tabela1[[Handball - Men''s Tournament]:[Handball - Women''s Tournament]],MATCH(Table92[[#This Row],[Country]],Tabela1[Country], 0),0))</f>
        <v>0</v>
      </c>
      <c r="AD82" s="6">
        <f>SUM(INDEX(Tabela1[[Judo - Men''s 60kg]:[Judo - Mixed Team]],MATCH(Table92[[#This Row],[Country]],Tabela1[Country], 0),0))</f>
        <v>0</v>
      </c>
      <c r="AE82" s="6">
        <f>SUM(INDEX(Tabela1[[Swimming - Men''s 10km Open Water]:[Swimming - Women''s 10km Open Water]],MATCH(Table92[[#This Row],[Country]],Tabela1[Country], 0),0))</f>
        <v>0</v>
      </c>
      <c r="AF82" s="6">
        <f>SUM(INDEX(Tabela1[[Modern Pentathlon - Men''s Individual]:[Modern Pentathlon - Women''s Individual]],MATCH(Table92[[#This Row],[Country]],Tabela1[Country], 0),0))</f>
        <v>0</v>
      </c>
      <c r="AG82" s="6">
        <f>SUM(INDEX(Tabela1[[Rhythmic Gymnastics - Women''s Individual All-Around]:[Rhythmic Gymnastics - Women''s Group All-Around]],MATCH(Table92[[#This Row],[Country]],Tabela1[Country], 0),0))</f>
        <v>0</v>
      </c>
      <c r="AH82" s="6">
        <f>SUM(INDEX(Tabela1[[Rowing - Men''s Single Sculls]:[Rowing - Women''s Lwt. Double Sculls]],MATCH(Table92[[#This Row],[Country]],Tabela1[Country], 0),0))</f>
        <v>0</v>
      </c>
      <c r="AI82" s="6">
        <f>SUM(INDEX(Tabela1[[Rugby Sevens - Men''s Tournament]:[Rugby Sevens - Women''s Tournament]],MATCH(Table92[[#This Row],[Country]],Tabela1[Country], 0),0))</f>
        <v>0</v>
      </c>
      <c r="AJ82" s="6">
        <f>SUM(INDEX(Tabela1[[Sailing - Mixed 470]:[Sailing - Mixed Nacra 17]],MATCH(Table92[[#This Row],[Country]],Tabela1[Country], 0),0))</f>
        <v>0</v>
      </c>
      <c r="AK82" s="6">
        <f>SUM(INDEX(Tabela1[[Shooting - Men''s 10m Air Pistol]:[Shooting - Women''s Trap]],MATCH(Table92[[#This Row],[Country]],Tabela1[Country], 0),0))</f>
        <v>0</v>
      </c>
      <c r="AL82" s="6">
        <f>SUM(INDEX(Tabela1[[Skateboarding - Men''s Park]:[Skateboarding - Women''s Street]],MATCH(Table92[[#This Row],[Country]],Tabela1[Country], 0),0))</f>
        <v>0</v>
      </c>
      <c r="AM82" s="6">
        <f>SUM(INDEX(Tabela1[[Sport Climbing - Men''s Boulder and Lead]:[Sport Climbing - Women''s Speed]],MATCH(Table92[[#This Row],[Country]],Tabela1[Country], 0),0))</f>
        <v>0</v>
      </c>
      <c r="AN82" s="6">
        <f>SUM(INDEX(Tabela1[[Surfing - Men''s Shortboard]:[Surfing - Women''s Shortboard]],MATCH(Table92[[#This Row],[Country]],Tabela1[Country], 0),0))</f>
        <v>0</v>
      </c>
      <c r="AO82" s="6">
        <f>SUM(INDEX(Tabela1[[Swimming - Men''s 50m Freestyle]:[Swimming - Mixed 4x100m Medley Relay]],MATCH(Table92[[#This Row],[Country]],Tabela1[Country], 0),0))</f>
        <v>1</v>
      </c>
      <c r="AP82" s="6">
        <f>SUM(INDEX(Tabela1[[Table Tennis - Men''s Singles]:[Table Tennis - Mixed Doubles]],MATCH(Table92[[#This Row],[Country]],Tabela1[Country], 0),0))</f>
        <v>0</v>
      </c>
      <c r="AQ82" s="6">
        <f>SUM(INDEX(Tabela1[[Taekwondo - Men''s 58kg]:[Taekwondo - Women''s +67kg]],MATCH(Table92[[#This Row],[Country]],Tabela1[Country], 0),0))</f>
        <v>1</v>
      </c>
      <c r="AR82" s="6">
        <f>SUM(INDEX(Tabela1[[Tennis - Men''s Singles]:[Tennis - Mixed Doubles]],MATCH(Table92[[#This Row],[Country]],Tabela1[Country], 0),0))</f>
        <v>2</v>
      </c>
      <c r="AS82" s="6">
        <f>SUM(INDEX(Tabela1[[Gymnastics - Men''s Trampoline]:[Gymnastics - Women''s Trampoline]],MATCH(Table92[[#This Row],[Country]],Tabela1[Country], 0),0))</f>
        <v>0</v>
      </c>
      <c r="AT82" s="6">
        <f>SUM(INDEX(Tabela1[[Triathlon - Men''s Individual]:[Triathlon - Mixed Relay]],MATCH(Table92[[#This Row],[Country]],Tabela1[Country], 0),0))</f>
        <v>0</v>
      </c>
      <c r="AU82" s="6">
        <f>SUM(INDEX(Tabela1[[Volleyball - Men''s Tournament]:[Volleyball - Women''s Tournament]],MATCH(Table92[[#This Row],[Country]],Tabela1[Country], 0),0))</f>
        <v>0</v>
      </c>
      <c r="AV82" s="6">
        <f>SUM(INDEX(Tabela1[[Water Polo - Men''s Tournament]:[Water Polo - Women''s Tournament]],MATCH(Table92[[#This Row],[Country]],Tabela1[Country], 0),0))</f>
        <v>0</v>
      </c>
      <c r="AW82" s="6">
        <f>SUM(INDEX(Tabela1[[Weightlifting - Men''s 61kg]:[Weightlifting - Women''s +81kg]],MATCH(Table92[[#This Row],[Country]],Tabela1[Country], 0),0))</f>
        <v>0</v>
      </c>
      <c r="AX82" s="6">
        <f>SUM(INDEX(Tabela1[[Wrestling - Men''s Freestyle 57kg]:[Wrestling - Women''s Freestyle 76kg]],MATCH(Table92[[#This Row],[Country]],Tabela1[Country], 0),0))</f>
        <v>0</v>
      </c>
      <c r="AY82" s="6">
        <f>SUM(INDEX(Tabela1[[Alpine Skiing - Men''s Downhill]:[Alpine Skiing - Women''s Team Combined]],MATCH(Table92[[#This Row],[Country]],Tabela1[Country], 0),0))</f>
        <v>0</v>
      </c>
      <c r="AZ82" s="6">
        <f>SUM(INDEX(Tabela1[[Biathlon - Men''s Individual]:[Biathlon - Mixed Relay]],MATCH(Table92[[#This Row],[Country]],Tabela1[Country], 0),0))</f>
        <v>0</v>
      </c>
      <c r="BA82" s="6">
        <f>SUM(INDEX(Tabela1[[Bobsleigh - Women''s Monobob]:[Bobsleigh - Men''s Four]],MATCH(Table92[[#This Row],[Country]],Tabela1[Country], 0),0))</f>
        <v>0</v>
      </c>
      <c r="BB82" s="6">
        <f>SUM(INDEX(Tabela1[[Cross-country skiing - Men''s Classical]:[Cross-country skiing - Women''s Team Sprint]],MATCH(Table92[[#This Row],[Country]],Tabela1[Country], 0),0))</f>
        <v>1</v>
      </c>
      <c r="BC82" s="6">
        <f>SUM(INDEX(Tabela1[[Curling - Men''s Tournament]:[Curling - Mixed Doubles]],MATCH(Table92[[#This Row],[Country]],Tabela1[Country], 0),0))</f>
        <v>0</v>
      </c>
      <c r="BD82" s="6">
        <f>SUM(INDEX(Tabela1[[Figure Skating - Men''s Singles]:[Figure Skating - Team Event]],MATCH(Table92[[#This Row],[Country]],Tabela1[Country], 0),0))</f>
        <v>0</v>
      </c>
      <c r="BE82" s="6">
        <f>SUM(INDEX(Tabela1[[Freestyle Skiing - Men''s Aerials]:[Freestyle Skiing - Women''s Slopestyle]],MATCH(Table92[[#This Row],[Country]],Tabela1[Country], 0),0))</f>
        <v>0</v>
      </c>
      <c r="BF82" s="6">
        <f>SUM(INDEX(Tabela1[[Ice Hockey - Men''s Tournament]:[Ice Hockey - Women''s Tournament]],MATCH(Table92[[#This Row],[Country]],Tabela1[Country], 0),0))</f>
        <v>0</v>
      </c>
      <c r="BG82" s="6">
        <f>SUM(INDEX(Tabela1[[Luge - Men''s Singles]:[Luge - Mixed Team Relay]],MATCH(Table92[[#This Row],[Country]],Tabela1[Country], 0),0))</f>
        <v>0</v>
      </c>
      <c r="BH82" s="6">
        <f>SUM(INDEX(Tabela1[[Nordic Combined - Men''s Individual]:[Nordic Combined - Men''s Team Sprint Large Hill]],MATCH(Table92[[#This Row],[Country]],Tabela1[Country], 0),0))</f>
        <v>0</v>
      </c>
      <c r="BI82" s="6">
        <f>SUM(INDEX(Tabela1[[Short track speed skating - Men''s 500m]:[Short track speed skating - Mixed 2000m Relay]],MATCH(Table92[[#This Row],[Country]],Tabela1[Country], 0),0))</f>
        <v>0</v>
      </c>
      <c r="BJ82" s="6">
        <f>SUM(INDEX(Tabela1[[Skeleton - Men''s Individual]:[Skeleton - Mixed Team]],MATCH(Table92[[#This Row],[Country]],Tabela1[Country], 0),0))</f>
        <v>0</v>
      </c>
      <c r="BK82" s="6">
        <f>SUM(INDEX(Tabela1[[Ski Jumping - Men''s Individual Large Hill]:[Ski Jumping - Mixed Team Normal Hill]],MATCH(Table92[[#This Row],[Country]],Tabela1[Country], 0),0))</f>
        <v>0</v>
      </c>
      <c r="BL82" s="6">
        <f>SUM(INDEX(Tabela1[[Ski Mountaineering - Men''s Sprint]:[Ski Mountaineering - Mixed Relay]],MATCH(Table92[[#This Row],[Country]],Tabela1[Country], 0),0))</f>
        <v>0</v>
      </c>
      <c r="BM82" s="6">
        <f>SUM(INDEX(Tabela1[[Snowboarding - Men''s Big Air]:[Snowboarding - Mixed Team Snowboard Cross]],MATCH(Table92[[#This Row],[Country]],Tabela1[Country], 0),0))</f>
        <v>0</v>
      </c>
      <c r="BN82" s="6">
        <f>SUM(INDEX(Tabela1[[Speed Skating - Men''s 500m]:[Speed Skating - Women''s Team Pursuit]],MATCH(Table92[[#This Row],[Country]],Tabela1[Country], 0),0))</f>
        <v>0</v>
      </c>
      <c r="BO82" s="6" t="str">
        <f>SUBSTITUTE(INDEX(Table92[[#Headers],[Archery Quotas]:[Speed Skating Quotas]], MATCH(MAX(Table92[[#This Row],[Archery Quotas]:[Speed Skating Quotas]]), Table92[[#This Row],[Archery Quotas]:[Speed Skating Quotas]], 0))," Quotas","")</f>
        <v>Tennis</v>
      </c>
      <c r="BP82" s="6">
        <f>SUM(Table92[[#This Row],[Summer Sports]:[Winter Sports]])</f>
        <v>4</v>
      </c>
      <c r="BQ82" s="6">
        <f>COUNTIF(Table92[[#This Row],[Archery Quotas]:[Wrestling Quotas]],"&lt;&gt;0")</f>
        <v>3</v>
      </c>
      <c r="BR82" s="6">
        <f>COUNTIF(Table92[[#This Row],[Alpine Skiing Quotas]:[Speed Skating Quotas]],"&lt;&gt;0")</f>
        <v>1</v>
      </c>
      <c r="BS82" s="4" t="s">
        <v>461</v>
      </c>
    </row>
    <row r="83" spans="1:71" x14ac:dyDescent="0.3">
      <c r="A83" s="6" t="s">
        <v>382</v>
      </c>
      <c r="B83" t="e" vm="83">
        <f>IF(ISBLANK(Table92[[#This Row],[Flag Link]]), "", _xlfn.IMAGE(Table92[[#This Row],[Flag Link]],1,1))</f>
        <v>#VALUE!</v>
      </c>
      <c r="C83" s="6">
        <f>SUM(Table92[[#This Row],[Archery Quotas]:[Speed Skating Quotas]])</f>
        <v>5</v>
      </c>
      <c r="D83" s="6">
        <f>SUM(INDEX(Tabela1[[Archery - Men''s Individual Recurve]:[Archery - Mixed Team Recurve]],MATCH(Table92[[#This Row],[Country]],Tabela1[Country], 0),0))</f>
        <v>0</v>
      </c>
      <c r="E83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83" s="6">
        <f>SUM(INDEX(Tabela1[[Artistic Swimming - Women''s Duet]:[Artistic Swimming - Women''s Team]],MATCH(Table92[[#This Row],[Country]],Tabela1[Country], 0),0))</f>
        <v>0</v>
      </c>
      <c r="G83" s="6">
        <f>SUM(INDEX(Tabela1[[Athletics - Men''s 100m]:[Athletics - Women''s Heptathlon]],MATCH(Table92[[#This Row],[Country]],Tabela1[Country], 0),0))</f>
        <v>0</v>
      </c>
      <c r="H83" s="6">
        <f>SUM(INDEX(Tabela1[[Badminton - Men''s Singles]:[Badminton - Mixed Doubles]],MATCH(Table92[[#This Row],[Country]],Tabela1[Country], 0),0))</f>
        <v>0</v>
      </c>
      <c r="I83" s="6">
        <f>SUM(INDEX(Tabela1[[Basketball - Men''s Tournament]:[Basketball - Women''s Tournament]],MATCH(Table92[[#This Row],[Country]],Tabela1[Country], 0),0))</f>
        <v>0</v>
      </c>
      <c r="J83" s="6">
        <f>SUM(INDEX(Tabela1[[3x3 Basketball - Men''s Tournament]:[3x3 Basketball - Women''s Tournament]],MATCH(Table92[[#This Row],[Country]],Tabela1[Country], 0),0))</f>
        <v>0</v>
      </c>
      <c r="K83" s="6">
        <f>SUM(INDEX(Tabela1[[Beach Volleyball - Men''s Tournament]:[Beach Volleyball - Women''s Tournament]],MATCH(Table92[[#This Row],[Country]],Tabela1[Country], 0),0))</f>
        <v>0</v>
      </c>
      <c r="L83" s="6">
        <f>SUM(INDEX(Tabela1[[Boxing - Men''s 51kg]:[Boxing - Women''s 75kg]],MATCH(Table92[[#This Row],[Country]],Tabela1[Country], 0),0))</f>
        <v>0</v>
      </c>
      <c r="M83" s="6">
        <f>SUM(INDEX(Tabela1[[Breaking - Men''s Individual]:[Breaking - Women''s Individual]],MATCH(Table92[[#This Row],[Country]],Tabela1[Country], 0),0))</f>
        <v>0</v>
      </c>
      <c r="N83" s="6">
        <f>SUM(INDEX(Tabela1[[Canoeing - Men''s C1 Slalom]:[Canoeing - Women''s Kayak Cross Slalom]],MATCH(Table92[[#This Row],[Country]],Tabela1[Country], 0),0))</f>
        <v>0</v>
      </c>
      <c r="O83" s="6">
        <f>SUM(INDEX(Tabela1[[Canoeing - Women''s C1 200m]:[Canoeing - Women''s K4 500m]],MATCH(Table92[[#This Row],[Country]],Tabela1[Country], 0),0))</f>
        <v>0</v>
      </c>
      <c r="P83" s="6">
        <f>SUM(INDEX(Tabela1[[Cycling - Men''s BMX Freestyle]:[Cycling - Women''s BMX Freestyle]],MATCH(Table92[[#This Row],[Country]],Tabela1[Country], 0),0))</f>
        <v>0</v>
      </c>
      <c r="Q83" s="6">
        <f>SUM(INDEX(Tabela1[[Cycling - Men''s BMX Racing]:[Cycling - Women''s BMX Racing]],MATCH(Table92[[#This Row],[Country]],Tabela1[Country], 0),0))</f>
        <v>0</v>
      </c>
      <c r="R83" s="6">
        <f>SUM(INDEX(Tabela1[[Cycling - Men''s Cross-Country]:[Cycling - Women''s Cross-Country]],MATCH(Table92[[#This Row],[Country]],Tabela1[Country], 0),0))</f>
        <v>0</v>
      </c>
      <c r="S83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83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4</v>
      </c>
      <c r="U83" s="6">
        <f>SUM(INDEX(Tabela1[[Diving - Men''s Springboard]:[Diving - Women''s Synchronized Platform]],MATCH(Table92[[#This Row],[Country]],Tabela1[Country], 0),0))</f>
        <v>0</v>
      </c>
      <c r="V83" s="6">
        <f>SUM(INDEX(Tabela1[[Equestrian - Individual Dressage]:[Equestrian - Team Dressage]],MATCH(Table92[[#This Row],[Country]],Tabela1[Country], 0),0))</f>
        <v>0</v>
      </c>
      <c r="W83" s="6">
        <f>SUM(INDEX(Tabela1[[Equestrian - Individual Eventing]:[Equestrian - Team Eventing]],MATCH(Table92[[#This Row],[Country]],Tabela1[Country], 0),0))</f>
        <v>0</v>
      </c>
      <c r="X83" s="6">
        <f>SUM(INDEX(Tabela1[[Equestrian - Individual Jumping]:[Equestrian - Team Jumping]],MATCH(Table92[[#This Row],[Country]],Tabela1[Country], 0),0))</f>
        <v>0</v>
      </c>
      <c r="Y83" s="6">
        <f>SUM(INDEX(Tabela1[[Fencing - Men''s Épée]:[Fencing - Women''s Team Sabre]],MATCH(Table92[[#This Row],[Country]],Tabela1[Country], 0),0))</f>
        <v>0</v>
      </c>
      <c r="Z83" s="6">
        <f>SUM(INDEX(Tabela1[[Field Hockey - Men''s Tournament]:[Field Hockey - Women''s Tournament]],MATCH(Table92[[#This Row],[Country]],Tabela1[Country], 0),0))</f>
        <v>0</v>
      </c>
      <c r="AA83" s="6">
        <f>SUM(INDEX(Tabela1[[Football - Men''s Tournament]:[Football - Women''s Tournament]],MATCH(Table92[[#This Row],[Country]],Tabela1[Country], 0),0))</f>
        <v>0</v>
      </c>
      <c r="AB83" s="6">
        <f>SUM(INDEX(Tabela1[[Golf - Men''s Individual]:[Golf - Women''s Individual]],MATCH(Table92[[#This Row],[Country]],Tabela1[Country], 0),0))</f>
        <v>0</v>
      </c>
      <c r="AC83" s="6">
        <f>SUM(INDEX(Tabela1[[Handball - Men''s Tournament]:[Handball - Women''s Tournament]],MATCH(Table92[[#This Row],[Country]],Tabela1[Country], 0),0))</f>
        <v>0</v>
      </c>
      <c r="AD83" s="6">
        <f>SUM(INDEX(Tabela1[[Judo - Men''s 60kg]:[Judo - Mixed Team]],MATCH(Table92[[#This Row],[Country]],Tabela1[Country], 0),0))</f>
        <v>0</v>
      </c>
      <c r="AE83" s="6">
        <f>SUM(INDEX(Tabela1[[Swimming - Men''s 10km Open Water]:[Swimming - Women''s 10km Open Water]],MATCH(Table92[[#This Row],[Country]],Tabela1[Country], 0),0))</f>
        <v>0</v>
      </c>
      <c r="AF83" s="6">
        <f>SUM(INDEX(Tabela1[[Modern Pentathlon - Men''s Individual]:[Modern Pentathlon - Women''s Individual]],MATCH(Table92[[#This Row],[Country]],Tabela1[Country], 0),0))</f>
        <v>0</v>
      </c>
      <c r="AG83" s="6">
        <f>SUM(INDEX(Tabela1[[Rhythmic Gymnastics - Women''s Individual All-Around]:[Rhythmic Gymnastics - Women''s Group All-Around]],MATCH(Table92[[#This Row],[Country]],Tabela1[Country], 0),0))</f>
        <v>0</v>
      </c>
      <c r="AH83" s="6">
        <f>SUM(INDEX(Tabela1[[Rowing - Men''s Single Sculls]:[Rowing - Women''s Lwt. Double Sculls]],MATCH(Table92[[#This Row],[Country]],Tabela1[Country], 0),0))</f>
        <v>0</v>
      </c>
      <c r="AI83" s="6">
        <f>SUM(INDEX(Tabela1[[Rugby Sevens - Men''s Tournament]:[Rugby Sevens - Women''s Tournament]],MATCH(Table92[[#This Row],[Country]],Tabela1[Country], 0),0))</f>
        <v>0</v>
      </c>
      <c r="AJ83" s="6">
        <f>SUM(INDEX(Tabela1[[Sailing - Mixed 470]:[Sailing - Mixed Nacra 17]],MATCH(Table92[[#This Row],[Country]],Tabela1[Country], 0),0))</f>
        <v>1</v>
      </c>
      <c r="AK83" s="6">
        <f>SUM(INDEX(Tabela1[[Shooting - Men''s 10m Air Pistol]:[Shooting - Women''s Trap]],MATCH(Table92[[#This Row],[Country]],Tabela1[Country], 0),0))</f>
        <v>0</v>
      </c>
      <c r="AL83" s="6">
        <f>SUM(INDEX(Tabela1[[Skateboarding - Men''s Park]:[Skateboarding - Women''s Street]],MATCH(Table92[[#This Row],[Country]],Tabela1[Country], 0),0))</f>
        <v>0</v>
      </c>
      <c r="AM83" s="6">
        <f>SUM(INDEX(Tabela1[[Sport Climbing - Men''s Boulder and Lead]:[Sport Climbing - Women''s Speed]],MATCH(Table92[[#This Row],[Country]],Tabela1[Country], 0),0))</f>
        <v>0</v>
      </c>
      <c r="AN83" s="6">
        <f>SUM(INDEX(Tabela1[[Surfing - Men''s Shortboard]:[Surfing - Women''s Shortboard]],MATCH(Table92[[#This Row],[Country]],Tabela1[Country], 0),0))</f>
        <v>0</v>
      </c>
      <c r="AO83" s="6">
        <f>SUM(INDEX(Tabela1[[Swimming - Men''s 50m Freestyle]:[Swimming - Mixed 4x100m Medley Relay]],MATCH(Table92[[#This Row],[Country]],Tabela1[Country], 0),0))</f>
        <v>0</v>
      </c>
      <c r="AP83" s="6">
        <f>SUM(INDEX(Tabela1[[Table Tennis - Men''s Singles]:[Table Tennis - Mixed Doubles]],MATCH(Table92[[#This Row],[Country]],Tabela1[Country], 0),0))</f>
        <v>0</v>
      </c>
      <c r="AQ83" s="6">
        <f>SUM(INDEX(Tabela1[[Taekwondo - Men''s 58kg]:[Taekwondo - Women''s +67kg]],MATCH(Table92[[#This Row],[Country]],Tabela1[Country], 0),0))</f>
        <v>0</v>
      </c>
      <c r="AR83" s="6">
        <f>SUM(INDEX(Tabela1[[Tennis - Men''s Singles]:[Tennis - Mixed Doubles]],MATCH(Table92[[#This Row],[Country]],Tabela1[Country], 0),0))</f>
        <v>0</v>
      </c>
      <c r="AS83" s="6">
        <f>SUM(INDEX(Tabela1[[Gymnastics - Men''s Trampoline]:[Gymnastics - Women''s Trampoline]],MATCH(Table92[[#This Row],[Country]],Tabela1[Country], 0),0))</f>
        <v>0</v>
      </c>
      <c r="AT83" s="6">
        <f>SUM(INDEX(Tabela1[[Triathlon - Men''s Individual]:[Triathlon - Mixed Relay]],MATCH(Table92[[#This Row],[Country]],Tabela1[Country], 0),0))</f>
        <v>0</v>
      </c>
      <c r="AU83" s="6">
        <f>SUM(INDEX(Tabela1[[Volleyball - Men''s Tournament]:[Volleyball - Women''s Tournament]],MATCH(Table92[[#This Row],[Country]],Tabela1[Country], 0),0))</f>
        <v>0</v>
      </c>
      <c r="AV83" s="6">
        <f>SUM(INDEX(Tabela1[[Water Polo - Men''s Tournament]:[Water Polo - Women''s Tournament]],MATCH(Table92[[#This Row],[Country]],Tabela1[Country], 0),0))</f>
        <v>0</v>
      </c>
      <c r="AW83" s="6">
        <f>SUM(INDEX(Tabela1[[Weightlifting - Men''s 61kg]:[Weightlifting - Women''s +81kg]],MATCH(Table92[[#This Row],[Country]],Tabela1[Country], 0),0))</f>
        <v>0</v>
      </c>
      <c r="AX83" s="6">
        <f>SUM(INDEX(Tabela1[[Wrestling - Men''s Freestyle 57kg]:[Wrestling - Women''s Freestyle 76kg]],MATCH(Table92[[#This Row],[Country]],Tabela1[Country], 0),0))</f>
        <v>0</v>
      </c>
      <c r="AY83" s="6">
        <f>SUM(INDEX(Tabela1[[Alpine Skiing - Men''s Downhill]:[Alpine Skiing - Women''s Team Combined]],MATCH(Table92[[#This Row],[Country]],Tabela1[Country], 0),0))</f>
        <v>0</v>
      </c>
      <c r="AZ83" s="6">
        <f>SUM(INDEX(Tabela1[[Biathlon - Men''s Individual]:[Biathlon - Mixed Relay]],MATCH(Table92[[#This Row],[Country]],Tabela1[Country], 0),0))</f>
        <v>0</v>
      </c>
      <c r="BA83" s="6">
        <f>SUM(INDEX(Tabela1[[Bobsleigh - Women''s Monobob]:[Bobsleigh - Men''s Four]],MATCH(Table92[[#This Row],[Country]],Tabela1[Country], 0),0))</f>
        <v>0</v>
      </c>
      <c r="BB83" s="6">
        <f>SUM(INDEX(Tabela1[[Cross-country skiing - Men''s Classical]:[Cross-country skiing - Women''s Team Sprint]],MATCH(Table92[[#This Row],[Country]],Tabela1[Country], 0),0))</f>
        <v>0</v>
      </c>
      <c r="BC83" s="6">
        <f>SUM(INDEX(Tabela1[[Curling - Men''s Tournament]:[Curling - Mixed Doubles]],MATCH(Table92[[#This Row],[Country]],Tabela1[Country], 0),0))</f>
        <v>0</v>
      </c>
      <c r="BD83" s="6">
        <f>SUM(INDEX(Tabela1[[Figure Skating - Men''s Singles]:[Figure Skating - Team Event]],MATCH(Table92[[#This Row],[Country]],Tabela1[Country], 0),0))</f>
        <v>0</v>
      </c>
      <c r="BE83" s="6">
        <f>SUM(INDEX(Tabela1[[Freestyle Skiing - Men''s Aerials]:[Freestyle Skiing - Women''s Slopestyle]],MATCH(Table92[[#This Row],[Country]],Tabela1[Country], 0),0))</f>
        <v>0</v>
      </c>
      <c r="BF83" s="6">
        <f>SUM(INDEX(Tabela1[[Ice Hockey - Men''s Tournament]:[Ice Hockey - Women''s Tournament]],MATCH(Table92[[#This Row],[Country]],Tabela1[Country], 0),0))</f>
        <v>0</v>
      </c>
      <c r="BG83" s="6">
        <f>SUM(INDEX(Tabela1[[Luge - Men''s Singles]:[Luge - Mixed Team Relay]],MATCH(Table92[[#This Row],[Country]],Tabela1[Country], 0),0))</f>
        <v>0</v>
      </c>
      <c r="BH83" s="6">
        <f>SUM(INDEX(Tabela1[[Nordic Combined - Men''s Individual]:[Nordic Combined - Men''s Team Sprint Large Hill]],MATCH(Table92[[#This Row],[Country]],Tabela1[Country], 0),0))</f>
        <v>0</v>
      </c>
      <c r="BI83" s="6">
        <f>SUM(INDEX(Tabela1[[Short track speed skating - Men''s 500m]:[Short track speed skating - Mixed 2000m Relay]],MATCH(Table92[[#This Row],[Country]],Tabela1[Country], 0),0))</f>
        <v>0</v>
      </c>
      <c r="BJ83" s="6">
        <f>SUM(INDEX(Tabela1[[Skeleton - Men''s Individual]:[Skeleton - Mixed Team]],MATCH(Table92[[#This Row],[Country]],Tabela1[Country], 0),0))</f>
        <v>0</v>
      </c>
      <c r="BK83" s="6">
        <f>SUM(INDEX(Tabela1[[Ski Jumping - Men''s Individual Large Hill]:[Ski Jumping - Mixed Team Normal Hill]],MATCH(Table92[[#This Row],[Country]],Tabela1[Country], 0),0))</f>
        <v>0</v>
      </c>
      <c r="BL83" s="6">
        <f>SUM(INDEX(Tabela1[[Ski Mountaineering - Men''s Sprint]:[Ski Mountaineering - Mixed Relay]],MATCH(Table92[[#This Row],[Country]],Tabela1[Country], 0),0))</f>
        <v>0</v>
      </c>
      <c r="BM83" s="6">
        <f>SUM(INDEX(Tabela1[[Snowboarding - Men''s Big Air]:[Snowboarding - Mixed Team Snowboard Cross]],MATCH(Table92[[#This Row],[Country]],Tabela1[Country], 0),0))</f>
        <v>0</v>
      </c>
      <c r="BN83" s="6">
        <f>SUM(INDEX(Tabela1[[Speed Skating - Men''s 500m]:[Speed Skating - Women''s Team Pursuit]],MATCH(Table92[[#This Row],[Country]],Tabela1[Country], 0),0))</f>
        <v>0</v>
      </c>
      <c r="BO83" s="6" t="str">
        <f>SUBSTITUTE(INDEX(Table92[[#Headers],[Archery Quotas]:[Speed Skating Quotas]], MATCH(MAX(Table92[[#This Row],[Archery Quotas]:[Speed Skating Quotas]]), Table92[[#This Row],[Archery Quotas]:[Speed Skating Quotas]], 0))," Quotas","")</f>
        <v>Cycling Track</v>
      </c>
      <c r="BP83" s="6">
        <f>SUM(Table92[[#This Row],[Summer Sports]:[Winter Sports]])</f>
        <v>2</v>
      </c>
      <c r="BQ83" s="6">
        <f>COUNTIF(Table92[[#This Row],[Archery Quotas]:[Wrestling Quotas]],"&lt;&gt;0")</f>
        <v>2</v>
      </c>
      <c r="BR83" s="6">
        <f>COUNTIF(Table92[[#This Row],[Alpine Skiing Quotas]:[Speed Skating Quotas]],"&lt;&gt;0")</f>
        <v>0</v>
      </c>
      <c r="BS83" s="4" t="s">
        <v>383</v>
      </c>
    </row>
    <row r="84" spans="1:71" x14ac:dyDescent="0.3">
      <c r="A84" s="6" t="s">
        <v>646</v>
      </c>
      <c r="B84" t="e" vm="85">
        <f>IF(ISBLANK(Table92[[#This Row],[Flag Link]]), "", _xlfn.IMAGE(Table92[[#This Row],[Flag Link]],1,1))</f>
        <v>#VALUE!</v>
      </c>
      <c r="C84" s="6">
        <f>SUM(Table92[[#This Row],[Archery Quotas]:[Speed Skating Quotas]])</f>
        <v>5</v>
      </c>
      <c r="D84" s="6">
        <f>SUM(INDEX(Tabela1[[Archery - Men''s Individual Recurve]:[Archery - Mixed Team Recurve]],MATCH(Table92[[#This Row],[Country]],Tabela1[Country], 0),0))</f>
        <v>0</v>
      </c>
      <c r="E84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84" s="6">
        <f>SUM(INDEX(Tabela1[[Artistic Swimming - Women''s Duet]:[Artistic Swimming - Women''s Team]],MATCH(Table92[[#This Row],[Country]],Tabela1[Country], 0),0))</f>
        <v>0</v>
      </c>
      <c r="G84" s="6">
        <f>SUM(INDEX(Tabela1[[Athletics - Men''s 100m]:[Athletics - Women''s Heptathlon]],MATCH(Table92[[#This Row],[Country]],Tabela1[Country], 0),0))</f>
        <v>0</v>
      </c>
      <c r="H84" s="6">
        <f>SUM(INDEX(Tabela1[[Badminton - Men''s Singles]:[Badminton - Mixed Doubles]],MATCH(Table92[[#This Row],[Country]],Tabela1[Country], 0),0))</f>
        <v>0</v>
      </c>
      <c r="I84" s="6">
        <f>SUM(INDEX(Tabela1[[Basketball - Men''s Tournament]:[Basketball - Women''s Tournament]],MATCH(Table92[[#This Row],[Country]],Tabela1[Country], 0),0))</f>
        <v>0</v>
      </c>
      <c r="J84" s="6">
        <f>SUM(INDEX(Tabela1[[3x3 Basketball - Men''s Tournament]:[3x3 Basketball - Women''s Tournament]],MATCH(Table92[[#This Row],[Country]],Tabela1[Country], 0),0))</f>
        <v>0</v>
      </c>
      <c r="K84" s="6">
        <f>SUM(INDEX(Tabela1[[Beach Volleyball - Men''s Tournament]:[Beach Volleyball - Women''s Tournament]],MATCH(Table92[[#This Row],[Country]],Tabela1[Country], 0),0))</f>
        <v>0</v>
      </c>
      <c r="L84" s="6">
        <f>SUM(INDEX(Tabela1[[Boxing - Men''s 51kg]:[Boxing - Women''s 75kg]],MATCH(Table92[[#This Row],[Country]],Tabela1[Country], 0),0))</f>
        <v>2</v>
      </c>
      <c r="M84" s="6">
        <f>SUM(INDEX(Tabela1[[Breaking - Men''s Individual]:[Breaking - Women''s Individual]],MATCH(Table92[[#This Row],[Country]],Tabela1[Country], 0),0))</f>
        <v>0</v>
      </c>
      <c r="N84" s="6">
        <f>SUM(INDEX(Tabela1[[Canoeing - Men''s C1 Slalom]:[Canoeing - Women''s Kayak Cross Slalom]],MATCH(Table92[[#This Row],[Country]],Tabela1[Country], 0),0))</f>
        <v>0</v>
      </c>
      <c r="O84" s="6">
        <f>SUM(INDEX(Tabela1[[Canoeing - Women''s C1 200m]:[Canoeing - Women''s K4 500m]],MATCH(Table92[[#This Row],[Country]],Tabela1[Country], 0),0))</f>
        <v>0</v>
      </c>
      <c r="P84" s="6">
        <f>SUM(INDEX(Tabela1[[Cycling - Men''s BMX Freestyle]:[Cycling - Women''s BMX Freestyle]],MATCH(Table92[[#This Row],[Country]],Tabela1[Country], 0),0))</f>
        <v>0</v>
      </c>
      <c r="Q84" s="6">
        <f>SUM(INDEX(Tabela1[[Cycling - Men''s BMX Racing]:[Cycling - Women''s BMX Racing]],MATCH(Table92[[#This Row],[Country]],Tabela1[Country], 0),0))</f>
        <v>0</v>
      </c>
      <c r="R84" s="6">
        <f>SUM(INDEX(Tabela1[[Cycling - Men''s Cross-Country]:[Cycling - Women''s Cross-Country]],MATCH(Table92[[#This Row],[Country]],Tabela1[Country], 0),0))</f>
        <v>0</v>
      </c>
      <c r="S84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84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84" s="6">
        <f>SUM(INDEX(Tabela1[[Diving - Men''s Springboard]:[Diving - Women''s Synchronized Platform]],MATCH(Table92[[#This Row],[Country]],Tabela1[Country], 0),0))</f>
        <v>0</v>
      </c>
      <c r="V84" s="6">
        <f>SUM(INDEX(Tabela1[[Equestrian - Individual Dressage]:[Equestrian - Team Dressage]],MATCH(Table92[[#This Row],[Country]],Tabela1[Country], 0),0))</f>
        <v>0</v>
      </c>
      <c r="W84" s="6">
        <f>SUM(INDEX(Tabela1[[Equestrian - Individual Eventing]:[Equestrian - Team Eventing]],MATCH(Table92[[#This Row],[Country]],Tabela1[Country], 0),0))</f>
        <v>0</v>
      </c>
      <c r="X84" s="6">
        <f>SUM(INDEX(Tabela1[[Equestrian - Individual Jumping]:[Equestrian - Team Jumping]],MATCH(Table92[[#This Row],[Country]],Tabela1[Country], 0),0))</f>
        <v>0</v>
      </c>
      <c r="Y84" s="6">
        <f>SUM(INDEX(Tabela1[[Fencing - Men''s Épée]:[Fencing - Women''s Team Sabre]],MATCH(Table92[[#This Row],[Country]],Tabela1[Country], 0),0))</f>
        <v>0</v>
      </c>
      <c r="Z84" s="6">
        <f>SUM(INDEX(Tabela1[[Field Hockey - Men''s Tournament]:[Field Hockey - Women''s Tournament]],MATCH(Table92[[#This Row],[Country]],Tabela1[Country], 0),0))</f>
        <v>0</v>
      </c>
      <c r="AA84" s="6">
        <f>SUM(INDEX(Tabela1[[Football - Men''s Tournament]:[Football - Women''s Tournament]],MATCH(Table92[[#This Row],[Country]],Tabela1[Country], 0),0))</f>
        <v>0</v>
      </c>
      <c r="AB84" s="6">
        <f>SUM(INDEX(Tabela1[[Golf - Men''s Individual]:[Golf - Women''s Individual]],MATCH(Table92[[#This Row],[Country]],Tabela1[Country], 0),0))</f>
        <v>0</v>
      </c>
      <c r="AC84" s="6">
        <f>SUM(INDEX(Tabela1[[Handball - Men''s Tournament]:[Handball - Women''s Tournament]],MATCH(Table92[[#This Row],[Country]],Tabela1[Country], 0),0))</f>
        <v>0</v>
      </c>
      <c r="AD84" s="6">
        <f>SUM(INDEX(Tabela1[[Judo - Men''s 60kg]:[Judo - Mixed Team]],MATCH(Table92[[#This Row],[Country]],Tabela1[Country], 0),0))</f>
        <v>1</v>
      </c>
      <c r="AE84" s="6">
        <f>SUM(INDEX(Tabela1[[Swimming - Men''s 10km Open Water]:[Swimming - Women''s 10km Open Water]],MATCH(Table92[[#This Row],[Country]],Tabela1[Country], 0),0))</f>
        <v>0</v>
      </c>
      <c r="AF84" s="6">
        <f>SUM(INDEX(Tabela1[[Modern Pentathlon - Men''s Individual]:[Modern Pentathlon - Women''s Individual]],MATCH(Table92[[#This Row],[Country]],Tabela1[Country], 0),0))</f>
        <v>0</v>
      </c>
      <c r="AG84" s="6">
        <f>SUM(INDEX(Tabela1[[Rhythmic Gymnastics - Women''s Individual All-Around]:[Rhythmic Gymnastics - Women''s Group All-Around]],MATCH(Table92[[#This Row],[Country]],Tabela1[Country], 0),0))</f>
        <v>0</v>
      </c>
      <c r="AH84" s="6">
        <f>SUM(INDEX(Tabela1[[Rowing - Men''s Single Sculls]:[Rowing - Women''s Lwt. Double Sculls]],MATCH(Table92[[#This Row],[Country]],Tabela1[Country], 0),0))</f>
        <v>0</v>
      </c>
      <c r="AI84" s="6">
        <f>SUM(INDEX(Tabela1[[Rugby Sevens - Men''s Tournament]:[Rugby Sevens - Women''s Tournament]],MATCH(Table92[[#This Row],[Country]],Tabela1[Country], 0),0))</f>
        <v>0</v>
      </c>
      <c r="AJ84" s="6">
        <f>SUM(INDEX(Tabela1[[Sailing - Mixed 470]:[Sailing - Mixed Nacra 17]],MATCH(Table92[[#This Row],[Country]],Tabela1[Country], 0),0))</f>
        <v>1</v>
      </c>
      <c r="AK84" s="6">
        <f>SUM(INDEX(Tabela1[[Shooting - Men''s 10m Air Pistol]:[Shooting - Women''s Trap]],MATCH(Table92[[#This Row],[Country]],Tabela1[Country], 0),0))</f>
        <v>0</v>
      </c>
      <c r="AL84" s="6">
        <f>SUM(INDEX(Tabela1[[Skateboarding - Men''s Park]:[Skateboarding - Women''s Street]],MATCH(Table92[[#This Row],[Country]],Tabela1[Country], 0),0))</f>
        <v>0</v>
      </c>
      <c r="AM84" s="6">
        <f>SUM(INDEX(Tabela1[[Sport Climbing - Men''s Boulder and Lead]:[Sport Climbing - Women''s Speed]],MATCH(Table92[[#This Row],[Country]],Tabela1[Country], 0),0))</f>
        <v>0</v>
      </c>
      <c r="AN84" s="6">
        <f>SUM(INDEX(Tabela1[[Surfing - Men''s Shortboard]:[Surfing - Women''s Shortboard]],MATCH(Table92[[#This Row],[Country]],Tabela1[Country], 0),0))</f>
        <v>0</v>
      </c>
      <c r="AO84" s="6">
        <f>SUM(INDEX(Tabela1[[Swimming - Men''s 50m Freestyle]:[Swimming - Mixed 4x100m Medley Relay]],MATCH(Table92[[#This Row],[Country]],Tabela1[Country], 0),0))</f>
        <v>1</v>
      </c>
      <c r="AP84" s="6">
        <f>SUM(INDEX(Tabela1[[Table Tennis - Men''s Singles]:[Table Tennis - Mixed Doubles]],MATCH(Table92[[#This Row],[Country]],Tabela1[Country], 0),0))</f>
        <v>0</v>
      </c>
      <c r="AQ84" s="6">
        <f>SUM(INDEX(Tabela1[[Taekwondo - Men''s 58kg]:[Taekwondo - Women''s +67kg]],MATCH(Table92[[#This Row],[Country]],Tabela1[Country], 0),0))</f>
        <v>0</v>
      </c>
      <c r="AR84" s="6">
        <f>SUM(INDEX(Tabela1[[Tennis - Men''s Singles]:[Tennis - Mixed Doubles]],MATCH(Table92[[#This Row],[Country]],Tabela1[Country], 0),0))</f>
        <v>0</v>
      </c>
      <c r="AS84" s="6">
        <f>SUM(INDEX(Tabela1[[Gymnastics - Men''s Trampoline]:[Gymnastics - Women''s Trampoline]],MATCH(Table92[[#This Row],[Country]],Tabela1[Country], 0),0))</f>
        <v>0</v>
      </c>
      <c r="AT84" s="6">
        <f>SUM(INDEX(Tabela1[[Triathlon - Men''s Individual]:[Triathlon - Mixed Relay]],MATCH(Table92[[#This Row],[Country]],Tabela1[Country], 0),0))</f>
        <v>0</v>
      </c>
      <c r="AU84" s="6">
        <f>SUM(INDEX(Tabela1[[Volleyball - Men''s Tournament]:[Volleyball - Women''s Tournament]],MATCH(Table92[[#This Row],[Country]],Tabela1[Country], 0),0))</f>
        <v>0</v>
      </c>
      <c r="AV84" s="6">
        <f>SUM(INDEX(Tabela1[[Water Polo - Men''s Tournament]:[Water Polo - Women''s Tournament]],MATCH(Table92[[#This Row],[Country]],Tabela1[Country], 0),0))</f>
        <v>0</v>
      </c>
      <c r="AW84" s="6">
        <f>SUM(INDEX(Tabela1[[Weightlifting - Men''s 61kg]:[Weightlifting - Women''s +81kg]],MATCH(Table92[[#This Row],[Country]],Tabela1[Country], 0),0))</f>
        <v>0</v>
      </c>
      <c r="AX84" s="6">
        <f>SUM(INDEX(Tabela1[[Wrestling - Men''s Freestyle 57kg]:[Wrestling - Women''s Freestyle 76kg]],MATCH(Table92[[#This Row],[Country]],Tabela1[Country], 0),0))</f>
        <v>0</v>
      </c>
      <c r="AY84" s="6">
        <f>SUM(INDEX(Tabela1[[Alpine Skiing - Men''s Downhill]:[Alpine Skiing - Women''s Team Combined]],MATCH(Table92[[#This Row],[Country]],Tabela1[Country], 0),0))</f>
        <v>0</v>
      </c>
      <c r="AZ84" s="6">
        <f>SUM(INDEX(Tabela1[[Biathlon - Men''s Individual]:[Biathlon - Mixed Relay]],MATCH(Table92[[#This Row],[Country]],Tabela1[Country], 0),0))</f>
        <v>0</v>
      </c>
      <c r="BA84" s="6">
        <f>SUM(INDEX(Tabela1[[Bobsleigh - Women''s Monobob]:[Bobsleigh - Men''s Four]],MATCH(Table92[[#This Row],[Country]],Tabela1[Country], 0),0))</f>
        <v>0</v>
      </c>
      <c r="BB84" s="6">
        <f>SUM(INDEX(Tabela1[[Cross-country skiing - Men''s Classical]:[Cross-country skiing - Women''s Team Sprint]],MATCH(Table92[[#This Row],[Country]],Tabela1[Country], 0),0))</f>
        <v>0</v>
      </c>
      <c r="BC84" s="6">
        <f>SUM(INDEX(Tabela1[[Curling - Men''s Tournament]:[Curling - Mixed Doubles]],MATCH(Table92[[#This Row],[Country]],Tabela1[Country], 0),0))</f>
        <v>0</v>
      </c>
      <c r="BD84" s="6">
        <f>SUM(INDEX(Tabela1[[Figure Skating - Men''s Singles]:[Figure Skating - Team Event]],MATCH(Table92[[#This Row],[Country]],Tabela1[Country], 0),0))</f>
        <v>0</v>
      </c>
      <c r="BE84" s="6">
        <f>SUM(INDEX(Tabela1[[Freestyle Skiing - Men''s Aerials]:[Freestyle Skiing - Women''s Slopestyle]],MATCH(Table92[[#This Row],[Country]],Tabela1[Country], 0),0))</f>
        <v>0</v>
      </c>
      <c r="BF84" s="6">
        <f>SUM(INDEX(Tabela1[[Ice Hockey - Men''s Tournament]:[Ice Hockey - Women''s Tournament]],MATCH(Table92[[#This Row],[Country]],Tabela1[Country], 0),0))</f>
        <v>0</v>
      </c>
      <c r="BG84" s="6">
        <f>SUM(INDEX(Tabela1[[Luge - Men''s Singles]:[Luge - Mixed Team Relay]],MATCH(Table92[[#This Row],[Country]],Tabela1[Country], 0),0))</f>
        <v>0</v>
      </c>
      <c r="BH84" s="6">
        <f>SUM(INDEX(Tabela1[[Nordic Combined - Men''s Individual]:[Nordic Combined - Men''s Team Sprint Large Hill]],MATCH(Table92[[#This Row],[Country]],Tabela1[Country], 0),0))</f>
        <v>0</v>
      </c>
      <c r="BI84" s="6">
        <f>SUM(INDEX(Tabela1[[Short track speed skating - Men''s 500m]:[Short track speed skating - Mixed 2000m Relay]],MATCH(Table92[[#This Row],[Country]],Tabela1[Country], 0),0))</f>
        <v>0</v>
      </c>
      <c r="BJ84" s="6">
        <f>SUM(INDEX(Tabela1[[Skeleton - Men''s Individual]:[Skeleton - Mixed Team]],MATCH(Table92[[#This Row],[Country]],Tabela1[Country], 0),0))</f>
        <v>0</v>
      </c>
      <c r="BK84" s="6">
        <f>SUM(INDEX(Tabela1[[Ski Jumping - Men''s Individual Large Hill]:[Ski Jumping - Mixed Team Normal Hill]],MATCH(Table92[[#This Row],[Country]],Tabela1[Country], 0),0))</f>
        <v>0</v>
      </c>
      <c r="BL84" s="6">
        <f>SUM(INDEX(Tabela1[[Ski Mountaineering - Men''s Sprint]:[Ski Mountaineering - Mixed Relay]],MATCH(Table92[[#This Row],[Country]],Tabela1[Country], 0),0))</f>
        <v>0</v>
      </c>
      <c r="BM84" s="6">
        <f>SUM(INDEX(Tabela1[[Snowboarding - Men''s Big Air]:[Snowboarding - Mixed Team Snowboard Cross]],MATCH(Table92[[#This Row],[Country]],Tabela1[Country], 0),0))</f>
        <v>0</v>
      </c>
      <c r="BN84" s="6">
        <f>SUM(INDEX(Tabela1[[Speed Skating - Men''s 500m]:[Speed Skating - Women''s Team Pursuit]],MATCH(Table92[[#This Row],[Country]],Tabela1[Country], 0),0))</f>
        <v>0</v>
      </c>
      <c r="BO84" s="6" t="str">
        <f>SUBSTITUTE(INDEX(Table92[[#Headers],[Archery Quotas]:[Speed Skating Quotas]], MATCH(MAX(Table92[[#This Row],[Archery Quotas]:[Speed Skating Quotas]]), Table92[[#This Row],[Archery Quotas]:[Speed Skating Quotas]], 0))," Quotas","")</f>
        <v>Boxing</v>
      </c>
      <c r="BP84" s="6">
        <f>SUM(Table92[[#This Row],[Summer Sports]:[Winter Sports]])</f>
        <v>4</v>
      </c>
      <c r="BQ84" s="6">
        <f>COUNTIF(Table92[[#This Row],[Archery Quotas]:[Wrestling Quotas]],"&lt;&gt;0")</f>
        <v>4</v>
      </c>
      <c r="BR84" s="6">
        <f>COUNTIF(Table92[[#This Row],[Alpine Skiing Quotas]:[Speed Skating Quotas]],"&lt;&gt;0")</f>
        <v>0</v>
      </c>
      <c r="BS84" s="4" t="s">
        <v>647</v>
      </c>
    </row>
    <row r="85" spans="1:71" x14ac:dyDescent="0.3">
      <c r="A85" s="6" t="s">
        <v>440</v>
      </c>
      <c r="B85" t="e" vm="81">
        <f>IF(ISBLANK(Table92[[#This Row],[Flag Link]]), "", _xlfn.IMAGE(Table92[[#This Row],[Flag Link]],1,1))</f>
        <v>#VALUE!</v>
      </c>
      <c r="C85" s="6">
        <f>SUM(Table92[[#This Row],[Archery Quotas]:[Speed Skating Quotas]])</f>
        <v>5</v>
      </c>
      <c r="D85" s="6">
        <f>SUM(INDEX(Tabela1[[Archery - Men''s Individual Recurve]:[Archery - Mixed Team Recurve]],MATCH(Table92[[#This Row],[Country]],Tabela1[Country], 0),0))</f>
        <v>0</v>
      </c>
      <c r="E85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85" s="6">
        <f>SUM(INDEX(Tabela1[[Artistic Swimming - Women''s Duet]:[Artistic Swimming - Women''s Team]],MATCH(Table92[[#This Row],[Country]],Tabela1[Country], 0),0))</f>
        <v>0</v>
      </c>
      <c r="G85" s="6">
        <f>SUM(INDEX(Tabela1[[Athletics - Men''s 100m]:[Athletics - Women''s Heptathlon]],MATCH(Table92[[#This Row],[Country]],Tabela1[Country], 0),0))</f>
        <v>2</v>
      </c>
      <c r="H85" s="6">
        <f>SUM(INDEX(Tabela1[[Badminton - Men''s Singles]:[Badminton - Mixed Doubles]],MATCH(Table92[[#This Row],[Country]],Tabela1[Country], 0),0))</f>
        <v>0</v>
      </c>
      <c r="I85" s="6">
        <f>SUM(INDEX(Tabela1[[Basketball - Men''s Tournament]:[Basketball - Women''s Tournament]],MATCH(Table92[[#This Row],[Country]],Tabela1[Country], 0),0))</f>
        <v>0</v>
      </c>
      <c r="J85" s="6">
        <f>SUM(INDEX(Tabela1[[3x3 Basketball - Men''s Tournament]:[3x3 Basketball - Women''s Tournament]],MATCH(Table92[[#This Row],[Country]],Tabela1[Country], 0),0))</f>
        <v>0</v>
      </c>
      <c r="K85" s="6">
        <f>SUM(INDEX(Tabela1[[Beach Volleyball - Men''s Tournament]:[Beach Volleyball - Women''s Tournament]],MATCH(Table92[[#This Row],[Country]],Tabela1[Country], 0),0))</f>
        <v>0</v>
      </c>
      <c r="L85" s="6">
        <f>SUM(INDEX(Tabela1[[Boxing - Men''s 51kg]:[Boxing - Women''s 75kg]],MATCH(Table92[[#This Row],[Country]],Tabela1[Country], 0),0))</f>
        <v>0</v>
      </c>
      <c r="M85" s="6">
        <f>SUM(INDEX(Tabela1[[Breaking - Men''s Individual]:[Breaking - Women''s Individual]],MATCH(Table92[[#This Row],[Country]],Tabela1[Country], 0),0))</f>
        <v>0</v>
      </c>
      <c r="N85" s="6">
        <f>SUM(INDEX(Tabela1[[Canoeing - Men''s C1 Slalom]:[Canoeing - Women''s Kayak Cross Slalom]],MATCH(Table92[[#This Row],[Country]],Tabela1[Country], 0),0))</f>
        <v>0</v>
      </c>
      <c r="O85" s="6">
        <f>SUM(INDEX(Tabela1[[Canoeing - Women''s C1 200m]:[Canoeing - Women''s K4 500m]],MATCH(Table92[[#This Row],[Country]],Tabela1[Country], 0),0))</f>
        <v>0</v>
      </c>
      <c r="P85" s="6">
        <f>SUM(INDEX(Tabela1[[Cycling - Men''s BMX Freestyle]:[Cycling - Women''s BMX Freestyle]],MATCH(Table92[[#This Row],[Country]],Tabela1[Country], 0),0))</f>
        <v>0</v>
      </c>
      <c r="Q85" s="6">
        <f>SUM(INDEX(Tabela1[[Cycling - Men''s BMX Racing]:[Cycling - Women''s BMX Racing]],MATCH(Table92[[#This Row],[Country]],Tabela1[Country], 0),0))</f>
        <v>0</v>
      </c>
      <c r="R85" s="6">
        <f>SUM(INDEX(Tabela1[[Cycling - Men''s Cross-Country]:[Cycling - Women''s Cross-Country]],MATCH(Table92[[#This Row],[Country]],Tabela1[Country], 0),0))</f>
        <v>0</v>
      </c>
      <c r="S85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85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85" s="6">
        <f>SUM(INDEX(Tabela1[[Diving - Men''s Springboard]:[Diving - Women''s Synchronized Platform]],MATCH(Table92[[#This Row],[Country]],Tabela1[Country], 0),0))</f>
        <v>0</v>
      </c>
      <c r="V85" s="6">
        <f>SUM(INDEX(Tabela1[[Equestrian - Individual Dressage]:[Equestrian - Team Dressage]],MATCH(Table92[[#This Row],[Country]],Tabela1[Country], 0),0))</f>
        <v>0</v>
      </c>
      <c r="W85" s="6">
        <f>SUM(INDEX(Tabela1[[Equestrian - Individual Eventing]:[Equestrian - Team Eventing]],MATCH(Table92[[#This Row],[Country]],Tabela1[Country], 0),0))</f>
        <v>0</v>
      </c>
      <c r="X85" s="6">
        <f>SUM(INDEX(Tabela1[[Equestrian - Individual Jumping]:[Equestrian - Team Jumping]],MATCH(Table92[[#This Row],[Country]],Tabela1[Country], 0),0))</f>
        <v>0</v>
      </c>
      <c r="Y85" s="6">
        <f>SUM(INDEX(Tabela1[[Fencing - Men''s Épée]:[Fencing - Women''s Team Sabre]],MATCH(Table92[[#This Row],[Country]],Tabela1[Country], 0),0))</f>
        <v>0</v>
      </c>
      <c r="Z85" s="6">
        <f>SUM(INDEX(Tabela1[[Field Hockey - Men''s Tournament]:[Field Hockey - Women''s Tournament]],MATCH(Table92[[#This Row],[Country]],Tabela1[Country], 0),0))</f>
        <v>0</v>
      </c>
      <c r="AA85" s="6">
        <f>SUM(INDEX(Tabela1[[Football - Men''s Tournament]:[Football - Women''s Tournament]],MATCH(Table92[[#This Row],[Country]],Tabela1[Country], 0),0))</f>
        <v>1</v>
      </c>
      <c r="AB85" s="6">
        <f>SUM(INDEX(Tabela1[[Golf - Men''s Individual]:[Golf - Women''s Individual]],MATCH(Table92[[#This Row],[Country]],Tabela1[Country], 0),0))</f>
        <v>0</v>
      </c>
      <c r="AC85" s="6">
        <f>SUM(INDEX(Tabela1[[Handball - Men''s Tournament]:[Handball - Women''s Tournament]],MATCH(Table92[[#This Row],[Country]],Tabela1[Country], 0),0))</f>
        <v>0</v>
      </c>
      <c r="AD85" s="6">
        <f>SUM(INDEX(Tabela1[[Judo - Men''s 60kg]:[Judo - Mixed Team]],MATCH(Table92[[#This Row],[Country]],Tabela1[Country], 0),0))</f>
        <v>0</v>
      </c>
      <c r="AE85" s="6">
        <f>SUM(INDEX(Tabela1[[Swimming - Men''s 10km Open Water]:[Swimming - Women''s 10km Open Water]],MATCH(Table92[[#This Row],[Country]],Tabela1[Country], 0),0))</f>
        <v>0</v>
      </c>
      <c r="AF85" s="6">
        <f>SUM(INDEX(Tabela1[[Modern Pentathlon - Men''s Individual]:[Modern Pentathlon - Women''s Individual]],MATCH(Table92[[#This Row],[Country]],Tabela1[Country], 0),0))</f>
        <v>0</v>
      </c>
      <c r="AG85" s="6">
        <f>SUM(INDEX(Tabela1[[Rhythmic Gymnastics - Women''s Individual All-Around]:[Rhythmic Gymnastics - Women''s Group All-Around]],MATCH(Table92[[#This Row],[Country]],Tabela1[Country], 0),0))</f>
        <v>0</v>
      </c>
      <c r="AH85" s="6">
        <f>SUM(INDEX(Tabela1[[Rowing - Men''s Single Sculls]:[Rowing - Women''s Lwt. Double Sculls]],MATCH(Table92[[#This Row],[Country]],Tabela1[Country], 0),0))</f>
        <v>0</v>
      </c>
      <c r="AI85" s="6">
        <f>SUM(INDEX(Tabela1[[Rugby Sevens - Men''s Tournament]:[Rugby Sevens - Women''s Tournament]],MATCH(Table92[[#This Row],[Country]],Tabela1[Country], 0),0))</f>
        <v>0</v>
      </c>
      <c r="AJ85" s="6">
        <f>SUM(INDEX(Tabela1[[Sailing - Mixed 470]:[Sailing - Mixed Nacra 17]],MATCH(Table92[[#This Row],[Country]],Tabela1[Country], 0),0))</f>
        <v>0</v>
      </c>
      <c r="AK85" s="6">
        <f>SUM(INDEX(Tabela1[[Shooting - Men''s 10m Air Pistol]:[Shooting - Women''s Trap]],MATCH(Table92[[#This Row],[Country]],Tabela1[Country], 0),0))</f>
        <v>0</v>
      </c>
      <c r="AL85" s="6">
        <f>SUM(INDEX(Tabela1[[Skateboarding - Men''s Park]:[Skateboarding - Women''s Street]],MATCH(Table92[[#This Row],[Country]],Tabela1[Country], 0),0))</f>
        <v>0</v>
      </c>
      <c r="AM85" s="6">
        <f>SUM(INDEX(Tabela1[[Sport Climbing - Men''s Boulder and Lead]:[Sport Climbing - Women''s Speed]],MATCH(Table92[[#This Row],[Country]],Tabela1[Country], 0),0))</f>
        <v>0</v>
      </c>
      <c r="AN85" s="6">
        <f>SUM(INDEX(Tabela1[[Surfing - Men''s Shortboard]:[Surfing - Women''s Shortboard]],MATCH(Table92[[#This Row],[Country]],Tabela1[Country], 0),0))</f>
        <v>0</v>
      </c>
      <c r="AO85" s="6">
        <f>SUM(INDEX(Tabela1[[Swimming - Men''s 50m Freestyle]:[Swimming - Mixed 4x100m Medley Relay]],MATCH(Table92[[#This Row],[Country]],Tabela1[Country], 0),0))</f>
        <v>0</v>
      </c>
      <c r="AP85" s="6">
        <f>SUM(INDEX(Tabela1[[Table Tennis - Men''s Singles]:[Table Tennis - Mixed Doubles]],MATCH(Table92[[#This Row],[Country]],Tabela1[Country], 0),0))</f>
        <v>1</v>
      </c>
      <c r="AQ85" s="6">
        <f>SUM(INDEX(Tabela1[[Taekwondo - Men''s 58kg]:[Taekwondo - Women''s +67kg]],MATCH(Table92[[#This Row],[Country]],Tabela1[Country], 0),0))</f>
        <v>0</v>
      </c>
      <c r="AR85" s="6">
        <f>SUM(INDEX(Tabela1[[Tennis - Men''s Singles]:[Tennis - Mixed Doubles]],MATCH(Table92[[#This Row],[Country]],Tabela1[Country], 0),0))</f>
        <v>0</v>
      </c>
      <c r="AS85" s="6">
        <f>SUM(INDEX(Tabela1[[Gymnastics - Men''s Trampoline]:[Gymnastics - Women''s Trampoline]],MATCH(Table92[[#This Row],[Country]],Tabela1[Country], 0),0))</f>
        <v>0</v>
      </c>
      <c r="AT85" s="6">
        <f>SUM(INDEX(Tabela1[[Triathlon - Men''s Individual]:[Triathlon - Mixed Relay]],MATCH(Table92[[#This Row],[Country]],Tabela1[Country], 0),0))</f>
        <v>0</v>
      </c>
      <c r="AU85" s="6">
        <f>SUM(INDEX(Tabela1[[Volleyball - Men''s Tournament]:[Volleyball - Women''s Tournament]],MATCH(Table92[[#This Row],[Country]],Tabela1[Country], 0),0))</f>
        <v>0</v>
      </c>
      <c r="AV85" s="6">
        <f>SUM(INDEX(Tabela1[[Water Polo - Men''s Tournament]:[Water Polo - Women''s Tournament]],MATCH(Table92[[#This Row],[Country]],Tabela1[Country], 0),0))</f>
        <v>0</v>
      </c>
      <c r="AW85" s="6">
        <f>SUM(INDEX(Tabela1[[Weightlifting - Men''s 61kg]:[Weightlifting - Women''s +81kg]],MATCH(Table92[[#This Row],[Country]],Tabela1[Country], 0),0))</f>
        <v>0</v>
      </c>
      <c r="AX85" s="6">
        <f>SUM(INDEX(Tabela1[[Wrestling - Men''s Freestyle 57kg]:[Wrestling - Women''s Freestyle 76kg]],MATCH(Table92[[#This Row],[Country]],Tabela1[Country], 0),0))</f>
        <v>1</v>
      </c>
      <c r="AY85" s="6">
        <f>SUM(INDEX(Tabela1[[Alpine Skiing - Men''s Downhill]:[Alpine Skiing - Women''s Team Combined]],MATCH(Table92[[#This Row],[Country]],Tabela1[Country], 0),0))</f>
        <v>0</v>
      </c>
      <c r="AZ85" s="6">
        <f>SUM(INDEX(Tabela1[[Biathlon - Men''s Individual]:[Biathlon - Mixed Relay]],MATCH(Table92[[#This Row],[Country]],Tabela1[Country], 0),0))</f>
        <v>0</v>
      </c>
      <c r="BA85" s="6">
        <f>SUM(INDEX(Tabela1[[Bobsleigh - Women''s Monobob]:[Bobsleigh - Men''s Four]],MATCH(Table92[[#This Row],[Country]],Tabela1[Country], 0),0))</f>
        <v>0</v>
      </c>
      <c r="BB85" s="6">
        <f>SUM(INDEX(Tabela1[[Cross-country skiing - Men''s Classical]:[Cross-country skiing - Women''s Team Sprint]],MATCH(Table92[[#This Row],[Country]],Tabela1[Country], 0),0))</f>
        <v>0</v>
      </c>
      <c r="BC85" s="6">
        <f>SUM(INDEX(Tabela1[[Curling - Men''s Tournament]:[Curling - Mixed Doubles]],MATCH(Table92[[#This Row],[Country]],Tabela1[Country], 0),0))</f>
        <v>0</v>
      </c>
      <c r="BD85" s="6">
        <f>SUM(INDEX(Tabela1[[Figure Skating - Men''s Singles]:[Figure Skating - Team Event]],MATCH(Table92[[#This Row],[Country]],Tabela1[Country], 0),0))</f>
        <v>0</v>
      </c>
      <c r="BE85" s="6">
        <f>SUM(INDEX(Tabela1[[Freestyle Skiing - Men''s Aerials]:[Freestyle Skiing - Women''s Slopestyle]],MATCH(Table92[[#This Row],[Country]],Tabela1[Country], 0),0))</f>
        <v>0</v>
      </c>
      <c r="BF85" s="6">
        <f>SUM(INDEX(Tabela1[[Ice Hockey - Men''s Tournament]:[Ice Hockey - Women''s Tournament]],MATCH(Table92[[#This Row],[Country]],Tabela1[Country], 0),0))</f>
        <v>0</v>
      </c>
      <c r="BG85" s="6">
        <f>SUM(INDEX(Tabela1[[Luge - Men''s Singles]:[Luge - Mixed Team Relay]],MATCH(Table92[[#This Row],[Country]],Tabela1[Country], 0),0))</f>
        <v>0</v>
      </c>
      <c r="BH85" s="6">
        <f>SUM(INDEX(Tabela1[[Nordic Combined - Men''s Individual]:[Nordic Combined - Men''s Team Sprint Large Hill]],MATCH(Table92[[#This Row],[Country]],Tabela1[Country], 0),0))</f>
        <v>0</v>
      </c>
      <c r="BI85" s="6">
        <f>SUM(INDEX(Tabela1[[Short track speed skating - Men''s 500m]:[Short track speed skating - Mixed 2000m Relay]],MATCH(Table92[[#This Row],[Country]],Tabela1[Country], 0),0))</f>
        <v>0</v>
      </c>
      <c r="BJ85" s="6">
        <f>SUM(INDEX(Tabela1[[Skeleton - Men''s Individual]:[Skeleton - Mixed Team]],MATCH(Table92[[#This Row],[Country]],Tabela1[Country], 0),0))</f>
        <v>0</v>
      </c>
      <c r="BK85" s="6">
        <f>SUM(INDEX(Tabela1[[Ski Jumping - Men''s Individual Large Hill]:[Ski Jumping - Mixed Team Normal Hill]],MATCH(Table92[[#This Row],[Country]],Tabela1[Country], 0),0))</f>
        <v>0</v>
      </c>
      <c r="BL85" s="6">
        <f>SUM(INDEX(Tabela1[[Ski Mountaineering - Men''s Sprint]:[Ski Mountaineering - Mixed Relay]],MATCH(Table92[[#This Row],[Country]],Tabela1[Country], 0),0))</f>
        <v>0</v>
      </c>
      <c r="BM85" s="6">
        <f>SUM(INDEX(Tabela1[[Snowboarding - Men''s Big Air]:[Snowboarding - Mixed Team Snowboard Cross]],MATCH(Table92[[#This Row],[Country]],Tabela1[Country], 0),0))</f>
        <v>0</v>
      </c>
      <c r="BN85" s="6">
        <f>SUM(INDEX(Tabela1[[Speed Skating - Men''s 500m]:[Speed Skating - Women''s Team Pursuit]],MATCH(Table92[[#This Row],[Country]],Tabela1[Country], 0),0))</f>
        <v>0</v>
      </c>
      <c r="BO85" s="6" t="str">
        <f>SUBSTITUTE(INDEX(Table92[[#Headers],[Archery Quotas]:[Speed Skating Quotas]], MATCH(MAX(Table92[[#This Row],[Archery Quotas]:[Speed Skating Quotas]]), Table92[[#This Row],[Archery Quotas]:[Speed Skating Quotas]], 0))," Quotas","")</f>
        <v>Athletics</v>
      </c>
      <c r="BP85" s="6">
        <f>SUM(Table92[[#This Row],[Summer Sports]:[Winter Sports]])</f>
        <v>4</v>
      </c>
      <c r="BQ85" s="6">
        <f>COUNTIF(Table92[[#This Row],[Archery Quotas]:[Wrestling Quotas]],"&lt;&gt;0")</f>
        <v>4</v>
      </c>
      <c r="BR85" s="6">
        <f>COUNTIF(Table92[[#This Row],[Alpine Skiing Quotas]:[Speed Skating Quotas]],"&lt;&gt;0")</f>
        <v>0</v>
      </c>
      <c r="BS85" s="3" t="s">
        <v>441</v>
      </c>
    </row>
    <row r="86" spans="1:71" x14ac:dyDescent="0.3">
      <c r="A86" s="6" t="s">
        <v>392</v>
      </c>
      <c r="B86" t="e" vm="86">
        <f>IF(ISBLANK(Table92[[#This Row],[Flag Link]]), "", _xlfn.IMAGE(Table92[[#This Row],[Flag Link]],1,1))</f>
        <v>#VALUE!</v>
      </c>
      <c r="C86" s="6">
        <f>SUM(Table92[[#This Row],[Archery Quotas]:[Speed Skating Quotas]])</f>
        <v>5</v>
      </c>
      <c r="D86" s="6">
        <f>SUM(INDEX(Tabela1[[Archery - Men''s Individual Recurve]:[Archery - Mixed Team Recurve]],MATCH(Table92[[#This Row],[Country]],Tabela1[Country], 0),0))</f>
        <v>0</v>
      </c>
      <c r="E86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86" s="6">
        <f>SUM(INDEX(Tabela1[[Artistic Swimming - Women''s Duet]:[Artistic Swimming - Women''s Team]],MATCH(Table92[[#This Row],[Country]],Tabela1[Country], 0),0))</f>
        <v>0</v>
      </c>
      <c r="G86" s="6">
        <f>SUM(INDEX(Tabela1[[Athletics - Men''s 100m]:[Athletics - Women''s Heptathlon]],MATCH(Table92[[#This Row],[Country]],Tabela1[Country], 0),0))</f>
        <v>2</v>
      </c>
      <c r="H86" s="6">
        <f>SUM(INDEX(Tabela1[[Badminton - Men''s Singles]:[Badminton - Mixed Doubles]],MATCH(Table92[[#This Row],[Country]],Tabela1[Country], 0),0))</f>
        <v>1</v>
      </c>
      <c r="I86" s="6">
        <f>SUM(INDEX(Tabela1[[Basketball - Men''s Tournament]:[Basketball - Women''s Tournament]],MATCH(Table92[[#This Row],[Country]],Tabela1[Country], 0),0))</f>
        <v>0</v>
      </c>
      <c r="J86" s="6">
        <f>SUM(INDEX(Tabela1[[3x3 Basketball - Men''s Tournament]:[3x3 Basketball - Women''s Tournament]],MATCH(Table92[[#This Row],[Country]],Tabela1[Country], 0),0))</f>
        <v>0</v>
      </c>
      <c r="K86" s="6">
        <f>SUM(INDEX(Tabela1[[Beach Volleyball - Men''s Tournament]:[Beach Volleyball - Women''s Tournament]],MATCH(Table92[[#This Row],[Country]],Tabela1[Country], 0),0))</f>
        <v>0</v>
      </c>
      <c r="L86" s="6">
        <f>SUM(INDEX(Tabela1[[Boxing - Men''s 51kg]:[Boxing - Women''s 75kg]],MATCH(Table92[[#This Row],[Country]],Tabela1[Country], 0),0))</f>
        <v>0</v>
      </c>
      <c r="M86" s="6">
        <f>SUM(INDEX(Tabela1[[Breaking - Men''s Individual]:[Breaking - Women''s Individual]],MATCH(Table92[[#This Row],[Country]],Tabela1[Country], 0),0))</f>
        <v>0</v>
      </c>
      <c r="N86" s="6">
        <f>SUM(INDEX(Tabela1[[Canoeing - Men''s C1 Slalom]:[Canoeing - Women''s Kayak Cross Slalom]],MATCH(Table92[[#This Row],[Country]],Tabela1[Country], 0),0))</f>
        <v>0</v>
      </c>
      <c r="O86" s="6">
        <f>SUM(INDEX(Tabela1[[Canoeing - Women''s C1 200m]:[Canoeing - Women''s K4 500m]],MATCH(Table92[[#This Row],[Country]],Tabela1[Country], 0),0))</f>
        <v>0</v>
      </c>
      <c r="P86" s="6">
        <f>SUM(INDEX(Tabela1[[Cycling - Men''s BMX Freestyle]:[Cycling - Women''s BMX Freestyle]],MATCH(Table92[[#This Row],[Country]],Tabela1[Country], 0),0))</f>
        <v>0</v>
      </c>
      <c r="Q86" s="6">
        <f>SUM(INDEX(Tabela1[[Cycling - Men''s BMX Racing]:[Cycling - Women''s BMX Racing]],MATCH(Table92[[#This Row],[Country]],Tabela1[Country], 0),0))</f>
        <v>0</v>
      </c>
      <c r="R86" s="6">
        <f>SUM(INDEX(Tabela1[[Cycling - Men''s Cross-Country]:[Cycling - Women''s Cross-Country]],MATCH(Table92[[#This Row],[Country]],Tabela1[Country], 0),0))</f>
        <v>0</v>
      </c>
      <c r="S86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86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86" s="6">
        <f>SUM(INDEX(Tabela1[[Diving - Men''s Springboard]:[Diving - Women''s Synchronized Platform]],MATCH(Table92[[#This Row],[Country]],Tabela1[Country], 0),0))</f>
        <v>0</v>
      </c>
      <c r="V86" s="6">
        <f>SUM(INDEX(Tabela1[[Equestrian - Individual Dressage]:[Equestrian - Team Dressage]],MATCH(Table92[[#This Row],[Country]],Tabela1[Country], 0),0))</f>
        <v>0</v>
      </c>
      <c r="W86" s="6">
        <f>SUM(INDEX(Tabela1[[Equestrian - Individual Eventing]:[Equestrian - Team Eventing]],MATCH(Table92[[#This Row],[Country]],Tabela1[Country], 0),0))</f>
        <v>0</v>
      </c>
      <c r="X86" s="6">
        <f>SUM(INDEX(Tabela1[[Equestrian - Individual Jumping]:[Equestrian - Team Jumping]],MATCH(Table92[[#This Row],[Country]],Tabela1[Country], 0),0))</f>
        <v>0</v>
      </c>
      <c r="Y86" s="6">
        <f>SUM(INDEX(Tabela1[[Fencing - Men''s Épée]:[Fencing - Women''s Team Sabre]],MATCH(Table92[[#This Row],[Country]],Tabela1[Country], 0),0))</f>
        <v>0</v>
      </c>
      <c r="Z86" s="6">
        <f>SUM(INDEX(Tabela1[[Field Hockey - Men''s Tournament]:[Field Hockey - Women''s Tournament]],MATCH(Table92[[#This Row],[Country]],Tabela1[Country], 0),0))</f>
        <v>0</v>
      </c>
      <c r="AA86" s="6">
        <f>SUM(INDEX(Tabela1[[Football - Men''s Tournament]:[Football - Women''s Tournament]],MATCH(Table92[[#This Row],[Country]],Tabela1[Country], 0),0))</f>
        <v>0</v>
      </c>
      <c r="AB86" s="6">
        <f>SUM(INDEX(Tabela1[[Golf - Men''s Individual]:[Golf - Women''s Individual]],MATCH(Table92[[#This Row],[Country]],Tabela1[Country], 0),0))</f>
        <v>0</v>
      </c>
      <c r="AC86" s="6">
        <f>SUM(INDEX(Tabela1[[Handball - Men''s Tournament]:[Handball - Women''s Tournament]],MATCH(Table92[[#This Row],[Country]],Tabela1[Country], 0),0))</f>
        <v>0</v>
      </c>
      <c r="AD86" s="6">
        <f>SUM(INDEX(Tabela1[[Judo - Men''s 60kg]:[Judo - Mixed Team]],MATCH(Table92[[#This Row],[Country]],Tabela1[Country], 0),0))</f>
        <v>0</v>
      </c>
      <c r="AE86" s="6">
        <f>SUM(INDEX(Tabela1[[Swimming - Men''s 10km Open Water]:[Swimming - Women''s 10km Open Water]],MATCH(Table92[[#This Row],[Country]],Tabela1[Country], 0),0))</f>
        <v>0</v>
      </c>
      <c r="AF86" s="6">
        <f>SUM(INDEX(Tabela1[[Modern Pentathlon - Men''s Individual]:[Modern Pentathlon - Women''s Individual]],MATCH(Table92[[#This Row],[Country]],Tabela1[Country], 0),0))</f>
        <v>0</v>
      </c>
      <c r="AG86" s="6">
        <f>SUM(INDEX(Tabela1[[Rhythmic Gymnastics - Women''s Individual All-Around]:[Rhythmic Gymnastics - Women''s Group All-Around]],MATCH(Table92[[#This Row],[Country]],Tabela1[Country], 0),0))</f>
        <v>0</v>
      </c>
      <c r="AH86" s="6">
        <f>SUM(INDEX(Tabela1[[Rowing - Men''s Single Sculls]:[Rowing - Women''s Lwt. Double Sculls]],MATCH(Table92[[#This Row],[Country]],Tabela1[Country], 0),0))</f>
        <v>0</v>
      </c>
      <c r="AI86" s="6">
        <f>SUM(INDEX(Tabela1[[Rugby Sevens - Men''s Tournament]:[Rugby Sevens - Women''s Tournament]],MATCH(Table92[[#This Row],[Country]],Tabela1[Country], 0),0))</f>
        <v>0</v>
      </c>
      <c r="AJ86" s="6">
        <f>SUM(INDEX(Tabela1[[Sailing - Mixed 470]:[Sailing - Mixed Nacra 17]],MATCH(Table92[[#This Row],[Country]],Tabela1[Country], 0),0))</f>
        <v>0</v>
      </c>
      <c r="AK86" s="6">
        <f>SUM(INDEX(Tabela1[[Shooting - Men''s 10m Air Pistol]:[Shooting - Women''s Trap]],MATCH(Table92[[#This Row],[Country]],Tabela1[Country], 0),0))</f>
        <v>0</v>
      </c>
      <c r="AL86" s="6">
        <f>SUM(INDEX(Tabela1[[Skateboarding - Men''s Park]:[Skateboarding - Women''s Street]],MATCH(Table92[[#This Row],[Country]],Tabela1[Country], 0),0))</f>
        <v>0</v>
      </c>
      <c r="AM86" s="6">
        <f>SUM(INDEX(Tabela1[[Sport Climbing - Men''s Boulder and Lead]:[Sport Climbing - Women''s Speed]],MATCH(Table92[[#This Row],[Country]],Tabela1[Country], 0),0))</f>
        <v>0</v>
      </c>
      <c r="AN86" s="6">
        <f>SUM(INDEX(Tabela1[[Surfing - Men''s Shortboard]:[Surfing - Women''s Shortboard]],MATCH(Table92[[#This Row],[Country]],Tabela1[Country], 0),0))</f>
        <v>0</v>
      </c>
      <c r="AO86" s="6">
        <f>SUM(INDEX(Tabela1[[Swimming - Men''s 50m Freestyle]:[Swimming - Mixed 4x100m Medley Relay]],MATCH(Table92[[#This Row],[Country]],Tabela1[Country], 0),0))</f>
        <v>2</v>
      </c>
      <c r="AP86" s="6">
        <f>SUM(INDEX(Tabela1[[Table Tennis - Men''s Singles]:[Table Tennis - Mixed Doubles]],MATCH(Table92[[#This Row],[Country]],Tabela1[Country], 0),0))</f>
        <v>0</v>
      </c>
      <c r="AQ86" s="6">
        <f>SUM(INDEX(Tabela1[[Taekwondo - Men''s 58kg]:[Taekwondo - Women''s +67kg]],MATCH(Table92[[#This Row],[Country]],Tabela1[Country], 0),0))</f>
        <v>0</v>
      </c>
      <c r="AR86" s="6">
        <f>SUM(INDEX(Tabela1[[Tennis - Men''s Singles]:[Tennis - Mixed Doubles]],MATCH(Table92[[#This Row],[Country]],Tabela1[Country], 0),0))</f>
        <v>0</v>
      </c>
      <c r="AS86" s="6">
        <f>SUM(INDEX(Tabela1[[Gymnastics - Men''s Trampoline]:[Gymnastics - Women''s Trampoline]],MATCH(Table92[[#This Row],[Country]],Tabela1[Country], 0),0))</f>
        <v>0</v>
      </c>
      <c r="AT86" s="6">
        <f>SUM(INDEX(Tabela1[[Triathlon - Men''s Individual]:[Triathlon - Mixed Relay]],MATCH(Table92[[#This Row],[Country]],Tabela1[Country], 0),0))</f>
        <v>0</v>
      </c>
      <c r="AU86" s="6">
        <f>SUM(INDEX(Tabela1[[Volleyball - Men''s Tournament]:[Volleyball - Women''s Tournament]],MATCH(Table92[[#This Row],[Country]],Tabela1[Country], 0),0))</f>
        <v>0</v>
      </c>
      <c r="AV86" s="6">
        <f>SUM(INDEX(Tabela1[[Water Polo - Men''s Tournament]:[Water Polo - Women''s Tournament]],MATCH(Table92[[#This Row],[Country]],Tabela1[Country], 0),0))</f>
        <v>0</v>
      </c>
      <c r="AW86" s="6">
        <f>SUM(INDEX(Tabela1[[Weightlifting - Men''s 61kg]:[Weightlifting - Women''s +81kg]],MATCH(Table92[[#This Row],[Country]],Tabela1[Country], 0),0))</f>
        <v>0</v>
      </c>
      <c r="AX86" s="6">
        <f>SUM(INDEX(Tabela1[[Wrestling - Men''s Freestyle 57kg]:[Wrestling - Women''s Freestyle 76kg]],MATCH(Table92[[#This Row],[Country]],Tabela1[Country], 0),0))</f>
        <v>0</v>
      </c>
      <c r="AY86" s="6">
        <f>SUM(INDEX(Tabela1[[Alpine Skiing - Men''s Downhill]:[Alpine Skiing - Women''s Team Combined]],MATCH(Table92[[#This Row],[Country]],Tabela1[Country], 0),0))</f>
        <v>0</v>
      </c>
      <c r="AZ86" s="6">
        <f>SUM(INDEX(Tabela1[[Biathlon - Men''s Individual]:[Biathlon - Mixed Relay]],MATCH(Table92[[#This Row],[Country]],Tabela1[Country], 0),0))</f>
        <v>0</v>
      </c>
      <c r="BA86" s="6">
        <f>SUM(INDEX(Tabela1[[Bobsleigh - Women''s Monobob]:[Bobsleigh - Men''s Four]],MATCH(Table92[[#This Row],[Country]],Tabela1[Country], 0),0))</f>
        <v>0</v>
      </c>
      <c r="BB86" s="6">
        <f>SUM(INDEX(Tabela1[[Cross-country skiing - Men''s Classical]:[Cross-country skiing - Women''s Team Sprint]],MATCH(Table92[[#This Row],[Country]],Tabela1[Country], 0),0))</f>
        <v>0</v>
      </c>
      <c r="BC86" s="6">
        <f>SUM(INDEX(Tabela1[[Curling - Men''s Tournament]:[Curling - Mixed Doubles]],MATCH(Table92[[#This Row],[Country]],Tabela1[Country], 0),0))</f>
        <v>0</v>
      </c>
      <c r="BD86" s="6">
        <f>SUM(INDEX(Tabela1[[Figure Skating - Men''s Singles]:[Figure Skating - Team Event]],MATCH(Table92[[#This Row],[Country]],Tabela1[Country], 0),0))</f>
        <v>0</v>
      </c>
      <c r="BE86" s="6">
        <f>SUM(INDEX(Tabela1[[Freestyle Skiing - Men''s Aerials]:[Freestyle Skiing - Women''s Slopestyle]],MATCH(Table92[[#This Row],[Country]],Tabela1[Country], 0),0))</f>
        <v>0</v>
      </c>
      <c r="BF86" s="6">
        <f>SUM(INDEX(Tabela1[[Ice Hockey - Men''s Tournament]:[Ice Hockey - Women''s Tournament]],MATCH(Table92[[#This Row],[Country]],Tabela1[Country], 0),0))</f>
        <v>0</v>
      </c>
      <c r="BG86" s="6">
        <f>SUM(INDEX(Tabela1[[Luge - Men''s Singles]:[Luge - Mixed Team Relay]],MATCH(Table92[[#This Row],[Country]],Tabela1[Country], 0),0))</f>
        <v>0</v>
      </c>
      <c r="BH86" s="6">
        <f>SUM(INDEX(Tabela1[[Nordic Combined - Men''s Individual]:[Nordic Combined - Men''s Team Sprint Large Hill]],MATCH(Table92[[#This Row],[Country]],Tabela1[Country], 0),0))</f>
        <v>0</v>
      </c>
      <c r="BI86" s="6">
        <f>SUM(INDEX(Tabela1[[Short track speed skating - Men''s 500m]:[Short track speed skating - Mixed 2000m Relay]],MATCH(Table92[[#This Row],[Country]],Tabela1[Country], 0),0))</f>
        <v>0</v>
      </c>
      <c r="BJ86" s="6">
        <f>SUM(INDEX(Tabela1[[Skeleton - Men''s Individual]:[Skeleton - Mixed Team]],MATCH(Table92[[#This Row],[Country]],Tabela1[Country], 0),0))</f>
        <v>0</v>
      </c>
      <c r="BK86" s="6">
        <f>SUM(INDEX(Tabela1[[Ski Jumping - Men''s Individual Large Hill]:[Ski Jumping - Mixed Team Normal Hill]],MATCH(Table92[[#This Row],[Country]],Tabela1[Country], 0),0))</f>
        <v>0</v>
      </c>
      <c r="BL86" s="6">
        <f>SUM(INDEX(Tabela1[[Ski Mountaineering - Men''s Sprint]:[Ski Mountaineering - Mixed Relay]],MATCH(Table92[[#This Row],[Country]],Tabela1[Country], 0),0))</f>
        <v>0</v>
      </c>
      <c r="BM86" s="6">
        <f>SUM(INDEX(Tabela1[[Snowboarding - Men''s Big Air]:[Snowboarding - Mixed Team Snowboard Cross]],MATCH(Table92[[#This Row],[Country]],Tabela1[Country], 0),0))</f>
        <v>0</v>
      </c>
      <c r="BN86" s="6">
        <f>SUM(INDEX(Tabela1[[Speed Skating - Men''s 500m]:[Speed Skating - Women''s Team Pursuit]],MATCH(Table92[[#This Row],[Country]],Tabela1[Country], 0),0))</f>
        <v>0</v>
      </c>
      <c r="BO86" s="6" t="str">
        <f>SUBSTITUTE(INDEX(Table92[[#Headers],[Archery Quotas]:[Speed Skating Quotas]], MATCH(MAX(Table92[[#This Row],[Archery Quotas]:[Speed Skating Quotas]]), Table92[[#This Row],[Archery Quotas]:[Speed Skating Quotas]], 0))," Quotas","")</f>
        <v>Athletics</v>
      </c>
      <c r="BP86" s="6">
        <f>SUM(Table92[[#This Row],[Summer Sports]:[Winter Sports]])</f>
        <v>3</v>
      </c>
      <c r="BQ86" s="6">
        <f>COUNTIF(Table92[[#This Row],[Archery Quotas]:[Wrestling Quotas]],"&lt;&gt;0")</f>
        <v>3</v>
      </c>
      <c r="BR86" s="6">
        <f>COUNTIF(Table92[[#This Row],[Alpine Skiing Quotas]:[Speed Skating Quotas]],"&lt;&gt;0")</f>
        <v>0</v>
      </c>
      <c r="BS86" s="3" t="s">
        <v>393</v>
      </c>
    </row>
    <row r="87" spans="1:71" x14ac:dyDescent="0.3">
      <c r="A87" s="6" t="s">
        <v>490</v>
      </c>
      <c r="B87" t="e" vm="82">
        <f>IF(ISBLANK(Table92[[#This Row],[Flag Link]]), "", _xlfn.IMAGE(Table92[[#This Row],[Flag Link]],1,1))</f>
        <v>#VALUE!</v>
      </c>
      <c r="C87" s="6">
        <f>SUM(Table92[[#This Row],[Archery Quotas]:[Speed Skating Quotas]])</f>
        <v>5</v>
      </c>
      <c r="D87" s="6">
        <f>SUM(INDEX(Tabela1[[Archery - Men''s Individual Recurve]:[Archery - Mixed Team Recurve]],MATCH(Table92[[#This Row],[Country]],Tabela1[Country], 0),0))</f>
        <v>0</v>
      </c>
      <c r="E87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87" s="6">
        <f>SUM(INDEX(Tabela1[[Artistic Swimming - Women''s Duet]:[Artistic Swimming - Women''s Team]],MATCH(Table92[[#This Row],[Country]],Tabela1[Country], 0),0))</f>
        <v>0</v>
      </c>
      <c r="G87" s="6">
        <f>SUM(INDEX(Tabela1[[Athletics - Men''s 100m]:[Athletics - Women''s Heptathlon]],MATCH(Table92[[#This Row],[Country]],Tabela1[Country], 0),0))</f>
        <v>1</v>
      </c>
      <c r="H87" s="6">
        <f>SUM(INDEX(Tabela1[[Badminton - Men''s Singles]:[Badminton - Mixed Doubles]],MATCH(Table92[[#This Row],[Country]],Tabela1[Country], 0),0))</f>
        <v>0</v>
      </c>
      <c r="I87" s="6">
        <f>SUM(INDEX(Tabela1[[Basketball - Men''s Tournament]:[Basketball - Women''s Tournament]],MATCH(Table92[[#This Row],[Country]],Tabela1[Country], 0),0))</f>
        <v>0</v>
      </c>
      <c r="J87" s="6">
        <f>SUM(INDEX(Tabela1[[3x3 Basketball - Men''s Tournament]:[3x3 Basketball - Women''s Tournament]],MATCH(Table92[[#This Row],[Country]],Tabela1[Country], 0),0))</f>
        <v>0</v>
      </c>
      <c r="K87" s="6">
        <f>SUM(INDEX(Tabela1[[Beach Volleyball - Men''s Tournament]:[Beach Volleyball - Women''s Tournament]],MATCH(Table92[[#This Row],[Country]],Tabela1[Country], 0),0))</f>
        <v>0</v>
      </c>
      <c r="L87" s="6">
        <f>SUM(INDEX(Tabela1[[Boxing - Men''s 51kg]:[Boxing - Women''s 75kg]],MATCH(Table92[[#This Row],[Country]],Tabela1[Country], 0),0))</f>
        <v>0</v>
      </c>
      <c r="M87" s="6">
        <f>SUM(INDEX(Tabela1[[Breaking - Men''s Individual]:[Breaking - Women''s Individual]],MATCH(Table92[[#This Row],[Country]],Tabela1[Country], 0),0))</f>
        <v>0</v>
      </c>
      <c r="N87" s="6">
        <f>SUM(INDEX(Tabela1[[Canoeing - Men''s C1 Slalom]:[Canoeing - Women''s Kayak Cross Slalom]],MATCH(Table92[[#This Row],[Country]],Tabela1[Country], 0),0))</f>
        <v>0</v>
      </c>
      <c r="O87" s="6">
        <f>SUM(INDEX(Tabela1[[Canoeing - Women''s C1 200m]:[Canoeing - Women''s K4 500m]],MATCH(Table92[[#This Row],[Country]],Tabela1[Country], 0),0))</f>
        <v>0</v>
      </c>
      <c r="P87" s="6">
        <f>SUM(INDEX(Tabela1[[Cycling - Men''s BMX Freestyle]:[Cycling - Women''s BMX Freestyle]],MATCH(Table92[[#This Row],[Country]],Tabela1[Country], 0),0))</f>
        <v>0</v>
      </c>
      <c r="Q87" s="6">
        <f>SUM(INDEX(Tabela1[[Cycling - Men''s BMX Racing]:[Cycling - Women''s BMX Racing]],MATCH(Table92[[#This Row],[Country]],Tabela1[Country], 0),0))</f>
        <v>0</v>
      </c>
      <c r="R87" s="6">
        <f>SUM(INDEX(Tabela1[[Cycling - Men''s Cross-Country]:[Cycling - Women''s Cross-Country]],MATCH(Table92[[#This Row],[Country]],Tabela1[Country], 0),0))</f>
        <v>0</v>
      </c>
      <c r="S87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87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87" s="6">
        <f>SUM(INDEX(Tabela1[[Diving - Men''s Springboard]:[Diving - Women''s Synchronized Platform]],MATCH(Table92[[#This Row],[Country]],Tabela1[Country], 0),0))</f>
        <v>0</v>
      </c>
      <c r="V87" s="6">
        <f>SUM(INDEX(Tabela1[[Equestrian - Individual Dressage]:[Equestrian - Team Dressage]],MATCH(Table92[[#This Row],[Country]],Tabela1[Country], 0),0))</f>
        <v>0</v>
      </c>
      <c r="W87" s="6">
        <f>SUM(INDEX(Tabela1[[Equestrian - Individual Eventing]:[Equestrian - Team Eventing]],MATCH(Table92[[#This Row],[Country]],Tabela1[Country], 0),0))</f>
        <v>0</v>
      </c>
      <c r="X87" s="6">
        <f>SUM(INDEX(Tabela1[[Equestrian - Individual Jumping]:[Equestrian - Team Jumping]],MATCH(Table92[[#This Row],[Country]],Tabela1[Country], 0),0))</f>
        <v>0</v>
      </c>
      <c r="Y87" s="6">
        <f>SUM(INDEX(Tabela1[[Fencing - Men''s Épée]:[Fencing - Women''s Team Sabre]],MATCH(Table92[[#This Row],[Country]],Tabela1[Country], 0),0))</f>
        <v>0</v>
      </c>
      <c r="Z87" s="6">
        <f>SUM(INDEX(Tabela1[[Field Hockey - Men''s Tournament]:[Field Hockey - Women''s Tournament]],MATCH(Table92[[#This Row],[Country]],Tabela1[Country], 0),0))</f>
        <v>0</v>
      </c>
      <c r="AA87" s="6">
        <f>SUM(INDEX(Tabela1[[Football - Men''s Tournament]:[Football - Women''s Tournament]],MATCH(Table92[[#This Row],[Country]],Tabela1[Country], 0),0))</f>
        <v>0</v>
      </c>
      <c r="AB87" s="6">
        <f>SUM(INDEX(Tabela1[[Golf - Men''s Individual]:[Golf - Women''s Individual]],MATCH(Table92[[#This Row],[Country]],Tabela1[Country], 0),0))</f>
        <v>0</v>
      </c>
      <c r="AC87" s="6">
        <f>SUM(INDEX(Tabela1[[Handball - Men''s Tournament]:[Handball - Women''s Tournament]],MATCH(Table92[[#This Row],[Country]],Tabela1[Country], 0),0))</f>
        <v>0</v>
      </c>
      <c r="AD87" s="6">
        <f>SUM(INDEX(Tabela1[[Judo - Men''s 60kg]:[Judo - Mixed Team]],MATCH(Table92[[#This Row],[Country]],Tabela1[Country], 0),0))</f>
        <v>0</v>
      </c>
      <c r="AE87" s="6">
        <f>SUM(INDEX(Tabela1[[Swimming - Men''s 10km Open Water]:[Swimming - Women''s 10km Open Water]],MATCH(Table92[[#This Row],[Country]],Tabela1[Country], 0),0))</f>
        <v>0</v>
      </c>
      <c r="AF87" s="6">
        <f>SUM(INDEX(Tabela1[[Modern Pentathlon - Men''s Individual]:[Modern Pentathlon - Women''s Individual]],MATCH(Table92[[#This Row],[Country]],Tabela1[Country], 0),0))</f>
        <v>0</v>
      </c>
      <c r="AG87" s="6">
        <f>SUM(INDEX(Tabela1[[Rhythmic Gymnastics - Women''s Individual All-Around]:[Rhythmic Gymnastics - Women''s Group All-Around]],MATCH(Table92[[#This Row],[Country]],Tabela1[Country], 0),0))</f>
        <v>0</v>
      </c>
      <c r="AH87" s="6">
        <f>SUM(INDEX(Tabela1[[Rowing - Men''s Single Sculls]:[Rowing - Women''s Lwt. Double Sculls]],MATCH(Table92[[#This Row],[Country]],Tabela1[Country], 0),0))</f>
        <v>0</v>
      </c>
      <c r="AI87" s="6">
        <f>SUM(INDEX(Tabela1[[Rugby Sevens - Men''s Tournament]:[Rugby Sevens - Women''s Tournament]],MATCH(Table92[[#This Row],[Country]],Tabela1[Country], 0),0))</f>
        <v>0</v>
      </c>
      <c r="AJ87" s="6">
        <f>SUM(INDEX(Tabela1[[Sailing - Mixed 470]:[Sailing - Mixed Nacra 17]],MATCH(Table92[[#This Row],[Country]],Tabela1[Country], 0),0))</f>
        <v>0</v>
      </c>
      <c r="AK87" s="6">
        <f>SUM(INDEX(Tabela1[[Shooting - Men''s 10m Air Pistol]:[Shooting - Women''s Trap]],MATCH(Table92[[#This Row],[Country]],Tabela1[Country], 0),0))</f>
        <v>0</v>
      </c>
      <c r="AL87" s="6">
        <f>SUM(INDEX(Tabela1[[Skateboarding - Men''s Park]:[Skateboarding - Women''s Street]],MATCH(Table92[[#This Row],[Country]],Tabela1[Country], 0),0))</f>
        <v>0</v>
      </c>
      <c r="AM87" s="6">
        <f>SUM(INDEX(Tabela1[[Sport Climbing - Men''s Boulder and Lead]:[Sport Climbing - Women''s Speed]],MATCH(Table92[[#This Row],[Country]],Tabela1[Country], 0),0))</f>
        <v>0</v>
      </c>
      <c r="AN87" s="6">
        <f>SUM(INDEX(Tabela1[[Surfing - Men''s Shortboard]:[Surfing - Women''s Shortboard]],MATCH(Table92[[#This Row],[Country]],Tabela1[Country], 0),0))</f>
        <v>0</v>
      </c>
      <c r="AO87" s="6">
        <f>SUM(INDEX(Tabela1[[Swimming - Men''s 50m Freestyle]:[Swimming - Mixed 4x100m Medley Relay]],MATCH(Table92[[#This Row],[Country]],Tabela1[Country], 0),0))</f>
        <v>1</v>
      </c>
      <c r="AP87" s="6">
        <f>SUM(INDEX(Tabela1[[Table Tennis - Men''s Singles]:[Table Tennis - Mixed Doubles]],MATCH(Table92[[#This Row],[Country]],Tabela1[Country], 0),0))</f>
        <v>0</v>
      </c>
      <c r="AQ87" s="6">
        <f>SUM(INDEX(Tabela1[[Taekwondo - Men''s 58kg]:[Taekwondo - Women''s +67kg]],MATCH(Table92[[#This Row],[Country]],Tabela1[Country], 0),0))</f>
        <v>0</v>
      </c>
      <c r="AR87" s="6">
        <f>SUM(INDEX(Tabela1[[Tennis - Men''s Singles]:[Tennis - Mixed Doubles]],MATCH(Table92[[#This Row],[Country]],Tabela1[Country], 0),0))</f>
        <v>0</v>
      </c>
      <c r="AS87" s="6">
        <f>SUM(INDEX(Tabela1[[Gymnastics - Men''s Trampoline]:[Gymnastics - Women''s Trampoline]],MATCH(Table92[[#This Row],[Country]],Tabela1[Country], 0),0))</f>
        <v>0</v>
      </c>
      <c r="AT87" s="6">
        <f>SUM(INDEX(Tabela1[[Triathlon - Men''s Individual]:[Triathlon - Mixed Relay]],MATCH(Table92[[#This Row],[Country]],Tabela1[Country], 0),0))</f>
        <v>0</v>
      </c>
      <c r="AU87" s="6">
        <f>SUM(INDEX(Tabela1[[Volleyball - Men''s Tournament]:[Volleyball - Women''s Tournament]],MATCH(Table92[[#This Row],[Country]],Tabela1[Country], 0),0))</f>
        <v>0</v>
      </c>
      <c r="AV87" s="6">
        <f>SUM(INDEX(Tabela1[[Water Polo - Men''s Tournament]:[Water Polo - Women''s Tournament]],MATCH(Table92[[#This Row],[Country]],Tabela1[Country], 0),0))</f>
        <v>0</v>
      </c>
      <c r="AW87" s="6">
        <f>SUM(INDEX(Tabela1[[Weightlifting - Men''s 61kg]:[Weightlifting - Women''s +81kg]],MATCH(Table92[[#This Row],[Country]],Tabela1[Country], 0),0))</f>
        <v>0</v>
      </c>
      <c r="AX87" s="6">
        <f>SUM(INDEX(Tabela1[[Wrestling - Men''s Freestyle 57kg]:[Wrestling - Women''s Freestyle 76kg]],MATCH(Table92[[#This Row],[Country]],Tabela1[Country], 0),0))</f>
        <v>0</v>
      </c>
      <c r="AY87" s="6">
        <f>SUM(INDEX(Tabela1[[Alpine Skiing - Men''s Downhill]:[Alpine Skiing - Women''s Team Combined]],MATCH(Table92[[#This Row],[Country]],Tabela1[Country], 0),0))</f>
        <v>2</v>
      </c>
      <c r="AZ87" s="6">
        <f>SUM(INDEX(Tabela1[[Biathlon - Men''s Individual]:[Biathlon - Mixed Relay]],MATCH(Table92[[#This Row],[Country]],Tabela1[Country], 0),0))</f>
        <v>0</v>
      </c>
      <c r="BA87" s="6">
        <f>SUM(INDEX(Tabela1[[Bobsleigh - Women''s Monobob]:[Bobsleigh - Men''s Four]],MATCH(Table92[[#This Row],[Country]],Tabela1[Country], 0),0))</f>
        <v>0</v>
      </c>
      <c r="BB87" s="6">
        <f>SUM(INDEX(Tabela1[[Cross-country skiing - Men''s Classical]:[Cross-country skiing - Women''s Team Sprint]],MATCH(Table92[[#This Row],[Country]],Tabela1[Country], 0),0))</f>
        <v>1</v>
      </c>
      <c r="BC87" s="6">
        <f>SUM(INDEX(Tabela1[[Curling - Men''s Tournament]:[Curling - Mixed Doubles]],MATCH(Table92[[#This Row],[Country]],Tabela1[Country], 0),0))</f>
        <v>0</v>
      </c>
      <c r="BD87" s="6">
        <f>SUM(INDEX(Tabela1[[Figure Skating - Men''s Singles]:[Figure Skating - Team Event]],MATCH(Table92[[#This Row],[Country]],Tabela1[Country], 0),0))</f>
        <v>0</v>
      </c>
      <c r="BE87" s="6">
        <f>SUM(INDEX(Tabela1[[Freestyle Skiing - Men''s Aerials]:[Freestyle Skiing - Women''s Slopestyle]],MATCH(Table92[[#This Row],[Country]],Tabela1[Country], 0),0))</f>
        <v>0</v>
      </c>
      <c r="BF87" s="6">
        <f>SUM(INDEX(Tabela1[[Ice Hockey - Men''s Tournament]:[Ice Hockey - Women''s Tournament]],MATCH(Table92[[#This Row],[Country]],Tabela1[Country], 0),0))</f>
        <v>0</v>
      </c>
      <c r="BG87" s="6">
        <f>SUM(INDEX(Tabela1[[Luge - Men''s Singles]:[Luge - Mixed Team Relay]],MATCH(Table92[[#This Row],[Country]],Tabela1[Country], 0),0))</f>
        <v>0</v>
      </c>
      <c r="BH87" s="6">
        <f>SUM(INDEX(Tabela1[[Nordic Combined - Men''s Individual]:[Nordic Combined - Men''s Team Sprint Large Hill]],MATCH(Table92[[#This Row],[Country]],Tabela1[Country], 0),0))</f>
        <v>0</v>
      </c>
      <c r="BI87" s="6">
        <f>SUM(INDEX(Tabela1[[Short track speed skating - Men''s 500m]:[Short track speed skating - Mixed 2000m Relay]],MATCH(Table92[[#This Row],[Country]],Tabela1[Country], 0),0))</f>
        <v>0</v>
      </c>
      <c r="BJ87" s="6">
        <f>SUM(INDEX(Tabela1[[Skeleton - Men''s Individual]:[Skeleton - Mixed Team]],MATCH(Table92[[#This Row],[Country]],Tabela1[Country], 0),0))</f>
        <v>0</v>
      </c>
      <c r="BK87" s="6">
        <f>SUM(INDEX(Tabela1[[Ski Jumping - Men''s Individual Large Hill]:[Ski Jumping - Mixed Team Normal Hill]],MATCH(Table92[[#This Row],[Country]],Tabela1[Country], 0),0))</f>
        <v>0</v>
      </c>
      <c r="BL87" s="6">
        <f>SUM(INDEX(Tabela1[[Ski Mountaineering - Men''s Sprint]:[Ski Mountaineering - Mixed Relay]],MATCH(Table92[[#This Row],[Country]],Tabela1[Country], 0),0))</f>
        <v>0</v>
      </c>
      <c r="BM87" s="6">
        <f>SUM(INDEX(Tabela1[[Snowboarding - Men''s Big Air]:[Snowboarding - Mixed Team Snowboard Cross]],MATCH(Table92[[#This Row],[Country]],Tabela1[Country], 0),0))</f>
        <v>0</v>
      </c>
      <c r="BN87" s="6">
        <f>SUM(INDEX(Tabela1[[Speed Skating - Men''s 500m]:[Speed Skating - Women''s Team Pursuit]],MATCH(Table92[[#This Row],[Country]],Tabela1[Country], 0),0))</f>
        <v>0</v>
      </c>
      <c r="BO87" s="6" t="str">
        <f>SUBSTITUTE(INDEX(Table92[[#Headers],[Archery Quotas]:[Speed Skating Quotas]], MATCH(MAX(Table92[[#This Row],[Archery Quotas]:[Speed Skating Quotas]]), Table92[[#This Row],[Archery Quotas]:[Speed Skating Quotas]], 0))," Quotas","")</f>
        <v>Alpine Skiing</v>
      </c>
      <c r="BP87" s="6">
        <f>SUM(Table92[[#This Row],[Summer Sports]:[Winter Sports]])</f>
        <v>4</v>
      </c>
      <c r="BQ87" s="6">
        <f>COUNTIF(Table92[[#This Row],[Archery Quotas]:[Wrestling Quotas]],"&lt;&gt;0")</f>
        <v>2</v>
      </c>
      <c r="BR87" s="6">
        <f>COUNTIF(Table92[[#This Row],[Alpine Skiing Quotas]:[Speed Skating Quotas]],"&lt;&gt;0")</f>
        <v>2</v>
      </c>
      <c r="BS87" s="3" t="s">
        <v>491</v>
      </c>
    </row>
    <row r="88" spans="1:71" x14ac:dyDescent="0.3">
      <c r="A88" s="6" t="s">
        <v>458</v>
      </c>
      <c r="B88" t="e" vm="88">
        <f>IF(ISBLANK(Table92[[#This Row],[Flag Link]]), "", _xlfn.IMAGE(Table92[[#This Row],[Flag Link]],1,1))</f>
        <v>#VALUE!</v>
      </c>
      <c r="C88" s="6">
        <f>SUM(Table92[[#This Row],[Archery Quotas]:[Speed Skating Quotas]])</f>
        <v>4</v>
      </c>
      <c r="D88" s="6">
        <f>SUM(INDEX(Tabela1[[Archery - Men''s Individual Recurve]:[Archery - Mixed Team Recurve]],MATCH(Table92[[#This Row],[Country]],Tabela1[Country], 0),0))</f>
        <v>0</v>
      </c>
      <c r="E88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88" s="6">
        <f>SUM(INDEX(Tabela1[[Artistic Swimming - Women''s Duet]:[Artistic Swimming - Women''s Team]],MATCH(Table92[[#This Row],[Country]],Tabela1[Country], 0),0))</f>
        <v>0</v>
      </c>
      <c r="G88" s="6">
        <f>SUM(INDEX(Tabela1[[Athletics - Men''s 100m]:[Athletics - Women''s Heptathlon]],MATCH(Table92[[#This Row],[Country]],Tabela1[Country], 0),0))</f>
        <v>0</v>
      </c>
      <c r="H88" s="6">
        <f>SUM(INDEX(Tabela1[[Badminton - Men''s Singles]:[Badminton - Mixed Doubles]],MATCH(Table92[[#This Row],[Country]],Tabela1[Country], 0),0))</f>
        <v>0</v>
      </c>
      <c r="I88" s="6">
        <f>SUM(INDEX(Tabela1[[Basketball - Men''s Tournament]:[Basketball - Women''s Tournament]],MATCH(Table92[[#This Row],[Country]],Tabela1[Country], 0),0))</f>
        <v>0</v>
      </c>
      <c r="J88" s="6">
        <f>SUM(INDEX(Tabela1[[3x3 Basketball - Men''s Tournament]:[3x3 Basketball - Women''s Tournament]],MATCH(Table92[[#This Row],[Country]],Tabela1[Country], 0),0))</f>
        <v>0</v>
      </c>
      <c r="K88" s="6">
        <f>SUM(INDEX(Tabela1[[Beach Volleyball - Men''s Tournament]:[Beach Volleyball - Women''s Tournament]],MATCH(Table92[[#This Row],[Country]],Tabela1[Country], 0),0))</f>
        <v>0</v>
      </c>
      <c r="L88" s="6">
        <f>SUM(INDEX(Tabela1[[Boxing - Men''s 51kg]:[Boxing - Women''s 75kg]],MATCH(Table92[[#This Row],[Country]],Tabela1[Country], 0),0))</f>
        <v>0</v>
      </c>
      <c r="M88" s="6">
        <f>SUM(INDEX(Tabela1[[Breaking - Men''s Individual]:[Breaking - Women''s Individual]],MATCH(Table92[[#This Row],[Country]],Tabela1[Country], 0),0))</f>
        <v>0</v>
      </c>
      <c r="N88" s="6">
        <f>SUM(INDEX(Tabela1[[Canoeing - Men''s C1 Slalom]:[Canoeing - Women''s Kayak Cross Slalom]],MATCH(Table92[[#This Row],[Country]],Tabela1[Country], 0),0))</f>
        <v>0</v>
      </c>
      <c r="O88" s="6">
        <f>SUM(INDEX(Tabela1[[Canoeing - Women''s C1 200m]:[Canoeing - Women''s K4 500m]],MATCH(Table92[[#This Row],[Country]],Tabela1[Country], 0),0))</f>
        <v>0</v>
      </c>
      <c r="P88" s="6">
        <f>SUM(INDEX(Tabela1[[Cycling - Men''s BMX Freestyle]:[Cycling - Women''s BMX Freestyle]],MATCH(Table92[[#This Row],[Country]],Tabela1[Country], 0),0))</f>
        <v>0</v>
      </c>
      <c r="Q88" s="6">
        <f>SUM(INDEX(Tabela1[[Cycling - Men''s BMX Racing]:[Cycling - Women''s BMX Racing]],MATCH(Table92[[#This Row],[Country]],Tabela1[Country], 0),0))</f>
        <v>0</v>
      </c>
      <c r="R88" s="6">
        <f>SUM(INDEX(Tabela1[[Cycling - Men''s Cross-Country]:[Cycling - Women''s Cross-Country]],MATCH(Table92[[#This Row],[Country]],Tabela1[Country], 0),0))</f>
        <v>0</v>
      </c>
      <c r="S88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88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88" s="6">
        <f>SUM(INDEX(Tabela1[[Diving - Men''s Springboard]:[Diving - Women''s Synchronized Platform]],MATCH(Table92[[#This Row],[Country]],Tabela1[Country], 0),0))</f>
        <v>0</v>
      </c>
      <c r="V88" s="6">
        <f>SUM(INDEX(Tabela1[[Equestrian - Individual Dressage]:[Equestrian - Team Dressage]],MATCH(Table92[[#This Row],[Country]],Tabela1[Country], 0),0))</f>
        <v>0</v>
      </c>
      <c r="W88" s="6">
        <f>SUM(INDEX(Tabela1[[Equestrian - Individual Eventing]:[Equestrian - Team Eventing]],MATCH(Table92[[#This Row],[Country]],Tabela1[Country], 0),0))</f>
        <v>0</v>
      </c>
      <c r="X88" s="6">
        <f>SUM(INDEX(Tabela1[[Equestrian - Individual Jumping]:[Equestrian - Team Jumping]],MATCH(Table92[[#This Row],[Country]],Tabela1[Country], 0),0))</f>
        <v>0</v>
      </c>
      <c r="Y88" s="6">
        <f>SUM(INDEX(Tabela1[[Fencing - Men''s Épée]:[Fencing - Women''s Team Sabre]],MATCH(Table92[[#This Row],[Country]],Tabela1[Country], 0),0))</f>
        <v>0</v>
      </c>
      <c r="Z88" s="6">
        <f>SUM(INDEX(Tabela1[[Field Hockey - Men''s Tournament]:[Field Hockey - Women''s Tournament]],MATCH(Table92[[#This Row],[Country]],Tabela1[Country], 0),0))</f>
        <v>0</v>
      </c>
      <c r="AA88" s="6">
        <f>SUM(INDEX(Tabela1[[Football - Men''s Tournament]:[Football - Women''s Tournament]],MATCH(Table92[[#This Row],[Country]],Tabela1[Country], 0),0))</f>
        <v>0</v>
      </c>
      <c r="AB88" s="6">
        <f>SUM(INDEX(Tabela1[[Golf - Men''s Individual]:[Golf - Women''s Individual]],MATCH(Table92[[#This Row],[Country]],Tabela1[Country], 0),0))</f>
        <v>0</v>
      </c>
      <c r="AC88" s="6">
        <f>SUM(INDEX(Tabela1[[Handball - Men''s Tournament]:[Handball - Women''s Tournament]],MATCH(Table92[[#This Row],[Country]],Tabela1[Country], 0),0))</f>
        <v>0</v>
      </c>
      <c r="AD88" s="6">
        <f>SUM(INDEX(Tabela1[[Judo - Men''s 60kg]:[Judo - Mixed Team]],MATCH(Table92[[#This Row],[Country]],Tabela1[Country], 0),0))</f>
        <v>0</v>
      </c>
      <c r="AE88" s="6">
        <f>SUM(INDEX(Tabela1[[Swimming - Men''s 10km Open Water]:[Swimming - Women''s 10km Open Water]],MATCH(Table92[[#This Row],[Country]],Tabela1[Country], 0),0))</f>
        <v>0</v>
      </c>
      <c r="AF88" s="6">
        <f>SUM(INDEX(Tabela1[[Modern Pentathlon - Men''s Individual]:[Modern Pentathlon - Women''s Individual]],MATCH(Table92[[#This Row],[Country]],Tabela1[Country], 0),0))</f>
        <v>0</v>
      </c>
      <c r="AG88" s="6">
        <f>SUM(INDEX(Tabela1[[Rhythmic Gymnastics - Women''s Individual All-Around]:[Rhythmic Gymnastics - Women''s Group All-Around]],MATCH(Table92[[#This Row],[Country]],Tabela1[Country], 0),0))</f>
        <v>0</v>
      </c>
      <c r="AH88" s="6">
        <f>SUM(INDEX(Tabela1[[Rowing - Men''s Single Sculls]:[Rowing - Women''s Lwt. Double Sculls]],MATCH(Table92[[#This Row],[Country]],Tabela1[Country], 0),0))</f>
        <v>0</v>
      </c>
      <c r="AI88" s="6">
        <f>SUM(INDEX(Tabela1[[Rugby Sevens - Men''s Tournament]:[Rugby Sevens - Women''s Tournament]],MATCH(Table92[[#This Row],[Country]],Tabela1[Country], 0),0))</f>
        <v>0</v>
      </c>
      <c r="AJ88" s="6">
        <f>SUM(INDEX(Tabela1[[Sailing - Mixed 470]:[Sailing - Mixed Nacra 17]],MATCH(Table92[[#This Row],[Country]],Tabela1[Country], 0),0))</f>
        <v>0</v>
      </c>
      <c r="AK88" s="6">
        <f>SUM(INDEX(Tabela1[[Shooting - Men''s 10m Air Pistol]:[Shooting - Women''s Trap]],MATCH(Table92[[#This Row],[Country]],Tabela1[Country], 0),0))</f>
        <v>0</v>
      </c>
      <c r="AL88" s="6">
        <f>SUM(INDEX(Tabela1[[Skateboarding - Men''s Park]:[Skateboarding - Women''s Street]],MATCH(Table92[[#This Row],[Country]],Tabela1[Country], 0),0))</f>
        <v>0</v>
      </c>
      <c r="AM88" s="6">
        <f>SUM(INDEX(Tabela1[[Sport Climbing - Men''s Boulder and Lead]:[Sport Climbing - Women''s Speed]],MATCH(Table92[[#This Row],[Country]],Tabela1[Country], 0),0))</f>
        <v>0</v>
      </c>
      <c r="AN88" s="6">
        <f>SUM(INDEX(Tabela1[[Surfing - Men''s Shortboard]:[Surfing - Women''s Shortboard]],MATCH(Table92[[#This Row],[Country]],Tabela1[Country], 0),0))</f>
        <v>0</v>
      </c>
      <c r="AO88" s="6">
        <f>SUM(INDEX(Tabela1[[Swimming - Men''s 50m Freestyle]:[Swimming - Mixed 4x100m Medley Relay]],MATCH(Table92[[#This Row],[Country]],Tabela1[Country], 0),0))</f>
        <v>0</v>
      </c>
      <c r="AP88" s="6">
        <f>SUM(INDEX(Tabela1[[Table Tennis - Men''s Singles]:[Table Tennis - Mixed Doubles]],MATCH(Table92[[#This Row],[Country]],Tabela1[Country], 0),0))</f>
        <v>0</v>
      </c>
      <c r="AQ88" s="6">
        <f>SUM(INDEX(Tabela1[[Taekwondo - Men''s 58kg]:[Taekwondo - Women''s +67kg]],MATCH(Table92[[#This Row],[Country]],Tabela1[Country], 0),0))</f>
        <v>0</v>
      </c>
      <c r="AR88" s="6">
        <f>SUM(INDEX(Tabela1[[Tennis - Men''s Singles]:[Tennis - Mixed Doubles]],MATCH(Table92[[#This Row],[Country]],Tabela1[Country], 0),0))</f>
        <v>0</v>
      </c>
      <c r="AS88" s="6">
        <f>SUM(INDEX(Tabela1[[Gymnastics - Men''s Trampoline]:[Gymnastics - Women''s Trampoline]],MATCH(Table92[[#This Row],[Country]],Tabela1[Country], 0),0))</f>
        <v>0</v>
      </c>
      <c r="AT88" s="6">
        <f>SUM(INDEX(Tabela1[[Triathlon - Men''s Individual]:[Triathlon - Mixed Relay]],MATCH(Table92[[#This Row],[Country]],Tabela1[Country], 0),0))</f>
        <v>0</v>
      </c>
      <c r="AU88" s="6">
        <f>SUM(INDEX(Tabela1[[Volleyball - Men''s Tournament]:[Volleyball - Women''s Tournament]],MATCH(Table92[[#This Row],[Country]],Tabela1[Country], 0),0))</f>
        <v>0</v>
      </c>
      <c r="AV88" s="6">
        <f>SUM(INDEX(Tabela1[[Water Polo - Men''s Tournament]:[Water Polo - Women''s Tournament]],MATCH(Table92[[#This Row],[Country]],Tabela1[Country], 0),0))</f>
        <v>0</v>
      </c>
      <c r="AW88" s="6">
        <f>SUM(INDEX(Tabela1[[Weightlifting - Men''s 61kg]:[Weightlifting - Women''s +81kg]],MATCH(Table92[[#This Row],[Country]],Tabela1[Country], 0),0))</f>
        <v>0</v>
      </c>
      <c r="AX88" s="6">
        <f>SUM(INDEX(Tabela1[[Wrestling - Men''s Freestyle 57kg]:[Wrestling - Women''s Freestyle 76kg]],MATCH(Table92[[#This Row],[Country]],Tabela1[Country], 0),0))</f>
        <v>0</v>
      </c>
      <c r="AY88" s="6">
        <f>SUM(INDEX(Tabela1[[Alpine Skiing - Men''s Downhill]:[Alpine Skiing - Women''s Team Combined]],MATCH(Table92[[#This Row],[Country]],Tabela1[Country], 0),0))</f>
        <v>0</v>
      </c>
      <c r="AZ88" s="6">
        <f>SUM(INDEX(Tabela1[[Biathlon - Men''s Individual]:[Biathlon - Mixed Relay]],MATCH(Table92[[#This Row],[Country]],Tabela1[Country], 0),0))</f>
        <v>0</v>
      </c>
      <c r="BA88" s="6">
        <f>SUM(INDEX(Tabela1[[Bobsleigh - Women''s Monobob]:[Bobsleigh - Men''s Four]],MATCH(Table92[[#This Row],[Country]],Tabela1[Country], 0),0))</f>
        <v>0</v>
      </c>
      <c r="BB88" s="6">
        <f>SUM(INDEX(Tabela1[[Cross-country skiing - Men''s Classical]:[Cross-country skiing - Women''s Team Sprint]],MATCH(Table92[[#This Row],[Country]],Tabela1[Country], 0),0))</f>
        <v>4</v>
      </c>
      <c r="BC88" s="6">
        <f>SUM(INDEX(Tabela1[[Curling - Men''s Tournament]:[Curling - Mixed Doubles]],MATCH(Table92[[#This Row],[Country]],Tabela1[Country], 0),0))</f>
        <v>0</v>
      </c>
      <c r="BD88" s="6">
        <f>SUM(INDEX(Tabela1[[Figure Skating - Men''s Singles]:[Figure Skating - Team Event]],MATCH(Table92[[#This Row],[Country]],Tabela1[Country], 0),0))</f>
        <v>0</v>
      </c>
      <c r="BE88" s="6">
        <f>SUM(INDEX(Tabela1[[Freestyle Skiing - Men''s Aerials]:[Freestyle Skiing - Women''s Slopestyle]],MATCH(Table92[[#This Row],[Country]],Tabela1[Country], 0),0))</f>
        <v>0</v>
      </c>
      <c r="BF88" s="6">
        <f>SUM(INDEX(Tabela1[[Ice Hockey - Men''s Tournament]:[Ice Hockey - Women''s Tournament]],MATCH(Table92[[#This Row],[Country]],Tabela1[Country], 0),0))</f>
        <v>0</v>
      </c>
      <c r="BG88" s="6">
        <f>SUM(INDEX(Tabela1[[Luge - Men''s Singles]:[Luge - Mixed Team Relay]],MATCH(Table92[[#This Row],[Country]],Tabela1[Country], 0),0))</f>
        <v>0</v>
      </c>
      <c r="BH88" s="6">
        <f>SUM(INDEX(Tabela1[[Nordic Combined - Men''s Individual]:[Nordic Combined - Men''s Team Sprint Large Hill]],MATCH(Table92[[#This Row],[Country]],Tabela1[Country], 0),0))</f>
        <v>0</v>
      </c>
      <c r="BI88" s="6">
        <f>SUM(INDEX(Tabela1[[Short track speed skating - Men''s 500m]:[Short track speed skating - Mixed 2000m Relay]],MATCH(Table92[[#This Row],[Country]],Tabela1[Country], 0),0))</f>
        <v>0</v>
      </c>
      <c r="BJ88" s="6">
        <f>SUM(INDEX(Tabela1[[Skeleton - Men''s Individual]:[Skeleton - Mixed Team]],MATCH(Table92[[#This Row],[Country]],Tabela1[Country], 0),0))</f>
        <v>0</v>
      </c>
      <c r="BK88" s="6">
        <f>SUM(INDEX(Tabela1[[Ski Jumping - Men''s Individual Large Hill]:[Ski Jumping - Mixed Team Normal Hill]],MATCH(Table92[[#This Row],[Country]],Tabela1[Country], 0),0))</f>
        <v>0</v>
      </c>
      <c r="BL88" s="6">
        <f>SUM(INDEX(Tabela1[[Ski Mountaineering - Men''s Sprint]:[Ski Mountaineering - Mixed Relay]],MATCH(Table92[[#This Row],[Country]],Tabela1[Country], 0),0))</f>
        <v>0</v>
      </c>
      <c r="BM88" s="6">
        <f>SUM(INDEX(Tabela1[[Snowboarding - Men''s Big Air]:[Snowboarding - Mixed Team Snowboard Cross]],MATCH(Table92[[#This Row],[Country]],Tabela1[Country], 0),0))</f>
        <v>0</v>
      </c>
      <c r="BN88" s="6">
        <f>SUM(INDEX(Tabela1[[Speed Skating - Men''s 500m]:[Speed Skating - Women''s Team Pursuit]],MATCH(Table92[[#This Row],[Country]],Tabela1[Country], 0),0))</f>
        <v>0</v>
      </c>
      <c r="BO88" s="6" t="str">
        <f>SUBSTITUTE(INDEX(Table92[[#Headers],[Archery Quotas]:[Speed Skating Quotas]], MATCH(MAX(Table92[[#This Row],[Archery Quotas]:[Speed Skating Quotas]]), Table92[[#This Row],[Archery Quotas]:[Speed Skating Quotas]], 0))," Quotas","")</f>
        <v>Cross Country Skiing</v>
      </c>
      <c r="BP88" s="6">
        <f>SUM(Table92[[#This Row],[Summer Sports]:[Winter Sports]])</f>
        <v>1</v>
      </c>
      <c r="BQ88" s="6">
        <f>COUNTIF(Table92[[#This Row],[Archery Quotas]:[Wrestling Quotas]],"&lt;&gt;0")</f>
        <v>0</v>
      </c>
      <c r="BR88" s="6">
        <f>COUNTIF(Table92[[#This Row],[Alpine Skiing Quotas]:[Speed Skating Quotas]],"&lt;&gt;0")</f>
        <v>1</v>
      </c>
      <c r="BS88" s="3" t="s">
        <v>459</v>
      </c>
    </row>
    <row r="89" spans="1:71" x14ac:dyDescent="0.3">
      <c r="A89" s="6" t="s">
        <v>544</v>
      </c>
      <c r="B89" t="e" vm="95">
        <f>IF(ISBLANK(Table92[[#This Row],[Flag Link]]), "", _xlfn.IMAGE(Table92[[#This Row],[Flag Link]],1,1))</f>
        <v>#VALUE!</v>
      </c>
      <c r="C89" s="6">
        <f>SUM(Table92[[#This Row],[Archery Quotas]:[Speed Skating Quotas]])</f>
        <v>4</v>
      </c>
      <c r="D89" s="6">
        <f>SUM(INDEX(Tabela1[[Archery - Men''s Individual Recurve]:[Archery - Mixed Team Recurve]],MATCH(Table92[[#This Row],[Country]],Tabela1[Country], 0),0))</f>
        <v>0</v>
      </c>
      <c r="E89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89" s="6">
        <f>SUM(INDEX(Tabela1[[Artistic Swimming - Women''s Duet]:[Artistic Swimming - Women''s Team]],MATCH(Table92[[#This Row],[Country]],Tabela1[Country], 0),0))</f>
        <v>0</v>
      </c>
      <c r="G89" s="6">
        <f>SUM(INDEX(Tabela1[[Athletics - Men''s 100m]:[Athletics - Women''s Heptathlon]],MATCH(Table92[[#This Row],[Country]],Tabela1[Country], 0),0))</f>
        <v>1</v>
      </c>
      <c r="H89" s="6">
        <f>SUM(INDEX(Tabela1[[Badminton - Men''s Singles]:[Badminton - Mixed Doubles]],MATCH(Table92[[#This Row],[Country]],Tabela1[Country], 0),0))</f>
        <v>0</v>
      </c>
      <c r="I89" s="6">
        <f>SUM(INDEX(Tabela1[[Basketball - Men''s Tournament]:[Basketball - Women''s Tournament]],MATCH(Table92[[#This Row],[Country]],Tabela1[Country], 0),0))</f>
        <v>0</v>
      </c>
      <c r="J89" s="6">
        <f>SUM(INDEX(Tabela1[[3x3 Basketball - Men''s Tournament]:[3x3 Basketball - Women''s Tournament]],MATCH(Table92[[#This Row],[Country]],Tabela1[Country], 0),0))</f>
        <v>0</v>
      </c>
      <c r="K89" s="6">
        <f>SUM(INDEX(Tabela1[[Beach Volleyball - Men''s Tournament]:[Beach Volleyball - Women''s Tournament]],MATCH(Table92[[#This Row],[Country]],Tabela1[Country], 0),0))</f>
        <v>0</v>
      </c>
      <c r="L89" s="6">
        <f>SUM(INDEX(Tabela1[[Boxing - Men''s 51kg]:[Boxing - Women''s 75kg]],MATCH(Table92[[#This Row],[Country]],Tabela1[Country], 0),0))</f>
        <v>0</v>
      </c>
      <c r="M89" s="6">
        <f>SUM(INDEX(Tabela1[[Breaking - Men''s Individual]:[Breaking - Women''s Individual]],MATCH(Table92[[#This Row],[Country]],Tabela1[Country], 0),0))</f>
        <v>0</v>
      </c>
      <c r="N89" s="6">
        <f>SUM(INDEX(Tabela1[[Canoeing - Men''s C1 Slalom]:[Canoeing - Women''s Kayak Cross Slalom]],MATCH(Table92[[#This Row],[Country]],Tabela1[Country], 0),0))</f>
        <v>0</v>
      </c>
      <c r="O89" s="6">
        <f>SUM(INDEX(Tabela1[[Canoeing - Women''s C1 200m]:[Canoeing - Women''s K4 500m]],MATCH(Table92[[#This Row],[Country]],Tabela1[Country], 0),0))</f>
        <v>0</v>
      </c>
      <c r="P89" s="6">
        <f>SUM(INDEX(Tabela1[[Cycling - Men''s BMX Freestyle]:[Cycling - Women''s BMX Freestyle]],MATCH(Table92[[#This Row],[Country]],Tabela1[Country], 0),0))</f>
        <v>0</v>
      </c>
      <c r="Q89" s="6">
        <f>SUM(INDEX(Tabela1[[Cycling - Men''s BMX Racing]:[Cycling - Women''s BMX Racing]],MATCH(Table92[[#This Row],[Country]],Tabela1[Country], 0),0))</f>
        <v>0</v>
      </c>
      <c r="R89" s="6">
        <f>SUM(INDEX(Tabela1[[Cycling - Men''s Cross-Country]:[Cycling - Women''s Cross-Country]],MATCH(Table92[[#This Row],[Country]],Tabela1[Country], 0),0))</f>
        <v>0</v>
      </c>
      <c r="S89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89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89" s="6">
        <f>SUM(INDEX(Tabela1[[Diving - Men''s Springboard]:[Diving - Women''s Synchronized Platform]],MATCH(Table92[[#This Row],[Country]],Tabela1[Country], 0),0))</f>
        <v>0</v>
      </c>
      <c r="V89" s="6">
        <f>SUM(INDEX(Tabela1[[Equestrian - Individual Dressage]:[Equestrian - Team Dressage]],MATCH(Table92[[#This Row],[Country]],Tabela1[Country], 0),0))</f>
        <v>0</v>
      </c>
      <c r="W89" s="6">
        <f>SUM(INDEX(Tabela1[[Equestrian - Individual Eventing]:[Equestrian - Team Eventing]],MATCH(Table92[[#This Row],[Country]],Tabela1[Country], 0),0))</f>
        <v>0</v>
      </c>
      <c r="X89" s="6">
        <f>SUM(INDEX(Tabela1[[Equestrian - Individual Jumping]:[Equestrian - Team Jumping]],MATCH(Table92[[#This Row],[Country]],Tabela1[Country], 0),0))</f>
        <v>0</v>
      </c>
      <c r="Y89" s="6">
        <f>SUM(INDEX(Tabela1[[Fencing - Men''s Épée]:[Fencing - Women''s Team Sabre]],MATCH(Table92[[#This Row],[Country]],Tabela1[Country], 0),0))</f>
        <v>0</v>
      </c>
      <c r="Z89" s="6">
        <f>SUM(INDEX(Tabela1[[Field Hockey - Men''s Tournament]:[Field Hockey - Women''s Tournament]],MATCH(Table92[[#This Row],[Country]],Tabela1[Country], 0),0))</f>
        <v>0</v>
      </c>
      <c r="AA89" s="6">
        <f>SUM(INDEX(Tabela1[[Football - Men''s Tournament]:[Football - Women''s Tournament]],MATCH(Table92[[#This Row],[Country]],Tabela1[Country], 0),0))</f>
        <v>0</v>
      </c>
      <c r="AB89" s="6">
        <f>SUM(INDEX(Tabela1[[Golf - Men''s Individual]:[Golf - Women''s Individual]],MATCH(Table92[[#This Row],[Country]],Tabela1[Country], 0),0))</f>
        <v>0</v>
      </c>
      <c r="AC89" s="6">
        <f>SUM(INDEX(Tabela1[[Handball - Men''s Tournament]:[Handball - Women''s Tournament]],MATCH(Table92[[#This Row],[Country]],Tabela1[Country], 0),0))</f>
        <v>0</v>
      </c>
      <c r="AD89" s="6">
        <f>SUM(INDEX(Tabela1[[Judo - Men''s 60kg]:[Judo - Mixed Team]],MATCH(Table92[[#This Row],[Country]],Tabela1[Country], 0),0))</f>
        <v>1</v>
      </c>
      <c r="AE89" s="6">
        <f>SUM(INDEX(Tabela1[[Swimming - Men''s 10km Open Water]:[Swimming - Women''s 10km Open Water]],MATCH(Table92[[#This Row],[Country]],Tabela1[Country], 0),0))</f>
        <v>0</v>
      </c>
      <c r="AF89" s="6">
        <f>SUM(INDEX(Tabela1[[Modern Pentathlon - Men''s Individual]:[Modern Pentathlon - Women''s Individual]],MATCH(Table92[[#This Row],[Country]],Tabela1[Country], 0),0))</f>
        <v>0</v>
      </c>
      <c r="AG89" s="6">
        <f>SUM(INDEX(Tabela1[[Rhythmic Gymnastics - Women''s Individual All-Around]:[Rhythmic Gymnastics - Women''s Group All-Around]],MATCH(Table92[[#This Row],[Country]],Tabela1[Country], 0),0))</f>
        <v>0</v>
      </c>
      <c r="AH89" s="6">
        <f>SUM(INDEX(Tabela1[[Rowing - Men''s Single Sculls]:[Rowing - Women''s Lwt. Double Sculls]],MATCH(Table92[[#This Row],[Country]],Tabela1[Country], 0),0))</f>
        <v>0</v>
      </c>
      <c r="AI89" s="6">
        <f>SUM(INDEX(Tabela1[[Rugby Sevens - Men''s Tournament]:[Rugby Sevens - Women''s Tournament]],MATCH(Table92[[#This Row],[Country]],Tabela1[Country], 0),0))</f>
        <v>0</v>
      </c>
      <c r="AJ89" s="6">
        <f>SUM(INDEX(Tabela1[[Sailing - Mixed 470]:[Sailing - Mixed Nacra 17]],MATCH(Table92[[#This Row],[Country]],Tabela1[Country], 0),0))</f>
        <v>0</v>
      </c>
      <c r="AK89" s="6">
        <f>SUM(INDEX(Tabela1[[Shooting - Men''s 10m Air Pistol]:[Shooting - Women''s Trap]],MATCH(Table92[[#This Row],[Country]],Tabela1[Country], 0),0))</f>
        <v>0</v>
      </c>
      <c r="AL89" s="6">
        <f>SUM(INDEX(Tabela1[[Skateboarding - Men''s Park]:[Skateboarding - Women''s Street]],MATCH(Table92[[#This Row],[Country]],Tabela1[Country], 0),0))</f>
        <v>0</v>
      </c>
      <c r="AM89" s="6">
        <f>SUM(INDEX(Tabela1[[Sport Climbing - Men''s Boulder and Lead]:[Sport Climbing - Women''s Speed]],MATCH(Table92[[#This Row],[Country]],Tabela1[Country], 0),0))</f>
        <v>0</v>
      </c>
      <c r="AN89" s="6">
        <f>SUM(INDEX(Tabela1[[Surfing - Men''s Shortboard]:[Surfing - Women''s Shortboard]],MATCH(Table92[[#This Row],[Country]],Tabela1[Country], 0),0))</f>
        <v>0</v>
      </c>
      <c r="AO89" s="6">
        <f>SUM(INDEX(Tabela1[[Swimming - Men''s 50m Freestyle]:[Swimming - Mixed 4x100m Medley Relay]],MATCH(Table92[[#This Row],[Country]],Tabela1[Country], 0),0))</f>
        <v>1</v>
      </c>
      <c r="AP89" s="6">
        <f>SUM(INDEX(Tabela1[[Table Tennis - Men''s Singles]:[Table Tennis - Mixed Doubles]],MATCH(Table92[[#This Row],[Country]],Tabela1[Country], 0),0))</f>
        <v>1</v>
      </c>
      <c r="AQ89" s="6">
        <f>SUM(INDEX(Tabela1[[Taekwondo - Men''s 58kg]:[Taekwondo - Women''s +67kg]],MATCH(Table92[[#This Row],[Country]],Tabela1[Country], 0),0))</f>
        <v>0</v>
      </c>
      <c r="AR89" s="6">
        <f>SUM(INDEX(Tabela1[[Tennis - Men''s Singles]:[Tennis - Mixed Doubles]],MATCH(Table92[[#This Row],[Country]],Tabela1[Country], 0),0))</f>
        <v>0</v>
      </c>
      <c r="AS89" s="6">
        <f>SUM(INDEX(Tabela1[[Gymnastics - Men''s Trampoline]:[Gymnastics - Women''s Trampoline]],MATCH(Table92[[#This Row],[Country]],Tabela1[Country], 0),0))</f>
        <v>0</v>
      </c>
      <c r="AT89" s="6">
        <f>SUM(INDEX(Tabela1[[Triathlon - Men''s Individual]:[Triathlon - Mixed Relay]],MATCH(Table92[[#This Row],[Country]],Tabela1[Country], 0),0))</f>
        <v>0</v>
      </c>
      <c r="AU89" s="6">
        <f>SUM(INDEX(Tabela1[[Volleyball - Men''s Tournament]:[Volleyball - Women''s Tournament]],MATCH(Table92[[#This Row],[Country]],Tabela1[Country], 0),0))</f>
        <v>0</v>
      </c>
      <c r="AV89" s="6">
        <f>SUM(INDEX(Tabela1[[Water Polo - Men''s Tournament]:[Water Polo - Women''s Tournament]],MATCH(Table92[[#This Row],[Country]],Tabela1[Country], 0),0))</f>
        <v>0</v>
      </c>
      <c r="AW89" s="6">
        <f>SUM(INDEX(Tabela1[[Weightlifting - Men''s 61kg]:[Weightlifting - Women''s +81kg]],MATCH(Table92[[#This Row],[Country]],Tabela1[Country], 0),0))</f>
        <v>0</v>
      </c>
      <c r="AX89" s="6">
        <f>SUM(INDEX(Tabela1[[Wrestling - Men''s Freestyle 57kg]:[Wrestling - Women''s Freestyle 76kg]],MATCH(Table92[[#This Row],[Country]],Tabela1[Country], 0),0))</f>
        <v>0</v>
      </c>
      <c r="AY89" s="6">
        <f>SUM(INDEX(Tabela1[[Alpine Skiing - Men''s Downhill]:[Alpine Skiing - Women''s Team Combined]],MATCH(Table92[[#This Row],[Country]],Tabela1[Country], 0),0))</f>
        <v>0</v>
      </c>
      <c r="AZ89" s="6">
        <f>SUM(INDEX(Tabela1[[Biathlon - Men''s Individual]:[Biathlon - Mixed Relay]],MATCH(Table92[[#This Row],[Country]],Tabela1[Country], 0),0))</f>
        <v>0</v>
      </c>
      <c r="BA89" s="6">
        <f>SUM(INDEX(Tabela1[[Bobsleigh - Women''s Monobob]:[Bobsleigh - Men''s Four]],MATCH(Table92[[#This Row],[Country]],Tabela1[Country], 0),0))</f>
        <v>0</v>
      </c>
      <c r="BB89" s="6">
        <f>SUM(INDEX(Tabela1[[Cross-country skiing - Men''s Classical]:[Cross-country skiing - Women''s Team Sprint]],MATCH(Table92[[#This Row],[Country]],Tabela1[Country], 0),0))</f>
        <v>0</v>
      </c>
      <c r="BC89" s="6">
        <f>SUM(INDEX(Tabela1[[Curling - Men''s Tournament]:[Curling - Mixed Doubles]],MATCH(Table92[[#This Row],[Country]],Tabela1[Country], 0),0))</f>
        <v>0</v>
      </c>
      <c r="BD89" s="6">
        <f>SUM(INDEX(Tabela1[[Figure Skating - Men''s Singles]:[Figure Skating - Team Event]],MATCH(Table92[[#This Row],[Country]],Tabela1[Country], 0),0))</f>
        <v>0</v>
      </c>
      <c r="BE89" s="6">
        <f>SUM(INDEX(Tabela1[[Freestyle Skiing - Men''s Aerials]:[Freestyle Skiing - Women''s Slopestyle]],MATCH(Table92[[#This Row],[Country]],Tabela1[Country], 0),0))</f>
        <v>0</v>
      </c>
      <c r="BF89" s="6">
        <f>SUM(INDEX(Tabela1[[Ice Hockey - Men''s Tournament]:[Ice Hockey - Women''s Tournament]],MATCH(Table92[[#This Row],[Country]],Tabela1[Country], 0),0))</f>
        <v>0</v>
      </c>
      <c r="BG89" s="6">
        <f>SUM(INDEX(Tabela1[[Luge - Men''s Singles]:[Luge - Mixed Team Relay]],MATCH(Table92[[#This Row],[Country]],Tabela1[Country], 0),0))</f>
        <v>0</v>
      </c>
      <c r="BH89" s="6">
        <f>SUM(INDEX(Tabela1[[Nordic Combined - Men''s Individual]:[Nordic Combined - Men''s Team Sprint Large Hill]],MATCH(Table92[[#This Row],[Country]],Tabela1[Country], 0),0))</f>
        <v>0</v>
      </c>
      <c r="BI89" s="6">
        <f>SUM(INDEX(Tabela1[[Short track speed skating - Men''s 500m]:[Short track speed skating - Mixed 2000m Relay]],MATCH(Table92[[#This Row],[Country]],Tabela1[Country], 0),0))</f>
        <v>0</v>
      </c>
      <c r="BJ89" s="6">
        <f>SUM(INDEX(Tabela1[[Skeleton - Men''s Individual]:[Skeleton - Mixed Team]],MATCH(Table92[[#This Row],[Country]],Tabela1[Country], 0),0))</f>
        <v>0</v>
      </c>
      <c r="BK89" s="6">
        <f>SUM(INDEX(Tabela1[[Ski Jumping - Men''s Individual Large Hill]:[Ski Jumping - Mixed Team Normal Hill]],MATCH(Table92[[#This Row],[Country]],Tabela1[Country], 0),0))</f>
        <v>0</v>
      </c>
      <c r="BL89" s="6">
        <f>SUM(INDEX(Tabela1[[Ski Mountaineering - Men''s Sprint]:[Ski Mountaineering - Mixed Relay]],MATCH(Table92[[#This Row],[Country]],Tabela1[Country], 0),0))</f>
        <v>0</v>
      </c>
      <c r="BM89" s="6">
        <f>SUM(INDEX(Tabela1[[Snowboarding - Men''s Big Air]:[Snowboarding - Mixed Team Snowboard Cross]],MATCH(Table92[[#This Row],[Country]],Tabela1[Country], 0),0))</f>
        <v>0</v>
      </c>
      <c r="BN89" s="6">
        <f>SUM(INDEX(Tabela1[[Speed Skating - Men''s 500m]:[Speed Skating - Women''s Team Pursuit]],MATCH(Table92[[#This Row],[Country]],Tabela1[Country], 0),0))</f>
        <v>0</v>
      </c>
      <c r="BO89" s="6" t="str">
        <f>SUBSTITUTE(INDEX(Table92[[#Headers],[Archery Quotas]:[Speed Skating Quotas]], MATCH(MAX(Table92[[#This Row],[Archery Quotas]:[Speed Skating Quotas]]), Table92[[#This Row],[Archery Quotas]:[Speed Skating Quotas]], 0))," Quotas","")</f>
        <v>Athletics</v>
      </c>
      <c r="BP89" s="6">
        <f>SUM(Table92[[#This Row],[Summer Sports]:[Winter Sports]])</f>
        <v>4</v>
      </c>
      <c r="BQ89" s="6">
        <f>COUNTIF(Table92[[#This Row],[Archery Quotas]:[Wrestling Quotas]],"&lt;&gt;0")</f>
        <v>4</v>
      </c>
      <c r="BR89" s="6">
        <f>COUNTIF(Table92[[#This Row],[Alpine Skiing Quotas]:[Speed Skating Quotas]],"&lt;&gt;0")</f>
        <v>0</v>
      </c>
      <c r="BS89" s="3" t="s">
        <v>545</v>
      </c>
    </row>
    <row r="90" spans="1:71" x14ac:dyDescent="0.3">
      <c r="A90" s="6" t="s">
        <v>420</v>
      </c>
      <c r="B90" t="e" vm="91">
        <f>IF(ISBLANK(Table92[[#This Row],[Flag Link]]), "", _xlfn.IMAGE(Table92[[#This Row],[Flag Link]],1,1))</f>
        <v>#VALUE!</v>
      </c>
      <c r="C90" s="6">
        <f>SUM(Table92[[#This Row],[Archery Quotas]:[Speed Skating Quotas]])</f>
        <v>4</v>
      </c>
      <c r="D90" s="6">
        <f>SUM(INDEX(Tabela1[[Archery - Men''s Individual Recurve]:[Archery - Mixed Team Recurve]],MATCH(Table92[[#This Row],[Country]],Tabela1[Country], 0),0))</f>
        <v>0</v>
      </c>
      <c r="E90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90" s="6">
        <f>SUM(INDEX(Tabela1[[Artistic Swimming - Women''s Duet]:[Artistic Swimming - Women''s Team]],MATCH(Table92[[#This Row],[Country]],Tabela1[Country], 0),0))</f>
        <v>0</v>
      </c>
      <c r="G90" s="6">
        <f>SUM(INDEX(Tabela1[[Athletics - Men''s 100m]:[Athletics - Women''s Heptathlon]],MATCH(Table92[[#This Row],[Country]],Tabela1[Country], 0),0))</f>
        <v>0</v>
      </c>
      <c r="H90" s="6">
        <f>SUM(INDEX(Tabela1[[Badminton - Men''s Singles]:[Badminton - Mixed Doubles]],MATCH(Table92[[#This Row],[Country]],Tabela1[Country], 0),0))</f>
        <v>0</v>
      </c>
      <c r="I90" s="6">
        <f>SUM(INDEX(Tabela1[[Basketball - Men''s Tournament]:[Basketball - Women''s Tournament]],MATCH(Table92[[#This Row],[Country]],Tabela1[Country], 0),0))</f>
        <v>0</v>
      </c>
      <c r="J90" s="6">
        <f>SUM(INDEX(Tabela1[[3x3 Basketball - Men''s Tournament]:[3x3 Basketball - Women''s Tournament]],MATCH(Table92[[#This Row],[Country]],Tabela1[Country], 0),0))</f>
        <v>0</v>
      </c>
      <c r="K90" s="6">
        <f>SUM(INDEX(Tabela1[[Beach Volleyball - Men''s Tournament]:[Beach Volleyball - Women''s Tournament]],MATCH(Table92[[#This Row],[Country]],Tabela1[Country], 0),0))</f>
        <v>0</v>
      </c>
      <c r="L90" s="6">
        <f>SUM(INDEX(Tabela1[[Boxing - Men''s 51kg]:[Boxing - Women''s 75kg]],MATCH(Table92[[#This Row],[Country]],Tabela1[Country], 0),0))</f>
        <v>0</v>
      </c>
      <c r="M90" s="6">
        <f>SUM(INDEX(Tabela1[[Breaking - Men''s Individual]:[Breaking - Women''s Individual]],MATCH(Table92[[#This Row],[Country]],Tabela1[Country], 0),0))</f>
        <v>0</v>
      </c>
      <c r="N90" s="6">
        <f>SUM(INDEX(Tabela1[[Canoeing - Men''s C1 Slalom]:[Canoeing - Women''s Kayak Cross Slalom]],MATCH(Table92[[#This Row],[Country]],Tabela1[Country], 0),0))</f>
        <v>0</v>
      </c>
      <c r="O90" s="6">
        <f>SUM(INDEX(Tabela1[[Canoeing - Women''s C1 200m]:[Canoeing - Women''s K4 500m]],MATCH(Table92[[#This Row],[Country]],Tabela1[Country], 0),0))</f>
        <v>0</v>
      </c>
      <c r="P90" s="6">
        <f>SUM(INDEX(Tabela1[[Cycling - Men''s BMX Freestyle]:[Cycling - Women''s BMX Freestyle]],MATCH(Table92[[#This Row],[Country]],Tabela1[Country], 0),0))</f>
        <v>0</v>
      </c>
      <c r="Q90" s="6">
        <f>SUM(INDEX(Tabela1[[Cycling - Men''s BMX Racing]:[Cycling - Women''s BMX Racing]],MATCH(Table92[[#This Row],[Country]],Tabela1[Country], 0),0))</f>
        <v>0</v>
      </c>
      <c r="R90" s="6">
        <f>SUM(INDEX(Tabela1[[Cycling - Men''s Cross-Country]:[Cycling - Women''s Cross-Country]],MATCH(Table92[[#This Row],[Country]],Tabela1[Country], 0),0))</f>
        <v>0</v>
      </c>
      <c r="S90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90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90" s="6">
        <f>SUM(INDEX(Tabela1[[Diving - Men''s Springboard]:[Diving - Women''s Synchronized Platform]],MATCH(Table92[[#This Row],[Country]],Tabela1[Country], 0),0))</f>
        <v>0</v>
      </c>
      <c r="V90" s="6">
        <f>SUM(INDEX(Tabela1[[Equestrian - Individual Dressage]:[Equestrian - Team Dressage]],MATCH(Table92[[#This Row],[Country]],Tabela1[Country], 0),0))</f>
        <v>0</v>
      </c>
      <c r="W90" s="6">
        <f>SUM(INDEX(Tabela1[[Equestrian - Individual Eventing]:[Equestrian - Team Eventing]],MATCH(Table92[[#This Row],[Country]],Tabela1[Country], 0),0))</f>
        <v>0</v>
      </c>
      <c r="X90" s="6">
        <f>SUM(INDEX(Tabela1[[Equestrian - Individual Jumping]:[Equestrian - Team Jumping]],MATCH(Table92[[#This Row],[Country]],Tabela1[Country], 0),0))</f>
        <v>0</v>
      </c>
      <c r="Y90" s="6">
        <f>SUM(INDEX(Tabela1[[Fencing - Men''s Épée]:[Fencing - Women''s Team Sabre]],MATCH(Table92[[#This Row],[Country]],Tabela1[Country], 0),0))</f>
        <v>0</v>
      </c>
      <c r="Z90" s="6">
        <f>SUM(INDEX(Tabela1[[Field Hockey - Men''s Tournament]:[Field Hockey - Women''s Tournament]],MATCH(Table92[[#This Row],[Country]],Tabela1[Country], 0),0))</f>
        <v>0</v>
      </c>
      <c r="AA90" s="6">
        <f>SUM(INDEX(Tabela1[[Football - Men''s Tournament]:[Football - Women''s Tournament]],MATCH(Table92[[#This Row],[Country]],Tabela1[Country], 0),0))</f>
        <v>0</v>
      </c>
      <c r="AB90" s="6">
        <f>SUM(INDEX(Tabela1[[Golf - Men''s Individual]:[Golf - Women''s Individual]],MATCH(Table92[[#This Row],[Country]],Tabela1[Country], 0),0))</f>
        <v>0</v>
      </c>
      <c r="AC90" s="6">
        <f>SUM(INDEX(Tabela1[[Handball - Men''s Tournament]:[Handball - Women''s Tournament]],MATCH(Table92[[#This Row],[Country]],Tabela1[Country], 0),0))</f>
        <v>0</v>
      </c>
      <c r="AD90" s="6">
        <f>SUM(INDEX(Tabela1[[Judo - Men''s 60kg]:[Judo - Mixed Team]],MATCH(Table92[[#This Row],[Country]],Tabela1[Country], 0),0))</f>
        <v>0</v>
      </c>
      <c r="AE90" s="6">
        <f>SUM(INDEX(Tabela1[[Swimming - Men''s 10km Open Water]:[Swimming - Women''s 10km Open Water]],MATCH(Table92[[#This Row],[Country]],Tabela1[Country], 0),0))</f>
        <v>0</v>
      </c>
      <c r="AF90" s="6">
        <f>SUM(INDEX(Tabela1[[Modern Pentathlon - Men''s Individual]:[Modern Pentathlon - Women''s Individual]],MATCH(Table92[[#This Row],[Country]],Tabela1[Country], 0),0))</f>
        <v>0</v>
      </c>
      <c r="AG90" s="6">
        <f>SUM(INDEX(Tabela1[[Rhythmic Gymnastics - Women''s Individual All-Around]:[Rhythmic Gymnastics - Women''s Group All-Around]],MATCH(Table92[[#This Row],[Country]],Tabela1[Country], 0),0))</f>
        <v>0</v>
      </c>
      <c r="AH90" s="6">
        <f>SUM(INDEX(Tabela1[[Rowing - Men''s Single Sculls]:[Rowing - Women''s Lwt. Double Sculls]],MATCH(Table92[[#This Row],[Country]],Tabela1[Country], 0),0))</f>
        <v>0</v>
      </c>
      <c r="AI90" s="6">
        <f>SUM(INDEX(Tabela1[[Rugby Sevens - Men''s Tournament]:[Rugby Sevens - Women''s Tournament]],MATCH(Table92[[#This Row],[Country]],Tabela1[Country], 0),0))</f>
        <v>2</v>
      </c>
      <c r="AJ90" s="6">
        <f>SUM(INDEX(Tabela1[[Sailing - Mixed 470]:[Sailing - Mixed Nacra 17]],MATCH(Table92[[#This Row],[Country]],Tabela1[Country], 0),0))</f>
        <v>0</v>
      </c>
      <c r="AK90" s="6">
        <f>SUM(INDEX(Tabela1[[Shooting - Men''s 10m Air Pistol]:[Shooting - Women''s Trap]],MATCH(Table92[[#This Row],[Country]],Tabela1[Country], 0),0))</f>
        <v>0</v>
      </c>
      <c r="AL90" s="6">
        <f>SUM(INDEX(Tabela1[[Skateboarding - Men''s Park]:[Skateboarding - Women''s Street]],MATCH(Table92[[#This Row],[Country]],Tabela1[Country], 0),0))</f>
        <v>0</v>
      </c>
      <c r="AM90" s="6">
        <f>SUM(INDEX(Tabela1[[Sport Climbing - Men''s Boulder and Lead]:[Sport Climbing - Women''s Speed]],MATCH(Table92[[#This Row],[Country]],Tabela1[Country], 0),0))</f>
        <v>0</v>
      </c>
      <c r="AN90" s="6">
        <f>SUM(INDEX(Tabela1[[Surfing - Men''s Shortboard]:[Surfing - Women''s Shortboard]],MATCH(Table92[[#This Row],[Country]],Tabela1[Country], 0),0))</f>
        <v>0</v>
      </c>
      <c r="AO90" s="6">
        <f>SUM(INDEX(Tabela1[[Swimming - Men''s 50m Freestyle]:[Swimming - Mixed 4x100m Medley Relay]],MATCH(Table92[[#This Row],[Country]],Tabela1[Country], 0),0))</f>
        <v>2</v>
      </c>
      <c r="AP90" s="6">
        <f>SUM(INDEX(Tabela1[[Table Tennis - Men''s Singles]:[Table Tennis - Mixed Doubles]],MATCH(Table92[[#This Row],[Country]],Tabela1[Country], 0),0))</f>
        <v>0</v>
      </c>
      <c r="AQ90" s="6">
        <f>SUM(INDEX(Tabela1[[Taekwondo - Men''s 58kg]:[Taekwondo - Women''s +67kg]],MATCH(Table92[[#This Row],[Country]],Tabela1[Country], 0),0))</f>
        <v>0</v>
      </c>
      <c r="AR90" s="6">
        <f>SUM(INDEX(Tabela1[[Tennis - Men''s Singles]:[Tennis - Mixed Doubles]],MATCH(Table92[[#This Row],[Country]],Tabela1[Country], 0),0))</f>
        <v>0</v>
      </c>
      <c r="AS90" s="6">
        <f>SUM(INDEX(Tabela1[[Gymnastics - Men''s Trampoline]:[Gymnastics - Women''s Trampoline]],MATCH(Table92[[#This Row],[Country]],Tabela1[Country], 0),0))</f>
        <v>0</v>
      </c>
      <c r="AT90" s="6">
        <f>SUM(INDEX(Tabela1[[Triathlon - Men''s Individual]:[Triathlon - Mixed Relay]],MATCH(Table92[[#This Row],[Country]],Tabela1[Country], 0),0))</f>
        <v>0</v>
      </c>
      <c r="AU90" s="6">
        <f>SUM(INDEX(Tabela1[[Volleyball - Men''s Tournament]:[Volleyball - Women''s Tournament]],MATCH(Table92[[#This Row],[Country]],Tabela1[Country], 0),0))</f>
        <v>0</v>
      </c>
      <c r="AV90" s="6">
        <f>SUM(INDEX(Tabela1[[Water Polo - Men''s Tournament]:[Water Polo - Women''s Tournament]],MATCH(Table92[[#This Row],[Country]],Tabela1[Country], 0),0))</f>
        <v>0</v>
      </c>
      <c r="AW90" s="6">
        <f>SUM(INDEX(Tabela1[[Weightlifting - Men''s 61kg]:[Weightlifting - Women''s +81kg]],MATCH(Table92[[#This Row],[Country]],Tabela1[Country], 0),0))</f>
        <v>0</v>
      </c>
      <c r="AX90" s="6">
        <f>SUM(INDEX(Tabela1[[Wrestling - Men''s Freestyle 57kg]:[Wrestling - Women''s Freestyle 76kg]],MATCH(Table92[[#This Row],[Country]],Tabela1[Country], 0),0))</f>
        <v>0</v>
      </c>
      <c r="AY90" s="6">
        <f>SUM(INDEX(Tabela1[[Alpine Skiing - Men''s Downhill]:[Alpine Skiing - Women''s Team Combined]],MATCH(Table92[[#This Row],[Country]],Tabela1[Country], 0),0))</f>
        <v>0</v>
      </c>
      <c r="AZ90" s="6">
        <f>SUM(INDEX(Tabela1[[Biathlon - Men''s Individual]:[Biathlon - Mixed Relay]],MATCH(Table92[[#This Row],[Country]],Tabela1[Country], 0),0))</f>
        <v>0</v>
      </c>
      <c r="BA90" s="6">
        <f>SUM(INDEX(Tabela1[[Bobsleigh - Women''s Monobob]:[Bobsleigh - Men''s Four]],MATCH(Table92[[#This Row],[Country]],Tabela1[Country], 0),0))</f>
        <v>0</v>
      </c>
      <c r="BB90" s="6">
        <f>SUM(INDEX(Tabela1[[Cross-country skiing - Men''s Classical]:[Cross-country skiing - Women''s Team Sprint]],MATCH(Table92[[#This Row],[Country]],Tabela1[Country], 0),0))</f>
        <v>0</v>
      </c>
      <c r="BC90" s="6">
        <f>SUM(INDEX(Tabela1[[Curling - Men''s Tournament]:[Curling - Mixed Doubles]],MATCH(Table92[[#This Row],[Country]],Tabela1[Country], 0),0))</f>
        <v>0</v>
      </c>
      <c r="BD90" s="6">
        <f>SUM(INDEX(Tabela1[[Figure Skating - Men''s Singles]:[Figure Skating - Team Event]],MATCH(Table92[[#This Row],[Country]],Tabela1[Country], 0),0))</f>
        <v>0</v>
      </c>
      <c r="BE90" s="6">
        <f>SUM(INDEX(Tabela1[[Freestyle Skiing - Men''s Aerials]:[Freestyle Skiing - Women''s Slopestyle]],MATCH(Table92[[#This Row],[Country]],Tabela1[Country], 0),0))</f>
        <v>0</v>
      </c>
      <c r="BF90" s="6">
        <f>SUM(INDEX(Tabela1[[Ice Hockey - Men''s Tournament]:[Ice Hockey - Women''s Tournament]],MATCH(Table92[[#This Row],[Country]],Tabela1[Country], 0),0))</f>
        <v>0</v>
      </c>
      <c r="BG90" s="6">
        <f>SUM(INDEX(Tabela1[[Luge - Men''s Singles]:[Luge - Mixed Team Relay]],MATCH(Table92[[#This Row],[Country]],Tabela1[Country], 0),0))</f>
        <v>0</v>
      </c>
      <c r="BH90" s="6">
        <f>SUM(INDEX(Tabela1[[Nordic Combined - Men''s Individual]:[Nordic Combined - Men''s Team Sprint Large Hill]],MATCH(Table92[[#This Row],[Country]],Tabela1[Country], 0),0))</f>
        <v>0</v>
      </c>
      <c r="BI90" s="6">
        <f>SUM(INDEX(Tabela1[[Short track speed skating - Men''s 500m]:[Short track speed skating - Mixed 2000m Relay]],MATCH(Table92[[#This Row],[Country]],Tabela1[Country], 0),0))</f>
        <v>0</v>
      </c>
      <c r="BJ90" s="6">
        <f>SUM(INDEX(Tabela1[[Skeleton - Men''s Individual]:[Skeleton - Mixed Team]],MATCH(Table92[[#This Row],[Country]],Tabela1[Country], 0),0))</f>
        <v>0</v>
      </c>
      <c r="BK90" s="6">
        <f>SUM(INDEX(Tabela1[[Ski Jumping - Men''s Individual Large Hill]:[Ski Jumping - Mixed Team Normal Hill]],MATCH(Table92[[#This Row],[Country]],Tabela1[Country], 0),0))</f>
        <v>0</v>
      </c>
      <c r="BL90" s="6">
        <f>SUM(INDEX(Tabela1[[Ski Mountaineering - Men''s Sprint]:[Ski Mountaineering - Mixed Relay]],MATCH(Table92[[#This Row],[Country]],Tabela1[Country], 0),0))</f>
        <v>0</v>
      </c>
      <c r="BM90" s="6">
        <f>SUM(INDEX(Tabela1[[Snowboarding - Men''s Big Air]:[Snowboarding - Mixed Team Snowboard Cross]],MATCH(Table92[[#This Row],[Country]],Tabela1[Country], 0),0))</f>
        <v>0</v>
      </c>
      <c r="BN90" s="6">
        <f>SUM(INDEX(Tabela1[[Speed Skating - Men''s 500m]:[Speed Skating - Women''s Team Pursuit]],MATCH(Table92[[#This Row],[Country]],Tabela1[Country], 0),0))</f>
        <v>0</v>
      </c>
      <c r="BO90" s="6" t="str">
        <f>SUBSTITUTE(INDEX(Table92[[#Headers],[Archery Quotas]:[Speed Skating Quotas]], MATCH(MAX(Table92[[#This Row],[Archery Quotas]:[Speed Skating Quotas]]), Table92[[#This Row],[Archery Quotas]:[Speed Skating Quotas]], 0))," Quotas","")</f>
        <v>Rugby Sevens</v>
      </c>
      <c r="BP90" s="6">
        <f>SUM(Table92[[#This Row],[Summer Sports]:[Winter Sports]])</f>
        <v>2</v>
      </c>
      <c r="BQ90" s="6">
        <f>COUNTIF(Table92[[#This Row],[Archery Quotas]:[Wrestling Quotas]],"&lt;&gt;0")</f>
        <v>2</v>
      </c>
      <c r="BR90" s="6">
        <f>COUNTIF(Table92[[#This Row],[Alpine Skiing Quotas]:[Speed Skating Quotas]],"&lt;&gt;0")</f>
        <v>0</v>
      </c>
      <c r="BS90" s="3" t="s">
        <v>421</v>
      </c>
    </row>
    <row r="91" spans="1:71" x14ac:dyDescent="0.3">
      <c r="A91" s="6" t="s">
        <v>426</v>
      </c>
      <c r="B91" t="e" vm="94">
        <f>IF(ISBLANK(Table92[[#This Row],[Flag Link]]), "", _xlfn.IMAGE(Table92[[#This Row],[Flag Link]],1,1))</f>
        <v>#VALUE!</v>
      </c>
      <c r="C91" s="6">
        <f>SUM(Table92[[#This Row],[Archery Quotas]:[Speed Skating Quotas]])</f>
        <v>4</v>
      </c>
      <c r="D91" s="6">
        <f>SUM(INDEX(Tabela1[[Archery - Men''s Individual Recurve]:[Archery - Mixed Team Recurve]],MATCH(Table92[[#This Row],[Country]],Tabela1[Country], 0),0))</f>
        <v>0</v>
      </c>
      <c r="E91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91" s="6">
        <f>SUM(INDEX(Tabela1[[Artistic Swimming - Women''s Duet]:[Artistic Swimming - Women''s Team]],MATCH(Table92[[#This Row],[Country]],Tabela1[Country], 0),0))</f>
        <v>0</v>
      </c>
      <c r="G91" s="6">
        <f>SUM(INDEX(Tabela1[[Athletics - Men''s 100m]:[Athletics - Women''s Heptathlon]],MATCH(Table92[[#This Row],[Country]],Tabela1[Country], 0),0))</f>
        <v>3</v>
      </c>
      <c r="H91" s="6">
        <f>SUM(INDEX(Tabela1[[Badminton - Men''s Singles]:[Badminton - Mixed Doubles]],MATCH(Table92[[#This Row],[Country]],Tabela1[Country], 0),0))</f>
        <v>0</v>
      </c>
      <c r="I91" s="6">
        <f>SUM(INDEX(Tabela1[[Basketball - Men''s Tournament]:[Basketball - Women''s Tournament]],MATCH(Table92[[#This Row],[Country]],Tabela1[Country], 0),0))</f>
        <v>0</v>
      </c>
      <c r="J91" s="6">
        <f>SUM(INDEX(Tabela1[[3x3 Basketball - Men''s Tournament]:[3x3 Basketball - Women''s Tournament]],MATCH(Table92[[#This Row],[Country]],Tabela1[Country], 0),0))</f>
        <v>0</v>
      </c>
      <c r="K91" s="6">
        <f>SUM(INDEX(Tabela1[[Beach Volleyball - Men''s Tournament]:[Beach Volleyball - Women''s Tournament]],MATCH(Table92[[#This Row],[Country]],Tabela1[Country], 0),0))</f>
        <v>0</v>
      </c>
      <c r="L91" s="6">
        <f>SUM(INDEX(Tabela1[[Boxing - Men''s 51kg]:[Boxing - Women''s 75kg]],MATCH(Table92[[#This Row],[Country]],Tabela1[Country], 0),0))</f>
        <v>0</v>
      </c>
      <c r="M91" s="6">
        <f>SUM(INDEX(Tabela1[[Breaking - Men''s Individual]:[Breaking - Women''s Individual]],MATCH(Table92[[#This Row],[Country]],Tabela1[Country], 0),0))</f>
        <v>0</v>
      </c>
      <c r="N91" s="6">
        <f>SUM(INDEX(Tabela1[[Canoeing - Men''s C1 Slalom]:[Canoeing - Women''s Kayak Cross Slalom]],MATCH(Table92[[#This Row],[Country]],Tabela1[Country], 0),0))</f>
        <v>0</v>
      </c>
      <c r="O91" s="6">
        <f>SUM(INDEX(Tabela1[[Canoeing - Women''s C1 200m]:[Canoeing - Women''s K4 500m]],MATCH(Table92[[#This Row],[Country]],Tabela1[Country], 0),0))</f>
        <v>0</v>
      </c>
      <c r="P91" s="6">
        <f>SUM(INDEX(Tabela1[[Cycling - Men''s BMX Freestyle]:[Cycling - Women''s BMX Freestyle]],MATCH(Table92[[#This Row],[Country]],Tabela1[Country], 0),0))</f>
        <v>0</v>
      </c>
      <c r="Q91" s="6">
        <f>SUM(INDEX(Tabela1[[Cycling - Men''s BMX Racing]:[Cycling - Women''s BMX Racing]],MATCH(Table92[[#This Row],[Country]],Tabela1[Country], 0),0))</f>
        <v>0</v>
      </c>
      <c r="R91" s="6">
        <f>SUM(INDEX(Tabela1[[Cycling - Men''s Cross-Country]:[Cycling - Women''s Cross-Country]],MATCH(Table92[[#This Row],[Country]],Tabela1[Country], 0),0))</f>
        <v>0</v>
      </c>
      <c r="S91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91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91" s="6">
        <f>SUM(INDEX(Tabela1[[Diving - Men''s Springboard]:[Diving - Women''s Synchronized Platform]],MATCH(Table92[[#This Row],[Country]],Tabela1[Country], 0),0))</f>
        <v>0</v>
      </c>
      <c r="V91" s="6">
        <f>SUM(INDEX(Tabela1[[Equestrian - Individual Dressage]:[Equestrian - Team Dressage]],MATCH(Table92[[#This Row],[Country]],Tabela1[Country], 0),0))</f>
        <v>0</v>
      </c>
      <c r="W91" s="6">
        <f>SUM(INDEX(Tabela1[[Equestrian - Individual Eventing]:[Equestrian - Team Eventing]],MATCH(Table92[[#This Row],[Country]],Tabela1[Country], 0),0))</f>
        <v>0</v>
      </c>
      <c r="X91" s="6">
        <f>SUM(INDEX(Tabela1[[Equestrian - Individual Jumping]:[Equestrian - Team Jumping]],MATCH(Table92[[#This Row],[Country]],Tabela1[Country], 0),0))</f>
        <v>0</v>
      </c>
      <c r="Y91" s="6">
        <f>SUM(INDEX(Tabela1[[Fencing - Men''s Épée]:[Fencing - Women''s Team Sabre]],MATCH(Table92[[#This Row],[Country]],Tabela1[Country], 0),0))</f>
        <v>0</v>
      </c>
      <c r="Z91" s="6">
        <f>SUM(INDEX(Tabela1[[Field Hockey - Men''s Tournament]:[Field Hockey - Women''s Tournament]],MATCH(Table92[[#This Row],[Country]],Tabela1[Country], 0),0))</f>
        <v>0</v>
      </c>
      <c r="AA91" s="6">
        <f>SUM(INDEX(Tabela1[[Football - Men''s Tournament]:[Football - Women''s Tournament]],MATCH(Table92[[#This Row],[Country]],Tabela1[Country], 0),0))</f>
        <v>0</v>
      </c>
      <c r="AB91" s="6">
        <f>SUM(INDEX(Tabela1[[Golf - Men''s Individual]:[Golf - Women''s Individual]],MATCH(Table92[[#This Row],[Country]],Tabela1[Country], 0),0))</f>
        <v>0</v>
      </c>
      <c r="AC91" s="6">
        <f>SUM(INDEX(Tabela1[[Handball - Men''s Tournament]:[Handball - Women''s Tournament]],MATCH(Table92[[#This Row],[Country]],Tabela1[Country], 0),0))</f>
        <v>0</v>
      </c>
      <c r="AD91" s="6">
        <f>SUM(INDEX(Tabela1[[Judo - Men''s 60kg]:[Judo - Mixed Team]],MATCH(Table92[[#This Row],[Country]],Tabela1[Country], 0),0))</f>
        <v>0</v>
      </c>
      <c r="AE91" s="6">
        <f>SUM(INDEX(Tabela1[[Swimming - Men''s 10km Open Water]:[Swimming - Women''s 10km Open Water]],MATCH(Table92[[#This Row],[Country]],Tabela1[Country], 0),0))</f>
        <v>0</v>
      </c>
      <c r="AF91" s="6">
        <f>SUM(INDEX(Tabela1[[Modern Pentathlon - Men''s Individual]:[Modern Pentathlon - Women''s Individual]],MATCH(Table92[[#This Row],[Country]],Tabela1[Country], 0),0))</f>
        <v>0</v>
      </c>
      <c r="AG91" s="6">
        <f>SUM(INDEX(Tabela1[[Rhythmic Gymnastics - Women''s Individual All-Around]:[Rhythmic Gymnastics - Women''s Group All-Around]],MATCH(Table92[[#This Row],[Country]],Tabela1[Country], 0),0))</f>
        <v>0</v>
      </c>
      <c r="AH91" s="6">
        <f>SUM(INDEX(Tabela1[[Rowing - Men''s Single Sculls]:[Rowing - Women''s Lwt. Double Sculls]],MATCH(Table92[[#This Row],[Country]],Tabela1[Country], 0),0))</f>
        <v>0</v>
      </c>
      <c r="AI91" s="6">
        <f>SUM(INDEX(Tabela1[[Rugby Sevens - Men''s Tournament]:[Rugby Sevens - Women''s Tournament]],MATCH(Table92[[#This Row],[Country]],Tabela1[Country], 0),0))</f>
        <v>0</v>
      </c>
      <c r="AJ91" s="6">
        <f>SUM(INDEX(Tabela1[[Sailing - Mixed 470]:[Sailing - Mixed Nacra 17]],MATCH(Table92[[#This Row],[Country]],Tabela1[Country], 0),0))</f>
        <v>0</v>
      </c>
      <c r="AK91" s="6">
        <f>SUM(INDEX(Tabela1[[Shooting - Men''s 10m Air Pistol]:[Shooting - Women''s Trap]],MATCH(Table92[[#This Row],[Country]],Tabela1[Country], 0),0))</f>
        <v>0</v>
      </c>
      <c r="AL91" s="6">
        <f>SUM(INDEX(Tabela1[[Skateboarding - Men''s Park]:[Skateboarding - Women''s Street]],MATCH(Table92[[#This Row],[Country]],Tabela1[Country], 0),0))</f>
        <v>0</v>
      </c>
      <c r="AM91" s="6">
        <f>SUM(INDEX(Tabela1[[Sport Climbing - Men''s Boulder and Lead]:[Sport Climbing - Women''s Speed]],MATCH(Table92[[#This Row],[Country]],Tabela1[Country], 0),0))</f>
        <v>0</v>
      </c>
      <c r="AN91" s="6">
        <f>SUM(INDEX(Tabela1[[Surfing - Men''s Shortboard]:[Surfing - Women''s Shortboard]],MATCH(Table92[[#This Row],[Country]],Tabela1[Country], 0),0))</f>
        <v>0</v>
      </c>
      <c r="AO91" s="6">
        <f>SUM(INDEX(Tabela1[[Swimming - Men''s 50m Freestyle]:[Swimming - Mixed 4x100m Medley Relay]],MATCH(Table92[[#This Row],[Country]],Tabela1[Country], 0),0))</f>
        <v>0</v>
      </c>
      <c r="AP91" s="6">
        <f>SUM(INDEX(Tabela1[[Table Tennis - Men''s Singles]:[Table Tennis - Mixed Doubles]],MATCH(Table92[[#This Row],[Country]],Tabela1[Country], 0),0))</f>
        <v>0</v>
      </c>
      <c r="AQ91" s="6">
        <f>SUM(INDEX(Tabela1[[Taekwondo - Men''s 58kg]:[Taekwondo - Women''s +67kg]],MATCH(Table92[[#This Row],[Country]],Tabela1[Country], 0),0))</f>
        <v>1</v>
      </c>
      <c r="AR91" s="6">
        <f>SUM(INDEX(Tabela1[[Tennis - Men''s Singles]:[Tennis - Mixed Doubles]],MATCH(Table92[[#This Row],[Country]],Tabela1[Country], 0),0))</f>
        <v>0</v>
      </c>
      <c r="AS91" s="6">
        <f>SUM(INDEX(Tabela1[[Gymnastics - Men''s Trampoline]:[Gymnastics - Women''s Trampoline]],MATCH(Table92[[#This Row],[Country]],Tabela1[Country], 0),0))</f>
        <v>0</v>
      </c>
      <c r="AT91" s="6">
        <f>SUM(INDEX(Tabela1[[Triathlon - Men''s Individual]:[Triathlon - Mixed Relay]],MATCH(Table92[[#This Row],[Country]],Tabela1[Country], 0),0))</f>
        <v>0</v>
      </c>
      <c r="AU91" s="6">
        <f>SUM(INDEX(Tabela1[[Volleyball - Men''s Tournament]:[Volleyball - Women''s Tournament]],MATCH(Table92[[#This Row],[Country]],Tabela1[Country], 0),0))</f>
        <v>0</v>
      </c>
      <c r="AV91" s="6">
        <f>SUM(INDEX(Tabela1[[Water Polo - Men''s Tournament]:[Water Polo - Women''s Tournament]],MATCH(Table92[[#This Row],[Country]],Tabela1[Country], 0),0))</f>
        <v>0</v>
      </c>
      <c r="AW91" s="6">
        <f>SUM(INDEX(Tabela1[[Weightlifting - Men''s 61kg]:[Weightlifting - Women''s +81kg]],MATCH(Table92[[#This Row],[Country]],Tabela1[Country], 0),0))</f>
        <v>0</v>
      </c>
      <c r="AX91" s="6">
        <f>SUM(INDEX(Tabela1[[Wrestling - Men''s Freestyle 57kg]:[Wrestling - Women''s Freestyle 76kg]],MATCH(Table92[[#This Row],[Country]],Tabela1[Country], 0),0))</f>
        <v>0</v>
      </c>
      <c r="AY91" s="6">
        <f>SUM(INDEX(Tabela1[[Alpine Skiing - Men''s Downhill]:[Alpine Skiing - Women''s Team Combined]],MATCH(Table92[[#This Row],[Country]],Tabela1[Country], 0),0))</f>
        <v>0</v>
      </c>
      <c r="AZ91" s="6">
        <f>SUM(INDEX(Tabela1[[Biathlon - Men''s Individual]:[Biathlon - Mixed Relay]],MATCH(Table92[[#This Row],[Country]],Tabela1[Country], 0),0))</f>
        <v>0</v>
      </c>
      <c r="BA91" s="6">
        <f>SUM(INDEX(Tabela1[[Bobsleigh - Women''s Monobob]:[Bobsleigh - Men''s Four]],MATCH(Table92[[#This Row],[Country]],Tabela1[Country], 0),0))</f>
        <v>0</v>
      </c>
      <c r="BB91" s="6">
        <f>SUM(INDEX(Tabela1[[Cross-country skiing - Men''s Classical]:[Cross-country skiing - Women''s Team Sprint]],MATCH(Table92[[#This Row],[Country]],Tabela1[Country], 0),0))</f>
        <v>0</v>
      </c>
      <c r="BC91" s="6">
        <f>SUM(INDEX(Tabela1[[Curling - Men''s Tournament]:[Curling - Mixed Doubles]],MATCH(Table92[[#This Row],[Country]],Tabela1[Country], 0),0))</f>
        <v>0</v>
      </c>
      <c r="BD91" s="6">
        <f>SUM(INDEX(Tabela1[[Figure Skating - Men''s Singles]:[Figure Skating - Team Event]],MATCH(Table92[[#This Row],[Country]],Tabela1[Country], 0),0))</f>
        <v>0</v>
      </c>
      <c r="BE91" s="6">
        <f>SUM(INDEX(Tabela1[[Freestyle Skiing - Men''s Aerials]:[Freestyle Skiing - Women''s Slopestyle]],MATCH(Table92[[#This Row],[Country]],Tabela1[Country], 0),0))</f>
        <v>0</v>
      </c>
      <c r="BF91" s="6">
        <f>SUM(INDEX(Tabela1[[Ice Hockey - Men''s Tournament]:[Ice Hockey - Women''s Tournament]],MATCH(Table92[[#This Row],[Country]],Tabela1[Country], 0),0))</f>
        <v>0</v>
      </c>
      <c r="BG91" s="6">
        <f>SUM(INDEX(Tabela1[[Luge - Men''s Singles]:[Luge - Mixed Team Relay]],MATCH(Table92[[#This Row],[Country]],Tabela1[Country], 0),0))</f>
        <v>0</v>
      </c>
      <c r="BH91" s="6">
        <f>SUM(INDEX(Tabela1[[Nordic Combined - Men''s Individual]:[Nordic Combined - Men''s Team Sprint Large Hill]],MATCH(Table92[[#This Row],[Country]],Tabela1[Country], 0),0))</f>
        <v>0</v>
      </c>
      <c r="BI91" s="6">
        <f>SUM(INDEX(Tabela1[[Short track speed skating - Men''s 500m]:[Short track speed skating - Mixed 2000m Relay]],MATCH(Table92[[#This Row],[Country]],Tabela1[Country], 0),0))</f>
        <v>0</v>
      </c>
      <c r="BJ91" s="6">
        <f>SUM(INDEX(Tabela1[[Skeleton - Men''s Individual]:[Skeleton - Mixed Team]],MATCH(Table92[[#This Row],[Country]],Tabela1[Country], 0),0))</f>
        <v>0</v>
      </c>
      <c r="BK91" s="6">
        <f>SUM(INDEX(Tabela1[[Ski Jumping - Men''s Individual Large Hill]:[Ski Jumping - Mixed Team Normal Hill]],MATCH(Table92[[#This Row],[Country]],Tabela1[Country], 0),0))</f>
        <v>0</v>
      </c>
      <c r="BL91" s="6">
        <f>SUM(INDEX(Tabela1[[Ski Mountaineering - Men''s Sprint]:[Ski Mountaineering - Mixed Relay]],MATCH(Table92[[#This Row],[Country]],Tabela1[Country], 0),0))</f>
        <v>0</v>
      </c>
      <c r="BM91" s="6">
        <f>SUM(INDEX(Tabela1[[Snowboarding - Men''s Big Air]:[Snowboarding - Mixed Team Snowboard Cross]],MATCH(Table92[[#This Row],[Country]],Tabela1[Country], 0),0))</f>
        <v>0</v>
      </c>
      <c r="BN91" s="6">
        <f>SUM(INDEX(Tabela1[[Speed Skating - Men''s 500m]:[Speed Skating - Women''s Team Pursuit]],MATCH(Table92[[#This Row],[Country]],Tabela1[Country], 0),0))</f>
        <v>0</v>
      </c>
      <c r="BO91" s="6" t="str">
        <f>SUBSTITUTE(INDEX(Table92[[#Headers],[Archery Quotas]:[Speed Skating Quotas]], MATCH(MAX(Table92[[#This Row],[Archery Quotas]:[Speed Skating Quotas]]), Table92[[#This Row],[Archery Quotas]:[Speed Skating Quotas]], 0))," Quotas","")</f>
        <v>Athletics</v>
      </c>
      <c r="BP91" s="6">
        <f>SUM(Table92[[#This Row],[Summer Sports]:[Winter Sports]])</f>
        <v>2</v>
      </c>
      <c r="BQ91" s="6">
        <f>COUNTIF(Table92[[#This Row],[Archery Quotas]:[Wrestling Quotas]],"&lt;&gt;0")</f>
        <v>2</v>
      </c>
      <c r="BR91" s="6">
        <f>COUNTIF(Table92[[#This Row],[Alpine Skiing Quotas]:[Speed Skating Quotas]],"&lt;&gt;0")</f>
        <v>0</v>
      </c>
      <c r="BS91" s="4" t="s">
        <v>427</v>
      </c>
    </row>
    <row r="92" spans="1:71" x14ac:dyDescent="0.3">
      <c r="A92" s="6" t="s">
        <v>608</v>
      </c>
      <c r="B92" t="e" vm="92">
        <f>IF(ISBLANK(Table92[[#This Row],[Flag Link]]), "", _xlfn.IMAGE(Table92[[#This Row],[Flag Link]],1,1))</f>
        <v>#VALUE!</v>
      </c>
      <c r="C92" s="6">
        <f>SUM(Table92[[#This Row],[Archery Quotas]:[Speed Skating Quotas]])</f>
        <v>4</v>
      </c>
      <c r="D92" s="6">
        <f>SUM(INDEX(Tabela1[[Archery - Men''s Individual Recurve]:[Archery - Mixed Team Recurve]],MATCH(Table92[[#This Row],[Country]],Tabela1[Country], 0),0))</f>
        <v>0</v>
      </c>
      <c r="E92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92" s="6">
        <f>SUM(INDEX(Tabela1[[Artistic Swimming - Women''s Duet]:[Artistic Swimming - Women''s Team]],MATCH(Table92[[#This Row],[Country]],Tabela1[Country], 0),0))</f>
        <v>0</v>
      </c>
      <c r="G92" s="6">
        <f>SUM(INDEX(Tabela1[[Athletics - Men''s 100m]:[Athletics - Women''s Heptathlon]],MATCH(Table92[[#This Row],[Country]],Tabela1[Country], 0),0))</f>
        <v>0</v>
      </c>
      <c r="H92" s="6">
        <f>SUM(INDEX(Tabela1[[Badminton - Men''s Singles]:[Badminton - Mixed Doubles]],MATCH(Table92[[#This Row],[Country]],Tabela1[Country], 0),0))</f>
        <v>0</v>
      </c>
      <c r="I92" s="6">
        <f>SUM(INDEX(Tabela1[[Basketball - Men''s Tournament]:[Basketball - Women''s Tournament]],MATCH(Table92[[#This Row],[Country]],Tabela1[Country], 0),0))</f>
        <v>0</v>
      </c>
      <c r="J92" s="6">
        <f>SUM(INDEX(Tabela1[[3x3 Basketball - Men''s Tournament]:[3x3 Basketball - Women''s Tournament]],MATCH(Table92[[#This Row],[Country]],Tabela1[Country], 0),0))</f>
        <v>0</v>
      </c>
      <c r="K92" s="6">
        <f>SUM(INDEX(Tabela1[[Beach Volleyball - Men''s Tournament]:[Beach Volleyball - Women''s Tournament]],MATCH(Table92[[#This Row],[Country]],Tabela1[Country], 0),0))</f>
        <v>0</v>
      </c>
      <c r="L92" s="6">
        <f>SUM(INDEX(Tabela1[[Boxing - Men''s 51kg]:[Boxing - Women''s 75kg]],MATCH(Table92[[#This Row],[Country]],Tabela1[Country], 0),0))</f>
        <v>0</v>
      </c>
      <c r="M92" s="6">
        <f>SUM(INDEX(Tabela1[[Breaking - Men''s Individual]:[Breaking - Women''s Individual]],MATCH(Table92[[#This Row],[Country]],Tabela1[Country], 0),0))</f>
        <v>0</v>
      </c>
      <c r="N92" s="6">
        <f>SUM(INDEX(Tabela1[[Canoeing - Men''s C1 Slalom]:[Canoeing - Women''s Kayak Cross Slalom]],MATCH(Table92[[#This Row],[Country]],Tabela1[Country], 0),0))</f>
        <v>0</v>
      </c>
      <c r="O92" s="6">
        <f>SUM(INDEX(Tabela1[[Canoeing - Women''s C1 200m]:[Canoeing - Women''s K4 500m]],MATCH(Table92[[#This Row],[Country]],Tabela1[Country], 0),0))</f>
        <v>0</v>
      </c>
      <c r="P92" s="6">
        <f>SUM(INDEX(Tabela1[[Cycling - Men''s BMX Freestyle]:[Cycling - Women''s BMX Freestyle]],MATCH(Table92[[#This Row],[Country]],Tabela1[Country], 0),0))</f>
        <v>0</v>
      </c>
      <c r="Q92" s="6">
        <f>SUM(INDEX(Tabela1[[Cycling - Men''s BMX Racing]:[Cycling - Women''s BMX Racing]],MATCH(Table92[[#This Row],[Country]],Tabela1[Country], 0),0))</f>
        <v>0</v>
      </c>
      <c r="R92" s="6">
        <f>SUM(INDEX(Tabela1[[Cycling - Men''s Cross-Country]:[Cycling - Women''s Cross-Country]],MATCH(Table92[[#This Row],[Country]],Tabela1[Country], 0),0))</f>
        <v>0</v>
      </c>
      <c r="S92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92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92" s="6">
        <f>SUM(INDEX(Tabela1[[Diving - Men''s Springboard]:[Diving - Women''s Synchronized Platform]],MATCH(Table92[[#This Row],[Country]],Tabela1[Country], 0),0))</f>
        <v>0</v>
      </c>
      <c r="V92" s="6">
        <f>SUM(INDEX(Tabela1[[Equestrian - Individual Dressage]:[Equestrian - Team Dressage]],MATCH(Table92[[#This Row],[Country]],Tabela1[Country], 0),0))</f>
        <v>0</v>
      </c>
      <c r="W92" s="6">
        <f>SUM(INDEX(Tabela1[[Equestrian - Individual Eventing]:[Equestrian - Team Eventing]],MATCH(Table92[[#This Row],[Country]],Tabela1[Country], 0),0))</f>
        <v>0</v>
      </c>
      <c r="X92" s="6">
        <f>SUM(INDEX(Tabela1[[Equestrian - Individual Jumping]:[Equestrian - Team Jumping]],MATCH(Table92[[#This Row],[Country]],Tabela1[Country], 0),0))</f>
        <v>0</v>
      </c>
      <c r="Y92" s="6">
        <f>SUM(INDEX(Tabela1[[Fencing - Men''s Épée]:[Fencing - Women''s Team Sabre]],MATCH(Table92[[#This Row],[Country]],Tabela1[Country], 0),0))</f>
        <v>0</v>
      </c>
      <c r="Z92" s="6">
        <f>SUM(INDEX(Tabela1[[Field Hockey - Men''s Tournament]:[Field Hockey - Women''s Tournament]],MATCH(Table92[[#This Row],[Country]],Tabela1[Country], 0),0))</f>
        <v>0</v>
      </c>
      <c r="AA92" s="6">
        <f>SUM(INDEX(Tabela1[[Football - Men''s Tournament]:[Football - Women''s Tournament]],MATCH(Table92[[#This Row],[Country]],Tabela1[Country], 0),0))</f>
        <v>0</v>
      </c>
      <c r="AB92" s="6">
        <f>SUM(INDEX(Tabela1[[Golf - Men''s Individual]:[Golf - Women''s Individual]],MATCH(Table92[[#This Row],[Country]],Tabela1[Country], 0),0))</f>
        <v>0</v>
      </c>
      <c r="AC92" s="6">
        <f>SUM(INDEX(Tabela1[[Handball - Men''s Tournament]:[Handball - Women''s Tournament]],MATCH(Table92[[#This Row],[Country]],Tabela1[Country], 0),0))</f>
        <v>0</v>
      </c>
      <c r="AD92" s="6">
        <f>SUM(INDEX(Tabela1[[Judo - Men''s 60kg]:[Judo - Mixed Team]],MATCH(Table92[[#This Row],[Country]],Tabela1[Country], 0),0))</f>
        <v>4</v>
      </c>
      <c r="AE92" s="6">
        <f>SUM(INDEX(Tabela1[[Swimming - Men''s 10km Open Water]:[Swimming - Women''s 10km Open Water]],MATCH(Table92[[#This Row],[Country]],Tabela1[Country], 0),0))</f>
        <v>0</v>
      </c>
      <c r="AF92" s="6">
        <f>SUM(INDEX(Tabela1[[Modern Pentathlon - Men''s Individual]:[Modern Pentathlon - Women''s Individual]],MATCH(Table92[[#This Row],[Country]],Tabela1[Country], 0),0))</f>
        <v>0</v>
      </c>
      <c r="AG92" s="6">
        <f>SUM(INDEX(Tabela1[[Rhythmic Gymnastics - Women''s Individual All-Around]:[Rhythmic Gymnastics - Women''s Group All-Around]],MATCH(Table92[[#This Row],[Country]],Tabela1[Country], 0),0))</f>
        <v>0</v>
      </c>
      <c r="AH92" s="6">
        <f>SUM(INDEX(Tabela1[[Rowing - Men''s Single Sculls]:[Rowing - Women''s Lwt. Double Sculls]],MATCH(Table92[[#This Row],[Country]],Tabela1[Country], 0),0))</f>
        <v>0</v>
      </c>
      <c r="AI92" s="6">
        <f>SUM(INDEX(Tabela1[[Rugby Sevens - Men''s Tournament]:[Rugby Sevens - Women''s Tournament]],MATCH(Table92[[#This Row],[Country]],Tabela1[Country], 0),0))</f>
        <v>0</v>
      </c>
      <c r="AJ92" s="6">
        <f>SUM(INDEX(Tabela1[[Sailing - Mixed 470]:[Sailing - Mixed Nacra 17]],MATCH(Table92[[#This Row],[Country]],Tabela1[Country], 0),0))</f>
        <v>0</v>
      </c>
      <c r="AK92" s="6">
        <f>SUM(INDEX(Tabela1[[Shooting - Men''s 10m Air Pistol]:[Shooting - Women''s Trap]],MATCH(Table92[[#This Row],[Country]],Tabela1[Country], 0),0))</f>
        <v>0</v>
      </c>
      <c r="AL92" s="6">
        <f>SUM(INDEX(Tabela1[[Skateboarding - Men''s Park]:[Skateboarding - Women''s Street]],MATCH(Table92[[#This Row],[Country]],Tabela1[Country], 0),0))</f>
        <v>0</v>
      </c>
      <c r="AM92" s="6">
        <f>SUM(INDEX(Tabela1[[Sport Climbing - Men''s Boulder and Lead]:[Sport Climbing - Women''s Speed]],MATCH(Table92[[#This Row],[Country]],Tabela1[Country], 0),0))</f>
        <v>0</v>
      </c>
      <c r="AN92" s="6">
        <f>SUM(INDEX(Tabela1[[Surfing - Men''s Shortboard]:[Surfing - Women''s Shortboard]],MATCH(Table92[[#This Row],[Country]],Tabela1[Country], 0),0))</f>
        <v>0</v>
      </c>
      <c r="AO92" s="6">
        <f>SUM(INDEX(Tabela1[[Swimming - Men''s 50m Freestyle]:[Swimming - Mixed 4x100m Medley Relay]],MATCH(Table92[[#This Row],[Country]],Tabela1[Country], 0),0))</f>
        <v>0</v>
      </c>
      <c r="AP92" s="6">
        <f>SUM(INDEX(Tabela1[[Table Tennis - Men''s Singles]:[Table Tennis - Mixed Doubles]],MATCH(Table92[[#This Row],[Country]],Tabela1[Country], 0),0))</f>
        <v>0</v>
      </c>
      <c r="AQ92" s="6">
        <f>SUM(INDEX(Tabela1[[Taekwondo - Men''s 58kg]:[Taekwondo - Women''s +67kg]],MATCH(Table92[[#This Row],[Country]],Tabela1[Country], 0),0))</f>
        <v>0</v>
      </c>
      <c r="AR92" s="6">
        <f>SUM(INDEX(Tabela1[[Tennis - Men''s Singles]:[Tennis - Mixed Doubles]],MATCH(Table92[[#This Row],[Country]],Tabela1[Country], 0),0))</f>
        <v>0</v>
      </c>
      <c r="AS92" s="6">
        <f>SUM(INDEX(Tabela1[[Gymnastics - Men''s Trampoline]:[Gymnastics - Women''s Trampoline]],MATCH(Table92[[#This Row],[Country]],Tabela1[Country], 0),0))</f>
        <v>0</v>
      </c>
      <c r="AT92" s="6">
        <f>SUM(INDEX(Tabela1[[Triathlon - Men''s Individual]:[Triathlon - Mixed Relay]],MATCH(Table92[[#This Row],[Country]],Tabela1[Country], 0),0))</f>
        <v>0</v>
      </c>
      <c r="AU92" s="6">
        <f>SUM(INDEX(Tabela1[[Volleyball - Men''s Tournament]:[Volleyball - Women''s Tournament]],MATCH(Table92[[#This Row],[Country]],Tabela1[Country], 0),0))</f>
        <v>0</v>
      </c>
      <c r="AV92" s="6">
        <f>SUM(INDEX(Tabela1[[Water Polo - Men''s Tournament]:[Water Polo - Women''s Tournament]],MATCH(Table92[[#This Row],[Country]],Tabela1[Country], 0),0))</f>
        <v>0</v>
      </c>
      <c r="AW92" s="6">
        <f>SUM(INDEX(Tabela1[[Weightlifting - Men''s 61kg]:[Weightlifting - Women''s +81kg]],MATCH(Table92[[#This Row],[Country]],Tabela1[Country], 0),0))</f>
        <v>0</v>
      </c>
      <c r="AX92" s="6">
        <f>SUM(INDEX(Tabela1[[Wrestling - Men''s Freestyle 57kg]:[Wrestling - Women''s Freestyle 76kg]],MATCH(Table92[[#This Row],[Country]],Tabela1[Country], 0),0))</f>
        <v>0</v>
      </c>
      <c r="AY92" s="6">
        <f>SUM(INDEX(Tabela1[[Alpine Skiing - Men''s Downhill]:[Alpine Skiing - Women''s Team Combined]],MATCH(Table92[[#This Row],[Country]],Tabela1[Country], 0),0))</f>
        <v>0</v>
      </c>
      <c r="AZ92" s="6">
        <f>SUM(INDEX(Tabela1[[Biathlon - Men''s Individual]:[Biathlon - Mixed Relay]],MATCH(Table92[[#This Row],[Country]],Tabela1[Country], 0),0))</f>
        <v>0</v>
      </c>
      <c r="BA92" s="6">
        <f>SUM(INDEX(Tabela1[[Bobsleigh - Women''s Monobob]:[Bobsleigh - Men''s Four]],MATCH(Table92[[#This Row],[Country]],Tabela1[Country], 0),0))</f>
        <v>0</v>
      </c>
      <c r="BB92" s="6">
        <f>SUM(INDEX(Tabela1[[Cross-country skiing - Men''s Classical]:[Cross-country skiing - Women''s Team Sprint]],MATCH(Table92[[#This Row],[Country]],Tabela1[Country], 0),0))</f>
        <v>0</v>
      </c>
      <c r="BC92" s="6">
        <f>SUM(INDEX(Tabela1[[Curling - Men''s Tournament]:[Curling - Mixed Doubles]],MATCH(Table92[[#This Row],[Country]],Tabela1[Country], 0),0))</f>
        <v>0</v>
      </c>
      <c r="BD92" s="6">
        <f>SUM(INDEX(Tabela1[[Figure Skating - Men''s Singles]:[Figure Skating - Team Event]],MATCH(Table92[[#This Row],[Country]],Tabela1[Country], 0),0))</f>
        <v>0</v>
      </c>
      <c r="BE92" s="6">
        <f>SUM(INDEX(Tabela1[[Freestyle Skiing - Men''s Aerials]:[Freestyle Skiing - Women''s Slopestyle]],MATCH(Table92[[#This Row],[Country]],Tabela1[Country], 0),0))</f>
        <v>0</v>
      </c>
      <c r="BF92" s="6">
        <f>SUM(INDEX(Tabela1[[Ice Hockey - Men''s Tournament]:[Ice Hockey - Women''s Tournament]],MATCH(Table92[[#This Row],[Country]],Tabela1[Country], 0),0))</f>
        <v>0</v>
      </c>
      <c r="BG92" s="6">
        <f>SUM(INDEX(Tabela1[[Luge - Men''s Singles]:[Luge - Mixed Team Relay]],MATCH(Table92[[#This Row],[Country]],Tabela1[Country], 0),0))</f>
        <v>0</v>
      </c>
      <c r="BH92" s="6">
        <f>SUM(INDEX(Tabela1[[Nordic Combined - Men''s Individual]:[Nordic Combined - Men''s Team Sprint Large Hill]],MATCH(Table92[[#This Row],[Country]],Tabela1[Country], 0),0))</f>
        <v>0</v>
      </c>
      <c r="BI92" s="6">
        <f>SUM(INDEX(Tabela1[[Short track speed skating - Men''s 500m]:[Short track speed skating - Mixed 2000m Relay]],MATCH(Table92[[#This Row],[Country]],Tabela1[Country], 0),0))</f>
        <v>0</v>
      </c>
      <c r="BJ92" s="6">
        <f>SUM(INDEX(Tabela1[[Skeleton - Men''s Individual]:[Skeleton - Mixed Team]],MATCH(Table92[[#This Row],[Country]],Tabela1[Country], 0),0))</f>
        <v>0</v>
      </c>
      <c r="BK92" s="6">
        <f>SUM(INDEX(Tabela1[[Ski Jumping - Men''s Individual Large Hill]:[Ski Jumping - Mixed Team Normal Hill]],MATCH(Table92[[#This Row],[Country]],Tabela1[Country], 0),0))</f>
        <v>0</v>
      </c>
      <c r="BL92" s="6">
        <f>SUM(INDEX(Tabela1[[Ski Mountaineering - Men''s Sprint]:[Ski Mountaineering - Mixed Relay]],MATCH(Table92[[#This Row],[Country]],Tabela1[Country], 0),0))</f>
        <v>0</v>
      </c>
      <c r="BM92" s="6">
        <f>SUM(INDEX(Tabela1[[Snowboarding - Men''s Big Air]:[Snowboarding - Mixed Team Snowboard Cross]],MATCH(Table92[[#This Row],[Country]],Tabela1[Country], 0),0))</f>
        <v>0</v>
      </c>
      <c r="BN92" s="6">
        <f>SUM(INDEX(Tabela1[[Speed Skating - Men''s 500m]:[Speed Skating - Women''s Team Pursuit]],MATCH(Table92[[#This Row],[Country]],Tabela1[Country], 0),0))</f>
        <v>0</v>
      </c>
      <c r="BO92" s="6" t="str">
        <f>SUBSTITUTE(INDEX(Table92[[#Headers],[Archery Quotas]:[Speed Skating Quotas]], MATCH(MAX(Table92[[#This Row],[Archery Quotas]:[Speed Skating Quotas]]), Table92[[#This Row],[Archery Quotas]:[Speed Skating Quotas]], 0))," Quotas","")</f>
        <v>Judo</v>
      </c>
      <c r="BP92" s="6">
        <f>SUM(Table92[[#This Row],[Summer Sports]:[Winter Sports]])</f>
        <v>1</v>
      </c>
      <c r="BQ92" s="6">
        <f>COUNTIF(Table92[[#This Row],[Archery Quotas]:[Wrestling Quotas]],"&lt;&gt;0")</f>
        <v>1</v>
      </c>
      <c r="BR92" s="6">
        <f>COUNTIF(Table92[[#This Row],[Alpine Skiing Quotas]:[Speed Skating Quotas]],"&lt;&gt;0")</f>
        <v>0</v>
      </c>
      <c r="BS92" s="3" t="s">
        <v>609</v>
      </c>
    </row>
    <row r="93" spans="1:71" x14ac:dyDescent="0.3">
      <c r="A93" s="6" t="s">
        <v>636</v>
      </c>
      <c r="B93" t="e" vm="89">
        <f>IF(ISBLANK(Table92[[#This Row],[Flag Link]]), "", _xlfn.IMAGE(Table92[[#This Row],[Flag Link]],1,1))</f>
        <v>#VALUE!</v>
      </c>
      <c r="C93" s="6">
        <f>SUM(Table92[[#This Row],[Archery Quotas]:[Speed Skating Quotas]])</f>
        <v>4</v>
      </c>
      <c r="D93" s="6">
        <f>SUM(INDEX(Tabela1[[Archery - Men''s Individual Recurve]:[Archery - Mixed Team Recurve]],MATCH(Table92[[#This Row],[Country]],Tabela1[Country], 0),0))</f>
        <v>0</v>
      </c>
      <c r="E93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93" s="6">
        <f>SUM(INDEX(Tabela1[[Artistic Swimming - Women''s Duet]:[Artistic Swimming - Women''s Team]],MATCH(Table92[[#This Row],[Country]],Tabela1[Country], 0),0))</f>
        <v>0</v>
      </c>
      <c r="G93" s="6">
        <f>SUM(INDEX(Tabela1[[Athletics - Men''s 100m]:[Athletics - Women''s Heptathlon]],MATCH(Table92[[#This Row],[Country]],Tabela1[Country], 0),0))</f>
        <v>0</v>
      </c>
      <c r="H93" s="6">
        <f>SUM(INDEX(Tabela1[[Badminton - Men''s Singles]:[Badminton - Mixed Doubles]],MATCH(Table92[[#This Row],[Country]],Tabela1[Country], 0),0))</f>
        <v>1</v>
      </c>
      <c r="I93" s="6">
        <f>SUM(INDEX(Tabela1[[Basketball - Men''s Tournament]:[Basketball - Women''s Tournament]],MATCH(Table92[[#This Row],[Country]],Tabela1[Country], 0),0))</f>
        <v>0</v>
      </c>
      <c r="J93" s="6">
        <f>SUM(INDEX(Tabela1[[3x3 Basketball - Men''s Tournament]:[3x3 Basketball - Women''s Tournament]],MATCH(Table92[[#This Row],[Country]],Tabela1[Country], 0),0))</f>
        <v>0</v>
      </c>
      <c r="K93" s="6">
        <f>SUM(INDEX(Tabela1[[Beach Volleyball - Men''s Tournament]:[Beach Volleyball - Women''s Tournament]],MATCH(Table92[[#This Row],[Country]],Tabela1[Country], 0),0))</f>
        <v>0</v>
      </c>
      <c r="L93" s="6">
        <f>SUM(INDEX(Tabela1[[Boxing - Men''s 51kg]:[Boxing - Women''s 75kg]],MATCH(Table92[[#This Row],[Country]],Tabela1[Country], 0),0))</f>
        <v>0</v>
      </c>
      <c r="M93" s="6">
        <f>SUM(INDEX(Tabela1[[Breaking - Men''s Individual]:[Breaking - Women''s Individual]],MATCH(Table92[[#This Row],[Country]],Tabela1[Country], 0),0))</f>
        <v>0</v>
      </c>
      <c r="N93" s="6">
        <f>SUM(INDEX(Tabela1[[Canoeing - Men''s C1 Slalom]:[Canoeing - Women''s Kayak Cross Slalom]],MATCH(Table92[[#This Row],[Country]],Tabela1[Country], 0),0))</f>
        <v>0</v>
      </c>
      <c r="O93" s="6">
        <f>SUM(INDEX(Tabela1[[Canoeing - Women''s C1 200m]:[Canoeing - Women''s K4 500m]],MATCH(Table92[[#This Row],[Country]],Tabela1[Country], 0),0))</f>
        <v>0</v>
      </c>
      <c r="P93" s="6">
        <f>SUM(INDEX(Tabela1[[Cycling - Men''s BMX Freestyle]:[Cycling - Women''s BMX Freestyle]],MATCH(Table92[[#This Row],[Country]],Tabela1[Country], 0),0))</f>
        <v>0</v>
      </c>
      <c r="Q93" s="6">
        <f>SUM(INDEX(Tabela1[[Cycling - Men''s BMX Racing]:[Cycling - Women''s BMX Racing]],MATCH(Table92[[#This Row],[Country]],Tabela1[Country], 0),0))</f>
        <v>0</v>
      </c>
      <c r="R93" s="6">
        <f>SUM(INDEX(Tabela1[[Cycling - Men''s Cross-Country]:[Cycling - Women''s Cross-Country]],MATCH(Table92[[#This Row],[Country]],Tabela1[Country], 0),0))</f>
        <v>1</v>
      </c>
      <c r="S93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2</v>
      </c>
      <c r="T93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93" s="6">
        <f>SUM(INDEX(Tabela1[[Diving - Men''s Springboard]:[Diving - Women''s Synchronized Platform]],MATCH(Table92[[#This Row],[Country]],Tabela1[Country], 0),0))</f>
        <v>0</v>
      </c>
      <c r="V93" s="6">
        <f>SUM(INDEX(Tabela1[[Equestrian - Individual Dressage]:[Equestrian - Team Dressage]],MATCH(Table92[[#This Row],[Country]],Tabela1[Country], 0),0))</f>
        <v>0</v>
      </c>
      <c r="W93" s="6">
        <f>SUM(INDEX(Tabela1[[Equestrian - Individual Eventing]:[Equestrian - Team Eventing]],MATCH(Table92[[#This Row],[Country]],Tabela1[Country], 0),0))</f>
        <v>0</v>
      </c>
      <c r="X93" s="6">
        <f>SUM(INDEX(Tabela1[[Equestrian - Individual Jumping]:[Equestrian - Team Jumping]],MATCH(Table92[[#This Row],[Country]],Tabela1[Country], 0),0))</f>
        <v>0</v>
      </c>
      <c r="Y93" s="6">
        <f>SUM(INDEX(Tabela1[[Fencing - Men''s Épée]:[Fencing - Women''s Team Sabre]],MATCH(Table92[[#This Row],[Country]],Tabela1[Country], 0),0))</f>
        <v>0</v>
      </c>
      <c r="Z93" s="6">
        <f>SUM(INDEX(Tabela1[[Field Hockey - Men''s Tournament]:[Field Hockey - Women''s Tournament]],MATCH(Table92[[#This Row],[Country]],Tabela1[Country], 0),0))</f>
        <v>0</v>
      </c>
      <c r="AA93" s="6">
        <f>SUM(INDEX(Tabela1[[Football - Men''s Tournament]:[Football - Women''s Tournament]],MATCH(Table92[[#This Row],[Country]],Tabela1[Country], 0),0))</f>
        <v>0</v>
      </c>
      <c r="AB93" s="6">
        <f>SUM(INDEX(Tabela1[[Golf - Men''s Individual]:[Golf - Women''s Individual]],MATCH(Table92[[#This Row],[Country]],Tabela1[Country], 0),0))</f>
        <v>0</v>
      </c>
      <c r="AC93" s="6">
        <f>SUM(INDEX(Tabela1[[Handball - Men''s Tournament]:[Handball - Women''s Tournament]],MATCH(Table92[[#This Row],[Country]],Tabela1[Country], 0),0))</f>
        <v>0</v>
      </c>
      <c r="AD93" s="6">
        <f>SUM(INDEX(Tabela1[[Judo - Men''s 60kg]:[Judo - Mixed Team]],MATCH(Table92[[#This Row],[Country]],Tabela1[Country], 0),0))</f>
        <v>0</v>
      </c>
      <c r="AE93" s="6">
        <f>SUM(INDEX(Tabela1[[Swimming - Men''s 10km Open Water]:[Swimming - Women''s 10km Open Water]],MATCH(Table92[[#This Row],[Country]],Tabela1[Country], 0),0))</f>
        <v>0</v>
      </c>
      <c r="AF93" s="6">
        <f>SUM(INDEX(Tabela1[[Modern Pentathlon - Men''s Individual]:[Modern Pentathlon - Women''s Individual]],MATCH(Table92[[#This Row],[Country]],Tabela1[Country], 0),0))</f>
        <v>0</v>
      </c>
      <c r="AG93" s="6">
        <f>SUM(INDEX(Tabela1[[Rhythmic Gymnastics - Women''s Individual All-Around]:[Rhythmic Gymnastics - Women''s Group All-Around]],MATCH(Table92[[#This Row],[Country]],Tabela1[Country], 0),0))</f>
        <v>0</v>
      </c>
      <c r="AH93" s="6">
        <f>SUM(INDEX(Tabela1[[Rowing - Men''s Single Sculls]:[Rowing - Women''s Lwt. Double Sculls]],MATCH(Table92[[#This Row],[Country]],Tabela1[Country], 0),0))</f>
        <v>0</v>
      </c>
      <c r="AI93" s="6">
        <f>SUM(INDEX(Tabela1[[Rugby Sevens - Men''s Tournament]:[Rugby Sevens - Women''s Tournament]],MATCH(Table92[[#This Row],[Country]],Tabela1[Country], 0),0))</f>
        <v>0</v>
      </c>
      <c r="AJ93" s="6">
        <f>SUM(INDEX(Tabela1[[Sailing - Mixed 470]:[Sailing - Mixed Nacra 17]],MATCH(Table92[[#This Row],[Country]],Tabela1[Country], 0),0))</f>
        <v>0</v>
      </c>
      <c r="AK93" s="6">
        <f>SUM(INDEX(Tabela1[[Shooting - Men''s 10m Air Pistol]:[Shooting - Women''s Trap]],MATCH(Table92[[#This Row],[Country]],Tabela1[Country], 0),0))</f>
        <v>0</v>
      </c>
      <c r="AL93" s="6">
        <f>SUM(INDEX(Tabela1[[Skateboarding - Men''s Park]:[Skateboarding - Women''s Street]],MATCH(Table92[[#This Row],[Country]],Tabela1[Country], 0),0))</f>
        <v>0</v>
      </c>
      <c r="AM93" s="6">
        <f>SUM(INDEX(Tabela1[[Sport Climbing - Men''s Boulder and Lead]:[Sport Climbing - Women''s Speed]],MATCH(Table92[[#This Row],[Country]],Tabela1[Country], 0),0))</f>
        <v>0</v>
      </c>
      <c r="AN93" s="6">
        <f>SUM(INDEX(Tabela1[[Surfing - Men''s Shortboard]:[Surfing - Women''s Shortboard]],MATCH(Table92[[#This Row],[Country]],Tabela1[Country], 0),0))</f>
        <v>0</v>
      </c>
      <c r="AO93" s="6">
        <f>SUM(INDEX(Tabela1[[Swimming - Men''s 50m Freestyle]:[Swimming - Mixed 4x100m Medley Relay]],MATCH(Table92[[#This Row],[Country]],Tabela1[Country], 0),0))</f>
        <v>0</v>
      </c>
      <c r="AP93" s="6">
        <f>SUM(INDEX(Tabela1[[Table Tennis - Men''s Singles]:[Table Tennis - Mixed Doubles]],MATCH(Table92[[#This Row],[Country]],Tabela1[Country], 0),0))</f>
        <v>0</v>
      </c>
      <c r="AQ93" s="6">
        <f>SUM(INDEX(Tabela1[[Taekwondo - Men''s 58kg]:[Taekwondo - Women''s +67kg]],MATCH(Table92[[#This Row],[Country]],Tabela1[Country], 0),0))</f>
        <v>0</v>
      </c>
      <c r="AR93" s="6">
        <f>SUM(INDEX(Tabela1[[Tennis - Men''s Singles]:[Tennis - Mixed Doubles]],MATCH(Table92[[#This Row],[Country]],Tabela1[Country], 0),0))</f>
        <v>0</v>
      </c>
      <c r="AS93" s="6">
        <f>SUM(INDEX(Tabela1[[Gymnastics - Men''s Trampoline]:[Gymnastics - Women''s Trampoline]],MATCH(Table92[[#This Row],[Country]],Tabela1[Country], 0),0))</f>
        <v>0</v>
      </c>
      <c r="AT93" s="6">
        <f>SUM(INDEX(Tabela1[[Triathlon - Men''s Individual]:[Triathlon - Mixed Relay]],MATCH(Table92[[#This Row],[Country]],Tabela1[Country], 0),0))</f>
        <v>0</v>
      </c>
      <c r="AU93" s="6">
        <f>SUM(INDEX(Tabela1[[Volleyball - Men''s Tournament]:[Volleyball - Women''s Tournament]],MATCH(Table92[[#This Row],[Country]],Tabela1[Country], 0),0))</f>
        <v>0</v>
      </c>
      <c r="AV93" s="6">
        <f>SUM(INDEX(Tabela1[[Water Polo - Men''s Tournament]:[Water Polo - Women''s Tournament]],MATCH(Table92[[#This Row],[Country]],Tabela1[Country], 0),0))</f>
        <v>0</v>
      </c>
      <c r="AW93" s="6">
        <f>SUM(INDEX(Tabela1[[Weightlifting - Men''s 61kg]:[Weightlifting - Women''s +81kg]],MATCH(Table92[[#This Row],[Country]],Tabela1[Country], 0),0))</f>
        <v>0</v>
      </c>
      <c r="AX93" s="6">
        <f>SUM(INDEX(Tabela1[[Wrestling - Men''s Freestyle 57kg]:[Wrestling - Women''s Freestyle 76kg]],MATCH(Table92[[#This Row],[Country]],Tabela1[Country], 0),0))</f>
        <v>0</v>
      </c>
      <c r="AY93" s="6">
        <f>SUM(INDEX(Tabela1[[Alpine Skiing - Men''s Downhill]:[Alpine Skiing - Women''s Team Combined]],MATCH(Table92[[#This Row],[Country]],Tabela1[Country], 0),0))</f>
        <v>0</v>
      </c>
      <c r="AZ93" s="6">
        <f>SUM(INDEX(Tabela1[[Biathlon - Men''s Individual]:[Biathlon - Mixed Relay]],MATCH(Table92[[#This Row],[Country]],Tabela1[Country], 0),0))</f>
        <v>0</v>
      </c>
      <c r="BA93" s="6">
        <f>SUM(INDEX(Tabela1[[Bobsleigh - Women''s Monobob]:[Bobsleigh - Men''s Four]],MATCH(Table92[[#This Row],[Country]],Tabela1[Country], 0),0))</f>
        <v>0</v>
      </c>
      <c r="BB93" s="6">
        <f>SUM(INDEX(Tabela1[[Cross-country skiing - Men''s Classical]:[Cross-country skiing - Women''s Team Sprint]],MATCH(Table92[[#This Row],[Country]],Tabela1[Country], 0),0))</f>
        <v>0</v>
      </c>
      <c r="BC93" s="6">
        <f>SUM(INDEX(Tabela1[[Curling - Men''s Tournament]:[Curling - Mixed Doubles]],MATCH(Table92[[#This Row],[Country]],Tabela1[Country], 0),0))</f>
        <v>0</v>
      </c>
      <c r="BD93" s="6">
        <f>SUM(INDEX(Tabela1[[Figure Skating - Men''s Singles]:[Figure Skating - Team Event]],MATCH(Table92[[#This Row],[Country]],Tabela1[Country], 0),0))</f>
        <v>0</v>
      </c>
      <c r="BE93" s="6">
        <f>SUM(INDEX(Tabela1[[Freestyle Skiing - Men''s Aerials]:[Freestyle Skiing - Women''s Slopestyle]],MATCH(Table92[[#This Row],[Country]],Tabela1[Country], 0),0))</f>
        <v>0</v>
      </c>
      <c r="BF93" s="6">
        <f>SUM(INDEX(Tabela1[[Ice Hockey - Men''s Tournament]:[Ice Hockey - Women''s Tournament]],MATCH(Table92[[#This Row],[Country]],Tabela1[Country], 0),0))</f>
        <v>0</v>
      </c>
      <c r="BG93" s="6">
        <f>SUM(INDEX(Tabela1[[Luge - Men''s Singles]:[Luge - Mixed Team Relay]],MATCH(Table92[[#This Row],[Country]],Tabela1[Country], 0),0))</f>
        <v>0</v>
      </c>
      <c r="BH93" s="6">
        <f>SUM(INDEX(Tabela1[[Nordic Combined - Men''s Individual]:[Nordic Combined - Men''s Team Sprint Large Hill]],MATCH(Table92[[#This Row],[Country]],Tabela1[Country], 0),0))</f>
        <v>0</v>
      </c>
      <c r="BI93" s="6">
        <f>SUM(INDEX(Tabela1[[Short track speed skating - Men''s 500m]:[Short track speed skating - Mixed 2000m Relay]],MATCH(Table92[[#This Row],[Country]],Tabela1[Country], 0),0))</f>
        <v>0</v>
      </c>
      <c r="BJ93" s="6">
        <f>SUM(INDEX(Tabela1[[Skeleton - Men''s Individual]:[Skeleton - Mixed Team]],MATCH(Table92[[#This Row],[Country]],Tabela1[Country], 0),0))</f>
        <v>0</v>
      </c>
      <c r="BK93" s="6">
        <f>SUM(INDEX(Tabela1[[Ski Jumping - Men''s Individual Large Hill]:[Ski Jumping - Mixed Team Normal Hill]],MATCH(Table92[[#This Row],[Country]],Tabela1[Country], 0),0))</f>
        <v>0</v>
      </c>
      <c r="BL93" s="6">
        <f>SUM(INDEX(Tabela1[[Ski Mountaineering - Men''s Sprint]:[Ski Mountaineering - Mixed Relay]],MATCH(Table92[[#This Row],[Country]],Tabela1[Country], 0),0))</f>
        <v>0</v>
      </c>
      <c r="BM93" s="6">
        <f>SUM(INDEX(Tabela1[[Snowboarding - Men''s Big Air]:[Snowboarding - Mixed Team Snowboard Cross]],MATCH(Table92[[#This Row],[Country]],Tabela1[Country], 0),0))</f>
        <v>0</v>
      </c>
      <c r="BN93" s="6">
        <f>SUM(INDEX(Tabela1[[Speed Skating - Men''s 500m]:[Speed Skating - Women''s Team Pursuit]],MATCH(Table92[[#This Row],[Country]],Tabela1[Country], 0),0))</f>
        <v>0</v>
      </c>
      <c r="BO93" s="6" t="str">
        <f>SUBSTITUTE(INDEX(Table92[[#Headers],[Archery Quotas]:[Speed Skating Quotas]], MATCH(MAX(Table92[[#This Row],[Archery Quotas]:[Speed Skating Quotas]]), Table92[[#This Row],[Archery Quotas]:[Speed Skating Quotas]], 0))," Quotas","")</f>
        <v>Cycling Road</v>
      </c>
      <c r="BP93" s="6">
        <f>SUM(Table92[[#This Row],[Summer Sports]:[Winter Sports]])</f>
        <v>3</v>
      </c>
      <c r="BQ93" s="6">
        <f>COUNTIF(Table92[[#This Row],[Archery Quotas]:[Wrestling Quotas]],"&lt;&gt;0")</f>
        <v>3</v>
      </c>
      <c r="BR93" s="6">
        <f>COUNTIF(Table92[[#This Row],[Alpine Skiing Quotas]:[Speed Skating Quotas]],"&lt;&gt;0")</f>
        <v>0</v>
      </c>
      <c r="BS93" s="4" t="s">
        <v>637</v>
      </c>
    </row>
    <row r="94" spans="1:71" x14ac:dyDescent="0.3">
      <c r="A94" s="6" t="s">
        <v>640</v>
      </c>
      <c r="B94" t="e" vm="97">
        <f>IF(ISBLANK(Table92[[#This Row],[Flag Link]]), "", _xlfn.IMAGE(Table92[[#This Row],[Flag Link]],1,1))</f>
        <v>#VALUE!</v>
      </c>
      <c r="C94" s="6">
        <f>SUM(Table92[[#This Row],[Archery Quotas]:[Speed Skating Quotas]])</f>
        <v>4</v>
      </c>
      <c r="D94" s="6">
        <f>SUM(INDEX(Tabela1[[Archery - Men''s Individual Recurve]:[Archery - Mixed Team Recurve]],MATCH(Table92[[#This Row],[Country]],Tabela1[Country], 0),0))</f>
        <v>0</v>
      </c>
      <c r="E94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94" s="6">
        <f>SUM(INDEX(Tabela1[[Artistic Swimming - Women''s Duet]:[Artistic Swimming - Women''s Team]],MATCH(Table92[[#This Row],[Country]],Tabela1[Country], 0),0))</f>
        <v>0</v>
      </c>
      <c r="G94" s="6">
        <f>SUM(INDEX(Tabela1[[Athletics - Men''s 100m]:[Athletics - Women''s Heptathlon]],MATCH(Table92[[#This Row],[Country]],Tabela1[Country], 0),0))</f>
        <v>0</v>
      </c>
      <c r="H94" s="6">
        <f>SUM(INDEX(Tabela1[[Badminton - Men''s Singles]:[Badminton - Mixed Doubles]],MATCH(Table92[[#This Row],[Country]],Tabela1[Country], 0),0))</f>
        <v>0</v>
      </c>
      <c r="I94" s="6">
        <f>SUM(INDEX(Tabela1[[Basketball - Men''s Tournament]:[Basketball - Women''s Tournament]],MATCH(Table92[[#This Row],[Country]],Tabela1[Country], 0),0))</f>
        <v>0</v>
      </c>
      <c r="J94" s="6">
        <f>SUM(INDEX(Tabela1[[3x3 Basketball - Men''s Tournament]:[3x3 Basketball - Women''s Tournament]],MATCH(Table92[[#This Row],[Country]],Tabela1[Country], 0),0))</f>
        <v>0</v>
      </c>
      <c r="K94" s="6">
        <f>SUM(INDEX(Tabela1[[Beach Volleyball - Men''s Tournament]:[Beach Volleyball - Women''s Tournament]],MATCH(Table92[[#This Row],[Country]],Tabela1[Country], 0),0))</f>
        <v>0</v>
      </c>
      <c r="L94" s="6">
        <f>SUM(INDEX(Tabela1[[Boxing - Men''s 51kg]:[Boxing - Women''s 75kg]],MATCH(Table92[[#This Row],[Country]],Tabela1[Country], 0),0))</f>
        <v>0</v>
      </c>
      <c r="M94" s="6">
        <f>SUM(INDEX(Tabela1[[Breaking - Men''s Individual]:[Breaking - Women''s Individual]],MATCH(Table92[[#This Row],[Country]],Tabela1[Country], 0),0))</f>
        <v>0</v>
      </c>
      <c r="N94" s="6">
        <f>SUM(INDEX(Tabela1[[Canoeing - Men''s C1 Slalom]:[Canoeing - Women''s Kayak Cross Slalom]],MATCH(Table92[[#This Row],[Country]],Tabela1[Country], 0),0))</f>
        <v>0</v>
      </c>
      <c r="O94" s="6">
        <f>SUM(INDEX(Tabela1[[Canoeing - Women''s C1 200m]:[Canoeing - Women''s K4 500m]],MATCH(Table92[[#This Row],[Country]],Tabela1[Country], 0),0))</f>
        <v>0</v>
      </c>
      <c r="P94" s="6">
        <f>SUM(INDEX(Tabela1[[Cycling - Men''s BMX Freestyle]:[Cycling - Women''s BMX Freestyle]],MATCH(Table92[[#This Row],[Country]],Tabela1[Country], 0),0))</f>
        <v>0</v>
      </c>
      <c r="Q94" s="6">
        <f>SUM(INDEX(Tabela1[[Cycling - Men''s BMX Racing]:[Cycling - Women''s BMX Racing]],MATCH(Table92[[#This Row],[Country]],Tabela1[Country], 0),0))</f>
        <v>0</v>
      </c>
      <c r="R94" s="6">
        <f>SUM(INDEX(Tabela1[[Cycling - Men''s Cross-Country]:[Cycling - Women''s Cross-Country]],MATCH(Table92[[#This Row],[Country]],Tabela1[Country], 0),0))</f>
        <v>0</v>
      </c>
      <c r="S94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94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94" s="6">
        <f>SUM(INDEX(Tabela1[[Diving - Men''s Springboard]:[Diving - Women''s Synchronized Platform]],MATCH(Table92[[#This Row],[Country]],Tabela1[Country], 0),0))</f>
        <v>0</v>
      </c>
      <c r="V94" s="6">
        <f>SUM(INDEX(Tabela1[[Equestrian - Individual Dressage]:[Equestrian - Team Dressage]],MATCH(Table92[[#This Row],[Country]],Tabela1[Country], 0),0))</f>
        <v>0</v>
      </c>
      <c r="W94" s="6">
        <f>SUM(INDEX(Tabela1[[Equestrian - Individual Eventing]:[Equestrian - Team Eventing]],MATCH(Table92[[#This Row],[Country]],Tabela1[Country], 0),0))</f>
        <v>0</v>
      </c>
      <c r="X94" s="6">
        <f>SUM(INDEX(Tabela1[[Equestrian - Individual Jumping]:[Equestrian - Team Jumping]],MATCH(Table92[[#This Row],[Country]],Tabela1[Country], 0),0))</f>
        <v>0</v>
      </c>
      <c r="Y94" s="6">
        <f>SUM(INDEX(Tabela1[[Fencing - Men''s Épée]:[Fencing - Women''s Team Sabre]],MATCH(Table92[[#This Row],[Country]],Tabela1[Country], 0),0))</f>
        <v>0</v>
      </c>
      <c r="Z94" s="6">
        <f>SUM(INDEX(Tabela1[[Field Hockey - Men''s Tournament]:[Field Hockey - Women''s Tournament]],MATCH(Table92[[#This Row],[Country]],Tabela1[Country], 0),0))</f>
        <v>0</v>
      </c>
      <c r="AA94" s="6">
        <f>SUM(INDEX(Tabela1[[Football - Men''s Tournament]:[Football - Women''s Tournament]],MATCH(Table92[[#This Row],[Country]],Tabela1[Country], 0),0))</f>
        <v>0</v>
      </c>
      <c r="AB94" s="6">
        <f>SUM(INDEX(Tabela1[[Golf - Men''s Individual]:[Golf - Women''s Individual]],MATCH(Table92[[#This Row],[Country]],Tabela1[Country], 0),0))</f>
        <v>0</v>
      </c>
      <c r="AC94" s="6">
        <f>SUM(INDEX(Tabela1[[Handball - Men''s Tournament]:[Handball - Women''s Tournament]],MATCH(Table92[[#This Row],[Country]],Tabela1[Country], 0),0))</f>
        <v>0</v>
      </c>
      <c r="AD94" s="6">
        <f>SUM(INDEX(Tabela1[[Judo - Men''s 60kg]:[Judo - Mixed Team]],MATCH(Table92[[#This Row],[Country]],Tabela1[Country], 0),0))</f>
        <v>0</v>
      </c>
      <c r="AE94" s="6">
        <f>SUM(INDEX(Tabela1[[Swimming - Men''s 10km Open Water]:[Swimming - Women''s 10km Open Water]],MATCH(Table92[[#This Row],[Country]],Tabela1[Country], 0),0))</f>
        <v>1</v>
      </c>
      <c r="AF94" s="6">
        <f>SUM(INDEX(Tabela1[[Modern Pentathlon - Men''s Individual]:[Modern Pentathlon - Women''s Individual]],MATCH(Table92[[#This Row],[Country]],Tabela1[Country], 0),0))</f>
        <v>0</v>
      </c>
      <c r="AG94" s="6">
        <f>SUM(INDEX(Tabela1[[Rhythmic Gymnastics - Women''s Individual All-Around]:[Rhythmic Gymnastics - Women''s Group All-Around]],MATCH(Table92[[#This Row],[Country]],Tabela1[Country], 0),0))</f>
        <v>0</v>
      </c>
      <c r="AH94" s="6">
        <f>SUM(INDEX(Tabela1[[Rowing - Men''s Single Sculls]:[Rowing - Women''s Lwt. Double Sculls]],MATCH(Table92[[#This Row],[Country]],Tabela1[Country], 0),0))</f>
        <v>1</v>
      </c>
      <c r="AI94" s="6">
        <f>SUM(INDEX(Tabela1[[Rugby Sevens - Men''s Tournament]:[Rugby Sevens - Women''s Tournament]],MATCH(Table92[[#This Row],[Country]],Tabela1[Country], 0),0))</f>
        <v>0</v>
      </c>
      <c r="AJ94" s="6">
        <f>SUM(INDEX(Tabela1[[Sailing - Mixed 470]:[Sailing - Mixed Nacra 17]],MATCH(Table92[[#This Row],[Country]],Tabela1[Country], 0),0))</f>
        <v>0</v>
      </c>
      <c r="AK94" s="6">
        <f>SUM(INDEX(Tabela1[[Shooting - Men''s 10m Air Pistol]:[Shooting - Women''s Trap]],MATCH(Table92[[#This Row],[Country]],Tabela1[Country], 0),0))</f>
        <v>0</v>
      </c>
      <c r="AL94" s="6">
        <f>SUM(INDEX(Tabela1[[Skateboarding - Men''s Park]:[Skateboarding - Women''s Street]],MATCH(Table92[[#This Row],[Country]],Tabela1[Country], 0),0))</f>
        <v>0</v>
      </c>
      <c r="AM94" s="6">
        <f>SUM(INDEX(Tabela1[[Sport Climbing - Men''s Boulder and Lead]:[Sport Climbing - Women''s Speed]],MATCH(Table92[[#This Row],[Country]],Tabela1[Country], 0),0))</f>
        <v>0</v>
      </c>
      <c r="AN94" s="6">
        <f>SUM(INDEX(Tabela1[[Surfing - Men''s Shortboard]:[Surfing - Women''s Shortboard]],MATCH(Table92[[#This Row],[Country]],Tabela1[Country], 0),0))</f>
        <v>0</v>
      </c>
      <c r="AO94" s="6">
        <f>SUM(INDEX(Tabela1[[Swimming - Men''s 50m Freestyle]:[Swimming - Mixed 4x100m Medley Relay]],MATCH(Table92[[#This Row],[Country]],Tabela1[Country], 0),0))</f>
        <v>0</v>
      </c>
      <c r="AP94" s="6">
        <f>SUM(INDEX(Tabela1[[Table Tennis - Men''s Singles]:[Table Tennis - Mixed Doubles]],MATCH(Table92[[#This Row],[Country]],Tabela1[Country], 0),0))</f>
        <v>0</v>
      </c>
      <c r="AQ94" s="6">
        <f>SUM(INDEX(Tabela1[[Taekwondo - Men''s 58kg]:[Taekwondo - Women''s +67kg]],MATCH(Table92[[#This Row],[Country]],Tabela1[Country], 0),0))</f>
        <v>0</v>
      </c>
      <c r="AR94" s="6">
        <f>SUM(INDEX(Tabela1[[Tennis - Men''s Singles]:[Tennis - Mixed Doubles]],MATCH(Table92[[#This Row],[Country]],Tabela1[Country], 0),0))</f>
        <v>0</v>
      </c>
      <c r="AS94" s="6">
        <f>SUM(INDEX(Tabela1[[Gymnastics - Men''s Trampoline]:[Gymnastics - Women''s Trampoline]],MATCH(Table92[[#This Row],[Country]],Tabela1[Country], 0),0))</f>
        <v>0</v>
      </c>
      <c r="AT94" s="6">
        <f>SUM(INDEX(Tabela1[[Triathlon - Men''s Individual]:[Triathlon - Mixed Relay]],MATCH(Table92[[#This Row],[Country]],Tabela1[Country], 0),0))</f>
        <v>0</v>
      </c>
      <c r="AU94" s="6">
        <f>SUM(INDEX(Tabela1[[Volleyball - Men''s Tournament]:[Volleyball - Women''s Tournament]],MATCH(Table92[[#This Row],[Country]],Tabela1[Country], 0),0))</f>
        <v>0</v>
      </c>
      <c r="AV94" s="6">
        <f>SUM(INDEX(Tabela1[[Water Polo - Men''s Tournament]:[Water Polo - Women''s Tournament]],MATCH(Table92[[#This Row],[Country]],Tabela1[Country], 0),0))</f>
        <v>0</v>
      </c>
      <c r="AW94" s="6">
        <f>SUM(INDEX(Tabela1[[Weightlifting - Men''s 61kg]:[Weightlifting - Women''s +81kg]],MATCH(Table92[[#This Row],[Country]],Tabela1[Country], 0),0))</f>
        <v>0</v>
      </c>
      <c r="AX94" s="6">
        <f>SUM(INDEX(Tabela1[[Wrestling - Men''s Freestyle 57kg]:[Wrestling - Women''s Freestyle 76kg]],MATCH(Table92[[#This Row],[Country]],Tabela1[Country], 0),0))</f>
        <v>0</v>
      </c>
      <c r="AY94" s="6">
        <f>SUM(INDEX(Tabela1[[Alpine Skiing - Men''s Downhill]:[Alpine Skiing - Women''s Team Combined]],MATCH(Table92[[#This Row],[Country]],Tabela1[Country], 0),0))</f>
        <v>2</v>
      </c>
      <c r="AZ94" s="6">
        <f>SUM(INDEX(Tabela1[[Biathlon - Men''s Individual]:[Biathlon - Mixed Relay]],MATCH(Table92[[#This Row],[Country]],Tabela1[Country], 0),0))</f>
        <v>0</v>
      </c>
      <c r="BA94" s="6">
        <f>SUM(INDEX(Tabela1[[Bobsleigh - Women''s Monobob]:[Bobsleigh - Men''s Four]],MATCH(Table92[[#This Row],[Country]],Tabela1[Country], 0),0))</f>
        <v>0</v>
      </c>
      <c r="BB94" s="6">
        <f>SUM(INDEX(Tabela1[[Cross-country skiing - Men''s Classical]:[Cross-country skiing - Women''s Team Sprint]],MATCH(Table92[[#This Row],[Country]],Tabela1[Country], 0),0))</f>
        <v>0</v>
      </c>
      <c r="BC94" s="6">
        <f>SUM(INDEX(Tabela1[[Curling - Men''s Tournament]:[Curling - Mixed Doubles]],MATCH(Table92[[#This Row],[Country]],Tabela1[Country], 0),0))</f>
        <v>0</v>
      </c>
      <c r="BD94" s="6">
        <f>SUM(INDEX(Tabela1[[Figure Skating - Men''s Singles]:[Figure Skating - Team Event]],MATCH(Table92[[#This Row],[Country]],Tabela1[Country], 0),0))</f>
        <v>0</v>
      </c>
      <c r="BE94" s="6">
        <f>SUM(INDEX(Tabela1[[Freestyle Skiing - Men''s Aerials]:[Freestyle Skiing - Women''s Slopestyle]],MATCH(Table92[[#This Row],[Country]],Tabela1[Country], 0),0))</f>
        <v>0</v>
      </c>
      <c r="BF94" s="6">
        <f>SUM(INDEX(Tabela1[[Ice Hockey - Men''s Tournament]:[Ice Hockey - Women''s Tournament]],MATCH(Table92[[#This Row],[Country]],Tabela1[Country], 0),0))</f>
        <v>0</v>
      </c>
      <c r="BG94" s="6">
        <f>SUM(INDEX(Tabela1[[Luge - Men''s Singles]:[Luge - Mixed Team Relay]],MATCH(Table92[[#This Row],[Country]],Tabela1[Country], 0),0))</f>
        <v>0</v>
      </c>
      <c r="BH94" s="6">
        <f>SUM(INDEX(Tabela1[[Nordic Combined - Men''s Individual]:[Nordic Combined - Men''s Team Sprint Large Hill]],MATCH(Table92[[#This Row],[Country]],Tabela1[Country], 0),0))</f>
        <v>0</v>
      </c>
      <c r="BI94" s="6">
        <f>SUM(INDEX(Tabela1[[Short track speed skating - Men''s 500m]:[Short track speed skating - Mixed 2000m Relay]],MATCH(Table92[[#This Row],[Country]],Tabela1[Country], 0),0))</f>
        <v>0</v>
      </c>
      <c r="BJ94" s="6">
        <f>SUM(INDEX(Tabela1[[Skeleton - Men''s Individual]:[Skeleton - Mixed Team]],MATCH(Table92[[#This Row],[Country]],Tabela1[Country], 0),0))</f>
        <v>0</v>
      </c>
      <c r="BK94" s="6">
        <f>SUM(INDEX(Tabela1[[Ski Jumping - Men''s Individual Large Hill]:[Ski Jumping - Mixed Team Normal Hill]],MATCH(Table92[[#This Row],[Country]],Tabela1[Country], 0),0))</f>
        <v>0</v>
      </c>
      <c r="BL94" s="6">
        <f>SUM(INDEX(Tabela1[[Ski Mountaineering - Men''s Sprint]:[Ski Mountaineering - Mixed Relay]],MATCH(Table92[[#This Row],[Country]],Tabela1[Country], 0),0))</f>
        <v>0</v>
      </c>
      <c r="BM94" s="6">
        <f>SUM(INDEX(Tabela1[[Snowboarding - Men''s Big Air]:[Snowboarding - Mixed Team Snowboard Cross]],MATCH(Table92[[#This Row],[Country]],Tabela1[Country], 0),0))</f>
        <v>0</v>
      </c>
      <c r="BN94" s="6">
        <f>SUM(INDEX(Tabela1[[Speed Skating - Men''s 500m]:[Speed Skating - Women''s Team Pursuit]],MATCH(Table92[[#This Row],[Country]],Tabela1[Country], 0),0))</f>
        <v>0</v>
      </c>
      <c r="BO94" s="6" t="str">
        <f>SUBSTITUTE(INDEX(Table92[[#Headers],[Archery Quotas]:[Speed Skating Quotas]], MATCH(MAX(Table92[[#This Row],[Archery Quotas]:[Speed Skating Quotas]]), Table92[[#This Row],[Archery Quotas]:[Speed Skating Quotas]], 0))," Quotas","")</f>
        <v>Alpine Skiing</v>
      </c>
      <c r="BP94" s="6">
        <f>SUM(Table92[[#This Row],[Summer Sports]:[Winter Sports]])</f>
        <v>3</v>
      </c>
      <c r="BQ94" s="6">
        <f>COUNTIF(Table92[[#This Row],[Archery Quotas]:[Wrestling Quotas]],"&lt;&gt;0")</f>
        <v>2</v>
      </c>
      <c r="BR94" s="6">
        <f>COUNTIF(Table92[[#This Row],[Alpine Skiing Quotas]:[Speed Skating Quotas]],"&lt;&gt;0")</f>
        <v>1</v>
      </c>
      <c r="BS94" s="4" t="s">
        <v>641</v>
      </c>
    </row>
    <row r="95" spans="1:71" x14ac:dyDescent="0.3">
      <c r="A95" s="6" t="s">
        <v>668</v>
      </c>
      <c r="B95" t="e" vm="96">
        <f>IF(ISBLANK(Table92[[#This Row],[Flag Link]]), "", _xlfn.IMAGE(Table92[[#This Row],[Flag Link]],1,1))</f>
        <v>#VALUE!</v>
      </c>
      <c r="C95" s="6">
        <f>SUM(Table92[[#This Row],[Archery Quotas]:[Speed Skating Quotas]])</f>
        <v>4</v>
      </c>
      <c r="D95" s="6">
        <f>SUM(INDEX(Tabela1[[Archery - Men''s Individual Recurve]:[Archery - Mixed Team Recurve]],MATCH(Table92[[#This Row],[Country]],Tabela1[Country], 0),0))</f>
        <v>0</v>
      </c>
      <c r="E95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95" s="6">
        <f>SUM(INDEX(Tabela1[[Artistic Swimming - Women''s Duet]:[Artistic Swimming - Women''s Team]],MATCH(Table92[[#This Row],[Country]],Tabela1[Country], 0),0))</f>
        <v>0</v>
      </c>
      <c r="G95" s="6">
        <f>SUM(INDEX(Tabela1[[Athletics - Men''s 100m]:[Athletics - Women''s Heptathlon]],MATCH(Table92[[#This Row],[Country]],Tabela1[Country], 0),0))</f>
        <v>0</v>
      </c>
      <c r="H95" s="6">
        <f>SUM(INDEX(Tabela1[[Badminton - Men''s Singles]:[Badminton - Mixed Doubles]],MATCH(Table92[[#This Row],[Country]],Tabela1[Country], 0),0))</f>
        <v>0</v>
      </c>
      <c r="I95" s="6">
        <f>SUM(INDEX(Tabela1[[Basketball - Men''s Tournament]:[Basketball - Women''s Tournament]],MATCH(Table92[[#This Row],[Country]],Tabela1[Country], 0),0))</f>
        <v>0</v>
      </c>
      <c r="J95" s="6">
        <f>SUM(INDEX(Tabela1[[3x3 Basketball - Men''s Tournament]:[3x3 Basketball - Women''s Tournament]],MATCH(Table92[[#This Row],[Country]],Tabela1[Country], 0),0))</f>
        <v>0</v>
      </c>
      <c r="K95" s="6">
        <f>SUM(INDEX(Tabela1[[Beach Volleyball - Men''s Tournament]:[Beach Volleyball - Women''s Tournament]],MATCH(Table92[[#This Row],[Country]],Tabela1[Country], 0),0))</f>
        <v>0</v>
      </c>
      <c r="L95" s="6">
        <f>SUM(INDEX(Tabela1[[Boxing - Men''s 51kg]:[Boxing - Women''s 75kg]],MATCH(Table92[[#This Row],[Country]],Tabela1[Country], 0),0))</f>
        <v>0</v>
      </c>
      <c r="M95" s="6">
        <f>SUM(INDEX(Tabela1[[Breaking - Men''s Individual]:[Breaking - Women''s Individual]],MATCH(Table92[[#This Row],[Country]],Tabela1[Country], 0),0))</f>
        <v>0</v>
      </c>
      <c r="N95" s="6">
        <f>SUM(INDEX(Tabela1[[Canoeing - Men''s C1 Slalom]:[Canoeing - Women''s Kayak Cross Slalom]],MATCH(Table92[[#This Row],[Country]],Tabela1[Country], 0),0))</f>
        <v>0</v>
      </c>
      <c r="O95" s="6">
        <f>SUM(INDEX(Tabela1[[Canoeing - Women''s C1 200m]:[Canoeing - Women''s K4 500m]],MATCH(Table92[[#This Row],[Country]],Tabela1[Country], 0),0))</f>
        <v>0</v>
      </c>
      <c r="P95" s="6">
        <f>SUM(INDEX(Tabela1[[Cycling - Men''s BMX Freestyle]:[Cycling - Women''s BMX Freestyle]],MATCH(Table92[[#This Row],[Country]],Tabela1[Country], 0),0))</f>
        <v>0</v>
      </c>
      <c r="Q95" s="6">
        <f>SUM(INDEX(Tabela1[[Cycling - Men''s BMX Racing]:[Cycling - Women''s BMX Racing]],MATCH(Table92[[#This Row],[Country]],Tabela1[Country], 0),0))</f>
        <v>0</v>
      </c>
      <c r="R95" s="6">
        <f>SUM(INDEX(Tabela1[[Cycling - Men''s Cross-Country]:[Cycling - Women''s Cross-Country]],MATCH(Table92[[#This Row],[Country]],Tabela1[Country], 0),0))</f>
        <v>0</v>
      </c>
      <c r="S95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95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95" s="6">
        <f>SUM(INDEX(Tabela1[[Diving - Men''s Springboard]:[Diving - Women''s Synchronized Platform]],MATCH(Table92[[#This Row],[Country]],Tabela1[Country], 0),0))</f>
        <v>0</v>
      </c>
      <c r="V95" s="6">
        <f>SUM(INDEX(Tabela1[[Equestrian - Individual Dressage]:[Equestrian - Team Dressage]],MATCH(Table92[[#This Row],[Country]],Tabela1[Country], 0),0))</f>
        <v>0</v>
      </c>
      <c r="W95" s="6">
        <f>SUM(INDEX(Tabela1[[Equestrian - Individual Eventing]:[Equestrian - Team Eventing]],MATCH(Table92[[#This Row],[Country]],Tabela1[Country], 0),0))</f>
        <v>0</v>
      </c>
      <c r="X95" s="6">
        <f>SUM(INDEX(Tabela1[[Equestrian - Individual Jumping]:[Equestrian - Team Jumping]],MATCH(Table92[[#This Row],[Country]],Tabela1[Country], 0),0))</f>
        <v>0</v>
      </c>
      <c r="Y95" s="6">
        <f>SUM(INDEX(Tabela1[[Fencing - Men''s Épée]:[Fencing - Women''s Team Sabre]],MATCH(Table92[[#This Row],[Country]],Tabela1[Country], 0),0))</f>
        <v>0</v>
      </c>
      <c r="Z95" s="6">
        <f>SUM(INDEX(Tabela1[[Field Hockey - Men''s Tournament]:[Field Hockey - Women''s Tournament]],MATCH(Table92[[#This Row],[Country]],Tabela1[Country], 0),0))</f>
        <v>0</v>
      </c>
      <c r="AA95" s="6">
        <f>SUM(INDEX(Tabela1[[Football - Men''s Tournament]:[Football - Women''s Tournament]],MATCH(Table92[[#This Row],[Country]],Tabela1[Country], 0),0))</f>
        <v>1</v>
      </c>
      <c r="AB95" s="6">
        <f>SUM(INDEX(Tabela1[[Golf - Men''s Individual]:[Golf - Women''s Individual]],MATCH(Table92[[#This Row],[Country]],Tabela1[Country], 0),0))</f>
        <v>1</v>
      </c>
      <c r="AC95" s="6">
        <f>SUM(INDEX(Tabela1[[Handball - Men''s Tournament]:[Handball - Women''s Tournament]],MATCH(Table92[[#This Row],[Country]],Tabela1[Country], 0),0))</f>
        <v>0</v>
      </c>
      <c r="AD95" s="6">
        <f>SUM(INDEX(Tabela1[[Judo - Men''s 60kg]:[Judo - Mixed Team]],MATCH(Table92[[#This Row],[Country]],Tabela1[Country], 0),0))</f>
        <v>1</v>
      </c>
      <c r="AE95" s="6">
        <f>SUM(INDEX(Tabela1[[Swimming - Men''s 10km Open Water]:[Swimming - Women''s 10km Open Water]],MATCH(Table92[[#This Row],[Country]],Tabela1[Country], 0),0))</f>
        <v>0</v>
      </c>
      <c r="AF95" s="6">
        <f>SUM(INDEX(Tabela1[[Modern Pentathlon - Men''s Individual]:[Modern Pentathlon - Women''s Individual]],MATCH(Table92[[#This Row],[Country]],Tabela1[Country], 0),0))</f>
        <v>0</v>
      </c>
      <c r="AG95" s="6">
        <f>SUM(INDEX(Tabela1[[Rhythmic Gymnastics - Women''s Individual All-Around]:[Rhythmic Gymnastics - Women''s Group All-Around]],MATCH(Table92[[#This Row],[Country]],Tabela1[Country], 0),0))</f>
        <v>0</v>
      </c>
      <c r="AH95" s="6">
        <f>SUM(INDEX(Tabela1[[Rowing - Men''s Single Sculls]:[Rowing - Women''s Lwt. Double Sculls]],MATCH(Table92[[#This Row],[Country]],Tabela1[Country], 0),0))</f>
        <v>1</v>
      </c>
      <c r="AI95" s="6">
        <f>SUM(INDEX(Tabela1[[Rugby Sevens - Men''s Tournament]:[Rugby Sevens - Women''s Tournament]],MATCH(Table92[[#This Row],[Country]],Tabela1[Country], 0),0))</f>
        <v>0</v>
      </c>
      <c r="AJ95" s="6">
        <f>SUM(INDEX(Tabela1[[Sailing - Mixed 470]:[Sailing - Mixed Nacra 17]],MATCH(Table92[[#This Row],[Country]],Tabela1[Country], 0),0))</f>
        <v>0</v>
      </c>
      <c r="AK95" s="6">
        <f>SUM(INDEX(Tabela1[[Shooting - Men''s 10m Air Pistol]:[Shooting - Women''s Trap]],MATCH(Table92[[#This Row],[Country]],Tabela1[Country], 0),0))</f>
        <v>0</v>
      </c>
      <c r="AL95" s="6">
        <f>SUM(INDEX(Tabela1[[Skateboarding - Men''s Park]:[Skateboarding - Women''s Street]],MATCH(Table92[[#This Row],[Country]],Tabela1[Country], 0),0))</f>
        <v>0</v>
      </c>
      <c r="AM95" s="6">
        <f>SUM(INDEX(Tabela1[[Sport Climbing - Men''s Boulder and Lead]:[Sport Climbing - Women''s Speed]],MATCH(Table92[[#This Row],[Country]],Tabela1[Country], 0),0))</f>
        <v>0</v>
      </c>
      <c r="AN95" s="6">
        <f>SUM(INDEX(Tabela1[[Surfing - Men''s Shortboard]:[Surfing - Women''s Shortboard]],MATCH(Table92[[#This Row],[Country]],Tabela1[Country], 0),0))</f>
        <v>0</v>
      </c>
      <c r="AO95" s="6">
        <f>SUM(INDEX(Tabela1[[Swimming - Men''s 50m Freestyle]:[Swimming - Mixed 4x100m Medley Relay]],MATCH(Table92[[#This Row],[Country]],Tabela1[Country], 0),0))</f>
        <v>0</v>
      </c>
      <c r="AP95" s="6">
        <f>SUM(INDEX(Tabela1[[Table Tennis - Men''s Singles]:[Table Tennis - Mixed Doubles]],MATCH(Table92[[#This Row],[Country]],Tabela1[Country], 0),0))</f>
        <v>0</v>
      </c>
      <c r="AQ95" s="6">
        <f>SUM(INDEX(Tabela1[[Taekwondo - Men''s 58kg]:[Taekwondo - Women''s +67kg]],MATCH(Table92[[#This Row],[Country]],Tabela1[Country], 0),0))</f>
        <v>0</v>
      </c>
      <c r="AR95" s="6">
        <f>SUM(INDEX(Tabela1[[Tennis - Men''s Singles]:[Tennis - Mixed Doubles]],MATCH(Table92[[#This Row],[Country]],Tabela1[Country], 0),0))</f>
        <v>0</v>
      </c>
      <c r="AS95" s="6">
        <f>SUM(INDEX(Tabela1[[Gymnastics - Men''s Trampoline]:[Gymnastics - Women''s Trampoline]],MATCH(Table92[[#This Row],[Country]],Tabela1[Country], 0),0))</f>
        <v>0</v>
      </c>
      <c r="AT95" s="6">
        <f>SUM(INDEX(Tabela1[[Triathlon - Men''s Individual]:[Triathlon - Mixed Relay]],MATCH(Table92[[#This Row],[Country]],Tabela1[Country], 0),0))</f>
        <v>0</v>
      </c>
      <c r="AU95" s="6">
        <f>SUM(INDEX(Tabela1[[Volleyball - Men''s Tournament]:[Volleyball - Women''s Tournament]],MATCH(Table92[[#This Row],[Country]],Tabela1[Country], 0),0))</f>
        <v>0</v>
      </c>
      <c r="AV95" s="6">
        <f>SUM(INDEX(Tabela1[[Water Polo - Men''s Tournament]:[Water Polo - Women''s Tournament]],MATCH(Table92[[#This Row],[Country]],Tabela1[Country], 0),0))</f>
        <v>0</v>
      </c>
      <c r="AW95" s="6">
        <f>SUM(INDEX(Tabela1[[Weightlifting - Men''s 61kg]:[Weightlifting - Women''s +81kg]],MATCH(Table92[[#This Row],[Country]],Tabela1[Country], 0),0))</f>
        <v>0</v>
      </c>
      <c r="AX95" s="6">
        <f>SUM(INDEX(Tabela1[[Wrestling - Men''s Freestyle 57kg]:[Wrestling - Women''s Freestyle 76kg]],MATCH(Table92[[#This Row],[Country]],Tabela1[Country], 0),0))</f>
        <v>0</v>
      </c>
      <c r="AY95" s="6">
        <f>SUM(INDEX(Tabela1[[Alpine Skiing - Men''s Downhill]:[Alpine Skiing - Women''s Team Combined]],MATCH(Table92[[#This Row],[Country]],Tabela1[Country], 0),0))</f>
        <v>0</v>
      </c>
      <c r="AZ95" s="6">
        <f>SUM(INDEX(Tabela1[[Biathlon - Men''s Individual]:[Biathlon - Mixed Relay]],MATCH(Table92[[#This Row],[Country]],Tabela1[Country], 0),0))</f>
        <v>0</v>
      </c>
      <c r="BA95" s="6">
        <f>SUM(INDEX(Tabela1[[Bobsleigh - Women''s Monobob]:[Bobsleigh - Men''s Four]],MATCH(Table92[[#This Row],[Country]],Tabela1[Country], 0),0))</f>
        <v>0</v>
      </c>
      <c r="BB95" s="6">
        <f>SUM(INDEX(Tabela1[[Cross-country skiing - Men''s Classical]:[Cross-country skiing - Women''s Team Sprint]],MATCH(Table92[[#This Row],[Country]],Tabela1[Country], 0),0))</f>
        <v>0</v>
      </c>
      <c r="BC95" s="6">
        <f>SUM(INDEX(Tabela1[[Curling - Men''s Tournament]:[Curling - Mixed Doubles]],MATCH(Table92[[#This Row],[Country]],Tabela1[Country], 0),0))</f>
        <v>0</v>
      </c>
      <c r="BD95" s="6">
        <f>SUM(INDEX(Tabela1[[Figure Skating - Men''s Singles]:[Figure Skating - Team Event]],MATCH(Table92[[#This Row],[Country]],Tabela1[Country], 0),0))</f>
        <v>0</v>
      </c>
      <c r="BE95" s="6">
        <f>SUM(INDEX(Tabela1[[Freestyle Skiing - Men''s Aerials]:[Freestyle Skiing - Women''s Slopestyle]],MATCH(Table92[[#This Row],[Country]],Tabela1[Country], 0),0))</f>
        <v>0</v>
      </c>
      <c r="BF95" s="6">
        <f>SUM(INDEX(Tabela1[[Ice Hockey - Men''s Tournament]:[Ice Hockey - Women''s Tournament]],MATCH(Table92[[#This Row],[Country]],Tabela1[Country], 0),0))</f>
        <v>0</v>
      </c>
      <c r="BG95" s="6">
        <f>SUM(INDEX(Tabela1[[Luge - Men''s Singles]:[Luge - Mixed Team Relay]],MATCH(Table92[[#This Row],[Country]],Tabela1[Country], 0),0))</f>
        <v>0</v>
      </c>
      <c r="BH95" s="6">
        <f>SUM(INDEX(Tabela1[[Nordic Combined - Men''s Individual]:[Nordic Combined - Men''s Team Sprint Large Hill]],MATCH(Table92[[#This Row],[Country]],Tabela1[Country], 0),0))</f>
        <v>0</v>
      </c>
      <c r="BI95" s="6">
        <f>SUM(INDEX(Tabela1[[Short track speed skating - Men''s 500m]:[Short track speed skating - Mixed 2000m Relay]],MATCH(Table92[[#This Row],[Country]],Tabela1[Country], 0),0))</f>
        <v>0</v>
      </c>
      <c r="BJ95" s="6">
        <f>SUM(INDEX(Tabela1[[Skeleton - Men''s Individual]:[Skeleton - Mixed Team]],MATCH(Table92[[#This Row],[Country]],Tabela1[Country], 0),0))</f>
        <v>0</v>
      </c>
      <c r="BK95" s="6">
        <f>SUM(INDEX(Tabela1[[Ski Jumping - Men''s Individual Large Hill]:[Ski Jumping - Mixed Team Normal Hill]],MATCH(Table92[[#This Row],[Country]],Tabela1[Country], 0),0))</f>
        <v>0</v>
      </c>
      <c r="BL95" s="6">
        <f>SUM(INDEX(Tabela1[[Ski Mountaineering - Men''s Sprint]:[Ski Mountaineering - Mixed Relay]],MATCH(Table92[[#This Row],[Country]],Tabela1[Country], 0),0))</f>
        <v>0</v>
      </c>
      <c r="BM95" s="6">
        <f>SUM(INDEX(Tabela1[[Snowboarding - Men''s Big Air]:[Snowboarding - Mixed Team Snowboard Cross]],MATCH(Table92[[#This Row],[Country]],Tabela1[Country], 0),0))</f>
        <v>0</v>
      </c>
      <c r="BN95" s="6">
        <f>SUM(INDEX(Tabela1[[Speed Skating - Men''s 500m]:[Speed Skating - Women''s Team Pursuit]],MATCH(Table92[[#This Row],[Country]],Tabela1[Country], 0),0))</f>
        <v>0</v>
      </c>
      <c r="BO95" s="6" t="str">
        <f>SUBSTITUTE(INDEX(Table92[[#Headers],[Archery Quotas]:[Speed Skating Quotas]], MATCH(MAX(Table92[[#This Row],[Archery Quotas]:[Speed Skating Quotas]]), Table92[[#This Row],[Archery Quotas]:[Speed Skating Quotas]], 0))," Quotas","")</f>
        <v>Football</v>
      </c>
      <c r="BP95" s="6">
        <f>SUM(Table92[[#This Row],[Summer Sports]:[Winter Sports]])</f>
        <v>4</v>
      </c>
      <c r="BQ95" s="6">
        <f>COUNTIF(Table92[[#This Row],[Archery Quotas]:[Wrestling Quotas]],"&lt;&gt;0")</f>
        <v>4</v>
      </c>
      <c r="BR95" s="6">
        <f>COUNTIF(Table92[[#This Row],[Alpine Skiing Quotas]:[Speed Skating Quotas]],"&lt;&gt;0")</f>
        <v>0</v>
      </c>
      <c r="BS95" s="4" t="s">
        <v>669</v>
      </c>
    </row>
    <row r="96" spans="1:71" x14ac:dyDescent="0.3">
      <c r="A96" s="6" t="s">
        <v>670</v>
      </c>
      <c r="B96" t="e" vm="87">
        <f>IF(ISBLANK(Table92[[#This Row],[Flag Link]]), "", _xlfn.IMAGE(Table92[[#This Row],[Flag Link]],1,1))</f>
        <v>#VALUE!</v>
      </c>
      <c r="C96" s="6">
        <f>SUM(Table92[[#This Row],[Archery Quotas]:[Speed Skating Quotas]])</f>
        <v>4</v>
      </c>
      <c r="D96" s="6">
        <f>SUM(INDEX(Tabela1[[Archery - Men''s Individual Recurve]:[Archery - Mixed Team Recurve]],MATCH(Table92[[#This Row],[Country]],Tabela1[Country], 0),0))</f>
        <v>0</v>
      </c>
      <c r="E96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4</v>
      </c>
      <c r="F96" s="6">
        <f>SUM(INDEX(Tabela1[[Artistic Swimming - Women''s Duet]:[Artistic Swimming - Women''s Team]],MATCH(Table92[[#This Row],[Country]],Tabela1[Country], 0),0))</f>
        <v>0</v>
      </c>
      <c r="G96" s="6">
        <f>SUM(INDEX(Tabela1[[Athletics - Men''s 100m]:[Athletics - Women''s Heptathlon]],MATCH(Table92[[#This Row],[Country]],Tabela1[Country], 0),0))</f>
        <v>0</v>
      </c>
      <c r="H96" s="6">
        <f>SUM(INDEX(Tabela1[[Badminton - Men''s Singles]:[Badminton - Mixed Doubles]],MATCH(Table92[[#This Row],[Country]],Tabela1[Country], 0),0))</f>
        <v>0</v>
      </c>
      <c r="I96" s="6">
        <f>SUM(INDEX(Tabela1[[Basketball - Men''s Tournament]:[Basketball - Women''s Tournament]],MATCH(Table92[[#This Row],[Country]],Tabela1[Country], 0),0))</f>
        <v>0</v>
      </c>
      <c r="J96" s="6">
        <f>SUM(INDEX(Tabela1[[3x3 Basketball - Men''s Tournament]:[3x3 Basketball - Women''s Tournament]],MATCH(Table92[[#This Row],[Country]],Tabela1[Country], 0),0))</f>
        <v>0</v>
      </c>
      <c r="K96" s="6">
        <f>SUM(INDEX(Tabela1[[Beach Volleyball - Men''s Tournament]:[Beach Volleyball - Women''s Tournament]],MATCH(Table92[[#This Row],[Country]],Tabela1[Country], 0),0))</f>
        <v>0</v>
      </c>
      <c r="L96" s="6">
        <f>SUM(INDEX(Tabela1[[Boxing - Men''s 51kg]:[Boxing - Women''s 75kg]],MATCH(Table92[[#This Row],[Country]],Tabela1[Country], 0),0))</f>
        <v>0</v>
      </c>
      <c r="M96" s="6">
        <f>SUM(INDEX(Tabela1[[Breaking - Men''s Individual]:[Breaking - Women''s Individual]],MATCH(Table92[[#This Row],[Country]],Tabela1[Country], 0),0))</f>
        <v>0</v>
      </c>
      <c r="N96" s="6">
        <f>SUM(INDEX(Tabela1[[Canoeing - Men''s C1 Slalom]:[Canoeing - Women''s Kayak Cross Slalom]],MATCH(Table92[[#This Row],[Country]],Tabela1[Country], 0),0))</f>
        <v>0</v>
      </c>
      <c r="O96" s="6">
        <f>SUM(INDEX(Tabela1[[Canoeing - Women''s C1 200m]:[Canoeing - Women''s K4 500m]],MATCH(Table92[[#This Row],[Country]],Tabela1[Country], 0),0))</f>
        <v>0</v>
      </c>
      <c r="P96" s="6">
        <f>SUM(INDEX(Tabela1[[Cycling - Men''s BMX Freestyle]:[Cycling - Women''s BMX Freestyle]],MATCH(Table92[[#This Row],[Country]],Tabela1[Country], 0),0))</f>
        <v>0</v>
      </c>
      <c r="Q96" s="6">
        <f>SUM(INDEX(Tabela1[[Cycling - Men''s BMX Racing]:[Cycling - Women''s BMX Racing]],MATCH(Table92[[#This Row],[Country]],Tabela1[Country], 0),0))</f>
        <v>0</v>
      </c>
      <c r="R96" s="6">
        <f>SUM(INDEX(Tabela1[[Cycling - Men''s Cross-Country]:[Cycling - Women''s Cross-Country]],MATCH(Table92[[#This Row],[Country]],Tabela1[Country], 0),0))</f>
        <v>0</v>
      </c>
      <c r="S96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96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96" s="6">
        <f>SUM(INDEX(Tabela1[[Diving - Men''s Springboard]:[Diving - Women''s Synchronized Platform]],MATCH(Table92[[#This Row],[Country]],Tabela1[Country], 0),0))</f>
        <v>0</v>
      </c>
      <c r="V96" s="6">
        <f>SUM(INDEX(Tabela1[[Equestrian - Individual Dressage]:[Equestrian - Team Dressage]],MATCH(Table92[[#This Row],[Country]],Tabela1[Country], 0),0))</f>
        <v>0</v>
      </c>
      <c r="W96" s="6">
        <f>SUM(INDEX(Tabela1[[Equestrian - Individual Eventing]:[Equestrian - Team Eventing]],MATCH(Table92[[#This Row],[Country]],Tabela1[Country], 0),0))</f>
        <v>0</v>
      </c>
      <c r="X96" s="6">
        <f>SUM(INDEX(Tabela1[[Equestrian - Individual Jumping]:[Equestrian - Team Jumping]],MATCH(Table92[[#This Row],[Country]],Tabela1[Country], 0),0))</f>
        <v>0</v>
      </c>
      <c r="Y96" s="6">
        <f>SUM(INDEX(Tabela1[[Fencing - Men''s Épée]:[Fencing - Women''s Team Sabre]],MATCH(Table92[[#This Row],[Country]],Tabela1[Country], 0),0))</f>
        <v>0</v>
      </c>
      <c r="Z96" s="6">
        <f>SUM(INDEX(Tabela1[[Field Hockey - Men''s Tournament]:[Field Hockey - Women''s Tournament]],MATCH(Table92[[#This Row],[Country]],Tabela1[Country], 0),0))</f>
        <v>0</v>
      </c>
      <c r="AA96" s="6">
        <f>SUM(INDEX(Tabela1[[Football - Men''s Tournament]:[Football - Women''s Tournament]],MATCH(Table92[[#This Row],[Country]],Tabela1[Country], 0),0))</f>
        <v>0</v>
      </c>
      <c r="AB96" s="6">
        <f>SUM(INDEX(Tabela1[[Golf - Men''s Individual]:[Golf - Women''s Individual]],MATCH(Table92[[#This Row],[Country]],Tabela1[Country], 0),0))</f>
        <v>0</v>
      </c>
      <c r="AC96" s="6">
        <f>SUM(INDEX(Tabela1[[Handball - Men''s Tournament]:[Handball - Women''s Tournament]],MATCH(Table92[[#This Row],[Country]],Tabela1[Country], 0),0))</f>
        <v>0</v>
      </c>
      <c r="AD96" s="6">
        <f>SUM(INDEX(Tabela1[[Judo - Men''s 60kg]:[Judo - Mixed Team]],MATCH(Table92[[#This Row],[Country]],Tabela1[Country], 0),0))</f>
        <v>0</v>
      </c>
      <c r="AE96" s="6">
        <f>SUM(INDEX(Tabela1[[Swimming - Men''s 10km Open Water]:[Swimming - Women''s 10km Open Water]],MATCH(Table92[[#This Row],[Country]],Tabela1[Country], 0),0))</f>
        <v>0</v>
      </c>
      <c r="AF96" s="6">
        <f>SUM(INDEX(Tabela1[[Modern Pentathlon - Men''s Individual]:[Modern Pentathlon - Women''s Individual]],MATCH(Table92[[#This Row],[Country]],Tabela1[Country], 0),0))</f>
        <v>0</v>
      </c>
      <c r="AG96" s="6">
        <f>SUM(INDEX(Tabela1[[Rhythmic Gymnastics - Women''s Individual All-Around]:[Rhythmic Gymnastics - Women''s Group All-Around]],MATCH(Table92[[#This Row],[Country]],Tabela1[Country], 0),0))</f>
        <v>0</v>
      </c>
      <c r="AH96" s="6">
        <f>SUM(INDEX(Tabela1[[Rowing - Men''s Single Sculls]:[Rowing - Women''s Lwt. Double Sculls]],MATCH(Table92[[#This Row],[Country]],Tabela1[Country], 0),0))</f>
        <v>0</v>
      </c>
      <c r="AI96" s="6">
        <f>SUM(INDEX(Tabela1[[Rugby Sevens - Men''s Tournament]:[Rugby Sevens - Women''s Tournament]],MATCH(Table92[[#This Row],[Country]],Tabela1[Country], 0),0))</f>
        <v>0</v>
      </c>
      <c r="AJ96" s="6">
        <f>SUM(INDEX(Tabela1[[Sailing - Mixed 470]:[Sailing - Mixed Nacra 17]],MATCH(Table92[[#This Row],[Country]],Tabela1[Country], 0),0))</f>
        <v>0</v>
      </c>
      <c r="AK96" s="6">
        <f>SUM(INDEX(Tabela1[[Shooting - Men''s 10m Air Pistol]:[Shooting - Women''s Trap]],MATCH(Table92[[#This Row],[Country]],Tabela1[Country], 0),0))</f>
        <v>0</v>
      </c>
      <c r="AL96" s="6">
        <f>SUM(INDEX(Tabela1[[Skateboarding - Men''s Park]:[Skateboarding - Women''s Street]],MATCH(Table92[[#This Row],[Country]],Tabela1[Country], 0),0))</f>
        <v>0</v>
      </c>
      <c r="AM96" s="6">
        <f>SUM(INDEX(Tabela1[[Sport Climbing - Men''s Boulder and Lead]:[Sport Climbing - Women''s Speed]],MATCH(Table92[[#This Row],[Country]],Tabela1[Country], 0),0))</f>
        <v>0</v>
      </c>
      <c r="AN96" s="6">
        <f>SUM(INDEX(Tabela1[[Surfing - Men''s Shortboard]:[Surfing - Women''s Shortboard]],MATCH(Table92[[#This Row],[Country]],Tabela1[Country], 0),0))</f>
        <v>0</v>
      </c>
      <c r="AO96" s="6">
        <f>SUM(INDEX(Tabela1[[Swimming - Men''s 50m Freestyle]:[Swimming - Mixed 4x100m Medley Relay]],MATCH(Table92[[#This Row],[Country]],Tabela1[Country], 0),0))</f>
        <v>0</v>
      </c>
      <c r="AP96" s="6">
        <f>SUM(INDEX(Tabela1[[Table Tennis - Men''s Singles]:[Table Tennis - Mixed Doubles]],MATCH(Table92[[#This Row],[Country]],Tabela1[Country], 0),0))</f>
        <v>0</v>
      </c>
      <c r="AQ96" s="6">
        <f>SUM(INDEX(Tabela1[[Taekwondo - Men''s 58kg]:[Taekwondo - Women''s +67kg]],MATCH(Table92[[#This Row],[Country]],Tabela1[Country], 0),0))</f>
        <v>0</v>
      </c>
      <c r="AR96" s="6">
        <f>SUM(INDEX(Tabela1[[Tennis - Men''s Singles]:[Tennis - Mixed Doubles]],MATCH(Table92[[#This Row],[Country]],Tabela1[Country], 0),0))</f>
        <v>0</v>
      </c>
      <c r="AS96" s="6">
        <f>SUM(INDEX(Tabela1[[Gymnastics - Men''s Trampoline]:[Gymnastics - Women''s Trampoline]],MATCH(Table92[[#This Row],[Country]],Tabela1[Country], 0),0))</f>
        <v>0</v>
      </c>
      <c r="AT96" s="6">
        <f>SUM(INDEX(Tabela1[[Triathlon - Men''s Individual]:[Triathlon - Mixed Relay]],MATCH(Table92[[#This Row],[Country]],Tabela1[Country], 0),0))</f>
        <v>0</v>
      </c>
      <c r="AU96" s="6">
        <f>SUM(INDEX(Tabela1[[Volleyball - Men''s Tournament]:[Volleyball - Women''s Tournament]],MATCH(Table92[[#This Row],[Country]],Tabela1[Country], 0),0))</f>
        <v>0</v>
      </c>
      <c r="AV96" s="6">
        <f>SUM(INDEX(Tabela1[[Water Polo - Men''s Tournament]:[Water Polo - Women''s Tournament]],MATCH(Table92[[#This Row],[Country]],Tabela1[Country], 0),0))</f>
        <v>0</v>
      </c>
      <c r="AW96" s="6">
        <f>SUM(INDEX(Tabela1[[Weightlifting - Men''s 61kg]:[Weightlifting - Women''s +81kg]],MATCH(Table92[[#This Row],[Country]],Tabela1[Country], 0),0))</f>
        <v>0</v>
      </c>
      <c r="AX96" s="6">
        <f>SUM(INDEX(Tabela1[[Wrestling - Men''s Freestyle 57kg]:[Wrestling - Women''s Freestyle 76kg]],MATCH(Table92[[#This Row],[Country]],Tabela1[Country], 0),0))</f>
        <v>0</v>
      </c>
      <c r="AY96" s="6">
        <f>SUM(INDEX(Tabela1[[Alpine Skiing - Men''s Downhill]:[Alpine Skiing - Women''s Team Combined]],MATCH(Table92[[#This Row],[Country]],Tabela1[Country], 0),0))</f>
        <v>0</v>
      </c>
      <c r="AZ96" s="6">
        <f>SUM(INDEX(Tabela1[[Biathlon - Men''s Individual]:[Biathlon - Mixed Relay]],MATCH(Table92[[#This Row],[Country]],Tabela1[Country], 0),0))</f>
        <v>0</v>
      </c>
      <c r="BA96" s="6">
        <f>SUM(INDEX(Tabela1[[Bobsleigh - Women''s Monobob]:[Bobsleigh - Men''s Four]],MATCH(Table92[[#This Row],[Country]],Tabela1[Country], 0),0))</f>
        <v>0</v>
      </c>
      <c r="BB96" s="6">
        <f>SUM(INDEX(Tabela1[[Cross-country skiing - Men''s Classical]:[Cross-country skiing - Women''s Team Sprint]],MATCH(Table92[[#This Row],[Country]],Tabela1[Country], 0),0))</f>
        <v>0</v>
      </c>
      <c r="BC96" s="6">
        <f>SUM(INDEX(Tabela1[[Curling - Men''s Tournament]:[Curling - Mixed Doubles]],MATCH(Table92[[#This Row],[Country]],Tabela1[Country], 0),0))</f>
        <v>0</v>
      </c>
      <c r="BD96" s="6">
        <f>SUM(INDEX(Tabela1[[Figure Skating - Men''s Singles]:[Figure Skating - Team Event]],MATCH(Table92[[#This Row],[Country]],Tabela1[Country], 0),0))</f>
        <v>0</v>
      </c>
      <c r="BE96" s="6">
        <f>SUM(INDEX(Tabela1[[Freestyle Skiing - Men''s Aerials]:[Freestyle Skiing - Women''s Slopestyle]],MATCH(Table92[[#This Row],[Country]],Tabela1[Country], 0),0))</f>
        <v>0</v>
      </c>
      <c r="BF96" s="6">
        <f>SUM(INDEX(Tabela1[[Ice Hockey - Men''s Tournament]:[Ice Hockey - Women''s Tournament]],MATCH(Table92[[#This Row],[Country]],Tabela1[Country], 0),0))</f>
        <v>0</v>
      </c>
      <c r="BG96" s="6">
        <f>SUM(INDEX(Tabela1[[Luge - Men''s Singles]:[Luge - Mixed Team Relay]],MATCH(Table92[[#This Row],[Country]],Tabela1[Country], 0),0))</f>
        <v>0</v>
      </c>
      <c r="BH96" s="6">
        <f>SUM(INDEX(Tabela1[[Nordic Combined - Men''s Individual]:[Nordic Combined - Men''s Team Sprint Large Hill]],MATCH(Table92[[#This Row],[Country]],Tabela1[Country], 0),0))</f>
        <v>0</v>
      </c>
      <c r="BI96" s="6">
        <f>SUM(INDEX(Tabela1[[Short track speed skating - Men''s 500m]:[Short track speed skating - Mixed 2000m Relay]],MATCH(Table92[[#This Row],[Country]],Tabela1[Country], 0),0))</f>
        <v>0</v>
      </c>
      <c r="BJ96" s="6">
        <f>SUM(INDEX(Tabela1[[Skeleton - Men''s Individual]:[Skeleton - Mixed Team]],MATCH(Table92[[#This Row],[Country]],Tabela1[Country], 0),0))</f>
        <v>0</v>
      </c>
      <c r="BK96" s="6">
        <f>SUM(INDEX(Tabela1[[Ski Jumping - Men''s Individual Large Hill]:[Ski Jumping - Mixed Team Normal Hill]],MATCH(Table92[[#This Row],[Country]],Tabela1[Country], 0),0))</f>
        <v>0</v>
      </c>
      <c r="BL96" s="6">
        <f>SUM(INDEX(Tabela1[[Ski Mountaineering - Men''s Sprint]:[Ski Mountaineering - Mixed Relay]],MATCH(Table92[[#This Row],[Country]],Tabela1[Country], 0),0))</f>
        <v>0</v>
      </c>
      <c r="BM96" s="6">
        <f>SUM(INDEX(Tabela1[[Snowboarding - Men''s Big Air]:[Snowboarding - Mixed Team Snowboard Cross]],MATCH(Table92[[#This Row],[Country]],Tabela1[Country], 0),0))</f>
        <v>0</v>
      </c>
      <c r="BN96" s="6">
        <f>SUM(INDEX(Tabela1[[Speed Skating - Men''s 500m]:[Speed Skating - Women''s Team Pursuit]],MATCH(Table92[[#This Row],[Country]],Tabela1[Country], 0),0))</f>
        <v>0</v>
      </c>
      <c r="BO96" s="6" t="str">
        <f>SUBSTITUTE(INDEX(Table92[[#Headers],[Archery Quotas]:[Speed Skating Quotas]], MATCH(MAX(Table92[[#This Row],[Archery Quotas]:[Speed Skating Quotas]]), Table92[[#This Row],[Archery Quotas]:[Speed Skating Quotas]], 0))," Quotas","")</f>
        <v>Artistic Gymnastics</v>
      </c>
      <c r="BP96" s="6">
        <f>SUM(Table92[[#This Row],[Summer Sports]:[Winter Sports]])</f>
        <v>1</v>
      </c>
      <c r="BQ96" s="6">
        <f>COUNTIF(Table92[[#This Row],[Archery Quotas]:[Wrestling Quotas]],"&lt;&gt;0")</f>
        <v>1</v>
      </c>
      <c r="BR96" s="6">
        <f>COUNTIF(Table92[[#This Row],[Alpine Skiing Quotas]:[Speed Skating Quotas]],"&lt;&gt;0")</f>
        <v>0</v>
      </c>
      <c r="BS96" s="3" t="s">
        <v>671</v>
      </c>
    </row>
    <row r="97" spans="1:71" x14ac:dyDescent="0.3">
      <c r="A97" s="6" t="s">
        <v>480</v>
      </c>
      <c r="B97" t="e" vm="90">
        <f>IF(ISBLANK(Table92[[#This Row],[Flag Link]]), "", _xlfn.IMAGE(Table92[[#This Row],[Flag Link]],1,1))</f>
        <v>#VALUE!</v>
      </c>
      <c r="C97" s="6">
        <f>SUM(Table92[[#This Row],[Archery Quotas]:[Speed Skating Quotas]])</f>
        <v>4</v>
      </c>
      <c r="D97" s="6">
        <f>SUM(INDEX(Tabela1[[Archery - Men''s Individual Recurve]:[Archery - Mixed Team Recurve]],MATCH(Table92[[#This Row],[Country]],Tabela1[Country], 0),0))</f>
        <v>0</v>
      </c>
      <c r="E97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97" s="6">
        <f>SUM(INDEX(Tabela1[[Artistic Swimming - Women''s Duet]:[Artistic Swimming - Women''s Team]],MATCH(Table92[[#This Row],[Country]],Tabela1[Country], 0),0))</f>
        <v>0</v>
      </c>
      <c r="G97" s="6">
        <f>SUM(INDEX(Tabela1[[Athletics - Men''s 100m]:[Athletics - Women''s Heptathlon]],MATCH(Table92[[#This Row],[Country]],Tabela1[Country], 0),0))</f>
        <v>0</v>
      </c>
      <c r="H97" s="6">
        <f>SUM(INDEX(Tabela1[[Badminton - Men''s Singles]:[Badminton - Mixed Doubles]],MATCH(Table92[[#This Row],[Country]],Tabela1[Country], 0),0))</f>
        <v>0</v>
      </c>
      <c r="I97" s="6">
        <f>SUM(INDEX(Tabela1[[Basketball - Men''s Tournament]:[Basketball - Women''s Tournament]],MATCH(Table92[[#This Row],[Country]],Tabela1[Country], 0),0))</f>
        <v>0</v>
      </c>
      <c r="J97" s="6">
        <f>SUM(INDEX(Tabela1[[3x3 Basketball - Men''s Tournament]:[3x3 Basketball - Women''s Tournament]],MATCH(Table92[[#This Row],[Country]],Tabela1[Country], 0),0))</f>
        <v>0</v>
      </c>
      <c r="K97" s="6">
        <f>SUM(INDEX(Tabela1[[Beach Volleyball - Men''s Tournament]:[Beach Volleyball - Women''s Tournament]],MATCH(Table92[[#This Row],[Country]],Tabela1[Country], 0),0))</f>
        <v>0</v>
      </c>
      <c r="L97" s="6">
        <f>SUM(INDEX(Tabela1[[Boxing - Men''s 51kg]:[Boxing - Women''s 75kg]],MATCH(Table92[[#This Row],[Country]],Tabela1[Country], 0),0))</f>
        <v>0</v>
      </c>
      <c r="M97" s="6">
        <f>SUM(INDEX(Tabela1[[Breaking - Men''s Individual]:[Breaking - Women''s Individual]],MATCH(Table92[[#This Row],[Country]],Tabela1[Country], 0),0))</f>
        <v>0</v>
      </c>
      <c r="N97" s="6">
        <f>SUM(INDEX(Tabela1[[Canoeing - Men''s C1 Slalom]:[Canoeing - Women''s Kayak Cross Slalom]],MATCH(Table92[[#This Row],[Country]],Tabela1[Country], 0),0))</f>
        <v>0</v>
      </c>
      <c r="O97" s="6">
        <f>SUM(INDEX(Tabela1[[Canoeing - Women''s C1 200m]:[Canoeing - Women''s K4 500m]],MATCH(Table92[[#This Row],[Country]],Tabela1[Country], 0),0))</f>
        <v>0</v>
      </c>
      <c r="P97" s="6">
        <f>SUM(INDEX(Tabela1[[Cycling - Men''s BMX Freestyle]:[Cycling - Women''s BMX Freestyle]],MATCH(Table92[[#This Row],[Country]],Tabela1[Country], 0),0))</f>
        <v>0</v>
      </c>
      <c r="Q97" s="6">
        <f>SUM(INDEX(Tabela1[[Cycling - Men''s BMX Racing]:[Cycling - Women''s BMX Racing]],MATCH(Table92[[#This Row],[Country]],Tabela1[Country], 0),0))</f>
        <v>0</v>
      </c>
      <c r="R97" s="6">
        <f>SUM(INDEX(Tabela1[[Cycling - Men''s Cross-Country]:[Cycling - Women''s Cross-Country]],MATCH(Table92[[#This Row],[Country]],Tabela1[Country], 0),0))</f>
        <v>0</v>
      </c>
      <c r="S97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97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97" s="6">
        <f>SUM(INDEX(Tabela1[[Diving - Men''s Springboard]:[Diving - Women''s Synchronized Platform]],MATCH(Table92[[#This Row],[Country]],Tabela1[Country], 0),0))</f>
        <v>0</v>
      </c>
      <c r="V97" s="6">
        <f>SUM(INDEX(Tabela1[[Equestrian - Individual Dressage]:[Equestrian - Team Dressage]],MATCH(Table92[[#This Row],[Country]],Tabela1[Country], 0),0))</f>
        <v>0</v>
      </c>
      <c r="W97" s="6">
        <f>SUM(INDEX(Tabela1[[Equestrian - Individual Eventing]:[Equestrian - Team Eventing]],MATCH(Table92[[#This Row],[Country]],Tabela1[Country], 0),0))</f>
        <v>0</v>
      </c>
      <c r="X97" s="6">
        <f>SUM(INDEX(Tabela1[[Equestrian - Individual Jumping]:[Equestrian - Team Jumping]],MATCH(Table92[[#This Row],[Country]],Tabela1[Country], 0),0))</f>
        <v>0</v>
      </c>
      <c r="Y97" s="6">
        <f>SUM(INDEX(Tabela1[[Fencing - Men''s Épée]:[Fencing - Women''s Team Sabre]],MATCH(Table92[[#This Row],[Country]],Tabela1[Country], 0),0))</f>
        <v>0</v>
      </c>
      <c r="Z97" s="6">
        <f>SUM(INDEX(Tabela1[[Field Hockey - Men''s Tournament]:[Field Hockey - Women''s Tournament]],MATCH(Table92[[#This Row],[Country]],Tabela1[Country], 0),0))</f>
        <v>0</v>
      </c>
      <c r="AA97" s="6">
        <f>SUM(INDEX(Tabela1[[Football - Men''s Tournament]:[Football - Women''s Tournament]],MATCH(Table92[[#This Row],[Country]],Tabela1[Country], 0),0))</f>
        <v>0</v>
      </c>
      <c r="AB97" s="6">
        <f>SUM(INDEX(Tabela1[[Golf - Men''s Individual]:[Golf - Women''s Individual]],MATCH(Table92[[#This Row],[Country]],Tabela1[Country], 0),0))</f>
        <v>0</v>
      </c>
      <c r="AC97" s="6">
        <f>SUM(INDEX(Tabela1[[Handball - Men''s Tournament]:[Handball - Women''s Tournament]],MATCH(Table92[[#This Row],[Country]],Tabela1[Country], 0),0))</f>
        <v>0</v>
      </c>
      <c r="AD97" s="6">
        <f>SUM(INDEX(Tabela1[[Judo - Men''s 60kg]:[Judo - Mixed Team]],MATCH(Table92[[#This Row],[Country]],Tabela1[Country], 0),0))</f>
        <v>0</v>
      </c>
      <c r="AE97" s="6">
        <f>SUM(INDEX(Tabela1[[Swimming - Men''s 10km Open Water]:[Swimming - Women''s 10km Open Water]],MATCH(Table92[[#This Row],[Country]],Tabela1[Country], 0),0))</f>
        <v>0</v>
      </c>
      <c r="AF97" s="6">
        <f>SUM(INDEX(Tabela1[[Modern Pentathlon - Men''s Individual]:[Modern Pentathlon - Women''s Individual]],MATCH(Table92[[#This Row],[Country]],Tabela1[Country], 0),0))</f>
        <v>0</v>
      </c>
      <c r="AG97" s="6">
        <f>SUM(INDEX(Tabela1[[Rhythmic Gymnastics - Women''s Individual All-Around]:[Rhythmic Gymnastics - Women''s Group All-Around]],MATCH(Table92[[#This Row],[Country]],Tabela1[Country], 0),0))</f>
        <v>0</v>
      </c>
      <c r="AH97" s="6">
        <f>SUM(INDEX(Tabela1[[Rowing - Men''s Single Sculls]:[Rowing - Women''s Lwt. Double Sculls]],MATCH(Table92[[#This Row],[Country]],Tabela1[Country], 0),0))</f>
        <v>0</v>
      </c>
      <c r="AI97" s="6">
        <f>SUM(INDEX(Tabela1[[Rugby Sevens - Men''s Tournament]:[Rugby Sevens - Women''s Tournament]],MATCH(Table92[[#This Row],[Country]],Tabela1[Country], 0),0))</f>
        <v>0</v>
      </c>
      <c r="AJ97" s="6">
        <f>SUM(INDEX(Tabela1[[Sailing - Mixed 470]:[Sailing - Mixed Nacra 17]],MATCH(Table92[[#This Row],[Country]],Tabela1[Country], 0),0))</f>
        <v>0</v>
      </c>
      <c r="AK97" s="6">
        <f>SUM(INDEX(Tabela1[[Shooting - Men''s 10m Air Pistol]:[Shooting - Women''s Trap]],MATCH(Table92[[#This Row],[Country]],Tabela1[Country], 0),0))</f>
        <v>0</v>
      </c>
      <c r="AL97" s="6">
        <f>SUM(INDEX(Tabela1[[Skateboarding - Men''s Park]:[Skateboarding - Women''s Street]],MATCH(Table92[[#This Row],[Country]],Tabela1[Country], 0),0))</f>
        <v>0</v>
      </c>
      <c r="AM97" s="6">
        <f>SUM(INDEX(Tabela1[[Sport Climbing - Men''s Boulder and Lead]:[Sport Climbing - Women''s Speed]],MATCH(Table92[[#This Row],[Country]],Tabela1[Country], 0),0))</f>
        <v>0</v>
      </c>
      <c r="AN97" s="6">
        <f>SUM(INDEX(Tabela1[[Surfing - Men''s Shortboard]:[Surfing - Women''s Shortboard]],MATCH(Table92[[#This Row],[Country]],Tabela1[Country], 0),0))</f>
        <v>0</v>
      </c>
      <c r="AO97" s="6">
        <f>SUM(INDEX(Tabela1[[Swimming - Men''s 50m Freestyle]:[Swimming - Mixed 4x100m Medley Relay]],MATCH(Table92[[#This Row],[Country]],Tabela1[Country], 0),0))</f>
        <v>2</v>
      </c>
      <c r="AP97" s="6">
        <f>SUM(INDEX(Tabela1[[Table Tennis - Men''s Singles]:[Table Tennis - Mixed Doubles]],MATCH(Table92[[#This Row],[Country]],Tabela1[Country], 0),0))</f>
        <v>0</v>
      </c>
      <c r="AQ97" s="6">
        <f>SUM(INDEX(Tabela1[[Taekwondo - Men''s 58kg]:[Taekwondo - Women''s +67kg]],MATCH(Table92[[#This Row],[Country]],Tabela1[Country], 0),0))</f>
        <v>0</v>
      </c>
      <c r="AR97" s="6">
        <f>SUM(INDEX(Tabela1[[Tennis - Men''s Singles]:[Tennis - Mixed Doubles]],MATCH(Table92[[#This Row],[Country]],Tabela1[Country], 0),0))</f>
        <v>0</v>
      </c>
      <c r="AS97" s="6">
        <f>SUM(INDEX(Tabela1[[Gymnastics - Men''s Trampoline]:[Gymnastics - Women''s Trampoline]],MATCH(Table92[[#This Row],[Country]],Tabela1[Country], 0),0))</f>
        <v>0</v>
      </c>
      <c r="AT97" s="6">
        <f>SUM(INDEX(Tabela1[[Triathlon - Men''s Individual]:[Triathlon - Mixed Relay]],MATCH(Table92[[#This Row],[Country]],Tabela1[Country], 0),0))</f>
        <v>0</v>
      </c>
      <c r="AU97" s="6">
        <f>SUM(INDEX(Tabela1[[Volleyball - Men''s Tournament]:[Volleyball - Women''s Tournament]],MATCH(Table92[[#This Row],[Country]],Tabela1[Country], 0),0))</f>
        <v>0</v>
      </c>
      <c r="AV97" s="6">
        <f>SUM(INDEX(Tabela1[[Water Polo - Men''s Tournament]:[Water Polo - Women''s Tournament]],MATCH(Table92[[#This Row],[Country]],Tabela1[Country], 0),0))</f>
        <v>0</v>
      </c>
      <c r="AW97" s="6">
        <f>SUM(INDEX(Tabela1[[Weightlifting - Men''s 61kg]:[Weightlifting - Women''s +81kg]],MATCH(Table92[[#This Row],[Country]],Tabela1[Country], 0),0))</f>
        <v>0</v>
      </c>
      <c r="AX97" s="6">
        <f>SUM(INDEX(Tabela1[[Wrestling - Men''s Freestyle 57kg]:[Wrestling - Women''s Freestyle 76kg]],MATCH(Table92[[#This Row],[Country]],Tabela1[Country], 0),0))</f>
        <v>0</v>
      </c>
      <c r="AY97" s="6">
        <f>SUM(INDEX(Tabela1[[Alpine Skiing - Men''s Downhill]:[Alpine Skiing - Women''s Team Combined]],MATCH(Table92[[#This Row],[Country]],Tabela1[Country], 0),0))</f>
        <v>2</v>
      </c>
      <c r="AZ97" s="6">
        <f>SUM(INDEX(Tabela1[[Biathlon - Men''s Individual]:[Biathlon - Mixed Relay]],MATCH(Table92[[#This Row],[Country]],Tabela1[Country], 0),0))</f>
        <v>0</v>
      </c>
      <c r="BA97" s="6">
        <f>SUM(INDEX(Tabela1[[Bobsleigh - Women''s Monobob]:[Bobsleigh - Men''s Four]],MATCH(Table92[[#This Row],[Country]],Tabela1[Country], 0),0))</f>
        <v>0</v>
      </c>
      <c r="BB97" s="6">
        <f>SUM(INDEX(Tabela1[[Cross-country skiing - Men''s Classical]:[Cross-country skiing - Women''s Team Sprint]],MATCH(Table92[[#This Row],[Country]],Tabela1[Country], 0),0))</f>
        <v>0</v>
      </c>
      <c r="BC97" s="6">
        <f>SUM(INDEX(Tabela1[[Curling - Men''s Tournament]:[Curling - Mixed Doubles]],MATCH(Table92[[#This Row],[Country]],Tabela1[Country], 0),0))</f>
        <v>0</v>
      </c>
      <c r="BD97" s="6">
        <f>SUM(INDEX(Tabela1[[Figure Skating - Men''s Singles]:[Figure Skating - Team Event]],MATCH(Table92[[#This Row],[Country]],Tabela1[Country], 0),0))</f>
        <v>0</v>
      </c>
      <c r="BE97" s="6">
        <f>SUM(INDEX(Tabela1[[Freestyle Skiing - Men''s Aerials]:[Freestyle Skiing - Women''s Slopestyle]],MATCH(Table92[[#This Row],[Country]],Tabela1[Country], 0),0))</f>
        <v>0</v>
      </c>
      <c r="BF97" s="6">
        <f>SUM(INDEX(Tabela1[[Ice Hockey - Men''s Tournament]:[Ice Hockey - Women''s Tournament]],MATCH(Table92[[#This Row],[Country]],Tabela1[Country], 0),0))</f>
        <v>0</v>
      </c>
      <c r="BG97" s="6">
        <f>SUM(INDEX(Tabela1[[Luge - Men''s Singles]:[Luge - Mixed Team Relay]],MATCH(Table92[[#This Row],[Country]],Tabela1[Country], 0),0))</f>
        <v>0</v>
      </c>
      <c r="BH97" s="6">
        <f>SUM(INDEX(Tabela1[[Nordic Combined - Men''s Individual]:[Nordic Combined - Men''s Team Sprint Large Hill]],MATCH(Table92[[#This Row],[Country]],Tabela1[Country], 0),0))</f>
        <v>0</v>
      </c>
      <c r="BI97" s="6">
        <f>SUM(INDEX(Tabela1[[Short track speed skating - Men''s 500m]:[Short track speed skating - Mixed 2000m Relay]],MATCH(Table92[[#This Row],[Country]],Tabela1[Country], 0),0))</f>
        <v>0</v>
      </c>
      <c r="BJ97" s="6">
        <f>SUM(INDEX(Tabela1[[Skeleton - Men''s Individual]:[Skeleton - Mixed Team]],MATCH(Table92[[#This Row],[Country]],Tabela1[Country], 0),0))</f>
        <v>0</v>
      </c>
      <c r="BK97" s="6">
        <f>SUM(INDEX(Tabela1[[Ski Jumping - Men''s Individual Large Hill]:[Ski Jumping - Mixed Team Normal Hill]],MATCH(Table92[[#This Row],[Country]],Tabela1[Country], 0),0))</f>
        <v>0</v>
      </c>
      <c r="BL97" s="6">
        <f>SUM(INDEX(Tabela1[[Ski Mountaineering - Men''s Sprint]:[Ski Mountaineering - Mixed Relay]],MATCH(Table92[[#This Row],[Country]],Tabela1[Country], 0),0))</f>
        <v>0</v>
      </c>
      <c r="BM97" s="6">
        <f>SUM(INDEX(Tabela1[[Snowboarding - Men''s Big Air]:[Snowboarding - Mixed Team Snowboard Cross]],MATCH(Table92[[#This Row],[Country]],Tabela1[Country], 0),0))</f>
        <v>0</v>
      </c>
      <c r="BN97" s="6">
        <f>SUM(INDEX(Tabela1[[Speed Skating - Men''s 500m]:[Speed Skating - Women''s Team Pursuit]],MATCH(Table92[[#This Row],[Country]],Tabela1[Country], 0),0))</f>
        <v>0</v>
      </c>
      <c r="BO97" s="6" t="str">
        <f>SUBSTITUTE(INDEX(Table92[[#Headers],[Archery Quotas]:[Speed Skating Quotas]], MATCH(MAX(Table92[[#This Row],[Archery Quotas]:[Speed Skating Quotas]]), Table92[[#This Row],[Archery Quotas]:[Speed Skating Quotas]], 0))," Quotas","")</f>
        <v>Swimming</v>
      </c>
      <c r="BP97" s="6">
        <f>SUM(Table92[[#This Row],[Summer Sports]:[Winter Sports]])</f>
        <v>2</v>
      </c>
      <c r="BQ97" s="6">
        <f>COUNTIF(Table92[[#This Row],[Archery Quotas]:[Wrestling Quotas]],"&lt;&gt;0")</f>
        <v>1</v>
      </c>
      <c r="BR97" s="6">
        <f>COUNTIF(Table92[[#This Row],[Alpine Skiing Quotas]:[Speed Skating Quotas]],"&lt;&gt;0")</f>
        <v>1</v>
      </c>
      <c r="BS97" s="3" t="s">
        <v>481</v>
      </c>
    </row>
    <row r="98" spans="1:71" x14ac:dyDescent="0.3">
      <c r="A98" s="6" t="s">
        <v>410</v>
      </c>
      <c r="B98" t="e" vm="93">
        <f>IF(ISBLANK(Table92[[#This Row],[Flag Link]]), "", _xlfn.IMAGE(Table92[[#This Row],[Flag Link]],1,1))</f>
        <v>#VALUE!</v>
      </c>
      <c r="C98" s="6">
        <f>SUM(Table92[[#This Row],[Archery Quotas]:[Speed Skating Quotas]])</f>
        <v>4</v>
      </c>
      <c r="D98" s="6">
        <f>SUM(INDEX(Tabela1[[Archery - Men''s Individual Recurve]:[Archery - Mixed Team Recurve]],MATCH(Table92[[#This Row],[Country]],Tabela1[Country], 0),0))</f>
        <v>0</v>
      </c>
      <c r="E98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98" s="6">
        <f>SUM(INDEX(Tabela1[[Artistic Swimming - Women''s Duet]:[Artistic Swimming - Women''s Team]],MATCH(Table92[[#This Row],[Country]],Tabela1[Country], 0),0))</f>
        <v>0</v>
      </c>
      <c r="G98" s="6">
        <f>SUM(INDEX(Tabela1[[Athletics - Men''s 100m]:[Athletics - Women''s Heptathlon]],MATCH(Table92[[#This Row],[Country]],Tabela1[Country], 0),0))</f>
        <v>0</v>
      </c>
      <c r="H98" s="6">
        <f>SUM(INDEX(Tabela1[[Badminton - Men''s Singles]:[Badminton - Mixed Doubles]],MATCH(Table92[[#This Row],[Country]],Tabela1[Country], 0),0))</f>
        <v>0</v>
      </c>
      <c r="I98" s="6">
        <f>SUM(INDEX(Tabela1[[Basketball - Men''s Tournament]:[Basketball - Women''s Tournament]],MATCH(Table92[[#This Row],[Country]],Tabela1[Country], 0),0))</f>
        <v>0</v>
      </c>
      <c r="J98" s="6">
        <f>SUM(INDEX(Tabela1[[3x3 Basketball - Men''s Tournament]:[3x3 Basketball - Women''s Tournament]],MATCH(Table92[[#This Row],[Country]],Tabela1[Country], 0),0))</f>
        <v>0</v>
      </c>
      <c r="K98" s="6">
        <f>SUM(INDEX(Tabela1[[Beach Volleyball - Men''s Tournament]:[Beach Volleyball - Women''s Tournament]],MATCH(Table92[[#This Row],[Country]],Tabela1[Country], 0),0))</f>
        <v>0</v>
      </c>
      <c r="L98" s="6">
        <f>SUM(INDEX(Tabela1[[Boxing - Men''s 51kg]:[Boxing - Women''s 75kg]],MATCH(Table92[[#This Row],[Country]],Tabela1[Country], 0),0))</f>
        <v>0</v>
      </c>
      <c r="M98" s="6">
        <f>SUM(INDEX(Tabela1[[Breaking - Men''s Individual]:[Breaking - Women''s Individual]],MATCH(Table92[[#This Row],[Country]],Tabela1[Country], 0),0))</f>
        <v>0</v>
      </c>
      <c r="N98" s="6">
        <f>SUM(INDEX(Tabela1[[Canoeing - Men''s C1 Slalom]:[Canoeing - Women''s Kayak Cross Slalom]],MATCH(Table92[[#This Row],[Country]],Tabela1[Country], 0),0))</f>
        <v>0</v>
      </c>
      <c r="O98" s="6">
        <f>SUM(INDEX(Tabela1[[Canoeing - Women''s C1 200m]:[Canoeing - Women''s K4 500m]],MATCH(Table92[[#This Row],[Country]],Tabela1[Country], 0),0))</f>
        <v>0</v>
      </c>
      <c r="P98" s="6">
        <f>SUM(INDEX(Tabela1[[Cycling - Men''s BMX Freestyle]:[Cycling - Women''s BMX Freestyle]],MATCH(Table92[[#This Row],[Country]],Tabela1[Country], 0),0))</f>
        <v>0</v>
      </c>
      <c r="Q98" s="6">
        <f>SUM(INDEX(Tabela1[[Cycling - Men''s BMX Racing]:[Cycling - Women''s BMX Racing]],MATCH(Table92[[#This Row],[Country]],Tabela1[Country], 0),0))</f>
        <v>0</v>
      </c>
      <c r="R98" s="6">
        <f>SUM(INDEX(Tabela1[[Cycling - Men''s Cross-Country]:[Cycling - Women''s Cross-Country]],MATCH(Table92[[#This Row],[Country]],Tabela1[Country], 0),0))</f>
        <v>0</v>
      </c>
      <c r="S98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98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98" s="6">
        <f>SUM(INDEX(Tabela1[[Diving - Men''s Springboard]:[Diving - Women''s Synchronized Platform]],MATCH(Table92[[#This Row],[Country]],Tabela1[Country], 0),0))</f>
        <v>0</v>
      </c>
      <c r="V98" s="6">
        <f>SUM(INDEX(Tabela1[[Equestrian - Individual Dressage]:[Equestrian - Team Dressage]],MATCH(Table92[[#This Row],[Country]],Tabela1[Country], 0),0))</f>
        <v>0</v>
      </c>
      <c r="W98" s="6">
        <f>SUM(INDEX(Tabela1[[Equestrian - Individual Eventing]:[Equestrian - Team Eventing]],MATCH(Table92[[#This Row],[Country]],Tabela1[Country], 0),0))</f>
        <v>0</v>
      </c>
      <c r="X98" s="6">
        <f>SUM(INDEX(Tabela1[[Equestrian - Individual Jumping]:[Equestrian - Team Jumping]],MATCH(Table92[[#This Row],[Country]],Tabela1[Country], 0),0))</f>
        <v>0</v>
      </c>
      <c r="Y98" s="6">
        <f>SUM(INDEX(Tabela1[[Fencing - Men''s Épée]:[Fencing - Women''s Team Sabre]],MATCH(Table92[[#This Row],[Country]],Tabela1[Country], 0),0))</f>
        <v>0</v>
      </c>
      <c r="Z98" s="6">
        <f>SUM(INDEX(Tabela1[[Field Hockey - Men''s Tournament]:[Field Hockey - Women''s Tournament]],MATCH(Table92[[#This Row],[Country]],Tabela1[Country], 0),0))</f>
        <v>0</v>
      </c>
      <c r="AA98" s="6">
        <f>SUM(INDEX(Tabela1[[Football - Men''s Tournament]:[Football - Women''s Tournament]],MATCH(Table92[[#This Row],[Country]],Tabela1[Country], 0),0))</f>
        <v>0</v>
      </c>
      <c r="AB98" s="6">
        <f>SUM(INDEX(Tabela1[[Golf - Men''s Individual]:[Golf - Women''s Individual]],MATCH(Table92[[#This Row],[Country]],Tabela1[Country], 0),0))</f>
        <v>0</v>
      </c>
      <c r="AC98" s="6">
        <f>SUM(INDEX(Tabela1[[Handball - Men''s Tournament]:[Handball - Women''s Tournament]],MATCH(Table92[[#This Row],[Country]],Tabela1[Country], 0),0))</f>
        <v>0</v>
      </c>
      <c r="AD98" s="6">
        <f>SUM(INDEX(Tabela1[[Judo - Men''s 60kg]:[Judo - Mixed Team]],MATCH(Table92[[#This Row],[Country]],Tabela1[Country], 0),0))</f>
        <v>0</v>
      </c>
      <c r="AE98" s="6">
        <f>SUM(INDEX(Tabela1[[Swimming - Men''s 10km Open Water]:[Swimming - Women''s 10km Open Water]],MATCH(Table92[[#This Row],[Country]],Tabela1[Country], 0),0))</f>
        <v>0</v>
      </c>
      <c r="AF98" s="6">
        <f>SUM(INDEX(Tabela1[[Modern Pentathlon - Men''s Individual]:[Modern Pentathlon - Women''s Individual]],MATCH(Table92[[#This Row],[Country]],Tabela1[Country], 0),0))</f>
        <v>0</v>
      </c>
      <c r="AG98" s="6">
        <f>SUM(INDEX(Tabela1[[Rhythmic Gymnastics - Women''s Individual All-Around]:[Rhythmic Gymnastics - Women''s Group All-Around]],MATCH(Table92[[#This Row],[Country]],Tabela1[Country], 0),0))</f>
        <v>0</v>
      </c>
      <c r="AH98" s="6">
        <f>SUM(INDEX(Tabela1[[Rowing - Men''s Single Sculls]:[Rowing - Women''s Lwt. Double Sculls]],MATCH(Table92[[#This Row],[Country]],Tabela1[Country], 0),0))</f>
        <v>0</v>
      </c>
      <c r="AI98" s="6">
        <f>SUM(INDEX(Tabela1[[Rugby Sevens - Men''s Tournament]:[Rugby Sevens - Women''s Tournament]],MATCH(Table92[[#This Row],[Country]],Tabela1[Country], 0),0))</f>
        <v>1</v>
      </c>
      <c r="AJ98" s="6">
        <f>SUM(INDEX(Tabela1[[Sailing - Mixed 470]:[Sailing - Mixed Nacra 17]],MATCH(Table92[[#This Row],[Country]],Tabela1[Country], 0),0))</f>
        <v>1</v>
      </c>
      <c r="AK98" s="6">
        <f>SUM(INDEX(Tabela1[[Shooting - Men''s 10m Air Pistol]:[Shooting - Women''s Trap]],MATCH(Table92[[#This Row],[Country]],Tabela1[Country], 0),0))</f>
        <v>0</v>
      </c>
      <c r="AL98" s="6">
        <f>SUM(INDEX(Tabela1[[Skateboarding - Men''s Park]:[Skateboarding - Women''s Street]],MATCH(Table92[[#This Row],[Country]],Tabela1[Country], 0),0))</f>
        <v>0</v>
      </c>
      <c r="AM98" s="6">
        <f>SUM(INDEX(Tabela1[[Sport Climbing - Men''s Boulder and Lead]:[Sport Climbing - Women''s Speed]],MATCH(Table92[[#This Row],[Country]],Tabela1[Country], 0),0))</f>
        <v>0</v>
      </c>
      <c r="AN98" s="6">
        <f>SUM(INDEX(Tabela1[[Surfing - Men''s Shortboard]:[Surfing - Women''s Shortboard]],MATCH(Table92[[#This Row],[Country]],Tabela1[Country], 0),0))</f>
        <v>0</v>
      </c>
      <c r="AO98" s="6">
        <f>SUM(INDEX(Tabela1[[Swimming - Men''s 50m Freestyle]:[Swimming - Mixed 4x100m Medley Relay]],MATCH(Table92[[#This Row],[Country]],Tabela1[Country], 0),0))</f>
        <v>0</v>
      </c>
      <c r="AP98" s="6">
        <f>SUM(INDEX(Tabela1[[Table Tennis - Men''s Singles]:[Table Tennis - Mixed Doubles]],MATCH(Table92[[#This Row],[Country]],Tabela1[Country], 0),0))</f>
        <v>0</v>
      </c>
      <c r="AQ98" s="6">
        <f>SUM(INDEX(Tabela1[[Taekwondo - Men''s 58kg]:[Taekwondo - Women''s +67kg]],MATCH(Table92[[#This Row],[Country]],Tabela1[Country], 0),0))</f>
        <v>0</v>
      </c>
      <c r="AR98" s="6">
        <f>SUM(INDEX(Tabela1[[Tennis - Men''s Singles]:[Tennis - Mixed Doubles]],MATCH(Table92[[#This Row],[Country]],Tabela1[Country], 0),0))</f>
        <v>0</v>
      </c>
      <c r="AS98" s="6">
        <f>SUM(INDEX(Tabela1[[Gymnastics - Men''s Trampoline]:[Gymnastics - Women''s Trampoline]],MATCH(Table92[[#This Row],[Country]],Tabela1[Country], 0),0))</f>
        <v>0</v>
      </c>
      <c r="AT98" s="6">
        <f>SUM(INDEX(Tabela1[[Triathlon - Men''s Individual]:[Triathlon - Mixed Relay]],MATCH(Table92[[#This Row],[Country]],Tabela1[Country], 0),0))</f>
        <v>0</v>
      </c>
      <c r="AU98" s="6">
        <f>SUM(INDEX(Tabela1[[Volleyball - Men''s Tournament]:[Volleyball - Women''s Tournament]],MATCH(Table92[[#This Row],[Country]],Tabela1[Country], 0),0))</f>
        <v>0</v>
      </c>
      <c r="AV98" s="6">
        <f>SUM(INDEX(Tabela1[[Water Polo - Men''s Tournament]:[Water Polo - Women''s Tournament]],MATCH(Table92[[#This Row],[Country]],Tabela1[Country], 0),0))</f>
        <v>0</v>
      </c>
      <c r="AW98" s="6">
        <f>SUM(INDEX(Tabela1[[Weightlifting - Men''s 61kg]:[Weightlifting - Women''s +81kg]],MATCH(Table92[[#This Row],[Country]],Tabela1[Country], 0),0))</f>
        <v>0</v>
      </c>
      <c r="AX98" s="6">
        <f>SUM(INDEX(Tabela1[[Wrestling - Men''s Freestyle 57kg]:[Wrestling - Women''s Freestyle 76kg]],MATCH(Table92[[#This Row],[Country]],Tabela1[Country], 0),0))</f>
        <v>0</v>
      </c>
      <c r="AY98" s="6">
        <f>SUM(INDEX(Tabela1[[Alpine Skiing - Men''s Downhill]:[Alpine Skiing - Women''s Team Combined]],MATCH(Table92[[#This Row],[Country]],Tabela1[Country], 0),0))</f>
        <v>2</v>
      </c>
      <c r="AZ98" s="6">
        <f>SUM(INDEX(Tabela1[[Biathlon - Men''s Individual]:[Biathlon - Mixed Relay]],MATCH(Table92[[#This Row],[Country]],Tabela1[Country], 0),0))</f>
        <v>0</v>
      </c>
      <c r="BA98" s="6">
        <f>SUM(INDEX(Tabela1[[Bobsleigh - Women''s Monobob]:[Bobsleigh - Men''s Four]],MATCH(Table92[[#This Row],[Country]],Tabela1[Country], 0),0))</f>
        <v>0</v>
      </c>
      <c r="BB98" s="6">
        <f>SUM(INDEX(Tabela1[[Cross-country skiing - Men''s Classical]:[Cross-country skiing - Women''s Team Sprint]],MATCH(Table92[[#This Row],[Country]],Tabela1[Country], 0),0))</f>
        <v>0</v>
      </c>
      <c r="BC98" s="6">
        <f>SUM(INDEX(Tabela1[[Curling - Men''s Tournament]:[Curling - Mixed Doubles]],MATCH(Table92[[#This Row],[Country]],Tabela1[Country], 0),0))</f>
        <v>0</v>
      </c>
      <c r="BD98" s="6">
        <f>SUM(INDEX(Tabela1[[Figure Skating - Men''s Singles]:[Figure Skating - Team Event]],MATCH(Table92[[#This Row],[Country]],Tabela1[Country], 0),0))</f>
        <v>0</v>
      </c>
      <c r="BE98" s="6">
        <f>SUM(INDEX(Tabela1[[Freestyle Skiing - Men''s Aerials]:[Freestyle Skiing - Women''s Slopestyle]],MATCH(Table92[[#This Row],[Country]],Tabela1[Country], 0),0))</f>
        <v>0</v>
      </c>
      <c r="BF98" s="6">
        <f>SUM(INDEX(Tabela1[[Ice Hockey - Men''s Tournament]:[Ice Hockey - Women''s Tournament]],MATCH(Table92[[#This Row],[Country]],Tabela1[Country], 0),0))</f>
        <v>0</v>
      </c>
      <c r="BG98" s="6">
        <f>SUM(INDEX(Tabela1[[Luge - Men''s Singles]:[Luge - Mixed Team Relay]],MATCH(Table92[[#This Row],[Country]],Tabela1[Country], 0),0))</f>
        <v>0</v>
      </c>
      <c r="BH98" s="6">
        <f>SUM(INDEX(Tabela1[[Nordic Combined - Men''s Individual]:[Nordic Combined - Men''s Team Sprint Large Hill]],MATCH(Table92[[#This Row],[Country]],Tabela1[Country], 0),0))</f>
        <v>0</v>
      </c>
      <c r="BI98" s="6">
        <f>SUM(INDEX(Tabela1[[Short track speed skating - Men''s 500m]:[Short track speed skating - Mixed 2000m Relay]],MATCH(Table92[[#This Row],[Country]],Tabela1[Country], 0),0))</f>
        <v>0</v>
      </c>
      <c r="BJ98" s="6">
        <f>SUM(INDEX(Tabela1[[Skeleton - Men''s Individual]:[Skeleton - Mixed Team]],MATCH(Table92[[#This Row],[Country]],Tabela1[Country], 0),0))</f>
        <v>0</v>
      </c>
      <c r="BK98" s="6">
        <f>SUM(INDEX(Tabela1[[Ski Jumping - Men''s Individual Large Hill]:[Ski Jumping - Mixed Team Normal Hill]],MATCH(Table92[[#This Row],[Country]],Tabela1[Country], 0),0))</f>
        <v>0</v>
      </c>
      <c r="BL98" s="6">
        <f>SUM(INDEX(Tabela1[[Ski Mountaineering - Men''s Sprint]:[Ski Mountaineering - Mixed Relay]],MATCH(Table92[[#This Row],[Country]],Tabela1[Country], 0),0))</f>
        <v>0</v>
      </c>
      <c r="BM98" s="6">
        <f>SUM(INDEX(Tabela1[[Snowboarding - Men''s Big Air]:[Snowboarding - Mixed Team Snowboard Cross]],MATCH(Table92[[#This Row],[Country]],Tabela1[Country], 0),0))</f>
        <v>0</v>
      </c>
      <c r="BN98" s="6">
        <f>SUM(INDEX(Tabela1[[Speed Skating - Men''s 500m]:[Speed Skating - Women''s Team Pursuit]],MATCH(Table92[[#This Row],[Country]],Tabela1[Country], 0),0))</f>
        <v>0</v>
      </c>
      <c r="BO98" s="6" t="str">
        <f>SUBSTITUTE(INDEX(Table92[[#Headers],[Archery Quotas]:[Speed Skating Quotas]], MATCH(MAX(Table92[[#This Row],[Archery Quotas]:[Speed Skating Quotas]]), Table92[[#This Row],[Archery Quotas]:[Speed Skating Quotas]], 0))," Quotas","")</f>
        <v>Alpine Skiing</v>
      </c>
      <c r="BP98" s="6">
        <f>SUM(Table92[[#This Row],[Summer Sports]:[Winter Sports]])</f>
        <v>3</v>
      </c>
      <c r="BQ98" s="6">
        <f>COUNTIF(Table92[[#This Row],[Archery Quotas]:[Wrestling Quotas]],"&lt;&gt;0")</f>
        <v>2</v>
      </c>
      <c r="BR98" s="6">
        <f>COUNTIF(Table92[[#This Row],[Alpine Skiing Quotas]:[Speed Skating Quotas]],"&lt;&gt;0")</f>
        <v>1</v>
      </c>
      <c r="BS98" s="4" t="s">
        <v>411</v>
      </c>
    </row>
    <row r="99" spans="1:71" x14ac:dyDescent="0.3">
      <c r="A99" s="6" t="s">
        <v>496</v>
      </c>
      <c r="B99" t="e" vm="110">
        <f>IF(ISBLANK(Table92[[#This Row],[Flag Link]]), "", _xlfn.IMAGE(Table92[[#This Row],[Flag Link]],1,1))</f>
        <v>#VALUE!</v>
      </c>
      <c r="C99" s="6">
        <f>SUM(Table92[[#This Row],[Archery Quotas]:[Speed Skating Quotas]])</f>
        <v>3</v>
      </c>
      <c r="D99" s="6">
        <f>SUM(INDEX(Tabela1[[Archery - Men''s Individual Recurve]:[Archery - Mixed Team Recurve]],MATCH(Table92[[#This Row],[Country]],Tabela1[Country], 0),0))</f>
        <v>0</v>
      </c>
      <c r="E99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99" s="6">
        <f>SUM(INDEX(Tabela1[[Artistic Swimming - Women''s Duet]:[Artistic Swimming - Women''s Team]],MATCH(Table92[[#This Row],[Country]],Tabela1[Country], 0),0))</f>
        <v>0</v>
      </c>
      <c r="G99" s="6">
        <f>SUM(INDEX(Tabela1[[Athletics - Men''s 100m]:[Athletics - Women''s Heptathlon]],MATCH(Table92[[#This Row],[Country]],Tabela1[Country], 0),0))</f>
        <v>1</v>
      </c>
      <c r="H99" s="6">
        <f>SUM(INDEX(Tabela1[[Badminton - Men''s Singles]:[Badminton - Mixed Doubles]],MATCH(Table92[[#This Row],[Country]],Tabela1[Country], 0),0))</f>
        <v>0</v>
      </c>
      <c r="I99" s="6">
        <f>SUM(INDEX(Tabela1[[Basketball - Men''s Tournament]:[Basketball - Women''s Tournament]],MATCH(Table92[[#This Row],[Country]],Tabela1[Country], 0),0))</f>
        <v>0</v>
      </c>
      <c r="J99" s="6">
        <f>SUM(INDEX(Tabela1[[3x3 Basketball - Men''s Tournament]:[3x3 Basketball - Women''s Tournament]],MATCH(Table92[[#This Row],[Country]],Tabela1[Country], 0),0))</f>
        <v>0</v>
      </c>
      <c r="K99" s="6">
        <f>SUM(INDEX(Tabela1[[Beach Volleyball - Men''s Tournament]:[Beach Volleyball - Women''s Tournament]],MATCH(Table92[[#This Row],[Country]],Tabela1[Country], 0),0))</f>
        <v>0</v>
      </c>
      <c r="L99" s="6">
        <f>SUM(INDEX(Tabela1[[Boxing - Men''s 51kg]:[Boxing - Women''s 75kg]],MATCH(Table92[[#This Row],[Country]],Tabela1[Country], 0),0))</f>
        <v>0</v>
      </c>
      <c r="M99" s="6">
        <f>SUM(INDEX(Tabela1[[Breaking - Men''s Individual]:[Breaking - Women''s Individual]],MATCH(Table92[[#This Row],[Country]],Tabela1[Country], 0),0))</f>
        <v>0</v>
      </c>
      <c r="N99" s="6">
        <f>SUM(INDEX(Tabela1[[Canoeing - Men''s C1 Slalom]:[Canoeing - Women''s Kayak Cross Slalom]],MATCH(Table92[[#This Row],[Country]],Tabela1[Country], 0),0))</f>
        <v>0</v>
      </c>
      <c r="O99" s="6">
        <f>SUM(INDEX(Tabela1[[Canoeing - Women''s C1 200m]:[Canoeing - Women''s K4 500m]],MATCH(Table92[[#This Row],[Country]],Tabela1[Country], 0),0))</f>
        <v>0</v>
      </c>
      <c r="P99" s="6">
        <f>SUM(INDEX(Tabela1[[Cycling - Men''s BMX Freestyle]:[Cycling - Women''s BMX Freestyle]],MATCH(Table92[[#This Row],[Country]],Tabela1[Country], 0),0))</f>
        <v>0</v>
      </c>
      <c r="Q99" s="6">
        <f>SUM(INDEX(Tabela1[[Cycling - Men''s BMX Racing]:[Cycling - Women''s BMX Racing]],MATCH(Table92[[#This Row],[Country]],Tabela1[Country], 0),0))</f>
        <v>0</v>
      </c>
      <c r="R99" s="6">
        <f>SUM(INDEX(Tabela1[[Cycling - Men''s Cross-Country]:[Cycling - Women''s Cross-Country]],MATCH(Table92[[#This Row],[Country]],Tabela1[Country], 0),0))</f>
        <v>0</v>
      </c>
      <c r="S99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99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99" s="6">
        <f>SUM(INDEX(Tabela1[[Diving - Men''s Springboard]:[Diving - Women''s Synchronized Platform]],MATCH(Table92[[#This Row],[Country]],Tabela1[Country], 0),0))</f>
        <v>0</v>
      </c>
      <c r="V99" s="6">
        <f>SUM(INDEX(Tabela1[[Equestrian - Individual Dressage]:[Equestrian - Team Dressage]],MATCH(Table92[[#This Row],[Country]],Tabela1[Country], 0),0))</f>
        <v>0</v>
      </c>
      <c r="W99" s="6">
        <f>SUM(INDEX(Tabela1[[Equestrian - Individual Eventing]:[Equestrian - Team Eventing]],MATCH(Table92[[#This Row],[Country]],Tabela1[Country], 0),0))</f>
        <v>0</v>
      </c>
      <c r="X99" s="6">
        <f>SUM(INDEX(Tabela1[[Equestrian - Individual Jumping]:[Equestrian - Team Jumping]],MATCH(Table92[[#This Row],[Country]],Tabela1[Country], 0),0))</f>
        <v>0</v>
      </c>
      <c r="Y99" s="6">
        <f>SUM(INDEX(Tabela1[[Fencing - Men''s Épée]:[Fencing - Women''s Team Sabre]],MATCH(Table92[[#This Row],[Country]],Tabela1[Country], 0),0))</f>
        <v>0</v>
      </c>
      <c r="Z99" s="6">
        <f>SUM(INDEX(Tabela1[[Field Hockey - Men''s Tournament]:[Field Hockey - Women''s Tournament]],MATCH(Table92[[#This Row],[Country]],Tabela1[Country], 0),0))</f>
        <v>0</v>
      </c>
      <c r="AA99" s="6">
        <f>SUM(INDEX(Tabela1[[Football - Men''s Tournament]:[Football - Women''s Tournament]],MATCH(Table92[[#This Row],[Country]],Tabela1[Country], 0),0))</f>
        <v>0</v>
      </c>
      <c r="AB99" s="6">
        <f>SUM(INDEX(Tabela1[[Golf - Men''s Individual]:[Golf - Women''s Individual]],MATCH(Table92[[#This Row],[Country]],Tabela1[Country], 0),0))</f>
        <v>0</v>
      </c>
      <c r="AC99" s="6">
        <f>SUM(INDEX(Tabela1[[Handball - Men''s Tournament]:[Handball - Women''s Tournament]],MATCH(Table92[[#This Row],[Country]],Tabela1[Country], 0),0))</f>
        <v>0</v>
      </c>
      <c r="AD99" s="6">
        <f>SUM(INDEX(Tabela1[[Judo - Men''s 60kg]:[Judo - Mixed Team]],MATCH(Table92[[#This Row],[Country]],Tabela1[Country], 0),0))</f>
        <v>0</v>
      </c>
      <c r="AE99" s="6">
        <f>SUM(INDEX(Tabela1[[Swimming - Men''s 10km Open Water]:[Swimming - Women''s 10km Open Water]],MATCH(Table92[[#This Row],[Country]],Tabela1[Country], 0),0))</f>
        <v>0</v>
      </c>
      <c r="AF99" s="6">
        <f>SUM(INDEX(Tabela1[[Modern Pentathlon - Men''s Individual]:[Modern Pentathlon - Women''s Individual]],MATCH(Table92[[#This Row],[Country]],Tabela1[Country], 0),0))</f>
        <v>0</v>
      </c>
      <c r="AG99" s="6">
        <f>SUM(INDEX(Tabela1[[Rhythmic Gymnastics - Women''s Individual All-Around]:[Rhythmic Gymnastics - Women''s Group All-Around]],MATCH(Table92[[#This Row],[Country]],Tabela1[Country], 0),0))</f>
        <v>0</v>
      </c>
      <c r="AH99" s="6">
        <f>SUM(INDEX(Tabela1[[Rowing - Men''s Single Sculls]:[Rowing - Women''s Lwt. Double Sculls]],MATCH(Table92[[#This Row],[Country]],Tabela1[Country], 0),0))</f>
        <v>0</v>
      </c>
      <c r="AI99" s="6">
        <f>SUM(INDEX(Tabela1[[Rugby Sevens - Men''s Tournament]:[Rugby Sevens - Women''s Tournament]],MATCH(Table92[[#This Row],[Country]],Tabela1[Country], 0),0))</f>
        <v>0</v>
      </c>
      <c r="AJ99" s="6">
        <f>SUM(INDEX(Tabela1[[Sailing - Mixed 470]:[Sailing - Mixed Nacra 17]],MATCH(Table92[[#This Row],[Country]],Tabela1[Country], 0),0))</f>
        <v>0</v>
      </c>
      <c r="AK99" s="6">
        <f>SUM(INDEX(Tabela1[[Shooting - Men''s 10m Air Pistol]:[Shooting - Women''s Trap]],MATCH(Table92[[#This Row],[Country]],Tabela1[Country], 0),0))</f>
        <v>0</v>
      </c>
      <c r="AL99" s="6">
        <f>SUM(INDEX(Tabela1[[Skateboarding - Men''s Park]:[Skateboarding - Women''s Street]],MATCH(Table92[[#This Row],[Country]],Tabela1[Country], 0),0))</f>
        <v>0</v>
      </c>
      <c r="AM99" s="6">
        <f>SUM(INDEX(Tabela1[[Sport Climbing - Men''s Boulder and Lead]:[Sport Climbing - Women''s Speed]],MATCH(Table92[[#This Row],[Country]],Tabela1[Country], 0),0))</f>
        <v>0</v>
      </c>
      <c r="AN99" s="6">
        <f>SUM(INDEX(Tabela1[[Surfing - Men''s Shortboard]:[Surfing - Women''s Shortboard]],MATCH(Table92[[#This Row],[Country]],Tabela1[Country], 0),0))</f>
        <v>0</v>
      </c>
      <c r="AO99" s="6">
        <f>SUM(INDEX(Tabela1[[Swimming - Men''s 50m Freestyle]:[Swimming - Mixed 4x100m Medley Relay]],MATCH(Table92[[#This Row],[Country]],Tabela1[Country], 0),0))</f>
        <v>0</v>
      </c>
      <c r="AP99" s="6">
        <f>SUM(INDEX(Tabela1[[Table Tennis - Men''s Singles]:[Table Tennis - Mixed Doubles]],MATCH(Table92[[#This Row],[Country]],Tabela1[Country], 0),0))</f>
        <v>0</v>
      </c>
      <c r="AQ99" s="6">
        <f>SUM(INDEX(Tabela1[[Taekwondo - Men''s 58kg]:[Taekwondo - Women''s +67kg]],MATCH(Table92[[#This Row],[Country]],Tabela1[Country], 0),0))</f>
        <v>0</v>
      </c>
      <c r="AR99" s="6">
        <f>SUM(INDEX(Tabela1[[Tennis - Men''s Singles]:[Tennis - Mixed Doubles]],MATCH(Table92[[#This Row],[Country]],Tabela1[Country], 0),0))</f>
        <v>0</v>
      </c>
      <c r="AS99" s="6">
        <f>SUM(INDEX(Tabela1[[Gymnastics - Men''s Trampoline]:[Gymnastics - Women''s Trampoline]],MATCH(Table92[[#This Row],[Country]],Tabela1[Country], 0),0))</f>
        <v>0</v>
      </c>
      <c r="AT99" s="6">
        <f>SUM(INDEX(Tabela1[[Triathlon - Men''s Individual]:[Triathlon - Mixed Relay]],MATCH(Table92[[#This Row],[Country]],Tabela1[Country], 0),0))</f>
        <v>0</v>
      </c>
      <c r="AU99" s="6">
        <f>SUM(INDEX(Tabela1[[Volleyball - Men''s Tournament]:[Volleyball - Women''s Tournament]],MATCH(Table92[[#This Row],[Country]],Tabela1[Country], 0),0))</f>
        <v>0</v>
      </c>
      <c r="AV99" s="6">
        <f>SUM(INDEX(Tabela1[[Water Polo - Men''s Tournament]:[Water Polo - Women''s Tournament]],MATCH(Table92[[#This Row],[Country]],Tabela1[Country], 0),0))</f>
        <v>0</v>
      </c>
      <c r="AW99" s="6">
        <f>SUM(INDEX(Tabela1[[Weightlifting - Men''s 61kg]:[Weightlifting - Women''s +81kg]],MATCH(Table92[[#This Row],[Country]],Tabela1[Country], 0),0))</f>
        <v>0</v>
      </c>
      <c r="AX99" s="6">
        <f>SUM(INDEX(Tabela1[[Wrestling - Men''s Freestyle 57kg]:[Wrestling - Women''s Freestyle 76kg]],MATCH(Table92[[#This Row],[Country]],Tabela1[Country], 0),0))</f>
        <v>0</v>
      </c>
      <c r="AY99" s="6">
        <f>SUM(INDEX(Tabela1[[Alpine Skiing - Men''s Downhill]:[Alpine Skiing - Women''s Team Combined]],MATCH(Table92[[#This Row],[Country]],Tabela1[Country], 0),0))</f>
        <v>2</v>
      </c>
      <c r="AZ99" s="6">
        <f>SUM(INDEX(Tabela1[[Biathlon - Men''s Individual]:[Biathlon - Mixed Relay]],MATCH(Table92[[#This Row],[Country]],Tabela1[Country], 0),0))</f>
        <v>0</v>
      </c>
      <c r="BA99" s="6">
        <f>SUM(INDEX(Tabela1[[Bobsleigh - Women''s Monobob]:[Bobsleigh - Men''s Four]],MATCH(Table92[[#This Row],[Country]],Tabela1[Country], 0),0))</f>
        <v>0</v>
      </c>
      <c r="BB99" s="6">
        <f>SUM(INDEX(Tabela1[[Cross-country skiing - Men''s Classical]:[Cross-country skiing - Women''s Team Sprint]],MATCH(Table92[[#This Row],[Country]],Tabela1[Country], 0),0))</f>
        <v>0</v>
      </c>
      <c r="BC99" s="6">
        <f>SUM(INDEX(Tabela1[[Curling - Men''s Tournament]:[Curling - Mixed Doubles]],MATCH(Table92[[#This Row],[Country]],Tabela1[Country], 0),0))</f>
        <v>0</v>
      </c>
      <c r="BD99" s="6">
        <f>SUM(INDEX(Tabela1[[Figure Skating - Men''s Singles]:[Figure Skating - Team Event]],MATCH(Table92[[#This Row],[Country]],Tabela1[Country], 0),0))</f>
        <v>0</v>
      </c>
      <c r="BE99" s="6">
        <f>SUM(INDEX(Tabela1[[Freestyle Skiing - Men''s Aerials]:[Freestyle Skiing - Women''s Slopestyle]],MATCH(Table92[[#This Row],[Country]],Tabela1[Country], 0),0))</f>
        <v>0</v>
      </c>
      <c r="BF99" s="6">
        <f>SUM(INDEX(Tabela1[[Ice Hockey - Men''s Tournament]:[Ice Hockey - Women''s Tournament]],MATCH(Table92[[#This Row],[Country]],Tabela1[Country], 0),0))</f>
        <v>0</v>
      </c>
      <c r="BG99" s="6">
        <f>SUM(INDEX(Tabela1[[Luge - Men''s Singles]:[Luge - Mixed Team Relay]],MATCH(Table92[[#This Row],[Country]],Tabela1[Country], 0),0))</f>
        <v>0</v>
      </c>
      <c r="BH99" s="6">
        <f>SUM(INDEX(Tabela1[[Nordic Combined - Men''s Individual]:[Nordic Combined - Men''s Team Sprint Large Hill]],MATCH(Table92[[#This Row],[Country]],Tabela1[Country], 0),0))</f>
        <v>0</v>
      </c>
      <c r="BI99" s="6">
        <f>SUM(INDEX(Tabela1[[Short track speed skating - Men''s 500m]:[Short track speed skating - Mixed 2000m Relay]],MATCH(Table92[[#This Row],[Country]],Tabela1[Country], 0),0))</f>
        <v>0</v>
      </c>
      <c r="BJ99" s="6">
        <f>SUM(INDEX(Tabela1[[Skeleton - Men''s Individual]:[Skeleton - Mixed Team]],MATCH(Table92[[#This Row],[Country]],Tabela1[Country], 0),0))</f>
        <v>0</v>
      </c>
      <c r="BK99" s="6">
        <f>SUM(INDEX(Tabela1[[Ski Jumping - Men''s Individual Large Hill]:[Ski Jumping - Mixed Team Normal Hill]],MATCH(Table92[[#This Row],[Country]],Tabela1[Country], 0),0))</f>
        <v>0</v>
      </c>
      <c r="BL99" s="6">
        <f>SUM(INDEX(Tabela1[[Ski Mountaineering - Men''s Sprint]:[Ski Mountaineering - Mixed Relay]],MATCH(Table92[[#This Row],[Country]],Tabela1[Country], 0),0))</f>
        <v>0</v>
      </c>
      <c r="BM99" s="6">
        <f>SUM(INDEX(Tabela1[[Snowboarding - Men''s Big Air]:[Snowboarding - Mixed Team Snowboard Cross]],MATCH(Table92[[#This Row],[Country]],Tabela1[Country], 0),0))</f>
        <v>0</v>
      </c>
      <c r="BN99" s="6">
        <f>SUM(INDEX(Tabela1[[Speed Skating - Men''s 500m]:[Speed Skating - Women''s Team Pursuit]],MATCH(Table92[[#This Row],[Country]],Tabela1[Country], 0),0))</f>
        <v>0</v>
      </c>
      <c r="BO99" s="6" t="str">
        <f>SUBSTITUTE(INDEX(Table92[[#Headers],[Archery Quotas]:[Speed Skating Quotas]], MATCH(MAX(Table92[[#This Row],[Archery Quotas]:[Speed Skating Quotas]]), Table92[[#This Row],[Archery Quotas]:[Speed Skating Quotas]], 0))," Quotas","")</f>
        <v>Alpine Skiing</v>
      </c>
      <c r="BP99" s="6">
        <f>SUM(Table92[[#This Row],[Summer Sports]:[Winter Sports]])</f>
        <v>2</v>
      </c>
      <c r="BQ99" s="6">
        <f>COUNTIF(Table92[[#This Row],[Archery Quotas]:[Wrestling Quotas]],"&lt;&gt;0")</f>
        <v>1</v>
      </c>
      <c r="BR99" s="6">
        <f>COUNTIF(Table92[[#This Row],[Alpine Skiing Quotas]:[Speed Skating Quotas]],"&lt;&gt;0")</f>
        <v>1</v>
      </c>
      <c r="BS99" s="3" t="s">
        <v>497</v>
      </c>
    </row>
    <row r="100" spans="1:71" x14ac:dyDescent="0.3">
      <c r="A100" s="6" t="s">
        <v>530</v>
      </c>
      <c r="B100" t="e" vm="108">
        <f>IF(ISBLANK(Table92[[#This Row],[Flag Link]]), "", _xlfn.IMAGE(Table92[[#This Row],[Flag Link]],1,1))</f>
        <v>#VALUE!</v>
      </c>
      <c r="C100" s="6">
        <f>SUM(Table92[[#This Row],[Archery Quotas]:[Speed Skating Quotas]])</f>
        <v>3</v>
      </c>
      <c r="D100" s="6">
        <f>SUM(INDEX(Tabela1[[Archery - Men''s Individual Recurve]:[Archery - Mixed Team Recurve]],MATCH(Table92[[#This Row],[Country]],Tabela1[Country], 0),0))</f>
        <v>0</v>
      </c>
      <c r="E100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00" s="6">
        <f>SUM(INDEX(Tabela1[[Artistic Swimming - Women''s Duet]:[Artistic Swimming - Women''s Team]],MATCH(Table92[[#This Row],[Country]],Tabela1[Country], 0),0))</f>
        <v>0</v>
      </c>
      <c r="G100" s="6">
        <f>SUM(INDEX(Tabela1[[Athletics - Men''s 100m]:[Athletics - Women''s Heptathlon]],MATCH(Table92[[#This Row],[Country]],Tabela1[Country], 0),0))</f>
        <v>0</v>
      </c>
      <c r="H100" s="6">
        <f>SUM(INDEX(Tabela1[[Badminton - Men''s Singles]:[Badminton - Mixed Doubles]],MATCH(Table92[[#This Row],[Country]],Tabela1[Country], 0),0))</f>
        <v>0</v>
      </c>
      <c r="I100" s="6">
        <f>SUM(INDEX(Tabela1[[Basketball - Men''s Tournament]:[Basketball - Women''s Tournament]],MATCH(Table92[[#This Row],[Country]],Tabela1[Country], 0),0))</f>
        <v>0</v>
      </c>
      <c r="J100" s="6">
        <f>SUM(INDEX(Tabela1[[3x3 Basketball - Men''s Tournament]:[3x3 Basketball - Women''s Tournament]],MATCH(Table92[[#This Row],[Country]],Tabela1[Country], 0),0))</f>
        <v>0</v>
      </c>
      <c r="K100" s="6">
        <f>SUM(INDEX(Tabela1[[Beach Volleyball - Men''s Tournament]:[Beach Volleyball - Women''s Tournament]],MATCH(Table92[[#This Row],[Country]],Tabela1[Country], 0),0))</f>
        <v>0</v>
      </c>
      <c r="L100" s="6">
        <f>SUM(INDEX(Tabela1[[Boxing - Men''s 51kg]:[Boxing - Women''s 75kg]],MATCH(Table92[[#This Row],[Country]],Tabela1[Country], 0),0))</f>
        <v>0</v>
      </c>
      <c r="M100" s="6">
        <f>SUM(INDEX(Tabela1[[Breaking - Men''s Individual]:[Breaking - Women''s Individual]],MATCH(Table92[[#This Row],[Country]],Tabela1[Country], 0),0))</f>
        <v>0</v>
      </c>
      <c r="N100" s="6">
        <f>SUM(INDEX(Tabela1[[Canoeing - Men''s C1 Slalom]:[Canoeing - Women''s Kayak Cross Slalom]],MATCH(Table92[[#This Row],[Country]],Tabela1[Country], 0),0))</f>
        <v>0</v>
      </c>
      <c r="O100" s="6">
        <f>SUM(INDEX(Tabela1[[Canoeing - Women''s C1 200m]:[Canoeing - Women''s K4 500m]],MATCH(Table92[[#This Row],[Country]],Tabela1[Country], 0),0))</f>
        <v>0</v>
      </c>
      <c r="P100" s="6">
        <f>SUM(INDEX(Tabela1[[Cycling - Men''s BMX Freestyle]:[Cycling - Women''s BMX Freestyle]],MATCH(Table92[[#This Row],[Country]],Tabela1[Country], 0),0))</f>
        <v>0</v>
      </c>
      <c r="Q100" s="6">
        <f>SUM(INDEX(Tabela1[[Cycling - Men''s BMX Racing]:[Cycling - Women''s BMX Racing]],MATCH(Table92[[#This Row],[Country]],Tabela1[Country], 0),0))</f>
        <v>0</v>
      </c>
      <c r="R100" s="6">
        <f>SUM(INDEX(Tabela1[[Cycling - Men''s Cross-Country]:[Cycling - Women''s Cross-Country]],MATCH(Table92[[#This Row],[Country]],Tabela1[Country], 0),0))</f>
        <v>0</v>
      </c>
      <c r="S100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00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00" s="6">
        <f>SUM(INDEX(Tabela1[[Diving - Men''s Springboard]:[Diving - Women''s Synchronized Platform]],MATCH(Table92[[#This Row],[Country]],Tabela1[Country], 0),0))</f>
        <v>0</v>
      </c>
      <c r="V100" s="6">
        <f>SUM(INDEX(Tabela1[[Equestrian - Individual Dressage]:[Equestrian - Team Dressage]],MATCH(Table92[[#This Row],[Country]],Tabela1[Country], 0),0))</f>
        <v>0</v>
      </c>
      <c r="W100" s="6">
        <f>SUM(INDEX(Tabela1[[Equestrian - Individual Eventing]:[Equestrian - Team Eventing]],MATCH(Table92[[#This Row],[Country]],Tabela1[Country], 0),0))</f>
        <v>0</v>
      </c>
      <c r="X100" s="6">
        <f>SUM(INDEX(Tabela1[[Equestrian - Individual Jumping]:[Equestrian - Team Jumping]],MATCH(Table92[[#This Row],[Country]],Tabela1[Country], 0),0))</f>
        <v>0</v>
      </c>
      <c r="Y100" s="6">
        <f>SUM(INDEX(Tabela1[[Fencing - Men''s Épée]:[Fencing - Women''s Team Sabre]],MATCH(Table92[[#This Row],[Country]],Tabela1[Country], 0),0))</f>
        <v>0</v>
      </c>
      <c r="Z100" s="6">
        <f>SUM(INDEX(Tabela1[[Field Hockey - Men''s Tournament]:[Field Hockey - Women''s Tournament]],MATCH(Table92[[#This Row],[Country]],Tabela1[Country], 0),0))</f>
        <v>0</v>
      </c>
      <c r="AA100" s="6">
        <f>SUM(INDEX(Tabela1[[Football - Men''s Tournament]:[Football - Women''s Tournament]],MATCH(Table92[[#This Row],[Country]],Tabela1[Country], 0),0))</f>
        <v>0</v>
      </c>
      <c r="AB100" s="6">
        <f>SUM(INDEX(Tabela1[[Golf - Men''s Individual]:[Golf - Women''s Individual]],MATCH(Table92[[#This Row],[Country]],Tabela1[Country], 0),0))</f>
        <v>0</v>
      </c>
      <c r="AC100" s="6">
        <f>SUM(INDEX(Tabela1[[Handball - Men''s Tournament]:[Handball - Women''s Tournament]],MATCH(Table92[[#This Row],[Country]],Tabela1[Country], 0),0))</f>
        <v>0</v>
      </c>
      <c r="AD100" s="6">
        <f>SUM(INDEX(Tabela1[[Judo - Men''s 60kg]:[Judo - Mixed Team]],MATCH(Table92[[#This Row],[Country]],Tabela1[Country], 0),0))</f>
        <v>1</v>
      </c>
      <c r="AE100" s="6">
        <f>SUM(INDEX(Tabela1[[Swimming - Men''s 10km Open Water]:[Swimming - Women''s 10km Open Water]],MATCH(Table92[[#This Row],[Country]],Tabela1[Country], 0),0))</f>
        <v>0</v>
      </c>
      <c r="AF100" s="6">
        <f>SUM(INDEX(Tabela1[[Modern Pentathlon - Men''s Individual]:[Modern Pentathlon - Women''s Individual]],MATCH(Table92[[#This Row],[Country]],Tabela1[Country], 0),0))</f>
        <v>0</v>
      </c>
      <c r="AG100" s="6">
        <f>SUM(INDEX(Tabela1[[Rhythmic Gymnastics - Women''s Individual All-Around]:[Rhythmic Gymnastics - Women''s Group All-Around]],MATCH(Table92[[#This Row],[Country]],Tabela1[Country], 0),0))</f>
        <v>0</v>
      </c>
      <c r="AH100" s="6">
        <f>SUM(INDEX(Tabela1[[Rowing - Men''s Single Sculls]:[Rowing - Women''s Lwt. Double Sculls]],MATCH(Table92[[#This Row],[Country]],Tabela1[Country], 0),0))</f>
        <v>0</v>
      </c>
      <c r="AI100" s="6">
        <f>SUM(INDEX(Tabela1[[Rugby Sevens - Men''s Tournament]:[Rugby Sevens - Women''s Tournament]],MATCH(Table92[[#This Row],[Country]],Tabela1[Country], 0),0))</f>
        <v>0</v>
      </c>
      <c r="AJ100" s="6">
        <f>SUM(INDEX(Tabela1[[Sailing - Mixed 470]:[Sailing - Mixed Nacra 17]],MATCH(Table92[[#This Row],[Country]],Tabela1[Country], 0),0))</f>
        <v>0</v>
      </c>
      <c r="AK100" s="6">
        <f>SUM(INDEX(Tabela1[[Shooting - Men''s 10m Air Pistol]:[Shooting - Women''s Trap]],MATCH(Table92[[#This Row],[Country]],Tabela1[Country], 0),0))</f>
        <v>0</v>
      </c>
      <c r="AL100" s="6">
        <f>SUM(INDEX(Tabela1[[Skateboarding - Men''s Park]:[Skateboarding - Women''s Street]],MATCH(Table92[[#This Row],[Country]],Tabela1[Country], 0),0))</f>
        <v>0</v>
      </c>
      <c r="AM100" s="6">
        <f>SUM(INDEX(Tabela1[[Sport Climbing - Men''s Boulder and Lead]:[Sport Climbing - Women''s Speed]],MATCH(Table92[[#This Row],[Country]],Tabela1[Country], 0),0))</f>
        <v>0</v>
      </c>
      <c r="AN100" s="6">
        <f>SUM(INDEX(Tabela1[[Surfing - Men''s Shortboard]:[Surfing - Women''s Shortboard]],MATCH(Table92[[#This Row],[Country]],Tabela1[Country], 0),0))</f>
        <v>0</v>
      </c>
      <c r="AO100" s="6">
        <f>SUM(INDEX(Tabela1[[Swimming - Men''s 50m Freestyle]:[Swimming - Mixed 4x100m Medley Relay]],MATCH(Table92[[#This Row],[Country]],Tabela1[Country], 0),0))</f>
        <v>0</v>
      </c>
      <c r="AP100" s="6">
        <f>SUM(INDEX(Tabela1[[Table Tennis - Men''s Singles]:[Table Tennis - Mixed Doubles]],MATCH(Table92[[#This Row],[Country]],Tabela1[Country], 0),0))</f>
        <v>0</v>
      </c>
      <c r="AQ100" s="6">
        <f>SUM(INDEX(Tabela1[[Taekwondo - Men''s 58kg]:[Taekwondo - Women''s +67kg]],MATCH(Table92[[#This Row],[Country]],Tabela1[Country], 0),0))</f>
        <v>0</v>
      </c>
      <c r="AR100" s="6">
        <f>SUM(INDEX(Tabela1[[Tennis - Men''s Singles]:[Tennis - Mixed Doubles]],MATCH(Table92[[#This Row],[Country]],Tabela1[Country], 0),0))</f>
        <v>0</v>
      </c>
      <c r="AS100" s="6">
        <f>SUM(INDEX(Tabela1[[Gymnastics - Men''s Trampoline]:[Gymnastics - Women''s Trampoline]],MATCH(Table92[[#This Row],[Country]],Tabela1[Country], 0),0))</f>
        <v>0</v>
      </c>
      <c r="AT100" s="6">
        <f>SUM(INDEX(Tabela1[[Triathlon - Men''s Individual]:[Triathlon - Mixed Relay]],MATCH(Table92[[#This Row],[Country]],Tabela1[Country], 0),0))</f>
        <v>0</v>
      </c>
      <c r="AU100" s="6">
        <f>SUM(INDEX(Tabela1[[Volleyball - Men''s Tournament]:[Volleyball - Women''s Tournament]],MATCH(Table92[[#This Row],[Country]],Tabela1[Country], 0),0))</f>
        <v>0</v>
      </c>
      <c r="AV100" s="6">
        <f>SUM(INDEX(Tabela1[[Water Polo - Men''s Tournament]:[Water Polo - Women''s Tournament]],MATCH(Table92[[#This Row],[Country]],Tabela1[Country], 0),0))</f>
        <v>0</v>
      </c>
      <c r="AW100" s="6">
        <f>SUM(INDEX(Tabela1[[Weightlifting - Men''s 61kg]:[Weightlifting - Women''s +81kg]],MATCH(Table92[[#This Row],[Country]],Tabela1[Country], 0),0))</f>
        <v>0</v>
      </c>
      <c r="AX100" s="6">
        <f>SUM(INDEX(Tabela1[[Wrestling - Men''s Freestyle 57kg]:[Wrestling - Women''s Freestyle 76kg]],MATCH(Table92[[#This Row],[Country]],Tabela1[Country], 0),0))</f>
        <v>0</v>
      </c>
      <c r="AY100" s="6">
        <f>SUM(INDEX(Tabela1[[Alpine Skiing - Men''s Downhill]:[Alpine Skiing - Women''s Team Combined]],MATCH(Table92[[#This Row],[Country]],Tabela1[Country], 0),0))</f>
        <v>2</v>
      </c>
      <c r="AZ100" s="6">
        <f>SUM(INDEX(Tabela1[[Biathlon - Men''s Individual]:[Biathlon - Mixed Relay]],MATCH(Table92[[#This Row],[Country]],Tabela1[Country], 0),0))</f>
        <v>0</v>
      </c>
      <c r="BA100" s="6">
        <f>SUM(INDEX(Tabela1[[Bobsleigh - Women''s Monobob]:[Bobsleigh - Men''s Four]],MATCH(Table92[[#This Row],[Country]],Tabela1[Country], 0),0))</f>
        <v>0</v>
      </c>
      <c r="BB100" s="6">
        <f>SUM(INDEX(Tabela1[[Cross-country skiing - Men''s Classical]:[Cross-country skiing - Women''s Team Sprint]],MATCH(Table92[[#This Row],[Country]],Tabela1[Country], 0),0))</f>
        <v>0</v>
      </c>
      <c r="BC100" s="6">
        <f>SUM(INDEX(Tabela1[[Curling - Men''s Tournament]:[Curling - Mixed Doubles]],MATCH(Table92[[#This Row],[Country]],Tabela1[Country], 0),0))</f>
        <v>0</v>
      </c>
      <c r="BD100" s="6">
        <f>SUM(INDEX(Tabela1[[Figure Skating - Men''s Singles]:[Figure Skating - Team Event]],MATCH(Table92[[#This Row],[Country]],Tabela1[Country], 0),0))</f>
        <v>0</v>
      </c>
      <c r="BE100" s="6">
        <f>SUM(INDEX(Tabela1[[Freestyle Skiing - Men''s Aerials]:[Freestyle Skiing - Women''s Slopestyle]],MATCH(Table92[[#This Row],[Country]],Tabela1[Country], 0),0))</f>
        <v>0</v>
      </c>
      <c r="BF100" s="6">
        <f>SUM(INDEX(Tabela1[[Ice Hockey - Men''s Tournament]:[Ice Hockey - Women''s Tournament]],MATCH(Table92[[#This Row],[Country]],Tabela1[Country], 0),0))</f>
        <v>0</v>
      </c>
      <c r="BG100" s="6">
        <f>SUM(INDEX(Tabela1[[Luge - Men''s Singles]:[Luge - Mixed Team Relay]],MATCH(Table92[[#This Row],[Country]],Tabela1[Country], 0),0))</f>
        <v>0</v>
      </c>
      <c r="BH100" s="6">
        <f>SUM(INDEX(Tabela1[[Nordic Combined - Men''s Individual]:[Nordic Combined - Men''s Team Sprint Large Hill]],MATCH(Table92[[#This Row],[Country]],Tabela1[Country], 0),0))</f>
        <v>0</v>
      </c>
      <c r="BI100" s="6">
        <f>SUM(INDEX(Tabela1[[Short track speed skating - Men''s 500m]:[Short track speed skating - Mixed 2000m Relay]],MATCH(Table92[[#This Row],[Country]],Tabela1[Country], 0),0))</f>
        <v>0</v>
      </c>
      <c r="BJ100" s="6">
        <f>SUM(INDEX(Tabela1[[Skeleton - Men''s Individual]:[Skeleton - Mixed Team]],MATCH(Table92[[#This Row],[Country]],Tabela1[Country], 0),0))</f>
        <v>0</v>
      </c>
      <c r="BK100" s="6">
        <f>SUM(INDEX(Tabela1[[Ski Jumping - Men''s Individual Large Hill]:[Ski Jumping - Mixed Team Normal Hill]],MATCH(Table92[[#This Row],[Country]],Tabela1[Country], 0),0))</f>
        <v>0</v>
      </c>
      <c r="BL100" s="6">
        <f>SUM(INDEX(Tabela1[[Ski Mountaineering - Men''s Sprint]:[Ski Mountaineering - Mixed Relay]],MATCH(Table92[[#This Row],[Country]],Tabela1[Country], 0),0))</f>
        <v>0</v>
      </c>
      <c r="BM100" s="6">
        <f>SUM(INDEX(Tabela1[[Snowboarding - Men''s Big Air]:[Snowboarding - Mixed Team Snowboard Cross]],MATCH(Table92[[#This Row],[Country]],Tabela1[Country], 0),0))</f>
        <v>0</v>
      </c>
      <c r="BN100" s="6">
        <f>SUM(INDEX(Tabela1[[Speed Skating - Men''s 500m]:[Speed Skating - Women''s Team Pursuit]],MATCH(Table92[[#This Row],[Country]],Tabela1[Country], 0),0))</f>
        <v>0</v>
      </c>
      <c r="BO100" s="6" t="str">
        <f>SUBSTITUTE(INDEX(Table92[[#Headers],[Archery Quotas]:[Speed Skating Quotas]], MATCH(MAX(Table92[[#This Row],[Archery Quotas]:[Speed Skating Quotas]]), Table92[[#This Row],[Archery Quotas]:[Speed Skating Quotas]], 0))," Quotas","")</f>
        <v>Alpine Skiing</v>
      </c>
      <c r="BP100" s="6">
        <f>SUM(Table92[[#This Row],[Summer Sports]:[Winter Sports]])</f>
        <v>2</v>
      </c>
      <c r="BQ100" s="6">
        <f>COUNTIF(Table92[[#This Row],[Archery Quotas]:[Wrestling Quotas]],"&lt;&gt;0")</f>
        <v>1</v>
      </c>
      <c r="BR100" s="6">
        <f>COUNTIF(Table92[[#This Row],[Alpine Skiing Quotas]:[Speed Skating Quotas]],"&lt;&gt;0")</f>
        <v>1</v>
      </c>
      <c r="BS100" s="3" t="s">
        <v>531</v>
      </c>
    </row>
    <row r="101" spans="1:71" x14ac:dyDescent="0.3">
      <c r="A101" s="6" t="s">
        <v>538</v>
      </c>
      <c r="B101" t="e" vm="98">
        <f>IF(ISBLANK(Table92[[#This Row],[Flag Link]]), "", _xlfn.IMAGE(Table92[[#This Row],[Flag Link]],1,1))</f>
        <v>#VALUE!</v>
      </c>
      <c r="C101" s="6">
        <f>SUM(Table92[[#This Row],[Archery Quotas]:[Speed Skating Quotas]])</f>
        <v>3</v>
      </c>
      <c r="D101" s="6">
        <f>SUM(INDEX(Tabela1[[Archery - Men''s Individual Recurve]:[Archery - Mixed Team Recurve]],MATCH(Table92[[#This Row],[Country]],Tabela1[Country], 0),0))</f>
        <v>0</v>
      </c>
      <c r="E101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01" s="6">
        <f>SUM(INDEX(Tabela1[[Artistic Swimming - Women''s Duet]:[Artistic Swimming - Women''s Team]],MATCH(Table92[[#This Row],[Country]],Tabela1[Country], 0),0))</f>
        <v>0</v>
      </c>
      <c r="G101" s="6">
        <f>SUM(INDEX(Tabela1[[Athletics - Men''s 100m]:[Athletics - Women''s Heptathlon]],MATCH(Table92[[#This Row],[Country]],Tabela1[Country], 0),0))</f>
        <v>1</v>
      </c>
      <c r="H101" s="6">
        <f>SUM(INDEX(Tabela1[[Badminton - Men''s Singles]:[Badminton - Mixed Doubles]],MATCH(Table92[[#This Row],[Country]],Tabela1[Country], 0),0))</f>
        <v>0</v>
      </c>
      <c r="I101" s="6">
        <f>SUM(INDEX(Tabela1[[Basketball - Men''s Tournament]:[Basketball - Women''s Tournament]],MATCH(Table92[[#This Row],[Country]],Tabela1[Country], 0),0))</f>
        <v>0</v>
      </c>
      <c r="J101" s="6">
        <f>SUM(INDEX(Tabela1[[3x3 Basketball - Men''s Tournament]:[3x3 Basketball - Women''s Tournament]],MATCH(Table92[[#This Row],[Country]],Tabela1[Country], 0),0))</f>
        <v>0</v>
      </c>
      <c r="K101" s="6">
        <f>SUM(INDEX(Tabela1[[Beach Volleyball - Men''s Tournament]:[Beach Volleyball - Women''s Tournament]],MATCH(Table92[[#This Row],[Country]],Tabela1[Country], 0),0))</f>
        <v>0</v>
      </c>
      <c r="L101" s="6">
        <f>SUM(INDEX(Tabela1[[Boxing - Men''s 51kg]:[Boxing - Women''s 75kg]],MATCH(Table92[[#This Row],[Country]],Tabela1[Country], 0),0))</f>
        <v>0</v>
      </c>
      <c r="M101" s="6">
        <f>SUM(INDEX(Tabela1[[Breaking - Men''s Individual]:[Breaking - Women''s Individual]],MATCH(Table92[[#This Row],[Country]],Tabela1[Country], 0),0))</f>
        <v>0</v>
      </c>
      <c r="N101" s="6">
        <f>SUM(INDEX(Tabela1[[Canoeing - Men''s C1 Slalom]:[Canoeing - Women''s Kayak Cross Slalom]],MATCH(Table92[[#This Row],[Country]],Tabela1[Country], 0),0))</f>
        <v>0</v>
      </c>
      <c r="O101" s="6">
        <f>SUM(INDEX(Tabela1[[Canoeing - Women''s C1 200m]:[Canoeing - Women''s K4 500m]],MATCH(Table92[[#This Row],[Country]],Tabela1[Country], 0),0))</f>
        <v>0</v>
      </c>
      <c r="P101" s="6">
        <f>SUM(INDEX(Tabela1[[Cycling - Men''s BMX Freestyle]:[Cycling - Women''s BMX Freestyle]],MATCH(Table92[[#This Row],[Country]],Tabela1[Country], 0),0))</f>
        <v>0</v>
      </c>
      <c r="Q101" s="6">
        <f>SUM(INDEX(Tabela1[[Cycling - Men''s BMX Racing]:[Cycling - Women''s BMX Racing]],MATCH(Table92[[#This Row],[Country]],Tabela1[Country], 0),0))</f>
        <v>0</v>
      </c>
      <c r="R101" s="6">
        <f>SUM(INDEX(Tabela1[[Cycling - Men''s Cross-Country]:[Cycling - Women''s Cross-Country]],MATCH(Table92[[#This Row],[Country]],Tabela1[Country], 0),0))</f>
        <v>0</v>
      </c>
      <c r="S101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01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01" s="6">
        <f>SUM(INDEX(Tabela1[[Diving - Men''s Springboard]:[Diving - Women''s Synchronized Platform]],MATCH(Table92[[#This Row],[Country]],Tabela1[Country], 0),0))</f>
        <v>0</v>
      </c>
      <c r="V101" s="6">
        <f>SUM(INDEX(Tabela1[[Equestrian - Individual Dressage]:[Equestrian - Team Dressage]],MATCH(Table92[[#This Row],[Country]],Tabela1[Country], 0),0))</f>
        <v>0</v>
      </c>
      <c r="W101" s="6">
        <f>SUM(INDEX(Tabela1[[Equestrian - Individual Eventing]:[Equestrian - Team Eventing]],MATCH(Table92[[#This Row],[Country]],Tabela1[Country], 0),0))</f>
        <v>0</v>
      </c>
      <c r="X101" s="6">
        <f>SUM(INDEX(Tabela1[[Equestrian - Individual Jumping]:[Equestrian - Team Jumping]],MATCH(Table92[[#This Row],[Country]],Tabela1[Country], 0),0))</f>
        <v>0</v>
      </c>
      <c r="Y101" s="6">
        <f>SUM(INDEX(Tabela1[[Fencing - Men''s Épée]:[Fencing - Women''s Team Sabre]],MATCH(Table92[[#This Row],[Country]],Tabela1[Country], 0),0))</f>
        <v>0</v>
      </c>
      <c r="Z101" s="6">
        <f>SUM(INDEX(Tabela1[[Field Hockey - Men''s Tournament]:[Field Hockey - Women''s Tournament]],MATCH(Table92[[#This Row],[Country]],Tabela1[Country], 0),0))</f>
        <v>0</v>
      </c>
      <c r="AA101" s="6">
        <f>SUM(INDEX(Tabela1[[Football - Men''s Tournament]:[Football - Women''s Tournament]],MATCH(Table92[[#This Row],[Country]],Tabela1[Country], 0),0))</f>
        <v>0</v>
      </c>
      <c r="AB101" s="6">
        <f>SUM(INDEX(Tabela1[[Golf - Men''s Individual]:[Golf - Women''s Individual]],MATCH(Table92[[#This Row],[Country]],Tabela1[Country], 0),0))</f>
        <v>0</v>
      </c>
      <c r="AC101" s="6">
        <f>SUM(INDEX(Tabela1[[Handball - Men''s Tournament]:[Handball - Women''s Tournament]],MATCH(Table92[[#This Row],[Country]],Tabela1[Country], 0),0))</f>
        <v>0</v>
      </c>
      <c r="AD101" s="6">
        <f>SUM(INDEX(Tabela1[[Judo - Men''s 60kg]:[Judo - Mixed Team]],MATCH(Table92[[#This Row],[Country]],Tabela1[Country], 0),0))</f>
        <v>0</v>
      </c>
      <c r="AE101" s="6">
        <f>SUM(INDEX(Tabela1[[Swimming - Men''s 10km Open Water]:[Swimming - Women''s 10km Open Water]],MATCH(Table92[[#This Row],[Country]],Tabela1[Country], 0),0))</f>
        <v>0</v>
      </c>
      <c r="AF101" s="6">
        <f>SUM(INDEX(Tabela1[[Modern Pentathlon - Men''s Individual]:[Modern Pentathlon - Women''s Individual]],MATCH(Table92[[#This Row],[Country]],Tabela1[Country], 0),0))</f>
        <v>0</v>
      </c>
      <c r="AG101" s="6">
        <f>SUM(INDEX(Tabela1[[Rhythmic Gymnastics - Women''s Individual All-Around]:[Rhythmic Gymnastics - Women''s Group All-Around]],MATCH(Table92[[#This Row],[Country]],Tabela1[Country], 0),0))</f>
        <v>0</v>
      </c>
      <c r="AH101" s="6">
        <f>SUM(INDEX(Tabela1[[Rowing - Men''s Single Sculls]:[Rowing - Women''s Lwt. Double Sculls]],MATCH(Table92[[#This Row],[Country]],Tabela1[Country], 0),0))</f>
        <v>0</v>
      </c>
      <c r="AI101" s="6">
        <f>SUM(INDEX(Tabela1[[Rugby Sevens - Men''s Tournament]:[Rugby Sevens - Women''s Tournament]],MATCH(Table92[[#This Row],[Country]],Tabela1[Country], 0),0))</f>
        <v>0</v>
      </c>
      <c r="AJ101" s="6">
        <f>SUM(INDEX(Tabela1[[Sailing - Mixed 470]:[Sailing - Mixed Nacra 17]],MATCH(Table92[[#This Row],[Country]],Tabela1[Country], 0),0))</f>
        <v>0</v>
      </c>
      <c r="AK101" s="6">
        <f>SUM(INDEX(Tabela1[[Shooting - Men''s 10m Air Pistol]:[Shooting - Women''s Trap]],MATCH(Table92[[#This Row],[Country]],Tabela1[Country], 0),0))</f>
        <v>0</v>
      </c>
      <c r="AL101" s="6">
        <f>SUM(INDEX(Tabela1[[Skateboarding - Men''s Park]:[Skateboarding - Women''s Street]],MATCH(Table92[[#This Row],[Country]],Tabela1[Country], 0),0))</f>
        <v>0</v>
      </c>
      <c r="AM101" s="6">
        <f>SUM(INDEX(Tabela1[[Sport Climbing - Men''s Boulder and Lead]:[Sport Climbing - Women''s Speed]],MATCH(Table92[[#This Row],[Country]],Tabela1[Country], 0),0))</f>
        <v>0</v>
      </c>
      <c r="AN101" s="6">
        <f>SUM(INDEX(Tabela1[[Surfing - Men''s Shortboard]:[Surfing - Women''s Shortboard]],MATCH(Table92[[#This Row],[Country]],Tabela1[Country], 0),0))</f>
        <v>0</v>
      </c>
      <c r="AO101" s="6">
        <f>SUM(INDEX(Tabela1[[Swimming - Men''s 50m Freestyle]:[Swimming - Mixed 4x100m Medley Relay]],MATCH(Table92[[#This Row],[Country]],Tabela1[Country], 0),0))</f>
        <v>1</v>
      </c>
      <c r="AP101" s="6">
        <f>SUM(INDEX(Tabela1[[Table Tennis - Men''s Singles]:[Table Tennis - Mixed Doubles]],MATCH(Table92[[#This Row],[Country]],Tabela1[Country], 0),0))</f>
        <v>0</v>
      </c>
      <c r="AQ101" s="6">
        <f>SUM(INDEX(Tabela1[[Taekwondo - Men''s 58kg]:[Taekwondo - Women''s +67kg]],MATCH(Table92[[#This Row],[Country]],Tabela1[Country], 0),0))</f>
        <v>1</v>
      </c>
      <c r="AR101" s="6">
        <f>SUM(INDEX(Tabela1[[Tennis - Men''s Singles]:[Tennis - Mixed Doubles]],MATCH(Table92[[#This Row],[Country]],Tabela1[Country], 0),0))</f>
        <v>0</v>
      </c>
      <c r="AS101" s="6">
        <f>SUM(INDEX(Tabela1[[Gymnastics - Men''s Trampoline]:[Gymnastics - Women''s Trampoline]],MATCH(Table92[[#This Row],[Country]],Tabela1[Country], 0),0))</f>
        <v>0</v>
      </c>
      <c r="AT101" s="6">
        <f>SUM(INDEX(Tabela1[[Triathlon - Men''s Individual]:[Triathlon - Mixed Relay]],MATCH(Table92[[#This Row],[Country]],Tabela1[Country], 0),0))</f>
        <v>0</v>
      </c>
      <c r="AU101" s="6">
        <f>SUM(INDEX(Tabela1[[Volleyball - Men''s Tournament]:[Volleyball - Women''s Tournament]],MATCH(Table92[[#This Row],[Country]],Tabela1[Country], 0),0))</f>
        <v>0</v>
      </c>
      <c r="AV101" s="6">
        <f>SUM(INDEX(Tabela1[[Water Polo - Men''s Tournament]:[Water Polo - Women''s Tournament]],MATCH(Table92[[#This Row],[Country]],Tabela1[Country], 0),0))</f>
        <v>0</v>
      </c>
      <c r="AW101" s="6">
        <f>SUM(INDEX(Tabela1[[Weightlifting - Men''s 61kg]:[Weightlifting - Women''s +81kg]],MATCH(Table92[[#This Row],[Country]],Tabela1[Country], 0),0))</f>
        <v>0</v>
      </c>
      <c r="AX101" s="6">
        <f>SUM(INDEX(Tabela1[[Wrestling - Men''s Freestyle 57kg]:[Wrestling - Women''s Freestyle 76kg]],MATCH(Table92[[#This Row],[Country]],Tabela1[Country], 0),0))</f>
        <v>0</v>
      </c>
      <c r="AY101" s="6">
        <f>SUM(INDEX(Tabela1[[Alpine Skiing - Men''s Downhill]:[Alpine Skiing - Women''s Team Combined]],MATCH(Table92[[#This Row],[Country]],Tabela1[Country], 0),0))</f>
        <v>0</v>
      </c>
      <c r="AZ101" s="6">
        <f>SUM(INDEX(Tabela1[[Biathlon - Men''s Individual]:[Biathlon - Mixed Relay]],MATCH(Table92[[#This Row],[Country]],Tabela1[Country], 0),0))</f>
        <v>0</v>
      </c>
      <c r="BA101" s="6">
        <f>SUM(INDEX(Tabela1[[Bobsleigh - Women''s Monobob]:[Bobsleigh - Men''s Four]],MATCH(Table92[[#This Row],[Country]],Tabela1[Country], 0),0))</f>
        <v>0</v>
      </c>
      <c r="BB101" s="6">
        <f>SUM(INDEX(Tabela1[[Cross-country skiing - Men''s Classical]:[Cross-country skiing - Women''s Team Sprint]],MATCH(Table92[[#This Row],[Country]],Tabela1[Country], 0),0))</f>
        <v>0</v>
      </c>
      <c r="BC101" s="6">
        <f>SUM(INDEX(Tabela1[[Curling - Men''s Tournament]:[Curling - Mixed Doubles]],MATCH(Table92[[#This Row],[Country]],Tabela1[Country], 0),0))</f>
        <v>0</v>
      </c>
      <c r="BD101" s="6">
        <f>SUM(INDEX(Tabela1[[Figure Skating - Men''s Singles]:[Figure Skating - Team Event]],MATCH(Table92[[#This Row],[Country]],Tabela1[Country], 0),0))</f>
        <v>0</v>
      </c>
      <c r="BE101" s="6">
        <f>SUM(INDEX(Tabela1[[Freestyle Skiing - Men''s Aerials]:[Freestyle Skiing - Women''s Slopestyle]],MATCH(Table92[[#This Row],[Country]],Tabela1[Country], 0),0))</f>
        <v>0</v>
      </c>
      <c r="BF101" s="6">
        <f>SUM(INDEX(Tabela1[[Ice Hockey - Men''s Tournament]:[Ice Hockey - Women''s Tournament]],MATCH(Table92[[#This Row],[Country]],Tabela1[Country], 0),0))</f>
        <v>0</v>
      </c>
      <c r="BG101" s="6">
        <f>SUM(INDEX(Tabela1[[Luge - Men''s Singles]:[Luge - Mixed Team Relay]],MATCH(Table92[[#This Row],[Country]],Tabela1[Country], 0),0))</f>
        <v>0</v>
      </c>
      <c r="BH101" s="6">
        <f>SUM(INDEX(Tabela1[[Nordic Combined - Men''s Individual]:[Nordic Combined - Men''s Team Sprint Large Hill]],MATCH(Table92[[#This Row],[Country]],Tabela1[Country], 0),0))</f>
        <v>0</v>
      </c>
      <c r="BI101" s="6">
        <f>SUM(INDEX(Tabela1[[Short track speed skating - Men''s 500m]:[Short track speed skating - Mixed 2000m Relay]],MATCH(Table92[[#This Row],[Country]],Tabela1[Country], 0),0))</f>
        <v>0</v>
      </c>
      <c r="BJ101" s="6">
        <f>SUM(INDEX(Tabela1[[Skeleton - Men''s Individual]:[Skeleton - Mixed Team]],MATCH(Table92[[#This Row],[Country]],Tabela1[Country], 0),0))</f>
        <v>0</v>
      </c>
      <c r="BK101" s="6">
        <f>SUM(INDEX(Tabela1[[Ski Jumping - Men''s Individual Large Hill]:[Ski Jumping - Mixed Team Normal Hill]],MATCH(Table92[[#This Row],[Country]],Tabela1[Country], 0),0))</f>
        <v>0</v>
      </c>
      <c r="BL101" s="6">
        <f>SUM(INDEX(Tabela1[[Ski Mountaineering - Men''s Sprint]:[Ski Mountaineering - Mixed Relay]],MATCH(Table92[[#This Row],[Country]],Tabela1[Country], 0),0))</f>
        <v>0</v>
      </c>
      <c r="BM101" s="6">
        <f>SUM(INDEX(Tabela1[[Snowboarding - Men''s Big Air]:[Snowboarding - Mixed Team Snowboard Cross]],MATCH(Table92[[#This Row],[Country]],Tabela1[Country], 0),0))</f>
        <v>0</v>
      </c>
      <c r="BN101" s="6">
        <f>SUM(INDEX(Tabela1[[Speed Skating - Men''s 500m]:[Speed Skating - Women''s Team Pursuit]],MATCH(Table92[[#This Row],[Country]],Tabela1[Country], 0),0))</f>
        <v>0</v>
      </c>
      <c r="BO101" s="6" t="str">
        <f>SUBSTITUTE(INDEX(Table92[[#Headers],[Archery Quotas]:[Speed Skating Quotas]], MATCH(MAX(Table92[[#This Row],[Archery Quotas]:[Speed Skating Quotas]]), Table92[[#This Row],[Archery Quotas]:[Speed Skating Quotas]], 0))," Quotas","")</f>
        <v>Athletics</v>
      </c>
      <c r="BP101" s="6">
        <f>SUM(Table92[[#This Row],[Summer Sports]:[Winter Sports]])</f>
        <v>3</v>
      </c>
      <c r="BQ101" s="6">
        <f>COUNTIF(Table92[[#This Row],[Archery Quotas]:[Wrestling Quotas]],"&lt;&gt;0")</f>
        <v>3</v>
      </c>
      <c r="BR101" s="6">
        <f>COUNTIF(Table92[[#This Row],[Alpine Skiing Quotas]:[Speed Skating Quotas]],"&lt;&gt;0")</f>
        <v>0</v>
      </c>
      <c r="BS101" s="4" t="s">
        <v>539</v>
      </c>
    </row>
    <row r="102" spans="1:71" x14ac:dyDescent="0.3">
      <c r="A102" s="6" t="s">
        <v>540</v>
      </c>
      <c r="B102" t="e" vm="101">
        <f>IF(ISBLANK(Table92[[#This Row],[Flag Link]]), "", _xlfn.IMAGE(Table92[[#This Row],[Flag Link]],1,1))</f>
        <v>#VALUE!</v>
      </c>
      <c r="C102" s="6">
        <f>SUM(Table92[[#This Row],[Archery Quotas]:[Speed Skating Quotas]])</f>
        <v>3</v>
      </c>
      <c r="D102" s="6">
        <f>SUM(INDEX(Tabela1[[Archery - Men''s Individual Recurve]:[Archery - Mixed Team Recurve]],MATCH(Table92[[#This Row],[Country]],Tabela1[Country], 0),0))</f>
        <v>0</v>
      </c>
      <c r="E102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02" s="6">
        <f>SUM(INDEX(Tabela1[[Artistic Swimming - Women''s Duet]:[Artistic Swimming - Women''s Team]],MATCH(Table92[[#This Row],[Country]],Tabela1[Country], 0),0))</f>
        <v>0</v>
      </c>
      <c r="G102" s="6">
        <f>SUM(INDEX(Tabela1[[Athletics - Men''s 100m]:[Athletics - Women''s Heptathlon]],MATCH(Table92[[#This Row],[Country]],Tabela1[Country], 0),0))</f>
        <v>0</v>
      </c>
      <c r="H102" s="6">
        <f>SUM(INDEX(Tabela1[[Badminton - Men''s Singles]:[Badminton - Mixed Doubles]],MATCH(Table92[[#This Row],[Country]],Tabela1[Country], 0),0))</f>
        <v>0</v>
      </c>
      <c r="I102" s="6">
        <f>SUM(INDEX(Tabela1[[Basketball - Men''s Tournament]:[Basketball - Women''s Tournament]],MATCH(Table92[[#This Row],[Country]],Tabela1[Country], 0),0))</f>
        <v>0</v>
      </c>
      <c r="J102" s="6">
        <f>SUM(INDEX(Tabela1[[3x3 Basketball - Men''s Tournament]:[3x3 Basketball - Women''s Tournament]],MATCH(Table92[[#This Row],[Country]],Tabela1[Country], 0),0))</f>
        <v>0</v>
      </c>
      <c r="K102" s="6">
        <f>SUM(INDEX(Tabela1[[Beach Volleyball - Men''s Tournament]:[Beach Volleyball - Women''s Tournament]],MATCH(Table92[[#This Row],[Country]],Tabela1[Country], 0),0))</f>
        <v>0</v>
      </c>
      <c r="L102" s="6">
        <f>SUM(INDEX(Tabela1[[Boxing - Men''s 51kg]:[Boxing - Women''s 75kg]],MATCH(Table92[[#This Row],[Country]],Tabela1[Country], 0),0))</f>
        <v>0</v>
      </c>
      <c r="M102" s="6">
        <f>SUM(INDEX(Tabela1[[Breaking - Men''s Individual]:[Breaking - Women''s Individual]],MATCH(Table92[[#This Row],[Country]],Tabela1[Country], 0),0))</f>
        <v>0</v>
      </c>
      <c r="N102" s="6">
        <f>SUM(INDEX(Tabela1[[Canoeing - Men''s C1 Slalom]:[Canoeing - Women''s Kayak Cross Slalom]],MATCH(Table92[[#This Row],[Country]],Tabela1[Country], 0),0))</f>
        <v>0</v>
      </c>
      <c r="O102" s="6">
        <f>SUM(INDEX(Tabela1[[Canoeing - Women''s C1 200m]:[Canoeing - Women''s K4 500m]],MATCH(Table92[[#This Row],[Country]],Tabela1[Country], 0),0))</f>
        <v>0</v>
      </c>
      <c r="P102" s="6">
        <f>SUM(INDEX(Tabela1[[Cycling - Men''s BMX Freestyle]:[Cycling - Women''s BMX Freestyle]],MATCH(Table92[[#This Row],[Country]],Tabela1[Country], 0),0))</f>
        <v>0</v>
      </c>
      <c r="Q102" s="6">
        <f>SUM(INDEX(Tabela1[[Cycling - Men''s BMX Racing]:[Cycling - Women''s BMX Racing]],MATCH(Table92[[#This Row],[Country]],Tabela1[Country], 0),0))</f>
        <v>0</v>
      </c>
      <c r="R102" s="6">
        <f>SUM(INDEX(Tabela1[[Cycling - Men''s Cross-Country]:[Cycling - Women''s Cross-Country]],MATCH(Table92[[#This Row],[Country]],Tabela1[Country], 0),0))</f>
        <v>0</v>
      </c>
      <c r="S102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02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02" s="6">
        <f>SUM(INDEX(Tabela1[[Diving - Men''s Springboard]:[Diving - Women''s Synchronized Platform]],MATCH(Table92[[#This Row],[Country]],Tabela1[Country], 0),0))</f>
        <v>0</v>
      </c>
      <c r="V102" s="6">
        <f>SUM(INDEX(Tabela1[[Equestrian - Individual Dressage]:[Equestrian - Team Dressage]],MATCH(Table92[[#This Row],[Country]],Tabela1[Country], 0),0))</f>
        <v>0</v>
      </c>
      <c r="W102" s="6">
        <f>SUM(INDEX(Tabela1[[Equestrian - Individual Eventing]:[Equestrian - Team Eventing]],MATCH(Table92[[#This Row],[Country]],Tabela1[Country], 0),0))</f>
        <v>0</v>
      </c>
      <c r="X102" s="6">
        <f>SUM(INDEX(Tabela1[[Equestrian - Individual Jumping]:[Equestrian - Team Jumping]],MATCH(Table92[[#This Row],[Country]],Tabela1[Country], 0),0))</f>
        <v>0</v>
      </c>
      <c r="Y102" s="6">
        <f>SUM(INDEX(Tabela1[[Fencing - Men''s Épée]:[Fencing - Women''s Team Sabre]],MATCH(Table92[[#This Row],[Country]],Tabela1[Country], 0),0))</f>
        <v>0</v>
      </c>
      <c r="Z102" s="6">
        <f>SUM(INDEX(Tabela1[[Field Hockey - Men''s Tournament]:[Field Hockey - Women''s Tournament]],MATCH(Table92[[#This Row],[Country]],Tabela1[Country], 0),0))</f>
        <v>0</v>
      </c>
      <c r="AA102" s="6">
        <f>SUM(INDEX(Tabela1[[Football - Men''s Tournament]:[Football - Women''s Tournament]],MATCH(Table92[[#This Row],[Country]],Tabela1[Country], 0),0))</f>
        <v>0</v>
      </c>
      <c r="AB102" s="6">
        <f>SUM(INDEX(Tabela1[[Golf - Men''s Individual]:[Golf - Women''s Individual]],MATCH(Table92[[#This Row],[Country]],Tabela1[Country], 0),0))</f>
        <v>0</v>
      </c>
      <c r="AC102" s="6">
        <f>SUM(INDEX(Tabela1[[Handball - Men''s Tournament]:[Handball - Women''s Tournament]],MATCH(Table92[[#This Row],[Country]],Tabela1[Country], 0),0))</f>
        <v>0</v>
      </c>
      <c r="AD102" s="6">
        <f>SUM(INDEX(Tabela1[[Judo - Men''s 60kg]:[Judo - Mixed Team]],MATCH(Table92[[#This Row],[Country]],Tabela1[Country], 0),0))</f>
        <v>1</v>
      </c>
      <c r="AE102" s="6">
        <f>SUM(INDEX(Tabela1[[Swimming - Men''s 10km Open Water]:[Swimming - Women''s 10km Open Water]],MATCH(Table92[[#This Row],[Country]],Tabela1[Country], 0),0))</f>
        <v>0</v>
      </c>
      <c r="AF102" s="6">
        <f>SUM(INDEX(Tabela1[[Modern Pentathlon - Men''s Individual]:[Modern Pentathlon - Women''s Individual]],MATCH(Table92[[#This Row],[Country]],Tabela1[Country], 0),0))</f>
        <v>0</v>
      </c>
      <c r="AG102" s="6">
        <f>SUM(INDEX(Tabela1[[Rhythmic Gymnastics - Women''s Individual All-Around]:[Rhythmic Gymnastics - Women''s Group All-Around]],MATCH(Table92[[#This Row],[Country]],Tabela1[Country], 0),0))</f>
        <v>0</v>
      </c>
      <c r="AH102" s="6">
        <f>SUM(INDEX(Tabela1[[Rowing - Men''s Single Sculls]:[Rowing - Women''s Lwt. Double Sculls]],MATCH(Table92[[#This Row],[Country]],Tabela1[Country], 0),0))</f>
        <v>0</v>
      </c>
      <c r="AI102" s="6">
        <f>SUM(INDEX(Tabela1[[Rugby Sevens - Men''s Tournament]:[Rugby Sevens - Women''s Tournament]],MATCH(Table92[[#This Row],[Country]],Tabela1[Country], 0),0))</f>
        <v>0</v>
      </c>
      <c r="AJ102" s="6">
        <f>SUM(INDEX(Tabela1[[Sailing - Mixed 470]:[Sailing - Mixed Nacra 17]],MATCH(Table92[[#This Row],[Country]],Tabela1[Country], 0),0))</f>
        <v>0</v>
      </c>
      <c r="AK102" s="6">
        <f>SUM(INDEX(Tabela1[[Shooting - Men''s 10m Air Pistol]:[Shooting - Women''s Trap]],MATCH(Table92[[#This Row],[Country]],Tabela1[Country], 0),0))</f>
        <v>0</v>
      </c>
      <c r="AL102" s="6">
        <f>SUM(INDEX(Tabela1[[Skateboarding - Men''s Park]:[Skateboarding - Women''s Street]],MATCH(Table92[[#This Row],[Country]],Tabela1[Country], 0),0))</f>
        <v>0</v>
      </c>
      <c r="AM102" s="6">
        <f>SUM(INDEX(Tabela1[[Sport Climbing - Men''s Boulder and Lead]:[Sport Climbing - Women''s Speed]],MATCH(Table92[[#This Row],[Country]],Tabela1[Country], 0),0))</f>
        <v>0</v>
      </c>
      <c r="AN102" s="6">
        <f>SUM(INDEX(Tabela1[[Surfing - Men''s Shortboard]:[Surfing - Women''s Shortboard]],MATCH(Table92[[#This Row],[Country]],Tabela1[Country], 0),0))</f>
        <v>0</v>
      </c>
      <c r="AO102" s="6">
        <f>SUM(INDEX(Tabela1[[Swimming - Men''s 50m Freestyle]:[Swimming - Mixed 4x100m Medley Relay]],MATCH(Table92[[#This Row],[Country]],Tabela1[Country], 0),0))</f>
        <v>2</v>
      </c>
      <c r="AP102" s="6">
        <f>SUM(INDEX(Tabela1[[Table Tennis - Men''s Singles]:[Table Tennis - Mixed Doubles]],MATCH(Table92[[#This Row],[Country]],Tabela1[Country], 0),0))</f>
        <v>0</v>
      </c>
      <c r="AQ102" s="6">
        <f>SUM(INDEX(Tabela1[[Taekwondo - Men''s 58kg]:[Taekwondo - Women''s +67kg]],MATCH(Table92[[#This Row],[Country]],Tabela1[Country], 0),0))</f>
        <v>0</v>
      </c>
      <c r="AR102" s="6">
        <f>SUM(INDEX(Tabela1[[Tennis - Men''s Singles]:[Tennis - Mixed Doubles]],MATCH(Table92[[#This Row],[Country]],Tabela1[Country], 0),0))</f>
        <v>0</v>
      </c>
      <c r="AS102" s="6">
        <f>SUM(INDEX(Tabela1[[Gymnastics - Men''s Trampoline]:[Gymnastics - Women''s Trampoline]],MATCH(Table92[[#This Row],[Country]],Tabela1[Country], 0),0))</f>
        <v>0</v>
      </c>
      <c r="AT102" s="6">
        <f>SUM(INDEX(Tabela1[[Triathlon - Men''s Individual]:[Triathlon - Mixed Relay]],MATCH(Table92[[#This Row],[Country]],Tabela1[Country], 0),0))</f>
        <v>0</v>
      </c>
      <c r="AU102" s="6">
        <f>SUM(INDEX(Tabela1[[Volleyball - Men''s Tournament]:[Volleyball - Women''s Tournament]],MATCH(Table92[[#This Row],[Country]],Tabela1[Country], 0),0))</f>
        <v>0</v>
      </c>
      <c r="AV102" s="6">
        <f>SUM(INDEX(Tabela1[[Water Polo - Men''s Tournament]:[Water Polo - Women''s Tournament]],MATCH(Table92[[#This Row],[Country]],Tabela1[Country], 0),0))</f>
        <v>0</v>
      </c>
      <c r="AW102" s="6">
        <f>SUM(INDEX(Tabela1[[Weightlifting - Men''s 61kg]:[Weightlifting - Women''s +81kg]],MATCH(Table92[[#This Row],[Country]],Tabela1[Country], 0),0))</f>
        <v>0</v>
      </c>
      <c r="AX102" s="6">
        <f>SUM(INDEX(Tabela1[[Wrestling - Men''s Freestyle 57kg]:[Wrestling - Women''s Freestyle 76kg]],MATCH(Table92[[#This Row],[Country]],Tabela1[Country], 0),0))</f>
        <v>0</v>
      </c>
      <c r="AY102" s="6">
        <f>SUM(INDEX(Tabela1[[Alpine Skiing - Men''s Downhill]:[Alpine Skiing - Women''s Team Combined]],MATCH(Table92[[#This Row],[Country]],Tabela1[Country], 0),0))</f>
        <v>0</v>
      </c>
      <c r="AZ102" s="6">
        <f>SUM(INDEX(Tabela1[[Biathlon - Men''s Individual]:[Biathlon - Mixed Relay]],MATCH(Table92[[#This Row],[Country]],Tabela1[Country], 0),0))</f>
        <v>0</v>
      </c>
      <c r="BA102" s="6">
        <f>SUM(INDEX(Tabela1[[Bobsleigh - Women''s Monobob]:[Bobsleigh - Men''s Four]],MATCH(Table92[[#This Row],[Country]],Tabela1[Country], 0),0))</f>
        <v>0</v>
      </c>
      <c r="BB102" s="6">
        <f>SUM(INDEX(Tabela1[[Cross-country skiing - Men''s Classical]:[Cross-country skiing - Women''s Team Sprint]],MATCH(Table92[[#This Row],[Country]],Tabela1[Country], 0),0))</f>
        <v>0</v>
      </c>
      <c r="BC102" s="6">
        <f>SUM(INDEX(Tabela1[[Curling - Men''s Tournament]:[Curling - Mixed Doubles]],MATCH(Table92[[#This Row],[Country]],Tabela1[Country], 0),0))</f>
        <v>0</v>
      </c>
      <c r="BD102" s="6">
        <f>SUM(INDEX(Tabela1[[Figure Skating - Men''s Singles]:[Figure Skating - Team Event]],MATCH(Table92[[#This Row],[Country]],Tabela1[Country], 0),0))</f>
        <v>0</v>
      </c>
      <c r="BE102" s="6">
        <f>SUM(INDEX(Tabela1[[Freestyle Skiing - Men''s Aerials]:[Freestyle Skiing - Women''s Slopestyle]],MATCH(Table92[[#This Row],[Country]],Tabela1[Country], 0),0))</f>
        <v>0</v>
      </c>
      <c r="BF102" s="6">
        <f>SUM(INDEX(Tabela1[[Ice Hockey - Men''s Tournament]:[Ice Hockey - Women''s Tournament]],MATCH(Table92[[#This Row],[Country]],Tabela1[Country], 0),0))</f>
        <v>0</v>
      </c>
      <c r="BG102" s="6">
        <f>SUM(INDEX(Tabela1[[Luge - Men''s Singles]:[Luge - Mixed Team Relay]],MATCH(Table92[[#This Row],[Country]],Tabela1[Country], 0),0))</f>
        <v>0</v>
      </c>
      <c r="BH102" s="6">
        <f>SUM(INDEX(Tabela1[[Nordic Combined - Men''s Individual]:[Nordic Combined - Men''s Team Sprint Large Hill]],MATCH(Table92[[#This Row],[Country]],Tabela1[Country], 0),0))</f>
        <v>0</v>
      </c>
      <c r="BI102" s="6">
        <f>SUM(INDEX(Tabela1[[Short track speed skating - Men''s 500m]:[Short track speed skating - Mixed 2000m Relay]],MATCH(Table92[[#This Row],[Country]],Tabela1[Country], 0),0))</f>
        <v>0</v>
      </c>
      <c r="BJ102" s="6">
        <f>SUM(INDEX(Tabela1[[Skeleton - Men''s Individual]:[Skeleton - Mixed Team]],MATCH(Table92[[#This Row],[Country]],Tabela1[Country], 0),0))</f>
        <v>0</v>
      </c>
      <c r="BK102" s="6">
        <f>SUM(INDEX(Tabela1[[Ski Jumping - Men''s Individual Large Hill]:[Ski Jumping - Mixed Team Normal Hill]],MATCH(Table92[[#This Row],[Country]],Tabela1[Country], 0),0))</f>
        <v>0</v>
      </c>
      <c r="BL102" s="6">
        <f>SUM(INDEX(Tabela1[[Ski Mountaineering - Men''s Sprint]:[Ski Mountaineering - Mixed Relay]],MATCH(Table92[[#This Row],[Country]],Tabela1[Country], 0),0))</f>
        <v>0</v>
      </c>
      <c r="BM102" s="6">
        <f>SUM(INDEX(Tabela1[[Snowboarding - Men''s Big Air]:[Snowboarding - Mixed Team Snowboard Cross]],MATCH(Table92[[#This Row],[Country]],Tabela1[Country], 0),0))</f>
        <v>0</v>
      </c>
      <c r="BN102" s="6">
        <f>SUM(INDEX(Tabela1[[Speed Skating - Men''s 500m]:[Speed Skating - Women''s Team Pursuit]],MATCH(Table92[[#This Row],[Country]],Tabela1[Country], 0),0))</f>
        <v>0</v>
      </c>
      <c r="BO102" s="6" t="str">
        <f>SUBSTITUTE(INDEX(Table92[[#Headers],[Archery Quotas]:[Speed Skating Quotas]], MATCH(MAX(Table92[[#This Row],[Archery Quotas]:[Speed Skating Quotas]]), Table92[[#This Row],[Archery Quotas]:[Speed Skating Quotas]], 0))," Quotas","")</f>
        <v>Swimming</v>
      </c>
      <c r="BP102" s="6">
        <f>SUM(Table92[[#This Row],[Summer Sports]:[Winter Sports]])</f>
        <v>2</v>
      </c>
      <c r="BQ102" s="6">
        <f>COUNTIF(Table92[[#This Row],[Archery Quotas]:[Wrestling Quotas]],"&lt;&gt;0")</f>
        <v>2</v>
      </c>
      <c r="BR102" s="6">
        <f>COUNTIF(Table92[[#This Row],[Alpine Skiing Quotas]:[Speed Skating Quotas]],"&lt;&gt;0")</f>
        <v>0</v>
      </c>
      <c r="BS102" s="4" t="s">
        <v>541</v>
      </c>
    </row>
    <row r="103" spans="1:71" x14ac:dyDescent="0.3">
      <c r="A103" s="6" t="s">
        <v>570</v>
      </c>
      <c r="B103" t="e" vm="104">
        <f>IF(ISBLANK(Table92[[#This Row],[Flag Link]]), "", _xlfn.IMAGE(Table92[[#This Row],[Flag Link]],1,1))</f>
        <v>#VALUE!</v>
      </c>
      <c r="C103" s="6">
        <f>SUM(Table92[[#This Row],[Archery Quotas]:[Speed Skating Quotas]])</f>
        <v>3</v>
      </c>
      <c r="D103" s="6">
        <f>SUM(INDEX(Tabela1[[Archery - Men''s Individual Recurve]:[Archery - Mixed Team Recurve]],MATCH(Table92[[#This Row],[Country]],Tabela1[Country], 0),0))</f>
        <v>0</v>
      </c>
      <c r="E103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03" s="6">
        <f>SUM(INDEX(Tabela1[[Artistic Swimming - Women''s Duet]:[Artistic Swimming - Women''s Team]],MATCH(Table92[[#This Row],[Country]],Tabela1[Country], 0),0))</f>
        <v>0</v>
      </c>
      <c r="G103" s="6">
        <f>SUM(INDEX(Tabela1[[Athletics - Men''s 100m]:[Athletics - Women''s Heptathlon]],MATCH(Table92[[#This Row],[Country]],Tabela1[Country], 0),0))</f>
        <v>1</v>
      </c>
      <c r="H103" s="6">
        <f>SUM(INDEX(Tabela1[[Badminton - Men''s Singles]:[Badminton - Mixed Doubles]],MATCH(Table92[[#This Row],[Country]],Tabela1[Country], 0),0))</f>
        <v>0</v>
      </c>
      <c r="I103" s="6">
        <f>SUM(INDEX(Tabela1[[Basketball - Men''s Tournament]:[Basketball - Women''s Tournament]],MATCH(Table92[[#This Row],[Country]],Tabela1[Country], 0),0))</f>
        <v>0</v>
      </c>
      <c r="J103" s="6">
        <f>SUM(INDEX(Tabela1[[3x3 Basketball - Men''s Tournament]:[3x3 Basketball - Women''s Tournament]],MATCH(Table92[[#This Row],[Country]],Tabela1[Country], 0),0))</f>
        <v>0</v>
      </c>
      <c r="K103" s="6">
        <f>SUM(INDEX(Tabela1[[Beach Volleyball - Men''s Tournament]:[Beach Volleyball - Women''s Tournament]],MATCH(Table92[[#This Row],[Country]],Tabela1[Country], 0),0))</f>
        <v>0</v>
      </c>
      <c r="L103" s="6">
        <f>SUM(INDEX(Tabela1[[Boxing - Men''s 51kg]:[Boxing - Women''s 75kg]],MATCH(Table92[[#This Row],[Country]],Tabela1[Country], 0),0))</f>
        <v>0</v>
      </c>
      <c r="M103" s="6">
        <f>SUM(INDEX(Tabela1[[Breaking - Men''s Individual]:[Breaking - Women''s Individual]],MATCH(Table92[[#This Row],[Country]],Tabela1[Country], 0),0))</f>
        <v>0</v>
      </c>
      <c r="N103" s="6">
        <f>SUM(INDEX(Tabela1[[Canoeing - Men''s C1 Slalom]:[Canoeing - Women''s Kayak Cross Slalom]],MATCH(Table92[[#This Row],[Country]],Tabela1[Country], 0),0))</f>
        <v>0</v>
      </c>
      <c r="O103" s="6">
        <f>SUM(INDEX(Tabela1[[Canoeing - Women''s C1 200m]:[Canoeing - Women''s K4 500m]],MATCH(Table92[[#This Row],[Country]],Tabela1[Country], 0),0))</f>
        <v>0</v>
      </c>
      <c r="P103" s="6">
        <f>SUM(INDEX(Tabela1[[Cycling - Men''s BMX Freestyle]:[Cycling - Women''s BMX Freestyle]],MATCH(Table92[[#This Row],[Country]],Tabela1[Country], 0),0))</f>
        <v>0</v>
      </c>
      <c r="Q103" s="6">
        <f>SUM(INDEX(Tabela1[[Cycling - Men''s BMX Racing]:[Cycling - Women''s BMX Racing]],MATCH(Table92[[#This Row],[Country]],Tabela1[Country], 0),0))</f>
        <v>0</v>
      </c>
      <c r="R103" s="6">
        <f>SUM(INDEX(Tabela1[[Cycling - Men''s Cross-Country]:[Cycling - Women''s Cross-Country]],MATCH(Table92[[#This Row],[Country]],Tabela1[Country], 0),0))</f>
        <v>0</v>
      </c>
      <c r="S103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03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03" s="6">
        <f>SUM(INDEX(Tabela1[[Diving - Men''s Springboard]:[Diving - Women''s Synchronized Platform]],MATCH(Table92[[#This Row],[Country]],Tabela1[Country], 0),0))</f>
        <v>0</v>
      </c>
      <c r="V103" s="6">
        <f>SUM(INDEX(Tabela1[[Equestrian - Individual Dressage]:[Equestrian - Team Dressage]],MATCH(Table92[[#This Row],[Country]],Tabela1[Country], 0),0))</f>
        <v>0</v>
      </c>
      <c r="W103" s="6">
        <f>SUM(INDEX(Tabela1[[Equestrian - Individual Eventing]:[Equestrian - Team Eventing]],MATCH(Table92[[#This Row],[Country]],Tabela1[Country], 0),0))</f>
        <v>0</v>
      </c>
      <c r="X103" s="6">
        <f>SUM(INDEX(Tabela1[[Equestrian - Individual Jumping]:[Equestrian - Team Jumping]],MATCH(Table92[[#This Row],[Country]],Tabela1[Country], 0),0))</f>
        <v>0</v>
      </c>
      <c r="Y103" s="6">
        <f>SUM(INDEX(Tabela1[[Fencing - Men''s Épée]:[Fencing - Women''s Team Sabre]],MATCH(Table92[[#This Row],[Country]],Tabela1[Country], 0),0))</f>
        <v>0</v>
      </c>
      <c r="Z103" s="6">
        <f>SUM(INDEX(Tabela1[[Field Hockey - Men''s Tournament]:[Field Hockey - Women''s Tournament]],MATCH(Table92[[#This Row],[Country]],Tabela1[Country], 0),0))</f>
        <v>0</v>
      </c>
      <c r="AA103" s="6">
        <f>SUM(INDEX(Tabela1[[Football - Men''s Tournament]:[Football - Women''s Tournament]],MATCH(Table92[[#This Row],[Country]],Tabela1[Country], 0),0))</f>
        <v>0</v>
      </c>
      <c r="AB103" s="6">
        <f>SUM(INDEX(Tabela1[[Golf - Men''s Individual]:[Golf - Women''s Individual]],MATCH(Table92[[#This Row],[Country]],Tabela1[Country], 0),0))</f>
        <v>0</v>
      </c>
      <c r="AC103" s="6">
        <f>SUM(INDEX(Tabela1[[Handball - Men''s Tournament]:[Handball - Women''s Tournament]],MATCH(Table92[[#This Row],[Country]],Tabela1[Country], 0),0))</f>
        <v>0</v>
      </c>
      <c r="AD103" s="6">
        <f>SUM(INDEX(Tabela1[[Judo - Men''s 60kg]:[Judo - Mixed Team]],MATCH(Table92[[#This Row],[Country]],Tabela1[Country], 0),0))</f>
        <v>0</v>
      </c>
      <c r="AE103" s="6">
        <f>SUM(INDEX(Tabela1[[Swimming - Men''s 10km Open Water]:[Swimming - Women''s 10km Open Water]],MATCH(Table92[[#This Row],[Country]],Tabela1[Country], 0),0))</f>
        <v>0</v>
      </c>
      <c r="AF103" s="6">
        <f>SUM(INDEX(Tabela1[[Modern Pentathlon - Men''s Individual]:[Modern Pentathlon - Women''s Individual]],MATCH(Table92[[#This Row],[Country]],Tabela1[Country], 0),0))</f>
        <v>0</v>
      </c>
      <c r="AG103" s="6">
        <f>SUM(INDEX(Tabela1[[Rhythmic Gymnastics - Women''s Individual All-Around]:[Rhythmic Gymnastics - Women''s Group All-Around]],MATCH(Table92[[#This Row],[Country]],Tabela1[Country], 0),0))</f>
        <v>0</v>
      </c>
      <c r="AH103" s="6">
        <f>SUM(INDEX(Tabela1[[Rowing - Men''s Single Sculls]:[Rowing - Women''s Lwt. Double Sculls]],MATCH(Table92[[#This Row],[Country]],Tabela1[Country], 0),0))</f>
        <v>0</v>
      </c>
      <c r="AI103" s="6">
        <f>SUM(INDEX(Tabela1[[Rugby Sevens - Men''s Tournament]:[Rugby Sevens - Women''s Tournament]],MATCH(Table92[[#This Row],[Country]],Tabela1[Country], 0),0))</f>
        <v>0</v>
      </c>
      <c r="AJ103" s="6">
        <f>SUM(INDEX(Tabela1[[Sailing - Mixed 470]:[Sailing - Mixed Nacra 17]],MATCH(Table92[[#This Row],[Country]],Tabela1[Country], 0),0))</f>
        <v>0</v>
      </c>
      <c r="AK103" s="6">
        <f>SUM(INDEX(Tabela1[[Shooting - Men''s 10m Air Pistol]:[Shooting - Women''s Trap]],MATCH(Table92[[#This Row],[Country]],Tabela1[Country], 0),0))</f>
        <v>0</v>
      </c>
      <c r="AL103" s="6">
        <f>SUM(INDEX(Tabela1[[Skateboarding - Men''s Park]:[Skateboarding - Women''s Street]],MATCH(Table92[[#This Row],[Country]],Tabela1[Country], 0),0))</f>
        <v>0</v>
      </c>
      <c r="AM103" s="6">
        <f>SUM(INDEX(Tabela1[[Sport Climbing - Men''s Boulder and Lead]:[Sport Climbing - Women''s Speed]],MATCH(Table92[[#This Row],[Country]],Tabela1[Country], 0),0))</f>
        <v>0</v>
      </c>
      <c r="AN103" s="6">
        <f>SUM(INDEX(Tabela1[[Surfing - Men''s Shortboard]:[Surfing - Women''s Shortboard]],MATCH(Table92[[#This Row],[Country]],Tabela1[Country], 0),0))</f>
        <v>0</v>
      </c>
      <c r="AO103" s="6">
        <f>SUM(INDEX(Tabela1[[Swimming - Men''s 50m Freestyle]:[Swimming - Mixed 4x100m Medley Relay]],MATCH(Table92[[#This Row],[Country]],Tabela1[Country], 0),0))</f>
        <v>0</v>
      </c>
      <c r="AP103" s="6">
        <f>SUM(INDEX(Tabela1[[Table Tennis - Men''s Singles]:[Table Tennis - Mixed Doubles]],MATCH(Table92[[#This Row],[Country]],Tabela1[Country], 0),0))</f>
        <v>0</v>
      </c>
      <c r="AQ103" s="6">
        <f>SUM(INDEX(Tabela1[[Taekwondo - Men''s 58kg]:[Taekwondo - Women''s +67kg]],MATCH(Table92[[#This Row],[Country]],Tabela1[Country], 0),0))</f>
        <v>0</v>
      </c>
      <c r="AR103" s="6">
        <f>SUM(INDEX(Tabela1[[Tennis - Men''s Singles]:[Tennis - Mixed Doubles]],MATCH(Table92[[#This Row],[Country]],Tabela1[Country], 0),0))</f>
        <v>0</v>
      </c>
      <c r="AS103" s="6">
        <f>SUM(INDEX(Tabela1[[Gymnastics - Men''s Trampoline]:[Gymnastics - Women''s Trampoline]],MATCH(Table92[[#This Row],[Country]],Tabela1[Country], 0),0))</f>
        <v>0</v>
      </c>
      <c r="AT103" s="6">
        <f>SUM(INDEX(Tabela1[[Triathlon - Men''s Individual]:[Triathlon - Mixed Relay]],MATCH(Table92[[#This Row],[Country]],Tabela1[Country], 0),0))</f>
        <v>0</v>
      </c>
      <c r="AU103" s="6">
        <f>SUM(INDEX(Tabela1[[Volleyball - Men''s Tournament]:[Volleyball - Women''s Tournament]],MATCH(Table92[[#This Row],[Country]],Tabela1[Country], 0),0))</f>
        <v>0</v>
      </c>
      <c r="AV103" s="6">
        <f>SUM(INDEX(Tabela1[[Water Polo - Men''s Tournament]:[Water Polo - Women''s Tournament]],MATCH(Table92[[#This Row],[Country]],Tabela1[Country], 0),0))</f>
        <v>0</v>
      </c>
      <c r="AW103" s="6">
        <f>SUM(INDEX(Tabela1[[Weightlifting - Men''s 61kg]:[Weightlifting - Women''s +81kg]],MATCH(Table92[[#This Row],[Country]],Tabela1[Country], 0),0))</f>
        <v>0</v>
      </c>
      <c r="AX103" s="6">
        <f>SUM(INDEX(Tabela1[[Wrestling - Men''s Freestyle 57kg]:[Wrestling - Women''s Freestyle 76kg]],MATCH(Table92[[#This Row],[Country]],Tabela1[Country], 0),0))</f>
        <v>0</v>
      </c>
      <c r="AY103" s="6">
        <f>SUM(INDEX(Tabela1[[Alpine Skiing - Men''s Downhill]:[Alpine Skiing - Women''s Team Combined]],MATCH(Table92[[#This Row],[Country]],Tabela1[Country], 0),0))</f>
        <v>2</v>
      </c>
      <c r="AZ103" s="6">
        <f>SUM(INDEX(Tabela1[[Biathlon - Men''s Individual]:[Biathlon - Mixed Relay]],MATCH(Table92[[#This Row],[Country]],Tabela1[Country], 0),0))</f>
        <v>0</v>
      </c>
      <c r="BA103" s="6">
        <f>SUM(INDEX(Tabela1[[Bobsleigh - Women''s Monobob]:[Bobsleigh - Men''s Four]],MATCH(Table92[[#This Row],[Country]],Tabela1[Country], 0),0))</f>
        <v>0</v>
      </c>
      <c r="BB103" s="6">
        <f>SUM(INDEX(Tabela1[[Cross-country skiing - Men''s Classical]:[Cross-country skiing - Women''s Team Sprint]],MATCH(Table92[[#This Row],[Country]],Tabela1[Country], 0),0))</f>
        <v>0</v>
      </c>
      <c r="BC103" s="6">
        <f>SUM(INDEX(Tabela1[[Curling - Men''s Tournament]:[Curling - Mixed Doubles]],MATCH(Table92[[#This Row],[Country]],Tabela1[Country], 0),0))</f>
        <v>0</v>
      </c>
      <c r="BD103" s="6">
        <f>SUM(INDEX(Tabela1[[Figure Skating - Men''s Singles]:[Figure Skating - Team Event]],MATCH(Table92[[#This Row],[Country]],Tabela1[Country], 0),0))</f>
        <v>0</v>
      </c>
      <c r="BE103" s="6">
        <f>SUM(INDEX(Tabela1[[Freestyle Skiing - Men''s Aerials]:[Freestyle Skiing - Women''s Slopestyle]],MATCH(Table92[[#This Row],[Country]],Tabela1[Country], 0),0))</f>
        <v>0</v>
      </c>
      <c r="BF103" s="6">
        <f>SUM(INDEX(Tabela1[[Ice Hockey - Men''s Tournament]:[Ice Hockey - Women''s Tournament]],MATCH(Table92[[#This Row],[Country]],Tabela1[Country], 0),0))</f>
        <v>0</v>
      </c>
      <c r="BG103" s="6">
        <f>SUM(INDEX(Tabela1[[Luge - Men''s Singles]:[Luge - Mixed Team Relay]],MATCH(Table92[[#This Row],[Country]],Tabela1[Country], 0),0))</f>
        <v>0</v>
      </c>
      <c r="BH103" s="6">
        <f>SUM(INDEX(Tabela1[[Nordic Combined - Men''s Individual]:[Nordic Combined - Men''s Team Sprint Large Hill]],MATCH(Table92[[#This Row],[Country]],Tabela1[Country], 0),0))</f>
        <v>0</v>
      </c>
      <c r="BI103" s="6">
        <f>SUM(INDEX(Tabela1[[Short track speed skating - Men''s 500m]:[Short track speed skating - Mixed 2000m Relay]],MATCH(Table92[[#This Row],[Country]],Tabela1[Country], 0),0))</f>
        <v>0</v>
      </c>
      <c r="BJ103" s="6">
        <f>SUM(INDEX(Tabela1[[Skeleton - Men''s Individual]:[Skeleton - Mixed Team]],MATCH(Table92[[#This Row],[Country]],Tabela1[Country], 0),0))</f>
        <v>0</v>
      </c>
      <c r="BK103" s="6">
        <f>SUM(INDEX(Tabela1[[Ski Jumping - Men''s Individual Large Hill]:[Ski Jumping - Mixed Team Normal Hill]],MATCH(Table92[[#This Row],[Country]],Tabela1[Country], 0),0))</f>
        <v>0</v>
      </c>
      <c r="BL103" s="6">
        <f>SUM(INDEX(Tabela1[[Ski Mountaineering - Men''s Sprint]:[Ski Mountaineering - Mixed Relay]],MATCH(Table92[[#This Row],[Country]],Tabela1[Country], 0),0))</f>
        <v>0</v>
      </c>
      <c r="BM103" s="6">
        <f>SUM(INDEX(Tabela1[[Snowboarding - Men''s Big Air]:[Snowboarding - Mixed Team Snowboard Cross]],MATCH(Table92[[#This Row],[Country]],Tabela1[Country], 0),0))</f>
        <v>0</v>
      </c>
      <c r="BN103" s="6">
        <f>SUM(INDEX(Tabela1[[Speed Skating - Men''s 500m]:[Speed Skating - Women''s Team Pursuit]],MATCH(Table92[[#This Row],[Country]],Tabela1[Country], 0),0))</f>
        <v>0</v>
      </c>
      <c r="BO103" s="6" t="str">
        <f>SUBSTITUTE(INDEX(Table92[[#Headers],[Archery Quotas]:[Speed Skating Quotas]], MATCH(MAX(Table92[[#This Row],[Archery Quotas]:[Speed Skating Quotas]]), Table92[[#This Row],[Archery Quotas]:[Speed Skating Quotas]], 0))," Quotas","")</f>
        <v>Alpine Skiing</v>
      </c>
      <c r="BP103" s="6">
        <f>SUM(Table92[[#This Row],[Summer Sports]:[Winter Sports]])</f>
        <v>2</v>
      </c>
      <c r="BQ103" s="6">
        <f>COUNTIF(Table92[[#This Row],[Archery Quotas]:[Wrestling Quotas]],"&lt;&gt;0")</f>
        <v>1</v>
      </c>
      <c r="BR103" s="6">
        <f>COUNTIF(Table92[[#This Row],[Alpine Skiing Quotas]:[Speed Skating Quotas]],"&lt;&gt;0")</f>
        <v>1</v>
      </c>
      <c r="BS103" s="4" t="s">
        <v>571</v>
      </c>
    </row>
    <row r="104" spans="1:71" x14ac:dyDescent="0.3">
      <c r="A104" s="6" t="s">
        <v>578</v>
      </c>
      <c r="B104" t="e" vm="112">
        <f>IF(ISBLANK(Table92[[#This Row],[Flag Link]]), "", _xlfn.IMAGE(Table92[[#This Row],[Flag Link]],1,1))</f>
        <v>#VALUE!</v>
      </c>
      <c r="C104" s="6">
        <f>SUM(Table92[[#This Row],[Archery Quotas]:[Speed Skating Quotas]])</f>
        <v>3</v>
      </c>
      <c r="D104" s="6">
        <f>SUM(INDEX(Tabela1[[Archery - Men''s Individual Recurve]:[Archery - Mixed Team Recurve]],MATCH(Table92[[#This Row],[Country]],Tabela1[Country], 0),0))</f>
        <v>0</v>
      </c>
      <c r="E104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04" s="6">
        <f>SUM(INDEX(Tabela1[[Artistic Swimming - Women''s Duet]:[Artistic Swimming - Women''s Team]],MATCH(Table92[[#This Row],[Country]],Tabela1[Country], 0),0))</f>
        <v>0</v>
      </c>
      <c r="G104" s="6">
        <f>SUM(INDEX(Tabela1[[Athletics - Men''s 100m]:[Athletics - Women''s Heptathlon]],MATCH(Table92[[#This Row],[Country]],Tabela1[Country], 0),0))</f>
        <v>0</v>
      </c>
      <c r="H104" s="6">
        <f>SUM(INDEX(Tabela1[[Badminton - Men''s Singles]:[Badminton - Mixed Doubles]],MATCH(Table92[[#This Row],[Country]],Tabela1[Country], 0),0))</f>
        <v>0</v>
      </c>
      <c r="I104" s="6">
        <f>SUM(INDEX(Tabela1[[Basketball - Men''s Tournament]:[Basketball - Women''s Tournament]],MATCH(Table92[[#This Row],[Country]],Tabela1[Country], 0),0))</f>
        <v>0</v>
      </c>
      <c r="J104" s="6">
        <f>SUM(INDEX(Tabela1[[3x3 Basketball - Men''s Tournament]:[3x3 Basketball - Women''s Tournament]],MATCH(Table92[[#This Row],[Country]],Tabela1[Country], 0),0))</f>
        <v>0</v>
      </c>
      <c r="K104" s="6">
        <f>SUM(INDEX(Tabela1[[Beach Volleyball - Men''s Tournament]:[Beach Volleyball - Women''s Tournament]],MATCH(Table92[[#This Row],[Country]],Tabela1[Country], 0),0))</f>
        <v>0</v>
      </c>
      <c r="L104" s="6">
        <f>SUM(INDEX(Tabela1[[Boxing - Men''s 51kg]:[Boxing - Women''s 75kg]],MATCH(Table92[[#This Row],[Country]],Tabela1[Country], 0),0))</f>
        <v>0</v>
      </c>
      <c r="M104" s="6">
        <f>SUM(INDEX(Tabela1[[Breaking - Men''s Individual]:[Breaking - Women''s Individual]],MATCH(Table92[[#This Row],[Country]],Tabela1[Country], 0),0))</f>
        <v>0</v>
      </c>
      <c r="N104" s="6">
        <f>SUM(INDEX(Tabela1[[Canoeing - Men''s C1 Slalom]:[Canoeing - Women''s Kayak Cross Slalom]],MATCH(Table92[[#This Row],[Country]],Tabela1[Country], 0),0))</f>
        <v>0</v>
      </c>
      <c r="O104" s="6">
        <f>SUM(INDEX(Tabela1[[Canoeing - Women''s C1 200m]:[Canoeing - Women''s K4 500m]],MATCH(Table92[[#This Row],[Country]],Tabela1[Country], 0),0))</f>
        <v>0</v>
      </c>
      <c r="P104" s="6">
        <f>SUM(INDEX(Tabela1[[Cycling - Men''s BMX Freestyle]:[Cycling - Women''s BMX Freestyle]],MATCH(Table92[[#This Row],[Country]],Tabela1[Country], 0),0))</f>
        <v>0</v>
      </c>
      <c r="Q104" s="6">
        <f>SUM(INDEX(Tabela1[[Cycling - Men''s BMX Racing]:[Cycling - Women''s BMX Racing]],MATCH(Table92[[#This Row],[Country]],Tabela1[Country], 0),0))</f>
        <v>0</v>
      </c>
      <c r="R104" s="6">
        <f>SUM(INDEX(Tabela1[[Cycling - Men''s Cross-Country]:[Cycling - Women''s Cross-Country]],MATCH(Table92[[#This Row],[Country]],Tabela1[Country], 0),0))</f>
        <v>0</v>
      </c>
      <c r="S104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04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04" s="6">
        <f>SUM(INDEX(Tabela1[[Diving - Men''s Springboard]:[Diving - Women''s Synchronized Platform]],MATCH(Table92[[#This Row],[Country]],Tabela1[Country], 0),0))</f>
        <v>0</v>
      </c>
      <c r="V104" s="6">
        <f>SUM(INDEX(Tabela1[[Equestrian - Individual Dressage]:[Equestrian - Team Dressage]],MATCH(Table92[[#This Row],[Country]],Tabela1[Country], 0),0))</f>
        <v>0</v>
      </c>
      <c r="W104" s="6">
        <f>SUM(INDEX(Tabela1[[Equestrian - Individual Eventing]:[Equestrian - Team Eventing]],MATCH(Table92[[#This Row],[Country]],Tabela1[Country], 0),0))</f>
        <v>0</v>
      </c>
      <c r="X104" s="6">
        <f>SUM(INDEX(Tabela1[[Equestrian - Individual Jumping]:[Equestrian - Team Jumping]],MATCH(Table92[[#This Row],[Country]],Tabela1[Country], 0),0))</f>
        <v>0</v>
      </c>
      <c r="Y104" s="6">
        <f>SUM(INDEX(Tabela1[[Fencing - Men''s Épée]:[Fencing - Women''s Team Sabre]],MATCH(Table92[[#This Row],[Country]],Tabela1[Country], 0),0))</f>
        <v>0</v>
      </c>
      <c r="Z104" s="6">
        <f>SUM(INDEX(Tabela1[[Field Hockey - Men''s Tournament]:[Field Hockey - Women''s Tournament]],MATCH(Table92[[#This Row],[Country]],Tabela1[Country], 0),0))</f>
        <v>0</v>
      </c>
      <c r="AA104" s="6">
        <f>SUM(INDEX(Tabela1[[Football - Men''s Tournament]:[Football - Women''s Tournament]],MATCH(Table92[[#This Row],[Country]],Tabela1[Country], 0),0))</f>
        <v>0</v>
      </c>
      <c r="AB104" s="6">
        <f>SUM(INDEX(Tabela1[[Golf - Men''s Individual]:[Golf - Women''s Individual]],MATCH(Table92[[#This Row],[Country]],Tabela1[Country], 0),0))</f>
        <v>0</v>
      </c>
      <c r="AC104" s="6">
        <f>SUM(INDEX(Tabela1[[Handball - Men''s Tournament]:[Handball - Women''s Tournament]],MATCH(Table92[[#This Row],[Country]],Tabela1[Country], 0),0))</f>
        <v>0</v>
      </c>
      <c r="AD104" s="6">
        <f>SUM(INDEX(Tabela1[[Judo - Men''s 60kg]:[Judo - Mixed Team]],MATCH(Table92[[#This Row],[Country]],Tabela1[Country], 0),0))</f>
        <v>1</v>
      </c>
      <c r="AE104" s="6">
        <f>SUM(INDEX(Tabela1[[Swimming - Men''s 10km Open Water]:[Swimming - Women''s 10km Open Water]],MATCH(Table92[[#This Row],[Country]],Tabela1[Country], 0),0))</f>
        <v>0</v>
      </c>
      <c r="AF104" s="6">
        <f>SUM(INDEX(Tabela1[[Modern Pentathlon - Men''s Individual]:[Modern Pentathlon - Women''s Individual]],MATCH(Table92[[#This Row],[Country]],Tabela1[Country], 0),0))</f>
        <v>0</v>
      </c>
      <c r="AG104" s="6">
        <f>SUM(INDEX(Tabela1[[Rhythmic Gymnastics - Women''s Individual All-Around]:[Rhythmic Gymnastics - Women''s Group All-Around]],MATCH(Table92[[#This Row],[Country]],Tabela1[Country], 0),0))</f>
        <v>0</v>
      </c>
      <c r="AH104" s="6">
        <f>SUM(INDEX(Tabela1[[Rowing - Men''s Single Sculls]:[Rowing - Women''s Lwt. Double Sculls]],MATCH(Table92[[#This Row],[Country]],Tabela1[Country], 0),0))</f>
        <v>0</v>
      </c>
      <c r="AI104" s="6">
        <f>SUM(INDEX(Tabela1[[Rugby Sevens - Men''s Tournament]:[Rugby Sevens - Women''s Tournament]],MATCH(Table92[[#This Row],[Country]],Tabela1[Country], 0),0))</f>
        <v>0</v>
      </c>
      <c r="AJ104" s="6">
        <f>SUM(INDEX(Tabela1[[Sailing - Mixed 470]:[Sailing - Mixed Nacra 17]],MATCH(Table92[[#This Row],[Country]],Tabela1[Country], 0),0))</f>
        <v>0</v>
      </c>
      <c r="AK104" s="6">
        <f>SUM(INDEX(Tabela1[[Shooting - Men''s 10m Air Pistol]:[Shooting - Women''s Trap]],MATCH(Table92[[#This Row],[Country]],Tabela1[Country], 0),0))</f>
        <v>0</v>
      </c>
      <c r="AL104" s="6">
        <f>SUM(INDEX(Tabela1[[Skateboarding - Men''s Park]:[Skateboarding - Women''s Street]],MATCH(Table92[[#This Row],[Country]],Tabela1[Country], 0),0))</f>
        <v>0</v>
      </c>
      <c r="AM104" s="6">
        <f>SUM(INDEX(Tabela1[[Sport Climbing - Men''s Boulder and Lead]:[Sport Climbing - Women''s Speed]],MATCH(Table92[[#This Row],[Country]],Tabela1[Country], 0),0))</f>
        <v>0</v>
      </c>
      <c r="AN104" s="6">
        <f>SUM(INDEX(Tabela1[[Surfing - Men''s Shortboard]:[Surfing - Women''s Shortboard]],MATCH(Table92[[#This Row],[Country]],Tabela1[Country], 0),0))</f>
        <v>0</v>
      </c>
      <c r="AO104" s="6">
        <f>SUM(INDEX(Tabela1[[Swimming - Men''s 50m Freestyle]:[Swimming - Mixed 4x100m Medley Relay]],MATCH(Table92[[#This Row],[Country]],Tabela1[Country], 0),0))</f>
        <v>1</v>
      </c>
      <c r="AP104" s="6">
        <f>SUM(INDEX(Tabela1[[Table Tennis - Men''s Singles]:[Table Tennis - Mixed Doubles]],MATCH(Table92[[#This Row],[Country]],Tabela1[Country], 0),0))</f>
        <v>0</v>
      </c>
      <c r="AQ104" s="6">
        <f>SUM(INDEX(Tabela1[[Taekwondo - Men''s 58kg]:[Taekwondo - Women''s +67kg]],MATCH(Table92[[#This Row],[Country]],Tabela1[Country], 0),0))</f>
        <v>1</v>
      </c>
      <c r="AR104" s="6">
        <f>SUM(INDEX(Tabela1[[Tennis - Men''s Singles]:[Tennis - Mixed Doubles]],MATCH(Table92[[#This Row],[Country]],Tabela1[Country], 0),0))</f>
        <v>0</v>
      </c>
      <c r="AS104" s="6">
        <f>SUM(INDEX(Tabela1[[Gymnastics - Men''s Trampoline]:[Gymnastics - Women''s Trampoline]],MATCH(Table92[[#This Row],[Country]],Tabela1[Country], 0),0))</f>
        <v>0</v>
      </c>
      <c r="AT104" s="6">
        <f>SUM(INDEX(Tabela1[[Triathlon - Men''s Individual]:[Triathlon - Mixed Relay]],MATCH(Table92[[#This Row],[Country]],Tabela1[Country], 0),0))</f>
        <v>0</v>
      </c>
      <c r="AU104" s="6">
        <f>SUM(INDEX(Tabela1[[Volleyball - Men''s Tournament]:[Volleyball - Women''s Tournament]],MATCH(Table92[[#This Row],[Country]],Tabela1[Country], 0),0))</f>
        <v>0</v>
      </c>
      <c r="AV104" s="6">
        <f>SUM(INDEX(Tabela1[[Water Polo - Men''s Tournament]:[Water Polo - Women''s Tournament]],MATCH(Table92[[#This Row],[Country]],Tabela1[Country], 0),0))</f>
        <v>0</v>
      </c>
      <c r="AW104" s="6">
        <f>SUM(INDEX(Tabela1[[Weightlifting - Men''s 61kg]:[Weightlifting - Women''s +81kg]],MATCH(Table92[[#This Row],[Country]],Tabela1[Country], 0),0))</f>
        <v>0</v>
      </c>
      <c r="AX104" s="6">
        <f>SUM(INDEX(Tabela1[[Wrestling - Men''s Freestyle 57kg]:[Wrestling - Women''s Freestyle 76kg]],MATCH(Table92[[#This Row],[Country]],Tabela1[Country], 0),0))</f>
        <v>0</v>
      </c>
      <c r="AY104" s="6">
        <f>SUM(INDEX(Tabela1[[Alpine Skiing - Men''s Downhill]:[Alpine Skiing - Women''s Team Combined]],MATCH(Table92[[#This Row],[Country]],Tabela1[Country], 0),0))</f>
        <v>0</v>
      </c>
      <c r="AZ104" s="6">
        <f>SUM(INDEX(Tabela1[[Biathlon - Men''s Individual]:[Biathlon - Mixed Relay]],MATCH(Table92[[#This Row],[Country]],Tabela1[Country], 0),0))</f>
        <v>0</v>
      </c>
      <c r="BA104" s="6">
        <f>SUM(INDEX(Tabela1[[Bobsleigh - Women''s Monobob]:[Bobsleigh - Men''s Four]],MATCH(Table92[[#This Row],[Country]],Tabela1[Country], 0),0))</f>
        <v>0</v>
      </c>
      <c r="BB104" s="6">
        <f>SUM(INDEX(Tabela1[[Cross-country skiing - Men''s Classical]:[Cross-country skiing - Women''s Team Sprint]],MATCH(Table92[[#This Row],[Country]],Tabela1[Country], 0),0))</f>
        <v>0</v>
      </c>
      <c r="BC104" s="6">
        <f>SUM(INDEX(Tabela1[[Curling - Men''s Tournament]:[Curling - Mixed Doubles]],MATCH(Table92[[#This Row],[Country]],Tabela1[Country], 0),0))</f>
        <v>0</v>
      </c>
      <c r="BD104" s="6">
        <f>SUM(INDEX(Tabela1[[Figure Skating - Men''s Singles]:[Figure Skating - Team Event]],MATCH(Table92[[#This Row],[Country]],Tabela1[Country], 0),0))</f>
        <v>0</v>
      </c>
      <c r="BE104" s="6">
        <f>SUM(INDEX(Tabela1[[Freestyle Skiing - Men''s Aerials]:[Freestyle Skiing - Women''s Slopestyle]],MATCH(Table92[[#This Row],[Country]],Tabela1[Country], 0),0))</f>
        <v>0</v>
      </c>
      <c r="BF104" s="6">
        <f>SUM(INDEX(Tabela1[[Ice Hockey - Men''s Tournament]:[Ice Hockey - Women''s Tournament]],MATCH(Table92[[#This Row],[Country]],Tabela1[Country], 0),0))</f>
        <v>0</v>
      </c>
      <c r="BG104" s="6">
        <f>SUM(INDEX(Tabela1[[Luge - Men''s Singles]:[Luge - Mixed Team Relay]],MATCH(Table92[[#This Row],[Country]],Tabela1[Country], 0),0))</f>
        <v>0</v>
      </c>
      <c r="BH104" s="6">
        <f>SUM(INDEX(Tabela1[[Nordic Combined - Men''s Individual]:[Nordic Combined - Men''s Team Sprint Large Hill]],MATCH(Table92[[#This Row],[Country]],Tabela1[Country], 0),0))</f>
        <v>0</v>
      </c>
      <c r="BI104" s="6">
        <f>SUM(INDEX(Tabela1[[Short track speed skating - Men''s 500m]:[Short track speed skating - Mixed 2000m Relay]],MATCH(Table92[[#This Row],[Country]],Tabela1[Country], 0),0))</f>
        <v>0</v>
      </c>
      <c r="BJ104" s="6">
        <f>SUM(INDEX(Tabela1[[Skeleton - Men''s Individual]:[Skeleton - Mixed Team]],MATCH(Table92[[#This Row],[Country]],Tabela1[Country], 0),0))</f>
        <v>0</v>
      </c>
      <c r="BK104" s="6">
        <f>SUM(INDEX(Tabela1[[Ski Jumping - Men''s Individual Large Hill]:[Ski Jumping - Mixed Team Normal Hill]],MATCH(Table92[[#This Row],[Country]],Tabela1[Country], 0),0))</f>
        <v>0</v>
      </c>
      <c r="BL104" s="6">
        <f>SUM(INDEX(Tabela1[[Ski Mountaineering - Men''s Sprint]:[Ski Mountaineering - Mixed Relay]],MATCH(Table92[[#This Row],[Country]],Tabela1[Country], 0),0))</f>
        <v>0</v>
      </c>
      <c r="BM104" s="6">
        <f>SUM(INDEX(Tabela1[[Snowboarding - Men''s Big Air]:[Snowboarding - Mixed Team Snowboard Cross]],MATCH(Table92[[#This Row],[Country]],Tabela1[Country], 0),0))</f>
        <v>0</v>
      </c>
      <c r="BN104" s="6">
        <f>SUM(INDEX(Tabela1[[Speed Skating - Men''s 500m]:[Speed Skating - Women''s Team Pursuit]],MATCH(Table92[[#This Row],[Country]],Tabela1[Country], 0),0))</f>
        <v>0</v>
      </c>
      <c r="BO104" s="6" t="str">
        <f>SUBSTITUTE(INDEX(Table92[[#Headers],[Archery Quotas]:[Speed Skating Quotas]], MATCH(MAX(Table92[[#This Row],[Archery Quotas]:[Speed Skating Quotas]]), Table92[[#This Row],[Archery Quotas]:[Speed Skating Quotas]], 0))," Quotas","")</f>
        <v>Judo</v>
      </c>
      <c r="BP104" s="6">
        <f>SUM(Table92[[#This Row],[Summer Sports]:[Winter Sports]])</f>
        <v>3</v>
      </c>
      <c r="BQ104" s="6">
        <f>COUNTIF(Table92[[#This Row],[Archery Quotas]:[Wrestling Quotas]],"&lt;&gt;0")</f>
        <v>3</v>
      </c>
      <c r="BR104" s="6">
        <f>COUNTIF(Table92[[#This Row],[Alpine Skiing Quotas]:[Speed Skating Quotas]],"&lt;&gt;0")</f>
        <v>0</v>
      </c>
      <c r="BS104" s="4" t="s">
        <v>579</v>
      </c>
    </row>
    <row r="105" spans="1:71" x14ac:dyDescent="0.3">
      <c r="A105" s="6" t="s">
        <v>424</v>
      </c>
      <c r="B105" t="e" vm="102">
        <f>IF(ISBLANK(Table92[[#This Row],[Flag Link]]), "", _xlfn.IMAGE(Table92[[#This Row],[Flag Link]],1,1))</f>
        <v>#VALUE!</v>
      </c>
      <c r="C105" s="6">
        <f>SUM(Table92[[#This Row],[Archery Quotas]:[Speed Skating Quotas]])</f>
        <v>3</v>
      </c>
      <c r="D105" s="6">
        <f>SUM(INDEX(Tabela1[[Archery - Men''s Individual Recurve]:[Archery - Mixed Team Recurve]],MATCH(Table92[[#This Row],[Country]],Tabela1[Country], 0),0))</f>
        <v>0</v>
      </c>
      <c r="E105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05" s="6">
        <f>SUM(INDEX(Tabela1[[Artistic Swimming - Women''s Duet]:[Artistic Swimming - Women''s Team]],MATCH(Table92[[#This Row],[Country]],Tabela1[Country], 0),0))</f>
        <v>0</v>
      </c>
      <c r="G105" s="6">
        <f>SUM(INDEX(Tabela1[[Athletics - Men''s 100m]:[Athletics - Women''s Heptathlon]],MATCH(Table92[[#This Row],[Country]],Tabela1[Country], 0),0))</f>
        <v>2</v>
      </c>
      <c r="H105" s="6">
        <f>SUM(INDEX(Tabela1[[Badminton - Men''s Singles]:[Badminton - Mixed Doubles]],MATCH(Table92[[#This Row],[Country]],Tabela1[Country], 0),0))</f>
        <v>0</v>
      </c>
      <c r="I105" s="6">
        <f>SUM(INDEX(Tabela1[[Basketball - Men''s Tournament]:[Basketball - Women''s Tournament]],MATCH(Table92[[#This Row],[Country]],Tabela1[Country], 0),0))</f>
        <v>0</v>
      </c>
      <c r="J105" s="6">
        <f>SUM(INDEX(Tabela1[[3x3 Basketball - Men''s Tournament]:[3x3 Basketball - Women''s Tournament]],MATCH(Table92[[#This Row],[Country]],Tabela1[Country], 0),0))</f>
        <v>0</v>
      </c>
      <c r="K105" s="6">
        <f>SUM(INDEX(Tabela1[[Beach Volleyball - Men''s Tournament]:[Beach Volleyball - Women''s Tournament]],MATCH(Table92[[#This Row],[Country]],Tabela1[Country], 0),0))</f>
        <v>0</v>
      </c>
      <c r="L105" s="6">
        <f>SUM(INDEX(Tabela1[[Boxing - Men''s 51kg]:[Boxing - Women''s 75kg]],MATCH(Table92[[#This Row],[Country]],Tabela1[Country], 0),0))</f>
        <v>0</v>
      </c>
      <c r="M105" s="6">
        <f>SUM(INDEX(Tabela1[[Breaking - Men''s Individual]:[Breaking - Women''s Individual]],MATCH(Table92[[#This Row],[Country]],Tabela1[Country], 0),0))</f>
        <v>0</v>
      </c>
      <c r="N105" s="6">
        <f>SUM(INDEX(Tabela1[[Canoeing - Men''s C1 Slalom]:[Canoeing - Women''s Kayak Cross Slalom]],MATCH(Table92[[#This Row],[Country]],Tabela1[Country], 0),0))</f>
        <v>0</v>
      </c>
      <c r="O105" s="6">
        <f>SUM(INDEX(Tabela1[[Canoeing - Women''s C1 200m]:[Canoeing - Women''s K4 500m]],MATCH(Table92[[#This Row],[Country]],Tabela1[Country], 0),0))</f>
        <v>0</v>
      </c>
      <c r="P105" s="6">
        <f>SUM(INDEX(Tabela1[[Cycling - Men''s BMX Freestyle]:[Cycling - Women''s BMX Freestyle]],MATCH(Table92[[#This Row],[Country]],Tabela1[Country], 0),0))</f>
        <v>0</v>
      </c>
      <c r="Q105" s="6">
        <f>SUM(INDEX(Tabela1[[Cycling - Men''s BMX Racing]:[Cycling - Women''s BMX Racing]],MATCH(Table92[[#This Row],[Country]],Tabela1[Country], 0),0))</f>
        <v>0</v>
      </c>
      <c r="R105" s="6">
        <f>SUM(INDEX(Tabela1[[Cycling - Men''s Cross-Country]:[Cycling - Women''s Cross-Country]],MATCH(Table92[[#This Row],[Country]],Tabela1[Country], 0),0))</f>
        <v>0</v>
      </c>
      <c r="S105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05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05" s="6">
        <f>SUM(INDEX(Tabela1[[Diving - Men''s Springboard]:[Diving - Women''s Synchronized Platform]],MATCH(Table92[[#This Row],[Country]],Tabela1[Country], 0),0))</f>
        <v>0</v>
      </c>
      <c r="V105" s="6">
        <f>SUM(INDEX(Tabela1[[Equestrian - Individual Dressage]:[Equestrian - Team Dressage]],MATCH(Table92[[#This Row],[Country]],Tabela1[Country], 0),0))</f>
        <v>0</v>
      </c>
      <c r="W105" s="6">
        <f>SUM(INDEX(Tabela1[[Equestrian - Individual Eventing]:[Equestrian - Team Eventing]],MATCH(Table92[[#This Row],[Country]],Tabela1[Country], 0),0))</f>
        <v>0</v>
      </c>
      <c r="X105" s="6">
        <f>SUM(INDEX(Tabela1[[Equestrian - Individual Jumping]:[Equestrian - Team Jumping]],MATCH(Table92[[#This Row],[Country]],Tabela1[Country], 0),0))</f>
        <v>0</v>
      </c>
      <c r="Y105" s="6">
        <f>SUM(INDEX(Tabela1[[Fencing - Men''s Épée]:[Fencing - Women''s Team Sabre]],MATCH(Table92[[#This Row],[Country]],Tabela1[Country], 0),0))</f>
        <v>0</v>
      </c>
      <c r="Z105" s="6">
        <f>SUM(INDEX(Tabela1[[Field Hockey - Men''s Tournament]:[Field Hockey - Women''s Tournament]],MATCH(Table92[[#This Row],[Country]],Tabela1[Country], 0),0))</f>
        <v>0</v>
      </c>
      <c r="AA105" s="6">
        <f>SUM(INDEX(Tabela1[[Football - Men''s Tournament]:[Football - Women''s Tournament]],MATCH(Table92[[#This Row],[Country]],Tabela1[Country], 0),0))</f>
        <v>0</v>
      </c>
      <c r="AB105" s="6">
        <f>SUM(INDEX(Tabela1[[Golf - Men''s Individual]:[Golf - Women''s Individual]],MATCH(Table92[[#This Row],[Country]],Tabela1[Country], 0),0))</f>
        <v>0</v>
      </c>
      <c r="AC105" s="6">
        <f>SUM(INDEX(Tabela1[[Handball - Men''s Tournament]:[Handball - Women''s Tournament]],MATCH(Table92[[#This Row],[Country]],Tabela1[Country], 0),0))</f>
        <v>0</v>
      </c>
      <c r="AD105" s="6">
        <f>SUM(INDEX(Tabela1[[Judo - Men''s 60kg]:[Judo - Mixed Team]],MATCH(Table92[[#This Row],[Country]],Tabela1[Country], 0),0))</f>
        <v>0</v>
      </c>
      <c r="AE105" s="6">
        <f>SUM(INDEX(Tabela1[[Swimming - Men''s 10km Open Water]:[Swimming - Women''s 10km Open Water]],MATCH(Table92[[#This Row],[Country]],Tabela1[Country], 0),0))</f>
        <v>0</v>
      </c>
      <c r="AF105" s="6">
        <f>SUM(INDEX(Tabela1[[Modern Pentathlon - Men''s Individual]:[Modern Pentathlon - Women''s Individual]],MATCH(Table92[[#This Row],[Country]],Tabela1[Country], 0),0))</f>
        <v>0</v>
      </c>
      <c r="AG105" s="6">
        <f>SUM(INDEX(Tabela1[[Rhythmic Gymnastics - Women''s Individual All-Around]:[Rhythmic Gymnastics - Women''s Group All-Around]],MATCH(Table92[[#This Row],[Country]],Tabela1[Country], 0),0))</f>
        <v>0</v>
      </c>
      <c r="AH105" s="6">
        <f>SUM(INDEX(Tabela1[[Rowing - Men''s Single Sculls]:[Rowing - Women''s Lwt. Double Sculls]],MATCH(Table92[[#This Row],[Country]],Tabela1[Country], 0),0))</f>
        <v>0</v>
      </c>
      <c r="AI105" s="6">
        <f>SUM(INDEX(Tabela1[[Rugby Sevens - Men''s Tournament]:[Rugby Sevens - Women''s Tournament]],MATCH(Table92[[#This Row],[Country]],Tabela1[Country], 0),0))</f>
        <v>0</v>
      </c>
      <c r="AJ105" s="6">
        <f>SUM(INDEX(Tabela1[[Sailing - Mixed 470]:[Sailing - Mixed Nacra 17]],MATCH(Table92[[#This Row],[Country]],Tabela1[Country], 0),0))</f>
        <v>0</v>
      </c>
      <c r="AK105" s="6">
        <f>SUM(INDEX(Tabela1[[Shooting - Men''s 10m Air Pistol]:[Shooting - Women''s Trap]],MATCH(Table92[[#This Row],[Country]],Tabela1[Country], 0),0))</f>
        <v>0</v>
      </c>
      <c r="AL105" s="6">
        <f>SUM(INDEX(Tabela1[[Skateboarding - Men''s Park]:[Skateboarding - Women''s Street]],MATCH(Table92[[#This Row],[Country]],Tabela1[Country], 0),0))</f>
        <v>0</v>
      </c>
      <c r="AM105" s="6">
        <f>SUM(INDEX(Tabela1[[Sport Climbing - Men''s Boulder and Lead]:[Sport Climbing - Women''s Speed]],MATCH(Table92[[#This Row],[Country]],Tabela1[Country], 0),0))</f>
        <v>0</v>
      </c>
      <c r="AN105" s="6">
        <f>SUM(INDEX(Tabela1[[Surfing - Men''s Shortboard]:[Surfing - Women''s Shortboard]],MATCH(Table92[[#This Row],[Country]],Tabela1[Country], 0),0))</f>
        <v>0</v>
      </c>
      <c r="AO105" s="6">
        <f>SUM(INDEX(Tabela1[[Swimming - Men''s 50m Freestyle]:[Swimming - Mixed 4x100m Medley Relay]],MATCH(Table92[[#This Row],[Country]],Tabela1[Country], 0),0))</f>
        <v>1</v>
      </c>
      <c r="AP105" s="6">
        <f>SUM(INDEX(Tabela1[[Table Tennis - Men''s Singles]:[Table Tennis - Mixed Doubles]],MATCH(Table92[[#This Row],[Country]],Tabela1[Country], 0),0))</f>
        <v>0</v>
      </c>
      <c r="AQ105" s="6">
        <f>SUM(INDEX(Tabela1[[Taekwondo - Men''s 58kg]:[Taekwondo - Women''s +67kg]],MATCH(Table92[[#This Row],[Country]],Tabela1[Country], 0),0))</f>
        <v>0</v>
      </c>
      <c r="AR105" s="6">
        <f>SUM(INDEX(Tabela1[[Tennis - Men''s Singles]:[Tennis - Mixed Doubles]],MATCH(Table92[[#This Row],[Country]],Tabela1[Country], 0),0))</f>
        <v>0</v>
      </c>
      <c r="AS105" s="6">
        <f>SUM(INDEX(Tabela1[[Gymnastics - Men''s Trampoline]:[Gymnastics - Women''s Trampoline]],MATCH(Table92[[#This Row],[Country]],Tabela1[Country], 0),0))</f>
        <v>0</v>
      </c>
      <c r="AT105" s="6">
        <f>SUM(INDEX(Tabela1[[Triathlon - Men''s Individual]:[Triathlon - Mixed Relay]],MATCH(Table92[[#This Row],[Country]],Tabela1[Country], 0),0))</f>
        <v>0</v>
      </c>
      <c r="AU105" s="6">
        <f>SUM(INDEX(Tabela1[[Volleyball - Men''s Tournament]:[Volleyball - Women''s Tournament]],MATCH(Table92[[#This Row],[Country]],Tabela1[Country], 0),0))</f>
        <v>0</v>
      </c>
      <c r="AV105" s="6">
        <f>SUM(INDEX(Tabela1[[Water Polo - Men''s Tournament]:[Water Polo - Women''s Tournament]],MATCH(Table92[[#This Row],[Country]],Tabela1[Country], 0),0))</f>
        <v>0</v>
      </c>
      <c r="AW105" s="6">
        <f>SUM(INDEX(Tabela1[[Weightlifting - Men''s 61kg]:[Weightlifting - Women''s +81kg]],MATCH(Table92[[#This Row],[Country]],Tabela1[Country], 0),0))</f>
        <v>0</v>
      </c>
      <c r="AX105" s="6">
        <f>SUM(INDEX(Tabela1[[Wrestling - Men''s Freestyle 57kg]:[Wrestling - Women''s Freestyle 76kg]],MATCH(Table92[[#This Row],[Country]],Tabela1[Country], 0),0))</f>
        <v>0</v>
      </c>
      <c r="AY105" s="6">
        <f>SUM(INDEX(Tabela1[[Alpine Skiing - Men''s Downhill]:[Alpine Skiing - Women''s Team Combined]],MATCH(Table92[[#This Row],[Country]],Tabela1[Country], 0),0))</f>
        <v>0</v>
      </c>
      <c r="AZ105" s="6">
        <f>SUM(INDEX(Tabela1[[Biathlon - Men''s Individual]:[Biathlon - Mixed Relay]],MATCH(Table92[[#This Row],[Country]],Tabela1[Country], 0),0))</f>
        <v>0</v>
      </c>
      <c r="BA105" s="6">
        <f>SUM(INDEX(Tabela1[[Bobsleigh - Women''s Monobob]:[Bobsleigh - Men''s Four]],MATCH(Table92[[#This Row],[Country]],Tabela1[Country], 0),0))</f>
        <v>0</v>
      </c>
      <c r="BB105" s="6">
        <f>SUM(INDEX(Tabela1[[Cross-country skiing - Men''s Classical]:[Cross-country skiing - Women''s Team Sprint]],MATCH(Table92[[#This Row],[Country]],Tabela1[Country], 0),0))</f>
        <v>0</v>
      </c>
      <c r="BC105" s="6">
        <f>SUM(INDEX(Tabela1[[Curling - Men''s Tournament]:[Curling - Mixed Doubles]],MATCH(Table92[[#This Row],[Country]],Tabela1[Country], 0),0))</f>
        <v>0</v>
      </c>
      <c r="BD105" s="6">
        <f>SUM(INDEX(Tabela1[[Figure Skating - Men''s Singles]:[Figure Skating - Team Event]],MATCH(Table92[[#This Row],[Country]],Tabela1[Country], 0),0))</f>
        <v>0</v>
      </c>
      <c r="BE105" s="6">
        <f>SUM(INDEX(Tabela1[[Freestyle Skiing - Men''s Aerials]:[Freestyle Skiing - Women''s Slopestyle]],MATCH(Table92[[#This Row],[Country]],Tabela1[Country], 0),0))</f>
        <v>0</v>
      </c>
      <c r="BF105" s="6">
        <f>SUM(INDEX(Tabela1[[Ice Hockey - Men''s Tournament]:[Ice Hockey - Women''s Tournament]],MATCH(Table92[[#This Row],[Country]],Tabela1[Country], 0),0))</f>
        <v>0</v>
      </c>
      <c r="BG105" s="6">
        <f>SUM(INDEX(Tabela1[[Luge - Men''s Singles]:[Luge - Mixed Team Relay]],MATCH(Table92[[#This Row],[Country]],Tabela1[Country], 0),0))</f>
        <v>0</v>
      </c>
      <c r="BH105" s="6">
        <f>SUM(INDEX(Tabela1[[Nordic Combined - Men''s Individual]:[Nordic Combined - Men''s Team Sprint Large Hill]],MATCH(Table92[[#This Row],[Country]],Tabela1[Country], 0),0))</f>
        <v>0</v>
      </c>
      <c r="BI105" s="6">
        <f>SUM(INDEX(Tabela1[[Short track speed skating - Men''s 500m]:[Short track speed skating - Mixed 2000m Relay]],MATCH(Table92[[#This Row],[Country]],Tabela1[Country], 0),0))</f>
        <v>0</v>
      </c>
      <c r="BJ105" s="6">
        <f>SUM(INDEX(Tabela1[[Skeleton - Men''s Individual]:[Skeleton - Mixed Team]],MATCH(Table92[[#This Row],[Country]],Tabela1[Country], 0),0))</f>
        <v>0</v>
      </c>
      <c r="BK105" s="6">
        <f>SUM(INDEX(Tabela1[[Ski Jumping - Men''s Individual Large Hill]:[Ski Jumping - Mixed Team Normal Hill]],MATCH(Table92[[#This Row],[Country]],Tabela1[Country], 0),0))</f>
        <v>0</v>
      </c>
      <c r="BL105" s="6">
        <f>SUM(INDEX(Tabela1[[Ski Mountaineering - Men''s Sprint]:[Ski Mountaineering - Mixed Relay]],MATCH(Table92[[#This Row],[Country]],Tabela1[Country], 0),0))</f>
        <v>0</v>
      </c>
      <c r="BM105" s="6">
        <f>SUM(INDEX(Tabela1[[Snowboarding - Men''s Big Air]:[Snowboarding - Mixed Team Snowboard Cross]],MATCH(Table92[[#This Row],[Country]],Tabela1[Country], 0),0))</f>
        <v>0</v>
      </c>
      <c r="BN105" s="6">
        <f>SUM(INDEX(Tabela1[[Speed Skating - Men''s 500m]:[Speed Skating - Women''s Team Pursuit]],MATCH(Table92[[#This Row],[Country]],Tabela1[Country], 0),0))</f>
        <v>0</v>
      </c>
      <c r="BO105" s="6" t="str">
        <f>SUBSTITUTE(INDEX(Table92[[#Headers],[Archery Quotas]:[Speed Skating Quotas]], MATCH(MAX(Table92[[#This Row],[Archery Quotas]:[Speed Skating Quotas]]), Table92[[#This Row],[Archery Quotas]:[Speed Skating Quotas]], 0))," Quotas","")</f>
        <v>Athletics</v>
      </c>
      <c r="BP105" s="6">
        <f>SUM(Table92[[#This Row],[Summer Sports]:[Winter Sports]])</f>
        <v>2</v>
      </c>
      <c r="BQ105" s="6">
        <f>COUNTIF(Table92[[#This Row],[Archery Quotas]:[Wrestling Quotas]],"&lt;&gt;0")</f>
        <v>2</v>
      </c>
      <c r="BR105" s="6">
        <f>COUNTIF(Table92[[#This Row],[Alpine Skiing Quotas]:[Speed Skating Quotas]],"&lt;&gt;0")</f>
        <v>0</v>
      </c>
      <c r="BS105" s="4" t="s">
        <v>425</v>
      </c>
    </row>
    <row r="106" spans="1:71" x14ac:dyDescent="0.3">
      <c r="A106" s="6" t="s">
        <v>642</v>
      </c>
      <c r="B106" t="e" vm="106">
        <f>IF(ISBLANK(Table92[[#This Row],[Flag Link]]), "", _xlfn.IMAGE(Table92[[#This Row],[Flag Link]],1,1))</f>
        <v>#VALUE!</v>
      </c>
      <c r="C106" s="6">
        <f>SUM(Table92[[#This Row],[Archery Quotas]:[Speed Skating Quotas]])</f>
        <v>3</v>
      </c>
      <c r="D106" s="6">
        <f>SUM(INDEX(Tabela1[[Archery - Men''s Individual Recurve]:[Archery - Mixed Team Recurve]],MATCH(Table92[[#This Row],[Country]],Tabela1[Country], 0),0))</f>
        <v>0</v>
      </c>
      <c r="E106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06" s="6">
        <f>SUM(INDEX(Tabela1[[Artistic Swimming - Women''s Duet]:[Artistic Swimming - Women''s Team]],MATCH(Table92[[#This Row],[Country]],Tabela1[Country], 0),0))</f>
        <v>0</v>
      </c>
      <c r="G106" s="6">
        <f>SUM(INDEX(Tabela1[[Athletics - Men''s 100m]:[Athletics - Women''s Heptathlon]],MATCH(Table92[[#This Row],[Country]],Tabela1[Country], 0),0))</f>
        <v>0</v>
      </c>
      <c r="H106" s="6">
        <f>SUM(INDEX(Tabela1[[Badminton - Men''s Singles]:[Badminton - Mixed Doubles]],MATCH(Table92[[#This Row],[Country]],Tabela1[Country], 0),0))</f>
        <v>0</v>
      </c>
      <c r="I106" s="6">
        <f>SUM(INDEX(Tabela1[[Basketball - Men''s Tournament]:[Basketball - Women''s Tournament]],MATCH(Table92[[#This Row],[Country]],Tabela1[Country], 0),0))</f>
        <v>0</v>
      </c>
      <c r="J106" s="6">
        <f>SUM(INDEX(Tabela1[[3x3 Basketball - Men''s Tournament]:[3x3 Basketball - Women''s Tournament]],MATCH(Table92[[#This Row],[Country]],Tabela1[Country], 0),0))</f>
        <v>0</v>
      </c>
      <c r="K106" s="6">
        <f>SUM(INDEX(Tabela1[[Beach Volleyball - Men''s Tournament]:[Beach Volleyball - Women''s Tournament]],MATCH(Table92[[#This Row],[Country]],Tabela1[Country], 0),0))</f>
        <v>0</v>
      </c>
      <c r="L106" s="6">
        <f>SUM(INDEX(Tabela1[[Boxing - Men''s 51kg]:[Boxing - Women''s 75kg]],MATCH(Table92[[#This Row],[Country]],Tabela1[Country], 0),0))</f>
        <v>0</v>
      </c>
      <c r="M106" s="6">
        <f>SUM(INDEX(Tabela1[[Breaking - Men''s Individual]:[Breaking - Women''s Individual]],MATCH(Table92[[#This Row],[Country]],Tabela1[Country], 0),0))</f>
        <v>0</v>
      </c>
      <c r="N106" s="6">
        <f>SUM(INDEX(Tabela1[[Canoeing - Men''s C1 Slalom]:[Canoeing - Women''s Kayak Cross Slalom]],MATCH(Table92[[#This Row],[Country]],Tabela1[Country], 0),0))</f>
        <v>0</v>
      </c>
      <c r="O106" s="6">
        <f>SUM(INDEX(Tabela1[[Canoeing - Women''s C1 200m]:[Canoeing - Women''s K4 500m]],MATCH(Table92[[#This Row],[Country]],Tabela1[Country], 0),0))</f>
        <v>0</v>
      </c>
      <c r="P106" s="6">
        <f>SUM(INDEX(Tabela1[[Cycling - Men''s BMX Freestyle]:[Cycling - Women''s BMX Freestyle]],MATCH(Table92[[#This Row],[Country]],Tabela1[Country], 0),0))</f>
        <v>0</v>
      </c>
      <c r="Q106" s="6">
        <f>SUM(INDEX(Tabela1[[Cycling - Men''s BMX Racing]:[Cycling - Women''s BMX Racing]],MATCH(Table92[[#This Row],[Country]],Tabela1[Country], 0),0))</f>
        <v>0</v>
      </c>
      <c r="R106" s="6">
        <f>SUM(INDEX(Tabela1[[Cycling - Men''s Cross-Country]:[Cycling - Women''s Cross-Country]],MATCH(Table92[[#This Row],[Country]],Tabela1[Country], 0),0))</f>
        <v>0</v>
      </c>
      <c r="S106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06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06" s="6">
        <f>SUM(INDEX(Tabela1[[Diving - Men''s Springboard]:[Diving - Women''s Synchronized Platform]],MATCH(Table92[[#This Row],[Country]],Tabela1[Country], 0),0))</f>
        <v>0</v>
      </c>
      <c r="V106" s="6">
        <f>SUM(INDEX(Tabela1[[Equestrian - Individual Dressage]:[Equestrian - Team Dressage]],MATCH(Table92[[#This Row],[Country]],Tabela1[Country], 0),0))</f>
        <v>0</v>
      </c>
      <c r="W106" s="6">
        <f>SUM(INDEX(Tabela1[[Equestrian - Individual Eventing]:[Equestrian - Team Eventing]],MATCH(Table92[[#This Row],[Country]],Tabela1[Country], 0),0))</f>
        <v>0</v>
      </c>
      <c r="X106" s="6">
        <f>SUM(INDEX(Tabela1[[Equestrian - Individual Jumping]:[Equestrian - Team Jumping]],MATCH(Table92[[#This Row],[Country]],Tabela1[Country], 0),0))</f>
        <v>0</v>
      </c>
      <c r="Y106" s="6">
        <f>SUM(INDEX(Tabela1[[Fencing - Men''s Épée]:[Fencing - Women''s Team Sabre]],MATCH(Table92[[#This Row],[Country]],Tabela1[Country], 0),0))</f>
        <v>0</v>
      </c>
      <c r="Z106" s="6">
        <f>SUM(INDEX(Tabela1[[Field Hockey - Men''s Tournament]:[Field Hockey - Women''s Tournament]],MATCH(Table92[[#This Row],[Country]],Tabela1[Country], 0),0))</f>
        <v>0</v>
      </c>
      <c r="AA106" s="6">
        <f>SUM(INDEX(Tabela1[[Football - Men''s Tournament]:[Football - Women''s Tournament]],MATCH(Table92[[#This Row],[Country]],Tabela1[Country], 0),0))</f>
        <v>0</v>
      </c>
      <c r="AB106" s="6">
        <f>SUM(INDEX(Tabela1[[Golf - Men''s Individual]:[Golf - Women''s Individual]],MATCH(Table92[[#This Row],[Country]],Tabela1[Country], 0),0))</f>
        <v>0</v>
      </c>
      <c r="AC106" s="6">
        <f>SUM(INDEX(Tabela1[[Handball - Men''s Tournament]:[Handball - Women''s Tournament]],MATCH(Table92[[#This Row],[Country]],Tabela1[Country], 0),0))</f>
        <v>0</v>
      </c>
      <c r="AD106" s="6">
        <f>SUM(INDEX(Tabela1[[Judo - Men''s 60kg]:[Judo - Mixed Team]],MATCH(Table92[[#This Row],[Country]],Tabela1[Country], 0),0))</f>
        <v>0</v>
      </c>
      <c r="AE106" s="6">
        <f>SUM(INDEX(Tabela1[[Swimming - Men''s 10km Open Water]:[Swimming - Women''s 10km Open Water]],MATCH(Table92[[#This Row],[Country]],Tabela1[Country], 0),0))</f>
        <v>0</v>
      </c>
      <c r="AF106" s="6">
        <f>SUM(INDEX(Tabela1[[Modern Pentathlon - Men''s Individual]:[Modern Pentathlon - Women''s Individual]],MATCH(Table92[[#This Row],[Country]],Tabela1[Country], 0),0))</f>
        <v>0</v>
      </c>
      <c r="AG106" s="6">
        <f>SUM(INDEX(Tabela1[[Rhythmic Gymnastics - Women''s Individual All-Around]:[Rhythmic Gymnastics - Women''s Group All-Around]],MATCH(Table92[[#This Row],[Country]],Tabela1[Country], 0),0))</f>
        <v>0</v>
      </c>
      <c r="AH106" s="6">
        <f>SUM(INDEX(Tabela1[[Rowing - Men''s Single Sculls]:[Rowing - Women''s Lwt. Double Sculls]],MATCH(Table92[[#This Row],[Country]],Tabela1[Country], 0),0))</f>
        <v>0</v>
      </c>
      <c r="AI106" s="6">
        <f>SUM(INDEX(Tabela1[[Rugby Sevens - Men''s Tournament]:[Rugby Sevens - Women''s Tournament]],MATCH(Table92[[#This Row],[Country]],Tabela1[Country], 0),0))</f>
        <v>0</v>
      </c>
      <c r="AJ106" s="6">
        <f>SUM(INDEX(Tabela1[[Sailing - Mixed 470]:[Sailing - Mixed Nacra 17]],MATCH(Table92[[#This Row],[Country]],Tabela1[Country], 0),0))</f>
        <v>0</v>
      </c>
      <c r="AK106" s="6">
        <f>SUM(INDEX(Tabela1[[Shooting - Men''s 10m Air Pistol]:[Shooting - Women''s Trap]],MATCH(Table92[[#This Row],[Country]],Tabela1[Country], 0),0))</f>
        <v>0</v>
      </c>
      <c r="AL106" s="6">
        <f>SUM(INDEX(Tabela1[[Skateboarding - Men''s Park]:[Skateboarding - Women''s Street]],MATCH(Table92[[#This Row],[Country]],Tabela1[Country], 0),0))</f>
        <v>0</v>
      </c>
      <c r="AM106" s="6">
        <f>SUM(INDEX(Tabela1[[Sport Climbing - Men''s Boulder and Lead]:[Sport Climbing - Women''s Speed]],MATCH(Table92[[#This Row],[Country]],Tabela1[Country], 0),0))</f>
        <v>0</v>
      </c>
      <c r="AN106" s="6">
        <f>SUM(INDEX(Tabela1[[Surfing - Men''s Shortboard]:[Surfing - Women''s Shortboard]],MATCH(Table92[[#This Row],[Country]],Tabela1[Country], 0),0))</f>
        <v>0</v>
      </c>
      <c r="AO106" s="6">
        <f>SUM(INDEX(Tabela1[[Swimming - Men''s 50m Freestyle]:[Swimming - Mixed 4x100m Medley Relay]],MATCH(Table92[[#This Row],[Country]],Tabela1[Country], 0),0))</f>
        <v>0</v>
      </c>
      <c r="AP106" s="6">
        <f>SUM(INDEX(Tabela1[[Table Tennis - Men''s Singles]:[Table Tennis - Mixed Doubles]],MATCH(Table92[[#This Row],[Country]],Tabela1[Country], 0),0))</f>
        <v>0</v>
      </c>
      <c r="AQ106" s="6">
        <f>SUM(INDEX(Tabela1[[Taekwondo - Men''s 58kg]:[Taekwondo - Women''s +67kg]],MATCH(Table92[[#This Row],[Country]],Tabela1[Country], 0),0))</f>
        <v>0</v>
      </c>
      <c r="AR106" s="6">
        <f>SUM(INDEX(Tabela1[[Tennis - Men''s Singles]:[Tennis - Mixed Doubles]],MATCH(Table92[[#This Row],[Country]],Tabela1[Country], 0),0))</f>
        <v>0</v>
      </c>
      <c r="AS106" s="6">
        <f>SUM(INDEX(Tabela1[[Gymnastics - Men''s Trampoline]:[Gymnastics - Women''s Trampoline]],MATCH(Table92[[#This Row],[Country]],Tabela1[Country], 0),0))</f>
        <v>0</v>
      </c>
      <c r="AT106" s="6">
        <f>SUM(INDEX(Tabela1[[Triathlon - Men''s Individual]:[Triathlon - Mixed Relay]],MATCH(Table92[[#This Row],[Country]],Tabela1[Country], 0),0))</f>
        <v>0</v>
      </c>
      <c r="AU106" s="6">
        <f>SUM(INDEX(Tabela1[[Volleyball - Men''s Tournament]:[Volleyball - Women''s Tournament]],MATCH(Table92[[#This Row],[Country]],Tabela1[Country], 0),0))</f>
        <v>0</v>
      </c>
      <c r="AV106" s="6">
        <f>SUM(INDEX(Tabela1[[Water Polo - Men''s Tournament]:[Water Polo - Women''s Tournament]],MATCH(Table92[[#This Row],[Country]],Tabela1[Country], 0),0))</f>
        <v>0</v>
      </c>
      <c r="AW106" s="6">
        <f>SUM(INDEX(Tabela1[[Weightlifting - Men''s 61kg]:[Weightlifting - Women''s +81kg]],MATCH(Table92[[#This Row],[Country]],Tabela1[Country], 0),0))</f>
        <v>0</v>
      </c>
      <c r="AX106" s="6">
        <f>SUM(INDEX(Tabela1[[Wrestling - Men''s Freestyle 57kg]:[Wrestling - Women''s Freestyle 76kg]],MATCH(Table92[[#This Row],[Country]],Tabela1[Country], 0),0))</f>
        <v>0</v>
      </c>
      <c r="AY106" s="6">
        <f>SUM(INDEX(Tabela1[[Alpine Skiing - Men''s Downhill]:[Alpine Skiing - Women''s Team Combined]],MATCH(Table92[[#This Row],[Country]],Tabela1[Country], 0),0))</f>
        <v>0</v>
      </c>
      <c r="AZ106" s="6">
        <f>SUM(INDEX(Tabela1[[Biathlon - Men''s Individual]:[Biathlon - Mixed Relay]],MATCH(Table92[[#This Row],[Country]],Tabela1[Country], 0),0))</f>
        <v>0</v>
      </c>
      <c r="BA106" s="6">
        <f>SUM(INDEX(Tabela1[[Bobsleigh - Women''s Monobob]:[Bobsleigh - Men''s Four]],MATCH(Table92[[#This Row],[Country]],Tabela1[Country], 0),0))</f>
        <v>0</v>
      </c>
      <c r="BB106" s="6">
        <f>SUM(INDEX(Tabela1[[Cross-country skiing - Men''s Classical]:[Cross-country skiing - Women''s Team Sprint]],MATCH(Table92[[#This Row],[Country]],Tabela1[Country], 0),0))</f>
        <v>3</v>
      </c>
      <c r="BC106" s="6">
        <f>SUM(INDEX(Tabela1[[Curling - Men''s Tournament]:[Curling - Mixed Doubles]],MATCH(Table92[[#This Row],[Country]],Tabela1[Country], 0),0))</f>
        <v>0</v>
      </c>
      <c r="BD106" s="6">
        <f>SUM(INDEX(Tabela1[[Figure Skating - Men''s Singles]:[Figure Skating - Team Event]],MATCH(Table92[[#This Row],[Country]],Tabela1[Country], 0),0))</f>
        <v>0</v>
      </c>
      <c r="BE106" s="6">
        <f>SUM(INDEX(Tabela1[[Freestyle Skiing - Men''s Aerials]:[Freestyle Skiing - Women''s Slopestyle]],MATCH(Table92[[#This Row],[Country]],Tabela1[Country], 0),0))</f>
        <v>0</v>
      </c>
      <c r="BF106" s="6">
        <f>SUM(INDEX(Tabela1[[Ice Hockey - Men''s Tournament]:[Ice Hockey - Women''s Tournament]],MATCH(Table92[[#This Row],[Country]],Tabela1[Country], 0),0))</f>
        <v>0</v>
      </c>
      <c r="BG106" s="6">
        <f>SUM(INDEX(Tabela1[[Luge - Men''s Singles]:[Luge - Mixed Team Relay]],MATCH(Table92[[#This Row],[Country]],Tabela1[Country], 0),0))</f>
        <v>0</v>
      </c>
      <c r="BH106" s="6">
        <f>SUM(INDEX(Tabela1[[Nordic Combined - Men''s Individual]:[Nordic Combined - Men''s Team Sprint Large Hill]],MATCH(Table92[[#This Row],[Country]],Tabela1[Country], 0),0))</f>
        <v>0</v>
      </c>
      <c r="BI106" s="6">
        <f>SUM(INDEX(Tabela1[[Short track speed skating - Men''s 500m]:[Short track speed skating - Mixed 2000m Relay]],MATCH(Table92[[#This Row],[Country]],Tabela1[Country], 0),0))</f>
        <v>0</v>
      </c>
      <c r="BJ106" s="6">
        <f>SUM(INDEX(Tabela1[[Skeleton - Men''s Individual]:[Skeleton - Mixed Team]],MATCH(Table92[[#This Row],[Country]],Tabela1[Country], 0),0))</f>
        <v>0</v>
      </c>
      <c r="BK106" s="6">
        <f>SUM(INDEX(Tabela1[[Ski Jumping - Men''s Individual Large Hill]:[Ski Jumping - Mixed Team Normal Hill]],MATCH(Table92[[#This Row],[Country]],Tabela1[Country], 0),0))</f>
        <v>0</v>
      </c>
      <c r="BL106" s="6">
        <f>SUM(INDEX(Tabela1[[Ski Mountaineering - Men''s Sprint]:[Ski Mountaineering - Mixed Relay]],MATCH(Table92[[#This Row],[Country]],Tabela1[Country], 0),0))</f>
        <v>0</v>
      </c>
      <c r="BM106" s="6">
        <f>SUM(INDEX(Tabela1[[Snowboarding - Men''s Big Air]:[Snowboarding - Mixed Team Snowboard Cross]],MATCH(Table92[[#This Row],[Country]],Tabela1[Country], 0),0))</f>
        <v>0</v>
      </c>
      <c r="BN106" s="6">
        <f>SUM(INDEX(Tabela1[[Speed Skating - Men''s 500m]:[Speed Skating - Women''s Team Pursuit]],MATCH(Table92[[#This Row],[Country]],Tabela1[Country], 0),0))</f>
        <v>0</v>
      </c>
      <c r="BO106" s="6" t="str">
        <f>SUBSTITUTE(INDEX(Table92[[#Headers],[Archery Quotas]:[Speed Skating Quotas]], MATCH(MAX(Table92[[#This Row],[Archery Quotas]:[Speed Skating Quotas]]), Table92[[#This Row],[Archery Quotas]:[Speed Skating Quotas]], 0))," Quotas","")</f>
        <v>Cross Country Skiing</v>
      </c>
      <c r="BP106" s="6">
        <f>SUM(Table92[[#This Row],[Summer Sports]:[Winter Sports]])</f>
        <v>1</v>
      </c>
      <c r="BQ106" s="6">
        <f>COUNTIF(Table92[[#This Row],[Archery Quotas]:[Wrestling Quotas]],"&lt;&gt;0")</f>
        <v>0</v>
      </c>
      <c r="BR106" s="6">
        <f>COUNTIF(Table92[[#This Row],[Alpine Skiing Quotas]:[Speed Skating Quotas]],"&lt;&gt;0")</f>
        <v>1</v>
      </c>
      <c r="BS106" s="4" t="s">
        <v>643</v>
      </c>
    </row>
    <row r="107" spans="1:71" x14ac:dyDescent="0.3">
      <c r="A107" s="6" t="s">
        <v>666</v>
      </c>
      <c r="B107" t="e" vm="109">
        <f>IF(ISBLANK(Table92[[#This Row],[Flag Link]]), "", _xlfn.IMAGE(Table92[[#This Row],[Flag Link]],1,1))</f>
        <v>#VALUE!</v>
      </c>
      <c r="C107" s="6">
        <f>SUM(Table92[[#This Row],[Archery Quotas]:[Speed Skating Quotas]])</f>
        <v>3</v>
      </c>
      <c r="D107" s="6">
        <f>SUM(INDEX(Tabela1[[Archery - Men''s Individual Recurve]:[Archery - Mixed Team Recurve]],MATCH(Table92[[#This Row],[Country]],Tabela1[Country], 0),0))</f>
        <v>0</v>
      </c>
      <c r="E107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07" s="6">
        <f>SUM(INDEX(Tabela1[[Artistic Swimming - Women''s Duet]:[Artistic Swimming - Women''s Team]],MATCH(Table92[[#This Row],[Country]],Tabela1[Country], 0),0))</f>
        <v>0</v>
      </c>
      <c r="G107" s="6">
        <f>SUM(INDEX(Tabela1[[Athletics - Men''s 100m]:[Athletics - Women''s Heptathlon]],MATCH(Table92[[#This Row],[Country]],Tabela1[Country], 0),0))</f>
        <v>0</v>
      </c>
      <c r="H107" s="6">
        <f>SUM(INDEX(Tabela1[[Badminton - Men''s Singles]:[Badminton - Mixed Doubles]],MATCH(Table92[[#This Row],[Country]],Tabela1[Country], 0),0))</f>
        <v>0</v>
      </c>
      <c r="I107" s="6">
        <f>SUM(INDEX(Tabela1[[Basketball - Men''s Tournament]:[Basketball - Women''s Tournament]],MATCH(Table92[[#This Row],[Country]],Tabela1[Country], 0),0))</f>
        <v>0</v>
      </c>
      <c r="J107" s="6">
        <f>SUM(INDEX(Tabela1[[3x3 Basketball - Men''s Tournament]:[3x3 Basketball - Women''s Tournament]],MATCH(Table92[[#This Row],[Country]],Tabela1[Country], 0),0))</f>
        <v>0</v>
      </c>
      <c r="K107" s="6">
        <f>SUM(INDEX(Tabela1[[Beach Volleyball - Men''s Tournament]:[Beach Volleyball - Women''s Tournament]],MATCH(Table92[[#This Row],[Country]],Tabela1[Country], 0),0))</f>
        <v>0</v>
      </c>
      <c r="L107" s="6">
        <f>SUM(INDEX(Tabela1[[Boxing - Men''s 51kg]:[Boxing - Women''s 75kg]],MATCH(Table92[[#This Row],[Country]],Tabela1[Country], 0),0))</f>
        <v>1</v>
      </c>
      <c r="M107" s="6">
        <f>SUM(INDEX(Tabela1[[Breaking - Men''s Individual]:[Breaking - Women''s Individual]],MATCH(Table92[[#This Row],[Country]],Tabela1[Country], 0),0))</f>
        <v>0</v>
      </c>
      <c r="N107" s="6">
        <f>SUM(INDEX(Tabela1[[Canoeing - Men''s C1 Slalom]:[Canoeing - Women''s Kayak Cross Slalom]],MATCH(Table92[[#This Row],[Country]],Tabela1[Country], 0),0))</f>
        <v>0</v>
      </c>
      <c r="O107" s="6">
        <f>SUM(INDEX(Tabela1[[Canoeing - Women''s C1 200m]:[Canoeing - Women''s K4 500m]],MATCH(Table92[[#This Row],[Country]],Tabela1[Country], 0),0))</f>
        <v>0</v>
      </c>
      <c r="P107" s="6">
        <f>SUM(INDEX(Tabela1[[Cycling - Men''s BMX Freestyle]:[Cycling - Women''s BMX Freestyle]],MATCH(Table92[[#This Row],[Country]],Tabela1[Country], 0),0))</f>
        <v>0</v>
      </c>
      <c r="Q107" s="6">
        <f>SUM(INDEX(Tabela1[[Cycling - Men''s BMX Racing]:[Cycling - Women''s BMX Racing]],MATCH(Table92[[#This Row],[Country]],Tabela1[Country], 0),0))</f>
        <v>0</v>
      </c>
      <c r="R107" s="6">
        <f>SUM(INDEX(Tabela1[[Cycling - Men''s Cross-Country]:[Cycling - Women''s Cross-Country]],MATCH(Table92[[#This Row],[Country]],Tabela1[Country], 0),0))</f>
        <v>0</v>
      </c>
      <c r="S107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07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07" s="6">
        <f>SUM(INDEX(Tabela1[[Diving - Men''s Springboard]:[Diving - Women''s Synchronized Platform]],MATCH(Table92[[#This Row],[Country]],Tabela1[Country], 0),0))</f>
        <v>0</v>
      </c>
      <c r="V107" s="6">
        <f>SUM(INDEX(Tabela1[[Equestrian - Individual Dressage]:[Equestrian - Team Dressage]],MATCH(Table92[[#This Row],[Country]],Tabela1[Country], 0),0))</f>
        <v>0</v>
      </c>
      <c r="W107" s="6">
        <f>SUM(INDEX(Tabela1[[Equestrian - Individual Eventing]:[Equestrian - Team Eventing]],MATCH(Table92[[#This Row],[Country]],Tabela1[Country], 0),0))</f>
        <v>0</v>
      </c>
      <c r="X107" s="6">
        <f>SUM(INDEX(Tabela1[[Equestrian - Individual Jumping]:[Equestrian - Team Jumping]],MATCH(Table92[[#This Row],[Country]],Tabela1[Country], 0),0))</f>
        <v>0</v>
      </c>
      <c r="Y107" s="6">
        <f>SUM(INDEX(Tabela1[[Fencing - Men''s Épée]:[Fencing - Women''s Team Sabre]],MATCH(Table92[[#This Row],[Country]],Tabela1[Country], 0),0))</f>
        <v>0</v>
      </c>
      <c r="Z107" s="6">
        <f>SUM(INDEX(Tabela1[[Field Hockey - Men''s Tournament]:[Field Hockey - Women''s Tournament]],MATCH(Table92[[#This Row],[Country]],Tabela1[Country], 0),0))</f>
        <v>0</v>
      </c>
      <c r="AA107" s="6">
        <f>SUM(INDEX(Tabela1[[Football - Men''s Tournament]:[Football - Women''s Tournament]],MATCH(Table92[[#This Row],[Country]],Tabela1[Country], 0),0))</f>
        <v>0</v>
      </c>
      <c r="AB107" s="6">
        <f>SUM(INDEX(Tabela1[[Golf - Men''s Individual]:[Golf - Women''s Individual]],MATCH(Table92[[#This Row],[Country]],Tabela1[Country], 0),0))</f>
        <v>0</v>
      </c>
      <c r="AC107" s="6">
        <f>SUM(INDEX(Tabela1[[Handball - Men''s Tournament]:[Handball - Women''s Tournament]],MATCH(Table92[[#This Row],[Country]],Tabela1[Country], 0),0))</f>
        <v>0</v>
      </c>
      <c r="AD107" s="6">
        <f>SUM(INDEX(Tabela1[[Judo - Men''s 60kg]:[Judo - Mixed Team]],MATCH(Table92[[#This Row],[Country]],Tabela1[Country], 0),0))</f>
        <v>0</v>
      </c>
      <c r="AE107" s="6">
        <f>SUM(INDEX(Tabela1[[Swimming - Men''s 10km Open Water]:[Swimming - Women''s 10km Open Water]],MATCH(Table92[[#This Row],[Country]],Tabela1[Country], 0),0))</f>
        <v>0</v>
      </c>
      <c r="AF107" s="6">
        <f>SUM(INDEX(Tabela1[[Modern Pentathlon - Men''s Individual]:[Modern Pentathlon - Women''s Individual]],MATCH(Table92[[#This Row],[Country]],Tabela1[Country], 0),0))</f>
        <v>0</v>
      </c>
      <c r="AG107" s="6">
        <f>SUM(INDEX(Tabela1[[Rhythmic Gymnastics - Women''s Individual All-Around]:[Rhythmic Gymnastics - Women''s Group All-Around]],MATCH(Table92[[#This Row],[Country]],Tabela1[Country], 0),0))</f>
        <v>0</v>
      </c>
      <c r="AH107" s="6">
        <f>SUM(INDEX(Tabela1[[Rowing - Men''s Single Sculls]:[Rowing - Women''s Lwt. Double Sculls]],MATCH(Table92[[#This Row],[Country]],Tabela1[Country], 0),0))</f>
        <v>0</v>
      </c>
      <c r="AI107" s="6">
        <f>SUM(INDEX(Tabela1[[Rugby Sevens - Men''s Tournament]:[Rugby Sevens - Women''s Tournament]],MATCH(Table92[[#This Row],[Country]],Tabela1[Country], 0),0))</f>
        <v>0</v>
      </c>
      <c r="AJ107" s="6">
        <f>SUM(INDEX(Tabela1[[Sailing - Mixed 470]:[Sailing - Mixed Nacra 17]],MATCH(Table92[[#This Row],[Country]],Tabela1[Country], 0),0))</f>
        <v>0</v>
      </c>
      <c r="AK107" s="6">
        <f>SUM(INDEX(Tabela1[[Shooting - Men''s 10m Air Pistol]:[Shooting - Women''s Trap]],MATCH(Table92[[#This Row],[Country]],Tabela1[Country], 0),0))</f>
        <v>0</v>
      </c>
      <c r="AL107" s="6">
        <f>SUM(INDEX(Tabela1[[Skateboarding - Men''s Park]:[Skateboarding - Women''s Street]],MATCH(Table92[[#This Row],[Country]],Tabela1[Country], 0),0))</f>
        <v>0</v>
      </c>
      <c r="AM107" s="6">
        <f>SUM(INDEX(Tabela1[[Sport Climbing - Men''s Boulder and Lead]:[Sport Climbing - Women''s Speed]],MATCH(Table92[[#This Row],[Country]],Tabela1[Country], 0),0))</f>
        <v>0</v>
      </c>
      <c r="AN107" s="6">
        <f>SUM(INDEX(Tabela1[[Surfing - Men''s Shortboard]:[Surfing - Women''s Shortboard]],MATCH(Table92[[#This Row],[Country]],Tabela1[Country], 0),0))</f>
        <v>0</v>
      </c>
      <c r="AO107" s="6">
        <f>SUM(INDEX(Tabela1[[Swimming - Men''s 50m Freestyle]:[Swimming - Mixed 4x100m Medley Relay]],MATCH(Table92[[#This Row],[Country]],Tabela1[Country], 0),0))</f>
        <v>0</v>
      </c>
      <c r="AP107" s="6">
        <f>SUM(INDEX(Tabela1[[Table Tennis - Men''s Singles]:[Table Tennis - Mixed Doubles]],MATCH(Table92[[#This Row],[Country]],Tabela1[Country], 0),0))</f>
        <v>0</v>
      </c>
      <c r="AQ107" s="6">
        <f>SUM(INDEX(Tabela1[[Taekwondo - Men''s 58kg]:[Taekwondo - Women''s +67kg]],MATCH(Table92[[#This Row],[Country]],Tabela1[Country], 0),0))</f>
        <v>1</v>
      </c>
      <c r="AR107" s="6">
        <f>SUM(INDEX(Tabela1[[Tennis - Men''s Singles]:[Tennis - Mixed Doubles]],MATCH(Table92[[#This Row],[Country]],Tabela1[Country], 0),0))</f>
        <v>0</v>
      </c>
      <c r="AS107" s="6">
        <f>SUM(INDEX(Tabela1[[Gymnastics - Men''s Trampoline]:[Gymnastics - Women''s Trampoline]],MATCH(Table92[[#This Row],[Country]],Tabela1[Country], 0),0))</f>
        <v>0</v>
      </c>
      <c r="AT107" s="6">
        <f>SUM(INDEX(Tabela1[[Triathlon - Men''s Individual]:[Triathlon - Mixed Relay]],MATCH(Table92[[#This Row],[Country]],Tabela1[Country], 0),0))</f>
        <v>0</v>
      </c>
      <c r="AU107" s="6">
        <f>SUM(INDEX(Tabela1[[Volleyball - Men''s Tournament]:[Volleyball - Women''s Tournament]],MATCH(Table92[[#This Row],[Country]],Tabela1[Country], 0),0))</f>
        <v>0</v>
      </c>
      <c r="AV107" s="6">
        <f>SUM(INDEX(Tabela1[[Water Polo - Men''s Tournament]:[Water Polo - Women''s Tournament]],MATCH(Table92[[#This Row],[Country]],Tabela1[Country], 0),0))</f>
        <v>0</v>
      </c>
      <c r="AW107" s="6">
        <f>SUM(INDEX(Tabela1[[Weightlifting - Men''s 61kg]:[Weightlifting - Women''s +81kg]],MATCH(Table92[[#This Row],[Country]],Tabela1[Country], 0),0))</f>
        <v>1</v>
      </c>
      <c r="AX107" s="6">
        <f>SUM(INDEX(Tabela1[[Wrestling - Men''s Freestyle 57kg]:[Wrestling - Women''s Freestyle 76kg]],MATCH(Table92[[#This Row],[Country]],Tabela1[Country], 0),0))</f>
        <v>0</v>
      </c>
      <c r="AY107" s="6">
        <f>SUM(INDEX(Tabela1[[Alpine Skiing - Men''s Downhill]:[Alpine Skiing - Women''s Team Combined]],MATCH(Table92[[#This Row],[Country]],Tabela1[Country], 0),0))</f>
        <v>0</v>
      </c>
      <c r="AZ107" s="6">
        <f>SUM(INDEX(Tabela1[[Biathlon - Men''s Individual]:[Biathlon - Mixed Relay]],MATCH(Table92[[#This Row],[Country]],Tabela1[Country], 0),0))</f>
        <v>0</v>
      </c>
      <c r="BA107" s="6">
        <f>SUM(INDEX(Tabela1[[Bobsleigh - Women''s Monobob]:[Bobsleigh - Men''s Four]],MATCH(Table92[[#This Row],[Country]],Tabela1[Country], 0),0))</f>
        <v>0</v>
      </c>
      <c r="BB107" s="6">
        <f>SUM(INDEX(Tabela1[[Cross-country skiing - Men''s Classical]:[Cross-country skiing - Women''s Team Sprint]],MATCH(Table92[[#This Row],[Country]],Tabela1[Country], 0),0))</f>
        <v>0</v>
      </c>
      <c r="BC107" s="6">
        <f>SUM(INDEX(Tabela1[[Curling - Men''s Tournament]:[Curling - Mixed Doubles]],MATCH(Table92[[#This Row],[Country]],Tabela1[Country], 0),0))</f>
        <v>0</v>
      </c>
      <c r="BD107" s="6">
        <f>SUM(INDEX(Tabela1[[Figure Skating - Men''s Singles]:[Figure Skating - Team Event]],MATCH(Table92[[#This Row],[Country]],Tabela1[Country], 0),0))</f>
        <v>0</v>
      </c>
      <c r="BE107" s="6">
        <f>SUM(INDEX(Tabela1[[Freestyle Skiing - Men''s Aerials]:[Freestyle Skiing - Women''s Slopestyle]],MATCH(Table92[[#This Row],[Country]],Tabela1[Country], 0),0))</f>
        <v>0</v>
      </c>
      <c r="BF107" s="6">
        <f>SUM(INDEX(Tabela1[[Ice Hockey - Men''s Tournament]:[Ice Hockey - Women''s Tournament]],MATCH(Table92[[#This Row],[Country]],Tabela1[Country], 0),0))</f>
        <v>0</v>
      </c>
      <c r="BG107" s="6">
        <f>SUM(INDEX(Tabela1[[Luge - Men''s Singles]:[Luge - Mixed Team Relay]],MATCH(Table92[[#This Row],[Country]],Tabela1[Country], 0),0))</f>
        <v>0</v>
      </c>
      <c r="BH107" s="6">
        <f>SUM(INDEX(Tabela1[[Nordic Combined - Men''s Individual]:[Nordic Combined - Men''s Team Sprint Large Hill]],MATCH(Table92[[#This Row],[Country]],Tabela1[Country], 0),0))</f>
        <v>0</v>
      </c>
      <c r="BI107" s="6">
        <f>SUM(INDEX(Tabela1[[Short track speed skating - Men''s 500m]:[Short track speed skating - Mixed 2000m Relay]],MATCH(Table92[[#This Row],[Country]],Tabela1[Country], 0),0))</f>
        <v>0</v>
      </c>
      <c r="BJ107" s="6">
        <f>SUM(INDEX(Tabela1[[Skeleton - Men''s Individual]:[Skeleton - Mixed Team]],MATCH(Table92[[#This Row],[Country]],Tabela1[Country], 0),0))</f>
        <v>0</v>
      </c>
      <c r="BK107" s="6">
        <f>SUM(INDEX(Tabela1[[Ski Jumping - Men''s Individual Large Hill]:[Ski Jumping - Mixed Team Normal Hill]],MATCH(Table92[[#This Row],[Country]],Tabela1[Country], 0),0))</f>
        <v>0</v>
      </c>
      <c r="BL107" s="6">
        <f>SUM(INDEX(Tabela1[[Ski Mountaineering - Men''s Sprint]:[Ski Mountaineering - Mixed Relay]],MATCH(Table92[[#This Row],[Country]],Tabela1[Country], 0),0))</f>
        <v>0</v>
      </c>
      <c r="BM107" s="6">
        <f>SUM(INDEX(Tabela1[[Snowboarding - Men''s Big Air]:[Snowboarding - Mixed Team Snowboard Cross]],MATCH(Table92[[#This Row],[Country]],Tabela1[Country], 0),0))</f>
        <v>0</v>
      </c>
      <c r="BN107" s="6">
        <f>SUM(INDEX(Tabela1[[Speed Skating - Men''s 500m]:[Speed Skating - Women''s Team Pursuit]],MATCH(Table92[[#This Row],[Country]],Tabela1[Country], 0),0))</f>
        <v>0</v>
      </c>
      <c r="BO107" s="6" t="str">
        <f>SUBSTITUTE(INDEX(Table92[[#Headers],[Archery Quotas]:[Speed Skating Quotas]], MATCH(MAX(Table92[[#This Row],[Archery Quotas]:[Speed Skating Quotas]]), Table92[[#This Row],[Archery Quotas]:[Speed Skating Quotas]], 0))," Quotas","")</f>
        <v>Boxing</v>
      </c>
      <c r="BP107" s="6">
        <f>SUM(Table92[[#This Row],[Summer Sports]:[Winter Sports]])</f>
        <v>3</v>
      </c>
      <c r="BQ107" s="6">
        <f>COUNTIF(Table92[[#This Row],[Archery Quotas]:[Wrestling Quotas]],"&lt;&gt;0")</f>
        <v>3</v>
      </c>
      <c r="BR107" s="6">
        <f>COUNTIF(Table92[[#This Row],[Alpine Skiing Quotas]:[Speed Skating Quotas]],"&lt;&gt;0")</f>
        <v>0</v>
      </c>
      <c r="BS107" s="3" t="s">
        <v>667</v>
      </c>
    </row>
    <row r="108" spans="1:71" x14ac:dyDescent="0.3">
      <c r="A108" s="6" t="s">
        <v>386</v>
      </c>
      <c r="B108" t="e" vm="113">
        <f>IF(ISBLANK(Table92[[#This Row],[Flag Link]]), "", _xlfn.IMAGE(Table92[[#This Row],[Flag Link]],1,1))</f>
        <v>#VALUE!</v>
      </c>
      <c r="C108" s="6">
        <f>SUM(Table92[[#This Row],[Archery Quotas]:[Speed Skating Quotas]])</f>
        <v>3</v>
      </c>
      <c r="D108" s="6">
        <f>SUM(INDEX(Tabela1[[Archery - Men''s Individual Recurve]:[Archery - Mixed Team Recurve]],MATCH(Table92[[#This Row],[Country]],Tabela1[Country], 0),0))</f>
        <v>0</v>
      </c>
      <c r="E108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08" s="6">
        <f>SUM(INDEX(Tabela1[[Artistic Swimming - Women''s Duet]:[Artistic Swimming - Women''s Team]],MATCH(Table92[[#This Row],[Country]],Tabela1[Country], 0),0))</f>
        <v>0</v>
      </c>
      <c r="G108" s="6">
        <f>SUM(INDEX(Tabela1[[Athletics - Men''s 100m]:[Athletics - Women''s Heptathlon]],MATCH(Table92[[#This Row],[Country]],Tabela1[Country], 0),0))</f>
        <v>0</v>
      </c>
      <c r="H108" s="6">
        <f>SUM(INDEX(Tabela1[[Badminton - Men''s Singles]:[Badminton - Mixed Doubles]],MATCH(Table92[[#This Row],[Country]],Tabela1[Country], 0),0))</f>
        <v>0</v>
      </c>
      <c r="I108" s="6">
        <f>SUM(INDEX(Tabela1[[Basketball - Men''s Tournament]:[Basketball - Women''s Tournament]],MATCH(Table92[[#This Row],[Country]],Tabela1[Country], 0),0))</f>
        <v>0</v>
      </c>
      <c r="J108" s="6">
        <f>SUM(INDEX(Tabela1[[3x3 Basketball - Men''s Tournament]:[3x3 Basketball - Women''s Tournament]],MATCH(Table92[[#This Row],[Country]],Tabela1[Country], 0),0))</f>
        <v>0</v>
      </c>
      <c r="K108" s="6">
        <f>SUM(INDEX(Tabela1[[Beach Volleyball - Men''s Tournament]:[Beach Volleyball - Women''s Tournament]],MATCH(Table92[[#This Row],[Country]],Tabela1[Country], 0),0))</f>
        <v>0</v>
      </c>
      <c r="L108" s="6">
        <f>SUM(INDEX(Tabela1[[Boxing - Men''s 51kg]:[Boxing - Women''s 75kg]],MATCH(Table92[[#This Row],[Country]],Tabela1[Country], 0),0))</f>
        <v>1</v>
      </c>
      <c r="M108" s="6">
        <f>SUM(INDEX(Tabela1[[Breaking - Men''s Individual]:[Breaking - Women''s Individual]],MATCH(Table92[[#This Row],[Country]],Tabela1[Country], 0),0))</f>
        <v>0</v>
      </c>
      <c r="N108" s="6">
        <f>SUM(INDEX(Tabela1[[Canoeing - Men''s C1 Slalom]:[Canoeing - Women''s Kayak Cross Slalom]],MATCH(Table92[[#This Row],[Country]],Tabela1[Country], 0),0))</f>
        <v>0</v>
      </c>
      <c r="O108" s="6">
        <f>SUM(INDEX(Tabela1[[Canoeing - Women''s C1 200m]:[Canoeing - Women''s K4 500m]],MATCH(Table92[[#This Row],[Country]],Tabela1[Country], 0),0))</f>
        <v>0</v>
      </c>
      <c r="P108" s="6">
        <f>SUM(INDEX(Tabela1[[Cycling - Men''s BMX Freestyle]:[Cycling - Women''s BMX Freestyle]],MATCH(Table92[[#This Row],[Country]],Tabela1[Country], 0),0))</f>
        <v>0</v>
      </c>
      <c r="Q108" s="6">
        <f>SUM(INDEX(Tabela1[[Cycling - Men''s BMX Racing]:[Cycling - Women''s BMX Racing]],MATCH(Table92[[#This Row],[Country]],Tabela1[Country], 0),0))</f>
        <v>0</v>
      </c>
      <c r="R108" s="6">
        <f>SUM(INDEX(Tabela1[[Cycling - Men''s Cross-Country]:[Cycling - Women''s Cross-Country]],MATCH(Table92[[#This Row],[Country]],Tabela1[Country], 0),0))</f>
        <v>0</v>
      </c>
      <c r="S108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1</v>
      </c>
      <c r="T108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08" s="6">
        <f>SUM(INDEX(Tabela1[[Diving - Men''s Springboard]:[Diving - Women''s Synchronized Platform]],MATCH(Table92[[#This Row],[Country]],Tabela1[Country], 0),0))</f>
        <v>0</v>
      </c>
      <c r="V108" s="6">
        <f>SUM(INDEX(Tabela1[[Equestrian - Individual Dressage]:[Equestrian - Team Dressage]],MATCH(Table92[[#This Row],[Country]],Tabela1[Country], 0),0))</f>
        <v>0</v>
      </c>
      <c r="W108" s="6">
        <f>SUM(INDEX(Tabela1[[Equestrian - Individual Eventing]:[Equestrian - Team Eventing]],MATCH(Table92[[#This Row],[Country]],Tabela1[Country], 0),0))</f>
        <v>0</v>
      </c>
      <c r="X108" s="6">
        <f>SUM(INDEX(Tabela1[[Equestrian - Individual Jumping]:[Equestrian - Team Jumping]],MATCH(Table92[[#This Row],[Country]],Tabela1[Country], 0),0))</f>
        <v>0</v>
      </c>
      <c r="Y108" s="6">
        <f>SUM(INDEX(Tabela1[[Fencing - Men''s Épée]:[Fencing - Women''s Team Sabre]],MATCH(Table92[[#This Row],[Country]],Tabela1[Country], 0),0))</f>
        <v>0</v>
      </c>
      <c r="Z108" s="6">
        <f>SUM(INDEX(Tabela1[[Field Hockey - Men''s Tournament]:[Field Hockey - Women''s Tournament]],MATCH(Table92[[#This Row],[Country]],Tabela1[Country], 0),0))</f>
        <v>0</v>
      </c>
      <c r="AA108" s="6">
        <f>SUM(INDEX(Tabela1[[Football - Men''s Tournament]:[Football - Women''s Tournament]],MATCH(Table92[[#This Row],[Country]],Tabela1[Country], 0),0))</f>
        <v>0</v>
      </c>
      <c r="AB108" s="6">
        <f>SUM(INDEX(Tabela1[[Golf - Men''s Individual]:[Golf - Women''s Individual]],MATCH(Table92[[#This Row],[Country]],Tabela1[Country], 0),0))</f>
        <v>0</v>
      </c>
      <c r="AC108" s="6">
        <f>SUM(INDEX(Tabela1[[Handball - Men''s Tournament]:[Handball - Women''s Tournament]],MATCH(Table92[[#This Row],[Country]],Tabela1[Country], 0),0))</f>
        <v>0</v>
      </c>
      <c r="AD108" s="6">
        <f>SUM(INDEX(Tabela1[[Judo - Men''s 60kg]:[Judo - Mixed Team]],MATCH(Table92[[#This Row],[Country]],Tabela1[Country], 0),0))</f>
        <v>0</v>
      </c>
      <c r="AE108" s="6">
        <f>SUM(INDEX(Tabela1[[Swimming - Men''s 10km Open Water]:[Swimming - Women''s 10km Open Water]],MATCH(Table92[[#This Row],[Country]],Tabela1[Country], 0),0))</f>
        <v>0</v>
      </c>
      <c r="AF108" s="6">
        <f>SUM(INDEX(Tabela1[[Modern Pentathlon - Men''s Individual]:[Modern Pentathlon - Women''s Individual]],MATCH(Table92[[#This Row],[Country]],Tabela1[Country], 0),0))</f>
        <v>0</v>
      </c>
      <c r="AG108" s="6">
        <f>SUM(INDEX(Tabela1[[Rhythmic Gymnastics - Women''s Individual All-Around]:[Rhythmic Gymnastics - Women''s Group All-Around]],MATCH(Table92[[#This Row],[Country]],Tabela1[Country], 0),0))</f>
        <v>0</v>
      </c>
      <c r="AH108" s="6">
        <f>SUM(INDEX(Tabela1[[Rowing - Men''s Single Sculls]:[Rowing - Women''s Lwt. Double Sculls]],MATCH(Table92[[#This Row],[Country]],Tabela1[Country], 0),0))</f>
        <v>0</v>
      </c>
      <c r="AI108" s="6">
        <f>SUM(INDEX(Tabela1[[Rugby Sevens - Men''s Tournament]:[Rugby Sevens - Women''s Tournament]],MATCH(Table92[[#This Row],[Country]],Tabela1[Country], 0),0))</f>
        <v>0</v>
      </c>
      <c r="AJ108" s="6">
        <f>SUM(INDEX(Tabela1[[Sailing - Mixed 470]:[Sailing - Mixed Nacra 17]],MATCH(Table92[[#This Row],[Country]],Tabela1[Country], 0),0))</f>
        <v>0</v>
      </c>
      <c r="AK108" s="6">
        <f>SUM(INDEX(Tabela1[[Shooting - Men''s 10m Air Pistol]:[Shooting - Women''s Trap]],MATCH(Table92[[#This Row],[Country]],Tabela1[Country], 0),0))</f>
        <v>0</v>
      </c>
      <c r="AL108" s="6">
        <f>SUM(INDEX(Tabela1[[Skateboarding - Men''s Park]:[Skateboarding - Women''s Street]],MATCH(Table92[[#This Row],[Country]],Tabela1[Country], 0),0))</f>
        <v>0</v>
      </c>
      <c r="AM108" s="6">
        <f>SUM(INDEX(Tabela1[[Sport Climbing - Men''s Boulder and Lead]:[Sport Climbing - Women''s Speed]],MATCH(Table92[[#This Row],[Country]],Tabela1[Country], 0),0))</f>
        <v>0</v>
      </c>
      <c r="AN108" s="6">
        <f>SUM(INDEX(Tabela1[[Surfing - Men''s Shortboard]:[Surfing - Women''s Shortboard]],MATCH(Table92[[#This Row],[Country]],Tabela1[Country], 0),0))</f>
        <v>0</v>
      </c>
      <c r="AO108" s="6">
        <f>SUM(INDEX(Tabela1[[Swimming - Men''s 50m Freestyle]:[Swimming - Mixed 4x100m Medley Relay]],MATCH(Table92[[#This Row],[Country]],Tabela1[Country], 0),0))</f>
        <v>0</v>
      </c>
      <c r="AP108" s="6">
        <f>SUM(INDEX(Tabela1[[Table Tennis - Men''s Singles]:[Table Tennis - Mixed Doubles]],MATCH(Table92[[#This Row],[Country]],Tabela1[Country], 0),0))</f>
        <v>0</v>
      </c>
      <c r="AQ108" s="6">
        <f>SUM(INDEX(Tabela1[[Taekwondo - Men''s 58kg]:[Taekwondo - Women''s +67kg]],MATCH(Table92[[#This Row],[Country]],Tabela1[Country], 0),0))</f>
        <v>0</v>
      </c>
      <c r="AR108" s="6">
        <f>SUM(INDEX(Tabela1[[Tennis - Men''s Singles]:[Tennis - Mixed Doubles]],MATCH(Table92[[#This Row],[Country]],Tabela1[Country], 0),0))</f>
        <v>0</v>
      </c>
      <c r="AS108" s="6">
        <f>SUM(INDEX(Tabela1[[Gymnastics - Men''s Trampoline]:[Gymnastics - Women''s Trampoline]],MATCH(Table92[[#This Row],[Country]],Tabela1[Country], 0),0))</f>
        <v>0</v>
      </c>
      <c r="AT108" s="6">
        <f>SUM(INDEX(Tabela1[[Triathlon - Men''s Individual]:[Triathlon - Mixed Relay]],MATCH(Table92[[#This Row],[Country]],Tabela1[Country], 0),0))</f>
        <v>0</v>
      </c>
      <c r="AU108" s="6">
        <f>SUM(INDEX(Tabela1[[Volleyball - Men''s Tournament]:[Volleyball - Women''s Tournament]],MATCH(Table92[[#This Row],[Country]],Tabela1[Country], 0),0))</f>
        <v>0</v>
      </c>
      <c r="AV108" s="6">
        <f>SUM(INDEX(Tabela1[[Water Polo - Men''s Tournament]:[Water Polo - Women''s Tournament]],MATCH(Table92[[#This Row],[Country]],Tabela1[Country], 0),0))</f>
        <v>0</v>
      </c>
      <c r="AW108" s="6">
        <f>SUM(INDEX(Tabela1[[Weightlifting - Men''s 61kg]:[Weightlifting - Women''s +81kg]],MATCH(Table92[[#This Row],[Country]],Tabela1[Country], 0),0))</f>
        <v>0</v>
      </c>
      <c r="AX108" s="6">
        <f>SUM(INDEX(Tabela1[[Wrestling - Men''s Freestyle 57kg]:[Wrestling - Women''s Freestyle 76kg]],MATCH(Table92[[#This Row],[Country]],Tabela1[Country], 0),0))</f>
        <v>1</v>
      </c>
      <c r="AY108" s="6">
        <f>SUM(INDEX(Tabela1[[Alpine Skiing - Men''s Downhill]:[Alpine Skiing - Women''s Team Combined]],MATCH(Table92[[#This Row],[Country]],Tabela1[Country], 0),0))</f>
        <v>0</v>
      </c>
      <c r="AZ108" s="6">
        <f>SUM(INDEX(Tabela1[[Biathlon - Men''s Individual]:[Biathlon - Mixed Relay]],MATCH(Table92[[#This Row],[Country]],Tabela1[Country], 0),0))</f>
        <v>0</v>
      </c>
      <c r="BA108" s="6">
        <f>SUM(INDEX(Tabela1[[Bobsleigh - Women''s Monobob]:[Bobsleigh - Men''s Four]],MATCH(Table92[[#This Row],[Country]],Tabela1[Country], 0),0))</f>
        <v>0</v>
      </c>
      <c r="BB108" s="6">
        <f>SUM(INDEX(Tabela1[[Cross-country skiing - Men''s Classical]:[Cross-country skiing - Women''s Team Sprint]],MATCH(Table92[[#This Row],[Country]],Tabela1[Country], 0),0))</f>
        <v>0</v>
      </c>
      <c r="BC108" s="6">
        <f>SUM(INDEX(Tabela1[[Curling - Men''s Tournament]:[Curling - Mixed Doubles]],MATCH(Table92[[#This Row],[Country]],Tabela1[Country], 0),0))</f>
        <v>0</v>
      </c>
      <c r="BD108" s="6">
        <f>SUM(INDEX(Tabela1[[Figure Skating - Men''s Singles]:[Figure Skating - Team Event]],MATCH(Table92[[#This Row],[Country]],Tabela1[Country], 0),0))</f>
        <v>0</v>
      </c>
      <c r="BE108" s="6">
        <f>SUM(INDEX(Tabela1[[Freestyle Skiing - Men''s Aerials]:[Freestyle Skiing - Women''s Slopestyle]],MATCH(Table92[[#This Row],[Country]],Tabela1[Country], 0),0))</f>
        <v>0</v>
      </c>
      <c r="BF108" s="6">
        <f>SUM(INDEX(Tabela1[[Ice Hockey - Men''s Tournament]:[Ice Hockey - Women''s Tournament]],MATCH(Table92[[#This Row],[Country]],Tabela1[Country], 0),0))</f>
        <v>0</v>
      </c>
      <c r="BG108" s="6">
        <f>SUM(INDEX(Tabela1[[Luge - Men''s Singles]:[Luge - Mixed Team Relay]],MATCH(Table92[[#This Row],[Country]],Tabela1[Country], 0),0))</f>
        <v>0</v>
      </c>
      <c r="BH108" s="6">
        <f>SUM(INDEX(Tabela1[[Nordic Combined - Men''s Individual]:[Nordic Combined - Men''s Team Sprint Large Hill]],MATCH(Table92[[#This Row],[Country]],Tabela1[Country], 0),0))</f>
        <v>0</v>
      </c>
      <c r="BI108" s="6">
        <f>SUM(INDEX(Tabela1[[Short track speed skating - Men''s 500m]:[Short track speed skating - Mixed 2000m Relay]],MATCH(Table92[[#This Row],[Country]],Tabela1[Country], 0),0))</f>
        <v>0</v>
      </c>
      <c r="BJ108" s="6">
        <f>SUM(INDEX(Tabela1[[Skeleton - Men''s Individual]:[Skeleton - Mixed Team]],MATCH(Table92[[#This Row],[Country]],Tabela1[Country], 0),0))</f>
        <v>0</v>
      </c>
      <c r="BK108" s="6">
        <f>SUM(INDEX(Tabela1[[Ski Jumping - Men''s Individual Large Hill]:[Ski Jumping - Mixed Team Normal Hill]],MATCH(Table92[[#This Row],[Country]],Tabela1[Country], 0),0))</f>
        <v>0</v>
      </c>
      <c r="BL108" s="6">
        <f>SUM(INDEX(Tabela1[[Ski Mountaineering - Men''s Sprint]:[Ski Mountaineering - Mixed Relay]],MATCH(Table92[[#This Row],[Country]],Tabela1[Country], 0),0))</f>
        <v>0</v>
      </c>
      <c r="BM108" s="6">
        <f>SUM(INDEX(Tabela1[[Snowboarding - Men''s Big Air]:[Snowboarding - Mixed Team Snowboard Cross]],MATCH(Table92[[#This Row],[Country]],Tabela1[Country], 0),0))</f>
        <v>0</v>
      </c>
      <c r="BN108" s="6">
        <f>SUM(INDEX(Tabela1[[Speed Skating - Men''s 500m]:[Speed Skating - Women''s Team Pursuit]],MATCH(Table92[[#This Row],[Country]],Tabela1[Country], 0),0))</f>
        <v>0</v>
      </c>
      <c r="BO108" s="6" t="str">
        <f>SUBSTITUTE(INDEX(Table92[[#Headers],[Archery Quotas]:[Speed Skating Quotas]], MATCH(MAX(Table92[[#This Row],[Archery Quotas]:[Speed Skating Quotas]]), Table92[[#This Row],[Archery Quotas]:[Speed Skating Quotas]], 0))," Quotas","")</f>
        <v>Boxing</v>
      </c>
      <c r="BP108" s="6">
        <f>SUM(Table92[[#This Row],[Summer Sports]:[Winter Sports]])</f>
        <v>3</v>
      </c>
      <c r="BQ108" s="6">
        <f>COUNTIF(Table92[[#This Row],[Archery Quotas]:[Wrestling Quotas]],"&lt;&gt;0")</f>
        <v>3</v>
      </c>
      <c r="BR108" s="6">
        <f>COUNTIF(Table92[[#This Row],[Alpine Skiing Quotas]:[Speed Skating Quotas]],"&lt;&gt;0")</f>
        <v>0</v>
      </c>
      <c r="BS108" s="4" t="s">
        <v>387</v>
      </c>
    </row>
    <row r="109" spans="1:71" x14ac:dyDescent="0.3">
      <c r="A109" s="6" t="s">
        <v>476</v>
      </c>
      <c r="B109" t="e" vm="103">
        <f>IF(ISBLANK(Table92[[#This Row],[Flag Link]]), "", _xlfn.IMAGE(Table92[[#This Row],[Flag Link]],1,1))</f>
        <v>#VALUE!</v>
      </c>
      <c r="C109" s="6">
        <f>SUM(Table92[[#This Row],[Archery Quotas]:[Speed Skating Quotas]])</f>
        <v>3</v>
      </c>
      <c r="D109" s="6">
        <f>SUM(INDEX(Tabela1[[Archery - Men''s Individual Recurve]:[Archery - Mixed Team Recurve]],MATCH(Table92[[#This Row],[Country]],Tabela1[Country], 0),0))</f>
        <v>0</v>
      </c>
      <c r="E109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09" s="6">
        <f>SUM(INDEX(Tabela1[[Artistic Swimming - Women''s Duet]:[Artistic Swimming - Women''s Team]],MATCH(Table92[[#This Row],[Country]],Tabela1[Country], 0),0))</f>
        <v>0</v>
      </c>
      <c r="G109" s="6">
        <f>SUM(INDEX(Tabela1[[Athletics - Men''s 100m]:[Athletics - Women''s Heptathlon]],MATCH(Table92[[#This Row],[Country]],Tabela1[Country], 0),0))</f>
        <v>2</v>
      </c>
      <c r="H109" s="6">
        <f>SUM(INDEX(Tabela1[[Badminton - Men''s Singles]:[Badminton - Mixed Doubles]],MATCH(Table92[[#This Row],[Country]],Tabela1[Country], 0),0))</f>
        <v>0</v>
      </c>
      <c r="I109" s="6">
        <f>SUM(INDEX(Tabela1[[Basketball - Men''s Tournament]:[Basketball - Women''s Tournament]],MATCH(Table92[[#This Row],[Country]],Tabela1[Country], 0),0))</f>
        <v>0</v>
      </c>
      <c r="J109" s="6">
        <f>SUM(INDEX(Tabela1[[3x3 Basketball - Men''s Tournament]:[3x3 Basketball - Women''s Tournament]],MATCH(Table92[[#This Row],[Country]],Tabela1[Country], 0),0))</f>
        <v>0</v>
      </c>
      <c r="K109" s="6">
        <f>SUM(INDEX(Tabela1[[Beach Volleyball - Men''s Tournament]:[Beach Volleyball - Women''s Tournament]],MATCH(Table92[[#This Row],[Country]],Tabela1[Country], 0),0))</f>
        <v>0</v>
      </c>
      <c r="L109" s="6">
        <f>SUM(INDEX(Tabela1[[Boxing - Men''s 51kg]:[Boxing - Women''s 75kg]],MATCH(Table92[[#This Row],[Country]],Tabela1[Country], 0),0))</f>
        <v>0</v>
      </c>
      <c r="M109" s="6">
        <f>SUM(INDEX(Tabela1[[Breaking - Men''s Individual]:[Breaking - Women''s Individual]],MATCH(Table92[[#This Row],[Country]],Tabela1[Country], 0),0))</f>
        <v>0</v>
      </c>
      <c r="N109" s="6">
        <f>SUM(INDEX(Tabela1[[Canoeing - Men''s C1 Slalom]:[Canoeing - Women''s Kayak Cross Slalom]],MATCH(Table92[[#This Row],[Country]],Tabela1[Country], 0),0))</f>
        <v>0</v>
      </c>
      <c r="O109" s="6">
        <f>SUM(INDEX(Tabela1[[Canoeing - Women''s C1 200m]:[Canoeing - Women''s K4 500m]],MATCH(Table92[[#This Row],[Country]],Tabela1[Country], 0),0))</f>
        <v>0</v>
      </c>
      <c r="P109" s="6">
        <f>SUM(INDEX(Tabela1[[Cycling - Men''s BMX Freestyle]:[Cycling - Women''s BMX Freestyle]],MATCH(Table92[[#This Row],[Country]],Tabela1[Country], 0),0))</f>
        <v>0</v>
      </c>
      <c r="Q109" s="6">
        <f>SUM(INDEX(Tabela1[[Cycling - Men''s BMX Racing]:[Cycling - Women''s BMX Racing]],MATCH(Table92[[#This Row],[Country]],Tabela1[Country], 0),0))</f>
        <v>0</v>
      </c>
      <c r="R109" s="6">
        <f>SUM(INDEX(Tabela1[[Cycling - Men''s Cross-Country]:[Cycling - Women''s Cross-Country]],MATCH(Table92[[#This Row],[Country]],Tabela1[Country], 0),0))</f>
        <v>0</v>
      </c>
      <c r="S109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09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09" s="6">
        <f>SUM(INDEX(Tabela1[[Diving - Men''s Springboard]:[Diving - Women''s Synchronized Platform]],MATCH(Table92[[#This Row],[Country]],Tabela1[Country], 0),0))</f>
        <v>0</v>
      </c>
      <c r="V109" s="6">
        <f>SUM(INDEX(Tabela1[[Equestrian - Individual Dressage]:[Equestrian - Team Dressage]],MATCH(Table92[[#This Row],[Country]],Tabela1[Country], 0),0))</f>
        <v>0</v>
      </c>
      <c r="W109" s="6">
        <f>SUM(INDEX(Tabela1[[Equestrian - Individual Eventing]:[Equestrian - Team Eventing]],MATCH(Table92[[#This Row],[Country]],Tabela1[Country], 0),0))</f>
        <v>0</v>
      </c>
      <c r="X109" s="6">
        <f>SUM(INDEX(Tabela1[[Equestrian - Individual Jumping]:[Equestrian - Team Jumping]],MATCH(Table92[[#This Row],[Country]],Tabela1[Country], 0),0))</f>
        <v>0</v>
      </c>
      <c r="Y109" s="6">
        <f>SUM(INDEX(Tabela1[[Fencing - Men''s Épée]:[Fencing - Women''s Team Sabre]],MATCH(Table92[[#This Row],[Country]],Tabela1[Country], 0),0))</f>
        <v>0</v>
      </c>
      <c r="Z109" s="6">
        <f>SUM(INDEX(Tabela1[[Field Hockey - Men''s Tournament]:[Field Hockey - Women''s Tournament]],MATCH(Table92[[#This Row],[Country]],Tabela1[Country], 0),0))</f>
        <v>0</v>
      </c>
      <c r="AA109" s="6">
        <f>SUM(INDEX(Tabela1[[Football - Men''s Tournament]:[Football - Women''s Tournament]],MATCH(Table92[[#This Row],[Country]],Tabela1[Country], 0),0))</f>
        <v>0</v>
      </c>
      <c r="AB109" s="6">
        <f>SUM(INDEX(Tabela1[[Golf - Men''s Individual]:[Golf - Women''s Individual]],MATCH(Table92[[#This Row],[Country]],Tabela1[Country], 0),0))</f>
        <v>0</v>
      </c>
      <c r="AC109" s="6">
        <f>SUM(INDEX(Tabela1[[Handball - Men''s Tournament]:[Handball - Women''s Tournament]],MATCH(Table92[[#This Row],[Country]],Tabela1[Country], 0),0))</f>
        <v>0</v>
      </c>
      <c r="AD109" s="6">
        <f>SUM(INDEX(Tabela1[[Judo - Men''s 60kg]:[Judo - Mixed Team]],MATCH(Table92[[#This Row],[Country]],Tabela1[Country], 0),0))</f>
        <v>0</v>
      </c>
      <c r="AE109" s="6">
        <f>SUM(INDEX(Tabela1[[Swimming - Men''s 10km Open Water]:[Swimming - Women''s 10km Open Water]],MATCH(Table92[[#This Row],[Country]],Tabela1[Country], 0),0))</f>
        <v>0</v>
      </c>
      <c r="AF109" s="6">
        <f>SUM(INDEX(Tabela1[[Modern Pentathlon - Men''s Individual]:[Modern Pentathlon - Women''s Individual]],MATCH(Table92[[#This Row],[Country]],Tabela1[Country], 0),0))</f>
        <v>0</v>
      </c>
      <c r="AG109" s="6">
        <f>SUM(INDEX(Tabela1[[Rhythmic Gymnastics - Women''s Individual All-Around]:[Rhythmic Gymnastics - Women''s Group All-Around]],MATCH(Table92[[#This Row],[Country]],Tabela1[Country], 0),0))</f>
        <v>0</v>
      </c>
      <c r="AH109" s="6">
        <f>SUM(INDEX(Tabela1[[Rowing - Men''s Single Sculls]:[Rowing - Women''s Lwt. Double Sculls]],MATCH(Table92[[#This Row],[Country]],Tabela1[Country], 0),0))</f>
        <v>0</v>
      </c>
      <c r="AI109" s="6">
        <f>SUM(INDEX(Tabela1[[Rugby Sevens - Men''s Tournament]:[Rugby Sevens - Women''s Tournament]],MATCH(Table92[[#This Row],[Country]],Tabela1[Country], 0),0))</f>
        <v>0</v>
      </c>
      <c r="AJ109" s="6">
        <f>SUM(INDEX(Tabela1[[Sailing - Mixed 470]:[Sailing - Mixed Nacra 17]],MATCH(Table92[[#This Row],[Country]],Tabela1[Country], 0),0))</f>
        <v>1</v>
      </c>
      <c r="AK109" s="6">
        <f>SUM(INDEX(Tabela1[[Shooting - Men''s 10m Air Pistol]:[Shooting - Women''s Trap]],MATCH(Table92[[#This Row],[Country]],Tabela1[Country], 0),0))</f>
        <v>0</v>
      </c>
      <c r="AL109" s="6">
        <f>SUM(INDEX(Tabela1[[Skateboarding - Men''s Park]:[Skateboarding - Women''s Street]],MATCH(Table92[[#This Row],[Country]],Tabela1[Country], 0),0))</f>
        <v>0</v>
      </c>
      <c r="AM109" s="6">
        <f>SUM(INDEX(Tabela1[[Sport Climbing - Men''s Boulder and Lead]:[Sport Climbing - Women''s Speed]],MATCH(Table92[[#This Row],[Country]],Tabela1[Country], 0),0))</f>
        <v>0</v>
      </c>
      <c r="AN109" s="6">
        <f>SUM(INDEX(Tabela1[[Surfing - Men''s Shortboard]:[Surfing - Women''s Shortboard]],MATCH(Table92[[#This Row],[Country]],Tabela1[Country], 0),0))</f>
        <v>0</v>
      </c>
      <c r="AO109" s="6">
        <f>SUM(INDEX(Tabela1[[Swimming - Men''s 50m Freestyle]:[Swimming - Mixed 4x100m Medley Relay]],MATCH(Table92[[#This Row],[Country]],Tabela1[Country], 0),0))</f>
        <v>0</v>
      </c>
      <c r="AP109" s="6">
        <f>SUM(INDEX(Tabela1[[Table Tennis - Men''s Singles]:[Table Tennis - Mixed Doubles]],MATCH(Table92[[#This Row],[Country]],Tabela1[Country], 0),0))</f>
        <v>0</v>
      </c>
      <c r="AQ109" s="6">
        <f>SUM(INDEX(Tabela1[[Taekwondo - Men''s 58kg]:[Taekwondo - Women''s +67kg]],MATCH(Table92[[#This Row],[Country]],Tabela1[Country], 0),0))</f>
        <v>0</v>
      </c>
      <c r="AR109" s="6">
        <f>SUM(INDEX(Tabela1[[Tennis - Men''s Singles]:[Tennis - Mixed Doubles]],MATCH(Table92[[#This Row],[Country]],Tabela1[Country], 0),0))</f>
        <v>0</v>
      </c>
      <c r="AS109" s="6">
        <f>SUM(INDEX(Tabela1[[Gymnastics - Men''s Trampoline]:[Gymnastics - Women''s Trampoline]],MATCH(Table92[[#This Row],[Country]],Tabela1[Country], 0),0))</f>
        <v>0</v>
      </c>
      <c r="AT109" s="6">
        <f>SUM(INDEX(Tabela1[[Triathlon - Men''s Individual]:[Triathlon - Mixed Relay]],MATCH(Table92[[#This Row],[Country]],Tabela1[Country], 0),0))</f>
        <v>0</v>
      </c>
      <c r="AU109" s="6">
        <f>SUM(INDEX(Tabela1[[Volleyball - Men''s Tournament]:[Volleyball - Women''s Tournament]],MATCH(Table92[[#This Row],[Country]],Tabela1[Country], 0),0))</f>
        <v>0</v>
      </c>
      <c r="AV109" s="6">
        <f>SUM(INDEX(Tabela1[[Water Polo - Men''s Tournament]:[Water Polo - Women''s Tournament]],MATCH(Table92[[#This Row],[Country]],Tabela1[Country], 0),0))</f>
        <v>0</v>
      </c>
      <c r="AW109" s="6">
        <f>SUM(INDEX(Tabela1[[Weightlifting - Men''s 61kg]:[Weightlifting - Women''s +81kg]],MATCH(Table92[[#This Row],[Country]],Tabela1[Country], 0),0))</f>
        <v>0</v>
      </c>
      <c r="AX109" s="6">
        <f>SUM(INDEX(Tabela1[[Wrestling - Men''s Freestyle 57kg]:[Wrestling - Women''s Freestyle 76kg]],MATCH(Table92[[#This Row],[Country]],Tabela1[Country], 0),0))</f>
        <v>0</v>
      </c>
      <c r="AY109" s="6">
        <f>SUM(INDEX(Tabela1[[Alpine Skiing - Men''s Downhill]:[Alpine Skiing - Women''s Team Combined]],MATCH(Table92[[#This Row],[Country]],Tabela1[Country], 0),0))</f>
        <v>0</v>
      </c>
      <c r="AZ109" s="6">
        <f>SUM(INDEX(Tabela1[[Biathlon - Men''s Individual]:[Biathlon - Mixed Relay]],MATCH(Table92[[#This Row],[Country]],Tabela1[Country], 0),0))</f>
        <v>0</v>
      </c>
      <c r="BA109" s="6">
        <f>SUM(INDEX(Tabela1[[Bobsleigh - Women''s Monobob]:[Bobsleigh - Men''s Four]],MATCH(Table92[[#This Row],[Country]],Tabela1[Country], 0),0))</f>
        <v>0</v>
      </c>
      <c r="BB109" s="6">
        <f>SUM(INDEX(Tabela1[[Cross-country skiing - Men''s Classical]:[Cross-country skiing - Women''s Team Sprint]],MATCH(Table92[[#This Row],[Country]],Tabela1[Country], 0),0))</f>
        <v>0</v>
      </c>
      <c r="BC109" s="6">
        <f>SUM(INDEX(Tabela1[[Curling - Men''s Tournament]:[Curling - Mixed Doubles]],MATCH(Table92[[#This Row],[Country]],Tabela1[Country], 0),0))</f>
        <v>0</v>
      </c>
      <c r="BD109" s="6">
        <f>SUM(INDEX(Tabela1[[Figure Skating - Men''s Singles]:[Figure Skating - Team Event]],MATCH(Table92[[#This Row],[Country]],Tabela1[Country], 0),0))</f>
        <v>0</v>
      </c>
      <c r="BE109" s="6">
        <f>SUM(INDEX(Tabela1[[Freestyle Skiing - Men''s Aerials]:[Freestyle Skiing - Women''s Slopestyle]],MATCH(Table92[[#This Row],[Country]],Tabela1[Country], 0),0))</f>
        <v>0</v>
      </c>
      <c r="BF109" s="6">
        <f>SUM(INDEX(Tabela1[[Ice Hockey - Men''s Tournament]:[Ice Hockey - Women''s Tournament]],MATCH(Table92[[#This Row],[Country]],Tabela1[Country], 0),0))</f>
        <v>0</v>
      </c>
      <c r="BG109" s="6">
        <f>SUM(INDEX(Tabela1[[Luge - Men''s Singles]:[Luge - Mixed Team Relay]],MATCH(Table92[[#This Row],[Country]],Tabela1[Country], 0),0))</f>
        <v>0</v>
      </c>
      <c r="BH109" s="6">
        <f>SUM(INDEX(Tabela1[[Nordic Combined - Men''s Individual]:[Nordic Combined - Men''s Team Sprint Large Hill]],MATCH(Table92[[#This Row],[Country]],Tabela1[Country], 0),0))</f>
        <v>0</v>
      </c>
      <c r="BI109" s="6">
        <f>SUM(INDEX(Tabela1[[Short track speed skating - Men''s 500m]:[Short track speed skating - Mixed 2000m Relay]],MATCH(Table92[[#This Row],[Country]],Tabela1[Country], 0),0))</f>
        <v>0</v>
      </c>
      <c r="BJ109" s="6">
        <f>SUM(INDEX(Tabela1[[Skeleton - Men''s Individual]:[Skeleton - Mixed Team]],MATCH(Table92[[#This Row],[Country]],Tabela1[Country], 0),0))</f>
        <v>0</v>
      </c>
      <c r="BK109" s="6">
        <f>SUM(INDEX(Tabela1[[Ski Jumping - Men''s Individual Large Hill]:[Ski Jumping - Mixed Team Normal Hill]],MATCH(Table92[[#This Row],[Country]],Tabela1[Country], 0),0))</f>
        <v>0</v>
      </c>
      <c r="BL109" s="6">
        <f>SUM(INDEX(Tabela1[[Ski Mountaineering - Men''s Sprint]:[Ski Mountaineering - Mixed Relay]],MATCH(Table92[[#This Row],[Country]],Tabela1[Country], 0),0))</f>
        <v>0</v>
      </c>
      <c r="BM109" s="6">
        <f>SUM(INDEX(Tabela1[[Snowboarding - Men''s Big Air]:[Snowboarding - Mixed Team Snowboard Cross]],MATCH(Table92[[#This Row],[Country]],Tabela1[Country], 0),0))</f>
        <v>0</v>
      </c>
      <c r="BN109" s="6">
        <f>SUM(INDEX(Tabela1[[Speed Skating - Men''s 500m]:[Speed Skating - Women''s Team Pursuit]],MATCH(Table92[[#This Row],[Country]],Tabela1[Country], 0),0))</f>
        <v>0</v>
      </c>
      <c r="BO109" s="6" t="str">
        <f>SUBSTITUTE(INDEX(Table92[[#Headers],[Archery Quotas]:[Speed Skating Quotas]], MATCH(MAX(Table92[[#This Row],[Archery Quotas]:[Speed Skating Quotas]]), Table92[[#This Row],[Archery Quotas]:[Speed Skating Quotas]], 0))," Quotas","")</f>
        <v>Athletics</v>
      </c>
      <c r="BP109" s="6">
        <f>SUM(Table92[[#This Row],[Summer Sports]:[Winter Sports]])</f>
        <v>2</v>
      </c>
      <c r="BQ109" s="6">
        <f>COUNTIF(Table92[[#This Row],[Archery Quotas]:[Wrestling Quotas]],"&lt;&gt;0")</f>
        <v>2</v>
      </c>
      <c r="BR109" s="6">
        <f>COUNTIF(Table92[[#This Row],[Alpine Skiing Quotas]:[Speed Skating Quotas]],"&lt;&gt;0")</f>
        <v>0</v>
      </c>
      <c r="BS109" s="4" t="s">
        <v>477</v>
      </c>
    </row>
    <row r="110" spans="1:71" x14ac:dyDescent="0.3">
      <c r="A110" s="6" t="s">
        <v>680</v>
      </c>
      <c r="B110" t="e" vm="107">
        <f>IF(ISBLANK(Table92[[#This Row],[Flag Link]]), "", _xlfn.IMAGE(Table92[[#This Row],[Flag Link]],1,1))</f>
        <v>#VALUE!</v>
      </c>
      <c r="C110" s="6">
        <f>SUM(Table92[[#This Row],[Archery Quotas]:[Speed Skating Quotas]])</f>
        <v>3</v>
      </c>
      <c r="D110" s="6">
        <f>SUM(INDEX(Tabela1[[Archery - Men''s Individual Recurve]:[Archery - Mixed Team Recurve]],MATCH(Table92[[#This Row],[Country]],Tabela1[Country], 0),0))</f>
        <v>0</v>
      </c>
      <c r="E110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10" s="6">
        <f>SUM(INDEX(Tabela1[[Artistic Swimming - Women''s Duet]:[Artistic Swimming - Women''s Team]],MATCH(Table92[[#This Row],[Country]],Tabela1[Country], 0),0))</f>
        <v>0</v>
      </c>
      <c r="G110" s="6">
        <f>SUM(INDEX(Tabela1[[Athletics - Men''s 100m]:[Athletics - Women''s Heptathlon]],MATCH(Table92[[#This Row],[Country]],Tabela1[Country], 0),0))</f>
        <v>2</v>
      </c>
      <c r="H110" s="6">
        <f>SUM(INDEX(Tabela1[[Badminton - Men''s Singles]:[Badminton - Mixed Doubles]],MATCH(Table92[[#This Row],[Country]],Tabela1[Country], 0),0))</f>
        <v>0</v>
      </c>
      <c r="I110" s="6">
        <f>SUM(INDEX(Tabela1[[Basketball - Men''s Tournament]:[Basketball - Women''s Tournament]],MATCH(Table92[[#This Row],[Country]],Tabela1[Country], 0),0))</f>
        <v>0</v>
      </c>
      <c r="J110" s="6">
        <f>SUM(INDEX(Tabela1[[3x3 Basketball - Men''s Tournament]:[3x3 Basketball - Women''s Tournament]],MATCH(Table92[[#This Row],[Country]],Tabela1[Country], 0),0))</f>
        <v>0</v>
      </c>
      <c r="K110" s="6">
        <f>SUM(INDEX(Tabela1[[Beach Volleyball - Men''s Tournament]:[Beach Volleyball - Women''s Tournament]],MATCH(Table92[[#This Row],[Country]],Tabela1[Country], 0),0))</f>
        <v>0</v>
      </c>
      <c r="L110" s="6">
        <f>SUM(INDEX(Tabela1[[Boxing - Men''s 51kg]:[Boxing - Women''s 75kg]],MATCH(Table92[[#This Row],[Country]],Tabela1[Country], 0),0))</f>
        <v>0</v>
      </c>
      <c r="M110" s="6">
        <f>SUM(INDEX(Tabela1[[Breaking - Men''s Individual]:[Breaking - Women''s Individual]],MATCH(Table92[[#This Row],[Country]],Tabela1[Country], 0),0))</f>
        <v>0</v>
      </c>
      <c r="N110" s="6">
        <f>SUM(INDEX(Tabela1[[Canoeing - Men''s C1 Slalom]:[Canoeing - Women''s Kayak Cross Slalom]],MATCH(Table92[[#This Row],[Country]],Tabela1[Country], 0),0))</f>
        <v>0</v>
      </c>
      <c r="O110" s="6">
        <f>SUM(INDEX(Tabela1[[Canoeing - Women''s C1 200m]:[Canoeing - Women''s K4 500m]],MATCH(Table92[[#This Row],[Country]],Tabela1[Country], 0),0))</f>
        <v>0</v>
      </c>
      <c r="P110" s="6">
        <f>SUM(INDEX(Tabela1[[Cycling - Men''s BMX Freestyle]:[Cycling - Women''s BMX Freestyle]],MATCH(Table92[[#This Row],[Country]],Tabela1[Country], 0),0))</f>
        <v>0</v>
      </c>
      <c r="Q110" s="6">
        <f>SUM(INDEX(Tabela1[[Cycling - Men''s BMX Racing]:[Cycling - Women''s BMX Racing]],MATCH(Table92[[#This Row],[Country]],Tabela1[Country], 0),0))</f>
        <v>0</v>
      </c>
      <c r="R110" s="6">
        <f>SUM(INDEX(Tabela1[[Cycling - Men''s Cross-Country]:[Cycling - Women''s Cross-Country]],MATCH(Table92[[#This Row],[Country]],Tabela1[Country], 0),0))</f>
        <v>0</v>
      </c>
      <c r="S110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10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10" s="6">
        <f>SUM(INDEX(Tabela1[[Diving - Men''s Springboard]:[Diving - Women''s Synchronized Platform]],MATCH(Table92[[#This Row],[Country]],Tabela1[Country], 0),0))</f>
        <v>0</v>
      </c>
      <c r="V110" s="6">
        <f>SUM(INDEX(Tabela1[[Equestrian - Individual Dressage]:[Equestrian - Team Dressage]],MATCH(Table92[[#This Row],[Country]],Tabela1[Country], 0),0))</f>
        <v>0</v>
      </c>
      <c r="W110" s="6">
        <f>SUM(INDEX(Tabela1[[Equestrian - Individual Eventing]:[Equestrian - Team Eventing]],MATCH(Table92[[#This Row],[Country]],Tabela1[Country], 0),0))</f>
        <v>0</v>
      </c>
      <c r="X110" s="6">
        <f>SUM(INDEX(Tabela1[[Equestrian - Individual Jumping]:[Equestrian - Team Jumping]],MATCH(Table92[[#This Row],[Country]],Tabela1[Country], 0),0))</f>
        <v>0</v>
      </c>
      <c r="Y110" s="6">
        <f>SUM(INDEX(Tabela1[[Fencing - Men''s Épée]:[Fencing - Women''s Team Sabre]],MATCH(Table92[[#This Row],[Country]],Tabela1[Country], 0),0))</f>
        <v>0</v>
      </c>
      <c r="Z110" s="6">
        <f>SUM(INDEX(Tabela1[[Field Hockey - Men''s Tournament]:[Field Hockey - Women''s Tournament]],MATCH(Table92[[#This Row],[Country]],Tabela1[Country], 0),0))</f>
        <v>0</v>
      </c>
      <c r="AA110" s="6">
        <f>SUM(INDEX(Tabela1[[Football - Men''s Tournament]:[Football - Women''s Tournament]],MATCH(Table92[[#This Row],[Country]],Tabela1[Country], 0),0))</f>
        <v>0</v>
      </c>
      <c r="AB110" s="6">
        <f>SUM(INDEX(Tabela1[[Golf - Men''s Individual]:[Golf - Women''s Individual]],MATCH(Table92[[#This Row],[Country]],Tabela1[Country], 0),0))</f>
        <v>0</v>
      </c>
      <c r="AC110" s="6">
        <f>SUM(INDEX(Tabela1[[Handball - Men''s Tournament]:[Handball - Women''s Tournament]],MATCH(Table92[[#This Row],[Country]],Tabela1[Country], 0),0))</f>
        <v>0</v>
      </c>
      <c r="AD110" s="6">
        <f>SUM(INDEX(Tabela1[[Judo - Men''s 60kg]:[Judo - Mixed Team]],MATCH(Table92[[#This Row],[Country]],Tabela1[Country], 0),0))</f>
        <v>0</v>
      </c>
      <c r="AE110" s="6">
        <f>SUM(INDEX(Tabela1[[Swimming - Men''s 10km Open Water]:[Swimming - Women''s 10km Open Water]],MATCH(Table92[[#This Row],[Country]],Tabela1[Country], 0),0))</f>
        <v>0</v>
      </c>
      <c r="AF110" s="6">
        <f>SUM(INDEX(Tabela1[[Modern Pentathlon - Men''s Individual]:[Modern Pentathlon - Women''s Individual]],MATCH(Table92[[#This Row],[Country]],Tabela1[Country], 0),0))</f>
        <v>0</v>
      </c>
      <c r="AG110" s="6">
        <f>SUM(INDEX(Tabela1[[Rhythmic Gymnastics - Women''s Individual All-Around]:[Rhythmic Gymnastics - Women''s Group All-Around]],MATCH(Table92[[#This Row],[Country]],Tabela1[Country], 0),0))</f>
        <v>0</v>
      </c>
      <c r="AH110" s="6">
        <f>SUM(INDEX(Tabela1[[Rowing - Men''s Single Sculls]:[Rowing - Women''s Lwt. Double Sculls]],MATCH(Table92[[#This Row],[Country]],Tabela1[Country], 0),0))</f>
        <v>0</v>
      </c>
      <c r="AI110" s="6">
        <f>SUM(INDEX(Tabela1[[Rugby Sevens - Men''s Tournament]:[Rugby Sevens - Women''s Tournament]],MATCH(Table92[[#This Row],[Country]],Tabela1[Country], 0),0))</f>
        <v>0</v>
      </c>
      <c r="AJ110" s="6">
        <f>SUM(INDEX(Tabela1[[Sailing - Mixed 470]:[Sailing - Mixed Nacra 17]],MATCH(Table92[[#This Row],[Country]],Tabela1[Country], 0),0))</f>
        <v>0</v>
      </c>
      <c r="AK110" s="6">
        <f>SUM(INDEX(Tabela1[[Shooting - Men''s 10m Air Pistol]:[Shooting - Women''s Trap]],MATCH(Table92[[#This Row],[Country]],Tabela1[Country], 0),0))</f>
        <v>0</v>
      </c>
      <c r="AL110" s="6">
        <f>SUM(INDEX(Tabela1[[Skateboarding - Men''s Park]:[Skateboarding - Women''s Street]],MATCH(Table92[[#This Row],[Country]],Tabela1[Country], 0),0))</f>
        <v>0</v>
      </c>
      <c r="AM110" s="6">
        <f>SUM(INDEX(Tabela1[[Sport Climbing - Men''s Boulder and Lead]:[Sport Climbing - Women''s Speed]],MATCH(Table92[[#This Row],[Country]],Tabela1[Country], 0),0))</f>
        <v>0</v>
      </c>
      <c r="AN110" s="6">
        <f>SUM(INDEX(Tabela1[[Surfing - Men''s Shortboard]:[Surfing - Women''s Shortboard]],MATCH(Table92[[#This Row],[Country]],Tabela1[Country], 0),0))</f>
        <v>0</v>
      </c>
      <c r="AO110" s="6">
        <f>SUM(INDEX(Tabela1[[Swimming - Men''s 50m Freestyle]:[Swimming - Mixed 4x100m Medley Relay]],MATCH(Table92[[#This Row],[Country]],Tabela1[Country], 0),0))</f>
        <v>1</v>
      </c>
      <c r="AP110" s="6">
        <f>SUM(INDEX(Tabela1[[Table Tennis - Men''s Singles]:[Table Tennis - Mixed Doubles]],MATCH(Table92[[#This Row],[Country]],Tabela1[Country], 0),0))</f>
        <v>0</v>
      </c>
      <c r="AQ110" s="6">
        <f>SUM(INDEX(Tabela1[[Taekwondo - Men''s 58kg]:[Taekwondo - Women''s +67kg]],MATCH(Table92[[#This Row],[Country]],Tabela1[Country], 0),0))</f>
        <v>0</v>
      </c>
      <c r="AR110" s="6">
        <f>SUM(INDEX(Tabela1[[Tennis - Men''s Singles]:[Tennis - Mixed Doubles]],MATCH(Table92[[#This Row],[Country]],Tabela1[Country], 0),0))</f>
        <v>0</v>
      </c>
      <c r="AS110" s="6">
        <f>SUM(INDEX(Tabela1[[Gymnastics - Men''s Trampoline]:[Gymnastics - Women''s Trampoline]],MATCH(Table92[[#This Row],[Country]],Tabela1[Country], 0),0))</f>
        <v>0</v>
      </c>
      <c r="AT110" s="6">
        <f>SUM(INDEX(Tabela1[[Triathlon - Men''s Individual]:[Triathlon - Mixed Relay]],MATCH(Table92[[#This Row],[Country]],Tabela1[Country], 0),0))</f>
        <v>0</v>
      </c>
      <c r="AU110" s="6">
        <f>SUM(INDEX(Tabela1[[Volleyball - Men''s Tournament]:[Volleyball - Women''s Tournament]],MATCH(Table92[[#This Row],[Country]],Tabela1[Country], 0),0))</f>
        <v>0</v>
      </c>
      <c r="AV110" s="6">
        <f>SUM(INDEX(Tabela1[[Water Polo - Men''s Tournament]:[Water Polo - Women''s Tournament]],MATCH(Table92[[#This Row],[Country]],Tabela1[Country], 0),0))</f>
        <v>0</v>
      </c>
      <c r="AW110" s="6">
        <f>SUM(INDEX(Tabela1[[Weightlifting - Men''s 61kg]:[Weightlifting - Women''s +81kg]],MATCH(Table92[[#This Row],[Country]],Tabela1[Country], 0),0))</f>
        <v>0</v>
      </c>
      <c r="AX110" s="6">
        <f>SUM(INDEX(Tabela1[[Wrestling - Men''s Freestyle 57kg]:[Wrestling - Women''s Freestyle 76kg]],MATCH(Table92[[#This Row],[Country]],Tabela1[Country], 0),0))</f>
        <v>0</v>
      </c>
      <c r="AY110" s="6">
        <f>SUM(INDEX(Tabela1[[Alpine Skiing - Men''s Downhill]:[Alpine Skiing - Women''s Team Combined]],MATCH(Table92[[#This Row],[Country]],Tabela1[Country], 0),0))</f>
        <v>0</v>
      </c>
      <c r="AZ110" s="6">
        <f>SUM(INDEX(Tabela1[[Biathlon - Men''s Individual]:[Biathlon - Mixed Relay]],MATCH(Table92[[#This Row],[Country]],Tabela1[Country], 0),0))</f>
        <v>0</v>
      </c>
      <c r="BA110" s="6">
        <f>SUM(INDEX(Tabela1[[Bobsleigh - Women''s Monobob]:[Bobsleigh - Men''s Four]],MATCH(Table92[[#This Row],[Country]],Tabela1[Country], 0),0))</f>
        <v>0</v>
      </c>
      <c r="BB110" s="6">
        <f>SUM(INDEX(Tabela1[[Cross-country skiing - Men''s Classical]:[Cross-country skiing - Women''s Team Sprint]],MATCH(Table92[[#This Row],[Country]],Tabela1[Country], 0),0))</f>
        <v>0</v>
      </c>
      <c r="BC110" s="6">
        <f>SUM(INDEX(Tabela1[[Curling - Men''s Tournament]:[Curling - Mixed Doubles]],MATCH(Table92[[#This Row],[Country]],Tabela1[Country], 0),0))</f>
        <v>0</v>
      </c>
      <c r="BD110" s="6">
        <f>SUM(INDEX(Tabela1[[Figure Skating - Men''s Singles]:[Figure Skating - Team Event]],MATCH(Table92[[#This Row],[Country]],Tabela1[Country], 0),0))</f>
        <v>0</v>
      </c>
      <c r="BE110" s="6">
        <f>SUM(INDEX(Tabela1[[Freestyle Skiing - Men''s Aerials]:[Freestyle Skiing - Women''s Slopestyle]],MATCH(Table92[[#This Row],[Country]],Tabela1[Country], 0),0))</f>
        <v>0</v>
      </c>
      <c r="BF110" s="6">
        <f>SUM(INDEX(Tabela1[[Ice Hockey - Men''s Tournament]:[Ice Hockey - Women''s Tournament]],MATCH(Table92[[#This Row],[Country]],Tabela1[Country], 0),0))</f>
        <v>0</v>
      </c>
      <c r="BG110" s="6">
        <f>SUM(INDEX(Tabela1[[Luge - Men''s Singles]:[Luge - Mixed Team Relay]],MATCH(Table92[[#This Row],[Country]],Tabela1[Country], 0),0))</f>
        <v>0</v>
      </c>
      <c r="BH110" s="6">
        <f>SUM(INDEX(Tabela1[[Nordic Combined - Men''s Individual]:[Nordic Combined - Men''s Team Sprint Large Hill]],MATCH(Table92[[#This Row],[Country]],Tabela1[Country], 0),0))</f>
        <v>0</v>
      </c>
      <c r="BI110" s="6">
        <f>SUM(INDEX(Tabela1[[Short track speed skating - Men''s 500m]:[Short track speed skating - Mixed 2000m Relay]],MATCH(Table92[[#This Row],[Country]],Tabela1[Country], 0),0))</f>
        <v>0</v>
      </c>
      <c r="BJ110" s="6">
        <f>SUM(INDEX(Tabela1[[Skeleton - Men''s Individual]:[Skeleton - Mixed Team]],MATCH(Table92[[#This Row],[Country]],Tabela1[Country], 0),0))</f>
        <v>0</v>
      </c>
      <c r="BK110" s="6">
        <f>SUM(INDEX(Tabela1[[Ski Jumping - Men''s Individual Large Hill]:[Ski Jumping - Mixed Team Normal Hill]],MATCH(Table92[[#This Row],[Country]],Tabela1[Country], 0),0))</f>
        <v>0</v>
      </c>
      <c r="BL110" s="6">
        <f>SUM(INDEX(Tabela1[[Ski Mountaineering - Men''s Sprint]:[Ski Mountaineering - Mixed Relay]],MATCH(Table92[[#This Row],[Country]],Tabela1[Country], 0),0))</f>
        <v>0</v>
      </c>
      <c r="BM110" s="6">
        <f>SUM(INDEX(Tabela1[[Snowboarding - Men''s Big Air]:[Snowboarding - Mixed Team Snowboard Cross]],MATCH(Table92[[#This Row],[Country]],Tabela1[Country], 0),0))</f>
        <v>0</v>
      </c>
      <c r="BN110" s="6">
        <f>SUM(INDEX(Tabela1[[Speed Skating - Men''s 500m]:[Speed Skating - Women''s Team Pursuit]],MATCH(Table92[[#This Row],[Country]],Tabela1[Country], 0),0))</f>
        <v>0</v>
      </c>
      <c r="BO110" s="6" t="str">
        <f>SUBSTITUTE(INDEX(Table92[[#Headers],[Archery Quotas]:[Speed Skating Quotas]], MATCH(MAX(Table92[[#This Row],[Archery Quotas]:[Speed Skating Quotas]]), Table92[[#This Row],[Archery Quotas]:[Speed Skating Quotas]], 0))," Quotas","")</f>
        <v>Athletics</v>
      </c>
      <c r="BP110" s="6">
        <f>SUM(Table92[[#This Row],[Summer Sports]:[Winter Sports]])</f>
        <v>2</v>
      </c>
      <c r="BQ110" s="6">
        <f>COUNTIF(Table92[[#This Row],[Archery Quotas]:[Wrestling Quotas]],"&lt;&gt;0")</f>
        <v>2</v>
      </c>
      <c r="BR110" s="6">
        <f>COUNTIF(Table92[[#This Row],[Alpine Skiing Quotas]:[Speed Skating Quotas]],"&lt;&gt;0")</f>
        <v>0</v>
      </c>
      <c r="BS110" s="3" t="s">
        <v>681</v>
      </c>
    </row>
    <row r="111" spans="1:71" x14ac:dyDescent="0.3">
      <c r="A111" s="6" t="s">
        <v>688</v>
      </c>
      <c r="B111" t="e" vm="111">
        <f>IF(ISBLANK(Table92[[#This Row],[Flag Link]]), "", _xlfn.IMAGE(Table92[[#This Row],[Flag Link]],1,1))</f>
        <v>#VALUE!</v>
      </c>
      <c r="C111" s="6">
        <f>SUM(Table92[[#This Row],[Archery Quotas]:[Speed Skating Quotas]])</f>
        <v>3</v>
      </c>
      <c r="D111" s="6">
        <f>SUM(INDEX(Tabela1[[Archery - Men''s Individual Recurve]:[Archery - Mixed Team Recurve]],MATCH(Table92[[#This Row],[Country]],Tabela1[Country], 0),0))</f>
        <v>0</v>
      </c>
      <c r="E111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11" s="6">
        <f>SUM(INDEX(Tabela1[[Artistic Swimming - Women''s Duet]:[Artistic Swimming - Women''s Team]],MATCH(Table92[[#This Row],[Country]],Tabela1[Country], 0),0))</f>
        <v>0</v>
      </c>
      <c r="G111" s="6">
        <f>SUM(INDEX(Tabela1[[Athletics - Men''s 100m]:[Athletics - Women''s Heptathlon]],MATCH(Table92[[#This Row],[Country]],Tabela1[Country], 0),0))</f>
        <v>0</v>
      </c>
      <c r="H111" s="6">
        <f>SUM(INDEX(Tabela1[[Badminton - Men''s Singles]:[Badminton - Mixed Doubles]],MATCH(Table92[[#This Row],[Country]],Tabela1[Country], 0),0))</f>
        <v>0</v>
      </c>
      <c r="I111" s="6">
        <f>SUM(INDEX(Tabela1[[Basketball - Men''s Tournament]:[Basketball - Women''s Tournament]],MATCH(Table92[[#This Row],[Country]],Tabela1[Country], 0),0))</f>
        <v>0</v>
      </c>
      <c r="J111" s="6">
        <f>SUM(INDEX(Tabela1[[3x3 Basketball - Men''s Tournament]:[3x3 Basketball - Women''s Tournament]],MATCH(Table92[[#This Row],[Country]],Tabela1[Country], 0),0))</f>
        <v>0</v>
      </c>
      <c r="K111" s="6">
        <f>SUM(INDEX(Tabela1[[Beach Volleyball - Men''s Tournament]:[Beach Volleyball - Women''s Tournament]],MATCH(Table92[[#This Row],[Country]],Tabela1[Country], 0),0))</f>
        <v>0</v>
      </c>
      <c r="L111" s="6">
        <f>SUM(INDEX(Tabela1[[Boxing - Men''s 51kg]:[Boxing - Women''s 75kg]],MATCH(Table92[[#This Row],[Country]],Tabela1[Country], 0),0))</f>
        <v>0</v>
      </c>
      <c r="M111" s="6">
        <f>SUM(INDEX(Tabela1[[Breaking - Men''s Individual]:[Breaking - Women''s Individual]],MATCH(Table92[[#This Row],[Country]],Tabela1[Country], 0),0))</f>
        <v>0</v>
      </c>
      <c r="N111" s="6">
        <f>SUM(INDEX(Tabela1[[Canoeing - Men''s C1 Slalom]:[Canoeing - Women''s Kayak Cross Slalom]],MATCH(Table92[[#This Row],[Country]],Tabela1[Country], 0),0))</f>
        <v>3</v>
      </c>
      <c r="O111" s="6">
        <f>SUM(INDEX(Tabela1[[Canoeing - Women''s C1 200m]:[Canoeing - Women''s K4 500m]],MATCH(Table92[[#This Row],[Country]],Tabela1[Country], 0),0))</f>
        <v>0</v>
      </c>
      <c r="P111" s="6">
        <f>SUM(INDEX(Tabela1[[Cycling - Men''s BMX Freestyle]:[Cycling - Women''s BMX Freestyle]],MATCH(Table92[[#This Row],[Country]],Tabela1[Country], 0),0))</f>
        <v>0</v>
      </c>
      <c r="Q111" s="6">
        <f>SUM(INDEX(Tabela1[[Cycling - Men''s BMX Racing]:[Cycling - Women''s BMX Racing]],MATCH(Table92[[#This Row],[Country]],Tabela1[Country], 0),0))</f>
        <v>0</v>
      </c>
      <c r="R111" s="6">
        <f>SUM(INDEX(Tabela1[[Cycling - Men''s Cross-Country]:[Cycling - Women''s Cross-Country]],MATCH(Table92[[#This Row],[Country]],Tabela1[Country], 0),0))</f>
        <v>0</v>
      </c>
      <c r="S111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11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11" s="6">
        <f>SUM(INDEX(Tabela1[[Diving - Men''s Springboard]:[Diving - Women''s Synchronized Platform]],MATCH(Table92[[#This Row],[Country]],Tabela1[Country], 0),0))</f>
        <v>0</v>
      </c>
      <c r="V111" s="6">
        <f>SUM(INDEX(Tabela1[[Equestrian - Individual Dressage]:[Equestrian - Team Dressage]],MATCH(Table92[[#This Row],[Country]],Tabela1[Country], 0),0))</f>
        <v>0</v>
      </c>
      <c r="W111" s="6">
        <f>SUM(INDEX(Tabela1[[Equestrian - Individual Eventing]:[Equestrian - Team Eventing]],MATCH(Table92[[#This Row],[Country]],Tabela1[Country], 0),0))</f>
        <v>0</v>
      </c>
      <c r="X111" s="6">
        <f>SUM(INDEX(Tabela1[[Equestrian - Individual Jumping]:[Equestrian - Team Jumping]],MATCH(Table92[[#This Row],[Country]],Tabela1[Country], 0),0))</f>
        <v>0</v>
      </c>
      <c r="Y111" s="6">
        <f>SUM(INDEX(Tabela1[[Fencing - Men''s Épée]:[Fencing - Women''s Team Sabre]],MATCH(Table92[[#This Row],[Country]],Tabela1[Country], 0),0))</f>
        <v>0</v>
      </c>
      <c r="Z111" s="6">
        <f>SUM(INDEX(Tabela1[[Field Hockey - Men''s Tournament]:[Field Hockey - Women''s Tournament]],MATCH(Table92[[#This Row],[Country]],Tabela1[Country], 0),0))</f>
        <v>0</v>
      </c>
      <c r="AA111" s="6">
        <f>SUM(INDEX(Tabela1[[Football - Men''s Tournament]:[Football - Women''s Tournament]],MATCH(Table92[[#This Row],[Country]],Tabela1[Country], 0),0))</f>
        <v>0</v>
      </c>
      <c r="AB111" s="6">
        <f>SUM(INDEX(Tabela1[[Golf - Men''s Individual]:[Golf - Women''s Individual]],MATCH(Table92[[#This Row],[Country]],Tabela1[Country], 0),0))</f>
        <v>0</v>
      </c>
      <c r="AC111" s="6">
        <f>SUM(INDEX(Tabela1[[Handball - Men''s Tournament]:[Handball - Women''s Tournament]],MATCH(Table92[[#This Row],[Country]],Tabela1[Country], 0),0))</f>
        <v>0</v>
      </c>
      <c r="AD111" s="6">
        <f>SUM(INDEX(Tabela1[[Judo - Men''s 60kg]:[Judo - Mixed Team]],MATCH(Table92[[#This Row],[Country]],Tabela1[Country], 0),0))</f>
        <v>0</v>
      </c>
      <c r="AE111" s="6">
        <f>SUM(INDEX(Tabela1[[Swimming - Men''s 10km Open Water]:[Swimming - Women''s 10km Open Water]],MATCH(Table92[[#This Row],[Country]],Tabela1[Country], 0),0))</f>
        <v>0</v>
      </c>
      <c r="AF111" s="6">
        <f>SUM(INDEX(Tabela1[[Modern Pentathlon - Men''s Individual]:[Modern Pentathlon - Women''s Individual]],MATCH(Table92[[#This Row],[Country]],Tabela1[Country], 0),0))</f>
        <v>0</v>
      </c>
      <c r="AG111" s="6">
        <f>SUM(INDEX(Tabela1[[Rhythmic Gymnastics - Women''s Individual All-Around]:[Rhythmic Gymnastics - Women''s Group All-Around]],MATCH(Table92[[#This Row],[Country]],Tabela1[Country], 0),0))</f>
        <v>0</v>
      </c>
      <c r="AH111" s="6">
        <f>SUM(INDEX(Tabela1[[Rowing - Men''s Single Sculls]:[Rowing - Women''s Lwt. Double Sculls]],MATCH(Table92[[#This Row],[Country]],Tabela1[Country], 0),0))</f>
        <v>0</v>
      </c>
      <c r="AI111" s="6">
        <f>SUM(INDEX(Tabela1[[Rugby Sevens - Men''s Tournament]:[Rugby Sevens - Women''s Tournament]],MATCH(Table92[[#This Row],[Country]],Tabela1[Country], 0),0))</f>
        <v>0</v>
      </c>
      <c r="AJ111" s="6">
        <f>SUM(INDEX(Tabela1[[Sailing - Mixed 470]:[Sailing - Mixed Nacra 17]],MATCH(Table92[[#This Row],[Country]],Tabela1[Country], 0),0))</f>
        <v>0</v>
      </c>
      <c r="AK111" s="6">
        <f>SUM(INDEX(Tabela1[[Shooting - Men''s 10m Air Pistol]:[Shooting - Women''s Trap]],MATCH(Table92[[#This Row],[Country]],Tabela1[Country], 0),0))</f>
        <v>0</v>
      </c>
      <c r="AL111" s="6">
        <f>SUM(INDEX(Tabela1[[Skateboarding - Men''s Park]:[Skateboarding - Women''s Street]],MATCH(Table92[[#This Row],[Country]],Tabela1[Country], 0),0))</f>
        <v>0</v>
      </c>
      <c r="AM111" s="6">
        <f>SUM(INDEX(Tabela1[[Sport Climbing - Men''s Boulder and Lead]:[Sport Climbing - Women''s Speed]],MATCH(Table92[[#This Row],[Country]],Tabela1[Country], 0),0))</f>
        <v>0</v>
      </c>
      <c r="AN111" s="6">
        <f>SUM(INDEX(Tabela1[[Surfing - Men''s Shortboard]:[Surfing - Women''s Shortboard]],MATCH(Table92[[#This Row],[Country]],Tabela1[Country], 0),0))</f>
        <v>0</v>
      </c>
      <c r="AO111" s="6">
        <f>SUM(INDEX(Tabela1[[Swimming - Men''s 50m Freestyle]:[Swimming - Mixed 4x100m Medley Relay]],MATCH(Table92[[#This Row],[Country]],Tabela1[Country], 0),0))</f>
        <v>0</v>
      </c>
      <c r="AP111" s="6">
        <f>SUM(INDEX(Tabela1[[Table Tennis - Men''s Singles]:[Table Tennis - Mixed Doubles]],MATCH(Table92[[#This Row],[Country]],Tabela1[Country], 0),0))</f>
        <v>0</v>
      </c>
      <c r="AQ111" s="6">
        <f>SUM(INDEX(Tabela1[[Taekwondo - Men''s 58kg]:[Taekwondo - Women''s +67kg]],MATCH(Table92[[#This Row],[Country]],Tabela1[Country], 0),0))</f>
        <v>0</v>
      </c>
      <c r="AR111" s="6">
        <f>SUM(INDEX(Tabela1[[Tennis - Men''s Singles]:[Tennis - Mixed Doubles]],MATCH(Table92[[#This Row],[Country]],Tabela1[Country], 0),0))</f>
        <v>0</v>
      </c>
      <c r="AS111" s="6">
        <f>SUM(INDEX(Tabela1[[Gymnastics - Men''s Trampoline]:[Gymnastics - Women''s Trampoline]],MATCH(Table92[[#This Row],[Country]],Tabela1[Country], 0),0))</f>
        <v>0</v>
      </c>
      <c r="AT111" s="6">
        <f>SUM(INDEX(Tabela1[[Triathlon - Men''s Individual]:[Triathlon - Mixed Relay]],MATCH(Table92[[#This Row],[Country]],Tabela1[Country], 0),0))</f>
        <v>0</v>
      </c>
      <c r="AU111" s="6">
        <f>SUM(INDEX(Tabela1[[Volleyball - Men''s Tournament]:[Volleyball - Women''s Tournament]],MATCH(Table92[[#This Row],[Country]],Tabela1[Country], 0),0))</f>
        <v>0</v>
      </c>
      <c r="AV111" s="6">
        <f>SUM(INDEX(Tabela1[[Water Polo - Men''s Tournament]:[Water Polo - Women''s Tournament]],MATCH(Table92[[#This Row],[Country]],Tabela1[Country], 0),0))</f>
        <v>0</v>
      </c>
      <c r="AW111" s="6">
        <f>SUM(INDEX(Tabela1[[Weightlifting - Men''s 61kg]:[Weightlifting - Women''s +81kg]],MATCH(Table92[[#This Row],[Country]],Tabela1[Country], 0),0))</f>
        <v>0</v>
      </c>
      <c r="AX111" s="6">
        <f>SUM(INDEX(Tabela1[[Wrestling - Men''s Freestyle 57kg]:[Wrestling - Women''s Freestyle 76kg]],MATCH(Table92[[#This Row],[Country]],Tabela1[Country], 0),0))</f>
        <v>0</v>
      </c>
      <c r="AY111" s="6">
        <f>SUM(INDEX(Tabela1[[Alpine Skiing - Men''s Downhill]:[Alpine Skiing - Women''s Team Combined]],MATCH(Table92[[#This Row],[Country]],Tabela1[Country], 0),0))</f>
        <v>0</v>
      </c>
      <c r="AZ111" s="6">
        <f>SUM(INDEX(Tabela1[[Biathlon - Men''s Individual]:[Biathlon - Mixed Relay]],MATCH(Table92[[#This Row],[Country]],Tabela1[Country], 0),0))</f>
        <v>0</v>
      </c>
      <c r="BA111" s="6">
        <f>SUM(INDEX(Tabela1[[Bobsleigh - Women''s Monobob]:[Bobsleigh - Men''s Four]],MATCH(Table92[[#This Row],[Country]],Tabela1[Country], 0),0))</f>
        <v>0</v>
      </c>
      <c r="BB111" s="6">
        <f>SUM(INDEX(Tabela1[[Cross-country skiing - Men''s Classical]:[Cross-country skiing - Women''s Team Sprint]],MATCH(Table92[[#This Row],[Country]],Tabela1[Country], 0),0))</f>
        <v>0</v>
      </c>
      <c r="BC111" s="6">
        <f>SUM(INDEX(Tabela1[[Curling - Men''s Tournament]:[Curling - Mixed Doubles]],MATCH(Table92[[#This Row],[Country]],Tabela1[Country], 0),0))</f>
        <v>0</v>
      </c>
      <c r="BD111" s="6">
        <f>SUM(INDEX(Tabela1[[Figure Skating - Men''s Singles]:[Figure Skating - Team Event]],MATCH(Table92[[#This Row],[Country]],Tabela1[Country], 0),0))</f>
        <v>0</v>
      </c>
      <c r="BE111" s="6">
        <f>SUM(INDEX(Tabela1[[Freestyle Skiing - Men''s Aerials]:[Freestyle Skiing - Women''s Slopestyle]],MATCH(Table92[[#This Row],[Country]],Tabela1[Country], 0),0))</f>
        <v>0</v>
      </c>
      <c r="BF111" s="6">
        <f>SUM(INDEX(Tabela1[[Ice Hockey - Men''s Tournament]:[Ice Hockey - Women''s Tournament]],MATCH(Table92[[#This Row],[Country]],Tabela1[Country], 0),0))</f>
        <v>0</v>
      </c>
      <c r="BG111" s="6">
        <f>SUM(INDEX(Tabela1[[Luge - Men''s Singles]:[Luge - Mixed Team Relay]],MATCH(Table92[[#This Row],[Country]],Tabela1[Country], 0),0))</f>
        <v>0</v>
      </c>
      <c r="BH111" s="6">
        <f>SUM(INDEX(Tabela1[[Nordic Combined - Men''s Individual]:[Nordic Combined - Men''s Team Sprint Large Hill]],MATCH(Table92[[#This Row],[Country]],Tabela1[Country], 0),0))</f>
        <v>0</v>
      </c>
      <c r="BI111" s="6">
        <f>SUM(INDEX(Tabela1[[Short track speed skating - Men''s 500m]:[Short track speed skating - Mixed 2000m Relay]],MATCH(Table92[[#This Row],[Country]],Tabela1[Country], 0),0))</f>
        <v>0</v>
      </c>
      <c r="BJ111" s="6">
        <f>SUM(INDEX(Tabela1[[Skeleton - Men''s Individual]:[Skeleton - Mixed Team]],MATCH(Table92[[#This Row],[Country]],Tabela1[Country], 0),0))</f>
        <v>0</v>
      </c>
      <c r="BK111" s="6">
        <f>SUM(INDEX(Tabela1[[Ski Jumping - Men''s Individual Large Hill]:[Ski Jumping - Mixed Team Normal Hill]],MATCH(Table92[[#This Row],[Country]],Tabela1[Country], 0),0))</f>
        <v>0</v>
      </c>
      <c r="BL111" s="6">
        <f>SUM(INDEX(Tabela1[[Ski Mountaineering - Men''s Sprint]:[Ski Mountaineering - Mixed Relay]],MATCH(Table92[[#This Row],[Country]],Tabela1[Country], 0),0))</f>
        <v>0</v>
      </c>
      <c r="BM111" s="6">
        <f>SUM(INDEX(Tabela1[[Snowboarding - Men''s Big Air]:[Snowboarding - Mixed Team Snowboard Cross]],MATCH(Table92[[#This Row],[Country]],Tabela1[Country], 0),0))</f>
        <v>0</v>
      </c>
      <c r="BN111" s="6">
        <f>SUM(INDEX(Tabela1[[Speed Skating - Men''s 500m]:[Speed Skating - Women''s Team Pursuit]],MATCH(Table92[[#This Row],[Country]],Tabela1[Country], 0),0))</f>
        <v>0</v>
      </c>
      <c r="BO111" s="6" t="str">
        <f>SUBSTITUTE(INDEX(Table92[[#Headers],[Archery Quotas]:[Speed Skating Quotas]], MATCH(MAX(Table92[[#This Row],[Archery Quotas]:[Speed Skating Quotas]]), Table92[[#This Row],[Archery Quotas]:[Speed Skating Quotas]], 0))," Quotas","")</f>
        <v>Canoeing Slalom</v>
      </c>
      <c r="BP111" s="6">
        <f>SUM(Table92[[#This Row],[Summer Sports]:[Winter Sports]])</f>
        <v>1</v>
      </c>
      <c r="BQ111" s="6">
        <f>COUNTIF(Table92[[#This Row],[Archery Quotas]:[Wrestling Quotas]],"&lt;&gt;0")</f>
        <v>1</v>
      </c>
      <c r="BR111" s="6">
        <f>COUNTIF(Table92[[#This Row],[Alpine Skiing Quotas]:[Speed Skating Quotas]],"&lt;&gt;0")</f>
        <v>0</v>
      </c>
      <c r="BS111" s="3" t="s">
        <v>689</v>
      </c>
    </row>
    <row r="112" spans="1:71" x14ac:dyDescent="0.3">
      <c r="A112" s="6" t="s">
        <v>706</v>
      </c>
      <c r="B112" t="e" vm="99">
        <f>IF(ISBLANK(Table92[[#This Row],[Flag Link]]), "", _xlfn.IMAGE(Table92[[#This Row],[Flag Link]],1,1))</f>
        <v>#VALUE!</v>
      </c>
      <c r="C112" s="6">
        <f>SUM(Table92[[#This Row],[Archery Quotas]:[Speed Skating Quotas]])</f>
        <v>3</v>
      </c>
      <c r="D112" s="6">
        <f>SUM(INDEX(Tabela1[[Archery - Men''s Individual Recurve]:[Archery - Mixed Team Recurve]],MATCH(Table92[[#This Row],[Country]],Tabela1[Country], 0),0))</f>
        <v>0</v>
      </c>
      <c r="E112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12" s="6">
        <f>SUM(INDEX(Tabela1[[Artistic Swimming - Women''s Duet]:[Artistic Swimming - Women''s Team]],MATCH(Table92[[#This Row],[Country]],Tabela1[Country], 0),0))</f>
        <v>0</v>
      </c>
      <c r="G112" s="6">
        <f>SUM(INDEX(Tabela1[[Athletics - Men''s 100m]:[Athletics - Women''s Heptathlon]],MATCH(Table92[[#This Row],[Country]],Tabela1[Country], 0),0))</f>
        <v>0</v>
      </c>
      <c r="H112" s="6">
        <f>SUM(INDEX(Tabela1[[Badminton - Men''s Singles]:[Badminton - Mixed Doubles]],MATCH(Table92[[#This Row],[Country]],Tabela1[Country], 0),0))</f>
        <v>1</v>
      </c>
      <c r="I112" s="6">
        <f>SUM(INDEX(Tabela1[[Basketball - Men''s Tournament]:[Basketball - Women''s Tournament]],MATCH(Table92[[#This Row],[Country]],Tabela1[Country], 0),0))</f>
        <v>0</v>
      </c>
      <c r="J112" s="6">
        <f>SUM(INDEX(Tabela1[[3x3 Basketball - Men''s Tournament]:[3x3 Basketball - Women''s Tournament]],MATCH(Table92[[#This Row],[Country]],Tabela1[Country], 0),0))</f>
        <v>0</v>
      </c>
      <c r="K112" s="6">
        <f>SUM(INDEX(Tabela1[[Beach Volleyball - Men''s Tournament]:[Beach Volleyball - Women''s Tournament]],MATCH(Table92[[#This Row],[Country]],Tabela1[Country], 0),0))</f>
        <v>0</v>
      </c>
      <c r="L112" s="6">
        <f>SUM(INDEX(Tabela1[[Boxing - Men''s 51kg]:[Boxing - Women''s 75kg]],MATCH(Table92[[#This Row],[Country]],Tabela1[Country], 0),0))</f>
        <v>0</v>
      </c>
      <c r="M112" s="6">
        <f>SUM(INDEX(Tabela1[[Breaking - Men''s Individual]:[Breaking - Women''s Individual]],MATCH(Table92[[#This Row],[Country]],Tabela1[Country], 0),0))</f>
        <v>0</v>
      </c>
      <c r="N112" s="6">
        <f>SUM(INDEX(Tabela1[[Canoeing - Men''s C1 Slalom]:[Canoeing - Women''s Kayak Cross Slalom]],MATCH(Table92[[#This Row],[Country]],Tabela1[Country], 0),0))</f>
        <v>0</v>
      </c>
      <c r="O112" s="6">
        <f>SUM(INDEX(Tabela1[[Canoeing - Women''s C1 200m]:[Canoeing - Women''s K4 500m]],MATCH(Table92[[#This Row],[Country]],Tabela1[Country], 0),0))</f>
        <v>0</v>
      </c>
      <c r="P112" s="6">
        <f>SUM(INDEX(Tabela1[[Cycling - Men''s BMX Freestyle]:[Cycling - Women''s BMX Freestyle]],MATCH(Table92[[#This Row],[Country]],Tabela1[Country], 0),0))</f>
        <v>0</v>
      </c>
      <c r="Q112" s="6">
        <f>SUM(INDEX(Tabela1[[Cycling - Men''s BMX Racing]:[Cycling - Women''s BMX Racing]],MATCH(Table92[[#This Row],[Country]],Tabela1[Country], 0),0))</f>
        <v>0</v>
      </c>
      <c r="R112" s="6">
        <f>SUM(INDEX(Tabela1[[Cycling - Men''s Cross-Country]:[Cycling - Women''s Cross-Country]],MATCH(Table92[[#This Row],[Country]],Tabela1[Country], 0),0))</f>
        <v>0</v>
      </c>
      <c r="S112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12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2</v>
      </c>
      <c r="U112" s="6">
        <f>SUM(INDEX(Tabela1[[Diving - Men''s Springboard]:[Diving - Women''s Synchronized Platform]],MATCH(Table92[[#This Row],[Country]],Tabela1[Country], 0),0))</f>
        <v>0</v>
      </c>
      <c r="V112" s="6">
        <f>SUM(INDEX(Tabela1[[Equestrian - Individual Dressage]:[Equestrian - Team Dressage]],MATCH(Table92[[#This Row],[Country]],Tabela1[Country], 0),0))</f>
        <v>0</v>
      </c>
      <c r="W112" s="6">
        <f>SUM(INDEX(Tabela1[[Equestrian - Individual Eventing]:[Equestrian - Team Eventing]],MATCH(Table92[[#This Row],[Country]],Tabela1[Country], 0),0))</f>
        <v>0</v>
      </c>
      <c r="X112" s="6">
        <f>SUM(INDEX(Tabela1[[Equestrian - Individual Jumping]:[Equestrian - Team Jumping]],MATCH(Table92[[#This Row],[Country]],Tabela1[Country], 0),0))</f>
        <v>0</v>
      </c>
      <c r="Y112" s="6">
        <f>SUM(INDEX(Tabela1[[Fencing - Men''s Épée]:[Fencing - Women''s Team Sabre]],MATCH(Table92[[#This Row],[Country]],Tabela1[Country], 0),0))</f>
        <v>0</v>
      </c>
      <c r="Z112" s="6">
        <f>SUM(INDEX(Tabela1[[Field Hockey - Men''s Tournament]:[Field Hockey - Women''s Tournament]],MATCH(Table92[[#This Row],[Country]],Tabela1[Country], 0),0))</f>
        <v>0</v>
      </c>
      <c r="AA112" s="6">
        <f>SUM(INDEX(Tabela1[[Football - Men''s Tournament]:[Football - Women''s Tournament]],MATCH(Table92[[#This Row],[Country]],Tabela1[Country], 0),0))</f>
        <v>0</v>
      </c>
      <c r="AB112" s="6">
        <f>SUM(INDEX(Tabela1[[Golf - Men''s Individual]:[Golf - Women''s Individual]],MATCH(Table92[[#This Row],[Country]],Tabela1[Country], 0),0))</f>
        <v>0</v>
      </c>
      <c r="AC112" s="6">
        <f>SUM(INDEX(Tabela1[[Handball - Men''s Tournament]:[Handball - Women''s Tournament]],MATCH(Table92[[#This Row],[Country]],Tabela1[Country], 0),0))</f>
        <v>0</v>
      </c>
      <c r="AD112" s="6">
        <f>SUM(INDEX(Tabela1[[Judo - Men''s 60kg]:[Judo - Mixed Team]],MATCH(Table92[[#This Row],[Country]],Tabela1[Country], 0),0))</f>
        <v>0</v>
      </c>
      <c r="AE112" s="6">
        <f>SUM(INDEX(Tabela1[[Swimming - Men''s 10km Open Water]:[Swimming - Women''s 10km Open Water]],MATCH(Table92[[#This Row],[Country]],Tabela1[Country], 0),0))</f>
        <v>0</v>
      </c>
      <c r="AF112" s="6">
        <f>SUM(INDEX(Tabela1[[Modern Pentathlon - Men''s Individual]:[Modern Pentathlon - Women''s Individual]],MATCH(Table92[[#This Row],[Country]],Tabela1[Country], 0),0))</f>
        <v>0</v>
      </c>
      <c r="AG112" s="6">
        <f>SUM(INDEX(Tabela1[[Rhythmic Gymnastics - Women''s Individual All-Around]:[Rhythmic Gymnastics - Women''s Group All-Around]],MATCH(Table92[[#This Row],[Country]],Tabela1[Country], 0),0))</f>
        <v>0</v>
      </c>
      <c r="AH112" s="6">
        <f>SUM(INDEX(Tabela1[[Rowing - Men''s Single Sculls]:[Rowing - Women''s Lwt. Double Sculls]],MATCH(Table92[[#This Row],[Country]],Tabela1[Country], 0),0))</f>
        <v>0</v>
      </c>
      <c r="AI112" s="6">
        <f>SUM(INDEX(Tabela1[[Rugby Sevens - Men''s Tournament]:[Rugby Sevens - Women''s Tournament]],MATCH(Table92[[#This Row],[Country]],Tabela1[Country], 0),0))</f>
        <v>0</v>
      </c>
      <c r="AJ112" s="6">
        <f>SUM(INDEX(Tabela1[[Sailing - Mixed 470]:[Sailing - Mixed Nacra 17]],MATCH(Table92[[#This Row],[Country]],Tabela1[Country], 0),0))</f>
        <v>0</v>
      </c>
      <c r="AK112" s="6">
        <f>SUM(INDEX(Tabela1[[Shooting - Men''s 10m Air Pistol]:[Shooting - Women''s Trap]],MATCH(Table92[[#This Row],[Country]],Tabela1[Country], 0),0))</f>
        <v>0</v>
      </c>
      <c r="AL112" s="6">
        <f>SUM(INDEX(Tabela1[[Skateboarding - Men''s Park]:[Skateboarding - Women''s Street]],MATCH(Table92[[#This Row],[Country]],Tabela1[Country], 0),0))</f>
        <v>0</v>
      </c>
      <c r="AM112" s="6">
        <f>SUM(INDEX(Tabela1[[Sport Climbing - Men''s Boulder and Lead]:[Sport Climbing - Women''s Speed]],MATCH(Table92[[#This Row],[Country]],Tabela1[Country], 0),0))</f>
        <v>0</v>
      </c>
      <c r="AN112" s="6">
        <f>SUM(INDEX(Tabela1[[Surfing - Men''s Shortboard]:[Surfing - Women''s Shortboard]],MATCH(Table92[[#This Row],[Country]],Tabela1[Country], 0),0))</f>
        <v>0</v>
      </c>
      <c r="AO112" s="6">
        <f>SUM(INDEX(Tabela1[[Swimming - Men''s 50m Freestyle]:[Swimming - Mixed 4x100m Medley Relay]],MATCH(Table92[[#This Row],[Country]],Tabela1[Country], 0),0))</f>
        <v>0</v>
      </c>
      <c r="AP112" s="6">
        <f>SUM(INDEX(Tabela1[[Table Tennis - Men''s Singles]:[Table Tennis - Mixed Doubles]],MATCH(Table92[[#This Row],[Country]],Tabela1[Country], 0),0))</f>
        <v>0</v>
      </c>
      <c r="AQ112" s="6">
        <f>SUM(INDEX(Tabela1[[Taekwondo - Men''s 58kg]:[Taekwondo - Women''s +67kg]],MATCH(Table92[[#This Row],[Country]],Tabela1[Country], 0),0))</f>
        <v>0</v>
      </c>
      <c r="AR112" s="6">
        <f>SUM(INDEX(Tabela1[[Tennis - Men''s Singles]:[Tennis - Mixed Doubles]],MATCH(Table92[[#This Row],[Country]],Tabela1[Country], 0),0))</f>
        <v>0</v>
      </c>
      <c r="AS112" s="6">
        <f>SUM(INDEX(Tabela1[[Gymnastics - Men''s Trampoline]:[Gymnastics - Women''s Trampoline]],MATCH(Table92[[#This Row],[Country]],Tabela1[Country], 0),0))</f>
        <v>0</v>
      </c>
      <c r="AT112" s="6">
        <f>SUM(INDEX(Tabela1[[Triathlon - Men''s Individual]:[Triathlon - Mixed Relay]],MATCH(Table92[[#This Row],[Country]],Tabela1[Country], 0),0))</f>
        <v>0</v>
      </c>
      <c r="AU112" s="6">
        <f>SUM(INDEX(Tabela1[[Volleyball - Men''s Tournament]:[Volleyball - Women''s Tournament]],MATCH(Table92[[#This Row],[Country]],Tabela1[Country], 0),0))</f>
        <v>0</v>
      </c>
      <c r="AV112" s="6">
        <f>SUM(INDEX(Tabela1[[Water Polo - Men''s Tournament]:[Water Polo - Women''s Tournament]],MATCH(Table92[[#This Row],[Country]],Tabela1[Country], 0),0))</f>
        <v>0</v>
      </c>
      <c r="AW112" s="6">
        <f>SUM(INDEX(Tabela1[[Weightlifting - Men''s 61kg]:[Weightlifting - Women''s +81kg]],MATCH(Table92[[#This Row],[Country]],Tabela1[Country], 0),0))</f>
        <v>0</v>
      </c>
      <c r="AX112" s="6">
        <f>SUM(INDEX(Tabela1[[Wrestling - Men''s Freestyle 57kg]:[Wrestling - Women''s Freestyle 76kg]],MATCH(Table92[[#This Row],[Country]],Tabela1[Country], 0),0))</f>
        <v>0</v>
      </c>
      <c r="AY112" s="6">
        <f>SUM(INDEX(Tabela1[[Alpine Skiing - Men''s Downhill]:[Alpine Skiing - Women''s Team Combined]],MATCH(Table92[[#This Row],[Country]],Tabela1[Country], 0),0))</f>
        <v>0</v>
      </c>
      <c r="AZ112" s="6">
        <f>SUM(INDEX(Tabela1[[Biathlon - Men''s Individual]:[Biathlon - Mixed Relay]],MATCH(Table92[[#This Row],[Country]],Tabela1[Country], 0),0))</f>
        <v>0</v>
      </c>
      <c r="BA112" s="6">
        <f>SUM(INDEX(Tabela1[[Bobsleigh - Women''s Monobob]:[Bobsleigh - Men''s Four]],MATCH(Table92[[#This Row],[Country]],Tabela1[Country], 0),0))</f>
        <v>0</v>
      </c>
      <c r="BB112" s="6">
        <f>SUM(INDEX(Tabela1[[Cross-country skiing - Men''s Classical]:[Cross-country skiing - Women''s Team Sprint]],MATCH(Table92[[#This Row],[Country]],Tabela1[Country], 0),0))</f>
        <v>0</v>
      </c>
      <c r="BC112" s="6">
        <f>SUM(INDEX(Tabela1[[Curling - Men''s Tournament]:[Curling - Mixed Doubles]],MATCH(Table92[[#This Row],[Country]],Tabela1[Country], 0),0))</f>
        <v>0</v>
      </c>
      <c r="BD112" s="6">
        <f>SUM(INDEX(Tabela1[[Figure Skating - Men''s Singles]:[Figure Skating - Team Event]],MATCH(Table92[[#This Row],[Country]],Tabela1[Country], 0),0))</f>
        <v>0</v>
      </c>
      <c r="BE112" s="6">
        <f>SUM(INDEX(Tabela1[[Freestyle Skiing - Men''s Aerials]:[Freestyle Skiing - Women''s Slopestyle]],MATCH(Table92[[#This Row],[Country]],Tabela1[Country], 0),0))</f>
        <v>0</v>
      </c>
      <c r="BF112" s="6">
        <f>SUM(INDEX(Tabela1[[Ice Hockey - Men''s Tournament]:[Ice Hockey - Women''s Tournament]],MATCH(Table92[[#This Row],[Country]],Tabela1[Country], 0),0))</f>
        <v>0</v>
      </c>
      <c r="BG112" s="6">
        <f>SUM(INDEX(Tabela1[[Luge - Men''s Singles]:[Luge - Mixed Team Relay]],MATCH(Table92[[#This Row],[Country]],Tabela1[Country], 0),0))</f>
        <v>0</v>
      </c>
      <c r="BH112" s="6">
        <f>SUM(INDEX(Tabela1[[Nordic Combined - Men''s Individual]:[Nordic Combined - Men''s Team Sprint Large Hill]],MATCH(Table92[[#This Row],[Country]],Tabela1[Country], 0),0))</f>
        <v>0</v>
      </c>
      <c r="BI112" s="6">
        <f>SUM(INDEX(Tabela1[[Short track speed skating - Men''s 500m]:[Short track speed skating - Mixed 2000m Relay]],MATCH(Table92[[#This Row],[Country]],Tabela1[Country], 0),0))</f>
        <v>0</v>
      </c>
      <c r="BJ112" s="6">
        <f>SUM(INDEX(Tabela1[[Skeleton - Men''s Individual]:[Skeleton - Mixed Team]],MATCH(Table92[[#This Row],[Country]],Tabela1[Country], 0),0))</f>
        <v>0</v>
      </c>
      <c r="BK112" s="6">
        <f>SUM(INDEX(Tabela1[[Ski Jumping - Men''s Individual Large Hill]:[Ski Jumping - Mixed Team Normal Hill]],MATCH(Table92[[#This Row],[Country]],Tabela1[Country], 0),0))</f>
        <v>0</v>
      </c>
      <c r="BL112" s="6">
        <f>SUM(INDEX(Tabela1[[Ski Mountaineering - Men''s Sprint]:[Ski Mountaineering - Mixed Relay]],MATCH(Table92[[#This Row],[Country]],Tabela1[Country], 0),0))</f>
        <v>0</v>
      </c>
      <c r="BM112" s="6">
        <f>SUM(INDEX(Tabela1[[Snowboarding - Men''s Big Air]:[Snowboarding - Mixed Team Snowboard Cross]],MATCH(Table92[[#This Row],[Country]],Tabela1[Country], 0),0))</f>
        <v>0</v>
      </c>
      <c r="BN112" s="6">
        <f>SUM(INDEX(Tabela1[[Speed Skating - Men''s 500m]:[Speed Skating - Women''s Team Pursuit]],MATCH(Table92[[#This Row],[Country]],Tabela1[Country], 0),0))</f>
        <v>0</v>
      </c>
      <c r="BO112" s="6" t="str">
        <f>SUBSTITUTE(INDEX(Table92[[#Headers],[Archery Quotas]:[Speed Skating Quotas]], MATCH(MAX(Table92[[#This Row],[Archery Quotas]:[Speed Skating Quotas]]), Table92[[#This Row],[Archery Quotas]:[Speed Skating Quotas]], 0))," Quotas","")</f>
        <v>Cycling Track</v>
      </c>
      <c r="BP112" s="6">
        <f>SUM(Table92[[#This Row],[Summer Sports]:[Winter Sports]])</f>
        <v>2</v>
      </c>
      <c r="BQ112" s="6">
        <f>COUNTIF(Table92[[#This Row],[Archery Quotas]:[Wrestling Quotas]],"&lt;&gt;0")</f>
        <v>2</v>
      </c>
      <c r="BR112" s="6">
        <f>COUNTIF(Table92[[#This Row],[Alpine Skiing Quotas]:[Speed Skating Quotas]],"&lt;&gt;0")</f>
        <v>0</v>
      </c>
      <c r="BS112" s="4" t="s">
        <v>707</v>
      </c>
    </row>
    <row r="113" spans="1:71" x14ac:dyDescent="0.3">
      <c r="A113" s="6" t="s">
        <v>732</v>
      </c>
      <c r="B113" t="e" vm="100">
        <f>IF(ISBLANK(Table92[[#This Row],[Flag Link]]), "", _xlfn.IMAGE(Table92[[#This Row],[Flag Link]],1,1))</f>
        <v>#VALUE!</v>
      </c>
      <c r="C113" s="6">
        <f>SUM(Table92[[#This Row],[Archery Quotas]:[Speed Skating Quotas]])</f>
        <v>3</v>
      </c>
      <c r="D113" s="6">
        <f>SUM(INDEX(Tabela1[[Archery - Men''s Individual Recurve]:[Archery - Mixed Team Recurve]],MATCH(Table92[[#This Row],[Country]],Tabela1[Country], 0),0))</f>
        <v>1</v>
      </c>
      <c r="E113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13" s="6">
        <f>SUM(INDEX(Tabela1[[Artistic Swimming - Women''s Duet]:[Artistic Swimming - Women''s Team]],MATCH(Table92[[#This Row],[Country]],Tabela1[Country], 0),0))</f>
        <v>0</v>
      </c>
      <c r="G113" s="6">
        <f>SUM(INDEX(Tabela1[[Athletics - Men''s 100m]:[Athletics - Women''s Heptathlon]],MATCH(Table92[[#This Row],[Country]],Tabela1[Country], 0),0))</f>
        <v>1</v>
      </c>
      <c r="H113" s="6">
        <f>SUM(INDEX(Tabela1[[Badminton - Men''s Singles]:[Badminton - Mixed Doubles]],MATCH(Table92[[#This Row],[Country]],Tabela1[Country], 0),0))</f>
        <v>0</v>
      </c>
      <c r="I113" s="6">
        <f>SUM(INDEX(Tabela1[[Basketball - Men''s Tournament]:[Basketball - Women''s Tournament]],MATCH(Table92[[#This Row],[Country]],Tabela1[Country], 0),0))</f>
        <v>0</v>
      </c>
      <c r="J113" s="6">
        <f>SUM(INDEX(Tabela1[[3x3 Basketball - Men''s Tournament]:[3x3 Basketball - Women''s Tournament]],MATCH(Table92[[#This Row],[Country]],Tabela1[Country], 0),0))</f>
        <v>0</v>
      </c>
      <c r="K113" s="6">
        <f>SUM(INDEX(Tabela1[[Beach Volleyball - Men''s Tournament]:[Beach Volleyball - Women''s Tournament]],MATCH(Table92[[#This Row],[Country]],Tabela1[Country], 0),0))</f>
        <v>0</v>
      </c>
      <c r="L113" s="6">
        <f>SUM(INDEX(Tabela1[[Boxing - Men''s 51kg]:[Boxing - Women''s 75kg]],MATCH(Table92[[#This Row],[Country]],Tabela1[Country], 0),0))</f>
        <v>0</v>
      </c>
      <c r="M113" s="6">
        <f>SUM(INDEX(Tabela1[[Breaking - Men''s Individual]:[Breaking - Women''s Individual]],MATCH(Table92[[#This Row],[Country]],Tabela1[Country], 0),0))</f>
        <v>0</v>
      </c>
      <c r="N113" s="6">
        <f>SUM(INDEX(Tabela1[[Canoeing - Men''s C1 Slalom]:[Canoeing - Women''s Kayak Cross Slalom]],MATCH(Table92[[#This Row],[Country]],Tabela1[Country], 0),0))</f>
        <v>0</v>
      </c>
      <c r="O113" s="6">
        <f>SUM(INDEX(Tabela1[[Canoeing - Women''s C1 200m]:[Canoeing - Women''s K4 500m]],MATCH(Table92[[#This Row],[Country]],Tabela1[Country], 0),0))</f>
        <v>0</v>
      </c>
      <c r="P113" s="6">
        <f>SUM(INDEX(Tabela1[[Cycling - Men''s BMX Freestyle]:[Cycling - Women''s BMX Freestyle]],MATCH(Table92[[#This Row],[Country]],Tabela1[Country], 0),0))</f>
        <v>0</v>
      </c>
      <c r="Q113" s="6">
        <f>SUM(INDEX(Tabela1[[Cycling - Men''s BMX Racing]:[Cycling - Women''s BMX Racing]],MATCH(Table92[[#This Row],[Country]],Tabela1[Country], 0),0))</f>
        <v>0</v>
      </c>
      <c r="R113" s="6">
        <f>SUM(INDEX(Tabela1[[Cycling - Men''s Cross-Country]:[Cycling - Women''s Cross-Country]],MATCH(Table92[[#This Row],[Country]],Tabela1[Country], 0),0))</f>
        <v>0</v>
      </c>
      <c r="S113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13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13" s="6">
        <f>SUM(INDEX(Tabela1[[Diving - Men''s Springboard]:[Diving - Women''s Synchronized Platform]],MATCH(Table92[[#This Row],[Country]],Tabela1[Country], 0),0))</f>
        <v>0</v>
      </c>
      <c r="V113" s="6">
        <f>SUM(INDEX(Tabela1[[Equestrian - Individual Dressage]:[Equestrian - Team Dressage]],MATCH(Table92[[#This Row],[Country]],Tabela1[Country], 0),0))</f>
        <v>0</v>
      </c>
      <c r="W113" s="6">
        <f>SUM(INDEX(Tabela1[[Equestrian - Individual Eventing]:[Equestrian - Team Eventing]],MATCH(Table92[[#This Row],[Country]],Tabela1[Country], 0),0))</f>
        <v>0</v>
      </c>
      <c r="X113" s="6">
        <f>SUM(INDEX(Tabela1[[Equestrian - Individual Jumping]:[Equestrian - Team Jumping]],MATCH(Table92[[#This Row],[Country]],Tabela1[Country], 0),0))</f>
        <v>0</v>
      </c>
      <c r="Y113" s="6">
        <f>SUM(INDEX(Tabela1[[Fencing - Men''s Épée]:[Fencing - Women''s Team Sabre]],MATCH(Table92[[#This Row],[Country]],Tabela1[Country], 0),0))</f>
        <v>0</v>
      </c>
      <c r="Z113" s="6">
        <f>SUM(INDEX(Tabela1[[Field Hockey - Men''s Tournament]:[Field Hockey - Women''s Tournament]],MATCH(Table92[[#This Row],[Country]],Tabela1[Country], 0),0))</f>
        <v>0</v>
      </c>
      <c r="AA113" s="6">
        <f>SUM(INDEX(Tabela1[[Football - Men''s Tournament]:[Football - Women''s Tournament]],MATCH(Table92[[#This Row],[Country]],Tabela1[Country], 0),0))</f>
        <v>0</v>
      </c>
      <c r="AB113" s="6">
        <f>SUM(INDEX(Tabela1[[Golf - Men''s Individual]:[Golf - Women''s Individual]],MATCH(Table92[[#This Row],[Country]],Tabela1[Country], 0),0))</f>
        <v>0</v>
      </c>
      <c r="AC113" s="6">
        <f>SUM(INDEX(Tabela1[[Handball - Men''s Tournament]:[Handball - Women''s Tournament]],MATCH(Table92[[#This Row],[Country]],Tabela1[Country], 0),0))</f>
        <v>0</v>
      </c>
      <c r="AD113" s="6">
        <f>SUM(INDEX(Tabela1[[Judo - Men''s 60kg]:[Judo - Mixed Team]],MATCH(Table92[[#This Row],[Country]],Tabela1[Country], 0),0))</f>
        <v>0</v>
      </c>
      <c r="AE113" s="6">
        <f>SUM(INDEX(Tabela1[[Swimming - Men''s 10km Open Water]:[Swimming - Women''s 10km Open Water]],MATCH(Table92[[#This Row],[Country]],Tabela1[Country], 0),0))</f>
        <v>0</v>
      </c>
      <c r="AF113" s="6">
        <f>SUM(INDEX(Tabela1[[Modern Pentathlon - Men''s Individual]:[Modern Pentathlon - Women''s Individual]],MATCH(Table92[[#This Row],[Country]],Tabela1[Country], 0),0))</f>
        <v>0</v>
      </c>
      <c r="AG113" s="6">
        <f>SUM(INDEX(Tabela1[[Rhythmic Gymnastics - Women''s Individual All-Around]:[Rhythmic Gymnastics - Women''s Group All-Around]],MATCH(Table92[[#This Row],[Country]],Tabela1[Country], 0),0))</f>
        <v>0</v>
      </c>
      <c r="AH113" s="6">
        <f>SUM(INDEX(Tabela1[[Rowing - Men''s Single Sculls]:[Rowing - Women''s Lwt. Double Sculls]],MATCH(Table92[[#This Row],[Country]],Tabela1[Country], 0),0))</f>
        <v>0</v>
      </c>
      <c r="AI113" s="6">
        <f>SUM(INDEX(Tabela1[[Rugby Sevens - Men''s Tournament]:[Rugby Sevens - Women''s Tournament]],MATCH(Table92[[#This Row],[Country]],Tabela1[Country], 0),0))</f>
        <v>0</v>
      </c>
      <c r="AJ113" s="6">
        <f>SUM(INDEX(Tabela1[[Sailing - Mixed 470]:[Sailing - Mixed Nacra 17]],MATCH(Table92[[#This Row],[Country]],Tabela1[Country], 0),0))</f>
        <v>0</v>
      </c>
      <c r="AK113" s="6">
        <f>SUM(INDEX(Tabela1[[Shooting - Men''s 10m Air Pistol]:[Shooting - Women''s Trap]],MATCH(Table92[[#This Row],[Country]],Tabela1[Country], 0),0))</f>
        <v>0</v>
      </c>
      <c r="AL113" s="6">
        <f>SUM(INDEX(Tabela1[[Skateboarding - Men''s Park]:[Skateboarding - Women''s Street]],MATCH(Table92[[#This Row],[Country]],Tabela1[Country], 0),0))</f>
        <v>0</v>
      </c>
      <c r="AM113" s="6">
        <f>SUM(INDEX(Tabela1[[Sport Climbing - Men''s Boulder and Lead]:[Sport Climbing - Women''s Speed]],MATCH(Table92[[#This Row],[Country]],Tabela1[Country], 0),0))</f>
        <v>0</v>
      </c>
      <c r="AN113" s="6">
        <f>SUM(INDEX(Tabela1[[Surfing - Men''s Shortboard]:[Surfing - Women''s Shortboard]],MATCH(Table92[[#This Row],[Country]],Tabela1[Country], 0),0))</f>
        <v>0</v>
      </c>
      <c r="AO113" s="6">
        <f>SUM(INDEX(Tabela1[[Swimming - Men''s 50m Freestyle]:[Swimming - Mixed 4x100m Medley Relay]],MATCH(Table92[[#This Row],[Country]],Tabela1[Country], 0),0))</f>
        <v>1</v>
      </c>
      <c r="AP113" s="6">
        <f>SUM(INDEX(Tabela1[[Table Tennis - Men''s Singles]:[Table Tennis - Mixed Doubles]],MATCH(Table92[[#This Row],[Country]],Tabela1[Country], 0),0))</f>
        <v>0</v>
      </c>
      <c r="AQ113" s="6">
        <f>SUM(INDEX(Tabela1[[Taekwondo - Men''s 58kg]:[Taekwondo - Women''s +67kg]],MATCH(Table92[[#This Row],[Country]],Tabela1[Country], 0),0))</f>
        <v>0</v>
      </c>
      <c r="AR113" s="6">
        <f>SUM(INDEX(Tabela1[[Tennis - Men''s Singles]:[Tennis - Mixed Doubles]],MATCH(Table92[[#This Row],[Country]],Tabela1[Country], 0),0))</f>
        <v>0</v>
      </c>
      <c r="AS113" s="6">
        <f>SUM(INDEX(Tabela1[[Gymnastics - Men''s Trampoline]:[Gymnastics - Women''s Trampoline]],MATCH(Table92[[#This Row],[Country]],Tabela1[Country], 0),0))</f>
        <v>0</v>
      </c>
      <c r="AT113" s="6">
        <f>SUM(INDEX(Tabela1[[Triathlon - Men''s Individual]:[Triathlon - Mixed Relay]],MATCH(Table92[[#This Row],[Country]],Tabela1[Country], 0),0))</f>
        <v>0</v>
      </c>
      <c r="AU113" s="6">
        <f>SUM(INDEX(Tabela1[[Volleyball - Men''s Tournament]:[Volleyball - Women''s Tournament]],MATCH(Table92[[#This Row],[Country]],Tabela1[Country], 0),0))</f>
        <v>0</v>
      </c>
      <c r="AV113" s="6">
        <f>SUM(INDEX(Tabela1[[Water Polo - Men''s Tournament]:[Water Polo - Women''s Tournament]],MATCH(Table92[[#This Row],[Country]],Tabela1[Country], 0),0))</f>
        <v>0</v>
      </c>
      <c r="AW113" s="6">
        <f>SUM(INDEX(Tabela1[[Weightlifting - Men''s 61kg]:[Weightlifting - Women''s +81kg]],MATCH(Table92[[#This Row],[Country]],Tabela1[Country], 0),0))</f>
        <v>0</v>
      </c>
      <c r="AX113" s="6">
        <f>SUM(INDEX(Tabela1[[Wrestling - Men''s Freestyle 57kg]:[Wrestling - Women''s Freestyle 76kg]],MATCH(Table92[[#This Row],[Country]],Tabela1[Country], 0),0))</f>
        <v>0</v>
      </c>
      <c r="AY113" s="6">
        <f>SUM(INDEX(Tabela1[[Alpine Skiing - Men''s Downhill]:[Alpine Skiing - Women''s Team Combined]],MATCH(Table92[[#This Row],[Country]],Tabela1[Country], 0),0))</f>
        <v>0</v>
      </c>
      <c r="AZ113" s="6">
        <f>SUM(INDEX(Tabela1[[Biathlon - Men''s Individual]:[Biathlon - Mixed Relay]],MATCH(Table92[[#This Row],[Country]],Tabela1[Country], 0),0))</f>
        <v>0</v>
      </c>
      <c r="BA113" s="6">
        <f>SUM(INDEX(Tabela1[[Bobsleigh - Women''s Monobob]:[Bobsleigh - Men''s Four]],MATCH(Table92[[#This Row],[Country]],Tabela1[Country], 0),0))</f>
        <v>0</v>
      </c>
      <c r="BB113" s="6">
        <f>SUM(INDEX(Tabela1[[Cross-country skiing - Men''s Classical]:[Cross-country skiing - Women''s Team Sprint]],MATCH(Table92[[#This Row],[Country]],Tabela1[Country], 0),0))</f>
        <v>0</v>
      </c>
      <c r="BC113" s="6">
        <f>SUM(INDEX(Tabela1[[Curling - Men''s Tournament]:[Curling - Mixed Doubles]],MATCH(Table92[[#This Row],[Country]],Tabela1[Country], 0),0))</f>
        <v>0</v>
      </c>
      <c r="BD113" s="6">
        <f>SUM(INDEX(Tabela1[[Figure Skating - Men''s Singles]:[Figure Skating - Team Event]],MATCH(Table92[[#This Row],[Country]],Tabela1[Country], 0),0))</f>
        <v>0</v>
      </c>
      <c r="BE113" s="6">
        <f>SUM(INDEX(Tabela1[[Freestyle Skiing - Men''s Aerials]:[Freestyle Skiing - Women''s Slopestyle]],MATCH(Table92[[#This Row],[Country]],Tabela1[Country], 0),0))</f>
        <v>0</v>
      </c>
      <c r="BF113" s="6">
        <f>SUM(INDEX(Tabela1[[Ice Hockey - Men''s Tournament]:[Ice Hockey - Women''s Tournament]],MATCH(Table92[[#This Row],[Country]],Tabela1[Country], 0),0))</f>
        <v>0</v>
      </c>
      <c r="BG113" s="6">
        <f>SUM(INDEX(Tabela1[[Luge - Men''s Singles]:[Luge - Mixed Team Relay]],MATCH(Table92[[#This Row],[Country]],Tabela1[Country], 0),0))</f>
        <v>0</v>
      </c>
      <c r="BH113" s="6">
        <f>SUM(INDEX(Tabela1[[Nordic Combined - Men''s Individual]:[Nordic Combined - Men''s Team Sprint Large Hill]],MATCH(Table92[[#This Row],[Country]],Tabela1[Country], 0),0))</f>
        <v>0</v>
      </c>
      <c r="BI113" s="6">
        <f>SUM(INDEX(Tabela1[[Short track speed skating - Men''s 500m]:[Short track speed skating - Mixed 2000m Relay]],MATCH(Table92[[#This Row],[Country]],Tabela1[Country], 0),0))</f>
        <v>0</v>
      </c>
      <c r="BJ113" s="6">
        <f>SUM(INDEX(Tabela1[[Skeleton - Men''s Individual]:[Skeleton - Mixed Team]],MATCH(Table92[[#This Row],[Country]],Tabela1[Country], 0),0))</f>
        <v>0</v>
      </c>
      <c r="BK113" s="6">
        <f>SUM(INDEX(Tabela1[[Ski Jumping - Men''s Individual Large Hill]:[Ski Jumping - Mixed Team Normal Hill]],MATCH(Table92[[#This Row],[Country]],Tabela1[Country], 0),0))</f>
        <v>0</v>
      </c>
      <c r="BL113" s="6">
        <f>SUM(INDEX(Tabela1[[Ski Mountaineering - Men''s Sprint]:[Ski Mountaineering - Mixed Relay]],MATCH(Table92[[#This Row],[Country]],Tabela1[Country], 0),0))</f>
        <v>0</v>
      </c>
      <c r="BM113" s="6">
        <f>SUM(INDEX(Tabela1[[Snowboarding - Men''s Big Air]:[Snowboarding - Mixed Team Snowboard Cross]],MATCH(Table92[[#This Row],[Country]],Tabela1[Country], 0),0))</f>
        <v>0</v>
      </c>
      <c r="BN113" s="6">
        <f>SUM(INDEX(Tabela1[[Speed Skating - Men''s 500m]:[Speed Skating - Women''s Team Pursuit]],MATCH(Table92[[#This Row],[Country]],Tabela1[Country], 0),0))</f>
        <v>0</v>
      </c>
      <c r="BO113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13" s="6">
        <f>SUM(Table92[[#This Row],[Summer Sports]:[Winter Sports]])</f>
        <v>3</v>
      </c>
      <c r="BQ113" s="6">
        <f>COUNTIF(Table92[[#This Row],[Archery Quotas]:[Wrestling Quotas]],"&lt;&gt;0")</f>
        <v>3</v>
      </c>
      <c r="BR113" s="6">
        <f>COUNTIF(Table92[[#This Row],[Alpine Skiing Quotas]:[Speed Skating Quotas]],"&lt;&gt;0")</f>
        <v>0</v>
      </c>
      <c r="BS113" s="4" t="s">
        <v>733</v>
      </c>
    </row>
    <row r="114" spans="1:71" x14ac:dyDescent="0.3">
      <c r="A114" s="6" t="s">
        <v>738</v>
      </c>
      <c r="B114" t="e" vm="105">
        <f>IF(ISBLANK(Table92[[#This Row],[Flag Link]]), "", _xlfn.IMAGE(Table92[[#This Row],[Flag Link]],1,1))</f>
        <v>#VALUE!</v>
      </c>
      <c r="C114" s="6">
        <f>SUM(Table92[[#This Row],[Archery Quotas]:[Speed Skating Quotas]])</f>
        <v>3</v>
      </c>
      <c r="D114" s="6">
        <f>SUM(INDEX(Tabela1[[Archery - Men''s Individual Recurve]:[Archery - Mixed Team Recurve]],MATCH(Table92[[#This Row],[Country]],Tabela1[Country], 0),0))</f>
        <v>0</v>
      </c>
      <c r="E114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14" s="6">
        <f>SUM(INDEX(Tabela1[[Artistic Swimming - Women''s Duet]:[Artistic Swimming - Women''s Team]],MATCH(Table92[[#This Row],[Country]],Tabela1[Country], 0),0))</f>
        <v>0</v>
      </c>
      <c r="G114" s="6">
        <f>SUM(INDEX(Tabela1[[Athletics - Men''s 100m]:[Athletics - Women''s Heptathlon]],MATCH(Table92[[#This Row],[Country]],Tabela1[Country], 0),0))</f>
        <v>2</v>
      </c>
      <c r="H114" s="6">
        <f>SUM(INDEX(Tabela1[[Badminton - Men''s Singles]:[Badminton - Mixed Doubles]],MATCH(Table92[[#This Row],[Country]],Tabela1[Country], 0),0))</f>
        <v>0</v>
      </c>
      <c r="I114" s="6">
        <f>SUM(INDEX(Tabela1[[Basketball - Men''s Tournament]:[Basketball - Women''s Tournament]],MATCH(Table92[[#This Row],[Country]],Tabela1[Country], 0),0))</f>
        <v>0</v>
      </c>
      <c r="J114" s="6">
        <f>SUM(INDEX(Tabela1[[3x3 Basketball - Men''s Tournament]:[3x3 Basketball - Women''s Tournament]],MATCH(Table92[[#This Row],[Country]],Tabela1[Country], 0),0))</f>
        <v>0</v>
      </c>
      <c r="K114" s="6">
        <f>SUM(INDEX(Tabela1[[Beach Volleyball - Men''s Tournament]:[Beach Volleyball - Women''s Tournament]],MATCH(Table92[[#This Row],[Country]],Tabela1[Country], 0),0))</f>
        <v>0</v>
      </c>
      <c r="L114" s="6">
        <f>SUM(INDEX(Tabela1[[Boxing - Men''s 51kg]:[Boxing - Women''s 75kg]],MATCH(Table92[[#This Row],[Country]],Tabela1[Country], 0),0))</f>
        <v>0</v>
      </c>
      <c r="M114" s="6">
        <f>SUM(INDEX(Tabela1[[Breaking - Men''s Individual]:[Breaking - Women''s Individual]],MATCH(Table92[[#This Row],[Country]],Tabela1[Country], 0),0))</f>
        <v>0</v>
      </c>
      <c r="N114" s="6">
        <f>SUM(INDEX(Tabela1[[Canoeing - Men''s C1 Slalom]:[Canoeing - Women''s Kayak Cross Slalom]],MATCH(Table92[[#This Row],[Country]],Tabela1[Country], 0),0))</f>
        <v>0</v>
      </c>
      <c r="O114" s="6">
        <f>SUM(INDEX(Tabela1[[Canoeing - Women''s C1 200m]:[Canoeing - Women''s K4 500m]],MATCH(Table92[[#This Row],[Country]],Tabela1[Country], 0),0))</f>
        <v>0</v>
      </c>
      <c r="P114" s="6">
        <f>SUM(INDEX(Tabela1[[Cycling - Men''s BMX Freestyle]:[Cycling - Women''s BMX Freestyle]],MATCH(Table92[[#This Row],[Country]],Tabela1[Country], 0),0))</f>
        <v>0</v>
      </c>
      <c r="Q114" s="6">
        <f>SUM(INDEX(Tabela1[[Cycling - Men''s BMX Racing]:[Cycling - Women''s BMX Racing]],MATCH(Table92[[#This Row],[Country]],Tabela1[Country], 0),0))</f>
        <v>0</v>
      </c>
      <c r="R114" s="6">
        <f>SUM(INDEX(Tabela1[[Cycling - Men''s Cross-Country]:[Cycling - Women''s Cross-Country]],MATCH(Table92[[#This Row],[Country]],Tabela1[Country], 0),0))</f>
        <v>0</v>
      </c>
      <c r="S114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14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14" s="6">
        <f>SUM(INDEX(Tabela1[[Diving - Men''s Springboard]:[Diving - Women''s Synchronized Platform]],MATCH(Table92[[#This Row],[Country]],Tabela1[Country], 0),0))</f>
        <v>0</v>
      </c>
      <c r="V114" s="6">
        <f>SUM(INDEX(Tabela1[[Equestrian - Individual Dressage]:[Equestrian - Team Dressage]],MATCH(Table92[[#This Row],[Country]],Tabela1[Country], 0),0))</f>
        <v>0</v>
      </c>
      <c r="W114" s="6">
        <f>SUM(INDEX(Tabela1[[Equestrian - Individual Eventing]:[Equestrian - Team Eventing]],MATCH(Table92[[#This Row],[Country]],Tabela1[Country], 0),0))</f>
        <v>0</v>
      </c>
      <c r="X114" s="6">
        <f>SUM(INDEX(Tabela1[[Equestrian - Individual Jumping]:[Equestrian - Team Jumping]],MATCH(Table92[[#This Row],[Country]],Tabela1[Country], 0),0))</f>
        <v>0</v>
      </c>
      <c r="Y114" s="6">
        <f>SUM(INDEX(Tabela1[[Fencing - Men''s Épée]:[Fencing - Women''s Team Sabre]],MATCH(Table92[[#This Row],[Country]],Tabela1[Country], 0),0))</f>
        <v>0</v>
      </c>
      <c r="Z114" s="6">
        <f>SUM(INDEX(Tabela1[[Field Hockey - Men''s Tournament]:[Field Hockey - Women''s Tournament]],MATCH(Table92[[#This Row],[Country]],Tabela1[Country], 0),0))</f>
        <v>0</v>
      </c>
      <c r="AA114" s="6">
        <f>SUM(INDEX(Tabela1[[Football - Men''s Tournament]:[Football - Women''s Tournament]],MATCH(Table92[[#This Row],[Country]],Tabela1[Country], 0),0))</f>
        <v>0</v>
      </c>
      <c r="AB114" s="6">
        <f>SUM(INDEX(Tabela1[[Golf - Men''s Individual]:[Golf - Women''s Individual]],MATCH(Table92[[#This Row],[Country]],Tabela1[Country], 0),0))</f>
        <v>0</v>
      </c>
      <c r="AC114" s="6">
        <f>SUM(INDEX(Tabela1[[Handball - Men''s Tournament]:[Handball - Women''s Tournament]],MATCH(Table92[[#This Row],[Country]],Tabela1[Country], 0),0))</f>
        <v>0</v>
      </c>
      <c r="AD114" s="6">
        <f>SUM(INDEX(Tabela1[[Judo - Men''s 60kg]:[Judo - Mixed Team]],MATCH(Table92[[#This Row],[Country]],Tabela1[Country], 0),0))</f>
        <v>0</v>
      </c>
      <c r="AE114" s="6">
        <f>SUM(INDEX(Tabela1[[Swimming - Men''s 10km Open Water]:[Swimming - Women''s 10km Open Water]],MATCH(Table92[[#This Row],[Country]],Tabela1[Country], 0),0))</f>
        <v>0</v>
      </c>
      <c r="AF114" s="6">
        <f>SUM(INDEX(Tabela1[[Modern Pentathlon - Men''s Individual]:[Modern Pentathlon - Women''s Individual]],MATCH(Table92[[#This Row],[Country]],Tabela1[Country], 0),0))</f>
        <v>0</v>
      </c>
      <c r="AG114" s="6">
        <f>SUM(INDEX(Tabela1[[Rhythmic Gymnastics - Women''s Individual All-Around]:[Rhythmic Gymnastics - Women''s Group All-Around]],MATCH(Table92[[#This Row],[Country]],Tabela1[Country], 0),0))</f>
        <v>0</v>
      </c>
      <c r="AH114" s="6">
        <f>SUM(INDEX(Tabela1[[Rowing - Men''s Single Sculls]:[Rowing - Women''s Lwt. Double Sculls]],MATCH(Table92[[#This Row],[Country]],Tabela1[Country], 0),0))</f>
        <v>1</v>
      </c>
      <c r="AI114" s="6">
        <f>SUM(INDEX(Tabela1[[Rugby Sevens - Men''s Tournament]:[Rugby Sevens - Women''s Tournament]],MATCH(Table92[[#This Row],[Country]],Tabela1[Country], 0),0))</f>
        <v>0</v>
      </c>
      <c r="AJ114" s="6">
        <f>SUM(INDEX(Tabela1[[Sailing - Mixed 470]:[Sailing - Mixed Nacra 17]],MATCH(Table92[[#This Row],[Country]],Tabela1[Country], 0),0))</f>
        <v>0</v>
      </c>
      <c r="AK114" s="6">
        <f>SUM(INDEX(Tabela1[[Shooting - Men''s 10m Air Pistol]:[Shooting - Women''s Trap]],MATCH(Table92[[#This Row],[Country]],Tabela1[Country], 0),0))</f>
        <v>0</v>
      </c>
      <c r="AL114" s="6">
        <f>SUM(INDEX(Tabela1[[Skateboarding - Men''s Park]:[Skateboarding - Women''s Street]],MATCH(Table92[[#This Row],[Country]],Tabela1[Country], 0),0))</f>
        <v>0</v>
      </c>
      <c r="AM114" s="6">
        <f>SUM(INDEX(Tabela1[[Sport Climbing - Men''s Boulder and Lead]:[Sport Climbing - Women''s Speed]],MATCH(Table92[[#This Row],[Country]],Tabela1[Country], 0),0))</f>
        <v>0</v>
      </c>
      <c r="AN114" s="6">
        <f>SUM(INDEX(Tabela1[[Surfing - Men''s Shortboard]:[Surfing - Women''s Shortboard]],MATCH(Table92[[#This Row],[Country]],Tabela1[Country], 0),0))</f>
        <v>0</v>
      </c>
      <c r="AO114" s="6">
        <f>SUM(INDEX(Tabela1[[Swimming - Men''s 50m Freestyle]:[Swimming - Mixed 4x100m Medley Relay]],MATCH(Table92[[#This Row],[Country]],Tabela1[Country], 0),0))</f>
        <v>0</v>
      </c>
      <c r="AP114" s="6">
        <f>SUM(INDEX(Tabela1[[Table Tennis - Men''s Singles]:[Table Tennis - Mixed Doubles]],MATCH(Table92[[#This Row],[Country]],Tabela1[Country], 0),0))</f>
        <v>0</v>
      </c>
      <c r="AQ114" s="6">
        <f>SUM(INDEX(Tabela1[[Taekwondo - Men''s 58kg]:[Taekwondo - Women''s +67kg]],MATCH(Table92[[#This Row],[Country]],Tabela1[Country], 0),0))</f>
        <v>0</v>
      </c>
      <c r="AR114" s="6">
        <f>SUM(INDEX(Tabela1[[Tennis - Men''s Singles]:[Tennis - Mixed Doubles]],MATCH(Table92[[#This Row],[Country]],Tabela1[Country], 0),0))</f>
        <v>0</v>
      </c>
      <c r="AS114" s="6">
        <f>SUM(INDEX(Tabela1[[Gymnastics - Men''s Trampoline]:[Gymnastics - Women''s Trampoline]],MATCH(Table92[[#This Row],[Country]],Tabela1[Country], 0),0))</f>
        <v>0</v>
      </c>
      <c r="AT114" s="6">
        <f>SUM(INDEX(Tabela1[[Triathlon - Men''s Individual]:[Triathlon - Mixed Relay]],MATCH(Table92[[#This Row],[Country]],Tabela1[Country], 0),0))</f>
        <v>0</v>
      </c>
      <c r="AU114" s="6">
        <f>SUM(INDEX(Tabela1[[Volleyball - Men''s Tournament]:[Volleyball - Women''s Tournament]],MATCH(Table92[[#This Row],[Country]],Tabela1[Country], 0),0))</f>
        <v>0</v>
      </c>
      <c r="AV114" s="6">
        <f>SUM(INDEX(Tabela1[[Water Polo - Men''s Tournament]:[Water Polo - Women''s Tournament]],MATCH(Table92[[#This Row],[Country]],Tabela1[Country], 0),0))</f>
        <v>0</v>
      </c>
      <c r="AW114" s="6">
        <f>SUM(INDEX(Tabela1[[Weightlifting - Men''s 61kg]:[Weightlifting - Women''s +81kg]],MATCH(Table92[[#This Row],[Country]],Tabela1[Country], 0),0))</f>
        <v>0</v>
      </c>
      <c r="AX114" s="6">
        <f>SUM(INDEX(Tabela1[[Wrestling - Men''s Freestyle 57kg]:[Wrestling - Women''s Freestyle 76kg]],MATCH(Table92[[#This Row],[Country]],Tabela1[Country], 0),0))</f>
        <v>0</v>
      </c>
      <c r="AY114" s="6">
        <f>SUM(INDEX(Tabela1[[Alpine Skiing - Men''s Downhill]:[Alpine Skiing - Women''s Team Combined]],MATCH(Table92[[#This Row],[Country]],Tabela1[Country], 0),0))</f>
        <v>0</v>
      </c>
      <c r="AZ114" s="6">
        <f>SUM(INDEX(Tabela1[[Biathlon - Men''s Individual]:[Biathlon - Mixed Relay]],MATCH(Table92[[#This Row],[Country]],Tabela1[Country], 0),0))</f>
        <v>0</v>
      </c>
      <c r="BA114" s="6">
        <f>SUM(INDEX(Tabela1[[Bobsleigh - Women''s Monobob]:[Bobsleigh - Men''s Four]],MATCH(Table92[[#This Row],[Country]],Tabela1[Country], 0),0))</f>
        <v>0</v>
      </c>
      <c r="BB114" s="6">
        <f>SUM(INDEX(Tabela1[[Cross-country skiing - Men''s Classical]:[Cross-country skiing - Women''s Team Sprint]],MATCH(Table92[[#This Row],[Country]],Tabela1[Country], 0),0))</f>
        <v>0</v>
      </c>
      <c r="BC114" s="6">
        <f>SUM(INDEX(Tabela1[[Curling - Men''s Tournament]:[Curling - Mixed Doubles]],MATCH(Table92[[#This Row],[Country]],Tabela1[Country], 0),0))</f>
        <v>0</v>
      </c>
      <c r="BD114" s="6">
        <f>SUM(INDEX(Tabela1[[Figure Skating - Men''s Singles]:[Figure Skating - Team Event]],MATCH(Table92[[#This Row],[Country]],Tabela1[Country], 0),0))</f>
        <v>0</v>
      </c>
      <c r="BE114" s="6">
        <f>SUM(INDEX(Tabela1[[Freestyle Skiing - Men''s Aerials]:[Freestyle Skiing - Women''s Slopestyle]],MATCH(Table92[[#This Row],[Country]],Tabela1[Country], 0),0))</f>
        <v>0</v>
      </c>
      <c r="BF114" s="6">
        <f>SUM(INDEX(Tabela1[[Ice Hockey - Men''s Tournament]:[Ice Hockey - Women''s Tournament]],MATCH(Table92[[#This Row],[Country]],Tabela1[Country], 0),0))</f>
        <v>0</v>
      </c>
      <c r="BG114" s="6">
        <f>SUM(INDEX(Tabela1[[Luge - Men''s Singles]:[Luge - Mixed Team Relay]],MATCH(Table92[[#This Row],[Country]],Tabela1[Country], 0),0))</f>
        <v>0</v>
      </c>
      <c r="BH114" s="6">
        <f>SUM(INDEX(Tabela1[[Nordic Combined - Men''s Individual]:[Nordic Combined - Men''s Team Sprint Large Hill]],MATCH(Table92[[#This Row],[Country]],Tabela1[Country], 0),0))</f>
        <v>0</v>
      </c>
      <c r="BI114" s="6">
        <f>SUM(INDEX(Tabela1[[Short track speed skating - Men''s 500m]:[Short track speed skating - Mixed 2000m Relay]],MATCH(Table92[[#This Row],[Country]],Tabela1[Country], 0),0))</f>
        <v>0</v>
      </c>
      <c r="BJ114" s="6">
        <f>SUM(INDEX(Tabela1[[Skeleton - Men''s Individual]:[Skeleton - Mixed Team]],MATCH(Table92[[#This Row],[Country]],Tabela1[Country], 0),0))</f>
        <v>0</v>
      </c>
      <c r="BK114" s="6">
        <f>SUM(INDEX(Tabela1[[Ski Jumping - Men''s Individual Large Hill]:[Ski Jumping - Mixed Team Normal Hill]],MATCH(Table92[[#This Row],[Country]],Tabela1[Country], 0),0))</f>
        <v>0</v>
      </c>
      <c r="BL114" s="6">
        <f>SUM(INDEX(Tabela1[[Ski Mountaineering - Men''s Sprint]:[Ski Mountaineering - Mixed Relay]],MATCH(Table92[[#This Row],[Country]],Tabela1[Country], 0),0))</f>
        <v>0</v>
      </c>
      <c r="BM114" s="6">
        <f>SUM(INDEX(Tabela1[[Snowboarding - Men''s Big Air]:[Snowboarding - Mixed Team Snowboard Cross]],MATCH(Table92[[#This Row],[Country]],Tabela1[Country], 0),0))</f>
        <v>0</v>
      </c>
      <c r="BN114" s="6">
        <f>SUM(INDEX(Tabela1[[Speed Skating - Men''s 500m]:[Speed Skating - Women''s Team Pursuit]],MATCH(Table92[[#This Row],[Country]],Tabela1[Country], 0),0))</f>
        <v>0</v>
      </c>
      <c r="BO114" s="6" t="str">
        <f>SUBSTITUTE(INDEX(Table92[[#Headers],[Archery Quotas]:[Speed Skating Quotas]], MATCH(MAX(Table92[[#This Row],[Archery Quotas]:[Speed Skating Quotas]]), Table92[[#This Row],[Archery Quotas]:[Speed Skating Quotas]], 0))," Quotas","")</f>
        <v>Athletics</v>
      </c>
      <c r="BP114" s="6">
        <f>SUM(Table92[[#This Row],[Summer Sports]:[Winter Sports]])</f>
        <v>2</v>
      </c>
      <c r="BQ114" s="6">
        <f>COUNTIF(Table92[[#This Row],[Archery Quotas]:[Wrestling Quotas]],"&lt;&gt;0")</f>
        <v>2</v>
      </c>
      <c r="BR114" s="6">
        <f>COUNTIF(Table92[[#This Row],[Alpine Skiing Quotas]:[Speed Skating Quotas]],"&lt;&gt;0")</f>
        <v>0</v>
      </c>
      <c r="BS114" s="4" t="s">
        <v>739</v>
      </c>
    </row>
    <row r="115" spans="1:71" x14ac:dyDescent="0.3">
      <c r="A115" s="6" t="s">
        <v>504</v>
      </c>
      <c r="B115" t="e" vm="124">
        <f>IF(ISBLANK(Table92[[#This Row],[Flag Link]]), "", _xlfn.IMAGE(Table92[[#This Row],[Flag Link]],1,1))</f>
        <v>#VALUE!</v>
      </c>
      <c r="C115" s="6">
        <f>SUM(Table92[[#This Row],[Archery Quotas]:[Speed Skating Quotas]])</f>
        <v>2</v>
      </c>
      <c r="D115" s="6">
        <f>SUM(INDEX(Tabela1[[Archery - Men''s Individual Recurve]:[Archery - Mixed Team Recurve]],MATCH(Table92[[#This Row],[Country]],Tabela1[Country], 0),0))</f>
        <v>0</v>
      </c>
      <c r="E115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15" s="6">
        <f>SUM(INDEX(Tabela1[[Artistic Swimming - Women''s Duet]:[Artistic Swimming - Women''s Team]],MATCH(Table92[[#This Row],[Country]],Tabela1[Country], 0),0))</f>
        <v>0</v>
      </c>
      <c r="G115" s="6">
        <f>SUM(INDEX(Tabela1[[Athletics - Men''s 100m]:[Athletics - Women''s Heptathlon]],MATCH(Table92[[#This Row],[Country]],Tabela1[Country], 0),0))</f>
        <v>2</v>
      </c>
      <c r="H115" s="6">
        <f>SUM(INDEX(Tabela1[[Badminton - Men''s Singles]:[Badminton - Mixed Doubles]],MATCH(Table92[[#This Row],[Country]],Tabela1[Country], 0),0))</f>
        <v>0</v>
      </c>
      <c r="I115" s="6">
        <f>SUM(INDEX(Tabela1[[Basketball - Men''s Tournament]:[Basketball - Women''s Tournament]],MATCH(Table92[[#This Row],[Country]],Tabela1[Country], 0),0))</f>
        <v>0</v>
      </c>
      <c r="J115" s="6">
        <f>SUM(INDEX(Tabela1[[3x3 Basketball - Men''s Tournament]:[3x3 Basketball - Women''s Tournament]],MATCH(Table92[[#This Row],[Country]],Tabela1[Country], 0),0))</f>
        <v>0</v>
      </c>
      <c r="K115" s="6">
        <f>SUM(INDEX(Tabela1[[Beach Volleyball - Men''s Tournament]:[Beach Volleyball - Women''s Tournament]],MATCH(Table92[[#This Row],[Country]],Tabela1[Country], 0),0))</f>
        <v>0</v>
      </c>
      <c r="L115" s="6">
        <f>SUM(INDEX(Tabela1[[Boxing - Men''s 51kg]:[Boxing - Women''s 75kg]],MATCH(Table92[[#This Row],[Country]],Tabela1[Country], 0),0))</f>
        <v>0</v>
      </c>
      <c r="M115" s="6">
        <f>SUM(INDEX(Tabela1[[Breaking - Men''s Individual]:[Breaking - Women''s Individual]],MATCH(Table92[[#This Row],[Country]],Tabela1[Country], 0),0))</f>
        <v>0</v>
      </c>
      <c r="N115" s="6">
        <f>SUM(INDEX(Tabela1[[Canoeing - Men''s C1 Slalom]:[Canoeing - Women''s Kayak Cross Slalom]],MATCH(Table92[[#This Row],[Country]],Tabela1[Country], 0),0))</f>
        <v>0</v>
      </c>
      <c r="O115" s="6">
        <f>SUM(INDEX(Tabela1[[Canoeing - Women''s C1 200m]:[Canoeing - Women''s K4 500m]],MATCH(Table92[[#This Row],[Country]],Tabela1[Country], 0),0))</f>
        <v>0</v>
      </c>
      <c r="P115" s="6">
        <f>SUM(INDEX(Tabela1[[Cycling - Men''s BMX Freestyle]:[Cycling - Women''s BMX Freestyle]],MATCH(Table92[[#This Row],[Country]],Tabela1[Country], 0),0))</f>
        <v>0</v>
      </c>
      <c r="Q115" s="6">
        <f>SUM(INDEX(Tabela1[[Cycling - Men''s BMX Racing]:[Cycling - Women''s BMX Racing]],MATCH(Table92[[#This Row],[Country]],Tabela1[Country], 0),0))</f>
        <v>0</v>
      </c>
      <c r="R115" s="6">
        <f>SUM(INDEX(Tabela1[[Cycling - Men''s Cross-Country]:[Cycling - Women''s Cross-Country]],MATCH(Table92[[#This Row],[Country]],Tabela1[Country], 0),0))</f>
        <v>0</v>
      </c>
      <c r="S115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15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15" s="6">
        <f>SUM(INDEX(Tabela1[[Diving - Men''s Springboard]:[Diving - Women''s Synchronized Platform]],MATCH(Table92[[#This Row],[Country]],Tabela1[Country], 0),0))</f>
        <v>0</v>
      </c>
      <c r="V115" s="6">
        <f>SUM(INDEX(Tabela1[[Equestrian - Individual Dressage]:[Equestrian - Team Dressage]],MATCH(Table92[[#This Row],[Country]],Tabela1[Country], 0),0))</f>
        <v>0</v>
      </c>
      <c r="W115" s="6">
        <f>SUM(INDEX(Tabela1[[Equestrian - Individual Eventing]:[Equestrian - Team Eventing]],MATCH(Table92[[#This Row],[Country]],Tabela1[Country], 0),0))</f>
        <v>0</v>
      </c>
      <c r="X115" s="6">
        <f>SUM(INDEX(Tabela1[[Equestrian - Individual Jumping]:[Equestrian - Team Jumping]],MATCH(Table92[[#This Row],[Country]],Tabela1[Country], 0),0))</f>
        <v>0</v>
      </c>
      <c r="Y115" s="6">
        <f>SUM(INDEX(Tabela1[[Fencing - Men''s Épée]:[Fencing - Women''s Team Sabre]],MATCH(Table92[[#This Row],[Country]],Tabela1[Country], 0),0))</f>
        <v>0</v>
      </c>
      <c r="Z115" s="6">
        <f>SUM(INDEX(Tabela1[[Field Hockey - Men''s Tournament]:[Field Hockey - Women''s Tournament]],MATCH(Table92[[#This Row],[Country]],Tabela1[Country], 0),0))</f>
        <v>0</v>
      </c>
      <c r="AA115" s="6">
        <f>SUM(INDEX(Tabela1[[Football - Men''s Tournament]:[Football - Women''s Tournament]],MATCH(Table92[[#This Row],[Country]],Tabela1[Country], 0),0))</f>
        <v>0</v>
      </c>
      <c r="AB115" s="6">
        <f>SUM(INDEX(Tabela1[[Golf - Men''s Individual]:[Golf - Women''s Individual]],MATCH(Table92[[#This Row],[Country]],Tabela1[Country], 0),0))</f>
        <v>0</v>
      </c>
      <c r="AC115" s="6">
        <f>SUM(INDEX(Tabela1[[Handball - Men''s Tournament]:[Handball - Women''s Tournament]],MATCH(Table92[[#This Row],[Country]],Tabela1[Country], 0),0))</f>
        <v>0</v>
      </c>
      <c r="AD115" s="6">
        <f>SUM(INDEX(Tabela1[[Judo - Men''s 60kg]:[Judo - Mixed Team]],MATCH(Table92[[#This Row],[Country]],Tabela1[Country], 0),0))</f>
        <v>0</v>
      </c>
      <c r="AE115" s="6">
        <f>SUM(INDEX(Tabela1[[Swimming - Men''s 10km Open Water]:[Swimming - Women''s 10km Open Water]],MATCH(Table92[[#This Row],[Country]],Tabela1[Country], 0),0))</f>
        <v>0</v>
      </c>
      <c r="AF115" s="6">
        <f>SUM(INDEX(Tabela1[[Modern Pentathlon - Men''s Individual]:[Modern Pentathlon - Women''s Individual]],MATCH(Table92[[#This Row],[Country]],Tabela1[Country], 0),0))</f>
        <v>0</v>
      </c>
      <c r="AG115" s="6">
        <f>SUM(INDEX(Tabela1[[Rhythmic Gymnastics - Women''s Individual All-Around]:[Rhythmic Gymnastics - Women''s Group All-Around]],MATCH(Table92[[#This Row],[Country]],Tabela1[Country], 0),0))</f>
        <v>0</v>
      </c>
      <c r="AH115" s="6">
        <f>SUM(INDEX(Tabela1[[Rowing - Men''s Single Sculls]:[Rowing - Women''s Lwt. Double Sculls]],MATCH(Table92[[#This Row],[Country]],Tabela1[Country], 0),0))</f>
        <v>0</v>
      </c>
      <c r="AI115" s="6">
        <f>SUM(INDEX(Tabela1[[Rugby Sevens - Men''s Tournament]:[Rugby Sevens - Women''s Tournament]],MATCH(Table92[[#This Row],[Country]],Tabela1[Country], 0),0))</f>
        <v>0</v>
      </c>
      <c r="AJ115" s="6">
        <f>SUM(INDEX(Tabela1[[Sailing - Mixed 470]:[Sailing - Mixed Nacra 17]],MATCH(Table92[[#This Row],[Country]],Tabela1[Country], 0),0))</f>
        <v>0</v>
      </c>
      <c r="AK115" s="6">
        <f>SUM(INDEX(Tabela1[[Shooting - Men''s 10m Air Pistol]:[Shooting - Women''s Trap]],MATCH(Table92[[#This Row],[Country]],Tabela1[Country], 0),0))</f>
        <v>0</v>
      </c>
      <c r="AL115" s="6">
        <f>SUM(INDEX(Tabela1[[Skateboarding - Men''s Park]:[Skateboarding - Women''s Street]],MATCH(Table92[[#This Row],[Country]],Tabela1[Country], 0),0))</f>
        <v>0</v>
      </c>
      <c r="AM115" s="6">
        <f>SUM(INDEX(Tabela1[[Sport Climbing - Men''s Boulder and Lead]:[Sport Climbing - Women''s Speed]],MATCH(Table92[[#This Row],[Country]],Tabela1[Country], 0),0))</f>
        <v>0</v>
      </c>
      <c r="AN115" s="6">
        <f>SUM(INDEX(Tabela1[[Surfing - Men''s Shortboard]:[Surfing - Women''s Shortboard]],MATCH(Table92[[#This Row],[Country]],Tabela1[Country], 0),0))</f>
        <v>0</v>
      </c>
      <c r="AO115" s="6">
        <f>SUM(INDEX(Tabela1[[Swimming - Men''s 50m Freestyle]:[Swimming - Mixed 4x100m Medley Relay]],MATCH(Table92[[#This Row],[Country]],Tabela1[Country], 0),0))</f>
        <v>0</v>
      </c>
      <c r="AP115" s="6">
        <f>SUM(INDEX(Tabela1[[Table Tennis - Men''s Singles]:[Table Tennis - Mixed Doubles]],MATCH(Table92[[#This Row],[Country]],Tabela1[Country], 0),0))</f>
        <v>0</v>
      </c>
      <c r="AQ115" s="6">
        <f>SUM(INDEX(Tabela1[[Taekwondo - Men''s 58kg]:[Taekwondo - Women''s +67kg]],MATCH(Table92[[#This Row],[Country]],Tabela1[Country], 0),0))</f>
        <v>0</v>
      </c>
      <c r="AR115" s="6">
        <f>SUM(INDEX(Tabela1[[Tennis - Men''s Singles]:[Tennis - Mixed Doubles]],MATCH(Table92[[#This Row],[Country]],Tabela1[Country], 0),0))</f>
        <v>0</v>
      </c>
      <c r="AS115" s="6">
        <f>SUM(INDEX(Tabela1[[Gymnastics - Men''s Trampoline]:[Gymnastics - Women''s Trampoline]],MATCH(Table92[[#This Row],[Country]],Tabela1[Country], 0),0))</f>
        <v>0</v>
      </c>
      <c r="AT115" s="6">
        <f>SUM(INDEX(Tabela1[[Triathlon - Men''s Individual]:[Triathlon - Mixed Relay]],MATCH(Table92[[#This Row],[Country]],Tabela1[Country], 0),0))</f>
        <v>0</v>
      </c>
      <c r="AU115" s="6">
        <f>SUM(INDEX(Tabela1[[Volleyball - Men''s Tournament]:[Volleyball - Women''s Tournament]],MATCH(Table92[[#This Row],[Country]],Tabela1[Country], 0),0))</f>
        <v>0</v>
      </c>
      <c r="AV115" s="6">
        <f>SUM(INDEX(Tabela1[[Water Polo - Men''s Tournament]:[Water Polo - Women''s Tournament]],MATCH(Table92[[#This Row],[Country]],Tabela1[Country], 0),0))</f>
        <v>0</v>
      </c>
      <c r="AW115" s="6">
        <f>SUM(INDEX(Tabela1[[Weightlifting - Men''s 61kg]:[Weightlifting - Women''s +81kg]],MATCH(Table92[[#This Row],[Country]],Tabela1[Country], 0),0))</f>
        <v>0</v>
      </c>
      <c r="AX115" s="6">
        <f>SUM(INDEX(Tabela1[[Wrestling - Men''s Freestyle 57kg]:[Wrestling - Women''s Freestyle 76kg]],MATCH(Table92[[#This Row],[Country]],Tabela1[Country], 0),0))</f>
        <v>0</v>
      </c>
      <c r="AY115" s="6">
        <f>SUM(INDEX(Tabela1[[Alpine Skiing - Men''s Downhill]:[Alpine Skiing - Women''s Team Combined]],MATCH(Table92[[#This Row],[Country]],Tabela1[Country], 0),0))</f>
        <v>0</v>
      </c>
      <c r="AZ115" s="6">
        <f>SUM(INDEX(Tabela1[[Biathlon - Men''s Individual]:[Biathlon - Mixed Relay]],MATCH(Table92[[#This Row],[Country]],Tabela1[Country], 0),0))</f>
        <v>0</v>
      </c>
      <c r="BA115" s="6">
        <f>SUM(INDEX(Tabela1[[Bobsleigh - Women''s Monobob]:[Bobsleigh - Men''s Four]],MATCH(Table92[[#This Row],[Country]],Tabela1[Country], 0),0))</f>
        <v>0</v>
      </c>
      <c r="BB115" s="6">
        <f>SUM(INDEX(Tabela1[[Cross-country skiing - Men''s Classical]:[Cross-country skiing - Women''s Team Sprint]],MATCH(Table92[[#This Row],[Country]],Tabela1[Country], 0),0))</f>
        <v>0</v>
      </c>
      <c r="BC115" s="6">
        <f>SUM(INDEX(Tabela1[[Curling - Men''s Tournament]:[Curling - Mixed Doubles]],MATCH(Table92[[#This Row],[Country]],Tabela1[Country], 0),0))</f>
        <v>0</v>
      </c>
      <c r="BD115" s="6">
        <f>SUM(INDEX(Tabela1[[Figure Skating - Men''s Singles]:[Figure Skating - Team Event]],MATCH(Table92[[#This Row],[Country]],Tabela1[Country], 0),0))</f>
        <v>0</v>
      </c>
      <c r="BE115" s="6">
        <f>SUM(INDEX(Tabela1[[Freestyle Skiing - Men''s Aerials]:[Freestyle Skiing - Women''s Slopestyle]],MATCH(Table92[[#This Row],[Country]],Tabela1[Country], 0),0))</f>
        <v>0</v>
      </c>
      <c r="BF115" s="6">
        <f>SUM(INDEX(Tabela1[[Ice Hockey - Men''s Tournament]:[Ice Hockey - Women''s Tournament]],MATCH(Table92[[#This Row],[Country]],Tabela1[Country], 0),0))</f>
        <v>0</v>
      </c>
      <c r="BG115" s="6">
        <f>SUM(INDEX(Tabela1[[Luge - Men''s Singles]:[Luge - Mixed Team Relay]],MATCH(Table92[[#This Row],[Country]],Tabela1[Country], 0),0))</f>
        <v>0</v>
      </c>
      <c r="BH115" s="6">
        <f>SUM(INDEX(Tabela1[[Nordic Combined - Men''s Individual]:[Nordic Combined - Men''s Team Sprint Large Hill]],MATCH(Table92[[#This Row],[Country]],Tabela1[Country], 0),0))</f>
        <v>0</v>
      </c>
      <c r="BI115" s="6">
        <f>SUM(INDEX(Tabela1[[Short track speed skating - Men''s 500m]:[Short track speed skating - Mixed 2000m Relay]],MATCH(Table92[[#This Row],[Country]],Tabela1[Country], 0),0))</f>
        <v>0</v>
      </c>
      <c r="BJ115" s="6">
        <f>SUM(INDEX(Tabela1[[Skeleton - Men''s Individual]:[Skeleton - Mixed Team]],MATCH(Table92[[#This Row],[Country]],Tabela1[Country], 0),0))</f>
        <v>0</v>
      </c>
      <c r="BK115" s="6">
        <f>SUM(INDEX(Tabela1[[Ski Jumping - Men''s Individual Large Hill]:[Ski Jumping - Mixed Team Normal Hill]],MATCH(Table92[[#This Row],[Country]],Tabela1[Country], 0),0))</f>
        <v>0</v>
      </c>
      <c r="BL115" s="6">
        <f>SUM(INDEX(Tabela1[[Ski Mountaineering - Men''s Sprint]:[Ski Mountaineering - Mixed Relay]],MATCH(Table92[[#This Row],[Country]],Tabela1[Country], 0),0))</f>
        <v>0</v>
      </c>
      <c r="BM115" s="6">
        <f>SUM(INDEX(Tabela1[[Snowboarding - Men''s Big Air]:[Snowboarding - Mixed Team Snowboard Cross]],MATCH(Table92[[#This Row],[Country]],Tabela1[Country], 0),0))</f>
        <v>0</v>
      </c>
      <c r="BN115" s="6">
        <f>SUM(INDEX(Tabela1[[Speed Skating - Men''s 500m]:[Speed Skating - Women''s Team Pursuit]],MATCH(Table92[[#This Row],[Country]],Tabela1[Country], 0),0))</f>
        <v>0</v>
      </c>
      <c r="BO115" s="6" t="str">
        <f>SUBSTITUTE(INDEX(Table92[[#Headers],[Archery Quotas]:[Speed Skating Quotas]], MATCH(MAX(Table92[[#This Row],[Archery Quotas]:[Speed Skating Quotas]]), Table92[[#This Row],[Archery Quotas]:[Speed Skating Quotas]], 0))," Quotas","")</f>
        <v>Athletics</v>
      </c>
      <c r="BP115" s="6">
        <f>SUM(Table92[[#This Row],[Summer Sports]:[Winter Sports]])</f>
        <v>1</v>
      </c>
      <c r="BQ115" s="6">
        <f>COUNTIF(Table92[[#This Row],[Archery Quotas]:[Wrestling Quotas]],"&lt;&gt;0")</f>
        <v>1</v>
      </c>
      <c r="BR115" s="6">
        <f>COUNTIF(Table92[[#This Row],[Alpine Skiing Quotas]:[Speed Skating Quotas]],"&lt;&gt;0")</f>
        <v>0</v>
      </c>
      <c r="BS115" s="3" t="s">
        <v>505</v>
      </c>
    </row>
    <row r="116" spans="1:71" x14ac:dyDescent="0.3">
      <c r="A116" s="6" t="s">
        <v>518</v>
      </c>
      <c r="B116" t="e" vm="120">
        <f>IF(ISBLANK(Table92[[#This Row],[Flag Link]]), "", _xlfn.IMAGE(Table92[[#This Row],[Flag Link]],1,1))</f>
        <v>#VALUE!</v>
      </c>
      <c r="C116" s="6">
        <f>SUM(Table92[[#This Row],[Archery Quotas]:[Speed Skating Quotas]])</f>
        <v>2</v>
      </c>
      <c r="D116" s="6">
        <f>SUM(INDEX(Tabela1[[Archery - Men''s Individual Recurve]:[Archery - Mixed Team Recurve]],MATCH(Table92[[#This Row],[Country]],Tabela1[Country], 0),0))</f>
        <v>0</v>
      </c>
      <c r="E116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16" s="6">
        <f>SUM(INDEX(Tabela1[[Artistic Swimming - Women''s Duet]:[Artistic Swimming - Women''s Team]],MATCH(Table92[[#This Row],[Country]],Tabela1[Country], 0),0))</f>
        <v>0</v>
      </c>
      <c r="G116" s="6">
        <f>SUM(INDEX(Tabela1[[Athletics - Men''s 100m]:[Athletics - Women''s Heptathlon]],MATCH(Table92[[#This Row],[Country]],Tabela1[Country], 0),0))</f>
        <v>0</v>
      </c>
      <c r="H116" s="6">
        <f>SUM(INDEX(Tabela1[[Badminton - Men''s Singles]:[Badminton - Mixed Doubles]],MATCH(Table92[[#This Row],[Country]],Tabela1[Country], 0),0))</f>
        <v>0</v>
      </c>
      <c r="I116" s="6">
        <f>SUM(INDEX(Tabela1[[Basketball - Men''s Tournament]:[Basketball - Women''s Tournament]],MATCH(Table92[[#This Row],[Country]],Tabela1[Country], 0),0))</f>
        <v>0</v>
      </c>
      <c r="J116" s="6">
        <f>SUM(INDEX(Tabela1[[3x3 Basketball - Men''s Tournament]:[3x3 Basketball - Women''s Tournament]],MATCH(Table92[[#This Row],[Country]],Tabela1[Country], 0),0))</f>
        <v>0</v>
      </c>
      <c r="K116" s="6">
        <f>SUM(INDEX(Tabela1[[Beach Volleyball - Men''s Tournament]:[Beach Volleyball - Women''s Tournament]],MATCH(Table92[[#This Row],[Country]],Tabela1[Country], 0),0))</f>
        <v>0</v>
      </c>
      <c r="L116" s="6">
        <f>SUM(INDEX(Tabela1[[Boxing - Men''s 51kg]:[Boxing - Women''s 75kg]],MATCH(Table92[[#This Row],[Country]],Tabela1[Country], 0),0))</f>
        <v>0</v>
      </c>
      <c r="M116" s="6">
        <f>SUM(INDEX(Tabela1[[Breaking - Men''s Individual]:[Breaking - Women''s Individual]],MATCH(Table92[[#This Row],[Country]],Tabela1[Country], 0),0))</f>
        <v>0</v>
      </c>
      <c r="N116" s="6">
        <f>SUM(INDEX(Tabela1[[Canoeing - Men''s C1 Slalom]:[Canoeing - Women''s Kayak Cross Slalom]],MATCH(Table92[[#This Row],[Country]],Tabela1[Country], 0),0))</f>
        <v>0</v>
      </c>
      <c r="O116" s="6">
        <f>SUM(INDEX(Tabela1[[Canoeing - Women''s C1 200m]:[Canoeing - Women''s K4 500m]],MATCH(Table92[[#This Row],[Country]],Tabela1[Country], 0),0))</f>
        <v>0</v>
      </c>
      <c r="P116" s="6">
        <f>SUM(INDEX(Tabela1[[Cycling - Men''s BMX Freestyle]:[Cycling - Women''s BMX Freestyle]],MATCH(Table92[[#This Row],[Country]],Tabela1[Country], 0),0))</f>
        <v>0</v>
      </c>
      <c r="Q116" s="6">
        <f>SUM(INDEX(Tabela1[[Cycling - Men''s BMX Racing]:[Cycling - Women''s BMX Racing]],MATCH(Table92[[#This Row],[Country]],Tabela1[Country], 0),0))</f>
        <v>0</v>
      </c>
      <c r="R116" s="6">
        <f>SUM(INDEX(Tabela1[[Cycling - Men''s Cross-Country]:[Cycling - Women''s Cross-Country]],MATCH(Table92[[#This Row],[Country]],Tabela1[Country], 0),0))</f>
        <v>0</v>
      </c>
      <c r="S116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16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16" s="6">
        <f>SUM(INDEX(Tabela1[[Diving - Men''s Springboard]:[Diving - Women''s Synchronized Platform]],MATCH(Table92[[#This Row],[Country]],Tabela1[Country], 0),0))</f>
        <v>0</v>
      </c>
      <c r="V116" s="6">
        <f>SUM(INDEX(Tabela1[[Equestrian - Individual Dressage]:[Equestrian - Team Dressage]],MATCH(Table92[[#This Row],[Country]],Tabela1[Country], 0),0))</f>
        <v>0</v>
      </c>
      <c r="W116" s="6">
        <f>SUM(INDEX(Tabela1[[Equestrian - Individual Eventing]:[Equestrian - Team Eventing]],MATCH(Table92[[#This Row],[Country]],Tabela1[Country], 0),0))</f>
        <v>0</v>
      </c>
      <c r="X116" s="6">
        <f>SUM(INDEX(Tabela1[[Equestrian - Individual Jumping]:[Equestrian - Team Jumping]],MATCH(Table92[[#This Row],[Country]],Tabela1[Country], 0),0))</f>
        <v>0</v>
      </c>
      <c r="Y116" s="6">
        <f>SUM(INDEX(Tabela1[[Fencing - Men''s Épée]:[Fencing - Women''s Team Sabre]],MATCH(Table92[[#This Row],[Country]],Tabela1[Country], 0),0))</f>
        <v>0</v>
      </c>
      <c r="Z116" s="6">
        <f>SUM(INDEX(Tabela1[[Field Hockey - Men''s Tournament]:[Field Hockey - Women''s Tournament]],MATCH(Table92[[#This Row],[Country]],Tabela1[Country], 0),0))</f>
        <v>0</v>
      </c>
      <c r="AA116" s="6">
        <f>SUM(INDEX(Tabela1[[Football - Men''s Tournament]:[Football - Women''s Tournament]],MATCH(Table92[[#This Row],[Country]],Tabela1[Country], 0),0))</f>
        <v>0</v>
      </c>
      <c r="AB116" s="6">
        <f>SUM(INDEX(Tabela1[[Golf - Men''s Individual]:[Golf - Women''s Individual]],MATCH(Table92[[#This Row],[Country]],Tabela1[Country], 0),0))</f>
        <v>0</v>
      </c>
      <c r="AC116" s="6">
        <f>SUM(INDEX(Tabela1[[Handball - Men''s Tournament]:[Handball - Women''s Tournament]],MATCH(Table92[[#This Row],[Country]],Tabela1[Country], 0),0))</f>
        <v>0</v>
      </c>
      <c r="AD116" s="6">
        <f>SUM(INDEX(Tabela1[[Judo - Men''s 60kg]:[Judo - Mixed Team]],MATCH(Table92[[#This Row],[Country]],Tabela1[Country], 0),0))</f>
        <v>0</v>
      </c>
      <c r="AE116" s="6">
        <f>SUM(INDEX(Tabela1[[Swimming - Men''s 10km Open Water]:[Swimming - Women''s 10km Open Water]],MATCH(Table92[[#This Row],[Country]],Tabela1[Country], 0),0))</f>
        <v>0</v>
      </c>
      <c r="AF116" s="6">
        <f>SUM(INDEX(Tabela1[[Modern Pentathlon - Men''s Individual]:[Modern Pentathlon - Women''s Individual]],MATCH(Table92[[#This Row],[Country]],Tabela1[Country], 0),0))</f>
        <v>0</v>
      </c>
      <c r="AG116" s="6">
        <f>SUM(INDEX(Tabela1[[Rhythmic Gymnastics - Women''s Individual All-Around]:[Rhythmic Gymnastics - Women''s Group All-Around]],MATCH(Table92[[#This Row],[Country]],Tabela1[Country], 0),0))</f>
        <v>0</v>
      </c>
      <c r="AH116" s="6">
        <f>SUM(INDEX(Tabela1[[Rowing - Men''s Single Sculls]:[Rowing - Women''s Lwt. Double Sculls]],MATCH(Table92[[#This Row],[Country]],Tabela1[Country], 0),0))</f>
        <v>0</v>
      </c>
      <c r="AI116" s="6">
        <f>SUM(INDEX(Tabela1[[Rugby Sevens - Men''s Tournament]:[Rugby Sevens - Women''s Tournament]],MATCH(Table92[[#This Row],[Country]],Tabela1[Country], 0),0))</f>
        <v>0</v>
      </c>
      <c r="AJ116" s="6">
        <f>SUM(INDEX(Tabela1[[Sailing - Mixed 470]:[Sailing - Mixed Nacra 17]],MATCH(Table92[[#This Row],[Country]],Tabela1[Country], 0),0))</f>
        <v>0</v>
      </c>
      <c r="AK116" s="6">
        <f>SUM(INDEX(Tabela1[[Shooting - Men''s 10m Air Pistol]:[Shooting - Women''s Trap]],MATCH(Table92[[#This Row],[Country]],Tabela1[Country], 0),0))</f>
        <v>1</v>
      </c>
      <c r="AL116" s="6">
        <f>SUM(INDEX(Tabela1[[Skateboarding - Men''s Park]:[Skateboarding - Women''s Street]],MATCH(Table92[[#This Row],[Country]],Tabela1[Country], 0),0))</f>
        <v>0</v>
      </c>
      <c r="AM116" s="6">
        <f>SUM(INDEX(Tabela1[[Sport Climbing - Men''s Boulder and Lead]:[Sport Climbing - Women''s Speed]],MATCH(Table92[[#This Row],[Country]],Tabela1[Country], 0),0))</f>
        <v>0</v>
      </c>
      <c r="AN116" s="6">
        <f>SUM(INDEX(Tabela1[[Surfing - Men''s Shortboard]:[Surfing - Women''s Shortboard]],MATCH(Table92[[#This Row],[Country]],Tabela1[Country], 0),0))</f>
        <v>0</v>
      </c>
      <c r="AO116" s="6">
        <f>SUM(INDEX(Tabela1[[Swimming - Men''s 50m Freestyle]:[Swimming - Mixed 4x100m Medley Relay]],MATCH(Table92[[#This Row],[Country]],Tabela1[Country], 0),0))</f>
        <v>0</v>
      </c>
      <c r="AP116" s="6">
        <f>SUM(INDEX(Tabela1[[Table Tennis - Men''s Singles]:[Table Tennis - Mixed Doubles]],MATCH(Table92[[#This Row],[Country]],Tabela1[Country], 0),0))</f>
        <v>0</v>
      </c>
      <c r="AQ116" s="6">
        <f>SUM(INDEX(Tabela1[[Taekwondo - Men''s 58kg]:[Taekwondo - Women''s +67kg]],MATCH(Table92[[#This Row],[Country]],Tabela1[Country], 0),0))</f>
        <v>0</v>
      </c>
      <c r="AR116" s="6">
        <f>SUM(INDEX(Tabela1[[Tennis - Men''s Singles]:[Tennis - Mixed Doubles]],MATCH(Table92[[#This Row],[Country]],Tabela1[Country], 0),0))</f>
        <v>0</v>
      </c>
      <c r="AS116" s="6">
        <f>SUM(INDEX(Tabela1[[Gymnastics - Men''s Trampoline]:[Gymnastics - Women''s Trampoline]],MATCH(Table92[[#This Row],[Country]],Tabela1[Country], 0),0))</f>
        <v>1</v>
      </c>
      <c r="AT116" s="6">
        <f>SUM(INDEX(Tabela1[[Triathlon - Men''s Individual]:[Triathlon - Mixed Relay]],MATCH(Table92[[#This Row],[Country]],Tabela1[Country], 0),0))</f>
        <v>0</v>
      </c>
      <c r="AU116" s="6">
        <f>SUM(INDEX(Tabela1[[Volleyball - Men''s Tournament]:[Volleyball - Women''s Tournament]],MATCH(Table92[[#This Row],[Country]],Tabela1[Country], 0),0))</f>
        <v>0</v>
      </c>
      <c r="AV116" s="6">
        <f>SUM(INDEX(Tabela1[[Water Polo - Men''s Tournament]:[Water Polo - Women''s Tournament]],MATCH(Table92[[#This Row],[Country]],Tabela1[Country], 0),0))</f>
        <v>0</v>
      </c>
      <c r="AW116" s="6">
        <f>SUM(INDEX(Tabela1[[Weightlifting - Men''s 61kg]:[Weightlifting - Women''s +81kg]],MATCH(Table92[[#This Row],[Country]],Tabela1[Country], 0),0))</f>
        <v>0</v>
      </c>
      <c r="AX116" s="6">
        <f>SUM(INDEX(Tabela1[[Wrestling - Men''s Freestyle 57kg]:[Wrestling - Women''s Freestyle 76kg]],MATCH(Table92[[#This Row],[Country]],Tabela1[Country], 0),0))</f>
        <v>0</v>
      </c>
      <c r="AY116" s="6">
        <f>SUM(INDEX(Tabela1[[Alpine Skiing - Men''s Downhill]:[Alpine Skiing - Women''s Team Combined]],MATCH(Table92[[#This Row],[Country]],Tabela1[Country], 0),0))</f>
        <v>0</v>
      </c>
      <c r="AZ116" s="6">
        <f>SUM(INDEX(Tabela1[[Biathlon - Men''s Individual]:[Biathlon - Mixed Relay]],MATCH(Table92[[#This Row],[Country]],Tabela1[Country], 0),0))</f>
        <v>0</v>
      </c>
      <c r="BA116" s="6">
        <f>SUM(INDEX(Tabela1[[Bobsleigh - Women''s Monobob]:[Bobsleigh - Men''s Four]],MATCH(Table92[[#This Row],[Country]],Tabela1[Country], 0),0))</f>
        <v>0</v>
      </c>
      <c r="BB116" s="6">
        <f>SUM(INDEX(Tabela1[[Cross-country skiing - Men''s Classical]:[Cross-country skiing - Women''s Team Sprint]],MATCH(Table92[[#This Row],[Country]],Tabela1[Country], 0),0))</f>
        <v>0</v>
      </c>
      <c r="BC116" s="6">
        <f>SUM(INDEX(Tabela1[[Curling - Men''s Tournament]:[Curling - Mixed Doubles]],MATCH(Table92[[#This Row],[Country]],Tabela1[Country], 0),0))</f>
        <v>0</v>
      </c>
      <c r="BD116" s="6">
        <f>SUM(INDEX(Tabela1[[Figure Skating - Men''s Singles]:[Figure Skating - Team Event]],MATCH(Table92[[#This Row],[Country]],Tabela1[Country], 0),0))</f>
        <v>0</v>
      </c>
      <c r="BE116" s="6">
        <f>SUM(INDEX(Tabela1[[Freestyle Skiing - Men''s Aerials]:[Freestyle Skiing - Women''s Slopestyle]],MATCH(Table92[[#This Row],[Country]],Tabela1[Country], 0),0))</f>
        <v>0</v>
      </c>
      <c r="BF116" s="6">
        <f>SUM(INDEX(Tabela1[[Ice Hockey - Men''s Tournament]:[Ice Hockey - Women''s Tournament]],MATCH(Table92[[#This Row],[Country]],Tabela1[Country], 0),0))</f>
        <v>0</v>
      </c>
      <c r="BG116" s="6">
        <f>SUM(INDEX(Tabela1[[Luge - Men''s Singles]:[Luge - Mixed Team Relay]],MATCH(Table92[[#This Row],[Country]],Tabela1[Country], 0),0))</f>
        <v>0</v>
      </c>
      <c r="BH116" s="6">
        <f>SUM(INDEX(Tabela1[[Nordic Combined - Men''s Individual]:[Nordic Combined - Men''s Team Sprint Large Hill]],MATCH(Table92[[#This Row],[Country]],Tabela1[Country], 0),0))</f>
        <v>0</v>
      </c>
      <c r="BI116" s="6">
        <f>SUM(INDEX(Tabela1[[Short track speed skating - Men''s 500m]:[Short track speed skating - Mixed 2000m Relay]],MATCH(Table92[[#This Row],[Country]],Tabela1[Country], 0),0))</f>
        <v>0</v>
      </c>
      <c r="BJ116" s="6">
        <f>SUM(INDEX(Tabela1[[Skeleton - Men''s Individual]:[Skeleton - Mixed Team]],MATCH(Table92[[#This Row],[Country]],Tabela1[Country], 0),0))</f>
        <v>0</v>
      </c>
      <c r="BK116" s="6">
        <f>SUM(INDEX(Tabela1[[Ski Jumping - Men''s Individual Large Hill]:[Ski Jumping - Mixed Team Normal Hill]],MATCH(Table92[[#This Row],[Country]],Tabela1[Country], 0),0))</f>
        <v>0</v>
      </c>
      <c r="BL116" s="6">
        <f>SUM(INDEX(Tabela1[[Ski Mountaineering - Men''s Sprint]:[Ski Mountaineering - Mixed Relay]],MATCH(Table92[[#This Row],[Country]],Tabela1[Country], 0),0))</f>
        <v>0</v>
      </c>
      <c r="BM116" s="6">
        <f>SUM(INDEX(Tabela1[[Snowboarding - Men''s Big Air]:[Snowboarding - Mixed Team Snowboard Cross]],MATCH(Table92[[#This Row],[Country]],Tabela1[Country], 0),0))</f>
        <v>0</v>
      </c>
      <c r="BN116" s="6">
        <f>SUM(INDEX(Tabela1[[Speed Skating - Men''s 500m]:[Speed Skating - Women''s Team Pursuit]],MATCH(Table92[[#This Row],[Country]],Tabela1[Country], 0),0))</f>
        <v>0</v>
      </c>
      <c r="BO116" s="6" t="str">
        <f>SUBSTITUTE(INDEX(Table92[[#Headers],[Archery Quotas]:[Speed Skating Quotas]], MATCH(MAX(Table92[[#This Row],[Archery Quotas]:[Speed Skating Quotas]]), Table92[[#This Row],[Archery Quotas]:[Speed Skating Quotas]], 0))," Quotas","")</f>
        <v>Shooting</v>
      </c>
      <c r="BP116" s="6">
        <f>SUM(Table92[[#This Row],[Summer Sports]:[Winter Sports]])</f>
        <v>2</v>
      </c>
      <c r="BQ116" s="6">
        <f>COUNTIF(Table92[[#This Row],[Archery Quotas]:[Wrestling Quotas]],"&lt;&gt;0")</f>
        <v>2</v>
      </c>
      <c r="BR116" s="6">
        <f>COUNTIF(Table92[[#This Row],[Alpine Skiing Quotas]:[Speed Skating Quotas]],"&lt;&gt;0")</f>
        <v>0</v>
      </c>
      <c r="BS116" s="3" t="s">
        <v>519</v>
      </c>
    </row>
    <row r="117" spans="1:71" x14ac:dyDescent="0.3">
      <c r="A117" s="6" t="s">
        <v>524</v>
      </c>
      <c r="B117" t="e" vm="126">
        <f>IF(ISBLANK(Table92[[#This Row],[Flag Link]]), "", _xlfn.IMAGE(Table92[[#This Row],[Flag Link]],1,1))</f>
        <v>#VALUE!</v>
      </c>
      <c r="C117" s="6">
        <f>SUM(Table92[[#This Row],[Archery Quotas]:[Speed Skating Quotas]])</f>
        <v>2</v>
      </c>
      <c r="D117" s="6">
        <f>SUM(INDEX(Tabela1[[Archery - Men''s Individual Recurve]:[Archery - Mixed Team Recurve]],MATCH(Table92[[#This Row],[Country]],Tabela1[Country], 0),0))</f>
        <v>0</v>
      </c>
      <c r="E117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17" s="6">
        <f>SUM(INDEX(Tabela1[[Artistic Swimming - Women''s Duet]:[Artistic Swimming - Women''s Team]],MATCH(Table92[[#This Row],[Country]],Tabela1[Country], 0),0))</f>
        <v>0</v>
      </c>
      <c r="G117" s="6">
        <f>SUM(INDEX(Tabela1[[Athletics - Men''s 100m]:[Athletics - Women''s Heptathlon]],MATCH(Table92[[#This Row],[Country]],Tabela1[Country], 0),0))</f>
        <v>0</v>
      </c>
      <c r="H117" s="6">
        <f>SUM(INDEX(Tabela1[[Badminton - Men''s Singles]:[Badminton - Mixed Doubles]],MATCH(Table92[[#This Row],[Country]],Tabela1[Country], 0),0))</f>
        <v>0</v>
      </c>
      <c r="I117" s="6">
        <f>SUM(INDEX(Tabela1[[Basketball - Men''s Tournament]:[Basketball - Women''s Tournament]],MATCH(Table92[[#This Row],[Country]],Tabela1[Country], 0),0))</f>
        <v>0</v>
      </c>
      <c r="J117" s="6">
        <f>SUM(INDEX(Tabela1[[3x3 Basketball - Men''s Tournament]:[3x3 Basketball - Women''s Tournament]],MATCH(Table92[[#This Row],[Country]],Tabela1[Country], 0),0))</f>
        <v>0</v>
      </c>
      <c r="K117" s="6">
        <f>SUM(INDEX(Tabela1[[Beach Volleyball - Men''s Tournament]:[Beach Volleyball - Women''s Tournament]],MATCH(Table92[[#This Row],[Country]],Tabela1[Country], 0),0))</f>
        <v>0</v>
      </c>
      <c r="L117" s="6">
        <f>SUM(INDEX(Tabela1[[Boxing - Men''s 51kg]:[Boxing - Women''s 75kg]],MATCH(Table92[[#This Row],[Country]],Tabela1[Country], 0),0))</f>
        <v>0</v>
      </c>
      <c r="M117" s="6">
        <f>SUM(INDEX(Tabela1[[Breaking - Men''s Individual]:[Breaking - Women''s Individual]],MATCH(Table92[[#This Row],[Country]],Tabela1[Country], 0),0))</f>
        <v>0</v>
      </c>
      <c r="N117" s="6">
        <f>SUM(INDEX(Tabela1[[Canoeing - Men''s C1 Slalom]:[Canoeing - Women''s Kayak Cross Slalom]],MATCH(Table92[[#This Row],[Country]],Tabela1[Country], 0),0))</f>
        <v>0</v>
      </c>
      <c r="O117" s="6">
        <f>SUM(INDEX(Tabela1[[Canoeing - Women''s C1 200m]:[Canoeing - Women''s K4 500m]],MATCH(Table92[[#This Row],[Country]],Tabela1[Country], 0),0))</f>
        <v>0</v>
      </c>
      <c r="P117" s="6">
        <f>SUM(INDEX(Tabela1[[Cycling - Men''s BMX Freestyle]:[Cycling - Women''s BMX Freestyle]],MATCH(Table92[[#This Row],[Country]],Tabela1[Country], 0),0))</f>
        <v>0</v>
      </c>
      <c r="Q117" s="6">
        <f>SUM(INDEX(Tabela1[[Cycling - Men''s BMX Racing]:[Cycling - Women''s BMX Racing]],MATCH(Table92[[#This Row],[Country]],Tabela1[Country], 0),0))</f>
        <v>0</v>
      </c>
      <c r="R117" s="6">
        <f>SUM(INDEX(Tabela1[[Cycling - Men''s Cross-Country]:[Cycling - Women''s Cross-Country]],MATCH(Table92[[#This Row],[Country]],Tabela1[Country], 0),0))</f>
        <v>0</v>
      </c>
      <c r="S117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17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17" s="6">
        <f>SUM(INDEX(Tabela1[[Diving - Men''s Springboard]:[Diving - Women''s Synchronized Platform]],MATCH(Table92[[#This Row],[Country]],Tabela1[Country], 0),0))</f>
        <v>0</v>
      </c>
      <c r="V117" s="6">
        <f>SUM(INDEX(Tabela1[[Equestrian - Individual Dressage]:[Equestrian - Team Dressage]],MATCH(Table92[[#This Row],[Country]],Tabela1[Country], 0),0))</f>
        <v>0</v>
      </c>
      <c r="W117" s="6">
        <f>SUM(INDEX(Tabela1[[Equestrian - Individual Eventing]:[Equestrian - Team Eventing]],MATCH(Table92[[#This Row],[Country]],Tabela1[Country], 0),0))</f>
        <v>0</v>
      </c>
      <c r="X117" s="6">
        <f>SUM(INDEX(Tabela1[[Equestrian - Individual Jumping]:[Equestrian - Team Jumping]],MATCH(Table92[[#This Row],[Country]],Tabela1[Country], 0),0))</f>
        <v>0</v>
      </c>
      <c r="Y117" s="6">
        <f>SUM(INDEX(Tabela1[[Fencing - Men''s Épée]:[Fencing - Women''s Team Sabre]],MATCH(Table92[[#This Row],[Country]],Tabela1[Country], 0),0))</f>
        <v>0</v>
      </c>
      <c r="Z117" s="6">
        <f>SUM(INDEX(Tabela1[[Field Hockey - Men''s Tournament]:[Field Hockey - Women''s Tournament]],MATCH(Table92[[#This Row],[Country]],Tabela1[Country], 0),0))</f>
        <v>0</v>
      </c>
      <c r="AA117" s="6">
        <f>SUM(INDEX(Tabela1[[Football - Men''s Tournament]:[Football - Women''s Tournament]],MATCH(Table92[[#This Row],[Country]],Tabela1[Country], 0),0))</f>
        <v>0</v>
      </c>
      <c r="AB117" s="6">
        <f>SUM(INDEX(Tabela1[[Golf - Men''s Individual]:[Golf - Women''s Individual]],MATCH(Table92[[#This Row],[Country]],Tabela1[Country], 0),0))</f>
        <v>0</v>
      </c>
      <c r="AC117" s="6">
        <f>SUM(INDEX(Tabela1[[Handball - Men''s Tournament]:[Handball - Women''s Tournament]],MATCH(Table92[[#This Row],[Country]],Tabela1[Country], 0),0))</f>
        <v>0</v>
      </c>
      <c r="AD117" s="6">
        <f>SUM(INDEX(Tabela1[[Judo - Men''s 60kg]:[Judo - Mixed Team]],MATCH(Table92[[#This Row],[Country]],Tabela1[Country], 0),0))</f>
        <v>1</v>
      </c>
      <c r="AE117" s="6">
        <f>SUM(INDEX(Tabela1[[Swimming - Men''s 10km Open Water]:[Swimming - Women''s 10km Open Water]],MATCH(Table92[[#This Row],[Country]],Tabela1[Country], 0),0))</f>
        <v>0</v>
      </c>
      <c r="AF117" s="6">
        <f>SUM(INDEX(Tabela1[[Modern Pentathlon - Men''s Individual]:[Modern Pentathlon - Women''s Individual]],MATCH(Table92[[#This Row],[Country]],Tabela1[Country], 0),0))</f>
        <v>0</v>
      </c>
      <c r="AG117" s="6">
        <f>SUM(INDEX(Tabela1[[Rhythmic Gymnastics - Women''s Individual All-Around]:[Rhythmic Gymnastics - Women''s Group All-Around]],MATCH(Table92[[#This Row],[Country]],Tabela1[Country], 0),0))</f>
        <v>0</v>
      </c>
      <c r="AH117" s="6">
        <f>SUM(INDEX(Tabela1[[Rowing - Men''s Single Sculls]:[Rowing - Women''s Lwt. Double Sculls]],MATCH(Table92[[#This Row],[Country]],Tabela1[Country], 0),0))</f>
        <v>0</v>
      </c>
      <c r="AI117" s="6">
        <f>SUM(INDEX(Tabela1[[Rugby Sevens - Men''s Tournament]:[Rugby Sevens - Women''s Tournament]],MATCH(Table92[[#This Row],[Country]],Tabela1[Country], 0),0))</f>
        <v>0</v>
      </c>
      <c r="AJ117" s="6">
        <f>SUM(INDEX(Tabela1[[Sailing - Mixed 470]:[Sailing - Mixed Nacra 17]],MATCH(Table92[[#This Row],[Country]],Tabela1[Country], 0),0))</f>
        <v>0</v>
      </c>
      <c r="AK117" s="6">
        <f>SUM(INDEX(Tabela1[[Shooting - Men''s 10m Air Pistol]:[Shooting - Women''s Trap]],MATCH(Table92[[#This Row],[Country]],Tabela1[Country], 0),0))</f>
        <v>0</v>
      </c>
      <c r="AL117" s="6">
        <f>SUM(INDEX(Tabela1[[Skateboarding - Men''s Park]:[Skateboarding - Women''s Street]],MATCH(Table92[[#This Row],[Country]],Tabela1[Country], 0),0))</f>
        <v>0</v>
      </c>
      <c r="AM117" s="6">
        <f>SUM(INDEX(Tabela1[[Sport Climbing - Men''s Boulder and Lead]:[Sport Climbing - Women''s Speed]],MATCH(Table92[[#This Row],[Country]],Tabela1[Country], 0),0))</f>
        <v>0</v>
      </c>
      <c r="AN117" s="6">
        <f>SUM(INDEX(Tabela1[[Surfing - Men''s Shortboard]:[Surfing - Women''s Shortboard]],MATCH(Table92[[#This Row],[Country]],Tabela1[Country], 0),0))</f>
        <v>0</v>
      </c>
      <c r="AO117" s="6">
        <f>SUM(INDEX(Tabela1[[Swimming - Men''s 50m Freestyle]:[Swimming - Mixed 4x100m Medley Relay]],MATCH(Table92[[#This Row],[Country]],Tabela1[Country], 0),0))</f>
        <v>1</v>
      </c>
      <c r="AP117" s="6">
        <f>SUM(INDEX(Tabela1[[Table Tennis - Men''s Singles]:[Table Tennis - Mixed Doubles]],MATCH(Table92[[#This Row],[Country]],Tabela1[Country], 0),0))</f>
        <v>0</v>
      </c>
      <c r="AQ117" s="6">
        <f>SUM(INDEX(Tabela1[[Taekwondo - Men''s 58kg]:[Taekwondo - Women''s +67kg]],MATCH(Table92[[#This Row],[Country]],Tabela1[Country], 0),0))</f>
        <v>0</v>
      </c>
      <c r="AR117" s="6">
        <f>SUM(INDEX(Tabela1[[Tennis - Men''s Singles]:[Tennis - Mixed Doubles]],MATCH(Table92[[#This Row],[Country]],Tabela1[Country], 0),0))</f>
        <v>0</v>
      </c>
      <c r="AS117" s="6">
        <f>SUM(INDEX(Tabela1[[Gymnastics - Men''s Trampoline]:[Gymnastics - Women''s Trampoline]],MATCH(Table92[[#This Row],[Country]],Tabela1[Country], 0),0))</f>
        <v>0</v>
      </c>
      <c r="AT117" s="6">
        <f>SUM(INDEX(Tabela1[[Triathlon - Men''s Individual]:[Triathlon - Mixed Relay]],MATCH(Table92[[#This Row],[Country]],Tabela1[Country], 0),0))</f>
        <v>0</v>
      </c>
      <c r="AU117" s="6">
        <f>SUM(INDEX(Tabela1[[Volleyball - Men''s Tournament]:[Volleyball - Women''s Tournament]],MATCH(Table92[[#This Row],[Country]],Tabela1[Country], 0),0))</f>
        <v>0</v>
      </c>
      <c r="AV117" s="6">
        <f>SUM(INDEX(Tabela1[[Water Polo - Men''s Tournament]:[Water Polo - Women''s Tournament]],MATCH(Table92[[#This Row],[Country]],Tabela1[Country], 0),0))</f>
        <v>0</v>
      </c>
      <c r="AW117" s="6">
        <f>SUM(INDEX(Tabela1[[Weightlifting - Men''s 61kg]:[Weightlifting - Women''s +81kg]],MATCH(Table92[[#This Row],[Country]],Tabela1[Country], 0),0))</f>
        <v>0</v>
      </c>
      <c r="AX117" s="6">
        <f>SUM(INDEX(Tabela1[[Wrestling - Men''s Freestyle 57kg]:[Wrestling - Women''s Freestyle 76kg]],MATCH(Table92[[#This Row],[Country]],Tabela1[Country], 0),0))</f>
        <v>0</v>
      </c>
      <c r="AY117" s="6">
        <f>SUM(INDEX(Tabela1[[Alpine Skiing - Men''s Downhill]:[Alpine Skiing - Women''s Team Combined]],MATCH(Table92[[#This Row],[Country]],Tabela1[Country], 0),0))</f>
        <v>0</v>
      </c>
      <c r="AZ117" s="6">
        <f>SUM(INDEX(Tabela1[[Biathlon - Men''s Individual]:[Biathlon - Mixed Relay]],MATCH(Table92[[#This Row],[Country]],Tabela1[Country], 0),0))</f>
        <v>0</v>
      </c>
      <c r="BA117" s="6">
        <f>SUM(INDEX(Tabela1[[Bobsleigh - Women''s Monobob]:[Bobsleigh - Men''s Four]],MATCH(Table92[[#This Row],[Country]],Tabela1[Country], 0),0))</f>
        <v>0</v>
      </c>
      <c r="BB117" s="6">
        <f>SUM(INDEX(Tabela1[[Cross-country skiing - Men''s Classical]:[Cross-country skiing - Women''s Team Sprint]],MATCH(Table92[[#This Row],[Country]],Tabela1[Country], 0),0))</f>
        <v>0</v>
      </c>
      <c r="BC117" s="6">
        <f>SUM(INDEX(Tabela1[[Curling - Men''s Tournament]:[Curling - Mixed Doubles]],MATCH(Table92[[#This Row],[Country]],Tabela1[Country], 0),0))</f>
        <v>0</v>
      </c>
      <c r="BD117" s="6">
        <f>SUM(INDEX(Tabela1[[Figure Skating - Men''s Singles]:[Figure Skating - Team Event]],MATCH(Table92[[#This Row],[Country]],Tabela1[Country], 0),0))</f>
        <v>0</v>
      </c>
      <c r="BE117" s="6">
        <f>SUM(INDEX(Tabela1[[Freestyle Skiing - Men''s Aerials]:[Freestyle Skiing - Women''s Slopestyle]],MATCH(Table92[[#This Row],[Country]],Tabela1[Country], 0),0))</f>
        <v>0</v>
      </c>
      <c r="BF117" s="6">
        <f>SUM(INDEX(Tabela1[[Ice Hockey - Men''s Tournament]:[Ice Hockey - Women''s Tournament]],MATCH(Table92[[#This Row],[Country]],Tabela1[Country], 0),0))</f>
        <v>0</v>
      </c>
      <c r="BG117" s="6">
        <f>SUM(INDEX(Tabela1[[Luge - Men''s Singles]:[Luge - Mixed Team Relay]],MATCH(Table92[[#This Row],[Country]],Tabela1[Country], 0),0))</f>
        <v>0</v>
      </c>
      <c r="BH117" s="6">
        <f>SUM(INDEX(Tabela1[[Nordic Combined - Men''s Individual]:[Nordic Combined - Men''s Team Sprint Large Hill]],MATCH(Table92[[#This Row],[Country]],Tabela1[Country], 0),0))</f>
        <v>0</v>
      </c>
      <c r="BI117" s="6">
        <f>SUM(INDEX(Tabela1[[Short track speed skating - Men''s 500m]:[Short track speed skating - Mixed 2000m Relay]],MATCH(Table92[[#This Row],[Country]],Tabela1[Country], 0),0))</f>
        <v>0</v>
      </c>
      <c r="BJ117" s="6">
        <f>SUM(INDEX(Tabela1[[Skeleton - Men''s Individual]:[Skeleton - Mixed Team]],MATCH(Table92[[#This Row],[Country]],Tabela1[Country], 0),0))</f>
        <v>0</v>
      </c>
      <c r="BK117" s="6">
        <f>SUM(INDEX(Tabela1[[Ski Jumping - Men''s Individual Large Hill]:[Ski Jumping - Mixed Team Normal Hill]],MATCH(Table92[[#This Row],[Country]],Tabela1[Country], 0),0))</f>
        <v>0</v>
      </c>
      <c r="BL117" s="6">
        <f>SUM(INDEX(Tabela1[[Ski Mountaineering - Men''s Sprint]:[Ski Mountaineering - Mixed Relay]],MATCH(Table92[[#This Row],[Country]],Tabela1[Country], 0),0))</f>
        <v>0</v>
      </c>
      <c r="BM117" s="6">
        <f>SUM(INDEX(Tabela1[[Snowboarding - Men''s Big Air]:[Snowboarding - Mixed Team Snowboard Cross]],MATCH(Table92[[#This Row],[Country]],Tabela1[Country], 0),0))</f>
        <v>0</v>
      </c>
      <c r="BN117" s="6">
        <f>SUM(INDEX(Tabela1[[Speed Skating - Men''s 500m]:[Speed Skating - Women''s Team Pursuit]],MATCH(Table92[[#This Row],[Country]],Tabela1[Country], 0),0))</f>
        <v>0</v>
      </c>
      <c r="BO117" s="6" t="str">
        <f>SUBSTITUTE(INDEX(Table92[[#Headers],[Archery Quotas]:[Speed Skating Quotas]], MATCH(MAX(Table92[[#This Row],[Archery Quotas]:[Speed Skating Quotas]]), Table92[[#This Row],[Archery Quotas]:[Speed Skating Quotas]], 0))," Quotas","")</f>
        <v>Judo</v>
      </c>
      <c r="BP117" s="6">
        <f>SUM(Table92[[#This Row],[Summer Sports]:[Winter Sports]])</f>
        <v>2</v>
      </c>
      <c r="BQ117" s="6">
        <f>COUNTIF(Table92[[#This Row],[Archery Quotas]:[Wrestling Quotas]],"&lt;&gt;0")</f>
        <v>2</v>
      </c>
      <c r="BR117" s="6">
        <f>COUNTIF(Table92[[#This Row],[Alpine Skiing Quotas]:[Speed Skating Quotas]],"&lt;&gt;0")</f>
        <v>0</v>
      </c>
      <c r="BS117" s="4" t="s">
        <v>525</v>
      </c>
    </row>
    <row r="118" spans="1:71" x14ac:dyDescent="0.3">
      <c r="A118" s="6" t="s">
        <v>484</v>
      </c>
      <c r="B118" t="e" vm="129">
        <f>IF(ISBLANK(Table92[[#This Row],[Flag Link]]), "", _xlfn.IMAGE(Table92[[#This Row],[Flag Link]],1,1))</f>
        <v>#VALUE!</v>
      </c>
      <c r="C118" s="6">
        <f>SUM(Table92[[#This Row],[Archery Quotas]:[Speed Skating Quotas]])</f>
        <v>2</v>
      </c>
      <c r="D118" s="6">
        <f>SUM(INDEX(Tabela1[[Archery - Men''s Individual Recurve]:[Archery - Mixed Team Recurve]],MATCH(Table92[[#This Row],[Country]],Tabela1[Country], 0),0))</f>
        <v>0</v>
      </c>
      <c r="E118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18" s="6">
        <f>SUM(INDEX(Tabela1[[Artistic Swimming - Women''s Duet]:[Artistic Swimming - Women''s Team]],MATCH(Table92[[#This Row],[Country]],Tabela1[Country], 0),0))</f>
        <v>0</v>
      </c>
      <c r="G118" s="6">
        <f>SUM(INDEX(Tabela1[[Athletics - Men''s 100m]:[Athletics - Women''s Heptathlon]],MATCH(Table92[[#This Row],[Country]],Tabela1[Country], 0),0))</f>
        <v>1</v>
      </c>
      <c r="H118" s="6">
        <f>SUM(INDEX(Tabela1[[Badminton - Men''s Singles]:[Badminton - Mixed Doubles]],MATCH(Table92[[#This Row],[Country]],Tabela1[Country], 0),0))</f>
        <v>0</v>
      </c>
      <c r="I118" s="6">
        <f>SUM(INDEX(Tabela1[[Basketball - Men''s Tournament]:[Basketball - Women''s Tournament]],MATCH(Table92[[#This Row],[Country]],Tabela1[Country], 0),0))</f>
        <v>0</v>
      </c>
      <c r="J118" s="6">
        <f>SUM(INDEX(Tabela1[[3x3 Basketball - Men''s Tournament]:[3x3 Basketball - Women''s Tournament]],MATCH(Table92[[#This Row],[Country]],Tabela1[Country], 0),0))</f>
        <v>0</v>
      </c>
      <c r="K118" s="6">
        <f>SUM(INDEX(Tabela1[[Beach Volleyball - Men''s Tournament]:[Beach Volleyball - Women''s Tournament]],MATCH(Table92[[#This Row],[Country]],Tabela1[Country], 0),0))</f>
        <v>0</v>
      </c>
      <c r="L118" s="6">
        <f>SUM(INDEX(Tabela1[[Boxing - Men''s 51kg]:[Boxing - Women''s 75kg]],MATCH(Table92[[#This Row],[Country]],Tabela1[Country], 0),0))</f>
        <v>0</v>
      </c>
      <c r="M118" s="6">
        <f>SUM(INDEX(Tabela1[[Breaking - Men''s Individual]:[Breaking - Women''s Individual]],MATCH(Table92[[#This Row],[Country]],Tabela1[Country], 0),0))</f>
        <v>0</v>
      </c>
      <c r="N118" s="6">
        <f>SUM(INDEX(Tabela1[[Canoeing - Men''s C1 Slalom]:[Canoeing - Women''s Kayak Cross Slalom]],MATCH(Table92[[#This Row],[Country]],Tabela1[Country], 0),0))</f>
        <v>0</v>
      </c>
      <c r="O118" s="6">
        <f>SUM(INDEX(Tabela1[[Canoeing - Women''s C1 200m]:[Canoeing - Women''s K4 500m]],MATCH(Table92[[#This Row],[Country]],Tabela1[Country], 0),0))</f>
        <v>0</v>
      </c>
      <c r="P118" s="6">
        <f>SUM(INDEX(Tabela1[[Cycling - Men''s BMX Freestyle]:[Cycling - Women''s BMX Freestyle]],MATCH(Table92[[#This Row],[Country]],Tabela1[Country], 0),0))</f>
        <v>0</v>
      </c>
      <c r="Q118" s="6">
        <f>SUM(INDEX(Tabela1[[Cycling - Men''s BMX Racing]:[Cycling - Women''s BMX Racing]],MATCH(Table92[[#This Row],[Country]],Tabela1[Country], 0),0))</f>
        <v>0</v>
      </c>
      <c r="R118" s="6">
        <f>SUM(INDEX(Tabela1[[Cycling - Men''s Cross-Country]:[Cycling - Women''s Cross-Country]],MATCH(Table92[[#This Row],[Country]],Tabela1[Country], 0),0))</f>
        <v>0</v>
      </c>
      <c r="S118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18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18" s="6">
        <f>SUM(INDEX(Tabela1[[Diving - Men''s Springboard]:[Diving - Women''s Synchronized Platform]],MATCH(Table92[[#This Row],[Country]],Tabela1[Country], 0),0))</f>
        <v>0</v>
      </c>
      <c r="V118" s="6">
        <f>SUM(INDEX(Tabela1[[Equestrian - Individual Dressage]:[Equestrian - Team Dressage]],MATCH(Table92[[#This Row],[Country]],Tabela1[Country], 0),0))</f>
        <v>0</v>
      </c>
      <c r="W118" s="6">
        <f>SUM(INDEX(Tabela1[[Equestrian - Individual Eventing]:[Equestrian - Team Eventing]],MATCH(Table92[[#This Row],[Country]],Tabela1[Country], 0),0))</f>
        <v>0</v>
      </c>
      <c r="X118" s="6">
        <f>SUM(INDEX(Tabela1[[Equestrian - Individual Jumping]:[Equestrian - Team Jumping]],MATCH(Table92[[#This Row],[Country]],Tabela1[Country], 0),0))</f>
        <v>0</v>
      </c>
      <c r="Y118" s="6">
        <f>SUM(INDEX(Tabela1[[Fencing - Men''s Épée]:[Fencing - Women''s Team Sabre]],MATCH(Table92[[#This Row],[Country]],Tabela1[Country], 0),0))</f>
        <v>0</v>
      </c>
      <c r="Z118" s="6">
        <f>SUM(INDEX(Tabela1[[Field Hockey - Men''s Tournament]:[Field Hockey - Women''s Tournament]],MATCH(Table92[[#This Row],[Country]],Tabela1[Country], 0),0))</f>
        <v>0</v>
      </c>
      <c r="AA118" s="6">
        <f>SUM(INDEX(Tabela1[[Football - Men''s Tournament]:[Football - Women''s Tournament]],MATCH(Table92[[#This Row],[Country]],Tabela1[Country], 0),0))</f>
        <v>0</v>
      </c>
      <c r="AB118" s="6">
        <f>SUM(INDEX(Tabela1[[Golf - Men''s Individual]:[Golf - Women''s Individual]],MATCH(Table92[[#This Row],[Country]],Tabela1[Country], 0),0))</f>
        <v>0</v>
      </c>
      <c r="AC118" s="6">
        <f>SUM(INDEX(Tabela1[[Handball - Men''s Tournament]:[Handball - Women''s Tournament]],MATCH(Table92[[#This Row],[Country]],Tabela1[Country], 0),0))</f>
        <v>0</v>
      </c>
      <c r="AD118" s="6">
        <f>SUM(INDEX(Tabela1[[Judo - Men''s 60kg]:[Judo - Mixed Team]],MATCH(Table92[[#This Row],[Country]],Tabela1[Country], 0),0))</f>
        <v>1</v>
      </c>
      <c r="AE118" s="6">
        <f>SUM(INDEX(Tabela1[[Swimming - Men''s 10km Open Water]:[Swimming - Women''s 10km Open Water]],MATCH(Table92[[#This Row],[Country]],Tabela1[Country], 0),0))</f>
        <v>0</v>
      </c>
      <c r="AF118" s="6">
        <f>SUM(INDEX(Tabela1[[Modern Pentathlon - Men''s Individual]:[Modern Pentathlon - Women''s Individual]],MATCH(Table92[[#This Row],[Country]],Tabela1[Country], 0),0))</f>
        <v>0</v>
      </c>
      <c r="AG118" s="6">
        <f>SUM(INDEX(Tabela1[[Rhythmic Gymnastics - Women''s Individual All-Around]:[Rhythmic Gymnastics - Women''s Group All-Around]],MATCH(Table92[[#This Row],[Country]],Tabela1[Country], 0),0))</f>
        <v>0</v>
      </c>
      <c r="AH118" s="6">
        <f>SUM(INDEX(Tabela1[[Rowing - Men''s Single Sculls]:[Rowing - Women''s Lwt. Double Sculls]],MATCH(Table92[[#This Row],[Country]],Tabela1[Country], 0),0))</f>
        <v>0</v>
      </c>
      <c r="AI118" s="6">
        <f>SUM(INDEX(Tabela1[[Rugby Sevens - Men''s Tournament]:[Rugby Sevens - Women''s Tournament]],MATCH(Table92[[#This Row],[Country]],Tabela1[Country], 0),0))</f>
        <v>0</v>
      </c>
      <c r="AJ118" s="6">
        <f>SUM(INDEX(Tabela1[[Sailing - Mixed 470]:[Sailing - Mixed Nacra 17]],MATCH(Table92[[#This Row],[Country]],Tabela1[Country], 0),0))</f>
        <v>0</v>
      </c>
      <c r="AK118" s="6">
        <f>SUM(INDEX(Tabela1[[Shooting - Men''s 10m Air Pistol]:[Shooting - Women''s Trap]],MATCH(Table92[[#This Row],[Country]],Tabela1[Country], 0),0))</f>
        <v>0</v>
      </c>
      <c r="AL118" s="6">
        <f>SUM(INDEX(Tabela1[[Skateboarding - Men''s Park]:[Skateboarding - Women''s Street]],MATCH(Table92[[#This Row],[Country]],Tabela1[Country], 0),0))</f>
        <v>0</v>
      </c>
      <c r="AM118" s="6">
        <f>SUM(INDEX(Tabela1[[Sport Climbing - Men''s Boulder and Lead]:[Sport Climbing - Women''s Speed]],MATCH(Table92[[#This Row],[Country]],Tabela1[Country], 0),0))</f>
        <v>0</v>
      </c>
      <c r="AN118" s="6">
        <f>SUM(INDEX(Tabela1[[Surfing - Men''s Shortboard]:[Surfing - Women''s Shortboard]],MATCH(Table92[[#This Row],[Country]],Tabela1[Country], 0),0))</f>
        <v>0</v>
      </c>
      <c r="AO118" s="6">
        <f>SUM(INDEX(Tabela1[[Swimming - Men''s 50m Freestyle]:[Swimming - Mixed 4x100m Medley Relay]],MATCH(Table92[[#This Row],[Country]],Tabela1[Country], 0),0))</f>
        <v>0</v>
      </c>
      <c r="AP118" s="6">
        <f>SUM(INDEX(Tabela1[[Table Tennis - Men''s Singles]:[Table Tennis - Mixed Doubles]],MATCH(Table92[[#This Row],[Country]],Tabela1[Country], 0),0))</f>
        <v>0</v>
      </c>
      <c r="AQ118" s="6">
        <f>SUM(INDEX(Tabela1[[Taekwondo - Men''s 58kg]:[Taekwondo - Women''s +67kg]],MATCH(Table92[[#This Row],[Country]],Tabela1[Country], 0),0))</f>
        <v>0</v>
      </c>
      <c r="AR118" s="6">
        <f>SUM(INDEX(Tabela1[[Tennis - Men''s Singles]:[Tennis - Mixed Doubles]],MATCH(Table92[[#This Row],[Country]],Tabela1[Country], 0),0))</f>
        <v>0</v>
      </c>
      <c r="AS118" s="6">
        <f>SUM(INDEX(Tabela1[[Gymnastics - Men''s Trampoline]:[Gymnastics - Women''s Trampoline]],MATCH(Table92[[#This Row],[Country]],Tabela1[Country], 0),0))</f>
        <v>0</v>
      </c>
      <c r="AT118" s="6">
        <f>SUM(INDEX(Tabela1[[Triathlon - Men''s Individual]:[Triathlon - Mixed Relay]],MATCH(Table92[[#This Row],[Country]],Tabela1[Country], 0),0))</f>
        <v>0</v>
      </c>
      <c r="AU118" s="6">
        <f>SUM(INDEX(Tabela1[[Volleyball - Men''s Tournament]:[Volleyball - Women''s Tournament]],MATCH(Table92[[#This Row],[Country]],Tabela1[Country], 0),0))</f>
        <v>0</v>
      </c>
      <c r="AV118" s="6">
        <f>SUM(INDEX(Tabela1[[Water Polo - Men''s Tournament]:[Water Polo - Women''s Tournament]],MATCH(Table92[[#This Row],[Country]],Tabela1[Country], 0),0))</f>
        <v>0</v>
      </c>
      <c r="AW118" s="6">
        <f>SUM(INDEX(Tabela1[[Weightlifting - Men''s 61kg]:[Weightlifting - Women''s +81kg]],MATCH(Table92[[#This Row],[Country]],Tabela1[Country], 0),0))</f>
        <v>0</v>
      </c>
      <c r="AX118" s="6">
        <f>SUM(INDEX(Tabela1[[Wrestling - Men''s Freestyle 57kg]:[Wrestling - Women''s Freestyle 76kg]],MATCH(Table92[[#This Row],[Country]],Tabela1[Country], 0),0))</f>
        <v>0</v>
      </c>
      <c r="AY118" s="6">
        <f>SUM(INDEX(Tabela1[[Alpine Skiing - Men''s Downhill]:[Alpine Skiing - Women''s Team Combined]],MATCH(Table92[[#This Row],[Country]],Tabela1[Country], 0),0))</f>
        <v>0</v>
      </c>
      <c r="AZ118" s="6">
        <f>SUM(INDEX(Tabela1[[Biathlon - Men''s Individual]:[Biathlon - Mixed Relay]],MATCH(Table92[[#This Row],[Country]],Tabela1[Country], 0),0))</f>
        <v>0</v>
      </c>
      <c r="BA118" s="6">
        <f>SUM(INDEX(Tabela1[[Bobsleigh - Women''s Monobob]:[Bobsleigh - Men''s Four]],MATCH(Table92[[#This Row],[Country]],Tabela1[Country], 0),0))</f>
        <v>0</v>
      </c>
      <c r="BB118" s="6">
        <f>SUM(INDEX(Tabela1[[Cross-country skiing - Men''s Classical]:[Cross-country skiing - Women''s Team Sprint]],MATCH(Table92[[#This Row],[Country]],Tabela1[Country], 0),0))</f>
        <v>0</v>
      </c>
      <c r="BC118" s="6">
        <f>SUM(INDEX(Tabela1[[Curling - Men''s Tournament]:[Curling - Mixed Doubles]],MATCH(Table92[[#This Row],[Country]],Tabela1[Country], 0),0))</f>
        <v>0</v>
      </c>
      <c r="BD118" s="6">
        <f>SUM(INDEX(Tabela1[[Figure Skating - Men''s Singles]:[Figure Skating - Team Event]],MATCH(Table92[[#This Row],[Country]],Tabela1[Country], 0),0))</f>
        <v>0</v>
      </c>
      <c r="BE118" s="6">
        <f>SUM(INDEX(Tabela1[[Freestyle Skiing - Men''s Aerials]:[Freestyle Skiing - Women''s Slopestyle]],MATCH(Table92[[#This Row],[Country]],Tabela1[Country], 0),0))</f>
        <v>0</v>
      </c>
      <c r="BF118" s="6">
        <f>SUM(INDEX(Tabela1[[Ice Hockey - Men''s Tournament]:[Ice Hockey - Women''s Tournament]],MATCH(Table92[[#This Row],[Country]],Tabela1[Country], 0),0))</f>
        <v>0</v>
      </c>
      <c r="BG118" s="6">
        <f>SUM(INDEX(Tabela1[[Luge - Men''s Singles]:[Luge - Mixed Team Relay]],MATCH(Table92[[#This Row],[Country]],Tabela1[Country], 0),0))</f>
        <v>0</v>
      </c>
      <c r="BH118" s="6">
        <f>SUM(INDEX(Tabela1[[Nordic Combined - Men''s Individual]:[Nordic Combined - Men''s Team Sprint Large Hill]],MATCH(Table92[[#This Row],[Country]],Tabela1[Country], 0),0))</f>
        <v>0</v>
      </c>
      <c r="BI118" s="6">
        <f>SUM(INDEX(Tabela1[[Short track speed skating - Men''s 500m]:[Short track speed skating - Mixed 2000m Relay]],MATCH(Table92[[#This Row],[Country]],Tabela1[Country], 0),0))</f>
        <v>0</v>
      </c>
      <c r="BJ118" s="6">
        <f>SUM(INDEX(Tabela1[[Skeleton - Men''s Individual]:[Skeleton - Mixed Team]],MATCH(Table92[[#This Row],[Country]],Tabela1[Country], 0),0))</f>
        <v>0</v>
      </c>
      <c r="BK118" s="6">
        <f>SUM(INDEX(Tabela1[[Ski Jumping - Men''s Individual Large Hill]:[Ski Jumping - Mixed Team Normal Hill]],MATCH(Table92[[#This Row],[Country]],Tabela1[Country], 0),0))</f>
        <v>0</v>
      </c>
      <c r="BL118" s="6">
        <f>SUM(INDEX(Tabela1[[Ski Mountaineering - Men''s Sprint]:[Ski Mountaineering - Mixed Relay]],MATCH(Table92[[#This Row],[Country]],Tabela1[Country], 0),0))</f>
        <v>0</v>
      </c>
      <c r="BM118" s="6">
        <f>SUM(INDEX(Tabela1[[Snowboarding - Men''s Big Air]:[Snowboarding - Mixed Team Snowboard Cross]],MATCH(Table92[[#This Row],[Country]],Tabela1[Country], 0),0))</f>
        <v>0</v>
      </c>
      <c r="BN118" s="6">
        <f>SUM(INDEX(Tabela1[[Speed Skating - Men''s 500m]:[Speed Skating - Women''s Team Pursuit]],MATCH(Table92[[#This Row],[Country]],Tabela1[Country], 0),0))</f>
        <v>0</v>
      </c>
      <c r="BO118" s="6" t="str">
        <f>SUBSTITUTE(INDEX(Table92[[#Headers],[Archery Quotas]:[Speed Skating Quotas]], MATCH(MAX(Table92[[#This Row],[Archery Quotas]:[Speed Skating Quotas]]), Table92[[#This Row],[Archery Quotas]:[Speed Skating Quotas]], 0))," Quotas","")</f>
        <v>Athletics</v>
      </c>
      <c r="BP118" s="6">
        <f>SUM(Table92[[#This Row],[Summer Sports]:[Winter Sports]])</f>
        <v>2</v>
      </c>
      <c r="BQ118" s="6">
        <f>COUNTIF(Table92[[#This Row],[Archery Quotas]:[Wrestling Quotas]],"&lt;&gt;0")</f>
        <v>2</v>
      </c>
      <c r="BR118" s="6">
        <f>COUNTIF(Table92[[#This Row],[Alpine Skiing Quotas]:[Speed Skating Quotas]],"&lt;&gt;0")</f>
        <v>0</v>
      </c>
      <c r="BS118" s="4" t="s">
        <v>485</v>
      </c>
    </row>
    <row r="119" spans="1:71" x14ac:dyDescent="0.3">
      <c r="A119" s="6" t="s">
        <v>472</v>
      </c>
      <c r="B119" t="e" vm="132">
        <f>IF(ISBLANK(Table92[[#This Row],[Flag Link]]), "", _xlfn.IMAGE(Table92[[#This Row],[Flag Link]],1,1))</f>
        <v>#VALUE!</v>
      </c>
      <c r="C119" s="6">
        <f>SUM(Table92[[#This Row],[Archery Quotas]:[Speed Skating Quotas]])</f>
        <v>2</v>
      </c>
      <c r="D119" s="6">
        <f>SUM(INDEX(Tabela1[[Archery - Men''s Individual Recurve]:[Archery - Mixed Team Recurve]],MATCH(Table92[[#This Row],[Country]],Tabela1[Country], 0),0))</f>
        <v>0</v>
      </c>
      <c r="E119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19" s="6">
        <f>SUM(INDEX(Tabela1[[Artistic Swimming - Women''s Duet]:[Artistic Swimming - Women''s Team]],MATCH(Table92[[#This Row],[Country]],Tabela1[Country], 0),0))</f>
        <v>0</v>
      </c>
      <c r="G119" s="6">
        <f>SUM(INDEX(Tabela1[[Athletics - Men''s 100m]:[Athletics - Women''s Heptathlon]],MATCH(Table92[[#This Row],[Country]],Tabela1[Country], 0),0))</f>
        <v>0</v>
      </c>
      <c r="H119" s="6">
        <f>SUM(INDEX(Tabela1[[Badminton - Men''s Singles]:[Badminton - Mixed Doubles]],MATCH(Table92[[#This Row],[Country]],Tabela1[Country], 0),0))</f>
        <v>0</v>
      </c>
      <c r="I119" s="6">
        <f>SUM(INDEX(Tabela1[[Basketball - Men''s Tournament]:[Basketball - Women''s Tournament]],MATCH(Table92[[#This Row],[Country]],Tabela1[Country], 0),0))</f>
        <v>0</v>
      </c>
      <c r="J119" s="6">
        <f>SUM(INDEX(Tabela1[[3x3 Basketball - Men''s Tournament]:[3x3 Basketball - Women''s Tournament]],MATCH(Table92[[#This Row],[Country]],Tabela1[Country], 0),0))</f>
        <v>0</v>
      </c>
      <c r="K119" s="6">
        <f>SUM(INDEX(Tabela1[[Beach Volleyball - Men''s Tournament]:[Beach Volleyball - Women''s Tournament]],MATCH(Table92[[#This Row],[Country]],Tabela1[Country], 0),0))</f>
        <v>0</v>
      </c>
      <c r="L119" s="6">
        <f>SUM(INDEX(Tabela1[[Boxing - Men''s 51kg]:[Boxing - Women''s 75kg]],MATCH(Table92[[#This Row],[Country]],Tabela1[Country], 0),0))</f>
        <v>0</v>
      </c>
      <c r="M119" s="6">
        <f>SUM(INDEX(Tabela1[[Breaking - Men''s Individual]:[Breaking - Women''s Individual]],MATCH(Table92[[#This Row],[Country]],Tabela1[Country], 0),0))</f>
        <v>0</v>
      </c>
      <c r="N119" s="6">
        <f>SUM(INDEX(Tabela1[[Canoeing - Men''s C1 Slalom]:[Canoeing - Women''s Kayak Cross Slalom]],MATCH(Table92[[#This Row],[Country]],Tabela1[Country], 0),0))</f>
        <v>0</v>
      </c>
      <c r="O119" s="6">
        <f>SUM(INDEX(Tabela1[[Canoeing - Women''s C1 200m]:[Canoeing - Women''s K4 500m]],MATCH(Table92[[#This Row],[Country]],Tabela1[Country], 0),0))</f>
        <v>0</v>
      </c>
      <c r="P119" s="6">
        <f>SUM(INDEX(Tabela1[[Cycling - Men''s BMX Freestyle]:[Cycling - Women''s BMX Freestyle]],MATCH(Table92[[#This Row],[Country]],Tabela1[Country], 0),0))</f>
        <v>0</v>
      </c>
      <c r="Q119" s="6">
        <f>SUM(INDEX(Tabela1[[Cycling - Men''s BMX Racing]:[Cycling - Women''s BMX Racing]],MATCH(Table92[[#This Row],[Country]],Tabela1[Country], 0),0))</f>
        <v>0</v>
      </c>
      <c r="R119" s="6">
        <f>SUM(INDEX(Tabela1[[Cycling - Men''s Cross-Country]:[Cycling - Women''s Cross-Country]],MATCH(Table92[[#This Row],[Country]],Tabela1[Country], 0),0))</f>
        <v>0</v>
      </c>
      <c r="S119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19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19" s="6">
        <f>SUM(INDEX(Tabela1[[Diving - Men''s Springboard]:[Diving - Women''s Synchronized Platform]],MATCH(Table92[[#This Row],[Country]],Tabela1[Country], 0),0))</f>
        <v>0</v>
      </c>
      <c r="V119" s="6">
        <f>SUM(INDEX(Tabela1[[Equestrian - Individual Dressage]:[Equestrian - Team Dressage]],MATCH(Table92[[#This Row],[Country]],Tabela1[Country], 0),0))</f>
        <v>0</v>
      </c>
      <c r="W119" s="6">
        <f>SUM(INDEX(Tabela1[[Equestrian - Individual Eventing]:[Equestrian - Team Eventing]],MATCH(Table92[[#This Row],[Country]],Tabela1[Country], 0),0))</f>
        <v>0</v>
      </c>
      <c r="X119" s="6">
        <f>SUM(INDEX(Tabela1[[Equestrian - Individual Jumping]:[Equestrian - Team Jumping]],MATCH(Table92[[#This Row],[Country]],Tabela1[Country], 0),0))</f>
        <v>0</v>
      </c>
      <c r="Y119" s="6">
        <f>SUM(INDEX(Tabela1[[Fencing - Men''s Épée]:[Fencing - Women''s Team Sabre]],MATCH(Table92[[#This Row],[Country]],Tabela1[Country], 0),0))</f>
        <v>0</v>
      </c>
      <c r="Z119" s="6">
        <f>SUM(INDEX(Tabela1[[Field Hockey - Men''s Tournament]:[Field Hockey - Women''s Tournament]],MATCH(Table92[[#This Row],[Country]],Tabela1[Country], 0),0))</f>
        <v>0</v>
      </c>
      <c r="AA119" s="6">
        <f>SUM(INDEX(Tabela1[[Football - Men''s Tournament]:[Football - Women''s Tournament]],MATCH(Table92[[#This Row],[Country]],Tabela1[Country], 0),0))</f>
        <v>0</v>
      </c>
      <c r="AB119" s="6">
        <f>SUM(INDEX(Tabela1[[Golf - Men''s Individual]:[Golf - Women''s Individual]],MATCH(Table92[[#This Row],[Country]],Tabela1[Country], 0),0))</f>
        <v>0</v>
      </c>
      <c r="AC119" s="6">
        <f>SUM(INDEX(Tabela1[[Handball - Men''s Tournament]:[Handball - Women''s Tournament]],MATCH(Table92[[#This Row],[Country]],Tabela1[Country], 0),0))</f>
        <v>0</v>
      </c>
      <c r="AD119" s="6">
        <f>SUM(INDEX(Tabela1[[Judo - Men''s 60kg]:[Judo - Mixed Team]],MATCH(Table92[[#This Row],[Country]],Tabela1[Country], 0),0))</f>
        <v>1</v>
      </c>
      <c r="AE119" s="6">
        <f>SUM(INDEX(Tabela1[[Swimming - Men''s 10km Open Water]:[Swimming - Women''s 10km Open Water]],MATCH(Table92[[#This Row],[Country]],Tabela1[Country], 0),0))</f>
        <v>0</v>
      </c>
      <c r="AF119" s="6">
        <f>SUM(INDEX(Tabela1[[Modern Pentathlon - Men''s Individual]:[Modern Pentathlon - Women''s Individual]],MATCH(Table92[[#This Row],[Country]],Tabela1[Country], 0),0))</f>
        <v>0</v>
      </c>
      <c r="AG119" s="6">
        <f>SUM(INDEX(Tabela1[[Rhythmic Gymnastics - Women''s Individual All-Around]:[Rhythmic Gymnastics - Women''s Group All-Around]],MATCH(Table92[[#This Row],[Country]],Tabela1[Country], 0),0))</f>
        <v>0</v>
      </c>
      <c r="AH119" s="6">
        <f>SUM(INDEX(Tabela1[[Rowing - Men''s Single Sculls]:[Rowing - Women''s Lwt. Double Sculls]],MATCH(Table92[[#This Row],[Country]],Tabela1[Country], 0),0))</f>
        <v>0</v>
      </c>
      <c r="AI119" s="6">
        <f>SUM(INDEX(Tabela1[[Rugby Sevens - Men''s Tournament]:[Rugby Sevens - Women''s Tournament]],MATCH(Table92[[#This Row],[Country]],Tabela1[Country], 0),0))</f>
        <v>0</v>
      </c>
      <c r="AJ119" s="6">
        <f>SUM(INDEX(Tabela1[[Sailing - Mixed 470]:[Sailing - Mixed Nacra 17]],MATCH(Table92[[#This Row],[Country]],Tabela1[Country], 0),0))</f>
        <v>0</v>
      </c>
      <c r="AK119" s="6">
        <f>SUM(INDEX(Tabela1[[Shooting - Men''s 10m Air Pistol]:[Shooting - Women''s Trap]],MATCH(Table92[[#This Row],[Country]],Tabela1[Country], 0),0))</f>
        <v>0</v>
      </c>
      <c r="AL119" s="6">
        <f>SUM(INDEX(Tabela1[[Skateboarding - Men''s Park]:[Skateboarding - Women''s Street]],MATCH(Table92[[#This Row],[Country]],Tabela1[Country], 0),0))</f>
        <v>0</v>
      </c>
      <c r="AM119" s="6">
        <f>SUM(INDEX(Tabela1[[Sport Climbing - Men''s Boulder and Lead]:[Sport Climbing - Women''s Speed]],MATCH(Table92[[#This Row],[Country]],Tabela1[Country], 0),0))</f>
        <v>0</v>
      </c>
      <c r="AN119" s="6">
        <f>SUM(INDEX(Tabela1[[Surfing - Men''s Shortboard]:[Surfing - Women''s Shortboard]],MATCH(Table92[[#This Row],[Country]],Tabela1[Country], 0),0))</f>
        <v>1</v>
      </c>
      <c r="AO119" s="6">
        <f>SUM(INDEX(Tabela1[[Swimming - Men''s 50m Freestyle]:[Swimming - Mixed 4x100m Medley Relay]],MATCH(Table92[[#This Row],[Country]],Tabela1[Country], 0),0))</f>
        <v>0</v>
      </c>
      <c r="AP119" s="6">
        <f>SUM(INDEX(Tabela1[[Table Tennis - Men''s Singles]:[Table Tennis - Mixed Doubles]],MATCH(Table92[[#This Row],[Country]],Tabela1[Country], 0),0))</f>
        <v>0</v>
      </c>
      <c r="AQ119" s="6">
        <f>SUM(INDEX(Tabela1[[Taekwondo - Men''s 58kg]:[Taekwondo - Women''s +67kg]],MATCH(Table92[[#This Row],[Country]],Tabela1[Country], 0),0))</f>
        <v>0</v>
      </c>
      <c r="AR119" s="6">
        <f>SUM(INDEX(Tabela1[[Tennis - Men''s Singles]:[Tennis - Mixed Doubles]],MATCH(Table92[[#This Row],[Country]],Tabela1[Country], 0),0))</f>
        <v>0</v>
      </c>
      <c r="AS119" s="6">
        <f>SUM(INDEX(Tabela1[[Gymnastics - Men''s Trampoline]:[Gymnastics - Women''s Trampoline]],MATCH(Table92[[#This Row],[Country]],Tabela1[Country], 0),0))</f>
        <v>0</v>
      </c>
      <c r="AT119" s="6">
        <f>SUM(INDEX(Tabela1[[Triathlon - Men''s Individual]:[Triathlon - Mixed Relay]],MATCH(Table92[[#This Row],[Country]],Tabela1[Country], 0),0))</f>
        <v>0</v>
      </c>
      <c r="AU119" s="6">
        <f>SUM(INDEX(Tabela1[[Volleyball - Men''s Tournament]:[Volleyball - Women''s Tournament]],MATCH(Table92[[#This Row],[Country]],Tabela1[Country], 0),0))</f>
        <v>0</v>
      </c>
      <c r="AV119" s="6">
        <f>SUM(INDEX(Tabela1[[Water Polo - Men''s Tournament]:[Water Polo - Women''s Tournament]],MATCH(Table92[[#This Row],[Country]],Tabela1[Country], 0),0))</f>
        <v>0</v>
      </c>
      <c r="AW119" s="6">
        <f>SUM(INDEX(Tabela1[[Weightlifting - Men''s 61kg]:[Weightlifting - Women''s +81kg]],MATCH(Table92[[#This Row],[Country]],Tabela1[Country], 0),0))</f>
        <v>0</v>
      </c>
      <c r="AX119" s="6">
        <f>SUM(INDEX(Tabela1[[Wrestling - Men''s Freestyle 57kg]:[Wrestling - Women''s Freestyle 76kg]],MATCH(Table92[[#This Row],[Country]],Tabela1[Country], 0),0))</f>
        <v>0</v>
      </c>
      <c r="AY119" s="6">
        <f>SUM(INDEX(Tabela1[[Alpine Skiing - Men''s Downhill]:[Alpine Skiing - Women''s Team Combined]],MATCH(Table92[[#This Row],[Country]],Tabela1[Country], 0),0))</f>
        <v>0</v>
      </c>
      <c r="AZ119" s="6">
        <f>SUM(INDEX(Tabela1[[Biathlon - Men''s Individual]:[Biathlon - Mixed Relay]],MATCH(Table92[[#This Row],[Country]],Tabela1[Country], 0),0))</f>
        <v>0</v>
      </c>
      <c r="BA119" s="6">
        <f>SUM(INDEX(Tabela1[[Bobsleigh - Women''s Monobob]:[Bobsleigh - Men''s Four]],MATCH(Table92[[#This Row],[Country]],Tabela1[Country], 0),0))</f>
        <v>0</v>
      </c>
      <c r="BB119" s="6">
        <f>SUM(INDEX(Tabela1[[Cross-country skiing - Men''s Classical]:[Cross-country skiing - Women''s Team Sprint]],MATCH(Table92[[#This Row],[Country]],Tabela1[Country], 0),0))</f>
        <v>0</v>
      </c>
      <c r="BC119" s="6">
        <f>SUM(INDEX(Tabela1[[Curling - Men''s Tournament]:[Curling - Mixed Doubles]],MATCH(Table92[[#This Row],[Country]],Tabela1[Country], 0),0))</f>
        <v>0</v>
      </c>
      <c r="BD119" s="6">
        <f>SUM(INDEX(Tabela1[[Figure Skating - Men''s Singles]:[Figure Skating - Team Event]],MATCH(Table92[[#This Row],[Country]],Tabela1[Country], 0),0))</f>
        <v>0</v>
      </c>
      <c r="BE119" s="6">
        <f>SUM(INDEX(Tabela1[[Freestyle Skiing - Men''s Aerials]:[Freestyle Skiing - Women''s Slopestyle]],MATCH(Table92[[#This Row],[Country]],Tabela1[Country], 0),0))</f>
        <v>0</v>
      </c>
      <c r="BF119" s="6">
        <f>SUM(INDEX(Tabela1[[Ice Hockey - Men''s Tournament]:[Ice Hockey - Women''s Tournament]],MATCH(Table92[[#This Row],[Country]],Tabela1[Country], 0),0))</f>
        <v>0</v>
      </c>
      <c r="BG119" s="6">
        <f>SUM(INDEX(Tabela1[[Luge - Men''s Singles]:[Luge - Mixed Team Relay]],MATCH(Table92[[#This Row],[Country]],Tabela1[Country], 0),0))</f>
        <v>0</v>
      </c>
      <c r="BH119" s="6">
        <f>SUM(INDEX(Tabela1[[Nordic Combined - Men''s Individual]:[Nordic Combined - Men''s Team Sprint Large Hill]],MATCH(Table92[[#This Row],[Country]],Tabela1[Country], 0),0))</f>
        <v>0</v>
      </c>
      <c r="BI119" s="6">
        <f>SUM(INDEX(Tabela1[[Short track speed skating - Men''s 500m]:[Short track speed skating - Mixed 2000m Relay]],MATCH(Table92[[#This Row],[Country]],Tabela1[Country], 0),0))</f>
        <v>0</v>
      </c>
      <c r="BJ119" s="6">
        <f>SUM(INDEX(Tabela1[[Skeleton - Men''s Individual]:[Skeleton - Mixed Team]],MATCH(Table92[[#This Row],[Country]],Tabela1[Country], 0),0))</f>
        <v>0</v>
      </c>
      <c r="BK119" s="6">
        <f>SUM(INDEX(Tabela1[[Ski Jumping - Men''s Individual Large Hill]:[Ski Jumping - Mixed Team Normal Hill]],MATCH(Table92[[#This Row],[Country]],Tabela1[Country], 0),0))</f>
        <v>0</v>
      </c>
      <c r="BL119" s="6">
        <f>SUM(INDEX(Tabela1[[Ski Mountaineering - Men''s Sprint]:[Ski Mountaineering - Mixed Relay]],MATCH(Table92[[#This Row],[Country]],Tabela1[Country], 0),0))</f>
        <v>0</v>
      </c>
      <c r="BM119" s="6">
        <f>SUM(INDEX(Tabela1[[Snowboarding - Men''s Big Air]:[Snowboarding - Mixed Team Snowboard Cross]],MATCH(Table92[[#This Row],[Country]],Tabela1[Country], 0),0))</f>
        <v>0</v>
      </c>
      <c r="BN119" s="6">
        <f>SUM(INDEX(Tabela1[[Speed Skating - Men''s 500m]:[Speed Skating - Women''s Team Pursuit]],MATCH(Table92[[#This Row],[Country]],Tabela1[Country], 0),0))</f>
        <v>0</v>
      </c>
      <c r="BO119" s="6" t="str">
        <f>SUBSTITUTE(INDEX(Table92[[#Headers],[Archery Quotas]:[Speed Skating Quotas]], MATCH(MAX(Table92[[#This Row],[Archery Quotas]:[Speed Skating Quotas]]), Table92[[#This Row],[Archery Quotas]:[Speed Skating Quotas]], 0))," Quotas","")</f>
        <v>Judo</v>
      </c>
      <c r="BP119" s="6">
        <f>SUM(Table92[[#This Row],[Summer Sports]:[Winter Sports]])</f>
        <v>2</v>
      </c>
      <c r="BQ119" s="6">
        <f>COUNTIF(Table92[[#This Row],[Archery Quotas]:[Wrestling Quotas]],"&lt;&gt;0")</f>
        <v>2</v>
      </c>
      <c r="BR119" s="6">
        <f>COUNTIF(Table92[[#This Row],[Alpine Skiing Quotas]:[Speed Skating Quotas]],"&lt;&gt;0")</f>
        <v>0</v>
      </c>
      <c r="BS119" s="4" t="s">
        <v>473</v>
      </c>
    </row>
    <row r="120" spans="1:71" x14ac:dyDescent="0.3">
      <c r="A120" s="6" t="s">
        <v>388</v>
      </c>
      <c r="B120" t="e" vm="130">
        <f>IF(ISBLANK(Table92[[#This Row],[Flag Link]]), "", _xlfn.IMAGE(Table92[[#This Row],[Flag Link]],1,1))</f>
        <v>#VALUE!</v>
      </c>
      <c r="C120" s="6">
        <f>SUM(Table92[[#This Row],[Archery Quotas]:[Speed Skating Quotas]])</f>
        <v>2</v>
      </c>
      <c r="D120" s="6">
        <f>SUM(INDEX(Tabela1[[Archery - Men''s Individual Recurve]:[Archery - Mixed Team Recurve]],MATCH(Table92[[#This Row],[Country]],Tabela1[Country], 0),0))</f>
        <v>0</v>
      </c>
      <c r="E120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20" s="6">
        <f>SUM(INDEX(Tabela1[[Artistic Swimming - Women''s Duet]:[Artistic Swimming - Women''s Team]],MATCH(Table92[[#This Row],[Country]],Tabela1[Country], 0),0))</f>
        <v>0</v>
      </c>
      <c r="G120" s="6">
        <f>SUM(INDEX(Tabela1[[Athletics - Men''s 100m]:[Athletics - Women''s Heptathlon]],MATCH(Table92[[#This Row],[Country]],Tabela1[Country], 0),0))</f>
        <v>0</v>
      </c>
      <c r="H120" s="6">
        <f>SUM(INDEX(Tabela1[[Badminton - Men''s Singles]:[Badminton - Mixed Doubles]],MATCH(Table92[[#This Row],[Country]],Tabela1[Country], 0),0))</f>
        <v>0</v>
      </c>
      <c r="I120" s="6">
        <f>SUM(INDEX(Tabela1[[Basketball - Men''s Tournament]:[Basketball - Women''s Tournament]],MATCH(Table92[[#This Row],[Country]],Tabela1[Country], 0),0))</f>
        <v>0</v>
      </c>
      <c r="J120" s="6">
        <f>SUM(INDEX(Tabela1[[3x3 Basketball - Men''s Tournament]:[3x3 Basketball - Women''s Tournament]],MATCH(Table92[[#This Row],[Country]],Tabela1[Country], 0),0))</f>
        <v>0</v>
      </c>
      <c r="K120" s="6">
        <f>SUM(INDEX(Tabela1[[Beach Volleyball - Men''s Tournament]:[Beach Volleyball - Women''s Tournament]],MATCH(Table92[[#This Row],[Country]],Tabela1[Country], 0),0))</f>
        <v>0</v>
      </c>
      <c r="L120" s="6">
        <f>SUM(INDEX(Tabela1[[Boxing - Men''s 51kg]:[Boxing - Women''s 75kg]],MATCH(Table92[[#This Row],[Country]],Tabela1[Country], 0),0))</f>
        <v>0</v>
      </c>
      <c r="M120" s="6">
        <f>SUM(INDEX(Tabela1[[Breaking - Men''s Individual]:[Breaking - Women''s Individual]],MATCH(Table92[[#This Row],[Country]],Tabela1[Country], 0),0))</f>
        <v>0</v>
      </c>
      <c r="N120" s="6">
        <f>SUM(INDEX(Tabela1[[Canoeing - Men''s C1 Slalom]:[Canoeing - Women''s Kayak Cross Slalom]],MATCH(Table92[[#This Row],[Country]],Tabela1[Country], 0),0))</f>
        <v>0</v>
      </c>
      <c r="O120" s="6">
        <f>SUM(INDEX(Tabela1[[Canoeing - Women''s C1 200m]:[Canoeing - Women''s K4 500m]],MATCH(Table92[[#This Row],[Country]],Tabela1[Country], 0),0))</f>
        <v>0</v>
      </c>
      <c r="P120" s="6">
        <f>SUM(INDEX(Tabela1[[Cycling - Men''s BMX Freestyle]:[Cycling - Women''s BMX Freestyle]],MATCH(Table92[[#This Row],[Country]],Tabela1[Country], 0),0))</f>
        <v>0</v>
      </c>
      <c r="Q120" s="6">
        <f>SUM(INDEX(Tabela1[[Cycling - Men''s BMX Racing]:[Cycling - Women''s BMX Racing]],MATCH(Table92[[#This Row],[Country]],Tabela1[Country], 0),0))</f>
        <v>0</v>
      </c>
      <c r="R120" s="6">
        <f>SUM(INDEX(Tabela1[[Cycling - Men''s Cross-Country]:[Cycling - Women''s Cross-Country]],MATCH(Table92[[#This Row],[Country]],Tabela1[Country], 0),0))</f>
        <v>0</v>
      </c>
      <c r="S120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20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20" s="6">
        <f>SUM(INDEX(Tabela1[[Diving - Men''s Springboard]:[Diving - Women''s Synchronized Platform]],MATCH(Table92[[#This Row],[Country]],Tabela1[Country], 0),0))</f>
        <v>0</v>
      </c>
      <c r="V120" s="6">
        <f>SUM(INDEX(Tabela1[[Equestrian - Individual Dressage]:[Equestrian - Team Dressage]],MATCH(Table92[[#This Row],[Country]],Tabela1[Country], 0),0))</f>
        <v>0</v>
      </c>
      <c r="W120" s="6">
        <f>SUM(INDEX(Tabela1[[Equestrian - Individual Eventing]:[Equestrian - Team Eventing]],MATCH(Table92[[#This Row],[Country]],Tabela1[Country], 0),0))</f>
        <v>0</v>
      </c>
      <c r="X120" s="6">
        <f>SUM(INDEX(Tabela1[[Equestrian - Individual Jumping]:[Equestrian - Team Jumping]],MATCH(Table92[[#This Row],[Country]],Tabela1[Country], 0),0))</f>
        <v>0</v>
      </c>
      <c r="Y120" s="6">
        <f>SUM(INDEX(Tabela1[[Fencing - Men''s Épée]:[Fencing - Women''s Team Sabre]],MATCH(Table92[[#This Row],[Country]],Tabela1[Country], 0),0))</f>
        <v>0</v>
      </c>
      <c r="Z120" s="6">
        <f>SUM(INDEX(Tabela1[[Field Hockey - Men''s Tournament]:[Field Hockey - Women''s Tournament]],MATCH(Table92[[#This Row],[Country]],Tabela1[Country], 0),0))</f>
        <v>0</v>
      </c>
      <c r="AA120" s="6">
        <f>SUM(INDEX(Tabela1[[Football - Men''s Tournament]:[Football - Women''s Tournament]],MATCH(Table92[[#This Row],[Country]],Tabela1[Country], 0),0))</f>
        <v>0</v>
      </c>
      <c r="AB120" s="6">
        <f>SUM(INDEX(Tabela1[[Golf - Men''s Individual]:[Golf - Women''s Individual]],MATCH(Table92[[#This Row],[Country]],Tabela1[Country], 0),0))</f>
        <v>0</v>
      </c>
      <c r="AC120" s="6">
        <f>SUM(INDEX(Tabela1[[Handball - Men''s Tournament]:[Handball - Women''s Tournament]],MATCH(Table92[[#This Row],[Country]],Tabela1[Country], 0),0))</f>
        <v>0</v>
      </c>
      <c r="AD120" s="6">
        <f>SUM(INDEX(Tabela1[[Judo - Men''s 60kg]:[Judo - Mixed Team]],MATCH(Table92[[#This Row],[Country]],Tabela1[Country], 0),0))</f>
        <v>1</v>
      </c>
      <c r="AE120" s="6">
        <f>SUM(INDEX(Tabela1[[Swimming - Men''s 10km Open Water]:[Swimming - Women''s 10km Open Water]],MATCH(Table92[[#This Row],[Country]],Tabela1[Country], 0),0))</f>
        <v>0</v>
      </c>
      <c r="AF120" s="6">
        <f>SUM(INDEX(Tabela1[[Modern Pentathlon - Men''s Individual]:[Modern Pentathlon - Women''s Individual]],MATCH(Table92[[#This Row],[Country]],Tabela1[Country], 0),0))</f>
        <v>0</v>
      </c>
      <c r="AG120" s="6">
        <f>SUM(INDEX(Tabela1[[Rhythmic Gymnastics - Women''s Individual All-Around]:[Rhythmic Gymnastics - Women''s Group All-Around]],MATCH(Table92[[#This Row],[Country]],Tabela1[Country], 0),0))</f>
        <v>0</v>
      </c>
      <c r="AH120" s="6">
        <f>SUM(INDEX(Tabela1[[Rowing - Men''s Single Sculls]:[Rowing - Women''s Lwt. Double Sculls]],MATCH(Table92[[#This Row],[Country]],Tabela1[Country], 0),0))</f>
        <v>0</v>
      </c>
      <c r="AI120" s="6">
        <f>SUM(INDEX(Tabela1[[Rugby Sevens - Men''s Tournament]:[Rugby Sevens - Women''s Tournament]],MATCH(Table92[[#This Row],[Country]],Tabela1[Country], 0),0))</f>
        <v>0</v>
      </c>
      <c r="AJ120" s="6">
        <f>SUM(INDEX(Tabela1[[Sailing - Mixed 470]:[Sailing - Mixed Nacra 17]],MATCH(Table92[[#This Row],[Country]],Tabela1[Country], 0),0))</f>
        <v>0</v>
      </c>
      <c r="AK120" s="6">
        <f>SUM(INDEX(Tabela1[[Shooting - Men''s 10m Air Pistol]:[Shooting - Women''s Trap]],MATCH(Table92[[#This Row],[Country]],Tabela1[Country], 0),0))</f>
        <v>0</v>
      </c>
      <c r="AL120" s="6">
        <f>SUM(INDEX(Tabela1[[Skateboarding - Men''s Park]:[Skateboarding - Women''s Street]],MATCH(Table92[[#This Row],[Country]],Tabela1[Country], 0),0))</f>
        <v>0</v>
      </c>
      <c r="AM120" s="6">
        <f>SUM(INDEX(Tabela1[[Sport Climbing - Men''s Boulder and Lead]:[Sport Climbing - Women''s Speed]],MATCH(Table92[[#This Row],[Country]],Tabela1[Country], 0),0))</f>
        <v>0</v>
      </c>
      <c r="AN120" s="6">
        <f>SUM(INDEX(Tabela1[[Surfing - Men''s Shortboard]:[Surfing - Women''s Shortboard]],MATCH(Table92[[#This Row],[Country]],Tabela1[Country], 0),0))</f>
        <v>0</v>
      </c>
      <c r="AO120" s="6">
        <f>SUM(INDEX(Tabela1[[Swimming - Men''s 50m Freestyle]:[Swimming - Mixed 4x100m Medley Relay]],MATCH(Table92[[#This Row],[Country]],Tabela1[Country], 0),0))</f>
        <v>0</v>
      </c>
      <c r="AP120" s="6">
        <f>SUM(INDEX(Tabela1[[Table Tennis - Men''s Singles]:[Table Tennis - Mixed Doubles]],MATCH(Table92[[#This Row],[Country]],Tabela1[Country], 0),0))</f>
        <v>0</v>
      </c>
      <c r="AQ120" s="6">
        <f>SUM(INDEX(Tabela1[[Taekwondo - Men''s 58kg]:[Taekwondo - Women''s +67kg]],MATCH(Table92[[#This Row],[Country]],Tabela1[Country], 0),0))</f>
        <v>1</v>
      </c>
      <c r="AR120" s="6">
        <f>SUM(INDEX(Tabela1[[Tennis - Men''s Singles]:[Tennis - Mixed Doubles]],MATCH(Table92[[#This Row],[Country]],Tabela1[Country], 0),0))</f>
        <v>0</v>
      </c>
      <c r="AS120" s="6">
        <f>SUM(INDEX(Tabela1[[Gymnastics - Men''s Trampoline]:[Gymnastics - Women''s Trampoline]],MATCH(Table92[[#This Row],[Country]],Tabela1[Country], 0),0))</f>
        <v>0</v>
      </c>
      <c r="AT120" s="6">
        <f>SUM(INDEX(Tabela1[[Triathlon - Men''s Individual]:[Triathlon - Mixed Relay]],MATCH(Table92[[#This Row],[Country]],Tabela1[Country], 0),0))</f>
        <v>0</v>
      </c>
      <c r="AU120" s="6">
        <f>SUM(INDEX(Tabela1[[Volleyball - Men''s Tournament]:[Volleyball - Women''s Tournament]],MATCH(Table92[[#This Row],[Country]],Tabela1[Country], 0),0))</f>
        <v>0</v>
      </c>
      <c r="AV120" s="6">
        <f>SUM(INDEX(Tabela1[[Water Polo - Men''s Tournament]:[Water Polo - Women''s Tournament]],MATCH(Table92[[#This Row],[Country]],Tabela1[Country], 0),0))</f>
        <v>0</v>
      </c>
      <c r="AW120" s="6">
        <f>SUM(INDEX(Tabela1[[Weightlifting - Men''s 61kg]:[Weightlifting - Women''s +81kg]],MATCH(Table92[[#This Row],[Country]],Tabela1[Country], 0),0))</f>
        <v>0</v>
      </c>
      <c r="AX120" s="6">
        <f>SUM(INDEX(Tabela1[[Wrestling - Men''s Freestyle 57kg]:[Wrestling - Women''s Freestyle 76kg]],MATCH(Table92[[#This Row],[Country]],Tabela1[Country], 0),0))</f>
        <v>0</v>
      </c>
      <c r="AY120" s="6">
        <f>SUM(INDEX(Tabela1[[Alpine Skiing - Men''s Downhill]:[Alpine Skiing - Women''s Team Combined]],MATCH(Table92[[#This Row],[Country]],Tabela1[Country], 0),0))</f>
        <v>0</v>
      </c>
      <c r="AZ120" s="6">
        <f>SUM(INDEX(Tabela1[[Biathlon - Men''s Individual]:[Biathlon - Mixed Relay]],MATCH(Table92[[#This Row],[Country]],Tabela1[Country], 0),0))</f>
        <v>0</v>
      </c>
      <c r="BA120" s="6">
        <f>SUM(INDEX(Tabela1[[Bobsleigh - Women''s Monobob]:[Bobsleigh - Men''s Four]],MATCH(Table92[[#This Row],[Country]],Tabela1[Country], 0),0))</f>
        <v>0</v>
      </c>
      <c r="BB120" s="6">
        <f>SUM(INDEX(Tabela1[[Cross-country skiing - Men''s Classical]:[Cross-country skiing - Women''s Team Sprint]],MATCH(Table92[[#This Row],[Country]],Tabela1[Country], 0),0))</f>
        <v>0</v>
      </c>
      <c r="BC120" s="6">
        <f>SUM(INDEX(Tabela1[[Curling - Men''s Tournament]:[Curling - Mixed Doubles]],MATCH(Table92[[#This Row],[Country]],Tabela1[Country], 0),0))</f>
        <v>0</v>
      </c>
      <c r="BD120" s="6">
        <f>SUM(INDEX(Tabela1[[Figure Skating - Men''s Singles]:[Figure Skating - Team Event]],MATCH(Table92[[#This Row],[Country]],Tabela1[Country], 0),0))</f>
        <v>0</v>
      </c>
      <c r="BE120" s="6">
        <f>SUM(INDEX(Tabela1[[Freestyle Skiing - Men''s Aerials]:[Freestyle Skiing - Women''s Slopestyle]],MATCH(Table92[[#This Row],[Country]],Tabela1[Country], 0),0))</f>
        <v>0</v>
      </c>
      <c r="BF120" s="6">
        <f>SUM(INDEX(Tabela1[[Ice Hockey - Men''s Tournament]:[Ice Hockey - Women''s Tournament]],MATCH(Table92[[#This Row],[Country]],Tabela1[Country], 0),0))</f>
        <v>0</v>
      </c>
      <c r="BG120" s="6">
        <f>SUM(INDEX(Tabela1[[Luge - Men''s Singles]:[Luge - Mixed Team Relay]],MATCH(Table92[[#This Row],[Country]],Tabela1[Country], 0),0))</f>
        <v>0</v>
      </c>
      <c r="BH120" s="6">
        <f>SUM(INDEX(Tabela1[[Nordic Combined - Men''s Individual]:[Nordic Combined - Men''s Team Sprint Large Hill]],MATCH(Table92[[#This Row],[Country]],Tabela1[Country], 0),0))</f>
        <v>0</v>
      </c>
      <c r="BI120" s="6">
        <f>SUM(INDEX(Tabela1[[Short track speed skating - Men''s 500m]:[Short track speed skating - Mixed 2000m Relay]],MATCH(Table92[[#This Row],[Country]],Tabela1[Country], 0),0))</f>
        <v>0</v>
      </c>
      <c r="BJ120" s="6">
        <f>SUM(INDEX(Tabela1[[Skeleton - Men''s Individual]:[Skeleton - Mixed Team]],MATCH(Table92[[#This Row],[Country]],Tabela1[Country], 0),0))</f>
        <v>0</v>
      </c>
      <c r="BK120" s="6">
        <f>SUM(INDEX(Tabela1[[Ski Jumping - Men''s Individual Large Hill]:[Ski Jumping - Mixed Team Normal Hill]],MATCH(Table92[[#This Row],[Country]],Tabela1[Country], 0),0))</f>
        <v>0</v>
      </c>
      <c r="BL120" s="6">
        <f>SUM(INDEX(Tabela1[[Ski Mountaineering - Men''s Sprint]:[Ski Mountaineering - Mixed Relay]],MATCH(Table92[[#This Row],[Country]],Tabela1[Country], 0),0))</f>
        <v>0</v>
      </c>
      <c r="BM120" s="6">
        <f>SUM(INDEX(Tabela1[[Snowboarding - Men''s Big Air]:[Snowboarding - Mixed Team Snowboard Cross]],MATCH(Table92[[#This Row],[Country]],Tabela1[Country], 0),0))</f>
        <v>0</v>
      </c>
      <c r="BN120" s="6">
        <f>SUM(INDEX(Tabela1[[Speed Skating - Men''s 500m]:[Speed Skating - Women''s Team Pursuit]],MATCH(Table92[[#This Row],[Country]],Tabela1[Country], 0),0))</f>
        <v>0</v>
      </c>
      <c r="BO120" s="6" t="str">
        <f>SUBSTITUTE(INDEX(Table92[[#Headers],[Archery Quotas]:[Speed Skating Quotas]], MATCH(MAX(Table92[[#This Row],[Archery Quotas]:[Speed Skating Quotas]]), Table92[[#This Row],[Archery Quotas]:[Speed Skating Quotas]], 0))," Quotas","")</f>
        <v>Judo</v>
      </c>
      <c r="BP120" s="6">
        <f>SUM(Table92[[#This Row],[Summer Sports]:[Winter Sports]])</f>
        <v>2</v>
      </c>
      <c r="BQ120" s="6">
        <f>COUNTIF(Table92[[#This Row],[Archery Quotas]:[Wrestling Quotas]],"&lt;&gt;0")</f>
        <v>2</v>
      </c>
      <c r="BR120" s="6">
        <f>COUNTIF(Table92[[#This Row],[Alpine Skiing Quotas]:[Speed Skating Quotas]],"&lt;&gt;0")</f>
        <v>0</v>
      </c>
      <c r="BS120" s="4" t="s">
        <v>389</v>
      </c>
    </row>
    <row r="121" spans="1:71" x14ac:dyDescent="0.3">
      <c r="A121" s="6" t="s">
        <v>430</v>
      </c>
      <c r="B121" t="e" vm="131">
        <f>IF(ISBLANK(Table92[[#This Row],[Flag Link]]), "", _xlfn.IMAGE(Table92[[#This Row],[Flag Link]],1,1))</f>
        <v>#VALUE!</v>
      </c>
      <c r="C121" s="6">
        <f>SUM(Table92[[#This Row],[Archery Quotas]:[Speed Skating Quotas]])</f>
        <v>2</v>
      </c>
      <c r="D121" s="6">
        <f>SUM(INDEX(Tabela1[[Archery - Men''s Individual Recurve]:[Archery - Mixed Team Recurve]],MATCH(Table92[[#This Row],[Country]],Tabela1[Country], 0),0))</f>
        <v>0</v>
      </c>
      <c r="E121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21" s="6">
        <f>SUM(INDEX(Tabela1[[Artistic Swimming - Women''s Duet]:[Artistic Swimming - Women''s Team]],MATCH(Table92[[#This Row],[Country]],Tabela1[Country], 0),0))</f>
        <v>0</v>
      </c>
      <c r="G121" s="6">
        <f>SUM(INDEX(Tabela1[[Athletics - Men''s 100m]:[Athletics - Women''s Heptathlon]],MATCH(Table92[[#This Row],[Country]],Tabela1[Country], 0),0))</f>
        <v>2</v>
      </c>
      <c r="H121" s="6">
        <f>SUM(INDEX(Tabela1[[Badminton - Men''s Singles]:[Badminton - Mixed Doubles]],MATCH(Table92[[#This Row],[Country]],Tabela1[Country], 0),0))</f>
        <v>0</v>
      </c>
      <c r="I121" s="6">
        <f>SUM(INDEX(Tabela1[[Basketball - Men''s Tournament]:[Basketball - Women''s Tournament]],MATCH(Table92[[#This Row],[Country]],Tabela1[Country], 0),0))</f>
        <v>0</v>
      </c>
      <c r="J121" s="6">
        <f>SUM(INDEX(Tabela1[[3x3 Basketball - Men''s Tournament]:[3x3 Basketball - Women''s Tournament]],MATCH(Table92[[#This Row],[Country]],Tabela1[Country], 0),0))</f>
        <v>0</v>
      </c>
      <c r="K121" s="6">
        <f>SUM(INDEX(Tabela1[[Beach Volleyball - Men''s Tournament]:[Beach Volleyball - Women''s Tournament]],MATCH(Table92[[#This Row],[Country]],Tabela1[Country], 0),0))</f>
        <v>0</v>
      </c>
      <c r="L121" s="6">
        <f>SUM(INDEX(Tabela1[[Boxing - Men''s 51kg]:[Boxing - Women''s 75kg]],MATCH(Table92[[#This Row],[Country]],Tabela1[Country], 0),0))</f>
        <v>0</v>
      </c>
      <c r="M121" s="6">
        <f>SUM(INDEX(Tabela1[[Breaking - Men''s Individual]:[Breaking - Women''s Individual]],MATCH(Table92[[#This Row],[Country]],Tabela1[Country], 0),0))</f>
        <v>0</v>
      </c>
      <c r="N121" s="6">
        <f>SUM(INDEX(Tabela1[[Canoeing - Men''s C1 Slalom]:[Canoeing - Women''s Kayak Cross Slalom]],MATCH(Table92[[#This Row],[Country]],Tabela1[Country], 0),0))</f>
        <v>0</v>
      </c>
      <c r="O121" s="6">
        <f>SUM(INDEX(Tabela1[[Canoeing - Women''s C1 200m]:[Canoeing - Women''s K4 500m]],MATCH(Table92[[#This Row],[Country]],Tabela1[Country], 0),0))</f>
        <v>0</v>
      </c>
      <c r="P121" s="6">
        <f>SUM(INDEX(Tabela1[[Cycling - Men''s BMX Freestyle]:[Cycling - Women''s BMX Freestyle]],MATCH(Table92[[#This Row],[Country]],Tabela1[Country], 0),0))</f>
        <v>0</v>
      </c>
      <c r="Q121" s="6">
        <f>SUM(INDEX(Tabela1[[Cycling - Men''s BMX Racing]:[Cycling - Women''s BMX Racing]],MATCH(Table92[[#This Row],[Country]],Tabela1[Country], 0),0))</f>
        <v>0</v>
      </c>
      <c r="R121" s="6">
        <f>SUM(INDEX(Tabela1[[Cycling - Men''s Cross-Country]:[Cycling - Women''s Cross-Country]],MATCH(Table92[[#This Row],[Country]],Tabela1[Country], 0),0))</f>
        <v>0</v>
      </c>
      <c r="S121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21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21" s="6">
        <f>SUM(INDEX(Tabela1[[Diving - Men''s Springboard]:[Diving - Women''s Synchronized Platform]],MATCH(Table92[[#This Row],[Country]],Tabela1[Country], 0),0))</f>
        <v>0</v>
      </c>
      <c r="V121" s="6">
        <f>SUM(INDEX(Tabela1[[Equestrian - Individual Dressage]:[Equestrian - Team Dressage]],MATCH(Table92[[#This Row],[Country]],Tabela1[Country], 0),0))</f>
        <v>0</v>
      </c>
      <c r="W121" s="6">
        <f>SUM(INDEX(Tabela1[[Equestrian - Individual Eventing]:[Equestrian - Team Eventing]],MATCH(Table92[[#This Row],[Country]],Tabela1[Country], 0),0))</f>
        <v>0</v>
      </c>
      <c r="X121" s="6">
        <f>SUM(INDEX(Tabela1[[Equestrian - Individual Jumping]:[Equestrian - Team Jumping]],MATCH(Table92[[#This Row],[Country]],Tabela1[Country], 0),0))</f>
        <v>0</v>
      </c>
      <c r="Y121" s="6">
        <f>SUM(INDEX(Tabela1[[Fencing - Men''s Épée]:[Fencing - Women''s Team Sabre]],MATCH(Table92[[#This Row],[Country]],Tabela1[Country], 0),0))</f>
        <v>0</v>
      </c>
      <c r="Z121" s="6">
        <f>SUM(INDEX(Tabela1[[Field Hockey - Men''s Tournament]:[Field Hockey - Women''s Tournament]],MATCH(Table92[[#This Row],[Country]],Tabela1[Country], 0),0))</f>
        <v>0</v>
      </c>
      <c r="AA121" s="6">
        <f>SUM(INDEX(Tabela1[[Football - Men''s Tournament]:[Football - Women''s Tournament]],MATCH(Table92[[#This Row],[Country]],Tabela1[Country], 0),0))</f>
        <v>0</v>
      </c>
      <c r="AB121" s="6">
        <f>SUM(INDEX(Tabela1[[Golf - Men''s Individual]:[Golf - Women''s Individual]],MATCH(Table92[[#This Row],[Country]],Tabela1[Country], 0),0))</f>
        <v>0</v>
      </c>
      <c r="AC121" s="6">
        <f>SUM(INDEX(Tabela1[[Handball - Men''s Tournament]:[Handball - Women''s Tournament]],MATCH(Table92[[#This Row],[Country]],Tabela1[Country], 0),0))</f>
        <v>0</v>
      </c>
      <c r="AD121" s="6">
        <f>SUM(INDEX(Tabela1[[Judo - Men''s 60kg]:[Judo - Mixed Team]],MATCH(Table92[[#This Row],[Country]],Tabela1[Country], 0),0))</f>
        <v>0</v>
      </c>
      <c r="AE121" s="6">
        <f>SUM(INDEX(Tabela1[[Swimming - Men''s 10km Open Water]:[Swimming - Women''s 10km Open Water]],MATCH(Table92[[#This Row],[Country]],Tabela1[Country], 0),0))</f>
        <v>0</v>
      </c>
      <c r="AF121" s="6">
        <f>SUM(INDEX(Tabela1[[Modern Pentathlon - Men''s Individual]:[Modern Pentathlon - Women''s Individual]],MATCH(Table92[[#This Row],[Country]],Tabela1[Country], 0),0))</f>
        <v>0</v>
      </c>
      <c r="AG121" s="6">
        <f>SUM(INDEX(Tabela1[[Rhythmic Gymnastics - Women''s Individual All-Around]:[Rhythmic Gymnastics - Women''s Group All-Around]],MATCH(Table92[[#This Row],[Country]],Tabela1[Country], 0),0))</f>
        <v>0</v>
      </c>
      <c r="AH121" s="6">
        <f>SUM(INDEX(Tabela1[[Rowing - Men''s Single Sculls]:[Rowing - Women''s Lwt. Double Sculls]],MATCH(Table92[[#This Row],[Country]],Tabela1[Country], 0),0))</f>
        <v>0</v>
      </c>
      <c r="AI121" s="6">
        <f>SUM(INDEX(Tabela1[[Rugby Sevens - Men''s Tournament]:[Rugby Sevens - Women''s Tournament]],MATCH(Table92[[#This Row],[Country]],Tabela1[Country], 0),0))</f>
        <v>0</v>
      </c>
      <c r="AJ121" s="6">
        <f>SUM(INDEX(Tabela1[[Sailing - Mixed 470]:[Sailing - Mixed Nacra 17]],MATCH(Table92[[#This Row],[Country]],Tabela1[Country], 0),0))</f>
        <v>0</v>
      </c>
      <c r="AK121" s="6">
        <f>SUM(INDEX(Tabela1[[Shooting - Men''s 10m Air Pistol]:[Shooting - Women''s Trap]],MATCH(Table92[[#This Row],[Country]],Tabela1[Country], 0),0))</f>
        <v>0</v>
      </c>
      <c r="AL121" s="6">
        <f>SUM(INDEX(Tabela1[[Skateboarding - Men''s Park]:[Skateboarding - Women''s Street]],MATCH(Table92[[#This Row],[Country]],Tabela1[Country], 0),0))</f>
        <v>0</v>
      </c>
      <c r="AM121" s="6">
        <f>SUM(INDEX(Tabela1[[Sport Climbing - Men''s Boulder and Lead]:[Sport Climbing - Women''s Speed]],MATCH(Table92[[#This Row],[Country]],Tabela1[Country], 0),0))</f>
        <v>0</v>
      </c>
      <c r="AN121" s="6">
        <f>SUM(INDEX(Tabela1[[Surfing - Men''s Shortboard]:[Surfing - Women''s Shortboard]],MATCH(Table92[[#This Row],[Country]],Tabela1[Country], 0),0))</f>
        <v>0</v>
      </c>
      <c r="AO121" s="6">
        <f>SUM(INDEX(Tabela1[[Swimming - Men''s 50m Freestyle]:[Swimming - Mixed 4x100m Medley Relay]],MATCH(Table92[[#This Row],[Country]],Tabela1[Country], 0),0))</f>
        <v>0</v>
      </c>
      <c r="AP121" s="6">
        <f>SUM(INDEX(Tabela1[[Table Tennis - Men''s Singles]:[Table Tennis - Mixed Doubles]],MATCH(Table92[[#This Row],[Country]],Tabela1[Country], 0),0))</f>
        <v>0</v>
      </c>
      <c r="AQ121" s="6">
        <f>SUM(INDEX(Tabela1[[Taekwondo - Men''s 58kg]:[Taekwondo - Women''s +67kg]],MATCH(Table92[[#This Row],[Country]],Tabela1[Country], 0),0))</f>
        <v>0</v>
      </c>
      <c r="AR121" s="6">
        <f>SUM(INDEX(Tabela1[[Tennis - Men''s Singles]:[Tennis - Mixed Doubles]],MATCH(Table92[[#This Row],[Country]],Tabela1[Country], 0),0))</f>
        <v>0</v>
      </c>
      <c r="AS121" s="6">
        <f>SUM(INDEX(Tabela1[[Gymnastics - Men''s Trampoline]:[Gymnastics - Women''s Trampoline]],MATCH(Table92[[#This Row],[Country]],Tabela1[Country], 0),0))</f>
        <v>0</v>
      </c>
      <c r="AT121" s="6">
        <f>SUM(INDEX(Tabela1[[Triathlon - Men''s Individual]:[Triathlon - Mixed Relay]],MATCH(Table92[[#This Row],[Country]],Tabela1[Country], 0),0))</f>
        <v>0</v>
      </c>
      <c r="AU121" s="6">
        <f>SUM(INDEX(Tabela1[[Volleyball - Men''s Tournament]:[Volleyball - Women''s Tournament]],MATCH(Table92[[#This Row],[Country]],Tabela1[Country], 0),0))</f>
        <v>0</v>
      </c>
      <c r="AV121" s="6">
        <f>SUM(INDEX(Tabela1[[Water Polo - Men''s Tournament]:[Water Polo - Women''s Tournament]],MATCH(Table92[[#This Row],[Country]],Tabela1[Country], 0),0))</f>
        <v>0</v>
      </c>
      <c r="AW121" s="6">
        <f>SUM(INDEX(Tabela1[[Weightlifting - Men''s 61kg]:[Weightlifting - Women''s +81kg]],MATCH(Table92[[#This Row],[Country]],Tabela1[Country], 0),0))</f>
        <v>0</v>
      </c>
      <c r="AX121" s="6">
        <f>SUM(INDEX(Tabela1[[Wrestling - Men''s Freestyle 57kg]:[Wrestling - Women''s Freestyle 76kg]],MATCH(Table92[[#This Row],[Country]],Tabela1[Country], 0),0))</f>
        <v>0</v>
      </c>
      <c r="AY121" s="6">
        <f>SUM(INDEX(Tabela1[[Alpine Skiing - Men''s Downhill]:[Alpine Skiing - Women''s Team Combined]],MATCH(Table92[[#This Row],[Country]],Tabela1[Country], 0),0))</f>
        <v>0</v>
      </c>
      <c r="AZ121" s="6">
        <f>SUM(INDEX(Tabela1[[Biathlon - Men''s Individual]:[Biathlon - Mixed Relay]],MATCH(Table92[[#This Row],[Country]],Tabela1[Country], 0),0))</f>
        <v>0</v>
      </c>
      <c r="BA121" s="6">
        <f>SUM(INDEX(Tabela1[[Bobsleigh - Women''s Monobob]:[Bobsleigh - Men''s Four]],MATCH(Table92[[#This Row],[Country]],Tabela1[Country], 0),0))</f>
        <v>0</v>
      </c>
      <c r="BB121" s="6">
        <f>SUM(INDEX(Tabela1[[Cross-country skiing - Men''s Classical]:[Cross-country skiing - Women''s Team Sprint]],MATCH(Table92[[#This Row],[Country]],Tabela1[Country], 0),0))</f>
        <v>0</v>
      </c>
      <c r="BC121" s="6">
        <f>SUM(INDEX(Tabela1[[Curling - Men''s Tournament]:[Curling - Mixed Doubles]],MATCH(Table92[[#This Row],[Country]],Tabela1[Country], 0),0))</f>
        <v>0</v>
      </c>
      <c r="BD121" s="6">
        <f>SUM(INDEX(Tabela1[[Figure Skating - Men''s Singles]:[Figure Skating - Team Event]],MATCH(Table92[[#This Row],[Country]],Tabela1[Country], 0),0))</f>
        <v>0</v>
      </c>
      <c r="BE121" s="6">
        <f>SUM(INDEX(Tabela1[[Freestyle Skiing - Men''s Aerials]:[Freestyle Skiing - Women''s Slopestyle]],MATCH(Table92[[#This Row],[Country]],Tabela1[Country], 0),0))</f>
        <v>0</v>
      </c>
      <c r="BF121" s="6">
        <f>SUM(INDEX(Tabela1[[Ice Hockey - Men''s Tournament]:[Ice Hockey - Women''s Tournament]],MATCH(Table92[[#This Row],[Country]],Tabela1[Country], 0),0))</f>
        <v>0</v>
      </c>
      <c r="BG121" s="6">
        <f>SUM(INDEX(Tabela1[[Luge - Men''s Singles]:[Luge - Mixed Team Relay]],MATCH(Table92[[#This Row],[Country]],Tabela1[Country], 0),0))</f>
        <v>0</v>
      </c>
      <c r="BH121" s="6">
        <f>SUM(INDEX(Tabela1[[Nordic Combined - Men''s Individual]:[Nordic Combined - Men''s Team Sprint Large Hill]],MATCH(Table92[[#This Row],[Country]],Tabela1[Country], 0),0))</f>
        <v>0</v>
      </c>
      <c r="BI121" s="6">
        <f>SUM(INDEX(Tabela1[[Short track speed skating - Men''s 500m]:[Short track speed skating - Mixed 2000m Relay]],MATCH(Table92[[#This Row],[Country]],Tabela1[Country], 0),0))</f>
        <v>0</v>
      </c>
      <c r="BJ121" s="6">
        <f>SUM(INDEX(Tabela1[[Skeleton - Men''s Individual]:[Skeleton - Mixed Team]],MATCH(Table92[[#This Row],[Country]],Tabela1[Country], 0),0))</f>
        <v>0</v>
      </c>
      <c r="BK121" s="6">
        <f>SUM(INDEX(Tabela1[[Ski Jumping - Men''s Individual Large Hill]:[Ski Jumping - Mixed Team Normal Hill]],MATCH(Table92[[#This Row],[Country]],Tabela1[Country], 0),0))</f>
        <v>0</v>
      </c>
      <c r="BL121" s="6">
        <f>SUM(INDEX(Tabela1[[Ski Mountaineering - Men''s Sprint]:[Ski Mountaineering - Mixed Relay]],MATCH(Table92[[#This Row],[Country]],Tabela1[Country], 0),0))</f>
        <v>0</v>
      </c>
      <c r="BM121" s="6">
        <f>SUM(INDEX(Tabela1[[Snowboarding - Men''s Big Air]:[Snowboarding - Mixed Team Snowboard Cross]],MATCH(Table92[[#This Row],[Country]],Tabela1[Country], 0),0))</f>
        <v>0</v>
      </c>
      <c r="BN121" s="6">
        <f>SUM(INDEX(Tabela1[[Speed Skating - Men''s 500m]:[Speed Skating - Women''s Team Pursuit]],MATCH(Table92[[#This Row],[Country]],Tabela1[Country], 0),0))</f>
        <v>0</v>
      </c>
      <c r="BO121" s="6" t="str">
        <f>SUBSTITUTE(INDEX(Table92[[#Headers],[Archery Quotas]:[Speed Skating Quotas]], MATCH(MAX(Table92[[#This Row],[Archery Quotas]:[Speed Skating Quotas]]), Table92[[#This Row],[Archery Quotas]:[Speed Skating Quotas]], 0))," Quotas","")</f>
        <v>Athletics</v>
      </c>
      <c r="BP121" s="6">
        <f>SUM(Table92[[#This Row],[Summer Sports]:[Winter Sports]])</f>
        <v>1</v>
      </c>
      <c r="BQ121" s="6">
        <f>COUNTIF(Table92[[#This Row],[Archery Quotas]:[Wrestling Quotas]],"&lt;&gt;0")</f>
        <v>1</v>
      </c>
      <c r="BR121" s="6">
        <f>COUNTIF(Table92[[#This Row],[Alpine Skiing Quotas]:[Speed Skating Quotas]],"&lt;&gt;0")</f>
        <v>0</v>
      </c>
      <c r="BS121" s="4" t="s">
        <v>431</v>
      </c>
    </row>
    <row r="122" spans="1:71" x14ac:dyDescent="0.3">
      <c r="A122" s="6" t="s">
        <v>438</v>
      </c>
      <c r="B122" t="e" vm="122">
        <f>IF(ISBLANK(Table92[[#This Row],[Flag Link]]), "", _xlfn.IMAGE(Table92[[#This Row],[Flag Link]],1,1))</f>
        <v>#VALUE!</v>
      </c>
      <c r="C122" s="6">
        <f>SUM(Table92[[#This Row],[Archery Quotas]:[Speed Skating Quotas]])</f>
        <v>2</v>
      </c>
      <c r="D122" s="6">
        <f>SUM(INDEX(Tabela1[[Archery - Men''s Individual Recurve]:[Archery - Mixed Team Recurve]],MATCH(Table92[[#This Row],[Country]],Tabela1[Country], 0),0))</f>
        <v>0</v>
      </c>
      <c r="E122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22" s="6">
        <f>SUM(INDEX(Tabela1[[Artistic Swimming - Women''s Duet]:[Artistic Swimming - Women''s Team]],MATCH(Table92[[#This Row],[Country]],Tabela1[Country], 0),0))</f>
        <v>0</v>
      </c>
      <c r="G122" s="6">
        <f>SUM(INDEX(Tabela1[[Athletics - Men''s 100m]:[Athletics - Women''s Heptathlon]],MATCH(Table92[[#This Row],[Country]],Tabela1[Country], 0),0))</f>
        <v>0</v>
      </c>
      <c r="H122" s="6">
        <f>SUM(INDEX(Tabela1[[Badminton - Men''s Singles]:[Badminton - Mixed Doubles]],MATCH(Table92[[#This Row],[Country]],Tabela1[Country], 0),0))</f>
        <v>0</v>
      </c>
      <c r="I122" s="6">
        <f>SUM(INDEX(Tabela1[[Basketball - Men''s Tournament]:[Basketball - Women''s Tournament]],MATCH(Table92[[#This Row],[Country]],Tabela1[Country], 0),0))</f>
        <v>0</v>
      </c>
      <c r="J122" s="6">
        <f>SUM(INDEX(Tabela1[[3x3 Basketball - Men''s Tournament]:[3x3 Basketball - Women''s Tournament]],MATCH(Table92[[#This Row],[Country]],Tabela1[Country], 0),0))</f>
        <v>0</v>
      </c>
      <c r="K122" s="6">
        <f>SUM(INDEX(Tabela1[[Beach Volleyball - Men''s Tournament]:[Beach Volleyball - Women''s Tournament]],MATCH(Table92[[#This Row],[Country]],Tabela1[Country], 0),0))</f>
        <v>0</v>
      </c>
      <c r="L122" s="6">
        <f>SUM(INDEX(Tabela1[[Boxing - Men''s 51kg]:[Boxing - Women''s 75kg]],MATCH(Table92[[#This Row],[Country]],Tabela1[Country], 0),0))</f>
        <v>0</v>
      </c>
      <c r="M122" s="6">
        <f>SUM(INDEX(Tabela1[[Breaking - Men''s Individual]:[Breaking - Women''s Individual]],MATCH(Table92[[#This Row],[Country]],Tabela1[Country], 0),0))</f>
        <v>0</v>
      </c>
      <c r="N122" s="6">
        <f>SUM(INDEX(Tabela1[[Canoeing - Men''s C1 Slalom]:[Canoeing - Women''s Kayak Cross Slalom]],MATCH(Table92[[#This Row],[Country]],Tabela1[Country], 0),0))</f>
        <v>0</v>
      </c>
      <c r="O122" s="6">
        <f>SUM(INDEX(Tabela1[[Canoeing - Women''s C1 200m]:[Canoeing - Women''s K4 500m]],MATCH(Table92[[#This Row],[Country]],Tabela1[Country], 0),0))</f>
        <v>0</v>
      </c>
      <c r="P122" s="6">
        <f>SUM(INDEX(Tabela1[[Cycling - Men''s BMX Freestyle]:[Cycling - Women''s BMX Freestyle]],MATCH(Table92[[#This Row],[Country]],Tabela1[Country], 0),0))</f>
        <v>0</v>
      </c>
      <c r="Q122" s="6">
        <f>SUM(INDEX(Tabela1[[Cycling - Men''s BMX Racing]:[Cycling - Women''s BMX Racing]],MATCH(Table92[[#This Row],[Country]],Tabela1[Country], 0),0))</f>
        <v>0</v>
      </c>
      <c r="R122" s="6">
        <f>SUM(INDEX(Tabela1[[Cycling - Men''s Cross-Country]:[Cycling - Women''s Cross-Country]],MATCH(Table92[[#This Row],[Country]],Tabela1[Country], 0),0))</f>
        <v>0</v>
      </c>
      <c r="S122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22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22" s="6">
        <f>SUM(INDEX(Tabela1[[Diving - Men''s Springboard]:[Diving - Women''s Synchronized Platform]],MATCH(Table92[[#This Row],[Country]],Tabela1[Country], 0),0))</f>
        <v>0</v>
      </c>
      <c r="V122" s="6">
        <f>SUM(INDEX(Tabela1[[Equestrian - Individual Dressage]:[Equestrian - Team Dressage]],MATCH(Table92[[#This Row],[Country]],Tabela1[Country], 0),0))</f>
        <v>0</v>
      </c>
      <c r="W122" s="6">
        <f>SUM(INDEX(Tabela1[[Equestrian - Individual Eventing]:[Equestrian - Team Eventing]],MATCH(Table92[[#This Row],[Country]],Tabela1[Country], 0),0))</f>
        <v>0</v>
      </c>
      <c r="X122" s="6">
        <f>SUM(INDEX(Tabela1[[Equestrian - Individual Jumping]:[Equestrian - Team Jumping]],MATCH(Table92[[#This Row],[Country]],Tabela1[Country], 0),0))</f>
        <v>0</v>
      </c>
      <c r="Y122" s="6">
        <f>SUM(INDEX(Tabela1[[Fencing - Men''s Épée]:[Fencing - Women''s Team Sabre]],MATCH(Table92[[#This Row],[Country]],Tabela1[Country], 0),0))</f>
        <v>0</v>
      </c>
      <c r="Z122" s="6">
        <f>SUM(INDEX(Tabela1[[Field Hockey - Men''s Tournament]:[Field Hockey - Women''s Tournament]],MATCH(Table92[[#This Row],[Country]],Tabela1[Country], 0),0))</f>
        <v>0</v>
      </c>
      <c r="AA122" s="6">
        <f>SUM(INDEX(Tabela1[[Football - Men''s Tournament]:[Football - Women''s Tournament]],MATCH(Table92[[#This Row],[Country]],Tabela1[Country], 0),0))</f>
        <v>0</v>
      </c>
      <c r="AB122" s="6">
        <f>SUM(INDEX(Tabela1[[Golf - Men''s Individual]:[Golf - Women''s Individual]],MATCH(Table92[[#This Row],[Country]],Tabela1[Country], 0),0))</f>
        <v>0</v>
      </c>
      <c r="AC122" s="6">
        <f>SUM(INDEX(Tabela1[[Handball - Men''s Tournament]:[Handball - Women''s Tournament]],MATCH(Table92[[#This Row],[Country]],Tabela1[Country], 0),0))</f>
        <v>0</v>
      </c>
      <c r="AD122" s="6">
        <f>SUM(INDEX(Tabela1[[Judo - Men''s 60kg]:[Judo - Mixed Team]],MATCH(Table92[[#This Row],[Country]],Tabela1[Country], 0),0))</f>
        <v>0</v>
      </c>
      <c r="AE122" s="6">
        <f>SUM(INDEX(Tabela1[[Swimming - Men''s 10km Open Water]:[Swimming - Women''s 10km Open Water]],MATCH(Table92[[#This Row],[Country]],Tabela1[Country], 0),0))</f>
        <v>0</v>
      </c>
      <c r="AF122" s="6">
        <f>SUM(INDEX(Tabela1[[Modern Pentathlon - Men''s Individual]:[Modern Pentathlon - Women''s Individual]],MATCH(Table92[[#This Row],[Country]],Tabela1[Country], 0),0))</f>
        <v>0</v>
      </c>
      <c r="AG122" s="6">
        <f>SUM(INDEX(Tabela1[[Rhythmic Gymnastics - Women''s Individual All-Around]:[Rhythmic Gymnastics - Women''s Group All-Around]],MATCH(Table92[[#This Row],[Country]],Tabela1[Country], 0),0))</f>
        <v>0</v>
      </c>
      <c r="AH122" s="6">
        <f>SUM(INDEX(Tabela1[[Rowing - Men''s Single Sculls]:[Rowing - Women''s Lwt. Double Sculls]],MATCH(Table92[[#This Row],[Country]],Tabela1[Country], 0),0))</f>
        <v>1</v>
      </c>
      <c r="AI122" s="6">
        <f>SUM(INDEX(Tabela1[[Rugby Sevens - Men''s Tournament]:[Rugby Sevens - Women''s Tournament]],MATCH(Table92[[#This Row],[Country]],Tabela1[Country], 0),0))</f>
        <v>0</v>
      </c>
      <c r="AJ122" s="6">
        <f>SUM(INDEX(Tabela1[[Sailing - Mixed 470]:[Sailing - Mixed Nacra 17]],MATCH(Table92[[#This Row],[Country]],Tabela1[Country], 0),0))</f>
        <v>0</v>
      </c>
      <c r="AK122" s="6">
        <f>SUM(INDEX(Tabela1[[Shooting - Men''s 10m Air Pistol]:[Shooting - Women''s Trap]],MATCH(Table92[[#This Row],[Country]],Tabela1[Country], 0),0))</f>
        <v>0</v>
      </c>
      <c r="AL122" s="6">
        <f>SUM(INDEX(Tabela1[[Skateboarding - Men''s Park]:[Skateboarding - Women''s Street]],MATCH(Table92[[#This Row],[Country]],Tabela1[Country], 0),0))</f>
        <v>0</v>
      </c>
      <c r="AM122" s="6">
        <f>SUM(INDEX(Tabela1[[Sport Climbing - Men''s Boulder and Lead]:[Sport Climbing - Women''s Speed]],MATCH(Table92[[#This Row],[Country]],Tabela1[Country], 0),0))</f>
        <v>0</v>
      </c>
      <c r="AN122" s="6">
        <f>SUM(INDEX(Tabela1[[Surfing - Men''s Shortboard]:[Surfing - Women''s Shortboard]],MATCH(Table92[[#This Row],[Country]],Tabela1[Country], 0),0))</f>
        <v>0</v>
      </c>
      <c r="AO122" s="6">
        <f>SUM(INDEX(Tabela1[[Swimming - Men''s 50m Freestyle]:[Swimming - Mixed 4x100m Medley Relay]],MATCH(Table92[[#This Row],[Country]],Tabela1[Country], 0),0))</f>
        <v>1</v>
      </c>
      <c r="AP122" s="6">
        <f>SUM(INDEX(Tabela1[[Table Tennis - Men''s Singles]:[Table Tennis - Mixed Doubles]],MATCH(Table92[[#This Row],[Country]],Tabela1[Country], 0),0))</f>
        <v>0</v>
      </c>
      <c r="AQ122" s="6">
        <f>SUM(INDEX(Tabela1[[Taekwondo - Men''s 58kg]:[Taekwondo - Women''s +67kg]],MATCH(Table92[[#This Row],[Country]],Tabela1[Country], 0),0))</f>
        <v>0</v>
      </c>
      <c r="AR122" s="6">
        <f>SUM(INDEX(Tabela1[[Tennis - Men''s Singles]:[Tennis - Mixed Doubles]],MATCH(Table92[[#This Row],[Country]],Tabela1[Country], 0),0))</f>
        <v>0</v>
      </c>
      <c r="AS122" s="6">
        <f>SUM(INDEX(Tabela1[[Gymnastics - Men''s Trampoline]:[Gymnastics - Women''s Trampoline]],MATCH(Table92[[#This Row],[Country]],Tabela1[Country], 0),0))</f>
        <v>0</v>
      </c>
      <c r="AT122" s="6">
        <f>SUM(INDEX(Tabela1[[Triathlon - Men''s Individual]:[Triathlon - Mixed Relay]],MATCH(Table92[[#This Row],[Country]],Tabela1[Country], 0),0))</f>
        <v>0</v>
      </c>
      <c r="AU122" s="6">
        <f>SUM(INDEX(Tabela1[[Volleyball - Men''s Tournament]:[Volleyball - Women''s Tournament]],MATCH(Table92[[#This Row],[Country]],Tabela1[Country], 0),0))</f>
        <v>0</v>
      </c>
      <c r="AV122" s="6">
        <f>SUM(INDEX(Tabela1[[Water Polo - Men''s Tournament]:[Water Polo - Women''s Tournament]],MATCH(Table92[[#This Row],[Country]],Tabela1[Country], 0),0))</f>
        <v>0</v>
      </c>
      <c r="AW122" s="6">
        <f>SUM(INDEX(Tabela1[[Weightlifting - Men''s 61kg]:[Weightlifting - Women''s +81kg]],MATCH(Table92[[#This Row],[Country]],Tabela1[Country], 0),0))</f>
        <v>0</v>
      </c>
      <c r="AX122" s="6">
        <f>SUM(INDEX(Tabela1[[Wrestling - Men''s Freestyle 57kg]:[Wrestling - Women''s Freestyle 76kg]],MATCH(Table92[[#This Row],[Country]],Tabela1[Country], 0),0))</f>
        <v>0</v>
      </c>
      <c r="AY122" s="6">
        <f>SUM(INDEX(Tabela1[[Alpine Skiing - Men''s Downhill]:[Alpine Skiing - Women''s Team Combined]],MATCH(Table92[[#This Row],[Country]],Tabela1[Country], 0),0))</f>
        <v>0</v>
      </c>
      <c r="AZ122" s="6">
        <f>SUM(INDEX(Tabela1[[Biathlon - Men''s Individual]:[Biathlon - Mixed Relay]],MATCH(Table92[[#This Row],[Country]],Tabela1[Country], 0),0))</f>
        <v>0</v>
      </c>
      <c r="BA122" s="6">
        <f>SUM(INDEX(Tabela1[[Bobsleigh - Women''s Monobob]:[Bobsleigh - Men''s Four]],MATCH(Table92[[#This Row],[Country]],Tabela1[Country], 0),0))</f>
        <v>0</v>
      </c>
      <c r="BB122" s="6">
        <f>SUM(INDEX(Tabela1[[Cross-country skiing - Men''s Classical]:[Cross-country skiing - Women''s Team Sprint]],MATCH(Table92[[#This Row],[Country]],Tabela1[Country], 0),0))</f>
        <v>0</v>
      </c>
      <c r="BC122" s="6">
        <f>SUM(INDEX(Tabela1[[Curling - Men''s Tournament]:[Curling - Mixed Doubles]],MATCH(Table92[[#This Row],[Country]],Tabela1[Country], 0),0))</f>
        <v>0</v>
      </c>
      <c r="BD122" s="6">
        <f>SUM(INDEX(Tabela1[[Figure Skating - Men''s Singles]:[Figure Skating - Team Event]],MATCH(Table92[[#This Row],[Country]],Tabela1[Country], 0),0))</f>
        <v>0</v>
      </c>
      <c r="BE122" s="6">
        <f>SUM(INDEX(Tabela1[[Freestyle Skiing - Men''s Aerials]:[Freestyle Skiing - Women''s Slopestyle]],MATCH(Table92[[#This Row],[Country]],Tabela1[Country], 0),0))</f>
        <v>0</v>
      </c>
      <c r="BF122" s="6">
        <f>SUM(INDEX(Tabela1[[Ice Hockey - Men''s Tournament]:[Ice Hockey - Women''s Tournament]],MATCH(Table92[[#This Row],[Country]],Tabela1[Country], 0),0))</f>
        <v>0</v>
      </c>
      <c r="BG122" s="6">
        <f>SUM(INDEX(Tabela1[[Luge - Men''s Singles]:[Luge - Mixed Team Relay]],MATCH(Table92[[#This Row],[Country]],Tabela1[Country], 0),0))</f>
        <v>0</v>
      </c>
      <c r="BH122" s="6">
        <f>SUM(INDEX(Tabela1[[Nordic Combined - Men''s Individual]:[Nordic Combined - Men''s Team Sprint Large Hill]],MATCH(Table92[[#This Row],[Country]],Tabela1[Country], 0),0))</f>
        <v>0</v>
      </c>
      <c r="BI122" s="6">
        <f>SUM(INDEX(Tabela1[[Short track speed skating - Men''s 500m]:[Short track speed skating - Mixed 2000m Relay]],MATCH(Table92[[#This Row],[Country]],Tabela1[Country], 0),0))</f>
        <v>0</v>
      </c>
      <c r="BJ122" s="6">
        <f>SUM(INDEX(Tabela1[[Skeleton - Men''s Individual]:[Skeleton - Mixed Team]],MATCH(Table92[[#This Row],[Country]],Tabela1[Country], 0),0))</f>
        <v>0</v>
      </c>
      <c r="BK122" s="6">
        <f>SUM(INDEX(Tabela1[[Ski Jumping - Men''s Individual Large Hill]:[Ski Jumping - Mixed Team Normal Hill]],MATCH(Table92[[#This Row],[Country]],Tabela1[Country], 0),0))</f>
        <v>0</v>
      </c>
      <c r="BL122" s="6">
        <f>SUM(INDEX(Tabela1[[Ski Mountaineering - Men''s Sprint]:[Ski Mountaineering - Mixed Relay]],MATCH(Table92[[#This Row],[Country]],Tabela1[Country], 0),0))</f>
        <v>0</v>
      </c>
      <c r="BM122" s="6">
        <f>SUM(INDEX(Tabela1[[Snowboarding - Men''s Big Air]:[Snowboarding - Mixed Team Snowboard Cross]],MATCH(Table92[[#This Row],[Country]],Tabela1[Country], 0),0))</f>
        <v>0</v>
      </c>
      <c r="BN122" s="6">
        <f>SUM(INDEX(Tabela1[[Speed Skating - Men''s 500m]:[Speed Skating - Women''s Team Pursuit]],MATCH(Table92[[#This Row],[Country]],Tabela1[Country], 0),0))</f>
        <v>0</v>
      </c>
      <c r="BO122" s="6" t="str">
        <f>SUBSTITUTE(INDEX(Table92[[#Headers],[Archery Quotas]:[Speed Skating Quotas]], MATCH(MAX(Table92[[#This Row],[Archery Quotas]:[Speed Skating Quotas]]), Table92[[#This Row],[Archery Quotas]:[Speed Skating Quotas]], 0))," Quotas","")</f>
        <v>Rowing</v>
      </c>
      <c r="BP122" s="6">
        <f>SUM(Table92[[#This Row],[Summer Sports]:[Winter Sports]])</f>
        <v>2</v>
      </c>
      <c r="BQ122" s="6">
        <f>COUNTIF(Table92[[#This Row],[Archery Quotas]:[Wrestling Quotas]],"&lt;&gt;0")</f>
        <v>2</v>
      </c>
      <c r="BR122" s="6">
        <f>COUNTIF(Table92[[#This Row],[Alpine Skiing Quotas]:[Speed Skating Quotas]],"&lt;&gt;0")</f>
        <v>0</v>
      </c>
      <c r="BS122" s="4" t="s">
        <v>439</v>
      </c>
    </row>
    <row r="123" spans="1:71" x14ac:dyDescent="0.3">
      <c r="A123" s="6" t="s">
        <v>618</v>
      </c>
      <c r="B123" t="e" vm="116">
        <f>IF(ISBLANK(Table92[[#This Row],[Flag Link]]), "", _xlfn.IMAGE(Table92[[#This Row],[Flag Link]],1,1))</f>
        <v>#VALUE!</v>
      </c>
      <c r="C123" s="6">
        <f>SUM(Table92[[#This Row],[Archery Quotas]:[Speed Skating Quotas]])</f>
        <v>2</v>
      </c>
      <c r="D123" s="6">
        <f>SUM(INDEX(Tabela1[[Archery - Men''s Individual Recurve]:[Archery - Mixed Team Recurve]],MATCH(Table92[[#This Row],[Country]],Tabela1[Country], 0),0))</f>
        <v>0</v>
      </c>
      <c r="E123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23" s="6">
        <f>SUM(INDEX(Tabela1[[Artistic Swimming - Women''s Duet]:[Artistic Swimming - Women''s Team]],MATCH(Table92[[#This Row],[Country]],Tabela1[Country], 0),0))</f>
        <v>0</v>
      </c>
      <c r="G123" s="6">
        <f>SUM(INDEX(Tabela1[[Athletics - Men''s 100m]:[Athletics - Women''s Heptathlon]],MATCH(Table92[[#This Row],[Country]],Tabela1[Country], 0),0))</f>
        <v>0</v>
      </c>
      <c r="H123" s="6">
        <f>SUM(INDEX(Tabela1[[Badminton - Men''s Singles]:[Badminton - Mixed Doubles]],MATCH(Table92[[#This Row],[Country]],Tabela1[Country], 0),0))</f>
        <v>0</v>
      </c>
      <c r="I123" s="6">
        <f>SUM(INDEX(Tabela1[[Basketball - Men''s Tournament]:[Basketball - Women''s Tournament]],MATCH(Table92[[#This Row],[Country]],Tabela1[Country], 0),0))</f>
        <v>0</v>
      </c>
      <c r="J123" s="6">
        <f>SUM(INDEX(Tabela1[[3x3 Basketball - Men''s Tournament]:[3x3 Basketball - Women''s Tournament]],MATCH(Table92[[#This Row],[Country]],Tabela1[Country], 0),0))</f>
        <v>0</v>
      </c>
      <c r="K123" s="6">
        <f>SUM(INDEX(Tabela1[[Beach Volleyball - Men''s Tournament]:[Beach Volleyball - Women''s Tournament]],MATCH(Table92[[#This Row],[Country]],Tabela1[Country], 0),0))</f>
        <v>0</v>
      </c>
      <c r="L123" s="6">
        <f>SUM(INDEX(Tabela1[[Boxing - Men''s 51kg]:[Boxing - Women''s 75kg]],MATCH(Table92[[#This Row],[Country]],Tabela1[Country], 0),0))</f>
        <v>0</v>
      </c>
      <c r="M123" s="6">
        <f>SUM(INDEX(Tabela1[[Breaking - Men''s Individual]:[Breaking - Women''s Individual]],MATCH(Table92[[#This Row],[Country]],Tabela1[Country], 0),0))</f>
        <v>0</v>
      </c>
      <c r="N123" s="6">
        <f>SUM(INDEX(Tabela1[[Canoeing - Men''s C1 Slalom]:[Canoeing - Women''s Kayak Cross Slalom]],MATCH(Table92[[#This Row],[Country]],Tabela1[Country], 0),0))</f>
        <v>0</v>
      </c>
      <c r="O123" s="6">
        <f>SUM(INDEX(Tabela1[[Canoeing - Women''s C1 200m]:[Canoeing - Women''s K4 500m]],MATCH(Table92[[#This Row],[Country]],Tabela1[Country], 0),0))</f>
        <v>0</v>
      </c>
      <c r="P123" s="6">
        <f>SUM(INDEX(Tabela1[[Cycling - Men''s BMX Freestyle]:[Cycling - Women''s BMX Freestyle]],MATCH(Table92[[#This Row],[Country]],Tabela1[Country], 0),0))</f>
        <v>0</v>
      </c>
      <c r="Q123" s="6">
        <f>SUM(INDEX(Tabela1[[Cycling - Men''s BMX Racing]:[Cycling - Women''s BMX Racing]],MATCH(Table92[[#This Row],[Country]],Tabela1[Country], 0),0))</f>
        <v>0</v>
      </c>
      <c r="R123" s="6">
        <f>SUM(INDEX(Tabela1[[Cycling - Men''s Cross-Country]:[Cycling - Women''s Cross-Country]],MATCH(Table92[[#This Row],[Country]],Tabela1[Country], 0),0))</f>
        <v>0</v>
      </c>
      <c r="S123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23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23" s="6">
        <f>SUM(INDEX(Tabela1[[Diving - Men''s Springboard]:[Diving - Women''s Synchronized Platform]],MATCH(Table92[[#This Row],[Country]],Tabela1[Country], 0),0))</f>
        <v>0</v>
      </c>
      <c r="V123" s="6">
        <f>SUM(INDEX(Tabela1[[Equestrian - Individual Dressage]:[Equestrian - Team Dressage]],MATCH(Table92[[#This Row],[Country]],Tabela1[Country], 0),0))</f>
        <v>0</v>
      </c>
      <c r="W123" s="6">
        <f>SUM(INDEX(Tabela1[[Equestrian - Individual Eventing]:[Equestrian - Team Eventing]],MATCH(Table92[[#This Row],[Country]],Tabela1[Country], 0),0))</f>
        <v>0</v>
      </c>
      <c r="X123" s="6">
        <f>SUM(INDEX(Tabela1[[Equestrian - Individual Jumping]:[Equestrian - Team Jumping]],MATCH(Table92[[#This Row],[Country]],Tabela1[Country], 0),0))</f>
        <v>0</v>
      </c>
      <c r="Y123" s="6">
        <f>SUM(INDEX(Tabela1[[Fencing - Men''s Épée]:[Fencing - Women''s Team Sabre]],MATCH(Table92[[#This Row],[Country]],Tabela1[Country], 0),0))</f>
        <v>0</v>
      </c>
      <c r="Z123" s="6">
        <f>SUM(INDEX(Tabela1[[Field Hockey - Men''s Tournament]:[Field Hockey - Women''s Tournament]],MATCH(Table92[[#This Row],[Country]],Tabela1[Country], 0),0))</f>
        <v>0</v>
      </c>
      <c r="AA123" s="6">
        <f>SUM(INDEX(Tabela1[[Football - Men''s Tournament]:[Football - Women''s Tournament]],MATCH(Table92[[#This Row],[Country]],Tabela1[Country], 0),0))</f>
        <v>0</v>
      </c>
      <c r="AB123" s="6">
        <f>SUM(INDEX(Tabela1[[Golf - Men''s Individual]:[Golf - Women''s Individual]],MATCH(Table92[[#This Row],[Country]],Tabela1[Country], 0),0))</f>
        <v>0</v>
      </c>
      <c r="AC123" s="6">
        <f>SUM(INDEX(Tabela1[[Handball - Men''s Tournament]:[Handball - Women''s Tournament]],MATCH(Table92[[#This Row],[Country]],Tabela1[Country], 0),0))</f>
        <v>0</v>
      </c>
      <c r="AD123" s="6">
        <f>SUM(INDEX(Tabela1[[Judo - Men''s 60kg]:[Judo - Mixed Team]],MATCH(Table92[[#This Row],[Country]],Tabela1[Country], 0),0))</f>
        <v>0</v>
      </c>
      <c r="AE123" s="6">
        <f>SUM(INDEX(Tabela1[[Swimming - Men''s 10km Open Water]:[Swimming - Women''s 10km Open Water]],MATCH(Table92[[#This Row],[Country]],Tabela1[Country], 0),0))</f>
        <v>0</v>
      </c>
      <c r="AF123" s="6">
        <f>SUM(INDEX(Tabela1[[Modern Pentathlon - Men''s Individual]:[Modern Pentathlon - Women''s Individual]],MATCH(Table92[[#This Row],[Country]],Tabela1[Country], 0),0))</f>
        <v>0</v>
      </c>
      <c r="AG123" s="6">
        <f>SUM(INDEX(Tabela1[[Rhythmic Gymnastics - Women''s Individual All-Around]:[Rhythmic Gymnastics - Women''s Group All-Around]],MATCH(Table92[[#This Row],[Country]],Tabela1[Country], 0),0))</f>
        <v>0</v>
      </c>
      <c r="AH123" s="6">
        <f>SUM(INDEX(Tabela1[[Rowing - Men''s Single Sculls]:[Rowing - Women''s Lwt. Double Sculls]],MATCH(Table92[[#This Row],[Country]],Tabela1[Country], 0),0))</f>
        <v>0</v>
      </c>
      <c r="AI123" s="6">
        <f>SUM(INDEX(Tabela1[[Rugby Sevens - Men''s Tournament]:[Rugby Sevens - Women''s Tournament]],MATCH(Table92[[#This Row],[Country]],Tabela1[Country], 0),0))</f>
        <v>0</v>
      </c>
      <c r="AJ123" s="6">
        <f>SUM(INDEX(Tabela1[[Sailing - Mixed 470]:[Sailing - Mixed Nacra 17]],MATCH(Table92[[#This Row],[Country]],Tabela1[Country], 0),0))</f>
        <v>0</v>
      </c>
      <c r="AK123" s="6">
        <f>SUM(INDEX(Tabela1[[Shooting - Men''s 10m Air Pistol]:[Shooting - Women''s Trap]],MATCH(Table92[[#This Row],[Country]],Tabela1[Country], 0),0))</f>
        <v>0</v>
      </c>
      <c r="AL123" s="6">
        <f>SUM(INDEX(Tabela1[[Skateboarding - Men''s Park]:[Skateboarding - Women''s Street]],MATCH(Table92[[#This Row],[Country]],Tabela1[Country], 0),0))</f>
        <v>0</v>
      </c>
      <c r="AM123" s="6">
        <f>SUM(INDEX(Tabela1[[Sport Climbing - Men''s Boulder and Lead]:[Sport Climbing - Women''s Speed]],MATCH(Table92[[#This Row],[Country]],Tabela1[Country], 0),0))</f>
        <v>0</v>
      </c>
      <c r="AN123" s="6">
        <f>SUM(INDEX(Tabela1[[Surfing - Men''s Shortboard]:[Surfing - Women''s Shortboard]],MATCH(Table92[[#This Row],[Country]],Tabela1[Country], 0),0))</f>
        <v>0</v>
      </c>
      <c r="AO123" s="6">
        <f>SUM(INDEX(Tabela1[[Swimming - Men''s 50m Freestyle]:[Swimming - Mixed 4x100m Medley Relay]],MATCH(Table92[[#This Row],[Country]],Tabela1[Country], 0),0))</f>
        <v>0</v>
      </c>
      <c r="AP123" s="6">
        <f>SUM(INDEX(Tabela1[[Table Tennis - Men''s Singles]:[Table Tennis - Mixed Doubles]],MATCH(Table92[[#This Row],[Country]],Tabela1[Country], 0),0))</f>
        <v>0</v>
      </c>
      <c r="AQ123" s="6">
        <f>SUM(INDEX(Tabela1[[Taekwondo - Men''s 58kg]:[Taekwondo - Women''s +67kg]],MATCH(Table92[[#This Row],[Country]],Tabela1[Country], 0),0))</f>
        <v>0</v>
      </c>
      <c r="AR123" s="6">
        <f>SUM(INDEX(Tabela1[[Tennis - Men''s Singles]:[Tennis - Mixed Doubles]],MATCH(Table92[[#This Row],[Country]],Tabela1[Country], 0),0))</f>
        <v>0</v>
      </c>
      <c r="AS123" s="6">
        <f>SUM(INDEX(Tabela1[[Gymnastics - Men''s Trampoline]:[Gymnastics - Women''s Trampoline]],MATCH(Table92[[#This Row],[Country]],Tabela1[Country], 0),0))</f>
        <v>0</v>
      </c>
      <c r="AT123" s="6">
        <f>SUM(INDEX(Tabela1[[Triathlon - Men''s Individual]:[Triathlon - Mixed Relay]],MATCH(Table92[[#This Row],[Country]],Tabela1[Country], 0),0))</f>
        <v>0</v>
      </c>
      <c r="AU123" s="6">
        <f>SUM(INDEX(Tabela1[[Volleyball - Men''s Tournament]:[Volleyball - Women''s Tournament]],MATCH(Table92[[#This Row],[Country]],Tabela1[Country], 0),0))</f>
        <v>0</v>
      </c>
      <c r="AV123" s="6">
        <f>SUM(INDEX(Tabela1[[Water Polo - Men''s Tournament]:[Water Polo - Women''s Tournament]],MATCH(Table92[[#This Row],[Country]],Tabela1[Country], 0),0))</f>
        <v>0</v>
      </c>
      <c r="AW123" s="6">
        <f>SUM(INDEX(Tabela1[[Weightlifting - Men''s 61kg]:[Weightlifting - Women''s +81kg]],MATCH(Table92[[#This Row],[Country]],Tabela1[Country], 0),0))</f>
        <v>0</v>
      </c>
      <c r="AX123" s="6">
        <f>SUM(INDEX(Tabela1[[Wrestling - Men''s Freestyle 57kg]:[Wrestling - Women''s Freestyle 76kg]],MATCH(Table92[[#This Row],[Country]],Tabela1[Country], 0),0))</f>
        <v>0</v>
      </c>
      <c r="AY123" s="6">
        <f>SUM(INDEX(Tabela1[[Alpine Skiing - Men''s Downhill]:[Alpine Skiing - Women''s Team Combined]],MATCH(Table92[[#This Row],[Country]],Tabela1[Country], 0),0))</f>
        <v>2</v>
      </c>
      <c r="AZ123" s="6">
        <f>SUM(INDEX(Tabela1[[Biathlon - Men''s Individual]:[Biathlon - Mixed Relay]],MATCH(Table92[[#This Row],[Country]],Tabela1[Country], 0),0))</f>
        <v>0</v>
      </c>
      <c r="BA123" s="6">
        <f>SUM(INDEX(Tabela1[[Bobsleigh - Women''s Monobob]:[Bobsleigh - Men''s Four]],MATCH(Table92[[#This Row],[Country]],Tabela1[Country], 0),0))</f>
        <v>0</v>
      </c>
      <c r="BB123" s="6">
        <f>SUM(INDEX(Tabela1[[Cross-country skiing - Men''s Classical]:[Cross-country skiing - Women''s Team Sprint]],MATCH(Table92[[#This Row],[Country]],Tabela1[Country], 0),0))</f>
        <v>0</v>
      </c>
      <c r="BC123" s="6">
        <f>SUM(INDEX(Tabela1[[Curling - Men''s Tournament]:[Curling - Mixed Doubles]],MATCH(Table92[[#This Row],[Country]],Tabela1[Country], 0),0))</f>
        <v>0</v>
      </c>
      <c r="BD123" s="6">
        <f>SUM(INDEX(Tabela1[[Figure Skating - Men''s Singles]:[Figure Skating - Team Event]],MATCH(Table92[[#This Row],[Country]],Tabela1[Country], 0),0))</f>
        <v>0</v>
      </c>
      <c r="BE123" s="6">
        <f>SUM(INDEX(Tabela1[[Freestyle Skiing - Men''s Aerials]:[Freestyle Skiing - Women''s Slopestyle]],MATCH(Table92[[#This Row],[Country]],Tabela1[Country], 0),0))</f>
        <v>0</v>
      </c>
      <c r="BF123" s="6">
        <f>SUM(INDEX(Tabela1[[Ice Hockey - Men''s Tournament]:[Ice Hockey - Women''s Tournament]],MATCH(Table92[[#This Row],[Country]],Tabela1[Country], 0),0))</f>
        <v>0</v>
      </c>
      <c r="BG123" s="6">
        <f>SUM(INDEX(Tabela1[[Luge - Men''s Singles]:[Luge - Mixed Team Relay]],MATCH(Table92[[#This Row],[Country]],Tabela1[Country], 0),0))</f>
        <v>0</v>
      </c>
      <c r="BH123" s="6">
        <f>SUM(INDEX(Tabela1[[Nordic Combined - Men''s Individual]:[Nordic Combined - Men''s Team Sprint Large Hill]],MATCH(Table92[[#This Row],[Country]],Tabela1[Country], 0),0))</f>
        <v>0</v>
      </c>
      <c r="BI123" s="6">
        <f>SUM(INDEX(Tabela1[[Short track speed skating - Men''s 500m]:[Short track speed skating - Mixed 2000m Relay]],MATCH(Table92[[#This Row],[Country]],Tabela1[Country], 0),0))</f>
        <v>0</v>
      </c>
      <c r="BJ123" s="6">
        <f>SUM(INDEX(Tabela1[[Skeleton - Men''s Individual]:[Skeleton - Mixed Team]],MATCH(Table92[[#This Row],[Country]],Tabela1[Country], 0),0))</f>
        <v>0</v>
      </c>
      <c r="BK123" s="6">
        <f>SUM(INDEX(Tabela1[[Ski Jumping - Men''s Individual Large Hill]:[Ski Jumping - Mixed Team Normal Hill]],MATCH(Table92[[#This Row],[Country]],Tabela1[Country], 0),0))</f>
        <v>0</v>
      </c>
      <c r="BL123" s="6">
        <f>SUM(INDEX(Tabela1[[Ski Mountaineering - Men''s Sprint]:[Ski Mountaineering - Mixed Relay]],MATCH(Table92[[#This Row],[Country]],Tabela1[Country], 0),0))</f>
        <v>0</v>
      </c>
      <c r="BM123" s="6">
        <f>SUM(INDEX(Tabela1[[Snowboarding - Men''s Big Air]:[Snowboarding - Mixed Team Snowboard Cross]],MATCH(Table92[[#This Row],[Country]],Tabela1[Country], 0),0))</f>
        <v>0</v>
      </c>
      <c r="BN123" s="6">
        <f>SUM(INDEX(Tabela1[[Speed Skating - Men''s 500m]:[Speed Skating - Women''s Team Pursuit]],MATCH(Table92[[#This Row],[Country]],Tabela1[Country], 0),0))</f>
        <v>0</v>
      </c>
      <c r="BO123" s="6" t="str">
        <f>SUBSTITUTE(INDEX(Table92[[#Headers],[Archery Quotas]:[Speed Skating Quotas]], MATCH(MAX(Table92[[#This Row],[Archery Quotas]:[Speed Skating Quotas]]), Table92[[#This Row],[Archery Quotas]:[Speed Skating Quotas]], 0))," Quotas","")</f>
        <v>Alpine Skiing</v>
      </c>
      <c r="BP123" s="6">
        <f>SUM(Table92[[#This Row],[Summer Sports]:[Winter Sports]])</f>
        <v>1</v>
      </c>
      <c r="BQ123" s="6">
        <f>COUNTIF(Table92[[#This Row],[Archery Quotas]:[Wrestling Quotas]],"&lt;&gt;0")</f>
        <v>0</v>
      </c>
      <c r="BR123" s="6">
        <f>COUNTIF(Table92[[#This Row],[Alpine Skiing Quotas]:[Speed Skating Quotas]],"&lt;&gt;0")</f>
        <v>1</v>
      </c>
      <c r="BS123" s="3" t="s">
        <v>619</v>
      </c>
    </row>
    <row r="124" spans="1:71" x14ac:dyDescent="0.3">
      <c r="A124" s="6" t="s">
        <v>488</v>
      </c>
      <c r="B124" t="e" vm="128">
        <f>IF(ISBLANK(Table92[[#This Row],[Flag Link]]), "", _xlfn.IMAGE(Table92[[#This Row],[Flag Link]],1,1))</f>
        <v>#VALUE!</v>
      </c>
      <c r="C124" s="6">
        <f>SUM(Table92[[#This Row],[Archery Quotas]:[Speed Skating Quotas]])</f>
        <v>2</v>
      </c>
      <c r="D124" s="6">
        <f>SUM(INDEX(Tabela1[[Archery - Men''s Individual Recurve]:[Archery - Mixed Team Recurve]],MATCH(Table92[[#This Row],[Country]],Tabela1[Country], 0),0))</f>
        <v>0</v>
      </c>
      <c r="E124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24" s="6">
        <f>SUM(INDEX(Tabela1[[Artistic Swimming - Women''s Duet]:[Artistic Swimming - Women''s Team]],MATCH(Table92[[#This Row],[Country]],Tabela1[Country], 0),0))</f>
        <v>0</v>
      </c>
      <c r="G124" s="6">
        <f>SUM(INDEX(Tabela1[[Athletics - Men''s 100m]:[Athletics - Women''s Heptathlon]],MATCH(Table92[[#This Row],[Country]],Tabela1[Country], 0),0))</f>
        <v>0</v>
      </c>
      <c r="H124" s="6">
        <f>SUM(INDEX(Tabela1[[Badminton - Men''s Singles]:[Badminton - Mixed Doubles]],MATCH(Table92[[#This Row],[Country]],Tabela1[Country], 0),0))</f>
        <v>0</v>
      </c>
      <c r="I124" s="6">
        <f>SUM(INDEX(Tabela1[[Basketball - Men''s Tournament]:[Basketball - Women''s Tournament]],MATCH(Table92[[#This Row],[Country]],Tabela1[Country], 0),0))</f>
        <v>0</v>
      </c>
      <c r="J124" s="6">
        <f>SUM(INDEX(Tabela1[[3x3 Basketball - Men''s Tournament]:[3x3 Basketball - Women''s Tournament]],MATCH(Table92[[#This Row],[Country]],Tabela1[Country], 0),0))</f>
        <v>0</v>
      </c>
      <c r="K124" s="6">
        <f>SUM(INDEX(Tabela1[[Beach Volleyball - Men''s Tournament]:[Beach Volleyball - Women''s Tournament]],MATCH(Table92[[#This Row],[Country]],Tabela1[Country], 0),0))</f>
        <v>0</v>
      </c>
      <c r="L124" s="6">
        <f>SUM(INDEX(Tabela1[[Boxing - Men''s 51kg]:[Boxing - Women''s 75kg]],MATCH(Table92[[#This Row],[Country]],Tabela1[Country], 0),0))</f>
        <v>0</v>
      </c>
      <c r="M124" s="6">
        <f>SUM(INDEX(Tabela1[[Breaking - Men''s Individual]:[Breaking - Women''s Individual]],MATCH(Table92[[#This Row],[Country]],Tabela1[Country], 0),0))</f>
        <v>0</v>
      </c>
      <c r="N124" s="6">
        <f>SUM(INDEX(Tabela1[[Canoeing - Men''s C1 Slalom]:[Canoeing - Women''s Kayak Cross Slalom]],MATCH(Table92[[#This Row],[Country]],Tabela1[Country], 0),0))</f>
        <v>0</v>
      </c>
      <c r="O124" s="6">
        <f>SUM(INDEX(Tabela1[[Canoeing - Women''s C1 200m]:[Canoeing - Women''s K4 500m]],MATCH(Table92[[#This Row],[Country]],Tabela1[Country], 0),0))</f>
        <v>0</v>
      </c>
      <c r="P124" s="6">
        <f>SUM(INDEX(Tabela1[[Cycling - Men''s BMX Freestyle]:[Cycling - Women''s BMX Freestyle]],MATCH(Table92[[#This Row],[Country]],Tabela1[Country], 0),0))</f>
        <v>0</v>
      </c>
      <c r="Q124" s="6">
        <f>SUM(INDEX(Tabela1[[Cycling - Men''s BMX Racing]:[Cycling - Women''s BMX Racing]],MATCH(Table92[[#This Row],[Country]],Tabela1[Country], 0),0))</f>
        <v>0</v>
      </c>
      <c r="R124" s="6">
        <f>SUM(INDEX(Tabela1[[Cycling - Men''s Cross-Country]:[Cycling - Women''s Cross-Country]],MATCH(Table92[[#This Row],[Country]],Tabela1[Country], 0),0))</f>
        <v>0</v>
      </c>
      <c r="S124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24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24" s="6">
        <f>SUM(INDEX(Tabela1[[Diving - Men''s Springboard]:[Diving - Women''s Synchronized Platform]],MATCH(Table92[[#This Row],[Country]],Tabela1[Country], 0),0))</f>
        <v>0</v>
      </c>
      <c r="V124" s="6">
        <f>SUM(INDEX(Tabela1[[Equestrian - Individual Dressage]:[Equestrian - Team Dressage]],MATCH(Table92[[#This Row],[Country]],Tabela1[Country], 0),0))</f>
        <v>0</v>
      </c>
      <c r="W124" s="6">
        <f>SUM(INDEX(Tabela1[[Equestrian - Individual Eventing]:[Equestrian - Team Eventing]],MATCH(Table92[[#This Row],[Country]],Tabela1[Country], 0),0))</f>
        <v>0</v>
      </c>
      <c r="X124" s="6">
        <f>SUM(INDEX(Tabela1[[Equestrian - Individual Jumping]:[Equestrian - Team Jumping]],MATCH(Table92[[#This Row],[Country]],Tabela1[Country], 0),0))</f>
        <v>0</v>
      </c>
      <c r="Y124" s="6">
        <f>SUM(INDEX(Tabela1[[Fencing - Men''s Épée]:[Fencing - Women''s Team Sabre]],MATCH(Table92[[#This Row],[Country]],Tabela1[Country], 0),0))</f>
        <v>0</v>
      </c>
      <c r="Z124" s="6">
        <f>SUM(INDEX(Tabela1[[Field Hockey - Men''s Tournament]:[Field Hockey - Women''s Tournament]],MATCH(Table92[[#This Row],[Country]],Tabela1[Country], 0),0))</f>
        <v>0</v>
      </c>
      <c r="AA124" s="6">
        <f>SUM(INDEX(Tabela1[[Football - Men''s Tournament]:[Football - Women''s Tournament]],MATCH(Table92[[#This Row],[Country]],Tabela1[Country], 0),0))</f>
        <v>1</v>
      </c>
      <c r="AB124" s="6">
        <f>SUM(INDEX(Tabela1[[Golf - Men''s Individual]:[Golf - Women''s Individual]],MATCH(Table92[[#This Row],[Country]],Tabela1[Country], 0),0))</f>
        <v>0</v>
      </c>
      <c r="AC124" s="6">
        <f>SUM(INDEX(Tabela1[[Handball - Men''s Tournament]:[Handball - Women''s Tournament]],MATCH(Table92[[#This Row],[Country]],Tabela1[Country], 0),0))</f>
        <v>0</v>
      </c>
      <c r="AD124" s="6">
        <f>SUM(INDEX(Tabela1[[Judo - Men''s 60kg]:[Judo - Mixed Team]],MATCH(Table92[[#This Row],[Country]],Tabela1[Country], 0),0))</f>
        <v>0</v>
      </c>
      <c r="AE124" s="6">
        <f>SUM(INDEX(Tabela1[[Swimming - Men''s 10km Open Water]:[Swimming - Women''s 10km Open Water]],MATCH(Table92[[#This Row],[Country]],Tabela1[Country], 0),0))</f>
        <v>0</v>
      </c>
      <c r="AF124" s="6">
        <f>SUM(INDEX(Tabela1[[Modern Pentathlon - Men''s Individual]:[Modern Pentathlon - Women''s Individual]],MATCH(Table92[[#This Row],[Country]],Tabela1[Country], 0),0))</f>
        <v>0</v>
      </c>
      <c r="AG124" s="6">
        <f>SUM(INDEX(Tabela1[[Rhythmic Gymnastics - Women''s Individual All-Around]:[Rhythmic Gymnastics - Women''s Group All-Around]],MATCH(Table92[[#This Row],[Country]],Tabela1[Country], 0),0))</f>
        <v>0</v>
      </c>
      <c r="AH124" s="6">
        <f>SUM(INDEX(Tabela1[[Rowing - Men''s Single Sculls]:[Rowing - Women''s Lwt. Double Sculls]],MATCH(Table92[[#This Row],[Country]],Tabela1[Country], 0),0))</f>
        <v>0</v>
      </c>
      <c r="AI124" s="6">
        <f>SUM(INDEX(Tabela1[[Rugby Sevens - Men''s Tournament]:[Rugby Sevens - Women''s Tournament]],MATCH(Table92[[#This Row],[Country]],Tabela1[Country], 0),0))</f>
        <v>0</v>
      </c>
      <c r="AJ124" s="6">
        <f>SUM(INDEX(Tabela1[[Sailing - Mixed 470]:[Sailing - Mixed Nacra 17]],MATCH(Table92[[#This Row],[Country]],Tabela1[Country], 0),0))</f>
        <v>0</v>
      </c>
      <c r="AK124" s="6">
        <f>SUM(INDEX(Tabela1[[Shooting - Men''s 10m Air Pistol]:[Shooting - Women''s Trap]],MATCH(Table92[[#This Row],[Country]],Tabela1[Country], 0),0))</f>
        <v>0</v>
      </c>
      <c r="AL124" s="6">
        <f>SUM(INDEX(Tabela1[[Skateboarding - Men''s Park]:[Skateboarding - Women''s Street]],MATCH(Table92[[#This Row],[Country]],Tabela1[Country], 0),0))</f>
        <v>0</v>
      </c>
      <c r="AM124" s="6">
        <f>SUM(INDEX(Tabela1[[Sport Climbing - Men''s Boulder and Lead]:[Sport Climbing - Women''s Speed]],MATCH(Table92[[#This Row],[Country]],Tabela1[Country], 0),0))</f>
        <v>0</v>
      </c>
      <c r="AN124" s="6">
        <f>SUM(INDEX(Tabela1[[Surfing - Men''s Shortboard]:[Surfing - Women''s Shortboard]],MATCH(Table92[[#This Row],[Country]],Tabela1[Country], 0),0))</f>
        <v>0</v>
      </c>
      <c r="AO124" s="6">
        <f>SUM(INDEX(Tabela1[[Swimming - Men''s 50m Freestyle]:[Swimming - Mixed 4x100m Medley Relay]],MATCH(Table92[[#This Row],[Country]],Tabela1[Country], 0),0))</f>
        <v>0</v>
      </c>
      <c r="AP124" s="6">
        <f>SUM(INDEX(Tabela1[[Table Tennis - Men''s Singles]:[Table Tennis - Mixed Doubles]],MATCH(Table92[[#This Row],[Country]],Tabela1[Country], 0),0))</f>
        <v>0</v>
      </c>
      <c r="AQ124" s="6">
        <f>SUM(INDEX(Tabela1[[Taekwondo - Men''s 58kg]:[Taekwondo - Women''s +67kg]],MATCH(Table92[[#This Row],[Country]],Tabela1[Country], 0),0))</f>
        <v>1</v>
      </c>
      <c r="AR124" s="6">
        <f>SUM(INDEX(Tabela1[[Tennis - Men''s Singles]:[Tennis - Mixed Doubles]],MATCH(Table92[[#This Row],[Country]],Tabela1[Country], 0),0))</f>
        <v>0</v>
      </c>
      <c r="AS124" s="6">
        <f>SUM(INDEX(Tabela1[[Gymnastics - Men''s Trampoline]:[Gymnastics - Women''s Trampoline]],MATCH(Table92[[#This Row],[Country]],Tabela1[Country], 0),0))</f>
        <v>0</v>
      </c>
      <c r="AT124" s="6">
        <f>SUM(INDEX(Tabela1[[Triathlon - Men''s Individual]:[Triathlon - Mixed Relay]],MATCH(Table92[[#This Row],[Country]],Tabela1[Country], 0),0))</f>
        <v>0</v>
      </c>
      <c r="AU124" s="6">
        <f>SUM(INDEX(Tabela1[[Volleyball - Men''s Tournament]:[Volleyball - Women''s Tournament]],MATCH(Table92[[#This Row],[Country]],Tabela1[Country], 0),0))</f>
        <v>0</v>
      </c>
      <c r="AV124" s="6">
        <f>SUM(INDEX(Tabela1[[Water Polo - Men''s Tournament]:[Water Polo - Women''s Tournament]],MATCH(Table92[[#This Row],[Country]],Tabela1[Country], 0),0))</f>
        <v>0</v>
      </c>
      <c r="AW124" s="6">
        <f>SUM(INDEX(Tabela1[[Weightlifting - Men''s 61kg]:[Weightlifting - Women''s +81kg]],MATCH(Table92[[#This Row],[Country]],Tabela1[Country], 0),0))</f>
        <v>0</v>
      </c>
      <c r="AX124" s="6">
        <f>SUM(INDEX(Tabela1[[Wrestling - Men''s Freestyle 57kg]:[Wrestling - Women''s Freestyle 76kg]],MATCH(Table92[[#This Row],[Country]],Tabela1[Country], 0),0))</f>
        <v>0</v>
      </c>
      <c r="AY124" s="6">
        <f>SUM(INDEX(Tabela1[[Alpine Skiing - Men''s Downhill]:[Alpine Skiing - Women''s Team Combined]],MATCH(Table92[[#This Row],[Country]],Tabela1[Country], 0),0))</f>
        <v>0</v>
      </c>
      <c r="AZ124" s="6">
        <f>SUM(INDEX(Tabela1[[Biathlon - Men''s Individual]:[Biathlon - Mixed Relay]],MATCH(Table92[[#This Row],[Country]],Tabela1[Country], 0),0))</f>
        <v>0</v>
      </c>
      <c r="BA124" s="6">
        <f>SUM(INDEX(Tabela1[[Bobsleigh - Women''s Monobob]:[Bobsleigh - Men''s Four]],MATCH(Table92[[#This Row],[Country]],Tabela1[Country], 0),0))</f>
        <v>0</v>
      </c>
      <c r="BB124" s="6">
        <f>SUM(INDEX(Tabela1[[Cross-country skiing - Men''s Classical]:[Cross-country skiing - Women''s Team Sprint]],MATCH(Table92[[#This Row],[Country]],Tabela1[Country], 0),0))</f>
        <v>0</v>
      </c>
      <c r="BC124" s="6">
        <f>SUM(INDEX(Tabela1[[Curling - Men''s Tournament]:[Curling - Mixed Doubles]],MATCH(Table92[[#This Row],[Country]],Tabela1[Country], 0),0))</f>
        <v>0</v>
      </c>
      <c r="BD124" s="6">
        <f>SUM(INDEX(Tabela1[[Figure Skating - Men''s Singles]:[Figure Skating - Team Event]],MATCH(Table92[[#This Row],[Country]],Tabela1[Country], 0),0))</f>
        <v>0</v>
      </c>
      <c r="BE124" s="6">
        <f>SUM(INDEX(Tabela1[[Freestyle Skiing - Men''s Aerials]:[Freestyle Skiing - Women''s Slopestyle]],MATCH(Table92[[#This Row],[Country]],Tabela1[Country], 0),0))</f>
        <v>0</v>
      </c>
      <c r="BF124" s="6">
        <f>SUM(INDEX(Tabela1[[Ice Hockey - Men''s Tournament]:[Ice Hockey - Women''s Tournament]],MATCH(Table92[[#This Row],[Country]],Tabela1[Country], 0),0))</f>
        <v>0</v>
      </c>
      <c r="BG124" s="6">
        <f>SUM(INDEX(Tabela1[[Luge - Men''s Singles]:[Luge - Mixed Team Relay]],MATCH(Table92[[#This Row],[Country]],Tabela1[Country], 0),0))</f>
        <v>0</v>
      </c>
      <c r="BH124" s="6">
        <f>SUM(INDEX(Tabela1[[Nordic Combined - Men''s Individual]:[Nordic Combined - Men''s Team Sprint Large Hill]],MATCH(Table92[[#This Row],[Country]],Tabela1[Country], 0),0))</f>
        <v>0</v>
      </c>
      <c r="BI124" s="6">
        <f>SUM(INDEX(Tabela1[[Short track speed skating - Men''s 500m]:[Short track speed skating - Mixed 2000m Relay]],MATCH(Table92[[#This Row],[Country]],Tabela1[Country], 0),0))</f>
        <v>0</v>
      </c>
      <c r="BJ124" s="6">
        <f>SUM(INDEX(Tabela1[[Skeleton - Men''s Individual]:[Skeleton - Mixed Team]],MATCH(Table92[[#This Row],[Country]],Tabela1[Country], 0),0))</f>
        <v>0</v>
      </c>
      <c r="BK124" s="6">
        <f>SUM(INDEX(Tabela1[[Ski Jumping - Men''s Individual Large Hill]:[Ski Jumping - Mixed Team Normal Hill]],MATCH(Table92[[#This Row],[Country]],Tabela1[Country], 0),0))</f>
        <v>0</v>
      </c>
      <c r="BL124" s="6">
        <f>SUM(INDEX(Tabela1[[Ski Mountaineering - Men''s Sprint]:[Ski Mountaineering - Mixed Relay]],MATCH(Table92[[#This Row],[Country]],Tabela1[Country], 0),0))</f>
        <v>0</v>
      </c>
      <c r="BM124" s="6">
        <f>SUM(INDEX(Tabela1[[Snowboarding - Men''s Big Air]:[Snowboarding - Mixed Team Snowboard Cross]],MATCH(Table92[[#This Row],[Country]],Tabela1[Country], 0),0))</f>
        <v>0</v>
      </c>
      <c r="BN124" s="6">
        <f>SUM(INDEX(Tabela1[[Speed Skating - Men''s 500m]:[Speed Skating - Women''s Team Pursuit]],MATCH(Table92[[#This Row],[Country]],Tabela1[Country], 0),0))</f>
        <v>0</v>
      </c>
      <c r="BO124" s="6" t="str">
        <f>SUBSTITUTE(INDEX(Table92[[#Headers],[Archery Quotas]:[Speed Skating Quotas]], MATCH(MAX(Table92[[#This Row],[Archery Quotas]:[Speed Skating Quotas]]), Table92[[#This Row],[Archery Quotas]:[Speed Skating Quotas]], 0))," Quotas","")</f>
        <v>Football</v>
      </c>
      <c r="BP124" s="6">
        <f>SUM(Table92[[#This Row],[Summer Sports]:[Winter Sports]])</f>
        <v>2</v>
      </c>
      <c r="BQ124" s="6">
        <f>COUNTIF(Table92[[#This Row],[Archery Quotas]:[Wrestling Quotas]],"&lt;&gt;0")</f>
        <v>2</v>
      </c>
      <c r="BR124" s="6">
        <f>COUNTIF(Table92[[#This Row],[Alpine Skiing Quotas]:[Speed Skating Quotas]],"&lt;&gt;0")</f>
        <v>0</v>
      </c>
      <c r="BS124" s="4" t="s">
        <v>489</v>
      </c>
    </row>
    <row r="125" spans="1:71" x14ac:dyDescent="0.3">
      <c r="A125" s="6" t="s">
        <v>390</v>
      </c>
      <c r="B125" t="e" vm="114">
        <f>IF(ISBLANK(Table92[[#This Row],[Flag Link]]), "", _xlfn.IMAGE(Table92[[#This Row],[Flag Link]],1,1))</f>
        <v>#VALUE!</v>
      </c>
      <c r="C125" s="6">
        <f>SUM(Table92[[#This Row],[Archery Quotas]:[Speed Skating Quotas]])</f>
        <v>2</v>
      </c>
      <c r="D125" s="6">
        <f>SUM(INDEX(Tabela1[[Archery - Men''s Individual Recurve]:[Archery - Mixed Team Recurve]],MATCH(Table92[[#This Row],[Country]],Tabela1[Country], 0),0))</f>
        <v>0</v>
      </c>
      <c r="E125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25" s="6">
        <f>SUM(INDEX(Tabela1[[Artistic Swimming - Women''s Duet]:[Artistic Swimming - Women''s Team]],MATCH(Table92[[#This Row],[Country]],Tabela1[Country], 0),0))</f>
        <v>0</v>
      </c>
      <c r="G125" s="6">
        <f>SUM(INDEX(Tabela1[[Athletics - Men''s 100m]:[Athletics - Women''s Heptathlon]],MATCH(Table92[[#This Row],[Country]],Tabela1[Country], 0),0))</f>
        <v>0</v>
      </c>
      <c r="H125" s="6">
        <f>SUM(INDEX(Tabela1[[Badminton - Men''s Singles]:[Badminton - Mixed Doubles]],MATCH(Table92[[#This Row],[Country]],Tabela1[Country], 0),0))</f>
        <v>0</v>
      </c>
      <c r="I125" s="6">
        <f>SUM(INDEX(Tabela1[[Basketball - Men''s Tournament]:[Basketball - Women''s Tournament]],MATCH(Table92[[#This Row],[Country]],Tabela1[Country], 0),0))</f>
        <v>0</v>
      </c>
      <c r="J125" s="6">
        <f>SUM(INDEX(Tabela1[[3x3 Basketball - Men''s Tournament]:[3x3 Basketball - Women''s Tournament]],MATCH(Table92[[#This Row],[Country]],Tabela1[Country], 0),0))</f>
        <v>0</v>
      </c>
      <c r="K125" s="6">
        <f>SUM(INDEX(Tabela1[[Beach Volleyball - Men''s Tournament]:[Beach Volleyball - Women''s Tournament]],MATCH(Table92[[#This Row],[Country]],Tabela1[Country], 0),0))</f>
        <v>0</v>
      </c>
      <c r="L125" s="6">
        <f>SUM(INDEX(Tabela1[[Boxing - Men''s 51kg]:[Boxing - Women''s 75kg]],MATCH(Table92[[#This Row],[Country]],Tabela1[Country], 0),0))</f>
        <v>0</v>
      </c>
      <c r="M125" s="6">
        <f>SUM(INDEX(Tabela1[[Breaking - Men''s Individual]:[Breaking - Women''s Individual]],MATCH(Table92[[#This Row],[Country]],Tabela1[Country], 0),0))</f>
        <v>0</v>
      </c>
      <c r="N125" s="6">
        <f>SUM(INDEX(Tabela1[[Canoeing - Men''s C1 Slalom]:[Canoeing - Women''s Kayak Cross Slalom]],MATCH(Table92[[#This Row],[Country]],Tabela1[Country], 0),0))</f>
        <v>0</v>
      </c>
      <c r="O125" s="6">
        <f>SUM(INDEX(Tabela1[[Canoeing - Women''s C1 200m]:[Canoeing - Women''s K4 500m]],MATCH(Table92[[#This Row],[Country]],Tabela1[Country], 0),0))</f>
        <v>0</v>
      </c>
      <c r="P125" s="6">
        <f>SUM(INDEX(Tabela1[[Cycling - Men''s BMX Freestyle]:[Cycling - Women''s BMX Freestyle]],MATCH(Table92[[#This Row],[Country]],Tabela1[Country], 0),0))</f>
        <v>0</v>
      </c>
      <c r="Q125" s="6">
        <f>SUM(INDEX(Tabela1[[Cycling - Men''s BMX Racing]:[Cycling - Women''s BMX Racing]],MATCH(Table92[[#This Row],[Country]],Tabela1[Country], 0),0))</f>
        <v>0</v>
      </c>
      <c r="R125" s="6">
        <f>SUM(INDEX(Tabela1[[Cycling - Men''s Cross-Country]:[Cycling - Women''s Cross-Country]],MATCH(Table92[[#This Row],[Country]],Tabela1[Country], 0),0))</f>
        <v>0</v>
      </c>
      <c r="S125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25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25" s="6">
        <f>SUM(INDEX(Tabela1[[Diving - Men''s Springboard]:[Diving - Women''s Synchronized Platform]],MATCH(Table92[[#This Row],[Country]],Tabela1[Country], 0),0))</f>
        <v>0</v>
      </c>
      <c r="V125" s="6">
        <f>SUM(INDEX(Tabela1[[Equestrian - Individual Dressage]:[Equestrian - Team Dressage]],MATCH(Table92[[#This Row],[Country]],Tabela1[Country], 0),0))</f>
        <v>0</v>
      </c>
      <c r="W125" s="6">
        <f>SUM(INDEX(Tabela1[[Equestrian - Individual Eventing]:[Equestrian - Team Eventing]],MATCH(Table92[[#This Row],[Country]],Tabela1[Country], 0),0))</f>
        <v>0</v>
      </c>
      <c r="X125" s="6">
        <f>SUM(INDEX(Tabela1[[Equestrian - Individual Jumping]:[Equestrian - Team Jumping]],MATCH(Table92[[#This Row],[Country]],Tabela1[Country], 0),0))</f>
        <v>0</v>
      </c>
      <c r="Y125" s="6">
        <f>SUM(INDEX(Tabela1[[Fencing - Men''s Épée]:[Fencing - Women''s Team Sabre]],MATCH(Table92[[#This Row],[Country]],Tabela1[Country], 0),0))</f>
        <v>0</v>
      </c>
      <c r="Z125" s="6">
        <f>SUM(INDEX(Tabela1[[Field Hockey - Men''s Tournament]:[Field Hockey - Women''s Tournament]],MATCH(Table92[[#This Row],[Country]],Tabela1[Country], 0),0))</f>
        <v>0</v>
      </c>
      <c r="AA125" s="6">
        <f>SUM(INDEX(Tabela1[[Football - Men''s Tournament]:[Football - Women''s Tournament]],MATCH(Table92[[#This Row],[Country]],Tabela1[Country], 0),0))</f>
        <v>0</v>
      </c>
      <c r="AB125" s="6">
        <f>SUM(INDEX(Tabela1[[Golf - Men''s Individual]:[Golf - Women''s Individual]],MATCH(Table92[[#This Row],[Country]],Tabela1[Country], 0),0))</f>
        <v>0</v>
      </c>
      <c r="AC125" s="6">
        <f>SUM(INDEX(Tabela1[[Handball - Men''s Tournament]:[Handball - Women''s Tournament]],MATCH(Table92[[#This Row],[Country]],Tabela1[Country], 0),0))</f>
        <v>0</v>
      </c>
      <c r="AD125" s="6">
        <f>SUM(INDEX(Tabela1[[Judo - Men''s 60kg]:[Judo - Mixed Team]],MATCH(Table92[[#This Row],[Country]],Tabela1[Country], 0),0))</f>
        <v>0</v>
      </c>
      <c r="AE125" s="6">
        <f>SUM(INDEX(Tabela1[[Swimming - Men''s 10km Open Water]:[Swimming - Women''s 10km Open Water]],MATCH(Table92[[#This Row],[Country]],Tabela1[Country], 0),0))</f>
        <v>0</v>
      </c>
      <c r="AF125" s="6">
        <f>SUM(INDEX(Tabela1[[Modern Pentathlon - Men''s Individual]:[Modern Pentathlon - Women''s Individual]],MATCH(Table92[[#This Row],[Country]],Tabela1[Country], 0),0))</f>
        <v>0</v>
      </c>
      <c r="AG125" s="6">
        <f>SUM(INDEX(Tabela1[[Rhythmic Gymnastics - Women''s Individual All-Around]:[Rhythmic Gymnastics - Women''s Group All-Around]],MATCH(Table92[[#This Row],[Country]],Tabela1[Country], 0),0))</f>
        <v>0</v>
      </c>
      <c r="AH125" s="6">
        <f>SUM(INDEX(Tabela1[[Rowing - Men''s Single Sculls]:[Rowing - Women''s Lwt. Double Sculls]],MATCH(Table92[[#This Row],[Country]],Tabela1[Country], 0),0))</f>
        <v>0</v>
      </c>
      <c r="AI125" s="6">
        <f>SUM(INDEX(Tabela1[[Rugby Sevens - Men''s Tournament]:[Rugby Sevens - Women''s Tournament]],MATCH(Table92[[#This Row],[Country]],Tabela1[Country], 0),0))</f>
        <v>0</v>
      </c>
      <c r="AJ125" s="6">
        <f>SUM(INDEX(Tabela1[[Sailing - Mixed 470]:[Sailing - Mixed Nacra 17]],MATCH(Table92[[#This Row],[Country]],Tabela1[Country], 0),0))</f>
        <v>0</v>
      </c>
      <c r="AK125" s="6">
        <f>SUM(INDEX(Tabela1[[Shooting - Men''s 10m Air Pistol]:[Shooting - Women''s Trap]],MATCH(Table92[[#This Row],[Country]],Tabela1[Country], 0),0))</f>
        <v>0</v>
      </c>
      <c r="AL125" s="6">
        <f>SUM(INDEX(Tabela1[[Skateboarding - Men''s Park]:[Skateboarding - Women''s Street]],MATCH(Table92[[#This Row],[Country]],Tabela1[Country], 0),0))</f>
        <v>0</v>
      </c>
      <c r="AM125" s="6">
        <f>SUM(INDEX(Tabela1[[Sport Climbing - Men''s Boulder and Lead]:[Sport Climbing - Women''s Speed]],MATCH(Table92[[#This Row],[Country]],Tabela1[Country], 0),0))</f>
        <v>0</v>
      </c>
      <c r="AN125" s="6">
        <f>SUM(INDEX(Tabela1[[Surfing - Men''s Shortboard]:[Surfing - Women''s Shortboard]],MATCH(Table92[[#This Row],[Country]],Tabela1[Country], 0),0))</f>
        <v>0</v>
      </c>
      <c r="AO125" s="6">
        <f>SUM(INDEX(Tabela1[[Swimming - Men''s 50m Freestyle]:[Swimming - Mixed 4x100m Medley Relay]],MATCH(Table92[[#This Row],[Country]],Tabela1[Country], 0),0))</f>
        <v>0</v>
      </c>
      <c r="AP125" s="6">
        <f>SUM(INDEX(Tabela1[[Table Tennis - Men''s Singles]:[Table Tennis - Mixed Doubles]],MATCH(Table92[[#This Row],[Country]],Tabela1[Country], 0),0))</f>
        <v>0</v>
      </c>
      <c r="AQ125" s="6">
        <f>SUM(INDEX(Tabela1[[Taekwondo - Men''s 58kg]:[Taekwondo - Women''s +67kg]],MATCH(Table92[[#This Row],[Country]],Tabela1[Country], 0),0))</f>
        <v>0</v>
      </c>
      <c r="AR125" s="6">
        <f>SUM(INDEX(Tabela1[[Tennis - Men''s Singles]:[Tennis - Mixed Doubles]],MATCH(Table92[[#This Row],[Country]],Tabela1[Country], 0),0))</f>
        <v>0</v>
      </c>
      <c r="AS125" s="6">
        <f>SUM(INDEX(Tabela1[[Gymnastics - Men''s Trampoline]:[Gymnastics - Women''s Trampoline]],MATCH(Table92[[#This Row],[Country]],Tabela1[Country], 0),0))</f>
        <v>0</v>
      </c>
      <c r="AT125" s="6">
        <f>SUM(INDEX(Tabela1[[Triathlon - Men''s Individual]:[Triathlon - Mixed Relay]],MATCH(Table92[[#This Row],[Country]],Tabela1[Country], 0),0))</f>
        <v>0</v>
      </c>
      <c r="AU125" s="6">
        <f>SUM(INDEX(Tabela1[[Volleyball - Men''s Tournament]:[Volleyball - Women''s Tournament]],MATCH(Table92[[#This Row],[Country]],Tabela1[Country], 0),0))</f>
        <v>0</v>
      </c>
      <c r="AV125" s="6">
        <f>SUM(INDEX(Tabela1[[Water Polo - Men''s Tournament]:[Water Polo - Women''s Tournament]],MATCH(Table92[[#This Row],[Country]],Tabela1[Country], 0),0))</f>
        <v>0</v>
      </c>
      <c r="AW125" s="6">
        <f>SUM(INDEX(Tabela1[[Weightlifting - Men''s 61kg]:[Weightlifting - Women''s +81kg]],MATCH(Table92[[#This Row],[Country]],Tabela1[Country], 0),0))</f>
        <v>0</v>
      </c>
      <c r="AX125" s="6">
        <f>SUM(INDEX(Tabela1[[Wrestling - Men''s Freestyle 57kg]:[Wrestling - Women''s Freestyle 76kg]],MATCH(Table92[[#This Row],[Country]],Tabela1[Country], 0),0))</f>
        <v>0</v>
      </c>
      <c r="AY125" s="6">
        <f>SUM(INDEX(Tabela1[[Alpine Skiing - Men''s Downhill]:[Alpine Skiing - Women''s Team Combined]],MATCH(Table92[[#This Row],[Country]],Tabela1[Country], 0),0))</f>
        <v>0</v>
      </c>
      <c r="AZ125" s="6">
        <f>SUM(INDEX(Tabela1[[Biathlon - Men''s Individual]:[Biathlon - Mixed Relay]],MATCH(Table92[[#This Row],[Country]],Tabela1[Country], 0),0))</f>
        <v>2</v>
      </c>
      <c r="BA125" s="6">
        <f>SUM(INDEX(Tabela1[[Bobsleigh - Women''s Monobob]:[Bobsleigh - Men''s Four]],MATCH(Table92[[#This Row],[Country]],Tabela1[Country], 0),0))</f>
        <v>0</v>
      </c>
      <c r="BB125" s="6">
        <f>SUM(INDEX(Tabela1[[Cross-country skiing - Men''s Classical]:[Cross-country skiing - Women''s Team Sprint]],MATCH(Table92[[#This Row],[Country]],Tabela1[Country], 0),0))</f>
        <v>0</v>
      </c>
      <c r="BC125" s="6">
        <f>SUM(INDEX(Tabela1[[Curling - Men''s Tournament]:[Curling - Mixed Doubles]],MATCH(Table92[[#This Row],[Country]],Tabela1[Country], 0),0))</f>
        <v>0</v>
      </c>
      <c r="BD125" s="6">
        <f>SUM(INDEX(Tabela1[[Figure Skating - Men''s Singles]:[Figure Skating - Team Event]],MATCH(Table92[[#This Row],[Country]],Tabela1[Country], 0),0))</f>
        <v>0</v>
      </c>
      <c r="BE125" s="6">
        <f>SUM(INDEX(Tabela1[[Freestyle Skiing - Men''s Aerials]:[Freestyle Skiing - Women''s Slopestyle]],MATCH(Table92[[#This Row],[Country]],Tabela1[Country], 0),0))</f>
        <v>0</v>
      </c>
      <c r="BF125" s="6">
        <f>SUM(INDEX(Tabela1[[Ice Hockey - Men''s Tournament]:[Ice Hockey - Women''s Tournament]],MATCH(Table92[[#This Row],[Country]],Tabela1[Country], 0),0))</f>
        <v>0</v>
      </c>
      <c r="BG125" s="6">
        <f>SUM(INDEX(Tabela1[[Luge - Men''s Singles]:[Luge - Mixed Team Relay]],MATCH(Table92[[#This Row],[Country]],Tabela1[Country], 0),0))</f>
        <v>0</v>
      </c>
      <c r="BH125" s="6">
        <f>SUM(INDEX(Tabela1[[Nordic Combined - Men''s Individual]:[Nordic Combined - Men''s Team Sprint Large Hill]],MATCH(Table92[[#This Row],[Country]],Tabela1[Country], 0),0))</f>
        <v>0</v>
      </c>
      <c r="BI125" s="6">
        <f>SUM(INDEX(Tabela1[[Short track speed skating - Men''s 500m]:[Short track speed skating - Mixed 2000m Relay]],MATCH(Table92[[#This Row],[Country]],Tabela1[Country], 0),0))</f>
        <v>0</v>
      </c>
      <c r="BJ125" s="6">
        <f>SUM(INDEX(Tabela1[[Skeleton - Men''s Individual]:[Skeleton - Mixed Team]],MATCH(Table92[[#This Row],[Country]],Tabela1[Country], 0),0))</f>
        <v>0</v>
      </c>
      <c r="BK125" s="6">
        <f>SUM(INDEX(Tabela1[[Ski Jumping - Men''s Individual Large Hill]:[Ski Jumping - Mixed Team Normal Hill]],MATCH(Table92[[#This Row],[Country]],Tabela1[Country], 0),0))</f>
        <v>0</v>
      </c>
      <c r="BL125" s="6">
        <f>SUM(INDEX(Tabela1[[Ski Mountaineering - Men''s Sprint]:[Ski Mountaineering - Mixed Relay]],MATCH(Table92[[#This Row],[Country]],Tabela1[Country], 0),0))</f>
        <v>0</v>
      </c>
      <c r="BM125" s="6">
        <f>SUM(INDEX(Tabela1[[Snowboarding - Men''s Big Air]:[Snowboarding - Mixed Team Snowboard Cross]],MATCH(Table92[[#This Row],[Country]],Tabela1[Country], 0),0))</f>
        <v>0</v>
      </c>
      <c r="BN125" s="6">
        <f>SUM(INDEX(Tabela1[[Speed Skating - Men''s 500m]:[Speed Skating - Women''s Team Pursuit]],MATCH(Table92[[#This Row],[Country]],Tabela1[Country], 0),0))</f>
        <v>0</v>
      </c>
      <c r="BO125" s="6" t="str">
        <f>SUBSTITUTE(INDEX(Table92[[#Headers],[Archery Quotas]:[Speed Skating Quotas]], MATCH(MAX(Table92[[#This Row],[Archery Quotas]:[Speed Skating Quotas]]), Table92[[#This Row],[Archery Quotas]:[Speed Skating Quotas]], 0))," Quotas","")</f>
        <v>Biathlon</v>
      </c>
      <c r="BP125" s="6">
        <f>SUM(Table92[[#This Row],[Summer Sports]:[Winter Sports]])</f>
        <v>1</v>
      </c>
      <c r="BQ125" s="6">
        <f>COUNTIF(Table92[[#This Row],[Archery Quotas]:[Wrestling Quotas]],"&lt;&gt;0")</f>
        <v>0</v>
      </c>
      <c r="BR125" s="6">
        <f>COUNTIF(Table92[[#This Row],[Alpine Skiing Quotas]:[Speed Skating Quotas]],"&lt;&gt;0")</f>
        <v>1</v>
      </c>
      <c r="BS125" s="3" t="s">
        <v>391</v>
      </c>
    </row>
    <row r="126" spans="1:71" x14ac:dyDescent="0.3">
      <c r="A126" s="6" t="s">
        <v>466</v>
      </c>
      <c r="B126" t="e" vm="127">
        <f>IF(ISBLANK(Table92[[#This Row],[Flag Link]]), "", _xlfn.IMAGE(Table92[[#This Row],[Flag Link]],1,1))</f>
        <v>#VALUE!</v>
      </c>
      <c r="C126" s="6">
        <f>SUM(Table92[[#This Row],[Archery Quotas]:[Speed Skating Quotas]])</f>
        <v>2</v>
      </c>
      <c r="D126" s="6">
        <f>SUM(INDEX(Tabela1[[Archery - Men''s Individual Recurve]:[Archery - Mixed Team Recurve]],MATCH(Table92[[#This Row],[Country]],Tabela1[Country], 0),0))</f>
        <v>0</v>
      </c>
      <c r="E126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26" s="6">
        <f>SUM(INDEX(Tabela1[[Artistic Swimming - Women''s Duet]:[Artistic Swimming - Women''s Team]],MATCH(Table92[[#This Row],[Country]],Tabela1[Country], 0),0))</f>
        <v>0</v>
      </c>
      <c r="G126" s="6">
        <f>SUM(INDEX(Tabela1[[Athletics - Men''s 100m]:[Athletics - Women''s Heptathlon]],MATCH(Table92[[#This Row],[Country]],Tabela1[Country], 0),0))</f>
        <v>1</v>
      </c>
      <c r="H126" s="6">
        <f>SUM(INDEX(Tabela1[[Badminton - Men''s Singles]:[Badminton - Mixed Doubles]],MATCH(Table92[[#This Row],[Country]],Tabela1[Country], 0),0))</f>
        <v>0</v>
      </c>
      <c r="I126" s="6">
        <f>SUM(INDEX(Tabela1[[Basketball - Men''s Tournament]:[Basketball - Women''s Tournament]],MATCH(Table92[[#This Row],[Country]],Tabela1[Country], 0),0))</f>
        <v>0</v>
      </c>
      <c r="J126" s="6">
        <f>SUM(INDEX(Tabela1[[3x3 Basketball - Men''s Tournament]:[3x3 Basketball - Women''s Tournament]],MATCH(Table92[[#This Row],[Country]],Tabela1[Country], 0),0))</f>
        <v>0</v>
      </c>
      <c r="K126" s="6">
        <f>SUM(INDEX(Tabela1[[Beach Volleyball - Men''s Tournament]:[Beach Volleyball - Women''s Tournament]],MATCH(Table92[[#This Row],[Country]],Tabela1[Country], 0),0))</f>
        <v>0</v>
      </c>
      <c r="L126" s="6">
        <f>SUM(INDEX(Tabela1[[Boxing - Men''s 51kg]:[Boxing - Women''s 75kg]],MATCH(Table92[[#This Row],[Country]],Tabela1[Country], 0),0))</f>
        <v>0</v>
      </c>
      <c r="M126" s="6">
        <f>SUM(INDEX(Tabela1[[Breaking - Men''s Individual]:[Breaking - Women''s Individual]],MATCH(Table92[[#This Row],[Country]],Tabela1[Country], 0),0))</f>
        <v>0</v>
      </c>
      <c r="N126" s="6">
        <f>SUM(INDEX(Tabela1[[Canoeing - Men''s C1 Slalom]:[Canoeing - Women''s Kayak Cross Slalom]],MATCH(Table92[[#This Row],[Country]],Tabela1[Country], 0),0))</f>
        <v>0</v>
      </c>
      <c r="O126" s="6">
        <f>SUM(INDEX(Tabela1[[Canoeing - Women''s C1 200m]:[Canoeing - Women''s K4 500m]],MATCH(Table92[[#This Row],[Country]],Tabela1[Country], 0),0))</f>
        <v>0</v>
      </c>
      <c r="P126" s="6">
        <f>SUM(INDEX(Tabela1[[Cycling - Men''s BMX Freestyle]:[Cycling - Women''s BMX Freestyle]],MATCH(Table92[[#This Row],[Country]],Tabela1[Country], 0),0))</f>
        <v>0</v>
      </c>
      <c r="Q126" s="6">
        <f>SUM(INDEX(Tabela1[[Cycling - Men''s BMX Racing]:[Cycling - Women''s BMX Racing]],MATCH(Table92[[#This Row],[Country]],Tabela1[Country], 0),0))</f>
        <v>0</v>
      </c>
      <c r="R126" s="6">
        <f>SUM(INDEX(Tabela1[[Cycling - Men''s Cross-Country]:[Cycling - Women''s Cross-Country]],MATCH(Table92[[#This Row],[Country]],Tabela1[Country], 0),0))</f>
        <v>0</v>
      </c>
      <c r="S126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26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26" s="6">
        <f>SUM(INDEX(Tabela1[[Diving - Men''s Springboard]:[Diving - Women''s Synchronized Platform]],MATCH(Table92[[#This Row],[Country]],Tabela1[Country], 0),0))</f>
        <v>0</v>
      </c>
      <c r="V126" s="6">
        <f>SUM(INDEX(Tabela1[[Equestrian - Individual Dressage]:[Equestrian - Team Dressage]],MATCH(Table92[[#This Row],[Country]],Tabela1[Country], 0),0))</f>
        <v>0</v>
      </c>
      <c r="W126" s="6">
        <f>SUM(INDEX(Tabela1[[Equestrian - Individual Eventing]:[Equestrian - Team Eventing]],MATCH(Table92[[#This Row],[Country]],Tabela1[Country], 0),0))</f>
        <v>0</v>
      </c>
      <c r="X126" s="6">
        <f>SUM(INDEX(Tabela1[[Equestrian - Individual Jumping]:[Equestrian - Team Jumping]],MATCH(Table92[[#This Row],[Country]],Tabela1[Country], 0),0))</f>
        <v>0</v>
      </c>
      <c r="Y126" s="6">
        <f>SUM(INDEX(Tabela1[[Fencing - Men''s Épée]:[Fencing - Women''s Team Sabre]],MATCH(Table92[[#This Row],[Country]],Tabela1[Country], 0),0))</f>
        <v>0</v>
      </c>
      <c r="Z126" s="6">
        <f>SUM(INDEX(Tabela1[[Field Hockey - Men''s Tournament]:[Field Hockey - Women''s Tournament]],MATCH(Table92[[#This Row],[Country]],Tabela1[Country], 0),0))</f>
        <v>0</v>
      </c>
      <c r="AA126" s="6">
        <f>SUM(INDEX(Tabela1[[Football - Men''s Tournament]:[Football - Women''s Tournament]],MATCH(Table92[[#This Row],[Country]],Tabela1[Country], 0),0))</f>
        <v>0</v>
      </c>
      <c r="AB126" s="6">
        <f>SUM(INDEX(Tabela1[[Golf - Men''s Individual]:[Golf - Women''s Individual]],MATCH(Table92[[#This Row],[Country]],Tabela1[Country], 0),0))</f>
        <v>0</v>
      </c>
      <c r="AC126" s="6">
        <f>SUM(INDEX(Tabela1[[Handball - Men''s Tournament]:[Handball - Women''s Tournament]],MATCH(Table92[[#This Row],[Country]],Tabela1[Country], 0),0))</f>
        <v>0</v>
      </c>
      <c r="AD126" s="6">
        <f>SUM(INDEX(Tabela1[[Judo - Men''s 60kg]:[Judo - Mixed Team]],MATCH(Table92[[#This Row],[Country]],Tabela1[Country], 0),0))</f>
        <v>0</v>
      </c>
      <c r="AE126" s="6">
        <f>SUM(INDEX(Tabela1[[Swimming - Men''s 10km Open Water]:[Swimming - Women''s 10km Open Water]],MATCH(Table92[[#This Row],[Country]],Tabela1[Country], 0),0))</f>
        <v>0</v>
      </c>
      <c r="AF126" s="6">
        <f>SUM(INDEX(Tabela1[[Modern Pentathlon - Men''s Individual]:[Modern Pentathlon - Women''s Individual]],MATCH(Table92[[#This Row],[Country]],Tabela1[Country], 0),0))</f>
        <v>0</v>
      </c>
      <c r="AG126" s="6">
        <f>SUM(INDEX(Tabela1[[Rhythmic Gymnastics - Women''s Individual All-Around]:[Rhythmic Gymnastics - Women''s Group All-Around]],MATCH(Table92[[#This Row],[Country]],Tabela1[Country], 0),0))</f>
        <v>0</v>
      </c>
      <c r="AH126" s="6">
        <f>SUM(INDEX(Tabela1[[Rowing - Men''s Single Sculls]:[Rowing - Women''s Lwt. Double Sculls]],MATCH(Table92[[#This Row],[Country]],Tabela1[Country], 0),0))</f>
        <v>0</v>
      </c>
      <c r="AI126" s="6">
        <f>SUM(INDEX(Tabela1[[Rugby Sevens - Men''s Tournament]:[Rugby Sevens - Women''s Tournament]],MATCH(Table92[[#This Row],[Country]],Tabela1[Country], 0),0))</f>
        <v>0</v>
      </c>
      <c r="AJ126" s="6">
        <f>SUM(INDEX(Tabela1[[Sailing - Mixed 470]:[Sailing - Mixed Nacra 17]],MATCH(Table92[[#This Row],[Country]],Tabela1[Country], 0),0))</f>
        <v>0</v>
      </c>
      <c r="AK126" s="6">
        <f>SUM(INDEX(Tabela1[[Shooting - Men''s 10m Air Pistol]:[Shooting - Women''s Trap]],MATCH(Table92[[#This Row],[Country]],Tabela1[Country], 0),0))</f>
        <v>1</v>
      </c>
      <c r="AL126" s="6">
        <f>SUM(INDEX(Tabela1[[Skateboarding - Men''s Park]:[Skateboarding - Women''s Street]],MATCH(Table92[[#This Row],[Country]],Tabela1[Country], 0),0))</f>
        <v>0</v>
      </c>
      <c r="AM126" s="6">
        <f>SUM(INDEX(Tabela1[[Sport Climbing - Men''s Boulder and Lead]:[Sport Climbing - Women''s Speed]],MATCH(Table92[[#This Row],[Country]],Tabela1[Country], 0),0))</f>
        <v>0</v>
      </c>
      <c r="AN126" s="6">
        <f>SUM(INDEX(Tabela1[[Surfing - Men''s Shortboard]:[Surfing - Women''s Shortboard]],MATCH(Table92[[#This Row],[Country]],Tabela1[Country], 0),0))</f>
        <v>0</v>
      </c>
      <c r="AO126" s="6">
        <f>SUM(INDEX(Tabela1[[Swimming - Men''s 50m Freestyle]:[Swimming - Mixed 4x100m Medley Relay]],MATCH(Table92[[#This Row],[Country]],Tabela1[Country], 0),0))</f>
        <v>0</v>
      </c>
      <c r="AP126" s="6">
        <f>SUM(INDEX(Tabela1[[Table Tennis - Men''s Singles]:[Table Tennis - Mixed Doubles]],MATCH(Table92[[#This Row],[Country]],Tabela1[Country], 0),0))</f>
        <v>0</v>
      </c>
      <c r="AQ126" s="6">
        <f>SUM(INDEX(Tabela1[[Taekwondo - Men''s 58kg]:[Taekwondo - Women''s +67kg]],MATCH(Table92[[#This Row],[Country]],Tabela1[Country], 0),0))</f>
        <v>0</v>
      </c>
      <c r="AR126" s="6">
        <f>SUM(INDEX(Tabela1[[Tennis - Men''s Singles]:[Tennis - Mixed Doubles]],MATCH(Table92[[#This Row],[Country]],Tabela1[Country], 0),0))</f>
        <v>0</v>
      </c>
      <c r="AS126" s="6">
        <f>SUM(INDEX(Tabela1[[Gymnastics - Men''s Trampoline]:[Gymnastics - Women''s Trampoline]],MATCH(Table92[[#This Row],[Country]],Tabela1[Country], 0),0))</f>
        <v>0</v>
      </c>
      <c r="AT126" s="6">
        <f>SUM(INDEX(Tabela1[[Triathlon - Men''s Individual]:[Triathlon - Mixed Relay]],MATCH(Table92[[#This Row],[Country]],Tabela1[Country], 0),0))</f>
        <v>0</v>
      </c>
      <c r="AU126" s="6">
        <f>SUM(INDEX(Tabela1[[Volleyball - Men''s Tournament]:[Volleyball - Women''s Tournament]],MATCH(Table92[[#This Row],[Country]],Tabela1[Country], 0),0))</f>
        <v>0</v>
      </c>
      <c r="AV126" s="6">
        <f>SUM(INDEX(Tabela1[[Water Polo - Men''s Tournament]:[Water Polo - Women''s Tournament]],MATCH(Table92[[#This Row],[Country]],Tabela1[Country], 0),0))</f>
        <v>0</v>
      </c>
      <c r="AW126" s="6">
        <f>SUM(INDEX(Tabela1[[Weightlifting - Men''s 61kg]:[Weightlifting - Women''s +81kg]],MATCH(Table92[[#This Row],[Country]],Tabela1[Country], 0),0))</f>
        <v>0</v>
      </c>
      <c r="AX126" s="6">
        <f>SUM(INDEX(Tabela1[[Wrestling - Men''s Freestyle 57kg]:[Wrestling - Women''s Freestyle 76kg]],MATCH(Table92[[#This Row],[Country]],Tabela1[Country], 0),0))</f>
        <v>0</v>
      </c>
      <c r="AY126" s="6">
        <f>SUM(INDEX(Tabela1[[Alpine Skiing - Men''s Downhill]:[Alpine Skiing - Women''s Team Combined]],MATCH(Table92[[#This Row],[Country]],Tabela1[Country], 0),0))</f>
        <v>0</v>
      </c>
      <c r="AZ126" s="6">
        <f>SUM(INDEX(Tabela1[[Biathlon - Men''s Individual]:[Biathlon - Mixed Relay]],MATCH(Table92[[#This Row],[Country]],Tabela1[Country], 0),0))</f>
        <v>0</v>
      </c>
      <c r="BA126" s="6">
        <f>SUM(INDEX(Tabela1[[Bobsleigh - Women''s Monobob]:[Bobsleigh - Men''s Four]],MATCH(Table92[[#This Row],[Country]],Tabela1[Country], 0),0))</f>
        <v>0</v>
      </c>
      <c r="BB126" s="6">
        <f>SUM(INDEX(Tabela1[[Cross-country skiing - Men''s Classical]:[Cross-country skiing - Women''s Team Sprint]],MATCH(Table92[[#This Row],[Country]],Tabela1[Country], 0),0))</f>
        <v>0</v>
      </c>
      <c r="BC126" s="6">
        <f>SUM(INDEX(Tabela1[[Curling - Men''s Tournament]:[Curling - Mixed Doubles]],MATCH(Table92[[#This Row],[Country]],Tabela1[Country], 0),0))</f>
        <v>0</v>
      </c>
      <c r="BD126" s="6">
        <f>SUM(INDEX(Tabela1[[Figure Skating - Men''s Singles]:[Figure Skating - Team Event]],MATCH(Table92[[#This Row],[Country]],Tabela1[Country], 0),0))</f>
        <v>0</v>
      </c>
      <c r="BE126" s="6">
        <f>SUM(INDEX(Tabela1[[Freestyle Skiing - Men''s Aerials]:[Freestyle Skiing - Women''s Slopestyle]],MATCH(Table92[[#This Row],[Country]],Tabela1[Country], 0),0))</f>
        <v>0</v>
      </c>
      <c r="BF126" s="6">
        <f>SUM(INDEX(Tabela1[[Ice Hockey - Men''s Tournament]:[Ice Hockey - Women''s Tournament]],MATCH(Table92[[#This Row],[Country]],Tabela1[Country], 0),0))</f>
        <v>0</v>
      </c>
      <c r="BG126" s="6">
        <f>SUM(INDEX(Tabela1[[Luge - Men''s Singles]:[Luge - Mixed Team Relay]],MATCH(Table92[[#This Row],[Country]],Tabela1[Country], 0),0))</f>
        <v>0</v>
      </c>
      <c r="BH126" s="6">
        <f>SUM(INDEX(Tabela1[[Nordic Combined - Men''s Individual]:[Nordic Combined - Men''s Team Sprint Large Hill]],MATCH(Table92[[#This Row],[Country]],Tabela1[Country], 0),0))</f>
        <v>0</v>
      </c>
      <c r="BI126" s="6">
        <f>SUM(INDEX(Tabela1[[Short track speed skating - Men''s 500m]:[Short track speed skating - Mixed 2000m Relay]],MATCH(Table92[[#This Row],[Country]],Tabela1[Country], 0),0))</f>
        <v>0</v>
      </c>
      <c r="BJ126" s="6">
        <f>SUM(INDEX(Tabela1[[Skeleton - Men''s Individual]:[Skeleton - Mixed Team]],MATCH(Table92[[#This Row],[Country]],Tabela1[Country], 0),0))</f>
        <v>0</v>
      </c>
      <c r="BK126" s="6">
        <f>SUM(INDEX(Tabela1[[Ski Jumping - Men''s Individual Large Hill]:[Ski Jumping - Mixed Team Normal Hill]],MATCH(Table92[[#This Row],[Country]],Tabela1[Country], 0),0))</f>
        <v>0</v>
      </c>
      <c r="BL126" s="6">
        <f>SUM(INDEX(Tabela1[[Ski Mountaineering - Men''s Sprint]:[Ski Mountaineering - Mixed Relay]],MATCH(Table92[[#This Row],[Country]],Tabela1[Country], 0),0))</f>
        <v>0</v>
      </c>
      <c r="BM126" s="6">
        <f>SUM(INDEX(Tabela1[[Snowboarding - Men''s Big Air]:[Snowboarding - Mixed Team Snowboard Cross]],MATCH(Table92[[#This Row],[Country]],Tabela1[Country], 0),0))</f>
        <v>0</v>
      </c>
      <c r="BN126" s="6">
        <f>SUM(INDEX(Tabela1[[Speed Skating - Men''s 500m]:[Speed Skating - Women''s Team Pursuit]],MATCH(Table92[[#This Row],[Country]],Tabela1[Country], 0),0))</f>
        <v>0</v>
      </c>
      <c r="BO126" s="6" t="str">
        <f>SUBSTITUTE(INDEX(Table92[[#Headers],[Archery Quotas]:[Speed Skating Quotas]], MATCH(MAX(Table92[[#This Row],[Archery Quotas]:[Speed Skating Quotas]]), Table92[[#This Row],[Archery Quotas]:[Speed Skating Quotas]], 0))," Quotas","")</f>
        <v>Athletics</v>
      </c>
      <c r="BP126" s="6">
        <f>SUM(Table92[[#This Row],[Summer Sports]:[Winter Sports]])</f>
        <v>2</v>
      </c>
      <c r="BQ126" s="6">
        <f>COUNTIF(Table92[[#This Row],[Archery Quotas]:[Wrestling Quotas]],"&lt;&gt;0")</f>
        <v>2</v>
      </c>
      <c r="BR126" s="6">
        <f>COUNTIF(Table92[[#This Row],[Alpine Skiing Quotas]:[Speed Skating Quotas]],"&lt;&gt;0")</f>
        <v>0</v>
      </c>
      <c r="BS126" s="4" t="s">
        <v>467</v>
      </c>
    </row>
    <row r="127" spans="1:71" x14ac:dyDescent="0.3">
      <c r="A127" s="6" t="s">
        <v>664</v>
      </c>
      <c r="B127" t="e" vm="125">
        <f>IF(ISBLANK(Table92[[#This Row],[Flag Link]]), "", _xlfn.IMAGE(Table92[[#This Row],[Flag Link]],1,1))</f>
        <v>#VALUE!</v>
      </c>
      <c r="C127" s="6">
        <f>SUM(Table92[[#This Row],[Archery Quotas]:[Speed Skating Quotas]])</f>
        <v>2</v>
      </c>
      <c r="D127" s="6">
        <f>SUM(INDEX(Tabela1[[Archery - Men''s Individual Recurve]:[Archery - Mixed Team Recurve]],MATCH(Table92[[#This Row],[Country]],Tabela1[Country], 0),0))</f>
        <v>0</v>
      </c>
      <c r="E127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27" s="6">
        <f>SUM(INDEX(Tabela1[[Artistic Swimming - Women''s Duet]:[Artistic Swimming - Women''s Team]],MATCH(Table92[[#This Row],[Country]],Tabela1[Country], 0),0))</f>
        <v>0</v>
      </c>
      <c r="G127" s="6">
        <f>SUM(INDEX(Tabela1[[Athletics - Men''s 100m]:[Athletics - Women''s Heptathlon]],MATCH(Table92[[#This Row],[Country]],Tabela1[Country], 0),0))</f>
        <v>1</v>
      </c>
      <c r="H127" s="6">
        <f>SUM(INDEX(Tabela1[[Badminton - Men''s Singles]:[Badminton - Mixed Doubles]],MATCH(Table92[[#This Row],[Country]],Tabela1[Country], 0),0))</f>
        <v>0</v>
      </c>
      <c r="I127" s="6">
        <f>SUM(INDEX(Tabela1[[Basketball - Men''s Tournament]:[Basketball - Women''s Tournament]],MATCH(Table92[[#This Row],[Country]],Tabela1[Country], 0),0))</f>
        <v>0</v>
      </c>
      <c r="J127" s="6">
        <f>SUM(INDEX(Tabela1[[3x3 Basketball - Men''s Tournament]:[3x3 Basketball - Women''s Tournament]],MATCH(Table92[[#This Row],[Country]],Tabela1[Country], 0),0))</f>
        <v>0</v>
      </c>
      <c r="K127" s="6">
        <f>SUM(INDEX(Tabela1[[Beach Volleyball - Men''s Tournament]:[Beach Volleyball - Women''s Tournament]],MATCH(Table92[[#This Row],[Country]],Tabela1[Country], 0),0))</f>
        <v>0</v>
      </c>
      <c r="L127" s="6">
        <f>SUM(INDEX(Tabela1[[Boxing - Men''s 51kg]:[Boxing - Women''s 75kg]],MATCH(Table92[[#This Row],[Country]],Tabela1[Country], 0),0))</f>
        <v>1</v>
      </c>
      <c r="M127" s="6">
        <f>SUM(INDEX(Tabela1[[Breaking - Men''s Individual]:[Breaking - Women''s Individual]],MATCH(Table92[[#This Row],[Country]],Tabela1[Country], 0),0))</f>
        <v>0</v>
      </c>
      <c r="N127" s="6">
        <f>SUM(INDEX(Tabela1[[Canoeing - Men''s C1 Slalom]:[Canoeing - Women''s Kayak Cross Slalom]],MATCH(Table92[[#This Row],[Country]],Tabela1[Country], 0),0))</f>
        <v>0</v>
      </c>
      <c r="O127" s="6">
        <f>SUM(INDEX(Tabela1[[Canoeing - Women''s C1 200m]:[Canoeing - Women''s K4 500m]],MATCH(Table92[[#This Row],[Country]],Tabela1[Country], 0),0))</f>
        <v>0</v>
      </c>
      <c r="P127" s="6">
        <f>SUM(INDEX(Tabela1[[Cycling - Men''s BMX Freestyle]:[Cycling - Women''s BMX Freestyle]],MATCH(Table92[[#This Row],[Country]],Tabela1[Country], 0),0))</f>
        <v>0</v>
      </c>
      <c r="Q127" s="6">
        <f>SUM(INDEX(Tabela1[[Cycling - Men''s BMX Racing]:[Cycling - Women''s BMX Racing]],MATCH(Table92[[#This Row],[Country]],Tabela1[Country], 0),0))</f>
        <v>0</v>
      </c>
      <c r="R127" s="6">
        <f>SUM(INDEX(Tabela1[[Cycling - Men''s Cross-Country]:[Cycling - Women''s Cross-Country]],MATCH(Table92[[#This Row],[Country]],Tabela1[Country], 0),0))</f>
        <v>0</v>
      </c>
      <c r="S127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27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27" s="6">
        <f>SUM(INDEX(Tabela1[[Diving - Men''s Springboard]:[Diving - Women''s Synchronized Platform]],MATCH(Table92[[#This Row],[Country]],Tabela1[Country], 0),0))</f>
        <v>0</v>
      </c>
      <c r="V127" s="6">
        <f>SUM(INDEX(Tabela1[[Equestrian - Individual Dressage]:[Equestrian - Team Dressage]],MATCH(Table92[[#This Row],[Country]],Tabela1[Country], 0),0))</f>
        <v>0</v>
      </c>
      <c r="W127" s="6">
        <f>SUM(INDEX(Tabela1[[Equestrian - Individual Eventing]:[Equestrian - Team Eventing]],MATCH(Table92[[#This Row],[Country]],Tabela1[Country], 0),0))</f>
        <v>0</v>
      </c>
      <c r="X127" s="6">
        <f>SUM(INDEX(Tabela1[[Equestrian - Individual Jumping]:[Equestrian - Team Jumping]],MATCH(Table92[[#This Row],[Country]],Tabela1[Country], 0),0))</f>
        <v>0</v>
      </c>
      <c r="Y127" s="6">
        <f>SUM(INDEX(Tabela1[[Fencing - Men''s Épée]:[Fencing - Women''s Team Sabre]],MATCH(Table92[[#This Row],[Country]],Tabela1[Country], 0),0))</f>
        <v>0</v>
      </c>
      <c r="Z127" s="6">
        <f>SUM(INDEX(Tabela1[[Field Hockey - Men''s Tournament]:[Field Hockey - Women''s Tournament]],MATCH(Table92[[#This Row],[Country]],Tabela1[Country], 0),0))</f>
        <v>0</v>
      </c>
      <c r="AA127" s="6">
        <f>SUM(INDEX(Tabela1[[Football - Men''s Tournament]:[Football - Women''s Tournament]],MATCH(Table92[[#This Row],[Country]],Tabela1[Country], 0),0))</f>
        <v>0</v>
      </c>
      <c r="AB127" s="6">
        <f>SUM(INDEX(Tabela1[[Golf - Men''s Individual]:[Golf - Women''s Individual]],MATCH(Table92[[#This Row],[Country]],Tabela1[Country], 0),0))</f>
        <v>0</v>
      </c>
      <c r="AC127" s="6">
        <f>SUM(INDEX(Tabela1[[Handball - Men''s Tournament]:[Handball - Women''s Tournament]],MATCH(Table92[[#This Row],[Country]],Tabela1[Country], 0),0))</f>
        <v>0</v>
      </c>
      <c r="AD127" s="6">
        <f>SUM(INDEX(Tabela1[[Judo - Men''s 60kg]:[Judo - Mixed Team]],MATCH(Table92[[#This Row],[Country]],Tabela1[Country], 0),0))</f>
        <v>0</v>
      </c>
      <c r="AE127" s="6">
        <f>SUM(INDEX(Tabela1[[Swimming - Men''s 10km Open Water]:[Swimming - Women''s 10km Open Water]],MATCH(Table92[[#This Row],[Country]],Tabela1[Country], 0),0))</f>
        <v>0</v>
      </c>
      <c r="AF127" s="6">
        <f>SUM(INDEX(Tabela1[[Modern Pentathlon - Men''s Individual]:[Modern Pentathlon - Women''s Individual]],MATCH(Table92[[#This Row],[Country]],Tabela1[Country], 0),0))</f>
        <v>0</v>
      </c>
      <c r="AG127" s="6">
        <f>SUM(INDEX(Tabela1[[Rhythmic Gymnastics - Women''s Individual All-Around]:[Rhythmic Gymnastics - Women''s Group All-Around]],MATCH(Table92[[#This Row],[Country]],Tabela1[Country], 0),0))</f>
        <v>0</v>
      </c>
      <c r="AH127" s="6">
        <f>SUM(INDEX(Tabela1[[Rowing - Men''s Single Sculls]:[Rowing - Women''s Lwt. Double Sculls]],MATCH(Table92[[#This Row],[Country]],Tabela1[Country], 0),0))</f>
        <v>0</v>
      </c>
      <c r="AI127" s="6">
        <f>SUM(INDEX(Tabela1[[Rugby Sevens - Men''s Tournament]:[Rugby Sevens - Women''s Tournament]],MATCH(Table92[[#This Row],[Country]],Tabela1[Country], 0),0))</f>
        <v>0</v>
      </c>
      <c r="AJ127" s="6">
        <f>SUM(INDEX(Tabela1[[Sailing - Mixed 470]:[Sailing - Mixed Nacra 17]],MATCH(Table92[[#This Row],[Country]],Tabela1[Country], 0),0))</f>
        <v>0</v>
      </c>
      <c r="AK127" s="6">
        <f>SUM(INDEX(Tabela1[[Shooting - Men''s 10m Air Pistol]:[Shooting - Women''s Trap]],MATCH(Table92[[#This Row],[Country]],Tabela1[Country], 0),0))</f>
        <v>0</v>
      </c>
      <c r="AL127" s="6">
        <f>SUM(INDEX(Tabela1[[Skateboarding - Men''s Park]:[Skateboarding - Women''s Street]],MATCH(Table92[[#This Row],[Country]],Tabela1[Country], 0),0))</f>
        <v>0</v>
      </c>
      <c r="AM127" s="6">
        <f>SUM(INDEX(Tabela1[[Sport Climbing - Men''s Boulder and Lead]:[Sport Climbing - Women''s Speed]],MATCH(Table92[[#This Row],[Country]],Tabela1[Country], 0),0))</f>
        <v>0</v>
      </c>
      <c r="AN127" s="6">
        <f>SUM(INDEX(Tabela1[[Surfing - Men''s Shortboard]:[Surfing - Women''s Shortboard]],MATCH(Table92[[#This Row],[Country]],Tabela1[Country], 0),0))</f>
        <v>0</v>
      </c>
      <c r="AO127" s="6">
        <f>SUM(INDEX(Tabela1[[Swimming - Men''s 50m Freestyle]:[Swimming - Mixed 4x100m Medley Relay]],MATCH(Table92[[#This Row],[Country]],Tabela1[Country], 0),0))</f>
        <v>0</v>
      </c>
      <c r="AP127" s="6">
        <f>SUM(INDEX(Tabela1[[Table Tennis - Men''s Singles]:[Table Tennis - Mixed Doubles]],MATCH(Table92[[#This Row],[Country]],Tabela1[Country], 0),0))</f>
        <v>0</v>
      </c>
      <c r="AQ127" s="6">
        <f>SUM(INDEX(Tabela1[[Taekwondo - Men''s 58kg]:[Taekwondo - Women''s +67kg]],MATCH(Table92[[#This Row],[Country]],Tabela1[Country], 0),0))</f>
        <v>0</v>
      </c>
      <c r="AR127" s="6">
        <f>SUM(INDEX(Tabela1[[Tennis - Men''s Singles]:[Tennis - Mixed Doubles]],MATCH(Table92[[#This Row],[Country]],Tabela1[Country], 0),0))</f>
        <v>0</v>
      </c>
      <c r="AS127" s="6">
        <f>SUM(INDEX(Tabela1[[Gymnastics - Men''s Trampoline]:[Gymnastics - Women''s Trampoline]],MATCH(Table92[[#This Row],[Country]],Tabela1[Country], 0),0))</f>
        <v>0</v>
      </c>
      <c r="AT127" s="6">
        <f>SUM(INDEX(Tabela1[[Triathlon - Men''s Individual]:[Triathlon - Mixed Relay]],MATCH(Table92[[#This Row],[Country]],Tabela1[Country], 0),0))</f>
        <v>0</v>
      </c>
      <c r="AU127" s="6">
        <f>SUM(INDEX(Tabela1[[Volleyball - Men''s Tournament]:[Volleyball - Women''s Tournament]],MATCH(Table92[[#This Row],[Country]],Tabela1[Country], 0),0))</f>
        <v>0</v>
      </c>
      <c r="AV127" s="6">
        <f>SUM(INDEX(Tabela1[[Water Polo - Men''s Tournament]:[Water Polo - Women''s Tournament]],MATCH(Table92[[#This Row],[Country]],Tabela1[Country], 0),0))</f>
        <v>0</v>
      </c>
      <c r="AW127" s="6">
        <f>SUM(INDEX(Tabela1[[Weightlifting - Men''s 61kg]:[Weightlifting - Women''s +81kg]],MATCH(Table92[[#This Row],[Country]],Tabela1[Country], 0),0))</f>
        <v>0</v>
      </c>
      <c r="AX127" s="6">
        <f>SUM(INDEX(Tabela1[[Wrestling - Men''s Freestyle 57kg]:[Wrestling - Women''s Freestyle 76kg]],MATCH(Table92[[#This Row],[Country]],Tabela1[Country], 0),0))</f>
        <v>0</v>
      </c>
      <c r="AY127" s="6">
        <f>SUM(INDEX(Tabela1[[Alpine Skiing - Men''s Downhill]:[Alpine Skiing - Women''s Team Combined]],MATCH(Table92[[#This Row],[Country]],Tabela1[Country], 0),0))</f>
        <v>0</v>
      </c>
      <c r="AZ127" s="6">
        <f>SUM(INDEX(Tabela1[[Biathlon - Men''s Individual]:[Biathlon - Mixed Relay]],MATCH(Table92[[#This Row],[Country]],Tabela1[Country], 0),0))</f>
        <v>0</v>
      </c>
      <c r="BA127" s="6">
        <f>SUM(INDEX(Tabela1[[Bobsleigh - Women''s Monobob]:[Bobsleigh - Men''s Four]],MATCH(Table92[[#This Row],[Country]],Tabela1[Country], 0),0))</f>
        <v>0</v>
      </c>
      <c r="BB127" s="6">
        <f>SUM(INDEX(Tabela1[[Cross-country skiing - Men''s Classical]:[Cross-country skiing - Women''s Team Sprint]],MATCH(Table92[[#This Row],[Country]],Tabela1[Country], 0),0))</f>
        <v>0</v>
      </c>
      <c r="BC127" s="6">
        <f>SUM(INDEX(Tabela1[[Curling - Men''s Tournament]:[Curling - Mixed Doubles]],MATCH(Table92[[#This Row],[Country]],Tabela1[Country], 0),0))</f>
        <v>0</v>
      </c>
      <c r="BD127" s="6">
        <f>SUM(INDEX(Tabela1[[Figure Skating - Men''s Singles]:[Figure Skating - Team Event]],MATCH(Table92[[#This Row],[Country]],Tabela1[Country], 0),0))</f>
        <v>0</v>
      </c>
      <c r="BE127" s="6">
        <f>SUM(INDEX(Tabela1[[Freestyle Skiing - Men''s Aerials]:[Freestyle Skiing - Women''s Slopestyle]],MATCH(Table92[[#This Row],[Country]],Tabela1[Country], 0),0))</f>
        <v>0</v>
      </c>
      <c r="BF127" s="6">
        <f>SUM(INDEX(Tabela1[[Ice Hockey - Men''s Tournament]:[Ice Hockey - Women''s Tournament]],MATCH(Table92[[#This Row],[Country]],Tabela1[Country], 0),0))</f>
        <v>0</v>
      </c>
      <c r="BG127" s="6">
        <f>SUM(INDEX(Tabela1[[Luge - Men''s Singles]:[Luge - Mixed Team Relay]],MATCH(Table92[[#This Row],[Country]],Tabela1[Country], 0),0))</f>
        <v>0</v>
      </c>
      <c r="BH127" s="6">
        <f>SUM(INDEX(Tabela1[[Nordic Combined - Men''s Individual]:[Nordic Combined - Men''s Team Sprint Large Hill]],MATCH(Table92[[#This Row],[Country]],Tabela1[Country], 0),0))</f>
        <v>0</v>
      </c>
      <c r="BI127" s="6">
        <f>SUM(INDEX(Tabela1[[Short track speed skating - Men''s 500m]:[Short track speed skating - Mixed 2000m Relay]],MATCH(Table92[[#This Row],[Country]],Tabela1[Country], 0),0))</f>
        <v>0</v>
      </c>
      <c r="BJ127" s="6">
        <f>SUM(INDEX(Tabela1[[Skeleton - Men''s Individual]:[Skeleton - Mixed Team]],MATCH(Table92[[#This Row],[Country]],Tabela1[Country], 0),0))</f>
        <v>0</v>
      </c>
      <c r="BK127" s="6">
        <f>SUM(INDEX(Tabela1[[Ski Jumping - Men''s Individual Large Hill]:[Ski Jumping - Mixed Team Normal Hill]],MATCH(Table92[[#This Row],[Country]],Tabela1[Country], 0),0))</f>
        <v>0</v>
      </c>
      <c r="BL127" s="6">
        <f>SUM(INDEX(Tabela1[[Ski Mountaineering - Men''s Sprint]:[Ski Mountaineering - Mixed Relay]],MATCH(Table92[[#This Row],[Country]],Tabela1[Country], 0),0))</f>
        <v>0</v>
      </c>
      <c r="BM127" s="6">
        <f>SUM(INDEX(Tabela1[[Snowboarding - Men''s Big Air]:[Snowboarding - Mixed Team Snowboard Cross]],MATCH(Table92[[#This Row],[Country]],Tabela1[Country], 0),0))</f>
        <v>0</v>
      </c>
      <c r="BN127" s="6">
        <f>SUM(INDEX(Tabela1[[Speed Skating - Men''s 500m]:[Speed Skating - Women''s Team Pursuit]],MATCH(Table92[[#This Row],[Country]],Tabela1[Country], 0),0))</f>
        <v>0</v>
      </c>
      <c r="BO127" s="6" t="str">
        <f>SUBSTITUTE(INDEX(Table92[[#Headers],[Archery Quotas]:[Speed Skating Quotas]], MATCH(MAX(Table92[[#This Row],[Archery Quotas]:[Speed Skating Quotas]]), Table92[[#This Row],[Archery Quotas]:[Speed Skating Quotas]], 0))," Quotas","")</f>
        <v>Athletics</v>
      </c>
      <c r="BP127" s="6">
        <f>SUM(Table92[[#This Row],[Summer Sports]:[Winter Sports]])</f>
        <v>2</v>
      </c>
      <c r="BQ127" s="6">
        <f>COUNTIF(Table92[[#This Row],[Archery Quotas]:[Wrestling Quotas]],"&lt;&gt;0")</f>
        <v>2</v>
      </c>
      <c r="BR127" s="6">
        <f>COUNTIF(Table92[[#This Row],[Alpine Skiing Quotas]:[Speed Skating Quotas]],"&lt;&gt;0")</f>
        <v>0</v>
      </c>
      <c r="BS127" s="4" t="s">
        <v>665</v>
      </c>
    </row>
    <row r="128" spans="1:71" x14ac:dyDescent="0.3">
      <c r="A128" s="6" t="s">
        <v>398</v>
      </c>
      <c r="B128" t="e" vm="115">
        <f>IF(ISBLANK(Table92[[#This Row],[Flag Link]]), "", _xlfn.IMAGE(Table92[[#This Row],[Flag Link]],1,1))</f>
        <v>#VALUE!</v>
      </c>
      <c r="C128" s="6">
        <f>SUM(Table92[[#This Row],[Archery Quotas]:[Speed Skating Quotas]])</f>
        <v>2</v>
      </c>
      <c r="D128" s="6">
        <f>SUM(INDEX(Tabela1[[Archery - Men''s Individual Recurve]:[Archery - Mixed Team Recurve]],MATCH(Table92[[#This Row],[Country]],Tabela1[Country], 0),0))</f>
        <v>0</v>
      </c>
      <c r="E128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28" s="6">
        <f>SUM(INDEX(Tabela1[[Artistic Swimming - Women''s Duet]:[Artistic Swimming - Women''s Team]],MATCH(Table92[[#This Row],[Country]],Tabela1[Country], 0),0))</f>
        <v>0</v>
      </c>
      <c r="G128" s="6">
        <f>SUM(INDEX(Tabela1[[Athletics - Men''s 100m]:[Athletics - Women''s Heptathlon]],MATCH(Table92[[#This Row],[Country]],Tabela1[Country], 0),0))</f>
        <v>0</v>
      </c>
      <c r="H128" s="6">
        <f>SUM(INDEX(Tabela1[[Badminton - Men''s Singles]:[Badminton - Mixed Doubles]],MATCH(Table92[[#This Row],[Country]],Tabela1[Country], 0),0))</f>
        <v>0</v>
      </c>
      <c r="I128" s="6">
        <f>SUM(INDEX(Tabela1[[Basketball - Men''s Tournament]:[Basketball - Women''s Tournament]],MATCH(Table92[[#This Row],[Country]],Tabela1[Country], 0),0))</f>
        <v>2</v>
      </c>
      <c r="J128" s="6">
        <f>SUM(INDEX(Tabela1[[3x3 Basketball - Men''s Tournament]:[3x3 Basketball - Women''s Tournament]],MATCH(Table92[[#This Row],[Country]],Tabela1[Country], 0),0))</f>
        <v>0</v>
      </c>
      <c r="K128" s="6">
        <f>SUM(INDEX(Tabela1[[Beach Volleyball - Men''s Tournament]:[Beach Volleyball - Women''s Tournament]],MATCH(Table92[[#This Row],[Country]],Tabela1[Country], 0),0))</f>
        <v>0</v>
      </c>
      <c r="L128" s="6">
        <f>SUM(INDEX(Tabela1[[Boxing - Men''s 51kg]:[Boxing - Women''s 75kg]],MATCH(Table92[[#This Row],[Country]],Tabela1[Country], 0),0))</f>
        <v>0</v>
      </c>
      <c r="M128" s="6">
        <f>SUM(INDEX(Tabela1[[Breaking - Men''s Individual]:[Breaking - Women''s Individual]],MATCH(Table92[[#This Row],[Country]],Tabela1[Country], 0),0))</f>
        <v>0</v>
      </c>
      <c r="N128" s="6">
        <f>SUM(INDEX(Tabela1[[Canoeing - Men''s C1 Slalom]:[Canoeing - Women''s Kayak Cross Slalom]],MATCH(Table92[[#This Row],[Country]],Tabela1[Country], 0),0))</f>
        <v>0</v>
      </c>
      <c r="O128" s="6">
        <f>SUM(INDEX(Tabela1[[Canoeing - Women''s C1 200m]:[Canoeing - Women''s K4 500m]],MATCH(Table92[[#This Row],[Country]],Tabela1[Country], 0),0))</f>
        <v>0</v>
      </c>
      <c r="P128" s="6">
        <f>SUM(INDEX(Tabela1[[Cycling - Men''s BMX Freestyle]:[Cycling - Women''s BMX Freestyle]],MATCH(Table92[[#This Row],[Country]],Tabela1[Country], 0),0))</f>
        <v>0</v>
      </c>
      <c r="Q128" s="6">
        <f>SUM(INDEX(Tabela1[[Cycling - Men''s BMX Racing]:[Cycling - Women''s BMX Racing]],MATCH(Table92[[#This Row],[Country]],Tabela1[Country], 0),0))</f>
        <v>0</v>
      </c>
      <c r="R128" s="6">
        <f>SUM(INDEX(Tabela1[[Cycling - Men''s Cross-Country]:[Cycling - Women''s Cross-Country]],MATCH(Table92[[#This Row],[Country]],Tabela1[Country], 0),0))</f>
        <v>0</v>
      </c>
      <c r="S128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28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28" s="6">
        <f>SUM(INDEX(Tabela1[[Diving - Men''s Springboard]:[Diving - Women''s Synchronized Platform]],MATCH(Table92[[#This Row],[Country]],Tabela1[Country], 0),0))</f>
        <v>0</v>
      </c>
      <c r="V128" s="6">
        <f>SUM(INDEX(Tabela1[[Equestrian - Individual Dressage]:[Equestrian - Team Dressage]],MATCH(Table92[[#This Row],[Country]],Tabela1[Country], 0),0))</f>
        <v>0</v>
      </c>
      <c r="W128" s="6">
        <f>SUM(INDEX(Tabela1[[Equestrian - Individual Eventing]:[Equestrian - Team Eventing]],MATCH(Table92[[#This Row],[Country]],Tabela1[Country], 0),0))</f>
        <v>0</v>
      </c>
      <c r="X128" s="6">
        <f>SUM(INDEX(Tabela1[[Equestrian - Individual Jumping]:[Equestrian - Team Jumping]],MATCH(Table92[[#This Row],[Country]],Tabela1[Country], 0),0))</f>
        <v>0</v>
      </c>
      <c r="Y128" s="6">
        <f>SUM(INDEX(Tabela1[[Fencing - Men''s Épée]:[Fencing - Women''s Team Sabre]],MATCH(Table92[[#This Row],[Country]],Tabela1[Country], 0),0))</f>
        <v>0</v>
      </c>
      <c r="Z128" s="6">
        <f>SUM(INDEX(Tabela1[[Field Hockey - Men''s Tournament]:[Field Hockey - Women''s Tournament]],MATCH(Table92[[#This Row],[Country]],Tabela1[Country], 0),0))</f>
        <v>0</v>
      </c>
      <c r="AA128" s="6">
        <f>SUM(INDEX(Tabela1[[Football - Men''s Tournament]:[Football - Women''s Tournament]],MATCH(Table92[[#This Row],[Country]],Tabela1[Country], 0),0))</f>
        <v>0</v>
      </c>
      <c r="AB128" s="6">
        <f>SUM(INDEX(Tabela1[[Golf - Men''s Individual]:[Golf - Women''s Individual]],MATCH(Table92[[#This Row],[Country]],Tabela1[Country], 0),0))</f>
        <v>0</v>
      </c>
      <c r="AC128" s="6">
        <f>SUM(INDEX(Tabela1[[Handball - Men''s Tournament]:[Handball - Women''s Tournament]],MATCH(Table92[[#This Row],[Country]],Tabela1[Country], 0),0))</f>
        <v>0</v>
      </c>
      <c r="AD128" s="6">
        <f>SUM(INDEX(Tabela1[[Judo - Men''s 60kg]:[Judo - Mixed Team]],MATCH(Table92[[#This Row],[Country]],Tabela1[Country], 0),0))</f>
        <v>0</v>
      </c>
      <c r="AE128" s="6">
        <f>SUM(INDEX(Tabela1[[Swimming - Men''s 10km Open Water]:[Swimming - Women''s 10km Open Water]],MATCH(Table92[[#This Row],[Country]],Tabela1[Country], 0),0))</f>
        <v>0</v>
      </c>
      <c r="AF128" s="6">
        <f>SUM(INDEX(Tabela1[[Modern Pentathlon - Men''s Individual]:[Modern Pentathlon - Women''s Individual]],MATCH(Table92[[#This Row],[Country]],Tabela1[Country], 0),0))</f>
        <v>0</v>
      </c>
      <c r="AG128" s="6">
        <f>SUM(INDEX(Tabela1[[Rhythmic Gymnastics - Women''s Individual All-Around]:[Rhythmic Gymnastics - Women''s Group All-Around]],MATCH(Table92[[#This Row],[Country]],Tabela1[Country], 0),0))</f>
        <v>0</v>
      </c>
      <c r="AH128" s="6">
        <f>SUM(INDEX(Tabela1[[Rowing - Men''s Single Sculls]:[Rowing - Women''s Lwt. Double Sculls]],MATCH(Table92[[#This Row],[Country]],Tabela1[Country], 0),0))</f>
        <v>0</v>
      </c>
      <c r="AI128" s="6">
        <f>SUM(INDEX(Tabela1[[Rugby Sevens - Men''s Tournament]:[Rugby Sevens - Women''s Tournament]],MATCH(Table92[[#This Row],[Country]],Tabela1[Country], 0),0))</f>
        <v>0</v>
      </c>
      <c r="AJ128" s="6">
        <f>SUM(INDEX(Tabela1[[Sailing - Mixed 470]:[Sailing - Mixed Nacra 17]],MATCH(Table92[[#This Row],[Country]],Tabela1[Country], 0),0))</f>
        <v>0</v>
      </c>
      <c r="AK128" s="6">
        <f>SUM(INDEX(Tabela1[[Shooting - Men''s 10m Air Pistol]:[Shooting - Women''s Trap]],MATCH(Table92[[#This Row],[Country]],Tabela1[Country], 0),0))</f>
        <v>0</v>
      </c>
      <c r="AL128" s="6">
        <f>SUM(INDEX(Tabela1[[Skateboarding - Men''s Park]:[Skateboarding - Women''s Street]],MATCH(Table92[[#This Row],[Country]],Tabela1[Country], 0),0))</f>
        <v>0</v>
      </c>
      <c r="AM128" s="6">
        <f>SUM(INDEX(Tabela1[[Sport Climbing - Men''s Boulder and Lead]:[Sport Climbing - Women''s Speed]],MATCH(Table92[[#This Row],[Country]],Tabela1[Country], 0),0))</f>
        <v>0</v>
      </c>
      <c r="AN128" s="6">
        <f>SUM(INDEX(Tabela1[[Surfing - Men''s Shortboard]:[Surfing - Women''s Shortboard]],MATCH(Table92[[#This Row],[Country]],Tabela1[Country], 0),0))</f>
        <v>0</v>
      </c>
      <c r="AO128" s="6">
        <f>SUM(INDEX(Tabela1[[Swimming - Men''s 50m Freestyle]:[Swimming - Mixed 4x100m Medley Relay]],MATCH(Table92[[#This Row],[Country]],Tabela1[Country], 0),0))</f>
        <v>0</v>
      </c>
      <c r="AP128" s="6">
        <f>SUM(INDEX(Tabela1[[Table Tennis - Men''s Singles]:[Table Tennis - Mixed Doubles]],MATCH(Table92[[#This Row],[Country]],Tabela1[Country], 0),0))</f>
        <v>0</v>
      </c>
      <c r="AQ128" s="6">
        <f>SUM(INDEX(Tabela1[[Taekwondo - Men''s 58kg]:[Taekwondo - Women''s +67kg]],MATCH(Table92[[#This Row],[Country]],Tabela1[Country], 0),0))</f>
        <v>0</v>
      </c>
      <c r="AR128" s="6">
        <f>SUM(INDEX(Tabela1[[Tennis - Men''s Singles]:[Tennis - Mixed Doubles]],MATCH(Table92[[#This Row],[Country]],Tabela1[Country], 0),0))</f>
        <v>0</v>
      </c>
      <c r="AS128" s="6">
        <f>SUM(INDEX(Tabela1[[Gymnastics - Men''s Trampoline]:[Gymnastics - Women''s Trampoline]],MATCH(Table92[[#This Row],[Country]],Tabela1[Country], 0),0))</f>
        <v>0</v>
      </c>
      <c r="AT128" s="6">
        <f>SUM(INDEX(Tabela1[[Triathlon - Men''s Individual]:[Triathlon - Mixed Relay]],MATCH(Table92[[#This Row],[Country]],Tabela1[Country], 0),0))</f>
        <v>0</v>
      </c>
      <c r="AU128" s="6">
        <f>SUM(INDEX(Tabela1[[Volleyball - Men''s Tournament]:[Volleyball - Women''s Tournament]],MATCH(Table92[[#This Row],[Country]],Tabela1[Country], 0),0))</f>
        <v>0</v>
      </c>
      <c r="AV128" s="6">
        <f>SUM(INDEX(Tabela1[[Water Polo - Men''s Tournament]:[Water Polo - Women''s Tournament]],MATCH(Table92[[#This Row],[Country]],Tabela1[Country], 0),0))</f>
        <v>0</v>
      </c>
      <c r="AW128" s="6">
        <f>SUM(INDEX(Tabela1[[Weightlifting - Men''s 61kg]:[Weightlifting - Women''s +81kg]],MATCH(Table92[[#This Row],[Country]],Tabela1[Country], 0),0))</f>
        <v>0</v>
      </c>
      <c r="AX128" s="6">
        <f>SUM(INDEX(Tabela1[[Wrestling - Men''s Freestyle 57kg]:[Wrestling - Women''s Freestyle 76kg]],MATCH(Table92[[#This Row],[Country]],Tabela1[Country], 0),0))</f>
        <v>0</v>
      </c>
      <c r="AY128" s="6">
        <f>SUM(INDEX(Tabela1[[Alpine Skiing - Men''s Downhill]:[Alpine Skiing - Women''s Team Combined]],MATCH(Table92[[#This Row],[Country]],Tabela1[Country], 0),0))</f>
        <v>0</v>
      </c>
      <c r="AZ128" s="6">
        <f>SUM(INDEX(Tabela1[[Biathlon - Men''s Individual]:[Biathlon - Mixed Relay]],MATCH(Table92[[#This Row],[Country]],Tabela1[Country], 0),0))</f>
        <v>0</v>
      </c>
      <c r="BA128" s="6">
        <f>SUM(INDEX(Tabela1[[Bobsleigh - Women''s Monobob]:[Bobsleigh - Men''s Four]],MATCH(Table92[[#This Row],[Country]],Tabela1[Country], 0),0))</f>
        <v>0</v>
      </c>
      <c r="BB128" s="6">
        <f>SUM(INDEX(Tabela1[[Cross-country skiing - Men''s Classical]:[Cross-country skiing - Women''s Team Sprint]],MATCH(Table92[[#This Row],[Country]],Tabela1[Country], 0),0))</f>
        <v>0</v>
      </c>
      <c r="BC128" s="6">
        <f>SUM(INDEX(Tabela1[[Curling - Men''s Tournament]:[Curling - Mixed Doubles]],MATCH(Table92[[#This Row],[Country]],Tabela1[Country], 0),0))</f>
        <v>0</v>
      </c>
      <c r="BD128" s="6">
        <f>SUM(INDEX(Tabela1[[Figure Skating - Men''s Singles]:[Figure Skating - Team Event]],MATCH(Table92[[#This Row],[Country]],Tabela1[Country], 0),0))</f>
        <v>0</v>
      </c>
      <c r="BE128" s="6">
        <f>SUM(INDEX(Tabela1[[Freestyle Skiing - Men''s Aerials]:[Freestyle Skiing - Women''s Slopestyle]],MATCH(Table92[[#This Row],[Country]],Tabela1[Country], 0),0))</f>
        <v>0</v>
      </c>
      <c r="BF128" s="6">
        <f>SUM(INDEX(Tabela1[[Ice Hockey - Men''s Tournament]:[Ice Hockey - Women''s Tournament]],MATCH(Table92[[#This Row],[Country]],Tabela1[Country], 0),0))</f>
        <v>0</v>
      </c>
      <c r="BG128" s="6">
        <f>SUM(INDEX(Tabela1[[Luge - Men''s Singles]:[Luge - Mixed Team Relay]],MATCH(Table92[[#This Row],[Country]],Tabela1[Country], 0),0))</f>
        <v>0</v>
      </c>
      <c r="BH128" s="6">
        <f>SUM(INDEX(Tabela1[[Nordic Combined - Men''s Individual]:[Nordic Combined - Men''s Team Sprint Large Hill]],MATCH(Table92[[#This Row],[Country]],Tabela1[Country], 0),0))</f>
        <v>0</v>
      </c>
      <c r="BI128" s="6">
        <f>SUM(INDEX(Tabela1[[Short track speed skating - Men''s 500m]:[Short track speed skating - Mixed 2000m Relay]],MATCH(Table92[[#This Row],[Country]],Tabela1[Country], 0),0))</f>
        <v>0</v>
      </c>
      <c r="BJ128" s="6">
        <f>SUM(INDEX(Tabela1[[Skeleton - Men''s Individual]:[Skeleton - Mixed Team]],MATCH(Table92[[#This Row],[Country]],Tabela1[Country], 0),0))</f>
        <v>0</v>
      </c>
      <c r="BK128" s="6">
        <f>SUM(INDEX(Tabela1[[Ski Jumping - Men''s Individual Large Hill]:[Ski Jumping - Mixed Team Normal Hill]],MATCH(Table92[[#This Row],[Country]],Tabela1[Country], 0),0))</f>
        <v>0</v>
      </c>
      <c r="BL128" s="6">
        <f>SUM(INDEX(Tabela1[[Ski Mountaineering - Men''s Sprint]:[Ski Mountaineering - Mixed Relay]],MATCH(Table92[[#This Row],[Country]],Tabela1[Country], 0),0))</f>
        <v>0</v>
      </c>
      <c r="BM128" s="6">
        <f>SUM(INDEX(Tabela1[[Snowboarding - Men''s Big Air]:[Snowboarding - Mixed Team Snowboard Cross]],MATCH(Table92[[#This Row],[Country]],Tabela1[Country], 0),0))</f>
        <v>0</v>
      </c>
      <c r="BN128" s="6">
        <f>SUM(INDEX(Tabela1[[Speed Skating - Men''s 500m]:[Speed Skating - Women''s Team Pursuit]],MATCH(Table92[[#This Row],[Country]],Tabela1[Country], 0),0))</f>
        <v>0</v>
      </c>
      <c r="BO128" s="6" t="str">
        <f>SUBSTITUTE(INDEX(Table92[[#Headers],[Archery Quotas]:[Speed Skating Quotas]], MATCH(MAX(Table92[[#This Row],[Archery Quotas]:[Speed Skating Quotas]]), Table92[[#This Row],[Archery Quotas]:[Speed Skating Quotas]], 0))," Quotas","")</f>
        <v>Basketball</v>
      </c>
      <c r="BP128" s="6">
        <f>SUM(Table92[[#This Row],[Summer Sports]:[Winter Sports]])</f>
        <v>1</v>
      </c>
      <c r="BQ128" s="6">
        <f>COUNTIF(Table92[[#This Row],[Archery Quotas]:[Wrestling Quotas]],"&lt;&gt;0")</f>
        <v>1</v>
      </c>
      <c r="BR128" s="6">
        <f>COUNTIF(Table92[[#This Row],[Alpine Skiing Quotas]:[Speed Skating Quotas]],"&lt;&gt;0")</f>
        <v>0</v>
      </c>
      <c r="BS128" s="4" t="s">
        <v>399</v>
      </c>
    </row>
    <row r="129" spans="1:71" x14ac:dyDescent="0.3">
      <c r="A129" s="6" t="s">
        <v>682</v>
      </c>
      <c r="B129" t="e" vm="118">
        <f>IF(ISBLANK(Table92[[#This Row],[Flag Link]]), "", _xlfn.IMAGE(Table92[[#This Row],[Flag Link]],1,1))</f>
        <v>#VALUE!</v>
      </c>
      <c r="C129" s="6">
        <f>SUM(Table92[[#This Row],[Archery Quotas]:[Speed Skating Quotas]])</f>
        <v>2</v>
      </c>
      <c r="D129" s="6">
        <f>SUM(INDEX(Tabela1[[Archery - Men''s Individual Recurve]:[Archery - Mixed Team Recurve]],MATCH(Table92[[#This Row],[Country]],Tabela1[Country], 0),0))</f>
        <v>0</v>
      </c>
      <c r="E129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29" s="6">
        <f>SUM(INDEX(Tabela1[[Artistic Swimming - Women''s Duet]:[Artistic Swimming - Women''s Team]],MATCH(Table92[[#This Row],[Country]],Tabela1[Country], 0),0))</f>
        <v>0</v>
      </c>
      <c r="G129" s="6">
        <f>SUM(INDEX(Tabela1[[Athletics - Men''s 100m]:[Athletics - Women''s Heptathlon]],MATCH(Table92[[#This Row],[Country]],Tabela1[Country], 0),0))</f>
        <v>0</v>
      </c>
      <c r="H129" s="6">
        <f>SUM(INDEX(Tabela1[[Badminton - Men''s Singles]:[Badminton - Mixed Doubles]],MATCH(Table92[[#This Row],[Country]],Tabela1[Country], 0),0))</f>
        <v>0</v>
      </c>
      <c r="I129" s="6">
        <f>SUM(INDEX(Tabela1[[Basketball - Men''s Tournament]:[Basketball - Women''s Tournament]],MATCH(Table92[[#This Row],[Country]],Tabela1[Country], 0),0))</f>
        <v>0</v>
      </c>
      <c r="J129" s="6">
        <f>SUM(INDEX(Tabela1[[3x3 Basketball - Men''s Tournament]:[3x3 Basketball - Women''s Tournament]],MATCH(Table92[[#This Row],[Country]],Tabela1[Country], 0),0))</f>
        <v>0</v>
      </c>
      <c r="K129" s="6">
        <f>SUM(INDEX(Tabela1[[Beach Volleyball - Men''s Tournament]:[Beach Volleyball - Women''s Tournament]],MATCH(Table92[[#This Row],[Country]],Tabela1[Country], 0),0))</f>
        <v>0</v>
      </c>
      <c r="L129" s="6">
        <f>SUM(INDEX(Tabela1[[Boxing - Men''s 51kg]:[Boxing - Women''s 75kg]],MATCH(Table92[[#This Row],[Country]],Tabela1[Country], 0),0))</f>
        <v>1</v>
      </c>
      <c r="M129" s="6">
        <f>SUM(INDEX(Tabela1[[Breaking - Men''s Individual]:[Breaking - Women''s Individual]],MATCH(Table92[[#This Row],[Country]],Tabela1[Country], 0),0))</f>
        <v>0</v>
      </c>
      <c r="N129" s="6">
        <f>SUM(INDEX(Tabela1[[Canoeing - Men''s C1 Slalom]:[Canoeing - Women''s Kayak Cross Slalom]],MATCH(Table92[[#This Row],[Country]],Tabela1[Country], 0),0))</f>
        <v>0</v>
      </c>
      <c r="O129" s="6">
        <f>SUM(INDEX(Tabela1[[Canoeing - Women''s C1 200m]:[Canoeing - Women''s K4 500m]],MATCH(Table92[[#This Row],[Country]],Tabela1[Country], 0),0))</f>
        <v>0</v>
      </c>
      <c r="P129" s="6">
        <f>SUM(INDEX(Tabela1[[Cycling - Men''s BMX Freestyle]:[Cycling - Women''s BMX Freestyle]],MATCH(Table92[[#This Row],[Country]],Tabela1[Country], 0),0))</f>
        <v>0</v>
      </c>
      <c r="Q129" s="6">
        <f>SUM(INDEX(Tabela1[[Cycling - Men''s BMX Racing]:[Cycling - Women''s BMX Racing]],MATCH(Table92[[#This Row],[Country]],Tabela1[Country], 0),0))</f>
        <v>0</v>
      </c>
      <c r="R129" s="6">
        <f>SUM(INDEX(Tabela1[[Cycling - Men''s Cross-Country]:[Cycling - Women''s Cross-Country]],MATCH(Table92[[#This Row],[Country]],Tabela1[Country], 0),0))</f>
        <v>0</v>
      </c>
      <c r="S129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29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29" s="6">
        <f>SUM(INDEX(Tabela1[[Diving - Men''s Springboard]:[Diving - Women''s Synchronized Platform]],MATCH(Table92[[#This Row],[Country]],Tabela1[Country], 0),0))</f>
        <v>0</v>
      </c>
      <c r="V129" s="6">
        <f>SUM(INDEX(Tabela1[[Equestrian - Individual Dressage]:[Equestrian - Team Dressage]],MATCH(Table92[[#This Row],[Country]],Tabela1[Country], 0),0))</f>
        <v>0</v>
      </c>
      <c r="W129" s="6">
        <f>SUM(INDEX(Tabela1[[Equestrian - Individual Eventing]:[Equestrian - Team Eventing]],MATCH(Table92[[#This Row],[Country]],Tabela1[Country], 0),0))</f>
        <v>0</v>
      </c>
      <c r="X129" s="6">
        <f>SUM(INDEX(Tabela1[[Equestrian - Individual Jumping]:[Equestrian - Team Jumping]],MATCH(Table92[[#This Row],[Country]],Tabela1[Country], 0),0))</f>
        <v>0</v>
      </c>
      <c r="Y129" s="6">
        <f>SUM(INDEX(Tabela1[[Fencing - Men''s Épée]:[Fencing - Women''s Team Sabre]],MATCH(Table92[[#This Row],[Country]],Tabela1[Country], 0),0))</f>
        <v>0</v>
      </c>
      <c r="Z129" s="6">
        <f>SUM(INDEX(Tabela1[[Field Hockey - Men''s Tournament]:[Field Hockey - Women''s Tournament]],MATCH(Table92[[#This Row],[Country]],Tabela1[Country], 0),0))</f>
        <v>0</v>
      </c>
      <c r="AA129" s="6">
        <f>SUM(INDEX(Tabela1[[Football - Men''s Tournament]:[Football - Women''s Tournament]],MATCH(Table92[[#This Row],[Country]],Tabela1[Country], 0),0))</f>
        <v>0</v>
      </c>
      <c r="AB129" s="6">
        <f>SUM(INDEX(Tabela1[[Golf - Men''s Individual]:[Golf - Women''s Individual]],MATCH(Table92[[#This Row],[Country]],Tabela1[Country], 0),0))</f>
        <v>0</v>
      </c>
      <c r="AC129" s="6">
        <f>SUM(INDEX(Tabela1[[Handball - Men''s Tournament]:[Handball - Women''s Tournament]],MATCH(Table92[[#This Row],[Country]],Tabela1[Country], 0),0))</f>
        <v>0</v>
      </c>
      <c r="AD129" s="6">
        <f>SUM(INDEX(Tabela1[[Judo - Men''s 60kg]:[Judo - Mixed Team]],MATCH(Table92[[#This Row],[Country]],Tabela1[Country], 0),0))</f>
        <v>0</v>
      </c>
      <c r="AE129" s="6">
        <f>SUM(INDEX(Tabela1[[Swimming - Men''s 10km Open Water]:[Swimming - Women''s 10km Open Water]],MATCH(Table92[[#This Row],[Country]],Tabela1[Country], 0),0))</f>
        <v>0</v>
      </c>
      <c r="AF129" s="6">
        <f>SUM(INDEX(Tabela1[[Modern Pentathlon - Men''s Individual]:[Modern Pentathlon - Women''s Individual]],MATCH(Table92[[#This Row],[Country]],Tabela1[Country], 0),0))</f>
        <v>0</v>
      </c>
      <c r="AG129" s="6">
        <f>SUM(INDEX(Tabela1[[Rhythmic Gymnastics - Women''s Individual All-Around]:[Rhythmic Gymnastics - Women''s Group All-Around]],MATCH(Table92[[#This Row],[Country]],Tabela1[Country], 0),0))</f>
        <v>0</v>
      </c>
      <c r="AH129" s="6">
        <f>SUM(INDEX(Tabela1[[Rowing - Men''s Single Sculls]:[Rowing - Women''s Lwt. Double Sculls]],MATCH(Table92[[#This Row],[Country]],Tabela1[Country], 0),0))</f>
        <v>0</v>
      </c>
      <c r="AI129" s="6">
        <f>SUM(INDEX(Tabela1[[Rugby Sevens - Men''s Tournament]:[Rugby Sevens - Women''s Tournament]],MATCH(Table92[[#This Row],[Country]],Tabela1[Country], 0),0))</f>
        <v>1</v>
      </c>
      <c r="AJ129" s="6">
        <f>SUM(INDEX(Tabela1[[Sailing - Mixed 470]:[Sailing - Mixed Nacra 17]],MATCH(Table92[[#This Row],[Country]],Tabela1[Country], 0),0))</f>
        <v>0</v>
      </c>
      <c r="AK129" s="6">
        <f>SUM(INDEX(Tabela1[[Shooting - Men''s 10m Air Pistol]:[Shooting - Women''s Trap]],MATCH(Table92[[#This Row],[Country]],Tabela1[Country], 0),0))</f>
        <v>0</v>
      </c>
      <c r="AL129" s="6">
        <f>SUM(INDEX(Tabela1[[Skateboarding - Men''s Park]:[Skateboarding - Women''s Street]],MATCH(Table92[[#This Row],[Country]],Tabela1[Country], 0),0))</f>
        <v>0</v>
      </c>
      <c r="AM129" s="6">
        <f>SUM(INDEX(Tabela1[[Sport Climbing - Men''s Boulder and Lead]:[Sport Climbing - Women''s Speed]],MATCH(Table92[[#This Row],[Country]],Tabela1[Country], 0),0))</f>
        <v>0</v>
      </c>
      <c r="AN129" s="6">
        <f>SUM(INDEX(Tabela1[[Surfing - Men''s Shortboard]:[Surfing - Women''s Shortboard]],MATCH(Table92[[#This Row],[Country]],Tabela1[Country], 0),0))</f>
        <v>0</v>
      </c>
      <c r="AO129" s="6">
        <f>SUM(INDEX(Tabela1[[Swimming - Men''s 50m Freestyle]:[Swimming - Mixed 4x100m Medley Relay]],MATCH(Table92[[#This Row],[Country]],Tabela1[Country], 0),0))</f>
        <v>0</v>
      </c>
      <c r="AP129" s="6">
        <f>SUM(INDEX(Tabela1[[Table Tennis - Men''s Singles]:[Table Tennis - Mixed Doubles]],MATCH(Table92[[#This Row],[Country]],Tabela1[Country], 0),0))</f>
        <v>0</v>
      </c>
      <c r="AQ129" s="6">
        <f>SUM(INDEX(Tabela1[[Taekwondo - Men''s 58kg]:[Taekwondo - Women''s +67kg]],MATCH(Table92[[#This Row],[Country]],Tabela1[Country], 0),0))</f>
        <v>0</v>
      </c>
      <c r="AR129" s="6">
        <f>SUM(INDEX(Tabela1[[Tennis - Men''s Singles]:[Tennis - Mixed Doubles]],MATCH(Table92[[#This Row],[Country]],Tabela1[Country], 0),0))</f>
        <v>0</v>
      </c>
      <c r="AS129" s="6">
        <f>SUM(INDEX(Tabela1[[Gymnastics - Men''s Trampoline]:[Gymnastics - Women''s Trampoline]],MATCH(Table92[[#This Row],[Country]],Tabela1[Country], 0),0))</f>
        <v>0</v>
      </c>
      <c r="AT129" s="6">
        <f>SUM(INDEX(Tabela1[[Triathlon - Men''s Individual]:[Triathlon - Mixed Relay]],MATCH(Table92[[#This Row],[Country]],Tabela1[Country], 0),0))</f>
        <v>0</v>
      </c>
      <c r="AU129" s="6">
        <f>SUM(INDEX(Tabela1[[Volleyball - Men''s Tournament]:[Volleyball - Women''s Tournament]],MATCH(Table92[[#This Row],[Country]],Tabela1[Country], 0),0))</f>
        <v>0</v>
      </c>
      <c r="AV129" s="6">
        <f>SUM(INDEX(Tabela1[[Water Polo - Men''s Tournament]:[Water Polo - Women''s Tournament]],MATCH(Table92[[#This Row],[Country]],Tabela1[Country], 0),0))</f>
        <v>0</v>
      </c>
      <c r="AW129" s="6">
        <f>SUM(INDEX(Tabela1[[Weightlifting - Men''s 61kg]:[Weightlifting - Women''s +81kg]],MATCH(Table92[[#This Row],[Country]],Tabela1[Country], 0),0))</f>
        <v>0</v>
      </c>
      <c r="AX129" s="6">
        <f>SUM(INDEX(Tabela1[[Wrestling - Men''s Freestyle 57kg]:[Wrestling - Women''s Freestyle 76kg]],MATCH(Table92[[#This Row],[Country]],Tabela1[Country], 0),0))</f>
        <v>0</v>
      </c>
      <c r="AY129" s="6">
        <f>SUM(INDEX(Tabela1[[Alpine Skiing - Men''s Downhill]:[Alpine Skiing - Women''s Team Combined]],MATCH(Table92[[#This Row],[Country]],Tabela1[Country], 0),0))</f>
        <v>0</v>
      </c>
      <c r="AZ129" s="6">
        <f>SUM(INDEX(Tabela1[[Biathlon - Men''s Individual]:[Biathlon - Mixed Relay]],MATCH(Table92[[#This Row],[Country]],Tabela1[Country], 0),0))</f>
        <v>0</v>
      </c>
      <c r="BA129" s="6">
        <f>SUM(INDEX(Tabela1[[Bobsleigh - Women''s Monobob]:[Bobsleigh - Men''s Four]],MATCH(Table92[[#This Row],[Country]],Tabela1[Country], 0),0))</f>
        <v>0</v>
      </c>
      <c r="BB129" s="6">
        <f>SUM(INDEX(Tabela1[[Cross-country skiing - Men''s Classical]:[Cross-country skiing - Women''s Team Sprint]],MATCH(Table92[[#This Row],[Country]],Tabela1[Country], 0),0))</f>
        <v>0</v>
      </c>
      <c r="BC129" s="6">
        <f>SUM(INDEX(Tabela1[[Curling - Men''s Tournament]:[Curling - Mixed Doubles]],MATCH(Table92[[#This Row],[Country]],Tabela1[Country], 0),0))</f>
        <v>0</v>
      </c>
      <c r="BD129" s="6">
        <f>SUM(INDEX(Tabela1[[Figure Skating - Men''s Singles]:[Figure Skating - Team Event]],MATCH(Table92[[#This Row],[Country]],Tabela1[Country], 0),0))</f>
        <v>0</v>
      </c>
      <c r="BE129" s="6">
        <f>SUM(INDEX(Tabela1[[Freestyle Skiing - Men''s Aerials]:[Freestyle Skiing - Women''s Slopestyle]],MATCH(Table92[[#This Row],[Country]],Tabela1[Country], 0),0))</f>
        <v>0</v>
      </c>
      <c r="BF129" s="6">
        <f>SUM(INDEX(Tabela1[[Ice Hockey - Men''s Tournament]:[Ice Hockey - Women''s Tournament]],MATCH(Table92[[#This Row],[Country]],Tabela1[Country], 0),0))</f>
        <v>0</v>
      </c>
      <c r="BG129" s="6">
        <f>SUM(INDEX(Tabela1[[Luge - Men''s Singles]:[Luge - Mixed Team Relay]],MATCH(Table92[[#This Row],[Country]],Tabela1[Country], 0),0))</f>
        <v>0</v>
      </c>
      <c r="BH129" s="6">
        <f>SUM(INDEX(Tabela1[[Nordic Combined - Men''s Individual]:[Nordic Combined - Men''s Team Sprint Large Hill]],MATCH(Table92[[#This Row],[Country]],Tabela1[Country], 0),0))</f>
        <v>0</v>
      </c>
      <c r="BI129" s="6">
        <f>SUM(INDEX(Tabela1[[Short track speed skating - Men''s 500m]:[Short track speed skating - Mixed 2000m Relay]],MATCH(Table92[[#This Row],[Country]],Tabela1[Country], 0),0))</f>
        <v>0</v>
      </c>
      <c r="BJ129" s="6">
        <f>SUM(INDEX(Tabela1[[Skeleton - Men''s Individual]:[Skeleton - Mixed Team]],MATCH(Table92[[#This Row],[Country]],Tabela1[Country], 0),0))</f>
        <v>0</v>
      </c>
      <c r="BK129" s="6">
        <f>SUM(INDEX(Tabela1[[Ski Jumping - Men''s Individual Large Hill]:[Ski Jumping - Mixed Team Normal Hill]],MATCH(Table92[[#This Row],[Country]],Tabela1[Country], 0),0))</f>
        <v>0</v>
      </c>
      <c r="BL129" s="6">
        <f>SUM(INDEX(Tabela1[[Ski Mountaineering - Men''s Sprint]:[Ski Mountaineering - Mixed Relay]],MATCH(Table92[[#This Row],[Country]],Tabela1[Country], 0),0))</f>
        <v>0</v>
      </c>
      <c r="BM129" s="6">
        <f>SUM(INDEX(Tabela1[[Snowboarding - Men''s Big Air]:[Snowboarding - Mixed Team Snowboard Cross]],MATCH(Table92[[#This Row],[Country]],Tabela1[Country], 0),0))</f>
        <v>0</v>
      </c>
      <c r="BN129" s="6">
        <f>SUM(INDEX(Tabela1[[Speed Skating - Men''s 500m]:[Speed Skating - Women''s Team Pursuit]],MATCH(Table92[[#This Row],[Country]],Tabela1[Country], 0),0))</f>
        <v>0</v>
      </c>
      <c r="BO129" s="6" t="str">
        <f>SUBSTITUTE(INDEX(Table92[[#Headers],[Archery Quotas]:[Speed Skating Quotas]], MATCH(MAX(Table92[[#This Row],[Archery Quotas]:[Speed Skating Quotas]]), Table92[[#This Row],[Archery Quotas]:[Speed Skating Quotas]], 0))," Quotas","")</f>
        <v>Boxing</v>
      </c>
      <c r="BP129" s="6">
        <f>SUM(Table92[[#This Row],[Summer Sports]:[Winter Sports]])</f>
        <v>2</v>
      </c>
      <c r="BQ129" s="6">
        <f>COUNTIF(Table92[[#This Row],[Archery Quotas]:[Wrestling Quotas]],"&lt;&gt;0")</f>
        <v>2</v>
      </c>
      <c r="BR129" s="6">
        <f>COUNTIF(Table92[[#This Row],[Alpine Skiing Quotas]:[Speed Skating Quotas]],"&lt;&gt;0")</f>
        <v>0</v>
      </c>
      <c r="BS129" s="4" t="s">
        <v>683</v>
      </c>
    </row>
    <row r="130" spans="1:71" x14ac:dyDescent="0.3">
      <c r="A130" s="6" t="s">
        <v>684</v>
      </c>
      <c r="B130" t="e" vm="121">
        <f>IF(ISBLANK(Table92[[#This Row],[Flag Link]]), "", _xlfn.IMAGE(Table92[[#This Row],[Flag Link]],1,1))</f>
        <v>#VALUE!</v>
      </c>
      <c r="C130" s="6">
        <f>SUM(Table92[[#This Row],[Archery Quotas]:[Speed Skating Quotas]])</f>
        <v>2</v>
      </c>
      <c r="D130" s="6">
        <f>SUM(INDEX(Tabela1[[Archery - Men''s Individual Recurve]:[Archery - Mixed Team Recurve]],MATCH(Table92[[#This Row],[Country]],Tabela1[Country], 0),0))</f>
        <v>0</v>
      </c>
      <c r="E130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30" s="6">
        <f>SUM(INDEX(Tabela1[[Artistic Swimming - Women''s Duet]:[Artistic Swimming - Women''s Team]],MATCH(Table92[[#This Row],[Country]],Tabela1[Country], 0),0))</f>
        <v>0</v>
      </c>
      <c r="G130" s="6">
        <f>SUM(INDEX(Tabela1[[Athletics - Men''s 100m]:[Athletics - Women''s Heptathlon]],MATCH(Table92[[#This Row],[Country]],Tabela1[Country], 0),0))</f>
        <v>0</v>
      </c>
      <c r="H130" s="6">
        <f>SUM(INDEX(Tabela1[[Badminton - Men''s Singles]:[Badminton - Mixed Doubles]],MATCH(Table92[[#This Row],[Country]],Tabela1[Country], 0),0))</f>
        <v>0</v>
      </c>
      <c r="I130" s="6">
        <f>SUM(INDEX(Tabela1[[Basketball - Men''s Tournament]:[Basketball - Women''s Tournament]],MATCH(Table92[[#This Row],[Country]],Tabela1[Country], 0),0))</f>
        <v>0</v>
      </c>
      <c r="J130" s="6">
        <f>SUM(INDEX(Tabela1[[3x3 Basketball - Men''s Tournament]:[3x3 Basketball - Women''s Tournament]],MATCH(Table92[[#This Row],[Country]],Tabela1[Country], 0),0))</f>
        <v>0</v>
      </c>
      <c r="K130" s="6">
        <f>SUM(INDEX(Tabela1[[Beach Volleyball - Men''s Tournament]:[Beach Volleyball - Women''s Tournament]],MATCH(Table92[[#This Row],[Country]],Tabela1[Country], 0),0))</f>
        <v>0</v>
      </c>
      <c r="L130" s="6">
        <f>SUM(INDEX(Tabela1[[Boxing - Men''s 51kg]:[Boxing - Women''s 75kg]],MATCH(Table92[[#This Row],[Country]],Tabela1[Country], 0),0))</f>
        <v>0</v>
      </c>
      <c r="M130" s="6">
        <f>SUM(INDEX(Tabela1[[Breaking - Men''s Individual]:[Breaking - Women''s Individual]],MATCH(Table92[[#This Row],[Country]],Tabela1[Country], 0),0))</f>
        <v>0</v>
      </c>
      <c r="N130" s="6">
        <f>SUM(INDEX(Tabela1[[Canoeing - Men''s C1 Slalom]:[Canoeing - Women''s Kayak Cross Slalom]],MATCH(Table92[[#This Row],[Country]],Tabela1[Country], 0),0))</f>
        <v>0</v>
      </c>
      <c r="O130" s="6">
        <f>SUM(INDEX(Tabela1[[Canoeing - Women''s C1 200m]:[Canoeing - Women''s K4 500m]],MATCH(Table92[[#This Row],[Country]],Tabela1[Country], 0),0))</f>
        <v>0</v>
      </c>
      <c r="P130" s="6">
        <f>SUM(INDEX(Tabela1[[Cycling - Men''s BMX Freestyle]:[Cycling - Women''s BMX Freestyle]],MATCH(Table92[[#This Row],[Country]],Tabela1[Country], 0),0))</f>
        <v>0</v>
      </c>
      <c r="Q130" s="6">
        <f>SUM(INDEX(Tabela1[[Cycling - Men''s BMX Racing]:[Cycling - Women''s BMX Racing]],MATCH(Table92[[#This Row],[Country]],Tabela1[Country], 0),0))</f>
        <v>0</v>
      </c>
      <c r="R130" s="6">
        <f>SUM(INDEX(Tabela1[[Cycling - Men''s Cross-Country]:[Cycling - Women''s Cross-Country]],MATCH(Table92[[#This Row],[Country]],Tabela1[Country], 0),0))</f>
        <v>0</v>
      </c>
      <c r="S130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30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30" s="6">
        <f>SUM(INDEX(Tabela1[[Diving - Men''s Springboard]:[Diving - Women''s Synchronized Platform]],MATCH(Table92[[#This Row],[Country]],Tabela1[Country], 0),0))</f>
        <v>0</v>
      </c>
      <c r="V130" s="6">
        <f>SUM(INDEX(Tabela1[[Equestrian - Individual Dressage]:[Equestrian - Team Dressage]],MATCH(Table92[[#This Row],[Country]],Tabela1[Country], 0),0))</f>
        <v>0</v>
      </c>
      <c r="W130" s="6">
        <f>SUM(INDEX(Tabela1[[Equestrian - Individual Eventing]:[Equestrian - Team Eventing]],MATCH(Table92[[#This Row],[Country]],Tabela1[Country], 0),0))</f>
        <v>0</v>
      </c>
      <c r="X130" s="6">
        <f>SUM(INDEX(Tabela1[[Equestrian - Individual Jumping]:[Equestrian - Team Jumping]],MATCH(Table92[[#This Row],[Country]],Tabela1[Country], 0),0))</f>
        <v>0</v>
      </c>
      <c r="Y130" s="6">
        <f>SUM(INDEX(Tabela1[[Fencing - Men''s Épée]:[Fencing - Women''s Team Sabre]],MATCH(Table92[[#This Row],[Country]],Tabela1[Country], 0),0))</f>
        <v>0</v>
      </c>
      <c r="Z130" s="6">
        <f>SUM(INDEX(Tabela1[[Field Hockey - Men''s Tournament]:[Field Hockey - Women''s Tournament]],MATCH(Table92[[#This Row],[Country]],Tabela1[Country], 0),0))</f>
        <v>0</v>
      </c>
      <c r="AA130" s="6">
        <f>SUM(INDEX(Tabela1[[Football - Men''s Tournament]:[Football - Women''s Tournament]],MATCH(Table92[[#This Row],[Country]],Tabela1[Country], 0),0))</f>
        <v>0</v>
      </c>
      <c r="AB130" s="6">
        <f>SUM(INDEX(Tabela1[[Golf - Men''s Individual]:[Golf - Women''s Individual]],MATCH(Table92[[#This Row],[Country]],Tabela1[Country], 0),0))</f>
        <v>0</v>
      </c>
      <c r="AC130" s="6">
        <f>SUM(INDEX(Tabela1[[Handball - Men''s Tournament]:[Handball - Women''s Tournament]],MATCH(Table92[[#This Row],[Country]],Tabela1[Country], 0),0))</f>
        <v>0</v>
      </c>
      <c r="AD130" s="6">
        <f>SUM(INDEX(Tabela1[[Judo - Men''s 60kg]:[Judo - Mixed Team]],MATCH(Table92[[#This Row],[Country]],Tabela1[Country], 0),0))</f>
        <v>0</v>
      </c>
      <c r="AE130" s="6">
        <f>SUM(INDEX(Tabela1[[Swimming - Men''s 10km Open Water]:[Swimming - Women''s 10km Open Water]],MATCH(Table92[[#This Row],[Country]],Tabela1[Country], 0),0))</f>
        <v>0</v>
      </c>
      <c r="AF130" s="6">
        <f>SUM(INDEX(Tabela1[[Modern Pentathlon - Men''s Individual]:[Modern Pentathlon - Women''s Individual]],MATCH(Table92[[#This Row],[Country]],Tabela1[Country], 0),0))</f>
        <v>0</v>
      </c>
      <c r="AG130" s="6">
        <f>SUM(INDEX(Tabela1[[Rhythmic Gymnastics - Women''s Individual All-Around]:[Rhythmic Gymnastics - Women''s Group All-Around]],MATCH(Table92[[#This Row],[Country]],Tabela1[Country], 0),0))</f>
        <v>0</v>
      </c>
      <c r="AH130" s="6">
        <f>SUM(INDEX(Tabela1[[Rowing - Men''s Single Sculls]:[Rowing - Women''s Lwt. Double Sculls]],MATCH(Table92[[#This Row],[Country]],Tabela1[Country], 0),0))</f>
        <v>0</v>
      </c>
      <c r="AI130" s="6">
        <f>SUM(INDEX(Tabela1[[Rugby Sevens - Men''s Tournament]:[Rugby Sevens - Women''s Tournament]],MATCH(Table92[[#This Row],[Country]],Tabela1[Country], 0),0))</f>
        <v>0</v>
      </c>
      <c r="AJ130" s="6">
        <f>SUM(INDEX(Tabela1[[Sailing - Mixed 470]:[Sailing - Mixed Nacra 17]],MATCH(Table92[[#This Row],[Country]],Tabela1[Country], 0),0))</f>
        <v>0</v>
      </c>
      <c r="AK130" s="6">
        <f>SUM(INDEX(Tabela1[[Shooting - Men''s 10m Air Pistol]:[Shooting - Women''s Trap]],MATCH(Table92[[#This Row],[Country]],Tabela1[Country], 0),0))</f>
        <v>0</v>
      </c>
      <c r="AL130" s="6">
        <f>SUM(INDEX(Tabela1[[Skateboarding - Men''s Park]:[Skateboarding - Women''s Street]],MATCH(Table92[[#This Row],[Country]],Tabela1[Country], 0),0))</f>
        <v>0</v>
      </c>
      <c r="AM130" s="6">
        <f>SUM(INDEX(Tabela1[[Sport Climbing - Men''s Boulder and Lead]:[Sport Climbing - Women''s Speed]],MATCH(Table92[[#This Row],[Country]],Tabela1[Country], 0),0))</f>
        <v>0</v>
      </c>
      <c r="AN130" s="6">
        <f>SUM(INDEX(Tabela1[[Surfing - Men''s Shortboard]:[Surfing - Women''s Shortboard]],MATCH(Table92[[#This Row],[Country]],Tabela1[Country], 0),0))</f>
        <v>0</v>
      </c>
      <c r="AO130" s="6">
        <f>SUM(INDEX(Tabela1[[Swimming - Men''s 50m Freestyle]:[Swimming - Mixed 4x100m Medley Relay]],MATCH(Table92[[#This Row],[Country]],Tabela1[Country], 0),0))</f>
        <v>0</v>
      </c>
      <c r="AP130" s="6">
        <f>SUM(INDEX(Tabela1[[Table Tennis - Men''s Singles]:[Table Tennis - Mixed Doubles]],MATCH(Table92[[#This Row],[Country]],Tabela1[Country], 0),0))</f>
        <v>0</v>
      </c>
      <c r="AQ130" s="6">
        <f>SUM(INDEX(Tabela1[[Taekwondo - Men''s 58kg]:[Taekwondo - Women''s +67kg]],MATCH(Table92[[#This Row],[Country]],Tabela1[Country], 0),0))</f>
        <v>0</v>
      </c>
      <c r="AR130" s="6">
        <f>SUM(INDEX(Tabela1[[Tennis - Men''s Singles]:[Tennis - Mixed Doubles]],MATCH(Table92[[#This Row],[Country]],Tabela1[Country], 0),0))</f>
        <v>0</v>
      </c>
      <c r="AS130" s="6">
        <f>SUM(INDEX(Tabela1[[Gymnastics - Men''s Trampoline]:[Gymnastics - Women''s Trampoline]],MATCH(Table92[[#This Row],[Country]],Tabela1[Country], 0),0))</f>
        <v>0</v>
      </c>
      <c r="AT130" s="6">
        <f>SUM(INDEX(Tabela1[[Triathlon - Men''s Individual]:[Triathlon - Mixed Relay]],MATCH(Table92[[#This Row],[Country]],Tabela1[Country], 0),0))</f>
        <v>0</v>
      </c>
      <c r="AU130" s="6">
        <f>SUM(INDEX(Tabela1[[Volleyball - Men''s Tournament]:[Volleyball - Women''s Tournament]],MATCH(Table92[[#This Row],[Country]],Tabela1[Country], 0),0))</f>
        <v>0</v>
      </c>
      <c r="AV130" s="6">
        <f>SUM(INDEX(Tabela1[[Water Polo - Men''s Tournament]:[Water Polo - Women''s Tournament]],MATCH(Table92[[#This Row],[Country]],Tabela1[Country], 0),0))</f>
        <v>0</v>
      </c>
      <c r="AW130" s="6">
        <f>SUM(INDEX(Tabela1[[Weightlifting - Men''s 61kg]:[Weightlifting - Women''s +81kg]],MATCH(Table92[[#This Row],[Country]],Tabela1[Country], 0),0))</f>
        <v>0</v>
      </c>
      <c r="AX130" s="6">
        <f>SUM(INDEX(Tabela1[[Wrestling - Men''s Freestyle 57kg]:[Wrestling - Women''s Freestyle 76kg]],MATCH(Table92[[#This Row],[Country]],Tabela1[Country], 0),0))</f>
        <v>0</v>
      </c>
      <c r="AY130" s="6">
        <f>SUM(INDEX(Tabela1[[Alpine Skiing - Men''s Downhill]:[Alpine Skiing - Women''s Team Combined]],MATCH(Table92[[#This Row],[Country]],Tabela1[Country], 0),0))</f>
        <v>2</v>
      </c>
      <c r="AZ130" s="6">
        <f>SUM(INDEX(Tabela1[[Biathlon - Men''s Individual]:[Biathlon - Mixed Relay]],MATCH(Table92[[#This Row],[Country]],Tabela1[Country], 0),0))</f>
        <v>0</v>
      </c>
      <c r="BA130" s="6">
        <f>SUM(INDEX(Tabela1[[Bobsleigh - Women''s Monobob]:[Bobsleigh - Men''s Four]],MATCH(Table92[[#This Row],[Country]],Tabela1[Country], 0),0))</f>
        <v>0</v>
      </c>
      <c r="BB130" s="6">
        <f>SUM(INDEX(Tabela1[[Cross-country skiing - Men''s Classical]:[Cross-country skiing - Women''s Team Sprint]],MATCH(Table92[[#This Row],[Country]],Tabela1[Country], 0),0))</f>
        <v>0</v>
      </c>
      <c r="BC130" s="6">
        <f>SUM(INDEX(Tabela1[[Curling - Men''s Tournament]:[Curling - Mixed Doubles]],MATCH(Table92[[#This Row],[Country]],Tabela1[Country], 0),0))</f>
        <v>0</v>
      </c>
      <c r="BD130" s="6">
        <f>SUM(INDEX(Tabela1[[Figure Skating - Men''s Singles]:[Figure Skating - Team Event]],MATCH(Table92[[#This Row],[Country]],Tabela1[Country], 0),0))</f>
        <v>0</v>
      </c>
      <c r="BE130" s="6">
        <f>SUM(INDEX(Tabela1[[Freestyle Skiing - Men''s Aerials]:[Freestyle Skiing - Women''s Slopestyle]],MATCH(Table92[[#This Row],[Country]],Tabela1[Country], 0),0))</f>
        <v>0</v>
      </c>
      <c r="BF130" s="6">
        <f>SUM(INDEX(Tabela1[[Ice Hockey - Men''s Tournament]:[Ice Hockey - Women''s Tournament]],MATCH(Table92[[#This Row],[Country]],Tabela1[Country], 0),0))</f>
        <v>0</v>
      </c>
      <c r="BG130" s="6">
        <f>SUM(INDEX(Tabela1[[Luge - Men''s Singles]:[Luge - Mixed Team Relay]],MATCH(Table92[[#This Row],[Country]],Tabela1[Country], 0),0))</f>
        <v>0</v>
      </c>
      <c r="BH130" s="6">
        <f>SUM(INDEX(Tabela1[[Nordic Combined - Men''s Individual]:[Nordic Combined - Men''s Team Sprint Large Hill]],MATCH(Table92[[#This Row],[Country]],Tabela1[Country], 0),0))</f>
        <v>0</v>
      </c>
      <c r="BI130" s="6">
        <f>SUM(INDEX(Tabela1[[Short track speed skating - Men''s 500m]:[Short track speed skating - Mixed 2000m Relay]],MATCH(Table92[[#This Row],[Country]],Tabela1[Country], 0),0))</f>
        <v>0</v>
      </c>
      <c r="BJ130" s="6">
        <f>SUM(INDEX(Tabela1[[Skeleton - Men''s Individual]:[Skeleton - Mixed Team]],MATCH(Table92[[#This Row],[Country]],Tabela1[Country], 0),0))</f>
        <v>0</v>
      </c>
      <c r="BK130" s="6">
        <f>SUM(INDEX(Tabela1[[Ski Jumping - Men''s Individual Large Hill]:[Ski Jumping - Mixed Team Normal Hill]],MATCH(Table92[[#This Row],[Country]],Tabela1[Country], 0),0))</f>
        <v>0</v>
      </c>
      <c r="BL130" s="6">
        <f>SUM(INDEX(Tabela1[[Ski Mountaineering - Men''s Sprint]:[Ski Mountaineering - Mixed Relay]],MATCH(Table92[[#This Row],[Country]],Tabela1[Country], 0),0))</f>
        <v>0</v>
      </c>
      <c r="BM130" s="6">
        <f>SUM(INDEX(Tabela1[[Snowboarding - Men''s Big Air]:[Snowboarding - Mixed Team Snowboard Cross]],MATCH(Table92[[#This Row],[Country]],Tabela1[Country], 0),0))</f>
        <v>0</v>
      </c>
      <c r="BN130" s="6">
        <f>SUM(INDEX(Tabela1[[Speed Skating - Men''s 500m]:[Speed Skating - Women''s Team Pursuit]],MATCH(Table92[[#This Row],[Country]],Tabela1[Country], 0),0))</f>
        <v>0</v>
      </c>
      <c r="BO130" s="6" t="str">
        <f>SUBSTITUTE(INDEX(Table92[[#Headers],[Archery Quotas]:[Speed Skating Quotas]], MATCH(MAX(Table92[[#This Row],[Archery Quotas]:[Speed Skating Quotas]]), Table92[[#This Row],[Archery Quotas]:[Speed Skating Quotas]], 0))," Quotas","")</f>
        <v>Alpine Skiing</v>
      </c>
      <c r="BP130" s="6">
        <f>SUM(Table92[[#This Row],[Summer Sports]:[Winter Sports]])</f>
        <v>1</v>
      </c>
      <c r="BQ130" s="6">
        <f>COUNTIF(Table92[[#This Row],[Archery Quotas]:[Wrestling Quotas]],"&lt;&gt;0")</f>
        <v>0</v>
      </c>
      <c r="BR130" s="6">
        <f>COUNTIF(Table92[[#This Row],[Alpine Skiing Quotas]:[Speed Skating Quotas]],"&lt;&gt;0")</f>
        <v>1</v>
      </c>
      <c r="BS130" s="3" t="s">
        <v>685</v>
      </c>
    </row>
    <row r="131" spans="1:71" x14ac:dyDescent="0.3">
      <c r="A131" s="6" t="s">
        <v>712</v>
      </c>
      <c r="B131" t="e" vm="117">
        <f>IF(ISBLANK(Table92[[#This Row],[Flag Link]]), "", _xlfn.IMAGE(Table92[[#This Row],[Flag Link]],1,1))</f>
        <v>#VALUE!</v>
      </c>
      <c r="C131" s="6">
        <f>SUM(Table92[[#This Row],[Archery Quotas]:[Speed Skating Quotas]])</f>
        <v>2</v>
      </c>
      <c r="D131" s="6">
        <f>SUM(INDEX(Tabela1[[Archery - Men''s Individual Recurve]:[Archery - Mixed Team Recurve]],MATCH(Table92[[#This Row],[Country]],Tabela1[Country], 0),0))</f>
        <v>0</v>
      </c>
      <c r="E131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31" s="6">
        <f>SUM(INDEX(Tabela1[[Artistic Swimming - Women''s Duet]:[Artistic Swimming - Women''s Team]],MATCH(Table92[[#This Row],[Country]],Tabela1[Country], 0),0))</f>
        <v>0</v>
      </c>
      <c r="G131" s="6">
        <f>SUM(INDEX(Tabela1[[Athletics - Men''s 100m]:[Athletics - Women''s Heptathlon]],MATCH(Table92[[#This Row],[Country]],Tabela1[Country], 0),0))</f>
        <v>1</v>
      </c>
      <c r="H131" s="6">
        <f>SUM(INDEX(Tabela1[[Badminton - Men''s Singles]:[Badminton - Mixed Doubles]],MATCH(Table92[[#This Row],[Country]],Tabela1[Country], 0),0))</f>
        <v>0</v>
      </c>
      <c r="I131" s="6">
        <f>SUM(INDEX(Tabela1[[Basketball - Men''s Tournament]:[Basketball - Women''s Tournament]],MATCH(Table92[[#This Row],[Country]],Tabela1[Country], 0),0))</f>
        <v>0</v>
      </c>
      <c r="J131" s="6">
        <f>SUM(INDEX(Tabela1[[3x3 Basketball - Men''s Tournament]:[3x3 Basketball - Women''s Tournament]],MATCH(Table92[[#This Row],[Country]],Tabela1[Country], 0),0))</f>
        <v>0</v>
      </c>
      <c r="K131" s="6">
        <f>SUM(INDEX(Tabela1[[Beach Volleyball - Men''s Tournament]:[Beach Volleyball - Women''s Tournament]],MATCH(Table92[[#This Row],[Country]],Tabela1[Country], 0),0))</f>
        <v>0</v>
      </c>
      <c r="L131" s="6">
        <f>SUM(INDEX(Tabela1[[Boxing - Men''s 51kg]:[Boxing - Women''s 75kg]],MATCH(Table92[[#This Row],[Country]],Tabela1[Country], 0),0))</f>
        <v>0</v>
      </c>
      <c r="M131" s="6">
        <f>SUM(INDEX(Tabela1[[Breaking - Men''s Individual]:[Breaking - Women''s Individual]],MATCH(Table92[[#This Row],[Country]],Tabela1[Country], 0),0))</f>
        <v>0</v>
      </c>
      <c r="N131" s="6">
        <f>SUM(INDEX(Tabela1[[Canoeing - Men''s C1 Slalom]:[Canoeing - Women''s Kayak Cross Slalom]],MATCH(Table92[[#This Row],[Country]],Tabela1[Country], 0),0))</f>
        <v>0</v>
      </c>
      <c r="O131" s="6">
        <f>SUM(INDEX(Tabela1[[Canoeing - Women''s C1 200m]:[Canoeing - Women''s K4 500m]],MATCH(Table92[[#This Row],[Country]],Tabela1[Country], 0),0))</f>
        <v>0</v>
      </c>
      <c r="P131" s="6">
        <f>SUM(INDEX(Tabela1[[Cycling - Men''s BMX Freestyle]:[Cycling - Women''s BMX Freestyle]],MATCH(Table92[[#This Row],[Country]],Tabela1[Country], 0),0))</f>
        <v>0</v>
      </c>
      <c r="Q131" s="6">
        <f>SUM(INDEX(Tabela1[[Cycling - Men''s BMX Racing]:[Cycling - Women''s BMX Racing]],MATCH(Table92[[#This Row],[Country]],Tabela1[Country], 0),0))</f>
        <v>0</v>
      </c>
      <c r="R131" s="6">
        <f>SUM(INDEX(Tabela1[[Cycling - Men''s Cross-Country]:[Cycling - Women''s Cross-Country]],MATCH(Table92[[#This Row],[Country]],Tabela1[Country], 0),0))</f>
        <v>0</v>
      </c>
      <c r="S131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31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31" s="6">
        <f>SUM(INDEX(Tabela1[[Diving - Men''s Springboard]:[Diving - Women''s Synchronized Platform]],MATCH(Table92[[#This Row],[Country]],Tabela1[Country], 0),0))</f>
        <v>0</v>
      </c>
      <c r="V131" s="6">
        <f>SUM(INDEX(Tabela1[[Equestrian - Individual Dressage]:[Equestrian - Team Dressage]],MATCH(Table92[[#This Row],[Country]],Tabela1[Country], 0),0))</f>
        <v>0</v>
      </c>
      <c r="W131" s="6">
        <f>SUM(INDEX(Tabela1[[Equestrian - Individual Eventing]:[Equestrian - Team Eventing]],MATCH(Table92[[#This Row],[Country]],Tabela1[Country], 0),0))</f>
        <v>0</v>
      </c>
      <c r="X131" s="6">
        <f>SUM(INDEX(Tabela1[[Equestrian - Individual Jumping]:[Equestrian - Team Jumping]],MATCH(Table92[[#This Row],[Country]],Tabela1[Country], 0),0))</f>
        <v>0</v>
      </c>
      <c r="Y131" s="6">
        <f>SUM(INDEX(Tabela1[[Fencing - Men''s Épée]:[Fencing - Women''s Team Sabre]],MATCH(Table92[[#This Row],[Country]],Tabela1[Country], 0),0))</f>
        <v>0</v>
      </c>
      <c r="Z131" s="6">
        <f>SUM(INDEX(Tabela1[[Field Hockey - Men''s Tournament]:[Field Hockey - Women''s Tournament]],MATCH(Table92[[#This Row],[Country]],Tabela1[Country], 0),0))</f>
        <v>0</v>
      </c>
      <c r="AA131" s="6">
        <f>SUM(INDEX(Tabela1[[Football - Men''s Tournament]:[Football - Women''s Tournament]],MATCH(Table92[[#This Row],[Country]],Tabela1[Country], 0),0))</f>
        <v>0</v>
      </c>
      <c r="AB131" s="6">
        <f>SUM(INDEX(Tabela1[[Golf - Men''s Individual]:[Golf - Women''s Individual]],MATCH(Table92[[#This Row],[Country]],Tabela1[Country], 0),0))</f>
        <v>0</v>
      </c>
      <c r="AC131" s="6">
        <f>SUM(INDEX(Tabela1[[Handball - Men''s Tournament]:[Handball - Women''s Tournament]],MATCH(Table92[[#This Row],[Country]],Tabela1[Country], 0),0))</f>
        <v>0</v>
      </c>
      <c r="AD131" s="6">
        <f>SUM(INDEX(Tabela1[[Judo - Men''s 60kg]:[Judo - Mixed Team]],MATCH(Table92[[#This Row],[Country]],Tabela1[Country], 0),0))</f>
        <v>1</v>
      </c>
      <c r="AE131" s="6">
        <f>SUM(INDEX(Tabela1[[Swimming - Men''s 10km Open Water]:[Swimming - Women''s 10km Open Water]],MATCH(Table92[[#This Row],[Country]],Tabela1[Country], 0),0))</f>
        <v>0</v>
      </c>
      <c r="AF131" s="6">
        <f>SUM(INDEX(Tabela1[[Modern Pentathlon - Men''s Individual]:[Modern Pentathlon - Women''s Individual]],MATCH(Table92[[#This Row],[Country]],Tabela1[Country], 0),0))</f>
        <v>0</v>
      </c>
      <c r="AG131" s="6">
        <f>SUM(INDEX(Tabela1[[Rhythmic Gymnastics - Women''s Individual All-Around]:[Rhythmic Gymnastics - Women''s Group All-Around]],MATCH(Table92[[#This Row],[Country]],Tabela1[Country], 0),0))</f>
        <v>0</v>
      </c>
      <c r="AH131" s="6">
        <f>SUM(INDEX(Tabela1[[Rowing - Men''s Single Sculls]:[Rowing - Women''s Lwt. Double Sculls]],MATCH(Table92[[#This Row],[Country]],Tabela1[Country], 0),0))</f>
        <v>0</v>
      </c>
      <c r="AI131" s="6">
        <f>SUM(INDEX(Tabela1[[Rugby Sevens - Men''s Tournament]:[Rugby Sevens - Women''s Tournament]],MATCH(Table92[[#This Row],[Country]],Tabela1[Country], 0),0))</f>
        <v>0</v>
      </c>
      <c r="AJ131" s="6">
        <f>SUM(INDEX(Tabela1[[Sailing - Mixed 470]:[Sailing - Mixed Nacra 17]],MATCH(Table92[[#This Row],[Country]],Tabela1[Country], 0),0))</f>
        <v>0</v>
      </c>
      <c r="AK131" s="6">
        <f>SUM(INDEX(Tabela1[[Shooting - Men''s 10m Air Pistol]:[Shooting - Women''s Trap]],MATCH(Table92[[#This Row],[Country]],Tabela1[Country], 0),0))</f>
        <v>0</v>
      </c>
      <c r="AL131" s="6">
        <f>SUM(INDEX(Tabela1[[Skateboarding - Men''s Park]:[Skateboarding - Women''s Street]],MATCH(Table92[[#This Row],[Country]],Tabela1[Country], 0),0))</f>
        <v>0</v>
      </c>
      <c r="AM131" s="6">
        <f>SUM(INDEX(Tabela1[[Sport Climbing - Men''s Boulder and Lead]:[Sport Climbing - Women''s Speed]],MATCH(Table92[[#This Row],[Country]],Tabela1[Country], 0),0))</f>
        <v>0</v>
      </c>
      <c r="AN131" s="6">
        <f>SUM(INDEX(Tabela1[[Surfing - Men''s Shortboard]:[Surfing - Women''s Shortboard]],MATCH(Table92[[#This Row],[Country]],Tabela1[Country], 0),0))</f>
        <v>0</v>
      </c>
      <c r="AO131" s="6">
        <f>SUM(INDEX(Tabela1[[Swimming - Men''s 50m Freestyle]:[Swimming - Mixed 4x100m Medley Relay]],MATCH(Table92[[#This Row],[Country]],Tabela1[Country], 0),0))</f>
        <v>0</v>
      </c>
      <c r="AP131" s="6">
        <f>SUM(INDEX(Tabela1[[Table Tennis - Men''s Singles]:[Table Tennis - Mixed Doubles]],MATCH(Table92[[#This Row],[Country]],Tabela1[Country], 0),0))</f>
        <v>0</v>
      </c>
      <c r="AQ131" s="6">
        <f>SUM(INDEX(Tabela1[[Taekwondo - Men''s 58kg]:[Taekwondo - Women''s +67kg]],MATCH(Table92[[#This Row],[Country]],Tabela1[Country], 0),0))</f>
        <v>0</v>
      </c>
      <c r="AR131" s="6">
        <f>SUM(INDEX(Tabela1[[Tennis - Men''s Singles]:[Tennis - Mixed Doubles]],MATCH(Table92[[#This Row],[Country]],Tabela1[Country], 0),0))</f>
        <v>0</v>
      </c>
      <c r="AS131" s="6">
        <f>SUM(INDEX(Tabela1[[Gymnastics - Men''s Trampoline]:[Gymnastics - Women''s Trampoline]],MATCH(Table92[[#This Row],[Country]],Tabela1[Country], 0),0))</f>
        <v>0</v>
      </c>
      <c r="AT131" s="6">
        <f>SUM(INDEX(Tabela1[[Triathlon - Men''s Individual]:[Triathlon - Mixed Relay]],MATCH(Table92[[#This Row],[Country]],Tabela1[Country], 0),0))</f>
        <v>0</v>
      </c>
      <c r="AU131" s="6">
        <f>SUM(INDEX(Tabela1[[Volleyball - Men''s Tournament]:[Volleyball - Women''s Tournament]],MATCH(Table92[[#This Row],[Country]],Tabela1[Country], 0),0))</f>
        <v>0</v>
      </c>
      <c r="AV131" s="6">
        <f>SUM(INDEX(Tabela1[[Water Polo - Men''s Tournament]:[Water Polo - Women''s Tournament]],MATCH(Table92[[#This Row],[Country]],Tabela1[Country], 0),0))</f>
        <v>0</v>
      </c>
      <c r="AW131" s="6">
        <f>SUM(INDEX(Tabela1[[Weightlifting - Men''s 61kg]:[Weightlifting - Women''s +81kg]],MATCH(Table92[[#This Row],[Country]],Tabela1[Country], 0),0))</f>
        <v>0</v>
      </c>
      <c r="AX131" s="6">
        <f>SUM(INDEX(Tabela1[[Wrestling - Men''s Freestyle 57kg]:[Wrestling - Women''s Freestyle 76kg]],MATCH(Table92[[#This Row],[Country]],Tabela1[Country], 0),0))</f>
        <v>0</v>
      </c>
      <c r="AY131" s="6">
        <f>SUM(INDEX(Tabela1[[Alpine Skiing - Men''s Downhill]:[Alpine Skiing - Women''s Team Combined]],MATCH(Table92[[#This Row],[Country]],Tabela1[Country], 0),0))</f>
        <v>0</v>
      </c>
      <c r="AZ131" s="6">
        <f>SUM(INDEX(Tabela1[[Biathlon - Men''s Individual]:[Biathlon - Mixed Relay]],MATCH(Table92[[#This Row],[Country]],Tabela1[Country], 0),0))</f>
        <v>0</v>
      </c>
      <c r="BA131" s="6">
        <f>SUM(INDEX(Tabela1[[Bobsleigh - Women''s Monobob]:[Bobsleigh - Men''s Four]],MATCH(Table92[[#This Row],[Country]],Tabela1[Country], 0),0))</f>
        <v>0</v>
      </c>
      <c r="BB131" s="6">
        <f>SUM(INDEX(Tabela1[[Cross-country skiing - Men''s Classical]:[Cross-country skiing - Women''s Team Sprint]],MATCH(Table92[[#This Row],[Country]],Tabela1[Country], 0),0))</f>
        <v>0</v>
      </c>
      <c r="BC131" s="6">
        <f>SUM(INDEX(Tabela1[[Curling - Men''s Tournament]:[Curling - Mixed Doubles]],MATCH(Table92[[#This Row],[Country]],Tabela1[Country], 0),0))</f>
        <v>0</v>
      </c>
      <c r="BD131" s="6">
        <f>SUM(INDEX(Tabela1[[Figure Skating - Men''s Singles]:[Figure Skating - Team Event]],MATCH(Table92[[#This Row],[Country]],Tabela1[Country], 0),0))</f>
        <v>0</v>
      </c>
      <c r="BE131" s="6">
        <f>SUM(INDEX(Tabela1[[Freestyle Skiing - Men''s Aerials]:[Freestyle Skiing - Women''s Slopestyle]],MATCH(Table92[[#This Row],[Country]],Tabela1[Country], 0),0))</f>
        <v>0</v>
      </c>
      <c r="BF131" s="6">
        <f>SUM(INDEX(Tabela1[[Ice Hockey - Men''s Tournament]:[Ice Hockey - Women''s Tournament]],MATCH(Table92[[#This Row],[Country]],Tabela1[Country], 0),0))</f>
        <v>0</v>
      </c>
      <c r="BG131" s="6">
        <f>SUM(INDEX(Tabela1[[Luge - Men''s Singles]:[Luge - Mixed Team Relay]],MATCH(Table92[[#This Row],[Country]],Tabela1[Country], 0),0))</f>
        <v>0</v>
      </c>
      <c r="BH131" s="6">
        <f>SUM(INDEX(Tabela1[[Nordic Combined - Men''s Individual]:[Nordic Combined - Men''s Team Sprint Large Hill]],MATCH(Table92[[#This Row],[Country]],Tabela1[Country], 0),0))</f>
        <v>0</v>
      </c>
      <c r="BI131" s="6">
        <f>SUM(INDEX(Tabela1[[Short track speed skating - Men''s 500m]:[Short track speed skating - Mixed 2000m Relay]],MATCH(Table92[[#This Row],[Country]],Tabela1[Country], 0),0))</f>
        <v>0</v>
      </c>
      <c r="BJ131" s="6">
        <f>SUM(INDEX(Tabela1[[Skeleton - Men''s Individual]:[Skeleton - Mixed Team]],MATCH(Table92[[#This Row],[Country]],Tabela1[Country], 0),0))</f>
        <v>0</v>
      </c>
      <c r="BK131" s="6">
        <f>SUM(INDEX(Tabela1[[Ski Jumping - Men''s Individual Large Hill]:[Ski Jumping - Mixed Team Normal Hill]],MATCH(Table92[[#This Row],[Country]],Tabela1[Country], 0),0))</f>
        <v>0</v>
      </c>
      <c r="BL131" s="6">
        <f>SUM(INDEX(Tabela1[[Ski Mountaineering - Men''s Sprint]:[Ski Mountaineering - Mixed Relay]],MATCH(Table92[[#This Row],[Country]],Tabela1[Country], 0),0))</f>
        <v>0</v>
      </c>
      <c r="BM131" s="6">
        <f>SUM(INDEX(Tabela1[[Snowboarding - Men''s Big Air]:[Snowboarding - Mixed Team Snowboard Cross]],MATCH(Table92[[#This Row],[Country]],Tabela1[Country], 0),0))</f>
        <v>0</v>
      </c>
      <c r="BN131" s="6">
        <f>SUM(INDEX(Tabela1[[Speed Skating - Men''s 500m]:[Speed Skating - Women''s Team Pursuit]],MATCH(Table92[[#This Row],[Country]],Tabela1[Country], 0),0))</f>
        <v>0</v>
      </c>
      <c r="BO131" s="6" t="str">
        <f>SUBSTITUTE(INDEX(Table92[[#Headers],[Archery Quotas]:[Speed Skating Quotas]], MATCH(MAX(Table92[[#This Row],[Archery Quotas]:[Speed Skating Quotas]]), Table92[[#This Row],[Archery Quotas]:[Speed Skating Quotas]], 0))," Quotas","")</f>
        <v>Athletics</v>
      </c>
      <c r="BP131" s="6">
        <f>SUM(Table92[[#This Row],[Summer Sports]:[Winter Sports]])</f>
        <v>2</v>
      </c>
      <c r="BQ131" s="6">
        <f>COUNTIF(Table92[[#This Row],[Archery Quotas]:[Wrestling Quotas]],"&lt;&gt;0")</f>
        <v>2</v>
      </c>
      <c r="BR131" s="6">
        <f>COUNTIF(Table92[[#This Row],[Alpine Skiing Quotas]:[Speed Skating Quotas]],"&lt;&gt;0")</f>
        <v>0</v>
      </c>
      <c r="BS131" s="4" t="s">
        <v>713</v>
      </c>
    </row>
    <row r="132" spans="1:71" x14ac:dyDescent="0.3">
      <c r="A132" s="6" t="s">
        <v>716</v>
      </c>
      <c r="B132" t="e" vm="123">
        <f>IF(ISBLANK(Table92[[#This Row],[Flag Link]]), "", _xlfn.IMAGE(Table92[[#This Row],[Flag Link]],1,1))</f>
        <v>#VALUE!</v>
      </c>
      <c r="C132" s="6">
        <f>SUM(Table92[[#This Row],[Archery Quotas]:[Speed Skating Quotas]])</f>
        <v>2</v>
      </c>
      <c r="D132" s="6">
        <f>SUM(INDEX(Tabela1[[Archery - Men''s Individual Recurve]:[Archery - Mixed Team Recurve]],MATCH(Table92[[#This Row],[Country]],Tabela1[Country], 0),0))</f>
        <v>0</v>
      </c>
      <c r="E132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32" s="6">
        <f>SUM(INDEX(Tabela1[[Artistic Swimming - Women''s Duet]:[Artistic Swimming - Women''s Team]],MATCH(Table92[[#This Row],[Country]],Tabela1[Country], 0),0))</f>
        <v>0</v>
      </c>
      <c r="G132" s="6">
        <f>SUM(INDEX(Tabela1[[Athletics - Men''s 100m]:[Athletics - Women''s Heptathlon]],MATCH(Table92[[#This Row],[Country]],Tabela1[Country], 0),0))</f>
        <v>0</v>
      </c>
      <c r="H132" s="6">
        <f>SUM(INDEX(Tabela1[[Badminton - Men''s Singles]:[Badminton - Mixed Doubles]],MATCH(Table92[[#This Row],[Country]],Tabela1[Country], 0),0))</f>
        <v>0</v>
      </c>
      <c r="I132" s="6">
        <f>SUM(INDEX(Tabela1[[Basketball - Men''s Tournament]:[Basketball - Women''s Tournament]],MATCH(Table92[[#This Row],[Country]],Tabela1[Country], 0),0))</f>
        <v>0</v>
      </c>
      <c r="J132" s="6">
        <f>SUM(INDEX(Tabela1[[3x3 Basketball - Men''s Tournament]:[3x3 Basketball - Women''s Tournament]],MATCH(Table92[[#This Row],[Country]],Tabela1[Country], 0),0))</f>
        <v>0</v>
      </c>
      <c r="K132" s="6">
        <f>SUM(INDEX(Tabela1[[Beach Volleyball - Men''s Tournament]:[Beach Volleyball - Women''s Tournament]],MATCH(Table92[[#This Row],[Country]],Tabela1[Country], 0),0))</f>
        <v>0</v>
      </c>
      <c r="L132" s="6">
        <f>SUM(INDEX(Tabela1[[Boxing - Men''s 51kg]:[Boxing - Women''s 75kg]],MATCH(Table92[[#This Row],[Country]],Tabela1[Country], 0),0))</f>
        <v>0</v>
      </c>
      <c r="M132" s="6">
        <f>SUM(INDEX(Tabela1[[Breaking - Men''s Individual]:[Breaking - Women''s Individual]],MATCH(Table92[[#This Row],[Country]],Tabela1[Country], 0),0))</f>
        <v>0</v>
      </c>
      <c r="N132" s="6">
        <f>SUM(INDEX(Tabela1[[Canoeing - Men''s C1 Slalom]:[Canoeing - Women''s Kayak Cross Slalom]],MATCH(Table92[[#This Row],[Country]],Tabela1[Country], 0),0))</f>
        <v>0</v>
      </c>
      <c r="O132" s="6">
        <f>SUM(INDEX(Tabela1[[Canoeing - Women''s C1 200m]:[Canoeing - Women''s K4 500m]],MATCH(Table92[[#This Row],[Country]],Tabela1[Country], 0),0))</f>
        <v>0</v>
      </c>
      <c r="P132" s="6">
        <f>SUM(INDEX(Tabela1[[Cycling - Men''s BMX Freestyle]:[Cycling - Women''s BMX Freestyle]],MATCH(Table92[[#This Row],[Country]],Tabela1[Country], 0),0))</f>
        <v>0</v>
      </c>
      <c r="Q132" s="6">
        <f>SUM(INDEX(Tabela1[[Cycling - Men''s BMX Racing]:[Cycling - Women''s BMX Racing]],MATCH(Table92[[#This Row],[Country]],Tabela1[Country], 0),0))</f>
        <v>0</v>
      </c>
      <c r="R132" s="6">
        <f>SUM(INDEX(Tabela1[[Cycling - Men''s Cross-Country]:[Cycling - Women''s Cross-Country]],MATCH(Table92[[#This Row],[Country]],Tabela1[Country], 0),0))</f>
        <v>0</v>
      </c>
      <c r="S132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32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32" s="6">
        <f>SUM(INDEX(Tabela1[[Diving - Men''s Springboard]:[Diving - Women''s Synchronized Platform]],MATCH(Table92[[#This Row],[Country]],Tabela1[Country], 0),0))</f>
        <v>0</v>
      </c>
      <c r="V132" s="6">
        <f>SUM(INDEX(Tabela1[[Equestrian - Individual Dressage]:[Equestrian - Team Dressage]],MATCH(Table92[[#This Row],[Country]],Tabela1[Country], 0),0))</f>
        <v>0</v>
      </c>
      <c r="W132" s="6">
        <f>SUM(INDEX(Tabela1[[Equestrian - Individual Eventing]:[Equestrian - Team Eventing]],MATCH(Table92[[#This Row],[Country]],Tabela1[Country], 0),0))</f>
        <v>0</v>
      </c>
      <c r="X132" s="6">
        <f>SUM(INDEX(Tabela1[[Equestrian - Individual Jumping]:[Equestrian - Team Jumping]],MATCH(Table92[[#This Row],[Country]],Tabela1[Country], 0),0))</f>
        <v>0</v>
      </c>
      <c r="Y132" s="6">
        <f>SUM(INDEX(Tabela1[[Fencing - Men''s Épée]:[Fencing - Women''s Team Sabre]],MATCH(Table92[[#This Row],[Country]],Tabela1[Country], 0),0))</f>
        <v>0</v>
      </c>
      <c r="Z132" s="6">
        <f>SUM(INDEX(Tabela1[[Field Hockey - Men''s Tournament]:[Field Hockey - Women''s Tournament]],MATCH(Table92[[#This Row],[Country]],Tabela1[Country], 0),0))</f>
        <v>0</v>
      </c>
      <c r="AA132" s="6">
        <f>SUM(INDEX(Tabela1[[Football - Men''s Tournament]:[Football - Women''s Tournament]],MATCH(Table92[[#This Row],[Country]],Tabela1[Country], 0),0))</f>
        <v>0</v>
      </c>
      <c r="AB132" s="6">
        <f>SUM(INDEX(Tabela1[[Golf - Men''s Individual]:[Golf - Women''s Individual]],MATCH(Table92[[#This Row],[Country]],Tabela1[Country], 0),0))</f>
        <v>0</v>
      </c>
      <c r="AC132" s="6">
        <f>SUM(INDEX(Tabela1[[Handball - Men''s Tournament]:[Handball - Women''s Tournament]],MATCH(Table92[[#This Row],[Country]],Tabela1[Country], 0),0))</f>
        <v>0</v>
      </c>
      <c r="AD132" s="6">
        <f>SUM(INDEX(Tabela1[[Judo - Men''s 60kg]:[Judo - Mixed Team]],MATCH(Table92[[#This Row],[Country]],Tabela1[Country], 0),0))</f>
        <v>0</v>
      </c>
      <c r="AE132" s="6">
        <f>SUM(INDEX(Tabela1[[Swimming - Men''s 10km Open Water]:[Swimming - Women''s 10km Open Water]],MATCH(Table92[[#This Row],[Country]],Tabela1[Country], 0),0))</f>
        <v>0</v>
      </c>
      <c r="AF132" s="6">
        <f>SUM(INDEX(Tabela1[[Modern Pentathlon - Men''s Individual]:[Modern Pentathlon - Women''s Individual]],MATCH(Table92[[#This Row],[Country]],Tabela1[Country], 0),0))</f>
        <v>0</v>
      </c>
      <c r="AG132" s="6">
        <f>SUM(INDEX(Tabela1[[Rhythmic Gymnastics - Women''s Individual All-Around]:[Rhythmic Gymnastics - Women''s Group All-Around]],MATCH(Table92[[#This Row],[Country]],Tabela1[Country], 0),0))</f>
        <v>0</v>
      </c>
      <c r="AH132" s="6">
        <f>SUM(INDEX(Tabela1[[Rowing - Men''s Single Sculls]:[Rowing - Women''s Lwt. Double Sculls]],MATCH(Table92[[#This Row],[Country]],Tabela1[Country], 0),0))</f>
        <v>0</v>
      </c>
      <c r="AI132" s="6">
        <f>SUM(INDEX(Tabela1[[Rugby Sevens - Men''s Tournament]:[Rugby Sevens - Women''s Tournament]],MATCH(Table92[[#This Row],[Country]],Tabela1[Country], 0),0))</f>
        <v>0</v>
      </c>
      <c r="AJ132" s="6">
        <f>SUM(INDEX(Tabela1[[Sailing - Mixed 470]:[Sailing - Mixed Nacra 17]],MATCH(Table92[[#This Row],[Country]],Tabela1[Country], 0),0))</f>
        <v>0</v>
      </c>
      <c r="AK132" s="6">
        <f>SUM(INDEX(Tabela1[[Shooting - Men''s 10m Air Pistol]:[Shooting - Women''s Trap]],MATCH(Table92[[#This Row],[Country]],Tabela1[Country], 0),0))</f>
        <v>0</v>
      </c>
      <c r="AL132" s="6">
        <f>SUM(INDEX(Tabela1[[Skateboarding - Men''s Park]:[Skateboarding - Women''s Street]],MATCH(Table92[[#This Row],[Country]],Tabela1[Country], 0),0))</f>
        <v>0</v>
      </c>
      <c r="AM132" s="6">
        <f>SUM(INDEX(Tabela1[[Sport Climbing - Men''s Boulder and Lead]:[Sport Climbing - Women''s Speed]],MATCH(Table92[[#This Row],[Country]],Tabela1[Country], 0),0))</f>
        <v>0</v>
      </c>
      <c r="AN132" s="6">
        <f>SUM(INDEX(Tabela1[[Surfing - Men''s Shortboard]:[Surfing - Women''s Shortboard]],MATCH(Table92[[#This Row],[Country]],Tabela1[Country], 0),0))</f>
        <v>0</v>
      </c>
      <c r="AO132" s="6">
        <f>SUM(INDEX(Tabela1[[Swimming - Men''s 50m Freestyle]:[Swimming - Mixed 4x100m Medley Relay]],MATCH(Table92[[#This Row],[Country]],Tabela1[Country], 0),0))</f>
        <v>2</v>
      </c>
      <c r="AP132" s="6">
        <f>SUM(INDEX(Tabela1[[Table Tennis - Men''s Singles]:[Table Tennis - Mixed Doubles]],MATCH(Table92[[#This Row],[Country]],Tabela1[Country], 0),0))</f>
        <v>0</v>
      </c>
      <c r="AQ132" s="6">
        <f>SUM(INDEX(Tabela1[[Taekwondo - Men''s 58kg]:[Taekwondo - Women''s +67kg]],MATCH(Table92[[#This Row],[Country]],Tabela1[Country], 0),0))</f>
        <v>0</v>
      </c>
      <c r="AR132" s="6">
        <f>SUM(INDEX(Tabela1[[Tennis - Men''s Singles]:[Tennis - Mixed Doubles]],MATCH(Table92[[#This Row],[Country]],Tabela1[Country], 0),0))</f>
        <v>0</v>
      </c>
      <c r="AS132" s="6">
        <f>SUM(INDEX(Tabela1[[Gymnastics - Men''s Trampoline]:[Gymnastics - Women''s Trampoline]],MATCH(Table92[[#This Row],[Country]],Tabela1[Country], 0),0))</f>
        <v>0</v>
      </c>
      <c r="AT132" s="6">
        <f>SUM(INDEX(Tabela1[[Triathlon - Men''s Individual]:[Triathlon - Mixed Relay]],MATCH(Table92[[#This Row],[Country]],Tabela1[Country], 0),0))</f>
        <v>0</v>
      </c>
      <c r="AU132" s="6">
        <f>SUM(INDEX(Tabela1[[Volleyball - Men''s Tournament]:[Volleyball - Women''s Tournament]],MATCH(Table92[[#This Row],[Country]],Tabela1[Country], 0),0))</f>
        <v>0</v>
      </c>
      <c r="AV132" s="6">
        <f>SUM(INDEX(Tabela1[[Water Polo - Men''s Tournament]:[Water Polo - Women''s Tournament]],MATCH(Table92[[#This Row],[Country]],Tabela1[Country], 0),0))</f>
        <v>0</v>
      </c>
      <c r="AW132" s="6">
        <f>SUM(INDEX(Tabela1[[Weightlifting - Men''s 61kg]:[Weightlifting - Women''s +81kg]],MATCH(Table92[[#This Row],[Country]],Tabela1[Country], 0),0))</f>
        <v>0</v>
      </c>
      <c r="AX132" s="6">
        <f>SUM(INDEX(Tabela1[[Wrestling - Men''s Freestyle 57kg]:[Wrestling - Women''s Freestyle 76kg]],MATCH(Table92[[#This Row],[Country]],Tabela1[Country], 0),0))</f>
        <v>0</v>
      </c>
      <c r="AY132" s="6">
        <f>SUM(INDEX(Tabela1[[Alpine Skiing - Men''s Downhill]:[Alpine Skiing - Women''s Team Combined]],MATCH(Table92[[#This Row],[Country]],Tabela1[Country], 0),0))</f>
        <v>0</v>
      </c>
      <c r="AZ132" s="6">
        <f>SUM(INDEX(Tabela1[[Biathlon - Men''s Individual]:[Biathlon - Mixed Relay]],MATCH(Table92[[#This Row],[Country]],Tabela1[Country], 0),0))</f>
        <v>0</v>
      </c>
      <c r="BA132" s="6">
        <f>SUM(INDEX(Tabela1[[Bobsleigh - Women''s Monobob]:[Bobsleigh - Men''s Four]],MATCH(Table92[[#This Row],[Country]],Tabela1[Country], 0),0))</f>
        <v>0</v>
      </c>
      <c r="BB132" s="6">
        <f>SUM(INDEX(Tabela1[[Cross-country skiing - Men''s Classical]:[Cross-country skiing - Women''s Team Sprint]],MATCH(Table92[[#This Row],[Country]],Tabela1[Country], 0),0))</f>
        <v>0</v>
      </c>
      <c r="BC132" s="6">
        <f>SUM(INDEX(Tabela1[[Curling - Men''s Tournament]:[Curling - Mixed Doubles]],MATCH(Table92[[#This Row],[Country]],Tabela1[Country], 0),0))</f>
        <v>0</v>
      </c>
      <c r="BD132" s="6">
        <f>SUM(INDEX(Tabela1[[Figure Skating - Men''s Singles]:[Figure Skating - Team Event]],MATCH(Table92[[#This Row],[Country]],Tabela1[Country], 0),0))</f>
        <v>0</v>
      </c>
      <c r="BE132" s="6">
        <f>SUM(INDEX(Tabela1[[Freestyle Skiing - Men''s Aerials]:[Freestyle Skiing - Women''s Slopestyle]],MATCH(Table92[[#This Row],[Country]],Tabela1[Country], 0),0))</f>
        <v>0</v>
      </c>
      <c r="BF132" s="6">
        <f>SUM(INDEX(Tabela1[[Ice Hockey - Men''s Tournament]:[Ice Hockey - Women''s Tournament]],MATCH(Table92[[#This Row],[Country]],Tabela1[Country], 0),0))</f>
        <v>0</v>
      </c>
      <c r="BG132" s="6">
        <f>SUM(INDEX(Tabela1[[Luge - Men''s Singles]:[Luge - Mixed Team Relay]],MATCH(Table92[[#This Row],[Country]],Tabela1[Country], 0),0))</f>
        <v>0</v>
      </c>
      <c r="BH132" s="6">
        <f>SUM(INDEX(Tabela1[[Nordic Combined - Men''s Individual]:[Nordic Combined - Men''s Team Sprint Large Hill]],MATCH(Table92[[#This Row],[Country]],Tabela1[Country], 0),0))</f>
        <v>0</v>
      </c>
      <c r="BI132" s="6">
        <f>SUM(INDEX(Tabela1[[Short track speed skating - Men''s 500m]:[Short track speed skating - Mixed 2000m Relay]],MATCH(Table92[[#This Row],[Country]],Tabela1[Country], 0),0))</f>
        <v>0</v>
      </c>
      <c r="BJ132" s="6">
        <f>SUM(INDEX(Tabela1[[Skeleton - Men''s Individual]:[Skeleton - Mixed Team]],MATCH(Table92[[#This Row],[Country]],Tabela1[Country], 0),0))</f>
        <v>0</v>
      </c>
      <c r="BK132" s="6">
        <f>SUM(INDEX(Tabela1[[Ski Jumping - Men''s Individual Large Hill]:[Ski Jumping - Mixed Team Normal Hill]],MATCH(Table92[[#This Row],[Country]],Tabela1[Country], 0),0))</f>
        <v>0</v>
      </c>
      <c r="BL132" s="6">
        <f>SUM(INDEX(Tabela1[[Ski Mountaineering - Men''s Sprint]:[Ski Mountaineering - Mixed Relay]],MATCH(Table92[[#This Row],[Country]],Tabela1[Country], 0),0))</f>
        <v>0</v>
      </c>
      <c r="BM132" s="6">
        <f>SUM(INDEX(Tabela1[[Snowboarding - Men''s Big Air]:[Snowboarding - Mixed Team Snowboard Cross]],MATCH(Table92[[#This Row],[Country]],Tabela1[Country], 0),0))</f>
        <v>0</v>
      </c>
      <c r="BN132" s="6">
        <f>SUM(INDEX(Tabela1[[Speed Skating - Men''s 500m]:[Speed Skating - Women''s Team Pursuit]],MATCH(Table92[[#This Row],[Country]],Tabela1[Country], 0),0))</f>
        <v>0</v>
      </c>
      <c r="BO132" s="6" t="str">
        <f>SUBSTITUTE(INDEX(Table92[[#Headers],[Archery Quotas]:[Speed Skating Quotas]], MATCH(MAX(Table92[[#This Row],[Archery Quotas]:[Speed Skating Quotas]]), Table92[[#This Row],[Archery Quotas]:[Speed Skating Quotas]], 0))," Quotas","")</f>
        <v>Swimming</v>
      </c>
      <c r="BP132" s="6">
        <f>SUM(Table92[[#This Row],[Summer Sports]:[Winter Sports]])</f>
        <v>1</v>
      </c>
      <c r="BQ132" s="6">
        <f>COUNTIF(Table92[[#This Row],[Archery Quotas]:[Wrestling Quotas]],"&lt;&gt;0")</f>
        <v>1</v>
      </c>
      <c r="BR132" s="6">
        <f>COUNTIF(Table92[[#This Row],[Alpine Skiing Quotas]:[Speed Skating Quotas]],"&lt;&gt;0")</f>
        <v>0</v>
      </c>
      <c r="BS132" s="3" t="s">
        <v>717</v>
      </c>
    </row>
    <row r="133" spans="1:71" x14ac:dyDescent="0.3">
      <c r="A133" s="6" t="s">
        <v>730</v>
      </c>
      <c r="B133" t="e" vm="119">
        <f>IF(ISBLANK(Table92[[#This Row],[Flag Link]]), "", _xlfn.IMAGE(Table92[[#This Row],[Flag Link]],1,1))</f>
        <v>#VALUE!</v>
      </c>
      <c r="C133" s="6">
        <f>SUM(Table92[[#This Row],[Archery Quotas]:[Speed Skating Quotas]])</f>
        <v>2</v>
      </c>
      <c r="D133" s="6">
        <f>SUM(INDEX(Tabela1[[Archery - Men''s Individual Recurve]:[Archery - Mixed Team Recurve]],MATCH(Table92[[#This Row],[Country]],Tabela1[Country], 0),0))</f>
        <v>0</v>
      </c>
      <c r="E133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33" s="6">
        <f>SUM(INDEX(Tabela1[[Artistic Swimming - Women''s Duet]:[Artistic Swimming - Women''s Team]],MATCH(Table92[[#This Row],[Country]],Tabela1[Country], 0),0))</f>
        <v>0</v>
      </c>
      <c r="G133" s="6">
        <f>SUM(INDEX(Tabela1[[Athletics - Men''s 100m]:[Athletics - Women''s Heptathlon]],MATCH(Table92[[#This Row],[Country]],Tabela1[Country], 0),0))</f>
        <v>0</v>
      </c>
      <c r="H133" s="6">
        <f>SUM(INDEX(Tabela1[[Badminton - Men''s Singles]:[Badminton - Mixed Doubles]],MATCH(Table92[[#This Row],[Country]],Tabela1[Country], 0),0))</f>
        <v>1</v>
      </c>
      <c r="I133" s="6">
        <f>SUM(INDEX(Tabela1[[Basketball - Men''s Tournament]:[Basketball - Women''s Tournament]],MATCH(Table92[[#This Row],[Country]],Tabela1[Country], 0),0))</f>
        <v>0</v>
      </c>
      <c r="J133" s="6">
        <f>SUM(INDEX(Tabela1[[3x3 Basketball - Men''s Tournament]:[3x3 Basketball - Women''s Tournament]],MATCH(Table92[[#This Row],[Country]],Tabela1[Country], 0),0))</f>
        <v>0</v>
      </c>
      <c r="K133" s="6">
        <f>SUM(INDEX(Tabela1[[Beach Volleyball - Men''s Tournament]:[Beach Volleyball - Women''s Tournament]],MATCH(Table92[[#This Row],[Country]],Tabela1[Country], 0),0))</f>
        <v>0</v>
      </c>
      <c r="L133" s="6">
        <f>SUM(INDEX(Tabela1[[Boxing - Men''s 51kg]:[Boxing - Women''s 75kg]],MATCH(Table92[[#This Row],[Country]],Tabela1[Country], 0),0))</f>
        <v>0</v>
      </c>
      <c r="M133" s="6">
        <f>SUM(INDEX(Tabela1[[Breaking - Men''s Individual]:[Breaking - Women''s Individual]],MATCH(Table92[[#This Row],[Country]],Tabela1[Country], 0),0))</f>
        <v>0</v>
      </c>
      <c r="N133" s="6">
        <f>SUM(INDEX(Tabela1[[Canoeing - Men''s C1 Slalom]:[Canoeing - Women''s Kayak Cross Slalom]],MATCH(Table92[[#This Row],[Country]],Tabela1[Country], 0),0))</f>
        <v>0</v>
      </c>
      <c r="O133" s="6">
        <f>SUM(INDEX(Tabela1[[Canoeing - Women''s C1 200m]:[Canoeing - Women''s K4 500m]],MATCH(Table92[[#This Row],[Country]],Tabela1[Country], 0),0))</f>
        <v>0</v>
      </c>
      <c r="P133" s="6">
        <f>SUM(INDEX(Tabela1[[Cycling - Men''s BMX Freestyle]:[Cycling - Women''s BMX Freestyle]],MATCH(Table92[[#This Row],[Country]],Tabela1[Country], 0),0))</f>
        <v>0</v>
      </c>
      <c r="Q133" s="6">
        <f>SUM(INDEX(Tabela1[[Cycling - Men''s BMX Racing]:[Cycling - Women''s BMX Racing]],MATCH(Table92[[#This Row],[Country]],Tabela1[Country], 0),0))</f>
        <v>0</v>
      </c>
      <c r="R133" s="6">
        <f>SUM(INDEX(Tabela1[[Cycling - Men''s Cross-Country]:[Cycling - Women''s Cross-Country]],MATCH(Table92[[#This Row],[Country]],Tabela1[Country], 0),0))</f>
        <v>0</v>
      </c>
      <c r="S133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33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33" s="6">
        <f>SUM(INDEX(Tabela1[[Diving - Men''s Springboard]:[Diving - Women''s Synchronized Platform]],MATCH(Table92[[#This Row],[Country]],Tabela1[Country], 0),0))</f>
        <v>0</v>
      </c>
      <c r="V133" s="6">
        <f>SUM(INDEX(Tabela1[[Equestrian - Individual Dressage]:[Equestrian - Team Dressage]],MATCH(Table92[[#This Row],[Country]],Tabela1[Country], 0),0))</f>
        <v>0</v>
      </c>
      <c r="W133" s="6">
        <f>SUM(INDEX(Tabela1[[Equestrian - Individual Eventing]:[Equestrian - Team Eventing]],MATCH(Table92[[#This Row],[Country]],Tabela1[Country], 0),0))</f>
        <v>0</v>
      </c>
      <c r="X133" s="6">
        <f>SUM(INDEX(Tabela1[[Equestrian - Individual Jumping]:[Equestrian - Team Jumping]],MATCH(Table92[[#This Row],[Country]],Tabela1[Country], 0),0))</f>
        <v>0</v>
      </c>
      <c r="Y133" s="6">
        <f>SUM(INDEX(Tabela1[[Fencing - Men''s Épée]:[Fencing - Women''s Team Sabre]],MATCH(Table92[[#This Row],[Country]],Tabela1[Country], 0),0))</f>
        <v>0</v>
      </c>
      <c r="Z133" s="6">
        <f>SUM(INDEX(Tabela1[[Field Hockey - Men''s Tournament]:[Field Hockey - Women''s Tournament]],MATCH(Table92[[#This Row],[Country]],Tabela1[Country], 0),0))</f>
        <v>0</v>
      </c>
      <c r="AA133" s="6">
        <f>SUM(INDEX(Tabela1[[Football - Men''s Tournament]:[Football - Women''s Tournament]],MATCH(Table92[[#This Row],[Country]],Tabela1[Country], 0),0))</f>
        <v>0</v>
      </c>
      <c r="AB133" s="6">
        <f>SUM(INDEX(Tabela1[[Golf - Men''s Individual]:[Golf - Women''s Individual]],MATCH(Table92[[#This Row],[Country]],Tabela1[Country], 0),0))</f>
        <v>0</v>
      </c>
      <c r="AC133" s="6">
        <f>SUM(INDEX(Tabela1[[Handball - Men''s Tournament]:[Handball - Women''s Tournament]],MATCH(Table92[[#This Row],[Country]],Tabela1[Country], 0),0))</f>
        <v>0</v>
      </c>
      <c r="AD133" s="6">
        <f>SUM(INDEX(Tabela1[[Judo - Men''s 60kg]:[Judo - Mixed Team]],MATCH(Table92[[#This Row],[Country]],Tabela1[Country], 0),0))</f>
        <v>0</v>
      </c>
      <c r="AE133" s="6">
        <f>SUM(INDEX(Tabela1[[Swimming - Men''s 10km Open Water]:[Swimming - Women''s 10km Open Water]],MATCH(Table92[[#This Row],[Country]],Tabela1[Country], 0),0))</f>
        <v>0</v>
      </c>
      <c r="AF133" s="6">
        <f>SUM(INDEX(Tabela1[[Modern Pentathlon - Men''s Individual]:[Modern Pentathlon - Women''s Individual]],MATCH(Table92[[#This Row],[Country]],Tabela1[Country], 0),0))</f>
        <v>0</v>
      </c>
      <c r="AG133" s="6">
        <f>SUM(INDEX(Tabela1[[Rhythmic Gymnastics - Women''s Individual All-Around]:[Rhythmic Gymnastics - Women''s Group All-Around]],MATCH(Table92[[#This Row],[Country]],Tabela1[Country], 0),0))</f>
        <v>0</v>
      </c>
      <c r="AH133" s="6">
        <f>SUM(INDEX(Tabela1[[Rowing - Men''s Single Sculls]:[Rowing - Women''s Lwt. Double Sculls]],MATCH(Table92[[#This Row],[Country]],Tabela1[Country], 0),0))</f>
        <v>0</v>
      </c>
      <c r="AI133" s="6">
        <f>SUM(INDEX(Tabela1[[Rugby Sevens - Men''s Tournament]:[Rugby Sevens - Women''s Tournament]],MATCH(Table92[[#This Row],[Country]],Tabela1[Country], 0),0))</f>
        <v>0</v>
      </c>
      <c r="AJ133" s="6">
        <f>SUM(INDEX(Tabela1[[Sailing - Mixed 470]:[Sailing - Mixed Nacra 17]],MATCH(Table92[[#This Row],[Country]],Tabela1[Country], 0),0))</f>
        <v>0</v>
      </c>
      <c r="AK133" s="6">
        <f>SUM(INDEX(Tabela1[[Shooting - Men''s 10m Air Pistol]:[Shooting - Women''s Trap]],MATCH(Table92[[#This Row],[Country]],Tabela1[Country], 0),0))</f>
        <v>1</v>
      </c>
      <c r="AL133" s="6">
        <f>SUM(INDEX(Tabela1[[Skateboarding - Men''s Park]:[Skateboarding - Women''s Street]],MATCH(Table92[[#This Row],[Country]],Tabela1[Country], 0),0))</f>
        <v>0</v>
      </c>
      <c r="AM133" s="6">
        <f>SUM(INDEX(Tabela1[[Sport Climbing - Men''s Boulder and Lead]:[Sport Climbing - Women''s Speed]],MATCH(Table92[[#This Row],[Country]],Tabela1[Country], 0),0))</f>
        <v>0</v>
      </c>
      <c r="AN133" s="6">
        <f>SUM(INDEX(Tabela1[[Surfing - Men''s Shortboard]:[Surfing - Women''s Shortboard]],MATCH(Table92[[#This Row],[Country]],Tabela1[Country], 0),0))</f>
        <v>0</v>
      </c>
      <c r="AO133" s="6">
        <f>SUM(INDEX(Tabela1[[Swimming - Men''s 50m Freestyle]:[Swimming - Mixed 4x100m Medley Relay]],MATCH(Table92[[#This Row],[Country]],Tabela1[Country], 0),0))</f>
        <v>0</v>
      </c>
      <c r="AP133" s="6">
        <f>SUM(INDEX(Tabela1[[Table Tennis - Men''s Singles]:[Table Tennis - Mixed Doubles]],MATCH(Table92[[#This Row],[Country]],Tabela1[Country], 0),0))</f>
        <v>0</v>
      </c>
      <c r="AQ133" s="6">
        <f>SUM(INDEX(Tabela1[[Taekwondo - Men''s 58kg]:[Taekwondo - Women''s +67kg]],MATCH(Table92[[#This Row],[Country]],Tabela1[Country], 0),0))</f>
        <v>0</v>
      </c>
      <c r="AR133" s="6">
        <f>SUM(INDEX(Tabela1[[Tennis - Men''s Singles]:[Tennis - Mixed Doubles]],MATCH(Table92[[#This Row],[Country]],Tabela1[Country], 0),0))</f>
        <v>0</v>
      </c>
      <c r="AS133" s="6">
        <f>SUM(INDEX(Tabela1[[Gymnastics - Men''s Trampoline]:[Gymnastics - Women''s Trampoline]],MATCH(Table92[[#This Row],[Country]],Tabela1[Country], 0),0))</f>
        <v>0</v>
      </c>
      <c r="AT133" s="6">
        <f>SUM(INDEX(Tabela1[[Triathlon - Men''s Individual]:[Triathlon - Mixed Relay]],MATCH(Table92[[#This Row],[Country]],Tabela1[Country], 0),0))</f>
        <v>0</v>
      </c>
      <c r="AU133" s="6">
        <f>SUM(INDEX(Tabela1[[Volleyball - Men''s Tournament]:[Volleyball - Women''s Tournament]],MATCH(Table92[[#This Row],[Country]],Tabela1[Country], 0),0))</f>
        <v>0</v>
      </c>
      <c r="AV133" s="6">
        <f>SUM(INDEX(Tabela1[[Water Polo - Men''s Tournament]:[Water Polo - Women''s Tournament]],MATCH(Table92[[#This Row],[Country]],Tabela1[Country], 0),0))</f>
        <v>0</v>
      </c>
      <c r="AW133" s="6">
        <f>SUM(INDEX(Tabela1[[Weightlifting - Men''s 61kg]:[Weightlifting - Women''s +81kg]],MATCH(Table92[[#This Row],[Country]],Tabela1[Country], 0),0))</f>
        <v>0</v>
      </c>
      <c r="AX133" s="6">
        <f>SUM(INDEX(Tabela1[[Wrestling - Men''s Freestyle 57kg]:[Wrestling - Women''s Freestyle 76kg]],MATCH(Table92[[#This Row],[Country]],Tabela1[Country], 0),0))</f>
        <v>0</v>
      </c>
      <c r="AY133" s="6">
        <f>SUM(INDEX(Tabela1[[Alpine Skiing - Men''s Downhill]:[Alpine Skiing - Women''s Team Combined]],MATCH(Table92[[#This Row],[Country]],Tabela1[Country], 0),0))</f>
        <v>0</v>
      </c>
      <c r="AZ133" s="6">
        <f>SUM(INDEX(Tabela1[[Biathlon - Men''s Individual]:[Biathlon - Mixed Relay]],MATCH(Table92[[#This Row],[Country]],Tabela1[Country], 0),0))</f>
        <v>0</v>
      </c>
      <c r="BA133" s="6">
        <f>SUM(INDEX(Tabela1[[Bobsleigh - Women''s Monobob]:[Bobsleigh - Men''s Four]],MATCH(Table92[[#This Row],[Country]],Tabela1[Country], 0),0))</f>
        <v>0</v>
      </c>
      <c r="BB133" s="6">
        <f>SUM(INDEX(Tabela1[[Cross-country skiing - Men''s Classical]:[Cross-country skiing - Women''s Team Sprint]],MATCH(Table92[[#This Row],[Country]],Tabela1[Country], 0),0))</f>
        <v>0</v>
      </c>
      <c r="BC133" s="6">
        <f>SUM(INDEX(Tabela1[[Curling - Men''s Tournament]:[Curling - Mixed Doubles]],MATCH(Table92[[#This Row],[Country]],Tabela1[Country], 0),0))</f>
        <v>0</v>
      </c>
      <c r="BD133" s="6">
        <f>SUM(INDEX(Tabela1[[Figure Skating - Men''s Singles]:[Figure Skating - Team Event]],MATCH(Table92[[#This Row],[Country]],Tabela1[Country], 0),0))</f>
        <v>0</v>
      </c>
      <c r="BE133" s="6">
        <f>SUM(INDEX(Tabela1[[Freestyle Skiing - Men''s Aerials]:[Freestyle Skiing - Women''s Slopestyle]],MATCH(Table92[[#This Row],[Country]],Tabela1[Country], 0),0))</f>
        <v>0</v>
      </c>
      <c r="BF133" s="6">
        <f>SUM(INDEX(Tabela1[[Ice Hockey - Men''s Tournament]:[Ice Hockey - Women''s Tournament]],MATCH(Table92[[#This Row],[Country]],Tabela1[Country], 0),0))</f>
        <v>0</v>
      </c>
      <c r="BG133" s="6">
        <f>SUM(INDEX(Tabela1[[Luge - Men''s Singles]:[Luge - Mixed Team Relay]],MATCH(Table92[[#This Row],[Country]],Tabela1[Country], 0),0))</f>
        <v>0</v>
      </c>
      <c r="BH133" s="6">
        <f>SUM(INDEX(Tabela1[[Nordic Combined - Men''s Individual]:[Nordic Combined - Men''s Team Sprint Large Hill]],MATCH(Table92[[#This Row],[Country]],Tabela1[Country], 0),0))</f>
        <v>0</v>
      </c>
      <c r="BI133" s="6">
        <f>SUM(INDEX(Tabela1[[Short track speed skating - Men''s 500m]:[Short track speed skating - Mixed 2000m Relay]],MATCH(Table92[[#This Row],[Country]],Tabela1[Country], 0),0))</f>
        <v>0</v>
      </c>
      <c r="BJ133" s="6">
        <f>SUM(INDEX(Tabela1[[Skeleton - Men''s Individual]:[Skeleton - Mixed Team]],MATCH(Table92[[#This Row],[Country]],Tabela1[Country], 0),0))</f>
        <v>0</v>
      </c>
      <c r="BK133" s="6">
        <f>SUM(INDEX(Tabela1[[Ski Jumping - Men''s Individual Large Hill]:[Ski Jumping - Mixed Team Normal Hill]],MATCH(Table92[[#This Row],[Country]],Tabela1[Country], 0),0))</f>
        <v>0</v>
      </c>
      <c r="BL133" s="6">
        <f>SUM(INDEX(Tabela1[[Ski Mountaineering - Men''s Sprint]:[Ski Mountaineering - Mixed Relay]],MATCH(Table92[[#This Row],[Country]],Tabela1[Country], 0),0))</f>
        <v>0</v>
      </c>
      <c r="BM133" s="6">
        <f>SUM(INDEX(Tabela1[[Snowboarding - Men''s Big Air]:[Snowboarding - Mixed Team Snowboard Cross]],MATCH(Table92[[#This Row],[Country]],Tabela1[Country], 0),0))</f>
        <v>0</v>
      </c>
      <c r="BN133" s="6">
        <f>SUM(INDEX(Tabela1[[Speed Skating - Men''s 500m]:[Speed Skating - Women''s Team Pursuit]],MATCH(Table92[[#This Row],[Country]],Tabela1[Country], 0),0))</f>
        <v>0</v>
      </c>
      <c r="BO133" s="6" t="str">
        <f>SUBSTITUTE(INDEX(Table92[[#Headers],[Archery Quotas]:[Speed Skating Quotas]], MATCH(MAX(Table92[[#This Row],[Archery Quotas]:[Speed Skating Quotas]]), Table92[[#This Row],[Archery Quotas]:[Speed Skating Quotas]], 0))," Quotas","")</f>
        <v>Badminton</v>
      </c>
      <c r="BP133" s="6">
        <f>SUM(Table92[[#This Row],[Summer Sports]:[Winter Sports]])</f>
        <v>2</v>
      </c>
      <c r="BQ133" s="6">
        <f>COUNTIF(Table92[[#This Row],[Archery Quotas]:[Wrestling Quotas]],"&lt;&gt;0")</f>
        <v>2</v>
      </c>
      <c r="BR133" s="6">
        <f>COUNTIF(Table92[[#This Row],[Alpine Skiing Quotas]:[Speed Skating Quotas]],"&lt;&gt;0")</f>
        <v>0</v>
      </c>
      <c r="BS133" s="3" t="s">
        <v>731</v>
      </c>
    </row>
    <row r="134" spans="1:71" x14ac:dyDescent="0.3">
      <c r="A134" s="6" t="s">
        <v>514</v>
      </c>
      <c r="B134" t="e" vm="150">
        <f>IF(ISBLANK(Table92[[#This Row],[Flag Link]]), "", _xlfn.IMAGE(Table92[[#This Row],[Flag Link]],1,1))</f>
        <v>#VALUE!</v>
      </c>
      <c r="C134" s="6">
        <f>SUM(Table92[[#This Row],[Archery Quotas]:[Speed Skating Quotas]])</f>
        <v>1</v>
      </c>
      <c r="D134" s="6">
        <f>SUM(INDEX(Tabela1[[Archery - Men''s Individual Recurve]:[Archery - Mixed Team Recurve]],MATCH(Table92[[#This Row],[Country]],Tabela1[Country], 0),0))</f>
        <v>0</v>
      </c>
      <c r="E134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34" s="6">
        <f>SUM(INDEX(Tabela1[[Artistic Swimming - Women''s Duet]:[Artistic Swimming - Women''s Team]],MATCH(Table92[[#This Row],[Country]],Tabela1[Country], 0),0))</f>
        <v>0</v>
      </c>
      <c r="G134" s="6">
        <f>SUM(INDEX(Tabela1[[Athletics - Men''s 100m]:[Athletics - Women''s Heptathlon]],MATCH(Table92[[#This Row],[Country]],Tabela1[Country], 0),0))</f>
        <v>0</v>
      </c>
      <c r="H134" s="6">
        <f>SUM(INDEX(Tabela1[[Badminton - Men''s Singles]:[Badminton - Mixed Doubles]],MATCH(Table92[[#This Row],[Country]],Tabela1[Country], 0),0))</f>
        <v>0</v>
      </c>
      <c r="I134" s="6">
        <f>SUM(INDEX(Tabela1[[Basketball - Men''s Tournament]:[Basketball - Women''s Tournament]],MATCH(Table92[[#This Row],[Country]],Tabela1[Country], 0),0))</f>
        <v>0</v>
      </c>
      <c r="J134" s="6">
        <f>SUM(INDEX(Tabela1[[3x3 Basketball - Men''s Tournament]:[3x3 Basketball - Women''s Tournament]],MATCH(Table92[[#This Row],[Country]],Tabela1[Country], 0),0))</f>
        <v>0</v>
      </c>
      <c r="K134" s="6">
        <f>SUM(INDEX(Tabela1[[Beach Volleyball - Men''s Tournament]:[Beach Volleyball - Women''s Tournament]],MATCH(Table92[[#This Row],[Country]],Tabela1[Country], 0),0))</f>
        <v>0</v>
      </c>
      <c r="L134" s="6">
        <f>SUM(INDEX(Tabela1[[Boxing - Men''s 51kg]:[Boxing - Women''s 75kg]],MATCH(Table92[[#This Row],[Country]],Tabela1[Country], 0),0))</f>
        <v>0</v>
      </c>
      <c r="M134" s="6">
        <f>SUM(INDEX(Tabela1[[Breaking - Men''s Individual]:[Breaking - Women''s Individual]],MATCH(Table92[[#This Row],[Country]],Tabela1[Country], 0),0))</f>
        <v>0</v>
      </c>
      <c r="N134" s="6">
        <f>SUM(INDEX(Tabela1[[Canoeing - Men''s C1 Slalom]:[Canoeing - Women''s Kayak Cross Slalom]],MATCH(Table92[[#This Row],[Country]],Tabela1[Country], 0),0))</f>
        <v>0</v>
      </c>
      <c r="O134" s="6">
        <f>SUM(INDEX(Tabela1[[Canoeing - Women''s C1 200m]:[Canoeing - Women''s K4 500m]],MATCH(Table92[[#This Row],[Country]],Tabela1[Country], 0),0))</f>
        <v>0</v>
      </c>
      <c r="P134" s="6">
        <f>SUM(INDEX(Tabela1[[Cycling - Men''s BMX Freestyle]:[Cycling - Women''s BMX Freestyle]],MATCH(Table92[[#This Row],[Country]],Tabela1[Country], 0),0))</f>
        <v>0</v>
      </c>
      <c r="Q134" s="6">
        <f>SUM(INDEX(Tabela1[[Cycling - Men''s BMX Racing]:[Cycling - Women''s BMX Racing]],MATCH(Table92[[#This Row],[Country]],Tabela1[Country], 0),0))</f>
        <v>0</v>
      </c>
      <c r="R134" s="6">
        <f>SUM(INDEX(Tabela1[[Cycling - Men''s Cross-Country]:[Cycling - Women''s Cross-Country]],MATCH(Table92[[#This Row],[Country]],Tabela1[Country], 0),0))</f>
        <v>0</v>
      </c>
      <c r="S134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34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34" s="6">
        <f>SUM(INDEX(Tabela1[[Diving - Men''s Springboard]:[Diving - Women''s Synchronized Platform]],MATCH(Table92[[#This Row],[Country]],Tabela1[Country], 0),0))</f>
        <v>0</v>
      </c>
      <c r="V134" s="6">
        <f>SUM(INDEX(Tabela1[[Equestrian - Individual Dressage]:[Equestrian - Team Dressage]],MATCH(Table92[[#This Row],[Country]],Tabela1[Country], 0),0))</f>
        <v>0</v>
      </c>
      <c r="W134" s="6">
        <f>SUM(INDEX(Tabela1[[Equestrian - Individual Eventing]:[Equestrian - Team Eventing]],MATCH(Table92[[#This Row],[Country]],Tabela1[Country], 0),0))</f>
        <v>0</v>
      </c>
      <c r="X134" s="6">
        <f>SUM(INDEX(Tabela1[[Equestrian - Individual Jumping]:[Equestrian - Team Jumping]],MATCH(Table92[[#This Row],[Country]],Tabela1[Country], 0),0))</f>
        <v>0</v>
      </c>
      <c r="Y134" s="6">
        <f>SUM(INDEX(Tabela1[[Fencing - Men''s Épée]:[Fencing - Women''s Team Sabre]],MATCH(Table92[[#This Row],[Country]],Tabela1[Country], 0),0))</f>
        <v>0</v>
      </c>
      <c r="Z134" s="6">
        <f>SUM(INDEX(Tabela1[[Field Hockey - Men''s Tournament]:[Field Hockey - Women''s Tournament]],MATCH(Table92[[#This Row],[Country]],Tabela1[Country], 0),0))</f>
        <v>0</v>
      </c>
      <c r="AA134" s="6">
        <f>SUM(INDEX(Tabela1[[Football - Men''s Tournament]:[Football - Women''s Tournament]],MATCH(Table92[[#This Row],[Country]],Tabela1[Country], 0),0))</f>
        <v>0</v>
      </c>
      <c r="AB134" s="6">
        <f>SUM(INDEX(Tabela1[[Golf - Men''s Individual]:[Golf - Women''s Individual]],MATCH(Table92[[#This Row],[Country]],Tabela1[Country], 0),0))</f>
        <v>0</v>
      </c>
      <c r="AC134" s="6">
        <f>SUM(INDEX(Tabela1[[Handball - Men''s Tournament]:[Handball - Women''s Tournament]],MATCH(Table92[[#This Row],[Country]],Tabela1[Country], 0),0))</f>
        <v>0</v>
      </c>
      <c r="AD134" s="6">
        <f>SUM(INDEX(Tabela1[[Judo - Men''s 60kg]:[Judo - Mixed Team]],MATCH(Table92[[#This Row],[Country]],Tabela1[Country], 0),0))</f>
        <v>0</v>
      </c>
      <c r="AE134" s="6">
        <f>SUM(INDEX(Tabela1[[Swimming - Men''s 10km Open Water]:[Swimming - Women''s 10km Open Water]],MATCH(Table92[[#This Row],[Country]],Tabela1[Country], 0),0))</f>
        <v>0</v>
      </c>
      <c r="AF134" s="6">
        <f>SUM(INDEX(Tabela1[[Modern Pentathlon - Men''s Individual]:[Modern Pentathlon - Women''s Individual]],MATCH(Table92[[#This Row],[Country]],Tabela1[Country], 0),0))</f>
        <v>0</v>
      </c>
      <c r="AG134" s="6">
        <f>SUM(INDEX(Tabela1[[Rhythmic Gymnastics - Women''s Individual All-Around]:[Rhythmic Gymnastics - Women''s Group All-Around]],MATCH(Table92[[#This Row],[Country]],Tabela1[Country], 0),0))</f>
        <v>0</v>
      </c>
      <c r="AH134" s="6">
        <f>SUM(INDEX(Tabela1[[Rowing - Men''s Single Sculls]:[Rowing - Women''s Lwt. Double Sculls]],MATCH(Table92[[#This Row],[Country]],Tabela1[Country], 0),0))</f>
        <v>0</v>
      </c>
      <c r="AI134" s="6">
        <f>SUM(INDEX(Tabela1[[Rugby Sevens - Men''s Tournament]:[Rugby Sevens - Women''s Tournament]],MATCH(Table92[[#This Row],[Country]],Tabela1[Country], 0),0))</f>
        <v>0</v>
      </c>
      <c r="AJ134" s="6">
        <f>SUM(INDEX(Tabela1[[Sailing - Mixed 470]:[Sailing - Mixed Nacra 17]],MATCH(Table92[[#This Row],[Country]],Tabela1[Country], 0),0))</f>
        <v>0</v>
      </c>
      <c r="AK134" s="6">
        <f>SUM(INDEX(Tabela1[[Shooting - Men''s 10m Air Pistol]:[Shooting - Women''s Trap]],MATCH(Table92[[#This Row],[Country]],Tabela1[Country], 0),0))</f>
        <v>0</v>
      </c>
      <c r="AL134" s="6">
        <f>SUM(INDEX(Tabela1[[Skateboarding - Men''s Park]:[Skateboarding - Women''s Street]],MATCH(Table92[[#This Row],[Country]],Tabela1[Country], 0),0))</f>
        <v>0</v>
      </c>
      <c r="AM134" s="6">
        <f>SUM(INDEX(Tabela1[[Sport Climbing - Men''s Boulder and Lead]:[Sport Climbing - Women''s Speed]],MATCH(Table92[[#This Row],[Country]],Tabela1[Country], 0),0))</f>
        <v>0</v>
      </c>
      <c r="AN134" s="6">
        <f>SUM(INDEX(Tabela1[[Surfing - Men''s Shortboard]:[Surfing - Women''s Shortboard]],MATCH(Table92[[#This Row],[Country]],Tabela1[Country], 0),0))</f>
        <v>0</v>
      </c>
      <c r="AO134" s="6">
        <f>SUM(INDEX(Tabela1[[Swimming - Men''s 50m Freestyle]:[Swimming - Mixed 4x100m Medley Relay]],MATCH(Table92[[#This Row],[Country]],Tabela1[Country], 0),0))</f>
        <v>1</v>
      </c>
      <c r="AP134" s="6">
        <f>SUM(INDEX(Tabela1[[Table Tennis - Men''s Singles]:[Table Tennis - Mixed Doubles]],MATCH(Table92[[#This Row],[Country]],Tabela1[Country], 0),0))</f>
        <v>0</v>
      </c>
      <c r="AQ134" s="6">
        <f>SUM(INDEX(Tabela1[[Taekwondo - Men''s 58kg]:[Taekwondo - Women''s +67kg]],MATCH(Table92[[#This Row],[Country]],Tabela1[Country], 0),0))</f>
        <v>0</v>
      </c>
      <c r="AR134" s="6">
        <f>SUM(INDEX(Tabela1[[Tennis - Men''s Singles]:[Tennis - Mixed Doubles]],MATCH(Table92[[#This Row],[Country]],Tabela1[Country], 0),0))</f>
        <v>0</v>
      </c>
      <c r="AS134" s="6">
        <f>SUM(INDEX(Tabela1[[Gymnastics - Men''s Trampoline]:[Gymnastics - Women''s Trampoline]],MATCH(Table92[[#This Row],[Country]],Tabela1[Country], 0),0))</f>
        <v>0</v>
      </c>
      <c r="AT134" s="6">
        <f>SUM(INDEX(Tabela1[[Triathlon - Men''s Individual]:[Triathlon - Mixed Relay]],MATCH(Table92[[#This Row],[Country]],Tabela1[Country], 0),0))</f>
        <v>0</v>
      </c>
      <c r="AU134" s="6">
        <f>SUM(INDEX(Tabela1[[Volleyball - Men''s Tournament]:[Volleyball - Women''s Tournament]],MATCH(Table92[[#This Row],[Country]],Tabela1[Country], 0),0))</f>
        <v>0</v>
      </c>
      <c r="AV134" s="6">
        <f>SUM(INDEX(Tabela1[[Water Polo - Men''s Tournament]:[Water Polo - Women''s Tournament]],MATCH(Table92[[#This Row],[Country]],Tabela1[Country], 0),0))</f>
        <v>0</v>
      </c>
      <c r="AW134" s="6">
        <f>SUM(INDEX(Tabela1[[Weightlifting - Men''s 61kg]:[Weightlifting - Women''s +81kg]],MATCH(Table92[[#This Row],[Country]],Tabela1[Country], 0),0))</f>
        <v>0</v>
      </c>
      <c r="AX134" s="6">
        <f>SUM(INDEX(Tabela1[[Wrestling - Men''s Freestyle 57kg]:[Wrestling - Women''s Freestyle 76kg]],MATCH(Table92[[#This Row],[Country]],Tabela1[Country], 0),0))</f>
        <v>0</v>
      </c>
      <c r="AY134" s="6">
        <f>SUM(INDEX(Tabela1[[Alpine Skiing - Men''s Downhill]:[Alpine Skiing - Women''s Team Combined]],MATCH(Table92[[#This Row],[Country]],Tabela1[Country], 0),0))</f>
        <v>0</v>
      </c>
      <c r="AZ134" s="6">
        <f>SUM(INDEX(Tabela1[[Biathlon - Men''s Individual]:[Biathlon - Mixed Relay]],MATCH(Table92[[#This Row],[Country]],Tabela1[Country], 0),0))</f>
        <v>0</v>
      </c>
      <c r="BA134" s="6">
        <f>SUM(INDEX(Tabela1[[Bobsleigh - Women''s Monobob]:[Bobsleigh - Men''s Four]],MATCH(Table92[[#This Row],[Country]],Tabela1[Country], 0),0))</f>
        <v>0</v>
      </c>
      <c r="BB134" s="6">
        <f>SUM(INDEX(Tabela1[[Cross-country skiing - Men''s Classical]:[Cross-country skiing - Women''s Team Sprint]],MATCH(Table92[[#This Row],[Country]],Tabela1[Country], 0),0))</f>
        <v>0</v>
      </c>
      <c r="BC134" s="6">
        <f>SUM(INDEX(Tabela1[[Curling - Men''s Tournament]:[Curling - Mixed Doubles]],MATCH(Table92[[#This Row],[Country]],Tabela1[Country], 0),0))</f>
        <v>0</v>
      </c>
      <c r="BD134" s="6">
        <f>SUM(INDEX(Tabela1[[Figure Skating - Men''s Singles]:[Figure Skating - Team Event]],MATCH(Table92[[#This Row],[Country]],Tabela1[Country], 0),0))</f>
        <v>0</v>
      </c>
      <c r="BE134" s="6">
        <f>SUM(INDEX(Tabela1[[Freestyle Skiing - Men''s Aerials]:[Freestyle Skiing - Women''s Slopestyle]],MATCH(Table92[[#This Row],[Country]],Tabela1[Country], 0),0))</f>
        <v>0</v>
      </c>
      <c r="BF134" s="6">
        <f>SUM(INDEX(Tabela1[[Ice Hockey - Men''s Tournament]:[Ice Hockey - Women''s Tournament]],MATCH(Table92[[#This Row],[Country]],Tabela1[Country], 0),0))</f>
        <v>0</v>
      </c>
      <c r="BG134" s="6">
        <f>SUM(INDEX(Tabela1[[Luge - Men''s Singles]:[Luge - Mixed Team Relay]],MATCH(Table92[[#This Row],[Country]],Tabela1[Country], 0),0))</f>
        <v>0</v>
      </c>
      <c r="BH134" s="6">
        <f>SUM(INDEX(Tabela1[[Nordic Combined - Men''s Individual]:[Nordic Combined - Men''s Team Sprint Large Hill]],MATCH(Table92[[#This Row],[Country]],Tabela1[Country], 0),0))</f>
        <v>0</v>
      </c>
      <c r="BI134" s="6">
        <f>SUM(INDEX(Tabela1[[Short track speed skating - Men''s 500m]:[Short track speed skating - Mixed 2000m Relay]],MATCH(Table92[[#This Row],[Country]],Tabela1[Country], 0),0))</f>
        <v>0</v>
      </c>
      <c r="BJ134" s="6">
        <f>SUM(INDEX(Tabela1[[Skeleton - Men''s Individual]:[Skeleton - Mixed Team]],MATCH(Table92[[#This Row],[Country]],Tabela1[Country], 0),0))</f>
        <v>0</v>
      </c>
      <c r="BK134" s="6">
        <f>SUM(INDEX(Tabela1[[Ski Jumping - Men''s Individual Large Hill]:[Ski Jumping - Mixed Team Normal Hill]],MATCH(Table92[[#This Row],[Country]],Tabela1[Country], 0),0))</f>
        <v>0</v>
      </c>
      <c r="BL134" s="6">
        <f>SUM(INDEX(Tabela1[[Ski Mountaineering - Men''s Sprint]:[Ski Mountaineering - Mixed Relay]],MATCH(Table92[[#This Row],[Country]],Tabela1[Country], 0),0))</f>
        <v>0</v>
      </c>
      <c r="BM134" s="6">
        <f>SUM(INDEX(Tabela1[[Snowboarding - Men''s Big Air]:[Snowboarding - Mixed Team Snowboard Cross]],MATCH(Table92[[#This Row],[Country]],Tabela1[Country], 0),0))</f>
        <v>0</v>
      </c>
      <c r="BN134" s="6">
        <f>SUM(INDEX(Tabela1[[Speed Skating - Men''s 500m]:[Speed Skating - Women''s Team Pursuit]],MATCH(Table92[[#This Row],[Country]],Tabela1[Country], 0),0))</f>
        <v>0</v>
      </c>
      <c r="BO134" s="6" t="str">
        <f>SUBSTITUTE(INDEX(Table92[[#Headers],[Archery Quotas]:[Speed Skating Quotas]], MATCH(MAX(Table92[[#This Row],[Archery Quotas]:[Speed Skating Quotas]]), Table92[[#This Row],[Archery Quotas]:[Speed Skating Quotas]], 0))," Quotas","")</f>
        <v>Swimming</v>
      </c>
      <c r="BP134" s="6">
        <f>SUM(Table92[[#This Row],[Summer Sports]:[Winter Sports]])</f>
        <v>1</v>
      </c>
      <c r="BQ134" s="6">
        <f>COUNTIF(Table92[[#This Row],[Archery Quotas]:[Wrestling Quotas]],"&lt;&gt;0")</f>
        <v>1</v>
      </c>
      <c r="BR134" s="6">
        <f>COUNTIF(Table92[[#This Row],[Alpine Skiing Quotas]:[Speed Skating Quotas]],"&lt;&gt;0")</f>
        <v>0</v>
      </c>
      <c r="BS134" s="3" t="s">
        <v>515</v>
      </c>
    </row>
    <row r="135" spans="1:71" x14ac:dyDescent="0.3">
      <c r="A135" s="6" t="s">
        <v>542</v>
      </c>
      <c r="B135" t="e" vm="148">
        <f>IF(ISBLANK(Table92[[#This Row],[Flag Link]]), "", _xlfn.IMAGE(Table92[[#This Row],[Flag Link]],1,1))</f>
        <v>#VALUE!</v>
      </c>
      <c r="C135" s="6">
        <f>SUM(Table92[[#This Row],[Archery Quotas]:[Speed Skating Quotas]])</f>
        <v>1</v>
      </c>
      <c r="D135" s="6">
        <f>SUM(INDEX(Tabela1[[Archery - Men''s Individual Recurve]:[Archery - Mixed Team Recurve]],MATCH(Table92[[#This Row],[Country]],Tabela1[Country], 0),0))</f>
        <v>0</v>
      </c>
      <c r="E135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35" s="6">
        <f>SUM(INDEX(Tabela1[[Artistic Swimming - Women''s Duet]:[Artistic Swimming - Women''s Team]],MATCH(Table92[[#This Row],[Country]],Tabela1[Country], 0),0))</f>
        <v>0</v>
      </c>
      <c r="G135" s="6">
        <f>SUM(INDEX(Tabela1[[Athletics - Men''s 100m]:[Athletics - Women''s Heptathlon]],MATCH(Table92[[#This Row],[Country]],Tabela1[Country], 0),0))</f>
        <v>0</v>
      </c>
      <c r="H135" s="6">
        <f>SUM(INDEX(Tabela1[[Badminton - Men''s Singles]:[Badminton - Mixed Doubles]],MATCH(Table92[[#This Row],[Country]],Tabela1[Country], 0),0))</f>
        <v>0</v>
      </c>
      <c r="I135" s="6">
        <f>SUM(INDEX(Tabela1[[Basketball - Men''s Tournament]:[Basketball - Women''s Tournament]],MATCH(Table92[[#This Row],[Country]],Tabela1[Country], 0),0))</f>
        <v>0</v>
      </c>
      <c r="J135" s="6">
        <f>SUM(INDEX(Tabela1[[3x3 Basketball - Men''s Tournament]:[3x3 Basketball - Women''s Tournament]],MATCH(Table92[[#This Row],[Country]],Tabela1[Country], 0),0))</f>
        <v>0</v>
      </c>
      <c r="K135" s="6">
        <f>SUM(INDEX(Tabela1[[Beach Volleyball - Men''s Tournament]:[Beach Volleyball - Women''s Tournament]],MATCH(Table92[[#This Row],[Country]],Tabela1[Country], 0),0))</f>
        <v>0</v>
      </c>
      <c r="L135" s="6">
        <f>SUM(INDEX(Tabela1[[Boxing - Men''s 51kg]:[Boxing - Women''s 75kg]],MATCH(Table92[[#This Row],[Country]],Tabela1[Country], 0),0))</f>
        <v>0</v>
      </c>
      <c r="M135" s="6">
        <f>SUM(INDEX(Tabela1[[Breaking - Men''s Individual]:[Breaking - Women''s Individual]],MATCH(Table92[[#This Row],[Country]],Tabela1[Country], 0),0))</f>
        <v>0</v>
      </c>
      <c r="N135" s="6">
        <f>SUM(INDEX(Tabela1[[Canoeing - Men''s C1 Slalom]:[Canoeing - Women''s Kayak Cross Slalom]],MATCH(Table92[[#This Row],[Country]],Tabela1[Country], 0),0))</f>
        <v>0</v>
      </c>
      <c r="O135" s="6">
        <f>SUM(INDEX(Tabela1[[Canoeing - Women''s C1 200m]:[Canoeing - Women''s K4 500m]],MATCH(Table92[[#This Row],[Country]],Tabela1[Country], 0),0))</f>
        <v>0</v>
      </c>
      <c r="P135" s="6">
        <f>SUM(INDEX(Tabela1[[Cycling - Men''s BMX Freestyle]:[Cycling - Women''s BMX Freestyle]],MATCH(Table92[[#This Row],[Country]],Tabela1[Country], 0),0))</f>
        <v>0</v>
      </c>
      <c r="Q135" s="6">
        <f>SUM(INDEX(Tabela1[[Cycling - Men''s BMX Racing]:[Cycling - Women''s BMX Racing]],MATCH(Table92[[#This Row],[Country]],Tabela1[Country], 0),0))</f>
        <v>0</v>
      </c>
      <c r="R135" s="6">
        <f>SUM(INDEX(Tabela1[[Cycling - Men''s Cross-Country]:[Cycling - Women''s Cross-Country]],MATCH(Table92[[#This Row],[Country]],Tabela1[Country], 0),0))</f>
        <v>0</v>
      </c>
      <c r="S135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35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35" s="6">
        <f>SUM(INDEX(Tabela1[[Diving - Men''s Springboard]:[Diving - Women''s Synchronized Platform]],MATCH(Table92[[#This Row],[Country]],Tabela1[Country], 0),0))</f>
        <v>0</v>
      </c>
      <c r="V135" s="6">
        <f>SUM(INDEX(Tabela1[[Equestrian - Individual Dressage]:[Equestrian - Team Dressage]],MATCH(Table92[[#This Row],[Country]],Tabela1[Country], 0),0))</f>
        <v>0</v>
      </c>
      <c r="W135" s="6">
        <f>SUM(INDEX(Tabela1[[Equestrian - Individual Eventing]:[Equestrian - Team Eventing]],MATCH(Table92[[#This Row],[Country]],Tabela1[Country], 0),0))</f>
        <v>0</v>
      </c>
      <c r="X135" s="6">
        <f>SUM(INDEX(Tabela1[[Equestrian - Individual Jumping]:[Equestrian - Team Jumping]],MATCH(Table92[[#This Row],[Country]],Tabela1[Country], 0),0))</f>
        <v>0</v>
      </c>
      <c r="Y135" s="6">
        <f>SUM(INDEX(Tabela1[[Fencing - Men''s Épée]:[Fencing - Women''s Team Sabre]],MATCH(Table92[[#This Row],[Country]],Tabela1[Country], 0),0))</f>
        <v>0</v>
      </c>
      <c r="Z135" s="6">
        <f>SUM(INDEX(Tabela1[[Field Hockey - Men''s Tournament]:[Field Hockey - Women''s Tournament]],MATCH(Table92[[#This Row],[Country]],Tabela1[Country], 0),0))</f>
        <v>0</v>
      </c>
      <c r="AA135" s="6">
        <f>SUM(INDEX(Tabela1[[Football - Men''s Tournament]:[Football - Women''s Tournament]],MATCH(Table92[[#This Row],[Country]],Tabela1[Country], 0),0))</f>
        <v>0</v>
      </c>
      <c r="AB135" s="6">
        <f>SUM(INDEX(Tabela1[[Golf - Men''s Individual]:[Golf - Women''s Individual]],MATCH(Table92[[#This Row],[Country]],Tabela1[Country], 0),0))</f>
        <v>0</v>
      </c>
      <c r="AC135" s="6">
        <f>SUM(INDEX(Tabela1[[Handball - Men''s Tournament]:[Handball - Women''s Tournament]],MATCH(Table92[[#This Row],[Country]],Tabela1[Country], 0),0))</f>
        <v>0</v>
      </c>
      <c r="AD135" s="6">
        <f>SUM(INDEX(Tabela1[[Judo - Men''s 60kg]:[Judo - Mixed Team]],MATCH(Table92[[#This Row],[Country]],Tabela1[Country], 0),0))</f>
        <v>0</v>
      </c>
      <c r="AE135" s="6">
        <f>SUM(INDEX(Tabela1[[Swimming - Men''s 10km Open Water]:[Swimming - Women''s 10km Open Water]],MATCH(Table92[[#This Row],[Country]],Tabela1[Country], 0),0))</f>
        <v>0</v>
      </c>
      <c r="AF135" s="6">
        <f>SUM(INDEX(Tabela1[[Modern Pentathlon - Men''s Individual]:[Modern Pentathlon - Women''s Individual]],MATCH(Table92[[#This Row],[Country]],Tabela1[Country], 0),0))</f>
        <v>0</v>
      </c>
      <c r="AG135" s="6">
        <f>SUM(INDEX(Tabela1[[Rhythmic Gymnastics - Women''s Individual All-Around]:[Rhythmic Gymnastics - Women''s Group All-Around]],MATCH(Table92[[#This Row],[Country]],Tabela1[Country], 0),0))</f>
        <v>0</v>
      </c>
      <c r="AH135" s="6">
        <f>SUM(INDEX(Tabela1[[Rowing - Men''s Single Sculls]:[Rowing - Women''s Lwt. Double Sculls]],MATCH(Table92[[#This Row],[Country]],Tabela1[Country], 0),0))</f>
        <v>0</v>
      </c>
      <c r="AI135" s="6">
        <f>SUM(INDEX(Tabela1[[Rugby Sevens - Men''s Tournament]:[Rugby Sevens - Women''s Tournament]],MATCH(Table92[[#This Row],[Country]],Tabela1[Country], 0),0))</f>
        <v>0</v>
      </c>
      <c r="AJ135" s="6">
        <f>SUM(INDEX(Tabela1[[Sailing - Mixed 470]:[Sailing - Mixed Nacra 17]],MATCH(Table92[[#This Row],[Country]],Tabela1[Country], 0),0))</f>
        <v>0</v>
      </c>
      <c r="AK135" s="6">
        <f>SUM(INDEX(Tabela1[[Shooting - Men''s 10m Air Pistol]:[Shooting - Women''s Trap]],MATCH(Table92[[#This Row],[Country]],Tabela1[Country], 0),0))</f>
        <v>0</v>
      </c>
      <c r="AL135" s="6">
        <f>SUM(INDEX(Tabela1[[Skateboarding - Men''s Park]:[Skateboarding - Women''s Street]],MATCH(Table92[[#This Row],[Country]],Tabela1[Country], 0),0))</f>
        <v>0</v>
      </c>
      <c r="AM135" s="6">
        <f>SUM(INDEX(Tabela1[[Sport Climbing - Men''s Boulder and Lead]:[Sport Climbing - Women''s Speed]],MATCH(Table92[[#This Row],[Country]],Tabela1[Country], 0),0))</f>
        <v>0</v>
      </c>
      <c r="AN135" s="6">
        <f>SUM(INDEX(Tabela1[[Surfing - Men''s Shortboard]:[Surfing - Women''s Shortboard]],MATCH(Table92[[#This Row],[Country]],Tabela1[Country], 0),0))</f>
        <v>0</v>
      </c>
      <c r="AO135" s="6">
        <f>SUM(INDEX(Tabela1[[Swimming - Men''s 50m Freestyle]:[Swimming - Mixed 4x100m Medley Relay]],MATCH(Table92[[#This Row],[Country]],Tabela1[Country], 0),0))</f>
        <v>1</v>
      </c>
      <c r="AP135" s="6">
        <f>SUM(INDEX(Tabela1[[Table Tennis - Men''s Singles]:[Table Tennis - Mixed Doubles]],MATCH(Table92[[#This Row],[Country]],Tabela1[Country], 0),0))</f>
        <v>0</v>
      </c>
      <c r="AQ135" s="6">
        <f>SUM(INDEX(Tabela1[[Taekwondo - Men''s 58kg]:[Taekwondo - Women''s +67kg]],MATCH(Table92[[#This Row],[Country]],Tabela1[Country], 0),0))</f>
        <v>0</v>
      </c>
      <c r="AR135" s="6">
        <f>SUM(INDEX(Tabela1[[Tennis - Men''s Singles]:[Tennis - Mixed Doubles]],MATCH(Table92[[#This Row],[Country]],Tabela1[Country], 0),0))</f>
        <v>0</v>
      </c>
      <c r="AS135" s="6">
        <f>SUM(INDEX(Tabela1[[Gymnastics - Men''s Trampoline]:[Gymnastics - Women''s Trampoline]],MATCH(Table92[[#This Row],[Country]],Tabela1[Country], 0),0))</f>
        <v>0</v>
      </c>
      <c r="AT135" s="6">
        <f>SUM(INDEX(Tabela1[[Triathlon - Men''s Individual]:[Triathlon - Mixed Relay]],MATCH(Table92[[#This Row],[Country]],Tabela1[Country], 0),0))</f>
        <v>0</v>
      </c>
      <c r="AU135" s="6">
        <f>SUM(INDEX(Tabela1[[Volleyball - Men''s Tournament]:[Volleyball - Women''s Tournament]],MATCH(Table92[[#This Row],[Country]],Tabela1[Country], 0),0))</f>
        <v>0</v>
      </c>
      <c r="AV135" s="6">
        <f>SUM(INDEX(Tabela1[[Water Polo - Men''s Tournament]:[Water Polo - Women''s Tournament]],MATCH(Table92[[#This Row],[Country]],Tabela1[Country], 0),0))</f>
        <v>0</v>
      </c>
      <c r="AW135" s="6">
        <f>SUM(INDEX(Tabela1[[Weightlifting - Men''s 61kg]:[Weightlifting - Women''s +81kg]],MATCH(Table92[[#This Row],[Country]],Tabela1[Country], 0),0))</f>
        <v>0</v>
      </c>
      <c r="AX135" s="6">
        <f>SUM(INDEX(Tabela1[[Wrestling - Men''s Freestyle 57kg]:[Wrestling - Women''s Freestyle 76kg]],MATCH(Table92[[#This Row],[Country]],Tabela1[Country], 0),0))</f>
        <v>0</v>
      </c>
      <c r="AY135" s="6">
        <f>SUM(INDEX(Tabela1[[Alpine Skiing - Men''s Downhill]:[Alpine Skiing - Women''s Team Combined]],MATCH(Table92[[#This Row],[Country]],Tabela1[Country], 0),0))</f>
        <v>0</v>
      </c>
      <c r="AZ135" s="6">
        <f>SUM(INDEX(Tabela1[[Biathlon - Men''s Individual]:[Biathlon - Mixed Relay]],MATCH(Table92[[#This Row],[Country]],Tabela1[Country], 0),0))</f>
        <v>0</v>
      </c>
      <c r="BA135" s="6">
        <f>SUM(INDEX(Tabela1[[Bobsleigh - Women''s Monobob]:[Bobsleigh - Men''s Four]],MATCH(Table92[[#This Row],[Country]],Tabela1[Country], 0),0))</f>
        <v>0</v>
      </c>
      <c r="BB135" s="6">
        <f>SUM(INDEX(Tabela1[[Cross-country skiing - Men''s Classical]:[Cross-country skiing - Women''s Team Sprint]],MATCH(Table92[[#This Row],[Country]],Tabela1[Country], 0),0))</f>
        <v>0</v>
      </c>
      <c r="BC135" s="6">
        <f>SUM(INDEX(Tabela1[[Curling - Men''s Tournament]:[Curling - Mixed Doubles]],MATCH(Table92[[#This Row],[Country]],Tabela1[Country], 0),0))</f>
        <v>0</v>
      </c>
      <c r="BD135" s="6">
        <f>SUM(INDEX(Tabela1[[Figure Skating - Men''s Singles]:[Figure Skating - Team Event]],MATCH(Table92[[#This Row],[Country]],Tabela1[Country], 0),0))</f>
        <v>0</v>
      </c>
      <c r="BE135" s="6">
        <f>SUM(INDEX(Tabela1[[Freestyle Skiing - Men''s Aerials]:[Freestyle Skiing - Women''s Slopestyle]],MATCH(Table92[[#This Row],[Country]],Tabela1[Country], 0),0))</f>
        <v>0</v>
      </c>
      <c r="BF135" s="6">
        <f>SUM(INDEX(Tabela1[[Ice Hockey - Men''s Tournament]:[Ice Hockey - Women''s Tournament]],MATCH(Table92[[#This Row],[Country]],Tabela1[Country], 0),0))</f>
        <v>0</v>
      </c>
      <c r="BG135" s="6">
        <f>SUM(INDEX(Tabela1[[Luge - Men''s Singles]:[Luge - Mixed Team Relay]],MATCH(Table92[[#This Row],[Country]],Tabela1[Country], 0),0))</f>
        <v>0</v>
      </c>
      <c r="BH135" s="6">
        <f>SUM(INDEX(Tabela1[[Nordic Combined - Men''s Individual]:[Nordic Combined - Men''s Team Sprint Large Hill]],MATCH(Table92[[#This Row],[Country]],Tabela1[Country], 0),0))</f>
        <v>0</v>
      </c>
      <c r="BI135" s="6">
        <f>SUM(INDEX(Tabela1[[Short track speed skating - Men''s 500m]:[Short track speed skating - Mixed 2000m Relay]],MATCH(Table92[[#This Row],[Country]],Tabela1[Country], 0),0))</f>
        <v>0</v>
      </c>
      <c r="BJ135" s="6">
        <f>SUM(INDEX(Tabela1[[Skeleton - Men''s Individual]:[Skeleton - Mixed Team]],MATCH(Table92[[#This Row],[Country]],Tabela1[Country], 0),0))</f>
        <v>0</v>
      </c>
      <c r="BK135" s="6">
        <f>SUM(INDEX(Tabela1[[Ski Jumping - Men''s Individual Large Hill]:[Ski Jumping - Mixed Team Normal Hill]],MATCH(Table92[[#This Row],[Country]],Tabela1[Country], 0),0))</f>
        <v>0</v>
      </c>
      <c r="BL135" s="6">
        <f>SUM(INDEX(Tabela1[[Ski Mountaineering - Men''s Sprint]:[Ski Mountaineering - Mixed Relay]],MATCH(Table92[[#This Row],[Country]],Tabela1[Country], 0),0))</f>
        <v>0</v>
      </c>
      <c r="BM135" s="6">
        <f>SUM(INDEX(Tabela1[[Snowboarding - Men''s Big Air]:[Snowboarding - Mixed Team Snowboard Cross]],MATCH(Table92[[#This Row],[Country]],Tabela1[Country], 0),0))</f>
        <v>0</v>
      </c>
      <c r="BN135" s="6">
        <f>SUM(INDEX(Tabela1[[Speed Skating - Men''s 500m]:[Speed Skating - Women''s Team Pursuit]],MATCH(Table92[[#This Row],[Country]],Tabela1[Country], 0),0))</f>
        <v>0</v>
      </c>
      <c r="BO135" s="6" t="str">
        <f>SUBSTITUTE(INDEX(Table92[[#Headers],[Archery Quotas]:[Speed Skating Quotas]], MATCH(MAX(Table92[[#This Row],[Archery Quotas]:[Speed Skating Quotas]]), Table92[[#This Row],[Archery Quotas]:[Speed Skating Quotas]], 0))," Quotas","")</f>
        <v>Swimming</v>
      </c>
      <c r="BP135" s="6">
        <f>SUM(Table92[[#This Row],[Summer Sports]:[Winter Sports]])</f>
        <v>1</v>
      </c>
      <c r="BQ135" s="6">
        <f>COUNTIF(Table92[[#This Row],[Archery Quotas]:[Wrestling Quotas]],"&lt;&gt;0")</f>
        <v>1</v>
      </c>
      <c r="BR135" s="6">
        <f>COUNTIF(Table92[[#This Row],[Alpine Skiing Quotas]:[Speed Skating Quotas]],"&lt;&gt;0")</f>
        <v>0</v>
      </c>
      <c r="BS135" s="3" t="s">
        <v>543</v>
      </c>
    </row>
    <row r="136" spans="1:71" x14ac:dyDescent="0.3">
      <c r="A136" s="6" t="s">
        <v>546</v>
      </c>
      <c r="B136" t="e" vm="151">
        <f>IF(ISBLANK(Table92[[#This Row],[Flag Link]]), "", _xlfn.IMAGE(Table92[[#This Row],[Flag Link]],1,1))</f>
        <v>#VALUE!</v>
      </c>
      <c r="C136" s="6">
        <f>SUM(Table92[[#This Row],[Archery Quotas]:[Speed Skating Quotas]])</f>
        <v>1</v>
      </c>
      <c r="D136" s="6">
        <f>SUM(INDEX(Tabela1[[Archery - Men''s Individual Recurve]:[Archery - Mixed Team Recurve]],MATCH(Table92[[#This Row],[Country]],Tabela1[Country], 0),0))</f>
        <v>0</v>
      </c>
      <c r="E136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36" s="6">
        <f>SUM(INDEX(Tabela1[[Artistic Swimming - Women''s Duet]:[Artistic Swimming - Women''s Team]],MATCH(Table92[[#This Row],[Country]],Tabela1[Country], 0),0))</f>
        <v>0</v>
      </c>
      <c r="G136" s="6">
        <f>SUM(INDEX(Tabela1[[Athletics - Men''s 100m]:[Athletics - Women''s Heptathlon]],MATCH(Table92[[#This Row],[Country]],Tabela1[Country], 0),0))</f>
        <v>0</v>
      </c>
      <c r="H136" s="6">
        <f>SUM(INDEX(Tabela1[[Badminton - Men''s Singles]:[Badminton - Mixed Doubles]],MATCH(Table92[[#This Row],[Country]],Tabela1[Country], 0),0))</f>
        <v>0</v>
      </c>
      <c r="I136" s="6">
        <f>SUM(INDEX(Tabela1[[Basketball - Men''s Tournament]:[Basketball - Women''s Tournament]],MATCH(Table92[[#This Row],[Country]],Tabela1[Country], 0),0))</f>
        <v>0</v>
      </c>
      <c r="J136" s="6">
        <f>SUM(INDEX(Tabela1[[3x3 Basketball - Men''s Tournament]:[3x3 Basketball - Women''s Tournament]],MATCH(Table92[[#This Row],[Country]],Tabela1[Country], 0),0))</f>
        <v>0</v>
      </c>
      <c r="K136" s="6">
        <f>SUM(INDEX(Tabela1[[Beach Volleyball - Men''s Tournament]:[Beach Volleyball - Women''s Tournament]],MATCH(Table92[[#This Row],[Country]],Tabela1[Country], 0),0))</f>
        <v>0</v>
      </c>
      <c r="L136" s="6">
        <f>SUM(INDEX(Tabela1[[Boxing - Men''s 51kg]:[Boxing - Women''s 75kg]],MATCH(Table92[[#This Row],[Country]],Tabela1[Country], 0),0))</f>
        <v>0</v>
      </c>
      <c r="M136" s="6">
        <f>SUM(INDEX(Tabela1[[Breaking - Men''s Individual]:[Breaking - Women''s Individual]],MATCH(Table92[[#This Row],[Country]],Tabela1[Country], 0),0))</f>
        <v>0</v>
      </c>
      <c r="N136" s="6">
        <f>SUM(INDEX(Tabela1[[Canoeing - Men''s C1 Slalom]:[Canoeing - Women''s Kayak Cross Slalom]],MATCH(Table92[[#This Row],[Country]],Tabela1[Country], 0),0))</f>
        <v>0</v>
      </c>
      <c r="O136" s="6">
        <f>SUM(INDEX(Tabela1[[Canoeing - Women''s C1 200m]:[Canoeing - Women''s K4 500m]],MATCH(Table92[[#This Row],[Country]],Tabela1[Country], 0),0))</f>
        <v>0</v>
      </c>
      <c r="P136" s="6">
        <f>SUM(INDEX(Tabela1[[Cycling - Men''s BMX Freestyle]:[Cycling - Women''s BMX Freestyle]],MATCH(Table92[[#This Row],[Country]],Tabela1[Country], 0),0))</f>
        <v>0</v>
      </c>
      <c r="Q136" s="6">
        <f>SUM(INDEX(Tabela1[[Cycling - Men''s BMX Racing]:[Cycling - Women''s BMX Racing]],MATCH(Table92[[#This Row],[Country]],Tabela1[Country], 0),0))</f>
        <v>0</v>
      </c>
      <c r="R136" s="6">
        <f>SUM(INDEX(Tabela1[[Cycling - Men''s Cross-Country]:[Cycling - Women''s Cross-Country]],MATCH(Table92[[#This Row],[Country]],Tabela1[Country], 0),0))</f>
        <v>0</v>
      </c>
      <c r="S136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36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36" s="6">
        <f>SUM(INDEX(Tabela1[[Diving - Men''s Springboard]:[Diving - Women''s Synchronized Platform]],MATCH(Table92[[#This Row],[Country]],Tabela1[Country], 0),0))</f>
        <v>0</v>
      </c>
      <c r="V136" s="6">
        <f>SUM(INDEX(Tabela1[[Equestrian - Individual Dressage]:[Equestrian - Team Dressage]],MATCH(Table92[[#This Row],[Country]],Tabela1[Country], 0),0))</f>
        <v>0</v>
      </c>
      <c r="W136" s="6">
        <f>SUM(INDEX(Tabela1[[Equestrian - Individual Eventing]:[Equestrian - Team Eventing]],MATCH(Table92[[#This Row],[Country]],Tabela1[Country], 0),0))</f>
        <v>0</v>
      </c>
      <c r="X136" s="6">
        <f>SUM(INDEX(Tabela1[[Equestrian - Individual Jumping]:[Equestrian - Team Jumping]],MATCH(Table92[[#This Row],[Country]],Tabela1[Country], 0),0))</f>
        <v>0</v>
      </c>
      <c r="Y136" s="6">
        <f>SUM(INDEX(Tabela1[[Fencing - Men''s Épée]:[Fencing - Women''s Team Sabre]],MATCH(Table92[[#This Row],[Country]],Tabela1[Country], 0),0))</f>
        <v>0</v>
      </c>
      <c r="Z136" s="6">
        <f>SUM(INDEX(Tabela1[[Field Hockey - Men''s Tournament]:[Field Hockey - Women''s Tournament]],MATCH(Table92[[#This Row],[Country]],Tabela1[Country], 0),0))</f>
        <v>0</v>
      </c>
      <c r="AA136" s="6">
        <f>SUM(INDEX(Tabela1[[Football - Men''s Tournament]:[Football - Women''s Tournament]],MATCH(Table92[[#This Row],[Country]],Tabela1[Country], 0),0))</f>
        <v>0</v>
      </c>
      <c r="AB136" s="6">
        <f>SUM(INDEX(Tabela1[[Golf - Men''s Individual]:[Golf - Women''s Individual]],MATCH(Table92[[#This Row],[Country]],Tabela1[Country], 0),0))</f>
        <v>0</v>
      </c>
      <c r="AC136" s="6">
        <f>SUM(INDEX(Tabela1[[Handball - Men''s Tournament]:[Handball - Women''s Tournament]],MATCH(Table92[[#This Row],[Country]],Tabela1[Country], 0),0))</f>
        <v>0</v>
      </c>
      <c r="AD136" s="6">
        <f>SUM(INDEX(Tabela1[[Judo - Men''s 60kg]:[Judo - Mixed Team]],MATCH(Table92[[#This Row],[Country]],Tabela1[Country], 0),0))</f>
        <v>0</v>
      </c>
      <c r="AE136" s="6">
        <f>SUM(INDEX(Tabela1[[Swimming - Men''s 10km Open Water]:[Swimming - Women''s 10km Open Water]],MATCH(Table92[[#This Row],[Country]],Tabela1[Country], 0),0))</f>
        <v>0</v>
      </c>
      <c r="AF136" s="6">
        <f>SUM(INDEX(Tabela1[[Modern Pentathlon - Men''s Individual]:[Modern Pentathlon - Women''s Individual]],MATCH(Table92[[#This Row],[Country]],Tabela1[Country], 0),0))</f>
        <v>0</v>
      </c>
      <c r="AG136" s="6">
        <f>SUM(INDEX(Tabela1[[Rhythmic Gymnastics - Women''s Individual All-Around]:[Rhythmic Gymnastics - Women''s Group All-Around]],MATCH(Table92[[#This Row],[Country]],Tabela1[Country], 0),0))</f>
        <v>0</v>
      </c>
      <c r="AH136" s="6">
        <f>SUM(INDEX(Tabela1[[Rowing - Men''s Single Sculls]:[Rowing - Women''s Lwt. Double Sculls]],MATCH(Table92[[#This Row],[Country]],Tabela1[Country], 0),0))</f>
        <v>0</v>
      </c>
      <c r="AI136" s="6">
        <f>SUM(INDEX(Tabela1[[Rugby Sevens - Men''s Tournament]:[Rugby Sevens - Women''s Tournament]],MATCH(Table92[[#This Row],[Country]],Tabela1[Country], 0),0))</f>
        <v>0</v>
      </c>
      <c r="AJ136" s="6">
        <f>SUM(INDEX(Tabela1[[Sailing - Mixed 470]:[Sailing - Mixed Nacra 17]],MATCH(Table92[[#This Row],[Country]],Tabela1[Country], 0),0))</f>
        <v>1</v>
      </c>
      <c r="AK136" s="6">
        <f>SUM(INDEX(Tabela1[[Shooting - Men''s 10m Air Pistol]:[Shooting - Women''s Trap]],MATCH(Table92[[#This Row],[Country]],Tabela1[Country], 0),0))</f>
        <v>0</v>
      </c>
      <c r="AL136" s="6">
        <f>SUM(INDEX(Tabela1[[Skateboarding - Men''s Park]:[Skateboarding - Women''s Street]],MATCH(Table92[[#This Row],[Country]],Tabela1[Country], 0),0))</f>
        <v>0</v>
      </c>
      <c r="AM136" s="6">
        <f>SUM(INDEX(Tabela1[[Sport Climbing - Men''s Boulder and Lead]:[Sport Climbing - Women''s Speed]],MATCH(Table92[[#This Row],[Country]],Tabela1[Country], 0),0))</f>
        <v>0</v>
      </c>
      <c r="AN136" s="6">
        <f>SUM(INDEX(Tabela1[[Surfing - Men''s Shortboard]:[Surfing - Women''s Shortboard]],MATCH(Table92[[#This Row],[Country]],Tabela1[Country], 0),0))</f>
        <v>0</v>
      </c>
      <c r="AO136" s="6">
        <f>SUM(INDEX(Tabela1[[Swimming - Men''s 50m Freestyle]:[Swimming - Mixed 4x100m Medley Relay]],MATCH(Table92[[#This Row],[Country]],Tabela1[Country], 0),0))</f>
        <v>0</v>
      </c>
      <c r="AP136" s="6">
        <f>SUM(INDEX(Tabela1[[Table Tennis - Men''s Singles]:[Table Tennis - Mixed Doubles]],MATCH(Table92[[#This Row],[Country]],Tabela1[Country], 0),0))</f>
        <v>0</v>
      </c>
      <c r="AQ136" s="6">
        <f>SUM(INDEX(Tabela1[[Taekwondo - Men''s 58kg]:[Taekwondo - Women''s +67kg]],MATCH(Table92[[#This Row],[Country]],Tabela1[Country], 0),0))</f>
        <v>0</v>
      </c>
      <c r="AR136" s="6">
        <f>SUM(INDEX(Tabela1[[Tennis - Men''s Singles]:[Tennis - Mixed Doubles]],MATCH(Table92[[#This Row],[Country]],Tabela1[Country], 0),0))</f>
        <v>0</v>
      </c>
      <c r="AS136" s="6">
        <f>SUM(INDEX(Tabela1[[Gymnastics - Men''s Trampoline]:[Gymnastics - Women''s Trampoline]],MATCH(Table92[[#This Row],[Country]],Tabela1[Country], 0),0))</f>
        <v>0</v>
      </c>
      <c r="AT136" s="6">
        <f>SUM(INDEX(Tabela1[[Triathlon - Men''s Individual]:[Triathlon - Mixed Relay]],MATCH(Table92[[#This Row],[Country]],Tabela1[Country], 0),0))</f>
        <v>0</v>
      </c>
      <c r="AU136" s="6">
        <f>SUM(INDEX(Tabela1[[Volleyball - Men''s Tournament]:[Volleyball - Women''s Tournament]],MATCH(Table92[[#This Row],[Country]],Tabela1[Country], 0),0))</f>
        <v>0</v>
      </c>
      <c r="AV136" s="6">
        <f>SUM(INDEX(Tabela1[[Water Polo - Men''s Tournament]:[Water Polo - Women''s Tournament]],MATCH(Table92[[#This Row],[Country]],Tabela1[Country], 0),0))</f>
        <v>0</v>
      </c>
      <c r="AW136" s="6">
        <f>SUM(INDEX(Tabela1[[Weightlifting - Men''s 61kg]:[Weightlifting - Women''s +81kg]],MATCH(Table92[[#This Row],[Country]],Tabela1[Country], 0),0))</f>
        <v>0</v>
      </c>
      <c r="AX136" s="6">
        <f>SUM(INDEX(Tabela1[[Wrestling - Men''s Freestyle 57kg]:[Wrestling - Women''s Freestyle 76kg]],MATCH(Table92[[#This Row],[Country]],Tabela1[Country], 0),0))</f>
        <v>0</v>
      </c>
      <c r="AY136" s="6">
        <f>SUM(INDEX(Tabela1[[Alpine Skiing - Men''s Downhill]:[Alpine Skiing - Women''s Team Combined]],MATCH(Table92[[#This Row],[Country]],Tabela1[Country], 0),0))</f>
        <v>0</v>
      </c>
      <c r="AZ136" s="6">
        <f>SUM(INDEX(Tabela1[[Biathlon - Men''s Individual]:[Biathlon - Mixed Relay]],MATCH(Table92[[#This Row],[Country]],Tabela1[Country], 0),0))</f>
        <v>0</v>
      </c>
      <c r="BA136" s="6">
        <f>SUM(INDEX(Tabela1[[Bobsleigh - Women''s Monobob]:[Bobsleigh - Men''s Four]],MATCH(Table92[[#This Row],[Country]],Tabela1[Country], 0),0))</f>
        <v>0</v>
      </c>
      <c r="BB136" s="6">
        <f>SUM(INDEX(Tabela1[[Cross-country skiing - Men''s Classical]:[Cross-country skiing - Women''s Team Sprint]],MATCH(Table92[[#This Row],[Country]],Tabela1[Country], 0),0))</f>
        <v>0</v>
      </c>
      <c r="BC136" s="6">
        <f>SUM(INDEX(Tabela1[[Curling - Men''s Tournament]:[Curling - Mixed Doubles]],MATCH(Table92[[#This Row],[Country]],Tabela1[Country], 0),0))</f>
        <v>0</v>
      </c>
      <c r="BD136" s="6">
        <f>SUM(INDEX(Tabela1[[Figure Skating - Men''s Singles]:[Figure Skating - Team Event]],MATCH(Table92[[#This Row],[Country]],Tabela1[Country], 0),0))</f>
        <v>0</v>
      </c>
      <c r="BE136" s="6">
        <f>SUM(INDEX(Tabela1[[Freestyle Skiing - Men''s Aerials]:[Freestyle Skiing - Women''s Slopestyle]],MATCH(Table92[[#This Row],[Country]],Tabela1[Country], 0),0))</f>
        <v>0</v>
      </c>
      <c r="BF136" s="6">
        <f>SUM(INDEX(Tabela1[[Ice Hockey - Men''s Tournament]:[Ice Hockey - Women''s Tournament]],MATCH(Table92[[#This Row],[Country]],Tabela1[Country], 0),0))</f>
        <v>0</v>
      </c>
      <c r="BG136" s="6">
        <f>SUM(INDEX(Tabela1[[Luge - Men''s Singles]:[Luge - Mixed Team Relay]],MATCH(Table92[[#This Row],[Country]],Tabela1[Country], 0),0))</f>
        <v>0</v>
      </c>
      <c r="BH136" s="6">
        <f>SUM(INDEX(Tabela1[[Nordic Combined - Men''s Individual]:[Nordic Combined - Men''s Team Sprint Large Hill]],MATCH(Table92[[#This Row],[Country]],Tabela1[Country], 0),0))</f>
        <v>0</v>
      </c>
      <c r="BI136" s="6">
        <f>SUM(INDEX(Tabela1[[Short track speed skating - Men''s 500m]:[Short track speed skating - Mixed 2000m Relay]],MATCH(Table92[[#This Row],[Country]],Tabela1[Country], 0),0))</f>
        <v>0</v>
      </c>
      <c r="BJ136" s="6">
        <f>SUM(INDEX(Tabela1[[Skeleton - Men''s Individual]:[Skeleton - Mixed Team]],MATCH(Table92[[#This Row],[Country]],Tabela1[Country], 0),0))</f>
        <v>0</v>
      </c>
      <c r="BK136" s="6">
        <f>SUM(INDEX(Tabela1[[Ski Jumping - Men''s Individual Large Hill]:[Ski Jumping - Mixed Team Normal Hill]],MATCH(Table92[[#This Row],[Country]],Tabela1[Country], 0),0))</f>
        <v>0</v>
      </c>
      <c r="BL136" s="6">
        <f>SUM(INDEX(Tabela1[[Ski Mountaineering - Men''s Sprint]:[Ski Mountaineering - Mixed Relay]],MATCH(Table92[[#This Row],[Country]],Tabela1[Country], 0),0))</f>
        <v>0</v>
      </c>
      <c r="BM136" s="6">
        <f>SUM(INDEX(Tabela1[[Snowboarding - Men''s Big Air]:[Snowboarding - Mixed Team Snowboard Cross]],MATCH(Table92[[#This Row],[Country]],Tabela1[Country], 0),0))</f>
        <v>0</v>
      </c>
      <c r="BN136" s="6">
        <f>SUM(INDEX(Tabela1[[Speed Skating - Men''s 500m]:[Speed Skating - Women''s Team Pursuit]],MATCH(Table92[[#This Row],[Country]],Tabela1[Country], 0),0))</f>
        <v>0</v>
      </c>
      <c r="BO136" s="6" t="str">
        <f>SUBSTITUTE(INDEX(Table92[[#Headers],[Archery Quotas]:[Speed Skating Quotas]], MATCH(MAX(Table92[[#This Row],[Archery Quotas]:[Speed Skating Quotas]]), Table92[[#This Row],[Archery Quotas]:[Speed Skating Quotas]], 0))," Quotas","")</f>
        <v>Sailing</v>
      </c>
      <c r="BP136" s="6">
        <f>SUM(Table92[[#This Row],[Summer Sports]:[Winter Sports]])</f>
        <v>1</v>
      </c>
      <c r="BQ136" s="6">
        <f>COUNTIF(Table92[[#This Row],[Archery Quotas]:[Wrestling Quotas]],"&lt;&gt;0")</f>
        <v>1</v>
      </c>
      <c r="BR136" s="6">
        <f>COUNTIF(Table92[[#This Row],[Alpine Skiing Quotas]:[Speed Skating Quotas]],"&lt;&gt;0")</f>
        <v>0</v>
      </c>
      <c r="BS136" s="4" t="s">
        <v>547</v>
      </c>
    </row>
    <row r="137" spans="1:71" x14ac:dyDescent="0.3">
      <c r="A137" s="6" t="s">
        <v>552</v>
      </c>
      <c r="B137" t="e" vm="135">
        <f>IF(ISBLANK(Table92[[#This Row],[Flag Link]]), "", _xlfn.IMAGE(Table92[[#This Row],[Flag Link]],1,1))</f>
        <v>#VALUE!</v>
      </c>
      <c r="C137" s="6">
        <f>SUM(Table92[[#This Row],[Archery Quotas]:[Speed Skating Quotas]])</f>
        <v>1</v>
      </c>
      <c r="D137" s="6">
        <f>SUM(INDEX(Tabela1[[Archery - Men''s Individual Recurve]:[Archery - Mixed Team Recurve]],MATCH(Table92[[#This Row],[Country]],Tabela1[Country], 0),0))</f>
        <v>0</v>
      </c>
      <c r="E137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37" s="6">
        <f>SUM(INDEX(Tabela1[[Artistic Swimming - Women''s Duet]:[Artistic Swimming - Women''s Team]],MATCH(Table92[[#This Row],[Country]],Tabela1[Country], 0),0))</f>
        <v>0</v>
      </c>
      <c r="G137" s="6">
        <f>SUM(INDEX(Tabela1[[Athletics - Men''s 100m]:[Athletics - Women''s Heptathlon]],MATCH(Table92[[#This Row],[Country]],Tabela1[Country], 0),0))</f>
        <v>1</v>
      </c>
      <c r="H137" s="6">
        <f>SUM(INDEX(Tabela1[[Badminton - Men''s Singles]:[Badminton - Mixed Doubles]],MATCH(Table92[[#This Row],[Country]],Tabela1[Country], 0),0))</f>
        <v>0</v>
      </c>
      <c r="I137" s="6">
        <f>SUM(INDEX(Tabela1[[Basketball - Men''s Tournament]:[Basketball - Women''s Tournament]],MATCH(Table92[[#This Row],[Country]],Tabela1[Country], 0),0))</f>
        <v>0</v>
      </c>
      <c r="J137" s="6">
        <f>SUM(INDEX(Tabela1[[3x3 Basketball - Men''s Tournament]:[3x3 Basketball - Women''s Tournament]],MATCH(Table92[[#This Row],[Country]],Tabela1[Country], 0),0))</f>
        <v>0</v>
      </c>
      <c r="K137" s="6">
        <f>SUM(INDEX(Tabela1[[Beach Volleyball - Men''s Tournament]:[Beach Volleyball - Women''s Tournament]],MATCH(Table92[[#This Row],[Country]],Tabela1[Country], 0),0))</f>
        <v>0</v>
      </c>
      <c r="L137" s="6">
        <f>SUM(INDEX(Tabela1[[Boxing - Men''s 51kg]:[Boxing - Women''s 75kg]],MATCH(Table92[[#This Row],[Country]],Tabela1[Country], 0),0))</f>
        <v>0</v>
      </c>
      <c r="M137" s="6">
        <f>SUM(INDEX(Tabela1[[Breaking - Men''s Individual]:[Breaking - Women''s Individual]],MATCH(Table92[[#This Row],[Country]],Tabela1[Country], 0),0))</f>
        <v>0</v>
      </c>
      <c r="N137" s="6">
        <f>SUM(INDEX(Tabela1[[Canoeing - Men''s C1 Slalom]:[Canoeing - Women''s Kayak Cross Slalom]],MATCH(Table92[[#This Row],[Country]],Tabela1[Country], 0),0))</f>
        <v>0</v>
      </c>
      <c r="O137" s="6">
        <f>SUM(INDEX(Tabela1[[Canoeing - Women''s C1 200m]:[Canoeing - Women''s K4 500m]],MATCH(Table92[[#This Row],[Country]],Tabela1[Country], 0),0))</f>
        <v>0</v>
      </c>
      <c r="P137" s="6">
        <f>SUM(INDEX(Tabela1[[Cycling - Men''s BMX Freestyle]:[Cycling - Women''s BMX Freestyle]],MATCH(Table92[[#This Row],[Country]],Tabela1[Country], 0),0))</f>
        <v>0</v>
      </c>
      <c r="Q137" s="6">
        <f>SUM(INDEX(Tabela1[[Cycling - Men''s BMX Racing]:[Cycling - Women''s BMX Racing]],MATCH(Table92[[#This Row],[Country]],Tabela1[Country], 0),0))</f>
        <v>0</v>
      </c>
      <c r="R137" s="6">
        <f>SUM(INDEX(Tabela1[[Cycling - Men''s Cross-Country]:[Cycling - Women''s Cross-Country]],MATCH(Table92[[#This Row],[Country]],Tabela1[Country], 0),0))</f>
        <v>0</v>
      </c>
      <c r="S137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37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37" s="6">
        <f>SUM(INDEX(Tabela1[[Diving - Men''s Springboard]:[Diving - Women''s Synchronized Platform]],MATCH(Table92[[#This Row],[Country]],Tabela1[Country], 0),0))</f>
        <v>0</v>
      </c>
      <c r="V137" s="6">
        <f>SUM(INDEX(Tabela1[[Equestrian - Individual Dressage]:[Equestrian - Team Dressage]],MATCH(Table92[[#This Row],[Country]],Tabela1[Country], 0),0))</f>
        <v>0</v>
      </c>
      <c r="W137" s="6">
        <f>SUM(INDEX(Tabela1[[Equestrian - Individual Eventing]:[Equestrian - Team Eventing]],MATCH(Table92[[#This Row],[Country]],Tabela1[Country], 0),0))</f>
        <v>0</v>
      </c>
      <c r="X137" s="6">
        <f>SUM(INDEX(Tabela1[[Equestrian - Individual Jumping]:[Equestrian - Team Jumping]],MATCH(Table92[[#This Row],[Country]],Tabela1[Country], 0),0))</f>
        <v>0</v>
      </c>
      <c r="Y137" s="6">
        <f>SUM(INDEX(Tabela1[[Fencing - Men''s Épée]:[Fencing - Women''s Team Sabre]],MATCH(Table92[[#This Row],[Country]],Tabela1[Country], 0),0))</f>
        <v>0</v>
      </c>
      <c r="Z137" s="6">
        <f>SUM(INDEX(Tabela1[[Field Hockey - Men''s Tournament]:[Field Hockey - Women''s Tournament]],MATCH(Table92[[#This Row],[Country]],Tabela1[Country], 0),0))</f>
        <v>0</v>
      </c>
      <c r="AA137" s="6">
        <f>SUM(INDEX(Tabela1[[Football - Men''s Tournament]:[Football - Women''s Tournament]],MATCH(Table92[[#This Row],[Country]],Tabela1[Country], 0),0))</f>
        <v>0</v>
      </c>
      <c r="AB137" s="6">
        <f>SUM(INDEX(Tabela1[[Golf - Men''s Individual]:[Golf - Women''s Individual]],MATCH(Table92[[#This Row],[Country]],Tabela1[Country], 0),0))</f>
        <v>0</v>
      </c>
      <c r="AC137" s="6">
        <f>SUM(INDEX(Tabela1[[Handball - Men''s Tournament]:[Handball - Women''s Tournament]],MATCH(Table92[[#This Row],[Country]],Tabela1[Country], 0),0))</f>
        <v>0</v>
      </c>
      <c r="AD137" s="6">
        <f>SUM(INDEX(Tabela1[[Judo - Men''s 60kg]:[Judo - Mixed Team]],MATCH(Table92[[#This Row],[Country]],Tabela1[Country], 0),0))</f>
        <v>0</v>
      </c>
      <c r="AE137" s="6">
        <f>SUM(INDEX(Tabela1[[Swimming - Men''s 10km Open Water]:[Swimming - Women''s 10km Open Water]],MATCH(Table92[[#This Row],[Country]],Tabela1[Country], 0),0))</f>
        <v>0</v>
      </c>
      <c r="AF137" s="6">
        <f>SUM(INDEX(Tabela1[[Modern Pentathlon - Men''s Individual]:[Modern Pentathlon - Women''s Individual]],MATCH(Table92[[#This Row],[Country]],Tabela1[Country], 0),0))</f>
        <v>0</v>
      </c>
      <c r="AG137" s="6">
        <f>SUM(INDEX(Tabela1[[Rhythmic Gymnastics - Women''s Individual All-Around]:[Rhythmic Gymnastics - Women''s Group All-Around]],MATCH(Table92[[#This Row],[Country]],Tabela1[Country], 0),0))</f>
        <v>0</v>
      </c>
      <c r="AH137" s="6">
        <f>SUM(INDEX(Tabela1[[Rowing - Men''s Single Sculls]:[Rowing - Women''s Lwt. Double Sculls]],MATCH(Table92[[#This Row],[Country]],Tabela1[Country], 0),0))</f>
        <v>0</v>
      </c>
      <c r="AI137" s="6">
        <f>SUM(INDEX(Tabela1[[Rugby Sevens - Men''s Tournament]:[Rugby Sevens - Women''s Tournament]],MATCH(Table92[[#This Row],[Country]],Tabela1[Country], 0),0))</f>
        <v>0</v>
      </c>
      <c r="AJ137" s="6">
        <f>SUM(INDEX(Tabela1[[Sailing - Mixed 470]:[Sailing - Mixed Nacra 17]],MATCH(Table92[[#This Row],[Country]],Tabela1[Country], 0),0))</f>
        <v>0</v>
      </c>
      <c r="AK137" s="6">
        <f>SUM(INDEX(Tabela1[[Shooting - Men''s 10m Air Pistol]:[Shooting - Women''s Trap]],MATCH(Table92[[#This Row],[Country]],Tabela1[Country], 0),0))</f>
        <v>0</v>
      </c>
      <c r="AL137" s="6">
        <f>SUM(INDEX(Tabela1[[Skateboarding - Men''s Park]:[Skateboarding - Women''s Street]],MATCH(Table92[[#This Row],[Country]],Tabela1[Country], 0),0))</f>
        <v>0</v>
      </c>
      <c r="AM137" s="6">
        <f>SUM(INDEX(Tabela1[[Sport Climbing - Men''s Boulder and Lead]:[Sport Climbing - Women''s Speed]],MATCH(Table92[[#This Row],[Country]],Tabela1[Country], 0),0))</f>
        <v>0</v>
      </c>
      <c r="AN137" s="6">
        <f>SUM(INDEX(Tabela1[[Surfing - Men''s Shortboard]:[Surfing - Women''s Shortboard]],MATCH(Table92[[#This Row],[Country]],Tabela1[Country], 0),0))</f>
        <v>0</v>
      </c>
      <c r="AO137" s="6">
        <f>SUM(INDEX(Tabela1[[Swimming - Men''s 50m Freestyle]:[Swimming - Mixed 4x100m Medley Relay]],MATCH(Table92[[#This Row],[Country]],Tabela1[Country], 0),0))</f>
        <v>0</v>
      </c>
      <c r="AP137" s="6">
        <f>SUM(INDEX(Tabela1[[Table Tennis - Men''s Singles]:[Table Tennis - Mixed Doubles]],MATCH(Table92[[#This Row],[Country]],Tabela1[Country], 0),0))</f>
        <v>0</v>
      </c>
      <c r="AQ137" s="6">
        <f>SUM(INDEX(Tabela1[[Taekwondo - Men''s 58kg]:[Taekwondo - Women''s +67kg]],MATCH(Table92[[#This Row],[Country]],Tabela1[Country], 0),0))</f>
        <v>0</v>
      </c>
      <c r="AR137" s="6">
        <f>SUM(INDEX(Tabela1[[Tennis - Men''s Singles]:[Tennis - Mixed Doubles]],MATCH(Table92[[#This Row],[Country]],Tabela1[Country], 0),0))</f>
        <v>0</v>
      </c>
      <c r="AS137" s="6">
        <f>SUM(INDEX(Tabela1[[Gymnastics - Men''s Trampoline]:[Gymnastics - Women''s Trampoline]],MATCH(Table92[[#This Row],[Country]],Tabela1[Country], 0),0))</f>
        <v>0</v>
      </c>
      <c r="AT137" s="6">
        <f>SUM(INDEX(Tabela1[[Triathlon - Men''s Individual]:[Triathlon - Mixed Relay]],MATCH(Table92[[#This Row],[Country]],Tabela1[Country], 0),0))</f>
        <v>0</v>
      </c>
      <c r="AU137" s="6">
        <f>SUM(INDEX(Tabela1[[Volleyball - Men''s Tournament]:[Volleyball - Women''s Tournament]],MATCH(Table92[[#This Row],[Country]],Tabela1[Country], 0),0))</f>
        <v>0</v>
      </c>
      <c r="AV137" s="6">
        <f>SUM(INDEX(Tabela1[[Water Polo - Men''s Tournament]:[Water Polo - Women''s Tournament]],MATCH(Table92[[#This Row],[Country]],Tabela1[Country], 0),0))</f>
        <v>0</v>
      </c>
      <c r="AW137" s="6">
        <f>SUM(INDEX(Tabela1[[Weightlifting - Men''s 61kg]:[Weightlifting - Women''s +81kg]],MATCH(Table92[[#This Row],[Country]],Tabela1[Country], 0),0))</f>
        <v>0</v>
      </c>
      <c r="AX137" s="6">
        <f>SUM(INDEX(Tabela1[[Wrestling - Men''s Freestyle 57kg]:[Wrestling - Women''s Freestyle 76kg]],MATCH(Table92[[#This Row],[Country]],Tabela1[Country], 0),0))</f>
        <v>0</v>
      </c>
      <c r="AY137" s="6">
        <f>SUM(INDEX(Tabela1[[Alpine Skiing - Men''s Downhill]:[Alpine Skiing - Women''s Team Combined]],MATCH(Table92[[#This Row],[Country]],Tabela1[Country], 0),0))</f>
        <v>0</v>
      </c>
      <c r="AZ137" s="6">
        <f>SUM(INDEX(Tabela1[[Biathlon - Men''s Individual]:[Biathlon - Mixed Relay]],MATCH(Table92[[#This Row],[Country]],Tabela1[Country], 0),0))</f>
        <v>0</v>
      </c>
      <c r="BA137" s="6">
        <f>SUM(INDEX(Tabela1[[Bobsleigh - Women''s Monobob]:[Bobsleigh - Men''s Four]],MATCH(Table92[[#This Row],[Country]],Tabela1[Country], 0),0))</f>
        <v>0</v>
      </c>
      <c r="BB137" s="6">
        <f>SUM(INDEX(Tabela1[[Cross-country skiing - Men''s Classical]:[Cross-country skiing - Women''s Team Sprint]],MATCH(Table92[[#This Row],[Country]],Tabela1[Country], 0),0))</f>
        <v>0</v>
      </c>
      <c r="BC137" s="6">
        <f>SUM(INDEX(Tabela1[[Curling - Men''s Tournament]:[Curling - Mixed Doubles]],MATCH(Table92[[#This Row],[Country]],Tabela1[Country], 0),0))</f>
        <v>0</v>
      </c>
      <c r="BD137" s="6">
        <f>SUM(INDEX(Tabela1[[Figure Skating - Men''s Singles]:[Figure Skating - Team Event]],MATCH(Table92[[#This Row],[Country]],Tabela1[Country], 0),0))</f>
        <v>0</v>
      </c>
      <c r="BE137" s="6">
        <f>SUM(INDEX(Tabela1[[Freestyle Skiing - Men''s Aerials]:[Freestyle Skiing - Women''s Slopestyle]],MATCH(Table92[[#This Row],[Country]],Tabela1[Country], 0),0))</f>
        <v>0</v>
      </c>
      <c r="BF137" s="6">
        <f>SUM(INDEX(Tabela1[[Ice Hockey - Men''s Tournament]:[Ice Hockey - Women''s Tournament]],MATCH(Table92[[#This Row],[Country]],Tabela1[Country], 0),0))</f>
        <v>0</v>
      </c>
      <c r="BG137" s="6">
        <f>SUM(INDEX(Tabela1[[Luge - Men''s Singles]:[Luge - Mixed Team Relay]],MATCH(Table92[[#This Row],[Country]],Tabela1[Country], 0),0))</f>
        <v>0</v>
      </c>
      <c r="BH137" s="6">
        <f>SUM(INDEX(Tabela1[[Nordic Combined - Men''s Individual]:[Nordic Combined - Men''s Team Sprint Large Hill]],MATCH(Table92[[#This Row],[Country]],Tabela1[Country], 0),0))</f>
        <v>0</v>
      </c>
      <c r="BI137" s="6">
        <f>SUM(INDEX(Tabela1[[Short track speed skating - Men''s 500m]:[Short track speed skating - Mixed 2000m Relay]],MATCH(Table92[[#This Row],[Country]],Tabela1[Country], 0),0))</f>
        <v>0</v>
      </c>
      <c r="BJ137" s="6">
        <f>SUM(INDEX(Tabela1[[Skeleton - Men''s Individual]:[Skeleton - Mixed Team]],MATCH(Table92[[#This Row],[Country]],Tabela1[Country], 0),0))</f>
        <v>0</v>
      </c>
      <c r="BK137" s="6">
        <f>SUM(INDEX(Tabela1[[Ski Jumping - Men''s Individual Large Hill]:[Ski Jumping - Mixed Team Normal Hill]],MATCH(Table92[[#This Row],[Country]],Tabela1[Country], 0),0))</f>
        <v>0</v>
      </c>
      <c r="BL137" s="6">
        <f>SUM(INDEX(Tabela1[[Ski Mountaineering - Men''s Sprint]:[Ski Mountaineering - Mixed Relay]],MATCH(Table92[[#This Row],[Country]],Tabela1[Country], 0),0))</f>
        <v>0</v>
      </c>
      <c r="BM137" s="6">
        <f>SUM(INDEX(Tabela1[[Snowboarding - Men''s Big Air]:[Snowboarding - Mixed Team Snowboard Cross]],MATCH(Table92[[#This Row],[Country]],Tabela1[Country], 0),0))</f>
        <v>0</v>
      </c>
      <c r="BN137" s="6">
        <f>SUM(INDEX(Tabela1[[Speed Skating - Men''s 500m]:[Speed Skating - Women''s Team Pursuit]],MATCH(Table92[[#This Row],[Country]],Tabela1[Country], 0),0))</f>
        <v>0</v>
      </c>
      <c r="BO137" s="6" t="str">
        <f>SUBSTITUTE(INDEX(Table92[[#Headers],[Archery Quotas]:[Speed Skating Quotas]], MATCH(MAX(Table92[[#This Row],[Archery Quotas]:[Speed Skating Quotas]]), Table92[[#This Row],[Archery Quotas]:[Speed Skating Quotas]], 0))," Quotas","")</f>
        <v>Athletics</v>
      </c>
      <c r="BP137" s="6">
        <f>SUM(Table92[[#This Row],[Summer Sports]:[Winter Sports]])</f>
        <v>1</v>
      </c>
      <c r="BQ137" s="6">
        <f>COUNTIF(Table92[[#This Row],[Archery Quotas]:[Wrestling Quotas]],"&lt;&gt;0")</f>
        <v>1</v>
      </c>
      <c r="BR137" s="6">
        <f>COUNTIF(Table92[[#This Row],[Alpine Skiing Quotas]:[Speed Skating Quotas]],"&lt;&gt;0")</f>
        <v>0</v>
      </c>
      <c r="BS137" s="4" t="s">
        <v>553</v>
      </c>
    </row>
    <row r="138" spans="1:71" x14ac:dyDescent="0.3">
      <c r="A138" s="6" t="s">
        <v>554</v>
      </c>
      <c r="B138" t="e" vm="136">
        <f>IF(ISBLANK(Table92[[#This Row],[Flag Link]]), "", _xlfn.IMAGE(Table92[[#This Row],[Flag Link]],1,1))</f>
        <v>#VALUE!</v>
      </c>
      <c r="C138" s="6">
        <f>SUM(Table92[[#This Row],[Archery Quotas]:[Speed Skating Quotas]])</f>
        <v>1</v>
      </c>
      <c r="D138" s="6">
        <f>SUM(INDEX(Tabela1[[Archery - Men''s Individual Recurve]:[Archery - Mixed Team Recurve]],MATCH(Table92[[#This Row],[Country]],Tabela1[Country], 0),0))</f>
        <v>0</v>
      </c>
      <c r="E138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38" s="6">
        <f>SUM(INDEX(Tabela1[[Artistic Swimming - Women''s Duet]:[Artistic Swimming - Women''s Team]],MATCH(Table92[[#This Row],[Country]],Tabela1[Country], 0),0))</f>
        <v>0</v>
      </c>
      <c r="G138" s="6">
        <f>SUM(INDEX(Tabela1[[Athletics - Men''s 100m]:[Athletics - Women''s Heptathlon]],MATCH(Table92[[#This Row],[Country]],Tabela1[Country], 0),0))</f>
        <v>0</v>
      </c>
      <c r="H138" s="6">
        <f>SUM(INDEX(Tabela1[[Badminton - Men''s Singles]:[Badminton - Mixed Doubles]],MATCH(Table92[[#This Row],[Country]],Tabela1[Country], 0),0))</f>
        <v>0</v>
      </c>
      <c r="I138" s="6">
        <f>SUM(INDEX(Tabela1[[Basketball - Men''s Tournament]:[Basketball - Women''s Tournament]],MATCH(Table92[[#This Row],[Country]],Tabela1[Country], 0),0))</f>
        <v>0</v>
      </c>
      <c r="J138" s="6">
        <f>SUM(INDEX(Tabela1[[3x3 Basketball - Men''s Tournament]:[3x3 Basketball - Women''s Tournament]],MATCH(Table92[[#This Row],[Country]],Tabela1[Country], 0),0))</f>
        <v>0</v>
      </c>
      <c r="K138" s="6">
        <f>SUM(INDEX(Tabela1[[Beach Volleyball - Men''s Tournament]:[Beach Volleyball - Women''s Tournament]],MATCH(Table92[[#This Row],[Country]],Tabela1[Country], 0),0))</f>
        <v>0</v>
      </c>
      <c r="L138" s="6">
        <f>SUM(INDEX(Tabela1[[Boxing - Men''s 51kg]:[Boxing - Women''s 75kg]],MATCH(Table92[[#This Row],[Country]],Tabela1[Country], 0),0))</f>
        <v>0</v>
      </c>
      <c r="M138" s="6">
        <f>SUM(INDEX(Tabela1[[Breaking - Men''s Individual]:[Breaking - Women''s Individual]],MATCH(Table92[[#This Row],[Country]],Tabela1[Country], 0),0))</f>
        <v>0</v>
      </c>
      <c r="N138" s="6">
        <f>SUM(INDEX(Tabela1[[Canoeing - Men''s C1 Slalom]:[Canoeing - Women''s Kayak Cross Slalom]],MATCH(Table92[[#This Row],[Country]],Tabela1[Country], 0),0))</f>
        <v>0</v>
      </c>
      <c r="O138" s="6">
        <f>SUM(INDEX(Tabela1[[Canoeing - Women''s C1 200m]:[Canoeing - Women''s K4 500m]],MATCH(Table92[[#This Row],[Country]],Tabela1[Country], 0),0))</f>
        <v>0</v>
      </c>
      <c r="P138" s="6">
        <f>SUM(INDEX(Tabela1[[Cycling - Men''s BMX Freestyle]:[Cycling - Women''s BMX Freestyle]],MATCH(Table92[[#This Row],[Country]],Tabela1[Country], 0),0))</f>
        <v>0</v>
      </c>
      <c r="Q138" s="6">
        <f>SUM(INDEX(Tabela1[[Cycling - Men''s BMX Racing]:[Cycling - Women''s BMX Racing]],MATCH(Table92[[#This Row],[Country]],Tabela1[Country], 0),0))</f>
        <v>0</v>
      </c>
      <c r="R138" s="6">
        <f>SUM(INDEX(Tabela1[[Cycling - Men''s Cross-Country]:[Cycling - Women''s Cross-Country]],MATCH(Table92[[#This Row],[Country]],Tabela1[Country], 0),0))</f>
        <v>0</v>
      </c>
      <c r="S138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38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38" s="6">
        <f>SUM(INDEX(Tabela1[[Diving - Men''s Springboard]:[Diving - Women''s Synchronized Platform]],MATCH(Table92[[#This Row],[Country]],Tabela1[Country], 0),0))</f>
        <v>0</v>
      </c>
      <c r="V138" s="6">
        <f>SUM(INDEX(Tabela1[[Equestrian - Individual Dressage]:[Equestrian - Team Dressage]],MATCH(Table92[[#This Row],[Country]],Tabela1[Country], 0),0))</f>
        <v>0</v>
      </c>
      <c r="W138" s="6">
        <f>SUM(INDEX(Tabela1[[Equestrian - Individual Eventing]:[Equestrian - Team Eventing]],MATCH(Table92[[#This Row],[Country]],Tabela1[Country], 0),0))</f>
        <v>0</v>
      </c>
      <c r="X138" s="6">
        <f>SUM(INDEX(Tabela1[[Equestrian - Individual Jumping]:[Equestrian - Team Jumping]],MATCH(Table92[[#This Row],[Country]],Tabela1[Country], 0),0))</f>
        <v>0</v>
      </c>
      <c r="Y138" s="6">
        <f>SUM(INDEX(Tabela1[[Fencing - Men''s Épée]:[Fencing - Women''s Team Sabre]],MATCH(Table92[[#This Row],[Country]],Tabela1[Country], 0),0))</f>
        <v>0</v>
      </c>
      <c r="Z138" s="6">
        <f>SUM(INDEX(Tabela1[[Field Hockey - Men''s Tournament]:[Field Hockey - Women''s Tournament]],MATCH(Table92[[#This Row],[Country]],Tabela1[Country], 0),0))</f>
        <v>0</v>
      </c>
      <c r="AA138" s="6">
        <f>SUM(INDEX(Tabela1[[Football - Men''s Tournament]:[Football - Women''s Tournament]],MATCH(Table92[[#This Row],[Country]],Tabela1[Country], 0),0))</f>
        <v>0</v>
      </c>
      <c r="AB138" s="6">
        <f>SUM(INDEX(Tabela1[[Golf - Men''s Individual]:[Golf - Women''s Individual]],MATCH(Table92[[#This Row],[Country]],Tabela1[Country], 0),0))</f>
        <v>0</v>
      </c>
      <c r="AC138" s="6">
        <f>SUM(INDEX(Tabela1[[Handball - Men''s Tournament]:[Handball - Women''s Tournament]],MATCH(Table92[[#This Row],[Country]],Tabela1[Country], 0),0))</f>
        <v>0</v>
      </c>
      <c r="AD138" s="6">
        <f>SUM(INDEX(Tabela1[[Judo - Men''s 60kg]:[Judo - Mixed Team]],MATCH(Table92[[#This Row],[Country]],Tabela1[Country], 0),0))</f>
        <v>0</v>
      </c>
      <c r="AE138" s="6">
        <f>SUM(INDEX(Tabela1[[Swimming - Men''s 10km Open Water]:[Swimming - Women''s 10km Open Water]],MATCH(Table92[[#This Row],[Country]],Tabela1[Country], 0),0))</f>
        <v>0</v>
      </c>
      <c r="AF138" s="6">
        <f>SUM(INDEX(Tabela1[[Modern Pentathlon - Men''s Individual]:[Modern Pentathlon - Women''s Individual]],MATCH(Table92[[#This Row],[Country]],Tabela1[Country], 0),0))</f>
        <v>0</v>
      </c>
      <c r="AG138" s="6">
        <f>SUM(INDEX(Tabela1[[Rhythmic Gymnastics - Women''s Individual All-Around]:[Rhythmic Gymnastics - Women''s Group All-Around]],MATCH(Table92[[#This Row],[Country]],Tabela1[Country], 0),0))</f>
        <v>0</v>
      </c>
      <c r="AH138" s="6">
        <f>SUM(INDEX(Tabela1[[Rowing - Men''s Single Sculls]:[Rowing - Women''s Lwt. Double Sculls]],MATCH(Table92[[#This Row],[Country]],Tabela1[Country], 0),0))</f>
        <v>0</v>
      </c>
      <c r="AI138" s="6">
        <f>SUM(INDEX(Tabela1[[Rugby Sevens - Men''s Tournament]:[Rugby Sevens - Women''s Tournament]],MATCH(Table92[[#This Row],[Country]],Tabela1[Country], 0),0))</f>
        <v>0</v>
      </c>
      <c r="AJ138" s="6">
        <f>SUM(INDEX(Tabela1[[Sailing - Mixed 470]:[Sailing - Mixed Nacra 17]],MATCH(Table92[[#This Row],[Country]],Tabela1[Country], 0),0))</f>
        <v>0</v>
      </c>
      <c r="AK138" s="6">
        <f>SUM(INDEX(Tabela1[[Shooting - Men''s 10m Air Pistol]:[Shooting - Women''s Trap]],MATCH(Table92[[#This Row],[Country]],Tabela1[Country], 0),0))</f>
        <v>0</v>
      </c>
      <c r="AL138" s="6">
        <f>SUM(INDEX(Tabela1[[Skateboarding - Men''s Park]:[Skateboarding - Women''s Street]],MATCH(Table92[[#This Row],[Country]],Tabela1[Country], 0),0))</f>
        <v>0</v>
      </c>
      <c r="AM138" s="6">
        <f>SUM(INDEX(Tabela1[[Sport Climbing - Men''s Boulder and Lead]:[Sport Climbing - Women''s Speed]],MATCH(Table92[[#This Row],[Country]],Tabela1[Country], 0),0))</f>
        <v>0</v>
      </c>
      <c r="AN138" s="6">
        <f>SUM(INDEX(Tabela1[[Surfing - Men''s Shortboard]:[Surfing - Women''s Shortboard]],MATCH(Table92[[#This Row],[Country]],Tabela1[Country], 0),0))</f>
        <v>0</v>
      </c>
      <c r="AO138" s="6">
        <f>SUM(INDEX(Tabela1[[Swimming - Men''s 50m Freestyle]:[Swimming - Mixed 4x100m Medley Relay]],MATCH(Table92[[#This Row],[Country]],Tabela1[Country], 0),0))</f>
        <v>0</v>
      </c>
      <c r="AP138" s="6">
        <f>SUM(INDEX(Tabela1[[Table Tennis - Men''s Singles]:[Table Tennis - Mixed Doubles]],MATCH(Table92[[#This Row],[Country]],Tabela1[Country], 0),0))</f>
        <v>1</v>
      </c>
      <c r="AQ138" s="6">
        <f>SUM(INDEX(Tabela1[[Taekwondo - Men''s 58kg]:[Taekwondo - Women''s +67kg]],MATCH(Table92[[#This Row],[Country]],Tabela1[Country], 0),0))</f>
        <v>0</v>
      </c>
      <c r="AR138" s="6">
        <f>SUM(INDEX(Tabela1[[Tennis - Men''s Singles]:[Tennis - Mixed Doubles]],MATCH(Table92[[#This Row],[Country]],Tabela1[Country], 0),0))</f>
        <v>0</v>
      </c>
      <c r="AS138" s="6">
        <f>SUM(INDEX(Tabela1[[Gymnastics - Men''s Trampoline]:[Gymnastics - Women''s Trampoline]],MATCH(Table92[[#This Row],[Country]],Tabela1[Country], 0),0))</f>
        <v>0</v>
      </c>
      <c r="AT138" s="6">
        <f>SUM(INDEX(Tabela1[[Triathlon - Men''s Individual]:[Triathlon - Mixed Relay]],MATCH(Table92[[#This Row],[Country]],Tabela1[Country], 0),0))</f>
        <v>0</v>
      </c>
      <c r="AU138" s="6">
        <f>SUM(INDEX(Tabela1[[Volleyball - Men''s Tournament]:[Volleyball - Women''s Tournament]],MATCH(Table92[[#This Row],[Country]],Tabela1[Country], 0),0))</f>
        <v>0</v>
      </c>
      <c r="AV138" s="6">
        <f>SUM(INDEX(Tabela1[[Water Polo - Men''s Tournament]:[Water Polo - Women''s Tournament]],MATCH(Table92[[#This Row],[Country]],Tabela1[Country], 0),0))</f>
        <v>0</v>
      </c>
      <c r="AW138" s="6">
        <f>SUM(INDEX(Tabela1[[Weightlifting - Men''s 61kg]:[Weightlifting - Women''s +81kg]],MATCH(Table92[[#This Row],[Country]],Tabela1[Country], 0),0))</f>
        <v>0</v>
      </c>
      <c r="AX138" s="6">
        <f>SUM(INDEX(Tabela1[[Wrestling - Men''s Freestyle 57kg]:[Wrestling - Women''s Freestyle 76kg]],MATCH(Table92[[#This Row],[Country]],Tabela1[Country], 0),0))</f>
        <v>0</v>
      </c>
      <c r="AY138" s="6">
        <f>SUM(INDEX(Tabela1[[Alpine Skiing - Men''s Downhill]:[Alpine Skiing - Women''s Team Combined]],MATCH(Table92[[#This Row],[Country]],Tabela1[Country], 0),0))</f>
        <v>0</v>
      </c>
      <c r="AZ138" s="6">
        <f>SUM(INDEX(Tabela1[[Biathlon - Men''s Individual]:[Biathlon - Mixed Relay]],MATCH(Table92[[#This Row],[Country]],Tabela1[Country], 0),0))</f>
        <v>0</v>
      </c>
      <c r="BA138" s="6">
        <f>SUM(INDEX(Tabela1[[Bobsleigh - Women''s Monobob]:[Bobsleigh - Men''s Four]],MATCH(Table92[[#This Row],[Country]],Tabela1[Country], 0),0))</f>
        <v>0</v>
      </c>
      <c r="BB138" s="6">
        <f>SUM(INDEX(Tabela1[[Cross-country skiing - Men''s Classical]:[Cross-country skiing - Women''s Team Sprint]],MATCH(Table92[[#This Row],[Country]],Tabela1[Country], 0),0))</f>
        <v>0</v>
      </c>
      <c r="BC138" s="6">
        <f>SUM(INDEX(Tabela1[[Curling - Men''s Tournament]:[Curling - Mixed Doubles]],MATCH(Table92[[#This Row],[Country]],Tabela1[Country], 0),0))</f>
        <v>0</v>
      </c>
      <c r="BD138" s="6">
        <f>SUM(INDEX(Tabela1[[Figure Skating - Men''s Singles]:[Figure Skating - Team Event]],MATCH(Table92[[#This Row],[Country]],Tabela1[Country], 0),0))</f>
        <v>0</v>
      </c>
      <c r="BE138" s="6">
        <f>SUM(INDEX(Tabela1[[Freestyle Skiing - Men''s Aerials]:[Freestyle Skiing - Women''s Slopestyle]],MATCH(Table92[[#This Row],[Country]],Tabela1[Country], 0),0))</f>
        <v>0</v>
      </c>
      <c r="BF138" s="6">
        <f>SUM(INDEX(Tabela1[[Ice Hockey - Men''s Tournament]:[Ice Hockey - Women''s Tournament]],MATCH(Table92[[#This Row],[Country]],Tabela1[Country], 0),0))</f>
        <v>0</v>
      </c>
      <c r="BG138" s="6">
        <f>SUM(INDEX(Tabela1[[Luge - Men''s Singles]:[Luge - Mixed Team Relay]],MATCH(Table92[[#This Row],[Country]],Tabela1[Country], 0),0))</f>
        <v>0</v>
      </c>
      <c r="BH138" s="6">
        <f>SUM(INDEX(Tabela1[[Nordic Combined - Men''s Individual]:[Nordic Combined - Men''s Team Sprint Large Hill]],MATCH(Table92[[#This Row],[Country]],Tabela1[Country], 0),0))</f>
        <v>0</v>
      </c>
      <c r="BI138" s="6">
        <f>SUM(INDEX(Tabela1[[Short track speed skating - Men''s 500m]:[Short track speed skating - Mixed 2000m Relay]],MATCH(Table92[[#This Row],[Country]],Tabela1[Country], 0),0))</f>
        <v>0</v>
      </c>
      <c r="BJ138" s="6">
        <f>SUM(INDEX(Tabela1[[Skeleton - Men''s Individual]:[Skeleton - Mixed Team]],MATCH(Table92[[#This Row],[Country]],Tabela1[Country], 0),0))</f>
        <v>0</v>
      </c>
      <c r="BK138" s="6">
        <f>SUM(INDEX(Tabela1[[Ski Jumping - Men''s Individual Large Hill]:[Ski Jumping - Mixed Team Normal Hill]],MATCH(Table92[[#This Row],[Country]],Tabela1[Country], 0),0))</f>
        <v>0</v>
      </c>
      <c r="BL138" s="6">
        <f>SUM(INDEX(Tabela1[[Ski Mountaineering - Men''s Sprint]:[Ski Mountaineering - Mixed Relay]],MATCH(Table92[[#This Row],[Country]],Tabela1[Country], 0),0))</f>
        <v>0</v>
      </c>
      <c r="BM138" s="6">
        <f>SUM(INDEX(Tabela1[[Snowboarding - Men''s Big Air]:[Snowboarding - Mixed Team Snowboard Cross]],MATCH(Table92[[#This Row],[Country]],Tabela1[Country], 0),0))</f>
        <v>0</v>
      </c>
      <c r="BN138" s="6">
        <f>SUM(INDEX(Tabela1[[Speed Skating - Men''s 500m]:[Speed Skating - Women''s Team Pursuit]],MATCH(Table92[[#This Row],[Country]],Tabela1[Country], 0),0))</f>
        <v>0</v>
      </c>
      <c r="BO138" s="6" t="str">
        <f>SUBSTITUTE(INDEX(Table92[[#Headers],[Archery Quotas]:[Speed Skating Quotas]], MATCH(MAX(Table92[[#This Row],[Archery Quotas]:[Speed Skating Quotas]]), Table92[[#This Row],[Archery Quotas]:[Speed Skating Quotas]], 0))," Quotas","")</f>
        <v>Table Tennis</v>
      </c>
      <c r="BP138" s="6">
        <f>SUM(Table92[[#This Row],[Summer Sports]:[Winter Sports]])</f>
        <v>1</v>
      </c>
      <c r="BQ138" s="6">
        <f>COUNTIF(Table92[[#This Row],[Archery Quotas]:[Wrestling Quotas]],"&lt;&gt;0")</f>
        <v>1</v>
      </c>
      <c r="BR138" s="6">
        <f>COUNTIF(Table92[[#This Row],[Alpine Skiing Quotas]:[Speed Skating Quotas]],"&lt;&gt;0")</f>
        <v>0</v>
      </c>
      <c r="BS138" s="4" t="s">
        <v>555</v>
      </c>
    </row>
    <row r="139" spans="1:71" x14ac:dyDescent="0.3">
      <c r="A139" s="6" t="s">
        <v>582</v>
      </c>
      <c r="B139" t="e" vm="134">
        <f>IF(ISBLANK(Table92[[#This Row],[Flag Link]]), "", _xlfn.IMAGE(Table92[[#This Row],[Flag Link]],1,1))</f>
        <v>#VALUE!</v>
      </c>
      <c r="C139" s="6">
        <f>SUM(Table92[[#This Row],[Archery Quotas]:[Speed Skating Quotas]])</f>
        <v>1</v>
      </c>
      <c r="D139" s="6">
        <f>SUM(INDEX(Tabela1[[Archery - Men''s Individual Recurve]:[Archery - Mixed Team Recurve]],MATCH(Table92[[#This Row],[Country]],Tabela1[Country], 0),0))</f>
        <v>0</v>
      </c>
      <c r="E139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39" s="6">
        <f>SUM(INDEX(Tabela1[[Artistic Swimming - Women''s Duet]:[Artistic Swimming - Women''s Team]],MATCH(Table92[[#This Row],[Country]],Tabela1[Country], 0),0))</f>
        <v>0</v>
      </c>
      <c r="G139" s="6">
        <f>SUM(INDEX(Tabela1[[Athletics - Men''s 100m]:[Athletics - Women''s Heptathlon]],MATCH(Table92[[#This Row],[Country]],Tabela1[Country], 0),0))</f>
        <v>0</v>
      </c>
      <c r="H139" s="6">
        <f>SUM(INDEX(Tabela1[[Badminton - Men''s Singles]:[Badminton - Mixed Doubles]],MATCH(Table92[[#This Row],[Country]],Tabela1[Country], 0),0))</f>
        <v>0</v>
      </c>
      <c r="I139" s="6">
        <f>SUM(INDEX(Tabela1[[Basketball - Men''s Tournament]:[Basketball - Women''s Tournament]],MATCH(Table92[[#This Row],[Country]],Tabela1[Country], 0),0))</f>
        <v>0</v>
      </c>
      <c r="J139" s="6">
        <f>SUM(INDEX(Tabela1[[3x3 Basketball - Men''s Tournament]:[3x3 Basketball - Women''s Tournament]],MATCH(Table92[[#This Row],[Country]],Tabela1[Country], 0),0))</f>
        <v>0</v>
      </c>
      <c r="K139" s="6">
        <f>SUM(INDEX(Tabela1[[Beach Volleyball - Men''s Tournament]:[Beach Volleyball - Women''s Tournament]],MATCH(Table92[[#This Row],[Country]],Tabela1[Country], 0),0))</f>
        <v>0</v>
      </c>
      <c r="L139" s="6">
        <f>SUM(INDEX(Tabela1[[Boxing - Men''s 51kg]:[Boxing - Women''s 75kg]],MATCH(Table92[[#This Row],[Country]],Tabela1[Country], 0),0))</f>
        <v>0</v>
      </c>
      <c r="M139" s="6">
        <f>SUM(INDEX(Tabela1[[Breaking - Men''s Individual]:[Breaking - Women''s Individual]],MATCH(Table92[[#This Row],[Country]],Tabela1[Country], 0),0))</f>
        <v>0</v>
      </c>
      <c r="N139" s="6">
        <f>SUM(INDEX(Tabela1[[Canoeing - Men''s C1 Slalom]:[Canoeing - Women''s Kayak Cross Slalom]],MATCH(Table92[[#This Row],[Country]],Tabela1[Country], 0),0))</f>
        <v>0</v>
      </c>
      <c r="O139" s="6">
        <f>SUM(INDEX(Tabela1[[Canoeing - Women''s C1 200m]:[Canoeing - Women''s K4 500m]],MATCH(Table92[[#This Row],[Country]],Tabela1[Country], 0),0))</f>
        <v>0</v>
      </c>
      <c r="P139" s="6">
        <f>SUM(INDEX(Tabela1[[Cycling - Men''s BMX Freestyle]:[Cycling - Women''s BMX Freestyle]],MATCH(Table92[[#This Row],[Country]],Tabela1[Country], 0),0))</f>
        <v>0</v>
      </c>
      <c r="Q139" s="6">
        <f>SUM(INDEX(Tabela1[[Cycling - Men''s BMX Racing]:[Cycling - Women''s BMX Racing]],MATCH(Table92[[#This Row],[Country]],Tabela1[Country], 0),0))</f>
        <v>0</v>
      </c>
      <c r="R139" s="6">
        <f>SUM(INDEX(Tabela1[[Cycling - Men''s Cross-Country]:[Cycling - Women''s Cross-Country]],MATCH(Table92[[#This Row],[Country]],Tabela1[Country], 0),0))</f>
        <v>0</v>
      </c>
      <c r="S139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39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39" s="6">
        <f>SUM(INDEX(Tabela1[[Diving - Men''s Springboard]:[Diving - Women''s Synchronized Platform]],MATCH(Table92[[#This Row],[Country]],Tabela1[Country], 0),0))</f>
        <v>0</v>
      </c>
      <c r="V139" s="6">
        <f>SUM(INDEX(Tabela1[[Equestrian - Individual Dressage]:[Equestrian - Team Dressage]],MATCH(Table92[[#This Row],[Country]],Tabela1[Country], 0),0))</f>
        <v>0</v>
      </c>
      <c r="W139" s="6">
        <f>SUM(INDEX(Tabela1[[Equestrian - Individual Eventing]:[Equestrian - Team Eventing]],MATCH(Table92[[#This Row],[Country]],Tabela1[Country], 0),0))</f>
        <v>0</v>
      </c>
      <c r="X139" s="6">
        <f>SUM(INDEX(Tabela1[[Equestrian - Individual Jumping]:[Equestrian - Team Jumping]],MATCH(Table92[[#This Row],[Country]],Tabela1[Country], 0),0))</f>
        <v>0</v>
      </c>
      <c r="Y139" s="6">
        <f>SUM(INDEX(Tabela1[[Fencing - Men''s Épée]:[Fencing - Women''s Team Sabre]],MATCH(Table92[[#This Row],[Country]],Tabela1[Country], 0),0))</f>
        <v>0</v>
      </c>
      <c r="Z139" s="6">
        <f>SUM(INDEX(Tabela1[[Field Hockey - Men''s Tournament]:[Field Hockey - Women''s Tournament]],MATCH(Table92[[#This Row],[Country]],Tabela1[Country], 0),0))</f>
        <v>0</v>
      </c>
      <c r="AA139" s="6">
        <f>SUM(INDEX(Tabela1[[Football - Men''s Tournament]:[Football - Women''s Tournament]],MATCH(Table92[[#This Row],[Country]],Tabela1[Country], 0),0))</f>
        <v>0</v>
      </c>
      <c r="AB139" s="6">
        <f>SUM(INDEX(Tabela1[[Golf - Men''s Individual]:[Golf - Women''s Individual]],MATCH(Table92[[#This Row],[Country]],Tabela1[Country], 0),0))</f>
        <v>0</v>
      </c>
      <c r="AC139" s="6">
        <f>SUM(INDEX(Tabela1[[Handball - Men''s Tournament]:[Handball - Women''s Tournament]],MATCH(Table92[[#This Row],[Country]],Tabela1[Country], 0),0))</f>
        <v>0</v>
      </c>
      <c r="AD139" s="6">
        <f>SUM(INDEX(Tabela1[[Judo - Men''s 60kg]:[Judo - Mixed Team]],MATCH(Table92[[#This Row],[Country]],Tabela1[Country], 0),0))</f>
        <v>0</v>
      </c>
      <c r="AE139" s="6">
        <f>SUM(INDEX(Tabela1[[Swimming - Men''s 10km Open Water]:[Swimming - Women''s 10km Open Water]],MATCH(Table92[[#This Row],[Country]],Tabela1[Country], 0),0))</f>
        <v>0</v>
      </c>
      <c r="AF139" s="6">
        <f>SUM(INDEX(Tabela1[[Modern Pentathlon - Men''s Individual]:[Modern Pentathlon - Women''s Individual]],MATCH(Table92[[#This Row],[Country]],Tabela1[Country], 0),0))</f>
        <v>0</v>
      </c>
      <c r="AG139" s="6">
        <f>SUM(INDEX(Tabela1[[Rhythmic Gymnastics - Women''s Individual All-Around]:[Rhythmic Gymnastics - Women''s Group All-Around]],MATCH(Table92[[#This Row],[Country]],Tabela1[Country], 0),0))</f>
        <v>0</v>
      </c>
      <c r="AH139" s="6">
        <f>SUM(INDEX(Tabela1[[Rowing - Men''s Single Sculls]:[Rowing - Women''s Lwt. Double Sculls]],MATCH(Table92[[#This Row],[Country]],Tabela1[Country], 0),0))</f>
        <v>0</v>
      </c>
      <c r="AI139" s="6">
        <f>SUM(INDEX(Tabela1[[Rugby Sevens - Men''s Tournament]:[Rugby Sevens - Women''s Tournament]],MATCH(Table92[[#This Row],[Country]],Tabela1[Country], 0),0))</f>
        <v>0</v>
      </c>
      <c r="AJ139" s="6">
        <f>SUM(INDEX(Tabela1[[Sailing - Mixed 470]:[Sailing - Mixed Nacra 17]],MATCH(Table92[[#This Row],[Country]],Tabela1[Country], 0),0))</f>
        <v>0</v>
      </c>
      <c r="AK139" s="6">
        <f>SUM(INDEX(Tabela1[[Shooting - Men''s 10m Air Pistol]:[Shooting - Women''s Trap]],MATCH(Table92[[#This Row],[Country]],Tabela1[Country], 0),0))</f>
        <v>0</v>
      </c>
      <c r="AL139" s="6">
        <f>SUM(INDEX(Tabela1[[Skateboarding - Men''s Park]:[Skateboarding - Women''s Street]],MATCH(Table92[[#This Row],[Country]],Tabela1[Country], 0),0))</f>
        <v>0</v>
      </c>
      <c r="AM139" s="6">
        <f>SUM(INDEX(Tabela1[[Sport Climbing - Men''s Boulder and Lead]:[Sport Climbing - Women''s Speed]],MATCH(Table92[[#This Row],[Country]],Tabela1[Country], 0),0))</f>
        <v>0</v>
      </c>
      <c r="AN139" s="6">
        <f>SUM(INDEX(Tabela1[[Surfing - Men''s Shortboard]:[Surfing - Women''s Shortboard]],MATCH(Table92[[#This Row],[Country]],Tabela1[Country], 0),0))</f>
        <v>0</v>
      </c>
      <c r="AO139" s="6">
        <f>SUM(INDEX(Tabela1[[Swimming - Men''s 50m Freestyle]:[Swimming - Mixed 4x100m Medley Relay]],MATCH(Table92[[#This Row],[Country]],Tabela1[Country], 0),0))</f>
        <v>1</v>
      </c>
      <c r="AP139" s="6">
        <f>SUM(INDEX(Tabela1[[Table Tennis - Men''s Singles]:[Table Tennis - Mixed Doubles]],MATCH(Table92[[#This Row],[Country]],Tabela1[Country], 0),0))</f>
        <v>0</v>
      </c>
      <c r="AQ139" s="6">
        <f>SUM(INDEX(Tabela1[[Taekwondo - Men''s 58kg]:[Taekwondo - Women''s +67kg]],MATCH(Table92[[#This Row],[Country]],Tabela1[Country], 0),0))</f>
        <v>0</v>
      </c>
      <c r="AR139" s="6">
        <f>SUM(INDEX(Tabela1[[Tennis - Men''s Singles]:[Tennis - Mixed Doubles]],MATCH(Table92[[#This Row],[Country]],Tabela1[Country], 0),0))</f>
        <v>0</v>
      </c>
      <c r="AS139" s="6">
        <f>SUM(INDEX(Tabela1[[Gymnastics - Men''s Trampoline]:[Gymnastics - Women''s Trampoline]],MATCH(Table92[[#This Row],[Country]],Tabela1[Country], 0),0))</f>
        <v>0</v>
      </c>
      <c r="AT139" s="6">
        <f>SUM(INDEX(Tabela1[[Triathlon - Men''s Individual]:[Triathlon - Mixed Relay]],MATCH(Table92[[#This Row],[Country]],Tabela1[Country], 0),0))</f>
        <v>0</v>
      </c>
      <c r="AU139" s="6">
        <f>SUM(INDEX(Tabela1[[Volleyball - Men''s Tournament]:[Volleyball - Women''s Tournament]],MATCH(Table92[[#This Row],[Country]],Tabela1[Country], 0),0))</f>
        <v>0</v>
      </c>
      <c r="AV139" s="6">
        <f>SUM(INDEX(Tabela1[[Water Polo - Men''s Tournament]:[Water Polo - Women''s Tournament]],MATCH(Table92[[#This Row],[Country]],Tabela1[Country], 0),0))</f>
        <v>0</v>
      </c>
      <c r="AW139" s="6">
        <f>SUM(INDEX(Tabela1[[Weightlifting - Men''s 61kg]:[Weightlifting - Women''s +81kg]],MATCH(Table92[[#This Row],[Country]],Tabela1[Country], 0),0))</f>
        <v>0</v>
      </c>
      <c r="AX139" s="6">
        <f>SUM(INDEX(Tabela1[[Wrestling - Men''s Freestyle 57kg]:[Wrestling - Women''s Freestyle 76kg]],MATCH(Table92[[#This Row],[Country]],Tabela1[Country], 0),0))</f>
        <v>0</v>
      </c>
      <c r="AY139" s="6">
        <f>SUM(INDEX(Tabela1[[Alpine Skiing - Men''s Downhill]:[Alpine Skiing - Women''s Team Combined]],MATCH(Table92[[#This Row],[Country]],Tabela1[Country], 0),0))</f>
        <v>0</v>
      </c>
      <c r="AZ139" s="6">
        <f>SUM(INDEX(Tabela1[[Biathlon - Men''s Individual]:[Biathlon - Mixed Relay]],MATCH(Table92[[#This Row],[Country]],Tabela1[Country], 0),0))</f>
        <v>0</v>
      </c>
      <c r="BA139" s="6">
        <f>SUM(INDEX(Tabela1[[Bobsleigh - Women''s Monobob]:[Bobsleigh - Men''s Four]],MATCH(Table92[[#This Row],[Country]],Tabela1[Country], 0),0))</f>
        <v>0</v>
      </c>
      <c r="BB139" s="6">
        <f>SUM(INDEX(Tabela1[[Cross-country skiing - Men''s Classical]:[Cross-country skiing - Women''s Team Sprint]],MATCH(Table92[[#This Row],[Country]],Tabela1[Country], 0),0))</f>
        <v>0</v>
      </c>
      <c r="BC139" s="6">
        <f>SUM(INDEX(Tabela1[[Curling - Men''s Tournament]:[Curling - Mixed Doubles]],MATCH(Table92[[#This Row],[Country]],Tabela1[Country], 0),0))</f>
        <v>0</v>
      </c>
      <c r="BD139" s="6">
        <f>SUM(INDEX(Tabela1[[Figure Skating - Men''s Singles]:[Figure Skating - Team Event]],MATCH(Table92[[#This Row],[Country]],Tabela1[Country], 0),0))</f>
        <v>0</v>
      </c>
      <c r="BE139" s="6">
        <f>SUM(INDEX(Tabela1[[Freestyle Skiing - Men''s Aerials]:[Freestyle Skiing - Women''s Slopestyle]],MATCH(Table92[[#This Row],[Country]],Tabela1[Country], 0),0))</f>
        <v>0</v>
      </c>
      <c r="BF139" s="6">
        <f>SUM(INDEX(Tabela1[[Ice Hockey - Men''s Tournament]:[Ice Hockey - Women''s Tournament]],MATCH(Table92[[#This Row],[Country]],Tabela1[Country], 0),0))</f>
        <v>0</v>
      </c>
      <c r="BG139" s="6">
        <f>SUM(INDEX(Tabela1[[Luge - Men''s Singles]:[Luge - Mixed Team Relay]],MATCH(Table92[[#This Row],[Country]],Tabela1[Country], 0),0))</f>
        <v>0</v>
      </c>
      <c r="BH139" s="6">
        <f>SUM(INDEX(Tabela1[[Nordic Combined - Men''s Individual]:[Nordic Combined - Men''s Team Sprint Large Hill]],MATCH(Table92[[#This Row],[Country]],Tabela1[Country], 0),0))</f>
        <v>0</v>
      </c>
      <c r="BI139" s="6">
        <f>SUM(INDEX(Tabela1[[Short track speed skating - Men''s 500m]:[Short track speed skating - Mixed 2000m Relay]],MATCH(Table92[[#This Row],[Country]],Tabela1[Country], 0),0))</f>
        <v>0</v>
      </c>
      <c r="BJ139" s="6">
        <f>SUM(INDEX(Tabela1[[Skeleton - Men''s Individual]:[Skeleton - Mixed Team]],MATCH(Table92[[#This Row],[Country]],Tabela1[Country], 0),0))</f>
        <v>0</v>
      </c>
      <c r="BK139" s="6">
        <f>SUM(INDEX(Tabela1[[Ski Jumping - Men''s Individual Large Hill]:[Ski Jumping - Mixed Team Normal Hill]],MATCH(Table92[[#This Row],[Country]],Tabela1[Country], 0),0))</f>
        <v>0</v>
      </c>
      <c r="BL139" s="6">
        <f>SUM(INDEX(Tabela1[[Ski Mountaineering - Men''s Sprint]:[Ski Mountaineering - Mixed Relay]],MATCH(Table92[[#This Row],[Country]],Tabela1[Country], 0),0))</f>
        <v>0</v>
      </c>
      <c r="BM139" s="6">
        <f>SUM(INDEX(Tabela1[[Snowboarding - Men''s Big Air]:[Snowboarding - Mixed Team Snowboard Cross]],MATCH(Table92[[#This Row],[Country]],Tabela1[Country], 0),0))</f>
        <v>0</v>
      </c>
      <c r="BN139" s="6">
        <f>SUM(INDEX(Tabela1[[Speed Skating - Men''s 500m]:[Speed Skating - Women''s Team Pursuit]],MATCH(Table92[[#This Row],[Country]],Tabela1[Country], 0),0))</f>
        <v>0</v>
      </c>
      <c r="BO139" s="6" t="str">
        <f>SUBSTITUTE(INDEX(Table92[[#Headers],[Archery Quotas]:[Speed Skating Quotas]], MATCH(MAX(Table92[[#This Row],[Archery Quotas]:[Speed Skating Quotas]]), Table92[[#This Row],[Archery Quotas]:[Speed Skating Quotas]], 0))," Quotas","")</f>
        <v>Swimming</v>
      </c>
      <c r="BP139" s="6">
        <f>SUM(Table92[[#This Row],[Summer Sports]:[Winter Sports]])</f>
        <v>1</v>
      </c>
      <c r="BQ139" s="6">
        <f>COUNTIF(Table92[[#This Row],[Archery Quotas]:[Wrestling Quotas]],"&lt;&gt;0")</f>
        <v>1</v>
      </c>
      <c r="BR139" s="6">
        <f>COUNTIF(Table92[[#This Row],[Alpine Skiing Quotas]:[Speed Skating Quotas]],"&lt;&gt;0")</f>
        <v>0</v>
      </c>
      <c r="BS139" s="3" t="s">
        <v>583</v>
      </c>
    </row>
    <row r="140" spans="1:71" x14ac:dyDescent="0.3">
      <c r="A140" s="6" t="s">
        <v>464</v>
      </c>
      <c r="B140" t="e" vm="145">
        <f>IF(ISBLANK(Table92[[#This Row],[Flag Link]]), "", _xlfn.IMAGE(Table92[[#This Row],[Flag Link]],1,1))</f>
        <v>#VALUE!</v>
      </c>
      <c r="C140" s="6">
        <f>SUM(Table92[[#This Row],[Archery Quotas]:[Speed Skating Quotas]])</f>
        <v>1</v>
      </c>
      <c r="D140" s="6">
        <f>SUM(INDEX(Tabela1[[Archery - Men''s Individual Recurve]:[Archery - Mixed Team Recurve]],MATCH(Table92[[#This Row],[Country]],Tabela1[Country], 0),0))</f>
        <v>0</v>
      </c>
      <c r="E140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40" s="6">
        <f>SUM(INDEX(Tabela1[[Artistic Swimming - Women''s Duet]:[Artistic Swimming - Women''s Team]],MATCH(Table92[[#This Row],[Country]],Tabela1[Country], 0),0))</f>
        <v>0</v>
      </c>
      <c r="G140" s="6">
        <f>SUM(INDEX(Tabela1[[Athletics - Men''s 100m]:[Athletics - Women''s Heptathlon]],MATCH(Table92[[#This Row],[Country]],Tabela1[Country], 0),0))</f>
        <v>0</v>
      </c>
      <c r="H140" s="6">
        <f>SUM(INDEX(Tabela1[[Badminton - Men''s Singles]:[Badminton - Mixed Doubles]],MATCH(Table92[[#This Row],[Country]],Tabela1[Country], 0),0))</f>
        <v>0</v>
      </c>
      <c r="I140" s="6">
        <f>SUM(INDEX(Tabela1[[Basketball - Men''s Tournament]:[Basketball - Women''s Tournament]],MATCH(Table92[[#This Row],[Country]],Tabela1[Country], 0),0))</f>
        <v>0</v>
      </c>
      <c r="J140" s="6">
        <f>SUM(INDEX(Tabela1[[3x3 Basketball - Men''s Tournament]:[3x3 Basketball - Women''s Tournament]],MATCH(Table92[[#This Row],[Country]],Tabela1[Country], 0),0))</f>
        <v>0</v>
      </c>
      <c r="K140" s="6">
        <f>SUM(INDEX(Tabela1[[Beach Volleyball - Men''s Tournament]:[Beach Volleyball - Women''s Tournament]],MATCH(Table92[[#This Row],[Country]],Tabela1[Country], 0),0))</f>
        <v>0</v>
      </c>
      <c r="L140" s="6">
        <f>SUM(INDEX(Tabela1[[Boxing - Men''s 51kg]:[Boxing - Women''s 75kg]],MATCH(Table92[[#This Row],[Country]],Tabela1[Country], 0),0))</f>
        <v>0</v>
      </c>
      <c r="M140" s="6">
        <f>SUM(INDEX(Tabela1[[Breaking - Men''s Individual]:[Breaking - Women''s Individual]],MATCH(Table92[[#This Row],[Country]],Tabela1[Country], 0),0))</f>
        <v>0</v>
      </c>
      <c r="N140" s="6">
        <f>SUM(INDEX(Tabela1[[Canoeing - Men''s C1 Slalom]:[Canoeing - Women''s Kayak Cross Slalom]],MATCH(Table92[[#This Row],[Country]],Tabela1[Country], 0),0))</f>
        <v>0</v>
      </c>
      <c r="O140" s="6">
        <f>SUM(INDEX(Tabela1[[Canoeing - Women''s C1 200m]:[Canoeing - Women''s K4 500m]],MATCH(Table92[[#This Row],[Country]],Tabela1[Country], 0),0))</f>
        <v>0</v>
      </c>
      <c r="P140" s="6">
        <f>SUM(INDEX(Tabela1[[Cycling - Men''s BMX Freestyle]:[Cycling - Women''s BMX Freestyle]],MATCH(Table92[[#This Row],[Country]],Tabela1[Country], 0),0))</f>
        <v>0</v>
      </c>
      <c r="Q140" s="6">
        <f>SUM(INDEX(Tabela1[[Cycling - Men''s BMX Racing]:[Cycling - Women''s BMX Racing]],MATCH(Table92[[#This Row],[Country]],Tabela1[Country], 0),0))</f>
        <v>0</v>
      </c>
      <c r="R140" s="6">
        <f>SUM(INDEX(Tabela1[[Cycling - Men''s Cross-Country]:[Cycling - Women''s Cross-Country]],MATCH(Table92[[#This Row],[Country]],Tabela1[Country], 0),0))</f>
        <v>0</v>
      </c>
      <c r="S140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40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40" s="6">
        <f>SUM(INDEX(Tabela1[[Diving - Men''s Springboard]:[Diving - Women''s Synchronized Platform]],MATCH(Table92[[#This Row],[Country]],Tabela1[Country], 0),0))</f>
        <v>0</v>
      </c>
      <c r="V140" s="6">
        <f>SUM(INDEX(Tabela1[[Equestrian - Individual Dressage]:[Equestrian - Team Dressage]],MATCH(Table92[[#This Row],[Country]],Tabela1[Country], 0),0))</f>
        <v>0</v>
      </c>
      <c r="W140" s="6">
        <f>SUM(INDEX(Tabela1[[Equestrian - Individual Eventing]:[Equestrian - Team Eventing]],MATCH(Table92[[#This Row],[Country]],Tabela1[Country], 0),0))</f>
        <v>0</v>
      </c>
      <c r="X140" s="6">
        <f>SUM(INDEX(Tabela1[[Equestrian - Individual Jumping]:[Equestrian - Team Jumping]],MATCH(Table92[[#This Row],[Country]],Tabela1[Country], 0),0))</f>
        <v>0</v>
      </c>
      <c r="Y140" s="6">
        <f>SUM(INDEX(Tabela1[[Fencing - Men''s Épée]:[Fencing - Women''s Team Sabre]],MATCH(Table92[[#This Row],[Country]],Tabela1[Country], 0),0))</f>
        <v>0</v>
      </c>
      <c r="Z140" s="6">
        <f>SUM(INDEX(Tabela1[[Field Hockey - Men''s Tournament]:[Field Hockey - Women''s Tournament]],MATCH(Table92[[#This Row],[Country]],Tabela1[Country], 0),0))</f>
        <v>0</v>
      </c>
      <c r="AA140" s="6">
        <f>SUM(INDEX(Tabela1[[Football - Men''s Tournament]:[Football - Women''s Tournament]],MATCH(Table92[[#This Row],[Country]],Tabela1[Country], 0),0))</f>
        <v>1</v>
      </c>
      <c r="AB140" s="6">
        <f>SUM(INDEX(Tabela1[[Golf - Men''s Individual]:[Golf - Women''s Individual]],MATCH(Table92[[#This Row],[Country]],Tabela1[Country], 0),0))</f>
        <v>0</v>
      </c>
      <c r="AC140" s="6">
        <f>SUM(INDEX(Tabela1[[Handball - Men''s Tournament]:[Handball - Women''s Tournament]],MATCH(Table92[[#This Row],[Country]],Tabela1[Country], 0),0))</f>
        <v>0</v>
      </c>
      <c r="AD140" s="6">
        <f>SUM(INDEX(Tabela1[[Judo - Men''s 60kg]:[Judo - Mixed Team]],MATCH(Table92[[#This Row],[Country]],Tabela1[Country], 0),0))</f>
        <v>0</v>
      </c>
      <c r="AE140" s="6">
        <f>SUM(INDEX(Tabela1[[Swimming - Men''s 10km Open Water]:[Swimming - Women''s 10km Open Water]],MATCH(Table92[[#This Row],[Country]],Tabela1[Country], 0),0))</f>
        <v>0</v>
      </c>
      <c r="AF140" s="6">
        <f>SUM(INDEX(Tabela1[[Modern Pentathlon - Men''s Individual]:[Modern Pentathlon - Women''s Individual]],MATCH(Table92[[#This Row],[Country]],Tabela1[Country], 0),0))</f>
        <v>0</v>
      </c>
      <c r="AG140" s="6">
        <f>SUM(INDEX(Tabela1[[Rhythmic Gymnastics - Women''s Individual All-Around]:[Rhythmic Gymnastics - Women''s Group All-Around]],MATCH(Table92[[#This Row],[Country]],Tabela1[Country], 0),0))</f>
        <v>0</v>
      </c>
      <c r="AH140" s="6">
        <f>SUM(INDEX(Tabela1[[Rowing - Men''s Single Sculls]:[Rowing - Women''s Lwt. Double Sculls]],MATCH(Table92[[#This Row],[Country]],Tabela1[Country], 0),0))</f>
        <v>0</v>
      </c>
      <c r="AI140" s="6">
        <f>SUM(INDEX(Tabela1[[Rugby Sevens - Men''s Tournament]:[Rugby Sevens - Women''s Tournament]],MATCH(Table92[[#This Row],[Country]],Tabela1[Country], 0),0))</f>
        <v>0</v>
      </c>
      <c r="AJ140" s="6">
        <f>SUM(INDEX(Tabela1[[Sailing - Mixed 470]:[Sailing - Mixed Nacra 17]],MATCH(Table92[[#This Row],[Country]],Tabela1[Country], 0),0))</f>
        <v>0</v>
      </c>
      <c r="AK140" s="6">
        <f>SUM(INDEX(Tabela1[[Shooting - Men''s 10m Air Pistol]:[Shooting - Women''s Trap]],MATCH(Table92[[#This Row],[Country]],Tabela1[Country], 0),0))</f>
        <v>0</v>
      </c>
      <c r="AL140" s="6">
        <f>SUM(INDEX(Tabela1[[Skateboarding - Men''s Park]:[Skateboarding - Women''s Street]],MATCH(Table92[[#This Row],[Country]],Tabela1[Country], 0),0))</f>
        <v>0</v>
      </c>
      <c r="AM140" s="6">
        <f>SUM(INDEX(Tabela1[[Sport Climbing - Men''s Boulder and Lead]:[Sport Climbing - Women''s Speed]],MATCH(Table92[[#This Row],[Country]],Tabela1[Country], 0),0))</f>
        <v>0</v>
      </c>
      <c r="AN140" s="6">
        <f>SUM(INDEX(Tabela1[[Surfing - Men''s Shortboard]:[Surfing - Women''s Shortboard]],MATCH(Table92[[#This Row],[Country]],Tabela1[Country], 0),0))</f>
        <v>0</v>
      </c>
      <c r="AO140" s="6">
        <f>SUM(INDEX(Tabela1[[Swimming - Men''s 50m Freestyle]:[Swimming - Mixed 4x100m Medley Relay]],MATCH(Table92[[#This Row],[Country]],Tabela1[Country], 0),0))</f>
        <v>0</v>
      </c>
      <c r="AP140" s="6">
        <f>SUM(INDEX(Tabela1[[Table Tennis - Men''s Singles]:[Table Tennis - Mixed Doubles]],MATCH(Table92[[#This Row],[Country]],Tabela1[Country], 0),0))</f>
        <v>0</v>
      </c>
      <c r="AQ140" s="6">
        <f>SUM(INDEX(Tabela1[[Taekwondo - Men''s 58kg]:[Taekwondo - Women''s +67kg]],MATCH(Table92[[#This Row],[Country]],Tabela1[Country], 0),0))</f>
        <v>0</v>
      </c>
      <c r="AR140" s="6">
        <f>SUM(INDEX(Tabela1[[Tennis - Men''s Singles]:[Tennis - Mixed Doubles]],MATCH(Table92[[#This Row],[Country]],Tabela1[Country], 0),0))</f>
        <v>0</v>
      </c>
      <c r="AS140" s="6">
        <f>SUM(INDEX(Tabela1[[Gymnastics - Men''s Trampoline]:[Gymnastics - Women''s Trampoline]],MATCH(Table92[[#This Row],[Country]],Tabela1[Country], 0),0))</f>
        <v>0</v>
      </c>
      <c r="AT140" s="6">
        <f>SUM(INDEX(Tabela1[[Triathlon - Men''s Individual]:[Triathlon - Mixed Relay]],MATCH(Table92[[#This Row],[Country]],Tabela1[Country], 0),0))</f>
        <v>0</v>
      </c>
      <c r="AU140" s="6">
        <f>SUM(INDEX(Tabela1[[Volleyball - Men''s Tournament]:[Volleyball - Women''s Tournament]],MATCH(Table92[[#This Row],[Country]],Tabela1[Country], 0),0))</f>
        <v>0</v>
      </c>
      <c r="AV140" s="6">
        <f>SUM(INDEX(Tabela1[[Water Polo - Men''s Tournament]:[Water Polo - Women''s Tournament]],MATCH(Table92[[#This Row],[Country]],Tabela1[Country], 0),0))</f>
        <v>0</v>
      </c>
      <c r="AW140" s="6">
        <f>SUM(INDEX(Tabela1[[Weightlifting - Men''s 61kg]:[Weightlifting - Women''s +81kg]],MATCH(Table92[[#This Row],[Country]],Tabela1[Country], 0),0))</f>
        <v>0</v>
      </c>
      <c r="AX140" s="6">
        <f>SUM(INDEX(Tabela1[[Wrestling - Men''s Freestyle 57kg]:[Wrestling - Women''s Freestyle 76kg]],MATCH(Table92[[#This Row],[Country]],Tabela1[Country], 0),0))</f>
        <v>0</v>
      </c>
      <c r="AY140" s="6">
        <f>SUM(INDEX(Tabela1[[Alpine Skiing - Men''s Downhill]:[Alpine Skiing - Women''s Team Combined]],MATCH(Table92[[#This Row],[Country]],Tabela1[Country], 0),0))</f>
        <v>0</v>
      </c>
      <c r="AZ140" s="6">
        <f>SUM(INDEX(Tabela1[[Biathlon - Men''s Individual]:[Biathlon - Mixed Relay]],MATCH(Table92[[#This Row],[Country]],Tabela1[Country], 0),0))</f>
        <v>0</v>
      </c>
      <c r="BA140" s="6">
        <f>SUM(INDEX(Tabela1[[Bobsleigh - Women''s Monobob]:[Bobsleigh - Men''s Four]],MATCH(Table92[[#This Row],[Country]],Tabela1[Country], 0),0))</f>
        <v>0</v>
      </c>
      <c r="BB140" s="6">
        <f>SUM(INDEX(Tabela1[[Cross-country skiing - Men''s Classical]:[Cross-country skiing - Women''s Team Sprint]],MATCH(Table92[[#This Row],[Country]],Tabela1[Country], 0),0))</f>
        <v>0</v>
      </c>
      <c r="BC140" s="6">
        <f>SUM(INDEX(Tabela1[[Curling - Men''s Tournament]:[Curling - Mixed Doubles]],MATCH(Table92[[#This Row],[Country]],Tabela1[Country], 0),0))</f>
        <v>0</v>
      </c>
      <c r="BD140" s="6">
        <f>SUM(INDEX(Tabela1[[Figure Skating - Men''s Singles]:[Figure Skating - Team Event]],MATCH(Table92[[#This Row],[Country]],Tabela1[Country], 0),0))</f>
        <v>0</v>
      </c>
      <c r="BE140" s="6">
        <f>SUM(INDEX(Tabela1[[Freestyle Skiing - Men''s Aerials]:[Freestyle Skiing - Women''s Slopestyle]],MATCH(Table92[[#This Row],[Country]],Tabela1[Country], 0),0))</f>
        <v>0</v>
      </c>
      <c r="BF140" s="6">
        <f>SUM(INDEX(Tabela1[[Ice Hockey - Men''s Tournament]:[Ice Hockey - Women''s Tournament]],MATCH(Table92[[#This Row],[Country]],Tabela1[Country], 0),0))</f>
        <v>0</v>
      </c>
      <c r="BG140" s="6">
        <f>SUM(INDEX(Tabela1[[Luge - Men''s Singles]:[Luge - Mixed Team Relay]],MATCH(Table92[[#This Row],[Country]],Tabela1[Country], 0),0))</f>
        <v>0</v>
      </c>
      <c r="BH140" s="6">
        <f>SUM(INDEX(Tabela1[[Nordic Combined - Men''s Individual]:[Nordic Combined - Men''s Team Sprint Large Hill]],MATCH(Table92[[#This Row],[Country]],Tabela1[Country], 0),0))</f>
        <v>0</v>
      </c>
      <c r="BI140" s="6">
        <f>SUM(INDEX(Tabela1[[Short track speed skating - Men''s 500m]:[Short track speed skating - Mixed 2000m Relay]],MATCH(Table92[[#This Row],[Country]],Tabela1[Country], 0),0))</f>
        <v>0</v>
      </c>
      <c r="BJ140" s="6">
        <f>SUM(INDEX(Tabela1[[Skeleton - Men''s Individual]:[Skeleton - Mixed Team]],MATCH(Table92[[#This Row],[Country]],Tabela1[Country], 0),0))</f>
        <v>0</v>
      </c>
      <c r="BK140" s="6">
        <f>SUM(INDEX(Tabela1[[Ski Jumping - Men''s Individual Large Hill]:[Ski Jumping - Mixed Team Normal Hill]],MATCH(Table92[[#This Row],[Country]],Tabela1[Country], 0),0))</f>
        <v>0</v>
      </c>
      <c r="BL140" s="6">
        <f>SUM(INDEX(Tabela1[[Ski Mountaineering - Men''s Sprint]:[Ski Mountaineering - Mixed Relay]],MATCH(Table92[[#This Row],[Country]],Tabela1[Country], 0),0))</f>
        <v>0</v>
      </c>
      <c r="BM140" s="6">
        <f>SUM(INDEX(Tabela1[[Snowboarding - Men''s Big Air]:[Snowboarding - Mixed Team Snowboard Cross]],MATCH(Table92[[#This Row],[Country]],Tabela1[Country], 0),0))</f>
        <v>0</v>
      </c>
      <c r="BN140" s="6">
        <f>SUM(INDEX(Tabela1[[Speed Skating - Men''s 500m]:[Speed Skating - Women''s Team Pursuit]],MATCH(Table92[[#This Row],[Country]],Tabela1[Country], 0),0))</f>
        <v>0</v>
      </c>
      <c r="BO140" s="6" t="str">
        <f>SUBSTITUTE(INDEX(Table92[[#Headers],[Archery Quotas]:[Speed Skating Quotas]], MATCH(MAX(Table92[[#This Row],[Archery Quotas]:[Speed Skating Quotas]]), Table92[[#This Row],[Archery Quotas]:[Speed Skating Quotas]], 0))," Quotas","")</f>
        <v>Football</v>
      </c>
      <c r="BP140" s="6">
        <f>SUM(Table92[[#This Row],[Summer Sports]:[Winter Sports]])</f>
        <v>1</v>
      </c>
      <c r="BQ140" s="6">
        <f>COUNTIF(Table92[[#This Row],[Archery Quotas]:[Wrestling Quotas]],"&lt;&gt;0")</f>
        <v>1</v>
      </c>
      <c r="BR140" s="6">
        <f>COUNTIF(Table92[[#This Row],[Alpine Skiing Quotas]:[Speed Skating Quotas]],"&lt;&gt;0")</f>
        <v>0</v>
      </c>
      <c r="BS140" s="4" t="s">
        <v>465</v>
      </c>
    </row>
    <row r="141" spans="1:71" x14ac:dyDescent="0.3">
      <c r="A141" s="6" t="s">
        <v>626</v>
      </c>
      <c r="B141" t="e" vm="137">
        <f>IF(ISBLANK(Table92[[#This Row],[Flag Link]]), "", _xlfn.IMAGE(Table92[[#This Row],[Flag Link]],1,1))</f>
        <v>#VALUE!</v>
      </c>
      <c r="C141" s="6">
        <f>SUM(Table92[[#This Row],[Archery Quotas]:[Speed Skating Quotas]])</f>
        <v>1</v>
      </c>
      <c r="D141" s="6">
        <f>SUM(INDEX(Tabela1[[Archery - Men''s Individual Recurve]:[Archery - Mixed Team Recurve]],MATCH(Table92[[#This Row],[Country]],Tabela1[Country], 0),0))</f>
        <v>0</v>
      </c>
      <c r="E141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41" s="6">
        <f>SUM(INDEX(Tabela1[[Artistic Swimming - Women''s Duet]:[Artistic Swimming - Women''s Team]],MATCH(Table92[[#This Row],[Country]],Tabela1[Country], 0),0))</f>
        <v>0</v>
      </c>
      <c r="G141" s="6">
        <f>SUM(INDEX(Tabela1[[Athletics - Men''s 100m]:[Athletics - Women''s Heptathlon]],MATCH(Table92[[#This Row],[Country]],Tabela1[Country], 0),0))</f>
        <v>0</v>
      </c>
      <c r="H141" s="6">
        <f>SUM(INDEX(Tabela1[[Badminton - Men''s Singles]:[Badminton - Mixed Doubles]],MATCH(Table92[[#This Row],[Country]],Tabela1[Country], 0),0))</f>
        <v>0</v>
      </c>
      <c r="I141" s="6">
        <f>SUM(INDEX(Tabela1[[Basketball - Men''s Tournament]:[Basketball - Women''s Tournament]],MATCH(Table92[[#This Row],[Country]],Tabela1[Country], 0),0))</f>
        <v>0</v>
      </c>
      <c r="J141" s="6">
        <f>SUM(INDEX(Tabela1[[3x3 Basketball - Men''s Tournament]:[3x3 Basketball - Women''s Tournament]],MATCH(Table92[[#This Row],[Country]],Tabela1[Country], 0),0))</f>
        <v>0</v>
      </c>
      <c r="K141" s="6">
        <f>SUM(INDEX(Tabela1[[Beach Volleyball - Men''s Tournament]:[Beach Volleyball - Women''s Tournament]],MATCH(Table92[[#This Row],[Country]],Tabela1[Country], 0),0))</f>
        <v>0</v>
      </c>
      <c r="L141" s="6">
        <f>SUM(INDEX(Tabela1[[Boxing - Men''s 51kg]:[Boxing - Women''s 75kg]],MATCH(Table92[[#This Row],[Country]],Tabela1[Country], 0),0))</f>
        <v>0</v>
      </c>
      <c r="M141" s="6">
        <f>SUM(INDEX(Tabela1[[Breaking - Men''s Individual]:[Breaking - Women''s Individual]],MATCH(Table92[[#This Row],[Country]],Tabela1[Country], 0),0))</f>
        <v>0</v>
      </c>
      <c r="N141" s="6">
        <f>SUM(INDEX(Tabela1[[Canoeing - Men''s C1 Slalom]:[Canoeing - Women''s Kayak Cross Slalom]],MATCH(Table92[[#This Row],[Country]],Tabela1[Country], 0),0))</f>
        <v>0</v>
      </c>
      <c r="O141" s="6">
        <f>SUM(INDEX(Tabela1[[Canoeing - Women''s C1 200m]:[Canoeing - Women''s K4 500m]],MATCH(Table92[[#This Row],[Country]],Tabela1[Country], 0),0))</f>
        <v>0</v>
      </c>
      <c r="P141" s="6">
        <f>SUM(INDEX(Tabela1[[Cycling - Men''s BMX Freestyle]:[Cycling - Women''s BMX Freestyle]],MATCH(Table92[[#This Row],[Country]],Tabela1[Country], 0),0))</f>
        <v>0</v>
      </c>
      <c r="Q141" s="6">
        <f>SUM(INDEX(Tabela1[[Cycling - Men''s BMX Racing]:[Cycling - Women''s BMX Racing]],MATCH(Table92[[#This Row],[Country]],Tabela1[Country], 0),0))</f>
        <v>0</v>
      </c>
      <c r="R141" s="6">
        <f>SUM(INDEX(Tabela1[[Cycling - Men''s Cross-Country]:[Cycling - Women''s Cross-Country]],MATCH(Table92[[#This Row],[Country]],Tabela1[Country], 0),0))</f>
        <v>0</v>
      </c>
      <c r="S141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41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41" s="6">
        <f>SUM(INDEX(Tabela1[[Diving - Men''s Springboard]:[Diving - Women''s Synchronized Platform]],MATCH(Table92[[#This Row],[Country]],Tabela1[Country], 0),0))</f>
        <v>0</v>
      </c>
      <c r="V141" s="6">
        <f>SUM(INDEX(Tabela1[[Equestrian - Individual Dressage]:[Equestrian - Team Dressage]],MATCH(Table92[[#This Row],[Country]],Tabela1[Country], 0),0))</f>
        <v>0</v>
      </c>
      <c r="W141" s="6">
        <f>SUM(INDEX(Tabela1[[Equestrian - Individual Eventing]:[Equestrian - Team Eventing]],MATCH(Table92[[#This Row],[Country]],Tabela1[Country], 0),0))</f>
        <v>0</v>
      </c>
      <c r="X141" s="6">
        <f>SUM(INDEX(Tabela1[[Equestrian - Individual Jumping]:[Equestrian - Team Jumping]],MATCH(Table92[[#This Row],[Country]],Tabela1[Country], 0),0))</f>
        <v>0</v>
      </c>
      <c r="Y141" s="6">
        <f>SUM(INDEX(Tabela1[[Fencing - Men''s Épée]:[Fencing - Women''s Team Sabre]],MATCH(Table92[[#This Row],[Country]],Tabela1[Country], 0),0))</f>
        <v>0</v>
      </c>
      <c r="Z141" s="6">
        <f>SUM(INDEX(Tabela1[[Field Hockey - Men''s Tournament]:[Field Hockey - Women''s Tournament]],MATCH(Table92[[#This Row],[Country]],Tabela1[Country], 0),0))</f>
        <v>0</v>
      </c>
      <c r="AA141" s="6">
        <f>SUM(INDEX(Tabela1[[Football - Men''s Tournament]:[Football - Women''s Tournament]],MATCH(Table92[[#This Row],[Country]],Tabela1[Country], 0),0))</f>
        <v>0</v>
      </c>
      <c r="AB141" s="6">
        <f>SUM(INDEX(Tabela1[[Golf - Men''s Individual]:[Golf - Women''s Individual]],MATCH(Table92[[#This Row],[Country]],Tabela1[Country], 0),0))</f>
        <v>0</v>
      </c>
      <c r="AC141" s="6">
        <f>SUM(INDEX(Tabela1[[Handball - Men''s Tournament]:[Handball - Women''s Tournament]],MATCH(Table92[[#This Row],[Country]],Tabela1[Country], 0),0))</f>
        <v>0</v>
      </c>
      <c r="AD141" s="6">
        <f>SUM(INDEX(Tabela1[[Judo - Men''s 60kg]:[Judo - Mixed Team]],MATCH(Table92[[#This Row],[Country]],Tabela1[Country], 0),0))</f>
        <v>0</v>
      </c>
      <c r="AE141" s="6">
        <f>SUM(INDEX(Tabela1[[Swimming - Men''s 10km Open Water]:[Swimming - Women''s 10km Open Water]],MATCH(Table92[[#This Row],[Country]],Tabela1[Country], 0),0))</f>
        <v>0</v>
      </c>
      <c r="AF141" s="6">
        <f>SUM(INDEX(Tabela1[[Modern Pentathlon - Men''s Individual]:[Modern Pentathlon - Women''s Individual]],MATCH(Table92[[#This Row],[Country]],Tabela1[Country], 0),0))</f>
        <v>0</v>
      </c>
      <c r="AG141" s="6">
        <f>SUM(INDEX(Tabela1[[Rhythmic Gymnastics - Women''s Individual All-Around]:[Rhythmic Gymnastics - Women''s Group All-Around]],MATCH(Table92[[#This Row],[Country]],Tabela1[Country], 0),0))</f>
        <v>0</v>
      </c>
      <c r="AH141" s="6">
        <f>SUM(INDEX(Tabela1[[Rowing - Men''s Single Sculls]:[Rowing - Women''s Lwt. Double Sculls]],MATCH(Table92[[#This Row],[Country]],Tabela1[Country], 0),0))</f>
        <v>0</v>
      </c>
      <c r="AI141" s="6">
        <f>SUM(INDEX(Tabela1[[Rugby Sevens - Men''s Tournament]:[Rugby Sevens - Women''s Tournament]],MATCH(Table92[[#This Row],[Country]],Tabela1[Country], 0),0))</f>
        <v>0</v>
      </c>
      <c r="AJ141" s="6">
        <f>SUM(INDEX(Tabela1[[Sailing - Mixed 470]:[Sailing - Mixed Nacra 17]],MATCH(Table92[[#This Row],[Country]],Tabela1[Country], 0),0))</f>
        <v>0</v>
      </c>
      <c r="AK141" s="6">
        <f>SUM(INDEX(Tabela1[[Shooting - Men''s 10m Air Pistol]:[Shooting - Women''s Trap]],MATCH(Table92[[#This Row],[Country]],Tabela1[Country], 0),0))</f>
        <v>0</v>
      </c>
      <c r="AL141" s="6">
        <f>SUM(INDEX(Tabela1[[Skateboarding - Men''s Park]:[Skateboarding - Women''s Street]],MATCH(Table92[[#This Row],[Country]],Tabela1[Country], 0),0))</f>
        <v>0</v>
      </c>
      <c r="AM141" s="6">
        <f>SUM(INDEX(Tabela1[[Sport Climbing - Men''s Boulder and Lead]:[Sport Climbing - Women''s Speed]],MATCH(Table92[[#This Row],[Country]],Tabela1[Country], 0),0))</f>
        <v>0</v>
      </c>
      <c r="AN141" s="6">
        <f>SUM(INDEX(Tabela1[[Surfing - Men''s Shortboard]:[Surfing - Women''s Shortboard]],MATCH(Table92[[#This Row],[Country]],Tabela1[Country], 0),0))</f>
        <v>0</v>
      </c>
      <c r="AO141" s="6">
        <f>SUM(INDEX(Tabela1[[Swimming - Men''s 50m Freestyle]:[Swimming - Mixed 4x100m Medley Relay]],MATCH(Table92[[#This Row],[Country]],Tabela1[Country], 0),0))</f>
        <v>0</v>
      </c>
      <c r="AP141" s="6">
        <f>SUM(INDEX(Tabela1[[Table Tennis - Men''s Singles]:[Table Tennis - Mixed Doubles]],MATCH(Table92[[#This Row],[Country]],Tabela1[Country], 0),0))</f>
        <v>0</v>
      </c>
      <c r="AQ141" s="6">
        <f>SUM(INDEX(Tabela1[[Taekwondo - Men''s 58kg]:[Taekwondo - Women''s +67kg]],MATCH(Table92[[#This Row],[Country]],Tabela1[Country], 0),0))</f>
        <v>0</v>
      </c>
      <c r="AR141" s="6">
        <f>SUM(INDEX(Tabela1[[Tennis - Men''s Singles]:[Tennis - Mixed Doubles]],MATCH(Table92[[#This Row],[Country]],Tabela1[Country], 0),0))</f>
        <v>0</v>
      </c>
      <c r="AS141" s="6">
        <f>SUM(INDEX(Tabela1[[Gymnastics - Men''s Trampoline]:[Gymnastics - Women''s Trampoline]],MATCH(Table92[[#This Row],[Country]],Tabela1[Country], 0),0))</f>
        <v>0</v>
      </c>
      <c r="AT141" s="6">
        <f>SUM(INDEX(Tabela1[[Triathlon - Men''s Individual]:[Triathlon - Mixed Relay]],MATCH(Table92[[#This Row],[Country]],Tabela1[Country], 0),0))</f>
        <v>0</v>
      </c>
      <c r="AU141" s="6">
        <f>SUM(INDEX(Tabela1[[Volleyball - Men''s Tournament]:[Volleyball - Women''s Tournament]],MATCH(Table92[[#This Row],[Country]],Tabela1[Country], 0),0))</f>
        <v>0</v>
      </c>
      <c r="AV141" s="6">
        <f>SUM(INDEX(Tabela1[[Water Polo - Men''s Tournament]:[Water Polo - Women''s Tournament]],MATCH(Table92[[#This Row],[Country]],Tabela1[Country], 0),0))</f>
        <v>0</v>
      </c>
      <c r="AW141" s="6">
        <f>SUM(INDEX(Tabela1[[Weightlifting - Men''s 61kg]:[Weightlifting - Women''s +81kg]],MATCH(Table92[[#This Row],[Country]],Tabela1[Country], 0),0))</f>
        <v>0</v>
      </c>
      <c r="AX141" s="6">
        <f>SUM(INDEX(Tabela1[[Wrestling - Men''s Freestyle 57kg]:[Wrestling - Women''s Freestyle 76kg]],MATCH(Table92[[#This Row],[Country]],Tabela1[Country], 0),0))</f>
        <v>0</v>
      </c>
      <c r="AY141" s="6">
        <f>SUM(INDEX(Tabela1[[Alpine Skiing - Men''s Downhill]:[Alpine Skiing - Women''s Team Combined]],MATCH(Table92[[#This Row],[Country]],Tabela1[Country], 0),0))</f>
        <v>1</v>
      </c>
      <c r="AZ141" s="6">
        <f>SUM(INDEX(Tabela1[[Biathlon - Men''s Individual]:[Biathlon - Mixed Relay]],MATCH(Table92[[#This Row],[Country]],Tabela1[Country], 0),0))</f>
        <v>0</v>
      </c>
      <c r="BA141" s="6">
        <f>SUM(INDEX(Tabela1[[Bobsleigh - Women''s Monobob]:[Bobsleigh - Men''s Four]],MATCH(Table92[[#This Row],[Country]],Tabela1[Country], 0),0))</f>
        <v>0</v>
      </c>
      <c r="BB141" s="6">
        <f>SUM(INDEX(Tabela1[[Cross-country skiing - Men''s Classical]:[Cross-country skiing - Women''s Team Sprint]],MATCH(Table92[[#This Row],[Country]],Tabela1[Country], 0),0))</f>
        <v>0</v>
      </c>
      <c r="BC141" s="6">
        <f>SUM(INDEX(Tabela1[[Curling - Men''s Tournament]:[Curling - Mixed Doubles]],MATCH(Table92[[#This Row],[Country]],Tabela1[Country], 0),0))</f>
        <v>0</v>
      </c>
      <c r="BD141" s="6">
        <f>SUM(INDEX(Tabela1[[Figure Skating - Men''s Singles]:[Figure Skating - Team Event]],MATCH(Table92[[#This Row],[Country]],Tabela1[Country], 0),0))</f>
        <v>0</v>
      </c>
      <c r="BE141" s="6">
        <f>SUM(INDEX(Tabela1[[Freestyle Skiing - Men''s Aerials]:[Freestyle Skiing - Women''s Slopestyle]],MATCH(Table92[[#This Row],[Country]],Tabela1[Country], 0),0))</f>
        <v>0</v>
      </c>
      <c r="BF141" s="6">
        <f>SUM(INDEX(Tabela1[[Ice Hockey - Men''s Tournament]:[Ice Hockey - Women''s Tournament]],MATCH(Table92[[#This Row],[Country]],Tabela1[Country], 0),0))</f>
        <v>0</v>
      </c>
      <c r="BG141" s="6">
        <f>SUM(INDEX(Tabela1[[Luge - Men''s Singles]:[Luge - Mixed Team Relay]],MATCH(Table92[[#This Row],[Country]],Tabela1[Country], 0),0))</f>
        <v>0</v>
      </c>
      <c r="BH141" s="6">
        <f>SUM(INDEX(Tabela1[[Nordic Combined - Men''s Individual]:[Nordic Combined - Men''s Team Sprint Large Hill]],MATCH(Table92[[#This Row],[Country]],Tabela1[Country], 0),0))</f>
        <v>0</v>
      </c>
      <c r="BI141" s="6">
        <f>SUM(INDEX(Tabela1[[Short track speed skating - Men''s 500m]:[Short track speed skating - Mixed 2000m Relay]],MATCH(Table92[[#This Row],[Country]],Tabela1[Country], 0),0))</f>
        <v>0</v>
      </c>
      <c r="BJ141" s="6">
        <f>SUM(INDEX(Tabela1[[Skeleton - Men''s Individual]:[Skeleton - Mixed Team]],MATCH(Table92[[#This Row],[Country]],Tabela1[Country], 0),0))</f>
        <v>0</v>
      </c>
      <c r="BK141" s="6">
        <f>SUM(INDEX(Tabela1[[Ski Jumping - Men''s Individual Large Hill]:[Ski Jumping - Mixed Team Normal Hill]],MATCH(Table92[[#This Row],[Country]],Tabela1[Country], 0),0))</f>
        <v>0</v>
      </c>
      <c r="BL141" s="6">
        <f>SUM(INDEX(Tabela1[[Ski Mountaineering - Men''s Sprint]:[Ski Mountaineering - Mixed Relay]],MATCH(Table92[[#This Row],[Country]],Tabela1[Country], 0),0))</f>
        <v>0</v>
      </c>
      <c r="BM141" s="6">
        <f>SUM(INDEX(Tabela1[[Snowboarding - Men''s Big Air]:[Snowboarding - Mixed Team Snowboard Cross]],MATCH(Table92[[#This Row],[Country]],Tabela1[Country], 0),0))</f>
        <v>0</v>
      </c>
      <c r="BN141" s="6">
        <f>SUM(INDEX(Tabela1[[Speed Skating - Men''s 500m]:[Speed Skating - Women''s Team Pursuit]],MATCH(Table92[[#This Row],[Country]],Tabela1[Country], 0),0))</f>
        <v>0</v>
      </c>
      <c r="BO141" s="6" t="str">
        <f>SUBSTITUTE(INDEX(Table92[[#Headers],[Archery Quotas]:[Speed Skating Quotas]], MATCH(MAX(Table92[[#This Row],[Archery Quotas]:[Speed Skating Quotas]]), Table92[[#This Row],[Archery Quotas]:[Speed Skating Quotas]], 0))," Quotas","")</f>
        <v>Alpine Skiing</v>
      </c>
      <c r="BP141" s="6">
        <f>SUM(Table92[[#This Row],[Summer Sports]:[Winter Sports]])</f>
        <v>1</v>
      </c>
      <c r="BQ141" s="6">
        <f>COUNTIF(Table92[[#This Row],[Archery Quotas]:[Wrestling Quotas]],"&lt;&gt;0")</f>
        <v>0</v>
      </c>
      <c r="BR141" s="6">
        <f>COUNTIF(Table92[[#This Row],[Alpine Skiing Quotas]:[Speed Skating Quotas]],"&lt;&gt;0")</f>
        <v>1</v>
      </c>
      <c r="BS141" s="3" t="s">
        <v>627</v>
      </c>
    </row>
    <row r="142" spans="1:71" x14ac:dyDescent="0.3">
      <c r="A142" s="6" t="s">
        <v>486</v>
      </c>
      <c r="B142" t="e" vm="140">
        <f>IF(ISBLANK(Table92[[#This Row],[Flag Link]]), "", _xlfn.IMAGE(Table92[[#This Row],[Flag Link]],1,1))</f>
        <v>#VALUE!</v>
      </c>
      <c r="C142" s="6">
        <f>SUM(Table92[[#This Row],[Archery Quotas]:[Speed Skating Quotas]])</f>
        <v>1</v>
      </c>
      <c r="D142" s="6">
        <f>SUM(INDEX(Tabela1[[Archery - Men''s Individual Recurve]:[Archery - Mixed Team Recurve]],MATCH(Table92[[#This Row],[Country]],Tabela1[Country], 0),0))</f>
        <v>0</v>
      </c>
      <c r="E142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42" s="6">
        <f>SUM(INDEX(Tabela1[[Artistic Swimming - Women''s Duet]:[Artistic Swimming - Women''s Team]],MATCH(Table92[[#This Row],[Country]],Tabela1[Country], 0),0))</f>
        <v>0</v>
      </c>
      <c r="G142" s="6">
        <f>SUM(INDEX(Tabela1[[Athletics - Men''s 100m]:[Athletics - Women''s Heptathlon]],MATCH(Table92[[#This Row],[Country]],Tabela1[Country], 0),0))</f>
        <v>0</v>
      </c>
      <c r="H142" s="6">
        <f>SUM(INDEX(Tabela1[[Badminton - Men''s Singles]:[Badminton - Mixed Doubles]],MATCH(Table92[[#This Row],[Country]],Tabela1[Country], 0),0))</f>
        <v>0</v>
      </c>
      <c r="I142" s="6">
        <f>SUM(INDEX(Tabela1[[Basketball - Men''s Tournament]:[Basketball - Women''s Tournament]],MATCH(Table92[[#This Row],[Country]],Tabela1[Country], 0),0))</f>
        <v>0</v>
      </c>
      <c r="J142" s="6">
        <f>SUM(INDEX(Tabela1[[3x3 Basketball - Men''s Tournament]:[3x3 Basketball - Women''s Tournament]],MATCH(Table92[[#This Row],[Country]],Tabela1[Country], 0),0))</f>
        <v>0</v>
      </c>
      <c r="K142" s="6">
        <f>SUM(INDEX(Tabela1[[Beach Volleyball - Men''s Tournament]:[Beach Volleyball - Women''s Tournament]],MATCH(Table92[[#This Row],[Country]],Tabela1[Country], 0),0))</f>
        <v>0</v>
      </c>
      <c r="L142" s="6">
        <f>SUM(INDEX(Tabela1[[Boxing - Men''s 51kg]:[Boxing - Women''s 75kg]],MATCH(Table92[[#This Row],[Country]],Tabela1[Country], 0),0))</f>
        <v>0</v>
      </c>
      <c r="M142" s="6">
        <f>SUM(INDEX(Tabela1[[Breaking - Men''s Individual]:[Breaking - Women''s Individual]],MATCH(Table92[[#This Row],[Country]],Tabela1[Country], 0),0))</f>
        <v>0</v>
      </c>
      <c r="N142" s="6">
        <f>SUM(INDEX(Tabela1[[Canoeing - Men''s C1 Slalom]:[Canoeing - Women''s Kayak Cross Slalom]],MATCH(Table92[[#This Row],[Country]],Tabela1[Country], 0),0))</f>
        <v>0</v>
      </c>
      <c r="O142" s="6">
        <f>SUM(INDEX(Tabela1[[Canoeing - Women''s C1 200m]:[Canoeing - Women''s K4 500m]],MATCH(Table92[[#This Row],[Country]],Tabela1[Country], 0),0))</f>
        <v>0</v>
      </c>
      <c r="P142" s="6">
        <f>SUM(INDEX(Tabela1[[Cycling - Men''s BMX Freestyle]:[Cycling - Women''s BMX Freestyle]],MATCH(Table92[[#This Row],[Country]],Tabela1[Country], 0),0))</f>
        <v>0</v>
      </c>
      <c r="Q142" s="6">
        <f>SUM(INDEX(Tabela1[[Cycling - Men''s BMX Racing]:[Cycling - Women''s BMX Racing]],MATCH(Table92[[#This Row],[Country]],Tabela1[Country], 0),0))</f>
        <v>0</v>
      </c>
      <c r="R142" s="6">
        <f>SUM(INDEX(Tabela1[[Cycling - Men''s Cross-Country]:[Cycling - Women''s Cross-Country]],MATCH(Table92[[#This Row],[Country]],Tabela1[Country], 0),0))</f>
        <v>0</v>
      </c>
      <c r="S142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42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42" s="6">
        <f>SUM(INDEX(Tabela1[[Diving - Men''s Springboard]:[Diving - Women''s Synchronized Platform]],MATCH(Table92[[#This Row],[Country]],Tabela1[Country], 0),0))</f>
        <v>0</v>
      </c>
      <c r="V142" s="6">
        <f>SUM(INDEX(Tabela1[[Equestrian - Individual Dressage]:[Equestrian - Team Dressage]],MATCH(Table92[[#This Row],[Country]],Tabela1[Country], 0),0))</f>
        <v>0</v>
      </c>
      <c r="W142" s="6">
        <f>SUM(INDEX(Tabela1[[Equestrian - Individual Eventing]:[Equestrian - Team Eventing]],MATCH(Table92[[#This Row],[Country]],Tabela1[Country], 0),0))</f>
        <v>0</v>
      </c>
      <c r="X142" s="6">
        <f>SUM(INDEX(Tabela1[[Equestrian - Individual Jumping]:[Equestrian - Team Jumping]],MATCH(Table92[[#This Row],[Country]],Tabela1[Country], 0),0))</f>
        <v>0</v>
      </c>
      <c r="Y142" s="6">
        <f>SUM(INDEX(Tabela1[[Fencing - Men''s Épée]:[Fencing - Women''s Team Sabre]],MATCH(Table92[[#This Row],[Country]],Tabela1[Country], 0),0))</f>
        <v>0</v>
      </c>
      <c r="Z142" s="6">
        <f>SUM(INDEX(Tabela1[[Field Hockey - Men''s Tournament]:[Field Hockey - Women''s Tournament]],MATCH(Table92[[#This Row],[Country]],Tabela1[Country], 0),0))</f>
        <v>0</v>
      </c>
      <c r="AA142" s="6">
        <f>SUM(INDEX(Tabela1[[Football - Men''s Tournament]:[Football - Women''s Tournament]],MATCH(Table92[[#This Row],[Country]],Tabela1[Country], 0),0))</f>
        <v>0</v>
      </c>
      <c r="AB142" s="6">
        <f>SUM(INDEX(Tabela1[[Golf - Men''s Individual]:[Golf - Women''s Individual]],MATCH(Table92[[#This Row],[Country]],Tabela1[Country], 0),0))</f>
        <v>0</v>
      </c>
      <c r="AC142" s="6">
        <f>SUM(INDEX(Tabela1[[Handball - Men''s Tournament]:[Handball - Women''s Tournament]],MATCH(Table92[[#This Row],[Country]],Tabela1[Country], 0),0))</f>
        <v>0</v>
      </c>
      <c r="AD142" s="6">
        <f>SUM(INDEX(Tabela1[[Judo - Men''s 60kg]:[Judo - Mixed Team]],MATCH(Table92[[#This Row],[Country]],Tabela1[Country], 0),0))</f>
        <v>0</v>
      </c>
      <c r="AE142" s="6">
        <f>SUM(INDEX(Tabela1[[Swimming - Men''s 10km Open Water]:[Swimming - Women''s 10km Open Water]],MATCH(Table92[[#This Row],[Country]],Tabela1[Country], 0),0))</f>
        <v>0</v>
      </c>
      <c r="AF142" s="6">
        <f>SUM(INDEX(Tabela1[[Modern Pentathlon - Men''s Individual]:[Modern Pentathlon - Women''s Individual]],MATCH(Table92[[#This Row],[Country]],Tabela1[Country], 0),0))</f>
        <v>0</v>
      </c>
      <c r="AG142" s="6">
        <f>SUM(INDEX(Tabela1[[Rhythmic Gymnastics - Women''s Individual All-Around]:[Rhythmic Gymnastics - Women''s Group All-Around]],MATCH(Table92[[#This Row],[Country]],Tabela1[Country], 0),0))</f>
        <v>0</v>
      </c>
      <c r="AH142" s="6">
        <f>SUM(INDEX(Tabela1[[Rowing - Men''s Single Sculls]:[Rowing - Women''s Lwt. Double Sculls]],MATCH(Table92[[#This Row],[Country]],Tabela1[Country], 0),0))</f>
        <v>0</v>
      </c>
      <c r="AI142" s="6">
        <f>SUM(INDEX(Tabela1[[Rugby Sevens - Men''s Tournament]:[Rugby Sevens - Women''s Tournament]],MATCH(Table92[[#This Row],[Country]],Tabela1[Country], 0),0))</f>
        <v>0</v>
      </c>
      <c r="AJ142" s="6">
        <f>SUM(INDEX(Tabela1[[Sailing - Mixed 470]:[Sailing - Mixed Nacra 17]],MATCH(Table92[[#This Row],[Country]],Tabela1[Country], 0),0))</f>
        <v>0</v>
      </c>
      <c r="AK142" s="6">
        <f>SUM(INDEX(Tabela1[[Shooting - Men''s 10m Air Pistol]:[Shooting - Women''s Trap]],MATCH(Table92[[#This Row],[Country]],Tabela1[Country], 0),0))</f>
        <v>0</v>
      </c>
      <c r="AL142" s="6">
        <f>SUM(INDEX(Tabela1[[Skateboarding - Men''s Park]:[Skateboarding - Women''s Street]],MATCH(Table92[[#This Row],[Country]],Tabela1[Country], 0),0))</f>
        <v>0</v>
      </c>
      <c r="AM142" s="6">
        <f>SUM(INDEX(Tabela1[[Sport Climbing - Men''s Boulder and Lead]:[Sport Climbing - Women''s Speed]],MATCH(Table92[[#This Row],[Country]],Tabela1[Country], 0),0))</f>
        <v>0</v>
      </c>
      <c r="AN142" s="6">
        <f>SUM(INDEX(Tabela1[[Surfing - Men''s Shortboard]:[Surfing - Women''s Shortboard]],MATCH(Table92[[#This Row],[Country]],Tabela1[Country], 0),0))</f>
        <v>0</v>
      </c>
      <c r="AO142" s="6">
        <f>SUM(INDEX(Tabela1[[Swimming - Men''s 50m Freestyle]:[Swimming - Mixed 4x100m Medley Relay]],MATCH(Table92[[#This Row],[Country]],Tabela1[Country], 0),0))</f>
        <v>0</v>
      </c>
      <c r="AP142" s="6">
        <f>SUM(INDEX(Tabela1[[Table Tennis - Men''s Singles]:[Table Tennis - Mixed Doubles]],MATCH(Table92[[#This Row],[Country]],Tabela1[Country], 0),0))</f>
        <v>1</v>
      </c>
      <c r="AQ142" s="6">
        <f>SUM(INDEX(Tabela1[[Taekwondo - Men''s 58kg]:[Taekwondo - Women''s +67kg]],MATCH(Table92[[#This Row],[Country]],Tabela1[Country], 0),0))</f>
        <v>0</v>
      </c>
      <c r="AR142" s="6">
        <f>SUM(INDEX(Tabela1[[Tennis - Men''s Singles]:[Tennis - Mixed Doubles]],MATCH(Table92[[#This Row],[Country]],Tabela1[Country], 0),0))</f>
        <v>0</v>
      </c>
      <c r="AS142" s="6">
        <f>SUM(INDEX(Tabela1[[Gymnastics - Men''s Trampoline]:[Gymnastics - Women''s Trampoline]],MATCH(Table92[[#This Row],[Country]],Tabela1[Country], 0),0))</f>
        <v>0</v>
      </c>
      <c r="AT142" s="6">
        <f>SUM(INDEX(Tabela1[[Triathlon - Men''s Individual]:[Triathlon - Mixed Relay]],MATCH(Table92[[#This Row],[Country]],Tabela1[Country], 0),0))</f>
        <v>0</v>
      </c>
      <c r="AU142" s="6">
        <f>SUM(INDEX(Tabela1[[Volleyball - Men''s Tournament]:[Volleyball - Women''s Tournament]],MATCH(Table92[[#This Row],[Country]],Tabela1[Country], 0),0))</f>
        <v>0</v>
      </c>
      <c r="AV142" s="6">
        <f>SUM(INDEX(Tabela1[[Water Polo - Men''s Tournament]:[Water Polo - Women''s Tournament]],MATCH(Table92[[#This Row],[Country]],Tabela1[Country], 0),0))</f>
        <v>0</v>
      </c>
      <c r="AW142" s="6">
        <f>SUM(INDEX(Tabela1[[Weightlifting - Men''s 61kg]:[Weightlifting - Women''s +81kg]],MATCH(Table92[[#This Row],[Country]],Tabela1[Country], 0),0))</f>
        <v>0</v>
      </c>
      <c r="AX142" s="6">
        <f>SUM(INDEX(Tabela1[[Wrestling - Men''s Freestyle 57kg]:[Wrestling - Women''s Freestyle 76kg]],MATCH(Table92[[#This Row],[Country]],Tabela1[Country], 0),0))</f>
        <v>0</v>
      </c>
      <c r="AY142" s="6">
        <f>SUM(INDEX(Tabela1[[Alpine Skiing - Men''s Downhill]:[Alpine Skiing - Women''s Team Combined]],MATCH(Table92[[#This Row],[Country]],Tabela1[Country], 0),0))</f>
        <v>0</v>
      </c>
      <c r="AZ142" s="6">
        <f>SUM(INDEX(Tabela1[[Biathlon - Men''s Individual]:[Biathlon - Mixed Relay]],MATCH(Table92[[#This Row],[Country]],Tabela1[Country], 0),0))</f>
        <v>0</v>
      </c>
      <c r="BA142" s="6">
        <f>SUM(INDEX(Tabela1[[Bobsleigh - Women''s Monobob]:[Bobsleigh - Men''s Four]],MATCH(Table92[[#This Row],[Country]],Tabela1[Country], 0),0))</f>
        <v>0</v>
      </c>
      <c r="BB142" s="6">
        <f>SUM(INDEX(Tabela1[[Cross-country skiing - Men''s Classical]:[Cross-country skiing - Women''s Team Sprint]],MATCH(Table92[[#This Row],[Country]],Tabela1[Country], 0),0))</f>
        <v>0</v>
      </c>
      <c r="BC142" s="6">
        <f>SUM(INDEX(Tabela1[[Curling - Men''s Tournament]:[Curling - Mixed Doubles]],MATCH(Table92[[#This Row],[Country]],Tabela1[Country], 0),0))</f>
        <v>0</v>
      </c>
      <c r="BD142" s="6">
        <f>SUM(INDEX(Tabela1[[Figure Skating - Men''s Singles]:[Figure Skating - Team Event]],MATCH(Table92[[#This Row],[Country]],Tabela1[Country], 0),0))</f>
        <v>0</v>
      </c>
      <c r="BE142" s="6">
        <f>SUM(INDEX(Tabela1[[Freestyle Skiing - Men''s Aerials]:[Freestyle Skiing - Women''s Slopestyle]],MATCH(Table92[[#This Row],[Country]],Tabela1[Country], 0),0))</f>
        <v>0</v>
      </c>
      <c r="BF142" s="6">
        <f>SUM(INDEX(Tabela1[[Ice Hockey - Men''s Tournament]:[Ice Hockey - Women''s Tournament]],MATCH(Table92[[#This Row],[Country]],Tabela1[Country], 0),0))</f>
        <v>0</v>
      </c>
      <c r="BG142" s="6">
        <f>SUM(INDEX(Tabela1[[Luge - Men''s Singles]:[Luge - Mixed Team Relay]],MATCH(Table92[[#This Row],[Country]],Tabela1[Country], 0),0))</f>
        <v>0</v>
      </c>
      <c r="BH142" s="6">
        <f>SUM(INDEX(Tabela1[[Nordic Combined - Men''s Individual]:[Nordic Combined - Men''s Team Sprint Large Hill]],MATCH(Table92[[#This Row],[Country]],Tabela1[Country], 0),0))</f>
        <v>0</v>
      </c>
      <c r="BI142" s="6">
        <f>SUM(INDEX(Tabela1[[Short track speed skating - Men''s 500m]:[Short track speed skating - Mixed 2000m Relay]],MATCH(Table92[[#This Row],[Country]],Tabela1[Country], 0),0))</f>
        <v>0</v>
      </c>
      <c r="BJ142" s="6">
        <f>SUM(INDEX(Tabela1[[Skeleton - Men''s Individual]:[Skeleton - Mixed Team]],MATCH(Table92[[#This Row],[Country]],Tabela1[Country], 0),0))</f>
        <v>0</v>
      </c>
      <c r="BK142" s="6">
        <f>SUM(INDEX(Tabela1[[Ski Jumping - Men''s Individual Large Hill]:[Ski Jumping - Mixed Team Normal Hill]],MATCH(Table92[[#This Row],[Country]],Tabela1[Country], 0),0))</f>
        <v>0</v>
      </c>
      <c r="BL142" s="6">
        <f>SUM(INDEX(Tabela1[[Ski Mountaineering - Men''s Sprint]:[Ski Mountaineering - Mixed Relay]],MATCH(Table92[[#This Row],[Country]],Tabela1[Country], 0),0))</f>
        <v>0</v>
      </c>
      <c r="BM142" s="6">
        <f>SUM(INDEX(Tabela1[[Snowboarding - Men''s Big Air]:[Snowboarding - Mixed Team Snowboard Cross]],MATCH(Table92[[#This Row],[Country]],Tabela1[Country], 0),0))</f>
        <v>0</v>
      </c>
      <c r="BN142" s="6">
        <f>SUM(INDEX(Tabela1[[Speed Skating - Men''s 500m]:[Speed Skating - Women''s Team Pursuit]],MATCH(Table92[[#This Row],[Country]],Tabela1[Country], 0),0))</f>
        <v>0</v>
      </c>
      <c r="BO142" s="6" t="str">
        <f>SUBSTITUTE(INDEX(Table92[[#Headers],[Archery Quotas]:[Speed Skating Quotas]], MATCH(MAX(Table92[[#This Row],[Archery Quotas]:[Speed Skating Quotas]]), Table92[[#This Row],[Archery Quotas]:[Speed Skating Quotas]], 0))," Quotas","")</f>
        <v>Table Tennis</v>
      </c>
      <c r="BP142" s="6">
        <f>SUM(Table92[[#This Row],[Summer Sports]:[Winter Sports]])</f>
        <v>1</v>
      </c>
      <c r="BQ142" s="6">
        <f>COUNTIF(Table92[[#This Row],[Archery Quotas]:[Wrestling Quotas]],"&lt;&gt;0")</f>
        <v>1</v>
      </c>
      <c r="BR142" s="6">
        <f>COUNTIF(Table92[[#This Row],[Alpine Skiing Quotas]:[Speed Skating Quotas]],"&lt;&gt;0")</f>
        <v>0</v>
      </c>
      <c r="BS142" s="4" t="s">
        <v>487</v>
      </c>
    </row>
    <row r="143" spans="1:71" x14ac:dyDescent="0.3">
      <c r="A143" s="6" t="s">
        <v>634</v>
      </c>
      <c r="B143" t="e" vm="138">
        <f>IF(ISBLANK(Table92[[#This Row],[Flag Link]]), "", _xlfn.IMAGE(Table92[[#This Row],[Flag Link]],1,1))</f>
        <v>#VALUE!</v>
      </c>
      <c r="C143" s="6">
        <f>SUM(Table92[[#This Row],[Archery Quotas]:[Speed Skating Quotas]])</f>
        <v>1</v>
      </c>
      <c r="D143" s="6">
        <f>SUM(INDEX(Tabela1[[Archery - Men''s Individual Recurve]:[Archery - Mixed Team Recurve]],MATCH(Table92[[#This Row],[Country]],Tabela1[Country], 0),0))</f>
        <v>0</v>
      </c>
      <c r="E143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43" s="6">
        <f>SUM(INDEX(Tabela1[[Artistic Swimming - Women''s Duet]:[Artistic Swimming - Women''s Team]],MATCH(Table92[[#This Row],[Country]],Tabela1[Country], 0),0))</f>
        <v>0</v>
      </c>
      <c r="G143" s="6">
        <f>SUM(INDEX(Tabela1[[Athletics - Men''s 100m]:[Athletics - Women''s Heptathlon]],MATCH(Table92[[#This Row],[Country]],Tabela1[Country], 0),0))</f>
        <v>0</v>
      </c>
      <c r="H143" s="6">
        <f>SUM(INDEX(Tabela1[[Badminton - Men''s Singles]:[Badminton - Mixed Doubles]],MATCH(Table92[[#This Row],[Country]],Tabela1[Country], 0),0))</f>
        <v>0</v>
      </c>
      <c r="I143" s="6">
        <f>SUM(INDEX(Tabela1[[Basketball - Men''s Tournament]:[Basketball - Women''s Tournament]],MATCH(Table92[[#This Row],[Country]],Tabela1[Country], 0),0))</f>
        <v>0</v>
      </c>
      <c r="J143" s="6">
        <f>SUM(INDEX(Tabela1[[3x3 Basketball - Men''s Tournament]:[3x3 Basketball - Women''s Tournament]],MATCH(Table92[[#This Row],[Country]],Tabela1[Country], 0),0))</f>
        <v>0</v>
      </c>
      <c r="K143" s="6">
        <f>SUM(INDEX(Tabela1[[Beach Volleyball - Men''s Tournament]:[Beach Volleyball - Women''s Tournament]],MATCH(Table92[[#This Row],[Country]],Tabela1[Country], 0),0))</f>
        <v>0</v>
      </c>
      <c r="L143" s="6">
        <f>SUM(INDEX(Tabela1[[Boxing - Men''s 51kg]:[Boxing - Women''s 75kg]],MATCH(Table92[[#This Row],[Country]],Tabela1[Country], 0),0))</f>
        <v>0</v>
      </c>
      <c r="M143" s="6">
        <f>SUM(INDEX(Tabela1[[Breaking - Men''s Individual]:[Breaking - Women''s Individual]],MATCH(Table92[[#This Row],[Country]],Tabela1[Country], 0),0))</f>
        <v>0</v>
      </c>
      <c r="N143" s="6">
        <f>SUM(INDEX(Tabela1[[Canoeing - Men''s C1 Slalom]:[Canoeing - Women''s Kayak Cross Slalom]],MATCH(Table92[[#This Row],[Country]],Tabela1[Country], 0),0))</f>
        <v>0</v>
      </c>
      <c r="O143" s="6">
        <f>SUM(INDEX(Tabela1[[Canoeing - Women''s C1 200m]:[Canoeing - Women''s K4 500m]],MATCH(Table92[[#This Row],[Country]],Tabela1[Country], 0),0))</f>
        <v>0</v>
      </c>
      <c r="P143" s="6">
        <f>SUM(INDEX(Tabela1[[Cycling - Men''s BMX Freestyle]:[Cycling - Women''s BMX Freestyle]],MATCH(Table92[[#This Row],[Country]],Tabela1[Country], 0),0))</f>
        <v>0</v>
      </c>
      <c r="Q143" s="6">
        <f>SUM(INDEX(Tabela1[[Cycling - Men''s BMX Racing]:[Cycling - Women''s BMX Racing]],MATCH(Table92[[#This Row],[Country]],Tabela1[Country], 0),0))</f>
        <v>0</v>
      </c>
      <c r="R143" s="6">
        <f>SUM(INDEX(Tabela1[[Cycling - Men''s Cross-Country]:[Cycling - Women''s Cross-Country]],MATCH(Table92[[#This Row],[Country]],Tabela1[Country], 0),0))</f>
        <v>0</v>
      </c>
      <c r="S143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43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43" s="6">
        <f>SUM(INDEX(Tabela1[[Diving - Men''s Springboard]:[Diving - Women''s Synchronized Platform]],MATCH(Table92[[#This Row],[Country]],Tabela1[Country], 0),0))</f>
        <v>0</v>
      </c>
      <c r="V143" s="6">
        <f>SUM(INDEX(Tabela1[[Equestrian - Individual Dressage]:[Equestrian - Team Dressage]],MATCH(Table92[[#This Row],[Country]],Tabela1[Country], 0),0))</f>
        <v>0</v>
      </c>
      <c r="W143" s="6">
        <f>SUM(INDEX(Tabela1[[Equestrian - Individual Eventing]:[Equestrian - Team Eventing]],MATCH(Table92[[#This Row],[Country]],Tabela1[Country], 0),0))</f>
        <v>0</v>
      </c>
      <c r="X143" s="6">
        <f>SUM(INDEX(Tabela1[[Equestrian - Individual Jumping]:[Equestrian - Team Jumping]],MATCH(Table92[[#This Row],[Country]],Tabela1[Country], 0),0))</f>
        <v>0</v>
      </c>
      <c r="Y143" s="6">
        <f>SUM(INDEX(Tabela1[[Fencing - Men''s Épée]:[Fencing - Women''s Team Sabre]],MATCH(Table92[[#This Row],[Country]],Tabela1[Country], 0),0))</f>
        <v>0</v>
      </c>
      <c r="Z143" s="6">
        <f>SUM(INDEX(Tabela1[[Field Hockey - Men''s Tournament]:[Field Hockey - Women''s Tournament]],MATCH(Table92[[#This Row],[Country]],Tabela1[Country], 0),0))</f>
        <v>0</v>
      </c>
      <c r="AA143" s="6">
        <f>SUM(INDEX(Tabela1[[Football - Men''s Tournament]:[Football - Women''s Tournament]],MATCH(Table92[[#This Row],[Country]],Tabela1[Country], 0),0))</f>
        <v>0</v>
      </c>
      <c r="AB143" s="6">
        <f>SUM(INDEX(Tabela1[[Golf - Men''s Individual]:[Golf - Women''s Individual]],MATCH(Table92[[#This Row],[Country]],Tabela1[Country], 0),0))</f>
        <v>0</v>
      </c>
      <c r="AC143" s="6">
        <f>SUM(INDEX(Tabela1[[Handball - Men''s Tournament]:[Handball - Women''s Tournament]],MATCH(Table92[[#This Row],[Country]],Tabela1[Country], 0),0))</f>
        <v>0</v>
      </c>
      <c r="AD143" s="6">
        <f>SUM(INDEX(Tabela1[[Judo - Men''s 60kg]:[Judo - Mixed Team]],MATCH(Table92[[#This Row],[Country]],Tabela1[Country], 0),0))</f>
        <v>0</v>
      </c>
      <c r="AE143" s="6">
        <f>SUM(INDEX(Tabela1[[Swimming - Men''s 10km Open Water]:[Swimming - Women''s 10km Open Water]],MATCH(Table92[[#This Row],[Country]],Tabela1[Country], 0),0))</f>
        <v>0</v>
      </c>
      <c r="AF143" s="6">
        <f>SUM(INDEX(Tabela1[[Modern Pentathlon - Men''s Individual]:[Modern Pentathlon - Women''s Individual]],MATCH(Table92[[#This Row],[Country]],Tabela1[Country], 0),0))</f>
        <v>0</v>
      </c>
      <c r="AG143" s="6">
        <f>SUM(INDEX(Tabela1[[Rhythmic Gymnastics - Women''s Individual All-Around]:[Rhythmic Gymnastics - Women''s Group All-Around]],MATCH(Table92[[#This Row],[Country]],Tabela1[Country], 0),0))</f>
        <v>0</v>
      </c>
      <c r="AH143" s="6">
        <f>SUM(INDEX(Tabela1[[Rowing - Men''s Single Sculls]:[Rowing - Women''s Lwt. Double Sculls]],MATCH(Table92[[#This Row],[Country]],Tabela1[Country], 0),0))</f>
        <v>0</v>
      </c>
      <c r="AI143" s="6">
        <f>SUM(INDEX(Tabela1[[Rugby Sevens - Men''s Tournament]:[Rugby Sevens - Women''s Tournament]],MATCH(Table92[[#This Row],[Country]],Tabela1[Country], 0),0))</f>
        <v>0</v>
      </c>
      <c r="AJ143" s="6">
        <f>SUM(INDEX(Tabela1[[Sailing - Mixed 470]:[Sailing - Mixed Nacra 17]],MATCH(Table92[[#This Row],[Country]],Tabela1[Country], 0),0))</f>
        <v>0</v>
      </c>
      <c r="AK143" s="6">
        <f>SUM(INDEX(Tabela1[[Shooting - Men''s 10m Air Pistol]:[Shooting - Women''s Trap]],MATCH(Table92[[#This Row],[Country]],Tabela1[Country], 0),0))</f>
        <v>0</v>
      </c>
      <c r="AL143" s="6">
        <f>SUM(INDEX(Tabela1[[Skateboarding - Men''s Park]:[Skateboarding - Women''s Street]],MATCH(Table92[[#This Row],[Country]],Tabela1[Country], 0),0))</f>
        <v>0</v>
      </c>
      <c r="AM143" s="6">
        <f>SUM(INDEX(Tabela1[[Sport Climbing - Men''s Boulder and Lead]:[Sport Climbing - Women''s Speed]],MATCH(Table92[[#This Row],[Country]],Tabela1[Country], 0),0))</f>
        <v>0</v>
      </c>
      <c r="AN143" s="6">
        <f>SUM(INDEX(Tabela1[[Surfing - Men''s Shortboard]:[Surfing - Women''s Shortboard]],MATCH(Table92[[#This Row],[Country]],Tabela1[Country], 0),0))</f>
        <v>0</v>
      </c>
      <c r="AO143" s="6">
        <f>SUM(INDEX(Tabela1[[Swimming - Men''s 50m Freestyle]:[Swimming - Mixed 4x100m Medley Relay]],MATCH(Table92[[#This Row],[Country]],Tabela1[Country], 0),0))</f>
        <v>1</v>
      </c>
      <c r="AP143" s="6">
        <f>SUM(INDEX(Tabela1[[Table Tennis - Men''s Singles]:[Table Tennis - Mixed Doubles]],MATCH(Table92[[#This Row],[Country]],Tabela1[Country], 0),0))</f>
        <v>0</v>
      </c>
      <c r="AQ143" s="6">
        <f>SUM(INDEX(Tabela1[[Taekwondo - Men''s 58kg]:[Taekwondo - Women''s +67kg]],MATCH(Table92[[#This Row],[Country]],Tabela1[Country], 0),0))</f>
        <v>0</v>
      </c>
      <c r="AR143" s="6">
        <f>SUM(INDEX(Tabela1[[Tennis - Men''s Singles]:[Tennis - Mixed Doubles]],MATCH(Table92[[#This Row],[Country]],Tabela1[Country], 0),0))</f>
        <v>0</v>
      </c>
      <c r="AS143" s="6">
        <f>SUM(INDEX(Tabela1[[Gymnastics - Men''s Trampoline]:[Gymnastics - Women''s Trampoline]],MATCH(Table92[[#This Row],[Country]],Tabela1[Country], 0),0))</f>
        <v>0</v>
      </c>
      <c r="AT143" s="6">
        <f>SUM(INDEX(Tabela1[[Triathlon - Men''s Individual]:[Triathlon - Mixed Relay]],MATCH(Table92[[#This Row],[Country]],Tabela1[Country], 0),0))</f>
        <v>0</v>
      </c>
      <c r="AU143" s="6">
        <f>SUM(INDEX(Tabela1[[Volleyball - Men''s Tournament]:[Volleyball - Women''s Tournament]],MATCH(Table92[[#This Row],[Country]],Tabela1[Country], 0),0))</f>
        <v>0</v>
      </c>
      <c r="AV143" s="6">
        <f>SUM(INDEX(Tabela1[[Water Polo - Men''s Tournament]:[Water Polo - Women''s Tournament]],MATCH(Table92[[#This Row],[Country]],Tabela1[Country], 0),0))</f>
        <v>0</v>
      </c>
      <c r="AW143" s="6">
        <f>SUM(INDEX(Tabela1[[Weightlifting - Men''s 61kg]:[Weightlifting - Women''s +81kg]],MATCH(Table92[[#This Row],[Country]],Tabela1[Country], 0),0))</f>
        <v>0</v>
      </c>
      <c r="AX143" s="6">
        <f>SUM(INDEX(Tabela1[[Wrestling - Men''s Freestyle 57kg]:[Wrestling - Women''s Freestyle 76kg]],MATCH(Table92[[#This Row],[Country]],Tabela1[Country], 0),0))</f>
        <v>0</v>
      </c>
      <c r="AY143" s="6">
        <f>SUM(INDEX(Tabela1[[Alpine Skiing - Men''s Downhill]:[Alpine Skiing - Women''s Team Combined]],MATCH(Table92[[#This Row],[Country]],Tabela1[Country], 0),0))</f>
        <v>0</v>
      </c>
      <c r="AZ143" s="6">
        <f>SUM(INDEX(Tabela1[[Biathlon - Men''s Individual]:[Biathlon - Mixed Relay]],MATCH(Table92[[#This Row],[Country]],Tabela1[Country], 0),0))</f>
        <v>0</v>
      </c>
      <c r="BA143" s="6">
        <f>SUM(INDEX(Tabela1[[Bobsleigh - Women''s Monobob]:[Bobsleigh - Men''s Four]],MATCH(Table92[[#This Row],[Country]],Tabela1[Country], 0),0))</f>
        <v>0</v>
      </c>
      <c r="BB143" s="6">
        <f>SUM(INDEX(Tabela1[[Cross-country skiing - Men''s Classical]:[Cross-country skiing - Women''s Team Sprint]],MATCH(Table92[[#This Row],[Country]],Tabela1[Country], 0),0))</f>
        <v>0</v>
      </c>
      <c r="BC143" s="6">
        <f>SUM(INDEX(Tabela1[[Curling - Men''s Tournament]:[Curling - Mixed Doubles]],MATCH(Table92[[#This Row],[Country]],Tabela1[Country], 0),0))</f>
        <v>0</v>
      </c>
      <c r="BD143" s="6">
        <f>SUM(INDEX(Tabela1[[Figure Skating - Men''s Singles]:[Figure Skating - Team Event]],MATCH(Table92[[#This Row],[Country]],Tabela1[Country], 0),0))</f>
        <v>0</v>
      </c>
      <c r="BE143" s="6">
        <f>SUM(INDEX(Tabela1[[Freestyle Skiing - Men''s Aerials]:[Freestyle Skiing - Women''s Slopestyle]],MATCH(Table92[[#This Row],[Country]],Tabela1[Country], 0),0))</f>
        <v>0</v>
      </c>
      <c r="BF143" s="6">
        <f>SUM(INDEX(Tabela1[[Ice Hockey - Men''s Tournament]:[Ice Hockey - Women''s Tournament]],MATCH(Table92[[#This Row],[Country]],Tabela1[Country], 0),0))</f>
        <v>0</v>
      </c>
      <c r="BG143" s="6">
        <f>SUM(INDEX(Tabela1[[Luge - Men''s Singles]:[Luge - Mixed Team Relay]],MATCH(Table92[[#This Row],[Country]],Tabela1[Country], 0),0))</f>
        <v>0</v>
      </c>
      <c r="BH143" s="6">
        <f>SUM(INDEX(Tabela1[[Nordic Combined - Men''s Individual]:[Nordic Combined - Men''s Team Sprint Large Hill]],MATCH(Table92[[#This Row],[Country]],Tabela1[Country], 0),0))</f>
        <v>0</v>
      </c>
      <c r="BI143" s="6">
        <f>SUM(INDEX(Tabela1[[Short track speed skating - Men''s 500m]:[Short track speed skating - Mixed 2000m Relay]],MATCH(Table92[[#This Row],[Country]],Tabela1[Country], 0),0))</f>
        <v>0</v>
      </c>
      <c r="BJ143" s="6">
        <f>SUM(INDEX(Tabela1[[Skeleton - Men''s Individual]:[Skeleton - Mixed Team]],MATCH(Table92[[#This Row],[Country]],Tabela1[Country], 0),0))</f>
        <v>0</v>
      </c>
      <c r="BK143" s="6">
        <f>SUM(INDEX(Tabela1[[Ski Jumping - Men''s Individual Large Hill]:[Ski Jumping - Mixed Team Normal Hill]],MATCH(Table92[[#This Row],[Country]],Tabela1[Country], 0),0))</f>
        <v>0</v>
      </c>
      <c r="BL143" s="6">
        <f>SUM(INDEX(Tabela1[[Ski Mountaineering - Men''s Sprint]:[Ski Mountaineering - Mixed Relay]],MATCH(Table92[[#This Row],[Country]],Tabela1[Country], 0),0))</f>
        <v>0</v>
      </c>
      <c r="BM143" s="6">
        <f>SUM(INDEX(Tabela1[[Snowboarding - Men''s Big Air]:[Snowboarding - Mixed Team Snowboard Cross]],MATCH(Table92[[#This Row],[Country]],Tabela1[Country], 0),0))</f>
        <v>0</v>
      </c>
      <c r="BN143" s="6">
        <f>SUM(INDEX(Tabela1[[Speed Skating - Men''s 500m]:[Speed Skating - Women''s Team Pursuit]],MATCH(Table92[[#This Row],[Country]],Tabela1[Country], 0),0))</f>
        <v>0</v>
      </c>
      <c r="BO143" s="6" t="str">
        <f>SUBSTITUTE(INDEX(Table92[[#Headers],[Archery Quotas]:[Speed Skating Quotas]], MATCH(MAX(Table92[[#This Row],[Archery Quotas]:[Speed Skating Quotas]]), Table92[[#This Row],[Archery Quotas]:[Speed Skating Quotas]], 0))," Quotas","")</f>
        <v>Swimming</v>
      </c>
      <c r="BP143" s="6">
        <f>SUM(Table92[[#This Row],[Summer Sports]:[Winter Sports]])</f>
        <v>1</v>
      </c>
      <c r="BQ143" s="6">
        <f>COUNTIF(Table92[[#This Row],[Archery Quotas]:[Wrestling Quotas]],"&lt;&gt;0")</f>
        <v>1</v>
      </c>
      <c r="BR143" s="6">
        <f>COUNTIF(Table92[[#This Row],[Alpine Skiing Quotas]:[Speed Skating Quotas]],"&lt;&gt;0")</f>
        <v>0</v>
      </c>
      <c r="BS143" s="4" t="s">
        <v>635</v>
      </c>
    </row>
    <row r="144" spans="1:71" x14ac:dyDescent="0.3">
      <c r="A144" s="6" t="s">
        <v>648</v>
      </c>
      <c r="B144" t="e" vm="146">
        <f>IF(ISBLANK(Table92[[#This Row],[Flag Link]]), "", _xlfn.IMAGE(Table92[[#This Row],[Flag Link]],1,1))</f>
        <v>#VALUE!</v>
      </c>
      <c r="C144" s="6">
        <f>SUM(Table92[[#This Row],[Archery Quotas]:[Speed Skating Quotas]])</f>
        <v>1</v>
      </c>
      <c r="D144" s="6">
        <f>SUM(INDEX(Tabela1[[Archery - Men''s Individual Recurve]:[Archery - Mixed Team Recurve]],MATCH(Table92[[#This Row],[Country]],Tabela1[Country], 0),0))</f>
        <v>0</v>
      </c>
      <c r="E144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44" s="6">
        <f>SUM(INDEX(Tabela1[[Artistic Swimming - Women''s Duet]:[Artistic Swimming - Women''s Team]],MATCH(Table92[[#This Row],[Country]],Tabela1[Country], 0),0))</f>
        <v>0</v>
      </c>
      <c r="G144" s="6">
        <f>SUM(INDEX(Tabela1[[Athletics - Men''s 100m]:[Athletics - Women''s Heptathlon]],MATCH(Table92[[#This Row],[Country]],Tabela1[Country], 0),0))</f>
        <v>0</v>
      </c>
      <c r="H144" s="6">
        <f>SUM(INDEX(Tabela1[[Badminton - Men''s Singles]:[Badminton - Mixed Doubles]],MATCH(Table92[[#This Row],[Country]],Tabela1[Country], 0),0))</f>
        <v>1</v>
      </c>
      <c r="I144" s="6">
        <f>SUM(INDEX(Tabela1[[Basketball - Men''s Tournament]:[Basketball - Women''s Tournament]],MATCH(Table92[[#This Row],[Country]],Tabela1[Country], 0),0))</f>
        <v>0</v>
      </c>
      <c r="J144" s="6">
        <f>SUM(INDEX(Tabela1[[3x3 Basketball - Men''s Tournament]:[3x3 Basketball - Women''s Tournament]],MATCH(Table92[[#This Row],[Country]],Tabela1[Country], 0),0))</f>
        <v>0</v>
      </c>
      <c r="K144" s="6">
        <f>SUM(INDEX(Tabela1[[Beach Volleyball - Men''s Tournament]:[Beach Volleyball - Women''s Tournament]],MATCH(Table92[[#This Row],[Country]],Tabela1[Country], 0),0))</f>
        <v>0</v>
      </c>
      <c r="L144" s="6">
        <f>SUM(INDEX(Tabela1[[Boxing - Men''s 51kg]:[Boxing - Women''s 75kg]],MATCH(Table92[[#This Row],[Country]],Tabela1[Country], 0),0))</f>
        <v>0</v>
      </c>
      <c r="M144" s="6">
        <f>SUM(INDEX(Tabela1[[Breaking - Men''s Individual]:[Breaking - Women''s Individual]],MATCH(Table92[[#This Row],[Country]],Tabela1[Country], 0),0))</f>
        <v>0</v>
      </c>
      <c r="N144" s="6">
        <f>SUM(INDEX(Tabela1[[Canoeing - Men''s C1 Slalom]:[Canoeing - Women''s Kayak Cross Slalom]],MATCH(Table92[[#This Row],[Country]],Tabela1[Country], 0),0))</f>
        <v>0</v>
      </c>
      <c r="O144" s="6">
        <f>SUM(INDEX(Tabela1[[Canoeing - Women''s C1 200m]:[Canoeing - Women''s K4 500m]],MATCH(Table92[[#This Row],[Country]],Tabela1[Country], 0),0))</f>
        <v>0</v>
      </c>
      <c r="P144" s="6">
        <f>SUM(INDEX(Tabela1[[Cycling - Men''s BMX Freestyle]:[Cycling - Women''s BMX Freestyle]],MATCH(Table92[[#This Row],[Country]],Tabela1[Country], 0),0))</f>
        <v>0</v>
      </c>
      <c r="Q144" s="6">
        <f>SUM(INDEX(Tabela1[[Cycling - Men''s BMX Racing]:[Cycling - Women''s BMX Racing]],MATCH(Table92[[#This Row],[Country]],Tabela1[Country], 0),0))</f>
        <v>0</v>
      </c>
      <c r="R144" s="6">
        <f>SUM(INDEX(Tabela1[[Cycling - Men''s Cross-Country]:[Cycling - Women''s Cross-Country]],MATCH(Table92[[#This Row],[Country]],Tabela1[Country], 0),0))</f>
        <v>0</v>
      </c>
      <c r="S144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44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44" s="6">
        <f>SUM(INDEX(Tabela1[[Diving - Men''s Springboard]:[Diving - Women''s Synchronized Platform]],MATCH(Table92[[#This Row],[Country]],Tabela1[Country], 0),0))</f>
        <v>0</v>
      </c>
      <c r="V144" s="6">
        <f>SUM(INDEX(Tabela1[[Equestrian - Individual Dressage]:[Equestrian - Team Dressage]],MATCH(Table92[[#This Row],[Country]],Tabela1[Country], 0),0))</f>
        <v>0</v>
      </c>
      <c r="W144" s="6">
        <f>SUM(INDEX(Tabela1[[Equestrian - Individual Eventing]:[Equestrian - Team Eventing]],MATCH(Table92[[#This Row],[Country]],Tabela1[Country], 0),0))</f>
        <v>0</v>
      </c>
      <c r="X144" s="6">
        <f>SUM(INDEX(Tabela1[[Equestrian - Individual Jumping]:[Equestrian - Team Jumping]],MATCH(Table92[[#This Row],[Country]],Tabela1[Country], 0),0))</f>
        <v>0</v>
      </c>
      <c r="Y144" s="6">
        <f>SUM(INDEX(Tabela1[[Fencing - Men''s Épée]:[Fencing - Women''s Team Sabre]],MATCH(Table92[[#This Row],[Country]],Tabela1[Country], 0),0))</f>
        <v>0</v>
      </c>
      <c r="Z144" s="6">
        <f>SUM(INDEX(Tabela1[[Field Hockey - Men''s Tournament]:[Field Hockey - Women''s Tournament]],MATCH(Table92[[#This Row],[Country]],Tabela1[Country], 0),0))</f>
        <v>0</v>
      </c>
      <c r="AA144" s="6">
        <f>SUM(INDEX(Tabela1[[Football - Men''s Tournament]:[Football - Women''s Tournament]],MATCH(Table92[[#This Row],[Country]],Tabela1[Country], 0),0))</f>
        <v>0</v>
      </c>
      <c r="AB144" s="6">
        <f>SUM(INDEX(Tabela1[[Golf - Men''s Individual]:[Golf - Women''s Individual]],MATCH(Table92[[#This Row],[Country]],Tabela1[Country], 0),0))</f>
        <v>0</v>
      </c>
      <c r="AC144" s="6">
        <f>SUM(INDEX(Tabela1[[Handball - Men''s Tournament]:[Handball - Women''s Tournament]],MATCH(Table92[[#This Row],[Country]],Tabela1[Country], 0),0))</f>
        <v>0</v>
      </c>
      <c r="AD144" s="6">
        <f>SUM(INDEX(Tabela1[[Judo - Men''s 60kg]:[Judo - Mixed Team]],MATCH(Table92[[#This Row],[Country]],Tabela1[Country], 0),0))</f>
        <v>0</v>
      </c>
      <c r="AE144" s="6">
        <f>SUM(INDEX(Tabela1[[Swimming - Men''s 10km Open Water]:[Swimming - Women''s 10km Open Water]],MATCH(Table92[[#This Row],[Country]],Tabela1[Country], 0),0))</f>
        <v>0</v>
      </c>
      <c r="AF144" s="6">
        <f>SUM(INDEX(Tabela1[[Modern Pentathlon - Men''s Individual]:[Modern Pentathlon - Women''s Individual]],MATCH(Table92[[#This Row],[Country]],Tabela1[Country], 0),0))</f>
        <v>0</v>
      </c>
      <c r="AG144" s="6">
        <f>SUM(INDEX(Tabela1[[Rhythmic Gymnastics - Women''s Individual All-Around]:[Rhythmic Gymnastics - Women''s Group All-Around]],MATCH(Table92[[#This Row],[Country]],Tabela1[Country], 0),0))</f>
        <v>0</v>
      </c>
      <c r="AH144" s="6">
        <f>SUM(INDEX(Tabela1[[Rowing - Men''s Single Sculls]:[Rowing - Women''s Lwt. Double Sculls]],MATCH(Table92[[#This Row],[Country]],Tabela1[Country], 0),0))</f>
        <v>0</v>
      </c>
      <c r="AI144" s="6">
        <f>SUM(INDEX(Tabela1[[Rugby Sevens - Men''s Tournament]:[Rugby Sevens - Women''s Tournament]],MATCH(Table92[[#This Row],[Country]],Tabela1[Country], 0),0))</f>
        <v>0</v>
      </c>
      <c r="AJ144" s="6">
        <f>SUM(INDEX(Tabela1[[Sailing - Mixed 470]:[Sailing - Mixed Nacra 17]],MATCH(Table92[[#This Row],[Country]],Tabela1[Country], 0),0))</f>
        <v>0</v>
      </c>
      <c r="AK144" s="6">
        <f>SUM(INDEX(Tabela1[[Shooting - Men''s 10m Air Pistol]:[Shooting - Women''s Trap]],MATCH(Table92[[#This Row],[Country]],Tabela1[Country], 0),0))</f>
        <v>0</v>
      </c>
      <c r="AL144" s="6">
        <f>SUM(INDEX(Tabela1[[Skateboarding - Men''s Park]:[Skateboarding - Women''s Street]],MATCH(Table92[[#This Row],[Country]],Tabela1[Country], 0),0))</f>
        <v>0</v>
      </c>
      <c r="AM144" s="6">
        <f>SUM(INDEX(Tabela1[[Sport Climbing - Men''s Boulder and Lead]:[Sport Climbing - Women''s Speed]],MATCH(Table92[[#This Row],[Country]],Tabela1[Country], 0),0))</f>
        <v>0</v>
      </c>
      <c r="AN144" s="6">
        <f>SUM(INDEX(Tabela1[[Surfing - Men''s Shortboard]:[Surfing - Women''s Shortboard]],MATCH(Table92[[#This Row],[Country]],Tabela1[Country], 0),0))</f>
        <v>0</v>
      </c>
      <c r="AO144" s="6">
        <f>SUM(INDEX(Tabela1[[Swimming - Men''s 50m Freestyle]:[Swimming - Mixed 4x100m Medley Relay]],MATCH(Table92[[#This Row],[Country]],Tabela1[Country], 0),0))</f>
        <v>0</v>
      </c>
      <c r="AP144" s="6">
        <f>SUM(INDEX(Tabela1[[Table Tennis - Men''s Singles]:[Table Tennis - Mixed Doubles]],MATCH(Table92[[#This Row],[Country]],Tabela1[Country], 0),0))</f>
        <v>0</v>
      </c>
      <c r="AQ144" s="6">
        <f>SUM(INDEX(Tabela1[[Taekwondo - Men''s 58kg]:[Taekwondo - Women''s +67kg]],MATCH(Table92[[#This Row],[Country]],Tabela1[Country], 0),0))</f>
        <v>0</v>
      </c>
      <c r="AR144" s="6">
        <f>SUM(INDEX(Tabela1[[Tennis - Men''s Singles]:[Tennis - Mixed Doubles]],MATCH(Table92[[#This Row],[Country]],Tabela1[Country], 0),0))</f>
        <v>0</v>
      </c>
      <c r="AS144" s="6">
        <f>SUM(INDEX(Tabela1[[Gymnastics - Men''s Trampoline]:[Gymnastics - Women''s Trampoline]],MATCH(Table92[[#This Row],[Country]],Tabela1[Country], 0),0))</f>
        <v>0</v>
      </c>
      <c r="AT144" s="6">
        <f>SUM(INDEX(Tabela1[[Triathlon - Men''s Individual]:[Triathlon - Mixed Relay]],MATCH(Table92[[#This Row],[Country]],Tabela1[Country], 0),0))</f>
        <v>0</v>
      </c>
      <c r="AU144" s="6">
        <f>SUM(INDEX(Tabela1[[Volleyball - Men''s Tournament]:[Volleyball - Women''s Tournament]],MATCH(Table92[[#This Row],[Country]],Tabela1[Country], 0),0))</f>
        <v>0</v>
      </c>
      <c r="AV144" s="6">
        <f>SUM(INDEX(Tabela1[[Water Polo - Men''s Tournament]:[Water Polo - Women''s Tournament]],MATCH(Table92[[#This Row],[Country]],Tabela1[Country], 0),0))</f>
        <v>0</v>
      </c>
      <c r="AW144" s="6">
        <f>SUM(INDEX(Tabela1[[Weightlifting - Men''s 61kg]:[Weightlifting - Women''s +81kg]],MATCH(Table92[[#This Row],[Country]],Tabela1[Country], 0),0))</f>
        <v>0</v>
      </c>
      <c r="AX144" s="6">
        <f>SUM(INDEX(Tabela1[[Wrestling - Men''s Freestyle 57kg]:[Wrestling - Women''s Freestyle 76kg]],MATCH(Table92[[#This Row],[Country]],Tabela1[Country], 0),0))</f>
        <v>0</v>
      </c>
      <c r="AY144" s="6">
        <f>SUM(INDEX(Tabela1[[Alpine Skiing - Men''s Downhill]:[Alpine Skiing - Women''s Team Combined]],MATCH(Table92[[#This Row],[Country]],Tabela1[Country], 0),0))</f>
        <v>0</v>
      </c>
      <c r="AZ144" s="6">
        <f>SUM(INDEX(Tabela1[[Biathlon - Men''s Individual]:[Biathlon - Mixed Relay]],MATCH(Table92[[#This Row],[Country]],Tabela1[Country], 0),0))</f>
        <v>0</v>
      </c>
      <c r="BA144" s="6">
        <f>SUM(INDEX(Tabela1[[Bobsleigh - Women''s Monobob]:[Bobsleigh - Men''s Four]],MATCH(Table92[[#This Row],[Country]],Tabela1[Country], 0),0))</f>
        <v>0</v>
      </c>
      <c r="BB144" s="6">
        <f>SUM(INDEX(Tabela1[[Cross-country skiing - Men''s Classical]:[Cross-country skiing - Women''s Team Sprint]],MATCH(Table92[[#This Row],[Country]],Tabela1[Country], 0),0))</f>
        <v>0</v>
      </c>
      <c r="BC144" s="6">
        <f>SUM(INDEX(Tabela1[[Curling - Men''s Tournament]:[Curling - Mixed Doubles]],MATCH(Table92[[#This Row],[Country]],Tabela1[Country], 0),0))</f>
        <v>0</v>
      </c>
      <c r="BD144" s="6">
        <f>SUM(INDEX(Tabela1[[Figure Skating - Men''s Singles]:[Figure Skating - Team Event]],MATCH(Table92[[#This Row],[Country]],Tabela1[Country], 0),0))</f>
        <v>0</v>
      </c>
      <c r="BE144" s="6">
        <f>SUM(INDEX(Tabela1[[Freestyle Skiing - Men''s Aerials]:[Freestyle Skiing - Women''s Slopestyle]],MATCH(Table92[[#This Row],[Country]],Tabela1[Country], 0),0))</f>
        <v>0</v>
      </c>
      <c r="BF144" s="6">
        <f>SUM(INDEX(Tabela1[[Ice Hockey - Men''s Tournament]:[Ice Hockey - Women''s Tournament]],MATCH(Table92[[#This Row],[Country]],Tabela1[Country], 0),0))</f>
        <v>0</v>
      </c>
      <c r="BG144" s="6">
        <f>SUM(INDEX(Tabela1[[Luge - Men''s Singles]:[Luge - Mixed Team Relay]],MATCH(Table92[[#This Row],[Country]],Tabela1[Country], 0),0))</f>
        <v>0</v>
      </c>
      <c r="BH144" s="6">
        <f>SUM(INDEX(Tabela1[[Nordic Combined - Men''s Individual]:[Nordic Combined - Men''s Team Sprint Large Hill]],MATCH(Table92[[#This Row],[Country]],Tabela1[Country], 0),0))</f>
        <v>0</v>
      </c>
      <c r="BI144" s="6">
        <f>SUM(INDEX(Tabela1[[Short track speed skating - Men''s 500m]:[Short track speed skating - Mixed 2000m Relay]],MATCH(Table92[[#This Row],[Country]],Tabela1[Country], 0),0))</f>
        <v>0</v>
      </c>
      <c r="BJ144" s="6">
        <f>SUM(INDEX(Tabela1[[Skeleton - Men''s Individual]:[Skeleton - Mixed Team]],MATCH(Table92[[#This Row],[Country]],Tabela1[Country], 0),0))</f>
        <v>0</v>
      </c>
      <c r="BK144" s="6">
        <f>SUM(INDEX(Tabela1[[Ski Jumping - Men''s Individual Large Hill]:[Ski Jumping - Mixed Team Normal Hill]],MATCH(Table92[[#This Row],[Country]],Tabela1[Country], 0),0))</f>
        <v>0</v>
      </c>
      <c r="BL144" s="6">
        <f>SUM(INDEX(Tabela1[[Ski Mountaineering - Men''s Sprint]:[Ski Mountaineering - Mixed Relay]],MATCH(Table92[[#This Row],[Country]],Tabela1[Country], 0),0))</f>
        <v>0</v>
      </c>
      <c r="BM144" s="6">
        <f>SUM(INDEX(Tabela1[[Snowboarding - Men''s Big Air]:[Snowboarding - Mixed Team Snowboard Cross]],MATCH(Table92[[#This Row],[Country]],Tabela1[Country], 0),0))</f>
        <v>0</v>
      </c>
      <c r="BN144" s="6">
        <f>SUM(INDEX(Tabela1[[Speed Skating - Men''s 500m]:[Speed Skating - Women''s Team Pursuit]],MATCH(Table92[[#This Row],[Country]],Tabela1[Country], 0),0))</f>
        <v>0</v>
      </c>
      <c r="BO144" s="6" t="str">
        <f>SUBSTITUTE(INDEX(Table92[[#Headers],[Archery Quotas]:[Speed Skating Quotas]], MATCH(MAX(Table92[[#This Row],[Archery Quotas]:[Speed Skating Quotas]]), Table92[[#This Row],[Archery Quotas]:[Speed Skating Quotas]], 0))," Quotas","")</f>
        <v>Badminton</v>
      </c>
      <c r="BP144" s="6">
        <f>SUM(Table92[[#This Row],[Summer Sports]:[Winter Sports]])</f>
        <v>1</v>
      </c>
      <c r="BQ144" s="6">
        <f>COUNTIF(Table92[[#This Row],[Archery Quotas]:[Wrestling Quotas]],"&lt;&gt;0")</f>
        <v>1</v>
      </c>
      <c r="BR144" s="6">
        <f>COUNTIF(Table92[[#This Row],[Alpine Skiing Quotas]:[Speed Skating Quotas]],"&lt;&gt;0")</f>
        <v>0</v>
      </c>
      <c r="BS144" s="4" t="s">
        <v>649</v>
      </c>
    </row>
    <row r="145" spans="1:71" x14ac:dyDescent="0.3">
      <c r="A145" s="6" t="s">
        <v>650</v>
      </c>
      <c r="B145" t="e" vm="139">
        <f>IF(ISBLANK(Table92[[#This Row],[Flag Link]]), "", _xlfn.IMAGE(Table92[[#This Row],[Flag Link]],1,1))</f>
        <v>#VALUE!</v>
      </c>
      <c r="C145" s="6">
        <f>SUM(Table92[[#This Row],[Archery Quotas]:[Speed Skating Quotas]])</f>
        <v>1</v>
      </c>
      <c r="D145" s="6">
        <f>SUM(INDEX(Tabela1[[Archery - Men''s Individual Recurve]:[Archery - Mixed Team Recurve]],MATCH(Table92[[#This Row],[Country]],Tabela1[Country], 0),0))</f>
        <v>0</v>
      </c>
      <c r="E145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45" s="6">
        <f>SUM(INDEX(Tabela1[[Artistic Swimming - Women''s Duet]:[Artistic Swimming - Women''s Team]],MATCH(Table92[[#This Row],[Country]],Tabela1[Country], 0),0))</f>
        <v>0</v>
      </c>
      <c r="G145" s="6">
        <f>SUM(INDEX(Tabela1[[Athletics - Men''s 100m]:[Athletics - Women''s Heptathlon]],MATCH(Table92[[#This Row],[Country]],Tabela1[Country], 0),0))</f>
        <v>0</v>
      </c>
      <c r="H145" s="6">
        <f>SUM(INDEX(Tabela1[[Badminton - Men''s Singles]:[Badminton - Mixed Doubles]],MATCH(Table92[[#This Row],[Country]],Tabela1[Country], 0),0))</f>
        <v>0</v>
      </c>
      <c r="I145" s="6">
        <f>SUM(INDEX(Tabela1[[Basketball - Men''s Tournament]:[Basketball - Women''s Tournament]],MATCH(Table92[[#This Row],[Country]],Tabela1[Country], 0),0))</f>
        <v>0</v>
      </c>
      <c r="J145" s="6">
        <f>SUM(INDEX(Tabela1[[3x3 Basketball - Men''s Tournament]:[3x3 Basketball - Women''s Tournament]],MATCH(Table92[[#This Row],[Country]],Tabela1[Country], 0),0))</f>
        <v>0</v>
      </c>
      <c r="K145" s="6">
        <f>SUM(INDEX(Tabela1[[Beach Volleyball - Men''s Tournament]:[Beach Volleyball - Women''s Tournament]],MATCH(Table92[[#This Row],[Country]],Tabela1[Country], 0),0))</f>
        <v>0</v>
      </c>
      <c r="L145" s="6">
        <f>SUM(INDEX(Tabela1[[Boxing - Men''s 51kg]:[Boxing - Women''s 75kg]],MATCH(Table92[[#This Row],[Country]],Tabela1[Country], 0),0))</f>
        <v>0</v>
      </c>
      <c r="M145" s="6">
        <f>SUM(INDEX(Tabela1[[Breaking - Men''s Individual]:[Breaking - Women''s Individual]],MATCH(Table92[[#This Row],[Country]],Tabela1[Country], 0),0))</f>
        <v>0</v>
      </c>
      <c r="N145" s="6">
        <f>SUM(INDEX(Tabela1[[Canoeing - Men''s C1 Slalom]:[Canoeing - Women''s Kayak Cross Slalom]],MATCH(Table92[[#This Row],[Country]],Tabela1[Country], 0),0))</f>
        <v>0</v>
      </c>
      <c r="O145" s="6">
        <f>SUM(INDEX(Tabela1[[Canoeing - Women''s C1 200m]:[Canoeing - Women''s K4 500m]],MATCH(Table92[[#This Row],[Country]],Tabela1[Country], 0),0))</f>
        <v>0</v>
      </c>
      <c r="P145" s="6">
        <f>SUM(INDEX(Tabela1[[Cycling - Men''s BMX Freestyle]:[Cycling - Women''s BMX Freestyle]],MATCH(Table92[[#This Row],[Country]],Tabela1[Country], 0),0))</f>
        <v>0</v>
      </c>
      <c r="Q145" s="6">
        <f>SUM(INDEX(Tabela1[[Cycling - Men''s BMX Racing]:[Cycling - Women''s BMX Racing]],MATCH(Table92[[#This Row],[Country]],Tabela1[Country], 0),0))</f>
        <v>0</v>
      </c>
      <c r="R145" s="6">
        <f>SUM(INDEX(Tabela1[[Cycling - Men''s Cross-Country]:[Cycling - Women''s Cross-Country]],MATCH(Table92[[#This Row],[Country]],Tabela1[Country], 0),0))</f>
        <v>0</v>
      </c>
      <c r="S145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1</v>
      </c>
      <c r="T145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45" s="6">
        <f>SUM(INDEX(Tabela1[[Diving - Men''s Springboard]:[Diving - Women''s Synchronized Platform]],MATCH(Table92[[#This Row],[Country]],Tabela1[Country], 0),0))</f>
        <v>0</v>
      </c>
      <c r="V145" s="6">
        <f>SUM(INDEX(Tabela1[[Equestrian - Individual Dressage]:[Equestrian - Team Dressage]],MATCH(Table92[[#This Row],[Country]],Tabela1[Country], 0),0))</f>
        <v>0</v>
      </c>
      <c r="W145" s="6">
        <f>SUM(INDEX(Tabela1[[Equestrian - Individual Eventing]:[Equestrian - Team Eventing]],MATCH(Table92[[#This Row],[Country]],Tabela1[Country], 0),0))</f>
        <v>0</v>
      </c>
      <c r="X145" s="6">
        <f>SUM(INDEX(Tabela1[[Equestrian - Individual Jumping]:[Equestrian - Team Jumping]],MATCH(Table92[[#This Row],[Country]],Tabela1[Country], 0),0))</f>
        <v>0</v>
      </c>
      <c r="Y145" s="6">
        <f>SUM(INDEX(Tabela1[[Fencing - Men''s Épée]:[Fencing - Women''s Team Sabre]],MATCH(Table92[[#This Row],[Country]],Tabela1[Country], 0),0))</f>
        <v>0</v>
      </c>
      <c r="Z145" s="6">
        <f>SUM(INDEX(Tabela1[[Field Hockey - Men''s Tournament]:[Field Hockey - Women''s Tournament]],MATCH(Table92[[#This Row],[Country]],Tabela1[Country], 0),0))</f>
        <v>0</v>
      </c>
      <c r="AA145" s="6">
        <f>SUM(INDEX(Tabela1[[Football - Men''s Tournament]:[Football - Women''s Tournament]],MATCH(Table92[[#This Row],[Country]],Tabela1[Country], 0),0))</f>
        <v>0</v>
      </c>
      <c r="AB145" s="6">
        <f>SUM(INDEX(Tabela1[[Golf - Men''s Individual]:[Golf - Women''s Individual]],MATCH(Table92[[#This Row],[Country]],Tabela1[Country], 0),0))</f>
        <v>0</v>
      </c>
      <c r="AC145" s="6">
        <f>SUM(INDEX(Tabela1[[Handball - Men''s Tournament]:[Handball - Women''s Tournament]],MATCH(Table92[[#This Row],[Country]],Tabela1[Country], 0),0))</f>
        <v>0</v>
      </c>
      <c r="AD145" s="6">
        <f>SUM(INDEX(Tabela1[[Judo - Men''s 60kg]:[Judo - Mixed Team]],MATCH(Table92[[#This Row],[Country]],Tabela1[Country], 0),0))</f>
        <v>0</v>
      </c>
      <c r="AE145" s="6">
        <f>SUM(INDEX(Tabela1[[Swimming - Men''s 10km Open Water]:[Swimming - Women''s 10km Open Water]],MATCH(Table92[[#This Row],[Country]],Tabela1[Country], 0),0))</f>
        <v>0</v>
      </c>
      <c r="AF145" s="6">
        <f>SUM(INDEX(Tabela1[[Modern Pentathlon - Men''s Individual]:[Modern Pentathlon - Women''s Individual]],MATCH(Table92[[#This Row],[Country]],Tabela1[Country], 0),0))</f>
        <v>0</v>
      </c>
      <c r="AG145" s="6">
        <f>SUM(INDEX(Tabela1[[Rhythmic Gymnastics - Women''s Individual All-Around]:[Rhythmic Gymnastics - Women''s Group All-Around]],MATCH(Table92[[#This Row],[Country]],Tabela1[Country], 0),0))</f>
        <v>0</v>
      </c>
      <c r="AH145" s="6">
        <f>SUM(INDEX(Tabela1[[Rowing - Men''s Single Sculls]:[Rowing - Women''s Lwt. Double Sculls]],MATCH(Table92[[#This Row],[Country]],Tabela1[Country], 0),0))</f>
        <v>0</v>
      </c>
      <c r="AI145" s="6">
        <f>SUM(INDEX(Tabela1[[Rugby Sevens - Men''s Tournament]:[Rugby Sevens - Women''s Tournament]],MATCH(Table92[[#This Row],[Country]],Tabela1[Country], 0),0))</f>
        <v>0</v>
      </c>
      <c r="AJ145" s="6">
        <f>SUM(INDEX(Tabela1[[Sailing - Mixed 470]:[Sailing - Mixed Nacra 17]],MATCH(Table92[[#This Row],[Country]],Tabela1[Country], 0),0))</f>
        <v>0</v>
      </c>
      <c r="AK145" s="6">
        <f>SUM(INDEX(Tabela1[[Shooting - Men''s 10m Air Pistol]:[Shooting - Women''s Trap]],MATCH(Table92[[#This Row],[Country]],Tabela1[Country], 0),0))</f>
        <v>0</v>
      </c>
      <c r="AL145" s="6">
        <f>SUM(INDEX(Tabela1[[Skateboarding - Men''s Park]:[Skateboarding - Women''s Street]],MATCH(Table92[[#This Row],[Country]],Tabela1[Country], 0),0))</f>
        <v>0</v>
      </c>
      <c r="AM145" s="6">
        <f>SUM(INDEX(Tabela1[[Sport Climbing - Men''s Boulder and Lead]:[Sport Climbing - Women''s Speed]],MATCH(Table92[[#This Row],[Country]],Tabela1[Country], 0),0))</f>
        <v>0</v>
      </c>
      <c r="AN145" s="6">
        <f>SUM(INDEX(Tabela1[[Surfing - Men''s Shortboard]:[Surfing - Women''s Shortboard]],MATCH(Table92[[#This Row],[Country]],Tabela1[Country], 0),0))</f>
        <v>0</v>
      </c>
      <c r="AO145" s="6">
        <f>SUM(INDEX(Tabela1[[Swimming - Men''s 50m Freestyle]:[Swimming - Mixed 4x100m Medley Relay]],MATCH(Table92[[#This Row],[Country]],Tabela1[Country], 0),0))</f>
        <v>0</v>
      </c>
      <c r="AP145" s="6">
        <f>SUM(INDEX(Tabela1[[Table Tennis - Men''s Singles]:[Table Tennis - Mixed Doubles]],MATCH(Table92[[#This Row],[Country]],Tabela1[Country], 0),0))</f>
        <v>0</v>
      </c>
      <c r="AQ145" s="6">
        <f>SUM(INDEX(Tabela1[[Taekwondo - Men''s 58kg]:[Taekwondo - Women''s +67kg]],MATCH(Table92[[#This Row],[Country]],Tabela1[Country], 0),0))</f>
        <v>0</v>
      </c>
      <c r="AR145" s="6">
        <f>SUM(INDEX(Tabela1[[Tennis - Men''s Singles]:[Tennis - Mixed Doubles]],MATCH(Table92[[#This Row],[Country]],Tabela1[Country], 0),0))</f>
        <v>0</v>
      </c>
      <c r="AS145" s="6">
        <f>SUM(INDEX(Tabela1[[Gymnastics - Men''s Trampoline]:[Gymnastics - Women''s Trampoline]],MATCH(Table92[[#This Row],[Country]],Tabela1[Country], 0),0))</f>
        <v>0</v>
      </c>
      <c r="AT145" s="6">
        <f>SUM(INDEX(Tabela1[[Triathlon - Men''s Individual]:[Triathlon - Mixed Relay]],MATCH(Table92[[#This Row],[Country]],Tabela1[Country], 0),0))</f>
        <v>0</v>
      </c>
      <c r="AU145" s="6">
        <f>SUM(INDEX(Tabela1[[Volleyball - Men''s Tournament]:[Volleyball - Women''s Tournament]],MATCH(Table92[[#This Row],[Country]],Tabela1[Country], 0),0))</f>
        <v>0</v>
      </c>
      <c r="AV145" s="6">
        <f>SUM(INDEX(Tabela1[[Water Polo - Men''s Tournament]:[Water Polo - Women''s Tournament]],MATCH(Table92[[#This Row],[Country]],Tabela1[Country], 0),0))</f>
        <v>0</v>
      </c>
      <c r="AW145" s="6">
        <f>SUM(INDEX(Tabela1[[Weightlifting - Men''s 61kg]:[Weightlifting - Women''s +81kg]],MATCH(Table92[[#This Row],[Country]],Tabela1[Country], 0),0))</f>
        <v>0</v>
      </c>
      <c r="AX145" s="6">
        <f>SUM(INDEX(Tabela1[[Wrestling - Men''s Freestyle 57kg]:[Wrestling - Women''s Freestyle 76kg]],MATCH(Table92[[#This Row],[Country]],Tabela1[Country], 0),0))</f>
        <v>0</v>
      </c>
      <c r="AY145" s="6">
        <f>SUM(INDEX(Tabela1[[Alpine Skiing - Men''s Downhill]:[Alpine Skiing - Women''s Team Combined]],MATCH(Table92[[#This Row],[Country]],Tabela1[Country], 0),0))</f>
        <v>0</v>
      </c>
      <c r="AZ145" s="6">
        <f>SUM(INDEX(Tabela1[[Biathlon - Men''s Individual]:[Biathlon - Mixed Relay]],MATCH(Table92[[#This Row],[Country]],Tabela1[Country], 0),0))</f>
        <v>0</v>
      </c>
      <c r="BA145" s="6">
        <f>SUM(INDEX(Tabela1[[Bobsleigh - Women''s Monobob]:[Bobsleigh - Men''s Four]],MATCH(Table92[[#This Row],[Country]],Tabela1[Country], 0),0))</f>
        <v>0</v>
      </c>
      <c r="BB145" s="6">
        <f>SUM(INDEX(Tabela1[[Cross-country skiing - Men''s Classical]:[Cross-country skiing - Women''s Team Sprint]],MATCH(Table92[[#This Row],[Country]],Tabela1[Country], 0),0))</f>
        <v>0</v>
      </c>
      <c r="BC145" s="6">
        <f>SUM(INDEX(Tabela1[[Curling - Men''s Tournament]:[Curling - Mixed Doubles]],MATCH(Table92[[#This Row],[Country]],Tabela1[Country], 0),0))</f>
        <v>0</v>
      </c>
      <c r="BD145" s="6">
        <f>SUM(INDEX(Tabela1[[Figure Skating - Men''s Singles]:[Figure Skating - Team Event]],MATCH(Table92[[#This Row],[Country]],Tabela1[Country], 0),0))</f>
        <v>0</v>
      </c>
      <c r="BE145" s="6">
        <f>SUM(INDEX(Tabela1[[Freestyle Skiing - Men''s Aerials]:[Freestyle Skiing - Women''s Slopestyle]],MATCH(Table92[[#This Row],[Country]],Tabela1[Country], 0),0))</f>
        <v>0</v>
      </c>
      <c r="BF145" s="6">
        <f>SUM(INDEX(Tabela1[[Ice Hockey - Men''s Tournament]:[Ice Hockey - Women''s Tournament]],MATCH(Table92[[#This Row],[Country]],Tabela1[Country], 0),0))</f>
        <v>0</v>
      </c>
      <c r="BG145" s="6">
        <f>SUM(INDEX(Tabela1[[Luge - Men''s Singles]:[Luge - Mixed Team Relay]],MATCH(Table92[[#This Row],[Country]],Tabela1[Country], 0),0))</f>
        <v>0</v>
      </c>
      <c r="BH145" s="6">
        <f>SUM(INDEX(Tabela1[[Nordic Combined - Men''s Individual]:[Nordic Combined - Men''s Team Sprint Large Hill]],MATCH(Table92[[#This Row],[Country]],Tabela1[Country], 0),0))</f>
        <v>0</v>
      </c>
      <c r="BI145" s="6">
        <f>SUM(INDEX(Tabela1[[Short track speed skating - Men''s 500m]:[Short track speed skating - Mixed 2000m Relay]],MATCH(Table92[[#This Row],[Country]],Tabela1[Country], 0),0))</f>
        <v>0</v>
      </c>
      <c r="BJ145" s="6">
        <f>SUM(INDEX(Tabela1[[Skeleton - Men''s Individual]:[Skeleton - Mixed Team]],MATCH(Table92[[#This Row],[Country]],Tabela1[Country], 0),0))</f>
        <v>0</v>
      </c>
      <c r="BK145" s="6">
        <f>SUM(INDEX(Tabela1[[Ski Jumping - Men''s Individual Large Hill]:[Ski Jumping - Mixed Team Normal Hill]],MATCH(Table92[[#This Row],[Country]],Tabela1[Country], 0),0))</f>
        <v>0</v>
      </c>
      <c r="BL145" s="6">
        <f>SUM(INDEX(Tabela1[[Ski Mountaineering - Men''s Sprint]:[Ski Mountaineering - Mixed Relay]],MATCH(Table92[[#This Row],[Country]],Tabela1[Country], 0),0))</f>
        <v>0</v>
      </c>
      <c r="BM145" s="6">
        <f>SUM(INDEX(Tabela1[[Snowboarding - Men''s Big Air]:[Snowboarding - Mixed Team Snowboard Cross]],MATCH(Table92[[#This Row],[Country]],Tabela1[Country], 0),0))</f>
        <v>0</v>
      </c>
      <c r="BN145" s="6">
        <f>SUM(INDEX(Tabela1[[Speed Skating - Men''s 500m]:[Speed Skating - Women''s Team Pursuit]],MATCH(Table92[[#This Row],[Country]],Tabela1[Country], 0),0))</f>
        <v>0</v>
      </c>
      <c r="BO145" s="6" t="str">
        <f>SUBSTITUTE(INDEX(Table92[[#Headers],[Archery Quotas]:[Speed Skating Quotas]], MATCH(MAX(Table92[[#This Row],[Archery Quotas]:[Speed Skating Quotas]]), Table92[[#This Row],[Archery Quotas]:[Speed Skating Quotas]], 0))," Quotas","")</f>
        <v>Cycling Road</v>
      </c>
      <c r="BP145" s="6">
        <f>SUM(Table92[[#This Row],[Summer Sports]:[Winter Sports]])</f>
        <v>1</v>
      </c>
      <c r="BQ145" s="6">
        <f>COUNTIF(Table92[[#This Row],[Archery Quotas]:[Wrestling Quotas]],"&lt;&gt;0")</f>
        <v>1</v>
      </c>
      <c r="BR145" s="6">
        <f>COUNTIF(Table92[[#This Row],[Alpine Skiing Quotas]:[Speed Skating Quotas]],"&lt;&gt;0")</f>
        <v>0</v>
      </c>
      <c r="BS145" s="4" t="s">
        <v>651</v>
      </c>
    </row>
    <row r="146" spans="1:71" x14ac:dyDescent="0.3">
      <c r="A146" s="6" t="s">
        <v>656</v>
      </c>
      <c r="B146" t="e" vm="143">
        <f>IF(ISBLANK(Table92[[#This Row],[Flag Link]]), "", _xlfn.IMAGE(Table92[[#This Row],[Flag Link]],1,1))</f>
        <v>#VALUE!</v>
      </c>
      <c r="C146" s="6">
        <f>SUM(Table92[[#This Row],[Archery Quotas]:[Speed Skating Quotas]])</f>
        <v>1</v>
      </c>
      <c r="D146" s="6">
        <f>SUM(INDEX(Tabela1[[Archery - Men''s Individual Recurve]:[Archery - Mixed Team Recurve]],MATCH(Table92[[#This Row],[Country]],Tabela1[Country], 0),0))</f>
        <v>0</v>
      </c>
      <c r="E146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46" s="6">
        <f>SUM(INDEX(Tabela1[[Artistic Swimming - Women''s Duet]:[Artistic Swimming - Women''s Team]],MATCH(Table92[[#This Row],[Country]],Tabela1[Country], 0),0))</f>
        <v>0</v>
      </c>
      <c r="G146" s="6">
        <f>SUM(INDEX(Tabela1[[Athletics - Men''s 100m]:[Athletics - Women''s Heptathlon]],MATCH(Table92[[#This Row],[Country]],Tabela1[Country], 0),0))</f>
        <v>0</v>
      </c>
      <c r="H146" s="6">
        <f>SUM(INDEX(Tabela1[[Badminton - Men''s Singles]:[Badminton - Mixed Doubles]],MATCH(Table92[[#This Row],[Country]],Tabela1[Country], 0),0))</f>
        <v>0</v>
      </c>
      <c r="I146" s="6">
        <f>SUM(INDEX(Tabela1[[Basketball - Men''s Tournament]:[Basketball - Women''s Tournament]],MATCH(Table92[[#This Row],[Country]],Tabela1[Country], 0),0))</f>
        <v>0</v>
      </c>
      <c r="J146" s="6">
        <f>SUM(INDEX(Tabela1[[3x3 Basketball - Men''s Tournament]:[3x3 Basketball - Women''s Tournament]],MATCH(Table92[[#This Row],[Country]],Tabela1[Country], 0),0))</f>
        <v>0</v>
      </c>
      <c r="K146" s="6">
        <f>SUM(INDEX(Tabela1[[Beach Volleyball - Men''s Tournament]:[Beach Volleyball - Women''s Tournament]],MATCH(Table92[[#This Row],[Country]],Tabela1[Country], 0),0))</f>
        <v>0</v>
      </c>
      <c r="L146" s="6">
        <f>SUM(INDEX(Tabela1[[Boxing - Men''s 51kg]:[Boxing - Women''s 75kg]],MATCH(Table92[[#This Row],[Country]],Tabela1[Country], 0),0))</f>
        <v>0</v>
      </c>
      <c r="M146" s="6">
        <f>SUM(INDEX(Tabela1[[Breaking - Men''s Individual]:[Breaking - Women''s Individual]],MATCH(Table92[[#This Row],[Country]],Tabela1[Country], 0),0))</f>
        <v>0</v>
      </c>
      <c r="N146" s="6">
        <f>SUM(INDEX(Tabela1[[Canoeing - Men''s C1 Slalom]:[Canoeing - Women''s Kayak Cross Slalom]],MATCH(Table92[[#This Row],[Country]],Tabela1[Country], 0),0))</f>
        <v>0</v>
      </c>
      <c r="O146" s="6">
        <f>SUM(INDEX(Tabela1[[Canoeing - Women''s C1 200m]:[Canoeing - Women''s K4 500m]],MATCH(Table92[[#This Row],[Country]],Tabela1[Country], 0),0))</f>
        <v>0</v>
      </c>
      <c r="P146" s="6">
        <f>SUM(INDEX(Tabela1[[Cycling - Men''s BMX Freestyle]:[Cycling - Women''s BMX Freestyle]],MATCH(Table92[[#This Row],[Country]],Tabela1[Country], 0),0))</f>
        <v>0</v>
      </c>
      <c r="Q146" s="6">
        <f>SUM(INDEX(Tabela1[[Cycling - Men''s BMX Racing]:[Cycling - Women''s BMX Racing]],MATCH(Table92[[#This Row],[Country]],Tabela1[Country], 0),0))</f>
        <v>0</v>
      </c>
      <c r="R146" s="6">
        <f>SUM(INDEX(Tabela1[[Cycling - Men''s Cross-Country]:[Cycling - Women''s Cross-Country]],MATCH(Table92[[#This Row],[Country]],Tabela1[Country], 0),0))</f>
        <v>0</v>
      </c>
      <c r="S146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46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46" s="6">
        <f>SUM(INDEX(Tabela1[[Diving - Men''s Springboard]:[Diving - Women''s Synchronized Platform]],MATCH(Table92[[#This Row],[Country]],Tabela1[Country], 0),0))</f>
        <v>0</v>
      </c>
      <c r="V146" s="6">
        <f>SUM(INDEX(Tabela1[[Equestrian - Individual Dressage]:[Equestrian - Team Dressage]],MATCH(Table92[[#This Row],[Country]],Tabela1[Country], 0),0))</f>
        <v>0</v>
      </c>
      <c r="W146" s="6">
        <f>SUM(INDEX(Tabela1[[Equestrian - Individual Eventing]:[Equestrian - Team Eventing]],MATCH(Table92[[#This Row],[Country]],Tabela1[Country], 0),0))</f>
        <v>0</v>
      </c>
      <c r="X146" s="6">
        <f>SUM(INDEX(Tabela1[[Equestrian - Individual Jumping]:[Equestrian - Team Jumping]],MATCH(Table92[[#This Row],[Country]],Tabela1[Country], 0),0))</f>
        <v>0</v>
      </c>
      <c r="Y146" s="6">
        <f>SUM(INDEX(Tabela1[[Fencing - Men''s Épée]:[Fencing - Women''s Team Sabre]],MATCH(Table92[[#This Row],[Country]],Tabela1[Country], 0),0))</f>
        <v>1</v>
      </c>
      <c r="Z146" s="6">
        <f>SUM(INDEX(Tabela1[[Field Hockey - Men''s Tournament]:[Field Hockey - Women''s Tournament]],MATCH(Table92[[#This Row],[Country]],Tabela1[Country], 0),0))</f>
        <v>0</v>
      </c>
      <c r="AA146" s="6">
        <f>SUM(INDEX(Tabela1[[Football - Men''s Tournament]:[Football - Women''s Tournament]],MATCH(Table92[[#This Row],[Country]],Tabela1[Country], 0),0))</f>
        <v>0</v>
      </c>
      <c r="AB146" s="6">
        <f>SUM(INDEX(Tabela1[[Golf - Men''s Individual]:[Golf - Women''s Individual]],MATCH(Table92[[#This Row],[Country]],Tabela1[Country], 0),0))</f>
        <v>0</v>
      </c>
      <c r="AC146" s="6">
        <f>SUM(INDEX(Tabela1[[Handball - Men''s Tournament]:[Handball - Women''s Tournament]],MATCH(Table92[[#This Row],[Country]],Tabela1[Country], 0),0))</f>
        <v>0</v>
      </c>
      <c r="AD146" s="6">
        <f>SUM(INDEX(Tabela1[[Judo - Men''s 60kg]:[Judo - Mixed Team]],MATCH(Table92[[#This Row],[Country]],Tabela1[Country], 0),0))</f>
        <v>0</v>
      </c>
      <c r="AE146" s="6">
        <f>SUM(INDEX(Tabela1[[Swimming - Men''s 10km Open Water]:[Swimming - Women''s 10km Open Water]],MATCH(Table92[[#This Row],[Country]],Tabela1[Country], 0),0))</f>
        <v>0</v>
      </c>
      <c r="AF146" s="6">
        <f>SUM(INDEX(Tabela1[[Modern Pentathlon - Men''s Individual]:[Modern Pentathlon - Women''s Individual]],MATCH(Table92[[#This Row],[Country]],Tabela1[Country], 0),0))</f>
        <v>0</v>
      </c>
      <c r="AG146" s="6">
        <f>SUM(INDEX(Tabela1[[Rhythmic Gymnastics - Women''s Individual All-Around]:[Rhythmic Gymnastics - Women''s Group All-Around]],MATCH(Table92[[#This Row],[Country]],Tabela1[Country], 0),0))</f>
        <v>0</v>
      </c>
      <c r="AH146" s="6">
        <f>SUM(INDEX(Tabela1[[Rowing - Men''s Single Sculls]:[Rowing - Women''s Lwt. Double Sculls]],MATCH(Table92[[#This Row],[Country]],Tabela1[Country], 0),0))</f>
        <v>0</v>
      </c>
      <c r="AI146" s="6">
        <f>SUM(INDEX(Tabela1[[Rugby Sevens - Men''s Tournament]:[Rugby Sevens - Women''s Tournament]],MATCH(Table92[[#This Row],[Country]],Tabela1[Country], 0),0))</f>
        <v>0</v>
      </c>
      <c r="AJ146" s="6">
        <f>SUM(INDEX(Tabela1[[Sailing - Mixed 470]:[Sailing - Mixed Nacra 17]],MATCH(Table92[[#This Row],[Country]],Tabela1[Country], 0),0))</f>
        <v>0</v>
      </c>
      <c r="AK146" s="6">
        <f>SUM(INDEX(Tabela1[[Shooting - Men''s 10m Air Pistol]:[Shooting - Women''s Trap]],MATCH(Table92[[#This Row],[Country]],Tabela1[Country], 0),0))</f>
        <v>0</v>
      </c>
      <c r="AL146" s="6">
        <f>SUM(INDEX(Tabela1[[Skateboarding - Men''s Park]:[Skateboarding - Women''s Street]],MATCH(Table92[[#This Row],[Country]],Tabela1[Country], 0),0))</f>
        <v>0</v>
      </c>
      <c r="AM146" s="6">
        <f>SUM(INDEX(Tabela1[[Sport Climbing - Men''s Boulder and Lead]:[Sport Climbing - Women''s Speed]],MATCH(Table92[[#This Row],[Country]],Tabela1[Country], 0),0))</f>
        <v>0</v>
      </c>
      <c r="AN146" s="6">
        <f>SUM(INDEX(Tabela1[[Surfing - Men''s Shortboard]:[Surfing - Women''s Shortboard]],MATCH(Table92[[#This Row],[Country]],Tabela1[Country], 0),0))</f>
        <v>0</v>
      </c>
      <c r="AO146" s="6">
        <f>SUM(INDEX(Tabela1[[Swimming - Men''s 50m Freestyle]:[Swimming - Mixed 4x100m Medley Relay]],MATCH(Table92[[#This Row],[Country]],Tabela1[Country], 0),0))</f>
        <v>0</v>
      </c>
      <c r="AP146" s="6">
        <f>SUM(INDEX(Tabela1[[Table Tennis - Men''s Singles]:[Table Tennis - Mixed Doubles]],MATCH(Table92[[#This Row],[Country]],Tabela1[Country], 0),0))</f>
        <v>0</v>
      </c>
      <c r="AQ146" s="6">
        <f>SUM(INDEX(Tabela1[[Taekwondo - Men''s 58kg]:[Taekwondo - Women''s +67kg]],MATCH(Table92[[#This Row],[Country]],Tabela1[Country], 0),0))</f>
        <v>0</v>
      </c>
      <c r="AR146" s="6">
        <f>SUM(INDEX(Tabela1[[Tennis - Men''s Singles]:[Tennis - Mixed Doubles]],MATCH(Table92[[#This Row],[Country]],Tabela1[Country], 0),0))</f>
        <v>0</v>
      </c>
      <c r="AS146" s="6">
        <f>SUM(INDEX(Tabela1[[Gymnastics - Men''s Trampoline]:[Gymnastics - Women''s Trampoline]],MATCH(Table92[[#This Row],[Country]],Tabela1[Country], 0),0))</f>
        <v>0</v>
      </c>
      <c r="AT146" s="6">
        <f>SUM(INDEX(Tabela1[[Triathlon - Men''s Individual]:[Triathlon - Mixed Relay]],MATCH(Table92[[#This Row],[Country]],Tabela1[Country], 0),0))</f>
        <v>0</v>
      </c>
      <c r="AU146" s="6">
        <f>SUM(INDEX(Tabela1[[Volleyball - Men''s Tournament]:[Volleyball - Women''s Tournament]],MATCH(Table92[[#This Row],[Country]],Tabela1[Country], 0),0))</f>
        <v>0</v>
      </c>
      <c r="AV146" s="6">
        <f>SUM(INDEX(Tabela1[[Water Polo - Men''s Tournament]:[Water Polo - Women''s Tournament]],MATCH(Table92[[#This Row],[Country]],Tabela1[Country], 0),0))</f>
        <v>0</v>
      </c>
      <c r="AW146" s="6">
        <f>SUM(INDEX(Tabela1[[Weightlifting - Men''s 61kg]:[Weightlifting - Women''s +81kg]],MATCH(Table92[[#This Row],[Country]],Tabela1[Country], 0),0))</f>
        <v>0</v>
      </c>
      <c r="AX146" s="6">
        <f>SUM(INDEX(Tabela1[[Wrestling - Men''s Freestyle 57kg]:[Wrestling - Women''s Freestyle 76kg]],MATCH(Table92[[#This Row],[Country]],Tabela1[Country], 0),0))</f>
        <v>0</v>
      </c>
      <c r="AY146" s="6">
        <f>SUM(INDEX(Tabela1[[Alpine Skiing - Men''s Downhill]:[Alpine Skiing - Women''s Team Combined]],MATCH(Table92[[#This Row],[Country]],Tabela1[Country], 0),0))</f>
        <v>0</v>
      </c>
      <c r="AZ146" s="6">
        <f>SUM(INDEX(Tabela1[[Biathlon - Men''s Individual]:[Biathlon - Mixed Relay]],MATCH(Table92[[#This Row],[Country]],Tabela1[Country], 0),0))</f>
        <v>0</v>
      </c>
      <c r="BA146" s="6">
        <f>SUM(INDEX(Tabela1[[Bobsleigh - Women''s Monobob]:[Bobsleigh - Men''s Four]],MATCH(Table92[[#This Row],[Country]],Tabela1[Country], 0),0))</f>
        <v>0</v>
      </c>
      <c r="BB146" s="6">
        <f>SUM(INDEX(Tabela1[[Cross-country skiing - Men''s Classical]:[Cross-country skiing - Women''s Team Sprint]],MATCH(Table92[[#This Row],[Country]],Tabela1[Country], 0),0))</f>
        <v>0</v>
      </c>
      <c r="BC146" s="6">
        <f>SUM(INDEX(Tabela1[[Curling - Men''s Tournament]:[Curling - Mixed Doubles]],MATCH(Table92[[#This Row],[Country]],Tabela1[Country], 0),0))</f>
        <v>0</v>
      </c>
      <c r="BD146" s="6">
        <f>SUM(INDEX(Tabela1[[Figure Skating - Men''s Singles]:[Figure Skating - Team Event]],MATCH(Table92[[#This Row],[Country]],Tabela1[Country], 0),0))</f>
        <v>0</v>
      </c>
      <c r="BE146" s="6">
        <f>SUM(INDEX(Tabela1[[Freestyle Skiing - Men''s Aerials]:[Freestyle Skiing - Women''s Slopestyle]],MATCH(Table92[[#This Row],[Country]],Tabela1[Country], 0),0))</f>
        <v>0</v>
      </c>
      <c r="BF146" s="6">
        <f>SUM(INDEX(Tabela1[[Ice Hockey - Men''s Tournament]:[Ice Hockey - Women''s Tournament]],MATCH(Table92[[#This Row],[Country]],Tabela1[Country], 0),0))</f>
        <v>0</v>
      </c>
      <c r="BG146" s="6">
        <f>SUM(INDEX(Tabela1[[Luge - Men''s Singles]:[Luge - Mixed Team Relay]],MATCH(Table92[[#This Row],[Country]],Tabela1[Country], 0),0))</f>
        <v>0</v>
      </c>
      <c r="BH146" s="6">
        <f>SUM(INDEX(Tabela1[[Nordic Combined - Men''s Individual]:[Nordic Combined - Men''s Team Sprint Large Hill]],MATCH(Table92[[#This Row],[Country]],Tabela1[Country], 0),0))</f>
        <v>0</v>
      </c>
      <c r="BI146" s="6">
        <f>SUM(INDEX(Tabela1[[Short track speed skating - Men''s 500m]:[Short track speed skating - Mixed 2000m Relay]],MATCH(Table92[[#This Row],[Country]],Tabela1[Country], 0),0))</f>
        <v>0</v>
      </c>
      <c r="BJ146" s="6">
        <f>SUM(INDEX(Tabela1[[Skeleton - Men''s Individual]:[Skeleton - Mixed Team]],MATCH(Table92[[#This Row],[Country]],Tabela1[Country], 0),0))</f>
        <v>0</v>
      </c>
      <c r="BK146" s="6">
        <f>SUM(INDEX(Tabela1[[Ski Jumping - Men''s Individual Large Hill]:[Ski Jumping - Mixed Team Normal Hill]],MATCH(Table92[[#This Row],[Country]],Tabela1[Country], 0),0))</f>
        <v>0</v>
      </c>
      <c r="BL146" s="6">
        <f>SUM(INDEX(Tabela1[[Ski Mountaineering - Men''s Sprint]:[Ski Mountaineering - Mixed Relay]],MATCH(Table92[[#This Row],[Country]],Tabela1[Country], 0),0))</f>
        <v>0</v>
      </c>
      <c r="BM146" s="6">
        <f>SUM(INDEX(Tabela1[[Snowboarding - Men''s Big Air]:[Snowboarding - Mixed Team Snowboard Cross]],MATCH(Table92[[#This Row],[Country]],Tabela1[Country], 0),0))</f>
        <v>0</v>
      </c>
      <c r="BN146" s="6">
        <f>SUM(INDEX(Tabela1[[Speed Skating - Men''s 500m]:[Speed Skating - Women''s Team Pursuit]],MATCH(Table92[[#This Row],[Country]],Tabela1[Country], 0),0))</f>
        <v>0</v>
      </c>
      <c r="BO146" s="6" t="str">
        <f>SUBSTITUTE(INDEX(Table92[[#Headers],[Archery Quotas]:[Speed Skating Quotas]], MATCH(MAX(Table92[[#This Row],[Archery Quotas]:[Speed Skating Quotas]]), Table92[[#This Row],[Archery Quotas]:[Speed Skating Quotas]], 0))," Quotas","")</f>
        <v>Fencing</v>
      </c>
      <c r="BP146" s="6">
        <f>SUM(Table92[[#This Row],[Summer Sports]:[Winter Sports]])</f>
        <v>1</v>
      </c>
      <c r="BQ146" s="6">
        <f>COUNTIF(Table92[[#This Row],[Archery Quotas]:[Wrestling Quotas]],"&lt;&gt;0")</f>
        <v>1</v>
      </c>
      <c r="BR146" s="6">
        <f>COUNTIF(Table92[[#This Row],[Alpine Skiing Quotas]:[Speed Skating Quotas]],"&lt;&gt;0")</f>
        <v>0</v>
      </c>
      <c r="BS146" s="4" t="s">
        <v>657</v>
      </c>
    </row>
    <row r="147" spans="1:71" x14ac:dyDescent="0.3">
      <c r="A147" s="6" t="s">
        <v>658</v>
      </c>
      <c r="B147" t="e" vm="133">
        <f>IF(ISBLANK(Table92[[#This Row],[Flag Link]]), "", _xlfn.IMAGE(Table92[[#This Row],[Flag Link]],1,1))</f>
        <v>#VALUE!</v>
      </c>
      <c r="C147" s="6">
        <f>SUM(Table92[[#This Row],[Archery Quotas]:[Speed Skating Quotas]])</f>
        <v>1</v>
      </c>
      <c r="D147" s="6">
        <f>SUM(INDEX(Tabela1[[Archery - Men''s Individual Recurve]:[Archery - Mixed Team Recurve]],MATCH(Table92[[#This Row],[Country]],Tabela1[Country], 0),0))</f>
        <v>0</v>
      </c>
      <c r="E147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47" s="6">
        <f>SUM(INDEX(Tabela1[[Artistic Swimming - Women''s Duet]:[Artistic Swimming - Women''s Team]],MATCH(Table92[[#This Row],[Country]],Tabela1[Country], 0),0))</f>
        <v>0</v>
      </c>
      <c r="G147" s="6">
        <f>SUM(INDEX(Tabela1[[Athletics - Men''s 100m]:[Athletics - Women''s Heptathlon]],MATCH(Table92[[#This Row],[Country]],Tabela1[Country], 0),0))</f>
        <v>0</v>
      </c>
      <c r="H147" s="6">
        <f>SUM(INDEX(Tabela1[[Badminton - Men''s Singles]:[Badminton - Mixed Doubles]],MATCH(Table92[[#This Row],[Country]],Tabela1[Country], 0),0))</f>
        <v>0</v>
      </c>
      <c r="I147" s="6">
        <f>SUM(INDEX(Tabela1[[Basketball - Men''s Tournament]:[Basketball - Women''s Tournament]],MATCH(Table92[[#This Row],[Country]],Tabela1[Country], 0),0))</f>
        <v>0</v>
      </c>
      <c r="J147" s="6">
        <f>SUM(INDEX(Tabela1[[3x3 Basketball - Men''s Tournament]:[3x3 Basketball - Women''s Tournament]],MATCH(Table92[[#This Row],[Country]],Tabela1[Country], 0),0))</f>
        <v>0</v>
      </c>
      <c r="K147" s="6">
        <f>SUM(INDEX(Tabela1[[Beach Volleyball - Men''s Tournament]:[Beach Volleyball - Women''s Tournament]],MATCH(Table92[[#This Row],[Country]],Tabela1[Country], 0),0))</f>
        <v>0</v>
      </c>
      <c r="L147" s="6">
        <f>SUM(INDEX(Tabela1[[Boxing - Men''s 51kg]:[Boxing - Women''s 75kg]],MATCH(Table92[[#This Row],[Country]],Tabela1[Country], 0),0))</f>
        <v>1</v>
      </c>
      <c r="M147" s="6">
        <f>SUM(INDEX(Tabela1[[Breaking - Men''s Individual]:[Breaking - Women''s Individual]],MATCH(Table92[[#This Row],[Country]],Tabela1[Country], 0),0))</f>
        <v>0</v>
      </c>
      <c r="N147" s="6">
        <f>SUM(INDEX(Tabela1[[Canoeing - Men''s C1 Slalom]:[Canoeing - Women''s Kayak Cross Slalom]],MATCH(Table92[[#This Row],[Country]],Tabela1[Country], 0),0))</f>
        <v>0</v>
      </c>
      <c r="O147" s="6">
        <f>SUM(INDEX(Tabela1[[Canoeing - Women''s C1 200m]:[Canoeing - Women''s K4 500m]],MATCH(Table92[[#This Row],[Country]],Tabela1[Country], 0),0))</f>
        <v>0</v>
      </c>
      <c r="P147" s="6">
        <f>SUM(INDEX(Tabela1[[Cycling - Men''s BMX Freestyle]:[Cycling - Women''s BMX Freestyle]],MATCH(Table92[[#This Row],[Country]],Tabela1[Country], 0),0))</f>
        <v>0</v>
      </c>
      <c r="Q147" s="6">
        <f>SUM(INDEX(Tabela1[[Cycling - Men''s BMX Racing]:[Cycling - Women''s BMX Racing]],MATCH(Table92[[#This Row],[Country]],Tabela1[Country], 0),0))</f>
        <v>0</v>
      </c>
      <c r="R147" s="6">
        <f>SUM(INDEX(Tabela1[[Cycling - Men''s Cross-Country]:[Cycling - Women''s Cross-Country]],MATCH(Table92[[#This Row],[Country]],Tabela1[Country], 0),0))</f>
        <v>0</v>
      </c>
      <c r="S147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47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47" s="6">
        <f>SUM(INDEX(Tabela1[[Diving - Men''s Springboard]:[Diving - Women''s Synchronized Platform]],MATCH(Table92[[#This Row],[Country]],Tabela1[Country], 0),0))</f>
        <v>0</v>
      </c>
      <c r="V147" s="6">
        <f>SUM(INDEX(Tabela1[[Equestrian - Individual Dressage]:[Equestrian - Team Dressage]],MATCH(Table92[[#This Row],[Country]],Tabela1[Country], 0),0))</f>
        <v>0</v>
      </c>
      <c r="W147" s="6">
        <f>SUM(INDEX(Tabela1[[Equestrian - Individual Eventing]:[Equestrian - Team Eventing]],MATCH(Table92[[#This Row],[Country]],Tabela1[Country], 0),0))</f>
        <v>0</v>
      </c>
      <c r="X147" s="6">
        <f>SUM(INDEX(Tabela1[[Equestrian - Individual Jumping]:[Equestrian - Team Jumping]],MATCH(Table92[[#This Row],[Country]],Tabela1[Country], 0),0))</f>
        <v>0</v>
      </c>
      <c r="Y147" s="6">
        <f>SUM(INDEX(Tabela1[[Fencing - Men''s Épée]:[Fencing - Women''s Team Sabre]],MATCH(Table92[[#This Row],[Country]],Tabela1[Country], 0),0))</f>
        <v>0</v>
      </c>
      <c r="Z147" s="6">
        <f>SUM(INDEX(Tabela1[[Field Hockey - Men''s Tournament]:[Field Hockey - Women''s Tournament]],MATCH(Table92[[#This Row],[Country]],Tabela1[Country], 0),0))</f>
        <v>0</v>
      </c>
      <c r="AA147" s="6">
        <f>SUM(INDEX(Tabela1[[Football - Men''s Tournament]:[Football - Women''s Tournament]],MATCH(Table92[[#This Row],[Country]],Tabela1[Country], 0),0))</f>
        <v>0</v>
      </c>
      <c r="AB147" s="6">
        <f>SUM(INDEX(Tabela1[[Golf - Men''s Individual]:[Golf - Women''s Individual]],MATCH(Table92[[#This Row],[Country]],Tabela1[Country], 0),0))</f>
        <v>0</v>
      </c>
      <c r="AC147" s="6">
        <f>SUM(INDEX(Tabela1[[Handball - Men''s Tournament]:[Handball - Women''s Tournament]],MATCH(Table92[[#This Row],[Country]],Tabela1[Country], 0),0))</f>
        <v>0</v>
      </c>
      <c r="AD147" s="6">
        <f>SUM(INDEX(Tabela1[[Judo - Men''s 60kg]:[Judo - Mixed Team]],MATCH(Table92[[#This Row],[Country]],Tabela1[Country], 0),0))</f>
        <v>0</v>
      </c>
      <c r="AE147" s="6">
        <f>SUM(INDEX(Tabela1[[Swimming - Men''s 10km Open Water]:[Swimming - Women''s 10km Open Water]],MATCH(Table92[[#This Row],[Country]],Tabela1[Country], 0),0))</f>
        <v>0</v>
      </c>
      <c r="AF147" s="6">
        <f>SUM(INDEX(Tabela1[[Modern Pentathlon - Men''s Individual]:[Modern Pentathlon - Women''s Individual]],MATCH(Table92[[#This Row],[Country]],Tabela1[Country], 0),0))</f>
        <v>0</v>
      </c>
      <c r="AG147" s="6">
        <f>SUM(INDEX(Tabela1[[Rhythmic Gymnastics - Women''s Individual All-Around]:[Rhythmic Gymnastics - Women''s Group All-Around]],MATCH(Table92[[#This Row],[Country]],Tabela1[Country], 0),0))</f>
        <v>0</v>
      </c>
      <c r="AH147" s="6">
        <f>SUM(INDEX(Tabela1[[Rowing - Men''s Single Sculls]:[Rowing - Women''s Lwt. Double Sculls]],MATCH(Table92[[#This Row],[Country]],Tabela1[Country], 0),0))</f>
        <v>0</v>
      </c>
      <c r="AI147" s="6">
        <f>SUM(INDEX(Tabela1[[Rugby Sevens - Men''s Tournament]:[Rugby Sevens - Women''s Tournament]],MATCH(Table92[[#This Row],[Country]],Tabela1[Country], 0),0))</f>
        <v>0</v>
      </c>
      <c r="AJ147" s="6">
        <f>SUM(INDEX(Tabela1[[Sailing - Mixed 470]:[Sailing - Mixed Nacra 17]],MATCH(Table92[[#This Row],[Country]],Tabela1[Country], 0),0))</f>
        <v>0</v>
      </c>
      <c r="AK147" s="6">
        <f>SUM(INDEX(Tabela1[[Shooting - Men''s 10m Air Pistol]:[Shooting - Women''s Trap]],MATCH(Table92[[#This Row],[Country]],Tabela1[Country], 0),0))</f>
        <v>0</v>
      </c>
      <c r="AL147" s="6">
        <f>SUM(INDEX(Tabela1[[Skateboarding - Men''s Park]:[Skateboarding - Women''s Street]],MATCH(Table92[[#This Row],[Country]],Tabela1[Country], 0),0))</f>
        <v>0</v>
      </c>
      <c r="AM147" s="6">
        <f>SUM(INDEX(Tabela1[[Sport Climbing - Men''s Boulder and Lead]:[Sport Climbing - Women''s Speed]],MATCH(Table92[[#This Row],[Country]],Tabela1[Country], 0),0))</f>
        <v>0</v>
      </c>
      <c r="AN147" s="6">
        <f>SUM(INDEX(Tabela1[[Surfing - Men''s Shortboard]:[Surfing - Women''s Shortboard]],MATCH(Table92[[#This Row],[Country]],Tabela1[Country], 0),0))</f>
        <v>0</v>
      </c>
      <c r="AO147" s="6">
        <f>SUM(INDEX(Tabela1[[Swimming - Men''s 50m Freestyle]:[Swimming - Mixed 4x100m Medley Relay]],MATCH(Table92[[#This Row],[Country]],Tabela1[Country], 0),0))</f>
        <v>0</v>
      </c>
      <c r="AP147" s="6">
        <f>SUM(INDEX(Tabela1[[Table Tennis - Men''s Singles]:[Table Tennis - Mixed Doubles]],MATCH(Table92[[#This Row],[Country]],Tabela1[Country], 0),0))</f>
        <v>0</v>
      </c>
      <c r="AQ147" s="6">
        <f>SUM(INDEX(Tabela1[[Taekwondo - Men''s 58kg]:[Taekwondo - Women''s +67kg]],MATCH(Table92[[#This Row],[Country]],Tabela1[Country], 0),0))</f>
        <v>0</v>
      </c>
      <c r="AR147" s="6">
        <f>SUM(INDEX(Tabela1[[Tennis - Men''s Singles]:[Tennis - Mixed Doubles]],MATCH(Table92[[#This Row],[Country]],Tabela1[Country], 0),0))</f>
        <v>0</v>
      </c>
      <c r="AS147" s="6">
        <f>SUM(INDEX(Tabela1[[Gymnastics - Men''s Trampoline]:[Gymnastics - Women''s Trampoline]],MATCH(Table92[[#This Row],[Country]],Tabela1[Country], 0),0))</f>
        <v>0</v>
      </c>
      <c r="AT147" s="6">
        <f>SUM(INDEX(Tabela1[[Triathlon - Men''s Individual]:[Triathlon - Mixed Relay]],MATCH(Table92[[#This Row],[Country]],Tabela1[Country], 0),0))</f>
        <v>0</v>
      </c>
      <c r="AU147" s="6">
        <f>SUM(INDEX(Tabela1[[Volleyball - Men''s Tournament]:[Volleyball - Women''s Tournament]],MATCH(Table92[[#This Row],[Country]],Tabela1[Country], 0),0))</f>
        <v>0</v>
      </c>
      <c r="AV147" s="6">
        <f>SUM(INDEX(Tabela1[[Water Polo - Men''s Tournament]:[Water Polo - Women''s Tournament]],MATCH(Table92[[#This Row],[Country]],Tabela1[Country], 0),0))</f>
        <v>0</v>
      </c>
      <c r="AW147" s="6">
        <f>SUM(INDEX(Tabela1[[Weightlifting - Men''s 61kg]:[Weightlifting - Women''s +81kg]],MATCH(Table92[[#This Row],[Country]],Tabela1[Country], 0),0))</f>
        <v>0</v>
      </c>
      <c r="AX147" s="6">
        <f>SUM(INDEX(Tabela1[[Wrestling - Men''s Freestyle 57kg]:[Wrestling - Women''s Freestyle 76kg]],MATCH(Table92[[#This Row],[Country]],Tabela1[Country], 0),0))</f>
        <v>0</v>
      </c>
      <c r="AY147" s="6">
        <f>SUM(INDEX(Tabela1[[Alpine Skiing - Men''s Downhill]:[Alpine Skiing - Women''s Team Combined]],MATCH(Table92[[#This Row],[Country]],Tabela1[Country], 0),0))</f>
        <v>0</v>
      </c>
      <c r="AZ147" s="6">
        <f>SUM(INDEX(Tabela1[[Biathlon - Men''s Individual]:[Biathlon - Mixed Relay]],MATCH(Table92[[#This Row],[Country]],Tabela1[Country], 0),0))</f>
        <v>0</v>
      </c>
      <c r="BA147" s="6">
        <f>SUM(INDEX(Tabela1[[Bobsleigh - Women''s Monobob]:[Bobsleigh - Men''s Four]],MATCH(Table92[[#This Row],[Country]],Tabela1[Country], 0),0))</f>
        <v>0</v>
      </c>
      <c r="BB147" s="6">
        <f>SUM(INDEX(Tabela1[[Cross-country skiing - Men''s Classical]:[Cross-country skiing - Women''s Team Sprint]],MATCH(Table92[[#This Row],[Country]],Tabela1[Country], 0),0))</f>
        <v>0</v>
      </c>
      <c r="BC147" s="6">
        <f>SUM(INDEX(Tabela1[[Curling - Men''s Tournament]:[Curling - Mixed Doubles]],MATCH(Table92[[#This Row],[Country]],Tabela1[Country], 0),0))</f>
        <v>0</v>
      </c>
      <c r="BD147" s="6">
        <f>SUM(INDEX(Tabela1[[Figure Skating - Men''s Singles]:[Figure Skating - Team Event]],MATCH(Table92[[#This Row],[Country]],Tabela1[Country], 0),0))</f>
        <v>0</v>
      </c>
      <c r="BE147" s="6">
        <f>SUM(INDEX(Tabela1[[Freestyle Skiing - Men''s Aerials]:[Freestyle Skiing - Women''s Slopestyle]],MATCH(Table92[[#This Row],[Country]],Tabela1[Country], 0),0))</f>
        <v>0</v>
      </c>
      <c r="BF147" s="6">
        <f>SUM(INDEX(Tabela1[[Ice Hockey - Men''s Tournament]:[Ice Hockey - Women''s Tournament]],MATCH(Table92[[#This Row],[Country]],Tabela1[Country], 0),0))</f>
        <v>0</v>
      </c>
      <c r="BG147" s="6">
        <f>SUM(INDEX(Tabela1[[Luge - Men''s Singles]:[Luge - Mixed Team Relay]],MATCH(Table92[[#This Row],[Country]],Tabela1[Country], 0),0))</f>
        <v>0</v>
      </c>
      <c r="BH147" s="6">
        <f>SUM(INDEX(Tabela1[[Nordic Combined - Men''s Individual]:[Nordic Combined - Men''s Team Sprint Large Hill]],MATCH(Table92[[#This Row],[Country]],Tabela1[Country], 0),0))</f>
        <v>0</v>
      </c>
      <c r="BI147" s="6">
        <f>SUM(INDEX(Tabela1[[Short track speed skating - Men''s 500m]:[Short track speed skating - Mixed 2000m Relay]],MATCH(Table92[[#This Row],[Country]],Tabela1[Country], 0),0))</f>
        <v>0</v>
      </c>
      <c r="BJ147" s="6">
        <f>SUM(INDEX(Tabela1[[Skeleton - Men''s Individual]:[Skeleton - Mixed Team]],MATCH(Table92[[#This Row],[Country]],Tabela1[Country], 0),0))</f>
        <v>0</v>
      </c>
      <c r="BK147" s="6">
        <f>SUM(INDEX(Tabela1[[Ski Jumping - Men''s Individual Large Hill]:[Ski Jumping - Mixed Team Normal Hill]],MATCH(Table92[[#This Row],[Country]],Tabela1[Country], 0),0))</f>
        <v>0</v>
      </c>
      <c r="BL147" s="6">
        <f>SUM(INDEX(Tabela1[[Ski Mountaineering - Men''s Sprint]:[Ski Mountaineering - Mixed Relay]],MATCH(Table92[[#This Row],[Country]],Tabela1[Country], 0),0))</f>
        <v>0</v>
      </c>
      <c r="BM147" s="6">
        <f>SUM(INDEX(Tabela1[[Snowboarding - Men''s Big Air]:[Snowboarding - Mixed Team Snowboard Cross]],MATCH(Table92[[#This Row],[Country]],Tabela1[Country], 0),0))</f>
        <v>0</v>
      </c>
      <c r="BN147" s="6">
        <f>SUM(INDEX(Tabela1[[Speed Skating - Men''s 500m]:[Speed Skating - Women''s Team Pursuit]],MATCH(Table92[[#This Row],[Country]],Tabela1[Country], 0),0))</f>
        <v>0</v>
      </c>
      <c r="BO147" s="6" t="str">
        <f>SUBSTITUTE(INDEX(Table92[[#Headers],[Archery Quotas]:[Speed Skating Quotas]], MATCH(MAX(Table92[[#This Row],[Archery Quotas]:[Speed Skating Quotas]]), Table92[[#This Row],[Archery Quotas]:[Speed Skating Quotas]], 0))," Quotas","")</f>
        <v>Boxing</v>
      </c>
      <c r="BP147" s="6">
        <f>SUM(Table92[[#This Row],[Summer Sports]:[Winter Sports]])</f>
        <v>1</v>
      </c>
      <c r="BQ147" s="6">
        <f>COUNTIF(Table92[[#This Row],[Archery Quotas]:[Wrestling Quotas]],"&lt;&gt;0")</f>
        <v>1</v>
      </c>
      <c r="BR147" s="6">
        <f>COUNTIF(Table92[[#This Row],[Alpine Skiing Quotas]:[Speed Skating Quotas]],"&lt;&gt;0")</f>
        <v>0</v>
      </c>
      <c r="BS147" s="4" t="s">
        <v>659</v>
      </c>
    </row>
    <row r="148" spans="1:71" x14ac:dyDescent="0.3">
      <c r="A148" s="6" t="s">
        <v>676</v>
      </c>
      <c r="B148" t="e" vm="149">
        <f>IF(ISBLANK(Table92[[#This Row],[Flag Link]]), "", _xlfn.IMAGE(Table92[[#This Row],[Flag Link]],1,1))</f>
        <v>#VALUE!</v>
      </c>
      <c r="C148" s="6">
        <f>SUM(Table92[[#This Row],[Archery Quotas]:[Speed Skating Quotas]])</f>
        <v>1</v>
      </c>
      <c r="D148" s="6">
        <f>SUM(INDEX(Tabela1[[Archery - Men''s Individual Recurve]:[Archery - Mixed Team Recurve]],MATCH(Table92[[#This Row],[Country]],Tabela1[Country], 0),0))</f>
        <v>0</v>
      </c>
      <c r="E148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48" s="6">
        <f>SUM(INDEX(Tabela1[[Artistic Swimming - Women''s Duet]:[Artistic Swimming - Women''s Team]],MATCH(Table92[[#This Row],[Country]],Tabela1[Country], 0),0))</f>
        <v>0</v>
      </c>
      <c r="G148" s="6">
        <f>SUM(INDEX(Tabela1[[Athletics - Men''s 100m]:[Athletics - Women''s Heptathlon]],MATCH(Table92[[#This Row],[Country]],Tabela1[Country], 0),0))</f>
        <v>0</v>
      </c>
      <c r="H148" s="6">
        <f>SUM(INDEX(Tabela1[[Badminton - Men''s Singles]:[Badminton - Mixed Doubles]],MATCH(Table92[[#This Row],[Country]],Tabela1[Country], 0),0))</f>
        <v>0</v>
      </c>
      <c r="I148" s="6">
        <f>SUM(INDEX(Tabela1[[Basketball - Men''s Tournament]:[Basketball - Women''s Tournament]],MATCH(Table92[[#This Row],[Country]],Tabela1[Country], 0),0))</f>
        <v>0</v>
      </c>
      <c r="J148" s="6">
        <f>SUM(INDEX(Tabela1[[3x3 Basketball - Men''s Tournament]:[3x3 Basketball - Women''s Tournament]],MATCH(Table92[[#This Row],[Country]],Tabela1[Country], 0),0))</f>
        <v>0</v>
      </c>
      <c r="K148" s="6">
        <f>SUM(INDEX(Tabela1[[Beach Volleyball - Men''s Tournament]:[Beach Volleyball - Women''s Tournament]],MATCH(Table92[[#This Row],[Country]],Tabela1[Country], 0),0))</f>
        <v>0</v>
      </c>
      <c r="L148" s="6">
        <f>SUM(INDEX(Tabela1[[Boxing - Men''s 51kg]:[Boxing - Women''s 75kg]],MATCH(Table92[[#This Row],[Country]],Tabela1[Country], 0),0))</f>
        <v>0</v>
      </c>
      <c r="M148" s="6">
        <f>SUM(INDEX(Tabela1[[Breaking - Men''s Individual]:[Breaking - Women''s Individual]],MATCH(Table92[[#This Row],[Country]],Tabela1[Country], 0),0))</f>
        <v>0</v>
      </c>
      <c r="N148" s="6">
        <f>SUM(INDEX(Tabela1[[Canoeing - Men''s C1 Slalom]:[Canoeing - Women''s Kayak Cross Slalom]],MATCH(Table92[[#This Row],[Country]],Tabela1[Country], 0),0))</f>
        <v>0</v>
      </c>
      <c r="O148" s="6">
        <f>SUM(INDEX(Tabela1[[Canoeing - Women''s C1 200m]:[Canoeing - Women''s K4 500m]],MATCH(Table92[[#This Row],[Country]],Tabela1[Country], 0),0))</f>
        <v>0</v>
      </c>
      <c r="P148" s="6">
        <f>SUM(INDEX(Tabela1[[Cycling - Men''s BMX Freestyle]:[Cycling - Women''s BMX Freestyle]],MATCH(Table92[[#This Row],[Country]],Tabela1[Country], 0),0))</f>
        <v>0</v>
      </c>
      <c r="Q148" s="6">
        <f>SUM(INDEX(Tabela1[[Cycling - Men''s BMX Racing]:[Cycling - Women''s BMX Racing]],MATCH(Table92[[#This Row],[Country]],Tabela1[Country], 0),0))</f>
        <v>0</v>
      </c>
      <c r="R148" s="6">
        <f>SUM(INDEX(Tabela1[[Cycling - Men''s Cross-Country]:[Cycling - Women''s Cross-Country]],MATCH(Table92[[#This Row],[Country]],Tabela1[Country], 0),0))</f>
        <v>0</v>
      </c>
      <c r="S148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1</v>
      </c>
      <c r="T148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48" s="6">
        <f>SUM(INDEX(Tabela1[[Diving - Men''s Springboard]:[Diving - Women''s Synchronized Platform]],MATCH(Table92[[#This Row],[Country]],Tabela1[Country], 0),0))</f>
        <v>0</v>
      </c>
      <c r="V148" s="6">
        <f>SUM(INDEX(Tabela1[[Equestrian - Individual Dressage]:[Equestrian - Team Dressage]],MATCH(Table92[[#This Row],[Country]],Tabela1[Country], 0),0))</f>
        <v>0</v>
      </c>
      <c r="W148" s="6">
        <f>SUM(INDEX(Tabela1[[Equestrian - Individual Eventing]:[Equestrian - Team Eventing]],MATCH(Table92[[#This Row],[Country]],Tabela1[Country], 0),0))</f>
        <v>0</v>
      </c>
      <c r="X148" s="6">
        <f>SUM(INDEX(Tabela1[[Equestrian - Individual Jumping]:[Equestrian - Team Jumping]],MATCH(Table92[[#This Row],[Country]],Tabela1[Country], 0),0))</f>
        <v>0</v>
      </c>
      <c r="Y148" s="6">
        <f>SUM(INDEX(Tabela1[[Fencing - Men''s Épée]:[Fencing - Women''s Team Sabre]],MATCH(Table92[[#This Row],[Country]],Tabela1[Country], 0),0))</f>
        <v>0</v>
      </c>
      <c r="Z148" s="6">
        <f>SUM(INDEX(Tabela1[[Field Hockey - Men''s Tournament]:[Field Hockey - Women''s Tournament]],MATCH(Table92[[#This Row],[Country]],Tabela1[Country], 0),0))</f>
        <v>0</v>
      </c>
      <c r="AA148" s="6">
        <f>SUM(INDEX(Tabela1[[Football - Men''s Tournament]:[Football - Women''s Tournament]],MATCH(Table92[[#This Row],[Country]],Tabela1[Country], 0),0))</f>
        <v>0</v>
      </c>
      <c r="AB148" s="6">
        <f>SUM(INDEX(Tabela1[[Golf - Men''s Individual]:[Golf - Women''s Individual]],MATCH(Table92[[#This Row],[Country]],Tabela1[Country], 0),0))</f>
        <v>0</v>
      </c>
      <c r="AC148" s="6">
        <f>SUM(INDEX(Tabela1[[Handball - Men''s Tournament]:[Handball - Women''s Tournament]],MATCH(Table92[[#This Row],[Country]],Tabela1[Country], 0),0))</f>
        <v>0</v>
      </c>
      <c r="AD148" s="6">
        <f>SUM(INDEX(Tabela1[[Judo - Men''s 60kg]:[Judo - Mixed Team]],MATCH(Table92[[#This Row],[Country]],Tabela1[Country], 0),0))</f>
        <v>0</v>
      </c>
      <c r="AE148" s="6">
        <f>SUM(INDEX(Tabela1[[Swimming - Men''s 10km Open Water]:[Swimming - Women''s 10km Open Water]],MATCH(Table92[[#This Row],[Country]],Tabela1[Country], 0),0))</f>
        <v>0</v>
      </c>
      <c r="AF148" s="6">
        <f>SUM(INDEX(Tabela1[[Modern Pentathlon - Men''s Individual]:[Modern Pentathlon - Women''s Individual]],MATCH(Table92[[#This Row],[Country]],Tabela1[Country], 0),0))</f>
        <v>0</v>
      </c>
      <c r="AG148" s="6">
        <f>SUM(INDEX(Tabela1[[Rhythmic Gymnastics - Women''s Individual All-Around]:[Rhythmic Gymnastics - Women''s Group All-Around]],MATCH(Table92[[#This Row],[Country]],Tabela1[Country], 0),0))</f>
        <v>0</v>
      </c>
      <c r="AH148" s="6">
        <f>SUM(INDEX(Tabela1[[Rowing - Men''s Single Sculls]:[Rowing - Women''s Lwt. Double Sculls]],MATCH(Table92[[#This Row],[Country]],Tabela1[Country], 0),0))</f>
        <v>0</v>
      </c>
      <c r="AI148" s="6">
        <f>SUM(INDEX(Tabela1[[Rugby Sevens - Men''s Tournament]:[Rugby Sevens - Women''s Tournament]],MATCH(Table92[[#This Row],[Country]],Tabela1[Country], 0),0))</f>
        <v>0</v>
      </c>
      <c r="AJ148" s="6">
        <f>SUM(INDEX(Tabela1[[Sailing - Mixed 470]:[Sailing - Mixed Nacra 17]],MATCH(Table92[[#This Row],[Country]],Tabela1[Country], 0),0))</f>
        <v>0</v>
      </c>
      <c r="AK148" s="6">
        <f>SUM(INDEX(Tabela1[[Shooting - Men''s 10m Air Pistol]:[Shooting - Women''s Trap]],MATCH(Table92[[#This Row],[Country]],Tabela1[Country], 0),0))</f>
        <v>0</v>
      </c>
      <c r="AL148" s="6">
        <f>SUM(INDEX(Tabela1[[Skateboarding - Men''s Park]:[Skateboarding - Women''s Street]],MATCH(Table92[[#This Row],[Country]],Tabela1[Country], 0),0))</f>
        <v>0</v>
      </c>
      <c r="AM148" s="6">
        <f>SUM(INDEX(Tabela1[[Sport Climbing - Men''s Boulder and Lead]:[Sport Climbing - Women''s Speed]],MATCH(Table92[[#This Row],[Country]],Tabela1[Country], 0),0))</f>
        <v>0</v>
      </c>
      <c r="AN148" s="6">
        <f>SUM(INDEX(Tabela1[[Surfing - Men''s Shortboard]:[Surfing - Women''s Shortboard]],MATCH(Table92[[#This Row],[Country]],Tabela1[Country], 0),0))</f>
        <v>0</v>
      </c>
      <c r="AO148" s="6">
        <f>SUM(INDEX(Tabela1[[Swimming - Men''s 50m Freestyle]:[Swimming - Mixed 4x100m Medley Relay]],MATCH(Table92[[#This Row],[Country]],Tabela1[Country], 0),0))</f>
        <v>0</v>
      </c>
      <c r="AP148" s="6">
        <f>SUM(INDEX(Tabela1[[Table Tennis - Men''s Singles]:[Table Tennis - Mixed Doubles]],MATCH(Table92[[#This Row],[Country]],Tabela1[Country], 0),0))</f>
        <v>0</v>
      </c>
      <c r="AQ148" s="6">
        <f>SUM(INDEX(Tabela1[[Taekwondo - Men''s 58kg]:[Taekwondo - Women''s +67kg]],MATCH(Table92[[#This Row],[Country]],Tabela1[Country], 0),0))</f>
        <v>0</v>
      </c>
      <c r="AR148" s="6">
        <f>SUM(INDEX(Tabela1[[Tennis - Men''s Singles]:[Tennis - Mixed Doubles]],MATCH(Table92[[#This Row],[Country]],Tabela1[Country], 0),0))</f>
        <v>0</v>
      </c>
      <c r="AS148" s="6">
        <f>SUM(INDEX(Tabela1[[Gymnastics - Men''s Trampoline]:[Gymnastics - Women''s Trampoline]],MATCH(Table92[[#This Row],[Country]],Tabela1[Country], 0),0))</f>
        <v>0</v>
      </c>
      <c r="AT148" s="6">
        <f>SUM(INDEX(Tabela1[[Triathlon - Men''s Individual]:[Triathlon - Mixed Relay]],MATCH(Table92[[#This Row],[Country]],Tabela1[Country], 0),0))</f>
        <v>0</v>
      </c>
      <c r="AU148" s="6">
        <f>SUM(INDEX(Tabela1[[Volleyball - Men''s Tournament]:[Volleyball - Women''s Tournament]],MATCH(Table92[[#This Row],[Country]],Tabela1[Country], 0),0))</f>
        <v>0</v>
      </c>
      <c r="AV148" s="6">
        <f>SUM(INDEX(Tabela1[[Water Polo - Men''s Tournament]:[Water Polo - Women''s Tournament]],MATCH(Table92[[#This Row],[Country]],Tabela1[Country], 0),0))</f>
        <v>0</v>
      </c>
      <c r="AW148" s="6">
        <f>SUM(INDEX(Tabela1[[Weightlifting - Men''s 61kg]:[Weightlifting - Women''s +81kg]],MATCH(Table92[[#This Row],[Country]],Tabela1[Country], 0),0))</f>
        <v>0</v>
      </c>
      <c r="AX148" s="6">
        <f>SUM(INDEX(Tabela1[[Wrestling - Men''s Freestyle 57kg]:[Wrestling - Women''s Freestyle 76kg]],MATCH(Table92[[#This Row],[Country]],Tabela1[Country], 0),0))</f>
        <v>0</v>
      </c>
      <c r="AY148" s="6">
        <f>SUM(INDEX(Tabela1[[Alpine Skiing - Men''s Downhill]:[Alpine Skiing - Women''s Team Combined]],MATCH(Table92[[#This Row],[Country]],Tabela1[Country], 0),0))</f>
        <v>0</v>
      </c>
      <c r="AZ148" s="6">
        <f>SUM(INDEX(Tabela1[[Biathlon - Men''s Individual]:[Biathlon - Mixed Relay]],MATCH(Table92[[#This Row],[Country]],Tabela1[Country], 0),0))</f>
        <v>0</v>
      </c>
      <c r="BA148" s="6">
        <f>SUM(INDEX(Tabela1[[Bobsleigh - Women''s Monobob]:[Bobsleigh - Men''s Four]],MATCH(Table92[[#This Row],[Country]],Tabela1[Country], 0),0))</f>
        <v>0</v>
      </c>
      <c r="BB148" s="6">
        <f>SUM(INDEX(Tabela1[[Cross-country skiing - Men''s Classical]:[Cross-country skiing - Women''s Team Sprint]],MATCH(Table92[[#This Row],[Country]],Tabela1[Country], 0),0))</f>
        <v>0</v>
      </c>
      <c r="BC148" s="6">
        <f>SUM(INDEX(Tabela1[[Curling - Men''s Tournament]:[Curling - Mixed Doubles]],MATCH(Table92[[#This Row],[Country]],Tabela1[Country], 0),0))</f>
        <v>0</v>
      </c>
      <c r="BD148" s="6">
        <f>SUM(INDEX(Tabela1[[Figure Skating - Men''s Singles]:[Figure Skating - Team Event]],MATCH(Table92[[#This Row],[Country]],Tabela1[Country], 0),0))</f>
        <v>0</v>
      </c>
      <c r="BE148" s="6">
        <f>SUM(INDEX(Tabela1[[Freestyle Skiing - Men''s Aerials]:[Freestyle Skiing - Women''s Slopestyle]],MATCH(Table92[[#This Row],[Country]],Tabela1[Country], 0),0))</f>
        <v>0</v>
      </c>
      <c r="BF148" s="6">
        <f>SUM(INDEX(Tabela1[[Ice Hockey - Men''s Tournament]:[Ice Hockey - Women''s Tournament]],MATCH(Table92[[#This Row],[Country]],Tabela1[Country], 0),0))</f>
        <v>0</v>
      </c>
      <c r="BG148" s="6">
        <f>SUM(INDEX(Tabela1[[Luge - Men''s Singles]:[Luge - Mixed Team Relay]],MATCH(Table92[[#This Row],[Country]],Tabela1[Country], 0),0))</f>
        <v>0</v>
      </c>
      <c r="BH148" s="6">
        <f>SUM(INDEX(Tabela1[[Nordic Combined - Men''s Individual]:[Nordic Combined - Men''s Team Sprint Large Hill]],MATCH(Table92[[#This Row],[Country]],Tabela1[Country], 0),0))</f>
        <v>0</v>
      </c>
      <c r="BI148" s="6">
        <f>SUM(INDEX(Tabela1[[Short track speed skating - Men''s 500m]:[Short track speed skating - Mixed 2000m Relay]],MATCH(Table92[[#This Row],[Country]],Tabela1[Country], 0),0))</f>
        <v>0</v>
      </c>
      <c r="BJ148" s="6">
        <f>SUM(INDEX(Tabela1[[Skeleton - Men''s Individual]:[Skeleton - Mixed Team]],MATCH(Table92[[#This Row],[Country]],Tabela1[Country], 0),0))</f>
        <v>0</v>
      </c>
      <c r="BK148" s="6">
        <f>SUM(INDEX(Tabela1[[Ski Jumping - Men''s Individual Large Hill]:[Ski Jumping - Mixed Team Normal Hill]],MATCH(Table92[[#This Row],[Country]],Tabela1[Country], 0),0))</f>
        <v>0</v>
      </c>
      <c r="BL148" s="6">
        <f>SUM(INDEX(Tabela1[[Ski Mountaineering - Men''s Sprint]:[Ski Mountaineering - Mixed Relay]],MATCH(Table92[[#This Row],[Country]],Tabela1[Country], 0),0))</f>
        <v>0</v>
      </c>
      <c r="BM148" s="6">
        <f>SUM(INDEX(Tabela1[[Snowboarding - Men''s Big Air]:[Snowboarding - Mixed Team Snowboard Cross]],MATCH(Table92[[#This Row],[Country]],Tabela1[Country], 0),0))</f>
        <v>0</v>
      </c>
      <c r="BN148" s="6">
        <f>SUM(INDEX(Tabela1[[Speed Skating - Men''s 500m]:[Speed Skating - Women''s Team Pursuit]],MATCH(Table92[[#This Row],[Country]],Tabela1[Country], 0),0))</f>
        <v>0</v>
      </c>
      <c r="BO148" s="6" t="str">
        <f>SUBSTITUTE(INDEX(Table92[[#Headers],[Archery Quotas]:[Speed Skating Quotas]], MATCH(MAX(Table92[[#This Row],[Archery Quotas]:[Speed Skating Quotas]]), Table92[[#This Row],[Archery Quotas]:[Speed Skating Quotas]], 0))," Quotas","")</f>
        <v>Cycling Road</v>
      </c>
      <c r="BP148" s="6">
        <f>SUM(Table92[[#This Row],[Summer Sports]:[Winter Sports]])</f>
        <v>1</v>
      </c>
      <c r="BQ148" s="6">
        <f>COUNTIF(Table92[[#This Row],[Archery Quotas]:[Wrestling Quotas]],"&lt;&gt;0")</f>
        <v>1</v>
      </c>
      <c r="BR148" s="6">
        <f>COUNTIF(Table92[[#This Row],[Alpine Skiing Quotas]:[Speed Skating Quotas]],"&lt;&gt;0")</f>
        <v>0</v>
      </c>
      <c r="BS148" s="4" t="s">
        <v>677</v>
      </c>
    </row>
    <row r="149" spans="1:71" x14ac:dyDescent="0.3">
      <c r="A149" s="6" t="s">
        <v>462</v>
      </c>
      <c r="B149" t="e" vm="152">
        <f>IF(ISBLANK(Table92[[#This Row],[Flag Link]]), "", _xlfn.IMAGE(Table92[[#This Row],[Flag Link]],1,1))</f>
        <v>#VALUE!</v>
      </c>
      <c r="C149" s="6">
        <f>SUM(Table92[[#This Row],[Archery Quotas]:[Speed Skating Quotas]])</f>
        <v>1</v>
      </c>
      <c r="D149" s="6">
        <f>SUM(INDEX(Tabela1[[Archery - Men''s Individual Recurve]:[Archery - Mixed Team Recurve]],MATCH(Table92[[#This Row],[Country]],Tabela1[Country], 0),0))</f>
        <v>0</v>
      </c>
      <c r="E149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49" s="6">
        <f>SUM(INDEX(Tabela1[[Artistic Swimming - Women''s Duet]:[Artistic Swimming - Women''s Team]],MATCH(Table92[[#This Row],[Country]],Tabela1[Country], 0),0))</f>
        <v>0</v>
      </c>
      <c r="G149" s="6">
        <f>SUM(INDEX(Tabela1[[Athletics - Men''s 100m]:[Athletics - Women''s Heptathlon]],MATCH(Table92[[#This Row],[Country]],Tabela1[Country], 0),0))</f>
        <v>0</v>
      </c>
      <c r="H149" s="6">
        <f>SUM(INDEX(Tabela1[[Badminton - Men''s Singles]:[Badminton - Mixed Doubles]],MATCH(Table92[[#This Row],[Country]],Tabela1[Country], 0),0))</f>
        <v>0</v>
      </c>
      <c r="I149" s="6">
        <f>SUM(INDEX(Tabela1[[Basketball - Men''s Tournament]:[Basketball - Women''s Tournament]],MATCH(Table92[[#This Row],[Country]],Tabela1[Country], 0),0))</f>
        <v>1</v>
      </c>
      <c r="J149" s="6">
        <f>SUM(INDEX(Tabela1[[3x3 Basketball - Men''s Tournament]:[3x3 Basketball - Women''s Tournament]],MATCH(Table92[[#This Row],[Country]],Tabela1[Country], 0),0))</f>
        <v>0</v>
      </c>
      <c r="K149" s="6">
        <f>SUM(INDEX(Tabela1[[Beach Volleyball - Men''s Tournament]:[Beach Volleyball - Women''s Tournament]],MATCH(Table92[[#This Row],[Country]],Tabela1[Country], 0),0))</f>
        <v>0</v>
      </c>
      <c r="L149" s="6">
        <f>SUM(INDEX(Tabela1[[Boxing - Men''s 51kg]:[Boxing - Women''s 75kg]],MATCH(Table92[[#This Row],[Country]],Tabela1[Country], 0),0))</f>
        <v>0</v>
      </c>
      <c r="M149" s="6">
        <f>SUM(INDEX(Tabela1[[Breaking - Men''s Individual]:[Breaking - Women''s Individual]],MATCH(Table92[[#This Row],[Country]],Tabela1[Country], 0),0))</f>
        <v>0</v>
      </c>
      <c r="N149" s="6">
        <f>SUM(INDEX(Tabela1[[Canoeing - Men''s C1 Slalom]:[Canoeing - Women''s Kayak Cross Slalom]],MATCH(Table92[[#This Row],[Country]],Tabela1[Country], 0),0))</f>
        <v>0</v>
      </c>
      <c r="O149" s="6">
        <f>SUM(INDEX(Tabela1[[Canoeing - Women''s C1 200m]:[Canoeing - Women''s K4 500m]],MATCH(Table92[[#This Row],[Country]],Tabela1[Country], 0),0))</f>
        <v>0</v>
      </c>
      <c r="P149" s="6">
        <f>SUM(INDEX(Tabela1[[Cycling - Men''s BMX Freestyle]:[Cycling - Women''s BMX Freestyle]],MATCH(Table92[[#This Row],[Country]],Tabela1[Country], 0),0))</f>
        <v>0</v>
      </c>
      <c r="Q149" s="6">
        <f>SUM(INDEX(Tabela1[[Cycling - Men''s BMX Racing]:[Cycling - Women''s BMX Racing]],MATCH(Table92[[#This Row],[Country]],Tabela1[Country], 0),0))</f>
        <v>0</v>
      </c>
      <c r="R149" s="6">
        <f>SUM(INDEX(Tabela1[[Cycling - Men''s Cross-Country]:[Cycling - Women''s Cross-Country]],MATCH(Table92[[#This Row],[Country]],Tabela1[Country], 0),0))</f>
        <v>0</v>
      </c>
      <c r="S149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49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49" s="6">
        <f>SUM(INDEX(Tabela1[[Diving - Men''s Springboard]:[Diving - Women''s Synchronized Platform]],MATCH(Table92[[#This Row],[Country]],Tabela1[Country], 0),0))</f>
        <v>0</v>
      </c>
      <c r="V149" s="6">
        <f>SUM(INDEX(Tabela1[[Equestrian - Individual Dressage]:[Equestrian - Team Dressage]],MATCH(Table92[[#This Row],[Country]],Tabela1[Country], 0),0))</f>
        <v>0</v>
      </c>
      <c r="W149" s="6">
        <f>SUM(INDEX(Tabela1[[Equestrian - Individual Eventing]:[Equestrian - Team Eventing]],MATCH(Table92[[#This Row],[Country]],Tabela1[Country], 0),0))</f>
        <v>0</v>
      </c>
      <c r="X149" s="6">
        <f>SUM(INDEX(Tabela1[[Equestrian - Individual Jumping]:[Equestrian - Team Jumping]],MATCH(Table92[[#This Row],[Country]],Tabela1[Country], 0),0))</f>
        <v>0</v>
      </c>
      <c r="Y149" s="6">
        <f>SUM(INDEX(Tabela1[[Fencing - Men''s Épée]:[Fencing - Women''s Team Sabre]],MATCH(Table92[[#This Row],[Country]],Tabela1[Country], 0),0))</f>
        <v>0</v>
      </c>
      <c r="Z149" s="6">
        <f>SUM(INDEX(Tabela1[[Field Hockey - Men''s Tournament]:[Field Hockey - Women''s Tournament]],MATCH(Table92[[#This Row],[Country]],Tabela1[Country], 0),0))</f>
        <v>0</v>
      </c>
      <c r="AA149" s="6">
        <f>SUM(INDEX(Tabela1[[Football - Men''s Tournament]:[Football - Women''s Tournament]],MATCH(Table92[[#This Row],[Country]],Tabela1[Country], 0),0))</f>
        <v>0</v>
      </c>
      <c r="AB149" s="6">
        <f>SUM(INDEX(Tabela1[[Golf - Men''s Individual]:[Golf - Women''s Individual]],MATCH(Table92[[#This Row],[Country]],Tabela1[Country], 0),0))</f>
        <v>0</v>
      </c>
      <c r="AC149" s="6">
        <f>SUM(INDEX(Tabela1[[Handball - Men''s Tournament]:[Handball - Women''s Tournament]],MATCH(Table92[[#This Row],[Country]],Tabela1[Country], 0),0))</f>
        <v>0</v>
      </c>
      <c r="AD149" s="6">
        <f>SUM(INDEX(Tabela1[[Judo - Men''s 60kg]:[Judo - Mixed Team]],MATCH(Table92[[#This Row],[Country]],Tabela1[Country], 0),0))</f>
        <v>0</v>
      </c>
      <c r="AE149" s="6">
        <f>SUM(INDEX(Tabela1[[Swimming - Men''s 10km Open Water]:[Swimming - Women''s 10km Open Water]],MATCH(Table92[[#This Row],[Country]],Tabela1[Country], 0),0))</f>
        <v>0</v>
      </c>
      <c r="AF149" s="6">
        <f>SUM(INDEX(Tabela1[[Modern Pentathlon - Men''s Individual]:[Modern Pentathlon - Women''s Individual]],MATCH(Table92[[#This Row],[Country]],Tabela1[Country], 0),0))</f>
        <v>0</v>
      </c>
      <c r="AG149" s="6">
        <f>SUM(INDEX(Tabela1[[Rhythmic Gymnastics - Women''s Individual All-Around]:[Rhythmic Gymnastics - Women''s Group All-Around]],MATCH(Table92[[#This Row],[Country]],Tabela1[Country], 0),0))</f>
        <v>0</v>
      </c>
      <c r="AH149" s="6">
        <f>SUM(INDEX(Tabela1[[Rowing - Men''s Single Sculls]:[Rowing - Women''s Lwt. Double Sculls]],MATCH(Table92[[#This Row],[Country]],Tabela1[Country], 0),0))</f>
        <v>0</v>
      </c>
      <c r="AI149" s="6">
        <f>SUM(INDEX(Tabela1[[Rugby Sevens - Men''s Tournament]:[Rugby Sevens - Women''s Tournament]],MATCH(Table92[[#This Row],[Country]],Tabela1[Country], 0),0))</f>
        <v>0</v>
      </c>
      <c r="AJ149" s="6">
        <f>SUM(INDEX(Tabela1[[Sailing - Mixed 470]:[Sailing - Mixed Nacra 17]],MATCH(Table92[[#This Row],[Country]],Tabela1[Country], 0),0))</f>
        <v>0</v>
      </c>
      <c r="AK149" s="6">
        <f>SUM(INDEX(Tabela1[[Shooting - Men''s 10m Air Pistol]:[Shooting - Women''s Trap]],MATCH(Table92[[#This Row],[Country]],Tabela1[Country], 0),0))</f>
        <v>0</v>
      </c>
      <c r="AL149" s="6">
        <f>SUM(INDEX(Tabela1[[Skateboarding - Men''s Park]:[Skateboarding - Women''s Street]],MATCH(Table92[[#This Row],[Country]],Tabela1[Country], 0),0))</f>
        <v>0</v>
      </c>
      <c r="AM149" s="6">
        <f>SUM(INDEX(Tabela1[[Sport Climbing - Men''s Boulder and Lead]:[Sport Climbing - Women''s Speed]],MATCH(Table92[[#This Row],[Country]],Tabela1[Country], 0),0))</f>
        <v>0</v>
      </c>
      <c r="AN149" s="6">
        <f>SUM(INDEX(Tabela1[[Surfing - Men''s Shortboard]:[Surfing - Women''s Shortboard]],MATCH(Table92[[#This Row],[Country]],Tabela1[Country], 0),0))</f>
        <v>0</v>
      </c>
      <c r="AO149" s="6">
        <f>SUM(INDEX(Tabela1[[Swimming - Men''s 50m Freestyle]:[Swimming - Mixed 4x100m Medley Relay]],MATCH(Table92[[#This Row],[Country]],Tabela1[Country], 0),0))</f>
        <v>0</v>
      </c>
      <c r="AP149" s="6">
        <f>SUM(INDEX(Tabela1[[Table Tennis - Men''s Singles]:[Table Tennis - Mixed Doubles]],MATCH(Table92[[#This Row],[Country]],Tabela1[Country], 0),0))</f>
        <v>0</v>
      </c>
      <c r="AQ149" s="6">
        <f>SUM(INDEX(Tabela1[[Taekwondo - Men''s 58kg]:[Taekwondo - Women''s +67kg]],MATCH(Table92[[#This Row],[Country]],Tabela1[Country], 0),0))</f>
        <v>0</v>
      </c>
      <c r="AR149" s="6">
        <f>SUM(INDEX(Tabela1[[Tennis - Men''s Singles]:[Tennis - Mixed Doubles]],MATCH(Table92[[#This Row],[Country]],Tabela1[Country], 0),0))</f>
        <v>0</v>
      </c>
      <c r="AS149" s="6">
        <f>SUM(INDEX(Tabela1[[Gymnastics - Men''s Trampoline]:[Gymnastics - Women''s Trampoline]],MATCH(Table92[[#This Row],[Country]],Tabela1[Country], 0),0))</f>
        <v>0</v>
      </c>
      <c r="AT149" s="6">
        <f>SUM(INDEX(Tabela1[[Triathlon - Men''s Individual]:[Triathlon - Mixed Relay]],MATCH(Table92[[#This Row],[Country]],Tabela1[Country], 0),0))</f>
        <v>0</v>
      </c>
      <c r="AU149" s="6">
        <f>SUM(INDEX(Tabela1[[Volleyball - Men''s Tournament]:[Volleyball - Women''s Tournament]],MATCH(Table92[[#This Row],[Country]],Tabela1[Country], 0),0))</f>
        <v>0</v>
      </c>
      <c r="AV149" s="6">
        <f>SUM(INDEX(Tabela1[[Water Polo - Men''s Tournament]:[Water Polo - Women''s Tournament]],MATCH(Table92[[#This Row],[Country]],Tabela1[Country], 0),0))</f>
        <v>0</v>
      </c>
      <c r="AW149" s="6">
        <f>SUM(INDEX(Tabela1[[Weightlifting - Men''s 61kg]:[Weightlifting - Women''s +81kg]],MATCH(Table92[[#This Row],[Country]],Tabela1[Country], 0),0))</f>
        <v>0</v>
      </c>
      <c r="AX149" s="6">
        <f>SUM(INDEX(Tabela1[[Wrestling - Men''s Freestyle 57kg]:[Wrestling - Women''s Freestyle 76kg]],MATCH(Table92[[#This Row],[Country]],Tabela1[Country], 0),0))</f>
        <v>0</v>
      </c>
      <c r="AY149" s="6">
        <f>SUM(INDEX(Tabela1[[Alpine Skiing - Men''s Downhill]:[Alpine Skiing - Women''s Team Combined]],MATCH(Table92[[#This Row],[Country]],Tabela1[Country], 0),0))</f>
        <v>0</v>
      </c>
      <c r="AZ149" s="6">
        <f>SUM(INDEX(Tabela1[[Biathlon - Men''s Individual]:[Biathlon - Mixed Relay]],MATCH(Table92[[#This Row],[Country]],Tabela1[Country], 0),0))</f>
        <v>0</v>
      </c>
      <c r="BA149" s="6">
        <f>SUM(INDEX(Tabela1[[Bobsleigh - Women''s Monobob]:[Bobsleigh - Men''s Four]],MATCH(Table92[[#This Row],[Country]],Tabela1[Country], 0),0))</f>
        <v>0</v>
      </c>
      <c r="BB149" s="6">
        <f>SUM(INDEX(Tabela1[[Cross-country skiing - Men''s Classical]:[Cross-country skiing - Women''s Team Sprint]],MATCH(Table92[[#This Row],[Country]],Tabela1[Country], 0),0))</f>
        <v>0</v>
      </c>
      <c r="BC149" s="6">
        <f>SUM(INDEX(Tabela1[[Curling - Men''s Tournament]:[Curling - Mixed Doubles]],MATCH(Table92[[#This Row],[Country]],Tabela1[Country], 0),0))</f>
        <v>0</v>
      </c>
      <c r="BD149" s="6">
        <f>SUM(INDEX(Tabela1[[Figure Skating - Men''s Singles]:[Figure Skating - Team Event]],MATCH(Table92[[#This Row],[Country]],Tabela1[Country], 0),0))</f>
        <v>0</v>
      </c>
      <c r="BE149" s="6">
        <f>SUM(INDEX(Tabela1[[Freestyle Skiing - Men''s Aerials]:[Freestyle Skiing - Women''s Slopestyle]],MATCH(Table92[[#This Row],[Country]],Tabela1[Country], 0),0))</f>
        <v>0</v>
      </c>
      <c r="BF149" s="6">
        <f>SUM(INDEX(Tabela1[[Ice Hockey - Men''s Tournament]:[Ice Hockey - Women''s Tournament]],MATCH(Table92[[#This Row],[Country]],Tabela1[Country], 0),0))</f>
        <v>0</v>
      </c>
      <c r="BG149" s="6">
        <f>SUM(INDEX(Tabela1[[Luge - Men''s Singles]:[Luge - Mixed Team Relay]],MATCH(Table92[[#This Row],[Country]],Tabela1[Country], 0),0))</f>
        <v>0</v>
      </c>
      <c r="BH149" s="6">
        <f>SUM(INDEX(Tabela1[[Nordic Combined - Men''s Individual]:[Nordic Combined - Men''s Team Sprint Large Hill]],MATCH(Table92[[#This Row],[Country]],Tabela1[Country], 0),0))</f>
        <v>0</v>
      </c>
      <c r="BI149" s="6">
        <f>SUM(INDEX(Tabela1[[Short track speed skating - Men''s 500m]:[Short track speed skating - Mixed 2000m Relay]],MATCH(Table92[[#This Row],[Country]],Tabela1[Country], 0),0))</f>
        <v>0</v>
      </c>
      <c r="BJ149" s="6">
        <f>SUM(INDEX(Tabela1[[Skeleton - Men''s Individual]:[Skeleton - Mixed Team]],MATCH(Table92[[#This Row],[Country]],Tabela1[Country], 0),0))</f>
        <v>0</v>
      </c>
      <c r="BK149" s="6">
        <f>SUM(INDEX(Tabela1[[Ski Jumping - Men''s Individual Large Hill]:[Ski Jumping - Mixed Team Normal Hill]],MATCH(Table92[[#This Row],[Country]],Tabela1[Country], 0),0))</f>
        <v>0</v>
      </c>
      <c r="BL149" s="6">
        <f>SUM(INDEX(Tabela1[[Ski Mountaineering - Men''s Sprint]:[Ski Mountaineering - Mixed Relay]],MATCH(Table92[[#This Row],[Country]],Tabela1[Country], 0),0))</f>
        <v>0</v>
      </c>
      <c r="BM149" s="6">
        <f>SUM(INDEX(Tabela1[[Snowboarding - Men''s Big Air]:[Snowboarding - Mixed Team Snowboard Cross]],MATCH(Table92[[#This Row],[Country]],Tabela1[Country], 0),0))</f>
        <v>0</v>
      </c>
      <c r="BN149" s="6">
        <f>SUM(INDEX(Tabela1[[Speed Skating - Men''s 500m]:[Speed Skating - Women''s Team Pursuit]],MATCH(Table92[[#This Row],[Country]],Tabela1[Country], 0),0))</f>
        <v>0</v>
      </c>
      <c r="BO149" s="6" t="str">
        <f>SUBSTITUTE(INDEX(Table92[[#Headers],[Archery Quotas]:[Speed Skating Quotas]], MATCH(MAX(Table92[[#This Row],[Archery Quotas]:[Speed Skating Quotas]]), Table92[[#This Row],[Archery Quotas]:[Speed Skating Quotas]], 0))," Quotas","")</f>
        <v>Basketball</v>
      </c>
      <c r="BP149" s="6">
        <f>SUM(Table92[[#This Row],[Summer Sports]:[Winter Sports]])</f>
        <v>1</v>
      </c>
      <c r="BQ149" s="6">
        <f>COUNTIF(Table92[[#This Row],[Archery Quotas]:[Wrestling Quotas]],"&lt;&gt;0")</f>
        <v>1</v>
      </c>
      <c r="BR149" s="6">
        <f>COUNTIF(Table92[[#This Row],[Alpine Skiing Quotas]:[Speed Skating Quotas]],"&lt;&gt;0")</f>
        <v>0</v>
      </c>
      <c r="BS149" s="4" t="s">
        <v>463</v>
      </c>
    </row>
    <row r="150" spans="1:71" x14ac:dyDescent="0.3">
      <c r="A150" s="6" t="s">
        <v>702</v>
      </c>
      <c r="B150" t="e" vm="141">
        <f>IF(ISBLANK(Table92[[#This Row],[Flag Link]]), "", _xlfn.IMAGE(Table92[[#This Row],[Flag Link]],1,1))</f>
        <v>#VALUE!</v>
      </c>
      <c r="C150" s="6">
        <f>SUM(Table92[[#This Row],[Archery Quotas]:[Speed Skating Quotas]])</f>
        <v>1</v>
      </c>
      <c r="D150" s="6">
        <f>SUM(INDEX(Tabela1[[Archery - Men''s Individual Recurve]:[Archery - Mixed Team Recurve]],MATCH(Table92[[#This Row],[Country]],Tabela1[Country], 0),0))</f>
        <v>0</v>
      </c>
      <c r="E150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50" s="6">
        <f>SUM(INDEX(Tabela1[[Artistic Swimming - Women''s Duet]:[Artistic Swimming - Women''s Team]],MATCH(Table92[[#This Row],[Country]],Tabela1[Country], 0),0))</f>
        <v>0</v>
      </c>
      <c r="G150" s="6">
        <f>SUM(INDEX(Tabela1[[Athletics - Men''s 100m]:[Athletics - Women''s Heptathlon]],MATCH(Table92[[#This Row],[Country]],Tabela1[Country], 0),0))</f>
        <v>0</v>
      </c>
      <c r="H150" s="6">
        <f>SUM(INDEX(Tabela1[[Badminton - Men''s Singles]:[Badminton - Mixed Doubles]],MATCH(Table92[[#This Row],[Country]],Tabela1[Country], 0),0))</f>
        <v>1</v>
      </c>
      <c r="I150" s="6">
        <f>SUM(INDEX(Tabela1[[Basketball - Men''s Tournament]:[Basketball - Women''s Tournament]],MATCH(Table92[[#This Row],[Country]],Tabela1[Country], 0),0))</f>
        <v>0</v>
      </c>
      <c r="J150" s="6">
        <f>SUM(INDEX(Tabela1[[3x3 Basketball - Men''s Tournament]:[3x3 Basketball - Women''s Tournament]],MATCH(Table92[[#This Row],[Country]],Tabela1[Country], 0),0))</f>
        <v>0</v>
      </c>
      <c r="K150" s="6">
        <f>SUM(INDEX(Tabela1[[Beach Volleyball - Men''s Tournament]:[Beach Volleyball - Women''s Tournament]],MATCH(Table92[[#This Row],[Country]],Tabela1[Country], 0),0))</f>
        <v>0</v>
      </c>
      <c r="L150" s="6">
        <f>SUM(INDEX(Tabela1[[Boxing - Men''s 51kg]:[Boxing - Women''s 75kg]],MATCH(Table92[[#This Row],[Country]],Tabela1[Country], 0),0))</f>
        <v>0</v>
      </c>
      <c r="M150" s="6">
        <f>SUM(INDEX(Tabela1[[Breaking - Men''s Individual]:[Breaking - Women''s Individual]],MATCH(Table92[[#This Row],[Country]],Tabela1[Country], 0),0))</f>
        <v>0</v>
      </c>
      <c r="N150" s="6">
        <f>SUM(INDEX(Tabela1[[Canoeing - Men''s C1 Slalom]:[Canoeing - Women''s Kayak Cross Slalom]],MATCH(Table92[[#This Row],[Country]],Tabela1[Country], 0),0))</f>
        <v>0</v>
      </c>
      <c r="O150" s="6">
        <f>SUM(INDEX(Tabela1[[Canoeing - Women''s C1 200m]:[Canoeing - Women''s K4 500m]],MATCH(Table92[[#This Row],[Country]],Tabela1[Country], 0),0))</f>
        <v>0</v>
      </c>
      <c r="P150" s="6">
        <f>SUM(INDEX(Tabela1[[Cycling - Men''s BMX Freestyle]:[Cycling - Women''s BMX Freestyle]],MATCH(Table92[[#This Row],[Country]],Tabela1[Country], 0),0))</f>
        <v>0</v>
      </c>
      <c r="Q150" s="6">
        <f>SUM(INDEX(Tabela1[[Cycling - Men''s BMX Racing]:[Cycling - Women''s BMX Racing]],MATCH(Table92[[#This Row],[Country]],Tabela1[Country], 0),0))</f>
        <v>0</v>
      </c>
      <c r="R150" s="6">
        <f>SUM(INDEX(Tabela1[[Cycling - Men''s Cross-Country]:[Cycling - Women''s Cross-Country]],MATCH(Table92[[#This Row],[Country]],Tabela1[Country], 0),0))</f>
        <v>0</v>
      </c>
      <c r="S150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50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50" s="6">
        <f>SUM(INDEX(Tabela1[[Diving - Men''s Springboard]:[Diving - Women''s Synchronized Platform]],MATCH(Table92[[#This Row],[Country]],Tabela1[Country], 0),0))</f>
        <v>0</v>
      </c>
      <c r="V150" s="6">
        <f>SUM(INDEX(Tabela1[[Equestrian - Individual Dressage]:[Equestrian - Team Dressage]],MATCH(Table92[[#This Row],[Country]],Tabela1[Country], 0),0))</f>
        <v>0</v>
      </c>
      <c r="W150" s="6">
        <f>SUM(INDEX(Tabela1[[Equestrian - Individual Eventing]:[Equestrian - Team Eventing]],MATCH(Table92[[#This Row],[Country]],Tabela1[Country], 0),0))</f>
        <v>0</v>
      </c>
      <c r="X150" s="6">
        <f>SUM(INDEX(Tabela1[[Equestrian - Individual Jumping]:[Equestrian - Team Jumping]],MATCH(Table92[[#This Row],[Country]],Tabela1[Country], 0),0))</f>
        <v>0</v>
      </c>
      <c r="Y150" s="6">
        <f>SUM(INDEX(Tabela1[[Fencing - Men''s Épée]:[Fencing - Women''s Team Sabre]],MATCH(Table92[[#This Row],[Country]],Tabela1[Country], 0),0))</f>
        <v>0</v>
      </c>
      <c r="Z150" s="6">
        <f>SUM(INDEX(Tabela1[[Field Hockey - Men''s Tournament]:[Field Hockey - Women''s Tournament]],MATCH(Table92[[#This Row],[Country]],Tabela1[Country], 0),0))</f>
        <v>0</v>
      </c>
      <c r="AA150" s="6">
        <f>SUM(INDEX(Tabela1[[Football - Men''s Tournament]:[Football - Women''s Tournament]],MATCH(Table92[[#This Row],[Country]],Tabela1[Country], 0),0))</f>
        <v>0</v>
      </c>
      <c r="AB150" s="6">
        <f>SUM(INDEX(Tabela1[[Golf - Men''s Individual]:[Golf - Women''s Individual]],MATCH(Table92[[#This Row],[Country]],Tabela1[Country], 0),0))</f>
        <v>0</v>
      </c>
      <c r="AC150" s="6">
        <f>SUM(INDEX(Tabela1[[Handball - Men''s Tournament]:[Handball - Women''s Tournament]],MATCH(Table92[[#This Row],[Country]],Tabela1[Country], 0),0))</f>
        <v>0</v>
      </c>
      <c r="AD150" s="6">
        <f>SUM(INDEX(Tabela1[[Judo - Men''s 60kg]:[Judo - Mixed Team]],MATCH(Table92[[#This Row],[Country]],Tabela1[Country], 0),0))</f>
        <v>0</v>
      </c>
      <c r="AE150" s="6">
        <f>SUM(INDEX(Tabela1[[Swimming - Men''s 10km Open Water]:[Swimming - Women''s 10km Open Water]],MATCH(Table92[[#This Row],[Country]],Tabela1[Country], 0),0))</f>
        <v>0</v>
      </c>
      <c r="AF150" s="6">
        <f>SUM(INDEX(Tabela1[[Modern Pentathlon - Men''s Individual]:[Modern Pentathlon - Women''s Individual]],MATCH(Table92[[#This Row],[Country]],Tabela1[Country], 0),0))</f>
        <v>0</v>
      </c>
      <c r="AG150" s="6">
        <f>SUM(INDEX(Tabela1[[Rhythmic Gymnastics - Women''s Individual All-Around]:[Rhythmic Gymnastics - Women''s Group All-Around]],MATCH(Table92[[#This Row],[Country]],Tabela1[Country], 0),0))</f>
        <v>0</v>
      </c>
      <c r="AH150" s="6">
        <f>SUM(INDEX(Tabela1[[Rowing - Men''s Single Sculls]:[Rowing - Women''s Lwt. Double Sculls]],MATCH(Table92[[#This Row],[Country]],Tabela1[Country], 0),0))</f>
        <v>0</v>
      </c>
      <c r="AI150" s="6">
        <f>SUM(INDEX(Tabela1[[Rugby Sevens - Men''s Tournament]:[Rugby Sevens - Women''s Tournament]],MATCH(Table92[[#This Row],[Country]],Tabela1[Country], 0),0))</f>
        <v>0</v>
      </c>
      <c r="AJ150" s="6">
        <f>SUM(INDEX(Tabela1[[Sailing - Mixed 470]:[Sailing - Mixed Nacra 17]],MATCH(Table92[[#This Row],[Country]],Tabela1[Country], 0),0))</f>
        <v>0</v>
      </c>
      <c r="AK150" s="6">
        <f>SUM(INDEX(Tabela1[[Shooting - Men''s 10m Air Pistol]:[Shooting - Women''s Trap]],MATCH(Table92[[#This Row],[Country]],Tabela1[Country], 0),0))</f>
        <v>0</v>
      </c>
      <c r="AL150" s="6">
        <f>SUM(INDEX(Tabela1[[Skateboarding - Men''s Park]:[Skateboarding - Women''s Street]],MATCH(Table92[[#This Row],[Country]],Tabela1[Country], 0),0))</f>
        <v>0</v>
      </c>
      <c r="AM150" s="6">
        <f>SUM(INDEX(Tabela1[[Sport Climbing - Men''s Boulder and Lead]:[Sport Climbing - Women''s Speed]],MATCH(Table92[[#This Row],[Country]],Tabela1[Country], 0),0))</f>
        <v>0</v>
      </c>
      <c r="AN150" s="6">
        <f>SUM(INDEX(Tabela1[[Surfing - Men''s Shortboard]:[Surfing - Women''s Shortboard]],MATCH(Table92[[#This Row],[Country]],Tabela1[Country], 0),0))</f>
        <v>0</v>
      </c>
      <c r="AO150" s="6">
        <f>SUM(INDEX(Tabela1[[Swimming - Men''s 50m Freestyle]:[Swimming - Mixed 4x100m Medley Relay]],MATCH(Table92[[#This Row],[Country]],Tabela1[Country], 0),0))</f>
        <v>0</v>
      </c>
      <c r="AP150" s="6">
        <f>SUM(INDEX(Tabela1[[Table Tennis - Men''s Singles]:[Table Tennis - Mixed Doubles]],MATCH(Table92[[#This Row],[Country]],Tabela1[Country], 0),0))</f>
        <v>0</v>
      </c>
      <c r="AQ150" s="6">
        <f>SUM(INDEX(Tabela1[[Taekwondo - Men''s 58kg]:[Taekwondo - Women''s +67kg]],MATCH(Table92[[#This Row],[Country]],Tabela1[Country], 0),0))</f>
        <v>0</v>
      </c>
      <c r="AR150" s="6">
        <f>SUM(INDEX(Tabela1[[Tennis - Men''s Singles]:[Tennis - Mixed Doubles]],MATCH(Table92[[#This Row],[Country]],Tabela1[Country], 0),0))</f>
        <v>0</v>
      </c>
      <c r="AS150" s="6">
        <f>SUM(INDEX(Tabela1[[Gymnastics - Men''s Trampoline]:[Gymnastics - Women''s Trampoline]],MATCH(Table92[[#This Row],[Country]],Tabela1[Country], 0),0))</f>
        <v>0</v>
      </c>
      <c r="AT150" s="6">
        <f>SUM(INDEX(Tabela1[[Triathlon - Men''s Individual]:[Triathlon - Mixed Relay]],MATCH(Table92[[#This Row],[Country]],Tabela1[Country], 0),0))</f>
        <v>0</v>
      </c>
      <c r="AU150" s="6">
        <f>SUM(INDEX(Tabela1[[Volleyball - Men''s Tournament]:[Volleyball - Women''s Tournament]],MATCH(Table92[[#This Row],[Country]],Tabela1[Country], 0),0))</f>
        <v>0</v>
      </c>
      <c r="AV150" s="6">
        <f>SUM(INDEX(Tabela1[[Water Polo - Men''s Tournament]:[Water Polo - Women''s Tournament]],MATCH(Table92[[#This Row],[Country]],Tabela1[Country], 0),0))</f>
        <v>0</v>
      </c>
      <c r="AW150" s="6">
        <f>SUM(INDEX(Tabela1[[Weightlifting - Men''s 61kg]:[Weightlifting - Women''s +81kg]],MATCH(Table92[[#This Row],[Country]],Tabela1[Country], 0),0))</f>
        <v>0</v>
      </c>
      <c r="AX150" s="6">
        <f>SUM(INDEX(Tabela1[[Wrestling - Men''s Freestyle 57kg]:[Wrestling - Women''s Freestyle 76kg]],MATCH(Table92[[#This Row],[Country]],Tabela1[Country], 0),0))</f>
        <v>0</v>
      </c>
      <c r="AY150" s="6">
        <f>SUM(INDEX(Tabela1[[Alpine Skiing - Men''s Downhill]:[Alpine Skiing - Women''s Team Combined]],MATCH(Table92[[#This Row],[Country]],Tabela1[Country], 0),0))</f>
        <v>0</v>
      </c>
      <c r="AZ150" s="6">
        <f>SUM(INDEX(Tabela1[[Biathlon - Men''s Individual]:[Biathlon - Mixed Relay]],MATCH(Table92[[#This Row],[Country]],Tabela1[Country], 0),0))</f>
        <v>0</v>
      </c>
      <c r="BA150" s="6">
        <f>SUM(INDEX(Tabela1[[Bobsleigh - Women''s Monobob]:[Bobsleigh - Men''s Four]],MATCH(Table92[[#This Row],[Country]],Tabela1[Country], 0),0))</f>
        <v>0</v>
      </c>
      <c r="BB150" s="6">
        <f>SUM(INDEX(Tabela1[[Cross-country skiing - Men''s Classical]:[Cross-country skiing - Women''s Team Sprint]],MATCH(Table92[[#This Row],[Country]],Tabela1[Country], 0),0))</f>
        <v>0</v>
      </c>
      <c r="BC150" s="6">
        <f>SUM(INDEX(Tabela1[[Curling - Men''s Tournament]:[Curling - Mixed Doubles]],MATCH(Table92[[#This Row],[Country]],Tabela1[Country], 0),0))</f>
        <v>0</v>
      </c>
      <c r="BD150" s="6">
        <f>SUM(INDEX(Tabela1[[Figure Skating - Men''s Singles]:[Figure Skating - Team Event]],MATCH(Table92[[#This Row],[Country]],Tabela1[Country], 0),0))</f>
        <v>0</v>
      </c>
      <c r="BE150" s="6">
        <f>SUM(INDEX(Tabela1[[Freestyle Skiing - Men''s Aerials]:[Freestyle Skiing - Women''s Slopestyle]],MATCH(Table92[[#This Row],[Country]],Tabela1[Country], 0),0))</f>
        <v>0</v>
      </c>
      <c r="BF150" s="6">
        <f>SUM(INDEX(Tabela1[[Ice Hockey - Men''s Tournament]:[Ice Hockey - Women''s Tournament]],MATCH(Table92[[#This Row],[Country]],Tabela1[Country], 0),0))</f>
        <v>0</v>
      </c>
      <c r="BG150" s="6">
        <f>SUM(INDEX(Tabela1[[Luge - Men''s Singles]:[Luge - Mixed Team Relay]],MATCH(Table92[[#This Row],[Country]],Tabela1[Country], 0),0))</f>
        <v>0</v>
      </c>
      <c r="BH150" s="6">
        <f>SUM(INDEX(Tabela1[[Nordic Combined - Men''s Individual]:[Nordic Combined - Men''s Team Sprint Large Hill]],MATCH(Table92[[#This Row],[Country]],Tabela1[Country], 0),0))</f>
        <v>0</v>
      </c>
      <c r="BI150" s="6">
        <f>SUM(INDEX(Tabela1[[Short track speed skating - Men''s 500m]:[Short track speed skating - Mixed 2000m Relay]],MATCH(Table92[[#This Row],[Country]],Tabela1[Country], 0),0))</f>
        <v>0</v>
      </c>
      <c r="BJ150" s="6">
        <f>SUM(INDEX(Tabela1[[Skeleton - Men''s Individual]:[Skeleton - Mixed Team]],MATCH(Table92[[#This Row],[Country]],Tabela1[Country], 0),0))</f>
        <v>0</v>
      </c>
      <c r="BK150" s="6">
        <f>SUM(INDEX(Tabela1[[Ski Jumping - Men''s Individual Large Hill]:[Ski Jumping - Mixed Team Normal Hill]],MATCH(Table92[[#This Row],[Country]],Tabela1[Country], 0),0))</f>
        <v>0</v>
      </c>
      <c r="BL150" s="6">
        <f>SUM(INDEX(Tabela1[[Ski Mountaineering - Men''s Sprint]:[Ski Mountaineering - Mixed Relay]],MATCH(Table92[[#This Row],[Country]],Tabela1[Country], 0),0))</f>
        <v>0</v>
      </c>
      <c r="BM150" s="6">
        <f>SUM(INDEX(Tabela1[[Snowboarding - Men''s Big Air]:[Snowboarding - Mixed Team Snowboard Cross]],MATCH(Table92[[#This Row],[Country]],Tabela1[Country], 0),0))</f>
        <v>0</v>
      </c>
      <c r="BN150" s="6">
        <f>SUM(INDEX(Tabela1[[Speed Skating - Men''s 500m]:[Speed Skating - Women''s Team Pursuit]],MATCH(Table92[[#This Row],[Country]],Tabela1[Country], 0),0))</f>
        <v>0</v>
      </c>
      <c r="BO150" s="6" t="str">
        <f>SUBSTITUTE(INDEX(Table92[[#Headers],[Archery Quotas]:[Speed Skating Quotas]], MATCH(MAX(Table92[[#This Row],[Archery Quotas]:[Speed Skating Quotas]]), Table92[[#This Row],[Archery Quotas]:[Speed Skating Quotas]], 0))," Quotas","")</f>
        <v>Badminton</v>
      </c>
      <c r="BP150" s="6">
        <f>SUM(Table92[[#This Row],[Summer Sports]:[Winter Sports]])</f>
        <v>1</v>
      </c>
      <c r="BQ150" s="6">
        <f>COUNTIF(Table92[[#This Row],[Archery Quotas]:[Wrestling Quotas]],"&lt;&gt;0")</f>
        <v>1</v>
      </c>
      <c r="BR150" s="6">
        <f>COUNTIF(Table92[[#This Row],[Alpine Skiing Quotas]:[Speed Skating Quotas]],"&lt;&gt;0")</f>
        <v>0</v>
      </c>
      <c r="BS150" s="4" t="s">
        <v>703</v>
      </c>
    </row>
    <row r="151" spans="1:71" x14ac:dyDescent="0.3">
      <c r="A151" s="6" t="s">
        <v>710</v>
      </c>
      <c r="B151" t="e" vm="144">
        <f>IF(ISBLANK(Table92[[#This Row],[Flag Link]]), "", _xlfn.IMAGE(Table92[[#This Row],[Flag Link]],1,1))</f>
        <v>#VALUE!</v>
      </c>
      <c r="C151" s="6">
        <f>SUM(Table92[[#This Row],[Archery Quotas]:[Speed Skating Quotas]])</f>
        <v>1</v>
      </c>
      <c r="D151" s="6">
        <f>SUM(INDEX(Tabela1[[Archery - Men''s Individual Recurve]:[Archery - Mixed Team Recurve]],MATCH(Table92[[#This Row],[Country]],Tabela1[Country], 0),0))</f>
        <v>0</v>
      </c>
      <c r="E151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51" s="6">
        <f>SUM(INDEX(Tabela1[[Artistic Swimming - Women''s Duet]:[Artistic Swimming - Women''s Team]],MATCH(Table92[[#This Row],[Country]],Tabela1[Country], 0),0))</f>
        <v>0</v>
      </c>
      <c r="G151" s="6">
        <f>SUM(INDEX(Tabela1[[Athletics - Men''s 100m]:[Athletics - Women''s Heptathlon]],MATCH(Table92[[#This Row],[Country]],Tabela1[Country], 0),0))</f>
        <v>0</v>
      </c>
      <c r="H151" s="6">
        <f>SUM(INDEX(Tabela1[[Badminton - Men''s Singles]:[Badminton - Mixed Doubles]],MATCH(Table92[[#This Row],[Country]],Tabela1[Country], 0),0))</f>
        <v>0</v>
      </c>
      <c r="I151" s="6">
        <f>SUM(INDEX(Tabela1[[Basketball - Men''s Tournament]:[Basketball - Women''s Tournament]],MATCH(Table92[[#This Row],[Country]],Tabela1[Country], 0),0))</f>
        <v>0</v>
      </c>
      <c r="J151" s="6">
        <f>SUM(INDEX(Tabela1[[3x3 Basketball - Men''s Tournament]:[3x3 Basketball - Women''s Tournament]],MATCH(Table92[[#This Row],[Country]],Tabela1[Country], 0),0))</f>
        <v>0</v>
      </c>
      <c r="K151" s="6">
        <f>SUM(INDEX(Tabela1[[Beach Volleyball - Men''s Tournament]:[Beach Volleyball - Women''s Tournament]],MATCH(Table92[[#This Row],[Country]],Tabela1[Country], 0),0))</f>
        <v>0</v>
      </c>
      <c r="L151" s="6">
        <f>SUM(INDEX(Tabela1[[Boxing - Men''s 51kg]:[Boxing - Women''s 75kg]],MATCH(Table92[[#This Row],[Country]],Tabela1[Country], 0),0))</f>
        <v>0</v>
      </c>
      <c r="M151" s="6">
        <f>SUM(INDEX(Tabela1[[Breaking - Men''s Individual]:[Breaking - Women''s Individual]],MATCH(Table92[[#This Row],[Country]],Tabela1[Country], 0),0))</f>
        <v>0</v>
      </c>
      <c r="N151" s="6">
        <f>SUM(INDEX(Tabela1[[Canoeing - Men''s C1 Slalom]:[Canoeing - Women''s Kayak Cross Slalom]],MATCH(Table92[[#This Row],[Country]],Tabela1[Country], 0),0))</f>
        <v>0</v>
      </c>
      <c r="O151" s="6">
        <f>SUM(INDEX(Tabela1[[Canoeing - Women''s C1 200m]:[Canoeing - Women''s K4 500m]],MATCH(Table92[[#This Row],[Country]],Tabela1[Country], 0),0))</f>
        <v>0</v>
      </c>
      <c r="P151" s="6">
        <f>SUM(INDEX(Tabela1[[Cycling - Men''s BMX Freestyle]:[Cycling - Women''s BMX Freestyle]],MATCH(Table92[[#This Row],[Country]],Tabela1[Country], 0),0))</f>
        <v>0</v>
      </c>
      <c r="Q151" s="6">
        <f>SUM(INDEX(Tabela1[[Cycling - Men''s BMX Racing]:[Cycling - Women''s BMX Racing]],MATCH(Table92[[#This Row],[Country]],Tabela1[Country], 0),0))</f>
        <v>0</v>
      </c>
      <c r="R151" s="6">
        <f>SUM(INDEX(Tabela1[[Cycling - Men''s Cross-Country]:[Cycling - Women''s Cross-Country]],MATCH(Table92[[#This Row],[Country]],Tabela1[Country], 0),0))</f>
        <v>0</v>
      </c>
      <c r="S151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51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51" s="6">
        <f>SUM(INDEX(Tabela1[[Diving - Men''s Springboard]:[Diving - Women''s Synchronized Platform]],MATCH(Table92[[#This Row],[Country]],Tabela1[Country], 0),0))</f>
        <v>0</v>
      </c>
      <c r="V151" s="6">
        <f>SUM(INDEX(Tabela1[[Equestrian - Individual Dressage]:[Equestrian - Team Dressage]],MATCH(Table92[[#This Row],[Country]],Tabela1[Country], 0),0))</f>
        <v>0</v>
      </c>
      <c r="W151" s="6">
        <f>SUM(INDEX(Tabela1[[Equestrian - Individual Eventing]:[Equestrian - Team Eventing]],MATCH(Table92[[#This Row],[Country]],Tabela1[Country], 0),0))</f>
        <v>0</v>
      </c>
      <c r="X151" s="6">
        <f>SUM(INDEX(Tabela1[[Equestrian - Individual Jumping]:[Equestrian - Team Jumping]],MATCH(Table92[[#This Row],[Country]],Tabela1[Country], 0),0))</f>
        <v>0</v>
      </c>
      <c r="Y151" s="6">
        <f>SUM(INDEX(Tabela1[[Fencing - Men''s Épée]:[Fencing - Women''s Team Sabre]],MATCH(Table92[[#This Row],[Country]],Tabela1[Country], 0),0))</f>
        <v>0</v>
      </c>
      <c r="Z151" s="6">
        <f>SUM(INDEX(Tabela1[[Field Hockey - Men''s Tournament]:[Field Hockey - Women''s Tournament]],MATCH(Table92[[#This Row],[Country]],Tabela1[Country], 0),0))</f>
        <v>0</v>
      </c>
      <c r="AA151" s="6">
        <f>SUM(INDEX(Tabela1[[Football - Men''s Tournament]:[Football - Women''s Tournament]],MATCH(Table92[[#This Row],[Country]],Tabela1[Country], 0),0))</f>
        <v>0</v>
      </c>
      <c r="AB151" s="6">
        <f>SUM(INDEX(Tabela1[[Golf - Men''s Individual]:[Golf - Women''s Individual]],MATCH(Table92[[#This Row],[Country]],Tabela1[Country], 0),0))</f>
        <v>0</v>
      </c>
      <c r="AC151" s="6">
        <f>SUM(INDEX(Tabela1[[Handball - Men''s Tournament]:[Handball - Women''s Tournament]],MATCH(Table92[[#This Row],[Country]],Tabela1[Country], 0),0))</f>
        <v>0</v>
      </c>
      <c r="AD151" s="6">
        <f>SUM(INDEX(Tabela1[[Judo - Men''s 60kg]:[Judo - Mixed Team]],MATCH(Table92[[#This Row],[Country]],Tabela1[Country], 0),0))</f>
        <v>1</v>
      </c>
      <c r="AE151" s="6">
        <f>SUM(INDEX(Tabela1[[Swimming - Men''s 10km Open Water]:[Swimming - Women''s 10km Open Water]],MATCH(Table92[[#This Row],[Country]],Tabela1[Country], 0),0))</f>
        <v>0</v>
      </c>
      <c r="AF151" s="6">
        <f>SUM(INDEX(Tabela1[[Modern Pentathlon - Men''s Individual]:[Modern Pentathlon - Women''s Individual]],MATCH(Table92[[#This Row],[Country]],Tabela1[Country], 0),0))</f>
        <v>0</v>
      </c>
      <c r="AG151" s="6">
        <f>SUM(INDEX(Tabela1[[Rhythmic Gymnastics - Women''s Individual All-Around]:[Rhythmic Gymnastics - Women''s Group All-Around]],MATCH(Table92[[#This Row],[Country]],Tabela1[Country], 0),0))</f>
        <v>0</v>
      </c>
      <c r="AH151" s="6">
        <f>SUM(INDEX(Tabela1[[Rowing - Men''s Single Sculls]:[Rowing - Women''s Lwt. Double Sculls]],MATCH(Table92[[#This Row],[Country]],Tabela1[Country], 0),0))</f>
        <v>0</v>
      </c>
      <c r="AI151" s="6">
        <f>SUM(INDEX(Tabela1[[Rugby Sevens - Men''s Tournament]:[Rugby Sevens - Women''s Tournament]],MATCH(Table92[[#This Row],[Country]],Tabela1[Country], 0),0))</f>
        <v>0</v>
      </c>
      <c r="AJ151" s="6">
        <f>SUM(INDEX(Tabela1[[Sailing - Mixed 470]:[Sailing - Mixed Nacra 17]],MATCH(Table92[[#This Row],[Country]],Tabela1[Country], 0),0))</f>
        <v>0</v>
      </c>
      <c r="AK151" s="6">
        <f>SUM(INDEX(Tabela1[[Shooting - Men''s 10m Air Pistol]:[Shooting - Women''s Trap]],MATCH(Table92[[#This Row],[Country]],Tabela1[Country], 0),0))</f>
        <v>0</v>
      </c>
      <c r="AL151" s="6">
        <f>SUM(INDEX(Tabela1[[Skateboarding - Men''s Park]:[Skateboarding - Women''s Street]],MATCH(Table92[[#This Row],[Country]],Tabela1[Country], 0),0))</f>
        <v>0</v>
      </c>
      <c r="AM151" s="6">
        <f>SUM(INDEX(Tabela1[[Sport Climbing - Men''s Boulder and Lead]:[Sport Climbing - Women''s Speed]],MATCH(Table92[[#This Row],[Country]],Tabela1[Country], 0),0))</f>
        <v>0</v>
      </c>
      <c r="AN151" s="6">
        <f>SUM(INDEX(Tabela1[[Surfing - Men''s Shortboard]:[Surfing - Women''s Shortboard]],MATCH(Table92[[#This Row],[Country]],Tabela1[Country], 0),0))</f>
        <v>0</v>
      </c>
      <c r="AO151" s="6">
        <f>SUM(INDEX(Tabela1[[Swimming - Men''s 50m Freestyle]:[Swimming - Mixed 4x100m Medley Relay]],MATCH(Table92[[#This Row],[Country]],Tabela1[Country], 0),0))</f>
        <v>0</v>
      </c>
      <c r="AP151" s="6">
        <f>SUM(INDEX(Tabela1[[Table Tennis - Men''s Singles]:[Table Tennis - Mixed Doubles]],MATCH(Table92[[#This Row],[Country]],Tabela1[Country], 0),0))</f>
        <v>0</v>
      </c>
      <c r="AQ151" s="6">
        <f>SUM(INDEX(Tabela1[[Taekwondo - Men''s 58kg]:[Taekwondo - Women''s +67kg]],MATCH(Table92[[#This Row],[Country]],Tabela1[Country], 0),0))</f>
        <v>0</v>
      </c>
      <c r="AR151" s="6">
        <f>SUM(INDEX(Tabela1[[Tennis - Men''s Singles]:[Tennis - Mixed Doubles]],MATCH(Table92[[#This Row],[Country]],Tabela1[Country], 0),0))</f>
        <v>0</v>
      </c>
      <c r="AS151" s="6">
        <f>SUM(INDEX(Tabela1[[Gymnastics - Men''s Trampoline]:[Gymnastics - Women''s Trampoline]],MATCH(Table92[[#This Row],[Country]],Tabela1[Country], 0),0))</f>
        <v>0</v>
      </c>
      <c r="AT151" s="6">
        <f>SUM(INDEX(Tabela1[[Triathlon - Men''s Individual]:[Triathlon - Mixed Relay]],MATCH(Table92[[#This Row],[Country]],Tabela1[Country], 0),0))</f>
        <v>0</v>
      </c>
      <c r="AU151" s="6">
        <f>SUM(INDEX(Tabela1[[Volleyball - Men''s Tournament]:[Volleyball - Women''s Tournament]],MATCH(Table92[[#This Row],[Country]],Tabela1[Country], 0),0))</f>
        <v>0</v>
      </c>
      <c r="AV151" s="6">
        <f>SUM(INDEX(Tabela1[[Water Polo - Men''s Tournament]:[Water Polo - Women''s Tournament]],MATCH(Table92[[#This Row],[Country]],Tabela1[Country], 0),0))</f>
        <v>0</v>
      </c>
      <c r="AW151" s="6">
        <f>SUM(INDEX(Tabela1[[Weightlifting - Men''s 61kg]:[Weightlifting - Women''s +81kg]],MATCH(Table92[[#This Row],[Country]],Tabela1[Country], 0),0))</f>
        <v>0</v>
      </c>
      <c r="AX151" s="6">
        <f>SUM(INDEX(Tabela1[[Wrestling - Men''s Freestyle 57kg]:[Wrestling - Women''s Freestyle 76kg]],MATCH(Table92[[#This Row],[Country]],Tabela1[Country], 0),0))</f>
        <v>0</v>
      </c>
      <c r="AY151" s="6">
        <f>SUM(INDEX(Tabela1[[Alpine Skiing - Men''s Downhill]:[Alpine Skiing - Women''s Team Combined]],MATCH(Table92[[#This Row],[Country]],Tabela1[Country], 0),0))</f>
        <v>0</v>
      </c>
      <c r="AZ151" s="6">
        <f>SUM(INDEX(Tabela1[[Biathlon - Men''s Individual]:[Biathlon - Mixed Relay]],MATCH(Table92[[#This Row],[Country]],Tabela1[Country], 0),0))</f>
        <v>0</v>
      </c>
      <c r="BA151" s="6">
        <f>SUM(INDEX(Tabela1[[Bobsleigh - Women''s Monobob]:[Bobsleigh - Men''s Four]],MATCH(Table92[[#This Row],[Country]],Tabela1[Country], 0),0))</f>
        <v>0</v>
      </c>
      <c r="BB151" s="6">
        <f>SUM(INDEX(Tabela1[[Cross-country skiing - Men''s Classical]:[Cross-country skiing - Women''s Team Sprint]],MATCH(Table92[[#This Row],[Country]],Tabela1[Country], 0),0))</f>
        <v>0</v>
      </c>
      <c r="BC151" s="6">
        <f>SUM(INDEX(Tabela1[[Curling - Men''s Tournament]:[Curling - Mixed Doubles]],MATCH(Table92[[#This Row],[Country]],Tabela1[Country], 0),0))</f>
        <v>0</v>
      </c>
      <c r="BD151" s="6">
        <f>SUM(INDEX(Tabela1[[Figure Skating - Men''s Singles]:[Figure Skating - Team Event]],MATCH(Table92[[#This Row],[Country]],Tabela1[Country], 0),0))</f>
        <v>0</v>
      </c>
      <c r="BE151" s="6">
        <f>SUM(INDEX(Tabela1[[Freestyle Skiing - Men''s Aerials]:[Freestyle Skiing - Women''s Slopestyle]],MATCH(Table92[[#This Row],[Country]],Tabela1[Country], 0),0))</f>
        <v>0</v>
      </c>
      <c r="BF151" s="6">
        <f>SUM(INDEX(Tabela1[[Ice Hockey - Men''s Tournament]:[Ice Hockey - Women''s Tournament]],MATCH(Table92[[#This Row],[Country]],Tabela1[Country], 0),0))</f>
        <v>0</v>
      </c>
      <c r="BG151" s="6">
        <f>SUM(INDEX(Tabela1[[Luge - Men''s Singles]:[Luge - Mixed Team Relay]],MATCH(Table92[[#This Row],[Country]],Tabela1[Country], 0),0))</f>
        <v>0</v>
      </c>
      <c r="BH151" s="6">
        <f>SUM(INDEX(Tabela1[[Nordic Combined - Men''s Individual]:[Nordic Combined - Men''s Team Sprint Large Hill]],MATCH(Table92[[#This Row],[Country]],Tabela1[Country], 0),0))</f>
        <v>0</v>
      </c>
      <c r="BI151" s="6">
        <f>SUM(INDEX(Tabela1[[Short track speed skating - Men''s 500m]:[Short track speed skating - Mixed 2000m Relay]],MATCH(Table92[[#This Row],[Country]],Tabela1[Country], 0),0))</f>
        <v>0</v>
      </c>
      <c r="BJ151" s="6">
        <f>SUM(INDEX(Tabela1[[Skeleton - Men''s Individual]:[Skeleton - Mixed Team]],MATCH(Table92[[#This Row],[Country]],Tabela1[Country], 0),0))</f>
        <v>0</v>
      </c>
      <c r="BK151" s="6">
        <f>SUM(INDEX(Tabela1[[Ski Jumping - Men''s Individual Large Hill]:[Ski Jumping - Mixed Team Normal Hill]],MATCH(Table92[[#This Row],[Country]],Tabela1[Country], 0),0))</f>
        <v>0</v>
      </c>
      <c r="BL151" s="6">
        <f>SUM(INDEX(Tabela1[[Ski Mountaineering - Men''s Sprint]:[Ski Mountaineering - Mixed Relay]],MATCH(Table92[[#This Row],[Country]],Tabela1[Country], 0),0))</f>
        <v>0</v>
      </c>
      <c r="BM151" s="6">
        <f>SUM(INDEX(Tabela1[[Snowboarding - Men''s Big Air]:[Snowboarding - Mixed Team Snowboard Cross]],MATCH(Table92[[#This Row],[Country]],Tabela1[Country], 0),0))</f>
        <v>0</v>
      </c>
      <c r="BN151" s="6">
        <f>SUM(INDEX(Tabela1[[Speed Skating - Men''s 500m]:[Speed Skating - Women''s Team Pursuit]],MATCH(Table92[[#This Row],[Country]],Tabela1[Country], 0),0))</f>
        <v>0</v>
      </c>
      <c r="BO151" s="6" t="str">
        <f>SUBSTITUTE(INDEX(Table92[[#Headers],[Archery Quotas]:[Speed Skating Quotas]], MATCH(MAX(Table92[[#This Row],[Archery Quotas]:[Speed Skating Quotas]]), Table92[[#This Row],[Archery Quotas]:[Speed Skating Quotas]], 0))," Quotas","")</f>
        <v>Judo</v>
      </c>
      <c r="BP151" s="6">
        <f>SUM(Table92[[#This Row],[Summer Sports]:[Winter Sports]])</f>
        <v>1</v>
      </c>
      <c r="BQ151" s="6">
        <f>COUNTIF(Table92[[#This Row],[Archery Quotas]:[Wrestling Quotas]],"&lt;&gt;0")</f>
        <v>1</v>
      </c>
      <c r="BR151" s="6">
        <f>COUNTIF(Table92[[#This Row],[Alpine Skiing Quotas]:[Speed Skating Quotas]],"&lt;&gt;0")</f>
        <v>0</v>
      </c>
      <c r="BS151" s="3" t="s">
        <v>711</v>
      </c>
    </row>
    <row r="152" spans="1:71" x14ac:dyDescent="0.3">
      <c r="A152" s="6" t="s">
        <v>454</v>
      </c>
      <c r="B152" t="e" vm="147">
        <f>IF(ISBLANK(Table92[[#This Row],[Flag Link]]), "", _xlfn.IMAGE(Table92[[#This Row],[Flag Link]],1,1))</f>
        <v>#VALUE!</v>
      </c>
      <c r="C152" s="6">
        <f>SUM(Table92[[#This Row],[Archery Quotas]:[Speed Skating Quotas]])</f>
        <v>1</v>
      </c>
      <c r="D152" s="6">
        <f>SUM(INDEX(Tabela1[[Archery - Men''s Individual Recurve]:[Archery - Mixed Team Recurve]],MATCH(Table92[[#This Row],[Country]],Tabela1[Country], 0),0))</f>
        <v>0</v>
      </c>
      <c r="E152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52" s="6">
        <f>SUM(INDEX(Tabela1[[Artistic Swimming - Women''s Duet]:[Artistic Swimming - Women''s Team]],MATCH(Table92[[#This Row],[Country]],Tabela1[Country], 0),0))</f>
        <v>0</v>
      </c>
      <c r="G152" s="6">
        <f>SUM(INDEX(Tabela1[[Athletics - Men''s 100m]:[Athletics - Women''s Heptathlon]],MATCH(Table92[[#This Row],[Country]],Tabela1[Country], 0),0))</f>
        <v>0</v>
      </c>
      <c r="H152" s="6">
        <f>SUM(INDEX(Tabela1[[Badminton - Men''s Singles]:[Badminton - Mixed Doubles]],MATCH(Table92[[#This Row],[Country]],Tabela1[Country], 0),0))</f>
        <v>0</v>
      </c>
      <c r="I152" s="6">
        <f>SUM(INDEX(Tabela1[[Basketball - Men''s Tournament]:[Basketball - Women''s Tournament]],MATCH(Table92[[#This Row],[Country]],Tabela1[Country], 0),0))</f>
        <v>0</v>
      </c>
      <c r="J152" s="6">
        <f>SUM(INDEX(Tabela1[[3x3 Basketball - Men''s Tournament]:[3x3 Basketball - Women''s Tournament]],MATCH(Table92[[#This Row],[Country]],Tabela1[Country], 0),0))</f>
        <v>0</v>
      </c>
      <c r="K152" s="6">
        <f>SUM(INDEX(Tabela1[[Beach Volleyball - Men''s Tournament]:[Beach Volleyball - Women''s Tournament]],MATCH(Table92[[#This Row],[Country]],Tabela1[Country], 0),0))</f>
        <v>0</v>
      </c>
      <c r="L152" s="6">
        <f>SUM(INDEX(Tabela1[[Boxing - Men''s 51kg]:[Boxing - Women''s 75kg]],MATCH(Table92[[#This Row],[Country]],Tabela1[Country], 0),0))</f>
        <v>0</v>
      </c>
      <c r="M152" s="6">
        <f>SUM(INDEX(Tabela1[[Breaking - Men''s Individual]:[Breaking - Women''s Individual]],MATCH(Table92[[#This Row],[Country]],Tabela1[Country], 0),0))</f>
        <v>0</v>
      </c>
      <c r="N152" s="6">
        <f>SUM(INDEX(Tabela1[[Canoeing - Men''s C1 Slalom]:[Canoeing - Women''s Kayak Cross Slalom]],MATCH(Table92[[#This Row],[Country]],Tabela1[Country], 0),0))</f>
        <v>0</v>
      </c>
      <c r="O152" s="6">
        <f>SUM(INDEX(Tabela1[[Canoeing - Women''s C1 200m]:[Canoeing - Women''s K4 500m]],MATCH(Table92[[#This Row],[Country]],Tabela1[Country], 0),0))</f>
        <v>0</v>
      </c>
      <c r="P152" s="6">
        <f>SUM(INDEX(Tabela1[[Cycling - Men''s BMX Freestyle]:[Cycling - Women''s BMX Freestyle]],MATCH(Table92[[#This Row],[Country]],Tabela1[Country], 0),0))</f>
        <v>0</v>
      </c>
      <c r="Q152" s="6">
        <f>SUM(INDEX(Tabela1[[Cycling - Men''s BMX Racing]:[Cycling - Women''s BMX Racing]],MATCH(Table92[[#This Row],[Country]],Tabela1[Country], 0),0))</f>
        <v>0</v>
      </c>
      <c r="R152" s="6">
        <f>SUM(INDEX(Tabela1[[Cycling - Men''s Cross-Country]:[Cycling - Women''s Cross-Country]],MATCH(Table92[[#This Row],[Country]],Tabela1[Country], 0),0))</f>
        <v>0</v>
      </c>
      <c r="S152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52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52" s="6">
        <f>SUM(INDEX(Tabela1[[Diving - Men''s Springboard]:[Diving - Women''s Synchronized Platform]],MATCH(Table92[[#This Row],[Country]],Tabela1[Country], 0),0))</f>
        <v>0</v>
      </c>
      <c r="V152" s="6">
        <f>SUM(INDEX(Tabela1[[Equestrian - Individual Dressage]:[Equestrian - Team Dressage]],MATCH(Table92[[#This Row],[Country]],Tabela1[Country], 0),0))</f>
        <v>0</v>
      </c>
      <c r="W152" s="6">
        <f>SUM(INDEX(Tabela1[[Equestrian - Individual Eventing]:[Equestrian - Team Eventing]],MATCH(Table92[[#This Row],[Country]],Tabela1[Country], 0),0))</f>
        <v>0</v>
      </c>
      <c r="X152" s="6">
        <f>SUM(INDEX(Tabela1[[Equestrian - Individual Jumping]:[Equestrian - Team Jumping]],MATCH(Table92[[#This Row],[Country]],Tabela1[Country], 0),0))</f>
        <v>0</v>
      </c>
      <c r="Y152" s="6">
        <f>SUM(INDEX(Tabela1[[Fencing - Men''s Épée]:[Fencing - Women''s Team Sabre]],MATCH(Table92[[#This Row],[Country]],Tabela1[Country], 0),0))</f>
        <v>0</v>
      </c>
      <c r="Z152" s="6">
        <f>SUM(INDEX(Tabela1[[Field Hockey - Men''s Tournament]:[Field Hockey - Women''s Tournament]],MATCH(Table92[[#This Row],[Country]],Tabela1[Country], 0),0))</f>
        <v>0</v>
      </c>
      <c r="AA152" s="6">
        <f>SUM(INDEX(Tabela1[[Football - Men''s Tournament]:[Football - Women''s Tournament]],MATCH(Table92[[#This Row],[Country]],Tabela1[Country], 0),0))</f>
        <v>0</v>
      </c>
      <c r="AB152" s="6">
        <f>SUM(INDEX(Tabela1[[Golf - Men''s Individual]:[Golf - Women''s Individual]],MATCH(Table92[[#This Row],[Country]],Tabela1[Country], 0),0))</f>
        <v>0</v>
      </c>
      <c r="AC152" s="6">
        <f>SUM(INDEX(Tabela1[[Handball - Men''s Tournament]:[Handball - Women''s Tournament]],MATCH(Table92[[#This Row],[Country]],Tabela1[Country], 0),0))</f>
        <v>0</v>
      </c>
      <c r="AD152" s="6">
        <f>SUM(INDEX(Tabela1[[Judo - Men''s 60kg]:[Judo - Mixed Team]],MATCH(Table92[[#This Row],[Country]],Tabela1[Country], 0),0))</f>
        <v>1</v>
      </c>
      <c r="AE152" s="6">
        <f>SUM(INDEX(Tabela1[[Swimming - Men''s 10km Open Water]:[Swimming - Women''s 10km Open Water]],MATCH(Table92[[#This Row],[Country]],Tabela1[Country], 0),0))</f>
        <v>0</v>
      </c>
      <c r="AF152" s="6">
        <f>SUM(INDEX(Tabela1[[Modern Pentathlon - Men''s Individual]:[Modern Pentathlon - Women''s Individual]],MATCH(Table92[[#This Row],[Country]],Tabela1[Country], 0),0))</f>
        <v>0</v>
      </c>
      <c r="AG152" s="6">
        <f>SUM(INDEX(Tabela1[[Rhythmic Gymnastics - Women''s Individual All-Around]:[Rhythmic Gymnastics - Women''s Group All-Around]],MATCH(Table92[[#This Row],[Country]],Tabela1[Country], 0),0))</f>
        <v>0</v>
      </c>
      <c r="AH152" s="6">
        <f>SUM(INDEX(Tabela1[[Rowing - Men''s Single Sculls]:[Rowing - Women''s Lwt. Double Sculls]],MATCH(Table92[[#This Row],[Country]],Tabela1[Country], 0),0))</f>
        <v>0</v>
      </c>
      <c r="AI152" s="6">
        <f>SUM(INDEX(Tabela1[[Rugby Sevens - Men''s Tournament]:[Rugby Sevens - Women''s Tournament]],MATCH(Table92[[#This Row],[Country]],Tabela1[Country], 0),0))</f>
        <v>0</v>
      </c>
      <c r="AJ152" s="6">
        <f>SUM(INDEX(Tabela1[[Sailing - Mixed 470]:[Sailing - Mixed Nacra 17]],MATCH(Table92[[#This Row],[Country]],Tabela1[Country], 0),0))</f>
        <v>0</v>
      </c>
      <c r="AK152" s="6">
        <f>SUM(INDEX(Tabela1[[Shooting - Men''s 10m Air Pistol]:[Shooting - Women''s Trap]],MATCH(Table92[[#This Row],[Country]],Tabela1[Country], 0),0))</f>
        <v>0</v>
      </c>
      <c r="AL152" s="6">
        <f>SUM(INDEX(Tabela1[[Skateboarding - Men''s Park]:[Skateboarding - Women''s Street]],MATCH(Table92[[#This Row],[Country]],Tabela1[Country], 0),0))</f>
        <v>0</v>
      </c>
      <c r="AM152" s="6">
        <f>SUM(INDEX(Tabela1[[Sport Climbing - Men''s Boulder and Lead]:[Sport Climbing - Women''s Speed]],MATCH(Table92[[#This Row],[Country]],Tabela1[Country], 0),0))</f>
        <v>0</v>
      </c>
      <c r="AN152" s="6">
        <f>SUM(INDEX(Tabela1[[Surfing - Men''s Shortboard]:[Surfing - Women''s Shortboard]],MATCH(Table92[[#This Row],[Country]],Tabela1[Country], 0),0))</f>
        <v>0</v>
      </c>
      <c r="AO152" s="6">
        <f>SUM(INDEX(Tabela1[[Swimming - Men''s 50m Freestyle]:[Swimming - Mixed 4x100m Medley Relay]],MATCH(Table92[[#This Row],[Country]],Tabela1[Country], 0),0))</f>
        <v>0</v>
      </c>
      <c r="AP152" s="6">
        <f>SUM(INDEX(Tabela1[[Table Tennis - Men''s Singles]:[Table Tennis - Mixed Doubles]],MATCH(Table92[[#This Row],[Country]],Tabela1[Country], 0),0))</f>
        <v>0</v>
      </c>
      <c r="AQ152" s="6">
        <f>SUM(INDEX(Tabela1[[Taekwondo - Men''s 58kg]:[Taekwondo - Women''s +67kg]],MATCH(Table92[[#This Row],[Country]],Tabela1[Country], 0),0))</f>
        <v>0</v>
      </c>
      <c r="AR152" s="6">
        <f>SUM(INDEX(Tabela1[[Tennis - Men''s Singles]:[Tennis - Mixed Doubles]],MATCH(Table92[[#This Row],[Country]],Tabela1[Country], 0),0))</f>
        <v>0</v>
      </c>
      <c r="AS152" s="6">
        <f>SUM(INDEX(Tabela1[[Gymnastics - Men''s Trampoline]:[Gymnastics - Women''s Trampoline]],MATCH(Table92[[#This Row],[Country]],Tabela1[Country], 0),0))</f>
        <v>0</v>
      </c>
      <c r="AT152" s="6">
        <f>SUM(INDEX(Tabela1[[Triathlon - Men''s Individual]:[Triathlon - Mixed Relay]],MATCH(Table92[[#This Row],[Country]],Tabela1[Country], 0),0))</f>
        <v>0</v>
      </c>
      <c r="AU152" s="6">
        <f>SUM(INDEX(Tabela1[[Volleyball - Men''s Tournament]:[Volleyball - Women''s Tournament]],MATCH(Table92[[#This Row],[Country]],Tabela1[Country], 0),0))</f>
        <v>0</v>
      </c>
      <c r="AV152" s="6">
        <f>SUM(INDEX(Tabela1[[Water Polo - Men''s Tournament]:[Water Polo - Women''s Tournament]],MATCH(Table92[[#This Row],[Country]],Tabela1[Country], 0),0))</f>
        <v>0</v>
      </c>
      <c r="AW152" s="6">
        <f>SUM(INDEX(Tabela1[[Weightlifting - Men''s 61kg]:[Weightlifting - Women''s +81kg]],MATCH(Table92[[#This Row],[Country]],Tabela1[Country], 0),0))</f>
        <v>0</v>
      </c>
      <c r="AX152" s="6">
        <f>SUM(INDEX(Tabela1[[Wrestling - Men''s Freestyle 57kg]:[Wrestling - Women''s Freestyle 76kg]],MATCH(Table92[[#This Row],[Country]],Tabela1[Country], 0),0))</f>
        <v>0</v>
      </c>
      <c r="AY152" s="6">
        <f>SUM(INDEX(Tabela1[[Alpine Skiing - Men''s Downhill]:[Alpine Skiing - Women''s Team Combined]],MATCH(Table92[[#This Row],[Country]],Tabela1[Country], 0),0))</f>
        <v>0</v>
      </c>
      <c r="AZ152" s="6">
        <f>SUM(INDEX(Tabela1[[Biathlon - Men''s Individual]:[Biathlon - Mixed Relay]],MATCH(Table92[[#This Row],[Country]],Tabela1[Country], 0),0))</f>
        <v>0</v>
      </c>
      <c r="BA152" s="6">
        <f>SUM(INDEX(Tabela1[[Bobsleigh - Women''s Monobob]:[Bobsleigh - Men''s Four]],MATCH(Table92[[#This Row],[Country]],Tabela1[Country], 0),0))</f>
        <v>0</v>
      </c>
      <c r="BB152" s="6">
        <f>SUM(INDEX(Tabela1[[Cross-country skiing - Men''s Classical]:[Cross-country skiing - Women''s Team Sprint]],MATCH(Table92[[#This Row],[Country]],Tabela1[Country], 0),0))</f>
        <v>0</v>
      </c>
      <c r="BC152" s="6">
        <f>SUM(INDEX(Tabela1[[Curling - Men''s Tournament]:[Curling - Mixed Doubles]],MATCH(Table92[[#This Row],[Country]],Tabela1[Country], 0),0))</f>
        <v>0</v>
      </c>
      <c r="BD152" s="6">
        <f>SUM(INDEX(Tabela1[[Figure Skating - Men''s Singles]:[Figure Skating - Team Event]],MATCH(Table92[[#This Row],[Country]],Tabela1[Country], 0),0))</f>
        <v>0</v>
      </c>
      <c r="BE152" s="6">
        <f>SUM(INDEX(Tabela1[[Freestyle Skiing - Men''s Aerials]:[Freestyle Skiing - Women''s Slopestyle]],MATCH(Table92[[#This Row],[Country]],Tabela1[Country], 0),0))</f>
        <v>0</v>
      </c>
      <c r="BF152" s="6">
        <f>SUM(INDEX(Tabela1[[Ice Hockey - Men''s Tournament]:[Ice Hockey - Women''s Tournament]],MATCH(Table92[[#This Row],[Country]],Tabela1[Country], 0),0))</f>
        <v>0</v>
      </c>
      <c r="BG152" s="6">
        <f>SUM(INDEX(Tabela1[[Luge - Men''s Singles]:[Luge - Mixed Team Relay]],MATCH(Table92[[#This Row],[Country]],Tabela1[Country], 0),0))</f>
        <v>0</v>
      </c>
      <c r="BH152" s="6">
        <f>SUM(INDEX(Tabela1[[Nordic Combined - Men''s Individual]:[Nordic Combined - Men''s Team Sprint Large Hill]],MATCH(Table92[[#This Row],[Country]],Tabela1[Country], 0),0))</f>
        <v>0</v>
      </c>
      <c r="BI152" s="6">
        <f>SUM(INDEX(Tabela1[[Short track speed skating - Men''s 500m]:[Short track speed skating - Mixed 2000m Relay]],MATCH(Table92[[#This Row],[Country]],Tabela1[Country], 0),0))</f>
        <v>0</v>
      </c>
      <c r="BJ152" s="6">
        <f>SUM(INDEX(Tabela1[[Skeleton - Men''s Individual]:[Skeleton - Mixed Team]],MATCH(Table92[[#This Row],[Country]],Tabela1[Country], 0),0))</f>
        <v>0</v>
      </c>
      <c r="BK152" s="6">
        <f>SUM(INDEX(Tabela1[[Ski Jumping - Men''s Individual Large Hill]:[Ski Jumping - Mixed Team Normal Hill]],MATCH(Table92[[#This Row],[Country]],Tabela1[Country], 0),0))</f>
        <v>0</v>
      </c>
      <c r="BL152" s="6">
        <f>SUM(INDEX(Tabela1[[Ski Mountaineering - Men''s Sprint]:[Ski Mountaineering - Mixed Relay]],MATCH(Table92[[#This Row],[Country]],Tabela1[Country], 0),0))</f>
        <v>0</v>
      </c>
      <c r="BM152" s="6">
        <f>SUM(INDEX(Tabela1[[Snowboarding - Men''s Big Air]:[Snowboarding - Mixed Team Snowboard Cross]],MATCH(Table92[[#This Row],[Country]],Tabela1[Country], 0),0))</f>
        <v>0</v>
      </c>
      <c r="BN152" s="6">
        <f>SUM(INDEX(Tabela1[[Speed Skating - Men''s 500m]:[Speed Skating - Women''s Team Pursuit]],MATCH(Table92[[#This Row],[Country]],Tabela1[Country], 0),0))</f>
        <v>0</v>
      </c>
      <c r="BO152" s="6" t="str">
        <f>SUBSTITUTE(INDEX(Table92[[#Headers],[Archery Quotas]:[Speed Skating Quotas]], MATCH(MAX(Table92[[#This Row],[Archery Quotas]:[Speed Skating Quotas]]), Table92[[#This Row],[Archery Quotas]:[Speed Skating Quotas]], 0))," Quotas","")</f>
        <v>Judo</v>
      </c>
      <c r="BP152" s="6">
        <f>SUM(Table92[[#This Row],[Summer Sports]:[Winter Sports]])</f>
        <v>1</v>
      </c>
      <c r="BQ152" s="6">
        <f>COUNTIF(Table92[[#This Row],[Archery Quotas]:[Wrestling Quotas]],"&lt;&gt;0")</f>
        <v>1</v>
      </c>
      <c r="BR152" s="6">
        <f>COUNTIF(Table92[[#This Row],[Alpine Skiing Quotas]:[Speed Skating Quotas]],"&lt;&gt;0")</f>
        <v>0</v>
      </c>
      <c r="BS152" s="4" t="s">
        <v>455</v>
      </c>
    </row>
    <row r="153" spans="1:71" x14ac:dyDescent="0.3">
      <c r="A153" s="6" t="s">
        <v>734</v>
      </c>
      <c r="B153" t="e" vm="142">
        <f>IF(ISBLANK(Table92[[#This Row],[Flag Link]]), "", _xlfn.IMAGE(Table92[[#This Row],[Flag Link]],1,1))</f>
        <v>#VALUE!</v>
      </c>
      <c r="C153" s="6">
        <f>SUM(Table92[[#This Row],[Archery Quotas]:[Speed Skating Quotas]])</f>
        <v>1</v>
      </c>
      <c r="D153" s="6">
        <f>SUM(INDEX(Tabela1[[Archery - Men''s Individual Recurve]:[Archery - Mixed Team Recurve]],MATCH(Table92[[#This Row],[Country]],Tabela1[Country], 0),0))</f>
        <v>0</v>
      </c>
      <c r="E153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53" s="6">
        <f>SUM(INDEX(Tabela1[[Artistic Swimming - Women''s Duet]:[Artistic Swimming - Women''s Team]],MATCH(Table92[[#This Row],[Country]],Tabela1[Country], 0),0))</f>
        <v>0</v>
      </c>
      <c r="G153" s="6">
        <f>SUM(INDEX(Tabela1[[Athletics - Men''s 100m]:[Athletics - Women''s Heptathlon]],MATCH(Table92[[#This Row],[Country]],Tabela1[Country], 0),0))</f>
        <v>0</v>
      </c>
      <c r="H153" s="6">
        <f>SUM(INDEX(Tabela1[[Badminton - Men''s Singles]:[Badminton - Mixed Doubles]],MATCH(Table92[[#This Row],[Country]],Tabela1[Country], 0),0))</f>
        <v>0</v>
      </c>
      <c r="I153" s="6">
        <f>SUM(INDEX(Tabela1[[Basketball - Men''s Tournament]:[Basketball - Women''s Tournament]],MATCH(Table92[[#This Row],[Country]],Tabela1[Country], 0),0))</f>
        <v>0</v>
      </c>
      <c r="J153" s="6">
        <f>SUM(INDEX(Tabela1[[3x3 Basketball - Men''s Tournament]:[3x3 Basketball - Women''s Tournament]],MATCH(Table92[[#This Row],[Country]],Tabela1[Country], 0),0))</f>
        <v>0</v>
      </c>
      <c r="K153" s="6">
        <f>SUM(INDEX(Tabela1[[Beach Volleyball - Men''s Tournament]:[Beach Volleyball - Women''s Tournament]],MATCH(Table92[[#This Row],[Country]],Tabela1[Country], 0),0))</f>
        <v>0</v>
      </c>
      <c r="L153" s="6">
        <f>SUM(INDEX(Tabela1[[Boxing - Men''s 51kg]:[Boxing - Women''s 75kg]],MATCH(Table92[[#This Row],[Country]],Tabela1[Country], 0),0))</f>
        <v>0</v>
      </c>
      <c r="M153" s="6">
        <f>SUM(INDEX(Tabela1[[Breaking - Men''s Individual]:[Breaking - Women''s Individual]],MATCH(Table92[[#This Row],[Country]],Tabela1[Country], 0),0))</f>
        <v>0</v>
      </c>
      <c r="N153" s="6">
        <f>SUM(INDEX(Tabela1[[Canoeing - Men''s C1 Slalom]:[Canoeing - Women''s Kayak Cross Slalom]],MATCH(Table92[[#This Row],[Country]],Tabela1[Country], 0),0))</f>
        <v>0</v>
      </c>
      <c r="O153" s="6">
        <f>SUM(INDEX(Tabela1[[Canoeing - Women''s C1 200m]:[Canoeing - Women''s K4 500m]],MATCH(Table92[[#This Row],[Country]],Tabela1[Country], 0),0))</f>
        <v>0</v>
      </c>
      <c r="P153" s="6">
        <f>SUM(INDEX(Tabela1[[Cycling - Men''s BMX Freestyle]:[Cycling - Women''s BMX Freestyle]],MATCH(Table92[[#This Row],[Country]],Tabela1[Country], 0),0))</f>
        <v>0</v>
      </c>
      <c r="Q153" s="6">
        <f>SUM(INDEX(Tabela1[[Cycling - Men''s BMX Racing]:[Cycling - Women''s BMX Racing]],MATCH(Table92[[#This Row],[Country]],Tabela1[Country], 0),0))</f>
        <v>0</v>
      </c>
      <c r="R153" s="6">
        <f>SUM(INDEX(Tabela1[[Cycling - Men''s Cross-Country]:[Cycling - Women''s Cross-Country]],MATCH(Table92[[#This Row],[Country]],Tabela1[Country], 0),0))</f>
        <v>0</v>
      </c>
      <c r="S153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53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53" s="6">
        <f>SUM(INDEX(Tabela1[[Diving - Men''s Springboard]:[Diving - Women''s Synchronized Platform]],MATCH(Table92[[#This Row],[Country]],Tabela1[Country], 0),0))</f>
        <v>0</v>
      </c>
      <c r="V153" s="6">
        <f>SUM(INDEX(Tabela1[[Equestrian - Individual Dressage]:[Equestrian - Team Dressage]],MATCH(Table92[[#This Row],[Country]],Tabela1[Country], 0),0))</f>
        <v>0</v>
      </c>
      <c r="W153" s="6">
        <f>SUM(INDEX(Tabela1[[Equestrian - Individual Eventing]:[Equestrian - Team Eventing]],MATCH(Table92[[#This Row],[Country]],Tabela1[Country], 0),0))</f>
        <v>0</v>
      </c>
      <c r="X153" s="6">
        <f>SUM(INDEX(Tabela1[[Equestrian - Individual Jumping]:[Equestrian - Team Jumping]],MATCH(Table92[[#This Row],[Country]],Tabela1[Country], 0),0))</f>
        <v>0</v>
      </c>
      <c r="Y153" s="6">
        <f>SUM(INDEX(Tabela1[[Fencing - Men''s Épée]:[Fencing - Women''s Team Sabre]],MATCH(Table92[[#This Row],[Country]],Tabela1[Country], 0),0))</f>
        <v>0</v>
      </c>
      <c r="Z153" s="6">
        <f>SUM(INDEX(Tabela1[[Field Hockey - Men''s Tournament]:[Field Hockey - Women''s Tournament]],MATCH(Table92[[#This Row],[Country]],Tabela1[Country], 0),0))</f>
        <v>0</v>
      </c>
      <c r="AA153" s="6">
        <f>SUM(INDEX(Tabela1[[Football - Men''s Tournament]:[Football - Women''s Tournament]],MATCH(Table92[[#This Row],[Country]],Tabela1[Country], 0),0))</f>
        <v>0</v>
      </c>
      <c r="AB153" s="6">
        <f>SUM(INDEX(Tabela1[[Golf - Men''s Individual]:[Golf - Women''s Individual]],MATCH(Table92[[#This Row],[Country]],Tabela1[Country], 0),0))</f>
        <v>0</v>
      </c>
      <c r="AC153" s="6">
        <f>SUM(INDEX(Tabela1[[Handball - Men''s Tournament]:[Handball - Women''s Tournament]],MATCH(Table92[[#This Row],[Country]],Tabela1[Country], 0),0))</f>
        <v>0</v>
      </c>
      <c r="AD153" s="6">
        <f>SUM(INDEX(Tabela1[[Judo - Men''s 60kg]:[Judo - Mixed Team]],MATCH(Table92[[#This Row],[Country]],Tabela1[Country], 0),0))</f>
        <v>0</v>
      </c>
      <c r="AE153" s="6">
        <f>SUM(INDEX(Tabela1[[Swimming - Men''s 10km Open Water]:[Swimming - Women''s 10km Open Water]],MATCH(Table92[[#This Row],[Country]],Tabela1[Country], 0),0))</f>
        <v>0</v>
      </c>
      <c r="AF153" s="6">
        <f>SUM(INDEX(Tabela1[[Modern Pentathlon - Men''s Individual]:[Modern Pentathlon - Women''s Individual]],MATCH(Table92[[#This Row],[Country]],Tabela1[Country], 0),0))</f>
        <v>0</v>
      </c>
      <c r="AG153" s="6">
        <f>SUM(INDEX(Tabela1[[Rhythmic Gymnastics - Women''s Individual All-Around]:[Rhythmic Gymnastics - Women''s Group All-Around]],MATCH(Table92[[#This Row],[Country]],Tabela1[Country], 0),0))</f>
        <v>0</v>
      </c>
      <c r="AH153" s="6">
        <f>SUM(INDEX(Tabela1[[Rowing - Men''s Single Sculls]:[Rowing - Women''s Lwt. Double Sculls]],MATCH(Table92[[#This Row],[Country]],Tabela1[Country], 0),0))</f>
        <v>0</v>
      </c>
      <c r="AI153" s="6">
        <f>SUM(INDEX(Tabela1[[Rugby Sevens - Men''s Tournament]:[Rugby Sevens - Women''s Tournament]],MATCH(Table92[[#This Row],[Country]],Tabela1[Country], 0),0))</f>
        <v>0</v>
      </c>
      <c r="AJ153" s="6">
        <f>SUM(INDEX(Tabela1[[Sailing - Mixed 470]:[Sailing - Mixed Nacra 17]],MATCH(Table92[[#This Row],[Country]],Tabela1[Country], 0),0))</f>
        <v>0</v>
      </c>
      <c r="AK153" s="6">
        <f>SUM(INDEX(Tabela1[[Shooting - Men''s 10m Air Pistol]:[Shooting - Women''s Trap]],MATCH(Table92[[#This Row],[Country]],Tabela1[Country], 0),0))</f>
        <v>1</v>
      </c>
      <c r="AL153" s="6">
        <f>SUM(INDEX(Tabela1[[Skateboarding - Men''s Park]:[Skateboarding - Women''s Street]],MATCH(Table92[[#This Row],[Country]],Tabela1[Country], 0),0))</f>
        <v>0</v>
      </c>
      <c r="AM153" s="6">
        <f>SUM(INDEX(Tabela1[[Sport Climbing - Men''s Boulder and Lead]:[Sport Climbing - Women''s Speed]],MATCH(Table92[[#This Row],[Country]],Tabela1[Country], 0),0))</f>
        <v>0</v>
      </c>
      <c r="AN153" s="6">
        <f>SUM(INDEX(Tabela1[[Surfing - Men''s Shortboard]:[Surfing - Women''s Shortboard]],MATCH(Table92[[#This Row],[Country]],Tabela1[Country], 0),0))</f>
        <v>0</v>
      </c>
      <c r="AO153" s="6">
        <f>SUM(INDEX(Tabela1[[Swimming - Men''s 50m Freestyle]:[Swimming - Mixed 4x100m Medley Relay]],MATCH(Table92[[#This Row],[Country]],Tabela1[Country], 0),0))</f>
        <v>0</v>
      </c>
      <c r="AP153" s="6">
        <f>SUM(INDEX(Tabela1[[Table Tennis - Men''s Singles]:[Table Tennis - Mixed Doubles]],MATCH(Table92[[#This Row],[Country]],Tabela1[Country], 0),0))</f>
        <v>0</v>
      </c>
      <c r="AQ153" s="6">
        <f>SUM(INDEX(Tabela1[[Taekwondo - Men''s 58kg]:[Taekwondo - Women''s +67kg]],MATCH(Table92[[#This Row],[Country]],Tabela1[Country], 0),0))</f>
        <v>0</v>
      </c>
      <c r="AR153" s="6">
        <f>SUM(INDEX(Tabela1[[Tennis - Men''s Singles]:[Tennis - Mixed Doubles]],MATCH(Table92[[#This Row],[Country]],Tabela1[Country], 0),0))</f>
        <v>0</v>
      </c>
      <c r="AS153" s="6">
        <f>SUM(INDEX(Tabela1[[Gymnastics - Men''s Trampoline]:[Gymnastics - Women''s Trampoline]],MATCH(Table92[[#This Row],[Country]],Tabela1[Country], 0),0))</f>
        <v>0</v>
      </c>
      <c r="AT153" s="6">
        <f>SUM(INDEX(Tabela1[[Triathlon - Men''s Individual]:[Triathlon - Mixed Relay]],MATCH(Table92[[#This Row],[Country]],Tabela1[Country], 0),0))</f>
        <v>0</v>
      </c>
      <c r="AU153" s="6">
        <f>SUM(INDEX(Tabela1[[Volleyball - Men''s Tournament]:[Volleyball - Women''s Tournament]],MATCH(Table92[[#This Row],[Country]],Tabela1[Country], 0),0))</f>
        <v>0</v>
      </c>
      <c r="AV153" s="6">
        <f>SUM(INDEX(Tabela1[[Water Polo - Men''s Tournament]:[Water Polo - Women''s Tournament]],MATCH(Table92[[#This Row],[Country]],Tabela1[Country], 0),0))</f>
        <v>0</v>
      </c>
      <c r="AW153" s="6">
        <f>SUM(INDEX(Tabela1[[Weightlifting - Men''s 61kg]:[Weightlifting - Women''s +81kg]],MATCH(Table92[[#This Row],[Country]],Tabela1[Country], 0),0))</f>
        <v>0</v>
      </c>
      <c r="AX153" s="6">
        <f>SUM(INDEX(Tabela1[[Wrestling - Men''s Freestyle 57kg]:[Wrestling - Women''s Freestyle 76kg]],MATCH(Table92[[#This Row],[Country]],Tabela1[Country], 0),0))</f>
        <v>0</v>
      </c>
      <c r="AY153" s="6">
        <f>SUM(INDEX(Tabela1[[Alpine Skiing - Men''s Downhill]:[Alpine Skiing - Women''s Team Combined]],MATCH(Table92[[#This Row],[Country]],Tabela1[Country], 0),0))</f>
        <v>0</v>
      </c>
      <c r="AZ153" s="6">
        <f>SUM(INDEX(Tabela1[[Biathlon - Men''s Individual]:[Biathlon - Mixed Relay]],MATCH(Table92[[#This Row],[Country]],Tabela1[Country], 0),0))</f>
        <v>0</v>
      </c>
      <c r="BA153" s="6">
        <f>SUM(INDEX(Tabela1[[Bobsleigh - Women''s Monobob]:[Bobsleigh - Men''s Four]],MATCH(Table92[[#This Row],[Country]],Tabela1[Country], 0),0))</f>
        <v>0</v>
      </c>
      <c r="BB153" s="6">
        <f>SUM(INDEX(Tabela1[[Cross-country skiing - Men''s Classical]:[Cross-country skiing - Women''s Team Sprint]],MATCH(Table92[[#This Row],[Country]],Tabela1[Country], 0),0))</f>
        <v>0</v>
      </c>
      <c r="BC153" s="6">
        <f>SUM(INDEX(Tabela1[[Curling - Men''s Tournament]:[Curling - Mixed Doubles]],MATCH(Table92[[#This Row],[Country]],Tabela1[Country], 0),0))</f>
        <v>0</v>
      </c>
      <c r="BD153" s="6">
        <f>SUM(INDEX(Tabela1[[Figure Skating - Men''s Singles]:[Figure Skating - Team Event]],MATCH(Table92[[#This Row],[Country]],Tabela1[Country], 0),0))</f>
        <v>0</v>
      </c>
      <c r="BE153" s="6">
        <f>SUM(INDEX(Tabela1[[Freestyle Skiing - Men''s Aerials]:[Freestyle Skiing - Women''s Slopestyle]],MATCH(Table92[[#This Row],[Country]],Tabela1[Country], 0),0))</f>
        <v>0</v>
      </c>
      <c r="BF153" s="6">
        <f>SUM(INDEX(Tabela1[[Ice Hockey - Men''s Tournament]:[Ice Hockey - Women''s Tournament]],MATCH(Table92[[#This Row],[Country]],Tabela1[Country], 0),0))</f>
        <v>0</v>
      </c>
      <c r="BG153" s="6">
        <f>SUM(INDEX(Tabela1[[Luge - Men''s Singles]:[Luge - Mixed Team Relay]],MATCH(Table92[[#This Row],[Country]],Tabela1[Country], 0),0))</f>
        <v>0</v>
      </c>
      <c r="BH153" s="6">
        <f>SUM(INDEX(Tabela1[[Nordic Combined - Men''s Individual]:[Nordic Combined - Men''s Team Sprint Large Hill]],MATCH(Table92[[#This Row],[Country]],Tabela1[Country], 0),0))</f>
        <v>0</v>
      </c>
      <c r="BI153" s="6">
        <f>SUM(INDEX(Tabela1[[Short track speed skating - Men''s 500m]:[Short track speed skating - Mixed 2000m Relay]],MATCH(Table92[[#This Row],[Country]],Tabela1[Country], 0),0))</f>
        <v>0</v>
      </c>
      <c r="BJ153" s="6">
        <f>SUM(INDEX(Tabela1[[Skeleton - Men''s Individual]:[Skeleton - Mixed Team]],MATCH(Table92[[#This Row],[Country]],Tabela1[Country], 0),0))</f>
        <v>0</v>
      </c>
      <c r="BK153" s="6">
        <f>SUM(INDEX(Tabela1[[Ski Jumping - Men''s Individual Large Hill]:[Ski Jumping - Mixed Team Normal Hill]],MATCH(Table92[[#This Row],[Country]],Tabela1[Country], 0),0))</f>
        <v>0</v>
      </c>
      <c r="BL153" s="6">
        <f>SUM(INDEX(Tabela1[[Ski Mountaineering - Men''s Sprint]:[Ski Mountaineering - Mixed Relay]],MATCH(Table92[[#This Row],[Country]],Tabela1[Country], 0),0))</f>
        <v>0</v>
      </c>
      <c r="BM153" s="6">
        <f>SUM(INDEX(Tabela1[[Snowboarding - Men''s Big Air]:[Snowboarding - Mixed Team Snowboard Cross]],MATCH(Table92[[#This Row],[Country]],Tabela1[Country], 0),0))</f>
        <v>0</v>
      </c>
      <c r="BN153" s="6">
        <f>SUM(INDEX(Tabela1[[Speed Skating - Men''s 500m]:[Speed Skating - Women''s Team Pursuit]],MATCH(Table92[[#This Row],[Country]],Tabela1[Country], 0),0))</f>
        <v>0</v>
      </c>
      <c r="BO153" s="6" t="str">
        <f>SUBSTITUTE(INDEX(Table92[[#Headers],[Archery Quotas]:[Speed Skating Quotas]], MATCH(MAX(Table92[[#This Row],[Archery Quotas]:[Speed Skating Quotas]]), Table92[[#This Row],[Archery Quotas]:[Speed Skating Quotas]], 0))," Quotas","")</f>
        <v>Shooting</v>
      </c>
      <c r="BP153" s="6">
        <f>SUM(Table92[[#This Row],[Summer Sports]:[Winter Sports]])</f>
        <v>1</v>
      </c>
      <c r="BQ153" s="6">
        <f>COUNTIF(Table92[[#This Row],[Archery Quotas]:[Wrestling Quotas]],"&lt;&gt;0")</f>
        <v>1</v>
      </c>
      <c r="BR153" s="6">
        <f>COUNTIF(Table92[[#This Row],[Alpine Skiing Quotas]:[Speed Skating Quotas]],"&lt;&gt;0")</f>
        <v>0</v>
      </c>
      <c r="BS153" s="4" t="s">
        <v>735</v>
      </c>
    </row>
    <row r="154" spans="1:71" x14ac:dyDescent="0.3">
      <c r="A154" s="6" t="s">
        <v>492</v>
      </c>
      <c r="B154" t="e" vm="161">
        <f>IF(ISBLANK(Table92[[#This Row],[Flag Link]]), "", _xlfn.IMAGE(Table92[[#This Row],[Flag Link]],1,1))</f>
        <v>#VALUE!</v>
      </c>
      <c r="C154" s="6">
        <f>SUM(Table92[[#This Row],[Archery Quotas]:[Speed Skating Quotas]])</f>
        <v>0</v>
      </c>
      <c r="D154" s="6">
        <f>SUM(INDEX(Tabela1[[Archery - Men''s Individual Recurve]:[Archery - Mixed Team Recurve]],MATCH(Table92[[#This Row],[Country]],Tabela1[Country], 0),0))</f>
        <v>0</v>
      </c>
      <c r="E154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54" s="6">
        <f>SUM(INDEX(Tabela1[[Artistic Swimming - Women''s Duet]:[Artistic Swimming - Women''s Team]],MATCH(Table92[[#This Row],[Country]],Tabela1[Country], 0),0))</f>
        <v>0</v>
      </c>
      <c r="G154" s="6">
        <f>SUM(INDEX(Tabela1[[Athletics - Men''s 100m]:[Athletics - Women''s Heptathlon]],MATCH(Table92[[#This Row],[Country]],Tabela1[Country], 0),0))</f>
        <v>0</v>
      </c>
      <c r="H154" s="6">
        <f>SUM(INDEX(Tabela1[[Badminton - Men''s Singles]:[Badminton - Mixed Doubles]],MATCH(Table92[[#This Row],[Country]],Tabela1[Country], 0),0))</f>
        <v>0</v>
      </c>
      <c r="I154" s="6">
        <f>SUM(INDEX(Tabela1[[Basketball - Men''s Tournament]:[Basketball - Women''s Tournament]],MATCH(Table92[[#This Row],[Country]],Tabela1[Country], 0),0))</f>
        <v>0</v>
      </c>
      <c r="J154" s="6">
        <f>SUM(INDEX(Tabela1[[3x3 Basketball - Men''s Tournament]:[3x3 Basketball - Women''s Tournament]],MATCH(Table92[[#This Row],[Country]],Tabela1[Country], 0),0))</f>
        <v>0</v>
      </c>
      <c r="K154" s="6">
        <f>SUM(INDEX(Tabela1[[Beach Volleyball - Men''s Tournament]:[Beach Volleyball - Women''s Tournament]],MATCH(Table92[[#This Row],[Country]],Tabela1[Country], 0),0))</f>
        <v>0</v>
      </c>
      <c r="L154" s="6">
        <f>SUM(INDEX(Tabela1[[Boxing - Men''s 51kg]:[Boxing - Women''s 75kg]],MATCH(Table92[[#This Row],[Country]],Tabela1[Country], 0),0))</f>
        <v>0</v>
      </c>
      <c r="M154" s="6">
        <f>SUM(INDEX(Tabela1[[Breaking - Men''s Individual]:[Breaking - Women''s Individual]],MATCH(Table92[[#This Row],[Country]],Tabela1[Country], 0),0))</f>
        <v>0</v>
      </c>
      <c r="N154" s="6">
        <f>SUM(INDEX(Tabela1[[Canoeing - Men''s C1 Slalom]:[Canoeing - Women''s Kayak Cross Slalom]],MATCH(Table92[[#This Row],[Country]],Tabela1[Country], 0),0))</f>
        <v>0</v>
      </c>
      <c r="O154" s="6">
        <f>SUM(INDEX(Tabela1[[Canoeing - Women''s C1 200m]:[Canoeing - Women''s K4 500m]],MATCH(Table92[[#This Row],[Country]],Tabela1[Country], 0),0))</f>
        <v>0</v>
      </c>
      <c r="P154" s="6">
        <f>SUM(INDEX(Tabela1[[Cycling - Men''s BMX Freestyle]:[Cycling - Women''s BMX Freestyle]],MATCH(Table92[[#This Row],[Country]],Tabela1[Country], 0),0))</f>
        <v>0</v>
      </c>
      <c r="Q154" s="6">
        <f>SUM(INDEX(Tabela1[[Cycling - Men''s BMX Racing]:[Cycling - Women''s BMX Racing]],MATCH(Table92[[#This Row],[Country]],Tabela1[Country], 0),0))</f>
        <v>0</v>
      </c>
      <c r="R154" s="6">
        <f>SUM(INDEX(Tabela1[[Cycling - Men''s Cross-Country]:[Cycling - Women''s Cross-Country]],MATCH(Table92[[#This Row],[Country]],Tabela1[Country], 0),0))</f>
        <v>0</v>
      </c>
      <c r="S154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54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54" s="6">
        <f>SUM(INDEX(Tabela1[[Diving - Men''s Springboard]:[Diving - Women''s Synchronized Platform]],MATCH(Table92[[#This Row],[Country]],Tabela1[Country], 0),0))</f>
        <v>0</v>
      </c>
      <c r="V154" s="6">
        <f>SUM(INDEX(Tabela1[[Equestrian - Individual Dressage]:[Equestrian - Team Dressage]],MATCH(Table92[[#This Row],[Country]],Tabela1[Country], 0),0))</f>
        <v>0</v>
      </c>
      <c r="W154" s="6">
        <f>SUM(INDEX(Tabela1[[Equestrian - Individual Eventing]:[Equestrian - Team Eventing]],MATCH(Table92[[#This Row],[Country]],Tabela1[Country], 0),0))</f>
        <v>0</v>
      </c>
      <c r="X154" s="6">
        <f>SUM(INDEX(Tabela1[[Equestrian - Individual Jumping]:[Equestrian - Team Jumping]],MATCH(Table92[[#This Row],[Country]],Tabela1[Country], 0),0))</f>
        <v>0</v>
      </c>
      <c r="Y154" s="6">
        <f>SUM(INDEX(Tabela1[[Fencing - Men''s Épée]:[Fencing - Women''s Team Sabre]],MATCH(Table92[[#This Row],[Country]],Tabela1[Country], 0),0))</f>
        <v>0</v>
      </c>
      <c r="Z154" s="6">
        <f>SUM(INDEX(Tabela1[[Field Hockey - Men''s Tournament]:[Field Hockey - Women''s Tournament]],MATCH(Table92[[#This Row],[Country]],Tabela1[Country], 0),0))</f>
        <v>0</v>
      </c>
      <c r="AA154" s="6">
        <f>SUM(INDEX(Tabela1[[Football - Men''s Tournament]:[Football - Women''s Tournament]],MATCH(Table92[[#This Row],[Country]],Tabela1[Country], 0),0))</f>
        <v>0</v>
      </c>
      <c r="AB154" s="6">
        <f>SUM(INDEX(Tabela1[[Golf - Men''s Individual]:[Golf - Women''s Individual]],MATCH(Table92[[#This Row],[Country]],Tabela1[Country], 0),0))</f>
        <v>0</v>
      </c>
      <c r="AC154" s="6">
        <f>SUM(INDEX(Tabela1[[Handball - Men''s Tournament]:[Handball - Women''s Tournament]],MATCH(Table92[[#This Row],[Country]],Tabela1[Country], 0),0))</f>
        <v>0</v>
      </c>
      <c r="AD154" s="6">
        <f>SUM(INDEX(Tabela1[[Judo - Men''s 60kg]:[Judo - Mixed Team]],MATCH(Table92[[#This Row],[Country]],Tabela1[Country], 0),0))</f>
        <v>0</v>
      </c>
      <c r="AE154" s="6">
        <f>SUM(INDEX(Tabela1[[Swimming - Men''s 10km Open Water]:[Swimming - Women''s 10km Open Water]],MATCH(Table92[[#This Row],[Country]],Tabela1[Country], 0),0))</f>
        <v>0</v>
      </c>
      <c r="AF154" s="6">
        <f>SUM(INDEX(Tabela1[[Modern Pentathlon - Men''s Individual]:[Modern Pentathlon - Women''s Individual]],MATCH(Table92[[#This Row],[Country]],Tabela1[Country], 0),0))</f>
        <v>0</v>
      </c>
      <c r="AG154" s="6">
        <f>SUM(INDEX(Tabela1[[Rhythmic Gymnastics - Women''s Individual All-Around]:[Rhythmic Gymnastics - Women''s Group All-Around]],MATCH(Table92[[#This Row],[Country]],Tabela1[Country], 0),0))</f>
        <v>0</v>
      </c>
      <c r="AH154" s="6">
        <f>SUM(INDEX(Tabela1[[Rowing - Men''s Single Sculls]:[Rowing - Women''s Lwt. Double Sculls]],MATCH(Table92[[#This Row],[Country]],Tabela1[Country], 0),0))</f>
        <v>0</v>
      </c>
      <c r="AI154" s="6">
        <f>SUM(INDEX(Tabela1[[Rugby Sevens - Men''s Tournament]:[Rugby Sevens - Women''s Tournament]],MATCH(Table92[[#This Row],[Country]],Tabela1[Country], 0),0))</f>
        <v>0</v>
      </c>
      <c r="AJ154" s="6">
        <f>SUM(INDEX(Tabela1[[Sailing - Mixed 470]:[Sailing - Mixed Nacra 17]],MATCH(Table92[[#This Row],[Country]],Tabela1[Country], 0),0))</f>
        <v>0</v>
      </c>
      <c r="AK154" s="6">
        <f>SUM(INDEX(Tabela1[[Shooting - Men''s 10m Air Pistol]:[Shooting - Women''s Trap]],MATCH(Table92[[#This Row],[Country]],Tabela1[Country], 0),0))</f>
        <v>0</v>
      </c>
      <c r="AL154" s="6">
        <f>SUM(INDEX(Tabela1[[Skateboarding - Men''s Park]:[Skateboarding - Women''s Street]],MATCH(Table92[[#This Row],[Country]],Tabela1[Country], 0),0))</f>
        <v>0</v>
      </c>
      <c r="AM154" s="6">
        <f>SUM(INDEX(Tabela1[[Sport Climbing - Men''s Boulder and Lead]:[Sport Climbing - Women''s Speed]],MATCH(Table92[[#This Row],[Country]],Tabela1[Country], 0),0))</f>
        <v>0</v>
      </c>
      <c r="AN154" s="6">
        <f>SUM(INDEX(Tabela1[[Surfing - Men''s Shortboard]:[Surfing - Women''s Shortboard]],MATCH(Table92[[#This Row],[Country]],Tabela1[Country], 0),0))</f>
        <v>0</v>
      </c>
      <c r="AO154" s="6">
        <f>SUM(INDEX(Tabela1[[Swimming - Men''s 50m Freestyle]:[Swimming - Mixed 4x100m Medley Relay]],MATCH(Table92[[#This Row],[Country]],Tabela1[Country], 0),0))</f>
        <v>0</v>
      </c>
      <c r="AP154" s="6">
        <f>SUM(INDEX(Tabela1[[Table Tennis - Men''s Singles]:[Table Tennis - Mixed Doubles]],MATCH(Table92[[#This Row],[Country]],Tabela1[Country], 0),0))</f>
        <v>0</v>
      </c>
      <c r="AQ154" s="6">
        <f>SUM(INDEX(Tabela1[[Taekwondo - Men''s 58kg]:[Taekwondo - Women''s +67kg]],MATCH(Table92[[#This Row],[Country]],Tabela1[Country], 0),0))</f>
        <v>0</v>
      </c>
      <c r="AR154" s="6">
        <f>SUM(INDEX(Tabela1[[Tennis - Men''s Singles]:[Tennis - Mixed Doubles]],MATCH(Table92[[#This Row],[Country]],Tabela1[Country], 0),0))</f>
        <v>0</v>
      </c>
      <c r="AS154" s="6">
        <f>SUM(INDEX(Tabela1[[Gymnastics - Men''s Trampoline]:[Gymnastics - Women''s Trampoline]],MATCH(Table92[[#This Row],[Country]],Tabela1[Country], 0),0))</f>
        <v>0</v>
      </c>
      <c r="AT154" s="6">
        <f>SUM(INDEX(Tabela1[[Triathlon - Men''s Individual]:[Triathlon - Mixed Relay]],MATCH(Table92[[#This Row],[Country]],Tabela1[Country], 0),0))</f>
        <v>0</v>
      </c>
      <c r="AU154" s="6">
        <f>SUM(INDEX(Tabela1[[Volleyball - Men''s Tournament]:[Volleyball - Women''s Tournament]],MATCH(Table92[[#This Row],[Country]],Tabela1[Country], 0),0))</f>
        <v>0</v>
      </c>
      <c r="AV154" s="6">
        <f>SUM(INDEX(Tabela1[[Water Polo - Men''s Tournament]:[Water Polo - Women''s Tournament]],MATCH(Table92[[#This Row],[Country]],Tabela1[Country], 0),0))</f>
        <v>0</v>
      </c>
      <c r="AW154" s="6">
        <f>SUM(INDEX(Tabela1[[Weightlifting - Men''s 61kg]:[Weightlifting - Women''s +81kg]],MATCH(Table92[[#This Row],[Country]],Tabela1[Country], 0),0))</f>
        <v>0</v>
      </c>
      <c r="AX154" s="6">
        <f>SUM(INDEX(Tabela1[[Wrestling - Men''s Freestyle 57kg]:[Wrestling - Women''s Freestyle 76kg]],MATCH(Table92[[#This Row],[Country]],Tabela1[Country], 0),0))</f>
        <v>0</v>
      </c>
      <c r="AY154" s="6">
        <f>SUM(INDEX(Tabela1[[Alpine Skiing - Men''s Downhill]:[Alpine Skiing - Women''s Team Combined]],MATCH(Table92[[#This Row],[Country]],Tabela1[Country], 0),0))</f>
        <v>0</v>
      </c>
      <c r="AZ154" s="6">
        <f>SUM(INDEX(Tabela1[[Biathlon - Men''s Individual]:[Biathlon - Mixed Relay]],MATCH(Table92[[#This Row],[Country]],Tabela1[Country], 0),0))</f>
        <v>0</v>
      </c>
      <c r="BA154" s="6">
        <f>SUM(INDEX(Tabela1[[Bobsleigh - Women''s Monobob]:[Bobsleigh - Men''s Four]],MATCH(Table92[[#This Row],[Country]],Tabela1[Country], 0),0))</f>
        <v>0</v>
      </c>
      <c r="BB154" s="6">
        <f>SUM(INDEX(Tabela1[[Cross-country skiing - Men''s Classical]:[Cross-country skiing - Women''s Team Sprint]],MATCH(Table92[[#This Row],[Country]],Tabela1[Country], 0),0))</f>
        <v>0</v>
      </c>
      <c r="BC154" s="6">
        <f>SUM(INDEX(Tabela1[[Curling - Men''s Tournament]:[Curling - Mixed Doubles]],MATCH(Table92[[#This Row],[Country]],Tabela1[Country], 0),0))</f>
        <v>0</v>
      </c>
      <c r="BD154" s="6">
        <f>SUM(INDEX(Tabela1[[Figure Skating - Men''s Singles]:[Figure Skating - Team Event]],MATCH(Table92[[#This Row],[Country]],Tabela1[Country], 0),0))</f>
        <v>0</v>
      </c>
      <c r="BE154" s="6">
        <f>SUM(INDEX(Tabela1[[Freestyle Skiing - Men''s Aerials]:[Freestyle Skiing - Women''s Slopestyle]],MATCH(Table92[[#This Row],[Country]],Tabela1[Country], 0),0))</f>
        <v>0</v>
      </c>
      <c r="BF154" s="6">
        <f>SUM(INDEX(Tabela1[[Ice Hockey - Men''s Tournament]:[Ice Hockey - Women''s Tournament]],MATCH(Table92[[#This Row],[Country]],Tabela1[Country], 0),0))</f>
        <v>0</v>
      </c>
      <c r="BG154" s="6">
        <f>SUM(INDEX(Tabela1[[Luge - Men''s Singles]:[Luge - Mixed Team Relay]],MATCH(Table92[[#This Row],[Country]],Tabela1[Country], 0),0))</f>
        <v>0</v>
      </c>
      <c r="BH154" s="6">
        <f>SUM(INDEX(Tabela1[[Nordic Combined - Men''s Individual]:[Nordic Combined - Men''s Team Sprint Large Hill]],MATCH(Table92[[#This Row],[Country]],Tabela1[Country], 0),0))</f>
        <v>0</v>
      </c>
      <c r="BI154" s="6">
        <f>SUM(INDEX(Tabela1[[Short track speed skating - Men''s 500m]:[Short track speed skating - Mixed 2000m Relay]],MATCH(Table92[[#This Row],[Country]],Tabela1[Country], 0),0))</f>
        <v>0</v>
      </c>
      <c r="BJ154" s="6">
        <f>SUM(INDEX(Tabela1[[Skeleton - Men''s Individual]:[Skeleton - Mixed Team]],MATCH(Table92[[#This Row],[Country]],Tabela1[Country], 0),0))</f>
        <v>0</v>
      </c>
      <c r="BK154" s="6">
        <f>SUM(INDEX(Tabela1[[Ski Jumping - Men''s Individual Large Hill]:[Ski Jumping - Mixed Team Normal Hill]],MATCH(Table92[[#This Row],[Country]],Tabela1[Country], 0),0))</f>
        <v>0</v>
      </c>
      <c r="BL154" s="6">
        <f>SUM(INDEX(Tabela1[[Ski Mountaineering - Men''s Sprint]:[Ski Mountaineering - Mixed Relay]],MATCH(Table92[[#This Row],[Country]],Tabela1[Country], 0),0))</f>
        <v>0</v>
      </c>
      <c r="BM154" s="6">
        <f>SUM(INDEX(Tabela1[[Snowboarding - Men''s Big Air]:[Snowboarding - Mixed Team Snowboard Cross]],MATCH(Table92[[#This Row],[Country]],Tabela1[Country], 0),0))</f>
        <v>0</v>
      </c>
      <c r="BN154" s="6">
        <f>SUM(INDEX(Tabela1[[Speed Skating - Men''s 500m]:[Speed Skating - Women''s Team Pursuit]],MATCH(Table92[[#This Row],[Country]],Tabela1[Country], 0),0))</f>
        <v>0</v>
      </c>
      <c r="BO154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54" s="6">
        <f>SUM(Table92[[#This Row],[Summer Sports]:[Winter Sports]])</f>
        <v>0</v>
      </c>
      <c r="BQ154" s="6">
        <f>COUNTIF(Table92[[#This Row],[Archery Quotas]:[Wrestling Quotas]],"&lt;&gt;0")</f>
        <v>0</v>
      </c>
      <c r="BR154" s="6">
        <f>COUNTIF(Table92[[#This Row],[Alpine Skiing Quotas]:[Speed Skating Quotas]],"&lt;&gt;0")</f>
        <v>0</v>
      </c>
      <c r="BS154" s="3" t="s">
        <v>493</v>
      </c>
    </row>
    <row r="155" spans="1:71" x14ac:dyDescent="0.3">
      <c r="A155" s="6" t="s">
        <v>498</v>
      </c>
      <c r="B155" t="e" vm="162">
        <f>IF(ISBLANK(Table92[[#This Row],[Flag Link]]), "", _xlfn.IMAGE(Table92[[#This Row],[Flag Link]],1,1))</f>
        <v>#VALUE!</v>
      </c>
      <c r="C155" s="6">
        <f>SUM(Table92[[#This Row],[Archery Quotas]:[Speed Skating Quotas]])</f>
        <v>0</v>
      </c>
      <c r="D155" s="6">
        <f>SUM(INDEX(Tabela1[[Archery - Men''s Individual Recurve]:[Archery - Mixed Team Recurve]],MATCH(Table92[[#This Row],[Country]],Tabela1[Country], 0),0))</f>
        <v>0</v>
      </c>
      <c r="E155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55" s="6">
        <f>SUM(INDEX(Tabela1[[Artistic Swimming - Women''s Duet]:[Artistic Swimming - Women''s Team]],MATCH(Table92[[#This Row],[Country]],Tabela1[Country], 0),0))</f>
        <v>0</v>
      </c>
      <c r="G155" s="6">
        <f>SUM(INDEX(Tabela1[[Athletics - Men''s 100m]:[Athletics - Women''s Heptathlon]],MATCH(Table92[[#This Row],[Country]],Tabela1[Country], 0),0))</f>
        <v>0</v>
      </c>
      <c r="H155" s="6">
        <f>SUM(INDEX(Tabela1[[Badminton - Men''s Singles]:[Badminton - Mixed Doubles]],MATCH(Table92[[#This Row],[Country]],Tabela1[Country], 0),0))</f>
        <v>0</v>
      </c>
      <c r="I155" s="6">
        <f>SUM(INDEX(Tabela1[[Basketball - Men''s Tournament]:[Basketball - Women''s Tournament]],MATCH(Table92[[#This Row],[Country]],Tabela1[Country], 0),0))</f>
        <v>0</v>
      </c>
      <c r="J155" s="6">
        <f>SUM(INDEX(Tabela1[[3x3 Basketball - Men''s Tournament]:[3x3 Basketball - Women''s Tournament]],MATCH(Table92[[#This Row],[Country]],Tabela1[Country], 0),0))</f>
        <v>0</v>
      </c>
      <c r="K155" s="6">
        <f>SUM(INDEX(Tabela1[[Beach Volleyball - Men''s Tournament]:[Beach Volleyball - Women''s Tournament]],MATCH(Table92[[#This Row],[Country]],Tabela1[Country], 0),0))</f>
        <v>0</v>
      </c>
      <c r="L155" s="6">
        <f>SUM(INDEX(Tabela1[[Boxing - Men''s 51kg]:[Boxing - Women''s 75kg]],MATCH(Table92[[#This Row],[Country]],Tabela1[Country], 0),0))</f>
        <v>0</v>
      </c>
      <c r="M155" s="6">
        <f>SUM(INDEX(Tabela1[[Breaking - Men''s Individual]:[Breaking - Women''s Individual]],MATCH(Table92[[#This Row],[Country]],Tabela1[Country], 0),0))</f>
        <v>0</v>
      </c>
      <c r="N155" s="6">
        <f>SUM(INDEX(Tabela1[[Canoeing - Men''s C1 Slalom]:[Canoeing - Women''s Kayak Cross Slalom]],MATCH(Table92[[#This Row],[Country]],Tabela1[Country], 0),0))</f>
        <v>0</v>
      </c>
      <c r="O155" s="6">
        <f>SUM(INDEX(Tabela1[[Canoeing - Women''s C1 200m]:[Canoeing - Women''s K4 500m]],MATCH(Table92[[#This Row],[Country]],Tabela1[Country], 0),0))</f>
        <v>0</v>
      </c>
      <c r="P155" s="6">
        <f>SUM(INDEX(Tabela1[[Cycling - Men''s BMX Freestyle]:[Cycling - Women''s BMX Freestyle]],MATCH(Table92[[#This Row],[Country]],Tabela1[Country], 0),0))</f>
        <v>0</v>
      </c>
      <c r="Q155" s="6">
        <f>SUM(INDEX(Tabela1[[Cycling - Men''s BMX Racing]:[Cycling - Women''s BMX Racing]],MATCH(Table92[[#This Row],[Country]],Tabela1[Country], 0),0))</f>
        <v>0</v>
      </c>
      <c r="R155" s="6">
        <f>SUM(INDEX(Tabela1[[Cycling - Men''s Cross-Country]:[Cycling - Women''s Cross-Country]],MATCH(Table92[[#This Row],[Country]],Tabela1[Country], 0),0))</f>
        <v>0</v>
      </c>
      <c r="S155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55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55" s="6">
        <f>SUM(INDEX(Tabela1[[Diving - Men''s Springboard]:[Diving - Women''s Synchronized Platform]],MATCH(Table92[[#This Row],[Country]],Tabela1[Country], 0),0))</f>
        <v>0</v>
      </c>
      <c r="V155" s="6">
        <f>SUM(INDEX(Tabela1[[Equestrian - Individual Dressage]:[Equestrian - Team Dressage]],MATCH(Table92[[#This Row],[Country]],Tabela1[Country], 0),0))</f>
        <v>0</v>
      </c>
      <c r="W155" s="6">
        <f>SUM(INDEX(Tabela1[[Equestrian - Individual Eventing]:[Equestrian - Team Eventing]],MATCH(Table92[[#This Row],[Country]],Tabela1[Country], 0),0))</f>
        <v>0</v>
      </c>
      <c r="X155" s="6">
        <f>SUM(INDEX(Tabela1[[Equestrian - Individual Jumping]:[Equestrian - Team Jumping]],MATCH(Table92[[#This Row],[Country]],Tabela1[Country], 0),0))</f>
        <v>0</v>
      </c>
      <c r="Y155" s="6">
        <f>SUM(INDEX(Tabela1[[Fencing - Men''s Épée]:[Fencing - Women''s Team Sabre]],MATCH(Table92[[#This Row],[Country]],Tabela1[Country], 0),0))</f>
        <v>0</v>
      </c>
      <c r="Z155" s="6">
        <f>SUM(INDEX(Tabela1[[Field Hockey - Men''s Tournament]:[Field Hockey - Women''s Tournament]],MATCH(Table92[[#This Row],[Country]],Tabela1[Country], 0),0))</f>
        <v>0</v>
      </c>
      <c r="AA155" s="6">
        <f>SUM(INDEX(Tabela1[[Football - Men''s Tournament]:[Football - Women''s Tournament]],MATCH(Table92[[#This Row],[Country]],Tabela1[Country], 0),0))</f>
        <v>0</v>
      </c>
      <c r="AB155" s="6">
        <f>SUM(INDEX(Tabela1[[Golf - Men''s Individual]:[Golf - Women''s Individual]],MATCH(Table92[[#This Row],[Country]],Tabela1[Country], 0),0))</f>
        <v>0</v>
      </c>
      <c r="AC155" s="6">
        <f>SUM(INDEX(Tabela1[[Handball - Men''s Tournament]:[Handball - Women''s Tournament]],MATCH(Table92[[#This Row],[Country]],Tabela1[Country], 0),0))</f>
        <v>0</v>
      </c>
      <c r="AD155" s="6">
        <f>SUM(INDEX(Tabela1[[Judo - Men''s 60kg]:[Judo - Mixed Team]],MATCH(Table92[[#This Row],[Country]],Tabela1[Country], 0),0))</f>
        <v>0</v>
      </c>
      <c r="AE155" s="6">
        <f>SUM(INDEX(Tabela1[[Swimming - Men''s 10km Open Water]:[Swimming - Women''s 10km Open Water]],MATCH(Table92[[#This Row],[Country]],Tabela1[Country], 0),0))</f>
        <v>0</v>
      </c>
      <c r="AF155" s="6">
        <f>SUM(INDEX(Tabela1[[Modern Pentathlon - Men''s Individual]:[Modern Pentathlon - Women''s Individual]],MATCH(Table92[[#This Row],[Country]],Tabela1[Country], 0),0))</f>
        <v>0</v>
      </c>
      <c r="AG155" s="6">
        <f>SUM(INDEX(Tabela1[[Rhythmic Gymnastics - Women''s Individual All-Around]:[Rhythmic Gymnastics - Women''s Group All-Around]],MATCH(Table92[[#This Row],[Country]],Tabela1[Country], 0),0))</f>
        <v>0</v>
      </c>
      <c r="AH155" s="6">
        <f>SUM(INDEX(Tabela1[[Rowing - Men''s Single Sculls]:[Rowing - Women''s Lwt. Double Sculls]],MATCH(Table92[[#This Row],[Country]],Tabela1[Country], 0),0))</f>
        <v>0</v>
      </c>
      <c r="AI155" s="6">
        <f>SUM(INDEX(Tabela1[[Rugby Sevens - Men''s Tournament]:[Rugby Sevens - Women''s Tournament]],MATCH(Table92[[#This Row],[Country]],Tabela1[Country], 0),0))</f>
        <v>0</v>
      </c>
      <c r="AJ155" s="6">
        <f>SUM(INDEX(Tabela1[[Sailing - Mixed 470]:[Sailing - Mixed Nacra 17]],MATCH(Table92[[#This Row],[Country]],Tabela1[Country], 0),0))</f>
        <v>0</v>
      </c>
      <c r="AK155" s="6">
        <f>SUM(INDEX(Tabela1[[Shooting - Men''s 10m Air Pistol]:[Shooting - Women''s Trap]],MATCH(Table92[[#This Row],[Country]],Tabela1[Country], 0),0))</f>
        <v>0</v>
      </c>
      <c r="AL155" s="6">
        <f>SUM(INDEX(Tabela1[[Skateboarding - Men''s Park]:[Skateboarding - Women''s Street]],MATCH(Table92[[#This Row],[Country]],Tabela1[Country], 0),0))</f>
        <v>0</v>
      </c>
      <c r="AM155" s="6">
        <f>SUM(INDEX(Tabela1[[Sport Climbing - Men''s Boulder and Lead]:[Sport Climbing - Women''s Speed]],MATCH(Table92[[#This Row],[Country]],Tabela1[Country], 0),0))</f>
        <v>0</v>
      </c>
      <c r="AN155" s="6">
        <f>SUM(INDEX(Tabela1[[Surfing - Men''s Shortboard]:[Surfing - Women''s Shortboard]],MATCH(Table92[[#This Row],[Country]],Tabela1[Country], 0),0))</f>
        <v>0</v>
      </c>
      <c r="AO155" s="6">
        <f>SUM(INDEX(Tabela1[[Swimming - Men''s 50m Freestyle]:[Swimming - Mixed 4x100m Medley Relay]],MATCH(Table92[[#This Row],[Country]],Tabela1[Country], 0),0))</f>
        <v>0</v>
      </c>
      <c r="AP155" s="6">
        <f>SUM(INDEX(Tabela1[[Table Tennis - Men''s Singles]:[Table Tennis - Mixed Doubles]],MATCH(Table92[[#This Row],[Country]],Tabela1[Country], 0),0))</f>
        <v>0</v>
      </c>
      <c r="AQ155" s="6">
        <f>SUM(INDEX(Tabela1[[Taekwondo - Men''s 58kg]:[Taekwondo - Women''s +67kg]],MATCH(Table92[[#This Row],[Country]],Tabela1[Country], 0),0))</f>
        <v>0</v>
      </c>
      <c r="AR155" s="6">
        <f>SUM(INDEX(Tabela1[[Tennis - Men''s Singles]:[Tennis - Mixed Doubles]],MATCH(Table92[[#This Row],[Country]],Tabela1[Country], 0),0))</f>
        <v>0</v>
      </c>
      <c r="AS155" s="6">
        <f>SUM(INDEX(Tabela1[[Gymnastics - Men''s Trampoline]:[Gymnastics - Women''s Trampoline]],MATCH(Table92[[#This Row],[Country]],Tabela1[Country], 0),0))</f>
        <v>0</v>
      </c>
      <c r="AT155" s="6">
        <f>SUM(INDEX(Tabela1[[Triathlon - Men''s Individual]:[Triathlon - Mixed Relay]],MATCH(Table92[[#This Row],[Country]],Tabela1[Country], 0),0))</f>
        <v>0</v>
      </c>
      <c r="AU155" s="6">
        <f>SUM(INDEX(Tabela1[[Volleyball - Men''s Tournament]:[Volleyball - Women''s Tournament]],MATCH(Table92[[#This Row],[Country]],Tabela1[Country], 0),0))</f>
        <v>0</v>
      </c>
      <c r="AV155" s="6">
        <f>SUM(INDEX(Tabela1[[Water Polo - Men''s Tournament]:[Water Polo - Women''s Tournament]],MATCH(Table92[[#This Row],[Country]],Tabela1[Country], 0),0))</f>
        <v>0</v>
      </c>
      <c r="AW155" s="6">
        <f>SUM(INDEX(Tabela1[[Weightlifting - Men''s 61kg]:[Weightlifting - Women''s +81kg]],MATCH(Table92[[#This Row],[Country]],Tabela1[Country], 0),0))</f>
        <v>0</v>
      </c>
      <c r="AX155" s="6">
        <f>SUM(INDEX(Tabela1[[Wrestling - Men''s Freestyle 57kg]:[Wrestling - Women''s Freestyle 76kg]],MATCH(Table92[[#This Row],[Country]],Tabela1[Country], 0),0))</f>
        <v>0</v>
      </c>
      <c r="AY155" s="6">
        <f>SUM(INDEX(Tabela1[[Alpine Skiing - Men''s Downhill]:[Alpine Skiing - Women''s Team Combined]],MATCH(Table92[[#This Row],[Country]],Tabela1[Country], 0),0))</f>
        <v>0</v>
      </c>
      <c r="AZ155" s="6">
        <f>SUM(INDEX(Tabela1[[Biathlon - Men''s Individual]:[Biathlon - Mixed Relay]],MATCH(Table92[[#This Row],[Country]],Tabela1[Country], 0),0))</f>
        <v>0</v>
      </c>
      <c r="BA155" s="6">
        <f>SUM(INDEX(Tabela1[[Bobsleigh - Women''s Monobob]:[Bobsleigh - Men''s Four]],MATCH(Table92[[#This Row],[Country]],Tabela1[Country], 0),0))</f>
        <v>0</v>
      </c>
      <c r="BB155" s="6">
        <f>SUM(INDEX(Tabela1[[Cross-country skiing - Men''s Classical]:[Cross-country skiing - Women''s Team Sprint]],MATCH(Table92[[#This Row],[Country]],Tabela1[Country], 0),0))</f>
        <v>0</v>
      </c>
      <c r="BC155" s="6">
        <f>SUM(INDEX(Tabela1[[Curling - Men''s Tournament]:[Curling - Mixed Doubles]],MATCH(Table92[[#This Row],[Country]],Tabela1[Country], 0),0))</f>
        <v>0</v>
      </c>
      <c r="BD155" s="6">
        <f>SUM(INDEX(Tabela1[[Figure Skating - Men''s Singles]:[Figure Skating - Team Event]],MATCH(Table92[[#This Row],[Country]],Tabela1[Country], 0),0))</f>
        <v>0</v>
      </c>
      <c r="BE155" s="6">
        <f>SUM(INDEX(Tabela1[[Freestyle Skiing - Men''s Aerials]:[Freestyle Skiing - Women''s Slopestyle]],MATCH(Table92[[#This Row],[Country]],Tabela1[Country], 0),0))</f>
        <v>0</v>
      </c>
      <c r="BF155" s="6">
        <f>SUM(INDEX(Tabela1[[Ice Hockey - Men''s Tournament]:[Ice Hockey - Women''s Tournament]],MATCH(Table92[[#This Row],[Country]],Tabela1[Country], 0),0))</f>
        <v>0</v>
      </c>
      <c r="BG155" s="6">
        <f>SUM(INDEX(Tabela1[[Luge - Men''s Singles]:[Luge - Mixed Team Relay]],MATCH(Table92[[#This Row],[Country]],Tabela1[Country], 0),0))</f>
        <v>0</v>
      </c>
      <c r="BH155" s="6">
        <f>SUM(INDEX(Tabela1[[Nordic Combined - Men''s Individual]:[Nordic Combined - Men''s Team Sprint Large Hill]],MATCH(Table92[[#This Row],[Country]],Tabela1[Country], 0),0))</f>
        <v>0</v>
      </c>
      <c r="BI155" s="6">
        <f>SUM(INDEX(Tabela1[[Short track speed skating - Men''s 500m]:[Short track speed skating - Mixed 2000m Relay]],MATCH(Table92[[#This Row],[Country]],Tabela1[Country], 0),0))</f>
        <v>0</v>
      </c>
      <c r="BJ155" s="6">
        <f>SUM(INDEX(Tabela1[[Skeleton - Men''s Individual]:[Skeleton - Mixed Team]],MATCH(Table92[[#This Row],[Country]],Tabela1[Country], 0),0))</f>
        <v>0</v>
      </c>
      <c r="BK155" s="6">
        <f>SUM(INDEX(Tabela1[[Ski Jumping - Men''s Individual Large Hill]:[Ski Jumping - Mixed Team Normal Hill]],MATCH(Table92[[#This Row],[Country]],Tabela1[Country], 0),0))</f>
        <v>0</v>
      </c>
      <c r="BL155" s="6">
        <f>SUM(INDEX(Tabela1[[Ski Mountaineering - Men''s Sprint]:[Ski Mountaineering - Mixed Relay]],MATCH(Table92[[#This Row],[Country]],Tabela1[Country], 0),0))</f>
        <v>0</v>
      </c>
      <c r="BM155" s="6">
        <f>SUM(INDEX(Tabela1[[Snowboarding - Men''s Big Air]:[Snowboarding - Mixed Team Snowboard Cross]],MATCH(Table92[[#This Row],[Country]],Tabela1[Country], 0),0))</f>
        <v>0</v>
      </c>
      <c r="BN155" s="6">
        <f>SUM(INDEX(Tabela1[[Speed Skating - Men''s 500m]:[Speed Skating - Women''s Team Pursuit]],MATCH(Table92[[#This Row],[Country]],Tabela1[Country], 0),0))</f>
        <v>0</v>
      </c>
      <c r="BO155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55" s="6">
        <f>SUM(Table92[[#This Row],[Summer Sports]:[Winter Sports]])</f>
        <v>0</v>
      </c>
      <c r="BQ155" s="6">
        <f>COUNTIF(Table92[[#This Row],[Archery Quotas]:[Wrestling Quotas]],"&lt;&gt;0")</f>
        <v>0</v>
      </c>
      <c r="BR155" s="6">
        <f>COUNTIF(Table92[[#This Row],[Alpine Skiing Quotas]:[Speed Skating Quotas]],"&lt;&gt;0")</f>
        <v>0</v>
      </c>
      <c r="BS155" s="4" t="s">
        <v>499</v>
      </c>
    </row>
    <row r="156" spans="1:71" x14ac:dyDescent="0.3">
      <c r="A156" s="6" t="s">
        <v>502</v>
      </c>
      <c r="B156" t="e" vm="163">
        <f>IF(ISBLANK(Table92[[#This Row],[Flag Link]]), "", _xlfn.IMAGE(Table92[[#This Row],[Flag Link]],1,1))</f>
        <v>#VALUE!</v>
      </c>
      <c r="C156" s="6">
        <f>SUM(Table92[[#This Row],[Archery Quotas]:[Speed Skating Quotas]])</f>
        <v>0</v>
      </c>
      <c r="D156" s="6">
        <f>SUM(INDEX(Tabela1[[Archery - Men''s Individual Recurve]:[Archery - Mixed Team Recurve]],MATCH(Table92[[#This Row],[Country]],Tabela1[Country], 0),0))</f>
        <v>0</v>
      </c>
      <c r="E156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56" s="6">
        <f>SUM(INDEX(Tabela1[[Artistic Swimming - Women''s Duet]:[Artistic Swimming - Women''s Team]],MATCH(Table92[[#This Row],[Country]],Tabela1[Country], 0),0))</f>
        <v>0</v>
      </c>
      <c r="G156" s="6">
        <f>SUM(INDEX(Tabela1[[Athletics - Men''s 100m]:[Athletics - Women''s Heptathlon]],MATCH(Table92[[#This Row],[Country]],Tabela1[Country], 0),0))</f>
        <v>0</v>
      </c>
      <c r="H156" s="6">
        <f>SUM(INDEX(Tabela1[[Badminton - Men''s Singles]:[Badminton - Mixed Doubles]],MATCH(Table92[[#This Row],[Country]],Tabela1[Country], 0),0))</f>
        <v>0</v>
      </c>
      <c r="I156" s="6">
        <f>SUM(INDEX(Tabela1[[Basketball - Men''s Tournament]:[Basketball - Women''s Tournament]],MATCH(Table92[[#This Row],[Country]],Tabela1[Country], 0),0))</f>
        <v>0</v>
      </c>
      <c r="J156" s="6">
        <f>SUM(INDEX(Tabela1[[3x3 Basketball - Men''s Tournament]:[3x3 Basketball - Women''s Tournament]],MATCH(Table92[[#This Row],[Country]],Tabela1[Country], 0),0))</f>
        <v>0</v>
      </c>
      <c r="K156" s="6">
        <f>SUM(INDEX(Tabela1[[Beach Volleyball - Men''s Tournament]:[Beach Volleyball - Women''s Tournament]],MATCH(Table92[[#This Row],[Country]],Tabela1[Country], 0),0))</f>
        <v>0</v>
      </c>
      <c r="L156" s="6">
        <f>SUM(INDEX(Tabela1[[Boxing - Men''s 51kg]:[Boxing - Women''s 75kg]],MATCH(Table92[[#This Row],[Country]],Tabela1[Country], 0),0))</f>
        <v>0</v>
      </c>
      <c r="M156" s="6">
        <f>SUM(INDEX(Tabela1[[Breaking - Men''s Individual]:[Breaking - Women''s Individual]],MATCH(Table92[[#This Row],[Country]],Tabela1[Country], 0),0))</f>
        <v>0</v>
      </c>
      <c r="N156" s="6">
        <f>SUM(INDEX(Tabela1[[Canoeing - Men''s C1 Slalom]:[Canoeing - Women''s Kayak Cross Slalom]],MATCH(Table92[[#This Row],[Country]],Tabela1[Country], 0),0))</f>
        <v>0</v>
      </c>
      <c r="O156" s="6">
        <f>SUM(INDEX(Tabela1[[Canoeing - Women''s C1 200m]:[Canoeing - Women''s K4 500m]],MATCH(Table92[[#This Row],[Country]],Tabela1[Country], 0),0))</f>
        <v>0</v>
      </c>
      <c r="P156" s="6">
        <f>SUM(INDEX(Tabela1[[Cycling - Men''s BMX Freestyle]:[Cycling - Women''s BMX Freestyle]],MATCH(Table92[[#This Row],[Country]],Tabela1[Country], 0),0))</f>
        <v>0</v>
      </c>
      <c r="Q156" s="6">
        <f>SUM(INDEX(Tabela1[[Cycling - Men''s BMX Racing]:[Cycling - Women''s BMX Racing]],MATCH(Table92[[#This Row],[Country]],Tabela1[Country], 0),0))</f>
        <v>0</v>
      </c>
      <c r="R156" s="6">
        <f>SUM(INDEX(Tabela1[[Cycling - Men''s Cross-Country]:[Cycling - Women''s Cross-Country]],MATCH(Table92[[#This Row],[Country]],Tabela1[Country], 0),0))</f>
        <v>0</v>
      </c>
      <c r="S156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56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56" s="6">
        <f>SUM(INDEX(Tabela1[[Diving - Men''s Springboard]:[Diving - Women''s Synchronized Platform]],MATCH(Table92[[#This Row],[Country]],Tabela1[Country], 0),0))</f>
        <v>0</v>
      </c>
      <c r="V156" s="6">
        <f>SUM(INDEX(Tabela1[[Equestrian - Individual Dressage]:[Equestrian - Team Dressage]],MATCH(Table92[[#This Row],[Country]],Tabela1[Country], 0),0))</f>
        <v>0</v>
      </c>
      <c r="W156" s="6">
        <f>SUM(INDEX(Tabela1[[Equestrian - Individual Eventing]:[Equestrian - Team Eventing]],MATCH(Table92[[#This Row],[Country]],Tabela1[Country], 0),0))</f>
        <v>0</v>
      </c>
      <c r="X156" s="6">
        <f>SUM(INDEX(Tabela1[[Equestrian - Individual Jumping]:[Equestrian - Team Jumping]],MATCH(Table92[[#This Row],[Country]],Tabela1[Country], 0),0))</f>
        <v>0</v>
      </c>
      <c r="Y156" s="6">
        <f>SUM(INDEX(Tabela1[[Fencing - Men''s Épée]:[Fencing - Women''s Team Sabre]],MATCH(Table92[[#This Row],[Country]],Tabela1[Country], 0),0))</f>
        <v>0</v>
      </c>
      <c r="Z156" s="6">
        <f>SUM(INDEX(Tabela1[[Field Hockey - Men''s Tournament]:[Field Hockey - Women''s Tournament]],MATCH(Table92[[#This Row],[Country]],Tabela1[Country], 0),0))</f>
        <v>0</v>
      </c>
      <c r="AA156" s="6">
        <f>SUM(INDEX(Tabela1[[Football - Men''s Tournament]:[Football - Women''s Tournament]],MATCH(Table92[[#This Row],[Country]],Tabela1[Country], 0),0))</f>
        <v>0</v>
      </c>
      <c r="AB156" s="6">
        <f>SUM(INDEX(Tabela1[[Golf - Men''s Individual]:[Golf - Women''s Individual]],MATCH(Table92[[#This Row],[Country]],Tabela1[Country], 0),0))</f>
        <v>0</v>
      </c>
      <c r="AC156" s="6">
        <f>SUM(INDEX(Tabela1[[Handball - Men''s Tournament]:[Handball - Women''s Tournament]],MATCH(Table92[[#This Row],[Country]],Tabela1[Country], 0),0))</f>
        <v>0</v>
      </c>
      <c r="AD156" s="6">
        <f>SUM(INDEX(Tabela1[[Judo - Men''s 60kg]:[Judo - Mixed Team]],MATCH(Table92[[#This Row],[Country]],Tabela1[Country], 0),0))</f>
        <v>0</v>
      </c>
      <c r="AE156" s="6">
        <f>SUM(INDEX(Tabela1[[Swimming - Men''s 10km Open Water]:[Swimming - Women''s 10km Open Water]],MATCH(Table92[[#This Row],[Country]],Tabela1[Country], 0),0))</f>
        <v>0</v>
      </c>
      <c r="AF156" s="6">
        <f>SUM(INDEX(Tabela1[[Modern Pentathlon - Men''s Individual]:[Modern Pentathlon - Women''s Individual]],MATCH(Table92[[#This Row],[Country]],Tabela1[Country], 0),0))</f>
        <v>0</v>
      </c>
      <c r="AG156" s="6">
        <f>SUM(INDEX(Tabela1[[Rhythmic Gymnastics - Women''s Individual All-Around]:[Rhythmic Gymnastics - Women''s Group All-Around]],MATCH(Table92[[#This Row],[Country]],Tabela1[Country], 0),0))</f>
        <v>0</v>
      </c>
      <c r="AH156" s="6">
        <f>SUM(INDEX(Tabela1[[Rowing - Men''s Single Sculls]:[Rowing - Women''s Lwt. Double Sculls]],MATCH(Table92[[#This Row],[Country]],Tabela1[Country], 0),0))</f>
        <v>0</v>
      </c>
      <c r="AI156" s="6">
        <f>SUM(INDEX(Tabela1[[Rugby Sevens - Men''s Tournament]:[Rugby Sevens - Women''s Tournament]],MATCH(Table92[[#This Row],[Country]],Tabela1[Country], 0),0))</f>
        <v>0</v>
      </c>
      <c r="AJ156" s="6">
        <f>SUM(INDEX(Tabela1[[Sailing - Mixed 470]:[Sailing - Mixed Nacra 17]],MATCH(Table92[[#This Row],[Country]],Tabela1[Country], 0),0))</f>
        <v>0</v>
      </c>
      <c r="AK156" s="6">
        <f>SUM(INDEX(Tabela1[[Shooting - Men''s 10m Air Pistol]:[Shooting - Women''s Trap]],MATCH(Table92[[#This Row],[Country]],Tabela1[Country], 0),0))</f>
        <v>0</v>
      </c>
      <c r="AL156" s="6">
        <f>SUM(INDEX(Tabela1[[Skateboarding - Men''s Park]:[Skateboarding - Women''s Street]],MATCH(Table92[[#This Row],[Country]],Tabela1[Country], 0),0))</f>
        <v>0</v>
      </c>
      <c r="AM156" s="6">
        <f>SUM(INDEX(Tabela1[[Sport Climbing - Men''s Boulder and Lead]:[Sport Climbing - Women''s Speed]],MATCH(Table92[[#This Row],[Country]],Tabela1[Country], 0),0))</f>
        <v>0</v>
      </c>
      <c r="AN156" s="6">
        <f>SUM(INDEX(Tabela1[[Surfing - Men''s Shortboard]:[Surfing - Women''s Shortboard]],MATCH(Table92[[#This Row],[Country]],Tabela1[Country], 0),0))</f>
        <v>0</v>
      </c>
      <c r="AO156" s="6">
        <f>SUM(INDEX(Tabela1[[Swimming - Men''s 50m Freestyle]:[Swimming - Mixed 4x100m Medley Relay]],MATCH(Table92[[#This Row],[Country]],Tabela1[Country], 0),0))</f>
        <v>0</v>
      </c>
      <c r="AP156" s="6">
        <f>SUM(INDEX(Tabela1[[Table Tennis - Men''s Singles]:[Table Tennis - Mixed Doubles]],MATCH(Table92[[#This Row],[Country]],Tabela1[Country], 0),0))</f>
        <v>0</v>
      </c>
      <c r="AQ156" s="6">
        <f>SUM(INDEX(Tabela1[[Taekwondo - Men''s 58kg]:[Taekwondo - Women''s +67kg]],MATCH(Table92[[#This Row],[Country]],Tabela1[Country], 0),0))</f>
        <v>0</v>
      </c>
      <c r="AR156" s="6">
        <f>SUM(INDEX(Tabela1[[Tennis - Men''s Singles]:[Tennis - Mixed Doubles]],MATCH(Table92[[#This Row],[Country]],Tabela1[Country], 0),0))</f>
        <v>0</v>
      </c>
      <c r="AS156" s="6">
        <f>SUM(INDEX(Tabela1[[Gymnastics - Men''s Trampoline]:[Gymnastics - Women''s Trampoline]],MATCH(Table92[[#This Row],[Country]],Tabela1[Country], 0),0))</f>
        <v>0</v>
      </c>
      <c r="AT156" s="6">
        <f>SUM(INDEX(Tabela1[[Triathlon - Men''s Individual]:[Triathlon - Mixed Relay]],MATCH(Table92[[#This Row],[Country]],Tabela1[Country], 0),0))</f>
        <v>0</v>
      </c>
      <c r="AU156" s="6">
        <f>SUM(INDEX(Tabela1[[Volleyball - Men''s Tournament]:[Volleyball - Women''s Tournament]],MATCH(Table92[[#This Row],[Country]],Tabela1[Country], 0),0))</f>
        <v>0</v>
      </c>
      <c r="AV156" s="6">
        <f>SUM(INDEX(Tabela1[[Water Polo - Men''s Tournament]:[Water Polo - Women''s Tournament]],MATCH(Table92[[#This Row],[Country]],Tabela1[Country], 0),0))</f>
        <v>0</v>
      </c>
      <c r="AW156" s="6">
        <f>SUM(INDEX(Tabela1[[Weightlifting - Men''s 61kg]:[Weightlifting - Women''s +81kg]],MATCH(Table92[[#This Row],[Country]],Tabela1[Country], 0),0))</f>
        <v>0</v>
      </c>
      <c r="AX156" s="6">
        <f>SUM(INDEX(Tabela1[[Wrestling - Men''s Freestyle 57kg]:[Wrestling - Women''s Freestyle 76kg]],MATCH(Table92[[#This Row],[Country]],Tabela1[Country], 0),0))</f>
        <v>0</v>
      </c>
      <c r="AY156" s="6">
        <f>SUM(INDEX(Tabela1[[Alpine Skiing - Men''s Downhill]:[Alpine Skiing - Women''s Team Combined]],MATCH(Table92[[#This Row],[Country]],Tabela1[Country], 0),0))</f>
        <v>0</v>
      </c>
      <c r="AZ156" s="6">
        <f>SUM(INDEX(Tabela1[[Biathlon - Men''s Individual]:[Biathlon - Mixed Relay]],MATCH(Table92[[#This Row],[Country]],Tabela1[Country], 0),0))</f>
        <v>0</v>
      </c>
      <c r="BA156" s="6">
        <f>SUM(INDEX(Tabela1[[Bobsleigh - Women''s Monobob]:[Bobsleigh - Men''s Four]],MATCH(Table92[[#This Row],[Country]],Tabela1[Country], 0),0))</f>
        <v>0</v>
      </c>
      <c r="BB156" s="6">
        <f>SUM(INDEX(Tabela1[[Cross-country skiing - Men''s Classical]:[Cross-country skiing - Women''s Team Sprint]],MATCH(Table92[[#This Row],[Country]],Tabela1[Country], 0),0))</f>
        <v>0</v>
      </c>
      <c r="BC156" s="6">
        <f>SUM(INDEX(Tabela1[[Curling - Men''s Tournament]:[Curling - Mixed Doubles]],MATCH(Table92[[#This Row],[Country]],Tabela1[Country], 0),0))</f>
        <v>0</v>
      </c>
      <c r="BD156" s="6">
        <f>SUM(INDEX(Tabela1[[Figure Skating - Men''s Singles]:[Figure Skating - Team Event]],MATCH(Table92[[#This Row],[Country]],Tabela1[Country], 0),0))</f>
        <v>0</v>
      </c>
      <c r="BE156" s="6">
        <f>SUM(INDEX(Tabela1[[Freestyle Skiing - Men''s Aerials]:[Freestyle Skiing - Women''s Slopestyle]],MATCH(Table92[[#This Row],[Country]],Tabela1[Country], 0),0))</f>
        <v>0</v>
      </c>
      <c r="BF156" s="6">
        <f>SUM(INDEX(Tabela1[[Ice Hockey - Men''s Tournament]:[Ice Hockey - Women''s Tournament]],MATCH(Table92[[#This Row],[Country]],Tabela1[Country], 0),0))</f>
        <v>0</v>
      </c>
      <c r="BG156" s="6">
        <f>SUM(INDEX(Tabela1[[Luge - Men''s Singles]:[Luge - Mixed Team Relay]],MATCH(Table92[[#This Row],[Country]],Tabela1[Country], 0),0))</f>
        <v>0</v>
      </c>
      <c r="BH156" s="6">
        <f>SUM(INDEX(Tabela1[[Nordic Combined - Men''s Individual]:[Nordic Combined - Men''s Team Sprint Large Hill]],MATCH(Table92[[#This Row],[Country]],Tabela1[Country], 0),0))</f>
        <v>0</v>
      </c>
      <c r="BI156" s="6">
        <f>SUM(INDEX(Tabela1[[Short track speed skating - Men''s 500m]:[Short track speed skating - Mixed 2000m Relay]],MATCH(Table92[[#This Row],[Country]],Tabela1[Country], 0),0))</f>
        <v>0</v>
      </c>
      <c r="BJ156" s="6">
        <f>SUM(INDEX(Tabela1[[Skeleton - Men''s Individual]:[Skeleton - Mixed Team]],MATCH(Table92[[#This Row],[Country]],Tabela1[Country], 0),0))</f>
        <v>0</v>
      </c>
      <c r="BK156" s="6">
        <f>SUM(INDEX(Tabela1[[Ski Jumping - Men''s Individual Large Hill]:[Ski Jumping - Mixed Team Normal Hill]],MATCH(Table92[[#This Row],[Country]],Tabela1[Country], 0),0))</f>
        <v>0</v>
      </c>
      <c r="BL156" s="6">
        <f>SUM(INDEX(Tabela1[[Ski Mountaineering - Men''s Sprint]:[Ski Mountaineering - Mixed Relay]],MATCH(Table92[[#This Row],[Country]],Tabela1[Country], 0),0))</f>
        <v>0</v>
      </c>
      <c r="BM156" s="6">
        <f>SUM(INDEX(Tabela1[[Snowboarding - Men''s Big Air]:[Snowboarding - Mixed Team Snowboard Cross]],MATCH(Table92[[#This Row],[Country]],Tabela1[Country], 0),0))</f>
        <v>0</v>
      </c>
      <c r="BN156" s="6">
        <f>SUM(INDEX(Tabela1[[Speed Skating - Men''s 500m]:[Speed Skating - Women''s Team Pursuit]],MATCH(Table92[[#This Row],[Country]],Tabela1[Country], 0),0))</f>
        <v>0</v>
      </c>
      <c r="BO156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56" s="6">
        <f>SUM(Table92[[#This Row],[Summer Sports]:[Winter Sports]])</f>
        <v>0</v>
      </c>
      <c r="BQ156" s="6">
        <f>COUNTIF(Table92[[#This Row],[Archery Quotas]:[Wrestling Quotas]],"&lt;&gt;0")</f>
        <v>0</v>
      </c>
      <c r="BR156" s="6">
        <f>COUNTIF(Table92[[#This Row],[Alpine Skiing Quotas]:[Speed Skating Quotas]],"&lt;&gt;0")</f>
        <v>0</v>
      </c>
      <c r="BS156" s="4" t="s">
        <v>503</v>
      </c>
    </row>
    <row r="157" spans="1:71" x14ac:dyDescent="0.3">
      <c r="A157" s="6" t="s">
        <v>510</v>
      </c>
      <c r="B157" t="e" vm="164">
        <f>IF(ISBLANK(Table92[[#This Row],[Flag Link]]), "", _xlfn.IMAGE(Table92[[#This Row],[Flag Link]],1,1))</f>
        <v>#VALUE!</v>
      </c>
      <c r="C157" s="6">
        <f>SUM(Table92[[#This Row],[Archery Quotas]:[Speed Skating Quotas]])</f>
        <v>0</v>
      </c>
      <c r="D157" s="6">
        <f>SUM(INDEX(Tabela1[[Archery - Men''s Individual Recurve]:[Archery - Mixed Team Recurve]],MATCH(Table92[[#This Row],[Country]],Tabela1[Country], 0),0))</f>
        <v>0</v>
      </c>
      <c r="E157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57" s="6">
        <f>SUM(INDEX(Tabela1[[Artistic Swimming - Women''s Duet]:[Artistic Swimming - Women''s Team]],MATCH(Table92[[#This Row],[Country]],Tabela1[Country], 0),0))</f>
        <v>0</v>
      </c>
      <c r="G157" s="6">
        <f>SUM(INDEX(Tabela1[[Athletics - Men''s 100m]:[Athletics - Women''s Heptathlon]],MATCH(Table92[[#This Row],[Country]],Tabela1[Country], 0),0))</f>
        <v>0</v>
      </c>
      <c r="H157" s="6">
        <f>SUM(INDEX(Tabela1[[Badminton - Men''s Singles]:[Badminton - Mixed Doubles]],MATCH(Table92[[#This Row],[Country]],Tabela1[Country], 0),0))</f>
        <v>0</v>
      </c>
      <c r="I157" s="6">
        <f>SUM(INDEX(Tabela1[[Basketball - Men''s Tournament]:[Basketball - Women''s Tournament]],MATCH(Table92[[#This Row],[Country]],Tabela1[Country], 0),0))</f>
        <v>0</v>
      </c>
      <c r="J157" s="6">
        <f>SUM(INDEX(Tabela1[[3x3 Basketball - Men''s Tournament]:[3x3 Basketball - Women''s Tournament]],MATCH(Table92[[#This Row],[Country]],Tabela1[Country], 0),0))</f>
        <v>0</v>
      </c>
      <c r="K157" s="6">
        <f>SUM(INDEX(Tabela1[[Beach Volleyball - Men''s Tournament]:[Beach Volleyball - Women''s Tournament]],MATCH(Table92[[#This Row],[Country]],Tabela1[Country], 0),0))</f>
        <v>0</v>
      </c>
      <c r="L157" s="6">
        <f>SUM(INDEX(Tabela1[[Boxing - Men''s 51kg]:[Boxing - Women''s 75kg]],MATCH(Table92[[#This Row],[Country]],Tabela1[Country], 0),0))</f>
        <v>0</v>
      </c>
      <c r="M157" s="6">
        <f>SUM(INDEX(Tabela1[[Breaking - Men''s Individual]:[Breaking - Women''s Individual]],MATCH(Table92[[#This Row],[Country]],Tabela1[Country], 0),0))</f>
        <v>0</v>
      </c>
      <c r="N157" s="6">
        <f>SUM(INDEX(Tabela1[[Canoeing - Men''s C1 Slalom]:[Canoeing - Women''s Kayak Cross Slalom]],MATCH(Table92[[#This Row],[Country]],Tabela1[Country], 0),0))</f>
        <v>0</v>
      </c>
      <c r="O157" s="6">
        <f>SUM(INDEX(Tabela1[[Canoeing - Women''s C1 200m]:[Canoeing - Women''s K4 500m]],MATCH(Table92[[#This Row],[Country]],Tabela1[Country], 0),0))</f>
        <v>0</v>
      </c>
      <c r="P157" s="6">
        <f>SUM(INDEX(Tabela1[[Cycling - Men''s BMX Freestyle]:[Cycling - Women''s BMX Freestyle]],MATCH(Table92[[#This Row],[Country]],Tabela1[Country], 0),0))</f>
        <v>0</v>
      </c>
      <c r="Q157" s="6">
        <f>SUM(INDEX(Tabela1[[Cycling - Men''s BMX Racing]:[Cycling - Women''s BMX Racing]],MATCH(Table92[[#This Row],[Country]],Tabela1[Country], 0),0))</f>
        <v>0</v>
      </c>
      <c r="R157" s="6">
        <f>SUM(INDEX(Tabela1[[Cycling - Men''s Cross-Country]:[Cycling - Women''s Cross-Country]],MATCH(Table92[[#This Row],[Country]],Tabela1[Country], 0),0))</f>
        <v>0</v>
      </c>
      <c r="S157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57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57" s="6">
        <f>SUM(INDEX(Tabela1[[Diving - Men''s Springboard]:[Diving - Women''s Synchronized Platform]],MATCH(Table92[[#This Row],[Country]],Tabela1[Country], 0),0))</f>
        <v>0</v>
      </c>
      <c r="V157" s="6">
        <f>SUM(INDEX(Tabela1[[Equestrian - Individual Dressage]:[Equestrian - Team Dressage]],MATCH(Table92[[#This Row],[Country]],Tabela1[Country], 0),0))</f>
        <v>0</v>
      </c>
      <c r="W157" s="6">
        <f>SUM(INDEX(Tabela1[[Equestrian - Individual Eventing]:[Equestrian - Team Eventing]],MATCH(Table92[[#This Row],[Country]],Tabela1[Country], 0),0))</f>
        <v>0</v>
      </c>
      <c r="X157" s="6">
        <f>SUM(INDEX(Tabela1[[Equestrian - Individual Jumping]:[Equestrian - Team Jumping]],MATCH(Table92[[#This Row],[Country]],Tabela1[Country], 0),0))</f>
        <v>0</v>
      </c>
      <c r="Y157" s="6">
        <f>SUM(INDEX(Tabela1[[Fencing - Men''s Épée]:[Fencing - Women''s Team Sabre]],MATCH(Table92[[#This Row],[Country]],Tabela1[Country], 0),0))</f>
        <v>0</v>
      </c>
      <c r="Z157" s="6">
        <f>SUM(INDEX(Tabela1[[Field Hockey - Men''s Tournament]:[Field Hockey - Women''s Tournament]],MATCH(Table92[[#This Row],[Country]],Tabela1[Country], 0),0))</f>
        <v>0</v>
      </c>
      <c r="AA157" s="6">
        <f>SUM(INDEX(Tabela1[[Football - Men''s Tournament]:[Football - Women''s Tournament]],MATCH(Table92[[#This Row],[Country]],Tabela1[Country], 0),0))</f>
        <v>0</v>
      </c>
      <c r="AB157" s="6">
        <f>SUM(INDEX(Tabela1[[Golf - Men''s Individual]:[Golf - Women''s Individual]],MATCH(Table92[[#This Row],[Country]],Tabela1[Country], 0),0))</f>
        <v>0</v>
      </c>
      <c r="AC157" s="6">
        <f>SUM(INDEX(Tabela1[[Handball - Men''s Tournament]:[Handball - Women''s Tournament]],MATCH(Table92[[#This Row],[Country]],Tabela1[Country], 0),0))</f>
        <v>0</v>
      </c>
      <c r="AD157" s="6">
        <f>SUM(INDEX(Tabela1[[Judo - Men''s 60kg]:[Judo - Mixed Team]],MATCH(Table92[[#This Row],[Country]],Tabela1[Country], 0),0))</f>
        <v>0</v>
      </c>
      <c r="AE157" s="6">
        <f>SUM(INDEX(Tabela1[[Swimming - Men''s 10km Open Water]:[Swimming - Women''s 10km Open Water]],MATCH(Table92[[#This Row],[Country]],Tabela1[Country], 0),0))</f>
        <v>0</v>
      </c>
      <c r="AF157" s="6">
        <f>SUM(INDEX(Tabela1[[Modern Pentathlon - Men''s Individual]:[Modern Pentathlon - Women''s Individual]],MATCH(Table92[[#This Row],[Country]],Tabela1[Country], 0),0))</f>
        <v>0</v>
      </c>
      <c r="AG157" s="6">
        <f>SUM(INDEX(Tabela1[[Rhythmic Gymnastics - Women''s Individual All-Around]:[Rhythmic Gymnastics - Women''s Group All-Around]],MATCH(Table92[[#This Row],[Country]],Tabela1[Country], 0),0))</f>
        <v>0</v>
      </c>
      <c r="AH157" s="6">
        <f>SUM(INDEX(Tabela1[[Rowing - Men''s Single Sculls]:[Rowing - Women''s Lwt. Double Sculls]],MATCH(Table92[[#This Row],[Country]],Tabela1[Country], 0),0))</f>
        <v>0</v>
      </c>
      <c r="AI157" s="6">
        <f>SUM(INDEX(Tabela1[[Rugby Sevens - Men''s Tournament]:[Rugby Sevens - Women''s Tournament]],MATCH(Table92[[#This Row],[Country]],Tabela1[Country], 0),0))</f>
        <v>0</v>
      </c>
      <c r="AJ157" s="6">
        <f>SUM(INDEX(Tabela1[[Sailing - Mixed 470]:[Sailing - Mixed Nacra 17]],MATCH(Table92[[#This Row],[Country]],Tabela1[Country], 0),0))</f>
        <v>0</v>
      </c>
      <c r="AK157" s="6">
        <f>SUM(INDEX(Tabela1[[Shooting - Men''s 10m Air Pistol]:[Shooting - Women''s Trap]],MATCH(Table92[[#This Row],[Country]],Tabela1[Country], 0),0))</f>
        <v>0</v>
      </c>
      <c r="AL157" s="6">
        <f>SUM(INDEX(Tabela1[[Skateboarding - Men''s Park]:[Skateboarding - Women''s Street]],MATCH(Table92[[#This Row],[Country]],Tabela1[Country], 0),0))</f>
        <v>0</v>
      </c>
      <c r="AM157" s="6">
        <f>SUM(INDEX(Tabela1[[Sport Climbing - Men''s Boulder and Lead]:[Sport Climbing - Women''s Speed]],MATCH(Table92[[#This Row],[Country]],Tabela1[Country], 0),0))</f>
        <v>0</v>
      </c>
      <c r="AN157" s="6">
        <f>SUM(INDEX(Tabela1[[Surfing - Men''s Shortboard]:[Surfing - Women''s Shortboard]],MATCH(Table92[[#This Row],[Country]],Tabela1[Country], 0),0))</f>
        <v>0</v>
      </c>
      <c r="AO157" s="6">
        <f>SUM(INDEX(Tabela1[[Swimming - Men''s 50m Freestyle]:[Swimming - Mixed 4x100m Medley Relay]],MATCH(Table92[[#This Row],[Country]],Tabela1[Country], 0),0))</f>
        <v>0</v>
      </c>
      <c r="AP157" s="6">
        <f>SUM(INDEX(Tabela1[[Table Tennis - Men''s Singles]:[Table Tennis - Mixed Doubles]],MATCH(Table92[[#This Row],[Country]],Tabela1[Country], 0),0))</f>
        <v>0</v>
      </c>
      <c r="AQ157" s="6">
        <f>SUM(INDEX(Tabela1[[Taekwondo - Men''s 58kg]:[Taekwondo - Women''s +67kg]],MATCH(Table92[[#This Row],[Country]],Tabela1[Country], 0),0))</f>
        <v>0</v>
      </c>
      <c r="AR157" s="6">
        <f>SUM(INDEX(Tabela1[[Tennis - Men''s Singles]:[Tennis - Mixed Doubles]],MATCH(Table92[[#This Row],[Country]],Tabela1[Country], 0),0))</f>
        <v>0</v>
      </c>
      <c r="AS157" s="6">
        <f>SUM(INDEX(Tabela1[[Gymnastics - Men''s Trampoline]:[Gymnastics - Women''s Trampoline]],MATCH(Table92[[#This Row],[Country]],Tabela1[Country], 0),0))</f>
        <v>0</v>
      </c>
      <c r="AT157" s="6">
        <f>SUM(INDEX(Tabela1[[Triathlon - Men''s Individual]:[Triathlon - Mixed Relay]],MATCH(Table92[[#This Row],[Country]],Tabela1[Country], 0),0))</f>
        <v>0</v>
      </c>
      <c r="AU157" s="6">
        <f>SUM(INDEX(Tabela1[[Volleyball - Men''s Tournament]:[Volleyball - Women''s Tournament]],MATCH(Table92[[#This Row],[Country]],Tabela1[Country], 0),0))</f>
        <v>0</v>
      </c>
      <c r="AV157" s="6">
        <f>SUM(INDEX(Tabela1[[Water Polo - Men''s Tournament]:[Water Polo - Women''s Tournament]],MATCH(Table92[[#This Row],[Country]],Tabela1[Country], 0),0))</f>
        <v>0</v>
      </c>
      <c r="AW157" s="6">
        <f>SUM(INDEX(Tabela1[[Weightlifting - Men''s 61kg]:[Weightlifting - Women''s +81kg]],MATCH(Table92[[#This Row],[Country]],Tabela1[Country], 0),0))</f>
        <v>0</v>
      </c>
      <c r="AX157" s="6">
        <f>SUM(INDEX(Tabela1[[Wrestling - Men''s Freestyle 57kg]:[Wrestling - Women''s Freestyle 76kg]],MATCH(Table92[[#This Row],[Country]],Tabela1[Country], 0),0))</f>
        <v>0</v>
      </c>
      <c r="AY157" s="6">
        <f>SUM(INDEX(Tabela1[[Alpine Skiing - Men''s Downhill]:[Alpine Skiing - Women''s Team Combined]],MATCH(Table92[[#This Row],[Country]],Tabela1[Country], 0),0))</f>
        <v>0</v>
      </c>
      <c r="AZ157" s="6">
        <f>SUM(INDEX(Tabela1[[Biathlon - Men''s Individual]:[Biathlon - Mixed Relay]],MATCH(Table92[[#This Row],[Country]],Tabela1[Country], 0),0))</f>
        <v>0</v>
      </c>
      <c r="BA157" s="6">
        <f>SUM(INDEX(Tabela1[[Bobsleigh - Women''s Monobob]:[Bobsleigh - Men''s Four]],MATCH(Table92[[#This Row],[Country]],Tabela1[Country], 0),0))</f>
        <v>0</v>
      </c>
      <c r="BB157" s="6">
        <f>SUM(INDEX(Tabela1[[Cross-country skiing - Men''s Classical]:[Cross-country skiing - Women''s Team Sprint]],MATCH(Table92[[#This Row],[Country]],Tabela1[Country], 0),0))</f>
        <v>0</v>
      </c>
      <c r="BC157" s="6">
        <f>SUM(INDEX(Tabela1[[Curling - Men''s Tournament]:[Curling - Mixed Doubles]],MATCH(Table92[[#This Row],[Country]],Tabela1[Country], 0),0))</f>
        <v>0</v>
      </c>
      <c r="BD157" s="6">
        <f>SUM(INDEX(Tabela1[[Figure Skating - Men''s Singles]:[Figure Skating - Team Event]],MATCH(Table92[[#This Row],[Country]],Tabela1[Country], 0),0))</f>
        <v>0</v>
      </c>
      <c r="BE157" s="6">
        <f>SUM(INDEX(Tabela1[[Freestyle Skiing - Men''s Aerials]:[Freestyle Skiing - Women''s Slopestyle]],MATCH(Table92[[#This Row],[Country]],Tabela1[Country], 0),0))</f>
        <v>0</v>
      </c>
      <c r="BF157" s="6">
        <f>SUM(INDEX(Tabela1[[Ice Hockey - Men''s Tournament]:[Ice Hockey - Women''s Tournament]],MATCH(Table92[[#This Row],[Country]],Tabela1[Country], 0),0))</f>
        <v>0</v>
      </c>
      <c r="BG157" s="6">
        <f>SUM(INDEX(Tabela1[[Luge - Men''s Singles]:[Luge - Mixed Team Relay]],MATCH(Table92[[#This Row],[Country]],Tabela1[Country], 0),0))</f>
        <v>0</v>
      </c>
      <c r="BH157" s="6">
        <f>SUM(INDEX(Tabela1[[Nordic Combined - Men''s Individual]:[Nordic Combined - Men''s Team Sprint Large Hill]],MATCH(Table92[[#This Row],[Country]],Tabela1[Country], 0),0))</f>
        <v>0</v>
      </c>
      <c r="BI157" s="6">
        <f>SUM(INDEX(Tabela1[[Short track speed skating - Men''s 500m]:[Short track speed skating - Mixed 2000m Relay]],MATCH(Table92[[#This Row],[Country]],Tabela1[Country], 0),0))</f>
        <v>0</v>
      </c>
      <c r="BJ157" s="6">
        <f>SUM(INDEX(Tabela1[[Skeleton - Men''s Individual]:[Skeleton - Mixed Team]],MATCH(Table92[[#This Row],[Country]],Tabela1[Country], 0),0))</f>
        <v>0</v>
      </c>
      <c r="BK157" s="6">
        <f>SUM(INDEX(Tabela1[[Ski Jumping - Men''s Individual Large Hill]:[Ski Jumping - Mixed Team Normal Hill]],MATCH(Table92[[#This Row],[Country]],Tabela1[Country], 0),0))</f>
        <v>0</v>
      </c>
      <c r="BL157" s="6">
        <f>SUM(INDEX(Tabela1[[Ski Mountaineering - Men''s Sprint]:[Ski Mountaineering - Mixed Relay]],MATCH(Table92[[#This Row],[Country]],Tabela1[Country], 0),0))</f>
        <v>0</v>
      </c>
      <c r="BM157" s="6">
        <f>SUM(INDEX(Tabela1[[Snowboarding - Men''s Big Air]:[Snowboarding - Mixed Team Snowboard Cross]],MATCH(Table92[[#This Row],[Country]],Tabela1[Country], 0),0))</f>
        <v>0</v>
      </c>
      <c r="BN157" s="6">
        <f>SUM(INDEX(Tabela1[[Speed Skating - Men''s 500m]:[Speed Skating - Women''s Team Pursuit]],MATCH(Table92[[#This Row],[Country]],Tabela1[Country], 0),0))</f>
        <v>0</v>
      </c>
      <c r="BO157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57" s="6">
        <f>SUM(Table92[[#This Row],[Summer Sports]:[Winter Sports]])</f>
        <v>0</v>
      </c>
      <c r="BQ157" s="6">
        <f>COUNTIF(Table92[[#This Row],[Archery Quotas]:[Wrestling Quotas]],"&lt;&gt;0")</f>
        <v>0</v>
      </c>
      <c r="BR157" s="6">
        <f>COUNTIF(Table92[[#This Row],[Alpine Skiing Quotas]:[Speed Skating Quotas]],"&lt;&gt;0")</f>
        <v>0</v>
      </c>
      <c r="BS157" s="3" t="s">
        <v>511</v>
      </c>
    </row>
    <row r="158" spans="1:71" x14ac:dyDescent="0.3">
      <c r="A158" s="6" t="s">
        <v>516</v>
      </c>
      <c r="B158" t="e" vm="165">
        <f>IF(ISBLANK(Table92[[#This Row],[Flag Link]]), "", _xlfn.IMAGE(Table92[[#This Row],[Flag Link]],1,1))</f>
        <v>#VALUE!</v>
      </c>
      <c r="C158" s="6">
        <f>SUM(Table92[[#This Row],[Archery Quotas]:[Speed Skating Quotas]])</f>
        <v>0</v>
      </c>
      <c r="D158" s="6">
        <f>SUM(INDEX(Tabela1[[Archery - Men''s Individual Recurve]:[Archery - Mixed Team Recurve]],MATCH(Table92[[#This Row],[Country]],Tabela1[Country], 0),0))</f>
        <v>0</v>
      </c>
      <c r="E158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58" s="6">
        <f>SUM(INDEX(Tabela1[[Artistic Swimming - Women''s Duet]:[Artistic Swimming - Women''s Team]],MATCH(Table92[[#This Row],[Country]],Tabela1[Country], 0),0))</f>
        <v>0</v>
      </c>
      <c r="G158" s="6">
        <f>SUM(INDEX(Tabela1[[Athletics - Men''s 100m]:[Athletics - Women''s Heptathlon]],MATCH(Table92[[#This Row],[Country]],Tabela1[Country], 0),0))</f>
        <v>0</v>
      </c>
      <c r="H158" s="6">
        <f>SUM(INDEX(Tabela1[[Badminton - Men''s Singles]:[Badminton - Mixed Doubles]],MATCH(Table92[[#This Row],[Country]],Tabela1[Country], 0),0))</f>
        <v>0</v>
      </c>
      <c r="I158" s="6">
        <f>SUM(INDEX(Tabela1[[Basketball - Men''s Tournament]:[Basketball - Women''s Tournament]],MATCH(Table92[[#This Row],[Country]],Tabela1[Country], 0),0))</f>
        <v>0</v>
      </c>
      <c r="J158" s="6">
        <f>SUM(INDEX(Tabela1[[3x3 Basketball - Men''s Tournament]:[3x3 Basketball - Women''s Tournament]],MATCH(Table92[[#This Row],[Country]],Tabela1[Country], 0),0))</f>
        <v>0</v>
      </c>
      <c r="K158" s="6">
        <f>SUM(INDEX(Tabela1[[Beach Volleyball - Men''s Tournament]:[Beach Volleyball - Women''s Tournament]],MATCH(Table92[[#This Row],[Country]],Tabela1[Country], 0),0))</f>
        <v>0</v>
      </c>
      <c r="L158" s="6">
        <f>SUM(INDEX(Tabela1[[Boxing - Men''s 51kg]:[Boxing - Women''s 75kg]],MATCH(Table92[[#This Row],[Country]],Tabela1[Country], 0),0))</f>
        <v>0</v>
      </c>
      <c r="M158" s="6">
        <f>SUM(INDEX(Tabela1[[Breaking - Men''s Individual]:[Breaking - Women''s Individual]],MATCH(Table92[[#This Row],[Country]],Tabela1[Country], 0),0))</f>
        <v>0</v>
      </c>
      <c r="N158" s="6">
        <f>SUM(INDEX(Tabela1[[Canoeing - Men''s C1 Slalom]:[Canoeing - Women''s Kayak Cross Slalom]],MATCH(Table92[[#This Row],[Country]],Tabela1[Country], 0),0))</f>
        <v>0</v>
      </c>
      <c r="O158" s="6">
        <f>SUM(INDEX(Tabela1[[Canoeing - Women''s C1 200m]:[Canoeing - Women''s K4 500m]],MATCH(Table92[[#This Row],[Country]],Tabela1[Country], 0),0))</f>
        <v>0</v>
      </c>
      <c r="P158" s="6">
        <f>SUM(INDEX(Tabela1[[Cycling - Men''s BMX Freestyle]:[Cycling - Women''s BMX Freestyle]],MATCH(Table92[[#This Row],[Country]],Tabela1[Country], 0),0))</f>
        <v>0</v>
      </c>
      <c r="Q158" s="6">
        <f>SUM(INDEX(Tabela1[[Cycling - Men''s BMX Racing]:[Cycling - Women''s BMX Racing]],MATCH(Table92[[#This Row],[Country]],Tabela1[Country], 0),0))</f>
        <v>0</v>
      </c>
      <c r="R158" s="6">
        <f>SUM(INDEX(Tabela1[[Cycling - Men''s Cross-Country]:[Cycling - Women''s Cross-Country]],MATCH(Table92[[#This Row],[Country]],Tabela1[Country], 0),0))</f>
        <v>0</v>
      </c>
      <c r="S158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58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58" s="6">
        <f>SUM(INDEX(Tabela1[[Diving - Men''s Springboard]:[Diving - Women''s Synchronized Platform]],MATCH(Table92[[#This Row],[Country]],Tabela1[Country], 0),0))</f>
        <v>0</v>
      </c>
      <c r="V158" s="6">
        <f>SUM(INDEX(Tabela1[[Equestrian - Individual Dressage]:[Equestrian - Team Dressage]],MATCH(Table92[[#This Row],[Country]],Tabela1[Country], 0),0))</f>
        <v>0</v>
      </c>
      <c r="W158" s="6">
        <f>SUM(INDEX(Tabela1[[Equestrian - Individual Eventing]:[Equestrian - Team Eventing]],MATCH(Table92[[#This Row],[Country]],Tabela1[Country], 0),0))</f>
        <v>0</v>
      </c>
      <c r="X158" s="6">
        <f>SUM(INDEX(Tabela1[[Equestrian - Individual Jumping]:[Equestrian - Team Jumping]],MATCH(Table92[[#This Row],[Country]],Tabela1[Country], 0),0))</f>
        <v>0</v>
      </c>
      <c r="Y158" s="6">
        <f>SUM(INDEX(Tabela1[[Fencing - Men''s Épée]:[Fencing - Women''s Team Sabre]],MATCH(Table92[[#This Row],[Country]],Tabela1[Country], 0),0))</f>
        <v>0</v>
      </c>
      <c r="Z158" s="6">
        <f>SUM(INDEX(Tabela1[[Field Hockey - Men''s Tournament]:[Field Hockey - Women''s Tournament]],MATCH(Table92[[#This Row],[Country]],Tabela1[Country], 0),0))</f>
        <v>0</v>
      </c>
      <c r="AA158" s="6">
        <f>SUM(INDEX(Tabela1[[Football - Men''s Tournament]:[Football - Women''s Tournament]],MATCH(Table92[[#This Row],[Country]],Tabela1[Country], 0),0))</f>
        <v>0</v>
      </c>
      <c r="AB158" s="6">
        <f>SUM(INDEX(Tabela1[[Golf - Men''s Individual]:[Golf - Women''s Individual]],MATCH(Table92[[#This Row],[Country]],Tabela1[Country], 0),0))</f>
        <v>0</v>
      </c>
      <c r="AC158" s="6">
        <f>SUM(INDEX(Tabela1[[Handball - Men''s Tournament]:[Handball - Women''s Tournament]],MATCH(Table92[[#This Row],[Country]],Tabela1[Country], 0),0))</f>
        <v>0</v>
      </c>
      <c r="AD158" s="6">
        <f>SUM(INDEX(Tabela1[[Judo - Men''s 60kg]:[Judo - Mixed Team]],MATCH(Table92[[#This Row],[Country]],Tabela1[Country], 0),0))</f>
        <v>0</v>
      </c>
      <c r="AE158" s="6">
        <f>SUM(INDEX(Tabela1[[Swimming - Men''s 10km Open Water]:[Swimming - Women''s 10km Open Water]],MATCH(Table92[[#This Row],[Country]],Tabela1[Country], 0),0))</f>
        <v>0</v>
      </c>
      <c r="AF158" s="6">
        <f>SUM(INDEX(Tabela1[[Modern Pentathlon - Men''s Individual]:[Modern Pentathlon - Women''s Individual]],MATCH(Table92[[#This Row],[Country]],Tabela1[Country], 0),0))</f>
        <v>0</v>
      </c>
      <c r="AG158" s="6">
        <f>SUM(INDEX(Tabela1[[Rhythmic Gymnastics - Women''s Individual All-Around]:[Rhythmic Gymnastics - Women''s Group All-Around]],MATCH(Table92[[#This Row],[Country]],Tabela1[Country], 0),0))</f>
        <v>0</v>
      </c>
      <c r="AH158" s="6">
        <f>SUM(INDEX(Tabela1[[Rowing - Men''s Single Sculls]:[Rowing - Women''s Lwt. Double Sculls]],MATCH(Table92[[#This Row],[Country]],Tabela1[Country], 0),0))</f>
        <v>0</v>
      </c>
      <c r="AI158" s="6">
        <f>SUM(INDEX(Tabela1[[Rugby Sevens - Men''s Tournament]:[Rugby Sevens - Women''s Tournament]],MATCH(Table92[[#This Row],[Country]],Tabela1[Country], 0),0))</f>
        <v>0</v>
      </c>
      <c r="AJ158" s="6">
        <f>SUM(INDEX(Tabela1[[Sailing - Mixed 470]:[Sailing - Mixed Nacra 17]],MATCH(Table92[[#This Row],[Country]],Tabela1[Country], 0),0))</f>
        <v>0</v>
      </c>
      <c r="AK158" s="6">
        <f>SUM(INDEX(Tabela1[[Shooting - Men''s 10m Air Pistol]:[Shooting - Women''s Trap]],MATCH(Table92[[#This Row],[Country]],Tabela1[Country], 0),0))</f>
        <v>0</v>
      </c>
      <c r="AL158" s="6">
        <f>SUM(INDEX(Tabela1[[Skateboarding - Men''s Park]:[Skateboarding - Women''s Street]],MATCH(Table92[[#This Row],[Country]],Tabela1[Country], 0),0))</f>
        <v>0</v>
      </c>
      <c r="AM158" s="6">
        <f>SUM(INDEX(Tabela1[[Sport Climbing - Men''s Boulder and Lead]:[Sport Climbing - Women''s Speed]],MATCH(Table92[[#This Row],[Country]],Tabela1[Country], 0),0))</f>
        <v>0</v>
      </c>
      <c r="AN158" s="6">
        <f>SUM(INDEX(Tabela1[[Surfing - Men''s Shortboard]:[Surfing - Women''s Shortboard]],MATCH(Table92[[#This Row],[Country]],Tabela1[Country], 0),0))</f>
        <v>0</v>
      </c>
      <c r="AO158" s="6">
        <f>SUM(INDEX(Tabela1[[Swimming - Men''s 50m Freestyle]:[Swimming - Mixed 4x100m Medley Relay]],MATCH(Table92[[#This Row],[Country]],Tabela1[Country], 0),0))</f>
        <v>0</v>
      </c>
      <c r="AP158" s="6">
        <f>SUM(INDEX(Tabela1[[Table Tennis - Men''s Singles]:[Table Tennis - Mixed Doubles]],MATCH(Table92[[#This Row],[Country]],Tabela1[Country], 0),0))</f>
        <v>0</v>
      </c>
      <c r="AQ158" s="6">
        <f>SUM(INDEX(Tabela1[[Taekwondo - Men''s 58kg]:[Taekwondo - Women''s +67kg]],MATCH(Table92[[#This Row],[Country]],Tabela1[Country], 0),0))</f>
        <v>0</v>
      </c>
      <c r="AR158" s="6">
        <f>SUM(INDEX(Tabela1[[Tennis - Men''s Singles]:[Tennis - Mixed Doubles]],MATCH(Table92[[#This Row],[Country]],Tabela1[Country], 0),0))</f>
        <v>0</v>
      </c>
      <c r="AS158" s="6">
        <f>SUM(INDEX(Tabela1[[Gymnastics - Men''s Trampoline]:[Gymnastics - Women''s Trampoline]],MATCH(Table92[[#This Row],[Country]],Tabela1[Country], 0),0))</f>
        <v>0</v>
      </c>
      <c r="AT158" s="6">
        <f>SUM(INDEX(Tabela1[[Triathlon - Men''s Individual]:[Triathlon - Mixed Relay]],MATCH(Table92[[#This Row],[Country]],Tabela1[Country], 0),0))</f>
        <v>0</v>
      </c>
      <c r="AU158" s="6">
        <f>SUM(INDEX(Tabela1[[Volleyball - Men''s Tournament]:[Volleyball - Women''s Tournament]],MATCH(Table92[[#This Row],[Country]],Tabela1[Country], 0),0))</f>
        <v>0</v>
      </c>
      <c r="AV158" s="6">
        <f>SUM(INDEX(Tabela1[[Water Polo - Men''s Tournament]:[Water Polo - Women''s Tournament]],MATCH(Table92[[#This Row],[Country]],Tabela1[Country], 0),0))</f>
        <v>0</v>
      </c>
      <c r="AW158" s="6">
        <f>SUM(INDEX(Tabela1[[Weightlifting - Men''s 61kg]:[Weightlifting - Women''s +81kg]],MATCH(Table92[[#This Row],[Country]],Tabela1[Country], 0),0))</f>
        <v>0</v>
      </c>
      <c r="AX158" s="6">
        <f>SUM(INDEX(Tabela1[[Wrestling - Men''s Freestyle 57kg]:[Wrestling - Women''s Freestyle 76kg]],MATCH(Table92[[#This Row],[Country]],Tabela1[Country], 0),0))</f>
        <v>0</v>
      </c>
      <c r="AY158" s="6">
        <f>SUM(INDEX(Tabela1[[Alpine Skiing - Men''s Downhill]:[Alpine Skiing - Women''s Team Combined]],MATCH(Table92[[#This Row],[Country]],Tabela1[Country], 0),0))</f>
        <v>0</v>
      </c>
      <c r="AZ158" s="6">
        <f>SUM(INDEX(Tabela1[[Biathlon - Men''s Individual]:[Biathlon - Mixed Relay]],MATCH(Table92[[#This Row],[Country]],Tabela1[Country], 0),0))</f>
        <v>0</v>
      </c>
      <c r="BA158" s="6">
        <f>SUM(INDEX(Tabela1[[Bobsleigh - Women''s Monobob]:[Bobsleigh - Men''s Four]],MATCH(Table92[[#This Row],[Country]],Tabela1[Country], 0),0))</f>
        <v>0</v>
      </c>
      <c r="BB158" s="6">
        <f>SUM(INDEX(Tabela1[[Cross-country skiing - Men''s Classical]:[Cross-country skiing - Women''s Team Sprint]],MATCH(Table92[[#This Row],[Country]],Tabela1[Country], 0),0))</f>
        <v>0</v>
      </c>
      <c r="BC158" s="6">
        <f>SUM(INDEX(Tabela1[[Curling - Men''s Tournament]:[Curling - Mixed Doubles]],MATCH(Table92[[#This Row],[Country]],Tabela1[Country], 0),0))</f>
        <v>0</v>
      </c>
      <c r="BD158" s="6">
        <f>SUM(INDEX(Tabela1[[Figure Skating - Men''s Singles]:[Figure Skating - Team Event]],MATCH(Table92[[#This Row],[Country]],Tabela1[Country], 0),0))</f>
        <v>0</v>
      </c>
      <c r="BE158" s="6">
        <f>SUM(INDEX(Tabela1[[Freestyle Skiing - Men''s Aerials]:[Freestyle Skiing - Women''s Slopestyle]],MATCH(Table92[[#This Row],[Country]],Tabela1[Country], 0),0))</f>
        <v>0</v>
      </c>
      <c r="BF158" s="6">
        <f>SUM(INDEX(Tabela1[[Ice Hockey - Men''s Tournament]:[Ice Hockey - Women''s Tournament]],MATCH(Table92[[#This Row],[Country]],Tabela1[Country], 0),0))</f>
        <v>0</v>
      </c>
      <c r="BG158" s="6">
        <f>SUM(INDEX(Tabela1[[Luge - Men''s Singles]:[Luge - Mixed Team Relay]],MATCH(Table92[[#This Row],[Country]],Tabela1[Country], 0),0))</f>
        <v>0</v>
      </c>
      <c r="BH158" s="6">
        <f>SUM(INDEX(Tabela1[[Nordic Combined - Men''s Individual]:[Nordic Combined - Men''s Team Sprint Large Hill]],MATCH(Table92[[#This Row],[Country]],Tabela1[Country], 0),0))</f>
        <v>0</v>
      </c>
      <c r="BI158" s="6">
        <f>SUM(INDEX(Tabela1[[Short track speed skating - Men''s 500m]:[Short track speed skating - Mixed 2000m Relay]],MATCH(Table92[[#This Row],[Country]],Tabela1[Country], 0),0))</f>
        <v>0</v>
      </c>
      <c r="BJ158" s="6">
        <f>SUM(INDEX(Tabela1[[Skeleton - Men''s Individual]:[Skeleton - Mixed Team]],MATCH(Table92[[#This Row],[Country]],Tabela1[Country], 0),0))</f>
        <v>0</v>
      </c>
      <c r="BK158" s="6">
        <f>SUM(INDEX(Tabela1[[Ski Jumping - Men''s Individual Large Hill]:[Ski Jumping - Mixed Team Normal Hill]],MATCH(Table92[[#This Row],[Country]],Tabela1[Country], 0),0))</f>
        <v>0</v>
      </c>
      <c r="BL158" s="6">
        <f>SUM(INDEX(Tabela1[[Ski Mountaineering - Men''s Sprint]:[Ski Mountaineering - Mixed Relay]],MATCH(Table92[[#This Row],[Country]],Tabela1[Country], 0),0))</f>
        <v>0</v>
      </c>
      <c r="BM158" s="6">
        <f>SUM(INDEX(Tabela1[[Snowboarding - Men''s Big Air]:[Snowboarding - Mixed Team Snowboard Cross]],MATCH(Table92[[#This Row],[Country]],Tabela1[Country], 0),0))</f>
        <v>0</v>
      </c>
      <c r="BN158" s="6">
        <f>SUM(INDEX(Tabela1[[Speed Skating - Men''s 500m]:[Speed Skating - Women''s Team Pursuit]],MATCH(Table92[[#This Row],[Country]],Tabela1[Country], 0),0))</f>
        <v>0</v>
      </c>
      <c r="BO158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58" s="6">
        <f>SUM(Table92[[#This Row],[Summer Sports]:[Winter Sports]])</f>
        <v>0</v>
      </c>
      <c r="BQ158" s="6">
        <f>COUNTIF(Table92[[#This Row],[Archery Quotas]:[Wrestling Quotas]],"&lt;&gt;0")</f>
        <v>0</v>
      </c>
      <c r="BR158" s="6">
        <f>COUNTIF(Table92[[#This Row],[Alpine Skiing Quotas]:[Speed Skating Quotas]],"&lt;&gt;0")</f>
        <v>0</v>
      </c>
      <c r="BS158" s="3" t="s">
        <v>517</v>
      </c>
    </row>
    <row r="159" spans="1:71" x14ac:dyDescent="0.3">
      <c r="A159" s="6" t="s">
        <v>522</v>
      </c>
      <c r="B159" t="e" vm="166">
        <f>IF(ISBLANK(Table92[[#This Row],[Flag Link]]), "", _xlfn.IMAGE(Table92[[#This Row],[Flag Link]],1,1))</f>
        <v>#VALUE!</v>
      </c>
      <c r="C159" s="6">
        <f>SUM(Table92[[#This Row],[Archery Quotas]:[Speed Skating Quotas]])</f>
        <v>0</v>
      </c>
      <c r="D159" s="6">
        <f>SUM(INDEX(Tabela1[[Archery - Men''s Individual Recurve]:[Archery - Mixed Team Recurve]],MATCH(Table92[[#This Row],[Country]],Tabela1[Country], 0),0))</f>
        <v>0</v>
      </c>
      <c r="E159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59" s="6">
        <f>SUM(INDEX(Tabela1[[Artistic Swimming - Women''s Duet]:[Artistic Swimming - Women''s Team]],MATCH(Table92[[#This Row],[Country]],Tabela1[Country], 0),0))</f>
        <v>0</v>
      </c>
      <c r="G159" s="6">
        <f>SUM(INDEX(Tabela1[[Athletics - Men''s 100m]:[Athletics - Women''s Heptathlon]],MATCH(Table92[[#This Row],[Country]],Tabela1[Country], 0),0))</f>
        <v>0</v>
      </c>
      <c r="H159" s="6">
        <f>SUM(INDEX(Tabela1[[Badminton - Men''s Singles]:[Badminton - Mixed Doubles]],MATCH(Table92[[#This Row],[Country]],Tabela1[Country], 0),0))</f>
        <v>0</v>
      </c>
      <c r="I159" s="6">
        <f>SUM(INDEX(Tabela1[[Basketball - Men''s Tournament]:[Basketball - Women''s Tournament]],MATCH(Table92[[#This Row],[Country]],Tabela1[Country], 0),0))</f>
        <v>0</v>
      </c>
      <c r="J159" s="6">
        <f>SUM(INDEX(Tabela1[[3x3 Basketball - Men''s Tournament]:[3x3 Basketball - Women''s Tournament]],MATCH(Table92[[#This Row],[Country]],Tabela1[Country], 0),0))</f>
        <v>0</v>
      </c>
      <c r="K159" s="6">
        <f>SUM(INDEX(Tabela1[[Beach Volleyball - Men''s Tournament]:[Beach Volleyball - Women''s Tournament]],MATCH(Table92[[#This Row],[Country]],Tabela1[Country], 0),0))</f>
        <v>0</v>
      </c>
      <c r="L159" s="6">
        <f>SUM(INDEX(Tabela1[[Boxing - Men''s 51kg]:[Boxing - Women''s 75kg]],MATCH(Table92[[#This Row],[Country]],Tabela1[Country], 0),0))</f>
        <v>0</v>
      </c>
      <c r="M159" s="6">
        <f>SUM(INDEX(Tabela1[[Breaking - Men''s Individual]:[Breaking - Women''s Individual]],MATCH(Table92[[#This Row],[Country]],Tabela1[Country], 0),0))</f>
        <v>0</v>
      </c>
      <c r="N159" s="6">
        <f>SUM(INDEX(Tabela1[[Canoeing - Men''s C1 Slalom]:[Canoeing - Women''s Kayak Cross Slalom]],MATCH(Table92[[#This Row],[Country]],Tabela1[Country], 0),0))</f>
        <v>0</v>
      </c>
      <c r="O159" s="6">
        <f>SUM(INDEX(Tabela1[[Canoeing - Women''s C1 200m]:[Canoeing - Women''s K4 500m]],MATCH(Table92[[#This Row],[Country]],Tabela1[Country], 0),0))</f>
        <v>0</v>
      </c>
      <c r="P159" s="6">
        <f>SUM(INDEX(Tabela1[[Cycling - Men''s BMX Freestyle]:[Cycling - Women''s BMX Freestyle]],MATCH(Table92[[#This Row],[Country]],Tabela1[Country], 0),0))</f>
        <v>0</v>
      </c>
      <c r="Q159" s="6">
        <f>SUM(INDEX(Tabela1[[Cycling - Men''s BMX Racing]:[Cycling - Women''s BMX Racing]],MATCH(Table92[[#This Row],[Country]],Tabela1[Country], 0),0))</f>
        <v>0</v>
      </c>
      <c r="R159" s="6">
        <f>SUM(INDEX(Tabela1[[Cycling - Men''s Cross-Country]:[Cycling - Women''s Cross-Country]],MATCH(Table92[[#This Row],[Country]],Tabela1[Country], 0),0))</f>
        <v>0</v>
      </c>
      <c r="S159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59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59" s="6">
        <f>SUM(INDEX(Tabela1[[Diving - Men''s Springboard]:[Diving - Women''s Synchronized Platform]],MATCH(Table92[[#This Row],[Country]],Tabela1[Country], 0),0))</f>
        <v>0</v>
      </c>
      <c r="V159" s="6">
        <f>SUM(INDEX(Tabela1[[Equestrian - Individual Dressage]:[Equestrian - Team Dressage]],MATCH(Table92[[#This Row],[Country]],Tabela1[Country], 0),0))</f>
        <v>0</v>
      </c>
      <c r="W159" s="6">
        <f>SUM(INDEX(Tabela1[[Equestrian - Individual Eventing]:[Equestrian - Team Eventing]],MATCH(Table92[[#This Row],[Country]],Tabela1[Country], 0),0))</f>
        <v>0</v>
      </c>
      <c r="X159" s="6">
        <f>SUM(INDEX(Tabela1[[Equestrian - Individual Jumping]:[Equestrian - Team Jumping]],MATCH(Table92[[#This Row],[Country]],Tabela1[Country], 0),0))</f>
        <v>0</v>
      </c>
      <c r="Y159" s="6">
        <f>SUM(INDEX(Tabela1[[Fencing - Men''s Épée]:[Fencing - Women''s Team Sabre]],MATCH(Table92[[#This Row],[Country]],Tabela1[Country], 0),0))</f>
        <v>0</v>
      </c>
      <c r="Z159" s="6">
        <f>SUM(INDEX(Tabela1[[Field Hockey - Men''s Tournament]:[Field Hockey - Women''s Tournament]],MATCH(Table92[[#This Row],[Country]],Tabela1[Country], 0),0))</f>
        <v>0</v>
      </c>
      <c r="AA159" s="6">
        <f>SUM(INDEX(Tabela1[[Football - Men''s Tournament]:[Football - Women''s Tournament]],MATCH(Table92[[#This Row],[Country]],Tabela1[Country], 0),0))</f>
        <v>0</v>
      </c>
      <c r="AB159" s="6">
        <f>SUM(INDEX(Tabela1[[Golf - Men''s Individual]:[Golf - Women''s Individual]],MATCH(Table92[[#This Row],[Country]],Tabela1[Country], 0),0))</f>
        <v>0</v>
      </c>
      <c r="AC159" s="6">
        <f>SUM(INDEX(Tabela1[[Handball - Men''s Tournament]:[Handball - Women''s Tournament]],MATCH(Table92[[#This Row],[Country]],Tabela1[Country], 0),0))</f>
        <v>0</v>
      </c>
      <c r="AD159" s="6">
        <f>SUM(INDEX(Tabela1[[Judo - Men''s 60kg]:[Judo - Mixed Team]],MATCH(Table92[[#This Row],[Country]],Tabela1[Country], 0),0))</f>
        <v>0</v>
      </c>
      <c r="AE159" s="6">
        <f>SUM(INDEX(Tabela1[[Swimming - Men''s 10km Open Water]:[Swimming - Women''s 10km Open Water]],MATCH(Table92[[#This Row],[Country]],Tabela1[Country], 0),0))</f>
        <v>0</v>
      </c>
      <c r="AF159" s="6">
        <f>SUM(INDEX(Tabela1[[Modern Pentathlon - Men''s Individual]:[Modern Pentathlon - Women''s Individual]],MATCH(Table92[[#This Row],[Country]],Tabela1[Country], 0),0))</f>
        <v>0</v>
      </c>
      <c r="AG159" s="6">
        <f>SUM(INDEX(Tabela1[[Rhythmic Gymnastics - Women''s Individual All-Around]:[Rhythmic Gymnastics - Women''s Group All-Around]],MATCH(Table92[[#This Row],[Country]],Tabela1[Country], 0),0))</f>
        <v>0</v>
      </c>
      <c r="AH159" s="6">
        <f>SUM(INDEX(Tabela1[[Rowing - Men''s Single Sculls]:[Rowing - Women''s Lwt. Double Sculls]],MATCH(Table92[[#This Row],[Country]],Tabela1[Country], 0),0))</f>
        <v>0</v>
      </c>
      <c r="AI159" s="6">
        <f>SUM(INDEX(Tabela1[[Rugby Sevens - Men''s Tournament]:[Rugby Sevens - Women''s Tournament]],MATCH(Table92[[#This Row],[Country]],Tabela1[Country], 0),0))</f>
        <v>0</v>
      </c>
      <c r="AJ159" s="6">
        <f>SUM(INDEX(Tabela1[[Sailing - Mixed 470]:[Sailing - Mixed Nacra 17]],MATCH(Table92[[#This Row],[Country]],Tabela1[Country], 0),0))</f>
        <v>0</v>
      </c>
      <c r="AK159" s="6">
        <f>SUM(INDEX(Tabela1[[Shooting - Men''s 10m Air Pistol]:[Shooting - Women''s Trap]],MATCH(Table92[[#This Row],[Country]],Tabela1[Country], 0),0))</f>
        <v>0</v>
      </c>
      <c r="AL159" s="6">
        <f>SUM(INDEX(Tabela1[[Skateboarding - Men''s Park]:[Skateboarding - Women''s Street]],MATCH(Table92[[#This Row],[Country]],Tabela1[Country], 0),0))</f>
        <v>0</v>
      </c>
      <c r="AM159" s="6">
        <f>SUM(INDEX(Tabela1[[Sport Climbing - Men''s Boulder and Lead]:[Sport Climbing - Women''s Speed]],MATCH(Table92[[#This Row],[Country]],Tabela1[Country], 0),0))</f>
        <v>0</v>
      </c>
      <c r="AN159" s="6">
        <f>SUM(INDEX(Tabela1[[Surfing - Men''s Shortboard]:[Surfing - Women''s Shortboard]],MATCH(Table92[[#This Row],[Country]],Tabela1[Country], 0),0))</f>
        <v>0</v>
      </c>
      <c r="AO159" s="6">
        <f>SUM(INDEX(Tabela1[[Swimming - Men''s 50m Freestyle]:[Swimming - Mixed 4x100m Medley Relay]],MATCH(Table92[[#This Row],[Country]],Tabela1[Country], 0),0))</f>
        <v>0</v>
      </c>
      <c r="AP159" s="6">
        <f>SUM(INDEX(Tabela1[[Table Tennis - Men''s Singles]:[Table Tennis - Mixed Doubles]],MATCH(Table92[[#This Row],[Country]],Tabela1[Country], 0),0))</f>
        <v>0</v>
      </c>
      <c r="AQ159" s="6">
        <f>SUM(INDEX(Tabela1[[Taekwondo - Men''s 58kg]:[Taekwondo - Women''s +67kg]],MATCH(Table92[[#This Row],[Country]],Tabela1[Country], 0),0))</f>
        <v>0</v>
      </c>
      <c r="AR159" s="6">
        <f>SUM(INDEX(Tabela1[[Tennis - Men''s Singles]:[Tennis - Mixed Doubles]],MATCH(Table92[[#This Row],[Country]],Tabela1[Country], 0),0))</f>
        <v>0</v>
      </c>
      <c r="AS159" s="6">
        <f>SUM(INDEX(Tabela1[[Gymnastics - Men''s Trampoline]:[Gymnastics - Women''s Trampoline]],MATCH(Table92[[#This Row],[Country]],Tabela1[Country], 0),0))</f>
        <v>0</v>
      </c>
      <c r="AT159" s="6">
        <f>SUM(INDEX(Tabela1[[Triathlon - Men''s Individual]:[Triathlon - Mixed Relay]],MATCH(Table92[[#This Row],[Country]],Tabela1[Country], 0),0))</f>
        <v>0</v>
      </c>
      <c r="AU159" s="6">
        <f>SUM(INDEX(Tabela1[[Volleyball - Men''s Tournament]:[Volleyball - Women''s Tournament]],MATCH(Table92[[#This Row],[Country]],Tabela1[Country], 0),0))</f>
        <v>0</v>
      </c>
      <c r="AV159" s="6">
        <f>SUM(INDEX(Tabela1[[Water Polo - Men''s Tournament]:[Water Polo - Women''s Tournament]],MATCH(Table92[[#This Row],[Country]],Tabela1[Country], 0),0))</f>
        <v>0</v>
      </c>
      <c r="AW159" s="6">
        <f>SUM(INDEX(Tabela1[[Weightlifting - Men''s 61kg]:[Weightlifting - Women''s +81kg]],MATCH(Table92[[#This Row],[Country]],Tabela1[Country], 0),0))</f>
        <v>0</v>
      </c>
      <c r="AX159" s="6">
        <f>SUM(INDEX(Tabela1[[Wrestling - Men''s Freestyle 57kg]:[Wrestling - Women''s Freestyle 76kg]],MATCH(Table92[[#This Row],[Country]],Tabela1[Country], 0),0))</f>
        <v>0</v>
      </c>
      <c r="AY159" s="6">
        <f>SUM(INDEX(Tabela1[[Alpine Skiing - Men''s Downhill]:[Alpine Skiing - Women''s Team Combined]],MATCH(Table92[[#This Row],[Country]],Tabela1[Country], 0),0))</f>
        <v>0</v>
      </c>
      <c r="AZ159" s="6">
        <f>SUM(INDEX(Tabela1[[Biathlon - Men''s Individual]:[Biathlon - Mixed Relay]],MATCH(Table92[[#This Row],[Country]],Tabela1[Country], 0),0))</f>
        <v>0</v>
      </c>
      <c r="BA159" s="6">
        <f>SUM(INDEX(Tabela1[[Bobsleigh - Women''s Monobob]:[Bobsleigh - Men''s Four]],MATCH(Table92[[#This Row],[Country]],Tabela1[Country], 0),0))</f>
        <v>0</v>
      </c>
      <c r="BB159" s="6">
        <f>SUM(INDEX(Tabela1[[Cross-country skiing - Men''s Classical]:[Cross-country skiing - Women''s Team Sprint]],MATCH(Table92[[#This Row],[Country]],Tabela1[Country], 0),0))</f>
        <v>0</v>
      </c>
      <c r="BC159" s="6">
        <f>SUM(INDEX(Tabela1[[Curling - Men''s Tournament]:[Curling - Mixed Doubles]],MATCH(Table92[[#This Row],[Country]],Tabela1[Country], 0),0))</f>
        <v>0</v>
      </c>
      <c r="BD159" s="6">
        <f>SUM(INDEX(Tabela1[[Figure Skating - Men''s Singles]:[Figure Skating - Team Event]],MATCH(Table92[[#This Row],[Country]],Tabela1[Country], 0),0))</f>
        <v>0</v>
      </c>
      <c r="BE159" s="6">
        <f>SUM(INDEX(Tabela1[[Freestyle Skiing - Men''s Aerials]:[Freestyle Skiing - Women''s Slopestyle]],MATCH(Table92[[#This Row],[Country]],Tabela1[Country], 0),0))</f>
        <v>0</v>
      </c>
      <c r="BF159" s="6">
        <f>SUM(INDEX(Tabela1[[Ice Hockey - Men''s Tournament]:[Ice Hockey - Women''s Tournament]],MATCH(Table92[[#This Row],[Country]],Tabela1[Country], 0),0))</f>
        <v>0</v>
      </c>
      <c r="BG159" s="6">
        <f>SUM(INDEX(Tabela1[[Luge - Men''s Singles]:[Luge - Mixed Team Relay]],MATCH(Table92[[#This Row],[Country]],Tabela1[Country], 0),0))</f>
        <v>0</v>
      </c>
      <c r="BH159" s="6">
        <f>SUM(INDEX(Tabela1[[Nordic Combined - Men''s Individual]:[Nordic Combined - Men''s Team Sprint Large Hill]],MATCH(Table92[[#This Row],[Country]],Tabela1[Country], 0),0))</f>
        <v>0</v>
      </c>
      <c r="BI159" s="6">
        <f>SUM(INDEX(Tabela1[[Short track speed skating - Men''s 500m]:[Short track speed skating - Mixed 2000m Relay]],MATCH(Table92[[#This Row],[Country]],Tabela1[Country], 0),0))</f>
        <v>0</v>
      </c>
      <c r="BJ159" s="6">
        <f>SUM(INDEX(Tabela1[[Skeleton - Men''s Individual]:[Skeleton - Mixed Team]],MATCH(Table92[[#This Row],[Country]],Tabela1[Country], 0),0))</f>
        <v>0</v>
      </c>
      <c r="BK159" s="6">
        <f>SUM(INDEX(Tabela1[[Ski Jumping - Men''s Individual Large Hill]:[Ski Jumping - Mixed Team Normal Hill]],MATCH(Table92[[#This Row],[Country]],Tabela1[Country], 0),0))</f>
        <v>0</v>
      </c>
      <c r="BL159" s="6">
        <f>SUM(INDEX(Tabela1[[Ski Mountaineering - Men''s Sprint]:[Ski Mountaineering - Mixed Relay]],MATCH(Table92[[#This Row],[Country]],Tabela1[Country], 0),0))</f>
        <v>0</v>
      </c>
      <c r="BM159" s="6">
        <f>SUM(INDEX(Tabela1[[Snowboarding - Men''s Big Air]:[Snowboarding - Mixed Team Snowboard Cross]],MATCH(Table92[[#This Row],[Country]],Tabela1[Country], 0),0))</f>
        <v>0</v>
      </c>
      <c r="BN159" s="6">
        <f>SUM(INDEX(Tabela1[[Speed Skating - Men''s 500m]:[Speed Skating - Women''s Team Pursuit]],MATCH(Table92[[#This Row],[Country]],Tabela1[Country], 0),0))</f>
        <v>0</v>
      </c>
      <c r="BO159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59" s="6">
        <f>SUM(Table92[[#This Row],[Summer Sports]:[Winter Sports]])</f>
        <v>0</v>
      </c>
      <c r="BQ159" s="6">
        <f>COUNTIF(Table92[[#This Row],[Archery Quotas]:[Wrestling Quotas]],"&lt;&gt;0")</f>
        <v>0</v>
      </c>
      <c r="BR159" s="6">
        <f>COUNTIF(Table92[[#This Row],[Alpine Skiing Quotas]:[Speed Skating Quotas]],"&lt;&gt;0")</f>
        <v>0</v>
      </c>
      <c r="BS159" s="3" t="s">
        <v>523</v>
      </c>
    </row>
    <row r="160" spans="1:71" x14ac:dyDescent="0.3">
      <c r="A160" s="6" t="s">
        <v>528</v>
      </c>
      <c r="B160" t="e" vm="167">
        <f>IF(ISBLANK(Table92[[#This Row],[Flag Link]]), "", _xlfn.IMAGE(Table92[[#This Row],[Flag Link]],1,1))</f>
        <v>#VALUE!</v>
      </c>
      <c r="C160" s="6">
        <f>SUM(Table92[[#This Row],[Archery Quotas]:[Speed Skating Quotas]])</f>
        <v>0</v>
      </c>
      <c r="D160" s="6">
        <f>SUM(INDEX(Tabela1[[Archery - Men''s Individual Recurve]:[Archery - Mixed Team Recurve]],MATCH(Table92[[#This Row],[Country]],Tabela1[Country], 0),0))</f>
        <v>0</v>
      </c>
      <c r="E160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60" s="6">
        <f>SUM(INDEX(Tabela1[[Artistic Swimming - Women''s Duet]:[Artistic Swimming - Women''s Team]],MATCH(Table92[[#This Row],[Country]],Tabela1[Country], 0),0))</f>
        <v>0</v>
      </c>
      <c r="G160" s="6">
        <f>SUM(INDEX(Tabela1[[Athletics - Men''s 100m]:[Athletics - Women''s Heptathlon]],MATCH(Table92[[#This Row],[Country]],Tabela1[Country], 0),0))</f>
        <v>0</v>
      </c>
      <c r="H160" s="6">
        <f>SUM(INDEX(Tabela1[[Badminton - Men''s Singles]:[Badminton - Mixed Doubles]],MATCH(Table92[[#This Row],[Country]],Tabela1[Country], 0),0))</f>
        <v>0</v>
      </c>
      <c r="I160" s="6">
        <f>SUM(INDEX(Tabela1[[Basketball - Men''s Tournament]:[Basketball - Women''s Tournament]],MATCH(Table92[[#This Row],[Country]],Tabela1[Country], 0),0))</f>
        <v>0</v>
      </c>
      <c r="J160" s="6">
        <f>SUM(INDEX(Tabela1[[3x3 Basketball - Men''s Tournament]:[3x3 Basketball - Women''s Tournament]],MATCH(Table92[[#This Row],[Country]],Tabela1[Country], 0),0))</f>
        <v>0</v>
      </c>
      <c r="K160" s="6">
        <f>SUM(INDEX(Tabela1[[Beach Volleyball - Men''s Tournament]:[Beach Volleyball - Women''s Tournament]],MATCH(Table92[[#This Row],[Country]],Tabela1[Country], 0),0))</f>
        <v>0</v>
      </c>
      <c r="L160" s="6">
        <f>SUM(INDEX(Tabela1[[Boxing - Men''s 51kg]:[Boxing - Women''s 75kg]],MATCH(Table92[[#This Row],[Country]],Tabela1[Country], 0),0))</f>
        <v>0</v>
      </c>
      <c r="M160" s="6">
        <f>SUM(INDEX(Tabela1[[Breaking - Men''s Individual]:[Breaking - Women''s Individual]],MATCH(Table92[[#This Row],[Country]],Tabela1[Country], 0),0))</f>
        <v>0</v>
      </c>
      <c r="N160" s="6">
        <f>SUM(INDEX(Tabela1[[Canoeing - Men''s C1 Slalom]:[Canoeing - Women''s Kayak Cross Slalom]],MATCH(Table92[[#This Row],[Country]],Tabela1[Country], 0),0))</f>
        <v>0</v>
      </c>
      <c r="O160" s="6">
        <f>SUM(INDEX(Tabela1[[Canoeing - Women''s C1 200m]:[Canoeing - Women''s K4 500m]],MATCH(Table92[[#This Row],[Country]],Tabela1[Country], 0),0))</f>
        <v>0</v>
      </c>
      <c r="P160" s="6">
        <f>SUM(INDEX(Tabela1[[Cycling - Men''s BMX Freestyle]:[Cycling - Women''s BMX Freestyle]],MATCH(Table92[[#This Row],[Country]],Tabela1[Country], 0),0))</f>
        <v>0</v>
      </c>
      <c r="Q160" s="6">
        <f>SUM(INDEX(Tabela1[[Cycling - Men''s BMX Racing]:[Cycling - Women''s BMX Racing]],MATCH(Table92[[#This Row],[Country]],Tabela1[Country], 0),0))</f>
        <v>0</v>
      </c>
      <c r="R160" s="6">
        <f>SUM(INDEX(Tabela1[[Cycling - Men''s Cross-Country]:[Cycling - Women''s Cross-Country]],MATCH(Table92[[#This Row],[Country]],Tabela1[Country], 0),0))</f>
        <v>0</v>
      </c>
      <c r="S160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60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60" s="6">
        <f>SUM(INDEX(Tabela1[[Diving - Men''s Springboard]:[Diving - Women''s Synchronized Platform]],MATCH(Table92[[#This Row],[Country]],Tabela1[Country], 0),0))</f>
        <v>0</v>
      </c>
      <c r="V160" s="6">
        <f>SUM(INDEX(Tabela1[[Equestrian - Individual Dressage]:[Equestrian - Team Dressage]],MATCH(Table92[[#This Row],[Country]],Tabela1[Country], 0),0))</f>
        <v>0</v>
      </c>
      <c r="W160" s="6">
        <f>SUM(INDEX(Tabela1[[Equestrian - Individual Eventing]:[Equestrian - Team Eventing]],MATCH(Table92[[#This Row],[Country]],Tabela1[Country], 0),0))</f>
        <v>0</v>
      </c>
      <c r="X160" s="6">
        <f>SUM(INDEX(Tabela1[[Equestrian - Individual Jumping]:[Equestrian - Team Jumping]],MATCH(Table92[[#This Row],[Country]],Tabela1[Country], 0),0))</f>
        <v>0</v>
      </c>
      <c r="Y160" s="6">
        <f>SUM(INDEX(Tabela1[[Fencing - Men''s Épée]:[Fencing - Women''s Team Sabre]],MATCH(Table92[[#This Row],[Country]],Tabela1[Country], 0),0))</f>
        <v>0</v>
      </c>
      <c r="Z160" s="6">
        <f>SUM(INDEX(Tabela1[[Field Hockey - Men''s Tournament]:[Field Hockey - Women''s Tournament]],MATCH(Table92[[#This Row],[Country]],Tabela1[Country], 0),0))</f>
        <v>0</v>
      </c>
      <c r="AA160" s="6">
        <f>SUM(INDEX(Tabela1[[Football - Men''s Tournament]:[Football - Women''s Tournament]],MATCH(Table92[[#This Row],[Country]],Tabela1[Country], 0),0))</f>
        <v>0</v>
      </c>
      <c r="AB160" s="6">
        <f>SUM(INDEX(Tabela1[[Golf - Men''s Individual]:[Golf - Women''s Individual]],MATCH(Table92[[#This Row],[Country]],Tabela1[Country], 0),0))</f>
        <v>0</v>
      </c>
      <c r="AC160" s="6">
        <f>SUM(INDEX(Tabela1[[Handball - Men''s Tournament]:[Handball - Women''s Tournament]],MATCH(Table92[[#This Row],[Country]],Tabela1[Country], 0),0))</f>
        <v>0</v>
      </c>
      <c r="AD160" s="6">
        <f>SUM(INDEX(Tabela1[[Judo - Men''s 60kg]:[Judo - Mixed Team]],MATCH(Table92[[#This Row],[Country]],Tabela1[Country], 0),0))</f>
        <v>0</v>
      </c>
      <c r="AE160" s="6">
        <f>SUM(INDEX(Tabela1[[Swimming - Men''s 10km Open Water]:[Swimming - Women''s 10km Open Water]],MATCH(Table92[[#This Row],[Country]],Tabela1[Country], 0),0))</f>
        <v>0</v>
      </c>
      <c r="AF160" s="6">
        <f>SUM(INDEX(Tabela1[[Modern Pentathlon - Men''s Individual]:[Modern Pentathlon - Women''s Individual]],MATCH(Table92[[#This Row],[Country]],Tabela1[Country], 0),0))</f>
        <v>0</v>
      </c>
      <c r="AG160" s="6">
        <f>SUM(INDEX(Tabela1[[Rhythmic Gymnastics - Women''s Individual All-Around]:[Rhythmic Gymnastics - Women''s Group All-Around]],MATCH(Table92[[#This Row],[Country]],Tabela1[Country], 0),0))</f>
        <v>0</v>
      </c>
      <c r="AH160" s="6">
        <f>SUM(INDEX(Tabela1[[Rowing - Men''s Single Sculls]:[Rowing - Women''s Lwt. Double Sculls]],MATCH(Table92[[#This Row],[Country]],Tabela1[Country], 0),0))</f>
        <v>0</v>
      </c>
      <c r="AI160" s="6">
        <f>SUM(INDEX(Tabela1[[Rugby Sevens - Men''s Tournament]:[Rugby Sevens - Women''s Tournament]],MATCH(Table92[[#This Row],[Country]],Tabela1[Country], 0),0))</f>
        <v>0</v>
      </c>
      <c r="AJ160" s="6">
        <f>SUM(INDEX(Tabela1[[Sailing - Mixed 470]:[Sailing - Mixed Nacra 17]],MATCH(Table92[[#This Row],[Country]],Tabela1[Country], 0),0))</f>
        <v>0</v>
      </c>
      <c r="AK160" s="6">
        <f>SUM(INDEX(Tabela1[[Shooting - Men''s 10m Air Pistol]:[Shooting - Women''s Trap]],MATCH(Table92[[#This Row],[Country]],Tabela1[Country], 0),0))</f>
        <v>0</v>
      </c>
      <c r="AL160" s="6">
        <f>SUM(INDEX(Tabela1[[Skateboarding - Men''s Park]:[Skateboarding - Women''s Street]],MATCH(Table92[[#This Row],[Country]],Tabela1[Country], 0),0))</f>
        <v>0</v>
      </c>
      <c r="AM160" s="6">
        <f>SUM(INDEX(Tabela1[[Sport Climbing - Men''s Boulder and Lead]:[Sport Climbing - Women''s Speed]],MATCH(Table92[[#This Row],[Country]],Tabela1[Country], 0),0))</f>
        <v>0</v>
      </c>
      <c r="AN160" s="6">
        <f>SUM(INDEX(Tabela1[[Surfing - Men''s Shortboard]:[Surfing - Women''s Shortboard]],MATCH(Table92[[#This Row],[Country]],Tabela1[Country], 0),0))</f>
        <v>0</v>
      </c>
      <c r="AO160" s="6">
        <f>SUM(INDEX(Tabela1[[Swimming - Men''s 50m Freestyle]:[Swimming - Mixed 4x100m Medley Relay]],MATCH(Table92[[#This Row],[Country]],Tabela1[Country], 0),0))</f>
        <v>0</v>
      </c>
      <c r="AP160" s="6">
        <f>SUM(INDEX(Tabela1[[Table Tennis - Men''s Singles]:[Table Tennis - Mixed Doubles]],MATCH(Table92[[#This Row],[Country]],Tabela1[Country], 0),0))</f>
        <v>0</v>
      </c>
      <c r="AQ160" s="6">
        <f>SUM(INDEX(Tabela1[[Taekwondo - Men''s 58kg]:[Taekwondo - Women''s +67kg]],MATCH(Table92[[#This Row],[Country]],Tabela1[Country], 0),0))</f>
        <v>0</v>
      </c>
      <c r="AR160" s="6">
        <f>SUM(INDEX(Tabela1[[Tennis - Men''s Singles]:[Tennis - Mixed Doubles]],MATCH(Table92[[#This Row],[Country]],Tabela1[Country], 0),0))</f>
        <v>0</v>
      </c>
      <c r="AS160" s="6">
        <f>SUM(INDEX(Tabela1[[Gymnastics - Men''s Trampoline]:[Gymnastics - Women''s Trampoline]],MATCH(Table92[[#This Row],[Country]],Tabela1[Country], 0),0))</f>
        <v>0</v>
      </c>
      <c r="AT160" s="6">
        <f>SUM(INDEX(Tabela1[[Triathlon - Men''s Individual]:[Triathlon - Mixed Relay]],MATCH(Table92[[#This Row],[Country]],Tabela1[Country], 0),0))</f>
        <v>0</v>
      </c>
      <c r="AU160" s="6">
        <f>SUM(INDEX(Tabela1[[Volleyball - Men''s Tournament]:[Volleyball - Women''s Tournament]],MATCH(Table92[[#This Row],[Country]],Tabela1[Country], 0),0))</f>
        <v>0</v>
      </c>
      <c r="AV160" s="6">
        <f>SUM(INDEX(Tabela1[[Water Polo - Men''s Tournament]:[Water Polo - Women''s Tournament]],MATCH(Table92[[#This Row],[Country]],Tabela1[Country], 0),0))</f>
        <v>0</v>
      </c>
      <c r="AW160" s="6">
        <f>SUM(INDEX(Tabela1[[Weightlifting - Men''s 61kg]:[Weightlifting - Women''s +81kg]],MATCH(Table92[[#This Row],[Country]],Tabela1[Country], 0),0))</f>
        <v>0</v>
      </c>
      <c r="AX160" s="6">
        <f>SUM(INDEX(Tabela1[[Wrestling - Men''s Freestyle 57kg]:[Wrestling - Women''s Freestyle 76kg]],MATCH(Table92[[#This Row],[Country]],Tabela1[Country], 0),0))</f>
        <v>0</v>
      </c>
      <c r="AY160" s="6">
        <f>SUM(INDEX(Tabela1[[Alpine Skiing - Men''s Downhill]:[Alpine Skiing - Women''s Team Combined]],MATCH(Table92[[#This Row],[Country]],Tabela1[Country], 0),0))</f>
        <v>0</v>
      </c>
      <c r="AZ160" s="6">
        <f>SUM(INDEX(Tabela1[[Biathlon - Men''s Individual]:[Biathlon - Mixed Relay]],MATCH(Table92[[#This Row],[Country]],Tabela1[Country], 0),0))</f>
        <v>0</v>
      </c>
      <c r="BA160" s="6">
        <f>SUM(INDEX(Tabela1[[Bobsleigh - Women''s Monobob]:[Bobsleigh - Men''s Four]],MATCH(Table92[[#This Row],[Country]],Tabela1[Country], 0),0))</f>
        <v>0</v>
      </c>
      <c r="BB160" s="6">
        <f>SUM(INDEX(Tabela1[[Cross-country skiing - Men''s Classical]:[Cross-country skiing - Women''s Team Sprint]],MATCH(Table92[[#This Row],[Country]],Tabela1[Country], 0),0))</f>
        <v>0</v>
      </c>
      <c r="BC160" s="6">
        <f>SUM(INDEX(Tabela1[[Curling - Men''s Tournament]:[Curling - Mixed Doubles]],MATCH(Table92[[#This Row],[Country]],Tabela1[Country], 0),0))</f>
        <v>0</v>
      </c>
      <c r="BD160" s="6">
        <f>SUM(INDEX(Tabela1[[Figure Skating - Men''s Singles]:[Figure Skating - Team Event]],MATCH(Table92[[#This Row],[Country]],Tabela1[Country], 0),0))</f>
        <v>0</v>
      </c>
      <c r="BE160" s="6">
        <f>SUM(INDEX(Tabela1[[Freestyle Skiing - Men''s Aerials]:[Freestyle Skiing - Women''s Slopestyle]],MATCH(Table92[[#This Row],[Country]],Tabela1[Country], 0),0))</f>
        <v>0</v>
      </c>
      <c r="BF160" s="6">
        <f>SUM(INDEX(Tabela1[[Ice Hockey - Men''s Tournament]:[Ice Hockey - Women''s Tournament]],MATCH(Table92[[#This Row],[Country]],Tabela1[Country], 0),0))</f>
        <v>0</v>
      </c>
      <c r="BG160" s="6">
        <f>SUM(INDEX(Tabela1[[Luge - Men''s Singles]:[Luge - Mixed Team Relay]],MATCH(Table92[[#This Row],[Country]],Tabela1[Country], 0),0))</f>
        <v>0</v>
      </c>
      <c r="BH160" s="6">
        <f>SUM(INDEX(Tabela1[[Nordic Combined - Men''s Individual]:[Nordic Combined - Men''s Team Sprint Large Hill]],MATCH(Table92[[#This Row],[Country]],Tabela1[Country], 0),0))</f>
        <v>0</v>
      </c>
      <c r="BI160" s="6">
        <f>SUM(INDEX(Tabela1[[Short track speed skating - Men''s 500m]:[Short track speed skating - Mixed 2000m Relay]],MATCH(Table92[[#This Row],[Country]],Tabela1[Country], 0),0))</f>
        <v>0</v>
      </c>
      <c r="BJ160" s="6">
        <f>SUM(INDEX(Tabela1[[Skeleton - Men''s Individual]:[Skeleton - Mixed Team]],MATCH(Table92[[#This Row],[Country]],Tabela1[Country], 0),0))</f>
        <v>0</v>
      </c>
      <c r="BK160" s="6">
        <f>SUM(INDEX(Tabela1[[Ski Jumping - Men''s Individual Large Hill]:[Ski Jumping - Mixed Team Normal Hill]],MATCH(Table92[[#This Row],[Country]],Tabela1[Country], 0),0))</f>
        <v>0</v>
      </c>
      <c r="BL160" s="6">
        <f>SUM(INDEX(Tabela1[[Ski Mountaineering - Men''s Sprint]:[Ski Mountaineering - Mixed Relay]],MATCH(Table92[[#This Row],[Country]],Tabela1[Country], 0),0))</f>
        <v>0</v>
      </c>
      <c r="BM160" s="6">
        <f>SUM(INDEX(Tabela1[[Snowboarding - Men''s Big Air]:[Snowboarding - Mixed Team Snowboard Cross]],MATCH(Table92[[#This Row],[Country]],Tabela1[Country], 0),0))</f>
        <v>0</v>
      </c>
      <c r="BN160" s="6">
        <f>SUM(INDEX(Tabela1[[Speed Skating - Men''s 500m]:[Speed Skating - Women''s Team Pursuit]],MATCH(Table92[[#This Row],[Country]],Tabela1[Country], 0),0))</f>
        <v>0</v>
      </c>
      <c r="BO160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60" s="6">
        <f>SUM(Table92[[#This Row],[Summer Sports]:[Winter Sports]])</f>
        <v>0</v>
      </c>
      <c r="BQ160" s="6">
        <f>COUNTIF(Table92[[#This Row],[Archery Quotas]:[Wrestling Quotas]],"&lt;&gt;0")</f>
        <v>0</v>
      </c>
      <c r="BR160" s="6">
        <f>COUNTIF(Table92[[#This Row],[Alpine Skiing Quotas]:[Speed Skating Quotas]],"&lt;&gt;0")</f>
        <v>0</v>
      </c>
      <c r="BS160" s="3" t="s">
        <v>529</v>
      </c>
    </row>
    <row r="161" spans="1:71" x14ac:dyDescent="0.3">
      <c r="A161" s="6" t="s">
        <v>534</v>
      </c>
      <c r="B161" t="e" vm="168">
        <f>IF(ISBLANK(Table92[[#This Row],[Flag Link]]), "", _xlfn.IMAGE(Table92[[#This Row],[Flag Link]],1,1))</f>
        <v>#VALUE!</v>
      </c>
      <c r="C161" s="6">
        <f>SUM(Table92[[#This Row],[Archery Quotas]:[Speed Skating Quotas]])</f>
        <v>0</v>
      </c>
      <c r="D161" s="6">
        <f>SUM(INDEX(Tabela1[[Archery - Men''s Individual Recurve]:[Archery - Mixed Team Recurve]],MATCH(Table92[[#This Row],[Country]],Tabela1[Country], 0),0))</f>
        <v>0</v>
      </c>
      <c r="E161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61" s="6">
        <f>SUM(INDEX(Tabela1[[Artistic Swimming - Women''s Duet]:[Artistic Swimming - Women''s Team]],MATCH(Table92[[#This Row],[Country]],Tabela1[Country], 0),0))</f>
        <v>0</v>
      </c>
      <c r="G161" s="6">
        <f>SUM(INDEX(Tabela1[[Athletics - Men''s 100m]:[Athletics - Women''s Heptathlon]],MATCH(Table92[[#This Row],[Country]],Tabela1[Country], 0),0))</f>
        <v>0</v>
      </c>
      <c r="H161" s="6">
        <f>SUM(INDEX(Tabela1[[Badminton - Men''s Singles]:[Badminton - Mixed Doubles]],MATCH(Table92[[#This Row],[Country]],Tabela1[Country], 0),0))</f>
        <v>0</v>
      </c>
      <c r="I161" s="6">
        <f>SUM(INDEX(Tabela1[[Basketball - Men''s Tournament]:[Basketball - Women''s Tournament]],MATCH(Table92[[#This Row],[Country]],Tabela1[Country], 0),0))</f>
        <v>0</v>
      </c>
      <c r="J161" s="6">
        <f>SUM(INDEX(Tabela1[[3x3 Basketball - Men''s Tournament]:[3x3 Basketball - Women''s Tournament]],MATCH(Table92[[#This Row],[Country]],Tabela1[Country], 0),0))</f>
        <v>0</v>
      </c>
      <c r="K161" s="6">
        <f>SUM(INDEX(Tabela1[[Beach Volleyball - Men''s Tournament]:[Beach Volleyball - Women''s Tournament]],MATCH(Table92[[#This Row],[Country]],Tabela1[Country], 0),0))</f>
        <v>0</v>
      </c>
      <c r="L161" s="6">
        <f>SUM(INDEX(Tabela1[[Boxing - Men''s 51kg]:[Boxing - Women''s 75kg]],MATCH(Table92[[#This Row],[Country]],Tabela1[Country], 0),0))</f>
        <v>0</v>
      </c>
      <c r="M161" s="6">
        <f>SUM(INDEX(Tabela1[[Breaking - Men''s Individual]:[Breaking - Women''s Individual]],MATCH(Table92[[#This Row],[Country]],Tabela1[Country], 0),0))</f>
        <v>0</v>
      </c>
      <c r="N161" s="6">
        <f>SUM(INDEX(Tabela1[[Canoeing - Men''s C1 Slalom]:[Canoeing - Women''s Kayak Cross Slalom]],MATCH(Table92[[#This Row],[Country]],Tabela1[Country], 0),0))</f>
        <v>0</v>
      </c>
      <c r="O161" s="6">
        <f>SUM(INDEX(Tabela1[[Canoeing - Women''s C1 200m]:[Canoeing - Women''s K4 500m]],MATCH(Table92[[#This Row],[Country]],Tabela1[Country], 0),0))</f>
        <v>0</v>
      </c>
      <c r="P161" s="6">
        <f>SUM(INDEX(Tabela1[[Cycling - Men''s BMX Freestyle]:[Cycling - Women''s BMX Freestyle]],MATCH(Table92[[#This Row],[Country]],Tabela1[Country], 0),0))</f>
        <v>0</v>
      </c>
      <c r="Q161" s="6">
        <f>SUM(INDEX(Tabela1[[Cycling - Men''s BMX Racing]:[Cycling - Women''s BMX Racing]],MATCH(Table92[[#This Row],[Country]],Tabela1[Country], 0),0))</f>
        <v>0</v>
      </c>
      <c r="R161" s="6">
        <f>SUM(INDEX(Tabela1[[Cycling - Men''s Cross-Country]:[Cycling - Women''s Cross-Country]],MATCH(Table92[[#This Row],[Country]],Tabela1[Country], 0),0))</f>
        <v>0</v>
      </c>
      <c r="S161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61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61" s="6">
        <f>SUM(INDEX(Tabela1[[Diving - Men''s Springboard]:[Diving - Women''s Synchronized Platform]],MATCH(Table92[[#This Row],[Country]],Tabela1[Country], 0),0))</f>
        <v>0</v>
      </c>
      <c r="V161" s="6">
        <f>SUM(INDEX(Tabela1[[Equestrian - Individual Dressage]:[Equestrian - Team Dressage]],MATCH(Table92[[#This Row],[Country]],Tabela1[Country], 0),0))</f>
        <v>0</v>
      </c>
      <c r="W161" s="6">
        <f>SUM(INDEX(Tabela1[[Equestrian - Individual Eventing]:[Equestrian - Team Eventing]],MATCH(Table92[[#This Row],[Country]],Tabela1[Country], 0),0))</f>
        <v>0</v>
      </c>
      <c r="X161" s="6">
        <f>SUM(INDEX(Tabela1[[Equestrian - Individual Jumping]:[Equestrian - Team Jumping]],MATCH(Table92[[#This Row],[Country]],Tabela1[Country], 0),0))</f>
        <v>0</v>
      </c>
      <c r="Y161" s="6">
        <f>SUM(INDEX(Tabela1[[Fencing - Men''s Épée]:[Fencing - Women''s Team Sabre]],MATCH(Table92[[#This Row],[Country]],Tabela1[Country], 0),0))</f>
        <v>0</v>
      </c>
      <c r="Z161" s="6">
        <f>SUM(INDEX(Tabela1[[Field Hockey - Men''s Tournament]:[Field Hockey - Women''s Tournament]],MATCH(Table92[[#This Row],[Country]],Tabela1[Country], 0),0))</f>
        <v>0</v>
      </c>
      <c r="AA161" s="6">
        <f>SUM(INDEX(Tabela1[[Football - Men''s Tournament]:[Football - Women''s Tournament]],MATCH(Table92[[#This Row],[Country]],Tabela1[Country], 0),0))</f>
        <v>0</v>
      </c>
      <c r="AB161" s="6">
        <f>SUM(INDEX(Tabela1[[Golf - Men''s Individual]:[Golf - Women''s Individual]],MATCH(Table92[[#This Row],[Country]],Tabela1[Country], 0),0))</f>
        <v>0</v>
      </c>
      <c r="AC161" s="6">
        <f>SUM(INDEX(Tabela1[[Handball - Men''s Tournament]:[Handball - Women''s Tournament]],MATCH(Table92[[#This Row],[Country]],Tabela1[Country], 0),0))</f>
        <v>0</v>
      </c>
      <c r="AD161" s="6">
        <f>SUM(INDEX(Tabela1[[Judo - Men''s 60kg]:[Judo - Mixed Team]],MATCH(Table92[[#This Row],[Country]],Tabela1[Country], 0),0))</f>
        <v>0</v>
      </c>
      <c r="AE161" s="6">
        <f>SUM(INDEX(Tabela1[[Swimming - Men''s 10km Open Water]:[Swimming - Women''s 10km Open Water]],MATCH(Table92[[#This Row],[Country]],Tabela1[Country], 0),0))</f>
        <v>0</v>
      </c>
      <c r="AF161" s="6">
        <f>SUM(INDEX(Tabela1[[Modern Pentathlon - Men''s Individual]:[Modern Pentathlon - Women''s Individual]],MATCH(Table92[[#This Row],[Country]],Tabela1[Country], 0),0))</f>
        <v>0</v>
      </c>
      <c r="AG161" s="6">
        <f>SUM(INDEX(Tabela1[[Rhythmic Gymnastics - Women''s Individual All-Around]:[Rhythmic Gymnastics - Women''s Group All-Around]],MATCH(Table92[[#This Row],[Country]],Tabela1[Country], 0),0))</f>
        <v>0</v>
      </c>
      <c r="AH161" s="6">
        <f>SUM(INDEX(Tabela1[[Rowing - Men''s Single Sculls]:[Rowing - Women''s Lwt. Double Sculls]],MATCH(Table92[[#This Row],[Country]],Tabela1[Country], 0),0))</f>
        <v>0</v>
      </c>
      <c r="AI161" s="6">
        <f>SUM(INDEX(Tabela1[[Rugby Sevens - Men''s Tournament]:[Rugby Sevens - Women''s Tournament]],MATCH(Table92[[#This Row],[Country]],Tabela1[Country], 0),0))</f>
        <v>0</v>
      </c>
      <c r="AJ161" s="6">
        <f>SUM(INDEX(Tabela1[[Sailing - Mixed 470]:[Sailing - Mixed Nacra 17]],MATCH(Table92[[#This Row],[Country]],Tabela1[Country], 0),0))</f>
        <v>0</v>
      </c>
      <c r="AK161" s="6">
        <f>SUM(INDEX(Tabela1[[Shooting - Men''s 10m Air Pistol]:[Shooting - Women''s Trap]],MATCH(Table92[[#This Row],[Country]],Tabela1[Country], 0),0))</f>
        <v>0</v>
      </c>
      <c r="AL161" s="6">
        <f>SUM(INDEX(Tabela1[[Skateboarding - Men''s Park]:[Skateboarding - Women''s Street]],MATCH(Table92[[#This Row],[Country]],Tabela1[Country], 0),0))</f>
        <v>0</v>
      </c>
      <c r="AM161" s="6">
        <f>SUM(INDEX(Tabela1[[Sport Climbing - Men''s Boulder and Lead]:[Sport Climbing - Women''s Speed]],MATCH(Table92[[#This Row],[Country]],Tabela1[Country], 0),0))</f>
        <v>0</v>
      </c>
      <c r="AN161" s="6">
        <f>SUM(INDEX(Tabela1[[Surfing - Men''s Shortboard]:[Surfing - Women''s Shortboard]],MATCH(Table92[[#This Row],[Country]],Tabela1[Country], 0),0))</f>
        <v>0</v>
      </c>
      <c r="AO161" s="6">
        <f>SUM(INDEX(Tabela1[[Swimming - Men''s 50m Freestyle]:[Swimming - Mixed 4x100m Medley Relay]],MATCH(Table92[[#This Row],[Country]],Tabela1[Country], 0),0))</f>
        <v>0</v>
      </c>
      <c r="AP161" s="6">
        <f>SUM(INDEX(Tabela1[[Table Tennis - Men''s Singles]:[Table Tennis - Mixed Doubles]],MATCH(Table92[[#This Row],[Country]],Tabela1[Country], 0),0))</f>
        <v>0</v>
      </c>
      <c r="AQ161" s="6">
        <f>SUM(INDEX(Tabela1[[Taekwondo - Men''s 58kg]:[Taekwondo - Women''s +67kg]],MATCH(Table92[[#This Row],[Country]],Tabela1[Country], 0),0))</f>
        <v>0</v>
      </c>
      <c r="AR161" s="6">
        <f>SUM(INDEX(Tabela1[[Tennis - Men''s Singles]:[Tennis - Mixed Doubles]],MATCH(Table92[[#This Row],[Country]],Tabela1[Country], 0),0))</f>
        <v>0</v>
      </c>
      <c r="AS161" s="6">
        <f>SUM(INDEX(Tabela1[[Gymnastics - Men''s Trampoline]:[Gymnastics - Women''s Trampoline]],MATCH(Table92[[#This Row],[Country]],Tabela1[Country], 0),0))</f>
        <v>0</v>
      </c>
      <c r="AT161" s="6">
        <f>SUM(INDEX(Tabela1[[Triathlon - Men''s Individual]:[Triathlon - Mixed Relay]],MATCH(Table92[[#This Row],[Country]],Tabela1[Country], 0),0))</f>
        <v>0</v>
      </c>
      <c r="AU161" s="6">
        <f>SUM(INDEX(Tabela1[[Volleyball - Men''s Tournament]:[Volleyball - Women''s Tournament]],MATCH(Table92[[#This Row],[Country]],Tabela1[Country], 0),0))</f>
        <v>0</v>
      </c>
      <c r="AV161" s="6">
        <f>SUM(INDEX(Tabela1[[Water Polo - Men''s Tournament]:[Water Polo - Women''s Tournament]],MATCH(Table92[[#This Row],[Country]],Tabela1[Country], 0),0))</f>
        <v>0</v>
      </c>
      <c r="AW161" s="6">
        <f>SUM(INDEX(Tabela1[[Weightlifting - Men''s 61kg]:[Weightlifting - Women''s +81kg]],MATCH(Table92[[#This Row],[Country]],Tabela1[Country], 0),0))</f>
        <v>0</v>
      </c>
      <c r="AX161" s="6">
        <f>SUM(INDEX(Tabela1[[Wrestling - Men''s Freestyle 57kg]:[Wrestling - Women''s Freestyle 76kg]],MATCH(Table92[[#This Row],[Country]],Tabela1[Country], 0),0))</f>
        <v>0</v>
      </c>
      <c r="AY161" s="6">
        <f>SUM(INDEX(Tabela1[[Alpine Skiing - Men''s Downhill]:[Alpine Skiing - Women''s Team Combined]],MATCH(Table92[[#This Row],[Country]],Tabela1[Country], 0),0))</f>
        <v>0</v>
      </c>
      <c r="AZ161" s="6">
        <f>SUM(INDEX(Tabela1[[Biathlon - Men''s Individual]:[Biathlon - Mixed Relay]],MATCH(Table92[[#This Row],[Country]],Tabela1[Country], 0),0))</f>
        <v>0</v>
      </c>
      <c r="BA161" s="6">
        <f>SUM(INDEX(Tabela1[[Bobsleigh - Women''s Monobob]:[Bobsleigh - Men''s Four]],MATCH(Table92[[#This Row],[Country]],Tabela1[Country], 0),0))</f>
        <v>0</v>
      </c>
      <c r="BB161" s="6">
        <f>SUM(INDEX(Tabela1[[Cross-country skiing - Men''s Classical]:[Cross-country skiing - Women''s Team Sprint]],MATCH(Table92[[#This Row],[Country]],Tabela1[Country], 0),0))</f>
        <v>0</v>
      </c>
      <c r="BC161" s="6">
        <f>SUM(INDEX(Tabela1[[Curling - Men''s Tournament]:[Curling - Mixed Doubles]],MATCH(Table92[[#This Row],[Country]],Tabela1[Country], 0),0))</f>
        <v>0</v>
      </c>
      <c r="BD161" s="6">
        <f>SUM(INDEX(Tabela1[[Figure Skating - Men''s Singles]:[Figure Skating - Team Event]],MATCH(Table92[[#This Row],[Country]],Tabela1[Country], 0),0))</f>
        <v>0</v>
      </c>
      <c r="BE161" s="6">
        <f>SUM(INDEX(Tabela1[[Freestyle Skiing - Men''s Aerials]:[Freestyle Skiing - Women''s Slopestyle]],MATCH(Table92[[#This Row],[Country]],Tabela1[Country], 0),0))</f>
        <v>0</v>
      </c>
      <c r="BF161" s="6">
        <f>SUM(INDEX(Tabela1[[Ice Hockey - Men''s Tournament]:[Ice Hockey - Women''s Tournament]],MATCH(Table92[[#This Row],[Country]],Tabela1[Country], 0),0))</f>
        <v>0</v>
      </c>
      <c r="BG161" s="6">
        <f>SUM(INDEX(Tabela1[[Luge - Men''s Singles]:[Luge - Mixed Team Relay]],MATCH(Table92[[#This Row],[Country]],Tabela1[Country], 0),0))</f>
        <v>0</v>
      </c>
      <c r="BH161" s="6">
        <f>SUM(INDEX(Tabela1[[Nordic Combined - Men''s Individual]:[Nordic Combined - Men''s Team Sprint Large Hill]],MATCH(Table92[[#This Row],[Country]],Tabela1[Country], 0),0))</f>
        <v>0</v>
      </c>
      <c r="BI161" s="6">
        <f>SUM(INDEX(Tabela1[[Short track speed skating - Men''s 500m]:[Short track speed skating - Mixed 2000m Relay]],MATCH(Table92[[#This Row],[Country]],Tabela1[Country], 0),0))</f>
        <v>0</v>
      </c>
      <c r="BJ161" s="6">
        <f>SUM(INDEX(Tabela1[[Skeleton - Men''s Individual]:[Skeleton - Mixed Team]],MATCH(Table92[[#This Row],[Country]],Tabela1[Country], 0),0))</f>
        <v>0</v>
      </c>
      <c r="BK161" s="6">
        <f>SUM(INDEX(Tabela1[[Ski Jumping - Men''s Individual Large Hill]:[Ski Jumping - Mixed Team Normal Hill]],MATCH(Table92[[#This Row],[Country]],Tabela1[Country], 0),0))</f>
        <v>0</v>
      </c>
      <c r="BL161" s="6">
        <f>SUM(INDEX(Tabela1[[Ski Mountaineering - Men''s Sprint]:[Ski Mountaineering - Mixed Relay]],MATCH(Table92[[#This Row],[Country]],Tabela1[Country], 0),0))</f>
        <v>0</v>
      </c>
      <c r="BM161" s="6">
        <f>SUM(INDEX(Tabela1[[Snowboarding - Men''s Big Air]:[Snowboarding - Mixed Team Snowboard Cross]],MATCH(Table92[[#This Row],[Country]],Tabela1[Country], 0),0))</f>
        <v>0</v>
      </c>
      <c r="BN161" s="6">
        <f>SUM(INDEX(Tabela1[[Speed Skating - Men''s 500m]:[Speed Skating - Women''s Team Pursuit]],MATCH(Table92[[#This Row],[Country]],Tabela1[Country], 0),0))</f>
        <v>0</v>
      </c>
      <c r="BO161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61" s="6">
        <f>SUM(Table92[[#This Row],[Summer Sports]:[Winter Sports]])</f>
        <v>0</v>
      </c>
      <c r="BQ161" s="6">
        <f>COUNTIF(Table92[[#This Row],[Archery Quotas]:[Wrestling Quotas]],"&lt;&gt;0")</f>
        <v>0</v>
      </c>
      <c r="BR161" s="6">
        <f>COUNTIF(Table92[[#This Row],[Alpine Skiing Quotas]:[Speed Skating Quotas]],"&lt;&gt;0")</f>
        <v>0</v>
      </c>
      <c r="BS161" s="3" t="s">
        <v>535</v>
      </c>
    </row>
    <row r="162" spans="1:71" x14ac:dyDescent="0.3">
      <c r="A162" s="6" t="s">
        <v>536</v>
      </c>
      <c r="B162" t="e" vm="169">
        <f>IF(ISBLANK(Table92[[#This Row],[Flag Link]]), "", _xlfn.IMAGE(Table92[[#This Row],[Flag Link]],1,1))</f>
        <v>#VALUE!</v>
      </c>
      <c r="C162" s="6">
        <f>SUM(Table92[[#This Row],[Archery Quotas]:[Speed Skating Quotas]])</f>
        <v>0</v>
      </c>
      <c r="D162" s="6">
        <f>SUM(INDEX(Tabela1[[Archery - Men''s Individual Recurve]:[Archery - Mixed Team Recurve]],MATCH(Table92[[#This Row],[Country]],Tabela1[Country], 0),0))</f>
        <v>0</v>
      </c>
      <c r="E162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62" s="6">
        <f>SUM(INDEX(Tabela1[[Artistic Swimming - Women''s Duet]:[Artistic Swimming - Women''s Team]],MATCH(Table92[[#This Row],[Country]],Tabela1[Country], 0),0))</f>
        <v>0</v>
      </c>
      <c r="G162" s="6">
        <f>SUM(INDEX(Tabela1[[Athletics - Men''s 100m]:[Athletics - Women''s Heptathlon]],MATCH(Table92[[#This Row],[Country]],Tabela1[Country], 0),0))</f>
        <v>0</v>
      </c>
      <c r="H162" s="6">
        <f>SUM(INDEX(Tabela1[[Badminton - Men''s Singles]:[Badminton - Mixed Doubles]],MATCH(Table92[[#This Row],[Country]],Tabela1[Country], 0),0))</f>
        <v>0</v>
      </c>
      <c r="I162" s="6">
        <f>SUM(INDEX(Tabela1[[Basketball - Men''s Tournament]:[Basketball - Women''s Tournament]],MATCH(Table92[[#This Row],[Country]],Tabela1[Country], 0),0))</f>
        <v>0</v>
      </c>
      <c r="J162" s="6">
        <f>SUM(INDEX(Tabela1[[3x3 Basketball - Men''s Tournament]:[3x3 Basketball - Women''s Tournament]],MATCH(Table92[[#This Row],[Country]],Tabela1[Country], 0),0))</f>
        <v>0</v>
      </c>
      <c r="K162" s="6">
        <f>SUM(INDEX(Tabela1[[Beach Volleyball - Men''s Tournament]:[Beach Volleyball - Women''s Tournament]],MATCH(Table92[[#This Row],[Country]],Tabela1[Country], 0),0))</f>
        <v>0</v>
      </c>
      <c r="L162" s="6">
        <f>SUM(INDEX(Tabela1[[Boxing - Men''s 51kg]:[Boxing - Women''s 75kg]],MATCH(Table92[[#This Row],[Country]],Tabela1[Country], 0),0))</f>
        <v>0</v>
      </c>
      <c r="M162" s="6">
        <f>SUM(INDEX(Tabela1[[Breaking - Men''s Individual]:[Breaking - Women''s Individual]],MATCH(Table92[[#This Row],[Country]],Tabela1[Country], 0),0))</f>
        <v>0</v>
      </c>
      <c r="N162" s="6">
        <f>SUM(INDEX(Tabela1[[Canoeing - Men''s C1 Slalom]:[Canoeing - Women''s Kayak Cross Slalom]],MATCH(Table92[[#This Row],[Country]],Tabela1[Country], 0),0))</f>
        <v>0</v>
      </c>
      <c r="O162" s="6">
        <f>SUM(INDEX(Tabela1[[Canoeing - Women''s C1 200m]:[Canoeing - Women''s K4 500m]],MATCH(Table92[[#This Row],[Country]],Tabela1[Country], 0),0))</f>
        <v>0</v>
      </c>
      <c r="P162" s="6">
        <f>SUM(INDEX(Tabela1[[Cycling - Men''s BMX Freestyle]:[Cycling - Women''s BMX Freestyle]],MATCH(Table92[[#This Row],[Country]],Tabela1[Country], 0),0))</f>
        <v>0</v>
      </c>
      <c r="Q162" s="6">
        <f>SUM(INDEX(Tabela1[[Cycling - Men''s BMX Racing]:[Cycling - Women''s BMX Racing]],MATCH(Table92[[#This Row],[Country]],Tabela1[Country], 0),0))</f>
        <v>0</v>
      </c>
      <c r="R162" s="6">
        <f>SUM(INDEX(Tabela1[[Cycling - Men''s Cross-Country]:[Cycling - Women''s Cross-Country]],MATCH(Table92[[#This Row],[Country]],Tabela1[Country], 0),0))</f>
        <v>0</v>
      </c>
      <c r="S162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62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62" s="6">
        <f>SUM(INDEX(Tabela1[[Diving - Men''s Springboard]:[Diving - Women''s Synchronized Platform]],MATCH(Table92[[#This Row],[Country]],Tabela1[Country], 0),0))</f>
        <v>0</v>
      </c>
      <c r="V162" s="6">
        <f>SUM(INDEX(Tabela1[[Equestrian - Individual Dressage]:[Equestrian - Team Dressage]],MATCH(Table92[[#This Row],[Country]],Tabela1[Country], 0),0))</f>
        <v>0</v>
      </c>
      <c r="W162" s="6">
        <f>SUM(INDEX(Tabela1[[Equestrian - Individual Eventing]:[Equestrian - Team Eventing]],MATCH(Table92[[#This Row],[Country]],Tabela1[Country], 0),0))</f>
        <v>0</v>
      </c>
      <c r="X162" s="6">
        <f>SUM(INDEX(Tabela1[[Equestrian - Individual Jumping]:[Equestrian - Team Jumping]],MATCH(Table92[[#This Row],[Country]],Tabela1[Country], 0),0))</f>
        <v>0</v>
      </c>
      <c r="Y162" s="6">
        <f>SUM(INDEX(Tabela1[[Fencing - Men''s Épée]:[Fencing - Women''s Team Sabre]],MATCH(Table92[[#This Row],[Country]],Tabela1[Country], 0),0))</f>
        <v>0</v>
      </c>
      <c r="Z162" s="6">
        <f>SUM(INDEX(Tabela1[[Field Hockey - Men''s Tournament]:[Field Hockey - Women''s Tournament]],MATCH(Table92[[#This Row],[Country]],Tabela1[Country], 0),0))</f>
        <v>0</v>
      </c>
      <c r="AA162" s="6">
        <f>SUM(INDEX(Tabela1[[Football - Men''s Tournament]:[Football - Women''s Tournament]],MATCH(Table92[[#This Row],[Country]],Tabela1[Country], 0),0))</f>
        <v>0</v>
      </c>
      <c r="AB162" s="6">
        <f>SUM(INDEX(Tabela1[[Golf - Men''s Individual]:[Golf - Women''s Individual]],MATCH(Table92[[#This Row],[Country]],Tabela1[Country], 0),0))</f>
        <v>0</v>
      </c>
      <c r="AC162" s="6">
        <f>SUM(INDEX(Tabela1[[Handball - Men''s Tournament]:[Handball - Women''s Tournament]],MATCH(Table92[[#This Row],[Country]],Tabela1[Country], 0),0))</f>
        <v>0</v>
      </c>
      <c r="AD162" s="6">
        <f>SUM(INDEX(Tabela1[[Judo - Men''s 60kg]:[Judo - Mixed Team]],MATCH(Table92[[#This Row],[Country]],Tabela1[Country], 0),0))</f>
        <v>0</v>
      </c>
      <c r="AE162" s="6">
        <f>SUM(INDEX(Tabela1[[Swimming - Men''s 10km Open Water]:[Swimming - Women''s 10km Open Water]],MATCH(Table92[[#This Row],[Country]],Tabela1[Country], 0),0))</f>
        <v>0</v>
      </c>
      <c r="AF162" s="6">
        <f>SUM(INDEX(Tabela1[[Modern Pentathlon - Men''s Individual]:[Modern Pentathlon - Women''s Individual]],MATCH(Table92[[#This Row],[Country]],Tabela1[Country], 0),0))</f>
        <v>0</v>
      </c>
      <c r="AG162" s="6">
        <f>SUM(INDEX(Tabela1[[Rhythmic Gymnastics - Women''s Individual All-Around]:[Rhythmic Gymnastics - Women''s Group All-Around]],MATCH(Table92[[#This Row],[Country]],Tabela1[Country], 0),0))</f>
        <v>0</v>
      </c>
      <c r="AH162" s="6">
        <f>SUM(INDEX(Tabela1[[Rowing - Men''s Single Sculls]:[Rowing - Women''s Lwt. Double Sculls]],MATCH(Table92[[#This Row],[Country]],Tabela1[Country], 0),0))</f>
        <v>0</v>
      </c>
      <c r="AI162" s="6">
        <f>SUM(INDEX(Tabela1[[Rugby Sevens - Men''s Tournament]:[Rugby Sevens - Women''s Tournament]],MATCH(Table92[[#This Row],[Country]],Tabela1[Country], 0),0))</f>
        <v>0</v>
      </c>
      <c r="AJ162" s="6">
        <f>SUM(INDEX(Tabela1[[Sailing - Mixed 470]:[Sailing - Mixed Nacra 17]],MATCH(Table92[[#This Row],[Country]],Tabela1[Country], 0),0))</f>
        <v>0</v>
      </c>
      <c r="AK162" s="6">
        <f>SUM(INDEX(Tabela1[[Shooting - Men''s 10m Air Pistol]:[Shooting - Women''s Trap]],MATCH(Table92[[#This Row],[Country]],Tabela1[Country], 0),0))</f>
        <v>0</v>
      </c>
      <c r="AL162" s="6">
        <f>SUM(INDEX(Tabela1[[Skateboarding - Men''s Park]:[Skateboarding - Women''s Street]],MATCH(Table92[[#This Row],[Country]],Tabela1[Country], 0),0))</f>
        <v>0</v>
      </c>
      <c r="AM162" s="6">
        <f>SUM(INDEX(Tabela1[[Sport Climbing - Men''s Boulder and Lead]:[Sport Climbing - Women''s Speed]],MATCH(Table92[[#This Row],[Country]],Tabela1[Country], 0),0))</f>
        <v>0</v>
      </c>
      <c r="AN162" s="6">
        <f>SUM(INDEX(Tabela1[[Surfing - Men''s Shortboard]:[Surfing - Women''s Shortboard]],MATCH(Table92[[#This Row],[Country]],Tabela1[Country], 0),0))</f>
        <v>0</v>
      </c>
      <c r="AO162" s="6">
        <f>SUM(INDEX(Tabela1[[Swimming - Men''s 50m Freestyle]:[Swimming - Mixed 4x100m Medley Relay]],MATCH(Table92[[#This Row],[Country]],Tabela1[Country], 0),0))</f>
        <v>0</v>
      </c>
      <c r="AP162" s="6">
        <f>SUM(INDEX(Tabela1[[Table Tennis - Men''s Singles]:[Table Tennis - Mixed Doubles]],MATCH(Table92[[#This Row],[Country]],Tabela1[Country], 0),0))</f>
        <v>0</v>
      </c>
      <c r="AQ162" s="6">
        <f>SUM(INDEX(Tabela1[[Taekwondo - Men''s 58kg]:[Taekwondo - Women''s +67kg]],MATCH(Table92[[#This Row],[Country]],Tabela1[Country], 0),0))</f>
        <v>0</v>
      </c>
      <c r="AR162" s="6">
        <f>SUM(INDEX(Tabela1[[Tennis - Men''s Singles]:[Tennis - Mixed Doubles]],MATCH(Table92[[#This Row],[Country]],Tabela1[Country], 0),0))</f>
        <v>0</v>
      </c>
      <c r="AS162" s="6">
        <f>SUM(INDEX(Tabela1[[Gymnastics - Men''s Trampoline]:[Gymnastics - Women''s Trampoline]],MATCH(Table92[[#This Row],[Country]],Tabela1[Country], 0),0))</f>
        <v>0</v>
      </c>
      <c r="AT162" s="6">
        <f>SUM(INDEX(Tabela1[[Triathlon - Men''s Individual]:[Triathlon - Mixed Relay]],MATCH(Table92[[#This Row],[Country]],Tabela1[Country], 0),0))</f>
        <v>0</v>
      </c>
      <c r="AU162" s="6">
        <f>SUM(INDEX(Tabela1[[Volleyball - Men''s Tournament]:[Volleyball - Women''s Tournament]],MATCH(Table92[[#This Row],[Country]],Tabela1[Country], 0),0))</f>
        <v>0</v>
      </c>
      <c r="AV162" s="6">
        <f>SUM(INDEX(Tabela1[[Water Polo - Men''s Tournament]:[Water Polo - Women''s Tournament]],MATCH(Table92[[#This Row],[Country]],Tabela1[Country], 0),0))</f>
        <v>0</v>
      </c>
      <c r="AW162" s="6">
        <f>SUM(INDEX(Tabela1[[Weightlifting - Men''s 61kg]:[Weightlifting - Women''s +81kg]],MATCH(Table92[[#This Row],[Country]],Tabela1[Country], 0),0))</f>
        <v>0</v>
      </c>
      <c r="AX162" s="6">
        <f>SUM(INDEX(Tabela1[[Wrestling - Men''s Freestyle 57kg]:[Wrestling - Women''s Freestyle 76kg]],MATCH(Table92[[#This Row],[Country]],Tabela1[Country], 0),0))</f>
        <v>0</v>
      </c>
      <c r="AY162" s="6">
        <f>SUM(INDEX(Tabela1[[Alpine Skiing - Men''s Downhill]:[Alpine Skiing - Women''s Team Combined]],MATCH(Table92[[#This Row],[Country]],Tabela1[Country], 0),0))</f>
        <v>0</v>
      </c>
      <c r="AZ162" s="6">
        <f>SUM(INDEX(Tabela1[[Biathlon - Men''s Individual]:[Biathlon - Mixed Relay]],MATCH(Table92[[#This Row],[Country]],Tabela1[Country], 0),0))</f>
        <v>0</v>
      </c>
      <c r="BA162" s="6">
        <f>SUM(INDEX(Tabela1[[Bobsleigh - Women''s Monobob]:[Bobsleigh - Men''s Four]],MATCH(Table92[[#This Row],[Country]],Tabela1[Country], 0),0))</f>
        <v>0</v>
      </c>
      <c r="BB162" s="6">
        <f>SUM(INDEX(Tabela1[[Cross-country skiing - Men''s Classical]:[Cross-country skiing - Women''s Team Sprint]],MATCH(Table92[[#This Row],[Country]],Tabela1[Country], 0),0))</f>
        <v>0</v>
      </c>
      <c r="BC162" s="6">
        <f>SUM(INDEX(Tabela1[[Curling - Men''s Tournament]:[Curling - Mixed Doubles]],MATCH(Table92[[#This Row],[Country]],Tabela1[Country], 0),0))</f>
        <v>0</v>
      </c>
      <c r="BD162" s="6">
        <f>SUM(INDEX(Tabela1[[Figure Skating - Men''s Singles]:[Figure Skating - Team Event]],MATCH(Table92[[#This Row],[Country]],Tabela1[Country], 0),0))</f>
        <v>0</v>
      </c>
      <c r="BE162" s="6">
        <f>SUM(INDEX(Tabela1[[Freestyle Skiing - Men''s Aerials]:[Freestyle Skiing - Women''s Slopestyle]],MATCH(Table92[[#This Row],[Country]],Tabela1[Country], 0),0))</f>
        <v>0</v>
      </c>
      <c r="BF162" s="6">
        <f>SUM(INDEX(Tabela1[[Ice Hockey - Men''s Tournament]:[Ice Hockey - Women''s Tournament]],MATCH(Table92[[#This Row],[Country]],Tabela1[Country], 0),0))</f>
        <v>0</v>
      </c>
      <c r="BG162" s="6">
        <f>SUM(INDEX(Tabela1[[Luge - Men''s Singles]:[Luge - Mixed Team Relay]],MATCH(Table92[[#This Row],[Country]],Tabela1[Country], 0),0))</f>
        <v>0</v>
      </c>
      <c r="BH162" s="6">
        <f>SUM(INDEX(Tabela1[[Nordic Combined - Men''s Individual]:[Nordic Combined - Men''s Team Sprint Large Hill]],MATCH(Table92[[#This Row],[Country]],Tabela1[Country], 0),0))</f>
        <v>0</v>
      </c>
      <c r="BI162" s="6">
        <f>SUM(INDEX(Tabela1[[Short track speed skating - Men''s 500m]:[Short track speed skating - Mixed 2000m Relay]],MATCH(Table92[[#This Row],[Country]],Tabela1[Country], 0),0))</f>
        <v>0</v>
      </c>
      <c r="BJ162" s="6">
        <f>SUM(INDEX(Tabela1[[Skeleton - Men''s Individual]:[Skeleton - Mixed Team]],MATCH(Table92[[#This Row],[Country]],Tabela1[Country], 0),0))</f>
        <v>0</v>
      </c>
      <c r="BK162" s="6">
        <f>SUM(INDEX(Tabela1[[Ski Jumping - Men''s Individual Large Hill]:[Ski Jumping - Mixed Team Normal Hill]],MATCH(Table92[[#This Row],[Country]],Tabela1[Country], 0),0))</f>
        <v>0</v>
      </c>
      <c r="BL162" s="6">
        <f>SUM(INDEX(Tabela1[[Ski Mountaineering - Men''s Sprint]:[Ski Mountaineering - Mixed Relay]],MATCH(Table92[[#This Row],[Country]],Tabela1[Country], 0),0))</f>
        <v>0</v>
      </c>
      <c r="BM162" s="6">
        <f>SUM(INDEX(Tabela1[[Snowboarding - Men''s Big Air]:[Snowboarding - Mixed Team Snowboard Cross]],MATCH(Table92[[#This Row],[Country]],Tabela1[Country], 0),0))</f>
        <v>0</v>
      </c>
      <c r="BN162" s="6">
        <f>SUM(INDEX(Tabela1[[Speed Skating - Men''s 500m]:[Speed Skating - Women''s Team Pursuit]],MATCH(Table92[[#This Row],[Country]],Tabela1[Country], 0),0))</f>
        <v>0</v>
      </c>
      <c r="BO162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62" s="6">
        <f>SUM(Table92[[#This Row],[Summer Sports]:[Winter Sports]])</f>
        <v>0</v>
      </c>
      <c r="BQ162" s="6">
        <f>COUNTIF(Table92[[#This Row],[Archery Quotas]:[Wrestling Quotas]],"&lt;&gt;0")</f>
        <v>0</v>
      </c>
      <c r="BR162" s="6">
        <f>COUNTIF(Table92[[#This Row],[Alpine Skiing Quotas]:[Speed Skating Quotas]],"&lt;&gt;0")</f>
        <v>0</v>
      </c>
      <c r="BS162" s="4" t="s">
        <v>537</v>
      </c>
    </row>
    <row r="163" spans="1:71" x14ac:dyDescent="0.3">
      <c r="A163" s="6" t="s">
        <v>468</v>
      </c>
      <c r="B163" t="e" vm="158">
        <f>IF(ISBLANK(Table92[[#This Row],[Flag Link]]), "", _xlfn.IMAGE(Table92[[#This Row],[Flag Link]],1,1))</f>
        <v>#VALUE!</v>
      </c>
      <c r="C163" s="6">
        <f>SUM(Table92[[#This Row],[Archery Quotas]:[Speed Skating Quotas]])</f>
        <v>0</v>
      </c>
      <c r="D163" s="6">
        <f>SUM(INDEX(Tabela1[[Archery - Men''s Individual Recurve]:[Archery - Mixed Team Recurve]],MATCH(Table92[[#This Row],[Country]],Tabela1[Country], 0),0))</f>
        <v>0</v>
      </c>
      <c r="E163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63" s="6">
        <f>SUM(INDEX(Tabela1[[Artistic Swimming - Women''s Duet]:[Artistic Swimming - Women''s Team]],MATCH(Table92[[#This Row],[Country]],Tabela1[Country], 0),0))</f>
        <v>0</v>
      </c>
      <c r="G163" s="6">
        <f>SUM(INDEX(Tabela1[[Athletics - Men''s 100m]:[Athletics - Women''s Heptathlon]],MATCH(Table92[[#This Row],[Country]],Tabela1[Country], 0),0))</f>
        <v>0</v>
      </c>
      <c r="H163" s="6">
        <f>SUM(INDEX(Tabela1[[Badminton - Men''s Singles]:[Badminton - Mixed Doubles]],MATCH(Table92[[#This Row],[Country]],Tabela1[Country], 0),0))</f>
        <v>0</v>
      </c>
      <c r="I163" s="6">
        <f>SUM(INDEX(Tabela1[[Basketball - Men''s Tournament]:[Basketball - Women''s Tournament]],MATCH(Table92[[#This Row],[Country]],Tabela1[Country], 0),0))</f>
        <v>0</v>
      </c>
      <c r="J163" s="6">
        <f>SUM(INDEX(Tabela1[[3x3 Basketball - Men''s Tournament]:[3x3 Basketball - Women''s Tournament]],MATCH(Table92[[#This Row],[Country]],Tabela1[Country], 0),0))</f>
        <v>0</v>
      </c>
      <c r="K163" s="6">
        <f>SUM(INDEX(Tabela1[[Beach Volleyball - Men''s Tournament]:[Beach Volleyball - Women''s Tournament]],MATCH(Table92[[#This Row],[Country]],Tabela1[Country], 0),0))</f>
        <v>0</v>
      </c>
      <c r="L163" s="6">
        <f>SUM(INDEX(Tabela1[[Boxing - Men''s 51kg]:[Boxing - Women''s 75kg]],MATCH(Table92[[#This Row],[Country]],Tabela1[Country], 0),0))</f>
        <v>0</v>
      </c>
      <c r="M163" s="6">
        <f>SUM(INDEX(Tabela1[[Breaking - Men''s Individual]:[Breaking - Women''s Individual]],MATCH(Table92[[#This Row],[Country]],Tabela1[Country], 0),0))</f>
        <v>0</v>
      </c>
      <c r="N163" s="6">
        <f>SUM(INDEX(Tabela1[[Canoeing - Men''s C1 Slalom]:[Canoeing - Women''s Kayak Cross Slalom]],MATCH(Table92[[#This Row],[Country]],Tabela1[Country], 0),0))</f>
        <v>0</v>
      </c>
      <c r="O163" s="6">
        <f>SUM(INDEX(Tabela1[[Canoeing - Women''s C1 200m]:[Canoeing - Women''s K4 500m]],MATCH(Table92[[#This Row],[Country]],Tabela1[Country], 0),0))</f>
        <v>0</v>
      </c>
      <c r="P163" s="6">
        <f>SUM(INDEX(Tabela1[[Cycling - Men''s BMX Freestyle]:[Cycling - Women''s BMX Freestyle]],MATCH(Table92[[#This Row],[Country]],Tabela1[Country], 0),0))</f>
        <v>0</v>
      </c>
      <c r="Q163" s="6">
        <f>SUM(INDEX(Tabela1[[Cycling - Men''s BMX Racing]:[Cycling - Women''s BMX Racing]],MATCH(Table92[[#This Row],[Country]],Tabela1[Country], 0),0))</f>
        <v>0</v>
      </c>
      <c r="R163" s="6">
        <f>SUM(INDEX(Tabela1[[Cycling - Men''s Cross-Country]:[Cycling - Women''s Cross-Country]],MATCH(Table92[[#This Row],[Country]],Tabela1[Country], 0),0))</f>
        <v>0</v>
      </c>
      <c r="S163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63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63" s="6">
        <f>SUM(INDEX(Tabela1[[Diving - Men''s Springboard]:[Diving - Women''s Synchronized Platform]],MATCH(Table92[[#This Row],[Country]],Tabela1[Country], 0),0))</f>
        <v>0</v>
      </c>
      <c r="V163" s="6">
        <f>SUM(INDEX(Tabela1[[Equestrian - Individual Dressage]:[Equestrian - Team Dressage]],MATCH(Table92[[#This Row],[Country]],Tabela1[Country], 0),0))</f>
        <v>0</v>
      </c>
      <c r="W163" s="6">
        <f>SUM(INDEX(Tabela1[[Equestrian - Individual Eventing]:[Equestrian - Team Eventing]],MATCH(Table92[[#This Row],[Country]],Tabela1[Country], 0),0))</f>
        <v>0</v>
      </c>
      <c r="X163" s="6">
        <f>SUM(INDEX(Tabela1[[Equestrian - Individual Jumping]:[Equestrian - Team Jumping]],MATCH(Table92[[#This Row],[Country]],Tabela1[Country], 0),0))</f>
        <v>0</v>
      </c>
      <c r="Y163" s="6">
        <f>SUM(INDEX(Tabela1[[Fencing - Men''s Épée]:[Fencing - Women''s Team Sabre]],MATCH(Table92[[#This Row],[Country]],Tabela1[Country], 0),0))</f>
        <v>0</v>
      </c>
      <c r="Z163" s="6">
        <f>SUM(INDEX(Tabela1[[Field Hockey - Men''s Tournament]:[Field Hockey - Women''s Tournament]],MATCH(Table92[[#This Row],[Country]],Tabela1[Country], 0),0))</f>
        <v>0</v>
      </c>
      <c r="AA163" s="6">
        <f>SUM(INDEX(Tabela1[[Football - Men''s Tournament]:[Football - Women''s Tournament]],MATCH(Table92[[#This Row],[Country]],Tabela1[Country], 0),0))</f>
        <v>0</v>
      </c>
      <c r="AB163" s="6">
        <f>SUM(INDEX(Tabela1[[Golf - Men''s Individual]:[Golf - Women''s Individual]],MATCH(Table92[[#This Row],[Country]],Tabela1[Country], 0),0))</f>
        <v>0</v>
      </c>
      <c r="AC163" s="6">
        <f>SUM(INDEX(Tabela1[[Handball - Men''s Tournament]:[Handball - Women''s Tournament]],MATCH(Table92[[#This Row],[Country]],Tabela1[Country], 0),0))</f>
        <v>0</v>
      </c>
      <c r="AD163" s="6">
        <f>SUM(INDEX(Tabela1[[Judo - Men''s 60kg]:[Judo - Mixed Team]],MATCH(Table92[[#This Row],[Country]],Tabela1[Country], 0),0))</f>
        <v>0</v>
      </c>
      <c r="AE163" s="6">
        <f>SUM(INDEX(Tabela1[[Swimming - Men''s 10km Open Water]:[Swimming - Women''s 10km Open Water]],MATCH(Table92[[#This Row],[Country]],Tabela1[Country], 0),0))</f>
        <v>0</v>
      </c>
      <c r="AF163" s="6">
        <f>SUM(INDEX(Tabela1[[Modern Pentathlon - Men''s Individual]:[Modern Pentathlon - Women''s Individual]],MATCH(Table92[[#This Row],[Country]],Tabela1[Country], 0),0))</f>
        <v>0</v>
      </c>
      <c r="AG163" s="6">
        <f>SUM(INDEX(Tabela1[[Rhythmic Gymnastics - Women''s Individual All-Around]:[Rhythmic Gymnastics - Women''s Group All-Around]],MATCH(Table92[[#This Row],[Country]],Tabela1[Country], 0),0))</f>
        <v>0</v>
      </c>
      <c r="AH163" s="6">
        <f>SUM(INDEX(Tabela1[[Rowing - Men''s Single Sculls]:[Rowing - Women''s Lwt. Double Sculls]],MATCH(Table92[[#This Row],[Country]],Tabela1[Country], 0),0))</f>
        <v>0</v>
      </c>
      <c r="AI163" s="6">
        <f>SUM(INDEX(Tabela1[[Rugby Sevens - Men''s Tournament]:[Rugby Sevens - Women''s Tournament]],MATCH(Table92[[#This Row],[Country]],Tabela1[Country], 0),0))</f>
        <v>0</v>
      </c>
      <c r="AJ163" s="6">
        <f>SUM(INDEX(Tabela1[[Sailing - Mixed 470]:[Sailing - Mixed Nacra 17]],MATCH(Table92[[#This Row],[Country]],Tabela1[Country], 0),0))</f>
        <v>0</v>
      </c>
      <c r="AK163" s="6">
        <f>SUM(INDEX(Tabela1[[Shooting - Men''s 10m Air Pistol]:[Shooting - Women''s Trap]],MATCH(Table92[[#This Row],[Country]],Tabela1[Country], 0),0))</f>
        <v>0</v>
      </c>
      <c r="AL163" s="6">
        <f>SUM(INDEX(Tabela1[[Skateboarding - Men''s Park]:[Skateboarding - Women''s Street]],MATCH(Table92[[#This Row],[Country]],Tabela1[Country], 0),0))</f>
        <v>0</v>
      </c>
      <c r="AM163" s="6">
        <f>SUM(INDEX(Tabela1[[Sport Climbing - Men''s Boulder and Lead]:[Sport Climbing - Women''s Speed]],MATCH(Table92[[#This Row],[Country]],Tabela1[Country], 0),0))</f>
        <v>0</v>
      </c>
      <c r="AN163" s="6">
        <f>SUM(INDEX(Tabela1[[Surfing - Men''s Shortboard]:[Surfing - Women''s Shortboard]],MATCH(Table92[[#This Row],[Country]],Tabela1[Country], 0),0))</f>
        <v>0</v>
      </c>
      <c r="AO163" s="6">
        <f>SUM(INDEX(Tabela1[[Swimming - Men''s 50m Freestyle]:[Swimming - Mixed 4x100m Medley Relay]],MATCH(Table92[[#This Row],[Country]],Tabela1[Country], 0),0))</f>
        <v>0</v>
      </c>
      <c r="AP163" s="6">
        <f>SUM(INDEX(Tabela1[[Table Tennis - Men''s Singles]:[Table Tennis - Mixed Doubles]],MATCH(Table92[[#This Row],[Country]],Tabela1[Country], 0),0))</f>
        <v>0</v>
      </c>
      <c r="AQ163" s="6">
        <f>SUM(INDEX(Tabela1[[Taekwondo - Men''s 58kg]:[Taekwondo - Women''s +67kg]],MATCH(Table92[[#This Row],[Country]],Tabela1[Country], 0),0))</f>
        <v>0</v>
      </c>
      <c r="AR163" s="6">
        <f>SUM(INDEX(Tabela1[[Tennis - Men''s Singles]:[Tennis - Mixed Doubles]],MATCH(Table92[[#This Row],[Country]],Tabela1[Country], 0),0))</f>
        <v>0</v>
      </c>
      <c r="AS163" s="6">
        <f>SUM(INDEX(Tabela1[[Gymnastics - Men''s Trampoline]:[Gymnastics - Women''s Trampoline]],MATCH(Table92[[#This Row],[Country]],Tabela1[Country], 0),0))</f>
        <v>0</v>
      </c>
      <c r="AT163" s="6">
        <f>SUM(INDEX(Tabela1[[Triathlon - Men''s Individual]:[Triathlon - Mixed Relay]],MATCH(Table92[[#This Row],[Country]],Tabela1[Country], 0),0))</f>
        <v>0</v>
      </c>
      <c r="AU163" s="6">
        <f>SUM(INDEX(Tabela1[[Volleyball - Men''s Tournament]:[Volleyball - Women''s Tournament]],MATCH(Table92[[#This Row],[Country]],Tabela1[Country], 0),0))</f>
        <v>0</v>
      </c>
      <c r="AV163" s="6">
        <f>SUM(INDEX(Tabela1[[Water Polo - Men''s Tournament]:[Water Polo - Women''s Tournament]],MATCH(Table92[[#This Row],[Country]],Tabela1[Country], 0),0))</f>
        <v>0</v>
      </c>
      <c r="AW163" s="6">
        <f>SUM(INDEX(Tabela1[[Weightlifting - Men''s 61kg]:[Weightlifting - Women''s +81kg]],MATCH(Table92[[#This Row],[Country]],Tabela1[Country], 0),0))</f>
        <v>0</v>
      </c>
      <c r="AX163" s="6">
        <f>SUM(INDEX(Tabela1[[Wrestling - Men''s Freestyle 57kg]:[Wrestling - Women''s Freestyle 76kg]],MATCH(Table92[[#This Row],[Country]],Tabela1[Country], 0),0))</f>
        <v>0</v>
      </c>
      <c r="AY163" s="6">
        <f>SUM(INDEX(Tabela1[[Alpine Skiing - Men''s Downhill]:[Alpine Skiing - Women''s Team Combined]],MATCH(Table92[[#This Row],[Country]],Tabela1[Country], 0),0))</f>
        <v>0</v>
      </c>
      <c r="AZ163" s="6">
        <f>SUM(INDEX(Tabela1[[Biathlon - Men''s Individual]:[Biathlon - Mixed Relay]],MATCH(Table92[[#This Row],[Country]],Tabela1[Country], 0),0))</f>
        <v>0</v>
      </c>
      <c r="BA163" s="6">
        <f>SUM(INDEX(Tabela1[[Bobsleigh - Women''s Monobob]:[Bobsleigh - Men''s Four]],MATCH(Table92[[#This Row],[Country]],Tabela1[Country], 0),0))</f>
        <v>0</v>
      </c>
      <c r="BB163" s="6">
        <f>SUM(INDEX(Tabela1[[Cross-country skiing - Men''s Classical]:[Cross-country skiing - Women''s Team Sprint]],MATCH(Table92[[#This Row],[Country]],Tabela1[Country], 0),0))</f>
        <v>0</v>
      </c>
      <c r="BC163" s="6">
        <f>SUM(INDEX(Tabela1[[Curling - Men''s Tournament]:[Curling - Mixed Doubles]],MATCH(Table92[[#This Row],[Country]],Tabela1[Country], 0),0))</f>
        <v>0</v>
      </c>
      <c r="BD163" s="6">
        <f>SUM(INDEX(Tabela1[[Figure Skating - Men''s Singles]:[Figure Skating - Team Event]],MATCH(Table92[[#This Row],[Country]],Tabela1[Country], 0),0))</f>
        <v>0</v>
      </c>
      <c r="BE163" s="6">
        <f>SUM(INDEX(Tabela1[[Freestyle Skiing - Men''s Aerials]:[Freestyle Skiing - Women''s Slopestyle]],MATCH(Table92[[#This Row],[Country]],Tabela1[Country], 0),0))</f>
        <v>0</v>
      </c>
      <c r="BF163" s="6">
        <f>SUM(INDEX(Tabela1[[Ice Hockey - Men''s Tournament]:[Ice Hockey - Women''s Tournament]],MATCH(Table92[[#This Row],[Country]],Tabela1[Country], 0),0))</f>
        <v>0</v>
      </c>
      <c r="BG163" s="6">
        <f>SUM(INDEX(Tabela1[[Luge - Men''s Singles]:[Luge - Mixed Team Relay]],MATCH(Table92[[#This Row],[Country]],Tabela1[Country], 0),0))</f>
        <v>0</v>
      </c>
      <c r="BH163" s="6">
        <f>SUM(INDEX(Tabela1[[Nordic Combined - Men''s Individual]:[Nordic Combined - Men''s Team Sprint Large Hill]],MATCH(Table92[[#This Row],[Country]],Tabela1[Country], 0),0))</f>
        <v>0</v>
      </c>
      <c r="BI163" s="6">
        <f>SUM(INDEX(Tabela1[[Short track speed skating - Men''s 500m]:[Short track speed skating - Mixed 2000m Relay]],MATCH(Table92[[#This Row],[Country]],Tabela1[Country], 0),0))</f>
        <v>0</v>
      </c>
      <c r="BJ163" s="6">
        <f>SUM(INDEX(Tabela1[[Skeleton - Men''s Individual]:[Skeleton - Mixed Team]],MATCH(Table92[[#This Row],[Country]],Tabela1[Country], 0),0))</f>
        <v>0</v>
      </c>
      <c r="BK163" s="6">
        <f>SUM(INDEX(Tabela1[[Ski Jumping - Men''s Individual Large Hill]:[Ski Jumping - Mixed Team Normal Hill]],MATCH(Table92[[#This Row],[Country]],Tabela1[Country], 0),0))</f>
        <v>0</v>
      </c>
      <c r="BL163" s="6">
        <f>SUM(INDEX(Tabela1[[Ski Mountaineering - Men''s Sprint]:[Ski Mountaineering - Mixed Relay]],MATCH(Table92[[#This Row],[Country]],Tabela1[Country], 0),0))</f>
        <v>0</v>
      </c>
      <c r="BM163" s="6">
        <f>SUM(INDEX(Tabela1[[Snowboarding - Men''s Big Air]:[Snowboarding - Mixed Team Snowboard Cross]],MATCH(Table92[[#This Row],[Country]],Tabela1[Country], 0),0))</f>
        <v>0</v>
      </c>
      <c r="BN163" s="6">
        <f>SUM(INDEX(Tabela1[[Speed Skating - Men''s 500m]:[Speed Skating - Women''s Team Pursuit]],MATCH(Table92[[#This Row],[Country]],Tabela1[Country], 0),0))</f>
        <v>0</v>
      </c>
      <c r="BO163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63" s="6">
        <f>SUM(Table92[[#This Row],[Summer Sports]:[Winter Sports]])</f>
        <v>0</v>
      </c>
      <c r="BQ163" s="6">
        <f>COUNTIF(Table92[[#This Row],[Archery Quotas]:[Wrestling Quotas]],"&lt;&gt;0")</f>
        <v>0</v>
      </c>
      <c r="BR163" s="6">
        <f>COUNTIF(Table92[[#This Row],[Alpine Skiing Quotas]:[Speed Skating Quotas]],"&lt;&gt;0")</f>
        <v>0</v>
      </c>
      <c r="BS163" s="3" t="s">
        <v>469</v>
      </c>
    </row>
    <row r="164" spans="1:71" x14ac:dyDescent="0.3">
      <c r="A164" s="6" t="s">
        <v>548</v>
      </c>
      <c r="B164" t="e" vm="170">
        <f>IF(ISBLANK(Table92[[#This Row],[Flag Link]]), "", _xlfn.IMAGE(Table92[[#This Row],[Flag Link]],1,1))</f>
        <v>#VALUE!</v>
      </c>
      <c r="C164" s="6">
        <f>SUM(Table92[[#This Row],[Archery Quotas]:[Speed Skating Quotas]])</f>
        <v>0</v>
      </c>
      <c r="D164" s="6">
        <f>SUM(INDEX(Tabela1[[Archery - Men''s Individual Recurve]:[Archery - Mixed Team Recurve]],MATCH(Table92[[#This Row],[Country]],Tabela1[Country], 0),0))</f>
        <v>0</v>
      </c>
      <c r="E164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64" s="6">
        <f>SUM(INDEX(Tabela1[[Artistic Swimming - Women''s Duet]:[Artistic Swimming - Women''s Team]],MATCH(Table92[[#This Row],[Country]],Tabela1[Country], 0),0))</f>
        <v>0</v>
      </c>
      <c r="G164" s="6">
        <f>SUM(INDEX(Tabela1[[Athletics - Men''s 100m]:[Athletics - Women''s Heptathlon]],MATCH(Table92[[#This Row],[Country]],Tabela1[Country], 0),0))</f>
        <v>0</v>
      </c>
      <c r="H164" s="6">
        <f>SUM(INDEX(Tabela1[[Badminton - Men''s Singles]:[Badminton - Mixed Doubles]],MATCH(Table92[[#This Row],[Country]],Tabela1[Country], 0),0))</f>
        <v>0</v>
      </c>
      <c r="I164" s="6">
        <f>SUM(INDEX(Tabela1[[Basketball - Men''s Tournament]:[Basketball - Women''s Tournament]],MATCH(Table92[[#This Row],[Country]],Tabela1[Country], 0),0))</f>
        <v>0</v>
      </c>
      <c r="J164" s="6">
        <f>SUM(INDEX(Tabela1[[3x3 Basketball - Men''s Tournament]:[3x3 Basketball - Women''s Tournament]],MATCH(Table92[[#This Row],[Country]],Tabela1[Country], 0),0))</f>
        <v>0</v>
      </c>
      <c r="K164" s="6">
        <f>SUM(INDEX(Tabela1[[Beach Volleyball - Men''s Tournament]:[Beach Volleyball - Women''s Tournament]],MATCH(Table92[[#This Row],[Country]],Tabela1[Country], 0),0))</f>
        <v>0</v>
      </c>
      <c r="L164" s="6">
        <f>SUM(INDEX(Tabela1[[Boxing - Men''s 51kg]:[Boxing - Women''s 75kg]],MATCH(Table92[[#This Row],[Country]],Tabela1[Country], 0),0))</f>
        <v>0</v>
      </c>
      <c r="M164" s="6">
        <f>SUM(INDEX(Tabela1[[Breaking - Men''s Individual]:[Breaking - Women''s Individual]],MATCH(Table92[[#This Row],[Country]],Tabela1[Country], 0),0))</f>
        <v>0</v>
      </c>
      <c r="N164" s="6">
        <f>SUM(INDEX(Tabela1[[Canoeing - Men''s C1 Slalom]:[Canoeing - Women''s Kayak Cross Slalom]],MATCH(Table92[[#This Row],[Country]],Tabela1[Country], 0),0))</f>
        <v>0</v>
      </c>
      <c r="O164" s="6">
        <f>SUM(INDEX(Tabela1[[Canoeing - Women''s C1 200m]:[Canoeing - Women''s K4 500m]],MATCH(Table92[[#This Row],[Country]],Tabela1[Country], 0),0))</f>
        <v>0</v>
      </c>
      <c r="P164" s="6">
        <f>SUM(INDEX(Tabela1[[Cycling - Men''s BMX Freestyle]:[Cycling - Women''s BMX Freestyle]],MATCH(Table92[[#This Row],[Country]],Tabela1[Country], 0),0))</f>
        <v>0</v>
      </c>
      <c r="Q164" s="6">
        <f>SUM(INDEX(Tabela1[[Cycling - Men''s BMX Racing]:[Cycling - Women''s BMX Racing]],MATCH(Table92[[#This Row],[Country]],Tabela1[Country], 0),0))</f>
        <v>0</v>
      </c>
      <c r="R164" s="6">
        <f>SUM(INDEX(Tabela1[[Cycling - Men''s Cross-Country]:[Cycling - Women''s Cross-Country]],MATCH(Table92[[#This Row],[Country]],Tabela1[Country], 0),0))</f>
        <v>0</v>
      </c>
      <c r="S164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64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64" s="6">
        <f>SUM(INDEX(Tabela1[[Diving - Men''s Springboard]:[Diving - Women''s Synchronized Platform]],MATCH(Table92[[#This Row],[Country]],Tabela1[Country], 0),0))</f>
        <v>0</v>
      </c>
      <c r="V164" s="6">
        <f>SUM(INDEX(Tabela1[[Equestrian - Individual Dressage]:[Equestrian - Team Dressage]],MATCH(Table92[[#This Row],[Country]],Tabela1[Country], 0),0))</f>
        <v>0</v>
      </c>
      <c r="W164" s="6">
        <f>SUM(INDEX(Tabela1[[Equestrian - Individual Eventing]:[Equestrian - Team Eventing]],MATCH(Table92[[#This Row],[Country]],Tabela1[Country], 0),0))</f>
        <v>0</v>
      </c>
      <c r="X164" s="6">
        <f>SUM(INDEX(Tabela1[[Equestrian - Individual Jumping]:[Equestrian - Team Jumping]],MATCH(Table92[[#This Row],[Country]],Tabela1[Country], 0),0))</f>
        <v>0</v>
      </c>
      <c r="Y164" s="6">
        <f>SUM(INDEX(Tabela1[[Fencing - Men''s Épée]:[Fencing - Women''s Team Sabre]],MATCH(Table92[[#This Row],[Country]],Tabela1[Country], 0),0))</f>
        <v>0</v>
      </c>
      <c r="Z164" s="6">
        <f>SUM(INDEX(Tabela1[[Field Hockey - Men''s Tournament]:[Field Hockey - Women''s Tournament]],MATCH(Table92[[#This Row],[Country]],Tabela1[Country], 0),0))</f>
        <v>0</v>
      </c>
      <c r="AA164" s="6">
        <f>SUM(INDEX(Tabela1[[Football - Men''s Tournament]:[Football - Women''s Tournament]],MATCH(Table92[[#This Row],[Country]],Tabela1[Country], 0),0))</f>
        <v>0</v>
      </c>
      <c r="AB164" s="6">
        <f>SUM(INDEX(Tabela1[[Golf - Men''s Individual]:[Golf - Women''s Individual]],MATCH(Table92[[#This Row],[Country]],Tabela1[Country], 0),0))</f>
        <v>0</v>
      </c>
      <c r="AC164" s="6">
        <f>SUM(INDEX(Tabela1[[Handball - Men''s Tournament]:[Handball - Women''s Tournament]],MATCH(Table92[[#This Row],[Country]],Tabela1[Country], 0),0))</f>
        <v>0</v>
      </c>
      <c r="AD164" s="6">
        <f>SUM(INDEX(Tabela1[[Judo - Men''s 60kg]:[Judo - Mixed Team]],MATCH(Table92[[#This Row],[Country]],Tabela1[Country], 0),0))</f>
        <v>0</v>
      </c>
      <c r="AE164" s="6">
        <f>SUM(INDEX(Tabela1[[Swimming - Men''s 10km Open Water]:[Swimming - Women''s 10km Open Water]],MATCH(Table92[[#This Row],[Country]],Tabela1[Country], 0),0))</f>
        <v>0</v>
      </c>
      <c r="AF164" s="6">
        <f>SUM(INDEX(Tabela1[[Modern Pentathlon - Men''s Individual]:[Modern Pentathlon - Women''s Individual]],MATCH(Table92[[#This Row],[Country]],Tabela1[Country], 0),0))</f>
        <v>0</v>
      </c>
      <c r="AG164" s="6">
        <f>SUM(INDEX(Tabela1[[Rhythmic Gymnastics - Women''s Individual All-Around]:[Rhythmic Gymnastics - Women''s Group All-Around]],MATCH(Table92[[#This Row],[Country]],Tabela1[Country], 0),0))</f>
        <v>0</v>
      </c>
      <c r="AH164" s="6">
        <f>SUM(INDEX(Tabela1[[Rowing - Men''s Single Sculls]:[Rowing - Women''s Lwt. Double Sculls]],MATCH(Table92[[#This Row],[Country]],Tabela1[Country], 0),0))</f>
        <v>0</v>
      </c>
      <c r="AI164" s="6">
        <f>SUM(INDEX(Tabela1[[Rugby Sevens - Men''s Tournament]:[Rugby Sevens - Women''s Tournament]],MATCH(Table92[[#This Row],[Country]],Tabela1[Country], 0),0))</f>
        <v>0</v>
      </c>
      <c r="AJ164" s="6">
        <f>SUM(INDEX(Tabela1[[Sailing - Mixed 470]:[Sailing - Mixed Nacra 17]],MATCH(Table92[[#This Row],[Country]],Tabela1[Country], 0),0))</f>
        <v>0</v>
      </c>
      <c r="AK164" s="6">
        <f>SUM(INDEX(Tabela1[[Shooting - Men''s 10m Air Pistol]:[Shooting - Women''s Trap]],MATCH(Table92[[#This Row],[Country]],Tabela1[Country], 0),0))</f>
        <v>0</v>
      </c>
      <c r="AL164" s="6">
        <f>SUM(INDEX(Tabela1[[Skateboarding - Men''s Park]:[Skateboarding - Women''s Street]],MATCH(Table92[[#This Row],[Country]],Tabela1[Country], 0),0))</f>
        <v>0</v>
      </c>
      <c r="AM164" s="6">
        <f>SUM(INDEX(Tabela1[[Sport Climbing - Men''s Boulder and Lead]:[Sport Climbing - Women''s Speed]],MATCH(Table92[[#This Row],[Country]],Tabela1[Country], 0),0))</f>
        <v>0</v>
      </c>
      <c r="AN164" s="6">
        <f>SUM(INDEX(Tabela1[[Surfing - Men''s Shortboard]:[Surfing - Women''s Shortboard]],MATCH(Table92[[#This Row],[Country]],Tabela1[Country], 0),0))</f>
        <v>0</v>
      </c>
      <c r="AO164" s="6">
        <f>SUM(INDEX(Tabela1[[Swimming - Men''s 50m Freestyle]:[Swimming - Mixed 4x100m Medley Relay]],MATCH(Table92[[#This Row],[Country]],Tabela1[Country], 0),0))</f>
        <v>0</v>
      </c>
      <c r="AP164" s="6">
        <f>SUM(INDEX(Tabela1[[Table Tennis - Men''s Singles]:[Table Tennis - Mixed Doubles]],MATCH(Table92[[#This Row],[Country]],Tabela1[Country], 0),0))</f>
        <v>0</v>
      </c>
      <c r="AQ164" s="6">
        <f>SUM(INDEX(Tabela1[[Taekwondo - Men''s 58kg]:[Taekwondo - Women''s +67kg]],MATCH(Table92[[#This Row],[Country]],Tabela1[Country], 0),0))</f>
        <v>0</v>
      </c>
      <c r="AR164" s="6">
        <f>SUM(INDEX(Tabela1[[Tennis - Men''s Singles]:[Tennis - Mixed Doubles]],MATCH(Table92[[#This Row],[Country]],Tabela1[Country], 0),0))</f>
        <v>0</v>
      </c>
      <c r="AS164" s="6">
        <f>SUM(INDEX(Tabela1[[Gymnastics - Men''s Trampoline]:[Gymnastics - Women''s Trampoline]],MATCH(Table92[[#This Row],[Country]],Tabela1[Country], 0),0))</f>
        <v>0</v>
      </c>
      <c r="AT164" s="6">
        <f>SUM(INDEX(Tabela1[[Triathlon - Men''s Individual]:[Triathlon - Mixed Relay]],MATCH(Table92[[#This Row],[Country]],Tabela1[Country], 0),0))</f>
        <v>0</v>
      </c>
      <c r="AU164" s="6">
        <f>SUM(INDEX(Tabela1[[Volleyball - Men''s Tournament]:[Volleyball - Women''s Tournament]],MATCH(Table92[[#This Row],[Country]],Tabela1[Country], 0),0))</f>
        <v>0</v>
      </c>
      <c r="AV164" s="6">
        <f>SUM(INDEX(Tabela1[[Water Polo - Men''s Tournament]:[Water Polo - Women''s Tournament]],MATCH(Table92[[#This Row],[Country]],Tabela1[Country], 0),0))</f>
        <v>0</v>
      </c>
      <c r="AW164" s="6">
        <f>SUM(INDEX(Tabela1[[Weightlifting - Men''s 61kg]:[Weightlifting - Women''s +81kg]],MATCH(Table92[[#This Row],[Country]],Tabela1[Country], 0),0))</f>
        <v>0</v>
      </c>
      <c r="AX164" s="6">
        <f>SUM(INDEX(Tabela1[[Wrestling - Men''s Freestyle 57kg]:[Wrestling - Women''s Freestyle 76kg]],MATCH(Table92[[#This Row],[Country]],Tabela1[Country], 0),0))</f>
        <v>0</v>
      </c>
      <c r="AY164" s="6">
        <f>SUM(INDEX(Tabela1[[Alpine Skiing - Men''s Downhill]:[Alpine Skiing - Women''s Team Combined]],MATCH(Table92[[#This Row],[Country]],Tabela1[Country], 0),0))</f>
        <v>0</v>
      </c>
      <c r="AZ164" s="6">
        <f>SUM(INDEX(Tabela1[[Biathlon - Men''s Individual]:[Biathlon - Mixed Relay]],MATCH(Table92[[#This Row],[Country]],Tabela1[Country], 0),0))</f>
        <v>0</v>
      </c>
      <c r="BA164" s="6">
        <f>SUM(INDEX(Tabela1[[Bobsleigh - Women''s Monobob]:[Bobsleigh - Men''s Four]],MATCH(Table92[[#This Row],[Country]],Tabela1[Country], 0),0))</f>
        <v>0</v>
      </c>
      <c r="BB164" s="6">
        <f>SUM(INDEX(Tabela1[[Cross-country skiing - Men''s Classical]:[Cross-country skiing - Women''s Team Sprint]],MATCH(Table92[[#This Row],[Country]],Tabela1[Country], 0),0))</f>
        <v>0</v>
      </c>
      <c r="BC164" s="6">
        <f>SUM(INDEX(Tabela1[[Curling - Men''s Tournament]:[Curling - Mixed Doubles]],MATCH(Table92[[#This Row],[Country]],Tabela1[Country], 0),0))</f>
        <v>0</v>
      </c>
      <c r="BD164" s="6">
        <f>SUM(INDEX(Tabela1[[Figure Skating - Men''s Singles]:[Figure Skating - Team Event]],MATCH(Table92[[#This Row],[Country]],Tabela1[Country], 0),0))</f>
        <v>0</v>
      </c>
      <c r="BE164" s="6">
        <f>SUM(INDEX(Tabela1[[Freestyle Skiing - Men''s Aerials]:[Freestyle Skiing - Women''s Slopestyle]],MATCH(Table92[[#This Row],[Country]],Tabela1[Country], 0),0))</f>
        <v>0</v>
      </c>
      <c r="BF164" s="6">
        <f>SUM(INDEX(Tabela1[[Ice Hockey - Men''s Tournament]:[Ice Hockey - Women''s Tournament]],MATCH(Table92[[#This Row],[Country]],Tabela1[Country], 0),0))</f>
        <v>0</v>
      </c>
      <c r="BG164" s="6">
        <f>SUM(INDEX(Tabela1[[Luge - Men''s Singles]:[Luge - Mixed Team Relay]],MATCH(Table92[[#This Row],[Country]],Tabela1[Country], 0),0))</f>
        <v>0</v>
      </c>
      <c r="BH164" s="6">
        <f>SUM(INDEX(Tabela1[[Nordic Combined - Men''s Individual]:[Nordic Combined - Men''s Team Sprint Large Hill]],MATCH(Table92[[#This Row],[Country]],Tabela1[Country], 0),0))</f>
        <v>0</v>
      </c>
      <c r="BI164" s="6">
        <f>SUM(INDEX(Tabela1[[Short track speed skating - Men''s 500m]:[Short track speed skating - Mixed 2000m Relay]],MATCH(Table92[[#This Row],[Country]],Tabela1[Country], 0),0))</f>
        <v>0</v>
      </c>
      <c r="BJ164" s="6">
        <f>SUM(INDEX(Tabela1[[Skeleton - Men''s Individual]:[Skeleton - Mixed Team]],MATCH(Table92[[#This Row],[Country]],Tabela1[Country], 0),0))</f>
        <v>0</v>
      </c>
      <c r="BK164" s="6">
        <f>SUM(INDEX(Tabela1[[Ski Jumping - Men''s Individual Large Hill]:[Ski Jumping - Mixed Team Normal Hill]],MATCH(Table92[[#This Row],[Country]],Tabela1[Country], 0),0))</f>
        <v>0</v>
      </c>
      <c r="BL164" s="6">
        <f>SUM(INDEX(Tabela1[[Ski Mountaineering - Men''s Sprint]:[Ski Mountaineering - Mixed Relay]],MATCH(Table92[[#This Row],[Country]],Tabela1[Country], 0),0))</f>
        <v>0</v>
      </c>
      <c r="BM164" s="6">
        <f>SUM(INDEX(Tabela1[[Snowboarding - Men''s Big Air]:[Snowboarding - Mixed Team Snowboard Cross]],MATCH(Table92[[#This Row],[Country]],Tabela1[Country], 0),0))</f>
        <v>0</v>
      </c>
      <c r="BN164" s="6">
        <f>SUM(INDEX(Tabela1[[Speed Skating - Men''s 500m]:[Speed Skating - Women''s Team Pursuit]],MATCH(Table92[[#This Row],[Country]],Tabela1[Country], 0),0))</f>
        <v>0</v>
      </c>
      <c r="BO164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64" s="6">
        <f>SUM(Table92[[#This Row],[Summer Sports]:[Winter Sports]])</f>
        <v>0</v>
      </c>
      <c r="BQ164" s="6">
        <f>COUNTIF(Table92[[#This Row],[Archery Quotas]:[Wrestling Quotas]],"&lt;&gt;0")</f>
        <v>0</v>
      </c>
      <c r="BR164" s="6">
        <f>COUNTIF(Table92[[#This Row],[Alpine Skiing Quotas]:[Speed Skating Quotas]],"&lt;&gt;0")</f>
        <v>0</v>
      </c>
      <c r="BS164" s="4" t="s">
        <v>549</v>
      </c>
    </row>
    <row r="165" spans="1:71" x14ac:dyDescent="0.3">
      <c r="A165" s="6" t="s">
        <v>550</v>
      </c>
      <c r="B165" t="e" vm="171">
        <f>IF(ISBLANK(Table92[[#This Row],[Flag Link]]), "", _xlfn.IMAGE(Table92[[#This Row],[Flag Link]],1,1))</f>
        <v>#VALUE!</v>
      </c>
      <c r="C165" s="6">
        <f>SUM(Table92[[#This Row],[Archery Quotas]:[Speed Skating Quotas]])</f>
        <v>0</v>
      </c>
      <c r="D165" s="6">
        <f>SUM(INDEX(Tabela1[[Archery - Men''s Individual Recurve]:[Archery - Mixed Team Recurve]],MATCH(Table92[[#This Row],[Country]],Tabela1[Country], 0),0))</f>
        <v>0</v>
      </c>
      <c r="E165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65" s="6">
        <f>SUM(INDEX(Tabela1[[Artistic Swimming - Women''s Duet]:[Artistic Swimming - Women''s Team]],MATCH(Table92[[#This Row],[Country]],Tabela1[Country], 0),0))</f>
        <v>0</v>
      </c>
      <c r="G165" s="6">
        <f>SUM(INDEX(Tabela1[[Athletics - Men''s 100m]:[Athletics - Women''s Heptathlon]],MATCH(Table92[[#This Row],[Country]],Tabela1[Country], 0),0))</f>
        <v>0</v>
      </c>
      <c r="H165" s="6">
        <f>SUM(INDEX(Tabela1[[Badminton - Men''s Singles]:[Badminton - Mixed Doubles]],MATCH(Table92[[#This Row],[Country]],Tabela1[Country], 0),0))</f>
        <v>0</v>
      </c>
      <c r="I165" s="6">
        <f>SUM(INDEX(Tabela1[[Basketball - Men''s Tournament]:[Basketball - Women''s Tournament]],MATCH(Table92[[#This Row],[Country]],Tabela1[Country], 0),0))</f>
        <v>0</v>
      </c>
      <c r="J165" s="6">
        <f>SUM(INDEX(Tabela1[[3x3 Basketball - Men''s Tournament]:[3x3 Basketball - Women''s Tournament]],MATCH(Table92[[#This Row],[Country]],Tabela1[Country], 0),0))</f>
        <v>0</v>
      </c>
      <c r="K165" s="6">
        <f>SUM(INDEX(Tabela1[[Beach Volleyball - Men''s Tournament]:[Beach Volleyball - Women''s Tournament]],MATCH(Table92[[#This Row],[Country]],Tabela1[Country], 0),0))</f>
        <v>0</v>
      </c>
      <c r="L165" s="6">
        <f>SUM(INDEX(Tabela1[[Boxing - Men''s 51kg]:[Boxing - Women''s 75kg]],MATCH(Table92[[#This Row],[Country]],Tabela1[Country], 0),0))</f>
        <v>0</v>
      </c>
      <c r="M165" s="6">
        <f>SUM(INDEX(Tabela1[[Breaking - Men''s Individual]:[Breaking - Women''s Individual]],MATCH(Table92[[#This Row],[Country]],Tabela1[Country], 0),0))</f>
        <v>0</v>
      </c>
      <c r="N165" s="6">
        <f>SUM(INDEX(Tabela1[[Canoeing - Men''s C1 Slalom]:[Canoeing - Women''s Kayak Cross Slalom]],MATCH(Table92[[#This Row],[Country]],Tabela1[Country], 0),0))</f>
        <v>0</v>
      </c>
      <c r="O165" s="6">
        <f>SUM(INDEX(Tabela1[[Canoeing - Women''s C1 200m]:[Canoeing - Women''s K4 500m]],MATCH(Table92[[#This Row],[Country]],Tabela1[Country], 0),0))</f>
        <v>0</v>
      </c>
      <c r="P165" s="6">
        <f>SUM(INDEX(Tabela1[[Cycling - Men''s BMX Freestyle]:[Cycling - Women''s BMX Freestyle]],MATCH(Table92[[#This Row],[Country]],Tabela1[Country], 0),0))</f>
        <v>0</v>
      </c>
      <c r="Q165" s="6">
        <f>SUM(INDEX(Tabela1[[Cycling - Men''s BMX Racing]:[Cycling - Women''s BMX Racing]],MATCH(Table92[[#This Row],[Country]],Tabela1[Country], 0),0))</f>
        <v>0</v>
      </c>
      <c r="R165" s="6">
        <f>SUM(INDEX(Tabela1[[Cycling - Men''s Cross-Country]:[Cycling - Women''s Cross-Country]],MATCH(Table92[[#This Row],[Country]],Tabela1[Country], 0),0))</f>
        <v>0</v>
      </c>
      <c r="S165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65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65" s="6">
        <f>SUM(INDEX(Tabela1[[Diving - Men''s Springboard]:[Diving - Women''s Synchronized Platform]],MATCH(Table92[[#This Row],[Country]],Tabela1[Country], 0),0))</f>
        <v>0</v>
      </c>
      <c r="V165" s="6">
        <f>SUM(INDEX(Tabela1[[Equestrian - Individual Dressage]:[Equestrian - Team Dressage]],MATCH(Table92[[#This Row],[Country]],Tabela1[Country], 0),0))</f>
        <v>0</v>
      </c>
      <c r="W165" s="6">
        <f>SUM(INDEX(Tabela1[[Equestrian - Individual Eventing]:[Equestrian - Team Eventing]],MATCH(Table92[[#This Row],[Country]],Tabela1[Country], 0),0))</f>
        <v>0</v>
      </c>
      <c r="X165" s="6">
        <f>SUM(INDEX(Tabela1[[Equestrian - Individual Jumping]:[Equestrian - Team Jumping]],MATCH(Table92[[#This Row],[Country]],Tabela1[Country], 0),0))</f>
        <v>0</v>
      </c>
      <c r="Y165" s="6">
        <f>SUM(INDEX(Tabela1[[Fencing - Men''s Épée]:[Fencing - Women''s Team Sabre]],MATCH(Table92[[#This Row],[Country]],Tabela1[Country], 0),0))</f>
        <v>0</v>
      </c>
      <c r="Z165" s="6">
        <f>SUM(INDEX(Tabela1[[Field Hockey - Men''s Tournament]:[Field Hockey - Women''s Tournament]],MATCH(Table92[[#This Row],[Country]],Tabela1[Country], 0),0))</f>
        <v>0</v>
      </c>
      <c r="AA165" s="6">
        <f>SUM(INDEX(Tabela1[[Football - Men''s Tournament]:[Football - Women''s Tournament]],MATCH(Table92[[#This Row],[Country]],Tabela1[Country], 0),0))</f>
        <v>0</v>
      </c>
      <c r="AB165" s="6">
        <f>SUM(INDEX(Tabela1[[Golf - Men''s Individual]:[Golf - Women''s Individual]],MATCH(Table92[[#This Row],[Country]],Tabela1[Country], 0),0))</f>
        <v>0</v>
      </c>
      <c r="AC165" s="6">
        <f>SUM(INDEX(Tabela1[[Handball - Men''s Tournament]:[Handball - Women''s Tournament]],MATCH(Table92[[#This Row],[Country]],Tabela1[Country], 0),0))</f>
        <v>0</v>
      </c>
      <c r="AD165" s="6">
        <f>SUM(INDEX(Tabela1[[Judo - Men''s 60kg]:[Judo - Mixed Team]],MATCH(Table92[[#This Row],[Country]],Tabela1[Country], 0),0))</f>
        <v>0</v>
      </c>
      <c r="AE165" s="6">
        <f>SUM(INDEX(Tabela1[[Swimming - Men''s 10km Open Water]:[Swimming - Women''s 10km Open Water]],MATCH(Table92[[#This Row],[Country]],Tabela1[Country], 0),0))</f>
        <v>0</v>
      </c>
      <c r="AF165" s="6">
        <f>SUM(INDEX(Tabela1[[Modern Pentathlon - Men''s Individual]:[Modern Pentathlon - Women''s Individual]],MATCH(Table92[[#This Row],[Country]],Tabela1[Country], 0),0))</f>
        <v>0</v>
      </c>
      <c r="AG165" s="6">
        <f>SUM(INDEX(Tabela1[[Rhythmic Gymnastics - Women''s Individual All-Around]:[Rhythmic Gymnastics - Women''s Group All-Around]],MATCH(Table92[[#This Row],[Country]],Tabela1[Country], 0),0))</f>
        <v>0</v>
      </c>
      <c r="AH165" s="6">
        <f>SUM(INDEX(Tabela1[[Rowing - Men''s Single Sculls]:[Rowing - Women''s Lwt. Double Sculls]],MATCH(Table92[[#This Row],[Country]],Tabela1[Country], 0),0))</f>
        <v>0</v>
      </c>
      <c r="AI165" s="6">
        <f>SUM(INDEX(Tabela1[[Rugby Sevens - Men''s Tournament]:[Rugby Sevens - Women''s Tournament]],MATCH(Table92[[#This Row],[Country]],Tabela1[Country], 0),0))</f>
        <v>0</v>
      </c>
      <c r="AJ165" s="6">
        <f>SUM(INDEX(Tabela1[[Sailing - Mixed 470]:[Sailing - Mixed Nacra 17]],MATCH(Table92[[#This Row],[Country]],Tabela1[Country], 0),0))</f>
        <v>0</v>
      </c>
      <c r="AK165" s="6">
        <f>SUM(INDEX(Tabela1[[Shooting - Men''s 10m Air Pistol]:[Shooting - Women''s Trap]],MATCH(Table92[[#This Row],[Country]],Tabela1[Country], 0),0))</f>
        <v>0</v>
      </c>
      <c r="AL165" s="6">
        <f>SUM(INDEX(Tabela1[[Skateboarding - Men''s Park]:[Skateboarding - Women''s Street]],MATCH(Table92[[#This Row],[Country]],Tabela1[Country], 0),0))</f>
        <v>0</v>
      </c>
      <c r="AM165" s="6">
        <f>SUM(INDEX(Tabela1[[Sport Climbing - Men''s Boulder and Lead]:[Sport Climbing - Women''s Speed]],MATCH(Table92[[#This Row],[Country]],Tabela1[Country], 0),0))</f>
        <v>0</v>
      </c>
      <c r="AN165" s="6">
        <f>SUM(INDEX(Tabela1[[Surfing - Men''s Shortboard]:[Surfing - Women''s Shortboard]],MATCH(Table92[[#This Row],[Country]],Tabela1[Country], 0),0))</f>
        <v>0</v>
      </c>
      <c r="AO165" s="6">
        <f>SUM(INDEX(Tabela1[[Swimming - Men''s 50m Freestyle]:[Swimming - Mixed 4x100m Medley Relay]],MATCH(Table92[[#This Row],[Country]],Tabela1[Country], 0),0))</f>
        <v>0</v>
      </c>
      <c r="AP165" s="6">
        <f>SUM(INDEX(Tabela1[[Table Tennis - Men''s Singles]:[Table Tennis - Mixed Doubles]],MATCH(Table92[[#This Row],[Country]],Tabela1[Country], 0),0))</f>
        <v>0</v>
      </c>
      <c r="AQ165" s="6">
        <f>SUM(INDEX(Tabela1[[Taekwondo - Men''s 58kg]:[Taekwondo - Women''s +67kg]],MATCH(Table92[[#This Row],[Country]],Tabela1[Country], 0),0))</f>
        <v>0</v>
      </c>
      <c r="AR165" s="6">
        <f>SUM(INDEX(Tabela1[[Tennis - Men''s Singles]:[Tennis - Mixed Doubles]],MATCH(Table92[[#This Row],[Country]],Tabela1[Country], 0),0))</f>
        <v>0</v>
      </c>
      <c r="AS165" s="6">
        <f>SUM(INDEX(Tabela1[[Gymnastics - Men''s Trampoline]:[Gymnastics - Women''s Trampoline]],MATCH(Table92[[#This Row],[Country]],Tabela1[Country], 0),0))</f>
        <v>0</v>
      </c>
      <c r="AT165" s="6">
        <f>SUM(INDEX(Tabela1[[Triathlon - Men''s Individual]:[Triathlon - Mixed Relay]],MATCH(Table92[[#This Row],[Country]],Tabela1[Country], 0),0))</f>
        <v>0</v>
      </c>
      <c r="AU165" s="6">
        <f>SUM(INDEX(Tabela1[[Volleyball - Men''s Tournament]:[Volleyball - Women''s Tournament]],MATCH(Table92[[#This Row],[Country]],Tabela1[Country], 0),0))</f>
        <v>0</v>
      </c>
      <c r="AV165" s="6">
        <f>SUM(INDEX(Tabela1[[Water Polo - Men''s Tournament]:[Water Polo - Women''s Tournament]],MATCH(Table92[[#This Row],[Country]],Tabela1[Country], 0),0))</f>
        <v>0</v>
      </c>
      <c r="AW165" s="6">
        <f>SUM(INDEX(Tabela1[[Weightlifting - Men''s 61kg]:[Weightlifting - Women''s +81kg]],MATCH(Table92[[#This Row],[Country]],Tabela1[Country], 0),0))</f>
        <v>0</v>
      </c>
      <c r="AX165" s="6">
        <f>SUM(INDEX(Tabela1[[Wrestling - Men''s Freestyle 57kg]:[Wrestling - Women''s Freestyle 76kg]],MATCH(Table92[[#This Row],[Country]],Tabela1[Country], 0),0))</f>
        <v>0</v>
      </c>
      <c r="AY165" s="6">
        <f>SUM(INDEX(Tabela1[[Alpine Skiing - Men''s Downhill]:[Alpine Skiing - Women''s Team Combined]],MATCH(Table92[[#This Row],[Country]],Tabela1[Country], 0),0))</f>
        <v>0</v>
      </c>
      <c r="AZ165" s="6">
        <f>SUM(INDEX(Tabela1[[Biathlon - Men''s Individual]:[Biathlon - Mixed Relay]],MATCH(Table92[[#This Row],[Country]],Tabela1[Country], 0),0))</f>
        <v>0</v>
      </c>
      <c r="BA165" s="6">
        <f>SUM(INDEX(Tabela1[[Bobsleigh - Women''s Monobob]:[Bobsleigh - Men''s Four]],MATCH(Table92[[#This Row],[Country]],Tabela1[Country], 0),0))</f>
        <v>0</v>
      </c>
      <c r="BB165" s="6">
        <f>SUM(INDEX(Tabela1[[Cross-country skiing - Men''s Classical]:[Cross-country skiing - Women''s Team Sprint]],MATCH(Table92[[#This Row],[Country]],Tabela1[Country], 0),0))</f>
        <v>0</v>
      </c>
      <c r="BC165" s="6">
        <f>SUM(INDEX(Tabela1[[Curling - Men''s Tournament]:[Curling - Mixed Doubles]],MATCH(Table92[[#This Row],[Country]],Tabela1[Country], 0),0))</f>
        <v>0</v>
      </c>
      <c r="BD165" s="6">
        <f>SUM(INDEX(Tabela1[[Figure Skating - Men''s Singles]:[Figure Skating - Team Event]],MATCH(Table92[[#This Row],[Country]],Tabela1[Country], 0),0))</f>
        <v>0</v>
      </c>
      <c r="BE165" s="6">
        <f>SUM(INDEX(Tabela1[[Freestyle Skiing - Men''s Aerials]:[Freestyle Skiing - Women''s Slopestyle]],MATCH(Table92[[#This Row],[Country]],Tabela1[Country], 0),0))</f>
        <v>0</v>
      </c>
      <c r="BF165" s="6">
        <f>SUM(INDEX(Tabela1[[Ice Hockey - Men''s Tournament]:[Ice Hockey - Women''s Tournament]],MATCH(Table92[[#This Row],[Country]],Tabela1[Country], 0),0))</f>
        <v>0</v>
      </c>
      <c r="BG165" s="6">
        <f>SUM(INDEX(Tabela1[[Luge - Men''s Singles]:[Luge - Mixed Team Relay]],MATCH(Table92[[#This Row],[Country]],Tabela1[Country], 0),0))</f>
        <v>0</v>
      </c>
      <c r="BH165" s="6">
        <f>SUM(INDEX(Tabela1[[Nordic Combined - Men''s Individual]:[Nordic Combined - Men''s Team Sprint Large Hill]],MATCH(Table92[[#This Row],[Country]],Tabela1[Country], 0),0))</f>
        <v>0</v>
      </c>
      <c r="BI165" s="6">
        <f>SUM(INDEX(Tabela1[[Short track speed skating - Men''s 500m]:[Short track speed skating - Mixed 2000m Relay]],MATCH(Table92[[#This Row],[Country]],Tabela1[Country], 0),0))</f>
        <v>0</v>
      </c>
      <c r="BJ165" s="6">
        <f>SUM(INDEX(Tabela1[[Skeleton - Men''s Individual]:[Skeleton - Mixed Team]],MATCH(Table92[[#This Row],[Country]],Tabela1[Country], 0),0))</f>
        <v>0</v>
      </c>
      <c r="BK165" s="6">
        <f>SUM(INDEX(Tabela1[[Ski Jumping - Men''s Individual Large Hill]:[Ski Jumping - Mixed Team Normal Hill]],MATCH(Table92[[#This Row],[Country]],Tabela1[Country], 0),0))</f>
        <v>0</v>
      </c>
      <c r="BL165" s="6">
        <f>SUM(INDEX(Tabela1[[Ski Mountaineering - Men''s Sprint]:[Ski Mountaineering - Mixed Relay]],MATCH(Table92[[#This Row],[Country]],Tabela1[Country], 0),0))</f>
        <v>0</v>
      </c>
      <c r="BM165" s="6">
        <f>SUM(INDEX(Tabela1[[Snowboarding - Men''s Big Air]:[Snowboarding - Mixed Team Snowboard Cross]],MATCH(Table92[[#This Row],[Country]],Tabela1[Country], 0),0))</f>
        <v>0</v>
      </c>
      <c r="BN165" s="6">
        <f>SUM(INDEX(Tabela1[[Speed Skating - Men''s 500m]:[Speed Skating - Women''s Team Pursuit]],MATCH(Table92[[#This Row],[Country]],Tabela1[Country], 0),0))</f>
        <v>0</v>
      </c>
      <c r="BO165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65" s="6">
        <f>SUM(Table92[[#This Row],[Summer Sports]:[Winter Sports]])</f>
        <v>0</v>
      </c>
      <c r="BQ165" s="6">
        <f>COUNTIF(Table92[[#This Row],[Archery Quotas]:[Wrestling Quotas]],"&lt;&gt;0")</f>
        <v>0</v>
      </c>
      <c r="BR165" s="6">
        <f>COUNTIF(Table92[[#This Row],[Alpine Skiing Quotas]:[Speed Skating Quotas]],"&lt;&gt;0")</f>
        <v>0</v>
      </c>
      <c r="BS165" s="4" t="s">
        <v>551</v>
      </c>
    </row>
    <row r="166" spans="1:71" x14ac:dyDescent="0.3">
      <c r="A166" s="6" t="s">
        <v>556</v>
      </c>
      <c r="B166" t="e" vm="172">
        <f>IF(ISBLANK(Table92[[#This Row],[Flag Link]]), "", _xlfn.IMAGE(Table92[[#This Row],[Flag Link]],1,1))</f>
        <v>#VALUE!</v>
      </c>
      <c r="C166" s="6">
        <f>SUM(Table92[[#This Row],[Archery Quotas]:[Speed Skating Quotas]])</f>
        <v>0</v>
      </c>
      <c r="D166" s="6">
        <f>SUM(INDEX(Tabela1[[Archery - Men''s Individual Recurve]:[Archery - Mixed Team Recurve]],MATCH(Table92[[#This Row],[Country]],Tabela1[Country], 0),0))</f>
        <v>0</v>
      </c>
      <c r="E166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66" s="6">
        <f>SUM(INDEX(Tabela1[[Artistic Swimming - Women''s Duet]:[Artistic Swimming - Women''s Team]],MATCH(Table92[[#This Row],[Country]],Tabela1[Country], 0),0))</f>
        <v>0</v>
      </c>
      <c r="G166" s="6">
        <f>SUM(INDEX(Tabela1[[Athletics - Men''s 100m]:[Athletics - Women''s Heptathlon]],MATCH(Table92[[#This Row],[Country]],Tabela1[Country], 0),0))</f>
        <v>0</v>
      </c>
      <c r="H166" s="6">
        <f>SUM(INDEX(Tabela1[[Badminton - Men''s Singles]:[Badminton - Mixed Doubles]],MATCH(Table92[[#This Row],[Country]],Tabela1[Country], 0),0))</f>
        <v>0</v>
      </c>
      <c r="I166" s="6">
        <f>SUM(INDEX(Tabela1[[Basketball - Men''s Tournament]:[Basketball - Women''s Tournament]],MATCH(Table92[[#This Row],[Country]],Tabela1[Country], 0),0))</f>
        <v>0</v>
      </c>
      <c r="J166" s="6">
        <f>SUM(INDEX(Tabela1[[3x3 Basketball - Men''s Tournament]:[3x3 Basketball - Women''s Tournament]],MATCH(Table92[[#This Row],[Country]],Tabela1[Country], 0),0))</f>
        <v>0</v>
      </c>
      <c r="K166" s="6">
        <f>SUM(INDEX(Tabela1[[Beach Volleyball - Men''s Tournament]:[Beach Volleyball - Women''s Tournament]],MATCH(Table92[[#This Row],[Country]],Tabela1[Country], 0),0))</f>
        <v>0</v>
      </c>
      <c r="L166" s="6">
        <f>SUM(INDEX(Tabela1[[Boxing - Men''s 51kg]:[Boxing - Women''s 75kg]],MATCH(Table92[[#This Row],[Country]],Tabela1[Country], 0),0))</f>
        <v>0</v>
      </c>
      <c r="M166" s="6">
        <f>SUM(INDEX(Tabela1[[Breaking - Men''s Individual]:[Breaking - Women''s Individual]],MATCH(Table92[[#This Row],[Country]],Tabela1[Country], 0),0))</f>
        <v>0</v>
      </c>
      <c r="N166" s="6">
        <f>SUM(INDEX(Tabela1[[Canoeing - Men''s C1 Slalom]:[Canoeing - Women''s Kayak Cross Slalom]],MATCH(Table92[[#This Row],[Country]],Tabela1[Country], 0),0))</f>
        <v>0</v>
      </c>
      <c r="O166" s="6">
        <f>SUM(INDEX(Tabela1[[Canoeing - Women''s C1 200m]:[Canoeing - Women''s K4 500m]],MATCH(Table92[[#This Row],[Country]],Tabela1[Country], 0),0))</f>
        <v>0</v>
      </c>
      <c r="P166" s="6">
        <f>SUM(INDEX(Tabela1[[Cycling - Men''s BMX Freestyle]:[Cycling - Women''s BMX Freestyle]],MATCH(Table92[[#This Row],[Country]],Tabela1[Country], 0),0))</f>
        <v>0</v>
      </c>
      <c r="Q166" s="6">
        <f>SUM(INDEX(Tabela1[[Cycling - Men''s BMX Racing]:[Cycling - Women''s BMX Racing]],MATCH(Table92[[#This Row],[Country]],Tabela1[Country], 0),0))</f>
        <v>0</v>
      </c>
      <c r="R166" s="6">
        <f>SUM(INDEX(Tabela1[[Cycling - Men''s Cross-Country]:[Cycling - Women''s Cross-Country]],MATCH(Table92[[#This Row],[Country]],Tabela1[Country], 0),0))</f>
        <v>0</v>
      </c>
      <c r="S166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66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66" s="6">
        <f>SUM(INDEX(Tabela1[[Diving - Men''s Springboard]:[Diving - Women''s Synchronized Platform]],MATCH(Table92[[#This Row],[Country]],Tabela1[Country], 0),0))</f>
        <v>0</v>
      </c>
      <c r="V166" s="6">
        <f>SUM(INDEX(Tabela1[[Equestrian - Individual Dressage]:[Equestrian - Team Dressage]],MATCH(Table92[[#This Row],[Country]],Tabela1[Country], 0),0))</f>
        <v>0</v>
      </c>
      <c r="W166" s="6">
        <f>SUM(INDEX(Tabela1[[Equestrian - Individual Eventing]:[Equestrian - Team Eventing]],MATCH(Table92[[#This Row],[Country]],Tabela1[Country], 0),0))</f>
        <v>0</v>
      </c>
      <c r="X166" s="6">
        <f>SUM(INDEX(Tabela1[[Equestrian - Individual Jumping]:[Equestrian - Team Jumping]],MATCH(Table92[[#This Row],[Country]],Tabela1[Country], 0),0))</f>
        <v>0</v>
      </c>
      <c r="Y166" s="6">
        <f>SUM(INDEX(Tabela1[[Fencing - Men''s Épée]:[Fencing - Women''s Team Sabre]],MATCH(Table92[[#This Row],[Country]],Tabela1[Country], 0),0))</f>
        <v>0</v>
      </c>
      <c r="Z166" s="6">
        <f>SUM(INDEX(Tabela1[[Field Hockey - Men''s Tournament]:[Field Hockey - Women''s Tournament]],MATCH(Table92[[#This Row],[Country]],Tabela1[Country], 0),0))</f>
        <v>0</v>
      </c>
      <c r="AA166" s="6">
        <f>SUM(INDEX(Tabela1[[Football - Men''s Tournament]:[Football - Women''s Tournament]],MATCH(Table92[[#This Row],[Country]],Tabela1[Country], 0),0))</f>
        <v>0</v>
      </c>
      <c r="AB166" s="6">
        <f>SUM(INDEX(Tabela1[[Golf - Men''s Individual]:[Golf - Women''s Individual]],MATCH(Table92[[#This Row],[Country]],Tabela1[Country], 0),0))</f>
        <v>0</v>
      </c>
      <c r="AC166" s="6">
        <f>SUM(INDEX(Tabela1[[Handball - Men''s Tournament]:[Handball - Women''s Tournament]],MATCH(Table92[[#This Row],[Country]],Tabela1[Country], 0),0))</f>
        <v>0</v>
      </c>
      <c r="AD166" s="6">
        <f>SUM(INDEX(Tabela1[[Judo - Men''s 60kg]:[Judo - Mixed Team]],MATCH(Table92[[#This Row],[Country]],Tabela1[Country], 0),0))</f>
        <v>0</v>
      </c>
      <c r="AE166" s="6">
        <f>SUM(INDEX(Tabela1[[Swimming - Men''s 10km Open Water]:[Swimming - Women''s 10km Open Water]],MATCH(Table92[[#This Row],[Country]],Tabela1[Country], 0),0))</f>
        <v>0</v>
      </c>
      <c r="AF166" s="6">
        <f>SUM(INDEX(Tabela1[[Modern Pentathlon - Men''s Individual]:[Modern Pentathlon - Women''s Individual]],MATCH(Table92[[#This Row],[Country]],Tabela1[Country], 0),0))</f>
        <v>0</v>
      </c>
      <c r="AG166" s="6">
        <f>SUM(INDEX(Tabela1[[Rhythmic Gymnastics - Women''s Individual All-Around]:[Rhythmic Gymnastics - Women''s Group All-Around]],MATCH(Table92[[#This Row],[Country]],Tabela1[Country], 0),0))</f>
        <v>0</v>
      </c>
      <c r="AH166" s="6">
        <f>SUM(INDEX(Tabela1[[Rowing - Men''s Single Sculls]:[Rowing - Women''s Lwt. Double Sculls]],MATCH(Table92[[#This Row],[Country]],Tabela1[Country], 0),0))</f>
        <v>0</v>
      </c>
      <c r="AI166" s="6">
        <f>SUM(INDEX(Tabela1[[Rugby Sevens - Men''s Tournament]:[Rugby Sevens - Women''s Tournament]],MATCH(Table92[[#This Row],[Country]],Tabela1[Country], 0),0))</f>
        <v>0</v>
      </c>
      <c r="AJ166" s="6">
        <f>SUM(INDEX(Tabela1[[Sailing - Mixed 470]:[Sailing - Mixed Nacra 17]],MATCH(Table92[[#This Row],[Country]],Tabela1[Country], 0),0))</f>
        <v>0</v>
      </c>
      <c r="AK166" s="6">
        <f>SUM(INDEX(Tabela1[[Shooting - Men''s 10m Air Pistol]:[Shooting - Women''s Trap]],MATCH(Table92[[#This Row],[Country]],Tabela1[Country], 0),0))</f>
        <v>0</v>
      </c>
      <c r="AL166" s="6">
        <f>SUM(INDEX(Tabela1[[Skateboarding - Men''s Park]:[Skateboarding - Women''s Street]],MATCH(Table92[[#This Row],[Country]],Tabela1[Country], 0),0))</f>
        <v>0</v>
      </c>
      <c r="AM166" s="6">
        <f>SUM(INDEX(Tabela1[[Sport Climbing - Men''s Boulder and Lead]:[Sport Climbing - Women''s Speed]],MATCH(Table92[[#This Row],[Country]],Tabela1[Country], 0),0))</f>
        <v>0</v>
      </c>
      <c r="AN166" s="6">
        <f>SUM(INDEX(Tabela1[[Surfing - Men''s Shortboard]:[Surfing - Women''s Shortboard]],MATCH(Table92[[#This Row],[Country]],Tabela1[Country], 0),0))</f>
        <v>0</v>
      </c>
      <c r="AO166" s="6">
        <f>SUM(INDEX(Tabela1[[Swimming - Men''s 50m Freestyle]:[Swimming - Mixed 4x100m Medley Relay]],MATCH(Table92[[#This Row],[Country]],Tabela1[Country], 0),0))</f>
        <v>0</v>
      </c>
      <c r="AP166" s="6">
        <f>SUM(INDEX(Tabela1[[Table Tennis - Men''s Singles]:[Table Tennis - Mixed Doubles]],MATCH(Table92[[#This Row],[Country]],Tabela1[Country], 0),0))</f>
        <v>0</v>
      </c>
      <c r="AQ166" s="6">
        <f>SUM(INDEX(Tabela1[[Taekwondo - Men''s 58kg]:[Taekwondo - Women''s +67kg]],MATCH(Table92[[#This Row],[Country]],Tabela1[Country], 0),0))</f>
        <v>0</v>
      </c>
      <c r="AR166" s="6">
        <f>SUM(INDEX(Tabela1[[Tennis - Men''s Singles]:[Tennis - Mixed Doubles]],MATCH(Table92[[#This Row],[Country]],Tabela1[Country], 0),0))</f>
        <v>0</v>
      </c>
      <c r="AS166" s="6">
        <f>SUM(INDEX(Tabela1[[Gymnastics - Men''s Trampoline]:[Gymnastics - Women''s Trampoline]],MATCH(Table92[[#This Row],[Country]],Tabela1[Country], 0),0))</f>
        <v>0</v>
      </c>
      <c r="AT166" s="6">
        <f>SUM(INDEX(Tabela1[[Triathlon - Men''s Individual]:[Triathlon - Mixed Relay]],MATCH(Table92[[#This Row],[Country]],Tabela1[Country], 0),0))</f>
        <v>0</v>
      </c>
      <c r="AU166" s="6">
        <f>SUM(INDEX(Tabela1[[Volleyball - Men''s Tournament]:[Volleyball - Women''s Tournament]],MATCH(Table92[[#This Row],[Country]],Tabela1[Country], 0),0))</f>
        <v>0</v>
      </c>
      <c r="AV166" s="6">
        <f>SUM(INDEX(Tabela1[[Water Polo - Men''s Tournament]:[Water Polo - Women''s Tournament]],MATCH(Table92[[#This Row],[Country]],Tabela1[Country], 0),0))</f>
        <v>0</v>
      </c>
      <c r="AW166" s="6">
        <f>SUM(INDEX(Tabela1[[Weightlifting - Men''s 61kg]:[Weightlifting - Women''s +81kg]],MATCH(Table92[[#This Row],[Country]],Tabela1[Country], 0),0))</f>
        <v>0</v>
      </c>
      <c r="AX166" s="6">
        <f>SUM(INDEX(Tabela1[[Wrestling - Men''s Freestyle 57kg]:[Wrestling - Women''s Freestyle 76kg]],MATCH(Table92[[#This Row],[Country]],Tabela1[Country], 0),0))</f>
        <v>0</v>
      </c>
      <c r="AY166" s="6">
        <f>SUM(INDEX(Tabela1[[Alpine Skiing - Men''s Downhill]:[Alpine Skiing - Women''s Team Combined]],MATCH(Table92[[#This Row],[Country]],Tabela1[Country], 0),0))</f>
        <v>0</v>
      </c>
      <c r="AZ166" s="6">
        <f>SUM(INDEX(Tabela1[[Biathlon - Men''s Individual]:[Biathlon - Mixed Relay]],MATCH(Table92[[#This Row],[Country]],Tabela1[Country], 0),0))</f>
        <v>0</v>
      </c>
      <c r="BA166" s="6">
        <f>SUM(INDEX(Tabela1[[Bobsleigh - Women''s Monobob]:[Bobsleigh - Men''s Four]],MATCH(Table92[[#This Row],[Country]],Tabela1[Country], 0),0))</f>
        <v>0</v>
      </c>
      <c r="BB166" s="6">
        <f>SUM(INDEX(Tabela1[[Cross-country skiing - Men''s Classical]:[Cross-country skiing - Women''s Team Sprint]],MATCH(Table92[[#This Row],[Country]],Tabela1[Country], 0),0))</f>
        <v>0</v>
      </c>
      <c r="BC166" s="6">
        <f>SUM(INDEX(Tabela1[[Curling - Men''s Tournament]:[Curling - Mixed Doubles]],MATCH(Table92[[#This Row],[Country]],Tabela1[Country], 0),0))</f>
        <v>0</v>
      </c>
      <c r="BD166" s="6">
        <f>SUM(INDEX(Tabela1[[Figure Skating - Men''s Singles]:[Figure Skating - Team Event]],MATCH(Table92[[#This Row],[Country]],Tabela1[Country], 0),0))</f>
        <v>0</v>
      </c>
      <c r="BE166" s="6">
        <f>SUM(INDEX(Tabela1[[Freestyle Skiing - Men''s Aerials]:[Freestyle Skiing - Women''s Slopestyle]],MATCH(Table92[[#This Row],[Country]],Tabela1[Country], 0),0))</f>
        <v>0</v>
      </c>
      <c r="BF166" s="6">
        <f>SUM(INDEX(Tabela1[[Ice Hockey - Men''s Tournament]:[Ice Hockey - Women''s Tournament]],MATCH(Table92[[#This Row],[Country]],Tabela1[Country], 0),0))</f>
        <v>0</v>
      </c>
      <c r="BG166" s="6">
        <f>SUM(INDEX(Tabela1[[Luge - Men''s Singles]:[Luge - Mixed Team Relay]],MATCH(Table92[[#This Row],[Country]],Tabela1[Country], 0),0))</f>
        <v>0</v>
      </c>
      <c r="BH166" s="6">
        <f>SUM(INDEX(Tabela1[[Nordic Combined - Men''s Individual]:[Nordic Combined - Men''s Team Sprint Large Hill]],MATCH(Table92[[#This Row],[Country]],Tabela1[Country], 0),0))</f>
        <v>0</v>
      </c>
      <c r="BI166" s="6">
        <f>SUM(INDEX(Tabela1[[Short track speed skating - Men''s 500m]:[Short track speed skating - Mixed 2000m Relay]],MATCH(Table92[[#This Row],[Country]],Tabela1[Country], 0),0))</f>
        <v>0</v>
      </c>
      <c r="BJ166" s="6">
        <f>SUM(INDEX(Tabela1[[Skeleton - Men''s Individual]:[Skeleton - Mixed Team]],MATCH(Table92[[#This Row],[Country]],Tabela1[Country], 0),0))</f>
        <v>0</v>
      </c>
      <c r="BK166" s="6">
        <f>SUM(INDEX(Tabela1[[Ski Jumping - Men''s Individual Large Hill]:[Ski Jumping - Mixed Team Normal Hill]],MATCH(Table92[[#This Row],[Country]],Tabela1[Country], 0),0))</f>
        <v>0</v>
      </c>
      <c r="BL166" s="6">
        <f>SUM(INDEX(Tabela1[[Ski Mountaineering - Men''s Sprint]:[Ski Mountaineering - Mixed Relay]],MATCH(Table92[[#This Row],[Country]],Tabela1[Country], 0),0))</f>
        <v>0</v>
      </c>
      <c r="BM166" s="6">
        <f>SUM(INDEX(Tabela1[[Snowboarding - Men''s Big Air]:[Snowboarding - Mixed Team Snowboard Cross]],MATCH(Table92[[#This Row],[Country]],Tabela1[Country], 0),0))</f>
        <v>0</v>
      </c>
      <c r="BN166" s="6">
        <f>SUM(INDEX(Tabela1[[Speed Skating - Men''s 500m]:[Speed Skating - Women''s Team Pursuit]],MATCH(Table92[[#This Row],[Country]],Tabela1[Country], 0),0))</f>
        <v>0</v>
      </c>
      <c r="BO166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66" s="6">
        <f>SUM(Table92[[#This Row],[Summer Sports]:[Winter Sports]])</f>
        <v>0</v>
      </c>
      <c r="BQ166" s="6">
        <f>COUNTIF(Table92[[#This Row],[Archery Quotas]:[Wrestling Quotas]],"&lt;&gt;0")</f>
        <v>0</v>
      </c>
      <c r="BR166" s="6">
        <f>COUNTIF(Table92[[#This Row],[Alpine Skiing Quotas]:[Speed Skating Quotas]],"&lt;&gt;0")</f>
        <v>0</v>
      </c>
      <c r="BS166" s="4" t="s">
        <v>557</v>
      </c>
    </row>
    <row r="167" spans="1:71" x14ac:dyDescent="0.3">
      <c r="A167" s="6" t="s">
        <v>562</v>
      </c>
      <c r="B167" t="e" vm="155">
        <f>IF(ISBLANK(Table92[[#This Row],[Flag Link]]), "", _xlfn.IMAGE(Table92[[#This Row],[Flag Link]],1,1))</f>
        <v>#VALUE!</v>
      </c>
      <c r="C167" s="6">
        <f>SUM(Table92[[#This Row],[Archery Quotas]:[Speed Skating Quotas]])</f>
        <v>0</v>
      </c>
      <c r="D167" s="6">
        <f>SUM(INDEX(Tabela1[[Archery - Men''s Individual Recurve]:[Archery - Mixed Team Recurve]],MATCH(Table92[[#This Row],[Country]],Tabela1[Country], 0),0))</f>
        <v>0</v>
      </c>
      <c r="E167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67" s="6">
        <f>SUM(INDEX(Tabela1[[Artistic Swimming - Women''s Duet]:[Artistic Swimming - Women''s Team]],MATCH(Table92[[#This Row],[Country]],Tabela1[Country], 0),0))</f>
        <v>0</v>
      </c>
      <c r="G167" s="6">
        <f>SUM(INDEX(Tabela1[[Athletics - Men''s 100m]:[Athletics - Women''s Heptathlon]],MATCH(Table92[[#This Row],[Country]],Tabela1[Country], 0),0))</f>
        <v>0</v>
      </c>
      <c r="H167" s="6">
        <f>SUM(INDEX(Tabela1[[Badminton - Men''s Singles]:[Badminton - Mixed Doubles]],MATCH(Table92[[#This Row],[Country]],Tabela1[Country], 0),0))</f>
        <v>0</v>
      </c>
      <c r="I167" s="6">
        <f>SUM(INDEX(Tabela1[[Basketball - Men''s Tournament]:[Basketball - Women''s Tournament]],MATCH(Table92[[#This Row],[Country]],Tabela1[Country], 0),0))</f>
        <v>0</v>
      </c>
      <c r="J167" s="6">
        <f>SUM(INDEX(Tabela1[[3x3 Basketball - Men''s Tournament]:[3x3 Basketball - Women''s Tournament]],MATCH(Table92[[#This Row],[Country]],Tabela1[Country], 0),0))</f>
        <v>0</v>
      </c>
      <c r="K167" s="6">
        <f>SUM(INDEX(Tabela1[[Beach Volleyball - Men''s Tournament]:[Beach Volleyball - Women''s Tournament]],MATCH(Table92[[#This Row],[Country]],Tabela1[Country], 0),0))</f>
        <v>0</v>
      </c>
      <c r="L167" s="6">
        <f>SUM(INDEX(Tabela1[[Boxing - Men''s 51kg]:[Boxing - Women''s 75kg]],MATCH(Table92[[#This Row],[Country]],Tabela1[Country], 0),0))</f>
        <v>0</v>
      </c>
      <c r="M167" s="6">
        <f>SUM(INDEX(Tabela1[[Breaking - Men''s Individual]:[Breaking - Women''s Individual]],MATCH(Table92[[#This Row],[Country]],Tabela1[Country], 0),0))</f>
        <v>0</v>
      </c>
      <c r="N167" s="6">
        <f>SUM(INDEX(Tabela1[[Canoeing - Men''s C1 Slalom]:[Canoeing - Women''s Kayak Cross Slalom]],MATCH(Table92[[#This Row],[Country]],Tabela1[Country], 0),0))</f>
        <v>0</v>
      </c>
      <c r="O167" s="6">
        <f>SUM(INDEX(Tabela1[[Canoeing - Women''s C1 200m]:[Canoeing - Women''s K4 500m]],MATCH(Table92[[#This Row],[Country]],Tabela1[Country], 0),0))</f>
        <v>0</v>
      </c>
      <c r="P167" s="6">
        <f>SUM(INDEX(Tabela1[[Cycling - Men''s BMX Freestyle]:[Cycling - Women''s BMX Freestyle]],MATCH(Table92[[#This Row],[Country]],Tabela1[Country], 0),0))</f>
        <v>0</v>
      </c>
      <c r="Q167" s="6">
        <f>SUM(INDEX(Tabela1[[Cycling - Men''s BMX Racing]:[Cycling - Women''s BMX Racing]],MATCH(Table92[[#This Row],[Country]],Tabela1[Country], 0),0))</f>
        <v>0</v>
      </c>
      <c r="R167" s="6">
        <f>SUM(INDEX(Tabela1[[Cycling - Men''s Cross-Country]:[Cycling - Women''s Cross-Country]],MATCH(Table92[[#This Row],[Country]],Tabela1[Country], 0),0))</f>
        <v>0</v>
      </c>
      <c r="S167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67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67" s="6">
        <f>SUM(INDEX(Tabela1[[Diving - Men''s Springboard]:[Diving - Women''s Synchronized Platform]],MATCH(Table92[[#This Row],[Country]],Tabela1[Country], 0),0))</f>
        <v>0</v>
      </c>
      <c r="V167" s="6">
        <f>SUM(INDEX(Tabela1[[Equestrian - Individual Dressage]:[Equestrian - Team Dressage]],MATCH(Table92[[#This Row],[Country]],Tabela1[Country], 0),0))</f>
        <v>0</v>
      </c>
      <c r="W167" s="6">
        <f>SUM(INDEX(Tabela1[[Equestrian - Individual Eventing]:[Equestrian - Team Eventing]],MATCH(Table92[[#This Row],[Country]],Tabela1[Country], 0),0))</f>
        <v>0</v>
      </c>
      <c r="X167" s="6">
        <f>SUM(INDEX(Tabela1[[Equestrian - Individual Jumping]:[Equestrian - Team Jumping]],MATCH(Table92[[#This Row],[Country]],Tabela1[Country], 0),0))</f>
        <v>0</v>
      </c>
      <c r="Y167" s="6">
        <f>SUM(INDEX(Tabela1[[Fencing - Men''s Épée]:[Fencing - Women''s Team Sabre]],MATCH(Table92[[#This Row],[Country]],Tabela1[Country], 0),0))</f>
        <v>0</v>
      </c>
      <c r="Z167" s="6">
        <f>SUM(INDEX(Tabela1[[Field Hockey - Men''s Tournament]:[Field Hockey - Women''s Tournament]],MATCH(Table92[[#This Row],[Country]],Tabela1[Country], 0),0))</f>
        <v>0</v>
      </c>
      <c r="AA167" s="6">
        <f>SUM(INDEX(Tabela1[[Football - Men''s Tournament]:[Football - Women''s Tournament]],MATCH(Table92[[#This Row],[Country]],Tabela1[Country], 0),0))</f>
        <v>0</v>
      </c>
      <c r="AB167" s="6">
        <f>SUM(INDEX(Tabela1[[Golf - Men''s Individual]:[Golf - Women''s Individual]],MATCH(Table92[[#This Row],[Country]],Tabela1[Country], 0),0))</f>
        <v>0</v>
      </c>
      <c r="AC167" s="6">
        <f>SUM(INDEX(Tabela1[[Handball - Men''s Tournament]:[Handball - Women''s Tournament]],MATCH(Table92[[#This Row],[Country]],Tabela1[Country], 0),0))</f>
        <v>0</v>
      </c>
      <c r="AD167" s="6">
        <f>SUM(INDEX(Tabela1[[Judo - Men''s 60kg]:[Judo - Mixed Team]],MATCH(Table92[[#This Row],[Country]],Tabela1[Country], 0),0))</f>
        <v>0</v>
      </c>
      <c r="AE167" s="6">
        <f>SUM(INDEX(Tabela1[[Swimming - Men''s 10km Open Water]:[Swimming - Women''s 10km Open Water]],MATCH(Table92[[#This Row],[Country]],Tabela1[Country], 0),0))</f>
        <v>0</v>
      </c>
      <c r="AF167" s="6">
        <f>SUM(INDEX(Tabela1[[Modern Pentathlon - Men''s Individual]:[Modern Pentathlon - Women''s Individual]],MATCH(Table92[[#This Row],[Country]],Tabela1[Country], 0),0))</f>
        <v>0</v>
      </c>
      <c r="AG167" s="6">
        <f>SUM(INDEX(Tabela1[[Rhythmic Gymnastics - Women''s Individual All-Around]:[Rhythmic Gymnastics - Women''s Group All-Around]],MATCH(Table92[[#This Row],[Country]],Tabela1[Country], 0),0))</f>
        <v>0</v>
      </c>
      <c r="AH167" s="6">
        <f>SUM(INDEX(Tabela1[[Rowing - Men''s Single Sculls]:[Rowing - Women''s Lwt. Double Sculls]],MATCH(Table92[[#This Row],[Country]],Tabela1[Country], 0),0))</f>
        <v>0</v>
      </c>
      <c r="AI167" s="6">
        <f>SUM(INDEX(Tabela1[[Rugby Sevens - Men''s Tournament]:[Rugby Sevens - Women''s Tournament]],MATCH(Table92[[#This Row],[Country]],Tabela1[Country], 0),0))</f>
        <v>0</v>
      </c>
      <c r="AJ167" s="6">
        <f>SUM(INDEX(Tabela1[[Sailing - Mixed 470]:[Sailing - Mixed Nacra 17]],MATCH(Table92[[#This Row],[Country]],Tabela1[Country], 0),0))</f>
        <v>0</v>
      </c>
      <c r="AK167" s="6">
        <f>SUM(INDEX(Tabela1[[Shooting - Men''s 10m Air Pistol]:[Shooting - Women''s Trap]],MATCH(Table92[[#This Row],[Country]],Tabela1[Country], 0),0))</f>
        <v>0</v>
      </c>
      <c r="AL167" s="6">
        <f>SUM(INDEX(Tabela1[[Skateboarding - Men''s Park]:[Skateboarding - Women''s Street]],MATCH(Table92[[#This Row],[Country]],Tabela1[Country], 0),0))</f>
        <v>0</v>
      </c>
      <c r="AM167" s="6">
        <f>SUM(INDEX(Tabela1[[Sport Climbing - Men''s Boulder and Lead]:[Sport Climbing - Women''s Speed]],MATCH(Table92[[#This Row],[Country]],Tabela1[Country], 0),0))</f>
        <v>0</v>
      </c>
      <c r="AN167" s="6">
        <f>SUM(INDEX(Tabela1[[Surfing - Men''s Shortboard]:[Surfing - Women''s Shortboard]],MATCH(Table92[[#This Row],[Country]],Tabela1[Country], 0),0))</f>
        <v>0</v>
      </c>
      <c r="AO167" s="6">
        <f>SUM(INDEX(Tabela1[[Swimming - Men''s 50m Freestyle]:[Swimming - Mixed 4x100m Medley Relay]],MATCH(Table92[[#This Row],[Country]],Tabela1[Country], 0),0))</f>
        <v>0</v>
      </c>
      <c r="AP167" s="6">
        <f>SUM(INDEX(Tabela1[[Table Tennis - Men''s Singles]:[Table Tennis - Mixed Doubles]],MATCH(Table92[[#This Row],[Country]],Tabela1[Country], 0),0))</f>
        <v>0</v>
      </c>
      <c r="AQ167" s="6">
        <f>SUM(INDEX(Tabela1[[Taekwondo - Men''s 58kg]:[Taekwondo - Women''s +67kg]],MATCH(Table92[[#This Row],[Country]],Tabela1[Country], 0),0))</f>
        <v>0</v>
      </c>
      <c r="AR167" s="6">
        <f>SUM(INDEX(Tabela1[[Tennis - Men''s Singles]:[Tennis - Mixed Doubles]],MATCH(Table92[[#This Row],[Country]],Tabela1[Country], 0),0))</f>
        <v>0</v>
      </c>
      <c r="AS167" s="6">
        <f>SUM(INDEX(Tabela1[[Gymnastics - Men''s Trampoline]:[Gymnastics - Women''s Trampoline]],MATCH(Table92[[#This Row],[Country]],Tabela1[Country], 0),0))</f>
        <v>0</v>
      </c>
      <c r="AT167" s="6">
        <f>SUM(INDEX(Tabela1[[Triathlon - Men''s Individual]:[Triathlon - Mixed Relay]],MATCH(Table92[[#This Row],[Country]],Tabela1[Country], 0),0))</f>
        <v>0</v>
      </c>
      <c r="AU167" s="6">
        <f>SUM(INDEX(Tabela1[[Volleyball - Men''s Tournament]:[Volleyball - Women''s Tournament]],MATCH(Table92[[#This Row],[Country]],Tabela1[Country], 0),0))</f>
        <v>0</v>
      </c>
      <c r="AV167" s="6">
        <f>SUM(INDEX(Tabela1[[Water Polo - Men''s Tournament]:[Water Polo - Women''s Tournament]],MATCH(Table92[[#This Row],[Country]],Tabela1[Country], 0),0))</f>
        <v>0</v>
      </c>
      <c r="AW167" s="6">
        <f>SUM(INDEX(Tabela1[[Weightlifting - Men''s 61kg]:[Weightlifting - Women''s +81kg]],MATCH(Table92[[#This Row],[Country]],Tabela1[Country], 0),0))</f>
        <v>0</v>
      </c>
      <c r="AX167" s="6">
        <f>SUM(INDEX(Tabela1[[Wrestling - Men''s Freestyle 57kg]:[Wrestling - Women''s Freestyle 76kg]],MATCH(Table92[[#This Row],[Country]],Tabela1[Country], 0),0))</f>
        <v>0</v>
      </c>
      <c r="AY167" s="6">
        <f>SUM(INDEX(Tabela1[[Alpine Skiing - Men''s Downhill]:[Alpine Skiing - Women''s Team Combined]],MATCH(Table92[[#This Row],[Country]],Tabela1[Country], 0),0))</f>
        <v>0</v>
      </c>
      <c r="AZ167" s="6">
        <f>SUM(INDEX(Tabela1[[Biathlon - Men''s Individual]:[Biathlon - Mixed Relay]],MATCH(Table92[[#This Row],[Country]],Tabela1[Country], 0),0))</f>
        <v>0</v>
      </c>
      <c r="BA167" s="6">
        <f>SUM(INDEX(Tabela1[[Bobsleigh - Women''s Monobob]:[Bobsleigh - Men''s Four]],MATCH(Table92[[#This Row],[Country]],Tabela1[Country], 0),0))</f>
        <v>0</v>
      </c>
      <c r="BB167" s="6">
        <f>SUM(INDEX(Tabela1[[Cross-country skiing - Men''s Classical]:[Cross-country skiing - Women''s Team Sprint]],MATCH(Table92[[#This Row],[Country]],Tabela1[Country], 0),0))</f>
        <v>0</v>
      </c>
      <c r="BC167" s="6">
        <f>SUM(INDEX(Tabela1[[Curling - Men''s Tournament]:[Curling - Mixed Doubles]],MATCH(Table92[[#This Row],[Country]],Tabela1[Country], 0),0))</f>
        <v>0</v>
      </c>
      <c r="BD167" s="6">
        <f>SUM(INDEX(Tabela1[[Figure Skating - Men''s Singles]:[Figure Skating - Team Event]],MATCH(Table92[[#This Row],[Country]],Tabela1[Country], 0),0))</f>
        <v>0</v>
      </c>
      <c r="BE167" s="6">
        <f>SUM(INDEX(Tabela1[[Freestyle Skiing - Men''s Aerials]:[Freestyle Skiing - Women''s Slopestyle]],MATCH(Table92[[#This Row],[Country]],Tabela1[Country], 0),0))</f>
        <v>0</v>
      </c>
      <c r="BF167" s="6">
        <f>SUM(INDEX(Tabela1[[Ice Hockey - Men''s Tournament]:[Ice Hockey - Women''s Tournament]],MATCH(Table92[[#This Row],[Country]],Tabela1[Country], 0),0))</f>
        <v>0</v>
      </c>
      <c r="BG167" s="6">
        <f>SUM(INDEX(Tabela1[[Luge - Men''s Singles]:[Luge - Mixed Team Relay]],MATCH(Table92[[#This Row],[Country]],Tabela1[Country], 0),0))</f>
        <v>0</v>
      </c>
      <c r="BH167" s="6">
        <f>SUM(INDEX(Tabela1[[Nordic Combined - Men''s Individual]:[Nordic Combined - Men''s Team Sprint Large Hill]],MATCH(Table92[[#This Row],[Country]],Tabela1[Country], 0),0))</f>
        <v>0</v>
      </c>
      <c r="BI167" s="6">
        <f>SUM(INDEX(Tabela1[[Short track speed skating - Men''s 500m]:[Short track speed skating - Mixed 2000m Relay]],MATCH(Table92[[#This Row],[Country]],Tabela1[Country], 0),0))</f>
        <v>0</v>
      </c>
      <c r="BJ167" s="6">
        <f>SUM(INDEX(Tabela1[[Skeleton - Men''s Individual]:[Skeleton - Mixed Team]],MATCH(Table92[[#This Row],[Country]],Tabela1[Country], 0),0))</f>
        <v>0</v>
      </c>
      <c r="BK167" s="6">
        <f>SUM(INDEX(Tabela1[[Ski Jumping - Men''s Individual Large Hill]:[Ski Jumping - Mixed Team Normal Hill]],MATCH(Table92[[#This Row],[Country]],Tabela1[Country], 0),0))</f>
        <v>0</v>
      </c>
      <c r="BL167" s="6">
        <f>SUM(INDEX(Tabela1[[Ski Mountaineering - Men''s Sprint]:[Ski Mountaineering - Mixed Relay]],MATCH(Table92[[#This Row],[Country]],Tabela1[Country], 0),0))</f>
        <v>0</v>
      </c>
      <c r="BM167" s="6">
        <f>SUM(INDEX(Tabela1[[Snowboarding - Men''s Big Air]:[Snowboarding - Mixed Team Snowboard Cross]],MATCH(Table92[[#This Row],[Country]],Tabela1[Country], 0),0))</f>
        <v>0</v>
      </c>
      <c r="BN167" s="6">
        <f>SUM(INDEX(Tabela1[[Speed Skating - Men''s 500m]:[Speed Skating - Women''s Team Pursuit]],MATCH(Table92[[#This Row],[Country]],Tabela1[Country], 0),0))</f>
        <v>0</v>
      </c>
      <c r="BO167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67" s="6">
        <f>SUM(Table92[[#This Row],[Summer Sports]:[Winter Sports]])</f>
        <v>0</v>
      </c>
      <c r="BQ167" s="6">
        <f>COUNTIF(Table92[[#This Row],[Archery Quotas]:[Wrestling Quotas]],"&lt;&gt;0")</f>
        <v>0</v>
      </c>
      <c r="BR167" s="6">
        <f>COUNTIF(Table92[[#This Row],[Alpine Skiing Quotas]:[Speed Skating Quotas]],"&lt;&gt;0")</f>
        <v>0</v>
      </c>
      <c r="BS167" s="4" t="s">
        <v>563</v>
      </c>
    </row>
    <row r="168" spans="1:71" x14ac:dyDescent="0.3">
      <c r="A168" s="6" t="s">
        <v>564</v>
      </c>
      <c r="B168" t="e" vm="173">
        <f>IF(ISBLANK(Table92[[#This Row],[Flag Link]]), "", _xlfn.IMAGE(Table92[[#This Row],[Flag Link]],1,1))</f>
        <v>#VALUE!</v>
      </c>
      <c r="C168" s="6">
        <f>SUM(Table92[[#This Row],[Archery Quotas]:[Speed Skating Quotas]])</f>
        <v>0</v>
      </c>
      <c r="D168" s="6">
        <f>SUM(INDEX(Tabela1[[Archery - Men''s Individual Recurve]:[Archery - Mixed Team Recurve]],MATCH(Table92[[#This Row],[Country]],Tabela1[Country], 0),0))</f>
        <v>0</v>
      </c>
      <c r="E168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68" s="6">
        <f>SUM(INDEX(Tabela1[[Artistic Swimming - Women''s Duet]:[Artistic Swimming - Women''s Team]],MATCH(Table92[[#This Row],[Country]],Tabela1[Country], 0),0))</f>
        <v>0</v>
      </c>
      <c r="G168" s="6">
        <f>SUM(INDEX(Tabela1[[Athletics - Men''s 100m]:[Athletics - Women''s Heptathlon]],MATCH(Table92[[#This Row],[Country]],Tabela1[Country], 0),0))</f>
        <v>0</v>
      </c>
      <c r="H168" s="6">
        <f>SUM(INDEX(Tabela1[[Badminton - Men''s Singles]:[Badminton - Mixed Doubles]],MATCH(Table92[[#This Row],[Country]],Tabela1[Country], 0),0))</f>
        <v>0</v>
      </c>
      <c r="I168" s="6">
        <f>SUM(INDEX(Tabela1[[Basketball - Men''s Tournament]:[Basketball - Women''s Tournament]],MATCH(Table92[[#This Row],[Country]],Tabela1[Country], 0),0))</f>
        <v>0</v>
      </c>
      <c r="J168" s="6">
        <f>SUM(INDEX(Tabela1[[3x3 Basketball - Men''s Tournament]:[3x3 Basketball - Women''s Tournament]],MATCH(Table92[[#This Row],[Country]],Tabela1[Country], 0),0))</f>
        <v>0</v>
      </c>
      <c r="K168" s="6">
        <f>SUM(INDEX(Tabela1[[Beach Volleyball - Men''s Tournament]:[Beach Volleyball - Women''s Tournament]],MATCH(Table92[[#This Row],[Country]],Tabela1[Country], 0),0))</f>
        <v>0</v>
      </c>
      <c r="L168" s="6">
        <f>SUM(INDEX(Tabela1[[Boxing - Men''s 51kg]:[Boxing - Women''s 75kg]],MATCH(Table92[[#This Row],[Country]],Tabela1[Country], 0),0))</f>
        <v>0</v>
      </c>
      <c r="M168" s="6">
        <f>SUM(INDEX(Tabela1[[Breaking - Men''s Individual]:[Breaking - Women''s Individual]],MATCH(Table92[[#This Row],[Country]],Tabela1[Country], 0),0))</f>
        <v>0</v>
      </c>
      <c r="N168" s="6">
        <f>SUM(INDEX(Tabela1[[Canoeing - Men''s C1 Slalom]:[Canoeing - Women''s Kayak Cross Slalom]],MATCH(Table92[[#This Row],[Country]],Tabela1[Country], 0),0))</f>
        <v>0</v>
      </c>
      <c r="O168" s="6">
        <f>SUM(INDEX(Tabela1[[Canoeing - Women''s C1 200m]:[Canoeing - Women''s K4 500m]],MATCH(Table92[[#This Row],[Country]],Tabela1[Country], 0),0))</f>
        <v>0</v>
      </c>
      <c r="P168" s="6">
        <f>SUM(INDEX(Tabela1[[Cycling - Men''s BMX Freestyle]:[Cycling - Women''s BMX Freestyle]],MATCH(Table92[[#This Row],[Country]],Tabela1[Country], 0),0))</f>
        <v>0</v>
      </c>
      <c r="Q168" s="6">
        <f>SUM(INDEX(Tabela1[[Cycling - Men''s BMX Racing]:[Cycling - Women''s BMX Racing]],MATCH(Table92[[#This Row],[Country]],Tabela1[Country], 0),0))</f>
        <v>0</v>
      </c>
      <c r="R168" s="6">
        <f>SUM(INDEX(Tabela1[[Cycling - Men''s Cross-Country]:[Cycling - Women''s Cross-Country]],MATCH(Table92[[#This Row],[Country]],Tabela1[Country], 0),0))</f>
        <v>0</v>
      </c>
      <c r="S168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68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68" s="6">
        <f>SUM(INDEX(Tabela1[[Diving - Men''s Springboard]:[Diving - Women''s Synchronized Platform]],MATCH(Table92[[#This Row],[Country]],Tabela1[Country], 0),0))</f>
        <v>0</v>
      </c>
      <c r="V168" s="6">
        <f>SUM(INDEX(Tabela1[[Equestrian - Individual Dressage]:[Equestrian - Team Dressage]],MATCH(Table92[[#This Row],[Country]],Tabela1[Country], 0),0))</f>
        <v>0</v>
      </c>
      <c r="W168" s="6">
        <f>SUM(INDEX(Tabela1[[Equestrian - Individual Eventing]:[Equestrian - Team Eventing]],MATCH(Table92[[#This Row],[Country]],Tabela1[Country], 0),0))</f>
        <v>0</v>
      </c>
      <c r="X168" s="6">
        <f>SUM(INDEX(Tabela1[[Equestrian - Individual Jumping]:[Equestrian - Team Jumping]],MATCH(Table92[[#This Row],[Country]],Tabela1[Country], 0),0))</f>
        <v>0</v>
      </c>
      <c r="Y168" s="6">
        <f>SUM(INDEX(Tabela1[[Fencing - Men''s Épée]:[Fencing - Women''s Team Sabre]],MATCH(Table92[[#This Row],[Country]],Tabela1[Country], 0),0))</f>
        <v>0</v>
      </c>
      <c r="Z168" s="6">
        <f>SUM(INDEX(Tabela1[[Field Hockey - Men''s Tournament]:[Field Hockey - Women''s Tournament]],MATCH(Table92[[#This Row],[Country]],Tabela1[Country], 0),0))</f>
        <v>0</v>
      </c>
      <c r="AA168" s="6">
        <f>SUM(INDEX(Tabela1[[Football - Men''s Tournament]:[Football - Women''s Tournament]],MATCH(Table92[[#This Row],[Country]],Tabela1[Country], 0),0))</f>
        <v>0</v>
      </c>
      <c r="AB168" s="6">
        <f>SUM(INDEX(Tabela1[[Golf - Men''s Individual]:[Golf - Women''s Individual]],MATCH(Table92[[#This Row],[Country]],Tabela1[Country], 0),0))</f>
        <v>0</v>
      </c>
      <c r="AC168" s="6">
        <f>SUM(INDEX(Tabela1[[Handball - Men''s Tournament]:[Handball - Women''s Tournament]],MATCH(Table92[[#This Row],[Country]],Tabela1[Country], 0),0))</f>
        <v>0</v>
      </c>
      <c r="AD168" s="6">
        <f>SUM(INDEX(Tabela1[[Judo - Men''s 60kg]:[Judo - Mixed Team]],MATCH(Table92[[#This Row],[Country]],Tabela1[Country], 0),0))</f>
        <v>0</v>
      </c>
      <c r="AE168" s="6">
        <f>SUM(INDEX(Tabela1[[Swimming - Men''s 10km Open Water]:[Swimming - Women''s 10km Open Water]],MATCH(Table92[[#This Row],[Country]],Tabela1[Country], 0),0))</f>
        <v>0</v>
      </c>
      <c r="AF168" s="6">
        <f>SUM(INDEX(Tabela1[[Modern Pentathlon - Men''s Individual]:[Modern Pentathlon - Women''s Individual]],MATCH(Table92[[#This Row],[Country]],Tabela1[Country], 0),0))</f>
        <v>0</v>
      </c>
      <c r="AG168" s="6">
        <f>SUM(INDEX(Tabela1[[Rhythmic Gymnastics - Women''s Individual All-Around]:[Rhythmic Gymnastics - Women''s Group All-Around]],MATCH(Table92[[#This Row],[Country]],Tabela1[Country], 0),0))</f>
        <v>0</v>
      </c>
      <c r="AH168" s="6">
        <f>SUM(INDEX(Tabela1[[Rowing - Men''s Single Sculls]:[Rowing - Women''s Lwt. Double Sculls]],MATCH(Table92[[#This Row],[Country]],Tabela1[Country], 0),0))</f>
        <v>0</v>
      </c>
      <c r="AI168" s="6">
        <f>SUM(INDEX(Tabela1[[Rugby Sevens - Men''s Tournament]:[Rugby Sevens - Women''s Tournament]],MATCH(Table92[[#This Row],[Country]],Tabela1[Country], 0),0))</f>
        <v>0</v>
      </c>
      <c r="AJ168" s="6">
        <f>SUM(INDEX(Tabela1[[Sailing - Mixed 470]:[Sailing - Mixed Nacra 17]],MATCH(Table92[[#This Row],[Country]],Tabela1[Country], 0),0))</f>
        <v>0</v>
      </c>
      <c r="AK168" s="6">
        <f>SUM(INDEX(Tabela1[[Shooting - Men''s 10m Air Pistol]:[Shooting - Women''s Trap]],MATCH(Table92[[#This Row],[Country]],Tabela1[Country], 0),0))</f>
        <v>0</v>
      </c>
      <c r="AL168" s="6">
        <f>SUM(INDEX(Tabela1[[Skateboarding - Men''s Park]:[Skateboarding - Women''s Street]],MATCH(Table92[[#This Row],[Country]],Tabela1[Country], 0),0))</f>
        <v>0</v>
      </c>
      <c r="AM168" s="6">
        <f>SUM(INDEX(Tabela1[[Sport Climbing - Men''s Boulder and Lead]:[Sport Climbing - Women''s Speed]],MATCH(Table92[[#This Row],[Country]],Tabela1[Country], 0),0))</f>
        <v>0</v>
      </c>
      <c r="AN168" s="6">
        <f>SUM(INDEX(Tabela1[[Surfing - Men''s Shortboard]:[Surfing - Women''s Shortboard]],MATCH(Table92[[#This Row],[Country]],Tabela1[Country], 0),0))</f>
        <v>0</v>
      </c>
      <c r="AO168" s="6">
        <f>SUM(INDEX(Tabela1[[Swimming - Men''s 50m Freestyle]:[Swimming - Mixed 4x100m Medley Relay]],MATCH(Table92[[#This Row],[Country]],Tabela1[Country], 0),0))</f>
        <v>0</v>
      </c>
      <c r="AP168" s="6">
        <f>SUM(INDEX(Tabela1[[Table Tennis - Men''s Singles]:[Table Tennis - Mixed Doubles]],MATCH(Table92[[#This Row],[Country]],Tabela1[Country], 0),0))</f>
        <v>0</v>
      </c>
      <c r="AQ168" s="6">
        <f>SUM(INDEX(Tabela1[[Taekwondo - Men''s 58kg]:[Taekwondo - Women''s +67kg]],MATCH(Table92[[#This Row],[Country]],Tabela1[Country], 0),0))</f>
        <v>0</v>
      </c>
      <c r="AR168" s="6">
        <f>SUM(INDEX(Tabela1[[Tennis - Men''s Singles]:[Tennis - Mixed Doubles]],MATCH(Table92[[#This Row],[Country]],Tabela1[Country], 0),0))</f>
        <v>0</v>
      </c>
      <c r="AS168" s="6">
        <f>SUM(INDEX(Tabela1[[Gymnastics - Men''s Trampoline]:[Gymnastics - Women''s Trampoline]],MATCH(Table92[[#This Row],[Country]],Tabela1[Country], 0),0))</f>
        <v>0</v>
      </c>
      <c r="AT168" s="6">
        <f>SUM(INDEX(Tabela1[[Triathlon - Men''s Individual]:[Triathlon - Mixed Relay]],MATCH(Table92[[#This Row],[Country]],Tabela1[Country], 0),0))</f>
        <v>0</v>
      </c>
      <c r="AU168" s="6">
        <f>SUM(INDEX(Tabela1[[Volleyball - Men''s Tournament]:[Volleyball - Women''s Tournament]],MATCH(Table92[[#This Row],[Country]],Tabela1[Country], 0),0))</f>
        <v>0</v>
      </c>
      <c r="AV168" s="6">
        <f>SUM(INDEX(Tabela1[[Water Polo - Men''s Tournament]:[Water Polo - Women''s Tournament]],MATCH(Table92[[#This Row],[Country]],Tabela1[Country], 0),0))</f>
        <v>0</v>
      </c>
      <c r="AW168" s="6">
        <f>SUM(INDEX(Tabela1[[Weightlifting - Men''s 61kg]:[Weightlifting - Women''s +81kg]],MATCH(Table92[[#This Row],[Country]],Tabela1[Country], 0),0))</f>
        <v>0</v>
      </c>
      <c r="AX168" s="6">
        <f>SUM(INDEX(Tabela1[[Wrestling - Men''s Freestyle 57kg]:[Wrestling - Women''s Freestyle 76kg]],MATCH(Table92[[#This Row],[Country]],Tabela1[Country], 0),0))</f>
        <v>0</v>
      </c>
      <c r="AY168" s="6">
        <f>SUM(INDEX(Tabela1[[Alpine Skiing - Men''s Downhill]:[Alpine Skiing - Women''s Team Combined]],MATCH(Table92[[#This Row],[Country]],Tabela1[Country], 0),0))</f>
        <v>0</v>
      </c>
      <c r="AZ168" s="6">
        <f>SUM(INDEX(Tabela1[[Biathlon - Men''s Individual]:[Biathlon - Mixed Relay]],MATCH(Table92[[#This Row],[Country]],Tabela1[Country], 0),0))</f>
        <v>0</v>
      </c>
      <c r="BA168" s="6">
        <f>SUM(INDEX(Tabela1[[Bobsleigh - Women''s Monobob]:[Bobsleigh - Men''s Four]],MATCH(Table92[[#This Row],[Country]],Tabela1[Country], 0),0))</f>
        <v>0</v>
      </c>
      <c r="BB168" s="6">
        <f>SUM(INDEX(Tabela1[[Cross-country skiing - Men''s Classical]:[Cross-country skiing - Women''s Team Sprint]],MATCH(Table92[[#This Row],[Country]],Tabela1[Country], 0),0))</f>
        <v>0</v>
      </c>
      <c r="BC168" s="6">
        <f>SUM(INDEX(Tabela1[[Curling - Men''s Tournament]:[Curling - Mixed Doubles]],MATCH(Table92[[#This Row],[Country]],Tabela1[Country], 0),0))</f>
        <v>0</v>
      </c>
      <c r="BD168" s="6">
        <f>SUM(INDEX(Tabela1[[Figure Skating - Men''s Singles]:[Figure Skating - Team Event]],MATCH(Table92[[#This Row],[Country]],Tabela1[Country], 0),0))</f>
        <v>0</v>
      </c>
      <c r="BE168" s="6">
        <f>SUM(INDEX(Tabela1[[Freestyle Skiing - Men''s Aerials]:[Freestyle Skiing - Women''s Slopestyle]],MATCH(Table92[[#This Row],[Country]],Tabela1[Country], 0),0))</f>
        <v>0</v>
      </c>
      <c r="BF168" s="6">
        <f>SUM(INDEX(Tabela1[[Ice Hockey - Men''s Tournament]:[Ice Hockey - Women''s Tournament]],MATCH(Table92[[#This Row],[Country]],Tabela1[Country], 0),0))</f>
        <v>0</v>
      </c>
      <c r="BG168" s="6">
        <f>SUM(INDEX(Tabela1[[Luge - Men''s Singles]:[Luge - Mixed Team Relay]],MATCH(Table92[[#This Row],[Country]],Tabela1[Country], 0),0))</f>
        <v>0</v>
      </c>
      <c r="BH168" s="6">
        <f>SUM(INDEX(Tabela1[[Nordic Combined - Men''s Individual]:[Nordic Combined - Men''s Team Sprint Large Hill]],MATCH(Table92[[#This Row],[Country]],Tabela1[Country], 0),0))</f>
        <v>0</v>
      </c>
      <c r="BI168" s="6">
        <f>SUM(INDEX(Tabela1[[Short track speed skating - Men''s 500m]:[Short track speed skating - Mixed 2000m Relay]],MATCH(Table92[[#This Row],[Country]],Tabela1[Country], 0),0))</f>
        <v>0</v>
      </c>
      <c r="BJ168" s="6">
        <f>SUM(INDEX(Tabela1[[Skeleton - Men''s Individual]:[Skeleton - Mixed Team]],MATCH(Table92[[#This Row],[Country]],Tabela1[Country], 0),0))</f>
        <v>0</v>
      </c>
      <c r="BK168" s="6">
        <f>SUM(INDEX(Tabela1[[Ski Jumping - Men''s Individual Large Hill]:[Ski Jumping - Mixed Team Normal Hill]],MATCH(Table92[[#This Row],[Country]],Tabela1[Country], 0),0))</f>
        <v>0</v>
      </c>
      <c r="BL168" s="6">
        <f>SUM(INDEX(Tabela1[[Ski Mountaineering - Men''s Sprint]:[Ski Mountaineering - Mixed Relay]],MATCH(Table92[[#This Row],[Country]],Tabela1[Country], 0),0))</f>
        <v>0</v>
      </c>
      <c r="BM168" s="6">
        <f>SUM(INDEX(Tabela1[[Snowboarding - Men''s Big Air]:[Snowboarding - Mixed Team Snowboard Cross]],MATCH(Table92[[#This Row],[Country]],Tabela1[Country], 0),0))</f>
        <v>0</v>
      </c>
      <c r="BN168" s="6">
        <f>SUM(INDEX(Tabela1[[Speed Skating - Men''s 500m]:[Speed Skating - Women''s Team Pursuit]],MATCH(Table92[[#This Row],[Country]],Tabela1[Country], 0),0))</f>
        <v>0</v>
      </c>
      <c r="BO168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68" s="6">
        <f>SUM(Table92[[#This Row],[Summer Sports]:[Winter Sports]])</f>
        <v>0</v>
      </c>
      <c r="BQ168" s="6">
        <f>COUNTIF(Table92[[#This Row],[Archery Quotas]:[Wrestling Quotas]],"&lt;&gt;0")</f>
        <v>0</v>
      </c>
      <c r="BR168" s="6">
        <f>COUNTIF(Table92[[#This Row],[Alpine Skiing Quotas]:[Speed Skating Quotas]],"&lt;&gt;0")</f>
        <v>0</v>
      </c>
      <c r="BS168" s="4" t="s">
        <v>565</v>
      </c>
    </row>
    <row r="169" spans="1:71" x14ac:dyDescent="0.3">
      <c r="A169" s="6" t="s">
        <v>566</v>
      </c>
      <c r="B169" t="e" vm="174">
        <f>IF(ISBLANK(Table92[[#This Row],[Flag Link]]), "", _xlfn.IMAGE(Table92[[#This Row],[Flag Link]],1,1))</f>
        <v>#VALUE!</v>
      </c>
      <c r="C169" s="6">
        <f>SUM(Table92[[#This Row],[Archery Quotas]:[Speed Skating Quotas]])</f>
        <v>0</v>
      </c>
      <c r="D169" s="6">
        <f>SUM(INDEX(Tabela1[[Archery - Men''s Individual Recurve]:[Archery - Mixed Team Recurve]],MATCH(Table92[[#This Row],[Country]],Tabela1[Country], 0),0))</f>
        <v>0</v>
      </c>
      <c r="E169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69" s="6">
        <f>SUM(INDEX(Tabela1[[Artistic Swimming - Women''s Duet]:[Artistic Swimming - Women''s Team]],MATCH(Table92[[#This Row],[Country]],Tabela1[Country], 0),0))</f>
        <v>0</v>
      </c>
      <c r="G169" s="6">
        <f>SUM(INDEX(Tabela1[[Athletics - Men''s 100m]:[Athletics - Women''s Heptathlon]],MATCH(Table92[[#This Row],[Country]],Tabela1[Country], 0),0))</f>
        <v>0</v>
      </c>
      <c r="H169" s="6">
        <f>SUM(INDEX(Tabela1[[Badminton - Men''s Singles]:[Badminton - Mixed Doubles]],MATCH(Table92[[#This Row],[Country]],Tabela1[Country], 0),0))</f>
        <v>0</v>
      </c>
      <c r="I169" s="6">
        <f>SUM(INDEX(Tabela1[[Basketball - Men''s Tournament]:[Basketball - Women''s Tournament]],MATCH(Table92[[#This Row],[Country]],Tabela1[Country], 0),0))</f>
        <v>0</v>
      </c>
      <c r="J169" s="6">
        <f>SUM(INDEX(Tabela1[[3x3 Basketball - Men''s Tournament]:[3x3 Basketball - Women''s Tournament]],MATCH(Table92[[#This Row],[Country]],Tabela1[Country], 0),0))</f>
        <v>0</v>
      </c>
      <c r="K169" s="6">
        <f>SUM(INDEX(Tabela1[[Beach Volleyball - Men''s Tournament]:[Beach Volleyball - Women''s Tournament]],MATCH(Table92[[#This Row],[Country]],Tabela1[Country], 0),0))</f>
        <v>0</v>
      </c>
      <c r="L169" s="6">
        <f>SUM(INDEX(Tabela1[[Boxing - Men''s 51kg]:[Boxing - Women''s 75kg]],MATCH(Table92[[#This Row],[Country]],Tabela1[Country], 0),0))</f>
        <v>0</v>
      </c>
      <c r="M169" s="6">
        <f>SUM(INDEX(Tabela1[[Breaking - Men''s Individual]:[Breaking - Women''s Individual]],MATCH(Table92[[#This Row],[Country]],Tabela1[Country], 0),0))</f>
        <v>0</v>
      </c>
      <c r="N169" s="6">
        <f>SUM(INDEX(Tabela1[[Canoeing - Men''s C1 Slalom]:[Canoeing - Women''s Kayak Cross Slalom]],MATCH(Table92[[#This Row],[Country]],Tabela1[Country], 0),0))</f>
        <v>0</v>
      </c>
      <c r="O169" s="6">
        <f>SUM(INDEX(Tabela1[[Canoeing - Women''s C1 200m]:[Canoeing - Women''s K4 500m]],MATCH(Table92[[#This Row],[Country]],Tabela1[Country], 0),0))</f>
        <v>0</v>
      </c>
      <c r="P169" s="6">
        <f>SUM(INDEX(Tabela1[[Cycling - Men''s BMX Freestyle]:[Cycling - Women''s BMX Freestyle]],MATCH(Table92[[#This Row],[Country]],Tabela1[Country], 0),0))</f>
        <v>0</v>
      </c>
      <c r="Q169" s="6">
        <f>SUM(INDEX(Tabela1[[Cycling - Men''s BMX Racing]:[Cycling - Women''s BMX Racing]],MATCH(Table92[[#This Row],[Country]],Tabela1[Country], 0),0))</f>
        <v>0</v>
      </c>
      <c r="R169" s="6">
        <f>SUM(INDEX(Tabela1[[Cycling - Men''s Cross-Country]:[Cycling - Women''s Cross-Country]],MATCH(Table92[[#This Row],[Country]],Tabela1[Country], 0),0))</f>
        <v>0</v>
      </c>
      <c r="S169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69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69" s="6">
        <f>SUM(INDEX(Tabela1[[Diving - Men''s Springboard]:[Diving - Women''s Synchronized Platform]],MATCH(Table92[[#This Row],[Country]],Tabela1[Country], 0),0))</f>
        <v>0</v>
      </c>
      <c r="V169" s="6">
        <f>SUM(INDEX(Tabela1[[Equestrian - Individual Dressage]:[Equestrian - Team Dressage]],MATCH(Table92[[#This Row],[Country]],Tabela1[Country], 0),0))</f>
        <v>0</v>
      </c>
      <c r="W169" s="6">
        <f>SUM(INDEX(Tabela1[[Equestrian - Individual Eventing]:[Equestrian - Team Eventing]],MATCH(Table92[[#This Row],[Country]],Tabela1[Country], 0),0))</f>
        <v>0</v>
      </c>
      <c r="X169" s="6">
        <f>SUM(INDEX(Tabela1[[Equestrian - Individual Jumping]:[Equestrian - Team Jumping]],MATCH(Table92[[#This Row],[Country]],Tabela1[Country], 0),0))</f>
        <v>0</v>
      </c>
      <c r="Y169" s="6">
        <f>SUM(INDEX(Tabela1[[Fencing - Men''s Épée]:[Fencing - Women''s Team Sabre]],MATCH(Table92[[#This Row],[Country]],Tabela1[Country], 0),0))</f>
        <v>0</v>
      </c>
      <c r="Z169" s="6">
        <f>SUM(INDEX(Tabela1[[Field Hockey - Men''s Tournament]:[Field Hockey - Women''s Tournament]],MATCH(Table92[[#This Row],[Country]],Tabela1[Country], 0),0))</f>
        <v>0</v>
      </c>
      <c r="AA169" s="6">
        <f>SUM(INDEX(Tabela1[[Football - Men''s Tournament]:[Football - Women''s Tournament]],MATCH(Table92[[#This Row],[Country]],Tabela1[Country], 0),0))</f>
        <v>0</v>
      </c>
      <c r="AB169" s="6">
        <f>SUM(INDEX(Tabela1[[Golf - Men''s Individual]:[Golf - Women''s Individual]],MATCH(Table92[[#This Row],[Country]],Tabela1[Country], 0),0))</f>
        <v>0</v>
      </c>
      <c r="AC169" s="6">
        <f>SUM(INDEX(Tabela1[[Handball - Men''s Tournament]:[Handball - Women''s Tournament]],MATCH(Table92[[#This Row],[Country]],Tabela1[Country], 0),0))</f>
        <v>0</v>
      </c>
      <c r="AD169" s="6">
        <f>SUM(INDEX(Tabela1[[Judo - Men''s 60kg]:[Judo - Mixed Team]],MATCH(Table92[[#This Row],[Country]],Tabela1[Country], 0),0))</f>
        <v>0</v>
      </c>
      <c r="AE169" s="6">
        <f>SUM(INDEX(Tabela1[[Swimming - Men''s 10km Open Water]:[Swimming - Women''s 10km Open Water]],MATCH(Table92[[#This Row],[Country]],Tabela1[Country], 0),0))</f>
        <v>0</v>
      </c>
      <c r="AF169" s="6">
        <f>SUM(INDEX(Tabela1[[Modern Pentathlon - Men''s Individual]:[Modern Pentathlon - Women''s Individual]],MATCH(Table92[[#This Row],[Country]],Tabela1[Country], 0),0))</f>
        <v>0</v>
      </c>
      <c r="AG169" s="6">
        <f>SUM(INDEX(Tabela1[[Rhythmic Gymnastics - Women''s Individual All-Around]:[Rhythmic Gymnastics - Women''s Group All-Around]],MATCH(Table92[[#This Row],[Country]],Tabela1[Country], 0),0))</f>
        <v>0</v>
      </c>
      <c r="AH169" s="6">
        <f>SUM(INDEX(Tabela1[[Rowing - Men''s Single Sculls]:[Rowing - Women''s Lwt. Double Sculls]],MATCH(Table92[[#This Row],[Country]],Tabela1[Country], 0),0))</f>
        <v>0</v>
      </c>
      <c r="AI169" s="6">
        <f>SUM(INDEX(Tabela1[[Rugby Sevens - Men''s Tournament]:[Rugby Sevens - Women''s Tournament]],MATCH(Table92[[#This Row],[Country]],Tabela1[Country], 0),0))</f>
        <v>0</v>
      </c>
      <c r="AJ169" s="6">
        <f>SUM(INDEX(Tabela1[[Sailing - Mixed 470]:[Sailing - Mixed Nacra 17]],MATCH(Table92[[#This Row],[Country]],Tabela1[Country], 0),0))</f>
        <v>0</v>
      </c>
      <c r="AK169" s="6">
        <f>SUM(INDEX(Tabela1[[Shooting - Men''s 10m Air Pistol]:[Shooting - Women''s Trap]],MATCH(Table92[[#This Row],[Country]],Tabela1[Country], 0),0))</f>
        <v>0</v>
      </c>
      <c r="AL169" s="6">
        <f>SUM(INDEX(Tabela1[[Skateboarding - Men''s Park]:[Skateboarding - Women''s Street]],MATCH(Table92[[#This Row],[Country]],Tabela1[Country], 0),0))</f>
        <v>0</v>
      </c>
      <c r="AM169" s="6">
        <f>SUM(INDEX(Tabela1[[Sport Climbing - Men''s Boulder and Lead]:[Sport Climbing - Women''s Speed]],MATCH(Table92[[#This Row],[Country]],Tabela1[Country], 0),0))</f>
        <v>0</v>
      </c>
      <c r="AN169" s="6">
        <f>SUM(INDEX(Tabela1[[Surfing - Men''s Shortboard]:[Surfing - Women''s Shortboard]],MATCH(Table92[[#This Row],[Country]],Tabela1[Country], 0),0))</f>
        <v>0</v>
      </c>
      <c r="AO169" s="6">
        <f>SUM(INDEX(Tabela1[[Swimming - Men''s 50m Freestyle]:[Swimming - Mixed 4x100m Medley Relay]],MATCH(Table92[[#This Row],[Country]],Tabela1[Country], 0),0))</f>
        <v>0</v>
      </c>
      <c r="AP169" s="6">
        <f>SUM(INDEX(Tabela1[[Table Tennis - Men''s Singles]:[Table Tennis - Mixed Doubles]],MATCH(Table92[[#This Row],[Country]],Tabela1[Country], 0),0))</f>
        <v>0</v>
      </c>
      <c r="AQ169" s="6">
        <f>SUM(INDEX(Tabela1[[Taekwondo - Men''s 58kg]:[Taekwondo - Women''s +67kg]],MATCH(Table92[[#This Row],[Country]],Tabela1[Country], 0),0))</f>
        <v>0</v>
      </c>
      <c r="AR169" s="6">
        <f>SUM(INDEX(Tabela1[[Tennis - Men''s Singles]:[Tennis - Mixed Doubles]],MATCH(Table92[[#This Row],[Country]],Tabela1[Country], 0),0))</f>
        <v>0</v>
      </c>
      <c r="AS169" s="6">
        <f>SUM(INDEX(Tabela1[[Gymnastics - Men''s Trampoline]:[Gymnastics - Women''s Trampoline]],MATCH(Table92[[#This Row],[Country]],Tabela1[Country], 0),0))</f>
        <v>0</v>
      </c>
      <c r="AT169" s="6">
        <f>SUM(INDEX(Tabela1[[Triathlon - Men''s Individual]:[Triathlon - Mixed Relay]],MATCH(Table92[[#This Row],[Country]],Tabela1[Country], 0),0))</f>
        <v>0</v>
      </c>
      <c r="AU169" s="6">
        <f>SUM(INDEX(Tabela1[[Volleyball - Men''s Tournament]:[Volleyball - Women''s Tournament]],MATCH(Table92[[#This Row],[Country]],Tabela1[Country], 0),0))</f>
        <v>0</v>
      </c>
      <c r="AV169" s="6">
        <f>SUM(INDEX(Tabela1[[Water Polo - Men''s Tournament]:[Water Polo - Women''s Tournament]],MATCH(Table92[[#This Row],[Country]],Tabela1[Country], 0),0))</f>
        <v>0</v>
      </c>
      <c r="AW169" s="6">
        <f>SUM(INDEX(Tabela1[[Weightlifting - Men''s 61kg]:[Weightlifting - Women''s +81kg]],MATCH(Table92[[#This Row],[Country]],Tabela1[Country], 0),0))</f>
        <v>0</v>
      </c>
      <c r="AX169" s="6">
        <f>SUM(INDEX(Tabela1[[Wrestling - Men''s Freestyle 57kg]:[Wrestling - Women''s Freestyle 76kg]],MATCH(Table92[[#This Row],[Country]],Tabela1[Country], 0),0))</f>
        <v>0</v>
      </c>
      <c r="AY169" s="6">
        <f>SUM(INDEX(Tabela1[[Alpine Skiing - Men''s Downhill]:[Alpine Skiing - Women''s Team Combined]],MATCH(Table92[[#This Row],[Country]],Tabela1[Country], 0),0))</f>
        <v>0</v>
      </c>
      <c r="AZ169" s="6">
        <f>SUM(INDEX(Tabela1[[Biathlon - Men''s Individual]:[Biathlon - Mixed Relay]],MATCH(Table92[[#This Row],[Country]],Tabela1[Country], 0),0))</f>
        <v>0</v>
      </c>
      <c r="BA169" s="6">
        <f>SUM(INDEX(Tabela1[[Bobsleigh - Women''s Monobob]:[Bobsleigh - Men''s Four]],MATCH(Table92[[#This Row],[Country]],Tabela1[Country], 0),0))</f>
        <v>0</v>
      </c>
      <c r="BB169" s="6">
        <f>SUM(INDEX(Tabela1[[Cross-country skiing - Men''s Classical]:[Cross-country skiing - Women''s Team Sprint]],MATCH(Table92[[#This Row],[Country]],Tabela1[Country], 0),0))</f>
        <v>0</v>
      </c>
      <c r="BC169" s="6">
        <f>SUM(INDEX(Tabela1[[Curling - Men''s Tournament]:[Curling - Mixed Doubles]],MATCH(Table92[[#This Row],[Country]],Tabela1[Country], 0),0))</f>
        <v>0</v>
      </c>
      <c r="BD169" s="6">
        <f>SUM(INDEX(Tabela1[[Figure Skating - Men''s Singles]:[Figure Skating - Team Event]],MATCH(Table92[[#This Row],[Country]],Tabela1[Country], 0),0))</f>
        <v>0</v>
      </c>
      <c r="BE169" s="6">
        <f>SUM(INDEX(Tabela1[[Freestyle Skiing - Men''s Aerials]:[Freestyle Skiing - Women''s Slopestyle]],MATCH(Table92[[#This Row],[Country]],Tabela1[Country], 0),0))</f>
        <v>0</v>
      </c>
      <c r="BF169" s="6">
        <f>SUM(INDEX(Tabela1[[Ice Hockey - Men''s Tournament]:[Ice Hockey - Women''s Tournament]],MATCH(Table92[[#This Row],[Country]],Tabela1[Country], 0),0))</f>
        <v>0</v>
      </c>
      <c r="BG169" s="6">
        <f>SUM(INDEX(Tabela1[[Luge - Men''s Singles]:[Luge - Mixed Team Relay]],MATCH(Table92[[#This Row],[Country]],Tabela1[Country], 0),0))</f>
        <v>0</v>
      </c>
      <c r="BH169" s="6">
        <f>SUM(INDEX(Tabela1[[Nordic Combined - Men''s Individual]:[Nordic Combined - Men''s Team Sprint Large Hill]],MATCH(Table92[[#This Row],[Country]],Tabela1[Country], 0),0))</f>
        <v>0</v>
      </c>
      <c r="BI169" s="6">
        <f>SUM(INDEX(Tabela1[[Short track speed skating - Men''s 500m]:[Short track speed skating - Mixed 2000m Relay]],MATCH(Table92[[#This Row],[Country]],Tabela1[Country], 0),0))</f>
        <v>0</v>
      </c>
      <c r="BJ169" s="6">
        <f>SUM(INDEX(Tabela1[[Skeleton - Men''s Individual]:[Skeleton - Mixed Team]],MATCH(Table92[[#This Row],[Country]],Tabela1[Country], 0),0))</f>
        <v>0</v>
      </c>
      <c r="BK169" s="6">
        <f>SUM(INDEX(Tabela1[[Ski Jumping - Men''s Individual Large Hill]:[Ski Jumping - Mixed Team Normal Hill]],MATCH(Table92[[#This Row],[Country]],Tabela1[Country], 0),0))</f>
        <v>0</v>
      </c>
      <c r="BL169" s="6">
        <f>SUM(INDEX(Tabela1[[Ski Mountaineering - Men''s Sprint]:[Ski Mountaineering - Mixed Relay]],MATCH(Table92[[#This Row],[Country]],Tabela1[Country], 0),0))</f>
        <v>0</v>
      </c>
      <c r="BM169" s="6">
        <f>SUM(INDEX(Tabela1[[Snowboarding - Men''s Big Air]:[Snowboarding - Mixed Team Snowboard Cross]],MATCH(Table92[[#This Row],[Country]],Tabela1[Country], 0),0))</f>
        <v>0</v>
      </c>
      <c r="BN169" s="6">
        <f>SUM(INDEX(Tabela1[[Speed Skating - Men''s 500m]:[Speed Skating - Women''s Team Pursuit]],MATCH(Table92[[#This Row],[Country]],Tabela1[Country], 0),0))</f>
        <v>0</v>
      </c>
      <c r="BO169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69" s="6">
        <f>SUM(Table92[[#This Row],[Summer Sports]:[Winter Sports]])</f>
        <v>0</v>
      </c>
      <c r="BQ169" s="6">
        <f>COUNTIF(Table92[[#This Row],[Archery Quotas]:[Wrestling Quotas]],"&lt;&gt;0")</f>
        <v>0</v>
      </c>
      <c r="BR169" s="6">
        <f>COUNTIF(Table92[[#This Row],[Alpine Skiing Quotas]:[Speed Skating Quotas]],"&lt;&gt;0")</f>
        <v>0</v>
      </c>
      <c r="BS169" s="4" t="s">
        <v>567</v>
      </c>
    </row>
    <row r="170" spans="1:71" x14ac:dyDescent="0.3">
      <c r="A170" s="6" t="s">
        <v>568</v>
      </c>
      <c r="B170" t="e" vm="175">
        <f>IF(ISBLANK(Table92[[#This Row],[Flag Link]]), "", _xlfn.IMAGE(Table92[[#This Row],[Flag Link]],1,1))</f>
        <v>#VALUE!</v>
      </c>
      <c r="C170" s="6">
        <f>SUM(Table92[[#This Row],[Archery Quotas]:[Speed Skating Quotas]])</f>
        <v>0</v>
      </c>
      <c r="D170" s="6">
        <f>SUM(INDEX(Tabela1[[Archery - Men''s Individual Recurve]:[Archery - Mixed Team Recurve]],MATCH(Table92[[#This Row],[Country]],Tabela1[Country], 0),0))</f>
        <v>0</v>
      </c>
      <c r="E170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70" s="6">
        <f>SUM(INDEX(Tabela1[[Artistic Swimming - Women''s Duet]:[Artistic Swimming - Women''s Team]],MATCH(Table92[[#This Row],[Country]],Tabela1[Country], 0),0))</f>
        <v>0</v>
      </c>
      <c r="G170" s="6">
        <f>SUM(INDEX(Tabela1[[Athletics - Men''s 100m]:[Athletics - Women''s Heptathlon]],MATCH(Table92[[#This Row],[Country]],Tabela1[Country], 0),0))</f>
        <v>0</v>
      </c>
      <c r="H170" s="6">
        <f>SUM(INDEX(Tabela1[[Badminton - Men''s Singles]:[Badminton - Mixed Doubles]],MATCH(Table92[[#This Row],[Country]],Tabela1[Country], 0),0))</f>
        <v>0</v>
      </c>
      <c r="I170" s="6">
        <f>SUM(INDEX(Tabela1[[Basketball - Men''s Tournament]:[Basketball - Women''s Tournament]],MATCH(Table92[[#This Row],[Country]],Tabela1[Country], 0),0))</f>
        <v>0</v>
      </c>
      <c r="J170" s="6">
        <f>SUM(INDEX(Tabela1[[3x3 Basketball - Men''s Tournament]:[3x3 Basketball - Women''s Tournament]],MATCH(Table92[[#This Row],[Country]],Tabela1[Country], 0),0))</f>
        <v>0</v>
      </c>
      <c r="K170" s="6">
        <f>SUM(INDEX(Tabela1[[Beach Volleyball - Men''s Tournament]:[Beach Volleyball - Women''s Tournament]],MATCH(Table92[[#This Row],[Country]],Tabela1[Country], 0),0))</f>
        <v>0</v>
      </c>
      <c r="L170" s="6">
        <f>SUM(INDEX(Tabela1[[Boxing - Men''s 51kg]:[Boxing - Women''s 75kg]],MATCH(Table92[[#This Row],[Country]],Tabela1[Country], 0),0))</f>
        <v>0</v>
      </c>
      <c r="M170" s="6">
        <f>SUM(INDEX(Tabela1[[Breaking - Men''s Individual]:[Breaking - Women''s Individual]],MATCH(Table92[[#This Row],[Country]],Tabela1[Country], 0),0))</f>
        <v>0</v>
      </c>
      <c r="N170" s="6">
        <f>SUM(INDEX(Tabela1[[Canoeing - Men''s C1 Slalom]:[Canoeing - Women''s Kayak Cross Slalom]],MATCH(Table92[[#This Row],[Country]],Tabela1[Country], 0),0))</f>
        <v>0</v>
      </c>
      <c r="O170" s="6">
        <f>SUM(INDEX(Tabela1[[Canoeing - Women''s C1 200m]:[Canoeing - Women''s K4 500m]],MATCH(Table92[[#This Row],[Country]],Tabela1[Country], 0),0))</f>
        <v>0</v>
      </c>
      <c r="P170" s="6">
        <f>SUM(INDEX(Tabela1[[Cycling - Men''s BMX Freestyle]:[Cycling - Women''s BMX Freestyle]],MATCH(Table92[[#This Row],[Country]],Tabela1[Country], 0),0))</f>
        <v>0</v>
      </c>
      <c r="Q170" s="6">
        <f>SUM(INDEX(Tabela1[[Cycling - Men''s BMX Racing]:[Cycling - Women''s BMX Racing]],MATCH(Table92[[#This Row],[Country]],Tabela1[Country], 0),0))</f>
        <v>0</v>
      </c>
      <c r="R170" s="6">
        <f>SUM(INDEX(Tabela1[[Cycling - Men''s Cross-Country]:[Cycling - Women''s Cross-Country]],MATCH(Table92[[#This Row],[Country]],Tabela1[Country], 0),0))</f>
        <v>0</v>
      </c>
      <c r="S170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70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70" s="6">
        <f>SUM(INDEX(Tabela1[[Diving - Men''s Springboard]:[Diving - Women''s Synchronized Platform]],MATCH(Table92[[#This Row],[Country]],Tabela1[Country], 0),0))</f>
        <v>0</v>
      </c>
      <c r="V170" s="6">
        <f>SUM(INDEX(Tabela1[[Equestrian - Individual Dressage]:[Equestrian - Team Dressage]],MATCH(Table92[[#This Row],[Country]],Tabela1[Country], 0),0))</f>
        <v>0</v>
      </c>
      <c r="W170" s="6">
        <f>SUM(INDEX(Tabela1[[Equestrian - Individual Eventing]:[Equestrian - Team Eventing]],MATCH(Table92[[#This Row],[Country]],Tabela1[Country], 0),0))</f>
        <v>0</v>
      </c>
      <c r="X170" s="6">
        <f>SUM(INDEX(Tabela1[[Equestrian - Individual Jumping]:[Equestrian - Team Jumping]],MATCH(Table92[[#This Row],[Country]],Tabela1[Country], 0),0))</f>
        <v>0</v>
      </c>
      <c r="Y170" s="6">
        <f>SUM(INDEX(Tabela1[[Fencing - Men''s Épée]:[Fencing - Women''s Team Sabre]],MATCH(Table92[[#This Row],[Country]],Tabela1[Country], 0),0))</f>
        <v>0</v>
      </c>
      <c r="Z170" s="6">
        <f>SUM(INDEX(Tabela1[[Field Hockey - Men''s Tournament]:[Field Hockey - Women''s Tournament]],MATCH(Table92[[#This Row],[Country]],Tabela1[Country], 0),0))</f>
        <v>0</v>
      </c>
      <c r="AA170" s="6">
        <f>SUM(INDEX(Tabela1[[Football - Men''s Tournament]:[Football - Women''s Tournament]],MATCH(Table92[[#This Row],[Country]],Tabela1[Country], 0),0))</f>
        <v>0</v>
      </c>
      <c r="AB170" s="6">
        <f>SUM(INDEX(Tabela1[[Golf - Men''s Individual]:[Golf - Women''s Individual]],MATCH(Table92[[#This Row],[Country]],Tabela1[Country], 0),0))</f>
        <v>0</v>
      </c>
      <c r="AC170" s="6">
        <f>SUM(INDEX(Tabela1[[Handball - Men''s Tournament]:[Handball - Women''s Tournament]],MATCH(Table92[[#This Row],[Country]],Tabela1[Country], 0),0))</f>
        <v>0</v>
      </c>
      <c r="AD170" s="6">
        <f>SUM(INDEX(Tabela1[[Judo - Men''s 60kg]:[Judo - Mixed Team]],MATCH(Table92[[#This Row],[Country]],Tabela1[Country], 0),0))</f>
        <v>0</v>
      </c>
      <c r="AE170" s="6">
        <f>SUM(INDEX(Tabela1[[Swimming - Men''s 10km Open Water]:[Swimming - Women''s 10km Open Water]],MATCH(Table92[[#This Row],[Country]],Tabela1[Country], 0),0))</f>
        <v>0</v>
      </c>
      <c r="AF170" s="6">
        <f>SUM(INDEX(Tabela1[[Modern Pentathlon - Men''s Individual]:[Modern Pentathlon - Women''s Individual]],MATCH(Table92[[#This Row],[Country]],Tabela1[Country], 0),0))</f>
        <v>0</v>
      </c>
      <c r="AG170" s="6">
        <f>SUM(INDEX(Tabela1[[Rhythmic Gymnastics - Women''s Individual All-Around]:[Rhythmic Gymnastics - Women''s Group All-Around]],MATCH(Table92[[#This Row],[Country]],Tabela1[Country], 0),0))</f>
        <v>0</v>
      </c>
      <c r="AH170" s="6">
        <f>SUM(INDEX(Tabela1[[Rowing - Men''s Single Sculls]:[Rowing - Women''s Lwt. Double Sculls]],MATCH(Table92[[#This Row],[Country]],Tabela1[Country], 0),0))</f>
        <v>0</v>
      </c>
      <c r="AI170" s="6">
        <f>SUM(INDEX(Tabela1[[Rugby Sevens - Men''s Tournament]:[Rugby Sevens - Women''s Tournament]],MATCH(Table92[[#This Row],[Country]],Tabela1[Country], 0),0))</f>
        <v>0</v>
      </c>
      <c r="AJ170" s="6">
        <f>SUM(INDEX(Tabela1[[Sailing - Mixed 470]:[Sailing - Mixed Nacra 17]],MATCH(Table92[[#This Row],[Country]],Tabela1[Country], 0),0))</f>
        <v>0</v>
      </c>
      <c r="AK170" s="6">
        <f>SUM(INDEX(Tabela1[[Shooting - Men''s 10m Air Pistol]:[Shooting - Women''s Trap]],MATCH(Table92[[#This Row],[Country]],Tabela1[Country], 0),0))</f>
        <v>0</v>
      </c>
      <c r="AL170" s="6">
        <f>SUM(INDEX(Tabela1[[Skateboarding - Men''s Park]:[Skateboarding - Women''s Street]],MATCH(Table92[[#This Row],[Country]],Tabela1[Country], 0),0))</f>
        <v>0</v>
      </c>
      <c r="AM170" s="6">
        <f>SUM(INDEX(Tabela1[[Sport Climbing - Men''s Boulder and Lead]:[Sport Climbing - Women''s Speed]],MATCH(Table92[[#This Row],[Country]],Tabela1[Country], 0),0))</f>
        <v>0</v>
      </c>
      <c r="AN170" s="6">
        <f>SUM(INDEX(Tabela1[[Surfing - Men''s Shortboard]:[Surfing - Women''s Shortboard]],MATCH(Table92[[#This Row],[Country]],Tabela1[Country], 0),0))</f>
        <v>0</v>
      </c>
      <c r="AO170" s="6">
        <f>SUM(INDEX(Tabela1[[Swimming - Men''s 50m Freestyle]:[Swimming - Mixed 4x100m Medley Relay]],MATCH(Table92[[#This Row],[Country]],Tabela1[Country], 0),0))</f>
        <v>0</v>
      </c>
      <c r="AP170" s="6">
        <f>SUM(INDEX(Tabela1[[Table Tennis - Men''s Singles]:[Table Tennis - Mixed Doubles]],MATCH(Table92[[#This Row],[Country]],Tabela1[Country], 0),0))</f>
        <v>0</v>
      </c>
      <c r="AQ170" s="6">
        <f>SUM(INDEX(Tabela1[[Taekwondo - Men''s 58kg]:[Taekwondo - Women''s +67kg]],MATCH(Table92[[#This Row],[Country]],Tabela1[Country], 0),0))</f>
        <v>0</v>
      </c>
      <c r="AR170" s="6">
        <f>SUM(INDEX(Tabela1[[Tennis - Men''s Singles]:[Tennis - Mixed Doubles]],MATCH(Table92[[#This Row],[Country]],Tabela1[Country], 0),0))</f>
        <v>0</v>
      </c>
      <c r="AS170" s="6">
        <f>SUM(INDEX(Tabela1[[Gymnastics - Men''s Trampoline]:[Gymnastics - Women''s Trampoline]],MATCH(Table92[[#This Row],[Country]],Tabela1[Country], 0),0))</f>
        <v>0</v>
      </c>
      <c r="AT170" s="6">
        <f>SUM(INDEX(Tabela1[[Triathlon - Men''s Individual]:[Triathlon - Mixed Relay]],MATCH(Table92[[#This Row],[Country]],Tabela1[Country], 0),0))</f>
        <v>0</v>
      </c>
      <c r="AU170" s="6">
        <f>SUM(INDEX(Tabela1[[Volleyball - Men''s Tournament]:[Volleyball - Women''s Tournament]],MATCH(Table92[[#This Row],[Country]],Tabela1[Country], 0),0))</f>
        <v>0</v>
      </c>
      <c r="AV170" s="6">
        <f>SUM(INDEX(Tabela1[[Water Polo - Men''s Tournament]:[Water Polo - Women''s Tournament]],MATCH(Table92[[#This Row],[Country]],Tabela1[Country], 0),0))</f>
        <v>0</v>
      </c>
      <c r="AW170" s="6">
        <f>SUM(INDEX(Tabela1[[Weightlifting - Men''s 61kg]:[Weightlifting - Women''s +81kg]],MATCH(Table92[[#This Row],[Country]],Tabela1[Country], 0),0))</f>
        <v>0</v>
      </c>
      <c r="AX170" s="6">
        <f>SUM(INDEX(Tabela1[[Wrestling - Men''s Freestyle 57kg]:[Wrestling - Women''s Freestyle 76kg]],MATCH(Table92[[#This Row],[Country]],Tabela1[Country], 0),0))</f>
        <v>0</v>
      </c>
      <c r="AY170" s="6">
        <f>SUM(INDEX(Tabela1[[Alpine Skiing - Men''s Downhill]:[Alpine Skiing - Women''s Team Combined]],MATCH(Table92[[#This Row],[Country]],Tabela1[Country], 0),0))</f>
        <v>0</v>
      </c>
      <c r="AZ170" s="6">
        <f>SUM(INDEX(Tabela1[[Biathlon - Men''s Individual]:[Biathlon - Mixed Relay]],MATCH(Table92[[#This Row],[Country]],Tabela1[Country], 0),0))</f>
        <v>0</v>
      </c>
      <c r="BA170" s="6">
        <f>SUM(INDEX(Tabela1[[Bobsleigh - Women''s Monobob]:[Bobsleigh - Men''s Four]],MATCH(Table92[[#This Row],[Country]],Tabela1[Country], 0),0))</f>
        <v>0</v>
      </c>
      <c r="BB170" s="6">
        <f>SUM(INDEX(Tabela1[[Cross-country skiing - Men''s Classical]:[Cross-country skiing - Women''s Team Sprint]],MATCH(Table92[[#This Row],[Country]],Tabela1[Country], 0),0))</f>
        <v>0</v>
      </c>
      <c r="BC170" s="6">
        <f>SUM(INDEX(Tabela1[[Curling - Men''s Tournament]:[Curling - Mixed Doubles]],MATCH(Table92[[#This Row],[Country]],Tabela1[Country], 0),0))</f>
        <v>0</v>
      </c>
      <c r="BD170" s="6">
        <f>SUM(INDEX(Tabela1[[Figure Skating - Men''s Singles]:[Figure Skating - Team Event]],MATCH(Table92[[#This Row],[Country]],Tabela1[Country], 0),0))</f>
        <v>0</v>
      </c>
      <c r="BE170" s="6">
        <f>SUM(INDEX(Tabela1[[Freestyle Skiing - Men''s Aerials]:[Freestyle Skiing - Women''s Slopestyle]],MATCH(Table92[[#This Row],[Country]],Tabela1[Country], 0),0))</f>
        <v>0</v>
      </c>
      <c r="BF170" s="6">
        <f>SUM(INDEX(Tabela1[[Ice Hockey - Men''s Tournament]:[Ice Hockey - Women''s Tournament]],MATCH(Table92[[#This Row],[Country]],Tabela1[Country], 0),0))</f>
        <v>0</v>
      </c>
      <c r="BG170" s="6">
        <f>SUM(INDEX(Tabela1[[Luge - Men''s Singles]:[Luge - Mixed Team Relay]],MATCH(Table92[[#This Row],[Country]],Tabela1[Country], 0),0))</f>
        <v>0</v>
      </c>
      <c r="BH170" s="6">
        <f>SUM(INDEX(Tabela1[[Nordic Combined - Men''s Individual]:[Nordic Combined - Men''s Team Sprint Large Hill]],MATCH(Table92[[#This Row],[Country]],Tabela1[Country], 0),0))</f>
        <v>0</v>
      </c>
      <c r="BI170" s="6">
        <f>SUM(INDEX(Tabela1[[Short track speed skating - Men''s 500m]:[Short track speed skating - Mixed 2000m Relay]],MATCH(Table92[[#This Row],[Country]],Tabela1[Country], 0),0))</f>
        <v>0</v>
      </c>
      <c r="BJ170" s="6">
        <f>SUM(INDEX(Tabela1[[Skeleton - Men''s Individual]:[Skeleton - Mixed Team]],MATCH(Table92[[#This Row],[Country]],Tabela1[Country], 0),0))</f>
        <v>0</v>
      </c>
      <c r="BK170" s="6">
        <f>SUM(INDEX(Tabela1[[Ski Jumping - Men''s Individual Large Hill]:[Ski Jumping - Mixed Team Normal Hill]],MATCH(Table92[[#This Row],[Country]],Tabela1[Country], 0),0))</f>
        <v>0</v>
      </c>
      <c r="BL170" s="6">
        <f>SUM(INDEX(Tabela1[[Ski Mountaineering - Men''s Sprint]:[Ski Mountaineering - Mixed Relay]],MATCH(Table92[[#This Row],[Country]],Tabela1[Country], 0),0))</f>
        <v>0</v>
      </c>
      <c r="BM170" s="6">
        <f>SUM(INDEX(Tabela1[[Snowboarding - Men''s Big Air]:[Snowboarding - Mixed Team Snowboard Cross]],MATCH(Table92[[#This Row],[Country]],Tabela1[Country], 0),0))</f>
        <v>0</v>
      </c>
      <c r="BN170" s="6">
        <f>SUM(INDEX(Tabela1[[Speed Skating - Men''s 500m]:[Speed Skating - Women''s Team Pursuit]],MATCH(Table92[[#This Row],[Country]],Tabela1[Country], 0),0))</f>
        <v>0</v>
      </c>
      <c r="BO170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70" s="6">
        <f>SUM(Table92[[#This Row],[Summer Sports]:[Winter Sports]])</f>
        <v>0</v>
      </c>
      <c r="BQ170" s="6">
        <f>COUNTIF(Table92[[#This Row],[Archery Quotas]:[Wrestling Quotas]],"&lt;&gt;0")</f>
        <v>0</v>
      </c>
      <c r="BR170" s="6">
        <f>COUNTIF(Table92[[#This Row],[Alpine Skiing Quotas]:[Speed Skating Quotas]],"&lt;&gt;0")</f>
        <v>0</v>
      </c>
      <c r="BS170" s="4" t="s">
        <v>569</v>
      </c>
    </row>
    <row r="171" spans="1:71" x14ac:dyDescent="0.3">
      <c r="A171" s="6" t="s">
        <v>574</v>
      </c>
      <c r="B171" t="e" vm="176">
        <f>IF(ISBLANK(Table92[[#This Row],[Flag Link]]), "", _xlfn.IMAGE(Table92[[#This Row],[Flag Link]],1,1))</f>
        <v>#VALUE!</v>
      </c>
      <c r="C171" s="6">
        <f>SUM(Table92[[#This Row],[Archery Quotas]:[Speed Skating Quotas]])</f>
        <v>0</v>
      </c>
      <c r="D171" s="6">
        <f>SUM(INDEX(Tabela1[[Archery - Men''s Individual Recurve]:[Archery - Mixed Team Recurve]],MATCH(Table92[[#This Row],[Country]],Tabela1[Country], 0),0))</f>
        <v>0</v>
      </c>
      <c r="E171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71" s="6">
        <f>SUM(INDEX(Tabela1[[Artistic Swimming - Women''s Duet]:[Artistic Swimming - Women''s Team]],MATCH(Table92[[#This Row],[Country]],Tabela1[Country], 0),0))</f>
        <v>0</v>
      </c>
      <c r="G171" s="6">
        <f>SUM(INDEX(Tabela1[[Athletics - Men''s 100m]:[Athletics - Women''s Heptathlon]],MATCH(Table92[[#This Row],[Country]],Tabela1[Country], 0),0))</f>
        <v>0</v>
      </c>
      <c r="H171" s="6">
        <f>SUM(INDEX(Tabela1[[Badminton - Men''s Singles]:[Badminton - Mixed Doubles]],MATCH(Table92[[#This Row],[Country]],Tabela1[Country], 0),0))</f>
        <v>0</v>
      </c>
      <c r="I171" s="6">
        <f>SUM(INDEX(Tabela1[[Basketball - Men''s Tournament]:[Basketball - Women''s Tournament]],MATCH(Table92[[#This Row],[Country]],Tabela1[Country], 0),0))</f>
        <v>0</v>
      </c>
      <c r="J171" s="6">
        <f>SUM(INDEX(Tabela1[[3x3 Basketball - Men''s Tournament]:[3x3 Basketball - Women''s Tournament]],MATCH(Table92[[#This Row],[Country]],Tabela1[Country], 0),0))</f>
        <v>0</v>
      </c>
      <c r="K171" s="6">
        <f>SUM(INDEX(Tabela1[[Beach Volleyball - Men''s Tournament]:[Beach Volleyball - Women''s Tournament]],MATCH(Table92[[#This Row],[Country]],Tabela1[Country], 0),0))</f>
        <v>0</v>
      </c>
      <c r="L171" s="6">
        <f>SUM(INDEX(Tabela1[[Boxing - Men''s 51kg]:[Boxing - Women''s 75kg]],MATCH(Table92[[#This Row],[Country]],Tabela1[Country], 0),0))</f>
        <v>0</v>
      </c>
      <c r="M171" s="6">
        <f>SUM(INDEX(Tabela1[[Breaking - Men''s Individual]:[Breaking - Women''s Individual]],MATCH(Table92[[#This Row],[Country]],Tabela1[Country], 0),0))</f>
        <v>0</v>
      </c>
      <c r="N171" s="6">
        <f>SUM(INDEX(Tabela1[[Canoeing - Men''s C1 Slalom]:[Canoeing - Women''s Kayak Cross Slalom]],MATCH(Table92[[#This Row],[Country]],Tabela1[Country], 0),0))</f>
        <v>0</v>
      </c>
      <c r="O171" s="6">
        <f>SUM(INDEX(Tabela1[[Canoeing - Women''s C1 200m]:[Canoeing - Women''s K4 500m]],MATCH(Table92[[#This Row],[Country]],Tabela1[Country], 0),0))</f>
        <v>0</v>
      </c>
      <c r="P171" s="6">
        <f>SUM(INDEX(Tabela1[[Cycling - Men''s BMX Freestyle]:[Cycling - Women''s BMX Freestyle]],MATCH(Table92[[#This Row],[Country]],Tabela1[Country], 0),0))</f>
        <v>0</v>
      </c>
      <c r="Q171" s="6">
        <f>SUM(INDEX(Tabela1[[Cycling - Men''s BMX Racing]:[Cycling - Women''s BMX Racing]],MATCH(Table92[[#This Row],[Country]],Tabela1[Country], 0),0))</f>
        <v>0</v>
      </c>
      <c r="R171" s="6">
        <f>SUM(INDEX(Tabela1[[Cycling - Men''s Cross-Country]:[Cycling - Women''s Cross-Country]],MATCH(Table92[[#This Row],[Country]],Tabela1[Country], 0),0))</f>
        <v>0</v>
      </c>
      <c r="S171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71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71" s="6">
        <f>SUM(INDEX(Tabela1[[Diving - Men''s Springboard]:[Diving - Women''s Synchronized Platform]],MATCH(Table92[[#This Row],[Country]],Tabela1[Country], 0),0))</f>
        <v>0</v>
      </c>
      <c r="V171" s="6">
        <f>SUM(INDEX(Tabela1[[Equestrian - Individual Dressage]:[Equestrian - Team Dressage]],MATCH(Table92[[#This Row],[Country]],Tabela1[Country], 0),0))</f>
        <v>0</v>
      </c>
      <c r="W171" s="6">
        <f>SUM(INDEX(Tabela1[[Equestrian - Individual Eventing]:[Equestrian - Team Eventing]],MATCH(Table92[[#This Row],[Country]],Tabela1[Country], 0),0))</f>
        <v>0</v>
      </c>
      <c r="X171" s="6">
        <f>SUM(INDEX(Tabela1[[Equestrian - Individual Jumping]:[Equestrian - Team Jumping]],MATCH(Table92[[#This Row],[Country]],Tabela1[Country], 0),0))</f>
        <v>0</v>
      </c>
      <c r="Y171" s="6">
        <f>SUM(INDEX(Tabela1[[Fencing - Men''s Épée]:[Fencing - Women''s Team Sabre]],MATCH(Table92[[#This Row],[Country]],Tabela1[Country], 0),0))</f>
        <v>0</v>
      </c>
      <c r="Z171" s="6">
        <f>SUM(INDEX(Tabela1[[Field Hockey - Men''s Tournament]:[Field Hockey - Women''s Tournament]],MATCH(Table92[[#This Row],[Country]],Tabela1[Country], 0),0))</f>
        <v>0</v>
      </c>
      <c r="AA171" s="6">
        <f>SUM(INDEX(Tabela1[[Football - Men''s Tournament]:[Football - Women''s Tournament]],MATCH(Table92[[#This Row],[Country]],Tabela1[Country], 0),0))</f>
        <v>0</v>
      </c>
      <c r="AB171" s="6">
        <f>SUM(INDEX(Tabela1[[Golf - Men''s Individual]:[Golf - Women''s Individual]],MATCH(Table92[[#This Row],[Country]],Tabela1[Country], 0),0))</f>
        <v>0</v>
      </c>
      <c r="AC171" s="6">
        <f>SUM(INDEX(Tabela1[[Handball - Men''s Tournament]:[Handball - Women''s Tournament]],MATCH(Table92[[#This Row],[Country]],Tabela1[Country], 0),0))</f>
        <v>0</v>
      </c>
      <c r="AD171" s="6">
        <f>SUM(INDEX(Tabela1[[Judo - Men''s 60kg]:[Judo - Mixed Team]],MATCH(Table92[[#This Row],[Country]],Tabela1[Country], 0),0))</f>
        <v>0</v>
      </c>
      <c r="AE171" s="6">
        <f>SUM(INDEX(Tabela1[[Swimming - Men''s 10km Open Water]:[Swimming - Women''s 10km Open Water]],MATCH(Table92[[#This Row],[Country]],Tabela1[Country], 0),0))</f>
        <v>0</v>
      </c>
      <c r="AF171" s="6">
        <f>SUM(INDEX(Tabela1[[Modern Pentathlon - Men''s Individual]:[Modern Pentathlon - Women''s Individual]],MATCH(Table92[[#This Row],[Country]],Tabela1[Country], 0),0))</f>
        <v>0</v>
      </c>
      <c r="AG171" s="6">
        <f>SUM(INDEX(Tabela1[[Rhythmic Gymnastics - Women''s Individual All-Around]:[Rhythmic Gymnastics - Women''s Group All-Around]],MATCH(Table92[[#This Row],[Country]],Tabela1[Country], 0),0))</f>
        <v>0</v>
      </c>
      <c r="AH171" s="6">
        <f>SUM(INDEX(Tabela1[[Rowing - Men''s Single Sculls]:[Rowing - Women''s Lwt. Double Sculls]],MATCH(Table92[[#This Row],[Country]],Tabela1[Country], 0),0))</f>
        <v>0</v>
      </c>
      <c r="AI171" s="6">
        <f>SUM(INDEX(Tabela1[[Rugby Sevens - Men''s Tournament]:[Rugby Sevens - Women''s Tournament]],MATCH(Table92[[#This Row],[Country]],Tabela1[Country], 0),0))</f>
        <v>0</v>
      </c>
      <c r="AJ171" s="6">
        <f>SUM(INDEX(Tabela1[[Sailing - Mixed 470]:[Sailing - Mixed Nacra 17]],MATCH(Table92[[#This Row],[Country]],Tabela1[Country], 0),0))</f>
        <v>0</v>
      </c>
      <c r="AK171" s="6">
        <f>SUM(INDEX(Tabela1[[Shooting - Men''s 10m Air Pistol]:[Shooting - Women''s Trap]],MATCH(Table92[[#This Row],[Country]],Tabela1[Country], 0),0))</f>
        <v>0</v>
      </c>
      <c r="AL171" s="6">
        <f>SUM(INDEX(Tabela1[[Skateboarding - Men''s Park]:[Skateboarding - Women''s Street]],MATCH(Table92[[#This Row],[Country]],Tabela1[Country], 0),0))</f>
        <v>0</v>
      </c>
      <c r="AM171" s="6">
        <f>SUM(INDEX(Tabela1[[Sport Climbing - Men''s Boulder and Lead]:[Sport Climbing - Women''s Speed]],MATCH(Table92[[#This Row],[Country]],Tabela1[Country], 0),0))</f>
        <v>0</v>
      </c>
      <c r="AN171" s="6">
        <f>SUM(INDEX(Tabela1[[Surfing - Men''s Shortboard]:[Surfing - Women''s Shortboard]],MATCH(Table92[[#This Row],[Country]],Tabela1[Country], 0),0))</f>
        <v>0</v>
      </c>
      <c r="AO171" s="6">
        <f>SUM(INDEX(Tabela1[[Swimming - Men''s 50m Freestyle]:[Swimming - Mixed 4x100m Medley Relay]],MATCH(Table92[[#This Row],[Country]],Tabela1[Country], 0),0))</f>
        <v>0</v>
      </c>
      <c r="AP171" s="6">
        <f>SUM(INDEX(Tabela1[[Table Tennis - Men''s Singles]:[Table Tennis - Mixed Doubles]],MATCH(Table92[[#This Row],[Country]],Tabela1[Country], 0),0))</f>
        <v>0</v>
      </c>
      <c r="AQ171" s="6">
        <f>SUM(INDEX(Tabela1[[Taekwondo - Men''s 58kg]:[Taekwondo - Women''s +67kg]],MATCH(Table92[[#This Row],[Country]],Tabela1[Country], 0),0))</f>
        <v>0</v>
      </c>
      <c r="AR171" s="6">
        <f>SUM(INDEX(Tabela1[[Tennis - Men''s Singles]:[Tennis - Mixed Doubles]],MATCH(Table92[[#This Row],[Country]],Tabela1[Country], 0),0))</f>
        <v>0</v>
      </c>
      <c r="AS171" s="6">
        <f>SUM(INDEX(Tabela1[[Gymnastics - Men''s Trampoline]:[Gymnastics - Women''s Trampoline]],MATCH(Table92[[#This Row],[Country]],Tabela1[Country], 0),0))</f>
        <v>0</v>
      </c>
      <c r="AT171" s="6">
        <f>SUM(INDEX(Tabela1[[Triathlon - Men''s Individual]:[Triathlon - Mixed Relay]],MATCH(Table92[[#This Row],[Country]],Tabela1[Country], 0),0))</f>
        <v>0</v>
      </c>
      <c r="AU171" s="6">
        <f>SUM(INDEX(Tabela1[[Volleyball - Men''s Tournament]:[Volleyball - Women''s Tournament]],MATCH(Table92[[#This Row],[Country]],Tabela1[Country], 0),0))</f>
        <v>0</v>
      </c>
      <c r="AV171" s="6">
        <f>SUM(INDEX(Tabela1[[Water Polo - Men''s Tournament]:[Water Polo - Women''s Tournament]],MATCH(Table92[[#This Row],[Country]],Tabela1[Country], 0),0))</f>
        <v>0</v>
      </c>
      <c r="AW171" s="6">
        <f>SUM(INDEX(Tabela1[[Weightlifting - Men''s 61kg]:[Weightlifting - Women''s +81kg]],MATCH(Table92[[#This Row],[Country]],Tabela1[Country], 0),0))</f>
        <v>0</v>
      </c>
      <c r="AX171" s="6">
        <f>SUM(INDEX(Tabela1[[Wrestling - Men''s Freestyle 57kg]:[Wrestling - Women''s Freestyle 76kg]],MATCH(Table92[[#This Row],[Country]],Tabela1[Country], 0),0))</f>
        <v>0</v>
      </c>
      <c r="AY171" s="6">
        <f>SUM(INDEX(Tabela1[[Alpine Skiing - Men''s Downhill]:[Alpine Skiing - Women''s Team Combined]],MATCH(Table92[[#This Row],[Country]],Tabela1[Country], 0),0))</f>
        <v>0</v>
      </c>
      <c r="AZ171" s="6">
        <f>SUM(INDEX(Tabela1[[Biathlon - Men''s Individual]:[Biathlon - Mixed Relay]],MATCH(Table92[[#This Row],[Country]],Tabela1[Country], 0),0))</f>
        <v>0</v>
      </c>
      <c r="BA171" s="6">
        <f>SUM(INDEX(Tabela1[[Bobsleigh - Women''s Monobob]:[Bobsleigh - Men''s Four]],MATCH(Table92[[#This Row],[Country]],Tabela1[Country], 0),0))</f>
        <v>0</v>
      </c>
      <c r="BB171" s="6">
        <f>SUM(INDEX(Tabela1[[Cross-country skiing - Men''s Classical]:[Cross-country skiing - Women''s Team Sprint]],MATCH(Table92[[#This Row],[Country]],Tabela1[Country], 0),0))</f>
        <v>0</v>
      </c>
      <c r="BC171" s="6">
        <f>SUM(INDEX(Tabela1[[Curling - Men''s Tournament]:[Curling - Mixed Doubles]],MATCH(Table92[[#This Row],[Country]],Tabela1[Country], 0),0))</f>
        <v>0</v>
      </c>
      <c r="BD171" s="6">
        <f>SUM(INDEX(Tabela1[[Figure Skating - Men''s Singles]:[Figure Skating - Team Event]],MATCH(Table92[[#This Row],[Country]],Tabela1[Country], 0),0))</f>
        <v>0</v>
      </c>
      <c r="BE171" s="6">
        <f>SUM(INDEX(Tabela1[[Freestyle Skiing - Men''s Aerials]:[Freestyle Skiing - Women''s Slopestyle]],MATCH(Table92[[#This Row],[Country]],Tabela1[Country], 0),0))</f>
        <v>0</v>
      </c>
      <c r="BF171" s="6">
        <f>SUM(INDEX(Tabela1[[Ice Hockey - Men''s Tournament]:[Ice Hockey - Women''s Tournament]],MATCH(Table92[[#This Row],[Country]],Tabela1[Country], 0),0))</f>
        <v>0</v>
      </c>
      <c r="BG171" s="6">
        <f>SUM(INDEX(Tabela1[[Luge - Men''s Singles]:[Luge - Mixed Team Relay]],MATCH(Table92[[#This Row],[Country]],Tabela1[Country], 0),0))</f>
        <v>0</v>
      </c>
      <c r="BH171" s="6">
        <f>SUM(INDEX(Tabela1[[Nordic Combined - Men''s Individual]:[Nordic Combined - Men''s Team Sprint Large Hill]],MATCH(Table92[[#This Row],[Country]],Tabela1[Country], 0),0))</f>
        <v>0</v>
      </c>
      <c r="BI171" s="6">
        <f>SUM(INDEX(Tabela1[[Short track speed skating - Men''s 500m]:[Short track speed skating - Mixed 2000m Relay]],MATCH(Table92[[#This Row],[Country]],Tabela1[Country], 0),0))</f>
        <v>0</v>
      </c>
      <c r="BJ171" s="6">
        <f>SUM(INDEX(Tabela1[[Skeleton - Men''s Individual]:[Skeleton - Mixed Team]],MATCH(Table92[[#This Row],[Country]],Tabela1[Country], 0),0))</f>
        <v>0</v>
      </c>
      <c r="BK171" s="6">
        <f>SUM(INDEX(Tabela1[[Ski Jumping - Men''s Individual Large Hill]:[Ski Jumping - Mixed Team Normal Hill]],MATCH(Table92[[#This Row],[Country]],Tabela1[Country], 0),0))</f>
        <v>0</v>
      </c>
      <c r="BL171" s="6">
        <f>SUM(INDEX(Tabela1[[Ski Mountaineering - Men''s Sprint]:[Ski Mountaineering - Mixed Relay]],MATCH(Table92[[#This Row],[Country]],Tabela1[Country], 0),0))</f>
        <v>0</v>
      </c>
      <c r="BM171" s="6">
        <f>SUM(INDEX(Tabela1[[Snowboarding - Men''s Big Air]:[Snowboarding - Mixed Team Snowboard Cross]],MATCH(Table92[[#This Row],[Country]],Tabela1[Country], 0),0))</f>
        <v>0</v>
      </c>
      <c r="BN171" s="6">
        <f>SUM(INDEX(Tabela1[[Speed Skating - Men''s 500m]:[Speed Skating - Women''s Team Pursuit]],MATCH(Table92[[#This Row],[Country]],Tabela1[Country], 0),0))</f>
        <v>0</v>
      </c>
      <c r="BO171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71" s="6">
        <f>SUM(Table92[[#This Row],[Summer Sports]:[Winter Sports]])</f>
        <v>0</v>
      </c>
      <c r="BQ171" s="6">
        <f>COUNTIF(Table92[[#This Row],[Archery Quotas]:[Wrestling Quotas]],"&lt;&gt;0")</f>
        <v>0</v>
      </c>
      <c r="BR171" s="6">
        <f>COUNTIF(Table92[[#This Row],[Alpine Skiing Quotas]:[Speed Skating Quotas]],"&lt;&gt;0")</f>
        <v>0</v>
      </c>
      <c r="BS171" s="3" t="s">
        <v>575</v>
      </c>
    </row>
    <row r="172" spans="1:71" x14ac:dyDescent="0.3">
      <c r="A172" s="6" t="s">
        <v>416</v>
      </c>
      <c r="B172" t="e" vm="177">
        <f>IF(ISBLANK(Table92[[#This Row],[Flag Link]]), "", _xlfn.IMAGE(Table92[[#This Row],[Flag Link]],1,1))</f>
        <v>#VALUE!</v>
      </c>
      <c r="C172" s="6">
        <f>SUM(Table92[[#This Row],[Archery Quotas]:[Speed Skating Quotas]])</f>
        <v>0</v>
      </c>
      <c r="D172" s="6">
        <f>SUM(INDEX(Tabela1[[Archery - Men''s Individual Recurve]:[Archery - Mixed Team Recurve]],MATCH(Table92[[#This Row],[Country]],Tabela1[Country], 0),0))</f>
        <v>0</v>
      </c>
      <c r="E172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72" s="6">
        <f>SUM(INDEX(Tabela1[[Artistic Swimming - Women''s Duet]:[Artistic Swimming - Women''s Team]],MATCH(Table92[[#This Row],[Country]],Tabela1[Country], 0),0))</f>
        <v>0</v>
      </c>
      <c r="G172" s="6">
        <f>SUM(INDEX(Tabela1[[Athletics - Men''s 100m]:[Athletics - Women''s Heptathlon]],MATCH(Table92[[#This Row],[Country]],Tabela1[Country], 0),0))</f>
        <v>0</v>
      </c>
      <c r="H172" s="6">
        <f>SUM(INDEX(Tabela1[[Badminton - Men''s Singles]:[Badminton - Mixed Doubles]],MATCH(Table92[[#This Row],[Country]],Tabela1[Country], 0),0))</f>
        <v>0</v>
      </c>
      <c r="I172" s="6">
        <f>SUM(INDEX(Tabela1[[Basketball - Men''s Tournament]:[Basketball - Women''s Tournament]],MATCH(Table92[[#This Row],[Country]],Tabela1[Country], 0),0))</f>
        <v>0</v>
      </c>
      <c r="J172" s="6">
        <f>SUM(INDEX(Tabela1[[3x3 Basketball - Men''s Tournament]:[3x3 Basketball - Women''s Tournament]],MATCH(Table92[[#This Row],[Country]],Tabela1[Country], 0),0))</f>
        <v>0</v>
      </c>
      <c r="K172" s="6">
        <f>SUM(INDEX(Tabela1[[Beach Volleyball - Men''s Tournament]:[Beach Volleyball - Women''s Tournament]],MATCH(Table92[[#This Row],[Country]],Tabela1[Country], 0),0))</f>
        <v>0</v>
      </c>
      <c r="L172" s="6">
        <f>SUM(INDEX(Tabela1[[Boxing - Men''s 51kg]:[Boxing - Women''s 75kg]],MATCH(Table92[[#This Row],[Country]],Tabela1[Country], 0),0))</f>
        <v>0</v>
      </c>
      <c r="M172" s="6">
        <f>SUM(INDEX(Tabela1[[Breaking - Men''s Individual]:[Breaking - Women''s Individual]],MATCH(Table92[[#This Row],[Country]],Tabela1[Country], 0),0))</f>
        <v>0</v>
      </c>
      <c r="N172" s="6">
        <f>SUM(INDEX(Tabela1[[Canoeing - Men''s C1 Slalom]:[Canoeing - Women''s Kayak Cross Slalom]],MATCH(Table92[[#This Row],[Country]],Tabela1[Country], 0),0))</f>
        <v>0</v>
      </c>
      <c r="O172" s="6">
        <f>SUM(INDEX(Tabela1[[Canoeing - Women''s C1 200m]:[Canoeing - Women''s K4 500m]],MATCH(Table92[[#This Row],[Country]],Tabela1[Country], 0),0))</f>
        <v>0</v>
      </c>
      <c r="P172" s="6">
        <f>SUM(INDEX(Tabela1[[Cycling - Men''s BMX Freestyle]:[Cycling - Women''s BMX Freestyle]],MATCH(Table92[[#This Row],[Country]],Tabela1[Country], 0),0))</f>
        <v>0</v>
      </c>
      <c r="Q172" s="6">
        <f>SUM(INDEX(Tabela1[[Cycling - Men''s BMX Racing]:[Cycling - Women''s BMX Racing]],MATCH(Table92[[#This Row],[Country]],Tabela1[Country], 0),0))</f>
        <v>0</v>
      </c>
      <c r="R172" s="6">
        <f>SUM(INDEX(Tabela1[[Cycling - Men''s Cross-Country]:[Cycling - Women''s Cross-Country]],MATCH(Table92[[#This Row],[Country]],Tabela1[Country], 0),0))</f>
        <v>0</v>
      </c>
      <c r="S172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72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72" s="6">
        <f>SUM(INDEX(Tabela1[[Diving - Men''s Springboard]:[Diving - Women''s Synchronized Platform]],MATCH(Table92[[#This Row],[Country]],Tabela1[Country], 0),0))</f>
        <v>0</v>
      </c>
      <c r="V172" s="6">
        <f>SUM(INDEX(Tabela1[[Equestrian - Individual Dressage]:[Equestrian - Team Dressage]],MATCH(Table92[[#This Row],[Country]],Tabela1[Country], 0),0))</f>
        <v>0</v>
      </c>
      <c r="W172" s="6">
        <f>SUM(INDEX(Tabela1[[Equestrian - Individual Eventing]:[Equestrian - Team Eventing]],MATCH(Table92[[#This Row],[Country]],Tabela1[Country], 0),0))</f>
        <v>0</v>
      </c>
      <c r="X172" s="6">
        <f>SUM(INDEX(Tabela1[[Equestrian - Individual Jumping]:[Equestrian - Team Jumping]],MATCH(Table92[[#This Row],[Country]],Tabela1[Country], 0),0))</f>
        <v>0</v>
      </c>
      <c r="Y172" s="6">
        <f>SUM(INDEX(Tabela1[[Fencing - Men''s Épée]:[Fencing - Women''s Team Sabre]],MATCH(Table92[[#This Row],[Country]],Tabela1[Country], 0),0))</f>
        <v>0</v>
      </c>
      <c r="Z172" s="6">
        <f>SUM(INDEX(Tabela1[[Field Hockey - Men''s Tournament]:[Field Hockey - Women''s Tournament]],MATCH(Table92[[#This Row],[Country]],Tabela1[Country], 0),0))</f>
        <v>0</v>
      </c>
      <c r="AA172" s="6">
        <f>SUM(INDEX(Tabela1[[Football - Men''s Tournament]:[Football - Women''s Tournament]],MATCH(Table92[[#This Row],[Country]],Tabela1[Country], 0),0))</f>
        <v>0</v>
      </c>
      <c r="AB172" s="6">
        <f>SUM(INDEX(Tabela1[[Golf - Men''s Individual]:[Golf - Women''s Individual]],MATCH(Table92[[#This Row],[Country]],Tabela1[Country], 0),0))</f>
        <v>0</v>
      </c>
      <c r="AC172" s="6">
        <f>SUM(INDEX(Tabela1[[Handball - Men''s Tournament]:[Handball - Women''s Tournament]],MATCH(Table92[[#This Row],[Country]],Tabela1[Country], 0),0))</f>
        <v>0</v>
      </c>
      <c r="AD172" s="6">
        <f>SUM(INDEX(Tabela1[[Judo - Men''s 60kg]:[Judo - Mixed Team]],MATCH(Table92[[#This Row],[Country]],Tabela1[Country], 0),0))</f>
        <v>0</v>
      </c>
      <c r="AE172" s="6">
        <f>SUM(INDEX(Tabela1[[Swimming - Men''s 10km Open Water]:[Swimming - Women''s 10km Open Water]],MATCH(Table92[[#This Row],[Country]],Tabela1[Country], 0),0))</f>
        <v>0</v>
      </c>
      <c r="AF172" s="6">
        <f>SUM(INDEX(Tabela1[[Modern Pentathlon - Men''s Individual]:[Modern Pentathlon - Women''s Individual]],MATCH(Table92[[#This Row],[Country]],Tabela1[Country], 0),0))</f>
        <v>0</v>
      </c>
      <c r="AG172" s="6">
        <f>SUM(INDEX(Tabela1[[Rhythmic Gymnastics - Women''s Individual All-Around]:[Rhythmic Gymnastics - Women''s Group All-Around]],MATCH(Table92[[#This Row],[Country]],Tabela1[Country], 0),0))</f>
        <v>0</v>
      </c>
      <c r="AH172" s="6">
        <f>SUM(INDEX(Tabela1[[Rowing - Men''s Single Sculls]:[Rowing - Women''s Lwt. Double Sculls]],MATCH(Table92[[#This Row],[Country]],Tabela1[Country], 0),0))</f>
        <v>0</v>
      </c>
      <c r="AI172" s="6">
        <f>SUM(INDEX(Tabela1[[Rugby Sevens - Men''s Tournament]:[Rugby Sevens - Women''s Tournament]],MATCH(Table92[[#This Row],[Country]],Tabela1[Country], 0),0))</f>
        <v>0</v>
      </c>
      <c r="AJ172" s="6">
        <f>SUM(INDEX(Tabela1[[Sailing - Mixed 470]:[Sailing - Mixed Nacra 17]],MATCH(Table92[[#This Row],[Country]],Tabela1[Country], 0),0))</f>
        <v>0</v>
      </c>
      <c r="AK172" s="6">
        <f>SUM(INDEX(Tabela1[[Shooting - Men''s 10m Air Pistol]:[Shooting - Women''s Trap]],MATCH(Table92[[#This Row],[Country]],Tabela1[Country], 0),0))</f>
        <v>0</v>
      </c>
      <c r="AL172" s="6">
        <f>SUM(INDEX(Tabela1[[Skateboarding - Men''s Park]:[Skateboarding - Women''s Street]],MATCH(Table92[[#This Row],[Country]],Tabela1[Country], 0),0))</f>
        <v>0</v>
      </c>
      <c r="AM172" s="6">
        <f>SUM(INDEX(Tabela1[[Sport Climbing - Men''s Boulder and Lead]:[Sport Climbing - Women''s Speed]],MATCH(Table92[[#This Row],[Country]],Tabela1[Country], 0),0))</f>
        <v>0</v>
      </c>
      <c r="AN172" s="6">
        <f>SUM(INDEX(Tabela1[[Surfing - Men''s Shortboard]:[Surfing - Women''s Shortboard]],MATCH(Table92[[#This Row],[Country]],Tabela1[Country], 0),0))</f>
        <v>0</v>
      </c>
      <c r="AO172" s="6">
        <f>SUM(INDEX(Tabela1[[Swimming - Men''s 50m Freestyle]:[Swimming - Mixed 4x100m Medley Relay]],MATCH(Table92[[#This Row],[Country]],Tabela1[Country], 0),0))</f>
        <v>0</v>
      </c>
      <c r="AP172" s="6">
        <f>SUM(INDEX(Tabela1[[Table Tennis - Men''s Singles]:[Table Tennis - Mixed Doubles]],MATCH(Table92[[#This Row],[Country]],Tabela1[Country], 0),0))</f>
        <v>0</v>
      </c>
      <c r="AQ172" s="6">
        <f>SUM(INDEX(Tabela1[[Taekwondo - Men''s 58kg]:[Taekwondo - Women''s +67kg]],MATCH(Table92[[#This Row],[Country]],Tabela1[Country], 0),0))</f>
        <v>0</v>
      </c>
      <c r="AR172" s="6">
        <f>SUM(INDEX(Tabela1[[Tennis - Men''s Singles]:[Tennis - Mixed Doubles]],MATCH(Table92[[#This Row],[Country]],Tabela1[Country], 0),0))</f>
        <v>0</v>
      </c>
      <c r="AS172" s="6">
        <f>SUM(INDEX(Tabela1[[Gymnastics - Men''s Trampoline]:[Gymnastics - Women''s Trampoline]],MATCH(Table92[[#This Row],[Country]],Tabela1[Country], 0),0))</f>
        <v>0</v>
      </c>
      <c r="AT172" s="6">
        <f>SUM(INDEX(Tabela1[[Triathlon - Men''s Individual]:[Triathlon - Mixed Relay]],MATCH(Table92[[#This Row],[Country]],Tabela1[Country], 0),0))</f>
        <v>0</v>
      </c>
      <c r="AU172" s="6">
        <f>SUM(INDEX(Tabela1[[Volleyball - Men''s Tournament]:[Volleyball - Women''s Tournament]],MATCH(Table92[[#This Row],[Country]],Tabela1[Country], 0),0))</f>
        <v>0</v>
      </c>
      <c r="AV172" s="6">
        <f>SUM(INDEX(Tabela1[[Water Polo - Men''s Tournament]:[Water Polo - Women''s Tournament]],MATCH(Table92[[#This Row],[Country]],Tabela1[Country], 0),0))</f>
        <v>0</v>
      </c>
      <c r="AW172" s="6">
        <f>SUM(INDEX(Tabela1[[Weightlifting - Men''s 61kg]:[Weightlifting - Women''s +81kg]],MATCH(Table92[[#This Row],[Country]],Tabela1[Country], 0),0))</f>
        <v>0</v>
      </c>
      <c r="AX172" s="6">
        <f>SUM(INDEX(Tabela1[[Wrestling - Men''s Freestyle 57kg]:[Wrestling - Women''s Freestyle 76kg]],MATCH(Table92[[#This Row],[Country]],Tabela1[Country], 0),0))</f>
        <v>0</v>
      </c>
      <c r="AY172" s="6">
        <f>SUM(INDEX(Tabela1[[Alpine Skiing - Men''s Downhill]:[Alpine Skiing - Women''s Team Combined]],MATCH(Table92[[#This Row],[Country]],Tabela1[Country], 0),0))</f>
        <v>0</v>
      </c>
      <c r="AZ172" s="6">
        <f>SUM(INDEX(Tabela1[[Biathlon - Men''s Individual]:[Biathlon - Mixed Relay]],MATCH(Table92[[#This Row],[Country]],Tabela1[Country], 0),0))</f>
        <v>0</v>
      </c>
      <c r="BA172" s="6">
        <f>SUM(INDEX(Tabela1[[Bobsleigh - Women''s Monobob]:[Bobsleigh - Men''s Four]],MATCH(Table92[[#This Row],[Country]],Tabela1[Country], 0),0))</f>
        <v>0</v>
      </c>
      <c r="BB172" s="6">
        <f>SUM(INDEX(Tabela1[[Cross-country skiing - Men''s Classical]:[Cross-country skiing - Women''s Team Sprint]],MATCH(Table92[[#This Row],[Country]],Tabela1[Country], 0),0))</f>
        <v>0</v>
      </c>
      <c r="BC172" s="6">
        <f>SUM(INDEX(Tabela1[[Curling - Men''s Tournament]:[Curling - Mixed Doubles]],MATCH(Table92[[#This Row],[Country]],Tabela1[Country], 0),0))</f>
        <v>0</v>
      </c>
      <c r="BD172" s="6">
        <f>SUM(INDEX(Tabela1[[Figure Skating - Men''s Singles]:[Figure Skating - Team Event]],MATCH(Table92[[#This Row],[Country]],Tabela1[Country], 0),0))</f>
        <v>0</v>
      </c>
      <c r="BE172" s="6">
        <f>SUM(INDEX(Tabela1[[Freestyle Skiing - Men''s Aerials]:[Freestyle Skiing - Women''s Slopestyle]],MATCH(Table92[[#This Row],[Country]],Tabela1[Country], 0),0))</f>
        <v>0</v>
      </c>
      <c r="BF172" s="6">
        <f>SUM(INDEX(Tabela1[[Ice Hockey - Men''s Tournament]:[Ice Hockey - Women''s Tournament]],MATCH(Table92[[#This Row],[Country]],Tabela1[Country], 0),0))</f>
        <v>0</v>
      </c>
      <c r="BG172" s="6">
        <f>SUM(INDEX(Tabela1[[Luge - Men''s Singles]:[Luge - Mixed Team Relay]],MATCH(Table92[[#This Row],[Country]],Tabela1[Country], 0),0))</f>
        <v>0</v>
      </c>
      <c r="BH172" s="6">
        <f>SUM(INDEX(Tabela1[[Nordic Combined - Men''s Individual]:[Nordic Combined - Men''s Team Sprint Large Hill]],MATCH(Table92[[#This Row],[Country]],Tabela1[Country], 0),0))</f>
        <v>0</v>
      </c>
      <c r="BI172" s="6">
        <f>SUM(INDEX(Tabela1[[Short track speed skating - Men''s 500m]:[Short track speed skating - Mixed 2000m Relay]],MATCH(Table92[[#This Row],[Country]],Tabela1[Country], 0),0))</f>
        <v>0</v>
      </c>
      <c r="BJ172" s="6">
        <f>SUM(INDEX(Tabela1[[Skeleton - Men''s Individual]:[Skeleton - Mixed Team]],MATCH(Table92[[#This Row],[Country]],Tabela1[Country], 0),0))</f>
        <v>0</v>
      </c>
      <c r="BK172" s="6">
        <f>SUM(INDEX(Tabela1[[Ski Jumping - Men''s Individual Large Hill]:[Ski Jumping - Mixed Team Normal Hill]],MATCH(Table92[[#This Row],[Country]],Tabela1[Country], 0),0))</f>
        <v>0</v>
      </c>
      <c r="BL172" s="6">
        <f>SUM(INDEX(Tabela1[[Ski Mountaineering - Men''s Sprint]:[Ski Mountaineering - Mixed Relay]],MATCH(Table92[[#This Row],[Country]],Tabela1[Country], 0),0))</f>
        <v>0</v>
      </c>
      <c r="BM172" s="6">
        <f>SUM(INDEX(Tabela1[[Snowboarding - Men''s Big Air]:[Snowboarding - Mixed Team Snowboard Cross]],MATCH(Table92[[#This Row],[Country]],Tabela1[Country], 0),0))</f>
        <v>0</v>
      </c>
      <c r="BN172" s="6">
        <f>SUM(INDEX(Tabela1[[Speed Skating - Men''s 500m]:[Speed Skating - Women''s Team Pursuit]],MATCH(Table92[[#This Row],[Country]],Tabela1[Country], 0),0))</f>
        <v>0</v>
      </c>
      <c r="BO172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72" s="6">
        <f>SUM(Table92[[#This Row],[Summer Sports]:[Winter Sports]])</f>
        <v>0</v>
      </c>
      <c r="BQ172" s="6">
        <f>COUNTIF(Table92[[#This Row],[Archery Quotas]:[Wrestling Quotas]],"&lt;&gt;0")</f>
        <v>0</v>
      </c>
      <c r="BR172" s="6">
        <f>COUNTIF(Table92[[#This Row],[Alpine Skiing Quotas]:[Speed Skating Quotas]],"&lt;&gt;0")</f>
        <v>0</v>
      </c>
      <c r="BS172" s="4" t="s">
        <v>417</v>
      </c>
    </row>
    <row r="173" spans="1:71" x14ac:dyDescent="0.3">
      <c r="A173" s="6" t="s">
        <v>418</v>
      </c>
      <c r="B173" t="e" vm="154">
        <f>IF(ISBLANK(Table92[[#This Row],[Flag Link]]), "", _xlfn.IMAGE(Table92[[#This Row],[Flag Link]],1,1))</f>
        <v>#VALUE!</v>
      </c>
      <c r="C173" s="6">
        <f>SUM(Table92[[#This Row],[Archery Quotas]:[Speed Skating Quotas]])</f>
        <v>0</v>
      </c>
      <c r="D173" s="6">
        <f>SUM(INDEX(Tabela1[[Archery - Men''s Individual Recurve]:[Archery - Mixed Team Recurve]],MATCH(Table92[[#This Row],[Country]],Tabela1[Country], 0),0))</f>
        <v>0</v>
      </c>
      <c r="E173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73" s="6">
        <f>SUM(INDEX(Tabela1[[Artistic Swimming - Women''s Duet]:[Artistic Swimming - Women''s Team]],MATCH(Table92[[#This Row],[Country]],Tabela1[Country], 0),0))</f>
        <v>0</v>
      </c>
      <c r="G173" s="6">
        <f>SUM(INDEX(Tabela1[[Athletics - Men''s 100m]:[Athletics - Women''s Heptathlon]],MATCH(Table92[[#This Row],[Country]],Tabela1[Country], 0),0))</f>
        <v>0</v>
      </c>
      <c r="H173" s="6">
        <f>SUM(INDEX(Tabela1[[Badminton - Men''s Singles]:[Badminton - Mixed Doubles]],MATCH(Table92[[#This Row],[Country]],Tabela1[Country], 0),0))</f>
        <v>0</v>
      </c>
      <c r="I173" s="6">
        <f>SUM(INDEX(Tabela1[[Basketball - Men''s Tournament]:[Basketball - Women''s Tournament]],MATCH(Table92[[#This Row],[Country]],Tabela1[Country], 0),0))</f>
        <v>0</v>
      </c>
      <c r="J173" s="6">
        <f>SUM(INDEX(Tabela1[[3x3 Basketball - Men''s Tournament]:[3x3 Basketball - Women''s Tournament]],MATCH(Table92[[#This Row],[Country]],Tabela1[Country], 0),0))</f>
        <v>0</v>
      </c>
      <c r="K173" s="6">
        <f>SUM(INDEX(Tabela1[[Beach Volleyball - Men''s Tournament]:[Beach Volleyball - Women''s Tournament]],MATCH(Table92[[#This Row],[Country]],Tabela1[Country], 0),0))</f>
        <v>0</v>
      </c>
      <c r="L173" s="6">
        <f>SUM(INDEX(Tabela1[[Boxing - Men''s 51kg]:[Boxing - Women''s 75kg]],MATCH(Table92[[#This Row],[Country]],Tabela1[Country], 0),0))</f>
        <v>0</v>
      </c>
      <c r="M173" s="6">
        <f>SUM(INDEX(Tabela1[[Breaking - Men''s Individual]:[Breaking - Women''s Individual]],MATCH(Table92[[#This Row],[Country]],Tabela1[Country], 0),0))</f>
        <v>0</v>
      </c>
      <c r="N173" s="6">
        <f>SUM(INDEX(Tabela1[[Canoeing - Men''s C1 Slalom]:[Canoeing - Women''s Kayak Cross Slalom]],MATCH(Table92[[#This Row],[Country]],Tabela1[Country], 0),0))</f>
        <v>0</v>
      </c>
      <c r="O173" s="6">
        <f>SUM(INDEX(Tabela1[[Canoeing - Women''s C1 200m]:[Canoeing - Women''s K4 500m]],MATCH(Table92[[#This Row],[Country]],Tabela1[Country], 0),0))</f>
        <v>0</v>
      </c>
      <c r="P173" s="6">
        <f>SUM(INDEX(Tabela1[[Cycling - Men''s BMX Freestyle]:[Cycling - Women''s BMX Freestyle]],MATCH(Table92[[#This Row],[Country]],Tabela1[Country], 0),0))</f>
        <v>0</v>
      </c>
      <c r="Q173" s="6">
        <f>SUM(INDEX(Tabela1[[Cycling - Men''s BMX Racing]:[Cycling - Women''s BMX Racing]],MATCH(Table92[[#This Row],[Country]],Tabela1[Country], 0),0))</f>
        <v>0</v>
      </c>
      <c r="R173" s="6">
        <f>SUM(INDEX(Tabela1[[Cycling - Men''s Cross-Country]:[Cycling - Women''s Cross-Country]],MATCH(Table92[[#This Row],[Country]],Tabela1[Country], 0),0))</f>
        <v>0</v>
      </c>
      <c r="S173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73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73" s="6">
        <f>SUM(INDEX(Tabela1[[Diving - Men''s Springboard]:[Diving - Women''s Synchronized Platform]],MATCH(Table92[[#This Row],[Country]],Tabela1[Country], 0),0))</f>
        <v>0</v>
      </c>
      <c r="V173" s="6">
        <f>SUM(INDEX(Tabela1[[Equestrian - Individual Dressage]:[Equestrian - Team Dressage]],MATCH(Table92[[#This Row],[Country]],Tabela1[Country], 0),0))</f>
        <v>0</v>
      </c>
      <c r="W173" s="6">
        <f>SUM(INDEX(Tabela1[[Equestrian - Individual Eventing]:[Equestrian - Team Eventing]],MATCH(Table92[[#This Row],[Country]],Tabela1[Country], 0),0))</f>
        <v>0</v>
      </c>
      <c r="X173" s="6">
        <f>SUM(INDEX(Tabela1[[Equestrian - Individual Jumping]:[Equestrian - Team Jumping]],MATCH(Table92[[#This Row],[Country]],Tabela1[Country], 0),0))</f>
        <v>0</v>
      </c>
      <c r="Y173" s="6">
        <f>SUM(INDEX(Tabela1[[Fencing - Men''s Épée]:[Fencing - Women''s Team Sabre]],MATCH(Table92[[#This Row],[Country]],Tabela1[Country], 0),0))</f>
        <v>0</v>
      </c>
      <c r="Z173" s="6">
        <f>SUM(INDEX(Tabela1[[Field Hockey - Men''s Tournament]:[Field Hockey - Women''s Tournament]],MATCH(Table92[[#This Row],[Country]],Tabela1[Country], 0),0))</f>
        <v>0</v>
      </c>
      <c r="AA173" s="6">
        <f>SUM(INDEX(Tabela1[[Football - Men''s Tournament]:[Football - Women''s Tournament]],MATCH(Table92[[#This Row],[Country]],Tabela1[Country], 0),0))</f>
        <v>0</v>
      </c>
      <c r="AB173" s="6">
        <f>SUM(INDEX(Tabela1[[Golf - Men''s Individual]:[Golf - Women''s Individual]],MATCH(Table92[[#This Row],[Country]],Tabela1[Country], 0),0))</f>
        <v>0</v>
      </c>
      <c r="AC173" s="6">
        <f>SUM(INDEX(Tabela1[[Handball - Men''s Tournament]:[Handball - Women''s Tournament]],MATCH(Table92[[#This Row],[Country]],Tabela1[Country], 0),0))</f>
        <v>0</v>
      </c>
      <c r="AD173" s="6">
        <f>SUM(INDEX(Tabela1[[Judo - Men''s 60kg]:[Judo - Mixed Team]],MATCH(Table92[[#This Row],[Country]],Tabela1[Country], 0),0))</f>
        <v>0</v>
      </c>
      <c r="AE173" s="6">
        <f>SUM(INDEX(Tabela1[[Swimming - Men''s 10km Open Water]:[Swimming - Women''s 10km Open Water]],MATCH(Table92[[#This Row],[Country]],Tabela1[Country], 0),0))</f>
        <v>0</v>
      </c>
      <c r="AF173" s="6">
        <f>SUM(INDEX(Tabela1[[Modern Pentathlon - Men''s Individual]:[Modern Pentathlon - Women''s Individual]],MATCH(Table92[[#This Row],[Country]],Tabela1[Country], 0),0))</f>
        <v>0</v>
      </c>
      <c r="AG173" s="6">
        <f>SUM(INDEX(Tabela1[[Rhythmic Gymnastics - Women''s Individual All-Around]:[Rhythmic Gymnastics - Women''s Group All-Around]],MATCH(Table92[[#This Row],[Country]],Tabela1[Country], 0),0))</f>
        <v>0</v>
      </c>
      <c r="AH173" s="6">
        <f>SUM(INDEX(Tabela1[[Rowing - Men''s Single Sculls]:[Rowing - Women''s Lwt. Double Sculls]],MATCH(Table92[[#This Row],[Country]],Tabela1[Country], 0),0))</f>
        <v>0</v>
      </c>
      <c r="AI173" s="6">
        <f>SUM(INDEX(Tabela1[[Rugby Sevens - Men''s Tournament]:[Rugby Sevens - Women''s Tournament]],MATCH(Table92[[#This Row],[Country]],Tabela1[Country], 0),0))</f>
        <v>0</v>
      </c>
      <c r="AJ173" s="6">
        <f>SUM(INDEX(Tabela1[[Sailing - Mixed 470]:[Sailing - Mixed Nacra 17]],MATCH(Table92[[#This Row],[Country]],Tabela1[Country], 0),0))</f>
        <v>0</v>
      </c>
      <c r="AK173" s="6">
        <f>SUM(INDEX(Tabela1[[Shooting - Men''s 10m Air Pistol]:[Shooting - Women''s Trap]],MATCH(Table92[[#This Row],[Country]],Tabela1[Country], 0),0))</f>
        <v>0</v>
      </c>
      <c r="AL173" s="6">
        <f>SUM(INDEX(Tabela1[[Skateboarding - Men''s Park]:[Skateboarding - Women''s Street]],MATCH(Table92[[#This Row],[Country]],Tabela1[Country], 0),0))</f>
        <v>0</v>
      </c>
      <c r="AM173" s="6">
        <f>SUM(INDEX(Tabela1[[Sport Climbing - Men''s Boulder and Lead]:[Sport Climbing - Women''s Speed]],MATCH(Table92[[#This Row],[Country]],Tabela1[Country], 0),0))</f>
        <v>0</v>
      </c>
      <c r="AN173" s="6">
        <f>SUM(INDEX(Tabela1[[Surfing - Men''s Shortboard]:[Surfing - Women''s Shortboard]],MATCH(Table92[[#This Row],[Country]],Tabela1[Country], 0),0))</f>
        <v>0</v>
      </c>
      <c r="AO173" s="6">
        <f>SUM(INDEX(Tabela1[[Swimming - Men''s 50m Freestyle]:[Swimming - Mixed 4x100m Medley Relay]],MATCH(Table92[[#This Row],[Country]],Tabela1[Country], 0),0))</f>
        <v>0</v>
      </c>
      <c r="AP173" s="6">
        <f>SUM(INDEX(Tabela1[[Table Tennis - Men''s Singles]:[Table Tennis - Mixed Doubles]],MATCH(Table92[[#This Row],[Country]],Tabela1[Country], 0),0))</f>
        <v>0</v>
      </c>
      <c r="AQ173" s="6">
        <f>SUM(INDEX(Tabela1[[Taekwondo - Men''s 58kg]:[Taekwondo - Women''s +67kg]],MATCH(Table92[[#This Row],[Country]],Tabela1[Country], 0),0))</f>
        <v>0</v>
      </c>
      <c r="AR173" s="6">
        <f>SUM(INDEX(Tabela1[[Tennis - Men''s Singles]:[Tennis - Mixed Doubles]],MATCH(Table92[[#This Row],[Country]],Tabela1[Country], 0),0))</f>
        <v>0</v>
      </c>
      <c r="AS173" s="6">
        <f>SUM(INDEX(Tabela1[[Gymnastics - Men''s Trampoline]:[Gymnastics - Women''s Trampoline]],MATCH(Table92[[#This Row],[Country]],Tabela1[Country], 0),0))</f>
        <v>0</v>
      </c>
      <c r="AT173" s="6">
        <f>SUM(INDEX(Tabela1[[Triathlon - Men''s Individual]:[Triathlon - Mixed Relay]],MATCH(Table92[[#This Row],[Country]],Tabela1[Country], 0),0))</f>
        <v>0</v>
      </c>
      <c r="AU173" s="6">
        <f>SUM(INDEX(Tabela1[[Volleyball - Men''s Tournament]:[Volleyball - Women''s Tournament]],MATCH(Table92[[#This Row],[Country]],Tabela1[Country], 0),0))</f>
        <v>0</v>
      </c>
      <c r="AV173" s="6">
        <f>SUM(INDEX(Tabela1[[Water Polo - Men''s Tournament]:[Water Polo - Women''s Tournament]],MATCH(Table92[[#This Row],[Country]],Tabela1[Country], 0),0))</f>
        <v>0</v>
      </c>
      <c r="AW173" s="6">
        <f>SUM(INDEX(Tabela1[[Weightlifting - Men''s 61kg]:[Weightlifting - Women''s +81kg]],MATCH(Table92[[#This Row],[Country]],Tabela1[Country], 0),0))</f>
        <v>0</v>
      </c>
      <c r="AX173" s="6">
        <f>SUM(INDEX(Tabela1[[Wrestling - Men''s Freestyle 57kg]:[Wrestling - Women''s Freestyle 76kg]],MATCH(Table92[[#This Row],[Country]],Tabela1[Country], 0),0))</f>
        <v>0</v>
      </c>
      <c r="AY173" s="6">
        <f>SUM(INDEX(Tabela1[[Alpine Skiing - Men''s Downhill]:[Alpine Skiing - Women''s Team Combined]],MATCH(Table92[[#This Row],[Country]],Tabela1[Country], 0),0))</f>
        <v>0</v>
      </c>
      <c r="AZ173" s="6">
        <f>SUM(INDEX(Tabela1[[Biathlon - Men''s Individual]:[Biathlon - Mixed Relay]],MATCH(Table92[[#This Row],[Country]],Tabela1[Country], 0),0))</f>
        <v>0</v>
      </c>
      <c r="BA173" s="6">
        <f>SUM(INDEX(Tabela1[[Bobsleigh - Women''s Monobob]:[Bobsleigh - Men''s Four]],MATCH(Table92[[#This Row],[Country]],Tabela1[Country], 0),0))</f>
        <v>0</v>
      </c>
      <c r="BB173" s="6">
        <f>SUM(INDEX(Tabela1[[Cross-country skiing - Men''s Classical]:[Cross-country skiing - Women''s Team Sprint]],MATCH(Table92[[#This Row],[Country]],Tabela1[Country], 0),0))</f>
        <v>0</v>
      </c>
      <c r="BC173" s="6">
        <f>SUM(INDEX(Tabela1[[Curling - Men''s Tournament]:[Curling - Mixed Doubles]],MATCH(Table92[[#This Row],[Country]],Tabela1[Country], 0),0))</f>
        <v>0</v>
      </c>
      <c r="BD173" s="6">
        <f>SUM(INDEX(Tabela1[[Figure Skating - Men''s Singles]:[Figure Skating - Team Event]],MATCH(Table92[[#This Row],[Country]],Tabela1[Country], 0),0))</f>
        <v>0</v>
      </c>
      <c r="BE173" s="6">
        <f>SUM(INDEX(Tabela1[[Freestyle Skiing - Men''s Aerials]:[Freestyle Skiing - Women''s Slopestyle]],MATCH(Table92[[#This Row],[Country]],Tabela1[Country], 0),0))</f>
        <v>0</v>
      </c>
      <c r="BF173" s="6">
        <f>SUM(INDEX(Tabela1[[Ice Hockey - Men''s Tournament]:[Ice Hockey - Women''s Tournament]],MATCH(Table92[[#This Row],[Country]],Tabela1[Country], 0),0))</f>
        <v>0</v>
      </c>
      <c r="BG173" s="6">
        <f>SUM(INDEX(Tabela1[[Luge - Men''s Singles]:[Luge - Mixed Team Relay]],MATCH(Table92[[#This Row],[Country]],Tabela1[Country], 0),0))</f>
        <v>0</v>
      </c>
      <c r="BH173" s="6">
        <f>SUM(INDEX(Tabela1[[Nordic Combined - Men''s Individual]:[Nordic Combined - Men''s Team Sprint Large Hill]],MATCH(Table92[[#This Row],[Country]],Tabela1[Country], 0),0))</f>
        <v>0</v>
      </c>
      <c r="BI173" s="6">
        <f>SUM(INDEX(Tabela1[[Short track speed skating - Men''s 500m]:[Short track speed skating - Mixed 2000m Relay]],MATCH(Table92[[#This Row],[Country]],Tabela1[Country], 0),0))</f>
        <v>0</v>
      </c>
      <c r="BJ173" s="6">
        <f>SUM(INDEX(Tabela1[[Skeleton - Men''s Individual]:[Skeleton - Mixed Team]],MATCH(Table92[[#This Row],[Country]],Tabela1[Country], 0),0))</f>
        <v>0</v>
      </c>
      <c r="BK173" s="6">
        <f>SUM(INDEX(Tabela1[[Ski Jumping - Men''s Individual Large Hill]:[Ski Jumping - Mixed Team Normal Hill]],MATCH(Table92[[#This Row],[Country]],Tabela1[Country], 0),0))</f>
        <v>0</v>
      </c>
      <c r="BL173" s="6">
        <f>SUM(INDEX(Tabela1[[Ski Mountaineering - Men''s Sprint]:[Ski Mountaineering - Mixed Relay]],MATCH(Table92[[#This Row],[Country]],Tabela1[Country], 0),0))</f>
        <v>0</v>
      </c>
      <c r="BM173" s="6">
        <f>SUM(INDEX(Tabela1[[Snowboarding - Men''s Big Air]:[Snowboarding - Mixed Team Snowboard Cross]],MATCH(Table92[[#This Row],[Country]],Tabela1[Country], 0),0))</f>
        <v>0</v>
      </c>
      <c r="BN173" s="6">
        <f>SUM(INDEX(Tabela1[[Speed Skating - Men''s 500m]:[Speed Skating - Women''s Team Pursuit]],MATCH(Table92[[#This Row],[Country]],Tabela1[Country], 0),0))</f>
        <v>0</v>
      </c>
      <c r="BO173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73" s="6">
        <f>SUM(Table92[[#This Row],[Summer Sports]:[Winter Sports]])</f>
        <v>0</v>
      </c>
      <c r="BQ173" s="6">
        <f>COUNTIF(Table92[[#This Row],[Archery Quotas]:[Wrestling Quotas]],"&lt;&gt;0")</f>
        <v>0</v>
      </c>
      <c r="BR173" s="6">
        <f>COUNTIF(Table92[[#This Row],[Alpine Skiing Quotas]:[Speed Skating Quotas]],"&lt;&gt;0")</f>
        <v>0</v>
      </c>
      <c r="BS173" s="4" t="s">
        <v>419</v>
      </c>
    </row>
    <row r="174" spans="1:71" x14ac:dyDescent="0.3">
      <c r="A174" s="6" t="s">
        <v>584</v>
      </c>
      <c r="B174" t="e" vm="178">
        <f>IF(ISBLANK(Table92[[#This Row],[Flag Link]]), "", _xlfn.IMAGE(Table92[[#This Row],[Flag Link]],1,1))</f>
        <v>#VALUE!</v>
      </c>
      <c r="C174" s="6">
        <f>SUM(Table92[[#This Row],[Archery Quotas]:[Speed Skating Quotas]])</f>
        <v>0</v>
      </c>
      <c r="D174" s="6">
        <f>SUM(INDEX(Tabela1[[Archery - Men''s Individual Recurve]:[Archery - Mixed Team Recurve]],MATCH(Table92[[#This Row],[Country]],Tabela1[Country], 0),0))</f>
        <v>0</v>
      </c>
      <c r="E174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74" s="6">
        <f>SUM(INDEX(Tabela1[[Artistic Swimming - Women''s Duet]:[Artistic Swimming - Women''s Team]],MATCH(Table92[[#This Row],[Country]],Tabela1[Country], 0),0))</f>
        <v>0</v>
      </c>
      <c r="G174" s="6">
        <f>SUM(INDEX(Tabela1[[Athletics - Men''s 100m]:[Athletics - Women''s Heptathlon]],MATCH(Table92[[#This Row],[Country]],Tabela1[Country], 0),0))</f>
        <v>0</v>
      </c>
      <c r="H174" s="6">
        <f>SUM(INDEX(Tabela1[[Badminton - Men''s Singles]:[Badminton - Mixed Doubles]],MATCH(Table92[[#This Row],[Country]],Tabela1[Country], 0),0))</f>
        <v>0</v>
      </c>
      <c r="I174" s="6">
        <f>SUM(INDEX(Tabela1[[Basketball - Men''s Tournament]:[Basketball - Women''s Tournament]],MATCH(Table92[[#This Row],[Country]],Tabela1[Country], 0),0))</f>
        <v>0</v>
      </c>
      <c r="J174" s="6">
        <f>SUM(INDEX(Tabela1[[3x3 Basketball - Men''s Tournament]:[3x3 Basketball - Women''s Tournament]],MATCH(Table92[[#This Row],[Country]],Tabela1[Country], 0),0))</f>
        <v>0</v>
      </c>
      <c r="K174" s="6">
        <f>SUM(INDEX(Tabela1[[Beach Volleyball - Men''s Tournament]:[Beach Volleyball - Women''s Tournament]],MATCH(Table92[[#This Row],[Country]],Tabela1[Country], 0),0))</f>
        <v>0</v>
      </c>
      <c r="L174" s="6">
        <f>SUM(INDEX(Tabela1[[Boxing - Men''s 51kg]:[Boxing - Women''s 75kg]],MATCH(Table92[[#This Row],[Country]],Tabela1[Country], 0),0))</f>
        <v>0</v>
      </c>
      <c r="M174" s="6">
        <f>SUM(INDEX(Tabela1[[Breaking - Men''s Individual]:[Breaking - Women''s Individual]],MATCH(Table92[[#This Row],[Country]],Tabela1[Country], 0),0))</f>
        <v>0</v>
      </c>
      <c r="N174" s="6">
        <f>SUM(INDEX(Tabela1[[Canoeing - Men''s C1 Slalom]:[Canoeing - Women''s Kayak Cross Slalom]],MATCH(Table92[[#This Row],[Country]],Tabela1[Country], 0),0))</f>
        <v>0</v>
      </c>
      <c r="O174" s="6">
        <f>SUM(INDEX(Tabela1[[Canoeing - Women''s C1 200m]:[Canoeing - Women''s K4 500m]],MATCH(Table92[[#This Row],[Country]],Tabela1[Country], 0),0))</f>
        <v>0</v>
      </c>
      <c r="P174" s="6">
        <f>SUM(INDEX(Tabela1[[Cycling - Men''s BMX Freestyle]:[Cycling - Women''s BMX Freestyle]],MATCH(Table92[[#This Row],[Country]],Tabela1[Country], 0),0))</f>
        <v>0</v>
      </c>
      <c r="Q174" s="6">
        <f>SUM(INDEX(Tabela1[[Cycling - Men''s BMX Racing]:[Cycling - Women''s BMX Racing]],MATCH(Table92[[#This Row],[Country]],Tabela1[Country], 0),0))</f>
        <v>0</v>
      </c>
      <c r="R174" s="6">
        <f>SUM(INDEX(Tabela1[[Cycling - Men''s Cross-Country]:[Cycling - Women''s Cross-Country]],MATCH(Table92[[#This Row],[Country]],Tabela1[Country], 0),0))</f>
        <v>0</v>
      </c>
      <c r="S174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74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74" s="6">
        <f>SUM(INDEX(Tabela1[[Diving - Men''s Springboard]:[Diving - Women''s Synchronized Platform]],MATCH(Table92[[#This Row],[Country]],Tabela1[Country], 0),0))</f>
        <v>0</v>
      </c>
      <c r="V174" s="6">
        <f>SUM(INDEX(Tabela1[[Equestrian - Individual Dressage]:[Equestrian - Team Dressage]],MATCH(Table92[[#This Row],[Country]],Tabela1[Country], 0),0))</f>
        <v>0</v>
      </c>
      <c r="W174" s="6">
        <f>SUM(INDEX(Tabela1[[Equestrian - Individual Eventing]:[Equestrian - Team Eventing]],MATCH(Table92[[#This Row],[Country]],Tabela1[Country], 0),0))</f>
        <v>0</v>
      </c>
      <c r="X174" s="6">
        <f>SUM(INDEX(Tabela1[[Equestrian - Individual Jumping]:[Equestrian - Team Jumping]],MATCH(Table92[[#This Row],[Country]],Tabela1[Country], 0),0))</f>
        <v>0</v>
      </c>
      <c r="Y174" s="6">
        <f>SUM(INDEX(Tabela1[[Fencing - Men''s Épée]:[Fencing - Women''s Team Sabre]],MATCH(Table92[[#This Row],[Country]],Tabela1[Country], 0),0))</f>
        <v>0</v>
      </c>
      <c r="Z174" s="6">
        <f>SUM(INDEX(Tabela1[[Field Hockey - Men''s Tournament]:[Field Hockey - Women''s Tournament]],MATCH(Table92[[#This Row],[Country]],Tabela1[Country], 0),0))</f>
        <v>0</v>
      </c>
      <c r="AA174" s="6">
        <f>SUM(INDEX(Tabela1[[Football - Men''s Tournament]:[Football - Women''s Tournament]],MATCH(Table92[[#This Row],[Country]],Tabela1[Country], 0),0))</f>
        <v>0</v>
      </c>
      <c r="AB174" s="6">
        <f>SUM(INDEX(Tabela1[[Golf - Men''s Individual]:[Golf - Women''s Individual]],MATCH(Table92[[#This Row],[Country]],Tabela1[Country], 0),0))</f>
        <v>0</v>
      </c>
      <c r="AC174" s="6">
        <f>SUM(INDEX(Tabela1[[Handball - Men''s Tournament]:[Handball - Women''s Tournament]],MATCH(Table92[[#This Row],[Country]],Tabela1[Country], 0),0))</f>
        <v>0</v>
      </c>
      <c r="AD174" s="6">
        <f>SUM(INDEX(Tabela1[[Judo - Men''s 60kg]:[Judo - Mixed Team]],MATCH(Table92[[#This Row],[Country]],Tabela1[Country], 0),0))</f>
        <v>0</v>
      </c>
      <c r="AE174" s="6">
        <f>SUM(INDEX(Tabela1[[Swimming - Men''s 10km Open Water]:[Swimming - Women''s 10km Open Water]],MATCH(Table92[[#This Row],[Country]],Tabela1[Country], 0),0))</f>
        <v>0</v>
      </c>
      <c r="AF174" s="6">
        <f>SUM(INDEX(Tabela1[[Modern Pentathlon - Men''s Individual]:[Modern Pentathlon - Women''s Individual]],MATCH(Table92[[#This Row],[Country]],Tabela1[Country], 0),0))</f>
        <v>0</v>
      </c>
      <c r="AG174" s="6">
        <f>SUM(INDEX(Tabela1[[Rhythmic Gymnastics - Women''s Individual All-Around]:[Rhythmic Gymnastics - Women''s Group All-Around]],MATCH(Table92[[#This Row],[Country]],Tabela1[Country], 0),0))</f>
        <v>0</v>
      </c>
      <c r="AH174" s="6">
        <f>SUM(INDEX(Tabela1[[Rowing - Men''s Single Sculls]:[Rowing - Women''s Lwt. Double Sculls]],MATCH(Table92[[#This Row],[Country]],Tabela1[Country], 0),0))</f>
        <v>0</v>
      </c>
      <c r="AI174" s="6">
        <f>SUM(INDEX(Tabela1[[Rugby Sevens - Men''s Tournament]:[Rugby Sevens - Women''s Tournament]],MATCH(Table92[[#This Row],[Country]],Tabela1[Country], 0),0))</f>
        <v>0</v>
      </c>
      <c r="AJ174" s="6">
        <f>SUM(INDEX(Tabela1[[Sailing - Mixed 470]:[Sailing - Mixed Nacra 17]],MATCH(Table92[[#This Row],[Country]],Tabela1[Country], 0),0))</f>
        <v>0</v>
      </c>
      <c r="AK174" s="6">
        <f>SUM(INDEX(Tabela1[[Shooting - Men''s 10m Air Pistol]:[Shooting - Women''s Trap]],MATCH(Table92[[#This Row],[Country]],Tabela1[Country], 0),0))</f>
        <v>0</v>
      </c>
      <c r="AL174" s="6">
        <f>SUM(INDEX(Tabela1[[Skateboarding - Men''s Park]:[Skateboarding - Women''s Street]],MATCH(Table92[[#This Row],[Country]],Tabela1[Country], 0),0))</f>
        <v>0</v>
      </c>
      <c r="AM174" s="6">
        <f>SUM(INDEX(Tabela1[[Sport Climbing - Men''s Boulder and Lead]:[Sport Climbing - Women''s Speed]],MATCH(Table92[[#This Row],[Country]],Tabela1[Country], 0),0))</f>
        <v>0</v>
      </c>
      <c r="AN174" s="6">
        <f>SUM(INDEX(Tabela1[[Surfing - Men''s Shortboard]:[Surfing - Women''s Shortboard]],MATCH(Table92[[#This Row],[Country]],Tabela1[Country], 0),0))</f>
        <v>0</v>
      </c>
      <c r="AO174" s="6">
        <f>SUM(INDEX(Tabela1[[Swimming - Men''s 50m Freestyle]:[Swimming - Mixed 4x100m Medley Relay]],MATCH(Table92[[#This Row],[Country]],Tabela1[Country], 0),0))</f>
        <v>0</v>
      </c>
      <c r="AP174" s="6">
        <f>SUM(INDEX(Tabela1[[Table Tennis - Men''s Singles]:[Table Tennis - Mixed Doubles]],MATCH(Table92[[#This Row],[Country]],Tabela1[Country], 0),0))</f>
        <v>0</v>
      </c>
      <c r="AQ174" s="6">
        <f>SUM(INDEX(Tabela1[[Taekwondo - Men''s 58kg]:[Taekwondo - Women''s +67kg]],MATCH(Table92[[#This Row],[Country]],Tabela1[Country], 0),0))</f>
        <v>0</v>
      </c>
      <c r="AR174" s="6">
        <f>SUM(INDEX(Tabela1[[Tennis - Men''s Singles]:[Tennis - Mixed Doubles]],MATCH(Table92[[#This Row],[Country]],Tabela1[Country], 0),0))</f>
        <v>0</v>
      </c>
      <c r="AS174" s="6">
        <f>SUM(INDEX(Tabela1[[Gymnastics - Men''s Trampoline]:[Gymnastics - Women''s Trampoline]],MATCH(Table92[[#This Row],[Country]],Tabela1[Country], 0),0))</f>
        <v>0</v>
      </c>
      <c r="AT174" s="6">
        <f>SUM(INDEX(Tabela1[[Triathlon - Men''s Individual]:[Triathlon - Mixed Relay]],MATCH(Table92[[#This Row],[Country]],Tabela1[Country], 0),0))</f>
        <v>0</v>
      </c>
      <c r="AU174" s="6">
        <f>SUM(INDEX(Tabela1[[Volleyball - Men''s Tournament]:[Volleyball - Women''s Tournament]],MATCH(Table92[[#This Row],[Country]],Tabela1[Country], 0),0))</f>
        <v>0</v>
      </c>
      <c r="AV174" s="6">
        <f>SUM(INDEX(Tabela1[[Water Polo - Men''s Tournament]:[Water Polo - Women''s Tournament]],MATCH(Table92[[#This Row],[Country]],Tabela1[Country], 0),0))</f>
        <v>0</v>
      </c>
      <c r="AW174" s="6">
        <f>SUM(INDEX(Tabela1[[Weightlifting - Men''s 61kg]:[Weightlifting - Women''s +81kg]],MATCH(Table92[[#This Row],[Country]],Tabela1[Country], 0),0))</f>
        <v>0</v>
      </c>
      <c r="AX174" s="6">
        <f>SUM(INDEX(Tabela1[[Wrestling - Men''s Freestyle 57kg]:[Wrestling - Women''s Freestyle 76kg]],MATCH(Table92[[#This Row],[Country]],Tabela1[Country], 0),0))</f>
        <v>0</v>
      </c>
      <c r="AY174" s="6">
        <f>SUM(INDEX(Tabela1[[Alpine Skiing - Men''s Downhill]:[Alpine Skiing - Women''s Team Combined]],MATCH(Table92[[#This Row],[Country]],Tabela1[Country], 0),0))</f>
        <v>0</v>
      </c>
      <c r="AZ174" s="6">
        <f>SUM(INDEX(Tabela1[[Biathlon - Men''s Individual]:[Biathlon - Mixed Relay]],MATCH(Table92[[#This Row],[Country]],Tabela1[Country], 0),0))</f>
        <v>0</v>
      </c>
      <c r="BA174" s="6">
        <f>SUM(INDEX(Tabela1[[Bobsleigh - Women''s Monobob]:[Bobsleigh - Men''s Four]],MATCH(Table92[[#This Row],[Country]],Tabela1[Country], 0),0))</f>
        <v>0</v>
      </c>
      <c r="BB174" s="6">
        <f>SUM(INDEX(Tabela1[[Cross-country skiing - Men''s Classical]:[Cross-country skiing - Women''s Team Sprint]],MATCH(Table92[[#This Row],[Country]],Tabela1[Country], 0),0))</f>
        <v>0</v>
      </c>
      <c r="BC174" s="6">
        <f>SUM(INDEX(Tabela1[[Curling - Men''s Tournament]:[Curling - Mixed Doubles]],MATCH(Table92[[#This Row],[Country]],Tabela1[Country], 0),0))</f>
        <v>0</v>
      </c>
      <c r="BD174" s="6">
        <f>SUM(INDEX(Tabela1[[Figure Skating - Men''s Singles]:[Figure Skating - Team Event]],MATCH(Table92[[#This Row],[Country]],Tabela1[Country], 0),0))</f>
        <v>0</v>
      </c>
      <c r="BE174" s="6">
        <f>SUM(INDEX(Tabela1[[Freestyle Skiing - Men''s Aerials]:[Freestyle Skiing - Women''s Slopestyle]],MATCH(Table92[[#This Row],[Country]],Tabela1[Country], 0),0))</f>
        <v>0</v>
      </c>
      <c r="BF174" s="6">
        <f>SUM(INDEX(Tabela1[[Ice Hockey - Men''s Tournament]:[Ice Hockey - Women''s Tournament]],MATCH(Table92[[#This Row],[Country]],Tabela1[Country], 0),0))</f>
        <v>0</v>
      </c>
      <c r="BG174" s="6">
        <f>SUM(INDEX(Tabela1[[Luge - Men''s Singles]:[Luge - Mixed Team Relay]],MATCH(Table92[[#This Row],[Country]],Tabela1[Country], 0),0))</f>
        <v>0</v>
      </c>
      <c r="BH174" s="6">
        <f>SUM(INDEX(Tabela1[[Nordic Combined - Men''s Individual]:[Nordic Combined - Men''s Team Sprint Large Hill]],MATCH(Table92[[#This Row],[Country]],Tabela1[Country], 0),0))</f>
        <v>0</v>
      </c>
      <c r="BI174" s="6">
        <f>SUM(INDEX(Tabela1[[Short track speed skating - Men''s 500m]:[Short track speed skating - Mixed 2000m Relay]],MATCH(Table92[[#This Row],[Country]],Tabela1[Country], 0),0))</f>
        <v>0</v>
      </c>
      <c r="BJ174" s="6">
        <f>SUM(INDEX(Tabela1[[Skeleton - Men''s Individual]:[Skeleton - Mixed Team]],MATCH(Table92[[#This Row],[Country]],Tabela1[Country], 0),0))</f>
        <v>0</v>
      </c>
      <c r="BK174" s="6">
        <f>SUM(INDEX(Tabela1[[Ski Jumping - Men''s Individual Large Hill]:[Ski Jumping - Mixed Team Normal Hill]],MATCH(Table92[[#This Row],[Country]],Tabela1[Country], 0),0))</f>
        <v>0</v>
      </c>
      <c r="BL174" s="6">
        <f>SUM(INDEX(Tabela1[[Ski Mountaineering - Men''s Sprint]:[Ski Mountaineering - Mixed Relay]],MATCH(Table92[[#This Row],[Country]],Tabela1[Country], 0),0))</f>
        <v>0</v>
      </c>
      <c r="BM174" s="6">
        <f>SUM(INDEX(Tabela1[[Snowboarding - Men''s Big Air]:[Snowboarding - Mixed Team Snowboard Cross]],MATCH(Table92[[#This Row],[Country]],Tabela1[Country], 0),0))</f>
        <v>0</v>
      </c>
      <c r="BN174" s="6">
        <f>SUM(INDEX(Tabela1[[Speed Skating - Men''s 500m]:[Speed Skating - Women''s Team Pursuit]],MATCH(Table92[[#This Row],[Country]],Tabela1[Country], 0),0))</f>
        <v>0</v>
      </c>
      <c r="BO174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74" s="6">
        <f>SUM(Table92[[#This Row],[Summer Sports]:[Winter Sports]])</f>
        <v>0</v>
      </c>
      <c r="BQ174" s="6">
        <f>COUNTIF(Table92[[#This Row],[Archery Quotas]:[Wrestling Quotas]],"&lt;&gt;0")</f>
        <v>0</v>
      </c>
      <c r="BR174" s="6">
        <f>COUNTIF(Table92[[#This Row],[Alpine Skiing Quotas]:[Speed Skating Quotas]],"&lt;&gt;0")</f>
        <v>0</v>
      </c>
      <c r="BS174" s="4" t="s">
        <v>585</v>
      </c>
    </row>
    <row r="175" spans="1:71" x14ac:dyDescent="0.3">
      <c r="A175" s="6" t="s">
        <v>586</v>
      </c>
      <c r="B175" t="e" vm="179">
        <f>IF(ISBLANK(Table92[[#This Row],[Flag Link]]), "", _xlfn.IMAGE(Table92[[#This Row],[Flag Link]],1,1))</f>
        <v>#VALUE!</v>
      </c>
      <c r="C175" s="6">
        <f>SUM(Table92[[#This Row],[Archery Quotas]:[Speed Skating Quotas]])</f>
        <v>0</v>
      </c>
      <c r="D175" s="6">
        <f>SUM(INDEX(Tabela1[[Archery - Men''s Individual Recurve]:[Archery - Mixed Team Recurve]],MATCH(Table92[[#This Row],[Country]],Tabela1[Country], 0),0))</f>
        <v>0</v>
      </c>
      <c r="E175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75" s="6">
        <f>SUM(INDEX(Tabela1[[Artistic Swimming - Women''s Duet]:[Artistic Swimming - Women''s Team]],MATCH(Table92[[#This Row],[Country]],Tabela1[Country], 0),0))</f>
        <v>0</v>
      </c>
      <c r="G175" s="6">
        <f>SUM(INDEX(Tabela1[[Athletics - Men''s 100m]:[Athletics - Women''s Heptathlon]],MATCH(Table92[[#This Row],[Country]],Tabela1[Country], 0),0))</f>
        <v>0</v>
      </c>
      <c r="H175" s="6">
        <f>SUM(INDEX(Tabela1[[Badminton - Men''s Singles]:[Badminton - Mixed Doubles]],MATCH(Table92[[#This Row],[Country]],Tabela1[Country], 0),0))</f>
        <v>0</v>
      </c>
      <c r="I175" s="6">
        <f>SUM(INDEX(Tabela1[[Basketball - Men''s Tournament]:[Basketball - Women''s Tournament]],MATCH(Table92[[#This Row],[Country]],Tabela1[Country], 0),0))</f>
        <v>0</v>
      </c>
      <c r="J175" s="6">
        <f>SUM(INDEX(Tabela1[[3x3 Basketball - Men''s Tournament]:[3x3 Basketball - Women''s Tournament]],MATCH(Table92[[#This Row],[Country]],Tabela1[Country], 0),0))</f>
        <v>0</v>
      </c>
      <c r="K175" s="6">
        <f>SUM(INDEX(Tabela1[[Beach Volleyball - Men''s Tournament]:[Beach Volleyball - Women''s Tournament]],MATCH(Table92[[#This Row],[Country]],Tabela1[Country], 0),0))</f>
        <v>0</v>
      </c>
      <c r="L175" s="6">
        <f>SUM(INDEX(Tabela1[[Boxing - Men''s 51kg]:[Boxing - Women''s 75kg]],MATCH(Table92[[#This Row],[Country]],Tabela1[Country], 0),0))</f>
        <v>0</v>
      </c>
      <c r="M175" s="6">
        <f>SUM(INDEX(Tabela1[[Breaking - Men''s Individual]:[Breaking - Women''s Individual]],MATCH(Table92[[#This Row],[Country]],Tabela1[Country], 0),0))</f>
        <v>0</v>
      </c>
      <c r="N175" s="6">
        <f>SUM(INDEX(Tabela1[[Canoeing - Men''s C1 Slalom]:[Canoeing - Women''s Kayak Cross Slalom]],MATCH(Table92[[#This Row],[Country]],Tabela1[Country], 0),0))</f>
        <v>0</v>
      </c>
      <c r="O175" s="6">
        <f>SUM(INDEX(Tabela1[[Canoeing - Women''s C1 200m]:[Canoeing - Women''s K4 500m]],MATCH(Table92[[#This Row],[Country]],Tabela1[Country], 0),0))</f>
        <v>0</v>
      </c>
      <c r="P175" s="6">
        <f>SUM(INDEX(Tabela1[[Cycling - Men''s BMX Freestyle]:[Cycling - Women''s BMX Freestyle]],MATCH(Table92[[#This Row],[Country]],Tabela1[Country], 0),0))</f>
        <v>0</v>
      </c>
      <c r="Q175" s="6">
        <f>SUM(INDEX(Tabela1[[Cycling - Men''s BMX Racing]:[Cycling - Women''s BMX Racing]],MATCH(Table92[[#This Row],[Country]],Tabela1[Country], 0),0))</f>
        <v>0</v>
      </c>
      <c r="R175" s="6">
        <f>SUM(INDEX(Tabela1[[Cycling - Men''s Cross-Country]:[Cycling - Women''s Cross-Country]],MATCH(Table92[[#This Row],[Country]],Tabela1[Country], 0),0))</f>
        <v>0</v>
      </c>
      <c r="S175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75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75" s="6">
        <f>SUM(INDEX(Tabela1[[Diving - Men''s Springboard]:[Diving - Women''s Synchronized Platform]],MATCH(Table92[[#This Row],[Country]],Tabela1[Country], 0),0))</f>
        <v>0</v>
      </c>
      <c r="V175" s="6">
        <f>SUM(INDEX(Tabela1[[Equestrian - Individual Dressage]:[Equestrian - Team Dressage]],MATCH(Table92[[#This Row],[Country]],Tabela1[Country], 0),0))</f>
        <v>0</v>
      </c>
      <c r="W175" s="6">
        <f>SUM(INDEX(Tabela1[[Equestrian - Individual Eventing]:[Equestrian - Team Eventing]],MATCH(Table92[[#This Row],[Country]],Tabela1[Country], 0),0))</f>
        <v>0</v>
      </c>
      <c r="X175" s="6">
        <f>SUM(INDEX(Tabela1[[Equestrian - Individual Jumping]:[Equestrian - Team Jumping]],MATCH(Table92[[#This Row],[Country]],Tabela1[Country], 0),0))</f>
        <v>0</v>
      </c>
      <c r="Y175" s="6">
        <f>SUM(INDEX(Tabela1[[Fencing - Men''s Épée]:[Fencing - Women''s Team Sabre]],MATCH(Table92[[#This Row],[Country]],Tabela1[Country], 0),0))</f>
        <v>0</v>
      </c>
      <c r="Z175" s="6">
        <f>SUM(INDEX(Tabela1[[Field Hockey - Men''s Tournament]:[Field Hockey - Women''s Tournament]],MATCH(Table92[[#This Row],[Country]],Tabela1[Country], 0),0))</f>
        <v>0</v>
      </c>
      <c r="AA175" s="6">
        <f>SUM(INDEX(Tabela1[[Football - Men''s Tournament]:[Football - Women''s Tournament]],MATCH(Table92[[#This Row],[Country]],Tabela1[Country], 0),0))</f>
        <v>0</v>
      </c>
      <c r="AB175" s="6">
        <f>SUM(INDEX(Tabela1[[Golf - Men''s Individual]:[Golf - Women''s Individual]],MATCH(Table92[[#This Row],[Country]],Tabela1[Country], 0),0))</f>
        <v>0</v>
      </c>
      <c r="AC175" s="6">
        <f>SUM(INDEX(Tabela1[[Handball - Men''s Tournament]:[Handball - Women''s Tournament]],MATCH(Table92[[#This Row],[Country]],Tabela1[Country], 0),0))</f>
        <v>0</v>
      </c>
      <c r="AD175" s="6">
        <f>SUM(INDEX(Tabela1[[Judo - Men''s 60kg]:[Judo - Mixed Team]],MATCH(Table92[[#This Row],[Country]],Tabela1[Country], 0),0))</f>
        <v>0</v>
      </c>
      <c r="AE175" s="6">
        <f>SUM(INDEX(Tabela1[[Swimming - Men''s 10km Open Water]:[Swimming - Women''s 10km Open Water]],MATCH(Table92[[#This Row],[Country]],Tabela1[Country], 0),0))</f>
        <v>0</v>
      </c>
      <c r="AF175" s="6">
        <f>SUM(INDEX(Tabela1[[Modern Pentathlon - Men''s Individual]:[Modern Pentathlon - Women''s Individual]],MATCH(Table92[[#This Row],[Country]],Tabela1[Country], 0),0))</f>
        <v>0</v>
      </c>
      <c r="AG175" s="6">
        <f>SUM(INDEX(Tabela1[[Rhythmic Gymnastics - Women''s Individual All-Around]:[Rhythmic Gymnastics - Women''s Group All-Around]],MATCH(Table92[[#This Row],[Country]],Tabela1[Country], 0),0))</f>
        <v>0</v>
      </c>
      <c r="AH175" s="6">
        <f>SUM(INDEX(Tabela1[[Rowing - Men''s Single Sculls]:[Rowing - Women''s Lwt. Double Sculls]],MATCH(Table92[[#This Row],[Country]],Tabela1[Country], 0),0))</f>
        <v>0</v>
      </c>
      <c r="AI175" s="6">
        <f>SUM(INDEX(Tabela1[[Rugby Sevens - Men''s Tournament]:[Rugby Sevens - Women''s Tournament]],MATCH(Table92[[#This Row],[Country]],Tabela1[Country], 0),0))</f>
        <v>0</v>
      </c>
      <c r="AJ175" s="6">
        <f>SUM(INDEX(Tabela1[[Sailing - Mixed 470]:[Sailing - Mixed Nacra 17]],MATCH(Table92[[#This Row],[Country]],Tabela1[Country], 0),0))</f>
        <v>0</v>
      </c>
      <c r="AK175" s="6">
        <f>SUM(INDEX(Tabela1[[Shooting - Men''s 10m Air Pistol]:[Shooting - Women''s Trap]],MATCH(Table92[[#This Row],[Country]],Tabela1[Country], 0),0))</f>
        <v>0</v>
      </c>
      <c r="AL175" s="6">
        <f>SUM(INDEX(Tabela1[[Skateboarding - Men''s Park]:[Skateboarding - Women''s Street]],MATCH(Table92[[#This Row],[Country]],Tabela1[Country], 0),0))</f>
        <v>0</v>
      </c>
      <c r="AM175" s="6">
        <f>SUM(INDEX(Tabela1[[Sport Climbing - Men''s Boulder and Lead]:[Sport Climbing - Women''s Speed]],MATCH(Table92[[#This Row],[Country]],Tabela1[Country], 0),0))</f>
        <v>0</v>
      </c>
      <c r="AN175" s="6">
        <f>SUM(INDEX(Tabela1[[Surfing - Men''s Shortboard]:[Surfing - Women''s Shortboard]],MATCH(Table92[[#This Row],[Country]],Tabela1[Country], 0),0))</f>
        <v>0</v>
      </c>
      <c r="AO175" s="6">
        <f>SUM(INDEX(Tabela1[[Swimming - Men''s 50m Freestyle]:[Swimming - Mixed 4x100m Medley Relay]],MATCH(Table92[[#This Row],[Country]],Tabela1[Country], 0),0))</f>
        <v>0</v>
      </c>
      <c r="AP175" s="6">
        <f>SUM(INDEX(Tabela1[[Table Tennis - Men''s Singles]:[Table Tennis - Mixed Doubles]],MATCH(Table92[[#This Row],[Country]],Tabela1[Country], 0),0))</f>
        <v>0</v>
      </c>
      <c r="AQ175" s="6">
        <f>SUM(INDEX(Tabela1[[Taekwondo - Men''s 58kg]:[Taekwondo - Women''s +67kg]],MATCH(Table92[[#This Row],[Country]],Tabela1[Country], 0),0))</f>
        <v>0</v>
      </c>
      <c r="AR175" s="6">
        <f>SUM(INDEX(Tabela1[[Tennis - Men''s Singles]:[Tennis - Mixed Doubles]],MATCH(Table92[[#This Row],[Country]],Tabela1[Country], 0),0))</f>
        <v>0</v>
      </c>
      <c r="AS175" s="6">
        <f>SUM(INDEX(Tabela1[[Gymnastics - Men''s Trampoline]:[Gymnastics - Women''s Trampoline]],MATCH(Table92[[#This Row],[Country]],Tabela1[Country], 0),0))</f>
        <v>0</v>
      </c>
      <c r="AT175" s="6">
        <f>SUM(INDEX(Tabela1[[Triathlon - Men''s Individual]:[Triathlon - Mixed Relay]],MATCH(Table92[[#This Row],[Country]],Tabela1[Country], 0),0))</f>
        <v>0</v>
      </c>
      <c r="AU175" s="6">
        <f>SUM(INDEX(Tabela1[[Volleyball - Men''s Tournament]:[Volleyball - Women''s Tournament]],MATCH(Table92[[#This Row],[Country]],Tabela1[Country], 0),0))</f>
        <v>0</v>
      </c>
      <c r="AV175" s="6">
        <f>SUM(INDEX(Tabela1[[Water Polo - Men''s Tournament]:[Water Polo - Women''s Tournament]],MATCH(Table92[[#This Row],[Country]],Tabela1[Country], 0),0))</f>
        <v>0</v>
      </c>
      <c r="AW175" s="6">
        <f>SUM(INDEX(Tabela1[[Weightlifting - Men''s 61kg]:[Weightlifting - Women''s +81kg]],MATCH(Table92[[#This Row],[Country]],Tabela1[Country], 0),0))</f>
        <v>0</v>
      </c>
      <c r="AX175" s="6">
        <f>SUM(INDEX(Tabela1[[Wrestling - Men''s Freestyle 57kg]:[Wrestling - Women''s Freestyle 76kg]],MATCH(Table92[[#This Row],[Country]],Tabela1[Country], 0),0))</f>
        <v>0</v>
      </c>
      <c r="AY175" s="6">
        <f>SUM(INDEX(Tabela1[[Alpine Skiing - Men''s Downhill]:[Alpine Skiing - Women''s Team Combined]],MATCH(Table92[[#This Row],[Country]],Tabela1[Country], 0),0))</f>
        <v>0</v>
      </c>
      <c r="AZ175" s="6">
        <f>SUM(INDEX(Tabela1[[Biathlon - Men''s Individual]:[Biathlon - Mixed Relay]],MATCH(Table92[[#This Row],[Country]],Tabela1[Country], 0),0))</f>
        <v>0</v>
      </c>
      <c r="BA175" s="6">
        <f>SUM(INDEX(Tabela1[[Bobsleigh - Women''s Monobob]:[Bobsleigh - Men''s Four]],MATCH(Table92[[#This Row],[Country]],Tabela1[Country], 0),0))</f>
        <v>0</v>
      </c>
      <c r="BB175" s="6">
        <f>SUM(INDEX(Tabela1[[Cross-country skiing - Men''s Classical]:[Cross-country skiing - Women''s Team Sprint]],MATCH(Table92[[#This Row],[Country]],Tabela1[Country], 0),0))</f>
        <v>0</v>
      </c>
      <c r="BC175" s="6">
        <f>SUM(INDEX(Tabela1[[Curling - Men''s Tournament]:[Curling - Mixed Doubles]],MATCH(Table92[[#This Row],[Country]],Tabela1[Country], 0),0))</f>
        <v>0</v>
      </c>
      <c r="BD175" s="6">
        <f>SUM(INDEX(Tabela1[[Figure Skating - Men''s Singles]:[Figure Skating - Team Event]],MATCH(Table92[[#This Row],[Country]],Tabela1[Country], 0),0))</f>
        <v>0</v>
      </c>
      <c r="BE175" s="6">
        <f>SUM(INDEX(Tabela1[[Freestyle Skiing - Men''s Aerials]:[Freestyle Skiing - Women''s Slopestyle]],MATCH(Table92[[#This Row],[Country]],Tabela1[Country], 0),0))</f>
        <v>0</v>
      </c>
      <c r="BF175" s="6">
        <f>SUM(INDEX(Tabela1[[Ice Hockey - Men''s Tournament]:[Ice Hockey - Women''s Tournament]],MATCH(Table92[[#This Row],[Country]],Tabela1[Country], 0),0))</f>
        <v>0</v>
      </c>
      <c r="BG175" s="6">
        <f>SUM(INDEX(Tabela1[[Luge - Men''s Singles]:[Luge - Mixed Team Relay]],MATCH(Table92[[#This Row],[Country]],Tabela1[Country], 0),0))</f>
        <v>0</v>
      </c>
      <c r="BH175" s="6">
        <f>SUM(INDEX(Tabela1[[Nordic Combined - Men''s Individual]:[Nordic Combined - Men''s Team Sprint Large Hill]],MATCH(Table92[[#This Row],[Country]],Tabela1[Country], 0),0))</f>
        <v>0</v>
      </c>
      <c r="BI175" s="6">
        <f>SUM(INDEX(Tabela1[[Short track speed skating - Men''s 500m]:[Short track speed skating - Mixed 2000m Relay]],MATCH(Table92[[#This Row],[Country]],Tabela1[Country], 0),0))</f>
        <v>0</v>
      </c>
      <c r="BJ175" s="6">
        <f>SUM(INDEX(Tabela1[[Skeleton - Men''s Individual]:[Skeleton - Mixed Team]],MATCH(Table92[[#This Row],[Country]],Tabela1[Country], 0),0))</f>
        <v>0</v>
      </c>
      <c r="BK175" s="6">
        <f>SUM(INDEX(Tabela1[[Ski Jumping - Men''s Individual Large Hill]:[Ski Jumping - Mixed Team Normal Hill]],MATCH(Table92[[#This Row],[Country]],Tabela1[Country], 0),0))</f>
        <v>0</v>
      </c>
      <c r="BL175" s="6">
        <f>SUM(INDEX(Tabela1[[Ski Mountaineering - Men''s Sprint]:[Ski Mountaineering - Mixed Relay]],MATCH(Table92[[#This Row],[Country]],Tabela1[Country], 0),0))</f>
        <v>0</v>
      </c>
      <c r="BM175" s="6">
        <f>SUM(INDEX(Tabela1[[Snowboarding - Men''s Big Air]:[Snowboarding - Mixed Team Snowboard Cross]],MATCH(Table92[[#This Row],[Country]],Tabela1[Country], 0),0))</f>
        <v>0</v>
      </c>
      <c r="BN175" s="6">
        <f>SUM(INDEX(Tabela1[[Speed Skating - Men''s 500m]:[Speed Skating - Women''s Team Pursuit]],MATCH(Table92[[#This Row],[Country]],Tabela1[Country], 0),0))</f>
        <v>0</v>
      </c>
      <c r="BO175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75" s="6">
        <f>SUM(Table92[[#This Row],[Summer Sports]:[Winter Sports]])</f>
        <v>0</v>
      </c>
      <c r="BQ175" s="6">
        <f>COUNTIF(Table92[[#This Row],[Archery Quotas]:[Wrestling Quotas]],"&lt;&gt;0")</f>
        <v>0</v>
      </c>
      <c r="BR175" s="6">
        <f>COUNTIF(Table92[[#This Row],[Alpine Skiing Quotas]:[Speed Skating Quotas]],"&lt;&gt;0")</f>
        <v>0</v>
      </c>
      <c r="BS175" s="4" t="s">
        <v>587</v>
      </c>
    </row>
    <row r="176" spans="1:71" x14ac:dyDescent="0.3">
      <c r="A176" s="6" t="s">
        <v>590</v>
      </c>
      <c r="B176" t="e" vm="180">
        <f>IF(ISBLANK(Table92[[#This Row],[Flag Link]]), "", _xlfn.IMAGE(Table92[[#This Row],[Flag Link]],1,1))</f>
        <v>#VALUE!</v>
      </c>
      <c r="C176" s="6">
        <f>SUM(Table92[[#This Row],[Archery Quotas]:[Speed Skating Quotas]])</f>
        <v>0</v>
      </c>
      <c r="D176" s="6">
        <f>SUM(INDEX(Tabela1[[Archery - Men''s Individual Recurve]:[Archery - Mixed Team Recurve]],MATCH(Table92[[#This Row],[Country]],Tabela1[Country], 0),0))</f>
        <v>0</v>
      </c>
      <c r="E176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76" s="6">
        <f>SUM(INDEX(Tabela1[[Artistic Swimming - Women''s Duet]:[Artistic Swimming - Women''s Team]],MATCH(Table92[[#This Row],[Country]],Tabela1[Country], 0),0))</f>
        <v>0</v>
      </c>
      <c r="G176" s="6">
        <f>SUM(INDEX(Tabela1[[Athletics - Men''s 100m]:[Athletics - Women''s Heptathlon]],MATCH(Table92[[#This Row],[Country]],Tabela1[Country], 0),0))</f>
        <v>0</v>
      </c>
      <c r="H176" s="6">
        <f>SUM(INDEX(Tabela1[[Badminton - Men''s Singles]:[Badminton - Mixed Doubles]],MATCH(Table92[[#This Row],[Country]],Tabela1[Country], 0),0))</f>
        <v>0</v>
      </c>
      <c r="I176" s="6">
        <f>SUM(INDEX(Tabela1[[Basketball - Men''s Tournament]:[Basketball - Women''s Tournament]],MATCH(Table92[[#This Row],[Country]],Tabela1[Country], 0),0))</f>
        <v>0</v>
      </c>
      <c r="J176" s="6">
        <f>SUM(INDEX(Tabela1[[3x3 Basketball - Men''s Tournament]:[3x3 Basketball - Women''s Tournament]],MATCH(Table92[[#This Row],[Country]],Tabela1[Country], 0),0))</f>
        <v>0</v>
      </c>
      <c r="K176" s="6">
        <f>SUM(INDEX(Tabela1[[Beach Volleyball - Men''s Tournament]:[Beach Volleyball - Women''s Tournament]],MATCH(Table92[[#This Row],[Country]],Tabela1[Country], 0),0))</f>
        <v>0</v>
      </c>
      <c r="L176" s="6">
        <f>SUM(INDEX(Tabela1[[Boxing - Men''s 51kg]:[Boxing - Women''s 75kg]],MATCH(Table92[[#This Row],[Country]],Tabela1[Country], 0),0))</f>
        <v>0</v>
      </c>
      <c r="M176" s="6">
        <f>SUM(INDEX(Tabela1[[Breaking - Men''s Individual]:[Breaking - Women''s Individual]],MATCH(Table92[[#This Row],[Country]],Tabela1[Country], 0),0))</f>
        <v>0</v>
      </c>
      <c r="N176" s="6">
        <f>SUM(INDEX(Tabela1[[Canoeing - Men''s C1 Slalom]:[Canoeing - Women''s Kayak Cross Slalom]],MATCH(Table92[[#This Row],[Country]],Tabela1[Country], 0),0))</f>
        <v>0</v>
      </c>
      <c r="O176" s="6">
        <f>SUM(INDEX(Tabela1[[Canoeing - Women''s C1 200m]:[Canoeing - Women''s K4 500m]],MATCH(Table92[[#This Row],[Country]],Tabela1[Country], 0),0))</f>
        <v>0</v>
      </c>
      <c r="P176" s="6">
        <f>SUM(INDEX(Tabela1[[Cycling - Men''s BMX Freestyle]:[Cycling - Women''s BMX Freestyle]],MATCH(Table92[[#This Row],[Country]],Tabela1[Country], 0),0))</f>
        <v>0</v>
      </c>
      <c r="Q176" s="6">
        <f>SUM(INDEX(Tabela1[[Cycling - Men''s BMX Racing]:[Cycling - Women''s BMX Racing]],MATCH(Table92[[#This Row],[Country]],Tabela1[Country], 0),0))</f>
        <v>0</v>
      </c>
      <c r="R176" s="6">
        <f>SUM(INDEX(Tabela1[[Cycling - Men''s Cross-Country]:[Cycling - Women''s Cross-Country]],MATCH(Table92[[#This Row],[Country]],Tabela1[Country], 0),0))</f>
        <v>0</v>
      </c>
      <c r="S176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76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76" s="6">
        <f>SUM(INDEX(Tabela1[[Diving - Men''s Springboard]:[Diving - Women''s Synchronized Platform]],MATCH(Table92[[#This Row],[Country]],Tabela1[Country], 0),0))</f>
        <v>0</v>
      </c>
      <c r="V176" s="6">
        <f>SUM(INDEX(Tabela1[[Equestrian - Individual Dressage]:[Equestrian - Team Dressage]],MATCH(Table92[[#This Row],[Country]],Tabela1[Country], 0),0))</f>
        <v>0</v>
      </c>
      <c r="W176" s="6">
        <f>SUM(INDEX(Tabela1[[Equestrian - Individual Eventing]:[Equestrian - Team Eventing]],MATCH(Table92[[#This Row],[Country]],Tabela1[Country], 0),0))</f>
        <v>0</v>
      </c>
      <c r="X176" s="6">
        <f>SUM(INDEX(Tabela1[[Equestrian - Individual Jumping]:[Equestrian - Team Jumping]],MATCH(Table92[[#This Row],[Country]],Tabela1[Country], 0),0))</f>
        <v>0</v>
      </c>
      <c r="Y176" s="6">
        <f>SUM(INDEX(Tabela1[[Fencing - Men''s Épée]:[Fencing - Women''s Team Sabre]],MATCH(Table92[[#This Row],[Country]],Tabela1[Country], 0),0))</f>
        <v>0</v>
      </c>
      <c r="Z176" s="6">
        <f>SUM(INDEX(Tabela1[[Field Hockey - Men''s Tournament]:[Field Hockey - Women''s Tournament]],MATCH(Table92[[#This Row],[Country]],Tabela1[Country], 0),0))</f>
        <v>0</v>
      </c>
      <c r="AA176" s="6">
        <f>SUM(INDEX(Tabela1[[Football - Men''s Tournament]:[Football - Women''s Tournament]],MATCH(Table92[[#This Row],[Country]],Tabela1[Country], 0),0))</f>
        <v>0</v>
      </c>
      <c r="AB176" s="6">
        <f>SUM(INDEX(Tabela1[[Golf - Men''s Individual]:[Golf - Women''s Individual]],MATCH(Table92[[#This Row],[Country]],Tabela1[Country], 0),0))</f>
        <v>0</v>
      </c>
      <c r="AC176" s="6">
        <f>SUM(INDEX(Tabela1[[Handball - Men''s Tournament]:[Handball - Women''s Tournament]],MATCH(Table92[[#This Row],[Country]],Tabela1[Country], 0),0))</f>
        <v>0</v>
      </c>
      <c r="AD176" s="6">
        <f>SUM(INDEX(Tabela1[[Judo - Men''s 60kg]:[Judo - Mixed Team]],MATCH(Table92[[#This Row],[Country]],Tabela1[Country], 0),0))</f>
        <v>0</v>
      </c>
      <c r="AE176" s="6">
        <f>SUM(INDEX(Tabela1[[Swimming - Men''s 10km Open Water]:[Swimming - Women''s 10km Open Water]],MATCH(Table92[[#This Row],[Country]],Tabela1[Country], 0),0))</f>
        <v>0</v>
      </c>
      <c r="AF176" s="6">
        <f>SUM(INDEX(Tabela1[[Modern Pentathlon - Men''s Individual]:[Modern Pentathlon - Women''s Individual]],MATCH(Table92[[#This Row],[Country]],Tabela1[Country], 0),0))</f>
        <v>0</v>
      </c>
      <c r="AG176" s="6">
        <f>SUM(INDEX(Tabela1[[Rhythmic Gymnastics - Women''s Individual All-Around]:[Rhythmic Gymnastics - Women''s Group All-Around]],MATCH(Table92[[#This Row],[Country]],Tabela1[Country], 0),0))</f>
        <v>0</v>
      </c>
      <c r="AH176" s="6">
        <f>SUM(INDEX(Tabela1[[Rowing - Men''s Single Sculls]:[Rowing - Women''s Lwt. Double Sculls]],MATCH(Table92[[#This Row],[Country]],Tabela1[Country], 0),0))</f>
        <v>0</v>
      </c>
      <c r="AI176" s="6">
        <f>SUM(INDEX(Tabela1[[Rugby Sevens - Men''s Tournament]:[Rugby Sevens - Women''s Tournament]],MATCH(Table92[[#This Row],[Country]],Tabela1[Country], 0),0))</f>
        <v>0</v>
      </c>
      <c r="AJ176" s="6">
        <f>SUM(INDEX(Tabela1[[Sailing - Mixed 470]:[Sailing - Mixed Nacra 17]],MATCH(Table92[[#This Row],[Country]],Tabela1[Country], 0),0))</f>
        <v>0</v>
      </c>
      <c r="AK176" s="6">
        <f>SUM(INDEX(Tabela1[[Shooting - Men''s 10m Air Pistol]:[Shooting - Women''s Trap]],MATCH(Table92[[#This Row],[Country]],Tabela1[Country], 0),0))</f>
        <v>0</v>
      </c>
      <c r="AL176" s="6">
        <f>SUM(INDEX(Tabela1[[Skateboarding - Men''s Park]:[Skateboarding - Women''s Street]],MATCH(Table92[[#This Row],[Country]],Tabela1[Country], 0),0))</f>
        <v>0</v>
      </c>
      <c r="AM176" s="6">
        <f>SUM(INDEX(Tabela1[[Sport Climbing - Men''s Boulder and Lead]:[Sport Climbing - Women''s Speed]],MATCH(Table92[[#This Row],[Country]],Tabela1[Country], 0),0))</f>
        <v>0</v>
      </c>
      <c r="AN176" s="6">
        <f>SUM(INDEX(Tabela1[[Surfing - Men''s Shortboard]:[Surfing - Women''s Shortboard]],MATCH(Table92[[#This Row],[Country]],Tabela1[Country], 0),0))</f>
        <v>0</v>
      </c>
      <c r="AO176" s="6">
        <f>SUM(INDEX(Tabela1[[Swimming - Men''s 50m Freestyle]:[Swimming - Mixed 4x100m Medley Relay]],MATCH(Table92[[#This Row],[Country]],Tabela1[Country], 0),0))</f>
        <v>0</v>
      </c>
      <c r="AP176" s="6">
        <f>SUM(INDEX(Tabela1[[Table Tennis - Men''s Singles]:[Table Tennis - Mixed Doubles]],MATCH(Table92[[#This Row],[Country]],Tabela1[Country], 0),0))</f>
        <v>0</v>
      </c>
      <c r="AQ176" s="6">
        <f>SUM(INDEX(Tabela1[[Taekwondo - Men''s 58kg]:[Taekwondo - Women''s +67kg]],MATCH(Table92[[#This Row],[Country]],Tabela1[Country], 0),0))</f>
        <v>0</v>
      </c>
      <c r="AR176" s="6">
        <f>SUM(INDEX(Tabela1[[Tennis - Men''s Singles]:[Tennis - Mixed Doubles]],MATCH(Table92[[#This Row],[Country]],Tabela1[Country], 0),0))</f>
        <v>0</v>
      </c>
      <c r="AS176" s="6">
        <f>SUM(INDEX(Tabela1[[Gymnastics - Men''s Trampoline]:[Gymnastics - Women''s Trampoline]],MATCH(Table92[[#This Row],[Country]],Tabela1[Country], 0),0))</f>
        <v>0</v>
      </c>
      <c r="AT176" s="6">
        <f>SUM(INDEX(Tabela1[[Triathlon - Men''s Individual]:[Triathlon - Mixed Relay]],MATCH(Table92[[#This Row],[Country]],Tabela1[Country], 0),0))</f>
        <v>0</v>
      </c>
      <c r="AU176" s="6">
        <f>SUM(INDEX(Tabela1[[Volleyball - Men''s Tournament]:[Volleyball - Women''s Tournament]],MATCH(Table92[[#This Row],[Country]],Tabela1[Country], 0),0))</f>
        <v>0</v>
      </c>
      <c r="AV176" s="6">
        <f>SUM(INDEX(Tabela1[[Water Polo - Men''s Tournament]:[Water Polo - Women''s Tournament]],MATCH(Table92[[#This Row],[Country]],Tabela1[Country], 0),0))</f>
        <v>0</v>
      </c>
      <c r="AW176" s="6">
        <f>SUM(INDEX(Tabela1[[Weightlifting - Men''s 61kg]:[Weightlifting - Women''s +81kg]],MATCH(Table92[[#This Row],[Country]],Tabela1[Country], 0),0))</f>
        <v>0</v>
      </c>
      <c r="AX176" s="6">
        <f>SUM(INDEX(Tabela1[[Wrestling - Men''s Freestyle 57kg]:[Wrestling - Women''s Freestyle 76kg]],MATCH(Table92[[#This Row],[Country]],Tabela1[Country], 0),0))</f>
        <v>0</v>
      </c>
      <c r="AY176" s="6">
        <f>SUM(INDEX(Tabela1[[Alpine Skiing - Men''s Downhill]:[Alpine Skiing - Women''s Team Combined]],MATCH(Table92[[#This Row],[Country]],Tabela1[Country], 0),0))</f>
        <v>0</v>
      </c>
      <c r="AZ176" s="6">
        <f>SUM(INDEX(Tabela1[[Biathlon - Men''s Individual]:[Biathlon - Mixed Relay]],MATCH(Table92[[#This Row],[Country]],Tabela1[Country], 0),0))</f>
        <v>0</v>
      </c>
      <c r="BA176" s="6">
        <f>SUM(INDEX(Tabela1[[Bobsleigh - Women''s Monobob]:[Bobsleigh - Men''s Four]],MATCH(Table92[[#This Row],[Country]],Tabela1[Country], 0),0))</f>
        <v>0</v>
      </c>
      <c r="BB176" s="6">
        <f>SUM(INDEX(Tabela1[[Cross-country skiing - Men''s Classical]:[Cross-country skiing - Women''s Team Sprint]],MATCH(Table92[[#This Row],[Country]],Tabela1[Country], 0),0))</f>
        <v>0</v>
      </c>
      <c r="BC176" s="6">
        <f>SUM(INDEX(Tabela1[[Curling - Men''s Tournament]:[Curling - Mixed Doubles]],MATCH(Table92[[#This Row],[Country]],Tabela1[Country], 0),0))</f>
        <v>0</v>
      </c>
      <c r="BD176" s="6">
        <f>SUM(INDEX(Tabela1[[Figure Skating - Men''s Singles]:[Figure Skating - Team Event]],MATCH(Table92[[#This Row],[Country]],Tabela1[Country], 0),0))</f>
        <v>0</v>
      </c>
      <c r="BE176" s="6">
        <f>SUM(INDEX(Tabela1[[Freestyle Skiing - Men''s Aerials]:[Freestyle Skiing - Women''s Slopestyle]],MATCH(Table92[[#This Row],[Country]],Tabela1[Country], 0),0))</f>
        <v>0</v>
      </c>
      <c r="BF176" s="6">
        <f>SUM(INDEX(Tabela1[[Ice Hockey - Men''s Tournament]:[Ice Hockey - Women''s Tournament]],MATCH(Table92[[#This Row],[Country]],Tabela1[Country], 0),0))</f>
        <v>0</v>
      </c>
      <c r="BG176" s="6">
        <f>SUM(INDEX(Tabela1[[Luge - Men''s Singles]:[Luge - Mixed Team Relay]],MATCH(Table92[[#This Row],[Country]],Tabela1[Country], 0),0))</f>
        <v>0</v>
      </c>
      <c r="BH176" s="6">
        <f>SUM(INDEX(Tabela1[[Nordic Combined - Men''s Individual]:[Nordic Combined - Men''s Team Sprint Large Hill]],MATCH(Table92[[#This Row],[Country]],Tabela1[Country], 0),0))</f>
        <v>0</v>
      </c>
      <c r="BI176" s="6">
        <f>SUM(INDEX(Tabela1[[Short track speed skating - Men''s 500m]:[Short track speed skating - Mixed 2000m Relay]],MATCH(Table92[[#This Row],[Country]],Tabela1[Country], 0),0))</f>
        <v>0</v>
      </c>
      <c r="BJ176" s="6">
        <f>SUM(INDEX(Tabela1[[Skeleton - Men''s Individual]:[Skeleton - Mixed Team]],MATCH(Table92[[#This Row],[Country]],Tabela1[Country], 0),0))</f>
        <v>0</v>
      </c>
      <c r="BK176" s="6">
        <f>SUM(INDEX(Tabela1[[Ski Jumping - Men''s Individual Large Hill]:[Ski Jumping - Mixed Team Normal Hill]],MATCH(Table92[[#This Row],[Country]],Tabela1[Country], 0),0))</f>
        <v>0</v>
      </c>
      <c r="BL176" s="6">
        <f>SUM(INDEX(Tabela1[[Ski Mountaineering - Men''s Sprint]:[Ski Mountaineering - Mixed Relay]],MATCH(Table92[[#This Row],[Country]],Tabela1[Country], 0),0))</f>
        <v>0</v>
      </c>
      <c r="BM176" s="6">
        <f>SUM(INDEX(Tabela1[[Snowboarding - Men''s Big Air]:[Snowboarding - Mixed Team Snowboard Cross]],MATCH(Table92[[#This Row],[Country]],Tabela1[Country], 0),0))</f>
        <v>0</v>
      </c>
      <c r="BN176" s="6">
        <f>SUM(INDEX(Tabela1[[Speed Skating - Men''s 500m]:[Speed Skating - Women''s Team Pursuit]],MATCH(Table92[[#This Row],[Country]],Tabela1[Country], 0),0))</f>
        <v>0</v>
      </c>
      <c r="BO176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76" s="6">
        <f>SUM(Table92[[#This Row],[Summer Sports]:[Winter Sports]])</f>
        <v>0</v>
      </c>
      <c r="BQ176" s="6">
        <f>COUNTIF(Table92[[#This Row],[Archery Quotas]:[Wrestling Quotas]],"&lt;&gt;0")</f>
        <v>0</v>
      </c>
      <c r="BR176" s="6">
        <f>COUNTIF(Table92[[#This Row],[Alpine Skiing Quotas]:[Speed Skating Quotas]],"&lt;&gt;0")</f>
        <v>0</v>
      </c>
      <c r="BS176" s="3" t="s">
        <v>591</v>
      </c>
    </row>
    <row r="177" spans="1:71" x14ac:dyDescent="0.3">
      <c r="A177" s="6" t="s">
        <v>592</v>
      </c>
      <c r="B177" t="e" vm="153">
        <f>IF(ISBLANK(Table92[[#This Row],[Flag Link]]), "", _xlfn.IMAGE(Table92[[#This Row],[Flag Link]],1,1))</f>
        <v>#VALUE!</v>
      </c>
      <c r="C177" s="6">
        <f>SUM(Table92[[#This Row],[Archery Quotas]:[Speed Skating Quotas]])</f>
        <v>0</v>
      </c>
      <c r="D177" s="6">
        <f>SUM(INDEX(Tabela1[[Archery - Men''s Individual Recurve]:[Archery - Mixed Team Recurve]],MATCH(Table92[[#This Row],[Country]],Tabela1[Country], 0),0))</f>
        <v>0</v>
      </c>
      <c r="E177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77" s="6">
        <f>SUM(INDEX(Tabela1[[Artistic Swimming - Women''s Duet]:[Artistic Swimming - Women''s Team]],MATCH(Table92[[#This Row],[Country]],Tabela1[Country], 0),0))</f>
        <v>0</v>
      </c>
      <c r="G177" s="6">
        <f>SUM(INDEX(Tabela1[[Athletics - Men''s 100m]:[Athletics - Women''s Heptathlon]],MATCH(Table92[[#This Row],[Country]],Tabela1[Country], 0),0))</f>
        <v>0</v>
      </c>
      <c r="H177" s="6">
        <f>SUM(INDEX(Tabela1[[Badminton - Men''s Singles]:[Badminton - Mixed Doubles]],MATCH(Table92[[#This Row],[Country]],Tabela1[Country], 0),0))</f>
        <v>0</v>
      </c>
      <c r="I177" s="6">
        <f>SUM(INDEX(Tabela1[[Basketball - Men''s Tournament]:[Basketball - Women''s Tournament]],MATCH(Table92[[#This Row],[Country]],Tabela1[Country], 0),0))</f>
        <v>0</v>
      </c>
      <c r="J177" s="6">
        <f>SUM(INDEX(Tabela1[[3x3 Basketball - Men''s Tournament]:[3x3 Basketball - Women''s Tournament]],MATCH(Table92[[#This Row],[Country]],Tabela1[Country], 0),0))</f>
        <v>0</v>
      </c>
      <c r="K177" s="6">
        <f>SUM(INDEX(Tabela1[[Beach Volleyball - Men''s Tournament]:[Beach Volleyball - Women''s Tournament]],MATCH(Table92[[#This Row],[Country]],Tabela1[Country], 0),0))</f>
        <v>0</v>
      </c>
      <c r="L177" s="6">
        <f>SUM(INDEX(Tabela1[[Boxing - Men''s 51kg]:[Boxing - Women''s 75kg]],MATCH(Table92[[#This Row],[Country]],Tabela1[Country], 0),0))</f>
        <v>0</v>
      </c>
      <c r="M177" s="6">
        <f>SUM(INDEX(Tabela1[[Breaking - Men''s Individual]:[Breaking - Women''s Individual]],MATCH(Table92[[#This Row],[Country]],Tabela1[Country], 0),0))</f>
        <v>0</v>
      </c>
      <c r="N177" s="6">
        <f>SUM(INDEX(Tabela1[[Canoeing - Men''s C1 Slalom]:[Canoeing - Women''s Kayak Cross Slalom]],MATCH(Table92[[#This Row],[Country]],Tabela1[Country], 0),0))</f>
        <v>0</v>
      </c>
      <c r="O177" s="6">
        <f>SUM(INDEX(Tabela1[[Canoeing - Women''s C1 200m]:[Canoeing - Women''s K4 500m]],MATCH(Table92[[#This Row],[Country]],Tabela1[Country], 0),0))</f>
        <v>0</v>
      </c>
      <c r="P177" s="6">
        <f>SUM(INDEX(Tabela1[[Cycling - Men''s BMX Freestyle]:[Cycling - Women''s BMX Freestyle]],MATCH(Table92[[#This Row],[Country]],Tabela1[Country], 0),0))</f>
        <v>0</v>
      </c>
      <c r="Q177" s="6">
        <f>SUM(INDEX(Tabela1[[Cycling - Men''s BMX Racing]:[Cycling - Women''s BMX Racing]],MATCH(Table92[[#This Row],[Country]],Tabela1[Country], 0),0))</f>
        <v>0</v>
      </c>
      <c r="R177" s="6">
        <f>SUM(INDEX(Tabela1[[Cycling - Men''s Cross-Country]:[Cycling - Women''s Cross-Country]],MATCH(Table92[[#This Row],[Country]],Tabela1[Country], 0),0))</f>
        <v>0</v>
      </c>
      <c r="S177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77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77" s="6">
        <f>SUM(INDEX(Tabela1[[Diving - Men''s Springboard]:[Diving - Women''s Synchronized Platform]],MATCH(Table92[[#This Row],[Country]],Tabela1[Country], 0),0))</f>
        <v>0</v>
      </c>
      <c r="V177" s="6">
        <f>SUM(INDEX(Tabela1[[Equestrian - Individual Dressage]:[Equestrian - Team Dressage]],MATCH(Table92[[#This Row],[Country]],Tabela1[Country], 0),0))</f>
        <v>0</v>
      </c>
      <c r="W177" s="6">
        <f>SUM(INDEX(Tabela1[[Equestrian - Individual Eventing]:[Equestrian - Team Eventing]],MATCH(Table92[[#This Row],[Country]],Tabela1[Country], 0),0))</f>
        <v>0</v>
      </c>
      <c r="X177" s="6">
        <f>SUM(INDEX(Tabela1[[Equestrian - Individual Jumping]:[Equestrian - Team Jumping]],MATCH(Table92[[#This Row],[Country]],Tabela1[Country], 0),0))</f>
        <v>0</v>
      </c>
      <c r="Y177" s="6">
        <f>SUM(INDEX(Tabela1[[Fencing - Men''s Épée]:[Fencing - Women''s Team Sabre]],MATCH(Table92[[#This Row],[Country]],Tabela1[Country], 0),0))</f>
        <v>0</v>
      </c>
      <c r="Z177" s="6">
        <f>SUM(INDEX(Tabela1[[Field Hockey - Men''s Tournament]:[Field Hockey - Women''s Tournament]],MATCH(Table92[[#This Row],[Country]],Tabela1[Country], 0),0))</f>
        <v>0</v>
      </c>
      <c r="AA177" s="6">
        <f>SUM(INDEX(Tabela1[[Football - Men''s Tournament]:[Football - Women''s Tournament]],MATCH(Table92[[#This Row],[Country]],Tabela1[Country], 0),0))</f>
        <v>0</v>
      </c>
      <c r="AB177" s="6">
        <f>SUM(INDEX(Tabela1[[Golf - Men''s Individual]:[Golf - Women''s Individual]],MATCH(Table92[[#This Row],[Country]],Tabela1[Country], 0),0))</f>
        <v>0</v>
      </c>
      <c r="AC177" s="6">
        <f>SUM(INDEX(Tabela1[[Handball - Men''s Tournament]:[Handball - Women''s Tournament]],MATCH(Table92[[#This Row],[Country]],Tabela1[Country], 0),0))</f>
        <v>0</v>
      </c>
      <c r="AD177" s="6">
        <f>SUM(INDEX(Tabela1[[Judo - Men''s 60kg]:[Judo - Mixed Team]],MATCH(Table92[[#This Row],[Country]],Tabela1[Country], 0),0))</f>
        <v>0</v>
      </c>
      <c r="AE177" s="6">
        <f>SUM(INDEX(Tabela1[[Swimming - Men''s 10km Open Water]:[Swimming - Women''s 10km Open Water]],MATCH(Table92[[#This Row],[Country]],Tabela1[Country], 0),0))</f>
        <v>0</v>
      </c>
      <c r="AF177" s="6">
        <f>SUM(INDEX(Tabela1[[Modern Pentathlon - Men''s Individual]:[Modern Pentathlon - Women''s Individual]],MATCH(Table92[[#This Row],[Country]],Tabela1[Country], 0),0))</f>
        <v>0</v>
      </c>
      <c r="AG177" s="6">
        <f>SUM(INDEX(Tabela1[[Rhythmic Gymnastics - Women''s Individual All-Around]:[Rhythmic Gymnastics - Women''s Group All-Around]],MATCH(Table92[[#This Row],[Country]],Tabela1[Country], 0),0))</f>
        <v>0</v>
      </c>
      <c r="AH177" s="6">
        <f>SUM(INDEX(Tabela1[[Rowing - Men''s Single Sculls]:[Rowing - Women''s Lwt. Double Sculls]],MATCH(Table92[[#This Row],[Country]],Tabela1[Country], 0),0))</f>
        <v>0</v>
      </c>
      <c r="AI177" s="6">
        <f>SUM(INDEX(Tabela1[[Rugby Sevens - Men''s Tournament]:[Rugby Sevens - Women''s Tournament]],MATCH(Table92[[#This Row],[Country]],Tabela1[Country], 0),0))</f>
        <v>0</v>
      </c>
      <c r="AJ177" s="6">
        <f>SUM(INDEX(Tabela1[[Sailing - Mixed 470]:[Sailing - Mixed Nacra 17]],MATCH(Table92[[#This Row],[Country]],Tabela1[Country], 0),0))</f>
        <v>0</v>
      </c>
      <c r="AK177" s="6">
        <f>SUM(INDEX(Tabela1[[Shooting - Men''s 10m Air Pistol]:[Shooting - Women''s Trap]],MATCH(Table92[[#This Row],[Country]],Tabela1[Country], 0),0))</f>
        <v>0</v>
      </c>
      <c r="AL177" s="6">
        <f>SUM(INDEX(Tabela1[[Skateboarding - Men''s Park]:[Skateboarding - Women''s Street]],MATCH(Table92[[#This Row],[Country]],Tabela1[Country], 0),0))</f>
        <v>0</v>
      </c>
      <c r="AM177" s="6">
        <f>SUM(INDEX(Tabela1[[Sport Climbing - Men''s Boulder and Lead]:[Sport Climbing - Women''s Speed]],MATCH(Table92[[#This Row],[Country]],Tabela1[Country], 0),0))</f>
        <v>0</v>
      </c>
      <c r="AN177" s="6">
        <f>SUM(INDEX(Tabela1[[Surfing - Men''s Shortboard]:[Surfing - Women''s Shortboard]],MATCH(Table92[[#This Row],[Country]],Tabela1[Country], 0),0))</f>
        <v>0</v>
      </c>
      <c r="AO177" s="6">
        <f>SUM(INDEX(Tabela1[[Swimming - Men''s 50m Freestyle]:[Swimming - Mixed 4x100m Medley Relay]],MATCH(Table92[[#This Row],[Country]],Tabela1[Country], 0),0))</f>
        <v>0</v>
      </c>
      <c r="AP177" s="6">
        <f>SUM(INDEX(Tabela1[[Table Tennis - Men''s Singles]:[Table Tennis - Mixed Doubles]],MATCH(Table92[[#This Row],[Country]],Tabela1[Country], 0),0))</f>
        <v>0</v>
      </c>
      <c r="AQ177" s="6">
        <f>SUM(INDEX(Tabela1[[Taekwondo - Men''s 58kg]:[Taekwondo - Women''s +67kg]],MATCH(Table92[[#This Row],[Country]],Tabela1[Country], 0),0))</f>
        <v>0</v>
      </c>
      <c r="AR177" s="6">
        <f>SUM(INDEX(Tabela1[[Tennis - Men''s Singles]:[Tennis - Mixed Doubles]],MATCH(Table92[[#This Row],[Country]],Tabela1[Country], 0),0))</f>
        <v>0</v>
      </c>
      <c r="AS177" s="6">
        <f>SUM(INDEX(Tabela1[[Gymnastics - Men''s Trampoline]:[Gymnastics - Women''s Trampoline]],MATCH(Table92[[#This Row],[Country]],Tabela1[Country], 0),0))</f>
        <v>0</v>
      </c>
      <c r="AT177" s="6">
        <f>SUM(INDEX(Tabela1[[Triathlon - Men''s Individual]:[Triathlon - Mixed Relay]],MATCH(Table92[[#This Row],[Country]],Tabela1[Country], 0),0))</f>
        <v>0</v>
      </c>
      <c r="AU177" s="6">
        <f>SUM(INDEX(Tabela1[[Volleyball - Men''s Tournament]:[Volleyball - Women''s Tournament]],MATCH(Table92[[#This Row],[Country]],Tabela1[Country], 0),0))</f>
        <v>0</v>
      </c>
      <c r="AV177" s="6">
        <f>SUM(INDEX(Tabela1[[Water Polo - Men''s Tournament]:[Water Polo - Women''s Tournament]],MATCH(Table92[[#This Row],[Country]],Tabela1[Country], 0),0))</f>
        <v>0</v>
      </c>
      <c r="AW177" s="6">
        <f>SUM(INDEX(Tabela1[[Weightlifting - Men''s 61kg]:[Weightlifting - Women''s +81kg]],MATCH(Table92[[#This Row],[Country]],Tabela1[Country], 0),0))</f>
        <v>0</v>
      </c>
      <c r="AX177" s="6">
        <f>SUM(INDEX(Tabela1[[Wrestling - Men''s Freestyle 57kg]:[Wrestling - Women''s Freestyle 76kg]],MATCH(Table92[[#This Row],[Country]],Tabela1[Country], 0),0))</f>
        <v>0</v>
      </c>
      <c r="AY177" s="6">
        <f>SUM(INDEX(Tabela1[[Alpine Skiing - Men''s Downhill]:[Alpine Skiing - Women''s Team Combined]],MATCH(Table92[[#This Row],[Country]],Tabela1[Country], 0),0))</f>
        <v>0</v>
      </c>
      <c r="AZ177" s="6">
        <f>SUM(INDEX(Tabela1[[Biathlon - Men''s Individual]:[Biathlon - Mixed Relay]],MATCH(Table92[[#This Row],[Country]],Tabela1[Country], 0),0))</f>
        <v>0</v>
      </c>
      <c r="BA177" s="6">
        <f>SUM(INDEX(Tabela1[[Bobsleigh - Women''s Monobob]:[Bobsleigh - Men''s Four]],MATCH(Table92[[#This Row],[Country]],Tabela1[Country], 0),0))</f>
        <v>0</v>
      </c>
      <c r="BB177" s="6">
        <f>SUM(INDEX(Tabela1[[Cross-country skiing - Men''s Classical]:[Cross-country skiing - Women''s Team Sprint]],MATCH(Table92[[#This Row],[Country]],Tabela1[Country], 0),0))</f>
        <v>0</v>
      </c>
      <c r="BC177" s="6">
        <f>SUM(INDEX(Tabela1[[Curling - Men''s Tournament]:[Curling - Mixed Doubles]],MATCH(Table92[[#This Row],[Country]],Tabela1[Country], 0),0))</f>
        <v>0</v>
      </c>
      <c r="BD177" s="6">
        <f>SUM(INDEX(Tabela1[[Figure Skating - Men''s Singles]:[Figure Skating - Team Event]],MATCH(Table92[[#This Row],[Country]],Tabela1[Country], 0),0))</f>
        <v>0</v>
      </c>
      <c r="BE177" s="6">
        <f>SUM(INDEX(Tabela1[[Freestyle Skiing - Men''s Aerials]:[Freestyle Skiing - Women''s Slopestyle]],MATCH(Table92[[#This Row],[Country]],Tabela1[Country], 0),0))</f>
        <v>0</v>
      </c>
      <c r="BF177" s="6">
        <f>SUM(INDEX(Tabela1[[Ice Hockey - Men''s Tournament]:[Ice Hockey - Women''s Tournament]],MATCH(Table92[[#This Row],[Country]],Tabela1[Country], 0),0))</f>
        <v>0</v>
      </c>
      <c r="BG177" s="6">
        <f>SUM(INDEX(Tabela1[[Luge - Men''s Singles]:[Luge - Mixed Team Relay]],MATCH(Table92[[#This Row],[Country]],Tabela1[Country], 0),0))</f>
        <v>0</v>
      </c>
      <c r="BH177" s="6">
        <f>SUM(INDEX(Tabela1[[Nordic Combined - Men''s Individual]:[Nordic Combined - Men''s Team Sprint Large Hill]],MATCH(Table92[[#This Row],[Country]],Tabela1[Country], 0),0))</f>
        <v>0</v>
      </c>
      <c r="BI177" s="6">
        <f>SUM(INDEX(Tabela1[[Short track speed skating - Men''s 500m]:[Short track speed skating - Mixed 2000m Relay]],MATCH(Table92[[#This Row],[Country]],Tabela1[Country], 0),0))</f>
        <v>0</v>
      </c>
      <c r="BJ177" s="6">
        <f>SUM(INDEX(Tabela1[[Skeleton - Men''s Individual]:[Skeleton - Mixed Team]],MATCH(Table92[[#This Row],[Country]],Tabela1[Country], 0),0))</f>
        <v>0</v>
      </c>
      <c r="BK177" s="6">
        <f>SUM(INDEX(Tabela1[[Ski Jumping - Men''s Individual Large Hill]:[Ski Jumping - Mixed Team Normal Hill]],MATCH(Table92[[#This Row],[Country]],Tabela1[Country], 0),0))</f>
        <v>0</v>
      </c>
      <c r="BL177" s="6">
        <f>SUM(INDEX(Tabela1[[Ski Mountaineering - Men''s Sprint]:[Ski Mountaineering - Mixed Relay]],MATCH(Table92[[#This Row],[Country]],Tabela1[Country], 0),0))</f>
        <v>0</v>
      </c>
      <c r="BM177" s="6">
        <f>SUM(INDEX(Tabela1[[Snowboarding - Men''s Big Air]:[Snowboarding - Mixed Team Snowboard Cross]],MATCH(Table92[[#This Row],[Country]],Tabela1[Country], 0),0))</f>
        <v>0</v>
      </c>
      <c r="BN177" s="6">
        <f>SUM(INDEX(Tabela1[[Speed Skating - Men''s 500m]:[Speed Skating - Women''s Team Pursuit]],MATCH(Table92[[#This Row],[Country]],Tabela1[Country], 0),0))</f>
        <v>0</v>
      </c>
      <c r="BO177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77" s="6">
        <f>SUM(Table92[[#This Row],[Summer Sports]:[Winter Sports]])</f>
        <v>0</v>
      </c>
      <c r="BQ177" s="6">
        <f>COUNTIF(Table92[[#This Row],[Archery Quotas]:[Wrestling Quotas]],"&lt;&gt;0")</f>
        <v>0</v>
      </c>
      <c r="BR177" s="6">
        <f>COUNTIF(Table92[[#This Row],[Alpine Skiing Quotas]:[Speed Skating Quotas]],"&lt;&gt;0")</f>
        <v>0</v>
      </c>
      <c r="BS177" s="4" t="s">
        <v>593</v>
      </c>
    </row>
    <row r="178" spans="1:71" x14ac:dyDescent="0.3">
      <c r="A178" s="6" t="s">
        <v>606</v>
      </c>
      <c r="B178" t="e" vm="181">
        <f>IF(ISBLANK(Table92[[#This Row],[Flag Link]]), "", _xlfn.IMAGE(Table92[[#This Row],[Flag Link]],1,1))</f>
        <v>#VALUE!</v>
      </c>
      <c r="C178" s="6">
        <f>SUM(Table92[[#This Row],[Archery Quotas]:[Speed Skating Quotas]])</f>
        <v>0</v>
      </c>
      <c r="D178" s="6">
        <f>SUM(INDEX(Tabela1[[Archery - Men''s Individual Recurve]:[Archery - Mixed Team Recurve]],MATCH(Table92[[#This Row],[Country]],Tabela1[Country], 0),0))</f>
        <v>0</v>
      </c>
      <c r="E178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78" s="6">
        <f>SUM(INDEX(Tabela1[[Artistic Swimming - Women''s Duet]:[Artistic Swimming - Women''s Team]],MATCH(Table92[[#This Row],[Country]],Tabela1[Country], 0),0))</f>
        <v>0</v>
      </c>
      <c r="G178" s="6">
        <f>SUM(INDEX(Tabela1[[Athletics - Men''s 100m]:[Athletics - Women''s Heptathlon]],MATCH(Table92[[#This Row],[Country]],Tabela1[Country], 0),0))</f>
        <v>0</v>
      </c>
      <c r="H178" s="6">
        <f>SUM(INDEX(Tabela1[[Badminton - Men''s Singles]:[Badminton - Mixed Doubles]],MATCH(Table92[[#This Row],[Country]],Tabela1[Country], 0),0))</f>
        <v>0</v>
      </c>
      <c r="I178" s="6">
        <f>SUM(INDEX(Tabela1[[Basketball - Men''s Tournament]:[Basketball - Women''s Tournament]],MATCH(Table92[[#This Row],[Country]],Tabela1[Country], 0),0))</f>
        <v>0</v>
      </c>
      <c r="J178" s="6">
        <f>SUM(INDEX(Tabela1[[3x3 Basketball - Men''s Tournament]:[3x3 Basketball - Women''s Tournament]],MATCH(Table92[[#This Row],[Country]],Tabela1[Country], 0),0))</f>
        <v>0</v>
      </c>
      <c r="K178" s="6">
        <f>SUM(INDEX(Tabela1[[Beach Volleyball - Men''s Tournament]:[Beach Volleyball - Women''s Tournament]],MATCH(Table92[[#This Row],[Country]],Tabela1[Country], 0),0))</f>
        <v>0</v>
      </c>
      <c r="L178" s="6">
        <f>SUM(INDEX(Tabela1[[Boxing - Men''s 51kg]:[Boxing - Women''s 75kg]],MATCH(Table92[[#This Row],[Country]],Tabela1[Country], 0),0))</f>
        <v>0</v>
      </c>
      <c r="M178" s="6">
        <f>SUM(INDEX(Tabela1[[Breaking - Men''s Individual]:[Breaking - Women''s Individual]],MATCH(Table92[[#This Row],[Country]],Tabela1[Country], 0),0))</f>
        <v>0</v>
      </c>
      <c r="N178" s="6">
        <f>SUM(INDEX(Tabela1[[Canoeing - Men''s C1 Slalom]:[Canoeing - Women''s Kayak Cross Slalom]],MATCH(Table92[[#This Row],[Country]],Tabela1[Country], 0),0))</f>
        <v>0</v>
      </c>
      <c r="O178" s="6">
        <f>SUM(INDEX(Tabela1[[Canoeing - Women''s C1 200m]:[Canoeing - Women''s K4 500m]],MATCH(Table92[[#This Row],[Country]],Tabela1[Country], 0),0))</f>
        <v>0</v>
      </c>
      <c r="P178" s="6">
        <f>SUM(INDEX(Tabela1[[Cycling - Men''s BMX Freestyle]:[Cycling - Women''s BMX Freestyle]],MATCH(Table92[[#This Row],[Country]],Tabela1[Country], 0),0))</f>
        <v>0</v>
      </c>
      <c r="Q178" s="6">
        <f>SUM(INDEX(Tabela1[[Cycling - Men''s BMX Racing]:[Cycling - Women''s BMX Racing]],MATCH(Table92[[#This Row],[Country]],Tabela1[Country], 0),0))</f>
        <v>0</v>
      </c>
      <c r="R178" s="6">
        <f>SUM(INDEX(Tabela1[[Cycling - Men''s Cross-Country]:[Cycling - Women''s Cross-Country]],MATCH(Table92[[#This Row],[Country]],Tabela1[Country], 0),0))</f>
        <v>0</v>
      </c>
      <c r="S178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78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78" s="6">
        <f>SUM(INDEX(Tabela1[[Diving - Men''s Springboard]:[Diving - Women''s Synchronized Platform]],MATCH(Table92[[#This Row],[Country]],Tabela1[Country], 0),0))</f>
        <v>0</v>
      </c>
      <c r="V178" s="6">
        <f>SUM(INDEX(Tabela1[[Equestrian - Individual Dressage]:[Equestrian - Team Dressage]],MATCH(Table92[[#This Row],[Country]],Tabela1[Country], 0),0))</f>
        <v>0</v>
      </c>
      <c r="W178" s="6">
        <f>SUM(INDEX(Tabela1[[Equestrian - Individual Eventing]:[Equestrian - Team Eventing]],MATCH(Table92[[#This Row],[Country]],Tabela1[Country], 0),0))</f>
        <v>0</v>
      </c>
      <c r="X178" s="6">
        <f>SUM(INDEX(Tabela1[[Equestrian - Individual Jumping]:[Equestrian - Team Jumping]],MATCH(Table92[[#This Row],[Country]],Tabela1[Country], 0),0))</f>
        <v>0</v>
      </c>
      <c r="Y178" s="6">
        <f>SUM(INDEX(Tabela1[[Fencing - Men''s Épée]:[Fencing - Women''s Team Sabre]],MATCH(Table92[[#This Row],[Country]],Tabela1[Country], 0),0))</f>
        <v>0</v>
      </c>
      <c r="Z178" s="6">
        <f>SUM(INDEX(Tabela1[[Field Hockey - Men''s Tournament]:[Field Hockey - Women''s Tournament]],MATCH(Table92[[#This Row],[Country]],Tabela1[Country], 0),0))</f>
        <v>0</v>
      </c>
      <c r="AA178" s="6">
        <f>SUM(INDEX(Tabela1[[Football - Men''s Tournament]:[Football - Women''s Tournament]],MATCH(Table92[[#This Row],[Country]],Tabela1[Country], 0),0))</f>
        <v>0</v>
      </c>
      <c r="AB178" s="6">
        <f>SUM(INDEX(Tabela1[[Golf - Men''s Individual]:[Golf - Women''s Individual]],MATCH(Table92[[#This Row],[Country]],Tabela1[Country], 0),0))</f>
        <v>0</v>
      </c>
      <c r="AC178" s="6">
        <f>SUM(INDEX(Tabela1[[Handball - Men''s Tournament]:[Handball - Women''s Tournament]],MATCH(Table92[[#This Row],[Country]],Tabela1[Country], 0),0))</f>
        <v>0</v>
      </c>
      <c r="AD178" s="6">
        <f>SUM(INDEX(Tabela1[[Judo - Men''s 60kg]:[Judo - Mixed Team]],MATCH(Table92[[#This Row],[Country]],Tabela1[Country], 0),0))</f>
        <v>0</v>
      </c>
      <c r="AE178" s="6">
        <f>SUM(INDEX(Tabela1[[Swimming - Men''s 10km Open Water]:[Swimming - Women''s 10km Open Water]],MATCH(Table92[[#This Row],[Country]],Tabela1[Country], 0),0))</f>
        <v>0</v>
      </c>
      <c r="AF178" s="6">
        <f>SUM(INDEX(Tabela1[[Modern Pentathlon - Men''s Individual]:[Modern Pentathlon - Women''s Individual]],MATCH(Table92[[#This Row],[Country]],Tabela1[Country], 0),0))</f>
        <v>0</v>
      </c>
      <c r="AG178" s="6">
        <f>SUM(INDEX(Tabela1[[Rhythmic Gymnastics - Women''s Individual All-Around]:[Rhythmic Gymnastics - Women''s Group All-Around]],MATCH(Table92[[#This Row],[Country]],Tabela1[Country], 0),0))</f>
        <v>0</v>
      </c>
      <c r="AH178" s="6">
        <f>SUM(INDEX(Tabela1[[Rowing - Men''s Single Sculls]:[Rowing - Women''s Lwt. Double Sculls]],MATCH(Table92[[#This Row],[Country]],Tabela1[Country], 0),0))</f>
        <v>0</v>
      </c>
      <c r="AI178" s="6">
        <f>SUM(INDEX(Tabela1[[Rugby Sevens - Men''s Tournament]:[Rugby Sevens - Women''s Tournament]],MATCH(Table92[[#This Row],[Country]],Tabela1[Country], 0),0))</f>
        <v>0</v>
      </c>
      <c r="AJ178" s="6">
        <f>SUM(INDEX(Tabela1[[Sailing - Mixed 470]:[Sailing - Mixed Nacra 17]],MATCH(Table92[[#This Row],[Country]],Tabela1[Country], 0),0))</f>
        <v>0</v>
      </c>
      <c r="AK178" s="6">
        <f>SUM(INDEX(Tabela1[[Shooting - Men''s 10m Air Pistol]:[Shooting - Women''s Trap]],MATCH(Table92[[#This Row],[Country]],Tabela1[Country], 0),0))</f>
        <v>0</v>
      </c>
      <c r="AL178" s="6">
        <f>SUM(INDEX(Tabela1[[Skateboarding - Men''s Park]:[Skateboarding - Women''s Street]],MATCH(Table92[[#This Row],[Country]],Tabela1[Country], 0),0))</f>
        <v>0</v>
      </c>
      <c r="AM178" s="6">
        <f>SUM(INDEX(Tabela1[[Sport Climbing - Men''s Boulder and Lead]:[Sport Climbing - Women''s Speed]],MATCH(Table92[[#This Row],[Country]],Tabela1[Country], 0),0))</f>
        <v>0</v>
      </c>
      <c r="AN178" s="6">
        <f>SUM(INDEX(Tabela1[[Surfing - Men''s Shortboard]:[Surfing - Women''s Shortboard]],MATCH(Table92[[#This Row],[Country]],Tabela1[Country], 0),0))</f>
        <v>0</v>
      </c>
      <c r="AO178" s="6">
        <f>SUM(INDEX(Tabela1[[Swimming - Men''s 50m Freestyle]:[Swimming - Mixed 4x100m Medley Relay]],MATCH(Table92[[#This Row],[Country]],Tabela1[Country], 0),0))</f>
        <v>0</v>
      </c>
      <c r="AP178" s="6">
        <f>SUM(INDEX(Tabela1[[Table Tennis - Men''s Singles]:[Table Tennis - Mixed Doubles]],MATCH(Table92[[#This Row],[Country]],Tabela1[Country], 0),0))</f>
        <v>0</v>
      </c>
      <c r="AQ178" s="6">
        <f>SUM(INDEX(Tabela1[[Taekwondo - Men''s 58kg]:[Taekwondo - Women''s +67kg]],MATCH(Table92[[#This Row],[Country]],Tabela1[Country], 0),0))</f>
        <v>0</v>
      </c>
      <c r="AR178" s="6">
        <f>SUM(INDEX(Tabela1[[Tennis - Men''s Singles]:[Tennis - Mixed Doubles]],MATCH(Table92[[#This Row],[Country]],Tabela1[Country], 0),0))</f>
        <v>0</v>
      </c>
      <c r="AS178" s="6">
        <f>SUM(INDEX(Tabela1[[Gymnastics - Men''s Trampoline]:[Gymnastics - Women''s Trampoline]],MATCH(Table92[[#This Row],[Country]],Tabela1[Country], 0),0))</f>
        <v>0</v>
      </c>
      <c r="AT178" s="6">
        <f>SUM(INDEX(Tabela1[[Triathlon - Men''s Individual]:[Triathlon - Mixed Relay]],MATCH(Table92[[#This Row],[Country]],Tabela1[Country], 0),0))</f>
        <v>0</v>
      </c>
      <c r="AU178" s="6">
        <f>SUM(INDEX(Tabela1[[Volleyball - Men''s Tournament]:[Volleyball - Women''s Tournament]],MATCH(Table92[[#This Row],[Country]],Tabela1[Country], 0),0))</f>
        <v>0</v>
      </c>
      <c r="AV178" s="6">
        <f>SUM(INDEX(Tabela1[[Water Polo - Men''s Tournament]:[Water Polo - Women''s Tournament]],MATCH(Table92[[#This Row],[Country]],Tabela1[Country], 0),0))</f>
        <v>0</v>
      </c>
      <c r="AW178" s="6">
        <f>SUM(INDEX(Tabela1[[Weightlifting - Men''s 61kg]:[Weightlifting - Women''s +81kg]],MATCH(Table92[[#This Row],[Country]],Tabela1[Country], 0),0))</f>
        <v>0</v>
      </c>
      <c r="AX178" s="6">
        <f>SUM(INDEX(Tabela1[[Wrestling - Men''s Freestyle 57kg]:[Wrestling - Women''s Freestyle 76kg]],MATCH(Table92[[#This Row],[Country]],Tabela1[Country], 0),0))</f>
        <v>0</v>
      </c>
      <c r="AY178" s="6">
        <f>SUM(INDEX(Tabela1[[Alpine Skiing - Men''s Downhill]:[Alpine Skiing - Women''s Team Combined]],MATCH(Table92[[#This Row],[Country]],Tabela1[Country], 0),0))</f>
        <v>0</v>
      </c>
      <c r="AZ178" s="6">
        <f>SUM(INDEX(Tabela1[[Biathlon - Men''s Individual]:[Biathlon - Mixed Relay]],MATCH(Table92[[#This Row],[Country]],Tabela1[Country], 0),0))</f>
        <v>0</v>
      </c>
      <c r="BA178" s="6">
        <f>SUM(INDEX(Tabela1[[Bobsleigh - Women''s Monobob]:[Bobsleigh - Men''s Four]],MATCH(Table92[[#This Row],[Country]],Tabela1[Country], 0),0))</f>
        <v>0</v>
      </c>
      <c r="BB178" s="6">
        <f>SUM(INDEX(Tabela1[[Cross-country skiing - Men''s Classical]:[Cross-country skiing - Women''s Team Sprint]],MATCH(Table92[[#This Row],[Country]],Tabela1[Country], 0),0))</f>
        <v>0</v>
      </c>
      <c r="BC178" s="6">
        <f>SUM(INDEX(Tabela1[[Curling - Men''s Tournament]:[Curling - Mixed Doubles]],MATCH(Table92[[#This Row],[Country]],Tabela1[Country], 0),0))</f>
        <v>0</v>
      </c>
      <c r="BD178" s="6">
        <f>SUM(INDEX(Tabela1[[Figure Skating - Men''s Singles]:[Figure Skating - Team Event]],MATCH(Table92[[#This Row],[Country]],Tabela1[Country], 0),0))</f>
        <v>0</v>
      </c>
      <c r="BE178" s="6">
        <f>SUM(INDEX(Tabela1[[Freestyle Skiing - Men''s Aerials]:[Freestyle Skiing - Women''s Slopestyle]],MATCH(Table92[[#This Row],[Country]],Tabela1[Country], 0),0))</f>
        <v>0</v>
      </c>
      <c r="BF178" s="6">
        <f>SUM(INDEX(Tabela1[[Ice Hockey - Men''s Tournament]:[Ice Hockey - Women''s Tournament]],MATCH(Table92[[#This Row],[Country]],Tabela1[Country], 0),0))</f>
        <v>0</v>
      </c>
      <c r="BG178" s="6">
        <f>SUM(INDEX(Tabela1[[Luge - Men''s Singles]:[Luge - Mixed Team Relay]],MATCH(Table92[[#This Row],[Country]],Tabela1[Country], 0),0))</f>
        <v>0</v>
      </c>
      <c r="BH178" s="6">
        <f>SUM(INDEX(Tabela1[[Nordic Combined - Men''s Individual]:[Nordic Combined - Men''s Team Sprint Large Hill]],MATCH(Table92[[#This Row],[Country]],Tabela1[Country], 0),0))</f>
        <v>0</v>
      </c>
      <c r="BI178" s="6">
        <f>SUM(INDEX(Tabela1[[Short track speed skating - Men''s 500m]:[Short track speed skating - Mixed 2000m Relay]],MATCH(Table92[[#This Row],[Country]],Tabela1[Country], 0),0))</f>
        <v>0</v>
      </c>
      <c r="BJ178" s="6">
        <f>SUM(INDEX(Tabela1[[Skeleton - Men''s Individual]:[Skeleton - Mixed Team]],MATCH(Table92[[#This Row],[Country]],Tabela1[Country], 0),0))</f>
        <v>0</v>
      </c>
      <c r="BK178" s="6">
        <f>SUM(INDEX(Tabela1[[Ski Jumping - Men''s Individual Large Hill]:[Ski Jumping - Mixed Team Normal Hill]],MATCH(Table92[[#This Row],[Country]],Tabela1[Country], 0),0))</f>
        <v>0</v>
      </c>
      <c r="BL178" s="6">
        <f>SUM(INDEX(Tabela1[[Ski Mountaineering - Men''s Sprint]:[Ski Mountaineering - Mixed Relay]],MATCH(Table92[[#This Row],[Country]],Tabela1[Country], 0),0))</f>
        <v>0</v>
      </c>
      <c r="BM178" s="6">
        <f>SUM(INDEX(Tabela1[[Snowboarding - Men''s Big Air]:[Snowboarding - Mixed Team Snowboard Cross]],MATCH(Table92[[#This Row],[Country]],Tabela1[Country], 0),0))</f>
        <v>0</v>
      </c>
      <c r="BN178" s="6">
        <f>SUM(INDEX(Tabela1[[Speed Skating - Men''s 500m]:[Speed Skating - Women''s Team Pursuit]],MATCH(Table92[[#This Row],[Country]],Tabela1[Country], 0),0))</f>
        <v>0</v>
      </c>
      <c r="BO178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78" s="6">
        <f>SUM(Table92[[#This Row],[Summer Sports]:[Winter Sports]])</f>
        <v>0</v>
      </c>
      <c r="BQ178" s="6">
        <f>COUNTIF(Table92[[#This Row],[Archery Quotas]:[Wrestling Quotas]],"&lt;&gt;0")</f>
        <v>0</v>
      </c>
      <c r="BR178" s="6">
        <f>COUNTIF(Table92[[#This Row],[Alpine Skiing Quotas]:[Speed Skating Quotas]],"&lt;&gt;0")</f>
        <v>0</v>
      </c>
      <c r="BS178" s="4" t="s">
        <v>607</v>
      </c>
    </row>
    <row r="179" spans="1:71" x14ac:dyDescent="0.3">
      <c r="A179" s="6" t="s">
        <v>494</v>
      </c>
      <c r="B179" t="e" vm="182">
        <f>IF(ISBLANK(Table92[[#This Row],[Flag Link]]), "", _xlfn.IMAGE(Table92[[#This Row],[Flag Link]],1,1))</f>
        <v>#VALUE!</v>
      </c>
      <c r="C179" s="6">
        <f>SUM(Table92[[#This Row],[Archery Quotas]:[Speed Skating Quotas]])</f>
        <v>0</v>
      </c>
      <c r="D179" s="6">
        <f>SUM(INDEX(Tabela1[[Archery - Men''s Individual Recurve]:[Archery - Mixed Team Recurve]],MATCH(Table92[[#This Row],[Country]],Tabela1[Country], 0),0))</f>
        <v>0</v>
      </c>
      <c r="E179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79" s="6">
        <f>SUM(INDEX(Tabela1[[Artistic Swimming - Women''s Duet]:[Artistic Swimming - Women''s Team]],MATCH(Table92[[#This Row],[Country]],Tabela1[Country], 0),0))</f>
        <v>0</v>
      </c>
      <c r="G179" s="6">
        <f>SUM(INDEX(Tabela1[[Athletics - Men''s 100m]:[Athletics - Women''s Heptathlon]],MATCH(Table92[[#This Row],[Country]],Tabela1[Country], 0),0))</f>
        <v>0</v>
      </c>
      <c r="H179" s="6">
        <f>SUM(INDEX(Tabela1[[Badminton - Men''s Singles]:[Badminton - Mixed Doubles]],MATCH(Table92[[#This Row],[Country]],Tabela1[Country], 0),0))</f>
        <v>0</v>
      </c>
      <c r="I179" s="6">
        <f>SUM(INDEX(Tabela1[[Basketball - Men''s Tournament]:[Basketball - Women''s Tournament]],MATCH(Table92[[#This Row],[Country]],Tabela1[Country], 0),0))</f>
        <v>0</v>
      </c>
      <c r="J179" s="6">
        <f>SUM(INDEX(Tabela1[[3x3 Basketball - Men''s Tournament]:[3x3 Basketball - Women''s Tournament]],MATCH(Table92[[#This Row],[Country]],Tabela1[Country], 0),0))</f>
        <v>0</v>
      </c>
      <c r="K179" s="6">
        <f>SUM(INDEX(Tabela1[[Beach Volleyball - Men''s Tournament]:[Beach Volleyball - Women''s Tournament]],MATCH(Table92[[#This Row],[Country]],Tabela1[Country], 0),0))</f>
        <v>0</v>
      </c>
      <c r="L179" s="6">
        <f>SUM(INDEX(Tabela1[[Boxing - Men''s 51kg]:[Boxing - Women''s 75kg]],MATCH(Table92[[#This Row],[Country]],Tabela1[Country], 0),0))</f>
        <v>0</v>
      </c>
      <c r="M179" s="6">
        <f>SUM(INDEX(Tabela1[[Breaking - Men''s Individual]:[Breaking - Women''s Individual]],MATCH(Table92[[#This Row],[Country]],Tabela1[Country], 0),0))</f>
        <v>0</v>
      </c>
      <c r="N179" s="6">
        <f>SUM(INDEX(Tabela1[[Canoeing - Men''s C1 Slalom]:[Canoeing - Women''s Kayak Cross Slalom]],MATCH(Table92[[#This Row],[Country]],Tabela1[Country], 0),0))</f>
        <v>0</v>
      </c>
      <c r="O179" s="6">
        <f>SUM(INDEX(Tabela1[[Canoeing - Women''s C1 200m]:[Canoeing - Women''s K4 500m]],MATCH(Table92[[#This Row],[Country]],Tabela1[Country], 0),0))</f>
        <v>0</v>
      </c>
      <c r="P179" s="6">
        <f>SUM(INDEX(Tabela1[[Cycling - Men''s BMX Freestyle]:[Cycling - Women''s BMX Freestyle]],MATCH(Table92[[#This Row],[Country]],Tabela1[Country], 0),0))</f>
        <v>0</v>
      </c>
      <c r="Q179" s="6">
        <f>SUM(INDEX(Tabela1[[Cycling - Men''s BMX Racing]:[Cycling - Women''s BMX Racing]],MATCH(Table92[[#This Row],[Country]],Tabela1[Country], 0),0))</f>
        <v>0</v>
      </c>
      <c r="R179" s="6">
        <f>SUM(INDEX(Tabela1[[Cycling - Men''s Cross-Country]:[Cycling - Women''s Cross-Country]],MATCH(Table92[[#This Row],[Country]],Tabela1[Country], 0),0))</f>
        <v>0</v>
      </c>
      <c r="S179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79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79" s="6">
        <f>SUM(INDEX(Tabela1[[Diving - Men''s Springboard]:[Diving - Women''s Synchronized Platform]],MATCH(Table92[[#This Row],[Country]],Tabela1[Country], 0),0))</f>
        <v>0</v>
      </c>
      <c r="V179" s="6">
        <f>SUM(INDEX(Tabela1[[Equestrian - Individual Dressage]:[Equestrian - Team Dressage]],MATCH(Table92[[#This Row],[Country]],Tabela1[Country], 0),0))</f>
        <v>0</v>
      </c>
      <c r="W179" s="6">
        <f>SUM(INDEX(Tabela1[[Equestrian - Individual Eventing]:[Equestrian - Team Eventing]],MATCH(Table92[[#This Row],[Country]],Tabela1[Country], 0),0))</f>
        <v>0</v>
      </c>
      <c r="X179" s="6">
        <f>SUM(INDEX(Tabela1[[Equestrian - Individual Jumping]:[Equestrian - Team Jumping]],MATCH(Table92[[#This Row],[Country]],Tabela1[Country], 0),0))</f>
        <v>0</v>
      </c>
      <c r="Y179" s="6">
        <f>SUM(INDEX(Tabela1[[Fencing - Men''s Épée]:[Fencing - Women''s Team Sabre]],MATCH(Table92[[#This Row],[Country]],Tabela1[Country], 0),0))</f>
        <v>0</v>
      </c>
      <c r="Z179" s="6">
        <f>SUM(INDEX(Tabela1[[Field Hockey - Men''s Tournament]:[Field Hockey - Women''s Tournament]],MATCH(Table92[[#This Row],[Country]],Tabela1[Country], 0),0))</f>
        <v>0</v>
      </c>
      <c r="AA179" s="6">
        <f>SUM(INDEX(Tabela1[[Football - Men''s Tournament]:[Football - Women''s Tournament]],MATCH(Table92[[#This Row],[Country]],Tabela1[Country], 0),0))</f>
        <v>0</v>
      </c>
      <c r="AB179" s="6">
        <f>SUM(INDEX(Tabela1[[Golf - Men''s Individual]:[Golf - Women''s Individual]],MATCH(Table92[[#This Row],[Country]],Tabela1[Country], 0),0))</f>
        <v>0</v>
      </c>
      <c r="AC179" s="6">
        <f>SUM(INDEX(Tabela1[[Handball - Men''s Tournament]:[Handball - Women''s Tournament]],MATCH(Table92[[#This Row],[Country]],Tabela1[Country], 0),0))</f>
        <v>0</v>
      </c>
      <c r="AD179" s="6">
        <f>SUM(INDEX(Tabela1[[Judo - Men''s 60kg]:[Judo - Mixed Team]],MATCH(Table92[[#This Row],[Country]],Tabela1[Country], 0),0))</f>
        <v>0</v>
      </c>
      <c r="AE179" s="6">
        <f>SUM(INDEX(Tabela1[[Swimming - Men''s 10km Open Water]:[Swimming - Women''s 10km Open Water]],MATCH(Table92[[#This Row],[Country]],Tabela1[Country], 0),0))</f>
        <v>0</v>
      </c>
      <c r="AF179" s="6">
        <f>SUM(INDEX(Tabela1[[Modern Pentathlon - Men''s Individual]:[Modern Pentathlon - Women''s Individual]],MATCH(Table92[[#This Row],[Country]],Tabela1[Country], 0),0))</f>
        <v>0</v>
      </c>
      <c r="AG179" s="6">
        <f>SUM(INDEX(Tabela1[[Rhythmic Gymnastics - Women''s Individual All-Around]:[Rhythmic Gymnastics - Women''s Group All-Around]],MATCH(Table92[[#This Row],[Country]],Tabela1[Country], 0),0))</f>
        <v>0</v>
      </c>
      <c r="AH179" s="6">
        <f>SUM(INDEX(Tabela1[[Rowing - Men''s Single Sculls]:[Rowing - Women''s Lwt. Double Sculls]],MATCH(Table92[[#This Row],[Country]],Tabela1[Country], 0),0))</f>
        <v>0</v>
      </c>
      <c r="AI179" s="6">
        <f>SUM(INDEX(Tabela1[[Rugby Sevens - Men''s Tournament]:[Rugby Sevens - Women''s Tournament]],MATCH(Table92[[#This Row],[Country]],Tabela1[Country], 0),0))</f>
        <v>0</v>
      </c>
      <c r="AJ179" s="6">
        <f>SUM(INDEX(Tabela1[[Sailing - Mixed 470]:[Sailing - Mixed Nacra 17]],MATCH(Table92[[#This Row],[Country]],Tabela1[Country], 0),0))</f>
        <v>0</v>
      </c>
      <c r="AK179" s="6">
        <f>SUM(INDEX(Tabela1[[Shooting - Men''s 10m Air Pistol]:[Shooting - Women''s Trap]],MATCH(Table92[[#This Row],[Country]],Tabela1[Country], 0),0))</f>
        <v>0</v>
      </c>
      <c r="AL179" s="6">
        <f>SUM(INDEX(Tabela1[[Skateboarding - Men''s Park]:[Skateboarding - Women''s Street]],MATCH(Table92[[#This Row],[Country]],Tabela1[Country], 0),0))</f>
        <v>0</v>
      </c>
      <c r="AM179" s="6">
        <f>SUM(INDEX(Tabela1[[Sport Climbing - Men''s Boulder and Lead]:[Sport Climbing - Women''s Speed]],MATCH(Table92[[#This Row],[Country]],Tabela1[Country], 0),0))</f>
        <v>0</v>
      </c>
      <c r="AN179" s="6">
        <f>SUM(INDEX(Tabela1[[Surfing - Men''s Shortboard]:[Surfing - Women''s Shortboard]],MATCH(Table92[[#This Row],[Country]],Tabela1[Country], 0),0))</f>
        <v>0</v>
      </c>
      <c r="AO179" s="6">
        <f>SUM(INDEX(Tabela1[[Swimming - Men''s 50m Freestyle]:[Swimming - Mixed 4x100m Medley Relay]],MATCH(Table92[[#This Row],[Country]],Tabela1[Country], 0),0))</f>
        <v>0</v>
      </c>
      <c r="AP179" s="6">
        <f>SUM(INDEX(Tabela1[[Table Tennis - Men''s Singles]:[Table Tennis - Mixed Doubles]],MATCH(Table92[[#This Row],[Country]],Tabela1[Country], 0),0))</f>
        <v>0</v>
      </c>
      <c r="AQ179" s="6">
        <f>SUM(INDEX(Tabela1[[Taekwondo - Men''s 58kg]:[Taekwondo - Women''s +67kg]],MATCH(Table92[[#This Row],[Country]],Tabela1[Country], 0),0))</f>
        <v>0</v>
      </c>
      <c r="AR179" s="6">
        <f>SUM(INDEX(Tabela1[[Tennis - Men''s Singles]:[Tennis - Mixed Doubles]],MATCH(Table92[[#This Row],[Country]],Tabela1[Country], 0),0))</f>
        <v>0</v>
      </c>
      <c r="AS179" s="6">
        <f>SUM(INDEX(Tabela1[[Gymnastics - Men''s Trampoline]:[Gymnastics - Women''s Trampoline]],MATCH(Table92[[#This Row],[Country]],Tabela1[Country], 0),0))</f>
        <v>0</v>
      </c>
      <c r="AT179" s="6">
        <f>SUM(INDEX(Tabela1[[Triathlon - Men''s Individual]:[Triathlon - Mixed Relay]],MATCH(Table92[[#This Row],[Country]],Tabela1[Country], 0),0))</f>
        <v>0</v>
      </c>
      <c r="AU179" s="6">
        <f>SUM(INDEX(Tabela1[[Volleyball - Men''s Tournament]:[Volleyball - Women''s Tournament]],MATCH(Table92[[#This Row],[Country]],Tabela1[Country], 0),0))</f>
        <v>0</v>
      </c>
      <c r="AV179" s="6">
        <f>SUM(INDEX(Tabela1[[Water Polo - Men''s Tournament]:[Water Polo - Women''s Tournament]],MATCH(Table92[[#This Row],[Country]],Tabela1[Country], 0),0))</f>
        <v>0</v>
      </c>
      <c r="AW179" s="6">
        <f>SUM(INDEX(Tabela1[[Weightlifting - Men''s 61kg]:[Weightlifting - Women''s +81kg]],MATCH(Table92[[#This Row],[Country]],Tabela1[Country], 0),0))</f>
        <v>0</v>
      </c>
      <c r="AX179" s="6">
        <f>SUM(INDEX(Tabela1[[Wrestling - Men''s Freestyle 57kg]:[Wrestling - Women''s Freestyle 76kg]],MATCH(Table92[[#This Row],[Country]],Tabela1[Country], 0),0))</f>
        <v>0</v>
      </c>
      <c r="AY179" s="6">
        <f>SUM(INDEX(Tabela1[[Alpine Skiing - Men''s Downhill]:[Alpine Skiing - Women''s Team Combined]],MATCH(Table92[[#This Row],[Country]],Tabela1[Country], 0),0))</f>
        <v>0</v>
      </c>
      <c r="AZ179" s="6">
        <f>SUM(INDEX(Tabela1[[Biathlon - Men''s Individual]:[Biathlon - Mixed Relay]],MATCH(Table92[[#This Row],[Country]],Tabela1[Country], 0),0))</f>
        <v>0</v>
      </c>
      <c r="BA179" s="6">
        <f>SUM(INDEX(Tabela1[[Bobsleigh - Women''s Monobob]:[Bobsleigh - Men''s Four]],MATCH(Table92[[#This Row],[Country]],Tabela1[Country], 0),0))</f>
        <v>0</v>
      </c>
      <c r="BB179" s="6">
        <f>SUM(INDEX(Tabela1[[Cross-country skiing - Men''s Classical]:[Cross-country skiing - Women''s Team Sprint]],MATCH(Table92[[#This Row],[Country]],Tabela1[Country], 0),0))</f>
        <v>0</v>
      </c>
      <c r="BC179" s="6">
        <f>SUM(INDEX(Tabela1[[Curling - Men''s Tournament]:[Curling - Mixed Doubles]],MATCH(Table92[[#This Row],[Country]],Tabela1[Country], 0),0))</f>
        <v>0</v>
      </c>
      <c r="BD179" s="6">
        <f>SUM(INDEX(Tabela1[[Figure Skating - Men''s Singles]:[Figure Skating - Team Event]],MATCH(Table92[[#This Row],[Country]],Tabela1[Country], 0),0))</f>
        <v>0</v>
      </c>
      <c r="BE179" s="6">
        <f>SUM(INDEX(Tabela1[[Freestyle Skiing - Men''s Aerials]:[Freestyle Skiing - Women''s Slopestyle]],MATCH(Table92[[#This Row],[Country]],Tabela1[Country], 0),0))</f>
        <v>0</v>
      </c>
      <c r="BF179" s="6">
        <f>SUM(INDEX(Tabela1[[Ice Hockey - Men''s Tournament]:[Ice Hockey - Women''s Tournament]],MATCH(Table92[[#This Row],[Country]],Tabela1[Country], 0),0))</f>
        <v>0</v>
      </c>
      <c r="BG179" s="6">
        <f>SUM(INDEX(Tabela1[[Luge - Men''s Singles]:[Luge - Mixed Team Relay]],MATCH(Table92[[#This Row],[Country]],Tabela1[Country], 0),0))</f>
        <v>0</v>
      </c>
      <c r="BH179" s="6">
        <f>SUM(INDEX(Tabela1[[Nordic Combined - Men''s Individual]:[Nordic Combined - Men''s Team Sprint Large Hill]],MATCH(Table92[[#This Row],[Country]],Tabela1[Country], 0),0))</f>
        <v>0</v>
      </c>
      <c r="BI179" s="6">
        <f>SUM(INDEX(Tabela1[[Short track speed skating - Men''s 500m]:[Short track speed skating - Mixed 2000m Relay]],MATCH(Table92[[#This Row],[Country]],Tabela1[Country], 0),0))</f>
        <v>0</v>
      </c>
      <c r="BJ179" s="6">
        <f>SUM(INDEX(Tabela1[[Skeleton - Men''s Individual]:[Skeleton - Mixed Team]],MATCH(Table92[[#This Row],[Country]],Tabela1[Country], 0),0))</f>
        <v>0</v>
      </c>
      <c r="BK179" s="6">
        <f>SUM(INDEX(Tabela1[[Ski Jumping - Men''s Individual Large Hill]:[Ski Jumping - Mixed Team Normal Hill]],MATCH(Table92[[#This Row],[Country]],Tabela1[Country], 0),0))</f>
        <v>0</v>
      </c>
      <c r="BL179" s="6">
        <f>SUM(INDEX(Tabela1[[Ski Mountaineering - Men''s Sprint]:[Ski Mountaineering - Mixed Relay]],MATCH(Table92[[#This Row],[Country]],Tabela1[Country], 0),0))</f>
        <v>0</v>
      </c>
      <c r="BM179" s="6">
        <f>SUM(INDEX(Tabela1[[Snowboarding - Men''s Big Air]:[Snowboarding - Mixed Team Snowboard Cross]],MATCH(Table92[[#This Row],[Country]],Tabela1[Country], 0),0))</f>
        <v>0</v>
      </c>
      <c r="BN179" s="6">
        <f>SUM(INDEX(Tabela1[[Speed Skating - Men''s 500m]:[Speed Skating - Women''s Team Pursuit]],MATCH(Table92[[#This Row],[Country]],Tabela1[Country], 0),0))</f>
        <v>0</v>
      </c>
      <c r="BO179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79" s="6">
        <f>SUM(Table92[[#This Row],[Summer Sports]:[Winter Sports]])</f>
        <v>0</v>
      </c>
      <c r="BQ179" s="6">
        <f>COUNTIF(Table92[[#This Row],[Archery Quotas]:[Wrestling Quotas]],"&lt;&gt;0")</f>
        <v>0</v>
      </c>
      <c r="BR179" s="6">
        <f>COUNTIF(Table92[[#This Row],[Alpine Skiing Quotas]:[Speed Skating Quotas]],"&lt;&gt;0")</f>
        <v>0</v>
      </c>
      <c r="BS179" s="4" t="s">
        <v>495</v>
      </c>
    </row>
    <row r="180" spans="1:71" x14ac:dyDescent="0.3">
      <c r="A180" s="6" t="s">
        <v>610</v>
      </c>
      <c r="B180" t="e" vm="157">
        <f>IF(ISBLANK(Table92[[#This Row],[Flag Link]]), "", _xlfn.IMAGE(Table92[[#This Row],[Flag Link]],1,1))</f>
        <v>#VALUE!</v>
      </c>
      <c r="C180" s="6">
        <f>SUM(Table92[[#This Row],[Archery Quotas]:[Speed Skating Quotas]])</f>
        <v>0</v>
      </c>
      <c r="D180" s="6">
        <f>SUM(INDEX(Tabela1[[Archery - Men''s Individual Recurve]:[Archery - Mixed Team Recurve]],MATCH(Table92[[#This Row],[Country]],Tabela1[Country], 0),0))</f>
        <v>0</v>
      </c>
      <c r="E180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80" s="6">
        <f>SUM(INDEX(Tabela1[[Artistic Swimming - Women''s Duet]:[Artistic Swimming - Women''s Team]],MATCH(Table92[[#This Row],[Country]],Tabela1[Country], 0),0))</f>
        <v>0</v>
      </c>
      <c r="G180" s="6">
        <f>SUM(INDEX(Tabela1[[Athletics - Men''s 100m]:[Athletics - Women''s Heptathlon]],MATCH(Table92[[#This Row],[Country]],Tabela1[Country], 0),0))</f>
        <v>0</v>
      </c>
      <c r="H180" s="6">
        <f>SUM(INDEX(Tabela1[[Badminton - Men''s Singles]:[Badminton - Mixed Doubles]],MATCH(Table92[[#This Row],[Country]],Tabela1[Country], 0),0))</f>
        <v>0</v>
      </c>
      <c r="I180" s="6">
        <f>SUM(INDEX(Tabela1[[Basketball - Men''s Tournament]:[Basketball - Women''s Tournament]],MATCH(Table92[[#This Row],[Country]],Tabela1[Country], 0),0))</f>
        <v>0</v>
      </c>
      <c r="J180" s="6">
        <f>SUM(INDEX(Tabela1[[3x3 Basketball - Men''s Tournament]:[3x3 Basketball - Women''s Tournament]],MATCH(Table92[[#This Row],[Country]],Tabela1[Country], 0),0))</f>
        <v>0</v>
      </c>
      <c r="K180" s="6">
        <f>SUM(INDEX(Tabela1[[Beach Volleyball - Men''s Tournament]:[Beach Volleyball - Women''s Tournament]],MATCH(Table92[[#This Row],[Country]],Tabela1[Country], 0),0))</f>
        <v>0</v>
      </c>
      <c r="L180" s="6">
        <f>SUM(INDEX(Tabela1[[Boxing - Men''s 51kg]:[Boxing - Women''s 75kg]],MATCH(Table92[[#This Row],[Country]],Tabela1[Country], 0),0))</f>
        <v>0</v>
      </c>
      <c r="M180" s="6">
        <f>SUM(INDEX(Tabela1[[Breaking - Men''s Individual]:[Breaking - Women''s Individual]],MATCH(Table92[[#This Row],[Country]],Tabela1[Country], 0),0))</f>
        <v>0</v>
      </c>
      <c r="N180" s="6">
        <f>SUM(INDEX(Tabela1[[Canoeing - Men''s C1 Slalom]:[Canoeing - Women''s Kayak Cross Slalom]],MATCH(Table92[[#This Row],[Country]],Tabela1[Country], 0),0))</f>
        <v>0</v>
      </c>
      <c r="O180" s="6">
        <f>SUM(INDEX(Tabela1[[Canoeing - Women''s C1 200m]:[Canoeing - Women''s K4 500m]],MATCH(Table92[[#This Row],[Country]],Tabela1[Country], 0),0))</f>
        <v>0</v>
      </c>
      <c r="P180" s="6">
        <f>SUM(INDEX(Tabela1[[Cycling - Men''s BMX Freestyle]:[Cycling - Women''s BMX Freestyle]],MATCH(Table92[[#This Row],[Country]],Tabela1[Country], 0),0))</f>
        <v>0</v>
      </c>
      <c r="Q180" s="6">
        <f>SUM(INDEX(Tabela1[[Cycling - Men''s BMX Racing]:[Cycling - Women''s BMX Racing]],MATCH(Table92[[#This Row],[Country]],Tabela1[Country], 0),0))</f>
        <v>0</v>
      </c>
      <c r="R180" s="6">
        <f>SUM(INDEX(Tabela1[[Cycling - Men''s Cross-Country]:[Cycling - Women''s Cross-Country]],MATCH(Table92[[#This Row],[Country]],Tabela1[Country], 0),0))</f>
        <v>0</v>
      </c>
      <c r="S180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80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80" s="6">
        <f>SUM(INDEX(Tabela1[[Diving - Men''s Springboard]:[Diving - Women''s Synchronized Platform]],MATCH(Table92[[#This Row],[Country]],Tabela1[Country], 0),0))</f>
        <v>0</v>
      </c>
      <c r="V180" s="6">
        <f>SUM(INDEX(Tabela1[[Equestrian - Individual Dressage]:[Equestrian - Team Dressage]],MATCH(Table92[[#This Row],[Country]],Tabela1[Country], 0),0))</f>
        <v>0</v>
      </c>
      <c r="W180" s="6">
        <f>SUM(INDEX(Tabela1[[Equestrian - Individual Eventing]:[Equestrian - Team Eventing]],MATCH(Table92[[#This Row],[Country]],Tabela1[Country], 0),0))</f>
        <v>0</v>
      </c>
      <c r="X180" s="6">
        <f>SUM(INDEX(Tabela1[[Equestrian - Individual Jumping]:[Equestrian - Team Jumping]],MATCH(Table92[[#This Row],[Country]],Tabela1[Country], 0),0))</f>
        <v>0</v>
      </c>
      <c r="Y180" s="6">
        <f>SUM(INDEX(Tabela1[[Fencing - Men''s Épée]:[Fencing - Women''s Team Sabre]],MATCH(Table92[[#This Row],[Country]],Tabela1[Country], 0),0))</f>
        <v>0</v>
      </c>
      <c r="Z180" s="6">
        <f>SUM(INDEX(Tabela1[[Field Hockey - Men''s Tournament]:[Field Hockey - Women''s Tournament]],MATCH(Table92[[#This Row],[Country]],Tabela1[Country], 0),0))</f>
        <v>0</v>
      </c>
      <c r="AA180" s="6">
        <f>SUM(INDEX(Tabela1[[Football - Men''s Tournament]:[Football - Women''s Tournament]],MATCH(Table92[[#This Row],[Country]],Tabela1[Country], 0),0))</f>
        <v>0</v>
      </c>
      <c r="AB180" s="6">
        <f>SUM(INDEX(Tabela1[[Golf - Men''s Individual]:[Golf - Women''s Individual]],MATCH(Table92[[#This Row],[Country]],Tabela1[Country], 0),0))</f>
        <v>0</v>
      </c>
      <c r="AC180" s="6">
        <f>SUM(INDEX(Tabela1[[Handball - Men''s Tournament]:[Handball - Women''s Tournament]],MATCH(Table92[[#This Row],[Country]],Tabela1[Country], 0),0))</f>
        <v>0</v>
      </c>
      <c r="AD180" s="6">
        <f>SUM(INDEX(Tabela1[[Judo - Men''s 60kg]:[Judo - Mixed Team]],MATCH(Table92[[#This Row],[Country]],Tabela1[Country], 0),0))</f>
        <v>0</v>
      </c>
      <c r="AE180" s="6">
        <f>SUM(INDEX(Tabela1[[Swimming - Men''s 10km Open Water]:[Swimming - Women''s 10km Open Water]],MATCH(Table92[[#This Row],[Country]],Tabela1[Country], 0),0))</f>
        <v>0</v>
      </c>
      <c r="AF180" s="6">
        <f>SUM(INDEX(Tabela1[[Modern Pentathlon - Men''s Individual]:[Modern Pentathlon - Women''s Individual]],MATCH(Table92[[#This Row],[Country]],Tabela1[Country], 0),0))</f>
        <v>0</v>
      </c>
      <c r="AG180" s="6">
        <f>SUM(INDEX(Tabela1[[Rhythmic Gymnastics - Women''s Individual All-Around]:[Rhythmic Gymnastics - Women''s Group All-Around]],MATCH(Table92[[#This Row],[Country]],Tabela1[Country], 0),0))</f>
        <v>0</v>
      </c>
      <c r="AH180" s="6">
        <f>SUM(INDEX(Tabela1[[Rowing - Men''s Single Sculls]:[Rowing - Women''s Lwt. Double Sculls]],MATCH(Table92[[#This Row],[Country]],Tabela1[Country], 0),0))</f>
        <v>0</v>
      </c>
      <c r="AI180" s="6">
        <f>SUM(INDEX(Tabela1[[Rugby Sevens - Men''s Tournament]:[Rugby Sevens - Women''s Tournament]],MATCH(Table92[[#This Row],[Country]],Tabela1[Country], 0),0))</f>
        <v>0</v>
      </c>
      <c r="AJ180" s="6">
        <f>SUM(INDEX(Tabela1[[Sailing - Mixed 470]:[Sailing - Mixed Nacra 17]],MATCH(Table92[[#This Row],[Country]],Tabela1[Country], 0),0))</f>
        <v>0</v>
      </c>
      <c r="AK180" s="6">
        <f>SUM(INDEX(Tabela1[[Shooting - Men''s 10m Air Pistol]:[Shooting - Women''s Trap]],MATCH(Table92[[#This Row],[Country]],Tabela1[Country], 0),0))</f>
        <v>0</v>
      </c>
      <c r="AL180" s="6">
        <f>SUM(INDEX(Tabela1[[Skateboarding - Men''s Park]:[Skateboarding - Women''s Street]],MATCH(Table92[[#This Row],[Country]],Tabela1[Country], 0),0))</f>
        <v>0</v>
      </c>
      <c r="AM180" s="6">
        <f>SUM(INDEX(Tabela1[[Sport Climbing - Men''s Boulder and Lead]:[Sport Climbing - Women''s Speed]],MATCH(Table92[[#This Row],[Country]],Tabela1[Country], 0),0))</f>
        <v>0</v>
      </c>
      <c r="AN180" s="6">
        <f>SUM(INDEX(Tabela1[[Surfing - Men''s Shortboard]:[Surfing - Women''s Shortboard]],MATCH(Table92[[#This Row],[Country]],Tabela1[Country], 0),0))</f>
        <v>0</v>
      </c>
      <c r="AO180" s="6">
        <f>SUM(INDEX(Tabela1[[Swimming - Men''s 50m Freestyle]:[Swimming - Mixed 4x100m Medley Relay]],MATCH(Table92[[#This Row],[Country]],Tabela1[Country], 0),0))</f>
        <v>0</v>
      </c>
      <c r="AP180" s="6">
        <f>SUM(INDEX(Tabela1[[Table Tennis - Men''s Singles]:[Table Tennis - Mixed Doubles]],MATCH(Table92[[#This Row],[Country]],Tabela1[Country], 0),0))</f>
        <v>0</v>
      </c>
      <c r="AQ180" s="6">
        <f>SUM(INDEX(Tabela1[[Taekwondo - Men''s 58kg]:[Taekwondo - Women''s +67kg]],MATCH(Table92[[#This Row],[Country]],Tabela1[Country], 0),0))</f>
        <v>0</v>
      </c>
      <c r="AR180" s="6">
        <f>SUM(INDEX(Tabela1[[Tennis - Men''s Singles]:[Tennis - Mixed Doubles]],MATCH(Table92[[#This Row],[Country]],Tabela1[Country], 0),0))</f>
        <v>0</v>
      </c>
      <c r="AS180" s="6">
        <f>SUM(INDEX(Tabela1[[Gymnastics - Men''s Trampoline]:[Gymnastics - Women''s Trampoline]],MATCH(Table92[[#This Row],[Country]],Tabela1[Country], 0),0))</f>
        <v>0</v>
      </c>
      <c r="AT180" s="6">
        <f>SUM(INDEX(Tabela1[[Triathlon - Men''s Individual]:[Triathlon - Mixed Relay]],MATCH(Table92[[#This Row],[Country]],Tabela1[Country], 0),0))</f>
        <v>0</v>
      </c>
      <c r="AU180" s="6">
        <f>SUM(INDEX(Tabela1[[Volleyball - Men''s Tournament]:[Volleyball - Women''s Tournament]],MATCH(Table92[[#This Row],[Country]],Tabela1[Country], 0),0))</f>
        <v>0</v>
      </c>
      <c r="AV180" s="6">
        <f>SUM(INDEX(Tabela1[[Water Polo - Men''s Tournament]:[Water Polo - Women''s Tournament]],MATCH(Table92[[#This Row],[Country]],Tabela1[Country], 0),0))</f>
        <v>0</v>
      </c>
      <c r="AW180" s="6">
        <f>SUM(INDEX(Tabela1[[Weightlifting - Men''s 61kg]:[Weightlifting - Women''s +81kg]],MATCH(Table92[[#This Row],[Country]],Tabela1[Country], 0),0))</f>
        <v>0</v>
      </c>
      <c r="AX180" s="6">
        <f>SUM(INDEX(Tabela1[[Wrestling - Men''s Freestyle 57kg]:[Wrestling - Women''s Freestyle 76kg]],MATCH(Table92[[#This Row],[Country]],Tabela1[Country], 0),0))</f>
        <v>0</v>
      </c>
      <c r="AY180" s="6">
        <f>SUM(INDEX(Tabela1[[Alpine Skiing - Men''s Downhill]:[Alpine Skiing - Women''s Team Combined]],MATCH(Table92[[#This Row],[Country]],Tabela1[Country], 0),0))</f>
        <v>0</v>
      </c>
      <c r="AZ180" s="6">
        <f>SUM(INDEX(Tabela1[[Biathlon - Men''s Individual]:[Biathlon - Mixed Relay]],MATCH(Table92[[#This Row],[Country]],Tabela1[Country], 0),0))</f>
        <v>0</v>
      </c>
      <c r="BA180" s="6">
        <f>SUM(INDEX(Tabela1[[Bobsleigh - Women''s Monobob]:[Bobsleigh - Men''s Four]],MATCH(Table92[[#This Row],[Country]],Tabela1[Country], 0),0))</f>
        <v>0</v>
      </c>
      <c r="BB180" s="6">
        <f>SUM(INDEX(Tabela1[[Cross-country skiing - Men''s Classical]:[Cross-country skiing - Women''s Team Sprint]],MATCH(Table92[[#This Row],[Country]],Tabela1[Country], 0),0))</f>
        <v>0</v>
      </c>
      <c r="BC180" s="6">
        <f>SUM(INDEX(Tabela1[[Curling - Men''s Tournament]:[Curling - Mixed Doubles]],MATCH(Table92[[#This Row],[Country]],Tabela1[Country], 0),0))</f>
        <v>0</v>
      </c>
      <c r="BD180" s="6">
        <f>SUM(INDEX(Tabela1[[Figure Skating - Men''s Singles]:[Figure Skating - Team Event]],MATCH(Table92[[#This Row],[Country]],Tabela1[Country], 0),0))</f>
        <v>0</v>
      </c>
      <c r="BE180" s="6">
        <f>SUM(INDEX(Tabela1[[Freestyle Skiing - Men''s Aerials]:[Freestyle Skiing - Women''s Slopestyle]],MATCH(Table92[[#This Row],[Country]],Tabela1[Country], 0),0))</f>
        <v>0</v>
      </c>
      <c r="BF180" s="6">
        <f>SUM(INDEX(Tabela1[[Ice Hockey - Men''s Tournament]:[Ice Hockey - Women''s Tournament]],MATCH(Table92[[#This Row],[Country]],Tabela1[Country], 0),0))</f>
        <v>0</v>
      </c>
      <c r="BG180" s="6">
        <f>SUM(INDEX(Tabela1[[Luge - Men''s Singles]:[Luge - Mixed Team Relay]],MATCH(Table92[[#This Row],[Country]],Tabela1[Country], 0),0))</f>
        <v>0</v>
      </c>
      <c r="BH180" s="6">
        <f>SUM(INDEX(Tabela1[[Nordic Combined - Men''s Individual]:[Nordic Combined - Men''s Team Sprint Large Hill]],MATCH(Table92[[#This Row],[Country]],Tabela1[Country], 0),0))</f>
        <v>0</v>
      </c>
      <c r="BI180" s="6">
        <f>SUM(INDEX(Tabela1[[Short track speed skating - Men''s 500m]:[Short track speed skating - Mixed 2000m Relay]],MATCH(Table92[[#This Row],[Country]],Tabela1[Country], 0),0))</f>
        <v>0</v>
      </c>
      <c r="BJ180" s="6">
        <f>SUM(INDEX(Tabela1[[Skeleton - Men''s Individual]:[Skeleton - Mixed Team]],MATCH(Table92[[#This Row],[Country]],Tabela1[Country], 0),0))</f>
        <v>0</v>
      </c>
      <c r="BK180" s="6">
        <f>SUM(INDEX(Tabela1[[Ski Jumping - Men''s Individual Large Hill]:[Ski Jumping - Mixed Team Normal Hill]],MATCH(Table92[[#This Row],[Country]],Tabela1[Country], 0),0))</f>
        <v>0</v>
      </c>
      <c r="BL180" s="6">
        <f>SUM(INDEX(Tabela1[[Ski Mountaineering - Men''s Sprint]:[Ski Mountaineering - Mixed Relay]],MATCH(Table92[[#This Row],[Country]],Tabela1[Country], 0),0))</f>
        <v>0</v>
      </c>
      <c r="BM180" s="6">
        <f>SUM(INDEX(Tabela1[[Snowboarding - Men''s Big Air]:[Snowboarding - Mixed Team Snowboard Cross]],MATCH(Table92[[#This Row],[Country]],Tabela1[Country], 0),0))</f>
        <v>0</v>
      </c>
      <c r="BN180" s="6">
        <f>SUM(INDEX(Tabela1[[Speed Skating - Men''s 500m]:[Speed Skating - Women''s Team Pursuit]],MATCH(Table92[[#This Row],[Country]],Tabela1[Country], 0),0))</f>
        <v>0</v>
      </c>
      <c r="BO180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80" s="6">
        <f>SUM(Table92[[#This Row],[Summer Sports]:[Winter Sports]])</f>
        <v>0</v>
      </c>
      <c r="BQ180" s="6">
        <f>COUNTIF(Table92[[#This Row],[Archery Quotas]:[Wrestling Quotas]],"&lt;&gt;0")</f>
        <v>0</v>
      </c>
      <c r="BR180" s="6">
        <f>COUNTIF(Table92[[#This Row],[Alpine Skiing Quotas]:[Speed Skating Quotas]],"&lt;&gt;0")</f>
        <v>0</v>
      </c>
      <c r="BS180" s="3" t="s">
        <v>611</v>
      </c>
    </row>
    <row r="181" spans="1:71" x14ac:dyDescent="0.3">
      <c r="A181" s="6" t="s">
        <v>612</v>
      </c>
      <c r="B181" t="e" vm="183">
        <f>IF(ISBLANK(Table92[[#This Row],[Flag Link]]), "", _xlfn.IMAGE(Table92[[#This Row],[Flag Link]],1,1))</f>
        <v>#VALUE!</v>
      </c>
      <c r="C181" s="6">
        <f>SUM(Table92[[#This Row],[Archery Quotas]:[Speed Skating Quotas]])</f>
        <v>0</v>
      </c>
      <c r="D181" s="6">
        <f>SUM(INDEX(Tabela1[[Archery - Men''s Individual Recurve]:[Archery - Mixed Team Recurve]],MATCH(Table92[[#This Row],[Country]],Tabela1[Country], 0),0))</f>
        <v>0</v>
      </c>
      <c r="E181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81" s="6">
        <f>SUM(INDEX(Tabela1[[Artistic Swimming - Women''s Duet]:[Artistic Swimming - Women''s Team]],MATCH(Table92[[#This Row],[Country]],Tabela1[Country], 0),0))</f>
        <v>0</v>
      </c>
      <c r="G181" s="6">
        <f>SUM(INDEX(Tabela1[[Athletics - Men''s 100m]:[Athletics - Women''s Heptathlon]],MATCH(Table92[[#This Row],[Country]],Tabela1[Country], 0),0))</f>
        <v>0</v>
      </c>
      <c r="H181" s="6">
        <f>SUM(INDEX(Tabela1[[Badminton - Men''s Singles]:[Badminton - Mixed Doubles]],MATCH(Table92[[#This Row],[Country]],Tabela1[Country], 0),0))</f>
        <v>0</v>
      </c>
      <c r="I181" s="6">
        <f>SUM(INDEX(Tabela1[[Basketball - Men''s Tournament]:[Basketball - Women''s Tournament]],MATCH(Table92[[#This Row],[Country]],Tabela1[Country], 0),0))</f>
        <v>0</v>
      </c>
      <c r="J181" s="6">
        <f>SUM(INDEX(Tabela1[[3x3 Basketball - Men''s Tournament]:[3x3 Basketball - Women''s Tournament]],MATCH(Table92[[#This Row],[Country]],Tabela1[Country], 0),0))</f>
        <v>0</v>
      </c>
      <c r="K181" s="6">
        <f>SUM(INDEX(Tabela1[[Beach Volleyball - Men''s Tournament]:[Beach Volleyball - Women''s Tournament]],MATCH(Table92[[#This Row],[Country]],Tabela1[Country], 0),0))</f>
        <v>0</v>
      </c>
      <c r="L181" s="6">
        <f>SUM(INDEX(Tabela1[[Boxing - Men''s 51kg]:[Boxing - Women''s 75kg]],MATCH(Table92[[#This Row],[Country]],Tabela1[Country], 0),0))</f>
        <v>0</v>
      </c>
      <c r="M181" s="6">
        <f>SUM(INDEX(Tabela1[[Breaking - Men''s Individual]:[Breaking - Women''s Individual]],MATCH(Table92[[#This Row],[Country]],Tabela1[Country], 0),0))</f>
        <v>0</v>
      </c>
      <c r="N181" s="6">
        <f>SUM(INDEX(Tabela1[[Canoeing - Men''s C1 Slalom]:[Canoeing - Women''s Kayak Cross Slalom]],MATCH(Table92[[#This Row],[Country]],Tabela1[Country], 0),0))</f>
        <v>0</v>
      </c>
      <c r="O181" s="6">
        <f>SUM(INDEX(Tabela1[[Canoeing - Women''s C1 200m]:[Canoeing - Women''s K4 500m]],MATCH(Table92[[#This Row],[Country]],Tabela1[Country], 0),0))</f>
        <v>0</v>
      </c>
      <c r="P181" s="6">
        <f>SUM(INDEX(Tabela1[[Cycling - Men''s BMX Freestyle]:[Cycling - Women''s BMX Freestyle]],MATCH(Table92[[#This Row],[Country]],Tabela1[Country], 0),0))</f>
        <v>0</v>
      </c>
      <c r="Q181" s="6">
        <f>SUM(INDEX(Tabela1[[Cycling - Men''s BMX Racing]:[Cycling - Women''s BMX Racing]],MATCH(Table92[[#This Row],[Country]],Tabela1[Country], 0),0))</f>
        <v>0</v>
      </c>
      <c r="R181" s="6">
        <f>SUM(INDEX(Tabela1[[Cycling - Men''s Cross-Country]:[Cycling - Women''s Cross-Country]],MATCH(Table92[[#This Row],[Country]],Tabela1[Country], 0),0))</f>
        <v>0</v>
      </c>
      <c r="S181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81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81" s="6">
        <f>SUM(INDEX(Tabela1[[Diving - Men''s Springboard]:[Diving - Women''s Synchronized Platform]],MATCH(Table92[[#This Row],[Country]],Tabela1[Country], 0),0))</f>
        <v>0</v>
      </c>
      <c r="V181" s="6">
        <f>SUM(INDEX(Tabela1[[Equestrian - Individual Dressage]:[Equestrian - Team Dressage]],MATCH(Table92[[#This Row],[Country]],Tabela1[Country], 0),0))</f>
        <v>0</v>
      </c>
      <c r="W181" s="6">
        <f>SUM(INDEX(Tabela1[[Equestrian - Individual Eventing]:[Equestrian - Team Eventing]],MATCH(Table92[[#This Row],[Country]],Tabela1[Country], 0),0))</f>
        <v>0</v>
      </c>
      <c r="X181" s="6">
        <f>SUM(INDEX(Tabela1[[Equestrian - Individual Jumping]:[Equestrian - Team Jumping]],MATCH(Table92[[#This Row],[Country]],Tabela1[Country], 0),0))</f>
        <v>0</v>
      </c>
      <c r="Y181" s="6">
        <f>SUM(INDEX(Tabela1[[Fencing - Men''s Épée]:[Fencing - Women''s Team Sabre]],MATCH(Table92[[#This Row],[Country]],Tabela1[Country], 0),0))</f>
        <v>0</v>
      </c>
      <c r="Z181" s="6">
        <f>SUM(INDEX(Tabela1[[Field Hockey - Men''s Tournament]:[Field Hockey - Women''s Tournament]],MATCH(Table92[[#This Row],[Country]],Tabela1[Country], 0),0))</f>
        <v>0</v>
      </c>
      <c r="AA181" s="6">
        <f>SUM(INDEX(Tabela1[[Football - Men''s Tournament]:[Football - Women''s Tournament]],MATCH(Table92[[#This Row],[Country]],Tabela1[Country], 0),0))</f>
        <v>0</v>
      </c>
      <c r="AB181" s="6">
        <f>SUM(INDEX(Tabela1[[Golf - Men''s Individual]:[Golf - Women''s Individual]],MATCH(Table92[[#This Row],[Country]],Tabela1[Country], 0),0))</f>
        <v>0</v>
      </c>
      <c r="AC181" s="6">
        <f>SUM(INDEX(Tabela1[[Handball - Men''s Tournament]:[Handball - Women''s Tournament]],MATCH(Table92[[#This Row],[Country]],Tabela1[Country], 0),0))</f>
        <v>0</v>
      </c>
      <c r="AD181" s="6">
        <f>SUM(INDEX(Tabela1[[Judo - Men''s 60kg]:[Judo - Mixed Team]],MATCH(Table92[[#This Row],[Country]],Tabela1[Country], 0),0))</f>
        <v>0</v>
      </c>
      <c r="AE181" s="6">
        <f>SUM(INDEX(Tabela1[[Swimming - Men''s 10km Open Water]:[Swimming - Women''s 10km Open Water]],MATCH(Table92[[#This Row],[Country]],Tabela1[Country], 0),0))</f>
        <v>0</v>
      </c>
      <c r="AF181" s="6">
        <f>SUM(INDEX(Tabela1[[Modern Pentathlon - Men''s Individual]:[Modern Pentathlon - Women''s Individual]],MATCH(Table92[[#This Row],[Country]],Tabela1[Country], 0),0))</f>
        <v>0</v>
      </c>
      <c r="AG181" s="6">
        <f>SUM(INDEX(Tabela1[[Rhythmic Gymnastics - Women''s Individual All-Around]:[Rhythmic Gymnastics - Women''s Group All-Around]],MATCH(Table92[[#This Row],[Country]],Tabela1[Country], 0),0))</f>
        <v>0</v>
      </c>
      <c r="AH181" s="6">
        <f>SUM(INDEX(Tabela1[[Rowing - Men''s Single Sculls]:[Rowing - Women''s Lwt. Double Sculls]],MATCH(Table92[[#This Row],[Country]],Tabela1[Country], 0),0))</f>
        <v>0</v>
      </c>
      <c r="AI181" s="6">
        <f>SUM(INDEX(Tabela1[[Rugby Sevens - Men''s Tournament]:[Rugby Sevens - Women''s Tournament]],MATCH(Table92[[#This Row],[Country]],Tabela1[Country], 0),0))</f>
        <v>0</v>
      </c>
      <c r="AJ181" s="6">
        <f>SUM(INDEX(Tabela1[[Sailing - Mixed 470]:[Sailing - Mixed Nacra 17]],MATCH(Table92[[#This Row],[Country]],Tabela1[Country], 0),0))</f>
        <v>0</v>
      </c>
      <c r="AK181" s="6">
        <f>SUM(INDEX(Tabela1[[Shooting - Men''s 10m Air Pistol]:[Shooting - Women''s Trap]],MATCH(Table92[[#This Row],[Country]],Tabela1[Country], 0),0))</f>
        <v>0</v>
      </c>
      <c r="AL181" s="6">
        <f>SUM(INDEX(Tabela1[[Skateboarding - Men''s Park]:[Skateboarding - Women''s Street]],MATCH(Table92[[#This Row],[Country]],Tabela1[Country], 0),0))</f>
        <v>0</v>
      </c>
      <c r="AM181" s="6">
        <f>SUM(INDEX(Tabela1[[Sport Climbing - Men''s Boulder and Lead]:[Sport Climbing - Women''s Speed]],MATCH(Table92[[#This Row],[Country]],Tabela1[Country], 0),0))</f>
        <v>0</v>
      </c>
      <c r="AN181" s="6">
        <f>SUM(INDEX(Tabela1[[Surfing - Men''s Shortboard]:[Surfing - Women''s Shortboard]],MATCH(Table92[[#This Row],[Country]],Tabela1[Country], 0),0))</f>
        <v>0</v>
      </c>
      <c r="AO181" s="6">
        <f>SUM(INDEX(Tabela1[[Swimming - Men''s 50m Freestyle]:[Swimming - Mixed 4x100m Medley Relay]],MATCH(Table92[[#This Row],[Country]],Tabela1[Country], 0),0))</f>
        <v>0</v>
      </c>
      <c r="AP181" s="6">
        <f>SUM(INDEX(Tabela1[[Table Tennis - Men''s Singles]:[Table Tennis - Mixed Doubles]],MATCH(Table92[[#This Row],[Country]],Tabela1[Country], 0),0))</f>
        <v>0</v>
      </c>
      <c r="AQ181" s="6">
        <f>SUM(INDEX(Tabela1[[Taekwondo - Men''s 58kg]:[Taekwondo - Women''s +67kg]],MATCH(Table92[[#This Row],[Country]],Tabela1[Country], 0),0))</f>
        <v>0</v>
      </c>
      <c r="AR181" s="6">
        <f>SUM(INDEX(Tabela1[[Tennis - Men''s Singles]:[Tennis - Mixed Doubles]],MATCH(Table92[[#This Row],[Country]],Tabela1[Country], 0),0))</f>
        <v>0</v>
      </c>
      <c r="AS181" s="6">
        <f>SUM(INDEX(Tabela1[[Gymnastics - Men''s Trampoline]:[Gymnastics - Women''s Trampoline]],MATCH(Table92[[#This Row],[Country]],Tabela1[Country], 0),0))</f>
        <v>0</v>
      </c>
      <c r="AT181" s="6">
        <f>SUM(INDEX(Tabela1[[Triathlon - Men''s Individual]:[Triathlon - Mixed Relay]],MATCH(Table92[[#This Row],[Country]],Tabela1[Country], 0),0))</f>
        <v>0</v>
      </c>
      <c r="AU181" s="6">
        <f>SUM(INDEX(Tabela1[[Volleyball - Men''s Tournament]:[Volleyball - Women''s Tournament]],MATCH(Table92[[#This Row],[Country]],Tabela1[Country], 0),0))</f>
        <v>0</v>
      </c>
      <c r="AV181" s="6">
        <f>SUM(INDEX(Tabela1[[Water Polo - Men''s Tournament]:[Water Polo - Women''s Tournament]],MATCH(Table92[[#This Row],[Country]],Tabela1[Country], 0),0))</f>
        <v>0</v>
      </c>
      <c r="AW181" s="6">
        <f>SUM(INDEX(Tabela1[[Weightlifting - Men''s 61kg]:[Weightlifting - Women''s +81kg]],MATCH(Table92[[#This Row],[Country]],Tabela1[Country], 0),0))</f>
        <v>0</v>
      </c>
      <c r="AX181" s="6">
        <f>SUM(INDEX(Tabela1[[Wrestling - Men''s Freestyle 57kg]:[Wrestling - Women''s Freestyle 76kg]],MATCH(Table92[[#This Row],[Country]],Tabela1[Country], 0),0))</f>
        <v>0</v>
      </c>
      <c r="AY181" s="6">
        <f>SUM(INDEX(Tabela1[[Alpine Skiing - Men''s Downhill]:[Alpine Skiing - Women''s Team Combined]],MATCH(Table92[[#This Row],[Country]],Tabela1[Country], 0),0))</f>
        <v>0</v>
      </c>
      <c r="AZ181" s="6">
        <f>SUM(INDEX(Tabela1[[Biathlon - Men''s Individual]:[Biathlon - Mixed Relay]],MATCH(Table92[[#This Row],[Country]],Tabela1[Country], 0),0))</f>
        <v>0</v>
      </c>
      <c r="BA181" s="6">
        <f>SUM(INDEX(Tabela1[[Bobsleigh - Women''s Monobob]:[Bobsleigh - Men''s Four]],MATCH(Table92[[#This Row],[Country]],Tabela1[Country], 0),0))</f>
        <v>0</v>
      </c>
      <c r="BB181" s="6">
        <f>SUM(INDEX(Tabela1[[Cross-country skiing - Men''s Classical]:[Cross-country skiing - Women''s Team Sprint]],MATCH(Table92[[#This Row],[Country]],Tabela1[Country], 0),0))</f>
        <v>0</v>
      </c>
      <c r="BC181" s="6">
        <f>SUM(INDEX(Tabela1[[Curling - Men''s Tournament]:[Curling - Mixed Doubles]],MATCH(Table92[[#This Row],[Country]],Tabela1[Country], 0),0))</f>
        <v>0</v>
      </c>
      <c r="BD181" s="6">
        <f>SUM(INDEX(Tabela1[[Figure Skating - Men''s Singles]:[Figure Skating - Team Event]],MATCH(Table92[[#This Row],[Country]],Tabela1[Country], 0),0))</f>
        <v>0</v>
      </c>
      <c r="BE181" s="6">
        <f>SUM(INDEX(Tabela1[[Freestyle Skiing - Men''s Aerials]:[Freestyle Skiing - Women''s Slopestyle]],MATCH(Table92[[#This Row],[Country]],Tabela1[Country], 0),0))</f>
        <v>0</v>
      </c>
      <c r="BF181" s="6">
        <f>SUM(INDEX(Tabela1[[Ice Hockey - Men''s Tournament]:[Ice Hockey - Women''s Tournament]],MATCH(Table92[[#This Row],[Country]],Tabela1[Country], 0),0))</f>
        <v>0</v>
      </c>
      <c r="BG181" s="6">
        <f>SUM(INDEX(Tabela1[[Luge - Men''s Singles]:[Luge - Mixed Team Relay]],MATCH(Table92[[#This Row],[Country]],Tabela1[Country], 0),0))</f>
        <v>0</v>
      </c>
      <c r="BH181" s="6">
        <f>SUM(INDEX(Tabela1[[Nordic Combined - Men''s Individual]:[Nordic Combined - Men''s Team Sprint Large Hill]],MATCH(Table92[[#This Row],[Country]],Tabela1[Country], 0),0))</f>
        <v>0</v>
      </c>
      <c r="BI181" s="6">
        <f>SUM(INDEX(Tabela1[[Short track speed skating - Men''s 500m]:[Short track speed skating - Mixed 2000m Relay]],MATCH(Table92[[#This Row],[Country]],Tabela1[Country], 0),0))</f>
        <v>0</v>
      </c>
      <c r="BJ181" s="6">
        <f>SUM(INDEX(Tabela1[[Skeleton - Men''s Individual]:[Skeleton - Mixed Team]],MATCH(Table92[[#This Row],[Country]],Tabela1[Country], 0),0))</f>
        <v>0</v>
      </c>
      <c r="BK181" s="6">
        <f>SUM(INDEX(Tabela1[[Ski Jumping - Men''s Individual Large Hill]:[Ski Jumping - Mixed Team Normal Hill]],MATCH(Table92[[#This Row],[Country]],Tabela1[Country], 0),0))</f>
        <v>0</v>
      </c>
      <c r="BL181" s="6">
        <f>SUM(INDEX(Tabela1[[Ski Mountaineering - Men''s Sprint]:[Ski Mountaineering - Mixed Relay]],MATCH(Table92[[#This Row],[Country]],Tabela1[Country], 0),0))</f>
        <v>0</v>
      </c>
      <c r="BM181" s="6">
        <f>SUM(INDEX(Tabela1[[Snowboarding - Men''s Big Air]:[Snowboarding - Mixed Team Snowboard Cross]],MATCH(Table92[[#This Row],[Country]],Tabela1[Country], 0),0))</f>
        <v>0</v>
      </c>
      <c r="BN181" s="6">
        <f>SUM(INDEX(Tabela1[[Speed Skating - Men''s 500m]:[Speed Skating - Women''s Team Pursuit]],MATCH(Table92[[#This Row],[Country]],Tabela1[Country], 0),0))</f>
        <v>0</v>
      </c>
      <c r="BO181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81" s="6">
        <f>SUM(Table92[[#This Row],[Summer Sports]:[Winter Sports]])</f>
        <v>0</v>
      </c>
      <c r="BQ181" s="6">
        <f>COUNTIF(Table92[[#This Row],[Archery Quotas]:[Wrestling Quotas]],"&lt;&gt;0")</f>
        <v>0</v>
      </c>
      <c r="BR181" s="6">
        <f>COUNTIF(Table92[[#This Row],[Alpine Skiing Quotas]:[Speed Skating Quotas]],"&lt;&gt;0")</f>
        <v>0</v>
      </c>
      <c r="BS181" s="3" t="s">
        <v>613</v>
      </c>
    </row>
    <row r="182" spans="1:71" x14ac:dyDescent="0.3">
      <c r="A182" s="6" t="s">
        <v>616</v>
      </c>
      <c r="B182" t="e" vm="184">
        <f>IF(ISBLANK(Table92[[#This Row],[Flag Link]]), "", _xlfn.IMAGE(Table92[[#This Row],[Flag Link]],1,1))</f>
        <v>#VALUE!</v>
      </c>
      <c r="C182" s="6">
        <f>SUM(Table92[[#This Row],[Archery Quotas]:[Speed Skating Quotas]])</f>
        <v>0</v>
      </c>
      <c r="D182" s="6">
        <f>SUM(INDEX(Tabela1[[Archery - Men''s Individual Recurve]:[Archery - Mixed Team Recurve]],MATCH(Table92[[#This Row],[Country]],Tabela1[Country], 0),0))</f>
        <v>0</v>
      </c>
      <c r="E182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82" s="6">
        <f>SUM(INDEX(Tabela1[[Artistic Swimming - Women''s Duet]:[Artistic Swimming - Women''s Team]],MATCH(Table92[[#This Row],[Country]],Tabela1[Country], 0),0))</f>
        <v>0</v>
      </c>
      <c r="G182" s="6">
        <f>SUM(INDEX(Tabela1[[Athletics - Men''s 100m]:[Athletics - Women''s Heptathlon]],MATCH(Table92[[#This Row],[Country]],Tabela1[Country], 0),0))</f>
        <v>0</v>
      </c>
      <c r="H182" s="6">
        <f>SUM(INDEX(Tabela1[[Badminton - Men''s Singles]:[Badminton - Mixed Doubles]],MATCH(Table92[[#This Row],[Country]],Tabela1[Country], 0),0))</f>
        <v>0</v>
      </c>
      <c r="I182" s="6">
        <f>SUM(INDEX(Tabela1[[Basketball - Men''s Tournament]:[Basketball - Women''s Tournament]],MATCH(Table92[[#This Row],[Country]],Tabela1[Country], 0),0))</f>
        <v>0</v>
      </c>
      <c r="J182" s="6">
        <f>SUM(INDEX(Tabela1[[3x3 Basketball - Men''s Tournament]:[3x3 Basketball - Women''s Tournament]],MATCH(Table92[[#This Row],[Country]],Tabela1[Country], 0),0))</f>
        <v>0</v>
      </c>
      <c r="K182" s="6">
        <f>SUM(INDEX(Tabela1[[Beach Volleyball - Men''s Tournament]:[Beach Volleyball - Women''s Tournament]],MATCH(Table92[[#This Row],[Country]],Tabela1[Country], 0),0))</f>
        <v>0</v>
      </c>
      <c r="L182" s="6">
        <f>SUM(INDEX(Tabela1[[Boxing - Men''s 51kg]:[Boxing - Women''s 75kg]],MATCH(Table92[[#This Row],[Country]],Tabela1[Country], 0),0))</f>
        <v>0</v>
      </c>
      <c r="M182" s="6">
        <f>SUM(INDEX(Tabela1[[Breaking - Men''s Individual]:[Breaking - Women''s Individual]],MATCH(Table92[[#This Row],[Country]],Tabela1[Country], 0),0))</f>
        <v>0</v>
      </c>
      <c r="N182" s="6">
        <f>SUM(INDEX(Tabela1[[Canoeing - Men''s C1 Slalom]:[Canoeing - Women''s Kayak Cross Slalom]],MATCH(Table92[[#This Row],[Country]],Tabela1[Country], 0),0))</f>
        <v>0</v>
      </c>
      <c r="O182" s="6">
        <f>SUM(INDEX(Tabela1[[Canoeing - Women''s C1 200m]:[Canoeing - Women''s K4 500m]],MATCH(Table92[[#This Row],[Country]],Tabela1[Country], 0),0))</f>
        <v>0</v>
      </c>
      <c r="P182" s="6">
        <f>SUM(INDEX(Tabela1[[Cycling - Men''s BMX Freestyle]:[Cycling - Women''s BMX Freestyle]],MATCH(Table92[[#This Row],[Country]],Tabela1[Country], 0),0))</f>
        <v>0</v>
      </c>
      <c r="Q182" s="6">
        <f>SUM(INDEX(Tabela1[[Cycling - Men''s BMX Racing]:[Cycling - Women''s BMX Racing]],MATCH(Table92[[#This Row],[Country]],Tabela1[Country], 0),0))</f>
        <v>0</v>
      </c>
      <c r="R182" s="6">
        <f>SUM(INDEX(Tabela1[[Cycling - Men''s Cross-Country]:[Cycling - Women''s Cross-Country]],MATCH(Table92[[#This Row],[Country]],Tabela1[Country], 0),0))</f>
        <v>0</v>
      </c>
      <c r="S182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82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82" s="6">
        <f>SUM(INDEX(Tabela1[[Diving - Men''s Springboard]:[Diving - Women''s Synchronized Platform]],MATCH(Table92[[#This Row],[Country]],Tabela1[Country], 0),0))</f>
        <v>0</v>
      </c>
      <c r="V182" s="6">
        <f>SUM(INDEX(Tabela1[[Equestrian - Individual Dressage]:[Equestrian - Team Dressage]],MATCH(Table92[[#This Row],[Country]],Tabela1[Country], 0),0))</f>
        <v>0</v>
      </c>
      <c r="W182" s="6">
        <f>SUM(INDEX(Tabela1[[Equestrian - Individual Eventing]:[Equestrian - Team Eventing]],MATCH(Table92[[#This Row],[Country]],Tabela1[Country], 0),0))</f>
        <v>0</v>
      </c>
      <c r="X182" s="6">
        <f>SUM(INDEX(Tabela1[[Equestrian - Individual Jumping]:[Equestrian - Team Jumping]],MATCH(Table92[[#This Row],[Country]],Tabela1[Country], 0),0))</f>
        <v>0</v>
      </c>
      <c r="Y182" s="6">
        <f>SUM(INDEX(Tabela1[[Fencing - Men''s Épée]:[Fencing - Women''s Team Sabre]],MATCH(Table92[[#This Row],[Country]],Tabela1[Country], 0),0))</f>
        <v>0</v>
      </c>
      <c r="Z182" s="6">
        <f>SUM(INDEX(Tabela1[[Field Hockey - Men''s Tournament]:[Field Hockey - Women''s Tournament]],MATCH(Table92[[#This Row],[Country]],Tabela1[Country], 0),0))</f>
        <v>0</v>
      </c>
      <c r="AA182" s="6">
        <f>SUM(INDEX(Tabela1[[Football - Men''s Tournament]:[Football - Women''s Tournament]],MATCH(Table92[[#This Row],[Country]],Tabela1[Country], 0),0))</f>
        <v>0</v>
      </c>
      <c r="AB182" s="6">
        <f>SUM(INDEX(Tabela1[[Golf - Men''s Individual]:[Golf - Women''s Individual]],MATCH(Table92[[#This Row],[Country]],Tabela1[Country], 0),0))</f>
        <v>0</v>
      </c>
      <c r="AC182" s="6">
        <f>SUM(INDEX(Tabela1[[Handball - Men''s Tournament]:[Handball - Women''s Tournament]],MATCH(Table92[[#This Row],[Country]],Tabela1[Country], 0),0))</f>
        <v>0</v>
      </c>
      <c r="AD182" s="6">
        <f>SUM(INDEX(Tabela1[[Judo - Men''s 60kg]:[Judo - Mixed Team]],MATCH(Table92[[#This Row],[Country]],Tabela1[Country], 0),0))</f>
        <v>0</v>
      </c>
      <c r="AE182" s="6">
        <f>SUM(INDEX(Tabela1[[Swimming - Men''s 10km Open Water]:[Swimming - Women''s 10km Open Water]],MATCH(Table92[[#This Row],[Country]],Tabela1[Country], 0),0))</f>
        <v>0</v>
      </c>
      <c r="AF182" s="6">
        <f>SUM(INDEX(Tabela1[[Modern Pentathlon - Men''s Individual]:[Modern Pentathlon - Women''s Individual]],MATCH(Table92[[#This Row],[Country]],Tabela1[Country], 0),0))</f>
        <v>0</v>
      </c>
      <c r="AG182" s="6">
        <f>SUM(INDEX(Tabela1[[Rhythmic Gymnastics - Women''s Individual All-Around]:[Rhythmic Gymnastics - Women''s Group All-Around]],MATCH(Table92[[#This Row],[Country]],Tabela1[Country], 0),0))</f>
        <v>0</v>
      </c>
      <c r="AH182" s="6">
        <f>SUM(INDEX(Tabela1[[Rowing - Men''s Single Sculls]:[Rowing - Women''s Lwt. Double Sculls]],MATCH(Table92[[#This Row],[Country]],Tabela1[Country], 0),0))</f>
        <v>0</v>
      </c>
      <c r="AI182" s="6">
        <f>SUM(INDEX(Tabela1[[Rugby Sevens - Men''s Tournament]:[Rugby Sevens - Women''s Tournament]],MATCH(Table92[[#This Row],[Country]],Tabela1[Country], 0),0))</f>
        <v>0</v>
      </c>
      <c r="AJ182" s="6">
        <f>SUM(INDEX(Tabela1[[Sailing - Mixed 470]:[Sailing - Mixed Nacra 17]],MATCH(Table92[[#This Row],[Country]],Tabela1[Country], 0),0))</f>
        <v>0</v>
      </c>
      <c r="AK182" s="6">
        <f>SUM(INDEX(Tabela1[[Shooting - Men''s 10m Air Pistol]:[Shooting - Women''s Trap]],MATCH(Table92[[#This Row],[Country]],Tabela1[Country], 0),0))</f>
        <v>0</v>
      </c>
      <c r="AL182" s="6">
        <f>SUM(INDEX(Tabela1[[Skateboarding - Men''s Park]:[Skateboarding - Women''s Street]],MATCH(Table92[[#This Row],[Country]],Tabela1[Country], 0),0))</f>
        <v>0</v>
      </c>
      <c r="AM182" s="6">
        <f>SUM(INDEX(Tabela1[[Sport Climbing - Men''s Boulder and Lead]:[Sport Climbing - Women''s Speed]],MATCH(Table92[[#This Row],[Country]],Tabela1[Country], 0),0))</f>
        <v>0</v>
      </c>
      <c r="AN182" s="6">
        <f>SUM(INDEX(Tabela1[[Surfing - Men''s Shortboard]:[Surfing - Women''s Shortboard]],MATCH(Table92[[#This Row],[Country]],Tabela1[Country], 0),0))</f>
        <v>0</v>
      </c>
      <c r="AO182" s="6">
        <f>SUM(INDEX(Tabela1[[Swimming - Men''s 50m Freestyle]:[Swimming - Mixed 4x100m Medley Relay]],MATCH(Table92[[#This Row],[Country]],Tabela1[Country], 0),0))</f>
        <v>0</v>
      </c>
      <c r="AP182" s="6">
        <f>SUM(INDEX(Tabela1[[Table Tennis - Men''s Singles]:[Table Tennis - Mixed Doubles]],MATCH(Table92[[#This Row],[Country]],Tabela1[Country], 0),0))</f>
        <v>0</v>
      </c>
      <c r="AQ182" s="6">
        <f>SUM(INDEX(Tabela1[[Taekwondo - Men''s 58kg]:[Taekwondo - Women''s +67kg]],MATCH(Table92[[#This Row],[Country]],Tabela1[Country], 0),0))</f>
        <v>0</v>
      </c>
      <c r="AR182" s="6">
        <f>SUM(INDEX(Tabela1[[Tennis - Men''s Singles]:[Tennis - Mixed Doubles]],MATCH(Table92[[#This Row],[Country]],Tabela1[Country], 0),0))</f>
        <v>0</v>
      </c>
      <c r="AS182" s="6">
        <f>SUM(INDEX(Tabela1[[Gymnastics - Men''s Trampoline]:[Gymnastics - Women''s Trampoline]],MATCH(Table92[[#This Row],[Country]],Tabela1[Country], 0),0))</f>
        <v>0</v>
      </c>
      <c r="AT182" s="6">
        <f>SUM(INDEX(Tabela1[[Triathlon - Men''s Individual]:[Triathlon - Mixed Relay]],MATCH(Table92[[#This Row],[Country]],Tabela1[Country], 0),0))</f>
        <v>0</v>
      </c>
      <c r="AU182" s="6">
        <f>SUM(INDEX(Tabela1[[Volleyball - Men''s Tournament]:[Volleyball - Women''s Tournament]],MATCH(Table92[[#This Row],[Country]],Tabela1[Country], 0),0))</f>
        <v>0</v>
      </c>
      <c r="AV182" s="6">
        <f>SUM(INDEX(Tabela1[[Water Polo - Men''s Tournament]:[Water Polo - Women''s Tournament]],MATCH(Table92[[#This Row],[Country]],Tabela1[Country], 0),0))</f>
        <v>0</v>
      </c>
      <c r="AW182" s="6">
        <f>SUM(INDEX(Tabela1[[Weightlifting - Men''s 61kg]:[Weightlifting - Women''s +81kg]],MATCH(Table92[[#This Row],[Country]],Tabela1[Country], 0),0))</f>
        <v>0</v>
      </c>
      <c r="AX182" s="6">
        <f>SUM(INDEX(Tabela1[[Wrestling - Men''s Freestyle 57kg]:[Wrestling - Women''s Freestyle 76kg]],MATCH(Table92[[#This Row],[Country]],Tabela1[Country], 0),0))</f>
        <v>0</v>
      </c>
      <c r="AY182" s="6">
        <f>SUM(INDEX(Tabela1[[Alpine Skiing - Men''s Downhill]:[Alpine Skiing - Women''s Team Combined]],MATCH(Table92[[#This Row],[Country]],Tabela1[Country], 0),0))</f>
        <v>0</v>
      </c>
      <c r="AZ182" s="6">
        <f>SUM(INDEX(Tabela1[[Biathlon - Men''s Individual]:[Biathlon - Mixed Relay]],MATCH(Table92[[#This Row],[Country]],Tabela1[Country], 0),0))</f>
        <v>0</v>
      </c>
      <c r="BA182" s="6">
        <f>SUM(INDEX(Tabela1[[Bobsleigh - Women''s Monobob]:[Bobsleigh - Men''s Four]],MATCH(Table92[[#This Row],[Country]],Tabela1[Country], 0),0))</f>
        <v>0</v>
      </c>
      <c r="BB182" s="6">
        <f>SUM(INDEX(Tabela1[[Cross-country skiing - Men''s Classical]:[Cross-country skiing - Women''s Team Sprint]],MATCH(Table92[[#This Row],[Country]],Tabela1[Country], 0),0))</f>
        <v>0</v>
      </c>
      <c r="BC182" s="6">
        <f>SUM(INDEX(Tabela1[[Curling - Men''s Tournament]:[Curling - Mixed Doubles]],MATCH(Table92[[#This Row],[Country]],Tabela1[Country], 0),0))</f>
        <v>0</v>
      </c>
      <c r="BD182" s="6">
        <f>SUM(INDEX(Tabela1[[Figure Skating - Men''s Singles]:[Figure Skating - Team Event]],MATCH(Table92[[#This Row],[Country]],Tabela1[Country], 0),0))</f>
        <v>0</v>
      </c>
      <c r="BE182" s="6">
        <f>SUM(INDEX(Tabela1[[Freestyle Skiing - Men''s Aerials]:[Freestyle Skiing - Women''s Slopestyle]],MATCH(Table92[[#This Row],[Country]],Tabela1[Country], 0),0))</f>
        <v>0</v>
      </c>
      <c r="BF182" s="6">
        <f>SUM(INDEX(Tabela1[[Ice Hockey - Men''s Tournament]:[Ice Hockey - Women''s Tournament]],MATCH(Table92[[#This Row],[Country]],Tabela1[Country], 0),0))</f>
        <v>0</v>
      </c>
      <c r="BG182" s="6">
        <f>SUM(INDEX(Tabela1[[Luge - Men''s Singles]:[Luge - Mixed Team Relay]],MATCH(Table92[[#This Row],[Country]],Tabela1[Country], 0),0))</f>
        <v>0</v>
      </c>
      <c r="BH182" s="6">
        <f>SUM(INDEX(Tabela1[[Nordic Combined - Men''s Individual]:[Nordic Combined - Men''s Team Sprint Large Hill]],MATCH(Table92[[#This Row],[Country]],Tabela1[Country], 0),0))</f>
        <v>0</v>
      </c>
      <c r="BI182" s="6">
        <f>SUM(INDEX(Tabela1[[Short track speed skating - Men''s 500m]:[Short track speed skating - Mixed 2000m Relay]],MATCH(Table92[[#This Row],[Country]],Tabela1[Country], 0),0))</f>
        <v>0</v>
      </c>
      <c r="BJ182" s="6">
        <f>SUM(INDEX(Tabela1[[Skeleton - Men''s Individual]:[Skeleton - Mixed Team]],MATCH(Table92[[#This Row],[Country]],Tabela1[Country], 0),0))</f>
        <v>0</v>
      </c>
      <c r="BK182" s="6">
        <f>SUM(INDEX(Tabela1[[Ski Jumping - Men''s Individual Large Hill]:[Ski Jumping - Mixed Team Normal Hill]],MATCH(Table92[[#This Row],[Country]],Tabela1[Country], 0),0))</f>
        <v>0</v>
      </c>
      <c r="BL182" s="6">
        <f>SUM(INDEX(Tabela1[[Ski Mountaineering - Men''s Sprint]:[Ski Mountaineering - Mixed Relay]],MATCH(Table92[[#This Row],[Country]],Tabela1[Country], 0),0))</f>
        <v>0</v>
      </c>
      <c r="BM182" s="6">
        <f>SUM(INDEX(Tabela1[[Snowboarding - Men''s Big Air]:[Snowboarding - Mixed Team Snowboard Cross]],MATCH(Table92[[#This Row],[Country]],Tabela1[Country], 0),0))</f>
        <v>0</v>
      </c>
      <c r="BN182" s="6">
        <f>SUM(INDEX(Tabela1[[Speed Skating - Men''s 500m]:[Speed Skating - Women''s Team Pursuit]],MATCH(Table92[[#This Row],[Country]],Tabela1[Country], 0),0))</f>
        <v>0</v>
      </c>
      <c r="BO182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82" s="6">
        <f>SUM(Table92[[#This Row],[Summer Sports]:[Winter Sports]])</f>
        <v>0</v>
      </c>
      <c r="BQ182" s="6">
        <f>COUNTIF(Table92[[#This Row],[Archery Quotas]:[Wrestling Quotas]],"&lt;&gt;0")</f>
        <v>0</v>
      </c>
      <c r="BR182" s="6">
        <f>COUNTIF(Table92[[#This Row],[Alpine Skiing Quotas]:[Speed Skating Quotas]],"&lt;&gt;0")</f>
        <v>0</v>
      </c>
      <c r="BS182" s="4" t="s">
        <v>617</v>
      </c>
    </row>
    <row r="183" spans="1:71" x14ac:dyDescent="0.3">
      <c r="A183" s="6" t="s">
        <v>624</v>
      </c>
      <c r="B183" t="e" vm="185">
        <f>IF(ISBLANK(Table92[[#This Row],[Flag Link]]), "", _xlfn.IMAGE(Table92[[#This Row],[Flag Link]],1,1))</f>
        <v>#VALUE!</v>
      </c>
      <c r="C183" s="6">
        <f>SUM(Table92[[#This Row],[Archery Quotas]:[Speed Skating Quotas]])</f>
        <v>0</v>
      </c>
      <c r="D183" s="6">
        <f>SUM(INDEX(Tabela1[[Archery - Men''s Individual Recurve]:[Archery - Mixed Team Recurve]],MATCH(Table92[[#This Row],[Country]],Tabela1[Country], 0),0))</f>
        <v>0</v>
      </c>
      <c r="E183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83" s="6">
        <f>SUM(INDEX(Tabela1[[Artistic Swimming - Women''s Duet]:[Artistic Swimming - Women''s Team]],MATCH(Table92[[#This Row],[Country]],Tabela1[Country], 0),0))</f>
        <v>0</v>
      </c>
      <c r="G183" s="6">
        <f>SUM(INDEX(Tabela1[[Athletics - Men''s 100m]:[Athletics - Women''s Heptathlon]],MATCH(Table92[[#This Row],[Country]],Tabela1[Country], 0),0))</f>
        <v>0</v>
      </c>
      <c r="H183" s="6">
        <f>SUM(INDEX(Tabela1[[Badminton - Men''s Singles]:[Badminton - Mixed Doubles]],MATCH(Table92[[#This Row],[Country]],Tabela1[Country], 0),0))</f>
        <v>0</v>
      </c>
      <c r="I183" s="6">
        <f>SUM(INDEX(Tabela1[[Basketball - Men''s Tournament]:[Basketball - Women''s Tournament]],MATCH(Table92[[#This Row],[Country]],Tabela1[Country], 0),0))</f>
        <v>0</v>
      </c>
      <c r="J183" s="6">
        <f>SUM(INDEX(Tabela1[[3x3 Basketball - Men''s Tournament]:[3x3 Basketball - Women''s Tournament]],MATCH(Table92[[#This Row],[Country]],Tabela1[Country], 0),0))</f>
        <v>0</v>
      </c>
      <c r="K183" s="6">
        <f>SUM(INDEX(Tabela1[[Beach Volleyball - Men''s Tournament]:[Beach Volleyball - Women''s Tournament]],MATCH(Table92[[#This Row],[Country]],Tabela1[Country], 0),0))</f>
        <v>0</v>
      </c>
      <c r="L183" s="6">
        <f>SUM(INDEX(Tabela1[[Boxing - Men''s 51kg]:[Boxing - Women''s 75kg]],MATCH(Table92[[#This Row],[Country]],Tabela1[Country], 0),0))</f>
        <v>0</v>
      </c>
      <c r="M183" s="6">
        <f>SUM(INDEX(Tabela1[[Breaking - Men''s Individual]:[Breaking - Women''s Individual]],MATCH(Table92[[#This Row],[Country]],Tabela1[Country], 0),0))</f>
        <v>0</v>
      </c>
      <c r="N183" s="6">
        <f>SUM(INDEX(Tabela1[[Canoeing - Men''s C1 Slalom]:[Canoeing - Women''s Kayak Cross Slalom]],MATCH(Table92[[#This Row],[Country]],Tabela1[Country], 0),0))</f>
        <v>0</v>
      </c>
      <c r="O183" s="6">
        <f>SUM(INDEX(Tabela1[[Canoeing - Women''s C1 200m]:[Canoeing - Women''s K4 500m]],MATCH(Table92[[#This Row],[Country]],Tabela1[Country], 0),0))</f>
        <v>0</v>
      </c>
      <c r="P183" s="6">
        <f>SUM(INDEX(Tabela1[[Cycling - Men''s BMX Freestyle]:[Cycling - Women''s BMX Freestyle]],MATCH(Table92[[#This Row],[Country]],Tabela1[Country], 0),0))</f>
        <v>0</v>
      </c>
      <c r="Q183" s="6">
        <f>SUM(INDEX(Tabela1[[Cycling - Men''s BMX Racing]:[Cycling - Women''s BMX Racing]],MATCH(Table92[[#This Row],[Country]],Tabela1[Country], 0),0))</f>
        <v>0</v>
      </c>
      <c r="R183" s="6">
        <f>SUM(INDEX(Tabela1[[Cycling - Men''s Cross-Country]:[Cycling - Women''s Cross-Country]],MATCH(Table92[[#This Row],[Country]],Tabela1[Country], 0),0))</f>
        <v>0</v>
      </c>
      <c r="S183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83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83" s="6">
        <f>SUM(INDEX(Tabela1[[Diving - Men''s Springboard]:[Diving - Women''s Synchronized Platform]],MATCH(Table92[[#This Row],[Country]],Tabela1[Country], 0),0))</f>
        <v>0</v>
      </c>
      <c r="V183" s="6">
        <f>SUM(INDEX(Tabela1[[Equestrian - Individual Dressage]:[Equestrian - Team Dressage]],MATCH(Table92[[#This Row],[Country]],Tabela1[Country], 0),0))</f>
        <v>0</v>
      </c>
      <c r="W183" s="6">
        <f>SUM(INDEX(Tabela1[[Equestrian - Individual Eventing]:[Equestrian - Team Eventing]],MATCH(Table92[[#This Row],[Country]],Tabela1[Country], 0),0))</f>
        <v>0</v>
      </c>
      <c r="X183" s="6">
        <f>SUM(INDEX(Tabela1[[Equestrian - Individual Jumping]:[Equestrian - Team Jumping]],MATCH(Table92[[#This Row],[Country]],Tabela1[Country], 0),0))</f>
        <v>0</v>
      </c>
      <c r="Y183" s="6">
        <f>SUM(INDEX(Tabela1[[Fencing - Men''s Épée]:[Fencing - Women''s Team Sabre]],MATCH(Table92[[#This Row],[Country]],Tabela1[Country], 0),0))</f>
        <v>0</v>
      </c>
      <c r="Z183" s="6">
        <f>SUM(INDEX(Tabela1[[Field Hockey - Men''s Tournament]:[Field Hockey - Women''s Tournament]],MATCH(Table92[[#This Row],[Country]],Tabela1[Country], 0),0))</f>
        <v>0</v>
      </c>
      <c r="AA183" s="6">
        <f>SUM(INDEX(Tabela1[[Football - Men''s Tournament]:[Football - Women''s Tournament]],MATCH(Table92[[#This Row],[Country]],Tabela1[Country], 0),0))</f>
        <v>0</v>
      </c>
      <c r="AB183" s="6">
        <f>SUM(INDEX(Tabela1[[Golf - Men''s Individual]:[Golf - Women''s Individual]],MATCH(Table92[[#This Row],[Country]],Tabela1[Country], 0),0))</f>
        <v>0</v>
      </c>
      <c r="AC183" s="6">
        <f>SUM(INDEX(Tabela1[[Handball - Men''s Tournament]:[Handball - Women''s Tournament]],MATCH(Table92[[#This Row],[Country]],Tabela1[Country], 0),0))</f>
        <v>0</v>
      </c>
      <c r="AD183" s="6">
        <f>SUM(INDEX(Tabela1[[Judo - Men''s 60kg]:[Judo - Mixed Team]],MATCH(Table92[[#This Row],[Country]],Tabela1[Country], 0),0))</f>
        <v>0</v>
      </c>
      <c r="AE183" s="6">
        <f>SUM(INDEX(Tabela1[[Swimming - Men''s 10km Open Water]:[Swimming - Women''s 10km Open Water]],MATCH(Table92[[#This Row],[Country]],Tabela1[Country], 0),0))</f>
        <v>0</v>
      </c>
      <c r="AF183" s="6">
        <f>SUM(INDEX(Tabela1[[Modern Pentathlon - Men''s Individual]:[Modern Pentathlon - Women''s Individual]],MATCH(Table92[[#This Row],[Country]],Tabela1[Country], 0),0))</f>
        <v>0</v>
      </c>
      <c r="AG183" s="6">
        <f>SUM(INDEX(Tabela1[[Rhythmic Gymnastics - Women''s Individual All-Around]:[Rhythmic Gymnastics - Women''s Group All-Around]],MATCH(Table92[[#This Row],[Country]],Tabela1[Country], 0),0))</f>
        <v>0</v>
      </c>
      <c r="AH183" s="6">
        <f>SUM(INDEX(Tabela1[[Rowing - Men''s Single Sculls]:[Rowing - Women''s Lwt. Double Sculls]],MATCH(Table92[[#This Row],[Country]],Tabela1[Country], 0),0))</f>
        <v>0</v>
      </c>
      <c r="AI183" s="6">
        <f>SUM(INDEX(Tabela1[[Rugby Sevens - Men''s Tournament]:[Rugby Sevens - Women''s Tournament]],MATCH(Table92[[#This Row],[Country]],Tabela1[Country], 0),0))</f>
        <v>0</v>
      </c>
      <c r="AJ183" s="6">
        <f>SUM(INDEX(Tabela1[[Sailing - Mixed 470]:[Sailing - Mixed Nacra 17]],MATCH(Table92[[#This Row],[Country]],Tabela1[Country], 0),0))</f>
        <v>0</v>
      </c>
      <c r="AK183" s="6">
        <f>SUM(INDEX(Tabela1[[Shooting - Men''s 10m Air Pistol]:[Shooting - Women''s Trap]],MATCH(Table92[[#This Row],[Country]],Tabela1[Country], 0),0))</f>
        <v>0</v>
      </c>
      <c r="AL183" s="6">
        <f>SUM(INDEX(Tabela1[[Skateboarding - Men''s Park]:[Skateboarding - Women''s Street]],MATCH(Table92[[#This Row],[Country]],Tabela1[Country], 0),0))</f>
        <v>0</v>
      </c>
      <c r="AM183" s="6">
        <f>SUM(INDEX(Tabela1[[Sport Climbing - Men''s Boulder and Lead]:[Sport Climbing - Women''s Speed]],MATCH(Table92[[#This Row],[Country]],Tabela1[Country], 0),0))</f>
        <v>0</v>
      </c>
      <c r="AN183" s="6">
        <f>SUM(INDEX(Tabela1[[Surfing - Men''s Shortboard]:[Surfing - Women''s Shortboard]],MATCH(Table92[[#This Row],[Country]],Tabela1[Country], 0),0))</f>
        <v>0</v>
      </c>
      <c r="AO183" s="6">
        <f>SUM(INDEX(Tabela1[[Swimming - Men''s 50m Freestyle]:[Swimming - Mixed 4x100m Medley Relay]],MATCH(Table92[[#This Row],[Country]],Tabela1[Country], 0),0))</f>
        <v>0</v>
      </c>
      <c r="AP183" s="6">
        <f>SUM(INDEX(Tabela1[[Table Tennis - Men''s Singles]:[Table Tennis - Mixed Doubles]],MATCH(Table92[[#This Row],[Country]],Tabela1[Country], 0),0))</f>
        <v>0</v>
      </c>
      <c r="AQ183" s="6">
        <f>SUM(INDEX(Tabela1[[Taekwondo - Men''s 58kg]:[Taekwondo - Women''s +67kg]],MATCH(Table92[[#This Row],[Country]],Tabela1[Country], 0),0))</f>
        <v>0</v>
      </c>
      <c r="AR183" s="6">
        <f>SUM(INDEX(Tabela1[[Tennis - Men''s Singles]:[Tennis - Mixed Doubles]],MATCH(Table92[[#This Row],[Country]],Tabela1[Country], 0),0))</f>
        <v>0</v>
      </c>
      <c r="AS183" s="6">
        <f>SUM(INDEX(Tabela1[[Gymnastics - Men''s Trampoline]:[Gymnastics - Women''s Trampoline]],MATCH(Table92[[#This Row],[Country]],Tabela1[Country], 0),0))</f>
        <v>0</v>
      </c>
      <c r="AT183" s="6">
        <f>SUM(INDEX(Tabela1[[Triathlon - Men''s Individual]:[Triathlon - Mixed Relay]],MATCH(Table92[[#This Row],[Country]],Tabela1[Country], 0),0))</f>
        <v>0</v>
      </c>
      <c r="AU183" s="6">
        <f>SUM(INDEX(Tabela1[[Volleyball - Men''s Tournament]:[Volleyball - Women''s Tournament]],MATCH(Table92[[#This Row],[Country]],Tabela1[Country], 0),0))</f>
        <v>0</v>
      </c>
      <c r="AV183" s="6">
        <f>SUM(INDEX(Tabela1[[Water Polo - Men''s Tournament]:[Water Polo - Women''s Tournament]],MATCH(Table92[[#This Row],[Country]],Tabela1[Country], 0),0))</f>
        <v>0</v>
      </c>
      <c r="AW183" s="6">
        <f>SUM(INDEX(Tabela1[[Weightlifting - Men''s 61kg]:[Weightlifting - Women''s +81kg]],MATCH(Table92[[#This Row],[Country]],Tabela1[Country], 0),0))</f>
        <v>0</v>
      </c>
      <c r="AX183" s="6">
        <f>SUM(INDEX(Tabela1[[Wrestling - Men''s Freestyle 57kg]:[Wrestling - Women''s Freestyle 76kg]],MATCH(Table92[[#This Row],[Country]],Tabela1[Country], 0),0))</f>
        <v>0</v>
      </c>
      <c r="AY183" s="6">
        <f>SUM(INDEX(Tabela1[[Alpine Skiing - Men''s Downhill]:[Alpine Skiing - Women''s Team Combined]],MATCH(Table92[[#This Row],[Country]],Tabela1[Country], 0),0))</f>
        <v>0</v>
      </c>
      <c r="AZ183" s="6">
        <f>SUM(INDEX(Tabela1[[Biathlon - Men''s Individual]:[Biathlon - Mixed Relay]],MATCH(Table92[[#This Row],[Country]],Tabela1[Country], 0),0))</f>
        <v>0</v>
      </c>
      <c r="BA183" s="6">
        <f>SUM(INDEX(Tabela1[[Bobsleigh - Women''s Monobob]:[Bobsleigh - Men''s Four]],MATCH(Table92[[#This Row],[Country]],Tabela1[Country], 0),0))</f>
        <v>0</v>
      </c>
      <c r="BB183" s="6">
        <f>SUM(INDEX(Tabela1[[Cross-country skiing - Men''s Classical]:[Cross-country skiing - Women''s Team Sprint]],MATCH(Table92[[#This Row],[Country]],Tabela1[Country], 0),0))</f>
        <v>0</v>
      </c>
      <c r="BC183" s="6">
        <f>SUM(INDEX(Tabela1[[Curling - Men''s Tournament]:[Curling - Mixed Doubles]],MATCH(Table92[[#This Row],[Country]],Tabela1[Country], 0),0))</f>
        <v>0</v>
      </c>
      <c r="BD183" s="6">
        <f>SUM(INDEX(Tabela1[[Figure Skating - Men''s Singles]:[Figure Skating - Team Event]],MATCH(Table92[[#This Row],[Country]],Tabela1[Country], 0),0))</f>
        <v>0</v>
      </c>
      <c r="BE183" s="6">
        <f>SUM(INDEX(Tabela1[[Freestyle Skiing - Men''s Aerials]:[Freestyle Skiing - Women''s Slopestyle]],MATCH(Table92[[#This Row],[Country]],Tabela1[Country], 0),0))</f>
        <v>0</v>
      </c>
      <c r="BF183" s="6">
        <f>SUM(INDEX(Tabela1[[Ice Hockey - Men''s Tournament]:[Ice Hockey - Women''s Tournament]],MATCH(Table92[[#This Row],[Country]],Tabela1[Country], 0),0))</f>
        <v>0</v>
      </c>
      <c r="BG183" s="6">
        <f>SUM(INDEX(Tabela1[[Luge - Men''s Singles]:[Luge - Mixed Team Relay]],MATCH(Table92[[#This Row],[Country]],Tabela1[Country], 0),0))</f>
        <v>0</v>
      </c>
      <c r="BH183" s="6">
        <f>SUM(INDEX(Tabela1[[Nordic Combined - Men''s Individual]:[Nordic Combined - Men''s Team Sprint Large Hill]],MATCH(Table92[[#This Row],[Country]],Tabela1[Country], 0),0))</f>
        <v>0</v>
      </c>
      <c r="BI183" s="6">
        <f>SUM(INDEX(Tabela1[[Short track speed skating - Men''s 500m]:[Short track speed skating - Mixed 2000m Relay]],MATCH(Table92[[#This Row],[Country]],Tabela1[Country], 0),0))</f>
        <v>0</v>
      </c>
      <c r="BJ183" s="6">
        <f>SUM(INDEX(Tabela1[[Skeleton - Men''s Individual]:[Skeleton - Mixed Team]],MATCH(Table92[[#This Row],[Country]],Tabela1[Country], 0),0))</f>
        <v>0</v>
      </c>
      <c r="BK183" s="6">
        <f>SUM(INDEX(Tabela1[[Ski Jumping - Men''s Individual Large Hill]:[Ski Jumping - Mixed Team Normal Hill]],MATCH(Table92[[#This Row],[Country]],Tabela1[Country], 0),0))</f>
        <v>0</v>
      </c>
      <c r="BL183" s="6">
        <f>SUM(INDEX(Tabela1[[Ski Mountaineering - Men''s Sprint]:[Ski Mountaineering - Mixed Relay]],MATCH(Table92[[#This Row],[Country]],Tabela1[Country], 0),0))</f>
        <v>0</v>
      </c>
      <c r="BM183" s="6">
        <f>SUM(INDEX(Tabela1[[Snowboarding - Men''s Big Air]:[Snowboarding - Mixed Team Snowboard Cross]],MATCH(Table92[[#This Row],[Country]],Tabela1[Country], 0),0))</f>
        <v>0</v>
      </c>
      <c r="BN183" s="6">
        <f>SUM(INDEX(Tabela1[[Speed Skating - Men''s 500m]:[Speed Skating - Women''s Team Pursuit]],MATCH(Table92[[#This Row],[Country]],Tabela1[Country], 0),0))</f>
        <v>0</v>
      </c>
      <c r="BO183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83" s="6">
        <f>SUM(Table92[[#This Row],[Summer Sports]:[Winter Sports]])</f>
        <v>0</v>
      </c>
      <c r="BQ183" s="6">
        <f>COUNTIF(Table92[[#This Row],[Archery Quotas]:[Wrestling Quotas]],"&lt;&gt;0")</f>
        <v>0</v>
      </c>
      <c r="BR183" s="6">
        <f>COUNTIF(Table92[[#This Row],[Alpine Skiing Quotas]:[Speed Skating Quotas]],"&lt;&gt;0")</f>
        <v>0</v>
      </c>
      <c r="BS183" s="3" t="s">
        <v>625</v>
      </c>
    </row>
    <row r="184" spans="1:71" x14ac:dyDescent="0.3">
      <c r="A184" s="6" t="s">
        <v>628</v>
      </c>
      <c r="B184" t="e" vm="186">
        <f>IF(ISBLANK(Table92[[#This Row],[Flag Link]]), "", _xlfn.IMAGE(Table92[[#This Row],[Flag Link]],1,1))</f>
        <v>#VALUE!</v>
      </c>
      <c r="C184" s="6">
        <f>SUM(Table92[[#This Row],[Archery Quotas]:[Speed Skating Quotas]])</f>
        <v>0</v>
      </c>
      <c r="D184" s="6">
        <f>SUM(INDEX(Tabela1[[Archery - Men''s Individual Recurve]:[Archery - Mixed Team Recurve]],MATCH(Table92[[#This Row],[Country]],Tabela1[Country], 0),0))</f>
        <v>0</v>
      </c>
      <c r="E184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84" s="6">
        <f>SUM(INDEX(Tabela1[[Artistic Swimming - Women''s Duet]:[Artistic Swimming - Women''s Team]],MATCH(Table92[[#This Row],[Country]],Tabela1[Country], 0),0))</f>
        <v>0</v>
      </c>
      <c r="G184" s="6">
        <f>SUM(INDEX(Tabela1[[Athletics - Men''s 100m]:[Athletics - Women''s Heptathlon]],MATCH(Table92[[#This Row],[Country]],Tabela1[Country], 0),0))</f>
        <v>0</v>
      </c>
      <c r="H184" s="6">
        <f>SUM(INDEX(Tabela1[[Badminton - Men''s Singles]:[Badminton - Mixed Doubles]],MATCH(Table92[[#This Row],[Country]],Tabela1[Country], 0),0))</f>
        <v>0</v>
      </c>
      <c r="I184" s="6">
        <f>SUM(INDEX(Tabela1[[Basketball - Men''s Tournament]:[Basketball - Women''s Tournament]],MATCH(Table92[[#This Row],[Country]],Tabela1[Country], 0),0))</f>
        <v>0</v>
      </c>
      <c r="J184" s="6">
        <f>SUM(INDEX(Tabela1[[3x3 Basketball - Men''s Tournament]:[3x3 Basketball - Women''s Tournament]],MATCH(Table92[[#This Row],[Country]],Tabela1[Country], 0),0))</f>
        <v>0</v>
      </c>
      <c r="K184" s="6">
        <f>SUM(INDEX(Tabela1[[Beach Volleyball - Men''s Tournament]:[Beach Volleyball - Women''s Tournament]],MATCH(Table92[[#This Row],[Country]],Tabela1[Country], 0),0))</f>
        <v>0</v>
      </c>
      <c r="L184" s="6">
        <f>SUM(INDEX(Tabela1[[Boxing - Men''s 51kg]:[Boxing - Women''s 75kg]],MATCH(Table92[[#This Row],[Country]],Tabela1[Country], 0),0))</f>
        <v>0</v>
      </c>
      <c r="M184" s="6">
        <f>SUM(INDEX(Tabela1[[Breaking - Men''s Individual]:[Breaking - Women''s Individual]],MATCH(Table92[[#This Row],[Country]],Tabela1[Country], 0),0))</f>
        <v>0</v>
      </c>
      <c r="N184" s="6">
        <f>SUM(INDEX(Tabela1[[Canoeing - Men''s C1 Slalom]:[Canoeing - Women''s Kayak Cross Slalom]],MATCH(Table92[[#This Row],[Country]],Tabela1[Country], 0),0))</f>
        <v>0</v>
      </c>
      <c r="O184" s="6">
        <f>SUM(INDEX(Tabela1[[Canoeing - Women''s C1 200m]:[Canoeing - Women''s K4 500m]],MATCH(Table92[[#This Row],[Country]],Tabela1[Country], 0),0))</f>
        <v>0</v>
      </c>
      <c r="P184" s="6">
        <f>SUM(INDEX(Tabela1[[Cycling - Men''s BMX Freestyle]:[Cycling - Women''s BMX Freestyle]],MATCH(Table92[[#This Row],[Country]],Tabela1[Country], 0),0))</f>
        <v>0</v>
      </c>
      <c r="Q184" s="6">
        <f>SUM(INDEX(Tabela1[[Cycling - Men''s BMX Racing]:[Cycling - Women''s BMX Racing]],MATCH(Table92[[#This Row],[Country]],Tabela1[Country], 0),0))</f>
        <v>0</v>
      </c>
      <c r="R184" s="6">
        <f>SUM(INDEX(Tabela1[[Cycling - Men''s Cross-Country]:[Cycling - Women''s Cross-Country]],MATCH(Table92[[#This Row],[Country]],Tabela1[Country], 0),0))</f>
        <v>0</v>
      </c>
      <c r="S184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84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84" s="6">
        <f>SUM(INDEX(Tabela1[[Diving - Men''s Springboard]:[Diving - Women''s Synchronized Platform]],MATCH(Table92[[#This Row],[Country]],Tabela1[Country], 0),0))</f>
        <v>0</v>
      </c>
      <c r="V184" s="6">
        <f>SUM(INDEX(Tabela1[[Equestrian - Individual Dressage]:[Equestrian - Team Dressage]],MATCH(Table92[[#This Row],[Country]],Tabela1[Country], 0),0))</f>
        <v>0</v>
      </c>
      <c r="W184" s="6">
        <f>SUM(INDEX(Tabela1[[Equestrian - Individual Eventing]:[Equestrian - Team Eventing]],MATCH(Table92[[#This Row],[Country]],Tabela1[Country], 0),0))</f>
        <v>0</v>
      </c>
      <c r="X184" s="6">
        <f>SUM(INDEX(Tabela1[[Equestrian - Individual Jumping]:[Equestrian - Team Jumping]],MATCH(Table92[[#This Row],[Country]],Tabela1[Country], 0),0))</f>
        <v>0</v>
      </c>
      <c r="Y184" s="6">
        <f>SUM(INDEX(Tabela1[[Fencing - Men''s Épée]:[Fencing - Women''s Team Sabre]],MATCH(Table92[[#This Row],[Country]],Tabela1[Country], 0),0))</f>
        <v>0</v>
      </c>
      <c r="Z184" s="6">
        <f>SUM(INDEX(Tabela1[[Field Hockey - Men''s Tournament]:[Field Hockey - Women''s Tournament]],MATCH(Table92[[#This Row],[Country]],Tabela1[Country], 0),0))</f>
        <v>0</v>
      </c>
      <c r="AA184" s="6">
        <f>SUM(INDEX(Tabela1[[Football - Men''s Tournament]:[Football - Women''s Tournament]],MATCH(Table92[[#This Row],[Country]],Tabela1[Country], 0),0))</f>
        <v>0</v>
      </c>
      <c r="AB184" s="6">
        <f>SUM(INDEX(Tabela1[[Golf - Men''s Individual]:[Golf - Women''s Individual]],MATCH(Table92[[#This Row],[Country]],Tabela1[Country], 0),0))</f>
        <v>0</v>
      </c>
      <c r="AC184" s="6">
        <f>SUM(INDEX(Tabela1[[Handball - Men''s Tournament]:[Handball - Women''s Tournament]],MATCH(Table92[[#This Row],[Country]],Tabela1[Country], 0),0))</f>
        <v>0</v>
      </c>
      <c r="AD184" s="6">
        <f>SUM(INDEX(Tabela1[[Judo - Men''s 60kg]:[Judo - Mixed Team]],MATCH(Table92[[#This Row],[Country]],Tabela1[Country], 0),0))</f>
        <v>0</v>
      </c>
      <c r="AE184" s="6">
        <f>SUM(INDEX(Tabela1[[Swimming - Men''s 10km Open Water]:[Swimming - Women''s 10km Open Water]],MATCH(Table92[[#This Row],[Country]],Tabela1[Country], 0),0))</f>
        <v>0</v>
      </c>
      <c r="AF184" s="6">
        <f>SUM(INDEX(Tabela1[[Modern Pentathlon - Men''s Individual]:[Modern Pentathlon - Women''s Individual]],MATCH(Table92[[#This Row],[Country]],Tabela1[Country], 0),0))</f>
        <v>0</v>
      </c>
      <c r="AG184" s="6">
        <f>SUM(INDEX(Tabela1[[Rhythmic Gymnastics - Women''s Individual All-Around]:[Rhythmic Gymnastics - Women''s Group All-Around]],MATCH(Table92[[#This Row],[Country]],Tabela1[Country], 0),0))</f>
        <v>0</v>
      </c>
      <c r="AH184" s="6">
        <f>SUM(INDEX(Tabela1[[Rowing - Men''s Single Sculls]:[Rowing - Women''s Lwt. Double Sculls]],MATCH(Table92[[#This Row],[Country]],Tabela1[Country], 0),0))</f>
        <v>0</v>
      </c>
      <c r="AI184" s="6">
        <f>SUM(INDEX(Tabela1[[Rugby Sevens - Men''s Tournament]:[Rugby Sevens - Women''s Tournament]],MATCH(Table92[[#This Row],[Country]],Tabela1[Country], 0),0))</f>
        <v>0</v>
      </c>
      <c r="AJ184" s="6">
        <f>SUM(INDEX(Tabela1[[Sailing - Mixed 470]:[Sailing - Mixed Nacra 17]],MATCH(Table92[[#This Row],[Country]],Tabela1[Country], 0),0))</f>
        <v>0</v>
      </c>
      <c r="AK184" s="6">
        <f>SUM(INDEX(Tabela1[[Shooting - Men''s 10m Air Pistol]:[Shooting - Women''s Trap]],MATCH(Table92[[#This Row],[Country]],Tabela1[Country], 0),0))</f>
        <v>0</v>
      </c>
      <c r="AL184" s="6">
        <f>SUM(INDEX(Tabela1[[Skateboarding - Men''s Park]:[Skateboarding - Women''s Street]],MATCH(Table92[[#This Row],[Country]],Tabela1[Country], 0),0))</f>
        <v>0</v>
      </c>
      <c r="AM184" s="6">
        <f>SUM(INDEX(Tabela1[[Sport Climbing - Men''s Boulder and Lead]:[Sport Climbing - Women''s Speed]],MATCH(Table92[[#This Row],[Country]],Tabela1[Country], 0),0))</f>
        <v>0</v>
      </c>
      <c r="AN184" s="6">
        <f>SUM(INDEX(Tabela1[[Surfing - Men''s Shortboard]:[Surfing - Women''s Shortboard]],MATCH(Table92[[#This Row],[Country]],Tabela1[Country], 0),0))</f>
        <v>0</v>
      </c>
      <c r="AO184" s="6">
        <f>SUM(INDEX(Tabela1[[Swimming - Men''s 50m Freestyle]:[Swimming - Mixed 4x100m Medley Relay]],MATCH(Table92[[#This Row],[Country]],Tabela1[Country], 0),0))</f>
        <v>0</v>
      </c>
      <c r="AP184" s="6">
        <f>SUM(INDEX(Tabela1[[Table Tennis - Men''s Singles]:[Table Tennis - Mixed Doubles]],MATCH(Table92[[#This Row],[Country]],Tabela1[Country], 0),0))</f>
        <v>0</v>
      </c>
      <c r="AQ184" s="6">
        <f>SUM(INDEX(Tabela1[[Taekwondo - Men''s 58kg]:[Taekwondo - Women''s +67kg]],MATCH(Table92[[#This Row],[Country]],Tabela1[Country], 0),0))</f>
        <v>0</v>
      </c>
      <c r="AR184" s="6">
        <f>SUM(INDEX(Tabela1[[Tennis - Men''s Singles]:[Tennis - Mixed Doubles]],MATCH(Table92[[#This Row],[Country]],Tabela1[Country], 0),0))</f>
        <v>0</v>
      </c>
      <c r="AS184" s="6">
        <f>SUM(INDEX(Tabela1[[Gymnastics - Men''s Trampoline]:[Gymnastics - Women''s Trampoline]],MATCH(Table92[[#This Row],[Country]],Tabela1[Country], 0),0))</f>
        <v>0</v>
      </c>
      <c r="AT184" s="6">
        <f>SUM(INDEX(Tabela1[[Triathlon - Men''s Individual]:[Triathlon - Mixed Relay]],MATCH(Table92[[#This Row],[Country]],Tabela1[Country], 0),0))</f>
        <v>0</v>
      </c>
      <c r="AU184" s="6">
        <f>SUM(INDEX(Tabela1[[Volleyball - Men''s Tournament]:[Volleyball - Women''s Tournament]],MATCH(Table92[[#This Row],[Country]],Tabela1[Country], 0),0))</f>
        <v>0</v>
      </c>
      <c r="AV184" s="6">
        <f>SUM(INDEX(Tabela1[[Water Polo - Men''s Tournament]:[Water Polo - Women''s Tournament]],MATCH(Table92[[#This Row],[Country]],Tabela1[Country], 0),0))</f>
        <v>0</v>
      </c>
      <c r="AW184" s="6">
        <f>SUM(INDEX(Tabela1[[Weightlifting - Men''s 61kg]:[Weightlifting - Women''s +81kg]],MATCH(Table92[[#This Row],[Country]],Tabela1[Country], 0),0))</f>
        <v>0</v>
      </c>
      <c r="AX184" s="6">
        <f>SUM(INDEX(Tabela1[[Wrestling - Men''s Freestyle 57kg]:[Wrestling - Women''s Freestyle 76kg]],MATCH(Table92[[#This Row],[Country]],Tabela1[Country], 0),0))</f>
        <v>0</v>
      </c>
      <c r="AY184" s="6">
        <f>SUM(INDEX(Tabela1[[Alpine Skiing - Men''s Downhill]:[Alpine Skiing - Women''s Team Combined]],MATCH(Table92[[#This Row],[Country]],Tabela1[Country], 0),0))</f>
        <v>0</v>
      </c>
      <c r="AZ184" s="6">
        <f>SUM(INDEX(Tabela1[[Biathlon - Men''s Individual]:[Biathlon - Mixed Relay]],MATCH(Table92[[#This Row],[Country]],Tabela1[Country], 0),0))</f>
        <v>0</v>
      </c>
      <c r="BA184" s="6">
        <f>SUM(INDEX(Tabela1[[Bobsleigh - Women''s Monobob]:[Bobsleigh - Men''s Four]],MATCH(Table92[[#This Row],[Country]],Tabela1[Country], 0),0))</f>
        <v>0</v>
      </c>
      <c r="BB184" s="6">
        <f>SUM(INDEX(Tabela1[[Cross-country skiing - Men''s Classical]:[Cross-country skiing - Women''s Team Sprint]],MATCH(Table92[[#This Row],[Country]],Tabela1[Country], 0),0))</f>
        <v>0</v>
      </c>
      <c r="BC184" s="6">
        <f>SUM(INDEX(Tabela1[[Curling - Men''s Tournament]:[Curling - Mixed Doubles]],MATCH(Table92[[#This Row],[Country]],Tabela1[Country], 0),0))</f>
        <v>0</v>
      </c>
      <c r="BD184" s="6">
        <f>SUM(INDEX(Tabela1[[Figure Skating - Men''s Singles]:[Figure Skating - Team Event]],MATCH(Table92[[#This Row],[Country]],Tabela1[Country], 0),0))</f>
        <v>0</v>
      </c>
      <c r="BE184" s="6">
        <f>SUM(INDEX(Tabela1[[Freestyle Skiing - Men''s Aerials]:[Freestyle Skiing - Women''s Slopestyle]],MATCH(Table92[[#This Row],[Country]],Tabela1[Country], 0),0))</f>
        <v>0</v>
      </c>
      <c r="BF184" s="6">
        <f>SUM(INDEX(Tabela1[[Ice Hockey - Men''s Tournament]:[Ice Hockey - Women''s Tournament]],MATCH(Table92[[#This Row],[Country]],Tabela1[Country], 0),0))</f>
        <v>0</v>
      </c>
      <c r="BG184" s="6">
        <f>SUM(INDEX(Tabela1[[Luge - Men''s Singles]:[Luge - Mixed Team Relay]],MATCH(Table92[[#This Row],[Country]],Tabela1[Country], 0),0))</f>
        <v>0</v>
      </c>
      <c r="BH184" s="6">
        <f>SUM(INDEX(Tabela1[[Nordic Combined - Men''s Individual]:[Nordic Combined - Men''s Team Sprint Large Hill]],MATCH(Table92[[#This Row],[Country]],Tabela1[Country], 0),0))</f>
        <v>0</v>
      </c>
      <c r="BI184" s="6">
        <f>SUM(INDEX(Tabela1[[Short track speed skating - Men''s 500m]:[Short track speed skating - Mixed 2000m Relay]],MATCH(Table92[[#This Row],[Country]],Tabela1[Country], 0),0))</f>
        <v>0</v>
      </c>
      <c r="BJ184" s="6">
        <f>SUM(INDEX(Tabela1[[Skeleton - Men''s Individual]:[Skeleton - Mixed Team]],MATCH(Table92[[#This Row],[Country]],Tabela1[Country], 0),0))</f>
        <v>0</v>
      </c>
      <c r="BK184" s="6">
        <f>SUM(INDEX(Tabela1[[Ski Jumping - Men''s Individual Large Hill]:[Ski Jumping - Mixed Team Normal Hill]],MATCH(Table92[[#This Row],[Country]],Tabela1[Country], 0),0))</f>
        <v>0</v>
      </c>
      <c r="BL184" s="6">
        <f>SUM(INDEX(Tabela1[[Ski Mountaineering - Men''s Sprint]:[Ski Mountaineering - Mixed Relay]],MATCH(Table92[[#This Row],[Country]],Tabela1[Country], 0),0))</f>
        <v>0</v>
      </c>
      <c r="BM184" s="6">
        <f>SUM(INDEX(Tabela1[[Snowboarding - Men''s Big Air]:[Snowboarding - Mixed Team Snowboard Cross]],MATCH(Table92[[#This Row],[Country]],Tabela1[Country], 0),0))</f>
        <v>0</v>
      </c>
      <c r="BN184" s="6">
        <f>SUM(INDEX(Tabela1[[Speed Skating - Men''s 500m]:[Speed Skating - Women''s Team Pursuit]],MATCH(Table92[[#This Row],[Country]],Tabela1[Country], 0),0))</f>
        <v>0</v>
      </c>
      <c r="BO184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84" s="6">
        <f>SUM(Table92[[#This Row],[Summer Sports]:[Winter Sports]])</f>
        <v>0</v>
      </c>
      <c r="BQ184" s="6">
        <f>COUNTIF(Table92[[#This Row],[Archery Quotas]:[Wrestling Quotas]],"&lt;&gt;0")</f>
        <v>0</v>
      </c>
      <c r="BR184" s="6">
        <f>COUNTIF(Table92[[#This Row],[Alpine Skiing Quotas]:[Speed Skating Quotas]],"&lt;&gt;0")</f>
        <v>0</v>
      </c>
      <c r="BS184" s="4" t="s">
        <v>629</v>
      </c>
    </row>
    <row r="185" spans="1:71" x14ac:dyDescent="0.3">
      <c r="A185" s="6" t="s">
        <v>630</v>
      </c>
      <c r="B185" t="e" vm="187">
        <f>IF(ISBLANK(Table92[[#This Row],[Flag Link]]), "", _xlfn.IMAGE(Table92[[#This Row],[Flag Link]],1,1))</f>
        <v>#VALUE!</v>
      </c>
      <c r="C185" s="6">
        <f>SUM(Table92[[#This Row],[Archery Quotas]:[Speed Skating Quotas]])</f>
        <v>0</v>
      </c>
      <c r="D185" s="6">
        <f>SUM(INDEX(Tabela1[[Archery - Men''s Individual Recurve]:[Archery - Mixed Team Recurve]],MATCH(Table92[[#This Row],[Country]],Tabela1[Country], 0),0))</f>
        <v>0</v>
      </c>
      <c r="E185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85" s="6">
        <f>SUM(INDEX(Tabela1[[Artistic Swimming - Women''s Duet]:[Artistic Swimming - Women''s Team]],MATCH(Table92[[#This Row],[Country]],Tabela1[Country], 0),0))</f>
        <v>0</v>
      </c>
      <c r="G185" s="6">
        <f>SUM(INDEX(Tabela1[[Athletics - Men''s 100m]:[Athletics - Women''s Heptathlon]],MATCH(Table92[[#This Row],[Country]],Tabela1[Country], 0),0))</f>
        <v>0</v>
      </c>
      <c r="H185" s="6">
        <f>SUM(INDEX(Tabela1[[Badminton - Men''s Singles]:[Badminton - Mixed Doubles]],MATCH(Table92[[#This Row],[Country]],Tabela1[Country], 0),0))</f>
        <v>0</v>
      </c>
      <c r="I185" s="6">
        <f>SUM(INDEX(Tabela1[[Basketball - Men''s Tournament]:[Basketball - Women''s Tournament]],MATCH(Table92[[#This Row],[Country]],Tabela1[Country], 0),0))</f>
        <v>0</v>
      </c>
      <c r="J185" s="6">
        <f>SUM(INDEX(Tabela1[[3x3 Basketball - Men''s Tournament]:[3x3 Basketball - Women''s Tournament]],MATCH(Table92[[#This Row],[Country]],Tabela1[Country], 0),0))</f>
        <v>0</v>
      </c>
      <c r="K185" s="6">
        <f>SUM(INDEX(Tabela1[[Beach Volleyball - Men''s Tournament]:[Beach Volleyball - Women''s Tournament]],MATCH(Table92[[#This Row],[Country]],Tabela1[Country], 0),0))</f>
        <v>0</v>
      </c>
      <c r="L185" s="6">
        <f>SUM(INDEX(Tabela1[[Boxing - Men''s 51kg]:[Boxing - Women''s 75kg]],MATCH(Table92[[#This Row],[Country]],Tabela1[Country], 0),0))</f>
        <v>0</v>
      </c>
      <c r="M185" s="6">
        <f>SUM(INDEX(Tabela1[[Breaking - Men''s Individual]:[Breaking - Women''s Individual]],MATCH(Table92[[#This Row],[Country]],Tabela1[Country], 0),0))</f>
        <v>0</v>
      </c>
      <c r="N185" s="6">
        <f>SUM(INDEX(Tabela1[[Canoeing - Men''s C1 Slalom]:[Canoeing - Women''s Kayak Cross Slalom]],MATCH(Table92[[#This Row],[Country]],Tabela1[Country], 0),0))</f>
        <v>0</v>
      </c>
      <c r="O185" s="6">
        <f>SUM(INDEX(Tabela1[[Canoeing - Women''s C1 200m]:[Canoeing - Women''s K4 500m]],MATCH(Table92[[#This Row],[Country]],Tabela1[Country], 0),0))</f>
        <v>0</v>
      </c>
      <c r="P185" s="6">
        <f>SUM(INDEX(Tabela1[[Cycling - Men''s BMX Freestyle]:[Cycling - Women''s BMX Freestyle]],MATCH(Table92[[#This Row],[Country]],Tabela1[Country], 0),0))</f>
        <v>0</v>
      </c>
      <c r="Q185" s="6">
        <f>SUM(INDEX(Tabela1[[Cycling - Men''s BMX Racing]:[Cycling - Women''s BMX Racing]],MATCH(Table92[[#This Row],[Country]],Tabela1[Country], 0),0))</f>
        <v>0</v>
      </c>
      <c r="R185" s="6">
        <f>SUM(INDEX(Tabela1[[Cycling - Men''s Cross-Country]:[Cycling - Women''s Cross-Country]],MATCH(Table92[[#This Row],[Country]],Tabela1[Country], 0),0))</f>
        <v>0</v>
      </c>
      <c r="S185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85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85" s="6">
        <f>SUM(INDEX(Tabela1[[Diving - Men''s Springboard]:[Diving - Women''s Synchronized Platform]],MATCH(Table92[[#This Row],[Country]],Tabela1[Country], 0),0))</f>
        <v>0</v>
      </c>
      <c r="V185" s="6">
        <f>SUM(INDEX(Tabela1[[Equestrian - Individual Dressage]:[Equestrian - Team Dressage]],MATCH(Table92[[#This Row],[Country]],Tabela1[Country], 0),0))</f>
        <v>0</v>
      </c>
      <c r="W185" s="6">
        <f>SUM(INDEX(Tabela1[[Equestrian - Individual Eventing]:[Equestrian - Team Eventing]],MATCH(Table92[[#This Row],[Country]],Tabela1[Country], 0),0))</f>
        <v>0</v>
      </c>
      <c r="X185" s="6">
        <f>SUM(INDEX(Tabela1[[Equestrian - Individual Jumping]:[Equestrian - Team Jumping]],MATCH(Table92[[#This Row],[Country]],Tabela1[Country], 0),0))</f>
        <v>0</v>
      </c>
      <c r="Y185" s="6">
        <f>SUM(INDEX(Tabela1[[Fencing - Men''s Épée]:[Fencing - Women''s Team Sabre]],MATCH(Table92[[#This Row],[Country]],Tabela1[Country], 0),0))</f>
        <v>0</v>
      </c>
      <c r="Z185" s="6">
        <f>SUM(INDEX(Tabela1[[Field Hockey - Men''s Tournament]:[Field Hockey - Women''s Tournament]],MATCH(Table92[[#This Row],[Country]],Tabela1[Country], 0),0))</f>
        <v>0</v>
      </c>
      <c r="AA185" s="6">
        <f>SUM(INDEX(Tabela1[[Football - Men''s Tournament]:[Football - Women''s Tournament]],MATCH(Table92[[#This Row],[Country]],Tabela1[Country], 0),0))</f>
        <v>0</v>
      </c>
      <c r="AB185" s="6">
        <f>SUM(INDEX(Tabela1[[Golf - Men''s Individual]:[Golf - Women''s Individual]],MATCH(Table92[[#This Row],[Country]],Tabela1[Country], 0),0))</f>
        <v>0</v>
      </c>
      <c r="AC185" s="6">
        <f>SUM(INDEX(Tabela1[[Handball - Men''s Tournament]:[Handball - Women''s Tournament]],MATCH(Table92[[#This Row],[Country]],Tabela1[Country], 0),0))</f>
        <v>0</v>
      </c>
      <c r="AD185" s="6">
        <f>SUM(INDEX(Tabela1[[Judo - Men''s 60kg]:[Judo - Mixed Team]],MATCH(Table92[[#This Row],[Country]],Tabela1[Country], 0),0))</f>
        <v>0</v>
      </c>
      <c r="AE185" s="6">
        <f>SUM(INDEX(Tabela1[[Swimming - Men''s 10km Open Water]:[Swimming - Women''s 10km Open Water]],MATCH(Table92[[#This Row],[Country]],Tabela1[Country], 0),0))</f>
        <v>0</v>
      </c>
      <c r="AF185" s="6">
        <f>SUM(INDEX(Tabela1[[Modern Pentathlon - Men''s Individual]:[Modern Pentathlon - Women''s Individual]],MATCH(Table92[[#This Row],[Country]],Tabela1[Country], 0),0))</f>
        <v>0</v>
      </c>
      <c r="AG185" s="6">
        <f>SUM(INDEX(Tabela1[[Rhythmic Gymnastics - Women''s Individual All-Around]:[Rhythmic Gymnastics - Women''s Group All-Around]],MATCH(Table92[[#This Row],[Country]],Tabela1[Country], 0),0))</f>
        <v>0</v>
      </c>
      <c r="AH185" s="6">
        <f>SUM(INDEX(Tabela1[[Rowing - Men''s Single Sculls]:[Rowing - Women''s Lwt. Double Sculls]],MATCH(Table92[[#This Row],[Country]],Tabela1[Country], 0),0))</f>
        <v>0</v>
      </c>
      <c r="AI185" s="6">
        <f>SUM(INDEX(Tabela1[[Rugby Sevens - Men''s Tournament]:[Rugby Sevens - Women''s Tournament]],MATCH(Table92[[#This Row],[Country]],Tabela1[Country], 0),0))</f>
        <v>0</v>
      </c>
      <c r="AJ185" s="6">
        <f>SUM(INDEX(Tabela1[[Sailing - Mixed 470]:[Sailing - Mixed Nacra 17]],MATCH(Table92[[#This Row],[Country]],Tabela1[Country], 0),0))</f>
        <v>0</v>
      </c>
      <c r="AK185" s="6">
        <f>SUM(INDEX(Tabela1[[Shooting - Men''s 10m Air Pistol]:[Shooting - Women''s Trap]],MATCH(Table92[[#This Row],[Country]],Tabela1[Country], 0),0))</f>
        <v>0</v>
      </c>
      <c r="AL185" s="6">
        <f>SUM(INDEX(Tabela1[[Skateboarding - Men''s Park]:[Skateboarding - Women''s Street]],MATCH(Table92[[#This Row],[Country]],Tabela1[Country], 0),0))</f>
        <v>0</v>
      </c>
      <c r="AM185" s="6">
        <f>SUM(INDEX(Tabela1[[Sport Climbing - Men''s Boulder and Lead]:[Sport Climbing - Women''s Speed]],MATCH(Table92[[#This Row],[Country]],Tabela1[Country], 0),0))</f>
        <v>0</v>
      </c>
      <c r="AN185" s="6">
        <f>SUM(INDEX(Tabela1[[Surfing - Men''s Shortboard]:[Surfing - Women''s Shortboard]],MATCH(Table92[[#This Row],[Country]],Tabela1[Country], 0),0))</f>
        <v>0</v>
      </c>
      <c r="AO185" s="6">
        <f>SUM(INDEX(Tabela1[[Swimming - Men''s 50m Freestyle]:[Swimming - Mixed 4x100m Medley Relay]],MATCH(Table92[[#This Row],[Country]],Tabela1[Country], 0),0))</f>
        <v>0</v>
      </c>
      <c r="AP185" s="6">
        <f>SUM(INDEX(Tabela1[[Table Tennis - Men''s Singles]:[Table Tennis - Mixed Doubles]],MATCH(Table92[[#This Row],[Country]],Tabela1[Country], 0),0))</f>
        <v>0</v>
      </c>
      <c r="AQ185" s="6">
        <f>SUM(INDEX(Tabela1[[Taekwondo - Men''s 58kg]:[Taekwondo - Women''s +67kg]],MATCH(Table92[[#This Row],[Country]],Tabela1[Country], 0),0))</f>
        <v>0</v>
      </c>
      <c r="AR185" s="6">
        <f>SUM(INDEX(Tabela1[[Tennis - Men''s Singles]:[Tennis - Mixed Doubles]],MATCH(Table92[[#This Row],[Country]],Tabela1[Country], 0),0))</f>
        <v>0</v>
      </c>
      <c r="AS185" s="6">
        <f>SUM(INDEX(Tabela1[[Gymnastics - Men''s Trampoline]:[Gymnastics - Women''s Trampoline]],MATCH(Table92[[#This Row],[Country]],Tabela1[Country], 0),0))</f>
        <v>0</v>
      </c>
      <c r="AT185" s="6">
        <f>SUM(INDEX(Tabela1[[Triathlon - Men''s Individual]:[Triathlon - Mixed Relay]],MATCH(Table92[[#This Row],[Country]],Tabela1[Country], 0),0))</f>
        <v>0</v>
      </c>
      <c r="AU185" s="6">
        <f>SUM(INDEX(Tabela1[[Volleyball - Men''s Tournament]:[Volleyball - Women''s Tournament]],MATCH(Table92[[#This Row],[Country]],Tabela1[Country], 0),0))</f>
        <v>0</v>
      </c>
      <c r="AV185" s="6">
        <f>SUM(INDEX(Tabela1[[Water Polo - Men''s Tournament]:[Water Polo - Women''s Tournament]],MATCH(Table92[[#This Row],[Country]],Tabela1[Country], 0),0))</f>
        <v>0</v>
      </c>
      <c r="AW185" s="6">
        <f>SUM(INDEX(Tabela1[[Weightlifting - Men''s 61kg]:[Weightlifting - Women''s +81kg]],MATCH(Table92[[#This Row],[Country]],Tabela1[Country], 0),0))</f>
        <v>0</v>
      </c>
      <c r="AX185" s="6">
        <f>SUM(INDEX(Tabela1[[Wrestling - Men''s Freestyle 57kg]:[Wrestling - Women''s Freestyle 76kg]],MATCH(Table92[[#This Row],[Country]],Tabela1[Country], 0),0))</f>
        <v>0</v>
      </c>
      <c r="AY185" s="6">
        <f>SUM(INDEX(Tabela1[[Alpine Skiing - Men''s Downhill]:[Alpine Skiing - Women''s Team Combined]],MATCH(Table92[[#This Row],[Country]],Tabela1[Country], 0),0))</f>
        <v>0</v>
      </c>
      <c r="AZ185" s="6">
        <f>SUM(INDEX(Tabela1[[Biathlon - Men''s Individual]:[Biathlon - Mixed Relay]],MATCH(Table92[[#This Row],[Country]],Tabela1[Country], 0),0))</f>
        <v>0</v>
      </c>
      <c r="BA185" s="6">
        <f>SUM(INDEX(Tabela1[[Bobsleigh - Women''s Monobob]:[Bobsleigh - Men''s Four]],MATCH(Table92[[#This Row],[Country]],Tabela1[Country], 0),0))</f>
        <v>0</v>
      </c>
      <c r="BB185" s="6">
        <f>SUM(INDEX(Tabela1[[Cross-country skiing - Men''s Classical]:[Cross-country skiing - Women''s Team Sprint]],MATCH(Table92[[#This Row],[Country]],Tabela1[Country], 0),0))</f>
        <v>0</v>
      </c>
      <c r="BC185" s="6">
        <f>SUM(INDEX(Tabela1[[Curling - Men''s Tournament]:[Curling - Mixed Doubles]],MATCH(Table92[[#This Row],[Country]],Tabela1[Country], 0),0))</f>
        <v>0</v>
      </c>
      <c r="BD185" s="6">
        <f>SUM(INDEX(Tabela1[[Figure Skating - Men''s Singles]:[Figure Skating - Team Event]],MATCH(Table92[[#This Row],[Country]],Tabela1[Country], 0),0))</f>
        <v>0</v>
      </c>
      <c r="BE185" s="6">
        <f>SUM(INDEX(Tabela1[[Freestyle Skiing - Men''s Aerials]:[Freestyle Skiing - Women''s Slopestyle]],MATCH(Table92[[#This Row],[Country]],Tabela1[Country], 0),0))</f>
        <v>0</v>
      </c>
      <c r="BF185" s="6">
        <f>SUM(INDEX(Tabela1[[Ice Hockey - Men''s Tournament]:[Ice Hockey - Women''s Tournament]],MATCH(Table92[[#This Row],[Country]],Tabela1[Country], 0),0))</f>
        <v>0</v>
      </c>
      <c r="BG185" s="6">
        <f>SUM(INDEX(Tabela1[[Luge - Men''s Singles]:[Luge - Mixed Team Relay]],MATCH(Table92[[#This Row],[Country]],Tabela1[Country], 0),0))</f>
        <v>0</v>
      </c>
      <c r="BH185" s="6">
        <f>SUM(INDEX(Tabela1[[Nordic Combined - Men''s Individual]:[Nordic Combined - Men''s Team Sprint Large Hill]],MATCH(Table92[[#This Row],[Country]],Tabela1[Country], 0),0))</f>
        <v>0</v>
      </c>
      <c r="BI185" s="6">
        <f>SUM(INDEX(Tabela1[[Short track speed skating - Men''s 500m]:[Short track speed skating - Mixed 2000m Relay]],MATCH(Table92[[#This Row],[Country]],Tabela1[Country], 0),0))</f>
        <v>0</v>
      </c>
      <c r="BJ185" s="6">
        <f>SUM(INDEX(Tabela1[[Skeleton - Men''s Individual]:[Skeleton - Mixed Team]],MATCH(Table92[[#This Row],[Country]],Tabela1[Country], 0),0))</f>
        <v>0</v>
      </c>
      <c r="BK185" s="6">
        <f>SUM(INDEX(Tabela1[[Ski Jumping - Men''s Individual Large Hill]:[Ski Jumping - Mixed Team Normal Hill]],MATCH(Table92[[#This Row],[Country]],Tabela1[Country], 0),0))</f>
        <v>0</v>
      </c>
      <c r="BL185" s="6">
        <f>SUM(INDEX(Tabela1[[Ski Mountaineering - Men''s Sprint]:[Ski Mountaineering - Mixed Relay]],MATCH(Table92[[#This Row],[Country]],Tabela1[Country], 0),0))</f>
        <v>0</v>
      </c>
      <c r="BM185" s="6">
        <f>SUM(INDEX(Tabela1[[Snowboarding - Men''s Big Air]:[Snowboarding - Mixed Team Snowboard Cross]],MATCH(Table92[[#This Row],[Country]],Tabela1[Country], 0),0))</f>
        <v>0</v>
      </c>
      <c r="BN185" s="6">
        <f>SUM(INDEX(Tabela1[[Speed Skating - Men''s 500m]:[Speed Skating - Women''s Team Pursuit]],MATCH(Table92[[#This Row],[Country]],Tabela1[Country], 0),0))</f>
        <v>0</v>
      </c>
      <c r="BO185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85" s="6">
        <f>SUM(Table92[[#This Row],[Summer Sports]:[Winter Sports]])</f>
        <v>0</v>
      </c>
      <c r="BQ185" s="6">
        <f>COUNTIF(Table92[[#This Row],[Archery Quotas]:[Wrestling Quotas]],"&lt;&gt;0")</f>
        <v>0</v>
      </c>
      <c r="BR185" s="6">
        <f>COUNTIF(Table92[[#This Row],[Alpine Skiing Quotas]:[Speed Skating Quotas]],"&lt;&gt;0")</f>
        <v>0</v>
      </c>
      <c r="BS185" s="4" t="s">
        <v>631</v>
      </c>
    </row>
    <row r="186" spans="1:71" x14ac:dyDescent="0.3">
      <c r="A186" s="6" t="s">
        <v>632</v>
      </c>
      <c r="B186" t="e" vm="188">
        <f>IF(ISBLANK(Table92[[#This Row],[Flag Link]]), "", _xlfn.IMAGE(Table92[[#This Row],[Flag Link]],1,1))</f>
        <v>#VALUE!</v>
      </c>
      <c r="C186" s="6">
        <f>SUM(Table92[[#This Row],[Archery Quotas]:[Speed Skating Quotas]])</f>
        <v>0</v>
      </c>
      <c r="D186" s="6">
        <f>SUM(INDEX(Tabela1[[Archery - Men''s Individual Recurve]:[Archery - Mixed Team Recurve]],MATCH(Table92[[#This Row],[Country]],Tabela1[Country], 0),0))</f>
        <v>0</v>
      </c>
      <c r="E186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86" s="6">
        <f>SUM(INDEX(Tabela1[[Artistic Swimming - Women''s Duet]:[Artistic Swimming - Women''s Team]],MATCH(Table92[[#This Row],[Country]],Tabela1[Country], 0),0))</f>
        <v>0</v>
      </c>
      <c r="G186" s="6">
        <f>SUM(INDEX(Tabela1[[Athletics - Men''s 100m]:[Athletics - Women''s Heptathlon]],MATCH(Table92[[#This Row],[Country]],Tabela1[Country], 0),0))</f>
        <v>0</v>
      </c>
      <c r="H186" s="6">
        <f>SUM(INDEX(Tabela1[[Badminton - Men''s Singles]:[Badminton - Mixed Doubles]],MATCH(Table92[[#This Row],[Country]],Tabela1[Country], 0),0))</f>
        <v>0</v>
      </c>
      <c r="I186" s="6">
        <f>SUM(INDEX(Tabela1[[Basketball - Men''s Tournament]:[Basketball - Women''s Tournament]],MATCH(Table92[[#This Row],[Country]],Tabela1[Country], 0),0))</f>
        <v>0</v>
      </c>
      <c r="J186" s="6">
        <f>SUM(INDEX(Tabela1[[3x3 Basketball - Men''s Tournament]:[3x3 Basketball - Women''s Tournament]],MATCH(Table92[[#This Row],[Country]],Tabela1[Country], 0),0))</f>
        <v>0</v>
      </c>
      <c r="K186" s="6">
        <f>SUM(INDEX(Tabela1[[Beach Volleyball - Men''s Tournament]:[Beach Volleyball - Women''s Tournament]],MATCH(Table92[[#This Row],[Country]],Tabela1[Country], 0),0))</f>
        <v>0</v>
      </c>
      <c r="L186" s="6">
        <f>SUM(INDEX(Tabela1[[Boxing - Men''s 51kg]:[Boxing - Women''s 75kg]],MATCH(Table92[[#This Row],[Country]],Tabela1[Country], 0),0))</f>
        <v>0</v>
      </c>
      <c r="M186" s="6">
        <f>SUM(INDEX(Tabela1[[Breaking - Men''s Individual]:[Breaking - Women''s Individual]],MATCH(Table92[[#This Row],[Country]],Tabela1[Country], 0),0))</f>
        <v>0</v>
      </c>
      <c r="N186" s="6">
        <f>SUM(INDEX(Tabela1[[Canoeing - Men''s C1 Slalom]:[Canoeing - Women''s Kayak Cross Slalom]],MATCH(Table92[[#This Row],[Country]],Tabela1[Country], 0),0))</f>
        <v>0</v>
      </c>
      <c r="O186" s="6">
        <f>SUM(INDEX(Tabela1[[Canoeing - Women''s C1 200m]:[Canoeing - Women''s K4 500m]],MATCH(Table92[[#This Row],[Country]],Tabela1[Country], 0),0))</f>
        <v>0</v>
      </c>
      <c r="P186" s="6">
        <f>SUM(INDEX(Tabela1[[Cycling - Men''s BMX Freestyle]:[Cycling - Women''s BMX Freestyle]],MATCH(Table92[[#This Row],[Country]],Tabela1[Country], 0),0))</f>
        <v>0</v>
      </c>
      <c r="Q186" s="6">
        <f>SUM(INDEX(Tabela1[[Cycling - Men''s BMX Racing]:[Cycling - Women''s BMX Racing]],MATCH(Table92[[#This Row],[Country]],Tabela1[Country], 0),0))</f>
        <v>0</v>
      </c>
      <c r="R186" s="6">
        <f>SUM(INDEX(Tabela1[[Cycling - Men''s Cross-Country]:[Cycling - Women''s Cross-Country]],MATCH(Table92[[#This Row],[Country]],Tabela1[Country], 0),0))</f>
        <v>0</v>
      </c>
      <c r="S186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86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86" s="6">
        <f>SUM(INDEX(Tabela1[[Diving - Men''s Springboard]:[Diving - Women''s Synchronized Platform]],MATCH(Table92[[#This Row],[Country]],Tabela1[Country], 0),0))</f>
        <v>0</v>
      </c>
      <c r="V186" s="6">
        <f>SUM(INDEX(Tabela1[[Equestrian - Individual Dressage]:[Equestrian - Team Dressage]],MATCH(Table92[[#This Row],[Country]],Tabela1[Country], 0),0))</f>
        <v>0</v>
      </c>
      <c r="W186" s="6">
        <f>SUM(INDEX(Tabela1[[Equestrian - Individual Eventing]:[Equestrian - Team Eventing]],MATCH(Table92[[#This Row],[Country]],Tabela1[Country], 0),0))</f>
        <v>0</v>
      </c>
      <c r="X186" s="6">
        <f>SUM(INDEX(Tabela1[[Equestrian - Individual Jumping]:[Equestrian - Team Jumping]],MATCH(Table92[[#This Row],[Country]],Tabela1[Country], 0),0))</f>
        <v>0</v>
      </c>
      <c r="Y186" s="6">
        <f>SUM(INDEX(Tabela1[[Fencing - Men''s Épée]:[Fencing - Women''s Team Sabre]],MATCH(Table92[[#This Row],[Country]],Tabela1[Country], 0),0))</f>
        <v>0</v>
      </c>
      <c r="Z186" s="6">
        <f>SUM(INDEX(Tabela1[[Field Hockey - Men''s Tournament]:[Field Hockey - Women''s Tournament]],MATCH(Table92[[#This Row],[Country]],Tabela1[Country], 0),0))</f>
        <v>0</v>
      </c>
      <c r="AA186" s="6">
        <f>SUM(INDEX(Tabela1[[Football - Men''s Tournament]:[Football - Women''s Tournament]],MATCH(Table92[[#This Row],[Country]],Tabela1[Country], 0),0))</f>
        <v>0</v>
      </c>
      <c r="AB186" s="6">
        <f>SUM(INDEX(Tabela1[[Golf - Men''s Individual]:[Golf - Women''s Individual]],MATCH(Table92[[#This Row],[Country]],Tabela1[Country], 0),0))</f>
        <v>0</v>
      </c>
      <c r="AC186" s="6">
        <f>SUM(INDEX(Tabela1[[Handball - Men''s Tournament]:[Handball - Women''s Tournament]],MATCH(Table92[[#This Row],[Country]],Tabela1[Country], 0),0))</f>
        <v>0</v>
      </c>
      <c r="AD186" s="6">
        <f>SUM(INDEX(Tabela1[[Judo - Men''s 60kg]:[Judo - Mixed Team]],MATCH(Table92[[#This Row],[Country]],Tabela1[Country], 0),0))</f>
        <v>0</v>
      </c>
      <c r="AE186" s="6">
        <f>SUM(INDEX(Tabela1[[Swimming - Men''s 10km Open Water]:[Swimming - Women''s 10km Open Water]],MATCH(Table92[[#This Row],[Country]],Tabela1[Country], 0),0))</f>
        <v>0</v>
      </c>
      <c r="AF186" s="6">
        <f>SUM(INDEX(Tabela1[[Modern Pentathlon - Men''s Individual]:[Modern Pentathlon - Women''s Individual]],MATCH(Table92[[#This Row],[Country]],Tabela1[Country], 0),0))</f>
        <v>0</v>
      </c>
      <c r="AG186" s="6">
        <f>SUM(INDEX(Tabela1[[Rhythmic Gymnastics - Women''s Individual All-Around]:[Rhythmic Gymnastics - Women''s Group All-Around]],MATCH(Table92[[#This Row],[Country]],Tabela1[Country], 0),0))</f>
        <v>0</v>
      </c>
      <c r="AH186" s="6">
        <f>SUM(INDEX(Tabela1[[Rowing - Men''s Single Sculls]:[Rowing - Women''s Lwt. Double Sculls]],MATCH(Table92[[#This Row],[Country]],Tabela1[Country], 0),0))</f>
        <v>0</v>
      </c>
      <c r="AI186" s="6">
        <f>SUM(INDEX(Tabela1[[Rugby Sevens - Men''s Tournament]:[Rugby Sevens - Women''s Tournament]],MATCH(Table92[[#This Row],[Country]],Tabela1[Country], 0),0))</f>
        <v>0</v>
      </c>
      <c r="AJ186" s="6">
        <f>SUM(INDEX(Tabela1[[Sailing - Mixed 470]:[Sailing - Mixed Nacra 17]],MATCH(Table92[[#This Row],[Country]],Tabela1[Country], 0),0))</f>
        <v>0</v>
      </c>
      <c r="AK186" s="6">
        <f>SUM(INDEX(Tabela1[[Shooting - Men''s 10m Air Pistol]:[Shooting - Women''s Trap]],MATCH(Table92[[#This Row],[Country]],Tabela1[Country], 0),0))</f>
        <v>0</v>
      </c>
      <c r="AL186" s="6">
        <f>SUM(INDEX(Tabela1[[Skateboarding - Men''s Park]:[Skateboarding - Women''s Street]],MATCH(Table92[[#This Row],[Country]],Tabela1[Country], 0),0))</f>
        <v>0</v>
      </c>
      <c r="AM186" s="6">
        <f>SUM(INDEX(Tabela1[[Sport Climbing - Men''s Boulder and Lead]:[Sport Climbing - Women''s Speed]],MATCH(Table92[[#This Row],[Country]],Tabela1[Country], 0),0))</f>
        <v>0</v>
      </c>
      <c r="AN186" s="6">
        <f>SUM(INDEX(Tabela1[[Surfing - Men''s Shortboard]:[Surfing - Women''s Shortboard]],MATCH(Table92[[#This Row],[Country]],Tabela1[Country], 0),0))</f>
        <v>0</v>
      </c>
      <c r="AO186" s="6">
        <f>SUM(INDEX(Tabela1[[Swimming - Men''s 50m Freestyle]:[Swimming - Mixed 4x100m Medley Relay]],MATCH(Table92[[#This Row],[Country]],Tabela1[Country], 0),0))</f>
        <v>0</v>
      </c>
      <c r="AP186" s="6">
        <f>SUM(INDEX(Tabela1[[Table Tennis - Men''s Singles]:[Table Tennis - Mixed Doubles]],MATCH(Table92[[#This Row],[Country]],Tabela1[Country], 0),0))</f>
        <v>0</v>
      </c>
      <c r="AQ186" s="6">
        <f>SUM(INDEX(Tabela1[[Taekwondo - Men''s 58kg]:[Taekwondo - Women''s +67kg]],MATCH(Table92[[#This Row],[Country]],Tabela1[Country], 0),0))</f>
        <v>0</v>
      </c>
      <c r="AR186" s="6">
        <f>SUM(INDEX(Tabela1[[Tennis - Men''s Singles]:[Tennis - Mixed Doubles]],MATCH(Table92[[#This Row],[Country]],Tabela1[Country], 0),0))</f>
        <v>0</v>
      </c>
      <c r="AS186" s="6">
        <f>SUM(INDEX(Tabela1[[Gymnastics - Men''s Trampoline]:[Gymnastics - Women''s Trampoline]],MATCH(Table92[[#This Row],[Country]],Tabela1[Country], 0),0))</f>
        <v>0</v>
      </c>
      <c r="AT186" s="6">
        <f>SUM(INDEX(Tabela1[[Triathlon - Men''s Individual]:[Triathlon - Mixed Relay]],MATCH(Table92[[#This Row],[Country]],Tabela1[Country], 0),0))</f>
        <v>0</v>
      </c>
      <c r="AU186" s="6">
        <f>SUM(INDEX(Tabela1[[Volleyball - Men''s Tournament]:[Volleyball - Women''s Tournament]],MATCH(Table92[[#This Row],[Country]],Tabela1[Country], 0),0))</f>
        <v>0</v>
      </c>
      <c r="AV186" s="6">
        <f>SUM(INDEX(Tabela1[[Water Polo - Men''s Tournament]:[Water Polo - Women''s Tournament]],MATCH(Table92[[#This Row],[Country]],Tabela1[Country], 0),0))</f>
        <v>0</v>
      </c>
      <c r="AW186" s="6">
        <f>SUM(INDEX(Tabela1[[Weightlifting - Men''s 61kg]:[Weightlifting - Women''s +81kg]],MATCH(Table92[[#This Row],[Country]],Tabela1[Country], 0),0))</f>
        <v>0</v>
      </c>
      <c r="AX186" s="6">
        <f>SUM(INDEX(Tabela1[[Wrestling - Men''s Freestyle 57kg]:[Wrestling - Women''s Freestyle 76kg]],MATCH(Table92[[#This Row],[Country]],Tabela1[Country], 0),0))</f>
        <v>0</v>
      </c>
      <c r="AY186" s="6">
        <f>SUM(INDEX(Tabela1[[Alpine Skiing - Men''s Downhill]:[Alpine Skiing - Women''s Team Combined]],MATCH(Table92[[#This Row],[Country]],Tabela1[Country], 0),0))</f>
        <v>0</v>
      </c>
      <c r="AZ186" s="6">
        <f>SUM(INDEX(Tabela1[[Biathlon - Men''s Individual]:[Biathlon - Mixed Relay]],MATCH(Table92[[#This Row],[Country]],Tabela1[Country], 0),0))</f>
        <v>0</v>
      </c>
      <c r="BA186" s="6">
        <f>SUM(INDEX(Tabela1[[Bobsleigh - Women''s Monobob]:[Bobsleigh - Men''s Four]],MATCH(Table92[[#This Row],[Country]],Tabela1[Country], 0),0))</f>
        <v>0</v>
      </c>
      <c r="BB186" s="6">
        <f>SUM(INDEX(Tabela1[[Cross-country skiing - Men''s Classical]:[Cross-country skiing - Women''s Team Sprint]],MATCH(Table92[[#This Row],[Country]],Tabela1[Country], 0),0))</f>
        <v>0</v>
      </c>
      <c r="BC186" s="6">
        <f>SUM(INDEX(Tabela1[[Curling - Men''s Tournament]:[Curling - Mixed Doubles]],MATCH(Table92[[#This Row],[Country]],Tabela1[Country], 0),0))</f>
        <v>0</v>
      </c>
      <c r="BD186" s="6">
        <f>SUM(INDEX(Tabela1[[Figure Skating - Men''s Singles]:[Figure Skating - Team Event]],MATCH(Table92[[#This Row],[Country]],Tabela1[Country], 0),0))</f>
        <v>0</v>
      </c>
      <c r="BE186" s="6">
        <f>SUM(INDEX(Tabela1[[Freestyle Skiing - Men''s Aerials]:[Freestyle Skiing - Women''s Slopestyle]],MATCH(Table92[[#This Row],[Country]],Tabela1[Country], 0),0))</f>
        <v>0</v>
      </c>
      <c r="BF186" s="6">
        <f>SUM(INDEX(Tabela1[[Ice Hockey - Men''s Tournament]:[Ice Hockey - Women''s Tournament]],MATCH(Table92[[#This Row],[Country]],Tabela1[Country], 0),0))</f>
        <v>0</v>
      </c>
      <c r="BG186" s="6">
        <f>SUM(INDEX(Tabela1[[Luge - Men''s Singles]:[Luge - Mixed Team Relay]],MATCH(Table92[[#This Row],[Country]],Tabela1[Country], 0),0))</f>
        <v>0</v>
      </c>
      <c r="BH186" s="6">
        <f>SUM(INDEX(Tabela1[[Nordic Combined - Men''s Individual]:[Nordic Combined - Men''s Team Sprint Large Hill]],MATCH(Table92[[#This Row],[Country]],Tabela1[Country], 0),0))</f>
        <v>0</v>
      </c>
      <c r="BI186" s="6">
        <f>SUM(INDEX(Tabela1[[Short track speed skating - Men''s 500m]:[Short track speed skating - Mixed 2000m Relay]],MATCH(Table92[[#This Row],[Country]],Tabela1[Country], 0),0))</f>
        <v>0</v>
      </c>
      <c r="BJ186" s="6">
        <f>SUM(INDEX(Tabela1[[Skeleton - Men''s Individual]:[Skeleton - Mixed Team]],MATCH(Table92[[#This Row],[Country]],Tabela1[Country], 0),0))</f>
        <v>0</v>
      </c>
      <c r="BK186" s="6">
        <f>SUM(INDEX(Tabela1[[Ski Jumping - Men''s Individual Large Hill]:[Ski Jumping - Mixed Team Normal Hill]],MATCH(Table92[[#This Row],[Country]],Tabela1[Country], 0),0))</f>
        <v>0</v>
      </c>
      <c r="BL186" s="6">
        <f>SUM(INDEX(Tabela1[[Ski Mountaineering - Men''s Sprint]:[Ski Mountaineering - Mixed Relay]],MATCH(Table92[[#This Row],[Country]],Tabela1[Country], 0),0))</f>
        <v>0</v>
      </c>
      <c r="BM186" s="6">
        <f>SUM(INDEX(Tabela1[[Snowboarding - Men''s Big Air]:[Snowboarding - Mixed Team Snowboard Cross]],MATCH(Table92[[#This Row],[Country]],Tabela1[Country], 0),0))</f>
        <v>0</v>
      </c>
      <c r="BN186" s="6">
        <f>SUM(INDEX(Tabela1[[Speed Skating - Men''s 500m]:[Speed Skating - Women''s Team Pursuit]],MATCH(Table92[[#This Row],[Country]],Tabela1[Country], 0),0))</f>
        <v>0</v>
      </c>
      <c r="BO186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86" s="6">
        <f>SUM(Table92[[#This Row],[Summer Sports]:[Winter Sports]])</f>
        <v>0</v>
      </c>
      <c r="BQ186" s="6">
        <f>COUNTIF(Table92[[#This Row],[Archery Quotas]:[Wrestling Quotas]],"&lt;&gt;0")</f>
        <v>0</v>
      </c>
      <c r="BR186" s="6">
        <f>COUNTIF(Table92[[#This Row],[Alpine Skiing Quotas]:[Speed Skating Quotas]],"&lt;&gt;0")</f>
        <v>0</v>
      </c>
      <c r="BS186" s="4" t="s">
        <v>633</v>
      </c>
    </row>
    <row r="187" spans="1:71" x14ac:dyDescent="0.3">
      <c r="A187" s="6" t="s">
        <v>638</v>
      </c>
      <c r="B187" t="e" vm="189">
        <f>IF(ISBLANK(Table92[[#This Row],[Flag Link]]), "", _xlfn.IMAGE(Table92[[#This Row],[Flag Link]],1,1))</f>
        <v>#VALUE!</v>
      </c>
      <c r="C187" s="6">
        <f>SUM(Table92[[#This Row],[Archery Quotas]:[Speed Skating Quotas]])</f>
        <v>0</v>
      </c>
      <c r="D187" s="6">
        <f>SUM(INDEX(Tabela1[[Archery - Men''s Individual Recurve]:[Archery - Mixed Team Recurve]],MATCH(Table92[[#This Row],[Country]],Tabela1[Country], 0),0))</f>
        <v>0</v>
      </c>
      <c r="E187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87" s="6">
        <f>SUM(INDEX(Tabela1[[Artistic Swimming - Women''s Duet]:[Artistic Swimming - Women''s Team]],MATCH(Table92[[#This Row],[Country]],Tabela1[Country], 0),0))</f>
        <v>0</v>
      </c>
      <c r="G187" s="6">
        <f>SUM(INDEX(Tabela1[[Athletics - Men''s 100m]:[Athletics - Women''s Heptathlon]],MATCH(Table92[[#This Row],[Country]],Tabela1[Country], 0),0))</f>
        <v>0</v>
      </c>
      <c r="H187" s="6">
        <f>SUM(INDEX(Tabela1[[Badminton - Men''s Singles]:[Badminton - Mixed Doubles]],MATCH(Table92[[#This Row],[Country]],Tabela1[Country], 0),0))</f>
        <v>0</v>
      </c>
      <c r="I187" s="6">
        <f>SUM(INDEX(Tabela1[[Basketball - Men''s Tournament]:[Basketball - Women''s Tournament]],MATCH(Table92[[#This Row],[Country]],Tabela1[Country], 0),0))</f>
        <v>0</v>
      </c>
      <c r="J187" s="6">
        <f>SUM(INDEX(Tabela1[[3x3 Basketball - Men''s Tournament]:[3x3 Basketball - Women''s Tournament]],MATCH(Table92[[#This Row],[Country]],Tabela1[Country], 0),0))</f>
        <v>0</v>
      </c>
      <c r="K187" s="6">
        <f>SUM(INDEX(Tabela1[[Beach Volleyball - Men''s Tournament]:[Beach Volleyball - Women''s Tournament]],MATCH(Table92[[#This Row],[Country]],Tabela1[Country], 0),0))</f>
        <v>0</v>
      </c>
      <c r="L187" s="6">
        <f>SUM(INDEX(Tabela1[[Boxing - Men''s 51kg]:[Boxing - Women''s 75kg]],MATCH(Table92[[#This Row],[Country]],Tabela1[Country], 0),0))</f>
        <v>0</v>
      </c>
      <c r="M187" s="6">
        <f>SUM(INDEX(Tabela1[[Breaking - Men''s Individual]:[Breaking - Women''s Individual]],MATCH(Table92[[#This Row],[Country]],Tabela1[Country], 0),0))</f>
        <v>0</v>
      </c>
      <c r="N187" s="6">
        <f>SUM(INDEX(Tabela1[[Canoeing - Men''s C1 Slalom]:[Canoeing - Women''s Kayak Cross Slalom]],MATCH(Table92[[#This Row],[Country]],Tabela1[Country], 0),0))</f>
        <v>0</v>
      </c>
      <c r="O187" s="6">
        <f>SUM(INDEX(Tabela1[[Canoeing - Women''s C1 200m]:[Canoeing - Women''s K4 500m]],MATCH(Table92[[#This Row],[Country]],Tabela1[Country], 0),0))</f>
        <v>0</v>
      </c>
      <c r="P187" s="6">
        <f>SUM(INDEX(Tabela1[[Cycling - Men''s BMX Freestyle]:[Cycling - Women''s BMX Freestyle]],MATCH(Table92[[#This Row],[Country]],Tabela1[Country], 0),0))</f>
        <v>0</v>
      </c>
      <c r="Q187" s="6">
        <f>SUM(INDEX(Tabela1[[Cycling - Men''s BMX Racing]:[Cycling - Women''s BMX Racing]],MATCH(Table92[[#This Row],[Country]],Tabela1[Country], 0),0))</f>
        <v>0</v>
      </c>
      <c r="R187" s="6">
        <f>SUM(INDEX(Tabela1[[Cycling - Men''s Cross-Country]:[Cycling - Women''s Cross-Country]],MATCH(Table92[[#This Row],[Country]],Tabela1[Country], 0),0))</f>
        <v>0</v>
      </c>
      <c r="S187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87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87" s="6">
        <f>SUM(INDEX(Tabela1[[Diving - Men''s Springboard]:[Diving - Women''s Synchronized Platform]],MATCH(Table92[[#This Row],[Country]],Tabela1[Country], 0),0))</f>
        <v>0</v>
      </c>
      <c r="V187" s="6">
        <f>SUM(INDEX(Tabela1[[Equestrian - Individual Dressage]:[Equestrian - Team Dressage]],MATCH(Table92[[#This Row],[Country]],Tabela1[Country], 0),0))</f>
        <v>0</v>
      </c>
      <c r="W187" s="6">
        <f>SUM(INDEX(Tabela1[[Equestrian - Individual Eventing]:[Equestrian - Team Eventing]],MATCH(Table92[[#This Row],[Country]],Tabela1[Country], 0),0))</f>
        <v>0</v>
      </c>
      <c r="X187" s="6">
        <f>SUM(INDEX(Tabela1[[Equestrian - Individual Jumping]:[Equestrian - Team Jumping]],MATCH(Table92[[#This Row],[Country]],Tabela1[Country], 0),0))</f>
        <v>0</v>
      </c>
      <c r="Y187" s="6">
        <f>SUM(INDEX(Tabela1[[Fencing - Men''s Épée]:[Fencing - Women''s Team Sabre]],MATCH(Table92[[#This Row],[Country]],Tabela1[Country], 0),0))</f>
        <v>0</v>
      </c>
      <c r="Z187" s="6">
        <f>SUM(INDEX(Tabela1[[Field Hockey - Men''s Tournament]:[Field Hockey - Women''s Tournament]],MATCH(Table92[[#This Row],[Country]],Tabela1[Country], 0),0))</f>
        <v>0</v>
      </c>
      <c r="AA187" s="6">
        <f>SUM(INDEX(Tabela1[[Football - Men''s Tournament]:[Football - Women''s Tournament]],MATCH(Table92[[#This Row],[Country]],Tabela1[Country], 0),0))</f>
        <v>0</v>
      </c>
      <c r="AB187" s="6">
        <f>SUM(INDEX(Tabela1[[Golf - Men''s Individual]:[Golf - Women''s Individual]],MATCH(Table92[[#This Row],[Country]],Tabela1[Country], 0),0))</f>
        <v>0</v>
      </c>
      <c r="AC187" s="6">
        <f>SUM(INDEX(Tabela1[[Handball - Men''s Tournament]:[Handball - Women''s Tournament]],MATCH(Table92[[#This Row],[Country]],Tabela1[Country], 0),0))</f>
        <v>0</v>
      </c>
      <c r="AD187" s="6">
        <f>SUM(INDEX(Tabela1[[Judo - Men''s 60kg]:[Judo - Mixed Team]],MATCH(Table92[[#This Row],[Country]],Tabela1[Country], 0),0))</f>
        <v>0</v>
      </c>
      <c r="AE187" s="6">
        <f>SUM(INDEX(Tabela1[[Swimming - Men''s 10km Open Water]:[Swimming - Women''s 10km Open Water]],MATCH(Table92[[#This Row],[Country]],Tabela1[Country], 0),0))</f>
        <v>0</v>
      </c>
      <c r="AF187" s="6">
        <f>SUM(INDEX(Tabela1[[Modern Pentathlon - Men''s Individual]:[Modern Pentathlon - Women''s Individual]],MATCH(Table92[[#This Row],[Country]],Tabela1[Country], 0),0))</f>
        <v>0</v>
      </c>
      <c r="AG187" s="6">
        <f>SUM(INDEX(Tabela1[[Rhythmic Gymnastics - Women''s Individual All-Around]:[Rhythmic Gymnastics - Women''s Group All-Around]],MATCH(Table92[[#This Row],[Country]],Tabela1[Country], 0),0))</f>
        <v>0</v>
      </c>
      <c r="AH187" s="6">
        <f>SUM(INDEX(Tabela1[[Rowing - Men''s Single Sculls]:[Rowing - Women''s Lwt. Double Sculls]],MATCH(Table92[[#This Row],[Country]],Tabela1[Country], 0),0))</f>
        <v>0</v>
      </c>
      <c r="AI187" s="6">
        <f>SUM(INDEX(Tabela1[[Rugby Sevens - Men''s Tournament]:[Rugby Sevens - Women''s Tournament]],MATCH(Table92[[#This Row],[Country]],Tabela1[Country], 0),0))</f>
        <v>0</v>
      </c>
      <c r="AJ187" s="6">
        <f>SUM(INDEX(Tabela1[[Sailing - Mixed 470]:[Sailing - Mixed Nacra 17]],MATCH(Table92[[#This Row],[Country]],Tabela1[Country], 0),0))</f>
        <v>0</v>
      </c>
      <c r="AK187" s="6">
        <f>SUM(INDEX(Tabela1[[Shooting - Men''s 10m Air Pistol]:[Shooting - Women''s Trap]],MATCH(Table92[[#This Row],[Country]],Tabela1[Country], 0),0))</f>
        <v>0</v>
      </c>
      <c r="AL187" s="6">
        <f>SUM(INDEX(Tabela1[[Skateboarding - Men''s Park]:[Skateboarding - Women''s Street]],MATCH(Table92[[#This Row],[Country]],Tabela1[Country], 0),0))</f>
        <v>0</v>
      </c>
      <c r="AM187" s="6">
        <f>SUM(INDEX(Tabela1[[Sport Climbing - Men''s Boulder and Lead]:[Sport Climbing - Women''s Speed]],MATCH(Table92[[#This Row],[Country]],Tabela1[Country], 0),0))</f>
        <v>0</v>
      </c>
      <c r="AN187" s="6">
        <f>SUM(INDEX(Tabela1[[Surfing - Men''s Shortboard]:[Surfing - Women''s Shortboard]],MATCH(Table92[[#This Row],[Country]],Tabela1[Country], 0),0))</f>
        <v>0</v>
      </c>
      <c r="AO187" s="6">
        <f>SUM(INDEX(Tabela1[[Swimming - Men''s 50m Freestyle]:[Swimming - Mixed 4x100m Medley Relay]],MATCH(Table92[[#This Row],[Country]],Tabela1[Country], 0),0))</f>
        <v>0</v>
      </c>
      <c r="AP187" s="6">
        <f>SUM(INDEX(Tabela1[[Table Tennis - Men''s Singles]:[Table Tennis - Mixed Doubles]],MATCH(Table92[[#This Row],[Country]],Tabela1[Country], 0),0))</f>
        <v>0</v>
      </c>
      <c r="AQ187" s="6">
        <f>SUM(INDEX(Tabela1[[Taekwondo - Men''s 58kg]:[Taekwondo - Women''s +67kg]],MATCH(Table92[[#This Row],[Country]],Tabela1[Country], 0),0))</f>
        <v>0</v>
      </c>
      <c r="AR187" s="6">
        <f>SUM(INDEX(Tabela1[[Tennis - Men''s Singles]:[Tennis - Mixed Doubles]],MATCH(Table92[[#This Row],[Country]],Tabela1[Country], 0),0))</f>
        <v>0</v>
      </c>
      <c r="AS187" s="6">
        <f>SUM(INDEX(Tabela1[[Gymnastics - Men''s Trampoline]:[Gymnastics - Women''s Trampoline]],MATCH(Table92[[#This Row],[Country]],Tabela1[Country], 0),0))</f>
        <v>0</v>
      </c>
      <c r="AT187" s="6">
        <f>SUM(INDEX(Tabela1[[Triathlon - Men''s Individual]:[Triathlon - Mixed Relay]],MATCH(Table92[[#This Row],[Country]],Tabela1[Country], 0),0))</f>
        <v>0</v>
      </c>
      <c r="AU187" s="6">
        <f>SUM(INDEX(Tabela1[[Volleyball - Men''s Tournament]:[Volleyball - Women''s Tournament]],MATCH(Table92[[#This Row],[Country]],Tabela1[Country], 0),0))</f>
        <v>0</v>
      </c>
      <c r="AV187" s="6">
        <f>SUM(INDEX(Tabela1[[Water Polo - Men''s Tournament]:[Water Polo - Women''s Tournament]],MATCH(Table92[[#This Row],[Country]],Tabela1[Country], 0),0))</f>
        <v>0</v>
      </c>
      <c r="AW187" s="6">
        <f>SUM(INDEX(Tabela1[[Weightlifting - Men''s 61kg]:[Weightlifting - Women''s +81kg]],MATCH(Table92[[#This Row],[Country]],Tabela1[Country], 0),0))</f>
        <v>0</v>
      </c>
      <c r="AX187" s="6">
        <f>SUM(INDEX(Tabela1[[Wrestling - Men''s Freestyle 57kg]:[Wrestling - Women''s Freestyle 76kg]],MATCH(Table92[[#This Row],[Country]],Tabela1[Country], 0),0))</f>
        <v>0</v>
      </c>
      <c r="AY187" s="6">
        <f>SUM(INDEX(Tabela1[[Alpine Skiing - Men''s Downhill]:[Alpine Skiing - Women''s Team Combined]],MATCH(Table92[[#This Row],[Country]],Tabela1[Country], 0),0))</f>
        <v>0</v>
      </c>
      <c r="AZ187" s="6">
        <f>SUM(INDEX(Tabela1[[Biathlon - Men''s Individual]:[Biathlon - Mixed Relay]],MATCH(Table92[[#This Row],[Country]],Tabela1[Country], 0),0))</f>
        <v>0</v>
      </c>
      <c r="BA187" s="6">
        <f>SUM(INDEX(Tabela1[[Bobsleigh - Women''s Monobob]:[Bobsleigh - Men''s Four]],MATCH(Table92[[#This Row],[Country]],Tabela1[Country], 0),0))</f>
        <v>0</v>
      </c>
      <c r="BB187" s="6">
        <f>SUM(INDEX(Tabela1[[Cross-country skiing - Men''s Classical]:[Cross-country skiing - Women''s Team Sprint]],MATCH(Table92[[#This Row],[Country]],Tabela1[Country], 0),0))</f>
        <v>0</v>
      </c>
      <c r="BC187" s="6">
        <f>SUM(INDEX(Tabela1[[Curling - Men''s Tournament]:[Curling - Mixed Doubles]],MATCH(Table92[[#This Row],[Country]],Tabela1[Country], 0),0))</f>
        <v>0</v>
      </c>
      <c r="BD187" s="6">
        <f>SUM(INDEX(Tabela1[[Figure Skating - Men''s Singles]:[Figure Skating - Team Event]],MATCH(Table92[[#This Row],[Country]],Tabela1[Country], 0),0))</f>
        <v>0</v>
      </c>
      <c r="BE187" s="6">
        <f>SUM(INDEX(Tabela1[[Freestyle Skiing - Men''s Aerials]:[Freestyle Skiing - Women''s Slopestyle]],MATCH(Table92[[#This Row],[Country]],Tabela1[Country], 0),0))</f>
        <v>0</v>
      </c>
      <c r="BF187" s="6">
        <f>SUM(INDEX(Tabela1[[Ice Hockey - Men''s Tournament]:[Ice Hockey - Women''s Tournament]],MATCH(Table92[[#This Row],[Country]],Tabela1[Country], 0),0))</f>
        <v>0</v>
      </c>
      <c r="BG187" s="6">
        <f>SUM(INDEX(Tabela1[[Luge - Men''s Singles]:[Luge - Mixed Team Relay]],MATCH(Table92[[#This Row],[Country]],Tabela1[Country], 0),0))</f>
        <v>0</v>
      </c>
      <c r="BH187" s="6">
        <f>SUM(INDEX(Tabela1[[Nordic Combined - Men''s Individual]:[Nordic Combined - Men''s Team Sprint Large Hill]],MATCH(Table92[[#This Row],[Country]],Tabela1[Country], 0),0))</f>
        <v>0</v>
      </c>
      <c r="BI187" s="6">
        <f>SUM(INDEX(Tabela1[[Short track speed skating - Men''s 500m]:[Short track speed skating - Mixed 2000m Relay]],MATCH(Table92[[#This Row],[Country]],Tabela1[Country], 0),0))</f>
        <v>0</v>
      </c>
      <c r="BJ187" s="6">
        <f>SUM(INDEX(Tabela1[[Skeleton - Men''s Individual]:[Skeleton - Mixed Team]],MATCH(Table92[[#This Row],[Country]],Tabela1[Country], 0),0))</f>
        <v>0</v>
      </c>
      <c r="BK187" s="6">
        <f>SUM(INDEX(Tabela1[[Ski Jumping - Men''s Individual Large Hill]:[Ski Jumping - Mixed Team Normal Hill]],MATCH(Table92[[#This Row],[Country]],Tabela1[Country], 0),0))</f>
        <v>0</v>
      </c>
      <c r="BL187" s="6">
        <f>SUM(INDEX(Tabela1[[Ski Mountaineering - Men''s Sprint]:[Ski Mountaineering - Mixed Relay]],MATCH(Table92[[#This Row],[Country]],Tabela1[Country], 0),0))</f>
        <v>0</v>
      </c>
      <c r="BM187" s="6">
        <f>SUM(INDEX(Tabela1[[Snowboarding - Men''s Big Air]:[Snowboarding - Mixed Team Snowboard Cross]],MATCH(Table92[[#This Row],[Country]],Tabela1[Country], 0),0))</f>
        <v>0</v>
      </c>
      <c r="BN187" s="6">
        <f>SUM(INDEX(Tabela1[[Speed Skating - Men''s 500m]:[Speed Skating - Women''s Team Pursuit]],MATCH(Table92[[#This Row],[Country]],Tabela1[Country], 0),0))</f>
        <v>0</v>
      </c>
      <c r="BO187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87" s="6">
        <f>SUM(Table92[[#This Row],[Summer Sports]:[Winter Sports]])</f>
        <v>0</v>
      </c>
      <c r="BQ187" s="6">
        <f>COUNTIF(Table92[[#This Row],[Archery Quotas]:[Wrestling Quotas]],"&lt;&gt;0")</f>
        <v>0</v>
      </c>
      <c r="BR187" s="6">
        <f>COUNTIF(Table92[[#This Row],[Alpine Skiing Quotas]:[Speed Skating Quotas]],"&lt;&gt;0")</f>
        <v>0</v>
      </c>
      <c r="BS187" s="3" t="s">
        <v>639</v>
      </c>
    </row>
    <row r="188" spans="1:71" x14ac:dyDescent="0.3">
      <c r="A188" s="6" t="s">
        <v>644</v>
      </c>
      <c r="B188" t="e" vm="190">
        <f>IF(ISBLANK(Table92[[#This Row],[Flag Link]]), "", _xlfn.IMAGE(Table92[[#This Row],[Flag Link]],1,1))</f>
        <v>#VALUE!</v>
      </c>
      <c r="C188" s="6">
        <f>SUM(Table92[[#This Row],[Archery Quotas]:[Speed Skating Quotas]])</f>
        <v>0</v>
      </c>
      <c r="D188" s="6">
        <f>SUM(INDEX(Tabela1[[Archery - Men''s Individual Recurve]:[Archery - Mixed Team Recurve]],MATCH(Table92[[#This Row],[Country]],Tabela1[Country], 0),0))</f>
        <v>0</v>
      </c>
      <c r="E188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88" s="6">
        <f>SUM(INDEX(Tabela1[[Artistic Swimming - Women''s Duet]:[Artistic Swimming - Women''s Team]],MATCH(Table92[[#This Row],[Country]],Tabela1[Country], 0),0))</f>
        <v>0</v>
      </c>
      <c r="G188" s="6">
        <f>SUM(INDEX(Tabela1[[Athletics - Men''s 100m]:[Athletics - Women''s Heptathlon]],MATCH(Table92[[#This Row],[Country]],Tabela1[Country], 0),0))</f>
        <v>0</v>
      </c>
      <c r="H188" s="6">
        <f>SUM(INDEX(Tabela1[[Badminton - Men''s Singles]:[Badminton - Mixed Doubles]],MATCH(Table92[[#This Row],[Country]],Tabela1[Country], 0),0))</f>
        <v>0</v>
      </c>
      <c r="I188" s="6">
        <f>SUM(INDEX(Tabela1[[Basketball - Men''s Tournament]:[Basketball - Women''s Tournament]],MATCH(Table92[[#This Row],[Country]],Tabela1[Country], 0),0))</f>
        <v>0</v>
      </c>
      <c r="J188" s="6">
        <f>SUM(INDEX(Tabela1[[3x3 Basketball - Men''s Tournament]:[3x3 Basketball - Women''s Tournament]],MATCH(Table92[[#This Row],[Country]],Tabela1[Country], 0),0))</f>
        <v>0</v>
      </c>
      <c r="K188" s="6">
        <f>SUM(INDEX(Tabela1[[Beach Volleyball - Men''s Tournament]:[Beach Volleyball - Women''s Tournament]],MATCH(Table92[[#This Row],[Country]],Tabela1[Country], 0),0))</f>
        <v>0</v>
      </c>
      <c r="L188" s="6">
        <f>SUM(INDEX(Tabela1[[Boxing - Men''s 51kg]:[Boxing - Women''s 75kg]],MATCH(Table92[[#This Row],[Country]],Tabela1[Country], 0),0))</f>
        <v>0</v>
      </c>
      <c r="M188" s="6">
        <f>SUM(INDEX(Tabela1[[Breaking - Men''s Individual]:[Breaking - Women''s Individual]],MATCH(Table92[[#This Row],[Country]],Tabela1[Country], 0),0))</f>
        <v>0</v>
      </c>
      <c r="N188" s="6">
        <f>SUM(INDEX(Tabela1[[Canoeing - Men''s C1 Slalom]:[Canoeing - Women''s Kayak Cross Slalom]],MATCH(Table92[[#This Row],[Country]],Tabela1[Country], 0),0))</f>
        <v>0</v>
      </c>
      <c r="O188" s="6">
        <f>SUM(INDEX(Tabela1[[Canoeing - Women''s C1 200m]:[Canoeing - Women''s K4 500m]],MATCH(Table92[[#This Row],[Country]],Tabela1[Country], 0),0))</f>
        <v>0</v>
      </c>
      <c r="P188" s="6">
        <f>SUM(INDEX(Tabela1[[Cycling - Men''s BMX Freestyle]:[Cycling - Women''s BMX Freestyle]],MATCH(Table92[[#This Row],[Country]],Tabela1[Country], 0),0))</f>
        <v>0</v>
      </c>
      <c r="Q188" s="6">
        <f>SUM(INDEX(Tabela1[[Cycling - Men''s BMX Racing]:[Cycling - Women''s BMX Racing]],MATCH(Table92[[#This Row],[Country]],Tabela1[Country], 0),0))</f>
        <v>0</v>
      </c>
      <c r="R188" s="6">
        <f>SUM(INDEX(Tabela1[[Cycling - Men''s Cross-Country]:[Cycling - Women''s Cross-Country]],MATCH(Table92[[#This Row],[Country]],Tabela1[Country], 0),0))</f>
        <v>0</v>
      </c>
      <c r="S188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88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88" s="6">
        <f>SUM(INDEX(Tabela1[[Diving - Men''s Springboard]:[Diving - Women''s Synchronized Platform]],MATCH(Table92[[#This Row],[Country]],Tabela1[Country], 0),0))</f>
        <v>0</v>
      </c>
      <c r="V188" s="6">
        <f>SUM(INDEX(Tabela1[[Equestrian - Individual Dressage]:[Equestrian - Team Dressage]],MATCH(Table92[[#This Row],[Country]],Tabela1[Country], 0),0))</f>
        <v>0</v>
      </c>
      <c r="W188" s="6">
        <f>SUM(INDEX(Tabela1[[Equestrian - Individual Eventing]:[Equestrian - Team Eventing]],MATCH(Table92[[#This Row],[Country]],Tabela1[Country], 0),0))</f>
        <v>0</v>
      </c>
      <c r="X188" s="6">
        <f>SUM(INDEX(Tabela1[[Equestrian - Individual Jumping]:[Equestrian - Team Jumping]],MATCH(Table92[[#This Row],[Country]],Tabela1[Country], 0),0))</f>
        <v>0</v>
      </c>
      <c r="Y188" s="6">
        <f>SUM(INDEX(Tabela1[[Fencing - Men''s Épée]:[Fencing - Women''s Team Sabre]],MATCH(Table92[[#This Row],[Country]],Tabela1[Country], 0),0))</f>
        <v>0</v>
      </c>
      <c r="Z188" s="6">
        <f>SUM(INDEX(Tabela1[[Field Hockey - Men''s Tournament]:[Field Hockey - Women''s Tournament]],MATCH(Table92[[#This Row],[Country]],Tabela1[Country], 0),0))</f>
        <v>0</v>
      </c>
      <c r="AA188" s="6">
        <f>SUM(INDEX(Tabela1[[Football - Men''s Tournament]:[Football - Women''s Tournament]],MATCH(Table92[[#This Row],[Country]],Tabela1[Country], 0),0))</f>
        <v>0</v>
      </c>
      <c r="AB188" s="6">
        <f>SUM(INDEX(Tabela1[[Golf - Men''s Individual]:[Golf - Women''s Individual]],MATCH(Table92[[#This Row],[Country]],Tabela1[Country], 0),0))</f>
        <v>0</v>
      </c>
      <c r="AC188" s="6">
        <f>SUM(INDEX(Tabela1[[Handball - Men''s Tournament]:[Handball - Women''s Tournament]],MATCH(Table92[[#This Row],[Country]],Tabela1[Country], 0),0))</f>
        <v>0</v>
      </c>
      <c r="AD188" s="6">
        <f>SUM(INDEX(Tabela1[[Judo - Men''s 60kg]:[Judo - Mixed Team]],MATCH(Table92[[#This Row],[Country]],Tabela1[Country], 0),0))</f>
        <v>0</v>
      </c>
      <c r="AE188" s="6">
        <f>SUM(INDEX(Tabela1[[Swimming - Men''s 10km Open Water]:[Swimming - Women''s 10km Open Water]],MATCH(Table92[[#This Row],[Country]],Tabela1[Country], 0),0))</f>
        <v>0</v>
      </c>
      <c r="AF188" s="6">
        <f>SUM(INDEX(Tabela1[[Modern Pentathlon - Men''s Individual]:[Modern Pentathlon - Women''s Individual]],MATCH(Table92[[#This Row],[Country]],Tabela1[Country], 0),0))</f>
        <v>0</v>
      </c>
      <c r="AG188" s="6">
        <f>SUM(INDEX(Tabela1[[Rhythmic Gymnastics - Women''s Individual All-Around]:[Rhythmic Gymnastics - Women''s Group All-Around]],MATCH(Table92[[#This Row],[Country]],Tabela1[Country], 0),0))</f>
        <v>0</v>
      </c>
      <c r="AH188" s="6">
        <f>SUM(INDEX(Tabela1[[Rowing - Men''s Single Sculls]:[Rowing - Women''s Lwt. Double Sculls]],MATCH(Table92[[#This Row],[Country]],Tabela1[Country], 0),0))</f>
        <v>0</v>
      </c>
      <c r="AI188" s="6">
        <f>SUM(INDEX(Tabela1[[Rugby Sevens - Men''s Tournament]:[Rugby Sevens - Women''s Tournament]],MATCH(Table92[[#This Row],[Country]],Tabela1[Country], 0),0))</f>
        <v>0</v>
      </c>
      <c r="AJ188" s="6">
        <f>SUM(INDEX(Tabela1[[Sailing - Mixed 470]:[Sailing - Mixed Nacra 17]],MATCH(Table92[[#This Row],[Country]],Tabela1[Country], 0),0))</f>
        <v>0</v>
      </c>
      <c r="AK188" s="6">
        <f>SUM(INDEX(Tabela1[[Shooting - Men''s 10m Air Pistol]:[Shooting - Women''s Trap]],MATCH(Table92[[#This Row],[Country]],Tabela1[Country], 0),0))</f>
        <v>0</v>
      </c>
      <c r="AL188" s="6">
        <f>SUM(INDEX(Tabela1[[Skateboarding - Men''s Park]:[Skateboarding - Women''s Street]],MATCH(Table92[[#This Row],[Country]],Tabela1[Country], 0),0))</f>
        <v>0</v>
      </c>
      <c r="AM188" s="6">
        <f>SUM(INDEX(Tabela1[[Sport Climbing - Men''s Boulder and Lead]:[Sport Climbing - Women''s Speed]],MATCH(Table92[[#This Row],[Country]],Tabela1[Country], 0),0))</f>
        <v>0</v>
      </c>
      <c r="AN188" s="6">
        <f>SUM(INDEX(Tabela1[[Surfing - Men''s Shortboard]:[Surfing - Women''s Shortboard]],MATCH(Table92[[#This Row],[Country]],Tabela1[Country], 0),0))</f>
        <v>0</v>
      </c>
      <c r="AO188" s="6">
        <f>SUM(INDEX(Tabela1[[Swimming - Men''s 50m Freestyle]:[Swimming - Mixed 4x100m Medley Relay]],MATCH(Table92[[#This Row],[Country]],Tabela1[Country], 0),0))</f>
        <v>0</v>
      </c>
      <c r="AP188" s="6">
        <f>SUM(INDEX(Tabela1[[Table Tennis - Men''s Singles]:[Table Tennis - Mixed Doubles]],MATCH(Table92[[#This Row],[Country]],Tabela1[Country], 0),0))</f>
        <v>0</v>
      </c>
      <c r="AQ188" s="6">
        <f>SUM(INDEX(Tabela1[[Taekwondo - Men''s 58kg]:[Taekwondo - Women''s +67kg]],MATCH(Table92[[#This Row],[Country]],Tabela1[Country], 0),0))</f>
        <v>0</v>
      </c>
      <c r="AR188" s="6">
        <f>SUM(INDEX(Tabela1[[Tennis - Men''s Singles]:[Tennis - Mixed Doubles]],MATCH(Table92[[#This Row],[Country]],Tabela1[Country], 0),0))</f>
        <v>0</v>
      </c>
      <c r="AS188" s="6">
        <f>SUM(INDEX(Tabela1[[Gymnastics - Men''s Trampoline]:[Gymnastics - Women''s Trampoline]],MATCH(Table92[[#This Row],[Country]],Tabela1[Country], 0),0))</f>
        <v>0</v>
      </c>
      <c r="AT188" s="6">
        <f>SUM(INDEX(Tabela1[[Triathlon - Men''s Individual]:[Triathlon - Mixed Relay]],MATCH(Table92[[#This Row],[Country]],Tabela1[Country], 0),0))</f>
        <v>0</v>
      </c>
      <c r="AU188" s="6">
        <f>SUM(INDEX(Tabela1[[Volleyball - Men''s Tournament]:[Volleyball - Women''s Tournament]],MATCH(Table92[[#This Row],[Country]],Tabela1[Country], 0),0))</f>
        <v>0</v>
      </c>
      <c r="AV188" s="6">
        <f>SUM(INDEX(Tabela1[[Water Polo - Men''s Tournament]:[Water Polo - Women''s Tournament]],MATCH(Table92[[#This Row],[Country]],Tabela1[Country], 0),0))</f>
        <v>0</v>
      </c>
      <c r="AW188" s="6">
        <f>SUM(INDEX(Tabela1[[Weightlifting - Men''s 61kg]:[Weightlifting - Women''s +81kg]],MATCH(Table92[[#This Row],[Country]],Tabela1[Country], 0),0))</f>
        <v>0</v>
      </c>
      <c r="AX188" s="6">
        <f>SUM(INDEX(Tabela1[[Wrestling - Men''s Freestyle 57kg]:[Wrestling - Women''s Freestyle 76kg]],MATCH(Table92[[#This Row],[Country]],Tabela1[Country], 0),0))</f>
        <v>0</v>
      </c>
      <c r="AY188" s="6">
        <f>SUM(INDEX(Tabela1[[Alpine Skiing - Men''s Downhill]:[Alpine Skiing - Women''s Team Combined]],MATCH(Table92[[#This Row],[Country]],Tabela1[Country], 0),0))</f>
        <v>0</v>
      </c>
      <c r="AZ188" s="6">
        <f>SUM(INDEX(Tabela1[[Biathlon - Men''s Individual]:[Biathlon - Mixed Relay]],MATCH(Table92[[#This Row],[Country]],Tabela1[Country], 0),0))</f>
        <v>0</v>
      </c>
      <c r="BA188" s="6">
        <f>SUM(INDEX(Tabela1[[Bobsleigh - Women''s Monobob]:[Bobsleigh - Men''s Four]],MATCH(Table92[[#This Row],[Country]],Tabela1[Country], 0),0))</f>
        <v>0</v>
      </c>
      <c r="BB188" s="6">
        <f>SUM(INDEX(Tabela1[[Cross-country skiing - Men''s Classical]:[Cross-country skiing - Women''s Team Sprint]],MATCH(Table92[[#This Row],[Country]],Tabela1[Country], 0),0))</f>
        <v>0</v>
      </c>
      <c r="BC188" s="6">
        <f>SUM(INDEX(Tabela1[[Curling - Men''s Tournament]:[Curling - Mixed Doubles]],MATCH(Table92[[#This Row],[Country]],Tabela1[Country], 0),0))</f>
        <v>0</v>
      </c>
      <c r="BD188" s="6">
        <f>SUM(INDEX(Tabela1[[Figure Skating - Men''s Singles]:[Figure Skating - Team Event]],MATCH(Table92[[#This Row],[Country]],Tabela1[Country], 0),0))</f>
        <v>0</v>
      </c>
      <c r="BE188" s="6">
        <f>SUM(INDEX(Tabela1[[Freestyle Skiing - Men''s Aerials]:[Freestyle Skiing - Women''s Slopestyle]],MATCH(Table92[[#This Row],[Country]],Tabela1[Country], 0),0))</f>
        <v>0</v>
      </c>
      <c r="BF188" s="6">
        <f>SUM(INDEX(Tabela1[[Ice Hockey - Men''s Tournament]:[Ice Hockey - Women''s Tournament]],MATCH(Table92[[#This Row],[Country]],Tabela1[Country], 0),0))</f>
        <v>0</v>
      </c>
      <c r="BG188" s="6">
        <f>SUM(INDEX(Tabela1[[Luge - Men''s Singles]:[Luge - Mixed Team Relay]],MATCH(Table92[[#This Row],[Country]],Tabela1[Country], 0),0))</f>
        <v>0</v>
      </c>
      <c r="BH188" s="6">
        <f>SUM(INDEX(Tabela1[[Nordic Combined - Men''s Individual]:[Nordic Combined - Men''s Team Sprint Large Hill]],MATCH(Table92[[#This Row],[Country]],Tabela1[Country], 0),0))</f>
        <v>0</v>
      </c>
      <c r="BI188" s="6">
        <f>SUM(INDEX(Tabela1[[Short track speed skating - Men''s 500m]:[Short track speed skating - Mixed 2000m Relay]],MATCH(Table92[[#This Row],[Country]],Tabela1[Country], 0),0))</f>
        <v>0</v>
      </c>
      <c r="BJ188" s="6">
        <f>SUM(INDEX(Tabela1[[Skeleton - Men''s Individual]:[Skeleton - Mixed Team]],MATCH(Table92[[#This Row],[Country]],Tabela1[Country], 0),0))</f>
        <v>0</v>
      </c>
      <c r="BK188" s="6">
        <f>SUM(INDEX(Tabela1[[Ski Jumping - Men''s Individual Large Hill]:[Ski Jumping - Mixed Team Normal Hill]],MATCH(Table92[[#This Row],[Country]],Tabela1[Country], 0),0))</f>
        <v>0</v>
      </c>
      <c r="BL188" s="6">
        <f>SUM(INDEX(Tabela1[[Ski Mountaineering - Men''s Sprint]:[Ski Mountaineering - Mixed Relay]],MATCH(Table92[[#This Row],[Country]],Tabela1[Country], 0),0))</f>
        <v>0</v>
      </c>
      <c r="BM188" s="6">
        <f>SUM(INDEX(Tabela1[[Snowboarding - Men''s Big Air]:[Snowboarding - Mixed Team Snowboard Cross]],MATCH(Table92[[#This Row],[Country]],Tabela1[Country], 0),0))</f>
        <v>0</v>
      </c>
      <c r="BN188" s="6">
        <f>SUM(INDEX(Tabela1[[Speed Skating - Men''s 500m]:[Speed Skating - Women''s Team Pursuit]],MATCH(Table92[[#This Row],[Country]],Tabela1[Country], 0),0))</f>
        <v>0</v>
      </c>
      <c r="BO188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88" s="6">
        <f>SUM(Table92[[#This Row],[Summer Sports]:[Winter Sports]])</f>
        <v>0</v>
      </c>
      <c r="BQ188" s="6">
        <f>COUNTIF(Table92[[#This Row],[Archery Quotas]:[Wrestling Quotas]],"&lt;&gt;0")</f>
        <v>0</v>
      </c>
      <c r="BR188" s="6">
        <f>COUNTIF(Table92[[#This Row],[Alpine Skiing Quotas]:[Speed Skating Quotas]],"&lt;&gt;0")</f>
        <v>0</v>
      </c>
      <c r="BS188" s="3" t="s">
        <v>645</v>
      </c>
    </row>
    <row r="189" spans="1:71" x14ac:dyDescent="0.3">
      <c r="A189" s="6" t="s">
        <v>652</v>
      </c>
      <c r="B189" t="e" vm="191">
        <f>IF(ISBLANK(Table92[[#This Row],[Flag Link]]), "", _xlfn.IMAGE(Table92[[#This Row],[Flag Link]],1,1))</f>
        <v>#VALUE!</v>
      </c>
      <c r="C189" s="6">
        <f>SUM(Table92[[#This Row],[Archery Quotas]:[Speed Skating Quotas]])</f>
        <v>0</v>
      </c>
      <c r="D189" s="6">
        <f>SUM(INDEX(Tabela1[[Archery - Men''s Individual Recurve]:[Archery - Mixed Team Recurve]],MATCH(Table92[[#This Row],[Country]],Tabela1[Country], 0),0))</f>
        <v>0</v>
      </c>
      <c r="E189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89" s="6">
        <f>SUM(INDEX(Tabela1[[Artistic Swimming - Women''s Duet]:[Artistic Swimming - Women''s Team]],MATCH(Table92[[#This Row],[Country]],Tabela1[Country], 0),0))</f>
        <v>0</v>
      </c>
      <c r="G189" s="6">
        <f>SUM(INDEX(Tabela1[[Athletics - Men''s 100m]:[Athletics - Women''s Heptathlon]],MATCH(Table92[[#This Row],[Country]],Tabela1[Country], 0),0))</f>
        <v>0</v>
      </c>
      <c r="H189" s="6">
        <f>SUM(INDEX(Tabela1[[Badminton - Men''s Singles]:[Badminton - Mixed Doubles]],MATCH(Table92[[#This Row],[Country]],Tabela1[Country], 0),0))</f>
        <v>0</v>
      </c>
      <c r="I189" s="6">
        <f>SUM(INDEX(Tabela1[[Basketball - Men''s Tournament]:[Basketball - Women''s Tournament]],MATCH(Table92[[#This Row],[Country]],Tabela1[Country], 0),0))</f>
        <v>0</v>
      </c>
      <c r="J189" s="6">
        <f>SUM(INDEX(Tabela1[[3x3 Basketball - Men''s Tournament]:[3x3 Basketball - Women''s Tournament]],MATCH(Table92[[#This Row],[Country]],Tabela1[Country], 0),0))</f>
        <v>0</v>
      </c>
      <c r="K189" s="6">
        <f>SUM(INDEX(Tabela1[[Beach Volleyball - Men''s Tournament]:[Beach Volleyball - Women''s Tournament]],MATCH(Table92[[#This Row],[Country]],Tabela1[Country], 0),0))</f>
        <v>0</v>
      </c>
      <c r="L189" s="6">
        <f>SUM(INDEX(Tabela1[[Boxing - Men''s 51kg]:[Boxing - Women''s 75kg]],MATCH(Table92[[#This Row],[Country]],Tabela1[Country], 0),0))</f>
        <v>0</v>
      </c>
      <c r="M189" s="6">
        <f>SUM(INDEX(Tabela1[[Breaking - Men''s Individual]:[Breaking - Women''s Individual]],MATCH(Table92[[#This Row],[Country]],Tabela1[Country], 0),0))</f>
        <v>0</v>
      </c>
      <c r="N189" s="6">
        <f>SUM(INDEX(Tabela1[[Canoeing - Men''s C1 Slalom]:[Canoeing - Women''s Kayak Cross Slalom]],MATCH(Table92[[#This Row],[Country]],Tabela1[Country], 0),0))</f>
        <v>0</v>
      </c>
      <c r="O189" s="6">
        <f>SUM(INDEX(Tabela1[[Canoeing - Women''s C1 200m]:[Canoeing - Women''s K4 500m]],MATCH(Table92[[#This Row],[Country]],Tabela1[Country], 0),0))</f>
        <v>0</v>
      </c>
      <c r="P189" s="6">
        <f>SUM(INDEX(Tabela1[[Cycling - Men''s BMX Freestyle]:[Cycling - Women''s BMX Freestyle]],MATCH(Table92[[#This Row],[Country]],Tabela1[Country], 0),0))</f>
        <v>0</v>
      </c>
      <c r="Q189" s="6">
        <f>SUM(INDEX(Tabela1[[Cycling - Men''s BMX Racing]:[Cycling - Women''s BMX Racing]],MATCH(Table92[[#This Row],[Country]],Tabela1[Country], 0),0))</f>
        <v>0</v>
      </c>
      <c r="R189" s="6">
        <f>SUM(INDEX(Tabela1[[Cycling - Men''s Cross-Country]:[Cycling - Women''s Cross-Country]],MATCH(Table92[[#This Row],[Country]],Tabela1[Country], 0),0))</f>
        <v>0</v>
      </c>
      <c r="S189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89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89" s="6">
        <f>SUM(INDEX(Tabela1[[Diving - Men''s Springboard]:[Diving - Women''s Synchronized Platform]],MATCH(Table92[[#This Row],[Country]],Tabela1[Country], 0),0))</f>
        <v>0</v>
      </c>
      <c r="V189" s="6">
        <f>SUM(INDEX(Tabela1[[Equestrian - Individual Dressage]:[Equestrian - Team Dressage]],MATCH(Table92[[#This Row],[Country]],Tabela1[Country], 0),0))</f>
        <v>0</v>
      </c>
      <c r="W189" s="6">
        <f>SUM(INDEX(Tabela1[[Equestrian - Individual Eventing]:[Equestrian - Team Eventing]],MATCH(Table92[[#This Row],[Country]],Tabela1[Country], 0),0))</f>
        <v>0</v>
      </c>
      <c r="X189" s="6">
        <f>SUM(INDEX(Tabela1[[Equestrian - Individual Jumping]:[Equestrian - Team Jumping]],MATCH(Table92[[#This Row],[Country]],Tabela1[Country], 0),0))</f>
        <v>0</v>
      </c>
      <c r="Y189" s="6">
        <f>SUM(INDEX(Tabela1[[Fencing - Men''s Épée]:[Fencing - Women''s Team Sabre]],MATCH(Table92[[#This Row],[Country]],Tabela1[Country], 0),0))</f>
        <v>0</v>
      </c>
      <c r="Z189" s="6">
        <f>SUM(INDEX(Tabela1[[Field Hockey - Men''s Tournament]:[Field Hockey - Women''s Tournament]],MATCH(Table92[[#This Row],[Country]],Tabela1[Country], 0),0))</f>
        <v>0</v>
      </c>
      <c r="AA189" s="6">
        <f>SUM(INDEX(Tabela1[[Football - Men''s Tournament]:[Football - Women''s Tournament]],MATCH(Table92[[#This Row],[Country]],Tabela1[Country], 0),0))</f>
        <v>0</v>
      </c>
      <c r="AB189" s="6">
        <f>SUM(INDEX(Tabela1[[Golf - Men''s Individual]:[Golf - Women''s Individual]],MATCH(Table92[[#This Row],[Country]],Tabela1[Country], 0),0))</f>
        <v>0</v>
      </c>
      <c r="AC189" s="6">
        <f>SUM(INDEX(Tabela1[[Handball - Men''s Tournament]:[Handball - Women''s Tournament]],MATCH(Table92[[#This Row],[Country]],Tabela1[Country], 0),0))</f>
        <v>0</v>
      </c>
      <c r="AD189" s="6">
        <f>SUM(INDEX(Tabela1[[Judo - Men''s 60kg]:[Judo - Mixed Team]],MATCH(Table92[[#This Row],[Country]],Tabela1[Country], 0),0))</f>
        <v>0</v>
      </c>
      <c r="AE189" s="6">
        <f>SUM(INDEX(Tabela1[[Swimming - Men''s 10km Open Water]:[Swimming - Women''s 10km Open Water]],MATCH(Table92[[#This Row],[Country]],Tabela1[Country], 0),0))</f>
        <v>0</v>
      </c>
      <c r="AF189" s="6">
        <f>SUM(INDEX(Tabela1[[Modern Pentathlon - Men''s Individual]:[Modern Pentathlon - Women''s Individual]],MATCH(Table92[[#This Row],[Country]],Tabela1[Country], 0),0))</f>
        <v>0</v>
      </c>
      <c r="AG189" s="6">
        <f>SUM(INDEX(Tabela1[[Rhythmic Gymnastics - Women''s Individual All-Around]:[Rhythmic Gymnastics - Women''s Group All-Around]],MATCH(Table92[[#This Row],[Country]],Tabela1[Country], 0),0))</f>
        <v>0</v>
      </c>
      <c r="AH189" s="6">
        <f>SUM(INDEX(Tabela1[[Rowing - Men''s Single Sculls]:[Rowing - Women''s Lwt. Double Sculls]],MATCH(Table92[[#This Row],[Country]],Tabela1[Country], 0),0))</f>
        <v>0</v>
      </c>
      <c r="AI189" s="6">
        <f>SUM(INDEX(Tabela1[[Rugby Sevens - Men''s Tournament]:[Rugby Sevens - Women''s Tournament]],MATCH(Table92[[#This Row],[Country]],Tabela1[Country], 0),0))</f>
        <v>0</v>
      </c>
      <c r="AJ189" s="6">
        <f>SUM(INDEX(Tabela1[[Sailing - Mixed 470]:[Sailing - Mixed Nacra 17]],MATCH(Table92[[#This Row],[Country]],Tabela1[Country], 0),0))</f>
        <v>0</v>
      </c>
      <c r="AK189" s="6">
        <f>SUM(INDEX(Tabela1[[Shooting - Men''s 10m Air Pistol]:[Shooting - Women''s Trap]],MATCH(Table92[[#This Row],[Country]],Tabela1[Country], 0),0))</f>
        <v>0</v>
      </c>
      <c r="AL189" s="6">
        <f>SUM(INDEX(Tabela1[[Skateboarding - Men''s Park]:[Skateboarding - Women''s Street]],MATCH(Table92[[#This Row],[Country]],Tabela1[Country], 0),0))</f>
        <v>0</v>
      </c>
      <c r="AM189" s="6">
        <f>SUM(INDEX(Tabela1[[Sport Climbing - Men''s Boulder and Lead]:[Sport Climbing - Women''s Speed]],MATCH(Table92[[#This Row],[Country]],Tabela1[Country], 0),0))</f>
        <v>0</v>
      </c>
      <c r="AN189" s="6">
        <f>SUM(INDEX(Tabela1[[Surfing - Men''s Shortboard]:[Surfing - Women''s Shortboard]],MATCH(Table92[[#This Row],[Country]],Tabela1[Country], 0),0))</f>
        <v>0</v>
      </c>
      <c r="AO189" s="6">
        <f>SUM(INDEX(Tabela1[[Swimming - Men''s 50m Freestyle]:[Swimming - Mixed 4x100m Medley Relay]],MATCH(Table92[[#This Row],[Country]],Tabela1[Country], 0),0))</f>
        <v>0</v>
      </c>
      <c r="AP189" s="6">
        <f>SUM(INDEX(Tabela1[[Table Tennis - Men''s Singles]:[Table Tennis - Mixed Doubles]],MATCH(Table92[[#This Row],[Country]],Tabela1[Country], 0),0))</f>
        <v>0</v>
      </c>
      <c r="AQ189" s="6">
        <f>SUM(INDEX(Tabela1[[Taekwondo - Men''s 58kg]:[Taekwondo - Women''s +67kg]],MATCH(Table92[[#This Row],[Country]],Tabela1[Country], 0),0))</f>
        <v>0</v>
      </c>
      <c r="AR189" s="6">
        <f>SUM(INDEX(Tabela1[[Tennis - Men''s Singles]:[Tennis - Mixed Doubles]],MATCH(Table92[[#This Row],[Country]],Tabela1[Country], 0),0))</f>
        <v>0</v>
      </c>
      <c r="AS189" s="6">
        <f>SUM(INDEX(Tabela1[[Gymnastics - Men''s Trampoline]:[Gymnastics - Women''s Trampoline]],MATCH(Table92[[#This Row],[Country]],Tabela1[Country], 0),0))</f>
        <v>0</v>
      </c>
      <c r="AT189" s="6">
        <f>SUM(INDEX(Tabela1[[Triathlon - Men''s Individual]:[Triathlon - Mixed Relay]],MATCH(Table92[[#This Row],[Country]],Tabela1[Country], 0),0))</f>
        <v>0</v>
      </c>
      <c r="AU189" s="6">
        <f>SUM(INDEX(Tabela1[[Volleyball - Men''s Tournament]:[Volleyball - Women''s Tournament]],MATCH(Table92[[#This Row],[Country]],Tabela1[Country], 0),0))</f>
        <v>0</v>
      </c>
      <c r="AV189" s="6">
        <f>SUM(INDEX(Tabela1[[Water Polo - Men''s Tournament]:[Water Polo - Women''s Tournament]],MATCH(Table92[[#This Row],[Country]],Tabela1[Country], 0),0))</f>
        <v>0</v>
      </c>
      <c r="AW189" s="6">
        <f>SUM(INDEX(Tabela1[[Weightlifting - Men''s 61kg]:[Weightlifting - Women''s +81kg]],MATCH(Table92[[#This Row],[Country]],Tabela1[Country], 0),0))</f>
        <v>0</v>
      </c>
      <c r="AX189" s="6">
        <f>SUM(INDEX(Tabela1[[Wrestling - Men''s Freestyle 57kg]:[Wrestling - Women''s Freestyle 76kg]],MATCH(Table92[[#This Row],[Country]],Tabela1[Country], 0),0))</f>
        <v>0</v>
      </c>
      <c r="AY189" s="6">
        <f>SUM(INDEX(Tabela1[[Alpine Skiing - Men''s Downhill]:[Alpine Skiing - Women''s Team Combined]],MATCH(Table92[[#This Row],[Country]],Tabela1[Country], 0),0))</f>
        <v>0</v>
      </c>
      <c r="AZ189" s="6">
        <f>SUM(INDEX(Tabela1[[Biathlon - Men''s Individual]:[Biathlon - Mixed Relay]],MATCH(Table92[[#This Row],[Country]],Tabela1[Country], 0),0))</f>
        <v>0</v>
      </c>
      <c r="BA189" s="6">
        <f>SUM(INDEX(Tabela1[[Bobsleigh - Women''s Monobob]:[Bobsleigh - Men''s Four]],MATCH(Table92[[#This Row],[Country]],Tabela1[Country], 0),0))</f>
        <v>0</v>
      </c>
      <c r="BB189" s="6">
        <f>SUM(INDEX(Tabela1[[Cross-country skiing - Men''s Classical]:[Cross-country skiing - Women''s Team Sprint]],MATCH(Table92[[#This Row],[Country]],Tabela1[Country], 0),0))</f>
        <v>0</v>
      </c>
      <c r="BC189" s="6">
        <f>SUM(INDEX(Tabela1[[Curling - Men''s Tournament]:[Curling - Mixed Doubles]],MATCH(Table92[[#This Row],[Country]],Tabela1[Country], 0),0))</f>
        <v>0</v>
      </c>
      <c r="BD189" s="6">
        <f>SUM(INDEX(Tabela1[[Figure Skating - Men''s Singles]:[Figure Skating - Team Event]],MATCH(Table92[[#This Row],[Country]],Tabela1[Country], 0),0))</f>
        <v>0</v>
      </c>
      <c r="BE189" s="6">
        <f>SUM(INDEX(Tabela1[[Freestyle Skiing - Men''s Aerials]:[Freestyle Skiing - Women''s Slopestyle]],MATCH(Table92[[#This Row],[Country]],Tabela1[Country], 0),0))</f>
        <v>0</v>
      </c>
      <c r="BF189" s="6">
        <f>SUM(INDEX(Tabela1[[Ice Hockey - Men''s Tournament]:[Ice Hockey - Women''s Tournament]],MATCH(Table92[[#This Row],[Country]],Tabela1[Country], 0),0))</f>
        <v>0</v>
      </c>
      <c r="BG189" s="6">
        <f>SUM(INDEX(Tabela1[[Luge - Men''s Singles]:[Luge - Mixed Team Relay]],MATCH(Table92[[#This Row],[Country]],Tabela1[Country], 0),0))</f>
        <v>0</v>
      </c>
      <c r="BH189" s="6">
        <f>SUM(INDEX(Tabela1[[Nordic Combined - Men''s Individual]:[Nordic Combined - Men''s Team Sprint Large Hill]],MATCH(Table92[[#This Row],[Country]],Tabela1[Country], 0),0))</f>
        <v>0</v>
      </c>
      <c r="BI189" s="6">
        <f>SUM(INDEX(Tabela1[[Short track speed skating - Men''s 500m]:[Short track speed skating - Mixed 2000m Relay]],MATCH(Table92[[#This Row],[Country]],Tabela1[Country], 0),0))</f>
        <v>0</v>
      </c>
      <c r="BJ189" s="6">
        <f>SUM(INDEX(Tabela1[[Skeleton - Men''s Individual]:[Skeleton - Mixed Team]],MATCH(Table92[[#This Row],[Country]],Tabela1[Country], 0),0))</f>
        <v>0</v>
      </c>
      <c r="BK189" s="6">
        <f>SUM(INDEX(Tabela1[[Ski Jumping - Men''s Individual Large Hill]:[Ski Jumping - Mixed Team Normal Hill]],MATCH(Table92[[#This Row],[Country]],Tabela1[Country], 0),0))</f>
        <v>0</v>
      </c>
      <c r="BL189" s="6">
        <f>SUM(INDEX(Tabela1[[Ski Mountaineering - Men''s Sprint]:[Ski Mountaineering - Mixed Relay]],MATCH(Table92[[#This Row],[Country]],Tabela1[Country], 0),0))</f>
        <v>0</v>
      </c>
      <c r="BM189" s="6">
        <f>SUM(INDEX(Tabela1[[Snowboarding - Men''s Big Air]:[Snowboarding - Mixed Team Snowboard Cross]],MATCH(Table92[[#This Row],[Country]],Tabela1[Country], 0),0))</f>
        <v>0</v>
      </c>
      <c r="BN189" s="6">
        <f>SUM(INDEX(Tabela1[[Speed Skating - Men''s 500m]:[Speed Skating - Women''s Team Pursuit]],MATCH(Table92[[#This Row],[Country]],Tabela1[Country], 0),0))</f>
        <v>0</v>
      </c>
      <c r="BO189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89" s="6">
        <f>SUM(Table92[[#This Row],[Summer Sports]:[Winter Sports]])</f>
        <v>0</v>
      </c>
      <c r="BQ189" s="6">
        <f>COUNTIF(Table92[[#This Row],[Archery Quotas]:[Wrestling Quotas]],"&lt;&gt;0")</f>
        <v>0</v>
      </c>
      <c r="BR189" s="6">
        <f>COUNTIF(Table92[[#This Row],[Alpine Skiing Quotas]:[Speed Skating Quotas]],"&lt;&gt;0")</f>
        <v>0</v>
      </c>
      <c r="BS189" s="4" t="s">
        <v>653</v>
      </c>
    </row>
    <row r="190" spans="1:71" x14ac:dyDescent="0.3">
      <c r="A190" s="6" t="s">
        <v>654</v>
      </c>
      <c r="B190" t="e" vm="192">
        <f>IF(ISBLANK(Table92[[#This Row],[Flag Link]]), "", _xlfn.IMAGE(Table92[[#This Row],[Flag Link]],1,1))</f>
        <v>#VALUE!</v>
      </c>
      <c r="C190" s="6">
        <f>SUM(Table92[[#This Row],[Archery Quotas]:[Speed Skating Quotas]])</f>
        <v>0</v>
      </c>
      <c r="D190" s="6">
        <f>SUM(INDEX(Tabela1[[Archery - Men''s Individual Recurve]:[Archery - Mixed Team Recurve]],MATCH(Table92[[#This Row],[Country]],Tabela1[Country], 0),0))</f>
        <v>0</v>
      </c>
      <c r="E190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90" s="6">
        <f>SUM(INDEX(Tabela1[[Artistic Swimming - Women''s Duet]:[Artistic Swimming - Women''s Team]],MATCH(Table92[[#This Row],[Country]],Tabela1[Country], 0),0))</f>
        <v>0</v>
      </c>
      <c r="G190" s="6">
        <f>SUM(INDEX(Tabela1[[Athletics - Men''s 100m]:[Athletics - Women''s Heptathlon]],MATCH(Table92[[#This Row],[Country]],Tabela1[Country], 0),0))</f>
        <v>0</v>
      </c>
      <c r="H190" s="6">
        <f>SUM(INDEX(Tabela1[[Badminton - Men''s Singles]:[Badminton - Mixed Doubles]],MATCH(Table92[[#This Row],[Country]],Tabela1[Country], 0),0))</f>
        <v>0</v>
      </c>
      <c r="I190" s="6">
        <f>SUM(INDEX(Tabela1[[Basketball - Men''s Tournament]:[Basketball - Women''s Tournament]],MATCH(Table92[[#This Row],[Country]],Tabela1[Country], 0),0))</f>
        <v>0</v>
      </c>
      <c r="J190" s="6">
        <f>SUM(INDEX(Tabela1[[3x3 Basketball - Men''s Tournament]:[3x3 Basketball - Women''s Tournament]],MATCH(Table92[[#This Row],[Country]],Tabela1[Country], 0),0))</f>
        <v>0</v>
      </c>
      <c r="K190" s="6">
        <f>SUM(INDEX(Tabela1[[Beach Volleyball - Men''s Tournament]:[Beach Volleyball - Women''s Tournament]],MATCH(Table92[[#This Row],[Country]],Tabela1[Country], 0),0))</f>
        <v>0</v>
      </c>
      <c r="L190" s="6">
        <f>SUM(INDEX(Tabela1[[Boxing - Men''s 51kg]:[Boxing - Women''s 75kg]],MATCH(Table92[[#This Row],[Country]],Tabela1[Country], 0),0))</f>
        <v>0</v>
      </c>
      <c r="M190" s="6">
        <f>SUM(INDEX(Tabela1[[Breaking - Men''s Individual]:[Breaking - Women''s Individual]],MATCH(Table92[[#This Row],[Country]],Tabela1[Country], 0),0))</f>
        <v>0</v>
      </c>
      <c r="N190" s="6">
        <f>SUM(INDEX(Tabela1[[Canoeing - Men''s C1 Slalom]:[Canoeing - Women''s Kayak Cross Slalom]],MATCH(Table92[[#This Row],[Country]],Tabela1[Country], 0),0))</f>
        <v>0</v>
      </c>
      <c r="O190" s="6">
        <f>SUM(INDEX(Tabela1[[Canoeing - Women''s C1 200m]:[Canoeing - Women''s K4 500m]],MATCH(Table92[[#This Row],[Country]],Tabela1[Country], 0),0))</f>
        <v>0</v>
      </c>
      <c r="P190" s="6">
        <f>SUM(INDEX(Tabela1[[Cycling - Men''s BMX Freestyle]:[Cycling - Women''s BMX Freestyle]],MATCH(Table92[[#This Row],[Country]],Tabela1[Country], 0),0))</f>
        <v>0</v>
      </c>
      <c r="Q190" s="6">
        <f>SUM(INDEX(Tabela1[[Cycling - Men''s BMX Racing]:[Cycling - Women''s BMX Racing]],MATCH(Table92[[#This Row],[Country]],Tabela1[Country], 0),0))</f>
        <v>0</v>
      </c>
      <c r="R190" s="6">
        <f>SUM(INDEX(Tabela1[[Cycling - Men''s Cross-Country]:[Cycling - Women''s Cross-Country]],MATCH(Table92[[#This Row],[Country]],Tabela1[Country], 0),0))</f>
        <v>0</v>
      </c>
      <c r="S190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90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90" s="6">
        <f>SUM(INDEX(Tabela1[[Diving - Men''s Springboard]:[Diving - Women''s Synchronized Platform]],MATCH(Table92[[#This Row],[Country]],Tabela1[Country], 0),0))</f>
        <v>0</v>
      </c>
      <c r="V190" s="6">
        <f>SUM(INDEX(Tabela1[[Equestrian - Individual Dressage]:[Equestrian - Team Dressage]],MATCH(Table92[[#This Row],[Country]],Tabela1[Country], 0),0))</f>
        <v>0</v>
      </c>
      <c r="W190" s="6">
        <f>SUM(INDEX(Tabela1[[Equestrian - Individual Eventing]:[Equestrian - Team Eventing]],MATCH(Table92[[#This Row],[Country]],Tabela1[Country], 0),0))</f>
        <v>0</v>
      </c>
      <c r="X190" s="6">
        <f>SUM(INDEX(Tabela1[[Equestrian - Individual Jumping]:[Equestrian - Team Jumping]],MATCH(Table92[[#This Row],[Country]],Tabela1[Country], 0),0))</f>
        <v>0</v>
      </c>
      <c r="Y190" s="6">
        <f>SUM(INDEX(Tabela1[[Fencing - Men''s Épée]:[Fencing - Women''s Team Sabre]],MATCH(Table92[[#This Row],[Country]],Tabela1[Country], 0),0))</f>
        <v>0</v>
      </c>
      <c r="Z190" s="6">
        <f>SUM(INDEX(Tabela1[[Field Hockey - Men''s Tournament]:[Field Hockey - Women''s Tournament]],MATCH(Table92[[#This Row],[Country]],Tabela1[Country], 0),0))</f>
        <v>0</v>
      </c>
      <c r="AA190" s="6">
        <f>SUM(INDEX(Tabela1[[Football - Men''s Tournament]:[Football - Women''s Tournament]],MATCH(Table92[[#This Row],[Country]],Tabela1[Country], 0),0))</f>
        <v>0</v>
      </c>
      <c r="AB190" s="6">
        <f>SUM(INDEX(Tabela1[[Golf - Men''s Individual]:[Golf - Women''s Individual]],MATCH(Table92[[#This Row],[Country]],Tabela1[Country], 0),0))</f>
        <v>0</v>
      </c>
      <c r="AC190" s="6">
        <f>SUM(INDEX(Tabela1[[Handball - Men''s Tournament]:[Handball - Women''s Tournament]],MATCH(Table92[[#This Row],[Country]],Tabela1[Country], 0),0))</f>
        <v>0</v>
      </c>
      <c r="AD190" s="6">
        <f>SUM(INDEX(Tabela1[[Judo - Men''s 60kg]:[Judo - Mixed Team]],MATCH(Table92[[#This Row],[Country]],Tabela1[Country], 0),0))</f>
        <v>0</v>
      </c>
      <c r="AE190" s="6">
        <f>SUM(INDEX(Tabela1[[Swimming - Men''s 10km Open Water]:[Swimming - Women''s 10km Open Water]],MATCH(Table92[[#This Row],[Country]],Tabela1[Country], 0),0))</f>
        <v>0</v>
      </c>
      <c r="AF190" s="6">
        <f>SUM(INDEX(Tabela1[[Modern Pentathlon - Men''s Individual]:[Modern Pentathlon - Women''s Individual]],MATCH(Table92[[#This Row],[Country]],Tabela1[Country], 0),0))</f>
        <v>0</v>
      </c>
      <c r="AG190" s="6">
        <f>SUM(INDEX(Tabela1[[Rhythmic Gymnastics - Women''s Individual All-Around]:[Rhythmic Gymnastics - Women''s Group All-Around]],MATCH(Table92[[#This Row],[Country]],Tabela1[Country], 0),0))</f>
        <v>0</v>
      </c>
      <c r="AH190" s="6">
        <f>SUM(INDEX(Tabela1[[Rowing - Men''s Single Sculls]:[Rowing - Women''s Lwt. Double Sculls]],MATCH(Table92[[#This Row],[Country]],Tabela1[Country], 0),0))</f>
        <v>0</v>
      </c>
      <c r="AI190" s="6">
        <f>SUM(INDEX(Tabela1[[Rugby Sevens - Men''s Tournament]:[Rugby Sevens - Women''s Tournament]],MATCH(Table92[[#This Row],[Country]],Tabela1[Country], 0),0))</f>
        <v>0</v>
      </c>
      <c r="AJ190" s="6">
        <f>SUM(INDEX(Tabela1[[Sailing - Mixed 470]:[Sailing - Mixed Nacra 17]],MATCH(Table92[[#This Row],[Country]],Tabela1[Country], 0),0))</f>
        <v>0</v>
      </c>
      <c r="AK190" s="6">
        <f>SUM(INDEX(Tabela1[[Shooting - Men''s 10m Air Pistol]:[Shooting - Women''s Trap]],MATCH(Table92[[#This Row],[Country]],Tabela1[Country], 0),0))</f>
        <v>0</v>
      </c>
      <c r="AL190" s="6">
        <f>SUM(INDEX(Tabela1[[Skateboarding - Men''s Park]:[Skateboarding - Women''s Street]],MATCH(Table92[[#This Row],[Country]],Tabela1[Country], 0),0))</f>
        <v>0</v>
      </c>
      <c r="AM190" s="6">
        <f>SUM(INDEX(Tabela1[[Sport Climbing - Men''s Boulder and Lead]:[Sport Climbing - Women''s Speed]],MATCH(Table92[[#This Row],[Country]],Tabela1[Country], 0),0))</f>
        <v>0</v>
      </c>
      <c r="AN190" s="6">
        <f>SUM(INDEX(Tabela1[[Surfing - Men''s Shortboard]:[Surfing - Women''s Shortboard]],MATCH(Table92[[#This Row],[Country]],Tabela1[Country], 0),0))</f>
        <v>0</v>
      </c>
      <c r="AO190" s="6">
        <f>SUM(INDEX(Tabela1[[Swimming - Men''s 50m Freestyle]:[Swimming - Mixed 4x100m Medley Relay]],MATCH(Table92[[#This Row],[Country]],Tabela1[Country], 0),0))</f>
        <v>0</v>
      </c>
      <c r="AP190" s="6">
        <f>SUM(INDEX(Tabela1[[Table Tennis - Men''s Singles]:[Table Tennis - Mixed Doubles]],MATCH(Table92[[#This Row],[Country]],Tabela1[Country], 0),0))</f>
        <v>0</v>
      </c>
      <c r="AQ190" s="6">
        <f>SUM(INDEX(Tabela1[[Taekwondo - Men''s 58kg]:[Taekwondo - Women''s +67kg]],MATCH(Table92[[#This Row],[Country]],Tabela1[Country], 0),0))</f>
        <v>0</v>
      </c>
      <c r="AR190" s="6">
        <f>SUM(INDEX(Tabela1[[Tennis - Men''s Singles]:[Tennis - Mixed Doubles]],MATCH(Table92[[#This Row],[Country]],Tabela1[Country], 0),0))</f>
        <v>0</v>
      </c>
      <c r="AS190" s="6">
        <f>SUM(INDEX(Tabela1[[Gymnastics - Men''s Trampoline]:[Gymnastics - Women''s Trampoline]],MATCH(Table92[[#This Row],[Country]],Tabela1[Country], 0),0))</f>
        <v>0</v>
      </c>
      <c r="AT190" s="6">
        <f>SUM(INDEX(Tabela1[[Triathlon - Men''s Individual]:[Triathlon - Mixed Relay]],MATCH(Table92[[#This Row],[Country]],Tabela1[Country], 0),0))</f>
        <v>0</v>
      </c>
      <c r="AU190" s="6">
        <f>SUM(INDEX(Tabela1[[Volleyball - Men''s Tournament]:[Volleyball - Women''s Tournament]],MATCH(Table92[[#This Row],[Country]],Tabela1[Country], 0),0))</f>
        <v>0</v>
      </c>
      <c r="AV190" s="6">
        <f>SUM(INDEX(Tabela1[[Water Polo - Men''s Tournament]:[Water Polo - Women''s Tournament]],MATCH(Table92[[#This Row],[Country]],Tabela1[Country], 0),0))</f>
        <v>0</v>
      </c>
      <c r="AW190" s="6">
        <f>SUM(INDEX(Tabela1[[Weightlifting - Men''s 61kg]:[Weightlifting - Women''s +81kg]],MATCH(Table92[[#This Row],[Country]],Tabela1[Country], 0),0))</f>
        <v>0</v>
      </c>
      <c r="AX190" s="6">
        <f>SUM(INDEX(Tabela1[[Wrestling - Men''s Freestyle 57kg]:[Wrestling - Women''s Freestyle 76kg]],MATCH(Table92[[#This Row],[Country]],Tabela1[Country], 0),0))</f>
        <v>0</v>
      </c>
      <c r="AY190" s="6">
        <f>SUM(INDEX(Tabela1[[Alpine Skiing - Men''s Downhill]:[Alpine Skiing - Women''s Team Combined]],MATCH(Table92[[#This Row],[Country]],Tabela1[Country], 0),0))</f>
        <v>0</v>
      </c>
      <c r="AZ190" s="6">
        <f>SUM(INDEX(Tabela1[[Biathlon - Men''s Individual]:[Biathlon - Mixed Relay]],MATCH(Table92[[#This Row],[Country]],Tabela1[Country], 0),0))</f>
        <v>0</v>
      </c>
      <c r="BA190" s="6">
        <f>SUM(INDEX(Tabela1[[Bobsleigh - Women''s Monobob]:[Bobsleigh - Men''s Four]],MATCH(Table92[[#This Row],[Country]],Tabela1[Country], 0),0))</f>
        <v>0</v>
      </c>
      <c r="BB190" s="6">
        <f>SUM(INDEX(Tabela1[[Cross-country skiing - Men''s Classical]:[Cross-country skiing - Women''s Team Sprint]],MATCH(Table92[[#This Row],[Country]],Tabela1[Country], 0),0))</f>
        <v>0</v>
      </c>
      <c r="BC190" s="6">
        <f>SUM(INDEX(Tabela1[[Curling - Men''s Tournament]:[Curling - Mixed Doubles]],MATCH(Table92[[#This Row],[Country]],Tabela1[Country], 0),0))</f>
        <v>0</v>
      </c>
      <c r="BD190" s="6">
        <f>SUM(INDEX(Tabela1[[Figure Skating - Men''s Singles]:[Figure Skating - Team Event]],MATCH(Table92[[#This Row],[Country]],Tabela1[Country], 0),0))</f>
        <v>0</v>
      </c>
      <c r="BE190" s="6">
        <f>SUM(INDEX(Tabela1[[Freestyle Skiing - Men''s Aerials]:[Freestyle Skiing - Women''s Slopestyle]],MATCH(Table92[[#This Row],[Country]],Tabela1[Country], 0),0))</f>
        <v>0</v>
      </c>
      <c r="BF190" s="6">
        <f>SUM(INDEX(Tabela1[[Ice Hockey - Men''s Tournament]:[Ice Hockey - Women''s Tournament]],MATCH(Table92[[#This Row],[Country]],Tabela1[Country], 0),0))</f>
        <v>0</v>
      </c>
      <c r="BG190" s="6">
        <f>SUM(INDEX(Tabela1[[Luge - Men''s Singles]:[Luge - Mixed Team Relay]],MATCH(Table92[[#This Row],[Country]],Tabela1[Country], 0),0))</f>
        <v>0</v>
      </c>
      <c r="BH190" s="6">
        <f>SUM(INDEX(Tabela1[[Nordic Combined - Men''s Individual]:[Nordic Combined - Men''s Team Sprint Large Hill]],MATCH(Table92[[#This Row],[Country]],Tabela1[Country], 0),0))</f>
        <v>0</v>
      </c>
      <c r="BI190" s="6">
        <f>SUM(INDEX(Tabela1[[Short track speed skating - Men''s 500m]:[Short track speed skating - Mixed 2000m Relay]],MATCH(Table92[[#This Row],[Country]],Tabela1[Country], 0),0))</f>
        <v>0</v>
      </c>
      <c r="BJ190" s="6">
        <f>SUM(INDEX(Tabela1[[Skeleton - Men''s Individual]:[Skeleton - Mixed Team]],MATCH(Table92[[#This Row],[Country]],Tabela1[Country], 0),0))</f>
        <v>0</v>
      </c>
      <c r="BK190" s="6">
        <f>SUM(INDEX(Tabela1[[Ski Jumping - Men''s Individual Large Hill]:[Ski Jumping - Mixed Team Normal Hill]],MATCH(Table92[[#This Row],[Country]],Tabela1[Country], 0),0))</f>
        <v>0</v>
      </c>
      <c r="BL190" s="6">
        <f>SUM(INDEX(Tabela1[[Ski Mountaineering - Men''s Sprint]:[Ski Mountaineering - Mixed Relay]],MATCH(Table92[[#This Row],[Country]],Tabela1[Country], 0),0))</f>
        <v>0</v>
      </c>
      <c r="BM190" s="6">
        <f>SUM(INDEX(Tabela1[[Snowboarding - Men''s Big Air]:[Snowboarding - Mixed Team Snowboard Cross]],MATCH(Table92[[#This Row],[Country]],Tabela1[Country], 0),0))</f>
        <v>0</v>
      </c>
      <c r="BN190" s="6">
        <f>SUM(INDEX(Tabela1[[Speed Skating - Men''s 500m]:[Speed Skating - Women''s Team Pursuit]],MATCH(Table92[[#This Row],[Country]],Tabela1[Country], 0),0))</f>
        <v>0</v>
      </c>
      <c r="BO190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90" s="6">
        <f>SUM(Table92[[#This Row],[Summer Sports]:[Winter Sports]])</f>
        <v>0</v>
      </c>
      <c r="BQ190" s="6">
        <f>COUNTIF(Table92[[#This Row],[Archery Quotas]:[Wrestling Quotas]],"&lt;&gt;0")</f>
        <v>0</v>
      </c>
      <c r="BR190" s="6">
        <f>COUNTIF(Table92[[#This Row],[Alpine Skiing Quotas]:[Speed Skating Quotas]],"&lt;&gt;0")</f>
        <v>0</v>
      </c>
      <c r="BS190" s="3" t="s">
        <v>655</v>
      </c>
    </row>
    <row r="191" spans="1:71" x14ac:dyDescent="0.3">
      <c r="A191" s="6" t="s">
        <v>396</v>
      </c>
      <c r="B191" t="e" vm="193">
        <f>IF(ISBLANK(Table92[[#This Row],[Flag Link]]), "", _xlfn.IMAGE(Table92[[#This Row],[Flag Link]],1,1))</f>
        <v>#VALUE!</v>
      </c>
      <c r="C191" s="6">
        <f>SUM(Table92[[#This Row],[Archery Quotas]:[Speed Skating Quotas]])</f>
        <v>0</v>
      </c>
      <c r="D191" s="6">
        <f>SUM(INDEX(Tabela1[[Archery - Men''s Individual Recurve]:[Archery - Mixed Team Recurve]],MATCH(Table92[[#This Row],[Country]],Tabela1[Country], 0),0))</f>
        <v>0</v>
      </c>
      <c r="E191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91" s="6">
        <f>SUM(INDEX(Tabela1[[Artistic Swimming - Women''s Duet]:[Artistic Swimming - Women''s Team]],MATCH(Table92[[#This Row],[Country]],Tabela1[Country], 0),0))</f>
        <v>0</v>
      </c>
      <c r="G191" s="6">
        <f>SUM(INDEX(Tabela1[[Athletics - Men''s 100m]:[Athletics - Women''s Heptathlon]],MATCH(Table92[[#This Row],[Country]],Tabela1[Country], 0),0))</f>
        <v>0</v>
      </c>
      <c r="H191" s="6">
        <f>SUM(INDEX(Tabela1[[Badminton - Men''s Singles]:[Badminton - Mixed Doubles]],MATCH(Table92[[#This Row],[Country]],Tabela1[Country], 0),0))</f>
        <v>0</v>
      </c>
      <c r="I191" s="6">
        <f>SUM(INDEX(Tabela1[[Basketball - Men''s Tournament]:[Basketball - Women''s Tournament]],MATCH(Table92[[#This Row],[Country]],Tabela1[Country], 0),0))</f>
        <v>0</v>
      </c>
      <c r="J191" s="6">
        <f>SUM(INDEX(Tabela1[[3x3 Basketball - Men''s Tournament]:[3x3 Basketball - Women''s Tournament]],MATCH(Table92[[#This Row],[Country]],Tabela1[Country], 0),0))</f>
        <v>0</v>
      </c>
      <c r="K191" s="6">
        <f>SUM(INDEX(Tabela1[[Beach Volleyball - Men''s Tournament]:[Beach Volleyball - Women''s Tournament]],MATCH(Table92[[#This Row],[Country]],Tabela1[Country], 0),0))</f>
        <v>0</v>
      </c>
      <c r="L191" s="6">
        <f>SUM(INDEX(Tabela1[[Boxing - Men''s 51kg]:[Boxing - Women''s 75kg]],MATCH(Table92[[#This Row],[Country]],Tabela1[Country], 0),0))</f>
        <v>0</v>
      </c>
      <c r="M191" s="6">
        <f>SUM(INDEX(Tabela1[[Breaking - Men''s Individual]:[Breaking - Women''s Individual]],MATCH(Table92[[#This Row],[Country]],Tabela1[Country], 0),0))</f>
        <v>0</v>
      </c>
      <c r="N191" s="6">
        <f>SUM(INDEX(Tabela1[[Canoeing - Men''s C1 Slalom]:[Canoeing - Women''s Kayak Cross Slalom]],MATCH(Table92[[#This Row],[Country]],Tabela1[Country], 0),0))</f>
        <v>0</v>
      </c>
      <c r="O191" s="6">
        <f>SUM(INDEX(Tabela1[[Canoeing - Women''s C1 200m]:[Canoeing - Women''s K4 500m]],MATCH(Table92[[#This Row],[Country]],Tabela1[Country], 0),0))</f>
        <v>0</v>
      </c>
      <c r="P191" s="6">
        <f>SUM(INDEX(Tabela1[[Cycling - Men''s BMX Freestyle]:[Cycling - Women''s BMX Freestyle]],MATCH(Table92[[#This Row],[Country]],Tabela1[Country], 0),0))</f>
        <v>0</v>
      </c>
      <c r="Q191" s="6">
        <f>SUM(INDEX(Tabela1[[Cycling - Men''s BMX Racing]:[Cycling - Women''s BMX Racing]],MATCH(Table92[[#This Row],[Country]],Tabela1[Country], 0),0))</f>
        <v>0</v>
      </c>
      <c r="R191" s="6">
        <f>SUM(INDEX(Tabela1[[Cycling - Men''s Cross-Country]:[Cycling - Women''s Cross-Country]],MATCH(Table92[[#This Row],[Country]],Tabela1[Country], 0),0))</f>
        <v>0</v>
      </c>
      <c r="S191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91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91" s="6">
        <f>SUM(INDEX(Tabela1[[Diving - Men''s Springboard]:[Diving - Women''s Synchronized Platform]],MATCH(Table92[[#This Row],[Country]],Tabela1[Country], 0),0))</f>
        <v>0</v>
      </c>
      <c r="V191" s="6">
        <f>SUM(INDEX(Tabela1[[Equestrian - Individual Dressage]:[Equestrian - Team Dressage]],MATCH(Table92[[#This Row],[Country]],Tabela1[Country], 0),0))</f>
        <v>0</v>
      </c>
      <c r="W191" s="6">
        <f>SUM(INDEX(Tabela1[[Equestrian - Individual Eventing]:[Equestrian - Team Eventing]],MATCH(Table92[[#This Row],[Country]],Tabela1[Country], 0),0))</f>
        <v>0</v>
      </c>
      <c r="X191" s="6">
        <f>SUM(INDEX(Tabela1[[Equestrian - Individual Jumping]:[Equestrian - Team Jumping]],MATCH(Table92[[#This Row],[Country]],Tabela1[Country], 0),0))</f>
        <v>0</v>
      </c>
      <c r="Y191" s="6">
        <f>SUM(INDEX(Tabela1[[Fencing - Men''s Épée]:[Fencing - Women''s Team Sabre]],MATCH(Table92[[#This Row],[Country]],Tabela1[Country], 0),0))</f>
        <v>0</v>
      </c>
      <c r="Z191" s="6">
        <f>SUM(INDEX(Tabela1[[Field Hockey - Men''s Tournament]:[Field Hockey - Women''s Tournament]],MATCH(Table92[[#This Row],[Country]],Tabela1[Country], 0),0))</f>
        <v>0</v>
      </c>
      <c r="AA191" s="6">
        <f>SUM(INDEX(Tabela1[[Football - Men''s Tournament]:[Football - Women''s Tournament]],MATCH(Table92[[#This Row],[Country]],Tabela1[Country], 0),0))</f>
        <v>0</v>
      </c>
      <c r="AB191" s="6">
        <f>SUM(INDEX(Tabela1[[Golf - Men''s Individual]:[Golf - Women''s Individual]],MATCH(Table92[[#This Row],[Country]],Tabela1[Country], 0),0))</f>
        <v>0</v>
      </c>
      <c r="AC191" s="6">
        <f>SUM(INDEX(Tabela1[[Handball - Men''s Tournament]:[Handball - Women''s Tournament]],MATCH(Table92[[#This Row],[Country]],Tabela1[Country], 0),0))</f>
        <v>0</v>
      </c>
      <c r="AD191" s="6">
        <f>SUM(INDEX(Tabela1[[Judo - Men''s 60kg]:[Judo - Mixed Team]],MATCH(Table92[[#This Row],[Country]],Tabela1[Country], 0),0))</f>
        <v>0</v>
      </c>
      <c r="AE191" s="6">
        <f>SUM(INDEX(Tabela1[[Swimming - Men''s 10km Open Water]:[Swimming - Women''s 10km Open Water]],MATCH(Table92[[#This Row],[Country]],Tabela1[Country], 0),0))</f>
        <v>0</v>
      </c>
      <c r="AF191" s="6">
        <f>SUM(INDEX(Tabela1[[Modern Pentathlon - Men''s Individual]:[Modern Pentathlon - Women''s Individual]],MATCH(Table92[[#This Row],[Country]],Tabela1[Country], 0),0))</f>
        <v>0</v>
      </c>
      <c r="AG191" s="6">
        <f>SUM(INDEX(Tabela1[[Rhythmic Gymnastics - Women''s Individual All-Around]:[Rhythmic Gymnastics - Women''s Group All-Around]],MATCH(Table92[[#This Row],[Country]],Tabela1[Country], 0),0))</f>
        <v>0</v>
      </c>
      <c r="AH191" s="6">
        <f>SUM(INDEX(Tabela1[[Rowing - Men''s Single Sculls]:[Rowing - Women''s Lwt. Double Sculls]],MATCH(Table92[[#This Row],[Country]],Tabela1[Country], 0),0))</f>
        <v>0</v>
      </c>
      <c r="AI191" s="6">
        <f>SUM(INDEX(Tabela1[[Rugby Sevens - Men''s Tournament]:[Rugby Sevens - Women''s Tournament]],MATCH(Table92[[#This Row],[Country]],Tabela1[Country], 0),0))</f>
        <v>0</v>
      </c>
      <c r="AJ191" s="6">
        <f>SUM(INDEX(Tabela1[[Sailing - Mixed 470]:[Sailing - Mixed Nacra 17]],MATCH(Table92[[#This Row],[Country]],Tabela1[Country], 0),0))</f>
        <v>0</v>
      </c>
      <c r="AK191" s="6">
        <f>SUM(INDEX(Tabela1[[Shooting - Men''s 10m Air Pistol]:[Shooting - Women''s Trap]],MATCH(Table92[[#This Row],[Country]],Tabela1[Country], 0),0))</f>
        <v>0</v>
      </c>
      <c r="AL191" s="6">
        <f>SUM(INDEX(Tabela1[[Skateboarding - Men''s Park]:[Skateboarding - Women''s Street]],MATCH(Table92[[#This Row],[Country]],Tabela1[Country], 0),0))</f>
        <v>0</v>
      </c>
      <c r="AM191" s="6">
        <f>SUM(INDEX(Tabela1[[Sport Climbing - Men''s Boulder and Lead]:[Sport Climbing - Women''s Speed]],MATCH(Table92[[#This Row],[Country]],Tabela1[Country], 0),0))</f>
        <v>0</v>
      </c>
      <c r="AN191" s="6">
        <f>SUM(INDEX(Tabela1[[Surfing - Men''s Shortboard]:[Surfing - Women''s Shortboard]],MATCH(Table92[[#This Row],[Country]],Tabela1[Country], 0),0))</f>
        <v>0</v>
      </c>
      <c r="AO191" s="6">
        <f>SUM(INDEX(Tabela1[[Swimming - Men''s 50m Freestyle]:[Swimming - Mixed 4x100m Medley Relay]],MATCH(Table92[[#This Row],[Country]],Tabela1[Country], 0),0))</f>
        <v>0</v>
      </c>
      <c r="AP191" s="6">
        <f>SUM(INDEX(Tabela1[[Table Tennis - Men''s Singles]:[Table Tennis - Mixed Doubles]],MATCH(Table92[[#This Row],[Country]],Tabela1[Country], 0),0))</f>
        <v>0</v>
      </c>
      <c r="AQ191" s="6">
        <f>SUM(INDEX(Tabela1[[Taekwondo - Men''s 58kg]:[Taekwondo - Women''s +67kg]],MATCH(Table92[[#This Row],[Country]],Tabela1[Country], 0),0))</f>
        <v>0</v>
      </c>
      <c r="AR191" s="6">
        <f>SUM(INDEX(Tabela1[[Tennis - Men''s Singles]:[Tennis - Mixed Doubles]],MATCH(Table92[[#This Row],[Country]],Tabela1[Country], 0),0))</f>
        <v>0</v>
      </c>
      <c r="AS191" s="6">
        <f>SUM(INDEX(Tabela1[[Gymnastics - Men''s Trampoline]:[Gymnastics - Women''s Trampoline]],MATCH(Table92[[#This Row],[Country]],Tabela1[Country], 0),0))</f>
        <v>0</v>
      </c>
      <c r="AT191" s="6">
        <f>SUM(INDEX(Tabela1[[Triathlon - Men''s Individual]:[Triathlon - Mixed Relay]],MATCH(Table92[[#This Row],[Country]],Tabela1[Country], 0),0))</f>
        <v>0</v>
      </c>
      <c r="AU191" s="6">
        <f>SUM(INDEX(Tabela1[[Volleyball - Men''s Tournament]:[Volleyball - Women''s Tournament]],MATCH(Table92[[#This Row],[Country]],Tabela1[Country], 0),0))</f>
        <v>0</v>
      </c>
      <c r="AV191" s="6">
        <f>SUM(INDEX(Tabela1[[Water Polo - Men''s Tournament]:[Water Polo - Women''s Tournament]],MATCH(Table92[[#This Row],[Country]],Tabela1[Country], 0),0))</f>
        <v>0</v>
      </c>
      <c r="AW191" s="6">
        <f>SUM(INDEX(Tabela1[[Weightlifting - Men''s 61kg]:[Weightlifting - Women''s +81kg]],MATCH(Table92[[#This Row],[Country]],Tabela1[Country], 0),0))</f>
        <v>0</v>
      </c>
      <c r="AX191" s="6">
        <f>SUM(INDEX(Tabela1[[Wrestling - Men''s Freestyle 57kg]:[Wrestling - Women''s Freestyle 76kg]],MATCH(Table92[[#This Row],[Country]],Tabela1[Country], 0),0))</f>
        <v>0</v>
      </c>
      <c r="AY191" s="6">
        <f>SUM(INDEX(Tabela1[[Alpine Skiing - Men''s Downhill]:[Alpine Skiing - Women''s Team Combined]],MATCH(Table92[[#This Row],[Country]],Tabela1[Country], 0),0))</f>
        <v>0</v>
      </c>
      <c r="AZ191" s="6">
        <f>SUM(INDEX(Tabela1[[Biathlon - Men''s Individual]:[Biathlon - Mixed Relay]],MATCH(Table92[[#This Row],[Country]],Tabela1[Country], 0),0))</f>
        <v>0</v>
      </c>
      <c r="BA191" s="6">
        <f>SUM(INDEX(Tabela1[[Bobsleigh - Women''s Monobob]:[Bobsleigh - Men''s Four]],MATCH(Table92[[#This Row],[Country]],Tabela1[Country], 0),0))</f>
        <v>0</v>
      </c>
      <c r="BB191" s="6">
        <f>SUM(INDEX(Tabela1[[Cross-country skiing - Men''s Classical]:[Cross-country skiing - Women''s Team Sprint]],MATCH(Table92[[#This Row],[Country]],Tabela1[Country], 0),0))</f>
        <v>0</v>
      </c>
      <c r="BC191" s="6">
        <f>SUM(INDEX(Tabela1[[Curling - Men''s Tournament]:[Curling - Mixed Doubles]],MATCH(Table92[[#This Row],[Country]],Tabela1[Country], 0),0))</f>
        <v>0</v>
      </c>
      <c r="BD191" s="6">
        <f>SUM(INDEX(Tabela1[[Figure Skating - Men''s Singles]:[Figure Skating - Team Event]],MATCH(Table92[[#This Row],[Country]],Tabela1[Country], 0),0))</f>
        <v>0</v>
      </c>
      <c r="BE191" s="6">
        <f>SUM(INDEX(Tabela1[[Freestyle Skiing - Men''s Aerials]:[Freestyle Skiing - Women''s Slopestyle]],MATCH(Table92[[#This Row],[Country]],Tabela1[Country], 0),0))</f>
        <v>0</v>
      </c>
      <c r="BF191" s="6">
        <f>SUM(INDEX(Tabela1[[Ice Hockey - Men''s Tournament]:[Ice Hockey - Women''s Tournament]],MATCH(Table92[[#This Row],[Country]],Tabela1[Country], 0),0))</f>
        <v>0</v>
      </c>
      <c r="BG191" s="6">
        <f>SUM(INDEX(Tabela1[[Luge - Men''s Singles]:[Luge - Mixed Team Relay]],MATCH(Table92[[#This Row],[Country]],Tabela1[Country], 0),0))</f>
        <v>0</v>
      </c>
      <c r="BH191" s="6">
        <f>SUM(INDEX(Tabela1[[Nordic Combined - Men''s Individual]:[Nordic Combined - Men''s Team Sprint Large Hill]],MATCH(Table92[[#This Row],[Country]],Tabela1[Country], 0),0))</f>
        <v>0</v>
      </c>
      <c r="BI191" s="6">
        <f>SUM(INDEX(Tabela1[[Short track speed skating - Men''s 500m]:[Short track speed skating - Mixed 2000m Relay]],MATCH(Table92[[#This Row],[Country]],Tabela1[Country], 0),0))</f>
        <v>0</v>
      </c>
      <c r="BJ191" s="6">
        <f>SUM(INDEX(Tabela1[[Skeleton - Men''s Individual]:[Skeleton - Mixed Team]],MATCH(Table92[[#This Row],[Country]],Tabela1[Country], 0),0))</f>
        <v>0</v>
      </c>
      <c r="BK191" s="6">
        <f>SUM(INDEX(Tabela1[[Ski Jumping - Men''s Individual Large Hill]:[Ski Jumping - Mixed Team Normal Hill]],MATCH(Table92[[#This Row],[Country]],Tabela1[Country], 0),0))</f>
        <v>0</v>
      </c>
      <c r="BL191" s="6">
        <f>SUM(INDEX(Tabela1[[Ski Mountaineering - Men''s Sprint]:[Ski Mountaineering - Mixed Relay]],MATCH(Table92[[#This Row],[Country]],Tabela1[Country], 0),0))</f>
        <v>0</v>
      </c>
      <c r="BM191" s="6">
        <f>SUM(INDEX(Tabela1[[Snowboarding - Men''s Big Air]:[Snowboarding - Mixed Team Snowboard Cross]],MATCH(Table92[[#This Row],[Country]],Tabela1[Country], 0),0))</f>
        <v>0</v>
      </c>
      <c r="BN191" s="6">
        <f>SUM(INDEX(Tabela1[[Speed Skating - Men''s 500m]:[Speed Skating - Women''s Team Pursuit]],MATCH(Table92[[#This Row],[Country]],Tabela1[Country], 0),0))</f>
        <v>0</v>
      </c>
      <c r="BO191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91" s="6">
        <f>SUM(Table92[[#This Row],[Summer Sports]:[Winter Sports]])</f>
        <v>0</v>
      </c>
      <c r="BQ191" s="6">
        <f>COUNTIF(Table92[[#This Row],[Archery Quotas]:[Wrestling Quotas]],"&lt;&gt;0")</f>
        <v>0</v>
      </c>
      <c r="BR191" s="6">
        <f>COUNTIF(Table92[[#This Row],[Alpine Skiing Quotas]:[Speed Skating Quotas]],"&lt;&gt;0")</f>
        <v>0</v>
      </c>
      <c r="BS191" s="4" t="s">
        <v>397</v>
      </c>
    </row>
    <row r="192" spans="1:71" x14ac:dyDescent="0.3">
      <c r="A192" s="6" t="s">
        <v>660</v>
      </c>
      <c r="B192" t="e" vm="194">
        <f>IF(ISBLANK(Table92[[#This Row],[Flag Link]]), "", _xlfn.IMAGE(Table92[[#This Row],[Flag Link]],1,1))</f>
        <v>#VALUE!</v>
      </c>
      <c r="C192" s="6">
        <f>SUM(Table92[[#This Row],[Archery Quotas]:[Speed Skating Quotas]])</f>
        <v>0</v>
      </c>
      <c r="D192" s="6">
        <f>SUM(INDEX(Tabela1[[Archery - Men''s Individual Recurve]:[Archery - Mixed Team Recurve]],MATCH(Table92[[#This Row],[Country]],Tabela1[Country], 0),0))</f>
        <v>0</v>
      </c>
      <c r="E192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92" s="6">
        <f>SUM(INDEX(Tabela1[[Artistic Swimming - Women''s Duet]:[Artistic Swimming - Women''s Team]],MATCH(Table92[[#This Row],[Country]],Tabela1[Country], 0),0))</f>
        <v>0</v>
      </c>
      <c r="G192" s="6">
        <f>SUM(INDEX(Tabela1[[Athletics - Men''s 100m]:[Athletics - Women''s Heptathlon]],MATCH(Table92[[#This Row],[Country]],Tabela1[Country], 0),0))</f>
        <v>0</v>
      </c>
      <c r="H192" s="6">
        <f>SUM(INDEX(Tabela1[[Badminton - Men''s Singles]:[Badminton - Mixed Doubles]],MATCH(Table92[[#This Row],[Country]],Tabela1[Country], 0),0))</f>
        <v>0</v>
      </c>
      <c r="I192" s="6">
        <f>SUM(INDEX(Tabela1[[Basketball - Men''s Tournament]:[Basketball - Women''s Tournament]],MATCH(Table92[[#This Row],[Country]],Tabela1[Country], 0),0))</f>
        <v>0</v>
      </c>
      <c r="J192" s="6">
        <f>SUM(INDEX(Tabela1[[3x3 Basketball - Men''s Tournament]:[3x3 Basketball - Women''s Tournament]],MATCH(Table92[[#This Row],[Country]],Tabela1[Country], 0),0))</f>
        <v>0</v>
      </c>
      <c r="K192" s="6">
        <f>SUM(INDEX(Tabela1[[Beach Volleyball - Men''s Tournament]:[Beach Volleyball - Women''s Tournament]],MATCH(Table92[[#This Row],[Country]],Tabela1[Country], 0),0))</f>
        <v>0</v>
      </c>
      <c r="L192" s="6">
        <f>SUM(INDEX(Tabela1[[Boxing - Men''s 51kg]:[Boxing - Women''s 75kg]],MATCH(Table92[[#This Row],[Country]],Tabela1[Country], 0),0))</f>
        <v>0</v>
      </c>
      <c r="M192" s="6">
        <f>SUM(INDEX(Tabela1[[Breaking - Men''s Individual]:[Breaking - Women''s Individual]],MATCH(Table92[[#This Row],[Country]],Tabela1[Country], 0),0))</f>
        <v>0</v>
      </c>
      <c r="N192" s="6">
        <f>SUM(INDEX(Tabela1[[Canoeing - Men''s C1 Slalom]:[Canoeing - Women''s Kayak Cross Slalom]],MATCH(Table92[[#This Row],[Country]],Tabela1[Country], 0),0))</f>
        <v>0</v>
      </c>
      <c r="O192" s="6">
        <f>SUM(INDEX(Tabela1[[Canoeing - Women''s C1 200m]:[Canoeing - Women''s K4 500m]],MATCH(Table92[[#This Row],[Country]],Tabela1[Country], 0),0))</f>
        <v>0</v>
      </c>
      <c r="P192" s="6">
        <f>SUM(INDEX(Tabela1[[Cycling - Men''s BMX Freestyle]:[Cycling - Women''s BMX Freestyle]],MATCH(Table92[[#This Row],[Country]],Tabela1[Country], 0),0))</f>
        <v>0</v>
      </c>
      <c r="Q192" s="6">
        <f>SUM(INDEX(Tabela1[[Cycling - Men''s BMX Racing]:[Cycling - Women''s BMX Racing]],MATCH(Table92[[#This Row],[Country]],Tabela1[Country], 0),0))</f>
        <v>0</v>
      </c>
      <c r="R192" s="6">
        <f>SUM(INDEX(Tabela1[[Cycling - Men''s Cross-Country]:[Cycling - Women''s Cross-Country]],MATCH(Table92[[#This Row],[Country]],Tabela1[Country], 0),0))</f>
        <v>0</v>
      </c>
      <c r="S192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92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92" s="6">
        <f>SUM(INDEX(Tabela1[[Diving - Men''s Springboard]:[Diving - Women''s Synchronized Platform]],MATCH(Table92[[#This Row],[Country]],Tabela1[Country], 0),0))</f>
        <v>0</v>
      </c>
      <c r="V192" s="6">
        <f>SUM(INDEX(Tabela1[[Equestrian - Individual Dressage]:[Equestrian - Team Dressage]],MATCH(Table92[[#This Row],[Country]],Tabela1[Country], 0),0))</f>
        <v>0</v>
      </c>
      <c r="W192" s="6">
        <f>SUM(INDEX(Tabela1[[Equestrian - Individual Eventing]:[Equestrian - Team Eventing]],MATCH(Table92[[#This Row],[Country]],Tabela1[Country], 0),0))</f>
        <v>0</v>
      </c>
      <c r="X192" s="6">
        <f>SUM(INDEX(Tabela1[[Equestrian - Individual Jumping]:[Equestrian - Team Jumping]],MATCH(Table92[[#This Row],[Country]],Tabela1[Country], 0),0))</f>
        <v>0</v>
      </c>
      <c r="Y192" s="6">
        <f>SUM(INDEX(Tabela1[[Fencing - Men''s Épée]:[Fencing - Women''s Team Sabre]],MATCH(Table92[[#This Row],[Country]],Tabela1[Country], 0),0))</f>
        <v>0</v>
      </c>
      <c r="Z192" s="6">
        <f>SUM(INDEX(Tabela1[[Field Hockey - Men''s Tournament]:[Field Hockey - Women''s Tournament]],MATCH(Table92[[#This Row],[Country]],Tabela1[Country], 0),0))</f>
        <v>0</v>
      </c>
      <c r="AA192" s="6">
        <f>SUM(INDEX(Tabela1[[Football - Men''s Tournament]:[Football - Women''s Tournament]],MATCH(Table92[[#This Row],[Country]],Tabela1[Country], 0),0))</f>
        <v>0</v>
      </c>
      <c r="AB192" s="6">
        <f>SUM(INDEX(Tabela1[[Golf - Men''s Individual]:[Golf - Women''s Individual]],MATCH(Table92[[#This Row],[Country]],Tabela1[Country], 0),0))</f>
        <v>0</v>
      </c>
      <c r="AC192" s="6">
        <f>SUM(INDEX(Tabela1[[Handball - Men''s Tournament]:[Handball - Women''s Tournament]],MATCH(Table92[[#This Row],[Country]],Tabela1[Country], 0),0))</f>
        <v>0</v>
      </c>
      <c r="AD192" s="6">
        <f>SUM(INDEX(Tabela1[[Judo - Men''s 60kg]:[Judo - Mixed Team]],MATCH(Table92[[#This Row],[Country]],Tabela1[Country], 0),0))</f>
        <v>0</v>
      </c>
      <c r="AE192" s="6">
        <f>SUM(INDEX(Tabela1[[Swimming - Men''s 10km Open Water]:[Swimming - Women''s 10km Open Water]],MATCH(Table92[[#This Row],[Country]],Tabela1[Country], 0),0))</f>
        <v>0</v>
      </c>
      <c r="AF192" s="6">
        <f>SUM(INDEX(Tabela1[[Modern Pentathlon - Men''s Individual]:[Modern Pentathlon - Women''s Individual]],MATCH(Table92[[#This Row],[Country]],Tabela1[Country], 0),0))</f>
        <v>0</v>
      </c>
      <c r="AG192" s="6">
        <f>SUM(INDEX(Tabela1[[Rhythmic Gymnastics - Women''s Individual All-Around]:[Rhythmic Gymnastics - Women''s Group All-Around]],MATCH(Table92[[#This Row],[Country]],Tabela1[Country], 0),0))</f>
        <v>0</v>
      </c>
      <c r="AH192" s="6">
        <f>SUM(INDEX(Tabela1[[Rowing - Men''s Single Sculls]:[Rowing - Women''s Lwt. Double Sculls]],MATCH(Table92[[#This Row],[Country]],Tabela1[Country], 0),0))</f>
        <v>0</v>
      </c>
      <c r="AI192" s="6">
        <f>SUM(INDEX(Tabela1[[Rugby Sevens - Men''s Tournament]:[Rugby Sevens - Women''s Tournament]],MATCH(Table92[[#This Row],[Country]],Tabela1[Country], 0),0))</f>
        <v>0</v>
      </c>
      <c r="AJ192" s="6">
        <f>SUM(INDEX(Tabela1[[Sailing - Mixed 470]:[Sailing - Mixed Nacra 17]],MATCH(Table92[[#This Row],[Country]],Tabela1[Country], 0),0))</f>
        <v>0</v>
      </c>
      <c r="AK192" s="6">
        <f>SUM(INDEX(Tabela1[[Shooting - Men''s 10m Air Pistol]:[Shooting - Women''s Trap]],MATCH(Table92[[#This Row],[Country]],Tabela1[Country], 0),0))</f>
        <v>0</v>
      </c>
      <c r="AL192" s="6">
        <f>SUM(INDEX(Tabela1[[Skateboarding - Men''s Park]:[Skateboarding - Women''s Street]],MATCH(Table92[[#This Row],[Country]],Tabela1[Country], 0),0))</f>
        <v>0</v>
      </c>
      <c r="AM192" s="6">
        <f>SUM(INDEX(Tabela1[[Sport Climbing - Men''s Boulder and Lead]:[Sport Climbing - Women''s Speed]],MATCH(Table92[[#This Row],[Country]],Tabela1[Country], 0),0))</f>
        <v>0</v>
      </c>
      <c r="AN192" s="6">
        <f>SUM(INDEX(Tabela1[[Surfing - Men''s Shortboard]:[Surfing - Women''s Shortboard]],MATCH(Table92[[#This Row],[Country]],Tabela1[Country], 0),0))</f>
        <v>0</v>
      </c>
      <c r="AO192" s="6">
        <f>SUM(INDEX(Tabela1[[Swimming - Men''s 50m Freestyle]:[Swimming - Mixed 4x100m Medley Relay]],MATCH(Table92[[#This Row],[Country]],Tabela1[Country], 0),0))</f>
        <v>0</v>
      </c>
      <c r="AP192" s="6">
        <f>SUM(INDEX(Tabela1[[Table Tennis - Men''s Singles]:[Table Tennis - Mixed Doubles]],MATCH(Table92[[#This Row],[Country]],Tabela1[Country], 0),0))</f>
        <v>0</v>
      </c>
      <c r="AQ192" s="6">
        <f>SUM(INDEX(Tabela1[[Taekwondo - Men''s 58kg]:[Taekwondo - Women''s +67kg]],MATCH(Table92[[#This Row],[Country]],Tabela1[Country], 0),0))</f>
        <v>0</v>
      </c>
      <c r="AR192" s="6">
        <f>SUM(INDEX(Tabela1[[Tennis - Men''s Singles]:[Tennis - Mixed Doubles]],MATCH(Table92[[#This Row],[Country]],Tabela1[Country], 0),0))</f>
        <v>0</v>
      </c>
      <c r="AS192" s="6">
        <f>SUM(INDEX(Tabela1[[Gymnastics - Men''s Trampoline]:[Gymnastics - Women''s Trampoline]],MATCH(Table92[[#This Row],[Country]],Tabela1[Country], 0),0))</f>
        <v>0</v>
      </c>
      <c r="AT192" s="6">
        <f>SUM(INDEX(Tabela1[[Triathlon - Men''s Individual]:[Triathlon - Mixed Relay]],MATCH(Table92[[#This Row],[Country]],Tabela1[Country], 0),0))</f>
        <v>0</v>
      </c>
      <c r="AU192" s="6">
        <f>SUM(INDEX(Tabela1[[Volleyball - Men''s Tournament]:[Volleyball - Women''s Tournament]],MATCH(Table92[[#This Row],[Country]],Tabela1[Country], 0),0))</f>
        <v>0</v>
      </c>
      <c r="AV192" s="6">
        <f>SUM(INDEX(Tabela1[[Water Polo - Men''s Tournament]:[Water Polo - Women''s Tournament]],MATCH(Table92[[#This Row],[Country]],Tabela1[Country], 0),0))</f>
        <v>0</v>
      </c>
      <c r="AW192" s="6">
        <f>SUM(INDEX(Tabela1[[Weightlifting - Men''s 61kg]:[Weightlifting - Women''s +81kg]],MATCH(Table92[[#This Row],[Country]],Tabela1[Country], 0),0))</f>
        <v>0</v>
      </c>
      <c r="AX192" s="6">
        <f>SUM(INDEX(Tabela1[[Wrestling - Men''s Freestyle 57kg]:[Wrestling - Women''s Freestyle 76kg]],MATCH(Table92[[#This Row],[Country]],Tabela1[Country], 0),0))</f>
        <v>0</v>
      </c>
      <c r="AY192" s="6">
        <f>SUM(INDEX(Tabela1[[Alpine Skiing - Men''s Downhill]:[Alpine Skiing - Women''s Team Combined]],MATCH(Table92[[#This Row],[Country]],Tabela1[Country], 0),0))</f>
        <v>0</v>
      </c>
      <c r="AZ192" s="6">
        <f>SUM(INDEX(Tabela1[[Biathlon - Men''s Individual]:[Biathlon - Mixed Relay]],MATCH(Table92[[#This Row],[Country]],Tabela1[Country], 0),0))</f>
        <v>0</v>
      </c>
      <c r="BA192" s="6">
        <f>SUM(INDEX(Tabela1[[Bobsleigh - Women''s Monobob]:[Bobsleigh - Men''s Four]],MATCH(Table92[[#This Row],[Country]],Tabela1[Country], 0),0))</f>
        <v>0</v>
      </c>
      <c r="BB192" s="6">
        <f>SUM(INDEX(Tabela1[[Cross-country skiing - Men''s Classical]:[Cross-country skiing - Women''s Team Sprint]],MATCH(Table92[[#This Row],[Country]],Tabela1[Country], 0),0))</f>
        <v>0</v>
      </c>
      <c r="BC192" s="6">
        <f>SUM(INDEX(Tabela1[[Curling - Men''s Tournament]:[Curling - Mixed Doubles]],MATCH(Table92[[#This Row],[Country]],Tabela1[Country], 0),0))</f>
        <v>0</v>
      </c>
      <c r="BD192" s="6">
        <f>SUM(INDEX(Tabela1[[Figure Skating - Men''s Singles]:[Figure Skating - Team Event]],MATCH(Table92[[#This Row],[Country]],Tabela1[Country], 0),0))</f>
        <v>0</v>
      </c>
      <c r="BE192" s="6">
        <f>SUM(INDEX(Tabela1[[Freestyle Skiing - Men''s Aerials]:[Freestyle Skiing - Women''s Slopestyle]],MATCH(Table92[[#This Row],[Country]],Tabela1[Country], 0),0))</f>
        <v>0</v>
      </c>
      <c r="BF192" s="6">
        <f>SUM(INDEX(Tabela1[[Ice Hockey - Men''s Tournament]:[Ice Hockey - Women''s Tournament]],MATCH(Table92[[#This Row],[Country]],Tabela1[Country], 0),0))</f>
        <v>0</v>
      </c>
      <c r="BG192" s="6">
        <f>SUM(INDEX(Tabela1[[Luge - Men''s Singles]:[Luge - Mixed Team Relay]],MATCH(Table92[[#This Row],[Country]],Tabela1[Country], 0),0))</f>
        <v>0</v>
      </c>
      <c r="BH192" s="6">
        <f>SUM(INDEX(Tabela1[[Nordic Combined - Men''s Individual]:[Nordic Combined - Men''s Team Sprint Large Hill]],MATCH(Table92[[#This Row],[Country]],Tabela1[Country], 0),0))</f>
        <v>0</v>
      </c>
      <c r="BI192" s="6">
        <f>SUM(INDEX(Tabela1[[Short track speed skating - Men''s 500m]:[Short track speed skating - Mixed 2000m Relay]],MATCH(Table92[[#This Row],[Country]],Tabela1[Country], 0),0))</f>
        <v>0</v>
      </c>
      <c r="BJ192" s="6">
        <f>SUM(INDEX(Tabela1[[Skeleton - Men''s Individual]:[Skeleton - Mixed Team]],MATCH(Table92[[#This Row],[Country]],Tabela1[Country], 0),0))</f>
        <v>0</v>
      </c>
      <c r="BK192" s="6">
        <f>SUM(INDEX(Tabela1[[Ski Jumping - Men''s Individual Large Hill]:[Ski Jumping - Mixed Team Normal Hill]],MATCH(Table92[[#This Row],[Country]],Tabela1[Country], 0),0))</f>
        <v>0</v>
      </c>
      <c r="BL192" s="6">
        <f>SUM(INDEX(Tabela1[[Ski Mountaineering - Men''s Sprint]:[Ski Mountaineering - Mixed Relay]],MATCH(Table92[[#This Row],[Country]],Tabela1[Country], 0),0))</f>
        <v>0</v>
      </c>
      <c r="BM192" s="6">
        <f>SUM(INDEX(Tabela1[[Snowboarding - Men''s Big Air]:[Snowboarding - Mixed Team Snowboard Cross]],MATCH(Table92[[#This Row],[Country]],Tabela1[Country], 0),0))</f>
        <v>0</v>
      </c>
      <c r="BN192" s="6">
        <f>SUM(INDEX(Tabela1[[Speed Skating - Men''s 500m]:[Speed Skating - Women''s Team Pursuit]],MATCH(Table92[[#This Row],[Country]],Tabela1[Country], 0),0))</f>
        <v>0</v>
      </c>
      <c r="BO192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92" s="6">
        <f>SUM(Table92[[#This Row],[Summer Sports]:[Winter Sports]])</f>
        <v>0</v>
      </c>
      <c r="BQ192" s="6">
        <f>COUNTIF(Table92[[#This Row],[Archery Quotas]:[Wrestling Quotas]],"&lt;&gt;0")</f>
        <v>0</v>
      </c>
      <c r="BR192" s="6">
        <f>COUNTIF(Table92[[#This Row],[Alpine Skiing Quotas]:[Speed Skating Quotas]],"&lt;&gt;0")</f>
        <v>0</v>
      </c>
      <c r="BS192" s="4" t="s">
        <v>661</v>
      </c>
    </row>
    <row r="193" spans="1:71" x14ac:dyDescent="0.3">
      <c r="A193" s="6" t="s">
        <v>376</v>
      </c>
      <c r="B193" t="e" vm="156">
        <f>IF(ISBLANK(Table92[[#This Row],[Flag Link]]), "", _xlfn.IMAGE(Table92[[#This Row],[Flag Link]],1,1))</f>
        <v>#VALUE!</v>
      </c>
      <c r="C193" s="6">
        <f>SUM(Table92[[#This Row],[Archery Quotas]:[Speed Skating Quotas]])</f>
        <v>0</v>
      </c>
      <c r="D193" s="6">
        <f>SUM(INDEX(Tabela1[[Archery - Men''s Individual Recurve]:[Archery - Mixed Team Recurve]],MATCH(Table92[[#This Row],[Country]],Tabela1[Country], 0),0))</f>
        <v>0</v>
      </c>
      <c r="E193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93" s="6">
        <f>SUM(INDEX(Tabela1[[Artistic Swimming - Women''s Duet]:[Artistic Swimming - Women''s Team]],MATCH(Table92[[#This Row],[Country]],Tabela1[Country], 0),0))</f>
        <v>0</v>
      </c>
      <c r="G193" s="6">
        <f>SUM(INDEX(Tabela1[[Athletics - Men''s 100m]:[Athletics - Women''s Heptathlon]],MATCH(Table92[[#This Row],[Country]],Tabela1[Country], 0),0))</f>
        <v>0</v>
      </c>
      <c r="H193" s="6">
        <f>SUM(INDEX(Tabela1[[Badminton - Men''s Singles]:[Badminton - Mixed Doubles]],MATCH(Table92[[#This Row],[Country]],Tabela1[Country], 0),0))</f>
        <v>0</v>
      </c>
      <c r="I193" s="6">
        <f>SUM(INDEX(Tabela1[[Basketball - Men''s Tournament]:[Basketball - Women''s Tournament]],MATCH(Table92[[#This Row],[Country]],Tabela1[Country], 0),0))</f>
        <v>0</v>
      </c>
      <c r="J193" s="6">
        <f>SUM(INDEX(Tabela1[[3x3 Basketball - Men''s Tournament]:[3x3 Basketball - Women''s Tournament]],MATCH(Table92[[#This Row],[Country]],Tabela1[Country], 0),0))</f>
        <v>0</v>
      </c>
      <c r="K193" s="6">
        <f>SUM(INDEX(Tabela1[[Beach Volleyball - Men''s Tournament]:[Beach Volleyball - Women''s Tournament]],MATCH(Table92[[#This Row],[Country]],Tabela1[Country], 0),0))</f>
        <v>0</v>
      </c>
      <c r="L193" s="6">
        <f>SUM(INDEX(Tabela1[[Boxing - Men''s 51kg]:[Boxing - Women''s 75kg]],MATCH(Table92[[#This Row],[Country]],Tabela1[Country], 0),0))</f>
        <v>0</v>
      </c>
      <c r="M193" s="6">
        <f>SUM(INDEX(Tabela1[[Breaking - Men''s Individual]:[Breaking - Women''s Individual]],MATCH(Table92[[#This Row],[Country]],Tabela1[Country], 0),0))</f>
        <v>0</v>
      </c>
      <c r="N193" s="6">
        <f>SUM(INDEX(Tabela1[[Canoeing - Men''s C1 Slalom]:[Canoeing - Women''s Kayak Cross Slalom]],MATCH(Table92[[#This Row],[Country]],Tabela1[Country], 0),0))</f>
        <v>0</v>
      </c>
      <c r="O193" s="6">
        <f>SUM(INDEX(Tabela1[[Canoeing - Women''s C1 200m]:[Canoeing - Women''s K4 500m]],MATCH(Table92[[#This Row],[Country]],Tabela1[Country], 0),0))</f>
        <v>0</v>
      </c>
      <c r="P193" s="6">
        <f>SUM(INDEX(Tabela1[[Cycling - Men''s BMX Freestyle]:[Cycling - Women''s BMX Freestyle]],MATCH(Table92[[#This Row],[Country]],Tabela1[Country], 0),0))</f>
        <v>0</v>
      </c>
      <c r="Q193" s="6">
        <f>SUM(INDEX(Tabela1[[Cycling - Men''s BMX Racing]:[Cycling - Women''s BMX Racing]],MATCH(Table92[[#This Row],[Country]],Tabela1[Country], 0),0))</f>
        <v>0</v>
      </c>
      <c r="R193" s="6">
        <f>SUM(INDEX(Tabela1[[Cycling - Men''s Cross-Country]:[Cycling - Women''s Cross-Country]],MATCH(Table92[[#This Row],[Country]],Tabela1[Country], 0),0))</f>
        <v>0</v>
      </c>
      <c r="S193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93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93" s="6">
        <f>SUM(INDEX(Tabela1[[Diving - Men''s Springboard]:[Diving - Women''s Synchronized Platform]],MATCH(Table92[[#This Row],[Country]],Tabela1[Country], 0),0))</f>
        <v>0</v>
      </c>
      <c r="V193" s="6">
        <f>SUM(INDEX(Tabela1[[Equestrian - Individual Dressage]:[Equestrian - Team Dressage]],MATCH(Table92[[#This Row],[Country]],Tabela1[Country], 0),0))</f>
        <v>0</v>
      </c>
      <c r="W193" s="6">
        <f>SUM(INDEX(Tabela1[[Equestrian - Individual Eventing]:[Equestrian - Team Eventing]],MATCH(Table92[[#This Row],[Country]],Tabela1[Country], 0),0))</f>
        <v>0</v>
      </c>
      <c r="X193" s="6">
        <f>SUM(INDEX(Tabela1[[Equestrian - Individual Jumping]:[Equestrian - Team Jumping]],MATCH(Table92[[#This Row],[Country]],Tabela1[Country], 0),0))</f>
        <v>0</v>
      </c>
      <c r="Y193" s="6">
        <f>SUM(INDEX(Tabela1[[Fencing - Men''s Épée]:[Fencing - Women''s Team Sabre]],MATCH(Table92[[#This Row],[Country]],Tabela1[Country], 0),0))</f>
        <v>0</v>
      </c>
      <c r="Z193" s="6">
        <f>SUM(INDEX(Tabela1[[Field Hockey - Men''s Tournament]:[Field Hockey - Women''s Tournament]],MATCH(Table92[[#This Row],[Country]],Tabela1[Country], 0),0))</f>
        <v>0</v>
      </c>
      <c r="AA193" s="6">
        <f>SUM(INDEX(Tabela1[[Football - Men''s Tournament]:[Football - Women''s Tournament]],MATCH(Table92[[#This Row],[Country]],Tabela1[Country], 0),0))</f>
        <v>0</v>
      </c>
      <c r="AB193" s="6">
        <f>SUM(INDEX(Tabela1[[Golf - Men''s Individual]:[Golf - Women''s Individual]],MATCH(Table92[[#This Row],[Country]],Tabela1[Country], 0),0))</f>
        <v>0</v>
      </c>
      <c r="AC193" s="6">
        <f>SUM(INDEX(Tabela1[[Handball - Men''s Tournament]:[Handball - Women''s Tournament]],MATCH(Table92[[#This Row],[Country]],Tabela1[Country], 0),0))</f>
        <v>0</v>
      </c>
      <c r="AD193" s="6">
        <f>SUM(INDEX(Tabela1[[Judo - Men''s 60kg]:[Judo - Mixed Team]],MATCH(Table92[[#This Row],[Country]],Tabela1[Country], 0),0))</f>
        <v>0</v>
      </c>
      <c r="AE193" s="6">
        <f>SUM(INDEX(Tabela1[[Swimming - Men''s 10km Open Water]:[Swimming - Women''s 10km Open Water]],MATCH(Table92[[#This Row],[Country]],Tabela1[Country], 0),0))</f>
        <v>0</v>
      </c>
      <c r="AF193" s="6">
        <f>SUM(INDEX(Tabela1[[Modern Pentathlon - Men''s Individual]:[Modern Pentathlon - Women''s Individual]],MATCH(Table92[[#This Row],[Country]],Tabela1[Country], 0),0))</f>
        <v>0</v>
      </c>
      <c r="AG193" s="6">
        <f>SUM(INDEX(Tabela1[[Rhythmic Gymnastics - Women''s Individual All-Around]:[Rhythmic Gymnastics - Women''s Group All-Around]],MATCH(Table92[[#This Row],[Country]],Tabela1[Country], 0),0))</f>
        <v>0</v>
      </c>
      <c r="AH193" s="6">
        <f>SUM(INDEX(Tabela1[[Rowing - Men''s Single Sculls]:[Rowing - Women''s Lwt. Double Sculls]],MATCH(Table92[[#This Row],[Country]],Tabela1[Country], 0),0))</f>
        <v>0</v>
      </c>
      <c r="AI193" s="6">
        <f>SUM(INDEX(Tabela1[[Rugby Sevens - Men''s Tournament]:[Rugby Sevens - Women''s Tournament]],MATCH(Table92[[#This Row],[Country]],Tabela1[Country], 0),0))</f>
        <v>0</v>
      </c>
      <c r="AJ193" s="6">
        <f>SUM(INDEX(Tabela1[[Sailing - Mixed 470]:[Sailing - Mixed Nacra 17]],MATCH(Table92[[#This Row],[Country]],Tabela1[Country], 0),0))</f>
        <v>0</v>
      </c>
      <c r="AK193" s="6">
        <f>SUM(INDEX(Tabela1[[Shooting - Men''s 10m Air Pistol]:[Shooting - Women''s Trap]],MATCH(Table92[[#This Row],[Country]],Tabela1[Country], 0),0))</f>
        <v>0</v>
      </c>
      <c r="AL193" s="6">
        <f>SUM(INDEX(Tabela1[[Skateboarding - Men''s Park]:[Skateboarding - Women''s Street]],MATCH(Table92[[#This Row],[Country]],Tabela1[Country], 0),0))</f>
        <v>0</v>
      </c>
      <c r="AM193" s="6">
        <f>SUM(INDEX(Tabela1[[Sport Climbing - Men''s Boulder and Lead]:[Sport Climbing - Women''s Speed]],MATCH(Table92[[#This Row],[Country]],Tabela1[Country], 0),0))</f>
        <v>0</v>
      </c>
      <c r="AN193" s="6">
        <f>SUM(INDEX(Tabela1[[Surfing - Men''s Shortboard]:[Surfing - Women''s Shortboard]],MATCH(Table92[[#This Row],[Country]],Tabela1[Country], 0),0))</f>
        <v>0</v>
      </c>
      <c r="AO193" s="6">
        <f>SUM(INDEX(Tabela1[[Swimming - Men''s 50m Freestyle]:[Swimming - Mixed 4x100m Medley Relay]],MATCH(Table92[[#This Row],[Country]],Tabela1[Country], 0),0))</f>
        <v>0</v>
      </c>
      <c r="AP193" s="6">
        <f>SUM(INDEX(Tabela1[[Table Tennis - Men''s Singles]:[Table Tennis - Mixed Doubles]],MATCH(Table92[[#This Row],[Country]],Tabela1[Country], 0),0))</f>
        <v>0</v>
      </c>
      <c r="AQ193" s="6">
        <f>SUM(INDEX(Tabela1[[Taekwondo - Men''s 58kg]:[Taekwondo - Women''s +67kg]],MATCH(Table92[[#This Row],[Country]],Tabela1[Country], 0),0))</f>
        <v>0</v>
      </c>
      <c r="AR193" s="6">
        <f>SUM(INDEX(Tabela1[[Tennis - Men''s Singles]:[Tennis - Mixed Doubles]],MATCH(Table92[[#This Row],[Country]],Tabela1[Country], 0),0))</f>
        <v>0</v>
      </c>
      <c r="AS193" s="6">
        <f>SUM(INDEX(Tabela1[[Gymnastics - Men''s Trampoline]:[Gymnastics - Women''s Trampoline]],MATCH(Table92[[#This Row],[Country]],Tabela1[Country], 0),0))</f>
        <v>0</v>
      </c>
      <c r="AT193" s="6">
        <f>SUM(INDEX(Tabela1[[Triathlon - Men''s Individual]:[Triathlon - Mixed Relay]],MATCH(Table92[[#This Row],[Country]],Tabela1[Country], 0),0))</f>
        <v>0</v>
      </c>
      <c r="AU193" s="6">
        <f>SUM(INDEX(Tabela1[[Volleyball - Men''s Tournament]:[Volleyball - Women''s Tournament]],MATCH(Table92[[#This Row],[Country]],Tabela1[Country], 0),0))</f>
        <v>0</v>
      </c>
      <c r="AV193" s="6">
        <f>SUM(INDEX(Tabela1[[Water Polo - Men''s Tournament]:[Water Polo - Women''s Tournament]],MATCH(Table92[[#This Row],[Country]],Tabela1[Country], 0),0))</f>
        <v>0</v>
      </c>
      <c r="AW193" s="6">
        <f>SUM(INDEX(Tabela1[[Weightlifting - Men''s 61kg]:[Weightlifting - Women''s +81kg]],MATCH(Table92[[#This Row],[Country]],Tabela1[Country], 0),0))</f>
        <v>0</v>
      </c>
      <c r="AX193" s="6">
        <f>SUM(INDEX(Tabela1[[Wrestling - Men''s Freestyle 57kg]:[Wrestling - Women''s Freestyle 76kg]],MATCH(Table92[[#This Row],[Country]],Tabela1[Country], 0),0))</f>
        <v>0</v>
      </c>
      <c r="AY193" s="6">
        <f>SUM(INDEX(Tabela1[[Alpine Skiing - Men''s Downhill]:[Alpine Skiing - Women''s Team Combined]],MATCH(Table92[[#This Row],[Country]],Tabela1[Country], 0),0))</f>
        <v>0</v>
      </c>
      <c r="AZ193" s="6">
        <f>SUM(INDEX(Tabela1[[Biathlon - Men''s Individual]:[Biathlon - Mixed Relay]],MATCH(Table92[[#This Row],[Country]],Tabela1[Country], 0),0))</f>
        <v>0</v>
      </c>
      <c r="BA193" s="6">
        <f>SUM(INDEX(Tabela1[[Bobsleigh - Women''s Monobob]:[Bobsleigh - Men''s Four]],MATCH(Table92[[#This Row],[Country]],Tabela1[Country], 0),0))</f>
        <v>0</v>
      </c>
      <c r="BB193" s="6">
        <f>SUM(INDEX(Tabela1[[Cross-country skiing - Men''s Classical]:[Cross-country skiing - Women''s Team Sprint]],MATCH(Table92[[#This Row],[Country]],Tabela1[Country], 0),0))</f>
        <v>0</v>
      </c>
      <c r="BC193" s="6">
        <f>SUM(INDEX(Tabela1[[Curling - Men''s Tournament]:[Curling - Mixed Doubles]],MATCH(Table92[[#This Row],[Country]],Tabela1[Country], 0),0))</f>
        <v>0</v>
      </c>
      <c r="BD193" s="6">
        <f>SUM(INDEX(Tabela1[[Figure Skating - Men''s Singles]:[Figure Skating - Team Event]],MATCH(Table92[[#This Row],[Country]],Tabela1[Country], 0),0))</f>
        <v>0</v>
      </c>
      <c r="BE193" s="6">
        <f>SUM(INDEX(Tabela1[[Freestyle Skiing - Men''s Aerials]:[Freestyle Skiing - Women''s Slopestyle]],MATCH(Table92[[#This Row],[Country]],Tabela1[Country], 0),0))</f>
        <v>0</v>
      </c>
      <c r="BF193" s="6">
        <f>SUM(INDEX(Tabela1[[Ice Hockey - Men''s Tournament]:[Ice Hockey - Women''s Tournament]],MATCH(Table92[[#This Row],[Country]],Tabela1[Country], 0),0))</f>
        <v>0</v>
      </c>
      <c r="BG193" s="6">
        <f>SUM(INDEX(Tabela1[[Luge - Men''s Singles]:[Luge - Mixed Team Relay]],MATCH(Table92[[#This Row],[Country]],Tabela1[Country], 0),0))</f>
        <v>0</v>
      </c>
      <c r="BH193" s="6">
        <f>SUM(INDEX(Tabela1[[Nordic Combined - Men''s Individual]:[Nordic Combined - Men''s Team Sprint Large Hill]],MATCH(Table92[[#This Row],[Country]],Tabela1[Country], 0),0))</f>
        <v>0</v>
      </c>
      <c r="BI193" s="6">
        <f>SUM(INDEX(Tabela1[[Short track speed skating - Men''s 500m]:[Short track speed skating - Mixed 2000m Relay]],MATCH(Table92[[#This Row],[Country]],Tabela1[Country], 0),0))</f>
        <v>0</v>
      </c>
      <c r="BJ193" s="6">
        <f>SUM(INDEX(Tabela1[[Skeleton - Men''s Individual]:[Skeleton - Mixed Team]],MATCH(Table92[[#This Row],[Country]],Tabela1[Country], 0),0))</f>
        <v>0</v>
      </c>
      <c r="BK193" s="6">
        <f>SUM(INDEX(Tabela1[[Ski Jumping - Men''s Individual Large Hill]:[Ski Jumping - Mixed Team Normal Hill]],MATCH(Table92[[#This Row],[Country]],Tabela1[Country], 0),0))</f>
        <v>0</v>
      </c>
      <c r="BL193" s="6">
        <f>SUM(INDEX(Tabela1[[Ski Mountaineering - Men''s Sprint]:[Ski Mountaineering - Mixed Relay]],MATCH(Table92[[#This Row],[Country]],Tabela1[Country], 0),0))</f>
        <v>0</v>
      </c>
      <c r="BM193" s="6">
        <f>SUM(INDEX(Tabela1[[Snowboarding - Men''s Big Air]:[Snowboarding - Mixed Team Snowboard Cross]],MATCH(Table92[[#This Row],[Country]],Tabela1[Country], 0),0))</f>
        <v>0</v>
      </c>
      <c r="BN193" s="6">
        <f>SUM(INDEX(Tabela1[[Speed Skating - Men''s 500m]:[Speed Skating - Women''s Team Pursuit]],MATCH(Table92[[#This Row],[Country]],Tabela1[Country], 0),0))</f>
        <v>0</v>
      </c>
      <c r="BO193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93" s="6">
        <f>SUM(Table92[[#This Row],[Summer Sports]:[Winter Sports]])</f>
        <v>0</v>
      </c>
      <c r="BQ193" s="6">
        <f>COUNTIF(Table92[[#This Row],[Archery Quotas]:[Wrestling Quotas]],"&lt;&gt;0")</f>
        <v>0</v>
      </c>
      <c r="BR193" s="6">
        <f>COUNTIF(Table92[[#This Row],[Alpine Skiing Quotas]:[Speed Skating Quotas]],"&lt;&gt;0")</f>
        <v>0</v>
      </c>
      <c r="BS193" s="3" t="s">
        <v>377</v>
      </c>
    </row>
    <row r="194" spans="1:71" x14ac:dyDescent="0.3">
      <c r="A194" s="6" t="s">
        <v>662</v>
      </c>
      <c r="B194" t="e" vm="195">
        <f>IF(ISBLANK(Table92[[#This Row],[Flag Link]]), "", _xlfn.IMAGE(Table92[[#This Row],[Flag Link]],1,1))</f>
        <v>#VALUE!</v>
      </c>
      <c r="C194" s="6">
        <f>SUM(Table92[[#This Row],[Archery Quotas]:[Speed Skating Quotas]])</f>
        <v>0</v>
      </c>
      <c r="D194" s="6">
        <f>SUM(INDEX(Tabela1[[Archery - Men''s Individual Recurve]:[Archery - Mixed Team Recurve]],MATCH(Table92[[#This Row],[Country]],Tabela1[Country], 0),0))</f>
        <v>0</v>
      </c>
      <c r="E194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94" s="6">
        <f>SUM(INDEX(Tabela1[[Artistic Swimming - Women''s Duet]:[Artistic Swimming - Women''s Team]],MATCH(Table92[[#This Row],[Country]],Tabela1[Country], 0),0))</f>
        <v>0</v>
      </c>
      <c r="G194" s="6">
        <f>SUM(INDEX(Tabela1[[Athletics - Men''s 100m]:[Athletics - Women''s Heptathlon]],MATCH(Table92[[#This Row],[Country]],Tabela1[Country], 0),0))</f>
        <v>0</v>
      </c>
      <c r="H194" s="6">
        <f>SUM(INDEX(Tabela1[[Badminton - Men''s Singles]:[Badminton - Mixed Doubles]],MATCH(Table92[[#This Row],[Country]],Tabela1[Country], 0),0))</f>
        <v>0</v>
      </c>
      <c r="I194" s="6">
        <f>SUM(INDEX(Tabela1[[Basketball - Men''s Tournament]:[Basketball - Women''s Tournament]],MATCH(Table92[[#This Row],[Country]],Tabela1[Country], 0),0))</f>
        <v>0</v>
      </c>
      <c r="J194" s="6">
        <f>SUM(INDEX(Tabela1[[3x3 Basketball - Men''s Tournament]:[3x3 Basketball - Women''s Tournament]],MATCH(Table92[[#This Row],[Country]],Tabela1[Country], 0),0))</f>
        <v>0</v>
      </c>
      <c r="K194" s="6">
        <f>SUM(INDEX(Tabela1[[Beach Volleyball - Men''s Tournament]:[Beach Volleyball - Women''s Tournament]],MATCH(Table92[[#This Row],[Country]],Tabela1[Country], 0),0))</f>
        <v>0</v>
      </c>
      <c r="L194" s="6">
        <f>SUM(INDEX(Tabela1[[Boxing - Men''s 51kg]:[Boxing - Women''s 75kg]],MATCH(Table92[[#This Row],[Country]],Tabela1[Country], 0),0))</f>
        <v>0</v>
      </c>
      <c r="M194" s="6">
        <f>SUM(INDEX(Tabela1[[Breaking - Men''s Individual]:[Breaking - Women''s Individual]],MATCH(Table92[[#This Row],[Country]],Tabela1[Country], 0),0))</f>
        <v>0</v>
      </c>
      <c r="N194" s="6">
        <f>SUM(INDEX(Tabela1[[Canoeing - Men''s C1 Slalom]:[Canoeing - Women''s Kayak Cross Slalom]],MATCH(Table92[[#This Row],[Country]],Tabela1[Country], 0),0))</f>
        <v>0</v>
      </c>
      <c r="O194" s="6">
        <f>SUM(INDEX(Tabela1[[Canoeing - Women''s C1 200m]:[Canoeing - Women''s K4 500m]],MATCH(Table92[[#This Row],[Country]],Tabela1[Country], 0),0))</f>
        <v>0</v>
      </c>
      <c r="P194" s="6">
        <f>SUM(INDEX(Tabela1[[Cycling - Men''s BMX Freestyle]:[Cycling - Women''s BMX Freestyle]],MATCH(Table92[[#This Row],[Country]],Tabela1[Country], 0),0))</f>
        <v>0</v>
      </c>
      <c r="Q194" s="6">
        <f>SUM(INDEX(Tabela1[[Cycling - Men''s BMX Racing]:[Cycling - Women''s BMX Racing]],MATCH(Table92[[#This Row],[Country]],Tabela1[Country], 0),0))</f>
        <v>0</v>
      </c>
      <c r="R194" s="6">
        <f>SUM(INDEX(Tabela1[[Cycling - Men''s Cross-Country]:[Cycling - Women''s Cross-Country]],MATCH(Table92[[#This Row],[Country]],Tabela1[Country], 0),0))</f>
        <v>0</v>
      </c>
      <c r="S194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94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94" s="6">
        <f>SUM(INDEX(Tabela1[[Diving - Men''s Springboard]:[Diving - Women''s Synchronized Platform]],MATCH(Table92[[#This Row],[Country]],Tabela1[Country], 0),0))</f>
        <v>0</v>
      </c>
      <c r="V194" s="6">
        <f>SUM(INDEX(Tabela1[[Equestrian - Individual Dressage]:[Equestrian - Team Dressage]],MATCH(Table92[[#This Row],[Country]],Tabela1[Country], 0),0))</f>
        <v>0</v>
      </c>
      <c r="W194" s="6">
        <f>SUM(INDEX(Tabela1[[Equestrian - Individual Eventing]:[Equestrian - Team Eventing]],MATCH(Table92[[#This Row],[Country]],Tabela1[Country], 0),0))</f>
        <v>0</v>
      </c>
      <c r="X194" s="6">
        <f>SUM(INDEX(Tabela1[[Equestrian - Individual Jumping]:[Equestrian - Team Jumping]],MATCH(Table92[[#This Row],[Country]],Tabela1[Country], 0),0))</f>
        <v>0</v>
      </c>
      <c r="Y194" s="6">
        <f>SUM(INDEX(Tabela1[[Fencing - Men''s Épée]:[Fencing - Women''s Team Sabre]],MATCH(Table92[[#This Row],[Country]],Tabela1[Country], 0),0))</f>
        <v>0</v>
      </c>
      <c r="Z194" s="6">
        <f>SUM(INDEX(Tabela1[[Field Hockey - Men''s Tournament]:[Field Hockey - Women''s Tournament]],MATCH(Table92[[#This Row],[Country]],Tabela1[Country], 0),0))</f>
        <v>0</v>
      </c>
      <c r="AA194" s="6">
        <f>SUM(INDEX(Tabela1[[Football - Men''s Tournament]:[Football - Women''s Tournament]],MATCH(Table92[[#This Row],[Country]],Tabela1[Country], 0),0))</f>
        <v>0</v>
      </c>
      <c r="AB194" s="6">
        <f>SUM(INDEX(Tabela1[[Golf - Men''s Individual]:[Golf - Women''s Individual]],MATCH(Table92[[#This Row],[Country]],Tabela1[Country], 0),0))</f>
        <v>0</v>
      </c>
      <c r="AC194" s="6">
        <f>SUM(INDEX(Tabela1[[Handball - Men''s Tournament]:[Handball - Women''s Tournament]],MATCH(Table92[[#This Row],[Country]],Tabela1[Country], 0),0))</f>
        <v>0</v>
      </c>
      <c r="AD194" s="6">
        <f>SUM(INDEX(Tabela1[[Judo - Men''s 60kg]:[Judo - Mixed Team]],MATCH(Table92[[#This Row],[Country]],Tabela1[Country], 0),0))</f>
        <v>0</v>
      </c>
      <c r="AE194" s="6">
        <f>SUM(INDEX(Tabela1[[Swimming - Men''s 10km Open Water]:[Swimming - Women''s 10km Open Water]],MATCH(Table92[[#This Row],[Country]],Tabela1[Country], 0),0))</f>
        <v>0</v>
      </c>
      <c r="AF194" s="6">
        <f>SUM(INDEX(Tabela1[[Modern Pentathlon - Men''s Individual]:[Modern Pentathlon - Women''s Individual]],MATCH(Table92[[#This Row],[Country]],Tabela1[Country], 0),0))</f>
        <v>0</v>
      </c>
      <c r="AG194" s="6">
        <f>SUM(INDEX(Tabela1[[Rhythmic Gymnastics - Women''s Individual All-Around]:[Rhythmic Gymnastics - Women''s Group All-Around]],MATCH(Table92[[#This Row],[Country]],Tabela1[Country], 0),0))</f>
        <v>0</v>
      </c>
      <c r="AH194" s="6">
        <f>SUM(INDEX(Tabela1[[Rowing - Men''s Single Sculls]:[Rowing - Women''s Lwt. Double Sculls]],MATCH(Table92[[#This Row],[Country]],Tabela1[Country], 0),0))</f>
        <v>0</v>
      </c>
      <c r="AI194" s="6">
        <f>SUM(INDEX(Tabela1[[Rugby Sevens - Men''s Tournament]:[Rugby Sevens - Women''s Tournament]],MATCH(Table92[[#This Row],[Country]],Tabela1[Country], 0),0))</f>
        <v>0</v>
      </c>
      <c r="AJ194" s="6">
        <f>SUM(INDEX(Tabela1[[Sailing - Mixed 470]:[Sailing - Mixed Nacra 17]],MATCH(Table92[[#This Row],[Country]],Tabela1[Country], 0),0))</f>
        <v>0</v>
      </c>
      <c r="AK194" s="6">
        <f>SUM(INDEX(Tabela1[[Shooting - Men''s 10m Air Pistol]:[Shooting - Women''s Trap]],MATCH(Table92[[#This Row],[Country]],Tabela1[Country], 0),0))</f>
        <v>0</v>
      </c>
      <c r="AL194" s="6">
        <f>SUM(INDEX(Tabela1[[Skateboarding - Men''s Park]:[Skateboarding - Women''s Street]],MATCH(Table92[[#This Row],[Country]],Tabela1[Country], 0),0))</f>
        <v>0</v>
      </c>
      <c r="AM194" s="6">
        <f>SUM(INDEX(Tabela1[[Sport Climbing - Men''s Boulder and Lead]:[Sport Climbing - Women''s Speed]],MATCH(Table92[[#This Row],[Country]],Tabela1[Country], 0),0))</f>
        <v>0</v>
      </c>
      <c r="AN194" s="6">
        <f>SUM(INDEX(Tabela1[[Surfing - Men''s Shortboard]:[Surfing - Women''s Shortboard]],MATCH(Table92[[#This Row],[Country]],Tabela1[Country], 0),0))</f>
        <v>0</v>
      </c>
      <c r="AO194" s="6">
        <f>SUM(INDEX(Tabela1[[Swimming - Men''s 50m Freestyle]:[Swimming - Mixed 4x100m Medley Relay]],MATCH(Table92[[#This Row],[Country]],Tabela1[Country], 0),0))</f>
        <v>0</v>
      </c>
      <c r="AP194" s="6">
        <f>SUM(INDEX(Tabela1[[Table Tennis - Men''s Singles]:[Table Tennis - Mixed Doubles]],MATCH(Table92[[#This Row],[Country]],Tabela1[Country], 0),0))</f>
        <v>0</v>
      </c>
      <c r="AQ194" s="6">
        <f>SUM(INDEX(Tabela1[[Taekwondo - Men''s 58kg]:[Taekwondo - Women''s +67kg]],MATCH(Table92[[#This Row],[Country]],Tabela1[Country], 0),0))</f>
        <v>0</v>
      </c>
      <c r="AR194" s="6">
        <f>SUM(INDEX(Tabela1[[Tennis - Men''s Singles]:[Tennis - Mixed Doubles]],MATCH(Table92[[#This Row],[Country]],Tabela1[Country], 0),0))</f>
        <v>0</v>
      </c>
      <c r="AS194" s="6">
        <f>SUM(INDEX(Tabela1[[Gymnastics - Men''s Trampoline]:[Gymnastics - Women''s Trampoline]],MATCH(Table92[[#This Row],[Country]],Tabela1[Country], 0),0))</f>
        <v>0</v>
      </c>
      <c r="AT194" s="6">
        <f>SUM(INDEX(Tabela1[[Triathlon - Men''s Individual]:[Triathlon - Mixed Relay]],MATCH(Table92[[#This Row],[Country]],Tabela1[Country], 0),0))</f>
        <v>0</v>
      </c>
      <c r="AU194" s="6">
        <f>SUM(INDEX(Tabela1[[Volleyball - Men''s Tournament]:[Volleyball - Women''s Tournament]],MATCH(Table92[[#This Row],[Country]],Tabela1[Country], 0),0))</f>
        <v>0</v>
      </c>
      <c r="AV194" s="6">
        <f>SUM(INDEX(Tabela1[[Water Polo - Men''s Tournament]:[Water Polo - Women''s Tournament]],MATCH(Table92[[#This Row],[Country]],Tabela1[Country], 0),0))</f>
        <v>0</v>
      </c>
      <c r="AW194" s="6">
        <f>SUM(INDEX(Tabela1[[Weightlifting - Men''s 61kg]:[Weightlifting - Women''s +81kg]],MATCH(Table92[[#This Row],[Country]],Tabela1[Country], 0),0))</f>
        <v>0</v>
      </c>
      <c r="AX194" s="6">
        <f>SUM(INDEX(Tabela1[[Wrestling - Men''s Freestyle 57kg]:[Wrestling - Women''s Freestyle 76kg]],MATCH(Table92[[#This Row],[Country]],Tabela1[Country], 0),0))</f>
        <v>0</v>
      </c>
      <c r="AY194" s="6">
        <f>SUM(INDEX(Tabela1[[Alpine Skiing - Men''s Downhill]:[Alpine Skiing - Women''s Team Combined]],MATCH(Table92[[#This Row],[Country]],Tabela1[Country], 0),0))</f>
        <v>0</v>
      </c>
      <c r="AZ194" s="6">
        <f>SUM(INDEX(Tabela1[[Biathlon - Men''s Individual]:[Biathlon - Mixed Relay]],MATCH(Table92[[#This Row],[Country]],Tabela1[Country], 0),0))</f>
        <v>0</v>
      </c>
      <c r="BA194" s="6">
        <f>SUM(INDEX(Tabela1[[Bobsleigh - Women''s Monobob]:[Bobsleigh - Men''s Four]],MATCH(Table92[[#This Row],[Country]],Tabela1[Country], 0),0))</f>
        <v>0</v>
      </c>
      <c r="BB194" s="6">
        <f>SUM(INDEX(Tabela1[[Cross-country skiing - Men''s Classical]:[Cross-country skiing - Women''s Team Sprint]],MATCH(Table92[[#This Row],[Country]],Tabela1[Country], 0),0))</f>
        <v>0</v>
      </c>
      <c r="BC194" s="6">
        <f>SUM(INDEX(Tabela1[[Curling - Men''s Tournament]:[Curling - Mixed Doubles]],MATCH(Table92[[#This Row],[Country]],Tabela1[Country], 0),0))</f>
        <v>0</v>
      </c>
      <c r="BD194" s="6">
        <f>SUM(INDEX(Tabela1[[Figure Skating - Men''s Singles]:[Figure Skating - Team Event]],MATCH(Table92[[#This Row],[Country]],Tabela1[Country], 0),0))</f>
        <v>0</v>
      </c>
      <c r="BE194" s="6">
        <f>SUM(INDEX(Tabela1[[Freestyle Skiing - Men''s Aerials]:[Freestyle Skiing - Women''s Slopestyle]],MATCH(Table92[[#This Row],[Country]],Tabela1[Country], 0),0))</f>
        <v>0</v>
      </c>
      <c r="BF194" s="6">
        <f>SUM(INDEX(Tabela1[[Ice Hockey - Men''s Tournament]:[Ice Hockey - Women''s Tournament]],MATCH(Table92[[#This Row],[Country]],Tabela1[Country], 0),0))</f>
        <v>0</v>
      </c>
      <c r="BG194" s="6">
        <f>SUM(INDEX(Tabela1[[Luge - Men''s Singles]:[Luge - Mixed Team Relay]],MATCH(Table92[[#This Row],[Country]],Tabela1[Country], 0),0))</f>
        <v>0</v>
      </c>
      <c r="BH194" s="6">
        <f>SUM(INDEX(Tabela1[[Nordic Combined - Men''s Individual]:[Nordic Combined - Men''s Team Sprint Large Hill]],MATCH(Table92[[#This Row],[Country]],Tabela1[Country], 0),0))</f>
        <v>0</v>
      </c>
      <c r="BI194" s="6">
        <f>SUM(INDEX(Tabela1[[Short track speed skating - Men''s 500m]:[Short track speed skating - Mixed 2000m Relay]],MATCH(Table92[[#This Row],[Country]],Tabela1[Country], 0),0))</f>
        <v>0</v>
      </c>
      <c r="BJ194" s="6">
        <f>SUM(INDEX(Tabela1[[Skeleton - Men''s Individual]:[Skeleton - Mixed Team]],MATCH(Table92[[#This Row],[Country]],Tabela1[Country], 0),0))</f>
        <v>0</v>
      </c>
      <c r="BK194" s="6">
        <f>SUM(INDEX(Tabela1[[Ski Jumping - Men''s Individual Large Hill]:[Ski Jumping - Mixed Team Normal Hill]],MATCH(Table92[[#This Row],[Country]],Tabela1[Country], 0),0))</f>
        <v>0</v>
      </c>
      <c r="BL194" s="6">
        <f>SUM(INDEX(Tabela1[[Ski Mountaineering - Men''s Sprint]:[Ski Mountaineering - Mixed Relay]],MATCH(Table92[[#This Row],[Country]],Tabela1[Country], 0),0))</f>
        <v>0</v>
      </c>
      <c r="BM194" s="6">
        <f>SUM(INDEX(Tabela1[[Snowboarding - Men''s Big Air]:[Snowboarding - Mixed Team Snowboard Cross]],MATCH(Table92[[#This Row],[Country]],Tabela1[Country], 0),0))</f>
        <v>0</v>
      </c>
      <c r="BN194" s="6">
        <f>SUM(INDEX(Tabela1[[Speed Skating - Men''s 500m]:[Speed Skating - Women''s Team Pursuit]],MATCH(Table92[[#This Row],[Country]],Tabela1[Country], 0),0))</f>
        <v>0</v>
      </c>
      <c r="BO194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94" s="6">
        <f>SUM(Table92[[#This Row],[Summer Sports]:[Winter Sports]])</f>
        <v>0</v>
      </c>
      <c r="BQ194" s="6">
        <f>COUNTIF(Table92[[#This Row],[Archery Quotas]:[Wrestling Quotas]],"&lt;&gt;0")</f>
        <v>0</v>
      </c>
      <c r="BR194" s="6">
        <f>COUNTIF(Table92[[#This Row],[Alpine Skiing Quotas]:[Speed Skating Quotas]],"&lt;&gt;0")</f>
        <v>0</v>
      </c>
      <c r="BS194" s="3" t="s">
        <v>663</v>
      </c>
    </row>
    <row r="195" spans="1:71" x14ac:dyDescent="0.3">
      <c r="A195" s="6" t="s">
        <v>672</v>
      </c>
      <c r="B195" t="e" vm="159">
        <f>IF(ISBLANK(Table92[[#This Row],[Flag Link]]), "", _xlfn.IMAGE(Table92[[#This Row],[Flag Link]],1,1))</f>
        <v>#VALUE!</v>
      </c>
      <c r="C195" s="6">
        <f>SUM(Table92[[#This Row],[Archery Quotas]:[Speed Skating Quotas]])</f>
        <v>0</v>
      </c>
      <c r="D195" s="6">
        <f>SUM(INDEX(Tabela1[[Archery - Men''s Individual Recurve]:[Archery - Mixed Team Recurve]],MATCH(Table92[[#This Row],[Country]],Tabela1[Country], 0),0))</f>
        <v>0</v>
      </c>
      <c r="E195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95" s="6">
        <f>SUM(INDEX(Tabela1[[Artistic Swimming - Women''s Duet]:[Artistic Swimming - Women''s Team]],MATCH(Table92[[#This Row],[Country]],Tabela1[Country], 0),0))</f>
        <v>0</v>
      </c>
      <c r="G195" s="6">
        <f>SUM(INDEX(Tabela1[[Athletics - Men''s 100m]:[Athletics - Women''s Heptathlon]],MATCH(Table92[[#This Row],[Country]],Tabela1[Country], 0),0))</f>
        <v>0</v>
      </c>
      <c r="H195" s="6">
        <f>SUM(INDEX(Tabela1[[Badminton - Men''s Singles]:[Badminton - Mixed Doubles]],MATCH(Table92[[#This Row],[Country]],Tabela1[Country], 0),0))</f>
        <v>0</v>
      </c>
      <c r="I195" s="6">
        <f>SUM(INDEX(Tabela1[[Basketball - Men''s Tournament]:[Basketball - Women''s Tournament]],MATCH(Table92[[#This Row],[Country]],Tabela1[Country], 0),0))</f>
        <v>0</v>
      </c>
      <c r="J195" s="6">
        <f>SUM(INDEX(Tabela1[[3x3 Basketball - Men''s Tournament]:[3x3 Basketball - Women''s Tournament]],MATCH(Table92[[#This Row],[Country]],Tabela1[Country], 0),0))</f>
        <v>0</v>
      </c>
      <c r="K195" s="6">
        <f>SUM(INDEX(Tabela1[[Beach Volleyball - Men''s Tournament]:[Beach Volleyball - Women''s Tournament]],MATCH(Table92[[#This Row],[Country]],Tabela1[Country], 0),0))</f>
        <v>0</v>
      </c>
      <c r="L195" s="6">
        <f>SUM(INDEX(Tabela1[[Boxing - Men''s 51kg]:[Boxing - Women''s 75kg]],MATCH(Table92[[#This Row],[Country]],Tabela1[Country], 0),0))</f>
        <v>0</v>
      </c>
      <c r="M195" s="6">
        <f>SUM(INDEX(Tabela1[[Breaking - Men''s Individual]:[Breaking - Women''s Individual]],MATCH(Table92[[#This Row],[Country]],Tabela1[Country], 0),0))</f>
        <v>0</v>
      </c>
      <c r="N195" s="6">
        <f>SUM(INDEX(Tabela1[[Canoeing - Men''s C1 Slalom]:[Canoeing - Women''s Kayak Cross Slalom]],MATCH(Table92[[#This Row],[Country]],Tabela1[Country], 0),0))</f>
        <v>0</v>
      </c>
      <c r="O195" s="6">
        <f>SUM(INDEX(Tabela1[[Canoeing - Women''s C1 200m]:[Canoeing - Women''s K4 500m]],MATCH(Table92[[#This Row],[Country]],Tabela1[Country], 0),0))</f>
        <v>0</v>
      </c>
      <c r="P195" s="6">
        <f>SUM(INDEX(Tabela1[[Cycling - Men''s BMX Freestyle]:[Cycling - Women''s BMX Freestyle]],MATCH(Table92[[#This Row],[Country]],Tabela1[Country], 0),0))</f>
        <v>0</v>
      </c>
      <c r="Q195" s="6">
        <f>SUM(INDEX(Tabela1[[Cycling - Men''s BMX Racing]:[Cycling - Women''s BMX Racing]],MATCH(Table92[[#This Row],[Country]],Tabela1[Country], 0),0))</f>
        <v>0</v>
      </c>
      <c r="R195" s="6">
        <f>SUM(INDEX(Tabela1[[Cycling - Men''s Cross-Country]:[Cycling - Women''s Cross-Country]],MATCH(Table92[[#This Row],[Country]],Tabela1[Country], 0),0))</f>
        <v>0</v>
      </c>
      <c r="S195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95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95" s="6">
        <f>SUM(INDEX(Tabela1[[Diving - Men''s Springboard]:[Diving - Women''s Synchronized Platform]],MATCH(Table92[[#This Row],[Country]],Tabela1[Country], 0),0))</f>
        <v>0</v>
      </c>
      <c r="V195" s="6">
        <f>SUM(INDEX(Tabela1[[Equestrian - Individual Dressage]:[Equestrian - Team Dressage]],MATCH(Table92[[#This Row],[Country]],Tabela1[Country], 0),0))</f>
        <v>0</v>
      </c>
      <c r="W195" s="6">
        <f>SUM(INDEX(Tabela1[[Equestrian - Individual Eventing]:[Equestrian - Team Eventing]],MATCH(Table92[[#This Row],[Country]],Tabela1[Country], 0),0))</f>
        <v>0</v>
      </c>
      <c r="X195" s="6">
        <f>SUM(INDEX(Tabela1[[Equestrian - Individual Jumping]:[Equestrian - Team Jumping]],MATCH(Table92[[#This Row],[Country]],Tabela1[Country], 0),0))</f>
        <v>0</v>
      </c>
      <c r="Y195" s="6">
        <f>SUM(INDEX(Tabela1[[Fencing - Men''s Épée]:[Fencing - Women''s Team Sabre]],MATCH(Table92[[#This Row],[Country]],Tabela1[Country], 0),0))</f>
        <v>0</v>
      </c>
      <c r="Z195" s="6">
        <f>SUM(INDEX(Tabela1[[Field Hockey - Men''s Tournament]:[Field Hockey - Women''s Tournament]],MATCH(Table92[[#This Row],[Country]],Tabela1[Country], 0),0))</f>
        <v>0</v>
      </c>
      <c r="AA195" s="6">
        <f>SUM(INDEX(Tabela1[[Football - Men''s Tournament]:[Football - Women''s Tournament]],MATCH(Table92[[#This Row],[Country]],Tabela1[Country], 0),0))</f>
        <v>0</v>
      </c>
      <c r="AB195" s="6">
        <f>SUM(INDEX(Tabela1[[Golf - Men''s Individual]:[Golf - Women''s Individual]],MATCH(Table92[[#This Row],[Country]],Tabela1[Country], 0),0))</f>
        <v>0</v>
      </c>
      <c r="AC195" s="6">
        <f>SUM(INDEX(Tabela1[[Handball - Men''s Tournament]:[Handball - Women''s Tournament]],MATCH(Table92[[#This Row],[Country]],Tabela1[Country], 0),0))</f>
        <v>0</v>
      </c>
      <c r="AD195" s="6">
        <f>SUM(INDEX(Tabela1[[Judo - Men''s 60kg]:[Judo - Mixed Team]],MATCH(Table92[[#This Row],[Country]],Tabela1[Country], 0),0))</f>
        <v>0</v>
      </c>
      <c r="AE195" s="6">
        <f>SUM(INDEX(Tabela1[[Swimming - Men''s 10km Open Water]:[Swimming - Women''s 10km Open Water]],MATCH(Table92[[#This Row],[Country]],Tabela1[Country], 0),0))</f>
        <v>0</v>
      </c>
      <c r="AF195" s="6">
        <f>SUM(INDEX(Tabela1[[Modern Pentathlon - Men''s Individual]:[Modern Pentathlon - Women''s Individual]],MATCH(Table92[[#This Row],[Country]],Tabela1[Country], 0),0))</f>
        <v>0</v>
      </c>
      <c r="AG195" s="6">
        <f>SUM(INDEX(Tabela1[[Rhythmic Gymnastics - Women''s Individual All-Around]:[Rhythmic Gymnastics - Women''s Group All-Around]],MATCH(Table92[[#This Row],[Country]],Tabela1[Country], 0),0))</f>
        <v>0</v>
      </c>
      <c r="AH195" s="6">
        <f>SUM(INDEX(Tabela1[[Rowing - Men''s Single Sculls]:[Rowing - Women''s Lwt. Double Sculls]],MATCH(Table92[[#This Row],[Country]],Tabela1[Country], 0),0))</f>
        <v>0</v>
      </c>
      <c r="AI195" s="6">
        <f>SUM(INDEX(Tabela1[[Rugby Sevens - Men''s Tournament]:[Rugby Sevens - Women''s Tournament]],MATCH(Table92[[#This Row],[Country]],Tabela1[Country], 0),0))</f>
        <v>0</v>
      </c>
      <c r="AJ195" s="6">
        <f>SUM(INDEX(Tabela1[[Sailing - Mixed 470]:[Sailing - Mixed Nacra 17]],MATCH(Table92[[#This Row],[Country]],Tabela1[Country], 0),0))</f>
        <v>0</v>
      </c>
      <c r="AK195" s="6">
        <f>SUM(INDEX(Tabela1[[Shooting - Men''s 10m Air Pistol]:[Shooting - Women''s Trap]],MATCH(Table92[[#This Row],[Country]],Tabela1[Country], 0),0))</f>
        <v>0</v>
      </c>
      <c r="AL195" s="6">
        <f>SUM(INDEX(Tabela1[[Skateboarding - Men''s Park]:[Skateboarding - Women''s Street]],MATCH(Table92[[#This Row],[Country]],Tabela1[Country], 0),0))</f>
        <v>0</v>
      </c>
      <c r="AM195" s="6">
        <f>SUM(INDEX(Tabela1[[Sport Climbing - Men''s Boulder and Lead]:[Sport Climbing - Women''s Speed]],MATCH(Table92[[#This Row],[Country]],Tabela1[Country], 0),0))</f>
        <v>0</v>
      </c>
      <c r="AN195" s="6">
        <f>SUM(INDEX(Tabela1[[Surfing - Men''s Shortboard]:[Surfing - Women''s Shortboard]],MATCH(Table92[[#This Row],[Country]],Tabela1[Country], 0),0))</f>
        <v>0</v>
      </c>
      <c r="AO195" s="6">
        <f>SUM(INDEX(Tabela1[[Swimming - Men''s 50m Freestyle]:[Swimming - Mixed 4x100m Medley Relay]],MATCH(Table92[[#This Row],[Country]],Tabela1[Country], 0),0))</f>
        <v>0</v>
      </c>
      <c r="AP195" s="6">
        <f>SUM(INDEX(Tabela1[[Table Tennis - Men''s Singles]:[Table Tennis - Mixed Doubles]],MATCH(Table92[[#This Row],[Country]],Tabela1[Country], 0),0))</f>
        <v>0</v>
      </c>
      <c r="AQ195" s="6">
        <f>SUM(INDEX(Tabela1[[Taekwondo - Men''s 58kg]:[Taekwondo - Women''s +67kg]],MATCH(Table92[[#This Row],[Country]],Tabela1[Country], 0),0))</f>
        <v>0</v>
      </c>
      <c r="AR195" s="6">
        <f>SUM(INDEX(Tabela1[[Tennis - Men''s Singles]:[Tennis - Mixed Doubles]],MATCH(Table92[[#This Row],[Country]],Tabela1[Country], 0),0))</f>
        <v>0</v>
      </c>
      <c r="AS195" s="6">
        <f>SUM(INDEX(Tabela1[[Gymnastics - Men''s Trampoline]:[Gymnastics - Women''s Trampoline]],MATCH(Table92[[#This Row],[Country]],Tabela1[Country], 0),0))</f>
        <v>0</v>
      </c>
      <c r="AT195" s="6">
        <f>SUM(INDEX(Tabela1[[Triathlon - Men''s Individual]:[Triathlon - Mixed Relay]],MATCH(Table92[[#This Row],[Country]],Tabela1[Country], 0),0))</f>
        <v>0</v>
      </c>
      <c r="AU195" s="6">
        <f>SUM(INDEX(Tabela1[[Volleyball - Men''s Tournament]:[Volleyball - Women''s Tournament]],MATCH(Table92[[#This Row],[Country]],Tabela1[Country], 0),0))</f>
        <v>0</v>
      </c>
      <c r="AV195" s="6">
        <f>SUM(INDEX(Tabela1[[Water Polo - Men''s Tournament]:[Water Polo - Women''s Tournament]],MATCH(Table92[[#This Row],[Country]],Tabela1[Country], 0),0))</f>
        <v>0</v>
      </c>
      <c r="AW195" s="6">
        <f>SUM(INDEX(Tabela1[[Weightlifting - Men''s 61kg]:[Weightlifting - Women''s +81kg]],MATCH(Table92[[#This Row],[Country]],Tabela1[Country], 0),0))</f>
        <v>0</v>
      </c>
      <c r="AX195" s="6">
        <f>SUM(INDEX(Tabela1[[Wrestling - Men''s Freestyle 57kg]:[Wrestling - Women''s Freestyle 76kg]],MATCH(Table92[[#This Row],[Country]],Tabela1[Country], 0),0))</f>
        <v>0</v>
      </c>
      <c r="AY195" s="6">
        <f>SUM(INDEX(Tabela1[[Alpine Skiing - Men''s Downhill]:[Alpine Skiing - Women''s Team Combined]],MATCH(Table92[[#This Row],[Country]],Tabela1[Country], 0),0))</f>
        <v>0</v>
      </c>
      <c r="AZ195" s="6">
        <f>SUM(INDEX(Tabela1[[Biathlon - Men''s Individual]:[Biathlon - Mixed Relay]],MATCH(Table92[[#This Row],[Country]],Tabela1[Country], 0),0))</f>
        <v>0</v>
      </c>
      <c r="BA195" s="6">
        <f>SUM(INDEX(Tabela1[[Bobsleigh - Women''s Monobob]:[Bobsleigh - Men''s Four]],MATCH(Table92[[#This Row],[Country]],Tabela1[Country], 0),0))</f>
        <v>0</v>
      </c>
      <c r="BB195" s="6">
        <f>SUM(INDEX(Tabela1[[Cross-country skiing - Men''s Classical]:[Cross-country skiing - Women''s Team Sprint]],MATCH(Table92[[#This Row],[Country]],Tabela1[Country], 0),0))</f>
        <v>0</v>
      </c>
      <c r="BC195" s="6">
        <f>SUM(INDEX(Tabela1[[Curling - Men''s Tournament]:[Curling - Mixed Doubles]],MATCH(Table92[[#This Row],[Country]],Tabela1[Country], 0),0))</f>
        <v>0</v>
      </c>
      <c r="BD195" s="6">
        <f>SUM(INDEX(Tabela1[[Figure Skating - Men''s Singles]:[Figure Skating - Team Event]],MATCH(Table92[[#This Row],[Country]],Tabela1[Country], 0),0))</f>
        <v>0</v>
      </c>
      <c r="BE195" s="6">
        <f>SUM(INDEX(Tabela1[[Freestyle Skiing - Men''s Aerials]:[Freestyle Skiing - Women''s Slopestyle]],MATCH(Table92[[#This Row],[Country]],Tabela1[Country], 0),0))</f>
        <v>0</v>
      </c>
      <c r="BF195" s="6">
        <f>SUM(INDEX(Tabela1[[Ice Hockey - Men''s Tournament]:[Ice Hockey - Women''s Tournament]],MATCH(Table92[[#This Row],[Country]],Tabela1[Country], 0),0))</f>
        <v>0</v>
      </c>
      <c r="BG195" s="6">
        <f>SUM(INDEX(Tabela1[[Luge - Men''s Singles]:[Luge - Mixed Team Relay]],MATCH(Table92[[#This Row],[Country]],Tabela1[Country], 0),0))</f>
        <v>0</v>
      </c>
      <c r="BH195" s="6">
        <f>SUM(INDEX(Tabela1[[Nordic Combined - Men''s Individual]:[Nordic Combined - Men''s Team Sprint Large Hill]],MATCH(Table92[[#This Row],[Country]],Tabela1[Country], 0),0))</f>
        <v>0</v>
      </c>
      <c r="BI195" s="6">
        <f>SUM(INDEX(Tabela1[[Short track speed skating - Men''s 500m]:[Short track speed skating - Mixed 2000m Relay]],MATCH(Table92[[#This Row],[Country]],Tabela1[Country], 0),0))</f>
        <v>0</v>
      </c>
      <c r="BJ195" s="6">
        <f>SUM(INDEX(Tabela1[[Skeleton - Men''s Individual]:[Skeleton - Mixed Team]],MATCH(Table92[[#This Row],[Country]],Tabela1[Country], 0),0))</f>
        <v>0</v>
      </c>
      <c r="BK195" s="6">
        <f>SUM(INDEX(Tabela1[[Ski Jumping - Men''s Individual Large Hill]:[Ski Jumping - Mixed Team Normal Hill]],MATCH(Table92[[#This Row],[Country]],Tabela1[Country], 0),0))</f>
        <v>0</v>
      </c>
      <c r="BL195" s="6">
        <f>SUM(INDEX(Tabela1[[Ski Mountaineering - Men''s Sprint]:[Ski Mountaineering - Mixed Relay]],MATCH(Table92[[#This Row],[Country]],Tabela1[Country], 0),0))</f>
        <v>0</v>
      </c>
      <c r="BM195" s="6">
        <f>SUM(INDEX(Tabela1[[Snowboarding - Men''s Big Air]:[Snowboarding - Mixed Team Snowboard Cross]],MATCH(Table92[[#This Row],[Country]],Tabela1[Country], 0),0))</f>
        <v>0</v>
      </c>
      <c r="BN195" s="6">
        <f>SUM(INDEX(Tabela1[[Speed Skating - Men''s 500m]:[Speed Skating - Women''s Team Pursuit]],MATCH(Table92[[#This Row],[Country]],Tabela1[Country], 0),0))</f>
        <v>0</v>
      </c>
      <c r="BO195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95" s="6">
        <f>SUM(Table92[[#This Row],[Summer Sports]:[Winter Sports]])</f>
        <v>0</v>
      </c>
      <c r="BQ195" s="6">
        <f>COUNTIF(Table92[[#This Row],[Archery Quotas]:[Wrestling Quotas]],"&lt;&gt;0")</f>
        <v>0</v>
      </c>
      <c r="BR195" s="6">
        <f>COUNTIF(Table92[[#This Row],[Alpine Skiing Quotas]:[Speed Skating Quotas]],"&lt;&gt;0")</f>
        <v>0</v>
      </c>
      <c r="BS195" s="3" t="s">
        <v>673</v>
      </c>
    </row>
    <row r="196" spans="1:71" x14ac:dyDescent="0.3">
      <c r="A196" s="6" t="s">
        <v>678</v>
      </c>
      <c r="B196" t="e" vm="196">
        <f>IF(ISBLANK(Table92[[#This Row],[Flag Link]]), "", _xlfn.IMAGE(Table92[[#This Row],[Flag Link]],1,1))</f>
        <v>#VALUE!</v>
      </c>
      <c r="C196" s="6">
        <f>SUM(Table92[[#This Row],[Archery Quotas]:[Speed Skating Quotas]])</f>
        <v>0</v>
      </c>
      <c r="D196" s="6">
        <f>SUM(INDEX(Tabela1[[Archery - Men''s Individual Recurve]:[Archery - Mixed Team Recurve]],MATCH(Table92[[#This Row],[Country]],Tabela1[Country], 0),0))</f>
        <v>0</v>
      </c>
      <c r="E196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96" s="6">
        <f>SUM(INDEX(Tabela1[[Artistic Swimming - Women''s Duet]:[Artistic Swimming - Women''s Team]],MATCH(Table92[[#This Row],[Country]],Tabela1[Country], 0),0))</f>
        <v>0</v>
      </c>
      <c r="G196" s="6">
        <f>SUM(INDEX(Tabela1[[Athletics - Men''s 100m]:[Athletics - Women''s Heptathlon]],MATCH(Table92[[#This Row],[Country]],Tabela1[Country], 0),0))</f>
        <v>0</v>
      </c>
      <c r="H196" s="6">
        <f>SUM(INDEX(Tabela1[[Badminton - Men''s Singles]:[Badminton - Mixed Doubles]],MATCH(Table92[[#This Row],[Country]],Tabela1[Country], 0),0))</f>
        <v>0</v>
      </c>
      <c r="I196" s="6">
        <f>SUM(INDEX(Tabela1[[Basketball - Men''s Tournament]:[Basketball - Women''s Tournament]],MATCH(Table92[[#This Row],[Country]],Tabela1[Country], 0),0))</f>
        <v>0</v>
      </c>
      <c r="J196" s="6">
        <f>SUM(INDEX(Tabela1[[3x3 Basketball - Men''s Tournament]:[3x3 Basketball - Women''s Tournament]],MATCH(Table92[[#This Row],[Country]],Tabela1[Country], 0),0))</f>
        <v>0</v>
      </c>
      <c r="K196" s="6">
        <f>SUM(INDEX(Tabela1[[Beach Volleyball - Men''s Tournament]:[Beach Volleyball - Women''s Tournament]],MATCH(Table92[[#This Row],[Country]],Tabela1[Country], 0),0))</f>
        <v>0</v>
      </c>
      <c r="L196" s="6">
        <f>SUM(INDEX(Tabela1[[Boxing - Men''s 51kg]:[Boxing - Women''s 75kg]],MATCH(Table92[[#This Row],[Country]],Tabela1[Country], 0),0))</f>
        <v>0</v>
      </c>
      <c r="M196" s="6">
        <f>SUM(INDEX(Tabela1[[Breaking - Men''s Individual]:[Breaking - Women''s Individual]],MATCH(Table92[[#This Row],[Country]],Tabela1[Country], 0),0))</f>
        <v>0</v>
      </c>
      <c r="N196" s="6">
        <f>SUM(INDEX(Tabela1[[Canoeing - Men''s C1 Slalom]:[Canoeing - Women''s Kayak Cross Slalom]],MATCH(Table92[[#This Row],[Country]],Tabela1[Country], 0),0))</f>
        <v>0</v>
      </c>
      <c r="O196" s="6">
        <f>SUM(INDEX(Tabela1[[Canoeing - Women''s C1 200m]:[Canoeing - Women''s K4 500m]],MATCH(Table92[[#This Row],[Country]],Tabela1[Country], 0),0))</f>
        <v>0</v>
      </c>
      <c r="P196" s="6">
        <f>SUM(INDEX(Tabela1[[Cycling - Men''s BMX Freestyle]:[Cycling - Women''s BMX Freestyle]],MATCH(Table92[[#This Row],[Country]],Tabela1[Country], 0),0))</f>
        <v>0</v>
      </c>
      <c r="Q196" s="6">
        <f>SUM(INDEX(Tabela1[[Cycling - Men''s BMX Racing]:[Cycling - Women''s BMX Racing]],MATCH(Table92[[#This Row],[Country]],Tabela1[Country], 0),0))</f>
        <v>0</v>
      </c>
      <c r="R196" s="6">
        <f>SUM(INDEX(Tabela1[[Cycling - Men''s Cross-Country]:[Cycling - Women''s Cross-Country]],MATCH(Table92[[#This Row],[Country]],Tabela1[Country], 0),0))</f>
        <v>0</v>
      </c>
      <c r="S196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96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96" s="6">
        <f>SUM(INDEX(Tabela1[[Diving - Men''s Springboard]:[Diving - Women''s Synchronized Platform]],MATCH(Table92[[#This Row],[Country]],Tabela1[Country], 0),0))</f>
        <v>0</v>
      </c>
      <c r="V196" s="6">
        <f>SUM(INDEX(Tabela1[[Equestrian - Individual Dressage]:[Equestrian - Team Dressage]],MATCH(Table92[[#This Row],[Country]],Tabela1[Country], 0),0))</f>
        <v>0</v>
      </c>
      <c r="W196" s="6">
        <f>SUM(INDEX(Tabela1[[Equestrian - Individual Eventing]:[Equestrian - Team Eventing]],MATCH(Table92[[#This Row],[Country]],Tabela1[Country], 0),0))</f>
        <v>0</v>
      </c>
      <c r="X196" s="6">
        <f>SUM(INDEX(Tabela1[[Equestrian - Individual Jumping]:[Equestrian - Team Jumping]],MATCH(Table92[[#This Row],[Country]],Tabela1[Country], 0),0))</f>
        <v>0</v>
      </c>
      <c r="Y196" s="6">
        <f>SUM(INDEX(Tabela1[[Fencing - Men''s Épée]:[Fencing - Women''s Team Sabre]],MATCH(Table92[[#This Row],[Country]],Tabela1[Country], 0),0))</f>
        <v>0</v>
      </c>
      <c r="Z196" s="6">
        <f>SUM(INDEX(Tabela1[[Field Hockey - Men''s Tournament]:[Field Hockey - Women''s Tournament]],MATCH(Table92[[#This Row],[Country]],Tabela1[Country], 0),0))</f>
        <v>0</v>
      </c>
      <c r="AA196" s="6">
        <f>SUM(INDEX(Tabela1[[Football - Men''s Tournament]:[Football - Women''s Tournament]],MATCH(Table92[[#This Row],[Country]],Tabela1[Country], 0),0))</f>
        <v>0</v>
      </c>
      <c r="AB196" s="6">
        <f>SUM(INDEX(Tabela1[[Golf - Men''s Individual]:[Golf - Women''s Individual]],MATCH(Table92[[#This Row],[Country]],Tabela1[Country], 0),0))</f>
        <v>0</v>
      </c>
      <c r="AC196" s="6">
        <f>SUM(INDEX(Tabela1[[Handball - Men''s Tournament]:[Handball - Women''s Tournament]],MATCH(Table92[[#This Row],[Country]],Tabela1[Country], 0),0))</f>
        <v>0</v>
      </c>
      <c r="AD196" s="6">
        <f>SUM(INDEX(Tabela1[[Judo - Men''s 60kg]:[Judo - Mixed Team]],MATCH(Table92[[#This Row],[Country]],Tabela1[Country], 0),0))</f>
        <v>0</v>
      </c>
      <c r="AE196" s="6">
        <f>SUM(INDEX(Tabela1[[Swimming - Men''s 10km Open Water]:[Swimming - Women''s 10km Open Water]],MATCH(Table92[[#This Row],[Country]],Tabela1[Country], 0),0))</f>
        <v>0</v>
      </c>
      <c r="AF196" s="6">
        <f>SUM(INDEX(Tabela1[[Modern Pentathlon - Men''s Individual]:[Modern Pentathlon - Women''s Individual]],MATCH(Table92[[#This Row],[Country]],Tabela1[Country], 0),0))</f>
        <v>0</v>
      </c>
      <c r="AG196" s="6">
        <f>SUM(INDEX(Tabela1[[Rhythmic Gymnastics - Women''s Individual All-Around]:[Rhythmic Gymnastics - Women''s Group All-Around]],MATCH(Table92[[#This Row],[Country]],Tabela1[Country], 0),0))</f>
        <v>0</v>
      </c>
      <c r="AH196" s="6">
        <f>SUM(INDEX(Tabela1[[Rowing - Men''s Single Sculls]:[Rowing - Women''s Lwt. Double Sculls]],MATCH(Table92[[#This Row],[Country]],Tabela1[Country], 0),0))</f>
        <v>0</v>
      </c>
      <c r="AI196" s="6">
        <f>SUM(INDEX(Tabela1[[Rugby Sevens - Men''s Tournament]:[Rugby Sevens - Women''s Tournament]],MATCH(Table92[[#This Row],[Country]],Tabela1[Country], 0),0))</f>
        <v>0</v>
      </c>
      <c r="AJ196" s="6">
        <f>SUM(INDEX(Tabela1[[Sailing - Mixed 470]:[Sailing - Mixed Nacra 17]],MATCH(Table92[[#This Row],[Country]],Tabela1[Country], 0),0))</f>
        <v>0</v>
      </c>
      <c r="AK196" s="6">
        <f>SUM(INDEX(Tabela1[[Shooting - Men''s 10m Air Pistol]:[Shooting - Women''s Trap]],MATCH(Table92[[#This Row],[Country]],Tabela1[Country], 0),0))</f>
        <v>0</v>
      </c>
      <c r="AL196" s="6">
        <f>SUM(INDEX(Tabela1[[Skateboarding - Men''s Park]:[Skateboarding - Women''s Street]],MATCH(Table92[[#This Row],[Country]],Tabela1[Country], 0),0))</f>
        <v>0</v>
      </c>
      <c r="AM196" s="6">
        <f>SUM(INDEX(Tabela1[[Sport Climbing - Men''s Boulder and Lead]:[Sport Climbing - Women''s Speed]],MATCH(Table92[[#This Row],[Country]],Tabela1[Country], 0),0))</f>
        <v>0</v>
      </c>
      <c r="AN196" s="6">
        <f>SUM(INDEX(Tabela1[[Surfing - Men''s Shortboard]:[Surfing - Women''s Shortboard]],MATCH(Table92[[#This Row],[Country]],Tabela1[Country], 0),0))</f>
        <v>0</v>
      </c>
      <c r="AO196" s="6">
        <f>SUM(INDEX(Tabela1[[Swimming - Men''s 50m Freestyle]:[Swimming - Mixed 4x100m Medley Relay]],MATCH(Table92[[#This Row],[Country]],Tabela1[Country], 0),0))</f>
        <v>0</v>
      </c>
      <c r="AP196" s="6">
        <f>SUM(INDEX(Tabela1[[Table Tennis - Men''s Singles]:[Table Tennis - Mixed Doubles]],MATCH(Table92[[#This Row],[Country]],Tabela1[Country], 0),0))</f>
        <v>0</v>
      </c>
      <c r="AQ196" s="6">
        <f>SUM(INDEX(Tabela1[[Taekwondo - Men''s 58kg]:[Taekwondo - Women''s +67kg]],MATCH(Table92[[#This Row],[Country]],Tabela1[Country], 0),0))</f>
        <v>0</v>
      </c>
      <c r="AR196" s="6">
        <f>SUM(INDEX(Tabela1[[Tennis - Men''s Singles]:[Tennis - Mixed Doubles]],MATCH(Table92[[#This Row],[Country]],Tabela1[Country], 0),0))</f>
        <v>0</v>
      </c>
      <c r="AS196" s="6">
        <f>SUM(INDEX(Tabela1[[Gymnastics - Men''s Trampoline]:[Gymnastics - Women''s Trampoline]],MATCH(Table92[[#This Row],[Country]],Tabela1[Country], 0),0))</f>
        <v>0</v>
      </c>
      <c r="AT196" s="6">
        <f>SUM(INDEX(Tabela1[[Triathlon - Men''s Individual]:[Triathlon - Mixed Relay]],MATCH(Table92[[#This Row],[Country]],Tabela1[Country], 0),0))</f>
        <v>0</v>
      </c>
      <c r="AU196" s="6">
        <f>SUM(INDEX(Tabela1[[Volleyball - Men''s Tournament]:[Volleyball - Women''s Tournament]],MATCH(Table92[[#This Row],[Country]],Tabela1[Country], 0),0))</f>
        <v>0</v>
      </c>
      <c r="AV196" s="6">
        <f>SUM(INDEX(Tabela1[[Water Polo - Men''s Tournament]:[Water Polo - Women''s Tournament]],MATCH(Table92[[#This Row],[Country]],Tabela1[Country], 0),0))</f>
        <v>0</v>
      </c>
      <c r="AW196" s="6">
        <f>SUM(INDEX(Tabela1[[Weightlifting - Men''s 61kg]:[Weightlifting - Women''s +81kg]],MATCH(Table92[[#This Row],[Country]],Tabela1[Country], 0),0))</f>
        <v>0</v>
      </c>
      <c r="AX196" s="6">
        <f>SUM(INDEX(Tabela1[[Wrestling - Men''s Freestyle 57kg]:[Wrestling - Women''s Freestyle 76kg]],MATCH(Table92[[#This Row],[Country]],Tabela1[Country], 0),0))</f>
        <v>0</v>
      </c>
      <c r="AY196" s="6">
        <f>SUM(INDEX(Tabela1[[Alpine Skiing - Men''s Downhill]:[Alpine Skiing - Women''s Team Combined]],MATCH(Table92[[#This Row],[Country]],Tabela1[Country], 0),0))</f>
        <v>0</v>
      </c>
      <c r="AZ196" s="6">
        <f>SUM(INDEX(Tabela1[[Biathlon - Men''s Individual]:[Biathlon - Mixed Relay]],MATCH(Table92[[#This Row],[Country]],Tabela1[Country], 0),0))</f>
        <v>0</v>
      </c>
      <c r="BA196" s="6">
        <f>SUM(INDEX(Tabela1[[Bobsleigh - Women''s Monobob]:[Bobsleigh - Men''s Four]],MATCH(Table92[[#This Row],[Country]],Tabela1[Country], 0),0))</f>
        <v>0</v>
      </c>
      <c r="BB196" s="6">
        <f>SUM(INDEX(Tabela1[[Cross-country skiing - Men''s Classical]:[Cross-country skiing - Women''s Team Sprint]],MATCH(Table92[[#This Row],[Country]],Tabela1[Country], 0),0))</f>
        <v>0</v>
      </c>
      <c r="BC196" s="6">
        <f>SUM(INDEX(Tabela1[[Curling - Men''s Tournament]:[Curling - Mixed Doubles]],MATCH(Table92[[#This Row],[Country]],Tabela1[Country], 0),0))</f>
        <v>0</v>
      </c>
      <c r="BD196" s="6">
        <f>SUM(INDEX(Tabela1[[Figure Skating - Men''s Singles]:[Figure Skating - Team Event]],MATCH(Table92[[#This Row],[Country]],Tabela1[Country], 0),0))</f>
        <v>0</v>
      </c>
      <c r="BE196" s="6">
        <f>SUM(INDEX(Tabela1[[Freestyle Skiing - Men''s Aerials]:[Freestyle Skiing - Women''s Slopestyle]],MATCH(Table92[[#This Row],[Country]],Tabela1[Country], 0),0))</f>
        <v>0</v>
      </c>
      <c r="BF196" s="6">
        <f>SUM(INDEX(Tabela1[[Ice Hockey - Men''s Tournament]:[Ice Hockey - Women''s Tournament]],MATCH(Table92[[#This Row],[Country]],Tabela1[Country], 0),0))</f>
        <v>0</v>
      </c>
      <c r="BG196" s="6">
        <f>SUM(INDEX(Tabela1[[Luge - Men''s Singles]:[Luge - Mixed Team Relay]],MATCH(Table92[[#This Row],[Country]],Tabela1[Country], 0),0))</f>
        <v>0</v>
      </c>
      <c r="BH196" s="6">
        <f>SUM(INDEX(Tabela1[[Nordic Combined - Men''s Individual]:[Nordic Combined - Men''s Team Sprint Large Hill]],MATCH(Table92[[#This Row],[Country]],Tabela1[Country], 0),0))</f>
        <v>0</v>
      </c>
      <c r="BI196" s="6">
        <f>SUM(INDEX(Tabela1[[Short track speed skating - Men''s 500m]:[Short track speed skating - Mixed 2000m Relay]],MATCH(Table92[[#This Row],[Country]],Tabela1[Country], 0),0))</f>
        <v>0</v>
      </c>
      <c r="BJ196" s="6">
        <f>SUM(INDEX(Tabela1[[Skeleton - Men''s Individual]:[Skeleton - Mixed Team]],MATCH(Table92[[#This Row],[Country]],Tabela1[Country], 0),0))</f>
        <v>0</v>
      </c>
      <c r="BK196" s="6">
        <f>SUM(INDEX(Tabela1[[Ski Jumping - Men''s Individual Large Hill]:[Ski Jumping - Mixed Team Normal Hill]],MATCH(Table92[[#This Row],[Country]],Tabela1[Country], 0),0))</f>
        <v>0</v>
      </c>
      <c r="BL196" s="6">
        <f>SUM(INDEX(Tabela1[[Ski Mountaineering - Men''s Sprint]:[Ski Mountaineering - Mixed Relay]],MATCH(Table92[[#This Row],[Country]],Tabela1[Country], 0),0))</f>
        <v>0</v>
      </c>
      <c r="BM196" s="6">
        <f>SUM(INDEX(Tabela1[[Snowboarding - Men''s Big Air]:[Snowboarding - Mixed Team Snowboard Cross]],MATCH(Table92[[#This Row],[Country]],Tabela1[Country], 0),0))</f>
        <v>0</v>
      </c>
      <c r="BN196" s="6">
        <f>SUM(INDEX(Tabela1[[Speed Skating - Men''s 500m]:[Speed Skating - Women''s Team Pursuit]],MATCH(Table92[[#This Row],[Country]],Tabela1[Country], 0),0))</f>
        <v>0</v>
      </c>
      <c r="BO196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96" s="6">
        <f>SUM(Table92[[#This Row],[Summer Sports]:[Winter Sports]])</f>
        <v>0</v>
      </c>
      <c r="BQ196" s="6">
        <f>COUNTIF(Table92[[#This Row],[Archery Quotas]:[Wrestling Quotas]],"&lt;&gt;0")</f>
        <v>0</v>
      </c>
      <c r="BR196" s="6">
        <f>COUNTIF(Table92[[#This Row],[Alpine Skiing Quotas]:[Speed Skating Quotas]],"&lt;&gt;0")</f>
        <v>0</v>
      </c>
      <c r="BS196" s="4" t="s">
        <v>679</v>
      </c>
    </row>
    <row r="197" spans="1:71" x14ac:dyDescent="0.3">
      <c r="A197" s="6" t="s">
        <v>686</v>
      </c>
      <c r="B197" t="e" vm="197">
        <f>IF(ISBLANK(Table92[[#This Row],[Flag Link]]), "", _xlfn.IMAGE(Table92[[#This Row],[Flag Link]],1,1))</f>
        <v>#VALUE!</v>
      </c>
      <c r="C197" s="6">
        <f>SUM(Table92[[#This Row],[Archery Quotas]:[Speed Skating Quotas]])</f>
        <v>0</v>
      </c>
      <c r="D197" s="6">
        <f>SUM(INDEX(Tabela1[[Archery - Men''s Individual Recurve]:[Archery - Mixed Team Recurve]],MATCH(Table92[[#This Row],[Country]],Tabela1[Country], 0),0))</f>
        <v>0</v>
      </c>
      <c r="E197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97" s="6">
        <f>SUM(INDEX(Tabela1[[Artistic Swimming - Women''s Duet]:[Artistic Swimming - Women''s Team]],MATCH(Table92[[#This Row],[Country]],Tabela1[Country], 0),0))</f>
        <v>0</v>
      </c>
      <c r="G197" s="6">
        <f>SUM(INDEX(Tabela1[[Athletics - Men''s 100m]:[Athletics - Women''s Heptathlon]],MATCH(Table92[[#This Row],[Country]],Tabela1[Country], 0),0))</f>
        <v>0</v>
      </c>
      <c r="H197" s="6">
        <f>SUM(INDEX(Tabela1[[Badminton - Men''s Singles]:[Badminton - Mixed Doubles]],MATCH(Table92[[#This Row],[Country]],Tabela1[Country], 0),0))</f>
        <v>0</v>
      </c>
      <c r="I197" s="6">
        <f>SUM(INDEX(Tabela1[[Basketball - Men''s Tournament]:[Basketball - Women''s Tournament]],MATCH(Table92[[#This Row],[Country]],Tabela1[Country], 0),0))</f>
        <v>0</v>
      </c>
      <c r="J197" s="6">
        <f>SUM(INDEX(Tabela1[[3x3 Basketball - Men''s Tournament]:[3x3 Basketball - Women''s Tournament]],MATCH(Table92[[#This Row],[Country]],Tabela1[Country], 0),0))</f>
        <v>0</v>
      </c>
      <c r="K197" s="6">
        <f>SUM(INDEX(Tabela1[[Beach Volleyball - Men''s Tournament]:[Beach Volleyball - Women''s Tournament]],MATCH(Table92[[#This Row],[Country]],Tabela1[Country], 0),0))</f>
        <v>0</v>
      </c>
      <c r="L197" s="6">
        <f>SUM(INDEX(Tabela1[[Boxing - Men''s 51kg]:[Boxing - Women''s 75kg]],MATCH(Table92[[#This Row],[Country]],Tabela1[Country], 0),0))</f>
        <v>0</v>
      </c>
      <c r="M197" s="6">
        <f>SUM(INDEX(Tabela1[[Breaking - Men''s Individual]:[Breaking - Women''s Individual]],MATCH(Table92[[#This Row],[Country]],Tabela1[Country], 0),0))</f>
        <v>0</v>
      </c>
      <c r="N197" s="6">
        <f>SUM(INDEX(Tabela1[[Canoeing - Men''s C1 Slalom]:[Canoeing - Women''s Kayak Cross Slalom]],MATCH(Table92[[#This Row],[Country]],Tabela1[Country], 0),0))</f>
        <v>0</v>
      </c>
      <c r="O197" s="6">
        <f>SUM(INDEX(Tabela1[[Canoeing - Women''s C1 200m]:[Canoeing - Women''s K4 500m]],MATCH(Table92[[#This Row],[Country]],Tabela1[Country], 0),0))</f>
        <v>0</v>
      </c>
      <c r="P197" s="6">
        <f>SUM(INDEX(Tabela1[[Cycling - Men''s BMX Freestyle]:[Cycling - Women''s BMX Freestyle]],MATCH(Table92[[#This Row],[Country]],Tabela1[Country], 0),0))</f>
        <v>0</v>
      </c>
      <c r="Q197" s="6">
        <f>SUM(INDEX(Tabela1[[Cycling - Men''s BMX Racing]:[Cycling - Women''s BMX Racing]],MATCH(Table92[[#This Row],[Country]],Tabela1[Country], 0),0))</f>
        <v>0</v>
      </c>
      <c r="R197" s="6">
        <f>SUM(INDEX(Tabela1[[Cycling - Men''s Cross-Country]:[Cycling - Women''s Cross-Country]],MATCH(Table92[[#This Row],[Country]],Tabela1[Country], 0),0))</f>
        <v>0</v>
      </c>
      <c r="S197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97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97" s="6">
        <f>SUM(INDEX(Tabela1[[Diving - Men''s Springboard]:[Diving - Women''s Synchronized Platform]],MATCH(Table92[[#This Row],[Country]],Tabela1[Country], 0),0))</f>
        <v>0</v>
      </c>
      <c r="V197" s="6">
        <f>SUM(INDEX(Tabela1[[Equestrian - Individual Dressage]:[Equestrian - Team Dressage]],MATCH(Table92[[#This Row],[Country]],Tabela1[Country], 0),0))</f>
        <v>0</v>
      </c>
      <c r="W197" s="6">
        <f>SUM(INDEX(Tabela1[[Equestrian - Individual Eventing]:[Equestrian - Team Eventing]],MATCH(Table92[[#This Row],[Country]],Tabela1[Country], 0),0))</f>
        <v>0</v>
      </c>
      <c r="X197" s="6">
        <f>SUM(INDEX(Tabela1[[Equestrian - Individual Jumping]:[Equestrian - Team Jumping]],MATCH(Table92[[#This Row],[Country]],Tabela1[Country], 0),0))</f>
        <v>0</v>
      </c>
      <c r="Y197" s="6">
        <f>SUM(INDEX(Tabela1[[Fencing - Men''s Épée]:[Fencing - Women''s Team Sabre]],MATCH(Table92[[#This Row],[Country]],Tabela1[Country], 0),0))</f>
        <v>0</v>
      </c>
      <c r="Z197" s="6">
        <f>SUM(INDEX(Tabela1[[Field Hockey - Men''s Tournament]:[Field Hockey - Women''s Tournament]],MATCH(Table92[[#This Row],[Country]],Tabela1[Country], 0),0))</f>
        <v>0</v>
      </c>
      <c r="AA197" s="6">
        <f>SUM(INDEX(Tabela1[[Football - Men''s Tournament]:[Football - Women''s Tournament]],MATCH(Table92[[#This Row],[Country]],Tabela1[Country], 0),0))</f>
        <v>0</v>
      </c>
      <c r="AB197" s="6">
        <f>SUM(INDEX(Tabela1[[Golf - Men''s Individual]:[Golf - Women''s Individual]],MATCH(Table92[[#This Row],[Country]],Tabela1[Country], 0),0))</f>
        <v>0</v>
      </c>
      <c r="AC197" s="6">
        <f>SUM(INDEX(Tabela1[[Handball - Men''s Tournament]:[Handball - Women''s Tournament]],MATCH(Table92[[#This Row],[Country]],Tabela1[Country], 0),0))</f>
        <v>0</v>
      </c>
      <c r="AD197" s="6">
        <f>SUM(INDEX(Tabela1[[Judo - Men''s 60kg]:[Judo - Mixed Team]],MATCH(Table92[[#This Row],[Country]],Tabela1[Country], 0),0))</f>
        <v>0</v>
      </c>
      <c r="AE197" s="6">
        <f>SUM(INDEX(Tabela1[[Swimming - Men''s 10km Open Water]:[Swimming - Women''s 10km Open Water]],MATCH(Table92[[#This Row],[Country]],Tabela1[Country], 0),0))</f>
        <v>0</v>
      </c>
      <c r="AF197" s="6">
        <f>SUM(INDEX(Tabela1[[Modern Pentathlon - Men''s Individual]:[Modern Pentathlon - Women''s Individual]],MATCH(Table92[[#This Row],[Country]],Tabela1[Country], 0),0))</f>
        <v>0</v>
      </c>
      <c r="AG197" s="6">
        <f>SUM(INDEX(Tabela1[[Rhythmic Gymnastics - Women''s Individual All-Around]:[Rhythmic Gymnastics - Women''s Group All-Around]],MATCH(Table92[[#This Row],[Country]],Tabela1[Country], 0),0))</f>
        <v>0</v>
      </c>
      <c r="AH197" s="6">
        <f>SUM(INDEX(Tabela1[[Rowing - Men''s Single Sculls]:[Rowing - Women''s Lwt. Double Sculls]],MATCH(Table92[[#This Row],[Country]],Tabela1[Country], 0),0))</f>
        <v>0</v>
      </c>
      <c r="AI197" s="6">
        <f>SUM(INDEX(Tabela1[[Rugby Sevens - Men''s Tournament]:[Rugby Sevens - Women''s Tournament]],MATCH(Table92[[#This Row],[Country]],Tabela1[Country], 0),0))</f>
        <v>0</v>
      </c>
      <c r="AJ197" s="6">
        <f>SUM(INDEX(Tabela1[[Sailing - Mixed 470]:[Sailing - Mixed Nacra 17]],MATCH(Table92[[#This Row],[Country]],Tabela1[Country], 0),0))</f>
        <v>0</v>
      </c>
      <c r="AK197" s="6">
        <f>SUM(INDEX(Tabela1[[Shooting - Men''s 10m Air Pistol]:[Shooting - Women''s Trap]],MATCH(Table92[[#This Row],[Country]],Tabela1[Country], 0),0))</f>
        <v>0</v>
      </c>
      <c r="AL197" s="6">
        <f>SUM(INDEX(Tabela1[[Skateboarding - Men''s Park]:[Skateboarding - Women''s Street]],MATCH(Table92[[#This Row],[Country]],Tabela1[Country], 0),0))</f>
        <v>0</v>
      </c>
      <c r="AM197" s="6">
        <f>SUM(INDEX(Tabela1[[Sport Climbing - Men''s Boulder and Lead]:[Sport Climbing - Women''s Speed]],MATCH(Table92[[#This Row],[Country]],Tabela1[Country], 0),0))</f>
        <v>0</v>
      </c>
      <c r="AN197" s="6">
        <f>SUM(INDEX(Tabela1[[Surfing - Men''s Shortboard]:[Surfing - Women''s Shortboard]],MATCH(Table92[[#This Row],[Country]],Tabela1[Country], 0),0))</f>
        <v>0</v>
      </c>
      <c r="AO197" s="6">
        <f>SUM(INDEX(Tabela1[[Swimming - Men''s 50m Freestyle]:[Swimming - Mixed 4x100m Medley Relay]],MATCH(Table92[[#This Row],[Country]],Tabela1[Country], 0),0))</f>
        <v>0</v>
      </c>
      <c r="AP197" s="6">
        <f>SUM(INDEX(Tabela1[[Table Tennis - Men''s Singles]:[Table Tennis - Mixed Doubles]],MATCH(Table92[[#This Row],[Country]],Tabela1[Country], 0),0))</f>
        <v>0</v>
      </c>
      <c r="AQ197" s="6">
        <f>SUM(INDEX(Tabela1[[Taekwondo - Men''s 58kg]:[Taekwondo - Women''s +67kg]],MATCH(Table92[[#This Row],[Country]],Tabela1[Country], 0),0))</f>
        <v>0</v>
      </c>
      <c r="AR197" s="6">
        <f>SUM(INDEX(Tabela1[[Tennis - Men''s Singles]:[Tennis - Mixed Doubles]],MATCH(Table92[[#This Row],[Country]],Tabela1[Country], 0),0))</f>
        <v>0</v>
      </c>
      <c r="AS197" s="6">
        <f>SUM(INDEX(Tabela1[[Gymnastics - Men''s Trampoline]:[Gymnastics - Women''s Trampoline]],MATCH(Table92[[#This Row],[Country]],Tabela1[Country], 0),0))</f>
        <v>0</v>
      </c>
      <c r="AT197" s="6">
        <f>SUM(INDEX(Tabela1[[Triathlon - Men''s Individual]:[Triathlon - Mixed Relay]],MATCH(Table92[[#This Row],[Country]],Tabela1[Country], 0),0))</f>
        <v>0</v>
      </c>
      <c r="AU197" s="6">
        <f>SUM(INDEX(Tabela1[[Volleyball - Men''s Tournament]:[Volleyball - Women''s Tournament]],MATCH(Table92[[#This Row],[Country]],Tabela1[Country], 0),0))</f>
        <v>0</v>
      </c>
      <c r="AV197" s="6">
        <f>SUM(INDEX(Tabela1[[Water Polo - Men''s Tournament]:[Water Polo - Women''s Tournament]],MATCH(Table92[[#This Row],[Country]],Tabela1[Country], 0),0))</f>
        <v>0</v>
      </c>
      <c r="AW197" s="6">
        <f>SUM(INDEX(Tabela1[[Weightlifting - Men''s 61kg]:[Weightlifting - Women''s +81kg]],MATCH(Table92[[#This Row],[Country]],Tabela1[Country], 0),0))</f>
        <v>0</v>
      </c>
      <c r="AX197" s="6">
        <f>SUM(INDEX(Tabela1[[Wrestling - Men''s Freestyle 57kg]:[Wrestling - Women''s Freestyle 76kg]],MATCH(Table92[[#This Row],[Country]],Tabela1[Country], 0),0))</f>
        <v>0</v>
      </c>
      <c r="AY197" s="6">
        <f>SUM(INDEX(Tabela1[[Alpine Skiing - Men''s Downhill]:[Alpine Skiing - Women''s Team Combined]],MATCH(Table92[[#This Row],[Country]],Tabela1[Country], 0),0))</f>
        <v>0</v>
      </c>
      <c r="AZ197" s="6">
        <f>SUM(INDEX(Tabela1[[Biathlon - Men''s Individual]:[Biathlon - Mixed Relay]],MATCH(Table92[[#This Row],[Country]],Tabela1[Country], 0),0))</f>
        <v>0</v>
      </c>
      <c r="BA197" s="6">
        <f>SUM(INDEX(Tabela1[[Bobsleigh - Women''s Monobob]:[Bobsleigh - Men''s Four]],MATCH(Table92[[#This Row],[Country]],Tabela1[Country], 0),0))</f>
        <v>0</v>
      </c>
      <c r="BB197" s="6">
        <f>SUM(INDEX(Tabela1[[Cross-country skiing - Men''s Classical]:[Cross-country skiing - Women''s Team Sprint]],MATCH(Table92[[#This Row],[Country]],Tabela1[Country], 0),0))</f>
        <v>0</v>
      </c>
      <c r="BC197" s="6">
        <f>SUM(INDEX(Tabela1[[Curling - Men''s Tournament]:[Curling - Mixed Doubles]],MATCH(Table92[[#This Row],[Country]],Tabela1[Country], 0),0))</f>
        <v>0</v>
      </c>
      <c r="BD197" s="6">
        <f>SUM(INDEX(Tabela1[[Figure Skating - Men''s Singles]:[Figure Skating - Team Event]],MATCH(Table92[[#This Row],[Country]],Tabela1[Country], 0),0))</f>
        <v>0</v>
      </c>
      <c r="BE197" s="6">
        <f>SUM(INDEX(Tabela1[[Freestyle Skiing - Men''s Aerials]:[Freestyle Skiing - Women''s Slopestyle]],MATCH(Table92[[#This Row],[Country]],Tabela1[Country], 0),0))</f>
        <v>0</v>
      </c>
      <c r="BF197" s="6">
        <f>SUM(INDEX(Tabela1[[Ice Hockey - Men''s Tournament]:[Ice Hockey - Women''s Tournament]],MATCH(Table92[[#This Row],[Country]],Tabela1[Country], 0),0))</f>
        <v>0</v>
      </c>
      <c r="BG197" s="6">
        <f>SUM(INDEX(Tabela1[[Luge - Men''s Singles]:[Luge - Mixed Team Relay]],MATCH(Table92[[#This Row],[Country]],Tabela1[Country], 0),0))</f>
        <v>0</v>
      </c>
      <c r="BH197" s="6">
        <f>SUM(INDEX(Tabela1[[Nordic Combined - Men''s Individual]:[Nordic Combined - Men''s Team Sprint Large Hill]],MATCH(Table92[[#This Row],[Country]],Tabela1[Country], 0),0))</f>
        <v>0</v>
      </c>
      <c r="BI197" s="6">
        <f>SUM(INDEX(Tabela1[[Short track speed skating - Men''s 500m]:[Short track speed skating - Mixed 2000m Relay]],MATCH(Table92[[#This Row],[Country]],Tabela1[Country], 0),0))</f>
        <v>0</v>
      </c>
      <c r="BJ197" s="6">
        <f>SUM(INDEX(Tabela1[[Skeleton - Men''s Individual]:[Skeleton - Mixed Team]],MATCH(Table92[[#This Row],[Country]],Tabela1[Country], 0),0))</f>
        <v>0</v>
      </c>
      <c r="BK197" s="6">
        <f>SUM(INDEX(Tabela1[[Ski Jumping - Men''s Individual Large Hill]:[Ski Jumping - Mixed Team Normal Hill]],MATCH(Table92[[#This Row],[Country]],Tabela1[Country], 0),0))</f>
        <v>0</v>
      </c>
      <c r="BL197" s="6">
        <f>SUM(INDEX(Tabela1[[Ski Mountaineering - Men''s Sprint]:[Ski Mountaineering - Mixed Relay]],MATCH(Table92[[#This Row],[Country]],Tabela1[Country], 0),0))</f>
        <v>0</v>
      </c>
      <c r="BM197" s="6">
        <f>SUM(INDEX(Tabela1[[Snowboarding - Men''s Big Air]:[Snowboarding - Mixed Team Snowboard Cross]],MATCH(Table92[[#This Row],[Country]],Tabela1[Country], 0),0))</f>
        <v>0</v>
      </c>
      <c r="BN197" s="6">
        <f>SUM(INDEX(Tabela1[[Speed Skating - Men''s 500m]:[Speed Skating - Women''s Team Pursuit]],MATCH(Table92[[#This Row],[Country]],Tabela1[Country], 0),0))</f>
        <v>0</v>
      </c>
      <c r="BO197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97" s="6">
        <f>SUM(Table92[[#This Row],[Summer Sports]:[Winter Sports]])</f>
        <v>0</v>
      </c>
      <c r="BQ197" s="6">
        <f>COUNTIF(Table92[[#This Row],[Archery Quotas]:[Wrestling Quotas]],"&lt;&gt;0")</f>
        <v>0</v>
      </c>
      <c r="BR197" s="6">
        <f>COUNTIF(Table92[[#This Row],[Alpine Skiing Quotas]:[Speed Skating Quotas]],"&lt;&gt;0")</f>
        <v>0</v>
      </c>
      <c r="BS197" s="3" t="s">
        <v>687</v>
      </c>
    </row>
    <row r="198" spans="1:71" x14ac:dyDescent="0.3">
      <c r="A198" s="6" t="s">
        <v>692</v>
      </c>
      <c r="B198" t="e" vm="198">
        <f>IF(ISBLANK(Table92[[#This Row],[Flag Link]]), "", _xlfn.IMAGE(Table92[[#This Row],[Flag Link]],1,1))</f>
        <v>#VALUE!</v>
      </c>
      <c r="C198" s="6">
        <f>SUM(Table92[[#This Row],[Archery Quotas]:[Speed Skating Quotas]])</f>
        <v>0</v>
      </c>
      <c r="D198" s="6">
        <f>SUM(INDEX(Tabela1[[Archery - Men''s Individual Recurve]:[Archery - Mixed Team Recurve]],MATCH(Table92[[#This Row],[Country]],Tabela1[Country], 0),0))</f>
        <v>0</v>
      </c>
      <c r="E198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98" s="6">
        <f>SUM(INDEX(Tabela1[[Artistic Swimming - Women''s Duet]:[Artistic Swimming - Women''s Team]],MATCH(Table92[[#This Row],[Country]],Tabela1[Country], 0),0))</f>
        <v>0</v>
      </c>
      <c r="G198" s="6">
        <f>SUM(INDEX(Tabela1[[Athletics - Men''s 100m]:[Athletics - Women''s Heptathlon]],MATCH(Table92[[#This Row],[Country]],Tabela1[Country], 0),0))</f>
        <v>0</v>
      </c>
      <c r="H198" s="6">
        <f>SUM(INDEX(Tabela1[[Badminton - Men''s Singles]:[Badminton - Mixed Doubles]],MATCH(Table92[[#This Row],[Country]],Tabela1[Country], 0),0))</f>
        <v>0</v>
      </c>
      <c r="I198" s="6">
        <f>SUM(INDEX(Tabela1[[Basketball - Men''s Tournament]:[Basketball - Women''s Tournament]],MATCH(Table92[[#This Row],[Country]],Tabela1[Country], 0),0))</f>
        <v>0</v>
      </c>
      <c r="J198" s="6">
        <f>SUM(INDEX(Tabela1[[3x3 Basketball - Men''s Tournament]:[3x3 Basketball - Women''s Tournament]],MATCH(Table92[[#This Row],[Country]],Tabela1[Country], 0),0))</f>
        <v>0</v>
      </c>
      <c r="K198" s="6">
        <f>SUM(INDEX(Tabela1[[Beach Volleyball - Men''s Tournament]:[Beach Volleyball - Women''s Tournament]],MATCH(Table92[[#This Row],[Country]],Tabela1[Country], 0),0))</f>
        <v>0</v>
      </c>
      <c r="L198" s="6">
        <f>SUM(INDEX(Tabela1[[Boxing - Men''s 51kg]:[Boxing - Women''s 75kg]],MATCH(Table92[[#This Row],[Country]],Tabela1[Country], 0),0))</f>
        <v>0</v>
      </c>
      <c r="M198" s="6">
        <f>SUM(INDEX(Tabela1[[Breaking - Men''s Individual]:[Breaking - Women''s Individual]],MATCH(Table92[[#This Row],[Country]],Tabela1[Country], 0),0))</f>
        <v>0</v>
      </c>
      <c r="N198" s="6">
        <f>SUM(INDEX(Tabela1[[Canoeing - Men''s C1 Slalom]:[Canoeing - Women''s Kayak Cross Slalom]],MATCH(Table92[[#This Row],[Country]],Tabela1[Country], 0),0))</f>
        <v>0</v>
      </c>
      <c r="O198" s="6">
        <f>SUM(INDEX(Tabela1[[Canoeing - Women''s C1 200m]:[Canoeing - Women''s K4 500m]],MATCH(Table92[[#This Row],[Country]],Tabela1[Country], 0),0))</f>
        <v>0</v>
      </c>
      <c r="P198" s="6">
        <f>SUM(INDEX(Tabela1[[Cycling - Men''s BMX Freestyle]:[Cycling - Women''s BMX Freestyle]],MATCH(Table92[[#This Row],[Country]],Tabela1[Country], 0),0))</f>
        <v>0</v>
      </c>
      <c r="Q198" s="6">
        <f>SUM(INDEX(Tabela1[[Cycling - Men''s BMX Racing]:[Cycling - Women''s BMX Racing]],MATCH(Table92[[#This Row],[Country]],Tabela1[Country], 0),0))</f>
        <v>0</v>
      </c>
      <c r="R198" s="6">
        <f>SUM(INDEX(Tabela1[[Cycling - Men''s Cross-Country]:[Cycling - Women''s Cross-Country]],MATCH(Table92[[#This Row],[Country]],Tabela1[Country], 0),0))</f>
        <v>0</v>
      </c>
      <c r="S198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98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98" s="6">
        <f>SUM(INDEX(Tabela1[[Diving - Men''s Springboard]:[Diving - Women''s Synchronized Platform]],MATCH(Table92[[#This Row],[Country]],Tabela1[Country], 0),0))</f>
        <v>0</v>
      </c>
      <c r="V198" s="6">
        <f>SUM(INDEX(Tabela1[[Equestrian - Individual Dressage]:[Equestrian - Team Dressage]],MATCH(Table92[[#This Row],[Country]],Tabela1[Country], 0),0))</f>
        <v>0</v>
      </c>
      <c r="W198" s="6">
        <f>SUM(INDEX(Tabela1[[Equestrian - Individual Eventing]:[Equestrian - Team Eventing]],MATCH(Table92[[#This Row],[Country]],Tabela1[Country], 0),0))</f>
        <v>0</v>
      </c>
      <c r="X198" s="6">
        <f>SUM(INDEX(Tabela1[[Equestrian - Individual Jumping]:[Equestrian - Team Jumping]],MATCH(Table92[[#This Row],[Country]],Tabela1[Country], 0),0))</f>
        <v>0</v>
      </c>
      <c r="Y198" s="6">
        <f>SUM(INDEX(Tabela1[[Fencing - Men''s Épée]:[Fencing - Women''s Team Sabre]],MATCH(Table92[[#This Row],[Country]],Tabela1[Country], 0),0))</f>
        <v>0</v>
      </c>
      <c r="Z198" s="6">
        <f>SUM(INDEX(Tabela1[[Field Hockey - Men''s Tournament]:[Field Hockey - Women''s Tournament]],MATCH(Table92[[#This Row],[Country]],Tabela1[Country], 0),0))</f>
        <v>0</v>
      </c>
      <c r="AA198" s="6">
        <f>SUM(INDEX(Tabela1[[Football - Men''s Tournament]:[Football - Women''s Tournament]],MATCH(Table92[[#This Row],[Country]],Tabela1[Country], 0),0))</f>
        <v>0</v>
      </c>
      <c r="AB198" s="6">
        <f>SUM(INDEX(Tabela1[[Golf - Men''s Individual]:[Golf - Women''s Individual]],MATCH(Table92[[#This Row],[Country]],Tabela1[Country], 0),0))</f>
        <v>0</v>
      </c>
      <c r="AC198" s="6">
        <f>SUM(INDEX(Tabela1[[Handball - Men''s Tournament]:[Handball - Women''s Tournament]],MATCH(Table92[[#This Row],[Country]],Tabela1[Country], 0),0))</f>
        <v>0</v>
      </c>
      <c r="AD198" s="6">
        <f>SUM(INDEX(Tabela1[[Judo - Men''s 60kg]:[Judo - Mixed Team]],MATCH(Table92[[#This Row],[Country]],Tabela1[Country], 0),0))</f>
        <v>0</v>
      </c>
      <c r="AE198" s="6">
        <f>SUM(INDEX(Tabela1[[Swimming - Men''s 10km Open Water]:[Swimming - Women''s 10km Open Water]],MATCH(Table92[[#This Row],[Country]],Tabela1[Country], 0),0))</f>
        <v>0</v>
      </c>
      <c r="AF198" s="6">
        <f>SUM(INDEX(Tabela1[[Modern Pentathlon - Men''s Individual]:[Modern Pentathlon - Women''s Individual]],MATCH(Table92[[#This Row],[Country]],Tabela1[Country], 0),0))</f>
        <v>0</v>
      </c>
      <c r="AG198" s="6">
        <f>SUM(INDEX(Tabela1[[Rhythmic Gymnastics - Women''s Individual All-Around]:[Rhythmic Gymnastics - Women''s Group All-Around]],MATCH(Table92[[#This Row],[Country]],Tabela1[Country], 0),0))</f>
        <v>0</v>
      </c>
      <c r="AH198" s="6">
        <f>SUM(INDEX(Tabela1[[Rowing - Men''s Single Sculls]:[Rowing - Women''s Lwt. Double Sculls]],MATCH(Table92[[#This Row],[Country]],Tabela1[Country], 0),0))</f>
        <v>0</v>
      </c>
      <c r="AI198" s="6">
        <f>SUM(INDEX(Tabela1[[Rugby Sevens - Men''s Tournament]:[Rugby Sevens - Women''s Tournament]],MATCH(Table92[[#This Row],[Country]],Tabela1[Country], 0),0))</f>
        <v>0</v>
      </c>
      <c r="AJ198" s="6">
        <f>SUM(INDEX(Tabela1[[Sailing - Mixed 470]:[Sailing - Mixed Nacra 17]],MATCH(Table92[[#This Row],[Country]],Tabela1[Country], 0),0))</f>
        <v>0</v>
      </c>
      <c r="AK198" s="6">
        <f>SUM(INDEX(Tabela1[[Shooting - Men''s 10m Air Pistol]:[Shooting - Women''s Trap]],MATCH(Table92[[#This Row],[Country]],Tabela1[Country], 0),0))</f>
        <v>0</v>
      </c>
      <c r="AL198" s="6">
        <f>SUM(INDEX(Tabela1[[Skateboarding - Men''s Park]:[Skateboarding - Women''s Street]],MATCH(Table92[[#This Row],[Country]],Tabela1[Country], 0),0))</f>
        <v>0</v>
      </c>
      <c r="AM198" s="6">
        <f>SUM(INDEX(Tabela1[[Sport Climbing - Men''s Boulder and Lead]:[Sport Climbing - Women''s Speed]],MATCH(Table92[[#This Row],[Country]],Tabela1[Country], 0),0))</f>
        <v>0</v>
      </c>
      <c r="AN198" s="6">
        <f>SUM(INDEX(Tabela1[[Surfing - Men''s Shortboard]:[Surfing - Women''s Shortboard]],MATCH(Table92[[#This Row],[Country]],Tabela1[Country], 0),0))</f>
        <v>0</v>
      </c>
      <c r="AO198" s="6">
        <f>SUM(INDEX(Tabela1[[Swimming - Men''s 50m Freestyle]:[Swimming - Mixed 4x100m Medley Relay]],MATCH(Table92[[#This Row],[Country]],Tabela1[Country], 0),0))</f>
        <v>0</v>
      </c>
      <c r="AP198" s="6">
        <f>SUM(INDEX(Tabela1[[Table Tennis - Men''s Singles]:[Table Tennis - Mixed Doubles]],MATCH(Table92[[#This Row],[Country]],Tabela1[Country], 0),0))</f>
        <v>0</v>
      </c>
      <c r="AQ198" s="6">
        <f>SUM(INDEX(Tabela1[[Taekwondo - Men''s 58kg]:[Taekwondo - Women''s +67kg]],MATCH(Table92[[#This Row],[Country]],Tabela1[Country], 0),0))</f>
        <v>0</v>
      </c>
      <c r="AR198" s="6">
        <f>SUM(INDEX(Tabela1[[Tennis - Men''s Singles]:[Tennis - Mixed Doubles]],MATCH(Table92[[#This Row],[Country]],Tabela1[Country], 0),0))</f>
        <v>0</v>
      </c>
      <c r="AS198" s="6">
        <f>SUM(INDEX(Tabela1[[Gymnastics - Men''s Trampoline]:[Gymnastics - Women''s Trampoline]],MATCH(Table92[[#This Row],[Country]],Tabela1[Country], 0),0))</f>
        <v>0</v>
      </c>
      <c r="AT198" s="6">
        <f>SUM(INDEX(Tabela1[[Triathlon - Men''s Individual]:[Triathlon - Mixed Relay]],MATCH(Table92[[#This Row],[Country]],Tabela1[Country], 0),0))</f>
        <v>0</v>
      </c>
      <c r="AU198" s="6">
        <f>SUM(INDEX(Tabela1[[Volleyball - Men''s Tournament]:[Volleyball - Women''s Tournament]],MATCH(Table92[[#This Row],[Country]],Tabela1[Country], 0),0))</f>
        <v>0</v>
      </c>
      <c r="AV198" s="6">
        <f>SUM(INDEX(Tabela1[[Water Polo - Men''s Tournament]:[Water Polo - Women''s Tournament]],MATCH(Table92[[#This Row],[Country]],Tabela1[Country], 0),0))</f>
        <v>0</v>
      </c>
      <c r="AW198" s="6">
        <f>SUM(INDEX(Tabela1[[Weightlifting - Men''s 61kg]:[Weightlifting - Women''s +81kg]],MATCH(Table92[[#This Row],[Country]],Tabela1[Country], 0),0))</f>
        <v>0</v>
      </c>
      <c r="AX198" s="6">
        <f>SUM(INDEX(Tabela1[[Wrestling - Men''s Freestyle 57kg]:[Wrestling - Women''s Freestyle 76kg]],MATCH(Table92[[#This Row],[Country]],Tabela1[Country], 0),0))</f>
        <v>0</v>
      </c>
      <c r="AY198" s="6">
        <f>SUM(INDEX(Tabela1[[Alpine Skiing - Men''s Downhill]:[Alpine Skiing - Women''s Team Combined]],MATCH(Table92[[#This Row],[Country]],Tabela1[Country], 0),0))</f>
        <v>0</v>
      </c>
      <c r="AZ198" s="6">
        <f>SUM(INDEX(Tabela1[[Biathlon - Men''s Individual]:[Biathlon - Mixed Relay]],MATCH(Table92[[#This Row],[Country]],Tabela1[Country], 0),0))</f>
        <v>0</v>
      </c>
      <c r="BA198" s="6">
        <f>SUM(INDEX(Tabela1[[Bobsleigh - Women''s Monobob]:[Bobsleigh - Men''s Four]],MATCH(Table92[[#This Row],[Country]],Tabela1[Country], 0),0))</f>
        <v>0</v>
      </c>
      <c r="BB198" s="6">
        <f>SUM(INDEX(Tabela1[[Cross-country skiing - Men''s Classical]:[Cross-country skiing - Women''s Team Sprint]],MATCH(Table92[[#This Row],[Country]],Tabela1[Country], 0),0))</f>
        <v>0</v>
      </c>
      <c r="BC198" s="6">
        <f>SUM(INDEX(Tabela1[[Curling - Men''s Tournament]:[Curling - Mixed Doubles]],MATCH(Table92[[#This Row],[Country]],Tabela1[Country], 0),0))</f>
        <v>0</v>
      </c>
      <c r="BD198" s="6">
        <f>SUM(INDEX(Tabela1[[Figure Skating - Men''s Singles]:[Figure Skating - Team Event]],MATCH(Table92[[#This Row],[Country]],Tabela1[Country], 0),0))</f>
        <v>0</v>
      </c>
      <c r="BE198" s="6">
        <f>SUM(INDEX(Tabela1[[Freestyle Skiing - Men''s Aerials]:[Freestyle Skiing - Women''s Slopestyle]],MATCH(Table92[[#This Row],[Country]],Tabela1[Country], 0),0))</f>
        <v>0</v>
      </c>
      <c r="BF198" s="6">
        <f>SUM(INDEX(Tabela1[[Ice Hockey - Men''s Tournament]:[Ice Hockey - Women''s Tournament]],MATCH(Table92[[#This Row],[Country]],Tabela1[Country], 0),0))</f>
        <v>0</v>
      </c>
      <c r="BG198" s="6">
        <f>SUM(INDEX(Tabela1[[Luge - Men''s Singles]:[Luge - Mixed Team Relay]],MATCH(Table92[[#This Row],[Country]],Tabela1[Country], 0),0))</f>
        <v>0</v>
      </c>
      <c r="BH198" s="6">
        <f>SUM(INDEX(Tabela1[[Nordic Combined - Men''s Individual]:[Nordic Combined - Men''s Team Sprint Large Hill]],MATCH(Table92[[#This Row],[Country]],Tabela1[Country], 0),0))</f>
        <v>0</v>
      </c>
      <c r="BI198" s="6">
        <f>SUM(INDEX(Tabela1[[Short track speed skating - Men''s 500m]:[Short track speed skating - Mixed 2000m Relay]],MATCH(Table92[[#This Row],[Country]],Tabela1[Country], 0),0))</f>
        <v>0</v>
      </c>
      <c r="BJ198" s="6">
        <f>SUM(INDEX(Tabela1[[Skeleton - Men''s Individual]:[Skeleton - Mixed Team]],MATCH(Table92[[#This Row],[Country]],Tabela1[Country], 0),0))</f>
        <v>0</v>
      </c>
      <c r="BK198" s="6">
        <f>SUM(INDEX(Tabela1[[Ski Jumping - Men''s Individual Large Hill]:[Ski Jumping - Mixed Team Normal Hill]],MATCH(Table92[[#This Row],[Country]],Tabela1[Country], 0),0))</f>
        <v>0</v>
      </c>
      <c r="BL198" s="6">
        <f>SUM(INDEX(Tabela1[[Ski Mountaineering - Men''s Sprint]:[Ski Mountaineering - Mixed Relay]],MATCH(Table92[[#This Row],[Country]],Tabela1[Country], 0),0))</f>
        <v>0</v>
      </c>
      <c r="BM198" s="6">
        <f>SUM(INDEX(Tabela1[[Snowboarding - Men''s Big Air]:[Snowboarding - Mixed Team Snowboard Cross]],MATCH(Table92[[#This Row],[Country]],Tabela1[Country], 0),0))</f>
        <v>0</v>
      </c>
      <c r="BN198" s="6">
        <f>SUM(INDEX(Tabela1[[Speed Skating - Men''s 500m]:[Speed Skating - Women''s Team Pursuit]],MATCH(Table92[[#This Row],[Country]],Tabela1[Country], 0),0))</f>
        <v>0</v>
      </c>
      <c r="BO198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98" s="6">
        <f>SUM(Table92[[#This Row],[Summer Sports]:[Winter Sports]])</f>
        <v>0</v>
      </c>
      <c r="BQ198" s="6">
        <f>COUNTIF(Table92[[#This Row],[Archery Quotas]:[Wrestling Quotas]],"&lt;&gt;0")</f>
        <v>0</v>
      </c>
      <c r="BR198" s="6">
        <f>COUNTIF(Table92[[#This Row],[Alpine Skiing Quotas]:[Speed Skating Quotas]],"&lt;&gt;0")</f>
        <v>0</v>
      </c>
      <c r="BS198" s="3" t="s">
        <v>693</v>
      </c>
    </row>
    <row r="199" spans="1:71" x14ac:dyDescent="0.3">
      <c r="A199" s="6" t="s">
        <v>452</v>
      </c>
      <c r="B199" t="e" vm="199">
        <f>IF(ISBLANK(Table92[[#This Row],[Flag Link]]), "", _xlfn.IMAGE(Table92[[#This Row],[Flag Link]],1,1))</f>
        <v>#VALUE!</v>
      </c>
      <c r="C199" s="6">
        <f>SUM(Table92[[#This Row],[Archery Quotas]:[Speed Skating Quotas]])</f>
        <v>0</v>
      </c>
      <c r="D199" s="6">
        <f>SUM(INDEX(Tabela1[[Archery - Men''s Individual Recurve]:[Archery - Mixed Team Recurve]],MATCH(Table92[[#This Row],[Country]],Tabela1[Country], 0),0))</f>
        <v>0</v>
      </c>
      <c r="E199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99" s="6">
        <f>SUM(INDEX(Tabela1[[Artistic Swimming - Women''s Duet]:[Artistic Swimming - Women''s Team]],MATCH(Table92[[#This Row],[Country]],Tabela1[Country], 0),0))</f>
        <v>0</v>
      </c>
      <c r="G199" s="6">
        <f>SUM(INDEX(Tabela1[[Athletics - Men''s 100m]:[Athletics - Women''s Heptathlon]],MATCH(Table92[[#This Row],[Country]],Tabela1[Country], 0),0))</f>
        <v>0</v>
      </c>
      <c r="H199" s="6">
        <f>SUM(INDEX(Tabela1[[Badminton - Men''s Singles]:[Badminton - Mixed Doubles]],MATCH(Table92[[#This Row],[Country]],Tabela1[Country], 0),0))</f>
        <v>0</v>
      </c>
      <c r="I199" s="6">
        <f>SUM(INDEX(Tabela1[[Basketball - Men''s Tournament]:[Basketball - Women''s Tournament]],MATCH(Table92[[#This Row],[Country]],Tabela1[Country], 0),0))</f>
        <v>0</v>
      </c>
      <c r="J199" s="6">
        <f>SUM(INDEX(Tabela1[[3x3 Basketball - Men''s Tournament]:[3x3 Basketball - Women''s Tournament]],MATCH(Table92[[#This Row],[Country]],Tabela1[Country], 0),0))</f>
        <v>0</v>
      </c>
      <c r="K199" s="6">
        <f>SUM(INDEX(Tabela1[[Beach Volleyball - Men''s Tournament]:[Beach Volleyball - Women''s Tournament]],MATCH(Table92[[#This Row],[Country]],Tabela1[Country], 0),0))</f>
        <v>0</v>
      </c>
      <c r="L199" s="6">
        <f>SUM(INDEX(Tabela1[[Boxing - Men''s 51kg]:[Boxing - Women''s 75kg]],MATCH(Table92[[#This Row],[Country]],Tabela1[Country], 0),0))</f>
        <v>0</v>
      </c>
      <c r="M199" s="6">
        <f>SUM(INDEX(Tabela1[[Breaking - Men''s Individual]:[Breaking - Women''s Individual]],MATCH(Table92[[#This Row],[Country]],Tabela1[Country], 0),0))</f>
        <v>0</v>
      </c>
      <c r="N199" s="6">
        <f>SUM(INDEX(Tabela1[[Canoeing - Men''s C1 Slalom]:[Canoeing - Women''s Kayak Cross Slalom]],MATCH(Table92[[#This Row],[Country]],Tabela1[Country], 0),0))</f>
        <v>0</v>
      </c>
      <c r="O199" s="6">
        <f>SUM(INDEX(Tabela1[[Canoeing - Women''s C1 200m]:[Canoeing - Women''s K4 500m]],MATCH(Table92[[#This Row],[Country]],Tabela1[Country], 0),0))</f>
        <v>0</v>
      </c>
      <c r="P199" s="6">
        <f>SUM(INDEX(Tabela1[[Cycling - Men''s BMX Freestyle]:[Cycling - Women''s BMX Freestyle]],MATCH(Table92[[#This Row],[Country]],Tabela1[Country], 0),0))</f>
        <v>0</v>
      </c>
      <c r="Q199" s="6">
        <f>SUM(INDEX(Tabela1[[Cycling - Men''s BMX Racing]:[Cycling - Women''s BMX Racing]],MATCH(Table92[[#This Row],[Country]],Tabela1[Country], 0),0))</f>
        <v>0</v>
      </c>
      <c r="R199" s="6">
        <f>SUM(INDEX(Tabela1[[Cycling - Men''s Cross-Country]:[Cycling - Women''s Cross-Country]],MATCH(Table92[[#This Row],[Country]],Tabela1[Country], 0),0))</f>
        <v>0</v>
      </c>
      <c r="S199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99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99" s="6">
        <f>SUM(INDEX(Tabela1[[Diving - Men''s Springboard]:[Diving - Women''s Synchronized Platform]],MATCH(Table92[[#This Row],[Country]],Tabela1[Country], 0),0))</f>
        <v>0</v>
      </c>
      <c r="V199" s="6">
        <f>SUM(INDEX(Tabela1[[Equestrian - Individual Dressage]:[Equestrian - Team Dressage]],MATCH(Table92[[#This Row],[Country]],Tabela1[Country], 0),0))</f>
        <v>0</v>
      </c>
      <c r="W199" s="6">
        <f>SUM(INDEX(Tabela1[[Equestrian - Individual Eventing]:[Equestrian - Team Eventing]],MATCH(Table92[[#This Row],[Country]],Tabela1[Country], 0),0))</f>
        <v>0</v>
      </c>
      <c r="X199" s="6">
        <f>SUM(INDEX(Tabela1[[Equestrian - Individual Jumping]:[Equestrian - Team Jumping]],MATCH(Table92[[#This Row],[Country]],Tabela1[Country], 0),0))</f>
        <v>0</v>
      </c>
      <c r="Y199" s="6">
        <f>SUM(INDEX(Tabela1[[Fencing - Men''s Épée]:[Fencing - Women''s Team Sabre]],MATCH(Table92[[#This Row],[Country]],Tabela1[Country], 0),0))</f>
        <v>0</v>
      </c>
      <c r="Z199" s="6">
        <f>SUM(INDEX(Tabela1[[Field Hockey - Men''s Tournament]:[Field Hockey - Women''s Tournament]],MATCH(Table92[[#This Row],[Country]],Tabela1[Country], 0),0))</f>
        <v>0</v>
      </c>
      <c r="AA199" s="6">
        <f>SUM(INDEX(Tabela1[[Football - Men''s Tournament]:[Football - Women''s Tournament]],MATCH(Table92[[#This Row],[Country]],Tabela1[Country], 0),0))</f>
        <v>0</v>
      </c>
      <c r="AB199" s="6">
        <f>SUM(INDEX(Tabela1[[Golf - Men''s Individual]:[Golf - Women''s Individual]],MATCH(Table92[[#This Row],[Country]],Tabela1[Country], 0),0))</f>
        <v>0</v>
      </c>
      <c r="AC199" s="6">
        <f>SUM(INDEX(Tabela1[[Handball - Men''s Tournament]:[Handball - Women''s Tournament]],MATCH(Table92[[#This Row],[Country]],Tabela1[Country], 0),0))</f>
        <v>0</v>
      </c>
      <c r="AD199" s="6">
        <f>SUM(INDEX(Tabela1[[Judo - Men''s 60kg]:[Judo - Mixed Team]],MATCH(Table92[[#This Row],[Country]],Tabela1[Country], 0),0))</f>
        <v>0</v>
      </c>
      <c r="AE199" s="6">
        <f>SUM(INDEX(Tabela1[[Swimming - Men''s 10km Open Water]:[Swimming - Women''s 10km Open Water]],MATCH(Table92[[#This Row],[Country]],Tabela1[Country], 0),0))</f>
        <v>0</v>
      </c>
      <c r="AF199" s="6">
        <f>SUM(INDEX(Tabela1[[Modern Pentathlon - Men''s Individual]:[Modern Pentathlon - Women''s Individual]],MATCH(Table92[[#This Row],[Country]],Tabela1[Country], 0),0))</f>
        <v>0</v>
      </c>
      <c r="AG199" s="6">
        <f>SUM(INDEX(Tabela1[[Rhythmic Gymnastics - Women''s Individual All-Around]:[Rhythmic Gymnastics - Women''s Group All-Around]],MATCH(Table92[[#This Row],[Country]],Tabela1[Country], 0),0))</f>
        <v>0</v>
      </c>
      <c r="AH199" s="6">
        <f>SUM(INDEX(Tabela1[[Rowing - Men''s Single Sculls]:[Rowing - Women''s Lwt. Double Sculls]],MATCH(Table92[[#This Row],[Country]],Tabela1[Country], 0),0))</f>
        <v>0</v>
      </c>
      <c r="AI199" s="6">
        <f>SUM(INDEX(Tabela1[[Rugby Sevens - Men''s Tournament]:[Rugby Sevens - Women''s Tournament]],MATCH(Table92[[#This Row],[Country]],Tabela1[Country], 0),0))</f>
        <v>0</v>
      </c>
      <c r="AJ199" s="6">
        <f>SUM(INDEX(Tabela1[[Sailing - Mixed 470]:[Sailing - Mixed Nacra 17]],MATCH(Table92[[#This Row],[Country]],Tabela1[Country], 0),0))</f>
        <v>0</v>
      </c>
      <c r="AK199" s="6">
        <f>SUM(INDEX(Tabela1[[Shooting - Men''s 10m Air Pistol]:[Shooting - Women''s Trap]],MATCH(Table92[[#This Row],[Country]],Tabela1[Country], 0),0))</f>
        <v>0</v>
      </c>
      <c r="AL199" s="6">
        <f>SUM(INDEX(Tabela1[[Skateboarding - Men''s Park]:[Skateboarding - Women''s Street]],MATCH(Table92[[#This Row],[Country]],Tabela1[Country], 0),0))</f>
        <v>0</v>
      </c>
      <c r="AM199" s="6">
        <f>SUM(INDEX(Tabela1[[Sport Climbing - Men''s Boulder and Lead]:[Sport Climbing - Women''s Speed]],MATCH(Table92[[#This Row],[Country]],Tabela1[Country], 0),0))</f>
        <v>0</v>
      </c>
      <c r="AN199" s="6">
        <f>SUM(INDEX(Tabela1[[Surfing - Men''s Shortboard]:[Surfing - Women''s Shortboard]],MATCH(Table92[[#This Row],[Country]],Tabela1[Country], 0),0))</f>
        <v>0</v>
      </c>
      <c r="AO199" s="6">
        <f>SUM(INDEX(Tabela1[[Swimming - Men''s 50m Freestyle]:[Swimming - Mixed 4x100m Medley Relay]],MATCH(Table92[[#This Row],[Country]],Tabela1[Country], 0),0))</f>
        <v>0</v>
      </c>
      <c r="AP199" s="6">
        <f>SUM(INDEX(Tabela1[[Table Tennis - Men''s Singles]:[Table Tennis - Mixed Doubles]],MATCH(Table92[[#This Row],[Country]],Tabela1[Country], 0),0))</f>
        <v>0</v>
      </c>
      <c r="AQ199" s="6">
        <f>SUM(INDEX(Tabela1[[Taekwondo - Men''s 58kg]:[Taekwondo - Women''s +67kg]],MATCH(Table92[[#This Row],[Country]],Tabela1[Country], 0),0))</f>
        <v>0</v>
      </c>
      <c r="AR199" s="6">
        <f>SUM(INDEX(Tabela1[[Tennis - Men''s Singles]:[Tennis - Mixed Doubles]],MATCH(Table92[[#This Row],[Country]],Tabela1[Country], 0),0))</f>
        <v>0</v>
      </c>
      <c r="AS199" s="6">
        <f>SUM(INDEX(Tabela1[[Gymnastics - Men''s Trampoline]:[Gymnastics - Women''s Trampoline]],MATCH(Table92[[#This Row],[Country]],Tabela1[Country], 0),0))</f>
        <v>0</v>
      </c>
      <c r="AT199" s="6">
        <f>SUM(INDEX(Tabela1[[Triathlon - Men''s Individual]:[Triathlon - Mixed Relay]],MATCH(Table92[[#This Row],[Country]],Tabela1[Country], 0),0))</f>
        <v>0</v>
      </c>
      <c r="AU199" s="6">
        <f>SUM(INDEX(Tabela1[[Volleyball - Men''s Tournament]:[Volleyball - Women''s Tournament]],MATCH(Table92[[#This Row],[Country]],Tabela1[Country], 0),0))</f>
        <v>0</v>
      </c>
      <c r="AV199" s="6">
        <f>SUM(INDEX(Tabela1[[Water Polo - Men''s Tournament]:[Water Polo - Women''s Tournament]],MATCH(Table92[[#This Row],[Country]],Tabela1[Country], 0),0))</f>
        <v>0</v>
      </c>
      <c r="AW199" s="6">
        <f>SUM(INDEX(Tabela1[[Weightlifting - Men''s 61kg]:[Weightlifting - Women''s +81kg]],MATCH(Table92[[#This Row],[Country]],Tabela1[Country], 0),0))</f>
        <v>0</v>
      </c>
      <c r="AX199" s="6">
        <f>SUM(INDEX(Tabela1[[Wrestling - Men''s Freestyle 57kg]:[Wrestling - Women''s Freestyle 76kg]],MATCH(Table92[[#This Row],[Country]],Tabela1[Country], 0),0))</f>
        <v>0</v>
      </c>
      <c r="AY199" s="6">
        <f>SUM(INDEX(Tabela1[[Alpine Skiing - Men''s Downhill]:[Alpine Skiing - Women''s Team Combined]],MATCH(Table92[[#This Row],[Country]],Tabela1[Country], 0),0))</f>
        <v>0</v>
      </c>
      <c r="AZ199" s="6">
        <f>SUM(INDEX(Tabela1[[Biathlon - Men''s Individual]:[Biathlon - Mixed Relay]],MATCH(Table92[[#This Row],[Country]],Tabela1[Country], 0),0))</f>
        <v>0</v>
      </c>
      <c r="BA199" s="6">
        <f>SUM(INDEX(Tabela1[[Bobsleigh - Women''s Monobob]:[Bobsleigh - Men''s Four]],MATCH(Table92[[#This Row],[Country]],Tabela1[Country], 0),0))</f>
        <v>0</v>
      </c>
      <c r="BB199" s="6">
        <f>SUM(INDEX(Tabela1[[Cross-country skiing - Men''s Classical]:[Cross-country skiing - Women''s Team Sprint]],MATCH(Table92[[#This Row],[Country]],Tabela1[Country], 0),0))</f>
        <v>0</v>
      </c>
      <c r="BC199" s="6">
        <f>SUM(INDEX(Tabela1[[Curling - Men''s Tournament]:[Curling - Mixed Doubles]],MATCH(Table92[[#This Row],[Country]],Tabela1[Country], 0),0))</f>
        <v>0</v>
      </c>
      <c r="BD199" s="6">
        <f>SUM(INDEX(Tabela1[[Figure Skating - Men''s Singles]:[Figure Skating - Team Event]],MATCH(Table92[[#This Row],[Country]],Tabela1[Country], 0),0))</f>
        <v>0</v>
      </c>
      <c r="BE199" s="6">
        <f>SUM(INDEX(Tabela1[[Freestyle Skiing - Men''s Aerials]:[Freestyle Skiing - Women''s Slopestyle]],MATCH(Table92[[#This Row],[Country]],Tabela1[Country], 0),0))</f>
        <v>0</v>
      </c>
      <c r="BF199" s="6">
        <f>SUM(INDEX(Tabela1[[Ice Hockey - Men''s Tournament]:[Ice Hockey - Women''s Tournament]],MATCH(Table92[[#This Row],[Country]],Tabela1[Country], 0),0))</f>
        <v>0</v>
      </c>
      <c r="BG199" s="6">
        <f>SUM(INDEX(Tabela1[[Luge - Men''s Singles]:[Luge - Mixed Team Relay]],MATCH(Table92[[#This Row],[Country]],Tabela1[Country], 0),0))</f>
        <v>0</v>
      </c>
      <c r="BH199" s="6">
        <f>SUM(INDEX(Tabela1[[Nordic Combined - Men''s Individual]:[Nordic Combined - Men''s Team Sprint Large Hill]],MATCH(Table92[[#This Row],[Country]],Tabela1[Country], 0),0))</f>
        <v>0</v>
      </c>
      <c r="BI199" s="6">
        <f>SUM(INDEX(Tabela1[[Short track speed skating - Men''s 500m]:[Short track speed skating - Mixed 2000m Relay]],MATCH(Table92[[#This Row],[Country]],Tabela1[Country], 0),0))</f>
        <v>0</v>
      </c>
      <c r="BJ199" s="6">
        <f>SUM(INDEX(Tabela1[[Skeleton - Men''s Individual]:[Skeleton - Mixed Team]],MATCH(Table92[[#This Row],[Country]],Tabela1[Country], 0),0))</f>
        <v>0</v>
      </c>
      <c r="BK199" s="6">
        <f>SUM(INDEX(Tabela1[[Ski Jumping - Men''s Individual Large Hill]:[Ski Jumping - Mixed Team Normal Hill]],MATCH(Table92[[#This Row],[Country]],Tabela1[Country], 0),0))</f>
        <v>0</v>
      </c>
      <c r="BL199" s="6">
        <f>SUM(INDEX(Tabela1[[Ski Mountaineering - Men''s Sprint]:[Ski Mountaineering - Mixed Relay]],MATCH(Table92[[#This Row],[Country]],Tabela1[Country], 0),0))</f>
        <v>0</v>
      </c>
      <c r="BM199" s="6">
        <f>SUM(INDEX(Tabela1[[Snowboarding - Men''s Big Air]:[Snowboarding - Mixed Team Snowboard Cross]],MATCH(Table92[[#This Row],[Country]],Tabela1[Country], 0),0))</f>
        <v>0</v>
      </c>
      <c r="BN199" s="6">
        <f>SUM(INDEX(Tabela1[[Speed Skating - Men''s 500m]:[Speed Skating - Women''s Team Pursuit]],MATCH(Table92[[#This Row],[Country]],Tabela1[Country], 0),0))</f>
        <v>0</v>
      </c>
      <c r="BO199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99" s="6">
        <f>SUM(Table92[[#This Row],[Summer Sports]:[Winter Sports]])</f>
        <v>0</v>
      </c>
      <c r="BQ199" s="6">
        <f>COUNTIF(Table92[[#This Row],[Archery Quotas]:[Wrestling Quotas]],"&lt;&gt;0")</f>
        <v>0</v>
      </c>
      <c r="BR199" s="6">
        <f>COUNTIF(Table92[[#This Row],[Alpine Skiing Quotas]:[Speed Skating Quotas]],"&lt;&gt;0")</f>
        <v>0</v>
      </c>
      <c r="BS199" s="4" t="s">
        <v>453</v>
      </c>
    </row>
    <row r="200" spans="1:71" x14ac:dyDescent="0.3">
      <c r="A200" s="6" t="s">
        <v>446</v>
      </c>
      <c r="B200" t="e" vm="160">
        <f>IF(ISBLANK(Table92[[#This Row],[Flag Link]]), "", _xlfn.IMAGE(Table92[[#This Row],[Flag Link]],1,1))</f>
        <v>#VALUE!</v>
      </c>
      <c r="C200" s="6">
        <f>SUM(Table92[[#This Row],[Archery Quotas]:[Speed Skating Quotas]])</f>
        <v>0</v>
      </c>
      <c r="D200" s="6">
        <f>SUM(INDEX(Tabela1[[Archery - Men''s Individual Recurve]:[Archery - Mixed Team Recurve]],MATCH(Table92[[#This Row],[Country]],Tabela1[Country], 0),0))</f>
        <v>0</v>
      </c>
      <c r="E200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200" s="6">
        <f>SUM(INDEX(Tabela1[[Artistic Swimming - Women''s Duet]:[Artistic Swimming - Women''s Team]],MATCH(Table92[[#This Row],[Country]],Tabela1[Country], 0),0))</f>
        <v>0</v>
      </c>
      <c r="G200" s="6">
        <f>SUM(INDEX(Tabela1[[Athletics - Men''s 100m]:[Athletics - Women''s Heptathlon]],MATCH(Table92[[#This Row],[Country]],Tabela1[Country], 0),0))</f>
        <v>0</v>
      </c>
      <c r="H200" s="6">
        <f>SUM(INDEX(Tabela1[[Badminton - Men''s Singles]:[Badminton - Mixed Doubles]],MATCH(Table92[[#This Row],[Country]],Tabela1[Country], 0),0))</f>
        <v>0</v>
      </c>
      <c r="I200" s="6">
        <f>SUM(INDEX(Tabela1[[Basketball - Men''s Tournament]:[Basketball - Women''s Tournament]],MATCH(Table92[[#This Row],[Country]],Tabela1[Country], 0),0))</f>
        <v>0</v>
      </c>
      <c r="J200" s="6">
        <f>SUM(INDEX(Tabela1[[3x3 Basketball - Men''s Tournament]:[3x3 Basketball - Women''s Tournament]],MATCH(Table92[[#This Row],[Country]],Tabela1[Country], 0),0))</f>
        <v>0</v>
      </c>
      <c r="K200" s="6">
        <f>SUM(INDEX(Tabela1[[Beach Volleyball - Men''s Tournament]:[Beach Volleyball - Women''s Tournament]],MATCH(Table92[[#This Row],[Country]],Tabela1[Country], 0),0))</f>
        <v>0</v>
      </c>
      <c r="L200" s="6">
        <f>SUM(INDEX(Tabela1[[Boxing - Men''s 51kg]:[Boxing - Women''s 75kg]],MATCH(Table92[[#This Row],[Country]],Tabela1[Country], 0),0))</f>
        <v>0</v>
      </c>
      <c r="M200" s="6">
        <f>SUM(INDEX(Tabela1[[Breaking - Men''s Individual]:[Breaking - Women''s Individual]],MATCH(Table92[[#This Row],[Country]],Tabela1[Country], 0),0))</f>
        <v>0</v>
      </c>
      <c r="N200" s="6">
        <f>SUM(INDEX(Tabela1[[Canoeing - Men''s C1 Slalom]:[Canoeing - Women''s Kayak Cross Slalom]],MATCH(Table92[[#This Row],[Country]],Tabela1[Country], 0),0))</f>
        <v>0</v>
      </c>
      <c r="O200" s="6">
        <f>SUM(INDEX(Tabela1[[Canoeing - Women''s C1 200m]:[Canoeing - Women''s K4 500m]],MATCH(Table92[[#This Row],[Country]],Tabela1[Country], 0),0))</f>
        <v>0</v>
      </c>
      <c r="P200" s="6">
        <f>SUM(INDEX(Tabela1[[Cycling - Men''s BMX Freestyle]:[Cycling - Women''s BMX Freestyle]],MATCH(Table92[[#This Row],[Country]],Tabela1[Country], 0),0))</f>
        <v>0</v>
      </c>
      <c r="Q200" s="6">
        <f>SUM(INDEX(Tabela1[[Cycling - Men''s BMX Racing]:[Cycling - Women''s BMX Racing]],MATCH(Table92[[#This Row],[Country]],Tabela1[Country], 0),0))</f>
        <v>0</v>
      </c>
      <c r="R200" s="6">
        <f>SUM(INDEX(Tabela1[[Cycling - Men''s Cross-Country]:[Cycling - Women''s Cross-Country]],MATCH(Table92[[#This Row],[Country]],Tabela1[Country], 0),0))</f>
        <v>0</v>
      </c>
      <c r="S200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200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200" s="6">
        <f>SUM(INDEX(Tabela1[[Diving - Men''s Springboard]:[Diving - Women''s Synchronized Platform]],MATCH(Table92[[#This Row],[Country]],Tabela1[Country], 0),0))</f>
        <v>0</v>
      </c>
      <c r="V200" s="6">
        <f>SUM(INDEX(Tabela1[[Equestrian - Individual Dressage]:[Equestrian - Team Dressage]],MATCH(Table92[[#This Row],[Country]],Tabela1[Country], 0),0))</f>
        <v>0</v>
      </c>
      <c r="W200" s="6">
        <f>SUM(INDEX(Tabela1[[Equestrian - Individual Eventing]:[Equestrian - Team Eventing]],MATCH(Table92[[#This Row],[Country]],Tabela1[Country], 0),0))</f>
        <v>0</v>
      </c>
      <c r="X200" s="6">
        <f>SUM(INDEX(Tabela1[[Equestrian - Individual Jumping]:[Equestrian - Team Jumping]],MATCH(Table92[[#This Row],[Country]],Tabela1[Country], 0),0))</f>
        <v>0</v>
      </c>
      <c r="Y200" s="6">
        <f>SUM(INDEX(Tabela1[[Fencing - Men''s Épée]:[Fencing - Women''s Team Sabre]],MATCH(Table92[[#This Row],[Country]],Tabela1[Country], 0),0))</f>
        <v>0</v>
      </c>
      <c r="Z200" s="6">
        <f>SUM(INDEX(Tabela1[[Field Hockey - Men''s Tournament]:[Field Hockey - Women''s Tournament]],MATCH(Table92[[#This Row],[Country]],Tabela1[Country], 0),0))</f>
        <v>0</v>
      </c>
      <c r="AA200" s="6">
        <f>SUM(INDEX(Tabela1[[Football - Men''s Tournament]:[Football - Women''s Tournament]],MATCH(Table92[[#This Row],[Country]],Tabela1[Country], 0),0))</f>
        <v>0</v>
      </c>
      <c r="AB200" s="6">
        <f>SUM(INDEX(Tabela1[[Golf - Men''s Individual]:[Golf - Women''s Individual]],MATCH(Table92[[#This Row],[Country]],Tabela1[Country], 0),0))</f>
        <v>0</v>
      </c>
      <c r="AC200" s="6">
        <f>SUM(INDEX(Tabela1[[Handball - Men''s Tournament]:[Handball - Women''s Tournament]],MATCH(Table92[[#This Row],[Country]],Tabela1[Country], 0),0))</f>
        <v>0</v>
      </c>
      <c r="AD200" s="6">
        <f>SUM(INDEX(Tabela1[[Judo - Men''s 60kg]:[Judo - Mixed Team]],MATCH(Table92[[#This Row],[Country]],Tabela1[Country], 0),0))</f>
        <v>0</v>
      </c>
      <c r="AE200" s="6">
        <f>SUM(INDEX(Tabela1[[Swimming - Men''s 10km Open Water]:[Swimming - Women''s 10km Open Water]],MATCH(Table92[[#This Row],[Country]],Tabela1[Country], 0),0))</f>
        <v>0</v>
      </c>
      <c r="AF200" s="6">
        <f>SUM(INDEX(Tabela1[[Modern Pentathlon - Men''s Individual]:[Modern Pentathlon - Women''s Individual]],MATCH(Table92[[#This Row],[Country]],Tabela1[Country], 0),0))</f>
        <v>0</v>
      </c>
      <c r="AG200" s="6">
        <f>SUM(INDEX(Tabela1[[Rhythmic Gymnastics - Women''s Individual All-Around]:[Rhythmic Gymnastics - Women''s Group All-Around]],MATCH(Table92[[#This Row],[Country]],Tabela1[Country], 0),0))</f>
        <v>0</v>
      </c>
      <c r="AH200" s="6">
        <f>SUM(INDEX(Tabela1[[Rowing - Men''s Single Sculls]:[Rowing - Women''s Lwt. Double Sculls]],MATCH(Table92[[#This Row],[Country]],Tabela1[Country], 0),0))</f>
        <v>0</v>
      </c>
      <c r="AI200" s="6">
        <f>SUM(INDEX(Tabela1[[Rugby Sevens - Men''s Tournament]:[Rugby Sevens - Women''s Tournament]],MATCH(Table92[[#This Row],[Country]],Tabela1[Country], 0),0))</f>
        <v>0</v>
      </c>
      <c r="AJ200" s="6">
        <f>SUM(INDEX(Tabela1[[Sailing - Mixed 470]:[Sailing - Mixed Nacra 17]],MATCH(Table92[[#This Row],[Country]],Tabela1[Country], 0),0))</f>
        <v>0</v>
      </c>
      <c r="AK200" s="6">
        <f>SUM(INDEX(Tabela1[[Shooting - Men''s 10m Air Pistol]:[Shooting - Women''s Trap]],MATCH(Table92[[#This Row],[Country]],Tabela1[Country], 0),0))</f>
        <v>0</v>
      </c>
      <c r="AL200" s="6">
        <f>SUM(INDEX(Tabela1[[Skateboarding - Men''s Park]:[Skateboarding - Women''s Street]],MATCH(Table92[[#This Row],[Country]],Tabela1[Country], 0),0))</f>
        <v>0</v>
      </c>
      <c r="AM200" s="6">
        <f>SUM(INDEX(Tabela1[[Sport Climbing - Men''s Boulder and Lead]:[Sport Climbing - Women''s Speed]],MATCH(Table92[[#This Row],[Country]],Tabela1[Country], 0),0))</f>
        <v>0</v>
      </c>
      <c r="AN200" s="6">
        <f>SUM(INDEX(Tabela1[[Surfing - Men''s Shortboard]:[Surfing - Women''s Shortboard]],MATCH(Table92[[#This Row],[Country]],Tabela1[Country], 0),0))</f>
        <v>0</v>
      </c>
      <c r="AO200" s="6">
        <f>SUM(INDEX(Tabela1[[Swimming - Men''s 50m Freestyle]:[Swimming - Mixed 4x100m Medley Relay]],MATCH(Table92[[#This Row],[Country]],Tabela1[Country], 0),0))</f>
        <v>0</v>
      </c>
      <c r="AP200" s="6">
        <f>SUM(INDEX(Tabela1[[Table Tennis - Men''s Singles]:[Table Tennis - Mixed Doubles]],MATCH(Table92[[#This Row],[Country]],Tabela1[Country], 0),0))</f>
        <v>0</v>
      </c>
      <c r="AQ200" s="6">
        <f>SUM(INDEX(Tabela1[[Taekwondo - Men''s 58kg]:[Taekwondo - Women''s +67kg]],MATCH(Table92[[#This Row],[Country]],Tabela1[Country], 0),0))</f>
        <v>0</v>
      </c>
      <c r="AR200" s="6">
        <f>SUM(INDEX(Tabela1[[Tennis - Men''s Singles]:[Tennis - Mixed Doubles]],MATCH(Table92[[#This Row],[Country]],Tabela1[Country], 0),0))</f>
        <v>0</v>
      </c>
      <c r="AS200" s="6">
        <f>SUM(INDEX(Tabela1[[Gymnastics - Men''s Trampoline]:[Gymnastics - Women''s Trampoline]],MATCH(Table92[[#This Row],[Country]],Tabela1[Country], 0),0))</f>
        <v>0</v>
      </c>
      <c r="AT200" s="6">
        <f>SUM(INDEX(Tabela1[[Triathlon - Men''s Individual]:[Triathlon - Mixed Relay]],MATCH(Table92[[#This Row],[Country]],Tabela1[Country], 0),0))</f>
        <v>0</v>
      </c>
      <c r="AU200" s="6">
        <f>SUM(INDEX(Tabela1[[Volleyball - Men''s Tournament]:[Volleyball - Women''s Tournament]],MATCH(Table92[[#This Row],[Country]],Tabela1[Country], 0),0))</f>
        <v>0</v>
      </c>
      <c r="AV200" s="6">
        <f>SUM(INDEX(Tabela1[[Water Polo - Men''s Tournament]:[Water Polo - Women''s Tournament]],MATCH(Table92[[#This Row],[Country]],Tabela1[Country], 0),0))</f>
        <v>0</v>
      </c>
      <c r="AW200" s="6">
        <f>SUM(INDEX(Tabela1[[Weightlifting - Men''s 61kg]:[Weightlifting - Women''s +81kg]],MATCH(Table92[[#This Row],[Country]],Tabela1[Country], 0),0))</f>
        <v>0</v>
      </c>
      <c r="AX200" s="6">
        <f>SUM(INDEX(Tabela1[[Wrestling - Men''s Freestyle 57kg]:[Wrestling - Women''s Freestyle 76kg]],MATCH(Table92[[#This Row],[Country]],Tabela1[Country], 0),0))</f>
        <v>0</v>
      </c>
      <c r="AY200" s="6">
        <f>SUM(INDEX(Tabela1[[Alpine Skiing - Men''s Downhill]:[Alpine Skiing - Women''s Team Combined]],MATCH(Table92[[#This Row],[Country]],Tabela1[Country], 0),0))</f>
        <v>0</v>
      </c>
      <c r="AZ200" s="6">
        <f>SUM(INDEX(Tabela1[[Biathlon - Men''s Individual]:[Biathlon - Mixed Relay]],MATCH(Table92[[#This Row],[Country]],Tabela1[Country], 0),0))</f>
        <v>0</v>
      </c>
      <c r="BA200" s="6">
        <f>SUM(INDEX(Tabela1[[Bobsleigh - Women''s Monobob]:[Bobsleigh - Men''s Four]],MATCH(Table92[[#This Row],[Country]],Tabela1[Country], 0),0))</f>
        <v>0</v>
      </c>
      <c r="BB200" s="6">
        <f>SUM(INDEX(Tabela1[[Cross-country skiing - Men''s Classical]:[Cross-country skiing - Women''s Team Sprint]],MATCH(Table92[[#This Row],[Country]],Tabela1[Country], 0),0))</f>
        <v>0</v>
      </c>
      <c r="BC200" s="6">
        <f>SUM(INDEX(Tabela1[[Curling - Men''s Tournament]:[Curling - Mixed Doubles]],MATCH(Table92[[#This Row],[Country]],Tabela1[Country], 0),0))</f>
        <v>0</v>
      </c>
      <c r="BD200" s="6">
        <f>SUM(INDEX(Tabela1[[Figure Skating - Men''s Singles]:[Figure Skating - Team Event]],MATCH(Table92[[#This Row],[Country]],Tabela1[Country], 0),0))</f>
        <v>0</v>
      </c>
      <c r="BE200" s="6">
        <f>SUM(INDEX(Tabela1[[Freestyle Skiing - Men''s Aerials]:[Freestyle Skiing - Women''s Slopestyle]],MATCH(Table92[[#This Row],[Country]],Tabela1[Country], 0),0))</f>
        <v>0</v>
      </c>
      <c r="BF200" s="6">
        <f>SUM(INDEX(Tabela1[[Ice Hockey - Men''s Tournament]:[Ice Hockey - Women''s Tournament]],MATCH(Table92[[#This Row],[Country]],Tabela1[Country], 0),0))</f>
        <v>0</v>
      </c>
      <c r="BG200" s="6">
        <f>SUM(INDEX(Tabela1[[Luge - Men''s Singles]:[Luge - Mixed Team Relay]],MATCH(Table92[[#This Row],[Country]],Tabela1[Country], 0),0))</f>
        <v>0</v>
      </c>
      <c r="BH200" s="6">
        <f>SUM(INDEX(Tabela1[[Nordic Combined - Men''s Individual]:[Nordic Combined - Men''s Team Sprint Large Hill]],MATCH(Table92[[#This Row],[Country]],Tabela1[Country], 0),0))</f>
        <v>0</v>
      </c>
      <c r="BI200" s="6">
        <f>SUM(INDEX(Tabela1[[Short track speed skating - Men''s 500m]:[Short track speed skating - Mixed 2000m Relay]],MATCH(Table92[[#This Row],[Country]],Tabela1[Country], 0),0))</f>
        <v>0</v>
      </c>
      <c r="BJ200" s="6">
        <f>SUM(INDEX(Tabela1[[Skeleton - Men''s Individual]:[Skeleton - Mixed Team]],MATCH(Table92[[#This Row],[Country]],Tabela1[Country], 0),0))</f>
        <v>0</v>
      </c>
      <c r="BK200" s="6">
        <f>SUM(INDEX(Tabela1[[Ski Jumping - Men''s Individual Large Hill]:[Ski Jumping - Mixed Team Normal Hill]],MATCH(Table92[[#This Row],[Country]],Tabela1[Country], 0),0))</f>
        <v>0</v>
      </c>
      <c r="BL200" s="6">
        <f>SUM(INDEX(Tabela1[[Ski Mountaineering - Men''s Sprint]:[Ski Mountaineering - Mixed Relay]],MATCH(Table92[[#This Row],[Country]],Tabela1[Country], 0),0))</f>
        <v>0</v>
      </c>
      <c r="BM200" s="6">
        <f>SUM(INDEX(Tabela1[[Snowboarding - Men''s Big Air]:[Snowboarding - Mixed Team Snowboard Cross]],MATCH(Table92[[#This Row],[Country]],Tabela1[Country], 0),0))</f>
        <v>0</v>
      </c>
      <c r="BN200" s="6">
        <f>SUM(INDEX(Tabela1[[Speed Skating - Men''s 500m]:[Speed Skating - Women''s Team Pursuit]],MATCH(Table92[[#This Row],[Country]],Tabela1[Country], 0),0))</f>
        <v>0</v>
      </c>
      <c r="BO200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200" s="6">
        <f>SUM(Table92[[#This Row],[Summer Sports]:[Winter Sports]])</f>
        <v>0</v>
      </c>
      <c r="BQ200" s="6">
        <f>COUNTIF(Table92[[#This Row],[Archery Quotas]:[Wrestling Quotas]],"&lt;&gt;0")</f>
        <v>0</v>
      </c>
      <c r="BR200" s="6">
        <f>COUNTIF(Table92[[#This Row],[Alpine Skiing Quotas]:[Speed Skating Quotas]],"&lt;&gt;0")</f>
        <v>0</v>
      </c>
      <c r="BS200" s="4" t="s">
        <v>447</v>
      </c>
    </row>
    <row r="201" spans="1:71" x14ac:dyDescent="0.3">
      <c r="A201" s="6" t="s">
        <v>696</v>
      </c>
      <c r="B201" t="e" vm="200">
        <f>IF(ISBLANK(Table92[[#This Row],[Flag Link]]), "", _xlfn.IMAGE(Table92[[#This Row],[Flag Link]],1,1))</f>
        <v>#VALUE!</v>
      </c>
      <c r="C201" s="6">
        <f>SUM(Table92[[#This Row],[Archery Quotas]:[Speed Skating Quotas]])</f>
        <v>0</v>
      </c>
      <c r="D201" s="6">
        <f>SUM(INDEX(Tabela1[[Archery - Men''s Individual Recurve]:[Archery - Mixed Team Recurve]],MATCH(Table92[[#This Row],[Country]],Tabela1[Country], 0),0))</f>
        <v>0</v>
      </c>
      <c r="E201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201" s="6">
        <f>SUM(INDEX(Tabela1[[Artistic Swimming - Women''s Duet]:[Artistic Swimming - Women''s Team]],MATCH(Table92[[#This Row],[Country]],Tabela1[Country], 0),0))</f>
        <v>0</v>
      </c>
      <c r="G201" s="6">
        <f>SUM(INDEX(Tabela1[[Athletics - Men''s 100m]:[Athletics - Women''s Heptathlon]],MATCH(Table92[[#This Row],[Country]],Tabela1[Country], 0),0))</f>
        <v>0</v>
      </c>
      <c r="H201" s="6">
        <f>SUM(INDEX(Tabela1[[Badminton - Men''s Singles]:[Badminton - Mixed Doubles]],MATCH(Table92[[#This Row],[Country]],Tabela1[Country], 0),0))</f>
        <v>0</v>
      </c>
      <c r="I201" s="6">
        <f>SUM(INDEX(Tabela1[[Basketball - Men''s Tournament]:[Basketball - Women''s Tournament]],MATCH(Table92[[#This Row],[Country]],Tabela1[Country], 0),0))</f>
        <v>0</v>
      </c>
      <c r="J201" s="6">
        <f>SUM(INDEX(Tabela1[[3x3 Basketball - Men''s Tournament]:[3x3 Basketball - Women''s Tournament]],MATCH(Table92[[#This Row],[Country]],Tabela1[Country], 0),0))</f>
        <v>0</v>
      </c>
      <c r="K201" s="6">
        <f>SUM(INDEX(Tabela1[[Beach Volleyball - Men''s Tournament]:[Beach Volleyball - Women''s Tournament]],MATCH(Table92[[#This Row],[Country]],Tabela1[Country], 0),0))</f>
        <v>0</v>
      </c>
      <c r="L201" s="6">
        <f>SUM(INDEX(Tabela1[[Boxing - Men''s 51kg]:[Boxing - Women''s 75kg]],MATCH(Table92[[#This Row],[Country]],Tabela1[Country], 0),0))</f>
        <v>0</v>
      </c>
      <c r="M201" s="6">
        <f>SUM(INDEX(Tabela1[[Breaking - Men''s Individual]:[Breaking - Women''s Individual]],MATCH(Table92[[#This Row],[Country]],Tabela1[Country], 0),0))</f>
        <v>0</v>
      </c>
      <c r="N201" s="6">
        <f>SUM(INDEX(Tabela1[[Canoeing - Men''s C1 Slalom]:[Canoeing - Women''s Kayak Cross Slalom]],MATCH(Table92[[#This Row],[Country]],Tabela1[Country], 0),0))</f>
        <v>0</v>
      </c>
      <c r="O201" s="6">
        <f>SUM(INDEX(Tabela1[[Canoeing - Women''s C1 200m]:[Canoeing - Women''s K4 500m]],MATCH(Table92[[#This Row],[Country]],Tabela1[Country], 0),0))</f>
        <v>0</v>
      </c>
      <c r="P201" s="6">
        <f>SUM(INDEX(Tabela1[[Cycling - Men''s BMX Freestyle]:[Cycling - Women''s BMX Freestyle]],MATCH(Table92[[#This Row],[Country]],Tabela1[Country], 0),0))</f>
        <v>0</v>
      </c>
      <c r="Q201" s="6">
        <f>SUM(INDEX(Tabela1[[Cycling - Men''s BMX Racing]:[Cycling - Women''s BMX Racing]],MATCH(Table92[[#This Row],[Country]],Tabela1[Country], 0),0))</f>
        <v>0</v>
      </c>
      <c r="R201" s="6">
        <f>SUM(INDEX(Tabela1[[Cycling - Men''s Cross-Country]:[Cycling - Women''s Cross-Country]],MATCH(Table92[[#This Row],[Country]],Tabela1[Country], 0),0))</f>
        <v>0</v>
      </c>
      <c r="S201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201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201" s="6">
        <f>SUM(INDEX(Tabela1[[Diving - Men''s Springboard]:[Diving - Women''s Synchronized Platform]],MATCH(Table92[[#This Row],[Country]],Tabela1[Country], 0),0))</f>
        <v>0</v>
      </c>
      <c r="V201" s="6">
        <f>SUM(INDEX(Tabela1[[Equestrian - Individual Dressage]:[Equestrian - Team Dressage]],MATCH(Table92[[#This Row],[Country]],Tabela1[Country], 0),0))</f>
        <v>0</v>
      </c>
      <c r="W201" s="6">
        <f>SUM(INDEX(Tabela1[[Equestrian - Individual Eventing]:[Equestrian - Team Eventing]],MATCH(Table92[[#This Row],[Country]],Tabela1[Country], 0),0))</f>
        <v>0</v>
      </c>
      <c r="X201" s="6">
        <f>SUM(INDEX(Tabela1[[Equestrian - Individual Jumping]:[Equestrian - Team Jumping]],MATCH(Table92[[#This Row],[Country]],Tabela1[Country], 0),0))</f>
        <v>0</v>
      </c>
      <c r="Y201" s="6">
        <f>SUM(INDEX(Tabela1[[Fencing - Men''s Épée]:[Fencing - Women''s Team Sabre]],MATCH(Table92[[#This Row],[Country]],Tabela1[Country], 0),0))</f>
        <v>0</v>
      </c>
      <c r="Z201" s="6">
        <f>SUM(INDEX(Tabela1[[Field Hockey - Men''s Tournament]:[Field Hockey - Women''s Tournament]],MATCH(Table92[[#This Row],[Country]],Tabela1[Country], 0),0))</f>
        <v>0</v>
      </c>
      <c r="AA201" s="6">
        <f>SUM(INDEX(Tabela1[[Football - Men''s Tournament]:[Football - Women''s Tournament]],MATCH(Table92[[#This Row],[Country]],Tabela1[Country], 0),0))</f>
        <v>0</v>
      </c>
      <c r="AB201" s="6">
        <f>SUM(INDEX(Tabela1[[Golf - Men''s Individual]:[Golf - Women''s Individual]],MATCH(Table92[[#This Row],[Country]],Tabela1[Country], 0),0))</f>
        <v>0</v>
      </c>
      <c r="AC201" s="6">
        <f>SUM(INDEX(Tabela1[[Handball - Men''s Tournament]:[Handball - Women''s Tournament]],MATCH(Table92[[#This Row],[Country]],Tabela1[Country], 0),0))</f>
        <v>0</v>
      </c>
      <c r="AD201" s="6">
        <f>SUM(INDEX(Tabela1[[Judo - Men''s 60kg]:[Judo - Mixed Team]],MATCH(Table92[[#This Row],[Country]],Tabela1[Country], 0),0))</f>
        <v>0</v>
      </c>
      <c r="AE201" s="6">
        <f>SUM(INDEX(Tabela1[[Swimming - Men''s 10km Open Water]:[Swimming - Women''s 10km Open Water]],MATCH(Table92[[#This Row],[Country]],Tabela1[Country], 0),0))</f>
        <v>0</v>
      </c>
      <c r="AF201" s="6">
        <f>SUM(INDEX(Tabela1[[Modern Pentathlon - Men''s Individual]:[Modern Pentathlon - Women''s Individual]],MATCH(Table92[[#This Row],[Country]],Tabela1[Country], 0),0))</f>
        <v>0</v>
      </c>
      <c r="AG201" s="6">
        <f>SUM(INDEX(Tabela1[[Rhythmic Gymnastics - Women''s Individual All-Around]:[Rhythmic Gymnastics - Women''s Group All-Around]],MATCH(Table92[[#This Row],[Country]],Tabela1[Country], 0),0))</f>
        <v>0</v>
      </c>
      <c r="AH201" s="6">
        <f>SUM(INDEX(Tabela1[[Rowing - Men''s Single Sculls]:[Rowing - Women''s Lwt. Double Sculls]],MATCH(Table92[[#This Row],[Country]],Tabela1[Country], 0),0))</f>
        <v>0</v>
      </c>
      <c r="AI201" s="6">
        <f>SUM(INDEX(Tabela1[[Rugby Sevens - Men''s Tournament]:[Rugby Sevens - Women''s Tournament]],MATCH(Table92[[#This Row],[Country]],Tabela1[Country], 0),0))</f>
        <v>0</v>
      </c>
      <c r="AJ201" s="6">
        <f>SUM(INDEX(Tabela1[[Sailing - Mixed 470]:[Sailing - Mixed Nacra 17]],MATCH(Table92[[#This Row],[Country]],Tabela1[Country], 0),0))</f>
        <v>0</v>
      </c>
      <c r="AK201" s="6">
        <f>SUM(INDEX(Tabela1[[Shooting - Men''s 10m Air Pistol]:[Shooting - Women''s Trap]],MATCH(Table92[[#This Row],[Country]],Tabela1[Country], 0),0))</f>
        <v>0</v>
      </c>
      <c r="AL201" s="6">
        <f>SUM(INDEX(Tabela1[[Skateboarding - Men''s Park]:[Skateboarding - Women''s Street]],MATCH(Table92[[#This Row],[Country]],Tabela1[Country], 0),0))</f>
        <v>0</v>
      </c>
      <c r="AM201" s="6">
        <f>SUM(INDEX(Tabela1[[Sport Climbing - Men''s Boulder and Lead]:[Sport Climbing - Women''s Speed]],MATCH(Table92[[#This Row],[Country]],Tabela1[Country], 0),0))</f>
        <v>0</v>
      </c>
      <c r="AN201" s="6">
        <f>SUM(INDEX(Tabela1[[Surfing - Men''s Shortboard]:[Surfing - Women''s Shortboard]],MATCH(Table92[[#This Row],[Country]],Tabela1[Country], 0),0))</f>
        <v>0</v>
      </c>
      <c r="AO201" s="6">
        <f>SUM(INDEX(Tabela1[[Swimming - Men''s 50m Freestyle]:[Swimming - Mixed 4x100m Medley Relay]],MATCH(Table92[[#This Row],[Country]],Tabela1[Country], 0),0))</f>
        <v>0</v>
      </c>
      <c r="AP201" s="6">
        <f>SUM(INDEX(Tabela1[[Table Tennis - Men''s Singles]:[Table Tennis - Mixed Doubles]],MATCH(Table92[[#This Row],[Country]],Tabela1[Country], 0),0))</f>
        <v>0</v>
      </c>
      <c r="AQ201" s="6">
        <f>SUM(INDEX(Tabela1[[Taekwondo - Men''s 58kg]:[Taekwondo - Women''s +67kg]],MATCH(Table92[[#This Row],[Country]],Tabela1[Country], 0),0))</f>
        <v>0</v>
      </c>
      <c r="AR201" s="6">
        <f>SUM(INDEX(Tabela1[[Tennis - Men''s Singles]:[Tennis - Mixed Doubles]],MATCH(Table92[[#This Row],[Country]],Tabela1[Country], 0),0))</f>
        <v>0</v>
      </c>
      <c r="AS201" s="6">
        <f>SUM(INDEX(Tabela1[[Gymnastics - Men''s Trampoline]:[Gymnastics - Women''s Trampoline]],MATCH(Table92[[#This Row],[Country]],Tabela1[Country], 0),0))</f>
        <v>0</v>
      </c>
      <c r="AT201" s="6">
        <f>SUM(INDEX(Tabela1[[Triathlon - Men''s Individual]:[Triathlon - Mixed Relay]],MATCH(Table92[[#This Row],[Country]],Tabela1[Country], 0),0))</f>
        <v>0</v>
      </c>
      <c r="AU201" s="6">
        <f>SUM(INDEX(Tabela1[[Volleyball - Men''s Tournament]:[Volleyball - Women''s Tournament]],MATCH(Table92[[#This Row],[Country]],Tabela1[Country], 0),0))</f>
        <v>0</v>
      </c>
      <c r="AV201" s="6">
        <f>SUM(INDEX(Tabela1[[Water Polo - Men''s Tournament]:[Water Polo - Women''s Tournament]],MATCH(Table92[[#This Row],[Country]],Tabela1[Country], 0),0))</f>
        <v>0</v>
      </c>
      <c r="AW201" s="6">
        <f>SUM(INDEX(Tabela1[[Weightlifting - Men''s 61kg]:[Weightlifting - Women''s +81kg]],MATCH(Table92[[#This Row],[Country]],Tabela1[Country], 0),0))</f>
        <v>0</v>
      </c>
      <c r="AX201" s="6">
        <f>SUM(INDEX(Tabela1[[Wrestling - Men''s Freestyle 57kg]:[Wrestling - Women''s Freestyle 76kg]],MATCH(Table92[[#This Row],[Country]],Tabela1[Country], 0),0))</f>
        <v>0</v>
      </c>
      <c r="AY201" s="6">
        <f>SUM(INDEX(Tabela1[[Alpine Skiing - Men''s Downhill]:[Alpine Skiing - Women''s Team Combined]],MATCH(Table92[[#This Row],[Country]],Tabela1[Country], 0),0))</f>
        <v>0</v>
      </c>
      <c r="AZ201" s="6">
        <f>SUM(INDEX(Tabela1[[Biathlon - Men''s Individual]:[Biathlon - Mixed Relay]],MATCH(Table92[[#This Row],[Country]],Tabela1[Country], 0),0))</f>
        <v>0</v>
      </c>
      <c r="BA201" s="6">
        <f>SUM(INDEX(Tabela1[[Bobsleigh - Women''s Monobob]:[Bobsleigh - Men''s Four]],MATCH(Table92[[#This Row],[Country]],Tabela1[Country], 0),0))</f>
        <v>0</v>
      </c>
      <c r="BB201" s="6">
        <f>SUM(INDEX(Tabela1[[Cross-country skiing - Men''s Classical]:[Cross-country skiing - Women''s Team Sprint]],MATCH(Table92[[#This Row],[Country]],Tabela1[Country], 0),0))</f>
        <v>0</v>
      </c>
      <c r="BC201" s="6">
        <f>SUM(INDEX(Tabela1[[Curling - Men''s Tournament]:[Curling - Mixed Doubles]],MATCH(Table92[[#This Row],[Country]],Tabela1[Country], 0),0))</f>
        <v>0</v>
      </c>
      <c r="BD201" s="6">
        <f>SUM(INDEX(Tabela1[[Figure Skating - Men''s Singles]:[Figure Skating - Team Event]],MATCH(Table92[[#This Row],[Country]],Tabela1[Country], 0),0))</f>
        <v>0</v>
      </c>
      <c r="BE201" s="6">
        <f>SUM(INDEX(Tabela1[[Freestyle Skiing - Men''s Aerials]:[Freestyle Skiing - Women''s Slopestyle]],MATCH(Table92[[#This Row],[Country]],Tabela1[Country], 0),0))</f>
        <v>0</v>
      </c>
      <c r="BF201" s="6">
        <f>SUM(INDEX(Tabela1[[Ice Hockey - Men''s Tournament]:[Ice Hockey - Women''s Tournament]],MATCH(Table92[[#This Row],[Country]],Tabela1[Country], 0),0))</f>
        <v>0</v>
      </c>
      <c r="BG201" s="6">
        <f>SUM(INDEX(Tabela1[[Luge - Men''s Singles]:[Luge - Mixed Team Relay]],MATCH(Table92[[#This Row],[Country]],Tabela1[Country], 0),0))</f>
        <v>0</v>
      </c>
      <c r="BH201" s="6">
        <f>SUM(INDEX(Tabela1[[Nordic Combined - Men''s Individual]:[Nordic Combined - Men''s Team Sprint Large Hill]],MATCH(Table92[[#This Row],[Country]],Tabela1[Country], 0),0))</f>
        <v>0</v>
      </c>
      <c r="BI201" s="6">
        <f>SUM(INDEX(Tabela1[[Short track speed skating - Men''s 500m]:[Short track speed skating - Mixed 2000m Relay]],MATCH(Table92[[#This Row],[Country]],Tabela1[Country], 0),0))</f>
        <v>0</v>
      </c>
      <c r="BJ201" s="6">
        <f>SUM(INDEX(Tabela1[[Skeleton - Men''s Individual]:[Skeleton - Mixed Team]],MATCH(Table92[[#This Row],[Country]],Tabela1[Country], 0),0))</f>
        <v>0</v>
      </c>
      <c r="BK201" s="6">
        <f>SUM(INDEX(Tabela1[[Ski Jumping - Men''s Individual Large Hill]:[Ski Jumping - Mixed Team Normal Hill]],MATCH(Table92[[#This Row],[Country]],Tabela1[Country], 0),0))</f>
        <v>0</v>
      </c>
      <c r="BL201" s="6">
        <f>SUM(INDEX(Tabela1[[Ski Mountaineering - Men''s Sprint]:[Ski Mountaineering - Mixed Relay]],MATCH(Table92[[#This Row],[Country]],Tabela1[Country], 0),0))</f>
        <v>0</v>
      </c>
      <c r="BM201" s="6">
        <f>SUM(INDEX(Tabela1[[Snowboarding - Men''s Big Air]:[Snowboarding - Mixed Team Snowboard Cross]],MATCH(Table92[[#This Row],[Country]],Tabela1[Country], 0),0))</f>
        <v>0</v>
      </c>
      <c r="BN201" s="6">
        <f>SUM(INDEX(Tabela1[[Speed Skating - Men''s 500m]:[Speed Skating - Women''s Team Pursuit]],MATCH(Table92[[#This Row],[Country]],Tabela1[Country], 0),0))</f>
        <v>0</v>
      </c>
      <c r="BO201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201" s="6">
        <f>SUM(Table92[[#This Row],[Summer Sports]:[Winter Sports]])</f>
        <v>0</v>
      </c>
      <c r="BQ201" s="6">
        <f>COUNTIF(Table92[[#This Row],[Archery Quotas]:[Wrestling Quotas]],"&lt;&gt;0")</f>
        <v>0</v>
      </c>
      <c r="BR201" s="6">
        <f>COUNTIF(Table92[[#This Row],[Alpine Skiing Quotas]:[Speed Skating Quotas]],"&lt;&gt;0")</f>
        <v>0</v>
      </c>
      <c r="BS201" s="3" t="s">
        <v>697</v>
      </c>
    </row>
    <row r="202" spans="1:71" x14ac:dyDescent="0.3">
      <c r="A202" s="6" t="s">
        <v>698</v>
      </c>
      <c r="B202" t="e" vm="201">
        <f>IF(ISBLANK(Table92[[#This Row],[Flag Link]]), "", _xlfn.IMAGE(Table92[[#This Row],[Flag Link]],1,1))</f>
        <v>#VALUE!</v>
      </c>
      <c r="C202" s="6">
        <f>SUM(Table92[[#This Row],[Archery Quotas]:[Speed Skating Quotas]])</f>
        <v>0</v>
      </c>
      <c r="D202" s="6">
        <f>SUM(INDEX(Tabela1[[Archery - Men''s Individual Recurve]:[Archery - Mixed Team Recurve]],MATCH(Table92[[#This Row],[Country]],Tabela1[Country], 0),0))</f>
        <v>0</v>
      </c>
      <c r="E202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202" s="6">
        <f>SUM(INDEX(Tabela1[[Artistic Swimming - Women''s Duet]:[Artistic Swimming - Women''s Team]],MATCH(Table92[[#This Row],[Country]],Tabela1[Country], 0),0))</f>
        <v>0</v>
      </c>
      <c r="G202" s="6">
        <f>SUM(INDEX(Tabela1[[Athletics - Men''s 100m]:[Athletics - Women''s Heptathlon]],MATCH(Table92[[#This Row],[Country]],Tabela1[Country], 0),0))</f>
        <v>0</v>
      </c>
      <c r="H202" s="6">
        <f>SUM(INDEX(Tabela1[[Badminton - Men''s Singles]:[Badminton - Mixed Doubles]],MATCH(Table92[[#This Row],[Country]],Tabela1[Country], 0),0))</f>
        <v>0</v>
      </c>
      <c r="I202" s="6">
        <f>SUM(INDEX(Tabela1[[Basketball - Men''s Tournament]:[Basketball - Women''s Tournament]],MATCH(Table92[[#This Row],[Country]],Tabela1[Country], 0),0))</f>
        <v>0</v>
      </c>
      <c r="J202" s="6">
        <f>SUM(INDEX(Tabela1[[3x3 Basketball - Men''s Tournament]:[3x3 Basketball - Women''s Tournament]],MATCH(Table92[[#This Row],[Country]],Tabela1[Country], 0),0))</f>
        <v>0</v>
      </c>
      <c r="K202" s="6">
        <f>SUM(INDEX(Tabela1[[Beach Volleyball - Men''s Tournament]:[Beach Volleyball - Women''s Tournament]],MATCH(Table92[[#This Row],[Country]],Tabela1[Country], 0),0))</f>
        <v>0</v>
      </c>
      <c r="L202" s="6">
        <f>SUM(INDEX(Tabela1[[Boxing - Men''s 51kg]:[Boxing - Women''s 75kg]],MATCH(Table92[[#This Row],[Country]],Tabela1[Country], 0),0))</f>
        <v>0</v>
      </c>
      <c r="M202" s="6">
        <f>SUM(INDEX(Tabela1[[Breaking - Men''s Individual]:[Breaking - Women''s Individual]],MATCH(Table92[[#This Row],[Country]],Tabela1[Country], 0),0))</f>
        <v>0</v>
      </c>
      <c r="N202" s="6">
        <f>SUM(INDEX(Tabela1[[Canoeing - Men''s C1 Slalom]:[Canoeing - Women''s Kayak Cross Slalom]],MATCH(Table92[[#This Row],[Country]],Tabela1[Country], 0),0))</f>
        <v>0</v>
      </c>
      <c r="O202" s="6">
        <f>SUM(INDEX(Tabela1[[Canoeing - Women''s C1 200m]:[Canoeing - Women''s K4 500m]],MATCH(Table92[[#This Row],[Country]],Tabela1[Country], 0),0))</f>
        <v>0</v>
      </c>
      <c r="P202" s="6">
        <f>SUM(INDEX(Tabela1[[Cycling - Men''s BMX Freestyle]:[Cycling - Women''s BMX Freestyle]],MATCH(Table92[[#This Row],[Country]],Tabela1[Country], 0),0))</f>
        <v>0</v>
      </c>
      <c r="Q202" s="6">
        <f>SUM(INDEX(Tabela1[[Cycling - Men''s BMX Racing]:[Cycling - Women''s BMX Racing]],MATCH(Table92[[#This Row],[Country]],Tabela1[Country], 0),0))</f>
        <v>0</v>
      </c>
      <c r="R202" s="6">
        <f>SUM(INDEX(Tabela1[[Cycling - Men''s Cross-Country]:[Cycling - Women''s Cross-Country]],MATCH(Table92[[#This Row],[Country]],Tabela1[Country], 0),0))</f>
        <v>0</v>
      </c>
      <c r="S202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202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202" s="6">
        <f>SUM(INDEX(Tabela1[[Diving - Men''s Springboard]:[Diving - Women''s Synchronized Platform]],MATCH(Table92[[#This Row],[Country]],Tabela1[Country], 0),0))</f>
        <v>0</v>
      </c>
      <c r="V202" s="6">
        <f>SUM(INDEX(Tabela1[[Equestrian - Individual Dressage]:[Equestrian - Team Dressage]],MATCH(Table92[[#This Row],[Country]],Tabela1[Country], 0),0))</f>
        <v>0</v>
      </c>
      <c r="W202" s="6">
        <f>SUM(INDEX(Tabela1[[Equestrian - Individual Eventing]:[Equestrian - Team Eventing]],MATCH(Table92[[#This Row],[Country]],Tabela1[Country], 0),0))</f>
        <v>0</v>
      </c>
      <c r="X202" s="6">
        <f>SUM(INDEX(Tabela1[[Equestrian - Individual Jumping]:[Equestrian - Team Jumping]],MATCH(Table92[[#This Row],[Country]],Tabela1[Country], 0),0))</f>
        <v>0</v>
      </c>
      <c r="Y202" s="6">
        <f>SUM(INDEX(Tabela1[[Fencing - Men''s Épée]:[Fencing - Women''s Team Sabre]],MATCH(Table92[[#This Row],[Country]],Tabela1[Country], 0),0))</f>
        <v>0</v>
      </c>
      <c r="Z202" s="6">
        <f>SUM(INDEX(Tabela1[[Field Hockey - Men''s Tournament]:[Field Hockey - Women''s Tournament]],MATCH(Table92[[#This Row],[Country]],Tabela1[Country], 0),0))</f>
        <v>0</v>
      </c>
      <c r="AA202" s="6">
        <f>SUM(INDEX(Tabela1[[Football - Men''s Tournament]:[Football - Women''s Tournament]],MATCH(Table92[[#This Row],[Country]],Tabela1[Country], 0),0))</f>
        <v>0</v>
      </c>
      <c r="AB202" s="6">
        <f>SUM(INDEX(Tabela1[[Golf - Men''s Individual]:[Golf - Women''s Individual]],MATCH(Table92[[#This Row],[Country]],Tabela1[Country], 0),0))</f>
        <v>0</v>
      </c>
      <c r="AC202" s="6">
        <f>SUM(INDEX(Tabela1[[Handball - Men''s Tournament]:[Handball - Women''s Tournament]],MATCH(Table92[[#This Row],[Country]],Tabela1[Country], 0),0))</f>
        <v>0</v>
      </c>
      <c r="AD202" s="6">
        <f>SUM(INDEX(Tabela1[[Judo - Men''s 60kg]:[Judo - Mixed Team]],MATCH(Table92[[#This Row],[Country]],Tabela1[Country], 0),0))</f>
        <v>0</v>
      </c>
      <c r="AE202" s="6">
        <f>SUM(INDEX(Tabela1[[Swimming - Men''s 10km Open Water]:[Swimming - Women''s 10km Open Water]],MATCH(Table92[[#This Row],[Country]],Tabela1[Country], 0),0))</f>
        <v>0</v>
      </c>
      <c r="AF202" s="6">
        <f>SUM(INDEX(Tabela1[[Modern Pentathlon - Men''s Individual]:[Modern Pentathlon - Women''s Individual]],MATCH(Table92[[#This Row],[Country]],Tabela1[Country], 0),0))</f>
        <v>0</v>
      </c>
      <c r="AG202" s="6">
        <f>SUM(INDEX(Tabela1[[Rhythmic Gymnastics - Women''s Individual All-Around]:[Rhythmic Gymnastics - Women''s Group All-Around]],MATCH(Table92[[#This Row],[Country]],Tabela1[Country], 0),0))</f>
        <v>0</v>
      </c>
      <c r="AH202" s="6">
        <f>SUM(INDEX(Tabela1[[Rowing - Men''s Single Sculls]:[Rowing - Women''s Lwt. Double Sculls]],MATCH(Table92[[#This Row],[Country]],Tabela1[Country], 0),0))</f>
        <v>0</v>
      </c>
      <c r="AI202" s="6">
        <f>SUM(INDEX(Tabela1[[Rugby Sevens - Men''s Tournament]:[Rugby Sevens - Women''s Tournament]],MATCH(Table92[[#This Row],[Country]],Tabela1[Country], 0),0))</f>
        <v>0</v>
      </c>
      <c r="AJ202" s="6">
        <f>SUM(INDEX(Tabela1[[Sailing - Mixed 470]:[Sailing - Mixed Nacra 17]],MATCH(Table92[[#This Row],[Country]],Tabela1[Country], 0),0))</f>
        <v>0</v>
      </c>
      <c r="AK202" s="6">
        <f>SUM(INDEX(Tabela1[[Shooting - Men''s 10m Air Pistol]:[Shooting - Women''s Trap]],MATCH(Table92[[#This Row],[Country]],Tabela1[Country], 0),0))</f>
        <v>0</v>
      </c>
      <c r="AL202" s="6">
        <f>SUM(INDEX(Tabela1[[Skateboarding - Men''s Park]:[Skateboarding - Women''s Street]],MATCH(Table92[[#This Row],[Country]],Tabela1[Country], 0),0))</f>
        <v>0</v>
      </c>
      <c r="AM202" s="6">
        <f>SUM(INDEX(Tabela1[[Sport Climbing - Men''s Boulder and Lead]:[Sport Climbing - Women''s Speed]],MATCH(Table92[[#This Row],[Country]],Tabela1[Country], 0),0))</f>
        <v>0</v>
      </c>
      <c r="AN202" s="6">
        <f>SUM(INDEX(Tabela1[[Surfing - Men''s Shortboard]:[Surfing - Women''s Shortboard]],MATCH(Table92[[#This Row],[Country]],Tabela1[Country], 0),0))</f>
        <v>0</v>
      </c>
      <c r="AO202" s="6">
        <f>SUM(INDEX(Tabela1[[Swimming - Men''s 50m Freestyle]:[Swimming - Mixed 4x100m Medley Relay]],MATCH(Table92[[#This Row],[Country]],Tabela1[Country], 0),0))</f>
        <v>0</v>
      </c>
      <c r="AP202" s="6">
        <f>SUM(INDEX(Tabela1[[Table Tennis - Men''s Singles]:[Table Tennis - Mixed Doubles]],MATCH(Table92[[#This Row],[Country]],Tabela1[Country], 0),0))</f>
        <v>0</v>
      </c>
      <c r="AQ202" s="6">
        <f>SUM(INDEX(Tabela1[[Taekwondo - Men''s 58kg]:[Taekwondo - Women''s +67kg]],MATCH(Table92[[#This Row],[Country]],Tabela1[Country], 0),0))</f>
        <v>0</v>
      </c>
      <c r="AR202" s="6">
        <f>SUM(INDEX(Tabela1[[Tennis - Men''s Singles]:[Tennis - Mixed Doubles]],MATCH(Table92[[#This Row],[Country]],Tabela1[Country], 0),0))</f>
        <v>0</v>
      </c>
      <c r="AS202" s="6">
        <f>SUM(INDEX(Tabela1[[Gymnastics - Men''s Trampoline]:[Gymnastics - Women''s Trampoline]],MATCH(Table92[[#This Row],[Country]],Tabela1[Country], 0),0))</f>
        <v>0</v>
      </c>
      <c r="AT202" s="6">
        <f>SUM(INDEX(Tabela1[[Triathlon - Men''s Individual]:[Triathlon - Mixed Relay]],MATCH(Table92[[#This Row],[Country]],Tabela1[Country], 0),0))</f>
        <v>0</v>
      </c>
      <c r="AU202" s="6">
        <f>SUM(INDEX(Tabela1[[Volleyball - Men''s Tournament]:[Volleyball - Women''s Tournament]],MATCH(Table92[[#This Row],[Country]],Tabela1[Country], 0),0))</f>
        <v>0</v>
      </c>
      <c r="AV202" s="6">
        <f>SUM(INDEX(Tabela1[[Water Polo - Men''s Tournament]:[Water Polo - Women''s Tournament]],MATCH(Table92[[#This Row],[Country]],Tabela1[Country], 0),0))</f>
        <v>0</v>
      </c>
      <c r="AW202" s="6">
        <f>SUM(INDEX(Tabela1[[Weightlifting - Men''s 61kg]:[Weightlifting - Women''s +81kg]],MATCH(Table92[[#This Row],[Country]],Tabela1[Country], 0),0))</f>
        <v>0</v>
      </c>
      <c r="AX202" s="6">
        <f>SUM(INDEX(Tabela1[[Wrestling - Men''s Freestyle 57kg]:[Wrestling - Women''s Freestyle 76kg]],MATCH(Table92[[#This Row],[Country]],Tabela1[Country], 0),0))</f>
        <v>0</v>
      </c>
      <c r="AY202" s="6">
        <f>SUM(INDEX(Tabela1[[Alpine Skiing - Men''s Downhill]:[Alpine Skiing - Women''s Team Combined]],MATCH(Table92[[#This Row],[Country]],Tabela1[Country], 0),0))</f>
        <v>0</v>
      </c>
      <c r="AZ202" s="6">
        <f>SUM(INDEX(Tabela1[[Biathlon - Men''s Individual]:[Biathlon - Mixed Relay]],MATCH(Table92[[#This Row],[Country]],Tabela1[Country], 0),0))</f>
        <v>0</v>
      </c>
      <c r="BA202" s="6">
        <f>SUM(INDEX(Tabela1[[Bobsleigh - Women''s Monobob]:[Bobsleigh - Men''s Four]],MATCH(Table92[[#This Row],[Country]],Tabela1[Country], 0),0))</f>
        <v>0</v>
      </c>
      <c r="BB202" s="6">
        <f>SUM(INDEX(Tabela1[[Cross-country skiing - Men''s Classical]:[Cross-country skiing - Women''s Team Sprint]],MATCH(Table92[[#This Row],[Country]],Tabela1[Country], 0),0))</f>
        <v>0</v>
      </c>
      <c r="BC202" s="6">
        <f>SUM(INDEX(Tabela1[[Curling - Men''s Tournament]:[Curling - Mixed Doubles]],MATCH(Table92[[#This Row],[Country]],Tabela1[Country], 0),0))</f>
        <v>0</v>
      </c>
      <c r="BD202" s="6">
        <f>SUM(INDEX(Tabela1[[Figure Skating - Men''s Singles]:[Figure Skating - Team Event]],MATCH(Table92[[#This Row],[Country]],Tabela1[Country], 0),0))</f>
        <v>0</v>
      </c>
      <c r="BE202" s="6">
        <f>SUM(INDEX(Tabela1[[Freestyle Skiing - Men''s Aerials]:[Freestyle Skiing - Women''s Slopestyle]],MATCH(Table92[[#This Row],[Country]],Tabela1[Country], 0),0))</f>
        <v>0</v>
      </c>
      <c r="BF202" s="6">
        <f>SUM(INDEX(Tabela1[[Ice Hockey - Men''s Tournament]:[Ice Hockey - Women''s Tournament]],MATCH(Table92[[#This Row],[Country]],Tabela1[Country], 0),0))</f>
        <v>0</v>
      </c>
      <c r="BG202" s="6">
        <f>SUM(INDEX(Tabela1[[Luge - Men''s Singles]:[Luge - Mixed Team Relay]],MATCH(Table92[[#This Row],[Country]],Tabela1[Country], 0),0))</f>
        <v>0</v>
      </c>
      <c r="BH202" s="6">
        <f>SUM(INDEX(Tabela1[[Nordic Combined - Men''s Individual]:[Nordic Combined - Men''s Team Sprint Large Hill]],MATCH(Table92[[#This Row],[Country]],Tabela1[Country], 0),0))</f>
        <v>0</v>
      </c>
      <c r="BI202" s="6">
        <f>SUM(INDEX(Tabela1[[Short track speed skating - Men''s 500m]:[Short track speed skating - Mixed 2000m Relay]],MATCH(Table92[[#This Row],[Country]],Tabela1[Country], 0),0))</f>
        <v>0</v>
      </c>
      <c r="BJ202" s="6">
        <f>SUM(INDEX(Tabela1[[Skeleton - Men''s Individual]:[Skeleton - Mixed Team]],MATCH(Table92[[#This Row],[Country]],Tabela1[Country], 0),0))</f>
        <v>0</v>
      </c>
      <c r="BK202" s="6">
        <f>SUM(INDEX(Tabela1[[Ski Jumping - Men''s Individual Large Hill]:[Ski Jumping - Mixed Team Normal Hill]],MATCH(Table92[[#This Row],[Country]],Tabela1[Country], 0),0))</f>
        <v>0</v>
      </c>
      <c r="BL202" s="6">
        <f>SUM(INDEX(Tabela1[[Ski Mountaineering - Men''s Sprint]:[Ski Mountaineering - Mixed Relay]],MATCH(Table92[[#This Row],[Country]],Tabela1[Country], 0),0))</f>
        <v>0</v>
      </c>
      <c r="BM202" s="6">
        <f>SUM(INDEX(Tabela1[[Snowboarding - Men''s Big Air]:[Snowboarding - Mixed Team Snowboard Cross]],MATCH(Table92[[#This Row],[Country]],Tabela1[Country], 0),0))</f>
        <v>0</v>
      </c>
      <c r="BN202" s="6">
        <f>SUM(INDEX(Tabela1[[Speed Skating - Men''s 500m]:[Speed Skating - Women''s Team Pursuit]],MATCH(Table92[[#This Row],[Country]],Tabela1[Country], 0),0))</f>
        <v>0</v>
      </c>
      <c r="BO202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202" s="6">
        <f>SUM(Table92[[#This Row],[Summer Sports]:[Winter Sports]])</f>
        <v>0</v>
      </c>
      <c r="BQ202" s="6">
        <f>COUNTIF(Table92[[#This Row],[Archery Quotas]:[Wrestling Quotas]],"&lt;&gt;0")</f>
        <v>0</v>
      </c>
      <c r="BR202" s="6">
        <f>COUNTIF(Table92[[#This Row],[Alpine Skiing Quotas]:[Speed Skating Quotas]],"&lt;&gt;0")</f>
        <v>0</v>
      </c>
      <c r="BS202" s="4" t="s">
        <v>699</v>
      </c>
    </row>
    <row r="203" spans="1:71" x14ac:dyDescent="0.3">
      <c r="A203" s="6" t="s">
        <v>704</v>
      </c>
      <c r="B203" t="e" vm="202">
        <f>IF(ISBLANK(Table92[[#This Row],[Flag Link]]), "", _xlfn.IMAGE(Table92[[#This Row],[Flag Link]],1,1))</f>
        <v>#VALUE!</v>
      </c>
      <c r="C203" s="6">
        <f>SUM(Table92[[#This Row],[Archery Quotas]:[Speed Skating Quotas]])</f>
        <v>0</v>
      </c>
      <c r="D203" s="6">
        <f>SUM(INDEX(Tabela1[[Archery - Men''s Individual Recurve]:[Archery - Mixed Team Recurve]],MATCH(Table92[[#This Row],[Country]],Tabela1[Country], 0),0))</f>
        <v>0</v>
      </c>
      <c r="E203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203" s="6">
        <f>SUM(INDEX(Tabela1[[Artistic Swimming - Women''s Duet]:[Artistic Swimming - Women''s Team]],MATCH(Table92[[#This Row],[Country]],Tabela1[Country], 0),0))</f>
        <v>0</v>
      </c>
      <c r="G203" s="6">
        <f>SUM(INDEX(Tabela1[[Athletics - Men''s 100m]:[Athletics - Women''s Heptathlon]],MATCH(Table92[[#This Row],[Country]],Tabela1[Country], 0),0))</f>
        <v>0</v>
      </c>
      <c r="H203" s="6">
        <f>SUM(INDEX(Tabela1[[Badminton - Men''s Singles]:[Badminton - Mixed Doubles]],MATCH(Table92[[#This Row],[Country]],Tabela1[Country], 0),0))</f>
        <v>0</v>
      </c>
      <c r="I203" s="6">
        <f>SUM(INDEX(Tabela1[[Basketball - Men''s Tournament]:[Basketball - Women''s Tournament]],MATCH(Table92[[#This Row],[Country]],Tabela1[Country], 0),0))</f>
        <v>0</v>
      </c>
      <c r="J203" s="6">
        <f>SUM(INDEX(Tabela1[[3x3 Basketball - Men''s Tournament]:[3x3 Basketball - Women''s Tournament]],MATCH(Table92[[#This Row],[Country]],Tabela1[Country], 0),0))</f>
        <v>0</v>
      </c>
      <c r="K203" s="6">
        <f>SUM(INDEX(Tabela1[[Beach Volleyball - Men''s Tournament]:[Beach Volleyball - Women''s Tournament]],MATCH(Table92[[#This Row],[Country]],Tabela1[Country], 0),0))</f>
        <v>0</v>
      </c>
      <c r="L203" s="6">
        <f>SUM(INDEX(Tabela1[[Boxing - Men''s 51kg]:[Boxing - Women''s 75kg]],MATCH(Table92[[#This Row],[Country]],Tabela1[Country], 0),0))</f>
        <v>0</v>
      </c>
      <c r="M203" s="6">
        <f>SUM(INDEX(Tabela1[[Breaking - Men''s Individual]:[Breaking - Women''s Individual]],MATCH(Table92[[#This Row],[Country]],Tabela1[Country], 0),0))</f>
        <v>0</v>
      </c>
      <c r="N203" s="6">
        <f>SUM(INDEX(Tabela1[[Canoeing - Men''s C1 Slalom]:[Canoeing - Women''s Kayak Cross Slalom]],MATCH(Table92[[#This Row],[Country]],Tabela1[Country], 0),0))</f>
        <v>0</v>
      </c>
      <c r="O203" s="6">
        <f>SUM(INDEX(Tabela1[[Canoeing - Women''s C1 200m]:[Canoeing - Women''s K4 500m]],MATCH(Table92[[#This Row],[Country]],Tabela1[Country], 0),0))</f>
        <v>0</v>
      </c>
      <c r="P203" s="6">
        <f>SUM(INDEX(Tabela1[[Cycling - Men''s BMX Freestyle]:[Cycling - Women''s BMX Freestyle]],MATCH(Table92[[#This Row],[Country]],Tabela1[Country], 0),0))</f>
        <v>0</v>
      </c>
      <c r="Q203" s="6">
        <f>SUM(INDEX(Tabela1[[Cycling - Men''s BMX Racing]:[Cycling - Women''s BMX Racing]],MATCH(Table92[[#This Row],[Country]],Tabela1[Country], 0),0))</f>
        <v>0</v>
      </c>
      <c r="R203" s="6">
        <f>SUM(INDEX(Tabela1[[Cycling - Men''s Cross-Country]:[Cycling - Women''s Cross-Country]],MATCH(Table92[[#This Row],[Country]],Tabela1[Country], 0),0))</f>
        <v>0</v>
      </c>
      <c r="S203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203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203" s="6">
        <f>SUM(INDEX(Tabela1[[Diving - Men''s Springboard]:[Diving - Women''s Synchronized Platform]],MATCH(Table92[[#This Row],[Country]],Tabela1[Country], 0),0))</f>
        <v>0</v>
      </c>
      <c r="V203" s="6">
        <f>SUM(INDEX(Tabela1[[Equestrian - Individual Dressage]:[Equestrian - Team Dressage]],MATCH(Table92[[#This Row],[Country]],Tabela1[Country], 0),0))</f>
        <v>0</v>
      </c>
      <c r="W203" s="6">
        <f>SUM(INDEX(Tabela1[[Equestrian - Individual Eventing]:[Equestrian - Team Eventing]],MATCH(Table92[[#This Row],[Country]],Tabela1[Country], 0),0))</f>
        <v>0</v>
      </c>
      <c r="X203" s="6">
        <f>SUM(INDEX(Tabela1[[Equestrian - Individual Jumping]:[Equestrian - Team Jumping]],MATCH(Table92[[#This Row],[Country]],Tabela1[Country], 0),0))</f>
        <v>0</v>
      </c>
      <c r="Y203" s="6">
        <f>SUM(INDEX(Tabela1[[Fencing - Men''s Épée]:[Fencing - Women''s Team Sabre]],MATCH(Table92[[#This Row],[Country]],Tabela1[Country], 0),0))</f>
        <v>0</v>
      </c>
      <c r="Z203" s="6">
        <f>SUM(INDEX(Tabela1[[Field Hockey - Men''s Tournament]:[Field Hockey - Women''s Tournament]],MATCH(Table92[[#This Row],[Country]],Tabela1[Country], 0),0))</f>
        <v>0</v>
      </c>
      <c r="AA203" s="6">
        <f>SUM(INDEX(Tabela1[[Football - Men''s Tournament]:[Football - Women''s Tournament]],MATCH(Table92[[#This Row],[Country]],Tabela1[Country], 0),0))</f>
        <v>0</v>
      </c>
      <c r="AB203" s="6">
        <f>SUM(INDEX(Tabela1[[Golf - Men''s Individual]:[Golf - Women''s Individual]],MATCH(Table92[[#This Row],[Country]],Tabela1[Country], 0),0))</f>
        <v>0</v>
      </c>
      <c r="AC203" s="6">
        <f>SUM(INDEX(Tabela1[[Handball - Men''s Tournament]:[Handball - Women''s Tournament]],MATCH(Table92[[#This Row],[Country]],Tabela1[Country], 0),0))</f>
        <v>0</v>
      </c>
      <c r="AD203" s="6">
        <f>SUM(INDEX(Tabela1[[Judo - Men''s 60kg]:[Judo - Mixed Team]],MATCH(Table92[[#This Row],[Country]],Tabela1[Country], 0),0))</f>
        <v>0</v>
      </c>
      <c r="AE203" s="6">
        <f>SUM(INDEX(Tabela1[[Swimming - Men''s 10km Open Water]:[Swimming - Women''s 10km Open Water]],MATCH(Table92[[#This Row],[Country]],Tabela1[Country], 0),0))</f>
        <v>0</v>
      </c>
      <c r="AF203" s="6">
        <f>SUM(INDEX(Tabela1[[Modern Pentathlon - Men''s Individual]:[Modern Pentathlon - Women''s Individual]],MATCH(Table92[[#This Row],[Country]],Tabela1[Country], 0),0))</f>
        <v>0</v>
      </c>
      <c r="AG203" s="6">
        <f>SUM(INDEX(Tabela1[[Rhythmic Gymnastics - Women''s Individual All-Around]:[Rhythmic Gymnastics - Women''s Group All-Around]],MATCH(Table92[[#This Row],[Country]],Tabela1[Country], 0),0))</f>
        <v>0</v>
      </c>
      <c r="AH203" s="6">
        <f>SUM(INDEX(Tabela1[[Rowing - Men''s Single Sculls]:[Rowing - Women''s Lwt. Double Sculls]],MATCH(Table92[[#This Row],[Country]],Tabela1[Country], 0),0))</f>
        <v>0</v>
      </c>
      <c r="AI203" s="6">
        <f>SUM(INDEX(Tabela1[[Rugby Sevens - Men''s Tournament]:[Rugby Sevens - Women''s Tournament]],MATCH(Table92[[#This Row],[Country]],Tabela1[Country], 0),0))</f>
        <v>0</v>
      </c>
      <c r="AJ203" s="6">
        <f>SUM(INDEX(Tabela1[[Sailing - Mixed 470]:[Sailing - Mixed Nacra 17]],MATCH(Table92[[#This Row],[Country]],Tabela1[Country], 0),0))</f>
        <v>0</v>
      </c>
      <c r="AK203" s="6">
        <f>SUM(INDEX(Tabela1[[Shooting - Men''s 10m Air Pistol]:[Shooting - Women''s Trap]],MATCH(Table92[[#This Row],[Country]],Tabela1[Country], 0),0))</f>
        <v>0</v>
      </c>
      <c r="AL203" s="6">
        <f>SUM(INDEX(Tabela1[[Skateboarding - Men''s Park]:[Skateboarding - Women''s Street]],MATCH(Table92[[#This Row],[Country]],Tabela1[Country], 0),0))</f>
        <v>0</v>
      </c>
      <c r="AM203" s="6">
        <f>SUM(INDEX(Tabela1[[Sport Climbing - Men''s Boulder and Lead]:[Sport Climbing - Women''s Speed]],MATCH(Table92[[#This Row],[Country]],Tabela1[Country], 0),0))</f>
        <v>0</v>
      </c>
      <c r="AN203" s="6">
        <f>SUM(INDEX(Tabela1[[Surfing - Men''s Shortboard]:[Surfing - Women''s Shortboard]],MATCH(Table92[[#This Row],[Country]],Tabela1[Country], 0),0))</f>
        <v>0</v>
      </c>
      <c r="AO203" s="6">
        <f>SUM(INDEX(Tabela1[[Swimming - Men''s 50m Freestyle]:[Swimming - Mixed 4x100m Medley Relay]],MATCH(Table92[[#This Row],[Country]],Tabela1[Country], 0),0))</f>
        <v>0</v>
      </c>
      <c r="AP203" s="6">
        <f>SUM(INDEX(Tabela1[[Table Tennis - Men''s Singles]:[Table Tennis - Mixed Doubles]],MATCH(Table92[[#This Row],[Country]],Tabela1[Country], 0),0))</f>
        <v>0</v>
      </c>
      <c r="AQ203" s="6">
        <f>SUM(INDEX(Tabela1[[Taekwondo - Men''s 58kg]:[Taekwondo - Women''s +67kg]],MATCH(Table92[[#This Row],[Country]],Tabela1[Country], 0),0))</f>
        <v>0</v>
      </c>
      <c r="AR203" s="6">
        <f>SUM(INDEX(Tabela1[[Tennis - Men''s Singles]:[Tennis - Mixed Doubles]],MATCH(Table92[[#This Row],[Country]],Tabela1[Country], 0),0))</f>
        <v>0</v>
      </c>
      <c r="AS203" s="6">
        <f>SUM(INDEX(Tabela1[[Gymnastics - Men''s Trampoline]:[Gymnastics - Women''s Trampoline]],MATCH(Table92[[#This Row],[Country]],Tabela1[Country], 0),0))</f>
        <v>0</v>
      </c>
      <c r="AT203" s="6">
        <f>SUM(INDEX(Tabela1[[Triathlon - Men''s Individual]:[Triathlon - Mixed Relay]],MATCH(Table92[[#This Row],[Country]],Tabela1[Country], 0),0))</f>
        <v>0</v>
      </c>
      <c r="AU203" s="6">
        <f>SUM(INDEX(Tabela1[[Volleyball - Men''s Tournament]:[Volleyball - Women''s Tournament]],MATCH(Table92[[#This Row],[Country]],Tabela1[Country], 0),0))</f>
        <v>0</v>
      </c>
      <c r="AV203" s="6">
        <f>SUM(INDEX(Tabela1[[Water Polo - Men''s Tournament]:[Water Polo - Women''s Tournament]],MATCH(Table92[[#This Row],[Country]],Tabela1[Country], 0),0))</f>
        <v>0</v>
      </c>
      <c r="AW203" s="6">
        <f>SUM(INDEX(Tabela1[[Weightlifting - Men''s 61kg]:[Weightlifting - Women''s +81kg]],MATCH(Table92[[#This Row],[Country]],Tabela1[Country], 0),0))</f>
        <v>0</v>
      </c>
      <c r="AX203" s="6">
        <f>SUM(INDEX(Tabela1[[Wrestling - Men''s Freestyle 57kg]:[Wrestling - Women''s Freestyle 76kg]],MATCH(Table92[[#This Row],[Country]],Tabela1[Country], 0),0))</f>
        <v>0</v>
      </c>
      <c r="AY203" s="6">
        <f>SUM(INDEX(Tabela1[[Alpine Skiing - Men''s Downhill]:[Alpine Skiing - Women''s Team Combined]],MATCH(Table92[[#This Row],[Country]],Tabela1[Country], 0),0))</f>
        <v>0</v>
      </c>
      <c r="AZ203" s="6">
        <f>SUM(INDEX(Tabela1[[Biathlon - Men''s Individual]:[Biathlon - Mixed Relay]],MATCH(Table92[[#This Row],[Country]],Tabela1[Country], 0),0))</f>
        <v>0</v>
      </c>
      <c r="BA203" s="6">
        <f>SUM(INDEX(Tabela1[[Bobsleigh - Women''s Monobob]:[Bobsleigh - Men''s Four]],MATCH(Table92[[#This Row],[Country]],Tabela1[Country], 0),0))</f>
        <v>0</v>
      </c>
      <c r="BB203" s="6">
        <f>SUM(INDEX(Tabela1[[Cross-country skiing - Men''s Classical]:[Cross-country skiing - Women''s Team Sprint]],MATCH(Table92[[#This Row],[Country]],Tabela1[Country], 0),0))</f>
        <v>0</v>
      </c>
      <c r="BC203" s="6">
        <f>SUM(INDEX(Tabela1[[Curling - Men''s Tournament]:[Curling - Mixed Doubles]],MATCH(Table92[[#This Row],[Country]],Tabela1[Country], 0),0))</f>
        <v>0</v>
      </c>
      <c r="BD203" s="6">
        <f>SUM(INDEX(Tabela1[[Figure Skating - Men''s Singles]:[Figure Skating - Team Event]],MATCH(Table92[[#This Row],[Country]],Tabela1[Country], 0),0))</f>
        <v>0</v>
      </c>
      <c r="BE203" s="6">
        <f>SUM(INDEX(Tabela1[[Freestyle Skiing - Men''s Aerials]:[Freestyle Skiing - Women''s Slopestyle]],MATCH(Table92[[#This Row],[Country]],Tabela1[Country], 0),0))</f>
        <v>0</v>
      </c>
      <c r="BF203" s="6">
        <f>SUM(INDEX(Tabela1[[Ice Hockey - Men''s Tournament]:[Ice Hockey - Women''s Tournament]],MATCH(Table92[[#This Row],[Country]],Tabela1[Country], 0),0))</f>
        <v>0</v>
      </c>
      <c r="BG203" s="6">
        <f>SUM(INDEX(Tabela1[[Luge - Men''s Singles]:[Luge - Mixed Team Relay]],MATCH(Table92[[#This Row],[Country]],Tabela1[Country], 0),0))</f>
        <v>0</v>
      </c>
      <c r="BH203" s="6">
        <f>SUM(INDEX(Tabela1[[Nordic Combined - Men''s Individual]:[Nordic Combined - Men''s Team Sprint Large Hill]],MATCH(Table92[[#This Row],[Country]],Tabela1[Country], 0),0))</f>
        <v>0</v>
      </c>
      <c r="BI203" s="6">
        <f>SUM(INDEX(Tabela1[[Short track speed skating - Men''s 500m]:[Short track speed skating - Mixed 2000m Relay]],MATCH(Table92[[#This Row],[Country]],Tabela1[Country], 0),0))</f>
        <v>0</v>
      </c>
      <c r="BJ203" s="6">
        <f>SUM(INDEX(Tabela1[[Skeleton - Men''s Individual]:[Skeleton - Mixed Team]],MATCH(Table92[[#This Row],[Country]],Tabela1[Country], 0),0))</f>
        <v>0</v>
      </c>
      <c r="BK203" s="6">
        <f>SUM(INDEX(Tabela1[[Ski Jumping - Men''s Individual Large Hill]:[Ski Jumping - Mixed Team Normal Hill]],MATCH(Table92[[#This Row],[Country]],Tabela1[Country], 0),0))</f>
        <v>0</v>
      </c>
      <c r="BL203" s="6">
        <f>SUM(INDEX(Tabela1[[Ski Mountaineering - Men''s Sprint]:[Ski Mountaineering - Mixed Relay]],MATCH(Table92[[#This Row],[Country]],Tabela1[Country], 0),0))</f>
        <v>0</v>
      </c>
      <c r="BM203" s="6">
        <f>SUM(INDEX(Tabela1[[Snowboarding - Men''s Big Air]:[Snowboarding - Mixed Team Snowboard Cross]],MATCH(Table92[[#This Row],[Country]],Tabela1[Country], 0),0))</f>
        <v>0</v>
      </c>
      <c r="BN203" s="6">
        <f>SUM(INDEX(Tabela1[[Speed Skating - Men''s 500m]:[Speed Skating - Women''s Team Pursuit]],MATCH(Table92[[#This Row],[Country]],Tabela1[Country], 0),0))</f>
        <v>0</v>
      </c>
      <c r="BO203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203" s="6">
        <f>SUM(Table92[[#This Row],[Summer Sports]:[Winter Sports]])</f>
        <v>0</v>
      </c>
      <c r="BQ203" s="6">
        <f>COUNTIF(Table92[[#This Row],[Archery Quotas]:[Wrestling Quotas]],"&lt;&gt;0")</f>
        <v>0</v>
      </c>
      <c r="BR203" s="6">
        <f>COUNTIF(Table92[[#This Row],[Alpine Skiing Quotas]:[Speed Skating Quotas]],"&lt;&gt;0")</f>
        <v>0</v>
      </c>
      <c r="BS203" s="4" t="s">
        <v>705</v>
      </c>
    </row>
    <row r="204" spans="1:71" x14ac:dyDescent="0.3">
      <c r="A204" s="6" t="s">
        <v>708</v>
      </c>
      <c r="B204" t="e" vm="203">
        <f>IF(ISBLANK(Table92[[#This Row],[Flag Link]]), "", _xlfn.IMAGE(Table92[[#This Row],[Flag Link]],1,1))</f>
        <v>#VALUE!</v>
      </c>
      <c r="C204" s="6">
        <f>SUM(Table92[[#This Row],[Archery Quotas]:[Speed Skating Quotas]])</f>
        <v>0</v>
      </c>
      <c r="D204" s="6">
        <f>SUM(INDEX(Tabela1[[Archery - Men''s Individual Recurve]:[Archery - Mixed Team Recurve]],MATCH(Table92[[#This Row],[Country]],Tabela1[Country], 0),0))</f>
        <v>0</v>
      </c>
      <c r="E204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204" s="6">
        <f>SUM(INDEX(Tabela1[[Artistic Swimming - Women''s Duet]:[Artistic Swimming - Women''s Team]],MATCH(Table92[[#This Row],[Country]],Tabela1[Country], 0),0))</f>
        <v>0</v>
      </c>
      <c r="G204" s="6">
        <f>SUM(INDEX(Tabela1[[Athletics - Men''s 100m]:[Athletics - Women''s Heptathlon]],MATCH(Table92[[#This Row],[Country]],Tabela1[Country], 0),0))</f>
        <v>0</v>
      </c>
      <c r="H204" s="6">
        <f>SUM(INDEX(Tabela1[[Badminton - Men''s Singles]:[Badminton - Mixed Doubles]],MATCH(Table92[[#This Row],[Country]],Tabela1[Country], 0),0))</f>
        <v>0</v>
      </c>
      <c r="I204" s="6">
        <f>SUM(INDEX(Tabela1[[Basketball - Men''s Tournament]:[Basketball - Women''s Tournament]],MATCH(Table92[[#This Row],[Country]],Tabela1[Country], 0),0))</f>
        <v>0</v>
      </c>
      <c r="J204" s="6">
        <f>SUM(INDEX(Tabela1[[3x3 Basketball - Men''s Tournament]:[3x3 Basketball - Women''s Tournament]],MATCH(Table92[[#This Row],[Country]],Tabela1[Country], 0),0))</f>
        <v>0</v>
      </c>
      <c r="K204" s="6">
        <f>SUM(INDEX(Tabela1[[Beach Volleyball - Men''s Tournament]:[Beach Volleyball - Women''s Tournament]],MATCH(Table92[[#This Row],[Country]],Tabela1[Country], 0),0))</f>
        <v>0</v>
      </c>
      <c r="L204" s="6">
        <f>SUM(INDEX(Tabela1[[Boxing - Men''s 51kg]:[Boxing - Women''s 75kg]],MATCH(Table92[[#This Row],[Country]],Tabela1[Country], 0),0))</f>
        <v>0</v>
      </c>
      <c r="M204" s="6">
        <f>SUM(INDEX(Tabela1[[Breaking - Men''s Individual]:[Breaking - Women''s Individual]],MATCH(Table92[[#This Row],[Country]],Tabela1[Country], 0),0))</f>
        <v>0</v>
      </c>
      <c r="N204" s="6">
        <f>SUM(INDEX(Tabela1[[Canoeing - Men''s C1 Slalom]:[Canoeing - Women''s Kayak Cross Slalom]],MATCH(Table92[[#This Row],[Country]],Tabela1[Country], 0),0))</f>
        <v>0</v>
      </c>
      <c r="O204" s="6">
        <f>SUM(INDEX(Tabela1[[Canoeing - Women''s C1 200m]:[Canoeing - Women''s K4 500m]],MATCH(Table92[[#This Row],[Country]],Tabela1[Country], 0),0))</f>
        <v>0</v>
      </c>
      <c r="P204" s="6">
        <f>SUM(INDEX(Tabela1[[Cycling - Men''s BMX Freestyle]:[Cycling - Women''s BMX Freestyle]],MATCH(Table92[[#This Row],[Country]],Tabela1[Country], 0),0))</f>
        <v>0</v>
      </c>
      <c r="Q204" s="6">
        <f>SUM(INDEX(Tabela1[[Cycling - Men''s BMX Racing]:[Cycling - Women''s BMX Racing]],MATCH(Table92[[#This Row],[Country]],Tabela1[Country], 0),0))</f>
        <v>0</v>
      </c>
      <c r="R204" s="6">
        <f>SUM(INDEX(Tabela1[[Cycling - Men''s Cross-Country]:[Cycling - Women''s Cross-Country]],MATCH(Table92[[#This Row],[Country]],Tabela1[Country], 0),0))</f>
        <v>0</v>
      </c>
      <c r="S204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204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204" s="6">
        <f>SUM(INDEX(Tabela1[[Diving - Men''s Springboard]:[Diving - Women''s Synchronized Platform]],MATCH(Table92[[#This Row],[Country]],Tabela1[Country], 0),0))</f>
        <v>0</v>
      </c>
      <c r="V204" s="6">
        <f>SUM(INDEX(Tabela1[[Equestrian - Individual Dressage]:[Equestrian - Team Dressage]],MATCH(Table92[[#This Row],[Country]],Tabela1[Country], 0),0))</f>
        <v>0</v>
      </c>
      <c r="W204" s="6">
        <f>SUM(INDEX(Tabela1[[Equestrian - Individual Eventing]:[Equestrian - Team Eventing]],MATCH(Table92[[#This Row],[Country]],Tabela1[Country], 0),0))</f>
        <v>0</v>
      </c>
      <c r="X204" s="6">
        <f>SUM(INDEX(Tabela1[[Equestrian - Individual Jumping]:[Equestrian - Team Jumping]],MATCH(Table92[[#This Row],[Country]],Tabela1[Country], 0),0))</f>
        <v>0</v>
      </c>
      <c r="Y204" s="6">
        <f>SUM(INDEX(Tabela1[[Fencing - Men''s Épée]:[Fencing - Women''s Team Sabre]],MATCH(Table92[[#This Row],[Country]],Tabela1[Country], 0),0))</f>
        <v>0</v>
      </c>
      <c r="Z204" s="6">
        <f>SUM(INDEX(Tabela1[[Field Hockey - Men''s Tournament]:[Field Hockey - Women''s Tournament]],MATCH(Table92[[#This Row],[Country]],Tabela1[Country], 0),0))</f>
        <v>0</v>
      </c>
      <c r="AA204" s="6">
        <f>SUM(INDEX(Tabela1[[Football - Men''s Tournament]:[Football - Women''s Tournament]],MATCH(Table92[[#This Row],[Country]],Tabela1[Country], 0),0))</f>
        <v>0</v>
      </c>
      <c r="AB204" s="6">
        <f>SUM(INDEX(Tabela1[[Golf - Men''s Individual]:[Golf - Women''s Individual]],MATCH(Table92[[#This Row],[Country]],Tabela1[Country], 0),0))</f>
        <v>0</v>
      </c>
      <c r="AC204" s="6">
        <f>SUM(INDEX(Tabela1[[Handball - Men''s Tournament]:[Handball - Women''s Tournament]],MATCH(Table92[[#This Row],[Country]],Tabela1[Country], 0),0))</f>
        <v>0</v>
      </c>
      <c r="AD204" s="6">
        <f>SUM(INDEX(Tabela1[[Judo - Men''s 60kg]:[Judo - Mixed Team]],MATCH(Table92[[#This Row],[Country]],Tabela1[Country], 0),0))</f>
        <v>0</v>
      </c>
      <c r="AE204" s="6">
        <f>SUM(INDEX(Tabela1[[Swimming - Men''s 10km Open Water]:[Swimming - Women''s 10km Open Water]],MATCH(Table92[[#This Row],[Country]],Tabela1[Country], 0),0))</f>
        <v>0</v>
      </c>
      <c r="AF204" s="6">
        <f>SUM(INDEX(Tabela1[[Modern Pentathlon - Men''s Individual]:[Modern Pentathlon - Women''s Individual]],MATCH(Table92[[#This Row],[Country]],Tabela1[Country], 0),0))</f>
        <v>0</v>
      </c>
      <c r="AG204" s="6">
        <f>SUM(INDEX(Tabela1[[Rhythmic Gymnastics - Women''s Individual All-Around]:[Rhythmic Gymnastics - Women''s Group All-Around]],MATCH(Table92[[#This Row],[Country]],Tabela1[Country], 0),0))</f>
        <v>0</v>
      </c>
      <c r="AH204" s="6">
        <f>SUM(INDEX(Tabela1[[Rowing - Men''s Single Sculls]:[Rowing - Women''s Lwt. Double Sculls]],MATCH(Table92[[#This Row],[Country]],Tabela1[Country], 0),0))</f>
        <v>0</v>
      </c>
      <c r="AI204" s="6">
        <f>SUM(INDEX(Tabela1[[Rugby Sevens - Men''s Tournament]:[Rugby Sevens - Women''s Tournament]],MATCH(Table92[[#This Row],[Country]],Tabela1[Country], 0),0))</f>
        <v>0</v>
      </c>
      <c r="AJ204" s="6">
        <f>SUM(INDEX(Tabela1[[Sailing - Mixed 470]:[Sailing - Mixed Nacra 17]],MATCH(Table92[[#This Row],[Country]],Tabela1[Country], 0),0))</f>
        <v>0</v>
      </c>
      <c r="AK204" s="6">
        <f>SUM(INDEX(Tabela1[[Shooting - Men''s 10m Air Pistol]:[Shooting - Women''s Trap]],MATCH(Table92[[#This Row],[Country]],Tabela1[Country], 0),0))</f>
        <v>0</v>
      </c>
      <c r="AL204" s="6">
        <f>SUM(INDEX(Tabela1[[Skateboarding - Men''s Park]:[Skateboarding - Women''s Street]],MATCH(Table92[[#This Row],[Country]],Tabela1[Country], 0),0))</f>
        <v>0</v>
      </c>
      <c r="AM204" s="6">
        <f>SUM(INDEX(Tabela1[[Sport Climbing - Men''s Boulder and Lead]:[Sport Climbing - Women''s Speed]],MATCH(Table92[[#This Row],[Country]],Tabela1[Country], 0),0))</f>
        <v>0</v>
      </c>
      <c r="AN204" s="6">
        <f>SUM(INDEX(Tabela1[[Surfing - Men''s Shortboard]:[Surfing - Women''s Shortboard]],MATCH(Table92[[#This Row],[Country]],Tabela1[Country], 0),0))</f>
        <v>0</v>
      </c>
      <c r="AO204" s="6">
        <f>SUM(INDEX(Tabela1[[Swimming - Men''s 50m Freestyle]:[Swimming - Mixed 4x100m Medley Relay]],MATCH(Table92[[#This Row],[Country]],Tabela1[Country], 0),0))</f>
        <v>0</v>
      </c>
      <c r="AP204" s="6">
        <f>SUM(INDEX(Tabela1[[Table Tennis - Men''s Singles]:[Table Tennis - Mixed Doubles]],MATCH(Table92[[#This Row],[Country]],Tabela1[Country], 0),0))</f>
        <v>0</v>
      </c>
      <c r="AQ204" s="6">
        <f>SUM(INDEX(Tabela1[[Taekwondo - Men''s 58kg]:[Taekwondo - Women''s +67kg]],MATCH(Table92[[#This Row],[Country]],Tabela1[Country], 0),0))</f>
        <v>0</v>
      </c>
      <c r="AR204" s="6">
        <f>SUM(INDEX(Tabela1[[Tennis - Men''s Singles]:[Tennis - Mixed Doubles]],MATCH(Table92[[#This Row],[Country]],Tabela1[Country], 0),0))</f>
        <v>0</v>
      </c>
      <c r="AS204" s="6">
        <f>SUM(INDEX(Tabela1[[Gymnastics - Men''s Trampoline]:[Gymnastics - Women''s Trampoline]],MATCH(Table92[[#This Row],[Country]],Tabela1[Country], 0),0))</f>
        <v>0</v>
      </c>
      <c r="AT204" s="6">
        <f>SUM(INDEX(Tabela1[[Triathlon - Men''s Individual]:[Triathlon - Mixed Relay]],MATCH(Table92[[#This Row],[Country]],Tabela1[Country], 0),0))</f>
        <v>0</v>
      </c>
      <c r="AU204" s="6">
        <f>SUM(INDEX(Tabela1[[Volleyball - Men''s Tournament]:[Volleyball - Women''s Tournament]],MATCH(Table92[[#This Row],[Country]],Tabela1[Country], 0),0))</f>
        <v>0</v>
      </c>
      <c r="AV204" s="6">
        <f>SUM(INDEX(Tabela1[[Water Polo - Men''s Tournament]:[Water Polo - Women''s Tournament]],MATCH(Table92[[#This Row],[Country]],Tabela1[Country], 0),0))</f>
        <v>0</v>
      </c>
      <c r="AW204" s="6">
        <f>SUM(INDEX(Tabela1[[Weightlifting - Men''s 61kg]:[Weightlifting - Women''s +81kg]],MATCH(Table92[[#This Row],[Country]],Tabela1[Country], 0),0))</f>
        <v>0</v>
      </c>
      <c r="AX204" s="6">
        <f>SUM(INDEX(Tabela1[[Wrestling - Men''s Freestyle 57kg]:[Wrestling - Women''s Freestyle 76kg]],MATCH(Table92[[#This Row],[Country]],Tabela1[Country], 0),0))</f>
        <v>0</v>
      </c>
      <c r="AY204" s="6">
        <f>SUM(INDEX(Tabela1[[Alpine Skiing - Men''s Downhill]:[Alpine Skiing - Women''s Team Combined]],MATCH(Table92[[#This Row],[Country]],Tabela1[Country], 0),0))</f>
        <v>0</v>
      </c>
      <c r="AZ204" s="6">
        <f>SUM(INDEX(Tabela1[[Biathlon - Men''s Individual]:[Biathlon - Mixed Relay]],MATCH(Table92[[#This Row],[Country]],Tabela1[Country], 0),0))</f>
        <v>0</v>
      </c>
      <c r="BA204" s="6">
        <f>SUM(INDEX(Tabela1[[Bobsleigh - Women''s Monobob]:[Bobsleigh - Men''s Four]],MATCH(Table92[[#This Row],[Country]],Tabela1[Country], 0),0))</f>
        <v>0</v>
      </c>
      <c r="BB204" s="6">
        <f>SUM(INDEX(Tabela1[[Cross-country skiing - Men''s Classical]:[Cross-country skiing - Women''s Team Sprint]],MATCH(Table92[[#This Row],[Country]],Tabela1[Country], 0),0))</f>
        <v>0</v>
      </c>
      <c r="BC204" s="6">
        <f>SUM(INDEX(Tabela1[[Curling - Men''s Tournament]:[Curling - Mixed Doubles]],MATCH(Table92[[#This Row],[Country]],Tabela1[Country], 0),0))</f>
        <v>0</v>
      </c>
      <c r="BD204" s="6">
        <f>SUM(INDEX(Tabela1[[Figure Skating - Men''s Singles]:[Figure Skating - Team Event]],MATCH(Table92[[#This Row],[Country]],Tabela1[Country], 0),0))</f>
        <v>0</v>
      </c>
      <c r="BE204" s="6">
        <f>SUM(INDEX(Tabela1[[Freestyle Skiing - Men''s Aerials]:[Freestyle Skiing - Women''s Slopestyle]],MATCH(Table92[[#This Row],[Country]],Tabela1[Country], 0),0))</f>
        <v>0</v>
      </c>
      <c r="BF204" s="6">
        <f>SUM(INDEX(Tabela1[[Ice Hockey - Men''s Tournament]:[Ice Hockey - Women''s Tournament]],MATCH(Table92[[#This Row],[Country]],Tabela1[Country], 0),0))</f>
        <v>0</v>
      </c>
      <c r="BG204" s="6">
        <f>SUM(INDEX(Tabela1[[Luge - Men''s Singles]:[Luge - Mixed Team Relay]],MATCH(Table92[[#This Row],[Country]],Tabela1[Country], 0),0))</f>
        <v>0</v>
      </c>
      <c r="BH204" s="6">
        <f>SUM(INDEX(Tabela1[[Nordic Combined - Men''s Individual]:[Nordic Combined - Men''s Team Sprint Large Hill]],MATCH(Table92[[#This Row],[Country]],Tabela1[Country], 0),0))</f>
        <v>0</v>
      </c>
      <c r="BI204" s="6">
        <f>SUM(INDEX(Tabela1[[Short track speed skating - Men''s 500m]:[Short track speed skating - Mixed 2000m Relay]],MATCH(Table92[[#This Row],[Country]],Tabela1[Country], 0),0))</f>
        <v>0</v>
      </c>
      <c r="BJ204" s="6">
        <f>SUM(INDEX(Tabela1[[Skeleton - Men''s Individual]:[Skeleton - Mixed Team]],MATCH(Table92[[#This Row],[Country]],Tabela1[Country], 0),0))</f>
        <v>0</v>
      </c>
      <c r="BK204" s="6">
        <f>SUM(INDEX(Tabela1[[Ski Jumping - Men''s Individual Large Hill]:[Ski Jumping - Mixed Team Normal Hill]],MATCH(Table92[[#This Row],[Country]],Tabela1[Country], 0),0))</f>
        <v>0</v>
      </c>
      <c r="BL204" s="6">
        <f>SUM(INDEX(Tabela1[[Ski Mountaineering - Men''s Sprint]:[Ski Mountaineering - Mixed Relay]],MATCH(Table92[[#This Row],[Country]],Tabela1[Country], 0),0))</f>
        <v>0</v>
      </c>
      <c r="BM204" s="6">
        <f>SUM(INDEX(Tabela1[[Snowboarding - Men''s Big Air]:[Snowboarding - Mixed Team Snowboard Cross]],MATCH(Table92[[#This Row],[Country]],Tabela1[Country], 0),0))</f>
        <v>0</v>
      </c>
      <c r="BN204" s="6">
        <f>SUM(INDEX(Tabela1[[Speed Skating - Men''s 500m]:[Speed Skating - Women''s Team Pursuit]],MATCH(Table92[[#This Row],[Country]],Tabela1[Country], 0),0))</f>
        <v>0</v>
      </c>
      <c r="BO204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204" s="6">
        <f>SUM(Table92[[#This Row],[Summer Sports]:[Winter Sports]])</f>
        <v>0</v>
      </c>
      <c r="BQ204" s="6">
        <f>COUNTIF(Table92[[#This Row],[Archery Quotas]:[Wrestling Quotas]],"&lt;&gt;0")</f>
        <v>0</v>
      </c>
      <c r="BR204" s="6">
        <f>COUNTIF(Table92[[#This Row],[Alpine Skiing Quotas]:[Speed Skating Quotas]],"&lt;&gt;0")</f>
        <v>0</v>
      </c>
      <c r="BS204" s="3" t="s">
        <v>709</v>
      </c>
    </row>
    <row r="205" spans="1:71" x14ac:dyDescent="0.3">
      <c r="A205" s="6" t="s">
        <v>714</v>
      </c>
      <c r="B205" t="e" vm="204">
        <f>IF(ISBLANK(Table92[[#This Row],[Flag Link]]), "", _xlfn.IMAGE(Table92[[#This Row],[Flag Link]],1,1))</f>
        <v>#VALUE!</v>
      </c>
      <c r="C205" s="6">
        <f>SUM(Table92[[#This Row],[Archery Quotas]:[Speed Skating Quotas]])</f>
        <v>0</v>
      </c>
      <c r="D205" s="6">
        <f>SUM(INDEX(Tabela1[[Archery - Men''s Individual Recurve]:[Archery - Mixed Team Recurve]],MATCH(Table92[[#This Row],[Country]],Tabela1[Country], 0),0))</f>
        <v>0</v>
      </c>
      <c r="E205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205" s="6">
        <f>SUM(INDEX(Tabela1[[Artistic Swimming - Women''s Duet]:[Artistic Swimming - Women''s Team]],MATCH(Table92[[#This Row],[Country]],Tabela1[Country], 0),0))</f>
        <v>0</v>
      </c>
      <c r="G205" s="6">
        <f>SUM(INDEX(Tabela1[[Athletics - Men''s 100m]:[Athletics - Women''s Heptathlon]],MATCH(Table92[[#This Row],[Country]],Tabela1[Country], 0),0))</f>
        <v>0</v>
      </c>
      <c r="H205" s="6">
        <f>SUM(INDEX(Tabela1[[Badminton - Men''s Singles]:[Badminton - Mixed Doubles]],MATCH(Table92[[#This Row],[Country]],Tabela1[Country], 0),0))</f>
        <v>0</v>
      </c>
      <c r="I205" s="6">
        <f>SUM(INDEX(Tabela1[[Basketball - Men''s Tournament]:[Basketball - Women''s Tournament]],MATCH(Table92[[#This Row],[Country]],Tabela1[Country], 0),0))</f>
        <v>0</v>
      </c>
      <c r="J205" s="6">
        <f>SUM(INDEX(Tabela1[[3x3 Basketball - Men''s Tournament]:[3x3 Basketball - Women''s Tournament]],MATCH(Table92[[#This Row],[Country]],Tabela1[Country], 0),0))</f>
        <v>0</v>
      </c>
      <c r="K205" s="6">
        <f>SUM(INDEX(Tabela1[[Beach Volleyball - Men''s Tournament]:[Beach Volleyball - Women''s Tournament]],MATCH(Table92[[#This Row],[Country]],Tabela1[Country], 0),0))</f>
        <v>0</v>
      </c>
      <c r="L205" s="6">
        <f>SUM(INDEX(Tabela1[[Boxing - Men''s 51kg]:[Boxing - Women''s 75kg]],MATCH(Table92[[#This Row],[Country]],Tabela1[Country], 0),0))</f>
        <v>0</v>
      </c>
      <c r="M205" s="6">
        <f>SUM(INDEX(Tabela1[[Breaking - Men''s Individual]:[Breaking - Women''s Individual]],MATCH(Table92[[#This Row],[Country]],Tabela1[Country], 0),0))</f>
        <v>0</v>
      </c>
      <c r="N205" s="6">
        <f>SUM(INDEX(Tabela1[[Canoeing - Men''s C1 Slalom]:[Canoeing - Women''s Kayak Cross Slalom]],MATCH(Table92[[#This Row],[Country]],Tabela1[Country], 0),0))</f>
        <v>0</v>
      </c>
      <c r="O205" s="6">
        <f>SUM(INDEX(Tabela1[[Canoeing - Women''s C1 200m]:[Canoeing - Women''s K4 500m]],MATCH(Table92[[#This Row],[Country]],Tabela1[Country], 0),0))</f>
        <v>0</v>
      </c>
      <c r="P205" s="6">
        <f>SUM(INDEX(Tabela1[[Cycling - Men''s BMX Freestyle]:[Cycling - Women''s BMX Freestyle]],MATCH(Table92[[#This Row],[Country]],Tabela1[Country], 0),0))</f>
        <v>0</v>
      </c>
      <c r="Q205" s="6">
        <f>SUM(INDEX(Tabela1[[Cycling - Men''s BMX Racing]:[Cycling - Women''s BMX Racing]],MATCH(Table92[[#This Row],[Country]],Tabela1[Country], 0),0))</f>
        <v>0</v>
      </c>
      <c r="R205" s="6">
        <f>SUM(INDEX(Tabela1[[Cycling - Men''s Cross-Country]:[Cycling - Women''s Cross-Country]],MATCH(Table92[[#This Row],[Country]],Tabela1[Country], 0),0))</f>
        <v>0</v>
      </c>
      <c r="S205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205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205" s="6">
        <f>SUM(INDEX(Tabela1[[Diving - Men''s Springboard]:[Diving - Women''s Synchronized Platform]],MATCH(Table92[[#This Row],[Country]],Tabela1[Country], 0),0))</f>
        <v>0</v>
      </c>
      <c r="V205" s="6">
        <f>SUM(INDEX(Tabela1[[Equestrian - Individual Dressage]:[Equestrian - Team Dressage]],MATCH(Table92[[#This Row],[Country]],Tabela1[Country], 0),0))</f>
        <v>0</v>
      </c>
      <c r="W205" s="6">
        <f>SUM(INDEX(Tabela1[[Equestrian - Individual Eventing]:[Equestrian - Team Eventing]],MATCH(Table92[[#This Row],[Country]],Tabela1[Country], 0),0))</f>
        <v>0</v>
      </c>
      <c r="X205" s="6">
        <f>SUM(INDEX(Tabela1[[Equestrian - Individual Jumping]:[Equestrian - Team Jumping]],MATCH(Table92[[#This Row],[Country]],Tabela1[Country], 0),0))</f>
        <v>0</v>
      </c>
      <c r="Y205" s="6">
        <f>SUM(INDEX(Tabela1[[Fencing - Men''s Épée]:[Fencing - Women''s Team Sabre]],MATCH(Table92[[#This Row],[Country]],Tabela1[Country], 0),0))</f>
        <v>0</v>
      </c>
      <c r="Z205" s="6">
        <f>SUM(INDEX(Tabela1[[Field Hockey - Men''s Tournament]:[Field Hockey - Women''s Tournament]],MATCH(Table92[[#This Row],[Country]],Tabela1[Country], 0),0))</f>
        <v>0</v>
      </c>
      <c r="AA205" s="6">
        <f>SUM(INDEX(Tabela1[[Football - Men''s Tournament]:[Football - Women''s Tournament]],MATCH(Table92[[#This Row],[Country]],Tabela1[Country], 0),0))</f>
        <v>0</v>
      </c>
      <c r="AB205" s="6">
        <f>SUM(INDEX(Tabela1[[Golf - Men''s Individual]:[Golf - Women''s Individual]],MATCH(Table92[[#This Row],[Country]],Tabela1[Country], 0),0))</f>
        <v>0</v>
      </c>
      <c r="AC205" s="6">
        <f>SUM(INDEX(Tabela1[[Handball - Men''s Tournament]:[Handball - Women''s Tournament]],MATCH(Table92[[#This Row],[Country]],Tabela1[Country], 0),0))</f>
        <v>0</v>
      </c>
      <c r="AD205" s="6">
        <f>SUM(INDEX(Tabela1[[Judo - Men''s 60kg]:[Judo - Mixed Team]],MATCH(Table92[[#This Row],[Country]],Tabela1[Country], 0),0))</f>
        <v>0</v>
      </c>
      <c r="AE205" s="6">
        <f>SUM(INDEX(Tabela1[[Swimming - Men''s 10km Open Water]:[Swimming - Women''s 10km Open Water]],MATCH(Table92[[#This Row],[Country]],Tabela1[Country], 0),0))</f>
        <v>0</v>
      </c>
      <c r="AF205" s="6">
        <f>SUM(INDEX(Tabela1[[Modern Pentathlon - Men''s Individual]:[Modern Pentathlon - Women''s Individual]],MATCH(Table92[[#This Row],[Country]],Tabela1[Country], 0),0))</f>
        <v>0</v>
      </c>
      <c r="AG205" s="6">
        <f>SUM(INDEX(Tabela1[[Rhythmic Gymnastics - Women''s Individual All-Around]:[Rhythmic Gymnastics - Women''s Group All-Around]],MATCH(Table92[[#This Row],[Country]],Tabela1[Country], 0),0))</f>
        <v>0</v>
      </c>
      <c r="AH205" s="6">
        <f>SUM(INDEX(Tabela1[[Rowing - Men''s Single Sculls]:[Rowing - Women''s Lwt. Double Sculls]],MATCH(Table92[[#This Row],[Country]],Tabela1[Country], 0),0))</f>
        <v>0</v>
      </c>
      <c r="AI205" s="6">
        <f>SUM(INDEX(Tabela1[[Rugby Sevens - Men''s Tournament]:[Rugby Sevens - Women''s Tournament]],MATCH(Table92[[#This Row],[Country]],Tabela1[Country], 0),0))</f>
        <v>0</v>
      </c>
      <c r="AJ205" s="6">
        <f>SUM(INDEX(Tabela1[[Sailing - Mixed 470]:[Sailing - Mixed Nacra 17]],MATCH(Table92[[#This Row],[Country]],Tabela1[Country], 0),0))</f>
        <v>0</v>
      </c>
      <c r="AK205" s="6">
        <f>SUM(INDEX(Tabela1[[Shooting - Men''s 10m Air Pistol]:[Shooting - Women''s Trap]],MATCH(Table92[[#This Row],[Country]],Tabela1[Country], 0),0))</f>
        <v>0</v>
      </c>
      <c r="AL205" s="6">
        <f>SUM(INDEX(Tabela1[[Skateboarding - Men''s Park]:[Skateboarding - Women''s Street]],MATCH(Table92[[#This Row],[Country]],Tabela1[Country], 0),0))</f>
        <v>0</v>
      </c>
      <c r="AM205" s="6">
        <f>SUM(INDEX(Tabela1[[Sport Climbing - Men''s Boulder and Lead]:[Sport Climbing - Women''s Speed]],MATCH(Table92[[#This Row],[Country]],Tabela1[Country], 0),0))</f>
        <v>0</v>
      </c>
      <c r="AN205" s="6">
        <f>SUM(INDEX(Tabela1[[Surfing - Men''s Shortboard]:[Surfing - Women''s Shortboard]],MATCH(Table92[[#This Row],[Country]],Tabela1[Country], 0),0))</f>
        <v>0</v>
      </c>
      <c r="AO205" s="6">
        <f>SUM(INDEX(Tabela1[[Swimming - Men''s 50m Freestyle]:[Swimming - Mixed 4x100m Medley Relay]],MATCH(Table92[[#This Row],[Country]],Tabela1[Country], 0),0))</f>
        <v>0</v>
      </c>
      <c r="AP205" s="6">
        <f>SUM(INDEX(Tabela1[[Table Tennis - Men''s Singles]:[Table Tennis - Mixed Doubles]],MATCH(Table92[[#This Row],[Country]],Tabela1[Country], 0),0))</f>
        <v>0</v>
      </c>
      <c r="AQ205" s="6">
        <f>SUM(INDEX(Tabela1[[Taekwondo - Men''s 58kg]:[Taekwondo - Women''s +67kg]],MATCH(Table92[[#This Row],[Country]],Tabela1[Country], 0),0))</f>
        <v>0</v>
      </c>
      <c r="AR205" s="6">
        <f>SUM(INDEX(Tabela1[[Tennis - Men''s Singles]:[Tennis - Mixed Doubles]],MATCH(Table92[[#This Row],[Country]],Tabela1[Country], 0),0))</f>
        <v>0</v>
      </c>
      <c r="AS205" s="6">
        <f>SUM(INDEX(Tabela1[[Gymnastics - Men''s Trampoline]:[Gymnastics - Women''s Trampoline]],MATCH(Table92[[#This Row],[Country]],Tabela1[Country], 0),0))</f>
        <v>0</v>
      </c>
      <c r="AT205" s="6">
        <f>SUM(INDEX(Tabela1[[Triathlon - Men''s Individual]:[Triathlon - Mixed Relay]],MATCH(Table92[[#This Row],[Country]],Tabela1[Country], 0),0))</f>
        <v>0</v>
      </c>
      <c r="AU205" s="6">
        <f>SUM(INDEX(Tabela1[[Volleyball - Men''s Tournament]:[Volleyball - Women''s Tournament]],MATCH(Table92[[#This Row],[Country]],Tabela1[Country], 0),0))</f>
        <v>0</v>
      </c>
      <c r="AV205" s="6">
        <f>SUM(INDEX(Tabela1[[Water Polo - Men''s Tournament]:[Water Polo - Women''s Tournament]],MATCH(Table92[[#This Row],[Country]],Tabela1[Country], 0),0))</f>
        <v>0</v>
      </c>
      <c r="AW205" s="6">
        <f>SUM(INDEX(Tabela1[[Weightlifting - Men''s 61kg]:[Weightlifting - Women''s +81kg]],MATCH(Table92[[#This Row],[Country]],Tabela1[Country], 0),0))</f>
        <v>0</v>
      </c>
      <c r="AX205" s="6">
        <f>SUM(INDEX(Tabela1[[Wrestling - Men''s Freestyle 57kg]:[Wrestling - Women''s Freestyle 76kg]],MATCH(Table92[[#This Row],[Country]],Tabela1[Country], 0),0))</f>
        <v>0</v>
      </c>
      <c r="AY205" s="6">
        <f>SUM(INDEX(Tabela1[[Alpine Skiing - Men''s Downhill]:[Alpine Skiing - Women''s Team Combined]],MATCH(Table92[[#This Row],[Country]],Tabela1[Country], 0),0))</f>
        <v>0</v>
      </c>
      <c r="AZ205" s="6">
        <f>SUM(INDEX(Tabela1[[Biathlon - Men''s Individual]:[Biathlon - Mixed Relay]],MATCH(Table92[[#This Row],[Country]],Tabela1[Country], 0),0))</f>
        <v>0</v>
      </c>
      <c r="BA205" s="6">
        <f>SUM(INDEX(Tabela1[[Bobsleigh - Women''s Monobob]:[Bobsleigh - Men''s Four]],MATCH(Table92[[#This Row],[Country]],Tabela1[Country], 0),0))</f>
        <v>0</v>
      </c>
      <c r="BB205" s="6">
        <f>SUM(INDEX(Tabela1[[Cross-country skiing - Men''s Classical]:[Cross-country skiing - Women''s Team Sprint]],MATCH(Table92[[#This Row],[Country]],Tabela1[Country], 0),0))</f>
        <v>0</v>
      </c>
      <c r="BC205" s="6">
        <f>SUM(INDEX(Tabela1[[Curling - Men''s Tournament]:[Curling - Mixed Doubles]],MATCH(Table92[[#This Row],[Country]],Tabela1[Country], 0),0))</f>
        <v>0</v>
      </c>
      <c r="BD205" s="6">
        <f>SUM(INDEX(Tabela1[[Figure Skating - Men''s Singles]:[Figure Skating - Team Event]],MATCH(Table92[[#This Row],[Country]],Tabela1[Country], 0),0))</f>
        <v>0</v>
      </c>
      <c r="BE205" s="6">
        <f>SUM(INDEX(Tabela1[[Freestyle Skiing - Men''s Aerials]:[Freestyle Skiing - Women''s Slopestyle]],MATCH(Table92[[#This Row],[Country]],Tabela1[Country], 0),0))</f>
        <v>0</v>
      </c>
      <c r="BF205" s="6">
        <f>SUM(INDEX(Tabela1[[Ice Hockey - Men''s Tournament]:[Ice Hockey - Women''s Tournament]],MATCH(Table92[[#This Row],[Country]],Tabela1[Country], 0),0))</f>
        <v>0</v>
      </c>
      <c r="BG205" s="6">
        <f>SUM(INDEX(Tabela1[[Luge - Men''s Singles]:[Luge - Mixed Team Relay]],MATCH(Table92[[#This Row],[Country]],Tabela1[Country], 0),0))</f>
        <v>0</v>
      </c>
      <c r="BH205" s="6">
        <f>SUM(INDEX(Tabela1[[Nordic Combined - Men''s Individual]:[Nordic Combined - Men''s Team Sprint Large Hill]],MATCH(Table92[[#This Row],[Country]],Tabela1[Country], 0),0))</f>
        <v>0</v>
      </c>
      <c r="BI205" s="6">
        <f>SUM(INDEX(Tabela1[[Short track speed skating - Men''s 500m]:[Short track speed skating - Mixed 2000m Relay]],MATCH(Table92[[#This Row],[Country]],Tabela1[Country], 0),0))</f>
        <v>0</v>
      </c>
      <c r="BJ205" s="6">
        <f>SUM(INDEX(Tabela1[[Skeleton - Men''s Individual]:[Skeleton - Mixed Team]],MATCH(Table92[[#This Row],[Country]],Tabela1[Country], 0),0))</f>
        <v>0</v>
      </c>
      <c r="BK205" s="6">
        <f>SUM(INDEX(Tabela1[[Ski Jumping - Men''s Individual Large Hill]:[Ski Jumping - Mixed Team Normal Hill]],MATCH(Table92[[#This Row],[Country]],Tabela1[Country], 0),0))</f>
        <v>0</v>
      </c>
      <c r="BL205" s="6">
        <f>SUM(INDEX(Tabela1[[Ski Mountaineering - Men''s Sprint]:[Ski Mountaineering - Mixed Relay]],MATCH(Table92[[#This Row],[Country]],Tabela1[Country], 0),0))</f>
        <v>0</v>
      </c>
      <c r="BM205" s="6">
        <f>SUM(INDEX(Tabela1[[Snowboarding - Men''s Big Air]:[Snowboarding - Mixed Team Snowboard Cross]],MATCH(Table92[[#This Row],[Country]],Tabela1[Country], 0),0))</f>
        <v>0</v>
      </c>
      <c r="BN205" s="6">
        <f>SUM(INDEX(Tabela1[[Speed Skating - Men''s 500m]:[Speed Skating - Women''s Team Pursuit]],MATCH(Table92[[#This Row],[Country]],Tabela1[Country], 0),0))</f>
        <v>0</v>
      </c>
      <c r="BO205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205" s="6">
        <f>SUM(Table92[[#This Row],[Summer Sports]:[Winter Sports]])</f>
        <v>0</v>
      </c>
      <c r="BQ205" s="6">
        <f>COUNTIF(Table92[[#This Row],[Archery Quotas]:[Wrestling Quotas]],"&lt;&gt;0")</f>
        <v>0</v>
      </c>
      <c r="BR205" s="6">
        <f>COUNTIF(Table92[[#This Row],[Alpine Skiing Quotas]:[Speed Skating Quotas]],"&lt;&gt;0")</f>
        <v>0</v>
      </c>
      <c r="BS205" s="4" t="s">
        <v>715</v>
      </c>
    </row>
    <row r="206" spans="1:71" x14ac:dyDescent="0.3">
      <c r="A206" s="6" t="s">
        <v>720</v>
      </c>
      <c r="B206" t="e" vm="205">
        <f>IF(ISBLANK(Table92[[#This Row],[Flag Link]]), "", _xlfn.IMAGE(Table92[[#This Row],[Flag Link]],1,1))</f>
        <v>#VALUE!</v>
      </c>
      <c r="C206" s="6">
        <f>SUM(Table92[[#This Row],[Archery Quotas]:[Speed Skating Quotas]])</f>
        <v>0</v>
      </c>
      <c r="D206" s="6">
        <f>SUM(INDEX(Tabela1[[Archery - Men''s Individual Recurve]:[Archery - Mixed Team Recurve]],MATCH(Table92[[#This Row],[Country]],Tabela1[Country], 0),0))</f>
        <v>0</v>
      </c>
      <c r="E206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206" s="6">
        <f>SUM(INDEX(Tabela1[[Artistic Swimming - Women''s Duet]:[Artistic Swimming - Women''s Team]],MATCH(Table92[[#This Row],[Country]],Tabela1[Country], 0),0))</f>
        <v>0</v>
      </c>
      <c r="G206" s="6">
        <f>SUM(INDEX(Tabela1[[Athletics - Men''s 100m]:[Athletics - Women''s Heptathlon]],MATCH(Table92[[#This Row],[Country]],Tabela1[Country], 0),0))</f>
        <v>0</v>
      </c>
      <c r="H206" s="6">
        <f>SUM(INDEX(Tabela1[[Badminton - Men''s Singles]:[Badminton - Mixed Doubles]],MATCH(Table92[[#This Row],[Country]],Tabela1[Country], 0),0))</f>
        <v>0</v>
      </c>
      <c r="I206" s="6">
        <f>SUM(INDEX(Tabela1[[Basketball - Men''s Tournament]:[Basketball - Women''s Tournament]],MATCH(Table92[[#This Row],[Country]],Tabela1[Country], 0),0))</f>
        <v>0</v>
      </c>
      <c r="J206" s="6">
        <f>SUM(INDEX(Tabela1[[3x3 Basketball - Men''s Tournament]:[3x3 Basketball - Women''s Tournament]],MATCH(Table92[[#This Row],[Country]],Tabela1[Country], 0),0))</f>
        <v>0</v>
      </c>
      <c r="K206" s="6">
        <f>SUM(INDEX(Tabela1[[Beach Volleyball - Men''s Tournament]:[Beach Volleyball - Women''s Tournament]],MATCH(Table92[[#This Row],[Country]],Tabela1[Country], 0),0))</f>
        <v>0</v>
      </c>
      <c r="L206" s="6">
        <f>SUM(INDEX(Tabela1[[Boxing - Men''s 51kg]:[Boxing - Women''s 75kg]],MATCH(Table92[[#This Row],[Country]],Tabela1[Country], 0),0))</f>
        <v>0</v>
      </c>
      <c r="M206" s="6">
        <f>SUM(INDEX(Tabela1[[Breaking - Men''s Individual]:[Breaking - Women''s Individual]],MATCH(Table92[[#This Row],[Country]],Tabela1[Country], 0),0))</f>
        <v>0</v>
      </c>
      <c r="N206" s="6">
        <f>SUM(INDEX(Tabela1[[Canoeing - Men''s C1 Slalom]:[Canoeing - Women''s Kayak Cross Slalom]],MATCH(Table92[[#This Row],[Country]],Tabela1[Country], 0),0))</f>
        <v>0</v>
      </c>
      <c r="O206" s="6">
        <f>SUM(INDEX(Tabela1[[Canoeing - Women''s C1 200m]:[Canoeing - Women''s K4 500m]],MATCH(Table92[[#This Row],[Country]],Tabela1[Country], 0),0))</f>
        <v>0</v>
      </c>
      <c r="P206" s="6">
        <f>SUM(INDEX(Tabela1[[Cycling - Men''s BMX Freestyle]:[Cycling - Women''s BMX Freestyle]],MATCH(Table92[[#This Row],[Country]],Tabela1[Country], 0),0))</f>
        <v>0</v>
      </c>
      <c r="Q206" s="6">
        <f>SUM(INDEX(Tabela1[[Cycling - Men''s BMX Racing]:[Cycling - Women''s BMX Racing]],MATCH(Table92[[#This Row],[Country]],Tabela1[Country], 0),0))</f>
        <v>0</v>
      </c>
      <c r="R206" s="6">
        <f>SUM(INDEX(Tabela1[[Cycling - Men''s Cross-Country]:[Cycling - Women''s Cross-Country]],MATCH(Table92[[#This Row],[Country]],Tabela1[Country], 0),0))</f>
        <v>0</v>
      </c>
      <c r="S206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206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206" s="6">
        <f>SUM(INDEX(Tabela1[[Diving - Men''s Springboard]:[Diving - Women''s Synchronized Platform]],MATCH(Table92[[#This Row],[Country]],Tabela1[Country], 0),0))</f>
        <v>0</v>
      </c>
      <c r="V206" s="6">
        <f>SUM(INDEX(Tabela1[[Equestrian - Individual Dressage]:[Equestrian - Team Dressage]],MATCH(Table92[[#This Row],[Country]],Tabela1[Country], 0),0))</f>
        <v>0</v>
      </c>
      <c r="W206" s="6">
        <f>SUM(INDEX(Tabela1[[Equestrian - Individual Eventing]:[Equestrian - Team Eventing]],MATCH(Table92[[#This Row],[Country]],Tabela1[Country], 0),0))</f>
        <v>0</v>
      </c>
      <c r="X206" s="6">
        <f>SUM(INDEX(Tabela1[[Equestrian - Individual Jumping]:[Equestrian - Team Jumping]],MATCH(Table92[[#This Row],[Country]],Tabela1[Country], 0),0))</f>
        <v>0</v>
      </c>
      <c r="Y206" s="6">
        <f>SUM(INDEX(Tabela1[[Fencing - Men''s Épée]:[Fencing - Women''s Team Sabre]],MATCH(Table92[[#This Row],[Country]],Tabela1[Country], 0),0))</f>
        <v>0</v>
      </c>
      <c r="Z206" s="6">
        <f>SUM(INDEX(Tabela1[[Field Hockey - Men''s Tournament]:[Field Hockey - Women''s Tournament]],MATCH(Table92[[#This Row],[Country]],Tabela1[Country], 0),0))</f>
        <v>0</v>
      </c>
      <c r="AA206" s="6">
        <f>SUM(INDEX(Tabela1[[Football - Men''s Tournament]:[Football - Women''s Tournament]],MATCH(Table92[[#This Row],[Country]],Tabela1[Country], 0),0))</f>
        <v>0</v>
      </c>
      <c r="AB206" s="6">
        <f>SUM(INDEX(Tabela1[[Golf - Men''s Individual]:[Golf - Women''s Individual]],MATCH(Table92[[#This Row],[Country]],Tabela1[Country], 0),0))</f>
        <v>0</v>
      </c>
      <c r="AC206" s="6">
        <f>SUM(INDEX(Tabela1[[Handball - Men''s Tournament]:[Handball - Women''s Tournament]],MATCH(Table92[[#This Row],[Country]],Tabela1[Country], 0),0))</f>
        <v>0</v>
      </c>
      <c r="AD206" s="6">
        <f>SUM(INDEX(Tabela1[[Judo - Men''s 60kg]:[Judo - Mixed Team]],MATCH(Table92[[#This Row],[Country]],Tabela1[Country], 0),0))</f>
        <v>0</v>
      </c>
      <c r="AE206" s="6">
        <f>SUM(INDEX(Tabela1[[Swimming - Men''s 10km Open Water]:[Swimming - Women''s 10km Open Water]],MATCH(Table92[[#This Row],[Country]],Tabela1[Country], 0),0))</f>
        <v>0</v>
      </c>
      <c r="AF206" s="6">
        <f>SUM(INDEX(Tabela1[[Modern Pentathlon - Men''s Individual]:[Modern Pentathlon - Women''s Individual]],MATCH(Table92[[#This Row],[Country]],Tabela1[Country], 0),0))</f>
        <v>0</v>
      </c>
      <c r="AG206" s="6">
        <f>SUM(INDEX(Tabela1[[Rhythmic Gymnastics - Women''s Individual All-Around]:[Rhythmic Gymnastics - Women''s Group All-Around]],MATCH(Table92[[#This Row],[Country]],Tabela1[Country], 0),0))</f>
        <v>0</v>
      </c>
      <c r="AH206" s="6">
        <f>SUM(INDEX(Tabela1[[Rowing - Men''s Single Sculls]:[Rowing - Women''s Lwt. Double Sculls]],MATCH(Table92[[#This Row],[Country]],Tabela1[Country], 0),0))</f>
        <v>0</v>
      </c>
      <c r="AI206" s="6">
        <f>SUM(INDEX(Tabela1[[Rugby Sevens - Men''s Tournament]:[Rugby Sevens - Women''s Tournament]],MATCH(Table92[[#This Row],[Country]],Tabela1[Country], 0),0))</f>
        <v>0</v>
      </c>
      <c r="AJ206" s="6">
        <f>SUM(INDEX(Tabela1[[Sailing - Mixed 470]:[Sailing - Mixed Nacra 17]],MATCH(Table92[[#This Row],[Country]],Tabela1[Country], 0),0))</f>
        <v>0</v>
      </c>
      <c r="AK206" s="6">
        <f>SUM(INDEX(Tabela1[[Shooting - Men''s 10m Air Pistol]:[Shooting - Women''s Trap]],MATCH(Table92[[#This Row],[Country]],Tabela1[Country], 0),0))</f>
        <v>0</v>
      </c>
      <c r="AL206" s="6">
        <f>SUM(INDEX(Tabela1[[Skateboarding - Men''s Park]:[Skateboarding - Women''s Street]],MATCH(Table92[[#This Row],[Country]],Tabela1[Country], 0),0))</f>
        <v>0</v>
      </c>
      <c r="AM206" s="6">
        <f>SUM(INDEX(Tabela1[[Sport Climbing - Men''s Boulder and Lead]:[Sport Climbing - Women''s Speed]],MATCH(Table92[[#This Row],[Country]],Tabela1[Country], 0),0))</f>
        <v>0</v>
      </c>
      <c r="AN206" s="6">
        <f>SUM(INDEX(Tabela1[[Surfing - Men''s Shortboard]:[Surfing - Women''s Shortboard]],MATCH(Table92[[#This Row],[Country]],Tabela1[Country], 0),0))</f>
        <v>0</v>
      </c>
      <c r="AO206" s="6">
        <f>SUM(INDEX(Tabela1[[Swimming - Men''s 50m Freestyle]:[Swimming - Mixed 4x100m Medley Relay]],MATCH(Table92[[#This Row],[Country]],Tabela1[Country], 0),0))</f>
        <v>0</v>
      </c>
      <c r="AP206" s="6">
        <f>SUM(INDEX(Tabela1[[Table Tennis - Men''s Singles]:[Table Tennis - Mixed Doubles]],MATCH(Table92[[#This Row],[Country]],Tabela1[Country], 0),0))</f>
        <v>0</v>
      </c>
      <c r="AQ206" s="6">
        <f>SUM(INDEX(Tabela1[[Taekwondo - Men''s 58kg]:[Taekwondo - Women''s +67kg]],MATCH(Table92[[#This Row],[Country]],Tabela1[Country], 0),0))</f>
        <v>0</v>
      </c>
      <c r="AR206" s="6">
        <f>SUM(INDEX(Tabela1[[Tennis - Men''s Singles]:[Tennis - Mixed Doubles]],MATCH(Table92[[#This Row],[Country]],Tabela1[Country], 0),0))</f>
        <v>0</v>
      </c>
      <c r="AS206" s="6">
        <f>SUM(INDEX(Tabela1[[Gymnastics - Men''s Trampoline]:[Gymnastics - Women''s Trampoline]],MATCH(Table92[[#This Row],[Country]],Tabela1[Country], 0),0))</f>
        <v>0</v>
      </c>
      <c r="AT206" s="6">
        <f>SUM(INDEX(Tabela1[[Triathlon - Men''s Individual]:[Triathlon - Mixed Relay]],MATCH(Table92[[#This Row],[Country]],Tabela1[Country], 0),0))</f>
        <v>0</v>
      </c>
      <c r="AU206" s="6">
        <f>SUM(INDEX(Tabela1[[Volleyball - Men''s Tournament]:[Volleyball - Women''s Tournament]],MATCH(Table92[[#This Row],[Country]],Tabela1[Country], 0),0))</f>
        <v>0</v>
      </c>
      <c r="AV206" s="6">
        <f>SUM(INDEX(Tabela1[[Water Polo - Men''s Tournament]:[Water Polo - Women''s Tournament]],MATCH(Table92[[#This Row],[Country]],Tabela1[Country], 0),0))</f>
        <v>0</v>
      </c>
      <c r="AW206" s="6">
        <f>SUM(INDEX(Tabela1[[Weightlifting - Men''s 61kg]:[Weightlifting - Women''s +81kg]],MATCH(Table92[[#This Row],[Country]],Tabela1[Country], 0),0))</f>
        <v>0</v>
      </c>
      <c r="AX206" s="6">
        <f>SUM(INDEX(Tabela1[[Wrestling - Men''s Freestyle 57kg]:[Wrestling - Women''s Freestyle 76kg]],MATCH(Table92[[#This Row],[Country]],Tabela1[Country], 0),0))</f>
        <v>0</v>
      </c>
      <c r="AY206" s="6">
        <f>SUM(INDEX(Tabela1[[Alpine Skiing - Men''s Downhill]:[Alpine Skiing - Women''s Team Combined]],MATCH(Table92[[#This Row],[Country]],Tabela1[Country], 0),0))</f>
        <v>0</v>
      </c>
      <c r="AZ206" s="6">
        <f>SUM(INDEX(Tabela1[[Biathlon - Men''s Individual]:[Biathlon - Mixed Relay]],MATCH(Table92[[#This Row],[Country]],Tabela1[Country], 0),0))</f>
        <v>0</v>
      </c>
      <c r="BA206" s="6">
        <f>SUM(INDEX(Tabela1[[Bobsleigh - Women''s Monobob]:[Bobsleigh - Men''s Four]],MATCH(Table92[[#This Row],[Country]],Tabela1[Country], 0),0))</f>
        <v>0</v>
      </c>
      <c r="BB206" s="6">
        <f>SUM(INDEX(Tabela1[[Cross-country skiing - Men''s Classical]:[Cross-country skiing - Women''s Team Sprint]],MATCH(Table92[[#This Row],[Country]],Tabela1[Country], 0),0))</f>
        <v>0</v>
      </c>
      <c r="BC206" s="6">
        <f>SUM(INDEX(Tabela1[[Curling - Men''s Tournament]:[Curling - Mixed Doubles]],MATCH(Table92[[#This Row],[Country]],Tabela1[Country], 0),0))</f>
        <v>0</v>
      </c>
      <c r="BD206" s="6">
        <f>SUM(INDEX(Tabela1[[Figure Skating - Men''s Singles]:[Figure Skating - Team Event]],MATCH(Table92[[#This Row],[Country]],Tabela1[Country], 0),0))</f>
        <v>0</v>
      </c>
      <c r="BE206" s="6">
        <f>SUM(INDEX(Tabela1[[Freestyle Skiing - Men''s Aerials]:[Freestyle Skiing - Women''s Slopestyle]],MATCH(Table92[[#This Row],[Country]],Tabela1[Country], 0),0))</f>
        <v>0</v>
      </c>
      <c r="BF206" s="6">
        <f>SUM(INDEX(Tabela1[[Ice Hockey - Men''s Tournament]:[Ice Hockey - Women''s Tournament]],MATCH(Table92[[#This Row],[Country]],Tabela1[Country], 0),0))</f>
        <v>0</v>
      </c>
      <c r="BG206" s="6">
        <f>SUM(INDEX(Tabela1[[Luge - Men''s Singles]:[Luge - Mixed Team Relay]],MATCH(Table92[[#This Row],[Country]],Tabela1[Country], 0),0))</f>
        <v>0</v>
      </c>
      <c r="BH206" s="6">
        <f>SUM(INDEX(Tabela1[[Nordic Combined - Men''s Individual]:[Nordic Combined - Men''s Team Sprint Large Hill]],MATCH(Table92[[#This Row],[Country]],Tabela1[Country], 0),0))</f>
        <v>0</v>
      </c>
      <c r="BI206" s="6">
        <f>SUM(INDEX(Tabela1[[Short track speed skating - Men''s 500m]:[Short track speed skating - Mixed 2000m Relay]],MATCH(Table92[[#This Row],[Country]],Tabela1[Country], 0),0))</f>
        <v>0</v>
      </c>
      <c r="BJ206" s="6">
        <f>SUM(INDEX(Tabela1[[Skeleton - Men''s Individual]:[Skeleton - Mixed Team]],MATCH(Table92[[#This Row],[Country]],Tabela1[Country], 0),0))</f>
        <v>0</v>
      </c>
      <c r="BK206" s="6">
        <f>SUM(INDEX(Tabela1[[Ski Jumping - Men''s Individual Large Hill]:[Ski Jumping - Mixed Team Normal Hill]],MATCH(Table92[[#This Row],[Country]],Tabela1[Country], 0),0))</f>
        <v>0</v>
      </c>
      <c r="BL206" s="6">
        <f>SUM(INDEX(Tabela1[[Ski Mountaineering - Men''s Sprint]:[Ski Mountaineering - Mixed Relay]],MATCH(Table92[[#This Row],[Country]],Tabela1[Country], 0),0))</f>
        <v>0</v>
      </c>
      <c r="BM206" s="6">
        <f>SUM(INDEX(Tabela1[[Snowboarding - Men''s Big Air]:[Snowboarding - Mixed Team Snowboard Cross]],MATCH(Table92[[#This Row],[Country]],Tabela1[Country], 0),0))</f>
        <v>0</v>
      </c>
      <c r="BN206" s="6">
        <f>SUM(INDEX(Tabela1[[Speed Skating - Men''s 500m]:[Speed Skating - Women''s Team Pursuit]],MATCH(Table92[[#This Row],[Country]],Tabela1[Country], 0),0))</f>
        <v>0</v>
      </c>
      <c r="BO206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206" s="6">
        <f>SUM(Table92[[#This Row],[Summer Sports]:[Winter Sports]])</f>
        <v>0</v>
      </c>
      <c r="BQ206" s="6">
        <f>COUNTIF(Table92[[#This Row],[Archery Quotas]:[Wrestling Quotas]],"&lt;&gt;0")</f>
        <v>0</v>
      </c>
      <c r="BR206" s="6">
        <f>COUNTIF(Table92[[#This Row],[Alpine Skiing Quotas]:[Speed Skating Quotas]],"&lt;&gt;0")</f>
        <v>0</v>
      </c>
      <c r="BS206" s="3" t="s">
        <v>721</v>
      </c>
    </row>
    <row r="207" spans="1:71" x14ac:dyDescent="0.3">
      <c r="A207" s="6" t="s">
        <v>722</v>
      </c>
      <c r="B207" t="e" vm="206">
        <f>IF(ISBLANK(Table92[[#This Row],[Flag Link]]), "", _xlfn.IMAGE(Table92[[#This Row],[Flag Link]],1,1))</f>
        <v>#VALUE!</v>
      </c>
      <c r="C207" s="6">
        <f>SUM(Table92[[#This Row],[Archery Quotas]:[Speed Skating Quotas]])</f>
        <v>0</v>
      </c>
      <c r="D207" s="6">
        <f>SUM(INDEX(Tabela1[[Archery - Men''s Individual Recurve]:[Archery - Mixed Team Recurve]],MATCH(Table92[[#This Row],[Country]],Tabela1[Country], 0),0))</f>
        <v>0</v>
      </c>
      <c r="E207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207" s="6">
        <f>SUM(INDEX(Tabela1[[Artistic Swimming - Women''s Duet]:[Artistic Swimming - Women''s Team]],MATCH(Table92[[#This Row],[Country]],Tabela1[Country], 0),0))</f>
        <v>0</v>
      </c>
      <c r="G207" s="6">
        <f>SUM(INDEX(Tabela1[[Athletics - Men''s 100m]:[Athletics - Women''s Heptathlon]],MATCH(Table92[[#This Row],[Country]],Tabela1[Country], 0),0))</f>
        <v>0</v>
      </c>
      <c r="H207" s="6">
        <f>SUM(INDEX(Tabela1[[Badminton - Men''s Singles]:[Badminton - Mixed Doubles]],MATCH(Table92[[#This Row],[Country]],Tabela1[Country], 0),0))</f>
        <v>0</v>
      </c>
      <c r="I207" s="6">
        <f>SUM(INDEX(Tabela1[[Basketball - Men''s Tournament]:[Basketball - Women''s Tournament]],MATCH(Table92[[#This Row],[Country]],Tabela1[Country], 0),0))</f>
        <v>0</v>
      </c>
      <c r="J207" s="6">
        <f>SUM(INDEX(Tabela1[[3x3 Basketball - Men''s Tournament]:[3x3 Basketball - Women''s Tournament]],MATCH(Table92[[#This Row],[Country]],Tabela1[Country], 0),0))</f>
        <v>0</v>
      </c>
      <c r="K207" s="6">
        <f>SUM(INDEX(Tabela1[[Beach Volleyball - Men''s Tournament]:[Beach Volleyball - Women''s Tournament]],MATCH(Table92[[#This Row],[Country]],Tabela1[Country], 0),0))</f>
        <v>0</v>
      </c>
      <c r="L207" s="6">
        <f>SUM(INDEX(Tabela1[[Boxing - Men''s 51kg]:[Boxing - Women''s 75kg]],MATCH(Table92[[#This Row],[Country]],Tabela1[Country], 0),0))</f>
        <v>0</v>
      </c>
      <c r="M207" s="6">
        <f>SUM(INDEX(Tabela1[[Breaking - Men''s Individual]:[Breaking - Women''s Individual]],MATCH(Table92[[#This Row],[Country]],Tabela1[Country], 0),0))</f>
        <v>0</v>
      </c>
      <c r="N207" s="6">
        <f>SUM(INDEX(Tabela1[[Canoeing - Men''s C1 Slalom]:[Canoeing - Women''s Kayak Cross Slalom]],MATCH(Table92[[#This Row],[Country]],Tabela1[Country], 0),0))</f>
        <v>0</v>
      </c>
      <c r="O207" s="6">
        <f>SUM(INDEX(Tabela1[[Canoeing - Women''s C1 200m]:[Canoeing - Women''s K4 500m]],MATCH(Table92[[#This Row],[Country]],Tabela1[Country], 0),0))</f>
        <v>0</v>
      </c>
      <c r="P207" s="6">
        <f>SUM(INDEX(Tabela1[[Cycling - Men''s BMX Freestyle]:[Cycling - Women''s BMX Freestyle]],MATCH(Table92[[#This Row],[Country]],Tabela1[Country], 0),0))</f>
        <v>0</v>
      </c>
      <c r="Q207" s="6">
        <f>SUM(INDEX(Tabela1[[Cycling - Men''s BMX Racing]:[Cycling - Women''s BMX Racing]],MATCH(Table92[[#This Row],[Country]],Tabela1[Country], 0),0))</f>
        <v>0</v>
      </c>
      <c r="R207" s="6">
        <f>SUM(INDEX(Tabela1[[Cycling - Men''s Cross-Country]:[Cycling - Women''s Cross-Country]],MATCH(Table92[[#This Row],[Country]],Tabela1[Country], 0),0))</f>
        <v>0</v>
      </c>
      <c r="S207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207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207" s="6">
        <f>SUM(INDEX(Tabela1[[Diving - Men''s Springboard]:[Diving - Women''s Synchronized Platform]],MATCH(Table92[[#This Row],[Country]],Tabela1[Country], 0),0))</f>
        <v>0</v>
      </c>
      <c r="V207" s="6">
        <f>SUM(INDEX(Tabela1[[Equestrian - Individual Dressage]:[Equestrian - Team Dressage]],MATCH(Table92[[#This Row],[Country]],Tabela1[Country], 0),0))</f>
        <v>0</v>
      </c>
      <c r="W207" s="6">
        <f>SUM(INDEX(Tabela1[[Equestrian - Individual Eventing]:[Equestrian - Team Eventing]],MATCH(Table92[[#This Row],[Country]],Tabela1[Country], 0),0))</f>
        <v>0</v>
      </c>
      <c r="X207" s="6">
        <f>SUM(INDEX(Tabela1[[Equestrian - Individual Jumping]:[Equestrian - Team Jumping]],MATCH(Table92[[#This Row],[Country]],Tabela1[Country], 0),0))</f>
        <v>0</v>
      </c>
      <c r="Y207" s="6">
        <f>SUM(INDEX(Tabela1[[Fencing - Men''s Épée]:[Fencing - Women''s Team Sabre]],MATCH(Table92[[#This Row],[Country]],Tabela1[Country], 0),0))</f>
        <v>0</v>
      </c>
      <c r="Z207" s="6">
        <f>SUM(INDEX(Tabela1[[Field Hockey - Men''s Tournament]:[Field Hockey - Women''s Tournament]],MATCH(Table92[[#This Row],[Country]],Tabela1[Country], 0),0))</f>
        <v>0</v>
      </c>
      <c r="AA207" s="6">
        <f>SUM(INDEX(Tabela1[[Football - Men''s Tournament]:[Football - Women''s Tournament]],MATCH(Table92[[#This Row],[Country]],Tabela1[Country], 0),0))</f>
        <v>0</v>
      </c>
      <c r="AB207" s="6">
        <f>SUM(INDEX(Tabela1[[Golf - Men''s Individual]:[Golf - Women''s Individual]],MATCH(Table92[[#This Row],[Country]],Tabela1[Country], 0),0))</f>
        <v>0</v>
      </c>
      <c r="AC207" s="6">
        <f>SUM(INDEX(Tabela1[[Handball - Men''s Tournament]:[Handball - Women''s Tournament]],MATCH(Table92[[#This Row],[Country]],Tabela1[Country], 0),0))</f>
        <v>0</v>
      </c>
      <c r="AD207" s="6">
        <f>SUM(INDEX(Tabela1[[Judo - Men''s 60kg]:[Judo - Mixed Team]],MATCH(Table92[[#This Row],[Country]],Tabela1[Country], 0),0))</f>
        <v>0</v>
      </c>
      <c r="AE207" s="6">
        <f>SUM(INDEX(Tabela1[[Swimming - Men''s 10km Open Water]:[Swimming - Women''s 10km Open Water]],MATCH(Table92[[#This Row],[Country]],Tabela1[Country], 0),0))</f>
        <v>0</v>
      </c>
      <c r="AF207" s="6">
        <f>SUM(INDEX(Tabela1[[Modern Pentathlon - Men''s Individual]:[Modern Pentathlon - Women''s Individual]],MATCH(Table92[[#This Row],[Country]],Tabela1[Country], 0),0))</f>
        <v>0</v>
      </c>
      <c r="AG207" s="6">
        <f>SUM(INDEX(Tabela1[[Rhythmic Gymnastics - Women''s Individual All-Around]:[Rhythmic Gymnastics - Women''s Group All-Around]],MATCH(Table92[[#This Row],[Country]],Tabela1[Country], 0),0))</f>
        <v>0</v>
      </c>
      <c r="AH207" s="6">
        <f>SUM(INDEX(Tabela1[[Rowing - Men''s Single Sculls]:[Rowing - Women''s Lwt. Double Sculls]],MATCH(Table92[[#This Row],[Country]],Tabela1[Country], 0),0))</f>
        <v>0</v>
      </c>
      <c r="AI207" s="6">
        <f>SUM(INDEX(Tabela1[[Rugby Sevens - Men''s Tournament]:[Rugby Sevens - Women''s Tournament]],MATCH(Table92[[#This Row],[Country]],Tabela1[Country], 0),0))</f>
        <v>0</v>
      </c>
      <c r="AJ207" s="6">
        <f>SUM(INDEX(Tabela1[[Sailing - Mixed 470]:[Sailing - Mixed Nacra 17]],MATCH(Table92[[#This Row],[Country]],Tabela1[Country], 0),0))</f>
        <v>0</v>
      </c>
      <c r="AK207" s="6">
        <f>SUM(INDEX(Tabela1[[Shooting - Men''s 10m Air Pistol]:[Shooting - Women''s Trap]],MATCH(Table92[[#This Row],[Country]],Tabela1[Country], 0),0))</f>
        <v>0</v>
      </c>
      <c r="AL207" s="6">
        <f>SUM(INDEX(Tabela1[[Skateboarding - Men''s Park]:[Skateboarding - Women''s Street]],MATCH(Table92[[#This Row],[Country]],Tabela1[Country], 0),0))</f>
        <v>0</v>
      </c>
      <c r="AM207" s="6">
        <f>SUM(INDEX(Tabela1[[Sport Climbing - Men''s Boulder and Lead]:[Sport Climbing - Women''s Speed]],MATCH(Table92[[#This Row],[Country]],Tabela1[Country], 0),0))</f>
        <v>0</v>
      </c>
      <c r="AN207" s="6">
        <f>SUM(INDEX(Tabela1[[Surfing - Men''s Shortboard]:[Surfing - Women''s Shortboard]],MATCH(Table92[[#This Row],[Country]],Tabela1[Country], 0),0))</f>
        <v>0</v>
      </c>
      <c r="AO207" s="6">
        <f>SUM(INDEX(Tabela1[[Swimming - Men''s 50m Freestyle]:[Swimming - Mixed 4x100m Medley Relay]],MATCH(Table92[[#This Row],[Country]],Tabela1[Country], 0),0))</f>
        <v>0</v>
      </c>
      <c r="AP207" s="6">
        <f>SUM(INDEX(Tabela1[[Table Tennis - Men''s Singles]:[Table Tennis - Mixed Doubles]],MATCH(Table92[[#This Row],[Country]],Tabela1[Country], 0),0))</f>
        <v>0</v>
      </c>
      <c r="AQ207" s="6">
        <f>SUM(INDEX(Tabela1[[Taekwondo - Men''s 58kg]:[Taekwondo - Women''s +67kg]],MATCH(Table92[[#This Row],[Country]],Tabela1[Country], 0),0))</f>
        <v>0</v>
      </c>
      <c r="AR207" s="6">
        <f>SUM(INDEX(Tabela1[[Tennis - Men''s Singles]:[Tennis - Mixed Doubles]],MATCH(Table92[[#This Row],[Country]],Tabela1[Country], 0),0))</f>
        <v>0</v>
      </c>
      <c r="AS207" s="6">
        <f>SUM(INDEX(Tabela1[[Gymnastics - Men''s Trampoline]:[Gymnastics - Women''s Trampoline]],MATCH(Table92[[#This Row],[Country]],Tabela1[Country], 0),0))</f>
        <v>0</v>
      </c>
      <c r="AT207" s="6">
        <f>SUM(INDEX(Tabela1[[Triathlon - Men''s Individual]:[Triathlon - Mixed Relay]],MATCH(Table92[[#This Row],[Country]],Tabela1[Country], 0),0))</f>
        <v>0</v>
      </c>
      <c r="AU207" s="6">
        <f>SUM(INDEX(Tabela1[[Volleyball - Men''s Tournament]:[Volleyball - Women''s Tournament]],MATCH(Table92[[#This Row],[Country]],Tabela1[Country], 0),0))</f>
        <v>0</v>
      </c>
      <c r="AV207" s="6">
        <f>SUM(INDEX(Tabela1[[Water Polo - Men''s Tournament]:[Water Polo - Women''s Tournament]],MATCH(Table92[[#This Row],[Country]],Tabela1[Country], 0),0))</f>
        <v>0</v>
      </c>
      <c r="AW207" s="6">
        <f>SUM(INDEX(Tabela1[[Weightlifting - Men''s 61kg]:[Weightlifting - Women''s +81kg]],MATCH(Table92[[#This Row],[Country]],Tabela1[Country], 0),0))</f>
        <v>0</v>
      </c>
      <c r="AX207" s="6">
        <f>SUM(INDEX(Tabela1[[Wrestling - Men''s Freestyle 57kg]:[Wrestling - Women''s Freestyle 76kg]],MATCH(Table92[[#This Row],[Country]],Tabela1[Country], 0),0))</f>
        <v>0</v>
      </c>
      <c r="AY207" s="6">
        <f>SUM(INDEX(Tabela1[[Alpine Skiing - Men''s Downhill]:[Alpine Skiing - Women''s Team Combined]],MATCH(Table92[[#This Row],[Country]],Tabela1[Country], 0),0))</f>
        <v>0</v>
      </c>
      <c r="AZ207" s="6">
        <f>SUM(INDEX(Tabela1[[Biathlon - Men''s Individual]:[Biathlon - Mixed Relay]],MATCH(Table92[[#This Row],[Country]],Tabela1[Country], 0),0))</f>
        <v>0</v>
      </c>
      <c r="BA207" s="6">
        <f>SUM(INDEX(Tabela1[[Bobsleigh - Women''s Monobob]:[Bobsleigh - Men''s Four]],MATCH(Table92[[#This Row],[Country]],Tabela1[Country], 0),0))</f>
        <v>0</v>
      </c>
      <c r="BB207" s="6">
        <f>SUM(INDEX(Tabela1[[Cross-country skiing - Men''s Classical]:[Cross-country skiing - Women''s Team Sprint]],MATCH(Table92[[#This Row],[Country]],Tabela1[Country], 0),0))</f>
        <v>0</v>
      </c>
      <c r="BC207" s="6">
        <f>SUM(INDEX(Tabela1[[Curling - Men''s Tournament]:[Curling - Mixed Doubles]],MATCH(Table92[[#This Row],[Country]],Tabela1[Country], 0),0))</f>
        <v>0</v>
      </c>
      <c r="BD207" s="6">
        <f>SUM(INDEX(Tabela1[[Figure Skating - Men''s Singles]:[Figure Skating - Team Event]],MATCH(Table92[[#This Row],[Country]],Tabela1[Country], 0),0))</f>
        <v>0</v>
      </c>
      <c r="BE207" s="6">
        <f>SUM(INDEX(Tabela1[[Freestyle Skiing - Men''s Aerials]:[Freestyle Skiing - Women''s Slopestyle]],MATCH(Table92[[#This Row],[Country]],Tabela1[Country], 0),0))</f>
        <v>0</v>
      </c>
      <c r="BF207" s="6">
        <f>SUM(INDEX(Tabela1[[Ice Hockey - Men''s Tournament]:[Ice Hockey - Women''s Tournament]],MATCH(Table92[[#This Row],[Country]],Tabela1[Country], 0),0))</f>
        <v>0</v>
      </c>
      <c r="BG207" s="6">
        <f>SUM(INDEX(Tabela1[[Luge - Men''s Singles]:[Luge - Mixed Team Relay]],MATCH(Table92[[#This Row],[Country]],Tabela1[Country], 0),0))</f>
        <v>0</v>
      </c>
      <c r="BH207" s="6">
        <f>SUM(INDEX(Tabela1[[Nordic Combined - Men''s Individual]:[Nordic Combined - Men''s Team Sprint Large Hill]],MATCH(Table92[[#This Row],[Country]],Tabela1[Country], 0),0))</f>
        <v>0</v>
      </c>
      <c r="BI207" s="6">
        <f>SUM(INDEX(Tabela1[[Short track speed skating - Men''s 500m]:[Short track speed skating - Mixed 2000m Relay]],MATCH(Table92[[#This Row],[Country]],Tabela1[Country], 0),0))</f>
        <v>0</v>
      </c>
      <c r="BJ207" s="6">
        <f>SUM(INDEX(Tabela1[[Skeleton - Men''s Individual]:[Skeleton - Mixed Team]],MATCH(Table92[[#This Row],[Country]],Tabela1[Country], 0),0))</f>
        <v>0</v>
      </c>
      <c r="BK207" s="6">
        <f>SUM(INDEX(Tabela1[[Ski Jumping - Men''s Individual Large Hill]:[Ski Jumping - Mixed Team Normal Hill]],MATCH(Table92[[#This Row],[Country]],Tabela1[Country], 0),0))</f>
        <v>0</v>
      </c>
      <c r="BL207" s="6">
        <f>SUM(INDEX(Tabela1[[Ski Mountaineering - Men''s Sprint]:[Ski Mountaineering - Mixed Relay]],MATCH(Table92[[#This Row],[Country]],Tabela1[Country], 0),0))</f>
        <v>0</v>
      </c>
      <c r="BM207" s="6">
        <f>SUM(INDEX(Tabela1[[Snowboarding - Men''s Big Air]:[Snowboarding - Mixed Team Snowboard Cross]],MATCH(Table92[[#This Row],[Country]],Tabela1[Country], 0),0))</f>
        <v>0</v>
      </c>
      <c r="BN207" s="6">
        <f>SUM(INDEX(Tabela1[[Speed Skating - Men''s 500m]:[Speed Skating - Women''s Team Pursuit]],MATCH(Table92[[#This Row],[Country]],Tabela1[Country], 0),0))</f>
        <v>0</v>
      </c>
      <c r="BO207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207" s="6">
        <f>SUM(Table92[[#This Row],[Summer Sports]:[Winter Sports]])</f>
        <v>0</v>
      </c>
      <c r="BQ207" s="6">
        <f>COUNTIF(Table92[[#This Row],[Archery Quotas]:[Wrestling Quotas]],"&lt;&gt;0")</f>
        <v>0</v>
      </c>
      <c r="BR207" s="6">
        <f>COUNTIF(Table92[[#This Row],[Alpine Skiing Quotas]:[Speed Skating Quotas]],"&lt;&gt;0")</f>
        <v>0</v>
      </c>
      <c r="BS207" s="4" t="s">
        <v>723</v>
      </c>
    </row>
    <row r="208" spans="1:71" x14ac:dyDescent="0.3">
      <c r="A208" s="6" t="s">
        <v>728</v>
      </c>
      <c r="B208" t="e" vm="207">
        <f>IF(ISBLANK(Table92[[#This Row],[Flag Link]]), "", _xlfn.IMAGE(Table92[[#This Row],[Flag Link]],1,1))</f>
        <v>#VALUE!</v>
      </c>
      <c r="C208" s="6">
        <f>SUM(Table92[[#This Row],[Archery Quotas]:[Speed Skating Quotas]])</f>
        <v>0</v>
      </c>
      <c r="D208" s="6">
        <f>SUM(INDEX(Tabela1[[Archery - Men''s Individual Recurve]:[Archery - Mixed Team Recurve]],MATCH(Table92[[#This Row],[Country]],Tabela1[Country], 0),0))</f>
        <v>0</v>
      </c>
      <c r="E208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208" s="6">
        <f>SUM(INDEX(Tabela1[[Artistic Swimming - Women''s Duet]:[Artistic Swimming - Women''s Team]],MATCH(Table92[[#This Row],[Country]],Tabela1[Country], 0),0))</f>
        <v>0</v>
      </c>
      <c r="G208" s="6">
        <f>SUM(INDEX(Tabela1[[Athletics - Men''s 100m]:[Athletics - Women''s Heptathlon]],MATCH(Table92[[#This Row],[Country]],Tabela1[Country], 0),0))</f>
        <v>0</v>
      </c>
      <c r="H208" s="6">
        <f>SUM(INDEX(Tabela1[[Badminton - Men''s Singles]:[Badminton - Mixed Doubles]],MATCH(Table92[[#This Row],[Country]],Tabela1[Country], 0),0))</f>
        <v>0</v>
      </c>
      <c r="I208" s="6">
        <f>SUM(INDEX(Tabela1[[Basketball - Men''s Tournament]:[Basketball - Women''s Tournament]],MATCH(Table92[[#This Row],[Country]],Tabela1[Country], 0),0))</f>
        <v>0</v>
      </c>
      <c r="J208" s="6">
        <f>SUM(INDEX(Tabela1[[3x3 Basketball - Men''s Tournament]:[3x3 Basketball - Women''s Tournament]],MATCH(Table92[[#This Row],[Country]],Tabela1[Country], 0),0))</f>
        <v>0</v>
      </c>
      <c r="K208" s="6">
        <f>SUM(INDEX(Tabela1[[Beach Volleyball - Men''s Tournament]:[Beach Volleyball - Women''s Tournament]],MATCH(Table92[[#This Row],[Country]],Tabela1[Country], 0),0))</f>
        <v>0</v>
      </c>
      <c r="L208" s="6">
        <f>SUM(INDEX(Tabela1[[Boxing - Men''s 51kg]:[Boxing - Women''s 75kg]],MATCH(Table92[[#This Row],[Country]],Tabela1[Country], 0),0))</f>
        <v>0</v>
      </c>
      <c r="M208" s="6">
        <f>SUM(INDEX(Tabela1[[Breaking - Men''s Individual]:[Breaking - Women''s Individual]],MATCH(Table92[[#This Row],[Country]],Tabela1[Country], 0),0))</f>
        <v>0</v>
      </c>
      <c r="N208" s="6">
        <f>SUM(INDEX(Tabela1[[Canoeing - Men''s C1 Slalom]:[Canoeing - Women''s Kayak Cross Slalom]],MATCH(Table92[[#This Row],[Country]],Tabela1[Country], 0),0))</f>
        <v>0</v>
      </c>
      <c r="O208" s="6">
        <f>SUM(INDEX(Tabela1[[Canoeing - Women''s C1 200m]:[Canoeing - Women''s K4 500m]],MATCH(Table92[[#This Row],[Country]],Tabela1[Country], 0),0))</f>
        <v>0</v>
      </c>
      <c r="P208" s="6">
        <f>SUM(INDEX(Tabela1[[Cycling - Men''s BMX Freestyle]:[Cycling - Women''s BMX Freestyle]],MATCH(Table92[[#This Row],[Country]],Tabela1[Country], 0),0))</f>
        <v>0</v>
      </c>
      <c r="Q208" s="6">
        <f>SUM(INDEX(Tabela1[[Cycling - Men''s BMX Racing]:[Cycling - Women''s BMX Racing]],MATCH(Table92[[#This Row],[Country]],Tabela1[Country], 0),0))</f>
        <v>0</v>
      </c>
      <c r="R208" s="6">
        <f>SUM(INDEX(Tabela1[[Cycling - Men''s Cross-Country]:[Cycling - Women''s Cross-Country]],MATCH(Table92[[#This Row],[Country]],Tabela1[Country], 0),0))</f>
        <v>0</v>
      </c>
      <c r="S208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208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208" s="6">
        <f>SUM(INDEX(Tabela1[[Diving - Men''s Springboard]:[Diving - Women''s Synchronized Platform]],MATCH(Table92[[#This Row],[Country]],Tabela1[Country], 0),0))</f>
        <v>0</v>
      </c>
      <c r="V208" s="6">
        <f>SUM(INDEX(Tabela1[[Equestrian - Individual Dressage]:[Equestrian - Team Dressage]],MATCH(Table92[[#This Row],[Country]],Tabela1[Country], 0),0))</f>
        <v>0</v>
      </c>
      <c r="W208" s="6">
        <f>SUM(INDEX(Tabela1[[Equestrian - Individual Eventing]:[Equestrian - Team Eventing]],MATCH(Table92[[#This Row],[Country]],Tabela1[Country], 0),0))</f>
        <v>0</v>
      </c>
      <c r="X208" s="6">
        <f>SUM(INDEX(Tabela1[[Equestrian - Individual Jumping]:[Equestrian - Team Jumping]],MATCH(Table92[[#This Row],[Country]],Tabela1[Country], 0),0))</f>
        <v>0</v>
      </c>
      <c r="Y208" s="6">
        <f>SUM(INDEX(Tabela1[[Fencing - Men''s Épée]:[Fencing - Women''s Team Sabre]],MATCH(Table92[[#This Row],[Country]],Tabela1[Country], 0),0))</f>
        <v>0</v>
      </c>
      <c r="Z208" s="6">
        <f>SUM(INDEX(Tabela1[[Field Hockey - Men''s Tournament]:[Field Hockey - Women''s Tournament]],MATCH(Table92[[#This Row],[Country]],Tabela1[Country], 0),0))</f>
        <v>0</v>
      </c>
      <c r="AA208" s="6">
        <f>SUM(INDEX(Tabela1[[Football - Men''s Tournament]:[Football - Women''s Tournament]],MATCH(Table92[[#This Row],[Country]],Tabela1[Country], 0),0))</f>
        <v>0</v>
      </c>
      <c r="AB208" s="6">
        <f>SUM(INDEX(Tabela1[[Golf - Men''s Individual]:[Golf - Women''s Individual]],MATCH(Table92[[#This Row],[Country]],Tabela1[Country], 0),0))</f>
        <v>0</v>
      </c>
      <c r="AC208" s="6">
        <f>SUM(INDEX(Tabela1[[Handball - Men''s Tournament]:[Handball - Women''s Tournament]],MATCH(Table92[[#This Row],[Country]],Tabela1[Country], 0),0))</f>
        <v>0</v>
      </c>
      <c r="AD208" s="6">
        <f>SUM(INDEX(Tabela1[[Judo - Men''s 60kg]:[Judo - Mixed Team]],MATCH(Table92[[#This Row],[Country]],Tabela1[Country], 0),0))</f>
        <v>0</v>
      </c>
      <c r="AE208" s="6">
        <f>SUM(INDEX(Tabela1[[Swimming - Men''s 10km Open Water]:[Swimming - Women''s 10km Open Water]],MATCH(Table92[[#This Row],[Country]],Tabela1[Country], 0),0))</f>
        <v>0</v>
      </c>
      <c r="AF208" s="6">
        <f>SUM(INDEX(Tabela1[[Modern Pentathlon - Men''s Individual]:[Modern Pentathlon - Women''s Individual]],MATCH(Table92[[#This Row],[Country]],Tabela1[Country], 0),0))</f>
        <v>0</v>
      </c>
      <c r="AG208" s="6">
        <f>SUM(INDEX(Tabela1[[Rhythmic Gymnastics - Women''s Individual All-Around]:[Rhythmic Gymnastics - Women''s Group All-Around]],MATCH(Table92[[#This Row],[Country]],Tabela1[Country], 0),0))</f>
        <v>0</v>
      </c>
      <c r="AH208" s="6">
        <f>SUM(INDEX(Tabela1[[Rowing - Men''s Single Sculls]:[Rowing - Women''s Lwt. Double Sculls]],MATCH(Table92[[#This Row],[Country]],Tabela1[Country], 0),0))</f>
        <v>0</v>
      </c>
      <c r="AI208" s="6">
        <f>SUM(INDEX(Tabela1[[Rugby Sevens - Men''s Tournament]:[Rugby Sevens - Women''s Tournament]],MATCH(Table92[[#This Row],[Country]],Tabela1[Country], 0),0))</f>
        <v>0</v>
      </c>
      <c r="AJ208" s="6">
        <f>SUM(INDEX(Tabela1[[Sailing - Mixed 470]:[Sailing - Mixed Nacra 17]],MATCH(Table92[[#This Row],[Country]],Tabela1[Country], 0),0))</f>
        <v>0</v>
      </c>
      <c r="AK208" s="6">
        <f>SUM(INDEX(Tabela1[[Shooting - Men''s 10m Air Pistol]:[Shooting - Women''s Trap]],MATCH(Table92[[#This Row],[Country]],Tabela1[Country], 0),0))</f>
        <v>0</v>
      </c>
      <c r="AL208" s="6">
        <f>SUM(INDEX(Tabela1[[Skateboarding - Men''s Park]:[Skateboarding - Women''s Street]],MATCH(Table92[[#This Row],[Country]],Tabela1[Country], 0),0))</f>
        <v>0</v>
      </c>
      <c r="AM208" s="6">
        <f>SUM(INDEX(Tabela1[[Sport Climbing - Men''s Boulder and Lead]:[Sport Climbing - Women''s Speed]],MATCH(Table92[[#This Row],[Country]],Tabela1[Country], 0),0))</f>
        <v>0</v>
      </c>
      <c r="AN208" s="6">
        <f>SUM(INDEX(Tabela1[[Surfing - Men''s Shortboard]:[Surfing - Women''s Shortboard]],MATCH(Table92[[#This Row],[Country]],Tabela1[Country], 0),0))</f>
        <v>0</v>
      </c>
      <c r="AO208" s="6">
        <f>SUM(INDEX(Tabela1[[Swimming - Men''s 50m Freestyle]:[Swimming - Mixed 4x100m Medley Relay]],MATCH(Table92[[#This Row],[Country]],Tabela1[Country], 0),0))</f>
        <v>0</v>
      </c>
      <c r="AP208" s="6">
        <f>SUM(INDEX(Tabela1[[Table Tennis - Men''s Singles]:[Table Tennis - Mixed Doubles]],MATCH(Table92[[#This Row],[Country]],Tabela1[Country], 0),0))</f>
        <v>0</v>
      </c>
      <c r="AQ208" s="6">
        <f>SUM(INDEX(Tabela1[[Taekwondo - Men''s 58kg]:[Taekwondo - Women''s +67kg]],MATCH(Table92[[#This Row],[Country]],Tabela1[Country], 0),0))</f>
        <v>0</v>
      </c>
      <c r="AR208" s="6">
        <f>SUM(INDEX(Tabela1[[Tennis - Men''s Singles]:[Tennis - Mixed Doubles]],MATCH(Table92[[#This Row],[Country]],Tabela1[Country], 0),0))</f>
        <v>0</v>
      </c>
      <c r="AS208" s="6">
        <f>SUM(INDEX(Tabela1[[Gymnastics - Men''s Trampoline]:[Gymnastics - Women''s Trampoline]],MATCH(Table92[[#This Row],[Country]],Tabela1[Country], 0),0))</f>
        <v>0</v>
      </c>
      <c r="AT208" s="6">
        <f>SUM(INDEX(Tabela1[[Triathlon - Men''s Individual]:[Triathlon - Mixed Relay]],MATCH(Table92[[#This Row],[Country]],Tabela1[Country], 0),0))</f>
        <v>0</v>
      </c>
      <c r="AU208" s="6">
        <f>SUM(INDEX(Tabela1[[Volleyball - Men''s Tournament]:[Volleyball - Women''s Tournament]],MATCH(Table92[[#This Row],[Country]],Tabela1[Country], 0),0))</f>
        <v>0</v>
      </c>
      <c r="AV208" s="6">
        <f>SUM(INDEX(Tabela1[[Water Polo - Men''s Tournament]:[Water Polo - Women''s Tournament]],MATCH(Table92[[#This Row],[Country]],Tabela1[Country], 0),0))</f>
        <v>0</v>
      </c>
      <c r="AW208" s="6">
        <f>SUM(INDEX(Tabela1[[Weightlifting - Men''s 61kg]:[Weightlifting - Women''s +81kg]],MATCH(Table92[[#This Row],[Country]],Tabela1[Country], 0),0))</f>
        <v>0</v>
      </c>
      <c r="AX208" s="6">
        <f>SUM(INDEX(Tabela1[[Wrestling - Men''s Freestyle 57kg]:[Wrestling - Women''s Freestyle 76kg]],MATCH(Table92[[#This Row],[Country]],Tabela1[Country], 0),0))</f>
        <v>0</v>
      </c>
      <c r="AY208" s="6">
        <f>SUM(INDEX(Tabela1[[Alpine Skiing - Men''s Downhill]:[Alpine Skiing - Women''s Team Combined]],MATCH(Table92[[#This Row],[Country]],Tabela1[Country], 0),0))</f>
        <v>0</v>
      </c>
      <c r="AZ208" s="6">
        <f>SUM(INDEX(Tabela1[[Biathlon - Men''s Individual]:[Biathlon - Mixed Relay]],MATCH(Table92[[#This Row],[Country]],Tabela1[Country], 0),0))</f>
        <v>0</v>
      </c>
      <c r="BA208" s="6">
        <f>SUM(INDEX(Tabela1[[Bobsleigh - Women''s Monobob]:[Bobsleigh - Men''s Four]],MATCH(Table92[[#This Row],[Country]],Tabela1[Country], 0),0))</f>
        <v>0</v>
      </c>
      <c r="BB208" s="6">
        <f>SUM(INDEX(Tabela1[[Cross-country skiing - Men''s Classical]:[Cross-country skiing - Women''s Team Sprint]],MATCH(Table92[[#This Row],[Country]],Tabela1[Country], 0),0))</f>
        <v>0</v>
      </c>
      <c r="BC208" s="6">
        <f>SUM(INDEX(Tabela1[[Curling - Men''s Tournament]:[Curling - Mixed Doubles]],MATCH(Table92[[#This Row],[Country]],Tabela1[Country], 0),0))</f>
        <v>0</v>
      </c>
      <c r="BD208" s="6">
        <f>SUM(INDEX(Tabela1[[Figure Skating - Men''s Singles]:[Figure Skating - Team Event]],MATCH(Table92[[#This Row],[Country]],Tabela1[Country], 0),0))</f>
        <v>0</v>
      </c>
      <c r="BE208" s="6">
        <f>SUM(INDEX(Tabela1[[Freestyle Skiing - Men''s Aerials]:[Freestyle Skiing - Women''s Slopestyle]],MATCH(Table92[[#This Row],[Country]],Tabela1[Country], 0),0))</f>
        <v>0</v>
      </c>
      <c r="BF208" s="6">
        <f>SUM(INDEX(Tabela1[[Ice Hockey - Men''s Tournament]:[Ice Hockey - Women''s Tournament]],MATCH(Table92[[#This Row],[Country]],Tabela1[Country], 0),0))</f>
        <v>0</v>
      </c>
      <c r="BG208" s="6">
        <f>SUM(INDEX(Tabela1[[Luge - Men''s Singles]:[Luge - Mixed Team Relay]],MATCH(Table92[[#This Row],[Country]],Tabela1[Country], 0),0))</f>
        <v>0</v>
      </c>
      <c r="BH208" s="6">
        <f>SUM(INDEX(Tabela1[[Nordic Combined - Men''s Individual]:[Nordic Combined - Men''s Team Sprint Large Hill]],MATCH(Table92[[#This Row],[Country]],Tabela1[Country], 0),0))</f>
        <v>0</v>
      </c>
      <c r="BI208" s="6">
        <f>SUM(INDEX(Tabela1[[Short track speed skating - Men''s 500m]:[Short track speed skating - Mixed 2000m Relay]],MATCH(Table92[[#This Row],[Country]],Tabela1[Country], 0),0))</f>
        <v>0</v>
      </c>
      <c r="BJ208" s="6">
        <f>SUM(INDEX(Tabela1[[Skeleton - Men''s Individual]:[Skeleton - Mixed Team]],MATCH(Table92[[#This Row],[Country]],Tabela1[Country], 0),0))</f>
        <v>0</v>
      </c>
      <c r="BK208" s="6">
        <f>SUM(INDEX(Tabela1[[Ski Jumping - Men''s Individual Large Hill]:[Ski Jumping - Mixed Team Normal Hill]],MATCH(Table92[[#This Row],[Country]],Tabela1[Country], 0),0))</f>
        <v>0</v>
      </c>
      <c r="BL208" s="6">
        <f>SUM(INDEX(Tabela1[[Ski Mountaineering - Men''s Sprint]:[Ski Mountaineering - Mixed Relay]],MATCH(Table92[[#This Row],[Country]],Tabela1[Country], 0),0))</f>
        <v>0</v>
      </c>
      <c r="BM208" s="6">
        <f>SUM(INDEX(Tabela1[[Snowboarding - Men''s Big Air]:[Snowboarding - Mixed Team Snowboard Cross]],MATCH(Table92[[#This Row],[Country]],Tabela1[Country], 0),0))</f>
        <v>0</v>
      </c>
      <c r="BN208" s="6">
        <f>SUM(INDEX(Tabela1[[Speed Skating - Men''s 500m]:[Speed Skating - Women''s Team Pursuit]],MATCH(Table92[[#This Row],[Country]],Tabela1[Country], 0),0))</f>
        <v>0</v>
      </c>
      <c r="BO208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208" s="6">
        <f>SUM(Table92[[#This Row],[Summer Sports]:[Winter Sports]])</f>
        <v>0</v>
      </c>
      <c r="BQ208" s="6">
        <f>COUNTIF(Table92[[#This Row],[Archery Quotas]:[Wrestling Quotas]],"&lt;&gt;0")</f>
        <v>0</v>
      </c>
      <c r="BR208" s="6">
        <f>COUNTIF(Table92[[#This Row],[Alpine Skiing Quotas]:[Speed Skating Quotas]],"&lt;&gt;0")</f>
        <v>0</v>
      </c>
      <c r="BS208" s="3" t="s">
        <v>729</v>
      </c>
    </row>
    <row r="210" spans="3:66" x14ac:dyDescent="0.3">
      <c r="C210" s="6">
        <f>SUM(Table92[Total Quotas])</f>
        <v>4614</v>
      </c>
      <c r="D210" s="6">
        <f>SUM(Table92[Archery Quotas])</f>
        <v>78</v>
      </c>
      <c r="E210" s="6">
        <f>SUM(Table92[Artistic Gymnastics Quotas])</f>
        <v>197</v>
      </c>
      <c r="F210" s="6">
        <f>SUM(Table92[Artistic Swimming Quotas])</f>
        <v>16</v>
      </c>
      <c r="G210" s="6">
        <f>SUM(Table92[Athletics Quotas])</f>
        <v>583</v>
      </c>
      <c r="H210" s="6">
        <f>SUM(Table92[Badminton Quotas])</f>
        <v>40</v>
      </c>
      <c r="I210" s="6">
        <f>SUM(Table92[Basketball Quotas])</f>
        <v>22</v>
      </c>
      <c r="J210" s="6">
        <f>SUM(Table92[Basketball 3x3 Quotas])</f>
        <v>10</v>
      </c>
      <c r="K210" s="6">
        <f>SUM(Table92[Beach Volleyball Quotas])</f>
        <v>26</v>
      </c>
      <c r="L210" s="6">
        <f>SUM(Table92[Boxing Quotas])</f>
        <v>90</v>
      </c>
      <c r="M210" s="6">
        <f>SUM(Table92[Breaking Quotas])</f>
        <v>8</v>
      </c>
      <c r="N210" s="6">
        <f>SUM(Table92[Canoeing Slalom Quotas])</f>
        <v>65</v>
      </c>
      <c r="O210" s="6">
        <f>SUM(Table92[Canoeing Sprint Quotas])</f>
        <v>53</v>
      </c>
      <c r="P210" s="6">
        <f>SUM(Table92[Cycling BMX Freestyle Quotas])</f>
        <v>8</v>
      </c>
      <c r="Q210" s="6">
        <f>SUM(Table92[Cycling BMX Racing Quotas])</f>
        <v>18</v>
      </c>
      <c r="R210" s="6">
        <f>SUM(Table92[Cycling Mountain Bike Quotas])</f>
        <v>20</v>
      </c>
      <c r="S210" s="6">
        <f>SUM(Table92[Cycling Road Quotas])</f>
        <v>81</v>
      </c>
      <c r="T210" s="6">
        <f>SUM(Table92[Cycling Track Quotas])</f>
        <v>85</v>
      </c>
      <c r="U210" s="6">
        <f>SUM(Table92[Diving Quotas])</f>
        <v>52</v>
      </c>
      <c r="V210" s="6">
        <f>SUM(Table92[Equestrian Dressage Quotas])</f>
        <v>25</v>
      </c>
      <c r="W210" s="6">
        <f>SUM(Table92[Equestrian Eventing Quotas])</f>
        <v>39</v>
      </c>
      <c r="X210" s="6">
        <f>SUM(Table92[Equestrian Jumping Quotas])</f>
        <v>40</v>
      </c>
      <c r="Y210" s="6">
        <f>SUM(Table92[Fencing Quotas])</f>
        <v>108</v>
      </c>
      <c r="Z210" s="6">
        <f>SUM(Table92[Field Hockey Quotas])</f>
        <v>20</v>
      </c>
      <c r="AA210" s="6">
        <f>SUM(Table92[Football Quotas])</f>
        <v>28</v>
      </c>
      <c r="AB210" s="6">
        <f>SUM(Table92[Golf Quotas])</f>
        <v>41</v>
      </c>
      <c r="AC210" s="6">
        <f>SUM(Table92[Handball Quotas])</f>
        <v>21</v>
      </c>
      <c r="AD210" s="6">
        <f>SUM(Table92[Judo Quotas])</f>
        <v>116</v>
      </c>
      <c r="AE210" s="6">
        <f>SUM(Table92[Marathon Swimming Quotas])</f>
        <v>18</v>
      </c>
      <c r="AF210" s="6">
        <f>SUM(Table92[Modern Pentathlon Quotas])</f>
        <v>21</v>
      </c>
      <c r="AG210" s="6">
        <f>SUM(Table92[Rhytmic Gymnastics Quotas])</f>
        <v>19</v>
      </c>
      <c r="AH210" s="6">
        <f>SUM(Table92[Rowing Quotas])</f>
        <v>100</v>
      </c>
      <c r="AI210" s="6">
        <f>SUM(Table92[Rugby Sevens Quotas])</f>
        <v>20</v>
      </c>
      <c r="AJ210" s="6">
        <f>SUM(Table92[Sailing Quotas])</f>
        <v>93</v>
      </c>
      <c r="AK210" s="6">
        <f>SUM(Table92[Shooting Quotas])</f>
        <v>130</v>
      </c>
      <c r="AL210" s="6">
        <f>SUM(Table92[Skateboarding Quotas])</f>
        <v>46</v>
      </c>
      <c r="AM210" s="6">
        <f>SUM(Table92[Sport Climbing Quotas])</f>
        <v>16</v>
      </c>
      <c r="AN210" s="6">
        <f>SUM(Table92[Surfing Quotas])</f>
        <v>19</v>
      </c>
      <c r="AO210" s="6">
        <f>SUM(Table92[Swimming Quotas])</f>
        <v>340</v>
      </c>
      <c r="AP210" s="6">
        <f>SUM(Table92[Table Tennis Quotas])</f>
        <v>90</v>
      </c>
      <c r="AQ210" s="6">
        <f>SUM(Table92[Taekwondo Quotas])</f>
        <v>47</v>
      </c>
      <c r="AR210" s="6">
        <f>SUM(Table92[Tennis Quotas])</f>
        <v>98</v>
      </c>
      <c r="AS210" s="6">
        <f>SUM(Table92[Trampolining Quotas])</f>
        <v>10</v>
      </c>
      <c r="AT210" s="6">
        <f>SUM(Table92[Triathlon Quotas])</f>
        <v>50</v>
      </c>
      <c r="AU210" s="6">
        <f>SUM(Table92[Volleyball Quotas])</f>
        <v>24</v>
      </c>
      <c r="AV210" s="6">
        <f>SUM(Table92[Water Polo Quotas])</f>
        <v>19</v>
      </c>
      <c r="AW210" s="6">
        <f>SUM(Table92[Weightlifting Quotas])</f>
        <v>30</v>
      </c>
      <c r="AX210" s="6">
        <f>SUM(Table92[Wrestling Quotas])</f>
        <v>77</v>
      </c>
      <c r="AY210" s="6">
        <f>SUM(Table92[Alpine Skiing Quotas])</f>
        <v>215</v>
      </c>
      <c r="AZ210" s="6">
        <f>SUM(Table92[Biathlon Quotas])</f>
        <v>220</v>
      </c>
      <c r="BA210" s="6">
        <f>SUM(Table92[Bobsleigh Quotas])</f>
        <v>49</v>
      </c>
      <c r="BB210" s="6">
        <f>SUM(Table92[Cross Country Skiing Quotas])</f>
        <v>276</v>
      </c>
      <c r="BC210" s="6">
        <f>SUM(Table92[Curling Quotas])</f>
        <v>18</v>
      </c>
      <c r="BD210" s="6">
        <f>SUM(Table92[Figure Skating Quotas])</f>
        <v>33</v>
      </c>
      <c r="BE210" s="6">
        <f>SUM(Table92[Freestyle Skiing Quotas])</f>
        <v>175</v>
      </c>
      <c r="BF210" s="6">
        <f>SUM(Table92[Ice Hockey Quotas])</f>
        <v>22</v>
      </c>
      <c r="BG210" s="6">
        <f>SUM(Table92[Luge Quotas])</f>
        <v>45</v>
      </c>
      <c r="BH210" s="6">
        <f>SUM(Table92[Nordic Combined Quotas])</f>
        <v>37</v>
      </c>
      <c r="BI210" s="6">
        <f>SUM(Table92[Short Track Speed Skating Quotas])</f>
        <v>65</v>
      </c>
      <c r="BJ210" s="6">
        <f>SUM(Table92[Skeleton Quotas])</f>
        <v>21</v>
      </c>
      <c r="BK210" s="6">
        <f>SUM(Table92[Ski Jumping Quotas])</f>
        <v>73</v>
      </c>
      <c r="BL210" s="6">
        <f>SUM(Table92[Ski Mountaineering Quotas])</f>
        <v>15</v>
      </c>
      <c r="BM210" s="6">
        <f>SUM(Table92[Snowboarding Quotas])</f>
        <v>92</v>
      </c>
      <c r="BN210" s="6">
        <f>SUM(Table92[Speed Skating Quotas])</f>
        <v>101</v>
      </c>
    </row>
    <row r="211" spans="3:66" x14ac:dyDescent="0.3"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  <c r="BA211" s="6"/>
      <c r="BB211" s="6"/>
      <c r="BC211" s="6"/>
      <c r="BD211" s="6"/>
      <c r="BE211" s="6"/>
      <c r="BF211" s="6"/>
      <c r="BG211" s="6"/>
      <c r="BH211" s="6"/>
      <c r="BI211" s="6"/>
      <c r="BJ211" s="6"/>
      <c r="BK211" s="6"/>
      <c r="BL211" s="6"/>
      <c r="BM211" s="6"/>
      <c r="BN211" s="6"/>
    </row>
    <row r="212" spans="3:66" x14ac:dyDescent="0.3">
      <c r="C212" s="6"/>
      <c r="D212" s="6">
        <f>COUNTIF(Table92[Archery Quotas],"&gt;0")</f>
        <v>23</v>
      </c>
      <c r="E212" s="6">
        <f>COUNTIF(Table92[Artistic Gymnastics Quotas],"&gt;0")</f>
        <v>26</v>
      </c>
      <c r="F212" s="6">
        <f>COUNTIF(Table92[Artistic Swimming Quotas],"&gt;0")</f>
        <v>11</v>
      </c>
      <c r="G212" s="6">
        <f>COUNTIF(Table92[Athletics Quotas],"&gt;0")</f>
        <v>87</v>
      </c>
      <c r="H212" s="6">
        <f>COUNTIF(Table92[Badminton Quotas],"&gt;0")</f>
        <v>24</v>
      </c>
      <c r="I212" s="6">
        <f>COUNTIF(Table92[Basketball Quotas],"&gt;0")</f>
        <v>14</v>
      </c>
      <c r="J212" s="6">
        <f>COUNTIF(Table92[Basketball 3x3 Quotas],"&gt;0")</f>
        <v>9</v>
      </c>
      <c r="K212" s="6">
        <f>COUNTIF(Table92[Beach Volleyball Quotas],"&gt;0")</f>
        <v>17</v>
      </c>
      <c r="L212" s="6">
        <f>COUNTIF(Table92[Boxing Quotas],"&gt;0")</f>
        <v>45</v>
      </c>
      <c r="M212" s="6">
        <f>COUNTIF(Table92[Breaking Quotas],"&gt;0")</f>
        <v>7</v>
      </c>
      <c r="N212" s="6">
        <f>COUNTIF(Table92[Canoeing Slalom Quotas],"&gt;0")</f>
        <v>21</v>
      </c>
      <c r="O212" s="6">
        <f>COUNTIF(Table92[Canoeing Sprint Quotas],"&gt;0")</f>
        <v>19</v>
      </c>
      <c r="P212" s="6">
        <f>COUNTIF(Table92[Cycling BMX Freestyle Quotas],"&gt;0")</f>
        <v>7</v>
      </c>
      <c r="Q212" s="6">
        <f>COUNTIF(Table92[Cycling BMX Racing Quotas],"&gt;0")</f>
        <v>12</v>
      </c>
      <c r="R212" s="6">
        <f>COUNTIF(Table92[Cycling Mountain Bike Quotas],"&gt;0")</f>
        <v>14</v>
      </c>
      <c r="S212" s="6">
        <f>COUNTIF(Table92[Cycling Road Quotas],"&gt;0")</f>
        <v>40</v>
      </c>
      <c r="T212" s="6">
        <f>COUNTIF(Table92[Cycling Track Quotas],"&gt;0")</f>
        <v>24</v>
      </c>
      <c r="U212" s="6">
        <f>COUNTIF(Table92[Diving Quotas],"&gt;0")</f>
        <v>17</v>
      </c>
      <c r="V212" s="6">
        <f>COUNTIF(Table92[Equestrian Dressage Quotas],"&gt;0")</f>
        <v>12</v>
      </c>
      <c r="W212" s="6">
        <f>COUNTIF(Table92[Equestrian Eventing Quotas],"&gt;0")</f>
        <v>19</v>
      </c>
      <c r="X212" s="6">
        <f>COUNTIF(Table92[Equestrian Jumping Quotas],"&gt;0")</f>
        <v>21</v>
      </c>
      <c r="Y212" s="6">
        <f>COUNTIF(Table92[Fencing Quotas],"&gt;0")</f>
        <v>24</v>
      </c>
      <c r="Z212" s="6">
        <f>COUNTIF(Table92[Field Hockey Quotas],"&gt;0")</f>
        <v>13</v>
      </c>
      <c r="AA212" s="6">
        <f>COUNTIF(Table92[Football Quotas],"&gt;0")</f>
        <v>23</v>
      </c>
      <c r="AB212" s="6">
        <f>COUNTIF(Table92[Golf Quotas],"&gt;0")</f>
        <v>21</v>
      </c>
      <c r="AC212" s="6">
        <f>COUNTIF(Table92[Handball Quotas],"&gt;0")</f>
        <v>14</v>
      </c>
      <c r="AD212" s="6">
        <f>COUNTIF(Table92[Judo Quotas],"&gt;0")</f>
        <v>57</v>
      </c>
      <c r="AE212" s="6">
        <f>COUNTIF(Table92[Marathon Swimming Quotas],"&gt;0")</f>
        <v>15</v>
      </c>
      <c r="AF212" s="6">
        <f>COUNTIF(Table92[Modern Pentathlon Quotas],"&gt;0")</f>
        <v>15</v>
      </c>
      <c r="AG212" s="6">
        <f>COUNTIF(Table92[Rhytmic Gymnastics Quotas],"&gt;0")</f>
        <v>13</v>
      </c>
      <c r="AH212" s="6">
        <f>COUNTIF(Table92[Rowing Quotas],"&gt;0")</f>
        <v>38</v>
      </c>
      <c r="AI212" s="6">
        <f>COUNTIF(Table92[Rugby Sevens Quotas],"&gt;0")</f>
        <v>14</v>
      </c>
      <c r="AJ212" s="6">
        <f>COUNTIF(Table92[Sailing Quotas],"&gt;0")</f>
        <v>38</v>
      </c>
      <c r="AK212" s="6">
        <f>COUNTIF(Table92[Shooting Quotas],"&gt;0")</f>
        <v>42</v>
      </c>
      <c r="AL212" s="6">
        <f>COUNTIF(Table92[Skateboarding Quotas],"&gt;0")</f>
        <v>15</v>
      </c>
      <c r="AM212" s="6">
        <f>COUNTIF(Table92[Sport Climbing Quotas],"&gt;0")</f>
        <v>10</v>
      </c>
      <c r="AN212" s="6">
        <f>COUNTIF(Table92[Surfing Quotas],"&gt;0")</f>
        <v>10</v>
      </c>
      <c r="AO212" s="6">
        <f>COUNTIF(Table92[Swimming Quotas],"&gt;0")</f>
        <v>72</v>
      </c>
      <c r="AP212" s="6">
        <f>COUNTIF(Table92[Table Tennis Quotas],"&gt;0")</f>
        <v>36</v>
      </c>
      <c r="AQ212" s="6">
        <f>COUNTIF(Table92[Taekwondo Quotas],"&gt;0")</f>
        <v>34</v>
      </c>
      <c r="AR212" s="6">
        <f>COUNTIF(Table92[Tennis Quotas],"&gt;0")</f>
        <v>30</v>
      </c>
      <c r="AS212" s="6">
        <f>COUNTIF(Table92[Trampolining Quotas],"&gt;0")</f>
        <v>7</v>
      </c>
      <c r="AT212" s="6">
        <f>COUNTIF(Table92[Triathlon Quotas],"&gt;0")</f>
        <v>23</v>
      </c>
      <c r="AU212" s="6">
        <f>COUNTIF(Table92[Volleyball Quotas],"&gt;0")</f>
        <v>17</v>
      </c>
      <c r="AV212" s="6">
        <f>COUNTIF(Table92[Water Polo Quotas],"&gt;0")</f>
        <v>12</v>
      </c>
      <c r="AW212" s="6">
        <f>COUNTIF(Table92[Weightlifting Quotas],"&gt;0")</f>
        <v>18</v>
      </c>
      <c r="AX212" s="6">
        <f>COUNTIF(Table92[Wrestling Quotas],"&gt;0")</f>
        <v>33</v>
      </c>
      <c r="AY212" s="6">
        <f>COUNTIF(Table92[Alpine Skiing Quotas],"&gt;0")</f>
        <v>43</v>
      </c>
      <c r="AZ212" s="6">
        <f>COUNTIF(Table92[Biathlon Quotas],"&gt;0")</f>
        <v>23</v>
      </c>
      <c r="BA212" s="6">
        <f>COUNTIF(Table92[Bobsleigh Quotas],"&gt;0")</f>
        <v>16</v>
      </c>
      <c r="BB212" s="6">
        <f>COUNTIF(Table92[Cross Country Skiing Quotas],"&gt;0")</f>
        <v>40</v>
      </c>
      <c r="BC212" s="6">
        <f>COUNTIF(Table92[Curling Quotas],"&gt;0")</f>
        <v>9</v>
      </c>
      <c r="BD212" s="6">
        <f>COUNTIF(Table92[Figure Skating Quotas],"&gt;0")</f>
        <v>15</v>
      </c>
      <c r="BE212" s="6">
        <f>COUNTIF(Table92[Freestyle Skiing Quotas],"&gt;0")</f>
        <v>20</v>
      </c>
      <c r="BF212" s="6">
        <f>COUNTIF(Table92[Ice Hockey Quotas],"&gt;0")</f>
        <v>13</v>
      </c>
      <c r="BG212" s="6">
        <f>COUNTIF(Table92[Luge Quotas],"&gt;0")</f>
        <v>10</v>
      </c>
      <c r="BH212" s="6">
        <f>COUNTIF(Table92[Nordic Combined Quotas],"&gt;0")</f>
        <v>7</v>
      </c>
      <c r="BI212" s="6">
        <f>COUNTIF(Table92[Short Track Speed Skating Quotas],"&gt;0")</f>
        <v>14</v>
      </c>
      <c r="BJ212" s="6">
        <f>COUNTIF(Table92[Skeleton Quotas],"&gt;0")</f>
        <v>9</v>
      </c>
      <c r="BK212" s="6">
        <f>COUNTIF(Table92[Ski Jumping Quotas],"&gt;0")</f>
        <v>13</v>
      </c>
      <c r="BL212" s="6">
        <f>COUNTIF(Table92[Ski Mountaineering Quotas],"&gt;0")</f>
        <v>6</v>
      </c>
      <c r="BM212" s="6">
        <f>COUNTIF(Table92[Snowboarding Quotas],"&gt;0")</f>
        <v>16</v>
      </c>
      <c r="BN212" s="6">
        <f>COUNTIF(Table92[Speed Skating Quotas],"&gt;0")</f>
        <v>14</v>
      </c>
    </row>
  </sheetData>
  <hyperlinks>
    <hyperlink ref="BS75" r:id="rId1" xr:uid="{421B4662-651F-4610-A50C-2B110C96819F}"/>
    <hyperlink ref="BS8" r:id="rId2" xr:uid="{55EB0D2C-6E60-4AC8-A6DA-5BA2A70B4C70}"/>
    <hyperlink ref="BS171" r:id="rId3" xr:uid="{D200DC44-C117-4A89-98C3-9F7FA2E99374}"/>
    <hyperlink ref="BS23" r:id="rId4" xr:uid="{9484097D-91B0-4662-B680-0EDD4DC6D2F0}"/>
    <hyperlink ref="BS19" r:id="rId5" xr:uid="{05E939D3-E03F-4333-8557-EEDEE9D20104}"/>
    <hyperlink ref="BS7" r:id="rId6" xr:uid="{7154DD1E-F7BC-4A79-B969-98B573D6A12D}"/>
    <hyperlink ref="BS44" r:id="rId7" xr:uid="{05076433-3C11-4F1D-B149-D9F7DCC149F7}"/>
    <hyperlink ref="BS11" r:id="rId8" xr:uid="{471645D5-BAFC-48E5-BD7A-268C509271A3}"/>
    <hyperlink ref="BS2" r:id="rId9" xr:uid="{C13D1C0D-5E6C-4610-9355-7A540CF9A94E}"/>
    <hyperlink ref="BS37" r:id="rId10" xr:uid="{9E2D8B0F-B674-45DE-A703-E1A33174FDA9}"/>
    <hyperlink ref="BS21" r:id="rId11" xr:uid="{762502E6-B4E0-4833-AEE7-B3B2E35BAA33}"/>
    <hyperlink ref="BS29" r:id="rId12" xr:uid="{ABB95FAB-FFA2-45C6-83B3-0B95AAC1C27D}"/>
    <hyperlink ref="BS20" r:id="rId13" xr:uid="{F624BA5F-C38F-4BBA-BF33-945DE87F92E3}"/>
    <hyperlink ref="BS4" r:id="rId14" xr:uid="{DF0C0748-08AA-4207-A804-C9B580899496}"/>
    <hyperlink ref="BS204" r:id="rId15" xr:uid="{73E6F96C-BC83-4210-A5BD-A9AC1758DD56}"/>
    <hyperlink ref="BS10" r:id="rId16" xr:uid="{0E4074BE-A001-4170-9FFF-E779B7BD2E5A}"/>
    <hyperlink ref="BS16" r:id="rId17" xr:uid="{8A9CB06D-EA50-4922-B065-56C54DF05DA0}"/>
    <hyperlink ref="BS5" r:id="rId18" xr:uid="{AA15A94C-25E1-4C91-A152-D8E924BF1CA1}"/>
    <hyperlink ref="BS60" r:id="rId19" xr:uid="{A940010E-7A4A-4AD3-9492-E350AE13ABE8}"/>
    <hyperlink ref="BS3" r:id="rId20" xr:uid="{B6BACCEF-6384-4735-B243-B317BC28BCBA}"/>
    <hyperlink ref="BS17" r:id="rId21" xr:uid="{611BFF23-9755-43EB-982B-15751037E3CE}"/>
    <hyperlink ref="BS42" r:id="rId22" xr:uid="{9D4FAA9E-2B0F-4BBE-88DA-0F5C594312F9}"/>
    <hyperlink ref="BS9" r:id="rId23" xr:uid="{2140C3BB-958D-4753-B7C4-BA64721B4CC9}"/>
    <hyperlink ref="BS26" r:id="rId24" xr:uid="{1EE34A21-8625-4C22-8EED-45468E946C8C}"/>
    <hyperlink ref="BS6" r:id="rId25" xr:uid="{64A19E87-A8BD-43CF-8DB8-5B9592BAB349}"/>
    <hyperlink ref="BS115" r:id="rId26" xr:uid="{76F14F1A-158F-45EC-B2D5-4D70F2CCCD8C}"/>
    <hyperlink ref="BS157" r:id="rId27" xr:uid="{F0185A63-2756-498A-99C2-2E61DB019F4C}"/>
    <hyperlink ref="BS159" r:id="rId28" xr:uid="{91C58EB1-DF49-4D46-94E0-705AA97A356B}"/>
    <hyperlink ref="BS139" r:id="rId29" xr:uid="{3AD51DC6-EF05-4993-B963-02614D95B47C}"/>
    <hyperlink ref="BS48" r:id="rId30" xr:uid="{B00F842D-6B70-4848-90EC-C5D8B4F48AAD}"/>
    <hyperlink ref="BS28" r:id="rId31" xr:uid="{D29A2962-7D51-4406-BA59-FC51679F39BE}"/>
    <hyperlink ref="BS65" r:id="rId32" xr:uid="{63CA0AAE-1611-4D30-B788-EED264BE84EE}"/>
    <hyperlink ref="BS59" r:id="rId33" xr:uid="{F2590ED5-017B-4226-824F-30AA004D258A}"/>
    <hyperlink ref="BS53" r:id="rId34" xr:uid="{A5A16EE3-9FF7-4B98-BD50-CC6A111C26BF}"/>
    <hyperlink ref="BS57" r:id="rId35" xr:uid="{98656FBC-378E-477C-8F2D-1012E8D1D276}"/>
    <hyperlink ref="BS14" r:id="rId36" xr:uid="{EB94C97D-E95A-4665-89BF-496E84B95F4F}"/>
    <hyperlink ref="BS111" r:id="rId37" xr:uid="{7022F0BC-D1A0-44CC-BB0D-7DCD6A56DD02}"/>
    <hyperlink ref="BS25" r:id="rId38" xr:uid="{FE1CC653-301E-4E05-BA39-7BF2F8E16371}"/>
    <hyperlink ref="BS99" r:id="rId39" xr:uid="{DC61FDC7-6325-47E7-BC80-19B8BC35920E}"/>
    <hyperlink ref="BS183" r:id="rId40" xr:uid="{B1CB4C86-F3F2-45DD-A370-A7D59C2FF185}"/>
    <hyperlink ref="BS116" r:id="rId41" xr:uid="{DCF25E1E-6A60-42FA-8359-D180AC2597FA}"/>
    <hyperlink ref="BS35" r:id="rId42" xr:uid="{9201DBDE-ED25-40E9-9584-95AF07F45415}"/>
    <hyperlink ref="BS49" r:id="rId43" xr:uid="{193FC7FC-772D-41BC-AD93-65216A646ED2}"/>
    <hyperlink ref="BS68" r:id="rId44" xr:uid="{02B2B59F-22C3-42A4-BDC6-EC0B730669FE}"/>
    <hyperlink ref="BS24" r:id="rId45" xr:uid="{87176773-FA16-4443-8DCB-98E9676DC0D1}"/>
    <hyperlink ref="BS50" r:id="rId46" xr:uid="{F872772D-625A-41C7-A03E-DCD8D67CD0AD}"/>
    <hyperlink ref="BS64" r:id="rId47" xr:uid="{A94C13F0-44D1-4F45-8600-ACC2DBD984C8}"/>
    <hyperlink ref="BS135" r:id="rId48" xr:uid="{547D2279-72D7-4235-B241-6989F11FDFEB}"/>
    <hyperlink ref="BS181" r:id="rId49" xr:uid="{6B02329C-A94B-4F29-8588-CD1811DBE196}"/>
    <hyperlink ref="BS133" r:id="rId50" xr:uid="{383A3382-B9A5-4F75-B28A-576AF5122676}"/>
    <hyperlink ref="BS96" r:id="rId51" xr:uid="{9D068545-B6A9-4F53-B120-F94342294822}"/>
    <hyperlink ref="BS194" r:id="rId52" xr:uid="{841BBB6C-03DF-486A-9EE7-E358FE408A0B}"/>
    <hyperlink ref="BS187" r:id="rId53" xr:uid="{65DCAB68-F8EB-4C5F-8AF3-D99106C597DC}"/>
    <hyperlink ref="BS107" r:id="rId54" xr:uid="{DCCDF544-B135-44F1-BF15-D33C77108BBB}"/>
    <hyperlink ref="BS201" r:id="rId55" xr:uid="{B7515978-595C-46EC-90E6-5B620C944A6A}"/>
    <hyperlink ref="BS208" r:id="rId56" xr:uid="{F0CBD904-C6DE-4B20-A29B-EAD2C6EADB3D}"/>
    <hyperlink ref="BS90" r:id="rId57" xr:uid="{2F48CDE1-ABE2-449A-871C-F88D8C101ABB}"/>
    <hyperlink ref="BS132" r:id="rId58" xr:uid="{B6ED20FD-60F4-4999-A2AA-39B65D61484A}"/>
    <hyperlink ref="BS158" r:id="rId59" xr:uid="{40ECECF4-B2D6-4A76-ACF0-260A17DF09C6}"/>
    <hyperlink ref="BS176" r:id="rId60" xr:uid="{67204E60-C777-4CB3-B822-E94D18B5504C}"/>
    <hyperlink ref="BS36" r:id="rId61" xr:uid="{DFD35993-930F-4F27-990F-983FA84BCFE4}"/>
    <hyperlink ref="BS15" r:id="rId62" xr:uid="{4C1AA8B6-5F99-4962-BB46-E19FCFA5B8E0}"/>
    <hyperlink ref="BS195" r:id="rId63" xr:uid="{301927CC-947C-4304-908F-E24A13C96D88}"/>
    <hyperlink ref="BS33" r:id="rId64" xr:uid="{00874E37-8A34-45D9-9155-F5D1EBB98F2C}"/>
    <hyperlink ref="BS87" r:id="rId65" xr:uid="{15442F72-BFC1-4AB0-BC3B-620528623123}"/>
    <hyperlink ref="BS61" r:id="rId66" xr:uid="{05CEFA55-5422-46AE-891D-CF5CBD3D66B6}"/>
    <hyperlink ref="BS77" r:id="rId67" xr:uid="{75EA3F0C-936E-4E7D-8E32-F39F42FEB705}"/>
    <hyperlink ref="BS51" r:id="rId68" xr:uid="{1EDDFF21-7F3D-4578-8EA3-27C8ACAF66FE}"/>
    <hyperlink ref="BS40" r:id="rId69" xr:uid="{F1BC35F4-1618-47DA-8C61-FD0BC11DE2D2}"/>
    <hyperlink ref="BS18" r:id="rId70" xr:uid="{6B48E391-B110-4317-AEC6-C5A9D3E0451F}"/>
    <hyperlink ref="BS45" r:id="rId71" xr:uid="{02EADA5A-4F76-4368-B442-8EED973E340B}"/>
    <hyperlink ref="BS89" r:id="rId72" xr:uid="{62C6ED63-A41A-484A-9E9A-EDCFAF5BD194}"/>
    <hyperlink ref="BS12" r:id="rId73" xr:uid="{369A7193-528A-4BA4-967F-E11FF6004A71}"/>
    <hyperlink ref="BS72" r:id="rId74" xr:uid="{93F082D8-0EBC-47C2-A9B7-B08A22B7D1E1}"/>
    <hyperlink ref="BS123" r:id="rId75" xr:uid="{1A669A52-BCB7-45B9-99F6-4A65D54830EC}"/>
    <hyperlink ref="BS163" r:id="rId76" xr:uid="{9A695EE0-8ADD-4DF1-8F37-D826F06B2C83}"/>
    <hyperlink ref="BS43" r:id="rId77" xr:uid="{6D65CD68-4E74-4DF4-A3CE-5CA579B8F1F9}"/>
    <hyperlink ref="BS97" r:id="rId78" xr:uid="{70198518-E454-46F8-994F-CA644CC0E8C2}"/>
    <hyperlink ref="BS110" r:id="rId79" xr:uid="{118E7DBE-928C-48C7-8303-5E821EFE8098}"/>
    <hyperlink ref="BS81" r:id="rId80" xr:uid="{DDF9DACE-5756-477B-9F6F-E06D1977C197}"/>
    <hyperlink ref="BS161" r:id="rId81" xr:uid="{BB26F669-E41A-423D-BFAB-D02EC9ED8053}"/>
    <hyperlink ref="BS34" r:id="rId82" xr:uid="{4679D3F7-AD8E-4488-90E3-E3F0B454EF51}"/>
    <hyperlink ref="BS86" r:id="rId83" xr:uid="{E3BD09AC-A9EA-4941-BF72-E0A318A1223C}"/>
    <hyperlink ref="BS88" r:id="rId84" xr:uid="{F526D65A-02B2-4E3D-8D79-488EF6320546}"/>
    <hyperlink ref="BS30" r:id="rId85" xr:uid="{BE16B79D-6036-49E4-A954-51703793FD06}"/>
    <hyperlink ref="BS130" r:id="rId86" xr:uid="{0E148EA2-DA5D-4474-AC7D-51EDD67CA1FD}"/>
    <hyperlink ref="BS197" r:id="rId87" xr:uid="{423CE440-600F-4E25-883A-362B8A334482}"/>
    <hyperlink ref="BS198" r:id="rId88" xr:uid="{D5F4B261-BC0D-4B62-91E2-ABBFE4A9D9F6}"/>
    <hyperlink ref="BS125" r:id="rId89" xr:uid="{2DB44DD9-63D3-43F9-B7D4-4F93F7CE9B36}"/>
    <hyperlink ref="BS85" r:id="rId90" xr:uid="{7047DD3E-AB5C-4224-A322-87EF88FA152F}"/>
    <hyperlink ref="BS47" r:id="rId91" xr:uid="{58B2921B-E5A6-4EBF-8CC0-995F5803E1AC}"/>
    <hyperlink ref="BS70" r:id="rId92" xr:uid="{3398FD72-D18A-4492-9E23-D270AAF0855D}"/>
    <hyperlink ref="BS180" r:id="rId93" xr:uid="{8B1E7207-E0B0-46B9-972A-688126DAF553}"/>
    <hyperlink ref="BS27" r:id="rId94" xr:uid="{4F26498D-B8BC-4A07-87EA-5EF281728635}"/>
    <hyperlink ref="BS206" r:id="rId95" xr:uid="{4A3E1EA9-1711-487D-A11F-EA1CDC4FBEA8}"/>
    <hyperlink ref="BS154" r:id="rId96" xr:uid="{526E936F-F30A-43FB-A755-90203ECEEC2E}"/>
    <hyperlink ref="BS151" r:id="rId97" xr:uid="{2F00D593-71FA-4477-AFD0-FDDB8E7FDAAA}"/>
    <hyperlink ref="BS193" r:id="rId98" xr:uid="{11C4787B-FA62-4139-9815-B23AA175307E}"/>
    <hyperlink ref="BS190" r:id="rId99" xr:uid="{52B8AC47-75AA-400B-904F-AB6C57F0114D}"/>
    <hyperlink ref="BS160" r:id="rId100" xr:uid="{ABA187D5-DC16-4E03-96A7-B7CD8DA51EBF}"/>
    <hyperlink ref="BS134" r:id="rId101" xr:uid="{30D811E4-EE62-4ED2-BC1B-F52FEFB84644}"/>
    <hyperlink ref="BS67" r:id="rId102" xr:uid="{43058C95-DFE9-41B1-BB93-392A338F24DB}"/>
    <hyperlink ref="BS100" r:id="rId103" xr:uid="{2DDBFF85-7895-493D-9991-60BA17E8C232}"/>
    <hyperlink ref="BS188" r:id="rId104" xr:uid="{869B9048-6209-4EAB-B318-BFE23BFDA97F}"/>
    <hyperlink ref="BS92" r:id="rId105" xr:uid="{E554849E-1036-4B73-858C-686F6310F967}"/>
    <hyperlink ref="BS83" r:id="rId106" xr:uid="{7E189183-29B2-4BBE-8F2F-567C7D5A61CC}"/>
    <hyperlink ref="BS200" r:id="rId107" xr:uid="{2BD665D1-E72E-4ADB-98D2-0B73513FB330}"/>
    <hyperlink ref="BS58" r:id="rId108" xr:uid="{37F92163-42E5-4666-B9FE-64032BB2D2CE}"/>
    <hyperlink ref="BS169" r:id="rId109" xr:uid="{B154ECBF-41E4-4F0A-8E33-3006DC0CBE16}"/>
    <hyperlink ref="BS63" r:id="rId110" xr:uid="{DB866BBB-8C7C-4279-8D7C-956A22D1FD1D}"/>
    <hyperlink ref="BS52" r:id="rId111" xr:uid="{6BC74CA7-9D82-4E1B-9689-E3F477F0A81F}"/>
    <hyperlink ref="BS39" r:id="rId112" xr:uid="{C56D0EAC-EB00-435D-8A19-66CC4342CDA7}"/>
    <hyperlink ref="BS73" r:id="rId113" xr:uid="{1C3D66C2-9945-43D7-9A1F-3A357049474A}"/>
    <hyperlink ref="BS82" r:id="rId114" xr:uid="{536919FF-3F5E-4DC4-8292-75EC77C783BF}"/>
    <hyperlink ref="BS129" r:id="rId115" xr:uid="{588EEDD6-CB99-41C5-811A-1B39785B6D02}"/>
    <hyperlink ref="BS156" r:id="rId116" xr:uid="{B859751C-5B4C-43AA-8BF6-D4BFCF7E8EA5}"/>
    <hyperlink ref="BS168" r:id="rId117" xr:uid="{326AF0D7-5EA7-4898-990D-FAA78F5AEE0A}"/>
    <hyperlink ref="BS66" r:id="rId118" xr:uid="{156B50DE-9FFA-4398-AE62-A3D117FF6819}"/>
    <hyperlink ref="BS148" r:id="rId119" xr:uid="{0989ABEA-0F42-408D-B22D-22A9A137557F}"/>
    <hyperlink ref="BS131" r:id="rId120" xr:uid="{59A11EB0-B1FA-456C-9889-15AD5474CA51}"/>
    <hyperlink ref="BS102" r:id="rId121" xr:uid="{D12FC7C4-80B3-4A10-AE39-375AC7932F31}"/>
    <hyperlink ref="BS76" r:id="rId122" xr:uid="{B26FE8CF-3CB0-4757-8BE4-999E015BE85C}"/>
    <hyperlink ref="BS117" r:id="rId123" xr:uid="{A6C26C84-C3BC-4A67-AF09-DC638964EB2E}"/>
    <hyperlink ref="BS101" r:id="rId124" xr:uid="{82A9F53F-DB30-4A15-97AC-E4E81DAE92C6}"/>
    <hyperlink ref="BS124" r:id="rId125" xr:uid="{6A124E28-A64D-487B-B336-181CAC64EA3C}"/>
    <hyperlink ref="BS143" r:id="rId126" xr:uid="{1D9126B2-C8F8-4EF4-8D3D-7F2BEC957E74}"/>
    <hyperlink ref="BS91" r:id="rId127" xr:uid="{644ED14B-6E1C-48B0-96D0-F1055EB636CC}"/>
    <hyperlink ref="BS105" r:id="rId128" xr:uid="{CF4C6B06-600F-44D6-8F18-82531436560D}"/>
    <hyperlink ref="BS205" r:id="rId129" xr:uid="{B62CC2B7-7980-4D1B-B963-A1F23A1ABA88}"/>
    <hyperlink ref="BS32" r:id="rId130" xr:uid="{7B6C3BFB-0BD8-4978-B81F-1738EA26FFD2}"/>
    <hyperlink ref="BS22" r:id="rId131" xr:uid="{C2D69360-86E7-46C3-BC75-F3A472D6735B}"/>
    <hyperlink ref="BS38" r:id="rId132" xr:uid="{B1CFE85C-DC97-427C-BC9A-89C064018F27}"/>
    <hyperlink ref="BS13" r:id="rId133" xr:uid="{DE3DD182-17CD-4782-8603-51094617E38C}"/>
    <hyperlink ref="BS128" r:id="rId134" xr:uid="{15E505A5-71A5-4462-A44A-A81B49E726C3}"/>
    <hyperlink ref="BS80" r:id="rId135" xr:uid="{DE873DD5-9074-4856-96D8-7ACA2C5A7684}"/>
    <hyperlink ref="BS84" r:id="rId136" xr:uid="{064DD299-68D2-4E1E-9D84-06DF854EC920}"/>
    <hyperlink ref="BS184" r:id="rId137" xr:uid="{EF91D8BA-989B-43E3-9B8F-FC2B0C6AD688}"/>
    <hyperlink ref="BS118" r:id="rId138" xr:uid="{6CFFB650-9818-4470-AD6A-D9C434A1D947}"/>
    <hyperlink ref="BS103" r:id="rId139" xr:uid="{1C43BF61-9C0B-434A-88CA-2B158740E6D7}"/>
    <hyperlink ref="BS203" r:id="rId140" xr:uid="{06023635-B3CC-49CB-89E0-E71F6AD78ED8}"/>
    <hyperlink ref="BS122" r:id="rId141" xr:uid="{5A729BCA-FE11-4B11-AD31-9B18696730E3}"/>
    <hyperlink ref="BS165" r:id="rId142" xr:uid="{D5012BB7-2F50-4988-B3BB-5921D45993C2}"/>
    <hyperlink ref="BS166" r:id="rId143" xr:uid="{407743B0-DFB6-4AA3-AF86-3B0E849B9C22}"/>
    <hyperlink ref="BS41" r:id="rId144" xr:uid="{313475A8-B522-4792-B619-3D45675811F2}"/>
    <hyperlink ref="BS164" r:id="rId145" xr:uid="{31CC2110-7724-450C-8D46-DFD4CEFFC30B}"/>
    <hyperlink ref="BS138" r:id="rId146" xr:uid="{C4C41437-94C0-467C-AD9D-D83DA4D8E756}"/>
    <hyperlink ref="BS104" r:id="rId147" xr:uid="{6316D144-873E-476C-B839-37299B383B19}"/>
    <hyperlink ref="BS120" r:id="rId148" xr:uid="{6D0B6356-C037-45AE-8E9C-F5A9243524F1}"/>
    <hyperlink ref="BS78" r:id="rId149" xr:uid="{40C2B113-1993-4E2E-B32C-8FE39E93917C}"/>
    <hyperlink ref="BS174" r:id="rId150" xr:uid="{436CC24F-7E6A-442E-AEEA-81C6FC47B262}"/>
    <hyperlink ref="BS199" r:id="rId151" xr:uid="{745C20A0-6D5D-4357-8E9B-5036A913A901}"/>
    <hyperlink ref="BS170" r:id="rId152" xr:uid="{25BC551D-A660-49EF-AF4A-AEE60394AFE7}"/>
    <hyperlink ref="BS119" r:id="rId153" xr:uid="{761E3F6A-95A4-4541-9C5B-28A56F7A9CBF}"/>
    <hyperlink ref="BS173" r:id="rId154" xr:uid="{55FA249B-8266-4439-A4EF-9839547F98C5}"/>
    <hyperlink ref="BS149" r:id="rId155" xr:uid="{403D870D-29B3-4078-AA7C-C3B26A970B82}"/>
    <hyperlink ref="BS55" r:id="rId156" xr:uid="{B049763E-F9C6-42F9-A724-1430D2D23B0F}"/>
    <hyperlink ref="BS108" r:id="rId157" xr:uid="{A00945A1-A7F6-48D0-8E07-BD47F1B87AA9}"/>
    <hyperlink ref="BS109" r:id="rId158" xr:uid="{472E53BA-9929-43A4-B934-7E9D91416272}"/>
    <hyperlink ref="BS196" r:id="rId159" xr:uid="{04E21B8E-BA3F-4BE7-8DD3-87CF143A506B}"/>
    <hyperlink ref="BS95" r:id="rId160" xr:uid="{85B6142D-6870-40E1-A870-FF4E05A45641}"/>
    <hyperlink ref="BS126" r:id="rId161" xr:uid="{57E0707D-BB2C-460A-89C3-488651C6978A}"/>
    <hyperlink ref="BS31" r:id="rId162" xr:uid="{72E61186-E909-42C0-8883-71709DDB257E}"/>
    <hyperlink ref="BS69" r:id="rId163" xr:uid="{9558C2E7-B597-41D6-98E6-C8C4920A0E3D}"/>
    <hyperlink ref="BS178" r:id="rId164" xr:uid="{A8CEA81B-19D6-419E-BBE5-B7FF8C9E2F91}"/>
    <hyperlink ref="BS179" r:id="rId165" xr:uid="{021BED53-D9C9-4320-AA40-13DCBF399D46}"/>
    <hyperlink ref="BS182" r:id="rId166" xr:uid="{8B4F252B-C83F-4C8B-BB63-273EA4D8C198}"/>
    <hyperlink ref="BS121" r:id="rId167" xr:uid="{350CFAA4-482A-4F42-9030-0AD7521667AB}"/>
    <hyperlink ref="BS74" r:id="rId168" xr:uid="{31EF342C-3FB6-4BC3-81AC-97288BD9EF80}"/>
    <hyperlink ref="BS142" r:id="rId169" xr:uid="{4784E585-4D13-4B96-828C-F938DC1F7454}"/>
    <hyperlink ref="BS150" r:id="rId170" xr:uid="{A5F20D30-E284-40C2-82FB-1AC94CC8B60E}"/>
    <hyperlink ref="BS112" r:id="rId171" xr:uid="{78F79768-E3AB-4E05-A955-9D6CC5887A29}"/>
    <hyperlink ref="BS175" r:id="rId172" xr:uid="{1135A16C-CD6C-4828-AF50-5264B929B195}"/>
    <hyperlink ref="BS54" r:id="rId173" xr:uid="{7FD40CFE-9FD4-46C7-8E85-A9F3A4EC4843}"/>
    <hyperlink ref="BS46" r:id="rId174" xr:uid="{DB1263AE-1104-430A-B988-F4AEB64C814D}"/>
    <hyperlink ref="BS56" r:id="rId175" xr:uid="{6797C85F-A602-4513-B345-1AD5B0297CAE}"/>
    <hyperlink ref="BS137" r:id="rId176" xr:uid="{5D8D31D6-2889-4A01-ACC9-9B845DAB5323}"/>
    <hyperlink ref="BS136" r:id="rId177" xr:uid="{08086072-0B7B-4CA6-B942-65CD226E52CE}"/>
    <hyperlink ref="BS162" r:id="rId178" xr:uid="{F0B6773C-F7BA-4616-A9B4-91C6203F71A0}"/>
    <hyperlink ref="BS62" r:id="rId179" xr:uid="{3266620B-F1BC-46C9-9AD2-765A823271B9}"/>
    <hyperlink ref="BS155" r:id="rId180" xr:uid="{A640F7D9-13D7-48DB-981A-D2CCDEDBF8FB}"/>
    <hyperlink ref="BS172" r:id="rId181" xr:uid="{9DDB472F-1ABC-400C-A792-7FF7993761DB}"/>
    <hyperlink ref="BS167" r:id="rId182" xr:uid="{AF54CAF4-CDC6-471E-8E66-BE8D509D0FC5}"/>
    <hyperlink ref="BS98" r:id="rId183" xr:uid="{C4F53F00-4673-460E-87D4-5FCE9690E8E0}"/>
    <hyperlink ref="BS71" r:id="rId184" xr:uid="{3E04938B-C3BD-403B-9393-342750FA7AD4}"/>
    <hyperlink ref="BS177" r:id="rId185" xr:uid="{CF29446C-737F-44C7-B7D9-3AE9973C1A41}"/>
    <hyperlink ref="BS79" r:id="rId186" xr:uid="{98B8E689-CEE9-4EEF-8D53-108BA98D83BE}"/>
    <hyperlink ref="BS140" r:id="rId187" xr:uid="{98CCD7BF-C03A-4449-954A-2F3F18F9B0DD}"/>
    <hyperlink ref="BS141" r:id="rId188" xr:uid="{9C244CD8-B09E-4A17-973F-F0318F0730AB}"/>
    <hyperlink ref="BS185" r:id="rId189" xr:uid="{F7E958C4-39CA-46DC-8C51-C351C1EDE164}"/>
    <hyperlink ref="BS186" r:id="rId190" xr:uid="{B086EBA1-397A-4B7C-A5CC-4D7698BD88F9}"/>
    <hyperlink ref="BS189" r:id="rId191" xr:uid="{632FC1BE-5B1B-44D8-A4AD-8086EA653E50}"/>
    <hyperlink ref="BS191" r:id="rId192" xr:uid="{5950F27A-1992-4B6D-95DA-491ABE77B86D}"/>
    <hyperlink ref="BS144" r:id="rId193" xr:uid="{19C5EC3C-19DD-4CBA-ABA6-F08FF4C71E82}"/>
    <hyperlink ref="BS145" r:id="rId194" xr:uid="{0F0C60F2-83FC-4026-B4F5-F6470062A2AA}"/>
    <hyperlink ref="BS114" r:id="rId195" xr:uid="{C4A16210-95C0-4FD2-AE56-6379F948D3CE}"/>
    <hyperlink ref="BS153" r:id="rId196" xr:uid="{A8E792F3-A86F-4481-AC89-21E3BEA54ED0}"/>
    <hyperlink ref="BS113" r:id="rId197" xr:uid="{4BFF6139-063E-4EB7-B5BB-710B3963FA29}"/>
    <hyperlink ref="BS152" r:id="rId198" xr:uid="{E6DE398F-A1C0-4774-9F0E-A4D09B16D837}"/>
    <hyperlink ref="BS207" r:id="rId199" xr:uid="{DC3D45E5-66D3-4A19-A99F-241F3FCDE874}"/>
    <hyperlink ref="BS202" r:id="rId200" xr:uid="{D117A11C-7D1B-4CDA-A59E-515D303C9F1F}"/>
    <hyperlink ref="BS127" r:id="rId201" xr:uid="{2338CCFA-CACA-4C94-829C-E5270D93FD5E}"/>
    <hyperlink ref="BS192" r:id="rId202" xr:uid="{096C83D7-8EE4-4F36-8ABF-ADEE35B6D786}"/>
    <hyperlink ref="BS147" r:id="rId203" xr:uid="{AE35D9B1-702F-45E4-AE2A-017A293566C6}"/>
    <hyperlink ref="BS146" r:id="rId204" xr:uid="{A17E5060-75A5-42EF-952B-226B18F41BB9}"/>
    <hyperlink ref="BS106" r:id="rId205" xr:uid="{766C7E9D-93B8-44CB-BD68-F2C9D2AD38B7}"/>
    <hyperlink ref="BS94" r:id="rId206" xr:uid="{3B888D24-25B3-42FF-AC7B-120CE0271B1B}"/>
    <hyperlink ref="BS93" r:id="rId207" xr:uid="{72E9AB51-B449-4894-ACE2-7C2688084FB6}"/>
  </hyperlinks>
  <pageMargins left="0.7" right="0.7" top="0.75" bottom="0.75" header="0.3" footer="0.3"/>
  <pageSetup paperSize="9" orientation="portrait" r:id="rId208"/>
  <tableParts count="1">
    <tablePart r:id="rId209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45D54-42F2-408D-9085-E804F3A1A163}">
  <dimension ref="A1:C65"/>
  <sheetViews>
    <sheetView topLeftCell="A58" workbookViewId="0">
      <selection activeCell="B66" sqref="B66"/>
    </sheetView>
  </sheetViews>
  <sheetFormatPr defaultRowHeight="14.4" x14ac:dyDescent="0.3"/>
  <cols>
    <col min="1" max="1" width="24.44140625" bestFit="1" customWidth="1"/>
    <col min="2" max="2" width="14" bestFit="1" customWidth="1"/>
    <col min="3" max="3" width="21.5546875" bestFit="1" customWidth="1"/>
  </cols>
  <sheetData>
    <row r="1" spans="1:3" x14ac:dyDescent="0.3">
      <c r="A1" t="s">
        <v>832</v>
      </c>
      <c r="B1" t="s">
        <v>1</v>
      </c>
      <c r="C1" t="s">
        <v>2995</v>
      </c>
    </row>
    <row r="2" spans="1:3" x14ac:dyDescent="0.3">
      <c r="A2" s="6" t="s">
        <v>3252</v>
      </c>
      <c r="B2" s="6" t="s">
        <v>344</v>
      </c>
      <c r="C2" s="6">
        <v>33</v>
      </c>
    </row>
    <row r="3" spans="1:3" x14ac:dyDescent="0.3">
      <c r="A3" s="6" t="s">
        <v>3258</v>
      </c>
      <c r="B3" s="6" t="s">
        <v>344</v>
      </c>
      <c r="C3" s="6">
        <v>5</v>
      </c>
    </row>
    <row r="4" spans="1:3" x14ac:dyDescent="0.3">
      <c r="A4" s="6" t="s">
        <v>3287</v>
      </c>
      <c r="B4" s="6" t="s">
        <v>344</v>
      </c>
      <c r="C4" s="6">
        <v>9</v>
      </c>
    </row>
    <row r="5" spans="1:3" x14ac:dyDescent="0.3">
      <c r="A5" s="6"/>
      <c r="B5" s="6" t="s">
        <v>330</v>
      </c>
      <c r="C5" s="6">
        <v>-1</v>
      </c>
    </row>
    <row r="6" spans="1:3" x14ac:dyDescent="0.3">
      <c r="A6" s="6"/>
      <c r="B6" s="6" t="s">
        <v>334</v>
      </c>
      <c r="C6" s="6">
        <v>-1</v>
      </c>
    </row>
    <row r="7" spans="1:3" x14ac:dyDescent="0.3">
      <c r="A7" s="6"/>
      <c r="B7" s="6" t="s">
        <v>390</v>
      </c>
      <c r="C7" s="6">
        <v>-1</v>
      </c>
    </row>
    <row r="8" spans="1:3" x14ac:dyDescent="0.3">
      <c r="A8" s="6" t="s">
        <v>3189</v>
      </c>
      <c r="B8" s="6" t="s">
        <v>700</v>
      </c>
      <c r="C8" s="6">
        <v>1</v>
      </c>
    </row>
    <row r="9" spans="1:3" x14ac:dyDescent="0.3">
      <c r="A9" s="6"/>
      <c r="B9" s="6" t="s">
        <v>700</v>
      </c>
      <c r="C9" s="6">
        <v>-1</v>
      </c>
    </row>
    <row r="10" spans="1:3" x14ac:dyDescent="0.3">
      <c r="A10" s="6"/>
      <c r="B10" s="6" t="s">
        <v>700</v>
      </c>
      <c r="C10" s="6">
        <v>-1</v>
      </c>
    </row>
    <row r="11" spans="1:3" x14ac:dyDescent="0.3">
      <c r="A11" s="6"/>
      <c r="B11" s="6" t="s">
        <v>718</v>
      </c>
      <c r="C11" s="6">
        <v>-1</v>
      </c>
    </row>
    <row r="12" spans="1:3" x14ac:dyDescent="0.3">
      <c r="A12" s="6"/>
      <c r="B12" s="6" t="s">
        <v>718</v>
      </c>
      <c r="C12" s="6">
        <v>-1</v>
      </c>
    </row>
    <row r="13" spans="1:3" x14ac:dyDescent="0.3">
      <c r="A13" s="6"/>
      <c r="B13" s="6" t="s">
        <v>718</v>
      </c>
      <c r="C13" s="6">
        <v>-1</v>
      </c>
    </row>
    <row r="14" spans="1:3" x14ac:dyDescent="0.3">
      <c r="A14" s="6" t="s">
        <v>1534</v>
      </c>
      <c r="B14" s="6" t="s">
        <v>428</v>
      </c>
      <c r="C14" s="6">
        <v>17</v>
      </c>
    </row>
    <row r="15" spans="1:3" x14ac:dyDescent="0.3">
      <c r="A15" s="6" t="s">
        <v>3124</v>
      </c>
      <c r="B15" s="6" t="s">
        <v>428</v>
      </c>
      <c r="C15" s="6">
        <v>33</v>
      </c>
    </row>
    <row r="16" spans="1:3" x14ac:dyDescent="0.3">
      <c r="A16" s="6"/>
      <c r="B16" s="6" t="s">
        <v>428</v>
      </c>
      <c r="C16" s="6">
        <v>-1</v>
      </c>
    </row>
    <row r="17" spans="1:3" x14ac:dyDescent="0.3">
      <c r="A17" s="6"/>
      <c r="B17" s="6" t="s">
        <v>384</v>
      </c>
      <c r="C17" s="6">
        <v>-1</v>
      </c>
    </row>
    <row r="18" spans="1:3" x14ac:dyDescent="0.3">
      <c r="A18" s="6"/>
      <c r="B18" s="6" t="s">
        <v>336</v>
      </c>
      <c r="C18" s="6">
        <v>-1</v>
      </c>
    </row>
    <row r="19" spans="1:3" x14ac:dyDescent="0.3">
      <c r="A19" s="6" t="s">
        <v>1897</v>
      </c>
      <c r="B19" s="6" t="s">
        <v>432</v>
      </c>
      <c r="C19" s="6">
        <v>33</v>
      </c>
    </row>
    <row r="20" spans="1:3" x14ac:dyDescent="0.3">
      <c r="A20" s="6"/>
      <c r="B20" s="6" t="s">
        <v>642</v>
      </c>
      <c r="C20" s="6">
        <v>-1</v>
      </c>
    </row>
    <row r="21" spans="1:3" x14ac:dyDescent="0.3">
      <c r="A21" s="6" t="s">
        <v>2744</v>
      </c>
      <c r="B21" s="6" t="s">
        <v>332</v>
      </c>
      <c r="C21" s="6">
        <v>2</v>
      </c>
    </row>
    <row r="22" spans="1:3" x14ac:dyDescent="0.3">
      <c r="A22" s="6"/>
      <c r="B22" s="6" t="s">
        <v>366</v>
      </c>
      <c r="C22" s="6">
        <v>-1</v>
      </c>
    </row>
    <row r="23" spans="1:3" x14ac:dyDescent="0.3">
      <c r="A23" s="6" t="s">
        <v>2315</v>
      </c>
      <c r="B23" s="6" t="s">
        <v>604</v>
      </c>
      <c r="C23" s="6">
        <v>33</v>
      </c>
    </row>
    <row r="24" spans="1:3" x14ac:dyDescent="0.3">
      <c r="A24" s="6" t="s">
        <v>2317</v>
      </c>
      <c r="B24" s="6" t="s">
        <v>604</v>
      </c>
      <c r="C24" s="6">
        <v>33</v>
      </c>
    </row>
    <row r="25" spans="1:3" x14ac:dyDescent="0.3">
      <c r="A25" s="6" t="s">
        <v>2319</v>
      </c>
      <c r="B25" s="6" t="s">
        <v>604</v>
      </c>
      <c r="C25" s="6">
        <v>33</v>
      </c>
    </row>
    <row r="26" spans="1:3" x14ac:dyDescent="0.3">
      <c r="A26" s="6"/>
      <c r="B26" s="6" t="s">
        <v>550</v>
      </c>
      <c r="C26" s="6">
        <v>-1</v>
      </c>
    </row>
    <row r="27" spans="1:3" x14ac:dyDescent="0.3">
      <c r="A27" s="6"/>
      <c r="B27" s="6" t="s">
        <v>326</v>
      </c>
      <c r="C27" s="6">
        <v>-1</v>
      </c>
    </row>
    <row r="28" spans="1:3" x14ac:dyDescent="0.3">
      <c r="A28" s="6"/>
      <c r="B28" s="6" t="s">
        <v>422</v>
      </c>
      <c r="C28" s="6">
        <v>-1</v>
      </c>
    </row>
    <row r="29" spans="1:3" x14ac:dyDescent="0.3">
      <c r="A29" s="6" t="s">
        <v>2358</v>
      </c>
      <c r="B29" s="6" t="s">
        <v>354</v>
      </c>
      <c r="C29" s="6">
        <v>33</v>
      </c>
    </row>
    <row r="30" spans="1:3" x14ac:dyDescent="0.3">
      <c r="A30" s="6" t="s">
        <v>1647</v>
      </c>
      <c r="B30" s="6" t="s">
        <v>732</v>
      </c>
      <c r="C30" s="6">
        <v>33</v>
      </c>
    </row>
    <row r="31" spans="1:3" x14ac:dyDescent="0.3">
      <c r="A31" s="6" t="s">
        <v>3831</v>
      </c>
      <c r="B31" s="6" t="s">
        <v>340</v>
      </c>
      <c r="C31" s="6">
        <v>33</v>
      </c>
    </row>
    <row r="32" spans="1:3" x14ac:dyDescent="0.3">
      <c r="A32" s="6" t="s">
        <v>2236</v>
      </c>
      <c r="B32" s="6" t="s">
        <v>362</v>
      </c>
      <c r="C32" s="6">
        <v>17</v>
      </c>
    </row>
    <row r="33" spans="1:3" x14ac:dyDescent="0.3">
      <c r="A33" s="6" t="s">
        <v>4716</v>
      </c>
      <c r="B33" s="6" t="s">
        <v>362</v>
      </c>
      <c r="C33" s="6">
        <v>33</v>
      </c>
    </row>
    <row r="34" spans="1:3" x14ac:dyDescent="0.3">
      <c r="A34" s="6"/>
      <c r="B34" s="6" t="s">
        <v>362</v>
      </c>
      <c r="C34" s="6">
        <v>-1</v>
      </c>
    </row>
    <row r="35" spans="1:3" x14ac:dyDescent="0.3">
      <c r="A35" s="6"/>
      <c r="B35" s="6" t="s">
        <v>412</v>
      </c>
      <c r="C35" s="6">
        <v>-1</v>
      </c>
    </row>
    <row r="36" spans="1:3" x14ac:dyDescent="0.3">
      <c r="A36" s="6"/>
      <c r="B36" s="6" t="s">
        <v>694</v>
      </c>
      <c r="C36" s="6">
        <v>-1</v>
      </c>
    </row>
    <row r="37" spans="1:3" x14ac:dyDescent="0.3">
      <c r="A37" s="6" t="s">
        <v>2871</v>
      </c>
      <c r="B37" s="6" t="s">
        <v>726</v>
      </c>
      <c r="C37" s="6">
        <v>33</v>
      </c>
    </row>
    <row r="38" spans="1:3" x14ac:dyDescent="0.3">
      <c r="A38" s="6"/>
      <c r="B38" s="6" t="s">
        <v>356</v>
      </c>
      <c r="C38" s="6">
        <v>-1</v>
      </c>
    </row>
    <row r="39" spans="1:3" x14ac:dyDescent="0.3">
      <c r="A39" s="6"/>
      <c r="B39" s="6" t="s">
        <v>356</v>
      </c>
      <c r="C39" s="6">
        <v>-1</v>
      </c>
    </row>
    <row r="40" spans="1:3" x14ac:dyDescent="0.3">
      <c r="A40" s="6"/>
      <c r="B40" s="6" t="s">
        <v>356</v>
      </c>
      <c r="C40" s="6">
        <v>-1</v>
      </c>
    </row>
    <row r="41" spans="1:3" x14ac:dyDescent="0.3">
      <c r="A41" s="6" t="s">
        <v>3935</v>
      </c>
      <c r="B41" s="6" t="s">
        <v>350</v>
      </c>
      <c r="C41" s="6">
        <v>33</v>
      </c>
    </row>
    <row r="42" spans="1:3" x14ac:dyDescent="0.3">
      <c r="A42" s="6"/>
      <c r="B42" s="6" t="s">
        <v>350</v>
      </c>
      <c r="C42" s="6">
        <v>-1</v>
      </c>
    </row>
    <row r="43" spans="1:3" x14ac:dyDescent="0.3">
      <c r="A43" s="6"/>
      <c r="B43" s="6" t="s">
        <v>350</v>
      </c>
      <c r="C43" s="6">
        <v>-1</v>
      </c>
    </row>
    <row r="44" spans="1:3" x14ac:dyDescent="0.3">
      <c r="A44" s="6" t="s">
        <v>2898</v>
      </c>
      <c r="B44" s="6" t="s">
        <v>368</v>
      </c>
      <c r="C44" s="6">
        <v>17</v>
      </c>
    </row>
    <row r="45" spans="1:3" x14ac:dyDescent="0.3">
      <c r="A45" s="6"/>
      <c r="B45" s="6" t="s">
        <v>368</v>
      </c>
      <c r="C45" s="6">
        <v>-1</v>
      </c>
    </row>
    <row r="46" spans="1:3" x14ac:dyDescent="0.3">
      <c r="A46" s="6"/>
      <c r="B46" s="6" t="s">
        <v>368</v>
      </c>
      <c r="C46" s="6">
        <v>-1</v>
      </c>
    </row>
    <row r="47" spans="1:3" x14ac:dyDescent="0.3">
      <c r="A47" s="6" t="s">
        <v>1408</v>
      </c>
      <c r="B47" s="6" t="s">
        <v>402</v>
      </c>
      <c r="C47" s="6">
        <v>17</v>
      </c>
    </row>
    <row r="48" spans="1:3" x14ac:dyDescent="0.3">
      <c r="A48" s="6"/>
      <c r="B48" s="6" t="s">
        <v>402</v>
      </c>
      <c r="C48" s="6">
        <v>-1</v>
      </c>
    </row>
    <row r="49" spans="1:3" x14ac:dyDescent="0.3">
      <c r="A49" s="6"/>
      <c r="B49" s="6" t="s">
        <v>402</v>
      </c>
      <c r="C49" s="6">
        <v>-1</v>
      </c>
    </row>
    <row r="50" spans="1:3" x14ac:dyDescent="0.3">
      <c r="A50" s="6"/>
      <c r="B50" s="6" t="s">
        <v>482</v>
      </c>
      <c r="C50" s="6">
        <v>-1</v>
      </c>
    </row>
    <row r="51" spans="1:3" x14ac:dyDescent="0.3">
      <c r="A51" s="6"/>
      <c r="B51" s="6" t="s">
        <v>514</v>
      </c>
      <c r="C51" s="6">
        <v>-1</v>
      </c>
    </row>
    <row r="52" spans="1:3" x14ac:dyDescent="0.3">
      <c r="A52" s="6"/>
      <c r="B52" s="6" t="s">
        <v>470</v>
      </c>
      <c r="C52" s="6">
        <v>-1</v>
      </c>
    </row>
    <row r="53" spans="1:3" x14ac:dyDescent="0.3">
      <c r="A53" s="6"/>
      <c r="B53" s="6" t="s">
        <v>730</v>
      </c>
      <c r="C53" s="6">
        <v>-1</v>
      </c>
    </row>
    <row r="54" spans="1:3" x14ac:dyDescent="0.3">
      <c r="A54" s="6"/>
      <c r="B54" s="6" t="s">
        <v>442</v>
      </c>
      <c r="C54" s="6">
        <v>-1</v>
      </c>
    </row>
    <row r="55" spans="1:3" x14ac:dyDescent="0.3">
      <c r="A55" s="6" t="s">
        <v>4021</v>
      </c>
      <c r="B55" s="6" t="s">
        <v>448</v>
      </c>
      <c r="C55" s="6">
        <v>33</v>
      </c>
    </row>
    <row r="56" spans="1:3" x14ac:dyDescent="0.3">
      <c r="A56" s="6"/>
      <c r="B56" s="6" t="s">
        <v>448</v>
      </c>
      <c r="C56" s="6">
        <v>-1</v>
      </c>
    </row>
    <row r="57" spans="1:3" x14ac:dyDescent="0.3">
      <c r="A57" s="6"/>
      <c r="B57" s="6" t="s">
        <v>448</v>
      </c>
      <c r="C57" s="6">
        <v>-1</v>
      </c>
    </row>
    <row r="58" spans="1:3" x14ac:dyDescent="0.3">
      <c r="A58" s="6" t="s">
        <v>2724</v>
      </c>
      <c r="B58" s="6" t="s">
        <v>328</v>
      </c>
      <c r="C58" s="6">
        <v>33</v>
      </c>
    </row>
    <row r="59" spans="1:3" x14ac:dyDescent="0.3">
      <c r="A59" s="6"/>
      <c r="B59" s="6" t="s">
        <v>328</v>
      </c>
      <c r="C59" s="6">
        <v>-1</v>
      </c>
    </row>
    <row r="60" spans="1:3" x14ac:dyDescent="0.3">
      <c r="A60" s="6"/>
      <c r="B60" s="6" t="s">
        <v>328</v>
      </c>
      <c r="C60" s="6">
        <v>-1</v>
      </c>
    </row>
    <row r="61" spans="1:3" x14ac:dyDescent="0.3">
      <c r="A61" s="6"/>
      <c r="B61" s="6" t="s">
        <v>598</v>
      </c>
      <c r="C61" s="6">
        <v>-1</v>
      </c>
    </row>
    <row r="62" spans="1:3" x14ac:dyDescent="0.3">
      <c r="A62" s="6" t="s">
        <v>4849</v>
      </c>
      <c r="B62" s="6" t="s">
        <v>622</v>
      </c>
      <c r="C62" s="6">
        <v>33</v>
      </c>
    </row>
    <row r="63" spans="1:3" x14ac:dyDescent="0.3">
      <c r="A63" s="6"/>
      <c r="B63" s="6" t="s">
        <v>372</v>
      </c>
      <c r="C63" s="6">
        <v>-1</v>
      </c>
    </row>
    <row r="64" spans="1:3" x14ac:dyDescent="0.3">
      <c r="A64" s="6"/>
      <c r="B64" s="6" t="s">
        <v>528</v>
      </c>
      <c r="C64" s="6">
        <v>-1</v>
      </c>
    </row>
    <row r="65" spans="1:3" x14ac:dyDescent="0.3">
      <c r="A65" s="6"/>
      <c r="B65" s="6" t="s">
        <v>472</v>
      </c>
      <c r="C65" s="6">
        <v>-1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3F299-85CB-492A-BC9A-36779A4F7808}">
  <dimension ref="A1:C65"/>
  <sheetViews>
    <sheetView topLeftCell="A58" workbookViewId="0">
      <selection activeCell="B66" sqref="B66"/>
    </sheetView>
  </sheetViews>
  <sheetFormatPr defaultRowHeight="14.4" x14ac:dyDescent="0.3"/>
  <cols>
    <col min="1" max="1" width="27.88671875" bestFit="1" customWidth="1"/>
    <col min="2" max="2" width="14" bestFit="1" customWidth="1"/>
    <col min="3" max="3" width="21.5546875" bestFit="1" customWidth="1"/>
  </cols>
  <sheetData>
    <row r="1" spans="1:3" x14ac:dyDescent="0.3">
      <c r="A1" t="s">
        <v>832</v>
      </c>
      <c r="B1" t="s">
        <v>1</v>
      </c>
      <c r="C1" t="s">
        <v>2995</v>
      </c>
    </row>
    <row r="2" spans="1:3" x14ac:dyDescent="0.3">
      <c r="A2" s="6" t="s">
        <v>4389</v>
      </c>
      <c r="B2" s="6" t="s">
        <v>344</v>
      </c>
      <c r="C2" s="6">
        <v>3</v>
      </c>
    </row>
    <row r="3" spans="1:3" x14ac:dyDescent="0.3">
      <c r="A3" s="6" t="s">
        <v>4394</v>
      </c>
      <c r="B3" s="6" t="s">
        <v>344</v>
      </c>
      <c r="C3" s="6">
        <v>17</v>
      </c>
    </row>
    <row r="4" spans="1:3" x14ac:dyDescent="0.3">
      <c r="A4" s="6"/>
      <c r="B4" s="6" t="s">
        <v>344</v>
      </c>
      <c r="C4" s="6">
        <v>-1</v>
      </c>
    </row>
    <row r="5" spans="1:3" x14ac:dyDescent="0.3">
      <c r="A5" s="6" t="s">
        <v>1266</v>
      </c>
      <c r="B5" s="6" t="s">
        <v>330</v>
      </c>
      <c r="C5" s="6">
        <v>33</v>
      </c>
    </row>
    <row r="6" spans="1:3" x14ac:dyDescent="0.3">
      <c r="A6" s="6" t="s">
        <v>3627</v>
      </c>
      <c r="B6" s="6" t="s">
        <v>356</v>
      </c>
      <c r="C6" s="6">
        <v>17</v>
      </c>
    </row>
    <row r="7" spans="1:3" x14ac:dyDescent="0.3">
      <c r="A7" s="6"/>
      <c r="B7" s="6" t="s">
        <v>334</v>
      </c>
      <c r="C7" s="6">
        <v>-1</v>
      </c>
    </row>
    <row r="8" spans="1:3" x14ac:dyDescent="0.3">
      <c r="A8" s="6"/>
      <c r="B8" s="6" t="s">
        <v>334</v>
      </c>
      <c r="C8" s="6">
        <v>-1</v>
      </c>
    </row>
    <row r="9" spans="1:3" x14ac:dyDescent="0.3">
      <c r="A9" s="6"/>
      <c r="B9" s="6" t="s">
        <v>334</v>
      </c>
      <c r="C9" s="6">
        <v>-1</v>
      </c>
    </row>
    <row r="10" spans="1:3" x14ac:dyDescent="0.3">
      <c r="A10" s="6" t="s">
        <v>3002</v>
      </c>
      <c r="B10" s="6" t="s">
        <v>350</v>
      </c>
      <c r="C10" s="6">
        <v>6</v>
      </c>
    </row>
    <row r="11" spans="1:3" x14ac:dyDescent="0.3">
      <c r="A11" s="6"/>
      <c r="B11" s="6" t="s">
        <v>350</v>
      </c>
      <c r="C11" s="6">
        <v>-1</v>
      </c>
    </row>
    <row r="12" spans="1:3" x14ac:dyDescent="0.3">
      <c r="A12" s="6"/>
      <c r="B12" s="6" t="s">
        <v>350</v>
      </c>
      <c r="C12" s="6">
        <v>-1</v>
      </c>
    </row>
    <row r="13" spans="1:3" x14ac:dyDescent="0.3">
      <c r="A13" s="6"/>
      <c r="B13" s="6" t="s">
        <v>442</v>
      </c>
      <c r="C13" s="6">
        <v>-1</v>
      </c>
    </row>
    <row r="14" spans="1:3" x14ac:dyDescent="0.3">
      <c r="A14" s="6"/>
      <c r="B14" s="6" t="s">
        <v>428</v>
      </c>
      <c r="C14" s="6">
        <v>-1</v>
      </c>
    </row>
    <row r="15" spans="1:3" x14ac:dyDescent="0.3">
      <c r="A15" s="6"/>
      <c r="B15" s="6" t="s">
        <v>336</v>
      </c>
      <c r="C15" s="6">
        <v>-1</v>
      </c>
    </row>
    <row r="16" spans="1:3" x14ac:dyDescent="0.3">
      <c r="A16" s="6"/>
      <c r="B16" s="6" t="s">
        <v>362</v>
      </c>
      <c r="C16" s="6">
        <v>-1</v>
      </c>
    </row>
    <row r="17" spans="1:3" x14ac:dyDescent="0.3">
      <c r="A17" s="6"/>
      <c r="B17" s="6" t="s">
        <v>700</v>
      </c>
      <c r="C17" s="6">
        <v>-1</v>
      </c>
    </row>
    <row r="18" spans="1:3" x14ac:dyDescent="0.3">
      <c r="A18" s="6"/>
      <c r="B18" s="6" t="s">
        <v>700</v>
      </c>
      <c r="C18" s="6">
        <v>-1</v>
      </c>
    </row>
    <row r="19" spans="1:3" x14ac:dyDescent="0.3">
      <c r="A19" s="6"/>
      <c r="B19" s="6" t="s">
        <v>700</v>
      </c>
      <c r="C19" s="6">
        <v>-1</v>
      </c>
    </row>
    <row r="20" spans="1:3" x14ac:dyDescent="0.3">
      <c r="A20" s="6"/>
      <c r="B20" s="6" t="s">
        <v>326</v>
      </c>
      <c r="C20" s="6">
        <v>-1</v>
      </c>
    </row>
    <row r="21" spans="1:3" x14ac:dyDescent="0.3">
      <c r="A21" s="6"/>
      <c r="B21" s="6" t="s">
        <v>404</v>
      </c>
      <c r="C21" s="6">
        <v>-1</v>
      </c>
    </row>
    <row r="22" spans="1:3" x14ac:dyDescent="0.3">
      <c r="A22" s="6" t="s">
        <v>2612</v>
      </c>
      <c r="B22" s="6" t="s">
        <v>482</v>
      </c>
      <c r="C22" s="6">
        <v>33</v>
      </c>
    </row>
    <row r="23" spans="1:3" x14ac:dyDescent="0.3">
      <c r="A23" s="6"/>
      <c r="B23" s="6" t="s">
        <v>354</v>
      </c>
      <c r="C23" s="6">
        <v>-1</v>
      </c>
    </row>
    <row r="24" spans="1:3" x14ac:dyDescent="0.3">
      <c r="A24" s="6"/>
      <c r="B24" s="6" t="s">
        <v>384</v>
      </c>
      <c r="C24" s="6">
        <v>-1</v>
      </c>
    </row>
    <row r="25" spans="1:3" x14ac:dyDescent="0.3">
      <c r="A25" s="6"/>
      <c r="B25" s="6" t="s">
        <v>398</v>
      </c>
      <c r="C25" s="6">
        <v>-1</v>
      </c>
    </row>
    <row r="26" spans="1:3" x14ac:dyDescent="0.3">
      <c r="A26" s="6" t="s">
        <v>1997</v>
      </c>
      <c r="B26" s="6" t="s">
        <v>332</v>
      </c>
      <c r="C26" s="6">
        <v>17</v>
      </c>
    </row>
    <row r="27" spans="1:3" x14ac:dyDescent="0.3">
      <c r="A27" s="6" t="s">
        <v>4333</v>
      </c>
      <c r="B27" s="6" t="s">
        <v>332</v>
      </c>
      <c r="C27" s="6">
        <v>33</v>
      </c>
    </row>
    <row r="28" spans="1:3" x14ac:dyDescent="0.3">
      <c r="A28" s="6" t="s">
        <v>4517</v>
      </c>
      <c r="B28" s="6" t="s">
        <v>332</v>
      </c>
      <c r="C28" s="6">
        <v>17</v>
      </c>
    </row>
    <row r="29" spans="1:3" x14ac:dyDescent="0.3">
      <c r="A29" s="6"/>
      <c r="B29" s="6" t="s">
        <v>358</v>
      </c>
      <c r="C29" s="6">
        <v>-1</v>
      </c>
    </row>
    <row r="30" spans="1:3" x14ac:dyDescent="0.3">
      <c r="A30" s="6"/>
      <c r="B30" s="6" t="s">
        <v>572</v>
      </c>
      <c r="C30" s="6">
        <v>-1</v>
      </c>
    </row>
    <row r="31" spans="1:3" x14ac:dyDescent="0.3">
      <c r="A31" s="6"/>
      <c r="B31" s="6" t="s">
        <v>718</v>
      </c>
      <c r="C31" s="6">
        <v>-1</v>
      </c>
    </row>
    <row r="32" spans="1:3" x14ac:dyDescent="0.3">
      <c r="A32" s="6" t="s">
        <v>2758</v>
      </c>
      <c r="B32" s="6" t="s">
        <v>412</v>
      </c>
      <c r="C32" s="6">
        <v>33</v>
      </c>
    </row>
    <row r="33" spans="1:3" x14ac:dyDescent="0.3">
      <c r="A33" s="6" t="s">
        <v>2956</v>
      </c>
      <c r="B33" s="6" t="s">
        <v>412</v>
      </c>
      <c r="C33" s="6">
        <v>33</v>
      </c>
    </row>
    <row r="34" spans="1:3" x14ac:dyDescent="0.3">
      <c r="A34" s="6"/>
      <c r="B34" s="6" t="s">
        <v>412</v>
      </c>
      <c r="C34" s="6">
        <v>-1</v>
      </c>
    </row>
    <row r="35" spans="1:3" x14ac:dyDescent="0.3">
      <c r="A35" s="6" t="s">
        <v>1770</v>
      </c>
      <c r="B35" s="6" t="s">
        <v>328</v>
      </c>
      <c r="C35" s="6">
        <v>33</v>
      </c>
    </row>
    <row r="36" spans="1:3" x14ac:dyDescent="0.3">
      <c r="A36" s="6" t="s">
        <v>4470</v>
      </c>
      <c r="B36" s="6" t="s">
        <v>328</v>
      </c>
      <c r="C36" s="6">
        <v>17</v>
      </c>
    </row>
    <row r="37" spans="1:3" x14ac:dyDescent="0.3">
      <c r="A37" s="6"/>
      <c r="B37" s="6" t="s">
        <v>328</v>
      </c>
      <c r="C37" s="6">
        <v>-1</v>
      </c>
    </row>
    <row r="38" spans="1:3" x14ac:dyDescent="0.3">
      <c r="A38" s="6"/>
      <c r="B38" s="6" t="s">
        <v>382</v>
      </c>
      <c r="C38" s="6">
        <v>-1</v>
      </c>
    </row>
    <row r="39" spans="1:3" x14ac:dyDescent="0.3">
      <c r="A39" s="6"/>
      <c r="B39" s="6" t="s">
        <v>382</v>
      </c>
      <c r="C39" s="6">
        <v>-1</v>
      </c>
    </row>
    <row r="40" spans="1:3" x14ac:dyDescent="0.3">
      <c r="A40" s="6"/>
      <c r="B40" s="6" t="s">
        <v>382</v>
      </c>
      <c r="C40" s="6">
        <v>-1</v>
      </c>
    </row>
    <row r="41" spans="1:3" x14ac:dyDescent="0.3">
      <c r="A41" s="6" t="s">
        <v>2605</v>
      </c>
      <c r="B41" s="6" t="s">
        <v>402</v>
      </c>
      <c r="C41" s="6">
        <v>17</v>
      </c>
    </row>
    <row r="42" spans="1:3" x14ac:dyDescent="0.3">
      <c r="A42" s="6" t="s">
        <v>4034</v>
      </c>
      <c r="B42" s="6" t="s">
        <v>402</v>
      </c>
      <c r="C42" s="6">
        <v>33</v>
      </c>
    </row>
    <row r="43" spans="1:3" x14ac:dyDescent="0.3">
      <c r="A43" s="6"/>
      <c r="B43" s="6" t="s">
        <v>402</v>
      </c>
      <c r="C43" s="6">
        <v>-1</v>
      </c>
    </row>
    <row r="44" spans="1:3" x14ac:dyDescent="0.3">
      <c r="A44" s="6" t="s">
        <v>4975</v>
      </c>
      <c r="B44" s="6" t="s">
        <v>368</v>
      </c>
      <c r="C44" s="6">
        <v>33</v>
      </c>
    </row>
    <row r="45" spans="1:3" x14ac:dyDescent="0.3">
      <c r="A45" s="6" t="s">
        <v>4976</v>
      </c>
      <c r="B45" s="6" t="s">
        <v>368</v>
      </c>
      <c r="C45" s="6">
        <v>33</v>
      </c>
    </row>
    <row r="46" spans="1:3" x14ac:dyDescent="0.3">
      <c r="A46" s="6"/>
      <c r="B46" s="6" t="s">
        <v>368</v>
      </c>
      <c r="C46" s="6">
        <v>-1</v>
      </c>
    </row>
    <row r="47" spans="1:3" x14ac:dyDescent="0.3">
      <c r="A47" s="6"/>
      <c r="B47" s="6" t="s">
        <v>360</v>
      </c>
      <c r="C47" s="6">
        <v>-1</v>
      </c>
    </row>
    <row r="48" spans="1:3" x14ac:dyDescent="0.3">
      <c r="A48" s="6"/>
      <c r="B48" s="6" t="s">
        <v>726</v>
      </c>
      <c r="C48" s="6">
        <v>-1</v>
      </c>
    </row>
    <row r="49" spans="1:3" x14ac:dyDescent="0.3">
      <c r="A49" s="6"/>
      <c r="B49" s="6" t="s">
        <v>390</v>
      </c>
      <c r="C49" s="6">
        <v>-1</v>
      </c>
    </row>
    <row r="50" spans="1:3" x14ac:dyDescent="0.3">
      <c r="A50" s="6"/>
      <c r="B50" s="6" t="s">
        <v>408</v>
      </c>
      <c r="C50" s="6">
        <v>-1</v>
      </c>
    </row>
    <row r="51" spans="1:3" x14ac:dyDescent="0.3">
      <c r="A51" s="6"/>
      <c r="B51" s="6" t="s">
        <v>394</v>
      </c>
      <c r="C51" s="6">
        <v>-1</v>
      </c>
    </row>
    <row r="52" spans="1:3" x14ac:dyDescent="0.3">
      <c r="A52" s="6"/>
      <c r="B52" s="6" t="s">
        <v>456</v>
      </c>
      <c r="C52" s="6">
        <v>-1</v>
      </c>
    </row>
    <row r="53" spans="1:3" x14ac:dyDescent="0.3">
      <c r="A53" s="6" t="s">
        <v>2607</v>
      </c>
      <c r="B53" s="6" t="s">
        <v>448</v>
      </c>
      <c r="C53" s="6">
        <v>7</v>
      </c>
    </row>
    <row r="54" spans="1:3" x14ac:dyDescent="0.3">
      <c r="A54" s="6"/>
      <c r="B54" s="6" t="s">
        <v>448</v>
      </c>
      <c r="C54" s="6">
        <v>-1</v>
      </c>
    </row>
    <row r="55" spans="1:3" x14ac:dyDescent="0.3">
      <c r="A55" s="6"/>
      <c r="B55" s="6" t="s">
        <v>448</v>
      </c>
      <c r="C55" s="6">
        <v>-1</v>
      </c>
    </row>
    <row r="56" spans="1:3" x14ac:dyDescent="0.3">
      <c r="A56" s="6" t="s">
        <v>1366</v>
      </c>
      <c r="B56" s="6" t="s">
        <v>432</v>
      </c>
      <c r="C56" s="6">
        <v>5</v>
      </c>
    </row>
    <row r="57" spans="1:3" x14ac:dyDescent="0.3">
      <c r="A57" s="6" t="s">
        <v>1368</v>
      </c>
      <c r="B57" s="6" t="s">
        <v>432</v>
      </c>
      <c r="C57" s="6">
        <v>17</v>
      </c>
    </row>
    <row r="58" spans="1:3" x14ac:dyDescent="0.3">
      <c r="A58" s="6"/>
      <c r="B58" s="6" t="s">
        <v>432</v>
      </c>
      <c r="C58" s="6">
        <v>-1</v>
      </c>
    </row>
    <row r="59" spans="1:3" x14ac:dyDescent="0.3">
      <c r="A59" s="6"/>
      <c r="B59" s="6" t="s">
        <v>348</v>
      </c>
      <c r="C59" s="6">
        <v>-1</v>
      </c>
    </row>
    <row r="60" spans="1:3" x14ac:dyDescent="0.3">
      <c r="A60" s="6" t="s">
        <v>4219</v>
      </c>
      <c r="B60" s="6" t="s">
        <v>598</v>
      </c>
      <c r="C60" s="6">
        <v>33</v>
      </c>
    </row>
    <row r="61" spans="1:3" x14ac:dyDescent="0.3">
      <c r="A61" s="6"/>
      <c r="B61" s="6" t="s">
        <v>414</v>
      </c>
      <c r="C61" s="6">
        <v>-1</v>
      </c>
    </row>
    <row r="62" spans="1:3" x14ac:dyDescent="0.3">
      <c r="A62" s="6"/>
      <c r="B62" s="6" t="s">
        <v>694</v>
      </c>
      <c r="C62" s="6">
        <v>-1</v>
      </c>
    </row>
    <row r="63" spans="1:3" x14ac:dyDescent="0.3">
      <c r="A63" s="6"/>
      <c r="B63" s="6" t="s">
        <v>730</v>
      </c>
      <c r="C63" s="6">
        <v>-1</v>
      </c>
    </row>
    <row r="64" spans="1:3" x14ac:dyDescent="0.3">
      <c r="A64" s="6" t="s">
        <v>1574</v>
      </c>
      <c r="B64" s="6" t="s">
        <v>434</v>
      </c>
      <c r="C64" s="6">
        <v>33</v>
      </c>
    </row>
    <row r="65" spans="1:3" x14ac:dyDescent="0.3">
      <c r="A65" s="6"/>
      <c r="B65" s="6" t="s">
        <v>684</v>
      </c>
      <c r="C65" s="6">
        <v>-1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F5068-E565-45F3-89FD-B09F1897D8CB}">
  <dimension ref="A1:E28"/>
  <sheetViews>
    <sheetView topLeftCell="A19" workbookViewId="0">
      <selection activeCell="B29" sqref="B29"/>
    </sheetView>
  </sheetViews>
  <sheetFormatPr defaultRowHeight="14.4" x14ac:dyDescent="0.3"/>
  <cols>
    <col min="1" max="1" width="41.109375" bestFit="1" customWidth="1"/>
    <col min="2" max="2" width="13.6640625" bestFit="1" customWidth="1"/>
    <col min="3" max="3" width="32.6640625" bestFit="1" customWidth="1"/>
    <col min="4" max="4" width="17" bestFit="1" customWidth="1"/>
    <col min="5" max="5" width="14.77734375" bestFit="1" customWidth="1"/>
  </cols>
  <sheetData>
    <row r="1" spans="1:5" x14ac:dyDescent="0.3">
      <c r="A1" t="s">
        <v>833</v>
      </c>
      <c r="B1" t="s">
        <v>1</v>
      </c>
      <c r="C1" t="s">
        <v>2996</v>
      </c>
      <c r="D1" t="s">
        <v>1212</v>
      </c>
      <c r="E1" t="s">
        <v>1213</v>
      </c>
    </row>
    <row r="2" spans="1:5" x14ac:dyDescent="0.3">
      <c r="A2" s="6" t="s">
        <v>3258</v>
      </c>
      <c r="B2" s="6" t="s">
        <v>344</v>
      </c>
      <c r="C2" s="6">
        <v>9</v>
      </c>
      <c r="D2" s="6">
        <f>Tabela88[[#This Row],[Total Athletes]]-(LEN(Tabela88[[#This Row],[Pair]])-LEN(SUBSTITUTE(Tabela88[[#This Row],[Pair]],"/","")))-1</f>
        <v>1</v>
      </c>
      <c r="E2" s="6">
        <v>2</v>
      </c>
    </row>
    <row r="3" spans="1:5" x14ac:dyDescent="0.3">
      <c r="A3" s="6" t="s">
        <v>1266</v>
      </c>
      <c r="B3" s="6" t="s">
        <v>330</v>
      </c>
      <c r="C3" s="6">
        <v>6</v>
      </c>
      <c r="D3" s="6">
        <f>Tabela88[[#This Row],[Total Athletes]]-(LEN(Tabela88[[#This Row],[Pair]])-LEN(SUBSTITUTE(Tabela88[[#This Row],[Pair]],"/","")))-1</f>
        <v>1</v>
      </c>
      <c r="E3" s="6">
        <v>2</v>
      </c>
    </row>
    <row r="4" spans="1:5" x14ac:dyDescent="0.3">
      <c r="A4" s="6"/>
      <c r="B4" s="6" t="s">
        <v>334</v>
      </c>
      <c r="C4" s="6">
        <v>-1</v>
      </c>
      <c r="D4" s="6">
        <f>Tabela88[[#This Row],[Total Athletes]]-(LEN(Tabela88[[#This Row],[Pair]])-LEN(SUBSTITUTE(Tabela88[[#This Row],[Pair]],"/","")))-1</f>
        <v>-1</v>
      </c>
      <c r="E4" s="6"/>
    </row>
    <row r="5" spans="1:5" x14ac:dyDescent="0.3">
      <c r="A5" s="6"/>
      <c r="B5" s="6" t="s">
        <v>428</v>
      </c>
      <c r="C5" s="6">
        <v>-1</v>
      </c>
      <c r="D5" s="6">
        <f>Tabela88[[#This Row],[Total Athletes]]-(LEN(Tabela88[[#This Row],[Pair]])-LEN(SUBSTITUTE(Tabela88[[#This Row],[Pair]],"/","")))-1</f>
        <v>-1</v>
      </c>
      <c r="E5" s="6"/>
    </row>
    <row r="6" spans="1:5" x14ac:dyDescent="0.3">
      <c r="A6" s="6"/>
      <c r="B6" s="6" t="s">
        <v>336</v>
      </c>
      <c r="C6" s="6">
        <v>-1</v>
      </c>
      <c r="D6" s="6">
        <f>Tabela88[[#This Row],[Total Athletes]]-(LEN(Tabela88[[#This Row],[Pair]])-LEN(SUBSTITUTE(Tabela88[[#This Row],[Pair]],"/","")))-1</f>
        <v>-1</v>
      </c>
      <c r="E6" s="6"/>
    </row>
    <row r="7" spans="1:5" x14ac:dyDescent="0.3">
      <c r="A7" s="6" t="s">
        <v>3189</v>
      </c>
      <c r="B7" s="6" t="s">
        <v>700</v>
      </c>
      <c r="C7" s="6">
        <v>1</v>
      </c>
      <c r="D7" s="6">
        <f>Tabela88[[#This Row],[Total Athletes]]-(LEN(Tabela88[[#This Row],[Pair]])-LEN(SUBSTITUTE(Tabela88[[#This Row],[Pair]],"/","")))-1</f>
        <v>1</v>
      </c>
      <c r="E7" s="6">
        <v>2</v>
      </c>
    </row>
    <row r="8" spans="1:5" x14ac:dyDescent="0.3">
      <c r="A8" s="6"/>
      <c r="B8" s="6" t="s">
        <v>326</v>
      </c>
      <c r="C8" s="6">
        <v>-1</v>
      </c>
      <c r="D8" s="6">
        <f>Tabela88[[#This Row],[Total Athletes]]-(LEN(Tabela88[[#This Row],[Pair]])-LEN(SUBSTITUTE(Tabela88[[#This Row],[Pair]],"/","")))-1</f>
        <v>-1</v>
      </c>
      <c r="E8" s="6"/>
    </row>
    <row r="9" spans="1:5" x14ac:dyDescent="0.3">
      <c r="A9" s="6" t="s">
        <v>2358</v>
      </c>
      <c r="B9" s="6" t="s">
        <v>354</v>
      </c>
      <c r="C9" s="6">
        <v>26</v>
      </c>
      <c r="D9" s="6">
        <f>Tabela88[[#This Row],[Total Athletes]]-(LEN(Tabela88[[#This Row],[Pair]])-LEN(SUBSTITUTE(Tabela88[[#This Row],[Pair]],"/","")))-1</f>
        <v>1</v>
      </c>
      <c r="E9" s="6">
        <v>2</v>
      </c>
    </row>
    <row r="10" spans="1:5" x14ac:dyDescent="0.3">
      <c r="A10" s="6"/>
      <c r="B10" s="6" t="s">
        <v>384</v>
      </c>
      <c r="C10" s="6">
        <v>-1</v>
      </c>
      <c r="D10" s="6">
        <f>Tabela88[[#This Row],[Total Athletes]]-(LEN(Tabela88[[#This Row],[Pair]])-LEN(SUBSTITUTE(Tabela88[[#This Row],[Pair]],"/","")))-1</f>
        <v>-1</v>
      </c>
      <c r="E10" s="6"/>
    </row>
    <row r="11" spans="1:5" x14ac:dyDescent="0.3">
      <c r="A11" s="6"/>
      <c r="B11" s="6" t="s">
        <v>362</v>
      </c>
      <c r="C11" s="6">
        <v>-1</v>
      </c>
      <c r="D11" s="6">
        <f>Tabela88[[#This Row],[Total Athletes]]-(LEN(Tabela88[[#This Row],[Pair]])-LEN(SUBSTITUTE(Tabela88[[#This Row],[Pair]],"/","")))-1</f>
        <v>-1</v>
      </c>
      <c r="E11" s="6"/>
    </row>
    <row r="12" spans="1:5" x14ac:dyDescent="0.3">
      <c r="A12" s="6" t="s">
        <v>4518</v>
      </c>
      <c r="B12" s="6" t="s">
        <v>332</v>
      </c>
      <c r="C12" s="6">
        <v>3</v>
      </c>
      <c r="D12" s="6">
        <f>Tabela88[[#This Row],[Total Athletes]]-(LEN(Tabela88[[#This Row],[Pair]])-LEN(SUBSTITUTE(Tabela88[[#This Row],[Pair]],"/","")))-1</f>
        <v>0</v>
      </c>
      <c r="E12" s="6">
        <v>2</v>
      </c>
    </row>
    <row r="13" spans="1:5" x14ac:dyDescent="0.3">
      <c r="A13" s="6"/>
      <c r="B13" s="6" t="s">
        <v>718</v>
      </c>
      <c r="C13" s="6">
        <v>-1</v>
      </c>
      <c r="D13" s="6">
        <f>Tabela88[[#This Row],[Total Athletes]]-(LEN(Tabela88[[#This Row],[Pair]])-LEN(SUBSTITUTE(Tabela88[[#This Row],[Pair]],"/","")))-1</f>
        <v>-1</v>
      </c>
      <c r="E13" s="6"/>
    </row>
    <row r="14" spans="1:5" x14ac:dyDescent="0.3">
      <c r="A14" s="6" t="s">
        <v>3627</v>
      </c>
      <c r="B14" s="6" t="s">
        <v>356</v>
      </c>
      <c r="C14" s="6">
        <v>7</v>
      </c>
      <c r="D14" s="6">
        <f>Tabela88[[#This Row],[Total Athletes]]-(LEN(Tabela88[[#This Row],[Pair]])-LEN(SUBSTITUTE(Tabela88[[#This Row],[Pair]],"/","")))-1</f>
        <v>1</v>
      </c>
      <c r="E14" s="6">
        <v>2</v>
      </c>
    </row>
    <row r="15" spans="1:5" x14ac:dyDescent="0.3">
      <c r="A15" s="6" t="s">
        <v>2758</v>
      </c>
      <c r="B15" s="6" t="s">
        <v>412</v>
      </c>
      <c r="C15" s="6">
        <v>17</v>
      </c>
      <c r="D15" s="6">
        <f>Tabela88[[#This Row],[Total Athletes]]-(LEN(Tabela88[[#This Row],[Pair]])-LEN(SUBSTITUTE(Tabela88[[#This Row],[Pair]],"/","")))-1</f>
        <v>1</v>
      </c>
      <c r="E15" s="6">
        <v>2</v>
      </c>
    </row>
    <row r="16" spans="1:5" x14ac:dyDescent="0.3">
      <c r="A16" s="6" t="s">
        <v>3002</v>
      </c>
      <c r="B16" s="6" t="s">
        <v>350</v>
      </c>
      <c r="C16" s="6">
        <v>8</v>
      </c>
      <c r="D16" s="6">
        <f>Tabela88[[#This Row],[Total Athletes]]-(LEN(Tabela88[[#This Row],[Pair]])-LEN(SUBSTITUTE(Tabela88[[#This Row],[Pair]],"/","")))-1</f>
        <v>1</v>
      </c>
      <c r="E16" s="6">
        <v>2</v>
      </c>
    </row>
    <row r="17" spans="1:5" x14ac:dyDescent="0.3">
      <c r="A17" s="6" t="s">
        <v>2612</v>
      </c>
      <c r="B17" s="6" t="s">
        <v>482</v>
      </c>
      <c r="C17" s="6">
        <v>9</v>
      </c>
      <c r="D17" s="6">
        <f>Tabela88[[#This Row],[Total Athletes]]-(LEN(Tabela88[[#This Row],[Pair]])-LEN(SUBSTITUTE(Tabela88[[#This Row],[Pair]],"/","")))-1</f>
        <v>1</v>
      </c>
      <c r="E17" s="6">
        <v>2</v>
      </c>
    </row>
    <row r="18" spans="1:5" x14ac:dyDescent="0.3">
      <c r="A18" s="6"/>
      <c r="B18" s="6" t="s">
        <v>442</v>
      </c>
      <c r="C18" s="6">
        <v>-1</v>
      </c>
      <c r="D18" s="6">
        <f>Tabela88[[#This Row],[Total Athletes]]-(LEN(Tabela88[[#This Row],[Pair]])-LEN(SUBSTITUTE(Tabela88[[#This Row],[Pair]],"/","")))-1</f>
        <v>-1</v>
      </c>
      <c r="E18" s="6"/>
    </row>
    <row r="19" spans="1:5" x14ac:dyDescent="0.3">
      <c r="A19" s="6" t="s">
        <v>2606</v>
      </c>
      <c r="B19" s="6" t="s">
        <v>402</v>
      </c>
      <c r="C19" s="6">
        <v>19</v>
      </c>
      <c r="D19" s="6">
        <f>Tabela88[[#This Row],[Total Athletes]]-(LEN(Tabela88[[#This Row],[Pair]])-LEN(SUBSTITUTE(Tabela88[[#This Row],[Pair]],"/","")))-1</f>
        <v>0</v>
      </c>
      <c r="E19" s="6">
        <v>2</v>
      </c>
    </row>
    <row r="20" spans="1:5" x14ac:dyDescent="0.3">
      <c r="A20" s="6"/>
      <c r="B20" s="6" t="s">
        <v>368</v>
      </c>
      <c r="C20" s="6">
        <v>-1</v>
      </c>
      <c r="D20" s="6">
        <f>Tabela88[[#This Row],[Total Athletes]]-(LEN(Tabela88[[#This Row],[Pair]])-LEN(SUBSTITUTE(Tabela88[[#This Row],[Pair]],"/","")))-1</f>
        <v>-1</v>
      </c>
      <c r="E20" s="6"/>
    </row>
    <row r="21" spans="1:5" x14ac:dyDescent="0.3">
      <c r="A21" s="6" t="s">
        <v>2871</v>
      </c>
      <c r="B21" s="6" t="s">
        <v>726</v>
      </c>
      <c r="C21" s="6">
        <v>21</v>
      </c>
      <c r="D21" s="6">
        <f>Tabela88[[#This Row],[Total Athletes]]-(LEN(Tabela88[[#This Row],[Pair]])-LEN(SUBSTITUTE(Tabela88[[#This Row],[Pair]],"/","")))-1</f>
        <v>1</v>
      </c>
      <c r="E21" s="6">
        <v>2</v>
      </c>
    </row>
    <row r="22" spans="1:5" x14ac:dyDescent="0.3">
      <c r="A22" s="6"/>
      <c r="B22" s="6" t="s">
        <v>390</v>
      </c>
      <c r="C22" s="6">
        <v>-1</v>
      </c>
      <c r="D22" s="6">
        <f>Tabela88[[#This Row],[Total Athletes]]-(LEN(Tabela88[[#This Row],[Pair]])-LEN(SUBSTITUTE(Tabela88[[#This Row],[Pair]],"/","")))-1</f>
        <v>-1</v>
      </c>
      <c r="E22" s="6"/>
    </row>
    <row r="23" spans="1:5" x14ac:dyDescent="0.3">
      <c r="A23" s="6" t="s">
        <v>4470</v>
      </c>
      <c r="B23" s="6" t="s">
        <v>328</v>
      </c>
      <c r="C23" s="6">
        <v>9</v>
      </c>
      <c r="D23" s="6">
        <f>Tabela88[[#This Row],[Total Athletes]]-(LEN(Tabela88[[#This Row],[Pair]])-LEN(SUBSTITUTE(Tabela88[[#This Row],[Pair]],"/","")))-1</f>
        <v>1</v>
      </c>
      <c r="E23" s="6">
        <v>2</v>
      </c>
    </row>
    <row r="24" spans="1:5" x14ac:dyDescent="0.3">
      <c r="A24" s="6"/>
      <c r="B24" s="6" t="s">
        <v>448</v>
      </c>
      <c r="C24" s="6">
        <v>-1</v>
      </c>
      <c r="D24" s="6">
        <f>Tabela88[[#This Row],[Total Athletes]]-(LEN(Tabela88[[#This Row],[Pair]])-LEN(SUBSTITUTE(Tabela88[[#This Row],[Pair]],"/","")))-1</f>
        <v>-1</v>
      </c>
      <c r="E24" s="6"/>
    </row>
    <row r="25" spans="1:5" x14ac:dyDescent="0.3">
      <c r="A25" s="6" t="s">
        <v>1896</v>
      </c>
      <c r="B25" s="6" t="s">
        <v>432</v>
      </c>
      <c r="C25" s="6">
        <v>9</v>
      </c>
      <c r="D25" s="6">
        <f>Tabela88[[#This Row],[Total Athletes]]-(LEN(Tabela88[[#This Row],[Pair]])-LEN(SUBSTITUTE(Tabela88[[#This Row],[Pair]],"/","")))-1</f>
        <v>0</v>
      </c>
      <c r="E25" s="6">
        <v>2</v>
      </c>
    </row>
    <row r="26" spans="1:5" x14ac:dyDescent="0.3">
      <c r="A26" s="6" t="s">
        <v>4219</v>
      </c>
      <c r="B26" s="6" t="s">
        <v>598</v>
      </c>
      <c r="C26" s="6">
        <v>18</v>
      </c>
      <c r="D26" s="6">
        <f>Tabela88[[#This Row],[Total Athletes]]-(LEN(Tabela88[[#This Row],[Pair]])-LEN(SUBSTITUTE(Tabela88[[#This Row],[Pair]],"/","")))-1</f>
        <v>1</v>
      </c>
      <c r="E26" s="6">
        <v>2</v>
      </c>
    </row>
    <row r="27" spans="1:5" x14ac:dyDescent="0.3">
      <c r="A27" s="6"/>
      <c r="B27" s="6" t="s">
        <v>694</v>
      </c>
      <c r="C27" s="6">
        <v>-1</v>
      </c>
      <c r="D27" s="6">
        <f>Tabela88[[#This Row],[Total Athletes]]-(LEN(Tabela88[[#This Row],[Pair]])-LEN(SUBSTITUTE(Tabela88[[#This Row],[Pair]],"/","")))-1</f>
        <v>-1</v>
      </c>
      <c r="E27" s="6"/>
    </row>
    <row r="28" spans="1:5" x14ac:dyDescent="0.3">
      <c r="A28" s="6"/>
      <c r="B28" s="6" t="s">
        <v>730</v>
      </c>
      <c r="C28" s="6">
        <v>-1</v>
      </c>
      <c r="D28" s="6">
        <f>Tabela88[[#This Row],[Total Athletes]]-(LEN(Tabela88[[#This Row],[Pair]])-LEN(SUBSTITUTE(Tabela88[[#This Row],[Pair]],"/","")))-1</f>
        <v>-1</v>
      </c>
      <c r="E28" s="6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E108E-FA21-472C-836C-47DBA16E7B62}">
  <dimension ref="A1:F25"/>
  <sheetViews>
    <sheetView topLeftCell="A18" workbookViewId="0">
      <selection activeCell="B26" sqref="B26"/>
    </sheetView>
  </sheetViews>
  <sheetFormatPr defaultRowHeight="14.4" x14ac:dyDescent="0.3"/>
  <cols>
    <col min="1" max="1" width="62.5546875" bestFit="1" customWidth="1"/>
    <col min="2" max="2" width="13.6640625" bestFit="1" customWidth="1"/>
    <col min="3" max="3" width="32.5546875" bestFit="1" customWidth="1"/>
    <col min="4" max="4" width="35.33203125" bestFit="1" customWidth="1"/>
    <col min="5" max="5" width="17" bestFit="1" customWidth="1"/>
    <col min="6" max="6" width="14.77734375" bestFit="1" customWidth="1"/>
  </cols>
  <sheetData>
    <row r="1" spans="1:6" x14ac:dyDescent="0.3">
      <c r="A1" t="s">
        <v>834</v>
      </c>
      <c r="B1" t="s">
        <v>1</v>
      </c>
      <c r="C1" t="s">
        <v>2997</v>
      </c>
      <c r="D1" t="s">
        <v>2998</v>
      </c>
      <c r="E1" t="s">
        <v>1212</v>
      </c>
      <c r="F1" t="s">
        <v>1213</v>
      </c>
    </row>
    <row r="2" spans="1:6" ht="15.6" customHeight="1" x14ac:dyDescent="0.3">
      <c r="A2" s="6" t="s">
        <v>3288</v>
      </c>
      <c r="B2" s="6" t="s">
        <v>344</v>
      </c>
      <c r="C2" s="6">
        <v>2</v>
      </c>
      <c r="D2" s="6"/>
      <c r="E2" s="6">
        <f>Table35[[#This Row],[Total Athletes]]-(LEN(Table35[[#This Row],[Team]])-LEN(SUBSTITUTE(Table35[[#This Row],[Team]],"/","")))-1</f>
        <v>0</v>
      </c>
      <c r="F2" s="6">
        <v>3</v>
      </c>
    </row>
    <row r="3" spans="1:6" x14ac:dyDescent="0.3">
      <c r="A3" s="6" t="s">
        <v>4395</v>
      </c>
      <c r="B3" s="6" t="s">
        <v>344</v>
      </c>
      <c r="C3" s="6"/>
      <c r="D3" s="6">
        <v>9</v>
      </c>
      <c r="E3" s="6">
        <f>Table35[[#This Row],[Total Athletes]]-(LEN(Table35[[#This Row],[Team]])-LEN(SUBSTITUTE(Table35[[#This Row],[Team]],"/","")))-1</f>
        <v>1</v>
      </c>
      <c r="F3" s="6">
        <v>3</v>
      </c>
    </row>
    <row r="4" spans="1:6" x14ac:dyDescent="0.3">
      <c r="A4" s="6" t="s">
        <v>3189</v>
      </c>
      <c r="B4" s="6" t="s">
        <v>700</v>
      </c>
      <c r="C4" s="6">
        <v>1</v>
      </c>
      <c r="D4" s="6"/>
      <c r="E4" s="6">
        <f>Table35[[#This Row],[Total Athletes]]-(LEN(Table35[[#This Row],[Team]])-LEN(SUBSTITUTE(Table35[[#This Row],[Team]],"/","")))-1</f>
        <v>2</v>
      </c>
      <c r="F4" s="6">
        <v>3</v>
      </c>
    </row>
    <row r="5" spans="1:6" x14ac:dyDescent="0.3">
      <c r="A5" s="6"/>
      <c r="B5" s="6" t="s">
        <v>718</v>
      </c>
      <c r="C5" s="6">
        <v>-1</v>
      </c>
      <c r="D5" s="6"/>
      <c r="E5" s="6">
        <f>Table35[[#This Row],[Total Athletes]]-(LEN(Table35[[#This Row],[Team]])-LEN(SUBSTITUTE(Table35[[#This Row],[Team]],"/","")))-1</f>
        <v>-1</v>
      </c>
      <c r="F5" s="6"/>
    </row>
    <row r="6" spans="1:6" x14ac:dyDescent="0.3">
      <c r="A6" s="6" t="s">
        <v>3125</v>
      </c>
      <c r="B6" s="6" t="s">
        <v>428</v>
      </c>
      <c r="C6" s="6">
        <v>8</v>
      </c>
      <c r="D6" s="6"/>
      <c r="E6" s="6">
        <f>Table35[[#This Row],[Total Athletes]]-(LEN(Table35[[#This Row],[Team]])-LEN(SUBSTITUTE(Table35[[#This Row],[Team]],"/","")))-1</f>
        <v>1</v>
      </c>
      <c r="F6" s="6">
        <v>3</v>
      </c>
    </row>
    <row r="7" spans="1:6" x14ac:dyDescent="0.3">
      <c r="A7" s="6"/>
      <c r="B7" s="6" t="s">
        <v>334</v>
      </c>
      <c r="C7" s="6"/>
      <c r="D7" s="6">
        <v>-1</v>
      </c>
      <c r="E7" s="6">
        <f>Table35[[#This Row],[Total Athletes]]-(LEN(Table35[[#This Row],[Team]])-LEN(SUBSTITUTE(Table35[[#This Row],[Team]],"/","")))-1</f>
        <v>-1</v>
      </c>
      <c r="F7" s="6"/>
    </row>
    <row r="8" spans="1:6" x14ac:dyDescent="0.3">
      <c r="A8" s="6" t="s">
        <v>3002</v>
      </c>
      <c r="B8" s="6" t="s">
        <v>350</v>
      </c>
      <c r="C8" s="6"/>
      <c r="D8" s="6">
        <v>3</v>
      </c>
      <c r="E8" s="6">
        <f>Table35[[#This Row],[Total Athletes]]-(LEN(Table35[[#This Row],[Team]])-LEN(SUBSTITUTE(Table35[[#This Row],[Team]],"/","")))-1</f>
        <v>2</v>
      </c>
      <c r="F8" s="6">
        <v>3</v>
      </c>
    </row>
    <row r="9" spans="1:6" x14ac:dyDescent="0.3">
      <c r="A9" s="6" t="s">
        <v>2320</v>
      </c>
      <c r="B9" s="6" t="s">
        <v>604</v>
      </c>
      <c r="C9" s="6">
        <v>9</v>
      </c>
      <c r="D9" s="6"/>
      <c r="E9" s="6">
        <f>Table35[[#This Row],[Total Athletes]]-(LEN(Table35[[#This Row],[Team]])-LEN(SUBSTITUTE(Table35[[#This Row],[Team]],"/","")))-1</f>
        <v>0</v>
      </c>
      <c r="F9" s="6">
        <v>3</v>
      </c>
    </row>
    <row r="10" spans="1:6" x14ac:dyDescent="0.3">
      <c r="A10" s="6"/>
      <c r="B10" s="6" t="s">
        <v>700</v>
      </c>
      <c r="C10" s="6"/>
      <c r="D10" s="6">
        <v>-1</v>
      </c>
      <c r="E10" s="6">
        <f>Table35[[#This Row],[Total Athletes]]-(LEN(Table35[[#This Row],[Team]])-LEN(SUBSTITUTE(Table35[[#This Row],[Team]],"/","")))-1</f>
        <v>-1</v>
      </c>
      <c r="F10" s="6"/>
    </row>
    <row r="11" spans="1:6" x14ac:dyDescent="0.3">
      <c r="A11" s="6" t="s">
        <v>4717</v>
      </c>
      <c r="B11" s="6" t="s">
        <v>362</v>
      </c>
      <c r="C11" s="6">
        <v>9</v>
      </c>
      <c r="D11" s="6"/>
      <c r="E11" s="6">
        <f>Table35[[#This Row],[Total Athletes]]-(LEN(Table35[[#This Row],[Team]])-LEN(SUBSTITUTE(Table35[[#This Row],[Team]],"/","")))-1</f>
        <v>1</v>
      </c>
      <c r="F11" s="6">
        <v>3</v>
      </c>
    </row>
    <row r="12" spans="1:6" x14ac:dyDescent="0.3">
      <c r="A12" s="6" t="s">
        <v>4519</v>
      </c>
      <c r="B12" s="6" t="s">
        <v>332</v>
      </c>
      <c r="C12" s="6"/>
      <c r="D12" s="6">
        <v>9</v>
      </c>
      <c r="E12" s="6">
        <f>Table35[[#This Row],[Total Athletes]]-(LEN(Table35[[#This Row],[Team]])-LEN(SUBSTITUTE(Table35[[#This Row],[Team]],"/","")))-1</f>
        <v>0</v>
      </c>
      <c r="F12" s="6">
        <v>3</v>
      </c>
    </row>
    <row r="13" spans="1:6" x14ac:dyDescent="0.3">
      <c r="A13" s="6"/>
      <c r="B13" s="6" t="s">
        <v>356</v>
      </c>
      <c r="C13" s="6">
        <v>-1</v>
      </c>
      <c r="D13" s="6"/>
      <c r="E13" s="6">
        <f>Table35[[#This Row],[Total Athletes]]-(LEN(Table35[[#This Row],[Team]])-LEN(SUBSTITUTE(Table35[[#This Row],[Team]],"/","")))-1</f>
        <v>-1</v>
      </c>
      <c r="F13" s="6"/>
    </row>
    <row r="14" spans="1:6" x14ac:dyDescent="0.3">
      <c r="A14" s="6" t="s">
        <v>2957</v>
      </c>
      <c r="B14" s="6" t="s">
        <v>412</v>
      </c>
      <c r="C14" s="6"/>
      <c r="D14" s="6">
        <v>4</v>
      </c>
      <c r="E14" s="6">
        <f>Table35[[#This Row],[Total Athletes]]-(LEN(Table35[[#This Row],[Team]])-LEN(SUBSTITUTE(Table35[[#This Row],[Team]],"/","")))-1</f>
        <v>1</v>
      </c>
      <c r="F14" s="6">
        <v>3</v>
      </c>
    </row>
    <row r="15" spans="1:6" x14ac:dyDescent="0.3">
      <c r="A15" s="6" t="s">
        <v>3935</v>
      </c>
      <c r="B15" s="6" t="s">
        <v>350</v>
      </c>
      <c r="C15" s="6">
        <v>9</v>
      </c>
      <c r="D15" s="6"/>
      <c r="E15" s="6">
        <f>Table35[[#This Row],[Total Athletes]]-(LEN(Table35[[#This Row],[Team]])-LEN(SUBSTITUTE(Table35[[#This Row],[Team]],"/","")))-1</f>
        <v>2</v>
      </c>
      <c r="F15" s="6">
        <v>3</v>
      </c>
    </row>
    <row r="16" spans="1:6" x14ac:dyDescent="0.3">
      <c r="A16" s="6" t="s">
        <v>2898</v>
      </c>
      <c r="B16" s="6" t="s">
        <v>368</v>
      </c>
      <c r="C16" s="6">
        <v>7</v>
      </c>
      <c r="D16" s="6"/>
      <c r="E16" s="6">
        <f>Table35[[#This Row],[Total Athletes]]-(LEN(Table35[[#This Row],[Team]])-LEN(SUBSTITUTE(Table35[[#This Row],[Team]],"/","")))-1</f>
        <v>2</v>
      </c>
      <c r="F16" s="6">
        <v>3</v>
      </c>
    </row>
    <row r="17" spans="1:6" x14ac:dyDescent="0.3">
      <c r="A17" s="6" t="s">
        <v>1408</v>
      </c>
      <c r="B17" s="6" t="s">
        <v>402</v>
      </c>
      <c r="C17" s="6">
        <v>9</v>
      </c>
      <c r="D17" s="6"/>
      <c r="E17" s="6">
        <f>Table35[[#This Row],[Total Athletes]]-(LEN(Table35[[#This Row],[Team]])-LEN(SUBSTITUTE(Table35[[#This Row],[Team]],"/","")))-1</f>
        <v>2</v>
      </c>
      <c r="F17" s="6">
        <v>3</v>
      </c>
    </row>
    <row r="18" spans="1:6" x14ac:dyDescent="0.3">
      <c r="A18" s="6" t="s">
        <v>4471</v>
      </c>
      <c r="B18" s="6" t="s">
        <v>328</v>
      </c>
      <c r="C18" s="6"/>
      <c r="D18" s="6">
        <v>2</v>
      </c>
      <c r="E18" s="6">
        <f>Table35[[#This Row],[Total Athletes]]-(LEN(Table35[[#This Row],[Team]])-LEN(SUBSTITUTE(Table35[[#This Row],[Team]],"/","")))-1</f>
        <v>0</v>
      </c>
      <c r="F18" s="6">
        <v>2</v>
      </c>
    </row>
    <row r="19" spans="1:6" x14ac:dyDescent="0.3">
      <c r="A19" s="6"/>
      <c r="B19" s="6" t="s">
        <v>382</v>
      </c>
      <c r="C19" s="6"/>
      <c r="D19" s="6">
        <v>-1</v>
      </c>
      <c r="E19" s="6">
        <f>Table35[[#This Row],[Total Athletes]]-(LEN(Table35[[#This Row],[Team]])-LEN(SUBSTITUTE(Table35[[#This Row],[Team]],"/","")))-1</f>
        <v>-1</v>
      </c>
      <c r="F19" s="6"/>
    </row>
    <row r="20" spans="1:6" x14ac:dyDescent="0.3">
      <c r="A20" s="6" t="s">
        <v>4035</v>
      </c>
      <c r="B20" s="6" t="s">
        <v>402</v>
      </c>
      <c r="C20" s="6"/>
      <c r="D20" s="6">
        <v>9</v>
      </c>
      <c r="E20" s="6">
        <f>Table35[[#This Row],[Total Athletes]]-(LEN(Table35[[#This Row],[Team]])-LEN(SUBSTITUTE(Table35[[#This Row],[Team]],"/","")))-1</f>
        <v>1</v>
      </c>
      <c r="F20" s="6">
        <v>3</v>
      </c>
    </row>
    <row r="21" spans="1:6" x14ac:dyDescent="0.3">
      <c r="A21" s="6" t="s">
        <v>4977</v>
      </c>
      <c r="B21" s="6" t="s">
        <v>368</v>
      </c>
      <c r="C21" s="6"/>
      <c r="D21" s="6">
        <v>5</v>
      </c>
      <c r="E21" s="6">
        <f>Table35[[#This Row],[Total Athletes]]-(LEN(Table35[[#This Row],[Team]])-LEN(SUBSTITUTE(Table35[[#This Row],[Team]],"/","")))-1</f>
        <v>-2</v>
      </c>
      <c r="F21" s="6"/>
    </row>
    <row r="22" spans="1:6" x14ac:dyDescent="0.3">
      <c r="A22" s="6" t="s">
        <v>4021</v>
      </c>
      <c r="B22" s="6" t="s">
        <v>448</v>
      </c>
      <c r="C22" s="6">
        <v>5</v>
      </c>
      <c r="D22" s="6"/>
      <c r="E22" s="6">
        <f>Table35[[#This Row],[Total Athletes]]-(LEN(Table35[[#This Row],[Team]])-LEN(SUBSTITUTE(Table35[[#This Row],[Team]],"/","")))-1</f>
        <v>2</v>
      </c>
      <c r="F22" s="6">
        <v>3</v>
      </c>
    </row>
    <row r="23" spans="1:6" x14ac:dyDescent="0.3">
      <c r="A23" s="6" t="s">
        <v>2724</v>
      </c>
      <c r="B23" s="6" t="s">
        <v>328</v>
      </c>
      <c r="C23" s="6">
        <v>4</v>
      </c>
      <c r="D23" s="6"/>
      <c r="E23" s="6">
        <f>Table35[[#This Row],[Total Athletes]]-(LEN(Table35[[#This Row],[Team]])-LEN(SUBSTITUTE(Table35[[#This Row],[Team]],"/","")))-1</f>
        <v>2</v>
      </c>
      <c r="F23" s="6">
        <v>3</v>
      </c>
    </row>
    <row r="24" spans="1:6" x14ac:dyDescent="0.3">
      <c r="A24" s="6" t="s">
        <v>2607</v>
      </c>
      <c r="B24" s="6" t="s">
        <v>448</v>
      </c>
      <c r="C24" s="6"/>
      <c r="D24" s="6">
        <v>8</v>
      </c>
      <c r="E24" s="6">
        <f>Table35[[#This Row],[Total Athletes]]-(LEN(Table35[[#This Row],[Team]])-LEN(SUBSTITUTE(Table35[[#This Row],[Team]],"/","")))-1</f>
        <v>2</v>
      </c>
      <c r="F24" s="6">
        <v>3</v>
      </c>
    </row>
    <row r="25" spans="1:6" x14ac:dyDescent="0.3">
      <c r="A25" s="6" t="s">
        <v>1367</v>
      </c>
      <c r="B25" s="6" t="s">
        <v>432</v>
      </c>
      <c r="C25" s="6"/>
      <c r="D25" s="6">
        <v>7</v>
      </c>
      <c r="E25" s="6">
        <f>Table35[[#This Row],[Total Athletes]]-(LEN(Table35[[#This Row],[Team]])-LEN(SUBSTITUTE(Table35[[#This Row],[Team]],"/","")))-1</f>
        <v>1</v>
      </c>
      <c r="F25" s="6">
        <v>3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7D5FD-52D4-4831-80A9-FA8B81883BFE}">
  <dimension ref="A1:I97"/>
  <sheetViews>
    <sheetView topLeftCell="A91" workbookViewId="0">
      <selection activeCell="B98" sqref="B98"/>
    </sheetView>
  </sheetViews>
  <sheetFormatPr defaultRowHeight="14.4" x14ac:dyDescent="0.3"/>
  <cols>
    <col min="1" max="1" width="21.6640625" bestFit="1" customWidth="1"/>
    <col min="2" max="2" width="17.88671875" bestFit="1" customWidth="1"/>
    <col min="3" max="3" width="24" bestFit="1" customWidth="1"/>
    <col min="4" max="4" width="26.21875" bestFit="1" customWidth="1"/>
    <col min="5" max="5" width="26.6640625" bestFit="1" customWidth="1"/>
    <col min="6" max="6" width="25" bestFit="1" customWidth="1"/>
    <col min="7" max="7" width="27.109375" bestFit="1" customWidth="1"/>
    <col min="8" max="9" width="19.109375" bestFit="1" customWidth="1"/>
  </cols>
  <sheetData>
    <row r="1" spans="1:9" x14ac:dyDescent="0.3">
      <c r="A1" t="s">
        <v>832</v>
      </c>
      <c r="B1" t="s">
        <v>1</v>
      </c>
      <c r="C1" t="s">
        <v>865</v>
      </c>
      <c r="D1" t="s">
        <v>1153</v>
      </c>
      <c r="E1" t="s">
        <v>877</v>
      </c>
      <c r="F1" t="s">
        <v>878</v>
      </c>
      <c r="G1" t="s">
        <v>1571</v>
      </c>
      <c r="H1" t="s">
        <v>879</v>
      </c>
      <c r="I1" t="s">
        <v>867</v>
      </c>
    </row>
    <row r="2" spans="1:9" x14ac:dyDescent="0.3">
      <c r="A2" s="6" t="s">
        <v>4732</v>
      </c>
      <c r="B2" s="6" t="s">
        <v>328</v>
      </c>
      <c r="C2" s="6"/>
      <c r="D2" s="6">
        <v>54</v>
      </c>
      <c r="E2" s="6"/>
      <c r="F2" s="6"/>
      <c r="G2" s="6"/>
      <c r="H2" s="6">
        <v>1</v>
      </c>
      <c r="I2" s="6"/>
    </row>
    <row r="3" spans="1:9" x14ac:dyDescent="0.3">
      <c r="A3" s="6"/>
      <c r="B3" s="6" t="s">
        <v>328</v>
      </c>
      <c r="C3" s="6">
        <v>-1</v>
      </c>
      <c r="D3" s="6">
        <v>-1</v>
      </c>
      <c r="E3" s="6">
        <v>-1</v>
      </c>
      <c r="F3" s="6">
        <v>-1</v>
      </c>
      <c r="G3" s="6">
        <v>-1</v>
      </c>
      <c r="H3" s="6">
        <v>-1</v>
      </c>
      <c r="I3" s="6">
        <v>-1</v>
      </c>
    </row>
    <row r="4" spans="1:9" x14ac:dyDescent="0.3">
      <c r="A4" s="6"/>
      <c r="B4" s="6" t="s">
        <v>328</v>
      </c>
      <c r="C4" s="6">
        <v>-1</v>
      </c>
      <c r="D4" s="6">
        <v>-1</v>
      </c>
      <c r="E4" s="6">
        <v>-1</v>
      </c>
      <c r="F4" s="6">
        <v>-1</v>
      </c>
      <c r="G4" s="6">
        <v>-1</v>
      </c>
      <c r="H4" s="6">
        <v>-1</v>
      </c>
      <c r="I4" s="6">
        <v>-1</v>
      </c>
    </row>
    <row r="5" spans="1:9" x14ac:dyDescent="0.3">
      <c r="A5" s="6"/>
      <c r="B5" s="6" t="s">
        <v>328</v>
      </c>
      <c r="C5" s="6">
        <v>-1</v>
      </c>
      <c r="D5" s="6">
        <v>-1</v>
      </c>
      <c r="E5" s="6">
        <v>-1</v>
      </c>
      <c r="F5" s="6">
        <v>-1</v>
      </c>
      <c r="G5" s="6">
        <v>-1</v>
      </c>
      <c r="H5" s="6">
        <v>-1</v>
      </c>
      <c r="I5" s="6">
        <v>-1</v>
      </c>
    </row>
    <row r="6" spans="1:9" x14ac:dyDescent="0.3">
      <c r="A6" s="6"/>
      <c r="B6" s="6" t="s">
        <v>328</v>
      </c>
      <c r="C6" s="6">
        <v>-1</v>
      </c>
      <c r="D6" s="6">
        <v>-1</v>
      </c>
      <c r="E6" s="6">
        <v>-1</v>
      </c>
      <c r="F6" s="6">
        <v>-1</v>
      </c>
      <c r="G6" s="6">
        <v>-1</v>
      </c>
      <c r="H6" s="6">
        <v>-1</v>
      </c>
      <c r="I6" s="6">
        <v>-1</v>
      </c>
    </row>
    <row r="7" spans="1:9" x14ac:dyDescent="0.3">
      <c r="A7" s="6" t="s">
        <v>2687</v>
      </c>
      <c r="B7" s="6" t="s">
        <v>428</v>
      </c>
      <c r="C7" s="6"/>
      <c r="D7" s="6"/>
      <c r="E7" s="6">
        <v>7</v>
      </c>
      <c r="F7" s="6"/>
      <c r="G7" s="6">
        <v>6</v>
      </c>
      <c r="H7" s="6"/>
      <c r="I7" s="6"/>
    </row>
    <row r="8" spans="1:9" x14ac:dyDescent="0.3">
      <c r="A8" s="6" t="s">
        <v>4052</v>
      </c>
      <c r="B8" s="6" t="s">
        <v>428</v>
      </c>
      <c r="C8" s="6"/>
      <c r="D8" s="6">
        <v>15</v>
      </c>
      <c r="E8" s="6">
        <v>16</v>
      </c>
      <c r="F8" s="6">
        <v>9</v>
      </c>
      <c r="G8" s="6">
        <v>17</v>
      </c>
      <c r="H8" s="6">
        <v>16</v>
      </c>
      <c r="I8" s="6"/>
    </row>
    <row r="9" spans="1:9" x14ac:dyDescent="0.3">
      <c r="A9" s="6"/>
      <c r="B9" s="6" t="s">
        <v>428</v>
      </c>
      <c r="C9" s="6">
        <v>-1</v>
      </c>
      <c r="D9" s="6">
        <v>-1</v>
      </c>
      <c r="E9" s="6">
        <v>-1</v>
      </c>
      <c r="F9" s="6">
        <v>-1</v>
      </c>
      <c r="G9" s="6">
        <v>-1</v>
      </c>
      <c r="H9" s="6">
        <v>-1</v>
      </c>
      <c r="I9" s="6">
        <v>-1</v>
      </c>
    </row>
    <row r="10" spans="1:9" x14ac:dyDescent="0.3">
      <c r="A10" s="6"/>
      <c r="B10" s="6" t="s">
        <v>428</v>
      </c>
      <c r="C10" s="6">
        <v>-1</v>
      </c>
      <c r="D10" s="6">
        <v>-1</v>
      </c>
      <c r="E10" s="6">
        <v>-1</v>
      </c>
      <c r="F10" s="6">
        <v>-1</v>
      </c>
      <c r="G10" s="6">
        <v>-1</v>
      </c>
      <c r="H10" s="6">
        <v>-1</v>
      </c>
      <c r="I10" s="6">
        <v>-1</v>
      </c>
    </row>
    <row r="11" spans="1:9" x14ac:dyDescent="0.3">
      <c r="A11" s="6"/>
      <c r="B11" s="6" t="s">
        <v>428</v>
      </c>
      <c r="C11" s="6">
        <v>-1</v>
      </c>
      <c r="D11" s="6">
        <v>-1</v>
      </c>
      <c r="E11" s="6">
        <v>-1</v>
      </c>
      <c r="F11" s="6">
        <v>-1</v>
      </c>
      <c r="G11" s="6">
        <v>-1</v>
      </c>
      <c r="H11" s="6">
        <v>-1</v>
      </c>
      <c r="I11" s="6">
        <v>-1</v>
      </c>
    </row>
    <row r="12" spans="1:9" x14ac:dyDescent="0.3">
      <c r="A12" s="6" t="s">
        <v>1317</v>
      </c>
      <c r="B12" s="6" t="s">
        <v>402</v>
      </c>
      <c r="C12" s="6"/>
      <c r="D12" s="6"/>
      <c r="E12" s="6">
        <v>39</v>
      </c>
      <c r="F12" s="6">
        <v>44</v>
      </c>
      <c r="G12" s="6">
        <v>4</v>
      </c>
      <c r="H12" s="6"/>
      <c r="I12" s="6"/>
    </row>
    <row r="13" spans="1:9" x14ac:dyDescent="0.3">
      <c r="A13" s="6" t="s">
        <v>3216</v>
      </c>
      <c r="B13" s="6" t="s">
        <v>402</v>
      </c>
      <c r="C13" s="6">
        <v>32</v>
      </c>
      <c r="D13" s="6">
        <v>6</v>
      </c>
      <c r="E13" s="6">
        <v>52</v>
      </c>
      <c r="F13" s="6">
        <v>45</v>
      </c>
      <c r="G13" s="6">
        <v>59</v>
      </c>
      <c r="H13" s="6">
        <v>61</v>
      </c>
      <c r="I13" s="6"/>
    </row>
    <row r="14" spans="1:9" x14ac:dyDescent="0.3">
      <c r="A14" s="6"/>
      <c r="B14" s="6" t="s">
        <v>402</v>
      </c>
      <c r="C14" s="6">
        <v>-1</v>
      </c>
      <c r="D14" s="6">
        <v>-1</v>
      </c>
      <c r="E14" s="6">
        <v>-1</v>
      </c>
      <c r="F14" s="6">
        <v>-1</v>
      </c>
      <c r="G14" s="6">
        <v>-1</v>
      </c>
      <c r="H14" s="6">
        <v>-1</v>
      </c>
      <c r="I14" s="6">
        <v>-1</v>
      </c>
    </row>
    <row r="15" spans="1:9" x14ac:dyDescent="0.3">
      <c r="A15" s="6"/>
      <c r="B15" s="6" t="s">
        <v>402</v>
      </c>
      <c r="C15" s="6">
        <v>-1</v>
      </c>
      <c r="D15" s="6">
        <v>-1</v>
      </c>
      <c r="E15" s="6">
        <v>-1</v>
      </c>
      <c r="F15" s="6">
        <v>-1</v>
      </c>
      <c r="G15" s="6">
        <v>-1</v>
      </c>
      <c r="H15" s="6">
        <v>-1</v>
      </c>
      <c r="I15" s="6">
        <v>-1</v>
      </c>
    </row>
    <row r="16" spans="1:9" x14ac:dyDescent="0.3">
      <c r="A16" s="6"/>
      <c r="B16" s="6" t="s">
        <v>402</v>
      </c>
      <c r="C16" s="6">
        <v>-1</v>
      </c>
      <c r="D16" s="6">
        <v>-1</v>
      </c>
      <c r="E16" s="6">
        <v>-1</v>
      </c>
      <c r="F16" s="6">
        <v>-1</v>
      </c>
      <c r="G16" s="6">
        <v>-1</v>
      </c>
      <c r="H16" s="6">
        <v>-1</v>
      </c>
      <c r="I16" s="6">
        <v>-1</v>
      </c>
    </row>
    <row r="17" spans="1:9" x14ac:dyDescent="0.3">
      <c r="A17" s="6" t="s">
        <v>4334</v>
      </c>
      <c r="B17" s="6" t="s">
        <v>332</v>
      </c>
      <c r="C17" s="6"/>
      <c r="D17" s="6"/>
      <c r="E17" s="6"/>
      <c r="F17" s="6"/>
      <c r="G17" s="6">
        <v>3</v>
      </c>
      <c r="H17" s="6"/>
      <c r="I17" s="6"/>
    </row>
    <row r="18" spans="1:9" x14ac:dyDescent="0.3">
      <c r="A18" s="6" t="s">
        <v>4336</v>
      </c>
      <c r="B18" s="6" t="s">
        <v>332</v>
      </c>
      <c r="C18" s="6">
        <v>15</v>
      </c>
      <c r="D18" s="6">
        <v>26</v>
      </c>
      <c r="E18" s="6">
        <v>11</v>
      </c>
      <c r="F18" s="6">
        <v>23</v>
      </c>
      <c r="G18" s="6">
        <v>29</v>
      </c>
      <c r="H18" s="6">
        <v>31</v>
      </c>
      <c r="I18" s="6"/>
    </row>
    <row r="19" spans="1:9" x14ac:dyDescent="0.3">
      <c r="A19" s="6"/>
      <c r="B19" s="6" t="s">
        <v>332</v>
      </c>
      <c r="C19" s="6">
        <v>-1</v>
      </c>
      <c r="D19" s="6">
        <v>-1</v>
      </c>
      <c r="E19" s="6">
        <v>-1</v>
      </c>
      <c r="F19" s="6">
        <v>-1</v>
      </c>
      <c r="G19" s="6">
        <v>-1</v>
      </c>
      <c r="H19" s="6">
        <v>-1</v>
      </c>
      <c r="I19" s="6">
        <v>-1</v>
      </c>
    </row>
    <row r="20" spans="1:9" x14ac:dyDescent="0.3">
      <c r="A20" s="6"/>
      <c r="B20" s="6" t="s">
        <v>332</v>
      </c>
      <c r="C20" s="6">
        <v>-1</v>
      </c>
      <c r="D20" s="6">
        <v>-1</v>
      </c>
      <c r="E20" s="6">
        <v>-1</v>
      </c>
      <c r="F20" s="6">
        <v>-1</v>
      </c>
      <c r="G20" s="6">
        <v>-1</v>
      </c>
      <c r="H20" s="6">
        <v>-1</v>
      </c>
      <c r="I20" s="6">
        <v>-1</v>
      </c>
    </row>
    <row r="21" spans="1:9" x14ac:dyDescent="0.3">
      <c r="A21" s="6"/>
      <c r="B21" s="6" t="s">
        <v>332</v>
      </c>
      <c r="C21" s="6">
        <v>-1</v>
      </c>
      <c r="D21" s="6">
        <v>-1</v>
      </c>
      <c r="E21" s="6">
        <v>-1</v>
      </c>
      <c r="F21" s="6">
        <v>-1</v>
      </c>
      <c r="G21" s="6">
        <v>-1</v>
      </c>
      <c r="H21" s="6">
        <v>-1</v>
      </c>
      <c r="I21" s="6">
        <v>-1</v>
      </c>
    </row>
    <row r="22" spans="1:9" x14ac:dyDescent="0.3">
      <c r="A22" s="6" t="s">
        <v>2530</v>
      </c>
      <c r="B22" s="6" t="s">
        <v>384</v>
      </c>
      <c r="C22" s="6"/>
      <c r="D22" s="6"/>
      <c r="E22" s="6"/>
      <c r="F22" s="6">
        <v>60</v>
      </c>
      <c r="G22" s="6">
        <v>26</v>
      </c>
      <c r="H22" s="6"/>
      <c r="I22" s="6"/>
    </row>
    <row r="23" spans="1:9" x14ac:dyDescent="0.3">
      <c r="A23" s="6"/>
      <c r="B23" s="6" t="s">
        <v>384</v>
      </c>
      <c r="C23" s="6">
        <v>-1</v>
      </c>
      <c r="D23" s="6">
        <v>-1</v>
      </c>
      <c r="E23" s="6">
        <v>-1</v>
      </c>
      <c r="F23" s="6">
        <v>-1</v>
      </c>
      <c r="G23" s="6">
        <v>-1</v>
      </c>
      <c r="H23" s="6">
        <v>-1</v>
      </c>
      <c r="I23" s="6">
        <v>-1</v>
      </c>
    </row>
    <row r="24" spans="1:9" x14ac:dyDescent="0.3">
      <c r="A24" s="6"/>
      <c r="B24" s="6" t="s">
        <v>384</v>
      </c>
      <c r="C24" s="6">
        <v>-1</v>
      </c>
      <c r="D24" s="6">
        <v>-1</v>
      </c>
      <c r="E24" s="6">
        <v>-1</v>
      </c>
      <c r="F24" s="6">
        <v>-1</v>
      </c>
      <c r="G24" s="6">
        <v>-1</v>
      </c>
      <c r="H24" s="6">
        <v>-1</v>
      </c>
      <c r="I24" s="6">
        <v>-1</v>
      </c>
    </row>
    <row r="25" spans="1:9" x14ac:dyDescent="0.3">
      <c r="A25" s="6"/>
      <c r="B25" s="6" t="s">
        <v>384</v>
      </c>
      <c r="C25" s="6">
        <v>-1</v>
      </c>
      <c r="D25" s="6">
        <v>-1</v>
      </c>
      <c r="E25" s="6">
        <v>-1</v>
      </c>
      <c r="F25" s="6">
        <v>-1</v>
      </c>
      <c r="G25" s="6">
        <v>-1</v>
      </c>
      <c r="H25" s="6">
        <v>-1</v>
      </c>
      <c r="I25" s="6">
        <v>-1</v>
      </c>
    </row>
    <row r="26" spans="1:9" x14ac:dyDescent="0.3">
      <c r="A26" s="6"/>
      <c r="B26" s="6" t="s">
        <v>384</v>
      </c>
      <c r="C26" s="6">
        <v>-1</v>
      </c>
      <c r="D26" s="6">
        <v>-1</v>
      </c>
      <c r="E26" s="6">
        <v>-1</v>
      </c>
      <c r="F26" s="6">
        <v>-1</v>
      </c>
      <c r="G26" s="6">
        <v>-1</v>
      </c>
      <c r="H26" s="6">
        <v>-1</v>
      </c>
      <c r="I26" s="6">
        <v>-1</v>
      </c>
    </row>
    <row r="27" spans="1:9" x14ac:dyDescent="0.3">
      <c r="A27" s="6"/>
      <c r="B27" s="6" t="s">
        <v>334</v>
      </c>
      <c r="C27" s="6">
        <v>-1</v>
      </c>
      <c r="D27" s="6">
        <v>-1</v>
      </c>
      <c r="E27" s="6">
        <v>-1</v>
      </c>
      <c r="F27" s="6">
        <v>-1</v>
      </c>
      <c r="G27" s="6">
        <v>-1</v>
      </c>
      <c r="H27" s="6">
        <v>-1</v>
      </c>
      <c r="I27" s="6">
        <v>-1</v>
      </c>
    </row>
    <row r="28" spans="1:9" x14ac:dyDescent="0.3">
      <c r="A28" s="6"/>
      <c r="B28" s="6" t="s">
        <v>334</v>
      </c>
      <c r="C28" s="6">
        <v>-1</v>
      </c>
      <c r="D28" s="6">
        <v>-1</v>
      </c>
      <c r="E28" s="6">
        <v>-1</v>
      </c>
      <c r="F28" s="6">
        <v>-1</v>
      </c>
      <c r="G28" s="6">
        <v>-1</v>
      </c>
      <c r="H28" s="6">
        <v>-1</v>
      </c>
      <c r="I28" s="6">
        <v>-1</v>
      </c>
    </row>
    <row r="29" spans="1:9" x14ac:dyDescent="0.3">
      <c r="A29" s="6"/>
      <c r="B29" s="6" t="s">
        <v>334</v>
      </c>
      <c r="C29" s="6">
        <v>-1</v>
      </c>
      <c r="D29" s="6">
        <v>-1</v>
      </c>
      <c r="E29" s="6">
        <v>-1</v>
      </c>
      <c r="F29" s="6">
        <v>-1</v>
      </c>
      <c r="G29" s="6">
        <v>-1</v>
      </c>
      <c r="H29" s="6">
        <v>-1</v>
      </c>
      <c r="I29" s="6">
        <v>-1</v>
      </c>
    </row>
    <row r="30" spans="1:9" x14ac:dyDescent="0.3">
      <c r="A30" s="6"/>
      <c r="B30" s="6" t="s">
        <v>334</v>
      </c>
      <c r="C30" s="6">
        <v>-1</v>
      </c>
      <c r="D30" s="6">
        <v>-1</v>
      </c>
      <c r="E30" s="6">
        <v>-1</v>
      </c>
      <c r="F30" s="6">
        <v>-1</v>
      </c>
      <c r="G30" s="6">
        <v>-1</v>
      </c>
      <c r="H30" s="6">
        <v>-1</v>
      </c>
      <c r="I30" s="6">
        <v>-1</v>
      </c>
    </row>
    <row r="31" spans="1:9" x14ac:dyDescent="0.3">
      <c r="A31" s="6"/>
      <c r="B31" s="6" t="s">
        <v>334</v>
      </c>
      <c r="C31" s="6">
        <v>-1</v>
      </c>
      <c r="D31" s="6">
        <v>-1</v>
      </c>
      <c r="E31" s="6">
        <v>-1</v>
      </c>
      <c r="F31" s="6">
        <v>-1</v>
      </c>
      <c r="G31" s="6">
        <v>-1</v>
      </c>
      <c r="H31" s="6">
        <v>-1</v>
      </c>
      <c r="I31" s="6">
        <v>-1</v>
      </c>
    </row>
    <row r="32" spans="1:9" x14ac:dyDescent="0.3">
      <c r="A32" s="6" t="s">
        <v>2661</v>
      </c>
      <c r="B32" s="6" t="s">
        <v>356</v>
      </c>
      <c r="C32" s="6"/>
      <c r="D32" s="6"/>
      <c r="E32" s="6">
        <v>65</v>
      </c>
      <c r="F32" s="6"/>
      <c r="G32" s="6">
        <v>49</v>
      </c>
      <c r="H32" s="6"/>
      <c r="I32" s="6"/>
    </row>
    <row r="33" spans="1:9" x14ac:dyDescent="0.3">
      <c r="A33" s="6"/>
      <c r="B33" s="6" t="s">
        <v>356</v>
      </c>
      <c r="C33" s="6">
        <v>-1</v>
      </c>
      <c r="D33" s="6">
        <v>-1</v>
      </c>
      <c r="E33" s="6">
        <v>-1</v>
      </c>
      <c r="F33" s="6">
        <v>-1</v>
      </c>
      <c r="G33" s="6">
        <v>-1</v>
      </c>
      <c r="H33" s="6">
        <v>-1</v>
      </c>
      <c r="I33" s="6">
        <v>-1</v>
      </c>
    </row>
    <row r="34" spans="1:9" x14ac:dyDescent="0.3">
      <c r="A34" s="6"/>
      <c r="B34" s="6" t="s">
        <v>356</v>
      </c>
      <c r="C34" s="6">
        <v>-1</v>
      </c>
      <c r="D34" s="6">
        <v>-1</v>
      </c>
      <c r="E34" s="6">
        <v>-1</v>
      </c>
      <c r="F34" s="6">
        <v>-1</v>
      </c>
      <c r="G34" s="6">
        <v>-1</v>
      </c>
      <c r="H34" s="6">
        <v>-1</v>
      </c>
      <c r="I34" s="6">
        <v>-1</v>
      </c>
    </row>
    <row r="35" spans="1:9" x14ac:dyDescent="0.3">
      <c r="A35" s="6"/>
      <c r="B35" s="6" t="s">
        <v>356</v>
      </c>
      <c r="C35" s="6">
        <v>-1</v>
      </c>
      <c r="D35" s="6">
        <v>-1</v>
      </c>
      <c r="E35" s="6">
        <v>-1</v>
      </c>
      <c r="F35" s="6">
        <v>-1</v>
      </c>
      <c r="G35" s="6">
        <v>-1</v>
      </c>
      <c r="H35" s="6">
        <v>-1</v>
      </c>
      <c r="I35" s="6">
        <v>-1</v>
      </c>
    </row>
    <row r="36" spans="1:9" x14ac:dyDescent="0.3">
      <c r="A36" s="6"/>
      <c r="B36" s="6" t="s">
        <v>356</v>
      </c>
      <c r="C36" s="6">
        <v>-1</v>
      </c>
      <c r="D36" s="6">
        <v>-1</v>
      </c>
      <c r="E36" s="6">
        <v>-1</v>
      </c>
      <c r="F36" s="6">
        <v>-1</v>
      </c>
      <c r="G36" s="6">
        <v>-1</v>
      </c>
      <c r="H36" s="6">
        <v>-1</v>
      </c>
      <c r="I36" s="6">
        <v>-1</v>
      </c>
    </row>
    <row r="37" spans="1:9" x14ac:dyDescent="0.3">
      <c r="A37" s="6" t="s">
        <v>4253</v>
      </c>
      <c r="B37" s="6" t="s">
        <v>444</v>
      </c>
      <c r="C37" s="6"/>
      <c r="D37" s="6">
        <v>34</v>
      </c>
      <c r="E37" s="6"/>
      <c r="F37" s="6"/>
      <c r="G37" s="6">
        <v>45</v>
      </c>
      <c r="H37" s="6"/>
      <c r="I37" s="6"/>
    </row>
    <row r="38" spans="1:9" x14ac:dyDescent="0.3">
      <c r="A38" s="6" t="s">
        <v>4254</v>
      </c>
      <c r="B38" s="6" t="s">
        <v>444</v>
      </c>
      <c r="C38" s="6">
        <v>10</v>
      </c>
      <c r="D38" s="6">
        <v>27</v>
      </c>
      <c r="E38" s="6">
        <v>32</v>
      </c>
      <c r="F38" s="6">
        <v>21</v>
      </c>
      <c r="G38" s="6">
        <v>18</v>
      </c>
      <c r="H38" s="6">
        <v>38</v>
      </c>
      <c r="I38" s="6"/>
    </row>
    <row r="39" spans="1:9" x14ac:dyDescent="0.3">
      <c r="A39" s="6"/>
      <c r="B39" s="6" t="s">
        <v>444</v>
      </c>
      <c r="C39" s="6">
        <v>-1</v>
      </c>
      <c r="D39" s="6">
        <v>-1</v>
      </c>
      <c r="E39" s="6">
        <v>-1</v>
      </c>
      <c r="F39" s="6">
        <v>-1</v>
      </c>
      <c r="G39" s="6">
        <v>-1</v>
      </c>
      <c r="H39" s="6">
        <v>-1</v>
      </c>
      <c r="I39" s="6">
        <v>-1</v>
      </c>
    </row>
    <row r="40" spans="1:9" x14ac:dyDescent="0.3">
      <c r="A40" s="6"/>
      <c r="B40" s="6" t="s">
        <v>444</v>
      </c>
      <c r="C40" s="6">
        <v>-1</v>
      </c>
      <c r="D40" s="6">
        <v>-1</v>
      </c>
      <c r="E40" s="6">
        <v>-1</v>
      </c>
      <c r="F40" s="6">
        <v>-1</v>
      </c>
      <c r="G40" s="6">
        <v>-1</v>
      </c>
      <c r="H40" s="6">
        <v>-1</v>
      </c>
      <c r="I40" s="6">
        <v>-1</v>
      </c>
    </row>
    <row r="41" spans="1:9" x14ac:dyDescent="0.3">
      <c r="A41" s="6"/>
      <c r="B41" s="6" t="s">
        <v>444</v>
      </c>
      <c r="C41" s="6">
        <v>-1</v>
      </c>
      <c r="D41" s="6">
        <v>-1</v>
      </c>
      <c r="E41" s="6">
        <v>-1</v>
      </c>
      <c r="F41" s="6">
        <v>-1</v>
      </c>
      <c r="G41" s="6">
        <v>-1</v>
      </c>
      <c r="H41" s="6">
        <v>-1</v>
      </c>
      <c r="I41" s="6">
        <v>-1</v>
      </c>
    </row>
    <row r="42" spans="1:9" x14ac:dyDescent="0.3">
      <c r="A42" s="6" t="s">
        <v>1570</v>
      </c>
      <c r="B42" s="6" t="s">
        <v>330</v>
      </c>
      <c r="C42" s="6"/>
      <c r="D42" s="6"/>
      <c r="E42" s="6">
        <v>43</v>
      </c>
      <c r="F42" s="6">
        <v>59</v>
      </c>
      <c r="G42" s="6">
        <v>56</v>
      </c>
      <c r="H42" s="6"/>
      <c r="I42" s="6"/>
    </row>
    <row r="43" spans="1:9" x14ac:dyDescent="0.3">
      <c r="A43" s="6" t="s">
        <v>2599</v>
      </c>
      <c r="B43" s="6" t="s">
        <v>330</v>
      </c>
      <c r="C43" s="6">
        <v>44</v>
      </c>
      <c r="D43" s="6">
        <v>33</v>
      </c>
      <c r="E43" s="6">
        <v>37</v>
      </c>
      <c r="F43" s="6">
        <v>65</v>
      </c>
      <c r="G43" s="6">
        <v>50</v>
      </c>
      <c r="H43" s="6">
        <v>50</v>
      </c>
      <c r="I43" s="6"/>
    </row>
    <row r="44" spans="1:9" x14ac:dyDescent="0.3">
      <c r="A44" s="6"/>
      <c r="B44" s="6" t="s">
        <v>330</v>
      </c>
      <c r="C44" s="6">
        <v>-1</v>
      </c>
      <c r="D44" s="6">
        <v>-1</v>
      </c>
      <c r="E44" s="6">
        <v>-1</v>
      </c>
      <c r="F44" s="6">
        <v>-1</v>
      </c>
      <c r="G44" s="6">
        <v>-1</v>
      </c>
      <c r="H44" s="6">
        <v>-1</v>
      </c>
      <c r="I44" s="6">
        <v>-1</v>
      </c>
    </row>
    <row r="45" spans="1:9" x14ac:dyDescent="0.3">
      <c r="A45" s="6"/>
      <c r="B45" s="6" t="s">
        <v>330</v>
      </c>
      <c r="C45" s="6">
        <v>-1</v>
      </c>
      <c r="D45" s="6">
        <v>-1</v>
      </c>
      <c r="E45" s="6">
        <v>-1</v>
      </c>
      <c r="F45" s="6">
        <v>-1</v>
      </c>
      <c r="G45" s="6">
        <v>-1</v>
      </c>
      <c r="H45" s="6">
        <v>-1</v>
      </c>
      <c r="I45" s="6">
        <v>-1</v>
      </c>
    </row>
    <row r="46" spans="1:9" x14ac:dyDescent="0.3">
      <c r="A46" s="6"/>
      <c r="B46" s="6" t="s">
        <v>330</v>
      </c>
      <c r="C46" s="6">
        <v>-1</v>
      </c>
      <c r="D46" s="6">
        <v>-1</v>
      </c>
      <c r="E46" s="6">
        <v>-1</v>
      </c>
      <c r="F46" s="6">
        <v>-1</v>
      </c>
      <c r="G46" s="6">
        <v>-1</v>
      </c>
      <c r="H46" s="6">
        <v>-1</v>
      </c>
      <c r="I46" s="6">
        <v>-1</v>
      </c>
    </row>
    <row r="47" spans="1:9" x14ac:dyDescent="0.3">
      <c r="A47" s="6" t="s">
        <v>1575</v>
      </c>
      <c r="B47" s="6" t="s">
        <v>718</v>
      </c>
      <c r="C47" s="6"/>
      <c r="D47" s="6"/>
      <c r="E47" s="6"/>
      <c r="F47" s="6">
        <v>5</v>
      </c>
      <c r="G47" s="6">
        <v>25</v>
      </c>
      <c r="H47" s="6"/>
      <c r="I47" s="6"/>
    </row>
    <row r="48" spans="1:9" x14ac:dyDescent="0.3">
      <c r="A48" s="6" t="s">
        <v>1580</v>
      </c>
      <c r="B48" s="6" t="s">
        <v>718</v>
      </c>
      <c r="C48" s="6"/>
      <c r="D48" s="6"/>
      <c r="E48" s="6">
        <v>56</v>
      </c>
      <c r="F48" s="6">
        <v>53</v>
      </c>
      <c r="G48" s="6"/>
      <c r="H48" s="6">
        <v>11</v>
      </c>
      <c r="I48" s="6"/>
    </row>
    <row r="49" spans="1:9" x14ac:dyDescent="0.3">
      <c r="A49" s="6" t="s">
        <v>1583</v>
      </c>
      <c r="B49" s="6" t="s">
        <v>718</v>
      </c>
      <c r="C49" s="6">
        <v>34</v>
      </c>
      <c r="D49" s="6">
        <v>29</v>
      </c>
      <c r="E49" s="6">
        <v>62</v>
      </c>
      <c r="F49" s="6">
        <v>46</v>
      </c>
      <c r="G49" s="6">
        <v>48</v>
      </c>
      <c r="H49" s="6">
        <v>42</v>
      </c>
      <c r="I49" s="6"/>
    </row>
    <row r="50" spans="1:9" x14ac:dyDescent="0.3">
      <c r="A50" s="6"/>
      <c r="B50" s="6" t="s">
        <v>718</v>
      </c>
      <c r="C50" s="6">
        <v>-1</v>
      </c>
      <c r="D50" s="6">
        <v>-1</v>
      </c>
      <c r="E50" s="6">
        <v>-1</v>
      </c>
      <c r="F50" s="6">
        <v>-1</v>
      </c>
      <c r="G50" s="6">
        <v>-1</v>
      </c>
      <c r="H50" s="6">
        <v>-1</v>
      </c>
      <c r="I50" s="6">
        <v>-1</v>
      </c>
    </row>
    <row r="51" spans="1:9" x14ac:dyDescent="0.3">
      <c r="A51" s="6"/>
      <c r="B51" s="6" t="s">
        <v>718</v>
      </c>
      <c r="C51" s="6">
        <v>-1</v>
      </c>
      <c r="D51" s="6">
        <v>-1</v>
      </c>
      <c r="E51" s="6">
        <v>-1</v>
      </c>
      <c r="F51" s="6">
        <v>-1</v>
      </c>
      <c r="G51" s="6">
        <v>-1</v>
      </c>
      <c r="H51" s="6">
        <v>-1</v>
      </c>
      <c r="I51" s="6">
        <v>-1</v>
      </c>
    </row>
    <row r="52" spans="1:9" x14ac:dyDescent="0.3">
      <c r="A52" s="6"/>
      <c r="B52" s="6" t="s">
        <v>412</v>
      </c>
      <c r="C52" s="6">
        <v>-1</v>
      </c>
      <c r="D52" s="6">
        <v>-1</v>
      </c>
      <c r="E52" s="6">
        <v>-1</v>
      </c>
      <c r="F52" s="6">
        <v>-1</v>
      </c>
      <c r="G52" s="6">
        <v>-1</v>
      </c>
      <c r="H52" s="6">
        <v>-1</v>
      </c>
      <c r="I52" s="6">
        <v>-1</v>
      </c>
    </row>
    <row r="53" spans="1:9" x14ac:dyDescent="0.3">
      <c r="A53" s="6"/>
      <c r="B53" s="6" t="s">
        <v>412</v>
      </c>
      <c r="C53" s="6">
        <v>-1</v>
      </c>
      <c r="D53" s="6">
        <v>-1</v>
      </c>
      <c r="E53" s="6">
        <v>-1</v>
      </c>
      <c r="F53" s="6">
        <v>-1</v>
      </c>
      <c r="G53" s="6">
        <v>-1</v>
      </c>
      <c r="H53" s="6">
        <v>-1</v>
      </c>
      <c r="I53" s="6">
        <v>-1</v>
      </c>
    </row>
    <row r="54" spans="1:9" x14ac:dyDescent="0.3">
      <c r="A54" s="6"/>
      <c r="B54" s="6" t="s">
        <v>412</v>
      </c>
      <c r="C54" s="6">
        <v>-1</v>
      </c>
      <c r="D54" s="6">
        <v>-1</v>
      </c>
      <c r="E54" s="6">
        <v>-1</v>
      </c>
      <c r="F54" s="6">
        <v>-1</v>
      </c>
      <c r="G54" s="6">
        <v>-1</v>
      </c>
      <c r="H54" s="6">
        <v>-1</v>
      </c>
      <c r="I54" s="6">
        <v>-1</v>
      </c>
    </row>
    <row r="55" spans="1:9" x14ac:dyDescent="0.3">
      <c r="A55" s="6"/>
      <c r="B55" s="6" t="s">
        <v>412</v>
      </c>
      <c r="C55" s="6">
        <v>-1</v>
      </c>
      <c r="D55" s="6">
        <v>-1</v>
      </c>
      <c r="E55" s="6">
        <v>-1</v>
      </c>
      <c r="F55" s="6">
        <v>-1</v>
      </c>
      <c r="G55" s="6">
        <v>-1</v>
      </c>
      <c r="H55" s="6">
        <v>-1</v>
      </c>
      <c r="I55" s="6">
        <v>-1</v>
      </c>
    </row>
    <row r="56" spans="1:9" x14ac:dyDescent="0.3">
      <c r="A56" s="6"/>
      <c r="B56" s="6" t="s">
        <v>412</v>
      </c>
      <c r="C56" s="6">
        <v>-1</v>
      </c>
      <c r="D56" s="6">
        <v>-1</v>
      </c>
      <c r="E56" s="6">
        <v>-1</v>
      </c>
      <c r="F56" s="6">
        <v>-1</v>
      </c>
      <c r="G56" s="6">
        <v>-1</v>
      </c>
      <c r="H56" s="6">
        <v>-1</v>
      </c>
      <c r="I56" s="6">
        <v>-1</v>
      </c>
    </row>
    <row r="57" spans="1:9" x14ac:dyDescent="0.3">
      <c r="A57" s="6" t="s">
        <v>2338</v>
      </c>
      <c r="B57" s="6" t="s">
        <v>726</v>
      </c>
      <c r="C57" s="6">
        <v>4</v>
      </c>
      <c r="D57" s="6">
        <v>4</v>
      </c>
      <c r="E57" s="6">
        <v>48</v>
      </c>
      <c r="F57" s="6">
        <v>2</v>
      </c>
      <c r="G57" s="6">
        <v>34</v>
      </c>
      <c r="H57" s="6">
        <v>43</v>
      </c>
      <c r="I57" s="6"/>
    </row>
    <row r="58" spans="1:9" x14ac:dyDescent="0.3">
      <c r="A58" s="6"/>
      <c r="B58" s="6" t="s">
        <v>726</v>
      </c>
      <c r="C58" s="6">
        <v>-1</v>
      </c>
      <c r="D58" s="6">
        <v>-1</v>
      </c>
      <c r="E58" s="6">
        <v>-1</v>
      </c>
      <c r="F58" s="6">
        <v>-1</v>
      </c>
      <c r="G58" s="6">
        <v>-1</v>
      </c>
      <c r="H58" s="6">
        <v>-1</v>
      </c>
      <c r="I58" s="6">
        <v>-1</v>
      </c>
    </row>
    <row r="59" spans="1:9" x14ac:dyDescent="0.3">
      <c r="A59" s="6"/>
      <c r="B59" s="6" t="s">
        <v>726</v>
      </c>
      <c r="C59" s="6">
        <v>-1</v>
      </c>
      <c r="D59" s="6">
        <v>-1</v>
      </c>
      <c r="E59" s="6">
        <v>-1</v>
      </c>
      <c r="F59" s="6">
        <v>-1</v>
      </c>
      <c r="G59" s="6">
        <v>-1</v>
      </c>
      <c r="H59" s="6">
        <v>-1</v>
      </c>
      <c r="I59" s="6">
        <v>-1</v>
      </c>
    </row>
    <row r="60" spans="1:9" x14ac:dyDescent="0.3">
      <c r="A60" s="6"/>
      <c r="B60" s="6" t="s">
        <v>726</v>
      </c>
      <c r="C60" s="6">
        <v>-1</v>
      </c>
      <c r="D60" s="6">
        <v>-1</v>
      </c>
      <c r="E60" s="6">
        <v>-1</v>
      </c>
      <c r="F60" s="6">
        <v>-1</v>
      </c>
      <c r="G60" s="6">
        <v>-1</v>
      </c>
      <c r="H60" s="6">
        <v>-1</v>
      </c>
      <c r="I60" s="6">
        <v>-1</v>
      </c>
    </row>
    <row r="61" spans="1:9" x14ac:dyDescent="0.3">
      <c r="A61" s="6"/>
      <c r="B61" s="6" t="s">
        <v>726</v>
      </c>
      <c r="C61" s="6">
        <v>-1</v>
      </c>
      <c r="D61" s="6">
        <v>-1</v>
      </c>
      <c r="E61" s="6">
        <v>-1</v>
      </c>
      <c r="F61" s="6">
        <v>-1</v>
      </c>
      <c r="G61" s="6">
        <v>-1</v>
      </c>
      <c r="H61" s="6">
        <v>-1</v>
      </c>
      <c r="I61" s="6">
        <v>-1</v>
      </c>
    </row>
    <row r="62" spans="1:9" x14ac:dyDescent="0.3">
      <c r="A62" s="6" t="s">
        <v>3083</v>
      </c>
      <c r="B62" s="6" t="s">
        <v>336</v>
      </c>
      <c r="C62" s="6"/>
      <c r="D62" s="6"/>
      <c r="E62" s="6">
        <v>44</v>
      </c>
      <c r="F62" s="6"/>
      <c r="G62" s="6"/>
      <c r="H62" s="6"/>
      <c r="I62" s="6"/>
    </row>
    <row r="63" spans="1:9" x14ac:dyDescent="0.3">
      <c r="A63" s="6"/>
      <c r="B63" s="6" t="s">
        <v>700</v>
      </c>
      <c r="C63" s="6">
        <v>-1</v>
      </c>
      <c r="D63" s="6">
        <v>-1</v>
      </c>
      <c r="E63" s="6">
        <v>-1</v>
      </c>
      <c r="F63" s="6">
        <v>-1</v>
      </c>
      <c r="G63" s="6">
        <v>-1</v>
      </c>
      <c r="H63" s="6">
        <v>-1</v>
      </c>
      <c r="I63" s="6">
        <v>-1</v>
      </c>
    </row>
    <row r="64" spans="1:9" x14ac:dyDescent="0.3">
      <c r="A64" s="6"/>
      <c r="B64" s="6" t="s">
        <v>520</v>
      </c>
      <c r="C64" s="6">
        <v>-1</v>
      </c>
      <c r="D64" s="6">
        <v>-1</v>
      </c>
      <c r="E64" s="6">
        <v>-1</v>
      </c>
      <c r="F64" s="6">
        <v>-1</v>
      </c>
      <c r="G64" s="6">
        <v>-1</v>
      </c>
      <c r="H64" s="6">
        <v>-1</v>
      </c>
      <c r="I64" s="6">
        <v>-1</v>
      </c>
    </row>
    <row r="65" spans="1:9" x14ac:dyDescent="0.3">
      <c r="A65" s="6"/>
      <c r="B65" s="6" t="s">
        <v>604</v>
      </c>
      <c r="C65" s="6">
        <v>-1</v>
      </c>
      <c r="D65" s="6">
        <v>-1</v>
      </c>
      <c r="E65" s="6">
        <v>-1</v>
      </c>
      <c r="F65" s="6">
        <v>-1</v>
      </c>
      <c r="G65" s="6">
        <v>-1</v>
      </c>
      <c r="H65" s="6">
        <v>-1</v>
      </c>
      <c r="I65" s="6">
        <v>-1</v>
      </c>
    </row>
    <row r="66" spans="1:9" x14ac:dyDescent="0.3">
      <c r="A66" s="6" t="s">
        <v>4785</v>
      </c>
      <c r="B66" s="6" t="s">
        <v>598</v>
      </c>
      <c r="C66" s="6"/>
      <c r="D66" s="6">
        <v>2</v>
      </c>
      <c r="E66" s="6"/>
      <c r="F66" s="6"/>
      <c r="G66" s="6">
        <v>46</v>
      </c>
      <c r="H66" s="6"/>
      <c r="I66" s="6"/>
    </row>
    <row r="67" spans="1:9" x14ac:dyDescent="0.3">
      <c r="A67" s="6"/>
      <c r="B67" s="6" t="s">
        <v>506</v>
      </c>
      <c r="C67" s="6">
        <v>-1</v>
      </c>
      <c r="D67" s="6">
        <v>-1</v>
      </c>
      <c r="E67" s="6">
        <v>-1</v>
      </c>
      <c r="F67" s="6">
        <v>-1</v>
      </c>
      <c r="G67" s="6">
        <v>-1</v>
      </c>
      <c r="H67" s="6">
        <v>-1</v>
      </c>
      <c r="I67" s="6">
        <v>-1</v>
      </c>
    </row>
    <row r="68" spans="1:9" x14ac:dyDescent="0.3">
      <c r="A68" s="6"/>
      <c r="B68" s="6" t="s">
        <v>406</v>
      </c>
      <c r="C68" s="6">
        <v>-1</v>
      </c>
      <c r="D68" s="6">
        <v>-1</v>
      </c>
      <c r="E68" s="6">
        <v>-1</v>
      </c>
      <c r="F68" s="6">
        <v>-1</v>
      </c>
      <c r="G68" s="6">
        <v>-1</v>
      </c>
      <c r="H68" s="6">
        <v>-1</v>
      </c>
      <c r="I68" s="6">
        <v>-1</v>
      </c>
    </row>
    <row r="69" spans="1:9" x14ac:dyDescent="0.3">
      <c r="A69" s="6"/>
      <c r="B69" s="6" t="s">
        <v>700</v>
      </c>
      <c r="C69" s="6">
        <v>-1</v>
      </c>
      <c r="D69" s="6">
        <v>-1</v>
      </c>
      <c r="E69" s="6">
        <v>-1</v>
      </c>
      <c r="F69" s="6">
        <v>-1</v>
      </c>
      <c r="G69" s="6">
        <v>-1</v>
      </c>
      <c r="H69" s="6">
        <v>-1</v>
      </c>
      <c r="I69" s="6">
        <v>-1</v>
      </c>
    </row>
    <row r="70" spans="1:9" x14ac:dyDescent="0.3">
      <c r="A70" s="6" t="s">
        <v>3103</v>
      </c>
      <c r="B70" s="6" t="s">
        <v>336</v>
      </c>
      <c r="C70" s="6">
        <v>23</v>
      </c>
      <c r="D70" s="6">
        <v>56</v>
      </c>
      <c r="E70" s="6">
        <v>12</v>
      </c>
      <c r="F70" s="6">
        <v>43</v>
      </c>
      <c r="G70" s="6">
        <v>32</v>
      </c>
      <c r="H70" s="6">
        <v>45</v>
      </c>
      <c r="I70" s="6"/>
    </row>
    <row r="71" spans="1:9" x14ac:dyDescent="0.3">
      <c r="A71" s="6"/>
      <c r="B71" s="6" t="s">
        <v>520</v>
      </c>
      <c r="C71" s="6">
        <v>-1</v>
      </c>
      <c r="D71" s="6">
        <v>-1</v>
      </c>
      <c r="E71" s="6">
        <v>-1</v>
      </c>
      <c r="F71" s="6">
        <v>-1</v>
      </c>
      <c r="G71" s="6">
        <v>-1</v>
      </c>
      <c r="H71" s="6">
        <v>-1</v>
      </c>
      <c r="I71" s="6">
        <v>-1</v>
      </c>
    </row>
    <row r="72" spans="1:9" x14ac:dyDescent="0.3">
      <c r="A72" s="6" t="s">
        <v>3406</v>
      </c>
      <c r="B72" s="6" t="s">
        <v>348</v>
      </c>
      <c r="C72" s="6"/>
      <c r="D72" s="6"/>
      <c r="E72" s="6"/>
      <c r="F72" s="6">
        <v>26</v>
      </c>
      <c r="G72" s="6"/>
      <c r="H72" s="6"/>
      <c r="I72" s="6"/>
    </row>
    <row r="73" spans="1:9" x14ac:dyDescent="0.3">
      <c r="A73" s="6"/>
      <c r="B73" s="6" t="s">
        <v>670</v>
      </c>
      <c r="C73" s="6"/>
      <c r="D73" s="6">
        <v>-1</v>
      </c>
      <c r="E73" s="6"/>
      <c r="F73" s="6"/>
      <c r="G73" s="6"/>
      <c r="H73" s="6"/>
      <c r="I73" s="6"/>
    </row>
    <row r="74" spans="1:9" x14ac:dyDescent="0.3">
      <c r="A74" s="6"/>
      <c r="B74" s="6" t="s">
        <v>596</v>
      </c>
      <c r="C74" s="6"/>
      <c r="D74" s="6"/>
      <c r="E74" s="6"/>
      <c r="F74" s="6"/>
      <c r="G74" s="6">
        <v>-1</v>
      </c>
      <c r="H74" s="6"/>
      <c r="I74" s="6"/>
    </row>
    <row r="75" spans="1:9" x14ac:dyDescent="0.3">
      <c r="A75" s="6"/>
      <c r="B75" s="6" t="s">
        <v>342</v>
      </c>
      <c r="C75" s="6"/>
      <c r="D75" s="6"/>
      <c r="E75" s="6"/>
      <c r="F75" s="6"/>
      <c r="G75" s="6"/>
      <c r="H75" s="6">
        <v>-1</v>
      </c>
      <c r="I75" s="6"/>
    </row>
    <row r="76" spans="1:9" x14ac:dyDescent="0.3">
      <c r="A76" s="6"/>
      <c r="B76" s="6" t="s">
        <v>370</v>
      </c>
      <c r="C76" s="6"/>
      <c r="D76" s="6"/>
      <c r="E76" s="6"/>
      <c r="F76" s="6"/>
      <c r="G76" s="6"/>
      <c r="H76" s="6"/>
      <c r="I76" s="6">
        <v>-1</v>
      </c>
    </row>
    <row r="77" spans="1:9" x14ac:dyDescent="0.3">
      <c r="A77" s="6"/>
      <c r="B77" s="6" t="s">
        <v>520</v>
      </c>
      <c r="C77" s="6"/>
      <c r="D77" s="6"/>
      <c r="E77" s="6"/>
      <c r="F77" s="6">
        <v>-1</v>
      </c>
      <c r="G77" s="6"/>
      <c r="H77" s="6"/>
      <c r="I77" s="6"/>
    </row>
    <row r="78" spans="1:9" x14ac:dyDescent="0.3">
      <c r="A78" s="6" t="s">
        <v>3549</v>
      </c>
      <c r="B78" s="6" t="s">
        <v>450</v>
      </c>
      <c r="C78" s="6"/>
      <c r="D78" s="6"/>
      <c r="E78" s="6">
        <v>8</v>
      </c>
      <c r="F78" s="6"/>
      <c r="G78" s="6"/>
      <c r="H78" s="6"/>
      <c r="I78" s="6"/>
    </row>
    <row r="79" spans="1:9" x14ac:dyDescent="0.3">
      <c r="A79" s="6"/>
      <c r="B79" s="6" t="s">
        <v>374</v>
      </c>
      <c r="C79" s="6">
        <v>-1</v>
      </c>
      <c r="D79" s="6">
        <v>-1</v>
      </c>
      <c r="E79" s="6">
        <v>-1</v>
      </c>
      <c r="F79" s="6">
        <v>-1</v>
      </c>
      <c r="G79" s="6">
        <v>-1</v>
      </c>
      <c r="H79" s="6">
        <v>-1</v>
      </c>
      <c r="I79" s="6">
        <v>-1</v>
      </c>
    </row>
    <row r="80" spans="1:9" x14ac:dyDescent="0.3">
      <c r="A80" s="6"/>
      <c r="B80" s="6" t="s">
        <v>700</v>
      </c>
      <c r="C80" s="6"/>
      <c r="D80" s="6">
        <v>-1</v>
      </c>
      <c r="E80" s="6"/>
      <c r="F80" s="6"/>
      <c r="G80" s="6"/>
      <c r="H80" s="6"/>
      <c r="I80" s="6"/>
    </row>
    <row r="81" spans="1:9" x14ac:dyDescent="0.3">
      <c r="A81" s="6" t="s">
        <v>4694</v>
      </c>
      <c r="B81" s="6" t="s">
        <v>450</v>
      </c>
      <c r="C81" s="6"/>
      <c r="D81" s="6">
        <v>28</v>
      </c>
      <c r="E81" s="6"/>
      <c r="F81" s="6"/>
      <c r="G81" s="6"/>
      <c r="H81" s="6"/>
      <c r="I81" s="6">
        <v>5</v>
      </c>
    </row>
    <row r="82" spans="1:9" x14ac:dyDescent="0.3">
      <c r="A82" s="6" t="s">
        <v>3800</v>
      </c>
      <c r="B82" s="6" t="s">
        <v>602</v>
      </c>
      <c r="C82" s="6"/>
      <c r="D82" s="6"/>
      <c r="E82" s="6"/>
      <c r="F82" s="6"/>
      <c r="G82" s="6">
        <v>51</v>
      </c>
      <c r="H82" s="6"/>
      <c r="I82" s="6"/>
    </row>
    <row r="83" spans="1:9" x14ac:dyDescent="0.3">
      <c r="A83" s="6"/>
      <c r="B83" s="6" t="s">
        <v>604</v>
      </c>
      <c r="C83" s="6"/>
      <c r="D83" s="6"/>
      <c r="E83" s="6"/>
      <c r="F83" s="6"/>
      <c r="G83" s="6">
        <v>-1</v>
      </c>
      <c r="H83" s="6"/>
      <c r="I83" s="6"/>
    </row>
    <row r="84" spans="1:9" x14ac:dyDescent="0.3">
      <c r="A84" s="6"/>
      <c r="B84" s="6" t="s">
        <v>506</v>
      </c>
      <c r="C84" s="6"/>
      <c r="D84" s="6"/>
      <c r="E84" s="6"/>
      <c r="F84" s="6"/>
      <c r="G84" s="6"/>
      <c r="H84" s="6">
        <v>-1</v>
      </c>
      <c r="I84" s="6"/>
    </row>
    <row r="85" spans="1:9" x14ac:dyDescent="0.3">
      <c r="A85" s="6"/>
      <c r="B85" s="6" t="s">
        <v>344</v>
      </c>
      <c r="C85" s="6"/>
      <c r="D85" s="6"/>
      <c r="E85" s="6"/>
      <c r="F85" s="6"/>
      <c r="G85" s="6"/>
      <c r="H85" s="6">
        <v>-1</v>
      </c>
      <c r="I85" s="6"/>
    </row>
    <row r="86" spans="1:9" x14ac:dyDescent="0.3">
      <c r="A86" s="6"/>
      <c r="B86" s="6" t="s">
        <v>592</v>
      </c>
      <c r="C86" s="6"/>
      <c r="D86" s="6"/>
      <c r="E86" s="6"/>
      <c r="F86" s="6"/>
      <c r="G86" s="6"/>
      <c r="H86" s="6"/>
      <c r="I86" s="6">
        <v>-1</v>
      </c>
    </row>
    <row r="87" spans="1:9" x14ac:dyDescent="0.3">
      <c r="A87" s="6"/>
      <c r="B87" s="6" t="s">
        <v>360</v>
      </c>
      <c r="C87" s="6"/>
      <c r="D87" s="6"/>
      <c r="E87" s="6"/>
      <c r="F87" s="6"/>
      <c r="G87" s="6"/>
      <c r="H87" s="6"/>
      <c r="I87" s="6">
        <v>-1</v>
      </c>
    </row>
    <row r="88" spans="1:9" x14ac:dyDescent="0.3">
      <c r="A88" s="6"/>
      <c r="B88" s="6" t="s">
        <v>362</v>
      </c>
      <c r="C88" s="6"/>
      <c r="D88" s="6"/>
      <c r="E88" s="6"/>
      <c r="F88" s="6">
        <v>-1</v>
      </c>
      <c r="G88" s="6"/>
      <c r="H88" s="6"/>
      <c r="I88" s="6"/>
    </row>
    <row r="89" spans="1:9" x14ac:dyDescent="0.3">
      <c r="A89" s="6" t="s">
        <v>2611</v>
      </c>
      <c r="B89" s="6" t="s">
        <v>482</v>
      </c>
      <c r="C89" s="6"/>
      <c r="D89" s="6"/>
      <c r="E89" s="6"/>
      <c r="F89" s="6">
        <v>22</v>
      </c>
      <c r="G89" s="6"/>
      <c r="H89" s="6"/>
      <c r="I89" s="6"/>
    </row>
    <row r="90" spans="1:9" x14ac:dyDescent="0.3">
      <c r="A90" s="6"/>
      <c r="B90" s="6" t="s">
        <v>368</v>
      </c>
      <c r="C90" s="6"/>
      <c r="D90" s="6"/>
      <c r="E90" s="6">
        <v>-1</v>
      </c>
      <c r="F90" s="6"/>
      <c r="G90" s="6"/>
      <c r="H90" s="6"/>
      <c r="I90" s="6"/>
    </row>
    <row r="91" spans="1:9" x14ac:dyDescent="0.3">
      <c r="A91" s="6"/>
      <c r="B91" s="6" t="s">
        <v>620</v>
      </c>
      <c r="C91" s="6"/>
      <c r="D91" s="6"/>
      <c r="E91" s="6">
        <v>-1</v>
      </c>
      <c r="F91" s="6"/>
      <c r="G91" s="6"/>
      <c r="H91" s="6"/>
      <c r="I91" s="6"/>
    </row>
    <row r="92" spans="1:9" x14ac:dyDescent="0.3">
      <c r="A92" s="6"/>
      <c r="B92" s="6" t="s">
        <v>560</v>
      </c>
      <c r="C92" s="6">
        <v>-1</v>
      </c>
      <c r="D92" s="6">
        <v>-1</v>
      </c>
      <c r="E92" s="6">
        <v>-1</v>
      </c>
      <c r="F92" s="6">
        <v>-1</v>
      </c>
      <c r="G92" s="6">
        <v>-1</v>
      </c>
      <c r="H92" s="6">
        <v>-1</v>
      </c>
      <c r="I92" s="6">
        <v>-1</v>
      </c>
    </row>
    <row r="93" spans="1:9" x14ac:dyDescent="0.3">
      <c r="A93" s="6"/>
      <c r="B93" s="6" t="s">
        <v>326</v>
      </c>
      <c r="C93" s="6">
        <v>-1</v>
      </c>
      <c r="D93" s="6">
        <v>-1</v>
      </c>
      <c r="E93" s="6">
        <v>-1</v>
      </c>
      <c r="F93" s="6">
        <v>-1</v>
      </c>
      <c r="G93" s="6">
        <v>-1</v>
      </c>
      <c r="H93" s="6">
        <v>-1</v>
      </c>
      <c r="I93" s="6">
        <v>-1</v>
      </c>
    </row>
    <row r="94" spans="1:9" x14ac:dyDescent="0.3">
      <c r="A94" s="6"/>
      <c r="B94" s="6" t="s">
        <v>482</v>
      </c>
      <c r="C94" s="6">
        <v>-1</v>
      </c>
      <c r="D94" s="6">
        <v>-1</v>
      </c>
      <c r="E94" s="6">
        <v>-1</v>
      </c>
      <c r="F94" s="6">
        <v>-1</v>
      </c>
      <c r="G94" s="6">
        <v>-1</v>
      </c>
      <c r="H94" s="6">
        <v>-1</v>
      </c>
      <c r="I94" s="6">
        <v>-1</v>
      </c>
    </row>
    <row r="95" spans="1:9" x14ac:dyDescent="0.3">
      <c r="A95" s="6" t="s">
        <v>3646</v>
      </c>
      <c r="B95" s="6" t="s">
        <v>354</v>
      </c>
      <c r="C95" s="6">
        <v>21</v>
      </c>
      <c r="D95" s="6">
        <v>22</v>
      </c>
      <c r="E95" s="6">
        <v>25</v>
      </c>
      <c r="F95" s="6">
        <v>30</v>
      </c>
      <c r="G95" s="6">
        <v>27</v>
      </c>
      <c r="H95" s="6">
        <v>44</v>
      </c>
      <c r="I95" s="6"/>
    </row>
    <row r="96" spans="1:9" x14ac:dyDescent="0.3">
      <c r="A96" s="6"/>
      <c r="B96" s="6" t="s">
        <v>482</v>
      </c>
      <c r="C96" s="6">
        <v>-1</v>
      </c>
      <c r="D96" s="6">
        <v>-1</v>
      </c>
      <c r="E96" s="6">
        <v>-1</v>
      </c>
      <c r="F96" s="6">
        <v>-1</v>
      </c>
      <c r="G96" s="6">
        <v>-1</v>
      </c>
      <c r="H96" s="6">
        <v>-1</v>
      </c>
      <c r="I96" s="6">
        <v>-1</v>
      </c>
    </row>
    <row r="97" spans="1:9" x14ac:dyDescent="0.3">
      <c r="A97" s="6"/>
      <c r="B97" s="6" t="s">
        <v>708</v>
      </c>
      <c r="C97" s="6">
        <v>-1</v>
      </c>
      <c r="D97" s="6">
        <v>-1</v>
      </c>
      <c r="E97" s="6">
        <v>-1</v>
      </c>
      <c r="F97" s="6">
        <v>-1</v>
      </c>
      <c r="G97" s="6">
        <v>-1</v>
      </c>
      <c r="H97" s="6">
        <v>-1</v>
      </c>
      <c r="I97" s="6">
        <v>-1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98E16-DEBF-4CF5-AFA0-824A6B9A863A}">
  <dimension ref="A1:G97"/>
  <sheetViews>
    <sheetView topLeftCell="A88" workbookViewId="0">
      <selection activeCell="B98" sqref="B98"/>
    </sheetView>
  </sheetViews>
  <sheetFormatPr defaultRowHeight="14.4" x14ac:dyDescent="0.3"/>
  <cols>
    <col min="1" max="1" width="25" bestFit="1" customWidth="1"/>
    <col min="2" max="2" width="14" bestFit="1" customWidth="1"/>
    <col min="3" max="3" width="24" bestFit="1" customWidth="1"/>
    <col min="4" max="4" width="26.6640625" bestFit="1" customWidth="1"/>
    <col min="5" max="5" width="26.21875" bestFit="1" customWidth="1"/>
    <col min="6" max="6" width="25.44140625" bestFit="1" customWidth="1"/>
    <col min="7" max="7" width="19.109375" bestFit="1" customWidth="1"/>
  </cols>
  <sheetData>
    <row r="1" spans="1:7" x14ac:dyDescent="0.3">
      <c r="A1" t="s">
        <v>832</v>
      </c>
      <c r="B1" t="s">
        <v>1</v>
      </c>
      <c r="C1" t="s">
        <v>865</v>
      </c>
      <c r="D1" t="s">
        <v>864</v>
      </c>
      <c r="E1" t="s">
        <v>1153</v>
      </c>
      <c r="F1" t="s">
        <v>866</v>
      </c>
      <c r="G1" t="s">
        <v>867</v>
      </c>
    </row>
    <row r="2" spans="1:7" x14ac:dyDescent="0.3">
      <c r="A2" s="6" t="s">
        <v>1657</v>
      </c>
      <c r="B2" s="6" t="s">
        <v>332</v>
      </c>
      <c r="C2" s="6"/>
      <c r="D2" s="6">
        <v>46</v>
      </c>
      <c r="E2" s="6"/>
      <c r="F2" s="6">
        <v>21</v>
      </c>
      <c r="G2" s="6"/>
    </row>
    <row r="3" spans="1:7" x14ac:dyDescent="0.3">
      <c r="A3" s="6" t="s">
        <v>2742</v>
      </c>
      <c r="B3" s="6" t="s">
        <v>332</v>
      </c>
      <c r="C3" s="6"/>
      <c r="D3" s="6"/>
      <c r="E3" s="6">
        <v>74</v>
      </c>
      <c r="F3" s="6"/>
      <c r="G3" s="6">
        <v>3</v>
      </c>
    </row>
    <row r="4" spans="1:7" x14ac:dyDescent="0.3">
      <c r="A4" s="6" t="s">
        <v>4822</v>
      </c>
      <c r="B4" s="6" t="s">
        <v>332</v>
      </c>
      <c r="C4" s="6">
        <v>3</v>
      </c>
      <c r="D4" s="6">
        <v>6</v>
      </c>
      <c r="E4" s="6">
        <v>24</v>
      </c>
      <c r="F4" s="6">
        <v>3</v>
      </c>
      <c r="G4" s="6"/>
    </row>
    <row r="5" spans="1:7" x14ac:dyDescent="0.3">
      <c r="A5" s="6"/>
      <c r="B5" s="6" t="s">
        <v>332</v>
      </c>
      <c r="C5" s="6">
        <v>-1</v>
      </c>
      <c r="D5" s="6">
        <v>-1</v>
      </c>
      <c r="E5" s="6">
        <v>-1</v>
      </c>
      <c r="F5" s="6">
        <v>-1</v>
      </c>
      <c r="G5" s="6">
        <v>-1</v>
      </c>
    </row>
    <row r="6" spans="1:7" x14ac:dyDescent="0.3">
      <c r="A6" s="6"/>
      <c r="B6" s="6" t="s">
        <v>332</v>
      </c>
      <c r="C6" s="6">
        <v>-1</v>
      </c>
      <c r="D6" s="6">
        <v>-1</v>
      </c>
      <c r="E6" s="6">
        <v>-1</v>
      </c>
      <c r="F6" s="6">
        <v>-1</v>
      </c>
      <c r="G6" s="6">
        <v>-1</v>
      </c>
    </row>
    <row r="7" spans="1:7" x14ac:dyDescent="0.3">
      <c r="A7" s="6" t="s">
        <v>2917</v>
      </c>
      <c r="B7" s="6" t="s">
        <v>402</v>
      </c>
      <c r="C7" s="6">
        <v>12</v>
      </c>
      <c r="D7" s="6">
        <v>22</v>
      </c>
      <c r="E7" s="6">
        <v>38</v>
      </c>
      <c r="F7" s="6">
        <v>69</v>
      </c>
      <c r="G7" s="6"/>
    </row>
    <row r="8" spans="1:7" x14ac:dyDescent="0.3">
      <c r="A8" s="6" t="s">
        <v>4688</v>
      </c>
      <c r="B8" s="6" t="s">
        <v>402</v>
      </c>
      <c r="C8" s="6">
        <v>18</v>
      </c>
      <c r="D8" s="6">
        <v>19</v>
      </c>
      <c r="E8" s="6">
        <v>52</v>
      </c>
      <c r="F8" s="6">
        <v>51</v>
      </c>
      <c r="G8" s="6"/>
    </row>
    <row r="9" spans="1:7" x14ac:dyDescent="0.3">
      <c r="A9" s="6" t="s">
        <v>4769</v>
      </c>
      <c r="B9" s="6" t="s">
        <v>402</v>
      </c>
      <c r="C9" s="6"/>
      <c r="D9" s="6"/>
      <c r="E9" s="6">
        <v>18</v>
      </c>
      <c r="F9" s="6"/>
      <c r="G9" s="6"/>
    </row>
    <row r="10" spans="1:7" x14ac:dyDescent="0.3">
      <c r="A10" s="6"/>
      <c r="B10" s="6" t="s">
        <v>402</v>
      </c>
      <c r="C10" s="6">
        <v>-1</v>
      </c>
      <c r="D10" s="6">
        <v>-1</v>
      </c>
      <c r="E10" s="6">
        <v>-1</v>
      </c>
      <c r="F10" s="6">
        <v>-1</v>
      </c>
      <c r="G10" s="6">
        <v>-1</v>
      </c>
    </row>
    <row r="11" spans="1:7" x14ac:dyDescent="0.3">
      <c r="A11" s="6"/>
      <c r="B11" s="6" t="s">
        <v>402</v>
      </c>
      <c r="C11" s="6">
        <v>-1</v>
      </c>
      <c r="D11" s="6">
        <v>-1</v>
      </c>
      <c r="E11" s="6">
        <v>-1</v>
      </c>
      <c r="F11" s="6">
        <v>-1</v>
      </c>
      <c r="G11" s="6">
        <v>-1</v>
      </c>
    </row>
    <row r="12" spans="1:7" x14ac:dyDescent="0.3">
      <c r="A12" s="6" t="s">
        <v>2568</v>
      </c>
      <c r="B12" s="6" t="s">
        <v>384</v>
      </c>
      <c r="C12" s="6"/>
      <c r="D12" s="6"/>
      <c r="E12" s="6"/>
      <c r="F12" s="6"/>
      <c r="G12" s="6">
        <v>8</v>
      </c>
    </row>
    <row r="13" spans="1:7" x14ac:dyDescent="0.3">
      <c r="A13" s="6"/>
      <c r="B13" s="6" t="s">
        <v>384</v>
      </c>
      <c r="C13" s="6">
        <v>-1</v>
      </c>
      <c r="D13" s="6">
        <v>-1</v>
      </c>
      <c r="E13" s="6">
        <v>-1</v>
      </c>
      <c r="F13" s="6">
        <v>-1</v>
      </c>
      <c r="G13" s="6">
        <v>-1</v>
      </c>
    </row>
    <row r="14" spans="1:7" x14ac:dyDescent="0.3">
      <c r="A14" s="6"/>
      <c r="B14" s="6" t="s">
        <v>384</v>
      </c>
      <c r="C14" s="6">
        <v>-1</v>
      </c>
      <c r="D14" s="6">
        <v>-1</v>
      </c>
      <c r="E14" s="6">
        <v>-1</v>
      </c>
      <c r="F14" s="6">
        <v>-1</v>
      </c>
      <c r="G14" s="6">
        <v>-1</v>
      </c>
    </row>
    <row r="15" spans="1:7" x14ac:dyDescent="0.3">
      <c r="A15" s="6"/>
      <c r="B15" s="6" t="s">
        <v>384</v>
      </c>
      <c r="C15" s="6">
        <v>-1</v>
      </c>
      <c r="D15" s="6">
        <v>-1</v>
      </c>
      <c r="E15" s="6">
        <v>-1</v>
      </c>
      <c r="F15" s="6">
        <v>-1</v>
      </c>
      <c r="G15" s="6">
        <v>-1</v>
      </c>
    </row>
    <row r="16" spans="1:7" x14ac:dyDescent="0.3">
      <c r="A16" s="6"/>
      <c r="B16" s="6" t="s">
        <v>384</v>
      </c>
      <c r="C16" s="6">
        <v>-1</v>
      </c>
      <c r="D16" s="6">
        <v>-1</v>
      </c>
      <c r="E16" s="6">
        <v>-1</v>
      </c>
      <c r="F16" s="6">
        <v>-1</v>
      </c>
      <c r="G16" s="6">
        <v>-1</v>
      </c>
    </row>
    <row r="17" spans="1:7" x14ac:dyDescent="0.3">
      <c r="A17" s="6" t="s">
        <v>2115</v>
      </c>
      <c r="B17" s="6" t="s">
        <v>328</v>
      </c>
      <c r="C17" s="6"/>
      <c r="D17" s="6">
        <v>11</v>
      </c>
      <c r="E17" s="6"/>
      <c r="F17" s="6">
        <v>20</v>
      </c>
      <c r="G17" s="6"/>
    </row>
    <row r="18" spans="1:7" x14ac:dyDescent="0.3">
      <c r="A18" s="6"/>
      <c r="B18" s="6" t="s">
        <v>328</v>
      </c>
      <c r="C18" s="6">
        <v>-1</v>
      </c>
      <c r="D18" s="6">
        <v>-1</v>
      </c>
      <c r="E18" s="6">
        <v>-1</v>
      </c>
      <c r="F18" s="6">
        <v>-1</v>
      </c>
      <c r="G18" s="6">
        <v>-1</v>
      </c>
    </row>
    <row r="19" spans="1:7" x14ac:dyDescent="0.3">
      <c r="A19" s="6"/>
      <c r="B19" s="6" t="s">
        <v>328</v>
      </c>
      <c r="C19" s="6">
        <v>-1</v>
      </c>
      <c r="D19" s="6">
        <v>-1</v>
      </c>
      <c r="E19" s="6">
        <v>-1</v>
      </c>
      <c r="F19" s="6">
        <v>-1</v>
      </c>
      <c r="G19" s="6">
        <v>-1</v>
      </c>
    </row>
    <row r="20" spans="1:7" x14ac:dyDescent="0.3">
      <c r="A20" s="6"/>
      <c r="B20" s="6" t="s">
        <v>328</v>
      </c>
      <c r="C20" s="6">
        <v>-1</v>
      </c>
      <c r="D20" s="6">
        <v>-1</v>
      </c>
      <c r="E20" s="6">
        <v>-1</v>
      </c>
      <c r="F20" s="6">
        <v>-1</v>
      </c>
      <c r="G20" s="6">
        <v>-1</v>
      </c>
    </row>
    <row r="21" spans="1:7" x14ac:dyDescent="0.3">
      <c r="A21" s="6"/>
      <c r="B21" s="6" t="s">
        <v>328</v>
      </c>
      <c r="C21" s="6">
        <v>-1</v>
      </c>
      <c r="D21" s="6">
        <v>-1</v>
      </c>
      <c r="E21" s="6">
        <v>-1</v>
      </c>
      <c r="F21" s="6">
        <v>-1</v>
      </c>
      <c r="G21" s="6">
        <v>-1</v>
      </c>
    </row>
    <row r="22" spans="1:7" x14ac:dyDescent="0.3">
      <c r="A22" s="6" t="s">
        <v>1619</v>
      </c>
      <c r="B22" s="6" t="s">
        <v>336</v>
      </c>
      <c r="C22" s="6"/>
      <c r="D22" s="6">
        <v>7</v>
      </c>
      <c r="E22" s="6">
        <v>11</v>
      </c>
      <c r="F22" s="6"/>
      <c r="G22" s="6"/>
    </row>
    <row r="23" spans="1:7" x14ac:dyDescent="0.3">
      <c r="A23" s="6" t="s">
        <v>3042</v>
      </c>
      <c r="B23" s="6" t="s">
        <v>336</v>
      </c>
      <c r="C23" s="6">
        <v>2</v>
      </c>
      <c r="D23" s="6">
        <v>4</v>
      </c>
      <c r="E23" s="6">
        <v>1</v>
      </c>
      <c r="F23" s="6">
        <v>10</v>
      </c>
      <c r="G23" s="6">
        <v>2</v>
      </c>
    </row>
    <row r="24" spans="1:7" x14ac:dyDescent="0.3">
      <c r="A24" s="6"/>
      <c r="B24" s="6" t="s">
        <v>336</v>
      </c>
      <c r="C24" s="6">
        <v>-1</v>
      </c>
      <c r="D24" s="6">
        <v>-1</v>
      </c>
      <c r="E24" s="6">
        <v>-1</v>
      </c>
      <c r="F24" s="6">
        <v>-1</v>
      </c>
      <c r="G24" s="6">
        <v>-1</v>
      </c>
    </row>
    <row r="25" spans="1:7" x14ac:dyDescent="0.3">
      <c r="A25" s="6"/>
      <c r="B25" s="6" t="s">
        <v>336</v>
      </c>
      <c r="C25" s="6">
        <v>-1</v>
      </c>
      <c r="D25" s="6">
        <v>-1</v>
      </c>
      <c r="E25" s="6">
        <v>-1</v>
      </c>
      <c r="F25" s="6">
        <v>-1</v>
      </c>
      <c r="G25" s="6">
        <v>-1</v>
      </c>
    </row>
    <row r="26" spans="1:7" x14ac:dyDescent="0.3">
      <c r="A26" s="6"/>
      <c r="B26" s="6" t="s">
        <v>336</v>
      </c>
      <c r="C26" s="6">
        <v>-1</v>
      </c>
      <c r="D26" s="6">
        <v>-1</v>
      </c>
      <c r="E26" s="6">
        <v>-1</v>
      </c>
      <c r="F26" s="6">
        <v>-1</v>
      </c>
      <c r="G26" s="6">
        <v>-1</v>
      </c>
    </row>
    <row r="27" spans="1:7" x14ac:dyDescent="0.3">
      <c r="A27" s="6"/>
      <c r="B27" s="6" t="s">
        <v>356</v>
      </c>
      <c r="C27" s="6">
        <v>-1</v>
      </c>
      <c r="D27" s="6">
        <v>-1</v>
      </c>
      <c r="E27" s="6">
        <v>-1</v>
      </c>
      <c r="F27" s="6">
        <v>-1</v>
      </c>
      <c r="G27" s="6">
        <v>-1</v>
      </c>
    </row>
    <row r="28" spans="1:7" x14ac:dyDescent="0.3">
      <c r="A28" s="6"/>
      <c r="B28" s="6" t="s">
        <v>356</v>
      </c>
      <c r="C28" s="6">
        <v>-1</v>
      </c>
      <c r="D28" s="6">
        <v>-1</v>
      </c>
      <c r="E28" s="6">
        <v>-1</v>
      </c>
      <c r="F28" s="6">
        <v>-1</v>
      </c>
      <c r="G28" s="6">
        <v>-1</v>
      </c>
    </row>
    <row r="29" spans="1:7" x14ac:dyDescent="0.3">
      <c r="A29" s="6"/>
      <c r="B29" s="6" t="s">
        <v>356</v>
      </c>
      <c r="C29" s="6">
        <v>-1</v>
      </c>
      <c r="D29" s="6">
        <v>-1</v>
      </c>
      <c r="E29" s="6">
        <v>-1</v>
      </c>
      <c r="F29" s="6">
        <v>-1</v>
      </c>
      <c r="G29" s="6">
        <v>-1</v>
      </c>
    </row>
    <row r="30" spans="1:7" x14ac:dyDescent="0.3">
      <c r="A30" s="6"/>
      <c r="B30" s="6" t="s">
        <v>356</v>
      </c>
      <c r="C30" s="6">
        <v>-1</v>
      </c>
      <c r="D30" s="6">
        <v>-1</v>
      </c>
      <c r="E30" s="6">
        <v>-1</v>
      </c>
      <c r="F30" s="6">
        <v>-1</v>
      </c>
      <c r="G30" s="6">
        <v>-1</v>
      </c>
    </row>
    <row r="31" spans="1:7" x14ac:dyDescent="0.3">
      <c r="A31" s="6"/>
      <c r="B31" s="6" t="s">
        <v>356</v>
      </c>
      <c r="C31" s="6">
        <v>-1</v>
      </c>
      <c r="D31" s="6">
        <v>-1</v>
      </c>
      <c r="E31" s="6">
        <v>-1</v>
      </c>
      <c r="F31" s="6">
        <v>-1</v>
      </c>
      <c r="G31" s="6">
        <v>-1</v>
      </c>
    </row>
    <row r="32" spans="1:7" x14ac:dyDescent="0.3">
      <c r="A32" s="6" t="s">
        <v>2961</v>
      </c>
      <c r="B32" s="6" t="s">
        <v>412</v>
      </c>
      <c r="C32" s="6">
        <v>42</v>
      </c>
      <c r="D32" s="6">
        <v>51</v>
      </c>
      <c r="E32" s="6">
        <v>47</v>
      </c>
      <c r="F32" s="6">
        <v>53</v>
      </c>
      <c r="G32" s="6"/>
    </row>
    <row r="33" spans="1:7" x14ac:dyDescent="0.3">
      <c r="A33" s="6" t="s">
        <v>3786</v>
      </c>
      <c r="B33" s="6" t="s">
        <v>412</v>
      </c>
      <c r="C33" s="6">
        <v>32</v>
      </c>
      <c r="D33" s="6">
        <v>24</v>
      </c>
      <c r="E33" s="6">
        <v>61</v>
      </c>
      <c r="F33" s="6">
        <v>59</v>
      </c>
      <c r="G33" s="6"/>
    </row>
    <row r="34" spans="1:7" x14ac:dyDescent="0.3">
      <c r="A34" s="6" t="s">
        <v>3787</v>
      </c>
      <c r="B34" s="6" t="s">
        <v>412</v>
      </c>
      <c r="C34" s="6"/>
      <c r="D34" s="6">
        <v>9</v>
      </c>
      <c r="E34" s="6"/>
      <c r="F34" s="6"/>
      <c r="G34" s="6"/>
    </row>
    <row r="35" spans="1:7" x14ac:dyDescent="0.3">
      <c r="A35" s="6"/>
      <c r="B35" s="6" t="s">
        <v>412</v>
      </c>
      <c r="C35" s="6">
        <v>-1</v>
      </c>
      <c r="D35" s="6">
        <v>-1</v>
      </c>
      <c r="E35" s="6">
        <v>-1</v>
      </c>
      <c r="F35" s="6">
        <v>-1</v>
      </c>
      <c r="G35" s="6">
        <v>-1</v>
      </c>
    </row>
    <row r="36" spans="1:7" x14ac:dyDescent="0.3">
      <c r="A36" s="6"/>
      <c r="B36" s="6" t="s">
        <v>412</v>
      </c>
      <c r="C36" s="6">
        <v>-1</v>
      </c>
      <c r="D36" s="6">
        <v>-1</v>
      </c>
      <c r="E36" s="6">
        <v>-1</v>
      </c>
      <c r="F36" s="6">
        <v>-1</v>
      </c>
      <c r="G36" s="6">
        <v>-1</v>
      </c>
    </row>
    <row r="37" spans="1:7" x14ac:dyDescent="0.3">
      <c r="A37" s="6"/>
      <c r="B37" s="6" t="s">
        <v>344</v>
      </c>
      <c r="C37" s="6">
        <v>-1</v>
      </c>
      <c r="D37" s="6">
        <v>-1</v>
      </c>
      <c r="E37" s="6">
        <v>-1</v>
      </c>
      <c r="F37" s="6">
        <v>-1</v>
      </c>
      <c r="G37" s="6">
        <v>-1</v>
      </c>
    </row>
    <row r="38" spans="1:7" x14ac:dyDescent="0.3">
      <c r="A38" s="6"/>
      <c r="B38" s="6" t="s">
        <v>344</v>
      </c>
      <c r="C38" s="6">
        <v>-1</v>
      </c>
      <c r="D38" s="6">
        <v>-1</v>
      </c>
      <c r="E38" s="6">
        <v>-1</v>
      </c>
      <c r="F38" s="6">
        <v>-1</v>
      </c>
      <c r="G38" s="6">
        <v>-1</v>
      </c>
    </row>
    <row r="39" spans="1:7" x14ac:dyDescent="0.3">
      <c r="A39" s="6"/>
      <c r="B39" s="6" t="s">
        <v>344</v>
      </c>
      <c r="C39" s="6">
        <v>-1</v>
      </c>
      <c r="D39" s="6">
        <v>-1</v>
      </c>
      <c r="E39" s="6">
        <v>-1</v>
      </c>
      <c r="F39" s="6">
        <v>-1</v>
      </c>
      <c r="G39" s="6">
        <v>-1</v>
      </c>
    </row>
    <row r="40" spans="1:7" x14ac:dyDescent="0.3">
      <c r="A40" s="6"/>
      <c r="B40" s="6" t="s">
        <v>344</v>
      </c>
      <c r="C40" s="6">
        <v>-1</v>
      </c>
      <c r="D40" s="6">
        <v>-1</v>
      </c>
      <c r="E40" s="6">
        <v>-1</v>
      </c>
      <c r="F40" s="6">
        <v>-1</v>
      </c>
      <c r="G40" s="6">
        <v>-1</v>
      </c>
    </row>
    <row r="41" spans="1:7" x14ac:dyDescent="0.3">
      <c r="A41" s="6"/>
      <c r="B41" s="6" t="s">
        <v>344</v>
      </c>
      <c r="C41" s="6">
        <v>-1</v>
      </c>
      <c r="D41" s="6">
        <v>-1</v>
      </c>
      <c r="E41" s="6">
        <v>-1</v>
      </c>
      <c r="F41" s="6">
        <v>-1</v>
      </c>
      <c r="G41" s="6">
        <v>-1</v>
      </c>
    </row>
    <row r="42" spans="1:7" x14ac:dyDescent="0.3">
      <c r="A42" s="6" t="s">
        <v>1755</v>
      </c>
      <c r="B42" s="6" t="s">
        <v>428</v>
      </c>
      <c r="C42" s="6">
        <v>15</v>
      </c>
      <c r="D42" s="6">
        <v>14</v>
      </c>
      <c r="E42" s="6">
        <v>17</v>
      </c>
      <c r="F42" s="6">
        <v>29</v>
      </c>
      <c r="G42" s="6"/>
    </row>
    <row r="43" spans="1:7" x14ac:dyDescent="0.3">
      <c r="A43" s="6" t="s">
        <v>2684</v>
      </c>
      <c r="B43" s="6" t="s">
        <v>428</v>
      </c>
      <c r="C43" s="6">
        <v>27</v>
      </c>
      <c r="D43" s="6">
        <v>13</v>
      </c>
      <c r="E43" s="6">
        <v>19</v>
      </c>
      <c r="F43" s="6">
        <v>37</v>
      </c>
      <c r="G43" s="6"/>
    </row>
    <row r="44" spans="1:7" x14ac:dyDescent="0.3">
      <c r="A44" s="6"/>
      <c r="B44" s="6" t="s">
        <v>428</v>
      </c>
      <c r="C44" s="6">
        <v>-1</v>
      </c>
      <c r="D44" s="6">
        <v>-1</v>
      </c>
      <c r="E44" s="6">
        <v>-1</v>
      </c>
      <c r="F44" s="6">
        <v>-1</v>
      </c>
      <c r="G44" s="6">
        <v>-1</v>
      </c>
    </row>
    <row r="45" spans="1:7" x14ac:dyDescent="0.3">
      <c r="A45" s="6"/>
      <c r="B45" s="6" t="s">
        <v>428</v>
      </c>
      <c r="C45" s="6">
        <v>-1</v>
      </c>
      <c r="D45" s="6">
        <v>-1</v>
      </c>
      <c r="E45" s="6">
        <v>-1</v>
      </c>
      <c r="F45" s="6">
        <v>-1</v>
      </c>
      <c r="G45" s="6">
        <v>-1</v>
      </c>
    </row>
    <row r="46" spans="1:7" x14ac:dyDescent="0.3">
      <c r="A46" s="6"/>
      <c r="B46" s="6" t="s">
        <v>428</v>
      </c>
      <c r="C46" s="6">
        <v>-1</v>
      </c>
      <c r="D46" s="6">
        <v>-1</v>
      </c>
      <c r="E46" s="6">
        <v>-1</v>
      </c>
      <c r="F46" s="6">
        <v>-1</v>
      </c>
      <c r="G46" s="6">
        <v>-1</v>
      </c>
    </row>
    <row r="47" spans="1:7" x14ac:dyDescent="0.3">
      <c r="A47" s="6" t="s">
        <v>2426</v>
      </c>
      <c r="B47" s="6" t="s">
        <v>354</v>
      </c>
      <c r="C47" s="6">
        <v>51</v>
      </c>
      <c r="D47" s="6">
        <v>66</v>
      </c>
      <c r="E47" s="6">
        <v>60</v>
      </c>
      <c r="F47" s="6">
        <v>54</v>
      </c>
      <c r="G47" s="6"/>
    </row>
    <row r="48" spans="1:7" x14ac:dyDescent="0.3">
      <c r="A48" s="6" t="s">
        <v>2432</v>
      </c>
      <c r="B48" s="6" t="s">
        <v>354</v>
      </c>
      <c r="C48" s="6">
        <v>13</v>
      </c>
      <c r="D48" s="6">
        <v>29</v>
      </c>
      <c r="E48" s="6">
        <v>30</v>
      </c>
      <c r="F48" s="6">
        <v>19</v>
      </c>
      <c r="G48" s="6">
        <v>18</v>
      </c>
    </row>
    <row r="49" spans="1:7" x14ac:dyDescent="0.3">
      <c r="A49" s="6"/>
      <c r="B49" s="6" t="s">
        <v>354</v>
      </c>
      <c r="C49" s="6">
        <v>-1</v>
      </c>
      <c r="D49" s="6">
        <v>-1</v>
      </c>
      <c r="E49" s="6">
        <v>-1</v>
      </c>
      <c r="F49" s="6">
        <v>-1</v>
      </c>
      <c r="G49" s="6">
        <v>-1</v>
      </c>
    </row>
    <row r="50" spans="1:7" x14ac:dyDescent="0.3">
      <c r="A50" s="6"/>
      <c r="B50" s="6" t="s">
        <v>354</v>
      </c>
      <c r="C50" s="6">
        <v>-1</v>
      </c>
      <c r="D50" s="6">
        <v>-1</v>
      </c>
      <c r="E50" s="6">
        <v>-1</v>
      </c>
      <c r="F50" s="6">
        <v>-1</v>
      </c>
      <c r="G50" s="6">
        <v>-1</v>
      </c>
    </row>
    <row r="51" spans="1:7" x14ac:dyDescent="0.3">
      <c r="A51" s="6"/>
      <c r="B51" s="6" t="s">
        <v>354</v>
      </c>
      <c r="C51" s="6">
        <v>-1</v>
      </c>
      <c r="D51" s="6">
        <v>-1</v>
      </c>
      <c r="E51" s="6">
        <v>-1</v>
      </c>
      <c r="F51" s="6">
        <v>-1</v>
      </c>
      <c r="G51" s="6">
        <v>-1</v>
      </c>
    </row>
    <row r="52" spans="1:7" x14ac:dyDescent="0.3">
      <c r="A52" s="6" t="s">
        <v>4024</v>
      </c>
      <c r="B52" s="6" t="s">
        <v>348</v>
      </c>
      <c r="C52" s="6">
        <v>22</v>
      </c>
      <c r="D52" s="6">
        <v>30</v>
      </c>
      <c r="E52" s="6">
        <v>16</v>
      </c>
      <c r="F52" s="6">
        <v>43</v>
      </c>
      <c r="G52" s="6"/>
    </row>
    <row r="53" spans="1:7" x14ac:dyDescent="0.3">
      <c r="A53" s="6"/>
      <c r="B53" s="6" t="s">
        <v>348</v>
      </c>
      <c r="C53" s="6">
        <v>-1</v>
      </c>
      <c r="D53" s="6">
        <v>-1</v>
      </c>
      <c r="E53" s="6">
        <v>-1</v>
      </c>
      <c r="F53" s="6">
        <v>-1</v>
      </c>
      <c r="G53" s="6">
        <v>-1</v>
      </c>
    </row>
    <row r="54" spans="1:7" x14ac:dyDescent="0.3">
      <c r="A54" s="6"/>
      <c r="B54" s="6" t="s">
        <v>348</v>
      </c>
      <c r="C54" s="6">
        <v>-1</v>
      </c>
      <c r="D54" s="6">
        <v>-1</v>
      </c>
      <c r="E54" s="6">
        <v>-1</v>
      </c>
      <c r="F54" s="6">
        <v>-1</v>
      </c>
      <c r="G54" s="6">
        <v>-1</v>
      </c>
    </row>
    <row r="55" spans="1:7" x14ac:dyDescent="0.3">
      <c r="A55" s="6"/>
      <c r="B55" s="6" t="s">
        <v>348</v>
      </c>
      <c r="C55" s="6">
        <v>-1</v>
      </c>
      <c r="D55" s="6">
        <v>-1</v>
      </c>
      <c r="E55" s="6">
        <v>-1</v>
      </c>
      <c r="F55" s="6">
        <v>-1</v>
      </c>
      <c r="G55" s="6">
        <v>-1</v>
      </c>
    </row>
    <row r="56" spans="1:7" x14ac:dyDescent="0.3">
      <c r="A56" s="6"/>
      <c r="B56" s="6" t="s">
        <v>348</v>
      </c>
      <c r="C56" s="6">
        <v>-1</v>
      </c>
      <c r="D56" s="6">
        <v>-1</v>
      </c>
      <c r="E56" s="6">
        <v>-1</v>
      </c>
      <c r="F56" s="6">
        <v>-1</v>
      </c>
      <c r="G56" s="6">
        <v>-1</v>
      </c>
    </row>
    <row r="57" spans="1:7" x14ac:dyDescent="0.3">
      <c r="A57" s="6"/>
      <c r="B57" s="6" t="s">
        <v>700</v>
      </c>
      <c r="C57" s="6">
        <v>-1</v>
      </c>
      <c r="D57" s="6">
        <v>-1</v>
      </c>
      <c r="E57" s="6">
        <v>-1</v>
      </c>
      <c r="F57" s="6">
        <v>-1</v>
      </c>
      <c r="G57" s="6">
        <v>-1</v>
      </c>
    </row>
    <row r="58" spans="1:7" x14ac:dyDescent="0.3">
      <c r="A58" s="6"/>
      <c r="B58" s="6" t="s">
        <v>700</v>
      </c>
      <c r="C58" s="6">
        <v>-1</v>
      </c>
      <c r="D58" s="6">
        <v>-1</v>
      </c>
      <c r="E58" s="6">
        <v>-1</v>
      </c>
      <c r="F58" s="6">
        <v>-1</v>
      </c>
      <c r="G58" s="6">
        <v>-1</v>
      </c>
    </row>
    <row r="59" spans="1:7" x14ac:dyDescent="0.3">
      <c r="A59" s="6"/>
      <c r="B59" s="6" t="s">
        <v>700</v>
      </c>
      <c r="C59" s="6">
        <v>-1</v>
      </c>
      <c r="D59" s="6">
        <v>-1</v>
      </c>
      <c r="E59" s="6">
        <v>-1</v>
      </c>
      <c r="F59" s="6">
        <v>-1</v>
      </c>
      <c r="G59" s="6">
        <v>-1</v>
      </c>
    </row>
    <row r="60" spans="1:7" x14ac:dyDescent="0.3">
      <c r="A60" s="6"/>
      <c r="B60" s="6" t="s">
        <v>700</v>
      </c>
      <c r="C60" s="6">
        <v>-1</v>
      </c>
      <c r="D60" s="6">
        <v>-1</v>
      </c>
      <c r="E60" s="6">
        <v>-1</v>
      </c>
      <c r="F60" s="6">
        <v>-1</v>
      </c>
      <c r="G60" s="6">
        <v>-1</v>
      </c>
    </row>
    <row r="61" spans="1:7" x14ac:dyDescent="0.3">
      <c r="A61" s="6"/>
      <c r="B61" s="6" t="s">
        <v>700</v>
      </c>
      <c r="C61" s="6">
        <v>-1</v>
      </c>
      <c r="D61" s="6">
        <v>-1</v>
      </c>
      <c r="E61" s="6">
        <v>-1</v>
      </c>
      <c r="F61" s="6">
        <v>-1</v>
      </c>
      <c r="G61" s="6">
        <v>-1</v>
      </c>
    </row>
    <row r="62" spans="1:7" x14ac:dyDescent="0.3">
      <c r="A62" s="6"/>
      <c r="B62" s="6" t="s">
        <v>334</v>
      </c>
      <c r="C62" s="6">
        <v>-1</v>
      </c>
      <c r="D62" s="6">
        <v>-1</v>
      </c>
      <c r="E62" s="6">
        <v>-1</v>
      </c>
      <c r="F62" s="6">
        <v>-1</v>
      </c>
      <c r="G62" s="6">
        <v>-1</v>
      </c>
    </row>
    <row r="63" spans="1:7" x14ac:dyDescent="0.3">
      <c r="A63" s="6"/>
      <c r="B63" s="6" t="s">
        <v>350</v>
      </c>
      <c r="C63" s="6">
        <v>-1</v>
      </c>
      <c r="D63" s="6">
        <v>-1</v>
      </c>
      <c r="E63" s="6">
        <v>-1</v>
      </c>
      <c r="F63" s="6">
        <v>-1</v>
      </c>
      <c r="G63" s="6">
        <v>-1</v>
      </c>
    </row>
    <row r="64" spans="1:7" x14ac:dyDescent="0.3">
      <c r="A64" s="6"/>
      <c r="B64" s="6" t="s">
        <v>406</v>
      </c>
      <c r="C64" s="6">
        <v>-1</v>
      </c>
      <c r="D64" s="6">
        <v>-1</v>
      </c>
      <c r="E64" s="6">
        <v>-1</v>
      </c>
      <c r="F64" s="6">
        <v>-1</v>
      </c>
      <c r="G64" s="6">
        <v>-1</v>
      </c>
    </row>
    <row r="65" spans="1:7" x14ac:dyDescent="0.3">
      <c r="A65" s="6"/>
      <c r="B65" s="6" t="s">
        <v>380</v>
      </c>
      <c r="C65" s="6">
        <v>-1</v>
      </c>
      <c r="D65" s="6">
        <v>-1</v>
      </c>
      <c r="E65" s="6">
        <v>-1</v>
      </c>
      <c r="F65" s="6">
        <v>-1</v>
      </c>
      <c r="G65" s="6">
        <v>-1</v>
      </c>
    </row>
    <row r="66" spans="1:7" x14ac:dyDescent="0.3">
      <c r="A66" s="6" t="s">
        <v>3906</v>
      </c>
      <c r="B66" s="6" t="s">
        <v>334</v>
      </c>
      <c r="C66" s="6"/>
      <c r="D66" s="6">
        <v>26</v>
      </c>
      <c r="E66" s="6">
        <v>57</v>
      </c>
      <c r="F66" s="6"/>
      <c r="G66" s="6"/>
    </row>
    <row r="67" spans="1:7" x14ac:dyDescent="0.3">
      <c r="A67" s="6" t="s">
        <v>2760</v>
      </c>
      <c r="B67" s="6" t="s">
        <v>350</v>
      </c>
      <c r="C67" s="6">
        <v>43</v>
      </c>
      <c r="D67" s="6">
        <v>74</v>
      </c>
      <c r="E67" s="6">
        <v>36</v>
      </c>
      <c r="F67" s="6">
        <v>56</v>
      </c>
      <c r="G67" s="6">
        <v>10</v>
      </c>
    </row>
    <row r="68" spans="1:7" x14ac:dyDescent="0.3">
      <c r="A68" s="6" t="s">
        <v>1350</v>
      </c>
      <c r="B68" s="6" t="s">
        <v>346</v>
      </c>
      <c r="C68" s="6">
        <v>20</v>
      </c>
      <c r="D68" s="6">
        <v>49</v>
      </c>
      <c r="E68" s="6">
        <v>43</v>
      </c>
      <c r="F68" s="6">
        <v>22</v>
      </c>
      <c r="G68" s="6"/>
    </row>
    <row r="69" spans="1:7" x14ac:dyDescent="0.3">
      <c r="A69" s="6"/>
      <c r="B69" s="6" t="s">
        <v>670</v>
      </c>
      <c r="C69" s="6">
        <v>-1</v>
      </c>
      <c r="D69" s="6">
        <v>-1</v>
      </c>
      <c r="E69" s="6">
        <v>-1</v>
      </c>
      <c r="F69" s="6">
        <v>-1</v>
      </c>
      <c r="G69" s="6">
        <v>-1</v>
      </c>
    </row>
    <row r="70" spans="1:7" x14ac:dyDescent="0.3">
      <c r="A70" s="6"/>
      <c r="B70" s="6" t="s">
        <v>406</v>
      </c>
      <c r="C70" s="6">
        <v>-1</v>
      </c>
      <c r="D70" s="6">
        <v>-1</v>
      </c>
      <c r="E70" s="6">
        <v>-1</v>
      </c>
      <c r="F70" s="6">
        <v>-1</v>
      </c>
      <c r="G70" s="6">
        <v>-1</v>
      </c>
    </row>
    <row r="71" spans="1:7" x14ac:dyDescent="0.3">
      <c r="A71" s="6"/>
      <c r="B71" s="6" t="s">
        <v>330</v>
      </c>
      <c r="C71" s="6">
        <v>-1</v>
      </c>
      <c r="D71" s="6">
        <v>-1</v>
      </c>
      <c r="E71" s="6">
        <v>-1</v>
      </c>
      <c r="F71" s="6">
        <v>-1</v>
      </c>
      <c r="G71" s="6">
        <v>-1</v>
      </c>
    </row>
    <row r="72" spans="1:7" x14ac:dyDescent="0.3">
      <c r="A72" s="6"/>
      <c r="B72" s="6" t="s">
        <v>726</v>
      </c>
      <c r="C72" s="6">
        <v>-1</v>
      </c>
      <c r="D72" s="6">
        <v>-1</v>
      </c>
      <c r="E72" s="6">
        <v>-1</v>
      </c>
      <c r="F72" s="6">
        <v>-1</v>
      </c>
      <c r="G72" s="6">
        <v>-1</v>
      </c>
    </row>
    <row r="73" spans="1:7" x14ac:dyDescent="0.3">
      <c r="A73" s="6"/>
      <c r="B73" s="6" t="s">
        <v>444</v>
      </c>
      <c r="C73" s="6">
        <v>-1</v>
      </c>
      <c r="D73" s="6">
        <v>-1</v>
      </c>
      <c r="E73" s="6">
        <v>-1</v>
      </c>
      <c r="F73" s="6">
        <v>-1</v>
      </c>
      <c r="G73" s="6">
        <v>-1</v>
      </c>
    </row>
    <row r="74" spans="1:7" x14ac:dyDescent="0.3">
      <c r="A74" s="6"/>
      <c r="B74" s="6" t="s">
        <v>664</v>
      </c>
      <c r="C74" s="6">
        <v>-1</v>
      </c>
      <c r="D74" s="6">
        <v>-1</v>
      </c>
      <c r="E74" s="6">
        <v>-1</v>
      </c>
      <c r="F74" s="6">
        <v>-1</v>
      </c>
      <c r="G74" s="6">
        <v>-1</v>
      </c>
    </row>
    <row r="75" spans="1:7" x14ac:dyDescent="0.3">
      <c r="A75" s="6"/>
      <c r="B75" s="6" t="s">
        <v>422</v>
      </c>
      <c r="C75" s="6">
        <v>-1</v>
      </c>
      <c r="D75" s="6">
        <v>-1</v>
      </c>
      <c r="E75" s="6">
        <v>-1</v>
      </c>
      <c r="F75" s="6">
        <v>-1</v>
      </c>
      <c r="G75" s="6">
        <v>-1</v>
      </c>
    </row>
    <row r="76" spans="1:7" x14ac:dyDescent="0.3">
      <c r="A76" s="6"/>
      <c r="B76" s="6" t="s">
        <v>442</v>
      </c>
      <c r="C76" s="6">
        <v>-1</v>
      </c>
      <c r="D76" s="6">
        <v>-1</v>
      </c>
      <c r="E76" s="6">
        <v>-1</v>
      </c>
      <c r="F76" s="6">
        <v>-1</v>
      </c>
      <c r="G76" s="6">
        <v>-1</v>
      </c>
    </row>
    <row r="77" spans="1:7" x14ac:dyDescent="0.3">
      <c r="A77" s="6"/>
      <c r="B77" s="6" t="s">
        <v>598</v>
      </c>
      <c r="C77" s="6">
        <v>-1</v>
      </c>
      <c r="D77" s="6">
        <v>-1</v>
      </c>
      <c r="E77" s="6">
        <v>-1</v>
      </c>
      <c r="F77" s="6">
        <v>-1</v>
      </c>
      <c r="G77" s="6">
        <v>-1</v>
      </c>
    </row>
    <row r="78" spans="1:7" x14ac:dyDescent="0.3">
      <c r="A78" s="6"/>
      <c r="B78" s="6" t="s">
        <v>694</v>
      </c>
      <c r="C78" s="6">
        <v>-1</v>
      </c>
      <c r="D78" s="6">
        <v>-1</v>
      </c>
      <c r="E78" s="6">
        <v>-1</v>
      </c>
      <c r="F78" s="6">
        <v>-1</v>
      </c>
      <c r="G78" s="6">
        <v>-1</v>
      </c>
    </row>
    <row r="79" spans="1:7" x14ac:dyDescent="0.3">
      <c r="A79" s="6"/>
      <c r="B79" s="6" t="s">
        <v>406</v>
      </c>
      <c r="C79" s="6"/>
      <c r="D79" s="6"/>
      <c r="E79" s="6"/>
      <c r="F79" s="6"/>
      <c r="G79" s="6">
        <v>-1</v>
      </c>
    </row>
    <row r="80" spans="1:7" x14ac:dyDescent="0.3">
      <c r="A80" s="6"/>
      <c r="B80" s="6" t="s">
        <v>350</v>
      </c>
      <c r="C80" s="6">
        <v>-1</v>
      </c>
      <c r="D80" s="6">
        <v>-1</v>
      </c>
      <c r="E80" s="6">
        <v>-1</v>
      </c>
      <c r="F80" s="6">
        <v>-1</v>
      </c>
      <c r="G80" s="6">
        <v>-1</v>
      </c>
    </row>
    <row r="81" spans="1:7" x14ac:dyDescent="0.3">
      <c r="A81" s="6" t="s">
        <v>2976</v>
      </c>
      <c r="B81" s="6" t="s">
        <v>330</v>
      </c>
      <c r="C81" s="6">
        <v>45</v>
      </c>
      <c r="D81" s="6">
        <v>67</v>
      </c>
      <c r="E81" s="6">
        <v>31</v>
      </c>
      <c r="F81" s="6">
        <v>45</v>
      </c>
      <c r="G81" s="6"/>
    </row>
    <row r="82" spans="1:7" x14ac:dyDescent="0.3">
      <c r="A82" s="6"/>
      <c r="B82" s="6" t="s">
        <v>334</v>
      </c>
      <c r="C82" s="6"/>
      <c r="D82" s="6"/>
      <c r="E82" s="6">
        <v>-1</v>
      </c>
      <c r="F82" s="6"/>
      <c r="G82" s="6"/>
    </row>
    <row r="83" spans="1:7" x14ac:dyDescent="0.3">
      <c r="A83" s="6" t="s">
        <v>1967</v>
      </c>
      <c r="B83" s="6" t="s">
        <v>362</v>
      </c>
      <c r="C83" s="6">
        <v>23</v>
      </c>
      <c r="D83" s="6">
        <v>42</v>
      </c>
      <c r="E83" s="6">
        <v>42</v>
      </c>
      <c r="F83" s="6">
        <v>49</v>
      </c>
      <c r="G83" s="6"/>
    </row>
    <row r="84" spans="1:7" x14ac:dyDescent="0.3">
      <c r="A84" s="6"/>
      <c r="B84" s="6" t="s">
        <v>658</v>
      </c>
      <c r="C84" s="6"/>
      <c r="D84" s="6"/>
      <c r="E84" s="6"/>
      <c r="F84" s="6"/>
      <c r="G84" s="6">
        <v>-1</v>
      </c>
    </row>
    <row r="85" spans="1:7" x14ac:dyDescent="0.3">
      <c r="A85" s="6"/>
      <c r="B85" s="6" t="s">
        <v>370</v>
      </c>
      <c r="C85" s="6"/>
      <c r="D85" s="6"/>
      <c r="E85" s="6"/>
      <c r="F85" s="6"/>
      <c r="G85" s="6">
        <v>-1</v>
      </c>
    </row>
    <row r="86" spans="1:7" x14ac:dyDescent="0.3">
      <c r="A86" s="6" t="s">
        <v>1241</v>
      </c>
      <c r="B86" s="6" t="s">
        <v>474</v>
      </c>
      <c r="C86" s="6">
        <v>34</v>
      </c>
      <c r="D86" s="6">
        <v>54</v>
      </c>
      <c r="E86" s="6">
        <v>63</v>
      </c>
      <c r="F86" s="6">
        <v>26</v>
      </c>
      <c r="G86" s="6"/>
    </row>
    <row r="87" spans="1:7" x14ac:dyDescent="0.3">
      <c r="A87" s="6" t="s">
        <v>2054</v>
      </c>
      <c r="B87" s="6" t="s">
        <v>670</v>
      </c>
      <c r="C87" s="6">
        <v>40</v>
      </c>
      <c r="D87" s="6">
        <v>64</v>
      </c>
      <c r="E87" s="6">
        <v>54</v>
      </c>
      <c r="F87" s="6">
        <v>40</v>
      </c>
      <c r="G87" s="6"/>
    </row>
    <row r="88" spans="1:7" x14ac:dyDescent="0.3">
      <c r="A88" s="6"/>
      <c r="B88" s="6" t="s">
        <v>520</v>
      </c>
      <c r="C88" s="6"/>
      <c r="D88" s="6">
        <v>-1</v>
      </c>
      <c r="E88" s="6"/>
      <c r="F88" s="6"/>
      <c r="G88" s="6"/>
    </row>
    <row r="89" spans="1:7" x14ac:dyDescent="0.3">
      <c r="A89" s="6"/>
      <c r="B89" s="6" t="s">
        <v>368</v>
      </c>
      <c r="C89" s="6"/>
      <c r="D89" s="6">
        <v>-1</v>
      </c>
      <c r="E89" s="6"/>
      <c r="F89" s="6"/>
      <c r="G89" s="6"/>
    </row>
    <row r="90" spans="1:7" x14ac:dyDescent="0.3">
      <c r="A90" s="6" t="s">
        <v>3917</v>
      </c>
      <c r="B90" s="6" t="s">
        <v>358</v>
      </c>
      <c r="C90" s="6">
        <v>57</v>
      </c>
      <c r="D90" s="6">
        <v>75</v>
      </c>
      <c r="E90" s="6">
        <v>70</v>
      </c>
      <c r="F90" s="6">
        <v>70</v>
      </c>
      <c r="G90" s="6"/>
    </row>
    <row r="91" spans="1:7" x14ac:dyDescent="0.3">
      <c r="A91" s="6"/>
      <c r="B91" s="6" t="s">
        <v>330</v>
      </c>
      <c r="C91" s="6"/>
      <c r="D91" s="6"/>
      <c r="E91" s="6">
        <v>-1</v>
      </c>
      <c r="F91" s="6"/>
      <c r="G91" s="6"/>
    </row>
    <row r="92" spans="1:7" x14ac:dyDescent="0.3">
      <c r="A92" s="6"/>
      <c r="B92" s="6" t="s">
        <v>520</v>
      </c>
      <c r="C92" s="6">
        <v>-1</v>
      </c>
      <c r="D92" s="6">
        <v>-1</v>
      </c>
      <c r="E92" s="6">
        <v>-1</v>
      </c>
      <c r="F92" s="6">
        <v>-1</v>
      </c>
      <c r="G92" s="6">
        <v>-1</v>
      </c>
    </row>
    <row r="93" spans="1:7" x14ac:dyDescent="0.3">
      <c r="A93" s="6"/>
      <c r="B93" s="6" t="s">
        <v>326</v>
      </c>
      <c r="C93" s="6">
        <v>-1</v>
      </c>
      <c r="D93" s="6">
        <v>-1</v>
      </c>
      <c r="E93" s="6">
        <v>-1</v>
      </c>
      <c r="F93" s="6">
        <v>-1</v>
      </c>
      <c r="G93" s="6">
        <v>-1</v>
      </c>
    </row>
    <row r="94" spans="1:7" x14ac:dyDescent="0.3">
      <c r="A94" s="6"/>
      <c r="B94" s="6" t="s">
        <v>670</v>
      </c>
      <c r="C94" s="6">
        <v>-1</v>
      </c>
      <c r="D94" s="6">
        <v>-1</v>
      </c>
      <c r="E94" s="6">
        <v>-1</v>
      </c>
      <c r="F94" s="6">
        <v>-1</v>
      </c>
      <c r="G94" s="6">
        <v>-1</v>
      </c>
    </row>
    <row r="95" spans="1:7" x14ac:dyDescent="0.3">
      <c r="A95" s="6"/>
      <c r="B95" s="6" t="s">
        <v>432</v>
      </c>
      <c r="C95" s="6">
        <v>-1</v>
      </c>
      <c r="D95" s="6">
        <v>-1</v>
      </c>
      <c r="E95" s="6">
        <v>-1</v>
      </c>
      <c r="F95" s="6">
        <v>-1</v>
      </c>
      <c r="G95" s="6">
        <v>-1</v>
      </c>
    </row>
    <row r="96" spans="1:7" x14ac:dyDescent="0.3">
      <c r="A96" s="6" t="s">
        <v>3919</v>
      </c>
      <c r="B96" s="6" t="s">
        <v>588</v>
      </c>
      <c r="C96" s="6">
        <v>53</v>
      </c>
      <c r="D96" s="6">
        <v>70</v>
      </c>
      <c r="E96" s="6">
        <v>64</v>
      </c>
      <c r="F96" s="6">
        <v>74</v>
      </c>
      <c r="G96" s="6"/>
    </row>
    <row r="97" spans="1:7" x14ac:dyDescent="0.3">
      <c r="A97" s="6" t="s">
        <v>2759</v>
      </c>
      <c r="B97" s="6" t="s">
        <v>350</v>
      </c>
      <c r="C97" s="6">
        <v>1001</v>
      </c>
      <c r="D97" s="6"/>
      <c r="E97" s="6"/>
      <c r="F97" s="6">
        <v>52</v>
      </c>
      <c r="G97" s="6"/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DCC7F-CDCE-4CCE-B83D-B1D9FFD4D4DA}">
  <dimension ref="A1:F25"/>
  <sheetViews>
    <sheetView topLeftCell="A16" workbookViewId="0">
      <selection activeCell="B26" sqref="B26"/>
    </sheetView>
  </sheetViews>
  <sheetFormatPr defaultRowHeight="14.4" x14ac:dyDescent="0.3"/>
  <cols>
    <col min="1" max="1" width="89.44140625" bestFit="1" customWidth="1"/>
    <col min="2" max="2" width="14" bestFit="1" customWidth="1"/>
    <col min="3" max="3" width="29.6640625" bestFit="1" customWidth="1"/>
    <col min="4" max="4" width="32.5546875" bestFit="1" customWidth="1"/>
    <col min="5" max="5" width="17" bestFit="1" customWidth="1"/>
    <col min="6" max="6" width="14.77734375" bestFit="1" customWidth="1"/>
  </cols>
  <sheetData>
    <row r="1" spans="1:6" x14ac:dyDescent="0.3">
      <c r="A1" t="s">
        <v>834</v>
      </c>
      <c r="B1" t="s">
        <v>1</v>
      </c>
      <c r="C1" t="s">
        <v>937</v>
      </c>
      <c r="D1" t="s">
        <v>938</v>
      </c>
      <c r="E1" t="s">
        <v>1212</v>
      </c>
      <c r="F1" t="s">
        <v>1213</v>
      </c>
    </row>
    <row r="2" spans="1:6" x14ac:dyDescent="0.3">
      <c r="A2" s="6" t="s">
        <v>4732</v>
      </c>
      <c r="B2" s="6" t="s">
        <v>328</v>
      </c>
      <c r="C2" s="6">
        <v>2</v>
      </c>
      <c r="D2" s="6"/>
      <c r="E2" s="6">
        <f>Table81[[#This Row],[Total Athletes]]-(LEN(Table81[[#This Row],[Team]])-LEN(SUBSTITUTE(Table81[[#This Row],[Team]],"/","")))-1</f>
        <v>4</v>
      </c>
      <c r="F2" s="6">
        <v>5</v>
      </c>
    </row>
    <row r="3" spans="1:6" x14ac:dyDescent="0.3">
      <c r="A3" s="6" t="s">
        <v>4053</v>
      </c>
      <c r="B3" s="6" t="s">
        <v>428</v>
      </c>
      <c r="C3" s="6">
        <v>1</v>
      </c>
      <c r="D3" s="6"/>
      <c r="E3" s="6">
        <f>Table81[[#This Row],[Total Athletes]]-(LEN(Table81[[#This Row],[Team]])-LEN(SUBSTITUTE(Table81[[#This Row],[Team]],"/","")))-1</f>
        <v>3</v>
      </c>
      <c r="F3" s="6">
        <v>5</v>
      </c>
    </row>
    <row r="4" spans="1:6" x14ac:dyDescent="0.3">
      <c r="A4" s="6" t="s">
        <v>3217</v>
      </c>
      <c r="B4" s="6" t="s">
        <v>402</v>
      </c>
      <c r="C4" s="6">
        <v>4</v>
      </c>
      <c r="D4" s="6"/>
      <c r="E4" s="6">
        <f>Table81[[#This Row],[Total Athletes]]-(LEN(Table81[[#This Row],[Team]])-LEN(SUBSTITUTE(Table81[[#This Row],[Team]],"/","")))-1</f>
        <v>3</v>
      </c>
      <c r="F4" s="6">
        <v>5</v>
      </c>
    </row>
    <row r="5" spans="1:6" x14ac:dyDescent="0.3">
      <c r="A5" s="6" t="s">
        <v>4823</v>
      </c>
      <c r="B5" s="6" t="s">
        <v>332</v>
      </c>
      <c r="C5" s="6"/>
      <c r="D5" s="6">
        <v>1</v>
      </c>
      <c r="E5" s="6">
        <f>Table81[[#This Row],[Total Athletes]]-(LEN(Table81[[#This Row],[Team]])-LEN(SUBSTITUTE(Table81[[#This Row],[Team]],"/","")))-1</f>
        <v>2</v>
      </c>
      <c r="F5" s="6">
        <v>5</v>
      </c>
    </row>
    <row r="6" spans="1:6" x14ac:dyDescent="0.3">
      <c r="A6" s="6" t="s">
        <v>4770</v>
      </c>
      <c r="B6" s="6" t="s">
        <v>402</v>
      </c>
      <c r="C6" s="6"/>
      <c r="D6" s="6">
        <v>4</v>
      </c>
      <c r="E6" s="6">
        <f>Table81[[#This Row],[Total Athletes]]-(LEN(Table81[[#This Row],[Team]])-LEN(SUBSTITUTE(Table81[[#This Row],[Team]],"/","")))-1</f>
        <v>2</v>
      </c>
      <c r="F6" s="6">
        <v>5</v>
      </c>
    </row>
    <row r="7" spans="1:6" x14ac:dyDescent="0.3">
      <c r="A7" s="6" t="s">
        <v>2568</v>
      </c>
      <c r="B7" s="6" t="s">
        <v>384</v>
      </c>
      <c r="C7" s="6"/>
      <c r="D7" s="6">
        <v>5</v>
      </c>
      <c r="E7" s="6">
        <f>Table81[[#This Row],[Total Athletes]]-(LEN(Table81[[#This Row],[Team]])-LEN(SUBSTITUTE(Table81[[#This Row],[Team]],"/","")))-1</f>
        <v>4</v>
      </c>
      <c r="F7" s="6">
        <v>5</v>
      </c>
    </row>
    <row r="8" spans="1:6" x14ac:dyDescent="0.3">
      <c r="A8" s="6" t="s">
        <v>4337</v>
      </c>
      <c r="B8" s="6" t="s">
        <v>332</v>
      </c>
      <c r="C8" s="6">
        <v>3</v>
      </c>
      <c r="D8" s="6"/>
      <c r="E8" s="6">
        <f>Table81[[#This Row],[Total Athletes]]-(LEN(Table81[[#This Row],[Team]])-LEN(SUBSTITUTE(Table81[[#This Row],[Team]],"/","")))-1</f>
        <v>3</v>
      </c>
      <c r="F8" s="6">
        <v>5</v>
      </c>
    </row>
    <row r="9" spans="1:6" x14ac:dyDescent="0.3">
      <c r="A9" s="6" t="s">
        <v>2530</v>
      </c>
      <c r="B9" s="6" t="s">
        <v>384</v>
      </c>
      <c r="C9" s="6">
        <v>8</v>
      </c>
      <c r="D9" s="6"/>
      <c r="E9" s="6">
        <f>Table81[[#This Row],[Total Athletes]]-(LEN(Table81[[#This Row],[Team]])-LEN(SUBSTITUTE(Table81[[#This Row],[Team]],"/","")))-1</f>
        <v>4</v>
      </c>
      <c r="F9" s="6">
        <v>5</v>
      </c>
    </row>
    <row r="10" spans="1:6" x14ac:dyDescent="0.3">
      <c r="A10" s="6"/>
      <c r="B10" s="6" t="s">
        <v>334</v>
      </c>
      <c r="C10" s="6">
        <v>-1</v>
      </c>
      <c r="D10" s="6"/>
      <c r="E10" s="6">
        <f>Table81[[#This Row],[Total Athletes]]-(LEN(Table81[[#This Row],[Team]])-LEN(SUBSTITUTE(Table81[[#This Row],[Team]],"/","")))-1</f>
        <v>-1</v>
      </c>
      <c r="F10" s="6"/>
    </row>
    <row r="11" spans="1:6" x14ac:dyDescent="0.3">
      <c r="A11" s="6" t="s">
        <v>2661</v>
      </c>
      <c r="B11" s="6" t="s">
        <v>356</v>
      </c>
      <c r="C11" s="6">
        <v>6</v>
      </c>
      <c r="D11" s="6"/>
      <c r="E11" s="6">
        <f>Table81[[#This Row],[Total Athletes]]-(LEN(Table81[[#This Row],[Team]])-LEN(SUBSTITUTE(Table81[[#This Row],[Team]],"/","")))-1</f>
        <v>4</v>
      </c>
      <c r="F11" s="6">
        <v>5</v>
      </c>
    </row>
    <row r="12" spans="1:6" x14ac:dyDescent="0.3">
      <c r="A12" s="6" t="s">
        <v>4255</v>
      </c>
      <c r="B12" s="6" t="s">
        <v>444</v>
      </c>
      <c r="C12" s="6">
        <v>7</v>
      </c>
      <c r="D12" s="6"/>
      <c r="E12" s="6">
        <f>Table81[[#This Row],[Total Athletes]]-(LEN(Table81[[#This Row],[Team]])-LEN(SUBSTITUTE(Table81[[#This Row],[Team]],"/","")))-1</f>
        <v>3</v>
      </c>
      <c r="F12" s="6">
        <v>5</v>
      </c>
    </row>
    <row r="13" spans="1:6" x14ac:dyDescent="0.3">
      <c r="A13" s="6" t="s">
        <v>2600</v>
      </c>
      <c r="B13" s="6" t="s">
        <v>330</v>
      </c>
      <c r="C13" s="6">
        <v>12</v>
      </c>
      <c r="D13" s="6"/>
      <c r="E13" s="6">
        <f>Table81[[#This Row],[Total Athletes]]-(LEN(Table81[[#This Row],[Team]])-LEN(SUBSTITUTE(Table81[[#This Row],[Team]],"/","")))-1</f>
        <v>3</v>
      </c>
      <c r="F13" s="6">
        <v>5</v>
      </c>
    </row>
    <row r="14" spans="1:6" x14ac:dyDescent="0.3">
      <c r="A14" s="6" t="s">
        <v>1582</v>
      </c>
      <c r="B14" s="6" t="s">
        <v>718</v>
      </c>
      <c r="C14" s="6">
        <v>9</v>
      </c>
      <c r="D14" s="6"/>
      <c r="E14" s="6">
        <f>Table81[[#This Row],[Total Athletes]]-(LEN(Table81[[#This Row],[Team]])-LEN(SUBSTITUTE(Table81[[#This Row],[Team]],"/","")))-1</f>
        <v>2</v>
      </c>
      <c r="F14" s="6">
        <v>5</v>
      </c>
    </row>
    <row r="15" spans="1:6" x14ac:dyDescent="0.3">
      <c r="A15" s="6"/>
      <c r="B15" s="6" t="s">
        <v>412</v>
      </c>
      <c r="C15" s="6">
        <v>-1</v>
      </c>
      <c r="D15" s="6"/>
      <c r="E15" s="6">
        <f>Table81[[#This Row],[Total Athletes]]-(LEN(Table81[[#This Row],[Team]])-LEN(SUBSTITUTE(Table81[[#This Row],[Team]],"/","")))-1</f>
        <v>-1</v>
      </c>
      <c r="F15" s="6"/>
    </row>
    <row r="16" spans="1:6" x14ac:dyDescent="0.3">
      <c r="A16" s="6" t="s">
        <v>2338</v>
      </c>
      <c r="B16" s="6" t="s">
        <v>726</v>
      </c>
      <c r="C16" s="6">
        <v>5</v>
      </c>
      <c r="D16" s="6"/>
      <c r="E16" s="6">
        <f>Table81[[#This Row],[Total Athletes]]-(LEN(Table81[[#This Row],[Team]])-LEN(SUBSTITUTE(Table81[[#This Row],[Team]],"/","")))-1</f>
        <v>4</v>
      </c>
      <c r="F16" s="6">
        <v>5</v>
      </c>
    </row>
    <row r="17" spans="1:6" x14ac:dyDescent="0.3">
      <c r="A17" s="6" t="s">
        <v>2115</v>
      </c>
      <c r="B17" s="6" t="s">
        <v>328</v>
      </c>
      <c r="C17" s="6"/>
      <c r="D17" s="6">
        <v>6</v>
      </c>
      <c r="E17" s="6">
        <f>Table81[[#This Row],[Total Athletes]]-(LEN(Table81[[#This Row],[Team]])-LEN(SUBSTITUTE(Table81[[#This Row],[Team]],"/","")))-1</f>
        <v>4</v>
      </c>
      <c r="F17" s="6">
        <v>5</v>
      </c>
    </row>
    <row r="18" spans="1:6" x14ac:dyDescent="0.3">
      <c r="A18" s="6" t="s">
        <v>3043</v>
      </c>
      <c r="B18" s="6" t="s">
        <v>336</v>
      </c>
      <c r="C18" s="6"/>
      <c r="D18" s="6">
        <v>3</v>
      </c>
      <c r="E18" s="6">
        <f>Table81[[#This Row],[Total Athletes]]-(LEN(Table81[[#This Row],[Team]])-LEN(SUBSTITUTE(Table81[[#This Row],[Team]],"/","")))-1</f>
        <v>3</v>
      </c>
      <c r="F18" s="6">
        <v>5</v>
      </c>
    </row>
    <row r="19" spans="1:6" x14ac:dyDescent="0.3">
      <c r="A19" s="6"/>
      <c r="B19" s="6" t="s">
        <v>356</v>
      </c>
      <c r="C19" s="6"/>
      <c r="D19" s="6">
        <v>-1</v>
      </c>
      <c r="E19" s="6">
        <f>Table81[[#This Row],[Total Athletes]]-(LEN(Table81[[#This Row],[Team]])-LEN(SUBSTITUTE(Table81[[#This Row],[Team]],"/","")))-1</f>
        <v>-1</v>
      </c>
      <c r="F19" s="6"/>
    </row>
    <row r="20" spans="1:6" x14ac:dyDescent="0.3">
      <c r="A20" s="6" t="s">
        <v>3788</v>
      </c>
      <c r="B20" s="6" t="s">
        <v>412</v>
      </c>
      <c r="C20" s="6"/>
      <c r="D20" s="6">
        <v>9</v>
      </c>
      <c r="E20" s="6">
        <f>Table81[[#This Row],[Total Athletes]]-(LEN(Table81[[#This Row],[Team]])-LEN(SUBSTITUTE(Table81[[#This Row],[Team]],"/","")))-1</f>
        <v>2</v>
      </c>
      <c r="F20" s="6">
        <v>5</v>
      </c>
    </row>
    <row r="21" spans="1:6" x14ac:dyDescent="0.3">
      <c r="A21" s="6"/>
      <c r="B21" s="6" t="s">
        <v>344</v>
      </c>
      <c r="C21" s="6"/>
      <c r="D21" s="6">
        <v>-1</v>
      </c>
      <c r="E21" s="6">
        <f>Table81[[#This Row],[Total Athletes]]-(LEN(Table81[[#This Row],[Team]])-LEN(SUBSTITUTE(Table81[[#This Row],[Team]],"/","")))-1</f>
        <v>-1</v>
      </c>
      <c r="F21" s="6"/>
    </row>
    <row r="22" spans="1:6" x14ac:dyDescent="0.3">
      <c r="A22" s="6" t="s">
        <v>2685</v>
      </c>
      <c r="B22" s="6" t="s">
        <v>428</v>
      </c>
      <c r="C22" s="6"/>
      <c r="D22" s="6">
        <v>8</v>
      </c>
      <c r="E22" s="6">
        <f>Table81[[#This Row],[Total Athletes]]-(LEN(Table81[[#This Row],[Team]])-LEN(SUBSTITUTE(Table81[[#This Row],[Team]],"/","")))-1</f>
        <v>2</v>
      </c>
      <c r="F22" s="6">
        <v>4</v>
      </c>
    </row>
    <row r="23" spans="1:6" x14ac:dyDescent="0.3">
      <c r="A23" s="6" t="s">
        <v>2431</v>
      </c>
      <c r="B23" s="6" t="s">
        <v>354</v>
      </c>
      <c r="C23" s="6"/>
      <c r="D23" s="6">
        <v>10</v>
      </c>
      <c r="E23" s="6">
        <f>Table81[[#This Row],[Total Athletes]]-(LEN(Table81[[#This Row],[Team]])-LEN(SUBSTITUTE(Table81[[#This Row],[Team]],"/","")))-1</f>
        <v>3</v>
      </c>
      <c r="F23" s="6">
        <v>5</v>
      </c>
    </row>
    <row r="24" spans="1:6" x14ac:dyDescent="0.3">
      <c r="A24" s="6" t="s">
        <v>4024</v>
      </c>
      <c r="B24" s="6" t="s">
        <v>348</v>
      </c>
      <c r="C24" s="6"/>
      <c r="D24" s="6">
        <v>7</v>
      </c>
      <c r="E24" s="6">
        <f>Table81[[#This Row],[Total Athletes]]-(LEN(Table81[[#This Row],[Team]])-LEN(SUBSTITUTE(Table81[[#This Row],[Team]],"/","")))-1</f>
        <v>4</v>
      </c>
      <c r="F24" s="6">
        <v>5</v>
      </c>
    </row>
    <row r="25" spans="1:6" x14ac:dyDescent="0.3">
      <c r="A25" s="6"/>
      <c r="B25" s="6" t="s">
        <v>700</v>
      </c>
      <c r="C25" s="6"/>
      <c r="D25" s="6">
        <v>-1</v>
      </c>
      <c r="E25" s="6">
        <f>Table81[[#This Row],[Total Athletes]]-(LEN(Table81[[#This Row],[Team]])-LEN(SUBSTITUTE(Table81[[#This Row],[Team]],"/","")))-1</f>
        <v>-1</v>
      </c>
      <c r="F25" s="6"/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923FF-142C-45E0-9C72-E17A2409D58E}">
  <dimension ref="A1:E19"/>
  <sheetViews>
    <sheetView topLeftCell="A13" workbookViewId="0">
      <selection activeCell="B20" sqref="B20"/>
    </sheetView>
  </sheetViews>
  <sheetFormatPr defaultRowHeight="14.4" x14ac:dyDescent="0.3"/>
  <cols>
    <col min="1" max="1" width="40.109375" bestFit="1" customWidth="1"/>
    <col min="2" max="2" width="14" bestFit="1" customWidth="1"/>
    <col min="3" max="3" width="14.109375" bestFit="1" customWidth="1"/>
    <col min="4" max="4" width="17" bestFit="1" customWidth="1"/>
    <col min="5" max="5" width="14.77734375" bestFit="1" customWidth="1"/>
  </cols>
  <sheetData>
    <row r="1" spans="1:5" x14ac:dyDescent="0.3">
      <c r="A1" t="s">
        <v>833</v>
      </c>
      <c r="B1" t="s">
        <v>1</v>
      </c>
      <c r="C1" t="s">
        <v>899</v>
      </c>
      <c r="D1" t="s">
        <v>1212</v>
      </c>
      <c r="E1" t="s">
        <v>1213</v>
      </c>
    </row>
    <row r="2" spans="1:5" x14ac:dyDescent="0.3">
      <c r="A2" s="6" t="s">
        <v>3624</v>
      </c>
      <c r="B2" s="6" t="s">
        <v>344</v>
      </c>
      <c r="C2" s="6">
        <v>14</v>
      </c>
      <c r="D2" s="6">
        <f>Table36[[#This Row],[Total Athletes]]-(LEN(Table36[[#This Row],[Pair]])-LEN(SUBSTITUTE(Table36[[#This Row],[Pair]],"/","")))-1</f>
        <v>1</v>
      </c>
      <c r="E2" s="6">
        <v>2</v>
      </c>
    </row>
    <row r="3" spans="1:5" x14ac:dyDescent="0.3">
      <c r="A3" s="6"/>
      <c r="B3" s="6" t="s">
        <v>358</v>
      </c>
      <c r="C3" s="6">
        <v>-1</v>
      </c>
      <c r="D3" s="6">
        <f>Table36[[#This Row],[Total Athletes]]-(LEN(Table36[[#This Row],[Pair]])-LEN(SUBSTITUTE(Table36[[#This Row],[Pair]],"/","")))-1</f>
        <v>-1</v>
      </c>
      <c r="E3" s="6"/>
    </row>
    <row r="4" spans="1:5" x14ac:dyDescent="0.3">
      <c r="A4" s="6" t="s">
        <v>4416</v>
      </c>
      <c r="B4" s="6" t="s">
        <v>326</v>
      </c>
      <c r="C4" s="6">
        <v>15</v>
      </c>
      <c r="D4" s="6">
        <f>Table36[[#This Row],[Total Athletes]]-(LEN(Table36[[#This Row],[Pair]])-LEN(SUBSTITUTE(Table36[[#This Row],[Pair]],"/","")))-1</f>
        <v>0</v>
      </c>
      <c r="E4" s="6">
        <v>2</v>
      </c>
    </row>
    <row r="5" spans="1:5" x14ac:dyDescent="0.3">
      <c r="A5" s="6" t="s">
        <v>2378</v>
      </c>
      <c r="B5" s="6" t="s">
        <v>354</v>
      </c>
      <c r="C5" s="6">
        <v>16</v>
      </c>
      <c r="D5" s="6">
        <f>Table36[[#This Row],[Total Athletes]]-(LEN(Table36[[#This Row],[Pair]])-LEN(SUBSTITUTE(Table36[[#This Row],[Pair]],"/","")))-1</f>
        <v>1</v>
      </c>
      <c r="E5" s="6">
        <v>2</v>
      </c>
    </row>
    <row r="6" spans="1:5" x14ac:dyDescent="0.3">
      <c r="A6" s="6" t="s">
        <v>4147</v>
      </c>
      <c r="B6" s="6" t="s">
        <v>474</v>
      </c>
      <c r="C6" s="6">
        <v>17</v>
      </c>
      <c r="D6" s="6">
        <f>Table36[[#This Row],[Total Athletes]]-(LEN(Table36[[#This Row],[Pair]])-LEN(SUBSTITUTE(Table36[[#This Row],[Pair]],"/","")))-1</f>
        <v>1</v>
      </c>
      <c r="E6" s="6">
        <v>2</v>
      </c>
    </row>
    <row r="7" spans="1:5" x14ac:dyDescent="0.3">
      <c r="A7" s="6"/>
      <c r="B7" s="6" t="s">
        <v>328</v>
      </c>
      <c r="C7" s="6">
        <v>-1</v>
      </c>
      <c r="D7" s="6">
        <f>Table36[[#This Row],[Total Athletes]]-(LEN(Table36[[#This Row],[Pair]])-LEN(SUBSTITUTE(Table36[[#This Row],[Pair]],"/","")))-1</f>
        <v>-1</v>
      </c>
      <c r="E7" s="6"/>
    </row>
    <row r="8" spans="1:5" x14ac:dyDescent="0.3">
      <c r="A8" s="6" t="s">
        <v>3934</v>
      </c>
      <c r="B8" s="6" t="s">
        <v>350</v>
      </c>
      <c r="C8" s="6">
        <v>12</v>
      </c>
      <c r="D8" s="6">
        <f>Table36[[#This Row],[Total Athletes]]-(LEN(Table36[[#This Row],[Pair]])-LEN(SUBSTITUTE(Table36[[#This Row],[Pair]],"/","")))-1</f>
        <v>1</v>
      </c>
      <c r="E8" s="6">
        <v>2</v>
      </c>
    </row>
    <row r="9" spans="1:5" x14ac:dyDescent="0.3">
      <c r="A9" s="6" t="s">
        <v>2144</v>
      </c>
      <c r="B9" s="6" t="s">
        <v>332</v>
      </c>
      <c r="C9" s="6">
        <v>10</v>
      </c>
      <c r="D9" s="6">
        <f>Table36[[#This Row],[Total Athletes]]-(LEN(Table36[[#This Row],[Pair]])-LEN(SUBSTITUTE(Table36[[#This Row],[Pair]],"/","")))-1</f>
        <v>1</v>
      </c>
      <c r="E9" s="6">
        <v>2</v>
      </c>
    </row>
    <row r="10" spans="1:5" x14ac:dyDescent="0.3">
      <c r="A10" s="6"/>
      <c r="B10" s="6" t="s">
        <v>330</v>
      </c>
      <c r="C10" s="6">
        <v>-1</v>
      </c>
      <c r="D10" s="6">
        <f>Table36[[#This Row],[Total Athletes]]-(LEN(Table36[[#This Row],[Pair]])-LEN(SUBSTITUTE(Table36[[#This Row],[Pair]],"/","")))-1</f>
        <v>-1</v>
      </c>
      <c r="E10" s="6"/>
    </row>
    <row r="11" spans="1:5" x14ac:dyDescent="0.3">
      <c r="A11" s="6"/>
      <c r="B11" s="6" t="s">
        <v>428</v>
      </c>
      <c r="C11" s="6">
        <v>-1</v>
      </c>
      <c r="D11" s="6">
        <f>Table36[[#This Row],[Total Athletes]]-(LEN(Table36[[#This Row],[Pair]])-LEN(SUBSTITUTE(Table36[[#This Row],[Pair]],"/","")))-1</f>
        <v>-1</v>
      </c>
      <c r="E11" s="6"/>
    </row>
    <row r="12" spans="1:5" x14ac:dyDescent="0.3">
      <c r="A12" s="6"/>
      <c r="B12" s="6" t="s">
        <v>356</v>
      </c>
      <c r="C12" s="6">
        <v>-1</v>
      </c>
      <c r="D12" s="6">
        <f>Table36[[#This Row],[Total Athletes]]-(LEN(Table36[[#This Row],[Pair]])-LEN(SUBSTITUTE(Table36[[#This Row],[Pair]],"/","")))-1</f>
        <v>-1</v>
      </c>
      <c r="E12" s="6"/>
    </row>
    <row r="13" spans="1:5" x14ac:dyDescent="0.3">
      <c r="A13" s="6"/>
      <c r="B13" s="6" t="s">
        <v>384</v>
      </c>
      <c r="C13" s="6">
        <v>-1</v>
      </c>
      <c r="D13" s="6">
        <f>Table36[[#This Row],[Total Athletes]]-(LEN(Table36[[#This Row],[Pair]])-LEN(SUBSTITUTE(Table36[[#This Row],[Pair]],"/","")))-1</f>
        <v>-1</v>
      </c>
      <c r="E13" s="6"/>
    </row>
    <row r="14" spans="1:5" x14ac:dyDescent="0.3">
      <c r="A14" s="6"/>
      <c r="B14" s="6" t="s">
        <v>402</v>
      </c>
      <c r="C14" s="6">
        <v>-1</v>
      </c>
      <c r="D14" s="6">
        <f>Table36[[#This Row],[Total Athletes]]-(LEN(Table36[[#This Row],[Pair]])-LEN(SUBSTITUTE(Table36[[#This Row],[Pair]],"/","")))-1</f>
        <v>-1</v>
      </c>
      <c r="E14" s="6"/>
    </row>
    <row r="15" spans="1:5" x14ac:dyDescent="0.3">
      <c r="A15" s="6"/>
      <c r="B15" s="6" t="s">
        <v>412</v>
      </c>
      <c r="C15" s="6">
        <v>-1</v>
      </c>
      <c r="D15" s="6">
        <f>Table36[[#This Row],[Total Athletes]]-(LEN(Table36[[#This Row],[Pair]])-LEN(SUBSTITUTE(Table36[[#This Row],[Pair]],"/","")))-1</f>
        <v>-1</v>
      </c>
      <c r="E15" s="6"/>
    </row>
    <row r="16" spans="1:5" x14ac:dyDescent="0.3">
      <c r="A16" s="6"/>
      <c r="B16" s="6" t="s">
        <v>342</v>
      </c>
      <c r="C16" s="6">
        <v>-1</v>
      </c>
      <c r="D16" s="6">
        <f>Table36[[#This Row],[Total Athletes]]-(LEN(Table36[[#This Row],[Pair]])-LEN(SUBSTITUTE(Table36[[#This Row],[Pair]],"/","")))-1</f>
        <v>-1</v>
      </c>
      <c r="E16" s="6"/>
    </row>
    <row r="17" spans="1:5" x14ac:dyDescent="0.3">
      <c r="A17" s="6"/>
      <c r="B17" s="6" t="s">
        <v>598</v>
      </c>
      <c r="C17" s="6">
        <v>-1</v>
      </c>
      <c r="D17" s="6">
        <f>Table36[[#This Row],[Total Athletes]]-(LEN(Table36[[#This Row],[Pair]])-LEN(SUBSTITUTE(Table36[[#This Row],[Pair]],"/","")))-1</f>
        <v>-1</v>
      </c>
      <c r="E17" s="6"/>
    </row>
    <row r="18" spans="1:5" x14ac:dyDescent="0.3">
      <c r="A18" s="6"/>
      <c r="B18" s="6" t="s">
        <v>726</v>
      </c>
      <c r="C18" s="6">
        <v>-1</v>
      </c>
      <c r="D18" s="6">
        <f>Table36[[#This Row],[Total Athletes]]-(LEN(Table36[[#This Row],[Pair]])-LEN(SUBSTITUTE(Table36[[#This Row],[Pair]],"/","")))-1</f>
        <v>-1</v>
      </c>
      <c r="E18" s="6"/>
    </row>
    <row r="19" spans="1:5" x14ac:dyDescent="0.3">
      <c r="A19" s="6"/>
      <c r="B19" s="6" t="s">
        <v>700</v>
      </c>
      <c r="C19" s="6">
        <v>-1</v>
      </c>
      <c r="D19" s="6">
        <f>Table36[[#This Row],[Total Athletes]]-(LEN(Table36[[#This Row],[Pair]])-LEN(SUBSTITUTE(Table36[[#This Row],[Pair]],"/","")))-1</f>
        <v>-1</v>
      </c>
      <c r="E19" s="6"/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A006CF-2486-4EC4-94D0-ECD5FBC475E8}">
  <dimension ref="A1:E11"/>
  <sheetViews>
    <sheetView workbookViewId="0">
      <selection activeCell="B12" sqref="B12"/>
    </sheetView>
  </sheetViews>
  <sheetFormatPr defaultRowHeight="14.4" x14ac:dyDescent="0.3"/>
  <cols>
    <col min="1" max="1" width="152.6640625" bestFit="1" customWidth="1"/>
    <col min="2" max="2" width="12.21875" bestFit="1" customWidth="1"/>
    <col min="3" max="3" width="14.109375" bestFit="1" customWidth="1"/>
    <col min="4" max="4" width="17" bestFit="1" customWidth="1"/>
    <col min="5" max="5" width="14.77734375" bestFit="1" customWidth="1"/>
  </cols>
  <sheetData>
    <row r="1" spans="1:5" x14ac:dyDescent="0.3">
      <c r="A1" t="s">
        <v>834</v>
      </c>
      <c r="B1" t="s">
        <v>1</v>
      </c>
      <c r="C1" t="s">
        <v>899</v>
      </c>
      <c r="D1" t="s">
        <v>1212</v>
      </c>
      <c r="E1" t="s">
        <v>1213</v>
      </c>
    </row>
    <row r="2" spans="1:5" x14ac:dyDescent="0.3">
      <c r="A2" s="6" t="s">
        <v>4864</v>
      </c>
      <c r="B2" s="6" t="s">
        <v>344</v>
      </c>
      <c r="C2" s="6">
        <v>4</v>
      </c>
      <c r="D2" s="6">
        <f>Table37[[#This Row],[Total Athletes]]-(LEN(Table37[[#This Row],[Team]])-LEN(SUBSTITUTE(Table37[[#This Row],[Team]],"/","")))-1</f>
        <v>3</v>
      </c>
      <c r="E2" s="6">
        <v>8</v>
      </c>
    </row>
    <row r="3" spans="1:5" x14ac:dyDescent="0.3">
      <c r="A3" s="6" t="s">
        <v>4430</v>
      </c>
      <c r="B3" s="6" t="s">
        <v>326</v>
      </c>
      <c r="C3" s="6">
        <v>10</v>
      </c>
      <c r="D3" s="6">
        <f>Table37[[#This Row],[Total Athletes]]-(LEN(Table37[[#This Row],[Team]])-LEN(SUBSTITUTE(Table37[[#This Row],[Team]],"/","")))-1</f>
        <v>0</v>
      </c>
      <c r="E3" s="6">
        <v>8</v>
      </c>
    </row>
    <row r="4" spans="1:5" x14ac:dyDescent="0.3">
      <c r="A4" s="6" t="s">
        <v>2378</v>
      </c>
      <c r="B4" s="6" t="s">
        <v>354</v>
      </c>
      <c r="C4" s="6">
        <v>9</v>
      </c>
      <c r="D4" s="6">
        <f>Table37[[#This Row],[Total Athletes]]-(LEN(Table37[[#This Row],[Team]])-LEN(SUBSTITUTE(Table37[[#This Row],[Team]],"/","")))-1</f>
        <v>7</v>
      </c>
      <c r="E4" s="6">
        <v>8</v>
      </c>
    </row>
    <row r="5" spans="1:5" x14ac:dyDescent="0.3">
      <c r="A5" s="6" t="s">
        <v>2113</v>
      </c>
      <c r="B5" s="6" t="s">
        <v>328</v>
      </c>
      <c r="C5" s="6">
        <v>1</v>
      </c>
      <c r="D5" s="6">
        <f>Table37[[#This Row],[Total Athletes]]-(LEN(Table37[[#This Row],[Team]])-LEN(SUBSTITUTE(Table37[[#This Row],[Team]],"/","")))-1</f>
        <v>7</v>
      </c>
      <c r="E5" s="6">
        <v>8</v>
      </c>
    </row>
    <row r="6" spans="1:5" x14ac:dyDescent="0.3">
      <c r="A6" s="6" t="s">
        <v>3934</v>
      </c>
      <c r="B6" s="6" t="s">
        <v>350</v>
      </c>
      <c r="C6" s="6">
        <v>7</v>
      </c>
      <c r="D6" s="6">
        <f>Table37[[#This Row],[Total Athletes]]-(LEN(Table37[[#This Row],[Team]])-LEN(SUBSTITUTE(Table37[[#This Row],[Team]],"/","")))-1</f>
        <v>7</v>
      </c>
      <c r="E6" s="6">
        <v>8</v>
      </c>
    </row>
    <row r="7" spans="1:5" x14ac:dyDescent="0.3">
      <c r="A7" s="6" t="s">
        <v>4335</v>
      </c>
      <c r="B7" s="6" t="s">
        <v>332</v>
      </c>
      <c r="C7" s="6">
        <v>2</v>
      </c>
      <c r="D7" s="6">
        <f>Table37[[#This Row],[Total Athletes]]-(LEN(Table37[[#This Row],[Team]])-LEN(SUBSTITUTE(Table37[[#This Row],[Team]],"/","")))-1</f>
        <v>4</v>
      </c>
      <c r="E7" s="6">
        <v>8</v>
      </c>
    </row>
    <row r="8" spans="1:5" x14ac:dyDescent="0.3">
      <c r="A8" s="6" t="s">
        <v>4015</v>
      </c>
      <c r="B8" s="6" t="s">
        <v>330</v>
      </c>
      <c r="C8" s="6">
        <v>3</v>
      </c>
      <c r="D8" s="6">
        <f>Table37[[#This Row],[Total Athletes]]-(LEN(Table37[[#This Row],[Team]])-LEN(SUBSTITUTE(Table37[[#This Row],[Team]],"/","")))-1</f>
        <v>5</v>
      </c>
      <c r="E8" s="6">
        <v>8</v>
      </c>
    </row>
    <row r="9" spans="1:5" x14ac:dyDescent="0.3">
      <c r="A9" s="6" t="s">
        <v>3343</v>
      </c>
      <c r="B9" s="6" t="s">
        <v>428</v>
      </c>
      <c r="C9" s="6">
        <v>5</v>
      </c>
      <c r="D9" s="6">
        <f>Table37[[#This Row],[Total Athletes]]-(LEN(Table37[[#This Row],[Team]])-LEN(SUBSTITUTE(Table37[[#This Row],[Team]],"/","")))-1</f>
        <v>6</v>
      </c>
      <c r="E9" s="6">
        <v>8</v>
      </c>
    </row>
    <row r="10" spans="1:5" x14ac:dyDescent="0.3">
      <c r="A10" s="6" t="s">
        <v>4752</v>
      </c>
      <c r="B10" s="6" t="s">
        <v>356</v>
      </c>
      <c r="C10" s="6">
        <v>8</v>
      </c>
      <c r="D10" s="6">
        <f>Table37[[#This Row],[Total Athletes]]-(LEN(Table37[[#This Row],[Team]])-LEN(SUBSTITUTE(Table37[[#This Row],[Team]],"/","")))-1</f>
        <v>6</v>
      </c>
      <c r="E10" s="6">
        <v>8</v>
      </c>
    </row>
    <row r="11" spans="1:5" x14ac:dyDescent="0.3">
      <c r="A11" s="6" t="s">
        <v>2175</v>
      </c>
      <c r="B11" s="6" t="s">
        <v>384</v>
      </c>
      <c r="C11" s="6">
        <v>6</v>
      </c>
      <c r="D11" s="6">
        <f>Table37[[#This Row],[Total Athletes]]-(LEN(Table37[[#This Row],[Team]])-LEN(SUBSTITUTE(Table37[[#This Row],[Team]],"/","")))-1</f>
        <v>6</v>
      </c>
      <c r="E11" s="6">
        <v>8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3858E-6F8D-4E2F-9021-30F21D6AAC71}">
  <dimension ref="A1:W886"/>
  <sheetViews>
    <sheetView topLeftCell="A880" zoomScaleNormal="100" workbookViewId="0">
      <selection activeCell="B887" sqref="B887"/>
    </sheetView>
  </sheetViews>
  <sheetFormatPr defaultRowHeight="14.4" x14ac:dyDescent="0.3"/>
  <cols>
    <col min="1" max="1" width="28.5546875" bestFit="1" customWidth="1"/>
    <col min="2" max="2" width="26.109375" bestFit="1" customWidth="1"/>
    <col min="3" max="6" width="19.44140625" bestFit="1" customWidth="1"/>
    <col min="7" max="8" width="20.44140625" bestFit="1" customWidth="1"/>
    <col min="9" max="9" width="21.44140625" bestFit="1" customWidth="1"/>
    <col min="10" max="11" width="26.33203125" bestFit="1" customWidth="1"/>
    <col min="12" max="12" width="32.21875" bestFit="1" customWidth="1"/>
    <col min="13" max="13" width="23.21875" bestFit="1" customWidth="1"/>
    <col min="14" max="14" width="28.77734375" bestFit="1" customWidth="1"/>
    <col min="15" max="15" width="25.88671875" bestFit="1" customWidth="1"/>
    <col min="16" max="16" width="28" bestFit="1" customWidth="1"/>
    <col min="17" max="17" width="23.6640625" bestFit="1" customWidth="1"/>
    <col min="18" max="18" width="26.33203125" bestFit="1" customWidth="1"/>
    <col min="19" max="19" width="24" bestFit="1" customWidth="1"/>
    <col min="20" max="20" width="23.33203125" bestFit="1" customWidth="1"/>
    <col min="21" max="21" width="22" bestFit="1" customWidth="1"/>
    <col min="22" max="22" width="24.5546875" bestFit="1" customWidth="1"/>
    <col min="23" max="23" width="23.33203125" bestFit="1" customWidth="1"/>
  </cols>
  <sheetData>
    <row r="1" spans="1:23" x14ac:dyDescent="0.3">
      <c r="A1" t="s">
        <v>832</v>
      </c>
      <c r="B1" t="s">
        <v>1</v>
      </c>
      <c r="C1" t="s">
        <v>939</v>
      </c>
      <c r="D1" t="s">
        <v>940</v>
      </c>
      <c r="E1" t="s">
        <v>941</v>
      </c>
      <c r="F1" t="s">
        <v>942</v>
      </c>
      <c r="G1" t="s">
        <v>943</v>
      </c>
      <c r="H1" t="s">
        <v>944</v>
      </c>
      <c r="I1" t="s">
        <v>945</v>
      </c>
      <c r="J1" t="s">
        <v>959</v>
      </c>
      <c r="K1" t="s">
        <v>947</v>
      </c>
      <c r="L1" t="s">
        <v>948</v>
      </c>
      <c r="M1" t="s">
        <v>949</v>
      </c>
      <c r="N1" t="s">
        <v>1158</v>
      </c>
      <c r="O1" t="s">
        <v>950</v>
      </c>
      <c r="P1" t="s">
        <v>951</v>
      </c>
      <c r="Q1" t="s">
        <v>952</v>
      </c>
      <c r="R1" t="s">
        <v>953</v>
      </c>
      <c r="S1" t="s">
        <v>954</v>
      </c>
      <c r="T1" t="s">
        <v>955</v>
      </c>
      <c r="U1" t="s">
        <v>956</v>
      </c>
      <c r="V1" t="s">
        <v>957</v>
      </c>
      <c r="W1" t="s">
        <v>960</v>
      </c>
    </row>
    <row r="2" spans="1:23" x14ac:dyDescent="0.3">
      <c r="A2" s="6"/>
      <c r="B2" s="6" t="s">
        <v>402</v>
      </c>
      <c r="C2" s="6">
        <v>-1</v>
      </c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</row>
    <row r="3" spans="1:23" x14ac:dyDescent="0.3">
      <c r="A3" s="6"/>
      <c r="B3" s="6" t="s">
        <v>402</v>
      </c>
      <c r="C3" s="6">
        <v>-1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</row>
    <row r="4" spans="1:23" x14ac:dyDescent="0.3">
      <c r="A4" s="6"/>
      <c r="B4" s="6" t="s">
        <v>402</v>
      </c>
      <c r="C4" s="6">
        <v>-1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</row>
    <row r="5" spans="1:23" x14ac:dyDescent="0.3">
      <c r="A5" s="6"/>
      <c r="B5" s="6" t="s">
        <v>600</v>
      </c>
      <c r="C5" s="6">
        <v>-1</v>
      </c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</row>
    <row r="6" spans="1:23" x14ac:dyDescent="0.3">
      <c r="A6" s="6"/>
      <c r="B6" s="6" t="s">
        <v>600</v>
      </c>
      <c r="C6" s="6">
        <v>-1</v>
      </c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</row>
    <row r="7" spans="1:23" x14ac:dyDescent="0.3">
      <c r="A7" s="6"/>
      <c r="B7" s="6" t="s">
        <v>600</v>
      </c>
      <c r="C7" s="6">
        <v>-1</v>
      </c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  <row r="8" spans="1:23" x14ac:dyDescent="0.3">
      <c r="A8" s="6" t="s">
        <v>2905</v>
      </c>
      <c r="B8" s="6" t="s">
        <v>332</v>
      </c>
      <c r="C8" s="6">
        <v>7</v>
      </c>
      <c r="D8" s="6">
        <v>2</v>
      </c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</row>
    <row r="9" spans="1:23" x14ac:dyDescent="0.3">
      <c r="A9" s="6"/>
      <c r="B9" s="6" t="s">
        <v>332</v>
      </c>
      <c r="C9" s="6">
        <v>-1</v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</row>
    <row r="10" spans="1:23" x14ac:dyDescent="0.3">
      <c r="A10" s="6" t="s">
        <v>1845</v>
      </c>
      <c r="B10" s="6" t="s">
        <v>332</v>
      </c>
      <c r="C10" s="6">
        <v>1</v>
      </c>
      <c r="D10" s="6">
        <v>3</v>
      </c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</row>
    <row r="11" spans="1:23" x14ac:dyDescent="0.3">
      <c r="A11" s="6" t="s">
        <v>3049</v>
      </c>
      <c r="B11" s="6" t="s">
        <v>336</v>
      </c>
      <c r="C11" s="6">
        <v>32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</row>
    <row r="12" spans="1:23" x14ac:dyDescent="0.3">
      <c r="A12" s="6" t="s">
        <v>3051</v>
      </c>
      <c r="B12" s="6" t="s">
        <v>336</v>
      </c>
      <c r="C12" s="6">
        <v>51</v>
      </c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</row>
    <row r="13" spans="1:23" x14ac:dyDescent="0.3">
      <c r="A13" s="6"/>
      <c r="B13" s="6" t="s">
        <v>362</v>
      </c>
      <c r="C13" s="6">
        <v>-1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</row>
    <row r="14" spans="1:23" x14ac:dyDescent="0.3">
      <c r="A14" s="6" t="s">
        <v>2241</v>
      </c>
      <c r="B14" s="6" t="s">
        <v>362</v>
      </c>
      <c r="C14" s="6">
        <v>53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</row>
    <row r="15" spans="1:23" x14ac:dyDescent="0.3">
      <c r="A15" s="6" t="s">
        <v>2139</v>
      </c>
      <c r="B15" s="6" t="s">
        <v>470</v>
      </c>
      <c r="C15" s="6">
        <v>27</v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</row>
    <row r="16" spans="1:23" x14ac:dyDescent="0.3">
      <c r="A16" s="6"/>
      <c r="B16" s="6" t="s">
        <v>356</v>
      </c>
      <c r="C16" s="6">
        <v>-1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</row>
    <row r="17" spans="1:23" x14ac:dyDescent="0.3">
      <c r="A17" s="6"/>
      <c r="B17" s="6" t="s">
        <v>356</v>
      </c>
      <c r="C17" s="6">
        <v>-1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</row>
    <row r="18" spans="1:23" x14ac:dyDescent="0.3">
      <c r="A18" s="6"/>
      <c r="B18" s="6" t="s">
        <v>440</v>
      </c>
      <c r="C18" s="6">
        <v>-1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 spans="1:23" x14ac:dyDescent="0.3">
      <c r="A19" s="6"/>
      <c r="B19" s="6" t="s">
        <v>440</v>
      </c>
      <c r="C19" s="6">
        <v>-1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</row>
    <row r="20" spans="1:23" x14ac:dyDescent="0.3">
      <c r="A20" s="6" t="s">
        <v>3524</v>
      </c>
      <c r="B20" s="6" t="s">
        <v>504</v>
      </c>
      <c r="C20" s="6">
        <v>30</v>
      </c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</row>
    <row r="21" spans="1:23" x14ac:dyDescent="0.3">
      <c r="A21" s="6"/>
      <c r="B21" s="6" t="s">
        <v>532</v>
      </c>
      <c r="C21" s="6">
        <v>-1</v>
      </c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</row>
    <row r="22" spans="1:23" x14ac:dyDescent="0.3">
      <c r="A22" s="6"/>
      <c r="B22" s="6" t="s">
        <v>544</v>
      </c>
      <c r="C22" s="6">
        <v>-1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</row>
    <row r="23" spans="1:23" x14ac:dyDescent="0.3">
      <c r="A23" s="6"/>
      <c r="B23" s="6" t="s">
        <v>384</v>
      </c>
      <c r="C23" s="6">
        <v>-1</v>
      </c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</row>
    <row r="24" spans="1:23" x14ac:dyDescent="0.3">
      <c r="A24" s="6"/>
      <c r="B24" s="6" t="s">
        <v>334</v>
      </c>
      <c r="C24" s="6">
        <v>-1</v>
      </c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</row>
    <row r="25" spans="1:23" x14ac:dyDescent="0.3">
      <c r="A25" s="6"/>
      <c r="B25" s="6" t="s">
        <v>428</v>
      </c>
      <c r="C25" s="6">
        <v>-1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</row>
    <row r="26" spans="1:23" x14ac:dyDescent="0.3">
      <c r="A26" s="6"/>
      <c r="B26" s="6" t="s">
        <v>436</v>
      </c>
      <c r="C26" s="6">
        <v>-1</v>
      </c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</row>
    <row r="27" spans="1:23" x14ac:dyDescent="0.3">
      <c r="A27" s="6"/>
      <c r="B27" s="6" t="s">
        <v>430</v>
      </c>
      <c r="C27" s="6">
        <v>-1</v>
      </c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</row>
    <row r="28" spans="1:23" x14ac:dyDescent="0.3">
      <c r="A28" s="6"/>
      <c r="B28" s="6" t="s">
        <v>422</v>
      </c>
      <c r="C28" s="6">
        <v>-1</v>
      </c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</row>
    <row r="29" spans="1:23" x14ac:dyDescent="0.3">
      <c r="A29" s="6"/>
      <c r="B29" s="6" t="s">
        <v>510</v>
      </c>
      <c r="C29" s="6">
        <v>-1</v>
      </c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</row>
    <row r="30" spans="1:23" x14ac:dyDescent="0.3">
      <c r="A30" s="6"/>
      <c r="B30" s="6" t="s">
        <v>510</v>
      </c>
      <c r="C30" s="6">
        <v>-1</v>
      </c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</row>
    <row r="31" spans="1:23" x14ac:dyDescent="0.3">
      <c r="A31" s="6"/>
      <c r="B31" s="6" t="s">
        <v>384</v>
      </c>
      <c r="C31" s="6">
        <v>-1</v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</row>
    <row r="32" spans="1:23" x14ac:dyDescent="0.3">
      <c r="A32" s="6"/>
      <c r="B32" s="6" t="s">
        <v>384</v>
      </c>
      <c r="C32" s="6">
        <v>-1</v>
      </c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</row>
    <row r="33" spans="1:23" x14ac:dyDescent="0.3">
      <c r="A33" s="6" t="s">
        <v>2903</v>
      </c>
      <c r="B33" s="6" t="s">
        <v>424</v>
      </c>
      <c r="C33" s="6">
        <v>25</v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</row>
    <row r="34" spans="1:23" x14ac:dyDescent="0.3">
      <c r="A34" s="6"/>
      <c r="B34" s="6" t="s">
        <v>424</v>
      </c>
      <c r="C34" s="6">
        <v>-1</v>
      </c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</row>
    <row r="35" spans="1:23" x14ac:dyDescent="0.3">
      <c r="A35" s="6"/>
      <c r="B35" s="6" t="s">
        <v>428</v>
      </c>
      <c r="C35" s="6">
        <v>-1</v>
      </c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</row>
    <row r="36" spans="1:23" x14ac:dyDescent="0.3">
      <c r="A36" s="6" t="s">
        <v>1760</v>
      </c>
      <c r="B36" s="6" t="s">
        <v>428</v>
      </c>
      <c r="C36" s="6">
        <v>31</v>
      </c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</row>
    <row r="37" spans="1:23" x14ac:dyDescent="0.3">
      <c r="A37" s="6"/>
      <c r="B37" s="6" t="s">
        <v>422</v>
      </c>
      <c r="C37" s="6">
        <v>-1</v>
      </c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</row>
    <row r="38" spans="1:23" x14ac:dyDescent="0.3">
      <c r="A38" s="6"/>
      <c r="B38" s="6" t="s">
        <v>422</v>
      </c>
      <c r="C38" s="6">
        <v>-1</v>
      </c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</row>
    <row r="39" spans="1:23" x14ac:dyDescent="0.3">
      <c r="A39" s="6"/>
      <c r="B39" s="6" t="s">
        <v>358</v>
      </c>
      <c r="C39" s="6">
        <v>-1</v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</row>
    <row r="40" spans="1:23" x14ac:dyDescent="0.3">
      <c r="A40" s="6" t="s">
        <v>3089</v>
      </c>
      <c r="B40" s="6" t="s">
        <v>336</v>
      </c>
      <c r="C40" s="6">
        <v>61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</row>
    <row r="41" spans="1:23" x14ac:dyDescent="0.3">
      <c r="A41" s="6"/>
      <c r="B41" s="6" t="s">
        <v>534</v>
      </c>
      <c r="C41" s="6">
        <v>-1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</row>
    <row r="42" spans="1:23" x14ac:dyDescent="0.3">
      <c r="A42" s="6"/>
      <c r="B42" s="6" t="s">
        <v>328</v>
      </c>
      <c r="C42" s="6">
        <v>-1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</row>
    <row r="43" spans="1:23" x14ac:dyDescent="0.3">
      <c r="A43" s="6"/>
      <c r="B43" s="6" t="s">
        <v>414</v>
      </c>
      <c r="C43" s="6">
        <v>-1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</row>
    <row r="44" spans="1:23" x14ac:dyDescent="0.3">
      <c r="A44" s="6"/>
      <c r="B44" s="6" t="s">
        <v>374</v>
      </c>
      <c r="C44" s="6">
        <v>-1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</row>
    <row r="45" spans="1:23" x14ac:dyDescent="0.3">
      <c r="A45" s="6"/>
      <c r="B45" s="6" t="s">
        <v>334</v>
      </c>
      <c r="C45" s="6">
        <v>-1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</row>
    <row r="46" spans="1:23" x14ac:dyDescent="0.3">
      <c r="A46" s="6"/>
      <c r="B46" s="6" t="s">
        <v>586</v>
      </c>
      <c r="C46" s="6">
        <v>-1</v>
      </c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</row>
    <row r="47" spans="1:23" x14ac:dyDescent="0.3">
      <c r="A47" s="6"/>
      <c r="B47" s="6" t="s">
        <v>360</v>
      </c>
      <c r="C47" s="6">
        <v>-1</v>
      </c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</row>
    <row r="48" spans="1:23" x14ac:dyDescent="0.3">
      <c r="A48" s="6"/>
      <c r="B48" s="6" t="s">
        <v>426</v>
      </c>
      <c r="C48" s="6">
        <v>-1</v>
      </c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</row>
    <row r="49" spans="1:23" x14ac:dyDescent="0.3">
      <c r="A49" s="6"/>
      <c r="B49" s="6" t="s">
        <v>440</v>
      </c>
      <c r="C49" s="6">
        <v>-1</v>
      </c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</row>
    <row r="50" spans="1:23" x14ac:dyDescent="0.3">
      <c r="A50" s="6"/>
      <c r="B50" s="6" t="s">
        <v>660</v>
      </c>
      <c r="C50" s="6">
        <v>-1</v>
      </c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</row>
    <row r="51" spans="1:23" x14ac:dyDescent="0.3">
      <c r="A51" s="6"/>
      <c r="B51" s="6" t="s">
        <v>338</v>
      </c>
      <c r="C51" s="6">
        <v>-1</v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</row>
    <row r="52" spans="1:23" x14ac:dyDescent="0.3">
      <c r="A52" s="6"/>
      <c r="B52" s="6" t="s">
        <v>478</v>
      </c>
      <c r="C52" s="6">
        <v>-1</v>
      </c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</row>
    <row r="53" spans="1:23" x14ac:dyDescent="0.3">
      <c r="A53" s="6"/>
      <c r="B53" s="6" t="s">
        <v>718</v>
      </c>
      <c r="C53" s="6">
        <v>-1</v>
      </c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</row>
    <row r="54" spans="1:23" x14ac:dyDescent="0.3">
      <c r="A54" s="6" t="s">
        <v>2348</v>
      </c>
      <c r="B54" s="6" t="s">
        <v>354</v>
      </c>
      <c r="C54" s="6">
        <v>36</v>
      </c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</row>
    <row r="55" spans="1:23" x14ac:dyDescent="0.3">
      <c r="A55" s="6" t="s">
        <v>2360</v>
      </c>
      <c r="B55" s="6" t="s">
        <v>354</v>
      </c>
      <c r="C55" s="6">
        <v>45</v>
      </c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</row>
    <row r="56" spans="1:23" x14ac:dyDescent="0.3">
      <c r="A56" s="6"/>
      <c r="B56" s="6" t="s">
        <v>394</v>
      </c>
      <c r="C56" s="6">
        <v>-1</v>
      </c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</row>
    <row r="57" spans="1:23" x14ac:dyDescent="0.3">
      <c r="A57" s="6"/>
      <c r="B57" s="6" t="s">
        <v>480</v>
      </c>
      <c r="C57" s="6">
        <v>-1</v>
      </c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</row>
    <row r="58" spans="1:23" x14ac:dyDescent="0.3">
      <c r="A58" s="6"/>
      <c r="B58" s="6" t="s">
        <v>384</v>
      </c>
      <c r="C58" s="6"/>
      <c r="D58" s="6">
        <v>-1</v>
      </c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</row>
    <row r="59" spans="1:23" x14ac:dyDescent="0.3">
      <c r="A59" s="6"/>
      <c r="B59" s="6" t="s">
        <v>384</v>
      </c>
      <c r="C59" s="6"/>
      <c r="D59" s="6">
        <v>-1</v>
      </c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</row>
    <row r="60" spans="1:23" x14ac:dyDescent="0.3">
      <c r="A60" s="6"/>
      <c r="B60" s="6" t="s">
        <v>384</v>
      </c>
      <c r="C60" s="6"/>
      <c r="D60" s="6">
        <v>-1</v>
      </c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</row>
    <row r="61" spans="1:23" x14ac:dyDescent="0.3">
      <c r="A61" s="6"/>
      <c r="B61" s="6" t="s">
        <v>422</v>
      </c>
      <c r="C61" s="6"/>
      <c r="D61" s="6">
        <v>-1</v>
      </c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</row>
    <row r="62" spans="1:23" x14ac:dyDescent="0.3">
      <c r="A62" s="6"/>
      <c r="B62" s="6" t="s">
        <v>422</v>
      </c>
      <c r="C62" s="6"/>
      <c r="D62" s="6">
        <v>-1</v>
      </c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</row>
    <row r="63" spans="1:23" x14ac:dyDescent="0.3">
      <c r="A63" s="6"/>
      <c r="B63" s="6" t="s">
        <v>422</v>
      </c>
      <c r="C63" s="6"/>
      <c r="D63" s="6">
        <v>-1</v>
      </c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</row>
    <row r="64" spans="1:23" x14ac:dyDescent="0.3">
      <c r="A64" s="6" t="s">
        <v>1843</v>
      </c>
      <c r="B64" s="6" t="s">
        <v>332</v>
      </c>
      <c r="C64" s="6"/>
      <c r="D64" s="6">
        <v>4</v>
      </c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</row>
    <row r="65" spans="1:23" x14ac:dyDescent="0.3">
      <c r="A65" s="6"/>
      <c r="B65" s="6" t="s">
        <v>600</v>
      </c>
      <c r="C65" s="6"/>
      <c r="D65" s="6">
        <v>-1</v>
      </c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</row>
    <row r="66" spans="1:23" x14ac:dyDescent="0.3">
      <c r="A66" s="6" t="s">
        <v>4477</v>
      </c>
      <c r="B66" s="6" t="s">
        <v>600</v>
      </c>
      <c r="C66" s="6"/>
      <c r="D66" s="6">
        <v>24</v>
      </c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</row>
    <row r="67" spans="1:23" x14ac:dyDescent="0.3">
      <c r="A67" s="6" t="s">
        <v>3474</v>
      </c>
      <c r="B67" s="6" t="s">
        <v>738</v>
      </c>
      <c r="C67" s="6"/>
      <c r="D67" s="6">
        <v>8</v>
      </c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</row>
    <row r="68" spans="1:23" x14ac:dyDescent="0.3">
      <c r="A68" s="6"/>
      <c r="B68" s="6" t="s">
        <v>738</v>
      </c>
      <c r="C68" s="6"/>
      <c r="D68" s="6">
        <v>-1</v>
      </c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</row>
    <row r="69" spans="1:23" x14ac:dyDescent="0.3">
      <c r="A69" s="6"/>
      <c r="B69" s="6" t="s">
        <v>510</v>
      </c>
      <c r="C69" s="6"/>
      <c r="D69" s="6">
        <v>-1</v>
      </c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</row>
    <row r="70" spans="1:23" x14ac:dyDescent="0.3">
      <c r="A70" s="6"/>
      <c r="B70" s="6" t="s">
        <v>532</v>
      </c>
      <c r="C70" s="6"/>
      <c r="D70" s="6">
        <v>-1</v>
      </c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</row>
    <row r="71" spans="1:23" x14ac:dyDescent="0.3">
      <c r="A71" s="6"/>
      <c r="B71" s="6" t="s">
        <v>328</v>
      </c>
      <c r="C71" s="6"/>
      <c r="D71" s="6">
        <v>-1</v>
      </c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</row>
    <row r="72" spans="1:23" x14ac:dyDescent="0.3">
      <c r="A72" s="6" t="s">
        <v>3867</v>
      </c>
      <c r="B72" s="6" t="s">
        <v>374</v>
      </c>
      <c r="C72" s="6"/>
      <c r="D72" s="6">
        <v>5</v>
      </c>
      <c r="E72" s="6">
        <v>37</v>
      </c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</row>
    <row r="73" spans="1:23" x14ac:dyDescent="0.3">
      <c r="A73" s="6"/>
      <c r="B73" s="6" t="s">
        <v>344</v>
      </c>
      <c r="C73" s="6"/>
      <c r="D73" s="6">
        <v>-1</v>
      </c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</row>
    <row r="74" spans="1:23" x14ac:dyDescent="0.3">
      <c r="A74" s="6"/>
      <c r="B74" s="6" t="s">
        <v>334</v>
      </c>
      <c r="C74" s="6"/>
      <c r="D74" s="6">
        <v>-1</v>
      </c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</row>
    <row r="75" spans="1:23" x14ac:dyDescent="0.3">
      <c r="A75" s="6"/>
      <c r="B75" s="6" t="s">
        <v>402</v>
      </c>
      <c r="C75" s="6"/>
      <c r="D75" s="6">
        <v>-1</v>
      </c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</row>
    <row r="76" spans="1:23" x14ac:dyDescent="0.3">
      <c r="A76" s="6"/>
      <c r="B76" s="6" t="s">
        <v>356</v>
      </c>
      <c r="C76" s="6"/>
      <c r="D76" s="6">
        <v>-1</v>
      </c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</row>
    <row r="77" spans="1:23" x14ac:dyDescent="0.3">
      <c r="A77" s="6"/>
      <c r="B77" s="6" t="s">
        <v>426</v>
      </c>
      <c r="C77" s="6"/>
      <c r="D77" s="6">
        <v>-1</v>
      </c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</row>
    <row r="78" spans="1:23" x14ac:dyDescent="0.3">
      <c r="A78" s="6" t="s">
        <v>4816</v>
      </c>
      <c r="B78" s="6" t="s">
        <v>430</v>
      </c>
      <c r="C78" s="6"/>
      <c r="D78" s="6">
        <v>7</v>
      </c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</row>
    <row r="79" spans="1:23" x14ac:dyDescent="0.3">
      <c r="A79" s="6"/>
      <c r="B79" s="6" t="s">
        <v>440</v>
      </c>
      <c r="C79" s="6"/>
      <c r="D79" s="6">
        <v>-1</v>
      </c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</row>
    <row r="80" spans="1:23" x14ac:dyDescent="0.3">
      <c r="A80" s="6"/>
      <c r="B80" s="6" t="s">
        <v>480</v>
      </c>
      <c r="C80" s="6"/>
      <c r="D80" s="6">
        <v>-1</v>
      </c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</row>
    <row r="81" spans="1:23" x14ac:dyDescent="0.3">
      <c r="A81" s="6"/>
      <c r="B81" s="6" t="s">
        <v>724</v>
      </c>
      <c r="C81" s="6"/>
      <c r="D81" s="6">
        <v>-1</v>
      </c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</row>
    <row r="82" spans="1:23" x14ac:dyDescent="0.3">
      <c r="A82" s="6"/>
      <c r="B82" s="6" t="s">
        <v>442</v>
      </c>
      <c r="C82" s="6"/>
      <c r="D82" s="6">
        <v>-1</v>
      </c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</row>
    <row r="83" spans="1:23" x14ac:dyDescent="0.3">
      <c r="A83" s="6"/>
      <c r="B83" s="6" t="s">
        <v>442</v>
      </c>
      <c r="C83" s="6"/>
      <c r="D83" s="6">
        <v>-1</v>
      </c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</row>
    <row r="84" spans="1:23" x14ac:dyDescent="0.3">
      <c r="A84" s="6"/>
      <c r="B84" s="6" t="s">
        <v>442</v>
      </c>
      <c r="C84" s="6"/>
      <c r="D84" s="6">
        <v>-1</v>
      </c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</row>
    <row r="85" spans="1:23" x14ac:dyDescent="0.3">
      <c r="A85" s="6" t="s">
        <v>3742</v>
      </c>
      <c r="B85" s="6" t="s">
        <v>428</v>
      </c>
      <c r="C85" s="6"/>
      <c r="D85" s="6">
        <v>35</v>
      </c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</row>
    <row r="86" spans="1:23" x14ac:dyDescent="0.3">
      <c r="A86" s="6"/>
      <c r="B86" s="6" t="s">
        <v>428</v>
      </c>
      <c r="C86" s="6"/>
      <c r="D86" s="6">
        <v>-1</v>
      </c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</row>
    <row r="87" spans="1:23" x14ac:dyDescent="0.3">
      <c r="A87" s="6"/>
      <c r="B87" s="6" t="s">
        <v>428</v>
      </c>
      <c r="C87" s="6"/>
      <c r="D87" s="6">
        <v>-1</v>
      </c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</row>
    <row r="88" spans="1:23" x14ac:dyDescent="0.3">
      <c r="A88" s="6" t="s">
        <v>5048</v>
      </c>
      <c r="B88" s="6" t="s">
        <v>444</v>
      </c>
      <c r="C88" s="6"/>
      <c r="D88" s="6">
        <v>30</v>
      </c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</row>
    <row r="89" spans="1:23" x14ac:dyDescent="0.3">
      <c r="A89" s="6"/>
      <c r="B89" s="6" t="s">
        <v>444</v>
      </c>
      <c r="C89" s="6"/>
      <c r="D89" s="6">
        <v>-1</v>
      </c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</row>
    <row r="90" spans="1:23" x14ac:dyDescent="0.3">
      <c r="A90" s="6"/>
      <c r="B90" s="6" t="s">
        <v>354</v>
      </c>
      <c r="C90" s="6"/>
      <c r="D90" s="6">
        <v>-1</v>
      </c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</row>
    <row r="91" spans="1:23" x14ac:dyDescent="0.3">
      <c r="A91" s="6"/>
      <c r="B91" s="6" t="s">
        <v>510</v>
      </c>
      <c r="C91" s="6"/>
      <c r="D91" s="6">
        <v>-1</v>
      </c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</row>
    <row r="92" spans="1:23" x14ac:dyDescent="0.3">
      <c r="A92" s="6" t="s">
        <v>1609</v>
      </c>
      <c r="B92" s="6" t="s">
        <v>336</v>
      </c>
      <c r="C92" s="6"/>
      <c r="D92" s="6">
        <v>17</v>
      </c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</row>
    <row r="93" spans="1:23" x14ac:dyDescent="0.3">
      <c r="A93" s="6"/>
      <c r="B93" s="6" t="s">
        <v>368</v>
      </c>
      <c r="C93" s="6"/>
      <c r="D93" s="6">
        <v>-1</v>
      </c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</row>
    <row r="94" spans="1:23" x14ac:dyDescent="0.3">
      <c r="A94" s="6"/>
      <c r="B94" s="6" t="s">
        <v>374</v>
      </c>
      <c r="C94" s="6"/>
      <c r="D94" s="6">
        <v>-1</v>
      </c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</row>
    <row r="95" spans="1:23" x14ac:dyDescent="0.3">
      <c r="A95" s="6" t="s">
        <v>1591</v>
      </c>
      <c r="B95" s="6" t="s">
        <v>344</v>
      </c>
      <c r="C95" s="6"/>
      <c r="D95" s="6">
        <v>22</v>
      </c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</row>
    <row r="96" spans="1:23" x14ac:dyDescent="0.3">
      <c r="A96" s="6" t="s">
        <v>4215</v>
      </c>
      <c r="B96" s="6" t="s">
        <v>598</v>
      </c>
      <c r="C96" s="6"/>
      <c r="D96" s="6">
        <v>34</v>
      </c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</row>
    <row r="97" spans="1:23" x14ac:dyDescent="0.3">
      <c r="A97" s="6"/>
      <c r="B97" s="6" t="s">
        <v>356</v>
      </c>
      <c r="C97" s="6"/>
      <c r="D97" s="6">
        <v>-1</v>
      </c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</row>
    <row r="98" spans="1:23" x14ac:dyDescent="0.3">
      <c r="A98" s="6"/>
      <c r="B98" s="6" t="s">
        <v>668</v>
      </c>
      <c r="C98" s="6"/>
      <c r="D98" s="6">
        <v>-1</v>
      </c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</row>
    <row r="99" spans="1:23" x14ac:dyDescent="0.3">
      <c r="A99" s="6"/>
      <c r="B99" s="6" t="s">
        <v>394</v>
      </c>
      <c r="C99" s="6"/>
      <c r="D99" s="6">
        <v>-1</v>
      </c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</row>
    <row r="100" spans="1:23" x14ac:dyDescent="0.3">
      <c r="A100" s="6"/>
      <c r="B100" s="6" t="s">
        <v>338</v>
      </c>
      <c r="C100" s="6"/>
      <c r="D100" s="6">
        <v>-1</v>
      </c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</row>
    <row r="101" spans="1:23" x14ac:dyDescent="0.3">
      <c r="A101" s="6"/>
      <c r="B101" s="6" t="s">
        <v>356</v>
      </c>
      <c r="C101" s="6"/>
      <c r="D101" s="6">
        <v>-1</v>
      </c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</row>
    <row r="102" spans="1:23" x14ac:dyDescent="0.3">
      <c r="A102" s="6"/>
      <c r="B102" s="6" t="s">
        <v>444</v>
      </c>
      <c r="C102" s="6"/>
      <c r="D102" s="6">
        <v>-1</v>
      </c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</row>
    <row r="103" spans="1:23" x14ac:dyDescent="0.3">
      <c r="A103" s="6"/>
      <c r="B103" s="6" t="s">
        <v>532</v>
      </c>
      <c r="C103" s="6"/>
      <c r="D103" s="6"/>
      <c r="E103" s="6">
        <v>-1</v>
      </c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</row>
    <row r="104" spans="1:23" x14ac:dyDescent="0.3">
      <c r="A104" s="6"/>
      <c r="B104" s="6" t="s">
        <v>532</v>
      </c>
      <c r="C104" s="6"/>
      <c r="D104" s="6"/>
      <c r="E104" s="6">
        <v>-1</v>
      </c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</row>
    <row r="105" spans="1:23" x14ac:dyDescent="0.3">
      <c r="A105" s="6" t="s">
        <v>2929</v>
      </c>
      <c r="B105" s="6" t="s">
        <v>532</v>
      </c>
      <c r="C105" s="6"/>
      <c r="D105" s="6"/>
      <c r="E105" s="6">
        <v>19</v>
      </c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</row>
    <row r="106" spans="1:23" x14ac:dyDescent="0.3">
      <c r="A106" s="6" t="s">
        <v>3053</v>
      </c>
      <c r="B106" s="6" t="s">
        <v>336</v>
      </c>
      <c r="C106" s="6"/>
      <c r="D106" s="6"/>
      <c r="E106" s="6">
        <v>35</v>
      </c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</row>
    <row r="107" spans="1:23" x14ac:dyDescent="0.3">
      <c r="A107" s="6"/>
      <c r="B107" s="6" t="s">
        <v>336</v>
      </c>
      <c r="C107" s="6"/>
      <c r="D107" s="6"/>
      <c r="E107" s="6">
        <v>-1</v>
      </c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</row>
    <row r="108" spans="1:23" x14ac:dyDescent="0.3">
      <c r="A108" s="6"/>
      <c r="B108" s="6" t="s">
        <v>600</v>
      </c>
      <c r="C108" s="6"/>
      <c r="D108" s="6"/>
      <c r="E108" s="6">
        <v>-1</v>
      </c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</row>
    <row r="109" spans="1:23" x14ac:dyDescent="0.3">
      <c r="A109" s="6"/>
      <c r="B109" s="6" t="s">
        <v>600</v>
      </c>
      <c r="C109" s="6"/>
      <c r="D109" s="6"/>
      <c r="E109" s="6">
        <v>-1</v>
      </c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</row>
    <row r="110" spans="1:23" x14ac:dyDescent="0.3">
      <c r="A110" s="6" t="s">
        <v>4641</v>
      </c>
      <c r="B110" s="6" t="s">
        <v>600</v>
      </c>
      <c r="C110" s="6"/>
      <c r="D110" s="6"/>
      <c r="E110" s="6">
        <v>37</v>
      </c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</row>
    <row r="111" spans="1:23" x14ac:dyDescent="0.3">
      <c r="A111" s="6" t="s">
        <v>3923</v>
      </c>
      <c r="B111" s="6" t="s">
        <v>332</v>
      </c>
      <c r="C111" s="6"/>
      <c r="D111" s="6"/>
      <c r="E111" s="6">
        <v>1</v>
      </c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</row>
    <row r="112" spans="1:23" x14ac:dyDescent="0.3">
      <c r="A112" s="6" t="s">
        <v>2040</v>
      </c>
      <c r="B112" s="6" t="s">
        <v>332</v>
      </c>
      <c r="C112" s="6"/>
      <c r="D112" s="6"/>
      <c r="E112" s="6">
        <v>8</v>
      </c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</row>
    <row r="113" spans="1:23" x14ac:dyDescent="0.3">
      <c r="A113" s="6"/>
      <c r="B113" s="6" t="s">
        <v>332</v>
      </c>
      <c r="C113" s="6"/>
      <c r="D113" s="6"/>
      <c r="E113" s="6">
        <v>-1</v>
      </c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</row>
    <row r="114" spans="1:23" x14ac:dyDescent="0.3">
      <c r="A114" s="6"/>
      <c r="B114" s="6" t="s">
        <v>440</v>
      </c>
      <c r="C114" s="6"/>
      <c r="D114" s="6"/>
      <c r="E114" s="6">
        <v>-1</v>
      </c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</row>
    <row r="115" spans="1:23" x14ac:dyDescent="0.3">
      <c r="A115" s="6"/>
      <c r="B115" s="6" t="s">
        <v>440</v>
      </c>
      <c r="C115" s="6"/>
      <c r="D115" s="6"/>
      <c r="E115" s="6">
        <v>-1</v>
      </c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</row>
    <row r="116" spans="1:23" x14ac:dyDescent="0.3">
      <c r="A116" s="6"/>
      <c r="B116" s="6" t="s">
        <v>422</v>
      </c>
      <c r="C116" s="6"/>
      <c r="D116" s="6"/>
      <c r="E116" s="6">
        <v>-1</v>
      </c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</row>
    <row r="117" spans="1:23" x14ac:dyDescent="0.3">
      <c r="A117" s="6"/>
      <c r="B117" s="6" t="s">
        <v>422</v>
      </c>
      <c r="C117" s="6"/>
      <c r="D117" s="6"/>
      <c r="E117" s="6">
        <v>-1</v>
      </c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</row>
    <row r="118" spans="1:23" x14ac:dyDescent="0.3">
      <c r="A118" s="6"/>
      <c r="B118" s="6" t="s">
        <v>520</v>
      </c>
      <c r="C118" s="6"/>
      <c r="D118" s="6"/>
      <c r="E118" s="6">
        <v>-1</v>
      </c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</row>
    <row r="119" spans="1:23" x14ac:dyDescent="0.3">
      <c r="A119" s="6"/>
      <c r="B119" s="6" t="s">
        <v>520</v>
      </c>
      <c r="C119" s="6"/>
      <c r="D119" s="6"/>
      <c r="E119" s="6">
        <v>-1</v>
      </c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</row>
    <row r="120" spans="1:23" x14ac:dyDescent="0.3">
      <c r="A120" s="6" t="s">
        <v>2914</v>
      </c>
      <c r="B120" s="6" t="s">
        <v>402</v>
      </c>
      <c r="C120" s="6"/>
      <c r="D120" s="6"/>
      <c r="E120" s="6">
        <v>11</v>
      </c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</row>
    <row r="121" spans="1:23" x14ac:dyDescent="0.3">
      <c r="A121" s="6"/>
      <c r="B121" s="6" t="s">
        <v>402</v>
      </c>
      <c r="C121" s="6"/>
      <c r="D121" s="6"/>
      <c r="E121" s="6">
        <v>-1</v>
      </c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</row>
    <row r="122" spans="1:23" x14ac:dyDescent="0.3">
      <c r="A122" s="6"/>
      <c r="B122" s="6" t="s">
        <v>428</v>
      </c>
      <c r="C122" s="6"/>
      <c r="D122" s="6"/>
      <c r="E122" s="6">
        <v>-1</v>
      </c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</row>
    <row r="123" spans="1:23" x14ac:dyDescent="0.3">
      <c r="A123" s="6"/>
      <c r="B123" s="6" t="s">
        <v>428</v>
      </c>
      <c r="C123" s="6"/>
      <c r="D123" s="6"/>
      <c r="E123" s="6">
        <v>-1</v>
      </c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</row>
    <row r="124" spans="1:23" x14ac:dyDescent="0.3">
      <c r="A124" s="6" t="s">
        <v>3832</v>
      </c>
      <c r="B124" s="6" t="s">
        <v>340</v>
      </c>
      <c r="C124" s="6"/>
      <c r="D124" s="6"/>
      <c r="E124" s="6">
        <v>17</v>
      </c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</row>
    <row r="125" spans="1:23" x14ac:dyDescent="0.3">
      <c r="A125" s="6" t="s">
        <v>1484</v>
      </c>
      <c r="B125" s="6" t="s">
        <v>354</v>
      </c>
      <c r="C125" s="6"/>
      <c r="D125" s="6"/>
      <c r="E125" s="6">
        <v>14</v>
      </c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</row>
    <row r="126" spans="1:23" x14ac:dyDescent="0.3">
      <c r="A126" s="6"/>
      <c r="B126" s="6" t="s">
        <v>510</v>
      </c>
      <c r="C126" s="6"/>
      <c r="D126" s="6"/>
      <c r="E126" s="6">
        <v>-1</v>
      </c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</row>
    <row r="127" spans="1:23" x14ac:dyDescent="0.3">
      <c r="A127" s="6"/>
      <c r="B127" s="6" t="s">
        <v>384</v>
      </c>
      <c r="C127" s="6"/>
      <c r="D127" s="6"/>
      <c r="E127" s="6">
        <v>-1</v>
      </c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</row>
    <row r="128" spans="1:23" x14ac:dyDescent="0.3">
      <c r="A128" s="6"/>
      <c r="B128" s="6" t="s">
        <v>334</v>
      </c>
      <c r="C128" s="6"/>
      <c r="D128" s="6"/>
      <c r="E128" s="6">
        <v>-1</v>
      </c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</row>
    <row r="129" spans="1:23" x14ac:dyDescent="0.3">
      <c r="A129" s="6"/>
      <c r="B129" s="6" t="s">
        <v>582</v>
      </c>
      <c r="C129" s="6"/>
      <c r="D129" s="6"/>
      <c r="E129" s="6">
        <v>-1</v>
      </c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</row>
    <row r="130" spans="1:23" x14ac:dyDescent="0.3">
      <c r="A130" s="6"/>
      <c r="B130" s="6" t="s">
        <v>406</v>
      </c>
      <c r="C130" s="6"/>
      <c r="D130" s="6"/>
      <c r="E130" s="6">
        <v>-1</v>
      </c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</row>
    <row r="131" spans="1:23" x14ac:dyDescent="0.3">
      <c r="A131" s="6"/>
      <c r="B131" s="6" t="s">
        <v>356</v>
      </c>
      <c r="C131" s="6"/>
      <c r="D131" s="6"/>
      <c r="E131" s="6">
        <v>-1</v>
      </c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</row>
    <row r="132" spans="1:23" x14ac:dyDescent="0.3">
      <c r="A132" s="6"/>
      <c r="B132" s="6" t="s">
        <v>436</v>
      </c>
      <c r="C132" s="6"/>
      <c r="D132" s="6"/>
      <c r="E132" s="6">
        <v>-1</v>
      </c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</row>
    <row r="133" spans="1:23" x14ac:dyDescent="0.3">
      <c r="A133" s="6"/>
      <c r="B133" s="6" t="s">
        <v>412</v>
      </c>
      <c r="C133" s="6"/>
      <c r="D133" s="6"/>
      <c r="E133" s="6">
        <v>-1</v>
      </c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</row>
    <row r="134" spans="1:23" x14ac:dyDescent="0.3">
      <c r="A134" s="6"/>
      <c r="B134" s="6" t="s">
        <v>364</v>
      </c>
      <c r="C134" s="6"/>
      <c r="D134" s="6"/>
      <c r="E134" s="6">
        <v>-1</v>
      </c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</row>
    <row r="135" spans="1:23" x14ac:dyDescent="0.3">
      <c r="A135" s="6"/>
      <c r="B135" s="6" t="s">
        <v>346</v>
      </c>
      <c r="C135" s="6"/>
      <c r="D135" s="6"/>
      <c r="E135" s="6">
        <v>-1</v>
      </c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</row>
    <row r="136" spans="1:23" x14ac:dyDescent="0.3">
      <c r="A136" s="6"/>
      <c r="B136" s="6" t="s">
        <v>476</v>
      </c>
      <c r="C136" s="6"/>
      <c r="D136" s="6"/>
      <c r="E136" s="6">
        <v>-1</v>
      </c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</row>
    <row r="137" spans="1:23" x14ac:dyDescent="0.3">
      <c r="A137" s="6"/>
      <c r="B137" s="6" t="s">
        <v>480</v>
      </c>
      <c r="C137" s="6"/>
      <c r="D137" s="6"/>
      <c r="E137" s="6">
        <v>-1</v>
      </c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</row>
    <row r="138" spans="1:23" x14ac:dyDescent="0.3">
      <c r="A138" s="6"/>
      <c r="B138" s="6" t="s">
        <v>726</v>
      </c>
      <c r="C138" s="6"/>
      <c r="D138" s="6"/>
      <c r="E138" s="6">
        <v>-1</v>
      </c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</row>
    <row r="139" spans="1:23" x14ac:dyDescent="0.3">
      <c r="A139" s="6" t="s">
        <v>4936</v>
      </c>
      <c r="B139" s="6" t="s">
        <v>736</v>
      </c>
      <c r="C139" s="6"/>
      <c r="D139" s="6"/>
      <c r="E139" s="6">
        <v>3</v>
      </c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</row>
    <row r="140" spans="1:23" x14ac:dyDescent="0.3">
      <c r="A140" s="6"/>
      <c r="B140" s="6" t="s">
        <v>520</v>
      </c>
      <c r="C140" s="6"/>
      <c r="D140" s="6"/>
      <c r="E140" s="6">
        <v>-1</v>
      </c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</row>
    <row r="141" spans="1:23" x14ac:dyDescent="0.3">
      <c r="A141" s="6"/>
      <c r="B141" s="6" t="s">
        <v>442</v>
      </c>
      <c r="C141" s="6"/>
      <c r="D141" s="6"/>
      <c r="E141" s="6">
        <v>-1</v>
      </c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</row>
    <row r="142" spans="1:23" x14ac:dyDescent="0.3">
      <c r="A142" s="6"/>
      <c r="B142" s="6" t="s">
        <v>344</v>
      </c>
      <c r="C142" s="6"/>
      <c r="D142" s="6"/>
      <c r="E142" s="6">
        <v>-1</v>
      </c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</row>
    <row r="143" spans="1:23" x14ac:dyDescent="0.3">
      <c r="A143" s="6" t="s">
        <v>4065</v>
      </c>
      <c r="B143" s="6" t="s">
        <v>428</v>
      </c>
      <c r="C143" s="6"/>
      <c r="D143" s="6"/>
      <c r="E143" s="6">
        <v>37</v>
      </c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</row>
    <row r="144" spans="1:23" x14ac:dyDescent="0.3">
      <c r="A144" s="6"/>
      <c r="B144" s="6" t="s">
        <v>688</v>
      </c>
      <c r="C144" s="6"/>
      <c r="D144" s="6"/>
      <c r="E144" s="6">
        <v>-1</v>
      </c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</row>
    <row r="145" spans="1:23" x14ac:dyDescent="0.3">
      <c r="A145" s="6"/>
      <c r="B145" s="6" t="s">
        <v>444</v>
      </c>
      <c r="C145" s="6"/>
      <c r="D145" s="6"/>
      <c r="E145" s="6">
        <v>-1</v>
      </c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</row>
    <row r="146" spans="1:23" x14ac:dyDescent="0.3">
      <c r="A146" s="6"/>
      <c r="B146" s="6" t="s">
        <v>362</v>
      </c>
      <c r="C146" s="6"/>
      <c r="D146" s="6"/>
      <c r="E146" s="6">
        <v>-1</v>
      </c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</row>
    <row r="147" spans="1:23" x14ac:dyDescent="0.3">
      <c r="A147" s="6"/>
      <c r="B147" s="6" t="s">
        <v>356</v>
      </c>
      <c r="C147" s="6"/>
      <c r="D147" s="6"/>
      <c r="E147" s="6">
        <v>-1</v>
      </c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</row>
    <row r="148" spans="1:23" x14ac:dyDescent="0.3">
      <c r="A148" s="6"/>
      <c r="B148" s="6" t="s">
        <v>672</v>
      </c>
      <c r="C148" s="6"/>
      <c r="D148" s="6"/>
      <c r="E148" s="6">
        <v>-1</v>
      </c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</row>
    <row r="149" spans="1:23" x14ac:dyDescent="0.3">
      <c r="A149" s="6"/>
      <c r="B149" s="6" t="s">
        <v>702</v>
      </c>
      <c r="C149" s="6"/>
      <c r="D149" s="6"/>
      <c r="E149" s="6">
        <v>-1</v>
      </c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</row>
    <row r="150" spans="1:23" x14ac:dyDescent="0.3">
      <c r="A150" s="6"/>
      <c r="B150" s="6" t="s">
        <v>380</v>
      </c>
      <c r="C150" s="6"/>
      <c r="D150" s="6"/>
      <c r="E150" s="6"/>
      <c r="F150" s="6">
        <v>-1</v>
      </c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</row>
    <row r="151" spans="1:23" x14ac:dyDescent="0.3">
      <c r="A151" s="6" t="s">
        <v>3138</v>
      </c>
      <c r="B151" s="6" t="s">
        <v>380</v>
      </c>
      <c r="C151" s="6"/>
      <c r="D151" s="6"/>
      <c r="E151" s="6"/>
      <c r="F151" s="6">
        <v>31</v>
      </c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</row>
    <row r="152" spans="1:23" x14ac:dyDescent="0.3">
      <c r="A152" s="6"/>
      <c r="B152" s="6" t="s">
        <v>380</v>
      </c>
      <c r="C152" s="6"/>
      <c r="D152" s="6"/>
      <c r="E152" s="6"/>
      <c r="F152" s="6">
        <v>-1</v>
      </c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</row>
    <row r="153" spans="1:23" x14ac:dyDescent="0.3">
      <c r="A153" s="6"/>
      <c r="B153" s="6" t="s">
        <v>354</v>
      </c>
      <c r="C153" s="6"/>
      <c r="D153" s="6"/>
      <c r="E153" s="6"/>
      <c r="F153" s="6">
        <v>-1</v>
      </c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</row>
    <row r="154" spans="1:23" x14ac:dyDescent="0.3">
      <c r="A154" s="6"/>
      <c r="B154" s="6" t="s">
        <v>354</v>
      </c>
      <c r="C154" s="6"/>
      <c r="D154" s="6"/>
      <c r="E154" s="6"/>
      <c r="F154" s="6">
        <v>-1</v>
      </c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</row>
    <row r="155" spans="1:23" x14ac:dyDescent="0.3">
      <c r="A155" s="6"/>
      <c r="B155" s="6" t="s">
        <v>354</v>
      </c>
      <c r="C155" s="6"/>
      <c r="D155" s="6"/>
      <c r="E155" s="6"/>
      <c r="F155" s="6">
        <v>-1</v>
      </c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</row>
    <row r="156" spans="1:23" x14ac:dyDescent="0.3">
      <c r="A156" s="6" t="s">
        <v>3133</v>
      </c>
      <c r="B156" s="6" t="s">
        <v>520</v>
      </c>
      <c r="C156" s="6"/>
      <c r="D156" s="6"/>
      <c r="E156" s="6"/>
      <c r="F156" s="6">
        <v>9</v>
      </c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</row>
    <row r="157" spans="1:23" x14ac:dyDescent="0.3">
      <c r="A157" s="6"/>
      <c r="B157" s="6" t="s">
        <v>520</v>
      </c>
      <c r="C157" s="6"/>
      <c r="D157" s="6"/>
      <c r="E157" s="6"/>
      <c r="F157" s="6">
        <v>-1</v>
      </c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</row>
    <row r="158" spans="1:23" x14ac:dyDescent="0.3">
      <c r="A158" s="6"/>
      <c r="B158" s="6" t="s">
        <v>520</v>
      </c>
      <c r="C158" s="6"/>
      <c r="D158" s="6"/>
      <c r="E158" s="6"/>
      <c r="F158" s="6">
        <v>-1</v>
      </c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</row>
    <row r="159" spans="1:23" x14ac:dyDescent="0.3">
      <c r="A159" s="6" t="s">
        <v>3293</v>
      </c>
      <c r="B159" s="6" t="s">
        <v>344</v>
      </c>
      <c r="C159" s="6"/>
      <c r="D159" s="6"/>
      <c r="E159" s="6"/>
      <c r="F159" s="6">
        <v>32</v>
      </c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</row>
    <row r="160" spans="1:23" x14ac:dyDescent="0.3">
      <c r="A160" s="6"/>
      <c r="B160" s="6" t="s">
        <v>344</v>
      </c>
      <c r="C160" s="6"/>
      <c r="D160" s="6"/>
      <c r="E160" s="6"/>
      <c r="F160" s="6">
        <v>-1</v>
      </c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</row>
    <row r="161" spans="1:23" x14ac:dyDescent="0.3">
      <c r="A161" s="6"/>
      <c r="B161" s="6" t="s">
        <v>344</v>
      </c>
      <c r="C161" s="6"/>
      <c r="D161" s="6"/>
      <c r="E161" s="6"/>
      <c r="F161" s="6">
        <v>-1</v>
      </c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</row>
    <row r="162" spans="1:23" x14ac:dyDescent="0.3">
      <c r="A162" s="6" t="s">
        <v>3200</v>
      </c>
      <c r="B162" s="6" t="s">
        <v>402</v>
      </c>
      <c r="C162" s="6"/>
      <c r="D162" s="6"/>
      <c r="E162" s="6"/>
      <c r="F162" s="6">
        <v>8</v>
      </c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</row>
    <row r="163" spans="1:23" x14ac:dyDescent="0.3">
      <c r="A163" s="6"/>
      <c r="B163" s="6" t="s">
        <v>402</v>
      </c>
      <c r="C163" s="6"/>
      <c r="D163" s="6"/>
      <c r="E163" s="6"/>
      <c r="F163" s="6">
        <v>-1</v>
      </c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</row>
    <row r="164" spans="1:23" x14ac:dyDescent="0.3">
      <c r="A164" s="6"/>
      <c r="B164" s="6" t="s">
        <v>402</v>
      </c>
      <c r="C164" s="6"/>
      <c r="D164" s="6"/>
      <c r="E164" s="6"/>
      <c r="F164" s="6">
        <v>-1</v>
      </c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</row>
    <row r="165" spans="1:23" x14ac:dyDescent="0.3">
      <c r="A165" s="6"/>
      <c r="B165" s="6" t="s">
        <v>436</v>
      </c>
      <c r="C165" s="6"/>
      <c r="D165" s="6"/>
      <c r="E165" s="6"/>
      <c r="F165" s="6">
        <v>-1</v>
      </c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</row>
    <row r="166" spans="1:23" x14ac:dyDescent="0.3">
      <c r="A166" s="6"/>
      <c r="B166" s="6" t="s">
        <v>436</v>
      </c>
      <c r="C166" s="6"/>
      <c r="D166" s="6"/>
      <c r="E166" s="6"/>
      <c r="F166" s="6">
        <v>-1</v>
      </c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</row>
    <row r="167" spans="1:23" x14ac:dyDescent="0.3">
      <c r="A167" s="6"/>
      <c r="B167" s="6" t="s">
        <v>436</v>
      </c>
      <c r="C167" s="6"/>
      <c r="D167" s="6"/>
      <c r="E167" s="6"/>
      <c r="F167" s="6">
        <v>-1</v>
      </c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</row>
    <row r="168" spans="1:23" x14ac:dyDescent="0.3">
      <c r="A168" s="6"/>
      <c r="B168" s="6" t="s">
        <v>330</v>
      </c>
      <c r="C168" s="6"/>
      <c r="D168" s="6"/>
      <c r="E168" s="6"/>
      <c r="F168" s="6">
        <v>-1</v>
      </c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</row>
    <row r="169" spans="1:23" x14ac:dyDescent="0.3">
      <c r="A169" s="6" t="s">
        <v>2751</v>
      </c>
      <c r="B169" s="6" t="s">
        <v>330</v>
      </c>
      <c r="C169" s="6"/>
      <c r="D169" s="6"/>
      <c r="E169" s="6"/>
      <c r="F169" s="6">
        <v>28</v>
      </c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</row>
    <row r="170" spans="1:23" x14ac:dyDescent="0.3">
      <c r="A170" s="6"/>
      <c r="B170" s="6" t="s">
        <v>330</v>
      </c>
      <c r="C170" s="6"/>
      <c r="D170" s="6"/>
      <c r="E170" s="6"/>
      <c r="F170" s="6">
        <v>-1</v>
      </c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</row>
    <row r="171" spans="1:23" x14ac:dyDescent="0.3">
      <c r="A171" s="6"/>
      <c r="B171" s="6" t="s">
        <v>332</v>
      </c>
      <c r="C171" s="6"/>
      <c r="D171" s="6"/>
      <c r="E171" s="6"/>
      <c r="F171" s="6">
        <v>-1</v>
      </c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</row>
    <row r="172" spans="1:23" x14ac:dyDescent="0.3">
      <c r="A172" s="6"/>
      <c r="B172" s="6" t="s">
        <v>332</v>
      </c>
      <c r="C172" s="6"/>
      <c r="D172" s="6"/>
      <c r="E172" s="6"/>
      <c r="F172" s="6">
        <v>-1</v>
      </c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</row>
    <row r="173" spans="1:23" x14ac:dyDescent="0.3">
      <c r="A173" s="6" t="s">
        <v>3925</v>
      </c>
      <c r="B173" s="6" t="s">
        <v>332</v>
      </c>
      <c r="C173" s="6"/>
      <c r="D173" s="6"/>
      <c r="E173" s="6"/>
      <c r="F173" s="6">
        <v>17</v>
      </c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</row>
    <row r="174" spans="1:23" x14ac:dyDescent="0.3">
      <c r="A174" s="6" t="s">
        <v>2924</v>
      </c>
      <c r="B174" s="6" t="s">
        <v>532</v>
      </c>
      <c r="C174" s="6"/>
      <c r="D174" s="6"/>
      <c r="E174" s="6"/>
      <c r="F174" s="6">
        <v>11</v>
      </c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</row>
    <row r="175" spans="1:23" x14ac:dyDescent="0.3">
      <c r="A175" s="6" t="s">
        <v>2925</v>
      </c>
      <c r="B175" s="6" t="s">
        <v>532</v>
      </c>
      <c r="C175" s="6"/>
      <c r="D175" s="6"/>
      <c r="E175" s="6"/>
      <c r="F175" s="6">
        <v>7</v>
      </c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</row>
    <row r="176" spans="1:23" x14ac:dyDescent="0.3">
      <c r="A176" s="6" t="s">
        <v>2658</v>
      </c>
      <c r="B176" s="6" t="s">
        <v>356</v>
      </c>
      <c r="C176" s="6"/>
      <c r="D176" s="6"/>
      <c r="E176" s="6"/>
      <c r="F176" s="6">
        <v>19</v>
      </c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</row>
    <row r="177" spans="1:23" x14ac:dyDescent="0.3">
      <c r="A177" s="6"/>
      <c r="B177" s="6" t="s">
        <v>356</v>
      </c>
      <c r="C177" s="6"/>
      <c r="D177" s="6"/>
      <c r="E177" s="6"/>
      <c r="F177" s="6">
        <v>-1</v>
      </c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</row>
    <row r="178" spans="1:23" x14ac:dyDescent="0.3">
      <c r="A178" s="6"/>
      <c r="B178" s="6" t="s">
        <v>384</v>
      </c>
      <c r="C178" s="6"/>
      <c r="D178" s="6"/>
      <c r="E178" s="6"/>
      <c r="F178" s="6">
        <v>-1</v>
      </c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</row>
    <row r="179" spans="1:23" x14ac:dyDescent="0.3">
      <c r="A179" s="6" t="s">
        <v>1598</v>
      </c>
      <c r="B179" s="6" t="s">
        <v>596</v>
      </c>
      <c r="C179" s="6"/>
      <c r="D179" s="6"/>
      <c r="E179" s="6"/>
      <c r="F179" s="6">
        <v>18</v>
      </c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</row>
    <row r="180" spans="1:23" x14ac:dyDescent="0.3">
      <c r="A180" s="6" t="s">
        <v>4636</v>
      </c>
      <c r="B180" s="6" t="s">
        <v>600</v>
      </c>
      <c r="C180" s="6"/>
      <c r="D180" s="6"/>
      <c r="E180" s="6"/>
      <c r="F180" s="6">
        <v>35</v>
      </c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</row>
    <row r="181" spans="1:23" x14ac:dyDescent="0.3">
      <c r="A181" s="6"/>
      <c r="B181" s="6" t="s">
        <v>378</v>
      </c>
      <c r="C181" s="6"/>
      <c r="D181" s="6"/>
      <c r="E181" s="6"/>
      <c r="F181" s="6">
        <v>-1</v>
      </c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</row>
    <row r="182" spans="1:23" x14ac:dyDescent="0.3">
      <c r="A182" s="6"/>
      <c r="B182" s="6" t="s">
        <v>474</v>
      </c>
      <c r="C182" s="6"/>
      <c r="D182" s="6"/>
      <c r="E182" s="6"/>
      <c r="F182" s="6">
        <v>-1</v>
      </c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</row>
    <row r="183" spans="1:23" x14ac:dyDescent="0.3">
      <c r="A183" s="6"/>
      <c r="B183" s="6" t="s">
        <v>440</v>
      </c>
      <c r="C183" s="6"/>
      <c r="D183" s="6"/>
      <c r="E183" s="6"/>
      <c r="F183" s="6">
        <v>-1</v>
      </c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</row>
    <row r="184" spans="1:23" x14ac:dyDescent="0.3">
      <c r="A184" s="6"/>
      <c r="B184" s="6" t="s">
        <v>364</v>
      </c>
      <c r="C184" s="6"/>
      <c r="D184" s="6"/>
      <c r="E184" s="6"/>
      <c r="F184" s="6">
        <v>-1</v>
      </c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</row>
    <row r="185" spans="1:23" x14ac:dyDescent="0.3">
      <c r="A185" s="6" t="s">
        <v>3395</v>
      </c>
      <c r="B185" s="6" t="s">
        <v>394</v>
      </c>
      <c r="C185" s="6"/>
      <c r="D185" s="6"/>
      <c r="E185" s="6"/>
      <c r="F185" s="6">
        <v>27</v>
      </c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</row>
    <row r="186" spans="1:23" x14ac:dyDescent="0.3">
      <c r="A186" s="6"/>
      <c r="B186" s="6" t="s">
        <v>672</v>
      </c>
      <c r="C186" s="6"/>
      <c r="D186" s="6"/>
      <c r="E186" s="6"/>
      <c r="F186" s="6">
        <v>-1</v>
      </c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</row>
    <row r="187" spans="1:23" x14ac:dyDescent="0.3">
      <c r="A187" s="6"/>
      <c r="B187" s="6" t="s">
        <v>422</v>
      </c>
      <c r="C187" s="6"/>
      <c r="D187" s="6"/>
      <c r="E187" s="6"/>
      <c r="F187" s="6">
        <v>-1</v>
      </c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</row>
    <row r="188" spans="1:23" x14ac:dyDescent="0.3">
      <c r="A188" s="6"/>
      <c r="B188" s="6" t="s">
        <v>338</v>
      </c>
      <c r="C188" s="6"/>
      <c r="D188" s="6"/>
      <c r="E188" s="6"/>
      <c r="F188" s="6">
        <v>-1</v>
      </c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</row>
    <row r="189" spans="1:23" x14ac:dyDescent="0.3">
      <c r="A189" s="6" t="s">
        <v>4239</v>
      </c>
      <c r="B189" s="6" t="s">
        <v>352</v>
      </c>
      <c r="C189" s="6"/>
      <c r="D189" s="6"/>
      <c r="E189" s="6"/>
      <c r="F189" s="6">
        <v>39</v>
      </c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</row>
    <row r="190" spans="1:23" x14ac:dyDescent="0.3">
      <c r="A190" s="6" t="s">
        <v>2926</v>
      </c>
      <c r="B190" s="6" t="s">
        <v>532</v>
      </c>
      <c r="C190" s="6"/>
      <c r="D190" s="6"/>
      <c r="E190" s="6"/>
      <c r="F190" s="6">
        <v>30</v>
      </c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</row>
    <row r="191" spans="1:23" x14ac:dyDescent="0.3">
      <c r="A191" s="6"/>
      <c r="B191" s="6" t="s">
        <v>442</v>
      </c>
      <c r="C191" s="6"/>
      <c r="D191" s="6"/>
      <c r="E191" s="6"/>
      <c r="F191" s="6">
        <v>-1</v>
      </c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</row>
    <row r="192" spans="1:23" x14ac:dyDescent="0.3">
      <c r="A192" s="6" t="s">
        <v>3000</v>
      </c>
      <c r="B192" s="6" t="s">
        <v>350</v>
      </c>
      <c r="C192" s="6"/>
      <c r="D192" s="6"/>
      <c r="E192" s="6"/>
      <c r="F192" s="6">
        <v>24</v>
      </c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</row>
    <row r="193" spans="1:23" x14ac:dyDescent="0.3">
      <c r="A193" s="6"/>
      <c r="B193" s="6" t="s">
        <v>412</v>
      </c>
      <c r="C193" s="6"/>
      <c r="D193" s="6"/>
      <c r="E193" s="6"/>
      <c r="F193" s="6">
        <v>-1</v>
      </c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</row>
    <row r="194" spans="1:23" x14ac:dyDescent="0.3">
      <c r="A194" s="6"/>
      <c r="B194" s="6" t="s">
        <v>724</v>
      </c>
      <c r="C194" s="6"/>
      <c r="D194" s="6"/>
      <c r="E194" s="6"/>
      <c r="F194" s="6">
        <v>-1</v>
      </c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</row>
    <row r="195" spans="1:23" x14ac:dyDescent="0.3">
      <c r="A195" s="6" t="s">
        <v>2394</v>
      </c>
      <c r="B195" s="6" t="s">
        <v>354</v>
      </c>
      <c r="C195" s="6"/>
      <c r="D195" s="6"/>
      <c r="E195" s="6"/>
      <c r="F195" s="6"/>
      <c r="G195" s="6">
        <v>26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</row>
    <row r="196" spans="1:23" x14ac:dyDescent="0.3">
      <c r="A196" s="6"/>
      <c r="B196" s="6" t="s">
        <v>354</v>
      </c>
      <c r="C196" s="6"/>
      <c r="D196" s="6"/>
      <c r="E196" s="6"/>
      <c r="F196" s="6"/>
      <c r="G196" s="6">
        <v>-1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</row>
    <row r="197" spans="1:23" x14ac:dyDescent="0.3">
      <c r="A197" s="6"/>
      <c r="B197" s="6" t="s">
        <v>354</v>
      </c>
      <c r="C197" s="6"/>
      <c r="D197" s="6"/>
      <c r="E197" s="6"/>
      <c r="F197" s="6"/>
      <c r="G197" s="6">
        <v>-1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</row>
    <row r="198" spans="1:23" x14ac:dyDescent="0.3">
      <c r="A198" s="6" t="s">
        <v>4124</v>
      </c>
      <c r="B198" s="6" t="s">
        <v>402</v>
      </c>
      <c r="C198" s="6"/>
      <c r="D198" s="6"/>
      <c r="E198" s="6"/>
      <c r="F198" s="6"/>
      <c r="G198" s="6">
        <v>10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</row>
    <row r="199" spans="1:23" x14ac:dyDescent="0.3">
      <c r="A199" s="6" t="s">
        <v>1672</v>
      </c>
      <c r="B199" s="6" t="s">
        <v>402</v>
      </c>
      <c r="C199" s="6"/>
      <c r="D199" s="6"/>
      <c r="E199" s="6"/>
      <c r="F199" s="6"/>
      <c r="G199" s="6">
        <v>2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</row>
    <row r="200" spans="1:23" x14ac:dyDescent="0.3">
      <c r="A200" s="6" t="s">
        <v>2918</v>
      </c>
      <c r="B200" s="6" t="s">
        <v>402</v>
      </c>
      <c r="C200" s="6"/>
      <c r="D200" s="6"/>
      <c r="E200" s="6"/>
      <c r="F200" s="6"/>
      <c r="G200" s="6">
        <v>23</v>
      </c>
      <c r="H200" s="6">
        <v>21</v>
      </c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</row>
    <row r="201" spans="1:23" x14ac:dyDescent="0.3">
      <c r="A201" s="6"/>
      <c r="B201" s="6" t="s">
        <v>436</v>
      </c>
      <c r="C201" s="6"/>
      <c r="D201" s="6"/>
      <c r="E201" s="6"/>
      <c r="F201" s="6"/>
      <c r="G201" s="6">
        <v>-1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</row>
    <row r="202" spans="1:23" x14ac:dyDescent="0.3">
      <c r="A202" s="6"/>
      <c r="B202" s="6" t="s">
        <v>436</v>
      </c>
      <c r="C202" s="6"/>
      <c r="D202" s="6"/>
      <c r="E202" s="6"/>
      <c r="F202" s="6"/>
      <c r="G202" s="6">
        <v>-1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</row>
    <row r="203" spans="1:23" x14ac:dyDescent="0.3">
      <c r="A203" s="6"/>
      <c r="B203" s="6" t="s">
        <v>436</v>
      </c>
      <c r="C203" s="6"/>
      <c r="D203" s="6"/>
      <c r="E203" s="6"/>
      <c r="F203" s="6"/>
      <c r="G203" s="6">
        <v>-1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</row>
    <row r="204" spans="1:23" x14ac:dyDescent="0.3">
      <c r="A204" s="6"/>
      <c r="B204" s="6" t="s">
        <v>332</v>
      </c>
      <c r="C204" s="6"/>
      <c r="D204" s="6"/>
      <c r="E204" s="6"/>
      <c r="F204" s="6"/>
      <c r="G204" s="6">
        <v>-1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</row>
    <row r="205" spans="1:23" x14ac:dyDescent="0.3">
      <c r="A205" s="6"/>
      <c r="B205" s="6" t="s">
        <v>332</v>
      </c>
      <c r="C205" s="6"/>
      <c r="D205" s="6"/>
      <c r="E205" s="6"/>
      <c r="F205" s="6"/>
      <c r="G205" s="6">
        <v>-1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</row>
    <row r="206" spans="1:23" x14ac:dyDescent="0.3">
      <c r="A206" s="6"/>
      <c r="B206" s="6" t="s">
        <v>332</v>
      </c>
      <c r="C206" s="6"/>
      <c r="D206" s="6"/>
      <c r="E206" s="6"/>
      <c r="F206" s="6"/>
      <c r="G206" s="6">
        <v>-1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</row>
    <row r="207" spans="1:23" x14ac:dyDescent="0.3">
      <c r="A207" s="6"/>
      <c r="B207" s="6" t="s">
        <v>520</v>
      </c>
      <c r="C207" s="6"/>
      <c r="D207" s="6"/>
      <c r="E207" s="6"/>
      <c r="F207" s="6"/>
      <c r="G207" s="6">
        <v>-1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</row>
    <row r="208" spans="1:23" x14ac:dyDescent="0.3">
      <c r="A208" s="6"/>
      <c r="B208" s="6" t="s">
        <v>520</v>
      </c>
      <c r="C208" s="6"/>
      <c r="D208" s="6"/>
      <c r="E208" s="6"/>
      <c r="F208" s="6"/>
      <c r="G208" s="6">
        <v>-1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</row>
    <row r="209" spans="1:23" x14ac:dyDescent="0.3">
      <c r="A209" s="6"/>
      <c r="B209" s="6" t="s">
        <v>576</v>
      </c>
      <c r="C209" s="6"/>
      <c r="D209" s="6"/>
      <c r="E209" s="6"/>
      <c r="F209" s="6"/>
      <c r="G209" s="6">
        <v>-1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</row>
    <row r="210" spans="1:23" x14ac:dyDescent="0.3">
      <c r="A210" s="6"/>
      <c r="B210" s="6" t="s">
        <v>576</v>
      </c>
      <c r="C210" s="6"/>
      <c r="D210" s="6"/>
      <c r="E210" s="6"/>
      <c r="F210" s="6"/>
      <c r="G210" s="6">
        <v>-1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</row>
    <row r="211" spans="1:23" x14ac:dyDescent="0.3">
      <c r="A211" s="6"/>
      <c r="B211" s="6" t="s">
        <v>344</v>
      </c>
      <c r="C211" s="6"/>
      <c r="D211" s="6"/>
      <c r="E211" s="6"/>
      <c r="F211" s="6"/>
      <c r="G211" s="6">
        <v>-1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</row>
    <row r="212" spans="1:23" x14ac:dyDescent="0.3">
      <c r="A212" s="6"/>
      <c r="B212" s="6" t="s">
        <v>344</v>
      </c>
      <c r="C212" s="6"/>
      <c r="D212" s="6"/>
      <c r="E212" s="6"/>
      <c r="F212" s="6"/>
      <c r="G212" s="6">
        <v>-1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</row>
    <row r="213" spans="1:23" x14ac:dyDescent="0.3">
      <c r="A213" s="6"/>
      <c r="B213" s="6" t="s">
        <v>364</v>
      </c>
      <c r="C213" s="6"/>
      <c r="D213" s="6"/>
      <c r="E213" s="6"/>
      <c r="F213" s="6"/>
      <c r="G213" s="6">
        <v>-1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</row>
    <row r="214" spans="1:23" x14ac:dyDescent="0.3">
      <c r="A214" s="6"/>
      <c r="B214" s="6" t="s">
        <v>364</v>
      </c>
      <c r="C214" s="6"/>
      <c r="D214" s="6"/>
      <c r="E214" s="6"/>
      <c r="F214" s="6"/>
      <c r="G214" s="6">
        <v>-1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</row>
    <row r="215" spans="1:23" x14ac:dyDescent="0.3">
      <c r="A215" s="6" t="s">
        <v>4107</v>
      </c>
      <c r="B215" s="6" t="s">
        <v>330</v>
      </c>
      <c r="C215" s="6"/>
      <c r="D215" s="6"/>
      <c r="E215" s="6"/>
      <c r="F215" s="6"/>
      <c r="G215" s="6">
        <v>40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</row>
    <row r="216" spans="1:23" x14ac:dyDescent="0.3">
      <c r="A216" s="6"/>
      <c r="B216" s="6" t="s">
        <v>330</v>
      </c>
      <c r="C216" s="6"/>
      <c r="D216" s="6"/>
      <c r="E216" s="6"/>
      <c r="F216" s="6"/>
      <c r="G216" s="6">
        <v>-1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</row>
    <row r="217" spans="1:23" x14ac:dyDescent="0.3">
      <c r="A217" s="6"/>
      <c r="B217" s="6" t="s">
        <v>474</v>
      </c>
      <c r="C217" s="6"/>
      <c r="D217" s="6"/>
      <c r="E217" s="6"/>
      <c r="F217" s="6"/>
      <c r="G217" s="6">
        <v>-1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</row>
    <row r="218" spans="1:23" x14ac:dyDescent="0.3">
      <c r="A218" s="6"/>
      <c r="B218" s="6" t="s">
        <v>384</v>
      </c>
      <c r="C218" s="6"/>
      <c r="D218" s="6"/>
      <c r="E218" s="6"/>
      <c r="F218" s="6"/>
      <c r="G218" s="6">
        <v>-1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</row>
    <row r="219" spans="1:23" x14ac:dyDescent="0.3">
      <c r="A219" s="6" t="s">
        <v>4648</v>
      </c>
      <c r="B219" s="6" t="s">
        <v>334</v>
      </c>
      <c r="C219" s="6"/>
      <c r="D219" s="6"/>
      <c r="E219" s="6"/>
      <c r="F219" s="6"/>
      <c r="G219" s="6">
        <v>18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</row>
    <row r="220" spans="1:23" x14ac:dyDescent="0.3">
      <c r="A220" s="6"/>
      <c r="B220" s="6" t="s">
        <v>596</v>
      </c>
      <c r="C220" s="6"/>
      <c r="D220" s="6"/>
      <c r="E220" s="6"/>
      <c r="F220" s="6"/>
      <c r="G220" s="6">
        <v>-1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</row>
    <row r="221" spans="1:23" x14ac:dyDescent="0.3">
      <c r="A221" s="6"/>
      <c r="B221" s="6" t="s">
        <v>356</v>
      </c>
      <c r="C221" s="6"/>
      <c r="D221" s="6"/>
      <c r="E221" s="6"/>
      <c r="F221" s="6"/>
      <c r="G221" s="6">
        <v>-1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</row>
    <row r="222" spans="1:23" x14ac:dyDescent="0.3">
      <c r="A222" s="6"/>
      <c r="B222" s="6" t="s">
        <v>378</v>
      </c>
      <c r="C222" s="6"/>
      <c r="D222" s="6"/>
      <c r="E222" s="6"/>
      <c r="F222" s="6"/>
      <c r="G222" s="6">
        <v>-1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</row>
    <row r="223" spans="1:23" x14ac:dyDescent="0.3">
      <c r="A223" s="6"/>
      <c r="B223" s="6" t="s">
        <v>412</v>
      </c>
      <c r="C223" s="6"/>
      <c r="D223" s="6"/>
      <c r="E223" s="6"/>
      <c r="F223" s="6"/>
      <c r="G223" s="6">
        <v>-1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</row>
    <row r="224" spans="1:23" x14ac:dyDescent="0.3">
      <c r="A224" s="6"/>
      <c r="B224" s="6" t="s">
        <v>346</v>
      </c>
      <c r="C224" s="6"/>
      <c r="D224" s="6"/>
      <c r="E224" s="6"/>
      <c r="F224" s="6"/>
      <c r="G224" s="6">
        <v>-1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</row>
    <row r="225" spans="1:23" x14ac:dyDescent="0.3">
      <c r="A225" s="6"/>
      <c r="B225" s="6" t="s">
        <v>422</v>
      </c>
      <c r="C225" s="6"/>
      <c r="D225" s="6"/>
      <c r="E225" s="6"/>
      <c r="F225" s="6"/>
      <c r="G225" s="6">
        <v>-1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</row>
    <row r="226" spans="1:23" x14ac:dyDescent="0.3">
      <c r="A226" s="6" t="s">
        <v>1627</v>
      </c>
      <c r="B226" s="6" t="s">
        <v>596</v>
      </c>
      <c r="C226" s="6"/>
      <c r="D226" s="6"/>
      <c r="E226" s="6"/>
      <c r="F226" s="6"/>
      <c r="G226" s="6">
        <v>16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</row>
    <row r="227" spans="1:23" x14ac:dyDescent="0.3">
      <c r="A227" s="6" t="s">
        <v>1636</v>
      </c>
      <c r="B227" s="6" t="s">
        <v>596</v>
      </c>
      <c r="C227" s="6"/>
      <c r="D227" s="6"/>
      <c r="E227" s="6"/>
      <c r="F227" s="6"/>
      <c r="G227" s="6">
        <v>35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</row>
    <row r="228" spans="1:23" x14ac:dyDescent="0.3">
      <c r="A228" s="6"/>
      <c r="B228" s="6" t="s">
        <v>356</v>
      </c>
      <c r="C228" s="6"/>
      <c r="D228" s="6"/>
      <c r="E228" s="6"/>
      <c r="F228" s="6"/>
      <c r="G228" s="6">
        <v>-1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</row>
    <row r="229" spans="1:23" x14ac:dyDescent="0.3">
      <c r="A229" s="6"/>
      <c r="B229" s="6" t="s">
        <v>356</v>
      </c>
      <c r="C229" s="6"/>
      <c r="D229" s="6"/>
      <c r="E229" s="6"/>
      <c r="F229" s="6"/>
      <c r="G229" s="6">
        <v>-1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</row>
    <row r="230" spans="1:23" x14ac:dyDescent="0.3">
      <c r="A230" s="6" t="s">
        <v>3918</v>
      </c>
      <c r="B230" s="6" t="s">
        <v>358</v>
      </c>
      <c r="C230" s="6"/>
      <c r="D230" s="6"/>
      <c r="E230" s="6"/>
      <c r="F230" s="6"/>
      <c r="G230" s="6">
        <v>42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</row>
    <row r="231" spans="1:23" x14ac:dyDescent="0.3">
      <c r="A231" s="6" t="s">
        <v>2562</v>
      </c>
      <c r="B231" s="6" t="s">
        <v>384</v>
      </c>
      <c r="C231" s="6"/>
      <c r="D231" s="6"/>
      <c r="E231" s="6"/>
      <c r="F231" s="6"/>
      <c r="G231" s="6">
        <v>32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</row>
    <row r="232" spans="1:23" x14ac:dyDescent="0.3">
      <c r="A232" s="6"/>
      <c r="B232" s="6" t="s">
        <v>576</v>
      </c>
      <c r="C232" s="6"/>
      <c r="D232" s="6"/>
      <c r="E232" s="6"/>
      <c r="F232" s="6"/>
      <c r="G232" s="6">
        <v>-1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</row>
    <row r="233" spans="1:23" x14ac:dyDescent="0.3">
      <c r="A233" s="6"/>
      <c r="B233" s="6" t="s">
        <v>334</v>
      </c>
      <c r="C233" s="6"/>
      <c r="D233" s="6"/>
      <c r="E233" s="6"/>
      <c r="F233" s="6"/>
      <c r="G233" s="6">
        <v>-1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</row>
    <row r="234" spans="1:23" x14ac:dyDescent="0.3">
      <c r="A234" s="6"/>
      <c r="B234" s="6" t="s">
        <v>412</v>
      </c>
      <c r="C234" s="6"/>
      <c r="D234" s="6"/>
      <c r="E234" s="6"/>
      <c r="F234" s="6"/>
      <c r="G234" s="6">
        <v>-1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</row>
    <row r="235" spans="1:23" x14ac:dyDescent="0.3">
      <c r="A235" s="6"/>
      <c r="B235" s="6" t="s">
        <v>422</v>
      </c>
      <c r="C235" s="6"/>
      <c r="D235" s="6"/>
      <c r="E235" s="6"/>
      <c r="F235" s="6"/>
      <c r="G235" s="6">
        <v>-1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</row>
    <row r="236" spans="1:23" x14ac:dyDescent="0.3">
      <c r="A236" s="6"/>
      <c r="B236" s="6" t="s">
        <v>330</v>
      </c>
      <c r="C236" s="6"/>
      <c r="D236" s="6"/>
      <c r="E236" s="6"/>
      <c r="F236" s="6"/>
      <c r="G236" s="6">
        <v>-1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</row>
    <row r="237" spans="1:23" x14ac:dyDescent="0.3">
      <c r="A237" s="6"/>
      <c r="B237" s="6" t="s">
        <v>338</v>
      </c>
      <c r="C237" s="6"/>
      <c r="D237" s="6"/>
      <c r="E237" s="6"/>
      <c r="F237" s="6"/>
      <c r="G237" s="6">
        <v>-1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</row>
    <row r="238" spans="1:23" x14ac:dyDescent="0.3">
      <c r="A238" s="6"/>
      <c r="B238" s="6" t="s">
        <v>394</v>
      </c>
      <c r="C238" s="6"/>
      <c r="D238" s="6"/>
      <c r="E238" s="6"/>
      <c r="F238" s="6"/>
      <c r="G238" s="6">
        <v>-1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</row>
    <row r="239" spans="1:23" x14ac:dyDescent="0.3">
      <c r="A239" s="6"/>
      <c r="B239" s="6" t="s">
        <v>394</v>
      </c>
      <c r="C239" s="6"/>
      <c r="D239" s="6"/>
      <c r="E239" s="6"/>
      <c r="F239" s="6"/>
      <c r="G239" s="6">
        <v>-1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</row>
    <row r="240" spans="1:23" x14ac:dyDescent="0.3">
      <c r="A240" s="6" t="s">
        <v>3278</v>
      </c>
      <c r="B240" s="6" t="s">
        <v>576</v>
      </c>
      <c r="C240" s="6"/>
      <c r="D240" s="6"/>
      <c r="E240" s="6"/>
      <c r="F240" s="6"/>
      <c r="G240" s="6"/>
      <c r="H240" s="6">
        <v>5</v>
      </c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</row>
    <row r="241" spans="1:23" x14ac:dyDescent="0.3">
      <c r="A241" s="6" t="s">
        <v>3281</v>
      </c>
      <c r="B241" s="6" t="s">
        <v>576</v>
      </c>
      <c r="C241" s="6"/>
      <c r="D241" s="6"/>
      <c r="E241" s="6"/>
      <c r="F241" s="6"/>
      <c r="G241" s="6"/>
      <c r="H241" s="6">
        <v>6</v>
      </c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</row>
    <row r="242" spans="1:23" x14ac:dyDescent="0.3">
      <c r="A242" s="6"/>
      <c r="B242" s="6" t="s">
        <v>576</v>
      </c>
      <c r="C242" s="6"/>
      <c r="D242" s="6"/>
      <c r="E242" s="6"/>
      <c r="F242" s="6"/>
      <c r="G242" s="6"/>
      <c r="H242" s="6">
        <v>-1</v>
      </c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</row>
    <row r="243" spans="1:23" x14ac:dyDescent="0.3">
      <c r="A243" s="6"/>
      <c r="B243" s="6" t="s">
        <v>344</v>
      </c>
      <c r="C243" s="6"/>
      <c r="D243" s="6"/>
      <c r="E243" s="6"/>
      <c r="F243" s="6"/>
      <c r="G243" s="6"/>
      <c r="H243" s="6">
        <v>-1</v>
      </c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</row>
    <row r="244" spans="1:23" x14ac:dyDescent="0.3">
      <c r="A244" s="6"/>
      <c r="B244" s="6" t="s">
        <v>344</v>
      </c>
      <c r="C244" s="6"/>
      <c r="D244" s="6"/>
      <c r="E244" s="6"/>
      <c r="F244" s="6"/>
      <c r="G244" s="6"/>
      <c r="H244" s="6">
        <v>-1</v>
      </c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</row>
    <row r="245" spans="1:23" x14ac:dyDescent="0.3">
      <c r="A245" s="6" t="s">
        <v>3271</v>
      </c>
      <c r="B245" s="6" t="s">
        <v>344</v>
      </c>
      <c r="C245" s="6"/>
      <c r="D245" s="6"/>
      <c r="E245" s="6"/>
      <c r="F245" s="6"/>
      <c r="G245" s="6"/>
      <c r="H245" s="6">
        <v>12</v>
      </c>
      <c r="I245" s="6">
        <v>1001</v>
      </c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</row>
    <row r="246" spans="1:23" x14ac:dyDescent="0.3">
      <c r="A246" s="6"/>
      <c r="B246" s="6" t="s">
        <v>402</v>
      </c>
      <c r="C246" s="6"/>
      <c r="D246" s="6"/>
      <c r="E246" s="6"/>
      <c r="F246" s="6"/>
      <c r="G246" s="6"/>
      <c r="H246" s="6">
        <v>-1</v>
      </c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</row>
    <row r="247" spans="1:23" x14ac:dyDescent="0.3">
      <c r="A247" s="6" t="s">
        <v>4642</v>
      </c>
      <c r="B247" s="6" t="s">
        <v>402</v>
      </c>
      <c r="C247" s="6"/>
      <c r="D247" s="6"/>
      <c r="E247" s="6"/>
      <c r="F247" s="6"/>
      <c r="G247" s="6"/>
      <c r="H247" s="6">
        <v>31</v>
      </c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</row>
    <row r="248" spans="1:23" x14ac:dyDescent="0.3">
      <c r="A248" s="6"/>
      <c r="B248" s="6" t="s">
        <v>436</v>
      </c>
      <c r="C248" s="6"/>
      <c r="D248" s="6"/>
      <c r="E248" s="6"/>
      <c r="F248" s="6"/>
      <c r="G248" s="6"/>
      <c r="H248" s="6">
        <v>-1</v>
      </c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</row>
    <row r="249" spans="1:23" x14ac:dyDescent="0.3">
      <c r="A249" s="6"/>
      <c r="B249" s="6" t="s">
        <v>436</v>
      </c>
      <c r="C249" s="6"/>
      <c r="D249" s="6"/>
      <c r="E249" s="6"/>
      <c r="F249" s="6"/>
      <c r="G249" s="6"/>
      <c r="H249" s="6">
        <v>-1</v>
      </c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</row>
    <row r="250" spans="1:23" x14ac:dyDescent="0.3">
      <c r="A250" s="6"/>
      <c r="B250" s="6" t="s">
        <v>436</v>
      </c>
      <c r="C250" s="6"/>
      <c r="D250" s="6"/>
      <c r="E250" s="6"/>
      <c r="F250" s="6"/>
      <c r="G250" s="6"/>
      <c r="H250" s="6">
        <v>-1</v>
      </c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</row>
    <row r="251" spans="1:23" x14ac:dyDescent="0.3">
      <c r="A251" s="6"/>
      <c r="B251" s="6" t="s">
        <v>724</v>
      </c>
      <c r="C251" s="6"/>
      <c r="D251" s="6"/>
      <c r="E251" s="6"/>
      <c r="F251" s="6"/>
      <c r="G251" s="6"/>
      <c r="H251" s="6">
        <v>-1</v>
      </c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</row>
    <row r="252" spans="1:23" x14ac:dyDescent="0.3">
      <c r="A252" s="6"/>
      <c r="B252" s="6" t="s">
        <v>724</v>
      </c>
      <c r="C252" s="6"/>
      <c r="D252" s="6"/>
      <c r="E252" s="6"/>
      <c r="F252" s="6"/>
      <c r="G252" s="6"/>
      <c r="H252" s="6">
        <v>-1</v>
      </c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</row>
    <row r="253" spans="1:23" x14ac:dyDescent="0.3">
      <c r="A253" s="6"/>
      <c r="B253" s="6" t="s">
        <v>724</v>
      </c>
      <c r="C253" s="6"/>
      <c r="D253" s="6"/>
      <c r="E253" s="6"/>
      <c r="F253" s="6"/>
      <c r="G253" s="6"/>
      <c r="H253" s="6">
        <v>-1</v>
      </c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</row>
    <row r="254" spans="1:23" x14ac:dyDescent="0.3">
      <c r="A254" s="6"/>
      <c r="B254" s="6" t="s">
        <v>332</v>
      </c>
      <c r="C254" s="6"/>
      <c r="D254" s="6"/>
      <c r="E254" s="6"/>
      <c r="F254" s="6"/>
      <c r="G254" s="6"/>
      <c r="H254" s="6">
        <v>-1</v>
      </c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</row>
    <row r="255" spans="1:23" x14ac:dyDescent="0.3">
      <c r="A255" s="6" t="s">
        <v>2152</v>
      </c>
      <c r="B255" s="6" t="s">
        <v>332</v>
      </c>
      <c r="C255" s="6"/>
      <c r="D255" s="6"/>
      <c r="E255" s="6"/>
      <c r="F255" s="6"/>
      <c r="G255" s="6"/>
      <c r="H255" s="6">
        <v>3</v>
      </c>
      <c r="I255" s="6">
        <v>3</v>
      </c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</row>
    <row r="256" spans="1:23" x14ac:dyDescent="0.3">
      <c r="A256" s="6" t="s">
        <v>2747</v>
      </c>
      <c r="B256" s="6" t="s">
        <v>332</v>
      </c>
      <c r="C256" s="6"/>
      <c r="D256" s="6"/>
      <c r="E256" s="6"/>
      <c r="F256" s="6"/>
      <c r="G256" s="6"/>
      <c r="H256" s="6">
        <v>37</v>
      </c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</row>
    <row r="257" spans="1:23" x14ac:dyDescent="0.3">
      <c r="A257" s="6" t="s">
        <v>2417</v>
      </c>
      <c r="B257" s="6" t="s">
        <v>354</v>
      </c>
      <c r="C257" s="6"/>
      <c r="D257" s="6"/>
      <c r="E257" s="6"/>
      <c r="F257" s="6"/>
      <c r="G257" s="6"/>
      <c r="H257" s="6">
        <v>23</v>
      </c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</row>
    <row r="258" spans="1:23" x14ac:dyDescent="0.3">
      <c r="A258" s="6"/>
      <c r="B258" s="6" t="s">
        <v>354</v>
      </c>
      <c r="C258" s="6"/>
      <c r="D258" s="6"/>
      <c r="E258" s="6"/>
      <c r="F258" s="6"/>
      <c r="G258" s="6"/>
      <c r="H258" s="6">
        <v>-1</v>
      </c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</row>
    <row r="259" spans="1:23" x14ac:dyDescent="0.3">
      <c r="A259" s="6"/>
      <c r="B259" s="6" t="s">
        <v>520</v>
      </c>
      <c r="C259" s="6"/>
      <c r="D259" s="6"/>
      <c r="E259" s="6"/>
      <c r="F259" s="6"/>
      <c r="G259" s="6"/>
      <c r="H259" s="6">
        <v>-1</v>
      </c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</row>
    <row r="260" spans="1:23" x14ac:dyDescent="0.3">
      <c r="A260" s="6" t="s">
        <v>1712</v>
      </c>
      <c r="B260" s="6" t="s">
        <v>520</v>
      </c>
      <c r="C260" s="6"/>
      <c r="D260" s="6"/>
      <c r="E260" s="6"/>
      <c r="F260" s="6"/>
      <c r="G260" s="6"/>
      <c r="H260" s="6">
        <v>8</v>
      </c>
      <c r="I260" s="6">
        <v>18</v>
      </c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</row>
    <row r="261" spans="1:23" x14ac:dyDescent="0.3">
      <c r="A261" s="6"/>
      <c r="B261" s="6" t="s">
        <v>384</v>
      </c>
      <c r="C261" s="6"/>
      <c r="D261" s="6"/>
      <c r="E261" s="6"/>
      <c r="F261" s="6"/>
      <c r="G261" s="6"/>
      <c r="H261" s="6">
        <v>-1</v>
      </c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</row>
    <row r="262" spans="1:23" x14ac:dyDescent="0.3">
      <c r="A262" s="6"/>
      <c r="B262" s="6" t="s">
        <v>384</v>
      </c>
      <c r="C262" s="6"/>
      <c r="D262" s="6"/>
      <c r="E262" s="6"/>
      <c r="F262" s="6"/>
      <c r="G262" s="6"/>
      <c r="H262" s="6">
        <v>-1</v>
      </c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</row>
    <row r="263" spans="1:23" x14ac:dyDescent="0.3">
      <c r="A263" s="6"/>
      <c r="B263" s="6" t="s">
        <v>484</v>
      </c>
      <c r="C263" s="6"/>
      <c r="D263" s="6"/>
      <c r="E263" s="6"/>
      <c r="F263" s="6"/>
      <c r="G263" s="6"/>
      <c r="H263" s="6">
        <v>-1</v>
      </c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</row>
    <row r="264" spans="1:23" x14ac:dyDescent="0.3">
      <c r="A264" s="6" t="s">
        <v>1418</v>
      </c>
      <c r="B264" s="6" t="s">
        <v>484</v>
      </c>
      <c r="C264" s="6"/>
      <c r="D264" s="6"/>
      <c r="E264" s="6"/>
      <c r="F264" s="6"/>
      <c r="G264" s="6"/>
      <c r="H264" s="6">
        <v>34</v>
      </c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</row>
    <row r="265" spans="1:23" x14ac:dyDescent="0.3">
      <c r="A265" s="6" t="s">
        <v>1372</v>
      </c>
      <c r="B265" s="6" t="s">
        <v>512</v>
      </c>
      <c r="C265" s="6"/>
      <c r="D265" s="6"/>
      <c r="E265" s="6"/>
      <c r="F265" s="6"/>
      <c r="G265" s="6"/>
      <c r="H265" s="6">
        <v>24</v>
      </c>
      <c r="I265" s="6">
        <v>16</v>
      </c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</row>
    <row r="266" spans="1:23" x14ac:dyDescent="0.3">
      <c r="A266" s="6"/>
      <c r="B266" s="6" t="s">
        <v>540</v>
      </c>
      <c r="C266" s="6"/>
      <c r="D266" s="6"/>
      <c r="E266" s="6"/>
      <c r="F266" s="6"/>
      <c r="G266" s="6"/>
      <c r="H266" s="6">
        <v>-1</v>
      </c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</row>
    <row r="267" spans="1:23" x14ac:dyDescent="0.3">
      <c r="A267" s="6" t="s">
        <v>3280</v>
      </c>
      <c r="B267" s="6" t="s">
        <v>570</v>
      </c>
      <c r="C267" s="6"/>
      <c r="D267" s="6"/>
      <c r="E267" s="6"/>
      <c r="F267" s="6"/>
      <c r="G267" s="6"/>
      <c r="H267" s="6">
        <v>39</v>
      </c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</row>
    <row r="268" spans="1:23" x14ac:dyDescent="0.3">
      <c r="A268" s="6"/>
      <c r="B268" s="6" t="s">
        <v>418</v>
      </c>
      <c r="C268" s="6"/>
      <c r="D268" s="6"/>
      <c r="E268" s="6"/>
      <c r="F268" s="6"/>
      <c r="G268" s="6"/>
      <c r="H268" s="6">
        <v>-1</v>
      </c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</row>
    <row r="269" spans="1:23" x14ac:dyDescent="0.3">
      <c r="A269" s="6" t="s">
        <v>1629</v>
      </c>
      <c r="B269" s="6" t="s">
        <v>596</v>
      </c>
      <c r="C269" s="6"/>
      <c r="D269" s="6"/>
      <c r="E269" s="6"/>
      <c r="F269" s="6"/>
      <c r="G269" s="6"/>
      <c r="H269" s="6">
        <v>26</v>
      </c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</row>
    <row r="270" spans="1:23" x14ac:dyDescent="0.3">
      <c r="A270" s="6"/>
      <c r="B270" s="6" t="s">
        <v>330</v>
      </c>
      <c r="C270" s="6"/>
      <c r="D270" s="6"/>
      <c r="E270" s="6"/>
      <c r="F270" s="6"/>
      <c r="G270" s="6"/>
      <c r="H270" s="6">
        <v>-1</v>
      </c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</row>
    <row r="271" spans="1:23" x14ac:dyDescent="0.3">
      <c r="A271" s="6"/>
      <c r="B271" s="6" t="s">
        <v>338</v>
      </c>
      <c r="C271" s="6"/>
      <c r="D271" s="6"/>
      <c r="E271" s="6"/>
      <c r="F271" s="6"/>
      <c r="G271" s="6"/>
      <c r="H271" s="6">
        <v>-1</v>
      </c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</row>
    <row r="272" spans="1:23" x14ac:dyDescent="0.3">
      <c r="A272" s="6"/>
      <c r="B272" s="6" t="s">
        <v>364</v>
      </c>
      <c r="C272" s="6"/>
      <c r="D272" s="6"/>
      <c r="E272" s="6"/>
      <c r="F272" s="6"/>
      <c r="G272" s="6"/>
      <c r="H272" s="6">
        <v>-1</v>
      </c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</row>
    <row r="273" spans="1:23" x14ac:dyDescent="0.3">
      <c r="A273" s="6"/>
      <c r="B273" s="6" t="s">
        <v>364</v>
      </c>
      <c r="C273" s="6"/>
      <c r="D273" s="6"/>
      <c r="E273" s="6"/>
      <c r="F273" s="6"/>
      <c r="G273" s="6"/>
      <c r="H273" s="6">
        <v>-1</v>
      </c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</row>
    <row r="274" spans="1:23" x14ac:dyDescent="0.3">
      <c r="A274" s="6"/>
      <c r="B274" s="6" t="s">
        <v>384</v>
      </c>
      <c r="C274" s="6"/>
      <c r="D274" s="6"/>
      <c r="E274" s="6"/>
      <c r="F274" s="6"/>
      <c r="G274" s="6"/>
      <c r="H274" s="6">
        <v>-1</v>
      </c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</row>
    <row r="275" spans="1:23" x14ac:dyDescent="0.3">
      <c r="A275" s="6"/>
      <c r="B275" s="6" t="s">
        <v>412</v>
      </c>
      <c r="C275" s="6"/>
      <c r="D275" s="6"/>
      <c r="E275" s="6"/>
      <c r="F275" s="6"/>
      <c r="G275" s="6"/>
      <c r="H275" s="6">
        <v>-1</v>
      </c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</row>
    <row r="276" spans="1:23" x14ac:dyDescent="0.3">
      <c r="A276" s="6"/>
      <c r="B276" s="6" t="s">
        <v>330</v>
      </c>
      <c r="C276" s="6"/>
      <c r="D276" s="6"/>
      <c r="E276" s="6"/>
      <c r="F276" s="6"/>
      <c r="G276" s="6"/>
      <c r="H276" s="6">
        <v>-1</v>
      </c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</row>
    <row r="277" spans="1:23" x14ac:dyDescent="0.3">
      <c r="A277" s="6"/>
      <c r="B277" s="6" t="s">
        <v>410</v>
      </c>
      <c r="C277" s="6"/>
      <c r="D277" s="6"/>
      <c r="E277" s="6"/>
      <c r="F277" s="6"/>
      <c r="G277" s="6"/>
      <c r="H277" s="6">
        <v>-1</v>
      </c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</row>
    <row r="278" spans="1:23" x14ac:dyDescent="0.3">
      <c r="A278" s="6"/>
      <c r="B278" s="6" t="s">
        <v>570</v>
      </c>
      <c r="C278" s="6"/>
      <c r="D278" s="6"/>
      <c r="E278" s="6"/>
      <c r="F278" s="6"/>
      <c r="G278" s="6"/>
      <c r="H278" s="6">
        <v>-1</v>
      </c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</row>
    <row r="279" spans="1:23" x14ac:dyDescent="0.3">
      <c r="A279" s="6" t="s">
        <v>3912</v>
      </c>
      <c r="B279" s="6" t="s">
        <v>690</v>
      </c>
      <c r="C279" s="6"/>
      <c r="D279" s="6"/>
      <c r="E279" s="6"/>
      <c r="F279" s="6"/>
      <c r="G279" s="6"/>
      <c r="H279" s="6">
        <v>36</v>
      </c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</row>
    <row r="280" spans="1:23" x14ac:dyDescent="0.3">
      <c r="A280" s="6"/>
      <c r="B280" s="6" t="s">
        <v>444</v>
      </c>
      <c r="C280" s="6"/>
      <c r="D280" s="6"/>
      <c r="E280" s="6"/>
      <c r="F280" s="6"/>
      <c r="G280" s="6"/>
      <c r="H280" s="6">
        <v>-1</v>
      </c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</row>
    <row r="281" spans="1:23" x14ac:dyDescent="0.3">
      <c r="A281" s="6" t="s">
        <v>3275</v>
      </c>
      <c r="B281" s="6" t="s">
        <v>576</v>
      </c>
      <c r="C281" s="6"/>
      <c r="D281" s="6"/>
      <c r="E281" s="6"/>
      <c r="F281" s="6"/>
      <c r="G281" s="6"/>
      <c r="H281" s="6"/>
      <c r="I281" s="6">
        <v>2</v>
      </c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</row>
    <row r="282" spans="1:23" x14ac:dyDescent="0.3">
      <c r="A282" s="6" t="s">
        <v>3276</v>
      </c>
      <c r="B282" s="6" t="s">
        <v>576</v>
      </c>
      <c r="C282" s="6"/>
      <c r="D282" s="6"/>
      <c r="E282" s="6"/>
      <c r="F282" s="6"/>
      <c r="G282" s="6"/>
      <c r="H282" s="6"/>
      <c r="I282" s="6">
        <v>6</v>
      </c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</row>
    <row r="283" spans="1:23" x14ac:dyDescent="0.3">
      <c r="A283" s="6"/>
      <c r="B283" s="6" t="s">
        <v>576</v>
      </c>
      <c r="C283" s="6"/>
      <c r="D283" s="6"/>
      <c r="E283" s="6"/>
      <c r="F283" s="6"/>
      <c r="G283" s="6"/>
      <c r="H283" s="6"/>
      <c r="I283" s="6">
        <v>-1</v>
      </c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</row>
    <row r="284" spans="1:23" x14ac:dyDescent="0.3">
      <c r="A284" s="6"/>
      <c r="B284" s="6" t="s">
        <v>436</v>
      </c>
      <c r="C284" s="6"/>
      <c r="D284" s="6"/>
      <c r="E284" s="6"/>
      <c r="F284" s="6"/>
      <c r="G284" s="6"/>
      <c r="H284" s="6"/>
      <c r="I284" s="6">
        <v>-1</v>
      </c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</row>
    <row r="285" spans="1:23" x14ac:dyDescent="0.3">
      <c r="A285" s="6" t="s">
        <v>1713</v>
      </c>
      <c r="B285" s="6" t="s">
        <v>436</v>
      </c>
      <c r="C285" s="6"/>
      <c r="D285" s="6"/>
      <c r="E285" s="6"/>
      <c r="F285" s="6"/>
      <c r="G285" s="6"/>
      <c r="H285" s="6"/>
      <c r="I285" s="6">
        <v>13</v>
      </c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</row>
    <row r="286" spans="1:23" x14ac:dyDescent="0.3">
      <c r="A286" s="6"/>
      <c r="B286" s="6" t="s">
        <v>436</v>
      </c>
      <c r="C286" s="6"/>
      <c r="D286" s="6"/>
      <c r="E286" s="6"/>
      <c r="F286" s="6"/>
      <c r="G286" s="6"/>
      <c r="H286" s="6"/>
      <c r="I286" s="6">
        <v>-1</v>
      </c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</row>
    <row r="287" spans="1:23" x14ac:dyDescent="0.3">
      <c r="A287" s="6" t="s">
        <v>4192</v>
      </c>
      <c r="B287" s="6" t="s">
        <v>332</v>
      </c>
      <c r="C287" s="6"/>
      <c r="D287" s="6"/>
      <c r="E287" s="6"/>
      <c r="F287" s="6"/>
      <c r="G287" s="6"/>
      <c r="H287" s="6"/>
      <c r="I287" s="6">
        <v>15</v>
      </c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</row>
    <row r="288" spans="1:23" x14ac:dyDescent="0.3">
      <c r="A288" s="6" t="s">
        <v>2089</v>
      </c>
      <c r="B288" s="6" t="s">
        <v>332</v>
      </c>
      <c r="C288" s="6"/>
      <c r="D288" s="6"/>
      <c r="E288" s="6"/>
      <c r="F288" s="6"/>
      <c r="G288" s="6"/>
      <c r="H288" s="6"/>
      <c r="I288" s="6">
        <v>11</v>
      </c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</row>
    <row r="289" spans="1:23" x14ac:dyDescent="0.3">
      <c r="A289" s="6"/>
      <c r="B289" s="6" t="s">
        <v>570</v>
      </c>
      <c r="C289" s="6"/>
      <c r="D289" s="6"/>
      <c r="E289" s="6"/>
      <c r="F289" s="6"/>
      <c r="G289" s="6"/>
      <c r="H289" s="6"/>
      <c r="I289" s="6">
        <v>-1</v>
      </c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</row>
    <row r="290" spans="1:23" x14ac:dyDescent="0.3">
      <c r="A290" s="6" t="s">
        <v>4606</v>
      </c>
      <c r="B290" s="6" t="s">
        <v>724</v>
      </c>
      <c r="C290" s="6"/>
      <c r="D290" s="6"/>
      <c r="E290" s="6"/>
      <c r="F290" s="6"/>
      <c r="G290" s="6"/>
      <c r="H290" s="6"/>
      <c r="I290" s="6">
        <v>1</v>
      </c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</row>
    <row r="291" spans="1:23" x14ac:dyDescent="0.3">
      <c r="A291" s="6" t="s">
        <v>4608</v>
      </c>
      <c r="B291" s="6" t="s">
        <v>724</v>
      </c>
      <c r="C291" s="6"/>
      <c r="D291" s="6"/>
      <c r="E291" s="6"/>
      <c r="F291" s="6"/>
      <c r="G291" s="6"/>
      <c r="H291" s="6"/>
      <c r="I291" s="6">
        <v>7</v>
      </c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</row>
    <row r="292" spans="1:23" x14ac:dyDescent="0.3">
      <c r="A292" s="6"/>
      <c r="B292" s="6" t="s">
        <v>384</v>
      </c>
      <c r="C292" s="6"/>
      <c r="D292" s="6"/>
      <c r="E292" s="6"/>
      <c r="F292" s="6"/>
      <c r="G292" s="6"/>
      <c r="H292" s="6"/>
      <c r="I292" s="6">
        <v>-1</v>
      </c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</row>
    <row r="293" spans="1:23" x14ac:dyDescent="0.3">
      <c r="A293" s="6"/>
      <c r="B293" s="6" t="s">
        <v>422</v>
      </c>
      <c r="C293" s="6"/>
      <c r="D293" s="6"/>
      <c r="E293" s="6"/>
      <c r="F293" s="6"/>
      <c r="G293" s="6"/>
      <c r="H293" s="6"/>
      <c r="I293" s="6">
        <v>-1</v>
      </c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</row>
    <row r="294" spans="1:23" x14ac:dyDescent="0.3">
      <c r="A294" s="6"/>
      <c r="B294" s="6" t="s">
        <v>540</v>
      </c>
      <c r="C294" s="6"/>
      <c r="D294" s="6"/>
      <c r="E294" s="6"/>
      <c r="F294" s="6"/>
      <c r="G294" s="6"/>
      <c r="H294" s="6"/>
      <c r="I294" s="6">
        <v>-1</v>
      </c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</row>
    <row r="295" spans="1:23" x14ac:dyDescent="0.3">
      <c r="A295" s="6"/>
      <c r="B295" s="6" t="s">
        <v>540</v>
      </c>
      <c r="C295" s="6"/>
      <c r="D295" s="6"/>
      <c r="E295" s="6"/>
      <c r="F295" s="6"/>
      <c r="G295" s="6"/>
      <c r="H295" s="6"/>
      <c r="I295" s="6">
        <v>-1</v>
      </c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</row>
    <row r="296" spans="1:23" x14ac:dyDescent="0.3">
      <c r="A296" s="6"/>
      <c r="B296" s="6" t="s">
        <v>330</v>
      </c>
      <c r="C296" s="6"/>
      <c r="D296" s="6"/>
      <c r="E296" s="6"/>
      <c r="F296" s="6"/>
      <c r="G296" s="6"/>
      <c r="H296" s="6"/>
      <c r="I296" s="6">
        <v>-1</v>
      </c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</row>
    <row r="297" spans="1:23" x14ac:dyDescent="0.3">
      <c r="A297" s="6"/>
      <c r="B297" s="6" t="s">
        <v>330</v>
      </c>
      <c r="C297" s="6"/>
      <c r="D297" s="6"/>
      <c r="E297" s="6"/>
      <c r="F297" s="6"/>
      <c r="G297" s="6"/>
      <c r="H297" s="6"/>
      <c r="I297" s="6">
        <v>-1</v>
      </c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</row>
    <row r="298" spans="1:23" x14ac:dyDescent="0.3">
      <c r="A298" s="6"/>
      <c r="B298" s="6" t="s">
        <v>676</v>
      </c>
      <c r="C298" s="6"/>
      <c r="D298" s="6"/>
      <c r="E298" s="6"/>
      <c r="F298" s="6"/>
      <c r="G298" s="6"/>
      <c r="H298" s="6"/>
      <c r="I298" s="6">
        <v>-1</v>
      </c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</row>
    <row r="299" spans="1:23" x14ac:dyDescent="0.3">
      <c r="A299" s="6"/>
      <c r="B299" s="6" t="s">
        <v>724</v>
      </c>
      <c r="C299" s="6"/>
      <c r="D299" s="6"/>
      <c r="E299" s="6"/>
      <c r="F299" s="6"/>
      <c r="G299" s="6"/>
      <c r="H299" s="6"/>
      <c r="I299" s="6">
        <v>-1</v>
      </c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</row>
    <row r="300" spans="1:23" x14ac:dyDescent="0.3">
      <c r="A300" s="6"/>
      <c r="B300" s="6" t="s">
        <v>344</v>
      </c>
      <c r="C300" s="6"/>
      <c r="D300" s="6"/>
      <c r="E300" s="6"/>
      <c r="F300" s="6"/>
      <c r="G300" s="6"/>
      <c r="H300" s="6"/>
      <c r="I300" s="6">
        <v>-1</v>
      </c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</row>
    <row r="301" spans="1:23" x14ac:dyDescent="0.3">
      <c r="A301" s="6" t="s">
        <v>3746</v>
      </c>
      <c r="B301" s="6" t="s">
        <v>428</v>
      </c>
      <c r="C301" s="6"/>
      <c r="D301" s="6"/>
      <c r="E301" s="6"/>
      <c r="F301" s="6"/>
      <c r="G301" s="6"/>
      <c r="H301" s="6"/>
      <c r="I301" s="6">
        <v>23</v>
      </c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</row>
    <row r="302" spans="1:23" x14ac:dyDescent="0.3">
      <c r="A302" s="6" t="s">
        <v>3329</v>
      </c>
      <c r="B302" s="6" t="s">
        <v>428</v>
      </c>
      <c r="C302" s="6"/>
      <c r="D302" s="6"/>
      <c r="E302" s="6"/>
      <c r="F302" s="6"/>
      <c r="G302" s="6"/>
      <c r="H302" s="6"/>
      <c r="I302" s="6">
        <v>19</v>
      </c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</row>
    <row r="303" spans="1:23" x14ac:dyDescent="0.3">
      <c r="A303" s="6" t="s">
        <v>3722</v>
      </c>
      <c r="B303" s="6" t="s">
        <v>344</v>
      </c>
      <c r="C303" s="6"/>
      <c r="D303" s="6"/>
      <c r="E303" s="6"/>
      <c r="F303" s="6"/>
      <c r="G303" s="6"/>
      <c r="H303" s="6"/>
      <c r="I303" s="6"/>
      <c r="J303" s="6">
        <v>23</v>
      </c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</row>
    <row r="304" spans="1:23" x14ac:dyDescent="0.3">
      <c r="A304" s="6"/>
      <c r="B304" s="6" t="s">
        <v>344</v>
      </c>
      <c r="C304" s="6"/>
      <c r="D304" s="6"/>
      <c r="E304" s="6"/>
      <c r="F304" s="6"/>
      <c r="G304" s="6"/>
      <c r="H304" s="6"/>
      <c r="I304" s="6"/>
      <c r="J304" s="6">
        <v>-1</v>
      </c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</row>
    <row r="305" spans="1:23" x14ac:dyDescent="0.3">
      <c r="A305" s="6" t="s">
        <v>1264</v>
      </c>
      <c r="B305" s="6" t="s">
        <v>344</v>
      </c>
      <c r="C305" s="6"/>
      <c r="D305" s="6"/>
      <c r="E305" s="6"/>
      <c r="F305" s="6"/>
      <c r="G305" s="6"/>
      <c r="H305" s="6"/>
      <c r="I305" s="6"/>
      <c r="J305" s="6">
        <v>11</v>
      </c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</row>
    <row r="306" spans="1:23" x14ac:dyDescent="0.3">
      <c r="A306" s="6"/>
      <c r="B306" s="6" t="s">
        <v>600</v>
      </c>
      <c r="C306" s="6"/>
      <c r="D306" s="6"/>
      <c r="E306" s="6"/>
      <c r="F306" s="6"/>
      <c r="G306" s="6"/>
      <c r="H306" s="6"/>
      <c r="I306" s="6"/>
      <c r="J306" s="6">
        <v>-1</v>
      </c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</row>
    <row r="307" spans="1:23" x14ac:dyDescent="0.3">
      <c r="A307" s="6"/>
      <c r="B307" s="6" t="s">
        <v>600</v>
      </c>
      <c r="C307" s="6"/>
      <c r="D307" s="6"/>
      <c r="E307" s="6"/>
      <c r="F307" s="6"/>
      <c r="G307" s="6"/>
      <c r="H307" s="6"/>
      <c r="I307" s="6"/>
      <c r="J307" s="6">
        <v>-1</v>
      </c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</row>
    <row r="308" spans="1:23" x14ac:dyDescent="0.3">
      <c r="A308" s="6"/>
      <c r="B308" s="6" t="s">
        <v>600</v>
      </c>
      <c r="C308" s="6"/>
      <c r="D308" s="6"/>
      <c r="E308" s="6"/>
      <c r="F308" s="6"/>
      <c r="G308" s="6"/>
      <c r="H308" s="6"/>
      <c r="I308" s="6"/>
      <c r="J308" s="6">
        <v>-1</v>
      </c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</row>
    <row r="309" spans="1:23" x14ac:dyDescent="0.3">
      <c r="A309" s="6" t="s">
        <v>3920</v>
      </c>
      <c r="B309" s="6" t="s">
        <v>332</v>
      </c>
      <c r="C309" s="6"/>
      <c r="D309" s="6"/>
      <c r="E309" s="6"/>
      <c r="F309" s="6"/>
      <c r="G309" s="6"/>
      <c r="H309" s="6"/>
      <c r="I309" s="6"/>
      <c r="J309" s="6">
        <v>6</v>
      </c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</row>
    <row r="310" spans="1:23" x14ac:dyDescent="0.3">
      <c r="A310" s="6"/>
      <c r="B310" s="6" t="s">
        <v>332</v>
      </c>
      <c r="C310" s="6"/>
      <c r="D310" s="6"/>
      <c r="E310" s="6"/>
      <c r="F310" s="6"/>
      <c r="G310" s="6"/>
      <c r="H310" s="6"/>
      <c r="I310" s="6"/>
      <c r="J310" s="6">
        <v>-1</v>
      </c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</row>
    <row r="311" spans="1:23" x14ac:dyDescent="0.3">
      <c r="A311" s="6"/>
      <c r="B311" s="6" t="s">
        <v>332</v>
      </c>
      <c r="C311" s="6"/>
      <c r="D311" s="6"/>
      <c r="E311" s="6"/>
      <c r="F311" s="6"/>
      <c r="G311" s="6"/>
      <c r="H311" s="6"/>
      <c r="I311" s="6"/>
      <c r="J311" s="6">
        <v>-1</v>
      </c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</row>
    <row r="312" spans="1:23" x14ac:dyDescent="0.3">
      <c r="A312" s="6"/>
      <c r="B312" s="6" t="s">
        <v>336</v>
      </c>
      <c r="C312" s="6"/>
      <c r="D312" s="6"/>
      <c r="E312" s="6"/>
      <c r="F312" s="6"/>
      <c r="G312" s="6"/>
      <c r="H312" s="6"/>
      <c r="I312" s="6"/>
      <c r="J312" s="6">
        <v>-1</v>
      </c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</row>
    <row r="313" spans="1:23" x14ac:dyDescent="0.3">
      <c r="A313" s="6" t="s">
        <v>3055</v>
      </c>
      <c r="B313" s="6" t="s">
        <v>336</v>
      </c>
      <c r="C313" s="6"/>
      <c r="D313" s="6"/>
      <c r="E313" s="6"/>
      <c r="F313" s="6"/>
      <c r="G313" s="6"/>
      <c r="H313" s="6"/>
      <c r="I313" s="6"/>
      <c r="J313" s="6">
        <v>20</v>
      </c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</row>
    <row r="314" spans="1:23" x14ac:dyDescent="0.3">
      <c r="A314" s="6"/>
      <c r="B314" s="6" t="s">
        <v>428</v>
      </c>
      <c r="C314" s="6"/>
      <c r="D314" s="6"/>
      <c r="E314" s="6"/>
      <c r="F314" s="6"/>
      <c r="G314" s="6"/>
      <c r="H314" s="6"/>
      <c r="I314" s="6"/>
      <c r="J314" s="6">
        <v>-1</v>
      </c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</row>
    <row r="315" spans="1:23" x14ac:dyDescent="0.3">
      <c r="A315" s="6" t="s">
        <v>4063</v>
      </c>
      <c r="B315" s="6" t="s">
        <v>428</v>
      </c>
      <c r="C315" s="6"/>
      <c r="D315" s="6"/>
      <c r="E315" s="6"/>
      <c r="F315" s="6"/>
      <c r="G315" s="6"/>
      <c r="H315" s="6"/>
      <c r="I315" s="6"/>
      <c r="J315" s="6">
        <v>5</v>
      </c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</row>
    <row r="316" spans="1:23" x14ac:dyDescent="0.3">
      <c r="A316" s="6"/>
      <c r="B316" s="6" t="s">
        <v>394</v>
      </c>
      <c r="C316" s="6"/>
      <c r="D316" s="6"/>
      <c r="E316" s="6"/>
      <c r="F316" s="6"/>
      <c r="G316" s="6"/>
      <c r="H316" s="6"/>
      <c r="I316" s="6"/>
      <c r="J316" s="6">
        <v>-1</v>
      </c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</row>
    <row r="317" spans="1:23" x14ac:dyDescent="0.3">
      <c r="A317" s="6" t="s">
        <v>3364</v>
      </c>
      <c r="B317" s="6" t="s">
        <v>394</v>
      </c>
      <c r="C317" s="6"/>
      <c r="D317" s="6"/>
      <c r="E317" s="6"/>
      <c r="F317" s="6"/>
      <c r="G317" s="6"/>
      <c r="H317" s="6"/>
      <c r="I317" s="6"/>
      <c r="J317" s="6">
        <v>31</v>
      </c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</row>
    <row r="318" spans="1:23" x14ac:dyDescent="0.3">
      <c r="A318" s="6" t="s">
        <v>1502</v>
      </c>
      <c r="B318" s="6" t="s">
        <v>402</v>
      </c>
      <c r="C318" s="6"/>
      <c r="D318" s="6"/>
      <c r="E318" s="6"/>
      <c r="F318" s="6"/>
      <c r="G318" s="6"/>
      <c r="H318" s="6"/>
      <c r="I318" s="6"/>
      <c r="J318" s="6">
        <v>21</v>
      </c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</row>
    <row r="319" spans="1:23" x14ac:dyDescent="0.3">
      <c r="A319" s="6"/>
      <c r="B319" s="6" t="s">
        <v>520</v>
      </c>
      <c r="C319" s="6"/>
      <c r="D319" s="6"/>
      <c r="E319" s="6"/>
      <c r="F319" s="6"/>
      <c r="G319" s="6"/>
      <c r="H319" s="6"/>
      <c r="I319" s="6"/>
      <c r="J319" s="6">
        <v>-1</v>
      </c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</row>
    <row r="320" spans="1:23" x14ac:dyDescent="0.3">
      <c r="A320" s="6"/>
      <c r="B320" s="6" t="s">
        <v>328</v>
      </c>
      <c r="C320" s="6"/>
      <c r="D320" s="6"/>
      <c r="E320" s="6"/>
      <c r="F320" s="6"/>
      <c r="G320" s="6"/>
      <c r="H320" s="6"/>
      <c r="I320" s="6"/>
      <c r="J320" s="6">
        <v>-1</v>
      </c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</row>
    <row r="321" spans="1:23" x14ac:dyDescent="0.3">
      <c r="A321" s="6" t="s">
        <v>2521</v>
      </c>
      <c r="B321" s="6" t="s">
        <v>356</v>
      </c>
      <c r="C321" s="6"/>
      <c r="D321" s="6"/>
      <c r="E321" s="6"/>
      <c r="F321" s="6"/>
      <c r="G321" s="6"/>
      <c r="H321" s="6"/>
      <c r="I321" s="6"/>
      <c r="J321" s="6">
        <v>15</v>
      </c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</row>
    <row r="322" spans="1:23" x14ac:dyDescent="0.3">
      <c r="A322" s="6"/>
      <c r="B322" s="6" t="s">
        <v>688</v>
      </c>
      <c r="C322" s="6"/>
      <c r="D322" s="6"/>
      <c r="E322" s="6"/>
      <c r="F322" s="6"/>
      <c r="G322" s="6"/>
      <c r="H322" s="6"/>
      <c r="I322" s="6"/>
      <c r="J322" s="6">
        <v>-1</v>
      </c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</row>
    <row r="323" spans="1:23" x14ac:dyDescent="0.3">
      <c r="A323" s="6" t="s">
        <v>2876</v>
      </c>
      <c r="B323" s="6" t="s">
        <v>330</v>
      </c>
      <c r="C323" s="6"/>
      <c r="D323" s="6"/>
      <c r="E323" s="6"/>
      <c r="F323" s="6"/>
      <c r="G323" s="6"/>
      <c r="H323" s="6"/>
      <c r="I323" s="6"/>
      <c r="J323" s="6">
        <v>4</v>
      </c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</row>
    <row r="324" spans="1:23" x14ac:dyDescent="0.3">
      <c r="A324" s="6"/>
      <c r="B324" s="6" t="s">
        <v>444</v>
      </c>
      <c r="C324" s="6"/>
      <c r="D324" s="6"/>
      <c r="E324" s="6"/>
      <c r="F324" s="6"/>
      <c r="G324" s="6"/>
      <c r="H324" s="6"/>
      <c r="I324" s="6"/>
      <c r="J324" s="6">
        <v>-1</v>
      </c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</row>
    <row r="325" spans="1:23" x14ac:dyDescent="0.3">
      <c r="A325" s="6"/>
      <c r="B325" s="6" t="s">
        <v>328</v>
      </c>
      <c r="C325" s="6"/>
      <c r="D325" s="6"/>
      <c r="E325" s="6"/>
      <c r="F325" s="6"/>
      <c r="G325" s="6"/>
      <c r="H325" s="6"/>
      <c r="I325" s="6"/>
      <c r="J325" s="6">
        <v>-1</v>
      </c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</row>
    <row r="326" spans="1:23" x14ac:dyDescent="0.3">
      <c r="A326" s="6"/>
      <c r="B326" s="6" t="s">
        <v>328</v>
      </c>
      <c r="C326" s="6"/>
      <c r="D326" s="6"/>
      <c r="E326" s="6"/>
      <c r="F326" s="6"/>
      <c r="G326" s="6"/>
      <c r="H326" s="6"/>
      <c r="I326" s="6"/>
      <c r="J326" s="6">
        <v>-1</v>
      </c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</row>
    <row r="327" spans="1:23" x14ac:dyDescent="0.3">
      <c r="A327" s="6" t="s">
        <v>4764</v>
      </c>
      <c r="B327" s="6" t="s">
        <v>380</v>
      </c>
      <c r="C327" s="6"/>
      <c r="D327" s="6"/>
      <c r="E327" s="6"/>
      <c r="F327" s="6"/>
      <c r="G327" s="6"/>
      <c r="H327" s="6"/>
      <c r="I327" s="6"/>
      <c r="J327" s="6">
        <v>27</v>
      </c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</row>
    <row r="328" spans="1:23" x14ac:dyDescent="0.3">
      <c r="A328" s="6"/>
      <c r="B328" s="6" t="s">
        <v>354</v>
      </c>
      <c r="C328" s="6"/>
      <c r="D328" s="6"/>
      <c r="E328" s="6"/>
      <c r="F328" s="6"/>
      <c r="G328" s="6"/>
      <c r="H328" s="6"/>
      <c r="I328" s="6"/>
      <c r="J328" s="6">
        <v>-1</v>
      </c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</row>
    <row r="329" spans="1:23" x14ac:dyDescent="0.3">
      <c r="A329" s="6" t="s">
        <v>1788</v>
      </c>
      <c r="B329" s="6" t="s">
        <v>358</v>
      </c>
      <c r="C329" s="6"/>
      <c r="D329" s="6"/>
      <c r="E329" s="6"/>
      <c r="F329" s="6"/>
      <c r="G329" s="6"/>
      <c r="H329" s="6"/>
      <c r="I329" s="6"/>
      <c r="J329" s="6">
        <v>29</v>
      </c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</row>
    <row r="330" spans="1:23" x14ac:dyDescent="0.3">
      <c r="A330" s="6"/>
      <c r="B330" s="6" t="s">
        <v>510</v>
      </c>
      <c r="C330" s="6"/>
      <c r="D330" s="6"/>
      <c r="E330" s="6"/>
      <c r="F330" s="6"/>
      <c r="G330" s="6"/>
      <c r="H330" s="6"/>
      <c r="I330" s="6"/>
      <c r="J330" s="6">
        <v>-1</v>
      </c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</row>
    <row r="331" spans="1:23" x14ac:dyDescent="0.3">
      <c r="A331" s="6"/>
      <c r="B331" s="6" t="s">
        <v>520</v>
      </c>
      <c r="C331" s="6"/>
      <c r="D331" s="6"/>
      <c r="E331" s="6"/>
      <c r="F331" s="6"/>
      <c r="G331" s="6"/>
      <c r="H331" s="6"/>
      <c r="I331" s="6"/>
      <c r="J331" s="6">
        <v>-1</v>
      </c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</row>
    <row r="332" spans="1:23" x14ac:dyDescent="0.3">
      <c r="A332" s="6" t="s">
        <v>3962</v>
      </c>
      <c r="B332" s="6" t="s">
        <v>366</v>
      </c>
      <c r="C332" s="6"/>
      <c r="D332" s="6"/>
      <c r="E332" s="6"/>
      <c r="F332" s="6"/>
      <c r="G332" s="6"/>
      <c r="H332" s="6"/>
      <c r="I332" s="6"/>
      <c r="J332" s="6">
        <v>36</v>
      </c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</row>
    <row r="333" spans="1:23" x14ac:dyDescent="0.3">
      <c r="A333" s="6" t="s">
        <v>4026</v>
      </c>
      <c r="B333" s="6" t="s">
        <v>560</v>
      </c>
      <c r="C333" s="6"/>
      <c r="D333" s="6"/>
      <c r="E333" s="6"/>
      <c r="F333" s="6"/>
      <c r="G333" s="6"/>
      <c r="H333" s="6"/>
      <c r="I333" s="6"/>
      <c r="J333" s="6">
        <v>9</v>
      </c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</row>
    <row r="334" spans="1:23" x14ac:dyDescent="0.3">
      <c r="A334" s="6" t="s">
        <v>4264</v>
      </c>
      <c r="B334" s="6" t="s">
        <v>372</v>
      </c>
      <c r="C334" s="6"/>
      <c r="D334" s="6"/>
      <c r="E334" s="6"/>
      <c r="F334" s="6"/>
      <c r="G334" s="6"/>
      <c r="H334" s="6"/>
      <c r="I334" s="6"/>
      <c r="J334" s="6">
        <v>35</v>
      </c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</row>
    <row r="335" spans="1:23" x14ac:dyDescent="0.3">
      <c r="A335" s="6"/>
      <c r="B335" s="6" t="s">
        <v>428</v>
      </c>
      <c r="C335" s="6"/>
      <c r="D335" s="6"/>
      <c r="E335" s="6"/>
      <c r="F335" s="6"/>
      <c r="G335" s="6"/>
      <c r="H335" s="6"/>
      <c r="I335" s="6"/>
      <c r="J335" s="6">
        <v>-1</v>
      </c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</row>
    <row r="336" spans="1:23" x14ac:dyDescent="0.3">
      <c r="A336" s="6"/>
      <c r="B336" s="6" t="s">
        <v>604</v>
      </c>
      <c r="C336" s="6"/>
      <c r="D336" s="6"/>
      <c r="E336" s="6"/>
      <c r="F336" s="6"/>
      <c r="G336" s="6"/>
      <c r="H336" s="6"/>
      <c r="I336" s="6"/>
      <c r="J336" s="6">
        <v>-1</v>
      </c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</row>
    <row r="337" spans="1:23" x14ac:dyDescent="0.3">
      <c r="A337" s="6"/>
      <c r="B337" s="6" t="s">
        <v>494</v>
      </c>
      <c r="C337" s="6"/>
      <c r="D337" s="6"/>
      <c r="E337" s="6"/>
      <c r="F337" s="6"/>
      <c r="G337" s="6"/>
      <c r="H337" s="6"/>
      <c r="I337" s="6"/>
      <c r="J337" s="6">
        <v>-1</v>
      </c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</row>
    <row r="338" spans="1:23" x14ac:dyDescent="0.3">
      <c r="A338" s="6"/>
      <c r="B338" s="6" t="s">
        <v>670</v>
      </c>
      <c r="C338" s="6"/>
      <c r="D338" s="6"/>
      <c r="E338" s="6"/>
      <c r="F338" s="6"/>
      <c r="G338" s="6"/>
      <c r="H338" s="6"/>
      <c r="I338" s="6"/>
      <c r="J338" s="6">
        <v>-1</v>
      </c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</row>
    <row r="339" spans="1:23" x14ac:dyDescent="0.3">
      <c r="A339" s="6" t="s">
        <v>4880</v>
      </c>
      <c r="B339" s="6" t="s">
        <v>330</v>
      </c>
      <c r="C339" s="6"/>
      <c r="D339" s="6"/>
      <c r="E339" s="6"/>
      <c r="F339" s="6"/>
      <c r="G339" s="6"/>
      <c r="H339" s="6"/>
      <c r="I339" s="6"/>
      <c r="J339" s="6">
        <v>13</v>
      </c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</row>
    <row r="340" spans="1:23" x14ac:dyDescent="0.3">
      <c r="A340" s="6"/>
      <c r="B340" s="6" t="s">
        <v>384</v>
      </c>
      <c r="C340" s="6"/>
      <c r="D340" s="6"/>
      <c r="E340" s="6"/>
      <c r="F340" s="6"/>
      <c r="G340" s="6"/>
      <c r="H340" s="6"/>
      <c r="I340" s="6"/>
      <c r="J340" s="6">
        <v>-1</v>
      </c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</row>
    <row r="341" spans="1:23" x14ac:dyDescent="0.3">
      <c r="A341" s="6"/>
      <c r="B341" s="6" t="s">
        <v>334</v>
      </c>
      <c r="C341" s="6"/>
      <c r="D341" s="6"/>
      <c r="E341" s="6"/>
      <c r="F341" s="6"/>
      <c r="G341" s="6"/>
      <c r="H341" s="6"/>
      <c r="I341" s="6"/>
      <c r="J341" s="6">
        <v>-1</v>
      </c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</row>
    <row r="342" spans="1:23" x14ac:dyDescent="0.3">
      <c r="A342" s="6"/>
      <c r="B342" s="6" t="s">
        <v>394</v>
      </c>
      <c r="C342" s="6"/>
      <c r="D342" s="6"/>
      <c r="E342" s="6"/>
      <c r="F342" s="6"/>
      <c r="G342" s="6"/>
      <c r="H342" s="6"/>
      <c r="I342" s="6"/>
      <c r="J342" s="6">
        <v>-1</v>
      </c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</row>
    <row r="343" spans="1:23" x14ac:dyDescent="0.3">
      <c r="A343" s="6"/>
      <c r="B343" s="6" t="s">
        <v>334</v>
      </c>
      <c r="C343" s="6"/>
      <c r="D343" s="6"/>
      <c r="E343" s="6"/>
      <c r="F343" s="6"/>
      <c r="G343" s="6"/>
      <c r="H343" s="6"/>
      <c r="I343" s="6"/>
      <c r="J343" s="6"/>
      <c r="K343" s="6">
        <v>-1</v>
      </c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</row>
    <row r="344" spans="1:23" x14ac:dyDescent="0.3">
      <c r="A344" s="6"/>
      <c r="B344" s="6" t="s">
        <v>334</v>
      </c>
      <c r="C344" s="6"/>
      <c r="D344" s="6"/>
      <c r="E344" s="6"/>
      <c r="F344" s="6"/>
      <c r="G344" s="6"/>
      <c r="H344" s="6"/>
      <c r="I344" s="6"/>
      <c r="J344" s="6"/>
      <c r="K344" s="6">
        <v>-1</v>
      </c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</row>
    <row r="345" spans="1:23" x14ac:dyDescent="0.3">
      <c r="A345" s="6"/>
      <c r="B345" s="6" t="s">
        <v>334</v>
      </c>
      <c r="C345" s="6"/>
      <c r="D345" s="6"/>
      <c r="E345" s="6"/>
      <c r="F345" s="6"/>
      <c r="G345" s="6"/>
      <c r="H345" s="6"/>
      <c r="I345" s="6"/>
      <c r="J345" s="6"/>
      <c r="K345" s="6">
        <v>-1</v>
      </c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</row>
    <row r="346" spans="1:23" x14ac:dyDescent="0.3">
      <c r="A346" s="6"/>
      <c r="B346" s="6" t="s">
        <v>600</v>
      </c>
      <c r="C346" s="6"/>
      <c r="D346" s="6"/>
      <c r="E346" s="6"/>
      <c r="F346" s="6"/>
      <c r="G346" s="6"/>
      <c r="H346" s="6"/>
      <c r="I346" s="6"/>
      <c r="J346" s="6"/>
      <c r="K346" s="6">
        <v>-1</v>
      </c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</row>
    <row r="347" spans="1:23" x14ac:dyDescent="0.3">
      <c r="A347" s="6"/>
      <c r="B347" s="6" t="s">
        <v>600</v>
      </c>
      <c r="C347" s="6"/>
      <c r="D347" s="6"/>
      <c r="E347" s="6"/>
      <c r="F347" s="6"/>
      <c r="G347" s="6"/>
      <c r="H347" s="6"/>
      <c r="I347" s="6"/>
      <c r="J347" s="6"/>
      <c r="K347" s="6">
        <v>-1</v>
      </c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</row>
    <row r="348" spans="1:23" x14ac:dyDescent="0.3">
      <c r="A348" s="6"/>
      <c r="B348" s="6" t="s">
        <v>600</v>
      </c>
      <c r="C348" s="6"/>
      <c r="D348" s="6"/>
      <c r="E348" s="6"/>
      <c r="F348" s="6"/>
      <c r="G348" s="6"/>
      <c r="H348" s="6"/>
      <c r="I348" s="6"/>
      <c r="J348" s="6"/>
      <c r="K348" s="6">
        <v>-1</v>
      </c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</row>
    <row r="349" spans="1:23" x14ac:dyDescent="0.3">
      <c r="A349" s="6" t="s">
        <v>3333</v>
      </c>
      <c r="B349" s="6" t="s">
        <v>428</v>
      </c>
      <c r="C349" s="6"/>
      <c r="D349" s="6"/>
      <c r="E349" s="6"/>
      <c r="F349" s="6"/>
      <c r="G349" s="6"/>
      <c r="H349" s="6"/>
      <c r="I349" s="6"/>
      <c r="J349" s="6"/>
      <c r="K349" s="6">
        <v>30</v>
      </c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</row>
    <row r="350" spans="1:23" x14ac:dyDescent="0.3">
      <c r="A350" s="6" t="s">
        <v>4083</v>
      </c>
      <c r="B350" s="6" t="s">
        <v>428</v>
      </c>
      <c r="C350" s="6"/>
      <c r="D350" s="6"/>
      <c r="E350" s="6"/>
      <c r="F350" s="6"/>
      <c r="G350" s="6"/>
      <c r="H350" s="6"/>
      <c r="I350" s="6"/>
      <c r="J350" s="6"/>
      <c r="K350" s="6">
        <v>35</v>
      </c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</row>
    <row r="351" spans="1:23" x14ac:dyDescent="0.3">
      <c r="A351" s="6" t="s">
        <v>3321</v>
      </c>
      <c r="B351" s="6" t="s">
        <v>428</v>
      </c>
      <c r="C351" s="6"/>
      <c r="D351" s="6"/>
      <c r="E351" s="6"/>
      <c r="F351" s="6"/>
      <c r="G351" s="6"/>
      <c r="H351" s="6"/>
      <c r="I351" s="6"/>
      <c r="J351" s="6"/>
      <c r="K351" s="6">
        <v>35</v>
      </c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</row>
    <row r="352" spans="1:23" x14ac:dyDescent="0.3">
      <c r="A352" s="6"/>
      <c r="B352" s="6" t="s">
        <v>672</v>
      </c>
      <c r="C352" s="6"/>
      <c r="D352" s="6"/>
      <c r="E352" s="6"/>
      <c r="F352" s="6"/>
      <c r="G352" s="6"/>
      <c r="H352" s="6"/>
      <c r="I352" s="6"/>
      <c r="J352" s="6"/>
      <c r="K352" s="6">
        <v>-1</v>
      </c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</row>
    <row r="353" spans="1:23" x14ac:dyDescent="0.3">
      <c r="A353" s="6"/>
      <c r="B353" s="6" t="s">
        <v>672</v>
      </c>
      <c r="C353" s="6"/>
      <c r="D353" s="6"/>
      <c r="E353" s="6"/>
      <c r="F353" s="6"/>
      <c r="G353" s="6"/>
      <c r="H353" s="6"/>
      <c r="I353" s="6"/>
      <c r="J353" s="6"/>
      <c r="K353" s="6">
        <v>-1</v>
      </c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</row>
    <row r="354" spans="1:23" x14ac:dyDescent="0.3">
      <c r="A354" s="6"/>
      <c r="B354" s="6" t="s">
        <v>672</v>
      </c>
      <c r="C354" s="6"/>
      <c r="D354" s="6"/>
      <c r="E354" s="6"/>
      <c r="F354" s="6"/>
      <c r="G354" s="6"/>
      <c r="H354" s="6"/>
      <c r="I354" s="6"/>
      <c r="J354" s="6"/>
      <c r="K354" s="6">
        <v>-1</v>
      </c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</row>
    <row r="355" spans="1:23" x14ac:dyDescent="0.3">
      <c r="A355" s="6"/>
      <c r="B355" s="6" t="s">
        <v>332</v>
      </c>
      <c r="C355" s="6"/>
      <c r="D355" s="6"/>
      <c r="E355" s="6"/>
      <c r="F355" s="6"/>
      <c r="G355" s="6"/>
      <c r="H355" s="6"/>
      <c r="I355" s="6"/>
      <c r="J355" s="6"/>
      <c r="K355" s="6">
        <v>-1</v>
      </c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</row>
    <row r="356" spans="1:23" x14ac:dyDescent="0.3">
      <c r="A356" s="6"/>
      <c r="B356" s="6" t="s">
        <v>332</v>
      </c>
      <c r="C356" s="6"/>
      <c r="D356" s="6"/>
      <c r="E356" s="6"/>
      <c r="F356" s="6"/>
      <c r="G356" s="6"/>
      <c r="H356" s="6"/>
      <c r="I356" s="6"/>
      <c r="J356" s="6"/>
      <c r="K356" s="6">
        <v>-1</v>
      </c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</row>
    <row r="357" spans="1:23" x14ac:dyDescent="0.3">
      <c r="A357" s="6"/>
      <c r="B357" s="6" t="s">
        <v>332</v>
      </c>
      <c r="C357" s="6"/>
      <c r="D357" s="6"/>
      <c r="E357" s="6"/>
      <c r="F357" s="6"/>
      <c r="G357" s="6"/>
      <c r="H357" s="6"/>
      <c r="I357" s="6"/>
      <c r="J357" s="6"/>
      <c r="K357" s="6">
        <v>-1</v>
      </c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</row>
    <row r="358" spans="1:23" x14ac:dyDescent="0.3">
      <c r="A358" s="6"/>
      <c r="B358" s="6" t="s">
        <v>344</v>
      </c>
      <c r="C358" s="6"/>
      <c r="D358" s="6"/>
      <c r="E358" s="6"/>
      <c r="F358" s="6"/>
      <c r="G358" s="6"/>
      <c r="H358" s="6"/>
      <c r="I358" s="6"/>
      <c r="J358" s="6"/>
      <c r="K358" s="6">
        <v>-1</v>
      </c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</row>
    <row r="359" spans="1:23" x14ac:dyDescent="0.3">
      <c r="A359" s="6"/>
      <c r="B359" s="6" t="s">
        <v>344</v>
      </c>
      <c r="C359" s="6"/>
      <c r="D359" s="6"/>
      <c r="E359" s="6"/>
      <c r="F359" s="6"/>
      <c r="G359" s="6"/>
      <c r="H359" s="6"/>
      <c r="I359" s="6"/>
      <c r="J359" s="6"/>
      <c r="K359" s="6">
        <v>-1</v>
      </c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</row>
    <row r="360" spans="1:23" x14ac:dyDescent="0.3">
      <c r="A360" s="6" t="s">
        <v>1682</v>
      </c>
      <c r="B360" s="6" t="s">
        <v>344</v>
      </c>
      <c r="C360" s="6"/>
      <c r="D360" s="6"/>
      <c r="E360" s="6"/>
      <c r="F360" s="6"/>
      <c r="G360" s="6"/>
      <c r="H360" s="6"/>
      <c r="I360" s="6"/>
      <c r="J360" s="6"/>
      <c r="K360" s="6">
        <v>4</v>
      </c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</row>
    <row r="361" spans="1:23" x14ac:dyDescent="0.3">
      <c r="A361" s="6" t="s">
        <v>3058</v>
      </c>
      <c r="B361" s="6" t="s">
        <v>336</v>
      </c>
      <c r="C361" s="6"/>
      <c r="D361" s="6"/>
      <c r="E361" s="6"/>
      <c r="F361" s="6"/>
      <c r="G361" s="6"/>
      <c r="H361" s="6"/>
      <c r="I361" s="6"/>
      <c r="J361" s="6"/>
      <c r="K361" s="6">
        <v>3</v>
      </c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</row>
    <row r="362" spans="1:23" x14ac:dyDescent="0.3">
      <c r="A362" s="6"/>
      <c r="B362" s="6" t="s">
        <v>336</v>
      </c>
      <c r="C362" s="6"/>
      <c r="D362" s="6"/>
      <c r="E362" s="6"/>
      <c r="F362" s="6"/>
      <c r="G362" s="6"/>
      <c r="H362" s="6"/>
      <c r="I362" s="6"/>
      <c r="J362" s="6"/>
      <c r="K362" s="6">
        <v>-1</v>
      </c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</row>
    <row r="363" spans="1:23" x14ac:dyDescent="0.3">
      <c r="A363" s="6"/>
      <c r="B363" s="6" t="s">
        <v>338</v>
      </c>
      <c r="C363" s="6"/>
      <c r="D363" s="6"/>
      <c r="E363" s="6"/>
      <c r="F363" s="6"/>
      <c r="G363" s="6"/>
      <c r="H363" s="6"/>
      <c r="I363" s="6"/>
      <c r="J363" s="6"/>
      <c r="K363" s="6">
        <v>-1</v>
      </c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</row>
    <row r="364" spans="1:23" x14ac:dyDescent="0.3">
      <c r="A364" s="6" t="s">
        <v>3147</v>
      </c>
      <c r="B364" s="6" t="s">
        <v>338</v>
      </c>
      <c r="C364" s="6"/>
      <c r="D364" s="6"/>
      <c r="E364" s="6"/>
      <c r="F364" s="6"/>
      <c r="G364" s="6"/>
      <c r="H364" s="6"/>
      <c r="I364" s="6"/>
      <c r="J364" s="6"/>
      <c r="K364" s="6">
        <v>27</v>
      </c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</row>
    <row r="365" spans="1:23" x14ac:dyDescent="0.3">
      <c r="A365" s="6" t="s">
        <v>1956</v>
      </c>
      <c r="B365" s="6" t="s">
        <v>718</v>
      </c>
      <c r="C365" s="6"/>
      <c r="D365" s="6"/>
      <c r="E365" s="6"/>
      <c r="F365" s="6"/>
      <c r="G365" s="6"/>
      <c r="H365" s="6"/>
      <c r="I365" s="6"/>
      <c r="J365" s="6"/>
      <c r="K365" s="6">
        <v>17</v>
      </c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</row>
    <row r="366" spans="1:23" x14ac:dyDescent="0.3">
      <c r="A366" s="6" t="s">
        <v>1694</v>
      </c>
      <c r="B366" s="6" t="s">
        <v>718</v>
      </c>
      <c r="C366" s="6"/>
      <c r="D366" s="6"/>
      <c r="E366" s="6"/>
      <c r="F366" s="6"/>
      <c r="G366" s="6"/>
      <c r="H366" s="6"/>
      <c r="I366" s="6"/>
      <c r="J366" s="6"/>
      <c r="K366" s="6">
        <v>35</v>
      </c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</row>
    <row r="367" spans="1:23" x14ac:dyDescent="0.3">
      <c r="A367" s="6"/>
      <c r="B367" s="6" t="s">
        <v>534</v>
      </c>
      <c r="C367" s="6"/>
      <c r="D367" s="6"/>
      <c r="E367" s="6"/>
      <c r="F367" s="6"/>
      <c r="G367" s="6"/>
      <c r="H367" s="6"/>
      <c r="I367" s="6"/>
      <c r="J367" s="6"/>
      <c r="K367" s="6">
        <v>-1</v>
      </c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</row>
    <row r="368" spans="1:23" x14ac:dyDescent="0.3">
      <c r="A368" s="6"/>
      <c r="B368" s="6" t="s">
        <v>368</v>
      </c>
      <c r="C368" s="6"/>
      <c r="D368" s="6"/>
      <c r="E368" s="6"/>
      <c r="F368" s="6"/>
      <c r="G368" s="6"/>
      <c r="H368" s="6"/>
      <c r="I368" s="6"/>
      <c r="J368" s="6"/>
      <c r="K368" s="6">
        <v>-1</v>
      </c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</row>
    <row r="369" spans="1:23" x14ac:dyDescent="0.3">
      <c r="A369" s="6" t="s">
        <v>3033</v>
      </c>
      <c r="B369" s="6" t="s">
        <v>558</v>
      </c>
      <c r="C369" s="6"/>
      <c r="D369" s="6"/>
      <c r="E369" s="6"/>
      <c r="F369" s="6"/>
      <c r="G369" s="6"/>
      <c r="H369" s="6"/>
      <c r="I369" s="6"/>
      <c r="J369" s="6"/>
      <c r="K369" s="6">
        <v>21</v>
      </c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</row>
    <row r="370" spans="1:23" x14ac:dyDescent="0.3">
      <c r="A370" s="6" t="s">
        <v>2100</v>
      </c>
      <c r="B370" s="6" t="s">
        <v>442</v>
      </c>
      <c r="C370" s="6"/>
      <c r="D370" s="6"/>
      <c r="E370" s="6"/>
      <c r="F370" s="6"/>
      <c r="G370" s="6"/>
      <c r="H370" s="6"/>
      <c r="I370" s="6"/>
      <c r="J370" s="6"/>
      <c r="K370" s="6">
        <v>26</v>
      </c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</row>
    <row r="371" spans="1:23" x14ac:dyDescent="0.3">
      <c r="A371" s="6"/>
      <c r="B371" s="6" t="s">
        <v>572</v>
      </c>
      <c r="C371" s="6"/>
      <c r="D371" s="6"/>
      <c r="E371" s="6"/>
      <c r="F371" s="6"/>
      <c r="G371" s="6"/>
      <c r="H371" s="6"/>
      <c r="I371" s="6"/>
      <c r="J371" s="6"/>
      <c r="K371" s="6">
        <v>-1</v>
      </c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</row>
    <row r="372" spans="1:23" x14ac:dyDescent="0.3">
      <c r="A372" s="6" t="s">
        <v>2109</v>
      </c>
      <c r="B372" s="6" t="s">
        <v>402</v>
      </c>
      <c r="C372" s="6"/>
      <c r="D372" s="6"/>
      <c r="E372" s="6"/>
      <c r="F372" s="6"/>
      <c r="G372" s="6"/>
      <c r="H372" s="6"/>
      <c r="I372" s="6"/>
      <c r="J372" s="6"/>
      <c r="K372" s="6">
        <v>24</v>
      </c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</row>
    <row r="373" spans="1:23" x14ac:dyDescent="0.3">
      <c r="A373" s="6"/>
      <c r="B373" s="6" t="s">
        <v>356</v>
      </c>
      <c r="C373" s="6"/>
      <c r="D373" s="6"/>
      <c r="E373" s="6"/>
      <c r="F373" s="6"/>
      <c r="G373" s="6"/>
      <c r="H373" s="6"/>
      <c r="I373" s="6"/>
      <c r="J373" s="6"/>
      <c r="K373" s="6">
        <v>-1</v>
      </c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</row>
    <row r="374" spans="1:23" x14ac:dyDescent="0.3">
      <c r="A374" s="6"/>
      <c r="B374" s="6" t="s">
        <v>436</v>
      </c>
      <c r="C374" s="6"/>
      <c r="D374" s="6"/>
      <c r="E374" s="6"/>
      <c r="F374" s="6"/>
      <c r="G374" s="6"/>
      <c r="H374" s="6"/>
      <c r="I374" s="6"/>
      <c r="J374" s="6"/>
      <c r="K374" s="6">
        <v>-1</v>
      </c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</row>
    <row r="375" spans="1:23" x14ac:dyDescent="0.3">
      <c r="A375" s="6"/>
      <c r="B375" s="6" t="s">
        <v>412</v>
      </c>
      <c r="C375" s="6"/>
      <c r="D375" s="6"/>
      <c r="E375" s="6"/>
      <c r="F375" s="6"/>
      <c r="G375" s="6"/>
      <c r="H375" s="6"/>
      <c r="I375" s="6"/>
      <c r="J375" s="6"/>
      <c r="K375" s="6">
        <v>-1</v>
      </c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</row>
    <row r="376" spans="1:23" x14ac:dyDescent="0.3">
      <c r="A376" s="6"/>
      <c r="B376" s="6" t="s">
        <v>440</v>
      </c>
      <c r="C376" s="6"/>
      <c r="D376" s="6"/>
      <c r="E376" s="6"/>
      <c r="F376" s="6"/>
      <c r="G376" s="6"/>
      <c r="H376" s="6"/>
      <c r="I376" s="6"/>
      <c r="J376" s="6"/>
      <c r="K376" s="6">
        <v>-1</v>
      </c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</row>
    <row r="377" spans="1:23" x14ac:dyDescent="0.3">
      <c r="A377" s="6" t="s">
        <v>1888</v>
      </c>
      <c r="B377" s="6" t="s">
        <v>364</v>
      </c>
      <c r="C377" s="6"/>
      <c r="D377" s="6"/>
      <c r="E377" s="6"/>
      <c r="F377" s="6"/>
      <c r="G377" s="6"/>
      <c r="H377" s="6"/>
      <c r="I377" s="6"/>
      <c r="J377" s="6"/>
      <c r="K377" s="6">
        <v>2</v>
      </c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</row>
    <row r="378" spans="1:23" x14ac:dyDescent="0.3">
      <c r="A378" s="6" t="s">
        <v>1921</v>
      </c>
      <c r="B378" s="6" t="s">
        <v>694</v>
      </c>
      <c r="C378" s="6"/>
      <c r="D378" s="6"/>
      <c r="E378" s="6"/>
      <c r="F378" s="6"/>
      <c r="G378" s="6"/>
      <c r="H378" s="6"/>
      <c r="I378" s="6"/>
      <c r="J378" s="6"/>
      <c r="K378" s="6">
        <v>28</v>
      </c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</row>
    <row r="379" spans="1:23" x14ac:dyDescent="0.3">
      <c r="A379" s="6"/>
      <c r="B379" s="6" t="s">
        <v>444</v>
      </c>
      <c r="C379" s="6"/>
      <c r="D379" s="6"/>
      <c r="E379" s="6"/>
      <c r="F379" s="6"/>
      <c r="G379" s="6"/>
      <c r="H379" s="6"/>
      <c r="I379" s="6"/>
      <c r="J379" s="6"/>
      <c r="K379" s="6">
        <v>-1</v>
      </c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</row>
    <row r="380" spans="1:23" x14ac:dyDescent="0.3">
      <c r="A380" s="6" t="s">
        <v>2927</v>
      </c>
      <c r="B380" s="6" t="s">
        <v>532</v>
      </c>
      <c r="C380" s="6"/>
      <c r="D380" s="6"/>
      <c r="E380" s="6"/>
      <c r="F380" s="6"/>
      <c r="G380" s="6"/>
      <c r="H380" s="6"/>
      <c r="I380" s="6"/>
      <c r="J380" s="6"/>
      <c r="K380" s="6">
        <v>25</v>
      </c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</row>
    <row r="381" spans="1:23" x14ac:dyDescent="0.3">
      <c r="A381" s="6" t="s">
        <v>2731</v>
      </c>
      <c r="B381" s="6" t="s">
        <v>328</v>
      </c>
      <c r="C381" s="6"/>
      <c r="D381" s="6"/>
      <c r="E381" s="6"/>
      <c r="F381" s="6"/>
      <c r="G381" s="6"/>
      <c r="H381" s="6"/>
      <c r="I381" s="6"/>
      <c r="J381" s="6"/>
      <c r="K381" s="6">
        <v>31</v>
      </c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</row>
    <row r="382" spans="1:23" x14ac:dyDescent="0.3">
      <c r="A382" s="6" t="s">
        <v>3720</v>
      </c>
      <c r="B382" s="6" t="s">
        <v>374</v>
      </c>
      <c r="C382" s="6"/>
      <c r="D382" s="6"/>
      <c r="E382" s="6"/>
      <c r="F382" s="6"/>
      <c r="G382" s="6"/>
      <c r="H382" s="6"/>
      <c r="I382" s="6"/>
      <c r="J382" s="6"/>
      <c r="K382" s="6">
        <v>34</v>
      </c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</row>
    <row r="383" spans="1:23" x14ac:dyDescent="0.3">
      <c r="A383" s="6"/>
      <c r="B383" s="6" t="s">
        <v>576</v>
      </c>
      <c r="C383" s="6"/>
      <c r="D383" s="6"/>
      <c r="E383" s="6"/>
      <c r="F383" s="6"/>
      <c r="G383" s="6"/>
      <c r="H383" s="6"/>
      <c r="I383" s="6"/>
      <c r="J383" s="6"/>
      <c r="K383" s="6"/>
      <c r="L383" s="6">
        <v>-1</v>
      </c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</row>
    <row r="384" spans="1:23" x14ac:dyDescent="0.3">
      <c r="A384" s="6"/>
      <c r="B384" s="6" t="s">
        <v>576</v>
      </c>
      <c r="C384" s="6"/>
      <c r="D384" s="6"/>
      <c r="E384" s="6"/>
      <c r="F384" s="6"/>
      <c r="G384" s="6"/>
      <c r="H384" s="6"/>
      <c r="I384" s="6"/>
      <c r="J384" s="6"/>
      <c r="K384" s="6"/>
      <c r="L384" s="6">
        <v>-1</v>
      </c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</row>
    <row r="385" spans="1:23" x14ac:dyDescent="0.3">
      <c r="A385" s="6"/>
      <c r="B385" s="6" t="s">
        <v>576</v>
      </c>
      <c r="C385" s="6"/>
      <c r="D385" s="6"/>
      <c r="E385" s="6"/>
      <c r="F385" s="6"/>
      <c r="G385" s="6"/>
      <c r="H385" s="6"/>
      <c r="I385" s="6"/>
      <c r="J385" s="6"/>
      <c r="K385" s="6"/>
      <c r="L385" s="6">
        <v>-1</v>
      </c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</row>
    <row r="386" spans="1:23" x14ac:dyDescent="0.3">
      <c r="A386" s="6" t="s">
        <v>1711</v>
      </c>
      <c r="B386" s="6" t="s">
        <v>436</v>
      </c>
      <c r="C386" s="6"/>
      <c r="D386" s="6"/>
      <c r="E386" s="6"/>
      <c r="F386" s="6"/>
      <c r="G386" s="6"/>
      <c r="H386" s="6"/>
      <c r="I386" s="6"/>
      <c r="J386" s="6"/>
      <c r="K386" s="6"/>
      <c r="L386" s="6">
        <v>3</v>
      </c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</row>
    <row r="387" spans="1:23" x14ac:dyDescent="0.3">
      <c r="A387" s="6"/>
      <c r="B387" s="6" t="s">
        <v>436</v>
      </c>
      <c r="C387" s="6"/>
      <c r="D387" s="6"/>
      <c r="E387" s="6"/>
      <c r="F387" s="6"/>
      <c r="G387" s="6"/>
      <c r="H387" s="6"/>
      <c r="I387" s="6"/>
      <c r="J387" s="6"/>
      <c r="K387" s="6"/>
      <c r="L387" s="6">
        <v>-1</v>
      </c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</row>
    <row r="388" spans="1:23" x14ac:dyDescent="0.3">
      <c r="A388" s="6"/>
      <c r="B388" s="6" t="s">
        <v>436</v>
      </c>
      <c r="C388" s="6"/>
      <c r="D388" s="6"/>
      <c r="E388" s="6"/>
      <c r="F388" s="6"/>
      <c r="G388" s="6"/>
      <c r="H388" s="6"/>
      <c r="I388" s="6"/>
      <c r="J388" s="6"/>
      <c r="K388" s="6"/>
      <c r="L388" s="6">
        <v>-1</v>
      </c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</row>
    <row r="389" spans="1:23" x14ac:dyDescent="0.3">
      <c r="A389" s="6"/>
      <c r="B389" s="6" t="s">
        <v>344</v>
      </c>
      <c r="C389" s="6"/>
      <c r="D389" s="6"/>
      <c r="E389" s="6"/>
      <c r="F389" s="6"/>
      <c r="G389" s="6"/>
      <c r="H389" s="6"/>
      <c r="I389" s="6"/>
      <c r="J389" s="6"/>
      <c r="K389" s="6"/>
      <c r="L389" s="6">
        <v>-1</v>
      </c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</row>
    <row r="390" spans="1:23" x14ac:dyDescent="0.3">
      <c r="A390" s="6"/>
      <c r="B390" s="6" t="s">
        <v>344</v>
      </c>
      <c r="C390" s="6"/>
      <c r="D390" s="6"/>
      <c r="E390" s="6"/>
      <c r="F390" s="6"/>
      <c r="G390" s="6"/>
      <c r="H390" s="6"/>
      <c r="I390" s="6"/>
      <c r="J390" s="6"/>
      <c r="K390" s="6"/>
      <c r="L390" s="6">
        <v>-1</v>
      </c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</row>
    <row r="391" spans="1:23" x14ac:dyDescent="0.3">
      <c r="A391" s="6" t="s">
        <v>3807</v>
      </c>
      <c r="B391" s="6" t="s">
        <v>378</v>
      </c>
      <c r="C391" s="6"/>
      <c r="D391" s="6"/>
      <c r="E391" s="6"/>
      <c r="F391" s="6"/>
      <c r="G391" s="6"/>
      <c r="H391" s="6"/>
      <c r="I391" s="6"/>
      <c r="J391" s="6"/>
      <c r="K391" s="6"/>
      <c r="L391" s="6">
        <v>1</v>
      </c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</row>
    <row r="392" spans="1:23" x14ac:dyDescent="0.3">
      <c r="A392" s="6"/>
      <c r="B392" s="6" t="s">
        <v>378</v>
      </c>
      <c r="C392" s="6"/>
      <c r="D392" s="6"/>
      <c r="E392" s="6"/>
      <c r="F392" s="6"/>
      <c r="G392" s="6"/>
      <c r="H392" s="6"/>
      <c r="I392" s="6"/>
      <c r="J392" s="6"/>
      <c r="K392" s="6"/>
      <c r="L392" s="6">
        <v>-1</v>
      </c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</row>
    <row r="393" spans="1:23" x14ac:dyDescent="0.3">
      <c r="A393" s="6"/>
      <c r="B393" s="6" t="s">
        <v>330</v>
      </c>
      <c r="C393" s="6"/>
      <c r="D393" s="6"/>
      <c r="E393" s="6"/>
      <c r="F393" s="6"/>
      <c r="G393" s="6"/>
      <c r="H393" s="6"/>
      <c r="I393" s="6"/>
      <c r="J393" s="6"/>
      <c r="K393" s="6"/>
      <c r="L393" s="6">
        <v>-1</v>
      </c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</row>
    <row r="394" spans="1:23" x14ac:dyDescent="0.3">
      <c r="A394" s="6"/>
      <c r="B394" s="6" t="s">
        <v>404</v>
      </c>
      <c r="C394" s="6"/>
      <c r="D394" s="6"/>
      <c r="E394" s="6"/>
      <c r="F394" s="6"/>
      <c r="G394" s="6"/>
      <c r="H394" s="6"/>
      <c r="I394" s="6"/>
      <c r="J394" s="6"/>
      <c r="K394" s="6"/>
      <c r="L394" s="6">
        <v>-1</v>
      </c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</row>
    <row r="395" spans="1:23" x14ac:dyDescent="0.3">
      <c r="A395" s="6" t="s">
        <v>4033</v>
      </c>
      <c r="B395" s="6" t="s">
        <v>404</v>
      </c>
      <c r="C395" s="6"/>
      <c r="D395" s="6"/>
      <c r="E395" s="6"/>
      <c r="F395" s="6"/>
      <c r="G395" s="6"/>
      <c r="H395" s="6"/>
      <c r="I395" s="6"/>
      <c r="J395" s="6"/>
      <c r="K395" s="6"/>
      <c r="L395" s="6">
        <v>4</v>
      </c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</row>
    <row r="396" spans="1:23" x14ac:dyDescent="0.3">
      <c r="A396" s="6" t="s">
        <v>4645</v>
      </c>
      <c r="B396" s="6" t="s">
        <v>334</v>
      </c>
      <c r="C396" s="6"/>
      <c r="D396" s="6"/>
      <c r="E396" s="6"/>
      <c r="F396" s="6"/>
      <c r="G396" s="6"/>
      <c r="H396" s="6"/>
      <c r="I396" s="6"/>
      <c r="J396" s="6"/>
      <c r="K396" s="6"/>
      <c r="L396" s="6">
        <v>19</v>
      </c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</row>
    <row r="397" spans="1:23" x14ac:dyDescent="0.3">
      <c r="A397" s="6"/>
      <c r="B397" s="6" t="s">
        <v>448</v>
      </c>
      <c r="C397" s="6"/>
      <c r="D397" s="6"/>
      <c r="E397" s="6"/>
      <c r="F397" s="6"/>
      <c r="G397" s="6"/>
      <c r="H397" s="6"/>
      <c r="I397" s="6"/>
      <c r="J397" s="6"/>
      <c r="K397" s="6"/>
      <c r="L397" s="6">
        <v>-1</v>
      </c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</row>
    <row r="398" spans="1:23" x14ac:dyDescent="0.3">
      <c r="A398" s="6"/>
      <c r="B398" s="6" t="s">
        <v>428</v>
      </c>
      <c r="C398" s="6"/>
      <c r="D398" s="6"/>
      <c r="E398" s="6"/>
      <c r="F398" s="6"/>
      <c r="G398" s="6"/>
      <c r="H398" s="6"/>
      <c r="I398" s="6"/>
      <c r="J398" s="6"/>
      <c r="K398" s="6"/>
      <c r="L398" s="6">
        <v>-1</v>
      </c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</row>
    <row r="399" spans="1:23" x14ac:dyDescent="0.3">
      <c r="A399" s="6"/>
      <c r="B399" s="6" t="s">
        <v>474</v>
      </c>
      <c r="C399" s="6"/>
      <c r="D399" s="6"/>
      <c r="E399" s="6"/>
      <c r="F399" s="6"/>
      <c r="G399" s="6"/>
      <c r="H399" s="6"/>
      <c r="I399" s="6"/>
      <c r="J399" s="6"/>
      <c r="K399" s="6"/>
      <c r="L399" s="6">
        <v>-1</v>
      </c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</row>
    <row r="400" spans="1:23" x14ac:dyDescent="0.3">
      <c r="A400" s="6" t="s">
        <v>1982</v>
      </c>
      <c r="B400" s="6" t="s">
        <v>332</v>
      </c>
      <c r="C400" s="6"/>
      <c r="D400" s="6"/>
      <c r="E400" s="6"/>
      <c r="F400" s="6"/>
      <c r="G400" s="6"/>
      <c r="H400" s="6"/>
      <c r="I400" s="6"/>
      <c r="J400" s="6"/>
      <c r="K400" s="6"/>
      <c r="L400" s="6">
        <v>31</v>
      </c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</row>
    <row r="401" spans="1:23" x14ac:dyDescent="0.3">
      <c r="A401" s="6"/>
      <c r="B401" s="6" t="s">
        <v>354</v>
      </c>
      <c r="C401" s="6"/>
      <c r="D401" s="6"/>
      <c r="E401" s="6"/>
      <c r="F401" s="6"/>
      <c r="G401" s="6"/>
      <c r="H401" s="6"/>
      <c r="I401" s="6"/>
      <c r="J401" s="6"/>
      <c r="K401" s="6"/>
      <c r="L401" s="6">
        <v>-1</v>
      </c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</row>
    <row r="402" spans="1:23" x14ac:dyDescent="0.3">
      <c r="A402" s="6"/>
      <c r="B402" s="6" t="s">
        <v>354</v>
      </c>
      <c r="C402" s="6"/>
      <c r="D402" s="6"/>
      <c r="E402" s="6"/>
      <c r="F402" s="6"/>
      <c r="G402" s="6"/>
      <c r="H402" s="6"/>
      <c r="I402" s="6"/>
      <c r="J402" s="6"/>
      <c r="K402" s="6"/>
      <c r="L402" s="6">
        <v>-1</v>
      </c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</row>
    <row r="403" spans="1:23" x14ac:dyDescent="0.3">
      <c r="A403" s="6"/>
      <c r="B403" s="6" t="s">
        <v>356</v>
      </c>
      <c r="C403" s="6"/>
      <c r="D403" s="6"/>
      <c r="E403" s="6"/>
      <c r="F403" s="6"/>
      <c r="G403" s="6"/>
      <c r="H403" s="6"/>
      <c r="I403" s="6"/>
      <c r="J403" s="6"/>
      <c r="K403" s="6"/>
      <c r="L403" s="6">
        <v>-1</v>
      </c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</row>
    <row r="404" spans="1:23" x14ac:dyDescent="0.3">
      <c r="A404" s="6" t="s">
        <v>2643</v>
      </c>
      <c r="B404" s="6" t="s">
        <v>356</v>
      </c>
      <c r="C404" s="6"/>
      <c r="D404" s="6"/>
      <c r="E404" s="6"/>
      <c r="F404" s="6"/>
      <c r="G404" s="6"/>
      <c r="H404" s="6"/>
      <c r="I404" s="6"/>
      <c r="J404" s="6"/>
      <c r="K404" s="6"/>
      <c r="L404" s="6">
        <v>21</v>
      </c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</row>
    <row r="405" spans="1:23" x14ac:dyDescent="0.3">
      <c r="A405" s="6"/>
      <c r="B405" s="6" t="s">
        <v>332</v>
      </c>
      <c r="C405" s="6"/>
      <c r="D405" s="6"/>
      <c r="E405" s="6"/>
      <c r="F405" s="6"/>
      <c r="G405" s="6"/>
      <c r="H405" s="6"/>
      <c r="I405" s="6"/>
      <c r="J405" s="6"/>
      <c r="K405" s="6"/>
      <c r="L405" s="6">
        <v>-1</v>
      </c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</row>
    <row r="406" spans="1:23" x14ac:dyDescent="0.3">
      <c r="A406" s="6" t="s">
        <v>4841</v>
      </c>
      <c r="B406" s="6" t="s">
        <v>332</v>
      </c>
      <c r="C406" s="6"/>
      <c r="D406" s="6"/>
      <c r="E406" s="6"/>
      <c r="F406" s="6"/>
      <c r="G406" s="6"/>
      <c r="H406" s="6"/>
      <c r="I406" s="6"/>
      <c r="J406" s="6"/>
      <c r="K406" s="6"/>
      <c r="L406" s="6">
        <v>17</v>
      </c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</row>
    <row r="407" spans="1:23" x14ac:dyDescent="0.3">
      <c r="A407" s="6" t="s">
        <v>4569</v>
      </c>
      <c r="B407" s="6" t="s">
        <v>500</v>
      </c>
      <c r="C407" s="6"/>
      <c r="D407" s="6"/>
      <c r="E407" s="6"/>
      <c r="F407" s="6"/>
      <c r="G407" s="6"/>
      <c r="H407" s="6"/>
      <c r="I407" s="6"/>
      <c r="J407" s="6"/>
      <c r="K407" s="6"/>
      <c r="L407" s="6">
        <v>18</v>
      </c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</row>
    <row r="408" spans="1:23" x14ac:dyDescent="0.3">
      <c r="A408" s="6"/>
      <c r="B408" s="6" t="s">
        <v>384</v>
      </c>
      <c r="C408" s="6"/>
      <c r="D408" s="6"/>
      <c r="E408" s="6"/>
      <c r="F408" s="6"/>
      <c r="G408" s="6"/>
      <c r="H408" s="6"/>
      <c r="I408" s="6"/>
      <c r="J408" s="6"/>
      <c r="K408" s="6"/>
      <c r="L408" s="6">
        <v>-1</v>
      </c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</row>
    <row r="409" spans="1:23" x14ac:dyDescent="0.3">
      <c r="A409" s="6"/>
      <c r="B409" s="6" t="s">
        <v>344</v>
      </c>
      <c r="C409" s="6"/>
      <c r="D409" s="6"/>
      <c r="E409" s="6"/>
      <c r="F409" s="6"/>
      <c r="G409" s="6"/>
      <c r="H409" s="6"/>
      <c r="I409" s="6"/>
      <c r="J409" s="6"/>
      <c r="K409" s="6"/>
      <c r="L409" s="6">
        <v>-1</v>
      </c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</row>
    <row r="410" spans="1:23" x14ac:dyDescent="0.3">
      <c r="A410" s="6"/>
      <c r="B410" s="6" t="s">
        <v>334</v>
      </c>
      <c r="C410" s="6"/>
      <c r="D410" s="6"/>
      <c r="E410" s="6"/>
      <c r="F410" s="6"/>
      <c r="G410" s="6"/>
      <c r="H410" s="6"/>
      <c r="I410" s="6"/>
      <c r="J410" s="6"/>
      <c r="K410" s="6"/>
      <c r="L410" s="6">
        <v>-1</v>
      </c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</row>
    <row r="411" spans="1:23" x14ac:dyDescent="0.3">
      <c r="A411" s="6"/>
      <c r="B411" s="6" t="s">
        <v>428</v>
      </c>
      <c r="C411" s="6"/>
      <c r="D411" s="6"/>
      <c r="E411" s="6"/>
      <c r="F411" s="6"/>
      <c r="G411" s="6"/>
      <c r="H411" s="6"/>
      <c r="I411" s="6"/>
      <c r="J411" s="6"/>
      <c r="K411" s="6"/>
      <c r="L411" s="6">
        <v>-1</v>
      </c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</row>
    <row r="412" spans="1:23" x14ac:dyDescent="0.3">
      <c r="A412" s="6"/>
      <c r="B412" s="6" t="s">
        <v>378</v>
      </c>
      <c r="C412" s="6"/>
      <c r="D412" s="6"/>
      <c r="E412" s="6"/>
      <c r="F412" s="6"/>
      <c r="G412" s="6"/>
      <c r="H412" s="6"/>
      <c r="I412" s="6"/>
      <c r="J412" s="6"/>
      <c r="K412" s="6"/>
      <c r="L412" s="6">
        <v>-1</v>
      </c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</row>
    <row r="413" spans="1:23" x14ac:dyDescent="0.3">
      <c r="A413" s="6"/>
      <c r="B413" s="6" t="s">
        <v>724</v>
      </c>
      <c r="C413" s="6"/>
      <c r="D413" s="6"/>
      <c r="E413" s="6"/>
      <c r="F413" s="6"/>
      <c r="G413" s="6"/>
      <c r="H413" s="6"/>
      <c r="I413" s="6"/>
      <c r="J413" s="6"/>
      <c r="K413" s="6"/>
      <c r="L413" s="6">
        <v>-1</v>
      </c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</row>
    <row r="414" spans="1:23" x14ac:dyDescent="0.3">
      <c r="A414" s="6"/>
      <c r="B414" s="6" t="s">
        <v>380</v>
      </c>
      <c r="C414" s="6"/>
      <c r="D414" s="6"/>
      <c r="E414" s="6"/>
      <c r="F414" s="6"/>
      <c r="G414" s="6"/>
      <c r="H414" s="6"/>
      <c r="I414" s="6"/>
      <c r="J414" s="6"/>
      <c r="K414" s="6"/>
      <c r="L414" s="6">
        <v>-1</v>
      </c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</row>
    <row r="415" spans="1:23" x14ac:dyDescent="0.3">
      <c r="A415" s="6" t="s">
        <v>2249</v>
      </c>
      <c r="B415" s="6" t="s">
        <v>442</v>
      </c>
      <c r="C415" s="6"/>
      <c r="D415" s="6"/>
      <c r="E415" s="6"/>
      <c r="F415" s="6"/>
      <c r="G415" s="6"/>
      <c r="H415" s="6"/>
      <c r="I415" s="6"/>
      <c r="J415" s="6"/>
      <c r="K415" s="6"/>
      <c r="L415" s="6">
        <v>1001</v>
      </c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</row>
    <row r="416" spans="1:23" x14ac:dyDescent="0.3">
      <c r="A416" s="6" t="s">
        <v>1878</v>
      </c>
      <c r="B416" s="6" t="s">
        <v>372</v>
      </c>
      <c r="C416" s="6"/>
      <c r="D416" s="6"/>
      <c r="E416" s="6"/>
      <c r="F416" s="6"/>
      <c r="G416" s="6"/>
      <c r="H416" s="6"/>
      <c r="I416" s="6"/>
      <c r="J416" s="6"/>
      <c r="K416" s="6"/>
      <c r="L416" s="6">
        <v>30</v>
      </c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</row>
    <row r="417" spans="1:23" x14ac:dyDescent="0.3">
      <c r="A417" s="6"/>
      <c r="B417" s="6" t="s">
        <v>334</v>
      </c>
      <c r="C417" s="6"/>
      <c r="D417" s="6"/>
      <c r="E417" s="6"/>
      <c r="F417" s="6"/>
      <c r="G417" s="6"/>
      <c r="H417" s="6"/>
      <c r="I417" s="6"/>
      <c r="J417" s="6"/>
      <c r="K417" s="6"/>
      <c r="L417" s="6">
        <v>-1</v>
      </c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</row>
    <row r="418" spans="1:23" x14ac:dyDescent="0.3">
      <c r="A418" s="6"/>
      <c r="B418" s="6" t="s">
        <v>622</v>
      </c>
      <c r="C418" s="6"/>
      <c r="D418" s="6"/>
      <c r="E418" s="6"/>
      <c r="F418" s="6"/>
      <c r="G418" s="6"/>
      <c r="H418" s="6"/>
      <c r="I418" s="6"/>
      <c r="J418" s="6"/>
      <c r="K418" s="6"/>
      <c r="L418" s="6">
        <v>-1</v>
      </c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</row>
    <row r="419" spans="1:23" x14ac:dyDescent="0.3">
      <c r="A419" s="6"/>
      <c r="B419" s="6" t="s">
        <v>520</v>
      </c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>
        <v>-1</v>
      </c>
      <c r="N419" s="6"/>
      <c r="O419" s="6"/>
      <c r="P419" s="6"/>
      <c r="Q419" s="6"/>
      <c r="R419" s="6"/>
      <c r="S419" s="6"/>
      <c r="T419" s="6"/>
      <c r="U419" s="6"/>
      <c r="V419" s="6"/>
      <c r="W419" s="6"/>
    </row>
    <row r="420" spans="1:23" x14ac:dyDescent="0.3">
      <c r="A420" s="6"/>
      <c r="B420" s="6" t="s">
        <v>520</v>
      </c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>
        <v>-1</v>
      </c>
      <c r="N420" s="6"/>
      <c r="O420" s="6"/>
      <c r="P420" s="6"/>
      <c r="Q420" s="6"/>
      <c r="R420" s="6"/>
      <c r="S420" s="6"/>
      <c r="T420" s="6"/>
      <c r="U420" s="6"/>
      <c r="V420" s="6"/>
      <c r="W420" s="6"/>
    </row>
    <row r="421" spans="1:23" x14ac:dyDescent="0.3">
      <c r="A421" s="6"/>
      <c r="B421" s="6" t="s">
        <v>520</v>
      </c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>
        <v>-1</v>
      </c>
      <c r="N421" s="6"/>
      <c r="O421" s="6"/>
      <c r="P421" s="6"/>
      <c r="Q421" s="6"/>
      <c r="R421" s="6"/>
      <c r="S421" s="6"/>
      <c r="T421" s="6"/>
      <c r="U421" s="6"/>
      <c r="V421" s="6"/>
      <c r="W421" s="6"/>
    </row>
    <row r="422" spans="1:23" x14ac:dyDescent="0.3">
      <c r="A422" s="6"/>
      <c r="B422" s="6" t="s">
        <v>328</v>
      </c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>
        <v>-1</v>
      </c>
      <c r="N422" s="6"/>
      <c r="O422" s="6"/>
      <c r="P422" s="6"/>
      <c r="Q422" s="6"/>
      <c r="R422" s="6"/>
      <c r="S422" s="6"/>
      <c r="T422" s="6"/>
      <c r="U422" s="6"/>
      <c r="V422" s="6"/>
      <c r="W422" s="6"/>
    </row>
    <row r="423" spans="1:23" x14ac:dyDescent="0.3">
      <c r="A423" s="6" t="s">
        <v>4468</v>
      </c>
      <c r="B423" s="6" t="s">
        <v>328</v>
      </c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>
        <v>40</v>
      </c>
      <c r="N423" s="6"/>
      <c r="O423" s="6"/>
      <c r="P423" s="6"/>
      <c r="Q423" s="6"/>
      <c r="R423" s="6"/>
      <c r="S423" s="6"/>
      <c r="T423" s="6"/>
      <c r="U423" s="6"/>
      <c r="V423" s="6"/>
      <c r="W423" s="6"/>
    </row>
    <row r="424" spans="1:23" x14ac:dyDescent="0.3">
      <c r="A424" s="6"/>
      <c r="B424" s="6" t="s">
        <v>328</v>
      </c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>
        <v>-1</v>
      </c>
      <c r="N424" s="6"/>
      <c r="O424" s="6"/>
      <c r="P424" s="6"/>
      <c r="Q424" s="6"/>
      <c r="R424" s="6"/>
      <c r="S424" s="6"/>
      <c r="T424" s="6"/>
      <c r="U424" s="6"/>
      <c r="V424" s="6"/>
      <c r="W424" s="6"/>
    </row>
    <row r="425" spans="1:23" x14ac:dyDescent="0.3">
      <c r="A425" s="6"/>
      <c r="B425" s="6" t="s">
        <v>570</v>
      </c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>
        <v>-1</v>
      </c>
      <c r="N425" s="6"/>
      <c r="O425" s="6"/>
      <c r="P425" s="6"/>
      <c r="Q425" s="6"/>
      <c r="R425" s="6"/>
      <c r="S425" s="6"/>
      <c r="T425" s="6"/>
      <c r="U425" s="6"/>
      <c r="V425" s="6"/>
      <c r="W425" s="6"/>
    </row>
    <row r="426" spans="1:23" x14ac:dyDescent="0.3">
      <c r="A426" s="6"/>
      <c r="B426" s="6" t="s">
        <v>570</v>
      </c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>
        <v>-1</v>
      </c>
      <c r="N426" s="6"/>
      <c r="O426" s="6"/>
      <c r="P426" s="6"/>
      <c r="Q426" s="6"/>
      <c r="R426" s="6"/>
      <c r="S426" s="6"/>
      <c r="T426" s="6"/>
      <c r="U426" s="6"/>
      <c r="V426" s="6"/>
      <c r="W426" s="6"/>
    </row>
    <row r="427" spans="1:23" x14ac:dyDescent="0.3">
      <c r="A427" s="6"/>
      <c r="B427" s="6" t="s">
        <v>570</v>
      </c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>
        <v>-1</v>
      </c>
      <c r="N427" s="6"/>
      <c r="O427" s="6"/>
      <c r="P427" s="6"/>
      <c r="Q427" s="6"/>
      <c r="R427" s="6"/>
      <c r="S427" s="6"/>
      <c r="T427" s="6"/>
      <c r="U427" s="6"/>
      <c r="V427" s="6"/>
      <c r="W427" s="6"/>
    </row>
    <row r="428" spans="1:23" x14ac:dyDescent="0.3">
      <c r="A428" s="6"/>
      <c r="B428" s="6" t="s">
        <v>576</v>
      </c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>
        <v>-1</v>
      </c>
      <c r="N428" s="6"/>
      <c r="O428" s="6"/>
      <c r="P428" s="6"/>
      <c r="Q428" s="6"/>
      <c r="R428" s="6"/>
      <c r="S428" s="6"/>
      <c r="T428" s="6"/>
      <c r="U428" s="6"/>
      <c r="V428" s="6"/>
      <c r="W428" s="6"/>
    </row>
    <row r="429" spans="1:23" x14ac:dyDescent="0.3">
      <c r="A429" s="6"/>
      <c r="B429" s="6" t="s">
        <v>576</v>
      </c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>
        <v>-1</v>
      </c>
      <c r="N429" s="6"/>
      <c r="O429" s="6"/>
      <c r="P429" s="6"/>
      <c r="Q429" s="6"/>
      <c r="R429" s="6"/>
      <c r="S429" s="6"/>
      <c r="T429" s="6"/>
      <c r="U429" s="6"/>
      <c r="V429" s="6"/>
      <c r="W429" s="6"/>
    </row>
    <row r="430" spans="1:23" x14ac:dyDescent="0.3">
      <c r="A430" s="6"/>
      <c r="B430" s="6" t="s">
        <v>576</v>
      </c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>
        <v>-1</v>
      </c>
      <c r="N430" s="6"/>
      <c r="O430" s="6"/>
      <c r="P430" s="6"/>
      <c r="Q430" s="6"/>
      <c r="R430" s="6"/>
      <c r="S430" s="6"/>
      <c r="T430" s="6"/>
      <c r="U430" s="6"/>
      <c r="V430" s="6"/>
      <c r="W430" s="6"/>
    </row>
    <row r="431" spans="1:23" x14ac:dyDescent="0.3">
      <c r="A431" s="6"/>
      <c r="B431" s="6" t="s">
        <v>344</v>
      </c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>
        <v>-1</v>
      </c>
      <c r="N431" s="6"/>
      <c r="O431" s="6"/>
      <c r="P431" s="6"/>
      <c r="Q431" s="6"/>
      <c r="R431" s="6"/>
      <c r="S431" s="6"/>
      <c r="T431" s="6"/>
      <c r="U431" s="6"/>
      <c r="V431" s="6"/>
      <c r="W431" s="6"/>
    </row>
    <row r="432" spans="1:23" x14ac:dyDescent="0.3">
      <c r="A432" s="6"/>
      <c r="B432" s="6" t="s">
        <v>344</v>
      </c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>
        <v>-1</v>
      </c>
      <c r="N432" s="6"/>
      <c r="O432" s="6"/>
      <c r="P432" s="6"/>
      <c r="Q432" s="6"/>
      <c r="R432" s="6"/>
      <c r="S432" s="6"/>
      <c r="T432" s="6"/>
      <c r="U432" s="6"/>
      <c r="V432" s="6"/>
      <c r="W432" s="6"/>
    </row>
    <row r="433" spans="1:23" x14ac:dyDescent="0.3">
      <c r="A433" s="6" t="s">
        <v>4869</v>
      </c>
      <c r="B433" s="6" t="s">
        <v>344</v>
      </c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>
        <v>16</v>
      </c>
      <c r="N433" s="6"/>
      <c r="O433" s="6"/>
      <c r="P433" s="6"/>
      <c r="Q433" s="6"/>
      <c r="R433" s="6"/>
      <c r="S433" s="6"/>
      <c r="T433" s="6"/>
      <c r="U433" s="6"/>
      <c r="V433" s="6"/>
      <c r="W433" s="6"/>
    </row>
    <row r="434" spans="1:23" x14ac:dyDescent="0.3">
      <c r="A434" s="6" t="s">
        <v>1357</v>
      </c>
      <c r="B434" s="6" t="s">
        <v>334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>
        <v>15</v>
      </c>
      <c r="N434" s="6"/>
      <c r="O434" s="6"/>
      <c r="P434" s="6"/>
      <c r="Q434" s="6"/>
      <c r="R434" s="6"/>
      <c r="S434" s="6"/>
      <c r="T434" s="6"/>
      <c r="U434" s="6"/>
      <c r="V434" s="6"/>
      <c r="W434" s="6"/>
    </row>
    <row r="435" spans="1:23" x14ac:dyDescent="0.3">
      <c r="A435" s="6"/>
      <c r="B435" s="6" t="s">
        <v>334</v>
      </c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>
        <v>-1</v>
      </c>
      <c r="N435" s="6"/>
      <c r="O435" s="6"/>
      <c r="P435" s="6"/>
      <c r="Q435" s="6"/>
      <c r="R435" s="6"/>
      <c r="S435" s="6"/>
      <c r="T435" s="6"/>
      <c r="U435" s="6"/>
      <c r="V435" s="6"/>
      <c r="W435" s="6"/>
    </row>
    <row r="436" spans="1:23" x14ac:dyDescent="0.3">
      <c r="A436" s="6"/>
      <c r="B436" s="6" t="s">
        <v>334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>
        <v>-1</v>
      </c>
      <c r="N436" s="6"/>
      <c r="O436" s="6"/>
      <c r="P436" s="6"/>
      <c r="Q436" s="6"/>
      <c r="R436" s="6"/>
      <c r="S436" s="6"/>
      <c r="T436" s="6"/>
      <c r="U436" s="6"/>
      <c r="V436" s="6"/>
      <c r="W436" s="6"/>
    </row>
    <row r="437" spans="1:23" x14ac:dyDescent="0.3">
      <c r="A437" s="6" t="s">
        <v>3201</v>
      </c>
      <c r="B437" s="6" t="s">
        <v>402</v>
      </c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>
        <v>4</v>
      </c>
      <c r="N437" s="6"/>
      <c r="O437" s="6"/>
      <c r="P437" s="6"/>
      <c r="Q437" s="6"/>
      <c r="R437" s="6"/>
      <c r="S437" s="6"/>
      <c r="T437" s="6"/>
      <c r="U437" s="6"/>
      <c r="V437" s="6"/>
      <c r="W437" s="6"/>
    </row>
    <row r="438" spans="1:23" x14ac:dyDescent="0.3">
      <c r="A438" s="6"/>
      <c r="B438" s="6" t="s">
        <v>402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>
        <v>-1</v>
      </c>
      <c r="N438" s="6"/>
      <c r="O438" s="6"/>
      <c r="P438" s="6"/>
      <c r="Q438" s="6"/>
      <c r="R438" s="6"/>
      <c r="S438" s="6"/>
      <c r="T438" s="6"/>
      <c r="U438" s="6"/>
      <c r="V438" s="6"/>
      <c r="W438" s="6"/>
    </row>
    <row r="439" spans="1:23" x14ac:dyDescent="0.3">
      <c r="A439" s="6" t="s">
        <v>1507</v>
      </c>
      <c r="B439" s="6" t="s">
        <v>402</v>
      </c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>
        <v>46</v>
      </c>
      <c r="N439" s="6"/>
      <c r="O439" s="6"/>
      <c r="P439" s="6"/>
      <c r="Q439" s="6"/>
      <c r="R439" s="6"/>
      <c r="S439" s="6"/>
      <c r="T439" s="6"/>
      <c r="U439" s="6"/>
      <c r="V439" s="6"/>
      <c r="W439" s="6"/>
    </row>
    <row r="440" spans="1:23" x14ac:dyDescent="0.3">
      <c r="A440" s="6"/>
      <c r="B440" s="6" t="s">
        <v>598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>
        <v>-1</v>
      </c>
      <c r="N440" s="6"/>
      <c r="O440" s="6"/>
      <c r="P440" s="6"/>
      <c r="Q440" s="6"/>
      <c r="R440" s="6"/>
      <c r="S440" s="6"/>
      <c r="T440" s="6"/>
      <c r="U440" s="6"/>
      <c r="V440" s="6"/>
      <c r="W440" s="6"/>
    </row>
    <row r="441" spans="1:23" x14ac:dyDescent="0.3">
      <c r="A441" s="6" t="s">
        <v>1371</v>
      </c>
      <c r="B441" s="6" t="s">
        <v>598</v>
      </c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>
        <v>31</v>
      </c>
      <c r="N441" s="6"/>
      <c r="O441" s="6"/>
      <c r="P441" s="6"/>
      <c r="Q441" s="6"/>
      <c r="R441" s="6"/>
      <c r="S441" s="6"/>
      <c r="T441" s="6"/>
      <c r="U441" s="6"/>
      <c r="V441" s="6"/>
      <c r="W441" s="6"/>
    </row>
    <row r="442" spans="1:23" x14ac:dyDescent="0.3">
      <c r="A442" s="6"/>
      <c r="B442" s="6" t="s">
        <v>598</v>
      </c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>
        <v>-1</v>
      </c>
      <c r="N442" s="6"/>
      <c r="O442" s="6"/>
      <c r="P442" s="6"/>
      <c r="Q442" s="6"/>
      <c r="R442" s="6"/>
      <c r="S442" s="6"/>
      <c r="T442" s="6"/>
      <c r="U442" s="6"/>
      <c r="V442" s="6"/>
      <c r="W442" s="6"/>
    </row>
    <row r="443" spans="1:23" x14ac:dyDescent="0.3">
      <c r="A443" s="6" t="s">
        <v>1373</v>
      </c>
      <c r="B443" s="6" t="s">
        <v>356</v>
      </c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>
        <v>25</v>
      </c>
      <c r="N443" s="6"/>
      <c r="O443" s="6"/>
      <c r="P443" s="6"/>
      <c r="Q443" s="6"/>
      <c r="R443" s="6"/>
      <c r="S443" s="6"/>
      <c r="T443" s="6"/>
      <c r="U443" s="6"/>
      <c r="V443" s="6"/>
      <c r="W443" s="6"/>
    </row>
    <row r="444" spans="1:23" x14ac:dyDescent="0.3">
      <c r="A444" s="6"/>
      <c r="B444" s="6" t="s">
        <v>356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>
        <v>-1</v>
      </c>
      <c r="N444" s="6"/>
      <c r="O444" s="6"/>
      <c r="P444" s="6"/>
      <c r="Q444" s="6"/>
      <c r="R444" s="6"/>
      <c r="S444" s="6"/>
      <c r="T444" s="6"/>
      <c r="U444" s="6"/>
      <c r="V444" s="6"/>
      <c r="W444" s="6"/>
    </row>
    <row r="445" spans="1:23" x14ac:dyDescent="0.3">
      <c r="A445" s="6"/>
      <c r="B445" s="6" t="s">
        <v>356</v>
      </c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>
        <v>-1</v>
      </c>
      <c r="N445" s="6"/>
      <c r="O445" s="6"/>
      <c r="P445" s="6"/>
      <c r="Q445" s="6"/>
      <c r="R445" s="6"/>
      <c r="S445" s="6"/>
      <c r="T445" s="6"/>
      <c r="U445" s="6"/>
      <c r="V445" s="6"/>
      <c r="W445" s="6"/>
    </row>
    <row r="446" spans="1:23" x14ac:dyDescent="0.3">
      <c r="A446" s="6" t="s">
        <v>4269</v>
      </c>
      <c r="B446" s="6" t="s">
        <v>436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>
        <v>1001</v>
      </c>
      <c r="N446" s="6"/>
      <c r="O446" s="6"/>
      <c r="P446" s="6"/>
      <c r="Q446" s="6"/>
      <c r="R446" s="6"/>
      <c r="S446" s="6"/>
      <c r="T446" s="6"/>
      <c r="U446" s="6"/>
      <c r="V446" s="6"/>
      <c r="W446" s="6"/>
    </row>
    <row r="447" spans="1:23" x14ac:dyDescent="0.3">
      <c r="A447" s="6" t="s">
        <v>4271</v>
      </c>
      <c r="B447" s="6" t="s">
        <v>436</v>
      </c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>
        <v>3</v>
      </c>
      <c r="N447" s="6"/>
      <c r="O447" s="6"/>
      <c r="P447" s="6"/>
      <c r="Q447" s="6"/>
      <c r="R447" s="6"/>
      <c r="S447" s="6"/>
      <c r="T447" s="6"/>
      <c r="U447" s="6"/>
      <c r="V447" s="6"/>
      <c r="W447" s="6"/>
    </row>
    <row r="448" spans="1:23" x14ac:dyDescent="0.3">
      <c r="A448" s="6"/>
      <c r="B448" s="6" t="s">
        <v>436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>
        <v>-1</v>
      </c>
      <c r="N448" s="6"/>
      <c r="O448" s="6"/>
      <c r="P448" s="6"/>
      <c r="Q448" s="6"/>
      <c r="R448" s="6"/>
      <c r="S448" s="6"/>
      <c r="T448" s="6"/>
      <c r="U448" s="6"/>
      <c r="V448" s="6"/>
      <c r="W448" s="6"/>
    </row>
    <row r="449" spans="1:23" x14ac:dyDescent="0.3">
      <c r="A449" s="6"/>
      <c r="B449" s="6" t="s">
        <v>378</v>
      </c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>
        <v>-1</v>
      </c>
      <c r="N449" s="6"/>
      <c r="O449" s="6"/>
      <c r="P449" s="6"/>
      <c r="Q449" s="6"/>
      <c r="R449" s="6"/>
      <c r="S449" s="6"/>
      <c r="T449" s="6"/>
      <c r="U449" s="6"/>
      <c r="V449" s="6"/>
      <c r="W449" s="6"/>
    </row>
    <row r="450" spans="1:23" x14ac:dyDescent="0.3">
      <c r="A450" s="6"/>
      <c r="B450" s="6" t="s">
        <v>378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>
        <v>-1</v>
      </c>
      <c r="N450" s="6"/>
      <c r="O450" s="6"/>
      <c r="P450" s="6"/>
      <c r="Q450" s="6"/>
      <c r="R450" s="6"/>
      <c r="S450" s="6"/>
      <c r="T450" s="6"/>
      <c r="U450" s="6"/>
      <c r="V450" s="6"/>
      <c r="W450" s="6"/>
    </row>
    <row r="451" spans="1:23" x14ac:dyDescent="0.3">
      <c r="A451" s="6"/>
      <c r="B451" s="6" t="s">
        <v>378</v>
      </c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>
        <v>-1</v>
      </c>
      <c r="N451" s="6"/>
      <c r="O451" s="6"/>
      <c r="P451" s="6"/>
      <c r="Q451" s="6"/>
      <c r="R451" s="6"/>
      <c r="S451" s="6"/>
      <c r="T451" s="6"/>
      <c r="U451" s="6"/>
      <c r="V451" s="6"/>
      <c r="W451" s="6"/>
    </row>
    <row r="452" spans="1:23" x14ac:dyDescent="0.3">
      <c r="A452" s="6"/>
      <c r="B452" s="6" t="s">
        <v>330</v>
      </c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>
        <v>-1</v>
      </c>
      <c r="N452" s="6"/>
      <c r="O452" s="6"/>
      <c r="P452" s="6"/>
      <c r="Q452" s="6"/>
      <c r="R452" s="6"/>
      <c r="S452" s="6"/>
      <c r="T452" s="6"/>
      <c r="U452" s="6"/>
      <c r="V452" s="6"/>
      <c r="W452" s="6"/>
    </row>
    <row r="453" spans="1:23" x14ac:dyDescent="0.3">
      <c r="A453" s="6"/>
      <c r="B453" s="6" t="s">
        <v>330</v>
      </c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>
        <v>-1</v>
      </c>
      <c r="N453" s="6"/>
      <c r="O453" s="6"/>
      <c r="P453" s="6"/>
      <c r="Q453" s="6"/>
      <c r="R453" s="6"/>
      <c r="S453" s="6"/>
      <c r="T453" s="6"/>
      <c r="U453" s="6"/>
      <c r="V453" s="6"/>
      <c r="W453" s="6"/>
    </row>
    <row r="454" spans="1:23" x14ac:dyDescent="0.3">
      <c r="A454" s="6" t="s">
        <v>4013</v>
      </c>
      <c r="B454" s="6" t="s">
        <v>330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>
        <v>41</v>
      </c>
      <c r="N454" s="6"/>
      <c r="O454" s="6"/>
      <c r="P454" s="6"/>
      <c r="Q454" s="6"/>
      <c r="R454" s="6"/>
      <c r="S454" s="6"/>
      <c r="T454" s="6"/>
      <c r="U454" s="6"/>
      <c r="V454" s="6"/>
      <c r="W454" s="6"/>
    </row>
    <row r="455" spans="1:23" x14ac:dyDescent="0.3">
      <c r="A455" s="6"/>
      <c r="B455" s="6" t="s">
        <v>724</v>
      </c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>
        <v>-1</v>
      </c>
      <c r="N455" s="6"/>
      <c r="O455" s="6"/>
      <c r="P455" s="6"/>
      <c r="Q455" s="6"/>
      <c r="R455" s="6"/>
      <c r="S455" s="6"/>
      <c r="T455" s="6"/>
      <c r="U455" s="6"/>
      <c r="V455" s="6"/>
      <c r="W455" s="6"/>
    </row>
    <row r="456" spans="1:23" x14ac:dyDescent="0.3">
      <c r="A456" s="6" t="s">
        <v>4609</v>
      </c>
      <c r="B456" s="6" t="s">
        <v>724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>
        <v>1001</v>
      </c>
      <c r="N456" s="6"/>
      <c r="O456" s="6"/>
      <c r="P456" s="6"/>
      <c r="Q456" s="6"/>
      <c r="R456" s="6"/>
      <c r="S456" s="6"/>
      <c r="T456" s="6"/>
      <c r="U456" s="6"/>
      <c r="V456" s="6"/>
      <c r="W456" s="6"/>
    </row>
    <row r="457" spans="1:23" x14ac:dyDescent="0.3">
      <c r="A457" s="6"/>
      <c r="B457" s="6" t="s">
        <v>724</v>
      </c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>
        <v>-1</v>
      </c>
      <c r="N457" s="6"/>
      <c r="O457" s="6"/>
      <c r="P457" s="6"/>
      <c r="Q457" s="6"/>
      <c r="R457" s="6"/>
      <c r="S457" s="6"/>
      <c r="T457" s="6"/>
      <c r="U457" s="6"/>
      <c r="V457" s="6"/>
      <c r="W457" s="6"/>
    </row>
    <row r="458" spans="1:23" x14ac:dyDescent="0.3">
      <c r="A458" s="6"/>
      <c r="B458" s="6" t="s">
        <v>354</v>
      </c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>
        <v>-1</v>
      </c>
      <c r="N458" s="6"/>
      <c r="O458" s="6"/>
      <c r="P458" s="6"/>
      <c r="Q458" s="6"/>
      <c r="R458" s="6"/>
      <c r="S458" s="6"/>
      <c r="T458" s="6"/>
      <c r="U458" s="6"/>
      <c r="V458" s="6"/>
      <c r="W458" s="6"/>
    </row>
    <row r="459" spans="1:23" x14ac:dyDescent="0.3">
      <c r="A459" s="6"/>
      <c r="B459" s="6" t="s">
        <v>354</v>
      </c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>
        <v>-1</v>
      </c>
      <c r="N459" s="6"/>
      <c r="O459" s="6"/>
      <c r="P459" s="6"/>
      <c r="Q459" s="6"/>
      <c r="R459" s="6"/>
      <c r="S459" s="6"/>
      <c r="T459" s="6"/>
      <c r="U459" s="6"/>
      <c r="V459" s="6"/>
      <c r="W459" s="6"/>
    </row>
    <row r="460" spans="1:23" x14ac:dyDescent="0.3">
      <c r="A460" s="6" t="s">
        <v>2560</v>
      </c>
      <c r="B460" s="6" t="s">
        <v>384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>
        <v>36</v>
      </c>
      <c r="N460" s="6"/>
      <c r="O460" s="6"/>
      <c r="P460" s="6"/>
      <c r="Q460" s="6"/>
      <c r="R460" s="6"/>
      <c r="S460" s="6"/>
      <c r="T460" s="6"/>
      <c r="U460" s="6"/>
      <c r="V460" s="6"/>
      <c r="W460" s="6"/>
    </row>
    <row r="461" spans="1:23" x14ac:dyDescent="0.3">
      <c r="A461" s="6" t="s">
        <v>2163</v>
      </c>
      <c r="B461" s="6" t="s">
        <v>384</v>
      </c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>
        <v>47</v>
      </c>
      <c r="N461" s="6"/>
      <c r="O461" s="6"/>
      <c r="P461" s="6"/>
      <c r="Q461" s="6"/>
      <c r="R461" s="6"/>
      <c r="S461" s="6"/>
      <c r="T461" s="6"/>
      <c r="U461" s="6"/>
      <c r="V461" s="6"/>
      <c r="W461" s="6"/>
    </row>
    <row r="462" spans="1:23" x14ac:dyDescent="0.3">
      <c r="A462" s="6"/>
      <c r="B462" s="6" t="s">
        <v>428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>
        <v>-1</v>
      </c>
      <c r="N462" s="6"/>
      <c r="O462" s="6"/>
      <c r="P462" s="6"/>
      <c r="Q462" s="6"/>
      <c r="R462" s="6"/>
      <c r="S462" s="6"/>
      <c r="T462" s="6"/>
      <c r="U462" s="6"/>
      <c r="V462" s="6"/>
      <c r="W462" s="6"/>
    </row>
    <row r="463" spans="1:23" x14ac:dyDescent="0.3">
      <c r="A463" s="6" t="s">
        <v>4070</v>
      </c>
      <c r="B463" s="6" t="s">
        <v>428</v>
      </c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>
        <v>13</v>
      </c>
      <c r="N463" s="6"/>
      <c r="O463" s="6"/>
      <c r="P463" s="6"/>
      <c r="Q463" s="6"/>
      <c r="R463" s="6"/>
      <c r="S463" s="6"/>
      <c r="T463" s="6"/>
      <c r="U463" s="6"/>
      <c r="V463" s="6"/>
      <c r="W463" s="6"/>
    </row>
    <row r="464" spans="1:23" x14ac:dyDescent="0.3">
      <c r="A464" s="6"/>
      <c r="B464" s="6" t="s">
        <v>412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>
        <v>-1</v>
      </c>
      <c r="N464" s="6"/>
      <c r="O464" s="6"/>
      <c r="P464" s="6"/>
      <c r="Q464" s="6"/>
      <c r="R464" s="6"/>
      <c r="S464" s="6"/>
      <c r="T464" s="6"/>
      <c r="U464" s="6"/>
      <c r="V464" s="6"/>
      <c r="W464" s="6"/>
    </row>
    <row r="465" spans="1:23" x14ac:dyDescent="0.3">
      <c r="A465" s="6"/>
      <c r="B465" s="6" t="s">
        <v>412</v>
      </c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>
        <v>-1</v>
      </c>
      <c r="N465" s="6"/>
      <c r="O465" s="6"/>
      <c r="P465" s="6"/>
      <c r="Q465" s="6"/>
      <c r="R465" s="6"/>
      <c r="S465" s="6"/>
      <c r="T465" s="6"/>
      <c r="U465" s="6"/>
      <c r="V465" s="6"/>
      <c r="W465" s="6"/>
    </row>
    <row r="466" spans="1:23" x14ac:dyDescent="0.3">
      <c r="A466" s="6"/>
      <c r="B466" s="6" t="s">
        <v>364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>
        <v>-1</v>
      </c>
      <c r="N466" s="6"/>
      <c r="O466" s="6"/>
      <c r="P466" s="6"/>
      <c r="Q466" s="6"/>
      <c r="R466" s="6"/>
      <c r="S466" s="6"/>
      <c r="T466" s="6"/>
      <c r="U466" s="6"/>
      <c r="V466" s="6"/>
      <c r="W466" s="6"/>
    </row>
    <row r="467" spans="1:23" x14ac:dyDescent="0.3">
      <c r="A467" s="6" t="s">
        <v>2518</v>
      </c>
      <c r="B467" s="6" t="s">
        <v>364</v>
      </c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>
        <v>32</v>
      </c>
      <c r="N467" s="6"/>
      <c r="O467" s="6"/>
      <c r="P467" s="6"/>
      <c r="Q467" s="6"/>
      <c r="R467" s="6"/>
      <c r="S467" s="6"/>
      <c r="T467" s="6"/>
      <c r="U467" s="6"/>
      <c r="V467" s="6"/>
      <c r="W467" s="6"/>
    </row>
    <row r="468" spans="1:23" x14ac:dyDescent="0.3">
      <c r="A468" s="6"/>
      <c r="B468" s="6" t="s">
        <v>444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>
        <v>-1</v>
      </c>
      <c r="N468" s="6"/>
      <c r="O468" s="6"/>
      <c r="P468" s="6"/>
      <c r="Q468" s="6"/>
      <c r="R468" s="6"/>
      <c r="S468" s="6"/>
      <c r="T468" s="6"/>
      <c r="U468" s="6"/>
      <c r="V468" s="6"/>
      <c r="W468" s="6"/>
    </row>
    <row r="469" spans="1:23" x14ac:dyDescent="0.3">
      <c r="A469" s="6"/>
      <c r="B469" s="6" t="s">
        <v>444</v>
      </c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>
        <v>-1</v>
      </c>
      <c r="N469" s="6"/>
      <c r="O469" s="6"/>
      <c r="P469" s="6"/>
      <c r="Q469" s="6"/>
      <c r="R469" s="6"/>
      <c r="S469" s="6"/>
      <c r="T469" s="6"/>
      <c r="U469" s="6"/>
      <c r="V469" s="6"/>
      <c r="W469" s="6"/>
    </row>
    <row r="470" spans="1:23" x14ac:dyDescent="0.3">
      <c r="A470" s="6"/>
      <c r="B470" s="6" t="s">
        <v>712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>
        <v>-1</v>
      </c>
      <c r="N470" s="6"/>
      <c r="O470" s="6"/>
      <c r="P470" s="6"/>
      <c r="Q470" s="6"/>
      <c r="R470" s="6"/>
      <c r="S470" s="6"/>
      <c r="T470" s="6"/>
      <c r="U470" s="6"/>
      <c r="V470" s="6"/>
      <c r="W470" s="6"/>
    </row>
    <row r="471" spans="1:23" x14ac:dyDescent="0.3">
      <c r="A471" s="6" t="s">
        <v>1551</v>
      </c>
      <c r="B471" s="6" t="s">
        <v>712</v>
      </c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>
        <v>17</v>
      </c>
      <c r="N471" s="6"/>
      <c r="O471" s="6"/>
      <c r="P471" s="6"/>
      <c r="Q471" s="6"/>
      <c r="R471" s="6"/>
      <c r="S471" s="6"/>
      <c r="T471" s="6"/>
      <c r="U471" s="6"/>
      <c r="V471" s="6"/>
      <c r="W471" s="6"/>
    </row>
    <row r="472" spans="1:23" x14ac:dyDescent="0.3">
      <c r="A472" s="6" t="s">
        <v>3012</v>
      </c>
      <c r="B472" s="6" t="s">
        <v>332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>
        <v>8</v>
      </c>
      <c r="N472" s="6"/>
      <c r="O472" s="6"/>
      <c r="P472" s="6"/>
      <c r="Q472" s="6"/>
      <c r="R472" s="6"/>
      <c r="S472" s="6"/>
      <c r="T472" s="6"/>
      <c r="U472" s="6"/>
      <c r="V472" s="6"/>
      <c r="W472" s="6"/>
    </row>
    <row r="473" spans="1:23" x14ac:dyDescent="0.3">
      <c r="A473" s="6" t="s">
        <v>3018</v>
      </c>
      <c r="B473" s="6" t="s">
        <v>332</v>
      </c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>
        <v>9</v>
      </c>
      <c r="N473" s="6"/>
      <c r="O473" s="6"/>
      <c r="P473" s="6"/>
      <c r="Q473" s="6"/>
      <c r="R473" s="6"/>
      <c r="S473" s="6"/>
      <c r="T473" s="6"/>
      <c r="U473" s="6"/>
      <c r="V473" s="6"/>
      <c r="W473" s="6"/>
    </row>
    <row r="474" spans="1:23" x14ac:dyDescent="0.3">
      <c r="A474" s="6"/>
      <c r="B474" s="6" t="s">
        <v>458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>
        <v>-1</v>
      </c>
      <c r="N474" s="6"/>
      <c r="O474" s="6"/>
      <c r="P474" s="6"/>
      <c r="Q474" s="6"/>
      <c r="R474" s="6"/>
      <c r="S474" s="6"/>
      <c r="T474" s="6"/>
      <c r="U474" s="6"/>
      <c r="V474" s="6"/>
      <c r="W474" s="6"/>
    </row>
    <row r="475" spans="1:23" x14ac:dyDescent="0.3">
      <c r="A475" s="6" t="s">
        <v>3946</v>
      </c>
      <c r="B475" s="6" t="s">
        <v>366</v>
      </c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>
        <v>53</v>
      </c>
      <c r="N475" s="6"/>
      <c r="O475" s="6"/>
      <c r="P475" s="6"/>
      <c r="Q475" s="6"/>
      <c r="R475" s="6"/>
      <c r="S475" s="6"/>
      <c r="T475" s="6"/>
      <c r="U475" s="6"/>
      <c r="V475" s="6"/>
      <c r="W475" s="6"/>
    </row>
    <row r="476" spans="1:23" x14ac:dyDescent="0.3">
      <c r="A476" s="6"/>
      <c r="B476" s="6" t="s">
        <v>484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>
        <v>-1</v>
      </c>
      <c r="N476" s="6"/>
      <c r="O476" s="6"/>
      <c r="P476" s="6"/>
      <c r="Q476" s="6"/>
      <c r="R476" s="6"/>
      <c r="S476" s="6"/>
      <c r="T476" s="6"/>
      <c r="U476" s="6"/>
      <c r="V476" s="6"/>
      <c r="W476" s="6"/>
    </row>
    <row r="477" spans="1:23" x14ac:dyDescent="0.3">
      <c r="A477" s="6"/>
      <c r="B477" s="6" t="s">
        <v>418</v>
      </c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>
        <v>-1</v>
      </c>
      <c r="N477" s="6"/>
      <c r="O477" s="6"/>
      <c r="P477" s="6"/>
      <c r="Q477" s="6"/>
      <c r="R477" s="6"/>
      <c r="S477" s="6"/>
      <c r="T477" s="6"/>
      <c r="U477" s="6"/>
      <c r="V477" s="6"/>
      <c r="W477" s="6"/>
    </row>
    <row r="478" spans="1:23" x14ac:dyDescent="0.3">
      <c r="A478" s="6"/>
      <c r="B478" s="6" t="s">
        <v>616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>
        <v>-1</v>
      </c>
      <c r="N478" s="6"/>
      <c r="O478" s="6"/>
      <c r="P478" s="6"/>
      <c r="Q478" s="6"/>
      <c r="R478" s="6"/>
      <c r="S478" s="6"/>
      <c r="T478" s="6"/>
      <c r="U478" s="6"/>
      <c r="V478" s="6"/>
      <c r="W478" s="6"/>
    </row>
    <row r="479" spans="1:23" x14ac:dyDescent="0.3">
      <c r="A479" s="6"/>
      <c r="B479" s="6" t="s">
        <v>392</v>
      </c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>
        <v>-1</v>
      </c>
      <c r="N479" s="6"/>
      <c r="O479" s="6"/>
      <c r="P479" s="6"/>
      <c r="Q479" s="6"/>
      <c r="R479" s="6"/>
      <c r="S479" s="6"/>
      <c r="T479" s="6"/>
      <c r="U479" s="6"/>
      <c r="V479" s="6"/>
      <c r="W479" s="6"/>
    </row>
    <row r="480" spans="1:23" x14ac:dyDescent="0.3">
      <c r="A480" s="6" t="s">
        <v>1382</v>
      </c>
      <c r="B480" s="6" t="s">
        <v>346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>
        <v>48</v>
      </c>
      <c r="N480" s="6"/>
      <c r="O480" s="6"/>
      <c r="P480" s="6"/>
      <c r="Q480" s="6"/>
      <c r="R480" s="6"/>
      <c r="S480" s="6"/>
      <c r="T480" s="6"/>
      <c r="U480" s="6"/>
      <c r="V480" s="6"/>
      <c r="W480" s="6"/>
    </row>
    <row r="481" spans="1:23" x14ac:dyDescent="0.3">
      <c r="A481" s="6"/>
      <c r="B481" s="6" t="s">
        <v>422</v>
      </c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>
        <v>-1</v>
      </c>
      <c r="N481" s="6"/>
      <c r="O481" s="6"/>
      <c r="P481" s="6"/>
      <c r="Q481" s="6"/>
      <c r="R481" s="6"/>
      <c r="S481" s="6"/>
      <c r="T481" s="6"/>
      <c r="U481" s="6"/>
      <c r="V481" s="6"/>
      <c r="W481" s="6"/>
    </row>
    <row r="482" spans="1:23" x14ac:dyDescent="0.3">
      <c r="A482" s="6"/>
      <c r="B482" s="6" t="s">
        <v>338</v>
      </c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>
        <v>-1</v>
      </c>
      <c r="N482" s="6"/>
      <c r="O482" s="6"/>
      <c r="P482" s="6"/>
      <c r="Q482" s="6"/>
      <c r="R482" s="6"/>
      <c r="S482" s="6"/>
      <c r="T482" s="6"/>
      <c r="U482" s="6"/>
      <c r="V482" s="6"/>
      <c r="W482" s="6"/>
    </row>
    <row r="483" spans="1:23" x14ac:dyDescent="0.3">
      <c r="A483" s="6"/>
      <c r="B483" s="6" t="s">
        <v>718</v>
      </c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>
        <v>-1</v>
      </c>
      <c r="N483" s="6"/>
      <c r="O483" s="6"/>
      <c r="P483" s="6"/>
      <c r="Q483" s="6"/>
      <c r="R483" s="6"/>
      <c r="S483" s="6"/>
      <c r="T483" s="6"/>
      <c r="U483" s="6"/>
      <c r="V483" s="6"/>
      <c r="W483" s="6"/>
    </row>
    <row r="484" spans="1:23" x14ac:dyDescent="0.3">
      <c r="A484" s="6"/>
      <c r="B484" s="6" t="s">
        <v>482</v>
      </c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>
        <v>-1</v>
      </c>
      <c r="N484" s="6"/>
      <c r="O484" s="6"/>
      <c r="P484" s="6"/>
      <c r="Q484" s="6"/>
      <c r="R484" s="6"/>
      <c r="S484" s="6"/>
      <c r="T484" s="6"/>
      <c r="U484" s="6"/>
      <c r="V484" s="6"/>
      <c r="W484" s="6"/>
    </row>
    <row r="485" spans="1:23" x14ac:dyDescent="0.3">
      <c r="A485" s="6"/>
      <c r="B485" s="6" t="s">
        <v>738</v>
      </c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>
        <v>-1</v>
      </c>
      <c r="N485" s="6"/>
      <c r="O485" s="6"/>
      <c r="P485" s="6"/>
      <c r="Q485" s="6"/>
      <c r="R485" s="6"/>
      <c r="S485" s="6"/>
      <c r="T485" s="6"/>
      <c r="U485" s="6"/>
      <c r="V485" s="6"/>
      <c r="W485" s="6"/>
    </row>
    <row r="486" spans="1:23" x14ac:dyDescent="0.3">
      <c r="A486" s="6"/>
      <c r="B486" s="6" t="s">
        <v>354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>
        <v>-1</v>
      </c>
      <c r="N486" s="6"/>
      <c r="O486" s="6"/>
      <c r="P486" s="6"/>
      <c r="Q486" s="6"/>
      <c r="R486" s="6"/>
      <c r="S486" s="6"/>
      <c r="T486" s="6"/>
      <c r="U486" s="6"/>
      <c r="V486" s="6"/>
      <c r="W486" s="6"/>
    </row>
    <row r="487" spans="1:23" x14ac:dyDescent="0.3">
      <c r="A487" s="6"/>
      <c r="B487" s="6" t="s">
        <v>366</v>
      </c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>
        <v>-1</v>
      </c>
      <c r="N487" s="6"/>
      <c r="O487" s="6"/>
      <c r="P487" s="6"/>
      <c r="Q487" s="6"/>
      <c r="R487" s="6"/>
      <c r="S487" s="6"/>
      <c r="T487" s="6"/>
      <c r="U487" s="6"/>
      <c r="V487" s="6"/>
      <c r="W487" s="6"/>
    </row>
    <row r="488" spans="1:23" x14ac:dyDescent="0.3">
      <c r="A488" s="6" t="s">
        <v>3319</v>
      </c>
      <c r="B488" s="6" t="s">
        <v>428</v>
      </c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>
        <v>6</v>
      </c>
      <c r="N488" s="6"/>
      <c r="O488" s="6"/>
      <c r="P488" s="6"/>
      <c r="Q488" s="6"/>
      <c r="R488" s="6"/>
      <c r="S488" s="6"/>
      <c r="T488" s="6"/>
      <c r="U488" s="6"/>
      <c r="V488" s="6"/>
      <c r="W488" s="6"/>
    </row>
    <row r="489" spans="1:23" x14ac:dyDescent="0.3">
      <c r="A489" s="6"/>
      <c r="B489" s="6" t="s">
        <v>422</v>
      </c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>
        <v>-1</v>
      </c>
      <c r="N489" s="6"/>
      <c r="O489" s="6"/>
      <c r="P489" s="6"/>
      <c r="Q489" s="6"/>
      <c r="R489" s="6"/>
      <c r="S489" s="6"/>
      <c r="T489" s="6"/>
      <c r="U489" s="6"/>
      <c r="V489" s="6"/>
      <c r="W489" s="6"/>
    </row>
    <row r="490" spans="1:23" x14ac:dyDescent="0.3">
      <c r="A490" s="6" t="s">
        <v>3136</v>
      </c>
      <c r="B490" s="6" t="s">
        <v>332</v>
      </c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>
        <v>63</v>
      </c>
      <c r="N490" s="6"/>
      <c r="O490" s="6"/>
      <c r="P490" s="6"/>
      <c r="Q490" s="6"/>
      <c r="R490" s="6"/>
      <c r="S490" s="6"/>
      <c r="T490" s="6"/>
      <c r="U490" s="6"/>
      <c r="V490" s="6"/>
      <c r="W490" s="6"/>
    </row>
    <row r="491" spans="1:23" x14ac:dyDescent="0.3">
      <c r="A491" s="6" t="s">
        <v>2074</v>
      </c>
      <c r="B491" s="6" t="s">
        <v>354</v>
      </c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>
        <v>11</v>
      </c>
      <c r="O491" s="6"/>
      <c r="P491" s="6"/>
      <c r="Q491" s="6"/>
      <c r="R491" s="6"/>
      <c r="S491" s="6"/>
      <c r="T491" s="6"/>
      <c r="U491" s="6"/>
      <c r="V491" s="6"/>
      <c r="W491" s="6"/>
    </row>
    <row r="492" spans="1:23" x14ac:dyDescent="0.3">
      <c r="A492" s="6"/>
      <c r="B492" s="6" t="s">
        <v>354</v>
      </c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>
        <v>-1</v>
      </c>
      <c r="O492" s="6"/>
      <c r="P492" s="6"/>
      <c r="Q492" s="6"/>
      <c r="R492" s="6"/>
      <c r="S492" s="6"/>
      <c r="T492" s="6"/>
      <c r="U492" s="6"/>
      <c r="V492" s="6"/>
      <c r="W492" s="6"/>
    </row>
    <row r="493" spans="1:23" x14ac:dyDescent="0.3">
      <c r="A493" s="6"/>
      <c r="B493" s="6" t="s">
        <v>354</v>
      </c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>
        <v>-1</v>
      </c>
      <c r="O493" s="6"/>
      <c r="P493" s="6"/>
      <c r="Q493" s="6"/>
      <c r="R493" s="6"/>
      <c r="S493" s="6"/>
      <c r="T493" s="6"/>
      <c r="U493" s="6"/>
      <c r="V493" s="6"/>
      <c r="W493" s="6"/>
    </row>
    <row r="494" spans="1:23" x14ac:dyDescent="0.3">
      <c r="A494" s="6"/>
      <c r="B494" s="6" t="s">
        <v>328</v>
      </c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>
        <v>-1</v>
      </c>
      <c r="O494" s="6"/>
      <c r="P494" s="6"/>
      <c r="Q494" s="6"/>
      <c r="R494" s="6"/>
      <c r="S494" s="6"/>
      <c r="T494" s="6"/>
      <c r="U494" s="6"/>
      <c r="V494" s="6"/>
      <c r="W494" s="6"/>
    </row>
    <row r="495" spans="1:23" x14ac:dyDescent="0.3">
      <c r="A495" s="6"/>
      <c r="B495" s="6" t="s">
        <v>328</v>
      </c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>
        <v>-1</v>
      </c>
      <c r="O495" s="6"/>
      <c r="P495" s="6"/>
      <c r="Q495" s="6"/>
      <c r="R495" s="6"/>
      <c r="S495" s="6"/>
      <c r="T495" s="6"/>
      <c r="U495" s="6"/>
      <c r="V495" s="6"/>
      <c r="W495" s="6"/>
    </row>
    <row r="496" spans="1:23" x14ac:dyDescent="0.3">
      <c r="A496" s="6"/>
      <c r="B496" s="6" t="s">
        <v>328</v>
      </c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>
        <v>-1</v>
      </c>
      <c r="O496" s="6"/>
      <c r="P496" s="6"/>
      <c r="Q496" s="6"/>
      <c r="R496" s="6"/>
      <c r="S496" s="6"/>
      <c r="T496" s="6"/>
      <c r="U496" s="6"/>
      <c r="V496" s="6"/>
      <c r="W496" s="6"/>
    </row>
    <row r="497" spans="1:23" x14ac:dyDescent="0.3">
      <c r="A497" s="6" t="s">
        <v>4243</v>
      </c>
      <c r="B497" s="6" t="s">
        <v>400</v>
      </c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>
        <v>15</v>
      </c>
      <c r="O497" s="6"/>
      <c r="P497" s="6"/>
      <c r="Q497" s="6"/>
      <c r="R497" s="6"/>
      <c r="S497" s="6"/>
      <c r="T497" s="6"/>
      <c r="U497" s="6"/>
      <c r="V497" s="6"/>
      <c r="W497" s="6"/>
    </row>
    <row r="498" spans="1:23" x14ac:dyDescent="0.3">
      <c r="A498" s="6"/>
      <c r="B498" s="6" t="s">
        <v>400</v>
      </c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>
        <v>-1</v>
      </c>
      <c r="O498" s="6"/>
      <c r="P498" s="6"/>
      <c r="Q498" s="6"/>
      <c r="R498" s="6"/>
      <c r="S498" s="6"/>
      <c r="T498" s="6"/>
      <c r="U498" s="6"/>
      <c r="V498" s="6"/>
      <c r="W498" s="6"/>
    </row>
    <row r="499" spans="1:23" x14ac:dyDescent="0.3">
      <c r="A499" s="6"/>
      <c r="B499" s="6" t="s">
        <v>400</v>
      </c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>
        <v>-1</v>
      </c>
      <c r="O499" s="6"/>
      <c r="P499" s="6"/>
      <c r="Q499" s="6"/>
      <c r="R499" s="6"/>
      <c r="S499" s="6"/>
      <c r="T499" s="6"/>
      <c r="U499" s="6"/>
      <c r="V499" s="6"/>
      <c r="W499" s="6"/>
    </row>
    <row r="500" spans="1:23" x14ac:dyDescent="0.3">
      <c r="A500" s="6"/>
      <c r="B500" s="6" t="s">
        <v>448</v>
      </c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>
        <v>-1</v>
      </c>
      <c r="O500" s="6"/>
      <c r="P500" s="6"/>
      <c r="Q500" s="6"/>
      <c r="R500" s="6"/>
      <c r="S500" s="6"/>
      <c r="T500" s="6"/>
      <c r="U500" s="6"/>
      <c r="V500" s="6"/>
      <c r="W500" s="6"/>
    </row>
    <row r="501" spans="1:23" x14ac:dyDescent="0.3">
      <c r="A501" s="6"/>
      <c r="B501" s="6" t="s">
        <v>448</v>
      </c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>
        <v>-1</v>
      </c>
      <c r="O501" s="6"/>
      <c r="P501" s="6"/>
      <c r="Q501" s="6"/>
      <c r="R501" s="6"/>
      <c r="S501" s="6"/>
      <c r="T501" s="6"/>
      <c r="U501" s="6"/>
      <c r="V501" s="6"/>
      <c r="W501" s="6"/>
    </row>
    <row r="502" spans="1:23" x14ac:dyDescent="0.3">
      <c r="A502" s="6"/>
      <c r="B502" s="6" t="s">
        <v>448</v>
      </c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>
        <v>-1</v>
      </c>
      <c r="O502" s="6"/>
      <c r="P502" s="6"/>
      <c r="Q502" s="6"/>
      <c r="R502" s="6"/>
      <c r="S502" s="6"/>
      <c r="T502" s="6"/>
      <c r="U502" s="6"/>
      <c r="V502" s="6"/>
      <c r="W502" s="6"/>
    </row>
    <row r="503" spans="1:23" x14ac:dyDescent="0.3">
      <c r="A503" s="6" t="s">
        <v>1746</v>
      </c>
      <c r="B503" s="6" t="s">
        <v>428</v>
      </c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>
        <v>18</v>
      </c>
      <c r="O503" s="6"/>
      <c r="P503" s="6"/>
      <c r="Q503" s="6"/>
      <c r="R503" s="6"/>
      <c r="S503" s="6"/>
      <c r="T503" s="6"/>
      <c r="U503" s="6"/>
      <c r="V503" s="6"/>
      <c r="W503" s="6"/>
    </row>
    <row r="504" spans="1:23" x14ac:dyDescent="0.3">
      <c r="A504" s="6" t="s">
        <v>3743</v>
      </c>
      <c r="B504" s="6" t="s">
        <v>428</v>
      </c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>
        <v>7</v>
      </c>
      <c r="O504" s="6"/>
      <c r="P504" s="6"/>
      <c r="Q504" s="6"/>
      <c r="R504" s="6"/>
      <c r="S504" s="6"/>
      <c r="T504" s="6"/>
      <c r="U504" s="6"/>
      <c r="V504" s="6"/>
      <c r="W504" s="6"/>
    </row>
    <row r="505" spans="1:23" x14ac:dyDescent="0.3">
      <c r="A505" s="6"/>
      <c r="B505" s="6" t="s">
        <v>428</v>
      </c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>
        <v>-1</v>
      </c>
      <c r="O505" s="6"/>
      <c r="P505" s="6"/>
      <c r="Q505" s="6"/>
      <c r="R505" s="6"/>
      <c r="S505" s="6"/>
      <c r="T505" s="6"/>
      <c r="U505" s="6"/>
      <c r="V505" s="6"/>
      <c r="W505" s="6"/>
    </row>
    <row r="506" spans="1:23" x14ac:dyDescent="0.3">
      <c r="A506" s="6" t="s">
        <v>3932</v>
      </c>
      <c r="B506" s="6" t="s">
        <v>350</v>
      </c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>
        <v>13</v>
      </c>
      <c r="O506" s="6"/>
      <c r="P506" s="6"/>
      <c r="Q506" s="6"/>
      <c r="R506" s="6"/>
      <c r="S506" s="6"/>
      <c r="T506" s="6"/>
      <c r="U506" s="6"/>
      <c r="V506" s="6"/>
      <c r="W506" s="6"/>
    </row>
    <row r="507" spans="1:23" x14ac:dyDescent="0.3">
      <c r="A507" s="6"/>
      <c r="B507" s="6" t="s">
        <v>350</v>
      </c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>
        <v>-1</v>
      </c>
      <c r="O507" s="6"/>
      <c r="P507" s="6"/>
      <c r="Q507" s="6"/>
      <c r="R507" s="6"/>
      <c r="S507" s="6"/>
      <c r="T507" s="6"/>
      <c r="U507" s="6"/>
      <c r="V507" s="6"/>
      <c r="W507" s="6"/>
    </row>
    <row r="508" spans="1:23" x14ac:dyDescent="0.3">
      <c r="A508" s="6" t="s">
        <v>3864</v>
      </c>
      <c r="B508" s="6" t="s">
        <v>350</v>
      </c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>
        <v>14</v>
      </c>
      <c r="O508" s="6"/>
      <c r="P508" s="6"/>
      <c r="Q508" s="6"/>
      <c r="R508" s="6"/>
      <c r="S508" s="6"/>
      <c r="T508" s="6"/>
      <c r="U508" s="6"/>
      <c r="V508" s="6"/>
      <c r="W508" s="6"/>
    </row>
    <row r="509" spans="1:23" x14ac:dyDescent="0.3">
      <c r="A509" s="6" t="s">
        <v>3994</v>
      </c>
      <c r="B509" s="6" t="s">
        <v>330</v>
      </c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>
        <v>33</v>
      </c>
      <c r="O509" s="6"/>
      <c r="P509" s="6"/>
      <c r="Q509" s="6"/>
      <c r="R509" s="6"/>
      <c r="S509" s="6"/>
      <c r="T509" s="6"/>
      <c r="U509" s="6"/>
      <c r="V509" s="6"/>
      <c r="W509" s="6"/>
    </row>
    <row r="510" spans="1:23" x14ac:dyDescent="0.3">
      <c r="A510" s="6"/>
      <c r="B510" s="6" t="s">
        <v>330</v>
      </c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>
        <v>-1</v>
      </c>
      <c r="O510" s="6"/>
      <c r="P510" s="6"/>
      <c r="Q510" s="6"/>
      <c r="R510" s="6"/>
      <c r="S510" s="6"/>
      <c r="T510" s="6"/>
      <c r="U510" s="6"/>
      <c r="V510" s="6"/>
      <c r="W510" s="6"/>
    </row>
    <row r="511" spans="1:23" x14ac:dyDescent="0.3">
      <c r="A511" s="6"/>
      <c r="B511" s="6" t="s">
        <v>330</v>
      </c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>
        <v>-1</v>
      </c>
      <c r="O511" s="6"/>
      <c r="P511" s="6"/>
      <c r="Q511" s="6"/>
      <c r="R511" s="6"/>
      <c r="S511" s="6"/>
      <c r="T511" s="6"/>
      <c r="U511" s="6"/>
      <c r="V511" s="6"/>
      <c r="W511" s="6"/>
    </row>
    <row r="512" spans="1:23" x14ac:dyDescent="0.3">
      <c r="A512" s="6"/>
      <c r="B512" s="6" t="s">
        <v>344</v>
      </c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>
        <v>-1</v>
      </c>
      <c r="O512" s="6"/>
      <c r="P512" s="6"/>
      <c r="Q512" s="6"/>
      <c r="R512" s="6"/>
      <c r="S512" s="6"/>
      <c r="T512" s="6"/>
      <c r="U512" s="6"/>
      <c r="V512" s="6"/>
      <c r="W512" s="6"/>
    </row>
    <row r="513" spans="1:23" x14ac:dyDescent="0.3">
      <c r="A513" s="6" t="s">
        <v>1585</v>
      </c>
      <c r="B513" s="6" t="s">
        <v>344</v>
      </c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>
        <v>24</v>
      </c>
      <c r="O513" s="6"/>
      <c r="P513" s="6"/>
      <c r="Q513" s="6"/>
      <c r="R513" s="6"/>
      <c r="S513" s="6"/>
      <c r="T513" s="6"/>
      <c r="U513" s="6"/>
      <c r="V513" s="6"/>
      <c r="W513" s="6"/>
    </row>
    <row r="514" spans="1:23" x14ac:dyDescent="0.3">
      <c r="A514" s="6"/>
      <c r="B514" s="6" t="s">
        <v>356</v>
      </c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>
        <v>-1</v>
      </c>
      <c r="O514" s="6"/>
      <c r="P514" s="6"/>
      <c r="Q514" s="6"/>
      <c r="R514" s="6"/>
      <c r="S514" s="6"/>
      <c r="T514" s="6"/>
      <c r="U514" s="6"/>
      <c r="V514" s="6"/>
      <c r="W514" s="6"/>
    </row>
    <row r="515" spans="1:23" x14ac:dyDescent="0.3">
      <c r="A515" s="6" t="s">
        <v>3379</v>
      </c>
      <c r="B515" s="6" t="s">
        <v>356</v>
      </c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>
        <v>4</v>
      </c>
      <c r="O515" s="6"/>
      <c r="P515" s="6"/>
      <c r="Q515" s="6"/>
      <c r="R515" s="6"/>
      <c r="S515" s="6"/>
      <c r="T515" s="6"/>
      <c r="U515" s="6"/>
      <c r="V515" s="6"/>
      <c r="W515" s="6"/>
    </row>
    <row r="516" spans="1:23" x14ac:dyDescent="0.3">
      <c r="A516" s="6" t="s">
        <v>4495</v>
      </c>
      <c r="B516" s="6" t="s">
        <v>336</v>
      </c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>
        <v>2</v>
      </c>
      <c r="O516" s="6"/>
      <c r="P516" s="6"/>
      <c r="Q516" s="6"/>
      <c r="R516" s="6"/>
      <c r="S516" s="6"/>
      <c r="T516" s="6"/>
      <c r="U516" s="6"/>
      <c r="V516" s="6"/>
      <c r="W516" s="6"/>
    </row>
    <row r="517" spans="1:23" x14ac:dyDescent="0.3">
      <c r="A517" s="6" t="s">
        <v>2540</v>
      </c>
      <c r="B517" s="6" t="s">
        <v>384</v>
      </c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>
        <v>5</v>
      </c>
      <c r="O517" s="6"/>
      <c r="P517" s="6"/>
      <c r="Q517" s="6"/>
      <c r="R517" s="6"/>
      <c r="S517" s="6"/>
      <c r="T517" s="6"/>
      <c r="U517" s="6"/>
      <c r="V517" s="6"/>
      <c r="W517" s="6"/>
    </row>
    <row r="518" spans="1:23" x14ac:dyDescent="0.3">
      <c r="A518" s="6"/>
      <c r="B518" s="6" t="s">
        <v>372</v>
      </c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>
        <v>-1</v>
      </c>
      <c r="O518" s="6"/>
      <c r="P518" s="6"/>
      <c r="Q518" s="6"/>
      <c r="R518" s="6"/>
      <c r="S518" s="6"/>
      <c r="T518" s="6"/>
      <c r="U518" s="6"/>
      <c r="V518" s="6"/>
      <c r="W518" s="6"/>
    </row>
    <row r="519" spans="1:23" x14ac:dyDescent="0.3">
      <c r="A519" s="6"/>
      <c r="B519" s="6" t="s">
        <v>334</v>
      </c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>
        <v>-1</v>
      </c>
      <c r="O519" s="6"/>
      <c r="P519" s="6"/>
      <c r="Q519" s="6"/>
      <c r="R519" s="6"/>
      <c r="S519" s="6"/>
      <c r="T519" s="6"/>
      <c r="U519" s="6"/>
      <c r="V519" s="6"/>
      <c r="W519" s="6"/>
    </row>
    <row r="520" spans="1:23" x14ac:dyDescent="0.3">
      <c r="A520" s="6"/>
      <c r="B520" s="6" t="s">
        <v>418</v>
      </c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>
        <v>-1</v>
      </c>
      <c r="O520" s="6"/>
      <c r="P520" s="6"/>
      <c r="Q520" s="6"/>
      <c r="R520" s="6"/>
      <c r="S520" s="6"/>
      <c r="T520" s="6"/>
      <c r="U520" s="6"/>
      <c r="V520" s="6"/>
      <c r="W520" s="6"/>
    </row>
    <row r="521" spans="1:23" x14ac:dyDescent="0.3">
      <c r="A521" s="6"/>
      <c r="B521" s="6" t="s">
        <v>436</v>
      </c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>
        <v>-1</v>
      </c>
      <c r="O521" s="6"/>
      <c r="P521" s="6"/>
      <c r="Q521" s="6"/>
      <c r="R521" s="6"/>
      <c r="S521" s="6"/>
      <c r="T521" s="6"/>
      <c r="U521" s="6"/>
      <c r="V521" s="6"/>
      <c r="W521" s="6"/>
    </row>
    <row r="522" spans="1:23" x14ac:dyDescent="0.3">
      <c r="A522" s="6"/>
      <c r="B522" s="6" t="s">
        <v>392</v>
      </c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>
        <v>-1</v>
      </c>
      <c r="O522" s="6"/>
      <c r="P522" s="6"/>
      <c r="Q522" s="6"/>
      <c r="R522" s="6"/>
      <c r="S522" s="6"/>
      <c r="T522" s="6"/>
      <c r="U522" s="6"/>
      <c r="V522" s="6"/>
      <c r="W522" s="6"/>
    </row>
    <row r="523" spans="1:23" x14ac:dyDescent="0.3">
      <c r="A523" s="6" t="s">
        <v>1678</v>
      </c>
      <c r="B523" s="6" t="s">
        <v>394</v>
      </c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>
        <v>29</v>
      </c>
      <c r="O523" s="6"/>
      <c r="P523" s="6"/>
      <c r="Q523" s="6"/>
      <c r="R523" s="6"/>
      <c r="S523" s="6"/>
      <c r="T523" s="6"/>
      <c r="U523" s="6"/>
      <c r="V523" s="6"/>
      <c r="W523" s="6"/>
    </row>
    <row r="524" spans="1:23" x14ac:dyDescent="0.3">
      <c r="A524" s="6"/>
      <c r="B524" s="6" t="s">
        <v>338</v>
      </c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>
        <v>-1</v>
      </c>
      <c r="O524" s="6"/>
      <c r="P524" s="6"/>
      <c r="Q524" s="6"/>
      <c r="R524" s="6"/>
      <c r="S524" s="6"/>
      <c r="T524" s="6"/>
      <c r="U524" s="6"/>
      <c r="V524" s="6"/>
      <c r="W524" s="6"/>
    </row>
    <row r="525" spans="1:23" x14ac:dyDescent="0.3">
      <c r="A525" s="6"/>
      <c r="B525" s="6" t="s">
        <v>718</v>
      </c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>
        <v>-1</v>
      </c>
      <c r="O525" s="6"/>
      <c r="P525" s="6"/>
      <c r="Q525" s="6"/>
      <c r="R525" s="6"/>
      <c r="S525" s="6"/>
      <c r="T525" s="6"/>
      <c r="U525" s="6"/>
      <c r="V525" s="6"/>
      <c r="W525" s="6"/>
    </row>
    <row r="526" spans="1:23" x14ac:dyDescent="0.3">
      <c r="A526" s="6"/>
      <c r="B526" s="6" t="s">
        <v>336</v>
      </c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>
        <v>-1</v>
      </c>
      <c r="O526" s="6"/>
      <c r="P526" s="6"/>
      <c r="Q526" s="6"/>
      <c r="R526" s="6"/>
      <c r="S526" s="6"/>
      <c r="T526" s="6"/>
      <c r="U526" s="6"/>
      <c r="V526" s="6"/>
      <c r="W526" s="6"/>
    </row>
    <row r="527" spans="1:23" x14ac:dyDescent="0.3">
      <c r="A527" s="6"/>
      <c r="B527" s="6" t="s">
        <v>334</v>
      </c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>
        <v>-1</v>
      </c>
      <c r="O527" s="6"/>
      <c r="P527" s="6"/>
      <c r="Q527" s="6"/>
      <c r="R527" s="6"/>
      <c r="S527" s="6"/>
      <c r="T527" s="6"/>
      <c r="U527" s="6"/>
      <c r="V527" s="6"/>
      <c r="W527" s="6"/>
    </row>
    <row r="528" spans="1:23" x14ac:dyDescent="0.3">
      <c r="A528" s="6" t="s">
        <v>1404</v>
      </c>
      <c r="B528" s="6" t="s">
        <v>402</v>
      </c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>
        <v>16</v>
      </c>
      <c r="O528" s="6"/>
      <c r="P528" s="6"/>
      <c r="Q528" s="6"/>
      <c r="R528" s="6"/>
      <c r="S528" s="6"/>
      <c r="T528" s="6"/>
      <c r="U528" s="6"/>
      <c r="V528" s="6"/>
      <c r="W528" s="6"/>
    </row>
    <row r="529" spans="1:23" x14ac:dyDescent="0.3">
      <c r="A529" s="6"/>
      <c r="B529" s="6" t="s">
        <v>418</v>
      </c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>
        <v>-1</v>
      </c>
      <c r="O529" s="6"/>
      <c r="P529" s="6"/>
      <c r="Q529" s="6"/>
      <c r="R529" s="6"/>
      <c r="S529" s="6"/>
      <c r="T529" s="6"/>
      <c r="U529" s="6"/>
      <c r="V529" s="6"/>
      <c r="W529" s="6"/>
    </row>
    <row r="530" spans="1:23" x14ac:dyDescent="0.3">
      <c r="A530" s="6" t="s">
        <v>3872</v>
      </c>
      <c r="B530" s="6" t="s">
        <v>406</v>
      </c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>
        <v>44</v>
      </c>
      <c r="O530" s="6"/>
      <c r="P530" s="6"/>
      <c r="Q530" s="6"/>
      <c r="R530" s="6"/>
      <c r="S530" s="6"/>
      <c r="T530" s="6"/>
      <c r="U530" s="6"/>
      <c r="V530" s="6"/>
      <c r="W530" s="6"/>
    </row>
    <row r="531" spans="1:23" x14ac:dyDescent="0.3">
      <c r="A531" s="6"/>
      <c r="B531" s="6" t="s">
        <v>356</v>
      </c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>
        <v>-1</v>
      </c>
      <c r="O531" s="6"/>
      <c r="P531" s="6"/>
      <c r="Q531" s="6"/>
      <c r="R531" s="6"/>
      <c r="S531" s="6"/>
      <c r="T531" s="6"/>
      <c r="U531" s="6"/>
      <c r="V531" s="6"/>
      <c r="W531" s="6"/>
    </row>
    <row r="532" spans="1:23" x14ac:dyDescent="0.3">
      <c r="A532" s="6" t="s">
        <v>4858</v>
      </c>
      <c r="B532" s="6" t="s">
        <v>392</v>
      </c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>
        <v>26</v>
      </c>
      <c r="O532" s="6"/>
      <c r="P532" s="6"/>
      <c r="Q532" s="6"/>
      <c r="R532" s="6"/>
      <c r="S532" s="6"/>
      <c r="T532" s="6"/>
      <c r="U532" s="6"/>
      <c r="V532" s="6"/>
      <c r="W532" s="6"/>
    </row>
    <row r="533" spans="1:23" x14ac:dyDescent="0.3">
      <c r="A533" s="6"/>
      <c r="B533" s="6" t="s">
        <v>394</v>
      </c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>
        <v>-1</v>
      </c>
      <c r="O533" s="6"/>
      <c r="P533" s="6"/>
      <c r="Q533" s="6"/>
      <c r="R533" s="6"/>
      <c r="S533" s="6"/>
      <c r="T533" s="6"/>
      <c r="U533" s="6"/>
      <c r="V533" s="6"/>
      <c r="W533" s="6"/>
    </row>
    <row r="534" spans="1:23" x14ac:dyDescent="0.3">
      <c r="A534" s="6" t="s">
        <v>1539</v>
      </c>
      <c r="B534" s="6" t="s">
        <v>408</v>
      </c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>
        <v>34</v>
      </c>
      <c r="O534" s="6"/>
      <c r="P534" s="6"/>
      <c r="Q534" s="6"/>
      <c r="R534" s="6"/>
      <c r="S534" s="6"/>
      <c r="T534" s="6"/>
      <c r="U534" s="6"/>
      <c r="V534" s="6"/>
      <c r="W534" s="6"/>
    </row>
    <row r="535" spans="1:23" x14ac:dyDescent="0.3">
      <c r="A535" s="6"/>
      <c r="B535" s="6" t="s">
        <v>700</v>
      </c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>
        <v>-1</v>
      </c>
      <c r="O535" s="6"/>
      <c r="P535" s="6"/>
      <c r="Q535" s="6"/>
      <c r="R535" s="6"/>
      <c r="S535" s="6"/>
      <c r="T535" s="6"/>
      <c r="U535" s="6"/>
      <c r="V535" s="6"/>
      <c r="W535" s="6"/>
    </row>
    <row r="536" spans="1:23" x14ac:dyDescent="0.3">
      <c r="A536" s="6"/>
      <c r="B536" s="6" t="s">
        <v>726</v>
      </c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>
        <v>-1</v>
      </c>
      <c r="O536" s="6"/>
      <c r="P536" s="6"/>
      <c r="Q536" s="6"/>
      <c r="R536" s="6"/>
      <c r="S536" s="6"/>
      <c r="T536" s="6"/>
      <c r="U536" s="6"/>
      <c r="V536" s="6"/>
      <c r="W536" s="6"/>
    </row>
    <row r="537" spans="1:23" x14ac:dyDescent="0.3">
      <c r="A537" s="6"/>
      <c r="B537" s="6" t="s">
        <v>576</v>
      </c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>
        <v>-1</v>
      </c>
      <c r="O537" s="6"/>
      <c r="P537" s="6"/>
      <c r="Q537" s="6"/>
      <c r="R537" s="6"/>
      <c r="S537" s="6"/>
      <c r="T537" s="6"/>
      <c r="U537" s="6"/>
      <c r="V537" s="6"/>
      <c r="W537" s="6"/>
    </row>
    <row r="538" spans="1:23" x14ac:dyDescent="0.3">
      <c r="A538" s="6"/>
      <c r="B538" s="6" t="s">
        <v>406</v>
      </c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>
        <v>-1</v>
      </c>
      <c r="O538" s="6"/>
      <c r="P538" s="6"/>
      <c r="Q538" s="6"/>
      <c r="R538" s="6"/>
      <c r="S538" s="6"/>
      <c r="T538" s="6"/>
      <c r="U538" s="6"/>
      <c r="V538" s="6"/>
      <c r="W538" s="6"/>
    </row>
    <row r="539" spans="1:23" x14ac:dyDescent="0.3">
      <c r="A539" s="6" t="s">
        <v>4502</v>
      </c>
      <c r="B539" s="6" t="s">
        <v>336</v>
      </c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>
        <v>28</v>
      </c>
      <c r="O539" s="6"/>
      <c r="P539" s="6"/>
      <c r="Q539" s="6"/>
      <c r="R539" s="6"/>
      <c r="S539" s="6"/>
      <c r="T539" s="6"/>
      <c r="U539" s="6"/>
      <c r="V539" s="6"/>
      <c r="W539" s="6"/>
    </row>
    <row r="540" spans="1:23" x14ac:dyDescent="0.3">
      <c r="A540" s="6"/>
      <c r="B540" s="6" t="s">
        <v>332</v>
      </c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>
        <v>-1</v>
      </c>
      <c r="R540" s="6"/>
      <c r="S540" s="6"/>
      <c r="T540" s="6"/>
      <c r="U540" s="6"/>
      <c r="V540" s="6"/>
      <c r="W540" s="6"/>
    </row>
    <row r="541" spans="1:23" x14ac:dyDescent="0.3">
      <c r="A541" s="6"/>
      <c r="B541" s="6" t="s">
        <v>332</v>
      </c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>
        <v>-1</v>
      </c>
      <c r="R541" s="6"/>
      <c r="S541" s="6"/>
      <c r="T541" s="6"/>
      <c r="U541" s="6"/>
      <c r="V541" s="6"/>
      <c r="W541" s="6"/>
    </row>
    <row r="542" spans="1:23" x14ac:dyDescent="0.3">
      <c r="A542" s="6"/>
      <c r="B542" s="6" t="s">
        <v>470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>
        <v>-1</v>
      </c>
      <c r="R542" s="6"/>
      <c r="S542" s="6"/>
      <c r="T542" s="6"/>
      <c r="U542" s="6"/>
      <c r="V542" s="6"/>
      <c r="W542" s="6"/>
    </row>
    <row r="543" spans="1:23" x14ac:dyDescent="0.3">
      <c r="A543" s="6"/>
      <c r="B543" s="6" t="s">
        <v>334</v>
      </c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>
        <v>-1</v>
      </c>
      <c r="R543" s="6"/>
      <c r="S543" s="6"/>
      <c r="T543" s="6"/>
      <c r="U543" s="6"/>
      <c r="V543" s="6"/>
      <c r="W543" s="6"/>
    </row>
    <row r="544" spans="1:23" x14ac:dyDescent="0.3">
      <c r="A544" s="6"/>
      <c r="B544" s="6" t="s">
        <v>356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>
        <v>-1</v>
      </c>
      <c r="R544" s="6"/>
      <c r="S544" s="6"/>
      <c r="T544" s="6"/>
      <c r="U544" s="6"/>
      <c r="V544" s="6"/>
      <c r="W544" s="6"/>
    </row>
    <row r="545" spans="1:23" x14ac:dyDescent="0.3">
      <c r="A545" s="6"/>
      <c r="B545" s="6" t="s">
        <v>474</v>
      </c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>
        <v>-1</v>
      </c>
      <c r="R545" s="6"/>
      <c r="S545" s="6"/>
      <c r="T545" s="6"/>
      <c r="U545" s="6"/>
      <c r="V545" s="6"/>
      <c r="W545" s="6"/>
    </row>
    <row r="546" spans="1:23" x14ac:dyDescent="0.3">
      <c r="A546" s="6"/>
      <c r="B546" s="6" t="s">
        <v>672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>
        <v>-1</v>
      </c>
      <c r="R546" s="6"/>
      <c r="S546" s="6"/>
      <c r="T546" s="6"/>
      <c r="U546" s="6"/>
      <c r="V546" s="6"/>
      <c r="W546" s="6"/>
    </row>
    <row r="547" spans="1:23" x14ac:dyDescent="0.3">
      <c r="A547" s="6"/>
      <c r="B547" s="6" t="s">
        <v>700</v>
      </c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>
        <v>-1</v>
      </c>
      <c r="R547" s="6"/>
      <c r="S547" s="6"/>
      <c r="T547" s="6"/>
      <c r="U547" s="6"/>
      <c r="V547" s="6"/>
      <c r="W547" s="6"/>
    </row>
    <row r="548" spans="1:23" x14ac:dyDescent="0.3">
      <c r="A548" s="6"/>
      <c r="B548" s="6" t="s">
        <v>354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>
        <v>-1</v>
      </c>
      <c r="R548" s="6"/>
      <c r="S548" s="6"/>
      <c r="T548" s="6"/>
      <c r="U548" s="6"/>
      <c r="V548" s="6"/>
      <c r="W548" s="6"/>
    </row>
    <row r="549" spans="1:23" x14ac:dyDescent="0.3">
      <c r="A549" s="6"/>
      <c r="B549" s="6" t="s">
        <v>354</v>
      </c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>
        <v>-1</v>
      </c>
      <c r="R549" s="6"/>
      <c r="S549" s="6"/>
      <c r="T549" s="6"/>
      <c r="U549" s="6"/>
      <c r="V549" s="6"/>
      <c r="W549" s="6"/>
    </row>
    <row r="550" spans="1:23" x14ac:dyDescent="0.3">
      <c r="A550" s="6" t="s">
        <v>2456</v>
      </c>
      <c r="B550" s="6" t="s">
        <v>354</v>
      </c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>
        <v>13</v>
      </c>
      <c r="R550" s="6"/>
      <c r="S550" s="6"/>
      <c r="T550" s="6"/>
      <c r="U550" s="6"/>
      <c r="V550" s="6"/>
      <c r="W550" s="6"/>
    </row>
    <row r="551" spans="1:23" x14ac:dyDescent="0.3">
      <c r="A551" s="6"/>
      <c r="B551" s="6" t="s">
        <v>726</v>
      </c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>
        <v>-1</v>
      </c>
      <c r="R551" s="6"/>
      <c r="S551" s="6"/>
      <c r="T551" s="6"/>
      <c r="U551" s="6"/>
      <c r="V551" s="6"/>
      <c r="W551" s="6"/>
    </row>
    <row r="552" spans="1:23" x14ac:dyDescent="0.3">
      <c r="A552" s="6"/>
      <c r="B552" s="6" t="s">
        <v>726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>
        <v>-1</v>
      </c>
      <c r="R552" s="6"/>
      <c r="S552" s="6"/>
      <c r="T552" s="6"/>
      <c r="U552" s="6"/>
      <c r="V552" s="6"/>
      <c r="W552" s="6"/>
    </row>
    <row r="553" spans="1:23" x14ac:dyDescent="0.3">
      <c r="A553" s="6" t="s">
        <v>2484</v>
      </c>
      <c r="B553" s="6" t="s">
        <v>726</v>
      </c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>
        <v>1001</v>
      </c>
      <c r="R553" s="6"/>
      <c r="S553" s="6"/>
      <c r="T553" s="6"/>
      <c r="U553" s="6"/>
      <c r="V553" s="6"/>
      <c r="W553" s="6"/>
    </row>
    <row r="554" spans="1:23" x14ac:dyDescent="0.3">
      <c r="A554" s="6" t="s">
        <v>1526</v>
      </c>
      <c r="B554" s="6" t="s">
        <v>428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>
        <v>5</v>
      </c>
      <c r="R554" s="6"/>
      <c r="S554" s="6"/>
      <c r="T554" s="6"/>
      <c r="U554" s="6"/>
      <c r="V554" s="6"/>
      <c r="W554" s="6"/>
    </row>
    <row r="555" spans="1:23" x14ac:dyDescent="0.3">
      <c r="A555" s="6"/>
      <c r="B555" s="6" t="s">
        <v>428</v>
      </c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>
        <v>-1</v>
      </c>
      <c r="R555" s="6"/>
      <c r="S555" s="6"/>
      <c r="T555" s="6"/>
      <c r="U555" s="6"/>
      <c r="V555" s="6"/>
      <c r="W555" s="6"/>
    </row>
    <row r="556" spans="1:23" x14ac:dyDescent="0.3">
      <c r="A556" s="6"/>
      <c r="B556" s="6" t="s">
        <v>350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>
        <v>-1</v>
      </c>
      <c r="R556" s="6"/>
      <c r="S556" s="6"/>
      <c r="T556" s="6"/>
      <c r="U556" s="6"/>
      <c r="V556" s="6"/>
      <c r="W556" s="6"/>
    </row>
    <row r="557" spans="1:23" x14ac:dyDescent="0.3">
      <c r="A557" s="6" t="s">
        <v>3001</v>
      </c>
      <c r="B557" s="6" t="s">
        <v>350</v>
      </c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>
        <v>15</v>
      </c>
      <c r="R557" s="6"/>
      <c r="S557" s="6"/>
      <c r="T557" s="6"/>
      <c r="U557" s="6"/>
      <c r="V557" s="6"/>
      <c r="W557" s="6"/>
    </row>
    <row r="558" spans="1:23" x14ac:dyDescent="0.3">
      <c r="A558" s="6"/>
      <c r="B558" s="6" t="s">
        <v>510</v>
      </c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>
        <v>-1</v>
      </c>
      <c r="R558" s="6"/>
      <c r="S558" s="6"/>
      <c r="T558" s="6"/>
      <c r="U558" s="6"/>
      <c r="V558" s="6"/>
      <c r="W558" s="6"/>
    </row>
    <row r="559" spans="1:23" x14ac:dyDescent="0.3">
      <c r="A559" s="6" t="s">
        <v>3131</v>
      </c>
      <c r="B559" s="6" t="s">
        <v>520</v>
      </c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>
        <v>19</v>
      </c>
      <c r="R559" s="6"/>
      <c r="S559" s="6"/>
      <c r="T559" s="6"/>
      <c r="U559" s="6"/>
      <c r="V559" s="6"/>
      <c r="W559" s="6"/>
    </row>
    <row r="560" spans="1:23" x14ac:dyDescent="0.3">
      <c r="A560" s="6" t="s">
        <v>3059</v>
      </c>
      <c r="B560" s="6" t="s">
        <v>336</v>
      </c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>
        <v>15</v>
      </c>
      <c r="R560" s="6"/>
      <c r="S560" s="6"/>
      <c r="T560" s="6"/>
      <c r="U560" s="6"/>
      <c r="V560" s="6"/>
      <c r="W560" s="6"/>
    </row>
    <row r="561" spans="1:23" x14ac:dyDescent="0.3">
      <c r="A561" s="6" t="s">
        <v>4144</v>
      </c>
      <c r="B561" s="6" t="s">
        <v>370</v>
      </c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>
        <v>8</v>
      </c>
      <c r="R561" s="6"/>
      <c r="S561" s="6"/>
      <c r="T561" s="6"/>
      <c r="U561" s="6"/>
      <c r="V561" s="6"/>
      <c r="W561" s="6"/>
    </row>
    <row r="562" spans="1:23" x14ac:dyDescent="0.3">
      <c r="A562" s="6"/>
      <c r="B562" s="6" t="s">
        <v>328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>
        <v>-1</v>
      </c>
      <c r="R562" s="6"/>
      <c r="S562" s="6"/>
      <c r="T562" s="6"/>
      <c r="U562" s="6"/>
      <c r="V562" s="6"/>
      <c r="W562" s="6"/>
    </row>
    <row r="563" spans="1:23" x14ac:dyDescent="0.3">
      <c r="A563" s="6"/>
      <c r="B563" s="6" t="s">
        <v>442</v>
      </c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>
        <v>-1</v>
      </c>
      <c r="R563" s="6"/>
      <c r="S563" s="6"/>
      <c r="T563" s="6"/>
      <c r="U563" s="6"/>
      <c r="V563" s="6"/>
      <c r="W563" s="6"/>
    </row>
    <row r="564" spans="1:23" x14ac:dyDescent="0.3">
      <c r="A564" s="6"/>
      <c r="B564" s="6" t="s">
        <v>448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>
        <v>-1</v>
      </c>
      <c r="R564" s="6"/>
      <c r="S564" s="6"/>
      <c r="T564" s="6"/>
      <c r="U564" s="6"/>
      <c r="V564" s="6"/>
      <c r="W564" s="6"/>
    </row>
    <row r="565" spans="1:23" x14ac:dyDescent="0.3">
      <c r="A565" s="6"/>
      <c r="B565" s="6" t="s">
        <v>356</v>
      </c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>
        <v>-1</v>
      </c>
      <c r="R565" s="6"/>
      <c r="S565" s="6"/>
      <c r="T565" s="6"/>
      <c r="U565" s="6"/>
      <c r="V565" s="6"/>
      <c r="W565" s="6"/>
    </row>
    <row r="566" spans="1:23" x14ac:dyDescent="0.3">
      <c r="A566" s="6"/>
      <c r="B566" s="6" t="s">
        <v>600</v>
      </c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>
        <v>-1</v>
      </c>
      <c r="R566" s="6"/>
      <c r="S566" s="6"/>
      <c r="T566" s="6"/>
      <c r="U566" s="6"/>
      <c r="V566" s="6"/>
      <c r="W566" s="6"/>
    </row>
    <row r="567" spans="1:23" x14ac:dyDescent="0.3">
      <c r="A567" s="6"/>
      <c r="B567" s="6" t="s">
        <v>398</v>
      </c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>
        <v>-1</v>
      </c>
      <c r="R567" s="6"/>
      <c r="S567" s="6"/>
      <c r="T567" s="6"/>
      <c r="U567" s="6"/>
      <c r="V567" s="6"/>
      <c r="W567" s="6"/>
    </row>
    <row r="568" spans="1:23" x14ac:dyDescent="0.3">
      <c r="A568" s="6"/>
      <c r="B568" s="6" t="s">
        <v>718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>
        <v>-1</v>
      </c>
      <c r="R568" s="6"/>
      <c r="S568" s="6"/>
      <c r="T568" s="6"/>
      <c r="U568" s="6"/>
      <c r="V568" s="6"/>
      <c r="W568" s="6"/>
    </row>
    <row r="569" spans="1:23" x14ac:dyDescent="0.3">
      <c r="A569" s="6"/>
      <c r="B569" s="6" t="s">
        <v>422</v>
      </c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>
        <v>-1</v>
      </c>
      <c r="R569" s="6"/>
      <c r="S569" s="6"/>
      <c r="T569" s="6"/>
      <c r="U569" s="6"/>
      <c r="V569" s="6"/>
      <c r="W569" s="6"/>
    </row>
    <row r="570" spans="1:23" x14ac:dyDescent="0.3">
      <c r="A570" s="6"/>
      <c r="B570" s="6" t="s">
        <v>332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>
        <v>-1</v>
      </c>
      <c r="R570" s="6"/>
      <c r="S570" s="6"/>
      <c r="T570" s="6"/>
      <c r="U570" s="6"/>
      <c r="V570" s="6"/>
      <c r="W570" s="6"/>
    </row>
    <row r="571" spans="1:23" x14ac:dyDescent="0.3">
      <c r="A571" s="6"/>
      <c r="B571" s="6" t="s">
        <v>334</v>
      </c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>
        <v>-1</v>
      </c>
      <c r="U571" s="6"/>
      <c r="V571" s="6"/>
      <c r="W571" s="6"/>
    </row>
    <row r="572" spans="1:23" x14ac:dyDescent="0.3">
      <c r="A572" s="6"/>
      <c r="B572" s="6" t="s">
        <v>334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>
        <v>-1</v>
      </c>
      <c r="U572" s="6"/>
      <c r="V572" s="6"/>
      <c r="W572" s="6"/>
    </row>
    <row r="573" spans="1:23" x14ac:dyDescent="0.3">
      <c r="A573" s="6"/>
      <c r="B573" s="6" t="s">
        <v>334</v>
      </c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>
        <v>-1</v>
      </c>
      <c r="U573" s="6"/>
      <c r="V573" s="6"/>
      <c r="W573" s="6"/>
    </row>
    <row r="574" spans="1:23" x14ac:dyDescent="0.3">
      <c r="A574" s="6" t="s">
        <v>2018</v>
      </c>
      <c r="B574" s="6" t="s">
        <v>332</v>
      </c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>
        <v>2</v>
      </c>
      <c r="U574" s="6"/>
      <c r="V574" s="6"/>
      <c r="W574" s="6"/>
    </row>
    <row r="575" spans="1:23" x14ac:dyDescent="0.3">
      <c r="A575" s="6" t="s">
        <v>3926</v>
      </c>
      <c r="B575" s="6" t="s">
        <v>332</v>
      </c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>
        <v>26</v>
      </c>
      <c r="U575" s="6"/>
      <c r="V575" s="6"/>
      <c r="W575" s="6"/>
    </row>
    <row r="576" spans="1:23" x14ac:dyDescent="0.3">
      <c r="A576" s="6"/>
      <c r="B576" s="6" t="s">
        <v>332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>
        <v>-1</v>
      </c>
      <c r="U576" s="6"/>
      <c r="V576" s="6"/>
      <c r="W576" s="6"/>
    </row>
    <row r="577" spans="1:23" x14ac:dyDescent="0.3">
      <c r="A577" s="6" t="s">
        <v>2003</v>
      </c>
      <c r="B577" s="6" t="s">
        <v>364</v>
      </c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>
        <v>8</v>
      </c>
      <c r="U577" s="6"/>
      <c r="V577" s="6"/>
      <c r="W577" s="6"/>
    </row>
    <row r="578" spans="1:23" x14ac:dyDescent="0.3">
      <c r="A578" s="6"/>
      <c r="B578" s="6" t="s">
        <v>364</v>
      </c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>
        <v>-1</v>
      </c>
      <c r="U578" s="6"/>
      <c r="V578" s="6"/>
      <c r="W578" s="6"/>
    </row>
    <row r="579" spans="1:23" x14ac:dyDescent="0.3">
      <c r="A579" s="6" t="s">
        <v>3645</v>
      </c>
      <c r="B579" s="6" t="s">
        <v>354</v>
      </c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>
        <v>6</v>
      </c>
      <c r="U579" s="6"/>
      <c r="V579" s="6"/>
      <c r="W579" s="6"/>
    </row>
    <row r="580" spans="1:23" x14ac:dyDescent="0.3">
      <c r="A580" s="6"/>
      <c r="B580" s="6" t="s">
        <v>520</v>
      </c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>
        <v>-1</v>
      </c>
      <c r="U580" s="6"/>
      <c r="V580" s="6"/>
      <c r="W580" s="6"/>
    </row>
    <row r="581" spans="1:23" x14ac:dyDescent="0.3">
      <c r="A581" s="6"/>
      <c r="B581" s="6" t="s">
        <v>344</v>
      </c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>
        <v>-1</v>
      </c>
      <c r="U581" s="6"/>
      <c r="V581" s="6"/>
      <c r="W581" s="6"/>
    </row>
    <row r="582" spans="1:23" x14ac:dyDescent="0.3">
      <c r="A582" s="6"/>
      <c r="B582" s="6" t="s">
        <v>342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>
        <v>-1</v>
      </c>
      <c r="U582" s="6"/>
      <c r="V582" s="6"/>
      <c r="W582" s="6"/>
    </row>
    <row r="583" spans="1:23" x14ac:dyDescent="0.3">
      <c r="A583" s="6"/>
      <c r="B583" s="6" t="s">
        <v>356</v>
      </c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>
        <v>-1</v>
      </c>
      <c r="U583" s="6"/>
      <c r="V583" s="6"/>
      <c r="W583" s="6"/>
    </row>
    <row r="584" spans="1:23" x14ac:dyDescent="0.3">
      <c r="A584" s="6"/>
      <c r="B584" s="6" t="s">
        <v>412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>
        <v>-1</v>
      </c>
      <c r="U584" s="6"/>
      <c r="V584" s="6"/>
      <c r="W584" s="6"/>
    </row>
    <row r="585" spans="1:23" x14ac:dyDescent="0.3">
      <c r="A585" s="6"/>
      <c r="B585" s="6" t="s">
        <v>670</v>
      </c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>
        <v>-1</v>
      </c>
      <c r="U585" s="6"/>
      <c r="V585" s="6"/>
      <c r="W585" s="6"/>
    </row>
    <row r="586" spans="1:23" x14ac:dyDescent="0.3">
      <c r="A586" s="6" t="s">
        <v>3681</v>
      </c>
      <c r="B586" s="6" t="s">
        <v>394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>
        <v>15</v>
      </c>
      <c r="U586" s="6"/>
      <c r="V586" s="6"/>
      <c r="W586" s="6"/>
    </row>
    <row r="587" spans="1:23" x14ac:dyDescent="0.3">
      <c r="A587" s="6" t="s">
        <v>3874</v>
      </c>
      <c r="B587" s="6" t="s">
        <v>346</v>
      </c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>
        <v>26</v>
      </c>
      <c r="U587" s="6"/>
      <c r="V587" s="6"/>
      <c r="W587" s="6"/>
    </row>
    <row r="588" spans="1:23" x14ac:dyDescent="0.3">
      <c r="A588" s="6"/>
      <c r="B588" s="6" t="s">
        <v>338</v>
      </c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>
        <v>-1</v>
      </c>
      <c r="U588" s="6"/>
      <c r="V588" s="6"/>
      <c r="W588" s="6"/>
    </row>
    <row r="589" spans="1:23" x14ac:dyDescent="0.3">
      <c r="A589" s="6"/>
      <c r="B589" s="6" t="s">
        <v>718</v>
      </c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>
        <v>-1</v>
      </c>
      <c r="U589" s="6"/>
      <c r="V589" s="6"/>
      <c r="W589" s="6"/>
    </row>
    <row r="590" spans="1:23" x14ac:dyDescent="0.3">
      <c r="A590" s="6"/>
      <c r="B590" s="6" t="s">
        <v>328</v>
      </c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>
        <v>-1</v>
      </c>
      <c r="U590" s="6"/>
      <c r="V590" s="6"/>
      <c r="W590" s="6"/>
    </row>
    <row r="591" spans="1:23" x14ac:dyDescent="0.3">
      <c r="A591" s="6" t="s">
        <v>4472</v>
      </c>
      <c r="B591" s="6" t="s">
        <v>328</v>
      </c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>
        <v>26</v>
      </c>
      <c r="U591" s="6"/>
      <c r="V591" s="6"/>
      <c r="W591" s="6"/>
    </row>
    <row r="592" spans="1:23" x14ac:dyDescent="0.3">
      <c r="A592" s="6"/>
      <c r="B592" s="6" t="s">
        <v>328</v>
      </c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>
        <v>-1</v>
      </c>
      <c r="U592" s="6"/>
      <c r="V592" s="6"/>
      <c r="W592" s="6"/>
    </row>
    <row r="593" spans="1:23" x14ac:dyDescent="0.3">
      <c r="A593" s="6"/>
      <c r="B593" s="6" t="s">
        <v>442</v>
      </c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>
        <v>-1</v>
      </c>
      <c r="U593" s="6"/>
      <c r="V593" s="6"/>
      <c r="W593" s="6"/>
    </row>
    <row r="594" spans="1:23" x14ac:dyDescent="0.3">
      <c r="A594" s="6"/>
      <c r="B594" s="6" t="s">
        <v>442</v>
      </c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>
        <v>-1</v>
      </c>
      <c r="U594" s="6"/>
      <c r="V594" s="6"/>
      <c r="W594" s="6"/>
    </row>
    <row r="595" spans="1:23" x14ac:dyDescent="0.3">
      <c r="A595" s="6"/>
      <c r="B595" s="6" t="s">
        <v>344</v>
      </c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>
        <v>-1</v>
      </c>
      <c r="U595" s="6"/>
      <c r="V595" s="6"/>
      <c r="W595" s="6"/>
    </row>
    <row r="596" spans="1:23" x14ac:dyDescent="0.3">
      <c r="A596" s="6" t="s">
        <v>1427</v>
      </c>
      <c r="B596" s="6" t="s">
        <v>344</v>
      </c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>
        <v>23</v>
      </c>
      <c r="U596" s="6"/>
      <c r="V596" s="6"/>
      <c r="W596" s="6"/>
    </row>
    <row r="597" spans="1:23" x14ac:dyDescent="0.3">
      <c r="A597" s="6" t="s">
        <v>1874</v>
      </c>
      <c r="B597" s="6" t="s">
        <v>372</v>
      </c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>
        <v>29</v>
      </c>
      <c r="U597" s="6"/>
      <c r="V597" s="6"/>
      <c r="W597" s="6"/>
    </row>
    <row r="598" spans="1:23" x14ac:dyDescent="0.3">
      <c r="A598" s="6" t="s">
        <v>3493</v>
      </c>
      <c r="B598" s="6" t="s">
        <v>614</v>
      </c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>
        <v>12</v>
      </c>
      <c r="U598" s="6"/>
      <c r="V598" s="6"/>
      <c r="W598" s="6"/>
    </row>
    <row r="599" spans="1:23" x14ac:dyDescent="0.3">
      <c r="A599" s="6"/>
      <c r="B599" s="6" t="s">
        <v>364</v>
      </c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>
        <v>-1</v>
      </c>
      <c r="U599" s="6"/>
      <c r="V599" s="6"/>
      <c r="W599" s="6"/>
    </row>
    <row r="600" spans="1:23" x14ac:dyDescent="0.3">
      <c r="A600" s="6" t="s">
        <v>3685</v>
      </c>
      <c r="B600" s="6" t="s">
        <v>394</v>
      </c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>
        <v>15</v>
      </c>
      <c r="U600" s="6"/>
      <c r="V600" s="6"/>
      <c r="W600" s="6"/>
    </row>
    <row r="601" spans="1:23" x14ac:dyDescent="0.3">
      <c r="A601" s="6"/>
      <c r="B601" s="6" t="s">
        <v>672</v>
      </c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>
        <v>-1</v>
      </c>
      <c r="U601" s="6"/>
      <c r="V601" s="6"/>
      <c r="W601" s="6"/>
    </row>
    <row r="602" spans="1:23" x14ac:dyDescent="0.3">
      <c r="A602" s="6" t="s">
        <v>2258</v>
      </c>
      <c r="B602" s="6" t="s">
        <v>490</v>
      </c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>
        <v>1001</v>
      </c>
      <c r="U602" s="6"/>
      <c r="V602" s="6"/>
      <c r="W602" s="6"/>
    </row>
    <row r="603" spans="1:23" x14ac:dyDescent="0.3">
      <c r="A603" s="6"/>
      <c r="B603" s="6" t="s">
        <v>600</v>
      </c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>
        <v>-1</v>
      </c>
      <c r="T603" s="6"/>
      <c r="U603" s="6"/>
      <c r="V603" s="6"/>
      <c r="W603" s="6"/>
    </row>
    <row r="604" spans="1:23" x14ac:dyDescent="0.3">
      <c r="A604" s="6" t="s">
        <v>4478</v>
      </c>
      <c r="B604" s="6" t="s">
        <v>600</v>
      </c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>
        <v>12</v>
      </c>
      <c r="T604" s="6"/>
      <c r="U604" s="6"/>
      <c r="V604" s="6"/>
      <c r="W604" s="6"/>
    </row>
    <row r="605" spans="1:23" x14ac:dyDescent="0.3">
      <c r="A605" s="6"/>
      <c r="B605" s="6" t="s">
        <v>600</v>
      </c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>
        <v>-1</v>
      </c>
      <c r="T605" s="6"/>
      <c r="U605" s="6"/>
      <c r="V605" s="6"/>
      <c r="W605" s="6"/>
    </row>
    <row r="606" spans="1:23" x14ac:dyDescent="0.3">
      <c r="A606" s="6"/>
      <c r="B606" s="6" t="s">
        <v>354</v>
      </c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>
        <v>-1</v>
      </c>
      <c r="T606" s="6"/>
      <c r="U606" s="6"/>
      <c r="V606" s="6"/>
      <c r="W606" s="6"/>
    </row>
    <row r="607" spans="1:23" x14ac:dyDescent="0.3">
      <c r="A607" s="6" t="s">
        <v>4738</v>
      </c>
      <c r="B607" s="6" t="s">
        <v>328</v>
      </c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>
        <v>8</v>
      </c>
      <c r="T607" s="6"/>
      <c r="U607" s="6"/>
      <c r="V607" s="6"/>
      <c r="W607" s="6"/>
    </row>
    <row r="608" spans="1:23" x14ac:dyDescent="0.3">
      <c r="A608" s="6"/>
      <c r="B608" s="6" t="s">
        <v>368</v>
      </c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>
        <v>-1</v>
      </c>
      <c r="T608" s="6"/>
      <c r="U608" s="6"/>
      <c r="V608" s="6"/>
      <c r="W608" s="6"/>
    </row>
    <row r="609" spans="1:23" x14ac:dyDescent="0.3">
      <c r="A609" s="6" t="s">
        <v>2772</v>
      </c>
      <c r="B609" s="6" t="s">
        <v>450</v>
      </c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>
        <v>9</v>
      </c>
      <c r="T609" s="6"/>
      <c r="U609" s="6"/>
      <c r="V609" s="6"/>
      <c r="W609" s="6"/>
    </row>
    <row r="610" spans="1:23" x14ac:dyDescent="0.3">
      <c r="A610" s="6" t="s">
        <v>3427</v>
      </c>
      <c r="B610" s="6" t="s">
        <v>342</v>
      </c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>
        <v>1</v>
      </c>
      <c r="T610" s="6"/>
      <c r="U610" s="6"/>
      <c r="V610" s="6"/>
      <c r="W610" s="6"/>
    </row>
    <row r="611" spans="1:23" x14ac:dyDescent="0.3">
      <c r="A611" s="6"/>
      <c r="B611" s="6" t="s">
        <v>356</v>
      </c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>
        <v>-1</v>
      </c>
      <c r="T611" s="6"/>
      <c r="U611" s="6"/>
      <c r="V611" s="6"/>
      <c r="W611" s="6"/>
    </row>
    <row r="612" spans="1:23" x14ac:dyDescent="0.3">
      <c r="A612" s="6"/>
      <c r="B612" s="6" t="s">
        <v>428</v>
      </c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>
        <v>-1</v>
      </c>
      <c r="T612" s="6"/>
      <c r="U612" s="6"/>
      <c r="V612" s="6"/>
      <c r="W612" s="6"/>
    </row>
    <row r="613" spans="1:23" x14ac:dyDescent="0.3">
      <c r="A613" s="6"/>
      <c r="B613" s="6" t="s">
        <v>422</v>
      </c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>
        <v>-1</v>
      </c>
      <c r="T613" s="6"/>
      <c r="U613" s="6"/>
      <c r="V613" s="6"/>
      <c r="W613" s="6"/>
    </row>
    <row r="614" spans="1:23" x14ac:dyDescent="0.3">
      <c r="A614" s="6"/>
      <c r="B614" s="6" t="s">
        <v>444</v>
      </c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>
        <v>-1</v>
      </c>
      <c r="T614" s="6"/>
      <c r="U614" s="6"/>
      <c r="V614" s="6"/>
      <c r="W614" s="6"/>
    </row>
    <row r="615" spans="1:23" x14ac:dyDescent="0.3">
      <c r="A615" s="6" t="s">
        <v>1828</v>
      </c>
      <c r="B615" s="6" t="s">
        <v>332</v>
      </c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>
        <v>15</v>
      </c>
      <c r="T615" s="6"/>
      <c r="U615" s="6"/>
      <c r="V615" s="6"/>
      <c r="W615" s="6"/>
    </row>
    <row r="616" spans="1:23" x14ac:dyDescent="0.3">
      <c r="A616" s="6" t="s">
        <v>1977</v>
      </c>
      <c r="B616" s="6" t="s">
        <v>332</v>
      </c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>
        <v>21</v>
      </c>
      <c r="T616" s="6"/>
      <c r="U616" s="6"/>
      <c r="V616" s="6"/>
      <c r="W616" s="6"/>
    </row>
    <row r="617" spans="1:23" x14ac:dyDescent="0.3">
      <c r="A617" s="6"/>
      <c r="B617" s="6" t="s">
        <v>332</v>
      </c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>
        <v>-1</v>
      </c>
      <c r="T617" s="6"/>
      <c r="U617" s="6"/>
      <c r="V617" s="6"/>
      <c r="W617" s="6"/>
    </row>
    <row r="618" spans="1:23" x14ac:dyDescent="0.3">
      <c r="A618" s="6"/>
      <c r="B618" s="6" t="s">
        <v>328</v>
      </c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>
        <v>-1</v>
      </c>
      <c r="T618" s="6"/>
      <c r="U618" s="6"/>
      <c r="V618" s="6"/>
      <c r="W618" s="6"/>
    </row>
    <row r="619" spans="1:23" x14ac:dyDescent="0.3">
      <c r="A619" s="6"/>
      <c r="B619" s="6" t="s">
        <v>328</v>
      </c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>
        <v>-1</v>
      </c>
      <c r="T619" s="6"/>
      <c r="U619" s="6"/>
      <c r="V619" s="6"/>
      <c r="W619" s="6"/>
    </row>
    <row r="620" spans="1:23" x14ac:dyDescent="0.3">
      <c r="A620" s="6" t="s">
        <v>2346</v>
      </c>
      <c r="B620" s="6" t="s">
        <v>354</v>
      </c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>
        <v>27</v>
      </c>
      <c r="T620" s="6"/>
      <c r="U620" s="6"/>
      <c r="V620" s="6"/>
      <c r="W620" s="6"/>
    </row>
    <row r="621" spans="1:23" x14ac:dyDescent="0.3">
      <c r="A621" s="6" t="s">
        <v>3075</v>
      </c>
      <c r="B621" s="6" t="s">
        <v>336</v>
      </c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>
        <v>1001</v>
      </c>
      <c r="T621" s="6"/>
      <c r="U621" s="6"/>
      <c r="V621" s="6"/>
      <c r="W621" s="6"/>
    </row>
    <row r="622" spans="1:23" x14ac:dyDescent="0.3">
      <c r="A622" s="6"/>
      <c r="B622" s="6" t="s">
        <v>370</v>
      </c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>
        <v>-1</v>
      </c>
      <c r="T622" s="6"/>
      <c r="U622" s="6"/>
      <c r="V622" s="6"/>
      <c r="W622" s="6"/>
    </row>
    <row r="623" spans="1:23" x14ac:dyDescent="0.3">
      <c r="A623" s="6" t="s">
        <v>5072</v>
      </c>
      <c r="B623" s="6" t="s">
        <v>362</v>
      </c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>
        <v>11</v>
      </c>
      <c r="T623" s="6"/>
      <c r="U623" s="6"/>
      <c r="V623" s="6"/>
      <c r="W623" s="6"/>
    </row>
    <row r="624" spans="1:23" x14ac:dyDescent="0.3">
      <c r="A624" s="6"/>
      <c r="B624" s="6" t="s">
        <v>470</v>
      </c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>
        <v>-1</v>
      </c>
      <c r="T624" s="6"/>
      <c r="U624" s="6"/>
      <c r="V624" s="6"/>
      <c r="W624" s="6"/>
    </row>
    <row r="625" spans="1:23" x14ac:dyDescent="0.3">
      <c r="A625" s="6"/>
      <c r="B625" s="6" t="s">
        <v>442</v>
      </c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>
        <v>-1</v>
      </c>
      <c r="T625" s="6"/>
      <c r="U625" s="6"/>
      <c r="V625" s="6"/>
      <c r="W625" s="6"/>
    </row>
    <row r="626" spans="1:23" x14ac:dyDescent="0.3">
      <c r="A626" s="6"/>
      <c r="B626" s="6" t="s">
        <v>344</v>
      </c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>
        <v>-1</v>
      </c>
      <c r="T626" s="6"/>
      <c r="U626" s="6"/>
      <c r="V626" s="6"/>
      <c r="W626" s="6"/>
    </row>
    <row r="627" spans="1:23" x14ac:dyDescent="0.3">
      <c r="A627" s="6"/>
      <c r="B627" s="6" t="s">
        <v>334</v>
      </c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>
        <v>-1</v>
      </c>
      <c r="T627" s="6"/>
      <c r="U627" s="6"/>
      <c r="V627" s="6"/>
      <c r="W627" s="6"/>
    </row>
    <row r="628" spans="1:23" x14ac:dyDescent="0.3">
      <c r="A628" s="6"/>
      <c r="B628" s="6" t="s">
        <v>402</v>
      </c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>
        <v>-1</v>
      </c>
      <c r="T628" s="6"/>
      <c r="U628" s="6"/>
      <c r="V628" s="6"/>
      <c r="W628" s="6"/>
    </row>
    <row r="629" spans="1:23" x14ac:dyDescent="0.3">
      <c r="A629" s="6"/>
      <c r="B629" s="6" t="s">
        <v>422</v>
      </c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>
        <v>-1</v>
      </c>
      <c r="T629" s="6"/>
      <c r="U629" s="6"/>
      <c r="V629" s="6"/>
      <c r="W629" s="6"/>
    </row>
    <row r="630" spans="1:23" x14ac:dyDescent="0.3">
      <c r="A630" s="6"/>
      <c r="B630" s="6" t="s">
        <v>338</v>
      </c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>
        <v>-1</v>
      </c>
      <c r="T630" s="6"/>
      <c r="U630" s="6"/>
      <c r="V630" s="6"/>
      <c r="W630" s="6"/>
    </row>
    <row r="631" spans="1:23" x14ac:dyDescent="0.3">
      <c r="A631" s="6"/>
      <c r="B631" s="6" t="s">
        <v>410</v>
      </c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>
        <v>-1</v>
      </c>
      <c r="T631" s="6"/>
      <c r="U631" s="6"/>
      <c r="V631" s="6"/>
      <c r="W631" s="6"/>
    </row>
    <row r="632" spans="1:23" x14ac:dyDescent="0.3">
      <c r="A632" s="6"/>
      <c r="B632" s="6" t="s">
        <v>482</v>
      </c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>
        <v>-1</v>
      </c>
      <c r="T632" s="6"/>
      <c r="U632" s="6"/>
      <c r="V632" s="6"/>
      <c r="W632" s="6"/>
    </row>
    <row r="633" spans="1:23" x14ac:dyDescent="0.3">
      <c r="A633" s="6" t="s">
        <v>2252</v>
      </c>
      <c r="B633" s="6" t="s">
        <v>442</v>
      </c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>
        <v>30</v>
      </c>
      <c r="T633" s="6"/>
      <c r="U633" s="6"/>
      <c r="V633" s="6"/>
      <c r="W633" s="6"/>
    </row>
    <row r="634" spans="1:23" x14ac:dyDescent="0.3">
      <c r="A634" s="6"/>
      <c r="B634" s="6" t="s">
        <v>448</v>
      </c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>
        <v>-1</v>
      </c>
      <c r="T634" s="6"/>
      <c r="U634" s="6"/>
      <c r="V634" s="6"/>
      <c r="W634" s="6"/>
    </row>
    <row r="635" spans="1:23" x14ac:dyDescent="0.3">
      <c r="A635" s="6"/>
      <c r="B635" s="6" t="s">
        <v>470</v>
      </c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>
        <v>-1</v>
      </c>
      <c r="W635" s="6"/>
    </row>
    <row r="636" spans="1:23" x14ac:dyDescent="0.3">
      <c r="A636" s="6" t="s">
        <v>1702</v>
      </c>
      <c r="B636" s="6" t="s">
        <v>470</v>
      </c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>
        <v>18</v>
      </c>
      <c r="W636" s="6"/>
    </row>
    <row r="637" spans="1:23" x14ac:dyDescent="0.3">
      <c r="A637" s="6"/>
      <c r="B637" s="6" t="s">
        <v>332</v>
      </c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>
        <v>-1</v>
      </c>
      <c r="W637" s="6"/>
    </row>
    <row r="638" spans="1:23" x14ac:dyDescent="0.3">
      <c r="A638" s="6" t="s">
        <v>1856</v>
      </c>
      <c r="B638" s="6" t="s">
        <v>332</v>
      </c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>
        <v>14</v>
      </c>
      <c r="W638" s="6"/>
    </row>
    <row r="639" spans="1:23" x14ac:dyDescent="0.3">
      <c r="A639" s="6" t="s">
        <v>4893</v>
      </c>
      <c r="B639" s="6" t="s">
        <v>380</v>
      </c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>
        <v>9</v>
      </c>
      <c r="W639" s="6"/>
    </row>
    <row r="640" spans="1:23" x14ac:dyDescent="0.3">
      <c r="A640" s="6"/>
      <c r="B640" s="6" t="s">
        <v>336</v>
      </c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>
        <v>-1</v>
      </c>
      <c r="W640" s="6"/>
    </row>
    <row r="641" spans="1:23" x14ac:dyDescent="0.3">
      <c r="A641" s="6" t="s">
        <v>1329</v>
      </c>
      <c r="B641" s="6" t="s">
        <v>538</v>
      </c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>
        <v>5</v>
      </c>
      <c r="W641" s="6"/>
    </row>
    <row r="642" spans="1:23" x14ac:dyDescent="0.3">
      <c r="A642" s="6" t="s">
        <v>1696</v>
      </c>
      <c r="B642" s="6" t="s">
        <v>330</v>
      </c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>
        <v>1</v>
      </c>
      <c r="W642" s="6"/>
    </row>
    <row r="643" spans="1:23" x14ac:dyDescent="0.3">
      <c r="A643" s="6" t="s">
        <v>3291</v>
      </c>
      <c r="B643" s="6" t="s">
        <v>344</v>
      </c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>
        <v>15</v>
      </c>
      <c r="W643" s="6"/>
    </row>
    <row r="644" spans="1:23" x14ac:dyDescent="0.3">
      <c r="A644" s="6"/>
      <c r="B644" s="6" t="s">
        <v>600</v>
      </c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>
        <v>-1</v>
      </c>
      <c r="W644" s="6"/>
    </row>
    <row r="645" spans="1:23" x14ac:dyDescent="0.3">
      <c r="A645" s="6" t="s">
        <v>1695</v>
      </c>
      <c r="B645" s="6" t="s">
        <v>356</v>
      </c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>
        <v>3</v>
      </c>
      <c r="W645" s="6"/>
    </row>
    <row r="646" spans="1:23" x14ac:dyDescent="0.3">
      <c r="A646" s="6"/>
      <c r="B646" s="6" t="s">
        <v>346</v>
      </c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>
        <v>-1</v>
      </c>
      <c r="W646" s="6"/>
    </row>
    <row r="647" spans="1:23" x14ac:dyDescent="0.3">
      <c r="A647" s="6"/>
      <c r="B647" s="6" t="s">
        <v>328</v>
      </c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>
        <v>-1</v>
      </c>
      <c r="W647" s="6"/>
    </row>
    <row r="648" spans="1:23" x14ac:dyDescent="0.3">
      <c r="A648" s="6" t="s">
        <v>4225</v>
      </c>
      <c r="B648" s="6" t="s">
        <v>328</v>
      </c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>
        <v>16</v>
      </c>
      <c r="W648" s="6"/>
    </row>
    <row r="649" spans="1:23" x14ac:dyDescent="0.3">
      <c r="A649" s="6" t="s">
        <v>2884</v>
      </c>
      <c r="B649" s="6" t="s">
        <v>328</v>
      </c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>
        <v>10</v>
      </c>
      <c r="W649" s="6"/>
    </row>
    <row r="650" spans="1:23" x14ac:dyDescent="0.3">
      <c r="A650" s="6"/>
      <c r="B650" s="6" t="s">
        <v>448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>
        <v>-1</v>
      </c>
      <c r="W650" s="6"/>
    </row>
    <row r="651" spans="1:23" x14ac:dyDescent="0.3">
      <c r="A651" s="6"/>
      <c r="B651" s="6" t="s">
        <v>448</v>
      </c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>
        <v>-1</v>
      </c>
      <c r="W651" s="6"/>
    </row>
    <row r="652" spans="1:23" x14ac:dyDescent="0.3">
      <c r="A652" s="6"/>
      <c r="B652" s="6" t="s">
        <v>356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>
        <v>-1</v>
      </c>
      <c r="W652" s="6"/>
    </row>
    <row r="653" spans="1:23" x14ac:dyDescent="0.3">
      <c r="A653" s="6"/>
      <c r="B653" s="6" t="s">
        <v>356</v>
      </c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>
        <v>-1</v>
      </c>
      <c r="W653" s="6"/>
    </row>
    <row r="654" spans="1:23" x14ac:dyDescent="0.3">
      <c r="A654" s="6" t="s">
        <v>2424</v>
      </c>
      <c r="B654" s="6" t="s">
        <v>354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>
        <v>12</v>
      </c>
      <c r="W654" s="6"/>
    </row>
    <row r="655" spans="1:23" x14ac:dyDescent="0.3">
      <c r="A655" s="6" t="s">
        <v>4100</v>
      </c>
      <c r="B655" s="6" t="s">
        <v>526</v>
      </c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>
        <v>28</v>
      </c>
      <c r="W655" s="6"/>
    </row>
    <row r="656" spans="1:23" x14ac:dyDescent="0.3">
      <c r="A656" s="6" t="s">
        <v>3900</v>
      </c>
      <c r="B656" s="6" t="s">
        <v>362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>
        <v>23</v>
      </c>
      <c r="W656" s="6"/>
    </row>
    <row r="657" spans="1:23" x14ac:dyDescent="0.3">
      <c r="A657" s="6" t="s">
        <v>5062</v>
      </c>
      <c r="B657" s="6" t="s">
        <v>470</v>
      </c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>
        <v>17</v>
      </c>
      <c r="W657" s="6"/>
    </row>
    <row r="658" spans="1:23" x14ac:dyDescent="0.3">
      <c r="A658" s="6" t="s">
        <v>4855</v>
      </c>
      <c r="B658" s="6" t="s">
        <v>344</v>
      </c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>
        <v>13</v>
      </c>
      <c r="W658" s="6"/>
    </row>
    <row r="659" spans="1:23" x14ac:dyDescent="0.3">
      <c r="A659" s="6" t="s">
        <v>4655</v>
      </c>
      <c r="B659" s="6" t="s">
        <v>334</v>
      </c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>
        <v>7</v>
      </c>
      <c r="W659" s="6"/>
    </row>
    <row r="660" spans="1:23" x14ac:dyDescent="0.3">
      <c r="A660" s="6"/>
      <c r="B660" s="6" t="s">
        <v>600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>
        <v>-1</v>
      </c>
      <c r="W660" s="6"/>
    </row>
    <row r="661" spans="1:23" x14ac:dyDescent="0.3">
      <c r="A661" s="6"/>
      <c r="B661" s="6" t="s">
        <v>474</v>
      </c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>
        <v>-1</v>
      </c>
      <c r="W661" s="6"/>
    </row>
    <row r="662" spans="1:23" x14ac:dyDescent="0.3">
      <c r="A662" s="6"/>
      <c r="B662" s="6" t="s">
        <v>346</v>
      </c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>
        <v>-1</v>
      </c>
      <c r="W662" s="6"/>
    </row>
    <row r="663" spans="1:23" x14ac:dyDescent="0.3">
      <c r="A663" s="6"/>
      <c r="B663" s="6" t="s">
        <v>700</v>
      </c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>
        <v>-1</v>
      </c>
      <c r="W663" s="6"/>
    </row>
    <row r="664" spans="1:23" x14ac:dyDescent="0.3">
      <c r="A664" s="6"/>
      <c r="B664" s="6" t="s">
        <v>718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>
        <v>-1</v>
      </c>
      <c r="W664" s="6"/>
    </row>
    <row r="665" spans="1:23" x14ac:dyDescent="0.3">
      <c r="A665" s="6" t="s">
        <v>2201</v>
      </c>
      <c r="B665" s="6" t="s">
        <v>352</v>
      </c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>
        <v>29</v>
      </c>
      <c r="W665" s="6"/>
    </row>
    <row r="666" spans="1:23" x14ac:dyDescent="0.3">
      <c r="A666" s="6" t="s">
        <v>4531</v>
      </c>
      <c r="B666" s="6" t="s">
        <v>332</v>
      </c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>
        <v>22</v>
      </c>
      <c r="W666" s="6"/>
    </row>
    <row r="667" spans="1:23" x14ac:dyDescent="0.3">
      <c r="A667" s="6"/>
      <c r="B667" s="6" t="s">
        <v>332</v>
      </c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>
        <v>-1</v>
      </c>
      <c r="V667" s="6"/>
      <c r="W667" s="6"/>
    </row>
    <row r="668" spans="1:23" x14ac:dyDescent="0.3">
      <c r="A668" s="6" t="s">
        <v>4520</v>
      </c>
      <c r="B668" s="6" t="s">
        <v>332</v>
      </c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>
        <v>2</v>
      </c>
      <c r="V668" s="6"/>
      <c r="W668" s="6"/>
    </row>
    <row r="669" spans="1:23" x14ac:dyDescent="0.3">
      <c r="A669" s="6" t="s">
        <v>4831</v>
      </c>
      <c r="B669" s="6" t="s">
        <v>332</v>
      </c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>
        <v>4</v>
      </c>
      <c r="V669" s="6"/>
      <c r="W669" s="6"/>
    </row>
    <row r="670" spans="1:23" x14ac:dyDescent="0.3">
      <c r="A670" s="6"/>
      <c r="B670" s="6" t="s">
        <v>356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>
        <v>-1</v>
      </c>
      <c r="V670" s="6"/>
      <c r="W670" s="6"/>
    </row>
    <row r="671" spans="1:23" x14ac:dyDescent="0.3">
      <c r="A671" s="6"/>
      <c r="B671" s="6" t="s">
        <v>356</v>
      </c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>
        <v>-1</v>
      </c>
      <c r="V671" s="6"/>
      <c r="W671" s="6"/>
    </row>
    <row r="672" spans="1:23" x14ac:dyDescent="0.3">
      <c r="A672" s="6" t="s">
        <v>4165</v>
      </c>
      <c r="B672" s="6" t="s">
        <v>474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>
        <v>1001</v>
      </c>
      <c r="V672" s="6"/>
      <c r="W672" s="6"/>
    </row>
    <row r="673" spans="1:23" x14ac:dyDescent="0.3">
      <c r="A673" s="6"/>
      <c r="B673" s="6" t="s">
        <v>474</v>
      </c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>
        <v>-1</v>
      </c>
      <c r="V673" s="6"/>
      <c r="W673" s="6"/>
    </row>
    <row r="674" spans="1:23" x14ac:dyDescent="0.3">
      <c r="A674" s="6"/>
      <c r="B674" s="6" t="s">
        <v>450</v>
      </c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>
        <v>-1</v>
      </c>
      <c r="V674" s="6"/>
      <c r="W674" s="6"/>
    </row>
    <row r="675" spans="1:23" x14ac:dyDescent="0.3">
      <c r="A675" s="6"/>
      <c r="B675" s="6" t="s">
        <v>442</v>
      </c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>
        <v>-1</v>
      </c>
      <c r="V675" s="6"/>
      <c r="W675" s="6"/>
    </row>
    <row r="676" spans="1:23" x14ac:dyDescent="0.3">
      <c r="A676" s="6" t="s">
        <v>3620</v>
      </c>
      <c r="B676" s="6" t="s">
        <v>600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>
        <v>3</v>
      </c>
      <c r="V676" s="6"/>
      <c r="W676" s="6"/>
    </row>
    <row r="677" spans="1:23" x14ac:dyDescent="0.3">
      <c r="A677" s="6"/>
      <c r="B677" s="6" t="s">
        <v>622</v>
      </c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>
        <v>-1</v>
      </c>
      <c r="V677" s="6"/>
      <c r="W677" s="6"/>
    </row>
    <row r="678" spans="1:23" x14ac:dyDescent="0.3">
      <c r="A678" s="6"/>
      <c r="B678" s="6" t="s">
        <v>350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>
        <v>-1</v>
      </c>
      <c r="V678" s="6"/>
      <c r="W678" s="6"/>
    </row>
    <row r="679" spans="1:23" x14ac:dyDescent="0.3">
      <c r="A679" s="6"/>
      <c r="B679" s="6" t="s">
        <v>440</v>
      </c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>
        <v>-1</v>
      </c>
      <c r="V679" s="6"/>
      <c r="W679" s="6"/>
    </row>
    <row r="680" spans="1:23" x14ac:dyDescent="0.3">
      <c r="A680" s="6"/>
      <c r="B680" s="6" t="s">
        <v>490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>
        <v>-1</v>
      </c>
      <c r="V680" s="6"/>
      <c r="W680" s="6"/>
    </row>
    <row r="681" spans="1:23" x14ac:dyDescent="0.3">
      <c r="A681" s="6"/>
      <c r="B681" s="6" t="s">
        <v>326</v>
      </c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>
        <v>-1</v>
      </c>
      <c r="V681" s="6"/>
      <c r="W681" s="6"/>
    </row>
    <row r="682" spans="1:23" x14ac:dyDescent="0.3">
      <c r="A682" s="6" t="s">
        <v>4414</v>
      </c>
      <c r="B682" s="6" t="s">
        <v>326</v>
      </c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>
        <v>25</v>
      </c>
      <c r="V682" s="6"/>
      <c r="W682" s="6"/>
    </row>
    <row r="683" spans="1:23" x14ac:dyDescent="0.3">
      <c r="A683" s="6" t="s">
        <v>1911</v>
      </c>
      <c r="B683" s="6" t="s">
        <v>394</v>
      </c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>
        <v>28</v>
      </c>
      <c r="V683" s="6"/>
      <c r="W683" s="6"/>
    </row>
    <row r="684" spans="1:23" x14ac:dyDescent="0.3">
      <c r="A684" s="6"/>
      <c r="B684" s="6" t="s">
        <v>394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>
        <v>-1</v>
      </c>
      <c r="V684" s="6"/>
      <c r="W684" s="6"/>
    </row>
    <row r="685" spans="1:23" x14ac:dyDescent="0.3">
      <c r="A685" s="6"/>
      <c r="B685" s="6" t="s">
        <v>346</v>
      </c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>
        <v>-1</v>
      </c>
      <c r="V685" s="6"/>
      <c r="W685" s="6"/>
    </row>
    <row r="686" spans="1:23" x14ac:dyDescent="0.3">
      <c r="A686" s="6" t="s">
        <v>4263</v>
      </c>
      <c r="B686" s="6" t="s">
        <v>346</v>
      </c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>
        <v>1001</v>
      </c>
      <c r="V686" s="6"/>
      <c r="W686" s="6"/>
    </row>
    <row r="687" spans="1:23" x14ac:dyDescent="0.3">
      <c r="A687" s="6"/>
      <c r="B687" s="6" t="s">
        <v>340</v>
      </c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>
        <v>-1</v>
      </c>
      <c r="V687" s="6"/>
      <c r="W687" s="6"/>
    </row>
    <row r="688" spans="1:23" x14ac:dyDescent="0.3">
      <c r="A688" s="6"/>
      <c r="B688" s="6" t="s">
        <v>530</v>
      </c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>
        <v>-1</v>
      </c>
      <c r="V688" s="6"/>
      <c r="W688" s="6"/>
    </row>
    <row r="689" spans="1:23" x14ac:dyDescent="0.3">
      <c r="A689" s="6"/>
      <c r="B689" s="6" t="s">
        <v>336</v>
      </c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>
        <v>-1</v>
      </c>
      <c r="V689" s="6"/>
      <c r="W689" s="6"/>
    </row>
    <row r="690" spans="1:23" x14ac:dyDescent="0.3">
      <c r="A690" s="6"/>
      <c r="B690" s="6" t="s">
        <v>402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>
        <v>-1</v>
      </c>
      <c r="V690" s="6"/>
      <c r="W690" s="6"/>
    </row>
    <row r="691" spans="1:23" x14ac:dyDescent="0.3">
      <c r="A691" s="6"/>
      <c r="B691" s="6" t="s">
        <v>448</v>
      </c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>
        <v>-1</v>
      </c>
      <c r="V691" s="6"/>
      <c r="W691" s="6"/>
    </row>
    <row r="692" spans="1:23" x14ac:dyDescent="0.3">
      <c r="A692" s="6"/>
      <c r="B692" s="6" t="s">
        <v>596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>
        <v>-1</v>
      </c>
      <c r="V692" s="6"/>
      <c r="W692" s="6"/>
    </row>
    <row r="693" spans="1:23" x14ac:dyDescent="0.3">
      <c r="A693" s="6" t="s">
        <v>3666</v>
      </c>
      <c r="B693" s="6" t="s">
        <v>364</v>
      </c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>
        <v>9</v>
      </c>
      <c r="V693" s="6"/>
      <c r="W693" s="6"/>
    </row>
    <row r="694" spans="1:23" x14ac:dyDescent="0.3">
      <c r="A694" s="6" t="s">
        <v>3891</v>
      </c>
      <c r="B694" s="6" t="s">
        <v>348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>
        <v>18</v>
      </c>
      <c r="V694" s="6"/>
      <c r="W694" s="6"/>
    </row>
    <row r="695" spans="1:23" x14ac:dyDescent="0.3">
      <c r="A695" s="6" t="s">
        <v>3237</v>
      </c>
      <c r="B695" s="6" t="s">
        <v>690</v>
      </c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>
        <v>24</v>
      </c>
      <c r="V695" s="6"/>
      <c r="W695" s="6"/>
    </row>
    <row r="696" spans="1:23" x14ac:dyDescent="0.3">
      <c r="A696" s="6"/>
      <c r="B696" s="6" t="s">
        <v>422</v>
      </c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>
        <v>-1</v>
      </c>
      <c r="V696" s="6"/>
      <c r="W696" s="6"/>
    </row>
    <row r="697" spans="1:23" x14ac:dyDescent="0.3">
      <c r="A697" s="6"/>
      <c r="B697" s="6" t="s">
        <v>726</v>
      </c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>
        <v>-1</v>
      </c>
      <c r="V697" s="6"/>
      <c r="W697" s="6"/>
    </row>
    <row r="698" spans="1:23" x14ac:dyDescent="0.3">
      <c r="A698" s="6"/>
      <c r="B698" s="6" t="s">
        <v>600</v>
      </c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>
        <v>-1</v>
      </c>
      <c r="P698" s="6"/>
      <c r="Q698" s="6"/>
      <c r="R698" s="6"/>
      <c r="S698" s="6"/>
      <c r="T698" s="6"/>
      <c r="U698" s="6"/>
      <c r="V698" s="6"/>
      <c r="W698" s="6"/>
    </row>
    <row r="699" spans="1:23" x14ac:dyDescent="0.3">
      <c r="A699" s="6"/>
      <c r="B699" s="6" t="s">
        <v>600</v>
      </c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>
        <v>-1</v>
      </c>
      <c r="P699" s="6"/>
      <c r="Q699" s="6"/>
      <c r="R699" s="6"/>
      <c r="S699" s="6"/>
      <c r="T699" s="6"/>
      <c r="U699" s="6"/>
      <c r="V699" s="6"/>
      <c r="W699" s="6"/>
    </row>
    <row r="700" spans="1:23" x14ac:dyDescent="0.3">
      <c r="A700" s="6"/>
      <c r="B700" s="6" t="s">
        <v>600</v>
      </c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>
        <v>-1</v>
      </c>
      <c r="P700" s="6"/>
      <c r="Q700" s="6"/>
      <c r="R700" s="6"/>
      <c r="S700" s="6"/>
      <c r="T700" s="6"/>
      <c r="U700" s="6"/>
      <c r="V700" s="6"/>
      <c r="W700" s="6"/>
    </row>
    <row r="701" spans="1:23" x14ac:dyDescent="0.3">
      <c r="A701" s="6"/>
      <c r="B701" s="6" t="s">
        <v>334</v>
      </c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>
        <v>-1</v>
      </c>
      <c r="P701" s="6"/>
      <c r="Q701" s="6"/>
      <c r="R701" s="6"/>
      <c r="S701" s="6"/>
      <c r="T701" s="6"/>
      <c r="U701" s="6"/>
      <c r="V701" s="6"/>
      <c r="W701" s="6"/>
    </row>
    <row r="702" spans="1:23" x14ac:dyDescent="0.3">
      <c r="A702" s="6"/>
      <c r="B702" s="6" t="s">
        <v>334</v>
      </c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>
        <v>-1</v>
      </c>
      <c r="P702" s="6"/>
      <c r="Q702" s="6"/>
      <c r="R702" s="6"/>
      <c r="S702" s="6"/>
      <c r="T702" s="6"/>
      <c r="U702" s="6"/>
      <c r="V702" s="6"/>
      <c r="W702" s="6"/>
    </row>
    <row r="703" spans="1:23" x14ac:dyDescent="0.3">
      <c r="A703" s="6"/>
      <c r="B703" s="6" t="s">
        <v>334</v>
      </c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>
        <v>-1</v>
      </c>
      <c r="P703" s="6"/>
      <c r="Q703" s="6"/>
      <c r="R703" s="6"/>
      <c r="S703" s="6"/>
      <c r="T703" s="6"/>
      <c r="U703" s="6"/>
      <c r="V703" s="6"/>
      <c r="W703" s="6"/>
    </row>
    <row r="704" spans="1:23" x14ac:dyDescent="0.3">
      <c r="A704" s="6"/>
      <c r="B704" s="6" t="s">
        <v>620</v>
      </c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>
        <v>-1</v>
      </c>
      <c r="P704" s="6"/>
      <c r="Q704" s="6"/>
      <c r="R704" s="6"/>
      <c r="S704" s="6"/>
      <c r="T704" s="6"/>
      <c r="U704" s="6"/>
      <c r="V704" s="6"/>
      <c r="W704" s="6"/>
    </row>
    <row r="705" spans="1:23" x14ac:dyDescent="0.3">
      <c r="A705" s="6"/>
      <c r="B705" s="6" t="s">
        <v>620</v>
      </c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>
        <v>-1</v>
      </c>
      <c r="P705" s="6"/>
      <c r="Q705" s="6"/>
      <c r="R705" s="6"/>
      <c r="S705" s="6"/>
      <c r="T705" s="6"/>
      <c r="U705" s="6"/>
      <c r="V705" s="6"/>
      <c r="W705" s="6"/>
    </row>
    <row r="706" spans="1:23" x14ac:dyDescent="0.3">
      <c r="A706" s="6"/>
      <c r="B706" s="6" t="s">
        <v>332</v>
      </c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>
        <v>-1</v>
      </c>
      <c r="P706" s="6"/>
      <c r="Q706" s="6"/>
      <c r="R706" s="6"/>
      <c r="S706" s="6"/>
      <c r="T706" s="6"/>
      <c r="U706" s="6"/>
      <c r="V706" s="6"/>
      <c r="W706" s="6"/>
    </row>
    <row r="707" spans="1:23" x14ac:dyDescent="0.3">
      <c r="A707" s="6"/>
      <c r="B707" s="6" t="s">
        <v>332</v>
      </c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>
        <v>-1</v>
      </c>
      <c r="P707" s="6"/>
      <c r="Q707" s="6"/>
      <c r="R707" s="6"/>
      <c r="S707" s="6"/>
      <c r="T707" s="6"/>
      <c r="U707" s="6"/>
      <c r="V707" s="6"/>
      <c r="W707" s="6"/>
    </row>
    <row r="708" spans="1:23" x14ac:dyDescent="0.3">
      <c r="A708" s="6"/>
      <c r="B708" s="6" t="s">
        <v>354</v>
      </c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>
        <v>-1</v>
      </c>
      <c r="P708" s="6"/>
      <c r="Q708" s="6"/>
      <c r="R708" s="6"/>
      <c r="S708" s="6"/>
      <c r="T708" s="6"/>
      <c r="U708" s="6"/>
      <c r="V708" s="6"/>
      <c r="W708" s="6"/>
    </row>
    <row r="709" spans="1:23" x14ac:dyDescent="0.3">
      <c r="A709" s="6" t="s">
        <v>1738</v>
      </c>
      <c r="B709" s="6" t="s">
        <v>358</v>
      </c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>
        <v>5</v>
      </c>
      <c r="P709" s="6"/>
      <c r="Q709" s="6"/>
      <c r="R709" s="6"/>
      <c r="S709" s="6"/>
      <c r="T709" s="6"/>
      <c r="U709" s="6"/>
      <c r="V709" s="6"/>
      <c r="W709" s="6"/>
    </row>
    <row r="710" spans="1:23" x14ac:dyDescent="0.3">
      <c r="A710" s="6" t="s">
        <v>3961</v>
      </c>
      <c r="B710" s="6" t="s">
        <v>366</v>
      </c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>
        <v>1001</v>
      </c>
      <c r="P710" s="6"/>
      <c r="Q710" s="6"/>
      <c r="R710" s="6"/>
      <c r="S710" s="6"/>
      <c r="T710" s="6"/>
      <c r="U710" s="6"/>
      <c r="V710" s="6"/>
      <c r="W710" s="6"/>
    </row>
    <row r="711" spans="1:23" x14ac:dyDescent="0.3">
      <c r="A711" s="6"/>
      <c r="B711" s="6" t="s">
        <v>362</v>
      </c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>
        <v>-1</v>
      </c>
      <c r="P711" s="6"/>
      <c r="Q711" s="6"/>
      <c r="R711" s="6"/>
      <c r="S711" s="6"/>
      <c r="T711" s="6"/>
      <c r="U711" s="6"/>
      <c r="V711" s="6"/>
      <c r="W711" s="6"/>
    </row>
    <row r="712" spans="1:23" x14ac:dyDescent="0.3">
      <c r="A712" s="6" t="s">
        <v>2336</v>
      </c>
      <c r="B712" s="6" t="s">
        <v>344</v>
      </c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>
        <v>29</v>
      </c>
      <c r="P712" s="6"/>
      <c r="Q712" s="6"/>
      <c r="R712" s="6"/>
      <c r="S712" s="6"/>
      <c r="T712" s="6"/>
      <c r="U712" s="6"/>
      <c r="V712" s="6"/>
      <c r="W712" s="6"/>
    </row>
    <row r="713" spans="1:23" x14ac:dyDescent="0.3">
      <c r="A713" s="6" t="s">
        <v>4130</v>
      </c>
      <c r="B713" s="6" t="s">
        <v>402</v>
      </c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>
        <v>20</v>
      </c>
      <c r="P713" s="6"/>
      <c r="Q713" s="6"/>
      <c r="R713" s="6"/>
      <c r="S713" s="6"/>
      <c r="T713" s="6"/>
      <c r="U713" s="6"/>
      <c r="V713" s="6"/>
      <c r="W713" s="6"/>
    </row>
    <row r="714" spans="1:23" x14ac:dyDescent="0.3">
      <c r="A714" s="6"/>
      <c r="B714" s="6" t="s">
        <v>474</v>
      </c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>
        <v>-1</v>
      </c>
      <c r="P714" s="6"/>
      <c r="Q714" s="6"/>
      <c r="R714" s="6"/>
      <c r="S714" s="6"/>
      <c r="T714" s="6"/>
      <c r="U714" s="6"/>
      <c r="V714" s="6"/>
      <c r="W714" s="6"/>
    </row>
    <row r="715" spans="1:23" x14ac:dyDescent="0.3">
      <c r="A715" s="6"/>
      <c r="B715" s="6" t="s">
        <v>682</v>
      </c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>
        <v>-1</v>
      </c>
      <c r="P715" s="6"/>
      <c r="Q715" s="6"/>
      <c r="R715" s="6"/>
      <c r="S715" s="6"/>
      <c r="T715" s="6"/>
      <c r="U715" s="6"/>
      <c r="V715" s="6"/>
      <c r="W715" s="6"/>
    </row>
    <row r="716" spans="1:23" x14ac:dyDescent="0.3">
      <c r="A716" s="6"/>
      <c r="B716" s="6" t="s">
        <v>694</v>
      </c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>
        <v>-1</v>
      </c>
      <c r="P716" s="6"/>
      <c r="Q716" s="6"/>
      <c r="R716" s="6"/>
      <c r="S716" s="6"/>
      <c r="T716" s="6"/>
      <c r="U716" s="6"/>
      <c r="V716" s="6"/>
      <c r="W716" s="6"/>
    </row>
    <row r="717" spans="1:23" x14ac:dyDescent="0.3">
      <c r="A717" s="6"/>
      <c r="B717" s="6" t="s">
        <v>422</v>
      </c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>
        <v>-1</v>
      </c>
      <c r="P717" s="6"/>
      <c r="Q717" s="6"/>
      <c r="R717" s="6"/>
      <c r="S717" s="6"/>
      <c r="T717" s="6"/>
      <c r="U717" s="6"/>
      <c r="V717" s="6"/>
      <c r="W717" s="6"/>
    </row>
    <row r="718" spans="1:23" x14ac:dyDescent="0.3">
      <c r="A718" s="6" t="s">
        <v>3172</v>
      </c>
      <c r="B718" s="6" t="s">
        <v>338</v>
      </c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>
        <v>7</v>
      </c>
      <c r="P718" s="6"/>
      <c r="Q718" s="6"/>
      <c r="R718" s="6"/>
      <c r="S718" s="6"/>
      <c r="T718" s="6"/>
      <c r="U718" s="6"/>
      <c r="V718" s="6"/>
      <c r="W718" s="6"/>
    </row>
    <row r="719" spans="1:23" x14ac:dyDescent="0.3">
      <c r="A719" s="6"/>
      <c r="B719" s="6" t="s">
        <v>380</v>
      </c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>
        <v>-1</v>
      </c>
      <c r="P719" s="6"/>
      <c r="Q719" s="6"/>
      <c r="R719" s="6"/>
      <c r="S719" s="6"/>
      <c r="T719" s="6"/>
      <c r="U719" s="6"/>
      <c r="V719" s="6"/>
      <c r="W719" s="6"/>
    </row>
    <row r="720" spans="1:23" x14ac:dyDescent="0.3">
      <c r="A720" s="6"/>
      <c r="B720" s="6" t="s">
        <v>520</v>
      </c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>
        <v>-1</v>
      </c>
      <c r="P720" s="6"/>
      <c r="Q720" s="6"/>
      <c r="R720" s="6"/>
      <c r="S720" s="6"/>
      <c r="T720" s="6"/>
      <c r="U720" s="6"/>
      <c r="V720" s="6"/>
      <c r="W720" s="6"/>
    </row>
    <row r="721" spans="1:23" x14ac:dyDescent="0.3">
      <c r="A721" s="6" t="s">
        <v>3542</v>
      </c>
      <c r="B721" s="6" t="s">
        <v>450</v>
      </c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>
        <v>16</v>
      </c>
      <c r="P721" s="6"/>
      <c r="Q721" s="6"/>
      <c r="R721" s="6"/>
      <c r="S721" s="6"/>
      <c r="T721" s="6"/>
      <c r="U721" s="6"/>
      <c r="V721" s="6"/>
      <c r="W721" s="6"/>
    </row>
    <row r="722" spans="1:23" x14ac:dyDescent="0.3">
      <c r="A722" s="6"/>
      <c r="B722" s="6" t="s">
        <v>470</v>
      </c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>
        <v>-1</v>
      </c>
      <c r="P722" s="6"/>
      <c r="Q722" s="6"/>
      <c r="R722" s="6"/>
      <c r="S722" s="6"/>
      <c r="T722" s="6"/>
      <c r="U722" s="6"/>
      <c r="V722" s="6"/>
      <c r="W722" s="6"/>
    </row>
    <row r="723" spans="1:23" x14ac:dyDescent="0.3">
      <c r="A723" s="6" t="s">
        <v>4782</v>
      </c>
      <c r="B723" s="6" t="s">
        <v>400</v>
      </c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>
        <v>25</v>
      </c>
      <c r="P723" s="6"/>
      <c r="Q723" s="6"/>
      <c r="R723" s="6"/>
      <c r="S723" s="6"/>
      <c r="T723" s="6"/>
      <c r="U723" s="6"/>
      <c r="V723" s="6"/>
      <c r="W723" s="6"/>
    </row>
    <row r="724" spans="1:23" x14ac:dyDescent="0.3">
      <c r="A724" s="6" t="s">
        <v>3261</v>
      </c>
      <c r="B724" s="6" t="s">
        <v>344</v>
      </c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>
        <v>19</v>
      </c>
      <c r="P724" s="6"/>
      <c r="Q724" s="6"/>
      <c r="R724" s="6"/>
      <c r="S724" s="6"/>
      <c r="T724" s="6"/>
      <c r="U724" s="6"/>
      <c r="V724" s="6"/>
      <c r="W724" s="6"/>
    </row>
    <row r="725" spans="1:23" x14ac:dyDescent="0.3">
      <c r="A725" s="6" t="s">
        <v>1503</v>
      </c>
      <c r="B725" s="6" t="s">
        <v>402</v>
      </c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>
        <v>24</v>
      </c>
      <c r="P725" s="6"/>
      <c r="Q725" s="6"/>
      <c r="R725" s="6"/>
      <c r="S725" s="6"/>
      <c r="T725" s="6"/>
      <c r="U725" s="6"/>
      <c r="V725" s="6"/>
      <c r="W725" s="6"/>
    </row>
    <row r="726" spans="1:23" x14ac:dyDescent="0.3">
      <c r="A726" s="6"/>
      <c r="B726" s="6" t="s">
        <v>620</v>
      </c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>
        <v>-1</v>
      </c>
      <c r="P726" s="6"/>
      <c r="Q726" s="6"/>
      <c r="R726" s="6"/>
      <c r="S726" s="6"/>
      <c r="T726" s="6"/>
      <c r="U726" s="6"/>
      <c r="V726" s="6"/>
      <c r="W726" s="6"/>
    </row>
    <row r="727" spans="1:23" x14ac:dyDescent="0.3">
      <c r="A727" s="6" t="s">
        <v>4023</v>
      </c>
      <c r="B727" s="6" t="s">
        <v>348</v>
      </c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>
        <v>11</v>
      </c>
      <c r="P727" s="6"/>
      <c r="Q727" s="6"/>
      <c r="R727" s="6"/>
      <c r="S727" s="6"/>
      <c r="T727" s="6"/>
      <c r="U727" s="6"/>
      <c r="V727" s="6"/>
      <c r="W727" s="6"/>
    </row>
    <row r="728" spans="1:23" x14ac:dyDescent="0.3">
      <c r="A728" s="6"/>
      <c r="B728" s="6" t="s">
        <v>422</v>
      </c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>
        <v>-1</v>
      </c>
      <c r="P728" s="6"/>
      <c r="Q728" s="6"/>
      <c r="R728" s="6"/>
      <c r="S728" s="6"/>
      <c r="T728" s="6"/>
      <c r="U728" s="6"/>
      <c r="V728" s="6"/>
      <c r="W728" s="6"/>
    </row>
    <row r="729" spans="1:23" x14ac:dyDescent="0.3">
      <c r="A729" s="6"/>
      <c r="B729" s="6" t="s">
        <v>332</v>
      </c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>
        <v>-1</v>
      </c>
      <c r="P729" s="6"/>
      <c r="Q729" s="6"/>
      <c r="R729" s="6"/>
      <c r="S729" s="6"/>
      <c r="T729" s="6"/>
      <c r="U729" s="6"/>
      <c r="V729" s="6"/>
      <c r="W729" s="6"/>
    </row>
    <row r="730" spans="1:23" x14ac:dyDescent="0.3">
      <c r="A730" s="6" t="s">
        <v>1557</v>
      </c>
      <c r="B730" s="6" t="s">
        <v>394</v>
      </c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>
        <v>7</v>
      </c>
      <c r="Q730" s="6"/>
      <c r="R730" s="6"/>
      <c r="S730" s="6"/>
      <c r="T730" s="6"/>
      <c r="U730" s="6"/>
      <c r="V730" s="6"/>
      <c r="W730" s="6"/>
    </row>
    <row r="731" spans="1:23" x14ac:dyDescent="0.3">
      <c r="A731" s="6" t="s">
        <v>3677</v>
      </c>
      <c r="B731" s="6" t="s">
        <v>394</v>
      </c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>
        <v>5</v>
      </c>
      <c r="Q731" s="6"/>
      <c r="R731" s="6"/>
      <c r="S731" s="6"/>
      <c r="T731" s="6"/>
      <c r="U731" s="6"/>
      <c r="V731" s="6"/>
      <c r="W731" s="6"/>
    </row>
    <row r="732" spans="1:23" x14ac:dyDescent="0.3">
      <c r="A732" s="6"/>
      <c r="B732" s="6" t="s">
        <v>332</v>
      </c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>
        <v>-1</v>
      </c>
      <c r="Q732" s="6"/>
      <c r="R732" s="6"/>
      <c r="S732" s="6"/>
      <c r="T732" s="6"/>
      <c r="U732" s="6"/>
      <c r="V732" s="6"/>
      <c r="W732" s="6"/>
    </row>
    <row r="733" spans="1:23" x14ac:dyDescent="0.3">
      <c r="A733" s="6"/>
      <c r="B733" s="6" t="s">
        <v>332</v>
      </c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>
        <v>-1</v>
      </c>
      <c r="Q733" s="6"/>
      <c r="R733" s="6"/>
      <c r="S733" s="6"/>
      <c r="T733" s="6"/>
      <c r="U733" s="6"/>
      <c r="V733" s="6"/>
      <c r="W733" s="6"/>
    </row>
    <row r="734" spans="1:23" x14ac:dyDescent="0.3">
      <c r="A734" s="6" t="s">
        <v>2557</v>
      </c>
      <c r="B734" s="6" t="s">
        <v>384</v>
      </c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>
        <v>1</v>
      </c>
      <c r="Q734" s="6"/>
      <c r="R734" s="6"/>
      <c r="S734" s="6"/>
      <c r="T734" s="6"/>
      <c r="U734" s="6"/>
      <c r="V734" s="6"/>
      <c r="W734" s="6"/>
    </row>
    <row r="735" spans="1:23" x14ac:dyDescent="0.3">
      <c r="A735" s="6" t="s">
        <v>2213</v>
      </c>
      <c r="B735" s="6" t="s">
        <v>344</v>
      </c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>
        <v>8</v>
      </c>
      <c r="Q735" s="6"/>
      <c r="R735" s="6"/>
      <c r="S735" s="6"/>
      <c r="T735" s="6"/>
      <c r="U735" s="6"/>
      <c r="V735" s="6"/>
      <c r="W735" s="6"/>
    </row>
    <row r="736" spans="1:23" x14ac:dyDescent="0.3">
      <c r="A736" s="6"/>
      <c r="B736" s="6" t="s">
        <v>334</v>
      </c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>
        <v>-1</v>
      </c>
      <c r="Q736" s="6"/>
      <c r="R736" s="6"/>
      <c r="S736" s="6"/>
      <c r="T736" s="6"/>
      <c r="U736" s="6"/>
      <c r="V736" s="6"/>
      <c r="W736" s="6"/>
    </row>
    <row r="737" spans="1:23" x14ac:dyDescent="0.3">
      <c r="A737" s="6"/>
      <c r="B737" s="6" t="s">
        <v>406</v>
      </c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>
        <v>-1</v>
      </c>
      <c r="Q737" s="6"/>
      <c r="R737" s="6"/>
      <c r="S737" s="6"/>
      <c r="T737" s="6"/>
      <c r="U737" s="6"/>
      <c r="V737" s="6"/>
      <c r="W737" s="6"/>
    </row>
    <row r="738" spans="1:23" x14ac:dyDescent="0.3">
      <c r="A738" s="6"/>
      <c r="B738" s="6" t="s">
        <v>412</v>
      </c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>
        <v>-1</v>
      </c>
      <c r="Q738" s="6"/>
      <c r="R738" s="6"/>
      <c r="S738" s="6"/>
      <c r="T738" s="6"/>
      <c r="U738" s="6"/>
      <c r="V738" s="6"/>
      <c r="W738" s="6"/>
    </row>
    <row r="739" spans="1:23" x14ac:dyDescent="0.3">
      <c r="A739" s="6"/>
      <c r="B739" s="6" t="s">
        <v>726</v>
      </c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>
        <v>-1</v>
      </c>
      <c r="Q739" s="6"/>
      <c r="R739" s="6"/>
      <c r="S739" s="6"/>
      <c r="T739" s="6"/>
      <c r="U739" s="6"/>
      <c r="V739" s="6"/>
      <c r="W739" s="6"/>
    </row>
    <row r="740" spans="1:23" x14ac:dyDescent="0.3">
      <c r="A740" s="6" t="s">
        <v>2550</v>
      </c>
      <c r="B740" s="6" t="s">
        <v>384</v>
      </c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>
        <v>9</v>
      </c>
      <c r="Q740" s="6"/>
      <c r="R740" s="6"/>
      <c r="S740" s="6"/>
      <c r="T740" s="6"/>
      <c r="U740" s="6"/>
      <c r="V740" s="6"/>
      <c r="W740" s="6"/>
    </row>
    <row r="741" spans="1:23" x14ac:dyDescent="0.3">
      <c r="A741" s="6" t="s">
        <v>2558</v>
      </c>
      <c r="B741" s="6" t="s">
        <v>384</v>
      </c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>
        <v>13</v>
      </c>
      <c r="Q741" s="6"/>
      <c r="R741" s="6"/>
      <c r="S741" s="6"/>
      <c r="T741" s="6"/>
      <c r="U741" s="6"/>
      <c r="V741" s="6"/>
      <c r="W741" s="6"/>
    </row>
    <row r="742" spans="1:23" x14ac:dyDescent="0.3">
      <c r="A742" s="6"/>
      <c r="B742" s="6" t="s">
        <v>366</v>
      </c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>
        <v>-1</v>
      </c>
      <c r="Q742" s="6"/>
      <c r="R742" s="6"/>
      <c r="S742" s="6"/>
      <c r="T742" s="6"/>
      <c r="U742" s="6"/>
      <c r="V742" s="6"/>
      <c r="W742" s="6"/>
    </row>
    <row r="743" spans="1:23" x14ac:dyDescent="0.3">
      <c r="A743" s="6"/>
      <c r="B743" s="6" t="s">
        <v>366</v>
      </c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>
        <v>-1</v>
      </c>
      <c r="Q743" s="6"/>
      <c r="R743" s="6"/>
      <c r="S743" s="6"/>
      <c r="T743" s="6"/>
      <c r="U743" s="6"/>
      <c r="V743" s="6"/>
      <c r="W743" s="6"/>
    </row>
    <row r="744" spans="1:23" x14ac:dyDescent="0.3">
      <c r="A744" s="6" t="s">
        <v>3587</v>
      </c>
      <c r="B744" s="6" t="s">
        <v>442</v>
      </c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>
        <v>31</v>
      </c>
      <c r="Q744" s="6"/>
      <c r="R744" s="6"/>
      <c r="S744" s="6"/>
      <c r="T744" s="6"/>
      <c r="U744" s="6"/>
      <c r="V744" s="6"/>
      <c r="W744" s="6"/>
    </row>
    <row r="745" spans="1:23" x14ac:dyDescent="0.3">
      <c r="A745" s="6"/>
      <c r="B745" s="6" t="s">
        <v>442</v>
      </c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>
        <v>-1</v>
      </c>
      <c r="Q745" s="6"/>
      <c r="R745" s="6"/>
      <c r="S745" s="6"/>
      <c r="T745" s="6"/>
      <c r="U745" s="6"/>
      <c r="V745" s="6"/>
      <c r="W745" s="6"/>
    </row>
    <row r="746" spans="1:23" x14ac:dyDescent="0.3">
      <c r="A746" s="6"/>
      <c r="B746" s="6" t="s">
        <v>342</v>
      </c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>
        <v>-1</v>
      </c>
      <c r="Q746" s="6"/>
      <c r="R746" s="6"/>
      <c r="S746" s="6"/>
      <c r="T746" s="6"/>
      <c r="U746" s="6"/>
      <c r="V746" s="6"/>
      <c r="W746" s="6"/>
    </row>
    <row r="747" spans="1:23" x14ac:dyDescent="0.3">
      <c r="A747" s="6"/>
      <c r="B747" s="6" t="s">
        <v>342</v>
      </c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>
        <v>-1</v>
      </c>
      <c r="Q747" s="6"/>
      <c r="R747" s="6"/>
      <c r="S747" s="6"/>
      <c r="T747" s="6"/>
      <c r="U747" s="6"/>
      <c r="V747" s="6"/>
      <c r="W747" s="6"/>
    </row>
    <row r="748" spans="1:23" x14ac:dyDescent="0.3">
      <c r="A748" s="6"/>
      <c r="B748" s="6" t="s">
        <v>364</v>
      </c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>
        <v>-1</v>
      </c>
      <c r="Q748" s="6"/>
      <c r="R748" s="6"/>
      <c r="S748" s="6"/>
      <c r="T748" s="6"/>
      <c r="U748" s="6"/>
      <c r="V748" s="6"/>
      <c r="W748" s="6"/>
    </row>
    <row r="749" spans="1:23" x14ac:dyDescent="0.3">
      <c r="A749" s="6" t="s">
        <v>3661</v>
      </c>
      <c r="B749" s="6" t="s">
        <v>364</v>
      </c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>
        <v>11</v>
      </c>
      <c r="Q749" s="6"/>
      <c r="R749" s="6"/>
      <c r="S749" s="6"/>
      <c r="T749" s="6"/>
      <c r="U749" s="6"/>
      <c r="V749" s="6"/>
      <c r="W749" s="6"/>
    </row>
    <row r="750" spans="1:23" x14ac:dyDescent="0.3">
      <c r="A750" s="6" t="s">
        <v>3825</v>
      </c>
      <c r="B750" s="6" t="s">
        <v>340</v>
      </c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>
        <v>23</v>
      </c>
      <c r="Q750" s="6"/>
      <c r="R750" s="6"/>
      <c r="S750" s="6"/>
      <c r="T750" s="6"/>
      <c r="U750" s="6"/>
      <c r="V750" s="6"/>
      <c r="W750" s="6"/>
    </row>
    <row r="751" spans="1:23" x14ac:dyDescent="0.3">
      <c r="A751" s="6"/>
      <c r="B751" s="6" t="s">
        <v>328</v>
      </c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>
        <v>-1</v>
      </c>
      <c r="Q751" s="6"/>
      <c r="R751" s="6"/>
      <c r="S751" s="6"/>
      <c r="T751" s="6"/>
      <c r="U751" s="6"/>
      <c r="V751" s="6"/>
      <c r="W751" s="6"/>
    </row>
    <row r="752" spans="1:23" x14ac:dyDescent="0.3">
      <c r="A752" s="6" t="s">
        <v>3221</v>
      </c>
      <c r="B752" s="6" t="s">
        <v>450</v>
      </c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>
        <v>17</v>
      </c>
      <c r="Q752" s="6"/>
      <c r="R752" s="6"/>
      <c r="S752" s="6"/>
      <c r="T752" s="6"/>
      <c r="U752" s="6"/>
      <c r="V752" s="6"/>
      <c r="W752" s="6"/>
    </row>
    <row r="753" spans="1:23" x14ac:dyDescent="0.3">
      <c r="A753" s="6"/>
      <c r="B753" s="6" t="s">
        <v>326</v>
      </c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>
        <v>-1</v>
      </c>
      <c r="Q753" s="6"/>
      <c r="R753" s="6"/>
      <c r="S753" s="6"/>
      <c r="T753" s="6"/>
      <c r="U753" s="6"/>
      <c r="V753" s="6"/>
      <c r="W753" s="6"/>
    </row>
    <row r="754" spans="1:23" x14ac:dyDescent="0.3">
      <c r="A754" s="6"/>
      <c r="B754" s="6" t="s">
        <v>334</v>
      </c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>
        <v>-1</v>
      </c>
      <c r="Q754" s="6"/>
      <c r="R754" s="6"/>
      <c r="S754" s="6"/>
      <c r="T754" s="6"/>
      <c r="U754" s="6"/>
      <c r="V754" s="6"/>
      <c r="W754" s="6"/>
    </row>
    <row r="755" spans="1:23" x14ac:dyDescent="0.3">
      <c r="A755" s="6"/>
      <c r="B755" s="6" t="s">
        <v>406</v>
      </c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>
        <v>-1</v>
      </c>
      <c r="Q755" s="6"/>
      <c r="R755" s="6"/>
      <c r="S755" s="6"/>
      <c r="T755" s="6"/>
      <c r="U755" s="6"/>
      <c r="V755" s="6"/>
      <c r="W755" s="6"/>
    </row>
    <row r="756" spans="1:23" x14ac:dyDescent="0.3">
      <c r="A756" s="6"/>
      <c r="B756" s="6" t="s">
        <v>350</v>
      </c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>
        <v>-1</v>
      </c>
      <c r="Q756" s="6"/>
      <c r="R756" s="6"/>
      <c r="S756" s="6"/>
      <c r="T756" s="6"/>
      <c r="U756" s="6"/>
      <c r="V756" s="6"/>
      <c r="W756" s="6"/>
    </row>
    <row r="757" spans="1:23" x14ac:dyDescent="0.3">
      <c r="A757" s="6"/>
      <c r="B757" s="6" t="s">
        <v>390</v>
      </c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>
        <v>-1</v>
      </c>
      <c r="Q757" s="6"/>
      <c r="R757" s="6"/>
      <c r="S757" s="6"/>
      <c r="T757" s="6"/>
      <c r="U757" s="6"/>
      <c r="V757" s="6"/>
      <c r="W757" s="6"/>
    </row>
    <row r="758" spans="1:23" x14ac:dyDescent="0.3">
      <c r="A758" s="6"/>
      <c r="B758" s="6" t="s">
        <v>338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>
        <v>-1</v>
      </c>
      <c r="Q758" s="6"/>
      <c r="R758" s="6"/>
      <c r="S758" s="6"/>
      <c r="T758" s="6"/>
      <c r="U758" s="6"/>
      <c r="V758" s="6"/>
      <c r="W758" s="6"/>
    </row>
    <row r="759" spans="1:23" x14ac:dyDescent="0.3">
      <c r="A759" s="6" t="s">
        <v>1577</v>
      </c>
      <c r="B759" s="6" t="s">
        <v>718</v>
      </c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>
        <v>27</v>
      </c>
      <c r="Q759" s="6"/>
      <c r="R759" s="6"/>
      <c r="S759" s="6"/>
      <c r="T759" s="6"/>
      <c r="U759" s="6"/>
      <c r="V759" s="6"/>
      <c r="W759" s="6"/>
    </row>
    <row r="760" spans="1:23" x14ac:dyDescent="0.3">
      <c r="A760" s="6"/>
      <c r="B760" s="6" t="s">
        <v>406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>
        <v>-1</v>
      </c>
      <c r="Q760" s="6"/>
      <c r="R760" s="6"/>
      <c r="S760" s="6"/>
      <c r="T760" s="6"/>
      <c r="U760" s="6"/>
      <c r="V760" s="6"/>
      <c r="W760" s="6"/>
    </row>
    <row r="761" spans="1:23" x14ac:dyDescent="0.3">
      <c r="A761" s="6"/>
      <c r="B761" s="6" t="s">
        <v>398</v>
      </c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>
        <v>-1</v>
      </c>
      <c r="Q761" s="6"/>
      <c r="R761" s="6"/>
      <c r="S761" s="6"/>
      <c r="T761" s="6"/>
      <c r="U761" s="6"/>
      <c r="V761" s="6"/>
      <c r="W761" s="6"/>
    </row>
    <row r="762" spans="1:23" x14ac:dyDescent="0.3">
      <c r="A762" s="6" t="s">
        <v>3448</v>
      </c>
      <c r="B762" s="6" t="s">
        <v>334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>
        <v>6</v>
      </c>
      <c r="S762" s="6"/>
      <c r="T762" s="6"/>
      <c r="U762" s="6"/>
      <c r="V762" s="6"/>
      <c r="W762" s="6"/>
    </row>
    <row r="763" spans="1:23" x14ac:dyDescent="0.3">
      <c r="A763" s="6"/>
      <c r="B763" s="6" t="s">
        <v>334</v>
      </c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>
        <v>-1</v>
      </c>
      <c r="S763" s="6"/>
      <c r="T763" s="6"/>
      <c r="U763" s="6"/>
      <c r="V763" s="6"/>
      <c r="W763" s="6"/>
    </row>
    <row r="764" spans="1:23" x14ac:dyDescent="0.3">
      <c r="A764" s="6"/>
      <c r="B764" s="6" t="s">
        <v>448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>
        <v>-1</v>
      </c>
      <c r="S764" s="6"/>
      <c r="T764" s="6"/>
      <c r="U764" s="6"/>
      <c r="V764" s="6"/>
      <c r="W764" s="6"/>
    </row>
    <row r="765" spans="1:23" x14ac:dyDescent="0.3">
      <c r="A765" s="6"/>
      <c r="B765" s="6" t="s">
        <v>448</v>
      </c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>
        <v>-1</v>
      </c>
      <c r="S765" s="6"/>
      <c r="T765" s="6"/>
      <c r="U765" s="6"/>
      <c r="V765" s="6"/>
      <c r="W765" s="6"/>
    </row>
    <row r="766" spans="1:23" x14ac:dyDescent="0.3">
      <c r="A766" s="6"/>
      <c r="B766" s="6" t="s">
        <v>336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>
        <v>-1</v>
      </c>
      <c r="S766" s="6"/>
      <c r="T766" s="6"/>
      <c r="U766" s="6"/>
      <c r="V766" s="6"/>
      <c r="W766" s="6"/>
    </row>
    <row r="767" spans="1:23" x14ac:dyDescent="0.3">
      <c r="A767" s="6"/>
      <c r="B767" s="6" t="s">
        <v>442</v>
      </c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>
        <v>-1</v>
      </c>
      <c r="S767" s="6"/>
      <c r="T767" s="6"/>
      <c r="U767" s="6"/>
      <c r="V767" s="6"/>
      <c r="W767" s="6"/>
    </row>
    <row r="768" spans="1:23" x14ac:dyDescent="0.3">
      <c r="A768" s="6" t="s">
        <v>1444</v>
      </c>
      <c r="B768" s="6" t="s">
        <v>372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>
        <v>9</v>
      </c>
      <c r="S768" s="6"/>
      <c r="T768" s="6"/>
      <c r="U768" s="6"/>
      <c r="V768" s="6"/>
      <c r="W768" s="6"/>
    </row>
    <row r="769" spans="1:23" x14ac:dyDescent="0.3">
      <c r="A769" s="6"/>
      <c r="B769" s="6" t="s">
        <v>344</v>
      </c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>
        <v>-1</v>
      </c>
      <c r="S769" s="6"/>
      <c r="T769" s="6"/>
      <c r="U769" s="6"/>
      <c r="V769" s="6"/>
      <c r="W769" s="6"/>
    </row>
    <row r="770" spans="1:23" x14ac:dyDescent="0.3">
      <c r="A770" s="6"/>
      <c r="B770" s="6" t="s">
        <v>582</v>
      </c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>
        <v>-1</v>
      </c>
      <c r="S770" s="6"/>
      <c r="T770" s="6"/>
      <c r="U770" s="6"/>
      <c r="V770" s="6"/>
      <c r="W770" s="6"/>
    </row>
    <row r="771" spans="1:23" x14ac:dyDescent="0.3">
      <c r="A771" s="6"/>
      <c r="B771" s="6" t="s">
        <v>620</v>
      </c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>
        <v>-1</v>
      </c>
      <c r="S771" s="6"/>
      <c r="T771" s="6"/>
      <c r="U771" s="6"/>
      <c r="V771" s="6"/>
      <c r="W771" s="6"/>
    </row>
    <row r="772" spans="1:23" x14ac:dyDescent="0.3">
      <c r="A772" s="6"/>
      <c r="B772" s="6" t="s">
        <v>376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>
        <v>-1</v>
      </c>
      <c r="S772" s="6"/>
      <c r="T772" s="6"/>
      <c r="U772" s="6"/>
      <c r="V772" s="6"/>
      <c r="W772" s="6"/>
    </row>
    <row r="773" spans="1:23" x14ac:dyDescent="0.3">
      <c r="A773" s="6" t="s">
        <v>1739</v>
      </c>
      <c r="B773" s="6" t="s">
        <v>326</v>
      </c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>
        <v>30</v>
      </c>
      <c r="S773" s="6"/>
      <c r="T773" s="6"/>
      <c r="U773" s="6"/>
      <c r="V773" s="6"/>
      <c r="W773" s="6"/>
    </row>
    <row r="774" spans="1:23" x14ac:dyDescent="0.3">
      <c r="A774" s="6" t="s">
        <v>4422</v>
      </c>
      <c r="B774" s="6" t="s">
        <v>326</v>
      </c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>
        <v>29</v>
      </c>
      <c r="S774" s="6"/>
      <c r="T774" s="6"/>
      <c r="U774" s="6"/>
      <c r="V774" s="6"/>
      <c r="W774" s="6"/>
    </row>
    <row r="775" spans="1:23" x14ac:dyDescent="0.3">
      <c r="A775" s="6" t="s">
        <v>1890</v>
      </c>
      <c r="B775" s="6" t="s">
        <v>372</v>
      </c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>
        <v>8</v>
      </c>
      <c r="S775" s="6"/>
      <c r="T775" s="6"/>
      <c r="U775" s="6"/>
      <c r="V775" s="6"/>
      <c r="W775" s="6"/>
    </row>
    <row r="776" spans="1:23" x14ac:dyDescent="0.3">
      <c r="A776" s="6"/>
      <c r="B776" s="6" t="s">
        <v>372</v>
      </c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>
        <v>-1</v>
      </c>
      <c r="S776" s="6"/>
      <c r="T776" s="6"/>
      <c r="U776" s="6"/>
      <c r="V776" s="6"/>
      <c r="W776" s="6"/>
    </row>
    <row r="777" spans="1:23" x14ac:dyDescent="0.3">
      <c r="A777" s="6"/>
      <c r="B777" s="6" t="s">
        <v>614</v>
      </c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>
        <v>-1</v>
      </c>
      <c r="S777" s="6"/>
      <c r="T777" s="6"/>
      <c r="U777" s="6"/>
      <c r="V777" s="6"/>
      <c r="W777" s="6"/>
    </row>
    <row r="778" spans="1:23" x14ac:dyDescent="0.3">
      <c r="A778" s="6"/>
      <c r="B778" s="6" t="s">
        <v>614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>
        <v>-1</v>
      </c>
      <c r="S778" s="6"/>
      <c r="T778" s="6"/>
      <c r="U778" s="6"/>
      <c r="V778" s="6"/>
      <c r="W778" s="6"/>
    </row>
    <row r="779" spans="1:23" x14ac:dyDescent="0.3">
      <c r="A779" s="6"/>
      <c r="B779" s="6" t="s">
        <v>394</v>
      </c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>
        <v>-1</v>
      </c>
      <c r="S779" s="6"/>
      <c r="T779" s="6"/>
      <c r="U779" s="6"/>
      <c r="V779" s="6"/>
      <c r="W779" s="6"/>
    </row>
    <row r="780" spans="1:23" x14ac:dyDescent="0.3">
      <c r="A780" s="6"/>
      <c r="B780" s="6" t="s">
        <v>394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>
        <v>-1</v>
      </c>
      <c r="S780" s="6"/>
      <c r="T780" s="6"/>
      <c r="U780" s="6"/>
      <c r="V780" s="6"/>
      <c r="W780" s="6"/>
    </row>
    <row r="781" spans="1:23" x14ac:dyDescent="0.3">
      <c r="A781" s="6" t="s">
        <v>2418</v>
      </c>
      <c r="B781" s="6" t="s">
        <v>354</v>
      </c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>
        <v>16</v>
      </c>
      <c r="S781" s="6"/>
      <c r="T781" s="6"/>
      <c r="U781" s="6"/>
      <c r="V781" s="6"/>
      <c r="W781" s="6"/>
    </row>
    <row r="782" spans="1:23" x14ac:dyDescent="0.3">
      <c r="A782" s="6"/>
      <c r="B782" s="6" t="s">
        <v>520</v>
      </c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>
        <v>-1</v>
      </c>
      <c r="S782" s="6"/>
      <c r="T782" s="6"/>
      <c r="U782" s="6"/>
      <c r="V782" s="6"/>
      <c r="W782" s="6"/>
    </row>
    <row r="783" spans="1:23" x14ac:dyDescent="0.3">
      <c r="A783" s="6"/>
      <c r="B783" s="6" t="s">
        <v>336</v>
      </c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>
        <v>-1</v>
      </c>
      <c r="S783" s="6"/>
      <c r="T783" s="6"/>
      <c r="U783" s="6"/>
      <c r="V783" s="6"/>
      <c r="W783" s="6"/>
    </row>
    <row r="784" spans="1:23" x14ac:dyDescent="0.3">
      <c r="A784" s="6"/>
      <c r="B784" s="6" t="s">
        <v>428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>
        <v>-1</v>
      </c>
      <c r="S784" s="6"/>
      <c r="T784" s="6"/>
      <c r="U784" s="6"/>
      <c r="V784" s="6"/>
      <c r="W784" s="6"/>
    </row>
    <row r="785" spans="1:23" x14ac:dyDescent="0.3">
      <c r="A785" s="6" t="s">
        <v>4272</v>
      </c>
      <c r="B785" s="6" t="s">
        <v>436</v>
      </c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>
        <v>5</v>
      </c>
      <c r="S785" s="6"/>
      <c r="T785" s="6"/>
      <c r="U785" s="6"/>
      <c r="V785" s="6"/>
      <c r="W785" s="6"/>
    </row>
    <row r="786" spans="1:23" x14ac:dyDescent="0.3">
      <c r="A786" s="6"/>
      <c r="B786" s="6" t="s">
        <v>390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>
        <v>-1</v>
      </c>
      <c r="S786" s="6"/>
      <c r="T786" s="6"/>
      <c r="U786" s="6"/>
      <c r="V786" s="6"/>
      <c r="W786" s="6"/>
    </row>
    <row r="787" spans="1:23" x14ac:dyDescent="0.3">
      <c r="A787" s="6"/>
      <c r="B787" s="6" t="s">
        <v>440</v>
      </c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>
        <v>-1</v>
      </c>
      <c r="S787" s="6"/>
      <c r="T787" s="6"/>
      <c r="U787" s="6"/>
      <c r="V787" s="6"/>
      <c r="W787" s="6"/>
    </row>
    <row r="788" spans="1:23" x14ac:dyDescent="0.3">
      <c r="A788" s="6"/>
      <c r="B788" s="6" t="s">
        <v>346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>
        <v>-1</v>
      </c>
      <c r="S788" s="6"/>
      <c r="T788" s="6"/>
      <c r="U788" s="6"/>
      <c r="V788" s="6"/>
      <c r="W788" s="6"/>
    </row>
    <row r="789" spans="1:23" x14ac:dyDescent="0.3">
      <c r="A789" s="6"/>
      <c r="B789" s="6" t="s">
        <v>348</v>
      </c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>
        <v>-1</v>
      </c>
      <c r="S789" s="6"/>
      <c r="T789" s="6"/>
      <c r="U789" s="6"/>
      <c r="V789" s="6"/>
      <c r="W789" s="6"/>
    </row>
    <row r="790" spans="1:23" x14ac:dyDescent="0.3">
      <c r="A790" s="6"/>
      <c r="B790" s="6" t="s">
        <v>480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>
        <v>-1</v>
      </c>
      <c r="S790" s="6"/>
      <c r="T790" s="6"/>
      <c r="U790" s="6"/>
      <c r="V790" s="6"/>
      <c r="W790" s="6"/>
    </row>
    <row r="791" spans="1:23" x14ac:dyDescent="0.3">
      <c r="A791" s="6"/>
      <c r="B791" s="6" t="s">
        <v>726</v>
      </c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>
        <v>-1</v>
      </c>
      <c r="S791" s="6"/>
      <c r="T791" s="6"/>
      <c r="U791" s="6"/>
      <c r="V791" s="6"/>
      <c r="W791" s="6"/>
    </row>
    <row r="792" spans="1:23" x14ac:dyDescent="0.3">
      <c r="A792" s="6" t="s">
        <v>1661</v>
      </c>
      <c r="B792" s="6" t="s">
        <v>332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>
        <v>27</v>
      </c>
      <c r="S792" s="6"/>
      <c r="T792" s="6"/>
      <c r="U792" s="6"/>
      <c r="V792" s="6"/>
      <c r="W792" s="6"/>
    </row>
    <row r="793" spans="1:23" x14ac:dyDescent="0.3">
      <c r="A793" s="6" t="s">
        <v>3887</v>
      </c>
      <c r="B793" s="6" t="s">
        <v>394</v>
      </c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>
        <v>26</v>
      </c>
      <c r="S793" s="6"/>
      <c r="T793" s="6"/>
      <c r="U793" s="6"/>
      <c r="V793" s="6"/>
      <c r="W793" s="6"/>
    </row>
    <row r="794" spans="1:23" x14ac:dyDescent="0.3">
      <c r="A794" s="6"/>
      <c r="B794" s="6" t="s">
        <v>572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>
        <v>-1</v>
      </c>
    </row>
    <row r="795" spans="1:23" x14ac:dyDescent="0.3">
      <c r="A795" s="6"/>
      <c r="B795" s="6" t="s">
        <v>572</v>
      </c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>
        <v>-1</v>
      </c>
    </row>
    <row r="796" spans="1:23" x14ac:dyDescent="0.3">
      <c r="A796" s="6"/>
      <c r="B796" s="6" t="s">
        <v>572</v>
      </c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>
        <v>-1</v>
      </c>
    </row>
    <row r="797" spans="1:23" x14ac:dyDescent="0.3">
      <c r="A797" s="6"/>
      <c r="B797" s="6" t="s">
        <v>332</v>
      </c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>
        <v>-1</v>
      </c>
    </row>
    <row r="798" spans="1:23" x14ac:dyDescent="0.3">
      <c r="A798" s="6"/>
      <c r="B798" s="6" t="s">
        <v>332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>
        <v>-1</v>
      </c>
    </row>
    <row r="799" spans="1:23" x14ac:dyDescent="0.3">
      <c r="A799" s="6"/>
      <c r="B799" s="6" t="s">
        <v>332</v>
      </c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>
        <v>-1</v>
      </c>
    </row>
    <row r="800" spans="1:23" x14ac:dyDescent="0.3">
      <c r="A800" s="6"/>
      <c r="B800" s="6" t="s">
        <v>384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>
        <v>-1</v>
      </c>
    </row>
    <row r="801" spans="1:23" x14ac:dyDescent="0.3">
      <c r="A801" s="6"/>
      <c r="B801" s="6" t="s">
        <v>384</v>
      </c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>
        <v>-1</v>
      </c>
    </row>
    <row r="802" spans="1:23" x14ac:dyDescent="0.3">
      <c r="A802" s="6"/>
      <c r="B802" s="6" t="s">
        <v>344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>
        <v>-1</v>
      </c>
    </row>
    <row r="803" spans="1:23" x14ac:dyDescent="0.3">
      <c r="A803" s="6"/>
      <c r="B803" s="6" t="s">
        <v>344</v>
      </c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>
        <v>-1</v>
      </c>
    </row>
    <row r="804" spans="1:23" x14ac:dyDescent="0.3">
      <c r="A804" s="6" t="s">
        <v>3438</v>
      </c>
      <c r="B804" s="6" t="s">
        <v>334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>
        <v>8</v>
      </c>
    </row>
    <row r="805" spans="1:23" x14ac:dyDescent="0.3">
      <c r="A805" s="6" t="s">
        <v>4667</v>
      </c>
      <c r="B805" s="6" t="s">
        <v>334</v>
      </c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>
        <v>2</v>
      </c>
    </row>
    <row r="806" spans="1:23" x14ac:dyDescent="0.3">
      <c r="A806" s="6"/>
      <c r="B806" s="6" t="s">
        <v>364</v>
      </c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>
        <v>-1</v>
      </c>
    </row>
    <row r="807" spans="1:23" x14ac:dyDescent="0.3">
      <c r="A807" s="6"/>
      <c r="B807" s="6" t="s">
        <v>364</v>
      </c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>
        <v>-1</v>
      </c>
    </row>
    <row r="808" spans="1:23" x14ac:dyDescent="0.3">
      <c r="A808" s="6"/>
      <c r="B808" s="6" t="s">
        <v>582</v>
      </c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>
        <v>-1</v>
      </c>
    </row>
    <row r="809" spans="1:23" x14ac:dyDescent="0.3">
      <c r="A809" s="6"/>
      <c r="B809" s="6" t="s">
        <v>412</v>
      </c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>
        <v>-1</v>
      </c>
    </row>
    <row r="810" spans="1:23" x14ac:dyDescent="0.3">
      <c r="A810" s="6"/>
      <c r="B810" s="6" t="s">
        <v>398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>
        <v>-1</v>
      </c>
    </row>
    <row r="811" spans="1:23" x14ac:dyDescent="0.3">
      <c r="A811" s="6" t="s">
        <v>1998</v>
      </c>
      <c r="B811" s="6" t="s">
        <v>354</v>
      </c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>
        <v>19</v>
      </c>
    </row>
    <row r="812" spans="1:23" x14ac:dyDescent="0.3">
      <c r="A812" s="6"/>
      <c r="B812" s="6" t="s">
        <v>354</v>
      </c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>
        <v>-1</v>
      </c>
    </row>
    <row r="813" spans="1:23" x14ac:dyDescent="0.3">
      <c r="A813" s="6" t="s">
        <v>3613</v>
      </c>
      <c r="B813" s="6" t="s">
        <v>336</v>
      </c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>
        <v>14</v>
      </c>
    </row>
    <row r="814" spans="1:23" x14ac:dyDescent="0.3">
      <c r="A814" s="6"/>
      <c r="B814" s="6" t="s">
        <v>334</v>
      </c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>
        <v>-1</v>
      </c>
    </row>
    <row r="815" spans="1:23" x14ac:dyDescent="0.3">
      <c r="A815" s="6"/>
      <c r="B815" s="6" t="s">
        <v>510</v>
      </c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>
        <v>-1</v>
      </c>
    </row>
    <row r="816" spans="1:23" x14ac:dyDescent="0.3">
      <c r="A816" s="6"/>
      <c r="B816" s="6" t="s">
        <v>330</v>
      </c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>
        <v>-1</v>
      </c>
    </row>
    <row r="817" spans="1:23" x14ac:dyDescent="0.3">
      <c r="A817" s="6"/>
      <c r="B817" s="6" t="s">
        <v>412</v>
      </c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>
        <v>-1</v>
      </c>
    </row>
    <row r="818" spans="1:23" x14ac:dyDescent="0.3">
      <c r="A818" s="6" t="s">
        <v>4370</v>
      </c>
      <c r="B818" s="6" t="s">
        <v>496</v>
      </c>
      <c r="C818" s="6">
        <v>67</v>
      </c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</row>
    <row r="819" spans="1:23" x14ac:dyDescent="0.3">
      <c r="A819" s="6"/>
      <c r="B819" s="6" t="s">
        <v>502</v>
      </c>
      <c r="C819" s="6">
        <v>-1</v>
      </c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</row>
    <row r="820" spans="1:23" x14ac:dyDescent="0.3">
      <c r="A820" s="6"/>
      <c r="B820" s="6" t="s">
        <v>514</v>
      </c>
      <c r="C820" s="6">
        <v>-1</v>
      </c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</row>
    <row r="821" spans="1:23" x14ac:dyDescent="0.3">
      <c r="A821" s="6"/>
      <c r="B821" s="6" t="s">
        <v>524</v>
      </c>
      <c r="C821" s="6">
        <v>-1</v>
      </c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</row>
    <row r="822" spans="1:23" x14ac:dyDescent="0.3">
      <c r="A822" s="6"/>
      <c r="B822" s="6" t="s">
        <v>522</v>
      </c>
      <c r="C822" s="6">
        <v>-1</v>
      </c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</row>
    <row r="823" spans="1:23" x14ac:dyDescent="0.3">
      <c r="A823" s="6"/>
      <c r="B823" s="6" t="s">
        <v>536</v>
      </c>
      <c r="C823" s="6">
        <v>-1</v>
      </c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</row>
    <row r="824" spans="1:23" x14ac:dyDescent="0.3">
      <c r="A824" s="6"/>
      <c r="B824" s="6" t="s">
        <v>546</v>
      </c>
      <c r="C824" s="6">
        <v>-1</v>
      </c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</row>
    <row r="825" spans="1:23" x14ac:dyDescent="0.3">
      <c r="A825" s="6"/>
      <c r="B825" s="6" t="s">
        <v>548</v>
      </c>
      <c r="C825" s="6">
        <v>-1</v>
      </c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</row>
    <row r="826" spans="1:23" x14ac:dyDescent="0.3">
      <c r="A826" s="6" t="s">
        <v>1432</v>
      </c>
      <c r="B826" s="6" t="s">
        <v>552</v>
      </c>
      <c r="C826" s="6">
        <v>63</v>
      </c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</row>
    <row r="827" spans="1:23" x14ac:dyDescent="0.3">
      <c r="A827" s="6"/>
      <c r="B827" s="6" t="s">
        <v>564</v>
      </c>
      <c r="C827" s="6">
        <v>-1</v>
      </c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</row>
    <row r="828" spans="1:23" x14ac:dyDescent="0.3">
      <c r="A828" s="6"/>
      <c r="B828" s="6" t="s">
        <v>566</v>
      </c>
      <c r="C828" s="6">
        <v>-1</v>
      </c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</row>
    <row r="829" spans="1:23" x14ac:dyDescent="0.3">
      <c r="A829" s="6"/>
      <c r="B829" s="6" t="s">
        <v>568</v>
      </c>
      <c r="C829" s="6">
        <v>-1</v>
      </c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</row>
    <row r="830" spans="1:23" x14ac:dyDescent="0.3">
      <c r="A830" s="6"/>
      <c r="B830" s="6" t="s">
        <v>574</v>
      </c>
      <c r="C830" s="6">
        <v>-1</v>
      </c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</row>
    <row r="831" spans="1:23" x14ac:dyDescent="0.3">
      <c r="A831" s="6"/>
      <c r="B831" s="6" t="s">
        <v>638</v>
      </c>
      <c r="C831" s="6">
        <v>-1</v>
      </c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</row>
    <row r="832" spans="1:23" x14ac:dyDescent="0.3">
      <c r="A832" s="6"/>
      <c r="B832" s="6" t="s">
        <v>420</v>
      </c>
      <c r="C832" s="6">
        <v>-1</v>
      </c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</row>
    <row r="833" spans="1:23" x14ac:dyDescent="0.3">
      <c r="A833" s="6"/>
      <c r="B833" s="6" t="s">
        <v>578</v>
      </c>
      <c r="C833" s="6">
        <v>-1</v>
      </c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</row>
    <row r="834" spans="1:23" x14ac:dyDescent="0.3">
      <c r="A834" s="6"/>
      <c r="B834" s="6" t="s">
        <v>388</v>
      </c>
      <c r="C834" s="6">
        <v>-1</v>
      </c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</row>
    <row r="835" spans="1:23" x14ac:dyDescent="0.3">
      <c r="A835" s="6"/>
      <c r="B835" s="6" t="s">
        <v>584</v>
      </c>
      <c r="C835" s="6">
        <v>-1</v>
      </c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</row>
    <row r="836" spans="1:23" x14ac:dyDescent="0.3">
      <c r="A836" s="6"/>
      <c r="B836" s="6" t="s">
        <v>588</v>
      </c>
      <c r="C836" s="6">
        <v>-1</v>
      </c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</row>
    <row r="837" spans="1:23" x14ac:dyDescent="0.3">
      <c r="A837" s="6"/>
      <c r="B837" s="6" t="s">
        <v>590</v>
      </c>
      <c r="C837" s="6">
        <v>-1</v>
      </c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</row>
    <row r="838" spans="1:23" x14ac:dyDescent="0.3">
      <c r="A838" s="6"/>
      <c r="B838" s="6" t="s">
        <v>592</v>
      </c>
      <c r="C838" s="6">
        <v>-1</v>
      </c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</row>
    <row r="839" spans="1:23" x14ac:dyDescent="0.3">
      <c r="A839" s="6"/>
      <c r="B839" s="6" t="s">
        <v>432</v>
      </c>
      <c r="C839" s="6">
        <v>-1</v>
      </c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</row>
    <row r="840" spans="1:23" x14ac:dyDescent="0.3">
      <c r="A840" s="6"/>
      <c r="B840" s="6" t="s">
        <v>464</v>
      </c>
      <c r="C840" s="6">
        <v>-1</v>
      </c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</row>
    <row r="841" spans="1:23" x14ac:dyDescent="0.3">
      <c r="A841" s="6"/>
      <c r="B841" s="6" t="s">
        <v>606</v>
      </c>
      <c r="C841" s="6">
        <v>-1</v>
      </c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</row>
    <row r="842" spans="1:23" x14ac:dyDescent="0.3">
      <c r="A842" s="6"/>
      <c r="B842" s="6" t="s">
        <v>460</v>
      </c>
      <c r="C842" s="6">
        <v>-1</v>
      </c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</row>
    <row r="843" spans="1:23" x14ac:dyDescent="0.3">
      <c r="A843" s="6"/>
      <c r="B843" s="6" t="s">
        <v>438</v>
      </c>
      <c r="C843" s="6">
        <v>-1</v>
      </c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</row>
    <row r="844" spans="1:23" x14ac:dyDescent="0.3">
      <c r="A844" s="6"/>
      <c r="B844" s="6" t="s">
        <v>626</v>
      </c>
      <c r="C844" s="6">
        <v>-1</v>
      </c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</row>
    <row r="845" spans="1:23" x14ac:dyDescent="0.3">
      <c r="A845" s="6"/>
      <c r="B845" s="6" t="s">
        <v>382</v>
      </c>
      <c r="C845" s="6">
        <v>-1</v>
      </c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</row>
    <row r="846" spans="1:23" x14ac:dyDescent="0.3">
      <c r="A846" s="6"/>
      <c r="B846" s="6" t="s">
        <v>486</v>
      </c>
      <c r="C846" s="6">
        <v>-1</v>
      </c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</row>
    <row r="847" spans="1:23" x14ac:dyDescent="0.3">
      <c r="A847" s="6"/>
      <c r="B847" s="6" t="s">
        <v>632</v>
      </c>
      <c r="C847" s="6">
        <v>-1</v>
      </c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</row>
    <row r="848" spans="1:23" x14ac:dyDescent="0.3">
      <c r="A848" s="6"/>
      <c r="B848" s="6" t="s">
        <v>488</v>
      </c>
      <c r="C848" s="6">
        <v>-1</v>
      </c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</row>
    <row r="849" spans="1:23" x14ac:dyDescent="0.3">
      <c r="A849" s="6"/>
      <c r="B849" s="6" t="s">
        <v>630</v>
      </c>
      <c r="C849" s="6">
        <v>-1</v>
      </c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</row>
    <row r="850" spans="1:23" x14ac:dyDescent="0.3">
      <c r="A850" s="6"/>
      <c r="B850" s="6" t="s">
        <v>636</v>
      </c>
      <c r="C850" s="6">
        <v>-1</v>
      </c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</row>
    <row r="851" spans="1:23" x14ac:dyDescent="0.3">
      <c r="A851" s="6"/>
      <c r="B851" s="6" t="s">
        <v>644</v>
      </c>
      <c r="C851" s="6">
        <v>-1</v>
      </c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</row>
    <row r="852" spans="1:23" x14ac:dyDescent="0.3">
      <c r="A852" s="6"/>
      <c r="B852" s="6" t="s">
        <v>646</v>
      </c>
      <c r="C852" s="6">
        <v>-1</v>
      </c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</row>
    <row r="853" spans="1:23" x14ac:dyDescent="0.3">
      <c r="A853" s="6"/>
      <c r="B853" s="6" t="s">
        <v>652</v>
      </c>
      <c r="C853" s="6">
        <v>-1</v>
      </c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</row>
    <row r="854" spans="1:23" x14ac:dyDescent="0.3">
      <c r="A854" s="6"/>
      <c r="B854" s="6" t="s">
        <v>664</v>
      </c>
      <c r="C854" s="6">
        <v>-1</v>
      </c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</row>
    <row r="855" spans="1:23" x14ac:dyDescent="0.3">
      <c r="A855" s="6"/>
      <c r="B855" s="6" t="s">
        <v>678</v>
      </c>
      <c r="C855" s="6">
        <v>-1</v>
      </c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</row>
    <row r="856" spans="1:23" x14ac:dyDescent="0.3">
      <c r="A856" s="6"/>
      <c r="B856" s="6" t="s">
        <v>692</v>
      </c>
      <c r="C856" s="6">
        <v>-1</v>
      </c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</row>
    <row r="857" spans="1:23" x14ac:dyDescent="0.3">
      <c r="A857" s="6"/>
      <c r="B857" s="6" t="s">
        <v>446</v>
      </c>
      <c r="C857" s="6">
        <v>-1</v>
      </c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</row>
    <row r="858" spans="1:23" x14ac:dyDescent="0.3">
      <c r="A858" s="6"/>
      <c r="B858" s="6" t="s">
        <v>706</v>
      </c>
      <c r="C858" s="6">
        <v>-1</v>
      </c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</row>
    <row r="859" spans="1:23" x14ac:dyDescent="0.3">
      <c r="A859" s="6"/>
      <c r="B859" s="6" t="s">
        <v>710</v>
      </c>
      <c r="C859" s="6">
        <v>-1</v>
      </c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</row>
    <row r="860" spans="1:23" x14ac:dyDescent="0.3">
      <c r="A860" s="6"/>
      <c r="B860" s="6" t="s">
        <v>716</v>
      </c>
      <c r="C860" s="6">
        <v>-1</v>
      </c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</row>
    <row r="861" spans="1:23" x14ac:dyDescent="0.3">
      <c r="A861" s="6"/>
      <c r="B861" s="6" t="s">
        <v>722</v>
      </c>
      <c r="C861" s="6">
        <v>-1</v>
      </c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</row>
    <row r="862" spans="1:23" x14ac:dyDescent="0.3">
      <c r="A862" s="6"/>
      <c r="B862" s="6" t="s">
        <v>734</v>
      </c>
      <c r="C862" s="6">
        <v>-1</v>
      </c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</row>
    <row r="863" spans="1:23" x14ac:dyDescent="0.3">
      <c r="A863" s="6"/>
      <c r="B863" s="6" t="s">
        <v>492</v>
      </c>
      <c r="C863" s="6">
        <v>-1</v>
      </c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</row>
    <row r="864" spans="1:23" x14ac:dyDescent="0.3">
      <c r="A864" s="6"/>
      <c r="B864" s="6" t="s">
        <v>416</v>
      </c>
      <c r="C864" s="6">
        <v>-1</v>
      </c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</row>
    <row r="865" spans="1:23" x14ac:dyDescent="0.3">
      <c r="A865" s="6" t="s">
        <v>3415</v>
      </c>
      <c r="B865" s="6" t="s">
        <v>506</v>
      </c>
      <c r="C865" s="6"/>
      <c r="D865" s="6"/>
      <c r="E865" s="6"/>
      <c r="F865" s="6">
        <v>46</v>
      </c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</row>
    <row r="866" spans="1:23" x14ac:dyDescent="0.3">
      <c r="A866" s="6"/>
      <c r="B866" s="6" t="s">
        <v>542</v>
      </c>
      <c r="C866" s="6"/>
      <c r="D866" s="6"/>
      <c r="E866" s="6"/>
      <c r="F866" s="6">
        <v>-1</v>
      </c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</row>
    <row r="867" spans="1:23" x14ac:dyDescent="0.3">
      <c r="A867" s="6"/>
      <c r="B867" s="6" t="s">
        <v>556</v>
      </c>
      <c r="C867" s="6"/>
      <c r="D867" s="6"/>
      <c r="E867" s="6"/>
      <c r="F867" s="6">
        <v>-1</v>
      </c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</row>
    <row r="868" spans="1:23" x14ac:dyDescent="0.3">
      <c r="A868" s="6"/>
      <c r="B868" s="6" t="s">
        <v>562</v>
      </c>
      <c r="C868" s="6"/>
      <c r="D868" s="6"/>
      <c r="E868" s="6"/>
      <c r="F868" s="6">
        <v>-1</v>
      </c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</row>
    <row r="869" spans="1:23" x14ac:dyDescent="0.3">
      <c r="A869" s="6" t="s">
        <v>3910</v>
      </c>
      <c r="B869" s="6" t="s">
        <v>680</v>
      </c>
      <c r="C869" s="6"/>
      <c r="D869" s="6"/>
      <c r="E869" s="6"/>
      <c r="F869" s="6">
        <v>33</v>
      </c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</row>
    <row r="870" spans="1:23" x14ac:dyDescent="0.3">
      <c r="A870" s="6"/>
      <c r="B870" s="6" t="s">
        <v>698</v>
      </c>
      <c r="C870" s="6"/>
      <c r="D870" s="6"/>
      <c r="E870" s="6"/>
      <c r="F870" s="6">
        <v>-1</v>
      </c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</row>
    <row r="871" spans="1:23" x14ac:dyDescent="0.3">
      <c r="A871" s="6"/>
      <c r="B871" s="6" t="s">
        <v>462</v>
      </c>
      <c r="C871" s="6"/>
      <c r="D871" s="6"/>
      <c r="E871" s="6"/>
      <c r="F871" s="6">
        <v>-1</v>
      </c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</row>
    <row r="872" spans="1:23" x14ac:dyDescent="0.3">
      <c r="A872" s="6"/>
      <c r="B872" s="6" t="s">
        <v>466</v>
      </c>
      <c r="C872" s="6"/>
      <c r="D872" s="6"/>
      <c r="E872" s="6"/>
      <c r="F872" s="6">
        <v>-1</v>
      </c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</row>
    <row r="873" spans="1:23" x14ac:dyDescent="0.3">
      <c r="A873" s="6"/>
      <c r="B873" s="6" t="s">
        <v>468</v>
      </c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>
        <v>-1</v>
      </c>
      <c r="N873" s="6"/>
      <c r="O873" s="6"/>
      <c r="P873" s="6"/>
      <c r="Q873" s="6"/>
      <c r="R873" s="6"/>
      <c r="S873" s="6"/>
      <c r="T873" s="6"/>
      <c r="U873" s="6"/>
      <c r="V873" s="6"/>
      <c r="W873" s="6"/>
    </row>
    <row r="874" spans="1:23" x14ac:dyDescent="0.3">
      <c r="A874" s="6"/>
      <c r="B874" s="6" t="s">
        <v>550</v>
      </c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>
        <v>-1</v>
      </c>
      <c r="N874" s="6"/>
      <c r="O874" s="6"/>
      <c r="P874" s="6"/>
      <c r="Q874" s="6"/>
      <c r="R874" s="6"/>
      <c r="S874" s="6"/>
      <c r="T874" s="6"/>
      <c r="U874" s="6"/>
      <c r="V874" s="6"/>
      <c r="W874" s="6"/>
    </row>
    <row r="875" spans="1:23" x14ac:dyDescent="0.3">
      <c r="A875" s="6" t="s">
        <v>3804</v>
      </c>
      <c r="B875" s="6" t="s">
        <v>602</v>
      </c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>
        <v>65</v>
      </c>
      <c r="N875" s="6"/>
      <c r="O875" s="6"/>
      <c r="P875" s="6"/>
      <c r="Q875" s="6"/>
      <c r="R875" s="6"/>
      <c r="S875" s="6"/>
      <c r="T875" s="6"/>
      <c r="U875" s="6"/>
      <c r="V875" s="6"/>
      <c r="W875" s="6"/>
    </row>
    <row r="876" spans="1:23" x14ac:dyDescent="0.3">
      <c r="A876" s="6"/>
      <c r="B876" s="6" t="s">
        <v>642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>
        <v>-1</v>
      </c>
      <c r="N876" s="6"/>
      <c r="O876" s="6"/>
      <c r="P876" s="6"/>
      <c r="Q876" s="6"/>
      <c r="R876" s="6"/>
      <c r="S876" s="6"/>
      <c r="T876" s="6"/>
      <c r="U876" s="6"/>
      <c r="V876" s="6"/>
      <c r="W876" s="6"/>
    </row>
    <row r="877" spans="1:23" x14ac:dyDescent="0.3">
      <c r="A877" s="6"/>
      <c r="B877" s="6" t="s">
        <v>658</v>
      </c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>
        <v>-1</v>
      </c>
      <c r="N877" s="6"/>
      <c r="O877" s="6"/>
      <c r="P877" s="6"/>
      <c r="Q877" s="6"/>
      <c r="R877" s="6"/>
      <c r="S877" s="6"/>
      <c r="T877" s="6"/>
      <c r="U877" s="6"/>
      <c r="V877" s="6"/>
      <c r="W877" s="6"/>
    </row>
    <row r="878" spans="1:23" x14ac:dyDescent="0.3">
      <c r="A878" s="6"/>
      <c r="B878" s="6" t="s">
        <v>624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>
        <v>-1</v>
      </c>
      <c r="N878" s="6"/>
      <c r="O878" s="6"/>
      <c r="P878" s="6"/>
      <c r="Q878" s="6"/>
      <c r="R878" s="6"/>
      <c r="S878" s="6"/>
      <c r="T878" s="6"/>
      <c r="U878" s="6"/>
      <c r="V878" s="6"/>
      <c r="W878" s="6"/>
    </row>
    <row r="879" spans="1:23" x14ac:dyDescent="0.3">
      <c r="A879" s="6"/>
      <c r="B879" s="6" t="s">
        <v>704</v>
      </c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>
        <v>-1</v>
      </c>
      <c r="N879" s="6"/>
      <c r="O879" s="6"/>
      <c r="P879" s="6"/>
      <c r="Q879" s="6"/>
      <c r="R879" s="6"/>
      <c r="S879" s="6"/>
      <c r="T879" s="6"/>
      <c r="U879" s="6"/>
      <c r="V879" s="6"/>
      <c r="W879" s="6"/>
    </row>
    <row r="880" spans="1:23" x14ac:dyDescent="0.3">
      <c r="A880" s="6" t="s">
        <v>1836</v>
      </c>
      <c r="B880" s="6" t="s">
        <v>732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>
        <v>1001</v>
      </c>
      <c r="N880" s="6"/>
      <c r="O880" s="6"/>
      <c r="P880" s="6"/>
      <c r="Q880" s="6"/>
      <c r="R880" s="6"/>
      <c r="S880" s="6"/>
      <c r="T880" s="6"/>
      <c r="U880" s="6"/>
      <c r="V880" s="6"/>
      <c r="W880" s="6"/>
    </row>
    <row r="881" spans="1:23" x14ac:dyDescent="0.3">
      <c r="A881" s="6"/>
      <c r="B881" s="6" t="s">
        <v>386</v>
      </c>
      <c r="C881" s="6">
        <v>-1</v>
      </c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</row>
    <row r="882" spans="1:23" x14ac:dyDescent="0.3">
      <c r="A882" s="6"/>
      <c r="B882" s="6" t="s">
        <v>386</v>
      </c>
      <c r="C882" s="6"/>
      <c r="D882" s="6"/>
      <c r="E882" s="6"/>
      <c r="F882" s="6">
        <v>-1</v>
      </c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</row>
    <row r="883" spans="1:23" x14ac:dyDescent="0.3">
      <c r="A883" s="6"/>
      <c r="B883" s="6" t="s">
        <v>386</v>
      </c>
      <c r="C883" s="6"/>
      <c r="D883" s="6"/>
      <c r="E883" s="6"/>
      <c r="F883" s="6"/>
      <c r="G883" s="6"/>
      <c r="H883" s="6">
        <v>-1</v>
      </c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</row>
    <row r="884" spans="1:23" x14ac:dyDescent="0.3">
      <c r="A884" s="6"/>
      <c r="B884" s="6" t="s">
        <v>386</v>
      </c>
      <c r="C884" s="6"/>
      <c r="D884" s="6"/>
      <c r="E884" s="6"/>
      <c r="F884" s="6"/>
      <c r="G884" s="6"/>
      <c r="H884" s="6"/>
      <c r="I884" s="6">
        <v>-1</v>
      </c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</row>
    <row r="885" spans="1:23" x14ac:dyDescent="0.3">
      <c r="A885" s="6"/>
      <c r="B885" s="6" t="s">
        <v>386</v>
      </c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>
        <v>-1</v>
      </c>
      <c r="N885" s="6"/>
      <c r="O885" s="6"/>
      <c r="P885" s="6"/>
      <c r="Q885" s="6"/>
      <c r="R885" s="6"/>
      <c r="S885" s="6"/>
      <c r="T885" s="6"/>
      <c r="U885" s="6"/>
      <c r="V885" s="6"/>
      <c r="W885" s="6"/>
    </row>
    <row r="886" spans="1:23" x14ac:dyDescent="0.3">
      <c r="A886" s="6"/>
      <c r="B886" s="6" t="s">
        <v>386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>
        <v>-1</v>
      </c>
      <c r="T886" s="6"/>
      <c r="U886" s="6"/>
      <c r="V886" s="6"/>
      <c r="W886" s="6"/>
    </row>
  </sheetData>
  <phoneticPr fontId="1" type="noConversion"/>
  <pageMargins left="0.7" right="0.7" top="0.75" bottom="0.75" header="0.3" footer="0.3"/>
  <pageSetup paperSize="9" orientation="portrait" horizontalDpi="4294967293" verticalDpi="4294967293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BCC00-B0F7-4285-B75A-CAC1C9EB278D}">
  <dimension ref="A1:W869"/>
  <sheetViews>
    <sheetView topLeftCell="A863" workbookViewId="0">
      <selection activeCell="B870" sqref="B870"/>
    </sheetView>
  </sheetViews>
  <sheetFormatPr defaultRowHeight="14.4" x14ac:dyDescent="0.3"/>
  <cols>
    <col min="1" max="1" width="26" bestFit="1" customWidth="1"/>
    <col min="2" max="2" width="26.109375" bestFit="1" customWidth="1"/>
    <col min="3" max="6" width="19.44140625" bestFit="1" customWidth="1"/>
    <col min="7" max="8" width="20.44140625" bestFit="1" customWidth="1"/>
    <col min="9" max="9" width="21.44140625" bestFit="1" customWidth="1"/>
    <col min="10" max="11" width="26.33203125" bestFit="1" customWidth="1"/>
    <col min="12" max="12" width="32.21875" bestFit="1" customWidth="1"/>
    <col min="13" max="13" width="23.21875" bestFit="1" customWidth="1"/>
    <col min="14" max="14" width="28.77734375" bestFit="1" customWidth="1"/>
    <col min="15" max="15" width="25.88671875" bestFit="1" customWidth="1"/>
    <col min="16" max="16" width="28" bestFit="1" customWidth="1"/>
    <col min="17" max="17" width="23.6640625" bestFit="1" customWidth="1"/>
    <col min="18" max="18" width="26.33203125" bestFit="1" customWidth="1"/>
    <col min="19" max="19" width="24" bestFit="1" customWidth="1"/>
    <col min="20" max="20" width="23.33203125" bestFit="1" customWidth="1"/>
    <col min="21" max="21" width="22" bestFit="1" customWidth="1"/>
    <col min="22" max="22" width="24.5546875" bestFit="1" customWidth="1"/>
    <col min="23" max="23" width="24.33203125" bestFit="1" customWidth="1"/>
  </cols>
  <sheetData>
    <row r="1" spans="1:23" x14ac:dyDescent="0.3">
      <c r="A1" t="s">
        <v>832</v>
      </c>
      <c r="B1" t="s">
        <v>1</v>
      </c>
      <c r="C1" t="s">
        <v>939</v>
      </c>
      <c r="D1" t="s">
        <v>940</v>
      </c>
      <c r="E1" t="s">
        <v>941</v>
      </c>
      <c r="F1" t="s">
        <v>942</v>
      </c>
      <c r="G1" t="s">
        <v>943</v>
      </c>
      <c r="H1" t="s">
        <v>944</v>
      </c>
      <c r="I1" t="s">
        <v>945</v>
      </c>
      <c r="J1" t="s">
        <v>946</v>
      </c>
      <c r="K1" t="s">
        <v>947</v>
      </c>
      <c r="L1" t="s">
        <v>948</v>
      </c>
      <c r="M1" t="s">
        <v>949</v>
      </c>
      <c r="N1" t="s">
        <v>1158</v>
      </c>
      <c r="O1" t="s">
        <v>950</v>
      </c>
      <c r="P1" t="s">
        <v>951</v>
      </c>
      <c r="Q1" t="s">
        <v>952</v>
      </c>
      <c r="R1" t="s">
        <v>953</v>
      </c>
      <c r="S1" t="s">
        <v>954</v>
      </c>
      <c r="T1" t="s">
        <v>955</v>
      </c>
      <c r="U1" t="s">
        <v>956</v>
      </c>
      <c r="V1" t="s">
        <v>957</v>
      </c>
      <c r="W1" t="s">
        <v>958</v>
      </c>
    </row>
    <row r="2" spans="1:23" x14ac:dyDescent="0.3">
      <c r="A2" s="6" t="s">
        <v>1469</v>
      </c>
      <c r="B2" s="6" t="s">
        <v>402</v>
      </c>
      <c r="C2" s="6">
        <v>11</v>
      </c>
      <c r="D2" s="6">
        <v>4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</row>
    <row r="3" spans="1:23" x14ac:dyDescent="0.3">
      <c r="A3" s="6" t="s">
        <v>1492</v>
      </c>
      <c r="B3" s="6" t="s">
        <v>402</v>
      </c>
      <c r="C3" s="6">
        <v>17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</row>
    <row r="4" spans="1:23" x14ac:dyDescent="0.3">
      <c r="A4" s="6" t="s">
        <v>1498</v>
      </c>
      <c r="B4" s="6" t="s">
        <v>402</v>
      </c>
      <c r="C4" s="6">
        <v>4</v>
      </c>
      <c r="D4" s="6">
        <v>5</v>
      </c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</row>
    <row r="5" spans="1:23" x14ac:dyDescent="0.3">
      <c r="A5" s="6"/>
      <c r="B5" s="6" t="s">
        <v>600</v>
      </c>
      <c r="C5" s="6">
        <v>-1</v>
      </c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</row>
    <row r="6" spans="1:23" x14ac:dyDescent="0.3">
      <c r="A6" s="6"/>
      <c r="B6" s="6" t="s">
        <v>600</v>
      </c>
      <c r="C6" s="6">
        <v>-1</v>
      </c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</row>
    <row r="7" spans="1:23" x14ac:dyDescent="0.3">
      <c r="A7" s="6"/>
      <c r="B7" s="6" t="s">
        <v>600</v>
      </c>
      <c r="C7" s="6">
        <v>-1</v>
      </c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  <row r="8" spans="1:23" x14ac:dyDescent="0.3">
      <c r="A8" s="6"/>
      <c r="B8" s="6" t="s">
        <v>440</v>
      </c>
      <c r="C8" s="6">
        <v>-1</v>
      </c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</row>
    <row r="9" spans="1:23" x14ac:dyDescent="0.3">
      <c r="A9" s="6"/>
      <c r="B9" s="6" t="s">
        <v>440</v>
      </c>
      <c r="C9" s="6">
        <v>-1</v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</row>
    <row r="10" spans="1:23" x14ac:dyDescent="0.3">
      <c r="A10" s="6"/>
      <c r="B10" s="6" t="s">
        <v>332</v>
      </c>
      <c r="C10" s="6">
        <v>-1</v>
      </c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</row>
    <row r="11" spans="1:23" x14ac:dyDescent="0.3">
      <c r="A11" s="6"/>
      <c r="B11" s="6" t="s">
        <v>332</v>
      </c>
      <c r="C11" s="6">
        <v>-1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</row>
    <row r="12" spans="1:23" x14ac:dyDescent="0.3">
      <c r="A12" s="6" t="s">
        <v>1861</v>
      </c>
      <c r="B12" s="6" t="s">
        <v>332</v>
      </c>
      <c r="C12" s="6">
        <v>5</v>
      </c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</row>
    <row r="13" spans="1:23" x14ac:dyDescent="0.3">
      <c r="A13" s="6"/>
      <c r="B13" s="6" t="s">
        <v>334</v>
      </c>
      <c r="C13" s="6">
        <v>-1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</row>
    <row r="14" spans="1:23" x14ac:dyDescent="0.3">
      <c r="A14" s="6" t="s">
        <v>4652</v>
      </c>
      <c r="B14" s="6" t="s">
        <v>334</v>
      </c>
      <c r="C14" s="6">
        <v>33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</row>
    <row r="15" spans="1:23" x14ac:dyDescent="0.3">
      <c r="A15" s="6"/>
      <c r="B15" s="6" t="s">
        <v>430</v>
      </c>
      <c r="C15" s="6">
        <v>-1</v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</row>
    <row r="16" spans="1:23" x14ac:dyDescent="0.3">
      <c r="A16" s="6"/>
      <c r="B16" s="6" t="s">
        <v>430</v>
      </c>
      <c r="C16" s="6">
        <v>-1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</row>
    <row r="17" spans="1:23" x14ac:dyDescent="0.3">
      <c r="A17" s="6" t="s">
        <v>3525</v>
      </c>
      <c r="B17" s="6" t="s">
        <v>504</v>
      </c>
      <c r="C17" s="6">
        <v>42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</row>
    <row r="18" spans="1:23" x14ac:dyDescent="0.3">
      <c r="A18" s="6"/>
      <c r="B18" s="6" t="s">
        <v>384</v>
      </c>
      <c r="C18" s="6">
        <v>-1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 spans="1:23" x14ac:dyDescent="0.3">
      <c r="A19" s="6"/>
      <c r="B19" s="6" t="s">
        <v>344</v>
      </c>
      <c r="C19" s="6">
        <v>-1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</row>
    <row r="20" spans="1:23" x14ac:dyDescent="0.3">
      <c r="A20" s="6"/>
      <c r="B20" s="6" t="s">
        <v>388</v>
      </c>
      <c r="C20" s="6">
        <v>-1</v>
      </c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</row>
    <row r="21" spans="1:23" x14ac:dyDescent="0.3">
      <c r="A21" s="6"/>
      <c r="B21" s="6" t="s">
        <v>356</v>
      </c>
      <c r="C21" s="6">
        <v>-1</v>
      </c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</row>
    <row r="22" spans="1:23" x14ac:dyDescent="0.3">
      <c r="A22" s="6" t="s">
        <v>4252</v>
      </c>
      <c r="B22" s="6" t="s">
        <v>426</v>
      </c>
      <c r="C22" s="6">
        <v>8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</row>
    <row r="23" spans="1:23" x14ac:dyDescent="0.3">
      <c r="A23" s="6"/>
      <c r="B23" s="6" t="s">
        <v>622</v>
      </c>
      <c r="C23" s="6">
        <v>-1</v>
      </c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</row>
    <row r="24" spans="1:23" x14ac:dyDescent="0.3">
      <c r="A24" s="6" t="s">
        <v>2856</v>
      </c>
      <c r="B24" s="6" t="s">
        <v>474</v>
      </c>
      <c r="C24" s="6">
        <v>14</v>
      </c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</row>
    <row r="25" spans="1:23" x14ac:dyDescent="0.3">
      <c r="A25" s="6"/>
      <c r="B25" s="6" t="s">
        <v>394</v>
      </c>
      <c r="C25" s="6">
        <v>-1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</row>
    <row r="26" spans="1:23" x14ac:dyDescent="0.3">
      <c r="A26" s="6" t="s">
        <v>2497</v>
      </c>
      <c r="B26" s="6" t="s">
        <v>476</v>
      </c>
      <c r="C26" s="6">
        <v>1</v>
      </c>
      <c r="D26" s="6">
        <v>2</v>
      </c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</row>
    <row r="27" spans="1:23" x14ac:dyDescent="0.3">
      <c r="A27" s="6"/>
      <c r="B27" s="6" t="s">
        <v>444</v>
      </c>
      <c r="C27" s="6">
        <v>-1</v>
      </c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</row>
    <row r="28" spans="1:23" x14ac:dyDescent="0.3">
      <c r="A28" s="6"/>
      <c r="B28" s="6" t="s">
        <v>520</v>
      </c>
      <c r="C28" s="6">
        <v>-1</v>
      </c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</row>
    <row r="29" spans="1:23" x14ac:dyDescent="0.3">
      <c r="A29" s="6" t="s">
        <v>3135</v>
      </c>
      <c r="B29" s="6" t="s">
        <v>520</v>
      </c>
      <c r="C29" s="6">
        <v>19</v>
      </c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</row>
    <row r="30" spans="1:23" x14ac:dyDescent="0.3">
      <c r="A30" s="6"/>
      <c r="B30" s="6" t="s">
        <v>444</v>
      </c>
      <c r="C30" s="6">
        <v>-1</v>
      </c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</row>
    <row r="31" spans="1:23" x14ac:dyDescent="0.3">
      <c r="A31" s="6" t="s">
        <v>4256</v>
      </c>
      <c r="B31" s="6" t="s">
        <v>444</v>
      </c>
      <c r="C31" s="6">
        <v>39</v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</row>
    <row r="32" spans="1:23" x14ac:dyDescent="0.3">
      <c r="A32" s="6"/>
      <c r="B32" s="6" t="s">
        <v>480</v>
      </c>
      <c r="C32" s="6">
        <v>-1</v>
      </c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</row>
    <row r="33" spans="1:23" x14ac:dyDescent="0.3">
      <c r="A33" s="6"/>
      <c r="B33" s="6" t="s">
        <v>480</v>
      </c>
      <c r="C33" s="6">
        <v>-1</v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</row>
    <row r="34" spans="1:23" x14ac:dyDescent="0.3">
      <c r="A34" s="6"/>
      <c r="B34" s="6" t="s">
        <v>354</v>
      </c>
      <c r="C34" s="6">
        <v>-1</v>
      </c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</row>
    <row r="35" spans="1:23" x14ac:dyDescent="0.3">
      <c r="A35" s="6"/>
      <c r="B35" s="6" t="s">
        <v>516</v>
      </c>
      <c r="C35" s="6">
        <v>-1</v>
      </c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</row>
    <row r="36" spans="1:23" x14ac:dyDescent="0.3">
      <c r="A36" s="6"/>
      <c r="B36" s="6" t="s">
        <v>336</v>
      </c>
      <c r="C36" s="6">
        <v>-1</v>
      </c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</row>
    <row r="37" spans="1:23" x14ac:dyDescent="0.3">
      <c r="A37" s="6"/>
      <c r="B37" s="6" t="s">
        <v>328</v>
      </c>
      <c r="C37" s="6">
        <v>-1</v>
      </c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</row>
    <row r="38" spans="1:23" x14ac:dyDescent="0.3">
      <c r="A38" s="6"/>
      <c r="B38" s="6" t="s">
        <v>470</v>
      </c>
      <c r="C38" s="6">
        <v>-1</v>
      </c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</row>
    <row r="39" spans="1:23" x14ac:dyDescent="0.3">
      <c r="A39" s="6"/>
      <c r="B39" s="6" t="s">
        <v>560</v>
      </c>
      <c r="C39" s="6">
        <v>-1</v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</row>
    <row r="40" spans="1:23" x14ac:dyDescent="0.3">
      <c r="A40" s="6"/>
      <c r="B40" s="6" t="s">
        <v>442</v>
      </c>
      <c r="C40" s="6">
        <v>-1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</row>
    <row r="41" spans="1:23" x14ac:dyDescent="0.3">
      <c r="A41" s="6"/>
      <c r="B41" s="6" t="s">
        <v>400</v>
      </c>
      <c r="C41" s="6">
        <v>-1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</row>
    <row r="42" spans="1:23" x14ac:dyDescent="0.3">
      <c r="A42" s="6" t="s">
        <v>1450</v>
      </c>
      <c r="B42" s="6" t="s">
        <v>372</v>
      </c>
      <c r="C42" s="6">
        <v>54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</row>
    <row r="43" spans="1:23" x14ac:dyDescent="0.3">
      <c r="A43" s="6" t="s">
        <v>3418</v>
      </c>
      <c r="B43" s="6" t="s">
        <v>342</v>
      </c>
      <c r="C43" s="6">
        <v>30</v>
      </c>
      <c r="D43" s="6">
        <v>24</v>
      </c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</row>
    <row r="44" spans="1:23" x14ac:dyDescent="0.3">
      <c r="A44" s="6"/>
      <c r="B44" s="6" t="s">
        <v>406</v>
      </c>
      <c r="C44" s="6">
        <v>-1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</row>
    <row r="45" spans="1:23" x14ac:dyDescent="0.3">
      <c r="A45" s="6"/>
      <c r="B45" s="6" t="s">
        <v>360</v>
      </c>
      <c r="C45" s="6">
        <v>-1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</row>
    <row r="46" spans="1:23" x14ac:dyDescent="0.3">
      <c r="A46" s="6"/>
      <c r="B46" s="6" t="s">
        <v>426</v>
      </c>
      <c r="C46" s="6">
        <v>-1</v>
      </c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</row>
    <row r="47" spans="1:23" x14ac:dyDescent="0.3">
      <c r="A47" s="6"/>
      <c r="B47" s="6" t="s">
        <v>394</v>
      </c>
      <c r="C47" s="6">
        <v>-1</v>
      </c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</row>
    <row r="48" spans="1:23" x14ac:dyDescent="0.3">
      <c r="A48" s="6" t="s">
        <v>1562</v>
      </c>
      <c r="B48" s="6" t="s">
        <v>346</v>
      </c>
      <c r="C48" s="6">
        <v>44</v>
      </c>
      <c r="D48" s="6">
        <v>28</v>
      </c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</row>
    <row r="49" spans="1:23" x14ac:dyDescent="0.3">
      <c r="A49" s="6"/>
      <c r="B49" s="6" t="s">
        <v>446</v>
      </c>
      <c r="C49" s="6">
        <v>-1</v>
      </c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</row>
    <row r="50" spans="1:23" x14ac:dyDescent="0.3">
      <c r="A50" s="6"/>
      <c r="B50" s="6" t="s">
        <v>408</v>
      </c>
      <c r="C50" s="6">
        <v>-1</v>
      </c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</row>
    <row r="51" spans="1:23" x14ac:dyDescent="0.3">
      <c r="A51" s="6"/>
      <c r="B51" s="6" t="s">
        <v>338</v>
      </c>
      <c r="C51" s="6">
        <v>-1</v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</row>
    <row r="52" spans="1:23" x14ac:dyDescent="0.3">
      <c r="A52" s="6" t="s">
        <v>2415</v>
      </c>
      <c r="B52" s="6" t="s">
        <v>354</v>
      </c>
      <c r="C52" s="6">
        <v>22</v>
      </c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</row>
    <row r="53" spans="1:23" x14ac:dyDescent="0.3">
      <c r="A53" s="6" t="s">
        <v>3048</v>
      </c>
      <c r="B53" s="6" t="s">
        <v>336</v>
      </c>
      <c r="C53" s="6">
        <v>35</v>
      </c>
      <c r="D53" s="6">
        <v>35</v>
      </c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</row>
    <row r="54" spans="1:23" x14ac:dyDescent="0.3">
      <c r="A54" s="6"/>
      <c r="B54" s="6" t="s">
        <v>384</v>
      </c>
      <c r="C54" s="6">
        <v>-1</v>
      </c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</row>
    <row r="55" spans="1:23" x14ac:dyDescent="0.3">
      <c r="A55" s="6"/>
      <c r="B55" s="6" t="s">
        <v>350</v>
      </c>
      <c r="C55" s="6">
        <v>-1</v>
      </c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</row>
    <row r="56" spans="1:23" x14ac:dyDescent="0.3">
      <c r="A56" s="6"/>
      <c r="B56" s="6" t="s">
        <v>398</v>
      </c>
      <c r="C56" s="6">
        <v>-1</v>
      </c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</row>
    <row r="57" spans="1:23" x14ac:dyDescent="0.3">
      <c r="A57" s="6" t="s">
        <v>1520</v>
      </c>
      <c r="B57" s="6" t="s">
        <v>402</v>
      </c>
      <c r="C57" s="6"/>
      <c r="D57" s="6">
        <v>10</v>
      </c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</row>
    <row r="58" spans="1:23" x14ac:dyDescent="0.3">
      <c r="A58" s="6" t="s">
        <v>4250</v>
      </c>
      <c r="B58" s="6" t="s">
        <v>426</v>
      </c>
      <c r="C58" s="6"/>
      <c r="D58" s="6">
        <v>8</v>
      </c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</row>
    <row r="59" spans="1:23" x14ac:dyDescent="0.3">
      <c r="A59" s="6"/>
      <c r="B59" s="6" t="s">
        <v>426</v>
      </c>
      <c r="C59" s="6"/>
      <c r="D59" s="6">
        <v>-1</v>
      </c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</row>
    <row r="60" spans="1:23" x14ac:dyDescent="0.3">
      <c r="A60" s="6"/>
      <c r="B60" s="6" t="s">
        <v>600</v>
      </c>
      <c r="C60" s="6"/>
      <c r="D60" s="6">
        <v>-1</v>
      </c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</row>
    <row r="61" spans="1:23" x14ac:dyDescent="0.3">
      <c r="A61" s="6"/>
      <c r="B61" s="6" t="s">
        <v>600</v>
      </c>
      <c r="C61" s="6"/>
      <c r="D61" s="6">
        <v>-1</v>
      </c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</row>
    <row r="62" spans="1:23" x14ac:dyDescent="0.3">
      <c r="A62" s="6"/>
      <c r="B62" s="6" t="s">
        <v>600</v>
      </c>
      <c r="C62" s="6"/>
      <c r="D62" s="6">
        <v>-1</v>
      </c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</row>
    <row r="63" spans="1:23" x14ac:dyDescent="0.3">
      <c r="A63" s="6" t="s">
        <v>1971</v>
      </c>
      <c r="B63" s="6" t="s">
        <v>332</v>
      </c>
      <c r="C63" s="6"/>
      <c r="D63" s="6">
        <v>3</v>
      </c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</row>
    <row r="64" spans="1:23" x14ac:dyDescent="0.3">
      <c r="A64" s="6"/>
      <c r="B64" s="6" t="s">
        <v>332</v>
      </c>
      <c r="C64" s="6"/>
      <c r="D64" s="6">
        <v>-1</v>
      </c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</row>
    <row r="65" spans="1:23" x14ac:dyDescent="0.3">
      <c r="A65" s="6"/>
      <c r="B65" s="6" t="s">
        <v>332</v>
      </c>
      <c r="C65" s="6"/>
      <c r="D65" s="6">
        <v>-1</v>
      </c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</row>
    <row r="66" spans="1:23" x14ac:dyDescent="0.3">
      <c r="A66" s="6"/>
      <c r="B66" s="6" t="s">
        <v>440</v>
      </c>
      <c r="C66" s="6"/>
      <c r="D66" s="6">
        <v>-1</v>
      </c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</row>
    <row r="67" spans="1:23" x14ac:dyDescent="0.3">
      <c r="A67" s="6"/>
      <c r="B67" s="6" t="s">
        <v>384</v>
      </c>
      <c r="C67" s="6"/>
      <c r="D67" s="6">
        <v>-1</v>
      </c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</row>
    <row r="68" spans="1:23" x14ac:dyDescent="0.3">
      <c r="A68" s="6"/>
      <c r="B68" s="6" t="s">
        <v>344</v>
      </c>
      <c r="C68" s="6"/>
      <c r="D68" s="6">
        <v>-1</v>
      </c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</row>
    <row r="69" spans="1:23" x14ac:dyDescent="0.3">
      <c r="A69" s="6"/>
      <c r="B69" s="6" t="s">
        <v>430</v>
      </c>
      <c r="C69" s="6"/>
      <c r="D69" s="6">
        <v>-1</v>
      </c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</row>
    <row r="70" spans="1:23" x14ac:dyDescent="0.3">
      <c r="A70" s="6"/>
      <c r="B70" s="6" t="s">
        <v>446</v>
      </c>
      <c r="C70" s="6"/>
      <c r="D70" s="6">
        <v>-1</v>
      </c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</row>
    <row r="71" spans="1:23" x14ac:dyDescent="0.3">
      <c r="A71" s="6"/>
      <c r="B71" s="6" t="s">
        <v>444</v>
      </c>
      <c r="C71" s="6"/>
      <c r="D71" s="6">
        <v>-1</v>
      </c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</row>
    <row r="72" spans="1:23" x14ac:dyDescent="0.3">
      <c r="A72" s="6"/>
      <c r="B72" s="6" t="s">
        <v>400</v>
      </c>
      <c r="C72" s="6"/>
      <c r="D72" s="6">
        <v>-1</v>
      </c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</row>
    <row r="73" spans="1:23" x14ac:dyDescent="0.3">
      <c r="A73" s="6"/>
      <c r="B73" s="6" t="s">
        <v>400</v>
      </c>
      <c r="C73" s="6"/>
      <c r="D73" s="6">
        <v>-1</v>
      </c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</row>
    <row r="74" spans="1:23" x14ac:dyDescent="0.3">
      <c r="A74" s="6"/>
      <c r="B74" s="6" t="s">
        <v>400</v>
      </c>
      <c r="C74" s="6"/>
      <c r="D74" s="6">
        <v>-1</v>
      </c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</row>
    <row r="75" spans="1:23" x14ac:dyDescent="0.3">
      <c r="A75" s="6"/>
      <c r="B75" s="6" t="s">
        <v>412</v>
      </c>
      <c r="C75" s="6"/>
      <c r="D75" s="6">
        <v>-1</v>
      </c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</row>
    <row r="76" spans="1:23" x14ac:dyDescent="0.3">
      <c r="A76" s="6"/>
      <c r="B76" s="6" t="s">
        <v>354</v>
      </c>
      <c r="C76" s="6"/>
      <c r="D76" s="6">
        <v>-1</v>
      </c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</row>
    <row r="77" spans="1:23" x14ac:dyDescent="0.3">
      <c r="A77" s="6"/>
      <c r="B77" s="6" t="s">
        <v>354</v>
      </c>
      <c r="C77" s="6"/>
      <c r="D77" s="6">
        <v>-1</v>
      </c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</row>
    <row r="78" spans="1:23" x14ac:dyDescent="0.3">
      <c r="A78" s="6"/>
      <c r="B78" s="6" t="s">
        <v>356</v>
      </c>
      <c r="C78" s="6"/>
      <c r="D78" s="6">
        <v>-1</v>
      </c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</row>
    <row r="79" spans="1:23" x14ac:dyDescent="0.3">
      <c r="A79" s="6"/>
      <c r="B79" s="6" t="s">
        <v>356</v>
      </c>
      <c r="C79" s="6"/>
      <c r="D79" s="6">
        <v>-1</v>
      </c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</row>
    <row r="80" spans="1:23" x14ac:dyDescent="0.3">
      <c r="A80" s="6"/>
      <c r="B80" s="6" t="s">
        <v>330</v>
      </c>
      <c r="C80" s="6"/>
      <c r="D80" s="6">
        <v>-1</v>
      </c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</row>
    <row r="81" spans="1:23" x14ac:dyDescent="0.3">
      <c r="A81" s="6"/>
      <c r="B81" s="6" t="s">
        <v>338</v>
      </c>
      <c r="C81" s="6"/>
      <c r="D81" s="6">
        <v>-1</v>
      </c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</row>
    <row r="82" spans="1:23" x14ac:dyDescent="0.3">
      <c r="A82" s="6" t="s">
        <v>4850</v>
      </c>
      <c r="B82" s="6" t="s">
        <v>338</v>
      </c>
      <c r="C82" s="6"/>
      <c r="D82" s="6">
        <v>39</v>
      </c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</row>
    <row r="83" spans="1:23" x14ac:dyDescent="0.3">
      <c r="A83" s="6"/>
      <c r="B83" s="6" t="s">
        <v>384</v>
      </c>
      <c r="C83" s="6"/>
      <c r="D83" s="6">
        <v>-1</v>
      </c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</row>
    <row r="84" spans="1:23" x14ac:dyDescent="0.3">
      <c r="A84" s="6" t="s">
        <v>4461</v>
      </c>
      <c r="B84" s="6" t="s">
        <v>328</v>
      </c>
      <c r="C84" s="6"/>
      <c r="D84" s="6">
        <v>30</v>
      </c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</row>
    <row r="85" spans="1:23" x14ac:dyDescent="0.3">
      <c r="A85" s="6"/>
      <c r="B85" s="6" t="s">
        <v>560</v>
      </c>
      <c r="C85" s="6"/>
      <c r="D85" s="6">
        <v>-1</v>
      </c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</row>
    <row r="86" spans="1:23" x14ac:dyDescent="0.3">
      <c r="A86" s="6"/>
      <c r="B86" s="6" t="s">
        <v>414</v>
      </c>
      <c r="C86" s="6"/>
      <c r="D86" s="6">
        <v>-1</v>
      </c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</row>
    <row r="87" spans="1:23" x14ac:dyDescent="0.3">
      <c r="A87" s="6"/>
      <c r="B87" s="6" t="s">
        <v>344</v>
      </c>
      <c r="C87" s="6"/>
      <c r="D87" s="6">
        <v>-1</v>
      </c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</row>
    <row r="88" spans="1:23" x14ac:dyDescent="0.3">
      <c r="A88" s="6"/>
      <c r="B88" s="6" t="s">
        <v>406</v>
      </c>
      <c r="C88" s="6"/>
      <c r="D88" s="6">
        <v>-1</v>
      </c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</row>
    <row r="89" spans="1:23" x14ac:dyDescent="0.3">
      <c r="A89" s="6"/>
      <c r="B89" s="6" t="s">
        <v>350</v>
      </c>
      <c r="C89" s="6"/>
      <c r="D89" s="6">
        <v>-1</v>
      </c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</row>
    <row r="90" spans="1:23" x14ac:dyDescent="0.3">
      <c r="A90" s="6"/>
      <c r="B90" s="6" t="s">
        <v>394</v>
      </c>
      <c r="C90" s="6"/>
      <c r="D90" s="6">
        <v>-1</v>
      </c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</row>
    <row r="91" spans="1:23" x14ac:dyDescent="0.3">
      <c r="A91" s="6"/>
      <c r="B91" s="6" t="s">
        <v>444</v>
      </c>
      <c r="C91" s="6"/>
      <c r="D91" s="6">
        <v>-1</v>
      </c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</row>
    <row r="92" spans="1:23" x14ac:dyDescent="0.3">
      <c r="A92" s="6"/>
      <c r="B92" s="6" t="s">
        <v>520</v>
      </c>
      <c r="C92" s="6"/>
      <c r="D92" s="6">
        <v>-1</v>
      </c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</row>
    <row r="93" spans="1:23" x14ac:dyDescent="0.3">
      <c r="A93" s="6"/>
      <c r="B93" s="6" t="s">
        <v>336</v>
      </c>
      <c r="C93" s="6"/>
      <c r="D93" s="6">
        <v>-1</v>
      </c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</row>
    <row r="94" spans="1:23" x14ac:dyDescent="0.3">
      <c r="A94" s="6"/>
      <c r="B94" s="6" t="s">
        <v>534</v>
      </c>
      <c r="C94" s="6"/>
      <c r="D94" s="6">
        <v>-1</v>
      </c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</row>
    <row r="95" spans="1:23" x14ac:dyDescent="0.3">
      <c r="A95" s="6"/>
      <c r="B95" s="6" t="s">
        <v>388</v>
      </c>
      <c r="C95" s="6"/>
      <c r="D95" s="6">
        <v>-1</v>
      </c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</row>
    <row r="96" spans="1:23" x14ac:dyDescent="0.3">
      <c r="A96" s="6"/>
      <c r="B96" s="6" t="s">
        <v>604</v>
      </c>
      <c r="C96" s="6"/>
      <c r="D96" s="6">
        <v>-1</v>
      </c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</row>
    <row r="97" spans="1:23" x14ac:dyDescent="0.3">
      <c r="A97" s="6"/>
      <c r="B97" s="6" t="s">
        <v>394</v>
      </c>
      <c r="C97" s="6"/>
      <c r="D97" s="6">
        <v>-1</v>
      </c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</row>
    <row r="98" spans="1:23" x14ac:dyDescent="0.3">
      <c r="A98" s="6"/>
      <c r="B98" s="6" t="s">
        <v>402</v>
      </c>
      <c r="C98" s="6"/>
      <c r="D98" s="6"/>
      <c r="E98" s="6">
        <v>-1</v>
      </c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</row>
    <row r="99" spans="1:23" x14ac:dyDescent="0.3">
      <c r="A99" s="6" t="s">
        <v>1499</v>
      </c>
      <c r="B99" s="6" t="s">
        <v>402</v>
      </c>
      <c r="C99" s="6"/>
      <c r="D99" s="6"/>
      <c r="E99" s="6">
        <v>12</v>
      </c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</row>
    <row r="100" spans="1:23" x14ac:dyDescent="0.3">
      <c r="A100" s="6" t="s">
        <v>1501</v>
      </c>
      <c r="B100" s="6" t="s">
        <v>402</v>
      </c>
      <c r="C100" s="6"/>
      <c r="D100" s="6"/>
      <c r="E100" s="6">
        <v>18</v>
      </c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</row>
    <row r="101" spans="1:23" x14ac:dyDescent="0.3">
      <c r="A101" s="6"/>
      <c r="B101" s="6" t="s">
        <v>600</v>
      </c>
      <c r="C101" s="6"/>
      <c r="D101" s="6"/>
      <c r="E101" s="6">
        <v>-1</v>
      </c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</row>
    <row r="102" spans="1:23" x14ac:dyDescent="0.3">
      <c r="A102" s="6"/>
      <c r="B102" s="6" t="s">
        <v>600</v>
      </c>
      <c r="C102" s="6"/>
      <c r="D102" s="6"/>
      <c r="E102" s="6">
        <v>-1</v>
      </c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</row>
    <row r="103" spans="1:23" x14ac:dyDescent="0.3">
      <c r="A103" s="6"/>
      <c r="B103" s="6" t="s">
        <v>600</v>
      </c>
      <c r="C103" s="6"/>
      <c r="D103" s="6"/>
      <c r="E103" s="6">
        <v>-1</v>
      </c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</row>
    <row r="104" spans="1:23" x14ac:dyDescent="0.3">
      <c r="A104" s="6" t="s">
        <v>1821</v>
      </c>
      <c r="B104" s="6" t="s">
        <v>332</v>
      </c>
      <c r="C104" s="6"/>
      <c r="D104" s="6"/>
      <c r="E104" s="6">
        <v>20</v>
      </c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</row>
    <row r="105" spans="1:23" x14ac:dyDescent="0.3">
      <c r="A105" s="6" t="s">
        <v>1833</v>
      </c>
      <c r="B105" s="6" t="s">
        <v>332</v>
      </c>
      <c r="C105" s="6"/>
      <c r="D105" s="6"/>
      <c r="E105" s="6">
        <v>9</v>
      </c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</row>
    <row r="106" spans="1:23" x14ac:dyDescent="0.3">
      <c r="A106" s="6"/>
      <c r="B106" s="6" t="s">
        <v>332</v>
      </c>
      <c r="C106" s="6"/>
      <c r="D106" s="6"/>
      <c r="E106" s="6">
        <v>-1</v>
      </c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</row>
    <row r="107" spans="1:23" x14ac:dyDescent="0.3">
      <c r="A107" s="6"/>
      <c r="B107" s="6" t="s">
        <v>512</v>
      </c>
      <c r="C107" s="6"/>
      <c r="D107" s="6"/>
      <c r="E107" s="6">
        <v>-1</v>
      </c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</row>
    <row r="108" spans="1:23" x14ac:dyDescent="0.3">
      <c r="A108" s="6"/>
      <c r="B108" s="6" t="s">
        <v>520</v>
      </c>
      <c r="C108" s="6"/>
      <c r="D108" s="6"/>
      <c r="E108" s="6">
        <v>-1</v>
      </c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</row>
    <row r="109" spans="1:23" x14ac:dyDescent="0.3">
      <c r="A109" s="6"/>
      <c r="B109" s="6" t="s">
        <v>384</v>
      </c>
      <c r="C109" s="6"/>
      <c r="D109" s="6"/>
      <c r="E109" s="6">
        <v>-1</v>
      </c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</row>
    <row r="110" spans="1:23" x14ac:dyDescent="0.3">
      <c r="A110" s="6"/>
      <c r="B110" s="6" t="s">
        <v>384</v>
      </c>
      <c r="C110" s="6"/>
      <c r="D110" s="6"/>
      <c r="E110" s="6">
        <v>-1</v>
      </c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</row>
    <row r="111" spans="1:23" x14ac:dyDescent="0.3">
      <c r="A111" s="6"/>
      <c r="B111" s="6" t="s">
        <v>442</v>
      </c>
      <c r="C111" s="6"/>
      <c r="D111" s="6"/>
      <c r="E111" s="6">
        <v>-1</v>
      </c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</row>
    <row r="112" spans="1:23" x14ac:dyDescent="0.3">
      <c r="A112" s="6" t="s">
        <v>2988</v>
      </c>
      <c r="B112" s="6" t="s">
        <v>442</v>
      </c>
      <c r="C112" s="6"/>
      <c r="D112" s="6"/>
      <c r="E112" s="6">
        <v>39</v>
      </c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</row>
    <row r="113" spans="1:23" x14ac:dyDescent="0.3">
      <c r="A113" s="6" t="s">
        <v>1624</v>
      </c>
      <c r="B113" s="6" t="s">
        <v>596</v>
      </c>
      <c r="C113" s="6"/>
      <c r="D113" s="6"/>
      <c r="E113" s="6">
        <v>4</v>
      </c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</row>
    <row r="114" spans="1:23" x14ac:dyDescent="0.3">
      <c r="A114" s="6"/>
      <c r="B114" s="6" t="s">
        <v>596</v>
      </c>
      <c r="C114" s="6"/>
      <c r="D114" s="6"/>
      <c r="E114" s="6">
        <v>-1</v>
      </c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</row>
    <row r="115" spans="1:23" x14ac:dyDescent="0.3">
      <c r="A115" s="6"/>
      <c r="B115" s="6" t="s">
        <v>412</v>
      </c>
      <c r="C115" s="6"/>
      <c r="D115" s="6"/>
      <c r="E115" s="6">
        <v>-1</v>
      </c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</row>
    <row r="116" spans="1:23" x14ac:dyDescent="0.3">
      <c r="A116" s="6" t="s">
        <v>1726</v>
      </c>
      <c r="B116" s="6" t="s">
        <v>358</v>
      </c>
      <c r="C116" s="6"/>
      <c r="D116" s="6"/>
      <c r="E116" s="6">
        <v>19</v>
      </c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</row>
    <row r="117" spans="1:23" x14ac:dyDescent="0.3">
      <c r="A117" s="6"/>
      <c r="B117" s="6" t="s">
        <v>516</v>
      </c>
      <c r="C117" s="6"/>
      <c r="D117" s="6"/>
      <c r="E117" s="6">
        <v>-1</v>
      </c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</row>
    <row r="118" spans="1:23" x14ac:dyDescent="0.3">
      <c r="A118" s="6"/>
      <c r="B118" s="6" t="s">
        <v>362</v>
      </c>
      <c r="C118" s="6"/>
      <c r="D118" s="6"/>
      <c r="E118" s="6">
        <v>-1</v>
      </c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</row>
    <row r="119" spans="1:23" x14ac:dyDescent="0.3">
      <c r="A119" s="6"/>
      <c r="B119" s="6" t="s">
        <v>470</v>
      </c>
      <c r="C119" s="6"/>
      <c r="D119" s="6"/>
      <c r="E119" s="6">
        <v>-1</v>
      </c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</row>
    <row r="120" spans="1:23" x14ac:dyDescent="0.3">
      <c r="A120" s="6"/>
      <c r="B120" s="6" t="s">
        <v>374</v>
      </c>
      <c r="C120" s="6"/>
      <c r="D120" s="6"/>
      <c r="E120" s="6">
        <v>-1</v>
      </c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</row>
    <row r="121" spans="1:23" x14ac:dyDescent="0.3">
      <c r="A121" s="6"/>
      <c r="B121" s="6" t="s">
        <v>448</v>
      </c>
      <c r="C121" s="6"/>
      <c r="D121" s="6"/>
      <c r="E121" s="6">
        <v>-1</v>
      </c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</row>
    <row r="122" spans="1:23" x14ac:dyDescent="0.3">
      <c r="A122" s="6"/>
      <c r="B122" s="6" t="s">
        <v>614</v>
      </c>
      <c r="C122" s="6"/>
      <c r="D122" s="6"/>
      <c r="E122" s="6">
        <v>-1</v>
      </c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</row>
    <row r="123" spans="1:23" x14ac:dyDescent="0.3">
      <c r="A123" s="6"/>
      <c r="B123" s="6" t="s">
        <v>350</v>
      </c>
      <c r="C123" s="6"/>
      <c r="D123" s="6"/>
      <c r="E123" s="6">
        <v>-1</v>
      </c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</row>
    <row r="124" spans="1:23" x14ac:dyDescent="0.3">
      <c r="A124" s="6"/>
      <c r="B124" s="6" t="s">
        <v>440</v>
      </c>
      <c r="C124" s="6"/>
      <c r="D124" s="6"/>
      <c r="E124" s="6">
        <v>-1</v>
      </c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</row>
    <row r="125" spans="1:23" x14ac:dyDescent="0.3">
      <c r="A125" s="6" t="s">
        <v>4996</v>
      </c>
      <c r="B125" s="6" t="s">
        <v>364</v>
      </c>
      <c r="C125" s="6"/>
      <c r="D125" s="6"/>
      <c r="E125" s="6">
        <v>8</v>
      </c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</row>
    <row r="126" spans="1:23" x14ac:dyDescent="0.3">
      <c r="A126" s="6"/>
      <c r="B126" s="6" t="s">
        <v>394</v>
      </c>
      <c r="C126" s="6"/>
      <c r="D126" s="6"/>
      <c r="E126" s="6">
        <v>-1</v>
      </c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</row>
    <row r="127" spans="1:23" x14ac:dyDescent="0.3">
      <c r="A127" s="6" t="s">
        <v>3253</v>
      </c>
      <c r="B127" s="6" t="s">
        <v>348</v>
      </c>
      <c r="C127" s="6"/>
      <c r="D127" s="6"/>
      <c r="E127" s="6">
        <v>15</v>
      </c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</row>
    <row r="128" spans="1:23" x14ac:dyDescent="0.3">
      <c r="A128" s="6"/>
      <c r="B128" s="6" t="s">
        <v>422</v>
      </c>
      <c r="C128" s="6"/>
      <c r="D128" s="6"/>
      <c r="E128" s="6">
        <v>-1</v>
      </c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</row>
    <row r="129" spans="1:23" x14ac:dyDescent="0.3">
      <c r="A129" s="6"/>
      <c r="B129" s="6" t="s">
        <v>354</v>
      </c>
      <c r="C129" s="6"/>
      <c r="D129" s="6"/>
      <c r="E129" s="6">
        <v>-1</v>
      </c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</row>
    <row r="130" spans="1:23" x14ac:dyDescent="0.3">
      <c r="A130" s="6"/>
      <c r="B130" s="6" t="s">
        <v>510</v>
      </c>
      <c r="C130" s="6"/>
      <c r="D130" s="6"/>
      <c r="E130" s="6">
        <v>-1</v>
      </c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</row>
    <row r="131" spans="1:23" x14ac:dyDescent="0.3">
      <c r="A131" s="6"/>
      <c r="B131" s="6" t="s">
        <v>520</v>
      </c>
      <c r="C131" s="6"/>
      <c r="D131" s="6"/>
      <c r="E131" s="6">
        <v>-1</v>
      </c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</row>
    <row r="132" spans="1:23" x14ac:dyDescent="0.3">
      <c r="A132" s="6" t="s">
        <v>3968</v>
      </c>
      <c r="B132" s="6" t="s">
        <v>366</v>
      </c>
      <c r="C132" s="6"/>
      <c r="D132" s="6"/>
      <c r="E132" s="6">
        <v>35</v>
      </c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</row>
    <row r="133" spans="1:23" x14ac:dyDescent="0.3">
      <c r="A133" s="6"/>
      <c r="B133" s="6" t="s">
        <v>362</v>
      </c>
      <c r="C133" s="6"/>
      <c r="D133" s="6"/>
      <c r="E133" s="6">
        <v>-1</v>
      </c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</row>
    <row r="134" spans="1:23" x14ac:dyDescent="0.3">
      <c r="A134" s="6"/>
      <c r="B134" s="6" t="s">
        <v>442</v>
      </c>
      <c r="C134" s="6"/>
      <c r="D134" s="6"/>
      <c r="E134" s="6">
        <v>-1</v>
      </c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</row>
    <row r="135" spans="1:23" x14ac:dyDescent="0.3">
      <c r="A135" s="6"/>
      <c r="B135" s="6" t="s">
        <v>400</v>
      </c>
      <c r="C135" s="6"/>
      <c r="D135" s="6"/>
      <c r="E135" s="6">
        <v>-1</v>
      </c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</row>
    <row r="136" spans="1:23" x14ac:dyDescent="0.3">
      <c r="A136" s="6"/>
      <c r="B136" s="6" t="s">
        <v>586</v>
      </c>
      <c r="C136" s="6"/>
      <c r="D136" s="6"/>
      <c r="E136" s="6">
        <v>-1</v>
      </c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</row>
    <row r="137" spans="1:23" x14ac:dyDescent="0.3">
      <c r="A137" s="6"/>
      <c r="B137" s="6" t="s">
        <v>440</v>
      </c>
      <c r="C137" s="6"/>
      <c r="D137" s="6"/>
      <c r="E137" s="6">
        <v>-1</v>
      </c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</row>
    <row r="138" spans="1:23" x14ac:dyDescent="0.3">
      <c r="A138" s="6"/>
      <c r="B138" s="6" t="s">
        <v>346</v>
      </c>
      <c r="C138" s="6"/>
      <c r="D138" s="6"/>
      <c r="E138" s="6">
        <v>-1</v>
      </c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</row>
    <row r="139" spans="1:23" x14ac:dyDescent="0.3">
      <c r="A139" s="6"/>
      <c r="B139" s="6" t="s">
        <v>398</v>
      </c>
      <c r="C139" s="6"/>
      <c r="D139" s="6"/>
      <c r="E139" s="6">
        <v>-1</v>
      </c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</row>
    <row r="140" spans="1:23" x14ac:dyDescent="0.3">
      <c r="A140" s="6"/>
      <c r="B140" s="6" t="s">
        <v>394</v>
      </c>
      <c r="C140" s="6"/>
      <c r="D140" s="6"/>
      <c r="E140" s="6">
        <v>-1</v>
      </c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</row>
    <row r="141" spans="1:23" x14ac:dyDescent="0.3">
      <c r="A141" s="6"/>
      <c r="B141" s="6" t="s">
        <v>394</v>
      </c>
      <c r="C141" s="6"/>
      <c r="D141" s="6"/>
      <c r="E141" s="6">
        <v>-1</v>
      </c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</row>
    <row r="142" spans="1:23" x14ac:dyDescent="0.3">
      <c r="A142" s="6"/>
      <c r="B142" s="6" t="s">
        <v>336</v>
      </c>
      <c r="C142" s="6"/>
      <c r="D142" s="6"/>
      <c r="E142" s="6">
        <v>-1</v>
      </c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</row>
    <row r="143" spans="1:23" x14ac:dyDescent="0.3">
      <c r="A143" s="6"/>
      <c r="B143" s="6" t="s">
        <v>596</v>
      </c>
      <c r="C143" s="6"/>
      <c r="D143" s="6"/>
      <c r="E143" s="6">
        <v>-1</v>
      </c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</row>
    <row r="144" spans="1:23" x14ac:dyDescent="0.3">
      <c r="A144" s="6"/>
      <c r="B144" s="6" t="s">
        <v>356</v>
      </c>
      <c r="C144" s="6"/>
      <c r="D144" s="6"/>
      <c r="E144" s="6">
        <v>-1</v>
      </c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</row>
    <row r="145" spans="1:23" x14ac:dyDescent="0.3">
      <c r="A145" s="6"/>
      <c r="B145" s="6" t="s">
        <v>620</v>
      </c>
      <c r="C145" s="6"/>
      <c r="D145" s="6"/>
      <c r="E145" s="6">
        <v>-1</v>
      </c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</row>
    <row r="146" spans="1:23" x14ac:dyDescent="0.3">
      <c r="A146" s="6" t="s">
        <v>2356</v>
      </c>
      <c r="B146" s="6" t="s">
        <v>354</v>
      </c>
      <c r="C146" s="6"/>
      <c r="D146" s="6"/>
      <c r="E146" s="6"/>
      <c r="F146" s="6">
        <v>35</v>
      </c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</row>
    <row r="147" spans="1:23" x14ac:dyDescent="0.3">
      <c r="A147" s="6"/>
      <c r="B147" s="6" t="s">
        <v>354</v>
      </c>
      <c r="C147" s="6"/>
      <c r="D147" s="6"/>
      <c r="E147" s="6"/>
      <c r="F147" s="6">
        <v>-1</v>
      </c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</row>
    <row r="148" spans="1:23" x14ac:dyDescent="0.3">
      <c r="A148" s="6"/>
      <c r="B148" s="6" t="s">
        <v>354</v>
      </c>
      <c r="C148" s="6"/>
      <c r="D148" s="6"/>
      <c r="E148" s="6"/>
      <c r="F148" s="6">
        <v>-1</v>
      </c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</row>
    <row r="149" spans="1:23" x14ac:dyDescent="0.3">
      <c r="A149" s="6" t="s">
        <v>1370</v>
      </c>
      <c r="B149" s="6" t="s">
        <v>576</v>
      </c>
      <c r="C149" s="6"/>
      <c r="D149" s="6"/>
      <c r="E149" s="6"/>
      <c r="F149" s="6">
        <v>36</v>
      </c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</row>
    <row r="150" spans="1:23" x14ac:dyDescent="0.3">
      <c r="A150" s="6"/>
      <c r="B150" s="6" t="s">
        <v>576</v>
      </c>
      <c r="C150" s="6"/>
      <c r="D150" s="6"/>
      <c r="E150" s="6"/>
      <c r="F150" s="6">
        <v>-1</v>
      </c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</row>
    <row r="151" spans="1:23" x14ac:dyDescent="0.3">
      <c r="A151" s="6"/>
      <c r="B151" s="6" t="s">
        <v>576</v>
      </c>
      <c r="C151" s="6"/>
      <c r="D151" s="6"/>
      <c r="E151" s="6"/>
      <c r="F151" s="6">
        <v>-1</v>
      </c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</row>
    <row r="152" spans="1:23" x14ac:dyDescent="0.3">
      <c r="A152" s="6" t="s">
        <v>1315</v>
      </c>
      <c r="B152" s="6" t="s">
        <v>402</v>
      </c>
      <c r="C152" s="6"/>
      <c r="D152" s="6"/>
      <c r="E152" s="6"/>
      <c r="F152" s="6">
        <v>13</v>
      </c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</row>
    <row r="153" spans="1:23" x14ac:dyDescent="0.3">
      <c r="A153" s="6"/>
      <c r="B153" s="6" t="s">
        <v>402</v>
      </c>
      <c r="C153" s="6"/>
      <c r="D153" s="6"/>
      <c r="E153" s="6"/>
      <c r="F153" s="6">
        <v>-1</v>
      </c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</row>
    <row r="154" spans="1:23" x14ac:dyDescent="0.3">
      <c r="A154" s="6"/>
      <c r="B154" s="6" t="s">
        <v>402</v>
      </c>
      <c r="C154" s="6"/>
      <c r="D154" s="6"/>
      <c r="E154" s="6"/>
      <c r="F154" s="6">
        <v>-1</v>
      </c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</row>
    <row r="155" spans="1:23" x14ac:dyDescent="0.3">
      <c r="A155" s="6"/>
      <c r="B155" s="6" t="s">
        <v>436</v>
      </c>
      <c r="C155" s="6"/>
      <c r="D155" s="6"/>
      <c r="E155" s="6"/>
      <c r="F155" s="6">
        <v>-1</v>
      </c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</row>
    <row r="156" spans="1:23" x14ac:dyDescent="0.3">
      <c r="A156" s="6"/>
      <c r="B156" s="6" t="s">
        <v>436</v>
      </c>
      <c r="C156" s="6"/>
      <c r="D156" s="6"/>
      <c r="E156" s="6"/>
      <c r="F156" s="6">
        <v>-1</v>
      </c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</row>
    <row r="157" spans="1:23" x14ac:dyDescent="0.3">
      <c r="A157" s="6"/>
      <c r="B157" s="6" t="s">
        <v>436</v>
      </c>
      <c r="C157" s="6"/>
      <c r="D157" s="6"/>
      <c r="E157" s="6"/>
      <c r="F157" s="6">
        <v>-1</v>
      </c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</row>
    <row r="158" spans="1:23" x14ac:dyDescent="0.3">
      <c r="A158" s="6"/>
      <c r="B158" s="6" t="s">
        <v>444</v>
      </c>
      <c r="C158" s="6"/>
      <c r="D158" s="6"/>
      <c r="E158" s="6"/>
      <c r="F158" s="6">
        <v>-1</v>
      </c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</row>
    <row r="159" spans="1:23" x14ac:dyDescent="0.3">
      <c r="A159" s="6"/>
      <c r="B159" s="6" t="s">
        <v>444</v>
      </c>
      <c r="C159" s="6"/>
      <c r="D159" s="6"/>
      <c r="E159" s="6"/>
      <c r="F159" s="6">
        <v>-1</v>
      </c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</row>
    <row r="160" spans="1:23" x14ac:dyDescent="0.3">
      <c r="A160" s="6"/>
      <c r="B160" s="6" t="s">
        <v>444</v>
      </c>
      <c r="C160" s="6"/>
      <c r="D160" s="6"/>
      <c r="E160" s="6"/>
      <c r="F160" s="6">
        <v>-1</v>
      </c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</row>
    <row r="161" spans="1:23" x14ac:dyDescent="0.3">
      <c r="A161" s="6" t="s">
        <v>1962</v>
      </c>
      <c r="B161" s="6" t="s">
        <v>332</v>
      </c>
      <c r="C161" s="6"/>
      <c r="D161" s="6"/>
      <c r="E161" s="6"/>
      <c r="F161" s="6">
        <v>10</v>
      </c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</row>
    <row r="162" spans="1:23" x14ac:dyDescent="0.3">
      <c r="A162" s="6"/>
      <c r="B162" s="6" t="s">
        <v>332</v>
      </c>
      <c r="C162" s="6"/>
      <c r="D162" s="6"/>
      <c r="E162" s="6"/>
      <c r="F162" s="6">
        <v>-1</v>
      </c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</row>
    <row r="163" spans="1:23" x14ac:dyDescent="0.3">
      <c r="A163" s="6" t="s">
        <v>3030</v>
      </c>
      <c r="B163" s="6" t="s">
        <v>332</v>
      </c>
      <c r="C163" s="6"/>
      <c r="D163" s="6"/>
      <c r="E163" s="6"/>
      <c r="F163" s="6">
        <v>7</v>
      </c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</row>
    <row r="164" spans="1:23" x14ac:dyDescent="0.3">
      <c r="A164" s="6"/>
      <c r="B164" s="6" t="s">
        <v>470</v>
      </c>
      <c r="C164" s="6"/>
      <c r="D164" s="6"/>
      <c r="E164" s="6"/>
      <c r="F164" s="6">
        <v>-1</v>
      </c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</row>
    <row r="165" spans="1:23" x14ac:dyDescent="0.3">
      <c r="A165" s="6"/>
      <c r="B165" s="6" t="s">
        <v>470</v>
      </c>
      <c r="C165" s="6"/>
      <c r="D165" s="6"/>
      <c r="E165" s="6"/>
      <c r="F165" s="6">
        <v>-1</v>
      </c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</row>
    <row r="166" spans="1:23" x14ac:dyDescent="0.3">
      <c r="A166" s="6" t="s">
        <v>3857</v>
      </c>
      <c r="B166" s="6" t="s">
        <v>344</v>
      </c>
      <c r="C166" s="6"/>
      <c r="D166" s="6"/>
      <c r="E166" s="6"/>
      <c r="F166" s="6">
        <v>5</v>
      </c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</row>
    <row r="167" spans="1:23" x14ac:dyDescent="0.3">
      <c r="A167" s="6"/>
      <c r="B167" s="6" t="s">
        <v>344</v>
      </c>
      <c r="C167" s="6"/>
      <c r="D167" s="6"/>
      <c r="E167" s="6"/>
      <c r="F167" s="6">
        <v>-1</v>
      </c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</row>
    <row r="168" spans="1:23" x14ac:dyDescent="0.3">
      <c r="A168" s="6" t="s">
        <v>4638</v>
      </c>
      <c r="B168" s="6" t="s">
        <v>600</v>
      </c>
      <c r="C168" s="6"/>
      <c r="D168" s="6"/>
      <c r="E168" s="6"/>
      <c r="F168" s="6">
        <v>18</v>
      </c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</row>
    <row r="169" spans="1:23" x14ac:dyDescent="0.3">
      <c r="A169" s="6"/>
      <c r="B169" s="6" t="s">
        <v>600</v>
      </c>
      <c r="C169" s="6"/>
      <c r="D169" s="6"/>
      <c r="E169" s="6"/>
      <c r="F169" s="6">
        <v>-1</v>
      </c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</row>
    <row r="170" spans="1:23" x14ac:dyDescent="0.3">
      <c r="A170" s="6" t="s">
        <v>1710</v>
      </c>
      <c r="B170" s="6" t="s">
        <v>512</v>
      </c>
      <c r="C170" s="6"/>
      <c r="D170" s="6"/>
      <c r="E170" s="6"/>
      <c r="F170" s="6">
        <v>32</v>
      </c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</row>
    <row r="171" spans="1:23" x14ac:dyDescent="0.3">
      <c r="A171" s="6"/>
      <c r="B171" s="6" t="s">
        <v>524</v>
      </c>
      <c r="C171" s="6"/>
      <c r="D171" s="6"/>
      <c r="E171" s="6"/>
      <c r="F171" s="6">
        <v>-1</v>
      </c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</row>
    <row r="172" spans="1:23" x14ac:dyDescent="0.3">
      <c r="A172" s="6"/>
      <c r="B172" s="6" t="s">
        <v>384</v>
      </c>
      <c r="C172" s="6"/>
      <c r="D172" s="6"/>
      <c r="E172" s="6"/>
      <c r="F172" s="6">
        <v>-1</v>
      </c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</row>
    <row r="173" spans="1:23" x14ac:dyDescent="0.3">
      <c r="A173" s="6"/>
      <c r="B173" s="6" t="s">
        <v>388</v>
      </c>
      <c r="C173" s="6"/>
      <c r="D173" s="6"/>
      <c r="E173" s="6"/>
      <c r="F173" s="6">
        <v>-1</v>
      </c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</row>
    <row r="174" spans="1:23" x14ac:dyDescent="0.3">
      <c r="A174" s="6" t="s">
        <v>3441</v>
      </c>
      <c r="B174" s="6" t="s">
        <v>334</v>
      </c>
      <c r="C174" s="6"/>
      <c r="D174" s="6"/>
      <c r="E174" s="6"/>
      <c r="F174" s="6">
        <v>14</v>
      </c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</row>
    <row r="175" spans="1:23" x14ac:dyDescent="0.3">
      <c r="A175" s="6"/>
      <c r="B175" s="6" t="s">
        <v>356</v>
      </c>
      <c r="C175" s="6"/>
      <c r="D175" s="6"/>
      <c r="E175" s="6"/>
      <c r="F175" s="6">
        <v>-1</v>
      </c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</row>
    <row r="176" spans="1:23" x14ac:dyDescent="0.3">
      <c r="A176" s="6"/>
      <c r="B176" s="6" t="s">
        <v>394</v>
      </c>
      <c r="C176" s="6"/>
      <c r="D176" s="6"/>
      <c r="E176" s="6"/>
      <c r="F176" s="6">
        <v>-1</v>
      </c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</row>
    <row r="177" spans="1:23" x14ac:dyDescent="0.3">
      <c r="A177" s="6" t="s">
        <v>3909</v>
      </c>
      <c r="B177" s="6" t="s">
        <v>680</v>
      </c>
      <c r="C177" s="6"/>
      <c r="D177" s="6"/>
      <c r="E177" s="6"/>
      <c r="F177" s="6">
        <v>4</v>
      </c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</row>
    <row r="178" spans="1:23" x14ac:dyDescent="0.3">
      <c r="A178" s="6" t="s">
        <v>4905</v>
      </c>
      <c r="B178" s="6" t="s">
        <v>408</v>
      </c>
      <c r="C178" s="6"/>
      <c r="D178" s="6"/>
      <c r="E178" s="6"/>
      <c r="F178" s="6">
        <v>11</v>
      </c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</row>
    <row r="179" spans="1:23" x14ac:dyDescent="0.3">
      <c r="A179" s="6"/>
      <c r="B179" s="6" t="s">
        <v>694</v>
      </c>
      <c r="C179" s="6"/>
      <c r="D179" s="6"/>
      <c r="E179" s="6"/>
      <c r="F179" s="6">
        <v>-1</v>
      </c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</row>
    <row r="180" spans="1:23" x14ac:dyDescent="0.3">
      <c r="A180" s="6"/>
      <c r="B180" s="6" t="s">
        <v>422</v>
      </c>
      <c r="C180" s="6"/>
      <c r="D180" s="6"/>
      <c r="E180" s="6"/>
      <c r="F180" s="6">
        <v>-1</v>
      </c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</row>
    <row r="181" spans="1:23" x14ac:dyDescent="0.3">
      <c r="A181" s="6" t="s">
        <v>1277</v>
      </c>
      <c r="B181" s="6" t="s">
        <v>724</v>
      </c>
      <c r="C181" s="6"/>
      <c r="D181" s="6"/>
      <c r="E181" s="6"/>
      <c r="F181" s="6">
        <v>37</v>
      </c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</row>
    <row r="182" spans="1:23" x14ac:dyDescent="0.3">
      <c r="A182" s="6"/>
      <c r="B182" s="6" t="s">
        <v>532</v>
      </c>
      <c r="C182" s="6"/>
      <c r="D182" s="6"/>
      <c r="E182" s="6"/>
      <c r="F182" s="6">
        <v>-1</v>
      </c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</row>
    <row r="183" spans="1:23" x14ac:dyDescent="0.3">
      <c r="A183" s="6" t="s">
        <v>1614</v>
      </c>
      <c r="B183" s="6" t="s">
        <v>336</v>
      </c>
      <c r="C183" s="6"/>
      <c r="D183" s="6"/>
      <c r="E183" s="6"/>
      <c r="F183" s="6">
        <v>33</v>
      </c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</row>
    <row r="184" spans="1:23" x14ac:dyDescent="0.3">
      <c r="A184" s="6" t="s">
        <v>1455</v>
      </c>
      <c r="B184" s="6" t="s">
        <v>372</v>
      </c>
      <c r="C184" s="6"/>
      <c r="D184" s="6"/>
      <c r="E184" s="6"/>
      <c r="F184" s="6">
        <v>28</v>
      </c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</row>
    <row r="185" spans="1:23" x14ac:dyDescent="0.3">
      <c r="A185" s="6" t="s">
        <v>4385</v>
      </c>
      <c r="B185" s="6" t="s">
        <v>344</v>
      </c>
      <c r="C185" s="6"/>
      <c r="D185" s="6"/>
      <c r="E185" s="6"/>
      <c r="F185" s="6">
        <v>41</v>
      </c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</row>
    <row r="186" spans="1:23" x14ac:dyDescent="0.3">
      <c r="A186" s="6"/>
      <c r="B186" s="6" t="s">
        <v>356</v>
      </c>
      <c r="C186" s="6"/>
      <c r="D186" s="6"/>
      <c r="E186" s="6"/>
      <c r="F186" s="6">
        <v>-1</v>
      </c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</row>
    <row r="187" spans="1:23" x14ac:dyDescent="0.3">
      <c r="A187" s="6"/>
      <c r="B187" s="6" t="s">
        <v>620</v>
      </c>
      <c r="C187" s="6"/>
      <c r="D187" s="6"/>
      <c r="E187" s="6"/>
      <c r="F187" s="6">
        <v>-1</v>
      </c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</row>
    <row r="188" spans="1:23" x14ac:dyDescent="0.3">
      <c r="A188" s="6"/>
      <c r="B188" s="6" t="s">
        <v>378</v>
      </c>
      <c r="C188" s="6"/>
      <c r="D188" s="6"/>
      <c r="E188" s="6"/>
      <c r="F188" s="6">
        <v>-1</v>
      </c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</row>
    <row r="189" spans="1:23" x14ac:dyDescent="0.3">
      <c r="A189" s="6" t="s">
        <v>1273</v>
      </c>
      <c r="B189" s="6" t="s">
        <v>330</v>
      </c>
      <c r="C189" s="6"/>
      <c r="D189" s="6"/>
      <c r="E189" s="6"/>
      <c r="F189" s="6">
        <v>26</v>
      </c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</row>
    <row r="190" spans="1:23" x14ac:dyDescent="0.3">
      <c r="A190" s="6"/>
      <c r="B190" s="6" t="s">
        <v>702</v>
      </c>
      <c r="C190" s="6"/>
      <c r="D190" s="6"/>
      <c r="E190" s="6"/>
      <c r="F190" s="6">
        <v>-1</v>
      </c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</row>
    <row r="191" spans="1:23" x14ac:dyDescent="0.3">
      <c r="A191" s="6" t="s">
        <v>4108</v>
      </c>
      <c r="B191" s="6" t="s">
        <v>330</v>
      </c>
      <c r="C191" s="6"/>
      <c r="D191" s="6"/>
      <c r="E191" s="6"/>
      <c r="F191" s="6">
        <v>39</v>
      </c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</row>
    <row r="192" spans="1:23" x14ac:dyDescent="0.3">
      <c r="A192" s="6"/>
      <c r="B192" s="6" t="s">
        <v>354</v>
      </c>
      <c r="C192" s="6"/>
      <c r="D192" s="6"/>
      <c r="E192" s="6"/>
      <c r="F192" s="6"/>
      <c r="G192" s="6">
        <v>-1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</row>
    <row r="193" spans="1:23" x14ac:dyDescent="0.3">
      <c r="A193" s="6"/>
      <c r="B193" s="6" t="s">
        <v>354</v>
      </c>
      <c r="C193" s="6"/>
      <c r="D193" s="6"/>
      <c r="E193" s="6"/>
      <c r="F193" s="6"/>
      <c r="G193" s="6">
        <v>-1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</row>
    <row r="194" spans="1:23" x14ac:dyDescent="0.3">
      <c r="A194" s="6" t="s">
        <v>2397</v>
      </c>
      <c r="B194" s="6" t="s">
        <v>354</v>
      </c>
      <c r="C194" s="6"/>
      <c r="D194" s="6"/>
      <c r="E194" s="6"/>
      <c r="F194" s="6"/>
      <c r="G194" s="6">
        <v>2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</row>
    <row r="195" spans="1:23" x14ac:dyDescent="0.3">
      <c r="A195" s="6"/>
      <c r="B195" s="6" t="s">
        <v>576</v>
      </c>
      <c r="C195" s="6"/>
      <c r="D195" s="6"/>
      <c r="E195" s="6"/>
      <c r="F195" s="6"/>
      <c r="G195" s="6">
        <v>-1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</row>
    <row r="196" spans="1:23" x14ac:dyDescent="0.3">
      <c r="A196" s="6" t="s">
        <v>3283</v>
      </c>
      <c r="B196" s="6" t="s">
        <v>576</v>
      </c>
      <c r="C196" s="6"/>
      <c r="D196" s="6"/>
      <c r="E196" s="6"/>
      <c r="F196" s="6"/>
      <c r="G196" s="6">
        <v>12</v>
      </c>
      <c r="H196" s="6">
        <v>9</v>
      </c>
      <c r="I196" s="6">
        <v>6</v>
      </c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</row>
    <row r="197" spans="1:23" x14ac:dyDescent="0.3">
      <c r="A197" s="6"/>
      <c r="B197" s="6" t="s">
        <v>576</v>
      </c>
      <c r="C197" s="6"/>
      <c r="D197" s="6"/>
      <c r="E197" s="6"/>
      <c r="F197" s="6"/>
      <c r="G197" s="6">
        <v>-1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</row>
    <row r="198" spans="1:23" x14ac:dyDescent="0.3">
      <c r="A198" s="6"/>
      <c r="B198" s="6" t="s">
        <v>402</v>
      </c>
      <c r="C198" s="6"/>
      <c r="D198" s="6"/>
      <c r="E198" s="6"/>
      <c r="F198" s="6"/>
      <c r="G198" s="6">
        <v>-1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</row>
    <row r="199" spans="1:23" x14ac:dyDescent="0.3">
      <c r="A199" s="6" t="s">
        <v>1669</v>
      </c>
      <c r="B199" s="6" t="s">
        <v>402</v>
      </c>
      <c r="C199" s="6"/>
      <c r="D199" s="6"/>
      <c r="E199" s="6"/>
      <c r="F199" s="6"/>
      <c r="G199" s="6">
        <v>5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</row>
    <row r="200" spans="1:23" x14ac:dyDescent="0.3">
      <c r="A200" s="6" t="s">
        <v>3669</v>
      </c>
      <c r="B200" s="6" t="s">
        <v>402</v>
      </c>
      <c r="C200" s="6"/>
      <c r="D200" s="6"/>
      <c r="E200" s="6"/>
      <c r="F200" s="6"/>
      <c r="G200" s="6">
        <v>15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</row>
    <row r="201" spans="1:23" x14ac:dyDescent="0.3">
      <c r="A201" s="6"/>
      <c r="B201" s="6" t="s">
        <v>596</v>
      </c>
      <c r="C201" s="6"/>
      <c r="D201" s="6"/>
      <c r="E201" s="6"/>
      <c r="F201" s="6"/>
      <c r="G201" s="6">
        <v>-1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</row>
    <row r="202" spans="1:23" x14ac:dyDescent="0.3">
      <c r="A202" s="6"/>
      <c r="B202" s="6" t="s">
        <v>596</v>
      </c>
      <c r="C202" s="6"/>
      <c r="D202" s="6"/>
      <c r="E202" s="6"/>
      <c r="F202" s="6"/>
      <c r="G202" s="6">
        <v>-1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</row>
    <row r="203" spans="1:23" x14ac:dyDescent="0.3">
      <c r="A203" s="6"/>
      <c r="B203" s="6" t="s">
        <v>596</v>
      </c>
      <c r="C203" s="6"/>
      <c r="D203" s="6"/>
      <c r="E203" s="6"/>
      <c r="F203" s="6"/>
      <c r="G203" s="6">
        <v>-1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</row>
    <row r="204" spans="1:23" x14ac:dyDescent="0.3">
      <c r="A204" s="6"/>
      <c r="B204" s="6" t="s">
        <v>436</v>
      </c>
      <c r="C204" s="6"/>
      <c r="D204" s="6"/>
      <c r="E204" s="6"/>
      <c r="F204" s="6"/>
      <c r="G204" s="6">
        <v>-1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</row>
    <row r="205" spans="1:23" x14ac:dyDescent="0.3">
      <c r="A205" s="6"/>
      <c r="B205" s="6" t="s">
        <v>436</v>
      </c>
      <c r="C205" s="6"/>
      <c r="D205" s="6"/>
      <c r="E205" s="6"/>
      <c r="F205" s="6"/>
      <c r="G205" s="6">
        <v>-1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</row>
    <row r="206" spans="1:23" x14ac:dyDescent="0.3">
      <c r="A206" s="6"/>
      <c r="B206" s="6" t="s">
        <v>436</v>
      </c>
      <c r="C206" s="6"/>
      <c r="D206" s="6"/>
      <c r="E206" s="6"/>
      <c r="F206" s="6"/>
      <c r="G206" s="6">
        <v>-1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</row>
    <row r="207" spans="1:23" x14ac:dyDescent="0.3">
      <c r="A207" s="6" t="s">
        <v>2007</v>
      </c>
      <c r="B207" s="6" t="s">
        <v>332</v>
      </c>
      <c r="C207" s="6"/>
      <c r="D207" s="6"/>
      <c r="E207" s="6"/>
      <c r="F207" s="6"/>
      <c r="G207" s="6">
        <v>7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</row>
    <row r="208" spans="1:23" x14ac:dyDescent="0.3">
      <c r="A208" s="6"/>
      <c r="B208" s="6" t="s">
        <v>332</v>
      </c>
      <c r="C208" s="6"/>
      <c r="D208" s="6"/>
      <c r="E208" s="6"/>
      <c r="F208" s="6"/>
      <c r="G208" s="6">
        <v>-1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</row>
    <row r="209" spans="1:23" x14ac:dyDescent="0.3">
      <c r="A209" s="6"/>
      <c r="B209" s="6" t="s">
        <v>332</v>
      </c>
      <c r="C209" s="6"/>
      <c r="D209" s="6"/>
      <c r="E209" s="6"/>
      <c r="F209" s="6"/>
      <c r="G209" s="6">
        <v>-1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</row>
    <row r="210" spans="1:23" x14ac:dyDescent="0.3">
      <c r="A210" s="6"/>
      <c r="B210" s="6" t="s">
        <v>356</v>
      </c>
      <c r="C210" s="6"/>
      <c r="D210" s="6"/>
      <c r="E210" s="6"/>
      <c r="F210" s="6"/>
      <c r="G210" s="6">
        <v>-1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</row>
    <row r="211" spans="1:23" x14ac:dyDescent="0.3">
      <c r="A211" s="6" t="s">
        <v>1375</v>
      </c>
      <c r="B211" s="6" t="s">
        <v>356</v>
      </c>
      <c r="C211" s="6"/>
      <c r="D211" s="6"/>
      <c r="E211" s="6"/>
      <c r="F211" s="6"/>
      <c r="G211" s="6">
        <v>16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</row>
    <row r="212" spans="1:23" x14ac:dyDescent="0.3">
      <c r="A212" s="6"/>
      <c r="B212" s="6" t="s">
        <v>330</v>
      </c>
      <c r="C212" s="6"/>
      <c r="D212" s="6"/>
      <c r="E212" s="6"/>
      <c r="F212" s="6"/>
      <c r="G212" s="6">
        <v>-1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</row>
    <row r="213" spans="1:23" x14ac:dyDescent="0.3">
      <c r="A213" s="6"/>
      <c r="B213" s="6" t="s">
        <v>330</v>
      </c>
      <c r="C213" s="6"/>
      <c r="D213" s="6"/>
      <c r="E213" s="6"/>
      <c r="F213" s="6"/>
      <c r="G213" s="6">
        <v>-1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</row>
    <row r="214" spans="1:23" x14ac:dyDescent="0.3">
      <c r="A214" s="6"/>
      <c r="B214" s="6" t="s">
        <v>384</v>
      </c>
      <c r="C214" s="6"/>
      <c r="D214" s="6"/>
      <c r="E214" s="6"/>
      <c r="F214" s="6"/>
      <c r="G214" s="6">
        <v>-1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</row>
    <row r="215" spans="1:23" x14ac:dyDescent="0.3">
      <c r="A215" s="6" t="s">
        <v>4384</v>
      </c>
      <c r="B215" s="6" t="s">
        <v>344</v>
      </c>
      <c r="C215" s="6"/>
      <c r="D215" s="6"/>
      <c r="E215" s="6"/>
      <c r="F215" s="6"/>
      <c r="G215" s="6">
        <v>9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</row>
    <row r="216" spans="1:23" x14ac:dyDescent="0.3">
      <c r="A216" s="6"/>
      <c r="B216" s="6" t="s">
        <v>600</v>
      </c>
      <c r="C216" s="6"/>
      <c r="D216" s="6"/>
      <c r="E216" s="6"/>
      <c r="F216" s="6"/>
      <c r="G216" s="6">
        <v>-1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</row>
    <row r="217" spans="1:23" x14ac:dyDescent="0.3">
      <c r="A217" s="6" t="s">
        <v>1308</v>
      </c>
      <c r="B217" s="6" t="s">
        <v>428</v>
      </c>
      <c r="C217" s="6"/>
      <c r="D217" s="6"/>
      <c r="E217" s="6"/>
      <c r="F217" s="6"/>
      <c r="G217" s="6">
        <v>17</v>
      </c>
      <c r="H217" s="6">
        <v>17</v>
      </c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</row>
    <row r="218" spans="1:23" x14ac:dyDescent="0.3">
      <c r="A218" s="6" t="s">
        <v>3880</v>
      </c>
      <c r="B218" s="6" t="s">
        <v>394</v>
      </c>
      <c r="C218" s="6"/>
      <c r="D218" s="6"/>
      <c r="E218" s="6"/>
      <c r="F218" s="6"/>
      <c r="G218" s="6">
        <v>10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</row>
    <row r="219" spans="1:23" x14ac:dyDescent="0.3">
      <c r="A219" s="6" t="s">
        <v>1278</v>
      </c>
      <c r="B219" s="6" t="s">
        <v>724</v>
      </c>
      <c r="C219" s="6"/>
      <c r="D219" s="6"/>
      <c r="E219" s="6"/>
      <c r="F219" s="6"/>
      <c r="G219" s="6">
        <v>30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</row>
    <row r="220" spans="1:23" x14ac:dyDescent="0.3">
      <c r="A220" s="6" t="s">
        <v>1453</v>
      </c>
      <c r="B220" s="6" t="s">
        <v>372</v>
      </c>
      <c r="C220" s="6"/>
      <c r="D220" s="6"/>
      <c r="E220" s="6"/>
      <c r="F220" s="6"/>
      <c r="G220" s="6">
        <v>44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</row>
    <row r="221" spans="1:23" x14ac:dyDescent="0.3">
      <c r="A221" s="6" t="s">
        <v>3360</v>
      </c>
      <c r="B221" s="6" t="s">
        <v>394</v>
      </c>
      <c r="C221" s="6"/>
      <c r="D221" s="6"/>
      <c r="E221" s="6"/>
      <c r="F221" s="6"/>
      <c r="G221" s="6">
        <v>13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</row>
    <row r="222" spans="1:23" x14ac:dyDescent="0.3">
      <c r="A222" s="6"/>
      <c r="B222" s="6" t="s">
        <v>394</v>
      </c>
      <c r="C222" s="6"/>
      <c r="D222" s="6"/>
      <c r="E222" s="6"/>
      <c r="F222" s="6"/>
      <c r="G222" s="6">
        <v>-1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</row>
    <row r="223" spans="1:23" x14ac:dyDescent="0.3">
      <c r="A223" s="6" t="s">
        <v>3523</v>
      </c>
      <c r="B223" s="6" t="s">
        <v>520</v>
      </c>
      <c r="C223" s="6"/>
      <c r="D223" s="6"/>
      <c r="E223" s="6"/>
      <c r="F223" s="6"/>
      <c r="G223" s="6">
        <v>35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</row>
    <row r="224" spans="1:23" x14ac:dyDescent="0.3">
      <c r="A224" s="6"/>
      <c r="B224" s="6" t="s">
        <v>384</v>
      </c>
      <c r="C224" s="6"/>
      <c r="D224" s="6"/>
      <c r="E224" s="6"/>
      <c r="F224" s="6"/>
      <c r="G224" s="6">
        <v>-1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</row>
    <row r="225" spans="1:23" x14ac:dyDescent="0.3">
      <c r="A225" s="6"/>
      <c r="B225" s="6" t="s">
        <v>442</v>
      </c>
      <c r="C225" s="6"/>
      <c r="D225" s="6"/>
      <c r="E225" s="6"/>
      <c r="F225" s="6"/>
      <c r="G225" s="6">
        <v>-1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</row>
    <row r="226" spans="1:23" x14ac:dyDescent="0.3">
      <c r="A226" s="6"/>
      <c r="B226" s="6" t="s">
        <v>356</v>
      </c>
      <c r="C226" s="6"/>
      <c r="D226" s="6"/>
      <c r="E226" s="6"/>
      <c r="F226" s="6"/>
      <c r="G226" s="6">
        <v>-1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</row>
    <row r="227" spans="1:23" x14ac:dyDescent="0.3">
      <c r="A227" s="6"/>
      <c r="B227" s="6" t="s">
        <v>622</v>
      </c>
      <c r="C227" s="6"/>
      <c r="D227" s="6"/>
      <c r="E227" s="6"/>
      <c r="F227" s="6"/>
      <c r="G227" s="6">
        <v>-1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</row>
    <row r="228" spans="1:23" x14ac:dyDescent="0.3">
      <c r="A228" s="6"/>
      <c r="B228" s="6" t="s">
        <v>474</v>
      </c>
      <c r="C228" s="6"/>
      <c r="D228" s="6"/>
      <c r="E228" s="6"/>
      <c r="F228" s="6"/>
      <c r="G228" s="6">
        <v>-1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</row>
    <row r="229" spans="1:23" x14ac:dyDescent="0.3">
      <c r="A229" s="6"/>
      <c r="B229" s="6" t="s">
        <v>346</v>
      </c>
      <c r="C229" s="6"/>
      <c r="D229" s="6"/>
      <c r="E229" s="6"/>
      <c r="F229" s="6"/>
      <c r="G229" s="6">
        <v>-1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</row>
    <row r="230" spans="1:23" x14ac:dyDescent="0.3">
      <c r="A230" s="6"/>
      <c r="B230" s="6" t="s">
        <v>330</v>
      </c>
      <c r="C230" s="6"/>
      <c r="D230" s="6"/>
      <c r="E230" s="6"/>
      <c r="F230" s="6"/>
      <c r="G230" s="6">
        <v>-1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</row>
    <row r="231" spans="1:23" x14ac:dyDescent="0.3">
      <c r="A231" s="6" t="s">
        <v>4601</v>
      </c>
      <c r="B231" s="6" t="s">
        <v>352</v>
      </c>
      <c r="C231" s="6"/>
      <c r="D231" s="6"/>
      <c r="E231" s="6"/>
      <c r="F231" s="6"/>
      <c r="G231" s="6">
        <v>28</v>
      </c>
      <c r="H231" s="6">
        <v>15</v>
      </c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</row>
    <row r="232" spans="1:23" x14ac:dyDescent="0.3">
      <c r="A232" s="6"/>
      <c r="B232" s="6" t="s">
        <v>384</v>
      </c>
      <c r="C232" s="6"/>
      <c r="D232" s="6"/>
      <c r="E232" s="6"/>
      <c r="F232" s="6"/>
      <c r="G232" s="6">
        <v>-1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</row>
    <row r="233" spans="1:23" x14ac:dyDescent="0.3">
      <c r="A233" s="6"/>
      <c r="B233" s="6" t="s">
        <v>334</v>
      </c>
      <c r="C233" s="6"/>
      <c r="D233" s="6"/>
      <c r="E233" s="6"/>
      <c r="F233" s="6"/>
      <c r="G233" s="6">
        <v>-1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</row>
    <row r="234" spans="1:23" x14ac:dyDescent="0.3">
      <c r="A234" s="6"/>
      <c r="B234" s="6" t="s">
        <v>428</v>
      </c>
      <c r="C234" s="6"/>
      <c r="D234" s="6"/>
      <c r="E234" s="6"/>
      <c r="F234" s="6"/>
      <c r="G234" s="6">
        <v>-1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</row>
    <row r="235" spans="1:23" x14ac:dyDescent="0.3">
      <c r="A235" s="6"/>
      <c r="B235" s="6" t="s">
        <v>410</v>
      </c>
      <c r="C235" s="6"/>
      <c r="D235" s="6"/>
      <c r="E235" s="6"/>
      <c r="F235" s="6"/>
      <c r="G235" s="6">
        <v>-1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</row>
    <row r="236" spans="1:23" x14ac:dyDescent="0.3">
      <c r="A236" s="6" t="s">
        <v>1374</v>
      </c>
      <c r="B236" s="6" t="s">
        <v>576</v>
      </c>
      <c r="C236" s="6"/>
      <c r="D236" s="6"/>
      <c r="E236" s="6"/>
      <c r="F236" s="6"/>
      <c r="G236" s="6"/>
      <c r="H236" s="6">
        <v>7</v>
      </c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</row>
    <row r="237" spans="1:23" x14ac:dyDescent="0.3">
      <c r="A237" s="6"/>
      <c r="B237" s="6" t="s">
        <v>576</v>
      </c>
      <c r="C237" s="6"/>
      <c r="D237" s="6"/>
      <c r="E237" s="6"/>
      <c r="F237" s="6"/>
      <c r="G237" s="6"/>
      <c r="H237" s="6">
        <v>-1</v>
      </c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</row>
    <row r="238" spans="1:23" x14ac:dyDescent="0.3">
      <c r="A238" s="6"/>
      <c r="B238" s="6" t="s">
        <v>436</v>
      </c>
      <c r="C238" s="6"/>
      <c r="D238" s="6"/>
      <c r="E238" s="6"/>
      <c r="F238" s="6"/>
      <c r="G238" s="6"/>
      <c r="H238" s="6">
        <v>-1</v>
      </c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</row>
    <row r="239" spans="1:23" x14ac:dyDescent="0.3">
      <c r="A239" s="6" t="s">
        <v>4270</v>
      </c>
      <c r="B239" s="6" t="s">
        <v>436</v>
      </c>
      <c r="C239" s="6"/>
      <c r="D239" s="6"/>
      <c r="E239" s="6"/>
      <c r="F239" s="6"/>
      <c r="G239" s="6"/>
      <c r="H239" s="6">
        <v>5</v>
      </c>
      <c r="I239" s="6">
        <v>4</v>
      </c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</row>
    <row r="240" spans="1:23" x14ac:dyDescent="0.3">
      <c r="A240" s="6"/>
      <c r="B240" s="6" t="s">
        <v>436</v>
      </c>
      <c r="C240" s="6"/>
      <c r="D240" s="6"/>
      <c r="E240" s="6"/>
      <c r="F240" s="6"/>
      <c r="G240" s="6"/>
      <c r="H240" s="6">
        <v>-1</v>
      </c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</row>
    <row r="241" spans="1:23" x14ac:dyDescent="0.3">
      <c r="A241" s="6" t="s">
        <v>3630</v>
      </c>
      <c r="B241" s="6" t="s">
        <v>354</v>
      </c>
      <c r="C241" s="6"/>
      <c r="D241" s="6"/>
      <c r="E241" s="6"/>
      <c r="F241" s="6"/>
      <c r="G241" s="6"/>
      <c r="H241" s="6">
        <v>18</v>
      </c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</row>
    <row r="242" spans="1:23" x14ac:dyDescent="0.3">
      <c r="A242" s="6" t="s">
        <v>2371</v>
      </c>
      <c r="B242" s="6" t="s">
        <v>354</v>
      </c>
      <c r="C242" s="6"/>
      <c r="D242" s="6"/>
      <c r="E242" s="6"/>
      <c r="F242" s="6"/>
      <c r="G242" s="6"/>
      <c r="H242" s="6">
        <v>12</v>
      </c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</row>
    <row r="243" spans="1:23" x14ac:dyDescent="0.3">
      <c r="A243" s="6"/>
      <c r="B243" s="6" t="s">
        <v>412</v>
      </c>
      <c r="C243" s="6"/>
      <c r="D243" s="6"/>
      <c r="E243" s="6"/>
      <c r="F243" s="6"/>
      <c r="G243" s="6"/>
      <c r="H243" s="6">
        <v>-1</v>
      </c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</row>
    <row r="244" spans="1:23" x14ac:dyDescent="0.3">
      <c r="A244" s="6"/>
      <c r="B244" s="6" t="s">
        <v>412</v>
      </c>
      <c r="C244" s="6"/>
      <c r="D244" s="6"/>
      <c r="E244" s="6"/>
      <c r="F244" s="6"/>
      <c r="G244" s="6"/>
      <c r="H244" s="6">
        <v>-1</v>
      </c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</row>
    <row r="245" spans="1:23" x14ac:dyDescent="0.3">
      <c r="A245" s="6" t="s">
        <v>4178</v>
      </c>
      <c r="B245" s="6" t="s">
        <v>332</v>
      </c>
      <c r="C245" s="6"/>
      <c r="D245" s="6"/>
      <c r="E245" s="6"/>
      <c r="F245" s="6"/>
      <c r="G245" s="6"/>
      <c r="H245" s="6">
        <v>11</v>
      </c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</row>
    <row r="246" spans="1:23" x14ac:dyDescent="0.3">
      <c r="A246" s="6"/>
      <c r="B246" s="6" t="s">
        <v>332</v>
      </c>
      <c r="C246" s="6"/>
      <c r="D246" s="6"/>
      <c r="E246" s="6"/>
      <c r="F246" s="6"/>
      <c r="G246" s="6"/>
      <c r="H246" s="6">
        <v>-1</v>
      </c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</row>
    <row r="247" spans="1:23" x14ac:dyDescent="0.3">
      <c r="A247" s="6"/>
      <c r="B247" s="6" t="s">
        <v>724</v>
      </c>
      <c r="C247" s="6"/>
      <c r="D247" s="6"/>
      <c r="E247" s="6"/>
      <c r="F247" s="6"/>
      <c r="G247" s="6"/>
      <c r="H247" s="6">
        <v>-1</v>
      </c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</row>
    <row r="248" spans="1:23" x14ac:dyDescent="0.3">
      <c r="A248" s="6"/>
      <c r="B248" s="6" t="s">
        <v>540</v>
      </c>
      <c r="C248" s="6"/>
      <c r="D248" s="6"/>
      <c r="E248" s="6"/>
      <c r="F248" s="6"/>
      <c r="G248" s="6"/>
      <c r="H248" s="6">
        <v>-1</v>
      </c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</row>
    <row r="249" spans="1:23" x14ac:dyDescent="0.3">
      <c r="A249" s="6"/>
      <c r="B249" s="6" t="s">
        <v>484</v>
      </c>
      <c r="C249" s="6"/>
      <c r="D249" s="6"/>
      <c r="E249" s="6"/>
      <c r="F249" s="6"/>
      <c r="G249" s="6"/>
      <c r="H249" s="6">
        <v>-1</v>
      </c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</row>
    <row r="250" spans="1:23" x14ac:dyDescent="0.3">
      <c r="A250" s="6"/>
      <c r="B250" s="6" t="s">
        <v>372</v>
      </c>
      <c r="C250" s="6"/>
      <c r="D250" s="6"/>
      <c r="E250" s="6"/>
      <c r="F250" s="6"/>
      <c r="G250" s="6"/>
      <c r="H250" s="6">
        <v>-1</v>
      </c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</row>
    <row r="251" spans="1:23" x14ac:dyDescent="0.3">
      <c r="A251" s="6"/>
      <c r="B251" s="6" t="s">
        <v>356</v>
      </c>
      <c r="C251" s="6"/>
      <c r="D251" s="6"/>
      <c r="E251" s="6"/>
      <c r="F251" s="6"/>
      <c r="G251" s="6"/>
      <c r="H251" s="6">
        <v>-1</v>
      </c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</row>
    <row r="252" spans="1:23" x14ac:dyDescent="0.3">
      <c r="A252" s="6" t="s">
        <v>3255</v>
      </c>
      <c r="B252" s="6" t="s">
        <v>350</v>
      </c>
      <c r="C252" s="6"/>
      <c r="D252" s="6"/>
      <c r="E252" s="6"/>
      <c r="F252" s="6"/>
      <c r="G252" s="6"/>
      <c r="H252" s="6">
        <v>20</v>
      </c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</row>
    <row r="253" spans="1:23" x14ac:dyDescent="0.3">
      <c r="A253" s="6" t="s">
        <v>1886</v>
      </c>
      <c r="B253" s="6" t="s">
        <v>364</v>
      </c>
      <c r="C253" s="6"/>
      <c r="D253" s="6"/>
      <c r="E253" s="6"/>
      <c r="F253" s="6"/>
      <c r="G253" s="6"/>
      <c r="H253" s="6">
        <v>8</v>
      </c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</row>
    <row r="254" spans="1:23" x14ac:dyDescent="0.3">
      <c r="A254" s="6"/>
      <c r="B254" s="6" t="s">
        <v>330</v>
      </c>
      <c r="C254" s="6"/>
      <c r="D254" s="6"/>
      <c r="E254" s="6"/>
      <c r="F254" s="6"/>
      <c r="G254" s="6"/>
      <c r="H254" s="6">
        <v>-1</v>
      </c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</row>
    <row r="255" spans="1:23" x14ac:dyDescent="0.3">
      <c r="A255" s="6" t="s">
        <v>2449</v>
      </c>
      <c r="B255" s="6" t="s">
        <v>354</v>
      </c>
      <c r="C255" s="6"/>
      <c r="D255" s="6"/>
      <c r="E255" s="6"/>
      <c r="F255" s="6"/>
      <c r="G255" s="6"/>
      <c r="H255" s="6">
        <v>30</v>
      </c>
      <c r="I255" s="6">
        <v>13</v>
      </c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</row>
    <row r="256" spans="1:23" x14ac:dyDescent="0.3">
      <c r="A256" s="6"/>
      <c r="B256" s="6" t="s">
        <v>520</v>
      </c>
      <c r="C256" s="6"/>
      <c r="D256" s="6"/>
      <c r="E256" s="6"/>
      <c r="F256" s="6"/>
      <c r="G256" s="6"/>
      <c r="H256" s="6">
        <v>-1</v>
      </c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</row>
    <row r="257" spans="1:23" x14ac:dyDescent="0.3">
      <c r="A257" s="6"/>
      <c r="B257" s="6" t="s">
        <v>384</v>
      </c>
      <c r="C257" s="6"/>
      <c r="D257" s="6"/>
      <c r="E257" s="6"/>
      <c r="F257" s="6"/>
      <c r="G257" s="6"/>
      <c r="H257" s="6">
        <v>-1</v>
      </c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</row>
    <row r="258" spans="1:23" x14ac:dyDescent="0.3">
      <c r="A258" s="6" t="s">
        <v>3858</v>
      </c>
      <c r="B258" s="6" t="s">
        <v>344</v>
      </c>
      <c r="C258" s="6"/>
      <c r="D258" s="6"/>
      <c r="E258" s="6"/>
      <c r="F258" s="6"/>
      <c r="G258" s="6"/>
      <c r="H258" s="6">
        <v>27</v>
      </c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</row>
    <row r="259" spans="1:23" x14ac:dyDescent="0.3">
      <c r="A259" s="6" t="s">
        <v>3439</v>
      </c>
      <c r="B259" s="6" t="s">
        <v>334</v>
      </c>
      <c r="C259" s="6"/>
      <c r="D259" s="6"/>
      <c r="E259" s="6"/>
      <c r="F259" s="6"/>
      <c r="G259" s="6"/>
      <c r="H259" s="6">
        <v>31</v>
      </c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</row>
    <row r="260" spans="1:23" x14ac:dyDescent="0.3">
      <c r="A260" s="6"/>
      <c r="B260" s="6" t="s">
        <v>448</v>
      </c>
      <c r="C260" s="6"/>
      <c r="D260" s="6"/>
      <c r="E260" s="6"/>
      <c r="F260" s="6"/>
      <c r="G260" s="6"/>
      <c r="H260" s="6">
        <v>-1</v>
      </c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</row>
    <row r="261" spans="1:23" x14ac:dyDescent="0.3">
      <c r="A261" s="6"/>
      <c r="B261" s="6" t="s">
        <v>356</v>
      </c>
      <c r="C261" s="6"/>
      <c r="D261" s="6"/>
      <c r="E261" s="6"/>
      <c r="F261" s="6"/>
      <c r="G261" s="6"/>
      <c r="H261" s="6">
        <v>-1</v>
      </c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</row>
    <row r="262" spans="1:23" x14ac:dyDescent="0.3">
      <c r="A262" s="6"/>
      <c r="B262" s="6" t="s">
        <v>428</v>
      </c>
      <c r="C262" s="6"/>
      <c r="D262" s="6"/>
      <c r="E262" s="6"/>
      <c r="F262" s="6"/>
      <c r="G262" s="6"/>
      <c r="H262" s="6">
        <v>-1</v>
      </c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</row>
    <row r="263" spans="1:23" x14ac:dyDescent="0.3">
      <c r="A263" s="6"/>
      <c r="B263" s="6" t="s">
        <v>614</v>
      </c>
      <c r="C263" s="6"/>
      <c r="D263" s="6"/>
      <c r="E263" s="6"/>
      <c r="F263" s="6"/>
      <c r="G263" s="6"/>
      <c r="H263" s="6">
        <v>-1</v>
      </c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</row>
    <row r="264" spans="1:23" x14ac:dyDescent="0.3">
      <c r="A264" s="6"/>
      <c r="B264" s="6" t="s">
        <v>346</v>
      </c>
      <c r="C264" s="6"/>
      <c r="D264" s="6"/>
      <c r="E264" s="6"/>
      <c r="F264" s="6"/>
      <c r="G264" s="6"/>
      <c r="H264" s="6">
        <v>-1</v>
      </c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</row>
    <row r="265" spans="1:23" x14ac:dyDescent="0.3">
      <c r="A265" s="6" t="s">
        <v>3348</v>
      </c>
      <c r="B265" s="6" t="s">
        <v>694</v>
      </c>
      <c r="C265" s="6"/>
      <c r="D265" s="6"/>
      <c r="E265" s="6"/>
      <c r="F265" s="6"/>
      <c r="G265" s="6"/>
      <c r="H265" s="6">
        <v>22</v>
      </c>
      <c r="I265" s="6">
        <v>20</v>
      </c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</row>
    <row r="266" spans="1:23" x14ac:dyDescent="0.3">
      <c r="A266" s="6"/>
      <c r="B266" s="6" t="s">
        <v>724</v>
      </c>
      <c r="C266" s="6"/>
      <c r="D266" s="6"/>
      <c r="E266" s="6"/>
      <c r="F266" s="6"/>
      <c r="G266" s="6"/>
      <c r="H266" s="6">
        <v>-1</v>
      </c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</row>
    <row r="267" spans="1:23" x14ac:dyDescent="0.3">
      <c r="A267" s="6" t="s">
        <v>3013</v>
      </c>
      <c r="B267" s="6" t="s">
        <v>332</v>
      </c>
      <c r="C267" s="6"/>
      <c r="D267" s="6"/>
      <c r="E267" s="6"/>
      <c r="F267" s="6"/>
      <c r="G267" s="6"/>
      <c r="H267" s="6">
        <v>14</v>
      </c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</row>
    <row r="268" spans="1:23" x14ac:dyDescent="0.3">
      <c r="A268" s="6" t="s">
        <v>2577</v>
      </c>
      <c r="B268" s="6" t="s">
        <v>384</v>
      </c>
      <c r="C268" s="6"/>
      <c r="D268" s="6"/>
      <c r="E268" s="6"/>
      <c r="F268" s="6"/>
      <c r="G268" s="6"/>
      <c r="H268" s="6">
        <v>36</v>
      </c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</row>
    <row r="269" spans="1:23" x14ac:dyDescent="0.3">
      <c r="A269" s="6"/>
      <c r="B269" s="6" t="s">
        <v>406</v>
      </c>
      <c r="C269" s="6"/>
      <c r="D269" s="6"/>
      <c r="E269" s="6"/>
      <c r="F269" s="6"/>
      <c r="G269" s="6"/>
      <c r="H269" s="6">
        <v>-1</v>
      </c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</row>
    <row r="270" spans="1:23" x14ac:dyDescent="0.3">
      <c r="A270" s="6"/>
      <c r="B270" s="6" t="s">
        <v>448</v>
      </c>
      <c r="C270" s="6"/>
      <c r="D270" s="6"/>
      <c r="E270" s="6"/>
      <c r="F270" s="6"/>
      <c r="G270" s="6"/>
      <c r="H270" s="6">
        <v>-1</v>
      </c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</row>
    <row r="271" spans="1:23" x14ac:dyDescent="0.3">
      <c r="A271" s="6" t="s">
        <v>1635</v>
      </c>
      <c r="B271" s="6" t="s">
        <v>596</v>
      </c>
      <c r="C271" s="6"/>
      <c r="D271" s="6"/>
      <c r="E271" s="6"/>
      <c r="F271" s="6"/>
      <c r="G271" s="6"/>
      <c r="H271" s="6">
        <v>39</v>
      </c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</row>
    <row r="272" spans="1:23" x14ac:dyDescent="0.3">
      <c r="A272" s="6" t="s">
        <v>4918</v>
      </c>
      <c r="B272" s="6" t="s">
        <v>428</v>
      </c>
      <c r="C272" s="6"/>
      <c r="D272" s="6"/>
      <c r="E272" s="6"/>
      <c r="F272" s="6"/>
      <c r="G272" s="6"/>
      <c r="H272" s="6">
        <v>38</v>
      </c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</row>
    <row r="273" spans="1:23" x14ac:dyDescent="0.3">
      <c r="A273" s="6"/>
      <c r="B273" s="6" t="s">
        <v>350</v>
      </c>
      <c r="C273" s="6"/>
      <c r="D273" s="6"/>
      <c r="E273" s="6"/>
      <c r="F273" s="6"/>
      <c r="G273" s="6"/>
      <c r="H273" s="6">
        <v>-1</v>
      </c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</row>
    <row r="274" spans="1:23" x14ac:dyDescent="0.3">
      <c r="A274" s="6"/>
      <c r="B274" s="6" t="s">
        <v>724</v>
      </c>
      <c r="C274" s="6"/>
      <c r="D274" s="6"/>
      <c r="E274" s="6"/>
      <c r="F274" s="6"/>
      <c r="G274" s="6"/>
      <c r="H274" s="6">
        <v>-1</v>
      </c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</row>
    <row r="275" spans="1:23" x14ac:dyDescent="0.3">
      <c r="A275" s="6" t="s">
        <v>3277</v>
      </c>
      <c r="B275" s="6" t="s">
        <v>576</v>
      </c>
      <c r="C275" s="6"/>
      <c r="D275" s="6"/>
      <c r="E275" s="6"/>
      <c r="F275" s="6"/>
      <c r="G275" s="6"/>
      <c r="H275" s="6"/>
      <c r="I275" s="6">
        <v>10</v>
      </c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</row>
    <row r="276" spans="1:23" x14ac:dyDescent="0.3">
      <c r="A276" s="6" t="s">
        <v>3282</v>
      </c>
      <c r="B276" s="6" t="s">
        <v>576</v>
      </c>
      <c r="C276" s="6"/>
      <c r="D276" s="6"/>
      <c r="E276" s="6"/>
      <c r="F276" s="6"/>
      <c r="G276" s="6"/>
      <c r="H276" s="6"/>
      <c r="I276" s="6">
        <v>7</v>
      </c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</row>
    <row r="277" spans="1:23" x14ac:dyDescent="0.3">
      <c r="A277" s="6"/>
      <c r="B277" s="6" t="s">
        <v>436</v>
      </c>
      <c r="C277" s="6"/>
      <c r="D277" s="6"/>
      <c r="E277" s="6"/>
      <c r="F277" s="6"/>
      <c r="G277" s="6"/>
      <c r="H277" s="6"/>
      <c r="I277" s="6">
        <v>-1</v>
      </c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</row>
    <row r="278" spans="1:23" x14ac:dyDescent="0.3">
      <c r="A278" s="6"/>
      <c r="B278" s="6" t="s">
        <v>436</v>
      </c>
      <c r="C278" s="6"/>
      <c r="D278" s="6"/>
      <c r="E278" s="6"/>
      <c r="F278" s="6"/>
      <c r="G278" s="6"/>
      <c r="H278" s="6"/>
      <c r="I278" s="6">
        <v>-1</v>
      </c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</row>
    <row r="279" spans="1:23" x14ac:dyDescent="0.3">
      <c r="A279" s="6" t="s">
        <v>1668</v>
      </c>
      <c r="B279" s="6" t="s">
        <v>402</v>
      </c>
      <c r="C279" s="6"/>
      <c r="D279" s="6"/>
      <c r="E279" s="6"/>
      <c r="F279" s="6"/>
      <c r="G279" s="6"/>
      <c r="H279" s="6"/>
      <c r="I279" s="6">
        <v>23</v>
      </c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</row>
    <row r="280" spans="1:23" x14ac:dyDescent="0.3">
      <c r="A280" s="6"/>
      <c r="B280" s="6" t="s">
        <v>402</v>
      </c>
      <c r="C280" s="6"/>
      <c r="D280" s="6"/>
      <c r="E280" s="6"/>
      <c r="F280" s="6"/>
      <c r="G280" s="6"/>
      <c r="H280" s="6"/>
      <c r="I280" s="6">
        <v>-1</v>
      </c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</row>
    <row r="281" spans="1:23" x14ac:dyDescent="0.3">
      <c r="A281" s="6"/>
      <c r="B281" s="6" t="s">
        <v>412</v>
      </c>
      <c r="C281" s="6"/>
      <c r="D281" s="6"/>
      <c r="E281" s="6"/>
      <c r="F281" s="6"/>
      <c r="G281" s="6"/>
      <c r="H281" s="6"/>
      <c r="I281" s="6">
        <v>-1</v>
      </c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</row>
    <row r="282" spans="1:23" x14ac:dyDescent="0.3">
      <c r="A282" s="6"/>
      <c r="B282" s="6" t="s">
        <v>412</v>
      </c>
      <c r="C282" s="6"/>
      <c r="D282" s="6"/>
      <c r="E282" s="6"/>
      <c r="F282" s="6"/>
      <c r="G282" s="6"/>
      <c r="H282" s="6"/>
      <c r="I282" s="6">
        <v>-1</v>
      </c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</row>
    <row r="283" spans="1:23" x14ac:dyDescent="0.3">
      <c r="A283" s="6"/>
      <c r="B283" s="6" t="s">
        <v>724</v>
      </c>
      <c r="C283" s="6"/>
      <c r="D283" s="6"/>
      <c r="E283" s="6"/>
      <c r="F283" s="6"/>
      <c r="G283" s="6"/>
      <c r="H283" s="6"/>
      <c r="I283" s="6">
        <v>-1</v>
      </c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</row>
    <row r="284" spans="1:23" x14ac:dyDescent="0.3">
      <c r="A284" s="6"/>
      <c r="B284" s="6" t="s">
        <v>724</v>
      </c>
      <c r="C284" s="6"/>
      <c r="D284" s="6"/>
      <c r="E284" s="6"/>
      <c r="F284" s="6"/>
      <c r="G284" s="6"/>
      <c r="H284" s="6"/>
      <c r="I284" s="6">
        <v>-1</v>
      </c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</row>
    <row r="285" spans="1:23" x14ac:dyDescent="0.3">
      <c r="A285" s="6"/>
      <c r="B285" s="6" t="s">
        <v>332</v>
      </c>
      <c r="C285" s="6"/>
      <c r="D285" s="6"/>
      <c r="E285" s="6"/>
      <c r="F285" s="6"/>
      <c r="G285" s="6"/>
      <c r="H285" s="6"/>
      <c r="I285" s="6">
        <v>-1</v>
      </c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</row>
    <row r="286" spans="1:23" x14ac:dyDescent="0.3">
      <c r="A286" s="6"/>
      <c r="B286" s="6" t="s">
        <v>540</v>
      </c>
      <c r="C286" s="6"/>
      <c r="D286" s="6"/>
      <c r="E286" s="6"/>
      <c r="F286" s="6"/>
      <c r="G286" s="6"/>
      <c r="H286" s="6"/>
      <c r="I286" s="6">
        <v>-1</v>
      </c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</row>
    <row r="287" spans="1:23" x14ac:dyDescent="0.3">
      <c r="A287" s="6"/>
      <c r="B287" s="6" t="s">
        <v>570</v>
      </c>
      <c r="C287" s="6"/>
      <c r="D287" s="6"/>
      <c r="E287" s="6"/>
      <c r="F287" s="6"/>
      <c r="G287" s="6"/>
      <c r="H287" s="6"/>
      <c r="I287" s="6">
        <v>-1</v>
      </c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</row>
    <row r="288" spans="1:23" x14ac:dyDescent="0.3">
      <c r="A288" s="6"/>
      <c r="B288" s="6" t="s">
        <v>344</v>
      </c>
      <c r="C288" s="6"/>
      <c r="D288" s="6"/>
      <c r="E288" s="6"/>
      <c r="F288" s="6"/>
      <c r="G288" s="6"/>
      <c r="H288" s="6"/>
      <c r="I288" s="6">
        <v>-1</v>
      </c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</row>
    <row r="289" spans="1:23" x14ac:dyDescent="0.3">
      <c r="A289" s="6"/>
      <c r="B289" s="6" t="s">
        <v>356</v>
      </c>
      <c r="C289" s="6"/>
      <c r="D289" s="6"/>
      <c r="E289" s="6"/>
      <c r="F289" s="6"/>
      <c r="G289" s="6"/>
      <c r="H289" s="6"/>
      <c r="I289" s="6">
        <v>-1</v>
      </c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</row>
    <row r="290" spans="1:23" x14ac:dyDescent="0.3">
      <c r="A290" s="6"/>
      <c r="B290" s="6" t="s">
        <v>724</v>
      </c>
      <c r="C290" s="6"/>
      <c r="D290" s="6"/>
      <c r="E290" s="6"/>
      <c r="F290" s="6"/>
      <c r="G290" s="6"/>
      <c r="H290" s="6"/>
      <c r="I290" s="6">
        <v>-1</v>
      </c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</row>
    <row r="291" spans="1:23" x14ac:dyDescent="0.3">
      <c r="A291" s="6"/>
      <c r="B291" s="6" t="s">
        <v>428</v>
      </c>
      <c r="C291" s="6"/>
      <c r="D291" s="6"/>
      <c r="E291" s="6"/>
      <c r="F291" s="6"/>
      <c r="G291" s="6"/>
      <c r="H291" s="6"/>
      <c r="I291" s="6">
        <v>-1</v>
      </c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</row>
    <row r="292" spans="1:23" x14ac:dyDescent="0.3">
      <c r="A292" s="6"/>
      <c r="B292" s="6" t="s">
        <v>428</v>
      </c>
      <c r="C292" s="6"/>
      <c r="D292" s="6"/>
      <c r="E292" s="6"/>
      <c r="F292" s="6"/>
      <c r="G292" s="6"/>
      <c r="H292" s="6"/>
      <c r="I292" s="6">
        <v>-1</v>
      </c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</row>
    <row r="293" spans="1:23" x14ac:dyDescent="0.3">
      <c r="A293" s="6"/>
      <c r="B293" s="6" t="s">
        <v>332</v>
      </c>
      <c r="C293" s="6"/>
      <c r="D293" s="6"/>
      <c r="E293" s="6"/>
      <c r="F293" s="6"/>
      <c r="G293" s="6"/>
      <c r="H293" s="6"/>
      <c r="I293" s="6">
        <v>-1</v>
      </c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</row>
    <row r="294" spans="1:23" x14ac:dyDescent="0.3">
      <c r="A294" s="6"/>
      <c r="B294" s="6" t="s">
        <v>332</v>
      </c>
      <c r="C294" s="6"/>
      <c r="D294" s="6"/>
      <c r="E294" s="6"/>
      <c r="F294" s="6"/>
      <c r="G294" s="6"/>
      <c r="H294" s="6"/>
      <c r="I294" s="6">
        <v>-1</v>
      </c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</row>
    <row r="295" spans="1:23" x14ac:dyDescent="0.3">
      <c r="A295" s="6"/>
      <c r="B295" s="6" t="s">
        <v>428</v>
      </c>
      <c r="C295" s="6"/>
      <c r="D295" s="6"/>
      <c r="E295" s="6"/>
      <c r="F295" s="6"/>
      <c r="G295" s="6"/>
      <c r="H295" s="6"/>
      <c r="I295" s="6">
        <v>-1</v>
      </c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</row>
    <row r="296" spans="1:23" x14ac:dyDescent="0.3">
      <c r="A296" s="6"/>
      <c r="B296" s="6" t="s">
        <v>604</v>
      </c>
      <c r="C296" s="6"/>
      <c r="D296" s="6"/>
      <c r="E296" s="6"/>
      <c r="F296" s="6"/>
      <c r="G296" s="6"/>
      <c r="H296" s="6"/>
      <c r="I296" s="6">
        <v>-1</v>
      </c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</row>
    <row r="297" spans="1:23" x14ac:dyDescent="0.3">
      <c r="A297" s="6"/>
      <c r="B297" s="6" t="s">
        <v>332</v>
      </c>
      <c r="C297" s="6"/>
      <c r="D297" s="6"/>
      <c r="E297" s="6"/>
      <c r="F297" s="6"/>
      <c r="G297" s="6"/>
      <c r="H297" s="6"/>
      <c r="I297" s="6"/>
      <c r="J297" s="6">
        <v>-1</v>
      </c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</row>
    <row r="298" spans="1:23" x14ac:dyDescent="0.3">
      <c r="A298" s="6" t="s">
        <v>3027</v>
      </c>
      <c r="B298" s="6" t="s">
        <v>332</v>
      </c>
      <c r="C298" s="6"/>
      <c r="D298" s="6"/>
      <c r="E298" s="6"/>
      <c r="F298" s="6"/>
      <c r="G298" s="6"/>
      <c r="H298" s="6"/>
      <c r="I298" s="6"/>
      <c r="J298" s="6">
        <v>1</v>
      </c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</row>
    <row r="299" spans="1:23" x14ac:dyDescent="0.3">
      <c r="A299" s="6"/>
      <c r="B299" s="6" t="s">
        <v>332</v>
      </c>
      <c r="C299" s="6"/>
      <c r="D299" s="6"/>
      <c r="E299" s="6"/>
      <c r="F299" s="6"/>
      <c r="G299" s="6"/>
      <c r="H299" s="6"/>
      <c r="I299" s="6"/>
      <c r="J299" s="6">
        <v>-1</v>
      </c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</row>
    <row r="300" spans="1:23" x14ac:dyDescent="0.3">
      <c r="A300" s="6"/>
      <c r="B300" s="6" t="s">
        <v>600</v>
      </c>
      <c r="C300" s="6"/>
      <c r="D300" s="6"/>
      <c r="E300" s="6"/>
      <c r="F300" s="6"/>
      <c r="G300" s="6"/>
      <c r="H300" s="6"/>
      <c r="I300" s="6"/>
      <c r="J300" s="6">
        <v>-1</v>
      </c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</row>
    <row r="301" spans="1:23" x14ac:dyDescent="0.3">
      <c r="A301" s="6"/>
      <c r="B301" s="6" t="s">
        <v>600</v>
      </c>
      <c r="C301" s="6"/>
      <c r="D301" s="6"/>
      <c r="E301" s="6"/>
      <c r="F301" s="6"/>
      <c r="G301" s="6"/>
      <c r="H301" s="6"/>
      <c r="I301" s="6"/>
      <c r="J301" s="6">
        <v>-1</v>
      </c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</row>
    <row r="302" spans="1:23" x14ac:dyDescent="0.3">
      <c r="A302" s="6"/>
      <c r="B302" s="6" t="s">
        <v>600</v>
      </c>
      <c r="C302" s="6"/>
      <c r="D302" s="6"/>
      <c r="E302" s="6"/>
      <c r="F302" s="6"/>
      <c r="G302" s="6"/>
      <c r="H302" s="6"/>
      <c r="I302" s="6"/>
      <c r="J302" s="6">
        <v>-1</v>
      </c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</row>
    <row r="303" spans="1:23" x14ac:dyDescent="0.3">
      <c r="A303" s="6"/>
      <c r="B303" s="6" t="s">
        <v>510</v>
      </c>
      <c r="C303" s="6"/>
      <c r="D303" s="6"/>
      <c r="E303" s="6"/>
      <c r="F303" s="6"/>
      <c r="G303" s="6"/>
      <c r="H303" s="6"/>
      <c r="I303" s="6"/>
      <c r="J303" s="6">
        <v>-1</v>
      </c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</row>
    <row r="304" spans="1:23" x14ac:dyDescent="0.3">
      <c r="A304" s="6"/>
      <c r="B304" s="6" t="s">
        <v>510</v>
      </c>
      <c r="C304" s="6"/>
      <c r="D304" s="6"/>
      <c r="E304" s="6"/>
      <c r="F304" s="6"/>
      <c r="G304" s="6"/>
      <c r="H304" s="6"/>
      <c r="I304" s="6"/>
      <c r="J304" s="6">
        <v>-1</v>
      </c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</row>
    <row r="305" spans="1:23" x14ac:dyDescent="0.3">
      <c r="A305" s="6"/>
      <c r="B305" s="6" t="s">
        <v>510</v>
      </c>
      <c r="C305" s="6"/>
      <c r="D305" s="6"/>
      <c r="E305" s="6"/>
      <c r="F305" s="6"/>
      <c r="G305" s="6"/>
      <c r="H305" s="6"/>
      <c r="I305" s="6"/>
      <c r="J305" s="6">
        <v>-1</v>
      </c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</row>
    <row r="306" spans="1:23" x14ac:dyDescent="0.3">
      <c r="A306" s="6"/>
      <c r="B306" s="6" t="s">
        <v>328</v>
      </c>
      <c r="C306" s="6"/>
      <c r="D306" s="6"/>
      <c r="E306" s="6"/>
      <c r="F306" s="6"/>
      <c r="G306" s="6"/>
      <c r="H306" s="6"/>
      <c r="I306" s="6"/>
      <c r="J306" s="6">
        <v>-1</v>
      </c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</row>
    <row r="307" spans="1:23" x14ac:dyDescent="0.3">
      <c r="A307" s="6"/>
      <c r="B307" s="6" t="s">
        <v>328</v>
      </c>
      <c r="C307" s="6"/>
      <c r="D307" s="6"/>
      <c r="E307" s="6"/>
      <c r="F307" s="6"/>
      <c r="G307" s="6"/>
      <c r="H307" s="6"/>
      <c r="I307" s="6"/>
      <c r="J307" s="6">
        <v>-1</v>
      </c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</row>
    <row r="308" spans="1:23" x14ac:dyDescent="0.3">
      <c r="A308" s="6" t="s">
        <v>1872</v>
      </c>
      <c r="B308" s="6" t="s">
        <v>372</v>
      </c>
      <c r="C308" s="6"/>
      <c r="D308" s="6"/>
      <c r="E308" s="6"/>
      <c r="F308" s="6"/>
      <c r="G308" s="6"/>
      <c r="H308" s="6"/>
      <c r="I308" s="6"/>
      <c r="J308" s="6">
        <v>22</v>
      </c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</row>
    <row r="309" spans="1:23" x14ac:dyDescent="0.3">
      <c r="A309" s="6" t="s">
        <v>1873</v>
      </c>
      <c r="B309" s="6" t="s">
        <v>372</v>
      </c>
      <c r="C309" s="6"/>
      <c r="D309" s="6"/>
      <c r="E309" s="6"/>
      <c r="F309" s="6"/>
      <c r="G309" s="6"/>
      <c r="H309" s="6"/>
      <c r="I309" s="6"/>
      <c r="J309" s="6">
        <v>25</v>
      </c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</row>
    <row r="310" spans="1:23" x14ac:dyDescent="0.3">
      <c r="A310" s="6"/>
      <c r="B310" s="6" t="s">
        <v>344</v>
      </c>
      <c r="C310" s="6"/>
      <c r="D310" s="6"/>
      <c r="E310" s="6"/>
      <c r="F310" s="6"/>
      <c r="G310" s="6"/>
      <c r="H310" s="6"/>
      <c r="I310" s="6"/>
      <c r="J310" s="6">
        <v>-1</v>
      </c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</row>
    <row r="311" spans="1:23" x14ac:dyDescent="0.3">
      <c r="A311" s="6"/>
      <c r="B311" s="6" t="s">
        <v>344</v>
      </c>
      <c r="C311" s="6"/>
      <c r="D311" s="6"/>
      <c r="E311" s="6"/>
      <c r="F311" s="6"/>
      <c r="G311" s="6"/>
      <c r="H311" s="6"/>
      <c r="I311" s="6"/>
      <c r="J311" s="6">
        <v>-1</v>
      </c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</row>
    <row r="312" spans="1:23" x14ac:dyDescent="0.3">
      <c r="A312" s="6"/>
      <c r="B312" s="6" t="s">
        <v>412</v>
      </c>
      <c r="C312" s="6"/>
      <c r="D312" s="6"/>
      <c r="E312" s="6"/>
      <c r="F312" s="6"/>
      <c r="G312" s="6"/>
      <c r="H312" s="6"/>
      <c r="I312" s="6"/>
      <c r="J312" s="6">
        <v>-1</v>
      </c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</row>
    <row r="313" spans="1:23" x14ac:dyDescent="0.3">
      <c r="A313" s="6"/>
      <c r="B313" s="6" t="s">
        <v>412</v>
      </c>
      <c r="C313" s="6"/>
      <c r="D313" s="6"/>
      <c r="E313" s="6"/>
      <c r="F313" s="6"/>
      <c r="G313" s="6"/>
      <c r="H313" s="6"/>
      <c r="I313" s="6"/>
      <c r="J313" s="6">
        <v>-1</v>
      </c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</row>
    <row r="314" spans="1:23" x14ac:dyDescent="0.3">
      <c r="A314" s="6" t="s">
        <v>2400</v>
      </c>
      <c r="B314" s="6" t="s">
        <v>354</v>
      </c>
      <c r="C314" s="6"/>
      <c r="D314" s="6"/>
      <c r="E314" s="6"/>
      <c r="F314" s="6"/>
      <c r="G314" s="6"/>
      <c r="H314" s="6"/>
      <c r="I314" s="6"/>
      <c r="J314" s="6">
        <v>39</v>
      </c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</row>
    <row r="315" spans="1:23" x14ac:dyDescent="0.3">
      <c r="A315" s="6"/>
      <c r="B315" s="6" t="s">
        <v>384</v>
      </c>
      <c r="C315" s="6"/>
      <c r="D315" s="6"/>
      <c r="E315" s="6"/>
      <c r="F315" s="6"/>
      <c r="G315" s="6"/>
      <c r="H315" s="6"/>
      <c r="I315" s="6"/>
      <c r="J315" s="6">
        <v>-1</v>
      </c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</row>
    <row r="316" spans="1:23" x14ac:dyDescent="0.3">
      <c r="A316" s="6"/>
      <c r="B316" s="6" t="s">
        <v>400</v>
      </c>
      <c r="C316" s="6"/>
      <c r="D316" s="6"/>
      <c r="E316" s="6"/>
      <c r="F316" s="6"/>
      <c r="G316" s="6"/>
      <c r="H316" s="6"/>
      <c r="I316" s="6"/>
      <c r="J316" s="6">
        <v>-1</v>
      </c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</row>
    <row r="317" spans="1:23" x14ac:dyDescent="0.3">
      <c r="A317" s="6" t="s">
        <v>1824</v>
      </c>
      <c r="B317" s="6" t="s">
        <v>588</v>
      </c>
      <c r="C317" s="6"/>
      <c r="D317" s="6"/>
      <c r="E317" s="6"/>
      <c r="F317" s="6"/>
      <c r="G317" s="6"/>
      <c r="H317" s="6"/>
      <c r="I317" s="6"/>
      <c r="J317" s="6">
        <v>36</v>
      </c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</row>
    <row r="318" spans="1:23" x14ac:dyDescent="0.3">
      <c r="A318" s="6"/>
      <c r="B318" s="6" t="s">
        <v>406</v>
      </c>
      <c r="C318" s="6"/>
      <c r="D318" s="6"/>
      <c r="E318" s="6"/>
      <c r="F318" s="6"/>
      <c r="G318" s="6"/>
      <c r="H318" s="6"/>
      <c r="I318" s="6"/>
      <c r="J318" s="6">
        <v>-1</v>
      </c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</row>
    <row r="319" spans="1:23" x14ac:dyDescent="0.3">
      <c r="A319" s="6"/>
      <c r="B319" s="6" t="s">
        <v>402</v>
      </c>
      <c r="C319" s="6"/>
      <c r="D319" s="6"/>
      <c r="E319" s="6"/>
      <c r="F319" s="6"/>
      <c r="G319" s="6"/>
      <c r="H319" s="6"/>
      <c r="I319" s="6"/>
      <c r="J319" s="6">
        <v>-1</v>
      </c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</row>
    <row r="320" spans="1:23" x14ac:dyDescent="0.3">
      <c r="A320" s="6"/>
      <c r="B320" s="6" t="s">
        <v>596</v>
      </c>
      <c r="C320" s="6"/>
      <c r="D320" s="6"/>
      <c r="E320" s="6"/>
      <c r="F320" s="6"/>
      <c r="G320" s="6"/>
      <c r="H320" s="6"/>
      <c r="I320" s="6"/>
      <c r="J320" s="6">
        <v>-1</v>
      </c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</row>
    <row r="321" spans="1:23" x14ac:dyDescent="0.3">
      <c r="A321" s="6"/>
      <c r="B321" s="6" t="s">
        <v>428</v>
      </c>
      <c r="C321" s="6"/>
      <c r="D321" s="6"/>
      <c r="E321" s="6"/>
      <c r="F321" s="6"/>
      <c r="G321" s="6"/>
      <c r="H321" s="6"/>
      <c r="I321" s="6"/>
      <c r="J321" s="6">
        <v>-1</v>
      </c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</row>
    <row r="322" spans="1:23" x14ac:dyDescent="0.3">
      <c r="A322" s="6"/>
      <c r="B322" s="6" t="s">
        <v>430</v>
      </c>
      <c r="C322" s="6"/>
      <c r="D322" s="6"/>
      <c r="E322" s="6"/>
      <c r="F322" s="6"/>
      <c r="G322" s="6"/>
      <c r="H322" s="6"/>
      <c r="I322" s="6"/>
      <c r="J322" s="6">
        <v>-1</v>
      </c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</row>
    <row r="323" spans="1:23" x14ac:dyDescent="0.3">
      <c r="A323" s="6"/>
      <c r="B323" s="6" t="s">
        <v>440</v>
      </c>
      <c r="C323" s="6"/>
      <c r="D323" s="6"/>
      <c r="E323" s="6"/>
      <c r="F323" s="6"/>
      <c r="G323" s="6"/>
      <c r="H323" s="6"/>
      <c r="I323" s="6"/>
      <c r="J323" s="6">
        <v>-1</v>
      </c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</row>
    <row r="324" spans="1:23" x14ac:dyDescent="0.3">
      <c r="A324" s="6"/>
      <c r="B324" s="6" t="s">
        <v>394</v>
      </c>
      <c r="C324" s="6"/>
      <c r="D324" s="6"/>
      <c r="E324" s="6"/>
      <c r="F324" s="6"/>
      <c r="G324" s="6"/>
      <c r="H324" s="6"/>
      <c r="I324" s="6"/>
      <c r="J324" s="6">
        <v>-1</v>
      </c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</row>
    <row r="325" spans="1:23" x14ac:dyDescent="0.3">
      <c r="A325" s="6"/>
      <c r="B325" s="6" t="s">
        <v>398</v>
      </c>
      <c r="C325" s="6"/>
      <c r="D325" s="6"/>
      <c r="E325" s="6"/>
      <c r="F325" s="6"/>
      <c r="G325" s="6"/>
      <c r="H325" s="6"/>
      <c r="I325" s="6"/>
      <c r="J325" s="6">
        <v>-1</v>
      </c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</row>
    <row r="326" spans="1:23" x14ac:dyDescent="0.3">
      <c r="A326" s="6"/>
      <c r="B326" s="6" t="s">
        <v>408</v>
      </c>
      <c r="C326" s="6"/>
      <c r="D326" s="6"/>
      <c r="E326" s="6"/>
      <c r="F326" s="6"/>
      <c r="G326" s="6"/>
      <c r="H326" s="6"/>
      <c r="I326" s="6"/>
      <c r="J326" s="6">
        <v>-1</v>
      </c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</row>
    <row r="327" spans="1:23" x14ac:dyDescent="0.3">
      <c r="A327" s="6"/>
      <c r="B327" s="6" t="s">
        <v>422</v>
      </c>
      <c r="C327" s="6"/>
      <c r="D327" s="6"/>
      <c r="E327" s="6"/>
      <c r="F327" s="6"/>
      <c r="G327" s="6"/>
      <c r="H327" s="6"/>
      <c r="I327" s="6"/>
      <c r="J327" s="6">
        <v>-1</v>
      </c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</row>
    <row r="328" spans="1:23" x14ac:dyDescent="0.3">
      <c r="A328" s="6"/>
      <c r="B328" s="6" t="s">
        <v>444</v>
      </c>
      <c r="C328" s="6"/>
      <c r="D328" s="6"/>
      <c r="E328" s="6"/>
      <c r="F328" s="6"/>
      <c r="G328" s="6"/>
      <c r="H328" s="6"/>
      <c r="I328" s="6"/>
      <c r="J328" s="6">
        <v>-1</v>
      </c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</row>
    <row r="329" spans="1:23" x14ac:dyDescent="0.3">
      <c r="A329" s="6" t="s">
        <v>4451</v>
      </c>
      <c r="B329" s="6" t="s">
        <v>352</v>
      </c>
      <c r="C329" s="6"/>
      <c r="D329" s="6"/>
      <c r="E329" s="6"/>
      <c r="F329" s="6"/>
      <c r="G329" s="6"/>
      <c r="H329" s="6"/>
      <c r="I329" s="6"/>
      <c r="J329" s="6">
        <v>3001</v>
      </c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</row>
    <row r="330" spans="1:23" x14ac:dyDescent="0.3">
      <c r="A330" s="6" t="s">
        <v>2365</v>
      </c>
      <c r="B330" s="6" t="s">
        <v>354</v>
      </c>
      <c r="C330" s="6"/>
      <c r="D330" s="6"/>
      <c r="E330" s="6"/>
      <c r="F330" s="6"/>
      <c r="G330" s="6"/>
      <c r="H330" s="6"/>
      <c r="I330" s="6"/>
      <c r="J330" s="6">
        <v>30</v>
      </c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</row>
    <row r="331" spans="1:23" x14ac:dyDescent="0.3">
      <c r="A331" s="6"/>
      <c r="B331" s="6" t="s">
        <v>354</v>
      </c>
      <c r="C331" s="6"/>
      <c r="D331" s="6"/>
      <c r="E331" s="6"/>
      <c r="F331" s="6"/>
      <c r="G331" s="6"/>
      <c r="H331" s="6"/>
      <c r="I331" s="6"/>
      <c r="J331" s="6">
        <v>-1</v>
      </c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</row>
    <row r="332" spans="1:23" x14ac:dyDescent="0.3">
      <c r="A332" s="6" t="s">
        <v>1230</v>
      </c>
      <c r="B332" s="6" t="s">
        <v>384</v>
      </c>
      <c r="C332" s="6"/>
      <c r="D332" s="6"/>
      <c r="E332" s="6"/>
      <c r="F332" s="6"/>
      <c r="G332" s="6"/>
      <c r="H332" s="6"/>
      <c r="I332" s="6"/>
      <c r="J332" s="6">
        <v>37</v>
      </c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</row>
    <row r="333" spans="1:23" x14ac:dyDescent="0.3">
      <c r="A333" s="6"/>
      <c r="B333" s="6" t="s">
        <v>406</v>
      </c>
      <c r="C333" s="6"/>
      <c r="D333" s="6"/>
      <c r="E333" s="6"/>
      <c r="F333" s="6"/>
      <c r="G333" s="6"/>
      <c r="H333" s="6"/>
      <c r="I333" s="6"/>
      <c r="J333" s="6">
        <v>-1</v>
      </c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</row>
    <row r="334" spans="1:23" x14ac:dyDescent="0.3">
      <c r="A334" s="6"/>
      <c r="B334" s="6" t="s">
        <v>448</v>
      </c>
      <c r="C334" s="6"/>
      <c r="D334" s="6"/>
      <c r="E334" s="6"/>
      <c r="F334" s="6"/>
      <c r="G334" s="6"/>
      <c r="H334" s="6"/>
      <c r="I334" s="6"/>
      <c r="J334" s="6">
        <v>-1</v>
      </c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</row>
    <row r="335" spans="1:23" x14ac:dyDescent="0.3">
      <c r="A335" s="6" t="s">
        <v>1764</v>
      </c>
      <c r="B335" s="6" t="s">
        <v>428</v>
      </c>
      <c r="C335" s="6"/>
      <c r="D335" s="6"/>
      <c r="E335" s="6"/>
      <c r="F335" s="6"/>
      <c r="G335" s="6"/>
      <c r="H335" s="6"/>
      <c r="I335" s="6"/>
      <c r="J335" s="6">
        <v>18</v>
      </c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</row>
    <row r="336" spans="1:23" x14ac:dyDescent="0.3">
      <c r="A336" s="6"/>
      <c r="B336" s="6" t="s">
        <v>626</v>
      </c>
      <c r="C336" s="6"/>
      <c r="D336" s="6"/>
      <c r="E336" s="6"/>
      <c r="F336" s="6"/>
      <c r="G336" s="6"/>
      <c r="H336" s="6"/>
      <c r="I336" s="6"/>
      <c r="J336" s="6">
        <v>-1</v>
      </c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</row>
    <row r="337" spans="1:23" x14ac:dyDescent="0.3">
      <c r="A337" s="6"/>
      <c r="B337" s="6" t="s">
        <v>356</v>
      </c>
      <c r="C337" s="6"/>
      <c r="D337" s="6"/>
      <c r="E337" s="6"/>
      <c r="F337" s="6"/>
      <c r="G337" s="6"/>
      <c r="H337" s="6"/>
      <c r="I337" s="6"/>
      <c r="J337" s="6"/>
      <c r="K337" s="6">
        <v>-1</v>
      </c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</row>
    <row r="338" spans="1:23" x14ac:dyDescent="0.3">
      <c r="A338" s="6"/>
      <c r="B338" s="6" t="s">
        <v>356</v>
      </c>
      <c r="C338" s="6"/>
      <c r="D338" s="6"/>
      <c r="E338" s="6"/>
      <c r="F338" s="6"/>
      <c r="G338" s="6"/>
      <c r="H338" s="6"/>
      <c r="I338" s="6"/>
      <c r="J338" s="6"/>
      <c r="K338" s="6">
        <v>-1</v>
      </c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</row>
    <row r="339" spans="1:23" x14ac:dyDescent="0.3">
      <c r="A339" s="6"/>
      <c r="B339" s="6" t="s">
        <v>356</v>
      </c>
      <c r="C339" s="6"/>
      <c r="D339" s="6"/>
      <c r="E339" s="6"/>
      <c r="F339" s="6"/>
      <c r="G339" s="6"/>
      <c r="H339" s="6"/>
      <c r="I339" s="6"/>
      <c r="J339" s="6"/>
      <c r="K339" s="6">
        <v>-1</v>
      </c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</row>
    <row r="340" spans="1:23" x14ac:dyDescent="0.3">
      <c r="A340" s="6"/>
      <c r="B340" s="6" t="s">
        <v>600</v>
      </c>
      <c r="C340" s="6"/>
      <c r="D340" s="6"/>
      <c r="E340" s="6"/>
      <c r="F340" s="6"/>
      <c r="G340" s="6"/>
      <c r="H340" s="6"/>
      <c r="I340" s="6"/>
      <c r="J340" s="6"/>
      <c r="K340" s="6">
        <v>-1</v>
      </c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</row>
    <row r="341" spans="1:23" x14ac:dyDescent="0.3">
      <c r="A341" s="6" t="s">
        <v>4639</v>
      </c>
      <c r="B341" s="6" t="s">
        <v>600</v>
      </c>
      <c r="C341" s="6"/>
      <c r="D341" s="6"/>
      <c r="E341" s="6"/>
      <c r="F341" s="6"/>
      <c r="G341" s="6"/>
      <c r="H341" s="6"/>
      <c r="I341" s="6"/>
      <c r="J341" s="6"/>
      <c r="K341" s="6">
        <v>12</v>
      </c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</row>
    <row r="342" spans="1:23" x14ac:dyDescent="0.3">
      <c r="A342" s="6"/>
      <c r="B342" s="6" t="s">
        <v>600</v>
      </c>
      <c r="C342" s="6"/>
      <c r="D342" s="6"/>
      <c r="E342" s="6"/>
      <c r="F342" s="6"/>
      <c r="G342" s="6"/>
      <c r="H342" s="6"/>
      <c r="I342" s="6"/>
      <c r="J342" s="6"/>
      <c r="K342" s="6">
        <v>-1</v>
      </c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</row>
    <row r="343" spans="1:23" x14ac:dyDescent="0.3">
      <c r="A343" s="6" t="s">
        <v>1978</v>
      </c>
      <c r="B343" s="6" t="s">
        <v>332</v>
      </c>
      <c r="C343" s="6"/>
      <c r="D343" s="6"/>
      <c r="E343" s="6"/>
      <c r="F343" s="6"/>
      <c r="G343" s="6"/>
      <c r="H343" s="6"/>
      <c r="I343" s="6"/>
      <c r="J343" s="6"/>
      <c r="K343" s="6">
        <v>2</v>
      </c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</row>
    <row r="344" spans="1:23" x14ac:dyDescent="0.3">
      <c r="A344" s="6"/>
      <c r="B344" s="6" t="s">
        <v>332</v>
      </c>
      <c r="C344" s="6"/>
      <c r="D344" s="6"/>
      <c r="E344" s="6"/>
      <c r="F344" s="6"/>
      <c r="G344" s="6"/>
      <c r="H344" s="6"/>
      <c r="I344" s="6"/>
      <c r="J344" s="6"/>
      <c r="K344" s="6">
        <v>-1</v>
      </c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</row>
    <row r="345" spans="1:23" x14ac:dyDescent="0.3">
      <c r="A345" s="6" t="s">
        <v>1652</v>
      </c>
      <c r="B345" s="6" t="s">
        <v>332</v>
      </c>
      <c r="C345" s="6"/>
      <c r="D345" s="6"/>
      <c r="E345" s="6"/>
      <c r="F345" s="6"/>
      <c r="G345" s="6"/>
      <c r="H345" s="6"/>
      <c r="I345" s="6"/>
      <c r="J345" s="6"/>
      <c r="K345" s="6">
        <v>1</v>
      </c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</row>
    <row r="346" spans="1:23" x14ac:dyDescent="0.3">
      <c r="A346" s="6"/>
      <c r="B346" s="6" t="s">
        <v>520</v>
      </c>
      <c r="C346" s="6"/>
      <c r="D346" s="6"/>
      <c r="E346" s="6"/>
      <c r="F346" s="6"/>
      <c r="G346" s="6"/>
      <c r="H346" s="6"/>
      <c r="I346" s="6"/>
      <c r="J346" s="6"/>
      <c r="K346" s="6">
        <v>-1</v>
      </c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</row>
    <row r="347" spans="1:23" x14ac:dyDescent="0.3">
      <c r="A347" s="6"/>
      <c r="B347" s="6" t="s">
        <v>520</v>
      </c>
      <c r="C347" s="6"/>
      <c r="D347" s="6"/>
      <c r="E347" s="6"/>
      <c r="F347" s="6"/>
      <c r="G347" s="6"/>
      <c r="H347" s="6"/>
      <c r="I347" s="6"/>
      <c r="J347" s="6"/>
      <c r="K347" s="6">
        <v>-1</v>
      </c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</row>
    <row r="348" spans="1:23" x14ac:dyDescent="0.3">
      <c r="A348" s="6" t="s">
        <v>4365</v>
      </c>
      <c r="B348" s="6" t="s">
        <v>344</v>
      </c>
      <c r="C348" s="6"/>
      <c r="D348" s="6"/>
      <c r="E348" s="6"/>
      <c r="F348" s="6"/>
      <c r="G348" s="6"/>
      <c r="H348" s="6"/>
      <c r="I348" s="6"/>
      <c r="J348" s="6"/>
      <c r="K348" s="6">
        <v>13</v>
      </c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</row>
    <row r="349" spans="1:23" x14ac:dyDescent="0.3">
      <c r="A349" s="6" t="s">
        <v>3553</v>
      </c>
      <c r="B349" s="6" t="s">
        <v>344</v>
      </c>
      <c r="C349" s="6"/>
      <c r="D349" s="6"/>
      <c r="E349" s="6"/>
      <c r="F349" s="6"/>
      <c r="G349" s="6"/>
      <c r="H349" s="6"/>
      <c r="I349" s="6"/>
      <c r="J349" s="6"/>
      <c r="K349" s="6">
        <v>8</v>
      </c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</row>
    <row r="350" spans="1:23" x14ac:dyDescent="0.3">
      <c r="A350" s="6" t="s">
        <v>1488</v>
      </c>
      <c r="B350" s="6" t="s">
        <v>402</v>
      </c>
      <c r="C350" s="6"/>
      <c r="D350" s="6"/>
      <c r="E350" s="6"/>
      <c r="F350" s="6"/>
      <c r="G350" s="6"/>
      <c r="H350" s="6"/>
      <c r="I350" s="6"/>
      <c r="J350" s="6"/>
      <c r="K350" s="6">
        <v>15</v>
      </c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</row>
    <row r="351" spans="1:23" x14ac:dyDescent="0.3">
      <c r="A351" s="6" t="s">
        <v>1500</v>
      </c>
      <c r="B351" s="6" t="s">
        <v>402</v>
      </c>
      <c r="C351" s="6"/>
      <c r="D351" s="6"/>
      <c r="E351" s="6"/>
      <c r="F351" s="6"/>
      <c r="G351" s="6"/>
      <c r="H351" s="6"/>
      <c r="I351" s="6"/>
      <c r="J351" s="6"/>
      <c r="K351" s="6">
        <v>25</v>
      </c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</row>
    <row r="352" spans="1:23" x14ac:dyDescent="0.3">
      <c r="A352" s="6"/>
      <c r="B352" s="6" t="s">
        <v>412</v>
      </c>
      <c r="C352" s="6"/>
      <c r="D352" s="6"/>
      <c r="E352" s="6"/>
      <c r="F352" s="6"/>
      <c r="G352" s="6"/>
      <c r="H352" s="6"/>
      <c r="I352" s="6"/>
      <c r="J352" s="6"/>
      <c r="K352" s="6">
        <v>-1</v>
      </c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</row>
    <row r="353" spans="1:23" x14ac:dyDescent="0.3">
      <c r="A353" s="6"/>
      <c r="B353" s="6" t="s">
        <v>412</v>
      </c>
      <c r="C353" s="6"/>
      <c r="D353" s="6"/>
      <c r="E353" s="6"/>
      <c r="F353" s="6"/>
      <c r="G353" s="6"/>
      <c r="H353" s="6"/>
      <c r="I353" s="6"/>
      <c r="J353" s="6"/>
      <c r="K353" s="6">
        <v>-1</v>
      </c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</row>
    <row r="354" spans="1:23" x14ac:dyDescent="0.3">
      <c r="A354" s="6"/>
      <c r="B354" s="6" t="s">
        <v>422</v>
      </c>
      <c r="C354" s="6"/>
      <c r="D354" s="6"/>
      <c r="E354" s="6"/>
      <c r="F354" s="6"/>
      <c r="G354" s="6"/>
      <c r="H354" s="6"/>
      <c r="I354" s="6"/>
      <c r="J354" s="6"/>
      <c r="K354" s="6">
        <v>-1</v>
      </c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</row>
    <row r="355" spans="1:23" x14ac:dyDescent="0.3">
      <c r="A355" s="6"/>
      <c r="B355" s="6" t="s">
        <v>422</v>
      </c>
      <c r="C355" s="6"/>
      <c r="D355" s="6"/>
      <c r="E355" s="6"/>
      <c r="F355" s="6"/>
      <c r="G355" s="6"/>
      <c r="H355" s="6"/>
      <c r="I355" s="6"/>
      <c r="J355" s="6"/>
      <c r="K355" s="6">
        <v>-1</v>
      </c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</row>
    <row r="356" spans="1:23" x14ac:dyDescent="0.3">
      <c r="A356" s="6" t="s">
        <v>4792</v>
      </c>
      <c r="B356" s="6" t="s">
        <v>726</v>
      </c>
      <c r="C356" s="6"/>
      <c r="D356" s="6"/>
      <c r="E356" s="6"/>
      <c r="F356" s="6"/>
      <c r="G356" s="6"/>
      <c r="H356" s="6"/>
      <c r="I356" s="6"/>
      <c r="J356" s="6"/>
      <c r="K356" s="6">
        <v>23</v>
      </c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</row>
    <row r="357" spans="1:23" x14ac:dyDescent="0.3">
      <c r="A357" s="6"/>
      <c r="B357" s="6" t="s">
        <v>726</v>
      </c>
      <c r="C357" s="6"/>
      <c r="D357" s="6"/>
      <c r="E357" s="6"/>
      <c r="F357" s="6"/>
      <c r="G357" s="6"/>
      <c r="H357" s="6"/>
      <c r="I357" s="6"/>
      <c r="J357" s="6"/>
      <c r="K357" s="6">
        <v>-1</v>
      </c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</row>
    <row r="358" spans="1:23" x14ac:dyDescent="0.3">
      <c r="A358" s="6"/>
      <c r="B358" s="6" t="s">
        <v>512</v>
      </c>
      <c r="C358" s="6"/>
      <c r="D358" s="6"/>
      <c r="E358" s="6"/>
      <c r="F358" s="6"/>
      <c r="G358" s="6"/>
      <c r="H358" s="6"/>
      <c r="I358" s="6"/>
      <c r="J358" s="6"/>
      <c r="K358" s="6">
        <v>-1</v>
      </c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</row>
    <row r="359" spans="1:23" x14ac:dyDescent="0.3">
      <c r="A359" s="6" t="s">
        <v>1235</v>
      </c>
      <c r="B359" s="6" t="s">
        <v>384</v>
      </c>
      <c r="C359" s="6"/>
      <c r="D359" s="6"/>
      <c r="E359" s="6"/>
      <c r="F359" s="6"/>
      <c r="G359" s="6"/>
      <c r="H359" s="6"/>
      <c r="I359" s="6"/>
      <c r="J359" s="6"/>
      <c r="K359" s="6">
        <v>7</v>
      </c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</row>
    <row r="360" spans="1:23" x14ac:dyDescent="0.3">
      <c r="A360" s="6"/>
      <c r="B360" s="6" t="s">
        <v>328</v>
      </c>
      <c r="C360" s="6"/>
      <c r="D360" s="6"/>
      <c r="E360" s="6"/>
      <c r="F360" s="6"/>
      <c r="G360" s="6"/>
      <c r="H360" s="6"/>
      <c r="I360" s="6"/>
      <c r="J360" s="6"/>
      <c r="K360" s="6">
        <v>-1</v>
      </c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</row>
    <row r="361" spans="1:23" x14ac:dyDescent="0.3">
      <c r="A361" s="6"/>
      <c r="B361" s="6" t="s">
        <v>442</v>
      </c>
      <c r="C361" s="6"/>
      <c r="D361" s="6"/>
      <c r="E361" s="6"/>
      <c r="F361" s="6"/>
      <c r="G361" s="6"/>
      <c r="H361" s="6"/>
      <c r="I361" s="6"/>
      <c r="J361" s="6"/>
      <c r="K361" s="6">
        <v>-1</v>
      </c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</row>
    <row r="362" spans="1:23" x14ac:dyDescent="0.3">
      <c r="A362" s="6" t="s">
        <v>1454</v>
      </c>
      <c r="B362" s="6" t="s">
        <v>372</v>
      </c>
      <c r="C362" s="6"/>
      <c r="D362" s="6"/>
      <c r="E362" s="6"/>
      <c r="F362" s="6"/>
      <c r="G362" s="6"/>
      <c r="H362" s="6"/>
      <c r="I362" s="6"/>
      <c r="J362" s="6"/>
      <c r="K362" s="6">
        <v>37</v>
      </c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</row>
    <row r="363" spans="1:23" x14ac:dyDescent="0.3">
      <c r="A363" s="6"/>
      <c r="B363" s="6" t="s">
        <v>334</v>
      </c>
      <c r="C363" s="6"/>
      <c r="D363" s="6"/>
      <c r="E363" s="6"/>
      <c r="F363" s="6"/>
      <c r="G363" s="6"/>
      <c r="H363" s="6"/>
      <c r="I363" s="6"/>
      <c r="J363" s="6"/>
      <c r="K363" s="6">
        <v>-1</v>
      </c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</row>
    <row r="364" spans="1:23" x14ac:dyDescent="0.3">
      <c r="A364" s="6"/>
      <c r="B364" s="6" t="s">
        <v>378</v>
      </c>
      <c r="C364" s="6"/>
      <c r="D364" s="6"/>
      <c r="E364" s="6"/>
      <c r="F364" s="6"/>
      <c r="G364" s="6"/>
      <c r="H364" s="6"/>
      <c r="I364" s="6"/>
      <c r="J364" s="6"/>
      <c r="K364" s="6">
        <v>-1</v>
      </c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</row>
    <row r="365" spans="1:23" x14ac:dyDescent="0.3">
      <c r="A365" s="6"/>
      <c r="B365" s="6" t="s">
        <v>364</v>
      </c>
      <c r="C365" s="6"/>
      <c r="D365" s="6"/>
      <c r="E365" s="6"/>
      <c r="F365" s="6"/>
      <c r="G365" s="6"/>
      <c r="H365" s="6"/>
      <c r="I365" s="6"/>
      <c r="J365" s="6"/>
      <c r="K365" s="6">
        <v>-1</v>
      </c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</row>
    <row r="366" spans="1:23" x14ac:dyDescent="0.3">
      <c r="A366" s="6" t="s">
        <v>2087</v>
      </c>
      <c r="B366" s="6" t="s">
        <v>664</v>
      </c>
      <c r="C366" s="6"/>
      <c r="D366" s="6"/>
      <c r="E366" s="6"/>
      <c r="F366" s="6"/>
      <c r="G366" s="6"/>
      <c r="H366" s="6"/>
      <c r="I366" s="6"/>
      <c r="J366" s="6"/>
      <c r="K366" s="6">
        <v>27</v>
      </c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</row>
    <row r="367" spans="1:23" x14ac:dyDescent="0.3">
      <c r="A367" s="6"/>
      <c r="B367" s="6" t="s">
        <v>346</v>
      </c>
      <c r="C367" s="6"/>
      <c r="D367" s="6"/>
      <c r="E367" s="6"/>
      <c r="F367" s="6"/>
      <c r="G367" s="6"/>
      <c r="H367" s="6"/>
      <c r="I367" s="6"/>
      <c r="J367" s="6"/>
      <c r="K367" s="6">
        <v>-1</v>
      </c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</row>
    <row r="368" spans="1:23" x14ac:dyDescent="0.3">
      <c r="A368" s="6"/>
      <c r="B368" s="6" t="s">
        <v>444</v>
      </c>
      <c r="C368" s="6"/>
      <c r="D368" s="6"/>
      <c r="E368" s="6"/>
      <c r="F368" s="6"/>
      <c r="G368" s="6"/>
      <c r="H368" s="6"/>
      <c r="I368" s="6"/>
      <c r="J368" s="6"/>
      <c r="K368" s="6">
        <v>-1</v>
      </c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</row>
    <row r="369" spans="1:23" x14ac:dyDescent="0.3">
      <c r="A369" s="6" t="s">
        <v>2362</v>
      </c>
      <c r="B369" s="6" t="s">
        <v>354</v>
      </c>
      <c r="C369" s="6"/>
      <c r="D369" s="6"/>
      <c r="E369" s="6"/>
      <c r="F369" s="6"/>
      <c r="G369" s="6"/>
      <c r="H369" s="6"/>
      <c r="I369" s="6"/>
      <c r="J369" s="6"/>
      <c r="K369" s="6">
        <v>28</v>
      </c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</row>
    <row r="370" spans="1:23" x14ac:dyDescent="0.3">
      <c r="A370" s="6" t="s">
        <v>1263</v>
      </c>
      <c r="B370" s="6" t="s">
        <v>354</v>
      </c>
      <c r="C370" s="6"/>
      <c r="D370" s="6"/>
      <c r="E370" s="6"/>
      <c r="F370" s="6"/>
      <c r="G370" s="6"/>
      <c r="H370" s="6"/>
      <c r="I370" s="6"/>
      <c r="J370" s="6"/>
      <c r="K370" s="6">
        <v>20</v>
      </c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</row>
    <row r="371" spans="1:23" x14ac:dyDescent="0.3">
      <c r="A371" s="6"/>
      <c r="B371" s="6" t="s">
        <v>520</v>
      </c>
      <c r="C371" s="6"/>
      <c r="D371" s="6"/>
      <c r="E371" s="6"/>
      <c r="F371" s="6"/>
      <c r="G371" s="6"/>
      <c r="H371" s="6"/>
      <c r="I371" s="6"/>
      <c r="J371" s="6"/>
      <c r="K371" s="6">
        <v>-1</v>
      </c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</row>
    <row r="372" spans="1:23" x14ac:dyDescent="0.3">
      <c r="A372" s="6"/>
      <c r="B372" s="6" t="s">
        <v>336</v>
      </c>
      <c r="C372" s="6"/>
      <c r="D372" s="6"/>
      <c r="E372" s="6"/>
      <c r="F372" s="6"/>
      <c r="G372" s="6"/>
      <c r="H372" s="6"/>
      <c r="I372" s="6"/>
      <c r="J372" s="6"/>
      <c r="K372" s="6">
        <v>-1</v>
      </c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</row>
    <row r="373" spans="1:23" x14ac:dyDescent="0.3">
      <c r="A373" s="6" t="s">
        <v>2133</v>
      </c>
      <c r="B373" s="6" t="s">
        <v>544</v>
      </c>
      <c r="C373" s="6"/>
      <c r="D373" s="6"/>
      <c r="E373" s="6"/>
      <c r="F373" s="6"/>
      <c r="G373" s="6"/>
      <c r="H373" s="6"/>
      <c r="I373" s="6"/>
      <c r="J373" s="6"/>
      <c r="K373" s="6">
        <v>26</v>
      </c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</row>
    <row r="374" spans="1:23" x14ac:dyDescent="0.3">
      <c r="A374" s="6" t="s">
        <v>3371</v>
      </c>
      <c r="B374" s="6" t="s">
        <v>364</v>
      </c>
      <c r="C374" s="6"/>
      <c r="D374" s="6"/>
      <c r="E374" s="6"/>
      <c r="F374" s="6"/>
      <c r="G374" s="6"/>
      <c r="H374" s="6"/>
      <c r="I374" s="6"/>
      <c r="J374" s="6"/>
      <c r="K374" s="6">
        <v>14</v>
      </c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</row>
    <row r="375" spans="1:23" x14ac:dyDescent="0.3">
      <c r="A375" s="6"/>
      <c r="B375" s="6" t="s">
        <v>670</v>
      </c>
      <c r="C375" s="6"/>
      <c r="D375" s="6"/>
      <c r="E375" s="6"/>
      <c r="F375" s="6"/>
      <c r="G375" s="6"/>
      <c r="H375" s="6"/>
      <c r="I375" s="6"/>
      <c r="J375" s="6"/>
      <c r="K375" s="6">
        <v>-1</v>
      </c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</row>
    <row r="376" spans="1:23" x14ac:dyDescent="0.3">
      <c r="A376" s="6"/>
      <c r="B376" s="6" t="s">
        <v>398</v>
      </c>
      <c r="C376" s="6"/>
      <c r="D376" s="6"/>
      <c r="E376" s="6"/>
      <c r="F376" s="6"/>
      <c r="G376" s="6"/>
      <c r="H376" s="6"/>
      <c r="I376" s="6"/>
      <c r="J376" s="6"/>
      <c r="K376" s="6">
        <v>-1</v>
      </c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</row>
    <row r="377" spans="1:23" x14ac:dyDescent="0.3">
      <c r="A377" s="6" t="s">
        <v>3435</v>
      </c>
      <c r="B377" s="6" t="s">
        <v>334</v>
      </c>
      <c r="C377" s="6"/>
      <c r="D377" s="6"/>
      <c r="E377" s="6"/>
      <c r="F377" s="6"/>
      <c r="G377" s="6"/>
      <c r="H377" s="6"/>
      <c r="I377" s="6"/>
      <c r="J377" s="6"/>
      <c r="K377" s="6"/>
      <c r="L377" s="6">
        <v>17</v>
      </c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</row>
    <row r="378" spans="1:23" x14ac:dyDescent="0.3">
      <c r="A378" s="6"/>
      <c r="B378" s="6" t="s">
        <v>334</v>
      </c>
      <c r="C378" s="6"/>
      <c r="D378" s="6"/>
      <c r="E378" s="6"/>
      <c r="F378" s="6"/>
      <c r="G378" s="6"/>
      <c r="H378" s="6"/>
      <c r="I378" s="6"/>
      <c r="J378" s="6"/>
      <c r="K378" s="6"/>
      <c r="L378" s="6">
        <v>-1</v>
      </c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</row>
    <row r="379" spans="1:23" x14ac:dyDescent="0.3">
      <c r="A379" s="6"/>
      <c r="B379" s="6" t="s">
        <v>334</v>
      </c>
      <c r="C379" s="6"/>
      <c r="D379" s="6"/>
      <c r="E379" s="6"/>
      <c r="F379" s="6"/>
      <c r="G379" s="6"/>
      <c r="H379" s="6"/>
      <c r="I379" s="6"/>
      <c r="J379" s="6"/>
      <c r="K379" s="6"/>
      <c r="L379" s="6">
        <v>-1</v>
      </c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</row>
    <row r="380" spans="1:23" x14ac:dyDescent="0.3">
      <c r="A380" s="6" t="s">
        <v>4768</v>
      </c>
      <c r="B380" s="6" t="s">
        <v>436</v>
      </c>
      <c r="C380" s="6"/>
      <c r="D380" s="6"/>
      <c r="E380" s="6"/>
      <c r="F380" s="6"/>
      <c r="G380" s="6"/>
      <c r="H380" s="6"/>
      <c r="I380" s="6"/>
      <c r="J380" s="6"/>
      <c r="K380" s="6"/>
      <c r="L380" s="6">
        <v>6</v>
      </c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</row>
    <row r="381" spans="1:23" x14ac:dyDescent="0.3">
      <c r="A381" s="6"/>
      <c r="B381" s="6" t="s">
        <v>436</v>
      </c>
      <c r="C381" s="6"/>
      <c r="D381" s="6"/>
      <c r="E381" s="6"/>
      <c r="F381" s="6"/>
      <c r="G381" s="6"/>
      <c r="H381" s="6"/>
      <c r="I381" s="6"/>
      <c r="J381" s="6"/>
      <c r="K381" s="6"/>
      <c r="L381" s="6">
        <v>-1</v>
      </c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</row>
    <row r="382" spans="1:23" x14ac:dyDescent="0.3">
      <c r="A382" s="6"/>
      <c r="B382" s="6" t="s">
        <v>436</v>
      </c>
      <c r="C382" s="6"/>
      <c r="D382" s="6"/>
      <c r="E382" s="6"/>
      <c r="F382" s="6"/>
      <c r="G382" s="6"/>
      <c r="H382" s="6"/>
      <c r="I382" s="6"/>
      <c r="J382" s="6"/>
      <c r="K382" s="6"/>
      <c r="L382" s="6">
        <v>-1</v>
      </c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</row>
    <row r="383" spans="1:23" x14ac:dyDescent="0.3">
      <c r="A383" s="6" t="s">
        <v>4177</v>
      </c>
      <c r="B383" s="6" t="s">
        <v>332</v>
      </c>
      <c r="C383" s="6"/>
      <c r="D383" s="6"/>
      <c r="E383" s="6"/>
      <c r="F383" s="6"/>
      <c r="G383" s="6"/>
      <c r="H383" s="6"/>
      <c r="I383" s="6"/>
      <c r="J383" s="6"/>
      <c r="K383" s="6"/>
      <c r="L383" s="6">
        <v>15</v>
      </c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</row>
    <row r="384" spans="1:23" x14ac:dyDescent="0.3">
      <c r="A384" s="6"/>
      <c r="B384" s="6" t="s">
        <v>332</v>
      </c>
      <c r="C384" s="6"/>
      <c r="D384" s="6"/>
      <c r="E384" s="6"/>
      <c r="F384" s="6"/>
      <c r="G384" s="6"/>
      <c r="H384" s="6"/>
      <c r="I384" s="6"/>
      <c r="J384" s="6"/>
      <c r="K384" s="6"/>
      <c r="L384" s="6">
        <v>-1</v>
      </c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</row>
    <row r="385" spans="1:23" x14ac:dyDescent="0.3">
      <c r="A385" s="6" t="s">
        <v>3015</v>
      </c>
      <c r="B385" s="6" t="s">
        <v>332</v>
      </c>
      <c r="C385" s="6"/>
      <c r="D385" s="6"/>
      <c r="E385" s="6"/>
      <c r="F385" s="6"/>
      <c r="G385" s="6"/>
      <c r="H385" s="6"/>
      <c r="I385" s="6"/>
      <c r="J385" s="6"/>
      <c r="K385" s="6"/>
      <c r="L385" s="6">
        <v>12</v>
      </c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</row>
    <row r="386" spans="1:23" x14ac:dyDescent="0.3">
      <c r="A386" s="6"/>
      <c r="B386" s="6" t="s">
        <v>576</v>
      </c>
      <c r="C386" s="6"/>
      <c r="D386" s="6"/>
      <c r="E386" s="6"/>
      <c r="F386" s="6"/>
      <c r="G386" s="6"/>
      <c r="H386" s="6"/>
      <c r="I386" s="6"/>
      <c r="J386" s="6"/>
      <c r="K386" s="6"/>
      <c r="L386" s="6">
        <v>-1</v>
      </c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</row>
    <row r="387" spans="1:23" x14ac:dyDescent="0.3">
      <c r="A387" s="6"/>
      <c r="B387" s="6" t="s">
        <v>576</v>
      </c>
      <c r="C387" s="6"/>
      <c r="D387" s="6"/>
      <c r="E387" s="6"/>
      <c r="F387" s="6"/>
      <c r="G387" s="6"/>
      <c r="H387" s="6"/>
      <c r="I387" s="6"/>
      <c r="J387" s="6"/>
      <c r="K387" s="6"/>
      <c r="L387" s="6">
        <v>-1</v>
      </c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</row>
    <row r="388" spans="1:23" x14ac:dyDescent="0.3">
      <c r="A388" s="6" t="s">
        <v>3239</v>
      </c>
      <c r="B388" s="6" t="s">
        <v>344</v>
      </c>
      <c r="C388" s="6"/>
      <c r="D388" s="6"/>
      <c r="E388" s="6"/>
      <c r="F388" s="6"/>
      <c r="G388" s="6"/>
      <c r="H388" s="6"/>
      <c r="I388" s="6"/>
      <c r="J388" s="6"/>
      <c r="K388" s="6"/>
      <c r="L388" s="6">
        <v>4</v>
      </c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</row>
    <row r="389" spans="1:23" x14ac:dyDescent="0.3">
      <c r="A389" s="6"/>
      <c r="B389" s="6" t="s">
        <v>344</v>
      </c>
      <c r="C389" s="6"/>
      <c r="D389" s="6"/>
      <c r="E389" s="6"/>
      <c r="F389" s="6"/>
      <c r="G389" s="6"/>
      <c r="H389" s="6"/>
      <c r="I389" s="6"/>
      <c r="J389" s="6"/>
      <c r="K389" s="6"/>
      <c r="L389" s="6">
        <v>-1</v>
      </c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</row>
    <row r="390" spans="1:23" x14ac:dyDescent="0.3">
      <c r="A390" s="6"/>
      <c r="B390" s="6" t="s">
        <v>402</v>
      </c>
      <c r="C390" s="6"/>
      <c r="D390" s="6"/>
      <c r="E390" s="6"/>
      <c r="F390" s="6"/>
      <c r="G390" s="6"/>
      <c r="H390" s="6"/>
      <c r="I390" s="6"/>
      <c r="J390" s="6"/>
      <c r="K390" s="6"/>
      <c r="L390" s="6">
        <v>-1</v>
      </c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</row>
    <row r="391" spans="1:23" x14ac:dyDescent="0.3">
      <c r="A391" s="6"/>
      <c r="B391" s="6" t="s">
        <v>402</v>
      </c>
      <c r="C391" s="6"/>
      <c r="D391" s="6"/>
      <c r="E391" s="6"/>
      <c r="F391" s="6"/>
      <c r="G391" s="6"/>
      <c r="H391" s="6"/>
      <c r="I391" s="6"/>
      <c r="J391" s="6"/>
      <c r="K391" s="6"/>
      <c r="L391" s="6">
        <v>-1</v>
      </c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</row>
    <row r="392" spans="1:23" x14ac:dyDescent="0.3">
      <c r="A392" s="6" t="s">
        <v>2978</v>
      </c>
      <c r="B392" s="6" t="s">
        <v>330</v>
      </c>
      <c r="C392" s="6"/>
      <c r="D392" s="6"/>
      <c r="E392" s="6"/>
      <c r="F392" s="6"/>
      <c r="G392" s="6"/>
      <c r="H392" s="6"/>
      <c r="I392" s="6"/>
      <c r="J392" s="6"/>
      <c r="K392" s="6"/>
      <c r="L392" s="6">
        <v>19</v>
      </c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</row>
    <row r="393" spans="1:23" x14ac:dyDescent="0.3">
      <c r="A393" s="6"/>
      <c r="B393" s="6" t="s">
        <v>330</v>
      </c>
      <c r="C393" s="6"/>
      <c r="D393" s="6"/>
      <c r="E393" s="6"/>
      <c r="F393" s="6"/>
      <c r="G393" s="6"/>
      <c r="H393" s="6"/>
      <c r="I393" s="6"/>
      <c r="J393" s="6"/>
      <c r="K393" s="6"/>
      <c r="L393" s="6">
        <v>-1</v>
      </c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</row>
    <row r="394" spans="1:23" x14ac:dyDescent="0.3">
      <c r="A394" s="6"/>
      <c r="B394" s="6" t="s">
        <v>496</v>
      </c>
      <c r="C394" s="6"/>
      <c r="D394" s="6"/>
      <c r="E394" s="6"/>
      <c r="F394" s="6"/>
      <c r="G394" s="6"/>
      <c r="H394" s="6"/>
      <c r="I394" s="6"/>
      <c r="J394" s="6"/>
      <c r="K394" s="6"/>
      <c r="L394" s="6">
        <v>-1</v>
      </c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</row>
    <row r="395" spans="1:23" x14ac:dyDescent="0.3">
      <c r="A395" s="6"/>
      <c r="B395" s="6" t="s">
        <v>512</v>
      </c>
      <c r="C395" s="6"/>
      <c r="D395" s="6"/>
      <c r="E395" s="6"/>
      <c r="F395" s="6"/>
      <c r="G395" s="6"/>
      <c r="H395" s="6"/>
      <c r="I395" s="6"/>
      <c r="J395" s="6"/>
      <c r="K395" s="6"/>
      <c r="L395" s="6">
        <v>-1</v>
      </c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</row>
    <row r="396" spans="1:23" x14ac:dyDescent="0.3">
      <c r="A396" s="6" t="s">
        <v>2565</v>
      </c>
      <c r="B396" s="6" t="s">
        <v>384</v>
      </c>
      <c r="C396" s="6"/>
      <c r="D396" s="6"/>
      <c r="E396" s="6"/>
      <c r="F396" s="6"/>
      <c r="G396" s="6"/>
      <c r="H396" s="6"/>
      <c r="I396" s="6"/>
      <c r="J396" s="6"/>
      <c r="K396" s="6"/>
      <c r="L396" s="6">
        <v>18</v>
      </c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</row>
    <row r="397" spans="1:23" x14ac:dyDescent="0.3">
      <c r="A397" s="6"/>
      <c r="B397" s="6" t="s">
        <v>448</v>
      </c>
      <c r="C397" s="6"/>
      <c r="D397" s="6"/>
      <c r="E397" s="6"/>
      <c r="F397" s="6"/>
      <c r="G397" s="6"/>
      <c r="H397" s="6"/>
      <c r="I397" s="6"/>
      <c r="J397" s="6"/>
      <c r="K397" s="6"/>
      <c r="L397" s="6">
        <v>-1</v>
      </c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</row>
    <row r="398" spans="1:23" x14ac:dyDescent="0.3">
      <c r="A398" s="6"/>
      <c r="B398" s="6" t="s">
        <v>604</v>
      </c>
      <c r="C398" s="6"/>
      <c r="D398" s="6"/>
      <c r="E398" s="6"/>
      <c r="F398" s="6"/>
      <c r="G398" s="6"/>
      <c r="H398" s="6"/>
      <c r="I398" s="6"/>
      <c r="J398" s="6"/>
      <c r="K398" s="6"/>
      <c r="L398" s="6">
        <v>-1</v>
      </c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</row>
    <row r="399" spans="1:23" x14ac:dyDescent="0.3">
      <c r="A399" s="6"/>
      <c r="B399" s="6" t="s">
        <v>394</v>
      </c>
      <c r="C399" s="6"/>
      <c r="D399" s="6"/>
      <c r="E399" s="6"/>
      <c r="F399" s="6"/>
      <c r="G399" s="6"/>
      <c r="H399" s="6"/>
      <c r="I399" s="6"/>
      <c r="J399" s="6"/>
      <c r="K399" s="6"/>
      <c r="L399" s="6">
        <v>-1</v>
      </c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</row>
    <row r="400" spans="1:23" x14ac:dyDescent="0.3">
      <c r="A400" s="6"/>
      <c r="B400" s="6" t="s">
        <v>404</v>
      </c>
      <c r="C400" s="6"/>
      <c r="D400" s="6"/>
      <c r="E400" s="6"/>
      <c r="F400" s="6"/>
      <c r="G400" s="6"/>
      <c r="H400" s="6"/>
      <c r="I400" s="6"/>
      <c r="J400" s="6"/>
      <c r="K400" s="6"/>
      <c r="L400" s="6">
        <v>-1</v>
      </c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</row>
    <row r="401" spans="1:23" x14ac:dyDescent="0.3">
      <c r="A401" s="6" t="s">
        <v>4605</v>
      </c>
      <c r="B401" s="6" t="s">
        <v>724</v>
      </c>
      <c r="C401" s="6"/>
      <c r="D401" s="6"/>
      <c r="E401" s="6"/>
      <c r="F401" s="6"/>
      <c r="G401" s="6"/>
      <c r="H401" s="6"/>
      <c r="I401" s="6"/>
      <c r="J401" s="6"/>
      <c r="K401" s="6"/>
      <c r="L401" s="6">
        <v>2</v>
      </c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</row>
    <row r="402" spans="1:23" x14ac:dyDescent="0.3">
      <c r="A402" s="6"/>
      <c r="B402" s="6" t="s">
        <v>348</v>
      </c>
      <c r="C402" s="6"/>
      <c r="D402" s="6"/>
      <c r="E402" s="6"/>
      <c r="F402" s="6"/>
      <c r="G402" s="6"/>
      <c r="H402" s="6"/>
      <c r="I402" s="6"/>
      <c r="J402" s="6"/>
      <c r="K402" s="6"/>
      <c r="L402" s="6">
        <v>-1</v>
      </c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</row>
    <row r="403" spans="1:23" x14ac:dyDescent="0.3">
      <c r="A403" s="6"/>
      <c r="B403" s="6" t="s">
        <v>354</v>
      </c>
      <c r="C403" s="6"/>
      <c r="D403" s="6"/>
      <c r="E403" s="6"/>
      <c r="F403" s="6"/>
      <c r="G403" s="6"/>
      <c r="H403" s="6"/>
      <c r="I403" s="6"/>
      <c r="J403" s="6"/>
      <c r="K403" s="6"/>
      <c r="L403" s="6">
        <v>-1</v>
      </c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</row>
    <row r="404" spans="1:23" x14ac:dyDescent="0.3">
      <c r="A404" s="6" t="s">
        <v>2375</v>
      </c>
      <c r="B404" s="6" t="s">
        <v>354</v>
      </c>
      <c r="C404" s="6"/>
      <c r="D404" s="6"/>
      <c r="E404" s="6"/>
      <c r="F404" s="6"/>
      <c r="G404" s="6"/>
      <c r="H404" s="6"/>
      <c r="I404" s="6"/>
      <c r="J404" s="6"/>
      <c r="K404" s="6"/>
      <c r="L404" s="6">
        <v>30</v>
      </c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</row>
    <row r="405" spans="1:23" x14ac:dyDescent="0.3">
      <c r="A405" s="6" t="s">
        <v>3816</v>
      </c>
      <c r="B405" s="6" t="s">
        <v>340</v>
      </c>
      <c r="C405" s="6"/>
      <c r="D405" s="6"/>
      <c r="E405" s="6"/>
      <c r="F405" s="6"/>
      <c r="G405" s="6"/>
      <c r="H405" s="6"/>
      <c r="I405" s="6"/>
      <c r="J405" s="6"/>
      <c r="K405" s="6"/>
      <c r="L405" s="6">
        <v>34</v>
      </c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</row>
    <row r="406" spans="1:23" x14ac:dyDescent="0.3">
      <c r="A406" s="6" t="s">
        <v>1617</v>
      </c>
      <c r="B406" s="6" t="s">
        <v>336</v>
      </c>
      <c r="C406" s="6"/>
      <c r="D406" s="6"/>
      <c r="E406" s="6"/>
      <c r="F406" s="6"/>
      <c r="G406" s="6"/>
      <c r="H406" s="6"/>
      <c r="I406" s="6"/>
      <c r="J406" s="6"/>
      <c r="K406" s="6"/>
      <c r="L406" s="6">
        <v>33</v>
      </c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</row>
    <row r="407" spans="1:23" x14ac:dyDescent="0.3">
      <c r="A407" s="6" t="s">
        <v>2588</v>
      </c>
      <c r="B407" s="6" t="s">
        <v>384</v>
      </c>
      <c r="C407" s="6"/>
      <c r="D407" s="6"/>
      <c r="E407" s="6"/>
      <c r="F407" s="6"/>
      <c r="G407" s="6"/>
      <c r="H407" s="6"/>
      <c r="I407" s="6"/>
      <c r="J407" s="6"/>
      <c r="K407" s="6"/>
      <c r="L407" s="6">
        <v>29</v>
      </c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</row>
    <row r="408" spans="1:23" x14ac:dyDescent="0.3">
      <c r="A408" s="6" t="s">
        <v>4226</v>
      </c>
      <c r="B408" s="6" t="s">
        <v>328</v>
      </c>
      <c r="C408" s="6"/>
      <c r="D408" s="6"/>
      <c r="E408" s="6"/>
      <c r="F408" s="6"/>
      <c r="G408" s="6"/>
      <c r="H408" s="6"/>
      <c r="I408" s="6"/>
      <c r="J408" s="6"/>
      <c r="K408" s="6"/>
      <c r="L408" s="6">
        <v>36</v>
      </c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</row>
    <row r="409" spans="1:23" x14ac:dyDescent="0.3">
      <c r="A409" s="6"/>
      <c r="B409" s="6" t="s">
        <v>604</v>
      </c>
      <c r="C409" s="6"/>
      <c r="D409" s="6"/>
      <c r="E409" s="6"/>
      <c r="F409" s="6"/>
      <c r="G409" s="6"/>
      <c r="H409" s="6"/>
      <c r="I409" s="6"/>
      <c r="J409" s="6"/>
      <c r="K409" s="6"/>
      <c r="L409" s="6">
        <v>-1</v>
      </c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</row>
    <row r="410" spans="1:23" x14ac:dyDescent="0.3">
      <c r="A410" s="6"/>
      <c r="B410" s="6" t="s">
        <v>394</v>
      </c>
      <c r="C410" s="6"/>
      <c r="D410" s="6"/>
      <c r="E410" s="6"/>
      <c r="F410" s="6"/>
      <c r="G410" s="6"/>
      <c r="H410" s="6"/>
      <c r="I410" s="6"/>
      <c r="J410" s="6"/>
      <c r="K410" s="6"/>
      <c r="L410" s="6">
        <v>-1</v>
      </c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</row>
    <row r="411" spans="1:23" x14ac:dyDescent="0.3">
      <c r="A411" s="6"/>
      <c r="B411" s="6" t="s">
        <v>372</v>
      </c>
      <c r="C411" s="6"/>
      <c r="D411" s="6"/>
      <c r="E411" s="6"/>
      <c r="F411" s="6"/>
      <c r="G411" s="6"/>
      <c r="H411" s="6"/>
      <c r="I411" s="6"/>
      <c r="J411" s="6"/>
      <c r="K411" s="6"/>
      <c r="L411" s="6">
        <v>-1</v>
      </c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</row>
    <row r="412" spans="1:23" x14ac:dyDescent="0.3">
      <c r="A412" s="6"/>
      <c r="B412" s="6" t="s">
        <v>394</v>
      </c>
      <c r="C412" s="6"/>
      <c r="D412" s="6"/>
      <c r="E412" s="6"/>
      <c r="F412" s="6"/>
      <c r="G412" s="6"/>
      <c r="H412" s="6"/>
      <c r="I412" s="6"/>
      <c r="J412" s="6"/>
      <c r="K412" s="6"/>
      <c r="L412" s="6">
        <v>-1</v>
      </c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</row>
    <row r="413" spans="1:23" x14ac:dyDescent="0.3">
      <c r="A413" s="6" t="s">
        <v>3931</v>
      </c>
      <c r="B413" s="6" t="s">
        <v>354</v>
      </c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>
        <v>1001</v>
      </c>
      <c r="N413" s="6"/>
      <c r="O413" s="6"/>
      <c r="P413" s="6"/>
      <c r="Q413" s="6"/>
      <c r="R413" s="6"/>
      <c r="S413" s="6"/>
      <c r="T413" s="6"/>
      <c r="U413" s="6"/>
      <c r="V413" s="6"/>
      <c r="W413" s="6"/>
    </row>
    <row r="414" spans="1:23" x14ac:dyDescent="0.3">
      <c r="A414" s="6"/>
      <c r="B414" s="6" t="s">
        <v>354</v>
      </c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>
        <v>-1</v>
      </c>
      <c r="N414" s="6"/>
      <c r="O414" s="6"/>
      <c r="P414" s="6"/>
      <c r="Q414" s="6"/>
      <c r="R414" s="6"/>
      <c r="S414" s="6"/>
      <c r="T414" s="6"/>
      <c r="U414" s="6"/>
      <c r="V414" s="6"/>
      <c r="W414" s="6"/>
    </row>
    <row r="415" spans="1:23" x14ac:dyDescent="0.3">
      <c r="A415" s="6" t="s">
        <v>3652</v>
      </c>
      <c r="B415" s="6" t="s">
        <v>354</v>
      </c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>
        <v>12</v>
      </c>
      <c r="N415" s="6"/>
      <c r="O415" s="6"/>
      <c r="P415" s="6"/>
      <c r="Q415" s="6"/>
      <c r="R415" s="6"/>
      <c r="S415" s="6"/>
      <c r="T415" s="6"/>
      <c r="U415" s="6"/>
      <c r="V415" s="6"/>
      <c r="W415" s="6"/>
    </row>
    <row r="416" spans="1:23" x14ac:dyDescent="0.3">
      <c r="A416" s="6"/>
      <c r="B416" s="6" t="s">
        <v>512</v>
      </c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>
        <v>-1</v>
      </c>
      <c r="N416" s="6"/>
      <c r="O416" s="6"/>
      <c r="P416" s="6"/>
      <c r="Q416" s="6"/>
      <c r="R416" s="6"/>
      <c r="S416" s="6"/>
      <c r="T416" s="6"/>
      <c r="U416" s="6"/>
      <c r="V416" s="6"/>
      <c r="W416" s="6"/>
    </row>
    <row r="417" spans="1:23" x14ac:dyDescent="0.3">
      <c r="A417" s="6" t="s">
        <v>1708</v>
      </c>
      <c r="B417" s="6" t="s">
        <v>512</v>
      </c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>
        <v>9</v>
      </c>
      <c r="N417" s="6"/>
      <c r="O417" s="6"/>
      <c r="P417" s="6"/>
      <c r="Q417" s="6"/>
      <c r="R417" s="6"/>
      <c r="S417" s="6"/>
      <c r="T417" s="6"/>
      <c r="U417" s="6"/>
      <c r="V417" s="6"/>
      <c r="W417" s="6"/>
    </row>
    <row r="418" spans="1:23" x14ac:dyDescent="0.3">
      <c r="A418" s="6"/>
      <c r="B418" s="6" t="s">
        <v>512</v>
      </c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>
        <v>-1</v>
      </c>
      <c r="N418" s="6"/>
      <c r="O418" s="6"/>
      <c r="P418" s="6"/>
      <c r="Q418" s="6"/>
      <c r="R418" s="6"/>
      <c r="S418" s="6"/>
      <c r="T418" s="6"/>
      <c r="U418" s="6"/>
      <c r="V418" s="6"/>
      <c r="W418" s="6"/>
    </row>
    <row r="419" spans="1:23" x14ac:dyDescent="0.3">
      <c r="A419" s="6" t="s">
        <v>4724</v>
      </c>
      <c r="B419" s="6" t="s">
        <v>328</v>
      </c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>
        <v>75</v>
      </c>
      <c r="N419" s="6"/>
      <c r="O419" s="6"/>
      <c r="P419" s="6"/>
      <c r="Q419" s="6"/>
      <c r="R419" s="6"/>
      <c r="S419" s="6"/>
      <c r="T419" s="6"/>
      <c r="U419" s="6"/>
      <c r="V419" s="6"/>
      <c r="W419" s="6"/>
    </row>
    <row r="420" spans="1:23" x14ac:dyDescent="0.3">
      <c r="A420" s="6" t="s">
        <v>1403</v>
      </c>
      <c r="B420" s="6" t="s">
        <v>328</v>
      </c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>
        <v>71</v>
      </c>
      <c r="N420" s="6"/>
      <c r="O420" s="6"/>
      <c r="P420" s="6"/>
      <c r="Q420" s="6"/>
      <c r="R420" s="6"/>
      <c r="S420" s="6"/>
      <c r="T420" s="6"/>
      <c r="U420" s="6"/>
      <c r="V420" s="6"/>
      <c r="W420" s="6"/>
    </row>
    <row r="421" spans="1:23" x14ac:dyDescent="0.3">
      <c r="A421" s="6"/>
      <c r="B421" s="6" t="s">
        <v>328</v>
      </c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>
        <v>-1</v>
      </c>
      <c r="N421" s="6"/>
      <c r="O421" s="6"/>
      <c r="P421" s="6"/>
      <c r="Q421" s="6"/>
      <c r="R421" s="6"/>
      <c r="S421" s="6"/>
      <c r="T421" s="6"/>
      <c r="U421" s="6"/>
      <c r="V421" s="6"/>
      <c r="W421" s="6"/>
    </row>
    <row r="422" spans="1:23" x14ac:dyDescent="0.3">
      <c r="A422" s="6"/>
      <c r="B422" s="6" t="s">
        <v>400</v>
      </c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>
        <v>-1</v>
      </c>
      <c r="N422" s="6"/>
      <c r="O422" s="6"/>
      <c r="P422" s="6"/>
      <c r="Q422" s="6"/>
      <c r="R422" s="6"/>
      <c r="S422" s="6"/>
      <c r="T422" s="6"/>
      <c r="U422" s="6"/>
      <c r="V422" s="6"/>
      <c r="W422" s="6"/>
    </row>
    <row r="423" spans="1:23" x14ac:dyDescent="0.3">
      <c r="A423" s="6" t="s">
        <v>4242</v>
      </c>
      <c r="B423" s="6" t="s">
        <v>400</v>
      </c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>
        <v>52</v>
      </c>
      <c r="N423" s="6"/>
      <c r="O423" s="6"/>
      <c r="P423" s="6"/>
      <c r="Q423" s="6"/>
      <c r="R423" s="6"/>
      <c r="S423" s="6"/>
      <c r="T423" s="6"/>
      <c r="U423" s="6"/>
      <c r="V423" s="6"/>
      <c r="W423" s="6"/>
    </row>
    <row r="424" spans="1:23" x14ac:dyDescent="0.3">
      <c r="A424" s="6"/>
      <c r="B424" s="6" t="s">
        <v>400</v>
      </c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>
        <v>-1</v>
      </c>
      <c r="N424" s="6"/>
      <c r="O424" s="6"/>
      <c r="P424" s="6"/>
      <c r="Q424" s="6"/>
      <c r="R424" s="6"/>
      <c r="S424" s="6"/>
      <c r="T424" s="6"/>
      <c r="U424" s="6"/>
      <c r="V424" s="6"/>
      <c r="W424" s="6"/>
    </row>
    <row r="425" spans="1:23" x14ac:dyDescent="0.3">
      <c r="A425" s="6"/>
      <c r="B425" s="6" t="s">
        <v>576</v>
      </c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>
        <v>-1</v>
      </c>
      <c r="N425" s="6"/>
      <c r="O425" s="6"/>
      <c r="P425" s="6"/>
      <c r="Q425" s="6"/>
      <c r="R425" s="6"/>
      <c r="S425" s="6"/>
      <c r="T425" s="6"/>
      <c r="U425" s="6"/>
      <c r="V425" s="6"/>
      <c r="W425" s="6"/>
    </row>
    <row r="426" spans="1:23" x14ac:dyDescent="0.3">
      <c r="A426" s="6"/>
      <c r="B426" s="6" t="s">
        <v>576</v>
      </c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>
        <v>-1</v>
      </c>
      <c r="N426" s="6"/>
      <c r="O426" s="6"/>
      <c r="P426" s="6"/>
      <c r="Q426" s="6"/>
      <c r="R426" s="6"/>
      <c r="S426" s="6"/>
      <c r="T426" s="6"/>
      <c r="U426" s="6"/>
      <c r="V426" s="6"/>
      <c r="W426" s="6"/>
    </row>
    <row r="427" spans="1:23" x14ac:dyDescent="0.3">
      <c r="A427" s="6"/>
      <c r="B427" s="6" t="s">
        <v>576</v>
      </c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>
        <v>-1</v>
      </c>
      <c r="N427" s="6"/>
      <c r="O427" s="6"/>
      <c r="P427" s="6"/>
      <c r="Q427" s="6"/>
      <c r="R427" s="6"/>
      <c r="S427" s="6"/>
      <c r="T427" s="6"/>
      <c r="U427" s="6"/>
      <c r="V427" s="6"/>
      <c r="W427" s="6"/>
    </row>
    <row r="428" spans="1:23" x14ac:dyDescent="0.3">
      <c r="A428" s="6"/>
      <c r="B428" s="6" t="s">
        <v>344</v>
      </c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>
        <v>-1</v>
      </c>
      <c r="N428" s="6"/>
      <c r="O428" s="6"/>
      <c r="P428" s="6"/>
      <c r="Q428" s="6"/>
      <c r="R428" s="6"/>
      <c r="S428" s="6"/>
      <c r="T428" s="6"/>
      <c r="U428" s="6"/>
      <c r="V428" s="6"/>
      <c r="W428" s="6"/>
    </row>
    <row r="429" spans="1:23" x14ac:dyDescent="0.3">
      <c r="A429" s="6"/>
      <c r="B429" s="6" t="s">
        <v>344</v>
      </c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>
        <v>-1</v>
      </c>
      <c r="N429" s="6"/>
      <c r="O429" s="6"/>
      <c r="P429" s="6"/>
      <c r="Q429" s="6"/>
      <c r="R429" s="6"/>
      <c r="S429" s="6"/>
      <c r="T429" s="6"/>
      <c r="U429" s="6"/>
      <c r="V429" s="6"/>
      <c r="W429" s="6"/>
    </row>
    <row r="430" spans="1:23" x14ac:dyDescent="0.3">
      <c r="A430" s="6"/>
      <c r="B430" s="6" t="s">
        <v>344</v>
      </c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>
        <v>-1</v>
      </c>
      <c r="N430" s="6"/>
      <c r="O430" s="6"/>
      <c r="P430" s="6"/>
      <c r="Q430" s="6"/>
      <c r="R430" s="6"/>
      <c r="S430" s="6"/>
      <c r="T430" s="6"/>
      <c r="U430" s="6"/>
      <c r="V430" s="6"/>
      <c r="W430" s="6"/>
    </row>
    <row r="431" spans="1:23" x14ac:dyDescent="0.3">
      <c r="A431" s="6"/>
      <c r="B431" s="6" t="s">
        <v>334</v>
      </c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>
        <v>-1</v>
      </c>
      <c r="N431" s="6"/>
      <c r="O431" s="6"/>
      <c r="P431" s="6"/>
      <c r="Q431" s="6"/>
      <c r="R431" s="6"/>
      <c r="S431" s="6"/>
      <c r="T431" s="6"/>
      <c r="U431" s="6"/>
      <c r="V431" s="6"/>
      <c r="W431" s="6"/>
    </row>
    <row r="432" spans="1:23" x14ac:dyDescent="0.3">
      <c r="A432" s="6"/>
      <c r="B432" s="6" t="s">
        <v>334</v>
      </c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>
        <v>-1</v>
      </c>
      <c r="N432" s="6"/>
      <c r="O432" s="6"/>
      <c r="P432" s="6"/>
      <c r="Q432" s="6"/>
      <c r="R432" s="6"/>
      <c r="S432" s="6"/>
      <c r="T432" s="6"/>
      <c r="U432" s="6"/>
      <c r="V432" s="6"/>
      <c r="W432" s="6"/>
    </row>
    <row r="433" spans="1:23" x14ac:dyDescent="0.3">
      <c r="A433" s="6"/>
      <c r="B433" s="6" t="s">
        <v>334</v>
      </c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>
        <v>-1</v>
      </c>
      <c r="N433" s="6"/>
      <c r="O433" s="6"/>
      <c r="P433" s="6"/>
      <c r="Q433" s="6"/>
      <c r="R433" s="6"/>
      <c r="S433" s="6"/>
      <c r="T433" s="6"/>
      <c r="U433" s="6"/>
      <c r="V433" s="6"/>
      <c r="W433" s="6"/>
    </row>
    <row r="434" spans="1:23" x14ac:dyDescent="0.3">
      <c r="A434" s="6"/>
      <c r="B434" s="6" t="s">
        <v>402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>
        <v>-1</v>
      </c>
      <c r="N434" s="6"/>
      <c r="O434" s="6"/>
      <c r="P434" s="6"/>
      <c r="Q434" s="6"/>
      <c r="R434" s="6"/>
      <c r="S434" s="6"/>
      <c r="T434" s="6"/>
      <c r="U434" s="6"/>
      <c r="V434" s="6"/>
      <c r="W434" s="6"/>
    </row>
    <row r="435" spans="1:23" x14ac:dyDescent="0.3">
      <c r="A435" s="6"/>
      <c r="B435" s="6" t="s">
        <v>402</v>
      </c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>
        <v>-1</v>
      </c>
      <c r="N435" s="6"/>
      <c r="O435" s="6"/>
      <c r="P435" s="6"/>
      <c r="Q435" s="6"/>
      <c r="R435" s="6"/>
      <c r="S435" s="6"/>
      <c r="T435" s="6"/>
      <c r="U435" s="6"/>
      <c r="V435" s="6"/>
      <c r="W435" s="6"/>
    </row>
    <row r="436" spans="1:23" x14ac:dyDescent="0.3">
      <c r="A436" s="6"/>
      <c r="B436" s="6" t="s">
        <v>402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>
        <v>-1</v>
      </c>
      <c r="N436" s="6"/>
      <c r="O436" s="6"/>
      <c r="P436" s="6"/>
      <c r="Q436" s="6"/>
      <c r="R436" s="6"/>
      <c r="S436" s="6"/>
      <c r="T436" s="6"/>
      <c r="U436" s="6"/>
      <c r="V436" s="6"/>
      <c r="W436" s="6"/>
    </row>
    <row r="437" spans="1:23" x14ac:dyDescent="0.3">
      <c r="A437" s="6"/>
      <c r="B437" s="6" t="s">
        <v>428</v>
      </c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>
        <v>-1</v>
      </c>
      <c r="N437" s="6"/>
      <c r="O437" s="6"/>
      <c r="P437" s="6"/>
      <c r="Q437" s="6"/>
      <c r="R437" s="6"/>
      <c r="S437" s="6"/>
      <c r="T437" s="6"/>
      <c r="U437" s="6"/>
      <c r="V437" s="6"/>
      <c r="W437" s="6"/>
    </row>
    <row r="438" spans="1:23" x14ac:dyDescent="0.3">
      <c r="A438" s="6" t="s">
        <v>1751</v>
      </c>
      <c r="B438" s="6" t="s">
        <v>428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>
        <v>50</v>
      </c>
      <c r="N438" s="6"/>
      <c r="O438" s="6"/>
      <c r="P438" s="6"/>
      <c r="Q438" s="6"/>
      <c r="R438" s="6"/>
      <c r="S438" s="6"/>
      <c r="T438" s="6"/>
      <c r="U438" s="6"/>
      <c r="V438" s="6"/>
      <c r="W438" s="6"/>
    </row>
    <row r="439" spans="1:23" x14ac:dyDescent="0.3">
      <c r="A439" s="6"/>
      <c r="B439" s="6" t="s">
        <v>428</v>
      </c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>
        <v>-1</v>
      </c>
      <c r="N439" s="6"/>
      <c r="O439" s="6"/>
      <c r="P439" s="6"/>
      <c r="Q439" s="6"/>
      <c r="R439" s="6"/>
      <c r="S439" s="6"/>
      <c r="T439" s="6"/>
      <c r="U439" s="6"/>
      <c r="V439" s="6"/>
      <c r="W439" s="6"/>
    </row>
    <row r="440" spans="1:23" x14ac:dyDescent="0.3">
      <c r="A440" s="6" t="s">
        <v>1709</v>
      </c>
      <c r="B440" s="6" t="s">
        <v>436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>
        <v>14</v>
      </c>
      <c r="N440" s="6"/>
      <c r="O440" s="6"/>
      <c r="P440" s="6"/>
      <c r="Q440" s="6"/>
      <c r="R440" s="6"/>
      <c r="S440" s="6"/>
      <c r="T440" s="6"/>
      <c r="U440" s="6"/>
      <c r="V440" s="6"/>
      <c r="W440" s="6"/>
    </row>
    <row r="441" spans="1:23" x14ac:dyDescent="0.3">
      <c r="A441" s="6"/>
      <c r="B441" s="6" t="s">
        <v>436</v>
      </c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>
        <v>-1</v>
      </c>
      <c r="N441" s="6"/>
      <c r="O441" s="6"/>
      <c r="P441" s="6"/>
      <c r="Q441" s="6"/>
      <c r="R441" s="6"/>
      <c r="S441" s="6"/>
      <c r="T441" s="6"/>
      <c r="U441" s="6"/>
      <c r="V441" s="6"/>
      <c r="W441" s="6"/>
    </row>
    <row r="442" spans="1:23" x14ac:dyDescent="0.3">
      <c r="A442" s="6" t="s">
        <v>3527</v>
      </c>
      <c r="B442" s="6" t="s">
        <v>436</v>
      </c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>
        <v>3</v>
      </c>
      <c r="N442" s="6"/>
      <c r="O442" s="6"/>
      <c r="P442" s="6"/>
      <c r="Q442" s="6"/>
      <c r="R442" s="6"/>
      <c r="S442" s="6"/>
      <c r="T442" s="6"/>
      <c r="U442" s="6"/>
      <c r="V442" s="6"/>
      <c r="W442" s="6"/>
    </row>
    <row r="443" spans="1:23" x14ac:dyDescent="0.3">
      <c r="A443" s="6"/>
      <c r="B443" s="6" t="s">
        <v>378</v>
      </c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>
        <v>-1</v>
      </c>
      <c r="N443" s="6"/>
      <c r="O443" s="6"/>
      <c r="P443" s="6"/>
      <c r="Q443" s="6"/>
      <c r="R443" s="6"/>
      <c r="S443" s="6"/>
      <c r="T443" s="6"/>
      <c r="U443" s="6"/>
      <c r="V443" s="6"/>
      <c r="W443" s="6"/>
    </row>
    <row r="444" spans="1:23" x14ac:dyDescent="0.3">
      <c r="A444" s="6"/>
      <c r="B444" s="6" t="s">
        <v>378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>
        <v>-1</v>
      </c>
      <c r="N444" s="6"/>
      <c r="O444" s="6"/>
      <c r="P444" s="6"/>
      <c r="Q444" s="6"/>
      <c r="R444" s="6"/>
      <c r="S444" s="6"/>
      <c r="T444" s="6"/>
      <c r="U444" s="6"/>
      <c r="V444" s="6"/>
      <c r="W444" s="6"/>
    </row>
    <row r="445" spans="1:23" x14ac:dyDescent="0.3">
      <c r="A445" s="6"/>
      <c r="B445" s="6" t="s">
        <v>378</v>
      </c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>
        <v>-1</v>
      </c>
      <c r="N445" s="6"/>
      <c r="O445" s="6"/>
      <c r="P445" s="6"/>
      <c r="Q445" s="6"/>
      <c r="R445" s="6"/>
      <c r="S445" s="6"/>
      <c r="T445" s="6"/>
      <c r="U445" s="6"/>
      <c r="V445" s="6"/>
      <c r="W445" s="6"/>
    </row>
    <row r="446" spans="1:23" x14ac:dyDescent="0.3">
      <c r="A446" s="6"/>
      <c r="B446" s="6" t="s">
        <v>392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>
        <v>-1</v>
      </c>
      <c r="N446" s="6"/>
      <c r="O446" s="6"/>
      <c r="P446" s="6"/>
      <c r="Q446" s="6"/>
      <c r="R446" s="6"/>
      <c r="S446" s="6"/>
      <c r="T446" s="6"/>
      <c r="U446" s="6"/>
      <c r="V446" s="6"/>
      <c r="W446" s="6"/>
    </row>
    <row r="447" spans="1:23" x14ac:dyDescent="0.3">
      <c r="A447" s="6"/>
      <c r="B447" s="6" t="s">
        <v>392</v>
      </c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>
        <v>-1</v>
      </c>
      <c r="N447" s="6"/>
      <c r="O447" s="6"/>
      <c r="P447" s="6"/>
      <c r="Q447" s="6"/>
      <c r="R447" s="6"/>
      <c r="S447" s="6"/>
      <c r="T447" s="6"/>
      <c r="U447" s="6"/>
      <c r="V447" s="6"/>
      <c r="W447" s="6"/>
    </row>
    <row r="448" spans="1:23" x14ac:dyDescent="0.3">
      <c r="A448" s="6"/>
      <c r="B448" s="6" t="s">
        <v>392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>
        <v>-1</v>
      </c>
      <c r="N448" s="6"/>
      <c r="O448" s="6"/>
      <c r="P448" s="6"/>
      <c r="Q448" s="6"/>
      <c r="R448" s="6"/>
      <c r="S448" s="6"/>
      <c r="T448" s="6"/>
      <c r="U448" s="6"/>
      <c r="V448" s="6"/>
      <c r="W448" s="6"/>
    </row>
    <row r="449" spans="1:23" x14ac:dyDescent="0.3">
      <c r="A449" s="6"/>
      <c r="B449" s="6" t="s">
        <v>422</v>
      </c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>
        <v>-1</v>
      </c>
      <c r="N449" s="6"/>
      <c r="O449" s="6"/>
      <c r="P449" s="6"/>
      <c r="Q449" s="6"/>
      <c r="R449" s="6"/>
      <c r="S449" s="6"/>
      <c r="T449" s="6"/>
      <c r="U449" s="6"/>
      <c r="V449" s="6"/>
      <c r="W449" s="6"/>
    </row>
    <row r="450" spans="1:23" x14ac:dyDescent="0.3">
      <c r="A450" s="6"/>
      <c r="B450" s="6" t="s">
        <v>422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>
        <v>-1</v>
      </c>
      <c r="N450" s="6"/>
      <c r="O450" s="6"/>
      <c r="P450" s="6"/>
      <c r="Q450" s="6"/>
      <c r="R450" s="6"/>
      <c r="S450" s="6"/>
      <c r="T450" s="6"/>
      <c r="U450" s="6"/>
      <c r="V450" s="6"/>
      <c r="W450" s="6"/>
    </row>
    <row r="451" spans="1:23" x14ac:dyDescent="0.3">
      <c r="A451" s="6"/>
      <c r="B451" s="6" t="s">
        <v>422</v>
      </c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>
        <v>-1</v>
      </c>
      <c r="N451" s="6"/>
      <c r="O451" s="6"/>
      <c r="P451" s="6"/>
      <c r="Q451" s="6"/>
      <c r="R451" s="6"/>
      <c r="S451" s="6"/>
      <c r="T451" s="6"/>
      <c r="U451" s="6"/>
      <c r="V451" s="6"/>
      <c r="W451" s="6"/>
    </row>
    <row r="452" spans="1:23" x14ac:dyDescent="0.3">
      <c r="A452" s="6"/>
      <c r="B452" s="6" t="s">
        <v>330</v>
      </c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>
        <v>-1</v>
      </c>
      <c r="N452" s="6"/>
      <c r="O452" s="6"/>
      <c r="P452" s="6"/>
      <c r="Q452" s="6"/>
      <c r="R452" s="6"/>
      <c r="S452" s="6"/>
      <c r="T452" s="6"/>
      <c r="U452" s="6"/>
      <c r="V452" s="6"/>
      <c r="W452" s="6"/>
    </row>
    <row r="453" spans="1:23" x14ac:dyDescent="0.3">
      <c r="A453" s="6" t="s">
        <v>2208</v>
      </c>
      <c r="B453" s="6" t="s">
        <v>330</v>
      </c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>
        <v>41</v>
      </c>
      <c r="N453" s="6"/>
      <c r="O453" s="6"/>
      <c r="P453" s="6"/>
      <c r="Q453" s="6"/>
      <c r="R453" s="6"/>
      <c r="S453" s="6"/>
      <c r="T453" s="6"/>
      <c r="U453" s="6"/>
      <c r="V453" s="6"/>
      <c r="W453" s="6"/>
    </row>
    <row r="454" spans="1:23" x14ac:dyDescent="0.3">
      <c r="A454" s="6"/>
      <c r="B454" s="6" t="s">
        <v>330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>
        <v>-1</v>
      </c>
      <c r="N454" s="6"/>
      <c r="O454" s="6"/>
      <c r="P454" s="6"/>
      <c r="Q454" s="6"/>
      <c r="R454" s="6"/>
      <c r="S454" s="6"/>
      <c r="T454" s="6"/>
      <c r="U454" s="6"/>
      <c r="V454" s="6"/>
      <c r="W454" s="6"/>
    </row>
    <row r="455" spans="1:23" x14ac:dyDescent="0.3">
      <c r="A455" s="6"/>
      <c r="B455" s="6" t="s">
        <v>724</v>
      </c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>
        <v>-1</v>
      </c>
      <c r="N455" s="6"/>
      <c r="O455" s="6"/>
      <c r="P455" s="6"/>
      <c r="Q455" s="6"/>
      <c r="R455" s="6"/>
      <c r="S455" s="6"/>
      <c r="T455" s="6"/>
      <c r="U455" s="6"/>
      <c r="V455" s="6"/>
      <c r="W455" s="6"/>
    </row>
    <row r="456" spans="1:23" x14ac:dyDescent="0.3">
      <c r="A456" s="6"/>
      <c r="B456" s="6" t="s">
        <v>724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>
        <v>-1</v>
      </c>
      <c r="N456" s="6"/>
      <c r="O456" s="6"/>
      <c r="P456" s="6"/>
      <c r="Q456" s="6"/>
      <c r="R456" s="6"/>
      <c r="S456" s="6"/>
      <c r="T456" s="6"/>
      <c r="U456" s="6"/>
      <c r="V456" s="6"/>
      <c r="W456" s="6"/>
    </row>
    <row r="457" spans="1:23" x14ac:dyDescent="0.3">
      <c r="A457" s="6" t="s">
        <v>4607</v>
      </c>
      <c r="B457" s="6" t="s">
        <v>724</v>
      </c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>
        <v>7</v>
      </c>
      <c r="N457" s="6"/>
      <c r="O457" s="6"/>
      <c r="P457" s="6"/>
      <c r="Q457" s="6"/>
      <c r="R457" s="6"/>
      <c r="S457" s="6"/>
      <c r="T457" s="6"/>
      <c r="U457" s="6"/>
      <c r="V457" s="6"/>
      <c r="W457" s="6"/>
    </row>
    <row r="458" spans="1:23" x14ac:dyDescent="0.3">
      <c r="A458" s="6" t="s">
        <v>4824</v>
      </c>
      <c r="B458" s="6" t="s">
        <v>332</v>
      </c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>
        <v>11</v>
      </c>
      <c r="N458" s="6"/>
      <c r="O458" s="6"/>
      <c r="P458" s="6"/>
      <c r="Q458" s="6"/>
      <c r="R458" s="6"/>
      <c r="S458" s="6"/>
      <c r="T458" s="6"/>
      <c r="U458" s="6"/>
      <c r="V458" s="6"/>
      <c r="W458" s="6"/>
    </row>
    <row r="459" spans="1:23" x14ac:dyDescent="0.3">
      <c r="A459" s="6" t="s">
        <v>2042</v>
      </c>
      <c r="B459" s="6" t="s">
        <v>332</v>
      </c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>
        <v>1001</v>
      </c>
      <c r="N459" s="6"/>
      <c r="O459" s="6"/>
      <c r="P459" s="6"/>
      <c r="Q459" s="6"/>
      <c r="R459" s="6"/>
      <c r="S459" s="6"/>
      <c r="T459" s="6"/>
      <c r="U459" s="6"/>
      <c r="V459" s="6"/>
      <c r="W459" s="6"/>
    </row>
    <row r="460" spans="1:23" x14ac:dyDescent="0.3">
      <c r="A460" s="6"/>
      <c r="B460" s="6" t="s">
        <v>332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>
        <v>-1</v>
      </c>
      <c r="N460" s="6"/>
      <c r="O460" s="6"/>
      <c r="P460" s="6"/>
      <c r="Q460" s="6"/>
      <c r="R460" s="6"/>
      <c r="S460" s="6"/>
      <c r="T460" s="6"/>
      <c r="U460" s="6"/>
      <c r="V460" s="6"/>
      <c r="W460" s="6"/>
    </row>
    <row r="461" spans="1:23" x14ac:dyDescent="0.3">
      <c r="A461" s="6" t="s">
        <v>3811</v>
      </c>
      <c r="B461" s="6" t="s">
        <v>340</v>
      </c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>
        <v>20</v>
      </c>
      <c r="N461" s="6"/>
      <c r="O461" s="6"/>
      <c r="P461" s="6"/>
      <c r="Q461" s="6"/>
      <c r="R461" s="6"/>
      <c r="S461" s="6"/>
      <c r="T461" s="6"/>
      <c r="U461" s="6"/>
      <c r="V461" s="6"/>
      <c r="W461" s="6"/>
    </row>
    <row r="462" spans="1:23" x14ac:dyDescent="0.3">
      <c r="A462" s="6" t="s">
        <v>3840</v>
      </c>
      <c r="B462" s="6" t="s">
        <v>340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>
        <v>40</v>
      </c>
      <c r="N462" s="6"/>
      <c r="O462" s="6"/>
      <c r="P462" s="6"/>
      <c r="Q462" s="6"/>
      <c r="R462" s="6"/>
      <c r="S462" s="6"/>
      <c r="T462" s="6"/>
      <c r="U462" s="6"/>
      <c r="V462" s="6"/>
      <c r="W462" s="6"/>
    </row>
    <row r="463" spans="1:23" x14ac:dyDescent="0.3">
      <c r="A463" s="6"/>
      <c r="B463" s="6" t="s">
        <v>520</v>
      </c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>
        <v>-1</v>
      </c>
      <c r="N463" s="6"/>
      <c r="O463" s="6"/>
      <c r="P463" s="6"/>
      <c r="Q463" s="6"/>
      <c r="R463" s="6"/>
      <c r="S463" s="6"/>
      <c r="T463" s="6"/>
      <c r="U463" s="6"/>
      <c r="V463" s="6"/>
      <c r="W463" s="6"/>
    </row>
    <row r="464" spans="1:23" x14ac:dyDescent="0.3">
      <c r="A464" s="6"/>
      <c r="B464" s="6" t="s">
        <v>520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>
        <v>-1</v>
      </c>
      <c r="N464" s="6"/>
      <c r="O464" s="6"/>
      <c r="P464" s="6"/>
      <c r="Q464" s="6"/>
      <c r="R464" s="6"/>
      <c r="S464" s="6"/>
      <c r="T464" s="6"/>
      <c r="U464" s="6"/>
      <c r="V464" s="6"/>
      <c r="W464" s="6"/>
    </row>
    <row r="465" spans="1:23" x14ac:dyDescent="0.3">
      <c r="A465" s="6"/>
      <c r="B465" s="6" t="s">
        <v>450</v>
      </c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>
        <v>-1</v>
      </c>
      <c r="N465" s="6"/>
      <c r="O465" s="6"/>
      <c r="P465" s="6"/>
      <c r="Q465" s="6"/>
      <c r="R465" s="6"/>
      <c r="S465" s="6"/>
      <c r="T465" s="6"/>
      <c r="U465" s="6"/>
      <c r="V465" s="6"/>
      <c r="W465" s="6"/>
    </row>
    <row r="466" spans="1:23" x14ac:dyDescent="0.3">
      <c r="A466" s="6" t="s">
        <v>3545</v>
      </c>
      <c r="B466" s="6" t="s">
        <v>450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>
        <v>1001</v>
      </c>
      <c r="N466" s="6"/>
      <c r="O466" s="6"/>
      <c r="P466" s="6"/>
      <c r="Q466" s="6"/>
      <c r="R466" s="6"/>
      <c r="S466" s="6"/>
      <c r="T466" s="6"/>
      <c r="U466" s="6"/>
      <c r="V466" s="6"/>
      <c r="W466" s="6"/>
    </row>
    <row r="467" spans="1:23" x14ac:dyDescent="0.3">
      <c r="A467" s="6" t="s">
        <v>3592</v>
      </c>
      <c r="B467" s="6" t="s">
        <v>442</v>
      </c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>
        <v>25</v>
      </c>
      <c r="N467" s="6"/>
      <c r="O467" s="6"/>
      <c r="P467" s="6"/>
      <c r="Q467" s="6"/>
      <c r="R467" s="6"/>
      <c r="S467" s="6"/>
      <c r="T467" s="6"/>
      <c r="U467" s="6"/>
      <c r="V467" s="6"/>
      <c r="W467" s="6"/>
    </row>
    <row r="468" spans="1:23" x14ac:dyDescent="0.3">
      <c r="A468" s="6"/>
      <c r="B468" s="6" t="s">
        <v>442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>
        <v>-1</v>
      </c>
      <c r="N468" s="6"/>
      <c r="O468" s="6"/>
      <c r="P468" s="6"/>
      <c r="Q468" s="6"/>
      <c r="R468" s="6"/>
      <c r="S468" s="6"/>
      <c r="T468" s="6"/>
      <c r="U468" s="6"/>
      <c r="V468" s="6"/>
      <c r="W468" s="6"/>
    </row>
    <row r="469" spans="1:23" x14ac:dyDescent="0.3">
      <c r="A469" s="6"/>
      <c r="B469" s="6" t="s">
        <v>570</v>
      </c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>
        <v>-1</v>
      </c>
      <c r="N469" s="6"/>
      <c r="O469" s="6"/>
      <c r="P469" s="6"/>
      <c r="Q469" s="6"/>
      <c r="R469" s="6"/>
      <c r="S469" s="6"/>
      <c r="T469" s="6"/>
      <c r="U469" s="6"/>
      <c r="V469" s="6"/>
      <c r="W469" s="6"/>
    </row>
    <row r="470" spans="1:23" x14ac:dyDescent="0.3">
      <c r="A470" s="6"/>
      <c r="B470" s="6" t="s">
        <v>598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>
        <v>-1</v>
      </c>
      <c r="N470" s="6"/>
      <c r="O470" s="6"/>
      <c r="P470" s="6"/>
      <c r="Q470" s="6"/>
      <c r="R470" s="6"/>
      <c r="S470" s="6"/>
      <c r="T470" s="6"/>
      <c r="U470" s="6"/>
      <c r="V470" s="6"/>
      <c r="W470" s="6"/>
    </row>
    <row r="471" spans="1:23" x14ac:dyDescent="0.3">
      <c r="A471" s="6"/>
      <c r="B471" s="6" t="s">
        <v>598</v>
      </c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>
        <v>-1</v>
      </c>
      <c r="N471" s="6"/>
      <c r="O471" s="6"/>
      <c r="P471" s="6"/>
      <c r="Q471" s="6"/>
      <c r="R471" s="6"/>
      <c r="S471" s="6"/>
      <c r="T471" s="6"/>
      <c r="U471" s="6"/>
      <c r="V471" s="6"/>
      <c r="W471" s="6"/>
    </row>
    <row r="472" spans="1:23" x14ac:dyDescent="0.3">
      <c r="A472" s="6" t="s">
        <v>4877</v>
      </c>
      <c r="B472" s="6" t="s">
        <v>356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>
        <v>66</v>
      </c>
      <c r="N472" s="6"/>
      <c r="O472" s="6"/>
      <c r="P472" s="6"/>
      <c r="Q472" s="6"/>
      <c r="R472" s="6"/>
      <c r="S472" s="6"/>
      <c r="T472" s="6"/>
      <c r="U472" s="6"/>
      <c r="V472" s="6"/>
      <c r="W472" s="6"/>
    </row>
    <row r="473" spans="1:23" x14ac:dyDescent="0.3">
      <c r="A473" s="6"/>
      <c r="B473" s="6" t="s">
        <v>356</v>
      </c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>
        <v>-1</v>
      </c>
      <c r="N473" s="6"/>
      <c r="O473" s="6"/>
      <c r="P473" s="6"/>
      <c r="Q473" s="6"/>
      <c r="R473" s="6"/>
      <c r="S473" s="6"/>
      <c r="T473" s="6"/>
      <c r="U473" s="6"/>
      <c r="V473" s="6"/>
      <c r="W473" s="6"/>
    </row>
    <row r="474" spans="1:23" x14ac:dyDescent="0.3">
      <c r="A474" s="6" t="s">
        <v>3933</v>
      </c>
      <c r="B474" s="6" t="s">
        <v>350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>
        <v>62</v>
      </c>
      <c r="N474" s="6"/>
      <c r="O474" s="6"/>
      <c r="P474" s="6"/>
      <c r="Q474" s="6"/>
      <c r="R474" s="6"/>
      <c r="S474" s="6"/>
      <c r="T474" s="6"/>
      <c r="U474" s="6"/>
      <c r="V474" s="6"/>
      <c r="W474" s="6"/>
    </row>
    <row r="475" spans="1:23" x14ac:dyDescent="0.3">
      <c r="A475" s="6"/>
      <c r="B475" s="6" t="s">
        <v>350</v>
      </c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>
        <v>-1</v>
      </c>
      <c r="N475" s="6"/>
      <c r="O475" s="6"/>
      <c r="P475" s="6"/>
      <c r="Q475" s="6"/>
      <c r="R475" s="6"/>
      <c r="S475" s="6"/>
      <c r="T475" s="6"/>
      <c r="U475" s="6"/>
      <c r="V475" s="6"/>
      <c r="W475" s="6"/>
    </row>
    <row r="476" spans="1:23" x14ac:dyDescent="0.3">
      <c r="A476" s="6"/>
      <c r="B476" s="6" t="s">
        <v>642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>
        <v>-1</v>
      </c>
      <c r="N476" s="6"/>
      <c r="O476" s="6"/>
      <c r="P476" s="6"/>
      <c r="Q476" s="6"/>
      <c r="R476" s="6"/>
      <c r="S476" s="6"/>
      <c r="T476" s="6"/>
      <c r="U476" s="6"/>
      <c r="V476" s="6"/>
      <c r="W476" s="6"/>
    </row>
    <row r="477" spans="1:23" x14ac:dyDescent="0.3">
      <c r="A477" s="6"/>
      <c r="B477" s="6" t="s">
        <v>642</v>
      </c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>
        <v>-1</v>
      </c>
      <c r="N477" s="6"/>
      <c r="O477" s="6"/>
      <c r="P477" s="6"/>
      <c r="Q477" s="6"/>
      <c r="R477" s="6"/>
      <c r="S477" s="6"/>
      <c r="T477" s="6"/>
      <c r="U477" s="6"/>
      <c r="V477" s="6"/>
      <c r="W477" s="6"/>
    </row>
    <row r="478" spans="1:23" x14ac:dyDescent="0.3">
      <c r="A478" s="6"/>
      <c r="B478" s="6" t="s">
        <v>412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>
        <v>-1</v>
      </c>
      <c r="N478" s="6"/>
      <c r="O478" s="6"/>
      <c r="P478" s="6"/>
      <c r="Q478" s="6"/>
      <c r="R478" s="6"/>
      <c r="S478" s="6"/>
      <c r="T478" s="6"/>
      <c r="U478" s="6"/>
      <c r="V478" s="6"/>
      <c r="W478" s="6"/>
    </row>
    <row r="479" spans="1:23" x14ac:dyDescent="0.3">
      <c r="A479" s="6"/>
      <c r="B479" s="6" t="s">
        <v>412</v>
      </c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>
        <v>-1</v>
      </c>
      <c r="N479" s="6"/>
      <c r="O479" s="6"/>
      <c r="P479" s="6"/>
      <c r="Q479" s="6"/>
      <c r="R479" s="6"/>
      <c r="S479" s="6"/>
      <c r="T479" s="6"/>
      <c r="U479" s="6"/>
      <c r="V479" s="6"/>
      <c r="W479" s="6"/>
    </row>
    <row r="480" spans="1:23" x14ac:dyDescent="0.3">
      <c r="A480" s="6" t="s">
        <v>1914</v>
      </c>
      <c r="B480" s="6" t="s">
        <v>394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>
        <v>35</v>
      </c>
      <c r="N480" s="6"/>
      <c r="O480" s="6"/>
      <c r="P480" s="6"/>
      <c r="Q480" s="6"/>
      <c r="R480" s="6"/>
      <c r="S480" s="6"/>
      <c r="T480" s="6"/>
      <c r="U480" s="6"/>
      <c r="V480" s="6"/>
      <c r="W480" s="6"/>
    </row>
    <row r="481" spans="1:23" x14ac:dyDescent="0.3">
      <c r="A481" s="6" t="s">
        <v>2490</v>
      </c>
      <c r="B481" s="6" t="s">
        <v>394</v>
      </c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>
        <v>63</v>
      </c>
      <c r="N481" s="6"/>
      <c r="O481" s="6"/>
      <c r="P481" s="6"/>
      <c r="Q481" s="6"/>
      <c r="R481" s="6"/>
      <c r="S481" s="6"/>
      <c r="T481" s="6"/>
      <c r="U481" s="6"/>
      <c r="V481" s="6"/>
      <c r="W481" s="6"/>
    </row>
    <row r="482" spans="1:23" x14ac:dyDescent="0.3">
      <c r="A482" s="6"/>
      <c r="B482" s="6" t="s">
        <v>348</v>
      </c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>
        <v>-1</v>
      </c>
      <c r="N482" s="6"/>
      <c r="O482" s="6"/>
      <c r="P482" s="6"/>
      <c r="Q482" s="6"/>
      <c r="R482" s="6"/>
      <c r="S482" s="6"/>
      <c r="T482" s="6"/>
      <c r="U482" s="6"/>
      <c r="V482" s="6"/>
      <c r="W482" s="6"/>
    </row>
    <row r="483" spans="1:23" x14ac:dyDescent="0.3">
      <c r="A483" s="6"/>
      <c r="B483" s="6" t="s">
        <v>348</v>
      </c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>
        <v>-1</v>
      </c>
      <c r="N483" s="6"/>
      <c r="O483" s="6"/>
      <c r="P483" s="6"/>
      <c r="Q483" s="6"/>
      <c r="R483" s="6"/>
      <c r="S483" s="6"/>
      <c r="T483" s="6"/>
      <c r="U483" s="6"/>
      <c r="V483" s="6"/>
      <c r="W483" s="6"/>
    </row>
    <row r="484" spans="1:23" x14ac:dyDescent="0.3">
      <c r="A484" s="6"/>
      <c r="B484" s="6" t="s">
        <v>444</v>
      </c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>
        <v>-1</v>
      </c>
      <c r="N484" s="6"/>
      <c r="O484" s="6"/>
      <c r="P484" s="6"/>
      <c r="Q484" s="6"/>
      <c r="R484" s="6"/>
      <c r="S484" s="6"/>
      <c r="T484" s="6"/>
      <c r="U484" s="6"/>
      <c r="V484" s="6"/>
      <c r="W484" s="6"/>
    </row>
    <row r="485" spans="1:23" x14ac:dyDescent="0.3">
      <c r="A485" s="6"/>
      <c r="B485" s="6" t="s">
        <v>444</v>
      </c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>
        <v>-1</v>
      </c>
      <c r="N485" s="6"/>
      <c r="O485" s="6"/>
      <c r="P485" s="6"/>
      <c r="Q485" s="6"/>
      <c r="R485" s="6"/>
      <c r="S485" s="6"/>
      <c r="T485" s="6"/>
      <c r="U485" s="6"/>
      <c r="V485" s="6"/>
      <c r="W485" s="6"/>
    </row>
    <row r="486" spans="1:23" x14ac:dyDescent="0.3">
      <c r="A486" s="6"/>
      <c r="B486" s="6" t="s">
        <v>712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>
        <v>-1</v>
      </c>
      <c r="N486" s="6"/>
      <c r="O486" s="6"/>
      <c r="P486" s="6"/>
      <c r="Q486" s="6"/>
      <c r="R486" s="6"/>
      <c r="S486" s="6"/>
      <c r="T486" s="6"/>
      <c r="U486" s="6"/>
      <c r="V486" s="6"/>
      <c r="W486" s="6"/>
    </row>
    <row r="487" spans="1:23" x14ac:dyDescent="0.3">
      <c r="A487" s="6"/>
      <c r="B487" s="6" t="s">
        <v>712</v>
      </c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>
        <v>-1</v>
      </c>
      <c r="N487" s="6"/>
      <c r="O487" s="6"/>
      <c r="P487" s="6"/>
      <c r="Q487" s="6"/>
      <c r="R487" s="6"/>
      <c r="S487" s="6"/>
      <c r="T487" s="6"/>
      <c r="U487" s="6"/>
      <c r="V487" s="6"/>
      <c r="W487" s="6"/>
    </row>
    <row r="488" spans="1:23" x14ac:dyDescent="0.3">
      <c r="A488" s="6"/>
      <c r="B488" s="6" t="s">
        <v>358</v>
      </c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>
        <v>-1</v>
      </c>
      <c r="N488" s="6"/>
      <c r="O488" s="6"/>
      <c r="P488" s="6"/>
      <c r="Q488" s="6"/>
      <c r="R488" s="6"/>
      <c r="S488" s="6"/>
      <c r="T488" s="6"/>
      <c r="U488" s="6"/>
      <c r="V488" s="6"/>
      <c r="W488" s="6"/>
    </row>
    <row r="489" spans="1:23" x14ac:dyDescent="0.3">
      <c r="A489" s="6" t="s">
        <v>2542</v>
      </c>
      <c r="B489" s="6" t="s">
        <v>384</v>
      </c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>
        <v>34</v>
      </c>
      <c r="N489" s="6"/>
      <c r="O489" s="6"/>
      <c r="P489" s="6"/>
      <c r="Q489" s="6"/>
      <c r="R489" s="6"/>
      <c r="S489" s="6"/>
      <c r="T489" s="6"/>
      <c r="U489" s="6"/>
      <c r="V489" s="6"/>
      <c r="W489" s="6"/>
    </row>
    <row r="490" spans="1:23" x14ac:dyDescent="0.3">
      <c r="A490" s="6" t="s">
        <v>4720</v>
      </c>
      <c r="B490" s="6" t="s">
        <v>362</v>
      </c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>
        <v>74</v>
      </c>
      <c r="N490" s="6"/>
      <c r="O490" s="6"/>
      <c r="P490" s="6"/>
      <c r="Q490" s="6"/>
      <c r="R490" s="6"/>
      <c r="S490" s="6"/>
      <c r="T490" s="6"/>
      <c r="U490" s="6"/>
      <c r="V490" s="6"/>
      <c r="W490" s="6"/>
    </row>
    <row r="491" spans="1:23" x14ac:dyDescent="0.3">
      <c r="A491" s="6"/>
      <c r="B491" s="6" t="s">
        <v>372</v>
      </c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>
        <v>-1</v>
      </c>
      <c r="N491" s="6"/>
      <c r="O491" s="6"/>
      <c r="P491" s="6"/>
      <c r="Q491" s="6"/>
      <c r="R491" s="6"/>
      <c r="S491" s="6"/>
      <c r="T491" s="6"/>
      <c r="U491" s="6"/>
      <c r="V491" s="6"/>
      <c r="W491" s="6"/>
    </row>
    <row r="492" spans="1:23" x14ac:dyDescent="0.3">
      <c r="A492" s="6"/>
      <c r="B492" s="6" t="s">
        <v>596</v>
      </c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>
        <v>-1</v>
      </c>
      <c r="N492" s="6"/>
      <c r="O492" s="6"/>
      <c r="P492" s="6"/>
      <c r="Q492" s="6"/>
      <c r="R492" s="6"/>
      <c r="S492" s="6"/>
      <c r="T492" s="6"/>
      <c r="U492" s="6"/>
      <c r="V492" s="6"/>
      <c r="W492" s="6"/>
    </row>
    <row r="493" spans="1:23" x14ac:dyDescent="0.3">
      <c r="A493" s="6" t="s">
        <v>5032</v>
      </c>
      <c r="B493" s="6" t="s">
        <v>604</v>
      </c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>
        <v>32</v>
      </c>
      <c r="N493" s="6"/>
      <c r="O493" s="6"/>
      <c r="P493" s="6"/>
      <c r="Q493" s="6"/>
      <c r="R493" s="6"/>
      <c r="S493" s="6"/>
      <c r="T493" s="6"/>
      <c r="U493" s="6"/>
      <c r="V493" s="6"/>
      <c r="W493" s="6"/>
    </row>
    <row r="494" spans="1:23" x14ac:dyDescent="0.3">
      <c r="A494" s="6"/>
      <c r="B494" s="6" t="s">
        <v>636</v>
      </c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>
        <v>-1</v>
      </c>
      <c r="N494" s="6"/>
      <c r="O494" s="6"/>
      <c r="P494" s="6"/>
      <c r="Q494" s="6"/>
      <c r="R494" s="6"/>
      <c r="S494" s="6"/>
      <c r="T494" s="6"/>
      <c r="U494" s="6"/>
      <c r="V494" s="6"/>
      <c r="W494" s="6"/>
    </row>
    <row r="495" spans="1:23" x14ac:dyDescent="0.3">
      <c r="A495" s="6"/>
      <c r="B495" s="6" t="s">
        <v>474</v>
      </c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>
        <v>-1</v>
      </c>
      <c r="N495" s="6"/>
      <c r="O495" s="6"/>
      <c r="P495" s="6"/>
      <c r="Q495" s="6"/>
      <c r="R495" s="6"/>
      <c r="S495" s="6"/>
      <c r="T495" s="6"/>
      <c r="U495" s="6"/>
      <c r="V495" s="6"/>
      <c r="W495" s="6"/>
    </row>
    <row r="496" spans="1:23" x14ac:dyDescent="0.3">
      <c r="A496" s="6" t="s">
        <v>1349</v>
      </c>
      <c r="B496" s="6" t="s">
        <v>346</v>
      </c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>
        <v>56</v>
      </c>
      <c r="N496" s="6"/>
      <c r="O496" s="6"/>
      <c r="P496" s="6"/>
      <c r="Q496" s="6"/>
      <c r="R496" s="6"/>
      <c r="S496" s="6"/>
      <c r="T496" s="6"/>
      <c r="U496" s="6"/>
      <c r="V496" s="6"/>
      <c r="W496" s="6"/>
    </row>
    <row r="497" spans="1:23" x14ac:dyDescent="0.3">
      <c r="A497" s="6"/>
      <c r="B497" s="6" t="s">
        <v>676</v>
      </c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>
        <v>-1</v>
      </c>
      <c r="N497" s="6"/>
      <c r="O497" s="6"/>
      <c r="P497" s="6"/>
      <c r="Q497" s="6"/>
      <c r="R497" s="6"/>
      <c r="S497" s="6"/>
      <c r="T497" s="6"/>
      <c r="U497" s="6"/>
      <c r="V497" s="6"/>
      <c r="W497" s="6"/>
    </row>
    <row r="498" spans="1:23" x14ac:dyDescent="0.3">
      <c r="A498" s="6"/>
      <c r="B498" s="6" t="s">
        <v>338</v>
      </c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>
        <v>-1</v>
      </c>
      <c r="N498" s="6"/>
      <c r="O498" s="6"/>
      <c r="P498" s="6"/>
      <c r="Q498" s="6"/>
      <c r="R498" s="6"/>
      <c r="S498" s="6"/>
      <c r="T498" s="6"/>
      <c r="U498" s="6"/>
      <c r="V498" s="6"/>
      <c r="W498" s="6"/>
    </row>
    <row r="499" spans="1:23" x14ac:dyDescent="0.3">
      <c r="A499" s="6"/>
      <c r="B499" s="6" t="s">
        <v>354</v>
      </c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>
        <v>-1</v>
      </c>
      <c r="O499" s="6"/>
      <c r="P499" s="6"/>
      <c r="Q499" s="6"/>
      <c r="R499" s="6"/>
      <c r="S499" s="6"/>
      <c r="T499" s="6"/>
      <c r="U499" s="6"/>
      <c r="V499" s="6"/>
      <c r="W499" s="6"/>
    </row>
    <row r="500" spans="1:23" x14ac:dyDescent="0.3">
      <c r="A500" s="6"/>
      <c r="B500" s="6" t="s">
        <v>354</v>
      </c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>
        <v>-1</v>
      </c>
      <c r="O500" s="6"/>
      <c r="P500" s="6"/>
      <c r="Q500" s="6"/>
      <c r="R500" s="6"/>
      <c r="S500" s="6"/>
      <c r="T500" s="6"/>
      <c r="U500" s="6"/>
      <c r="V500" s="6"/>
      <c r="W500" s="6"/>
    </row>
    <row r="501" spans="1:23" x14ac:dyDescent="0.3">
      <c r="A501" s="6"/>
      <c r="B501" s="6" t="s">
        <v>354</v>
      </c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>
        <v>-1</v>
      </c>
      <c r="O501" s="6"/>
      <c r="P501" s="6"/>
      <c r="Q501" s="6"/>
      <c r="R501" s="6"/>
      <c r="S501" s="6"/>
      <c r="T501" s="6"/>
      <c r="U501" s="6"/>
      <c r="V501" s="6"/>
      <c r="W501" s="6"/>
    </row>
    <row r="502" spans="1:23" x14ac:dyDescent="0.3">
      <c r="A502" s="6" t="s">
        <v>1781</v>
      </c>
      <c r="B502" s="6" t="s">
        <v>328</v>
      </c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>
        <v>21</v>
      </c>
      <c r="O502" s="6"/>
      <c r="P502" s="6"/>
      <c r="Q502" s="6"/>
      <c r="R502" s="6"/>
      <c r="S502" s="6"/>
      <c r="T502" s="6"/>
      <c r="U502" s="6"/>
      <c r="V502" s="6"/>
      <c r="W502" s="6"/>
    </row>
    <row r="503" spans="1:23" x14ac:dyDescent="0.3">
      <c r="A503" s="6"/>
      <c r="B503" s="6" t="s">
        <v>328</v>
      </c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>
        <v>-1</v>
      </c>
      <c r="O503" s="6"/>
      <c r="P503" s="6"/>
      <c r="Q503" s="6"/>
      <c r="R503" s="6"/>
      <c r="S503" s="6"/>
      <c r="T503" s="6"/>
      <c r="U503" s="6"/>
      <c r="V503" s="6"/>
      <c r="W503" s="6"/>
    </row>
    <row r="504" spans="1:23" x14ac:dyDescent="0.3">
      <c r="A504" s="6" t="s">
        <v>2883</v>
      </c>
      <c r="B504" s="6" t="s">
        <v>328</v>
      </c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>
        <v>1</v>
      </c>
      <c r="O504" s="6"/>
      <c r="P504" s="6"/>
      <c r="Q504" s="6"/>
      <c r="R504" s="6"/>
      <c r="S504" s="6"/>
      <c r="T504" s="6"/>
      <c r="U504" s="6"/>
      <c r="V504" s="6"/>
      <c r="W504" s="6"/>
    </row>
    <row r="505" spans="1:23" x14ac:dyDescent="0.3">
      <c r="A505" s="6" t="s">
        <v>3179</v>
      </c>
      <c r="B505" s="6" t="s">
        <v>344</v>
      </c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>
        <v>15</v>
      </c>
      <c r="O505" s="6"/>
      <c r="P505" s="6"/>
      <c r="Q505" s="6"/>
      <c r="R505" s="6"/>
      <c r="S505" s="6"/>
      <c r="T505" s="6"/>
      <c r="U505" s="6"/>
      <c r="V505" s="6"/>
      <c r="W505" s="6"/>
    </row>
    <row r="506" spans="1:23" x14ac:dyDescent="0.3">
      <c r="A506" s="6"/>
      <c r="B506" s="6" t="s">
        <v>344</v>
      </c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>
        <v>-1</v>
      </c>
      <c r="O506" s="6"/>
      <c r="P506" s="6"/>
      <c r="Q506" s="6"/>
      <c r="R506" s="6"/>
      <c r="S506" s="6"/>
      <c r="T506" s="6"/>
      <c r="U506" s="6"/>
      <c r="V506" s="6"/>
      <c r="W506" s="6"/>
    </row>
    <row r="507" spans="1:23" x14ac:dyDescent="0.3">
      <c r="A507" s="6" t="s">
        <v>3758</v>
      </c>
      <c r="B507" s="6" t="s">
        <v>344</v>
      </c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>
        <v>26</v>
      </c>
      <c r="O507" s="6"/>
      <c r="P507" s="6"/>
      <c r="Q507" s="6"/>
      <c r="R507" s="6"/>
      <c r="S507" s="6"/>
      <c r="T507" s="6"/>
      <c r="U507" s="6"/>
      <c r="V507" s="6"/>
      <c r="W507" s="6"/>
    </row>
    <row r="508" spans="1:23" x14ac:dyDescent="0.3">
      <c r="A508" s="6"/>
      <c r="B508" s="6" t="s">
        <v>356</v>
      </c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>
        <v>-1</v>
      </c>
      <c r="O508" s="6"/>
      <c r="P508" s="6"/>
      <c r="Q508" s="6"/>
      <c r="R508" s="6"/>
      <c r="S508" s="6"/>
      <c r="T508" s="6"/>
      <c r="U508" s="6"/>
      <c r="V508" s="6"/>
      <c r="W508" s="6"/>
    </row>
    <row r="509" spans="1:23" x14ac:dyDescent="0.3">
      <c r="A509" s="6" t="s">
        <v>2910</v>
      </c>
      <c r="B509" s="6" t="s">
        <v>356</v>
      </c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>
        <v>1001</v>
      </c>
      <c r="O509" s="6"/>
      <c r="P509" s="6"/>
      <c r="Q509" s="6"/>
      <c r="R509" s="6"/>
      <c r="S509" s="6"/>
      <c r="T509" s="6"/>
      <c r="U509" s="6"/>
      <c r="V509" s="6"/>
      <c r="W509" s="6"/>
    </row>
    <row r="510" spans="1:23" x14ac:dyDescent="0.3">
      <c r="A510" s="6"/>
      <c r="B510" s="6" t="s">
        <v>356</v>
      </c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>
        <v>-1</v>
      </c>
      <c r="O510" s="6"/>
      <c r="P510" s="6"/>
      <c r="Q510" s="6"/>
      <c r="R510" s="6"/>
      <c r="S510" s="6"/>
      <c r="T510" s="6"/>
      <c r="U510" s="6"/>
      <c r="V510" s="6"/>
      <c r="W510" s="6"/>
    </row>
    <row r="511" spans="1:23" x14ac:dyDescent="0.3">
      <c r="A511" s="6"/>
      <c r="B511" s="6" t="s">
        <v>392</v>
      </c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>
        <v>-1</v>
      </c>
      <c r="O511" s="6"/>
      <c r="P511" s="6"/>
      <c r="Q511" s="6"/>
      <c r="R511" s="6"/>
      <c r="S511" s="6"/>
      <c r="T511" s="6"/>
      <c r="U511" s="6"/>
      <c r="V511" s="6"/>
      <c r="W511" s="6"/>
    </row>
    <row r="512" spans="1:23" x14ac:dyDescent="0.3">
      <c r="A512" s="6"/>
      <c r="B512" s="6" t="s">
        <v>392</v>
      </c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>
        <v>-1</v>
      </c>
      <c r="O512" s="6"/>
      <c r="P512" s="6"/>
      <c r="Q512" s="6"/>
      <c r="R512" s="6"/>
      <c r="S512" s="6"/>
      <c r="T512" s="6"/>
      <c r="U512" s="6"/>
      <c r="V512" s="6"/>
      <c r="W512" s="6"/>
    </row>
    <row r="513" spans="1:23" x14ac:dyDescent="0.3">
      <c r="A513" s="6" t="s">
        <v>4857</v>
      </c>
      <c r="B513" s="6" t="s">
        <v>392</v>
      </c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>
        <v>12</v>
      </c>
      <c r="O513" s="6"/>
      <c r="P513" s="6"/>
      <c r="Q513" s="6"/>
      <c r="R513" s="6"/>
      <c r="S513" s="6"/>
      <c r="T513" s="6"/>
      <c r="U513" s="6"/>
      <c r="V513" s="6"/>
      <c r="W513" s="6"/>
    </row>
    <row r="514" spans="1:23" x14ac:dyDescent="0.3">
      <c r="A514" s="6"/>
      <c r="B514" s="6" t="s">
        <v>330</v>
      </c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>
        <v>-1</v>
      </c>
      <c r="O514" s="6"/>
      <c r="P514" s="6"/>
      <c r="Q514" s="6"/>
      <c r="R514" s="6"/>
      <c r="S514" s="6"/>
      <c r="T514" s="6"/>
      <c r="U514" s="6"/>
      <c r="V514" s="6"/>
      <c r="W514" s="6"/>
    </row>
    <row r="515" spans="1:23" x14ac:dyDescent="0.3">
      <c r="A515" s="6"/>
      <c r="B515" s="6" t="s">
        <v>330</v>
      </c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>
        <v>-1</v>
      </c>
      <c r="O515" s="6"/>
      <c r="P515" s="6"/>
      <c r="Q515" s="6"/>
      <c r="R515" s="6"/>
      <c r="S515" s="6"/>
      <c r="T515" s="6"/>
      <c r="U515" s="6"/>
      <c r="V515" s="6"/>
      <c r="W515" s="6"/>
    </row>
    <row r="516" spans="1:23" x14ac:dyDescent="0.3">
      <c r="A516" s="6"/>
      <c r="B516" s="6" t="s">
        <v>330</v>
      </c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>
        <v>-1</v>
      </c>
      <c r="O516" s="6"/>
      <c r="P516" s="6"/>
      <c r="Q516" s="6"/>
      <c r="R516" s="6"/>
      <c r="S516" s="6"/>
      <c r="T516" s="6"/>
      <c r="U516" s="6"/>
      <c r="V516" s="6"/>
      <c r="W516" s="6"/>
    </row>
    <row r="517" spans="1:23" x14ac:dyDescent="0.3">
      <c r="A517" s="6"/>
      <c r="B517" s="6" t="s">
        <v>726</v>
      </c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>
        <v>-1</v>
      </c>
      <c r="O517" s="6"/>
      <c r="P517" s="6"/>
      <c r="Q517" s="6"/>
      <c r="R517" s="6"/>
      <c r="S517" s="6"/>
      <c r="T517" s="6"/>
      <c r="U517" s="6"/>
      <c r="V517" s="6"/>
      <c r="W517" s="6"/>
    </row>
    <row r="518" spans="1:23" x14ac:dyDescent="0.3">
      <c r="A518" s="6"/>
      <c r="B518" s="6" t="s">
        <v>726</v>
      </c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>
        <v>-1</v>
      </c>
      <c r="O518" s="6"/>
      <c r="P518" s="6"/>
      <c r="Q518" s="6"/>
      <c r="R518" s="6"/>
      <c r="S518" s="6"/>
      <c r="T518" s="6"/>
      <c r="U518" s="6"/>
      <c r="V518" s="6"/>
      <c r="W518" s="6"/>
    </row>
    <row r="519" spans="1:23" x14ac:dyDescent="0.3">
      <c r="A519" s="6"/>
      <c r="B519" s="6" t="s">
        <v>726</v>
      </c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>
        <v>-1</v>
      </c>
      <c r="O519" s="6"/>
      <c r="P519" s="6"/>
      <c r="Q519" s="6"/>
      <c r="R519" s="6"/>
      <c r="S519" s="6"/>
      <c r="T519" s="6"/>
      <c r="U519" s="6"/>
      <c r="V519" s="6"/>
      <c r="W519" s="6"/>
    </row>
    <row r="520" spans="1:23" x14ac:dyDescent="0.3">
      <c r="A520" s="6" t="s">
        <v>3614</v>
      </c>
      <c r="B520" s="6" t="s">
        <v>336</v>
      </c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>
        <v>13</v>
      </c>
      <c r="O520" s="6"/>
      <c r="P520" s="6"/>
      <c r="Q520" s="6"/>
      <c r="R520" s="6"/>
      <c r="S520" s="6"/>
      <c r="T520" s="6"/>
      <c r="U520" s="6"/>
      <c r="V520" s="6"/>
      <c r="W520" s="6"/>
    </row>
    <row r="521" spans="1:23" x14ac:dyDescent="0.3">
      <c r="A521" s="6"/>
      <c r="B521" s="6" t="s">
        <v>336</v>
      </c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>
        <v>-1</v>
      </c>
      <c r="O521" s="6"/>
      <c r="P521" s="6"/>
      <c r="Q521" s="6"/>
      <c r="R521" s="6"/>
      <c r="S521" s="6"/>
      <c r="T521" s="6"/>
      <c r="U521" s="6"/>
      <c r="V521" s="6"/>
      <c r="W521" s="6"/>
    </row>
    <row r="522" spans="1:23" x14ac:dyDescent="0.3">
      <c r="A522" s="6"/>
      <c r="B522" s="6" t="s">
        <v>400</v>
      </c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>
        <v>-1</v>
      </c>
      <c r="O522" s="6"/>
      <c r="P522" s="6"/>
      <c r="Q522" s="6"/>
      <c r="R522" s="6"/>
      <c r="S522" s="6"/>
      <c r="T522" s="6"/>
      <c r="U522" s="6"/>
      <c r="V522" s="6"/>
      <c r="W522" s="6"/>
    </row>
    <row r="523" spans="1:23" x14ac:dyDescent="0.3">
      <c r="A523" s="6"/>
      <c r="B523" s="6" t="s">
        <v>400</v>
      </c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>
        <v>-1</v>
      </c>
      <c r="O523" s="6"/>
      <c r="P523" s="6"/>
      <c r="Q523" s="6"/>
      <c r="R523" s="6"/>
      <c r="S523" s="6"/>
      <c r="T523" s="6"/>
      <c r="U523" s="6"/>
      <c r="V523" s="6"/>
      <c r="W523" s="6"/>
    </row>
    <row r="524" spans="1:23" x14ac:dyDescent="0.3">
      <c r="A524" s="6"/>
      <c r="B524" s="6" t="s">
        <v>428</v>
      </c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>
        <v>-1</v>
      </c>
      <c r="O524" s="6"/>
      <c r="P524" s="6"/>
      <c r="Q524" s="6"/>
      <c r="R524" s="6"/>
      <c r="S524" s="6"/>
      <c r="T524" s="6"/>
      <c r="U524" s="6"/>
      <c r="V524" s="6"/>
      <c r="W524" s="6"/>
    </row>
    <row r="525" spans="1:23" x14ac:dyDescent="0.3">
      <c r="A525" s="6"/>
      <c r="B525" s="6" t="s">
        <v>362</v>
      </c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>
        <v>-1</v>
      </c>
      <c r="O525" s="6"/>
      <c r="P525" s="6"/>
      <c r="Q525" s="6"/>
      <c r="R525" s="6"/>
      <c r="S525" s="6"/>
      <c r="T525" s="6"/>
      <c r="U525" s="6"/>
      <c r="V525" s="6"/>
      <c r="W525" s="6"/>
    </row>
    <row r="526" spans="1:23" x14ac:dyDescent="0.3">
      <c r="A526" s="6"/>
      <c r="B526" s="6" t="s">
        <v>334</v>
      </c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>
        <v>-1</v>
      </c>
      <c r="O526" s="6"/>
      <c r="P526" s="6"/>
      <c r="Q526" s="6"/>
      <c r="R526" s="6"/>
      <c r="S526" s="6"/>
      <c r="T526" s="6"/>
      <c r="U526" s="6"/>
      <c r="V526" s="6"/>
      <c r="W526" s="6"/>
    </row>
    <row r="527" spans="1:23" x14ac:dyDescent="0.3">
      <c r="A527" s="6" t="s">
        <v>3422</v>
      </c>
      <c r="B527" s="6" t="s">
        <v>342</v>
      </c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>
        <v>22</v>
      </c>
      <c r="O527" s="6"/>
      <c r="P527" s="6"/>
      <c r="Q527" s="6"/>
      <c r="R527" s="6"/>
      <c r="S527" s="6"/>
      <c r="T527" s="6"/>
      <c r="U527" s="6"/>
      <c r="V527" s="6"/>
      <c r="W527" s="6"/>
    </row>
    <row r="528" spans="1:23" x14ac:dyDescent="0.3">
      <c r="A528" s="6"/>
      <c r="B528" s="6" t="s">
        <v>448</v>
      </c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>
        <v>-1</v>
      </c>
      <c r="O528" s="6"/>
      <c r="P528" s="6"/>
      <c r="Q528" s="6"/>
      <c r="R528" s="6"/>
      <c r="S528" s="6"/>
      <c r="T528" s="6"/>
      <c r="U528" s="6"/>
      <c r="V528" s="6"/>
      <c r="W528" s="6"/>
    </row>
    <row r="529" spans="1:23" x14ac:dyDescent="0.3">
      <c r="A529" s="6"/>
      <c r="B529" s="6" t="s">
        <v>350</v>
      </c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>
        <v>-1</v>
      </c>
      <c r="O529" s="6"/>
      <c r="P529" s="6"/>
      <c r="Q529" s="6"/>
      <c r="R529" s="6"/>
      <c r="S529" s="6"/>
      <c r="T529" s="6"/>
      <c r="U529" s="6"/>
      <c r="V529" s="6"/>
      <c r="W529" s="6"/>
    </row>
    <row r="530" spans="1:23" x14ac:dyDescent="0.3">
      <c r="A530" s="6"/>
      <c r="B530" s="6" t="s">
        <v>346</v>
      </c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>
        <v>-1</v>
      </c>
      <c r="O530" s="6"/>
      <c r="P530" s="6"/>
      <c r="Q530" s="6"/>
      <c r="R530" s="6"/>
      <c r="S530" s="6"/>
      <c r="T530" s="6"/>
      <c r="U530" s="6"/>
      <c r="V530" s="6"/>
      <c r="W530" s="6"/>
    </row>
    <row r="531" spans="1:23" x14ac:dyDescent="0.3">
      <c r="A531" s="6"/>
      <c r="B531" s="6" t="s">
        <v>406</v>
      </c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>
        <v>-1</v>
      </c>
      <c r="O531" s="6"/>
      <c r="P531" s="6"/>
      <c r="Q531" s="6"/>
      <c r="R531" s="6"/>
      <c r="S531" s="6"/>
      <c r="T531" s="6"/>
      <c r="U531" s="6"/>
      <c r="V531" s="6"/>
      <c r="W531" s="6"/>
    </row>
    <row r="532" spans="1:23" x14ac:dyDescent="0.3">
      <c r="A532" s="6" t="s">
        <v>3507</v>
      </c>
      <c r="B532" s="6" t="s">
        <v>406</v>
      </c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>
        <v>33</v>
      </c>
      <c r="O532" s="6"/>
      <c r="P532" s="6"/>
      <c r="Q532" s="6"/>
      <c r="R532" s="6"/>
      <c r="S532" s="6"/>
      <c r="T532" s="6"/>
      <c r="U532" s="6"/>
      <c r="V532" s="6"/>
      <c r="W532" s="6"/>
    </row>
    <row r="533" spans="1:23" x14ac:dyDescent="0.3">
      <c r="A533" s="6"/>
      <c r="B533" s="6" t="s">
        <v>350</v>
      </c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>
        <v>-1</v>
      </c>
      <c r="O533" s="6"/>
      <c r="P533" s="6"/>
      <c r="Q533" s="6"/>
      <c r="R533" s="6"/>
      <c r="S533" s="6"/>
      <c r="T533" s="6"/>
      <c r="U533" s="6"/>
      <c r="V533" s="6"/>
      <c r="W533" s="6"/>
    </row>
    <row r="534" spans="1:23" x14ac:dyDescent="0.3">
      <c r="A534" s="6"/>
      <c r="B534" s="6" t="s">
        <v>350</v>
      </c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>
        <v>-1</v>
      </c>
      <c r="O534" s="6"/>
      <c r="P534" s="6"/>
      <c r="Q534" s="6"/>
      <c r="R534" s="6"/>
      <c r="S534" s="6"/>
      <c r="T534" s="6"/>
      <c r="U534" s="6"/>
      <c r="V534" s="6"/>
      <c r="W534" s="6"/>
    </row>
    <row r="535" spans="1:23" x14ac:dyDescent="0.3">
      <c r="A535" s="6" t="s">
        <v>1537</v>
      </c>
      <c r="B535" s="6" t="s">
        <v>408</v>
      </c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>
        <v>37</v>
      </c>
      <c r="O535" s="6"/>
      <c r="P535" s="6"/>
      <c r="Q535" s="6"/>
      <c r="R535" s="6"/>
      <c r="S535" s="6"/>
      <c r="T535" s="6"/>
      <c r="U535" s="6"/>
      <c r="V535" s="6"/>
      <c r="W535" s="6"/>
    </row>
    <row r="536" spans="1:23" x14ac:dyDescent="0.3">
      <c r="A536" s="6"/>
      <c r="B536" s="6" t="s">
        <v>408</v>
      </c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>
        <v>-1</v>
      </c>
      <c r="O536" s="6"/>
      <c r="P536" s="6"/>
      <c r="Q536" s="6"/>
      <c r="R536" s="6"/>
      <c r="S536" s="6"/>
      <c r="T536" s="6"/>
      <c r="U536" s="6"/>
      <c r="V536" s="6"/>
      <c r="W536" s="6"/>
    </row>
    <row r="537" spans="1:23" x14ac:dyDescent="0.3">
      <c r="A537" s="6" t="s">
        <v>4496</v>
      </c>
      <c r="B537" s="6" t="s">
        <v>336</v>
      </c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>
        <v>36</v>
      </c>
      <c r="O537" s="6"/>
      <c r="P537" s="6"/>
      <c r="Q537" s="6"/>
      <c r="R537" s="6"/>
      <c r="S537" s="6"/>
      <c r="T537" s="6"/>
      <c r="U537" s="6"/>
      <c r="V537" s="6"/>
      <c r="W537" s="6"/>
    </row>
    <row r="538" spans="1:23" x14ac:dyDescent="0.3">
      <c r="A538" s="6"/>
      <c r="B538" s="6" t="s">
        <v>442</v>
      </c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>
        <v>-1</v>
      </c>
      <c r="O538" s="6"/>
      <c r="P538" s="6"/>
      <c r="Q538" s="6"/>
      <c r="R538" s="6"/>
      <c r="S538" s="6"/>
      <c r="T538" s="6"/>
      <c r="U538" s="6"/>
      <c r="V538" s="6"/>
      <c r="W538" s="6"/>
    </row>
    <row r="539" spans="1:23" x14ac:dyDescent="0.3">
      <c r="A539" s="6"/>
      <c r="B539" s="6" t="s">
        <v>400</v>
      </c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>
        <v>-1</v>
      </c>
      <c r="O539" s="6"/>
      <c r="P539" s="6"/>
      <c r="Q539" s="6"/>
      <c r="R539" s="6"/>
      <c r="S539" s="6"/>
      <c r="T539" s="6"/>
      <c r="U539" s="6"/>
      <c r="V539" s="6"/>
      <c r="W539" s="6"/>
    </row>
    <row r="540" spans="1:23" x14ac:dyDescent="0.3">
      <c r="A540" s="6"/>
      <c r="B540" s="6" t="s">
        <v>394</v>
      </c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>
        <v>-1</v>
      </c>
      <c r="O540" s="6"/>
      <c r="P540" s="6"/>
      <c r="Q540" s="6"/>
      <c r="R540" s="6"/>
      <c r="S540" s="6"/>
      <c r="T540" s="6"/>
      <c r="U540" s="6"/>
      <c r="V540" s="6"/>
      <c r="W540" s="6"/>
    </row>
    <row r="541" spans="1:23" x14ac:dyDescent="0.3">
      <c r="A541" s="6"/>
      <c r="B541" s="6" t="s">
        <v>346</v>
      </c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>
        <v>-1</v>
      </c>
      <c r="O541" s="6"/>
      <c r="P541" s="6"/>
      <c r="Q541" s="6"/>
      <c r="R541" s="6"/>
      <c r="S541" s="6"/>
      <c r="T541" s="6"/>
      <c r="U541" s="6"/>
      <c r="V541" s="6"/>
      <c r="W541" s="6"/>
    </row>
    <row r="542" spans="1:23" x14ac:dyDescent="0.3">
      <c r="A542" s="6"/>
      <c r="B542" s="6" t="s">
        <v>398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>
        <v>-1</v>
      </c>
      <c r="O542" s="6"/>
      <c r="P542" s="6"/>
      <c r="Q542" s="6"/>
      <c r="R542" s="6"/>
      <c r="S542" s="6"/>
      <c r="T542" s="6"/>
      <c r="U542" s="6"/>
      <c r="V542" s="6"/>
      <c r="W542" s="6"/>
    </row>
    <row r="543" spans="1:23" x14ac:dyDescent="0.3">
      <c r="A543" s="6" t="s">
        <v>4141</v>
      </c>
      <c r="B543" s="6" t="s">
        <v>718</v>
      </c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>
        <v>40</v>
      </c>
      <c r="O543" s="6"/>
      <c r="P543" s="6"/>
      <c r="Q543" s="6"/>
      <c r="R543" s="6"/>
      <c r="S543" s="6"/>
      <c r="T543" s="6"/>
      <c r="U543" s="6"/>
      <c r="V543" s="6"/>
      <c r="W543" s="6"/>
    </row>
    <row r="544" spans="1:23" x14ac:dyDescent="0.3">
      <c r="A544" s="6"/>
      <c r="B544" s="6" t="s">
        <v>726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>
        <v>-1</v>
      </c>
      <c r="R544" s="6"/>
      <c r="S544" s="6"/>
      <c r="T544" s="6"/>
      <c r="U544" s="6"/>
      <c r="V544" s="6"/>
      <c r="W544" s="6"/>
    </row>
    <row r="545" spans="1:23" x14ac:dyDescent="0.3">
      <c r="A545" s="6"/>
      <c r="B545" s="6" t="s">
        <v>726</v>
      </c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>
        <v>-1</v>
      </c>
      <c r="R545" s="6"/>
      <c r="S545" s="6"/>
      <c r="T545" s="6"/>
      <c r="U545" s="6"/>
      <c r="V545" s="6"/>
      <c r="W545" s="6"/>
    </row>
    <row r="546" spans="1:23" x14ac:dyDescent="0.3">
      <c r="A546" s="6" t="s">
        <v>4789</v>
      </c>
      <c r="B546" s="6" t="s">
        <v>726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>
        <v>1</v>
      </c>
      <c r="R546" s="6"/>
      <c r="S546" s="6"/>
      <c r="T546" s="6"/>
      <c r="U546" s="6"/>
      <c r="V546" s="6"/>
      <c r="W546" s="6"/>
    </row>
    <row r="547" spans="1:23" x14ac:dyDescent="0.3">
      <c r="A547" s="6" t="s">
        <v>2416</v>
      </c>
      <c r="B547" s="6" t="s">
        <v>354</v>
      </c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>
        <v>2</v>
      </c>
      <c r="R547" s="6"/>
      <c r="S547" s="6"/>
      <c r="T547" s="6"/>
      <c r="U547" s="6"/>
      <c r="V547" s="6"/>
      <c r="W547" s="6"/>
    </row>
    <row r="548" spans="1:23" x14ac:dyDescent="0.3">
      <c r="A548" s="6"/>
      <c r="B548" s="6" t="s">
        <v>354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>
        <v>-1</v>
      </c>
      <c r="R548" s="6"/>
      <c r="S548" s="6"/>
      <c r="T548" s="6"/>
      <c r="U548" s="6"/>
      <c r="V548" s="6"/>
      <c r="W548" s="6"/>
    </row>
    <row r="549" spans="1:23" x14ac:dyDescent="0.3">
      <c r="A549" s="6"/>
      <c r="B549" s="6" t="s">
        <v>332</v>
      </c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>
        <v>-1</v>
      </c>
      <c r="R549" s="6"/>
      <c r="S549" s="6"/>
      <c r="T549" s="6"/>
      <c r="U549" s="6"/>
      <c r="V549" s="6"/>
      <c r="W549" s="6"/>
    </row>
    <row r="550" spans="1:23" x14ac:dyDescent="0.3">
      <c r="A550" s="6" t="s">
        <v>1996</v>
      </c>
      <c r="B550" s="6" t="s">
        <v>332</v>
      </c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>
        <v>15</v>
      </c>
      <c r="R550" s="6"/>
      <c r="S550" s="6"/>
      <c r="T550" s="6"/>
      <c r="U550" s="6"/>
      <c r="V550" s="6"/>
      <c r="W550" s="6"/>
    </row>
    <row r="551" spans="1:23" x14ac:dyDescent="0.3">
      <c r="A551" s="6"/>
      <c r="B551" s="6" t="s">
        <v>560</v>
      </c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>
        <v>-1</v>
      </c>
      <c r="R551" s="6"/>
      <c r="S551" s="6"/>
      <c r="T551" s="6"/>
      <c r="U551" s="6"/>
      <c r="V551" s="6"/>
      <c r="W551" s="6"/>
    </row>
    <row r="552" spans="1:23" x14ac:dyDescent="0.3">
      <c r="A552" s="6" t="s">
        <v>1448</v>
      </c>
      <c r="B552" s="6" t="s">
        <v>372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>
        <v>28</v>
      </c>
      <c r="R552" s="6"/>
      <c r="S552" s="6"/>
      <c r="T552" s="6"/>
      <c r="U552" s="6"/>
      <c r="V552" s="6"/>
      <c r="W552" s="6"/>
    </row>
    <row r="553" spans="1:23" x14ac:dyDescent="0.3">
      <c r="A553" s="6"/>
      <c r="B553" s="6" t="s">
        <v>424</v>
      </c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>
        <v>-1</v>
      </c>
      <c r="R553" s="6"/>
      <c r="S553" s="6"/>
      <c r="T553" s="6"/>
      <c r="U553" s="6"/>
      <c r="V553" s="6"/>
      <c r="W553" s="6"/>
    </row>
    <row r="554" spans="1:23" x14ac:dyDescent="0.3">
      <c r="A554" s="6" t="s">
        <v>2711</v>
      </c>
      <c r="B554" s="6" t="s">
        <v>402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>
        <v>15</v>
      </c>
      <c r="R554" s="6"/>
      <c r="S554" s="6"/>
      <c r="T554" s="6"/>
      <c r="U554" s="6"/>
      <c r="V554" s="6"/>
      <c r="W554" s="6"/>
    </row>
    <row r="555" spans="1:23" x14ac:dyDescent="0.3">
      <c r="A555" s="6"/>
      <c r="B555" s="6" t="s">
        <v>600</v>
      </c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>
        <v>-1</v>
      </c>
      <c r="R555" s="6"/>
      <c r="S555" s="6"/>
      <c r="T555" s="6"/>
      <c r="U555" s="6"/>
      <c r="V555" s="6"/>
      <c r="W555" s="6"/>
    </row>
    <row r="556" spans="1:23" x14ac:dyDescent="0.3">
      <c r="A556" s="6"/>
      <c r="B556" s="6" t="s">
        <v>620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>
        <v>-1</v>
      </c>
      <c r="R556" s="6"/>
      <c r="S556" s="6"/>
      <c r="T556" s="6"/>
      <c r="U556" s="6"/>
      <c r="V556" s="6"/>
      <c r="W556" s="6"/>
    </row>
    <row r="557" spans="1:23" x14ac:dyDescent="0.3">
      <c r="A557" s="6"/>
      <c r="B557" s="6" t="s">
        <v>440</v>
      </c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>
        <v>-1</v>
      </c>
      <c r="R557" s="6"/>
      <c r="S557" s="6"/>
      <c r="T557" s="6"/>
      <c r="U557" s="6"/>
      <c r="V557" s="6"/>
      <c r="W557" s="6"/>
    </row>
    <row r="558" spans="1:23" x14ac:dyDescent="0.3">
      <c r="A558" s="6"/>
      <c r="B558" s="6" t="s">
        <v>394</v>
      </c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>
        <v>-1</v>
      </c>
      <c r="R558" s="6"/>
      <c r="S558" s="6"/>
      <c r="T558" s="6"/>
      <c r="U558" s="6"/>
      <c r="V558" s="6"/>
      <c r="W558" s="6"/>
    </row>
    <row r="559" spans="1:23" x14ac:dyDescent="0.3">
      <c r="A559" s="6"/>
      <c r="B559" s="6" t="s">
        <v>690</v>
      </c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>
        <v>-1</v>
      </c>
      <c r="R559" s="6"/>
      <c r="S559" s="6"/>
      <c r="T559" s="6"/>
      <c r="U559" s="6"/>
      <c r="V559" s="6"/>
      <c r="W559" s="6"/>
    </row>
    <row r="560" spans="1:23" x14ac:dyDescent="0.3">
      <c r="A560" s="6" t="s">
        <v>4362</v>
      </c>
      <c r="B560" s="6" t="s">
        <v>344</v>
      </c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>
        <v>19</v>
      </c>
      <c r="R560" s="6"/>
      <c r="S560" s="6"/>
      <c r="T560" s="6"/>
      <c r="U560" s="6"/>
      <c r="V560" s="6"/>
      <c r="W560" s="6"/>
    </row>
    <row r="561" spans="1:23" x14ac:dyDescent="0.3">
      <c r="A561" s="6" t="s">
        <v>1380</v>
      </c>
      <c r="B561" s="6" t="s">
        <v>344</v>
      </c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>
        <v>11</v>
      </c>
      <c r="R561" s="6"/>
      <c r="S561" s="6"/>
      <c r="T561" s="6"/>
      <c r="U561" s="6"/>
      <c r="V561" s="6"/>
      <c r="W561" s="6"/>
    </row>
    <row r="562" spans="1:23" x14ac:dyDescent="0.3">
      <c r="A562" s="6"/>
      <c r="B562" s="6" t="s">
        <v>334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>
        <v>-1</v>
      </c>
      <c r="R562" s="6"/>
      <c r="S562" s="6"/>
      <c r="T562" s="6"/>
      <c r="U562" s="6"/>
      <c r="V562" s="6"/>
      <c r="W562" s="6"/>
    </row>
    <row r="563" spans="1:23" x14ac:dyDescent="0.3">
      <c r="A563" s="6"/>
      <c r="B563" s="6" t="s">
        <v>334</v>
      </c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>
        <v>-1</v>
      </c>
      <c r="R563" s="6"/>
      <c r="S563" s="6"/>
      <c r="T563" s="6"/>
      <c r="U563" s="6"/>
      <c r="V563" s="6"/>
      <c r="W563" s="6"/>
    </row>
    <row r="564" spans="1:23" x14ac:dyDescent="0.3">
      <c r="A564" s="6" t="s">
        <v>5026</v>
      </c>
      <c r="B564" s="6" t="s">
        <v>604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>
        <v>28</v>
      </c>
      <c r="R564" s="6"/>
      <c r="S564" s="6"/>
      <c r="T564" s="6"/>
      <c r="U564" s="6"/>
      <c r="V564" s="6"/>
      <c r="W564" s="6"/>
    </row>
    <row r="565" spans="1:23" x14ac:dyDescent="0.3">
      <c r="A565" s="6"/>
      <c r="B565" s="6" t="s">
        <v>604</v>
      </c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>
        <v>-1</v>
      </c>
      <c r="R565" s="6"/>
      <c r="S565" s="6"/>
      <c r="T565" s="6"/>
      <c r="U565" s="6"/>
      <c r="V565" s="6"/>
      <c r="W565" s="6"/>
    </row>
    <row r="566" spans="1:23" x14ac:dyDescent="0.3">
      <c r="A566" s="6" t="s">
        <v>1615</v>
      </c>
      <c r="B566" s="6" t="s">
        <v>336</v>
      </c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>
        <v>12</v>
      </c>
      <c r="R566" s="6"/>
      <c r="S566" s="6"/>
      <c r="T566" s="6"/>
      <c r="U566" s="6"/>
      <c r="V566" s="6"/>
      <c r="W566" s="6"/>
    </row>
    <row r="567" spans="1:23" x14ac:dyDescent="0.3">
      <c r="A567" s="6"/>
      <c r="B567" s="6" t="s">
        <v>370</v>
      </c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>
        <v>-1</v>
      </c>
      <c r="R567" s="6"/>
      <c r="S567" s="6"/>
      <c r="T567" s="6"/>
      <c r="U567" s="6"/>
      <c r="V567" s="6"/>
      <c r="W567" s="6"/>
    </row>
    <row r="568" spans="1:23" x14ac:dyDescent="0.3">
      <c r="A568" s="6"/>
      <c r="B568" s="6" t="s">
        <v>442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>
        <v>-1</v>
      </c>
      <c r="R568" s="6"/>
      <c r="S568" s="6"/>
      <c r="T568" s="6"/>
      <c r="U568" s="6"/>
      <c r="V568" s="6"/>
      <c r="W568" s="6"/>
    </row>
    <row r="569" spans="1:23" x14ac:dyDescent="0.3">
      <c r="A569" s="6"/>
      <c r="B569" s="6" t="s">
        <v>572</v>
      </c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>
        <v>-1</v>
      </c>
      <c r="R569" s="6"/>
      <c r="S569" s="6"/>
      <c r="T569" s="6"/>
      <c r="U569" s="6"/>
      <c r="V569" s="6"/>
      <c r="W569" s="6"/>
    </row>
    <row r="570" spans="1:23" x14ac:dyDescent="0.3">
      <c r="A570" s="6"/>
      <c r="B570" s="6" t="s">
        <v>342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>
        <v>-1</v>
      </c>
      <c r="R570" s="6"/>
      <c r="S570" s="6"/>
      <c r="T570" s="6"/>
      <c r="U570" s="6"/>
      <c r="V570" s="6"/>
      <c r="W570" s="6"/>
    </row>
    <row r="571" spans="1:23" x14ac:dyDescent="0.3">
      <c r="A571" s="6" t="s">
        <v>3366</v>
      </c>
      <c r="B571" s="6" t="s">
        <v>348</v>
      </c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>
        <v>19</v>
      </c>
      <c r="R571" s="6"/>
      <c r="S571" s="6"/>
      <c r="T571" s="6"/>
      <c r="U571" s="6"/>
      <c r="V571" s="6"/>
      <c r="W571" s="6"/>
    </row>
    <row r="572" spans="1:23" x14ac:dyDescent="0.3">
      <c r="A572" s="6"/>
      <c r="B572" s="6" t="s">
        <v>694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>
        <v>-1</v>
      </c>
      <c r="R572" s="6"/>
      <c r="S572" s="6"/>
      <c r="T572" s="6"/>
      <c r="U572" s="6"/>
      <c r="V572" s="6"/>
      <c r="W572" s="6"/>
    </row>
    <row r="573" spans="1:23" x14ac:dyDescent="0.3">
      <c r="A573" s="6"/>
      <c r="B573" s="6" t="s">
        <v>718</v>
      </c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>
        <v>-1</v>
      </c>
      <c r="R573" s="6"/>
      <c r="S573" s="6"/>
      <c r="T573" s="6"/>
      <c r="U573" s="6"/>
      <c r="V573" s="6"/>
      <c r="W573" s="6"/>
    </row>
    <row r="574" spans="1:23" x14ac:dyDescent="0.3">
      <c r="A574" s="6"/>
      <c r="B574" s="6" t="s">
        <v>482</v>
      </c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>
        <v>-1</v>
      </c>
      <c r="R574" s="6"/>
      <c r="S574" s="6"/>
      <c r="T574" s="6"/>
      <c r="U574" s="6"/>
      <c r="V574" s="6"/>
      <c r="W574" s="6"/>
    </row>
    <row r="575" spans="1:23" x14ac:dyDescent="0.3">
      <c r="A575" s="6"/>
      <c r="B575" s="6" t="s">
        <v>342</v>
      </c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>
        <v>-1</v>
      </c>
      <c r="R575" s="6"/>
      <c r="S575" s="6"/>
      <c r="T575" s="6"/>
      <c r="U575" s="6"/>
      <c r="V575" s="6"/>
      <c r="W575" s="6"/>
    </row>
    <row r="576" spans="1:23" x14ac:dyDescent="0.3">
      <c r="A576" s="6"/>
      <c r="B576" s="6" t="s">
        <v>332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>
        <v>-1</v>
      </c>
      <c r="U576" s="6"/>
      <c r="V576" s="6"/>
      <c r="W576" s="6"/>
    </row>
    <row r="577" spans="1:23" x14ac:dyDescent="0.3">
      <c r="A577" s="6"/>
      <c r="B577" s="6" t="s">
        <v>332</v>
      </c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>
        <v>-1</v>
      </c>
      <c r="U577" s="6"/>
      <c r="V577" s="6"/>
      <c r="W577" s="6"/>
    </row>
    <row r="578" spans="1:23" x14ac:dyDescent="0.3">
      <c r="A578" s="6" t="s">
        <v>4539</v>
      </c>
      <c r="B578" s="6" t="s">
        <v>332</v>
      </c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>
        <v>22</v>
      </c>
      <c r="U578" s="6"/>
      <c r="V578" s="6"/>
      <c r="W578" s="6"/>
    </row>
    <row r="579" spans="1:23" x14ac:dyDescent="0.3">
      <c r="A579" s="6" t="s">
        <v>1243</v>
      </c>
      <c r="B579" s="6" t="s">
        <v>354</v>
      </c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>
        <v>1</v>
      </c>
      <c r="U579" s="6"/>
      <c r="V579" s="6"/>
      <c r="W579" s="6"/>
    </row>
    <row r="580" spans="1:23" x14ac:dyDescent="0.3">
      <c r="A580" s="6"/>
      <c r="B580" s="6" t="s">
        <v>384</v>
      </c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>
        <v>-1</v>
      </c>
      <c r="U580" s="6"/>
      <c r="V580" s="6"/>
      <c r="W580" s="6"/>
    </row>
    <row r="581" spans="1:23" x14ac:dyDescent="0.3">
      <c r="A581" s="6"/>
      <c r="B581" s="6" t="s">
        <v>442</v>
      </c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>
        <v>-1</v>
      </c>
      <c r="U581" s="6"/>
      <c r="V581" s="6"/>
      <c r="W581" s="6"/>
    </row>
    <row r="582" spans="1:23" x14ac:dyDescent="0.3">
      <c r="A582" s="6"/>
      <c r="B582" s="6" t="s">
        <v>372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>
        <v>-1</v>
      </c>
      <c r="U582" s="6"/>
      <c r="V582" s="6"/>
      <c r="W582" s="6"/>
    </row>
    <row r="583" spans="1:23" x14ac:dyDescent="0.3">
      <c r="A583" s="6"/>
      <c r="B583" s="6" t="s">
        <v>402</v>
      </c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>
        <v>-1</v>
      </c>
      <c r="U583" s="6"/>
      <c r="V583" s="6"/>
      <c r="W583" s="6"/>
    </row>
    <row r="584" spans="1:23" x14ac:dyDescent="0.3">
      <c r="A584" s="6" t="s">
        <v>2710</v>
      </c>
      <c r="B584" s="6" t="s">
        <v>342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>
        <v>9</v>
      </c>
      <c r="U584" s="6"/>
      <c r="V584" s="6"/>
      <c r="W584" s="6"/>
    </row>
    <row r="585" spans="1:23" x14ac:dyDescent="0.3">
      <c r="A585" s="6"/>
      <c r="B585" s="6" t="s">
        <v>356</v>
      </c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>
        <v>-1</v>
      </c>
      <c r="U585" s="6"/>
      <c r="V585" s="6"/>
      <c r="W585" s="6"/>
    </row>
    <row r="586" spans="1:23" x14ac:dyDescent="0.3">
      <c r="A586" s="6"/>
      <c r="B586" s="6" t="s">
        <v>474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>
        <v>-1</v>
      </c>
      <c r="U586" s="6"/>
      <c r="V586" s="6"/>
      <c r="W586" s="6"/>
    </row>
    <row r="587" spans="1:23" x14ac:dyDescent="0.3">
      <c r="A587" s="6"/>
      <c r="B587" s="6" t="s">
        <v>694</v>
      </c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>
        <v>-1</v>
      </c>
      <c r="U587" s="6"/>
      <c r="V587" s="6"/>
      <c r="W587" s="6"/>
    </row>
    <row r="588" spans="1:23" x14ac:dyDescent="0.3">
      <c r="A588" s="6"/>
      <c r="B588" s="6" t="s">
        <v>444</v>
      </c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>
        <v>-1</v>
      </c>
      <c r="U588" s="6"/>
      <c r="V588" s="6"/>
      <c r="W588" s="6"/>
    </row>
    <row r="589" spans="1:23" x14ac:dyDescent="0.3">
      <c r="A589" s="6" t="s">
        <v>1679</v>
      </c>
      <c r="B589" s="6" t="s">
        <v>344</v>
      </c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>
        <v>11</v>
      </c>
      <c r="U589" s="6"/>
      <c r="V589" s="6"/>
      <c r="W589" s="6"/>
    </row>
    <row r="590" spans="1:23" x14ac:dyDescent="0.3">
      <c r="A590" s="6" t="s">
        <v>3267</v>
      </c>
      <c r="B590" s="6" t="s">
        <v>344</v>
      </c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>
        <v>14</v>
      </c>
      <c r="U590" s="6"/>
      <c r="V590" s="6"/>
      <c r="W590" s="6"/>
    </row>
    <row r="591" spans="1:23" x14ac:dyDescent="0.3">
      <c r="A591" s="6"/>
      <c r="B591" s="6" t="s">
        <v>344</v>
      </c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>
        <v>-1</v>
      </c>
      <c r="U591" s="6"/>
      <c r="V591" s="6"/>
      <c r="W591" s="6"/>
    </row>
    <row r="592" spans="1:23" x14ac:dyDescent="0.3">
      <c r="A592" s="6" t="s">
        <v>4462</v>
      </c>
      <c r="B592" s="6" t="s">
        <v>328</v>
      </c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>
        <v>22</v>
      </c>
      <c r="U592" s="6"/>
      <c r="V592" s="6"/>
      <c r="W592" s="6"/>
    </row>
    <row r="593" spans="1:23" x14ac:dyDescent="0.3">
      <c r="A593" s="6"/>
      <c r="B593" s="6" t="s">
        <v>342</v>
      </c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>
        <v>-1</v>
      </c>
      <c r="U593" s="6"/>
      <c r="V593" s="6"/>
      <c r="W593" s="6"/>
    </row>
    <row r="594" spans="1:23" x14ac:dyDescent="0.3">
      <c r="A594" s="6"/>
      <c r="B594" s="6" t="s">
        <v>342</v>
      </c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>
        <v>-1</v>
      </c>
      <c r="U594" s="6"/>
      <c r="V594" s="6"/>
      <c r="W594" s="6"/>
    </row>
    <row r="595" spans="1:23" x14ac:dyDescent="0.3">
      <c r="A595" s="6"/>
      <c r="B595" s="6" t="s">
        <v>474</v>
      </c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>
        <v>-1</v>
      </c>
      <c r="U595" s="6"/>
      <c r="V595" s="6"/>
      <c r="W595" s="6"/>
    </row>
    <row r="596" spans="1:23" x14ac:dyDescent="0.3">
      <c r="A596" s="6"/>
      <c r="B596" s="6" t="s">
        <v>474</v>
      </c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>
        <v>-1</v>
      </c>
      <c r="U596" s="6"/>
      <c r="V596" s="6"/>
      <c r="W596" s="6"/>
    </row>
    <row r="597" spans="1:23" x14ac:dyDescent="0.3">
      <c r="A597" s="6" t="s">
        <v>3050</v>
      </c>
      <c r="B597" s="6" t="s">
        <v>336</v>
      </c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>
        <v>21</v>
      </c>
      <c r="U597" s="6"/>
      <c r="V597" s="6"/>
      <c r="W597" s="6"/>
    </row>
    <row r="598" spans="1:23" x14ac:dyDescent="0.3">
      <c r="A598" s="6"/>
      <c r="B598" s="6" t="s">
        <v>384</v>
      </c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>
        <v>-1</v>
      </c>
      <c r="U598" s="6"/>
      <c r="V598" s="6"/>
      <c r="W598" s="6"/>
    </row>
    <row r="599" spans="1:23" x14ac:dyDescent="0.3">
      <c r="A599" s="6"/>
      <c r="B599" s="6" t="s">
        <v>372</v>
      </c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>
        <v>-1</v>
      </c>
      <c r="U599" s="6"/>
      <c r="V599" s="6"/>
      <c r="W599" s="6"/>
    </row>
    <row r="600" spans="1:23" x14ac:dyDescent="0.3">
      <c r="A600" s="6"/>
      <c r="B600" s="6" t="s">
        <v>334</v>
      </c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>
        <v>-1</v>
      </c>
      <c r="U600" s="6"/>
      <c r="V600" s="6"/>
      <c r="W600" s="6"/>
    </row>
    <row r="601" spans="1:23" x14ac:dyDescent="0.3">
      <c r="A601" s="6"/>
      <c r="B601" s="6" t="s">
        <v>402</v>
      </c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>
        <v>-1</v>
      </c>
      <c r="U601" s="6"/>
      <c r="V601" s="6"/>
      <c r="W601" s="6"/>
    </row>
    <row r="602" spans="1:23" x14ac:dyDescent="0.3">
      <c r="A602" s="6"/>
      <c r="B602" s="6" t="s">
        <v>406</v>
      </c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>
        <v>-1</v>
      </c>
      <c r="U602" s="6"/>
      <c r="V602" s="6"/>
      <c r="W602" s="6"/>
    </row>
    <row r="603" spans="1:23" x14ac:dyDescent="0.3">
      <c r="A603" s="6" t="s">
        <v>2863</v>
      </c>
      <c r="B603" s="6" t="s">
        <v>356</v>
      </c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>
        <v>6</v>
      </c>
      <c r="U603" s="6"/>
      <c r="V603" s="6"/>
      <c r="W603" s="6"/>
    </row>
    <row r="604" spans="1:23" x14ac:dyDescent="0.3">
      <c r="A604" s="6" t="s">
        <v>5005</v>
      </c>
      <c r="B604" s="6" t="s">
        <v>364</v>
      </c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>
        <v>18</v>
      </c>
      <c r="U604" s="6"/>
      <c r="V604" s="6"/>
      <c r="W604" s="6"/>
    </row>
    <row r="605" spans="1:23" x14ac:dyDescent="0.3">
      <c r="A605" s="6"/>
      <c r="B605" s="6" t="s">
        <v>444</v>
      </c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>
        <v>-1</v>
      </c>
      <c r="U605" s="6"/>
      <c r="V605" s="6"/>
      <c r="W605" s="6"/>
    </row>
    <row r="606" spans="1:23" x14ac:dyDescent="0.3">
      <c r="A606" s="6" t="s">
        <v>4453</v>
      </c>
      <c r="B606" s="6" t="s">
        <v>352</v>
      </c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>
        <v>10</v>
      </c>
      <c r="U606" s="6"/>
      <c r="V606" s="6"/>
      <c r="W606" s="6"/>
    </row>
    <row r="607" spans="1:23" x14ac:dyDescent="0.3">
      <c r="A607" s="6"/>
      <c r="B607" s="6" t="s">
        <v>332</v>
      </c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>
        <v>-1</v>
      </c>
      <c r="T607" s="6"/>
      <c r="U607" s="6"/>
      <c r="V607" s="6"/>
      <c r="W607" s="6"/>
    </row>
    <row r="608" spans="1:23" x14ac:dyDescent="0.3">
      <c r="A608" s="6"/>
      <c r="B608" s="6" t="s">
        <v>332</v>
      </c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>
        <v>-1</v>
      </c>
      <c r="T608" s="6"/>
      <c r="U608" s="6"/>
      <c r="V608" s="6"/>
      <c r="W608" s="6"/>
    </row>
    <row r="609" spans="1:23" x14ac:dyDescent="0.3">
      <c r="A609" s="6" t="s">
        <v>1850</v>
      </c>
      <c r="B609" s="6" t="s">
        <v>332</v>
      </c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>
        <v>6</v>
      </c>
      <c r="T609" s="6"/>
      <c r="U609" s="6"/>
      <c r="V609" s="6"/>
      <c r="W609" s="6"/>
    </row>
    <row r="610" spans="1:23" x14ac:dyDescent="0.3">
      <c r="A610" s="6"/>
      <c r="B610" s="6" t="s">
        <v>334</v>
      </c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>
        <v>-1</v>
      </c>
      <c r="T610" s="6"/>
      <c r="U610" s="6"/>
      <c r="V610" s="6"/>
      <c r="W610" s="6"/>
    </row>
    <row r="611" spans="1:23" x14ac:dyDescent="0.3">
      <c r="A611" s="6"/>
      <c r="B611" s="6" t="s">
        <v>334</v>
      </c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>
        <v>-1</v>
      </c>
      <c r="T611" s="6"/>
      <c r="U611" s="6"/>
      <c r="V611" s="6"/>
      <c r="W611" s="6"/>
    </row>
    <row r="612" spans="1:23" x14ac:dyDescent="0.3">
      <c r="A612" s="6"/>
      <c r="B612" s="6" t="s">
        <v>690</v>
      </c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>
        <v>-1</v>
      </c>
      <c r="T612" s="6"/>
      <c r="U612" s="6"/>
      <c r="V612" s="6"/>
      <c r="W612" s="6"/>
    </row>
    <row r="613" spans="1:23" x14ac:dyDescent="0.3">
      <c r="A613" s="6"/>
      <c r="B613" s="6" t="s">
        <v>690</v>
      </c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>
        <v>-1</v>
      </c>
      <c r="T613" s="6"/>
      <c r="U613" s="6"/>
      <c r="V613" s="6"/>
      <c r="W613" s="6"/>
    </row>
    <row r="614" spans="1:23" x14ac:dyDescent="0.3">
      <c r="A614" s="6"/>
      <c r="B614" s="6" t="s">
        <v>370</v>
      </c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>
        <v>-1</v>
      </c>
      <c r="T614" s="6"/>
      <c r="U614" s="6"/>
      <c r="V614" s="6"/>
      <c r="W614" s="6"/>
    </row>
    <row r="615" spans="1:23" x14ac:dyDescent="0.3">
      <c r="A615" s="6"/>
      <c r="B615" s="6" t="s">
        <v>538</v>
      </c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>
        <v>-1</v>
      </c>
      <c r="T615" s="6"/>
      <c r="U615" s="6"/>
      <c r="V615" s="6"/>
      <c r="W615" s="6"/>
    </row>
    <row r="616" spans="1:23" x14ac:dyDescent="0.3">
      <c r="A616" s="6" t="s">
        <v>4874</v>
      </c>
      <c r="B616" s="6" t="s">
        <v>362</v>
      </c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>
        <v>22</v>
      </c>
      <c r="T616" s="6"/>
      <c r="U616" s="6"/>
      <c r="V616" s="6"/>
      <c r="W616" s="6"/>
    </row>
    <row r="617" spans="1:23" x14ac:dyDescent="0.3">
      <c r="A617" s="6" t="s">
        <v>2480</v>
      </c>
      <c r="B617" s="6" t="s">
        <v>344</v>
      </c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>
        <v>11</v>
      </c>
      <c r="T617" s="6"/>
      <c r="U617" s="6"/>
      <c r="V617" s="6"/>
      <c r="W617" s="6"/>
    </row>
    <row r="618" spans="1:23" x14ac:dyDescent="0.3">
      <c r="A618" s="6"/>
      <c r="B618" s="6" t="s">
        <v>356</v>
      </c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>
        <v>-1</v>
      </c>
      <c r="T618" s="6"/>
      <c r="U618" s="6"/>
      <c r="V618" s="6"/>
      <c r="W618" s="6"/>
    </row>
    <row r="619" spans="1:23" x14ac:dyDescent="0.3">
      <c r="A619" s="6" t="s">
        <v>1748</v>
      </c>
      <c r="B619" s="6" t="s">
        <v>428</v>
      </c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>
        <v>26</v>
      </c>
      <c r="T619" s="6"/>
      <c r="U619" s="6"/>
      <c r="V619" s="6"/>
      <c r="W619" s="6"/>
    </row>
    <row r="620" spans="1:23" x14ac:dyDescent="0.3">
      <c r="A620" s="6"/>
      <c r="B620" s="6" t="s">
        <v>440</v>
      </c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>
        <v>-1</v>
      </c>
      <c r="T620" s="6"/>
      <c r="U620" s="6"/>
      <c r="V620" s="6"/>
      <c r="W620" s="6"/>
    </row>
    <row r="621" spans="1:23" x14ac:dyDescent="0.3">
      <c r="A621" s="6"/>
      <c r="B621" s="6" t="s">
        <v>346</v>
      </c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>
        <v>-1</v>
      </c>
      <c r="T621" s="6"/>
      <c r="U621" s="6"/>
      <c r="V621" s="6"/>
      <c r="W621" s="6"/>
    </row>
    <row r="622" spans="1:23" x14ac:dyDescent="0.3">
      <c r="A622" s="6" t="s">
        <v>1905</v>
      </c>
      <c r="B622" s="6" t="s">
        <v>348</v>
      </c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>
        <v>7</v>
      </c>
      <c r="T622" s="6"/>
      <c r="U622" s="6"/>
      <c r="V622" s="6"/>
      <c r="W622" s="6"/>
    </row>
    <row r="623" spans="1:23" x14ac:dyDescent="0.3">
      <c r="A623" s="6"/>
      <c r="B623" s="6" t="s">
        <v>600</v>
      </c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>
        <v>-1</v>
      </c>
      <c r="T623" s="6"/>
      <c r="U623" s="6"/>
      <c r="V623" s="6"/>
      <c r="W623" s="6"/>
    </row>
    <row r="624" spans="1:23" x14ac:dyDescent="0.3">
      <c r="A624" s="6" t="s">
        <v>4640</v>
      </c>
      <c r="B624" s="6" t="s">
        <v>600</v>
      </c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>
        <v>8</v>
      </c>
      <c r="T624" s="6"/>
      <c r="U624" s="6">
        <v>7</v>
      </c>
      <c r="V624" s="6"/>
      <c r="W624" s="6"/>
    </row>
    <row r="625" spans="1:23" x14ac:dyDescent="0.3">
      <c r="A625" s="6" t="s">
        <v>1945</v>
      </c>
      <c r="B625" s="6" t="s">
        <v>440</v>
      </c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>
        <v>5</v>
      </c>
      <c r="T625" s="6"/>
      <c r="U625" s="6"/>
      <c r="V625" s="6"/>
      <c r="W625" s="6"/>
    </row>
    <row r="626" spans="1:23" x14ac:dyDescent="0.3">
      <c r="A626" s="6"/>
      <c r="B626" s="6" t="s">
        <v>440</v>
      </c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>
        <v>-1</v>
      </c>
      <c r="T626" s="6"/>
      <c r="U626" s="6"/>
      <c r="V626" s="6"/>
      <c r="W626" s="6"/>
    </row>
    <row r="627" spans="1:23" x14ac:dyDescent="0.3">
      <c r="A627" s="6" t="s">
        <v>2875</v>
      </c>
      <c r="B627" s="6" t="s">
        <v>330</v>
      </c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>
        <v>15</v>
      </c>
      <c r="T627" s="6"/>
      <c r="U627" s="6"/>
      <c r="V627" s="6"/>
      <c r="W627" s="6"/>
    </row>
    <row r="628" spans="1:23" x14ac:dyDescent="0.3">
      <c r="A628" s="6"/>
      <c r="B628" s="6" t="s">
        <v>330</v>
      </c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>
        <v>-1</v>
      </c>
      <c r="T628" s="6"/>
      <c r="U628" s="6"/>
      <c r="V628" s="6"/>
      <c r="W628" s="6"/>
    </row>
    <row r="629" spans="1:23" x14ac:dyDescent="0.3">
      <c r="A629" s="6"/>
      <c r="B629" s="6" t="s">
        <v>354</v>
      </c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>
        <v>-1</v>
      </c>
      <c r="T629" s="6"/>
      <c r="U629" s="6"/>
      <c r="V629" s="6"/>
      <c r="W629" s="6"/>
    </row>
    <row r="630" spans="1:23" x14ac:dyDescent="0.3">
      <c r="A630" s="6"/>
      <c r="B630" s="6" t="s">
        <v>336</v>
      </c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>
        <v>-1</v>
      </c>
      <c r="T630" s="6"/>
      <c r="U630" s="6"/>
      <c r="V630" s="6"/>
      <c r="W630" s="6"/>
    </row>
    <row r="631" spans="1:23" x14ac:dyDescent="0.3">
      <c r="A631" s="6" t="s">
        <v>2120</v>
      </c>
      <c r="B631" s="6" t="s">
        <v>328</v>
      </c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>
        <v>13</v>
      </c>
      <c r="T631" s="6"/>
      <c r="U631" s="6"/>
      <c r="V631" s="6"/>
      <c r="W631" s="6"/>
    </row>
    <row r="632" spans="1:23" x14ac:dyDescent="0.3">
      <c r="A632" s="6"/>
      <c r="B632" s="6" t="s">
        <v>334</v>
      </c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>
        <v>-1</v>
      </c>
      <c r="T632" s="6"/>
      <c r="U632" s="6"/>
      <c r="V632" s="6"/>
      <c r="W632" s="6"/>
    </row>
    <row r="633" spans="1:23" x14ac:dyDescent="0.3">
      <c r="A633" s="6"/>
      <c r="B633" s="6" t="s">
        <v>406</v>
      </c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>
        <v>-1</v>
      </c>
      <c r="T633" s="6"/>
      <c r="U633" s="6"/>
      <c r="V633" s="6"/>
      <c r="W633" s="6"/>
    </row>
    <row r="634" spans="1:23" x14ac:dyDescent="0.3">
      <c r="A634" s="6"/>
      <c r="B634" s="6" t="s">
        <v>412</v>
      </c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>
        <v>-1</v>
      </c>
      <c r="T634" s="6"/>
      <c r="U634" s="6"/>
      <c r="V634" s="6"/>
      <c r="W634" s="6"/>
    </row>
    <row r="635" spans="1:23" x14ac:dyDescent="0.3">
      <c r="A635" s="6"/>
      <c r="B635" s="6" t="s">
        <v>394</v>
      </c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>
        <v>-1</v>
      </c>
      <c r="T635" s="6"/>
      <c r="U635" s="6"/>
      <c r="V635" s="6"/>
      <c r="W635" s="6"/>
    </row>
    <row r="636" spans="1:23" x14ac:dyDescent="0.3">
      <c r="A636" s="6"/>
      <c r="B636" s="6" t="s">
        <v>348</v>
      </c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>
        <v>-1</v>
      </c>
      <c r="T636" s="6"/>
      <c r="U636" s="6"/>
      <c r="V636" s="6"/>
      <c r="W636" s="6"/>
    </row>
    <row r="637" spans="1:23" x14ac:dyDescent="0.3">
      <c r="A637" s="6"/>
      <c r="B637" s="6" t="s">
        <v>336</v>
      </c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>
        <v>-1</v>
      </c>
      <c r="T637" s="6"/>
      <c r="U637" s="6"/>
      <c r="V637" s="6"/>
      <c r="W637" s="6"/>
    </row>
    <row r="638" spans="1:23" x14ac:dyDescent="0.3">
      <c r="A638" s="6" t="s">
        <v>4427</v>
      </c>
      <c r="B638" s="6" t="s">
        <v>326</v>
      </c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>
        <v>29</v>
      </c>
      <c r="T638" s="6"/>
      <c r="U638" s="6"/>
      <c r="V638" s="6"/>
      <c r="W638" s="6"/>
    </row>
    <row r="639" spans="1:23" x14ac:dyDescent="0.3">
      <c r="A639" s="6"/>
      <c r="B639" s="6" t="s">
        <v>470</v>
      </c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>
        <v>-1</v>
      </c>
      <c r="W639" s="6"/>
    </row>
    <row r="640" spans="1:23" x14ac:dyDescent="0.3">
      <c r="A640" s="6"/>
      <c r="B640" s="6" t="s">
        <v>470</v>
      </c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>
        <v>-1</v>
      </c>
      <c r="W640" s="6"/>
    </row>
    <row r="641" spans="1:23" x14ac:dyDescent="0.3">
      <c r="A641" s="6"/>
      <c r="B641" s="6" t="s">
        <v>600</v>
      </c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>
        <v>-1</v>
      </c>
      <c r="W641" s="6"/>
    </row>
    <row r="642" spans="1:23" x14ac:dyDescent="0.3">
      <c r="A642" s="6"/>
      <c r="B642" s="6" t="s">
        <v>600</v>
      </c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>
        <v>-1</v>
      </c>
      <c r="W642" s="6"/>
    </row>
    <row r="643" spans="1:23" x14ac:dyDescent="0.3">
      <c r="A643" s="6"/>
      <c r="B643" s="6" t="s">
        <v>562</v>
      </c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>
        <v>-1</v>
      </c>
      <c r="W643" s="6"/>
    </row>
    <row r="644" spans="1:23" x14ac:dyDescent="0.3">
      <c r="A644" s="6" t="s">
        <v>3231</v>
      </c>
      <c r="B644" s="6" t="s">
        <v>344</v>
      </c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>
        <v>12</v>
      </c>
      <c r="W644" s="6"/>
    </row>
    <row r="645" spans="1:23" x14ac:dyDescent="0.3">
      <c r="A645" s="6"/>
      <c r="B645" s="6" t="s">
        <v>330</v>
      </c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>
        <v>-1</v>
      </c>
      <c r="W645" s="6"/>
    </row>
    <row r="646" spans="1:23" x14ac:dyDescent="0.3">
      <c r="A646" s="6"/>
      <c r="B646" s="6" t="s">
        <v>718</v>
      </c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>
        <v>-1</v>
      </c>
      <c r="W646" s="6"/>
    </row>
    <row r="647" spans="1:23" x14ac:dyDescent="0.3">
      <c r="A647" s="6"/>
      <c r="B647" s="6" t="s">
        <v>726</v>
      </c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>
        <v>-1</v>
      </c>
      <c r="W647" s="6"/>
    </row>
    <row r="648" spans="1:23" x14ac:dyDescent="0.3">
      <c r="A648" s="6" t="s">
        <v>1902</v>
      </c>
      <c r="B648" s="6" t="s">
        <v>348</v>
      </c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>
        <v>13</v>
      </c>
      <c r="W648" s="6"/>
    </row>
    <row r="649" spans="1:23" x14ac:dyDescent="0.3">
      <c r="A649" s="6"/>
      <c r="B649" s="6" t="s">
        <v>348</v>
      </c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>
        <v>-1</v>
      </c>
      <c r="W649" s="6"/>
    </row>
    <row r="650" spans="1:23" x14ac:dyDescent="0.3">
      <c r="A650" s="6"/>
      <c r="B650" s="6" t="s">
        <v>348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>
        <v>-1</v>
      </c>
      <c r="W650" s="6"/>
    </row>
    <row r="651" spans="1:23" x14ac:dyDescent="0.3">
      <c r="A651" s="6"/>
      <c r="B651" s="6" t="s">
        <v>332</v>
      </c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>
        <v>-1</v>
      </c>
      <c r="W651" s="6"/>
    </row>
    <row r="652" spans="1:23" x14ac:dyDescent="0.3">
      <c r="A652" s="6"/>
      <c r="B652" s="6" t="s">
        <v>332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>
        <v>-1</v>
      </c>
      <c r="W652" s="6"/>
    </row>
    <row r="653" spans="1:23" x14ac:dyDescent="0.3">
      <c r="A653" s="6" t="s">
        <v>1654</v>
      </c>
      <c r="B653" s="6" t="s">
        <v>332</v>
      </c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>
        <v>9</v>
      </c>
      <c r="W653" s="6"/>
    </row>
    <row r="654" spans="1:23" x14ac:dyDescent="0.3">
      <c r="A654" s="6"/>
      <c r="B654" s="6" t="s">
        <v>370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>
        <v>-1</v>
      </c>
      <c r="W654" s="6"/>
    </row>
    <row r="655" spans="1:23" x14ac:dyDescent="0.3">
      <c r="A655" s="6"/>
      <c r="B655" s="6" t="s">
        <v>356</v>
      </c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>
        <v>-1</v>
      </c>
      <c r="W655" s="6"/>
    </row>
    <row r="656" spans="1:23" x14ac:dyDescent="0.3">
      <c r="A656" s="6" t="s">
        <v>1566</v>
      </c>
      <c r="B656" s="6" t="s">
        <v>356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>
        <v>8</v>
      </c>
      <c r="W656" s="6"/>
    </row>
    <row r="657" spans="1:23" x14ac:dyDescent="0.3">
      <c r="A657" s="6"/>
      <c r="B657" s="6" t="s">
        <v>510</v>
      </c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>
        <v>-1</v>
      </c>
      <c r="W657" s="6"/>
    </row>
    <row r="658" spans="1:23" x14ac:dyDescent="0.3">
      <c r="A658" s="6"/>
      <c r="B658" s="6" t="s">
        <v>336</v>
      </c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>
        <v>-1</v>
      </c>
      <c r="W658" s="6"/>
    </row>
    <row r="659" spans="1:23" x14ac:dyDescent="0.3">
      <c r="A659" s="6"/>
      <c r="B659" s="6" t="s">
        <v>328</v>
      </c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>
        <v>-1</v>
      </c>
      <c r="W659" s="6"/>
    </row>
    <row r="660" spans="1:23" x14ac:dyDescent="0.3">
      <c r="A660" s="6"/>
      <c r="B660" s="6" t="s">
        <v>372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>
        <v>-1</v>
      </c>
      <c r="W660" s="6"/>
    </row>
    <row r="661" spans="1:23" x14ac:dyDescent="0.3">
      <c r="A661" s="6" t="s">
        <v>1754</v>
      </c>
      <c r="B661" s="6" t="s">
        <v>428</v>
      </c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>
        <v>28</v>
      </c>
      <c r="W661" s="6"/>
    </row>
    <row r="662" spans="1:23" x14ac:dyDescent="0.3">
      <c r="A662" s="6" t="s">
        <v>3400</v>
      </c>
      <c r="B662" s="6" t="s">
        <v>620</v>
      </c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>
        <v>25</v>
      </c>
      <c r="W662" s="6"/>
    </row>
    <row r="663" spans="1:23" x14ac:dyDescent="0.3">
      <c r="A663" s="6"/>
      <c r="B663" s="6" t="s">
        <v>688</v>
      </c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>
        <v>-1</v>
      </c>
      <c r="W663" s="6"/>
    </row>
    <row r="664" spans="1:23" x14ac:dyDescent="0.3">
      <c r="A664" s="6"/>
      <c r="B664" s="6" t="s">
        <v>694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>
        <v>-1</v>
      </c>
      <c r="W664" s="6"/>
    </row>
    <row r="665" spans="1:23" x14ac:dyDescent="0.3">
      <c r="A665" s="6"/>
      <c r="B665" s="6" t="s">
        <v>338</v>
      </c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>
        <v>-1</v>
      </c>
      <c r="W665" s="6"/>
    </row>
    <row r="666" spans="1:23" x14ac:dyDescent="0.3">
      <c r="A666" s="6"/>
      <c r="B666" s="6" t="s">
        <v>726</v>
      </c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>
        <v>-1</v>
      </c>
      <c r="W666" s="6"/>
    </row>
    <row r="667" spans="1:23" x14ac:dyDescent="0.3">
      <c r="A667" s="6"/>
      <c r="B667" s="6" t="s">
        <v>614</v>
      </c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>
        <v>-1</v>
      </c>
      <c r="W667" s="6"/>
    </row>
    <row r="668" spans="1:23" x14ac:dyDescent="0.3">
      <c r="A668" s="6"/>
      <c r="B668" s="6" t="s">
        <v>620</v>
      </c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>
        <v>-1</v>
      </c>
      <c r="W668" s="6"/>
    </row>
    <row r="669" spans="1:23" x14ac:dyDescent="0.3">
      <c r="A669" s="6"/>
      <c r="B669" s="6" t="s">
        <v>482</v>
      </c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>
        <v>-1</v>
      </c>
      <c r="W669" s="6"/>
    </row>
    <row r="670" spans="1:23" x14ac:dyDescent="0.3">
      <c r="A670" s="6" t="s">
        <v>4703</v>
      </c>
      <c r="B670" s="6" t="s">
        <v>332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>
        <v>17</v>
      </c>
      <c r="V670" s="6"/>
      <c r="W670" s="6"/>
    </row>
    <row r="671" spans="1:23" x14ac:dyDescent="0.3">
      <c r="A671" s="6"/>
      <c r="B671" s="6" t="s">
        <v>332</v>
      </c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>
        <v>-1</v>
      </c>
      <c r="V671" s="6"/>
      <c r="W671" s="6"/>
    </row>
    <row r="672" spans="1:23" x14ac:dyDescent="0.3">
      <c r="A672" s="6"/>
      <c r="B672" s="6" t="s">
        <v>332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>
        <v>-1</v>
      </c>
      <c r="V672" s="6"/>
      <c r="W672" s="6"/>
    </row>
    <row r="673" spans="1:23" x14ac:dyDescent="0.3">
      <c r="A673" s="6"/>
      <c r="B673" s="6" t="s">
        <v>328</v>
      </c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>
        <v>-1</v>
      </c>
      <c r="V673" s="6"/>
      <c r="W673" s="6"/>
    </row>
    <row r="674" spans="1:23" x14ac:dyDescent="0.3">
      <c r="A674" s="6" t="s">
        <v>4287</v>
      </c>
      <c r="B674" s="6" t="s">
        <v>328</v>
      </c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>
        <v>5</v>
      </c>
      <c r="V674" s="6"/>
      <c r="W674" s="6"/>
    </row>
    <row r="675" spans="1:23" x14ac:dyDescent="0.3">
      <c r="A675" s="6"/>
      <c r="B675" s="6" t="s">
        <v>334</v>
      </c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>
        <v>-1</v>
      </c>
      <c r="V675" s="6"/>
      <c r="W675" s="6"/>
    </row>
    <row r="676" spans="1:23" x14ac:dyDescent="0.3">
      <c r="A676" s="6" t="s">
        <v>3442</v>
      </c>
      <c r="B676" s="6" t="s">
        <v>334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>
        <v>1</v>
      </c>
      <c r="V676" s="6"/>
      <c r="W676" s="6"/>
    </row>
    <row r="677" spans="1:23" x14ac:dyDescent="0.3">
      <c r="A677" s="6"/>
      <c r="B677" s="6" t="s">
        <v>412</v>
      </c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>
        <v>-1</v>
      </c>
      <c r="V677" s="6"/>
      <c r="W677" s="6"/>
    </row>
    <row r="678" spans="1:23" x14ac:dyDescent="0.3">
      <c r="A678" s="6" t="s">
        <v>1796</v>
      </c>
      <c r="B678" s="6" t="s">
        <v>412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>
        <v>7</v>
      </c>
      <c r="P678" s="6"/>
      <c r="Q678" s="6"/>
      <c r="R678" s="6"/>
      <c r="S678" s="6"/>
      <c r="T678" s="6"/>
      <c r="U678" s="6">
        <v>27</v>
      </c>
      <c r="V678" s="6"/>
      <c r="W678" s="6"/>
    </row>
    <row r="679" spans="1:23" x14ac:dyDescent="0.3">
      <c r="A679" s="6" t="s">
        <v>4094</v>
      </c>
      <c r="B679" s="6" t="s">
        <v>346</v>
      </c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>
        <v>8</v>
      </c>
      <c r="V679" s="6"/>
      <c r="W679" s="6"/>
    </row>
    <row r="680" spans="1:23" x14ac:dyDescent="0.3">
      <c r="A680" s="6"/>
      <c r="B680" s="6" t="s">
        <v>338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>
        <v>-1</v>
      </c>
      <c r="V680" s="6"/>
      <c r="W680" s="6"/>
    </row>
    <row r="681" spans="1:23" x14ac:dyDescent="0.3">
      <c r="A681" s="6"/>
      <c r="B681" s="6" t="s">
        <v>338</v>
      </c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>
        <v>-1</v>
      </c>
      <c r="V681" s="6"/>
      <c r="W681" s="6"/>
    </row>
    <row r="682" spans="1:23" x14ac:dyDescent="0.3">
      <c r="A682" s="6"/>
      <c r="B682" s="6" t="s">
        <v>384</v>
      </c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>
        <v>-1</v>
      </c>
      <c r="V682" s="6"/>
      <c r="W682" s="6"/>
    </row>
    <row r="683" spans="1:23" x14ac:dyDescent="0.3">
      <c r="A683" s="6"/>
      <c r="B683" s="6" t="s">
        <v>600</v>
      </c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>
        <v>-1</v>
      </c>
      <c r="V683" s="6"/>
      <c r="W683" s="6"/>
    </row>
    <row r="684" spans="1:23" x14ac:dyDescent="0.3">
      <c r="A684" s="6"/>
      <c r="B684" s="6" t="s">
        <v>474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>
        <v>-1</v>
      </c>
      <c r="V684" s="6"/>
      <c r="W684" s="6"/>
    </row>
    <row r="685" spans="1:23" x14ac:dyDescent="0.3">
      <c r="A685" s="6"/>
      <c r="B685" s="6" t="s">
        <v>336</v>
      </c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>
        <v>-1</v>
      </c>
      <c r="V685" s="6"/>
      <c r="W685" s="6"/>
    </row>
    <row r="686" spans="1:23" x14ac:dyDescent="0.3">
      <c r="A686" s="6"/>
      <c r="B686" s="6" t="s">
        <v>366</v>
      </c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>
        <v>-1</v>
      </c>
      <c r="V686" s="6"/>
      <c r="W686" s="6"/>
    </row>
    <row r="687" spans="1:23" x14ac:dyDescent="0.3">
      <c r="A687" s="6"/>
      <c r="B687" s="6" t="s">
        <v>328</v>
      </c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>
        <v>-1</v>
      </c>
      <c r="V687" s="6"/>
      <c r="W687" s="6"/>
    </row>
    <row r="688" spans="1:23" x14ac:dyDescent="0.3">
      <c r="A688" s="6"/>
      <c r="B688" s="6" t="s">
        <v>334</v>
      </c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>
        <v>-1</v>
      </c>
      <c r="V688" s="6"/>
      <c r="W688" s="6"/>
    </row>
    <row r="689" spans="1:23" x14ac:dyDescent="0.3">
      <c r="A689" s="6" t="s">
        <v>1822</v>
      </c>
      <c r="B689" s="6" t="s">
        <v>600</v>
      </c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>
        <v>14</v>
      </c>
      <c r="V689" s="6"/>
      <c r="W689" s="6"/>
    </row>
    <row r="690" spans="1:23" x14ac:dyDescent="0.3">
      <c r="A690" s="6"/>
      <c r="B690" s="6" t="s">
        <v>390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>
        <v>-1</v>
      </c>
      <c r="V690" s="6"/>
      <c r="W690" s="6"/>
    </row>
    <row r="691" spans="1:23" x14ac:dyDescent="0.3">
      <c r="A691" s="6"/>
      <c r="B691" s="6" t="s">
        <v>412</v>
      </c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>
        <v>-1</v>
      </c>
      <c r="V691" s="6"/>
      <c r="W691" s="6"/>
    </row>
    <row r="692" spans="1:23" x14ac:dyDescent="0.3">
      <c r="A692" s="6" t="s">
        <v>1554</v>
      </c>
      <c r="B692" s="6" t="s">
        <v>394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>
        <v>19</v>
      </c>
      <c r="V692" s="6"/>
      <c r="W692" s="6"/>
    </row>
    <row r="693" spans="1:23" x14ac:dyDescent="0.3">
      <c r="A693" s="6"/>
      <c r="B693" s="6" t="s">
        <v>346</v>
      </c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>
        <v>-1</v>
      </c>
      <c r="V693" s="6"/>
      <c r="W693" s="6"/>
    </row>
    <row r="694" spans="1:23" x14ac:dyDescent="0.3">
      <c r="A694" s="6"/>
      <c r="B694" s="6" t="s">
        <v>422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>
        <v>-1</v>
      </c>
      <c r="V694" s="6"/>
      <c r="W694" s="6"/>
    </row>
    <row r="695" spans="1:23" x14ac:dyDescent="0.3">
      <c r="A695" s="6"/>
      <c r="B695" s="6" t="s">
        <v>330</v>
      </c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>
        <v>-1</v>
      </c>
      <c r="V695" s="6"/>
      <c r="W695" s="6"/>
    </row>
    <row r="696" spans="1:23" x14ac:dyDescent="0.3">
      <c r="A696" s="6"/>
      <c r="B696" s="6" t="s">
        <v>480</v>
      </c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>
        <v>-1</v>
      </c>
      <c r="V696" s="6"/>
      <c r="W696" s="6"/>
    </row>
    <row r="697" spans="1:23" x14ac:dyDescent="0.3">
      <c r="A697" s="6"/>
      <c r="B697" s="6" t="s">
        <v>718</v>
      </c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>
        <v>-1</v>
      </c>
      <c r="V697" s="6"/>
      <c r="W697" s="6"/>
    </row>
    <row r="698" spans="1:23" x14ac:dyDescent="0.3">
      <c r="A698" s="6"/>
      <c r="B698" s="6" t="s">
        <v>366</v>
      </c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>
        <v>-1</v>
      </c>
      <c r="V698" s="6"/>
      <c r="W698" s="6"/>
    </row>
    <row r="699" spans="1:23" x14ac:dyDescent="0.3">
      <c r="A699" s="6" t="s">
        <v>2342</v>
      </c>
      <c r="B699" s="6" t="s">
        <v>594</v>
      </c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>
        <v>20</v>
      </c>
      <c r="V699" s="6"/>
      <c r="W699" s="6"/>
    </row>
    <row r="700" spans="1:23" x14ac:dyDescent="0.3">
      <c r="A700" s="6"/>
      <c r="B700" s="6" t="s">
        <v>422</v>
      </c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>
        <v>-1</v>
      </c>
      <c r="V700" s="6"/>
      <c r="W700" s="6"/>
    </row>
    <row r="701" spans="1:23" x14ac:dyDescent="0.3">
      <c r="A701" s="6" t="s">
        <v>1607</v>
      </c>
      <c r="B701" s="6" t="s">
        <v>336</v>
      </c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>
        <v>29</v>
      </c>
      <c r="V701" s="6"/>
      <c r="W701" s="6"/>
    </row>
    <row r="702" spans="1:23" x14ac:dyDescent="0.3">
      <c r="A702" s="6"/>
      <c r="B702" s="6" t="s">
        <v>334</v>
      </c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>
        <v>-1</v>
      </c>
      <c r="P702" s="6"/>
      <c r="Q702" s="6"/>
      <c r="R702" s="6"/>
      <c r="S702" s="6"/>
      <c r="T702" s="6"/>
      <c r="U702" s="6"/>
      <c r="V702" s="6"/>
      <c r="W702" s="6"/>
    </row>
    <row r="703" spans="1:23" x14ac:dyDescent="0.3">
      <c r="A703" s="6"/>
      <c r="B703" s="6" t="s">
        <v>334</v>
      </c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>
        <v>-1</v>
      </c>
      <c r="P703" s="6"/>
      <c r="Q703" s="6"/>
      <c r="R703" s="6"/>
      <c r="S703" s="6"/>
      <c r="T703" s="6"/>
      <c r="U703" s="6"/>
      <c r="V703" s="6"/>
      <c r="W703" s="6"/>
    </row>
    <row r="704" spans="1:23" x14ac:dyDescent="0.3">
      <c r="A704" s="6"/>
      <c r="B704" s="6" t="s">
        <v>334</v>
      </c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>
        <v>-1</v>
      </c>
      <c r="P704" s="6"/>
      <c r="Q704" s="6"/>
      <c r="R704" s="6"/>
      <c r="S704" s="6"/>
      <c r="T704" s="6"/>
      <c r="U704" s="6"/>
      <c r="V704" s="6"/>
      <c r="W704" s="6"/>
    </row>
    <row r="705" spans="1:23" x14ac:dyDescent="0.3">
      <c r="A705" s="6"/>
      <c r="B705" s="6" t="s">
        <v>412</v>
      </c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>
        <v>-1</v>
      </c>
      <c r="P705" s="6"/>
      <c r="Q705" s="6"/>
      <c r="R705" s="6"/>
      <c r="S705" s="6"/>
      <c r="T705" s="6"/>
      <c r="U705" s="6"/>
      <c r="V705" s="6"/>
      <c r="W705" s="6"/>
    </row>
    <row r="706" spans="1:23" x14ac:dyDescent="0.3">
      <c r="A706" s="6" t="s">
        <v>4093</v>
      </c>
      <c r="B706" s="6" t="s">
        <v>346</v>
      </c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>
        <v>14</v>
      </c>
      <c r="P706" s="6"/>
      <c r="Q706" s="6"/>
      <c r="R706" s="6"/>
      <c r="S706" s="6"/>
      <c r="T706" s="6"/>
      <c r="U706" s="6"/>
      <c r="V706" s="6"/>
      <c r="W706" s="6"/>
    </row>
    <row r="707" spans="1:23" x14ac:dyDescent="0.3">
      <c r="A707" s="6" t="s">
        <v>3808</v>
      </c>
      <c r="B707" s="6" t="s">
        <v>346</v>
      </c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>
        <v>9</v>
      </c>
      <c r="P707" s="6"/>
      <c r="Q707" s="6"/>
      <c r="R707" s="6"/>
      <c r="S707" s="6"/>
      <c r="T707" s="6"/>
      <c r="U707" s="6"/>
      <c r="V707" s="6"/>
      <c r="W707" s="6"/>
    </row>
    <row r="708" spans="1:23" x14ac:dyDescent="0.3">
      <c r="A708" s="6"/>
      <c r="B708" s="6" t="s">
        <v>332</v>
      </c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>
        <v>-1</v>
      </c>
      <c r="P708" s="6"/>
      <c r="Q708" s="6"/>
      <c r="R708" s="6"/>
      <c r="S708" s="6"/>
      <c r="T708" s="6"/>
      <c r="U708" s="6"/>
      <c r="V708" s="6"/>
      <c r="W708" s="6"/>
    </row>
    <row r="709" spans="1:23" x14ac:dyDescent="0.3">
      <c r="A709" s="6"/>
      <c r="B709" s="6" t="s">
        <v>332</v>
      </c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>
        <v>-1</v>
      </c>
      <c r="P709" s="6"/>
      <c r="Q709" s="6"/>
      <c r="R709" s="6"/>
      <c r="S709" s="6"/>
      <c r="T709" s="6"/>
      <c r="U709" s="6"/>
      <c r="V709" s="6"/>
      <c r="W709" s="6"/>
    </row>
    <row r="710" spans="1:23" x14ac:dyDescent="0.3">
      <c r="A710" s="6" t="s">
        <v>3101</v>
      </c>
      <c r="B710" s="6" t="s">
        <v>336</v>
      </c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>
        <v>17</v>
      </c>
      <c r="P710" s="6"/>
      <c r="Q710" s="6"/>
      <c r="R710" s="6"/>
      <c r="S710" s="6"/>
      <c r="T710" s="6"/>
      <c r="U710" s="6"/>
      <c r="V710" s="6"/>
      <c r="W710" s="6"/>
    </row>
    <row r="711" spans="1:23" x14ac:dyDescent="0.3">
      <c r="A711" s="6"/>
      <c r="B711" s="6" t="s">
        <v>328</v>
      </c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>
        <v>-1</v>
      </c>
      <c r="P711" s="6"/>
      <c r="Q711" s="6"/>
      <c r="R711" s="6"/>
      <c r="S711" s="6"/>
      <c r="T711" s="6"/>
      <c r="U711" s="6"/>
      <c r="V711" s="6"/>
      <c r="W711" s="6"/>
    </row>
    <row r="712" spans="1:23" x14ac:dyDescent="0.3">
      <c r="A712" s="6" t="s">
        <v>3546</v>
      </c>
      <c r="B712" s="6" t="s">
        <v>450</v>
      </c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>
        <v>3</v>
      </c>
      <c r="P712" s="6"/>
      <c r="Q712" s="6"/>
      <c r="R712" s="6"/>
      <c r="S712" s="6"/>
      <c r="T712" s="6"/>
      <c r="U712" s="6"/>
      <c r="V712" s="6"/>
      <c r="W712" s="6"/>
    </row>
    <row r="713" spans="1:23" x14ac:dyDescent="0.3">
      <c r="A713" s="6"/>
      <c r="B713" s="6" t="s">
        <v>620</v>
      </c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>
        <v>-1</v>
      </c>
      <c r="P713" s="6"/>
      <c r="Q713" s="6"/>
      <c r="R713" s="6"/>
      <c r="S713" s="6"/>
      <c r="T713" s="6"/>
      <c r="U713" s="6"/>
      <c r="V713" s="6"/>
      <c r="W713" s="6"/>
    </row>
    <row r="714" spans="1:23" x14ac:dyDescent="0.3">
      <c r="A714" s="6"/>
      <c r="B714" s="6" t="s">
        <v>440</v>
      </c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>
        <v>-1</v>
      </c>
      <c r="P714" s="6"/>
      <c r="Q714" s="6"/>
      <c r="R714" s="6"/>
      <c r="S714" s="6"/>
      <c r="T714" s="6"/>
      <c r="U714" s="6"/>
      <c r="V714" s="6"/>
      <c r="W714" s="6"/>
    </row>
    <row r="715" spans="1:23" x14ac:dyDescent="0.3">
      <c r="A715" s="6"/>
      <c r="B715" s="6" t="s">
        <v>440</v>
      </c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>
        <v>-1</v>
      </c>
      <c r="P715" s="6"/>
      <c r="Q715" s="6"/>
      <c r="R715" s="6"/>
      <c r="S715" s="6"/>
      <c r="T715" s="6"/>
      <c r="U715" s="6"/>
      <c r="V715" s="6"/>
      <c r="W715" s="6"/>
    </row>
    <row r="716" spans="1:23" x14ac:dyDescent="0.3">
      <c r="A716" s="6"/>
      <c r="B716" s="6" t="s">
        <v>440</v>
      </c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>
        <v>-1</v>
      </c>
      <c r="P716" s="6"/>
      <c r="Q716" s="6"/>
      <c r="R716" s="6"/>
      <c r="S716" s="6"/>
      <c r="T716" s="6"/>
      <c r="U716" s="6"/>
      <c r="V716" s="6"/>
      <c r="W716" s="6"/>
    </row>
    <row r="717" spans="1:23" x14ac:dyDescent="0.3">
      <c r="A717" s="6" t="s">
        <v>1717</v>
      </c>
      <c r="B717" s="6" t="s">
        <v>338</v>
      </c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>
        <v>5</v>
      </c>
      <c r="P717" s="6"/>
      <c r="Q717" s="6"/>
      <c r="R717" s="6"/>
      <c r="S717" s="6"/>
      <c r="T717" s="6"/>
      <c r="U717" s="6"/>
      <c r="V717" s="6"/>
      <c r="W717" s="6"/>
    </row>
    <row r="718" spans="1:23" x14ac:dyDescent="0.3">
      <c r="A718" s="6"/>
      <c r="B718" s="6" t="s">
        <v>338</v>
      </c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>
        <v>-1</v>
      </c>
      <c r="P718" s="6"/>
      <c r="Q718" s="6"/>
      <c r="R718" s="6"/>
      <c r="S718" s="6"/>
      <c r="T718" s="6"/>
      <c r="U718" s="6"/>
      <c r="V718" s="6"/>
      <c r="W718" s="6"/>
    </row>
    <row r="719" spans="1:23" x14ac:dyDescent="0.3">
      <c r="A719" s="6"/>
      <c r="B719" s="6" t="s">
        <v>354</v>
      </c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>
        <v>-1</v>
      </c>
      <c r="P719" s="6"/>
      <c r="Q719" s="6"/>
      <c r="R719" s="6"/>
      <c r="S719" s="6"/>
      <c r="T719" s="6"/>
      <c r="U719" s="6"/>
      <c r="V719" s="6"/>
      <c r="W719" s="6"/>
    </row>
    <row r="720" spans="1:23" x14ac:dyDescent="0.3">
      <c r="A720" s="6"/>
      <c r="B720" s="6" t="s">
        <v>336</v>
      </c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>
        <v>-1</v>
      </c>
      <c r="P720" s="6"/>
      <c r="Q720" s="6"/>
      <c r="R720" s="6"/>
      <c r="S720" s="6"/>
      <c r="T720" s="6"/>
      <c r="U720" s="6"/>
      <c r="V720" s="6"/>
      <c r="W720" s="6"/>
    </row>
    <row r="721" spans="1:23" x14ac:dyDescent="0.3">
      <c r="A721" s="6"/>
      <c r="B721" s="6" t="s">
        <v>328</v>
      </c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>
        <v>-1</v>
      </c>
      <c r="P721" s="6"/>
      <c r="Q721" s="6"/>
      <c r="R721" s="6"/>
      <c r="S721" s="6"/>
      <c r="T721" s="6"/>
      <c r="U721" s="6"/>
      <c r="V721" s="6"/>
      <c r="W721" s="6"/>
    </row>
    <row r="722" spans="1:23" x14ac:dyDescent="0.3">
      <c r="A722" s="6"/>
      <c r="B722" s="6" t="s">
        <v>450</v>
      </c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>
        <v>-1</v>
      </c>
      <c r="P722" s="6"/>
      <c r="Q722" s="6"/>
      <c r="R722" s="6"/>
      <c r="S722" s="6"/>
      <c r="T722" s="6"/>
      <c r="U722" s="6"/>
      <c r="V722" s="6"/>
      <c r="W722" s="6"/>
    </row>
    <row r="723" spans="1:23" x14ac:dyDescent="0.3">
      <c r="A723" s="6"/>
      <c r="B723" s="6" t="s">
        <v>470</v>
      </c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>
        <v>-1</v>
      </c>
      <c r="P723" s="6"/>
      <c r="Q723" s="6"/>
      <c r="R723" s="6"/>
      <c r="S723" s="6"/>
      <c r="T723" s="6"/>
      <c r="U723" s="6"/>
      <c r="V723" s="6"/>
      <c r="W723" s="6"/>
    </row>
    <row r="724" spans="1:23" x14ac:dyDescent="0.3">
      <c r="A724" s="6"/>
      <c r="B724" s="6" t="s">
        <v>344</v>
      </c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>
        <v>-1</v>
      </c>
      <c r="P724" s="6"/>
      <c r="Q724" s="6"/>
      <c r="R724" s="6"/>
      <c r="S724" s="6"/>
      <c r="T724" s="6"/>
      <c r="U724" s="6"/>
      <c r="V724" s="6"/>
      <c r="W724" s="6"/>
    </row>
    <row r="725" spans="1:23" x14ac:dyDescent="0.3">
      <c r="A725" s="6"/>
      <c r="B725" s="6" t="s">
        <v>600</v>
      </c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>
        <v>-1</v>
      </c>
      <c r="P725" s="6"/>
      <c r="Q725" s="6"/>
      <c r="R725" s="6"/>
      <c r="S725" s="6"/>
      <c r="T725" s="6"/>
      <c r="U725" s="6"/>
      <c r="V725" s="6"/>
      <c r="W725" s="6"/>
    </row>
    <row r="726" spans="1:23" x14ac:dyDescent="0.3">
      <c r="A726" s="6"/>
      <c r="B726" s="6" t="s">
        <v>356</v>
      </c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>
        <v>-1</v>
      </c>
      <c r="P726" s="6"/>
      <c r="Q726" s="6"/>
      <c r="R726" s="6"/>
      <c r="S726" s="6"/>
      <c r="T726" s="6"/>
      <c r="U726" s="6"/>
      <c r="V726" s="6"/>
      <c r="W726" s="6"/>
    </row>
    <row r="727" spans="1:23" x14ac:dyDescent="0.3">
      <c r="A727" s="6"/>
      <c r="B727" s="6" t="s">
        <v>390</v>
      </c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>
        <v>-1</v>
      </c>
      <c r="P727" s="6"/>
      <c r="Q727" s="6"/>
      <c r="R727" s="6"/>
      <c r="S727" s="6"/>
      <c r="T727" s="6"/>
      <c r="U727" s="6"/>
      <c r="V727" s="6"/>
      <c r="W727" s="6"/>
    </row>
    <row r="728" spans="1:23" x14ac:dyDescent="0.3">
      <c r="A728" s="6" t="s">
        <v>1559</v>
      </c>
      <c r="B728" s="6" t="s">
        <v>394</v>
      </c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>
        <v>20</v>
      </c>
      <c r="P728" s="6"/>
      <c r="Q728" s="6"/>
      <c r="R728" s="6"/>
      <c r="S728" s="6"/>
      <c r="T728" s="6"/>
      <c r="U728" s="6"/>
      <c r="V728" s="6"/>
      <c r="W728" s="6"/>
    </row>
    <row r="729" spans="1:23" x14ac:dyDescent="0.3">
      <c r="A729" s="6"/>
      <c r="B729" s="6" t="s">
        <v>332</v>
      </c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>
        <v>-1</v>
      </c>
      <c r="P729" s="6"/>
      <c r="Q729" s="6"/>
      <c r="R729" s="6"/>
      <c r="S729" s="6"/>
      <c r="T729" s="6"/>
      <c r="U729" s="6"/>
      <c r="V729" s="6"/>
      <c r="W729" s="6"/>
    </row>
    <row r="730" spans="1:23" x14ac:dyDescent="0.3">
      <c r="A730" s="6"/>
      <c r="B730" s="6" t="s">
        <v>470</v>
      </c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>
        <v>-1</v>
      </c>
      <c r="P730" s="6"/>
      <c r="Q730" s="6"/>
      <c r="R730" s="6"/>
      <c r="S730" s="6"/>
      <c r="T730" s="6"/>
      <c r="U730" s="6"/>
      <c r="V730" s="6"/>
      <c r="W730" s="6"/>
    </row>
    <row r="731" spans="1:23" x14ac:dyDescent="0.3">
      <c r="A731" s="6"/>
      <c r="B731" s="6" t="s">
        <v>414</v>
      </c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>
        <v>-1</v>
      </c>
      <c r="P731" s="6"/>
      <c r="Q731" s="6"/>
      <c r="R731" s="6"/>
      <c r="S731" s="6"/>
      <c r="T731" s="6"/>
      <c r="U731" s="6"/>
      <c r="V731" s="6"/>
      <c r="W731" s="6"/>
    </row>
    <row r="732" spans="1:23" x14ac:dyDescent="0.3">
      <c r="A732" s="6"/>
      <c r="B732" s="6" t="s">
        <v>478</v>
      </c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>
        <v>-1</v>
      </c>
      <c r="P732" s="6"/>
      <c r="Q732" s="6"/>
      <c r="R732" s="6"/>
      <c r="S732" s="6"/>
      <c r="T732" s="6"/>
      <c r="U732" s="6"/>
      <c r="V732" s="6"/>
      <c r="W732" s="6"/>
    </row>
    <row r="733" spans="1:23" x14ac:dyDescent="0.3">
      <c r="A733" s="6"/>
      <c r="B733" s="6" t="s">
        <v>332</v>
      </c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>
        <v>-1</v>
      </c>
      <c r="Q733" s="6"/>
      <c r="R733" s="6"/>
      <c r="S733" s="6"/>
      <c r="T733" s="6"/>
      <c r="U733" s="6"/>
      <c r="V733" s="6"/>
      <c r="W733" s="6"/>
    </row>
    <row r="734" spans="1:23" x14ac:dyDescent="0.3">
      <c r="A734" s="6" t="s">
        <v>3927</v>
      </c>
      <c r="B734" s="6" t="s">
        <v>332</v>
      </c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>
        <v>11</v>
      </c>
      <c r="Q734" s="6"/>
      <c r="R734" s="6"/>
      <c r="S734" s="6"/>
      <c r="T734" s="6"/>
      <c r="U734" s="6"/>
      <c r="V734" s="6"/>
      <c r="W734" s="6"/>
    </row>
    <row r="735" spans="1:23" x14ac:dyDescent="0.3">
      <c r="A735" s="6"/>
      <c r="B735" s="6" t="s">
        <v>332</v>
      </c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>
        <v>-1</v>
      </c>
      <c r="Q735" s="6"/>
      <c r="R735" s="6"/>
      <c r="S735" s="6"/>
      <c r="T735" s="6"/>
      <c r="U735" s="6"/>
      <c r="V735" s="6"/>
      <c r="W735" s="6"/>
    </row>
    <row r="736" spans="1:23" x14ac:dyDescent="0.3">
      <c r="A736" s="6" t="s">
        <v>2123</v>
      </c>
      <c r="B736" s="6" t="s">
        <v>328</v>
      </c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>
        <v>28</v>
      </c>
      <c r="Q736" s="6"/>
      <c r="R736" s="6"/>
      <c r="S736" s="6"/>
      <c r="T736" s="6"/>
      <c r="U736" s="6"/>
      <c r="V736" s="6"/>
      <c r="W736" s="6"/>
    </row>
    <row r="737" spans="1:23" x14ac:dyDescent="0.3">
      <c r="A737" s="6"/>
      <c r="B737" s="6" t="s">
        <v>328</v>
      </c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>
        <v>-1</v>
      </c>
      <c r="Q737" s="6"/>
      <c r="R737" s="6"/>
      <c r="S737" s="6"/>
      <c r="T737" s="6"/>
      <c r="U737" s="6"/>
      <c r="V737" s="6"/>
      <c r="W737" s="6"/>
    </row>
    <row r="738" spans="1:23" x14ac:dyDescent="0.3">
      <c r="A738" s="6"/>
      <c r="B738" s="6" t="s">
        <v>372</v>
      </c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>
        <v>-1</v>
      </c>
      <c r="Q738" s="6"/>
      <c r="R738" s="6"/>
      <c r="S738" s="6"/>
      <c r="T738" s="6"/>
      <c r="U738" s="6"/>
      <c r="V738" s="6"/>
      <c r="W738" s="6"/>
    </row>
    <row r="739" spans="1:23" x14ac:dyDescent="0.3">
      <c r="A739" s="6" t="s">
        <v>4268</v>
      </c>
      <c r="B739" s="6" t="s">
        <v>372</v>
      </c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>
        <v>6</v>
      </c>
      <c r="Q739" s="6"/>
      <c r="R739" s="6"/>
      <c r="S739" s="6"/>
      <c r="T739" s="6"/>
      <c r="U739" s="6"/>
      <c r="V739" s="6"/>
      <c r="W739" s="6"/>
    </row>
    <row r="740" spans="1:23" x14ac:dyDescent="0.3">
      <c r="A740" s="6" t="s">
        <v>4234</v>
      </c>
      <c r="B740" s="6" t="s">
        <v>456</v>
      </c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>
        <v>7</v>
      </c>
      <c r="Q740" s="6"/>
      <c r="R740" s="6"/>
      <c r="S740" s="6"/>
      <c r="T740" s="6"/>
      <c r="U740" s="6"/>
      <c r="V740" s="6"/>
      <c r="W740" s="6"/>
    </row>
    <row r="741" spans="1:23" x14ac:dyDescent="0.3">
      <c r="A741" s="6" t="s">
        <v>2573</v>
      </c>
      <c r="B741" s="6" t="s">
        <v>384</v>
      </c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>
        <v>1</v>
      </c>
      <c r="Q741" s="6"/>
      <c r="R741" s="6"/>
      <c r="S741" s="6"/>
      <c r="T741" s="6"/>
      <c r="U741" s="6"/>
      <c r="V741" s="6"/>
      <c r="W741" s="6"/>
    </row>
    <row r="742" spans="1:23" x14ac:dyDescent="0.3">
      <c r="A742" s="6" t="s">
        <v>4704</v>
      </c>
      <c r="B742" s="6" t="s">
        <v>356</v>
      </c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>
        <v>12</v>
      </c>
      <c r="Q742" s="6"/>
      <c r="R742" s="6"/>
      <c r="S742" s="6"/>
      <c r="T742" s="6"/>
      <c r="U742" s="6"/>
      <c r="V742" s="6"/>
      <c r="W742" s="6"/>
    </row>
    <row r="743" spans="1:23" x14ac:dyDescent="0.3">
      <c r="A743" s="6"/>
      <c r="B743" s="6" t="s">
        <v>390</v>
      </c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>
        <v>-1</v>
      </c>
      <c r="Q743" s="6"/>
      <c r="R743" s="6"/>
      <c r="S743" s="6"/>
      <c r="T743" s="6"/>
      <c r="U743" s="6"/>
      <c r="V743" s="6"/>
      <c r="W743" s="6"/>
    </row>
    <row r="744" spans="1:23" x14ac:dyDescent="0.3">
      <c r="A744" s="6"/>
      <c r="B744" s="6" t="s">
        <v>394</v>
      </c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>
        <v>-1</v>
      </c>
      <c r="Q744" s="6"/>
      <c r="R744" s="6"/>
      <c r="S744" s="6"/>
      <c r="T744" s="6"/>
      <c r="U744" s="6"/>
      <c r="V744" s="6"/>
      <c r="W744" s="6"/>
    </row>
    <row r="745" spans="1:23" x14ac:dyDescent="0.3">
      <c r="A745" s="6"/>
      <c r="B745" s="6" t="s">
        <v>348</v>
      </c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>
        <v>-1</v>
      </c>
      <c r="Q745" s="6"/>
      <c r="R745" s="6"/>
      <c r="S745" s="6"/>
      <c r="T745" s="6"/>
      <c r="U745" s="6"/>
      <c r="V745" s="6"/>
      <c r="W745" s="6"/>
    </row>
    <row r="746" spans="1:23" x14ac:dyDescent="0.3">
      <c r="A746" s="6"/>
      <c r="B746" s="6" t="s">
        <v>344</v>
      </c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>
        <v>-1</v>
      </c>
      <c r="Q746" s="6"/>
      <c r="R746" s="6"/>
      <c r="S746" s="6"/>
      <c r="T746" s="6"/>
      <c r="U746" s="6"/>
      <c r="V746" s="6"/>
      <c r="W746" s="6"/>
    </row>
    <row r="747" spans="1:23" x14ac:dyDescent="0.3">
      <c r="A747" s="6"/>
      <c r="B747" s="6" t="s">
        <v>344</v>
      </c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>
        <v>-1</v>
      </c>
      <c r="Q747" s="6"/>
      <c r="R747" s="6"/>
      <c r="S747" s="6"/>
      <c r="T747" s="6"/>
      <c r="U747" s="6"/>
      <c r="V747" s="6"/>
      <c r="W747" s="6"/>
    </row>
    <row r="748" spans="1:23" x14ac:dyDescent="0.3">
      <c r="A748" s="6"/>
      <c r="B748" s="6" t="s">
        <v>338</v>
      </c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>
        <v>-1</v>
      </c>
      <c r="Q748" s="6"/>
      <c r="R748" s="6"/>
      <c r="S748" s="6"/>
      <c r="T748" s="6"/>
      <c r="U748" s="6"/>
      <c r="V748" s="6"/>
      <c r="W748" s="6"/>
    </row>
    <row r="749" spans="1:23" x14ac:dyDescent="0.3">
      <c r="A749" s="6" t="s">
        <v>4765</v>
      </c>
      <c r="B749" s="6" t="s">
        <v>380</v>
      </c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>
        <v>25</v>
      </c>
      <c r="Q749" s="6"/>
      <c r="R749" s="6"/>
      <c r="S749" s="6"/>
      <c r="T749" s="6"/>
      <c r="U749" s="6"/>
      <c r="V749" s="6"/>
      <c r="W749" s="6"/>
    </row>
    <row r="750" spans="1:23" x14ac:dyDescent="0.3">
      <c r="A750" s="6"/>
      <c r="B750" s="6" t="s">
        <v>520</v>
      </c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>
        <v>-1</v>
      </c>
      <c r="Q750" s="6"/>
      <c r="R750" s="6"/>
      <c r="S750" s="6"/>
      <c r="T750" s="6"/>
      <c r="U750" s="6"/>
      <c r="V750" s="6"/>
      <c r="W750" s="6"/>
    </row>
    <row r="751" spans="1:23" x14ac:dyDescent="0.3">
      <c r="A751" s="6" t="s">
        <v>1780</v>
      </c>
      <c r="B751" s="6" t="s">
        <v>328</v>
      </c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>
        <v>13</v>
      </c>
      <c r="Q751" s="6"/>
      <c r="R751" s="6"/>
      <c r="S751" s="6"/>
      <c r="T751" s="6"/>
      <c r="U751" s="6"/>
      <c r="V751" s="6"/>
      <c r="W751" s="6"/>
    </row>
    <row r="752" spans="1:23" x14ac:dyDescent="0.3">
      <c r="A752" s="6"/>
      <c r="B752" s="6" t="s">
        <v>414</v>
      </c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>
        <v>-1</v>
      </c>
      <c r="Q752" s="6"/>
      <c r="R752" s="6"/>
      <c r="S752" s="6"/>
      <c r="T752" s="6"/>
      <c r="U752" s="6"/>
      <c r="V752" s="6"/>
      <c r="W752" s="6"/>
    </row>
    <row r="753" spans="1:23" x14ac:dyDescent="0.3">
      <c r="A753" s="6"/>
      <c r="B753" s="6" t="s">
        <v>372</v>
      </c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>
        <v>-1</v>
      </c>
      <c r="Q753" s="6"/>
      <c r="R753" s="6"/>
      <c r="S753" s="6"/>
      <c r="T753" s="6"/>
      <c r="U753" s="6"/>
      <c r="V753" s="6"/>
      <c r="W753" s="6"/>
    </row>
    <row r="754" spans="1:23" x14ac:dyDescent="0.3">
      <c r="A754" s="6"/>
      <c r="B754" s="6" t="s">
        <v>342</v>
      </c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>
        <v>-1</v>
      </c>
      <c r="Q754" s="6"/>
      <c r="R754" s="6"/>
      <c r="S754" s="6"/>
      <c r="T754" s="6"/>
      <c r="U754" s="6"/>
      <c r="V754" s="6"/>
      <c r="W754" s="6"/>
    </row>
    <row r="755" spans="1:23" x14ac:dyDescent="0.3">
      <c r="A755" s="6"/>
      <c r="B755" s="6" t="s">
        <v>406</v>
      </c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>
        <v>-1</v>
      </c>
      <c r="Q755" s="6"/>
      <c r="R755" s="6"/>
      <c r="S755" s="6"/>
      <c r="T755" s="6"/>
      <c r="U755" s="6"/>
      <c r="V755" s="6"/>
      <c r="W755" s="6"/>
    </row>
    <row r="756" spans="1:23" x14ac:dyDescent="0.3">
      <c r="A756" s="6" t="s">
        <v>3578</v>
      </c>
      <c r="B756" s="6" t="s">
        <v>596</v>
      </c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>
        <v>16</v>
      </c>
      <c r="Q756" s="6"/>
      <c r="R756" s="6"/>
      <c r="S756" s="6"/>
      <c r="T756" s="6"/>
      <c r="U756" s="6"/>
      <c r="V756" s="6"/>
      <c r="W756" s="6"/>
    </row>
    <row r="757" spans="1:23" x14ac:dyDescent="0.3">
      <c r="A757" s="6" t="s">
        <v>4148</v>
      </c>
      <c r="B757" s="6" t="s">
        <v>474</v>
      </c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>
        <v>20</v>
      </c>
      <c r="Q757" s="6"/>
      <c r="R757" s="6"/>
      <c r="S757" s="6"/>
      <c r="T757" s="6"/>
      <c r="U757" s="6"/>
      <c r="V757" s="6"/>
      <c r="W757" s="6"/>
    </row>
    <row r="758" spans="1:23" x14ac:dyDescent="0.3">
      <c r="A758" s="6"/>
      <c r="B758" s="6" t="s">
        <v>440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>
        <v>-1</v>
      </c>
      <c r="Q758" s="6"/>
      <c r="R758" s="6"/>
      <c r="S758" s="6"/>
      <c r="T758" s="6"/>
      <c r="U758" s="6"/>
      <c r="V758" s="6"/>
      <c r="W758" s="6"/>
    </row>
    <row r="759" spans="1:23" x14ac:dyDescent="0.3">
      <c r="A759" s="6" t="s">
        <v>3660</v>
      </c>
      <c r="B759" s="6" t="s">
        <v>364</v>
      </c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>
        <v>27</v>
      </c>
      <c r="Q759" s="6"/>
      <c r="R759" s="6"/>
      <c r="S759" s="6"/>
      <c r="T759" s="6"/>
      <c r="U759" s="6"/>
      <c r="V759" s="6"/>
      <c r="W759" s="6"/>
    </row>
    <row r="760" spans="1:23" x14ac:dyDescent="0.3">
      <c r="A760" s="6" t="s">
        <v>2488</v>
      </c>
      <c r="B760" s="6" t="s">
        <v>394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>
        <v>23</v>
      </c>
      <c r="Q760" s="6"/>
      <c r="R760" s="6"/>
      <c r="S760" s="6"/>
      <c r="T760" s="6"/>
      <c r="U760" s="6"/>
      <c r="V760" s="6"/>
      <c r="W760" s="6"/>
    </row>
    <row r="761" spans="1:23" x14ac:dyDescent="0.3">
      <c r="A761" s="6"/>
      <c r="B761" s="6" t="s">
        <v>352</v>
      </c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>
        <v>-1</v>
      </c>
      <c r="Q761" s="6"/>
      <c r="R761" s="6"/>
      <c r="S761" s="6"/>
      <c r="T761" s="6"/>
      <c r="U761" s="6"/>
      <c r="V761" s="6"/>
      <c r="W761" s="6"/>
    </row>
    <row r="762" spans="1:23" x14ac:dyDescent="0.3">
      <c r="A762" s="6"/>
      <c r="B762" s="6" t="s">
        <v>354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>
        <v>-1</v>
      </c>
      <c r="Q762" s="6"/>
      <c r="R762" s="6"/>
      <c r="S762" s="6"/>
      <c r="T762" s="6"/>
      <c r="U762" s="6"/>
      <c r="V762" s="6"/>
      <c r="W762" s="6"/>
    </row>
    <row r="763" spans="1:23" x14ac:dyDescent="0.3">
      <c r="A763" s="6"/>
      <c r="B763" s="6" t="s">
        <v>362</v>
      </c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>
        <v>-1</v>
      </c>
      <c r="Q763" s="6"/>
      <c r="R763" s="6"/>
      <c r="S763" s="6"/>
      <c r="T763" s="6"/>
      <c r="U763" s="6"/>
      <c r="V763" s="6"/>
      <c r="W763" s="6"/>
    </row>
    <row r="764" spans="1:23" x14ac:dyDescent="0.3">
      <c r="A764" s="6"/>
      <c r="B764" s="6" t="s">
        <v>726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>
        <v>-1</v>
      </c>
      <c r="Q764" s="6"/>
      <c r="R764" s="6"/>
      <c r="S764" s="6"/>
      <c r="T764" s="6"/>
      <c r="U764" s="6"/>
      <c r="V764" s="6"/>
      <c r="W764" s="6"/>
    </row>
    <row r="765" spans="1:23" x14ac:dyDescent="0.3">
      <c r="A765" s="6" t="s">
        <v>4825</v>
      </c>
      <c r="B765" s="6" t="s">
        <v>354</v>
      </c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>
        <v>12</v>
      </c>
      <c r="S765" s="6"/>
      <c r="T765" s="6"/>
      <c r="U765" s="6"/>
      <c r="V765" s="6"/>
      <c r="W765" s="6"/>
    </row>
    <row r="766" spans="1:23" x14ac:dyDescent="0.3">
      <c r="A766" s="6"/>
      <c r="B766" s="6" t="s">
        <v>358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>
        <v>-1</v>
      </c>
      <c r="S766" s="6"/>
      <c r="T766" s="6"/>
      <c r="U766" s="6"/>
      <c r="V766" s="6"/>
      <c r="W766" s="6"/>
    </row>
    <row r="767" spans="1:23" x14ac:dyDescent="0.3">
      <c r="A767" s="6"/>
      <c r="B767" s="6" t="s">
        <v>510</v>
      </c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>
        <v>-1</v>
      </c>
      <c r="S767" s="6"/>
      <c r="T767" s="6"/>
      <c r="U767" s="6"/>
      <c r="V767" s="6"/>
      <c r="W767" s="6"/>
    </row>
    <row r="768" spans="1:23" x14ac:dyDescent="0.3">
      <c r="A768" s="6" t="s">
        <v>2244</v>
      </c>
      <c r="B768" s="6" t="s">
        <v>362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>
        <v>5</v>
      </c>
      <c r="S768" s="6"/>
      <c r="T768" s="6"/>
      <c r="U768" s="6"/>
      <c r="V768" s="6"/>
      <c r="W768" s="6"/>
    </row>
    <row r="769" spans="1:23" x14ac:dyDescent="0.3">
      <c r="A769" s="6" t="s">
        <v>1289</v>
      </c>
      <c r="B769" s="6" t="s">
        <v>428</v>
      </c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>
        <v>1</v>
      </c>
      <c r="S769" s="6"/>
      <c r="T769" s="6"/>
      <c r="U769" s="6"/>
      <c r="V769" s="6"/>
      <c r="W769" s="6"/>
    </row>
    <row r="770" spans="1:23" x14ac:dyDescent="0.3">
      <c r="A770" s="6" t="s">
        <v>4747</v>
      </c>
      <c r="B770" s="6" t="s">
        <v>614</v>
      </c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>
        <v>17</v>
      </c>
      <c r="S770" s="6"/>
      <c r="T770" s="6"/>
      <c r="U770" s="6"/>
      <c r="V770" s="6"/>
      <c r="W770" s="6"/>
    </row>
    <row r="771" spans="1:23" x14ac:dyDescent="0.3">
      <c r="A771" s="6"/>
      <c r="B771" s="6" t="s">
        <v>690</v>
      </c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>
        <v>-1</v>
      </c>
      <c r="S771" s="6"/>
      <c r="T771" s="6"/>
      <c r="U771" s="6"/>
      <c r="V771" s="6"/>
      <c r="W771" s="6"/>
    </row>
    <row r="772" spans="1:23" x14ac:dyDescent="0.3">
      <c r="A772" s="6"/>
      <c r="B772" s="6" t="s">
        <v>332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>
        <v>-1</v>
      </c>
      <c r="S772" s="6"/>
      <c r="T772" s="6"/>
      <c r="U772" s="6"/>
      <c r="V772" s="6"/>
      <c r="W772" s="6"/>
    </row>
    <row r="773" spans="1:23" x14ac:dyDescent="0.3">
      <c r="A773" s="6"/>
      <c r="B773" s="6" t="s">
        <v>328</v>
      </c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>
        <v>-1</v>
      </c>
      <c r="S773" s="6"/>
      <c r="T773" s="6"/>
      <c r="U773" s="6"/>
      <c r="V773" s="6"/>
      <c r="W773" s="6"/>
    </row>
    <row r="774" spans="1:23" x14ac:dyDescent="0.3">
      <c r="A774" s="6" t="s">
        <v>2726</v>
      </c>
      <c r="B774" s="6" t="s">
        <v>328</v>
      </c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>
        <v>22</v>
      </c>
      <c r="S774" s="6"/>
      <c r="T774" s="6"/>
      <c r="U774" s="6"/>
      <c r="V774" s="6"/>
      <c r="W774" s="6"/>
    </row>
    <row r="775" spans="1:23" x14ac:dyDescent="0.3">
      <c r="A775" s="6"/>
      <c r="B775" s="6" t="s">
        <v>354</v>
      </c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>
        <v>-1</v>
      </c>
      <c r="S775" s="6"/>
      <c r="T775" s="6"/>
      <c r="U775" s="6"/>
      <c r="V775" s="6"/>
      <c r="W775" s="6"/>
    </row>
    <row r="776" spans="1:23" x14ac:dyDescent="0.3">
      <c r="A776" s="6"/>
      <c r="B776" s="6" t="s">
        <v>354</v>
      </c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>
        <v>-1</v>
      </c>
      <c r="S776" s="6"/>
      <c r="T776" s="6"/>
      <c r="U776" s="6"/>
      <c r="V776" s="6"/>
      <c r="W776" s="6"/>
    </row>
    <row r="777" spans="1:23" x14ac:dyDescent="0.3">
      <c r="A777" s="6"/>
      <c r="B777" s="6" t="s">
        <v>442</v>
      </c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>
        <v>-1</v>
      </c>
      <c r="S777" s="6"/>
      <c r="T777" s="6"/>
      <c r="U777" s="6"/>
      <c r="V777" s="6"/>
      <c r="W777" s="6"/>
    </row>
    <row r="778" spans="1:23" x14ac:dyDescent="0.3">
      <c r="A778" s="6"/>
      <c r="B778" s="6" t="s">
        <v>442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>
        <v>-1</v>
      </c>
      <c r="S778" s="6"/>
      <c r="T778" s="6"/>
      <c r="U778" s="6"/>
      <c r="V778" s="6"/>
      <c r="W778" s="6"/>
    </row>
    <row r="779" spans="1:23" x14ac:dyDescent="0.3">
      <c r="A779" s="6"/>
      <c r="B779" s="6" t="s">
        <v>428</v>
      </c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>
        <v>-1</v>
      </c>
      <c r="S779" s="6"/>
      <c r="T779" s="6"/>
      <c r="U779" s="6"/>
      <c r="V779" s="6"/>
      <c r="W779" s="6"/>
    </row>
    <row r="780" spans="1:23" x14ac:dyDescent="0.3">
      <c r="A780" s="6"/>
      <c r="B780" s="6" t="s">
        <v>428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>
        <v>-1</v>
      </c>
      <c r="S780" s="6"/>
      <c r="T780" s="6"/>
      <c r="U780" s="6"/>
      <c r="V780" s="6"/>
      <c r="W780" s="6"/>
    </row>
    <row r="781" spans="1:23" x14ac:dyDescent="0.3">
      <c r="A781" s="6"/>
      <c r="B781" s="6" t="s">
        <v>336</v>
      </c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>
        <v>-1</v>
      </c>
      <c r="S781" s="6"/>
      <c r="T781" s="6"/>
      <c r="U781" s="6"/>
      <c r="V781" s="6"/>
      <c r="W781" s="6"/>
    </row>
    <row r="782" spans="1:23" x14ac:dyDescent="0.3">
      <c r="A782" s="6"/>
      <c r="B782" s="6" t="s">
        <v>362</v>
      </c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>
        <v>-1</v>
      </c>
      <c r="S782" s="6"/>
      <c r="T782" s="6"/>
      <c r="U782" s="6"/>
      <c r="V782" s="6"/>
      <c r="W782" s="6"/>
    </row>
    <row r="783" spans="1:23" x14ac:dyDescent="0.3">
      <c r="A783" s="6" t="s">
        <v>4887</v>
      </c>
      <c r="B783" s="6" t="s">
        <v>450</v>
      </c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>
        <v>4</v>
      </c>
      <c r="S783" s="6"/>
      <c r="T783" s="6"/>
      <c r="U783" s="6"/>
      <c r="V783" s="6"/>
      <c r="W783" s="6"/>
    </row>
    <row r="784" spans="1:23" x14ac:dyDescent="0.3">
      <c r="A784" s="6"/>
      <c r="B784" s="6" t="s">
        <v>372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>
        <v>-1</v>
      </c>
      <c r="S784" s="6"/>
      <c r="T784" s="6"/>
      <c r="U784" s="6"/>
      <c r="V784" s="6"/>
      <c r="W784" s="6"/>
    </row>
    <row r="785" spans="1:23" x14ac:dyDescent="0.3">
      <c r="A785" s="6" t="s">
        <v>3437</v>
      </c>
      <c r="B785" s="6" t="s">
        <v>334</v>
      </c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>
        <v>18</v>
      </c>
      <c r="S785" s="6"/>
      <c r="T785" s="6"/>
      <c r="U785" s="6"/>
      <c r="V785" s="6"/>
      <c r="W785" s="6"/>
    </row>
    <row r="786" spans="1:23" x14ac:dyDescent="0.3">
      <c r="A786" s="6" t="s">
        <v>3429</v>
      </c>
      <c r="B786" s="6" t="s">
        <v>342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>
        <v>9</v>
      </c>
      <c r="S786" s="6"/>
      <c r="T786" s="6"/>
      <c r="U786" s="6"/>
      <c r="V786" s="6"/>
      <c r="W786" s="6"/>
    </row>
    <row r="787" spans="1:23" x14ac:dyDescent="0.3">
      <c r="A787" s="6"/>
      <c r="B787" s="6" t="s">
        <v>448</v>
      </c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>
        <v>-1</v>
      </c>
      <c r="S787" s="6"/>
      <c r="T787" s="6"/>
      <c r="U787" s="6"/>
      <c r="V787" s="6"/>
      <c r="W787" s="6"/>
    </row>
    <row r="788" spans="1:23" x14ac:dyDescent="0.3">
      <c r="A788" s="6"/>
      <c r="B788" s="6" t="s">
        <v>614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>
        <v>-1</v>
      </c>
      <c r="S788" s="6"/>
      <c r="T788" s="6"/>
      <c r="U788" s="6"/>
      <c r="V788" s="6"/>
      <c r="W788" s="6"/>
    </row>
    <row r="789" spans="1:23" x14ac:dyDescent="0.3">
      <c r="A789" s="6" t="s">
        <v>2790</v>
      </c>
      <c r="B789" s="6" t="s">
        <v>620</v>
      </c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>
        <v>25</v>
      </c>
      <c r="S789" s="6"/>
      <c r="T789" s="6"/>
      <c r="U789" s="6"/>
      <c r="V789" s="6"/>
      <c r="W789" s="6"/>
    </row>
    <row r="790" spans="1:23" x14ac:dyDescent="0.3">
      <c r="A790" s="6"/>
      <c r="B790" s="6" t="s">
        <v>474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>
        <v>-1</v>
      </c>
      <c r="S790" s="6"/>
      <c r="T790" s="6"/>
      <c r="U790" s="6"/>
      <c r="V790" s="6"/>
      <c r="W790" s="6"/>
    </row>
    <row r="791" spans="1:23" x14ac:dyDescent="0.3">
      <c r="A791" s="6"/>
      <c r="B791" s="6" t="s">
        <v>364</v>
      </c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>
        <v>-1</v>
      </c>
      <c r="S791" s="6"/>
      <c r="T791" s="6"/>
      <c r="U791" s="6"/>
      <c r="V791" s="6"/>
      <c r="W791" s="6"/>
    </row>
    <row r="792" spans="1:23" x14ac:dyDescent="0.3">
      <c r="A792" s="6" t="s">
        <v>1553</v>
      </c>
      <c r="B792" s="6" t="s">
        <v>394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>
        <v>8</v>
      </c>
      <c r="S792" s="6"/>
      <c r="T792" s="6"/>
      <c r="U792" s="6"/>
      <c r="V792" s="6"/>
      <c r="W792" s="6"/>
    </row>
    <row r="793" spans="1:23" x14ac:dyDescent="0.3">
      <c r="A793" s="6"/>
      <c r="B793" s="6" t="s">
        <v>422</v>
      </c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>
        <v>-1</v>
      </c>
      <c r="S793" s="6"/>
      <c r="T793" s="6"/>
      <c r="U793" s="6"/>
      <c r="V793" s="6"/>
      <c r="W793" s="6"/>
    </row>
    <row r="794" spans="1:23" x14ac:dyDescent="0.3">
      <c r="A794" s="6" t="s">
        <v>3789</v>
      </c>
      <c r="B794" s="6" t="s">
        <v>330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>
        <v>6</v>
      </c>
      <c r="S794" s="6"/>
      <c r="T794" s="6"/>
      <c r="U794" s="6"/>
      <c r="V794" s="6"/>
      <c r="W794" s="6"/>
    </row>
    <row r="795" spans="1:23" x14ac:dyDescent="0.3">
      <c r="A795" s="6"/>
      <c r="B795" s="6" t="s">
        <v>702</v>
      </c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>
        <v>-1</v>
      </c>
      <c r="S795" s="6"/>
      <c r="T795" s="6"/>
      <c r="U795" s="6"/>
      <c r="V795" s="6"/>
      <c r="W795" s="6"/>
    </row>
    <row r="796" spans="1:23" x14ac:dyDescent="0.3">
      <c r="A796" s="6"/>
      <c r="B796" s="6" t="s">
        <v>718</v>
      </c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>
        <v>-1</v>
      </c>
      <c r="S796" s="6"/>
      <c r="T796" s="6"/>
      <c r="U796" s="6"/>
      <c r="V796" s="6"/>
      <c r="W796" s="6"/>
    </row>
    <row r="797" spans="1:23" x14ac:dyDescent="0.3">
      <c r="A797" s="6"/>
      <c r="B797" s="6" t="s">
        <v>520</v>
      </c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>
        <v>-1</v>
      </c>
    </row>
    <row r="798" spans="1:23" x14ac:dyDescent="0.3">
      <c r="A798" s="6"/>
      <c r="B798" s="6" t="s">
        <v>520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>
        <v>-1</v>
      </c>
    </row>
    <row r="799" spans="1:23" x14ac:dyDescent="0.3">
      <c r="A799" s="6"/>
      <c r="B799" s="6" t="s">
        <v>412</v>
      </c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>
        <v>-1</v>
      </c>
    </row>
    <row r="800" spans="1:23" x14ac:dyDescent="0.3">
      <c r="A800" s="6"/>
      <c r="B800" s="6" t="s">
        <v>412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>
        <v>-1</v>
      </c>
    </row>
    <row r="801" spans="1:23" x14ac:dyDescent="0.3">
      <c r="A801" s="6" t="s">
        <v>3265</v>
      </c>
      <c r="B801" s="6" t="s">
        <v>344</v>
      </c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>
        <v>16</v>
      </c>
    </row>
    <row r="802" spans="1:23" x14ac:dyDescent="0.3">
      <c r="A802" s="6" t="s">
        <v>1804</v>
      </c>
      <c r="B802" s="6" t="s">
        <v>402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>
        <v>2</v>
      </c>
    </row>
    <row r="803" spans="1:23" x14ac:dyDescent="0.3">
      <c r="A803" s="6" t="s">
        <v>3885</v>
      </c>
      <c r="B803" s="6" t="s">
        <v>394</v>
      </c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>
        <v>12</v>
      </c>
    </row>
    <row r="804" spans="1:23" x14ac:dyDescent="0.3">
      <c r="A804" s="6"/>
      <c r="B804" s="6" t="s">
        <v>444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>
        <v>-1</v>
      </c>
    </row>
    <row r="805" spans="1:23" x14ac:dyDescent="0.3">
      <c r="A805" s="6" t="s">
        <v>4185</v>
      </c>
      <c r="B805" s="6" t="s">
        <v>332</v>
      </c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>
        <v>5</v>
      </c>
    </row>
    <row r="806" spans="1:23" x14ac:dyDescent="0.3">
      <c r="A806" s="6"/>
      <c r="B806" s="6" t="s">
        <v>354</v>
      </c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>
        <v>-1</v>
      </c>
    </row>
    <row r="807" spans="1:23" x14ac:dyDescent="0.3">
      <c r="A807" s="6"/>
      <c r="B807" s="6" t="s">
        <v>354</v>
      </c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>
        <v>-1</v>
      </c>
    </row>
    <row r="808" spans="1:23" x14ac:dyDescent="0.3">
      <c r="A808" s="6"/>
      <c r="B808" s="6" t="s">
        <v>334</v>
      </c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>
        <v>-1</v>
      </c>
    </row>
    <row r="809" spans="1:23" x14ac:dyDescent="0.3">
      <c r="A809" s="6"/>
      <c r="B809" s="6" t="s">
        <v>334</v>
      </c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>
        <v>-1</v>
      </c>
    </row>
    <row r="810" spans="1:23" x14ac:dyDescent="0.3">
      <c r="A810" s="6"/>
      <c r="B810" s="6" t="s">
        <v>406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>
        <v>-1</v>
      </c>
    </row>
    <row r="811" spans="1:23" x14ac:dyDescent="0.3">
      <c r="A811" s="6"/>
      <c r="B811" s="6" t="s">
        <v>406</v>
      </c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>
        <v>-1</v>
      </c>
    </row>
    <row r="812" spans="1:23" x14ac:dyDescent="0.3">
      <c r="A812" s="6"/>
      <c r="B812" s="6" t="s">
        <v>332</v>
      </c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>
        <v>-1</v>
      </c>
    </row>
    <row r="813" spans="1:23" x14ac:dyDescent="0.3">
      <c r="A813" s="6" t="s">
        <v>1544</v>
      </c>
      <c r="B813" s="6" t="s">
        <v>332</v>
      </c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>
        <v>21</v>
      </c>
    </row>
    <row r="814" spans="1:23" x14ac:dyDescent="0.3">
      <c r="A814" s="6" t="s">
        <v>4474</v>
      </c>
      <c r="B814" s="6" t="s">
        <v>362</v>
      </c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>
        <v>7</v>
      </c>
    </row>
    <row r="815" spans="1:23" x14ac:dyDescent="0.3">
      <c r="A815" s="6" t="s">
        <v>1885</v>
      </c>
      <c r="B815" s="6" t="s">
        <v>372</v>
      </c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>
        <v>15</v>
      </c>
    </row>
    <row r="816" spans="1:23" x14ac:dyDescent="0.3">
      <c r="A816" s="6"/>
      <c r="B816" s="6" t="s">
        <v>402</v>
      </c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>
        <v>-1</v>
      </c>
    </row>
    <row r="817" spans="1:23" x14ac:dyDescent="0.3">
      <c r="A817" s="6" t="s">
        <v>2610</v>
      </c>
      <c r="B817" s="6" t="s">
        <v>596</v>
      </c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>
        <v>14</v>
      </c>
    </row>
    <row r="818" spans="1:23" x14ac:dyDescent="0.3">
      <c r="A818" s="6"/>
      <c r="B818" s="6" t="s">
        <v>356</v>
      </c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>
        <v>-1</v>
      </c>
    </row>
    <row r="819" spans="1:23" x14ac:dyDescent="0.3">
      <c r="A819" s="6"/>
      <c r="B819" s="6" t="s">
        <v>412</v>
      </c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>
        <v>-1</v>
      </c>
    </row>
    <row r="820" spans="1:23" x14ac:dyDescent="0.3">
      <c r="A820" s="6"/>
      <c r="B820" s="6" t="s">
        <v>482</v>
      </c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>
        <v>-1</v>
      </c>
    </row>
    <row r="821" spans="1:23" x14ac:dyDescent="0.3">
      <c r="A821" s="6"/>
      <c r="B821" s="6" t="s">
        <v>498</v>
      </c>
      <c r="C821" s="6">
        <v>-1</v>
      </c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</row>
    <row r="822" spans="1:23" x14ac:dyDescent="0.3">
      <c r="A822" s="6"/>
      <c r="B822" s="6" t="s">
        <v>458</v>
      </c>
      <c r="C822" s="6">
        <v>-1</v>
      </c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</row>
    <row r="823" spans="1:23" x14ac:dyDescent="0.3">
      <c r="A823" s="6"/>
      <c r="B823" s="6" t="s">
        <v>368</v>
      </c>
      <c r="C823" s="6">
        <v>-1</v>
      </c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</row>
    <row r="824" spans="1:23" x14ac:dyDescent="0.3">
      <c r="A824" s="6"/>
      <c r="B824" s="6" t="s">
        <v>580</v>
      </c>
      <c r="C824" s="6">
        <v>-1</v>
      </c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</row>
    <row r="825" spans="1:23" x14ac:dyDescent="0.3">
      <c r="A825" s="6"/>
      <c r="B825" s="6" t="s">
        <v>582</v>
      </c>
      <c r="C825" s="6">
        <v>-1</v>
      </c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</row>
    <row r="826" spans="1:23" x14ac:dyDescent="0.3">
      <c r="A826" s="6"/>
      <c r="B826" s="6" t="s">
        <v>416</v>
      </c>
      <c r="C826" s="6">
        <v>-1</v>
      </c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</row>
    <row r="827" spans="1:23" x14ac:dyDescent="0.3">
      <c r="A827" s="6"/>
      <c r="B827" s="6" t="s">
        <v>418</v>
      </c>
      <c r="C827" s="6">
        <v>-1</v>
      </c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</row>
    <row r="828" spans="1:23" x14ac:dyDescent="0.3">
      <c r="A828" s="6" t="s">
        <v>1422</v>
      </c>
      <c r="B828" s="6" t="s">
        <v>434</v>
      </c>
      <c r="C828" s="6">
        <v>71</v>
      </c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</row>
    <row r="829" spans="1:23" x14ac:dyDescent="0.3">
      <c r="A829" s="6"/>
      <c r="B829" s="6" t="s">
        <v>612</v>
      </c>
      <c r="C829" s="6">
        <v>-1</v>
      </c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</row>
    <row r="830" spans="1:23" x14ac:dyDescent="0.3">
      <c r="A830" s="6"/>
      <c r="B830" s="6" t="s">
        <v>628</v>
      </c>
      <c r="C830" s="6">
        <v>-1</v>
      </c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</row>
    <row r="831" spans="1:23" x14ac:dyDescent="0.3">
      <c r="A831" s="6"/>
      <c r="B831" s="6" t="s">
        <v>634</v>
      </c>
      <c r="C831" s="6">
        <v>-1</v>
      </c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</row>
    <row r="832" spans="1:23" x14ac:dyDescent="0.3">
      <c r="A832" s="6"/>
      <c r="B832" s="6" t="s">
        <v>640</v>
      </c>
      <c r="C832" s="6">
        <v>-1</v>
      </c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</row>
    <row r="833" spans="1:23" x14ac:dyDescent="0.3">
      <c r="A833" s="6"/>
      <c r="B833" s="6" t="s">
        <v>396</v>
      </c>
      <c r="C833" s="6">
        <v>-1</v>
      </c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</row>
    <row r="834" spans="1:23" x14ac:dyDescent="0.3">
      <c r="A834" s="6"/>
      <c r="B834" s="6" t="s">
        <v>656</v>
      </c>
      <c r="C834" s="6">
        <v>-1</v>
      </c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</row>
    <row r="835" spans="1:23" x14ac:dyDescent="0.3">
      <c r="A835" s="6"/>
      <c r="B835" s="6" t="s">
        <v>376</v>
      </c>
      <c r="C835" s="6">
        <v>-1</v>
      </c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</row>
    <row r="836" spans="1:23" x14ac:dyDescent="0.3">
      <c r="A836" s="6"/>
      <c r="B836" s="6" t="s">
        <v>662</v>
      </c>
      <c r="C836" s="6">
        <v>-1</v>
      </c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</row>
    <row r="837" spans="1:23" x14ac:dyDescent="0.3">
      <c r="A837" s="6"/>
      <c r="B837" s="6" t="s">
        <v>666</v>
      </c>
      <c r="C837" s="6">
        <v>-1</v>
      </c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</row>
    <row r="838" spans="1:23" x14ac:dyDescent="0.3">
      <c r="A838" s="6"/>
      <c r="B838" s="6" t="s">
        <v>668</v>
      </c>
      <c r="C838" s="6">
        <v>-1</v>
      </c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</row>
    <row r="839" spans="1:23" x14ac:dyDescent="0.3">
      <c r="A839" s="6"/>
      <c r="B839" s="6" t="s">
        <v>672</v>
      </c>
      <c r="C839" s="6">
        <v>-1</v>
      </c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</row>
    <row r="840" spans="1:23" x14ac:dyDescent="0.3">
      <c r="A840" s="6"/>
      <c r="B840" s="6" t="s">
        <v>554</v>
      </c>
      <c r="C840" s="6">
        <v>-1</v>
      </c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</row>
    <row r="841" spans="1:23" x14ac:dyDescent="0.3">
      <c r="A841" s="6"/>
      <c r="B841" s="6" t="s">
        <v>684</v>
      </c>
      <c r="C841" s="6">
        <v>-1</v>
      </c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</row>
    <row r="842" spans="1:23" x14ac:dyDescent="0.3">
      <c r="A842" s="6"/>
      <c r="B842" s="6" t="s">
        <v>686</v>
      </c>
      <c r="C842" s="6">
        <v>-1</v>
      </c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</row>
    <row r="843" spans="1:23" x14ac:dyDescent="0.3">
      <c r="A843" s="6"/>
      <c r="B843" s="6" t="s">
        <v>490</v>
      </c>
      <c r="C843" s="6">
        <v>-1</v>
      </c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</row>
    <row r="844" spans="1:23" x14ac:dyDescent="0.3">
      <c r="A844" s="6"/>
      <c r="B844" s="6" t="s">
        <v>452</v>
      </c>
      <c r="C844" s="6">
        <v>-1</v>
      </c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</row>
    <row r="845" spans="1:23" x14ac:dyDescent="0.3">
      <c r="A845" s="6"/>
      <c r="B845" s="6" t="s">
        <v>696</v>
      </c>
      <c r="C845" s="6">
        <v>-1</v>
      </c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</row>
    <row r="846" spans="1:23" x14ac:dyDescent="0.3">
      <c r="A846" s="6"/>
      <c r="B846" s="6" t="s">
        <v>708</v>
      </c>
      <c r="C846" s="6">
        <v>-1</v>
      </c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</row>
    <row r="847" spans="1:23" x14ac:dyDescent="0.3">
      <c r="A847" s="6"/>
      <c r="B847" s="6" t="s">
        <v>714</v>
      </c>
      <c r="C847" s="6">
        <v>-1</v>
      </c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</row>
    <row r="848" spans="1:23" x14ac:dyDescent="0.3">
      <c r="A848" s="6"/>
      <c r="B848" s="6" t="s">
        <v>720</v>
      </c>
      <c r="C848" s="6">
        <v>-1</v>
      </c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</row>
    <row r="849" spans="1:23" x14ac:dyDescent="0.3">
      <c r="A849" s="6"/>
      <c r="B849" s="6" t="s">
        <v>454</v>
      </c>
      <c r="C849" s="6">
        <v>-1</v>
      </c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</row>
    <row r="850" spans="1:23" x14ac:dyDescent="0.3">
      <c r="A850" s="6"/>
      <c r="B850" s="6" t="s">
        <v>728</v>
      </c>
      <c r="C850" s="6">
        <v>-1</v>
      </c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</row>
    <row r="851" spans="1:23" x14ac:dyDescent="0.3">
      <c r="A851" s="6"/>
      <c r="B851" s="6" t="s">
        <v>730</v>
      </c>
      <c r="C851" s="6">
        <v>-1</v>
      </c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</row>
    <row r="852" spans="1:23" x14ac:dyDescent="0.3">
      <c r="A852" s="6"/>
      <c r="B852" s="6" t="s">
        <v>492</v>
      </c>
      <c r="C852" s="6">
        <v>-1</v>
      </c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</row>
    <row r="853" spans="1:23" x14ac:dyDescent="0.3">
      <c r="A853" s="6"/>
      <c r="B853" s="6" t="s">
        <v>568</v>
      </c>
      <c r="C853" s="6">
        <v>-1</v>
      </c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</row>
    <row r="854" spans="1:23" x14ac:dyDescent="0.3">
      <c r="A854" s="6"/>
      <c r="B854" s="6" t="s">
        <v>660</v>
      </c>
      <c r="C854" s="6">
        <v>-1</v>
      </c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</row>
    <row r="855" spans="1:23" x14ac:dyDescent="0.3">
      <c r="A855" s="6"/>
      <c r="B855" s="6" t="s">
        <v>678</v>
      </c>
      <c r="C855" s="6">
        <v>-1</v>
      </c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</row>
    <row r="856" spans="1:23" x14ac:dyDescent="0.3">
      <c r="A856" s="6"/>
      <c r="B856" s="6" t="s">
        <v>462</v>
      </c>
      <c r="C856" s="6">
        <v>-1</v>
      </c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</row>
    <row r="857" spans="1:23" x14ac:dyDescent="0.3">
      <c r="A857" s="6"/>
      <c r="B857" s="6" t="s">
        <v>722</v>
      </c>
      <c r="C857" s="6">
        <v>-1</v>
      </c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</row>
    <row r="858" spans="1:23" x14ac:dyDescent="0.3">
      <c r="A858" s="6"/>
      <c r="B858" s="6" t="s">
        <v>608</v>
      </c>
      <c r="C858" s="6"/>
      <c r="D858" s="6"/>
      <c r="E858" s="6"/>
      <c r="F858" s="6">
        <v>-1</v>
      </c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</row>
    <row r="859" spans="1:23" x14ac:dyDescent="0.3">
      <c r="A859" s="6"/>
      <c r="B859" s="6" t="s">
        <v>494</v>
      </c>
      <c r="C859" s="6"/>
      <c r="D859" s="6"/>
      <c r="E859" s="6"/>
      <c r="F859" s="6">
        <v>-1</v>
      </c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</row>
    <row r="860" spans="1:23" x14ac:dyDescent="0.3">
      <c r="A860" s="6" t="s">
        <v>4197</v>
      </c>
      <c r="B860" s="6" t="s">
        <v>466</v>
      </c>
      <c r="C860" s="6"/>
      <c r="D860" s="6"/>
      <c r="E860" s="6"/>
      <c r="F860" s="6">
        <v>48</v>
      </c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</row>
    <row r="861" spans="1:23" x14ac:dyDescent="0.3">
      <c r="A861" s="6"/>
      <c r="B861" s="6" t="s">
        <v>528</v>
      </c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>
        <v>-1</v>
      </c>
      <c r="N861" s="6"/>
      <c r="O861" s="6"/>
      <c r="P861" s="6"/>
      <c r="Q861" s="6"/>
      <c r="R861" s="6"/>
      <c r="S861" s="6"/>
      <c r="T861" s="6"/>
      <c r="U861" s="6"/>
      <c r="V861" s="6"/>
      <c r="W861" s="6"/>
    </row>
    <row r="862" spans="1:23" x14ac:dyDescent="0.3">
      <c r="A862" s="6"/>
      <c r="B862" s="6" t="s">
        <v>610</v>
      </c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>
        <v>-1</v>
      </c>
      <c r="N862" s="6"/>
      <c r="O862" s="6"/>
      <c r="P862" s="6"/>
      <c r="Q862" s="6"/>
      <c r="R862" s="6"/>
      <c r="S862" s="6"/>
      <c r="T862" s="6"/>
      <c r="U862" s="6"/>
      <c r="V862" s="6"/>
      <c r="W862" s="6"/>
    </row>
    <row r="863" spans="1:23" x14ac:dyDescent="0.3">
      <c r="A863" s="6"/>
      <c r="B863" s="6" t="s">
        <v>616</v>
      </c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>
        <v>-1</v>
      </c>
      <c r="N863" s="6"/>
      <c r="O863" s="6"/>
      <c r="P863" s="6"/>
      <c r="Q863" s="6"/>
      <c r="R863" s="6"/>
      <c r="S863" s="6"/>
      <c r="T863" s="6"/>
      <c r="U863" s="6"/>
      <c r="V863" s="6"/>
      <c r="W863" s="6"/>
    </row>
    <row r="864" spans="1:23" x14ac:dyDescent="0.3">
      <c r="A864" s="6"/>
      <c r="B864" s="6" t="s">
        <v>650</v>
      </c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>
        <v>-1</v>
      </c>
      <c r="N864" s="6"/>
      <c r="O864" s="6"/>
      <c r="P864" s="6"/>
      <c r="Q864" s="6"/>
      <c r="R864" s="6"/>
      <c r="S864" s="6"/>
      <c r="T864" s="6"/>
      <c r="U864" s="6"/>
      <c r="V864" s="6"/>
      <c r="W864" s="6"/>
    </row>
    <row r="865" spans="1:23" x14ac:dyDescent="0.3">
      <c r="A865" s="6"/>
      <c r="B865" s="6" t="s">
        <v>654</v>
      </c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>
        <v>-1</v>
      </c>
      <c r="N865" s="6"/>
      <c r="O865" s="6"/>
      <c r="P865" s="6"/>
      <c r="Q865" s="6"/>
      <c r="R865" s="6"/>
      <c r="S865" s="6"/>
      <c r="T865" s="6"/>
      <c r="U865" s="6"/>
      <c r="V865" s="6"/>
      <c r="W865" s="6"/>
    </row>
    <row r="866" spans="1:23" x14ac:dyDescent="0.3">
      <c r="A866" s="6" t="s">
        <v>3479</v>
      </c>
      <c r="B866" s="6" t="s">
        <v>738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>
        <v>1001</v>
      </c>
      <c r="N866" s="6"/>
      <c r="O866" s="6"/>
      <c r="P866" s="6"/>
      <c r="Q866" s="6"/>
      <c r="R866" s="6"/>
      <c r="S866" s="6"/>
      <c r="T866" s="6"/>
      <c r="U866" s="6"/>
      <c r="V866" s="6"/>
      <c r="W866" s="6"/>
    </row>
    <row r="867" spans="1:23" x14ac:dyDescent="0.3">
      <c r="A867" s="6"/>
      <c r="B867" s="6" t="s">
        <v>386</v>
      </c>
      <c r="C867" s="6"/>
      <c r="D867" s="6"/>
      <c r="E867" s="6"/>
      <c r="F867" s="6">
        <v>-1</v>
      </c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</row>
    <row r="868" spans="1:23" x14ac:dyDescent="0.3">
      <c r="A868" s="6"/>
      <c r="B868" s="6" t="s">
        <v>386</v>
      </c>
      <c r="C868" s="6"/>
      <c r="D868" s="6"/>
      <c r="E868" s="6"/>
      <c r="F868" s="6"/>
      <c r="G868" s="6">
        <v>-1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</row>
    <row r="869" spans="1:23" x14ac:dyDescent="0.3">
      <c r="A869" s="6" t="s">
        <v>4637</v>
      </c>
      <c r="B869" s="6" t="s">
        <v>600</v>
      </c>
      <c r="C869" s="6">
        <v>16</v>
      </c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0E1FE-4860-4B59-8BA3-1996256563A0}">
  <dimension ref="A1:E26"/>
  <sheetViews>
    <sheetView topLeftCell="A19" workbookViewId="0">
      <selection activeCell="B27" sqref="B27"/>
    </sheetView>
  </sheetViews>
  <sheetFormatPr defaultRowHeight="14.4" x14ac:dyDescent="0.3"/>
  <cols>
    <col min="1" max="1" width="35.44140625" bestFit="1" customWidth="1"/>
    <col min="2" max="2" width="13.6640625" bestFit="1" customWidth="1"/>
    <col min="3" max="3" width="43.5546875" bestFit="1" customWidth="1"/>
    <col min="4" max="4" width="17" bestFit="1" customWidth="1"/>
    <col min="5" max="5" width="14.77734375" bestFit="1" customWidth="1"/>
  </cols>
  <sheetData>
    <row r="1" spans="1:5" x14ac:dyDescent="0.3">
      <c r="A1" t="s">
        <v>833</v>
      </c>
      <c r="B1" t="s">
        <v>1</v>
      </c>
      <c r="C1" t="s">
        <v>1157</v>
      </c>
      <c r="D1" t="s">
        <v>1212</v>
      </c>
      <c r="E1" t="s">
        <v>1213</v>
      </c>
    </row>
    <row r="2" spans="1:5" x14ac:dyDescent="0.3">
      <c r="A2" s="6" t="s">
        <v>2074</v>
      </c>
      <c r="B2" s="6" t="s">
        <v>354</v>
      </c>
      <c r="C2" s="6">
        <v>22</v>
      </c>
      <c r="D2" s="6">
        <f>Tabela96[[#This Row],[Total Athletes]]-(LEN(Tabela96[[#This Row],[Pair]])-LEN(SUBSTITUTE(Tabela96[[#This Row],[Pair]],"/","")))-1</f>
        <v>1</v>
      </c>
      <c r="E2" s="6">
        <v>2</v>
      </c>
    </row>
    <row r="3" spans="1:5" x14ac:dyDescent="0.3">
      <c r="A3" s="6"/>
      <c r="B3" s="6" t="s">
        <v>354</v>
      </c>
      <c r="C3" s="6">
        <v>-1</v>
      </c>
      <c r="D3" s="6">
        <f>Tabela96[[#This Row],[Total Athletes]]-(LEN(Tabela96[[#This Row],[Pair]])-LEN(SUBSTITUTE(Tabela96[[#This Row],[Pair]],"/","")))-1</f>
        <v>-1</v>
      </c>
      <c r="E3" s="6"/>
    </row>
    <row r="4" spans="1:5" x14ac:dyDescent="0.3">
      <c r="A4" s="6" t="s">
        <v>2883</v>
      </c>
      <c r="B4" s="6" t="s">
        <v>328</v>
      </c>
      <c r="C4" s="6">
        <v>15</v>
      </c>
      <c r="D4" s="6">
        <f>Tabela96[[#This Row],[Total Athletes]]-(LEN(Tabela96[[#This Row],[Pair]])-LEN(SUBSTITUTE(Tabela96[[#This Row],[Pair]],"/","")))-1</f>
        <v>1</v>
      </c>
      <c r="E4" s="6">
        <v>2</v>
      </c>
    </row>
    <row r="5" spans="1:5" x14ac:dyDescent="0.3">
      <c r="A5" s="6"/>
      <c r="B5" s="6" t="s">
        <v>328</v>
      </c>
      <c r="C5" s="6">
        <v>-1</v>
      </c>
      <c r="D5" s="6">
        <f>Tabela96[[#This Row],[Total Athletes]]-(LEN(Tabela96[[#This Row],[Pair]])-LEN(SUBSTITUTE(Tabela96[[#This Row],[Pair]],"/","")))-1</f>
        <v>-1</v>
      </c>
      <c r="E5" s="6"/>
    </row>
    <row r="6" spans="1:5" x14ac:dyDescent="0.3">
      <c r="A6" s="6" t="s">
        <v>4718</v>
      </c>
      <c r="B6" s="6" t="s">
        <v>362</v>
      </c>
      <c r="C6" s="6">
        <v>19</v>
      </c>
      <c r="D6" s="6">
        <f>Tabela96[[#This Row],[Total Athletes]]-(LEN(Tabela96[[#This Row],[Pair]])-LEN(SUBSTITUTE(Tabela96[[#This Row],[Pair]],"/","")))-1</f>
        <v>1</v>
      </c>
      <c r="E6" s="6">
        <v>2</v>
      </c>
    </row>
    <row r="7" spans="1:5" x14ac:dyDescent="0.3">
      <c r="A7" s="6" t="s">
        <v>4722</v>
      </c>
      <c r="B7" s="6" t="s">
        <v>362</v>
      </c>
      <c r="C7" s="6">
        <v>12</v>
      </c>
      <c r="D7" s="6">
        <f>Tabela96[[#This Row],[Total Athletes]]-(LEN(Tabela96[[#This Row],[Pair]])-LEN(SUBSTITUTE(Tabela96[[#This Row],[Pair]],"/","")))-1</f>
        <v>1</v>
      </c>
      <c r="E7" s="6">
        <v>2</v>
      </c>
    </row>
    <row r="8" spans="1:5" x14ac:dyDescent="0.3">
      <c r="A8" s="6" t="s">
        <v>1810</v>
      </c>
      <c r="B8" s="6" t="s">
        <v>428</v>
      </c>
      <c r="C8" s="6">
        <v>8</v>
      </c>
      <c r="D8" s="6">
        <f>Tabela96[[#This Row],[Total Athletes]]-(LEN(Tabela96[[#This Row],[Pair]])-LEN(SUBSTITUTE(Tabela96[[#This Row],[Pair]],"/","")))-1</f>
        <v>1</v>
      </c>
      <c r="E8" s="6">
        <v>2</v>
      </c>
    </row>
    <row r="9" spans="1:5" x14ac:dyDescent="0.3">
      <c r="A9" s="6"/>
      <c r="B9" s="6" t="s">
        <v>428</v>
      </c>
      <c r="C9" s="6">
        <v>-1</v>
      </c>
      <c r="D9" s="6">
        <f>Tabela96[[#This Row],[Total Athletes]]-(LEN(Tabela96[[#This Row],[Pair]])-LEN(SUBSTITUTE(Tabela96[[#This Row],[Pair]],"/","")))-1</f>
        <v>-1</v>
      </c>
      <c r="E9" s="6"/>
    </row>
    <row r="10" spans="1:5" x14ac:dyDescent="0.3">
      <c r="A10" s="6"/>
      <c r="B10" s="6" t="s">
        <v>330</v>
      </c>
      <c r="C10" s="6">
        <v>-1</v>
      </c>
      <c r="D10" s="6">
        <f>Tabela96[[#This Row],[Total Athletes]]-(LEN(Tabela96[[#This Row],[Pair]])-LEN(SUBSTITUTE(Tabela96[[#This Row],[Pair]],"/","")))-1</f>
        <v>-1</v>
      </c>
      <c r="E10" s="6"/>
    </row>
    <row r="11" spans="1:5" x14ac:dyDescent="0.3">
      <c r="A11" s="6"/>
      <c r="B11" s="6" t="s">
        <v>330</v>
      </c>
      <c r="C11" s="6">
        <v>-1</v>
      </c>
      <c r="D11" s="6">
        <f>Tabela96[[#This Row],[Total Athletes]]-(LEN(Tabela96[[#This Row],[Pair]])-LEN(SUBSTITUTE(Tabela96[[#This Row],[Pair]],"/","")))-1</f>
        <v>-1</v>
      </c>
      <c r="E11" s="6"/>
    </row>
    <row r="12" spans="1:5" x14ac:dyDescent="0.3">
      <c r="A12" s="6" t="s">
        <v>4495</v>
      </c>
      <c r="B12" s="6" t="s">
        <v>336</v>
      </c>
      <c r="C12" s="6">
        <v>7</v>
      </c>
      <c r="D12" s="6">
        <f>Tabela96[[#This Row],[Total Athletes]]-(LEN(Tabela96[[#This Row],[Pair]])-LEN(SUBSTITUTE(Tabela96[[#This Row],[Pair]],"/","")))-1</f>
        <v>1</v>
      </c>
      <c r="E12" s="6">
        <v>2</v>
      </c>
    </row>
    <row r="13" spans="1:5" x14ac:dyDescent="0.3">
      <c r="A13" s="6" t="s">
        <v>2563</v>
      </c>
      <c r="B13" s="6" t="s">
        <v>384</v>
      </c>
      <c r="C13" s="6">
        <v>20</v>
      </c>
      <c r="D13" s="6">
        <f>Tabela96[[#This Row],[Total Athletes]]-(LEN(Tabela96[[#This Row],[Pair]])-LEN(SUBSTITUTE(Tabela96[[#This Row],[Pair]],"/","")))-1</f>
        <v>0</v>
      </c>
      <c r="E13" s="6">
        <v>2</v>
      </c>
    </row>
    <row r="14" spans="1:5" x14ac:dyDescent="0.3">
      <c r="A14" s="6" t="s">
        <v>3179</v>
      </c>
      <c r="B14" s="6" t="s">
        <v>344</v>
      </c>
      <c r="C14" s="6">
        <v>11</v>
      </c>
      <c r="D14" s="6">
        <f>Tabela96[[#This Row],[Total Athletes]]-(LEN(Tabela96[[#This Row],[Pair]])-LEN(SUBSTITUTE(Tabela96[[#This Row],[Pair]],"/","")))-1</f>
        <v>1</v>
      </c>
      <c r="E14" s="6">
        <v>2</v>
      </c>
    </row>
    <row r="15" spans="1:5" x14ac:dyDescent="0.3">
      <c r="A15" s="6"/>
      <c r="B15" s="6" t="s">
        <v>334</v>
      </c>
      <c r="C15" s="6">
        <v>-1</v>
      </c>
      <c r="D15" s="6">
        <f>Tabela96[[#This Row],[Total Athletes]]-(LEN(Tabela96[[#This Row],[Pair]])-LEN(SUBSTITUTE(Tabela96[[#This Row],[Pair]],"/","")))-1</f>
        <v>-1</v>
      </c>
      <c r="E15" s="6"/>
    </row>
    <row r="16" spans="1:5" x14ac:dyDescent="0.3">
      <c r="A16" s="6" t="s">
        <v>3507</v>
      </c>
      <c r="B16" s="6" t="s">
        <v>406</v>
      </c>
      <c r="C16" s="6">
        <v>21</v>
      </c>
      <c r="D16" s="6">
        <f>Tabela96[[#This Row],[Total Athletes]]-(LEN(Tabela96[[#This Row],[Pair]])-LEN(SUBSTITUTE(Tabela96[[#This Row],[Pair]],"/","")))-1</f>
        <v>1</v>
      </c>
      <c r="E16" s="6">
        <v>2</v>
      </c>
    </row>
    <row r="17" spans="1:5" x14ac:dyDescent="0.3">
      <c r="A17" s="6"/>
      <c r="B17" s="6" t="s">
        <v>448</v>
      </c>
      <c r="C17" s="6">
        <v>-1</v>
      </c>
      <c r="D17" s="6">
        <f>Tabela96[[#This Row],[Total Athletes]]-(LEN(Tabela96[[#This Row],[Pair]])-LEN(SUBSTITUTE(Tabela96[[#This Row],[Pair]],"/","")))-1</f>
        <v>-1</v>
      </c>
      <c r="E17" s="6"/>
    </row>
    <row r="18" spans="1:5" x14ac:dyDescent="0.3">
      <c r="A18" s="6" t="s">
        <v>3378</v>
      </c>
      <c r="B18" s="6" t="s">
        <v>356</v>
      </c>
      <c r="C18" s="6">
        <v>6</v>
      </c>
      <c r="D18" s="6">
        <f>Tabela96[[#This Row],[Total Athletes]]-(LEN(Tabela96[[#This Row],[Pair]])-LEN(SUBSTITUTE(Tabela96[[#This Row],[Pair]],"/","")))-1</f>
        <v>0</v>
      </c>
      <c r="E18" s="6">
        <v>2</v>
      </c>
    </row>
    <row r="19" spans="1:5" x14ac:dyDescent="0.3">
      <c r="A19" s="6" t="s">
        <v>5073</v>
      </c>
      <c r="B19" s="6" t="s">
        <v>350</v>
      </c>
      <c r="C19" s="6">
        <v>5</v>
      </c>
      <c r="D19" s="6">
        <f>Tabela96[[#This Row],[Total Athletes]]-(LEN(Tabela96[[#This Row],[Pair]])-LEN(SUBSTITUTE(Tabela96[[#This Row],[Pair]],"/","")))-1</f>
        <v>1</v>
      </c>
      <c r="E19" s="6">
        <v>2</v>
      </c>
    </row>
    <row r="20" spans="1:5" x14ac:dyDescent="0.3">
      <c r="A20" s="6" t="s">
        <v>1678</v>
      </c>
      <c r="B20" s="6" t="s">
        <v>394</v>
      </c>
      <c r="C20" s="6">
        <v>16</v>
      </c>
      <c r="D20" s="6">
        <f>Tabela96[[#This Row],[Total Athletes]]-(LEN(Tabela96[[#This Row],[Pair]])-LEN(SUBSTITUTE(Tabela96[[#This Row],[Pair]],"/","")))-1</f>
        <v>1</v>
      </c>
      <c r="E20" s="6">
        <v>2</v>
      </c>
    </row>
    <row r="21" spans="1:5" x14ac:dyDescent="0.3">
      <c r="A21" s="6" t="s">
        <v>1538</v>
      </c>
      <c r="B21" s="6" t="s">
        <v>408</v>
      </c>
      <c r="C21" s="6">
        <v>18</v>
      </c>
      <c r="D21" s="6">
        <f>Tabela96[[#This Row],[Total Athletes]]-(LEN(Tabela96[[#This Row],[Pair]])-LEN(SUBSTITUTE(Tabela96[[#This Row],[Pair]],"/","")))-1</f>
        <v>0</v>
      </c>
      <c r="E21" s="6">
        <v>2</v>
      </c>
    </row>
    <row r="22" spans="1:5" x14ac:dyDescent="0.3">
      <c r="A22" s="6" t="s">
        <v>4142</v>
      </c>
      <c r="B22" s="6" t="s">
        <v>718</v>
      </c>
      <c r="C22" s="6">
        <v>23</v>
      </c>
      <c r="D22" s="6">
        <f>Tabela96[[#This Row],[Total Athletes]]-(LEN(Tabela96[[#This Row],[Pair]])-LEN(SUBSTITUTE(Tabela96[[#This Row],[Pair]],"/","")))-1</f>
        <v>1</v>
      </c>
      <c r="E22" s="6">
        <v>2</v>
      </c>
    </row>
    <row r="23" spans="1:5" x14ac:dyDescent="0.3">
      <c r="A23" s="6"/>
      <c r="B23" s="6" t="s">
        <v>726</v>
      </c>
      <c r="C23" s="6">
        <v>-1</v>
      </c>
      <c r="D23" s="6">
        <f>Tabela96[[#This Row],[Total Athletes]]-(LEN(Tabela96[[#This Row],[Pair]])-LEN(SUBSTITUTE(Tabela96[[#This Row],[Pair]],"/","")))-1</f>
        <v>-1</v>
      </c>
      <c r="E23" s="6"/>
    </row>
    <row r="24" spans="1:5" x14ac:dyDescent="0.3">
      <c r="A24" s="6"/>
      <c r="B24" s="6" t="s">
        <v>400</v>
      </c>
      <c r="C24" s="6">
        <v>-1</v>
      </c>
      <c r="D24" s="6">
        <f>Tabela96[[#This Row],[Total Athletes]]-(LEN(Tabela96[[#This Row],[Pair]])-LEN(SUBSTITUTE(Tabela96[[#This Row],[Pair]],"/","")))-1</f>
        <v>-1</v>
      </c>
      <c r="E24" s="6"/>
    </row>
    <row r="25" spans="1:5" x14ac:dyDescent="0.3">
      <c r="A25" s="6"/>
      <c r="B25" s="6" t="s">
        <v>392</v>
      </c>
      <c r="C25" s="6">
        <v>-1</v>
      </c>
      <c r="D25" s="6">
        <f>Tabela96[[#This Row],[Total Athletes]]-(LEN(Tabela96[[#This Row],[Pair]])-LEN(SUBSTITUTE(Tabela96[[#This Row],[Pair]],"/","")))-1</f>
        <v>-1</v>
      </c>
      <c r="E25" s="6"/>
    </row>
    <row r="26" spans="1:5" x14ac:dyDescent="0.3">
      <c r="A26" s="6" t="s">
        <v>4796</v>
      </c>
      <c r="B26" s="6" t="s">
        <v>442</v>
      </c>
      <c r="C26" s="6">
        <v>1001</v>
      </c>
      <c r="D26" s="6">
        <f>Tabela96[[#This Row],[Total Athletes]]-(LEN(Tabela96[[#This Row],[Pair]])-LEN(SUBSTITUTE(Tabela96[[#This Row],[Pair]],"/","")))-1</f>
        <v>1</v>
      </c>
      <c r="E26" s="6">
        <v>2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27ACE4-2DDB-4689-BC2A-34E6D6D28163}">
  <dimension ref="A1:I81"/>
  <sheetViews>
    <sheetView topLeftCell="A75" zoomScaleNormal="100" workbookViewId="0">
      <selection activeCell="B82" sqref="B82"/>
    </sheetView>
  </sheetViews>
  <sheetFormatPr defaultRowHeight="14.4" x14ac:dyDescent="0.3"/>
  <cols>
    <col min="1" max="1" width="106.77734375" bestFit="1" customWidth="1"/>
    <col min="2" max="2" width="18.5546875" bestFit="1" customWidth="1"/>
    <col min="3" max="3" width="32.21875" bestFit="1" customWidth="1"/>
    <col min="4" max="4" width="35" bestFit="1" customWidth="1"/>
    <col min="5" max="5" width="32.21875" bestFit="1" customWidth="1"/>
    <col min="6" max="6" width="35" bestFit="1" customWidth="1"/>
    <col min="7" max="7" width="32.33203125" bestFit="1" customWidth="1"/>
    <col min="8" max="8" width="17" bestFit="1" customWidth="1"/>
    <col min="9" max="9" width="14.77734375" bestFit="1" customWidth="1"/>
  </cols>
  <sheetData>
    <row r="1" spans="1:9" x14ac:dyDescent="0.3">
      <c r="A1" t="s">
        <v>834</v>
      </c>
      <c r="B1" t="s">
        <v>1</v>
      </c>
      <c r="C1" t="s">
        <v>1137</v>
      </c>
      <c r="D1" t="s">
        <v>1138</v>
      </c>
      <c r="E1" t="s">
        <v>1139</v>
      </c>
      <c r="F1" t="s">
        <v>1140</v>
      </c>
      <c r="G1" t="s">
        <v>1141</v>
      </c>
      <c r="H1" t="s">
        <v>1212</v>
      </c>
      <c r="I1" t="s">
        <v>1213</v>
      </c>
    </row>
    <row r="2" spans="1:9" x14ac:dyDescent="0.3">
      <c r="A2" s="6" t="s">
        <v>2349</v>
      </c>
      <c r="B2" s="6" t="s">
        <v>354</v>
      </c>
      <c r="C2" s="6">
        <v>9</v>
      </c>
      <c r="D2" s="6"/>
      <c r="E2" s="6"/>
      <c r="F2" s="6"/>
      <c r="G2" s="6"/>
      <c r="H2" s="6">
        <f>Table27[[#This Row],[Total Athletes]]-(LEN(Table27[[#This Row],[Team]])-LEN(SUBSTITUTE(Table27[[#This Row],[Team]],"/","")))-1</f>
        <v>2</v>
      </c>
      <c r="I2" s="6">
        <v>4</v>
      </c>
    </row>
    <row r="3" spans="1:9" x14ac:dyDescent="0.3">
      <c r="A3" s="6"/>
      <c r="B3" s="6" t="s">
        <v>384</v>
      </c>
      <c r="C3" s="6">
        <v>-1</v>
      </c>
      <c r="D3" s="6"/>
      <c r="E3" s="6"/>
      <c r="F3" s="6"/>
      <c r="G3" s="6"/>
      <c r="H3" s="6">
        <f>Table27[[#This Row],[Total Athletes]]-(LEN(Table27[[#This Row],[Team]])-LEN(SUBSTITUTE(Table27[[#This Row],[Team]],"/","")))-1</f>
        <v>-1</v>
      </c>
      <c r="I3" s="6"/>
    </row>
    <row r="4" spans="1:9" x14ac:dyDescent="0.3">
      <c r="A4" s="6"/>
      <c r="B4" s="6" t="s">
        <v>328</v>
      </c>
      <c r="C4" s="6">
        <v>-1</v>
      </c>
      <c r="D4" s="6"/>
      <c r="E4" s="6"/>
      <c r="F4" s="6"/>
      <c r="G4" s="6"/>
      <c r="H4" s="6">
        <f>Table27[[#This Row],[Total Athletes]]-(LEN(Table27[[#This Row],[Team]])-LEN(SUBSTITUTE(Table27[[#This Row],[Team]],"/","")))-1</f>
        <v>-1</v>
      </c>
      <c r="I4" s="6"/>
    </row>
    <row r="5" spans="1:9" x14ac:dyDescent="0.3">
      <c r="A5" s="6" t="s">
        <v>3752</v>
      </c>
      <c r="B5" s="6" t="s">
        <v>344</v>
      </c>
      <c r="C5" s="6">
        <v>6</v>
      </c>
      <c r="D5" s="6"/>
      <c r="E5" s="6"/>
      <c r="F5" s="6"/>
      <c r="G5" s="6"/>
      <c r="H5" s="6">
        <f>Table27[[#This Row],[Total Athletes]]-(LEN(Table27[[#This Row],[Team]])-LEN(SUBSTITUTE(Table27[[#This Row],[Team]],"/","")))-1</f>
        <v>2</v>
      </c>
      <c r="I5" s="6">
        <v>4</v>
      </c>
    </row>
    <row r="6" spans="1:9" x14ac:dyDescent="0.3">
      <c r="A6" s="6"/>
      <c r="B6" s="6" t="s">
        <v>334</v>
      </c>
      <c r="C6" s="6">
        <v>-1</v>
      </c>
      <c r="D6" s="6"/>
      <c r="E6" s="6"/>
      <c r="F6" s="6"/>
      <c r="G6" s="6"/>
      <c r="H6" s="6">
        <f>Table27[[#This Row],[Total Athletes]]-(LEN(Table27[[#This Row],[Team]])-LEN(SUBSTITUTE(Table27[[#This Row],[Team]],"/","")))-1</f>
        <v>-1</v>
      </c>
      <c r="I6" s="6"/>
    </row>
    <row r="7" spans="1:9" x14ac:dyDescent="0.3">
      <c r="A7" s="6" t="s">
        <v>2903</v>
      </c>
      <c r="B7" s="6" t="s">
        <v>424</v>
      </c>
      <c r="C7" s="6">
        <v>3001</v>
      </c>
      <c r="D7" s="6"/>
      <c r="E7" s="6"/>
      <c r="F7" s="6"/>
      <c r="G7" s="6"/>
      <c r="H7" s="6">
        <f>Table27[[#This Row],[Total Athletes]]-(LEN(Table27[[#This Row],[Team]])-LEN(SUBSTITUTE(Table27[[#This Row],[Team]],"/","")))-1</f>
        <v>3</v>
      </c>
      <c r="I7" s="6">
        <v>4</v>
      </c>
    </row>
    <row r="8" spans="1:9" x14ac:dyDescent="0.3">
      <c r="A8" s="6" t="s">
        <v>1497</v>
      </c>
      <c r="B8" s="6" t="s">
        <v>402</v>
      </c>
      <c r="C8" s="6">
        <v>3</v>
      </c>
      <c r="D8" s="6"/>
      <c r="E8" s="6"/>
      <c r="F8" s="6"/>
      <c r="G8" s="6"/>
      <c r="H8" s="6">
        <f>Table27[[#This Row],[Total Athletes]]-(LEN(Table27[[#This Row],[Team]])-LEN(SUBSTITUTE(Table27[[#This Row],[Team]],"/","")))-1</f>
        <v>4</v>
      </c>
      <c r="I8" s="6">
        <v>5</v>
      </c>
    </row>
    <row r="9" spans="1:9" x14ac:dyDescent="0.3">
      <c r="A9" s="6"/>
      <c r="B9" s="6" t="s">
        <v>356</v>
      </c>
      <c r="C9" s="6">
        <v>-1</v>
      </c>
      <c r="D9" s="6"/>
      <c r="E9" s="6"/>
      <c r="F9" s="6"/>
      <c r="G9" s="6"/>
      <c r="H9" s="6">
        <f>Table27[[#This Row],[Total Athletes]]-(LEN(Table27[[#This Row],[Team]])-LEN(SUBSTITUTE(Table27[[#This Row],[Team]],"/","")))-1</f>
        <v>-1</v>
      </c>
      <c r="I9" s="6"/>
    </row>
    <row r="10" spans="1:9" x14ac:dyDescent="0.3">
      <c r="A10" s="6"/>
      <c r="B10" s="6" t="s">
        <v>600</v>
      </c>
      <c r="C10" s="6">
        <v>-1</v>
      </c>
      <c r="D10" s="6"/>
      <c r="E10" s="6"/>
      <c r="F10" s="6"/>
      <c r="G10" s="6"/>
      <c r="H10" s="6">
        <f>Table27[[#This Row],[Total Athletes]]-(LEN(Table27[[#This Row],[Team]])-LEN(SUBSTITUTE(Table27[[#This Row],[Team]],"/","")))-1</f>
        <v>-1</v>
      </c>
      <c r="I10" s="6"/>
    </row>
    <row r="11" spans="1:9" x14ac:dyDescent="0.3">
      <c r="A11" s="6" t="s">
        <v>4919</v>
      </c>
      <c r="B11" s="6" t="s">
        <v>428</v>
      </c>
      <c r="C11" s="6">
        <v>5</v>
      </c>
      <c r="D11" s="6"/>
      <c r="E11" s="6"/>
      <c r="F11" s="6"/>
      <c r="G11" s="6"/>
      <c r="H11" s="6">
        <f>Table27[[#This Row],[Total Athletes]]-(LEN(Table27[[#This Row],[Team]])-LEN(SUBSTITUTE(Table27[[#This Row],[Team]],"/","")))-1</f>
        <v>3</v>
      </c>
      <c r="I11" s="6">
        <v>5</v>
      </c>
    </row>
    <row r="12" spans="1:9" x14ac:dyDescent="0.3">
      <c r="A12" s="6" t="s">
        <v>4816</v>
      </c>
      <c r="B12" s="6" t="s">
        <v>430</v>
      </c>
      <c r="C12" s="6">
        <v>15</v>
      </c>
      <c r="D12" s="6"/>
      <c r="E12" s="6"/>
      <c r="F12" s="6"/>
      <c r="G12" s="6"/>
      <c r="H12" s="6">
        <f>Table27[[#This Row],[Total Athletes]]-(LEN(Table27[[#This Row],[Team]])-LEN(SUBSTITUTE(Table27[[#This Row],[Team]],"/","")))-1</f>
        <v>-1</v>
      </c>
      <c r="I12" s="6"/>
    </row>
    <row r="13" spans="1:9" x14ac:dyDescent="0.3">
      <c r="A13" s="6"/>
      <c r="B13" s="6" t="s">
        <v>440</v>
      </c>
      <c r="C13" s="6">
        <v>-1</v>
      </c>
      <c r="D13" s="6"/>
      <c r="E13" s="6"/>
      <c r="F13" s="6"/>
      <c r="G13" s="6"/>
      <c r="H13" s="6">
        <f>Table27[[#This Row],[Total Athletes]]-(LEN(Table27[[#This Row],[Team]])-LEN(SUBSTITUTE(Table27[[#This Row],[Team]],"/","")))-1</f>
        <v>-1</v>
      </c>
      <c r="I13" s="6"/>
    </row>
    <row r="14" spans="1:9" x14ac:dyDescent="0.3">
      <c r="A14" s="6"/>
      <c r="B14" s="6" t="s">
        <v>422</v>
      </c>
      <c r="C14" s="6">
        <v>-1</v>
      </c>
      <c r="D14" s="6"/>
      <c r="E14" s="6"/>
      <c r="F14" s="6"/>
      <c r="G14" s="6"/>
      <c r="H14" s="6">
        <f>Table27[[#This Row],[Total Athletes]]-(LEN(Table27[[#This Row],[Team]])-LEN(SUBSTITUTE(Table27[[#This Row],[Team]],"/","")))-1</f>
        <v>-1</v>
      </c>
      <c r="I14" s="6"/>
    </row>
    <row r="15" spans="1:9" x14ac:dyDescent="0.3">
      <c r="A15" s="6" t="s">
        <v>2904</v>
      </c>
      <c r="B15" s="6" t="s">
        <v>332</v>
      </c>
      <c r="C15" s="6">
        <v>8</v>
      </c>
      <c r="D15" s="6"/>
      <c r="E15" s="6"/>
      <c r="F15" s="6"/>
      <c r="G15" s="6"/>
      <c r="H15" s="6">
        <f>Table27[[#This Row],[Total Athletes]]-(LEN(Table27[[#This Row],[Team]])-LEN(SUBSTITUTE(Table27[[#This Row],[Team]],"/","")))-1</f>
        <v>3</v>
      </c>
      <c r="I15" s="6">
        <v>5</v>
      </c>
    </row>
    <row r="16" spans="1:9" x14ac:dyDescent="0.3">
      <c r="A16" s="6" t="s">
        <v>3522</v>
      </c>
      <c r="B16" s="6" t="s">
        <v>520</v>
      </c>
      <c r="C16" s="6"/>
      <c r="D16" s="6"/>
      <c r="E16" s="6">
        <v>4</v>
      </c>
      <c r="F16" s="6"/>
      <c r="G16" s="6"/>
      <c r="H16" s="6">
        <f>Table27[[#This Row],[Total Athletes]]-(LEN(Table27[[#This Row],[Team]])-LEN(SUBSTITUTE(Table27[[#This Row],[Team]],"/","")))-1</f>
        <v>3</v>
      </c>
      <c r="I16" s="6">
        <v>4</v>
      </c>
    </row>
    <row r="17" spans="1:9" x14ac:dyDescent="0.3">
      <c r="A17" s="6" t="s">
        <v>2928</v>
      </c>
      <c r="B17" s="6" t="s">
        <v>532</v>
      </c>
      <c r="C17" s="6"/>
      <c r="D17" s="6"/>
      <c r="E17" s="6">
        <v>2</v>
      </c>
      <c r="F17" s="6"/>
      <c r="G17" s="6"/>
      <c r="H17" s="6">
        <f>Table27[[#This Row],[Total Athletes]]-(LEN(Table27[[#This Row],[Team]])-LEN(SUBSTITUTE(Table27[[#This Row],[Team]],"/","")))-1</f>
        <v>3</v>
      </c>
      <c r="I17" s="6">
        <v>4</v>
      </c>
    </row>
    <row r="18" spans="1:9" x14ac:dyDescent="0.3">
      <c r="A18" s="6" t="s">
        <v>3120</v>
      </c>
      <c r="B18" s="6" t="s">
        <v>336</v>
      </c>
      <c r="C18" s="6"/>
      <c r="D18" s="6"/>
      <c r="E18" s="6">
        <v>12</v>
      </c>
      <c r="F18" s="6"/>
      <c r="G18" s="6"/>
      <c r="H18" s="6">
        <f>Table27[[#This Row],[Total Athletes]]-(LEN(Table27[[#This Row],[Team]])-LEN(SUBSTITUTE(Table27[[#This Row],[Team]],"/","")))-1</f>
        <v>1</v>
      </c>
      <c r="I18" s="6">
        <v>4</v>
      </c>
    </row>
    <row r="19" spans="1:9" x14ac:dyDescent="0.3">
      <c r="A19" s="6"/>
      <c r="B19" s="6" t="s">
        <v>334</v>
      </c>
      <c r="C19" s="6"/>
      <c r="D19" s="6"/>
      <c r="E19" s="6">
        <v>-1</v>
      </c>
      <c r="F19" s="6"/>
      <c r="G19" s="6"/>
      <c r="H19" s="6">
        <f>Table27[[#This Row],[Total Athletes]]-(LEN(Table27[[#This Row],[Team]])-LEN(SUBSTITUTE(Table27[[#This Row],[Team]],"/","")))-1</f>
        <v>-1</v>
      </c>
      <c r="I19" s="6"/>
    </row>
    <row r="20" spans="1:9" x14ac:dyDescent="0.3">
      <c r="A20" s="6" t="s">
        <v>2913</v>
      </c>
      <c r="B20" s="6" t="s">
        <v>402</v>
      </c>
      <c r="C20" s="6"/>
      <c r="D20" s="6"/>
      <c r="E20" s="6">
        <v>3</v>
      </c>
      <c r="F20" s="6"/>
      <c r="G20" s="6"/>
      <c r="H20" s="6">
        <f>Table27[[#This Row],[Total Athletes]]-(LEN(Table27[[#This Row],[Team]])-LEN(SUBSTITUTE(Table27[[#This Row],[Team]],"/","")))-1</f>
        <v>2</v>
      </c>
      <c r="I20" s="6">
        <v>6</v>
      </c>
    </row>
    <row r="21" spans="1:9" x14ac:dyDescent="0.3">
      <c r="A21" s="6"/>
      <c r="B21" s="6" t="s">
        <v>448</v>
      </c>
      <c r="C21" s="6"/>
      <c r="D21" s="6"/>
      <c r="E21" s="6">
        <v>-1</v>
      </c>
      <c r="F21" s="6"/>
      <c r="G21" s="6"/>
      <c r="H21" s="6">
        <f>Table27[[#This Row],[Total Athletes]]-(LEN(Table27[[#This Row],[Team]])-LEN(SUBSTITUTE(Table27[[#This Row],[Team]],"/","")))-1</f>
        <v>-1</v>
      </c>
      <c r="I21" s="6"/>
    </row>
    <row r="22" spans="1:9" x14ac:dyDescent="0.3">
      <c r="A22" s="6"/>
      <c r="B22" s="6" t="s">
        <v>356</v>
      </c>
      <c r="C22" s="6"/>
      <c r="D22" s="6"/>
      <c r="E22" s="6">
        <v>-1</v>
      </c>
      <c r="F22" s="6"/>
      <c r="G22" s="6"/>
      <c r="H22" s="6">
        <f>Table27[[#This Row],[Total Athletes]]-(LEN(Table27[[#This Row],[Team]])-LEN(SUBSTITUTE(Table27[[#This Row],[Team]],"/","")))-1</f>
        <v>-1</v>
      </c>
      <c r="I22" s="6"/>
    </row>
    <row r="23" spans="1:9" x14ac:dyDescent="0.3">
      <c r="A23" s="6" t="s">
        <v>4064</v>
      </c>
      <c r="B23" s="6" t="s">
        <v>428</v>
      </c>
      <c r="C23" s="6"/>
      <c r="D23" s="6"/>
      <c r="E23" s="6">
        <v>6</v>
      </c>
      <c r="F23" s="6"/>
      <c r="G23" s="6"/>
      <c r="H23" s="6">
        <f>Table27[[#This Row],[Total Athletes]]-(LEN(Table27[[#This Row],[Team]])-LEN(SUBSTITUTE(Table27[[#This Row],[Team]],"/","")))-1</f>
        <v>2</v>
      </c>
      <c r="I23" s="6">
        <v>4</v>
      </c>
    </row>
    <row r="24" spans="1:9" x14ac:dyDescent="0.3">
      <c r="A24" s="6"/>
      <c r="B24" s="6" t="s">
        <v>440</v>
      </c>
      <c r="C24" s="6"/>
      <c r="D24" s="6"/>
      <c r="E24" s="6">
        <v>-1</v>
      </c>
      <c r="F24" s="6"/>
      <c r="G24" s="6"/>
      <c r="H24" s="6">
        <f>Table27[[#This Row],[Total Athletes]]-(LEN(Table27[[#This Row],[Team]])-LEN(SUBSTITUTE(Table27[[#This Row],[Team]],"/","")))-1</f>
        <v>-1</v>
      </c>
      <c r="I24" s="6"/>
    </row>
    <row r="25" spans="1:9" x14ac:dyDescent="0.3">
      <c r="A25" s="6" t="s">
        <v>1919</v>
      </c>
      <c r="B25" s="6" t="s">
        <v>394</v>
      </c>
      <c r="C25" s="6"/>
      <c r="D25" s="6"/>
      <c r="E25" s="6">
        <v>13</v>
      </c>
      <c r="F25" s="6"/>
      <c r="G25" s="6"/>
      <c r="H25" s="6">
        <f>Table27[[#This Row],[Total Athletes]]-(LEN(Table27[[#This Row],[Team]])-LEN(SUBSTITUTE(Table27[[#This Row],[Team]],"/","")))-1</f>
        <v>3</v>
      </c>
      <c r="I25" s="6">
        <v>4</v>
      </c>
    </row>
    <row r="26" spans="1:9" x14ac:dyDescent="0.3">
      <c r="A26" s="6"/>
      <c r="B26" s="6" t="s">
        <v>422</v>
      </c>
      <c r="C26" s="6"/>
      <c r="D26" s="6"/>
      <c r="E26" s="6">
        <v>-1</v>
      </c>
      <c r="F26" s="6"/>
      <c r="G26" s="6"/>
      <c r="H26" s="6">
        <f>Table27[[#This Row],[Total Athletes]]-(LEN(Table27[[#This Row],[Team]])-LEN(SUBSTITUTE(Table27[[#This Row],[Team]],"/","")))-1</f>
        <v>-1</v>
      </c>
      <c r="I26" s="6"/>
    </row>
    <row r="27" spans="1:9" x14ac:dyDescent="0.3">
      <c r="A27" s="6" t="s">
        <v>3993</v>
      </c>
      <c r="B27" s="6" t="s">
        <v>330</v>
      </c>
      <c r="C27" s="6"/>
      <c r="D27" s="6"/>
      <c r="E27" s="6">
        <v>14</v>
      </c>
      <c r="F27" s="6"/>
      <c r="G27" s="6"/>
      <c r="H27" s="6">
        <f>Table27[[#This Row],[Total Athletes]]-(LEN(Table27[[#This Row],[Team]])-LEN(SUBSTITUTE(Table27[[#This Row],[Team]],"/","")))-1</f>
        <v>1</v>
      </c>
      <c r="I27" s="6">
        <v>4</v>
      </c>
    </row>
    <row r="28" spans="1:9" x14ac:dyDescent="0.3">
      <c r="A28" s="6"/>
      <c r="B28" s="6" t="s">
        <v>480</v>
      </c>
      <c r="C28" s="6"/>
      <c r="D28" s="6"/>
      <c r="E28" s="6">
        <v>-1</v>
      </c>
      <c r="F28" s="6"/>
      <c r="G28" s="6"/>
      <c r="H28" s="6">
        <f>Table27[[#This Row],[Total Athletes]]-(LEN(Table27[[#This Row],[Team]])-LEN(SUBSTITUTE(Table27[[#This Row],[Team]],"/","")))-1</f>
        <v>-1</v>
      </c>
      <c r="I28" s="6"/>
    </row>
    <row r="29" spans="1:9" x14ac:dyDescent="0.3">
      <c r="A29" s="6"/>
      <c r="B29" s="6" t="s">
        <v>332</v>
      </c>
      <c r="C29" s="6"/>
      <c r="D29" s="6"/>
      <c r="E29" s="6">
        <v>-1</v>
      </c>
      <c r="F29" s="6"/>
      <c r="G29" s="6"/>
      <c r="H29" s="6">
        <f>Table27[[#This Row],[Total Athletes]]-(LEN(Table27[[#This Row],[Team]])-LEN(SUBSTITUTE(Table27[[#This Row],[Team]],"/","")))-1</f>
        <v>-1</v>
      </c>
      <c r="I29" s="6"/>
    </row>
    <row r="30" spans="1:9" x14ac:dyDescent="0.3">
      <c r="A30" s="6" t="s">
        <v>2414</v>
      </c>
      <c r="B30" s="6" t="s">
        <v>354</v>
      </c>
      <c r="C30" s="6"/>
      <c r="D30" s="6">
        <v>10</v>
      </c>
      <c r="E30" s="6"/>
      <c r="F30" s="6"/>
      <c r="G30" s="6"/>
      <c r="H30" s="6">
        <f>Table27[[#This Row],[Total Athletes]]-(LEN(Table27[[#This Row],[Team]])-LEN(SUBSTITUTE(Table27[[#This Row],[Team]],"/","")))-1</f>
        <v>2</v>
      </c>
      <c r="I30" s="6">
        <v>4</v>
      </c>
    </row>
    <row r="31" spans="1:9" x14ac:dyDescent="0.3">
      <c r="A31" s="6" t="s">
        <v>1859</v>
      </c>
      <c r="B31" s="6" t="s">
        <v>384</v>
      </c>
      <c r="C31" s="6"/>
      <c r="D31" s="6">
        <v>6</v>
      </c>
      <c r="E31" s="6"/>
      <c r="F31" s="6"/>
      <c r="G31" s="6"/>
      <c r="H31" s="6">
        <f>Table27[[#This Row],[Total Athletes]]-(LEN(Table27[[#This Row],[Team]])-LEN(SUBSTITUTE(Table27[[#This Row],[Team]],"/","")))-1</f>
        <v>4</v>
      </c>
      <c r="I31" s="6">
        <v>5</v>
      </c>
    </row>
    <row r="32" spans="1:9" x14ac:dyDescent="0.3">
      <c r="A32" s="6" t="s">
        <v>2836</v>
      </c>
      <c r="B32" s="6" t="s">
        <v>344</v>
      </c>
      <c r="C32" s="6"/>
      <c r="D32" s="6">
        <v>4</v>
      </c>
      <c r="E32" s="6"/>
      <c r="F32" s="6"/>
      <c r="G32" s="6"/>
      <c r="H32" s="6">
        <f>Table27[[#This Row],[Total Athletes]]-(LEN(Table27[[#This Row],[Team]])-LEN(SUBSTITUTE(Table27[[#This Row],[Team]],"/","")))-1</f>
        <v>3</v>
      </c>
      <c r="I32" s="6">
        <v>4</v>
      </c>
    </row>
    <row r="33" spans="1:9" x14ac:dyDescent="0.3">
      <c r="A33" s="6" t="s">
        <v>4651</v>
      </c>
      <c r="B33" s="6" t="s">
        <v>334</v>
      </c>
      <c r="C33" s="6"/>
      <c r="D33" s="6">
        <v>3</v>
      </c>
      <c r="E33" s="6"/>
      <c r="F33" s="6"/>
      <c r="G33" s="6"/>
      <c r="H33" s="6">
        <f>Table27[[#This Row],[Total Athletes]]-(LEN(Table27[[#This Row],[Team]])-LEN(SUBSTITUTE(Table27[[#This Row],[Team]],"/","")))-1</f>
        <v>3</v>
      </c>
      <c r="I33" s="6">
        <v>5</v>
      </c>
    </row>
    <row r="34" spans="1:9" x14ac:dyDescent="0.3">
      <c r="A34" s="6" t="s">
        <v>1519</v>
      </c>
      <c r="B34" s="6" t="s">
        <v>402</v>
      </c>
      <c r="C34" s="6"/>
      <c r="D34" s="6">
        <v>2</v>
      </c>
      <c r="E34" s="6"/>
      <c r="F34" s="6"/>
      <c r="G34" s="6"/>
      <c r="H34" s="6">
        <f>Table27[[#This Row],[Total Athletes]]-(LEN(Table27[[#This Row],[Team]])-LEN(SUBSTITUTE(Table27[[#This Row],[Team]],"/","")))-1</f>
        <v>1</v>
      </c>
      <c r="I34" s="6">
        <v>6</v>
      </c>
    </row>
    <row r="35" spans="1:9" x14ac:dyDescent="0.3">
      <c r="A35" s="6"/>
      <c r="B35" s="6" t="s">
        <v>356</v>
      </c>
      <c r="C35" s="6"/>
      <c r="D35" s="6">
        <v>-1</v>
      </c>
      <c r="E35" s="6"/>
      <c r="F35" s="6"/>
      <c r="G35" s="6"/>
      <c r="H35" s="6">
        <f>Table27[[#This Row],[Total Athletes]]-(LEN(Table27[[#This Row],[Team]])-LEN(SUBSTITUTE(Table27[[#This Row],[Team]],"/","")))-1</f>
        <v>-1</v>
      </c>
      <c r="I35" s="6"/>
    </row>
    <row r="36" spans="1:9" x14ac:dyDescent="0.3">
      <c r="A36" s="6" t="s">
        <v>4251</v>
      </c>
      <c r="B36" s="6" t="s">
        <v>426</v>
      </c>
      <c r="C36" s="6"/>
      <c r="D36" s="6">
        <v>3001</v>
      </c>
      <c r="E36" s="6"/>
      <c r="F36" s="6"/>
      <c r="G36" s="6"/>
      <c r="H36" s="6">
        <f>Table27[[#This Row],[Total Athletes]]-(LEN(Table27[[#This Row],[Team]])-LEN(SUBSTITUTE(Table27[[#This Row],[Team]],"/","")))-1</f>
        <v>2</v>
      </c>
      <c r="I36" s="6">
        <v>4</v>
      </c>
    </row>
    <row r="37" spans="1:9" x14ac:dyDescent="0.3">
      <c r="A37" s="6" t="s">
        <v>4637</v>
      </c>
      <c r="B37" s="6" t="s">
        <v>600</v>
      </c>
      <c r="C37" s="6"/>
      <c r="D37" s="6">
        <v>5</v>
      </c>
      <c r="E37" s="6"/>
      <c r="F37" s="6"/>
      <c r="G37" s="6"/>
      <c r="H37" s="6">
        <f>Table27[[#This Row],[Total Athletes]]-(LEN(Table27[[#This Row],[Team]])-LEN(SUBSTITUTE(Table27[[#This Row],[Team]],"/","")))-1</f>
        <v>3</v>
      </c>
      <c r="I37" s="6">
        <v>4</v>
      </c>
    </row>
    <row r="38" spans="1:9" x14ac:dyDescent="0.3">
      <c r="A38" s="6"/>
      <c r="B38" s="6" t="s">
        <v>412</v>
      </c>
      <c r="C38" s="6"/>
      <c r="D38" s="6">
        <v>-1</v>
      </c>
      <c r="E38" s="6"/>
      <c r="F38" s="6"/>
      <c r="G38" s="6"/>
      <c r="H38" s="6">
        <f>Table27[[#This Row],[Total Athletes]]-(LEN(Table27[[#This Row],[Team]])-LEN(SUBSTITUTE(Table27[[#This Row],[Team]],"/","")))-1</f>
        <v>-1</v>
      </c>
      <c r="I38" s="6"/>
    </row>
    <row r="39" spans="1:9" x14ac:dyDescent="0.3">
      <c r="A39" s="6"/>
      <c r="B39" s="6" t="s">
        <v>440</v>
      </c>
      <c r="C39" s="6"/>
      <c r="D39" s="6">
        <v>-1</v>
      </c>
      <c r="E39" s="6"/>
      <c r="F39" s="6"/>
      <c r="G39" s="6"/>
      <c r="H39" s="6">
        <f>Table27[[#This Row],[Total Athletes]]-(LEN(Table27[[#This Row],[Team]])-LEN(SUBSTITUTE(Table27[[#This Row],[Team]],"/","")))-1</f>
        <v>-1</v>
      </c>
      <c r="I39" s="6"/>
    </row>
    <row r="40" spans="1:9" x14ac:dyDescent="0.3">
      <c r="A40" s="6"/>
      <c r="B40" s="6" t="s">
        <v>394</v>
      </c>
      <c r="C40" s="6"/>
      <c r="D40" s="6">
        <v>-1</v>
      </c>
      <c r="E40" s="6"/>
      <c r="F40" s="6"/>
      <c r="G40" s="6"/>
      <c r="H40" s="6">
        <f>Table27[[#This Row],[Total Athletes]]-(LEN(Table27[[#This Row],[Team]])-LEN(SUBSTITUTE(Table27[[#This Row],[Team]],"/","")))-1</f>
        <v>-1</v>
      </c>
      <c r="I40" s="6"/>
    </row>
    <row r="41" spans="1:9" x14ac:dyDescent="0.3">
      <c r="A41" s="6" t="s">
        <v>4257</v>
      </c>
      <c r="B41" s="6" t="s">
        <v>444</v>
      </c>
      <c r="C41" s="6"/>
      <c r="D41" s="6">
        <v>8</v>
      </c>
      <c r="E41" s="6"/>
      <c r="F41" s="6"/>
      <c r="G41" s="6"/>
      <c r="H41" s="6">
        <f>Table27[[#This Row],[Total Athletes]]-(LEN(Table27[[#This Row],[Team]])-LEN(SUBSTITUTE(Table27[[#This Row],[Team]],"/","")))-1</f>
        <v>2</v>
      </c>
      <c r="I41" s="6">
        <v>4</v>
      </c>
    </row>
    <row r="42" spans="1:9" x14ac:dyDescent="0.3">
      <c r="A42" s="6"/>
      <c r="B42" s="6" t="s">
        <v>480</v>
      </c>
      <c r="C42" s="6"/>
      <c r="D42" s="6">
        <v>-1</v>
      </c>
      <c r="E42" s="6"/>
      <c r="F42" s="6"/>
      <c r="G42" s="6"/>
      <c r="H42" s="6">
        <f>Table27[[#This Row],[Total Athletes]]-(LEN(Table27[[#This Row],[Team]])-LEN(SUBSTITUTE(Table27[[#This Row],[Team]],"/","")))-1</f>
        <v>-1</v>
      </c>
      <c r="I42" s="6"/>
    </row>
    <row r="43" spans="1:9" x14ac:dyDescent="0.3">
      <c r="A43" s="6" t="s">
        <v>1861</v>
      </c>
      <c r="B43" s="6" t="s">
        <v>332</v>
      </c>
      <c r="C43" s="6"/>
      <c r="D43" s="6">
        <v>1</v>
      </c>
      <c r="E43" s="6"/>
      <c r="F43" s="6"/>
      <c r="G43" s="6"/>
      <c r="H43" s="6">
        <f>Table27[[#This Row],[Total Athletes]]-(LEN(Table27[[#This Row],[Team]])-LEN(SUBSTITUTE(Table27[[#This Row],[Team]],"/","")))-1</f>
        <v>3</v>
      </c>
      <c r="I43" s="6">
        <v>4</v>
      </c>
    </row>
    <row r="44" spans="1:9" x14ac:dyDescent="0.3">
      <c r="A44" s="6" t="s">
        <v>3520</v>
      </c>
      <c r="B44" s="6" t="s">
        <v>520</v>
      </c>
      <c r="C44" s="6"/>
      <c r="D44" s="6"/>
      <c r="E44" s="6"/>
      <c r="F44" s="6">
        <v>7</v>
      </c>
      <c r="G44" s="6"/>
      <c r="H44" s="6">
        <f>Table27[[#This Row],[Total Athletes]]-(LEN(Table27[[#This Row],[Team]])-LEN(SUBSTITUTE(Table27[[#This Row],[Team]],"/","")))-1</f>
        <v>4</v>
      </c>
      <c r="I44" s="6">
        <v>5</v>
      </c>
    </row>
    <row r="45" spans="1:9" x14ac:dyDescent="0.3">
      <c r="A45" s="6" t="s">
        <v>1235</v>
      </c>
      <c r="B45" s="6" t="s">
        <v>384</v>
      </c>
      <c r="C45" s="6"/>
      <c r="D45" s="6"/>
      <c r="E45" s="6"/>
      <c r="F45" s="6">
        <v>6</v>
      </c>
      <c r="G45" s="6"/>
      <c r="H45" s="6">
        <f>Table27[[#This Row],[Total Athletes]]-(LEN(Table27[[#This Row],[Team]])-LEN(SUBSTITUTE(Table27[[#This Row],[Team]],"/","")))-1</f>
        <v>4</v>
      </c>
      <c r="I45" s="6">
        <v>5</v>
      </c>
    </row>
    <row r="46" spans="1:9" x14ac:dyDescent="0.3">
      <c r="A46" s="6" t="s">
        <v>4364</v>
      </c>
      <c r="B46" s="6" t="s">
        <v>344</v>
      </c>
      <c r="C46" s="6"/>
      <c r="D46" s="6"/>
      <c r="E46" s="6"/>
      <c r="F46" s="6">
        <v>5</v>
      </c>
      <c r="G46" s="6"/>
      <c r="H46" s="6">
        <f>Table27[[#This Row],[Total Athletes]]-(LEN(Table27[[#This Row],[Team]])-LEN(SUBSTITUTE(Table27[[#This Row],[Team]],"/","")))-1</f>
        <v>2</v>
      </c>
      <c r="I46" s="6">
        <v>5</v>
      </c>
    </row>
    <row r="47" spans="1:9" x14ac:dyDescent="0.3">
      <c r="A47" s="6" t="s">
        <v>3031</v>
      </c>
      <c r="B47" s="6" t="s">
        <v>402</v>
      </c>
      <c r="C47" s="6"/>
      <c r="D47" s="6"/>
      <c r="E47" s="6"/>
      <c r="F47" s="6">
        <v>3</v>
      </c>
      <c r="G47" s="6"/>
      <c r="H47" s="6">
        <f>Table27[[#This Row],[Total Athletes]]-(LEN(Table27[[#This Row],[Team]])-LEN(SUBSTITUTE(Table27[[#This Row],[Team]],"/","")))-1</f>
        <v>3</v>
      </c>
      <c r="I47" s="6">
        <v>8</v>
      </c>
    </row>
    <row r="48" spans="1:9" x14ac:dyDescent="0.3">
      <c r="A48" s="6" t="s">
        <v>1817</v>
      </c>
      <c r="B48" s="6" t="s">
        <v>448</v>
      </c>
      <c r="C48" s="6"/>
      <c r="D48" s="6"/>
      <c r="E48" s="6"/>
      <c r="F48" s="6">
        <v>15</v>
      </c>
      <c r="G48" s="6"/>
      <c r="H48" s="6">
        <f>Table27[[#This Row],[Total Athletes]]-(LEN(Table27[[#This Row],[Team]])-LEN(SUBSTITUTE(Table27[[#This Row],[Team]],"/","")))-1</f>
        <v>3</v>
      </c>
      <c r="I48" s="6">
        <v>4</v>
      </c>
    </row>
    <row r="49" spans="1:9" x14ac:dyDescent="0.3">
      <c r="A49" s="6" t="s">
        <v>3571</v>
      </c>
      <c r="B49" s="6" t="s">
        <v>596</v>
      </c>
      <c r="C49" s="6"/>
      <c r="D49" s="6"/>
      <c r="E49" s="6"/>
      <c r="F49" s="6">
        <v>4</v>
      </c>
      <c r="G49" s="6"/>
      <c r="H49" s="6">
        <f>Table27[[#This Row],[Total Athletes]]-(LEN(Table27[[#This Row],[Team]])-LEN(SUBSTITUTE(Table27[[#This Row],[Team]],"/","")))-1</f>
        <v>3</v>
      </c>
      <c r="I49" s="6">
        <v>5</v>
      </c>
    </row>
    <row r="50" spans="1:9" x14ac:dyDescent="0.3">
      <c r="A50" s="6" t="s">
        <v>3626</v>
      </c>
      <c r="B50" s="6" t="s">
        <v>356</v>
      </c>
      <c r="C50" s="6"/>
      <c r="D50" s="6"/>
      <c r="E50" s="6"/>
      <c r="F50" s="6">
        <v>9</v>
      </c>
      <c r="G50" s="6"/>
      <c r="H50" s="6">
        <f>Table27[[#This Row],[Total Athletes]]-(LEN(Table27[[#This Row],[Team]])-LEN(SUBSTITUTE(Table27[[#This Row],[Team]],"/","")))-1</f>
        <v>1</v>
      </c>
      <c r="I50" s="6">
        <v>4</v>
      </c>
    </row>
    <row r="51" spans="1:9" x14ac:dyDescent="0.3">
      <c r="A51" s="6" t="s">
        <v>3622</v>
      </c>
      <c r="B51" s="6" t="s">
        <v>600</v>
      </c>
      <c r="C51" s="6"/>
      <c r="D51" s="6"/>
      <c r="E51" s="6"/>
      <c r="F51" s="6">
        <v>8</v>
      </c>
      <c r="G51" s="6"/>
      <c r="H51" s="6">
        <f>Table27[[#This Row],[Total Athletes]]-(LEN(Table27[[#This Row],[Team]])-LEN(SUBSTITUTE(Table27[[#This Row],[Team]],"/","")))-1</f>
        <v>5</v>
      </c>
      <c r="I51" s="6">
        <v>6</v>
      </c>
    </row>
    <row r="52" spans="1:9" x14ac:dyDescent="0.3">
      <c r="A52" s="6"/>
      <c r="B52" s="6" t="s">
        <v>412</v>
      </c>
      <c r="C52" s="6"/>
      <c r="D52" s="6"/>
      <c r="E52" s="6"/>
      <c r="F52" s="6">
        <v>-1</v>
      </c>
      <c r="G52" s="6"/>
      <c r="H52" s="6">
        <f>Table27[[#This Row],[Total Athletes]]-(LEN(Table27[[#This Row],[Team]])-LEN(SUBSTITUTE(Table27[[#This Row],[Team]],"/","")))-1</f>
        <v>-1</v>
      </c>
      <c r="I52" s="6"/>
    </row>
    <row r="53" spans="1:9" x14ac:dyDescent="0.3">
      <c r="A53" s="6" t="s">
        <v>3371</v>
      </c>
      <c r="B53" s="6" t="s">
        <v>364</v>
      </c>
      <c r="C53" s="6"/>
      <c r="D53" s="6"/>
      <c r="E53" s="6"/>
      <c r="F53" s="6">
        <v>13</v>
      </c>
      <c r="G53" s="6"/>
      <c r="H53" s="6">
        <f>Table27[[#This Row],[Total Athletes]]-(LEN(Table27[[#This Row],[Team]])-LEN(SUBSTITUTE(Table27[[#This Row],[Team]],"/","")))-1</f>
        <v>3</v>
      </c>
      <c r="I53" s="6">
        <v>4</v>
      </c>
    </row>
    <row r="54" spans="1:9" x14ac:dyDescent="0.3">
      <c r="A54" s="6" t="s">
        <v>3358</v>
      </c>
      <c r="B54" s="6" t="s">
        <v>394</v>
      </c>
      <c r="C54" s="6"/>
      <c r="D54" s="6"/>
      <c r="E54" s="6"/>
      <c r="F54" s="6">
        <v>10</v>
      </c>
      <c r="G54" s="6"/>
      <c r="H54" s="6">
        <f>Table27[[#This Row],[Total Athletes]]-(LEN(Table27[[#This Row],[Team]])-LEN(SUBSTITUTE(Table27[[#This Row],[Team]],"/","")))-1</f>
        <v>1</v>
      </c>
      <c r="I54" s="6">
        <v>4</v>
      </c>
    </row>
    <row r="55" spans="1:9" x14ac:dyDescent="0.3">
      <c r="A55" s="6" t="s">
        <v>4575</v>
      </c>
      <c r="B55" s="6" t="s">
        <v>330</v>
      </c>
      <c r="C55" s="6"/>
      <c r="D55" s="6"/>
      <c r="E55" s="6"/>
      <c r="F55" s="6">
        <v>12</v>
      </c>
      <c r="G55" s="6"/>
      <c r="H55" s="6">
        <f>Table27[[#This Row],[Total Athletes]]-(LEN(Table27[[#This Row],[Team]])-LEN(SUBSTITUTE(Table27[[#This Row],[Team]],"/","")))-1</f>
        <v>1</v>
      </c>
      <c r="I55" s="6">
        <v>4</v>
      </c>
    </row>
    <row r="56" spans="1:9" x14ac:dyDescent="0.3">
      <c r="A56" s="6" t="s">
        <v>3457</v>
      </c>
      <c r="B56" s="6" t="s">
        <v>444</v>
      </c>
      <c r="C56" s="6"/>
      <c r="D56" s="6"/>
      <c r="E56" s="6"/>
      <c r="F56" s="6">
        <v>14</v>
      </c>
      <c r="G56" s="6"/>
      <c r="H56" s="6">
        <f>Table27[[#This Row],[Total Athletes]]-(LEN(Table27[[#This Row],[Team]])-LEN(SUBSTITUTE(Table27[[#This Row],[Team]],"/","")))-1</f>
        <v>3</v>
      </c>
      <c r="I56" s="6">
        <v>4</v>
      </c>
    </row>
    <row r="57" spans="1:9" x14ac:dyDescent="0.3">
      <c r="A57" s="6" t="s">
        <v>1820</v>
      </c>
      <c r="B57" s="6" t="s">
        <v>332</v>
      </c>
      <c r="C57" s="6"/>
      <c r="D57" s="6"/>
      <c r="E57" s="6"/>
      <c r="F57" s="6">
        <v>1</v>
      </c>
      <c r="G57" s="6"/>
      <c r="H57" s="6">
        <f>Table27[[#This Row],[Total Athletes]]-(LEN(Table27[[#This Row],[Team]])-LEN(SUBSTITUTE(Table27[[#This Row],[Team]],"/","")))-1</f>
        <v>5</v>
      </c>
      <c r="I57" s="6">
        <v>7</v>
      </c>
    </row>
    <row r="58" spans="1:9" x14ac:dyDescent="0.3">
      <c r="A58" s="6"/>
      <c r="B58" s="6" t="s">
        <v>510</v>
      </c>
      <c r="C58" s="6"/>
      <c r="D58" s="6"/>
      <c r="E58" s="6"/>
      <c r="F58" s="6"/>
      <c r="G58" s="6">
        <v>-1</v>
      </c>
      <c r="H58" s="6">
        <f>Table27[[#This Row],[Total Athletes]]-(LEN(Table27[[#This Row],[Team]])-LEN(SUBSTITUTE(Table27[[#This Row],[Team]],"/","")))-1</f>
        <v>-1</v>
      </c>
      <c r="I58" s="6"/>
    </row>
    <row r="59" spans="1:9" x14ac:dyDescent="0.3">
      <c r="A59" s="6"/>
      <c r="B59" s="6" t="s">
        <v>520</v>
      </c>
      <c r="C59" s="6"/>
      <c r="D59" s="6"/>
      <c r="E59" s="6"/>
      <c r="F59" s="6"/>
      <c r="G59" s="6">
        <v>-1</v>
      </c>
      <c r="H59" s="6">
        <f>Table27[[#This Row],[Total Athletes]]-(LEN(Table27[[#This Row],[Team]])-LEN(SUBSTITUTE(Table27[[#This Row],[Team]],"/","")))-1</f>
        <v>-1</v>
      </c>
      <c r="I59" s="6"/>
    </row>
    <row r="60" spans="1:9" x14ac:dyDescent="0.3">
      <c r="A60" s="6" t="s">
        <v>4027</v>
      </c>
      <c r="B60" s="6" t="s">
        <v>374</v>
      </c>
      <c r="C60" s="6"/>
      <c r="D60" s="6"/>
      <c r="E60" s="6"/>
      <c r="F60" s="6"/>
      <c r="G60" s="6">
        <v>16</v>
      </c>
      <c r="H60" s="6">
        <f>Table27[[#This Row],[Total Athletes]]-(LEN(Table27[[#This Row],[Team]])-LEN(SUBSTITUTE(Table27[[#This Row],[Team]],"/","")))-1</f>
        <v>3</v>
      </c>
      <c r="I60" s="6">
        <v>4</v>
      </c>
    </row>
    <row r="61" spans="1:9" x14ac:dyDescent="0.3">
      <c r="A61" s="6" t="s">
        <v>3553</v>
      </c>
      <c r="B61" s="6" t="s">
        <v>344</v>
      </c>
      <c r="C61" s="6"/>
      <c r="D61" s="6"/>
      <c r="E61" s="6"/>
      <c r="F61" s="6"/>
      <c r="G61" s="6">
        <v>8</v>
      </c>
      <c r="H61" s="6">
        <f>Table27[[#This Row],[Total Athletes]]-(LEN(Table27[[#This Row],[Team]])-LEN(SUBSTITUTE(Table27[[#This Row],[Team]],"/","")))-1</f>
        <v>4</v>
      </c>
      <c r="I61" s="6">
        <v>5</v>
      </c>
    </row>
    <row r="62" spans="1:9" x14ac:dyDescent="0.3">
      <c r="A62" s="6" t="s">
        <v>4942</v>
      </c>
      <c r="B62" s="6" t="s">
        <v>334</v>
      </c>
      <c r="C62" s="6"/>
      <c r="D62" s="6"/>
      <c r="E62" s="6"/>
      <c r="F62" s="6"/>
      <c r="G62" s="6">
        <v>15</v>
      </c>
      <c r="H62" s="6">
        <f>Table27[[#This Row],[Total Athletes]]-(LEN(Table27[[#This Row],[Team]])-LEN(SUBSTITUTE(Table27[[#This Row],[Team]],"/","")))-1</f>
        <v>2</v>
      </c>
      <c r="I62" s="6">
        <v>4</v>
      </c>
    </row>
    <row r="63" spans="1:9" x14ac:dyDescent="0.3">
      <c r="A63" s="6" t="s">
        <v>3032</v>
      </c>
      <c r="B63" s="6" t="s">
        <v>402</v>
      </c>
      <c r="C63" s="6"/>
      <c r="D63" s="6"/>
      <c r="E63" s="6"/>
      <c r="F63" s="6"/>
      <c r="G63" s="6">
        <v>3</v>
      </c>
      <c r="H63" s="6">
        <f>Table27[[#This Row],[Total Athletes]]-(LEN(Table27[[#This Row],[Team]])-LEN(SUBSTITUTE(Table27[[#This Row],[Team]],"/","")))-1</f>
        <v>1</v>
      </c>
      <c r="I63" s="6">
        <v>5</v>
      </c>
    </row>
    <row r="64" spans="1:9" x14ac:dyDescent="0.3">
      <c r="A64" s="6" t="s">
        <v>2825</v>
      </c>
      <c r="B64" s="6" t="s">
        <v>596</v>
      </c>
      <c r="C64" s="6"/>
      <c r="D64" s="6"/>
      <c r="E64" s="6"/>
      <c r="F64" s="6"/>
      <c r="G64" s="6">
        <v>10</v>
      </c>
      <c r="H64" s="6">
        <f>Table27[[#This Row],[Total Athletes]]-(LEN(Table27[[#This Row],[Team]])-LEN(SUBSTITUTE(Table27[[#This Row],[Team]],"/","")))-1</f>
        <v>3</v>
      </c>
      <c r="I64" s="6">
        <v>4</v>
      </c>
    </row>
    <row r="65" spans="1:9" x14ac:dyDescent="0.3">
      <c r="A65" s="6"/>
      <c r="B65" s="6" t="s">
        <v>600</v>
      </c>
      <c r="C65" s="6"/>
      <c r="D65" s="6"/>
      <c r="E65" s="6"/>
      <c r="F65" s="6"/>
      <c r="G65" s="6">
        <v>-1</v>
      </c>
      <c r="H65" s="6">
        <f>Table27[[#This Row],[Total Athletes]]-(LEN(Table27[[#This Row],[Team]])-LEN(SUBSTITUTE(Table27[[#This Row],[Team]],"/","")))-1</f>
        <v>-1</v>
      </c>
      <c r="I65" s="6"/>
    </row>
    <row r="66" spans="1:9" x14ac:dyDescent="0.3">
      <c r="A66" s="6"/>
      <c r="B66" s="6" t="s">
        <v>412</v>
      </c>
      <c r="C66" s="6"/>
      <c r="D66" s="6"/>
      <c r="E66" s="6"/>
      <c r="F66" s="6"/>
      <c r="G66" s="6">
        <v>-1</v>
      </c>
      <c r="H66" s="6">
        <f>Table27[[#This Row],[Total Athletes]]-(LEN(Table27[[#This Row],[Team]])-LEN(SUBSTITUTE(Table27[[#This Row],[Team]],"/","")))-1</f>
        <v>-1</v>
      </c>
      <c r="I66" s="6"/>
    </row>
    <row r="67" spans="1:9" x14ac:dyDescent="0.3">
      <c r="A67" s="6" t="s">
        <v>1376</v>
      </c>
      <c r="B67" s="6" t="s">
        <v>440</v>
      </c>
      <c r="C67" s="6"/>
      <c r="D67" s="6"/>
      <c r="E67" s="6"/>
      <c r="F67" s="6"/>
      <c r="G67" s="6">
        <v>9</v>
      </c>
      <c r="H67" s="6">
        <f>Table27[[#This Row],[Total Athletes]]-(LEN(Table27[[#This Row],[Team]])-LEN(SUBSTITUTE(Table27[[#This Row],[Team]],"/","")))-1</f>
        <v>3</v>
      </c>
      <c r="I67" s="6">
        <v>4</v>
      </c>
    </row>
    <row r="68" spans="1:9" x14ac:dyDescent="0.3">
      <c r="A68" s="6" t="s">
        <v>2493</v>
      </c>
      <c r="B68" s="6" t="s">
        <v>394</v>
      </c>
      <c r="C68" s="6"/>
      <c r="D68" s="6"/>
      <c r="E68" s="6"/>
      <c r="F68" s="6"/>
      <c r="G68" s="6">
        <v>7</v>
      </c>
      <c r="H68" s="6">
        <f>Table27[[#This Row],[Total Athletes]]-(LEN(Table27[[#This Row],[Team]])-LEN(SUBSTITUTE(Table27[[#This Row],[Team]],"/","")))-1</f>
        <v>3</v>
      </c>
      <c r="I68" s="6">
        <v>5</v>
      </c>
    </row>
    <row r="69" spans="1:9" x14ac:dyDescent="0.3">
      <c r="A69" s="6"/>
      <c r="B69" s="6" t="s">
        <v>444</v>
      </c>
      <c r="C69" s="6"/>
      <c r="D69" s="6"/>
      <c r="E69" s="6"/>
      <c r="F69" s="6"/>
      <c r="G69" s="6">
        <v>-1</v>
      </c>
      <c r="H69" s="6">
        <f>Table27[[#This Row],[Total Athletes]]-(LEN(Table27[[#This Row],[Team]])-LEN(SUBSTITUTE(Table27[[#This Row],[Team]],"/","")))-1</f>
        <v>-1</v>
      </c>
      <c r="I69" s="6"/>
    </row>
    <row r="70" spans="1:9" x14ac:dyDescent="0.3">
      <c r="A70" s="6"/>
      <c r="B70" s="6" t="s">
        <v>726</v>
      </c>
      <c r="C70" s="6"/>
      <c r="D70" s="6"/>
      <c r="E70" s="6"/>
      <c r="F70" s="6"/>
      <c r="G70" s="6">
        <v>-1</v>
      </c>
      <c r="H70" s="6">
        <f>Table27[[#This Row],[Total Athletes]]-(LEN(Table27[[#This Row],[Team]])-LEN(SUBSTITUTE(Table27[[#This Row],[Team]],"/","")))-1</f>
        <v>-1</v>
      </c>
      <c r="I70" s="6"/>
    </row>
    <row r="71" spans="1:9" x14ac:dyDescent="0.3">
      <c r="A71" s="6"/>
      <c r="B71" s="6" t="s">
        <v>332</v>
      </c>
      <c r="C71" s="6"/>
      <c r="D71" s="6"/>
      <c r="E71" s="6"/>
      <c r="F71" s="6"/>
      <c r="G71" s="6">
        <v>-1</v>
      </c>
      <c r="H71" s="6">
        <f>Table27[[#This Row],[Total Athletes]]-(LEN(Table27[[#This Row],[Team]])-LEN(SUBSTITUTE(Table27[[#This Row],[Team]],"/","")))-1</f>
        <v>-1</v>
      </c>
      <c r="I71" s="6"/>
    </row>
    <row r="72" spans="1:9" x14ac:dyDescent="0.3">
      <c r="A72" s="6" t="s">
        <v>3060</v>
      </c>
      <c r="B72" s="6" t="s">
        <v>336</v>
      </c>
      <c r="C72" s="6">
        <v>14</v>
      </c>
      <c r="D72" s="6"/>
      <c r="E72" s="6"/>
      <c r="F72" s="6"/>
      <c r="G72" s="6"/>
      <c r="H72" s="6">
        <f>Table27[[#This Row],[Total Athletes]]-(LEN(Table27[[#This Row],[Team]])-LEN(SUBSTITUTE(Table27[[#This Row],[Team]],"/","")))-1</f>
        <v>0</v>
      </c>
      <c r="I72" s="6">
        <v>4</v>
      </c>
    </row>
    <row r="73" spans="1:9" x14ac:dyDescent="0.3">
      <c r="A73" s="6"/>
      <c r="B73" s="6" t="s">
        <v>412</v>
      </c>
      <c r="C73" s="6">
        <v>-1</v>
      </c>
      <c r="D73" s="6"/>
      <c r="E73" s="6"/>
      <c r="F73" s="6"/>
      <c r="G73" s="6"/>
      <c r="H73" s="6">
        <f>Table27[[#This Row],[Total Athletes]]-(LEN(Table27[[#This Row],[Team]])-LEN(SUBSTITUTE(Table27[[#This Row],[Team]],"/","")))-1</f>
        <v>-1</v>
      </c>
      <c r="I73" s="6"/>
    </row>
    <row r="74" spans="1:9" x14ac:dyDescent="0.3">
      <c r="A74" s="6"/>
      <c r="B74" s="6" t="s">
        <v>344</v>
      </c>
      <c r="C74" s="6"/>
      <c r="D74" s="6"/>
      <c r="E74" s="6">
        <v>-1</v>
      </c>
      <c r="F74" s="6"/>
      <c r="G74" s="6"/>
      <c r="H74" s="6">
        <f>Table27[[#This Row],[Total Athletes]]-(LEN(Table27[[#This Row],[Team]])-LEN(SUBSTITUTE(Table27[[#This Row],[Team]],"/","")))-1</f>
        <v>-1</v>
      </c>
      <c r="I74" s="6"/>
    </row>
    <row r="75" spans="1:9" x14ac:dyDescent="0.3">
      <c r="A75" s="6" t="s">
        <v>4935</v>
      </c>
      <c r="B75" s="6" t="s">
        <v>736</v>
      </c>
      <c r="C75" s="6"/>
      <c r="D75" s="6"/>
      <c r="E75" s="6">
        <v>8</v>
      </c>
      <c r="F75" s="6"/>
      <c r="G75" s="6"/>
      <c r="H75" s="6">
        <f>Table27[[#This Row],[Total Athletes]]-(LEN(Table27[[#This Row],[Team]])-LEN(SUBSTITUTE(Table27[[#This Row],[Team]],"/","")))-1</f>
        <v>2</v>
      </c>
      <c r="I75" s="6">
        <v>4</v>
      </c>
    </row>
    <row r="76" spans="1:9" x14ac:dyDescent="0.3">
      <c r="A76" s="6" t="s">
        <v>2977</v>
      </c>
      <c r="B76" s="6" t="s">
        <v>330</v>
      </c>
      <c r="C76" s="6"/>
      <c r="D76" s="6">
        <v>11</v>
      </c>
      <c r="E76" s="6"/>
      <c r="F76" s="6"/>
      <c r="G76" s="6"/>
      <c r="H76" s="6">
        <f>Table27[[#This Row],[Total Athletes]]-(LEN(Table27[[#This Row],[Team]])-LEN(SUBSTITUTE(Table27[[#This Row],[Team]],"/","")))-1</f>
        <v>1</v>
      </c>
      <c r="I76" s="6">
        <v>4</v>
      </c>
    </row>
    <row r="77" spans="1:9" x14ac:dyDescent="0.3">
      <c r="A77" s="6" t="s">
        <v>3135</v>
      </c>
      <c r="B77" s="6" t="s">
        <v>520</v>
      </c>
      <c r="C77" s="6"/>
      <c r="D77" s="6">
        <v>3001</v>
      </c>
      <c r="E77" s="6"/>
      <c r="F77" s="6"/>
      <c r="G77" s="6"/>
      <c r="H77" s="6">
        <f>Table27[[#This Row],[Total Athletes]]-(LEN(Table27[[#This Row],[Team]])-LEN(SUBSTITUTE(Table27[[#This Row],[Team]],"/","")))-1</f>
        <v>3</v>
      </c>
      <c r="I77" s="6">
        <v>4</v>
      </c>
    </row>
    <row r="78" spans="1:9" x14ac:dyDescent="0.3">
      <c r="A78" s="6" t="s">
        <v>4942</v>
      </c>
      <c r="B78" s="6" t="s">
        <v>334</v>
      </c>
      <c r="C78" s="6"/>
      <c r="D78" s="6"/>
      <c r="E78" s="6"/>
      <c r="F78" s="6">
        <v>11</v>
      </c>
      <c r="G78" s="6"/>
      <c r="H78" s="6">
        <f>Table27[[#This Row],[Total Athletes]]-(LEN(Table27[[#This Row],[Team]])-LEN(SUBSTITUTE(Table27[[#This Row],[Team]],"/","")))-1</f>
        <v>2</v>
      </c>
      <c r="I78" s="6">
        <v>4</v>
      </c>
    </row>
    <row r="79" spans="1:9" x14ac:dyDescent="0.3">
      <c r="A79" s="6"/>
      <c r="B79" s="6" t="s">
        <v>470</v>
      </c>
      <c r="C79" s="6"/>
      <c r="D79" s="6"/>
      <c r="E79" s="6"/>
      <c r="F79" s="6">
        <v>-1</v>
      </c>
      <c r="G79" s="6"/>
      <c r="H79" s="6">
        <f>Table27[[#This Row],[Total Athletes]]-(LEN(Table27[[#This Row],[Team]])-LEN(SUBSTITUTE(Table27[[#This Row],[Team]],"/","")))-1</f>
        <v>-1</v>
      </c>
      <c r="I79" s="6"/>
    </row>
    <row r="80" spans="1:9" x14ac:dyDescent="0.3">
      <c r="A80" s="6" t="s">
        <v>2864</v>
      </c>
      <c r="B80" s="6" t="s">
        <v>356</v>
      </c>
      <c r="C80" s="6"/>
      <c r="D80" s="6"/>
      <c r="E80" s="6"/>
      <c r="F80" s="6"/>
      <c r="G80" s="6">
        <v>6</v>
      </c>
      <c r="H80" s="6">
        <f>Table27[[#This Row],[Total Athletes]]-(LEN(Table27[[#This Row],[Team]])-LEN(SUBSTITUTE(Table27[[#This Row],[Team]],"/","")))-1</f>
        <v>3</v>
      </c>
      <c r="I80" s="6">
        <v>5</v>
      </c>
    </row>
    <row r="81" spans="1:9" x14ac:dyDescent="0.3">
      <c r="A81" s="6" t="s">
        <v>1560</v>
      </c>
      <c r="B81" s="6" t="s">
        <v>436</v>
      </c>
      <c r="C81" s="6"/>
      <c r="D81" s="6"/>
      <c r="E81" s="6"/>
      <c r="F81" s="6"/>
      <c r="G81" s="6">
        <v>12</v>
      </c>
      <c r="H81" s="6">
        <f>Table27[[#This Row],[Total Athletes]]-(LEN(Table27[[#This Row],[Team]])-LEN(SUBSTITUTE(Table27[[#This Row],[Team]],"/","")))-1</f>
        <v>3</v>
      </c>
      <c r="I81" s="6">
        <v>4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EEAC2-BBEB-452B-B599-D746A06DFC77}">
  <dimension ref="A1:C42"/>
  <sheetViews>
    <sheetView topLeftCell="A37" workbookViewId="0">
      <selection activeCell="B43" sqref="B43"/>
    </sheetView>
  </sheetViews>
  <sheetFormatPr defaultRowHeight="14.4" x14ac:dyDescent="0.3"/>
  <cols>
    <col min="1" max="1" width="25.109375" bestFit="1" customWidth="1"/>
    <col min="2" max="2" width="14" bestFit="1" customWidth="1"/>
    <col min="3" max="3" width="14.109375" bestFit="1" customWidth="1"/>
  </cols>
  <sheetData>
    <row r="1" spans="1:3" x14ac:dyDescent="0.3">
      <c r="A1" t="s">
        <v>832</v>
      </c>
      <c r="B1" t="s">
        <v>1</v>
      </c>
      <c r="C1" t="s">
        <v>899</v>
      </c>
    </row>
    <row r="2" spans="1:3" x14ac:dyDescent="0.3">
      <c r="A2" s="6" t="s">
        <v>2218</v>
      </c>
      <c r="B2" s="6" t="s">
        <v>414</v>
      </c>
      <c r="C2" s="6">
        <v>1</v>
      </c>
    </row>
    <row r="3" spans="1:3" x14ac:dyDescent="0.3">
      <c r="A3" s="6"/>
      <c r="B3" s="6" t="s">
        <v>328</v>
      </c>
      <c r="C3" s="6">
        <v>-1</v>
      </c>
    </row>
    <row r="4" spans="1:3" x14ac:dyDescent="0.3">
      <c r="A4" s="6"/>
      <c r="B4" s="6" t="s">
        <v>432</v>
      </c>
      <c r="C4" s="6">
        <v>-1</v>
      </c>
    </row>
    <row r="5" spans="1:3" x14ac:dyDescent="0.3">
      <c r="A5" s="6"/>
      <c r="B5" s="6" t="s">
        <v>414</v>
      </c>
      <c r="C5" s="6">
        <v>-1</v>
      </c>
    </row>
    <row r="6" spans="1:3" x14ac:dyDescent="0.3">
      <c r="A6" s="6" t="s">
        <v>3126</v>
      </c>
      <c r="B6" s="6" t="s">
        <v>428</v>
      </c>
      <c r="C6" s="6">
        <v>9</v>
      </c>
    </row>
    <row r="7" spans="1:3" x14ac:dyDescent="0.3">
      <c r="A7" s="6"/>
      <c r="B7" s="6" t="s">
        <v>328</v>
      </c>
      <c r="C7" s="6">
        <v>-1</v>
      </c>
    </row>
    <row r="8" spans="1:3" x14ac:dyDescent="0.3">
      <c r="A8" s="6"/>
      <c r="B8" s="6" t="s">
        <v>432</v>
      </c>
      <c r="C8" s="6">
        <v>-1</v>
      </c>
    </row>
    <row r="9" spans="1:3" x14ac:dyDescent="0.3">
      <c r="A9" s="6"/>
      <c r="B9" s="6" t="s">
        <v>478</v>
      </c>
      <c r="C9" s="6">
        <v>-1</v>
      </c>
    </row>
    <row r="10" spans="1:3" x14ac:dyDescent="0.3">
      <c r="A10" s="6"/>
      <c r="B10" s="6" t="s">
        <v>448</v>
      </c>
      <c r="C10" s="6">
        <v>-1</v>
      </c>
    </row>
    <row r="11" spans="1:3" x14ac:dyDescent="0.3">
      <c r="A11" s="6"/>
      <c r="B11" s="6" t="s">
        <v>382</v>
      </c>
      <c r="C11" s="6">
        <v>-1</v>
      </c>
    </row>
    <row r="12" spans="1:3" x14ac:dyDescent="0.3">
      <c r="A12" s="6" t="s">
        <v>2683</v>
      </c>
      <c r="B12" s="6" t="s">
        <v>428</v>
      </c>
      <c r="C12" s="6">
        <v>9</v>
      </c>
    </row>
    <row r="13" spans="1:3" x14ac:dyDescent="0.3">
      <c r="A13" s="6"/>
      <c r="B13" s="6" t="s">
        <v>446</v>
      </c>
      <c r="C13" s="6">
        <v>-1</v>
      </c>
    </row>
    <row r="14" spans="1:3" x14ac:dyDescent="0.3">
      <c r="A14" s="6"/>
      <c r="B14" s="6" t="s">
        <v>448</v>
      </c>
      <c r="C14" s="6">
        <v>-1</v>
      </c>
    </row>
    <row r="15" spans="1:3" x14ac:dyDescent="0.3">
      <c r="A15" s="6" t="s">
        <v>2888</v>
      </c>
      <c r="B15" s="6" t="s">
        <v>368</v>
      </c>
      <c r="C15" s="6">
        <v>5</v>
      </c>
    </row>
    <row r="16" spans="1:3" x14ac:dyDescent="0.3">
      <c r="A16" s="6"/>
      <c r="B16" s="6" t="s">
        <v>592</v>
      </c>
      <c r="C16" s="6">
        <v>-1</v>
      </c>
    </row>
    <row r="17" spans="1:3" x14ac:dyDescent="0.3">
      <c r="A17" s="6"/>
      <c r="B17" s="6" t="s">
        <v>344</v>
      </c>
      <c r="C17" s="6">
        <v>-1</v>
      </c>
    </row>
    <row r="18" spans="1:3" x14ac:dyDescent="0.3">
      <c r="A18" s="6"/>
      <c r="B18" s="6" t="s">
        <v>384</v>
      </c>
      <c r="C18" s="6">
        <v>-1</v>
      </c>
    </row>
    <row r="19" spans="1:3" x14ac:dyDescent="0.3">
      <c r="A19" s="6"/>
      <c r="B19" s="6" t="s">
        <v>418</v>
      </c>
      <c r="C19" s="6">
        <v>-1</v>
      </c>
    </row>
    <row r="20" spans="1:3" x14ac:dyDescent="0.3">
      <c r="A20" s="6"/>
      <c r="B20" s="6" t="s">
        <v>596</v>
      </c>
      <c r="C20" s="6">
        <v>-1</v>
      </c>
    </row>
    <row r="21" spans="1:3" x14ac:dyDescent="0.3">
      <c r="A21" s="6"/>
      <c r="B21" s="6" t="s">
        <v>520</v>
      </c>
      <c r="C21" s="6">
        <v>-1</v>
      </c>
    </row>
    <row r="22" spans="1:3" x14ac:dyDescent="0.3">
      <c r="A22" s="6"/>
      <c r="B22" s="6" t="s">
        <v>700</v>
      </c>
      <c r="C22" s="6">
        <v>-1</v>
      </c>
    </row>
    <row r="23" spans="1:3" x14ac:dyDescent="0.3">
      <c r="A23" s="6"/>
      <c r="B23" s="6" t="s">
        <v>336</v>
      </c>
      <c r="C23" s="6">
        <v>-1</v>
      </c>
    </row>
    <row r="24" spans="1:3" x14ac:dyDescent="0.3">
      <c r="A24" s="6"/>
      <c r="B24" s="6" t="s">
        <v>598</v>
      </c>
      <c r="C24" s="6">
        <v>-1</v>
      </c>
    </row>
    <row r="25" spans="1:3" x14ac:dyDescent="0.3">
      <c r="A25" s="6"/>
      <c r="B25" s="6" t="s">
        <v>442</v>
      </c>
      <c r="C25" s="6">
        <v>-1</v>
      </c>
    </row>
    <row r="26" spans="1:3" x14ac:dyDescent="0.3">
      <c r="A26" s="6"/>
      <c r="B26" s="6" t="s">
        <v>472</v>
      </c>
      <c r="C26" s="6">
        <v>-1</v>
      </c>
    </row>
    <row r="27" spans="1:3" x14ac:dyDescent="0.3">
      <c r="A27" s="6" t="s">
        <v>1452</v>
      </c>
      <c r="B27" s="6" t="s">
        <v>372</v>
      </c>
      <c r="C27" s="6">
        <v>38</v>
      </c>
    </row>
    <row r="28" spans="1:3" x14ac:dyDescent="0.3">
      <c r="A28" s="6"/>
      <c r="B28" s="6" t="s">
        <v>456</v>
      </c>
      <c r="C28" s="6">
        <v>-1</v>
      </c>
    </row>
    <row r="29" spans="1:3" x14ac:dyDescent="0.3">
      <c r="A29" s="6"/>
      <c r="B29" s="6" t="s">
        <v>350</v>
      </c>
      <c r="C29" s="6">
        <v>-1</v>
      </c>
    </row>
    <row r="30" spans="1:3" x14ac:dyDescent="0.3">
      <c r="A30" s="6" t="s">
        <v>3792</v>
      </c>
      <c r="B30" s="6" t="s">
        <v>330</v>
      </c>
      <c r="C30" s="6">
        <v>9</v>
      </c>
    </row>
    <row r="31" spans="1:3" x14ac:dyDescent="0.3">
      <c r="A31" s="6"/>
      <c r="B31" s="6" t="s">
        <v>604</v>
      </c>
      <c r="C31" s="6">
        <v>-1</v>
      </c>
    </row>
    <row r="32" spans="1:3" x14ac:dyDescent="0.3">
      <c r="A32" s="6" t="s">
        <v>2939</v>
      </c>
      <c r="B32" s="6" t="s">
        <v>702</v>
      </c>
      <c r="C32" s="6">
        <v>27</v>
      </c>
    </row>
    <row r="33" spans="1:3" x14ac:dyDescent="0.3">
      <c r="A33" s="6"/>
      <c r="B33" s="6" t="s">
        <v>356</v>
      </c>
      <c r="C33" s="6">
        <v>-1</v>
      </c>
    </row>
    <row r="34" spans="1:3" x14ac:dyDescent="0.3">
      <c r="A34" s="6" t="s">
        <v>2620</v>
      </c>
      <c r="B34" s="6" t="s">
        <v>730</v>
      </c>
      <c r="C34" s="6">
        <v>14</v>
      </c>
    </row>
    <row r="35" spans="1:3" x14ac:dyDescent="0.3">
      <c r="A35" s="6"/>
      <c r="B35" s="6" t="s">
        <v>334</v>
      </c>
      <c r="C35" s="6">
        <v>-1</v>
      </c>
    </row>
    <row r="36" spans="1:3" x14ac:dyDescent="0.3">
      <c r="A36" s="6" t="s">
        <v>2063</v>
      </c>
      <c r="B36" s="6" t="s">
        <v>332</v>
      </c>
      <c r="C36" s="6">
        <v>27</v>
      </c>
    </row>
    <row r="37" spans="1:3" x14ac:dyDescent="0.3">
      <c r="A37" s="6"/>
      <c r="B37" s="6" t="s">
        <v>444</v>
      </c>
      <c r="C37" s="6">
        <v>-1</v>
      </c>
    </row>
    <row r="38" spans="1:3" x14ac:dyDescent="0.3">
      <c r="A38" s="6" t="s">
        <v>1901</v>
      </c>
      <c r="B38" s="6" t="s">
        <v>358</v>
      </c>
      <c r="C38" s="6">
        <v>27</v>
      </c>
    </row>
    <row r="39" spans="1:3" x14ac:dyDescent="0.3">
      <c r="A39" s="6"/>
      <c r="B39" s="6" t="s">
        <v>440</v>
      </c>
      <c r="C39" s="6">
        <v>-1</v>
      </c>
    </row>
    <row r="40" spans="1:3" x14ac:dyDescent="0.3">
      <c r="A40" s="6"/>
      <c r="B40" s="6" t="s">
        <v>636</v>
      </c>
      <c r="C40" s="6">
        <v>-1</v>
      </c>
    </row>
    <row r="41" spans="1:3" x14ac:dyDescent="0.3">
      <c r="A41" s="6"/>
      <c r="B41" s="6" t="s">
        <v>654</v>
      </c>
      <c r="C41" s="6">
        <v>-1</v>
      </c>
    </row>
    <row r="42" spans="1:3" x14ac:dyDescent="0.3">
      <c r="A42" s="6" t="s">
        <v>1542</v>
      </c>
      <c r="B42" s="6" t="s">
        <v>706</v>
      </c>
      <c r="C42" s="6">
        <v>38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FC09C-CFF4-4F74-9CFD-4E9C9E316B38}">
  <dimension ref="A1:C40"/>
  <sheetViews>
    <sheetView topLeftCell="A31" workbookViewId="0">
      <selection activeCell="B41" sqref="B41"/>
    </sheetView>
  </sheetViews>
  <sheetFormatPr defaultRowHeight="14.4" x14ac:dyDescent="0.3"/>
  <cols>
    <col min="1" max="1" width="29.77734375" bestFit="1" customWidth="1"/>
    <col min="2" max="2" width="14" bestFit="1" customWidth="1"/>
    <col min="3" max="3" width="14.109375" bestFit="1" customWidth="1"/>
  </cols>
  <sheetData>
    <row r="1" spans="1:3" x14ac:dyDescent="0.3">
      <c r="A1" t="s">
        <v>832</v>
      </c>
      <c r="B1" t="s">
        <v>1</v>
      </c>
      <c r="C1" t="s">
        <v>899</v>
      </c>
    </row>
    <row r="2" spans="1:3" x14ac:dyDescent="0.3">
      <c r="A2" s="6" t="s">
        <v>3038</v>
      </c>
      <c r="B2" s="6" t="s">
        <v>700</v>
      </c>
      <c r="C2" s="6">
        <v>1</v>
      </c>
    </row>
    <row r="3" spans="1:3" x14ac:dyDescent="0.3">
      <c r="A3" s="6"/>
      <c r="B3" s="6" t="s">
        <v>328</v>
      </c>
      <c r="C3" s="6">
        <v>-1</v>
      </c>
    </row>
    <row r="4" spans="1:3" x14ac:dyDescent="0.3">
      <c r="A4" s="6"/>
      <c r="B4" s="6" t="s">
        <v>330</v>
      </c>
      <c r="C4" s="6">
        <v>-1</v>
      </c>
    </row>
    <row r="5" spans="1:3" x14ac:dyDescent="0.3">
      <c r="A5" s="6"/>
      <c r="B5" s="6" t="s">
        <v>428</v>
      </c>
      <c r="C5" s="6">
        <v>-1</v>
      </c>
    </row>
    <row r="6" spans="1:3" x14ac:dyDescent="0.3">
      <c r="A6" s="6"/>
      <c r="B6" s="6" t="s">
        <v>368</v>
      </c>
      <c r="C6" s="6">
        <v>-1</v>
      </c>
    </row>
    <row r="7" spans="1:3" x14ac:dyDescent="0.3">
      <c r="A7" s="6"/>
      <c r="B7" s="6" t="s">
        <v>328</v>
      </c>
      <c r="C7" s="6">
        <v>-1</v>
      </c>
    </row>
    <row r="8" spans="1:3" x14ac:dyDescent="0.3">
      <c r="A8" s="6" t="s">
        <v>2761</v>
      </c>
      <c r="B8" s="6" t="s">
        <v>432</v>
      </c>
      <c r="C8" s="6">
        <v>3</v>
      </c>
    </row>
    <row r="9" spans="1:3" x14ac:dyDescent="0.3">
      <c r="A9" s="6" t="s">
        <v>4744</v>
      </c>
      <c r="B9" s="6" t="s">
        <v>332</v>
      </c>
      <c r="C9" s="6">
        <v>9</v>
      </c>
    </row>
    <row r="10" spans="1:3" x14ac:dyDescent="0.3">
      <c r="A10" s="6"/>
      <c r="B10" s="6" t="s">
        <v>428</v>
      </c>
      <c r="C10" s="6">
        <v>-1</v>
      </c>
    </row>
    <row r="11" spans="1:3" x14ac:dyDescent="0.3">
      <c r="A11" s="6"/>
      <c r="B11" s="6" t="s">
        <v>478</v>
      </c>
      <c r="C11" s="6">
        <v>-1</v>
      </c>
    </row>
    <row r="12" spans="1:3" x14ac:dyDescent="0.3">
      <c r="A12" s="6"/>
      <c r="B12" s="6" t="s">
        <v>700</v>
      </c>
      <c r="C12" s="6">
        <v>-1</v>
      </c>
    </row>
    <row r="13" spans="1:3" x14ac:dyDescent="0.3">
      <c r="A13" s="6" t="s">
        <v>3672</v>
      </c>
      <c r="B13" s="6" t="s">
        <v>448</v>
      </c>
      <c r="C13" s="6">
        <v>9</v>
      </c>
    </row>
    <row r="14" spans="1:3" x14ac:dyDescent="0.3">
      <c r="A14" s="6"/>
      <c r="B14" s="6" t="s">
        <v>478</v>
      </c>
      <c r="C14" s="6">
        <v>-1</v>
      </c>
    </row>
    <row r="15" spans="1:3" x14ac:dyDescent="0.3">
      <c r="A15" s="6"/>
      <c r="B15" s="6" t="s">
        <v>446</v>
      </c>
      <c r="C15" s="6">
        <v>-1</v>
      </c>
    </row>
    <row r="16" spans="1:3" x14ac:dyDescent="0.3">
      <c r="A16" s="6"/>
      <c r="B16" s="6" t="s">
        <v>414</v>
      </c>
      <c r="C16" s="6">
        <v>-1</v>
      </c>
    </row>
    <row r="17" spans="1:3" x14ac:dyDescent="0.3">
      <c r="A17" s="6" t="s">
        <v>5037</v>
      </c>
      <c r="B17" s="6" t="s">
        <v>402</v>
      </c>
      <c r="C17" s="6">
        <v>14</v>
      </c>
    </row>
    <row r="18" spans="1:3" x14ac:dyDescent="0.3">
      <c r="A18" s="6"/>
      <c r="B18" s="6" t="s">
        <v>730</v>
      </c>
      <c r="C18" s="6">
        <v>-1</v>
      </c>
    </row>
    <row r="19" spans="1:3" x14ac:dyDescent="0.3">
      <c r="A19" s="6"/>
      <c r="B19" s="6" t="s">
        <v>384</v>
      </c>
      <c r="C19" s="6">
        <v>-1</v>
      </c>
    </row>
    <row r="20" spans="1:3" x14ac:dyDescent="0.3">
      <c r="A20" s="6"/>
      <c r="B20" s="6" t="s">
        <v>334</v>
      </c>
      <c r="C20" s="6">
        <v>-1</v>
      </c>
    </row>
    <row r="21" spans="1:3" x14ac:dyDescent="0.3">
      <c r="A21" s="6"/>
      <c r="B21" s="6" t="s">
        <v>382</v>
      </c>
      <c r="C21" s="6">
        <v>-1</v>
      </c>
    </row>
    <row r="22" spans="1:3" x14ac:dyDescent="0.3">
      <c r="A22" s="6" t="s">
        <v>1959</v>
      </c>
      <c r="B22" s="6" t="s">
        <v>718</v>
      </c>
      <c r="C22" s="6">
        <v>9</v>
      </c>
    </row>
    <row r="23" spans="1:3" x14ac:dyDescent="0.3">
      <c r="A23" s="6" t="s">
        <v>3473</v>
      </c>
      <c r="B23" s="6" t="s">
        <v>648</v>
      </c>
      <c r="C23" s="6">
        <v>27</v>
      </c>
    </row>
    <row r="24" spans="1:3" x14ac:dyDescent="0.3">
      <c r="A24" s="6"/>
      <c r="B24" s="6" t="s">
        <v>344</v>
      </c>
      <c r="C24" s="6">
        <v>-1</v>
      </c>
    </row>
    <row r="25" spans="1:3" x14ac:dyDescent="0.3">
      <c r="A25" s="6"/>
      <c r="B25" s="6" t="s">
        <v>592</v>
      </c>
      <c r="C25" s="6">
        <v>-1</v>
      </c>
    </row>
    <row r="26" spans="1:3" x14ac:dyDescent="0.3">
      <c r="A26" s="6"/>
      <c r="B26" s="6" t="s">
        <v>336</v>
      </c>
      <c r="C26" s="6">
        <v>-1</v>
      </c>
    </row>
    <row r="27" spans="1:3" x14ac:dyDescent="0.3">
      <c r="A27" s="6"/>
      <c r="B27" s="6" t="s">
        <v>520</v>
      </c>
      <c r="C27" s="6">
        <v>-1</v>
      </c>
    </row>
    <row r="28" spans="1:3" x14ac:dyDescent="0.3">
      <c r="A28" s="6"/>
      <c r="B28" s="6" t="s">
        <v>572</v>
      </c>
      <c r="C28" s="6">
        <v>-1</v>
      </c>
    </row>
    <row r="29" spans="1:3" x14ac:dyDescent="0.3">
      <c r="A29" s="6" t="s">
        <v>1823</v>
      </c>
      <c r="B29" s="6" t="s">
        <v>392</v>
      </c>
      <c r="C29" s="6">
        <v>27</v>
      </c>
    </row>
    <row r="30" spans="1:3" x14ac:dyDescent="0.3">
      <c r="A30" s="6"/>
      <c r="B30" s="6" t="s">
        <v>442</v>
      </c>
      <c r="C30" s="6">
        <v>-1</v>
      </c>
    </row>
    <row r="31" spans="1:3" x14ac:dyDescent="0.3">
      <c r="A31" s="6"/>
      <c r="B31" s="6" t="s">
        <v>444</v>
      </c>
      <c r="C31" s="6">
        <v>-1</v>
      </c>
    </row>
    <row r="32" spans="1:3" x14ac:dyDescent="0.3">
      <c r="A32" s="6"/>
      <c r="B32" s="6" t="s">
        <v>456</v>
      </c>
      <c r="C32" s="6">
        <v>-1</v>
      </c>
    </row>
    <row r="33" spans="1:3" x14ac:dyDescent="0.3">
      <c r="A33" s="6"/>
      <c r="B33" s="6" t="s">
        <v>726</v>
      </c>
      <c r="C33" s="6">
        <v>-1</v>
      </c>
    </row>
    <row r="34" spans="1:3" x14ac:dyDescent="0.3">
      <c r="A34" s="6"/>
      <c r="B34" s="6" t="s">
        <v>370</v>
      </c>
      <c r="C34" s="6">
        <v>-1</v>
      </c>
    </row>
    <row r="35" spans="1:3" x14ac:dyDescent="0.3">
      <c r="A35" s="6" t="s">
        <v>1597</v>
      </c>
      <c r="B35" s="6" t="s">
        <v>596</v>
      </c>
      <c r="C35" s="6">
        <v>27</v>
      </c>
    </row>
    <row r="36" spans="1:3" x14ac:dyDescent="0.3">
      <c r="A36" s="6" t="s">
        <v>2393</v>
      </c>
      <c r="B36" s="6" t="s">
        <v>354</v>
      </c>
      <c r="C36" s="6">
        <v>27</v>
      </c>
    </row>
    <row r="37" spans="1:3" x14ac:dyDescent="0.3">
      <c r="A37" s="6" t="s">
        <v>1330</v>
      </c>
      <c r="B37" s="6" t="s">
        <v>636</v>
      </c>
      <c r="C37" s="6">
        <v>14</v>
      </c>
    </row>
    <row r="38" spans="1:3" x14ac:dyDescent="0.3">
      <c r="A38" s="6"/>
      <c r="B38" s="6" t="s">
        <v>422</v>
      </c>
      <c r="C38" s="6">
        <v>-1</v>
      </c>
    </row>
    <row r="39" spans="1:3" x14ac:dyDescent="0.3">
      <c r="A39" s="6"/>
      <c r="B39" s="6" t="s">
        <v>486</v>
      </c>
      <c r="C39" s="6">
        <v>-1</v>
      </c>
    </row>
    <row r="40" spans="1:3" x14ac:dyDescent="0.3">
      <c r="A40" s="6"/>
      <c r="B40" s="6" t="s">
        <v>386</v>
      </c>
      <c r="C40" s="6">
        <v>-1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D6E4ED-AFD0-47F7-8AD7-4B247A38B5D0}">
  <dimension ref="A1:G49"/>
  <sheetViews>
    <sheetView topLeftCell="A40" workbookViewId="0">
      <selection activeCell="B50" sqref="B50"/>
    </sheetView>
  </sheetViews>
  <sheetFormatPr defaultRowHeight="14.4" x14ac:dyDescent="0.3"/>
  <cols>
    <col min="1" max="1" width="44.109375" bestFit="1" customWidth="1"/>
    <col min="2" max="2" width="14" bestFit="1" customWidth="1"/>
    <col min="3" max="3" width="19.88671875" bestFit="1" customWidth="1"/>
    <col min="4" max="4" width="22.6640625" bestFit="1" customWidth="1"/>
    <col min="5" max="5" width="20" bestFit="1" customWidth="1"/>
    <col min="6" max="6" width="17" bestFit="1" customWidth="1"/>
    <col min="7" max="7" width="14.77734375" bestFit="1" customWidth="1"/>
  </cols>
  <sheetData>
    <row r="1" spans="1:7" x14ac:dyDescent="0.3">
      <c r="A1" t="s">
        <v>833</v>
      </c>
      <c r="B1" t="s">
        <v>1</v>
      </c>
      <c r="C1" t="s">
        <v>900</v>
      </c>
      <c r="D1" t="s">
        <v>901</v>
      </c>
      <c r="E1" t="s">
        <v>1017</v>
      </c>
      <c r="F1" t="s">
        <v>1212</v>
      </c>
      <c r="G1" t="s">
        <v>1213</v>
      </c>
    </row>
    <row r="2" spans="1:7" x14ac:dyDescent="0.3">
      <c r="A2" s="6"/>
      <c r="B2" s="6" t="s">
        <v>328</v>
      </c>
      <c r="C2" s="6">
        <v>-1</v>
      </c>
      <c r="D2" s="6"/>
      <c r="E2" s="6"/>
      <c r="F2" s="6">
        <f>Table39[[#This Row],[Total Athletes]]-(LEN(Table39[[#This Row],[Pair]])-LEN(SUBSTITUTE(Table39[[#This Row],[Pair]],"/","")))-1</f>
        <v>-1</v>
      </c>
      <c r="G2" s="6"/>
    </row>
    <row r="3" spans="1:7" x14ac:dyDescent="0.3">
      <c r="A3" s="6"/>
      <c r="B3" s="6" t="s">
        <v>700</v>
      </c>
      <c r="C3" s="6">
        <v>-1</v>
      </c>
      <c r="D3" s="6"/>
      <c r="E3" s="6"/>
      <c r="F3" s="6">
        <f>Table39[[#This Row],[Total Athletes]]-(LEN(Table39[[#This Row],[Pair]])-LEN(SUBSTITUTE(Table39[[#This Row],[Pair]],"/","")))-1</f>
        <v>-1</v>
      </c>
      <c r="G3" s="6"/>
    </row>
    <row r="4" spans="1:7" x14ac:dyDescent="0.3">
      <c r="A4" s="6" t="s">
        <v>4022</v>
      </c>
      <c r="B4" s="6" t="s">
        <v>448</v>
      </c>
      <c r="C4" s="6">
        <v>5</v>
      </c>
      <c r="D4" s="6"/>
      <c r="E4" s="6"/>
      <c r="F4" s="6">
        <f>Table39[[#This Row],[Total Athletes]]-(LEN(Table39[[#This Row],[Pair]])-LEN(SUBSTITUTE(Table39[[#This Row],[Pair]],"/","")))-1</f>
        <v>1</v>
      </c>
      <c r="G4" s="6">
        <v>2</v>
      </c>
    </row>
    <row r="5" spans="1:7" x14ac:dyDescent="0.3">
      <c r="A5" s="6"/>
      <c r="B5" s="6" t="s">
        <v>414</v>
      </c>
      <c r="C5" s="6">
        <v>-1</v>
      </c>
      <c r="D5" s="6"/>
      <c r="E5" s="6"/>
      <c r="F5" s="6">
        <f>Table39[[#This Row],[Total Athletes]]-(LEN(Table39[[#This Row],[Pair]])-LEN(SUBSTITUTE(Table39[[#This Row],[Pair]],"/","")))-1</f>
        <v>-1</v>
      </c>
      <c r="G5" s="6"/>
    </row>
    <row r="6" spans="1:7" x14ac:dyDescent="0.3">
      <c r="A6" s="6"/>
      <c r="B6" s="6" t="s">
        <v>382</v>
      </c>
      <c r="C6" s="6">
        <v>-1</v>
      </c>
      <c r="D6" s="6"/>
      <c r="E6" s="6"/>
      <c r="F6" s="6">
        <f>Table39[[#This Row],[Total Athletes]]-(LEN(Table39[[#This Row],[Pair]])-LEN(SUBSTITUTE(Table39[[#This Row],[Pair]],"/","")))-1</f>
        <v>-1</v>
      </c>
      <c r="G6" s="6"/>
    </row>
    <row r="7" spans="1:7" x14ac:dyDescent="0.3">
      <c r="A7" s="6"/>
      <c r="B7" s="6" t="s">
        <v>428</v>
      </c>
      <c r="C7" s="6">
        <v>-1</v>
      </c>
      <c r="D7" s="6"/>
      <c r="E7" s="6"/>
      <c r="F7" s="6">
        <f>Table39[[#This Row],[Total Athletes]]-(LEN(Table39[[#This Row],[Pair]])-LEN(SUBSTITUTE(Table39[[#This Row],[Pair]],"/","")))-1</f>
        <v>-1</v>
      </c>
      <c r="G7" s="6"/>
    </row>
    <row r="8" spans="1:7" x14ac:dyDescent="0.3">
      <c r="A8" s="6" t="s">
        <v>1895</v>
      </c>
      <c r="B8" s="6" t="s">
        <v>432</v>
      </c>
      <c r="C8" s="6">
        <v>5</v>
      </c>
      <c r="D8" s="6"/>
      <c r="E8" s="6"/>
      <c r="F8" s="6">
        <f>Table39[[#This Row],[Total Athletes]]-(LEN(Table39[[#This Row],[Pair]])-LEN(SUBSTITUTE(Table39[[#This Row],[Pair]],"/","")))-1</f>
        <v>1</v>
      </c>
      <c r="G8" s="6">
        <v>2</v>
      </c>
    </row>
    <row r="9" spans="1:7" x14ac:dyDescent="0.3">
      <c r="A9" s="6"/>
      <c r="B9" s="6" t="s">
        <v>328</v>
      </c>
      <c r="C9" s="6">
        <v>-1</v>
      </c>
      <c r="D9" s="6"/>
      <c r="E9" s="6"/>
      <c r="F9" s="6">
        <f>Table39[[#This Row],[Total Athletes]]-(LEN(Table39[[#This Row],[Pair]])-LEN(SUBSTITUTE(Table39[[#This Row],[Pair]],"/","")))-1</f>
        <v>-1</v>
      </c>
      <c r="G9" s="6"/>
    </row>
    <row r="10" spans="1:7" x14ac:dyDescent="0.3">
      <c r="A10" s="6"/>
      <c r="B10" s="6" t="s">
        <v>368</v>
      </c>
      <c r="C10" s="6">
        <v>-1</v>
      </c>
      <c r="D10" s="6"/>
      <c r="E10" s="6"/>
      <c r="F10" s="6">
        <f>Table39[[#This Row],[Total Athletes]]-(LEN(Table39[[#This Row],[Pair]])-LEN(SUBSTITUTE(Table39[[#This Row],[Pair]],"/","")))-1</f>
        <v>-1</v>
      </c>
      <c r="G10" s="6"/>
    </row>
    <row r="11" spans="1:7" x14ac:dyDescent="0.3">
      <c r="A11" s="6" t="s">
        <v>1491</v>
      </c>
      <c r="B11" s="6" t="s">
        <v>402</v>
      </c>
      <c r="C11" s="6">
        <v>9</v>
      </c>
      <c r="D11" s="6"/>
      <c r="E11" s="6"/>
      <c r="F11" s="6">
        <f>Table39[[#This Row],[Total Athletes]]-(LEN(Table39[[#This Row],[Pair]])-LEN(SUBSTITUTE(Table39[[#This Row],[Pair]],"/","")))-1</f>
        <v>1</v>
      </c>
      <c r="G11" s="6">
        <v>2</v>
      </c>
    </row>
    <row r="12" spans="1:7" x14ac:dyDescent="0.3">
      <c r="A12" s="6" t="s">
        <v>3257</v>
      </c>
      <c r="B12" s="6" t="s">
        <v>478</v>
      </c>
      <c r="C12" s="6">
        <v>5</v>
      </c>
      <c r="D12" s="6"/>
      <c r="E12" s="6"/>
      <c r="F12" s="6">
        <f>Table39[[#This Row],[Total Athletes]]-(LEN(Table39[[#This Row],[Pair]])-LEN(SUBSTITUTE(Table39[[#This Row],[Pair]],"/","")))-1</f>
        <v>1</v>
      </c>
      <c r="G12" s="6">
        <v>2</v>
      </c>
    </row>
    <row r="13" spans="1:7" x14ac:dyDescent="0.3">
      <c r="A13" s="6" t="s">
        <v>3907</v>
      </c>
      <c r="B13" s="6" t="s">
        <v>334</v>
      </c>
      <c r="C13" s="6">
        <v>13</v>
      </c>
      <c r="D13" s="6"/>
      <c r="E13" s="6"/>
      <c r="F13" s="6">
        <f>Table39[[#This Row],[Total Athletes]]-(LEN(Table39[[#This Row],[Pair]])-LEN(SUBSTITUTE(Table39[[#This Row],[Pair]],"/","")))-1</f>
        <v>1</v>
      </c>
      <c r="G13" s="6">
        <v>2</v>
      </c>
    </row>
    <row r="14" spans="1:7" x14ac:dyDescent="0.3">
      <c r="A14" s="6"/>
      <c r="B14" s="6" t="s">
        <v>384</v>
      </c>
      <c r="C14" s="6">
        <v>-1</v>
      </c>
      <c r="D14" s="6"/>
      <c r="E14" s="6"/>
      <c r="F14" s="6">
        <f>Table39[[#This Row],[Total Athletes]]-(LEN(Table39[[#This Row],[Pair]])-LEN(SUBSTITUTE(Table39[[#This Row],[Pair]],"/","")))-1</f>
        <v>-1</v>
      </c>
      <c r="G14" s="6"/>
    </row>
    <row r="15" spans="1:7" x14ac:dyDescent="0.3">
      <c r="A15" s="6"/>
      <c r="B15" s="6" t="s">
        <v>344</v>
      </c>
      <c r="C15" s="6">
        <v>-1</v>
      </c>
      <c r="D15" s="6"/>
      <c r="E15" s="6"/>
      <c r="F15" s="6">
        <f>Table39[[#This Row],[Total Athletes]]-(LEN(Table39[[#This Row],[Pair]])-LEN(SUBSTITUTE(Table39[[#This Row],[Pair]],"/","")))-1</f>
        <v>-1</v>
      </c>
      <c r="G15" s="6"/>
    </row>
    <row r="16" spans="1:7" x14ac:dyDescent="0.3">
      <c r="A16" s="6" t="s">
        <v>2090</v>
      </c>
      <c r="B16" s="6" t="s">
        <v>332</v>
      </c>
      <c r="C16" s="6">
        <v>17</v>
      </c>
      <c r="D16" s="6"/>
      <c r="E16" s="6"/>
      <c r="F16" s="6">
        <f>Table39[[#This Row],[Total Athletes]]-(LEN(Table39[[#This Row],[Pair]])-LEN(SUBSTITUTE(Table39[[#This Row],[Pair]],"/","")))-1</f>
        <v>0</v>
      </c>
      <c r="G16" s="6">
        <v>2</v>
      </c>
    </row>
    <row r="17" spans="1:7" x14ac:dyDescent="0.3">
      <c r="A17" s="6"/>
      <c r="B17" s="6" t="s">
        <v>442</v>
      </c>
      <c r="C17" s="6">
        <v>-1</v>
      </c>
      <c r="D17" s="6"/>
      <c r="E17" s="6"/>
      <c r="F17" s="6">
        <f>Table39[[#This Row],[Total Athletes]]-(LEN(Table39[[#This Row],[Pair]])-LEN(SUBSTITUTE(Table39[[#This Row],[Pair]],"/","")))-1</f>
        <v>-1</v>
      </c>
      <c r="G17" s="6"/>
    </row>
    <row r="18" spans="1:7" x14ac:dyDescent="0.3">
      <c r="A18" s="6" t="s">
        <v>2781</v>
      </c>
      <c r="B18" s="6" t="s">
        <v>328</v>
      </c>
      <c r="C18" s="6"/>
      <c r="D18" s="6">
        <v>1</v>
      </c>
      <c r="E18" s="6"/>
      <c r="F18" s="6">
        <f>Table39[[#This Row],[Total Athletes]]-(LEN(Table39[[#This Row],[Pair]])-LEN(SUBSTITUTE(Table39[[#This Row],[Pair]],"/","")))-1</f>
        <v>1</v>
      </c>
      <c r="G18" s="6">
        <v>2</v>
      </c>
    </row>
    <row r="19" spans="1:7" x14ac:dyDescent="0.3">
      <c r="A19" s="6"/>
      <c r="B19" s="6" t="s">
        <v>700</v>
      </c>
      <c r="C19" s="6"/>
      <c r="D19" s="6">
        <v>-1</v>
      </c>
      <c r="E19" s="6"/>
      <c r="F19" s="6">
        <f>Table39[[#This Row],[Total Athletes]]-(LEN(Table39[[#This Row],[Pair]])-LEN(SUBSTITUTE(Table39[[#This Row],[Pair]],"/","")))-1</f>
        <v>-1</v>
      </c>
      <c r="G19" s="6"/>
    </row>
    <row r="20" spans="1:7" x14ac:dyDescent="0.3">
      <c r="A20" s="6" t="s">
        <v>4731</v>
      </c>
      <c r="B20" s="6" t="s">
        <v>328</v>
      </c>
      <c r="C20" s="6"/>
      <c r="D20" s="6">
        <v>2</v>
      </c>
      <c r="E20" s="6"/>
      <c r="F20" s="6">
        <f>Table39[[#This Row],[Total Athletes]]-(LEN(Table39[[#This Row],[Pair]])-LEN(SUBSTITUTE(Table39[[#This Row],[Pair]],"/","")))-1</f>
        <v>1</v>
      </c>
      <c r="G20" s="6">
        <v>2</v>
      </c>
    </row>
    <row r="21" spans="1:7" x14ac:dyDescent="0.3">
      <c r="A21" s="6"/>
      <c r="B21" s="6" t="s">
        <v>428</v>
      </c>
      <c r="C21" s="6"/>
      <c r="D21" s="6">
        <v>-1</v>
      </c>
      <c r="E21" s="6"/>
      <c r="F21" s="6">
        <f>Table39[[#This Row],[Total Athletes]]-(LEN(Table39[[#This Row],[Pair]])-LEN(SUBSTITUTE(Table39[[#This Row],[Pair]],"/","")))-1</f>
        <v>-1</v>
      </c>
      <c r="G21" s="6"/>
    </row>
    <row r="22" spans="1:7" x14ac:dyDescent="0.3">
      <c r="A22" s="6"/>
      <c r="B22" s="6" t="s">
        <v>700</v>
      </c>
      <c r="C22" s="6"/>
      <c r="D22" s="6">
        <v>-1</v>
      </c>
      <c r="E22" s="6"/>
      <c r="F22" s="6">
        <f>Table39[[#This Row],[Total Athletes]]-(LEN(Table39[[#This Row],[Pair]])-LEN(SUBSTITUTE(Table39[[#This Row],[Pair]],"/","")))-1</f>
        <v>-1</v>
      </c>
      <c r="G22" s="6"/>
    </row>
    <row r="23" spans="1:7" x14ac:dyDescent="0.3">
      <c r="A23" s="6" t="s">
        <v>1291</v>
      </c>
      <c r="B23" s="6" t="s">
        <v>428</v>
      </c>
      <c r="C23" s="6"/>
      <c r="D23" s="6">
        <v>9</v>
      </c>
      <c r="E23" s="6"/>
      <c r="F23" s="6">
        <f>Table39[[#This Row],[Total Athletes]]-(LEN(Table39[[#This Row],[Pair]])-LEN(SUBSTITUTE(Table39[[#This Row],[Pair]],"/","")))-1</f>
        <v>1</v>
      </c>
      <c r="G23" s="6">
        <v>2</v>
      </c>
    </row>
    <row r="24" spans="1:7" x14ac:dyDescent="0.3">
      <c r="A24" s="6"/>
      <c r="B24" s="6" t="s">
        <v>432</v>
      </c>
      <c r="C24" s="6"/>
      <c r="D24" s="6">
        <v>-1</v>
      </c>
      <c r="E24" s="6"/>
      <c r="F24" s="6">
        <f>Table39[[#This Row],[Total Athletes]]-(LEN(Table39[[#This Row],[Pair]])-LEN(SUBSTITUTE(Table39[[#This Row],[Pair]],"/","")))-1</f>
        <v>-1</v>
      </c>
      <c r="G24" s="6"/>
    </row>
    <row r="25" spans="1:7" x14ac:dyDescent="0.3">
      <c r="A25" s="6"/>
      <c r="B25" s="6" t="s">
        <v>478</v>
      </c>
      <c r="C25" s="6"/>
      <c r="D25" s="6">
        <v>-1</v>
      </c>
      <c r="E25" s="6"/>
      <c r="F25" s="6">
        <f>Table39[[#This Row],[Total Athletes]]-(LEN(Table39[[#This Row],[Pair]])-LEN(SUBSTITUTE(Table39[[#This Row],[Pair]],"/","")))-1</f>
        <v>-1</v>
      </c>
      <c r="G25" s="6"/>
    </row>
    <row r="26" spans="1:7" x14ac:dyDescent="0.3">
      <c r="A26" s="6"/>
      <c r="B26" s="6" t="s">
        <v>382</v>
      </c>
      <c r="C26" s="6"/>
      <c r="D26" s="6">
        <v>-1</v>
      </c>
      <c r="E26" s="6"/>
      <c r="F26" s="6">
        <f>Table39[[#This Row],[Total Athletes]]-(LEN(Table39[[#This Row],[Pair]])-LEN(SUBSTITUTE(Table39[[#This Row],[Pair]],"/","")))-1</f>
        <v>-1</v>
      </c>
      <c r="G26" s="6"/>
    </row>
    <row r="27" spans="1:7" x14ac:dyDescent="0.3">
      <c r="A27" s="6" t="s">
        <v>4781</v>
      </c>
      <c r="B27" s="6" t="s">
        <v>344</v>
      </c>
      <c r="C27" s="6"/>
      <c r="D27" s="6">
        <v>13</v>
      </c>
      <c r="E27" s="6"/>
      <c r="F27" s="6">
        <f>Table39[[#This Row],[Total Athletes]]-(LEN(Table39[[#This Row],[Pair]])-LEN(SUBSTITUTE(Table39[[#This Row],[Pair]],"/","")))-1</f>
        <v>1</v>
      </c>
      <c r="G27" s="6">
        <v>2</v>
      </c>
    </row>
    <row r="28" spans="1:7" x14ac:dyDescent="0.3">
      <c r="A28" s="6"/>
      <c r="B28" s="6" t="s">
        <v>370</v>
      </c>
      <c r="C28" s="6"/>
      <c r="D28" s="6">
        <v>-1</v>
      </c>
      <c r="E28" s="6"/>
      <c r="F28" s="6">
        <f>Table39[[#This Row],[Total Athletes]]-(LEN(Table39[[#This Row],[Pair]])-LEN(SUBSTITUTE(Table39[[#This Row],[Pair]],"/","")))-1</f>
        <v>-1</v>
      </c>
      <c r="G28" s="6"/>
    </row>
    <row r="29" spans="1:7" x14ac:dyDescent="0.3">
      <c r="A29" s="6"/>
      <c r="B29" s="6" t="s">
        <v>592</v>
      </c>
      <c r="C29" s="6"/>
      <c r="D29" s="6">
        <v>-1</v>
      </c>
      <c r="E29" s="6"/>
      <c r="F29" s="6">
        <f>Table39[[#This Row],[Total Athletes]]-(LEN(Table39[[#This Row],[Pair]])-LEN(SUBSTITUTE(Table39[[#This Row],[Pair]],"/","")))-1</f>
        <v>-1</v>
      </c>
      <c r="G29" s="6"/>
    </row>
    <row r="30" spans="1:7" x14ac:dyDescent="0.3">
      <c r="A30" s="6" t="s">
        <v>1816</v>
      </c>
      <c r="B30" s="6" t="s">
        <v>448</v>
      </c>
      <c r="C30" s="6"/>
      <c r="D30" s="6">
        <v>13</v>
      </c>
      <c r="E30" s="6"/>
      <c r="F30" s="6">
        <f>Table39[[#This Row],[Total Athletes]]-(LEN(Table39[[#This Row],[Pair]])-LEN(SUBSTITUTE(Table39[[#This Row],[Pair]],"/","")))-1</f>
        <v>1</v>
      </c>
      <c r="G30" s="6">
        <v>2</v>
      </c>
    </row>
    <row r="31" spans="1:7" x14ac:dyDescent="0.3">
      <c r="A31" s="6" t="s">
        <v>2228</v>
      </c>
      <c r="B31" s="6" t="s">
        <v>414</v>
      </c>
      <c r="C31" s="6"/>
      <c r="D31" s="6">
        <v>5</v>
      </c>
      <c r="E31" s="6"/>
      <c r="F31" s="6">
        <f>Table39[[#This Row],[Total Athletes]]-(LEN(Table39[[#This Row],[Pair]])-LEN(SUBSTITUTE(Table39[[#This Row],[Pair]],"/","")))-1</f>
        <v>0</v>
      </c>
      <c r="G31" s="6">
        <v>2</v>
      </c>
    </row>
    <row r="32" spans="1:7" x14ac:dyDescent="0.3">
      <c r="A32" s="6" t="s">
        <v>2088</v>
      </c>
      <c r="B32" s="6" t="s">
        <v>332</v>
      </c>
      <c r="C32" s="6"/>
      <c r="D32" s="6">
        <v>13</v>
      </c>
      <c r="E32" s="6"/>
      <c r="F32" s="6">
        <f>Table39[[#This Row],[Total Athletes]]-(LEN(Table39[[#This Row],[Pair]])-LEN(SUBSTITUTE(Table39[[#This Row],[Pair]],"/","")))-1</f>
        <v>0</v>
      </c>
      <c r="G32" s="6">
        <v>2</v>
      </c>
    </row>
    <row r="33" spans="1:7" x14ac:dyDescent="0.3">
      <c r="A33" s="6"/>
      <c r="B33" s="6" t="s">
        <v>354</v>
      </c>
      <c r="C33" s="6"/>
      <c r="D33" s="6">
        <v>-1</v>
      </c>
      <c r="E33" s="6"/>
      <c r="F33" s="6">
        <f>Table39[[#This Row],[Total Athletes]]-(LEN(Table39[[#This Row],[Pair]])-LEN(SUBSTITUTE(Table39[[#This Row],[Pair]],"/","")))-1</f>
        <v>-1</v>
      </c>
      <c r="G33" s="6"/>
    </row>
    <row r="34" spans="1:7" x14ac:dyDescent="0.3">
      <c r="A34" s="6"/>
      <c r="B34" s="6" t="s">
        <v>328</v>
      </c>
      <c r="C34" s="6"/>
      <c r="D34" s="6"/>
      <c r="E34" s="6">
        <v>-1</v>
      </c>
      <c r="F34" s="6">
        <f>Table39[[#This Row],[Total Athletes]]-(LEN(Table39[[#This Row],[Pair]])-LEN(SUBSTITUTE(Table39[[#This Row],[Pair]],"/","")))-1</f>
        <v>-1</v>
      </c>
      <c r="G34" s="6"/>
    </row>
    <row r="35" spans="1:7" x14ac:dyDescent="0.3">
      <c r="A35" s="6" t="s">
        <v>2779</v>
      </c>
      <c r="B35" s="6" t="s">
        <v>328</v>
      </c>
      <c r="C35" s="6"/>
      <c r="D35" s="6"/>
      <c r="E35" s="6">
        <v>5</v>
      </c>
      <c r="F35" s="6">
        <f>Table39[[#This Row],[Total Athletes]]-(LEN(Table39[[#This Row],[Pair]])-LEN(SUBSTITUTE(Table39[[#This Row],[Pair]],"/","")))-1</f>
        <v>1</v>
      </c>
      <c r="G35" s="6">
        <v>2</v>
      </c>
    </row>
    <row r="36" spans="1:7" x14ac:dyDescent="0.3">
      <c r="A36" s="6" t="s">
        <v>4087</v>
      </c>
      <c r="B36" s="6" t="s">
        <v>428</v>
      </c>
      <c r="C36" s="6"/>
      <c r="D36" s="6"/>
      <c r="E36" s="6">
        <v>3</v>
      </c>
      <c r="F36" s="6">
        <f>Table39[[#This Row],[Total Athletes]]-(LEN(Table39[[#This Row],[Pair]])-LEN(SUBSTITUTE(Table39[[#This Row],[Pair]],"/","")))-1</f>
        <v>0</v>
      </c>
      <c r="G36" s="6">
        <v>2</v>
      </c>
    </row>
    <row r="37" spans="1:7" x14ac:dyDescent="0.3">
      <c r="A37" s="6"/>
      <c r="B37" s="6" t="s">
        <v>700</v>
      </c>
      <c r="C37" s="6"/>
      <c r="D37" s="6"/>
      <c r="E37" s="6">
        <v>-1</v>
      </c>
      <c r="F37" s="6">
        <f>Table39[[#This Row],[Total Athletes]]-(LEN(Table39[[#This Row],[Pair]])-LEN(SUBSTITUTE(Table39[[#This Row],[Pair]],"/","")))-1</f>
        <v>-1</v>
      </c>
      <c r="G37" s="6"/>
    </row>
    <row r="38" spans="1:7" x14ac:dyDescent="0.3">
      <c r="A38" s="6" t="s">
        <v>2323</v>
      </c>
      <c r="B38" s="6" t="s">
        <v>478</v>
      </c>
      <c r="C38" s="6"/>
      <c r="D38" s="6"/>
      <c r="E38" s="6">
        <v>5</v>
      </c>
      <c r="F38" s="6">
        <f>Table39[[#This Row],[Total Athletes]]-(LEN(Table39[[#This Row],[Pair]])-LEN(SUBSTITUTE(Table39[[#This Row],[Pair]],"/","")))-1</f>
        <v>1</v>
      </c>
      <c r="G38" s="6">
        <v>2</v>
      </c>
    </row>
    <row r="39" spans="1:7" x14ac:dyDescent="0.3">
      <c r="A39" s="6"/>
      <c r="B39" s="6" t="s">
        <v>700</v>
      </c>
      <c r="C39" s="6"/>
      <c r="D39" s="6"/>
      <c r="E39" s="6">
        <v>-1</v>
      </c>
      <c r="F39" s="6">
        <f>Table39[[#This Row],[Total Athletes]]-(LEN(Table39[[#This Row],[Pair]])-LEN(SUBSTITUTE(Table39[[#This Row],[Pair]],"/","")))-1</f>
        <v>-1</v>
      </c>
      <c r="G39" s="6"/>
    </row>
    <row r="40" spans="1:7" x14ac:dyDescent="0.3">
      <c r="A40" s="6"/>
      <c r="B40" s="6" t="s">
        <v>592</v>
      </c>
      <c r="C40" s="6"/>
      <c r="D40" s="6"/>
      <c r="E40" s="6">
        <v>-1</v>
      </c>
      <c r="F40" s="6">
        <f>Table39[[#This Row],[Total Athletes]]-(LEN(Table39[[#This Row],[Pair]])-LEN(SUBSTITUTE(Table39[[#This Row],[Pair]],"/","")))-1</f>
        <v>-1</v>
      </c>
      <c r="G40" s="6"/>
    </row>
    <row r="41" spans="1:7" x14ac:dyDescent="0.3">
      <c r="A41" s="6"/>
      <c r="B41" s="6" t="s">
        <v>382</v>
      </c>
      <c r="C41" s="6"/>
      <c r="D41" s="6"/>
      <c r="E41" s="6">
        <v>-1</v>
      </c>
      <c r="F41" s="6">
        <f>Table39[[#This Row],[Total Athletes]]-(LEN(Table39[[#This Row],[Pair]])-LEN(SUBSTITUTE(Table39[[#This Row],[Pair]],"/","")))-1</f>
        <v>-1</v>
      </c>
      <c r="G41" s="6"/>
    </row>
    <row r="42" spans="1:7" x14ac:dyDescent="0.3">
      <c r="A42" s="6"/>
      <c r="B42" s="6" t="s">
        <v>414</v>
      </c>
      <c r="C42" s="6"/>
      <c r="D42" s="6"/>
      <c r="E42" s="6">
        <v>-1</v>
      </c>
      <c r="F42" s="6">
        <f>Table39[[#This Row],[Total Athletes]]-(LEN(Table39[[#This Row],[Pair]])-LEN(SUBSTITUTE(Table39[[#This Row],[Pair]],"/","")))-1</f>
        <v>-1</v>
      </c>
      <c r="G42" s="6"/>
    </row>
    <row r="43" spans="1:7" x14ac:dyDescent="0.3">
      <c r="A43" s="6" t="s">
        <v>4859</v>
      </c>
      <c r="B43" s="6" t="s">
        <v>344</v>
      </c>
      <c r="C43" s="6"/>
      <c r="D43" s="6"/>
      <c r="E43" s="6">
        <v>9</v>
      </c>
      <c r="F43" s="6">
        <f>Table39[[#This Row],[Total Athletes]]-(LEN(Table39[[#This Row],[Pair]])-LEN(SUBSTITUTE(Table39[[#This Row],[Pair]],"/","")))-1</f>
        <v>1</v>
      </c>
      <c r="G43" s="6">
        <v>2</v>
      </c>
    </row>
    <row r="44" spans="1:7" x14ac:dyDescent="0.3">
      <c r="A44" s="6"/>
      <c r="B44" s="6" t="s">
        <v>368</v>
      </c>
      <c r="C44" s="6"/>
      <c r="D44" s="6"/>
      <c r="E44" s="6">
        <v>-1</v>
      </c>
      <c r="F44" s="6">
        <f>Table39[[#This Row],[Total Athletes]]-(LEN(Table39[[#This Row],[Pair]])-LEN(SUBSTITUTE(Table39[[#This Row],[Pair]],"/","")))-1</f>
        <v>-1</v>
      </c>
      <c r="G44" s="6"/>
    </row>
    <row r="45" spans="1:7" x14ac:dyDescent="0.3">
      <c r="A45" s="6"/>
      <c r="B45" s="6" t="s">
        <v>412</v>
      </c>
      <c r="C45" s="6"/>
      <c r="D45" s="6"/>
      <c r="E45" s="6">
        <v>-1</v>
      </c>
      <c r="F45" s="6">
        <f>Table39[[#This Row],[Total Athletes]]-(LEN(Table39[[#This Row],[Pair]])-LEN(SUBSTITUTE(Table39[[#This Row],[Pair]],"/","")))-1</f>
        <v>-1</v>
      </c>
      <c r="G45" s="6"/>
    </row>
    <row r="46" spans="1:7" x14ac:dyDescent="0.3">
      <c r="A46" s="6"/>
      <c r="B46" s="6" t="s">
        <v>432</v>
      </c>
      <c r="C46" s="6"/>
      <c r="D46" s="6"/>
      <c r="E46" s="6">
        <v>-1</v>
      </c>
      <c r="F46" s="6">
        <f>Table39[[#This Row],[Total Athletes]]-(LEN(Table39[[#This Row],[Pair]])-LEN(SUBSTITUTE(Table39[[#This Row],[Pair]],"/","")))-1</f>
        <v>-1</v>
      </c>
      <c r="G46" s="6"/>
    </row>
    <row r="47" spans="1:7" x14ac:dyDescent="0.3">
      <c r="A47" s="6"/>
      <c r="B47" s="6" t="s">
        <v>446</v>
      </c>
      <c r="C47" s="6"/>
      <c r="D47" s="6"/>
      <c r="E47" s="6">
        <v>-1</v>
      </c>
      <c r="F47" s="6">
        <f>Table39[[#This Row],[Total Athletes]]-(LEN(Table39[[#This Row],[Pair]])-LEN(SUBSTITUTE(Table39[[#This Row],[Pair]],"/","")))-1</f>
        <v>-1</v>
      </c>
      <c r="G47" s="6"/>
    </row>
    <row r="48" spans="1:7" x14ac:dyDescent="0.3">
      <c r="A48" s="6" t="s">
        <v>4320</v>
      </c>
      <c r="B48" s="6" t="s">
        <v>332</v>
      </c>
      <c r="C48" s="6"/>
      <c r="D48" s="6"/>
      <c r="E48" s="6">
        <v>13</v>
      </c>
      <c r="F48" s="6">
        <f>Table39[[#This Row],[Total Athletes]]-(LEN(Table39[[#This Row],[Pair]])-LEN(SUBSTITUTE(Table39[[#This Row],[Pair]],"/","")))-1</f>
        <v>0</v>
      </c>
      <c r="G48" s="6">
        <v>2</v>
      </c>
    </row>
    <row r="49" spans="1:7" x14ac:dyDescent="0.3">
      <c r="A49" s="6"/>
      <c r="B49" s="6" t="s">
        <v>380</v>
      </c>
      <c r="C49" s="6"/>
      <c r="D49" s="6"/>
      <c r="E49" s="6">
        <v>-1</v>
      </c>
      <c r="F49" s="6">
        <f>Table39[[#This Row],[Total Athletes]]-(LEN(Table39[[#This Row],[Pair]])-LEN(SUBSTITUTE(Table39[[#This Row],[Pair]],"/","")))-1</f>
        <v>-1</v>
      </c>
      <c r="G49" s="6"/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C7E26-CB87-4A07-A83C-A55E80E31388}">
  <dimension ref="A1:H25"/>
  <sheetViews>
    <sheetView topLeftCell="C16" workbookViewId="0">
      <selection activeCell="D26" sqref="D26"/>
    </sheetView>
  </sheetViews>
  <sheetFormatPr defaultRowHeight="14.4" x14ac:dyDescent="0.3"/>
  <cols>
    <col min="1" max="1" width="105.109375" bestFit="1" customWidth="1"/>
    <col min="2" max="2" width="105.5546875" bestFit="1" customWidth="1"/>
    <col min="3" max="3" width="50.5546875" bestFit="1" customWidth="1"/>
    <col min="4" max="4" width="13.33203125" bestFit="1" customWidth="1"/>
    <col min="5" max="5" width="19.88671875" bestFit="1" customWidth="1"/>
    <col min="6" max="6" width="22.5546875" bestFit="1" customWidth="1"/>
    <col min="7" max="7" width="17" bestFit="1" customWidth="1"/>
    <col min="8" max="8" width="14.77734375" bestFit="1" customWidth="1"/>
  </cols>
  <sheetData>
    <row r="1" spans="1:8" x14ac:dyDescent="0.3">
      <c r="A1" t="s">
        <v>835</v>
      </c>
      <c r="B1" t="s">
        <v>836</v>
      </c>
      <c r="C1" t="s">
        <v>837</v>
      </c>
      <c r="D1" t="s">
        <v>1</v>
      </c>
      <c r="E1" t="s">
        <v>900</v>
      </c>
      <c r="F1" t="s">
        <v>901</v>
      </c>
      <c r="G1" t="s">
        <v>1212</v>
      </c>
      <c r="H1" t="s">
        <v>1213</v>
      </c>
    </row>
    <row r="2" spans="1:8" x14ac:dyDescent="0.3">
      <c r="A2" s="6"/>
      <c r="B2" s="6"/>
      <c r="C2" s="6"/>
      <c r="D2" s="6" t="s">
        <v>344</v>
      </c>
      <c r="E2" s="6">
        <v>-1</v>
      </c>
      <c r="F2" s="6"/>
      <c r="G2" s="6">
        <f>Table89[[#This Row],[Total Athletes]]-(LEN(Table89[[#This Row],[Guards]])-LEN(SUBSTITUTE(Table89[[#This Row],[Guards]],"/","")))-(LEN(Table89[[#This Row],[Forwards]])-LEN(SUBSTITUTE(Table89[[#This Row],[Forwards]],"/","")))-(LEN(Table89[[#This Row],[Centers]])-LEN(SUBSTITUTE(Table89[[#This Row],[Centers]],"/","")))-3</f>
        <v>-3</v>
      </c>
      <c r="H2" s="6"/>
    </row>
    <row r="3" spans="1:8" x14ac:dyDescent="0.3">
      <c r="A3" s="6" t="s">
        <v>2679</v>
      </c>
      <c r="B3" s="6" t="s">
        <v>4166</v>
      </c>
      <c r="C3" s="6" t="s">
        <v>4377</v>
      </c>
      <c r="D3" s="6" t="s">
        <v>344</v>
      </c>
      <c r="E3" s="6"/>
      <c r="F3" s="6">
        <v>2</v>
      </c>
      <c r="G3" s="6">
        <f>Table89[[#This Row],[Total Athletes]]-(LEN(Table89[[#This Row],[Guards]])-LEN(SUBSTITUTE(Table89[[#This Row],[Guards]],"/","")))-(LEN(Table89[[#This Row],[Forwards]])-LEN(SUBSTITUTE(Table89[[#This Row],[Forwards]],"/","")))-(LEN(Table89[[#This Row],[Centers]])-LEN(SUBSTITUTE(Table89[[#This Row],[Centers]],"/","")))-3</f>
        <v>7</v>
      </c>
      <c r="H3" s="6">
        <v>12</v>
      </c>
    </row>
    <row r="4" spans="1:8" x14ac:dyDescent="0.3">
      <c r="A4" s="6" t="s">
        <v>2071</v>
      </c>
      <c r="B4" s="6" t="s">
        <v>4536</v>
      </c>
      <c r="C4" s="6"/>
      <c r="D4" s="6" t="s">
        <v>332</v>
      </c>
      <c r="E4" s="6"/>
      <c r="F4" s="6">
        <v>1</v>
      </c>
      <c r="G4" s="6">
        <f>Table89[[#This Row],[Total Athletes]]-(LEN(Table89[[#This Row],[Guards]])-LEN(SUBSTITUTE(Table89[[#This Row],[Guards]],"/","")))-(LEN(Table89[[#This Row],[Forwards]])-LEN(SUBSTITUTE(Table89[[#This Row],[Forwards]],"/","")))-(LEN(Table89[[#This Row],[Centers]])-LEN(SUBSTITUTE(Table89[[#This Row],[Centers]],"/","")))-3</f>
        <v>4</v>
      </c>
      <c r="H4" s="6">
        <v>12</v>
      </c>
    </row>
    <row r="5" spans="1:8" x14ac:dyDescent="0.3">
      <c r="A5" s="6"/>
      <c r="B5" s="6" t="s">
        <v>4612</v>
      </c>
      <c r="C5" s="6"/>
      <c r="D5" s="6" t="s">
        <v>462</v>
      </c>
      <c r="E5" s="6">
        <v>9</v>
      </c>
      <c r="F5" s="6"/>
      <c r="G5" s="6">
        <f>Table89[[#This Row],[Total Athletes]]-(LEN(Table89[[#This Row],[Guards]])-LEN(SUBSTITUTE(Table89[[#This Row],[Guards]],"/","")))-(LEN(Table89[[#This Row],[Forwards]])-LEN(SUBSTITUTE(Table89[[#This Row],[Forwards]],"/","")))-(LEN(Table89[[#This Row],[Centers]])-LEN(SUBSTITUTE(Table89[[#This Row],[Centers]],"/","")))-3</f>
        <v>9</v>
      </c>
      <c r="H5" s="6">
        <v>12</v>
      </c>
    </row>
    <row r="6" spans="1:8" x14ac:dyDescent="0.3">
      <c r="A6" s="6"/>
      <c r="B6" s="6"/>
      <c r="C6" s="6" t="s">
        <v>1231</v>
      </c>
      <c r="D6" s="6" t="s">
        <v>384</v>
      </c>
      <c r="E6" s="6">
        <v>5</v>
      </c>
      <c r="F6" s="6"/>
      <c r="G6" s="6">
        <f>Table89[[#This Row],[Total Athletes]]-(LEN(Table89[[#This Row],[Guards]])-LEN(SUBSTITUTE(Table89[[#This Row],[Guards]],"/","")))-(LEN(Table89[[#This Row],[Forwards]])-LEN(SUBSTITUTE(Table89[[#This Row],[Forwards]],"/","")))-(LEN(Table89[[#This Row],[Centers]])-LEN(SUBSTITUTE(Table89[[#This Row],[Centers]],"/","")))-3</f>
        <v>9</v>
      </c>
      <c r="H6" s="6">
        <v>12</v>
      </c>
    </row>
    <row r="7" spans="1:8" x14ac:dyDescent="0.3">
      <c r="A7" s="6" t="s">
        <v>4213</v>
      </c>
      <c r="B7" s="6" t="s">
        <v>3929</v>
      </c>
      <c r="C7" s="6" t="s">
        <v>2134</v>
      </c>
      <c r="D7" s="6" t="s">
        <v>332</v>
      </c>
      <c r="E7" s="6">
        <v>1</v>
      </c>
      <c r="F7" s="6"/>
      <c r="G7" s="6">
        <f>Table89[[#This Row],[Total Athletes]]-(LEN(Table89[[#This Row],[Guards]])-LEN(SUBSTITUTE(Table89[[#This Row],[Guards]],"/","")))-(LEN(Table89[[#This Row],[Forwards]])-LEN(SUBSTITUTE(Table89[[#This Row],[Forwards]],"/","")))-(LEN(Table89[[#This Row],[Centers]])-LEN(SUBSTITUTE(Table89[[#This Row],[Centers]],"/","")))-3</f>
        <v>7</v>
      </c>
      <c r="H7" s="6">
        <v>12</v>
      </c>
    </row>
    <row r="8" spans="1:8" x14ac:dyDescent="0.3">
      <c r="A8" s="6" t="s">
        <v>3339</v>
      </c>
      <c r="B8" s="6" t="s">
        <v>3798</v>
      </c>
      <c r="C8" s="6"/>
      <c r="D8" s="6" t="s">
        <v>428</v>
      </c>
      <c r="E8" s="6">
        <v>11</v>
      </c>
      <c r="F8" s="6"/>
      <c r="G8" s="6">
        <f>Table89[[#This Row],[Total Athletes]]-(LEN(Table89[[#This Row],[Guards]])-LEN(SUBSTITUTE(Table89[[#This Row],[Guards]],"/","")))-(LEN(Table89[[#This Row],[Forwards]])-LEN(SUBSTITUTE(Table89[[#This Row],[Forwards]],"/","")))-(LEN(Table89[[#This Row],[Centers]])-LEN(SUBSTITUTE(Table89[[#This Row],[Centers]],"/","")))-3</f>
        <v>6</v>
      </c>
      <c r="H8" s="6">
        <v>12</v>
      </c>
    </row>
    <row r="9" spans="1:8" x14ac:dyDescent="0.3">
      <c r="A9" s="6" t="s">
        <v>3431</v>
      </c>
      <c r="B9" s="6" t="s">
        <v>3446</v>
      </c>
      <c r="C9" s="6"/>
      <c r="D9" s="6" t="s">
        <v>334</v>
      </c>
      <c r="E9" s="6">
        <v>4</v>
      </c>
      <c r="F9" s="6"/>
      <c r="G9" s="6">
        <f>Table89[[#This Row],[Total Athletes]]-(LEN(Table89[[#This Row],[Guards]])-LEN(SUBSTITUTE(Table89[[#This Row],[Guards]],"/","")))-(LEN(Table89[[#This Row],[Forwards]])-LEN(SUBSTITUTE(Table89[[#This Row],[Forwards]],"/","")))-(LEN(Table89[[#This Row],[Centers]])-LEN(SUBSTITUTE(Table89[[#This Row],[Centers]],"/","")))-3</f>
        <v>9</v>
      </c>
      <c r="H9" s="6">
        <v>12</v>
      </c>
    </row>
    <row r="10" spans="1:8" x14ac:dyDescent="0.3">
      <c r="A10" s="6" t="s">
        <v>3915</v>
      </c>
      <c r="B10" s="6" t="s">
        <v>1391</v>
      </c>
      <c r="C10" s="6"/>
      <c r="D10" s="6" t="s">
        <v>690</v>
      </c>
      <c r="E10" s="6">
        <v>3</v>
      </c>
      <c r="F10" s="6"/>
      <c r="G10" s="6">
        <f>Table89[[#This Row],[Total Athletes]]-(LEN(Table89[[#This Row],[Guards]])-LEN(SUBSTITUTE(Table89[[#This Row],[Guards]],"/","")))-(LEN(Table89[[#This Row],[Forwards]])-LEN(SUBSTITUTE(Table89[[#This Row],[Forwards]],"/","")))-(LEN(Table89[[#This Row],[Centers]])-LEN(SUBSTITUTE(Table89[[#This Row],[Centers]],"/","")))-3</f>
        <v>8</v>
      </c>
      <c r="H10" s="6">
        <v>12</v>
      </c>
    </row>
    <row r="11" spans="1:8" x14ac:dyDescent="0.3">
      <c r="A11" s="6"/>
      <c r="B11" s="6" t="s">
        <v>3641</v>
      </c>
      <c r="C11" s="6"/>
      <c r="D11" s="6" t="s">
        <v>354</v>
      </c>
      <c r="E11" s="6">
        <v>6</v>
      </c>
      <c r="F11" s="6"/>
      <c r="G11" s="6">
        <f>Table89[[#This Row],[Total Athletes]]-(LEN(Table89[[#This Row],[Guards]])-LEN(SUBSTITUTE(Table89[[#This Row],[Guards]],"/","")))-(LEN(Table89[[#This Row],[Forwards]])-LEN(SUBSTITUTE(Table89[[#This Row],[Forwards]],"/","")))-(LEN(Table89[[#This Row],[Centers]])-LEN(SUBSTITUTE(Table89[[#This Row],[Centers]],"/","")))-3</f>
        <v>6</v>
      </c>
      <c r="H11" s="6">
        <v>12</v>
      </c>
    </row>
    <row r="12" spans="1:8" x14ac:dyDescent="0.3">
      <c r="A12" s="6" t="s">
        <v>4739</v>
      </c>
      <c r="B12" s="6" t="s">
        <v>4728</v>
      </c>
      <c r="C12" s="6" t="s">
        <v>4288</v>
      </c>
      <c r="D12" s="6" t="s">
        <v>328</v>
      </c>
      <c r="E12" s="6"/>
      <c r="F12" s="6">
        <v>9</v>
      </c>
      <c r="G12" s="6">
        <f>Table89[[#This Row],[Total Athletes]]-(LEN(Table89[[#This Row],[Guards]])-LEN(SUBSTITUTE(Table89[[#This Row],[Guards]],"/","")))-(LEN(Table89[[#This Row],[Forwards]])-LEN(SUBSTITUTE(Table89[[#This Row],[Forwards]],"/","")))-(LEN(Table89[[#This Row],[Centers]])-LEN(SUBSTITUTE(Table89[[#This Row],[Centers]],"/","")))-3</f>
        <v>7</v>
      </c>
      <c r="H12" s="6">
        <v>12</v>
      </c>
    </row>
    <row r="13" spans="1:8" x14ac:dyDescent="0.3">
      <c r="A13" s="6" t="s">
        <v>4508</v>
      </c>
      <c r="B13" s="6" t="s">
        <v>2051</v>
      </c>
      <c r="C13" s="6"/>
      <c r="D13" s="6" t="s">
        <v>398</v>
      </c>
      <c r="E13" s="6"/>
      <c r="F13" s="6">
        <v>10</v>
      </c>
      <c r="G13" s="6">
        <f>Table89[[#This Row],[Total Athletes]]-(LEN(Table89[[#This Row],[Guards]])-LEN(SUBSTITUTE(Table89[[#This Row],[Guards]],"/","")))-(LEN(Table89[[#This Row],[Forwards]])-LEN(SUBSTITUTE(Table89[[#This Row],[Forwards]],"/","")))-(LEN(Table89[[#This Row],[Centers]])-LEN(SUBSTITUTE(Table89[[#This Row],[Centers]],"/","")))-3</f>
        <v>8</v>
      </c>
      <c r="H13" s="6">
        <v>12</v>
      </c>
    </row>
    <row r="14" spans="1:8" x14ac:dyDescent="0.3">
      <c r="A14" s="6"/>
      <c r="B14" s="6" t="s">
        <v>3521</v>
      </c>
      <c r="C14" s="6"/>
      <c r="D14" s="6" t="s">
        <v>520</v>
      </c>
      <c r="E14" s="6"/>
      <c r="F14" s="6">
        <v>4</v>
      </c>
      <c r="G14" s="6">
        <f>Table89[[#This Row],[Total Athletes]]-(LEN(Table89[[#This Row],[Guards]])-LEN(SUBSTITUTE(Table89[[#This Row],[Guards]],"/","")))-(LEN(Table89[[#This Row],[Forwards]])-LEN(SUBSTITUTE(Table89[[#This Row],[Forwards]],"/","")))-(LEN(Table89[[#This Row],[Centers]])-LEN(SUBSTITUTE(Table89[[#This Row],[Centers]],"/","")))-3</f>
        <v>9</v>
      </c>
      <c r="H14" s="6">
        <v>12</v>
      </c>
    </row>
    <row r="15" spans="1:8" x14ac:dyDescent="0.3">
      <c r="A15" s="6"/>
      <c r="B15" s="6"/>
      <c r="C15" s="6"/>
      <c r="D15" s="6" t="s">
        <v>440</v>
      </c>
      <c r="E15" s="6"/>
      <c r="F15" s="6">
        <v>-1</v>
      </c>
      <c r="G15" s="6">
        <f>Table89[[#This Row],[Total Athletes]]-(LEN(Table89[[#This Row],[Guards]])-LEN(SUBSTITUTE(Table89[[#This Row],[Guards]],"/","")))-(LEN(Table89[[#This Row],[Forwards]])-LEN(SUBSTITUTE(Table89[[#This Row],[Forwards]],"/","")))-(LEN(Table89[[#This Row],[Centers]])-LEN(SUBSTITUTE(Table89[[#This Row],[Centers]],"/","")))-3</f>
        <v>-3</v>
      </c>
      <c r="H15" s="6"/>
    </row>
    <row r="16" spans="1:8" x14ac:dyDescent="0.3">
      <c r="A16" s="6" t="s">
        <v>3644</v>
      </c>
      <c r="B16" s="6" t="s">
        <v>3637</v>
      </c>
      <c r="C16" s="6" t="s">
        <v>2398</v>
      </c>
      <c r="D16" s="6" t="s">
        <v>354</v>
      </c>
      <c r="E16" s="6"/>
      <c r="F16" s="6">
        <v>3</v>
      </c>
      <c r="G16" s="6">
        <f>Table89[[#This Row],[Total Athletes]]-(LEN(Table89[[#This Row],[Guards]])-LEN(SUBSTITUTE(Table89[[#This Row],[Guards]],"/","")))-(LEN(Table89[[#This Row],[Forwards]])-LEN(SUBSTITUTE(Table89[[#This Row],[Forwards]],"/","")))-(LEN(Table89[[#This Row],[Centers]])-LEN(SUBSTITUTE(Table89[[#This Row],[Centers]],"/","")))-3</f>
        <v>7</v>
      </c>
      <c r="H16" s="6">
        <v>12</v>
      </c>
    </row>
    <row r="17" spans="1:8" x14ac:dyDescent="0.3">
      <c r="A17" s="6"/>
      <c r="B17" s="6" t="s">
        <v>4644</v>
      </c>
      <c r="C17" s="6"/>
      <c r="D17" s="6" t="s">
        <v>334</v>
      </c>
      <c r="E17" s="6"/>
      <c r="F17" s="6">
        <v>7</v>
      </c>
      <c r="G17" s="6">
        <f>Table89[[#This Row],[Total Athletes]]-(LEN(Table89[[#This Row],[Guards]])-LEN(SUBSTITUTE(Table89[[#This Row],[Guards]],"/","")))-(LEN(Table89[[#This Row],[Forwards]])-LEN(SUBSTITUTE(Table89[[#This Row],[Forwards]],"/","")))-(LEN(Table89[[#This Row],[Centers]])-LEN(SUBSTITUTE(Table89[[#This Row],[Centers]],"/","")))-3</f>
        <v>8</v>
      </c>
      <c r="H17" s="6">
        <v>12</v>
      </c>
    </row>
    <row r="18" spans="1:8" x14ac:dyDescent="0.3">
      <c r="A18" s="6" t="s">
        <v>3970</v>
      </c>
      <c r="B18" s="6"/>
      <c r="C18" s="6" t="s">
        <v>3971</v>
      </c>
      <c r="D18" s="6" t="s">
        <v>690</v>
      </c>
      <c r="E18" s="6"/>
      <c r="F18" s="6">
        <v>6</v>
      </c>
      <c r="G18" s="6">
        <f>Table89[[#This Row],[Total Athletes]]-(LEN(Table89[[#This Row],[Guards]])-LEN(SUBSTITUTE(Table89[[#This Row],[Guards]],"/","")))-(LEN(Table89[[#This Row],[Forwards]])-LEN(SUBSTITUTE(Table89[[#This Row],[Forwards]],"/","")))-(LEN(Table89[[#This Row],[Centers]])-LEN(SUBSTITUTE(Table89[[#This Row],[Centers]],"/","")))-3</f>
        <v>6</v>
      </c>
      <c r="H18" s="6">
        <v>12</v>
      </c>
    </row>
    <row r="19" spans="1:8" x14ac:dyDescent="0.3">
      <c r="A19" s="6" t="s">
        <v>4091</v>
      </c>
      <c r="B19" s="6" t="s">
        <v>3332</v>
      </c>
      <c r="C19" s="6" t="s">
        <v>3338</v>
      </c>
      <c r="D19" s="6" t="s">
        <v>428</v>
      </c>
      <c r="E19" s="6"/>
      <c r="F19" s="6">
        <v>12</v>
      </c>
      <c r="G19" s="6">
        <f>Table89[[#This Row],[Total Athletes]]-(LEN(Table89[[#This Row],[Guards]])-LEN(SUBSTITUTE(Table89[[#This Row],[Guards]],"/","")))-(LEN(Table89[[#This Row],[Forwards]])-LEN(SUBSTITUTE(Table89[[#This Row],[Forwards]],"/","")))-(LEN(Table89[[#This Row],[Centers]])-LEN(SUBSTITUTE(Table89[[#This Row],[Centers]],"/","")))-3</f>
        <v>6</v>
      </c>
      <c r="H19" s="6">
        <v>12</v>
      </c>
    </row>
    <row r="20" spans="1:8" x14ac:dyDescent="0.3">
      <c r="A20" s="6" t="s">
        <v>1275</v>
      </c>
      <c r="B20" s="6" t="s">
        <v>3987</v>
      </c>
      <c r="C20" s="6" t="s">
        <v>4817</v>
      </c>
      <c r="D20" s="6" t="s">
        <v>330</v>
      </c>
      <c r="E20" s="6"/>
      <c r="F20" s="6">
        <v>5</v>
      </c>
      <c r="G20" s="6">
        <f>Table89[[#This Row],[Total Athletes]]-(LEN(Table89[[#This Row],[Guards]])-LEN(SUBSTITUTE(Table89[[#This Row],[Guards]],"/","")))-(LEN(Table89[[#This Row],[Forwards]])-LEN(SUBSTITUTE(Table89[[#This Row],[Forwards]],"/","")))-(LEN(Table89[[#This Row],[Centers]])-LEN(SUBSTITUTE(Table89[[#This Row],[Centers]],"/","")))-3</f>
        <v>5</v>
      </c>
      <c r="H20" s="6">
        <v>12</v>
      </c>
    </row>
    <row r="21" spans="1:8" x14ac:dyDescent="0.3">
      <c r="A21" s="6" t="s">
        <v>2543</v>
      </c>
      <c r="B21" s="6" t="s">
        <v>2148</v>
      </c>
      <c r="C21" s="6"/>
      <c r="D21" s="6" t="s">
        <v>384</v>
      </c>
      <c r="E21" s="6"/>
      <c r="F21" s="6">
        <v>11</v>
      </c>
      <c r="G21" s="6">
        <f>Table89[[#This Row],[Total Athletes]]-(LEN(Table89[[#This Row],[Guards]])-LEN(SUBSTITUTE(Table89[[#This Row],[Guards]],"/","")))-(LEN(Table89[[#This Row],[Forwards]])-LEN(SUBSTITUTE(Table89[[#This Row],[Forwards]],"/","")))-(LEN(Table89[[#This Row],[Centers]])-LEN(SUBSTITUTE(Table89[[#This Row],[Centers]],"/","")))-3</f>
        <v>9</v>
      </c>
      <c r="H21" s="6">
        <v>12</v>
      </c>
    </row>
    <row r="22" spans="1:8" x14ac:dyDescent="0.3">
      <c r="A22" s="6" t="s">
        <v>2598</v>
      </c>
      <c r="B22" s="6" t="s">
        <v>3998</v>
      </c>
      <c r="C22" s="6" t="s">
        <v>3999</v>
      </c>
      <c r="D22" s="6" t="s">
        <v>330</v>
      </c>
      <c r="E22" s="6">
        <v>10</v>
      </c>
      <c r="F22" s="6"/>
      <c r="G22" s="6">
        <f>Table89[[#This Row],[Total Athletes]]-(LEN(Table89[[#This Row],[Guards]])-LEN(SUBSTITUTE(Table89[[#This Row],[Guards]],"/","")))-(LEN(Table89[[#This Row],[Forwards]])-LEN(SUBSTITUTE(Table89[[#This Row],[Forwards]],"/","")))-(LEN(Table89[[#This Row],[Centers]])-LEN(SUBSTITUTE(Table89[[#This Row],[Centers]],"/","")))-3</f>
        <v>4</v>
      </c>
      <c r="H22" s="6">
        <v>12</v>
      </c>
    </row>
    <row r="23" spans="1:8" x14ac:dyDescent="0.3">
      <c r="A23" s="6" t="s">
        <v>4924</v>
      </c>
      <c r="B23" s="6" t="s">
        <v>3080</v>
      </c>
      <c r="C23" s="6"/>
      <c r="D23" s="6" t="s">
        <v>336</v>
      </c>
      <c r="E23" s="6">
        <v>7</v>
      </c>
      <c r="F23" s="6"/>
      <c r="G23" s="6">
        <f>Table89[[#This Row],[Total Athletes]]-(LEN(Table89[[#This Row],[Guards]])-LEN(SUBSTITUTE(Table89[[#This Row],[Guards]],"/","")))-(LEN(Table89[[#This Row],[Forwards]])-LEN(SUBSTITUTE(Table89[[#This Row],[Forwards]],"/","")))-(LEN(Table89[[#This Row],[Centers]])-LEN(SUBSTITUTE(Table89[[#This Row],[Centers]],"/","")))-3</f>
        <v>2</v>
      </c>
      <c r="H23" s="6">
        <v>12</v>
      </c>
    </row>
    <row r="24" spans="1:8" x14ac:dyDescent="0.3">
      <c r="A24" s="6"/>
      <c r="B24" s="6" t="s">
        <v>3423</v>
      </c>
      <c r="C24" s="6"/>
      <c r="D24" s="6" t="s">
        <v>342</v>
      </c>
      <c r="E24" s="6">
        <v>8</v>
      </c>
      <c r="F24" s="6"/>
      <c r="G24" s="6">
        <f>Table89[[#This Row],[Total Athletes]]-(LEN(Table89[[#This Row],[Guards]])-LEN(SUBSTITUTE(Table89[[#This Row],[Guards]],"/","")))-(LEN(Table89[[#This Row],[Forwards]])-LEN(SUBSTITUTE(Table89[[#This Row],[Forwards]],"/","")))-(LEN(Table89[[#This Row],[Centers]])-LEN(SUBSTITUTE(Table89[[#This Row],[Centers]],"/","")))-3</f>
        <v>9</v>
      </c>
      <c r="H24" s="6">
        <v>12</v>
      </c>
    </row>
    <row r="25" spans="1:8" x14ac:dyDescent="0.3">
      <c r="A25" s="6" t="s">
        <v>2073</v>
      </c>
      <c r="B25" s="6" t="s">
        <v>2049</v>
      </c>
      <c r="C25" s="6"/>
      <c r="D25" s="6" t="s">
        <v>398</v>
      </c>
      <c r="E25" s="6">
        <v>12</v>
      </c>
      <c r="F25" s="6"/>
      <c r="G25" s="6">
        <f>Table89[[#This Row],[Total Athletes]]-(LEN(Table89[[#This Row],[Guards]])-LEN(SUBSTITUTE(Table89[[#This Row],[Guards]],"/","")))-(LEN(Table89[[#This Row],[Forwards]])-LEN(SUBSTITUTE(Table89[[#This Row],[Forwards]],"/","")))-(LEN(Table89[[#This Row],[Centers]])-LEN(SUBSTITUTE(Table89[[#This Row],[Centers]],"/","")))-3</f>
        <v>7</v>
      </c>
      <c r="H25" s="6">
        <v>12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915CB-7525-43A6-9590-039701EFB4CA}">
  <dimension ref="A1:F17"/>
  <sheetViews>
    <sheetView topLeftCell="A16" workbookViewId="0">
      <selection activeCell="B18" sqref="B18"/>
    </sheetView>
  </sheetViews>
  <sheetFormatPr defaultRowHeight="14.4" x14ac:dyDescent="0.3"/>
  <cols>
    <col min="1" max="1" width="86.33203125" bestFit="1" customWidth="1"/>
    <col min="2" max="2" width="12.21875" bestFit="1" customWidth="1"/>
    <col min="3" max="3" width="19.88671875" bestFit="1" customWidth="1"/>
    <col min="4" max="4" width="22.5546875" bestFit="1" customWidth="1"/>
    <col min="5" max="5" width="17" bestFit="1" customWidth="1"/>
    <col min="6" max="6" width="14.77734375" bestFit="1" customWidth="1"/>
  </cols>
  <sheetData>
    <row r="1" spans="1:6" x14ac:dyDescent="0.3">
      <c r="A1" t="s">
        <v>834</v>
      </c>
      <c r="B1" t="s">
        <v>1</v>
      </c>
      <c r="C1" t="s">
        <v>900</v>
      </c>
      <c r="D1" t="s">
        <v>901</v>
      </c>
      <c r="E1" t="s">
        <v>1212</v>
      </c>
      <c r="F1" t="s">
        <v>1213</v>
      </c>
    </row>
    <row r="2" spans="1:6" x14ac:dyDescent="0.3">
      <c r="A2" s="6" t="s">
        <v>2215</v>
      </c>
      <c r="B2" s="6" t="s">
        <v>344</v>
      </c>
      <c r="C2" s="6"/>
      <c r="D2" s="6">
        <v>8</v>
      </c>
      <c r="E2" s="6">
        <f>Table90[[#This Row],[Total Athletes]]-(LEN(Table90[[#This Row],[Team]])-LEN(SUBSTITUTE(Table90[[#This Row],[Team]],"/","")))-1</f>
        <v>3</v>
      </c>
      <c r="F2" s="6">
        <v>4</v>
      </c>
    </row>
    <row r="3" spans="1:6" x14ac:dyDescent="0.3">
      <c r="A3" s="6"/>
      <c r="B3" s="6" t="s">
        <v>690</v>
      </c>
      <c r="C3" s="6">
        <v>-1</v>
      </c>
      <c r="D3" s="6"/>
      <c r="E3" s="6">
        <f>Table90[[#This Row],[Total Athletes]]-(LEN(Table90[[#This Row],[Team]])-LEN(SUBSTITUTE(Table90[[#This Row],[Team]],"/","")))-1</f>
        <v>-1</v>
      </c>
      <c r="F3" s="6"/>
    </row>
    <row r="4" spans="1:6" x14ac:dyDescent="0.3">
      <c r="A4" s="6" t="s">
        <v>4613</v>
      </c>
      <c r="B4" s="6" t="s">
        <v>332</v>
      </c>
      <c r="C4" s="6">
        <v>7</v>
      </c>
      <c r="D4" s="6"/>
      <c r="E4" s="6">
        <f>Table90[[#This Row],[Total Athletes]]-(LEN(Table90[[#This Row],[Team]])-LEN(SUBSTITUTE(Table90[[#This Row],[Team]],"/","")))-1</f>
        <v>2</v>
      </c>
      <c r="F4" s="6">
        <v>4</v>
      </c>
    </row>
    <row r="5" spans="1:6" x14ac:dyDescent="0.3">
      <c r="A5" s="6" t="s">
        <v>4306</v>
      </c>
      <c r="B5" s="6" t="s">
        <v>328</v>
      </c>
      <c r="C5" s="6">
        <v>4</v>
      </c>
      <c r="D5" s="6"/>
      <c r="E5" s="6">
        <f>Table90[[#This Row],[Total Athletes]]-(LEN(Table90[[#This Row],[Team]])-LEN(SUBSTITUTE(Table90[[#This Row],[Team]],"/","")))-1</f>
        <v>3</v>
      </c>
      <c r="F5" s="6">
        <v>4</v>
      </c>
    </row>
    <row r="6" spans="1:6" x14ac:dyDescent="0.3">
      <c r="A6" s="6"/>
      <c r="B6" s="6" t="s">
        <v>328</v>
      </c>
      <c r="C6" s="6"/>
      <c r="D6" s="6">
        <v>-1</v>
      </c>
      <c r="E6" s="6">
        <f>Table90[[#This Row],[Total Athletes]]-(LEN(Table90[[#This Row],[Team]])-LEN(SUBSTITUTE(Table90[[#This Row],[Team]],"/","")))-1</f>
        <v>-1</v>
      </c>
      <c r="F6" s="6"/>
    </row>
    <row r="7" spans="1:6" x14ac:dyDescent="0.3">
      <c r="A7" s="6"/>
      <c r="B7" s="6" t="s">
        <v>332</v>
      </c>
      <c r="C7" s="6"/>
      <c r="D7" s="6">
        <v>-1</v>
      </c>
      <c r="E7" s="6">
        <f>Table90[[#This Row],[Total Athletes]]-(LEN(Table90[[#This Row],[Team]])-LEN(SUBSTITUTE(Table90[[#This Row],[Team]],"/","")))-1</f>
        <v>-1</v>
      </c>
      <c r="F7" s="6"/>
    </row>
    <row r="8" spans="1:6" x14ac:dyDescent="0.3">
      <c r="A8" s="6" t="s">
        <v>3494</v>
      </c>
      <c r="B8" s="6" t="s">
        <v>614</v>
      </c>
      <c r="C8" s="6">
        <v>4</v>
      </c>
      <c r="D8" s="6"/>
      <c r="E8" s="6">
        <f>Table90[[#This Row],[Total Athletes]]-(LEN(Table90[[#This Row],[Team]])-LEN(SUBSTITUTE(Table90[[#This Row],[Team]],"/","")))-1</f>
        <v>3</v>
      </c>
      <c r="F8" s="6">
        <v>4</v>
      </c>
    </row>
    <row r="9" spans="1:6" x14ac:dyDescent="0.3">
      <c r="A9" s="6" t="s">
        <v>4537</v>
      </c>
      <c r="B9" s="6" t="s">
        <v>456</v>
      </c>
      <c r="C9" s="6"/>
      <c r="D9" s="6">
        <v>7</v>
      </c>
      <c r="E9" s="6">
        <f>Table90[[#This Row],[Total Athletes]]-(LEN(Table90[[#This Row],[Team]])-LEN(SUBSTITUTE(Table90[[#This Row],[Team]],"/","")))-1</f>
        <v>2</v>
      </c>
      <c r="F9" s="6">
        <v>4</v>
      </c>
    </row>
    <row r="10" spans="1:6" x14ac:dyDescent="0.3">
      <c r="A10" s="6" t="s">
        <v>1541</v>
      </c>
      <c r="B10" s="6" t="s">
        <v>412</v>
      </c>
      <c r="C10" s="6">
        <v>1</v>
      </c>
      <c r="D10" s="6"/>
      <c r="E10" s="6">
        <f>Table90[[#This Row],[Total Athletes]]-(LEN(Table90[[#This Row],[Team]])-LEN(SUBSTITUTE(Table90[[#This Row],[Team]],"/","")))-1</f>
        <v>3</v>
      </c>
      <c r="F10" s="6">
        <v>4</v>
      </c>
    </row>
    <row r="11" spans="1:6" x14ac:dyDescent="0.3">
      <c r="A11" s="6" t="s">
        <v>3654</v>
      </c>
      <c r="B11" s="6" t="s">
        <v>354</v>
      </c>
      <c r="C11" s="6"/>
      <c r="D11" s="6">
        <v>5</v>
      </c>
      <c r="E11" s="6">
        <f>Table90[[#This Row],[Total Athletes]]-(LEN(Table90[[#This Row],[Team]])-LEN(SUBSTITUTE(Table90[[#This Row],[Team]],"/","")))-1</f>
        <v>2</v>
      </c>
      <c r="F11" s="6">
        <v>4</v>
      </c>
    </row>
    <row r="12" spans="1:6" x14ac:dyDescent="0.3">
      <c r="A12" s="6" t="s">
        <v>1954</v>
      </c>
      <c r="B12" s="6" t="s">
        <v>344</v>
      </c>
      <c r="C12" s="6">
        <v>2</v>
      </c>
      <c r="D12" s="6"/>
      <c r="E12" s="6">
        <f>Table90[[#This Row],[Total Athletes]]-(LEN(Table90[[#This Row],[Team]])-LEN(SUBSTITUTE(Table90[[#This Row],[Team]],"/","")))-1</f>
        <v>2</v>
      </c>
      <c r="F12" s="6">
        <v>4</v>
      </c>
    </row>
    <row r="13" spans="1:6" x14ac:dyDescent="0.3">
      <c r="A13" s="6"/>
      <c r="B13" s="6" t="s">
        <v>620</v>
      </c>
      <c r="C13" s="6">
        <v>-1</v>
      </c>
      <c r="D13" s="6"/>
      <c r="E13" s="6">
        <f>Table90[[#This Row],[Total Athletes]]-(LEN(Table90[[#This Row],[Team]])-LEN(SUBSTITUTE(Table90[[#This Row],[Team]],"/","")))-1</f>
        <v>-1</v>
      </c>
      <c r="F13" s="6"/>
    </row>
    <row r="14" spans="1:6" x14ac:dyDescent="0.3">
      <c r="A14" s="6"/>
      <c r="B14" s="6" t="s">
        <v>394</v>
      </c>
      <c r="C14" s="6">
        <v>-1</v>
      </c>
      <c r="D14" s="6"/>
      <c r="E14" s="6">
        <f>Table90[[#This Row],[Total Athletes]]-(LEN(Table90[[#This Row],[Team]])-LEN(SUBSTITUTE(Table90[[#This Row],[Team]],"/","")))-1</f>
        <v>-1</v>
      </c>
      <c r="F14" s="6"/>
    </row>
    <row r="15" spans="1:6" x14ac:dyDescent="0.3">
      <c r="A15" s="6"/>
      <c r="B15" s="6" t="s">
        <v>334</v>
      </c>
      <c r="C15" s="6"/>
      <c r="D15" s="6">
        <v>-1</v>
      </c>
      <c r="E15" s="6">
        <f>Table90[[#This Row],[Total Athletes]]-(LEN(Table90[[#This Row],[Team]])-LEN(SUBSTITUTE(Table90[[#This Row],[Team]],"/","")))-1</f>
        <v>-1</v>
      </c>
      <c r="F15" s="6"/>
    </row>
    <row r="16" spans="1:6" x14ac:dyDescent="0.3">
      <c r="A16" s="6" t="s">
        <v>3813</v>
      </c>
      <c r="B16" s="6" t="s">
        <v>330</v>
      </c>
      <c r="C16" s="6"/>
      <c r="D16" s="6">
        <v>2</v>
      </c>
      <c r="E16" s="6">
        <f>Table90[[#This Row],[Total Athletes]]-(LEN(Table90[[#This Row],[Team]])-LEN(SUBSTITUTE(Table90[[#This Row],[Team]],"/","")))-1</f>
        <v>1</v>
      </c>
      <c r="F16" s="6">
        <v>4</v>
      </c>
    </row>
    <row r="17" spans="1:6" x14ac:dyDescent="0.3">
      <c r="A17" s="6" t="s">
        <v>2180</v>
      </c>
      <c r="B17" s="6" t="s">
        <v>384</v>
      </c>
      <c r="C17" s="6"/>
      <c r="D17" s="6">
        <v>4</v>
      </c>
      <c r="E17" s="6">
        <f>Table90[[#This Row],[Total Athletes]]-(LEN(Table90[[#This Row],[Team]])-LEN(SUBSTITUTE(Table90[[#This Row],[Team]],"/","")))-1</f>
        <v>0</v>
      </c>
      <c r="F17" s="6">
        <v>4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9958E-715B-4A54-8DD1-291DC8DA0E3D}">
  <dimension ref="A1:F49"/>
  <sheetViews>
    <sheetView topLeftCell="A43" workbookViewId="0">
      <selection activeCell="B50" sqref="B50"/>
    </sheetView>
  </sheetViews>
  <sheetFormatPr defaultRowHeight="14.4" x14ac:dyDescent="0.3"/>
  <cols>
    <col min="1" max="1" width="39" bestFit="1" customWidth="1"/>
    <col min="2" max="2" width="13.6640625" bestFit="1" customWidth="1"/>
    <col min="3" max="3" width="19.88671875" bestFit="1" customWidth="1"/>
    <col min="4" max="4" width="22.5546875" bestFit="1" customWidth="1"/>
    <col min="5" max="5" width="17" bestFit="1" customWidth="1"/>
    <col min="6" max="6" width="14.77734375" bestFit="1" customWidth="1"/>
  </cols>
  <sheetData>
    <row r="1" spans="1:6" x14ac:dyDescent="0.3">
      <c r="A1" t="s">
        <v>833</v>
      </c>
      <c r="B1" t="s">
        <v>1</v>
      </c>
      <c r="C1" t="s">
        <v>900</v>
      </c>
      <c r="D1" t="s">
        <v>901</v>
      </c>
      <c r="E1" t="s">
        <v>1212</v>
      </c>
      <c r="F1" t="s">
        <v>1213</v>
      </c>
    </row>
    <row r="2" spans="1:6" x14ac:dyDescent="0.3">
      <c r="A2" s="6"/>
      <c r="B2" s="6" t="s">
        <v>344</v>
      </c>
      <c r="C2" s="6">
        <v>-1</v>
      </c>
      <c r="D2" s="6"/>
      <c r="E2" s="6">
        <f>Table60[[#This Row],[Total Athletes]]-(LEN(Table60[[#This Row],[Pair]])-LEN(SUBSTITUTE(Table60[[#This Row],[Pair]],"/","")))-1</f>
        <v>-1</v>
      </c>
      <c r="F2" s="6"/>
    </row>
    <row r="3" spans="1:6" x14ac:dyDescent="0.3">
      <c r="A3" s="6"/>
      <c r="B3" s="6" t="s">
        <v>344</v>
      </c>
      <c r="C3" s="6"/>
      <c r="D3" s="6">
        <v>-1</v>
      </c>
      <c r="E3" s="6">
        <f>Table60[[#This Row],[Total Athletes]]-(LEN(Table60[[#This Row],[Pair]])-LEN(SUBSTITUTE(Table60[[#This Row],[Pair]],"/","")))-1</f>
        <v>-1</v>
      </c>
      <c r="F3" s="6"/>
    </row>
    <row r="4" spans="1:6" x14ac:dyDescent="0.3">
      <c r="A4" s="6"/>
      <c r="B4" s="6" t="s">
        <v>442</v>
      </c>
      <c r="C4" s="6">
        <v>-1</v>
      </c>
      <c r="D4" s="6"/>
      <c r="E4" s="6">
        <f>Table60[[#This Row],[Total Athletes]]-(LEN(Table60[[#This Row],[Pair]])-LEN(SUBSTITUTE(Table60[[#This Row],[Pair]],"/","")))-1</f>
        <v>-1</v>
      </c>
      <c r="F4" s="6"/>
    </row>
    <row r="5" spans="1:6" x14ac:dyDescent="0.3">
      <c r="A5" s="6" t="s">
        <v>2009</v>
      </c>
      <c r="B5" s="6" t="s">
        <v>332</v>
      </c>
      <c r="C5" s="6"/>
      <c r="D5" s="6">
        <v>5</v>
      </c>
      <c r="E5" s="6">
        <f>Table60[[#This Row],[Total Athletes]]-(LEN(Table60[[#This Row],[Pair]])-LEN(SUBSTITUTE(Table60[[#This Row],[Pair]],"/","")))-1</f>
        <v>0</v>
      </c>
      <c r="F5" s="6">
        <v>2</v>
      </c>
    </row>
    <row r="6" spans="1:6" x14ac:dyDescent="0.3">
      <c r="A6" s="6" t="s">
        <v>3151</v>
      </c>
      <c r="B6" s="6" t="s">
        <v>338</v>
      </c>
      <c r="C6" s="6">
        <v>1</v>
      </c>
      <c r="D6" s="6"/>
      <c r="E6" s="6">
        <f>Table60[[#This Row],[Total Athletes]]-(LEN(Table60[[#This Row],[Pair]])-LEN(SUBSTITUTE(Table60[[#This Row],[Pair]],"/","")))-1</f>
        <v>0</v>
      </c>
      <c r="F6" s="6">
        <v>2</v>
      </c>
    </row>
    <row r="7" spans="1:6" x14ac:dyDescent="0.3">
      <c r="A7" s="6" t="s">
        <v>3662</v>
      </c>
      <c r="B7" s="6" t="s">
        <v>364</v>
      </c>
      <c r="C7" s="6">
        <v>3</v>
      </c>
      <c r="D7" s="6"/>
      <c r="E7" s="6">
        <f>Table60[[#This Row],[Total Athletes]]-(LEN(Table60[[#This Row],[Pair]])-LEN(SUBSTITUTE(Table60[[#This Row],[Pair]],"/","")))-1</f>
        <v>1</v>
      </c>
      <c r="F7" s="6">
        <v>2</v>
      </c>
    </row>
    <row r="8" spans="1:6" x14ac:dyDescent="0.3">
      <c r="A8" s="6"/>
      <c r="B8" s="6" t="s">
        <v>334</v>
      </c>
      <c r="C8" s="6">
        <v>-1</v>
      </c>
      <c r="D8" s="6"/>
      <c r="E8" s="6">
        <f>Table60[[#This Row],[Total Athletes]]-(LEN(Table60[[#This Row],[Pair]])-LEN(SUBSTITUTE(Table60[[#This Row],[Pair]],"/","")))-1</f>
        <v>-1</v>
      </c>
      <c r="F8" s="6"/>
    </row>
    <row r="9" spans="1:6" x14ac:dyDescent="0.3">
      <c r="A9" s="6" t="s">
        <v>4926</v>
      </c>
      <c r="B9" s="6" t="s">
        <v>336</v>
      </c>
      <c r="C9" s="6">
        <v>9</v>
      </c>
      <c r="D9" s="6"/>
      <c r="E9" s="6">
        <f>Table60[[#This Row],[Total Athletes]]-(LEN(Table60[[#This Row],[Pair]])-LEN(SUBSTITUTE(Table60[[#This Row],[Pair]],"/","")))-1</f>
        <v>1</v>
      </c>
      <c r="F9" s="6">
        <v>2</v>
      </c>
    </row>
    <row r="10" spans="1:6" x14ac:dyDescent="0.3">
      <c r="A10" s="6" t="s">
        <v>2047</v>
      </c>
      <c r="B10" s="6" t="s">
        <v>332</v>
      </c>
      <c r="C10" s="6">
        <v>5</v>
      </c>
      <c r="D10" s="6"/>
      <c r="E10" s="6">
        <f>Table60[[#This Row],[Total Athletes]]-(LEN(Table60[[#This Row],[Pair]])-LEN(SUBSTITUTE(Table60[[#This Row],[Pair]],"/","")))-1</f>
        <v>0</v>
      </c>
      <c r="F10" s="6">
        <v>2</v>
      </c>
    </row>
    <row r="11" spans="1:6" x14ac:dyDescent="0.3">
      <c r="A11" s="6"/>
      <c r="B11" s="6" t="s">
        <v>412</v>
      </c>
      <c r="C11" s="6">
        <v>-1</v>
      </c>
      <c r="D11" s="6"/>
      <c r="E11" s="6">
        <f>Table60[[#This Row],[Total Athletes]]-(LEN(Table60[[#This Row],[Pair]])-LEN(SUBSTITUTE(Table60[[#This Row],[Pair]],"/","")))-1</f>
        <v>-1</v>
      </c>
      <c r="F11" s="6"/>
    </row>
    <row r="12" spans="1:6" x14ac:dyDescent="0.3">
      <c r="A12" s="6" t="s">
        <v>1613</v>
      </c>
      <c r="B12" s="6" t="s">
        <v>336</v>
      </c>
      <c r="C12" s="6">
        <v>5</v>
      </c>
      <c r="D12" s="6"/>
      <c r="E12" s="6">
        <f>Table60[[#This Row],[Total Athletes]]-(LEN(Table60[[#This Row],[Pair]])-LEN(SUBSTITUTE(Table60[[#This Row],[Pair]],"/","")))-1</f>
        <v>1</v>
      </c>
      <c r="F12" s="6">
        <v>2</v>
      </c>
    </row>
    <row r="13" spans="1:6" x14ac:dyDescent="0.3">
      <c r="A13" s="6"/>
      <c r="B13" s="6" t="s">
        <v>356</v>
      </c>
      <c r="C13" s="6">
        <v>-1</v>
      </c>
      <c r="D13" s="6"/>
      <c r="E13" s="6">
        <f>Table60[[#This Row],[Total Athletes]]-(LEN(Table60[[#This Row],[Pair]])-LEN(SUBSTITUTE(Table60[[#This Row],[Pair]],"/","")))-1</f>
        <v>-1</v>
      </c>
      <c r="F13" s="6"/>
    </row>
    <row r="14" spans="1:6" x14ac:dyDescent="0.3">
      <c r="A14" s="6"/>
      <c r="B14" s="6" t="s">
        <v>394</v>
      </c>
      <c r="C14" s="6">
        <v>-1</v>
      </c>
      <c r="D14" s="6"/>
      <c r="E14" s="6">
        <f>Table60[[#This Row],[Total Athletes]]-(LEN(Table60[[#This Row],[Pair]])-LEN(SUBSTITUTE(Table60[[#This Row],[Pair]],"/","")))-1</f>
        <v>-1</v>
      </c>
      <c r="F14" s="6"/>
    </row>
    <row r="15" spans="1:6" x14ac:dyDescent="0.3">
      <c r="A15" s="6"/>
      <c r="B15" s="6" t="s">
        <v>412</v>
      </c>
      <c r="C15" s="6">
        <v>-1</v>
      </c>
      <c r="D15" s="6"/>
      <c r="E15" s="6">
        <f>Table60[[#This Row],[Total Athletes]]-(LEN(Table60[[#This Row],[Pair]])-LEN(SUBSTITUTE(Table60[[#This Row],[Pair]],"/","")))-1</f>
        <v>-1</v>
      </c>
      <c r="F15" s="6"/>
    </row>
    <row r="16" spans="1:6" x14ac:dyDescent="0.3">
      <c r="A16" s="6"/>
      <c r="B16" s="6" t="s">
        <v>672</v>
      </c>
      <c r="C16" s="6">
        <v>-1</v>
      </c>
      <c r="D16" s="6"/>
      <c r="E16" s="6">
        <f>Table60[[#This Row],[Total Athletes]]-(LEN(Table60[[#This Row],[Pair]])-LEN(SUBSTITUTE(Table60[[#This Row],[Pair]],"/","")))-1</f>
        <v>-1</v>
      </c>
      <c r="F16" s="6"/>
    </row>
    <row r="17" spans="1:6" x14ac:dyDescent="0.3">
      <c r="A17" s="6" t="s">
        <v>1988</v>
      </c>
      <c r="B17" s="6" t="s">
        <v>332</v>
      </c>
      <c r="C17" s="6">
        <v>9</v>
      </c>
      <c r="D17" s="6"/>
      <c r="E17" s="6">
        <f>Table60[[#This Row],[Total Athletes]]-(LEN(Table60[[#This Row],[Pair]])-LEN(SUBSTITUTE(Table60[[#This Row],[Pair]],"/","")))-1</f>
        <v>0</v>
      </c>
      <c r="F17" s="6">
        <v>2</v>
      </c>
    </row>
    <row r="18" spans="1:6" x14ac:dyDescent="0.3">
      <c r="A18" s="6" t="s">
        <v>2495</v>
      </c>
      <c r="B18" s="6" t="s">
        <v>330</v>
      </c>
      <c r="C18" s="6">
        <v>5</v>
      </c>
      <c r="D18" s="6"/>
      <c r="E18" s="6">
        <f>Table60[[#This Row],[Total Athletes]]-(LEN(Table60[[#This Row],[Pair]])-LEN(SUBSTITUTE(Table60[[#This Row],[Pair]],"/","")))-1</f>
        <v>1</v>
      </c>
      <c r="F18" s="6">
        <v>2</v>
      </c>
    </row>
    <row r="19" spans="1:6" x14ac:dyDescent="0.3">
      <c r="A19" s="6" t="s">
        <v>2874</v>
      </c>
      <c r="B19" s="6" t="s">
        <v>356</v>
      </c>
      <c r="C19" s="6">
        <v>19</v>
      </c>
      <c r="D19" s="6"/>
      <c r="E19" s="6">
        <f>Table60[[#This Row],[Total Athletes]]-(LEN(Table60[[#This Row],[Pair]])-LEN(SUBSTITUTE(Table60[[#This Row],[Pair]],"/","")))-1</f>
        <v>1</v>
      </c>
      <c r="F19" s="6">
        <v>2</v>
      </c>
    </row>
    <row r="20" spans="1:6" x14ac:dyDescent="0.3">
      <c r="A20" s="6" t="s">
        <v>3650</v>
      </c>
      <c r="B20" s="6" t="s">
        <v>354</v>
      </c>
      <c r="C20" s="6">
        <v>17</v>
      </c>
      <c r="D20" s="6"/>
      <c r="E20" s="6">
        <f>Table60[[#This Row],[Total Athletes]]-(LEN(Table60[[#This Row],[Pair]])-LEN(SUBSTITUTE(Table60[[#This Row],[Pair]],"/","")))-1</f>
        <v>1</v>
      </c>
      <c r="F20" s="6">
        <v>2</v>
      </c>
    </row>
    <row r="21" spans="1:6" x14ac:dyDescent="0.3">
      <c r="A21" s="6" t="s">
        <v>4261</v>
      </c>
      <c r="B21" s="6" t="s">
        <v>470</v>
      </c>
      <c r="C21" s="6">
        <v>9</v>
      </c>
      <c r="D21" s="6"/>
      <c r="E21" s="6">
        <f>Table60[[#This Row],[Total Athletes]]-(LEN(Table60[[#This Row],[Pair]])-LEN(SUBSTITUTE(Table60[[#This Row],[Pair]],"/","")))-1</f>
        <v>1</v>
      </c>
      <c r="F21" s="6">
        <v>2</v>
      </c>
    </row>
    <row r="22" spans="1:6" x14ac:dyDescent="0.3">
      <c r="A22" s="6"/>
      <c r="B22" s="6" t="s">
        <v>358</v>
      </c>
      <c r="C22" s="6">
        <v>-1</v>
      </c>
      <c r="D22" s="6"/>
      <c r="E22" s="6">
        <f>Table60[[#This Row],[Total Athletes]]-(LEN(Table60[[#This Row],[Pair]])-LEN(SUBSTITUTE(Table60[[#This Row],[Pair]],"/","")))-1</f>
        <v>-1</v>
      </c>
      <c r="F22" s="6"/>
    </row>
    <row r="23" spans="1:6" x14ac:dyDescent="0.3">
      <c r="A23" s="6" t="s">
        <v>4708</v>
      </c>
      <c r="B23" s="6" t="s">
        <v>336</v>
      </c>
      <c r="C23" s="6"/>
      <c r="D23" s="6">
        <v>1</v>
      </c>
      <c r="E23" s="6">
        <f>Table60[[#This Row],[Total Athletes]]-(LEN(Table60[[#This Row],[Pair]])-LEN(SUBSTITUTE(Table60[[#This Row],[Pair]],"/","")))-1</f>
        <v>1</v>
      </c>
      <c r="F23" s="6">
        <v>2</v>
      </c>
    </row>
    <row r="24" spans="1:6" x14ac:dyDescent="0.3">
      <c r="A24" s="6" t="s">
        <v>1356</v>
      </c>
      <c r="B24" s="6" t="s">
        <v>332</v>
      </c>
      <c r="C24" s="6"/>
      <c r="D24" s="6">
        <v>9</v>
      </c>
      <c r="E24" s="6">
        <f>Table60[[#This Row],[Total Athletes]]-(LEN(Table60[[#This Row],[Pair]])-LEN(SUBSTITUTE(Table60[[#This Row],[Pair]],"/","")))-1</f>
        <v>1</v>
      </c>
      <c r="F24" s="6">
        <v>2</v>
      </c>
    </row>
    <row r="25" spans="1:6" x14ac:dyDescent="0.3">
      <c r="A25" s="6" t="s">
        <v>1390</v>
      </c>
      <c r="B25" s="6" t="s">
        <v>384</v>
      </c>
      <c r="C25" s="6"/>
      <c r="D25" s="6">
        <v>2</v>
      </c>
      <c r="E25" s="6">
        <f>Table60[[#This Row],[Total Athletes]]-(LEN(Table60[[#This Row],[Pair]])-LEN(SUBSTITUTE(Table60[[#This Row],[Pair]],"/","")))-1</f>
        <v>1</v>
      </c>
      <c r="F25" s="6">
        <v>2</v>
      </c>
    </row>
    <row r="26" spans="1:6" x14ac:dyDescent="0.3">
      <c r="A26" s="6"/>
      <c r="B26" s="6" t="s">
        <v>336</v>
      </c>
      <c r="C26" s="6"/>
      <c r="D26" s="6">
        <v>-1</v>
      </c>
      <c r="E26" s="6">
        <f>Table60[[#This Row],[Total Athletes]]-(LEN(Table60[[#This Row],[Pair]])-LEN(SUBSTITUTE(Table60[[#This Row],[Pair]],"/","")))-1</f>
        <v>-1</v>
      </c>
      <c r="F26" s="6"/>
    </row>
    <row r="27" spans="1:6" x14ac:dyDescent="0.3">
      <c r="A27" s="6"/>
      <c r="B27" s="6" t="s">
        <v>412</v>
      </c>
      <c r="C27" s="6"/>
      <c r="D27" s="6">
        <v>-1</v>
      </c>
      <c r="E27" s="6">
        <f>Table60[[#This Row],[Total Athletes]]-(LEN(Table60[[#This Row],[Pair]])-LEN(SUBSTITUTE(Table60[[#This Row],[Pair]],"/","")))-1</f>
        <v>-1</v>
      </c>
      <c r="F27" s="6"/>
    </row>
    <row r="28" spans="1:6" x14ac:dyDescent="0.3">
      <c r="A28" s="6"/>
      <c r="B28" s="6" t="s">
        <v>444</v>
      </c>
      <c r="C28" s="6"/>
      <c r="D28" s="6">
        <v>-1</v>
      </c>
      <c r="E28" s="6">
        <f>Table60[[#This Row],[Total Athletes]]-(LEN(Table60[[#This Row],[Pair]])-LEN(SUBSTITUTE(Table60[[#This Row],[Pair]],"/","")))-1</f>
        <v>-1</v>
      </c>
      <c r="F28" s="6"/>
    </row>
    <row r="29" spans="1:6" x14ac:dyDescent="0.3">
      <c r="A29" s="6" t="s">
        <v>3488</v>
      </c>
      <c r="B29" s="6" t="s">
        <v>614</v>
      </c>
      <c r="C29" s="6"/>
      <c r="D29" s="6">
        <v>5</v>
      </c>
      <c r="E29" s="6">
        <f>Table60[[#This Row],[Total Athletes]]-(LEN(Table60[[#This Row],[Pair]])-LEN(SUBSTITUTE(Table60[[#This Row],[Pair]],"/","")))-1</f>
        <v>1</v>
      </c>
      <c r="F29" s="6">
        <v>2</v>
      </c>
    </row>
    <row r="30" spans="1:6" x14ac:dyDescent="0.3">
      <c r="A30" s="6" t="s">
        <v>1776</v>
      </c>
      <c r="B30" s="6" t="s">
        <v>328</v>
      </c>
      <c r="C30" s="6"/>
      <c r="D30" s="6">
        <v>9</v>
      </c>
      <c r="E30" s="6">
        <f>Table60[[#This Row],[Total Athletes]]-(LEN(Table60[[#This Row],[Pair]])-LEN(SUBSTITUTE(Table60[[#This Row],[Pair]],"/","")))-1</f>
        <v>1</v>
      </c>
      <c r="F30" s="6">
        <v>2</v>
      </c>
    </row>
    <row r="31" spans="1:6" x14ac:dyDescent="0.3">
      <c r="A31" s="6" t="s">
        <v>1411</v>
      </c>
      <c r="B31" s="6" t="s">
        <v>356</v>
      </c>
      <c r="C31" s="6"/>
      <c r="D31" s="6">
        <v>9</v>
      </c>
      <c r="E31" s="6">
        <f>Table60[[#This Row],[Total Athletes]]-(LEN(Table60[[#This Row],[Pair]])-LEN(SUBSTITUTE(Table60[[#This Row],[Pair]],"/","")))-1</f>
        <v>1</v>
      </c>
      <c r="F31" s="6">
        <v>2</v>
      </c>
    </row>
    <row r="32" spans="1:6" x14ac:dyDescent="0.3">
      <c r="A32" s="6"/>
      <c r="B32" s="6" t="s">
        <v>334</v>
      </c>
      <c r="C32" s="6"/>
      <c r="D32" s="6">
        <v>-1</v>
      </c>
      <c r="E32" s="6">
        <f>Table60[[#This Row],[Total Athletes]]-(LEN(Table60[[#This Row],[Pair]])-LEN(SUBSTITUTE(Table60[[#This Row],[Pair]],"/","")))-1</f>
        <v>-1</v>
      </c>
      <c r="F32" s="6"/>
    </row>
    <row r="33" spans="1:6" x14ac:dyDescent="0.3">
      <c r="A33" s="6"/>
      <c r="B33" s="6" t="s">
        <v>354</v>
      </c>
      <c r="C33" s="6"/>
      <c r="D33" s="6">
        <v>-1</v>
      </c>
      <c r="E33" s="6">
        <f>Table60[[#This Row],[Total Athletes]]-(LEN(Table60[[#This Row],[Pair]])-LEN(SUBSTITUTE(Table60[[#This Row],[Pair]],"/","")))-1</f>
        <v>-1</v>
      </c>
      <c r="F33" s="6"/>
    </row>
    <row r="34" spans="1:6" x14ac:dyDescent="0.3">
      <c r="A34" s="6"/>
      <c r="B34" s="6" t="s">
        <v>444</v>
      </c>
      <c r="C34" s="6"/>
      <c r="D34" s="6">
        <v>-1</v>
      </c>
      <c r="E34" s="6">
        <f>Table60[[#This Row],[Total Athletes]]-(LEN(Table60[[#This Row],[Pair]])-LEN(SUBSTITUTE(Table60[[#This Row],[Pair]],"/","")))-1</f>
        <v>-1</v>
      </c>
      <c r="F34" s="6"/>
    </row>
    <row r="35" spans="1:6" x14ac:dyDescent="0.3">
      <c r="A35" s="6" t="s">
        <v>4008</v>
      </c>
      <c r="B35" s="6" t="s">
        <v>330</v>
      </c>
      <c r="C35" s="6"/>
      <c r="D35" s="6">
        <v>5</v>
      </c>
      <c r="E35" s="6">
        <f>Table60[[#This Row],[Total Athletes]]-(LEN(Table60[[#This Row],[Pair]])-LEN(SUBSTITUTE(Table60[[#This Row],[Pair]],"/","")))-1</f>
        <v>1</v>
      </c>
      <c r="F35" s="6">
        <v>2</v>
      </c>
    </row>
    <row r="36" spans="1:6" x14ac:dyDescent="0.3">
      <c r="A36" s="6"/>
      <c r="B36" s="6" t="s">
        <v>334</v>
      </c>
      <c r="C36" s="6"/>
      <c r="D36" s="6">
        <v>-1</v>
      </c>
      <c r="E36" s="6">
        <f>Table60[[#This Row],[Total Athletes]]-(LEN(Table60[[#This Row],[Pair]])-LEN(SUBSTITUTE(Table60[[#This Row],[Pair]],"/","")))-1</f>
        <v>-1</v>
      </c>
      <c r="F36" s="6"/>
    </row>
    <row r="37" spans="1:6" x14ac:dyDescent="0.3">
      <c r="A37" s="6" t="s">
        <v>2847</v>
      </c>
      <c r="B37" s="6" t="s">
        <v>344</v>
      </c>
      <c r="C37" s="6"/>
      <c r="D37" s="6">
        <v>17</v>
      </c>
      <c r="E37" s="6">
        <f>Table60[[#This Row],[Total Athletes]]-(LEN(Table60[[#This Row],[Pair]])-LEN(SUBSTITUTE(Table60[[#This Row],[Pair]],"/","")))-1</f>
        <v>0</v>
      </c>
      <c r="F37" s="6">
        <v>2</v>
      </c>
    </row>
    <row r="38" spans="1:6" x14ac:dyDescent="0.3">
      <c r="A38" s="6"/>
      <c r="B38" s="6" t="s">
        <v>620</v>
      </c>
      <c r="C38" s="6"/>
      <c r="D38" s="6">
        <v>-1</v>
      </c>
      <c r="E38" s="6">
        <f>Table60[[#This Row],[Total Athletes]]-(LEN(Table60[[#This Row],[Pair]])-LEN(SUBSTITUTE(Table60[[#This Row],[Pair]],"/","")))-1</f>
        <v>-1</v>
      </c>
      <c r="F38" s="6"/>
    </row>
    <row r="39" spans="1:6" x14ac:dyDescent="0.3">
      <c r="A39" s="6"/>
      <c r="B39" s="6" t="s">
        <v>330</v>
      </c>
      <c r="C39" s="6"/>
      <c r="D39" s="6">
        <v>-1</v>
      </c>
      <c r="E39" s="6">
        <f>Table60[[#This Row],[Total Athletes]]-(LEN(Table60[[#This Row],[Pair]])-LEN(SUBSTITUTE(Table60[[#This Row],[Pair]],"/","")))-1</f>
        <v>-1</v>
      </c>
      <c r="F39" s="6"/>
    </row>
    <row r="40" spans="1:6" x14ac:dyDescent="0.3">
      <c r="A40" s="6" t="s">
        <v>2702</v>
      </c>
      <c r="B40" s="6" t="s">
        <v>344</v>
      </c>
      <c r="C40" s="6">
        <v>19</v>
      </c>
      <c r="D40" s="6"/>
      <c r="E40" s="6">
        <f>Table60[[#This Row],[Total Athletes]]-(LEN(Table60[[#This Row],[Pair]])-LEN(SUBSTITUTE(Table60[[#This Row],[Pair]],"/","")))-1</f>
        <v>1</v>
      </c>
      <c r="F40" s="6">
        <v>2</v>
      </c>
    </row>
    <row r="41" spans="1:6" x14ac:dyDescent="0.3">
      <c r="A41" s="6" t="s">
        <v>2106</v>
      </c>
      <c r="B41" s="6" t="s">
        <v>442</v>
      </c>
      <c r="C41" s="6"/>
      <c r="D41" s="6">
        <v>17</v>
      </c>
      <c r="E41" s="6">
        <f>Table60[[#This Row],[Total Athletes]]-(LEN(Table60[[#This Row],[Pair]])-LEN(SUBSTITUTE(Table60[[#This Row],[Pair]],"/","")))-1</f>
        <v>1</v>
      </c>
      <c r="F41" s="6">
        <v>2</v>
      </c>
    </row>
    <row r="42" spans="1:6" x14ac:dyDescent="0.3">
      <c r="A42" s="6"/>
      <c r="B42" s="6" t="s">
        <v>668</v>
      </c>
      <c r="C42" s="6"/>
      <c r="D42" s="6">
        <v>-1</v>
      </c>
      <c r="E42" s="6">
        <f>Table60[[#This Row],[Total Athletes]]-(LEN(Table60[[#This Row],[Pair]])-LEN(SUBSTITUTE(Table60[[#This Row],[Pair]],"/","")))-1</f>
        <v>-1</v>
      </c>
      <c r="F42" s="6"/>
    </row>
    <row r="43" spans="1:6" x14ac:dyDescent="0.3">
      <c r="A43" s="6" t="s">
        <v>4581</v>
      </c>
      <c r="B43" s="6" t="s">
        <v>378</v>
      </c>
      <c r="C43" s="6">
        <v>19</v>
      </c>
      <c r="D43" s="6"/>
      <c r="E43" s="6">
        <f>Table60[[#This Row],[Total Athletes]]-(LEN(Table60[[#This Row],[Pair]])-LEN(SUBSTITUTE(Table60[[#This Row],[Pair]],"/","")))-1</f>
        <v>0</v>
      </c>
      <c r="F43" s="6">
        <v>2</v>
      </c>
    </row>
    <row r="44" spans="1:6" x14ac:dyDescent="0.3">
      <c r="A44" s="6" t="s">
        <v>4400</v>
      </c>
      <c r="B44" s="6" t="s">
        <v>326</v>
      </c>
      <c r="C44" s="6"/>
      <c r="D44" s="6">
        <v>19</v>
      </c>
      <c r="E44" s="6">
        <f>Table60[[#This Row],[Total Athletes]]-(LEN(Table60[[#This Row],[Pair]])-LEN(SUBSTITUTE(Table60[[#This Row],[Pair]],"/","")))-1</f>
        <v>0</v>
      </c>
      <c r="F44" s="6">
        <v>2</v>
      </c>
    </row>
    <row r="45" spans="1:6" x14ac:dyDescent="0.3">
      <c r="A45" s="6"/>
      <c r="B45" s="6" t="s">
        <v>384</v>
      </c>
      <c r="C45" s="6">
        <v>-1</v>
      </c>
      <c r="D45" s="6"/>
      <c r="E45" s="6">
        <f>Table60[[#This Row],[Total Athletes]]-(LEN(Table60[[#This Row],[Pair]])-LEN(SUBSTITUTE(Table60[[#This Row],[Pair]],"/","")))-1</f>
        <v>-1</v>
      </c>
      <c r="F45" s="6"/>
    </row>
    <row r="46" spans="1:6" x14ac:dyDescent="0.3">
      <c r="A46" s="6"/>
      <c r="B46" s="6" t="s">
        <v>384</v>
      </c>
      <c r="C46" s="6"/>
      <c r="D46" s="6">
        <v>-1</v>
      </c>
      <c r="E46" s="6">
        <f>Table60[[#This Row],[Total Athletes]]-(LEN(Table60[[#This Row],[Pair]])-LEN(SUBSTITUTE(Table60[[#This Row],[Pair]],"/","")))-1</f>
        <v>-1</v>
      </c>
      <c r="F46" s="6"/>
    </row>
    <row r="47" spans="1:6" x14ac:dyDescent="0.3">
      <c r="A47" s="6" t="s">
        <v>3947</v>
      </c>
      <c r="B47" s="6" t="s">
        <v>366</v>
      </c>
      <c r="C47" s="6">
        <v>9</v>
      </c>
      <c r="D47" s="6"/>
      <c r="E47" s="6">
        <f>Table60[[#This Row],[Total Athletes]]-(LEN(Table60[[#This Row],[Pair]])-LEN(SUBSTITUTE(Table60[[#This Row],[Pair]],"/","")))-1</f>
        <v>1</v>
      </c>
      <c r="F47" s="6">
        <v>2</v>
      </c>
    </row>
    <row r="48" spans="1:6" x14ac:dyDescent="0.3">
      <c r="A48" s="6" t="s">
        <v>2363</v>
      </c>
      <c r="B48" s="6" t="s">
        <v>354</v>
      </c>
      <c r="C48" s="6">
        <v>19</v>
      </c>
      <c r="D48" s="6"/>
      <c r="E48" s="6">
        <f>Table60[[#This Row],[Total Athletes]]-(LEN(Table60[[#This Row],[Pair]])-LEN(SUBSTITUTE(Table60[[#This Row],[Pair]],"/","")))-1</f>
        <v>1</v>
      </c>
      <c r="F48" s="6">
        <v>2</v>
      </c>
    </row>
    <row r="49" spans="1:6" x14ac:dyDescent="0.3">
      <c r="A49" s="6" t="s">
        <v>4043</v>
      </c>
      <c r="B49" s="6" t="s">
        <v>428</v>
      </c>
      <c r="C49" s="6"/>
      <c r="D49" s="6">
        <v>9</v>
      </c>
      <c r="E49" s="6">
        <f>Table60[[#This Row],[Total Athletes]]-(LEN(Table60[[#This Row],[Pair]])-LEN(SUBSTITUTE(Table60[[#This Row],[Pair]],"/","")))-1</f>
        <v>1</v>
      </c>
      <c r="F49" s="6">
        <v>2</v>
      </c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14C0C-4E68-4B00-B00F-562021FA04B8}">
  <dimension ref="A1:I126"/>
  <sheetViews>
    <sheetView topLeftCell="A118" workbookViewId="0">
      <selection activeCell="B127" sqref="B127"/>
    </sheetView>
  </sheetViews>
  <sheetFormatPr defaultRowHeight="14.4" x14ac:dyDescent="0.3"/>
  <cols>
    <col min="1" max="1" width="28.109375" bestFit="1" customWidth="1"/>
    <col min="2" max="2" width="18" bestFit="1" customWidth="1"/>
    <col min="3" max="4" width="18.6640625" bestFit="1" customWidth="1"/>
    <col min="5" max="5" width="20.33203125" bestFit="1" customWidth="1"/>
    <col min="6" max="8" width="18.6640625" bestFit="1" customWidth="1"/>
    <col min="9" max="9" width="22.6640625" bestFit="1" customWidth="1"/>
  </cols>
  <sheetData>
    <row r="1" spans="1:9" x14ac:dyDescent="0.3">
      <c r="A1" t="s">
        <v>832</v>
      </c>
      <c r="B1" t="s">
        <v>1</v>
      </c>
      <c r="C1" t="s">
        <v>880</v>
      </c>
      <c r="D1" t="s">
        <v>872</v>
      </c>
      <c r="E1" t="s">
        <v>881</v>
      </c>
      <c r="F1" t="s">
        <v>882</v>
      </c>
      <c r="G1" t="s">
        <v>883</v>
      </c>
      <c r="H1" t="s">
        <v>1215</v>
      </c>
      <c r="I1" t="s">
        <v>1214</v>
      </c>
    </row>
    <row r="2" spans="1:9" x14ac:dyDescent="0.3">
      <c r="A2" s="6"/>
      <c r="B2" s="6" t="s">
        <v>344</v>
      </c>
      <c r="C2" s="6">
        <v>-1</v>
      </c>
      <c r="D2" s="6"/>
      <c r="E2" s="6"/>
      <c r="F2" s="6"/>
      <c r="G2" s="6"/>
      <c r="H2" s="6"/>
      <c r="I2" s="6"/>
    </row>
    <row r="3" spans="1:9" x14ac:dyDescent="0.3">
      <c r="A3" s="6"/>
      <c r="B3" s="6" t="s">
        <v>718</v>
      </c>
      <c r="C3" s="6">
        <v>-1</v>
      </c>
      <c r="D3" s="6"/>
      <c r="E3" s="6"/>
      <c r="F3" s="6"/>
      <c r="G3" s="6"/>
      <c r="H3" s="6"/>
      <c r="I3" s="6"/>
    </row>
    <row r="4" spans="1:9" x14ac:dyDescent="0.3">
      <c r="A4" s="6"/>
      <c r="B4" s="6" t="s">
        <v>370</v>
      </c>
      <c r="C4" s="6"/>
      <c r="D4" s="6">
        <v>-1</v>
      </c>
      <c r="E4" s="6"/>
      <c r="F4" s="6"/>
      <c r="G4" s="6"/>
      <c r="H4" s="6"/>
      <c r="I4" s="6"/>
    </row>
    <row r="5" spans="1:9" x14ac:dyDescent="0.3">
      <c r="A5" s="6"/>
      <c r="B5" s="6" t="s">
        <v>338</v>
      </c>
      <c r="C5" s="6"/>
      <c r="D5" s="6">
        <v>-1</v>
      </c>
      <c r="E5" s="6"/>
      <c r="F5" s="6"/>
      <c r="G5" s="6"/>
      <c r="H5" s="6"/>
      <c r="I5" s="6"/>
    </row>
    <row r="6" spans="1:9" x14ac:dyDescent="0.3">
      <c r="A6" s="6" t="s">
        <v>1909</v>
      </c>
      <c r="B6" s="6" t="s">
        <v>520</v>
      </c>
      <c r="C6" s="6"/>
      <c r="D6" s="6">
        <v>9</v>
      </c>
      <c r="E6" s="6"/>
      <c r="F6" s="6"/>
      <c r="G6" s="6"/>
      <c r="H6" s="6"/>
      <c r="I6" s="6"/>
    </row>
    <row r="7" spans="1:9" x14ac:dyDescent="0.3">
      <c r="A7" s="6"/>
      <c r="B7" s="6" t="s">
        <v>330</v>
      </c>
      <c r="C7" s="6"/>
      <c r="D7" s="6">
        <v>-1</v>
      </c>
      <c r="E7" s="6"/>
      <c r="F7" s="6"/>
      <c r="G7" s="6"/>
      <c r="H7" s="6"/>
      <c r="I7" s="6"/>
    </row>
    <row r="8" spans="1:9" x14ac:dyDescent="0.3">
      <c r="A8" s="6"/>
      <c r="B8" s="6" t="s">
        <v>596</v>
      </c>
      <c r="C8" s="6"/>
      <c r="D8" s="6"/>
      <c r="E8" s="6">
        <v>-1</v>
      </c>
      <c r="F8" s="6"/>
      <c r="G8" s="6"/>
      <c r="H8" s="6"/>
      <c r="I8" s="6"/>
    </row>
    <row r="9" spans="1:9" x14ac:dyDescent="0.3">
      <c r="A9" s="6"/>
      <c r="B9" s="6" t="s">
        <v>344</v>
      </c>
      <c r="C9" s="6"/>
      <c r="D9" s="6"/>
      <c r="E9" s="6">
        <v>-1</v>
      </c>
      <c r="F9" s="6"/>
      <c r="G9" s="6"/>
      <c r="H9" s="6"/>
      <c r="I9" s="6"/>
    </row>
    <row r="10" spans="1:9" x14ac:dyDescent="0.3">
      <c r="A10" s="6"/>
      <c r="B10" s="6" t="s">
        <v>580</v>
      </c>
      <c r="C10" s="6"/>
      <c r="D10" s="6"/>
      <c r="E10" s="6">
        <v>-1</v>
      </c>
      <c r="F10" s="6"/>
      <c r="G10" s="6"/>
      <c r="H10" s="6"/>
      <c r="I10" s="6"/>
    </row>
    <row r="11" spans="1:9" x14ac:dyDescent="0.3">
      <c r="A11" s="6" t="s">
        <v>3873</v>
      </c>
      <c r="B11" s="6" t="s">
        <v>406</v>
      </c>
      <c r="C11" s="6"/>
      <c r="D11" s="6"/>
      <c r="E11" s="6">
        <v>5</v>
      </c>
      <c r="F11" s="6"/>
      <c r="G11" s="6"/>
      <c r="H11" s="6"/>
      <c r="I11" s="6"/>
    </row>
    <row r="12" spans="1:9" x14ac:dyDescent="0.3">
      <c r="A12" s="6"/>
      <c r="B12" s="6" t="s">
        <v>344</v>
      </c>
      <c r="C12" s="6"/>
      <c r="D12" s="6"/>
      <c r="E12" s="6"/>
      <c r="F12" s="6">
        <v>-1</v>
      </c>
      <c r="G12" s="6"/>
      <c r="H12" s="6"/>
      <c r="I12" s="6"/>
    </row>
    <row r="13" spans="1:9" x14ac:dyDescent="0.3">
      <c r="A13" s="6" t="s">
        <v>2227</v>
      </c>
      <c r="B13" s="6" t="s">
        <v>414</v>
      </c>
      <c r="C13" s="6"/>
      <c r="D13" s="6"/>
      <c r="E13" s="6"/>
      <c r="F13" s="6">
        <v>5</v>
      </c>
      <c r="G13" s="6"/>
      <c r="H13" s="6"/>
      <c r="I13" s="6"/>
    </row>
    <row r="14" spans="1:9" x14ac:dyDescent="0.3">
      <c r="A14" s="6"/>
      <c r="B14" s="6" t="s">
        <v>718</v>
      </c>
      <c r="C14" s="6"/>
      <c r="D14" s="6"/>
      <c r="E14" s="6"/>
      <c r="F14" s="6">
        <v>-1</v>
      </c>
      <c r="G14" s="6"/>
      <c r="H14" s="6"/>
      <c r="I14" s="6"/>
    </row>
    <row r="15" spans="1:9" x14ac:dyDescent="0.3">
      <c r="A15" s="6" t="s">
        <v>3455</v>
      </c>
      <c r="B15" s="6" t="s">
        <v>690</v>
      </c>
      <c r="C15" s="6"/>
      <c r="D15" s="6"/>
      <c r="E15" s="6"/>
      <c r="F15" s="6">
        <v>9</v>
      </c>
      <c r="G15" s="6"/>
      <c r="H15" s="6"/>
      <c r="I15" s="6"/>
    </row>
    <row r="16" spans="1:9" x14ac:dyDescent="0.3">
      <c r="A16" s="6" t="s">
        <v>1935</v>
      </c>
      <c r="B16" s="6" t="s">
        <v>356</v>
      </c>
      <c r="C16" s="6"/>
      <c r="D16" s="6"/>
      <c r="E16" s="6"/>
      <c r="F16" s="6"/>
      <c r="G16" s="6">
        <v>17</v>
      </c>
      <c r="H16" s="6"/>
      <c r="I16" s="6"/>
    </row>
    <row r="17" spans="1:9" x14ac:dyDescent="0.3">
      <c r="A17" s="6"/>
      <c r="B17" s="6" t="s">
        <v>726</v>
      </c>
      <c r="C17" s="6"/>
      <c r="D17" s="6"/>
      <c r="E17" s="6"/>
      <c r="F17" s="6"/>
      <c r="G17" s="6">
        <v>-1</v>
      </c>
      <c r="H17" s="6"/>
      <c r="I17" s="6"/>
    </row>
    <row r="18" spans="1:9" x14ac:dyDescent="0.3">
      <c r="A18" s="6" t="s">
        <v>4371</v>
      </c>
      <c r="B18" s="6" t="s">
        <v>450</v>
      </c>
      <c r="C18" s="6"/>
      <c r="D18" s="6"/>
      <c r="E18" s="6"/>
      <c r="F18" s="6"/>
      <c r="G18" s="6">
        <v>5</v>
      </c>
      <c r="H18" s="6"/>
      <c r="I18" s="6"/>
    </row>
    <row r="19" spans="1:9" x14ac:dyDescent="0.3">
      <c r="A19" s="6"/>
      <c r="B19" s="6" t="s">
        <v>456</v>
      </c>
      <c r="C19" s="6"/>
      <c r="D19" s="6"/>
      <c r="E19" s="6"/>
      <c r="F19" s="6"/>
      <c r="G19" s="6">
        <v>-1</v>
      </c>
      <c r="H19" s="6"/>
      <c r="I19" s="6"/>
    </row>
    <row r="20" spans="1:9" x14ac:dyDescent="0.3">
      <c r="A20" s="6" t="s">
        <v>1634</v>
      </c>
      <c r="B20" s="6" t="s">
        <v>596</v>
      </c>
      <c r="C20" s="6"/>
      <c r="D20" s="6"/>
      <c r="E20" s="6"/>
      <c r="F20" s="6"/>
      <c r="G20" s="6"/>
      <c r="H20" s="6">
        <v>5</v>
      </c>
      <c r="I20" s="6"/>
    </row>
    <row r="21" spans="1:9" x14ac:dyDescent="0.3">
      <c r="A21" s="6"/>
      <c r="B21" s="6" t="s">
        <v>356</v>
      </c>
      <c r="C21" s="6"/>
      <c r="D21" s="6"/>
      <c r="E21" s="6"/>
      <c r="F21" s="6"/>
      <c r="G21" s="6"/>
      <c r="H21" s="6">
        <v>-1</v>
      </c>
      <c r="I21" s="6"/>
    </row>
    <row r="22" spans="1:9" x14ac:dyDescent="0.3">
      <c r="A22" s="6"/>
      <c r="B22" s="6" t="s">
        <v>456</v>
      </c>
      <c r="C22" s="6"/>
      <c r="D22" s="6"/>
      <c r="E22" s="6"/>
      <c r="F22" s="6"/>
      <c r="G22" s="6"/>
      <c r="H22" s="6"/>
      <c r="I22" s="6">
        <v>-1</v>
      </c>
    </row>
    <row r="23" spans="1:9" x14ac:dyDescent="0.3">
      <c r="A23" s="6"/>
      <c r="B23" s="6" t="s">
        <v>402</v>
      </c>
      <c r="C23" s="6"/>
      <c r="D23" s="6"/>
      <c r="E23" s="6"/>
      <c r="F23" s="6"/>
      <c r="G23" s="6"/>
      <c r="H23" s="6"/>
      <c r="I23" s="6">
        <v>-1</v>
      </c>
    </row>
    <row r="24" spans="1:9" x14ac:dyDescent="0.3">
      <c r="A24" s="6" t="s">
        <v>4933</v>
      </c>
      <c r="B24" s="6" t="s">
        <v>736</v>
      </c>
      <c r="C24" s="6">
        <v>5</v>
      </c>
      <c r="D24" s="6"/>
      <c r="E24" s="6"/>
      <c r="F24" s="6"/>
      <c r="G24" s="6"/>
      <c r="H24" s="6"/>
      <c r="I24" s="6"/>
    </row>
    <row r="25" spans="1:9" x14ac:dyDescent="0.3">
      <c r="A25" s="6"/>
      <c r="B25" s="6" t="s">
        <v>440</v>
      </c>
      <c r="C25" s="6"/>
      <c r="D25" s="6">
        <v>-1</v>
      </c>
      <c r="E25" s="6"/>
      <c r="F25" s="6"/>
      <c r="G25" s="6"/>
      <c r="H25" s="6"/>
      <c r="I25" s="6"/>
    </row>
    <row r="26" spans="1:9" x14ac:dyDescent="0.3">
      <c r="A26" s="6" t="s">
        <v>4761</v>
      </c>
      <c r="B26" s="6" t="s">
        <v>380</v>
      </c>
      <c r="C26" s="6"/>
      <c r="D26" s="6"/>
      <c r="E26" s="6">
        <v>9</v>
      </c>
      <c r="F26" s="6"/>
      <c r="G26" s="6"/>
      <c r="H26" s="6"/>
      <c r="I26" s="6"/>
    </row>
    <row r="27" spans="1:9" x14ac:dyDescent="0.3">
      <c r="A27" s="6" t="s">
        <v>3036</v>
      </c>
      <c r="B27" s="6" t="s">
        <v>326</v>
      </c>
      <c r="C27" s="6"/>
      <c r="D27" s="6"/>
      <c r="E27" s="6"/>
      <c r="F27" s="6">
        <v>9</v>
      </c>
      <c r="G27" s="6"/>
      <c r="H27" s="6"/>
      <c r="I27" s="6"/>
    </row>
    <row r="28" spans="1:9" x14ac:dyDescent="0.3">
      <c r="A28" s="6"/>
      <c r="B28" s="6" t="s">
        <v>326</v>
      </c>
      <c r="C28" s="6"/>
      <c r="D28" s="6"/>
      <c r="E28" s="6"/>
      <c r="F28" s="6"/>
      <c r="G28" s="6">
        <v>-1</v>
      </c>
      <c r="H28" s="6"/>
      <c r="I28" s="6"/>
    </row>
    <row r="29" spans="1:9" x14ac:dyDescent="0.3">
      <c r="A29" s="6"/>
      <c r="B29" s="6" t="s">
        <v>440</v>
      </c>
      <c r="C29" s="6"/>
      <c r="D29" s="6"/>
      <c r="E29" s="6"/>
      <c r="F29" s="6"/>
      <c r="G29" s="6"/>
      <c r="H29" s="6">
        <v>-1</v>
      </c>
      <c r="I29" s="6"/>
    </row>
    <row r="30" spans="1:9" x14ac:dyDescent="0.3">
      <c r="A30" s="6" t="s">
        <v>3137</v>
      </c>
      <c r="B30" s="6" t="s">
        <v>380</v>
      </c>
      <c r="C30" s="6"/>
      <c r="D30" s="6"/>
      <c r="E30" s="6"/>
      <c r="F30" s="6"/>
      <c r="G30" s="6"/>
      <c r="H30" s="6"/>
      <c r="I30" s="6">
        <v>9</v>
      </c>
    </row>
    <row r="31" spans="1:9" x14ac:dyDescent="0.3">
      <c r="A31" s="6"/>
      <c r="B31" s="6" t="s">
        <v>478</v>
      </c>
      <c r="C31" s="6">
        <v>-1</v>
      </c>
      <c r="D31" s="6"/>
      <c r="E31" s="6"/>
      <c r="F31" s="6"/>
      <c r="G31" s="6"/>
      <c r="H31" s="6"/>
      <c r="I31" s="6"/>
    </row>
    <row r="32" spans="1:9" x14ac:dyDescent="0.3">
      <c r="A32" s="6"/>
      <c r="B32" s="6" t="s">
        <v>482</v>
      </c>
      <c r="C32" s="6">
        <v>-1</v>
      </c>
      <c r="D32" s="6"/>
      <c r="E32" s="6"/>
      <c r="F32" s="6"/>
      <c r="G32" s="6"/>
      <c r="H32" s="6"/>
      <c r="I32" s="6"/>
    </row>
    <row r="33" spans="1:9" x14ac:dyDescent="0.3">
      <c r="A33" s="6"/>
      <c r="B33" s="6" t="s">
        <v>482</v>
      </c>
      <c r="C33" s="6"/>
      <c r="D33" s="6">
        <v>-1</v>
      </c>
      <c r="E33" s="6"/>
      <c r="F33" s="6"/>
      <c r="G33" s="6"/>
      <c r="H33" s="6"/>
      <c r="I33" s="6"/>
    </row>
    <row r="34" spans="1:9" x14ac:dyDescent="0.3">
      <c r="A34" s="6"/>
      <c r="B34" s="6" t="s">
        <v>428</v>
      </c>
      <c r="C34" s="6"/>
      <c r="D34" s="6">
        <v>-1</v>
      </c>
      <c r="E34" s="6"/>
      <c r="F34" s="6"/>
      <c r="G34" s="6"/>
      <c r="H34" s="6"/>
      <c r="I34" s="6"/>
    </row>
    <row r="35" spans="1:9" x14ac:dyDescent="0.3">
      <c r="A35" s="6" t="s">
        <v>2893</v>
      </c>
      <c r="B35" s="6" t="s">
        <v>368</v>
      </c>
      <c r="C35" s="6"/>
      <c r="D35" s="6"/>
      <c r="E35" s="6">
        <v>9</v>
      </c>
      <c r="F35" s="6"/>
      <c r="G35" s="6"/>
      <c r="H35" s="6"/>
      <c r="I35" s="6"/>
    </row>
    <row r="36" spans="1:9" x14ac:dyDescent="0.3">
      <c r="A36" s="6"/>
      <c r="B36" s="6" t="s">
        <v>478</v>
      </c>
      <c r="C36" s="6"/>
      <c r="D36" s="6"/>
      <c r="E36" s="6">
        <v>-1</v>
      </c>
      <c r="F36" s="6"/>
      <c r="G36" s="6"/>
      <c r="H36" s="6"/>
      <c r="I36" s="6"/>
    </row>
    <row r="37" spans="1:9" x14ac:dyDescent="0.3">
      <c r="A37" s="6"/>
      <c r="B37" s="6" t="s">
        <v>368</v>
      </c>
      <c r="C37" s="6"/>
      <c r="D37" s="6"/>
      <c r="E37" s="6"/>
      <c r="F37" s="6">
        <v>-1</v>
      </c>
      <c r="G37" s="6"/>
      <c r="H37" s="6"/>
      <c r="I37" s="6"/>
    </row>
    <row r="38" spans="1:9" x14ac:dyDescent="0.3">
      <c r="A38" s="6" t="s">
        <v>1931</v>
      </c>
      <c r="B38" s="6" t="s">
        <v>428</v>
      </c>
      <c r="C38" s="6"/>
      <c r="D38" s="6"/>
      <c r="E38" s="6"/>
      <c r="F38" s="6">
        <v>9</v>
      </c>
      <c r="G38" s="6"/>
      <c r="H38" s="6"/>
      <c r="I38" s="6"/>
    </row>
    <row r="39" spans="1:9" x14ac:dyDescent="0.3">
      <c r="A39" s="6" t="s">
        <v>1774</v>
      </c>
      <c r="B39" s="6" t="s">
        <v>328</v>
      </c>
      <c r="C39" s="6"/>
      <c r="D39" s="6"/>
      <c r="E39" s="6"/>
      <c r="F39" s="6"/>
      <c r="G39" s="6">
        <v>9</v>
      </c>
      <c r="H39" s="6"/>
      <c r="I39" s="6"/>
    </row>
    <row r="40" spans="1:9" x14ac:dyDescent="0.3">
      <c r="A40" s="6"/>
      <c r="B40" s="6" t="s">
        <v>670</v>
      </c>
      <c r="C40" s="6"/>
      <c r="D40" s="6"/>
      <c r="E40" s="6"/>
      <c r="F40" s="6"/>
      <c r="G40" s="6">
        <v>-1</v>
      </c>
      <c r="H40" s="6"/>
      <c r="I40" s="6"/>
    </row>
    <row r="41" spans="1:9" x14ac:dyDescent="0.3">
      <c r="A41" s="6" t="s">
        <v>2722</v>
      </c>
      <c r="B41" s="6" t="s">
        <v>328</v>
      </c>
      <c r="C41" s="6"/>
      <c r="D41" s="6"/>
      <c r="E41" s="6"/>
      <c r="F41" s="6"/>
      <c r="G41" s="6"/>
      <c r="H41" s="6">
        <v>9</v>
      </c>
      <c r="I41" s="6"/>
    </row>
    <row r="42" spans="1:9" x14ac:dyDescent="0.3">
      <c r="A42" s="6"/>
      <c r="B42" s="6" t="s">
        <v>710</v>
      </c>
      <c r="C42" s="6"/>
      <c r="D42" s="6"/>
      <c r="E42" s="6"/>
      <c r="F42" s="6"/>
      <c r="G42" s="6"/>
      <c r="H42" s="6">
        <v>-1</v>
      </c>
      <c r="I42" s="6"/>
    </row>
    <row r="43" spans="1:9" x14ac:dyDescent="0.3">
      <c r="A43" s="6"/>
      <c r="B43" s="6" t="s">
        <v>604</v>
      </c>
      <c r="C43" s="6"/>
      <c r="D43" s="6"/>
      <c r="E43" s="6"/>
      <c r="F43" s="6"/>
      <c r="G43" s="6"/>
      <c r="H43" s="6"/>
      <c r="I43" s="6">
        <v>-1</v>
      </c>
    </row>
    <row r="44" spans="1:9" x14ac:dyDescent="0.3">
      <c r="A44" s="6"/>
      <c r="B44" s="6" t="s">
        <v>482</v>
      </c>
      <c r="C44" s="6"/>
      <c r="D44" s="6"/>
      <c r="E44" s="6"/>
      <c r="F44" s="6"/>
      <c r="G44" s="6"/>
      <c r="H44" s="6"/>
      <c r="I44" s="6">
        <v>-1</v>
      </c>
    </row>
    <row r="45" spans="1:9" x14ac:dyDescent="0.3">
      <c r="A45" s="6"/>
      <c r="B45" s="6" t="s">
        <v>374</v>
      </c>
      <c r="C45" s="6">
        <v>-1</v>
      </c>
      <c r="D45" s="6"/>
      <c r="E45" s="6"/>
      <c r="F45" s="6"/>
      <c r="G45" s="6"/>
      <c r="H45" s="6"/>
      <c r="I45" s="6"/>
    </row>
    <row r="46" spans="1:9" x14ac:dyDescent="0.3">
      <c r="A46" s="6" t="s">
        <v>4235</v>
      </c>
      <c r="B46" s="6" t="s">
        <v>336</v>
      </c>
      <c r="C46" s="6">
        <v>9</v>
      </c>
      <c r="D46" s="6"/>
      <c r="E46" s="6"/>
      <c r="F46" s="6"/>
      <c r="G46" s="6"/>
      <c r="H46" s="6"/>
      <c r="I46" s="6"/>
    </row>
    <row r="47" spans="1:9" x14ac:dyDescent="0.3">
      <c r="A47" s="6" t="s">
        <v>3022</v>
      </c>
      <c r="B47" s="6" t="s">
        <v>332</v>
      </c>
      <c r="C47" s="6"/>
      <c r="D47" s="6">
        <v>5</v>
      </c>
      <c r="E47" s="6"/>
      <c r="F47" s="6"/>
      <c r="G47" s="6"/>
      <c r="H47" s="6"/>
      <c r="I47" s="6"/>
    </row>
    <row r="48" spans="1:9" x14ac:dyDescent="0.3">
      <c r="A48" s="6"/>
      <c r="B48" s="6" t="s">
        <v>470</v>
      </c>
      <c r="C48" s="6"/>
      <c r="D48" s="6">
        <v>-1</v>
      </c>
      <c r="E48" s="6"/>
      <c r="F48" s="6"/>
      <c r="G48" s="6"/>
      <c r="H48" s="6"/>
      <c r="I48" s="6"/>
    </row>
    <row r="49" spans="1:9" x14ac:dyDescent="0.3">
      <c r="A49" s="6"/>
      <c r="B49" s="6" t="s">
        <v>384</v>
      </c>
      <c r="C49" s="6"/>
      <c r="D49" s="6"/>
      <c r="E49" s="6">
        <v>-1</v>
      </c>
      <c r="F49" s="6"/>
      <c r="G49" s="6"/>
      <c r="H49" s="6"/>
      <c r="I49" s="6"/>
    </row>
    <row r="50" spans="1:9" x14ac:dyDescent="0.3">
      <c r="A50" s="6"/>
      <c r="B50" s="6" t="s">
        <v>350</v>
      </c>
      <c r="C50" s="6"/>
      <c r="D50" s="6"/>
      <c r="E50" s="6">
        <v>-1</v>
      </c>
      <c r="F50" s="6"/>
      <c r="G50" s="6"/>
      <c r="H50" s="6"/>
      <c r="I50" s="6"/>
    </row>
    <row r="51" spans="1:9" x14ac:dyDescent="0.3">
      <c r="A51" s="6"/>
      <c r="B51" s="6" t="s">
        <v>350</v>
      </c>
      <c r="C51" s="6"/>
      <c r="D51" s="6"/>
      <c r="E51" s="6"/>
      <c r="F51" s="6">
        <v>-1</v>
      </c>
      <c r="G51" s="6"/>
      <c r="H51" s="6"/>
      <c r="I51" s="6"/>
    </row>
    <row r="52" spans="1:9" x14ac:dyDescent="0.3">
      <c r="A52" s="6"/>
      <c r="B52" s="6" t="s">
        <v>400</v>
      </c>
      <c r="C52" s="6"/>
      <c r="D52" s="6"/>
      <c r="E52" s="6"/>
      <c r="F52" s="6">
        <v>-1</v>
      </c>
      <c r="G52" s="6"/>
      <c r="H52" s="6"/>
      <c r="I52" s="6"/>
    </row>
    <row r="53" spans="1:9" x14ac:dyDescent="0.3">
      <c r="A53" s="6"/>
      <c r="B53" s="6" t="s">
        <v>470</v>
      </c>
      <c r="C53" s="6"/>
      <c r="D53" s="6"/>
      <c r="E53" s="6"/>
      <c r="F53" s="6"/>
      <c r="G53" s="6">
        <v>-1</v>
      </c>
      <c r="H53" s="6"/>
      <c r="I53" s="6"/>
    </row>
    <row r="54" spans="1:9" x14ac:dyDescent="0.3">
      <c r="A54" s="6" t="s">
        <v>2819</v>
      </c>
      <c r="B54" s="6" t="s">
        <v>336</v>
      </c>
      <c r="C54" s="6"/>
      <c r="D54" s="6"/>
      <c r="E54" s="6"/>
      <c r="F54" s="6"/>
      <c r="G54" s="6">
        <v>5</v>
      </c>
      <c r="H54" s="6"/>
      <c r="I54" s="6"/>
    </row>
    <row r="55" spans="1:9" x14ac:dyDescent="0.3">
      <c r="A55" s="6" t="s">
        <v>2817</v>
      </c>
      <c r="B55" s="6" t="s">
        <v>336</v>
      </c>
      <c r="C55" s="6"/>
      <c r="D55" s="6"/>
      <c r="E55" s="6"/>
      <c r="F55" s="6"/>
      <c r="G55" s="6"/>
      <c r="H55" s="6">
        <v>5</v>
      </c>
      <c r="I55" s="6"/>
    </row>
    <row r="56" spans="1:9" x14ac:dyDescent="0.3">
      <c r="A56" s="6"/>
      <c r="B56" s="6" t="s">
        <v>470</v>
      </c>
      <c r="C56" s="6"/>
      <c r="D56" s="6"/>
      <c r="E56" s="6"/>
      <c r="F56" s="6"/>
      <c r="G56" s="6"/>
      <c r="H56" s="6">
        <v>-1</v>
      </c>
      <c r="I56" s="6"/>
    </row>
    <row r="57" spans="1:9" x14ac:dyDescent="0.3">
      <c r="A57" s="6" t="s">
        <v>3112</v>
      </c>
      <c r="B57" s="6" t="s">
        <v>336</v>
      </c>
      <c r="C57" s="6"/>
      <c r="D57" s="6"/>
      <c r="E57" s="6"/>
      <c r="F57" s="6"/>
      <c r="G57" s="6"/>
      <c r="H57" s="6"/>
      <c r="I57" s="6">
        <v>3</v>
      </c>
    </row>
    <row r="58" spans="1:9" x14ac:dyDescent="0.3">
      <c r="A58" s="6"/>
      <c r="B58" s="6" t="s">
        <v>332</v>
      </c>
      <c r="C58" s="6"/>
      <c r="D58" s="6"/>
      <c r="E58" s="6"/>
      <c r="F58" s="6"/>
      <c r="G58" s="6"/>
      <c r="H58" s="6"/>
      <c r="I58" s="6">
        <v>-1</v>
      </c>
    </row>
    <row r="59" spans="1:9" x14ac:dyDescent="0.3">
      <c r="A59" s="6"/>
      <c r="B59" s="6" t="s">
        <v>354</v>
      </c>
      <c r="C59" s="6">
        <v>-1</v>
      </c>
      <c r="D59" s="6"/>
      <c r="E59" s="6"/>
      <c r="F59" s="6"/>
      <c r="G59" s="6"/>
      <c r="H59" s="6"/>
      <c r="I59" s="6"/>
    </row>
    <row r="60" spans="1:9" x14ac:dyDescent="0.3">
      <c r="A60" s="6" t="s">
        <v>3213</v>
      </c>
      <c r="B60" s="6" t="s">
        <v>354</v>
      </c>
      <c r="C60" s="6"/>
      <c r="D60" s="6">
        <v>3</v>
      </c>
      <c r="E60" s="6"/>
      <c r="F60" s="6"/>
      <c r="G60" s="6"/>
      <c r="H60" s="6"/>
      <c r="I60" s="6"/>
    </row>
    <row r="61" spans="1:9" x14ac:dyDescent="0.3">
      <c r="A61" s="6"/>
      <c r="B61" s="6" t="s">
        <v>354</v>
      </c>
      <c r="C61" s="6"/>
      <c r="D61" s="6"/>
      <c r="E61" s="6">
        <v>-1</v>
      </c>
      <c r="F61" s="6"/>
      <c r="G61" s="6"/>
      <c r="H61" s="6"/>
      <c r="I61" s="6"/>
    </row>
    <row r="62" spans="1:9" x14ac:dyDescent="0.3">
      <c r="A62" s="6" t="s">
        <v>2370</v>
      </c>
      <c r="B62" s="6" t="s">
        <v>354</v>
      </c>
      <c r="C62" s="6"/>
      <c r="D62" s="6"/>
      <c r="E62" s="6"/>
      <c r="F62" s="6">
        <v>9</v>
      </c>
      <c r="G62" s="6"/>
      <c r="H62" s="6"/>
      <c r="I62" s="6"/>
    </row>
    <row r="63" spans="1:9" x14ac:dyDescent="0.3">
      <c r="A63" s="6" t="s">
        <v>3648</v>
      </c>
      <c r="B63" s="6" t="s">
        <v>354</v>
      </c>
      <c r="C63" s="6"/>
      <c r="D63" s="6"/>
      <c r="E63" s="6"/>
      <c r="F63" s="6"/>
      <c r="G63" s="6">
        <v>9</v>
      </c>
      <c r="H63" s="6"/>
      <c r="I63" s="6"/>
    </row>
    <row r="64" spans="1:9" x14ac:dyDescent="0.3">
      <c r="A64" s="6" t="s">
        <v>2436</v>
      </c>
      <c r="B64" s="6" t="s">
        <v>682</v>
      </c>
      <c r="C64" s="6"/>
      <c r="D64" s="6"/>
      <c r="E64" s="6"/>
      <c r="F64" s="6"/>
      <c r="G64" s="6"/>
      <c r="H64" s="6">
        <v>9</v>
      </c>
      <c r="I64" s="6"/>
    </row>
    <row r="65" spans="1:9" x14ac:dyDescent="0.3">
      <c r="A65" s="6" t="s">
        <v>2458</v>
      </c>
      <c r="B65" s="6" t="s">
        <v>354</v>
      </c>
      <c r="C65" s="6"/>
      <c r="D65" s="6"/>
      <c r="E65" s="6"/>
      <c r="F65" s="6"/>
      <c r="G65" s="6"/>
      <c r="H65" s="6"/>
      <c r="I65" s="6">
        <v>5</v>
      </c>
    </row>
    <row r="66" spans="1:9" x14ac:dyDescent="0.3">
      <c r="A66" s="6"/>
      <c r="B66" s="6" t="s">
        <v>470</v>
      </c>
      <c r="C66" s="6">
        <v>-1</v>
      </c>
      <c r="D66" s="6"/>
      <c r="E66" s="6"/>
      <c r="F66" s="6"/>
      <c r="G66" s="6"/>
      <c r="H66" s="6"/>
      <c r="I66" s="6"/>
    </row>
    <row r="67" spans="1:9" x14ac:dyDescent="0.3">
      <c r="A67" s="6"/>
      <c r="B67" s="6" t="s">
        <v>456</v>
      </c>
      <c r="C67" s="6">
        <v>-1</v>
      </c>
      <c r="D67" s="6"/>
      <c r="E67" s="6"/>
      <c r="F67" s="6"/>
      <c r="G67" s="6"/>
      <c r="H67" s="6"/>
      <c r="I67" s="6"/>
    </row>
    <row r="68" spans="1:9" x14ac:dyDescent="0.3">
      <c r="A68" s="6"/>
      <c r="B68" s="6" t="s">
        <v>398</v>
      </c>
      <c r="C68" s="6">
        <v>-1</v>
      </c>
      <c r="D68" s="6"/>
      <c r="E68" s="6"/>
      <c r="F68" s="6"/>
      <c r="G68" s="6"/>
      <c r="H68" s="6"/>
      <c r="I68" s="6"/>
    </row>
    <row r="69" spans="1:9" x14ac:dyDescent="0.3">
      <c r="A69" s="6"/>
      <c r="B69" s="6" t="s">
        <v>604</v>
      </c>
      <c r="C69" s="6">
        <v>-1</v>
      </c>
      <c r="D69" s="6"/>
      <c r="E69" s="6"/>
      <c r="F69" s="6"/>
      <c r="G69" s="6"/>
      <c r="H69" s="6"/>
      <c r="I69" s="6"/>
    </row>
    <row r="70" spans="1:9" x14ac:dyDescent="0.3">
      <c r="A70" s="6" t="s">
        <v>1322</v>
      </c>
      <c r="B70" s="6" t="s">
        <v>604</v>
      </c>
      <c r="C70" s="6"/>
      <c r="D70" s="6">
        <v>9</v>
      </c>
      <c r="E70" s="6"/>
      <c r="F70" s="6"/>
      <c r="G70" s="6"/>
      <c r="H70" s="6"/>
      <c r="I70" s="6"/>
    </row>
    <row r="71" spans="1:9" x14ac:dyDescent="0.3">
      <c r="A71" s="6" t="s">
        <v>3229</v>
      </c>
      <c r="B71" s="6" t="s">
        <v>362</v>
      </c>
      <c r="C71" s="6"/>
      <c r="D71" s="6">
        <v>9</v>
      </c>
      <c r="E71" s="6"/>
      <c r="F71" s="6"/>
      <c r="G71" s="6"/>
      <c r="H71" s="6"/>
      <c r="I71" s="6"/>
    </row>
    <row r="72" spans="1:9" x14ac:dyDescent="0.3">
      <c r="A72" s="6"/>
      <c r="B72" s="6" t="s">
        <v>596</v>
      </c>
      <c r="C72" s="6"/>
      <c r="D72" s="6">
        <v>-1</v>
      </c>
      <c r="E72" s="6"/>
      <c r="F72" s="6"/>
      <c r="G72" s="6"/>
      <c r="H72" s="6"/>
      <c r="I72" s="6"/>
    </row>
    <row r="73" spans="1:9" x14ac:dyDescent="0.3">
      <c r="A73" s="6" t="s">
        <v>3085</v>
      </c>
      <c r="B73" s="6" t="s">
        <v>336</v>
      </c>
      <c r="C73" s="6"/>
      <c r="D73" s="6">
        <v>9</v>
      </c>
      <c r="E73" s="6"/>
      <c r="F73" s="6"/>
      <c r="G73" s="6"/>
      <c r="H73" s="6"/>
      <c r="I73" s="6"/>
    </row>
    <row r="74" spans="1:9" x14ac:dyDescent="0.3">
      <c r="A74" s="6"/>
      <c r="B74" s="6" t="s">
        <v>352</v>
      </c>
      <c r="C74" s="6"/>
      <c r="D74" s="6"/>
      <c r="E74" s="6">
        <v>-1</v>
      </c>
      <c r="F74" s="6"/>
      <c r="G74" s="6"/>
      <c r="H74" s="6"/>
      <c r="I74" s="6"/>
    </row>
    <row r="75" spans="1:9" x14ac:dyDescent="0.3">
      <c r="A75" s="6" t="s">
        <v>3803</v>
      </c>
      <c r="B75" s="6" t="s">
        <v>602</v>
      </c>
      <c r="C75" s="6"/>
      <c r="D75" s="6"/>
      <c r="E75" s="6">
        <v>9</v>
      </c>
      <c r="F75" s="6"/>
      <c r="G75" s="6"/>
      <c r="H75" s="6"/>
      <c r="I75" s="6"/>
    </row>
    <row r="76" spans="1:9" x14ac:dyDescent="0.3">
      <c r="A76" s="6"/>
      <c r="B76" s="6" t="s">
        <v>482</v>
      </c>
      <c r="C76" s="6"/>
      <c r="D76" s="6"/>
      <c r="E76" s="6">
        <v>-1</v>
      </c>
      <c r="F76" s="6"/>
      <c r="G76" s="6"/>
      <c r="H76" s="6"/>
      <c r="I76" s="6"/>
    </row>
    <row r="77" spans="1:9" x14ac:dyDescent="0.3">
      <c r="A77" s="6"/>
      <c r="B77" s="6" t="s">
        <v>710</v>
      </c>
      <c r="C77" s="6"/>
      <c r="D77" s="6"/>
      <c r="E77" s="6">
        <v>-1</v>
      </c>
      <c r="F77" s="6"/>
      <c r="G77" s="6"/>
      <c r="H77" s="6"/>
      <c r="I77" s="6"/>
    </row>
    <row r="78" spans="1:9" x14ac:dyDescent="0.3">
      <c r="A78" s="6"/>
      <c r="B78" s="6" t="s">
        <v>370</v>
      </c>
      <c r="C78" s="6"/>
      <c r="D78" s="6"/>
      <c r="E78" s="6"/>
      <c r="F78" s="6">
        <v>-1</v>
      </c>
      <c r="G78" s="6"/>
      <c r="H78" s="6"/>
      <c r="I78" s="6"/>
    </row>
    <row r="79" spans="1:9" x14ac:dyDescent="0.3">
      <c r="A79" s="6"/>
      <c r="B79" s="6" t="s">
        <v>482</v>
      </c>
      <c r="C79" s="6"/>
      <c r="D79" s="6"/>
      <c r="E79" s="6"/>
      <c r="F79" s="6">
        <v>-1</v>
      </c>
      <c r="G79" s="6"/>
      <c r="H79" s="6"/>
      <c r="I79" s="6"/>
    </row>
    <row r="80" spans="1:9" x14ac:dyDescent="0.3">
      <c r="A80" s="6"/>
      <c r="B80" s="6" t="s">
        <v>604</v>
      </c>
      <c r="C80" s="6"/>
      <c r="D80" s="6"/>
      <c r="E80" s="6"/>
      <c r="F80" s="6">
        <v>-1</v>
      </c>
      <c r="G80" s="6"/>
      <c r="H80" s="6"/>
      <c r="I80" s="6"/>
    </row>
    <row r="81" spans="1:9" x14ac:dyDescent="0.3">
      <c r="A81" s="6" t="s">
        <v>1842</v>
      </c>
      <c r="B81" s="6" t="s">
        <v>332</v>
      </c>
      <c r="C81" s="6"/>
      <c r="D81" s="6"/>
      <c r="E81" s="6"/>
      <c r="F81" s="6">
        <v>3</v>
      </c>
      <c r="G81" s="6"/>
      <c r="H81" s="6"/>
      <c r="I81" s="6"/>
    </row>
    <row r="82" spans="1:9" x14ac:dyDescent="0.3">
      <c r="A82" s="6" t="s">
        <v>4106</v>
      </c>
      <c r="B82" s="6" t="s">
        <v>604</v>
      </c>
      <c r="C82" s="6"/>
      <c r="D82" s="6"/>
      <c r="E82" s="6"/>
      <c r="F82" s="6"/>
      <c r="G82" s="6">
        <v>2</v>
      </c>
      <c r="H82" s="6"/>
      <c r="I82" s="6"/>
    </row>
    <row r="83" spans="1:9" x14ac:dyDescent="0.3">
      <c r="A83" s="6"/>
      <c r="B83" s="6" t="s">
        <v>718</v>
      </c>
      <c r="C83" s="6"/>
      <c r="D83" s="6"/>
      <c r="E83" s="6"/>
      <c r="F83" s="6"/>
      <c r="G83" s="6">
        <v>-1</v>
      </c>
      <c r="H83" s="6"/>
      <c r="I83" s="6"/>
    </row>
    <row r="84" spans="1:9" x14ac:dyDescent="0.3">
      <c r="A84" s="6"/>
      <c r="B84" s="6" t="s">
        <v>482</v>
      </c>
      <c r="C84" s="6"/>
      <c r="D84" s="6"/>
      <c r="E84" s="6"/>
      <c r="F84" s="6"/>
      <c r="G84" s="6">
        <v>-1</v>
      </c>
      <c r="H84" s="6"/>
      <c r="I84" s="6"/>
    </row>
    <row r="85" spans="1:9" x14ac:dyDescent="0.3">
      <c r="A85" s="6"/>
      <c r="B85" s="6" t="s">
        <v>406</v>
      </c>
      <c r="C85" s="6"/>
      <c r="D85" s="6"/>
      <c r="E85" s="6"/>
      <c r="F85" s="6"/>
      <c r="G85" s="6">
        <v>-1</v>
      </c>
      <c r="H85" s="6"/>
      <c r="I85" s="6"/>
    </row>
    <row r="86" spans="1:9" x14ac:dyDescent="0.3">
      <c r="A86" s="6"/>
      <c r="B86" s="6" t="s">
        <v>482</v>
      </c>
      <c r="C86" s="6"/>
      <c r="D86" s="6"/>
      <c r="E86" s="6"/>
      <c r="F86" s="6"/>
      <c r="G86" s="6"/>
      <c r="H86" s="6">
        <v>-1</v>
      </c>
      <c r="I86" s="6"/>
    </row>
    <row r="87" spans="1:9" x14ac:dyDescent="0.3">
      <c r="A87" s="6" t="s">
        <v>1705</v>
      </c>
      <c r="B87" s="6" t="s">
        <v>330</v>
      </c>
      <c r="C87" s="6"/>
      <c r="D87" s="6"/>
      <c r="E87" s="6"/>
      <c r="F87" s="6"/>
      <c r="G87" s="6"/>
      <c r="H87" s="6">
        <v>3</v>
      </c>
      <c r="I87" s="6"/>
    </row>
    <row r="88" spans="1:9" x14ac:dyDescent="0.3">
      <c r="A88" s="6" t="s">
        <v>4105</v>
      </c>
      <c r="B88" s="6" t="s">
        <v>604</v>
      </c>
      <c r="C88" s="6"/>
      <c r="D88" s="6"/>
      <c r="E88" s="6"/>
      <c r="F88" s="6"/>
      <c r="G88" s="6"/>
      <c r="H88" s="6">
        <v>5</v>
      </c>
      <c r="I88" s="6"/>
    </row>
    <row r="89" spans="1:9" x14ac:dyDescent="0.3">
      <c r="A89" s="6"/>
      <c r="B89" s="6" t="s">
        <v>402</v>
      </c>
      <c r="C89" s="6"/>
      <c r="D89" s="6"/>
      <c r="E89" s="6"/>
      <c r="F89" s="6"/>
      <c r="G89" s="6"/>
      <c r="H89" s="6">
        <v>-1</v>
      </c>
      <c r="I89" s="6"/>
    </row>
    <row r="90" spans="1:9" x14ac:dyDescent="0.3">
      <c r="A90" s="6"/>
      <c r="B90" s="6" t="s">
        <v>356</v>
      </c>
      <c r="C90" s="6"/>
      <c r="D90" s="6"/>
      <c r="E90" s="6"/>
      <c r="F90" s="6"/>
      <c r="G90" s="6"/>
      <c r="H90" s="6"/>
      <c r="I90" s="6">
        <v>-1</v>
      </c>
    </row>
    <row r="91" spans="1:9" x14ac:dyDescent="0.3">
      <c r="A91" s="6"/>
      <c r="B91" s="6" t="s">
        <v>334</v>
      </c>
      <c r="C91" s="6"/>
      <c r="D91" s="6"/>
      <c r="E91" s="6"/>
      <c r="F91" s="6"/>
      <c r="G91" s="6"/>
      <c r="H91" s="6"/>
      <c r="I91" s="6">
        <v>-1</v>
      </c>
    </row>
    <row r="92" spans="1:9" x14ac:dyDescent="0.3">
      <c r="A92" s="6"/>
      <c r="B92" s="6" t="s">
        <v>364</v>
      </c>
      <c r="C92" s="6"/>
      <c r="D92" s="6"/>
      <c r="E92" s="6"/>
      <c r="F92" s="6"/>
      <c r="G92" s="6"/>
      <c r="H92" s="6"/>
      <c r="I92" s="6">
        <v>-1</v>
      </c>
    </row>
    <row r="93" spans="1:9" x14ac:dyDescent="0.3">
      <c r="A93" s="6" t="s">
        <v>2829</v>
      </c>
      <c r="B93" s="6" t="s">
        <v>344</v>
      </c>
      <c r="C93" s="6"/>
      <c r="D93" s="6"/>
      <c r="E93" s="6"/>
      <c r="F93" s="6"/>
      <c r="G93" s="6"/>
      <c r="H93" s="6"/>
      <c r="I93" s="6">
        <v>3</v>
      </c>
    </row>
    <row r="94" spans="1:9" x14ac:dyDescent="0.3">
      <c r="A94" s="6"/>
      <c r="B94" s="6" t="s">
        <v>330</v>
      </c>
      <c r="C94" s="6">
        <v>-1</v>
      </c>
      <c r="D94" s="6"/>
      <c r="E94" s="6"/>
      <c r="F94" s="6"/>
      <c r="G94" s="6"/>
      <c r="H94" s="6"/>
      <c r="I94" s="6"/>
    </row>
    <row r="95" spans="1:9" x14ac:dyDescent="0.3">
      <c r="A95" s="6"/>
      <c r="B95" s="6" t="s">
        <v>332</v>
      </c>
      <c r="C95" s="6">
        <v>-1</v>
      </c>
      <c r="D95" s="6"/>
      <c r="E95" s="6"/>
      <c r="F95" s="6"/>
      <c r="G95" s="6"/>
      <c r="H95" s="6"/>
      <c r="I95" s="6"/>
    </row>
    <row r="96" spans="1:9" x14ac:dyDescent="0.3">
      <c r="A96" s="6"/>
      <c r="B96" s="6" t="s">
        <v>468</v>
      </c>
      <c r="C96" s="6">
        <v>-1</v>
      </c>
      <c r="D96" s="6"/>
      <c r="E96" s="6"/>
      <c r="F96" s="6"/>
      <c r="G96" s="6"/>
      <c r="H96" s="6"/>
      <c r="I96" s="6"/>
    </row>
    <row r="97" spans="1:9" x14ac:dyDescent="0.3">
      <c r="A97" s="6"/>
      <c r="B97" s="6" t="s">
        <v>448</v>
      </c>
      <c r="C97" s="6">
        <v>-1</v>
      </c>
      <c r="D97" s="6"/>
      <c r="E97" s="6"/>
      <c r="F97" s="6"/>
      <c r="G97" s="6"/>
      <c r="H97" s="6"/>
      <c r="I97" s="6"/>
    </row>
    <row r="98" spans="1:9" x14ac:dyDescent="0.3">
      <c r="A98" s="6"/>
      <c r="B98" s="6" t="s">
        <v>726</v>
      </c>
      <c r="C98" s="6"/>
      <c r="D98" s="6">
        <v>-1</v>
      </c>
      <c r="E98" s="6"/>
      <c r="F98" s="6"/>
      <c r="G98" s="6"/>
      <c r="H98" s="6"/>
      <c r="I98" s="6"/>
    </row>
    <row r="99" spans="1:9" x14ac:dyDescent="0.3">
      <c r="A99" s="6"/>
      <c r="B99" s="6" t="s">
        <v>670</v>
      </c>
      <c r="C99" s="6"/>
      <c r="D99" s="6">
        <v>-1</v>
      </c>
      <c r="E99" s="6"/>
      <c r="F99" s="6"/>
      <c r="G99" s="6"/>
      <c r="H99" s="6"/>
      <c r="I99" s="6"/>
    </row>
    <row r="100" spans="1:9" x14ac:dyDescent="0.3">
      <c r="A100" s="6"/>
      <c r="B100" s="6" t="s">
        <v>610</v>
      </c>
      <c r="C100" s="6"/>
      <c r="D100" s="6">
        <v>-1</v>
      </c>
      <c r="E100" s="6"/>
      <c r="F100" s="6"/>
      <c r="G100" s="6"/>
      <c r="H100" s="6"/>
      <c r="I100" s="6"/>
    </row>
    <row r="101" spans="1:9" x14ac:dyDescent="0.3">
      <c r="A101" s="6"/>
      <c r="B101" s="6" t="s">
        <v>370</v>
      </c>
      <c r="C101" s="6"/>
      <c r="D101" s="6"/>
      <c r="E101" s="6">
        <v>-1</v>
      </c>
      <c r="F101" s="6"/>
      <c r="G101" s="6"/>
      <c r="H101" s="6"/>
      <c r="I101" s="6"/>
    </row>
    <row r="102" spans="1:9" x14ac:dyDescent="0.3">
      <c r="A102" s="6"/>
      <c r="B102" s="6" t="s">
        <v>330</v>
      </c>
      <c r="C102" s="6"/>
      <c r="D102" s="6"/>
      <c r="E102" s="6">
        <v>-1</v>
      </c>
      <c r="F102" s="6"/>
      <c r="G102" s="6"/>
      <c r="H102" s="6"/>
      <c r="I102" s="6"/>
    </row>
    <row r="103" spans="1:9" x14ac:dyDescent="0.3">
      <c r="A103" s="6"/>
      <c r="B103" s="6" t="s">
        <v>470</v>
      </c>
      <c r="C103" s="6"/>
      <c r="D103" s="6"/>
      <c r="E103" s="6">
        <v>-1</v>
      </c>
      <c r="F103" s="6"/>
      <c r="G103" s="6"/>
      <c r="H103" s="6"/>
      <c r="I103" s="6"/>
    </row>
    <row r="104" spans="1:9" x14ac:dyDescent="0.3">
      <c r="A104" s="6"/>
      <c r="B104" s="6" t="s">
        <v>456</v>
      </c>
      <c r="C104" s="6"/>
      <c r="D104" s="6"/>
      <c r="E104" s="6">
        <v>-1</v>
      </c>
      <c r="F104" s="6"/>
      <c r="G104" s="6"/>
      <c r="H104" s="6"/>
      <c r="I104" s="6"/>
    </row>
    <row r="105" spans="1:9" x14ac:dyDescent="0.3">
      <c r="A105" s="6"/>
      <c r="B105" s="6" t="s">
        <v>604</v>
      </c>
      <c r="C105" s="6"/>
      <c r="D105" s="6"/>
      <c r="E105" s="6">
        <v>-1</v>
      </c>
      <c r="F105" s="6"/>
      <c r="G105" s="6"/>
      <c r="H105" s="6"/>
      <c r="I105" s="6"/>
    </row>
    <row r="106" spans="1:9" x14ac:dyDescent="0.3">
      <c r="A106" s="6"/>
      <c r="B106" s="6" t="s">
        <v>448</v>
      </c>
      <c r="C106" s="6"/>
      <c r="D106" s="6"/>
      <c r="E106" s="6"/>
      <c r="F106" s="6">
        <v>-1</v>
      </c>
      <c r="G106" s="6"/>
      <c r="H106" s="6"/>
      <c r="I106" s="6"/>
    </row>
    <row r="107" spans="1:9" x14ac:dyDescent="0.3">
      <c r="A107" s="6" t="s">
        <v>2919</v>
      </c>
      <c r="B107" s="6" t="s">
        <v>402</v>
      </c>
      <c r="C107" s="6"/>
      <c r="D107" s="6"/>
      <c r="E107" s="6"/>
      <c r="F107" s="6">
        <v>3</v>
      </c>
      <c r="G107" s="6"/>
      <c r="H107" s="6"/>
      <c r="I107" s="6"/>
    </row>
    <row r="108" spans="1:9" x14ac:dyDescent="0.3">
      <c r="A108" s="6" t="s">
        <v>3802</v>
      </c>
      <c r="B108" s="6" t="s">
        <v>602</v>
      </c>
      <c r="C108" s="6"/>
      <c r="D108" s="6"/>
      <c r="E108" s="6"/>
      <c r="F108" s="6">
        <v>5</v>
      </c>
      <c r="G108" s="6"/>
      <c r="H108" s="6"/>
      <c r="I108" s="6"/>
    </row>
    <row r="109" spans="1:9" x14ac:dyDescent="0.3">
      <c r="A109" s="6"/>
      <c r="B109" s="6" t="s">
        <v>394</v>
      </c>
      <c r="C109" s="6"/>
      <c r="D109" s="6"/>
      <c r="E109" s="6"/>
      <c r="F109" s="6">
        <v>-1</v>
      </c>
      <c r="G109" s="6"/>
      <c r="H109" s="6"/>
      <c r="I109" s="6"/>
    </row>
    <row r="110" spans="1:9" x14ac:dyDescent="0.3">
      <c r="A110" s="6"/>
      <c r="B110" s="6" t="s">
        <v>596</v>
      </c>
      <c r="C110" s="6"/>
      <c r="D110" s="6"/>
      <c r="E110" s="6"/>
      <c r="F110" s="6">
        <v>-1</v>
      </c>
      <c r="G110" s="6"/>
      <c r="H110" s="6"/>
      <c r="I110" s="6"/>
    </row>
    <row r="111" spans="1:9" x14ac:dyDescent="0.3">
      <c r="A111" s="6" t="s">
        <v>3721</v>
      </c>
      <c r="B111" s="6" t="s">
        <v>374</v>
      </c>
      <c r="C111" s="6"/>
      <c r="D111" s="6"/>
      <c r="E111" s="6"/>
      <c r="F111" s="6"/>
      <c r="G111" s="6">
        <v>3</v>
      </c>
      <c r="H111" s="6"/>
      <c r="I111" s="6"/>
    </row>
    <row r="112" spans="1:9" x14ac:dyDescent="0.3">
      <c r="A112" s="6"/>
      <c r="B112" s="6" t="s">
        <v>478</v>
      </c>
      <c r="C112" s="6"/>
      <c r="D112" s="6"/>
      <c r="E112" s="6"/>
      <c r="F112" s="6"/>
      <c r="G112" s="6">
        <v>-1</v>
      </c>
      <c r="H112" s="6"/>
      <c r="I112" s="6"/>
    </row>
    <row r="113" spans="1:9" x14ac:dyDescent="0.3">
      <c r="A113" s="6"/>
      <c r="B113" s="6" t="s">
        <v>602</v>
      </c>
      <c r="C113" s="6"/>
      <c r="D113" s="6"/>
      <c r="E113" s="6"/>
      <c r="F113" s="6"/>
      <c r="G113" s="6">
        <v>-1</v>
      </c>
      <c r="H113" s="6"/>
      <c r="I113" s="6"/>
    </row>
    <row r="114" spans="1:9" x14ac:dyDescent="0.3">
      <c r="A114" s="6"/>
      <c r="B114" s="6" t="s">
        <v>520</v>
      </c>
      <c r="C114" s="6"/>
      <c r="D114" s="6"/>
      <c r="E114" s="6"/>
      <c r="F114" s="6"/>
      <c r="G114" s="6"/>
      <c r="H114" s="6">
        <v>-1</v>
      </c>
      <c r="I114" s="6"/>
    </row>
    <row r="115" spans="1:9" x14ac:dyDescent="0.3">
      <c r="A115" s="6" t="s">
        <v>3675</v>
      </c>
      <c r="B115" s="6" t="s">
        <v>394</v>
      </c>
      <c r="C115" s="6"/>
      <c r="D115" s="6"/>
      <c r="E115" s="6"/>
      <c r="F115" s="6"/>
      <c r="G115" s="6"/>
      <c r="H115" s="6">
        <v>9</v>
      </c>
      <c r="I115" s="6"/>
    </row>
    <row r="116" spans="1:9" x14ac:dyDescent="0.3">
      <c r="A116" s="6" t="s">
        <v>1688</v>
      </c>
      <c r="B116" s="6" t="s">
        <v>456</v>
      </c>
      <c r="C116" s="6"/>
      <c r="D116" s="6"/>
      <c r="E116" s="6"/>
      <c r="F116" s="6"/>
      <c r="G116" s="6"/>
      <c r="H116" s="6">
        <v>2</v>
      </c>
      <c r="I116" s="6"/>
    </row>
    <row r="117" spans="1:9" x14ac:dyDescent="0.3">
      <c r="A117" s="6" t="s">
        <v>1948</v>
      </c>
      <c r="B117" s="6" t="s">
        <v>580</v>
      </c>
      <c r="C117" s="6"/>
      <c r="D117" s="6"/>
      <c r="E117" s="6"/>
      <c r="F117" s="6"/>
      <c r="G117" s="6"/>
      <c r="H117" s="6">
        <v>9</v>
      </c>
      <c r="I117" s="6"/>
    </row>
    <row r="118" spans="1:9" x14ac:dyDescent="0.3">
      <c r="A118" s="6"/>
      <c r="B118" s="6" t="s">
        <v>400</v>
      </c>
      <c r="C118" s="6"/>
      <c r="D118" s="6"/>
      <c r="E118" s="6"/>
      <c r="F118" s="6"/>
      <c r="G118" s="6"/>
      <c r="H118" s="6"/>
      <c r="I118" s="6">
        <v>-1</v>
      </c>
    </row>
    <row r="119" spans="1:9" x14ac:dyDescent="0.3">
      <c r="A119" s="6" t="s">
        <v>3409</v>
      </c>
      <c r="B119" s="6" t="s">
        <v>506</v>
      </c>
      <c r="C119" s="6"/>
      <c r="D119" s="6"/>
      <c r="E119" s="6"/>
      <c r="F119" s="6"/>
      <c r="G119" s="6"/>
      <c r="H119" s="6"/>
      <c r="I119" s="6">
        <v>5</v>
      </c>
    </row>
    <row r="120" spans="1:9" x14ac:dyDescent="0.3">
      <c r="A120" s="6"/>
      <c r="B120" s="6" t="s">
        <v>330</v>
      </c>
      <c r="C120" s="6"/>
      <c r="D120" s="6"/>
      <c r="E120" s="6"/>
      <c r="F120" s="6"/>
      <c r="G120" s="6"/>
      <c r="H120" s="6"/>
      <c r="I120" s="6">
        <v>-1</v>
      </c>
    </row>
    <row r="121" spans="1:9" x14ac:dyDescent="0.3">
      <c r="A121" s="6"/>
      <c r="B121" s="6" t="s">
        <v>726</v>
      </c>
      <c r="C121" s="6"/>
      <c r="D121" s="6"/>
      <c r="E121" s="6"/>
      <c r="F121" s="6"/>
      <c r="G121" s="6"/>
      <c r="H121" s="6"/>
      <c r="I121" s="6">
        <v>-1</v>
      </c>
    </row>
    <row r="122" spans="1:9" x14ac:dyDescent="0.3">
      <c r="A122" s="6"/>
      <c r="B122" s="6" t="s">
        <v>466</v>
      </c>
      <c r="C122" s="6"/>
      <c r="D122" s="6">
        <v>-1</v>
      </c>
      <c r="E122" s="6"/>
      <c r="F122" s="6"/>
      <c r="G122" s="6"/>
      <c r="H122" s="6"/>
      <c r="I122" s="6"/>
    </row>
    <row r="123" spans="1:9" x14ac:dyDescent="0.3">
      <c r="A123" s="6" t="s">
        <v>3610</v>
      </c>
      <c r="B123" s="6" t="s">
        <v>666</v>
      </c>
      <c r="C123" s="6"/>
      <c r="D123" s="6"/>
      <c r="E123" s="6">
        <v>17</v>
      </c>
      <c r="F123" s="6"/>
      <c r="G123" s="6"/>
      <c r="H123" s="6"/>
      <c r="I123" s="6"/>
    </row>
    <row r="124" spans="1:9" x14ac:dyDescent="0.3">
      <c r="A124" s="6" t="s">
        <v>1413</v>
      </c>
      <c r="B124" s="6" t="s">
        <v>646</v>
      </c>
      <c r="C124" s="6"/>
      <c r="D124" s="6"/>
      <c r="E124" s="6"/>
      <c r="F124" s="6">
        <v>9</v>
      </c>
      <c r="G124" s="6"/>
      <c r="H124" s="6"/>
      <c r="I124" s="6"/>
    </row>
    <row r="125" spans="1:9" x14ac:dyDescent="0.3">
      <c r="A125" s="6"/>
      <c r="B125" s="6" t="s">
        <v>588</v>
      </c>
      <c r="C125" s="6"/>
      <c r="D125" s="6"/>
      <c r="E125" s="6"/>
      <c r="F125" s="6"/>
      <c r="G125" s="6">
        <v>-1</v>
      </c>
      <c r="H125" s="6"/>
      <c r="I125" s="6"/>
    </row>
    <row r="126" spans="1:9" x14ac:dyDescent="0.3">
      <c r="A126" s="6"/>
      <c r="B126" s="6" t="s">
        <v>386</v>
      </c>
      <c r="C126" s="6">
        <v>-1</v>
      </c>
      <c r="D126" s="6"/>
      <c r="E126" s="6"/>
      <c r="F126" s="6"/>
      <c r="G126" s="6"/>
      <c r="H126" s="6"/>
      <c r="I126" s="6"/>
    </row>
  </sheetData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E7EB3-F849-4D14-926E-11D9C094E7B8}">
  <dimension ref="A1:H125"/>
  <sheetViews>
    <sheetView topLeftCell="A121" workbookViewId="0">
      <selection activeCell="B126" sqref="B126"/>
    </sheetView>
  </sheetViews>
  <sheetFormatPr defaultRowHeight="14.4" x14ac:dyDescent="0.3"/>
  <cols>
    <col min="1" max="1" width="25.77734375" bestFit="1" customWidth="1"/>
    <col min="2" max="2" width="17.88671875" bestFit="1" customWidth="1"/>
    <col min="3" max="8" width="18.6640625" bestFit="1" customWidth="1"/>
  </cols>
  <sheetData>
    <row r="1" spans="1:8" x14ac:dyDescent="0.3">
      <c r="A1" t="s">
        <v>832</v>
      </c>
      <c r="B1" t="s">
        <v>1</v>
      </c>
      <c r="C1" t="s">
        <v>1001</v>
      </c>
      <c r="D1" t="s">
        <v>1002</v>
      </c>
      <c r="E1" t="s">
        <v>872</v>
      </c>
      <c r="F1" t="s">
        <v>912</v>
      </c>
      <c r="G1" t="s">
        <v>913</v>
      </c>
      <c r="H1" t="s">
        <v>1003</v>
      </c>
    </row>
    <row r="2" spans="1:8" x14ac:dyDescent="0.3">
      <c r="A2" s="6"/>
      <c r="B2" s="6" t="s">
        <v>718</v>
      </c>
      <c r="C2" s="6">
        <v>-1</v>
      </c>
      <c r="D2" s="6"/>
      <c r="E2" s="6"/>
      <c r="F2" s="6"/>
      <c r="G2" s="6"/>
      <c r="H2" s="6"/>
    </row>
    <row r="3" spans="1:8" x14ac:dyDescent="0.3">
      <c r="A3" s="6"/>
      <c r="B3" s="6" t="s">
        <v>356</v>
      </c>
      <c r="C3" s="6">
        <v>-1</v>
      </c>
      <c r="D3" s="6"/>
      <c r="E3" s="6"/>
      <c r="F3" s="6"/>
      <c r="G3" s="6"/>
      <c r="H3" s="6"/>
    </row>
    <row r="4" spans="1:8" x14ac:dyDescent="0.3">
      <c r="A4" s="6"/>
      <c r="B4" s="6" t="s">
        <v>330</v>
      </c>
      <c r="C4" s="6">
        <v>-1</v>
      </c>
      <c r="D4" s="6"/>
      <c r="E4" s="6"/>
      <c r="F4" s="6"/>
      <c r="G4" s="6"/>
      <c r="H4" s="6"/>
    </row>
    <row r="5" spans="1:8" x14ac:dyDescent="0.3">
      <c r="A5" s="6"/>
      <c r="B5" s="6" t="s">
        <v>344</v>
      </c>
      <c r="C5" s="6">
        <v>-1</v>
      </c>
      <c r="D5" s="6"/>
      <c r="E5" s="6"/>
      <c r="F5" s="6"/>
      <c r="G5" s="6"/>
      <c r="H5" s="6"/>
    </row>
    <row r="6" spans="1:8" x14ac:dyDescent="0.3">
      <c r="A6" s="6" t="s">
        <v>4950</v>
      </c>
      <c r="B6" s="6" t="s">
        <v>402</v>
      </c>
      <c r="C6" s="6"/>
      <c r="D6" s="6">
        <v>17</v>
      </c>
      <c r="E6" s="6"/>
      <c r="F6" s="6"/>
      <c r="G6" s="6"/>
      <c r="H6" s="6"/>
    </row>
    <row r="7" spans="1:8" x14ac:dyDescent="0.3">
      <c r="A7" s="6"/>
      <c r="B7" s="6" t="s">
        <v>370</v>
      </c>
      <c r="C7" s="6"/>
      <c r="D7" s="6">
        <v>-1</v>
      </c>
      <c r="E7" s="6"/>
      <c r="F7" s="6"/>
      <c r="G7" s="6"/>
      <c r="H7" s="6"/>
    </row>
    <row r="8" spans="1:8" x14ac:dyDescent="0.3">
      <c r="A8" s="6"/>
      <c r="B8" s="6" t="s">
        <v>348</v>
      </c>
      <c r="C8" s="6"/>
      <c r="D8" s="6">
        <v>-1</v>
      </c>
      <c r="E8" s="6"/>
      <c r="F8" s="6"/>
      <c r="G8" s="6"/>
      <c r="H8" s="6"/>
    </row>
    <row r="9" spans="1:8" x14ac:dyDescent="0.3">
      <c r="A9" s="6"/>
      <c r="B9" s="6" t="s">
        <v>718</v>
      </c>
      <c r="C9" s="6"/>
      <c r="D9" s="6">
        <v>-1</v>
      </c>
      <c r="E9" s="6"/>
      <c r="F9" s="6"/>
      <c r="G9" s="6"/>
      <c r="H9" s="6"/>
    </row>
    <row r="10" spans="1:8" x14ac:dyDescent="0.3">
      <c r="A10" s="6"/>
      <c r="B10" s="6" t="s">
        <v>370</v>
      </c>
      <c r="C10" s="6"/>
      <c r="D10" s="6"/>
      <c r="E10" s="6">
        <v>-1</v>
      </c>
      <c r="F10" s="6"/>
      <c r="G10" s="6"/>
      <c r="H10" s="6"/>
    </row>
    <row r="11" spans="1:8" x14ac:dyDescent="0.3">
      <c r="A11" s="6"/>
      <c r="B11" s="6" t="s">
        <v>356</v>
      </c>
      <c r="C11" s="6"/>
      <c r="D11" s="6"/>
      <c r="E11" s="6">
        <v>-1</v>
      </c>
      <c r="F11" s="6"/>
      <c r="G11" s="6"/>
      <c r="H11" s="6"/>
    </row>
    <row r="12" spans="1:8" x14ac:dyDescent="0.3">
      <c r="A12" s="6"/>
      <c r="B12" s="6" t="s">
        <v>596</v>
      </c>
      <c r="C12" s="6"/>
      <c r="D12" s="6"/>
      <c r="E12" s="6">
        <v>-1</v>
      </c>
      <c r="F12" s="6"/>
      <c r="G12" s="6"/>
      <c r="H12" s="6"/>
    </row>
    <row r="13" spans="1:8" x14ac:dyDescent="0.3">
      <c r="A13" s="6" t="s">
        <v>2337</v>
      </c>
      <c r="B13" s="6" t="s">
        <v>344</v>
      </c>
      <c r="C13" s="6"/>
      <c r="D13" s="6"/>
      <c r="E13" s="6">
        <v>9</v>
      </c>
      <c r="F13" s="6"/>
      <c r="G13" s="6"/>
      <c r="H13" s="6"/>
    </row>
    <row r="14" spans="1:8" x14ac:dyDescent="0.3">
      <c r="A14" s="6" t="s">
        <v>1630</v>
      </c>
      <c r="B14" s="6" t="s">
        <v>596</v>
      </c>
      <c r="C14" s="6"/>
      <c r="D14" s="6"/>
      <c r="E14" s="6"/>
      <c r="F14" s="6">
        <v>1</v>
      </c>
      <c r="G14" s="6"/>
      <c r="H14" s="6"/>
    </row>
    <row r="15" spans="1:8" x14ac:dyDescent="0.3">
      <c r="A15" s="6"/>
      <c r="B15" s="6" t="s">
        <v>344</v>
      </c>
      <c r="C15" s="6"/>
      <c r="D15" s="6"/>
      <c r="E15" s="6"/>
      <c r="F15" s="6">
        <v>-1</v>
      </c>
      <c r="G15" s="6"/>
      <c r="H15" s="6"/>
    </row>
    <row r="16" spans="1:8" x14ac:dyDescent="0.3">
      <c r="A16" s="6"/>
      <c r="B16" s="6" t="s">
        <v>718</v>
      </c>
      <c r="C16" s="6"/>
      <c r="D16" s="6"/>
      <c r="E16" s="6"/>
      <c r="F16" s="6">
        <v>-1</v>
      </c>
      <c r="G16" s="6"/>
      <c r="H16" s="6"/>
    </row>
    <row r="17" spans="1:8" x14ac:dyDescent="0.3">
      <c r="A17" s="6"/>
      <c r="B17" s="6" t="s">
        <v>690</v>
      </c>
      <c r="C17" s="6"/>
      <c r="D17" s="6"/>
      <c r="E17" s="6"/>
      <c r="F17" s="6">
        <v>-1</v>
      </c>
      <c r="G17" s="6"/>
      <c r="H17" s="6"/>
    </row>
    <row r="18" spans="1:8" x14ac:dyDescent="0.3">
      <c r="A18" s="6"/>
      <c r="B18" s="6" t="s">
        <v>406</v>
      </c>
      <c r="C18" s="6"/>
      <c r="D18" s="6"/>
      <c r="E18" s="6"/>
      <c r="F18" s="6"/>
      <c r="G18" s="6">
        <v>-1</v>
      </c>
      <c r="H18" s="6"/>
    </row>
    <row r="19" spans="1:8" x14ac:dyDescent="0.3">
      <c r="A19" s="6"/>
      <c r="B19" s="6" t="s">
        <v>520</v>
      </c>
      <c r="C19" s="6"/>
      <c r="D19" s="6"/>
      <c r="E19" s="6"/>
      <c r="F19" s="6"/>
      <c r="G19" s="6">
        <v>-1</v>
      </c>
      <c r="H19" s="6"/>
    </row>
    <row r="20" spans="1:8" x14ac:dyDescent="0.3">
      <c r="A20" s="6" t="s">
        <v>1589</v>
      </c>
      <c r="B20" s="6" t="s">
        <v>402</v>
      </c>
      <c r="C20" s="6"/>
      <c r="D20" s="6"/>
      <c r="E20" s="6"/>
      <c r="F20" s="6"/>
      <c r="G20" s="6">
        <v>17</v>
      </c>
      <c r="H20" s="6"/>
    </row>
    <row r="21" spans="1:8" x14ac:dyDescent="0.3">
      <c r="A21" s="6" t="s">
        <v>1958</v>
      </c>
      <c r="B21" s="6" t="s">
        <v>718</v>
      </c>
      <c r="C21" s="6"/>
      <c r="D21" s="6"/>
      <c r="E21" s="6"/>
      <c r="F21" s="6"/>
      <c r="G21" s="6">
        <v>5</v>
      </c>
      <c r="H21" s="6"/>
    </row>
    <row r="22" spans="1:8" x14ac:dyDescent="0.3">
      <c r="A22" s="6"/>
      <c r="B22" s="6" t="s">
        <v>344</v>
      </c>
      <c r="C22" s="6"/>
      <c r="D22" s="6"/>
      <c r="E22" s="6"/>
      <c r="F22" s="6"/>
      <c r="G22" s="6"/>
      <c r="H22" s="6">
        <v>-1</v>
      </c>
    </row>
    <row r="23" spans="1:8" x14ac:dyDescent="0.3">
      <c r="A23" s="6"/>
      <c r="B23" s="6" t="s">
        <v>596</v>
      </c>
      <c r="C23" s="6"/>
      <c r="D23" s="6"/>
      <c r="E23" s="6"/>
      <c r="F23" s="6"/>
      <c r="G23" s="6"/>
      <c r="H23" s="6">
        <v>-1</v>
      </c>
    </row>
    <row r="24" spans="1:8" x14ac:dyDescent="0.3">
      <c r="A24" s="6"/>
      <c r="B24" s="6" t="s">
        <v>380</v>
      </c>
      <c r="C24" s="6">
        <v>-1</v>
      </c>
      <c r="D24" s="6"/>
      <c r="E24" s="6"/>
      <c r="F24" s="6"/>
      <c r="G24" s="6"/>
      <c r="H24" s="6"/>
    </row>
    <row r="25" spans="1:8" x14ac:dyDescent="0.3">
      <c r="A25" s="6" t="s">
        <v>4585</v>
      </c>
      <c r="B25" s="6" t="s">
        <v>378</v>
      </c>
      <c r="C25" s="6">
        <v>17</v>
      </c>
      <c r="D25" s="6"/>
      <c r="E25" s="6"/>
      <c r="F25" s="6"/>
      <c r="G25" s="6"/>
      <c r="H25" s="6"/>
    </row>
    <row r="26" spans="1:8" x14ac:dyDescent="0.3">
      <c r="A26" s="6" t="s">
        <v>4579</v>
      </c>
      <c r="B26" s="6" t="s">
        <v>378</v>
      </c>
      <c r="C26" s="6"/>
      <c r="D26" s="6">
        <v>5</v>
      </c>
      <c r="E26" s="6"/>
      <c r="F26" s="6"/>
      <c r="G26" s="6"/>
      <c r="H26" s="6"/>
    </row>
    <row r="27" spans="1:8" x14ac:dyDescent="0.3">
      <c r="A27" s="6"/>
      <c r="B27" s="6" t="s">
        <v>326</v>
      </c>
      <c r="C27" s="6"/>
      <c r="D27" s="6">
        <v>-1</v>
      </c>
      <c r="E27" s="6"/>
      <c r="F27" s="6"/>
      <c r="G27" s="6"/>
      <c r="H27" s="6"/>
    </row>
    <row r="28" spans="1:8" x14ac:dyDescent="0.3">
      <c r="A28" s="6"/>
      <c r="B28" s="6" t="s">
        <v>404</v>
      </c>
      <c r="C28" s="6"/>
      <c r="D28" s="6"/>
      <c r="E28" s="6">
        <v>-1</v>
      </c>
      <c r="F28" s="6"/>
      <c r="G28" s="6"/>
      <c r="H28" s="6"/>
    </row>
    <row r="29" spans="1:8" x14ac:dyDescent="0.3">
      <c r="A29" s="6"/>
      <c r="B29" s="6" t="s">
        <v>564</v>
      </c>
      <c r="C29" s="6"/>
      <c r="D29" s="6"/>
      <c r="E29" s="6">
        <v>-1</v>
      </c>
      <c r="F29" s="6"/>
      <c r="G29" s="6"/>
      <c r="H29" s="6"/>
    </row>
    <row r="30" spans="1:8" x14ac:dyDescent="0.3">
      <c r="A30" s="6"/>
      <c r="B30" s="6" t="s">
        <v>380</v>
      </c>
      <c r="C30" s="6"/>
      <c r="D30" s="6"/>
      <c r="E30" s="6"/>
      <c r="F30" s="6">
        <v>-1</v>
      </c>
      <c r="G30" s="6"/>
      <c r="H30" s="6"/>
    </row>
    <row r="31" spans="1:8" x14ac:dyDescent="0.3">
      <c r="A31" s="6"/>
      <c r="B31" s="6" t="s">
        <v>440</v>
      </c>
      <c r="C31" s="6"/>
      <c r="D31" s="6"/>
      <c r="E31" s="6"/>
      <c r="F31" s="6">
        <v>-1</v>
      </c>
      <c r="G31" s="6"/>
      <c r="H31" s="6"/>
    </row>
    <row r="32" spans="1:8" x14ac:dyDescent="0.3">
      <c r="A32" s="6" t="s">
        <v>1415</v>
      </c>
      <c r="B32" s="6" t="s">
        <v>646</v>
      </c>
      <c r="C32" s="6"/>
      <c r="D32" s="6"/>
      <c r="E32" s="6"/>
      <c r="F32" s="6"/>
      <c r="G32" s="6">
        <v>9</v>
      </c>
      <c r="H32" s="6"/>
    </row>
    <row r="33" spans="1:8" x14ac:dyDescent="0.3">
      <c r="A33" s="6"/>
      <c r="B33" s="6" t="s">
        <v>380</v>
      </c>
      <c r="C33" s="6"/>
      <c r="D33" s="6"/>
      <c r="E33" s="6"/>
      <c r="F33" s="6"/>
      <c r="G33" s="6">
        <v>-1</v>
      </c>
      <c r="H33" s="6"/>
    </row>
    <row r="34" spans="1:8" x14ac:dyDescent="0.3">
      <c r="A34" s="6" t="s">
        <v>4583</v>
      </c>
      <c r="B34" s="6" t="s">
        <v>378</v>
      </c>
      <c r="C34" s="6"/>
      <c r="D34" s="6"/>
      <c r="E34" s="6"/>
      <c r="F34" s="6"/>
      <c r="G34" s="6"/>
      <c r="H34" s="6">
        <v>5</v>
      </c>
    </row>
    <row r="35" spans="1:8" x14ac:dyDescent="0.3">
      <c r="A35" s="6"/>
      <c r="B35" s="6" t="s">
        <v>642</v>
      </c>
      <c r="C35" s="6">
        <v>-1</v>
      </c>
      <c r="D35" s="6"/>
      <c r="E35" s="6"/>
      <c r="F35" s="6"/>
      <c r="G35" s="6"/>
      <c r="H35" s="6"/>
    </row>
    <row r="36" spans="1:8" x14ac:dyDescent="0.3">
      <c r="A36" s="6" t="s">
        <v>1402</v>
      </c>
      <c r="B36" s="6" t="s">
        <v>328</v>
      </c>
      <c r="C36" s="6">
        <v>1</v>
      </c>
      <c r="D36" s="6"/>
      <c r="E36" s="6"/>
      <c r="F36" s="6"/>
      <c r="G36" s="6"/>
      <c r="H36" s="6"/>
    </row>
    <row r="37" spans="1:8" x14ac:dyDescent="0.3">
      <c r="A37" s="6"/>
      <c r="B37" s="6" t="s">
        <v>478</v>
      </c>
      <c r="C37" s="6">
        <v>-1</v>
      </c>
      <c r="D37" s="6"/>
      <c r="E37" s="6"/>
      <c r="F37" s="6"/>
      <c r="G37" s="6"/>
      <c r="H37" s="6"/>
    </row>
    <row r="38" spans="1:8" x14ac:dyDescent="0.3">
      <c r="A38" s="6"/>
      <c r="B38" s="6" t="s">
        <v>448</v>
      </c>
      <c r="C38" s="6">
        <v>-1</v>
      </c>
      <c r="D38" s="6"/>
      <c r="E38" s="6"/>
      <c r="F38" s="6"/>
      <c r="G38" s="6"/>
      <c r="H38" s="6"/>
    </row>
    <row r="39" spans="1:8" x14ac:dyDescent="0.3">
      <c r="A39" s="6"/>
      <c r="B39" s="6" t="s">
        <v>448</v>
      </c>
      <c r="C39" s="6"/>
      <c r="D39" s="6">
        <v>-1</v>
      </c>
      <c r="E39" s="6"/>
      <c r="F39" s="6"/>
      <c r="G39" s="6"/>
      <c r="H39" s="6"/>
    </row>
    <row r="40" spans="1:8" x14ac:dyDescent="0.3">
      <c r="A40" s="6" t="s">
        <v>4281</v>
      </c>
      <c r="B40" s="6" t="s">
        <v>328</v>
      </c>
      <c r="C40" s="6"/>
      <c r="D40" s="6">
        <v>1</v>
      </c>
      <c r="E40" s="6"/>
      <c r="F40" s="6"/>
      <c r="G40" s="6"/>
      <c r="H40" s="6"/>
    </row>
    <row r="41" spans="1:8" x14ac:dyDescent="0.3">
      <c r="A41" s="6" t="s">
        <v>1714</v>
      </c>
      <c r="B41" s="6" t="s">
        <v>658</v>
      </c>
      <c r="C41" s="6"/>
      <c r="D41" s="6">
        <v>3</v>
      </c>
      <c r="E41" s="6"/>
      <c r="F41" s="6"/>
      <c r="G41" s="6"/>
      <c r="H41" s="6"/>
    </row>
    <row r="42" spans="1:8" x14ac:dyDescent="0.3">
      <c r="A42" s="6"/>
      <c r="B42" s="6" t="s">
        <v>482</v>
      </c>
      <c r="C42" s="6"/>
      <c r="D42" s="6">
        <v>-1</v>
      </c>
      <c r="E42" s="6"/>
      <c r="F42" s="6"/>
      <c r="G42" s="6"/>
      <c r="H42" s="6"/>
    </row>
    <row r="43" spans="1:8" x14ac:dyDescent="0.3">
      <c r="A43" s="6" t="s">
        <v>4979</v>
      </c>
      <c r="B43" s="6" t="s">
        <v>368</v>
      </c>
      <c r="C43" s="6"/>
      <c r="D43" s="6"/>
      <c r="E43" s="6">
        <v>1</v>
      </c>
      <c r="F43" s="6"/>
      <c r="G43" s="6"/>
      <c r="H43" s="6"/>
    </row>
    <row r="44" spans="1:8" x14ac:dyDescent="0.3">
      <c r="A44" s="6"/>
      <c r="B44" s="6" t="s">
        <v>604</v>
      </c>
      <c r="C44" s="6"/>
      <c r="D44" s="6"/>
      <c r="E44" s="6">
        <v>-1</v>
      </c>
      <c r="F44" s="6"/>
      <c r="G44" s="6"/>
      <c r="H44" s="6"/>
    </row>
    <row r="45" spans="1:8" x14ac:dyDescent="0.3">
      <c r="A45" s="6"/>
      <c r="B45" s="6" t="s">
        <v>710</v>
      </c>
      <c r="C45" s="6"/>
      <c r="D45" s="6"/>
      <c r="E45" s="6">
        <v>-1</v>
      </c>
      <c r="F45" s="6"/>
      <c r="G45" s="6"/>
      <c r="H45" s="6"/>
    </row>
    <row r="46" spans="1:8" x14ac:dyDescent="0.3">
      <c r="A46" s="6"/>
      <c r="B46" s="6" t="s">
        <v>482</v>
      </c>
      <c r="C46" s="6"/>
      <c r="D46" s="6"/>
      <c r="E46" s="6">
        <v>-1</v>
      </c>
      <c r="F46" s="6"/>
      <c r="G46" s="6"/>
      <c r="H46" s="6"/>
    </row>
    <row r="47" spans="1:8" x14ac:dyDescent="0.3">
      <c r="A47" s="6"/>
      <c r="B47" s="6" t="s">
        <v>478</v>
      </c>
      <c r="C47" s="6"/>
      <c r="D47" s="6"/>
      <c r="E47" s="6"/>
      <c r="F47" s="6">
        <v>-1</v>
      </c>
      <c r="G47" s="6"/>
      <c r="H47" s="6"/>
    </row>
    <row r="48" spans="1:8" x14ac:dyDescent="0.3">
      <c r="A48" s="6"/>
      <c r="B48" s="6" t="s">
        <v>658</v>
      </c>
      <c r="C48" s="6"/>
      <c r="D48" s="6"/>
      <c r="E48" s="6"/>
      <c r="F48" s="6">
        <v>-1</v>
      </c>
      <c r="G48" s="6"/>
      <c r="H48" s="6"/>
    </row>
    <row r="49" spans="1:8" x14ac:dyDescent="0.3">
      <c r="A49" s="6"/>
      <c r="B49" s="6" t="s">
        <v>368</v>
      </c>
      <c r="C49" s="6"/>
      <c r="D49" s="6"/>
      <c r="E49" s="6"/>
      <c r="F49" s="6">
        <v>-1</v>
      </c>
      <c r="G49" s="6"/>
      <c r="H49" s="6"/>
    </row>
    <row r="50" spans="1:8" x14ac:dyDescent="0.3">
      <c r="A50" s="6"/>
      <c r="B50" s="6" t="s">
        <v>328</v>
      </c>
      <c r="C50" s="6"/>
      <c r="D50" s="6"/>
      <c r="E50" s="6"/>
      <c r="F50" s="6">
        <v>-1</v>
      </c>
      <c r="G50" s="6"/>
      <c r="H50" s="6"/>
    </row>
    <row r="51" spans="1:8" x14ac:dyDescent="0.3">
      <c r="A51" s="6"/>
      <c r="B51" s="6" t="s">
        <v>328</v>
      </c>
      <c r="C51" s="6"/>
      <c r="D51" s="6"/>
      <c r="E51" s="6"/>
      <c r="F51" s="6"/>
      <c r="G51" s="6">
        <v>-1</v>
      </c>
      <c r="H51" s="6"/>
    </row>
    <row r="52" spans="1:8" x14ac:dyDescent="0.3">
      <c r="A52" s="6"/>
      <c r="B52" s="6" t="s">
        <v>478</v>
      </c>
      <c r="C52" s="6"/>
      <c r="D52" s="6"/>
      <c r="E52" s="6"/>
      <c r="F52" s="6"/>
      <c r="G52" s="6">
        <v>-1</v>
      </c>
      <c r="H52" s="6"/>
    </row>
    <row r="53" spans="1:8" x14ac:dyDescent="0.3">
      <c r="A53" s="6" t="s">
        <v>2723</v>
      </c>
      <c r="B53" s="6" t="s">
        <v>328</v>
      </c>
      <c r="C53" s="6"/>
      <c r="D53" s="6"/>
      <c r="E53" s="6"/>
      <c r="F53" s="6"/>
      <c r="G53" s="6"/>
      <c r="H53" s="6">
        <v>1</v>
      </c>
    </row>
    <row r="54" spans="1:8" x14ac:dyDescent="0.3">
      <c r="A54" s="6" t="s">
        <v>2811</v>
      </c>
      <c r="B54" s="6" t="s">
        <v>448</v>
      </c>
      <c r="C54" s="6"/>
      <c r="D54" s="6"/>
      <c r="E54" s="6"/>
      <c r="F54" s="6"/>
      <c r="G54" s="6"/>
      <c r="H54" s="6">
        <v>5</v>
      </c>
    </row>
    <row r="55" spans="1:8" x14ac:dyDescent="0.3">
      <c r="A55" s="6" t="s">
        <v>3611</v>
      </c>
      <c r="B55" s="6" t="s">
        <v>336</v>
      </c>
      <c r="C55" s="6">
        <v>9</v>
      </c>
      <c r="D55" s="6"/>
      <c r="E55" s="6"/>
      <c r="F55" s="6"/>
      <c r="G55" s="6"/>
      <c r="H55" s="6"/>
    </row>
    <row r="56" spans="1:8" x14ac:dyDescent="0.3">
      <c r="A56" s="6"/>
      <c r="B56" s="6" t="s">
        <v>332</v>
      </c>
      <c r="C56" s="6">
        <v>-1</v>
      </c>
      <c r="D56" s="6"/>
      <c r="E56" s="6"/>
      <c r="F56" s="6"/>
      <c r="G56" s="6"/>
      <c r="H56" s="6"/>
    </row>
    <row r="57" spans="1:8" x14ac:dyDescent="0.3">
      <c r="A57" s="6" t="s">
        <v>2234</v>
      </c>
      <c r="B57" s="6" t="s">
        <v>362</v>
      </c>
      <c r="C57" s="6"/>
      <c r="D57" s="6">
        <v>5</v>
      </c>
      <c r="E57" s="6"/>
      <c r="F57" s="6"/>
      <c r="G57" s="6"/>
      <c r="H57" s="6"/>
    </row>
    <row r="58" spans="1:8" x14ac:dyDescent="0.3">
      <c r="A58" s="6" t="s">
        <v>2813</v>
      </c>
      <c r="B58" s="6" t="s">
        <v>336</v>
      </c>
      <c r="C58" s="6"/>
      <c r="D58" s="6">
        <v>9</v>
      </c>
      <c r="E58" s="6"/>
      <c r="F58" s="6"/>
      <c r="G58" s="6"/>
      <c r="H58" s="6"/>
    </row>
    <row r="59" spans="1:8" x14ac:dyDescent="0.3">
      <c r="A59" s="6" t="s">
        <v>4710</v>
      </c>
      <c r="B59" s="6" t="s">
        <v>362</v>
      </c>
      <c r="C59" s="6"/>
      <c r="D59" s="6"/>
      <c r="E59" s="6">
        <v>9</v>
      </c>
      <c r="F59" s="6"/>
      <c r="G59" s="6"/>
      <c r="H59" s="6"/>
    </row>
    <row r="60" spans="1:8" x14ac:dyDescent="0.3">
      <c r="A60" s="6"/>
      <c r="B60" s="6" t="s">
        <v>398</v>
      </c>
      <c r="C60" s="6"/>
      <c r="D60" s="6"/>
      <c r="E60" s="6">
        <v>-1</v>
      </c>
      <c r="F60" s="6"/>
      <c r="G60" s="6"/>
      <c r="H60" s="6"/>
    </row>
    <row r="61" spans="1:8" x14ac:dyDescent="0.3">
      <c r="A61" s="6" t="s">
        <v>3094</v>
      </c>
      <c r="B61" s="6" t="s">
        <v>336</v>
      </c>
      <c r="C61" s="6"/>
      <c r="D61" s="6"/>
      <c r="E61" s="6">
        <v>5</v>
      </c>
      <c r="F61" s="6"/>
      <c r="G61" s="6"/>
      <c r="H61" s="6"/>
    </row>
    <row r="62" spans="1:8" x14ac:dyDescent="0.3">
      <c r="A62" s="6" t="s">
        <v>4445</v>
      </c>
      <c r="B62" s="6" t="s">
        <v>352</v>
      </c>
      <c r="C62" s="6"/>
      <c r="D62" s="6"/>
      <c r="E62" s="6">
        <v>17</v>
      </c>
      <c r="F62" s="6"/>
      <c r="G62" s="6"/>
      <c r="H62" s="6"/>
    </row>
    <row r="63" spans="1:8" x14ac:dyDescent="0.3">
      <c r="A63" s="6"/>
      <c r="B63" s="6" t="s">
        <v>362</v>
      </c>
      <c r="C63" s="6"/>
      <c r="D63" s="6"/>
      <c r="E63" s="6"/>
      <c r="F63" s="6">
        <v>-1</v>
      </c>
      <c r="G63" s="6"/>
      <c r="H63" s="6"/>
    </row>
    <row r="64" spans="1:8" x14ac:dyDescent="0.3">
      <c r="A64" s="6" t="s">
        <v>3266</v>
      </c>
      <c r="B64" s="6" t="s">
        <v>400</v>
      </c>
      <c r="C64" s="6"/>
      <c r="D64" s="6"/>
      <c r="E64" s="6"/>
      <c r="F64" s="6">
        <v>5</v>
      </c>
      <c r="G64" s="6"/>
      <c r="H64" s="6"/>
    </row>
    <row r="65" spans="1:8" x14ac:dyDescent="0.3">
      <c r="A65" s="6" t="s">
        <v>1999</v>
      </c>
      <c r="B65" s="6" t="s">
        <v>332</v>
      </c>
      <c r="C65" s="6"/>
      <c r="D65" s="6"/>
      <c r="E65" s="6"/>
      <c r="F65" s="6">
        <v>9</v>
      </c>
      <c r="G65" s="6"/>
      <c r="H65" s="6"/>
    </row>
    <row r="66" spans="1:8" x14ac:dyDescent="0.3">
      <c r="A66" s="6" t="s">
        <v>2816</v>
      </c>
      <c r="B66" s="6" t="s">
        <v>336</v>
      </c>
      <c r="C66" s="6"/>
      <c r="D66" s="6"/>
      <c r="E66" s="6"/>
      <c r="F66" s="6">
        <v>3</v>
      </c>
      <c r="G66" s="6"/>
      <c r="H66" s="6"/>
    </row>
    <row r="67" spans="1:8" x14ac:dyDescent="0.3">
      <c r="A67" s="6"/>
      <c r="B67" s="6" t="s">
        <v>332</v>
      </c>
      <c r="C67" s="6"/>
      <c r="D67" s="6"/>
      <c r="E67" s="6"/>
      <c r="F67" s="6"/>
      <c r="G67" s="6">
        <v>-1</v>
      </c>
      <c r="H67" s="6"/>
    </row>
    <row r="68" spans="1:8" x14ac:dyDescent="0.3">
      <c r="A68" s="6" t="s">
        <v>2823</v>
      </c>
      <c r="B68" s="6" t="s">
        <v>336</v>
      </c>
      <c r="C68" s="6"/>
      <c r="D68" s="6"/>
      <c r="E68" s="6"/>
      <c r="F68" s="6"/>
      <c r="G68" s="6">
        <v>9</v>
      </c>
      <c r="H68" s="6"/>
    </row>
    <row r="69" spans="1:8" x14ac:dyDescent="0.3">
      <c r="A69" s="6"/>
      <c r="B69" s="6" t="s">
        <v>384</v>
      </c>
      <c r="C69" s="6"/>
      <c r="D69" s="6"/>
      <c r="E69" s="6"/>
      <c r="F69" s="6"/>
      <c r="G69" s="6"/>
      <c r="H69" s="6">
        <v>-1</v>
      </c>
    </row>
    <row r="70" spans="1:8" x14ac:dyDescent="0.3">
      <c r="A70" s="6" t="s">
        <v>3791</v>
      </c>
      <c r="B70" s="6" t="s">
        <v>664</v>
      </c>
      <c r="C70" s="6"/>
      <c r="D70" s="6"/>
      <c r="E70" s="6"/>
      <c r="F70" s="6"/>
      <c r="G70" s="6"/>
      <c r="H70" s="6">
        <v>2</v>
      </c>
    </row>
    <row r="71" spans="1:8" x14ac:dyDescent="0.3">
      <c r="A71" s="6"/>
      <c r="B71" s="6" t="s">
        <v>354</v>
      </c>
      <c r="C71" s="6">
        <v>-1</v>
      </c>
      <c r="D71" s="6"/>
      <c r="E71" s="6"/>
      <c r="F71" s="6"/>
      <c r="G71" s="6"/>
      <c r="H71" s="6"/>
    </row>
    <row r="72" spans="1:8" x14ac:dyDescent="0.3">
      <c r="A72" s="6"/>
      <c r="B72" s="6" t="s">
        <v>354</v>
      </c>
      <c r="C72" s="6"/>
      <c r="D72" s="6">
        <v>-1</v>
      </c>
      <c r="E72" s="6"/>
      <c r="F72" s="6"/>
      <c r="G72" s="6"/>
      <c r="H72" s="6"/>
    </row>
    <row r="73" spans="1:8" x14ac:dyDescent="0.3">
      <c r="A73" s="6" t="s">
        <v>2442</v>
      </c>
      <c r="B73" s="6" t="s">
        <v>354</v>
      </c>
      <c r="C73" s="6"/>
      <c r="D73" s="6"/>
      <c r="E73" s="6">
        <v>9</v>
      </c>
      <c r="F73" s="6"/>
      <c r="G73" s="6"/>
      <c r="H73" s="6"/>
    </row>
    <row r="74" spans="1:8" x14ac:dyDescent="0.3">
      <c r="A74" s="6"/>
      <c r="B74" s="6" t="s">
        <v>354</v>
      </c>
      <c r="C74" s="6"/>
      <c r="D74" s="6"/>
      <c r="E74" s="6"/>
      <c r="F74" s="6">
        <v>-1</v>
      </c>
      <c r="G74" s="6"/>
      <c r="H74" s="6"/>
    </row>
    <row r="75" spans="1:8" x14ac:dyDescent="0.3">
      <c r="A75" s="6"/>
      <c r="B75" s="6" t="s">
        <v>354</v>
      </c>
      <c r="C75" s="6"/>
      <c r="D75" s="6"/>
      <c r="E75" s="6"/>
      <c r="F75" s="6"/>
      <c r="G75" s="6">
        <v>-1</v>
      </c>
      <c r="H75" s="6"/>
    </row>
    <row r="76" spans="1:8" x14ac:dyDescent="0.3">
      <c r="A76" s="6" t="s">
        <v>1252</v>
      </c>
      <c r="B76" s="6" t="s">
        <v>354</v>
      </c>
      <c r="C76" s="6"/>
      <c r="D76" s="6"/>
      <c r="E76" s="6"/>
      <c r="F76" s="6"/>
      <c r="G76" s="6"/>
      <c r="H76" s="6">
        <v>3</v>
      </c>
    </row>
    <row r="77" spans="1:8" x14ac:dyDescent="0.3">
      <c r="A77" s="6" t="s">
        <v>4658</v>
      </c>
      <c r="B77" s="6" t="s">
        <v>334</v>
      </c>
      <c r="C77" s="6">
        <v>17</v>
      </c>
      <c r="D77" s="6"/>
      <c r="E77" s="6"/>
      <c r="F77" s="6"/>
      <c r="G77" s="6"/>
      <c r="H77" s="6"/>
    </row>
    <row r="78" spans="1:8" x14ac:dyDescent="0.3">
      <c r="A78" s="6"/>
      <c r="B78" s="6" t="s">
        <v>482</v>
      </c>
      <c r="C78" s="6">
        <v>-1</v>
      </c>
      <c r="D78" s="6"/>
      <c r="E78" s="6"/>
      <c r="F78" s="6"/>
      <c r="G78" s="6"/>
      <c r="H78" s="6"/>
    </row>
    <row r="79" spans="1:8" x14ac:dyDescent="0.3">
      <c r="A79" s="6"/>
      <c r="B79" s="6" t="s">
        <v>670</v>
      </c>
      <c r="C79" s="6">
        <v>-1</v>
      </c>
      <c r="D79" s="6"/>
      <c r="E79" s="6"/>
      <c r="F79" s="6"/>
      <c r="G79" s="6"/>
      <c r="H79" s="6"/>
    </row>
    <row r="80" spans="1:8" x14ac:dyDescent="0.3">
      <c r="A80" s="6" t="s">
        <v>3230</v>
      </c>
      <c r="B80" s="6" t="s">
        <v>362</v>
      </c>
      <c r="C80" s="6">
        <v>5</v>
      </c>
      <c r="D80" s="6"/>
      <c r="E80" s="6"/>
      <c r="F80" s="6"/>
      <c r="G80" s="6"/>
      <c r="H80" s="6"/>
    </row>
    <row r="81" spans="1:8" x14ac:dyDescent="0.3">
      <c r="A81" s="6" t="s">
        <v>4485</v>
      </c>
      <c r="B81" s="6" t="s">
        <v>690</v>
      </c>
      <c r="C81" s="6"/>
      <c r="D81" s="6">
        <v>17</v>
      </c>
      <c r="E81" s="6"/>
      <c r="F81" s="6"/>
      <c r="G81" s="6"/>
      <c r="H81" s="6"/>
    </row>
    <row r="82" spans="1:8" x14ac:dyDescent="0.3">
      <c r="A82" s="6"/>
      <c r="B82" s="6" t="s">
        <v>478</v>
      </c>
      <c r="C82" s="6"/>
      <c r="D82" s="6">
        <v>-1</v>
      </c>
      <c r="E82" s="6"/>
      <c r="F82" s="6"/>
      <c r="G82" s="6"/>
      <c r="H82" s="6"/>
    </row>
    <row r="83" spans="1:8" x14ac:dyDescent="0.3">
      <c r="A83" s="6"/>
      <c r="B83" s="6" t="s">
        <v>356</v>
      </c>
      <c r="C83" s="6"/>
      <c r="D83" s="6">
        <v>-1</v>
      </c>
      <c r="E83" s="6"/>
      <c r="F83" s="6"/>
      <c r="G83" s="6"/>
      <c r="H83" s="6"/>
    </row>
    <row r="84" spans="1:8" x14ac:dyDescent="0.3">
      <c r="A84" s="6"/>
      <c r="B84" s="6" t="s">
        <v>730</v>
      </c>
      <c r="C84" s="6"/>
      <c r="D84" s="6">
        <v>-1</v>
      </c>
      <c r="E84" s="6"/>
      <c r="F84" s="6"/>
      <c r="G84" s="6"/>
      <c r="H84" s="6"/>
    </row>
    <row r="85" spans="1:8" x14ac:dyDescent="0.3">
      <c r="A85" s="6"/>
      <c r="B85" s="6" t="s">
        <v>670</v>
      </c>
      <c r="C85" s="6"/>
      <c r="D85" s="6"/>
      <c r="E85" s="6">
        <v>-1</v>
      </c>
      <c r="F85" s="6"/>
      <c r="G85" s="6"/>
      <c r="H85" s="6"/>
    </row>
    <row r="86" spans="1:8" x14ac:dyDescent="0.3">
      <c r="A86" s="6"/>
      <c r="B86" s="6" t="s">
        <v>394</v>
      </c>
      <c r="C86" s="6"/>
      <c r="D86" s="6"/>
      <c r="E86" s="6">
        <v>-1</v>
      </c>
      <c r="F86" s="6"/>
      <c r="G86" s="6"/>
      <c r="H86" s="6"/>
    </row>
    <row r="87" spans="1:8" x14ac:dyDescent="0.3">
      <c r="A87" s="6" t="s">
        <v>2944</v>
      </c>
      <c r="B87" s="6" t="s">
        <v>412</v>
      </c>
      <c r="C87" s="6"/>
      <c r="D87" s="6"/>
      <c r="E87" s="6"/>
      <c r="F87" s="6">
        <v>5</v>
      </c>
      <c r="G87" s="6"/>
      <c r="H87" s="6"/>
    </row>
    <row r="88" spans="1:8" x14ac:dyDescent="0.3">
      <c r="A88" s="6"/>
      <c r="B88" s="6" t="s">
        <v>608</v>
      </c>
      <c r="C88" s="6"/>
      <c r="D88" s="6"/>
      <c r="E88" s="6"/>
      <c r="F88" s="6">
        <v>-1</v>
      </c>
      <c r="G88" s="6"/>
      <c r="H88" s="6"/>
    </row>
    <row r="89" spans="1:8" x14ac:dyDescent="0.3">
      <c r="A89" s="6" t="s">
        <v>1524</v>
      </c>
      <c r="B89" s="6" t="s">
        <v>356</v>
      </c>
      <c r="C89" s="6"/>
      <c r="D89" s="6"/>
      <c r="E89" s="6"/>
      <c r="F89" s="6">
        <v>9</v>
      </c>
      <c r="G89" s="6"/>
      <c r="H89" s="6"/>
    </row>
    <row r="90" spans="1:8" x14ac:dyDescent="0.3">
      <c r="A90" s="6"/>
      <c r="B90" s="6" t="s">
        <v>374</v>
      </c>
      <c r="C90" s="6"/>
      <c r="D90" s="6"/>
      <c r="E90" s="6"/>
      <c r="F90" s="6"/>
      <c r="G90" s="6">
        <v>-1</v>
      </c>
      <c r="H90" s="6"/>
    </row>
    <row r="91" spans="1:8" x14ac:dyDescent="0.3">
      <c r="A91" s="6" t="s">
        <v>2886</v>
      </c>
      <c r="B91" s="6" t="s">
        <v>368</v>
      </c>
      <c r="C91" s="6"/>
      <c r="D91" s="6"/>
      <c r="E91" s="6"/>
      <c r="F91" s="6"/>
      <c r="G91" s="6">
        <v>3</v>
      </c>
      <c r="H91" s="6"/>
    </row>
    <row r="92" spans="1:8" x14ac:dyDescent="0.3">
      <c r="A92" s="6"/>
      <c r="B92" s="6" t="s">
        <v>356</v>
      </c>
      <c r="C92" s="6"/>
      <c r="D92" s="6"/>
      <c r="E92" s="6"/>
      <c r="F92" s="6"/>
      <c r="G92" s="6">
        <v>-1</v>
      </c>
      <c r="H92" s="6"/>
    </row>
    <row r="93" spans="1:8" x14ac:dyDescent="0.3">
      <c r="A93" s="6"/>
      <c r="B93" s="6" t="s">
        <v>394</v>
      </c>
      <c r="C93" s="6"/>
      <c r="D93" s="6"/>
      <c r="E93" s="6"/>
      <c r="F93" s="6"/>
      <c r="G93" s="6">
        <v>-1</v>
      </c>
      <c r="H93" s="6"/>
    </row>
    <row r="94" spans="1:8" x14ac:dyDescent="0.3">
      <c r="A94" s="6" t="s">
        <v>4626</v>
      </c>
      <c r="B94" s="6" t="s">
        <v>386</v>
      </c>
      <c r="C94" s="6"/>
      <c r="D94" s="6"/>
      <c r="E94" s="6"/>
      <c r="F94" s="6"/>
      <c r="G94" s="6"/>
      <c r="H94" s="6">
        <v>3</v>
      </c>
    </row>
    <row r="95" spans="1:8" x14ac:dyDescent="0.3">
      <c r="A95" s="6" t="s">
        <v>2965</v>
      </c>
      <c r="B95" s="6" t="s">
        <v>402</v>
      </c>
      <c r="C95" s="6"/>
      <c r="D95" s="6"/>
      <c r="E95" s="6"/>
      <c r="F95" s="6"/>
      <c r="G95" s="6"/>
      <c r="H95" s="6">
        <v>9</v>
      </c>
    </row>
    <row r="96" spans="1:8" x14ac:dyDescent="0.3">
      <c r="A96" s="6" t="s">
        <v>2512</v>
      </c>
      <c r="B96" s="6" t="s">
        <v>364</v>
      </c>
      <c r="C96" s="6"/>
      <c r="D96" s="6"/>
      <c r="E96" s="6"/>
      <c r="F96" s="6"/>
      <c r="G96" s="6"/>
      <c r="H96" s="6">
        <v>9</v>
      </c>
    </row>
    <row r="97" spans="1:8" x14ac:dyDescent="0.3">
      <c r="A97" s="6"/>
      <c r="B97" s="6" t="s">
        <v>394</v>
      </c>
      <c r="C97" s="6"/>
      <c r="D97" s="6"/>
      <c r="E97" s="6"/>
      <c r="F97" s="6"/>
      <c r="G97" s="6"/>
      <c r="H97" s="6">
        <v>-1</v>
      </c>
    </row>
    <row r="98" spans="1:8" x14ac:dyDescent="0.3">
      <c r="A98" s="6"/>
      <c r="B98" s="6" t="s">
        <v>604</v>
      </c>
      <c r="C98" s="6">
        <v>-1</v>
      </c>
      <c r="D98" s="6"/>
      <c r="E98" s="6"/>
      <c r="F98" s="6"/>
      <c r="G98" s="6"/>
      <c r="H98" s="6"/>
    </row>
    <row r="99" spans="1:8" x14ac:dyDescent="0.3">
      <c r="A99" s="6" t="s">
        <v>1638</v>
      </c>
      <c r="B99" s="6" t="s">
        <v>596</v>
      </c>
      <c r="C99" s="6">
        <v>9</v>
      </c>
      <c r="D99" s="6"/>
      <c r="E99" s="6"/>
      <c r="F99" s="6"/>
      <c r="G99" s="6"/>
      <c r="H99" s="6"/>
    </row>
    <row r="100" spans="1:8" x14ac:dyDescent="0.3">
      <c r="A100" s="6" t="s">
        <v>3733</v>
      </c>
      <c r="B100" s="6" t="s">
        <v>372</v>
      </c>
      <c r="C100" s="6">
        <v>5</v>
      </c>
      <c r="D100" s="6"/>
      <c r="E100" s="6"/>
      <c r="F100" s="6"/>
      <c r="G100" s="6"/>
      <c r="H100" s="6"/>
    </row>
    <row r="101" spans="1:8" x14ac:dyDescent="0.3">
      <c r="A101" s="6"/>
      <c r="B101" s="6" t="s">
        <v>350</v>
      </c>
      <c r="C101" s="6">
        <v>-1</v>
      </c>
      <c r="D101" s="6"/>
      <c r="E101" s="6"/>
      <c r="F101" s="6"/>
      <c r="G101" s="6"/>
      <c r="H101" s="6"/>
    </row>
    <row r="102" spans="1:8" x14ac:dyDescent="0.3">
      <c r="A102" s="6"/>
      <c r="B102" s="6" t="s">
        <v>642</v>
      </c>
      <c r="C102" s="6"/>
      <c r="D102" s="6">
        <v>-1</v>
      </c>
      <c r="E102" s="6"/>
      <c r="F102" s="6"/>
      <c r="G102" s="6"/>
      <c r="H102" s="6"/>
    </row>
    <row r="103" spans="1:8" x14ac:dyDescent="0.3">
      <c r="A103" s="6" t="s">
        <v>2891</v>
      </c>
      <c r="B103" s="6" t="s">
        <v>368</v>
      </c>
      <c r="C103" s="6"/>
      <c r="D103" s="6">
        <v>9</v>
      </c>
      <c r="E103" s="6"/>
      <c r="F103" s="6"/>
      <c r="G103" s="6"/>
      <c r="H103" s="6"/>
    </row>
    <row r="104" spans="1:8" x14ac:dyDescent="0.3">
      <c r="A104" s="6" t="s">
        <v>1632</v>
      </c>
      <c r="B104" s="6" t="s">
        <v>596</v>
      </c>
      <c r="C104" s="6"/>
      <c r="D104" s="6">
        <v>9</v>
      </c>
      <c r="E104" s="6"/>
      <c r="F104" s="6"/>
      <c r="G104" s="6"/>
      <c r="H104" s="6"/>
    </row>
    <row r="105" spans="1:8" x14ac:dyDescent="0.3">
      <c r="A105" s="6" t="s">
        <v>3039</v>
      </c>
      <c r="B105" s="6" t="s">
        <v>700</v>
      </c>
      <c r="C105" s="6"/>
      <c r="D105" s="6">
        <v>3</v>
      </c>
      <c r="E105" s="6"/>
      <c r="F105" s="6"/>
      <c r="G105" s="6"/>
      <c r="H105" s="6"/>
    </row>
    <row r="106" spans="1:8" x14ac:dyDescent="0.3">
      <c r="A106" s="6" t="s">
        <v>1547</v>
      </c>
      <c r="B106" s="6" t="s">
        <v>332</v>
      </c>
      <c r="C106" s="6"/>
      <c r="D106" s="6"/>
      <c r="E106" s="6">
        <v>9</v>
      </c>
      <c r="F106" s="6"/>
      <c r="G106" s="6"/>
      <c r="H106" s="6"/>
    </row>
    <row r="107" spans="1:8" x14ac:dyDescent="0.3">
      <c r="A107" s="6"/>
      <c r="B107" s="6" t="s">
        <v>328</v>
      </c>
      <c r="C107" s="6"/>
      <c r="D107" s="6"/>
      <c r="E107" s="6">
        <v>-1</v>
      </c>
      <c r="F107" s="6"/>
      <c r="G107" s="6"/>
      <c r="H107" s="6"/>
    </row>
    <row r="108" spans="1:8" x14ac:dyDescent="0.3">
      <c r="A108" s="6"/>
      <c r="B108" s="6" t="s">
        <v>448</v>
      </c>
      <c r="C108" s="6"/>
      <c r="D108" s="6"/>
      <c r="E108" s="6">
        <v>-1</v>
      </c>
      <c r="F108" s="6"/>
      <c r="G108" s="6"/>
      <c r="H108" s="6"/>
    </row>
    <row r="109" spans="1:8" x14ac:dyDescent="0.3">
      <c r="A109" s="6"/>
      <c r="B109" s="6" t="s">
        <v>718</v>
      </c>
      <c r="C109" s="6"/>
      <c r="D109" s="6"/>
      <c r="E109" s="6">
        <v>-1</v>
      </c>
      <c r="F109" s="6"/>
      <c r="G109" s="6"/>
      <c r="H109" s="6"/>
    </row>
    <row r="110" spans="1:8" x14ac:dyDescent="0.3">
      <c r="A110" s="6" t="s">
        <v>3140</v>
      </c>
      <c r="B110" s="6" t="s">
        <v>338</v>
      </c>
      <c r="C110" s="6"/>
      <c r="D110" s="6"/>
      <c r="E110" s="6"/>
      <c r="F110" s="6">
        <v>16</v>
      </c>
      <c r="G110" s="6"/>
      <c r="H110" s="6"/>
    </row>
    <row r="111" spans="1:8" x14ac:dyDescent="0.3">
      <c r="A111" s="6"/>
      <c r="B111" s="6" t="s">
        <v>700</v>
      </c>
      <c r="C111" s="6"/>
      <c r="D111" s="6"/>
      <c r="E111" s="6"/>
      <c r="F111" s="6">
        <v>-1</v>
      </c>
      <c r="G111" s="6"/>
      <c r="H111" s="6"/>
    </row>
    <row r="112" spans="1:8" x14ac:dyDescent="0.3">
      <c r="A112" s="6"/>
      <c r="B112" s="6" t="s">
        <v>730</v>
      </c>
      <c r="C112" s="6"/>
      <c r="D112" s="6"/>
      <c r="E112" s="6"/>
      <c r="F112" s="6">
        <v>-1</v>
      </c>
      <c r="G112" s="6"/>
      <c r="H112" s="6"/>
    </row>
    <row r="113" spans="1:8" x14ac:dyDescent="0.3">
      <c r="A113" s="6"/>
      <c r="B113" s="6" t="s">
        <v>482</v>
      </c>
      <c r="C113" s="6"/>
      <c r="D113" s="6"/>
      <c r="E113" s="6"/>
      <c r="F113" s="6"/>
      <c r="G113" s="6">
        <v>-1</v>
      </c>
      <c r="H113" s="6"/>
    </row>
    <row r="114" spans="1:8" x14ac:dyDescent="0.3">
      <c r="A114" s="6" t="s">
        <v>4915</v>
      </c>
      <c r="B114" s="6" t="s">
        <v>408</v>
      </c>
      <c r="C114" s="6"/>
      <c r="D114" s="6"/>
      <c r="E114" s="6"/>
      <c r="F114" s="6"/>
      <c r="G114" s="6">
        <v>17</v>
      </c>
      <c r="H114" s="6"/>
    </row>
    <row r="115" spans="1:8" x14ac:dyDescent="0.3">
      <c r="A115" s="6"/>
      <c r="B115" s="6" t="s">
        <v>564</v>
      </c>
      <c r="C115" s="6"/>
      <c r="D115" s="6"/>
      <c r="E115" s="6"/>
      <c r="F115" s="6"/>
      <c r="G115" s="6">
        <v>-1</v>
      </c>
      <c r="H115" s="6"/>
    </row>
    <row r="116" spans="1:8" x14ac:dyDescent="0.3">
      <c r="A116" s="6" t="s">
        <v>1642</v>
      </c>
      <c r="B116" s="6" t="s">
        <v>596</v>
      </c>
      <c r="C116" s="6"/>
      <c r="D116" s="6"/>
      <c r="E116" s="6"/>
      <c r="F116" s="6"/>
      <c r="G116" s="6">
        <v>17</v>
      </c>
      <c r="H116" s="6"/>
    </row>
    <row r="117" spans="1:8" x14ac:dyDescent="0.3">
      <c r="A117" s="6"/>
      <c r="B117" s="6" t="s">
        <v>478</v>
      </c>
      <c r="C117" s="6"/>
      <c r="D117" s="6"/>
      <c r="E117" s="6"/>
      <c r="F117" s="6"/>
      <c r="G117" s="6"/>
      <c r="H117" s="6">
        <v>-1</v>
      </c>
    </row>
    <row r="118" spans="1:8" x14ac:dyDescent="0.3">
      <c r="A118" s="6"/>
      <c r="B118" s="6" t="s">
        <v>670</v>
      </c>
      <c r="C118" s="6"/>
      <c r="D118" s="6"/>
      <c r="E118" s="6"/>
      <c r="F118" s="6"/>
      <c r="G118" s="6"/>
      <c r="H118" s="6">
        <v>-1</v>
      </c>
    </row>
    <row r="119" spans="1:8" x14ac:dyDescent="0.3">
      <c r="A119" s="6"/>
      <c r="B119" s="6" t="s">
        <v>604</v>
      </c>
      <c r="C119" s="6"/>
      <c r="D119" s="6"/>
      <c r="E119" s="6"/>
      <c r="F119" s="6"/>
      <c r="G119" s="6"/>
      <c r="H119" s="6">
        <v>-1</v>
      </c>
    </row>
    <row r="120" spans="1:8" x14ac:dyDescent="0.3">
      <c r="A120" s="6"/>
      <c r="B120" s="6" t="s">
        <v>350</v>
      </c>
      <c r="C120" s="6"/>
      <c r="D120" s="6"/>
      <c r="E120" s="6"/>
      <c r="F120" s="6"/>
      <c r="G120" s="6"/>
      <c r="H120" s="6">
        <v>-1</v>
      </c>
    </row>
    <row r="121" spans="1:8" x14ac:dyDescent="0.3">
      <c r="A121" s="6" t="s">
        <v>4938</v>
      </c>
      <c r="B121" s="6" t="s">
        <v>736</v>
      </c>
      <c r="C121" s="6">
        <v>17</v>
      </c>
      <c r="D121" s="6"/>
      <c r="E121" s="6"/>
      <c r="F121" s="6"/>
      <c r="G121" s="6"/>
      <c r="H121" s="6"/>
    </row>
    <row r="122" spans="1:8" x14ac:dyDescent="0.3">
      <c r="A122" s="6"/>
      <c r="B122" s="6" t="s">
        <v>644</v>
      </c>
      <c r="C122" s="6"/>
      <c r="D122" s="6">
        <v>-1</v>
      </c>
      <c r="E122" s="6"/>
      <c r="F122" s="6"/>
      <c r="G122" s="6"/>
      <c r="H122" s="6"/>
    </row>
    <row r="123" spans="1:8" x14ac:dyDescent="0.3">
      <c r="A123" s="6"/>
      <c r="B123" s="6" t="s">
        <v>488</v>
      </c>
      <c r="C123" s="6"/>
      <c r="D123" s="6"/>
      <c r="E123" s="6">
        <v>-1</v>
      </c>
      <c r="F123" s="6"/>
      <c r="G123" s="6"/>
      <c r="H123" s="6"/>
    </row>
    <row r="124" spans="1:8" x14ac:dyDescent="0.3">
      <c r="A124" s="6"/>
      <c r="B124" s="6" t="s">
        <v>716</v>
      </c>
      <c r="C124" s="6"/>
      <c r="D124" s="6"/>
      <c r="E124" s="6"/>
      <c r="F124" s="6">
        <v>-1</v>
      </c>
      <c r="G124" s="6"/>
      <c r="H124" s="6"/>
    </row>
    <row r="125" spans="1:8" x14ac:dyDescent="0.3">
      <c r="A125" s="6"/>
      <c r="B125" s="6" t="s">
        <v>468</v>
      </c>
      <c r="C125" s="6"/>
      <c r="D125" s="6"/>
      <c r="E125" s="6"/>
      <c r="F125" s="6"/>
      <c r="G125" s="6">
        <v>-1</v>
      </c>
      <c r="H125" s="6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B9D4-86CF-4BD2-A06E-77B8618BF04D}">
  <dimension ref="A1:C17"/>
  <sheetViews>
    <sheetView topLeftCell="A13" workbookViewId="0">
      <selection activeCell="B18" sqref="B18"/>
    </sheetView>
  </sheetViews>
  <sheetFormatPr defaultRowHeight="14.4" x14ac:dyDescent="0.3"/>
  <cols>
    <col min="1" max="1" width="16.109375" bestFit="1" customWidth="1"/>
    <col min="2" max="2" width="12.21875" bestFit="1" customWidth="1"/>
    <col min="3" max="3" width="14.109375" bestFit="1" customWidth="1"/>
  </cols>
  <sheetData>
    <row r="1" spans="1:3" x14ac:dyDescent="0.3">
      <c r="A1" t="s">
        <v>832</v>
      </c>
      <c r="B1" t="s">
        <v>1</v>
      </c>
      <c r="C1" t="s">
        <v>899</v>
      </c>
    </row>
    <row r="2" spans="1:3" x14ac:dyDescent="0.3">
      <c r="A2" s="6"/>
      <c r="B2" s="6" t="s">
        <v>344</v>
      </c>
      <c r="C2" s="6">
        <v>-1</v>
      </c>
    </row>
    <row r="3" spans="1:3" x14ac:dyDescent="0.3">
      <c r="A3" s="6"/>
      <c r="B3" s="6" t="s">
        <v>378</v>
      </c>
      <c r="C3" s="6">
        <v>-1</v>
      </c>
    </row>
    <row r="4" spans="1:3" x14ac:dyDescent="0.3">
      <c r="A4" s="6"/>
      <c r="B4" s="6" t="s">
        <v>344</v>
      </c>
      <c r="C4" s="6">
        <v>-1</v>
      </c>
    </row>
    <row r="5" spans="1:3" x14ac:dyDescent="0.3">
      <c r="A5" s="6" t="s">
        <v>1863</v>
      </c>
      <c r="B5" s="6" t="s">
        <v>332</v>
      </c>
      <c r="C5" s="6">
        <v>3</v>
      </c>
    </row>
    <row r="6" spans="1:3" x14ac:dyDescent="0.3">
      <c r="A6" s="6" t="s">
        <v>1761</v>
      </c>
      <c r="B6" s="6" t="s">
        <v>428</v>
      </c>
      <c r="C6" s="6">
        <v>4</v>
      </c>
    </row>
    <row r="7" spans="1:3" x14ac:dyDescent="0.3">
      <c r="A7" s="6"/>
      <c r="B7" s="6" t="s">
        <v>354</v>
      </c>
      <c r="C7" s="6">
        <v>-1</v>
      </c>
    </row>
    <row r="8" spans="1:3" x14ac:dyDescent="0.3">
      <c r="A8" s="6"/>
      <c r="B8" s="6" t="s">
        <v>384</v>
      </c>
      <c r="C8" s="6">
        <v>-1</v>
      </c>
    </row>
    <row r="9" spans="1:3" x14ac:dyDescent="0.3">
      <c r="A9" s="6"/>
      <c r="B9" s="6" t="s">
        <v>412</v>
      </c>
      <c r="C9" s="6">
        <v>-1</v>
      </c>
    </row>
    <row r="10" spans="1:3" x14ac:dyDescent="0.3">
      <c r="A10" s="6"/>
      <c r="B10" s="6" t="s">
        <v>700</v>
      </c>
      <c r="C10" s="6">
        <v>-1</v>
      </c>
    </row>
    <row r="11" spans="1:3" x14ac:dyDescent="0.3">
      <c r="A11" s="6"/>
      <c r="B11" s="6" t="s">
        <v>428</v>
      </c>
      <c r="C11" s="6">
        <v>-1</v>
      </c>
    </row>
    <row r="12" spans="1:3" x14ac:dyDescent="0.3">
      <c r="A12" s="6"/>
      <c r="B12" s="6" t="s">
        <v>328</v>
      </c>
      <c r="C12" s="6">
        <v>-1</v>
      </c>
    </row>
    <row r="13" spans="1:3" x14ac:dyDescent="0.3">
      <c r="A13" s="6"/>
      <c r="B13" s="6" t="s">
        <v>332</v>
      </c>
      <c r="C13" s="6">
        <v>-1</v>
      </c>
    </row>
    <row r="14" spans="1:3" x14ac:dyDescent="0.3">
      <c r="A14" s="6"/>
      <c r="B14" s="6" t="s">
        <v>604</v>
      </c>
      <c r="C14" s="6">
        <v>-1</v>
      </c>
    </row>
    <row r="15" spans="1:3" x14ac:dyDescent="0.3">
      <c r="A15" s="6" t="s">
        <v>2948</v>
      </c>
      <c r="B15" s="6" t="s">
        <v>412</v>
      </c>
      <c r="C15" s="6">
        <v>7</v>
      </c>
    </row>
    <row r="16" spans="1:3" x14ac:dyDescent="0.3">
      <c r="A16" s="6"/>
      <c r="B16" s="6" t="s">
        <v>368</v>
      </c>
      <c r="C16" s="6">
        <v>-1</v>
      </c>
    </row>
    <row r="17" spans="1:3" x14ac:dyDescent="0.3">
      <c r="A17" s="6"/>
      <c r="B17" s="6" t="s">
        <v>726</v>
      </c>
      <c r="C17" s="6">
        <v>-1</v>
      </c>
    </row>
  </sheetData>
  <pageMargins left="0.7" right="0.7" top="0.75" bottom="0.75" header="0.3" footer="0.3"/>
  <tableParts count="1"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6820D-7117-4AC5-9C27-62E098945E7B}">
  <dimension ref="A1:C18"/>
  <sheetViews>
    <sheetView topLeftCell="A7" workbookViewId="0">
      <selection activeCell="B19" sqref="B19"/>
    </sheetView>
  </sheetViews>
  <sheetFormatPr defaultRowHeight="14.4" x14ac:dyDescent="0.3"/>
  <cols>
    <col min="1" max="1" width="18.21875" bestFit="1" customWidth="1"/>
    <col min="2" max="2" width="13" bestFit="1" customWidth="1"/>
    <col min="3" max="3" width="14.109375" bestFit="1" customWidth="1"/>
  </cols>
  <sheetData>
    <row r="1" spans="1:3" x14ac:dyDescent="0.3">
      <c r="A1" t="s">
        <v>832</v>
      </c>
      <c r="B1" t="s">
        <v>1</v>
      </c>
      <c r="C1" t="s">
        <v>899</v>
      </c>
    </row>
    <row r="2" spans="1:3" x14ac:dyDescent="0.3">
      <c r="A2" s="6"/>
      <c r="B2" s="6" t="s">
        <v>344</v>
      </c>
      <c r="C2" s="6">
        <v>-1</v>
      </c>
    </row>
    <row r="3" spans="1:3" x14ac:dyDescent="0.3">
      <c r="A3" s="6"/>
      <c r="B3" s="6" t="s">
        <v>378</v>
      </c>
      <c r="C3" s="6">
        <v>-1</v>
      </c>
    </row>
    <row r="4" spans="1:3" x14ac:dyDescent="0.3">
      <c r="A4" s="6"/>
      <c r="B4" s="6" t="s">
        <v>412</v>
      </c>
      <c r="C4" s="6">
        <v>-1</v>
      </c>
    </row>
    <row r="5" spans="1:3" x14ac:dyDescent="0.3">
      <c r="A5" s="6"/>
      <c r="B5" s="6" t="s">
        <v>620</v>
      </c>
      <c r="C5" s="6">
        <v>-1</v>
      </c>
    </row>
    <row r="6" spans="1:3" x14ac:dyDescent="0.3">
      <c r="A6" s="6" t="s">
        <v>2717</v>
      </c>
      <c r="B6" s="6" t="s">
        <v>328</v>
      </c>
      <c r="C6" s="6">
        <v>3</v>
      </c>
    </row>
    <row r="7" spans="1:3" x14ac:dyDescent="0.3">
      <c r="A7" s="6" t="s">
        <v>2443</v>
      </c>
      <c r="B7" s="6" t="s">
        <v>354</v>
      </c>
      <c r="C7" s="6">
        <v>16</v>
      </c>
    </row>
    <row r="8" spans="1:3" x14ac:dyDescent="0.3">
      <c r="A8" s="6"/>
      <c r="B8" s="6" t="s">
        <v>332</v>
      </c>
      <c r="C8" s="6">
        <v>-1</v>
      </c>
    </row>
    <row r="9" spans="1:3" x14ac:dyDescent="0.3">
      <c r="A9" s="6"/>
      <c r="B9" s="6" t="s">
        <v>428</v>
      </c>
      <c r="C9" s="6">
        <v>-1</v>
      </c>
    </row>
    <row r="10" spans="1:3" x14ac:dyDescent="0.3">
      <c r="A10" s="6"/>
      <c r="B10" s="6" t="s">
        <v>428</v>
      </c>
      <c r="C10" s="6">
        <v>-1</v>
      </c>
    </row>
    <row r="11" spans="1:3" x14ac:dyDescent="0.3">
      <c r="A11" s="6" t="s">
        <v>1953</v>
      </c>
      <c r="B11" s="6" t="s">
        <v>344</v>
      </c>
      <c r="C11" s="6">
        <v>7</v>
      </c>
    </row>
    <row r="12" spans="1:3" x14ac:dyDescent="0.3">
      <c r="A12" s="6" t="s">
        <v>2027</v>
      </c>
      <c r="B12" s="6" t="s">
        <v>332</v>
      </c>
      <c r="C12" s="6">
        <v>10</v>
      </c>
    </row>
    <row r="13" spans="1:3" x14ac:dyDescent="0.3">
      <c r="A13" s="6"/>
      <c r="B13" s="6" t="s">
        <v>328</v>
      </c>
      <c r="C13" s="6">
        <v>-1</v>
      </c>
    </row>
    <row r="14" spans="1:3" x14ac:dyDescent="0.3">
      <c r="A14" s="6"/>
      <c r="B14" s="6" t="s">
        <v>726</v>
      </c>
      <c r="C14" s="6">
        <v>-1</v>
      </c>
    </row>
    <row r="15" spans="1:3" x14ac:dyDescent="0.3">
      <c r="A15" s="6"/>
      <c r="B15" s="6" t="s">
        <v>356</v>
      </c>
      <c r="C15" s="6">
        <v>-1</v>
      </c>
    </row>
    <row r="16" spans="1:3" x14ac:dyDescent="0.3">
      <c r="A16" s="6" t="s">
        <v>3809</v>
      </c>
      <c r="B16" s="6" t="s">
        <v>346</v>
      </c>
      <c r="C16" s="6">
        <v>13</v>
      </c>
    </row>
    <row r="17" spans="1:3" x14ac:dyDescent="0.3">
      <c r="A17" s="6"/>
      <c r="B17" s="6" t="s">
        <v>726</v>
      </c>
      <c r="C17" s="6">
        <v>-1</v>
      </c>
    </row>
    <row r="18" spans="1:3" x14ac:dyDescent="0.3">
      <c r="A18" s="6"/>
      <c r="B18" s="6" t="s">
        <v>386</v>
      </c>
      <c r="C18" s="6">
        <v>-1</v>
      </c>
    </row>
  </sheetData>
  <pageMargins left="0.7" right="0.7" top="0.75" bottom="0.75" header="0.3" footer="0.3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827E4-9937-4C74-8E3B-A839A694DA2A}">
  <dimension ref="A1:E44"/>
  <sheetViews>
    <sheetView topLeftCell="A37" workbookViewId="0">
      <selection activeCell="B45" sqref="B45"/>
    </sheetView>
  </sheetViews>
  <sheetFormatPr defaultRowHeight="14.4" x14ac:dyDescent="0.3"/>
  <cols>
    <col min="1" max="1" width="19" bestFit="1" customWidth="1"/>
    <col min="2" max="2" width="13.6640625" bestFit="1" customWidth="1"/>
    <col min="3" max="4" width="23" bestFit="1" customWidth="1"/>
    <col min="5" max="5" width="31.109375" bestFit="1" customWidth="1"/>
  </cols>
  <sheetData>
    <row r="1" spans="1:5" x14ac:dyDescent="0.3">
      <c r="A1" t="s">
        <v>832</v>
      </c>
      <c r="B1" t="s">
        <v>1</v>
      </c>
      <c r="C1" t="s">
        <v>902</v>
      </c>
      <c r="D1" t="s">
        <v>903</v>
      </c>
      <c r="E1" t="s">
        <v>1142</v>
      </c>
    </row>
    <row r="2" spans="1:5" x14ac:dyDescent="0.3">
      <c r="A2" s="6" t="s">
        <v>4559</v>
      </c>
      <c r="B2" s="6" t="s">
        <v>358</v>
      </c>
      <c r="C2" s="6"/>
      <c r="D2" s="6">
        <v>10</v>
      </c>
      <c r="E2" s="6">
        <v>17</v>
      </c>
    </row>
    <row r="3" spans="1:5" x14ac:dyDescent="0.3">
      <c r="A3" s="6" t="s">
        <v>2951</v>
      </c>
      <c r="B3" s="6" t="s">
        <v>412</v>
      </c>
      <c r="C3" s="6">
        <v>17</v>
      </c>
      <c r="D3" s="6"/>
      <c r="E3" s="6">
        <v>35</v>
      </c>
    </row>
    <row r="4" spans="1:5" x14ac:dyDescent="0.3">
      <c r="A4" s="6" t="s">
        <v>2936</v>
      </c>
      <c r="B4" s="6" t="s">
        <v>402</v>
      </c>
      <c r="C4" s="6"/>
      <c r="D4" s="6">
        <v>5</v>
      </c>
      <c r="E4" s="6">
        <v>2</v>
      </c>
    </row>
    <row r="5" spans="1:5" x14ac:dyDescent="0.3">
      <c r="A5" s="6" t="s">
        <v>2103</v>
      </c>
      <c r="B5" s="6" t="s">
        <v>442</v>
      </c>
      <c r="C5" s="6"/>
      <c r="D5" s="6">
        <v>8</v>
      </c>
      <c r="E5" s="6">
        <v>11</v>
      </c>
    </row>
    <row r="6" spans="1:5" x14ac:dyDescent="0.3">
      <c r="A6" s="6"/>
      <c r="B6" s="6" t="s">
        <v>356</v>
      </c>
      <c r="C6" s="6"/>
      <c r="D6" s="6">
        <v>-1</v>
      </c>
      <c r="E6" s="6">
        <v>-1</v>
      </c>
    </row>
    <row r="7" spans="1:5" x14ac:dyDescent="0.3">
      <c r="A7" s="6"/>
      <c r="B7" s="6" t="s">
        <v>444</v>
      </c>
      <c r="C7" s="6"/>
      <c r="D7" s="6">
        <v>-1</v>
      </c>
      <c r="E7" s="6">
        <v>-1</v>
      </c>
    </row>
    <row r="8" spans="1:5" x14ac:dyDescent="0.3">
      <c r="A8" s="6"/>
      <c r="B8" s="6" t="s">
        <v>378</v>
      </c>
      <c r="C8" s="6"/>
      <c r="D8" s="6">
        <v>-1</v>
      </c>
      <c r="E8" s="6">
        <v>-1</v>
      </c>
    </row>
    <row r="9" spans="1:5" x14ac:dyDescent="0.3">
      <c r="A9" s="6"/>
      <c r="B9" s="6" t="s">
        <v>354</v>
      </c>
      <c r="C9" s="6"/>
      <c r="D9" s="6">
        <v>-1</v>
      </c>
      <c r="E9" s="6">
        <v>-1</v>
      </c>
    </row>
    <row r="10" spans="1:5" x14ac:dyDescent="0.3">
      <c r="A10" s="6"/>
      <c r="B10" s="6" t="s">
        <v>694</v>
      </c>
      <c r="C10" s="6"/>
      <c r="D10" s="6">
        <v>-1</v>
      </c>
      <c r="E10" s="6">
        <v>-1</v>
      </c>
    </row>
    <row r="11" spans="1:5" x14ac:dyDescent="0.3">
      <c r="A11" s="6"/>
      <c r="B11" s="6" t="s">
        <v>394</v>
      </c>
      <c r="C11" s="6"/>
      <c r="D11" s="6">
        <v>-1</v>
      </c>
      <c r="E11" s="6">
        <v>-1</v>
      </c>
    </row>
    <row r="12" spans="1:5" x14ac:dyDescent="0.3">
      <c r="A12" s="6"/>
      <c r="B12" s="6" t="s">
        <v>330</v>
      </c>
      <c r="C12" s="6"/>
      <c r="D12" s="6">
        <v>-1</v>
      </c>
      <c r="E12" s="6">
        <v>-1</v>
      </c>
    </row>
    <row r="13" spans="1:5" x14ac:dyDescent="0.3">
      <c r="A13" s="6"/>
      <c r="B13" s="6" t="s">
        <v>328</v>
      </c>
      <c r="C13" s="6"/>
      <c r="D13" s="6">
        <v>-1</v>
      </c>
      <c r="E13" s="6">
        <v>-1</v>
      </c>
    </row>
    <row r="14" spans="1:5" x14ac:dyDescent="0.3">
      <c r="A14" s="6" t="s">
        <v>1718</v>
      </c>
      <c r="B14" s="6" t="s">
        <v>338</v>
      </c>
      <c r="C14" s="6"/>
      <c r="D14" s="6">
        <v>12</v>
      </c>
      <c r="E14" s="6">
        <v>28</v>
      </c>
    </row>
    <row r="15" spans="1:5" x14ac:dyDescent="0.3">
      <c r="A15" s="6"/>
      <c r="B15" s="6" t="s">
        <v>474</v>
      </c>
      <c r="C15" s="6"/>
      <c r="D15" s="6">
        <v>-1</v>
      </c>
      <c r="E15" s="6">
        <v>-1</v>
      </c>
    </row>
    <row r="16" spans="1:5" x14ac:dyDescent="0.3">
      <c r="A16" s="6" t="s">
        <v>4358</v>
      </c>
      <c r="B16" s="6" t="s">
        <v>344</v>
      </c>
      <c r="C16" s="6"/>
      <c r="D16" s="6">
        <v>2</v>
      </c>
      <c r="E16" s="6">
        <v>9</v>
      </c>
    </row>
    <row r="17" spans="1:5" x14ac:dyDescent="0.3">
      <c r="A17" s="6"/>
      <c r="B17" s="6" t="s">
        <v>428</v>
      </c>
      <c r="C17" s="6"/>
      <c r="D17" s="6">
        <v>-1</v>
      </c>
      <c r="E17" s="6">
        <v>-1</v>
      </c>
    </row>
    <row r="18" spans="1:5" x14ac:dyDescent="0.3">
      <c r="A18" s="6" t="s">
        <v>1631</v>
      </c>
      <c r="B18" s="6" t="s">
        <v>596</v>
      </c>
      <c r="C18" s="6"/>
      <c r="D18" s="6">
        <v>15</v>
      </c>
      <c r="E18" s="6">
        <v>21</v>
      </c>
    </row>
    <row r="19" spans="1:5" x14ac:dyDescent="0.3">
      <c r="A19" s="6" t="s">
        <v>4906</v>
      </c>
      <c r="B19" s="6" t="s">
        <v>408</v>
      </c>
      <c r="C19" s="6"/>
      <c r="D19" s="6">
        <v>6</v>
      </c>
      <c r="E19" s="6">
        <v>6</v>
      </c>
    </row>
    <row r="20" spans="1:5" x14ac:dyDescent="0.3">
      <c r="A20" s="6"/>
      <c r="B20" s="6" t="s">
        <v>694</v>
      </c>
      <c r="C20" s="6">
        <v>-1</v>
      </c>
      <c r="D20" s="6"/>
      <c r="E20" s="6">
        <v>-1</v>
      </c>
    </row>
    <row r="21" spans="1:5" x14ac:dyDescent="0.3">
      <c r="A21" s="6"/>
      <c r="B21" s="6" t="s">
        <v>394</v>
      </c>
      <c r="C21" s="6">
        <v>-1</v>
      </c>
      <c r="D21" s="6"/>
      <c r="E21" s="6">
        <v>-1</v>
      </c>
    </row>
    <row r="22" spans="1:5" x14ac:dyDescent="0.3">
      <c r="A22" s="6"/>
      <c r="B22" s="6" t="s">
        <v>334</v>
      </c>
      <c r="C22" s="6">
        <v>-1</v>
      </c>
      <c r="D22" s="6"/>
      <c r="E22" s="6">
        <v>-1</v>
      </c>
    </row>
    <row r="23" spans="1:5" x14ac:dyDescent="0.3">
      <c r="A23" s="6" t="s">
        <v>2104</v>
      </c>
      <c r="B23" s="6" t="s">
        <v>442</v>
      </c>
      <c r="C23" s="6">
        <v>6</v>
      </c>
      <c r="D23" s="6"/>
      <c r="E23" s="6">
        <v>4</v>
      </c>
    </row>
    <row r="24" spans="1:5" x14ac:dyDescent="0.3">
      <c r="A24" s="6"/>
      <c r="B24" s="6" t="s">
        <v>408</v>
      </c>
      <c r="C24" s="6">
        <v>-1</v>
      </c>
      <c r="D24" s="6"/>
      <c r="E24" s="6">
        <v>-1</v>
      </c>
    </row>
    <row r="25" spans="1:5" x14ac:dyDescent="0.3">
      <c r="A25" s="6" t="s">
        <v>2935</v>
      </c>
      <c r="B25" s="6" t="s">
        <v>402</v>
      </c>
      <c r="C25" s="6">
        <v>2</v>
      </c>
      <c r="D25" s="6"/>
      <c r="E25" s="6">
        <v>31</v>
      </c>
    </row>
    <row r="26" spans="1:5" x14ac:dyDescent="0.3">
      <c r="A26" s="6" t="s">
        <v>4381</v>
      </c>
      <c r="B26" s="6" t="s">
        <v>344</v>
      </c>
      <c r="C26" s="6">
        <v>1</v>
      </c>
      <c r="D26" s="6"/>
      <c r="E26" s="6"/>
    </row>
    <row r="27" spans="1:5" x14ac:dyDescent="0.3">
      <c r="A27" s="6" t="s">
        <v>2861</v>
      </c>
      <c r="B27" s="6" t="s">
        <v>356</v>
      </c>
      <c r="C27" s="6">
        <v>14</v>
      </c>
      <c r="D27" s="6"/>
      <c r="E27" s="6"/>
    </row>
    <row r="28" spans="1:5" x14ac:dyDescent="0.3">
      <c r="A28" s="6"/>
      <c r="B28" s="6" t="s">
        <v>596</v>
      </c>
      <c r="C28" s="6">
        <v>-1</v>
      </c>
      <c r="D28" s="6"/>
      <c r="E28" s="6">
        <v>-1</v>
      </c>
    </row>
    <row r="29" spans="1:5" x14ac:dyDescent="0.3">
      <c r="A29" s="6" t="s">
        <v>2769</v>
      </c>
      <c r="B29" s="6" t="s">
        <v>450</v>
      </c>
      <c r="C29" s="6">
        <v>8</v>
      </c>
      <c r="D29" s="6"/>
      <c r="E29" s="6">
        <v>32</v>
      </c>
    </row>
    <row r="30" spans="1:5" x14ac:dyDescent="0.3">
      <c r="A30" s="6" t="s">
        <v>4509</v>
      </c>
      <c r="B30" s="6" t="s">
        <v>332</v>
      </c>
      <c r="C30" s="6">
        <v>16</v>
      </c>
      <c r="D30" s="6"/>
      <c r="E30" s="6">
        <v>37</v>
      </c>
    </row>
    <row r="31" spans="1:5" x14ac:dyDescent="0.3">
      <c r="A31" s="6" t="s">
        <v>4577</v>
      </c>
      <c r="B31" s="6" t="s">
        <v>330</v>
      </c>
      <c r="C31" s="6">
        <v>5</v>
      </c>
      <c r="D31" s="6"/>
      <c r="E31" s="6">
        <v>25</v>
      </c>
    </row>
    <row r="32" spans="1:5" x14ac:dyDescent="0.3">
      <c r="A32" s="6"/>
      <c r="B32" s="6" t="s">
        <v>368</v>
      </c>
      <c r="C32" s="6"/>
      <c r="D32" s="6">
        <v>-1</v>
      </c>
      <c r="E32" s="6">
        <v>-1</v>
      </c>
    </row>
    <row r="33" spans="1:5" x14ac:dyDescent="0.3">
      <c r="A33" s="6" t="s">
        <v>3323</v>
      </c>
      <c r="B33" s="6" t="s">
        <v>428</v>
      </c>
      <c r="C33" s="6">
        <v>13</v>
      </c>
      <c r="D33" s="6"/>
      <c r="E33" s="6">
        <v>-1</v>
      </c>
    </row>
    <row r="34" spans="1:5" x14ac:dyDescent="0.3">
      <c r="A34" s="6"/>
      <c r="B34" s="6" t="s">
        <v>334</v>
      </c>
      <c r="C34" s="6"/>
      <c r="D34" s="6">
        <v>-1</v>
      </c>
      <c r="E34" s="6">
        <v>-1</v>
      </c>
    </row>
    <row r="35" spans="1:5" x14ac:dyDescent="0.3">
      <c r="A35" s="6"/>
      <c r="B35" s="6" t="s">
        <v>354</v>
      </c>
      <c r="C35" s="6">
        <v>-1</v>
      </c>
      <c r="D35" s="6"/>
      <c r="E35" s="6">
        <v>-1</v>
      </c>
    </row>
    <row r="36" spans="1:5" x14ac:dyDescent="0.3">
      <c r="A36" s="6" t="s">
        <v>3754</v>
      </c>
      <c r="B36" s="6" t="s">
        <v>404</v>
      </c>
      <c r="C36" s="6">
        <v>20</v>
      </c>
      <c r="D36" s="6">
        <v>17</v>
      </c>
      <c r="E36" s="6">
        <v>18</v>
      </c>
    </row>
    <row r="37" spans="1:5" x14ac:dyDescent="0.3">
      <c r="A37" s="6" t="s">
        <v>4380</v>
      </c>
      <c r="B37" s="6" t="s">
        <v>688</v>
      </c>
      <c r="C37" s="6">
        <v>12</v>
      </c>
      <c r="D37" s="6">
        <v>22</v>
      </c>
      <c r="E37" s="6">
        <v>19</v>
      </c>
    </row>
    <row r="38" spans="1:5" x14ac:dyDescent="0.3">
      <c r="A38" s="6" t="s">
        <v>3064</v>
      </c>
      <c r="B38" s="6" t="s">
        <v>336</v>
      </c>
      <c r="C38" s="6">
        <v>18</v>
      </c>
      <c r="D38" s="6">
        <v>20</v>
      </c>
      <c r="E38" s="6">
        <v>27</v>
      </c>
    </row>
    <row r="39" spans="1:5" x14ac:dyDescent="0.3">
      <c r="A39" s="6" t="s">
        <v>2677</v>
      </c>
      <c r="B39" s="6" t="s">
        <v>384</v>
      </c>
      <c r="C39" s="6">
        <v>15</v>
      </c>
      <c r="D39" s="6">
        <v>21</v>
      </c>
      <c r="E39" s="6">
        <v>29</v>
      </c>
    </row>
    <row r="40" spans="1:5" x14ac:dyDescent="0.3">
      <c r="A40" s="6" t="s">
        <v>4591</v>
      </c>
      <c r="B40" s="6" t="s">
        <v>344</v>
      </c>
      <c r="C40" s="6"/>
      <c r="D40" s="6"/>
      <c r="E40" s="6">
        <v>7</v>
      </c>
    </row>
    <row r="41" spans="1:5" x14ac:dyDescent="0.3">
      <c r="A41" s="6"/>
      <c r="B41" s="6" t="s">
        <v>334</v>
      </c>
      <c r="C41" s="6"/>
      <c r="D41" s="6"/>
      <c r="E41" s="6">
        <v>-1</v>
      </c>
    </row>
    <row r="42" spans="1:5" x14ac:dyDescent="0.3">
      <c r="A42" s="6" t="s">
        <v>2209</v>
      </c>
      <c r="B42" s="6" t="s">
        <v>330</v>
      </c>
      <c r="C42" s="6"/>
      <c r="D42" s="6"/>
      <c r="E42" s="6">
        <v>14</v>
      </c>
    </row>
    <row r="43" spans="1:5" x14ac:dyDescent="0.3">
      <c r="A43" s="6"/>
      <c r="B43" s="6" t="s">
        <v>552</v>
      </c>
      <c r="C43" s="6"/>
      <c r="D43" s="6">
        <v>-1</v>
      </c>
      <c r="E43" s="6">
        <v>-1</v>
      </c>
    </row>
    <row r="44" spans="1:5" x14ac:dyDescent="0.3">
      <c r="A44" s="6"/>
      <c r="B44" s="6" t="s">
        <v>386</v>
      </c>
      <c r="C44" s="6">
        <v>-1</v>
      </c>
      <c r="D44" s="6"/>
      <c r="E44" s="6">
        <v>-1</v>
      </c>
    </row>
  </sheetData>
  <pageMargins left="0.7" right="0.7" top="0.75" bottom="0.75" header="0.3" footer="0.3"/>
  <tableParts count="1"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C18A0-710B-405C-ABEC-AE4E9404CEBE}">
  <dimension ref="A1:E41"/>
  <sheetViews>
    <sheetView topLeftCell="A34" workbookViewId="0">
      <selection activeCell="B42" sqref="B42"/>
    </sheetView>
  </sheetViews>
  <sheetFormatPr defaultRowHeight="14.4" x14ac:dyDescent="0.3"/>
  <cols>
    <col min="1" max="1" width="17.44140625" bestFit="1" customWidth="1"/>
    <col min="2" max="2" width="13.6640625" bestFit="1" customWidth="1"/>
    <col min="3" max="4" width="23" bestFit="1" customWidth="1"/>
    <col min="5" max="5" width="31.109375" bestFit="1" customWidth="1"/>
  </cols>
  <sheetData>
    <row r="1" spans="1:5" x14ac:dyDescent="0.3">
      <c r="A1" t="s">
        <v>832</v>
      </c>
      <c r="B1" t="s">
        <v>1</v>
      </c>
      <c r="C1" t="s">
        <v>902</v>
      </c>
      <c r="D1" t="s">
        <v>903</v>
      </c>
      <c r="E1" t="s">
        <v>1142</v>
      </c>
    </row>
    <row r="2" spans="1:5" x14ac:dyDescent="0.3">
      <c r="A2" s="6"/>
      <c r="B2" s="6" t="s">
        <v>596</v>
      </c>
      <c r="C2" s="6"/>
      <c r="D2" s="6">
        <v>-1</v>
      </c>
      <c r="E2" s="6">
        <v>-1</v>
      </c>
    </row>
    <row r="3" spans="1:5" x14ac:dyDescent="0.3">
      <c r="A3" s="6"/>
      <c r="B3" s="6" t="s">
        <v>694</v>
      </c>
      <c r="C3" s="6">
        <v>-1</v>
      </c>
      <c r="D3" s="6"/>
      <c r="E3" s="6">
        <v>-1</v>
      </c>
    </row>
    <row r="4" spans="1:5" x14ac:dyDescent="0.3">
      <c r="A4" s="6" t="s">
        <v>3434</v>
      </c>
      <c r="B4" s="6" t="s">
        <v>334</v>
      </c>
      <c r="C4" s="6"/>
      <c r="D4" s="6">
        <v>11</v>
      </c>
      <c r="E4" s="6">
        <v>14</v>
      </c>
    </row>
    <row r="5" spans="1:5" x14ac:dyDescent="0.3">
      <c r="A5" s="6"/>
      <c r="B5" s="6" t="s">
        <v>474</v>
      </c>
      <c r="C5" s="6"/>
      <c r="D5" s="6">
        <v>-1</v>
      </c>
      <c r="E5" s="6">
        <v>-1</v>
      </c>
    </row>
    <row r="6" spans="1:5" x14ac:dyDescent="0.3">
      <c r="A6" s="6"/>
      <c r="B6" s="6" t="s">
        <v>394</v>
      </c>
      <c r="C6" s="6"/>
      <c r="D6" s="6">
        <v>-1</v>
      </c>
      <c r="E6" s="6">
        <v>-1</v>
      </c>
    </row>
    <row r="7" spans="1:5" x14ac:dyDescent="0.3">
      <c r="A7" s="6"/>
      <c r="B7" s="6" t="s">
        <v>402</v>
      </c>
      <c r="C7" s="6"/>
      <c r="D7" s="6">
        <v>-1</v>
      </c>
      <c r="E7" s="6">
        <v>-1</v>
      </c>
    </row>
    <row r="8" spans="1:5" x14ac:dyDescent="0.3">
      <c r="A8" s="6"/>
      <c r="B8" s="6" t="s">
        <v>356</v>
      </c>
      <c r="C8" s="6"/>
      <c r="D8" s="6">
        <v>-1</v>
      </c>
      <c r="E8" s="6">
        <v>-1</v>
      </c>
    </row>
    <row r="9" spans="1:5" x14ac:dyDescent="0.3">
      <c r="A9" s="6" t="s">
        <v>4907</v>
      </c>
      <c r="B9" s="6" t="s">
        <v>408</v>
      </c>
      <c r="C9" s="6"/>
      <c r="D9" s="6">
        <v>9</v>
      </c>
      <c r="E9" s="6">
        <v>27</v>
      </c>
    </row>
    <row r="10" spans="1:5" x14ac:dyDescent="0.3">
      <c r="A10" s="6"/>
      <c r="B10" s="6" t="s">
        <v>412</v>
      </c>
      <c r="C10" s="6"/>
      <c r="D10" s="6">
        <v>-1</v>
      </c>
      <c r="E10" s="6">
        <v>-1</v>
      </c>
    </row>
    <row r="11" spans="1:5" x14ac:dyDescent="0.3">
      <c r="A11" s="6" t="s">
        <v>4366</v>
      </c>
      <c r="B11" s="6" t="s">
        <v>344</v>
      </c>
      <c r="C11" s="6"/>
      <c r="D11" s="6">
        <v>6</v>
      </c>
      <c r="E11" s="6">
        <v>9</v>
      </c>
    </row>
    <row r="12" spans="1:5" x14ac:dyDescent="0.3">
      <c r="A12" s="6"/>
      <c r="B12" s="6" t="s">
        <v>330</v>
      </c>
      <c r="C12" s="6"/>
      <c r="D12" s="6">
        <v>-1</v>
      </c>
      <c r="E12" s="6">
        <v>-1</v>
      </c>
    </row>
    <row r="13" spans="1:5" x14ac:dyDescent="0.3">
      <c r="A13" s="6"/>
      <c r="B13" s="6" t="s">
        <v>444</v>
      </c>
      <c r="C13" s="6"/>
      <c r="D13" s="6">
        <v>-1</v>
      </c>
      <c r="E13" s="6">
        <v>-1</v>
      </c>
    </row>
    <row r="14" spans="1:5" x14ac:dyDescent="0.3">
      <c r="A14" s="6"/>
      <c r="B14" s="6" t="s">
        <v>442</v>
      </c>
      <c r="C14" s="6"/>
      <c r="D14" s="6">
        <v>-1</v>
      </c>
      <c r="E14" s="6">
        <v>-1</v>
      </c>
    </row>
    <row r="15" spans="1:5" x14ac:dyDescent="0.3">
      <c r="A15" s="6"/>
      <c r="B15" s="6" t="s">
        <v>358</v>
      </c>
      <c r="C15" s="6"/>
      <c r="D15" s="6">
        <v>-1</v>
      </c>
      <c r="E15" s="6">
        <v>-1</v>
      </c>
    </row>
    <row r="16" spans="1:5" x14ac:dyDescent="0.3">
      <c r="A16" s="6"/>
      <c r="B16" s="6" t="s">
        <v>336</v>
      </c>
      <c r="C16" s="6"/>
      <c r="D16" s="6">
        <v>-1</v>
      </c>
      <c r="E16" s="6">
        <v>-1</v>
      </c>
    </row>
    <row r="17" spans="1:5" x14ac:dyDescent="0.3">
      <c r="A17" s="6"/>
      <c r="B17" s="6" t="s">
        <v>694</v>
      </c>
      <c r="C17" s="6"/>
      <c r="D17" s="6">
        <v>-1</v>
      </c>
      <c r="E17" s="6">
        <v>-1</v>
      </c>
    </row>
    <row r="18" spans="1:5" x14ac:dyDescent="0.3">
      <c r="A18" s="6"/>
      <c r="B18" s="6" t="s">
        <v>428</v>
      </c>
      <c r="C18" s="6"/>
      <c r="D18" s="6">
        <v>-1</v>
      </c>
      <c r="E18" s="6">
        <v>-1</v>
      </c>
    </row>
    <row r="19" spans="1:5" x14ac:dyDescent="0.3">
      <c r="A19" s="6" t="s">
        <v>1428</v>
      </c>
      <c r="B19" s="6" t="s">
        <v>354</v>
      </c>
      <c r="C19" s="6">
        <v>1</v>
      </c>
      <c r="D19" s="6">
        <v>1</v>
      </c>
      <c r="E19" s="6">
        <v>26</v>
      </c>
    </row>
    <row r="20" spans="1:5" x14ac:dyDescent="0.3">
      <c r="A20" s="6" t="s">
        <v>4573</v>
      </c>
      <c r="B20" s="6" t="s">
        <v>500</v>
      </c>
      <c r="C20" s="6">
        <v>6</v>
      </c>
      <c r="D20" s="6">
        <v>22</v>
      </c>
      <c r="E20" s="6">
        <v>15</v>
      </c>
    </row>
    <row r="21" spans="1:5" x14ac:dyDescent="0.3">
      <c r="A21" s="6"/>
      <c r="B21" s="6" t="s">
        <v>332</v>
      </c>
      <c r="C21" s="6">
        <v>-1</v>
      </c>
      <c r="D21" s="6"/>
      <c r="E21" s="6">
        <v>-1</v>
      </c>
    </row>
    <row r="22" spans="1:5" x14ac:dyDescent="0.3">
      <c r="A22" s="6" t="s">
        <v>3566</v>
      </c>
      <c r="B22" s="6" t="s">
        <v>402</v>
      </c>
      <c r="C22" s="6">
        <v>12</v>
      </c>
      <c r="D22" s="6"/>
      <c r="E22" s="6">
        <v>13</v>
      </c>
    </row>
    <row r="23" spans="1:5" x14ac:dyDescent="0.3">
      <c r="A23" s="6"/>
      <c r="B23" s="6" t="s">
        <v>442</v>
      </c>
      <c r="C23" s="6">
        <v>-1</v>
      </c>
      <c r="D23" s="6"/>
      <c r="E23" s="6">
        <v>-1</v>
      </c>
    </row>
    <row r="24" spans="1:5" x14ac:dyDescent="0.3">
      <c r="A24" s="6"/>
      <c r="B24" s="6" t="s">
        <v>334</v>
      </c>
      <c r="C24" s="6">
        <v>-1</v>
      </c>
      <c r="D24" s="6"/>
      <c r="E24" s="6">
        <v>-1</v>
      </c>
    </row>
    <row r="25" spans="1:5" x14ac:dyDescent="0.3">
      <c r="A25" s="6" t="s">
        <v>2800</v>
      </c>
      <c r="B25" s="6" t="s">
        <v>408</v>
      </c>
      <c r="C25" s="6">
        <v>4</v>
      </c>
      <c r="D25" s="6"/>
      <c r="E25" s="6">
        <v>35</v>
      </c>
    </row>
    <row r="26" spans="1:5" x14ac:dyDescent="0.3">
      <c r="A26" s="6"/>
      <c r="B26" s="6" t="s">
        <v>344</v>
      </c>
      <c r="C26" s="6">
        <v>-1</v>
      </c>
      <c r="D26" s="6"/>
      <c r="E26" s="6">
        <v>-1</v>
      </c>
    </row>
    <row r="27" spans="1:5" x14ac:dyDescent="0.3">
      <c r="A27" s="6"/>
      <c r="B27" s="6" t="s">
        <v>336</v>
      </c>
      <c r="C27" s="6">
        <v>-1</v>
      </c>
      <c r="D27" s="6"/>
      <c r="E27" s="6">
        <v>-1</v>
      </c>
    </row>
    <row r="28" spans="1:5" x14ac:dyDescent="0.3">
      <c r="A28" s="6"/>
      <c r="B28" s="6" t="s">
        <v>330</v>
      </c>
      <c r="C28" s="6">
        <v>-1</v>
      </c>
      <c r="D28" s="6"/>
      <c r="E28" s="6">
        <v>-1</v>
      </c>
    </row>
    <row r="29" spans="1:5" x14ac:dyDescent="0.3">
      <c r="A29" s="6" t="s">
        <v>1603</v>
      </c>
      <c r="B29" s="6" t="s">
        <v>356</v>
      </c>
      <c r="C29" s="6">
        <v>18</v>
      </c>
      <c r="D29" s="6"/>
      <c r="E29" s="6">
        <v>20</v>
      </c>
    </row>
    <row r="30" spans="1:5" x14ac:dyDescent="0.3">
      <c r="A30" s="6"/>
      <c r="B30" s="6" t="s">
        <v>726</v>
      </c>
      <c r="C30" s="6">
        <v>-1</v>
      </c>
      <c r="D30" s="6"/>
      <c r="E30" s="6">
        <v>-1</v>
      </c>
    </row>
    <row r="31" spans="1:5" x14ac:dyDescent="0.3">
      <c r="A31" s="6"/>
      <c r="B31" s="6" t="s">
        <v>368</v>
      </c>
      <c r="C31" s="6"/>
      <c r="D31" s="6">
        <v>-1</v>
      </c>
      <c r="E31" s="6">
        <v>-1</v>
      </c>
    </row>
    <row r="32" spans="1:5" x14ac:dyDescent="0.3">
      <c r="A32" s="6"/>
      <c r="B32" s="6" t="s">
        <v>328</v>
      </c>
      <c r="C32" s="6">
        <v>-1</v>
      </c>
      <c r="D32" s="6"/>
      <c r="E32" s="6">
        <v>-1</v>
      </c>
    </row>
    <row r="33" spans="1:5" x14ac:dyDescent="0.3">
      <c r="A33" s="6"/>
      <c r="B33" s="6" t="s">
        <v>380</v>
      </c>
      <c r="C33" s="6"/>
      <c r="D33" s="6">
        <v>-1</v>
      </c>
      <c r="E33" s="6">
        <v>-1</v>
      </c>
    </row>
    <row r="34" spans="1:5" x14ac:dyDescent="0.3">
      <c r="A34" s="6"/>
      <c r="B34" s="6" t="s">
        <v>596</v>
      </c>
      <c r="C34" s="6">
        <v>-1</v>
      </c>
      <c r="D34" s="6"/>
      <c r="E34" s="6">
        <v>-1</v>
      </c>
    </row>
    <row r="35" spans="1:5" x14ac:dyDescent="0.3">
      <c r="A35" s="6"/>
      <c r="B35" s="6" t="s">
        <v>332</v>
      </c>
      <c r="C35" s="6"/>
      <c r="D35" s="6">
        <v>-1</v>
      </c>
      <c r="E35" s="6">
        <v>-1</v>
      </c>
    </row>
    <row r="36" spans="1:5" x14ac:dyDescent="0.3">
      <c r="A36" s="6"/>
      <c r="B36" s="6" t="s">
        <v>412</v>
      </c>
      <c r="C36" s="6">
        <v>-1</v>
      </c>
      <c r="D36" s="6"/>
      <c r="E36" s="6">
        <v>-1</v>
      </c>
    </row>
    <row r="37" spans="1:5" x14ac:dyDescent="0.3">
      <c r="A37" s="6" t="s">
        <v>4551</v>
      </c>
      <c r="B37" s="6" t="s">
        <v>350</v>
      </c>
      <c r="C37" s="6"/>
      <c r="D37" s="6">
        <v>25</v>
      </c>
      <c r="E37" s="6">
        <v>28</v>
      </c>
    </row>
    <row r="38" spans="1:5" x14ac:dyDescent="0.3">
      <c r="A38" s="6"/>
      <c r="B38" s="6" t="s">
        <v>384</v>
      </c>
      <c r="C38" s="6">
        <v>-1</v>
      </c>
      <c r="D38" s="6"/>
      <c r="E38" s="6">
        <v>-1</v>
      </c>
    </row>
    <row r="39" spans="1:5" x14ac:dyDescent="0.3">
      <c r="A39" s="6" t="s">
        <v>1429</v>
      </c>
      <c r="B39" s="6" t="s">
        <v>354</v>
      </c>
      <c r="C39" s="6"/>
      <c r="D39" s="6"/>
      <c r="E39" s="6">
        <v>1</v>
      </c>
    </row>
    <row r="40" spans="1:5" x14ac:dyDescent="0.3">
      <c r="A40" s="6" t="s">
        <v>4780</v>
      </c>
      <c r="B40" s="6" t="s">
        <v>344</v>
      </c>
      <c r="C40" s="6"/>
      <c r="D40" s="6"/>
      <c r="E40" s="6">
        <v>2</v>
      </c>
    </row>
    <row r="41" spans="1:5" x14ac:dyDescent="0.3">
      <c r="A41" s="6"/>
      <c r="B41" s="6" t="s">
        <v>402</v>
      </c>
      <c r="C41" s="6"/>
      <c r="D41" s="6"/>
      <c r="E41" s="6">
        <v>-1</v>
      </c>
    </row>
  </sheetData>
  <pageMargins left="0.7" right="0.7" top="0.75" bottom="0.75" header="0.3" footer="0.3"/>
  <tableParts count="1"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F08FC-8BAD-4F15-8356-1EE435C450B0}">
  <dimension ref="A1:D39"/>
  <sheetViews>
    <sheetView topLeftCell="A31" workbookViewId="0">
      <selection activeCell="B40" sqref="B40"/>
    </sheetView>
  </sheetViews>
  <sheetFormatPr defaultRowHeight="14.4" x14ac:dyDescent="0.3"/>
  <cols>
    <col min="1" max="1" width="22.109375" bestFit="1" customWidth="1"/>
    <col min="2" max="2" width="14" bestFit="1" customWidth="1"/>
    <col min="3" max="4" width="23" bestFit="1" customWidth="1"/>
  </cols>
  <sheetData>
    <row r="1" spans="1:4" x14ac:dyDescent="0.3">
      <c r="A1" t="s">
        <v>832</v>
      </c>
      <c r="B1" t="s">
        <v>1</v>
      </c>
      <c r="C1" t="s">
        <v>904</v>
      </c>
      <c r="D1" t="s">
        <v>905</v>
      </c>
    </row>
    <row r="2" spans="1:4" x14ac:dyDescent="0.3">
      <c r="A2" s="6" t="s">
        <v>3259</v>
      </c>
      <c r="B2" s="6" t="s">
        <v>344</v>
      </c>
      <c r="C2" s="6">
        <v>16</v>
      </c>
      <c r="D2" s="6"/>
    </row>
    <row r="3" spans="1:4" x14ac:dyDescent="0.3">
      <c r="A3" s="6"/>
      <c r="B3" s="6" t="s">
        <v>344</v>
      </c>
      <c r="C3" s="6"/>
      <c r="D3" s="6">
        <v>-1</v>
      </c>
    </row>
    <row r="4" spans="1:4" x14ac:dyDescent="0.3">
      <c r="A4" s="6"/>
      <c r="B4" s="6" t="s">
        <v>346</v>
      </c>
      <c r="C4" s="6"/>
      <c r="D4" s="6">
        <v>-1</v>
      </c>
    </row>
    <row r="5" spans="1:4" x14ac:dyDescent="0.3">
      <c r="A5" s="6"/>
      <c r="B5" s="6" t="s">
        <v>406</v>
      </c>
      <c r="C5" s="6"/>
      <c r="D5" s="6">
        <v>-1</v>
      </c>
    </row>
    <row r="6" spans="1:4" x14ac:dyDescent="0.3">
      <c r="A6" s="6" t="s">
        <v>2382</v>
      </c>
      <c r="B6" s="6" t="s">
        <v>354</v>
      </c>
      <c r="C6" s="6"/>
      <c r="D6" s="6">
        <v>17</v>
      </c>
    </row>
    <row r="7" spans="1:4" x14ac:dyDescent="0.3">
      <c r="A7" s="6"/>
      <c r="B7" s="6" t="s">
        <v>442</v>
      </c>
      <c r="C7" s="6"/>
      <c r="D7" s="6">
        <v>-1</v>
      </c>
    </row>
    <row r="8" spans="1:4" x14ac:dyDescent="0.3">
      <c r="A8" s="6"/>
      <c r="B8" s="6" t="s">
        <v>520</v>
      </c>
      <c r="C8" s="6"/>
      <c r="D8" s="6">
        <v>-1</v>
      </c>
    </row>
    <row r="9" spans="1:4" x14ac:dyDescent="0.3">
      <c r="A9" s="6"/>
      <c r="B9" s="6" t="s">
        <v>330</v>
      </c>
      <c r="C9" s="6"/>
      <c r="D9" s="6">
        <v>-1</v>
      </c>
    </row>
    <row r="10" spans="1:4" x14ac:dyDescent="0.3">
      <c r="A10" s="6"/>
      <c r="B10" s="6" t="s">
        <v>338</v>
      </c>
      <c r="C10" s="6"/>
      <c r="D10" s="6">
        <v>-1</v>
      </c>
    </row>
    <row r="11" spans="1:4" x14ac:dyDescent="0.3">
      <c r="A11" s="6" t="s">
        <v>3850</v>
      </c>
      <c r="B11" s="6" t="s">
        <v>340</v>
      </c>
      <c r="C11" s="6"/>
      <c r="D11" s="6">
        <v>4</v>
      </c>
    </row>
    <row r="12" spans="1:4" x14ac:dyDescent="0.3">
      <c r="A12" s="6" t="s">
        <v>2096</v>
      </c>
      <c r="B12" s="6" t="s">
        <v>442</v>
      </c>
      <c r="C12" s="6">
        <v>1</v>
      </c>
      <c r="D12" s="6"/>
    </row>
    <row r="13" spans="1:4" x14ac:dyDescent="0.3">
      <c r="A13" s="6"/>
      <c r="B13" s="6" t="s">
        <v>348</v>
      </c>
      <c r="C13" s="6">
        <v>-1</v>
      </c>
      <c r="D13" s="6"/>
    </row>
    <row r="14" spans="1:4" x14ac:dyDescent="0.3">
      <c r="A14" s="6"/>
      <c r="B14" s="6" t="s">
        <v>334</v>
      </c>
      <c r="C14" s="6">
        <v>-1</v>
      </c>
      <c r="D14" s="6"/>
    </row>
    <row r="15" spans="1:4" x14ac:dyDescent="0.3">
      <c r="A15" s="6"/>
      <c r="B15" s="6" t="s">
        <v>394</v>
      </c>
      <c r="C15" s="6">
        <v>-1</v>
      </c>
      <c r="D15" s="6"/>
    </row>
    <row r="16" spans="1:4" x14ac:dyDescent="0.3">
      <c r="A16" s="6"/>
      <c r="B16" s="6" t="s">
        <v>406</v>
      </c>
      <c r="C16" s="6">
        <v>-1</v>
      </c>
      <c r="D16" s="6"/>
    </row>
    <row r="17" spans="1:4" x14ac:dyDescent="0.3">
      <c r="A17" s="6" t="s">
        <v>2820</v>
      </c>
      <c r="B17" s="6" t="s">
        <v>336</v>
      </c>
      <c r="C17" s="6">
        <v>2</v>
      </c>
      <c r="D17" s="6"/>
    </row>
    <row r="18" spans="1:4" x14ac:dyDescent="0.3">
      <c r="A18" s="6"/>
      <c r="B18" s="6" t="s">
        <v>390</v>
      </c>
      <c r="C18" s="6">
        <v>-1</v>
      </c>
      <c r="D18" s="6"/>
    </row>
    <row r="19" spans="1:4" x14ac:dyDescent="0.3">
      <c r="A19" s="6"/>
      <c r="B19" s="6" t="s">
        <v>378</v>
      </c>
      <c r="C19" s="6"/>
      <c r="D19" s="6">
        <v>-1</v>
      </c>
    </row>
    <row r="20" spans="1:4" x14ac:dyDescent="0.3">
      <c r="A20" s="6"/>
      <c r="B20" s="6" t="s">
        <v>404</v>
      </c>
      <c r="C20" s="6">
        <v>-1</v>
      </c>
      <c r="D20" s="6"/>
    </row>
    <row r="21" spans="1:4" x14ac:dyDescent="0.3">
      <c r="A21" s="6"/>
      <c r="B21" s="6" t="s">
        <v>682</v>
      </c>
      <c r="C21" s="6"/>
      <c r="D21" s="6">
        <v>-1</v>
      </c>
    </row>
    <row r="22" spans="1:4" x14ac:dyDescent="0.3">
      <c r="A22" s="6"/>
      <c r="B22" s="6" t="s">
        <v>726</v>
      </c>
      <c r="C22" s="6">
        <v>-1</v>
      </c>
      <c r="D22" s="6"/>
    </row>
    <row r="23" spans="1:4" x14ac:dyDescent="0.3">
      <c r="A23" s="6"/>
      <c r="B23" s="6" t="s">
        <v>482</v>
      </c>
      <c r="C23" s="6"/>
      <c r="D23" s="6">
        <v>-1</v>
      </c>
    </row>
    <row r="24" spans="1:4" x14ac:dyDescent="0.3">
      <c r="A24" s="6"/>
      <c r="B24" s="6" t="s">
        <v>360</v>
      </c>
      <c r="C24" s="6"/>
      <c r="D24" s="6">
        <v>-1</v>
      </c>
    </row>
    <row r="25" spans="1:4" x14ac:dyDescent="0.3">
      <c r="A25" s="6" t="s">
        <v>3895</v>
      </c>
      <c r="B25" s="6" t="s">
        <v>360</v>
      </c>
      <c r="C25" s="6">
        <v>18</v>
      </c>
      <c r="D25" s="6"/>
    </row>
    <row r="26" spans="1:4" x14ac:dyDescent="0.3">
      <c r="A26" s="6"/>
      <c r="B26" s="6" t="s">
        <v>368</v>
      </c>
      <c r="C26" s="6">
        <v>-1</v>
      </c>
      <c r="D26" s="6"/>
    </row>
    <row r="27" spans="1:4" x14ac:dyDescent="0.3">
      <c r="A27" s="6"/>
      <c r="B27" s="6" t="s">
        <v>410</v>
      </c>
      <c r="C27" s="6"/>
      <c r="D27" s="6">
        <v>-1</v>
      </c>
    </row>
    <row r="28" spans="1:4" x14ac:dyDescent="0.3">
      <c r="A28" s="6"/>
      <c r="B28" s="6" t="s">
        <v>336</v>
      </c>
      <c r="C28" s="6"/>
      <c r="D28" s="6">
        <v>-1</v>
      </c>
    </row>
    <row r="29" spans="1:4" x14ac:dyDescent="0.3">
      <c r="A29" s="6"/>
      <c r="B29" s="6" t="s">
        <v>470</v>
      </c>
      <c r="C29" s="6">
        <v>-1</v>
      </c>
      <c r="D29" s="6"/>
    </row>
    <row r="30" spans="1:4" x14ac:dyDescent="0.3">
      <c r="A30" s="6"/>
      <c r="B30" s="6" t="s">
        <v>384</v>
      </c>
      <c r="C30" s="6">
        <v>-1</v>
      </c>
      <c r="D30" s="6"/>
    </row>
    <row r="31" spans="1:4" x14ac:dyDescent="0.3">
      <c r="A31" s="6"/>
      <c r="B31" s="6" t="s">
        <v>518</v>
      </c>
      <c r="C31" s="6"/>
      <c r="D31" s="6">
        <v>-1</v>
      </c>
    </row>
    <row r="32" spans="1:4" x14ac:dyDescent="0.3">
      <c r="A32" s="6"/>
      <c r="B32" s="6" t="s">
        <v>414</v>
      </c>
      <c r="C32" s="6"/>
      <c r="D32" s="6">
        <v>-1</v>
      </c>
    </row>
    <row r="33" spans="1:4" x14ac:dyDescent="0.3">
      <c r="A33" s="6"/>
      <c r="B33" s="6" t="s">
        <v>356</v>
      </c>
      <c r="C33" s="6">
        <v>-1</v>
      </c>
      <c r="D33" s="6"/>
    </row>
    <row r="34" spans="1:4" x14ac:dyDescent="0.3">
      <c r="A34" s="6" t="s">
        <v>2204</v>
      </c>
      <c r="B34" s="6" t="s">
        <v>330</v>
      </c>
      <c r="C34" s="6">
        <v>12</v>
      </c>
      <c r="D34" s="6"/>
    </row>
    <row r="35" spans="1:4" x14ac:dyDescent="0.3">
      <c r="A35" s="6"/>
      <c r="B35" s="6" t="s">
        <v>386</v>
      </c>
      <c r="C35" s="6"/>
      <c r="D35" s="6">
        <v>-1</v>
      </c>
    </row>
    <row r="36" spans="1:4" x14ac:dyDescent="0.3">
      <c r="A36" s="6"/>
      <c r="B36" s="6" t="s">
        <v>386</v>
      </c>
      <c r="C36" s="6">
        <v>-1</v>
      </c>
      <c r="D36" s="6"/>
    </row>
    <row r="37" spans="1:4" x14ac:dyDescent="0.3">
      <c r="A37" s="6" t="s">
        <v>1323</v>
      </c>
      <c r="B37" s="6" t="s">
        <v>604</v>
      </c>
      <c r="C37" s="6">
        <v>21</v>
      </c>
      <c r="D37" s="6"/>
    </row>
    <row r="38" spans="1:4" x14ac:dyDescent="0.3">
      <c r="A38" s="6" t="s">
        <v>2818</v>
      </c>
      <c r="B38" s="6" t="s">
        <v>336</v>
      </c>
      <c r="C38" s="6">
        <v>23</v>
      </c>
      <c r="D38" s="6"/>
    </row>
    <row r="39" spans="1:4" x14ac:dyDescent="0.3">
      <c r="A39" s="6" t="s">
        <v>3990</v>
      </c>
      <c r="B39" s="6" t="s">
        <v>330</v>
      </c>
      <c r="C39" s="6"/>
      <c r="D39" s="6">
        <v>12</v>
      </c>
    </row>
  </sheetData>
  <pageMargins left="0.7" right="0.7" top="0.75" bottom="0.75" header="0.3" footer="0.3"/>
  <tableParts count="1">
    <tablePart r:id="rId1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A714D-5AE6-4CB8-8712-A771060A1C3F}">
  <dimension ref="A1:D44"/>
  <sheetViews>
    <sheetView topLeftCell="A37" workbookViewId="0">
      <selection activeCell="B45" sqref="B45"/>
    </sheetView>
  </sheetViews>
  <sheetFormatPr defaultRowHeight="14.4" x14ac:dyDescent="0.3"/>
  <cols>
    <col min="1" max="1" width="22.88671875" bestFit="1" customWidth="1"/>
    <col min="2" max="2" width="14" bestFit="1" customWidth="1"/>
    <col min="3" max="4" width="22.109375" bestFit="1" customWidth="1"/>
  </cols>
  <sheetData>
    <row r="1" spans="1:4" x14ac:dyDescent="0.3">
      <c r="A1" t="s">
        <v>832</v>
      </c>
      <c r="B1" t="s">
        <v>1</v>
      </c>
      <c r="C1" t="s">
        <v>906</v>
      </c>
      <c r="D1" t="s">
        <v>907</v>
      </c>
    </row>
    <row r="2" spans="1:4" x14ac:dyDescent="0.3">
      <c r="A2" s="6"/>
      <c r="B2" s="6" t="s">
        <v>344</v>
      </c>
      <c r="C2" s="6">
        <v>-1</v>
      </c>
      <c r="D2" s="6"/>
    </row>
    <row r="3" spans="1:4" x14ac:dyDescent="0.3">
      <c r="A3" s="6" t="s">
        <v>2839</v>
      </c>
      <c r="B3" s="6" t="s">
        <v>344</v>
      </c>
      <c r="C3" s="6"/>
      <c r="D3" s="6">
        <v>19</v>
      </c>
    </row>
    <row r="4" spans="1:4" x14ac:dyDescent="0.3">
      <c r="A4" s="6"/>
      <c r="B4" s="6" t="s">
        <v>474</v>
      </c>
      <c r="C4" s="6"/>
      <c r="D4" s="6">
        <v>-1</v>
      </c>
    </row>
    <row r="5" spans="1:4" x14ac:dyDescent="0.3">
      <c r="A5" s="6"/>
      <c r="B5" s="6" t="s">
        <v>414</v>
      </c>
      <c r="C5" s="6"/>
      <c r="D5" s="6">
        <v>-1</v>
      </c>
    </row>
    <row r="6" spans="1:4" x14ac:dyDescent="0.3">
      <c r="A6" s="6"/>
      <c r="B6" s="6" t="s">
        <v>406</v>
      </c>
      <c r="C6" s="6"/>
      <c r="D6" s="6">
        <v>-1</v>
      </c>
    </row>
    <row r="7" spans="1:4" x14ac:dyDescent="0.3">
      <c r="A7" s="6"/>
      <c r="B7" s="6" t="s">
        <v>690</v>
      </c>
      <c r="C7" s="6"/>
      <c r="D7" s="6">
        <v>-1</v>
      </c>
    </row>
    <row r="8" spans="1:4" x14ac:dyDescent="0.3">
      <c r="A8" s="6"/>
      <c r="B8" s="6" t="s">
        <v>354</v>
      </c>
      <c r="C8" s="6"/>
      <c r="D8" s="6">
        <v>-1</v>
      </c>
    </row>
    <row r="9" spans="1:4" x14ac:dyDescent="0.3">
      <c r="A9" s="6"/>
      <c r="B9" s="6" t="s">
        <v>384</v>
      </c>
      <c r="C9" s="6"/>
      <c r="D9" s="6">
        <v>-1</v>
      </c>
    </row>
    <row r="10" spans="1:4" x14ac:dyDescent="0.3">
      <c r="A10" s="6"/>
      <c r="B10" s="6" t="s">
        <v>346</v>
      </c>
      <c r="C10" s="6"/>
      <c r="D10" s="6">
        <v>-1</v>
      </c>
    </row>
    <row r="11" spans="1:4" x14ac:dyDescent="0.3">
      <c r="A11" s="6"/>
      <c r="B11" s="6" t="s">
        <v>338</v>
      </c>
      <c r="C11" s="6"/>
      <c r="D11" s="6">
        <v>-1</v>
      </c>
    </row>
    <row r="12" spans="1:4" x14ac:dyDescent="0.3">
      <c r="A12" s="6" t="s">
        <v>3536</v>
      </c>
      <c r="B12" s="6" t="s">
        <v>450</v>
      </c>
      <c r="C12" s="6"/>
      <c r="D12" s="6">
        <v>26</v>
      </c>
    </row>
    <row r="13" spans="1:4" x14ac:dyDescent="0.3">
      <c r="A13" s="6"/>
      <c r="B13" s="6" t="s">
        <v>370</v>
      </c>
      <c r="C13" s="6"/>
      <c r="D13" s="6">
        <v>-1</v>
      </c>
    </row>
    <row r="14" spans="1:4" x14ac:dyDescent="0.3">
      <c r="A14" s="6"/>
      <c r="B14" s="6" t="s">
        <v>330</v>
      </c>
      <c r="C14" s="6"/>
      <c r="D14" s="6">
        <v>-1</v>
      </c>
    </row>
    <row r="15" spans="1:4" x14ac:dyDescent="0.3">
      <c r="A15" s="6"/>
      <c r="B15" s="6" t="s">
        <v>470</v>
      </c>
      <c r="C15" s="6">
        <v>-1</v>
      </c>
      <c r="D15" s="6"/>
    </row>
    <row r="16" spans="1:4" x14ac:dyDescent="0.3">
      <c r="A16" s="6" t="s">
        <v>2207</v>
      </c>
      <c r="B16" s="6" t="s">
        <v>330</v>
      </c>
      <c r="C16" s="6">
        <v>4</v>
      </c>
      <c r="D16" s="6"/>
    </row>
    <row r="17" spans="1:4" x14ac:dyDescent="0.3">
      <c r="A17" s="6"/>
      <c r="B17" s="6" t="s">
        <v>328</v>
      </c>
      <c r="C17" s="6">
        <v>-1</v>
      </c>
      <c r="D17" s="6"/>
    </row>
    <row r="18" spans="1:4" x14ac:dyDescent="0.3">
      <c r="A18" s="6"/>
      <c r="B18" s="6" t="s">
        <v>332</v>
      </c>
      <c r="C18" s="6">
        <v>-1</v>
      </c>
      <c r="D18" s="6"/>
    </row>
    <row r="19" spans="1:4" x14ac:dyDescent="0.3">
      <c r="A19" s="6"/>
      <c r="B19" s="6" t="s">
        <v>366</v>
      </c>
      <c r="C19" s="6">
        <v>-1</v>
      </c>
      <c r="D19" s="6"/>
    </row>
    <row r="20" spans="1:4" x14ac:dyDescent="0.3">
      <c r="A20" s="6" t="s">
        <v>2160</v>
      </c>
      <c r="B20" s="6" t="s">
        <v>384</v>
      </c>
      <c r="C20" s="6">
        <v>6</v>
      </c>
      <c r="D20" s="6"/>
    </row>
    <row r="21" spans="1:4" x14ac:dyDescent="0.3">
      <c r="A21" s="6"/>
      <c r="B21" s="6" t="s">
        <v>726</v>
      </c>
      <c r="C21" s="6">
        <v>-1</v>
      </c>
      <c r="D21" s="6"/>
    </row>
    <row r="22" spans="1:4" x14ac:dyDescent="0.3">
      <c r="A22" s="6"/>
      <c r="B22" s="6" t="s">
        <v>394</v>
      </c>
      <c r="C22" s="6">
        <v>-1</v>
      </c>
      <c r="D22" s="6"/>
    </row>
    <row r="23" spans="1:4" x14ac:dyDescent="0.3">
      <c r="A23" s="6"/>
      <c r="B23" s="6" t="s">
        <v>326</v>
      </c>
      <c r="C23" s="6"/>
      <c r="D23" s="6">
        <v>-1</v>
      </c>
    </row>
    <row r="24" spans="1:4" x14ac:dyDescent="0.3">
      <c r="A24" s="6"/>
      <c r="B24" s="6" t="s">
        <v>688</v>
      </c>
      <c r="C24" s="6">
        <v>-1</v>
      </c>
      <c r="D24" s="6"/>
    </row>
    <row r="25" spans="1:4" x14ac:dyDescent="0.3">
      <c r="A25" s="6"/>
      <c r="B25" s="6" t="s">
        <v>682</v>
      </c>
      <c r="C25" s="6"/>
      <c r="D25" s="6">
        <v>-1</v>
      </c>
    </row>
    <row r="26" spans="1:4" x14ac:dyDescent="0.3">
      <c r="A26" s="6"/>
      <c r="B26" s="6" t="s">
        <v>416</v>
      </c>
      <c r="C26" s="6">
        <v>-1</v>
      </c>
      <c r="D26" s="6"/>
    </row>
    <row r="27" spans="1:4" x14ac:dyDescent="0.3">
      <c r="A27" s="6"/>
      <c r="B27" s="6" t="s">
        <v>482</v>
      </c>
      <c r="C27" s="6"/>
      <c r="D27" s="6">
        <v>-1</v>
      </c>
    </row>
    <row r="28" spans="1:4" x14ac:dyDescent="0.3">
      <c r="A28" s="6"/>
      <c r="B28" s="6" t="s">
        <v>446</v>
      </c>
      <c r="C28" s="6"/>
      <c r="D28" s="6">
        <v>-1</v>
      </c>
    </row>
    <row r="29" spans="1:4" x14ac:dyDescent="0.3">
      <c r="A29" s="6"/>
      <c r="B29" s="6" t="s">
        <v>482</v>
      </c>
      <c r="C29" s="6">
        <v>-1</v>
      </c>
      <c r="D29" s="6"/>
    </row>
    <row r="30" spans="1:4" x14ac:dyDescent="0.3">
      <c r="A30" s="6"/>
      <c r="B30" s="6" t="s">
        <v>730</v>
      </c>
      <c r="C30" s="6">
        <v>-1</v>
      </c>
      <c r="D30" s="6"/>
    </row>
    <row r="31" spans="1:4" x14ac:dyDescent="0.3">
      <c r="A31" s="6" t="s">
        <v>3844</v>
      </c>
      <c r="B31" s="6" t="s">
        <v>340</v>
      </c>
      <c r="C31" s="6"/>
      <c r="D31" s="6">
        <v>20</v>
      </c>
    </row>
    <row r="32" spans="1:4" x14ac:dyDescent="0.3">
      <c r="A32" s="6" t="s">
        <v>1620</v>
      </c>
      <c r="B32" s="6" t="s">
        <v>336</v>
      </c>
      <c r="C32" s="6"/>
      <c r="D32" s="6">
        <v>29</v>
      </c>
    </row>
    <row r="33" spans="1:4" x14ac:dyDescent="0.3">
      <c r="A33" s="6" t="s">
        <v>2815</v>
      </c>
      <c r="B33" s="6" t="s">
        <v>336</v>
      </c>
      <c r="C33" s="6">
        <v>13</v>
      </c>
      <c r="D33" s="6"/>
    </row>
    <row r="34" spans="1:4" x14ac:dyDescent="0.3">
      <c r="A34" s="6"/>
      <c r="B34" s="6" t="s">
        <v>362</v>
      </c>
      <c r="C34" s="6">
        <v>-1</v>
      </c>
      <c r="D34" s="6"/>
    </row>
    <row r="35" spans="1:4" x14ac:dyDescent="0.3">
      <c r="A35" s="6"/>
      <c r="B35" s="6" t="s">
        <v>726</v>
      </c>
      <c r="C35" s="6"/>
      <c r="D35" s="6">
        <v>-1</v>
      </c>
    </row>
    <row r="36" spans="1:4" x14ac:dyDescent="0.3">
      <c r="A36" s="6"/>
      <c r="B36" s="6" t="s">
        <v>442</v>
      </c>
      <c r="C36" s="6"/>
      <c r="D36" s="6">
        <v>-1</v>
      </c>
    </row>
    <row r="37" spans="1:4" x14ac:dyDescent="0.3">
      <c r="A37" s="6"/>
      <c r="B37" s="6" t="s">
        <v>406</v>
      </c>
      <c r="C37" s="6">
        <v>-1</v>
      </c>
      <c r="D37" s="6"/>
    </row>
    <row r="38" spans="1:4" x14ac:dyDescent="0.3">
      <c r="A38" s="6" t="s">
        <v>2902</v>
      </c>
      <c r="B38" s="6" t="s">
        <v>674</v>
      </c>
      <c r="C38" s="6">
        <v>18</v>
      </c>
      <c r="D38" s="6"/>
    </row>
    <row r="39" spans="1:4" x14ac:dyDescent="0.3">
      <c r="A39" s="6"/>
      <c r="B39" s="6" t="s">
        <v>386</v>
      </c>
      <c r="C39" s="6"/>
      <c r="D39" s="6">
        <v>-1</v>
      </c>
    </row>
    <row r="40" spans="1:4" x14ac:dyDescent="0.3">
      <c r="A40" s="6" t="s">
        <v>3988</v>
      </c>
      <c r="B40" s="6" t="s">
        <v>330</v>
      </c>
      <c r="C40" s="6">
        <v>9</v>
      </c>
      <c r="D40" s="6"/>
    </row>
    <row r="41" spans="1:4" x14ac:dyDescent="0.3">
      <c r="A41" s="6" t="s">
        <v>2481</v>
      </c>
      <c r="B41" s="6" t="s">
        <v>726</v>
      </c>
      <c r="C41" s="6">
        <v>14</v>
      </c>
      <c r="D41" s="6"/>
    </row>
    <row r="42" spans="1:4" x14ac:dyDescent="0.3">
      <c r="A42" s="6" t="s">
        <v>2619</v>
      </c>
      <c r="B42" s="6" t="s">
        <v>366</v>
      </c>
      <c r="C42" s="6">
        <v>15</v>
      </c>
      <c r="D42" s="6"/>
    </row>
    <row r="43" spans="1:4" x14ac:dyDescent="0.3">
      <c r="A43" s="6" t="s">
        <v>3173</v>
      </c>
      <c r="B43" s="6" t="s">
        <v>338</v>
      </c>
      <c r="C43" s="6"/>
      <c r="D43" s="6">
        <v>11</v>
      </c>
    </row>
    <row r="44" spans="1:4" x14ac:dyDescent="0.3">
      <c r="A44" s="6" t="s">
        <v>5003</v>
      </c>
      <c r="B44" s="6" t="s">
        <v>364</v>
      </c>
      <c r="C44" s="6"/>
      <c r="D44" s="6">
        <v>35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07101-4339-43FE-B898-2DF084384297}">
  <dimension ref="A1:H55"/>
  <sheetViews>
    <sheetView topLeftCell="A49" workbookViewId="0">
      <selection activeCell="B56" sqref="B56"/>
    </sheetView>
  </sheetViews>
  <sheetFormatPr defaultRowHeight="14.4" x14ac:dyDescent="0.3"/>
  <cols>
    <col min="1" max="1" width="47.6640625" bestFit="1" customWidth="1"/>
    <col min="2" max="2" width="13.33203125" bestFit="1" customWidth="1"/>
    <col min="3" max="3" width="27.77734375" bestFit="1" customWidth="1"/>
    <col min="4" max="4" width="30.5546875" bestFit="1" customWidth="1"/>
    <col min="5" max="5" width="27.77734375" bestFit="1" customWidth="1"/>
    <col min="6" max="6" width="30.5546875" bestFit="1" customWidth="1"/>
    <col min="8" max="8" width="27.6640625" bestFit="1" customWidth="1"/>
    <col min="9" max="9" width="17" bestFit="1" customWidth="1"/>
    <col min="10" max="10" width="14.77734375" bestFit="1" customWidth="1"/>
  </cols>
  <sheetData>
    <row r="1" spans="1:8" x14ac:dyDescent="0.3">
      <c r="A1" t="s">
        <v>833</v>
      </c>
      <c r="B1" t="s">
        <v>1</v>
      </c>
      <c r="C1" t="s">
        <v>885</v>
      </c>
      <c r="D1" t="s">
        <v>884</v>
      </c>
      <c r="E1" t="s">
        <v>887</v>
      </c>
      <c r="F1" t="s">
        <v>886</v>
      </c>
      <c r="G1" t="s">
        <v>1212</v>
      </c>
      <c r="H1" t="s">
        <v>1213</v>
      </c>
    </row>
    <row r="2" spans="1:8" x14ac:dyDescent="0.3">
      <c r="A2" s="6" t="s">
        <v>1342</v>
      </c>
      <c r="B2" s="6" t="s">
        <v>346</v>
      </c>
      <c r="C2" s="6"/>
      <c r="D2" s="6"/>
      <c r="E2" s="6">
        <v>6</v>
      </c>
      <c r="F2" s="6"/>
      <c r="G2" s="6">
        <f>Table68[[#This Row],[Total Athletes]]-(LEN(Table68[[#This Row],[Pair]])-LEN(SUBSTITUTE(Table68[[#This Row],[Pair]],"/","")))-1</f>
        <v>1</v>
      </c>
      <c r="H2" s="6">
        <v>2</v>
      </c>
    </row>
    <row r="3" spans="1:8" x14ac:dyDescent="0.3">
      <c r="A3" s="6"/>
      <c r="B3" s="6" t="s">
        <v>406</v>
      </c>
      <c r="C3" s="6"/>
      <c r="D3" s="6"/>
      <c r="E3" s="6">
        <v>-1</v>
      </c>
      <c r="F3" s="6"/>
      <c r="G3" s="6">
        <f>Table68[[#This Row],[Total Athletes]]-(LEN(Table68[[#This Row],[Pair]])-LEN(SUBSTITUTE(Table68[[#This Row],[Pair]],"/","")))-1</f>
        <v>-1</v>
      </c>
      <c r="H3" s="6"/>
    </row>
    <row r="4" spans="1:8" x14ac:dyDescent="0.3">
      <c r="A4" s="6" t="s">
        <v>3990</v>
      </c>
      <c r="B4" s="6" t="s">
        <v>330</v>
      </c>
      <c r="C4" s="6"/>
      <c r="D4" s="6"/>
      <c r="E4" s="6">
        <v>4</v>
      </c>
      <c r="F4" s="6"/>
      <c r="G4" s="6">
        <f>Table68[[#This Row],[Total Athletes]]-(LEN(Table68[[#This Row],[Pair]])-LEN(SUBSTITUTE(Table68[[#This Row],[Pair]],"/","")))-1</f>
        <v>1</v>
      </c>
      <c r="H4" s="6">
        <v>2</v>
      </c>
    </row>
    <row r="5" spans="1:8" x14ac:dyDescent="0.3">
      <c r="A5" s="6" t="s">
        <v>2382</v>
      </c>
      <c r="B5" s="6" t="s">
        <v>354</v>
      </c>
      <c r="C5" s="6"/>
      <c r="D5" s="6"/>
      <c r="E5" s="6">
        <v>3</v>
      </c>
      <c r="F5" s="6"/>
      <c r="G5" s="6">
        <f>Table68[[#This Row],[Total Athletes]]-(LEN(Table68[[#This Row],[Pair]])-LEN(SUBSTITUTE(Table68[[#This Row],[Pair]],"/","")))-1</f>
        <v>1</v>
      </c>
      <c r="H5" s="6">
        <v>2</v>
      </c>
    </row>
    <row r="6" spans="1:8" x14ac:dyDescent="0.3">
      <c r="A6" s="6" t="s">
        <v>2105</v>
      </c>
      <c r="B6" s="6" t="s">
        <v>442</v>
      </c>
      <c r="C6" s="6"/>
      <c r="D6" s="6"/>
      <c r="E6" s="6">
        <v>7</v>
      </c>
      <c r="F6" s="6"/>
      <c r="G6" s="6">
        <f>Table68[[#This Row],[Total Athletes]]-(LEN(Table68[[#This Row],[Pair]])-LEN(SUBSTITUTE(Table68[[#This Row],[Pair]],"/","")))-1</f>
        <v>1</v>
      </c>
      <c r="H6" s="6">
        <v>2</v>
      </c>
    </row>
    <row r="7" spans="1:8" x14ac:dyDescent="0.3">
      <c r="A7" s="6"/>
      <c r="B7" s="6" t="s">
        <v>334</v>
      </c>
      <c r="C7" s="6"/>
      <c r="D7" s="6"/>
      <c r="E7" s="6">
        <v>-1</v>
      </c>
      <c r="F7" s="6"/>
      <c r="G7" s="6">
        <f>Table68[[#This Row],[Total Athletes]]-(LEN(Table68[[#This Row],[Pair]])-LEN(SUBSTITUTE(Table68[[#This Row],[Pair]],"/","")))-1</f>
        <v>-1</v>
      </c>
      <c r="H7" s="6"/>
    </row>
    <row r="8" spans="1:8" x14ac:dyDescent="0.3">
      <c r="A8" s="6"/>
      <c r="B8" s="6" t="s">
        <v>620</v>
      </c>
      <c r="C8" s="6"/>
      <c r="D8" s="6"/>
      <c r="E8" s="6">
        <v>-1</v>
      </c>
      <c r="F8" s="6"/>
      <c r="G8" s="6">
        <f>Table68[[#This Row],[Total Athletes]]-(LEN(Table68[[#This Row],[Pair]])-LEN(SUBSTITUTE(Table68[[#This Row],[Pair]],"/","")))-1</f>
        <v>-1</v>
      </c>
      <c r="H8" s="6"/>
    </row>
    <row r="9" spans="1:8" x14ac:dyDescent="0.3">
      <c r="A9" s="6"/>
      <c r="B9" s="6" t="s">
        <v>334</v>
      </c>
      <c r="C9" s="6">
        <v>-1</v>
      </c>
      <c r="D9" s="6"/>
      <c r="E9" s="6"/>
      <c r="F9" s="6"/>
      <c r="G9" s="6">
        <f>Table68[[#This Row],[Total Athletes]]-(LEN(Table68[[#This Row],[Pair]])-LEN(SUBSTITUTE(Table68[[#This Row],[Pair]],"/","")))-1</f>
        <v>-1</v>
      </c>
      <c r="H9" s="6"/>
    </row>
    <row r="10" spans="1:8" x14ac:dyDescent="0.3">
      <c r="A10" s="6"/>
      <c r="B10" s="6" t="s">
        <v>328</v>
      </c>
      <c r="C10" s="6">
        <v>-1</v>
      </c>
      <c r="D10" s="6"/>
      <c r="E10" s="6"/>
      <c r="F10" s="6"/>
      <c r="G10" s="6">
        <f>Table68[[#This Row],[Total Athletes]]-(LEN(Table68[[#This Row],[Pair]])-LEN(SUBSTITUTE(Table68[[#This Row],[Pair]],"/","")))-1</f>
        <v>-1</v>
      </c>
      <c r="H10" s="6"/>
    </row>
    <row r="11" spans="1:8" x14ac:dyDescent="0.3">
      <c r="A11" s="6" t="s">
        <v>3991</v>
      </c>
      <c r="B11" s="6" t="s">
        <v>330</v>
      </c>
      <c r="C11" s="6">
        <v>3</v>
      </c>
      <c r="D11" s="6"/>
      <c r="E11" s="6"/>
      <c r="F11" s="6"/>
      <c r="G11" s="6">
        <f>Table68[[#This Row],[Total Athletes]]-(LEN(Table68[[#This Row],[Pair]])-LEN(SUBSTITUTE(Table68[[#This Row],[Pair]],"/","")))-1</f>
        <v>0</v>
      </c>
      <c r="H11" s="6">
        <v>2</v>
      </c>
    </row>
    <row r="12" spans="1:8" x14ac:dyDescent="0.3">
      <c r="A12" s="6" t="s">
        <v>3259</v>
      </c>
      <c r="B12" s="6" t="s">
        <v>344</v>
      </c>
      <c r="C12" s="6">
        <v>10</v>
      </c>
      <c r="D12" s="6"/>
      <c r="E12" s="6"/>
      <c r="F12" s="6"/>
      <c r="G12" s="6">
        <f>Table68[[#This Row],[Total Athletes]]-(LEN(Table68[[#This Row],[Pair]])-LEN(SUBSTITUTE(Table68[[#This Row],[Pair]],"/","")))-1</f>
        <v>1</v>
      </c>
      <c r="H12" s="6">
        <v>2</v>
      </c>
    </row>
    <row r="13" spans="1:8" x14ac:dyDescent="0.3">
      <c r="A13" s="6"/>
      <c r="B13" s="6" t="s">
        <v>406</v>
      </c>
      <c r="C13" s="6">
        <v>-1</v>
      </c>
      <c r="D13" s="6"/>
      <c r="E13" s="6"/>
      <c r="F13" s="6"/>
      <c r="G13" s="6">
        <f>Table68[[#This Row],[Total Athletes]]-(LEN(Table68[[#This Row],[Pair]])-LEN(SUBSTITUTE(Table68[[#This Row],[Pair]],"/","")))-1</f>
        <v>-1</v>
      </c>
      <c r="H13" s="6"/>
    </row>
    <row r="14" spans="1:8" x14ac:dyDescent="0.3">
      <c r="A14" s="6"/>
      <c r="B14" s="6" t="s">
        <v>348</v>
      </c>
      <c r="C14" s="6">
        <v>-1</v>
      </c>
      <c r="D14" s="6"/>
      <c r="E14" s="6"/>
      <c r="F14" s="6"/>
      <c r="G14" s="6">
        <f>Table68[[#This Row],[Total Athletes]]-(LEN(Table68[[#This Row],[Pair]])-LEN(SUBSTITUTE(Table68[[#This Row],[Pair]],"/","")))-1</f>
        <v>-1</v>
      </c>
      <c r="H14" s="6"/>
    </row>
    <row r="15" spans="1:8" x14ac:dyDescent="0.3">
      <c r="A15" s="6"/>
      <c r="B15" s="6" t="s">
        <v>356</v>
      </c>
      <c r="C15" s="6">
        <v>-1</v>
      </c>
      <c r="D15" s="6"/>
      <c r="E15" s="6"/>
      <c r="F15" s="6"/>
      <c r="G15" s="6">
        <f>Table68[[#This Row],[Total Athletes]]-(LEN(Table68[[#This Row],[Pair]])-LEN(SUBSTITUTE(Table68[[#This Row],[Pair]],"/","")))-1</f>
        <v>-1</v>
      </c>
      <c r="H15" s="6"/>
    </row>
    <row r="16" spans="1:8" x14ac:dyDescent="0.3">
      <c r="A16" s="6" t="s">
        <v>2095</v>
      </c>
      <c r="B16" s="6" t="s">
        <v>442</v>
      </c>
      <c r="C16" s="6">
        <v>7</v>
      </c>
      <c r="D16" s="6"/>
      <c r="E16" s="6"/>
      <c r="F16" s="6"/>
      <c r="G16" s="6">
        <f>Table68[[#This Row],[Total Athletes]]-(LEN(Table68[[#This Row],[Pair]])-LEN(SUBSTITUTE(Table68[[#This Row],[Pair]],"/","")))-1</f>
        <v>0</v>
      </c>
      <c r="H16" s="6">
        <v>2</v>
      </c>
    </row>
    <row r="17" spans="1:8" x14ac:dyDescent="0.3">
      <c r="A17" s="6"/>
      <c r="B17" s="6" t="s">
        <v>414</v>
      </c>
      <c r="C17" s="6"/>
      <c r="D17" s="6"/>
      <c r="E17" s="6"/>
      <c r="F17" s="6">
        <v>-1</v>
      </c>
      <c r="G17" s="6">
        <f>Table68[[#This Row],[Total Athletes]]-(LEN(Table68[[#This Row],[Pair]])-LEN(SUBSTITUTE(Table68[[#This Row],[Pair]],"/","")))-1</f>
        <v>-1</v>
      </c>
      <c r="H17" s="6"/>
    </row>
    <row r="18" spans="1:8" x14ac:dyDescent="0.3">
      <c r="A18" s="6"/>
      <c r="B18" s="6" t="s">
        <v>394</v>
      </c>
      <c r="C18" s="6"/>
      <c r="D18" s="6"/>
      <c r="E18" s="6"/>
      <c r="F18" s="6">
        <v>-1</v>
      </c>
      <c r="G18" s="6">
        <f>Table68[[#This Row],[Total Athletes]]-(LEN(Table68[[#This Row],[Pair]])-LEN(SUBSTITUTE(Table68[[#This Row],[Pair]],"/","")))-1</f>
        <v>-1</v>
      </c>
      <c r="H18" s="6"/>
    </row>
    <row r="19" spans="1:8" x14ac:dyDescent="0.3">
      <c r="A19" s="6"/>
      <c r="B19" s="6" t="s">
        <v>334</v>
      </c>
      <c r="C19" s="6"/>
      <c r="D19" s="6"/>
      <c r="E19" s="6"/>
      <c r="F19" s="6">
        <v>-1</v>
      </c>
      <c r="G19" s="6">
        <f>Table68[[#This Row],[Total Athletes]]-(LEN(Table68[[#This Row],[Pair]])-LEN(SUBSTITUTE(Table68[[#This Row],[Pair]],"/","")))-1</f>
        <v>-1</v>
      </c>
      <c r="H19" s="6"/>
    </row>
    <row r="20" spans="1:8" x14ac:dyDescent="0.3">
      <c r="A20" s="6"/>
      <c r="B20" s="6" t="s">
        <v>520</v>
      </c>
      <c r="C20" s="6"/>
      <c r="D20" s="6"/>
      <c r="E20" s="6"/>
      <c r="F20" s="6">
        <v>-1</v>
      </c>
      <c r="G20" s="6">
        <f>Table68[[#This Row],[Total Athletes]]-(LEN(Table68[[#This Row],[Pair]])-LEN(SUBSTITUTE(Table68[[#This Row],[Pair]],"/","")))-1</f>
        <v>-1</v>
      </c>
      <c r="H20" s="6"/>
    </row>
    <row r="21" spans="1:8" x14ac:dyDescent="0.3">
      <c r="A21" s="6" t="s">
        <v>2839</v>
      </c>
      <c r="B21" s="6" t="s">
        <v>344</v>
      </c>
      <c r="C21" s="6"/>
      <c r="D21" s="6"/>
      <c r="E21" s="6"/>
      <c r="F21" s="6">
        <v>13</v>
      </c>
      <c r="G21" s="6">
        <f>Table68[[#This Row],[Total Athletes]]-(LEN(Table68[[#This Row],[Pair]])-LEN(SUBSTITUTE(Table68[[#This Row],[Pair]],"/","")))-1</f>
        <v>1</v>
      </c>
      <c r="H21" s="6">
        <v>2</v>
      </c>
    </row>
    <row r="22" spans="1:8" x14ac:dyDescent="0.3">
      <c r="A22" s="6" t="s">
        <v>3175</v>
      </c>
      <c r="B22" s="6" t="s">
        <v>338</v>
      </c>
      <c r="C22" s="6"/>
      <c r="D22" s="6"/>
      <c r="E22" s="6"/>
      <c r="F22" s="6">
        <v>9</v>
      </c>
      <c r="G22" s="6">
        <f>Table68[[#This Row],[Total Athletes]]-(LEN(Table68[[#This Row],[Pair]])-LEN(SUBSTITUTE(Table68[[#This Row],[Pair]],"/","")))-1</f>
        <v>0</v>
      </c>
      <c r="H22" s="6">
        <v>2</v>
      </c>
    </row>
    <row r="23" spans="1:8" x14ac:dyDescent="0.3">
      <c r="A23" s="6" t="s">
        <v>1785</v>
      </c>
      <c r="B23" s="6" t="s">
        <v>328</v>
      </c>
      <c r="C23" s="6"/>
      <c r="D23" s="6">
        <v>1</v>
      </c>
      <c r="E23" s="6"/>
      <c r="F23" s="6"/>
      <c r="G23" s="6">
        <f>Table68[[#This Row],[Total Athletes]]-(LEN(Table68[[#This Row],[Pair]])-LEN(SUBSTITUTE(Table68[[#This Row],[Pair]],"/","")))-1</f>
        <v>1</v>
      </c>
      <c r="H23" s="6">
        <v>2</v>
      </c>
    </row>
    <row r="24" spans="1:8" x14ac:dyDescent="0.3">
      <c r="A24" s="6" t="s">
        <v>3989</v>
      </c>
      <c r="B24" s="6" t="s">
        <v>330</v>
      </c>
      <c r="C24" s="6"/>
      <c r="D24" s="6">
        <v>6</v>
      </c>
      <c r="E24" s="6"/>
      <c r="F24" s="6"/>
      <c r="G24" s="6">
        <f>Table68[[#This Row],[Total Athletes]]-(LEN(Table68[[#This Row],[Pair]])-LEN(SUBSTITUTE(Table68[[#This Row],[Pair]],"/","")))-1</f>
        <v>0</v>
      </c>
      <c r="H24" s="6">
        <v>2</v>
      </c>
    </row>
    <row r="25" spans="1:8" x14ac:dyDescent="0.3">
      <c r="A25" s="6"/>
      <c r="B25" s="6" t="s">
        <v>384</v>
      </c>
      <c r="C25" s="6"/>
      <c r="D25" s="6">
        <v>-1</v>
      </c>
      <c r="E25" s="6"/>
      <c r="F25" s="6"/>
      <c r="G25" s="6">
        <f>Table68[[#This Row],[Total Athletes]]-(LEN(Table68[[#This Row],[Pair]])-LEN(SUBSTITUTE(Table68[[#This Row],[Pair]],"/","")))-1</f>
        <v>-1</v>
      </c>
      <c r="H25" s="6"/>
    </row>
    <row r="26" spans="1:8" x14ac:dyDescent="0.3">
      <c r="A26" s="6"/>
      <c r="B26" s="6" t="s">
        <v>334</v>
      </c>
      <c r="C26" s="6"/>
      <c r="D26" s="6">
        <v>-1</v>
      </c>
      <c r="E26" s="6"/>
      <c r="F26" s="6"/>
      <c r="G26" s="6">
        <f>Table68[[#This Row],[Total Athletes]]-(LEN(Table68[[#This Row],[Pair]])-LEN(SUBSTITUTE(Table68[[#This Row],[Pair]],"/","")))-1</f>
        <v>-1</v>
      </c>
      <c r="H26" s="6"/>
    </row>
    <row r="27" spans="1:8" x14ac:dyDescent="0.3">
      <c r="A27" s="6"/>
      <c r="B27" s="6" t="s">
        <v>406</v>
      </c>
      <c r="C27" s="6"/>
      <c r="D27" s="6">
        <v>-1</v>
      </c>
      <c r="E27" s="6"/>
      <c r="F27" s="6"/>
      <c r="G27" s="6">
        <f>Table68[[#This Row],[Total Athletes]]-(LEN(Table68[[#This Row],[Pair]])-LEN(SUBSTITUTE(Table68[[#This Row],[Pair]],"/","")))-1</f>
        <v>-1</v>
      </c>
      <c r="H27" s="6"/>
    </row>
    <row r="28" spans="1:8" x14ac:dyDescent="0.3">
      <c r="A28" s="6"/>
      <c r="B28" s="6" t="s">
        <v>470</v>
      </c>
      <c r="C28" s="6"/>
      <c r="D28" s="6">
        <v>-1</v>
      </c>
      <c r="E28" s="6"/>
      <c r="F28" s="6"/>
      <c r="G28" s="6">
        <f>Table68[[#This Row],[Total Athletes]]-(LEN(Table68[[#This Row],[Pair]])-LEN(SUBSTITUTE(Table68[[#This Row],[Pair]],"/","")))-1</f>
        <v>-1</v>
      </c>
      <c r="H28" s="6"/>
    </row>
    <row r="29" spans="1:8" x14ac:dyDescent="0.3">
      <c r="A29" s="6"/>
      <c r="B29" s="6" t="s">
        <v>390</v>
      </c>
      <c r="C29" s="6"/>
      <c r="D29" s="6">
        <v>-1</v>
      </c>
      <c r="E29" s="6"/>
      <c r="F29" s="6"/>
      <c r="G29" s="6">
        <f>Table68[[#This Row],[Total Athletes]]-(LEN(Table68[[#This Row],[Pair]])-LEN(SUBSTITUTE(Table68[[#This Row],[Pair]],"/","")))-1</f>
        <v>-1</v>
      </c>
      <c r="H29" s="6"/>
    </row>
    <row r="30" spans="1:8" x14ac:dyDescent="0.3">
      <c r="A30" s="6" t="s">
        <v>2481</v>
      </c>
      <c r="B30" s="6" t="s">
        <v>726</v>
      </c>
      <c r="C30" s="6"/>
      <c r="D30" s="6">
        <v>2</v>
      </c>
      <c r="E30" s="6"/>
      <c r="F30" s="6"/>
      <c r="G30" s="6">
        <f>Table68[[#This Row],[Total Athletes]]-(LEN(Table68[[#This Row],[Pair]])-LEN(SUBSTITUTE(Table68[[#This Row],[Pair]],"/","")))-1</f>
        <v>1</v>
      </c>
      <c r="H30" s="6">
        <v>2</v>
      </c>
    </row>
    <row r="31" spans="1:8" x14ac:dyDescent="0.3">
      <c r="A31" s="6"/>
      <c r="B31" s="6" t="s">
        <v>422</v>
      </c>
      <c r="C31" s="6"/>
      <c r="D31" s="6"/>
      <c r="E31" s="6">
        <v>-1</v>
      </c>
      <c r="F31" s="6"/>
      <c r="G31" s="6">
        <f>Table68[[#This Row],[Total Athletes]]-(LEN(Table68[[#This Row],[Pair]])-LEN(SUBSTITUTE(Table68[[#This Row],[Pair]],"/","")))-1</f>
        <v>-1</v>
      </c>
      <c r="H31" s="6"/>
    </row>
    <row r="32" spans="1:8" x14ac:dyDescent="0.3">
      <c r="A32" s="6"/>
      <c r="B32" s="6" t="s">
        <v>502</v>
      </c>
      <c r="C32" s="6">
        <v>-1</v>
      </c>
      <c r="D32" s="6"/>
      <c r="E32" s="6"/>
      <c r="F32" s="6"/>
      <c r="G32" s="6">
        <f>Table68[[#This Row],[Total Athletes]]-(LEN(Table68[[#This Row],[Pair]])-LEN(SUBSTITUTE(Table68[[#This Row],[Pair]],"/","")))-1</f>
        <v>-1</v>
      </c>
      <c r="H32" s="6"/>
    </row>
    <row r="33" spans="1:8" x14ac:dyDescent="0.3">
      <c r="A33" s="6"/>
      <c r="B33" s="6" t="s">
        <v>422</v>
      </c>
      <c r="C33" s="6"/>
      <c r="D33" s="6"/>
      <c r="E33" s="6"/>
      <c r="F33" s="6">
        <v>-1</v>
      </c>
      <c r="G33" s="6">
        <f>Table68[[#This Row],[Total Athletes]]-(LEN(Table68[[#This Row],[Pair]])-LEN(SUBSTITUTE(Table68[[#This Row],[Pair]],"/","")))-1</f>
        <v>-1</v>
      </c>
      <c r="H33" s="6"/>
    </row>
    <row r="34" spans="1:8" x14ac:dyDescent="0.3">
      <c r="A34" s="6"/>
      <c r="B34" s="6" t="s">
        <v>440</v>
      </c>
      <c r="C34" s="6"/>
      <c r="D34" s="6">
        <v>-1</v>
      </c>
      <c r="E34" s="6"/>
      <c r="F34" s="6"/>
      <c r="G34" s="6">
        <f>Table68[[#This Row],[Total Athletes]]-(LEN(Table68[[#This Row],[Pair]])-LEN(SUBSTITUTE(Table68[[#This Row],[Pair]],"/","")))-1</f>
        <v>-1</v>
      </c>
      <c r="H34" s="6"/>
    </row>
    <row r="35" spans="1:8" x14ac:dyDescent="0.3">
      <c r="A35" s="6"/>
      <c r="B35" s="6" t="s">
        <v>474</v>
      </c>
      <c r="C35" s="6"/>
      <c r="D35" s="6"/>
      <c r="E35" s="6">
        <v>-1</v>
      </c>
      <c r="F35" s="6"/>
      <c r="G35" s="6">
        <f>Table68[[#This Row],[Total Athletes]]-(LEN(Table68[[#This Row],[Pair]])-LEN(SUBSTITUTE(Table68[[#This Row],[Pair]],"/","")))-1</f>
        <v>-1</v>
      </c>
      <c r="H35" s="6"/>
    </row>
    <row r="36" spans="1:8" x14ac:dyDescent="0.3">
      <c r="A36" s="6" t="s">
        <v>1976</v>
      </c>
      <c r="B36" s="6" t="s">
        <v>474</v>
      </c>
      <c r="C36" s="6">
        <v>13</v>
      </c>
      <c r="D36" s="6"/>
      <c r="E36" s="6"/>
      <c r="F36" s="6"/>
      <c r="G36" s="6">
        <f>Table68[[#This Row],[Total Athletes]]-(LEN(Table68[[#This Row],[Pair]])-LEN(SUBSTITUTE(Table68[[#This Row],[Pair]],"/","")))-1</f>
        <v>1</v>
      </c>
      <c r="H36" s="6">
        <v>2</v>
      </c>
    </row>
    <row r="37" spans="1:8" x14ac:dyDescent="0.3">
      <c r="A37" s="6"/>
      <c r="B37" s="6" t="s">
        <v>474</v>
      </c>
      <c r="C37" s="6"/>
      <c r="D37" s="6"/>
      <c r="E37" s="6"/>
      <c r="F37" s="6">
        <v>-1</v>
      </c>
      <c r="G37" s="6">
        <f>Table68[[#This Row],[Total Athletes]]-(LEN(Table68[[#This Row],[Pair]])-LEN(SUBSTITUTE(Table68[[#This Row],[Pair]],"/","")))-1</f>
        <v>-1</v>
      </c>
      <c r="H37" s="6"/>
    </row>
    <row r="38" spans="1:8" x14ac:dyDescent="0.3">
      <c r="A38" s="6"/>
      <c r="B38" s="6" t="s">
        <v>394</v>
      </c>
      <c r="C38" s="6"/>
      <c r="D38" s="6">
        <v>-1</v>
      </c>
      <c r="E38" s="6"/>
      <c r="F38" s="6"/>
      <c r="G38" s="6">
        <f>Table68[[#This Row],[Total Athletes]]-(LEN(Table68[[#This Row],[Pair]])-LEN(SUBSTITUTE(Table68[[#This Row],[Pair]],"/","")))-1</f>
        <v>-1</v>
      </c>
      <c r="H38" s="6"/>
    </row>
    <row r="39" spans="1:8" x14ac:dyDescent="0.3">
      <c r="A39" s="6" t="s">
        <v>4791</v>
      </c>
      <c r="B39" s="6" t="s">
        <v>604</v>
      </c>
      <c r="C39" s="6"/>
      <c r="D39" s="6"/>
      <c r="E39" s="6">
        <v>20</v>
      </c>
      <c r="F39" s="6"/>
      <c r="G39" s="6">
        <f>Table68[[#This Row],[Total Athletes]]-(LEN(Table68[[#This Row],[Pair]])-LEN(SUBSTITUTE(Table68[[#This Row],[Pair]],"/","")))-1</f>
        <v>1</v>
      </c>
      <c r="H39" s="6">
        <v>2</v>
      </c>
    </row>
    <row r="40" spans="1:8" x14ac:dyDescent="0.3">
      <c r="A40" s="6" t="s">
        <v>1323</v>
      </c>
      <c r="B40" s="6" t="s">
        <v>604</v>
      </c>
      <c r="C40" s="6">
        <v>11</v>
      </c>
      <c r="D40" s="6"/>
      <c r="E40" s="6"/>
      <c r="F40" s="6"/>
      <c r="G40" s="6">
        <f>Table68[[#This Row],[Total Athletes]]-(LEN(Table68[[#This Row],[Pair]])-LEN(SUBSTITUTE(Table68[[#This Row],[Pair]],"/","")))-1</f>
        <v>1</v>
      </c>
      <c r="H40" s="6">
        <v>2</v>
      </c>
    </row>
    <row r="41" spans="1:8" x14ac:dyDescent="0.3">
      <c r="A41" s="6"/>
      <c r="B41" s="6" t="s">
        <v>328</v>
      </c>
      <c r="C41" s="6"/>
      <c r="D41" s="6"/>
      <c r="E41" s="6"/>
      <c r="F41" s="6">
        <v>-1</v>
      </c>
      <c r="G41" s="6">
        <f>Table68[[#This Row],[Total Athletes]]-(LEN(Table68[[#This Row],[Pair]])-LEN(SUBSTITUTE(Table68[[#This Row],[Pair]],"/","")))-1</f>
        <v>-1</v>
      </c>
      <c r="H41" s="6"/>
    </row>
    <row r="42" spans="1:8" x14ac:dyDescent="0.3">
      <c r="A42" s="6"/>
      <c r="B42" s="6" t="s">
        <v>604</v>
      </c>
      <c r="C42" s="6"/>
      <c r="D42" s="6">
        <v>-1</v>
      </c>
      <c r="E42" s="6"/>
      <c r="F42" s="6"/>
      <c r="G42" s="6">
        <f>Table68[[#This Row],[Total Athletes]]-(LEN(Table68[[#This Row],[Pair]])-LEN(SUBSTITUTE(Table68[[#This Row],[Pair]],"/","")))-1</f>
        <v>-1</v>
      </c>
      <c r="H42" s="6"/>
    </row>
    <row r="43" spans="1:8" x14ac:dyDescent="0.3">
      <c r="A43" s="6"/>
      <c r="B43" s="6" t="s">
        <v>332</v>
      </c>
      <c r="C43" s="6"/>
      <c r="D43" s="6"/>
      <c r="E43" s="6">
        <v>-1</v>
      </c>
      <c r="F43" s="6"/>
      <c r="G43" s="6">
        <f>Table68[[#This Row],[Total Athletes]]-(LEN(Table68[[#This Row],[Pair]])-LEN(SUBSTITUTE(Table68[[#This Row],[Pair]],"/","")))-1</f>
        <v>-1</v>
      </c>
      <c r="H43" s="6"/>
    </row>
    <row r="44" spans="1:8" x14ac:dyDescent="0.3">
      <c r="A44" s="6" t="s">
        <v>2821</v>
      </c>
      <c r="B44" s="6" t="s">
        <v>336</v>
      </c>
      <c r="C44" s="6">
        <v>8</v>
      </c>
      <c r="D44" s="6"/>
      <c r="E44" s="6"/>
      <c r="F44" s="6"/>
      <c r="G44" s="6">
        <f>Table68[[#This Row],[Total Athletes]]-(LEN(Table68[[#This Row],[Pair]])-LEN(SUBSTITUTE(Table68[[#This Row],[Pair]],"/","")))-1</f>
        <v>0</v>
      </c>
      <c r="H44" s="6">
        <v>2</v>
      </c>
    </row>
    <row r="45" spans="1:8" x14ac:dyDescent="0.3">
      <c r="A45" s="6"/>
      <c r="B45" s="6" t="s">
        <v>350</v>
      </c>
      <c r="C45" s="6"/>
      <c r="D45" s="6"/>
      <c r="E45" s="6"/>
      <c r="F45" s="6">
        <v>-1</v>
      </c>
      <c r="G45" s="6">
        <f>Table68[[#This Row],[Total Athletes]]-(LEN(Table68[[#This Row],[Pair]])-LEN(SUBSTITUTE(Table68[[#This Row],[Pair]],"/","")))-1</f>
        <v>-1</v>
      </c>
      <c r="H45" s="6"/>
    </row>
    <row r="46" spans="1:8" x14ac:dyDescent="0.3">
      <c r="A46" s="6" t="s">
        <v>4031</v>
      </c>
      <c r="B46" s="6" t="s">
        <v>366</v>
      </c>
      <c r="C46" s="6"/>
      <c r="D46" s="6">
        <v>12</v>
      </c>
      <c r="E46" s="6"/>
      <c r="F46" s="6"/>
      <c r="G46" s="6">
        <f>Table68[[#This Row],[Total Athletes]]-(LEN(Table68[[#This Row],[Pair]])-LEN(SUBSTITUTE(Table68[[#This Row],[Pair]],"/","")))-1</f>
        <v>1</v>
      </c>
      <c r="H46" s="6">
        <v>2</v>
      </c>
    </row>
    <row r="47" spans="1:8" x14ac:dyDescent="0.3">
      <c r="A47" s="6"/>
      <c r="B47" s="6" t="s">
        <v>394</v>
      </c>
      <c r="C47" s="6"/>
      <c r="D47" s="6"/>
      <c r="E47" s="6">
        <v>-1</v>
      </c>
      <c r="F47" s="6"/>
      <c r="G47" s="6">
        <f>Table68[[#This Row],[Total Athletes]]-(LEN(Table68[[#This Row],[Pair]])-LEN(SUBSTITUTE(Table68[[#This Row],[Pair]],"/","")))-1</f>
        <v>-1</v>
      </c>
      <c r="H47" s="6"/>
    </row>
    <row r="48" spans="1:8" x14ac:dyDescent="0.3">
      <c r="A48" s="6"/>
      <c r="B48" s="6" t="s">
        <v>674</v>
      </c>
      <c r="C48" s="6">
        <v>-1</v>
      </c>
      <c r="D48" s="6"/>
      <c r="E48" s="6"/>
      <c r="F48" s="6"/>
      <c r="G48" s="6">
        <f>Table68[[#This Row],[Total Athletes]]-(LEN(Table68[[#This Row],[Pair]])-LEN(SUBSTITUTE(Table68[[#This Row],[Pair]],"/","")))-1</f>
        <v>-1</v>
      </c>
      <c r="H48" s="6"/>
    </row>
    <row r="49" spans="1:8" x14ac:dyDescent="0.3">
      <c r="A49" s="6"/>
      <c r="B49" s="6" t="s">
        <v>412</v>
      </c>
      <c r="C49" s="6"/>
      <c r="D49" s="6"/>
      <c r="E49" s="6"/>
      <c r="F49" s="6">
        <v>-1</v>
      </c>
      <c r="G49" s="6">
        <f>Table68[[#This Row],[Total Athletes]]-(LEN(Table68[[#This Row],[Pair]])-LEN(SUBSTITUTE(Table68[[#This Row],[Pair]],"/","")))-1</f>
        <v>-1</v>
      </c>
      <c r="H49" s="6"/>
    </row>
    <row r="50" spans="1:8" x14ac:dyDescent="0.3">
      <c r="A50" s="6" t="s">
        <v>3248</v>
      </c>
      <c r="B50" s="6" t="s">
        <v>344</v>
      </c>
      <c r="C50" s="6"/>
      <c r="D50" s="6">
        <v>10</v>
      </c>
      <c r="E50" s="6"/>
      <c r="F50" s="6"/>
      <c r="G50" s="6">
        <f>Table68[[#This Row],[Total Athletes]]-(LEN(Table68[[#This Row],[Pair]])-LEN(SUBSTITUTE(Table68[[#This Row],[Pair]],"/","")))-1</f>
        <v>1</v>
      </c>
      <c r="H50" s="6">
        <v>2</v>
      </c>
    </row>
    <row r="51" spans="1:8" x14ac:dyDescent="0.3">
      <c r="A51" s="6" t="s">
        <v>4662</v>
      </c>
      <c r="B51" s="6" t="s">
        <v>334</v>
      </c>
      <c r="C51" s="6"/>
      <c r="D51" s="6"/>
      <c r="E51" s="6">
        <v>5</v>
      </c>
      <c r="F51" s="6"/>
      <c r="G51" s="6">
        <f>Table68[[#This Row],[Total Athletes]]-(LEN(Table68[[#This Row],[Pair]])-LEN(SUBSTITUTE(Table68[[#This Row],[Pair]],"/","")))-1</f>
        <v>1</v>
      </c>
      <c r="H51" s="6">
        <v>2</v>
      </c>
    </row>
    <row r="52" spans="1:8" x14ac:dyDescent="0.3">
      <c r="A52" s="6" t="s">
        <v>2206</v>
      </c>
      <c r="B52" s="6" t="s">
        <v>330</v>
      </c>
      <c r="C52" s="6"/>
      <c r="D52" s="6"/>
      <c r="E52" s="6">
        <v>9</v>
      </c>
      <c r="F52" s="6"/>
      <c r="G52" s="6">
        <f>Table68[[#This Row],[Total Athletes]]-(LEN(Table68[[#This Row],[Pair]])-LEN(SUBSTITUTE(Table68[[#This Row],[Pair]],"/","")))-1</f>
        <v>1</v>
      </c>
      <c r="H52" s="6">
        <v>2</v>
      </c>
    </row>
    <row r="53" spans="1:8" x14ac:dyDescent="0.3">
      <c r="A53" s="6" t="s">
        <v>2353</v>
      </c>
      <c r="B53" s="6" t="s">
        <v>354</v>
      </c>
      <c r="C53" s="6"/>
      <c r="D53" s="6"/>
      <c r="E53" s="6"/>
      <c r="F53" s="6">
        <v>7</v>
      </c>
      <c r="G53" s="6">
        <f>Table68[[#This Row],[Total Athletes]]-(LEN(Table68[[#This Row],[Pair]])-LEN(SUBSTITUTE(Table68[[#This Row],[Pair]],"/","")))-1</f>
        <v>1</v>
      </c>
      <c r="H53" s="6">
        <v>2</v>
      </c>
    </row>
    <row r="54" spans="1:8" x14ac:dyDescent="0.3">
      <c r="A54" s="6" t="s">
        <v>2205</v>
      </c>
      <c r="B54" s="6" t="s">
        <v>330</v>
      </c>
      <c r="C54" s="6"/>
      <c r="D54" s="6"/>
      <c r="E54" s="6"/>
      <c r="F54" s="6">
        <v>16</v>
      </c>
      <c r="G54" s="6">
        <f>Table68[[#This Row],[Total Athletes]]-(LEN(Table68[[#This Row],[Pair]])-LEN(SUBSTITUTE(Table68[[#This Row],[Pair]],"/","")))-1</f>
        <v>1</v>
      </c>
      <c r="H54" s="6">
        <v>2</v>
      </c>
    </row>
    <row r="55" spans="1:8" x14ac:dyDescent="0.3">
      <c r="A55" s="6" t="s">
        <v>5023</v>
      </c>
      <c r="B55" s="6" t="s">
        <v>364</v>
      </c>
      <c r="C55" s="6"/>
      <c r="D55" s="6"/>
      <c r="E55" s="6"/>
      <c r="F55" s="6">
        <v>18</v>
      </c>
      <c r="G55" s="6">
        <f>Table68[[#This Row],[Total Athletes]]-(LEN(Table68[[#This Row],[Pair]])-LEN(SUBSTITUTE(Table68[[#This Row],[Pair]],"/","")))-1</f>
        <v>0</v>
      </c>
      <c r="H55" s="6">
        <v>2</v>
      </c>
    </row>
  </sheetData>
  <pageMargins left="0.7" right="0.7" top="0.75" bottom="0.75" header="0.3" footer="0.3"/>
  <tableParts count="1">
    <tablePart r:id="rId1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2CAFD-E483-4CFF-B01F-304A06ED28AE}">
  <dimension ref="A1:F22"/>
  <sheetViews>
    <sheetView topLeftCell="A13" workbookViewId="0">
      <selection activeCell="B23" sqref="B23"/>
    </sheetView>
  </sheetViews>
  <sheetFormatPr defaultRowHeight="14.4" x14ac:dyDescent="0.3"/>
  <cols>
    <col min="1" max="1" width="69.21875" bestFit="1" customWidth="1"/>
    <col min="2" max="2" width="11.88671875" bestFit="1" customWidth="1"/>
    <col min="3" max="3" width="27.6640625" bestFit="1" customWidth="1"/>
    <col min="4" max="4" width="30.5546875" bestFit="1" customWidth="1"/>
    <col min="5" max="5" width="17" bestFit="1" customWidth="1"/>
    <col min="6" max="6" width="14.77734375" bestFit="1" customWidth="1"/>
  </cols>
  <sheetData>
    <row r="1" spans="1:6" x14ac:dyDescent="0.3">
      <c r="A1" t="s">
        <v>834</v>
      </c>
      <c r="B1" t="s">
        <v>1</v>
      </c>
      <c r="C1" t="s">
        <v>980</v>
      </c>
      <c r="D1" t="s">
        <v>981</v>
      </c>
      <c r="E1" t="s">
        <v>1212</v>
      </c>
      <c r="F1" t="s">
        <v>1213</v>
      </c>
    </row>
    <row r="2" spans="1:6" x14ac:dyDescent="0.3">
      <c r="A2" s="6" t="s">
        <v>4662</v>
      </c>
      <c r="B2" s="6" t="s">
        <v>334</v>
      </c>
      <c r="C2" s="6">
        <v>1</v>
      </c>
      <c r="D2" s="6"/>
      <c r="E2" s="6">
        <f>Table83[[#This Row],[Total Athletes]]-(LEN(Table83[[#This Row],[Team]])-LEN(SUBSTITUTE(Table83[[#This Row],[Team]],"/","")))-1</f>
        <v>3</v>
      </c>
      <c r="F2" s="6">
        <v>4</v>
      </c>
    </row>
    <row r="3" spans="1:6" x14ac:dyDescent="0.3">
      <c r="A3" s="6"/>
      <c r="B3" s="6" t="s">
        <v>406</v>
      </c>
      <c r="C3" s="6">
        <v>-1</v>
      </c>
      <c r="D3" s="6"/>
      <c r="E3" s="6">
        <f>Table83[[#This Row],[Total Athletes]]-(LEN(Table83[[#This Row],[Team]])-LEN(SUBSTITUTE(Table83[[#This Row],[Team]],"/","")))-1</f>
        <v>-1</v>
      </c>
      <c r="F3" s="6"/>
    </row>
    <row r="4" spans="1:6" x14ac:dyDescent="0.3">
      <c r="A4" s="6"/>
      <c r="B4" s="6" t="s">
        <v>726</v>
      </c>
      <c r="C4" s="6">
        <v>-1</v>
      </c>
      <c r="D4" s="6"/>
      <c r="E4" s="6">
        <f>Table83[[#This Row],[Total Athletes]]-(LEN(Table83[[#This Row],[Team]])-LEN(SUBSTITUTE(Table83[[#This Row],[Team]],"/","")))-1</f>
        <v>-1</v>
      </c>
      <c r="F4" s="6"/>
    </row>
    <row r="5" spans="1:6" x14ac:dyDescent="0.3">
      <c r="A5" s="6" t="s">
        <v>2387</v>
      </c>
      <c r="B5" s="6" t="s">
        <v>354</v>
      </c>
      <c r="C5" s="6">
        <v>2</v>
      </c>
      <c r="D5" s="6"/>
      <c r="E5" s="6">
        <f>Table83[[#This Row],[Total Athletes]]-(LEN(Table83[[#This Row],[Team]])-LEN(SUBSTITUTE(Table83[[#This Row],[Team]],"/","")))-1</f>
        <v>2</v>
      </c>
      <c r="F5" s="6">
        <v>4</v>
      </c>
    </row>
    <row r="6" spans="1:6" x14ac:dyDescent="0.3">
      <c r="A6" s="6"/>
      <c r="B6" s="6" t="s">
        <v>414</v>
      </c>
      <c r="C6" s="6">
        <v>-1</v>
      </c>
      <c r="D6" s="6"/>
      <c r="E6" s="6">
        <f>Table83[[#This Row],[Total Athletes]]-(LEN(Table83[[#This Row],[Team]])-LEN(SUBSTITUTE(Table83[[#This Row],[Team]],"/","")))-1</f>
        <v>-1</v>
      </c>
      <c r="F6" s="6"/>
    </row>
    <row r="7" spans="1:6" x14ac:dyDescent="0.3">
      <c r="A7" s="6"/>
      <c r="B7" s="6" t="s">
        <v>620</v>
      </c>
      <c r="C7" s="6">
        <v>-1</v>
      </c>
      <c r="D7" s="6"/>
      <c r="E7" s="6">
        <f>Table83[[#This Row],[Total Athletes]]-(LEN(Table83[[#This Row],[Team]])-LEN(SUBSTITUTE(Table83[[#This Row],[Team]],"/","")))-1</f>
        <v>-1</v>
      </c>
      <c r="F7" s="6"/>
    </row>
    <row r="8" spans="1:6" x14ac:dyDescent="0.3">
      <c r="A8" s="6" t="s">
        <v>4572</v>
      </c>
      <c r="B8" s="6" t="s">
        <v>330</v>
      </c>
      <c r="C8" s="6">
        <v>3</v>
      </c>
      <c r="D8" s="6"/>
      <c r="E8" s="6">
        <f>Table83[[#This Row],[Total Athletes]]-(LEN(Table83[[#This Row],[Team]])-LEN(SUBSTITUTE(Table83[[#This Row],[Team]],"/","")))-1</f>
        <v>1</v>
      </c>
      <c r="F8" s="6">
        <v>3</v>
      </c>
    </row>
    <row r="9" spans="1:6" x14ac:dyDescent="0.3">
      <c r="A9" s="6"/>
      <c r="B9" s="6" t="s">
        <v>690</v>
      </c>
      <c r="C9" s="6">
        <v>-1</v>
      </c>
      <c r="D9" s="6"/>
      <c r="E9" s="6">
        <f>Table83[[#This Row],[Total Athletes]]-(LEN(Table83[[#This Row],[Team]])-LEN(SUBSTITUTE(Table83[[#This Row],[Team]],"/","")))-1</f>
        <v>-1</v>
      </c>
      <c r="F9" s="6"/>
    </row>
    <row r="10" spans="1:6" x14ac:dyDescent="0.3">
      <c r="A10" s="6"/>
      <c r="B10" s="6" t="s">
        <v>384</v>
      </c>
      <c r="C10" s="6">
        <v>-1</v>
      </c>
      <c r="D10" s="6"/>
      <c r="E10" s="6">
        <f>Table83[[#This Row],[Total Athletes]]-(LEN(Table83[[#This Row],[Team]])-LEN(SUBSTITUTE(Table83[[#This Row],[Team]],"/","")))-1</f>
        <v>-1</v>
      </c>
      <c r="F10" s="6"/>
    </row>
    <row r="11" spans="1:6" x14ac:dyDescent="0.3">
      <c r="A11" s="6"/>
      <c r="B11" s="6" t="s">
        <v>328</v>
      </c>
      <c r="C11" s="6">
        <v>-1</v>
      </c>
      <c r="D11" s="6"/>
      <c r="E11" s="6">
        <f>Table83[[#This Row],[Total Athletes]]-(LEN(Table83[[#This Row],[Team]])-LEN(SUBSTITUTE(Table83[[#This Row],[Team]],"/","")))-1</f>
        <v>-1</v>
      </c>
      <c r="F11" s="6"/>
    </row>
    <row r="12" spans="1:6" x14ac:dyDescent="0.3">
      <c r="A12" s="6"/>
      <c r="B12" s="6" t="s">
        <v>474</v>
      </c>
      <c r="C12" s="6"/>
      <c r="D12" s="6">
        <v>-1</v>
      </c>
      <c r="E12" s="6">
        <f>Table83[[#This Row],[Total Athletes]]-(LEN(Table83[[#This Row],[Team]])-LEN(SUBSTITUTE(Table83[[#This Row],[Team]],"/","")))-1</f>
        <v>-1</v>
      </c>
      <c r="F12" s="6"/>
    </row>
    <row r="13" spans="1:6" x14ac:dyDescent="0.3">
      <c r="A13" s="6"/>
      <c r="B13" s="6" t="s">
        <v>394</v>
      </c>
      <c r="C13" s="6"/>
      <c r="D13" s="6">
        <v>-1</v>
      </c>
      <c r="E13" s="6">
        <f>Table83[[#This Row],[Total Athletes]]-(LEN(Table83[[#This Row],[Team]])-LEN(SUBSTITUTE(Table83[[#This Row],[Team]],"/","")))-1</f>
        <v>-1</v>
      </c>
      <c r="F13" s="6"/>
    </row>
    <row r="14" spans="1:6" x14ac:dyDescent="0.3">
      <c r="A14" s="6" t="s">
        <v>2210</v>
      </c>
      <c r="B14" s="6" t="s">
        <v>330</v>
      </c>
      <c r="C14" s="6"/>
      <c r="D14" s="6">
        <v>6</v>
      </c>
      <c r="E14" s="6">
        <f>Table83[[#This Row],[Total Athletes]]-(LEN(Table83[[#This Row],[Team]])-LEN(SUBSTITUTE(Table83[[#This Row],[Team]],"/","")))-1</f>
        <v>2</v>
      </c>
      <c r="F14" s="6">
        <v>4</v>
      </c>
    </row>
    <row r="15" spans="1:6" x14ac:dyDescent="0.3">
      <c r="A15" s="6"/>
      <c r="B15" s="6" t="s">
        <v>328</v>
      </c>
      <c r="C15" s="6"/>
      <c r="D15" s="6">
        <v>-1</v>
      </c>
      <c r="E15" s="6">
        <f>Table83[[#This Row],[Total Athletes]]-(LEN(Table83[[#This Row],[Team]])-LEN(SUBSTITUTE(Table83[[#This Row],[Team]],"/","")))-1</f>
        <v>-1</v>
      </c>
      <c r="F15" s="6"/>
    </row>
    <row r="16" spans="1:6" x14ac:dyDescent="0.3">
      <c r="A16" s="6" t="s">
        <v>2354</v>
      </c>
      <c r="B16" s="6" t="s">
        <v>354</v>
      </c>
      <c r="C16" s="6"/>
      <c r="D16" s="6">
        <v>8</v>
      </c>
      <c r="E16" s="6">
        <f>Table83[[#This Row],[Total Athletes]]-(LEN(Table83[[#This Row],[Team]])-LEN(SUBSTITUTE(Table83[[#This Row],[Team]],"/","")))-1</f>
        <v>2</v>
      </c>
      <c r="F16" s="6">
        <v>4</v>
      </c>
    </row>
    <row r="17" spans="1:6" x14ac:dyDescent="0.3">
      <c r="A17" s="6"/>
      <c r="B17" s="6" t="s">
        <v>690</v>
      </c>
      <c r="C17" s="6"/>
      <c r="D17" s="6">
        <v>-1</v>
      </c>
      <c r="E17" s="6">
        <f>Table83[[#This Row],[Total Athletes]]-(LEN(Table83[[#This Row],[Team]])-LEN(SUBSTITUTE(Table83[[#This Row],[Team]],"/","")))-1</f>
        <v>-1</v>
      </c>
      <c r="F17" s="6"/>
    </row>
    <row r="18" spans="1:6" x14ac:dyDescent="0.3">
      <c r="A18" s="6"/>
      <c r="B18" s="6" t="s">
        <v>406</v>
      </c>
      <c r="C18" s="6"/>
      <c r="D18" s="6">
        <v>-1</v>
      </c>
      <c r="E18" s="6">
        <f>Table83[[#This Row],[Total Athletes]]-(LEN(Table83[[#This Row],[Team]])-LEN(SUBSTITUTE(Table83[[#This Row],[Team]],"/","")))-1</f>
        <v>-1</v>
      </c>
      <c r="F18" s="6"/>
    </row>
    <row r="19" spans="1:6" x14ac:dyDescent="0.3">
      <c r="A19" s="6"/>
      <c r="B19" s="6" t="s">
        <v>334</v>
      </c>
      <c r="C19" s="6"/>
      <c r="D19" s="6">
        <v>-1</v>
      </c>
      <c r="E19" s="6">
        <f>Table83[[#This Row],[Total Athletes]]-(LEN(Table83[[#This Row],[Team]])-LEN(SUBSTITUTE(Table83[[#This Row],[Team]],"/","")))-1</f>
        <v>-1</v>
      </c>
      <c r="F19" s="6"/>
    </row>
    <row r="20" spans="1:6" x14ac:dyDescent="0.3">
      <c r="A20" s="6" t="s">
        <v>5022</v>
      </c>
      <c r="B20" s="6" t="s">
        <v>364</v>
      </c>
      <c r="C20" s="6"/>
      <c r="D20" s="6">
        <v>7</v>
      </c>
      <c r="E20" s="6">
        <f>Table83[[#This Row],[Total Athletes]]-(LEN(Table83[[#This Row],[Team]])-LEN(SUBSTITUTE(Table83[[#This Row],[Team]],"/","")))-1</f>
        <v>0</v>
      </c>
      <c r="F20" s="6">
        <v>4</v>
      </c>
    </row>
    <row r="21" spans="1:6" x14ac:dyDescent="0.3">
      <c r="A21" s="6"/>
      <c r="B21" s="6" t="s">
        <v>384</v>
      </c>
      <c r="C21" s="6"/>
      <c r="D21" s="6">
        <v>-1</v>
      </c>
      <c r="E21" s="6">
        <f>Table83[[#This Row],[Total Athletes]]-(LEN(Table83[[#This Row],[Team]])-LEN(SUBSTITUTE(Table83[[#This Row],[Team]],"/","")))-1</f>
        <v>-1</v>
      </c>
      <c r="F21" s="6"/>
    </row>
    <row r="22" spans="1:6" x14ac:dyDescent="0.3">
      <c r="A22" s="6" t="s">
        <v>1976</v>
      </c>
      <c r="B22" s="6" t="s">
        <v>474</v>
      </c>
      <c r="C22" s="6">
        <v>8</v>
      </c>
      <c r="D22" s="6"/>
      <c r="E22" s="6">
        <f>Table83[[#This Row],[Total Athletes]]-(LEN(Table83[[#This Row],[Team]])-LEN(SUBSTITUTE(Table83[[#This Row],[Team]],"/","")))-1</f>
        <v>3</v>
      </c>
      <c r="F22" s="6">
        <v>4</v>
      </c>
    </row>
  </sheetData>
  <pageMargins left="0.7" right="0.7" top="0.75" bottom="0.75" header="0.3" footer="0.3"/>
  <tableParts count="1">
    <tablePart r:id="rId1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A7C52-EE21-4DA0-BE1C-08F1EE52F6C9}">
  <dimension ref="A1:C37"/>
  <sheetViews>
    <sheetView topLeftCell="A31" workbookViewId="0">
      <selection activeCell="B38" sqref="B38"/>
    </sheetView>
  </sheetViews>
  <sheetFormatPr defaultRowHeight="14.4" x14ac:dyDescent="0.3"/>
  <cols>
    <col min="1" max="1" width="21.6640625" bestFit="1" customWidth="1"/>
    <col min="2" max="2" width="14" bestFit="1" customWidth="1"/>
    <col min="3" max="3" width="14.109375" bestFit="1" customWidth="1"/>
  </cols>
  <sheetData>
    <row r="1" spans="1:3" x14ac:dyDescent="0.3">
      <c r="A1" t="s">
        <v>832</v>
      </c>
      <c r="B1" t="s">
        <v>1</v>
      </c>
      <c r="C1" t="s">
        <v>899</v>
      </c>
    </row>
    <row r="2" spans="1:3" x14ac:dyDescent="0.3">
      <c r="A2" s="6"/>
      <c r="B2" s="6" t="s">
        <v>350</v>
      </c>
      <c r="C2" s="6">
        <v>-1</v>
      </c>
    </row>
    <row r="3" spans="1:3" x14ac:dyDescent="0.3">
      <c r="A3" s="6"/>
      <c r="B3" s="6" t="s">
        <v>650</v>
      </c>
      <c r="C3" s="6">
        <v>-1</v>
      </c>
    </row>
    <row r="4" spans="1:3" x14ac:dyDescent="0.3">
      <c r="A4" s="6"/>
      <c r="B4" s="6" t="s">
        <v>614</v>
      </c>
      <c r="C4" s="6">
        <v>-1</v>
      </c>
    </row>
    <row r="5" spans="1:3" x14ac:dyDescent="0.3">
      <c r="A5" s="6" t="s">
        <v>5071</v>
      </c>
      <c r="B5" s="6" t="s">
        <v>362</v>
      </c>
      <c r="C5" s="6">
        <v>31</v>
      </c>
    </row>
    <row r="6" spans="1:3" x14ac:dyDescent="0.3">
      <c r="A6" s="6" t="s">
        <v>1400</v>
      </c>
      <c r="B6" s="6" t="s">
        <v>328</v>
      </c>
      <c r="C6" s="6">
        <v>33</v>
      </c>
    </row>
    <row r="7" spans="1:3" x14ac:dyDescent="0.3">
      <c r="A7" s="6"/>
      <c r="B7" s="6" t="s">
        <v>444</v>
      </c>
      <c r="C7" s="6">
        <v>-1</v>
      </c>
    </row>
    <row r="8" spans="1:3" x14ac:dyDescent="0.3">
      <c r="A8" s="6"/>
      <c r="B8" s="6" t="s">
        <v>444</v>
      </c>
      <c r="C8" s="6">
        <v>-1</v>
      </c>
    </row>
    <row r="9" spans="1:3" x14ac:dyDescent="0.3">
      <c r="A9" s="6" t="s">
        <v>1952</v>
      </c>
      <c r="B9" s="6" t="s">
        <v>344</v>
      </c>
      <c r="C9" s="6">
        <v>14</v>
      </c>
    </row>
    <row r="10" spans="1:3" x14ac:dyDescent="0.3">
      <c r="A10" s="6" t="s">
        <v>2698</v>
      </c>
      <c r="B10" s="6" t="s">
        <v>344</v>
      </c>
      <c r="C10" s="6">
        <v>2</v>
      </c>
    </row>
    <row r="11" spans="1:3" x14ac:dyDescent="0.3">
      <c r="A11" s="6" t="s">
        <v>1742</v>
      </c>
      <c r="B11" s="6" t="s">
        <v>356</v>
      </c>
      <c r="C11" s="6">
        <v>4</v>
      </c>
    </row>
    <row r="12" spans="1:3" x14ac:dyDescent="0.3">
      <c r="A12" s="6"/>
      <c r="B12" s="6" t="s">
        <v>356</v>
      </c>
      <c r="C12" s="6">
        <v>-1</v>
      </c>
    </row>
    <row r="13" spans="1:3" x14ac:dyDescent="0.3">
      <c r="A13" s="6"/>
      <c r="B13" s="6" t="s">
        <v>330</v>
      </c>
      <c r="C13" s="6">
        <v>-1</v>
      </c>
    </row>
    <row r="14" spans="1:3" x14ac:dyDescent="0.3">
      <c r="A14" s="6"/>
      <c r="B14" s="6" t="s">
        <v>330</v>
      </c>
      <c r="C14" s="6">
        <v>-1</v>
      </c>
    </row>
    <row r="15" spans="1:3" x14ac:dyDescent="0.3">
      <c r="A15" s="6" t="s">
        <v>4172</v>
      </c>
      <c r="B15" s="6" t="s">
        <v>332</v>
      </c>
      <c r="C15" s="6">
        <v>7</v>
      </c>
    </row>
    <row r="16" spans="1:3" x14ac:dyDescent="0.3">
      <c r="A16" s="6" t="s">
        <v>4701</v>
      </c>
      <c r="B16" s="6" t="s">
        <v>332</v>
      </c>
      <c r="C16" s="6">
        <v>13</v>
      </c>
    </row>
    <row r="17" spans="1:3" x14ac:dyDescent="0.3">
      <c r="A17" s="6"/>
      <c r="B17" s="6" t="s">
        <v>334</v>
      </c>
      <c r="C17" s="6">
        <v>-1</v>
      </c>
    </row>
    <row r="18" spans="1:3" x14ac:dyDescent="0.3">
      <c r="A18" s="6"/>
      <c r="B18" s="6" t="s">
        <v>334</v>
      </c>
      <c r="C18" s="6">
        <v>-1</v>
      </c>
    </row>
    <row r="19" spans="1:3" x14ac:dyDescent="0.3">
      <c r="A19" s="6"/>
      <c r="B19" s="6" t="s">
        <v>520</v>
      </c>
      <c r="C19" s="6">
        <v>-1</v>
      </c>
    </row>
    <row r="20" spans="1:3" x14ac:dyDescent="0.3">
      <c r="A20" s="6"/>
      <c r="B20" s="6" t="s">
        <v>520</v>
      </c>
      <c r="C20" s="6">
        <v>-1</v>
      </c>
    </row>
    <row r="21" spans="1:3" x14ac:dyDescent="0.3">
      <c r="A21" s="6" t="s">
        <v>3139</v>
      </c>
      <c r="B21" s="6" t="s">
        <v>402</v>
      </c>
      <c r="C21" s="6">
        <v>8</v>
      </c>
    </row>
    <row r="22" spans="1:3" x14ac:dyDescent="0.3">
      <c r="A22" s="6" t="s">
        <v>3212</v>
      </c>
      <c r="B22" s="6" t="s">
        <v>402</v>
      </c>
      <c r="C22" s="6">
        <v>1</v>
      </c>
    </row>
    <row r="23" spans="1:3" x14ac:dyDescent="0.3">
      <c r="A23" s="6" t="s">
        <v>2812</v>
      </c>
      <c r="B23" s="6" t="s">
        <v>336</v>
      </c>
      <c r="C23" s="6">
        <v>21</v>
      </c>
    </row>
    <row r="24" spans="1:3" x14ac:dyDescent="0.3">
      <c r="A24" s="6" t="s">
        <v>2217</v>
      </c>
      <c r="B24" s="6" t="s">
        <v>414</v>
      </c>
      <c r="C24" s="6">
        <v>12</v>
      </c>
    </row>
    <row r="25" spans="1:3" x14ac:dyDescent="0.3">
      <c r="A25" s="6"/>
      <c r="B25" s="6" t="s">
        <v>384</v>
      </c>
      <c r="C25" s="6">
        <v>-1</v>
      </c>
    </row>
    <row r="26" spans="1:3" x14ac:dyDescent="0.3">
      <c r="A26" s="6"/>
      <c r="B26" s="6" t="s">
        <v>474</v>
      </c>
      <c r="C26" s="6">
        <v>-1</v>
      </c>
    </row>
    <row r="27" spans="1:3" x14ac:dyDescent="0.3">
      <c r="A27" s="6"/>
      <c r="B27" s="6" t="s">
        <v>422</v>
      </c>
      <c r="C27" s="6">
        <v>-1</v>
      </c>
    </row>
    <row r="28" spans="1:3" x14ac:dyDescent="0.3">
      <c r="A28" s="6"/>
      <c r="B28" s="6" t="s">
        <v>358</v>
      </c>
      <c r="C28" s="6">
        <v>-1</v>
      </c>
    </row>
    <row r="29" spans="1:3" x14ac:dyDescent="0.3">
      <c r="A29" s="6"/>
      <c r="B29" s="6" t="s">
        <v>364</v>
      </c>
      <c r="C29" s="6">
        <v>-1</v>
      </c>
    </row>
    <row r="30" spans="1:3" x14ac:dyDescent="0.3">
      <c r="A30" s="6" t="s">
        <v>3967</v>
      </c>
      <c r="B30" s="6" t="s">
        <v>366</v>
      </c>
      <c r="C30" s="6">
        <v>11</v>
      </c>
    </row>
    <row r="31" spans="1:3" x14ac:dyDescent="0.3">
      <c r="A31" s="6"/>
      <c r="B31" s="6" t="s">
        <v>394</v>
      </c>
      <c r="C31" s="6">
        <v>-1</v>
      </c>
    </row>
    <row r="32" spans="1:3" x14ac:dyDescent="0.3">
      <c r="A32" s="6"/>
      <c r="B32" s="6" t="s">
        <v>348</v>
      </c>
      <c r="C32" s="6">
        <v>-1</v>
      </c>
    </row>
    <row r="33" spans="1:3" x14ac:dyDescent="0.3">
      <c r="A33" s="6"/>
      <c r="B33" s="6" t="s">
        <v>442</v>
      </c>
      <c r="C33" s="6">
        <v>-1</v>
      </c>
    </row>
    <row r="34" spans="1:3" x14ac:dyDescent="0.3">
      <c r="A34" s="6"/>
      <c r="B34" s="6" t="s">
        <v>598</v>
      </c>
      <c r="C34" s="6">
        <v>-1</v>
      </c>
    </row>
    <row r="35" spans="1:3" x14ac:dyDescent="0.3">
      <c r="A35" s="6"/>
      <c r="B35" s="6" t="s">
        <v>726</v>
      </c>
      <c r="C35" s="6">
        <v>-1</v>
      </c>
    </row>
    <row r="36" spans="1:3" x14ac:dyDescent="0.3">
      <c r="A36" s="6" t="s">
        <v>1462</v>
      </c>
      <c r="B36" s="6" t="s">
        <v>372</v>
      </c>
      <c r="C36" s="6">
        <v>1001</v>
      </c>
    </row>
    <row r="37" spans="1:3" x14ac:dyDescent="0.3">
      <c r="A37" s="6"/>
      <c r="B37" s="6" t="s">
        <v>618</v>
      </c>
      <c r="C37" s="6">
        <v>-1</v>
      </c>
    </row>
  </sheetData>
  <pageMargins left="0.7" right="0.7" top="0.75" bottom="0.75" header="0.3" footer="0.3"/>
  <tableParts count="1">
    <tablePart r:id="rId1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B15C7E-CEC9-400D-8186-AE9BDAF9A4E3}">
  <dimension ref="A1:C37"/>
  <sheetViews>
    <sheetView topLeftCell="A31" workbookViewId="0">
      <selection activeCell="B38" sqref="B38"/>
    </sheetView>
  </sheetViews>
  <sheetFormatPr defaultRowHeight="14.4" x14ac:dyDescent="0.3"/>
  <cols>
    <col min="1" max="1" width="20.5546875" bestFit="1" customWidth="1"/>
    <col min="2" max="2" width="13.6640625" bestFit="1" customWidth="1"/>
    <col min="3" max="3" width="14.109375" bestFit="1" customWidth="1"/>
  </cols>
  <sheetData>
    <row r="1" spans="1:3" x14ac:dyDescent="0.3">
      <c r="A1" t="s">
        <v>832</v>
      </c>
      <c r="B1" t="s">
        <v>1</v>
      </c>
      <c r="C1" t="s">
        <v>899</v>
      </c>
    </row>
    <row r="2" spans="1:3" x14ac:dyDescent="0.3">
      <c r="A2" s="6"/>
      <c r="B2" s="6" t="s">
        <v>350</v>
      </c>
      <c r="C2" s="6">
        <v>-1</v>
      </c>
    </row>
    <row r="3" spans="1:3" x14ac:dyDescent="0.3">
      <c r="A3" s="6" t="s">
        <v>1331</v>
      </c>
      <c r="B3" s="6" t="s">
        <v>636</v>
      </c>
      <c r="C3" s="6">
        <v>1001</v>
      </c>
    </row>
    <row r="4" spans="1:3" x14ac:dyDescent="0.3">
      <c r="A4" s="6"/>
      <c r="B4" s="6" t="s">
        <v>694</v>
      </c>
      <c r="C4" s="6">
        <v>-1</v>
      </c>
    </row>
    <row r="5" spans="1:3" x14ac:dyDescent="0.3">
      <c r="A5" s="6"/>
      <c r="B5" s="6" t="s">
        <v>406</v>
      </c>
      <c r="C5" s="6">
        <v>-1</v>
      </c>
    </row>
    <row r="6" spans="1:3" x14ac:dyDescent="0.3">
      <c r="A6" s="6"/>
      <c r="B6" s="6" t="s">
        <v>474</v>
      </c>
      <c r="C6" s="6">
        <v>-1</v>
      </c>
    </row>
    <row r="7" spans="1:3" x14ac:dyDescent="0.3">
      <c r="A7" s="6"/>
      <c r="B7" s="6" t="s">
        <v>428</v>
      </c>
      <c r="C7" s="6">
        <v>-1</v>
      </c>
    </row>
    <row r="8" spans="1:3" x14ac:dyDescent="0.3">
      <c r="A8" s="6"/>
      <c r="B8" s="6" t="s">
        <v>328</v>
      </c>
      <c r="C8" s="6">
        <v>-1</v>
      </c>
    </row>
    <row r="9" spans="1:3" x14ac:dyDescent="0.3">
      <c r="A9" s="6"/>
      <c r="B9" s="6" t="s">
        <v>444</v>
      </c>
      <c r="C9" s="6">
        <v>-1</v>
      </c>
    </row>
    <row r="10" spans="1:3" x14ac:dyDescent="0.3">
      <c r="A10" s="6"/>
      <c r="B10" s="6" t="s">
        <v>444</v>
      </c>
      <c r="C10" s="6">
        <v>-1</v>
      </c>
    </row>
    <row r="11" spans="1:3" x14ac:dyDescent="0.3">
      <c r="A11" s="6"/>
      <c r="B11" s="6" t="s">
        <v>344</v>
      </c>
      <c r="C11" s="6">
        <v>-1</v>
      </c>
    </row>
    <row r="12" spans="1:3" x14ac:dyDescent="0.3">
      <c r="A12" s="6"/>
      <c r="B12" s="6" t="s">
        <v>344</v>
      </c>
      <c r="C12" s="6">
        <v>-1</v>
      </c>
    </row>
    <row r="13" spans="1:3" x14ac:dyDescent="0.3">
      <c r="A13" s="6" t="s">
        <v>1968</v>
      </c>
      <c r="B13" s="6" t="s">
        <v>332</v>
      </c>
      <c r="C13" s="6">
        <v>12</v>
      </c>
    </row>
    <row r="14" spans="1:3" x14ac:dyDescent="0.3">
      <c r="A14" s="6" t="s">
        <v>3003</v>
      </c>
      <c r="B14" s="6" t="s">
        <v>332</v>
      </c>
      <c r="C14" s="6">
        <v>2</v>
      </c>
    </row>
    <row r="15" spans="1:3" x14ac:dyDescent="0.3">
      <c r="A15" s="6" t="s">
        <v>3582</v>
      </c>
      <c r="B15" s="6" t="s">
        <v>412</v>
      </c>
      <c r="C15" s="6">
        <v>9</v>
      </c>
    </row>
    <row r="16" spans="1:3" x14ac:dyDescent="0.3">
      <c r="A16" s="6"/>
      <c r="B16" s="6" t="s">
        <v>412</v>
      </c>
      <c r="C16" s="6">
        <v>-1</v>
      </c>
    </row>
    <row r="17" spans="1:3" x14ac:dyDescent="0.3">
      <c r="A17" s="6"/>
      <c r="B17" s="6" t="s">
        <v>356</v>
      </c>
      <c r="C17" s="6">
        <v>-1</v>
      </c>
    </row>
    <row r="18" spans="1:3" x14ac:dyDescent="0.3">
      <c r="A18" s="6"/>
      <c r="B18" s="6" t="s">
        <v>356</v>
      </c>
      <c r="C18" s="6">
        <v>-1</v>
      </c>
    </row>
    <row r="19" spans="1:3" x14ac:dyDescent="0.3">
      <c r="A19" s="6"/>
      <c r="B19" s="6" t="s">
        <v>358</v>
      </c>
      <c r="C19" s="6">
        <v>-1</v>
      </c>
    </row>
    <row r="20" spans="1:3" x14ac:dyDescent="0.3">
      <c r="A20" s="6"/>
      <c r="B20" s="6" t="s">
        <v>358</v>
      </c>
      <c r="C20" s="6">
        <v>-1</v>
      </c>
    </row>
    <row r="21" spans="1:3" x14ac:dyDescent="0.3">
      <c r="A21" s="6"/>
      <c r="B21" s="6" t="s">
        <v>414</v>
      </c>
      <c r="C21" s="6">
        <v>-1</v>
      </c>
    </row>
    <row r="22" spans="1:3" x14ac:dyDescent="0.3">
      <c r="A22" s="6"/>
      <c r="B22" s="6" t="s">
        <v>414</v>
      </c>
      <c r="C22" s="6">
        <v>-1</v>
      </c>
    </row>
    <row r="23" spans="1:3" x14ac:dyDescent="0.3">
      <c r="A23" s="6" t="s">
        <v>4890</v>
      </c>
      <c r="B23" s="6" t="s">
        <v>402</v>
      </c>
      <c r="C23" s="6">
        <v>23</v>
      </c>
    </row>
    <row r="24" spans="1:3" x14ac:dyDescent="0.3">
      <c r="A24" s="6"/>
      <c r="B24" s="6" t="s">
        <v>402</v>
      </c>
      <c r="C24" s="6">
        <v>-1</v>
      </c>
    </row>
    <row r="25" spans="1:3" x14ac:dyDescent="0.3">
      <c r="A25" s="6"/>
      <c r="B25" s="6" t="s">
        <v>334</v>
      </c>
      <c r="C25" s="6">
        <v>-1</v>
      </c>
    </row>
    <row r="26" spans="1:3" x14ac:dyDescent="0.3">
      <c r="A26" s="6"/>
      <c r="B26" s="6" t="s">
        <v>336</v>
      </c>
      <c r="C26" s="6">
        <v>-1</v>
      </c>
    </row>
    <row r="27" spans="1:3" x14ac:dyDescent="0.3">
      <c r="A27" s="6"/>
      <c r="B27" s="6" t="s">
        <v>354</v>
      </c>
      <c r="C27" s="6">
        <v>-1</v>
      </c>
    </row>
    <row r="28" spans="1:3" x14ac:dyDescent="0.3">
      <c r="A28" s="6"/>
      <c r="B28" s="6" t="s">
        <v>384</v>
      </c>
      <c r="C28" s="6">
        <v>-1</v>
      </c>
    </row>
    <row r="29" spans="1:3" x14ac:dyDescent="0.3">
      <c r="A29" s="6"/>
      <c r="B29" s="6" t="s">
        <v>338</v>
      </c>
      <c r="C29" s="6">
        <v>-1</v>
      </c>
    </row>
    <row r="30" spans="1:3" x14ac:dyDescent="0.3">
      <c r="A30" s="6"/>
      <c r="B30" s="6" t="s">
        <v>442</v>
      </c>
      <c r="C30" s="6">
        <v>-1</v>
      </c>
    </row>
    <row r="31" spans="1:3" x14ac:dyDescent="0.3">
      <c r="A31" s="6"/>
      <c r="B31" s="6" t="s">
        <v>394</v>
      </c>
      <c r="C31" s="6">
        <v>-1</v>
      </c>
    </row>
    <row r="32" spans="1:3" x14ac:dyDescent="0.3">
      <c r="A32" s="6"/>
      <c r="B32" s="6" t="s">
        <v>572</v>
      </c>
      <c r="C32" s="6">
        <v>-1</v>
      </c>
    </row>
    <row r="33" spans="1:3" x14ac:dyDescent="0.3">
      <c r="A33" s="6"/>
      <c r="B33" s="6" t="s">
        <v>726</v>
      </c>
      <c r="C33" s="6">
        <v>-1</v>
      </c>
    </row>
    <row r="34" spans="1:3" x14ac:dyDescent="0.3">
      <c r="A34" s="6" t="s">
        <v>1353</v>
      </c>
      <c r="B34" s="6" t="s">
        <v>346</v>
      </c>
      <c r="C34" s="6">
        <v>29</v>
      </c>
    </row>
    <row r="35" spans="1:3" x14ac:dyDescent="0.3">
      <c r="A35" s="6"/>
      <c r="B35" s="6" t="s">
        <v>422</v>
      </c>
      <c r="C35" s="6">
        <v>-1</v>
      </c>
    </row>
    <row r="36" spans="1:3" x14ac:dyDescent="0.3">
      <c r="A36" s="6" t="s">
        <v>3519</v>
      </c>
      <c r="B36" s="6" t="s">
        <v>520</v>
      </c>
      <c r="C36" s="6">
        <v>25</v>
      </c>
    </row>
    <row r="37" spans="1:3" x14ac:dyDescent="0.3">
      <c r="A37" s="6"/>
      <c r="B37" s="6" t="s">
        <v>676</v>
      </c>
      <c r="C37" s="6">
        <v>-1</v>
      </c>
    </row>
  </sheetData>
  <pageMargins left="0.7" right="0.7" top="0.75" bottom="0.75" header="0.3" footer="0.3"/>
  <tableParts count="1">
    <tablePart r:id="rId1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1C583-9271-45D8-93D5-F9F1E36CEF94}">
  <dimension ref="A1:C13"/>
  <sheetViews>
    <sheetView topLeftCell="A4" workbookViewId="0">
      <selection activeCell="B14" sqref="B14"/>
    </sheetView>
  </sheetViews>
  <sheetFormatPr defaultRowHeight="14.4" x14ac:dyDescent="0.3"/>
  <cols>
    <col min="1" max="1" width="17.44140625" bestFit="1" customWidth="1"/>
    <col min="2" max="2" width="12.21875" bestFit="1" customWidth="1"/>
    <col min="3" max="3" width="14.109375" bestFit="1" customWidth="1"/>
  </cols>
  <sheetData>
    <row r="1" spans="1:3" x14ac:dyDescent="0.3">
      <c r="A1" t="s">
        <v>832</v>
      </c>
      <c r="B1" t="s">
        <v>1</v>
      </c>
      <c r="C1" t="s">
        <v>899</v>
      </c>
    </row>
    <row r="2" spans="1:3" x14ac:dyDescent="0.3">
      <c r="A2" s="6" t="s">
        <v>2696</v>
      </c>
      <c r="B2" s="6" t="s">
        <v>344</v>
      </c>
      <c r="C2" s="6">
        <v>3</v>
      </c>
    </row>
    <row r="3" spans="1:3" x14ac:dyDescent="0.3">
      <c r="A3" s="6" t="s">
        <v>1406</v>
      </c>
      <c r="B3" s="6" t="s">
        <v>402</v>
      </c>
      <c r="C3" s="6">
        <v>2</v>
      </c>
    </row>
    <row r="4" spans="1:3" x14ac:dyDescent="0.3">
      <c r="A4" s="6"/>
      <c r="B4" s="6" t="s">
        <v>332</v>
      </c>
      <c r="C4" s="6">
        <v>-1</v>
      </c>
    </row>
    <row r="5" spans="1:3" x14ac:dyDescent="0.3">
      <c r="A5" s="6" t="s">
        <v>3056</v>
      </c>
      <c r="B5" s="6" t="s">
        <v>336</v>
      </c>
      <c r="C5" s="6">
        <v>6</v>
      </c>
    </row>
    <row r="6" spans="1:3" x14ac:dyDescent="0.3">
      <c r="A6" s="6"/>
      <c r="B6" s="6" t="s">
        <v>332</v>
      </c>
      <c r="C6" s="6">
        <v>-1</v>
      </c>
    </row>
    <row r="7" spans="1:3" x14ac:dyDescent="0.3">
      <c r="A7" s="6" t="s">
        <v>4888</v>
      </c>
      <c r="B7" s="6" t="s">
        <v>450</v>
      </c>
      <c r="C7" s="6">
        <v>11</v>
      </c>
    </row>
    <row r="8" spans="1:3" x14ac:dyDescent="0.3">
      <c r="A8" s="6"/>
      <c r="B8" s="6" t="s">
        <v>428</v>
      </c>
      <c r="C8" s="6">
        <v>-1</v>
      </c>
    </row>
    <row r="9" spans="1:3" x14ac:dyDescent="0.3">
      <c r="A9" s="6"/>
      <c r="B9" s="6" t="s">
        <v>354</v>
      </c>
      <c r="C9" s="6">
        <v>-1</v>
      </c>
    </row>
    <row r="10" spans="1:3" x14ac:dyDescent="0.3">
      <c r="A10" s="6"/>
      <c r="B10" s="6" t="s">
        <v>422</v>
      </c>
      <c r="C10" s="6">
        <v>-1</v>
      </c>
    </row>
    <row r="11" spans="1:3" x14ac:dyDescent="0.3">
      <c r="A11" s="6"/>
      <c r="B11" s="6" t="s">
        <v>340</v>
      </c>
      <c r="C11" s="6">
        <v>-1</v>
      </c>
    </row>
    <row r="12" spans="1:3" x14ac:dyDescent="0.3">
      <c r="A12" s="6"/>
      <c r="B12" s="6" t="s">
        <v>384</v>
      </c>
      <c r="C12" s="6">
        <v>-1</v>
      </c>
    </row>
    <row r="13" spans="1:3" x14ac:dyDescent="0.3">
      <c r="A13" s="6"/>
      <c r="B13" s="6" t="s">
        <v>614</v>
      </c>
      <c r="C13" s="6">
        <v>-1</v>
      </c>
    </row>
  </sheetData>
  <pageMargins left="0.7" right="0.7" top="0.75" bottom="0.75" header="0.3" footer="0.3"/>
  <tableParts count="1">
    <tablePart r:id="rId1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50656-7417-4E8C-852D-51F86DC72DB5}">
  <dimension ref="A1:C13"/>
  <sheetViews>
    <sheetView topLeftCell="A4" workbookViewId="0">
      <selection activeCell="B14" sqref="B14"/>
    </sheetView>
  </sheetViews>
  <sheetFormatPr defaultRowHeight="14.4" x14ac:dyDescent="0.3"/>
  <cols>
    <col min="1" max="1" width="20.21875" bestFit="1" customWidth="1"/>
    <col min="2" max="2" width="13.6640625" bestFit="1" customWidth="1"/>
    <col min="3" max="3" width="14.109375" bestFit="1" customWidth="1"/>
  </cols>
  <sheetData>
    <row r="1" spans="1:3" x14ac:dyDescent="0.3">
      <c r="A1" t="s">
        <v>832</v>
      </c>
      <c r="B1" t="s">
        <v>1</v>
      </c>
      <c r="C1" t="s">
        <v>899</v>
      </c>
    </row>
    <row r="2" spans="1:3" x14ac:dyDescent="0.3">
      <c r="A2" s="6" t="s">
        <v>2705</v>
      </c>
      <c r="B2" s="6" t="s">
        <v>344</v>
      </c>
      <c r="C2" s="6">
        <v>9</v>
      </c>
    </row>
    <row r="3" spans="1:3" x14ac:dyDescent="0.3">
      <c r="A3" s="6"/>
      <c r="B3" s="6" t="s">
        <v>332</v>
      </c>
      <c r="C3" s="6">
        <v>-1</v>
      </c>
    </row>
    <row r="4" spans="1:3" x14ac:dyDescent="0.3">
      <c r="A4" s="6" t="s">
        <v>2728</v>
      </c>
      <c r="B4" s="6" t="s">
        <v>328</v>
      </c>
      <c r="C4" s="6">
        <v>7</v>
      </c>
    </row>
    <row r="5" spans="1:3" x14ac:dyDescent="0.3">
      <c r="A5" s="6"/>
      <c r="B5" s="6" t="s">
        <v>328</v>
      </c>
      <c r="C5" s="6">
        <v>-1</v>
      </c>
    </row>
    <row r="6" spans="1:3" x14ac:dyDescent="0.3">
      <c r="A6" s="6"/>
      <c r="B6" s="6" t="s">
        <v>332</v>
      </c>
      <c r="C6" s="6">
        <v>-1</v>
      </c>
    </row>
    <row r="7" spans="1:3" x14ac:dyDescent="0.3">
      <c r="A7" s="6"/>
      <c r="B7" s="6" t="s">
        <v>444</v>
      </c>
      <c r="C7" s="6">
        <v>-1</v>
      </c>
    </row>
    <row r="8" spans="1:3" x14ac:dyDescent="0.3">
      <c r="A8" s="6"/>
      <c r="B8" s="6" t="s">
        <v>354</v>
      </c>
      <c r="C8" s="6">
        <v>-1</v>
      </c>
    </row>
    <row r="9" spans="1:3" x14ac:dyDescent="0.3">
      <c r="A9" s="6"/>
      <c r="B9" s="6" t="s">
        <v>442</v>
      </c>
      <c r="C9" s="6">
        <v>-1</v>
      </c>
    </row>
    <row r="10" spans="1:3" x14ac:dyDescent="0.3">
      <c r="A10" s="6"/>
      <c r="B10" s="6" t="s">
        <v>334</v>
      </c>
      <c r="C10" s="6">
        <v>-1</v>
      </c>
    </row>
    <row r="11" spans="1:3" x14ac:dyDescent="0.3">
      <c r="A11" s="6"/>
      <c r="B11" s="6" t="s">
        <v>402</v>
      </c>
      <c r="C11" s="6">
        <v>-1</v>
      </c>
    </row>
    <row r="12" spans="1:3" x14ac:dyDescent="0.3">
      <c r="A12" s="6" t="s">
        <v>2245</v>
      </c>
      <c r="B12" s="6" t="s">
        <v>362</v>
      </c>
      <c r="C12" s="6">
        <v>4</v>
      </c>
    </row>
    <row r="13" spans="1:3" x14ac:dyDescent="0.3">
      <c r="A13" s="6" t="s">
        <v>3957</v>
      </c>
      <c r="B13" s="6" t="s">
        <v>366</v>
      </c>
      <c r="C13" s="6">
        <v>5</v>
      </c>
    </row>
  </sheetData>
  <pageMargins left="0.7" right="0.7" top="0.75" bottom="0.75" header="0.3" footer="0.3"/>
  <tableParts count="1">
    <tablePart r:id="rId1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844C9-D2CD-4BF6-A1D2-B926BB27FE77}">
  <dimension ref="A1:C25"/>
  <sheetViews>
    <sheetView topLeftCell="A16" workbookViewId="0">
      <selection activeCell="B26" sqref="B26"/>
    </sheetView>
  </sheetViews>
  <sheetFormatPr defaultRowHeight="14.4" x14ac:dyDescent="0.3"/>
  <cols>
    <col min="1" max="1" width="17.44140625" bestFit="1" customWidth="1"/>
    <col min="2" max="2" width="14" bestFit="1" customWidth="1"/>
    <col min="3" max="3" width="14.109375" bestFit="1" customWidth="1"/>
  </cols>
  <sheetData>
    <row r="1" spans="1:3" x14ac:dyDescent="0.3">
      <c r="A1" t="s">
        <v>832</v>
      </c>
      <c r="B1" t="s">
        <v>1</v>
      </c>
      <c r="C1" t="s">
        <v>899</v>
      </c>
    </row>
    <row r="2" spans="1:3" x14ac:dyDescent="0.3">
      <c r="A2" s="6"/>
      <c r="B2" s="6" t="s">
        <v>400</v>
      </c>
      <c r="C2" s="6">
        <v>-1</v>
      </c>
    </row>
    <row r="3" spans="1:3" x14ac:dyDescent="0.3">
      <c r="A3" s="6"/>
      <c r="B3" s="6" t="s">
        <v>478</v>
      </c>
      <c r="C3" s="6">
        <v>-1</v>
      </c>
    </row>
    <row r="4" spans="1:3" x14ac:dyDescent="0.3">
      <c r="A4" s="6"/>
      <c r="B4" s="6" t="s">
        <v>614</v>
      </c>
      <c r="C4" s="6">
        <v>-1</v>
      </c>
    </row>
    <row r="5" spans="1:3" x14ac:dyDescent="0.3">
      <c r="A5" s="6" t="s">
        <v>1506</v>
      </c>
      <c r="B5" s="6" t="s">
        <v>378</v>
      </c>
      <c r="C5" s="6">
        <v>22</v>
      </c>
    </row>
    <row r="6" spans="1:3" x14ac:dyDescent="0.3">
      <c r="A6" s="6" t="s">
        <v>3953</v>
      </c>
      <c r="B6" s="6" t="s">
        <v>366</v>
      </c>
      <c r="C6" s="6">
        <v>16</v>
      </c>
    </row>
    <row r="7" spans="1:3" x14ac:dyDescent="0.3">
      <c r="A7" s="6" t="s">
        <v>2845</v>
      </c>
      <c r="B7" s="6" t="s">
        <v>344</v>
      </c>
      <c r="C7" s="6">
        <v>3</v>
      </c>
    </row>
    <row r="8" spans="1:3" x14ac:dyDescent="0.3">
      <c r="A8" s="6"/>
      <c r="B8" s="6" t="s">
        <v>344</v>
      </c>
      <c r="C8" s="6">
        <v>-1</v>
      </c>
    </row>
    <row r="9" spans="1:3" x14ac:dyDescent="0.3">
      <c r="A9" s="6"/>
      <c r="B9" s="6" t="s">
        <v>344</v>
      </c>
      <c r="C9" s="6">
        <v>-1</v>
      </c>
    </row>
    <row r="10" spans="1:3" x14ac:dyDescent="0.3">
      <c r="A10" s="6"/>
      <c r="B10" s="6" t="s">
        <v>362</v>
      </c>
      <c r="C10" s="6">
        <v>-1</v>
      </c>
    </row>
    <row r="11" spans="1:3" x14ac:dyDescent="0.3">
      <c r="A11" s="6"/>
      <c r="B11" s="6" t="s">
        <v>362</v>
      </c>
      <c r="C11" s="6">
        <v>-1</v>
      </c>
    </row>
    <row r="12" spans="1:3" x14ac:dyDescent="0.3">
      <c r="A12" s="6"/>
      <c r="B12" s="6" t="s">
        <v>362</v>
      </c>
      <c r="C12" s="6">
        <v>-1</v>
      </c>
    </row>
    <row r="13" spans="1:3" x14ac:dyDescent="0.3">
      <c r="A13" s="6"/>
      <c r="B13" s="6" t="s">
        <v>444</v>
      </c>
      <c r="C13" s="6">
        <v>-1</v>
      </c>
    </row>
    <row r="14" spans="1:3" x14ac:dyDescent="0.3">
      <c r="A14" s="6"/>
      <c r="B14" s="6" t="s">
        <v>444</v>
      </c>
      <c r="C14" s="6">
        <v>-1</v>
      </c>
    </row>
    <row r="15" spans="1:3" x14ac:dyDescent="0.3">
      <c r="A15" s="6" t="s">
        <v>2955</v>
      </c>
      <c r="B15" s="6" t="s">
        <v>412</v>
      </c>
      <c r="C15" s="6">
        <v>17</v>
      </c>
    </row>
    <row r="16" spans="1:3" x14ac:dyDescent="0.3">
      <c r="A16" s="6"/>
      <c r="B16" s="6" t="s">
        <v>412</v>
      </c>
      <c r="C16" s="6">
        <v>-1</v>
      </c>
    </row>
    <row r="17" spans="1:3" x14ac:dyDescent="0.3">
      <c r="A17" s="6" t="s">
        <v>2023</v>
      </c>
      <c r="B17" s="6" t="s">
        <v>332</v>
      </c>
      <c r="C17" s="6">
        <v>14</v>
      </c>
    </row>
    <row r="18" spans="1:3" x14ac:dyDescent="0.3">
      <c r="A18" s="6" t="s">
        <v>2749</v>
      </c>
      <c r="B18" s="6" t="s">
        <v>332</v>
      </c>
      <c r="C18" s="6">
        <v>5</v>
      </c>
    </row>
    <row r="19" spans="1:3" x14ac:dyDescent="0.3">
      <c r="A19" s="6" t="s">
        <v>1518</v>
      </c>
      <c r="B19" s="6" t="s">
        <v>402</v>
      </c>
      <c r="C19" s="6">
        <v>15</v>
      </c>
    </row>
    <row r="20" spans="1:3" x14ac:dyDescent="0.3">
      <c r="A20" s="6"/>
      <c r="B20" s="6" t="s">
        <v>354</v>
      </c>
      <c r="C20" s="6">
        <v>-1</v>
      </c>
    </row>
    <row r="21" spans="1:3" x14ac:dyDescent="0.3">
      <c r="A21" s="6" t="s">
        <v>3402</v>
      </c>
      <c r="B21" s="6" t="s">
        <v>340</v>
      </c>
      <c r="C21" s="6">
        <v>18</v>
      </c>
    </row>
    <row r="22" spans="1:3" x14ac:dyDescent="0.3">
      <c r="A22" s="6"/>
      <c r="B22" s="6" t="s">
        <v>474</v>
      </c>
      <c r="C22" s="6">
        <v>-1</v>
      </c>
    </row>
    <row r="23" spans="1:3" x14ac:dyDescent="0.3">
      <c r="A23" s="6"/>
      <c r="B23" s="6" t="s">
        <v>520</v>
      </c>
      <c r="C23" s="6">
        <v>-1</v>
      </c>
    </row>
    <row r="24" spans="1:3" x14ac:dyDescent="0.3">
      <c r="A24" s="6"/>
      <c r="B24" s="6" t="s">
        <v>334</v>
      </c>
      <c r="C24" s="6">
        <v>-1</v>
      </c>
    </row>
    <row r="25" spans="1:3" x14ac:dyDescent="0.3">
      <c r="A25" s="6" t="s">
        <v>2859</v>
      </c>
      <c r="B25" s="6" t="s">
        <v>356</v>
      </c>
      <c r="C25" s="6">
        <v>9</v>
      </c>
    </row>
  </sheetData>
  <pageMargins left="0.7" right="0.7" top="0.75" bottom="0.75" header="0.3" footer="0.3"/>
  <tableParts count="1">
    <tablePart r:id="rId1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BE21B-5EF8-4BAC-8B3F-1CC3571E40F9}">
  <dimension ref="A1:C25"/>
  <sheetViews>
    <sheetView topLeftCell="A16" workbookViewId="0">
      <selection activeCell="B26" sqref="B26"/>
    </sheetView>
  </sheetViews>
  <sheetFormatPr defaultRowHeight="14.4" x14ac:dyDescent="0.3"/>
  <cols>
    <col min="1" max="1" width="24" bestFit="1" customWidth="1"/>
    <col min="2" max="2" width="14" bestFit="1" customWidth="1"/>
    <col min="3" max="3" width="14.109375" bestFit="1" customWidth="1"/>
  </cols>
  <sheetData>
    <row r="1" spans="1:3" x14ac:dyDescent="0.3">
      <c r="A1" t="s">
        <v>832</v>
      </c>
      <c r="B1" t="s">
        <v>1</v>
      </c>
      <c r="C1" t="s">
        <v>899</v>
      </c>
    </row>
    <row r="2" spans="1:3" x14ac:dyDescent="0.3">
      <c r="A2" s="6" t="s">
        <v>2822</v>
      </c>
      <c r="B2" s="6" t="s">
        <v>336</v>
      </c>
      <c r="C2" s="6">
        <v>19</v>
      </c>
    </row>
    <row r="3" spans="1:3" x14ac:dyDescent="0.3">
      <c r="A3" s="6"/>
      <c r="B3" s="6" t="s">
        <v>428</v>
      </c>
      <c r="C3" s="6">
        <v>-1</v>
      </c>
    </row>
    <row r="4" spans="1:3" x14ac:dyDescent="0.3">
      <c r="A4" s="6"/>
      <c r="B4" s="6" t="s">
        <v>334</v>
      </c>
      <c r="C4" s="6">
        <v>-1</v>
      </c>
    </row>
    <row r="5" spans="1:3" x14ac:dyDescent="0.3">
      <c r="A5" s="6"/>
      <c r="B5" s="6" t="s">
        <v>474</v>
      </c>
      <c r="C5" s="6">
        <v>-1</v>
      </c>
    </row>
    <row r="6" spans="1:3" x14ac:dyDescent="0.3">
      <c r="A6" s="6" t="s">
        <v>1798</v>
      </c>
      <c r="B6" s="6" t="s">
        <v>412</v>
      </c>
      <c r="C6" s="6">
        <v>2</v>
      </c>
    </row>
    <row r="7" spans="1:3" x14ac:dyDescent="0.3">
      <c r="A7" s="6"/>
      <c r="B7" s="6" t="s">
        <v>412</v>
      </c>
      <c r="C7" s="6">
        <v>-1</v>
      </c>
    </row>
    <row r="8" spans="1:3" x14ac:dyDescent="0.3">
      <c r="A8" s="6"/>
      <c r="B8" s="6" t="s">
        <v>412</v>
      </c>
      <c r="C8" s="6">
        <v>-1</v>
      </c>
    </row>
    <row r="9" spans="1:3" x14ac:dyDescent="0.3">
      <c r="A9" s="6" t="s">
        <v>2748</v>
      </c>
      <c r="B9" s="6" t="s">
        <v>332</v>
      </c>
      <c r="C9" s="6">
        <v>11</v>
      </c>
    </row>
    <row r="10" spans="1:3" x14ac:dyDescent="0.3">
      <c r="A10" s="6" t="s">
        <v>4834</v>
      </c>
      <c r="B10" s="6" t="s">
        <v>332</v>
      </c>
      <c r="C10" s="6">
        <v>6</v>
      </c>
    </row>
    <row r="11" spans="1:3" x14ac:dyDescent="0.3">
      <c r="A11" s="6"/>
      <c r="B11" s="6" t="s">
        <v>332</v>
      </c>
      <c r="C11" s="6">
        <v>-1</v>
      </c>
    </row>
    <row r="12" spans="1:3" x14ac:dyDescent="0.3">
      <c r="A12" s="6"/>
      <c r="B12" s="6" t="s">
        <v>444</v>
      </c>
      <c r="C12" s="6">
        <v>-1</v>
      </c>
    </row>
    <row r="13" spans="1:3" x14ac:dyDescent="0.3">
      <c r="A13" s="6"/>
      <c r="B13" s="6" t="s">
        <v>444</v>
      </c>
      <c r="C13" s="6">
        <v>-1</v>
      </c>
    </row>
    <row r="14" spans="1:3" x14ac:dyDescent="0.3">
      <c r="A14" s="6" t="s">
        <v>1255</v>
      </c>
      <c r="B14" s="6" t="s">
        <v>354</v>
      </c>
      <c r="C14" s="6">
        <v>10</v>
      </c>
    </row>
    <row r="15" spans="1:3" x14ac:dyDescent="0.3">
      <c r="A15" s="6"/>
      <c r="B15" s="6" t="s">
        <v>354</v>
      </c>
      <c r="C15" s="6">
        <v>-1</v>
      </c>
    </row>
    <row r="16" spans="1:3" x14ac:dyDescent="0.3">
      <c r="A16" s="6"/>
      <c r="B16" s="6" t="s">
        <v>362</v>
      </c>
      <c r="C16" s="6">
        <v>-1</v>
      </c>
    </row>
    <row r="17" spans="1:3" x14ac:dyDescent="0.3">
      <c r="A17" s="6"/>
      <c r="B17" s="6" t="s">
        <v>362</v>
      </c>
      <c r="C17" s="6">
        <v>-1</v>
      </c>
    </row>
    <row r="18" spans="1:3" x14ac:dyDescent="0.3">
      <c r="A18" s="6" t="s">
        <v>1508</v>
      </c>
      <c r="B18" s="6" t="s">
        <v>402</v>
      </c>
      <c r="C18" s="6">
        <v>8</v>
      </c>
    </row>
    <row r="19" spans="1:3" x14ac:dyDescent="0.3">
      <c r="A19" s="6" t="s">
        <v>2330</v>
      </c>
      <c r="B19" s="6" t="s">
        <v>344</v>
      </c>
      <c r="C19" s="6">
        <v>7</v>
      </c>
    </row>
    <row r="20" spans="1:3" x14ac:dyDescent="0.3">
      <c r="A20" s="6"/>
      <c r="B20" s="6" t="s">
        <v>414</v>
      </c>
      <c r="C20" s="6">
        <v>-1</v>
      </c>
    </row>
    <row r="21" spans="1:3" x14ac:dyDescent="0.3">
      <c r="A21" s="6" t="s">
        <v>2188</v>
      </c>
      <c r="B21" s="6" t="s">
        <v>384</v>
      </c>
      <c r="C21" s="6">
        <v>5</v>
      </c>
    </row>
    <row r="22" spans="1:3" x14ac:dyDescent="0.3">
      <c r="A22" s="6"/>
      <c r="B22" s="6" t="s">
        <v>520</v>
      </c>
      <c r="C22" s="6">
        <v>-1</v>
      </c>
    </row>
    <row r="23" spans="1:3" x14ac:dyDescent="0.3">
      <c r="A23" s="6"/>
      <c r="B23" s="6" t="s">
        <v>614</v>
      </c>
      <c r="C23" s="6">
        <v>-1</v>
      </c>
    </row>
    <row r="24" spans="1:3" x14ac:dyDescent="0.3">
      <c r="A24" s="6"/>
      <c r="B24" s="6" t="s">
        <v>422</v>
      </c>
      <c r="C24" s="6">
        <v>-1</v>
      </c>
    </row>
    <row r="25" spans="1:3" x14ac:dyDescent="0.3">
      <c r="A25" s="6" t="s">
        <v>1793</v>
      </c>
      <c r="B25" s="6" t="s">
        <v>508</v>
      </c>
      <c r="C25" s="6">
        <v>23</v>
      </c>
    </row>
  </sheetData>
  <pageMargins left="0.7" right="0.7" top="0.75" bottom="0.75" header="0.3" footer="0.3"/>
  <tableParts count="1">
    <tablePart r:id="rId1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1314F-15A7-438D-96A7-5B6B12CD91D5}">
  <dimension ref="A1:D120"/>
  <sheetViews>
    <sheetView topLeftCell="A112" workbookViewId="0">
      <selection activeCell="B121" sqref="B121"/>
    </sheetView>
  </sheetViews>
  <sheetFormatPr defaultRowHeight="14.4" x14ac:dyDescent="0.3"/>
  <cols>
    <col min="1" max="1" width="23.21875" bestFit="1" customWidth="1"/>
    <col min="2" max="2" width="13.6640625" bestFit="1" customWidth="1"/>
    <col min="3" max="3" width="23.6640625" bestFit="1" customWidth="1"/>
    <col min="4" max="4" width="23.109375" bestFit="1" customWidth="1"/>
  </cols>
  <sheetData>
    <row r="1" spans="1:4" x14ac:dyDescent="0.3">
      <c r="A1" t="s">
        <v>832</v>
      </c>
      <c r="B1" t="s">
        <v>1</v>
      </c>
      <c r="C1" t="s">
        <v>868</v>
      </c>
      <c r="D1" t="s">
        <v>869</v>
      </c>
    </row>
    <row r="2" spans="1:4" x14ac:dyDescent="0.3">
      <c r="A2" s="6" t="s">
        <v>1332</v>
      </c>
      <c r="B2" s="6" t="s">
        <v>636</v>
      </c>
      <c r="C2" s="6">
        <v>1001</v>
      </c>
      <c r="D2" s="6"/>
    </row>
    <row r="3" spans="1:4" x14ac:dyDescent="0.3">
      <c r="A3" s="6" t="s">
        <v>1276</v>
      </c>
      <c r="B3" s="6" t="s">
        <v>724</v>
      </c>
      <c r="C3" s="6">
        <v>77</v>
      </c>
      <c r="D3" s="6"/>
    </row>
    <row r="4" spans="1:4" x14ac:dyDescent="0.3">
      <c r="A4" s="6"/>
      <c r="B4" s="6" t="s">
        <v>336</v>
      </c>
      <c r="C4" s="6">
        <v>-1</v>
      </c>
      <c r="D4" s="6"/>
    </row>
    <row r="5" spans="1:4" x14ac:dyDescent="0.3">
      <c r="A5" s="6"/>
      <c r="B5" s="6" t="s">
        <v>558</v>
      </c>
      <c r="C5" s="6">
        <v>-1</v>
      </c>
      <c r="D5" s="6"/>
    </row>
    <row r="6" spans="1:4" x14ac:dyDescent="0.3">
      <c r="A6" s="6"/>
      <c r="B6" s="6" t="s">
        <v>360</v>
      </c>
      <c r="C6" s="6">
        <v>-1</v>
      </c>
      <c r="D6" s="6"/>
    </row>
    <row r="7" spans="1:4" x14ac:dyDescent="0.3">
      <c r="A7" s="6"/>
      <c r="B7" s="6" t="s">
        <v>592</v>
      </c>
      <c r="C7" s="6">
        <v>-1</v>
      </c>
      <c r="D7" s="6"/>
    </row>
    <row r="8" spans="1:4" x14ac:dyDescent="0.3">
      <c r="A8" s="6"/>
      <c r="B8" s="6" t="s">
        <v>338</v>
      </c>
      <c r="C8" s="6">
        <v>-1</v>
      </c>
      <c r="D8" s="6"/>
    </row>
    <row r="9" spans="1:4" x14ac:dyDescent="0.3">
      <c r="A9" s="6"/>
      <c r="B9" s="6" t="s">
        <v>520</v>
      </c>
      <c r="C9" s="6"/>
      <c r="D9" s="6">
        <v>-1</v>
      </c>
    </row>
    <row r="10" spans="1:4" x14ac:dyDescent="0.3">
      <c r="A10" s="6"/>
      <c r="B10" s="6" t="s">
        <v>356</v>
      </c>
      <c r="C10" s="6"/>
      <c r="D10" s="6">
        <v>-1</v>
      </c>
    </row>
    <row r="11" spans="1:4" x14ac:dyDescent="0.3">
      <c r="A11" s="6"/>
      <c r="B11" s="6" t="s">
        <v>402</v>
      </c>
      <c r="C11" s="6"/>
      <c r="D11" s="6">
        <v>-1</v>
      </c>
    </row>
    <row r="12" spans="1:4" x14ac:dyDescent="0.3">
      <c r="A12" s="6"/>
      <c r="B12" s="6" t="s">
        <v>332</v>
      </c>
      <c r="C12" s="6">
        <v>24</v>
      </c>
      <c r="D12" s="6">
        <v>5</v>
      </c>
    </row>
    <row r="13" spans="1:4" x14ac:dyDescent="0.3">
      <c r="A13" s="6"/>
      <c r="B13" s="6" t="s">
        <v>346</v>
      </c>
      <c r="C13" s="6"/>
      <c r="D13" s="6">
        <v>-1</v>
      </c>
    </row>
    <row r="14" spans="1:4" x14ac:dyDescent="0.3">
      <c r="A14" s="6"/>
      <c r="B14" s="6" t="s">
        <v>354</v>
      </c>
      <c r="C14" s="6"/>
      <c r="D14" s="6">
        <v>-1</v>
      </c>
    </row>
    <row r="15" spans="1:4" x14ac:dyDescent="0.3">
      <c r="A15" s="6"/>
      <c r="B15" s="6" t="s">
        <v>414</v>
      </c>
      <c r="C15" s="6"/>
      <c r="D15" s="6">
        <v>-1</v>
      </c>
    </row>
    <row r="16" spans="1:4" x14ac:dyDescent="0.3">
      <c r="A16" s="6"/>
      <c r="B16" s="6" t="s">
        <v>364</v>
      </c>
      <c r="C16" s="6"/>
      <c r="D16" s="6">
        <v>-1</v>
      </c>
    </row>
    <row r="17" spans="1:4" x14ac:dyDescent="0.3">
      <c r="A17" s="6" t="s">
        <v>4258</v>
      </c>
      <c r="B17" s="6" t="s">
        <v>444</v>
      </c>
      <c r="C17" s="6">
        <v>7</v>
      </c>
      <c r="D17" s="6">
        <v>8</v>
      </c>
    </row>
    <row r="18" spans="1:4" x14ac:dyDescent="0.3">
      <c r="A18" s="6"/>
      <c r="B18" s="6" t="s">
        <v>384</v>
      </c>
      <c r="C18" s="6"/>
      <c r="D18" s="6">
        <v>-1</v>
      </c>
    </row>
    <row r="19" spans="1:4" x14ac:dyDescent="0.3">
      <c r="A19" s="6"/>
      <c r="B19" s="6" t="s">
        <v>520</v>
      </c>
      <c r="C19" s="6">
        <v>-1</v>
      </c>
      <c r="D19" s="6"/>
    </row>
    <row r="20" spans="1:4" x14ac:dyDescent="0.3">
      <c r="A20" s="6"/>
      <c r="B20" s="6" t="s">
        <v>520</v>
      </c>
      <c r="C20" s="6">
        <v>-1</v>
      </c>
      <c r="D20" s="6"/>
    </row>
    <row r="21" spans="1:4" x14ac:dyDescent="0.3">
      <c r="A21" s="6"/>
      <c r="B21" s="6" t="s">
        <v>520</v>
      </c>
      <c r="C21" s="6">
        <v>-1</v>
      </c>
      <c r="D21" s="6"/>
    </row>
    <row r="22" spans="1:4" x14ac:dyDescent="0.3">
      <c r="A22" s="6"/>
      <c r="B22" s="6" t="s">
        <v>520</v>
      </c>
      <c r="C22" s="6">
        <v>-1</v>
      </c>
      <c r="D22" s="6"/>
    </row>
    <row r="23" spans="1:4" x14ac:dyDescent="0.3">
      <c r="A23" s="6"/>
      <c r="B23" s="6" t="s">
        <v>414</v>
      </c>
      <c r="C23" s="6">
        <v>-1</v>
      </c>
      <c r="D23" s="6"/>
    </row>
    <row r="24" spans="1:4" x14ac:dyDescent="0.3">
      <c r="A24" s="6"/>
      <c r="B24" s="6" t="s">
        <v>414</v>
      </c>
      <c r="C24" s="6">
        <v>-1</v>
      </c>
      <c r="D24" s="6"/>
    </row>
    <row r="25" spans="1:4" x14ac:dyDescent="0.3">
      <c r="A25" s="6"/>
      <c r="B25" s="6" t="s">
        <v>414</v>
      </c>
      <c r="C25" s="6">
        <v>-1</v>
      </c>
      <c r="D25" s="6"/>
    </row>
    <row r="26" spans="1:4" x14ac:dyDescent="0.3">
      <c r="A26" s="6"/>
      <c r="B26" s="6" t="s">
        <v>414</v>
      </c>
      <c r="C26" s="6">
        <v>-1</v>
      </c>
      <c r="D26" s="6"/>
    </row>
    <row r="27" spans="1:4" x14ac:dyDescent="0.3">
      <c r="A27" s="6"/>
      <c r="B27" s="6" t="s">
        <v>694</v>
      </c>
      <c r="C27" s="6">
        <v>-1</v>
      </c>
      <c r="D27" s="6"/>
    </row>
    <row r="28" spans="1:4" x14ac:dyDescent="0.3">
      <c r="A28" s="6"/>
      <c r="B28" s="6" t="s">
        <v>694</v>
      </c>
      <c r="C28" s="6">
        <v>-1</v>
      </c>
      <c r="D28" s="6"/>
    </row>
    <row r="29" spans="1:4" x14ac:dyDescent="0.3">
      <c r="A29" s="6"/>
      <c r="B29" s="6" t="s">
        <v>694</v>
      </c>
      <c r="C29" s="6">
        <v>-1</v>
      </c>
      <c r="D29" s="6"/>
    </row>
    <row r="30" spans="1:4" x14ac:dyDescent="0.3">
      <c r="A30" s="6"/>
      <c r="B30" s="6" t="s">
        <v>694</v>
      </c>
      <c r="C30" s="6">
        <v>-1</v>
      </c>
      <c r="D30" s="6"/>
    </row>
    <row r="31" spans="1:4" x14ac:dyDescent="0.3">
      <c r="A31" s="6" t="s">
        <v>1522</v>
      </c>
      <c r="B31" s="6" t="s">
        <v>402</v>
      </c>
      <c r="C31" s="6">
        <v>43</v>
      </c>
      <c r="D31" s="6"/>
    </row>
    <row r="32" spans="1:4" x14ac:dyDescent="0.3">
      <c r="A32" s="6" t="s">
        <v>3212</v>
      </c>
      <c r="B32" s="6" t="s">
        <v>402</v>
      </c>
      <c r="C32" s="6">
        <v>13</v>
      </c>
      <c r="D32" s="6"/>
    </row>
    <row r="33" spans="1:4" x14ac:dyDescent="0.3">
      <c r="A33" s="6"/>
      <c r="B33" s="6" t="s">
        <v>402</v>
      </c>
      <c r="C33" s="6">
        <v>-1</v>
      </c>
      <c r="D33" s="6"/>
    </row>
    <row r="34" spans="1:4" x14ac:dyDescent="0.3">
      <c r="A34" s="6"/>
      <c r="B34" s="6" t="s">
        <v>402</v>
      </c>
      <c r="C34" s="6">
        <v>-1</v>
      </c>
      <c r="D34" s="6"/>
    </row>
    <row r="35" spans="1:4" x14ac:dyDescent="0.3">
      <c r="A35" s="6" t="s">
        <v>4387</v>
      </c>
      <c r="B35" s="6" t="s">
        <v>344</v>
      </c>
      <c r="C35" s="6">
        <v>2</v>
      </c>
      <c r="D35" s="6"/>
    </row>
    <row r="36" spans="1:4" x14ac:dyDescent="0.3">
      <c r="A36" s="6" t="s">
        <v>4867</v>
      </c>
      <c r="B36" s="6" t="s">
        <v>344</v>
      </c>
      <c r="C36" s="6">
        <v>3</v>
      </c>
      <c r="D36" s="6"/>
    </row>
    <row r="37" spans="1:4" x14ac:dyDescent="0.3">
      <c r="A37" s="6"/>
      <c r="B37" s="6" t="s">
        <v>344</v>
      </c>
      <c r="C37" s="6">
        <v>-1</v>
      </c>
      <c r="D37" s="6"/>
    </row>
    <row r="38" spans="1:4" x14ac:dyDescent="0.3">
      <c r="A38" s="6"/>
      <c r="B38" s="6" t="s">
        <v>344</v>
      </c>
      <c r="C38" s="6">
        <v>-1</v>
      </c>
      <c r="D38" s="6"/>
    </row>
    <row r="39" spans="1:4" x14ac:dyDescent="0.3">
      <c r="A39" s="6"/>
      <c r="B39" s="6" t="s">
        <v>330</v>
      </c>
      <c r="C39" s="6">
        <v>-1</v>
      </c>
      <c r="D39" s="6"/>
    </row>
    <row r="40" spans="1:4" x14ac:dyDescent="0.3">
      <c r="A40" s="6"/>
      <c r="B40" s="6" t="s">
        <v>330</v>
      </c>
      <c r="C40" s="6">
        <v>-1</v>
      </c>
      <c r="D40" s="6"/>
    </row>
    <row r="41" spans="1:4" x14ac:dyDescent="0.3">
      <c r="A41" s="6"/>
      <c r="B41" s="6" t="s">
        <v>330</v>
      </c>
      <c r="C41" s="6">
        <v>-1</v>
      </c>
      <c r="D41" s="6"/>
    </row>
    <row r="42" spans="1:4" x14ac:dyDescent="0.3">
      <c r="A42" s="6"/>
      <c r="B42" s="6" t="s">
        <v>412</v>
      </c>
      <c r="C42" s="6">
        <v>-1</v>
      </c>
      <c r="D42" s="6"/>
    </row>
    <row r="43" spans="1:4" x14ac:dyDescent="0.3">
      <c r="A43" s="6"/>
      <c r="B43" s="6" t="s">
        <v>412</v>
      </c>
      <c r="C43" s="6">
        <v>-1</v>
      </c>
      <c r="D43" s="6"/>
    </row>
    <row r="44" spans="1:4" x14ac:dyDescent="0.3">
      <c r="A44" s="6"/>
      <c r="B44" s="6" t="s">
        <v>412</v>
      </c>
      <c r="C44" s="6">
        <v>-1</v>
      </c>
      <c r="D44" s="6"/>
    </row>
    <row r="45" spans="1:4" x14ac:dyDescent="0.3">
      <c r="A45" s="6" t="s">
        <v>2865</v>
      </c>
      <c r="B45" s="6" t="s">
        <v>356</v>
      </c>
      <c r="C45" s="6">
        <v>1001</v>
      </c>
      <c r="D45" s="6"/>
    </row>
    <row r="46" spans="1:4" x14ac:dyDescent="0.3">
      <c r="A46" s="6"/>
      <c r="B46" s="6" t="s">
        <v>356</v>
      </c>
      <c r="C46" s="6">
        <v>-1</v>
      </c>
      <c r="D46" s="6"/>
    </row>
    <row r="47" spans="1:4" x14ac:dyDescent="0.3">
      <c r="A47" s="6"/>
      <c r="B47" s="6" t="s">
        <v>356</v>
      </c>
      <c r="C47" s="6">
        <v>-1</v>
      </c>
      <c r="D47" s="6"/>
    </row>
    <row r="48" spans="1:4" x14ac:dyDescent="0.3">
      <c r="A48" s="6" t="s">
        <v>1251</v>
      </c>
      <c r="B48" s="6" t="s">
        <v>354</v>
      </c>
      <c r="C48" s="6">
        <v>51</v>
      </c>
      <c r="D48" s="6"/>
    </row>
    <row r="49" spans="1:4" x14ac:dyDescent="0.3">
      <c r="A49" s="6"/>
      <c r="B49" s="6" t="s">
        <v>354</v>
      </c>
      <c r="C49" s="6">
        <v>-1</v>
      </c>
      <c r="D49" s="6"/>
    </row>
    <row r="50" spans="1:4" x14ac:dyDescent="0.3">
      <c r="A50" s="6"/>
      <c r="B50" s="6" t="s">
        <v>354</v>
      </c>
      <c r="C50" s="6">
        <v>-1</v>
      </c>
      <c r="D50" s="6"/>
    </row>
    <row r="51" spans="1:4" x14ac:dyDescent="0.3">
      <c r="A51" s="6" t="s">
        <v>1545</v>
      </c>
      <c r="B51" s="6" t="s">
        <v>332</v>
      </c>
      <c r="C51" s="6">
        <v>9</v>
      </c>
      <c r="D51" s="6"/>
    </row>
    <row r="52" spans="1:4" x14ac:dyDescent="0.3">
      <c r="A52" s="6"/>
      <c r="B52" s="6" t="s">
        <v>332</v>
      </c>
      <c r="C52" s="6">
        <v>-1</v>
      </c>
      <c r="D52" s="6"/>
    </row>
    <row r="53" spans="1:4" x14ac:dyDescent="0.3">
      <c r="A53" s="6"/>
      <c r="B53" s="6" t="s">
        <v>444</v>
      </c>
      <c r="C53" s="6">
        <v>-1</v>
      </c>
      <c r="D53" s="6"/>
    </row>
    <row r="54" spans="1:4" x14ac:dyDescent="0.3">
      <c r="A54" s="6" t="s">
        <v>1348</v>
      </c>
      <c r="B54" s="6" t="s">
        <v>346</v>
      </c>
      <c r="C54" s="6">
        <v>46</v>
      </c>
      <c r="D54" s="6">
        <v>25</v>
      </c>
    </row>
    <row r="55" spans="1:4" x14ac:dyDescent="0.3">
      <c r="A55" s="6"/>
      <c r="B55" s="6" t="s">
        <v>346</v>
      </c>
      <c r="C55" s="6">
        <v>-1</v>
      </c>
      <c r="D55" s="6"/>
    </row>
    <row r="56" spans="1:4" x14ac:dyDescent="0.3">
      <c r="A56" s="6" t="s">
        <v>4712</v>
      </c>
      <c r="B56" s="6" t="s">
        <v>362</v>
      </c>
      <c r="C56" s="6">
        <v>19</v>
      </c>
      <c r="D56" s="6"/>
    </row>
    <row r="57" spans="1:4" x14ac:dyDescent="0.3">
      <c r="A57" s="6"/>
      <c r="B57" s="6" t="s">
        <v>362</v>
      </c>
      <c r="C57" s="6">
        <v>-1</v>
      </c>
      <c r="D57" s="6"/>
    </row>
    <row r="58" spans="1:4" x14ac:dyDescent="0.3">
      <c r="A58" s="6" t="s">
        <v>4982</v>
      </c>
      <c r="B58" s="6" t="s">
        <v>364</v>
      </c>
      <c r="C58" s="6">
        <v>63</v>
      </c>
      <c r="D58" s="6">
        <v>1001</v>
      </c>
    </row>
    <row r="59" spans="1:4" x14ac:dyDescent="0.3">
      <c r="A59" s="6"/>
      <c r="B59" s="6" t="s">
        <v>364</v>
      </c>
      <c r="C59" s="6">
        <v>-1</v>
      </c>
      <c r="D59" s="6"/>
    </row>
    <row r="60" spans="1:4" x14ac:dyDescent="0.3">
      <c r="A60" s="6"/>
      <c r="B60" s="6" t="s">
        <v>334</v>
      </c>
      <c r="C60" s="6">
        <v>-1</v>
      </c>
      <c r="D60" s="6"/>
    </row>
    <row r="61" spans="1:4" x14ac:dyDescent="0.3">
      <c r="A61" s="6"/>
      <c r="B61" s="6" t="s">
        <v>334</v>
      </c>
      <c r="C61" s="6">
        <v>-1</v>
      </c>
      <c r="D61" s="6"/>
    </row>
    <row r="62" spans="1:4" x14ac:dyDescent="0.3">
      <c r="A62" s="6" t="s">
        <v>1727</v>
      </c>
      <c r="B62" s="6" t="s">
        <v>358</v>
      </c>
      <c r="C62" s="6">
        <v>26</v>
      </c>
      <c r="D62" s="6">
        <v>19</v>
      </c>
    </row>
    <row r="63" spans="1:4" x14ac:dyDescent="0.3">
      <c r="A63" s="6" t="s">
        <v>4556</v>
      </c>
      <c r="B63" s="6" t="s">
        <v>358</v>
      </c>
      <c r="C63" s="6">
        <v>6</v>
      </c>
      <c r="D63" s="6"/>
    </row>
    <row r="64" spans="1:4" x14ac:dyDescent="0.3">
      <c r="A64" s="6" t="s">
        <v>1805</v>
      </c>
      <c r="B64" s="6" t="s">
        <v>596</v>
      </c>
      <c r="C64" s="6">
        <v>60</v>
      </c>
      <c r="D64" s="6">
        <v>12</v>
      </c>
    </row>
    <row r="65" spans="1:4" x14ac:dyDescent="0.3">
      <c r="A65" s="6"/>
      <c r="B65" s="6" t="s">
        <v>596</v>
      </c>
      <c r="C65" s="6">
        <v>-1</v>
      </c>
      <c r="D65" s="6"/>
    </row>
    <row r="66" spans="1:4" x14ac:dyDescent="0.3">
      <c r="A66" s="6"/>
      <c r="B66" s="6" t="s">
        <v>384</v>
      </c>
      <c r="C66" s="6">
        <v>-1</v>
      </c>
      <c r="D66" s="6"/>
    </row>
    <row r="67" spans="1:4" x14ac:dyDescent="0.3">
      <c r="A67" s="6"/>
      <c r="B67" s="6" t="s">
        <v>384</v>
      </c>
      <c r="C67" s="6">
        <v>-1</v>
      </c>
      <c r="D67" s="6"/>
    </row>
    <row r="68" spans="1:4" x14ac:dyDescent="0.3">
      <c r="A68" s="6" t="s">
        <v>4248</v>
      </c>
      <c r="B68" s="6" t="s">
        <v>604</v>
      </c>
      <c r="C68" s="6">
        <v>52</v>
      </c>
      <c r="D68" s="6"/>
    </row>
    <row r="69" spans="1:4" x14ac:dyDescent="0.3">
      <c r="A69" s="6"/>
      <c r="B69" s="6" t="s">
        <v>604</v>
      </c>
      <c r="C69" s="6">
        <v>-1</v>
      </c>
      <c r="D69" s="6"/>
    </row>
    <row r="70" spans="1:4" x14ac:dyDescent="0.3">
      <c r="A70" s="6" t="s">
        <v>4155</v>
      </c>
      <c r="B70" s="6" t="s">
        <v>474</v>
      </c>
      <c r="C70" s="6">
        <v>39</v>
      </c>
      <c r="D70" s="6">
        <v>24</v>
      </c>
    </row>
    <row r="71" spans="1:4" x14ac:dyDescent="0.3">
      <c r="A71" s="6"/>
      <c r="B71" s="6" t="s">
        <v>474</v>
      </c>
      <c r="C71" s="6">
        <v>-1</v>
      </c>
      <c r="D71" s="6"/>
    </row>
    <row r="72" spans="1:4" x14ac:dyDescent="0.3">
      <c r="A72" s="6"/>
      <c r="B72" s="6" t="s">
        <v>570</v>
      </c>
      <c r="C72" s="6">
        <v>-1</v>
      </c>
      <c r="D72" s="6"/>
    </row>
    <row r="73" spans="1:4" x14ac:dyDescent="0.3">
      <c r="A73" s="6"/>
      <c r="B73" s="6" t="s">
        <v>674</v>
      </c>
      <c r="C73" s="6">
        <v>-1</v>
      </c>
      <c r="D73" s="6"/>
    </row>
    <row r="74" spans="1:4" x14ac:dyDescent="0.3">
      <c r="A74" s="6"/>
      <c r="B74" s="6" t="s">
        <v>400</v>
      </c>
      <c r="C74" s="6">
        <v>-1</v>
      </c>
      <c r="D74" s="6"/>
    </row>
    <row r="75" spans="1:4" x14ac:dyDescent="0.3">
      <c r="A75" s="6"/>
      <c r="B75" s="6" t="s">
        <v>394</v>
      </c>
      <c r="C75" s="6">
        <v>-1</v>
      </c>
      <c r="D75" s="6"/>
    </row>
    <row r="76" spans="1:4" x14ac:dyDescent="0.3">
      <c r="A76" s="6" t="s">
        <v>3385</v>
      </c>
      <c r="B76" s="6" t="s">
        <v>614</v>
      </c>
      <c r="C76" s="6">
        <v>5</v>
      </c>
      <c r="D76" s="6"/>
    </row>
    <row r="77" spans="1:4" x14ac:dyDescent="0.3">
      <c r="A77" s="6" t="s">
        <v>4946</v>
      </c>
      <c r="B77" s="6" t="s">
        <v>378</v>
      </c>
      <c r="C77" s="6">
        <v>1001</v>
      </c>
      <c r="D77" s="6">
        <v>32</v>
      </c>
    </row>
    <row r="78" spans="1:4" x14ac:dyDescent="0.3">
      <c r="A78" s="6" t="s">
        <v>2108</v>
      </c>
      <c r="B78" s="6" t="s">
        <v>442</v>
      </c>
      <c r="C78" s="6">
        <v>14</v>
      </c>
      <c r="D78" s="6">
        <v>11</v>
      </c>
    </row>
    <row r="79" spans="1:4" x14ac:dyDescent="0.3">
      <c r="A79" s="6"/>
      <c r="B79" s="6" t="s">
        <v>406</v>
      </c>
      <c r="C79" s="6">
        <v>-1</v>
      </c>
      <c r="D79" s="6"/>
    </row>
    <row r="80" spans="1:4" x14ac:dyDescent="0.3">
      <c r="A80" s="6"/>
      <c r="B80" s="6" t="s">
        <v>642</v>
      </c>
      <c r="C80" s="6">
        <v>-1</v>
      </c>
      <c r="D80" s="6"/>
    </row>
    <row r="81" spans="1:4" x14ac:dyDescent="0.3">
      <c r="A81" s="6" t="s">
        <v>3194</v>
      </c>
      <c r="B81" s="6" t="s">
        <v>428</v>
      </c>
      <c r="C81" s="6">
        <v>56</v>
      </c>
      <c r="D81" s="6"/>
    </row>
    <row r="82" spans="1:4" x14ac:dyDescent="0.3">
      <c r="A82" s="6" t="s">
        <v>1395</v>
      </c>
      <c r="B82" s="6" t="s">
        <v>380</v>
      </c>
      <c r="C82" s="6">
        <v>1001</v>
      </c>
      <c r="D82" s="6"/>
    </row>
    <row r="83" spans="1:4" x14ac:dyDescent="0.3">
      <c r="A83" s="6"/>
      <c r="B83" s="6" t="s">
        <v>408</v>
      </c>
      <c r="C83" s="6">
        <v>-1</v>
      </c>
      <c r="D83" s="6"/>
    </row>
    <row r="84" spans="1:4" x14ac:dyDescent="0.3">
      <c r="A84" s="6"/>
      <c r="B84" s="6" t="s">
        <v>482</v>
      </c>
      <c r="C84" s="6">
        <v>-1</v>
      </c>
      <c r="D84" s="6"/>
    </row>
    <row r="85" spans="1:4" x14ac:dyDescent="0.3">
      <c r="A85" s="6" t="s">
        <v>4848</v>
      </c>
      <c r="B85" s="6" t="s">
        <v>622</v>
      </c>
      <c r="C85" s="6">
        <v>40</v>
      </c>
      <c r="D85" s="6"/>
    </row>
    <row r="86" spans="1:4" x14ac:dyDescent="0.3">
      <c r="A86" s="6" t="s">
        <v>3416</v>
      </c>
      <c r="B86" s="6" t="s">
        <v>342</v>
      </c>
      <c r="C86" s="6">
        <v>75</v>
      </c>
      <c r="D86" s="6"/>
    </row>
    <row r="87" spans="1:4" x14ac:dyDescent="0.3">
      <c r="A87" s="6"/>
      <c r="B87" s="6" t="s">
        <v>422</v>
      </c>
      <c r="C87" s="6">
        <v>-1</v>
      </c>
      <c r="D87" s="6"/>
    </row>
    <row r="88" spans="1:4" x14ac:dyDescent="0.3">
      <c r="A88" s="6"/>
      <c r="B88" s="6" t="s">
        <v>352</v>
      </c>
      <c r="C88" s="6">
        <v>-1</v>
      </c>
      <c r="D88" s="6"/>
    </row>
    <row r="89" spans="1:4" x14ac:dyDescent="0.3">
      <c r="A89" s="6"/>
      <c r="B89" s="6" t="s">
        <v>598</v>
      </c>
      <c r="C89" s="6">
        <v>-1</v>
      </c>
      <c r="D89" s="6"/>
    </row>
    <row r="90" spans="1:4" x14ac:dyDescent="0.3">
      <c r="A90" s="6"/>
      <c r="B90" s="6" t="s">
        <v>572</v>
      </c>
      <c r="C90" s="6">
        <v>-1</v>
      </c>
      <c r="D90" s="6"/>
    </row>
    <row r="91" spans="1:4" x14ac:dyDescent="0.3">
      <c r="A91" s="6" t="s">
        <v>1955</v>
      </c>
      <c r="B91" s="6" t="s">
        <v>718</v>
      </c>
      <c r="C91" s="6">
        <v>1001</v>
      </c>
      <c r="D91" s="6"/>
    </row>
    <row r="92" spans="1:4" x14ac:dyDescent="0.3">
      <c r="A92" s="6"/>
      <c r="B92" s="6" t="s">
        <v>664</v>
      </c>
      <c r="C92" s="6">
        <v>-1</v>
      </c>
      <c r="D92" s="6"/>
    </row>
    <row r="93" spans="1:4" x14ac:dyDescent="0.3">
      <c r="A93" s="6"/>
      <c r="B93" s="6" t="s">
        <v>478</v>
      </c>
      <c r="C93" s="6">
        <v>-1</v>
      </c>
      <c r="D93" s="6"/>
    </row>
    <row r="94" spans="1:4" x14ac:dyDescent="0.3">
      <c r="A94" s="6" t="s">
        <v>3129</v>
      </c>
      <c r="B94" s="6" t="s">
        <v>340</v>
      </c>
      <c r="C94" s="6">
        <v>54</v>
      </c>
      <c r="D94" s="6"/>
    </row>
    <row r="95" spans="1:4" x14ac:dyDescent="0.3">
      <c r="A95" s="6"/>
      <c r="B95" s="6" t="s">
        <v>690</v>
      </c>
      <c r="C95" s="6">
        <v>-1</v>
      </c>
      <c r="D95" s="6"/>
    </row>
    <row r="96" spans="1:4" x14ac:dyDescent="0.3">
      <c r="A96" s="6" t="s">
        <v>1565</v>
      </c>
      <c r="B96" s="6" t="s">
        <v>726</v>
      </c>
      <c r="C96" s="6">
        <v>66</v>
      </c>
      <c r="D96" s="6"/>
    </row>
    <row r="97" spans="1:4" x14ac:dyDescent="0.3">
      <c r="A97" s="6"/>
      <c r="B97" s="6" t="s">
        <v>328</v>
      </c>
      <c r="C97" s="6">
        <v>-1</v>
      </c>
      <c r="D97" s="6"/>
    </row>
    <row r="98" spans="1:4" x14ac:dyDescent="0.3">
      <c r="A98" s="6" t="s">
        <v>4236</v>
      </c>
      <c r="B98" s="6" t="s">
        <v>676</v>
      </c>
      <c r="C98" s="6">
        <v>1001</v>
      </c>
      <c r="D98" s="6"/>
    </row>
    <row r="99" spans="1:4" x14ac:dyDescent="0.3">
      <c r="A99" s="6"/>
      <c r="B99" s="6" t="s">
        <v>410</v>
      </c>
      <c r="C99" s="6">
        <v>-1</v>
      </c>
      <c r="D99" s="6"/>
    </row>
    <row r="100" spans="1:4" x14ac:dyDescent="0.3">
      <c r="A100" s="6"/>
      <c r="B100" s="6" t="s">
        <v>700</v>
      </c>
      <c r="C100" s="6">
        <v>-1</v>
      </c>
      <c r="D100" s="6"/>
    </row>
    <row r="101" spans="1:4" x14ac:dyDescent="0.3">
      <c r="A101" s="6"/>
      <c r="B101" s="6" t="s">
        <v>520</v>
      </c>
      <c r="C101" s="6"/>
      <c r="D101" s="6">
        <v>-1</v>
      </c>
    </row>
    <row r="102" spans="1:4" x14ac:dyDescent="0.3">
      <c r="A102" s="6"/>
      <c r="B102" s="6" t="s">
        <v>414</v>
      </c>
      <c r="C102" s="6"/>
      <c r="D102" s="6">
        <v>-1</v>
      </c>
    </row>
    <row r="103" spans="1:4" x14ac:dyDescent="0.3">
      <c r="A103" s="6"/>
      <c r="B103" s="6" t="s">
        <v>694</v>
      </c>
      <c r="C103" s="6"/>
      <c r="D103" s="6">
        <v>-1</v>
      </c>
    </row>
    <row r="104" spans="1:4" x14ac:dyDescent="0.3">
      <c r="A104" s="6"/>
      <c r="B104" s="6" t="s">
        <v>402</v>
      </c>
      <c r="C104" s="6"/>
      <c r="D104" s="6">
        <v>-1</v>
      </c>
    </row>
    <row r="105" spans="1:4" x14ac:dyDescent="0.3">
      <c r="A105" s="6"/>
      <c r="B105" s="6" t="s">
        <v>344</v>
      </c>
      <c r="C105" s="6"/>
      <c r="D105" s="6">
        <v>-1</v>
      </c>
    </row>
    <row r="106" spans="1:4" x14ac:dyDescent="0.3">
      <c r="A106" s="6"/>
      <c r="B106" s="6" t="s">
        <v>330</v>
      </c>
      <c r="C106" s="6"/>
      <c r="D106" s="6">
        <v>-1</v>
      </c>
    </row>
    <row r="107" spans="1:4" x14ac:dyDescent="0.3">
      <c r="A107" s="6"/>
      <c r="B107" s="6" t="s">
        <v>412</v>
      </c>
      <c r="C107" s="6"/>
      <c r="D107" s="6">
        <v>-1</v>
      </c>
    </row>
    <row r="108" spans="1:4" x14ac:dyDescent="0.3">
      <c r="A108" s="6"/>
      <c r="B108" s="6" t="s">
        <v>356</v>
      </c>
      <c r="C108" s="6"/>
      <c r="D108" s="6">
        <v>-1</v>
      </c>
    </row>
    <row r="109" spans="1:4" x14ac:dyDescent="0.3">
      <c r="A109" s="6"/>
      <c r="B109" s="6" t="s">
        <v>354</v>
      </c>
      <c r="C109" s="6"/>
      <c r="D109" s="6">
        <v>-1</v>
      </c>
    </row>
    <row r="110" spans="1:4" x14ac:dyDescent="0.3">
      <c r="A110" s="6"/>
      <c r="B110" s="6" t="s">
        <v>332</v>
      </c>
      <c r="C110" s="6"/>
      <c r="D110" s="6">
        <v>-1</v>
      </c>
    </row>
    <row r="111" spans="1:4" x14ac:dyDescent="0.3">
      <c r="A111" s="6"/>
      <c r="B111" s="6" t="s">
        <v>444</v>
      </c>
      <c r="C111" s="6"/>
      <c r="D111" s="6">
        <v>-1</v>
      </c>
    </row>
    <row r="112" spans="1:4" x14ac:dyDescent="0.3">
      <c r="A112" s="6"/>
      <c r="B112" s="6" t="s">
        <v>334</v>
      </c>
      <c r="C112" s="6"/>
      <c r="D112" s="6">
        <v>-1</v>
      </c>
    </row>
    <row r="113" spans="1:4" x14ac:dyDescent="0.3">
      <c r="A113" s="6"/>
      <c r="B113" s="6" t="s">
        <v>384</v>
      </c>
      <c r="C113" s="6"/>
      <c r="D113" s="6">
        <v>-1</v>
      </c>
    </row>
    <row r="114" spans="1:4" x14ac:dyDescent="0.3">
      <c r="A114" s="6"/>
      <c r="B114" s="6" t="s">
        <v>604</v>
      </c>
      <c r="C114" s="6"/>
      <c r="D114" s="6">
        <v>-1</v>
      </c>
    </row>
    <row r="115" spans="1:4" x14ac:dyDescent="0.3">
      <c r="A115" s="6"/>
      <c r="B115" s="6" t="s">
        <v>570</v>
      </c>
      <c r="C115" s="6"/>
      <c r="D115" s="6">
        <v>-1</v>
      </c>
    </row>
    <row r="116" spans="1:4" x14ac:dyDescent="0.3">
      <c r="A116" s="6"/>
      <c r="B116" s="6" t="s">
        <v>400</v>
      </c>
      <c r="C116" s="6"/>
      <c r="D116" s="6">
        <v>-1</v>
      </c>
    </row>
    <row r="117" spans="1:4" x14ac:dyDescent="0.3">
      <c r="A117" s="6"/>
      <c r="B117" s="6" t="s">
        <v>674</v>
      </c>
      <c r="C117" s="6"/>
      <c r="D117" s="6">
        <v>-1</v>
      </c>
    </row>
    <row r="118" spans="1:4" x14ac:dyDescent="0.3">
      <c r="A118" s="6"/>
      <c r="B118" s="6" t="s">
        <v>642</v>
      </c>
      <c r="C118" s="6"/>
      <c r="D118" s="6">
        <v>-1</v>
      </c>
    </row>
    <row r="119" spans="1:4" x14ac:dyDescent="0.3">
      <c r="A119" s="6"/>
      <c r="B119" s="6" t="s">
        <v>386</v>
      </c>
      <c r="C119" s="6"/>
      <c r="D119" s="6">
        <v>-1</v>
      </c>
    </row>
    <row r="120" spans="1:4" x14ac:dyDescent="0.3">
      <c r="A120" s="6" t="s">
        <v>3881</v>
      </c>
      <c r="B120" s="6" t="s">
        <v>394</v>
      </c>
      <c r="C120" s="6"/>
      <c r="D120" s="6">
        <v>23</v>
      </c>
    </row>
  </sheetData>
  <pageMargins left="0.7" right="0.7" top="0.75" bottom="0.75" header="0.3" footer="0.3"/>
  <tableParts count="1">
    <tablePart r:id="rId1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593AC-32A6-4240-BA95-484E34A4A0B1}">
  <dimension ref="A1:D123"/>
  <sheetViews>
    <sheetView topLeftCell="A121" workbookViewId="0">
      <selection activeCell="B124" sqref="B124"/>
    </sheetView>
  </sheetViews>
  <sheetFormatPr defaultRowHeight="14.4" x14ac:dyDescent="0.3"/>
  <cols>
    <col min="1" max="1" width="24.44140625" bestFit="1" customWidth="1"/>
    <col min="2" max="2" width="19" bestFit="1" customWidth="1"/>
    <col min="3" max="3" width="23.6640625" bestFit="1" customWidth="1"/>
    <col min="4" max="4" width="23.109375" bestFit="1" customWidth="1"/>
  </cols>
  <sheetData>
    <row r="1" spans="1:4" x14ac:dyDescent="0.3">
      <c r="A1" t="s">
        <v>832</v>
      </c>
      <c r="B1" t="s">
        <v>1</v>
      </c>
      <c r="C1" t="s">
        <v>868</v>
      </c>
      <c r="D1" t="s">
        <v>869</v>
      </c>
    </row>
    <row r="2" spans="1:4" x14ac:dyDescent="0.3">
      <c r="A2" s="6"/>
      <c r="B2" s="6" t="s">
        <v>440</v>
      </c>
      <c r="C2" s="6">
        <v>-1</v>
      </c>
      <c r="D2" s="6"/>
    </row>
    <row r="3" spans="1:4" x14ac:dyDescent="0.3">
      <c r="A3" s="6"/>
      <c r="B3" s="6" t="s">
        <v>538</v>
      </c>
      <c r="C3" s="6">
        <v>-1</v>
      </c>
      <c r="D3" s="6"/>
    </row>
    <row r="4" spans="1:4" x14ac:dyDescent="0.3">
      <c r="A4" s="6"/>
      <c r="B4" s="6" t="s">
        <v>350</v>
      </c>
      <c r="C4" s="6">
        <v>-1</v>
      </c>
      <c r="D4" s="6"/>
    </row>
    <row r="5" spans="1:4" x14ac:dyDescent="0.3">
      <c r="A5" s="6" t="s">
        <v>2648</v>
      </c>
      <c r="B5" s="6" t="s">
        <v>558</v>
      </c>
      <c r="C5" s="6">
        <v>1001</v>
      </c>
      <c r="D5" s="6"/>
    </row>
    <row r="6" spans="1:4" x14ac:dyDescent="0.3">
      <c r="A6" s="6"/>
      <c r="B6" s="6" t="s">
        <v>382</v>
      </c>
      <c r="C6" s="6">
        <v>-1</v>
      </c>
      <c r="D6" s="6"/>
    </row>
    <row r="7" spans="1:4" x14ac:dyDescent="0.3">
      <c r="A7" s="6"/>
      <c r="B7" s="6" t="s">
        <v>730</v>
      </c>
      <c r="C7" s="6">
        <v>-1</v>
      </c>
      <c r="D7" s="6"/>
    </row>
    <row r="8" spans="1:4" x14ac:dyDescent="0.3">
      <c r="A8" s="6"/>
      <c r="B8" s="6" t="s">
        <v>406</v>
      </c>
      <c r="C8" s="6">
        <v>-1</v>
      </c>
      <c r="D8" s="6"/>
    </row>
    <row r="9" spans="1:4" x14ac:dyDescent="0.3">
      <c r="A9" s="6" t="s">
        <v>2659</v>
      </c>
      <c r="B9" s="6" t="s">
        <v>614</v>
      </c>
      <c r="C9" s="6">
        <v>69</v>
      </c>
      <c r="D9" s="6"/>
    </row>
    <row r="10" spans="1:4" x14ac:dyDescent="0.3">
      <c r="A10" s="6"/>
      <c r="B10" s="6" t="s">
        <v>332</v>
      </c>
      <c r="C10" s="6"/>
      <c r="D10" s="6">
        <v>-1</v>
      </c>
    </row>
    <row r="11" spans="1:4" x14ac:dyDescent="0.3">
      <c r="A11" s="6"/>
      <c r="B11" s="6" t="s">
        <v>354</v>
      </c>
      <c r="C11" s="6"/>
      <c r="D11" s="6">
        <v>-1</v>
      </c>
    </row>
    <row r="12" spans="1:4" x14ac:dyDescent="0.3">
      <c r="A12" s="6"/>
      <c r="B12" s="6" t="s">
        <v>358</v>
      </c>
      <c r="C12" s="6"/>
      <c r="D12" s="6">
        <v>-1</v>
      </c>
    </row>
    <row r="13" spans="1:4" x14ac:dyDescent="0.3">
      <c r="A13" s="6" t="s">
        <v>1316</v>
      </c>
      <c r="B13" s="6" t="s">
        <v>402</v>
      </c>
      <c r="C13" s="6">
        <v>13</v>
      </c>
      <c r="D13" s="6">
        <v>2</v>
      </c>
    </row>
    <row r="14" spans="1:4" x14ac:dyDescent="0.3">
      <c r="A14" s="6" t="s">
        <v>3243</v>
      </c>
      <c r="B14" s="6" t="s">
        <v>344</v>
      </c>
      <c r="C14" s="6">
        <v>46</v>
      </c>
      <c r="D14" s="6">
        <v>4</v>
      </c>
    </row>
    <row r="15" spans="1:4" x14ac:dyDescent="0.3">
      <c r="A15" s="6"/>
      <c r="B15" s="6" t="s">
        <v>412</v>
      </c>
      <c r="C15" s="6"/>
      <c r="D15" s="6">
        <v>-1</v>
      </c>
    </row>
    <row r="16" spans="1:4" x14ac:dyDescent="0.3">
      <c r="A16" s="6"/>
      <c r="B16" s="6" t="s">
        <v>394</v>
      </c>
      <c r="C16" s="6"/>
      <c r="D16" s="6">
        <v>-1</v>
      </c>
    </row>
    <row r="17" spans="1:4" x14ac:dyDescent="0.3">
      <c r="A17" s="6"/>
      <c r="B17" s="6" t="s">
        <v>334</v>
      </c>
      <c r="C17" s="6"/>
      <c r="D17" s="6">
        <v>-1</v>
      </c>
    </row>
    <row r="18" spans="1:4" x14ac:dyDescent="0.3">
      <c r="A18" s="6"/>
      <c r="B18" s="6" t="s">
        <v>694</v>
      </c>
      <c r="C18" s="6"/>
      <c r="D18" s="6">
        <v>-1</v>
      </c>
    </row>
    <row r="19" spans="1:4" x14ac:dyDescent="0.3">
      <c r="A19" s="6"/>
      <c r="B19" s="6" t="s">
        <v>414</v>
      </c>
      <c r="C19" s="6"/>
      <c r="D19" s="6">
        <v>-1</v>
      </c>
    </row>
    <row r="20" spans="1:4" x14ac:dyDescent="0.3">
      <c r="A20" s="6" t="s">
        <v>2962</v>
      </c>
      <c r="B20" s="6" t="s">
        <v>412</v>
      </c>
      <c r="C20" s="6">
        <v>2</v>
      </c>
      <c r="D20" s="6"/>
    </row>
    <row r="21" spans="1:4" x14ac:dyDescent="0.3">
      <c r="A21" s="6"/>
      <c r="B21" s="6" t="s">
        <v>412</v>
      </c>
      <c r="C21" s="6">
        <v>-1</v>
      </c>
      <c r="D21" s="6"/>
    </row>
    <row r="22" spans="1:4" x14ac:dyDescent="0.3">
      <c r="A22" s="6"/>
      <c r="B22" s="6" t="s">
        <v>412</v>
      </c>
      <c r="C22" s="6">
        <v>-1</v>
      </c>
      <c r="D22" s="6"/>
    </row>
    <row r="23" spans="1:4" x14ac:dyDescent="0.3">
      <c r="A23" s="6"/>
      <c r="B23" s="6" t="s">
        <v>412</v>
      </c>
      <c r="C23" s="6">
        <v>-1</v>
      </c>
      <c r="D23" s="6"/>
    </row>
    <row r="24" spans="1:4" x14ac:dyDescent="0.3">
      <c r="A24" s="6"/>
      <c r="B24" s="6" t="s">
        <v>520</v>
      </c>
      <c r="C24" s="6">
        <v>-1</v>
      </c>
      <c r="D24" s="6"/>
    </row>
    <row r="25" spans="1:4" x14ac:dyDescent="0.3">
      <c r="A25" s="6"/>
      <c r="B25" s="6" t="s">
        <v>520</v>
      </c>
      <c r="C25" s="6">
        <v>-1</v>
      </c>
      <c r="D25" s="6"/>
    </row>
    <row r="26" spans="1:4" x14ac:dyDescent="0.3">
      <c r="A26" s="6"/>
      <c r="B26" s="6" t="s">
        <v>520</v>
      </c>
      <c r="C26" s="6">
        <v>-1</v>
      </c>
      <c r="D26" s="6"/>
    </row>
    <row r="27" spans="1:4" x14ac:dyDescent="0.3">
      <c r="A27" s="6"/>
      <c r="B27" s="6" t="s">
        <v>520</v>
      </c>
      <c r="C27" s="6">
        <v>-1</v>
      </c>
      <c r="D27" s="6"/>
    </row>
    <row r="28" spans="1:4" x14ac:dyDescent="0.3">
      <c r="A28" s="6" t="s">
        <v>4957</v>
      </c>
      <c r="B28" s="6" t="s">
        <v>356</v>
      </c>
      <c r="C28" s="6">
        <v>25</v>
      </c>
      <c r="D28" s="6"/>
    </row>
    <row r="29" spans="1:4" x14ac:dyDescent="0.3">
      <c r="A29" s="6"/>
      <c r="B29" s="6" t="s">
        <v>356</v>
      </c>
      <c r="C29" s="6">
        <v>-1</v>
      </c>
      <c r="D29" s="6"/>
    </row>
    <row r="30" spans="1:4" x14ac:dyDescent="0.3">
      <c r="A30" s="6"/>
      <c r="B30" s="6" t="s">
        <v>356</v>
      </c>
      <c r="C30" s="6">
        <v>-1</v>
      </c>
      <c r="D30" s="6"/>
    </row>
    <row r="31" spans="1:4" x14ac:dyDescent="0.3">
      <c r="A31" s="6"/>
      <c r="B31" s="6" t="s">
        <v>356</v>
      </c>
      <c r="C31" s="6">
        <v>-1</v>
      </c>
      <c r="D31" s="6"/>
    </row>
    <row r="32" spans="1:4" x14ac:dyDescent="0.3">
      <c r="A32" s="6" t="s">
        <v>3470</v>
      </c>
      <c r="B32" s="6" t="s">
        <v>444</v>
      </c>
      <c r="C32" s="6">
        <v>7</v>
      </c>
      <c r="D32" s="6"/>
    </row>
    <row r="33" spans="1:4" x14ac:dyDescent="0.3">
      <c r="A33" s="6" t="s">
        <v>4685</v>
      </c>
      <c r="B33" s="6" t="s">
        <v>444</v>
      </c>
      <c r="C33" s="6">
        <v>65</v>
      </c>
      <c r="D33" s="6"/>
    </row>
    <row r="34" spans="1:4" x14ac:dyDescent="0.3">
      <c r="A34" s="6" t="s">
        <v>5041</v>
      </c>
      <c r="B34" s="6" t="s">
        <v>444</v>
      </c>
      <c r="C34" s="6">
        <v>18</v>
      </c>
      <c r="D34" s="6"/>
    </row>
    <row r="35" spans="1:4" x14ac:dyDescent="0.3">
      <c r="A35" s="6"/>
      <c r="B35" s="6" t="s">
        <v>444</v>
      </c>
      <c r="C35" s="6">
        <v>-1</v>
      </c>
      <c r="D35" s="6"/>
    </row>
    <row r="36" spans="1:4" x14ac:dyDescent="0.3">
      <c r="A36" s="6" t="s">
        <v>1479</v>
      </c>
      <c r="B36" s="6" t="s">
        <v>402</v>
      </c>
      <c r="C36" s="6">
        <v>5</v>
      </c>
      <c r="D36" s="6"/>
    </row>
    <row r="37" spans="1:4" x14ac:dyDescent="0.3">
      <c r="A37" s="6" t="s">
        <v>3198</v>
      </c>
      <c r="B37" s="6" t="s">
        <v>402</v>
      </c>
      <c r="C37" s="6">
        <v>12</v>
      </c>
      <c r="D37" s="6"/>
    </row>
    <row r="38" spans="1:4" x14ac:dyDescent="0.3">
      <c r="A38" s="6"/>
      <c r="B38" s="6" t="s">
        <v>402</v>
      </c>
      <c r="C38" s="6">
        <v>-1</v>
      </c>
      <c r="D38" s="6"/>
    </row>
    <row r="39" spans="1:4" x14ac:dyDescent="0.3">
      <c r="A39" s="6" t="s">
        <v>3359</v>
      </c>
      <c r="B39" s="6" t="s">
        <v>394</v>
      </c>
      <c r="C39" s="6">
        <v>10</v>
      </c>
      <c r="D39" s="6">
        <v>18</v>
      </c>
    </row>
    <row r="40" spans="1:4" x14ac:dyDescent="0.3">
      <c r="A40" s="6"/>
      <c r="B40" s="6" t="s">
        <v>394</v>
      </c>
      <c r="C40" s="6">
        <v>-1</v>
      </c>
      <c r="D40" s="6"/>
    </row>
    <row r="41" spans="1:4" x14ac:dyDescent="0.3">
      <c r="A41" s="6"/>
      <c r="B41" s="6" t="s">
        <v>394</v>
      </c>
      <c r="C41" s="6">
        <v>-1</v>
      </c>
      <c r="D41" s="6"/>
    </row>
    <row r="42" spans="1:4" x14ac:dyDescent="0.3">
      <c r="A42" s="6" t="s">
        <v>2830</v>
      </c>
      <c r="B42" s="6" t="s">
        <v>344</v>
      </c>
      <c r="C42" s="6">
        <v>27</v>
      </c>
      <c r="D42" s="6"/>
    </row>
    <row r="43" spans="1:4" x14ac:dyDescent="0.3">
      <c r="A43" s="6"/>
      <c r="B43" s="6" t="s">
        <v>344</v>
      </c>
      <c r="C43" s="6">
        <v>-1</v>
      </c>
      <c r="D43" s="6"/>
    </row>
    <row r="44" spans="1:4" x14ac:dyDescent="0.3">
      <c r="A44" s="6"/>
      <c r="B44" s="6" t="s">
        <v>354</v>
      </c>
      <c r="C44" s="6">
        <v>-1</v>
      </c>
      <c r="D44" s="6"/>
    </row>
    <row r="45" spans="1:4" x14ac:dyDescent="0.3">
      <c r="A45" s="6"/>
      <c r="B45" s="6" t="s">
        <v>354</v>
      </c>
      <c r="C45" s="6">
        <v>-1</v>
      </c>
      <c r="D45" s="6"/>
    </row>
    <row r="46" spans="1:4" x14ac:dyDescent="0.3">
      <c r="A46" s="6"/>
      <c r="B46" s="6" t="s">
        <v>354</v>
      </c>
      <c r="C46" s="6">
        <v>-1</v>
      </c>
      <c r="D46" s="6"/>
    </row>
    <row r="47" spans="1:4" x14ac:dyDescent="0.3">
      <c r="A47" s="6"/>
      <c r="B47" s="6" t="s">
        <v>334</v>
      </c>
      <c r="C47" s="6">
        <v>-1</v>
      </c>
      <c r="D47" s="6"/>
    </row>
    <row r="48" spans="1:4" x14ac:dyDescent="0.3">
      <c r="A48" s="6"/>
      <c r="B48" s="6" t="s">
        <v>334</v>
      </c>
      <c r="C48" s="6">
        <v>-1</v>
      </c>
      <c r="D48" s="6"/>
    </row>
    <row r="49" spans="1:4" x14ac:dyDescent="0.3">
      <c r="A49" s="6"/>
      <c r="B49" s="6" t="s">
        <v>334</v>
      </c>
      <c r="C49" s="6">
        <v>-1</v>
      </c>
      <c r="D49" s="6"/>
    </row>
    <row r="50" spans="1:4" x14ac:dyDescent="0.3">
      <c r="A50" s="6"/>
      <c r="B50" s="6" t="s">
        <v>414</v>
      </c>
      <c r="C50" s="6">
        <v>-1</v>
      </c>
      <c r="D50" s="6"/>
    </row>
    <row r="51" spans="1:4" x14ac:dyDescent="0.3">
      <c r="A51" s="6"/>
      <c r="B51" s="6" t="s">
        <v>414</v>
      </c>
      <c r="C51" s="6">
        <v>-1</v>
      </c>
      <c r="D51" s="6"/>
    </row>
    <row r="52" spans="1:4" x14ac:dyDescent="0.3">
      <c r="A52" s="6"/>
      <c r="B52" s="6" t="s">
        <v>414</v>
      </c>
      <c r="C52" s="6">
        <v>-1</v>
      </c>
      <c r="D52" s="6"/>
    </row>
    <row r="53" spans="1:4" x14ac:dyDescent="0.3">
      <c r="A53" s="6" t="s">
        <v>3699</v>
      </c>
      <c r="B53" s="6" t="s">
        <v>332</v>
      </c>
      <c r="C53" s="6">
        <v>1</v>
      </c>
      <c r="D53" s="6"/>
    </row>
    <row r="54" spans="1:4" x14ac:dyDescent="0.3">
      <c r="A54" s="6"/>
      <c r="B54" s="6" t="s">
        <v>332</v>
      </c>
      <c r="C54" s="6">
        <v>-1</v>
      </c>
      <c r="D54" s="6"/>
    </row>
    <row r="55" spans="1:4" x14ac:dyDescent="0.3">
      <c r="A55" s="6" t="s">
        <v>2159</v>
      </c>
      <c r="B55" s="6" t="s">
        <v>384</v>
      </c>
      <c r="C55" s="6">
        <v>19</v>
      </c>
      <c r="D55" s="6"/>
    </row>
    <row r="56" spans="1:4" x14ac:dyDescent="0.3">
      <c r="A56" s="6"/>
      <c r="B56" s="6" t="s">
        <v>384</v>
      </c>
      <c r="C56" s="6">
        <v>-1</v>
      </c>
      <c r="D56" s="6"/>
    </row>
    <row r="57" spans="1:4" x14ac:dyDescent="0.3">
      <c r="A57" s="6"/>
      <c r="B57" s="6" t="s">
        <v>358</v>
      </c>
      <c r="C57" s="6">
        <v>-1</v>
      </c>
      <c r="D57" s="6"/>
    </row>
    <row r="58" spans="1:4" x14ac:dyDescent="0.3">
      <c r="A58" s="6" t="s">
        <v>1730</v>
      </c>
      <c r="B58" s="6" t="s">
        <v>358</v>
      </c>
      <c r="C58" s="6">
        <v>52</v>
      </c>
      <c r="D58" s="6">
        <v>33</v>
      </c>
    </row>
    <row r="59" spans="1:4" x14ac:dyDescent="0.3">
      <c r="A59" s="6" t="s">
        <v>2752</v>
      </c>
      <c r="B59" s="6" t="s">
        <v>474</v>
      </c>
      <c r="C59" s="6">
        <v>31</v>
      </c>
      <c r="D59" s="6"/>
    </row>
    <row r="60" spans="1:4" x14ac:dyDescent="0.3">
      <c r="A60" s="6"/>
      <c r="B60" s="6" t="s">
        <v>474</v>
      </c>
      <c r="C60" s="6">
        <v>-1</v>
      </c>
      <c r="D60" s="6"/>
    </row>
    <row r="61" spans="1:4" x14ac:dyDescent="0.3">
      <c r="A61" s="6" t="s">
        <v>1265</v>
      </c>
      <c r="B61" s="6" t="s">
        <v>330</v>
      </c>
      <c r="C61" s="6">
        <v>63</v>
      </c>
      <c r="D61" s="6">
        <v>22</v>
      </c>
    </row>
    <row r="62" spans="1:4" x14ac:dyDescent="0.3">
      <c r="A62" s="6" t="s">
        <v>2595</v>
      </c>
      <c r="B62" s="6" t="s">
        <v>330</v>
      </c>
      <c r="C62" s="6">
        <v>6</v>
      </c>
      <c r="D62" s="6"/>
    </row>
    <row r="63" spans="1:4" x14ac:dyDescent="0.3">
      <c r="A63" s="6"/>
      <c r="B63" s="6" t="s">
        <v>422</v>
      </c>
      <c r="C63" s="6">
        <v>-1</v>
      </c>
      <c r="D63" s="6"/>
    </row>
    <row r="64" spans="1:4" x14ac:dyDescent="0.3">
      <c r="A64" s="6"/>
      <c r="B64" s="6" t="s">
        <v>422</v>
      </c>
      <c r="C64" s="6">
        <v>-1</v>
      </c>
      <c r="D64" s="6"/>
    </row>
    <row r="65" spans="1:4" x14ac:dyDescent="0.3">
      <c r="A65" s="6"/>
      <c r="B65" s="6" t="s">
        <v>482</v>
      </c>
      <c r="C65" s="6">
        <v>-1</v>
      </c>
      <c r="D65" s="6"/>
    </row>
    <row r="66" spans="1:4" x14ac:dyDescent="0.3">
      <c r="A66" s="6"/>
      <c r="B66" s="6" t="s">
        <v>482</v>
      </c>
      <c r="C66" s="6">
        <v>-1</v>
      </c>
      <c r="D66" s="6"/>
    </row>
    <row r="67" spans="1:4" x14ac:dyDescent="0.3">
      <c r="A67" s="6" t="s">
        <v>2501</v>
      </c>
      <c r="B67" s="6" t="s">
        <v>364</v>
      </c>
      <c r="C67" s="6">
        <v>21</v>
      </c>
      <c r="D67" s="6"/>
    </row>
    <row r="68" spans="1:4" x14ac:dyDescent="0.3">
      <c r="A68" s="6"/>
      <c r="B68" s="6" t="s">
        <v>364</v>
      </c>
      <c r="C68" s="6">
        <v>-1</v>
      </c>
      <c r="D68" s="6"/>
    </row>
    <row r="69" spans="1:4" x14ac:dyDescent="0.3">
      <c r="A69" s="6"/>
      <c r="B69" s="6" t="s">
        <v>694</v>
      </c>
      <c r="C69" s="6">
        <v>-1</v>
      </c>
      <c r="D69" s="6"/>
    </row>
    <row r="70" spans="1:4" x14ac:dyDescent="0.3">
      <c r="A70" s="6"/>
      <c r="B70" s="6" t="s">
        <v>694</v>
      </c>
      <c r="C70" s="6">
        <v>-1</v>
      </c>
      <c r="D70" s="6"/>
    </row>
    <row r="71" spans="1:4" x14ac:dyDescent="0.3">
      <c r="A71" s="6" t="s">
        <v>3899</v>
      </c>
      <c r="B71" s="6" t="s">
        <v>674</v>
      </c>
      <c r="C71" s="6">
        <v>72</v>
      </c>
      <c r="D71" s="6"/>
    </row>
    <row r="72" spans="1:4" x14ac:dyDescent="0.3">
      <c r="A72" s="6"/>
      <c r="B72" s="6" t="s">
        <v>674</v>
      </c>
      <c r="C72" s="6">
        <v>-1</v>
      </c>
      <c r="D72" s="6"/>
    </row>
    <row r="73" spans="1:4" x14ac:dyDescent="0.3">
      <c r="A73" s="6"/>
      <c r="B73" s="6" t="s">
        <v>328</v>
      </c>
      <c r="C73" s="6">
        <v>-1</v>
      </c>
      <c r="D73" s="6"/>
    </row>
    <row r="74" spans="1:4" x14ac:dyDescent="0.3">
      <c r="A74" s="6" t="s">
        <v>1439</v>
      </c>
      <c r="B74" s="6" t="s">
        <v>372</v>
      </c>
      <c r="C74" s="6">
        <v>37</v>
      </c>
      <c r="D74" s="6">
        <v>30</v>
      </c>
    </row>
    <row r="75" spans="1:4" x14ac:dyDescent="0.3">
      <c r="A75" s="6"/>
      <c r="B75" s="6" t="s">
        <v>726</v>
      </c>
      <c r="C75" s="6">
        <v>-1</v>
      </c>
      <c r="D75" s="6"/>
    </row>
    <row r="76" spans="1:4" x14ac:dyDescent="0.3">
      <c r="A76" s="6"/>
      <c r="B76" s="6" t="s">
        <v>478</v>
      </c>
      <c r="C76" s="6">
        <v>-1</v>
      </c>
      <c r="D76" s="6"/>
    </row>
    <row r="77" spans="1:4" x14ac:dyDescent="0.3">
      <c r="A77" s="6"/>
      <c r="B77" s="6" t="s">
        <v>362</v>
      </c>
      <c r="C77" s="6">
        <v>-1</v>
      </c>
      <c r="D77" s="6"/>
    </row>
    <row r="78" spans="1:4" x14ac:dyDescent="0.3">
      <c r="A78" s="6" t="s">
        <v>4851</v>
      </c>
      <c r="B78" s="6" t="s">
        <v>622</v>
      </c>
      <c r="C78" s="6">
        <v>17</v>
      </c>
      <c r="D78" s="6"/>
    </row>
    <row r="79" spans="1:4" x14ac:dyDescent="0.3">
      <c r="A79" s="6"/>
      <c r="B79" s="6" t="s">
        <v>338</v>
      </c>
      <c r="C79" s="6">
        <v>-1</v>
      </c>
      <c r="D79" s="6"/>
    </row>
    <row r="80" spans="1:4" x14ac:dyDescent="0.3">
      <c r="A80" s="6"/>
      <c r="B80" s="6" t="s">
        <v>442</v>
      </c>
      <c r="C80" s="6">
        <v>-1</v>
      </c>
      <c r="D80" s="6"/>
    </row>
    <row r="81" spans="1:4" x14ac:dyDescent="0.3">
      <c r="A81" s="6"/>
      <c r="B81" s="6" t="s">
        <v>592</v>
      </c>
      <c r="C81" s="6">
        <v>-1</v>
      </c>
      <c r="D81" s="6"/>
    </row>
    <row r="82" spans="1:4" x14ac:dyDescent="0.3">
      <c r="A82" s="6" t="s">
        <v>3790</v>
      </c>
      <c r="B82" s="6" t="s">
        <v>470</v>
      </c>
      <c r="C82" s="6">
        <v>48</v>
      </c>
      <c r="D82" s="6"/>
    </row>
    <row r="83" spans="1:4" x14ac:dyDescent="0.3">
      <c r="A83" s="6"/>
      <c r="B83" s="6" t="s">
        <v>700</v>
      </c>
      <c r="C83" s="6">
        <v>-1</v>
      </c>
      <c r="D83" s="6"/>
    </row>
    <row r="84" spans="1:4" x14ac:dyDescent="0.3">
      <c r="A84" s="6"/>
      <c r="B84" s="6" t="s">
        <v>676</v>
      </c>
      <c r="C84" s="6">
        <v>-1</v>
      </c>
      <c r="D84" s="6"/>
    </row>
    <row r="85" spans="1:4" x14ac:dyDescent="0.3">
      <c r="A85" s="6" t="s">
        <v>2712</v>
      </c>
      <c r="B85" s="6" t="s">
        <v>596</v>
      </c>
      <c r="C85" s="6">
        <v>35</v>
      </c>
      <c r="D85" s="6"/>
    </row>
    <row r="86" spans="1:4" x14ac:dyDescent="0.3">
      <c r="A86" s="6"/>
      <c r="B86" s="6" t="s">
        <v>518</v>
      </c>
      <c r="C86" s="6">
        <v>-1</v>
      </c>
      <c r="D86" s="6"/>
    </row>
    <row r="87" spans="1:4" x14ac:dyDescent="0.3">
      <c r="A87" s="6" t="s">
        <v>3913</v>
      </c>
      <c r="B87" s="6" t="s">
        <v>690</v>
      </c>
      <c r="C87" s="6">
        <v>66</v>
      </c>
      <c r="D87" s="6"/>
    </row>
    <row r="88" spans="1:4" x14ac:dyDescent="0.3">
      <c r="A88" s="6" t="s">
        <v>2798</v>
      </c>
      <c r="B88" s="6" t="s">
        <v>408</v>
      </c>
      <c r="C88" s="6">
        <v>71</v>
      </c>
      <c r="D88" s="6">
        <v>25</v>
      </c>
    </row>
    <row r="89" spans="1:4" x14ac:dyDescent="0.3">
      <c r="A89" s="6" t="s">
        <v>1333</v>
      </c>
      <c r="B89" s="6" t="s">
        <v>636</v>
      </c>
      <c r="C89" s="6">
        <v>1001</v>
      </c>
      <c r="D89" s="6"/>
    </row>
    <row r="90" spans="1:4" x14ac:dyDescent="0.3">
      <c r="A90" s="6"/>
      <c r="B90" s="6" t="s">
        <v>336</v>
      </c>
      <c r="C90" s="6">
        <v>-1</v>
      </c>
      <c r="D90" s="6"/>
    </row>
    <row r="91" spans="1:4" x14ac:dyDescent="0.3">
      <c r="A91" s="6" t="s">
        <v>3965</v>
      </c>
      <c r="B91" s="6" t="s">
        <v>366</v>
      </c>
      <c r="C91" s="6">
        <v>60</v>
      </c>
      <c r="D91" s="6"/>
    </row>
    <row r="92" spans="1:4" x14ac:dyDescent="0.3">
      <c r="A92" s="6" t="s">
        <v>1397</v>
      </c>
      <c r="B92" s="6" t="s">
        <v>380</v>
      </c>
      <c r="C92" s="6">
        <v>1001</v>
      </c>
      <c r="D92" s="6"/>
    </row>
    <row r="93" spans="1:4" x14ac:dyDescent="0.3">
      <c r="A93" s="6" t="s">
        <v>1552</v>
      </c>
      <c r="B93" s="6" t="s">
        <v>650</v>
      </c>
      <c r="C93" s="6">
        <v>68</v>
      </c>
      <c r="D93" s="6"/>
    </row>
    <row r="94" spans="1:4" x14ac:dyDescent="0.3">
      <c r="A94" s="6" t="s">
        <v>1601</v>
      </c>
      <c r="B94" s="6" t="s">
        <v>560</v>
      </c>
      <c r="C94" s="6">
        <v>62</v>
      </c>
      <c r="D94" s="6"/>
    </row>
    <row r="95" spans="1:4" x14ac:dyDescent="0.3">
      <c r="A95" s="6" t="s">
        <v>1767</v>
      </c>
      <c r="B95" s="6" t="s">
        <v>428</v>
      </c>
      <c r="C95" s="6">
        <v>26</v>
      </c>
      <c r="D95" s="6"/>
    </row>
    <row r="96" spans="1:4" x14ac:dyDescent="0.3">
      <c r="A96" s="6"/>
      <c r="B96" s="6" t="s">
        <v>598</v>
      </c>
      <c r="C96" s="6">
        <v>-1</v>
      </c>
      <c r="D96" s="6"/>
    </row>
    <row r="97" spans="1:4" x14ac:dyDescent="0.3">
      <c r="A97" s="6"/>
      <c r="B97" s="6" t="s">
        <v>346</v>
      </c>
      <c r="C97" s="6">
        <v>-1</v>
      </c>
      <c r="D97" s="6"/>
    </row>
    <row r="98" spans="1:4" x14ac:dyDescent="0.3">
      <c r="A98" s="6"/>
      <c r="B98" s="6" t="s">
        <v>454</v>
      </c>
      <c r="C98" s="6">
        <v>-1</v>
      </c>
      <c r="D98" s="6"/>
    </row>
    <row r="99" spans="1:4" x14ac:dyDescent="0.3">
      <c r="A99" s="6"/>
      <c r="B99" s="6" t="s">
        <v>620</v>
      </c>
      <c r="C99" s="6">
        <v>-1</v>
      </c>
      <c r="D99" s="6"/>
    </row>
    <row r="100" spans="1:4" x14ac:dyDescent="0.3">
      <c r="A100" s="6"/>
      <c r="B100" s="6" t="s">
        <v>412</v>
      </c>
      <c r="C100" s="6"/>
      <c r="D100" s="6">
        <v>-1</v>
      </c>
    </row>
    <row r="101" spans="1:4" x14ac:dyDescent="0.3">
      <c r="A101" s="6"/>
      <c r="B101" s="6" t="s">
        <v>356</v>
      </c>
      <c r="C101" s="6"/>
      <c r="D101" s="6">
        <v>-1</v>
      </c>
    </row>
    <row r="102" spans="1:4" x14ac:dyDescent="0.3">
      <c r="A102" s="6"/>
      <c r="B102" s="6" t="s">
        <v>520</v>
      </c>
      <c r="C102" s="6"/>
      <c r="D102" s="6">
        <v>-1</v>
      </c>
    </row>
    <row r="103" spans="1:4" x14ac:dyDescent="0.3">
      <c r="A103" s="6"/>
      <c r="B103" s="6" t="s">
        <v>444</v>
      </c>
      <c r="C103" s="6"/>
      <c r="D103" s="6">
        <v>-1</v>
      </c>
    </row>
    <row r="104" spans="1:4" x14ac:dyDescent="0.3">
      <c r="A104" s="6"/>
      <c r="B104" s="6" t="s">
        <v>402</v>
      </c>
      <c r="C104" s="6"/>
      <c r="D104" s="6">
        <v>-1</v>
      </c>
    </row>
    <row r="105" spans="1:4" x14ac:dyDescent="0.3">
      <c r="A105" s="6"/>
      <c r="B105" s="6" t="s">
        <v>354</v>
      </c>
      <c r="C105" s="6"/>
      <c r="D105" s="6">
        <v>-1</v>
      </c>
    </row>
    <row r="106" spans="1:4" x14ac:dyDescent="0.3">
      <c r="A106" s="6"/>
      <c r="B106" s="6" t="s">
        <v>344</v>
      </c>
      <c r="C106" s="6"/>
      <c r="D106" s="6">
        <v>-1</v>
      </c>
    </row>
    <row r="107" spans="1:4" x14ac:dyDescent="0.3">
      <c r="A107" s="6"/>
      <c r="B107" s="6" t="s">
        <v>334</v>
      </c>
      <c r="C107" s="6"/>
      <c r="D107" s="6">
        <v>-1</v>
      </c>
    </row>
    <row r="108" spans="1:4" x14ac:dyDescent="0.3">
      <c r="A108" s="6"/>
      <c r="B108" s="6" t="s">
        <v>384</v>
      </c>
      <c r="C108" s="6"/>
      <c r="D108" s="6">
        <v>-1</v>
      </c>
    </row>
    <row r="109" spans="1:4" x14ac:dyDescent="0.3">
      <c r="A109" s="6"/>
      <c r="B109" s="6" t="s">
        <v>414</v>
      </c>
      <c r="C109" s="6"/>
      <c r="D109" s="6">
        <v>-1</v>
      </c>
    </row>
    <row r="110" spans="1:4" x14ac:dyDescent="0.3">
      <c r="A110" s="6"/>
      <c r="B110" s="6" t="s">
        <v>332</v>
      </c>
      <c r="C110" s="6"/>
      <c r="D110" s="6">
        <v>-1</v>
      </c>
    </row>
    <row r="111" spans="1:4" x14ac:dyDescent="0.3">
      <c r="A111" s="6"/>
      <c r="B111" s="6" t="s">
        <v>474</v>
      </c>
      <c r="C111" s="6"/>
      <c r="D111" s="6">
        <v>-1</v>
      </c>
    </row>
    <row r="112" spans="1:4" x14ac:dyDescent="0.3">
      <c r="A112" s="6"/>
      <c r="B112" s="6" t="s">
        <v>422</v>
      </c>
      <c r="C112" s="6"/>
      <c r="D112" s="6">
        <v>-1</v>
      </c>
    </row>
    <row r="113" spans="1:4" x14ac:dyDescent="0.3">
      <c r="A113" s="6"/>
      <c r="B113" s="6" t="s">
        <v>482</v>
      </c>
      <c r="C113" s="6"/>
      <c r="D113" s="6">
        <v>-1</v>
      </c>
    </row>
    <row r="114" spans="1:4" x14ac:dyDescent="0.3">
      <c r="A114" s="6"/>
      <c r="B114" s="6" t="s">
        <v>364</v>
      </c>
      <c r="C114" s="6"/>
      <c r="D114" s="6">
        <v>-1</v>
      </c>
    </row>
    <row r="115" spans="1:4" x14ac:dyDescent="0.3">
      <c r="A115" s="6"/>
      <c r="B115" s="6" t="s">
        <v>694</v>
      </c>
      <c r="C115" s="6"/>
      <c r="D115" s="6">
        <v>-1</v>
      </c>
    </row>
    <row r="116" spans="1:4" x14ac:dyDescent="0.3">
      <c r="A116" s="6"/>
      <c r="B116" s="6" t="s">
        <v>328</v>
      </c>
      <c r="C116" s="6"/>
      <c r="D116" s="6">
        <v>-1</v>
      </c>
    </row>
    <row r="117" spans="1:4" x14ac:dyDescent="0.3">
      <c r="A117" s="6"/>
      <c r="B117" s="6" t="s">
        <v>674</v>
      </c>
      <c r="C117" s="6"/>
      <c r="D117" s="6">
        <v>-1</v>
      </c>
    </row>
    <row r="118" spans="1:4" x14ac:dyDescent="0.3">
      <c r="A118" s="6"/>
      <c r="B118" s="6" t="s">
        <v>726</v>
      </c>
      <c r="C118" s="6"/>
      <c r="D118" s="6">
        <v>-1</v>
      </c>
    </row>
    <row r="119" spans="1:4" x14ac:dyDescent="0.3">
      <c r="A119" s="6"/>
      <c r="B119" s="6" t="s">
        <v>478</v>
      </c>
      <c r="C119" s="6"/>
      <c r="D119" s="6">
        <v>-1</v>
      </c>
    </row>
    <row r="120" spans="1:4" x14ac:dyDescent="0.3">
      <c r="A120" s="6"/>
      <c r="B120" s="6" t="s">
        <v>676</v>
      </c>
      <c r="C120" s="6"/>
      <c r="D120" s="6">
        <v>-1</v>
      </c>
    </row>
    <row r="121" spans="1:4" x14ac:dyDescent="0.3">
      <c r="A121" s="6"/>
      <c r="B121" s="6" t="s">
        <v>492</v>
      </c>
      <c r="C121" s="6">
        <v>-1</v>
      </c>
      <c r="D121" s="6"/>
    </row>
    <row r="122" spans="1:4" x14ac:dyDescent="0.3">
      <c r="A122" s="6"/>
      <c r="B122" s="6" t="s">
        <v>492</v>
      </c>
      <c r="C122" s="6">
        <v>-1</v>
      </c>
      <c r="D122" s="6"/>
    </row>
    <row r="123" spans="1:4" x14ac:dyDescent="0.3">
      <c r="A123" s="6" t="s">
        <v>3279</v>
      </c>
      <c r="B123" s="6" t="s">
        <v>386</v>
      </c>
      <c r="C123" s="6">
        <v>1001</v>
      </c>
      <c r="D123" s="6"/>
    </row>
  </sheetData>
  <pageMargins left="0.7" right="0.7" top="0.75" bottom="0.75" header="0.3" footer="0.3"/>
  <tableParts count="1">
    <tablePart r:id="rId1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7BBD0-F7DF-4D13-88DD-BE3B0F84D706}">
  <dimension ref="A1:E68"/>
  <sheetViews>
    <sheetView topLeftCell="A64" workbookViewId="0">
      <selection activeCell="B69" sqref="B69"/>
    </sheetView>
  </sheetViews>
  <sheetFormatPr defaultRowHeight="14.4" x14ac:dyDescent="0.3"/>
  <cols>
    <col min="1" max="1" width="30.109375" bestFit="1" customWidth="1"/>
    <col min="2" max="2" width="18.5546875" bestFit="1" customWidth="1"/>
    <col min="3" max="3" width="19.5546875" bestFit="1" customWidth="1"/>
    <col min="4" max="4" width="22.109375" bestFit="1" customWidth="1"/>
    <col min="5" max="5" width="19.77734375" bestFit="1" customWidth="1"/>
  </cols>
  <sheetData>
    <row r="1" spans="1:5" x14ac:dyDescent="0.3">
      <c r="A1" t="s">
        <v>832</v>
      </c>
      <c r="B1" t="s">
        <v>1</v>
      </c>
      <c r="C1" t="s">
        <v>977</v>
      </c>
      <c r="D1" t="s">
        <v>978</v>
      </c>
      <c r="E1" t="s">
        <v>979</v>
      </c>
    </row>
    <row r="2" spans="1:5" x14ac:dyDescent="0.3">
      <c r="A2" s="6" t="s">
        <v>3640</v>
      </c>
      <c r="B2" s="6" t="s">
        <v>354</v>
      </c>
      <c r="C2" s="6"/>
      <c r="D2" s="6"/>
      <c r="E2" s="6">
        <v>10</v>
      </c>
    </row>
    <row r="3" spans="1:5" x14ac:dyDescent="0.3">
      <c r="A3" s="6"/>
      <c r="B3" s="6" t="s">
        <v>354</v>
      </c>
      <c r="C3" s="6">
        <v>2</v>
      </c>
      <c r="D3" s="6"/>
      <c r="E3" s="6">
        <v>2</v>
      </c>
    </row>
    <row r="4" spans="1:5" x14ac:dyDescent="0.3">
      <c r="A4" s="6" t="s">
        <v>2947</v>
      </c>
      <c r="B4" s="6" t="s">
        <v>412</v>
      </c>
      <c r="C4" s="6">
        <v>1</v>
      </c>
      <c r="D4" s="6"/>
      <c r="E4" s="6">
        <v>1</v>
      </c>
    </row>
    <row r="5" spans="1:5" x14ac:dyDescent="0.3">
      <c r="A5" s="6"/>
      <c r="B5" s="6" t="s">
        <v>412</v>
      </c>
      <c r="C5" s="6"/>
      <c r="D5" s="6"/>
      <c r="E5" s="6">
        <v>-1</v>
      </c>
    </row>
    <row r="6" spans="1:5" x14ac:dyDescent="0.3">
      <c r="A6" s="6" t="s">
        <v>3127</v>
      </c>
      <c r="B6" s="6" t="s">
        <v>428</v>
      </c>
      <c r="C6" s="6"/>
      <c r="D6" s="6"/>
      <c r="E6" s="6">
        <v>6</v>
      </c>
    </row>
    <row r="7" spans="1:5" x14ac:dyDescent="0.3">
      <c r="A7" s="6"/>
      <c r="B7" s="6" t="s">
        <v>428</v>
      </c>
      <c r="C7" s="6"/>
      <c r="D7" s="6"/>
      <c r="E7" s="6">
        <v>-1</v>
      </c>
    </row>
    <row r="8" spans="1:5" x14ac:dyDescent="0.3">
      <c r="A8" s="6"/>
      <c r="B8" s="6" t="s">
        <v>344</v>
      </c>
      <c r="C8" s="6"/>
      <c r="D8" s="6"/>
      <c r="E8" s="6">
        <v>-1</v>
      </c>
    </row>
    <row r="9" spans="1:5" x14ac:dyDescent="0.3">
      <c r="A9" s="6"/>
      <c r="B9" s="6" t="s">
        <v>344</v>
      </c>
      <c r="C9" s="6"/>
      <c r="D9" s="6"/>
      <c r="E9" s="6">
        <v>-1</v>
      </c>
    </row>
    <row r="10" spans="1:5" x14ac:dyDescent="0.3">
      <c r="A10" s="6"/>
      <c r="B10" s="6" t="s">
        <v>402</v>
      </c>
      <c r="C10" s="6"/>
      <c r="D10" s="6"/>
      <c r="E10" s="6">
        <v>-1</v>
      </c>
    </row>
    <row r="11" spans="1:5" x14ac:dyDescent="0.3">
      <c r="A11" s="6"/>
      <c r="B11" s="6" t="s">
        <v>402</v>
      </c>
      <c r="C11" s="6"/>
      <c r="D11" s="6"/>
      <c r="E11" s="6">
        <v>-1</v>
      </c>
    </row>
    <row r="12" spans="1:5" x14ac:dyDescent="0.3">
      <c r="A12" s="6" t="s">
        <v>2725</v>
      </c>
      <c r="B12" s="6" t="s">
        <v>328</v>
      </c>
      <c r="C12" s="6">
        <v>19</v>
      </c>
      <c r="D12" s="6"/>
      <c r="E12" s="6">
        <v>28</v>
      </c>
    </row>
    <row r="13" spans="1:5" x14ac:dyDescent="0.3">
      <c r="A13" s="6"/>
      <c r="B13" s="6" t="s">
        <v>328</v>
      </c>
      <c r="C13" s="6"/>
      <c r="D13" s="6"/>
      <c r="E13" s="6">
        <v>-1</v>
      </c>
    </row>
    <row r="14" spans="1:5" x14ac:dyDescent="0.3">
      <c r="A14" s="6"/>
      <c r="B14" s="6" t="s">
        <v>334</v>
      </c>
      <c r="C14" s="6"/>
      <c r="D14" s="6"/>
      <c r="E14" s="6">
        <v>-1</v>
      </c>
    </row>
    <row r="15" spans="1:5" x14ac:dyDescent="0.3">
      <c r="A15" s="6"/>
      <c r="B15" s="6" t="s">
        <v>334</v>
      </c>
      <c r="C15" s="6"/>
      <c r="D15" s="6"/>
      <c r="E15" s="6">
        <v>-1</v>
      </c>
    </row>
    <row r="16" spans="1:5" x14ac:dyDescent="0.3">
      <c r="A16" s="6"/>
      <c r="B16" s="6" t="s">
        <v>384</v>
      </c>
      <c r="C16" s="6"/>
      <c r="D16" s="6"/>
      <c r="E16" s="6">
        <v>-1</v>
      </c>
    </row>
    <row r="17" spans="1:5" x14ac:dyDescent="0.3">
      <c r="A17" s="6"/>
      <c r="B17" s="6" t="s">
        <v>384</v>
      </c>
      <c r="C17" s="6"/>
      <c r="D17" s="6"/>
      <c r="E17" s="6">
        <v>-1</v>
      </c>
    </row>
    <row r="18" spans="1:5" x14ac:dyDescent="0.3">
      <c r="A18" s="6"/>
      <c r="B18" s="6" t="s">
        <v>480</v>
      </c>
      <c r="C18" s="6"/>
      <c r="D18" s="6"/>
      <c r="E18" s="6">
        <v>-1</v>
      </c>
    </row>
    <row r="19" spans="1:5" x14ac:dyDescent="0.3">
      <c r="A19" s="6" t="s">
        <v>3683</v>
      </c>
      <c r="B19" s="6" t="s">
        <v>394</v>
      </c>
      <c r="C19" s="6">
        <v>10</v>
      </c>
      <c r="D19" s="6"/>
      <c r="E19" s="6">
        <v>5</v>
      </c>
    </row>
    <row r="20" spans="1:5" x14ac:dyDescent="0.3">
      <c r="A20" s="6"/>
      <c r="B20" s="6" t="s">
        <v>598</v>
      </c>
      <c r="C20" s="6"/>
      <c r="D20" s="6"/>
      <c r="E20" s="6">
        <v>-1</v>
      </c>
    </row>
    <row r="21" spans="1:5" x14ac:dyDescent="0.3">
      <c r="A21" s="6" t="s">
        <v>3528</v>
      </c>
      <c r="B21" s="6" t="s">
        <v>382</v>
      </c>
      <c r="C21" s="6">
        <v>3001</v>
      </c>
      <c r="D21" s="6"/>
      <c r="E21" s="6">
        <v>12</v>
      </c>
    </row>
    <row r="22" spans="1:5" x14ac:dyDescent="0.3">
      <c r="A22" s="6" t="s">
        <v>2791</v>
      </c>
      <c r="B22" s="6" t="s">
        <v>620</v>
      </c>
      <c r="C22" s="6">
        <v>23</v>
      </c>
      <c r="D22" s="6"/>
      <c r="E22" s="6">
        <v>15</v>
      </c>
    </row>
    <row r="23" spans="1:5" x14ac:dyDescent="0.3">
      <c r="A23" s="6"/>
      <c r="B23" s="6" t="s">
        <v>422</v>
      </c>
      <c r="C23" s="6"/>
      <c r="D23" s="6"/>
      <c r="E23" s="6">
        <v>-1</v>
      </c>
    </row>
    <row r="24" spans="1:5" x14ac:dyDescent="0.3">
      <c r="A24" s="6" t="s">
        <v>2792</v>
      </c>
      <c r="B24" s="6" t="s">
        <v>362</v>
      </c>
      <c r="C24" s="6">
        <v>16</v>
      </c>
      <c r="D24" s="6"/>
      <c r="E24" s="6">
        <v>25</v>
      </c>
    </row>
    <row r="25" spans="1:5" x14ac:dyDescent="0.3">
      <c r="A25" s="6"/>
      <c r="B25" s="6" t="s">
        <v>474</v>
      </c>
      <c r="C25" s="6"/>
      <c r="D25" s="6"/>
      <c r="E25" s="6">
        <v>-1</v>
      </c>
    </row>
    <row r="26" spans="1:5" x14ac:dyDescent="0.3">
      <c r="A26" s="6" t="s">
        <v>3629</v>
      </c>
      <c r="B26" s="6" t="s">
        <v>478</v>
      </c>
      <c r="C26" s="6">
        <v>19</v>
      </c>
      <c r="D26" s="6"/>
      <c r="E26" s="6">
        <v>27</v>
      </c>
    </row>
    <row r="27" spans="1:5" x14ac:dyDescent="0.3">
      <c r="A27" s="6" t="s">
        <v>1543</v>
      </c>
      <c r="B27" s="6" t="s">
        <v>706</v>
      </c>
      <c r="C27" s="6">
        <v>23</v>
      </c>
      <c r="D27" s="6"/>
      <c r="E27" s="6">
        <v>16</v>
      </c>
    </row>
    <row r="28" spans="1:5" x14ac:dyDescent="0.3">
      <c r="A28" s="6"/>
      <c r="B28" s="6" t="s">
        <v>604</v>
      </c>
      <c r="C28" s="6"/>
      <c r="D28" s="6"/>
      <c r="E28" s="6">
        <v>-1</v>
      </c>
    </row>
    <row r="29" spans="1:5" x14ac:dyDescent="0.3">
      <c r="A29" s="6" t="s">
        <v>3638</v>
      </c>
      <c r="B29" s="6" t="s">
        <v>354</v>
      </c>
      <c r="C29" s="6">
        <v>3</v>
      </c>
      <c r="D29" s="6"/>
      <c r="E29" s="6"/>
    </row>
    <row r="30" spans="1:5" x14ac:dyDescent="0.3">
      <c r="A30" s="6"/>
      <c r="B30" s="6" t="s">
        <v>412</v>
      </c>
      <c r="C30" s="6">
        <v>-1</v>
      </c>
      <c r="D30" s="6"/>
      <c r="E30" s="6"/>
    </row>
    <row r="31" spans="1:5" x14ac:dyDescent="0.3">
      <c r="A31" s="6"/>
      <c r="B31" s="6" t="s">
        <v>428</v>
      </c>
      <c r="C31" s="6">
        <v>-1</v>
      </c>
      <c r="D31" s="6"/>
      <c r="E31" s="6"/>
    </row>
    <row r="32" spans="1:5" x14ac:dyDescent="0.3">
      <c r="A32" s="6"/>
      <c r="B32" s="6" t="s">
        <v>428</v>
      </c>
      <c r="C32" s="6">
        <v>-1</v>
      </c>
      <c r="D32" s="6"/>
      <c r="E32" s="6"/>
    </row>
    <row r="33" spans="1:5" x14ac:dyDescent="0.3">
      <c r="A33" s="6"/>
      <c r="B33" s="6" t="s">
        <v>344</v>
      </c>
      <c r="C33" s="6">
        <v>-1</v>
      </c>
      <c r="D33" s="6"/>
      <c r="E33" s="6"/>
    </row>
    <row r="34" spans="1:5" x14ac:dyDescent="0.3">
      <c r="A34" s="6"/>
      <c r="B34" s="6" t="s">
        <v>344</v>
      </c>
      <c r="C34" s="6">
        <v>-1</v>
      </c>
      <c r="D34" s="6"/>
      <c r="E34" s="6"/>
    </row>
    <row r="35" spans="1:5" x14ac:dyDescent="0.3">
      <c r="A35" s="6"/>
      <c r="B35" s="6" t="s">
        <v>402</v>
      </c>
      <c r="C35" s="6">
        <v>-1</v>
      </c>
      <c r="D35" s="6"/>
      <c r="E35" s="6"/>
    </row>
    <row r="36" spans="1:5" x14ac:dyDescent="0.3">
      <c r="A36" s="6"/>
      <c r="B36" s="6" t="s">
        <v>402</v>
      </c>
      <c r="C36" s="6">
        <v>-1</v>
      </c>
      <c r="D36" s="6"/>
      <c r="E36" s="6"/>
    </row>
    <row r="37" spans="1:5" x14ac:dyDescent="0.3">
      <c r="A37" s="6"/>
      <c r="B37" s="6" t="s">
        <v>328</v>
      </c>
      <c r="C37" s="6">
        <v>-1</v>
      </c>
      <c r="D37" s="6"/>
      <c r="E37" s="6"/>
    </row>
    <row r="38" spans="1:5" x14ac:dyDescent="0.3">
      <c r="A38" s="6"/>
      <c r="B38" s="6" t="s">
        <v>334</v>
      </c>
      <c r="C38" s="6">
        <v>-1</v>
      </c>
      <c r="D38" s="6"/>
      <c r="E38" s="6"/>
    </row>
    <row r="39" spans="1:5" x14ac:dyDescent="0.3">
      <c r="A39" s="6"/>
      <c r="B39" s="6" t="s">
        <v>334</v>
      </c>
      <c r="C39" s="6">
        <v>-1</v>
      </c>
      <c r="D39" s="6"/>
      <c r="E39" s="6"/>
    </row>
    <row r="40" spans="1:5" x14ac:dyDescent="0.3">
      <c r="A40" s="6"/>
      <c r="B40" s="6" t="s">
        <v>384</v>
      </c>
      <c r="C40" s="6">
        <v>-1</v>
      </c>
      <c r="D40" s="6"/>
      <c r="E40" s="6"/>
    </row>
    <row r="41" spans="1:5" x14ac:dyDescent="0.3">
      <c r="A41" s="6"/>
      <c r="B41" s="6" t="s">
        <v>384</v>
      </c>
      <c r="C41" s="6">
        <v>-1</v>
      </c>
      <c r="D41" s="6"/>
      <c r="E41" s="6"/>
    </row>
    <row r="42" spans="1:5" x14ac:dyDescent="0.3">
      <c r="A42" s="6"/>
      <c r="B42" s="6" t="s">
        <v>474</v>
      </c>
      <c r="C42" s="6">
        <v>-1</v>
      </c>
      <c r="D42" s="6"/>
      <c r="E42" s="6"/>
    </row>
    <row r="43" spans="1:5" x14ac:dyDescent="0.3">
      <c r="A43" s="6"/>
      <c r="B43" s="6" t="s">
        <v>480</v>
      </c>
      <c r="C43" s="6">
        <v>-1</v>
      </c>
      <c r="D43" s="6"/>
      <c r="E43" s="6"/>
    </row>
    <row r="44" spans="1:5" x14ac:dyDescent="0.3">
      <c r="A44" s="6"/>
      <c r="B44" s="6" t="s">
        <v>604</v>
      </c>
      <c r="C44" s="6">
        <v>-1</v>
      </c>
      <c r="D44" s="6"/>
      <c r="E44" s="6"/>
    </row>
    <row r="45" spans="1:5" x14ac:dyDescent="0.3">
      <c r="A45" s="6"/>
      <c r="B45" s="6" t="s">
        <v>422</v>
      </c>
      <c r="C45" s="6">
        <v>-1</v>
      </c>
      <c r="D45" s="6"/>
      <c r="E45" s="6"/>
    </row>
    <row r="46" spans="1:5" x14ac:dyDescent="0.3">
      <c r="A46" s="6"/>
      <c r="B46" s="6" t="s">
        <v>598</v>
      </c>
      <c r="C46" s="6">
        <v>-1</v>
      </c>
      <c r="D46" s="6"/>
      <c r="E46" s="6"/>
    </row>
    <row r="47" spans="1:5" x14ac:dyDescent="0.3">
      <c r="A47" s="6"/>
      <c r="B47" s="6" t="s">
        <v>414</v>
      </c>
      <c r="C47" s="6"/>
      <c r="D47" s="6">
        <v>-1</v>
      </c>
      <c r="E47" s="6"/>
    </row>
    <row r="48" spans="1:5" x14ac:dyDescent="0.3">
      <c r="A48" s="6"/>
      <c r="B48" s="6" t="s">
        <v>474</v>
      </c>
      <c r="C48" s="6"/>
      <c r="D48" s="6">
        <v>-1</v>
      </c>
      <c r="E48" s="6"/>
    </row>
    <row r="49" spans="1:5" x14ac:dyDescent="0.3">
      <c r="A49" s="6" t="s">
        <v>1261</v>
      </c>
      <c r="B49" s="6" t="s">
        <v>354</v>
      </c>
      <c r="C49" s="6"/>
      <c r="D49" s="6">
        <v>14</v>
      </c>
      <c r="E49" s="6"/>
    </row>
    <row r="50" spans="1:5" x14ac:dyDescent="0.3">
      <c r="A50" s="6" t="s">
        <v>2865</v>
      </c>
      <c r="B50" s="6" t="s">
        <v>356</v>
      </c>
      <c r="C50" s="6"/>
      <c r="D50" s="6">
        <v>9</v>
      </c>
      <c r="E50" s="6"/>
    </row>
    <row r="51" spans="1:5" x14ac:dyDescent="0.3">
      <c r="A51" s="6"/>
      <c r="B51" s="6" t="s">
        <v>344</v>
      </c>
      <c r="C51" s="6"/>
      <c r="D51" s="6">
        <v>-1</v>
      </c>
      <c r="E51" s="6"/>
    </row>
    <row r="52" spans="1:5" x14ac:dyDescent="0.3">
      <c r="A52" s="6" t="s">
        <v>1481</v>
      </c>
      <c r="B52" s="6" t="s">
        <v>402</v>
      </c>
      <c r="C52" s="6"/>
      <c r="D52" s="6">
        <v>8</v>
      </c>
      <c r="E52" s="6"/>
    </row>
    <row r="53" spans="1:5" x14ac:dyDescent="0.3">
      <c r="A53" s="6"/>
      <c r="B53" s="6" t="s">
        <v>428</v>
      </c>
      <c r="C53" s="6"/>
      <c r="D53" s="6">
        <v>-1</v>
      </c>
      <c r="E53" s="6"/>
    </row>
    <row r="54" spans="1:5" x14ac:dyDescent="0.3">
      <c r="A54" s="6"/>
      <c r="B54" s="6" t="s">
        <v>384</v>
      </c>
      <c r="C54" s="6"/>
      <c r="D54" s="6">
        <v>-1</v>
      </c>
      <c r="E54" s="6"/>
    </row>
    <row r="55" spans="1:5" x14ac:dyDescent="0.3">
      <c r="A55" s="6"/>
      <c r="B55" s="6" t="s">
        <v>334</v>
      </c>
      <c r="C55" s="6"/>
      <c r="D55" s="6">
        <v>-1</v>
      </c>
      <c r="E55" s="6"/>
    </row>
    <row r="56" spans="1:5" x14ac:dyDescent="0.3">
      <c r="A56" s="6"/>
      <c r="B56" s="6" t="s">
        <v>520</v>
      </c>
      <c r="C56" s="6"/>
      <c r="D56" s="6">
        <v>-1</v>
      </c>
      <c r="E56" s="6"/>
    </row>
    <row r="57" spans="1:5" x14ac:dyDescent="0.3">
      <c r="A57" s="6"/>
      <c r="B57" s="6" t="s">
        <v>412</v>
      </c>
      <c r="C57" s="6"/>
      <c r="D57" s="6">
        <v>-1</v>
      </c>
      <c r="E57" s="6"/>
    </row>
    <row r="58" spans="1:5" x14ac:dyDescent="0.3">
      <c r="A58" s="6"/>
      <c r="B58" s="6" t="s">
        <v>346</v>
      </c>
      <c r="C58" s="6"/>
      <c r="D58" s="6">
        <v>-1</v>
      </c>
      <c r="E58" s="6"/>
    </row>
    <row r="59" spans="1:5" x14ac:dyDescent="0.3">
      <c r="A59" s="6" t="s">
        <v>2603</v>
      </c>
      <c r="B59" s="6" t="s">
        <v>330</v>
      </c>
      <c r="C59" s="6"/>
      <c r="D59" s="6">
        <v>4</v>
      </c>
      <c r="E59" s="6"/>
    </row>
    <row r="60" spans="1:5" x14ac:dyDescent="0.3">
      <c r="A60" s="6" t="s">
        <v>2989</v>
      </c>
      <c r="B60" s="6" t="s">
        <v>442</v>
      </c>
      <c r="C60" s="6"/>
      <c r="D60" s="6">
        <v>12</v>
      </c>
      <c r="E60" s="6"/>
    </row>
    <row r="61" spans="1:5" x14ac:dyDescent="0.3">
      <c r="A61" s="6"/>
      <c r="B61" s="6" t="s">
        <v>358</v>
      </c>
      <c r="C61" s="6"/>
      <c r="D61" s="6">
        <v>-1</v>
      </c>
      <c r="E61" s="6"/>
    </row>
    <row r="62" spans="1:5" x14ac:dyDescent="0.3">
      <c r="A62" s="6" t="s">
        <v>4194</v>
      </c>
      <c r="B62" s="6" t="s">
        <v>332</v>
      </c>
      <c r="C62" s="6"/>
      <c r="D62" s="6">
        <v>16</v>
      </c>
      <c r="E62" s="6"/>
    </row>
    <row r="63" spans="1:5" x14ac:dyDescent="0.3">
      <c r="A63" s="6"/>
      <c r="B63" s="6" t="s">
        <v>394</v>
      </c>
      <c r="C63" s="6"/>
      <c r="D63" s="6">
        <v>-1</v>
      </c>
      <c r="E63" s="6"/>
    </row>
    <row r="64" spans="1:5" x14ac:dyDescent="0.3">
      <c r="A64" s="6"/>
      <c r="B64" s="6" t="s">
        <v>444</v>
      </c>
      <c r="C64" s="6"/>
      <c r="D64" s="6">
        <v>-1</v>
      </c>
      <c r="E64" s="6"/>
    </row>
    <row r="65" spans="1:5" x14ac:dyDescent="0.3">
      <c r="A65" s="6"/>
      <c r="B65" s="6" t="s">
        <v>362</v>
      </c>
      <c r="C65" s="6"/>
      <c r="D65" s="6">
        <v>-1</v>
      </c>
      <c r="E65" s="6"/>
    </row>
    <row r="66" spans="1:5" x14ac:dyDescent="0.3">
      <c r="A66" s="6"/>
      <c r="B66" s="6" t="s">
        <v>350</v>
      </c>
      <c r="C66" s="6"/>
      <c r="D66" s="6">
        <v>-1</v>
      </c>
      <c r="E66" s="6"/>
    </row>
    <row r="67" spans="1:5" x14ac:dyDescent="0.3">
      <c r="A67" s="6"/>
      <c r="B67" s="6" t="s">
        <v>432</v>
      </c>
      <c r="C67" s="6"/>
      <c r="D67" s="6">
        <v>-1</v>
      </c>
      <c r="E67" s="6"/>
    </row>
    <row r="68" spans="1:5" x14ac:dyDescent="0.3">
      <c r="A68" s="6"/>
      <c r="B68" s="6" t="s">
        <v>326</v>
      </c>
      <c r="C68" s="6"/>
      <c r="D68" s="6">
        <v>-1</v>
      </c>
      <c r="E68" s="6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76099-F71D-4A0F-8F6F-4B5255AFC479}">
  <dimension ref="A1:E66"/>
  <sheetViews>
    <sheetView topLeftCell="A58" zoomScaleNormal="100" workbookViewId="0">
      <selection activeCell="B67" sqref="B67"/>
    </sheetView>
  </sheetViews>
  <sheetFormatPr defaultRowHeight="14.4" x14ac:dyDescent="0.3"/>
  <cols>
    <col min="1" max="1" width="24.44140625" bestFit="1" customWidth="1"/>
    <col min="2" max="2" width="12.21875" bestFit="1" customWidth="1"/>
    <col min="3" max="3" width="19.5546875" bestFit="1" customWidth="1"/>
    <col min="4" max="4" width="22.109375" bestFit="1" customWidth="1"/>
    <col min="5" max="5" width="19.77734375" bestFit="1" customWidth="1"/>
  </cols>
  <sheetData>
    <row r="1" spans="1:5" x14ac:dyDescent="0.3">
      <c r="A1" t="s">
        <v>832</v>
      </c>
      <c r="B1" t="s">
        <v>1</v>
      </c>
      <c r="C1" t="s">
        <v>977</v>
      </c>
      <c r="D1" t="s">
        <v>978</v>
      </c>
      <c r="E1" t="s">
        <v>979</v>
      </c>
    </row>
    <row r="2" spans="1:5" x14ac:dyDescent="0.3">
      <c r="A2" s="6"/>
      <c r="B2" s="6" t="s">
        <v>334</v>
      </c>
      <c r="C2" s="6"/>
      <c r="D2" s="6"/>
      <c r="E2" s="6">
        <v>-1</v>
      </c>
    </row>
    <row r="3" spans="1:5" x14ac:dyDescent="0.3">
      <c r="A3" s="6"/>
      <c r="B3" s="6" t="s">
        <v>334</v>
      </c>
      <c r="C3" s="6"/>
      <c r="D3" s="6"/>
      <c r="E3" s="6">
        <v>-1</v>
      </c>
    </row>
    <row r="4" spans="1:5" x14ac:dyDescent="0.3">
      <c r="A4" s="6" t="s">
        <v>2979</v>
      </c>
      <c r="B4" s="6" t="s">
        <v>402</v>
      </c>
      <c r="C4" s="6"/>
      <c r="D4" s="6"/>
      <c r="E4" s="6">
        <v>5</v>
      </c>
    </row>
    <row r="5" spans="1:5" x14ac:dyDescent="0.3">
      <c r="A5" s="6"/>
      <c r="B5" s="6" t="s">
        <v>402</v>
      </c>
      <c r="C5" s="6"/>
      <c r="D5" s="6"/>
      <c r="E5" s="6">
        <v>-1</v>
      </c>
    </row>
    <row r="6" spans="1:5" x14ac:dyDescent="0.3">
      <c r="A6" s="6" t="s">
        <v>2718</v>
      </c>
      <c r="B6" s="6" t="s">
        <v>328</v>
      </c>
      <c r="C6" s="6"/>
      <c r="D6" s="6"/>
      <c r="E6" s="6">
        <v>22</v>
      </c>
    </row>
    <row r="7" spans="1:5" x14ac:dyDescent="0.3">
      <c r="A7" s="6"/>
      <c r="B7" s="6" t="s">
        <v>328</v>
      </c>
      <c r="C7" s="6"/>
      <c r="D7" s="6"/>
      <c r="E7" s="6">
        <v>-1</v>
      </c>
    </row>
    <row r="8" spans="1:5" x14ac:dyDescent="0.3">
      <c r="A8" s="6" t="s">
        <v>2954</v>
      </c>
      <c r="B8" s="6" t="s">
        <v>412</v>
      </c>
      <c r="C8" s="6">
        <v>2</v>
      </c>
      <c r="D8" s="6"/>
      <c r="E8" s="6">
        <v>4</v>
      </c>
    </row>
    <row r="9" spans="1:5" x14ac:dyDescent="0.3">
      <c r="A9" s="6"/>
      <c r="B9" s="6" t="s">
        <v>412</v>
      </c>
      <c r="C9" s="6"/>
      <c r="D9" s="6"/>
      <c r="E9" s="6">
        <v>-1</v>
      </c>
    </row>
    <row r="10" spans="1:5" x14ac:dyDescent="0.3">
      <c r="A10" s="6"/>
      <c r="B10" s="6" t="s">
        <v>350</v>
      </c>
      <c r="C10" s="6"/>
      <c r="D10" s="6"/>
      <c r="E10" s="6">
        <v>-1</v>
      </c>
    </row>
    <row r="11" spans="1:5" x14ac:dyDescent="0.3">
      <c r="A11" s="6"/>
      <c r="B11" s="6" t="s">
        <v>350</v>
      </c>
      <c r="C11" s="6"/>
      <c r="D11" s="6"/>
      <c r="E11" s="6">
        <v>-1</v>
      </c>
    </row>
    <row r="12" spans="1:5" x14ac:dyDescent="0.3">
      <c r="A12" s="6"/>
      <c r="B12" s="6" t="s">
        <v>394</v>
      </c>
      <c r="C12" s="6"/>
      <c r="D12" s="6"/>
      <c r="E12" s="6">
        <v>-1</v>
      </c>
    </row>
    <row r="13" spans="1:5" x14ac:dyDescent="0.3">
      <c r="A13" s="6"/>
      <c r="B13" s="6" t="s">
        <v>394</v>
      </c>
      <c r="C13" s="6"/>
      <c r="D13" s="6"/>
      <c r="E13" s="6">
        <v>-1</v>
      </c>
    </row>
    <row r="14" spans="1:5" x14ac:dyDescent="0.3">
      <c r="A14" s="6" t="s">
        <v>4145</v>
      </c>
      <c r="B14" s="6" t="s">
        <v>474</v>
      </c>
      <c r="C14" s="6">
        <v>1</v>
      </c>
      <c r="D14" s="6"/>
      <c r="E14" s="6">
        <v>1</v>
      </c>
    </row>
    <row r="15" spans="1:5" x14ac:dyDescent="0.3">
      <c r="A15" s="6"/>
      <c r="B15" s="6" t="s">
        <v>474</v>
      </c>
      <c r="C15" s="6"/>
      <c r="D15" s="6"/>
      <c r="E15" s="6">
        <v>-1</v>
      </c>
    </row>
    <row r="16" spans="1:5" x14ac:dyDescent="0.3">
      <c r="A16" s="6"/>
      <c r="B16" s="6" t="s">
        <v>384</v>
      </c>
      <c r="C16" s="6"/>
      <c r="D16" s="6"/>
      <c r="E16" s="6">
        <v>-1</v>
      </c>
    </row>
    <row r="17" spans="1:5" x14ac:dyDescent="0.3">
      <c r="A17" s="6"/>
      <c r="B17" s="6" t="s">
        <v>384</v>
      </c>
      <c r="C17" s="6"/>
      <c r="D17" s="6"/>
      <c r="E17" s="6">
        <v>-1</v>
      </c>
    </row>
    <row r="18" spans="1:5" x14ac:dyDescent="0.3">
      <c r="A18" s="6"/>
      <c r="B18" s="6" t="s">
        <v>344</v>
      </c>
      <c r="C18" s="6"/>
      <c r="D18" s="6"/>
      <c r="E18" s="6">
        <v>-1</v>
      </c>
    </row>
    <row r="19" spans="1:5" x14ac:dyDescent="0.3">
      <c r="A19" s="6"/>
      <c r="B19" s="6" t="s">
        <v>428</v>
      </c>
      <c r="C19" s="6"/>
      <c r="D19" s="6"/>
      <c r="E19" s="6">
        <v>-1</v>
      </c>
    </row>
    <row r="20" spans="1:5" x14ac:dyDescent="0.3">
      <c r="A20" s="6"/>
      <c r="B20" s="6" t="s">
        <v>362</v>
      </c>
      <c r="C20" s="6"/>
      <c r="D20" s="6"/>
      <c r="E20" s="6">
        <v>-1</v>
      </c>
    </row>
    <row r="21" spans="1:5" x14ac:dyDescent="0.3">
      <c r="A21" s="6" t="s">
        <v>4750</v>
      </c>
      <c r="B21" s="6" t="s">
        <v>356</v>
      </c>
      <c r="C21" s="6">
        <v>27</v>
      </c>
      <c r="D21" s="6"/>
      <c r="E21" s="6">
        <v>26</v>
      </c>
    </row>
    <row r="22" spans="1:5" x14ac:dyDescent="0.3">
      <c r="A22" s="6" t="s">
        <v>4751</v>
      </c>
      <c r="B22" s="6" t="s">
        <v>354</v>
      </c>
      <c r="C22" s="6">
        <v>23</v>
      </c>
      <c r="D22" s="6"/>
      <c r="E22" s="6">
        <v>27</v>
      </c>
    </row>
    <row r="23" spans="1:5" x14ac:dyDescent="0.3">
      <c r="A23" s="6"/>
      <c r="B23" s="6" t="s">
        <v>520</v>
      </c>
      <c r="C23" s="6"/>
      <c r="D23" s="6"/>
      <c r="E23" s="6">
        <v>-1</v>
      </c>
    </row>
    <row r="24" spans="1:5" x14ac:dyDescent="0.3">
      <c r="A24" s="6"/>
      <c r="B24" s="6" t="s">
        <v>326</v>
      </c>
      <c r="C24" s="6"/>
      <c r="D24" s="6"/>
      <c r="E24" s="6">
        <v>-1</v>
      </c>
    </row>
    <row r="25" spans="1:5" x14ac:dyDescent="0.3">
      <c r="A25" s="6" t="s">
        <v>2675</v>
      </c>
      <c r="B25" s="6" t="s">
        <v>382</v>
      </c>
      <c r="C25" s="6">
        <v>19</v>
      </c>
      <c r="D25" s="6"/>
      <c r="E25" s="6">
        <v>21</v>
      </c>
    </row>
    <row r="26" spans="1:5" x14ac:dyDescent="0.3">
      <c r="A26" s="6"/>
      <c r="B26" s="6" t="s">
        <v>334</v>
      </c>
      <c r="C26" s="6">
        <v>-1</v>
      </c>
      <c r="D26" s="6"/>
      <c r="E26" s="6"/>
    </row>
    <row r="27" spans="1:5" x14ac:dyDescent="0.3">
      <c r="A27" s="6"/>
      <c r="B27" s="6" t="s">
        <v>334</v>
      </c>
      <c r="C27" s="6">
        <v>-1</v>
      </c>
      <c r="D27" s="6"/>
      <c r="E27" s="6"/>
    </row>
    <row r="28" spans="1:5" x14ac:dyDescent="0.3">
      <c r="A28" s="6" t="s">
        <v>3209</v>
      </c>
      <c r="B28" s="6" t="s">
        <v>402</v>
      </c>
      <c r="C28" s="6">
        <v>4</v>
      </c>
      <c r="D28" s="6"/>
      <c r="E28" s="6"/>
    </row>
    <row r="29" spans="1:5" x14ac:dyDescent="0.3">
      <c r="A29" s="6"/>
      <c r="B29" s="6" t="s">
        <v>402</v>
      </c>
      <c r="C29" s="6">
        <v>-1</v>
      </c>
      <c r="D29" s="6"/>
      <c r="E29" s="6"/>
    </row>
    <row r="30" spans="1:5" x14ac:dyDescent="0.3">
      <c r="A30" s="6" t="s">
        <v>2720</v>
      </c>
      <c r="B30" s="6" t="s">
        <v>328</v>
      </c>
      <c r="C30" s="6">
        <v>13</v>
      </c>
      <c r="D30" s="6"/>
      <c r="E30" s="6"/>
    </row>
    <row r="31" spans="1:5" x14ac:dyDescent="0.3">
      <c r="A31" s="6"/>
      <c r="B31" s="6" t="s">
        <v>328</v>
      </c>
      <c r="C31" s="6">
        <v>-1</v>
      </c>
      <c r="D31" s="6"/>
      <c r="E31" s="6"/>
    </row>
    <row r="32" spans="1:5" x14ac:dyDescent="0.3">
      <c r="A32" s="6"/>
      <c r="B32" s="6" t="s">
        <v>412</v>
      </c>
      <c r="C32" s="6">
        <v>-1</v>
      </c>
      <c r="D32" s="6"/>
      <c r="E32" s="6"/>
    </row>
    <row r="33" spans="1:5" x14ac:dyDescent="0.3">
      <c r="A33" s="6"/>
      <c r="B33" s="6" t="s">
        <v>350</v>
      </c>
      <c r="C33" s="6">
        <v>-1</v>
      </c>
      <c r="D33" s="6"/>
      <c r="E33" s="6"/>
    </row>
    <row r="34" spans="1:5" x14ac:dyDescent="0.3">
      <c r="A34" s="6"/>
      <c r="B34" s="6" t="s">
        <v>350</v>
      </c>
      <c r="C34" s="6">
        <v>-1</v>
      </c>
      <c r="D34" s="6"/>
      <c r="E34" s="6"/>
    </row>
    <row r="35" spans="1:5" x14ac:dyDescent="0.3">
      <c r="A35" s="6"/>
      <c r="B35" s="6" t="s">
        <v>394</v>
      </c>
      <c r="C35" s="6">
        <v>-1</v>
      </c>
      <c r="D35" s="6"/>
      <c r="E35" s="6"/>
    </row>
    <row r="36" spans="1:5" x14ac:dyDescent="0.3">
      <c r="A36" s="6"/>
      <c r="B36" s="6" t="s">
        <v>394</v>
      </c>
      <c r="C36" s="6">
        <v>-1</v>
      </c>
      <c r="D36" s="6"/>
      <c r="E36" s="6"/>
    </row>
    <row r="37" spans="1:5" x14ac:dyDescent="0.3">
      <c r="A37" s="6"/>
      <c r="B37" s="6" t="s">
        <v>474</v>
      </c>
      <c r="C37" s="6">
        <v>-1</v>
      </c>
      <c r="D37" s="6"/>
      <c r="E37" s="6"/>
    </row>
    <row r="38" spans="1:5" x14ac:dyDescent="0.3">
      <c r="A38" s="6"/>
      <c r="B38" s="6" t="s">
        <v>384</v>
      </c>
      <c r="C38" s="6">
        <v>-1</v>
      </c>
      <c r="D38" s="6"/>
      <c r="E38" s="6"/>
    </row>
    <row r="39" spans="1:5" x14ac:dyDescent="0.3">
      <c r="A39" s="6"/>
      <c r="B39" s="6" t="s">
        <v>384</v>
      </c>
      <c r="C39" s="6">
        <v>-1</v>
      </c>
      <c r="D39" s="6"/>
      <c r="E39" s="6"/>
    </row>
    <row r="40" spans="1:5" x14ac:dyDescent="0.3">
      <c r="A40" s="6"/>
      <c r="B40" s="6" t="s">
        <v>362</v>
      </c>
      <c r="C40" s="6">
        <v>-1</v>
      </c>
      <c r="D40" s="6"/>
      <c r="E40" s="6"/>
    </row>
    <row r="41" spans="1:5" x14ac:dyDescent="0.3">
      <c r="A41" s="6"/>
      <c r="B41" s="6" t="s">
        <v>428</v>
      </c>
      <c r="C41" s="6">
        <v>-1</v>
      </c>
      <c r="D41" s="6"/>
      <c r="E41" s="6"/>
    </row>
    <row r="42" spans="1:5" x14ac:dyDescent="0.3">
      <c r="A42" s="6"/>
      <c r="B42" s="6" t="s">
        <v>344</v>
      </c>
      <c r="C42" s="6">
        <v>-1</v>
      </c>
      <c r="D42" s="6"/>
      <c r="E42" s="6"/>
    </row>
    <row r="43" spans="1:5" x14ac:dyDescent="0.3">
      <c r="A43" s="6"/>
      <c r="B43" s="6" t="s">
        <v>520</v>
      </c>
      <c r="C43" s="6">
        <v>-1</v>
      </c>
      <c r="D43" s="6"/>
      <c r="E43" s="6"/>
    </row>
    <row r="44" spans="1:5" x14ac:dyDescent="0.3">
      <c r="A44" s="6"/>
      <c r="B44" s="6" t="s">
        <v>326</v>
      </c>
      <c r="C44" s="6">
        <v>-1</v>
      </c>
      <c r="D44" s="6"/>
      <c r="E44" s="6"/>
    </row>
    <row r="45" spans="1:5" x14ac:dyDescent="0.3">
      <c r="A45" s="6"/>
      <c r="B45" s="6" t="s">
        <v>474</v>
      </c>
      <c r="C45" s="6"/>
      <c r="D45" s="6">
        <v>-1</v>
      </c>
      <c r="E45" s="6"/>
    </row>
    <row r="46" spans="1:5" x14ac:dyDescent="0.3">
      <c r="A46" s="6"/>
      <c r="B46" s="6" t="s">
        <v>402</v>
      </c>
      <c r="C46" s="6"/>
      <c r="D46" s="6">
        <v>-1</v>
      </c>
      <c r="E46" s="6"/>
    </row>
    <row r="47" spans="1:5" x14ac:dyDescent="0.3">
      <c r="A47" s="6"/>
      <c r="B47" s="6" t="s">
        <v>356</v>
      </c>
      <c r="C47" s="6"/>
      <c r="D47" s="6">
        <v>-1</v>
      </c>
      <c r="E47" s="6"/>
    </row>
    <row r="48" spans="1:5" x14ac:dyDescent="0.3">
      <c r="A48" s="6"/>
      <c r="B48" s="6" t="s">
        <v>354</v>
      </c>
      <c r="C48" s="6"/>
      <c r="D48" s="6">
        <v>-1</v>
      </c>
      <c r="E48" s="6"/>
    </row>
    <row r="49" spans="1:5" x14ac:dyDescent="0.3">
      <c r="A49" s="6" t="s">
        <v>2531</v>
      </c>
      <c r="B49" s="6" t="s">
        <v>384</v>
      </c>
      <c r="C49" s="6"/>
      <c r="D49" s="6">
        <v>9</v>
      </c>
      <c r="E49" s="6"/>
    </row>
    <row r="50" spans="1:5" x14ac:dyDescent="0.3">
      <c r="A50" s="6" t="s">
        <v>2077</v>
      </c>
      <c r="B50" s="6" t="s">
        <v>332</v>
      </c>
      <c r="C50" s="6"/>
      <c r="D50" s="6">
        <v>1</v>
      </c>
      <c r="E50" s="6"/>
    </row>
    <row r="51" spans="1:5" x14ac:dyDescent="0.3">
      <c r="A51" s="6"/>
      <c r="B51" s="6" t="s">
        <v>344</v>
      </c>
      <c r="C51" s="6"/>
      <c r="D51" s="6">
        <v>-1</v>
      </c>
      <c r="E51" s="6"/>
    </row>
    <row r="52" spans="1:5" x14ac:dyDescent="0.3">
      <c r="A52" s="6"/>
      <c r="B52" s="6" t="s">
        <v>334</v>
      </c>
      <c r="C52" s="6"/>
      <c r="D52" s="6">
        <v>-1</v>
      </c>
      <c r="E52" s="6"/>
    </row>
    <row r="53" spans="1:5" x14ac:dyDescent="0.3">
      <c r="A53" s="6"/>
      <c r="B53" s="6" t="s">
        <v>596</v>
      </c>
      <c r="C53" s="6"/>
      <c r="D53" s="6">
        <v>-1</v>
      </c>
      <c r="E53" s="6"/>
    </row>
    <row r="54" spans="1:5" x14ac:dyDescent="0.3">
      <c r="A54" s="6"/>
      <c r="B54" s="6" t="s">
        <v>428</v>
      </c>
      <c r="C54" s="6"/>
      <c r="D54" s="6">
        <v>-1</v>
      </c>
      <c r="E54" s="6"/>
    </row>
    <row r="55" spans="1:5" x14ac:dyDescent="0.3">
      <c r="A55" s="6"/>
      <c r="B55" s="6" t="s">
        <v>414</v>
      </c>
      <c r="C55" s="6"/>
      <c r="D55" s="6">
        <v>-1</v>
      </c>
      <c r="E55" s="6"/>
    </row>
    <row r="56" spans="1:5" x14ac:dyDescent="0.3">
      <c r="A56" s="6" t="s">
        <v>3396</v>
      </c>
      <c r="B56" s="6" t="s">
        <v>394</v>
      </c>
      <c r="C56" s="6"/>
      <c r="D56" s="6">
        <v>2</v>
      </c>
      <c r="E56" s="6"/>
    </row>
    <row r="57" spans="1:5" x14ac:dyDescent="0.3">
      <c r="A57" s="6" t="s">
        <v>1797</v>
      </c>
      <c r="B57" s="6" t="s">
        <v>412</v>
      </c>
      <c r="C57" s="6"/>
      <c r="D57" s="6">
        <v>6</v>
      </c>
      <c r="E57" s="6"/>
    </row>
    <row r="58" spans="1:5" x14ac:dyDescent="0.3">
      <c r="A58" s="6"/>
      <c r="B58" s="6" t="s">
        <v>444</v>
      </c>
      <c r="C58" s="6"/>
      <c r="D58" s="6">
        <v>-1</v>
      </c>
      <c r="E58" s="6"/>
    </row>
    <row r="59" spans="1:5" x14ac:dyDescent="0.3">
      <c r="A59" s="6"/>
      <c r="B59" s="6" t="s">
        <v>520</v>
      </c>
      <c r="C59" s="6"/>
      <c r="D59" s="6">
        <v>-1</v>
      </c>
      <c r="E59" s="6"/>
    </row>
    <row r="60" spans="1:5" x14ac:dyDescent="0.3">
      <c r="A60" s="6" t="s">
        <v>5016</v>
      </c>
      <c r="B60" s="6" t="s">
        <v>364</v>
      </c>
      <c r="C60" s="6"/>
      <c r="D60" s="6">
        <v>8</v>
      </c>
      <c r="E60" s="6"/>
    </row>
    <row r="61" spans="1:5" x14ac:dyDescent="0.3">
      <c r="A61" s="6"/>
      <c r="B61" s="6" t="s">
        <v>346</v>
      </c>
      <c r="C61" s="6"/>
      <c r="D61" s="6">
        <v>-1</v>
      </c>
      <c r="E61" s="6"/>
    </row>
    <row r="62" spans="1:5" x14ac:dyDescent="0.3">
      <c r="A62" s="6" t="s">
        <v>2788</v>
      </c>
      <c r="B62" s="6" t="s">
        <v>620</v>
      </c>
      <c r="C62" s="6"/>
      <c r="D62" s="6">
        <v>11</v>
      </c>
      <c r="E62" s="6"/>
    </row>
    <row r="63" spans="1:5" x14ac:dyDescent="0.3">
      <c r="A63" s="6"/>
      <c r="B63" s="6" t="s">
        <v>328</v>
      </c>
      <c r="C63" s="6"/>
      <c r="D63" s="6">
        <v>-1</v>
      </c>
      <c r="E63" s="6"/>
    </row>
    <row r="64" spans="1:5" x14ac:dyDescent="0.3">
      <c r="A64" s="6"/>
      <c r="B64" s="6" t="s">
        <v>592</v>
      </c>
      <c r="C64" s="6"/>
      <c r="D64" s="6">
        <v>-1</v>
      </c>
      <c r="E64" s="6"/>
    </row>
    <row r="65" spans="1:5" x14ac:dyDescent="0.3">
      <c r="A65" s="6"/>
      <c r="B65" s="6" t="s">
        <v>350</v>
      </c>
      <c r="C65" s="6"/>
      <c r="D65" s="6">
        <v>-1</v>
      </c>
      <c r="E65" s="6"/>
    </row>
    <row r="66" spans="1:5" x14ac:dyDescent="0.3">
      <c r="A66" s="6"/>
      <c r="B66" s="6" t="s">
        <v>326</v>
      </c>
      <c r="C66" s="6"/>
      <c r="D66" s="6">
        <v>-1</v>
      </c>
      <c r="E66" s="6"/>
    </row>
  </sheetData>
  <pageMargins left="0.7" right="0.7" top="0.75" bottom="0.75" header="0.3" footer="0.3"/>
  <tableParts count="1">
    <tablePart r:id="rId1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AB3568-8BB0-4E2B-BD90-55551F1A3D71}">
  <dimension ref="A1:F31"/>
  <sheetViews>
    <sheetView topLeftCell="A22" workbookViewId="0">
      <selection activeCell="B32" sqref="B32"/>
    </sheetView>
  </sheetViews>
  <sheetFormatPr defaultRowHeight="14.4" x14ac:dyDescent="0.3"/>
  <cols>
    <col min="1" max="1" width="36.6640625" bestFit="1" customWidth="1"/>
    <col min="2" max="2" width="14" bestFit="1" customWidth="1"/>
    <col min="3" max="3" width="27.88671875" bestFit="1" customWidth="1"/>
    <col min="4" max="4" width="30.6640625" bestFit="1" customWidth="1"/>
    <col min="5" max="5" width="17" bestFit="1" customWidth="1"/>
    <col min="6" max="6" width="14.77734375" bestFit="1" customWidth="1"/>
  </cols>
  <sheetData>
    <row r="1" spans="1:6" x14ac:dyDescent="0.3">
      <c r="A1" t="s">
        <v>833</v>
      </c>
      <c r="B1" t="s">
        <v>1</v>
      </c>
      <c r="C1" t="s">
        <v>976</v>
      </c>
      <c r="D1" t="s">
        <v>975</v>
      </c>
      <c r="E1" t="s">
        <v>1212</v>
      </c>
      <c r="F1" t="s">
        <v>1213</v>
      </c>
    </row>
    <row r="2" spans="1:6" x14ac:dyDescent="0.3">
      <c r="A2" s="6"/>
      <c r="B2" s="6" t="s">
        <v>414</v>
      </c>
      <c r="C2" s="6">
        <v>-1</v>
      </c>
      <c r="D2" s="6"/>
      <c r="E2" s="6">
        <f>Table84[[#This Row],[Total Athletes]]-(LEN(Table84[[#This Row],[Pair]])-LEN(SUBSTITUTE(Table84[[#This Row],[Pair]],"/","")))-1</f>
        <v>-1</v>
      </c>
      <c r="F2" s="6"/>
    </row>
    <row r="3" spans="1:6" x14ac:dyDescent="0.3">
      <c r="A3" s="6"/>
      <c r="B3" s="6" t="s">
        <v>474</v>
      </c>
      <c r="C3" s="6">
        <v>-1</v>
      </c>
      <c r="D3" s="6"/>
      <c r="E3" s="6">
        <f>Table84[[#This Row],[Total Athletes]]-(LEN(Table84[[#This Row],[Pair]])-LEN(SUBSTITUTE(Table84[[#This Row],[Pair]],"/","")))-1</f>
        <v>-1</v>
      </c>
      <c r="F3" s="6"/>
    </row>
    <row r="4" spans="1:6" x14ac:dyDescent="0.3">
      <c r="A4" s="6" t="s">
        <v>1261</v>
      </c>
      <c r="B4" s="6" t="s">
        <v>354</v>
      </c>
      <c r="C4" s="6">
        <v>12</v>
      </c>
      <c r="D4" s="6"/>
      <c r="E4" s="6">
        <f>Table84[[#This Row],[Total Athletes]]-(LEN(Table84[[#This Row],[Pair]])-LEN(SUBSTITUTE(Table84[[#This Row],[Pair]],"/","")))-1</f>
        <v>1</v>
      </c>
      <c r="F4" s="6">
        <v>2</v>
      </c>
    </row>
    <row r="5" spans="1:6" x14ac:dyDescent="0.3">
      <c r="A5" s="6" t="s">
        <v>2865</v>
      </c>
      <c r="B5" s="6" t="s">
        <v>356</v>
      </c>
      <c r="C5" s="6">
        <v>2</v>
      </c>
      <c r="D5" s="6"/>
      <c r="E5" s="6">
        <f>Table84[[#This Row],[Total Athletes]]-(LEN(Table84[[#This Row],[Pair]])-LEN(SUBSTITUTE(Table84[[#This Row],[Pair]],"/","")))-1</f>
        <v>1</v>
      </c>
      <c r="F5" s="6">
        <v>2</v>
      </c>
    </row>
    <row r="6" spans="1:6" x14ac:dyDescent="0.3">
      <c r="A6" s="6" t="s">
        <v>1680</v>
      </c>
      <c r="B6" s="6" t="s">
        <v>344</v>
      </c>
      <c r="C6" s="6">
        <v>11</v>
      </c>
      <c r="D6" s="6"/>
      <c r="E6" s="6">
        <f>Table84[[#This Row],[Total Athletes]]-(LEN(Table84[[#This Row],[Pair]])-LEN(SUBSTITUTE(Table84[[#This Row],[Pair]],"/","")))-1</f>
        <v>1</v>
      </c>
      <c r="F6" s="6">
        <v>2</v>
      </c>
    </row>
    <row r="7" spans="1:6" x14ac:dyDescent="0.3">
      <c r="A7" s="6" t="s">
        <v>3219</v>
      </c>
      <c r="B7" s="6" t="s">
        <v>402</v>
      </c>
      <c r="C7" s="6">
        <v>9</v>
      </c>
      <c r="D7" s="6"/>
      <c r="E7" s="6">
        <f>Table84[[#This Row],[Total Athletes]]-(LEN(Table84[[#This Row],[Pair]])-LEN(SUBSTITUTE(Table84[[#This Row],[Pair]],"/","")))-1</f>
        <v>1</v>
      </c>
      <c r="F7" s="6">
        <v>2</v>
      </c>
    </row>
    <row r="8" spans="1:6" x14ac:dyDescent="0.3">
      <c r="A8" s="6"/>
      <c r="B8" s="6" t="s">
        <v>428</v>
      </c>
      <c r="C8" s="6">
        <v>-1</v>
      </c>
      <c r="D8" s="6"/>
      <c r="E8" s="6">
        <f>Table84[[#This Row],[Total Athletes]]-(LEN(Table84[[#This Row],[Pair]])-LEN(SUBSTITUTE(Table84[[#This Row],[Pair]],"/","")))-1</f>
        <v>-1</v>
      </c>
      <c r="F8" s="6"/>
    </row>
    <row r="9" spans="1:6" x14ac:dyDescent="0.3">
      <c r="A9" s="6"/>
      <c r="B9" s="6" t="s">
        <v>384</v>
      </c>
      <c r="C9" s="6">
        <v>-1</v>
      </c>
      <c r="D9" s="6"/>
      <c r="E9" s="6">
        <f>Table84[[#This Row],[Total Athletes]]-(LEN(Table84[[#This Row],[Pair]])-LEN(SUBSTITUTE(Table84[[#This Row],[Pair]],"/","")))-1</f>
        <v>-1</v>
      </c>
      <c r="F9" s="6"/>
    </row>
    <row r="10" spans="1:6" x14ac:dyDescent="0.3">
      <c r="A10" s="6"/>
      <c r="B10" s="6" t="s">
        <v>334</v>
      </c>
      <c r="C10" s="6">
        <v>-1</v>
      </c>
      <c r="D10" s="6"/>
      <c r="E10" s="6">
        <f>Table84[[#This Row],[Total Athletes]]-(LEN(Table84[[#This Row],[Pair]])-LEN(SUBSTITUTE(Table84[[#This Row],[Pair]],"/","")))-1</f>
        <v>-1</v>
      </c>
      <c r="F10" s="6"/>
    </row>
    <row r="11" spans="1:6" x14ac:dyDescent="0.3">
      <c r="A11" s="6"/>
      <c r="B11" s="6" t="s">
        <v>520</v>
      </c>
      <c r="C11" s="6">
        <v>-1</v>
      </c>
      <c r="D11" s="6"/>
      <c r="E11" s="6">
        <f>Table84[[#This Row],[Total Athletes]]-(LEN(Table84[[#This Row],[Pair]])-LEN(SUBSTITUTE(Table84[[#This Row],[Pair]],"/","")))-1</f>
        <v>-1</v>
      </c>
      <c r="F11" s="6"/>
    </row>
    <row r="12" spans="1:6" x14ac:dyDescent="0.3">
      <c r="A12" s="6"/>
      <c r="B12" s="6" t="s">
        <v>412</v>
      </c>
      <c r="C12" s="6">
        <v>-1</v>
      </c>
      <c r="D12" s="6"/>
      <c r="E12" s="6">
        <f>Table84[[#This Row],[Total Athletes]]-(LEN(Table84[[#This Row],[Pair]])-LEN(SUBSTITUTE(Table84[[#This Row],[Pair]],"/","")))-1</f>
        <v>-1</v>
      </c>
      <c r="F12" s="6"/>
    </row>
    <row r="13" spans="1:6" x14ac:dyDescent="0.3">
      <c r="A13" s="6" t="s">
        <v>1351</v>
      </c>
      <c r="B13" s="6" t="s">
        <v>346</v>
      </c>
      <c r="C13" s="6">
        <v>1</v>
      </c>
      <c r="D13" s="6"/>
      <c r="E13" s="6">
        <f>Table84[[#This Row],[Total Athletes]]-(LEN(Table84[[#This Row],[Pair]])-LEN(SUBSTITUTE(Table84[[#This Row],[Pair]],"/","")))-1</f>
        <v>1</v>
      </c>
      <c r="F13" s="6">
        <v>2</v>
      </c>
    </row>
    <row r="14" spans="1:6" x14ac:dyDescent="0.3">
      <c r="A14" s="6" t="s">
        <v>2604</v>
      </c>
      <c r="B14" s="6" t="s">
        <v>330</v>
      </c>
      <c r="C14" s="6">
        <v>8</v>
      </c>
      <c r="D14" s="6"/>
      <c r="E14" s="6">
        <f>Table84[[#This Row],[Total Athletes]]-(LEN(Table84[[#This Row],[Pair]])-LEN(SUBSTITUTE(Table84[[#This Row],[Pair]],"/","")))-1</f>
        <v>0</v>
      </c>
      <c r="F14" s="6">
        <v>2</v>
      </c>
    </row>
    <row r="15" spans="1:6" x14ac:dyDescent="0.3">
      <c r="A15" s="6" t="s">
        <v>2989</v>
      </c>
      <c r="B15" s="6" t="s">
        <v>442</v>
      </c>
      <c r="C15" s="6">
        <v>7</v>
      </c>
      <c r="D15" s="6"/>
      <c r="E15" s="6">
        <f>Table84[[#This Row],[Total Athletes]]-(LEN(Table84[[#This Row],[Pair]])-LEN(SUBSTITUTE(Table84[[#This Row],[Pair]],"/","")))-1</f>
        <v>1</v>
      </c>
      <c r="F15" s="6">
        <v>2</v>
      </c>
    </row>
    <row r="16" spans="1:6" x14ac:dyDescent="0.3">
      <c r="A16" s="6"/>
      <c r="B16" s="6" t="s">
        <v>358</v>
      </c>
      <c r="C16" s="6">
        <v>-1</v>
      </c>
      <c r="D16" s="6"/>
      <c r="E16" s="6">
        <f>Table84[[#This Row],[Total Athletes]]-(LEN(Table84[[#This Row],[Pair]])-LEN(SUBSTITUTE(Table84[[#This Row],[Pair]],"/","")))-1</f>
        <v>-1</v>
      </c>
      <c r="F16" s="6"/>
    </row>
    <row r="17" spans="1:6" x14ac:dyDescent="0.3">
      <c r="A17" s="6"/>
      <c r="B17" s="6" t="s">
        <v>474</v>
      </c>
      <c r="C17" s="6"/>
      <c r="D17" s="6">
        <v>-1</v>
      </c>
      <c r="E17" s="6">
        <f>Table84[[#This Row],[Total Athletes]]-(LEN(Table84[[#This Row],[Pair]])-LEN(SUBSTITUTE(Table84[[#This Row],[Pair]],"/","")))-1</f>
        <v>-1</v>
      </c>
      <c r="F17" s="6"/>
    </row>
    <row r="18" spans="1:6" x14ac:dyDescent="0.3">
      <c r="A18" s="6"/>
      <c r="B18" s="6" t="s">
        <v>402</v>
      </c>
      <c r="C18" s="6"/>
      <c r="D18" s="6">
        <v>-1</v>
      </c>
      <c r="E18" s="6">
        <f>Table84[[#This Row],[Total Athletes]]-(LEN(Table84[[#This Row],[Pair]])-LEN(SUBSTITUTE(Table84[[#This Row],[Pair]],"/","")))-1</f>
        <v>-1</v>
      </c>
      <c r="F18" s="6"/>
    </row>
    <row r="19" spans="1:6" x14ac:dyDescent="0.3">
      <c r="A19" s="6"/>
      <c r="B19" s="6" t="s">
        <v>356</v>
      </c>
      <c r="C19" s="6"/>
      <c r="D19" s="6">
        <v>-1</v>
      </c>
      <c r="E19" s="6">
        <f>Table84[[#This Row],[Total Athletes]]-(LEN(Table84[[#This Row],[Pair]])-LEN(SUBSTITUTE(Table84[[#This Row],[Pair]],"/","")))-1</f>
        <v>-1</v>
      </c>
      <c r="F19" s="6"/>
    </row>
    <row r="20" spans="1:6" x14ac:dyDescent="0.3">
      <c r="A20" s="6" t="s">
        <v>1247</v>
      </c>
      <c r="B20" s="6" t="s">
        <v>354</v>
      </c>
      <c r="C20" s="6"/>
      <c r="D20" s="6">
        <v>9</v>
      </c>
      <c r="E20" s="6">
        <f>Table84[[#This Row],[Total Athletes]]-(LEN(Table84[[#This Row],[Pair]])-LEN(SUBSTITUTE(Table84[[#This Row],[Pair]],"/","")))-1</f>
        <v>1</v>
      </c>
      <c r="F20" s="6">
        <v>2</v>
      </c>
    </row>
    <row r="21" spans="1:6" x14ac:dyDescent="0.3">
      <c r="A21" s="6" t="s">
        <v>2531</v>
      </c>
      <c r="B21" s="6" t="s">
        <v>384</v>
      </c>
      <c r="C21" s="6"/>
      <c r="D21" s="6">
        <v>1001</v>
      </c>
      <c r="E21" s="6">
        <f>Table84[[#This Row],[Total Athletes]]-(LEN(Table84[[#This Row],[Pair]])-LEN(SUBSTITUTE(Table84[[#This Row],[Pair]],"/","")))-1</f>
        <v>1</v>
      </c>
      <c r="F21" s="6">
        <v>2</v>
      </c>
    </row>
    <row r="22" spans="1:6" x14ac:dyDescent="0.3">
      <c r="A22" s="6" t="s">
        <v>2078</v>
      </c>
      <c r="B22" s="6" t="s">
        <v>332</v>
      </c>
      <c r="C22" s="6"/>
      <c r="D22" s="6">
        <v>4</v>
      </c>
      <c r="E22" s="6">
        <f>Table84[[#This Row],[Total Athletes]]-(LEN(Table84[[#This Row],[Pair]])-LEN(SUBSTITUTE(Table84[[#This Row],[Pair]],"/","")))-1</f>
        <v>0</v>
      </c>
      <c r="F22" s="6">
        <v>2</v>
      </c>
    </row>
    <row r="23" spans="1:6" x14ac:dyDescent="0.3">
      <c r="A23" s="6" t="s">
        <v>1426</v>
      </c>
      <c r="B23" s="6" t="s">
        <v>344</v>
      </c>
      <c r="C23" s="6"/>
      <c r="D23" s="6">
        <v>5</v>
      </c>
      <c r="E23" s="6">
        <f>Table84[[#This Row],[Total Athletes]]-(LEN(Table84[[#This Row],[Pair]])-LEN(SUBSTITUTE(Table84[[#This Row],[Pair]],"/","")))-1</f>
        <v>1</v>
      </c>
      <c r="F23" s="6">
        <v>2</v>
      </c>
    </row>
    <row r="24" spans="1:6" x14ac:dyDescent="0.3">
      <c r="A24" s="6"/>
      <c r="B24" s="6" t="s">
        <v>334</v>
      </c>
      <c r="C24" s="6"/>
      <c r="D24" s="6">
        <v>-1</v>
      </c>
      <c r="E24" s="6">
        <f>Table84[[#This Row],[Total Athletes]]-(LEN(Table84[[#This Row],[Pair]])-LEN(SUBSTITUTE(Table84[[#This Row],[Pair]],"/","")))-1</f>
        <v>-1</v>
      </c>
      <c r="F24" s="6"/>
    </row>
    <row r="25" spans="1:6" x14ac:dyDescent="0.3">
      <c r="A25" s="6"/>
      <c r="B25" s="6" t="s">
        <v>596</v>
      </c>
      <c r="C25" s="6"/>
      <c r="D25" s="6">
        <v>-1</v>
      </c>
      <c r="E25" s="6">
        <f>Table84[[#This Row],[Total Athletes]]-(LEN(Table84[[#This Row],[Pair]])-LEN(SUBSTITUTE(Table84[[#This Row],[Pair]],"/","")))-1</f>
        <v>-1</v>
      </c>
      <c r="F25" s="6"/>
    </row>
    <row r="26" spans="1:6" x14ac:dyDescent="0.3">
      <c r="A26" s="6" t="s">
        <v>4084</v>
      </c>
      <c r="B26" s="6" t="s">
        <v>428</v>
      </c>
      <c r="C26" s="6"/>
      <c r="D26" s="6">
        <v>12</v>
      </c>
      <c r="E26" s="6">
        <f>Table84[[#This Row],[Total Athletes]]-(LEN(Table84[[#This Row],[Pair]])-LEN(SUBSTITUTE(Table84[[#This Row],[Pair]],"/","")))-1</f>
        <v>1</v>
      </c>
      <c r="F26" s="6">
        <v>2</v>
      </c>
    </row>
    <row r="27" spans="1:6" x14ac:dyDescent="0.3">
      <c r="A27" s="6"/>
      <c r="B27" s="6" t="s">
        <v>414</v>
      </c>
      <c r="C27" s="6"/>
      <c r="D27" s="6">
        <v>-1</v>
      </c>
      <c r="E27" s="6">
        <f>Table84[[#This Row],[Total Athletes]]-(LEN(Table84[[#This Row],[Pair]])-LEN(SUBSTITUTE(Table84[[#This Row],[Pair]],"/","")))-1</f>
        <v>-1</v>
      </c>
      <c r="F27" s="6"/>
    </row>
    <row r="28" spans="1:6" x14ac:dyDescent="0.3">
      <c r="A28" s="6" t="s">
        <v>3397</v>
      </c>
      <c r="B28" s="6" t="s">
        <v>394</v>
      </c>
      <c r="C28" s="6"/>
      <c r="D28" s="6">
        <v>7</v>
      </c>
      <c r="E28" s="6">
        <f>Table84[[#This Row],[Total Athletes]]-(LEN(Table84[[#This Row],[Pair]])-LEN(SUBSTITUTE(Table84[[#This Row],[Pair]],"/","")))-1</f>
        <v>0</v>
      </c>
      <c r="F28" s="6">
        <v>2</v>
      </c>
    </row>
    <row r="29" spans="1:6" x14ac:dyDescent="0.3">
      <c r="A29" s="6" t="s">
        <v>1797</v>
      </c>
      <c r="B29" s="6" t="s">
        <v>412</v>
      </c>
      <c r="C29" s="6"/>
      <c r="D29" s="6">
        <v>3</v>
      </c>
      <c r="E29" s="6">
        <f>Table84[[#This Row],[Total Athletes]]-(LEN(Table84[[#This Row],[Pair]])-LEN(SUBSTITUTE(Table84[[#This Row],[Pair]],"/","")))-1</f>
        <v>1</v>
      </c>
      <c r="F29" s="6">
        <v>2</v>
      </c>
    </row>
    <row r="30" spans="1:6" x14ac:dyDescent="0.3">
      <c r="A30" s="6" t="s">
        <v>3463</v>
      </c>
      <c r="B30" s="6" t="s">
        <v>444</v>
      </c>
      <c r="C30" s="6"/>
      <c r="D30" s="6">
        <v>14</v>
      </c>
      <c r="E30" s="6">
        <f>Table84[[#This Row],[Total Athletes]]-(LEN(Table84[[#This Row],[Pair]])-LEN(SUBSTITUTE(Table84[[#This Row],[Pair]],"/","")))-1</f>
        <v>1</v>
      </c>
      <c r="F30" s="6">
        <v>2</v>
      </c>
    </row>
    <row r="31" spans="1:6" x14ac:dyDescent="0.3">
      <c r="A31" s="6"/>
      <c r="B31" s="6" t="s">
        <v>520</v>
      </c>
      <c r="C31" s="6"/>
      <c r="D31" s="6">
        <v>-1</v>
      </c>
      <c r="E31" s="6">
        <f>Table84[[#This Row],[Total Athletes]]-(LEN(Table84[[#This Row],[Pair]])-LEN(SUBSTITUTE(Table84[[#This Row],[Pair]],"/","")))-1</f>
        <v>-1</v>
      </c>
      <c r="F31" s="6"/>
    </row>
  </sheetData>
  <pageMargins left="0.7" right="0.7" top="0.75" bottom="0.75" header="0.3" footer="0.3"/>
  <tableParts count="1">
    <tablePart r:id="rId1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EA06BD-8EB5-41D1-AE55-3052D2A59F92}">
  <dimension ref="A1:H37"/>
  <sheetViews>
    <sheetView topLeftCell="A31" workbookViewId="0">
      <selection activeCell="B38" sqref="B38"/>
    </sheetView>
  </sheetViews>
  <sheetFormatPr defaultRowHeight="14.4" x14ac:dyDescent="0.3"/>
  <cols>
    <col min="1" max="1" width="73.5546875" bestFit="1" customWidth="1"/>
    <col min="2" max="2" width="12.21875" bestFit="1" customWidth="1"/>
    <col min="3" max="3" width="26.33203125" bestFit="1" customWidth="1"/>
    <col min="4" max="4" width="29.21875" bestFit="1" customWidth="1"/>
    <col min="5" max="5" width="25.44140625" bestFit="1" customWidth="1"/>
    <col min="6" max="6" width="28.33203125" bestFit="1" customWidth="1"/>
    <col min="7" max="7" width="17" bestFit="1" customWidth="1"/>
    <col min="8" max="8" width="14.77734375" bestFit="1" customWidth="1"/>
  </cols>
  <sheetData>
    <row r="1" spans="1:8" x14ac:dyDescent="0.3">
      <c r="A1" t="s">
        <v>834</v>
      </c>
      <c r="B1" t="s">
        <v>1</v>
      </c>
      <c r="C1" t="s">
        <v>4541</v>
      </c>
      <c r="D1" t="s">
        <v>4542</v>
      </c>
      <c r="E1" t="s">
        <v>4543</v>
      </c>
      <c r="F1" t="s">
        <v>4544</v>
      </c>
      <c r="G1" t="s">
        <v>1212</v>
      </c>
      <c r="H1" t="s">
        <v>1213</v>
      </c>
    </row>
    <row r="2" spans="1:8" x14ac:dyDescent="0.3">
      <c r="A2" s="6" t="s">
        <v>4692</v>
      </c>
      <c r="B2" s="6" t="s">
        <v>354</v>
      </c>
      <c r="C2" s="6"/>
      <c r="D2" s="6"/>
      <c r="E2" s="6">
        <v>3</v>
      </c>
      <c r="F2" s="6"/>
      <c r="G2" s="6">
        <f>Table85[[#This Row],[Total Athletes]]-(LEN(Table85[[#This Row],[Team]])-LEN(SUBSTITUTE(Table85[[#This Row],[Team]],"/","")))-1</f>
        <v>0</v>
      </c>
      <c r="H2" s="6">
        <v>3</v>
      </c>
    </row>
    <row r="3" spans="1:8" x14ac:dyDescent="0.3">
      <c r="A3" s="6" t="s">
        <v>2947</v>
      </c>
      <c r="B3" s="6" t="s">
        <v>412</v>
      </c>
      <c r="C3" s="6"/>
      <c r="D3" s="6"/>
      <c r="E3" s="6">
        <v>1</v>
      </c>
      <c r="F3" s="6"/>
      <c r="G3" s="6">
        <f>Table85[[#This Row],[Total Athletes]]-(LEN(Table85[[#This Row],[Team]])-LEN(SUBSTITUTE(Table85[[#This Row],[Team]],"/","")))-1</f>
        <v>2</v>
      </c>
      <c r="H3" s="6">
        <v>3</v>
      </c>
    </row>
    <row r="4" spans="1:8" x14ac:dyDescent="0.3">
      <c r="A4" s="6" t="s">
        <v>3127</v>
      </c>
      <c r="B4" s="6" t="s">
        <v>428</v>
      </c>
      <c r="C4" s="6"/>
      <c r="D4" s="6"/>
      <c r="E4" s="6">
        <v>5</v>
      </c>
      <c r="F4" s="6"/>
      <c r="G4" s="6">
        <f>Table85[[#This Row],[Total Athletes]]-(LEN(Table85[[#This Row],[Team]])-LEN(SUBSTITUTE(Table85[[#This Row],[Team]],"/","")))-1</f>
        <v>2</v>
      </c>
      <c r="H4" s="6">
        <v>3</v>
      </c>
    </row>
    <row r="5" spans="1:8" x14ac:dyDescent="0.3">
      <c r="A5" s="6"/>
      <c r="B5" s="6" t="s">
        <v>344</v>
      </c>
      <c r="C5" s="6"/>
      <c r="D5" s="6"/>
      <c r="E5" s="6">
        <v>-1</v>
      </c>
      <c r="F5" s="6"/>
      <c r="G5" s="6">
        <f>Table85[[#This Row],[Total Athletes]]-(LEN(Table85[[#This Row],[Team]])-LEN(SUBSTITUTE(Table85[[#This Row],[Team]],"/","")))-1</f>
        <v>-1</v>
      </c>
      <c r="H5" s="6"/>
    </row>
    <row r="6" spans="1:8" x14ac:dyDescent="0.3">
      <c r="A6" s="6"/>
      <c r="B6" s="6" t="s">
        <v>402</v>
      </c>
      <c r="C6" s="6"/>
      <c r="D6" s="6"/>
      <c r="E6" s="6">
        <v>-1</v>
      </c>
      <c r="F6" s="6"/>
      <c r="G6" s="6">
        <f>Table85[[#This Row],[Total Athletes]]-(LEN(Table85[[#This Row],[Team]])-LEN(SUBSTITUTE(Table85[[#This Row],[Team]],"/","")))-1</f>
        <v>-1</v>
      </c>
      <c r="H6" s="6"/>
    </row>
    <row r="7" spans="1:8" x14ac:dyDescent="0.3">
      <c r="A7" s="6" t="s">
        <v>2725</v>
      </c>
      <c r="B7" s="6" t="s">
        <v>328</v>
      </c>
      <c r="C7" s="6"/>
      <c r="D7" s="6"/>
      <c r="E7" s="6">
        <v>7</v>
      </c>
      <c r="F7" s="6"/>
      <c r="G7" s="6">
        <f>Table85[[#This Row],[Total Athletes]]-(LEN(Table85[[#This Row],[Team]])-LEN(SUBSTITUTE(Table85[[#This Row],[Team]],"/","")))-1</f>
        <v>2</v>
      </c>
      <c r="H7" s="6">
        <v>3</v>
      </c>
    </row>
    <row r="8" spans="1:8" x14ac:dyDescent="0.3">
      <c r="A8" s="6"/>
      <c r="B8" s="6" t="s">
        <v>334</v>
      </c>
      <c r="C8" s="6"/>
      <c r="D8" s="6"/>
      <c r="E8" s="6">
        <v>-1</v>
      </c>
      <c r="F8" s="6"/>
      <c r="G8" s="6">
        <f>Table85[[#This Row],[Total Athletes]]-(LEN(Table85[[#This Row],[Team]])-LEN(SUBSTITUTE(Table85[[#This Row],[Team]],"/","")))-1</f>
        <v>-1</v>
      </c>
      <c r="H8" s="6"/>
    </row>
    <row r="9" spans="1:8" x14ac:dyDescent="0.3">
      <c r="A9" s="6"/>
      <c r="B9" s="6" t="s">
        <v>384</v>
      </c>
      <c r="C9" s="6"/>
      <c r="D9" s="6"/>
      <c r="E9" s="6">
        <v>-1</v>
      </c>
      <c r="F9" s="6"/>
      <c r="G9" s="6">
        <f>Table85[[#This Row],[Total Athletes]]-(LEN(Table85[[#This Row],[Team]])-LEN(SUBSTITUTE(Table85[[#This Row],[Team]],"/","")))-1</f>
        <v>-1</v>
      </c>
      <c r="H9" s="6"/>
    </row>
    <row r="10" spans="1:8" x14ac:dyDescent="0.3">
      <c r="A10" s="6" t="s">
        <v>2223</v>
      </c>
      <c r="B10" s="6" t="s">
        <v>414</v>
      </c>
      <c r="C10" s="6">
        <v>4</v>
      </c>
      <c r="D10" s="6"/>
      <c r="E10" s="6"/>
      <c r="F10" s="6"/>
      <c r="G10" s="6">
        <f>Table85[[#This Row],[Total Athletes]]-(LEN(Table85[[#This Row],[Team]])-LEN(SUBSTITUTE(Table85[[#This Row],[Team]],"/","")))-1</f>
        <v>2</v>
      </c>
      <c r="H10" s="6">
        <v>4</v>
      </c>
    </row>
    <row r="11" spans="1:8" x14ac:dyDescent="0.3">
      <c r="A11" s="6" t="s">
        <v>2754</v>
      </c>
      <c r="B11" s="6" t="s">
        <v>474</v>
      </c>
      <c r="C11" s="6">
        <v>5</v>
      </c>
      <c r="D11" s="6"/>
      <c r="E11" s="6"/>
      <c r="F11" s="6"/>
      <c r="G11" s="6">
        <f>Table85[[#This Row],[Total Athletes]]-(LEN(Table85[[#This Row],[Team]])-LEN(SUBSTITUTE(Table85[[#This Row],[Team]],"/","")))-1</f>
        <v>3</v>
      </c>
      <c r="H11" s="6">
        <v>4</v>
      </c>
    </row>
    <row r="12" spans="1:8" x14ac:dyDescent="0.3">
      <c r="A12" s="6" t="s">
        <v>1262</v>
      </c>
      <c r="B12" s="6" t="s">
        <v>354</v>
      </c>
      <c r="C12" s="6">
        <v>1</v>
      </c>
      <c r="D12" s="6"/>
      <c r="E12" s="6"/>
      <c r="F12" s="6"/>
      <c r="G12" s="6">
        <f>Table85[[#This Row],[Total Athletes]]-(LEN(Table85[[#This Row],[Team]])-LEN(SUBSTITUTE(Table85[[#This Row],[Team]],"/","")))-1</f>
        <v>2</v>
      </c>
      <c r="H12" s="6">
        <v>4</v>
      </c>
    </row>
    <row r="13" spans="1:8" x14ac:dyDescent="0.3">
      <c r="A13" s="6" t="s">
        <v>4962</v>
      </c>
      <c r="B13" s="6" t="s">
        <v>356</v>
      </c>
      <c r="C13" s="6">
        <v>3</v>
      </c>
      <c r="D13" s="6"/>
      <c r="E13" s="6"/>
      <c r="F13" s="6"/>
      <c r="G13" s="6">
        <f>Table85[[#This Row],[Total Athletes]]-(LEN(Table85[[#This Row],[Team]])-LEN(SUBSTITUTE(Table85[[#This Row],[Team]],"/","")))-1</f>
        <v>2</v>
      </c>
      <c r="H13" s="6">
        <v>4</v>
      </c>
    </row>
    <row r="14" spans="1:8" x14ac:dyDescent="0.3">
      <c r="A14" s="6" t="s">
        <v>1680</v>
      </c>
      <c r="B14" s="6" t="s">
        <v>344</v>
      </c>
      <c r="C14" s="6">
        <v>6</v>
      </c>
      <c r="D14" s="6"/>
      <c r="E14" s="6"/>
      <c r="F14" s="6"/>
      <c r="G14" s="6">
        <f>Table85[[#This Row],[Total Athletes]]-(LEN(Table85[[#This Row],[Team]])-LEN(SUBSTITUTE(Table85[[#This Row],[Team]],"/","")))-1</f>
        <v>3</v>
      </c>
      <c r="H14" s="6">
        <v>4</v>
      </c>
    </row>
    <row r="15" spans="1:8" x14ac:dyDescent="0.3">
      <c r="A15" s="6" t="s">
        <v>3220</v>
      </c>
      <c r="B15" s="6" t="s">
        <v>402</v>
      </c>
      <c r="C15" s="6">
        <v>2</v>
      </c>
      <c r="D15" s="6"/>
      <c r="E15" s="6"/>
      <c r="F15" s="6"/>
      <c r="G15" s="6">
        <f>Table85[[#This Row],[Total Athletes]]-(LEN(Table85[[#This Row],[Team]])-LEN(SUBSTITUTE(Table85[[#This Row],[Team]],"/","")))-1</f>
        <v>2</v>
      </c>
      <c r="H15" s="6">
        <v>5</v>
      </c>
    </row>
    <row r="16" spans="1:8" x14ac:dyDescent="0.3">
      <c r="A16" s="6" t="s">
        <v>1528</v>
      </c>
      <c r="B16" s="6" t="s">
        <v>428</v>
      </c>
      <c r="C16" s="6">
        <v>10</v>
      </c>
      <c r="D16" s="6"/>
      <c r="E16" s="6"/>
      <c r="F16" s="6"/>
      <c r="G16" s="6">
        <f>Table85[[#This Row],[Total Athletes]]-(LEN(Table85[[#This Row],[Team]])-LEN(SUBSTITUTE(Table85[[#This Row],[Team]],"/","")))-1</f>
        <v>3</v>
      </c>
      <c r="H16" s="6">
        <v>4</v>
      </c>
    </row>
    <row r="17" spans="1:8" x14ac:dyDescent="0.3">
      <c r="A17" s="6"/>
      <c r="B17" s="6" t="s">
        <v>384</v>
      </c>
      <c r="C17" s="6">
        <v>-1</v>
      </c>
      <c r="D17" s="6"/>
      <c r="E17" s="6"/>
      <c r="F17" s="6"/>
      <c r="G17" s="6">
        <f>Table85[[#This Row],[Total Athletes]]-(LEN(Table85[[#This Row],[Team]])-LEN(SUBSTITUTE(Table85[[#This Row],[Team]],"/","")))-1</f>
        <v>-1</v>
      </c>
      <c r="H17" s="6"/>
    </row>
    <row r="18" spans="1:8" x14ac:dyDescent="0.3">
      <c r="A18" s="6"/>
      <c r="B18" s="6" t="s">
        <v>334</v>
      </c>
      <c r="C18" s="6">
        <v>-1</v>
      </c>
      <c r="D18" s="6"/>
      <c r="E18" s="6"/>
      <c r="F18" s="6"/>
      <c r="G18" s="6">
        <f>Table85[[#This Row],[Total Athletes]]-(LEN(Table85[[#This Row],[Team]])-LEN(SUBSTITUTE(Table85[[#This Row],[Team]],"/","")))-1</f>
        <v>-1</v>
      </c>
      <c r="H18" s="6"/>
    </row>
    <row r="19" spans="1:8" x14ac:dyDescent="0.3">
      <c r="A19" s="6"/>
      <c r="B19" s="6" t="s">
        <v>520</v>
      </c>
      <c r="C19" s="6">
        <v>-1</v>
      </c>
      <c r="D19" s="6"/>
      <c r="E19" s="6"/>
      <c r="F19" s="6"/>
      <c r="G19" s="6">
        <f>Table85[[#This Row],[Total Athletes]]-(LEN(Table85[[#This Row],[Team]])-LEN(SUBSTITUTE(Table85[[#This Row],[Team]],"/","")))-1</f>
        <v>-1</v>
      </c>
      <c r="H19" s="6"/>
    </row>
    <row r="20" spans="1:8" x14ac:dyDescent="0.3">
      <c r="A20" s="6"/>
      <c r="B20" s="6" t="s">
        <v>334</v>
      </c>
      <c r="C20" s="6"/>
      <c r="D20" s="6"/>
      <c r="E20" s="6"/>
      <c r="F20" s="6">
        <v>-1</v>
      </c>
      <c r="G20" s="6">
        <f>Table85[[#This Row],[Total Athletes]]-(LEN(Table85[[#This Row],[Team]])-LEN(SUBSTITUTE(Table85[[#This Row],[Team]],"/","")))-1</f>
        <v>-1</v>
      </c>
      <c r="H20" s="6"/>
    </row>
    <row r="21" spans="1:8" x14ac:dyDescent="0.3">
      <c r="A21" s="6" t="s">
        <v>3210</v>
      </c>
      <c r="B21" s="6" t="s">
        <v>402</v>
      </c>
      <c r="C21" s="6"/>
      <c r="D21" s="6"/>
      <c r="E21" s="6"/>
      <c r="F21" s="6">
        <v>1</v>
      </c>
      <c r="G21" s="6">
        <f>Table85[[#This Row],[Total Athletes]]-(LEN(Table85[[#This Row],[Team]])-LEN(SUBSTITUTE(Table85[[#This Row],[Team]],"/","")))-1</f>
        <v>1</v>
      </c>
      <c r="H21" s="6">
        <v>3</v>
      </c>
    </row>
    <row r="22" spans="1:8" x14ac:dyDescent="0.3">
      <c r="A22" s="6" t="s">
        <v>2721</v>
      </c>
      <c r="B22" s="6" t="s">
        <v>328</v>
      </c>
      <c r="C22" s="6"/>
      <c r="D22" s="6"/>
      <c r="E22" s="6"/>
      <c r="F22" s="6">
        <v>6</v>
      </c>
      <c r="G22" s="6">
        <f>Table85[[#This Row],[Total Athletes]]-(LEN(Table85[[#This Row],[Team]])-LEN(SUBSTITUTE(Table85[[#This Row],[Team]],"/","")))-1</f>
        <v>1</v>
      </c>
      <c r="H22" s="6">
        <v>3</v>
      </c>
    </row>
    <row r="23" spans="1:8" x14ac:dyDescent="0.3">
      <c r="A23" s="6" t="s">
        <v>2954</v>
      </c>
      <c r="B23" s="6" t="s">
        <v>412</v>
      </c>
      <c r="C23" s="6"/>
      <c r="D23" s="6"/>
      <c r="E23" s="6"/>
      <c r="F23" s="6">
        <v>4</v>
      </c>
      <c r="G23" s="6">
        <f>Table85[[#This Row],[Total Athletes]]-(LEN(Table85[[#This Row],[Team]])-LEN(SUBSTITUTE(Table85[[#This Row],[Team]],"/","")))-1</f>
        <v>2</v>
      </c>
      <c r="H23" s="6">
        <v>3</v>
      </c>
    </row>
    <row r="24" spans="1:8" x14ac:dyDescent="0.3">
      <c r="A24" s="6"/>
      <c r="B24" s="6" t="s">
        <v>350</v>
      </c>
      <c r="C24" s="6"/>
      <c r="D24" s="6"/>
      <c r="E24" s="6"/>
      <c r="F24" s="6">
        <v>-1</v>
      </c>
      <c r="G24" s="6">
        <f>Table85[[#This Row],[Total Athletes]]-(LEN(Table85[[#This Row],[Team]])-LEN(SUBSTITUTE(Table85[[#This Row],[Team]],"/","")))-1</f>
        <v>-1</v>
      </c>
      <c r="H24" s="6"/>
    </row>
    <row r="25" spans="1:8" x14ac:dyDescent="0.3">
      <c r="A25" s="6"/>
      <c r="B25" s="6" t="s">
        <v>394</v>
      </c>
      <c r="C25" s="6"/>
      <c r="D25" s="6"/>
      <c r="E25" s="6"/>
      <c r="F25" s="6">
        <v>-1</v>
      </c>
      <c r="G25" s="6">
        <f>Table85[[#This Row],[Total Athletes]]-(LEN(Table85[[#This Row],[Team]])-LEN(SUBSTITUTE(Table85[[#This Row],[Team]],"/","")))-1</f>
        <v>-1</v>
      </c>
      <c r="H25" s="6"/>
    </row>
    <row r="26" spans="1:8" x14ac:dyDescent="0.3">
      <c r="A26" s="6" t="s">
        <v>4145</v>
      </c>
      <c r="B26" s="6" t="s">
        <v>474</v>
      </c>
      <c r="C26" s="6"/>
      <c r="D26" s="6"/>
      <c r="E26" s="6"/>
      <c r="F26" s="6">
        <v>2</v>
      </c>
      <c r="G26" s="6">
        <f>Table85[[#This Row],[Total Athletes]]-(LEN(Table85[[#This Row],[Team]])-LEN(SUBSTITUTE(Table85[[#This Row],[Team]],"/","")))-1</f>
        <v>2</v>
      </c>
      <c r="H26" s="6">
        <v>3</v>
      </c>
    </row>
    <row r="27" spans="1:8" x14ac:dyDescent="0.3">
      <c r="A27" s="6" t="s">
        <v>2177</v>
      </c>
      <c r="B27" s="6" t="s">
        <v>384</v>
      </c>
      <c r="C27" s="6"/>
      <c r="D27" s="6"/>
      <c r="E27" s="6"/>
      <c r="F27" s="6">
        <v>8</v>
      </c>
      <c r="G27" s="6">
        <f>Table85[[#This Row],[Total Athletes]]-(LEN(Table85[[#This Row],[Team]])-LEN(SUBSTITUTE(Table85[[#This Row],[Team]],"/","")))-1</f>
        <v>2</v>
      </c>
      <c r="H27" s="6">
        <v>3</v>
      </c>
    </row>
    <row r="28" spans="1:8" x14ac:dyDescent="0.3">
      <c r="A28" s="6"/>
      <c r="B28" s="6" t="s">
        <v>474</v>
      </c>
      <c r="C28" s="6"/>
      <c r="D28" s="6">
        <v>-1</v>
      </c>
      <c r="E28" s="6"/>
      <c r="F28" s="6"/>
      <c r="G28" s="6">
        <f>Table85[[#This Row],[Total Athletes]]-(LEN(Table85[[#This Row],[Team]])-LEN(SUBSTITUTE(Table85[[#This Row],[Team]],"/","")))-1</f>
        <v>-1</v>
      </c>
      <c r="H28" s="6"/>
    </row>
    <row r="29" spans="1:8" x14ac:dyDescent="0.3">
      <c r="A29" s="6"/>
      <c r="B29" s="6" t="s">
        <v>402</v>
      </c>
      <c r="C29" s="6"/>
      <c r="D29" s="6">
        <v>-1</v>
      </c>
      <c r="E29" s="6"/>
      <c r="F29" s="6"/>
      <c r="G29" s="6">
        <f>Table85[[#This Row],[Total Athletes]]-(LEN(Table85[[#This Row],[Team]])-LEN(SUBSTITUTE(Table85[[#This Row],[Team]],"/","")))-1</f>
        <v>-1</v>
      </c>
      <c r="H29" s="6"/>
    </row>
    <row r="30" spans="1:8" x14ac:dyDescent="0.3">
      <c r="A30" s="6"/>
      <c r="B30" s="6" t="s">
        <v>356</v>
      </c>
      <c r="C30" s="6"/>
      <c r="D30" s="6">
        <v>-1</v>
      </c>
      <c r="E30" s="6"/>
      <c r="F30" s="6"/>
      <c r="G30" s="6">
        <f>Table85[[#This Row],[Total Athletes]]-(LEN(Table85[[#This Row],[Team]])-LEN(SUBSTITUTE(Table85[[#This Row],[Team]],"/","")))-1</f>
        <v>-1</v>
      </c>
      <c r="H30" s="6"/>
    </row>
    <row r="31" spans="1:8" x14ac:dyDescent="0.3">
      <c r="A31" s="6" t="s">
        <v>3647</v>
      </c>
      <c r="B31" s="6" t="s">
        <v>354</v>
      </c>
      <c r="C31" s="6"/>
      <c r="D31" s="6">
        <v>7</v>
      </c>
      <c r="E31" s="6"/>
      <c r="F31" s="6"/>
      <c r="G31" s="6">
        <f>Table85[[#This Row],[Total Athletes]]-(LEN(Table85[[#This Row],[Team]])-LEN(SUBSTITUTE(Table85[[#This Row],[Team]],"/","")))-1</f>
        <v>1</v>
      </c>
      <c r="H31" s="6">
        <v>5</v>
      </c>
    </row>
    <row r="32" spans="1:8" x14ac:dyDescent="0.3">
      <c r="A32" s="6" t="s">
        <v>2585</v>
      </c>
      <c r="B32" s="6" t="s">
        <v>384</v>
      </c>
      <c r="C32" s="6"/>
      <c r="D32" s="6">
        <v>8</v>
      </c>
      <c r="E32" s="6"/>
      <c r="F32" s="6"/>
      <c r="G32" s="6">
        <f>Table85[[#This Row],[Total Athletes]]-(LEN(Table85[[#This Row],[Team]])-LEN(SUBSTITUTE(Table85[[#This Row],[Team]],"/","")))-1</f>
        <v>1</v>
      </c>
      <c r="H32" s="6">
        <v>4</v>
      </c>
    </row>
    <row r="33" spans="1:8" x14ac:dyDescent="0.3">
      <c r="A33" s="6" t="s">
        <v>3700</v>
      </c>
      <c r="B33" s="6" t="s">
        <v>332</v>
      </c>
      <c r="C33" s="6"/>
      <c r="D33" s="6">
        <v>1</v>
      </c>
      <c r="E33" s="6"/>
      <c r="F33" s="6"/>
      <c r="G33" s="6">
        <f>Table85[[#This Row],[Total Athletes]]-(LEN(Table85[[#This Row],[Team]])-LEN(SUBSTITUTE(Table85[[#This Row],[Team]],"/","")))-1</f>
        <v>1</v>
      </c>
      <c r="H33" s="6">
        <v>4</v>
      </c>
    </row>
    <row r="34" spans="1:8" x14ac:dyDescent="0.3">
      <c r="A34" s="6" t="s">
        <v>2831</v>
      </c>
      <c r="B34" s="6" t="s">
        <v>344</v>
      </c>
      <c r="C34" s="6"/>
      <c r="D34" s="6">
        <v>5</v>
      </c>
      <c r="E34" s="6"/>
      <c r="F34" s="6"/>
      <c r="G34" s="6">
        <f>Table85[[#This Row],[Total Athletes]]-(LEN(Table85[[#This Row],[Team]])-LEN(SUBSTITUTE(Table85[[#This Row],[Team]],"/","")))-1</f>
        <v>3</v>
      </c>
      <c r="H34" s="6">
        <v>5</v>
      </c>
    </row>
    <row r="35" spans="1:8" x14ac:dyDescent="0.3">
      <c r="A35" s="6" t="s">
        <v>3904</v>
      </c>
      <c r="B35" s="6" t="s">
        <v>334</v>
      </c>
      <c r="C35" s="6"/>
      <c r="D35" s="6">
        <v>6</v>
      </c>
      <c r="E35" s="6"/>
      <c r="F35" s="6"/>
      <c r="G35" s="6">
        <f>Table85[[#This Row],[Total Athletes]]-(LEN(Table85[[#This Row],[Team]])-LEN(SUBSTITUTE(Table85[[#This Row],[Team]],"/","")))-1</f>
        <v>4</v>
      </c>
      <c r="H35" s="6">
        <v>5</v>
      </c>
    </row>
    <row r="36" spans="1:8" x14ac:dyDescent="0.3">
      <c r="A36" s="6" t="s">
        <v>1549</v>
      </c>
      <c r="B36" s="6" t="s">
        <v>596</v>
      </c>
      <c r="C36" s="6"/>
      <c r="D36" s="6">
        <v>9</v>
      </c>
      <c r="E36" s="6"/>
      <c r="F36" s="6"/>
      <c r="G36" s="6">
        <f>Table85[[#This Row],[Total Athletes]]-(LEN(Table85[[#This Row],[Team]])-LEN(SUBSTITUTE(Table85[[#This Row],[Team]],"/","")))-1</f>
        <v>3</v>
      </c>
      <c r="H36" s="6">
        <v>4</v>
      </c>
    </row>
    <row r="37" spans="1:8" x14ac:dyDescent="0.3">
      <c r="A37" s="6" t="s">
        <v>4085</v>
      </c>
      <c r="B37" s="6" t="s">
        <v>428</v>
      </c>
      <c r="C37" s="6"/>
      <c r="D37" s="6">
        <v>10</v>
      </c>
      <c r="E37" s="6"/>
      <c r="F37" s="6"/>
      <c r="G37" s="6">
        <f>Table85[[#This Row],[Total Athletes]]-(LEN(Table85[[#This Row],[Team]])-LEN(SUBSTITUTE(Table85[[#This Row],[Team]],"/","")))-1</f>
        <v>2</v>
      </c>
      <c r="H37" s="6">
        <v>4</v>
      </c>
    </row>
  </sheetData>
  <pageMargins left="0.7" right="0.7" top="0.75" bottom="0.75" header="0.3" footer="0.3"/>
  <tableParts count="1">
    <tablePart r:id="rId1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F2E425-3E32-4070-87AF-9F35C6174848}">
  <dimension ref="A1:D52"/>
  <sheetViews>
    <sheetView topLeftCell="A49" workbookViewId="0">
      <selection activeCell="B53" sqref="B53"/>
    </sheetView>
  </sheetViews>
  <sheetFormatPr defaultRowHeight="14.4" x14ac:dyDescent="0.3"/>
  <cols>
    <col min="1" max="1" width="22.33203125" bestFit="1" customWidth="1"/>
    <col min="2" max="2" width="17.33203125" bestFit="1" customWidth="1"/>
    <col min="3" max="3" width="25.21875" bestFit="1" customWidth="1"/>
    <col min="4" max="4" width="22.109375" bestFit="1" customWidth="1"/>
  </cols>
  <sheetData>
    <row r="1" spans="1:4" x14ac:dyDescent="0.3">
      <c r="A1" t="s">
        <v>832</v>
      </c>
      <c r="B1" t="s">
        <v>1</v>
      </c>
      <c r="C1" t="s">
        <v>1173</v>
      </c>
      <c r="D1" t="s">
        <v>1174</v>
      </c>
    </row>
    <row r="2" spans="1:4" x14ac:dyDescent="0.3">
      <c r="A2" s="6"/>
      <c r="B2" s="6" t="s">
        <v>334</v>
      </c>
      <c r="C2" s="6"/>
      <c r="D2" s="6">
        <v>-1</v>
      </c>
    </row>
    <row r="3" spans="1:4" x14ac:dyDescent="0.3">
      <c r="A3" s="6"/>
      <c r="B3" s="6" t="s">
        <v>328</v>
      </c>
      <c r="C3" s="6">
        <v>-1</v>
      </c>
      <c r="D3" s="6"/>
    </row>
    <row r="4" spans="1:4" x14ac:dyDescent="0.3">
      <c r="A4" s="6" t="s">
        <v>2119</v>
      </c>
      <c r="B4" s="6" t="s">
        <v>328</v>
      </c>
      <c r="C4" s="6">
        <v>2</v>
      </c>
      <c r="D4" s="6"/>
    </row>
    <row r="5" spans="1:4" x14ac:dyDescent="0.3">
      <c r="A5" s="6"/>
      <c r="B5" s="6" t="s">
        <v>362</v>
      </c>
      <c r="C5" s="6">
        <v>-1</v>
      </c>
      <c r="D5" s="6"/>
    </row>
    <row r="6" spans="1:4" x14ac:dyDescent="0.3">
      <c r="A6" s="6"/>
      <c r="B6" s="6" t="s">
        <v>334</v>
      </c>
      <c r="C6" s="6">
        <v>-1</v>
      </c>
      <c r="D6" s="6"/>
    </row>
    <row r="7" spans="1:4" x14ac:dyDescent="0.3">
      <c r="A7" s="6"/>
      <c r="B7" s="6" t="s">
        <v>334</v>
      </c>
      <c r="C7" s="6">
        <v>-1</v>
      </c>
      <c r="D7" s="6"/>
    </row>
    <row r="8" spans="1:4" x14ac:dyDescent="0.3">
      <c r="A8" s="6"/>
      <c r="B8" s="6" t="s">
        <v>402</v>
      </c>
      <c r="C8" s="6">
        <v>-1</v>
      </c>
      <c r="D8" s="6"/>
    </row>
    <row r="9" spans="1:4" x14ac:dyDescent="0.3">
      <c r="A9" s="6"/>
      <c r="B9" s="6" t="s">
        <v>356</v>
      </c>
      <c r="C9" s="6">
        <v>-1</v>
      </c>
      <c r="D9" s="6"/>
    </row>
    <row r="10" spans="1:4" x14ac:dyDescent="0.3">
      <c r="A10" s="6" t="s">
        <v>3224</v>
      </c>
      <c r="B10" s="6" t="s">
        <v>356</v>
      </c>
      <c r="C10" s="6">
        <v>22</v>
      </c>
      <c r="D10" s="6"/>
    </row>
    <row r="11" spans="1:4" x14ac:dyDescent="0.3">
      <c r="A11" s="6"/>
      <c r="B11" s="6" t="s">
        <v>350</v>
      </c>
      <c r="C11" s="6">
        <v>-1</v>
      </c>
      <c r="D11" s="6"/>
    </row>
    <row r="12" spans="1:4" x14ac:dyDescent="0.3">
      <c r="A12" s="6"/>
      <c r="B12" s="6" t="s">
        <v>350</v>
      </c>
      <c r="C12" s="6">
        <v>-1</v>
      </c>
      <c r="D12" s="6"/>
    </row>
    <row r="13" spans="1:4" x14ac:dyDescent="0.3">
      <c r="A13" s="6"/>
      <c r="B13" s="6" t="s">
        <v>332</v>
      </c>
      <c r="C13" s="6">
        <v>-1</v>
      </c>
      <c r="D13" s="6"/>
    </row>
    <row r="14" spans="1:4" x14ac:dyDescent="0.3">
      <c r="A14" s="6"/>
      <c r="B14" s="6" t="s">
        <v>332</v>
      </c>
      <c r="C14" s="6">
        <v>-1</v>
      </c>
      <c r="D14" s="6"/>
    </row>
    <row r="15" spans="1:4" x14ac:dyDescent="0.3">
      <c r="A15" s="6"/>
      <c r="B15" s="6" t="s">
        <v>354</v>
      </c>
      <c r="C15" s="6"/>
      <c r="D15" s="6">
        <v>-1</v>
      </c>
    </row>
    <row r="16" spans="1:4" x14ac:dyDescent="0.3">
      <c r="A16" s="6"/>
      <c r="B16" s="6" t="s">
        <v>384</v>
      </c>
      <c r="C16" s="6"/>
      <c r="D16" s="6">
        <v>-1</v>
      </c>
    </row>
    <row r="17" spans="1:4" x14ac:dyDescent="0.3">
      <c r="A17" s="6"/>
      <c r="B17" s="6" t="s">
        <v>328</v>
      </c>
      <c r="C17" s="6"/>
      <c r="D17" s="6">
        <v>-1</v>
      </c>
    </row>
    <row r="18" spans="1:4" x14ac:dyDescent="0.3">
      <c r="A18" s="6"/>
      <c r="B18" s="6" t="s">
        <v>328</v>
      </c>
      <c r="C18" s="6"/>
      <c r="D18" s="6">
        <v>-1</v>
      </c>
    </row>
    <row r="19" spans="1:4" x14ac:dyDescent="0.3">
      <c r="A19" s="6" t="s">
        <v>1490</v>
      </c>
      <c r="B19" s="6" t="s">
        <v>402</v>
      </c>
      <c r="C19" s="6"/>
      <c r="D19" s="6">
        <v>9</v>
      </c>
    </row>
    <row r="20" spans="1:4" x14ac:dyDescent="0.3">
      <c r="A20" s="6" t="s">
        <v>1521</v>
      </c>
      <c r="B20" s="6" t="s">
        <v>402</v>
      </c>
      <c r="C20" s="6"/>
      <c r="D20" s="6">
        <v>3</v>
      </c>
    </row>
    <row r="21" spans="1:4" x14ac:dyDescent="0.3">
      <c r="A21" s="6"/>
      <c r="B21" s="6" t="s">
        <v>428</v>
      </c>
      <c r="C21" s="6"/>
      <c r="D21" s="6">
        <v>-1</v>
      </c>
    </row>
    <row r="22" spans="1:4" x14ac:dyDescent="0.3">
      <c r="A22" s="6"/>
      <c r="B22" s="6" t="s">
        <v>382</v>
      </c>
      <c r="C22" s="6"/>
      <c r="D22" s="6">
        <v>-1</v>
      </c>
    </row>
    <row r="23" spans="1:4" x14ac:dyDescent="0.3">
      <c r="A23" s="6"/>
      <c r="B23" s="6" t="s">
        <v>350</v>
      </c>
      <c r="C23" s="6"/>
      <c r="D23" s="6">
        <v>-1</v>
      </c>
    </row>
    <row r="24" spans="1:4" x14ac:dyDescent="0.3">
      <c r="A24" s="6"/>
      <c r="B24" s="6" t="s">
        <v>700</v>
      </c>
      <c r="C24" s="6"/>
      <c r="D24" s="6">
        <v>-1</v>
      </c>
    </row>
    <row r="25" spans="1:4" x14ac:dyDescent="0.3">
      <c r="A25" s="6" t="s">
        <v>2970</v>
      </c>
      <c r="B25" s="6" t="s">
        <v>726</v>
      </c>
      <c r="C25" s="6"/>
      <c r="D25" s="6">
        <v>8</v>
      </c>
    </row>
    <row r="26" spans="1:4" x14ac:dyDescent="0.3">
      <c r="A26" s="6"/>
      <c r="B26" s="6" t="s">
        <v>354</v>
      </c>
      <c r="C26" s="6">
        <v>-1</v>
      </c>
      <c r="D26" s="6"/>
    </row>
    <row r="27" spans="1:4" x14ac:dyDescent="0.3">
      <c r="A27" s="6" t="s">
        <v>3631</v>
      </c>
      <c r="B27" s="6" t="s">
        <v>354</v>
      </c>
      <c r="C27" s="6"/>
      <c r="D27" s="6">
        <v>16</v>
      </c>
    </row>
    <row r="28" spans="1:4" x14ac:dyDescent="0.3">
      <c r="A28" s="6"/>
      <c r="B28" s="6" t="s">
        <v>326</v>
      </c>
      <c r="C28" s="6">
        <v>-1</v>
      </c>
      <c r="D28" s="6"/>
    </row>
    <row r="29" spans="1:4" x14ac:dyDescent="0.3">
      <c r="A29" s="6"/>
      <c r="B29" s="6" t="s">
        <v>326</v>
      </c>
      <c r="C29" s="6"/>
      <c r="D29" s="6">
        <v>-1</v>
      </c>
    </row>
    <row r="30" spans="1:4" x14ac:dyDescent="0.3">
      <c r="A30" s="6"/>
      <c r="B30" s="6" t="s">
        <v>362</v>
      </c>
      <c r="C30" s="6">
        <v>-1</v>
      </c>
      <c r="D30" s="6"/>
    </row>
    <row r="31" spans="1:4" x14ac:dyDescent="0.3">
      <c r="A31" s="6"/>
      <c r="B31" s="6" t="s">
        <v>344</v>
      </c>
      <c r="C31" s="6">
        <v>-1</v>
      </c>
      <c r="D31" s="6"/>
    </row>
    <row r="32" spans="1:4" x14ac:dyDescent="0.3">
      <c r="A32" s="6" t="s">
        <v>3750</v>
      </c>
      <c r="B32" s="6" t="s">
        <v>344</v>
      </c>
      <c r="C32" s="6">
        <v>16</v>
      </c>
      <c r="D32" s="6"/>
    </row>
    <row r="33" spans="1:4" x14ac:dyDescent="0.3">
      <c r="A33" s="6"/>
      <c r="B33" s="6" t="s">
        <v>402</v>
      </c>
      <c r="C33" s="6">
        <v>-1</v>
      </c>
      <c r="D33" s="6"/>
    </row>
    <row r="34" spans="1:4" x14ac:dyDescent="0.3">
      <c r="A34" s="6"/>
      <c r="B34" s="6" t="s">
        <v>428</v>
      </c>
      <c r="C34" s="6">
        <v>-1</v>
      </c>
      <c r="D34" s="6"/>
    </row>
    <row r="35" spans="1:4" x14ac:dyDescent="0.3">
      <c r="A35" s="6"/>
      <c r="B35" s="6" t="s">
        <v>700</v>
      </c>
      <c r="C35" s="6">
        <v>-1</v>
      </c>
      <c r="D35" s="6"/>
    </row>
    <row r="36" spans="1:4" x14ac:dyDescent="0.3">
      <c r="A36" s="6" t="s">
        <v>2194</v>
      </c>
      <c r="B36" s="6" t="s">
        <v>384</v>
      </c>
      <c r="C36" s="6"/>
      <c r="D36" s="6">
        <v>7</v>
      </c>
    </row>
    <row r="37" spans="1:4" x14ac:dyDescent="0.3">
      <c r="A37" s="6" t="s">
        <v>3862</v>
      </c>
      <c r="B37" s="6" t="s">
        <v>350</v>
      </c>
      <c r="C37" s="6"/>
      <c r="D37" s="6">
        <v>9</v>
      </c>
    </row>
    <row r="38" spans="1:4" x14ac:dyDescent="0.3">
      <c r="A38" s="6"/>
      <c r="B38" s="6" t="s">
        <v>394</v>
      </c>
      <c r="C38" s="6"/>
      <c r="D38" s="6">
        <v>-1</v>
      </c>
    </row>
    <row r="39" spans="1:4" x14ac:dyDescent="0.3">
      <c r="A39" s="6"/>
      <c r="B39" s="6" t="s">
        <v>332</v>
      </c>
      <c r="C39" s="6"/>
      <c r="D39" s="6">
        <v>-1</v>
      </c>
    </row>
    <row r="40" spans="1:4" x14ac:dyDescent="0.3">
      <c r="A40" s="6"/>
      <c r="B40" s="6" t="s">
        <v>482</v>
      </c>
      <c r="C40" s="6"/>
      <c r="D40" s="6">
        <v>-1</v>
      </c>
    </row>
    <row r="41" spans="1:4" x14ac:dyDescent="0.3">
      <c r="A41" s="6"/>
      <c r="B41" s="6" t="s">
        <v>374</v>
      </c>
      <c r="C41" s="6">
        <v>-1</v>
      </c>
      <c r="D41" s="6"/>
    </row>
    <row r="42" spans="1:4" x14ac:dyDescent="0.3">
      <c r="A42" s="6" t="s">
        <v>3204</v>
      </c>
      <c r="B42" s="6" t="s">
        <v>600</v>
      </c>
      <c r="C42" s="6">
        <v>13</v>
      </c>
      <c r="D42" s="6"/>
    </row>
    <row r="43" spans="1:4" x14ac:dyDescent="0.3">
      <c r="A43" s="6"/>
      <c r="B43" s="6" t="s">
        <v>700</v>
      </c>
      <c r="C43" s="6">
        <v>-1</v>
      </c>
      <c r="D43" s="6"/>
    </row>
    <row r="44" spans="1:4" x14ac:dyDescent="0.3">
      <c r="A44" s="6" t="s">
        <v>3211</v>
      </c>
      <c r="B44" s="6" t="s">
        <v>596</v>
      </c>
      <c r="C44" s="6">
        <v>21</v>
      </c>
      <c r="D44" s="6"/>
    </row>
    <row r="45" spans="1:4" x14ac:dyDescent="0.3">
      <c r="A45" s="6" t="s">
        <v>1587</v>
      </c>
      <c r="B45" s="6" t="s">
        <v>374</v>
      </c>
      <c r="C45" s="6">
        <v>23</v>
      </c>
      <c r="D45" s="6"/>
    </row>
    <row r="46" spans="1:4" x14ac:dyDescent="0.3">
      <c r="A46" s="6"/>
      <c r="B46" s="6" t="s">
        <v>362</v>
      </c>
      <c r="C46" s="6"/>
      <c r="D46" s="6">
        <v>-1</v>
      </c>
    </row>
    <row r="47" spans="1:4" x14ac:dyDescent="0.3">
      <c r="A47" s="6"/>
      <c r="B47" s="6" t="s">
        <v>658</v>
      </c>
      <c r="C47" s="6"/>
      <c r="D47" s="6">
        <v>-1</v>
      </c>
    </row>
    <row r="48" spans="1:4" x14ac:dyDescent="0.3">
      <c r="A48" s="6"/>
      <c r="B48" s="6" t="s">
        <v>356</v>
      </c>
      <c r="C48" s="6"/>
      <c r="D48" s="6">
        <v>-1</v>
      </c>
    </row>
    <row r="49" spans="1:4" x14ac:dyDescent="0.3">
      <c r="A49" s="6"/>
      <c r="B49" s="6" t="s">
        <v>356</v>
      </c>
      <c r="C49" s="6"/>
      <c r="D49" s="6">
        <v>-1</v>
      </c>
    </row>
    <row r="50" spans="1:4" x14ac:dyDescent="0.3">
      <c r="A50" s="6"/>
      <c r="B50" s="6" t="s">
        <v>358</v>
      </c>
      <c r="C50" s="6"/>
      <c r="D50" s="6">
        <v>-1</v>
      </c>
    </row>
    <row r="51" spans="1:4" x14ac:dyDescent="0.3">
      <c r="A51" s="6"/>
      <c r="B51" s="6" t="s">
        <v>700</v>
      </c>
      <c r="C51" s="6"/>
      <c r="D51" s="6">
        <v>-1</v>
      </c>
    </row>
    <row r="52" spans="1:4" x14ac:dyDescent="0.3">
      <c r="A52" s="6" t="s">
        <v>2029</v>
      </c>
      <c r="B52" s="6" t="s">
        <v>332</v>
      </c>
      <c r="C52" s="6"/>
      <c r="D52" s="6">
        <v>17</v>
      </c>
    </row>
  </sheetData>
  <pageMargins left="0.7" right="0.7" top="0.75" bottom="0.75" header="0.3" footer="0.3"/>
  <tableParts count="1">
    <tablePart r:id="rId1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1520A-5CF2-449D-A075-F327FB387078}">
  <dimension ref="A1:D57"/>
  <sheetViews>
    <sheetView topLeftCell="A49" workbookViewId="0">
      <selection activeCell="B58" sqref="B58"/>
    </sheetView>
  </sheetViews>
  <sheetFormatPr defaultRowHeight="14.4" x14ac:dyDescent="0.3"/>
  <cols>
    <col min="1" max="1" width="22.33203125" bestFit="1" customWidth="1"/>
    <col min="2" max="2" width="17.33203125" bestFit="1" customWidth="1"/>
    <col min="3" max="3" width="25.21875" bestFit="1" customWidth="1"/>
    <col min="4" max="4" width="22.109375" bestFit="1" customWidth="1"/>
  </cols>
  <sheetData>
    <row r="1" spans="1:4" x14ac:dyDescent="0.3">
      <c r="A1" t="s">
        <v>832</v>
      </c>
      <c r="B1" t="s">
        <v>1</v>
      </c>
      <c r="C1" t="s">
        <v>1173</v>
      </c>
      <c r="D1" t="s">
        <v>1174</v>
      </c>
    </row>
    <row r="2" spans="1:4" x14ac:dyDescent="0.3">
      <c r="A2" s="6" t="s">
        <v>1510</v>
      </c>
      <c r="B2" s="6" t="s">
        <v>402</v>
      </c>
      <c r="C2" s="6"/>
      <c r="D2" s="6">
        <v>6</v>
      </c>
    </row>
    <row r="3" spans="1:4" x14ac:dyDescent="0.3">
      <c r="A3" s="6" t="s">
        <v>2404</v>
      </c>
      <c r="B3" s="6" t="s">
        <v>354</v>
      </c>
      <c r="C3" s="6">
        <v>2</v>
      </c>
      <c r="D3" s="6"/>
    </row>
    <row r="4" spans="1:4" x14ac:dyDescent="0.3">
      <c r="A4" s="6" t="s">
        <v>2149</v>
      </c>
      <c r="B4" s="6" t="s">
        <v>384</v>
      </c>
      <c r="C4" s="6">
        <v>22</v>
      </c>
      <c r="D4" s="6"/>
    </row>
    <row r="5" spans="1:4" x14ac:dyDescent="0.3">
      <c r="A5" s="6" t="s">
        <v>2114</v>
      </c>
      <c r="B5" s="6" t="s">
        <v>328</v>
      </c>
      <c r="C5" s="6">
        <v>3</v>
      </c>
      <c r="D5" s="6"/>
    </row>
    <row r="6" spans="1:4" x14ac:dyDescent="0.3">
      <c r="A6" s="6" t="s">
        <v>3353</v>
      </c>
      <c r="B6" s="6" t="s">
        <v>328</v>
      </c>
      <c r="C6" s="6">
        <v>1</v>
      </c>
      <c r="D6" s="6"/>
    </row>
    <row r="7" spans="1:4" x14ac:dyDescent="0.3">
      <c r="A7" s="6"/>
      <c r="B7" s="6" t="s">
        <v>402</v>
      </c>
      <c r="C7" s="6">
        <v>-1</v>
      </c>
      <c r="D7" s="6"/>
    </row>
    <row r="8" spans="1:4" x14ac:dyDescent="0.3">
      <c r="A8" s="6"/>
      <c r="B8" s="6" t="s">
        <v>356</v>
      </c>
      <c r="C8" s="6">
        <v>-1</v>
      </c>
      <c r="D8" s="6"/>
    </row>
    <row r="9" spans="1:4" x14ac:dyDescent="0.3">
      <c r="A9" s="6"/>
      <c r="B9" s="6" t="s">
        <v>356</v>
      </c>
      <c r="C9" s="6">
        <v>-1</v>
      </c>
      <c r="D9" s="6"/>
    </row>
    <row r="10" spans="1:4" x14ac:dyDescent="0.3">
      <c r="A10" s="6" t="s">
        <v>2494</v>
      </c>
      <c r="B10" s="6" t="s">
        <v>428</v>
      </c>
      <c r="C10" s="6">
        <v>21</v>
      </c>
      <c r="D10" s="6"/>
    </row>
    <row r="11" spans="1:4" x14ac:dyDescent="0.3">
      <c r="A11" s="6"/>
      <c r="B11" s="6" t="s">
        <v>422</v>
      </c>
      <c r="C11" s="6">
        <v>-1</v>
      </c>
      <c r="D11" s="6"/>
    </row>
    <row r="12" spans="1:4" x14ac:dyDescent="0.3">
      <c r="A12" s="6"/>
      <c r="B12" s="6" t="s">
        <v>338</v>
      </c>
      <c r="C12" s="6">
        <v>-1</v>
      </c>
      <c r="D12" s="6"/>
    </row>
    <row r="13" spans="1:4" x14ac:dyDescent="0.3">
      <c r="A13" s="6"/>
      <c r="B13" s="6" t="s">
        <v>332</v>
      </c>
      <c r="C13" s="6">
        <v>-1</v>
      </c>
      <c r="D13" s="6"/>
    </row>
    <row r="14" spans="1:4" x14ac:dyDescent="0.3">
      <c r="A14" s="6"/>
      <c r="B14" s="6" t="s">
        <v>332</v>
      </c>
      <c r="C14" s="6">
        <v>-1</v>
      </c>
      <c r="D14" s="6"/>
    </row>
    <row r="15" spans="1:4" x14ac:dyDescent="0.3">
      <c r="A15" s="6"/>
      <c r="B15" s="6" t="s">
        <v>336</v>
      </c>
      <c r="C15" s="6"/>
      <c r="D15" s="6">
        <v>-1</v>
      </c>
    </row>
    <row r="16" spans="1:4" x14ac:dyDescent="0.3">
      <c r="A16" s="6" t="s">
        <v>2171</v>
      </c>
      <c r="B16" s="6" t="s">
        <v>384</v>
      </c>
      <c r="C16" s="6"/>
      <c r="D16" s="6">
        <v>4</v>
      </c>
    </row>
    <row r="17" spans="1:4" x14ac:dyDescent="0.3">
      <c r="A17" s="6"/>
      <c r="B17" s="6" t="s">
        <v>328</v>
      </c>
      <c r="C17" s="6"/>
      <c r="D17" s="6">
        <v>-1</v>
      </c>
    </row>
    <row r="18" spans="1:4" x14ac:dyDescent="0.3">
      <c r="A18" s="6"/>
      <c r="B18" s="6" t="s">
        <v>328</v>
      </c>
      <c r="C18" s="6"/>
      <c r="D18" s="6">
        <v>-1</v>
      </c>
    </row>
    <row r="19" spans="1:4" x14ac:dyDescent="0.3">
      <c r="A19" s="6"/>
      <c r="B19" s="6" t="s">
        <v>334</v>
      </c>
      <c r="C19" s="6"/>
      <c r="D19" s="6">
        <v>-1</v>
      </c>
    </row>
    <row r="20" spans="1:4" x14ac:dyDescent="0.3">
      <c r="A20" s="6"/>
      <c r="B20" s="6" t="s">
        <v>334</v>
      </c>
      <c r="C20" s="6"/>
      <c r="D20" s="6">
        <v>-1</v>
      </c>
    </row>
    <row r="21" spans="1:4" x14ac:dyDescent="0.3">
      <c r="A21" s="6" t="s">
        <v>3215</v>
      </c>
      <c r="B21" s="6" t="s">
        <v>402</v>
      </c>
      <c r="C21" s="6"/>
      <c r="D21" s="6">
        <v>13</v>
      </c>
    </row>
    <row r="22" spans="1:4" x14ac:dyDescent="0.3">
      <c r="A22" s="6"/>
      <c r="B22" s="6" t="s">
        <v>428</v>
      </c>
      <c r="C22" s="6"/>
      <c r="D22" s="6">
        <v>-1</v>
      </c>
    </row>
    <row r="23" spans="1:4" x14ac:dyDescent="0.3">
      <c r="A23" s="6"/>
      <c r="B23" s="6" t="s">
        <v>350</v>
      </c>
      <c r="C23" s="6"/>
      <c r="D23" s="6">
        <v>-1</v>
      </c>
    </row>
    <row r="24" spans="1:4" x14ac:dyDescent="0.3">
      <c r="A24" s="6"/>
      <c r="B24" s="6" t="s">
        <v>350</v>
      </c>
      <c r="C24" s="6"/>
      <c r="D24" s="6">
        <v>-1</v>
      </c>
    </row>
    <row r="25" spans="1:4" x14ac:dyDescent="0.3">
      <c r="A25" s="6" t="s">
        <v>3984</v>
      </c>
      <c r="B25" s="6" t="s">
        <v>330</v>
      </c>
      <c r="C25" s="6"/>
      <c r="D25" s="6">
        <v>14</v>
      </c>
    </row>
    <row r="26" spans="1:4" x14ac:dyDescent="0.3">
      <c r="A26" s="6"/>
      <c r="B26" s="6" t="s">
        <v>332</v>
      </c>
      <c r="C26" s="6"/>
      <c r="D26" s="6">
        <v>-1</v>
      </c>
    </row>
    <row r="27" spans="1:4" x14ac:dyDescent="0.3">
      <c r="A27" s="6"/>
      <c r="B27" s="6" t="s">
        <v>354</v>
      </c>
      <c r="C27" s="6">
        <v>-1</v>
      </c>
      <c r="D27" s="6"/>
    </row>
    <row r="28" spans="1:4" x14ac:dyDescent="0.3">
      <c r="A28" s="6" t="s">
        <v>1645</v>
      </c>
      <c r="B28" s="6" t="s">
        <v>354</v>
      </c>
      <c r="C28" s="6"/>
      <c r="D28" s="6">
        <v>7</v>
      </c>
    </row>
    <row r="29" spans="1:4" x14ac:dyDescent="0.3">
      <c r="A29" s="6" t="s">
        <v>4404</v>
      </c>
      <c r="B29" s="6" t="s">
        <v>326</v>
      </c>
      <c r="C29" s="6">
        <v>24</v>
      </c>
      <c r="D29" s="6"/>
    </row>
    <row r="30" spans="1:4" x14ac:dyDescent="0.3">
      <c r="A30" s="6" t="s">
        <v>4440</v>
      </c>
      <c r="B30" s="6" t="s">
        <v>326</v>
      </c>
      <c r="C30" s="6"/>
      <c r="D30" s="6">
        <v>28</v>
      </c>
    </row>
    <row r="31" spans="1:4" x14ac:dyDescent="0.3">
      <c r="A31" s="6"/>
      <c r="B31" s="6" t="s">
        <v>334</v>
      </c>
      <c r="C31" s="6">
        <v>-1</v>
      </c>
      <c r="D31" s="6"/>
    </row>
    <row r="32" spans="1:4" x14ac:dyDescent="0.3">
      <c r="A32" s="6" t="s">
        <v>1677</v>
      </c>
      <c r="B32" s="6" t="s">
        <v>402</v>
      </c>
      <c r="C32" s="6">
        <v>10</v>
      </c>
      <c r="D32" s="6"/>
    </row>
    <row r="33" spans="1:4" x14ac:dyDescent="0.3">
      <c r="A33" s="6"/>
      <c r="B33" s="6" t="s">
        <v>428</v>
      </c>
      <c r="C33" s="6">
        <v>-1</v>
      </c>
      <c r="D33" s="6"/>
    </row>
    <row r="34" spans="1:4" x14ac:dyDescent="0.3">
      <c r="A34" s="6"/>
      <c r="B34" s="6" t="s">
        <v>350</v>
      </c>
      <c r="C34" s="6">
        <v>-1</v>
      </c>
      <c r="D34" s="6"/>
    </row>
    <row r="35" spans="1:4" x14ac:dyDescent="0.3">
      <c r="A35" s="6"/>
      <c r="B35" s="6" t="s">
        <v>700</v>
      </c>
      <c r="C35" s="6">
        <v>-1</v>
      </c>
      <c r="D35" s="6"/>
    </row>
    <row r="36" spans="1:4" x14ac:dyDescent="0.3">
      <c r="A36" s="6"/>
      <c r="B36" s="6" t="s">
        <v>726</v>
      </c>
      <c r="C36" s="6">
        <v>-1</v>
      </c>
      <c r="D36" s="6"/>
    </row>
    <row r="37" spans="1:4" x14ac:dyDescent="0.3">
      <c r="A37" s="6" t="s">
        <v>2477</v>
      </c>
      <c r="B37" s="6" t="s">
        <v>354</v>
      </c>
      <c r="C37" s="6"/>
      <c r="D37" s="6">
        <v>11</v>
      </c>
    </row>
    <row r="38" spans="1:4" x14ac:dyDescent="0.3">
      <c r="A38" s="6"/>
      <c r="B38" s="6" t="s">
        <v>356</v>
      </c>
      <c r="C38" s="6"/>
      <c r="D38" s="6">
        <v>-1</v>
      </c>
    </row>
    <row r="39" spans="1:4" x14ac:dyDescent="0.3">
      <c r="A39" s="6"/>
      <c r="B39" s="6" t="s">
        <v>412</v>
      </c>
      <c r="C39" s="6"/>
      <c r="D39" s="6">
        <v>-1</v>
      </c>
    </row>
    <row r="40" spans="1:4" x14ac:dyDescent="0.3">
      <c r="A40" s="6"/>
      <c r="B40" s="6" t="s">
        <v>658</v>
      </c>
      <c r="C40" s="6"/>
      <c r="D40" s="6">
        <v>-1</v>
      </c>
    </row>
    <row r="41" spans="1:4" x14ac:dyDescent="0.3">
      <c r="A41" s="6"/>
      <c r="B41" s="6" t="s">
        <v>334</v>
      </c>
      <c r="C41" s="6">
        <v>-1</v>
      </c>
      <c r="D41" s="6"/>
    </row>
    <row r="42" spans="1:4" x14ac:dyDescent="0.3">
      <c r="A42" s="6"/>
      <c r="B42" s="6" t="s">
        <v>470</v>
      </c>
      <c r="C42" s="6">
        <v>-1</v>
      </c>
      <c r="D42" s="6"/>
    </row>
    <row r="43" spans="1:4" x14ac:dyDescent="0.3">
      <c r="A43" s="6"/>
      <c r="B43" s="6" t="s">
        <v>330</v>
      </c>
      <c r="C43" s="6">
        <v>-1</v>
      </c>
      <c r="D43" s="6"/>
    </row>
    <row r="44" spans="1:4" x14ac:dyDescent="0.3">
      <c r="A44" s="6"/>
      <c r="B44" s="6" t="s">
        <v>364</v>
      </c>
      <c r="C44" s="6">
        <v>-1</v>
      </c>
      <c r="D44" s="6"/>
    </row>
    <row r="45" spans="1:4" x14ac:dyDescent="0.3">
      <c r="A45" s="6" t="s">
        <v>1698</v>
      </c>
      <c r="B45" s="6" t="s">
        <v>470</v>
      </c>
      <c r="C45" s="6">
        <v>15</v>
      </c>
      <c r="D45" s="6">
        <v>16</v>
      </c>
    </row>
    <row r="46" spans="1:4" x14ac:dyDescent="0.3">
      <c r="A46" s="6"/>
      <c r="B46" s="6" t="s">
        <v>474</v>
      </c>
      <c r="C46" s="6">
        <v>-1</v>
      </c>
      <c r="D46" s="6"/>
    </row>
    <row r="47" spans="1:4" x14ac:dyDescent="0.3">
      <c r="A47" s="6"/>
      <c r="B47" s="6" t="s">
        <v>350</v>
      </c>
      <c r="C47" s="6">
        <v>-1</v>
      </c>
      <c r="D47" s="6"/>
    </row>
    <row r="48" spans="1:4" x14ac:dyDescent="0.3">
      <c r="A48" s="6"/>
      <c r="B48" s="6" t="s">
        <v>382</v>
      </c>
      <c r="C48" s="6">
        <v>-1</v>
      </c>
      <c r="D48" s="6"/>
    </row>
    <row r="49" spans="1:4" x14ac:dyDescent="0.3">
      <c r="A49" s="6"/>
      <c r="B49" s="6" t="s">
        <v>398</v>
      </c>
      <c r="C49" s="6"/>
      <c r="D49" s="6">
        <v>-1</v>
      </c>
    </row>
    <row r="50" spans="1:4" x14ac:dyDescent="0.3">
      <c r="A50" s="6"/>
      <c r="B50" s="6" t="s">
        <v>700</v>
      </c>
      <c r="C50" s="6"/>
      <c r="D50" s="6">
        <v>-1</v>
      </c>
    </row>
    <row r="51" spans="1:4" x14ac:dyDescent="0.3">
      <c r="A51" s="6" t="s">
        <v>4232</v>
      </c>
      <c r="B51" s="6" t="s">
        <v>726</v>
      </c>
      <c r="C51" s="6"/>
      <c r="D51" s="6">
        <v>25</v>
      </c>
    </row>
    <row r="52" spans="1:4" x14ac:dyDescent="0.3">
      <c r="A52" s="6"/>
      <c r="B52" s="6" t="s">
        <v>356</v>
      </c>
      <c r="C52" s="6"/>
      <c r="D52" s="6">
        <v>-1</v>
      </c>
    </row>
    <row r="53" spans="1:4" x14ac:dyDescent="0.3">
      <c r="A53" s="6"/>
      <c r="B53" s="6" t="s">
        <v>332</v>
      </c>
      <c r="C53" s="6"/>
      <c r="D53" s="6">
        <v>-1</v>
      </c>
    </row>
    <row r="54" spans="1:4" x14ac:dyDescent="0.3">
      <c r="A54" s="6" t="s">
        <v>2048</v>
      </c>
      <c r="B54" s="6" t="s">
        <v>614</v>
      </c>
      <c r="C54" s="6"/>
      <c r="D54" s="6">
        <v>22</v>
      </c>
    </row>
    <row r="55" spans="1:4" x14ac:dyDescent="0.3">
      <c r="A55" s="6" t="s">
        <v>2999</v>
      </c>
      <c r="B55" s="6" t="s">
        <v>374</v>
      </c>
      <c r="C55" s="6"/>
      <c r="D55" s="6">
        <v>27</v>
      </c>
    </row>
    <row r="56" spans="1:4" x14ac:dyDescent="0.3">
      <c r="A56" s="6"/>
      <c r="B56" s="6" t="s">
        <v>384</v>
      </c>
      <c r="C56" s="6"/>
      <c r="D56" s="6">
        <v>-1</v>
      </c>
    </row>
    <row r="57" spans="1:4" x14ac:dyDescent="0.3">
      <c r="A57" s="6" t="s">
        <v>1494</v>
      </c>
      <c r="B57" s="6" t="s">
        <v>596</v>
      </c>
      <c r="C57" s="6"/>
      <c r="D57" s="6">
        <v>29</v>
      </c>
    </row>
  </sheetData>
  <pageMargins left="0.7" right="0.7" top="0.75" bottom="0.75" header="0.3" footer="0.3"/>
  <tableParts count="1">
    <tablePart r:id="rId1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1A5683-45A7-45F9-BE7B-248D7674543D}">
  <dimension ref="A1:H33"/>
  <sheetViews>
    <sheetView topLeftCell="A31" workbookViewId="0">
      <selection activeCell="B34" sqref="B34"/>
    </sheetView>
  </sheetViews>
  <sheetFormatPr defaultRowHeight="14.4" x14ac:dyDescent="0.3"/>
  <cols>
    <col min="1" max="1" width="33.88671875" bestFit="1" customWidth="1"/>
    <col min="2" max="2" width="12.21875" bestFit="1" customWidth="1"/>
    <col min="3" max="3" width="43" bestFit="1" customWidth="1"/>
    <col min="4" max="4" width="45.88671875" bestFit="1" customWidth="1"/>
    <col min="5" max="5" width="40" bestFit="1" customWidth="1"/>
    <col min="6" max="6" width="42.77734375" bestFit="1" customWidth="1"/>
    <col min="7" max="7" width="17" bestFit="1" customWidth="1"/>
    <col min="8" max="8" width="14.77734375" bestFit="1" customWidth="1"/>
  </cols>
  <sheetData>
    <row r="1" spans="1:8" x14ac:dyDescent="0.3">
      <c r="A1" t="s">
        <v>833</v>
      </c>
      <c r="B1" t="s">
        <v>1</v>
      </c>
      <c r="C1" t="s">
        <v>1207</v>
      </c>
      <c r="D1" t="s">
        <v>1208</v>
      </c>
      <c r="E1" t="s">
        <v>1209</v>
      </c>
      <c r="F1" t="s">
        <v>1210</v>
      </c>
      <c r="G1" t="s">
        <v>1212</v>
      </c>
      <c r="H1" t="s">
        <v>1213</v>
      </c>
    </row>
    <row r="2" spans="1:8" x14ac:dyDescent="0.3">
      <c r="A2" s="6"/>
      <c r="B2" s="6" t="s">
        <v>344</v>
      </c>
      <c r="C2" s="6">
        <v>-1</v>
      </c>
      <c r="D2" s="6"/>
      <c r="E2" s="6"/>
      <c r="F2" s="6"/>
      <c r="G2" s="6">
        <f>Table86[[#This Row],[Total Athletes]]-(LEN(Table86[[#This Row],[Pair]])-LEN(SUBSTITUTE(Table86[[#This Row],[Pair]],"/","")))-1</f>
        <v>-1</v>
      </c>
      <c r="H2" s="6"/>
    </row>
    <row r="3" spans="1:8" x14ac:dyDescent="0.3">
      <c r="A3" s="6" t="s">
        <v>2907</v>
      </c>
      <c r="B3" s="6" t="s">
        <v>344</v>
      </c>
      <c r="C3" s="6"/>
      <c r="D3" s="6">
        <v>8</v>
      </c>
      <c r="E3" s="6"/>
      <c r="F3" s="6"/>
      <c r="G3" s="6">
        <f>Table86[[#This Row],[Total Athletes]]-(LEN(Table86[[#This Row],[Pair]])-LEN(SUBSTITUTE(Table86[[#This Row],[Pair]],"/","")))-1</f>
        <v>1</v>
      </c>
      <c r="H3" s="6">
        <v>2</v>
      </c>
    </row>
    <row r="4" spans="1:8" x14ac:dyDescent="0.3">
      <c r="A4" s="6" t="s">
        <v>1486</v>
      </c>
      <c r="B4" s="6" t="s">
        <v>344</v>
      </c>
      <c r="C4" s="6"/>
      <c r="D4" s="6"/>
      <c r="E4" s="6">
        <v>8</v>
      </c>
      <c r="F4" s="6"/>
      <c r="G4" s="6">
        <f>Table86[[#This Row],[Total Athletes]]-(LEN(Table86[[#This Row],[Pair]])-LEN(SUBSTITUTE(Table86[[#This Row],[Pair]],"/","")))-1</f>
        <v>1</v>
      </c>
      <c r="H4" s="6">
        <v>2</v>
      </c>
    </row>
    <row r="5" spans="1:8" x14ac:dyDescent="0.3">
      <c r="A5" s="6"/>
      <c r="B5" s="6" t="s">
        <v>344</v>
      </c>
      <c r="C5" s="6"/>
      <c r="D5" s="6"/>
      <c r="E5" s="6"/>
      <c r="F5" s="6">
        <v>-1</v>
      </c>
      <c r="G5" s="6">
        <f>Table86[[#This Row],[Total Athletes]]-(LEN(Table86[[#This Row],[Pair]])-LEN(SUBSTITUTE(Table86[[#This Row],[Pair]],"/","")))-1</f>
        <v>-1</v>
      </c>
      <c r="H5" s="6"/>
    </row>
    <row r="6" spans="1:8" x14ac:dyDescent="0.3">
      <c r="A6" s="6" t="s">
        <v>2118</v>
      </c>
      <c r="B6" s="6" t="s">
        <v>328</v>
      </c>
      <c r="C6" s="6">
        <v>1</v>
      </c>
      <c r="D6" s="6"/>
      <c r="E6" s="6"/>
      <c r="F6" s="6"/>
      <c r="G6" s="6">
        <f>Table86[[#This Row],[Total Athletes]]-(LEN(Table86[[#This Row],[Pair]])-LEN(SUBSTITUTE(Table86[[#This Row],[Pair]],"/","")))-1</f>
        <v>0</v>
      </c>
      <c r="H6" s="6">
        <v>2</v>
      </c>
    </row>
    <row r="7" spans="1:8" x14ac:dyDescent="0.3">
      <c r="A7" s="6"/>
      <c r="B7" s="6" t="s">
        <v>402</v>
      </c>
      <c r="C7" s="6">
        <v>-1</v>
      </c>
      <c r="D7" s="6"/>
      <c r="E7" s="6"/>
      <c r="F7" s="6"/>
      <c r="G7" s="6">
        <f>Table86[[#This Row],[Total Athletes]]-(LEN(Table86[[#This Row],[Pair]])-LEN(SUBSTITUTE(Table86[[#This Row],[Pair]],"/","")))-1</f>
        <v>-1</v>
      </c>
      <c r="H7" s="6"/>
    </row>
    <row r="8" spans="1:8" x14ac:dyDescent="0.3">
      <c r="A8" s="6" t="s">
        <v>3922</v>
      </c>
      <c r="B8" s="6" t="s">
        <v>332</v>
      </c>
      <c r="C8" s="6">
        <v>8</v>
      </c>
      <c r="D8" s="6"/>
      <c r="E8" s="6"/>
      <c r="F8" s="6"/>
      <c r="G8" s="6">
        <f>Table86[[#This Row],[Total Athletes]]-(LEN(Table86[[#This Row],[Pair]])-LEN(SUBSTITUTE(Table86[[#This Row],[Pair]],"/","")))-1</f>
        <v>1</v>
      </c>
      <c r="H8" s="6">
        <v>2</v>
      </c>
    </row>
    <row r="9" spans="1:8" x14ac:dyDescent="0.3">
      <c r="A9" s="6"/>
      <c r="B9" s="6" t="s">
        <v>328</v>
      </c>
      <c r="C9" s="6"/>
      <c r="D9" s="6"/>
      <c r="E9" s="6">
        <v>-1</v>
      </c>
      <c r="F9" s="6"/>
      <c r="G9" s="6">
        <f>Table86[[#This Row],[Total Athletes]]-(LEN(Table86[[#This Row],[Pair]])-LEN(SUBSTITUTE(Table86[[#This Row],[Pair]],"/","")))-1</f>
        <v>-1</v>
      </c>
      <c r="H9" s="6"/>
    </row>
    <row r="10" spans="1:8" x14ac:dyDescent="0.3">
      <c r="A10" s="6" t="s">
        <v>3862</v>
      </c>
      <c r="B10" s="6" t="s">
        <v>350</v>
      </c>
      <c r="C10" s="6"/>
      <c r="D10" s="6"/>
      <c r="E10" s="6">
        <v>4</v>
      </c>
      <c r="F10" s="6"/>
      <c r="G10" s="6">
        <f>Table86[[#This Row],[Total Athletes]]-(LEN(Table86[[#This Row],[Pair]])-LEN(SUBSTITUTE(Table86[[#This Row],[Pair]],"/","")))-1</f>
        <v>1</v>
      </c>
      <c r="H10" s="6">
        <v>2</v>
      </c>
    </row>
    <row r="11" spans="1:8" x14ac:dyDescent="0.3">
      <c r="A11" s="6" t="s">
        <v>2970</v>
      </c>
      <c r="B11" s="6" t="s">
        <v>726</v>
      </c>
      <c r="C11" s="6"/>
      <c r="D11" s="6"/>
      <c r="E11" s="6">
        <v>5</v>
      </c>
      <c r="F11" s="6"/>
      <c r="G11" s="6">
        <f>Table86[[#This Row],[Total Athletes]]-(LEN(Table86[[#This Row],[Pair]])-LEN(SUBSTITUTE(Table86[[#This Row],[Pair]],"/","")))-1</f>
        <v>1</v>
      </c>
      <c r="H11" s="6">
        <v>2</v>
      </c>
    </row>
    <row r="12" spans="1:8" x14ac:dyDescent="0.3">
      <c r="A12" s="6" t="s">
        <v>3352</v>
      </c>
      <c r="B12" s="6" t="s">
        <v>328</v>
      </c>
      <c r="C12" s="6"/>
      <c r="D12" s="6">
        <v>1</v>
      </c>
      <c r="E12" s="6"/>
      <c r="F12" s="6"/>
      <c r="G12" s="6">
        <f>Table86[[#This Row],[Total Athletes]]-(LEN(Table86[[#This Row],[Pair]])-LEN(SUBSTITUTE(Table86[[#This Row],[Pair]],"/","")))-1</f>
        <v>0</v>
      </c>
      <c r="H12" s="6">
        <v>2</v>
      </c>
    </row>
    <row r="13" spans="1:8" x14ac:dyDescent="0.3">
      <c r="A13" s="6" t="s">
        <v>1496</v>
      </c>
      <c r="B13" s="6" t="s">
        <v>402</v>
      </c>
      <c r="C13" s="6"/>
      <c r="D13" s="6">
        <v>3</v>
      </c>
      <c r="E13" s="6"/>
      <c r="F13" s="6"/>
      <c r="G13" s="6">
        <f>Table86[[#This Row],[Total Athletes]]-(LEN(Table86[[#This Row],[Pair]])-LEN(SUBSTITUTE(Table86[[#This Row],[Pair]],"/","")))-1</f>
        <v>1</v>
      </c>
      <c r="H13" s="6">
        <v>2</v>
      </c>
    </row>
    <row r="14" spans="1:8" x14ac:dyDescent="0.3">
      <c r="A14" s="6"/>
      <c r="B14" s="6" t="s">
        <v>356</v>
      </c>
      <c r="C14" s="6"/>
      <c r="D14" s="6">
        <v>-1</v>
      </c>
      <c r="E14" s="6"/>
      <c r="F14" s="6"/>
      <c r="G14" s="6">
        <f>Table86[[#This Row],[Total Athletes]]-(LEN(Table86[[#This Row],[Pair]])-LEN(SUBSTITUTE(Table86[[#This Row],[Pair]],"/","")))-1</f>
        <v>-1</v>
      </c>
      <c r="H14" s="6"/>
    </row>
    <row r="15" spans="1:8" x14ac:dyDescent="0.3">
      <c r="A15" s="6"/>
      <c r="B15" s="6" t="s">
        <v>328</v>
      </c>
      <c r="C15" s="6"/>
      <c r="D15" s="6"/>
      <c r="E15" s="6"/>
      <c r="F15" s="6">
        <v>-1</v>
      </c>
      <c r="G15" s="6">
        <f>Table86[[#This Row],[Total Athletes]]-(LEN(Table86[[#This Row],[Pair]])-LEN(SUBSTITUTE(Table86[[#This Row],[Pair]],"/","")))-1</f>
        <v>-1</v>
      </c>
      <c r="H15" s="6"/>
    </row>
    <row r="16" spans="1:8" x14ac:dyDescent="0.3">
      <c r="A16" s="6" t="s">
        <v>3214</v>
      </c>
      <c r="B16" s="6" t="s">
        <v>402</v>
      </c>
      <c r="C16" s="6"/>
      <c r="D16" s="6"/>
      <c r="E16" s="6"/>
      <c r="F16" s="6">
        <v>3</v>
      </c>
      <c r="G16" s="6">
        <f>Table86[[#This Row],[Total Athletes]]-(LEN(Table86[[#This Row],[Pair]])-LEN(SUBSTITUTE(Table86[[#This Row],[Pair]],"/","")))-1</f>
        <v>0</v>
      </c>
      <c r="H16" s="6">
        <v>2</v>
      </c>
    </row>
    <row r="17" spans="1:8" x14ac:dyDescent="0.3">
      <c r="A17" s="6"/>
      <c r="B17" s="6" t="s">
        <v>332</v>
      </c>
      <c r="C17" s="6"/>
      <c r="D17" s="6"/>
      <c r="E17" s="6"/>
      <c r="F17" s="6">
        <v>-1</v>
      </c>
      <c r="G17" s="6">
        <f>Table86[[#This Row],[Total Athletes]]-(LEN(Table86[[#This Row],[Pair]])-LEN(SUBSTITUTE(Table86[[#This Row],[Pair]],"/","")))-1</f>
        <v>-1</v>
      </c>
      <c r="H17" s="6"/>
    </row>
    <row r="18" spans="1:8" x14ac:dyDescent="0.3">
      <c r="A18" s="6" t="s">
        <v>3224</v>
      </c>
      <c r="B18" s="6" t="s">
        <v>356</v>
      </c>
      <c r="C18" s="6">
        <v>4</v>
      </c>
      <c r="D18" s="6"/>
      <c r="E18" s="6"/>
      <c r="F18" s="6"/>
      <c r="G18" s="6">
        <f>Table86[[#This Row],[Total Athletes]]-(LEN(Table86[[#This Row],[Pair]])-LEN(SUBSTITUTE(Table86[[#This Row],[Pair]],"/","")))-1</f>
        <v>1</v>
      </c>
      <c r="H18" s="6">
        <v>2</v>
      </c>
    </row>
    <row r="19" spans="1:8" x14ac:dyDescent="0.3">
      <c r="A19" s="6"/>
      <c r="B19" s="6" t="s">
        <v>350</v>
      </c>
      <c r="C19" s="6">
        <v>-1</v>
      </c>
      <c r="D19" s="6"/>
      <c r="E19" s="6"/>
      <c r="F19" s="6"/>
      <c r="G19" s="6">
        <f>Table86[[#This Row],[Total Athletes]]-(LEN(Table86[[#This Row],[Pair]])-LEN(SUBSTITUTE(Table86[[#This Row],[Pair]],"/","")))-1</f>
        <v>-1</v>
      </c>
      <c r="H19" s="6"/>
    </row>
    <row r="20" spans="1:8" x14ac:dyDescent="0.3">
      <c r="A20" s="6" t="s">
        <v>2590</v>
      </c>
      <c r="B20" s="6" t="s">
        <v>330</v>
      </c>
      <c r="C20" s="6">
        <v>6</v>
      </c>
      <c r="D20" s="6"/>
      <c r="E20" s="6"/>
      <c r="F20" s="6"/>
      <c r="G20" s="6">
        <f>Table86[[#This Row],[Total Athletes]]-(LEN(Table86[[#This Row],[Pair]])-LEN(SUBSTITUTE(Table86[[#This Row],[Pair]],"/","")))-1</f>
        <v>0</v>
      </c>
      <c r="H20" s="6">
        <v>2</v>
      </c>
    </row>
    <row r="21" spans="1:8" x14ac:dyDescent="0.3">
      <c r="A21" s="6" t="s">
        <v>2969</v>
      </c>
      <c r="B21" s="6" t="s">
        <v>726</v>
      </c>
      <c r="C21" s="6">
        <v>7</v>
      </c>
      <c r="D21" s="6"/>
      <c r="E21" s="6"/>
      <c r="F21" s="6"/>
      <c r="G21" s="6">
        <f>Table86[[#This Row],[Total Athletes]]-(LEN(Table86[[#This Row],[Pair]])-LEN(SUBSTITUTE(Table86[[#This Row],[Pair]],"/","")))-1</f>
        <v>0</v>
      </c>
      <c r="H21" s="6">
        <v>2</v>
      </c>
    </row>
    <row r="22" spans="1:8" x14ac:dyDescent="0.3">
      <c r="A22" s="6"/>
      <c r="B22" s="6" t="s">
        <v>354</v>
      </c>
      <c r="C22" s="6"/>
      <c r="D22" s="6"/>
      <c r="E22" s="6">
        <v>-1</v>
      </c>
      <c r="F22" s="6"/>
      <c r="G22" s="6">
        <f>Table86[[#This Row],[Total Athletes]]-(LEN(Table86[[#This Row],[Pair]])-LEN(SUBSTITUTE(Table86[[#This Row],[Pair]],"/","")))-1</f>
        <v>-1</v>
      </c>
      <c r="H22" s="6"/>
    </row>
    <row r="23" spans="1:8" x14ac:dyDescent="0.3">
      <c r="A23" s="6" t="s">
        <v>2194</v>
      </c>
      <c r="B23" s="6" t="s">
        <v>384</v>
      </c>
      <c r="C23" s="6"/>
      <c r="D23" s="6"/>
      <c r="E23" s="6">
        <v>3</v>
      </c>
      <c r="F23" s="6"/>
      <c r="G23" s="6">
        <f>Table86[[#This Row],[Total Athletes]]-(LEN(Table86[[#This Row],[Pair]])-LEN(SUBSTITUTE(Table86[[#This Row],[Pair]],"/","")))-1</f>
        <v>1</v>
      </c>
      <c r="H23" s="6">
        <v>2</v>
      </c>
    </row>
    <row r="24" spans="1:8" x14ac:dyDescent="0.3">
      <c r="A24" s="6"/>
      <c r="B24" s="6" t="s">
        <v>334</v>
      </c>
      <c r="C24" s="6"/>
      <c r="D24" s="6"/>
      <c r="E24" s="6">
        <v>-1</v>
      </c>
      <c r="F24" s="6"/>
      <c r="G24" s="6">
        <f>Table86[[#This Row],[Total Athletes]]-(LEN(Table86[[#This Row],[Pair]])-LEN(SUBSTITUTE(Table86[[#This Row],[Pair]],"/","")))-1</f>
        <v>-1</v>
      </c>
      <c r="H24" s="6"/>
    </row>
    <row r="25" spans="1:8" x14ac:dyDescent="0.3">
      <c r="A25" s="6" t="s">
        <v>1521</v>
      </c>
      <c r="B25" s="6" t="s">
        <v>402</v>
      </c>
      <c r="C25" s="6"/>
      <c r="D25" s="6"/>
      <c r="E25" s="6">
        <v>2</v>
      </c>
      <c r="F25" s="6"/>
      <c r="G25" s="6">
        <f>Table86[[#This Row],[Total Athletes]]-(LEN(Table86[[#This Row],[Pair]])-LEN(SUBSTITUTE(Table86[[#This Row],[Pair]],"/","")))-1</f>
        <v>1</v>
      </c>
      <c r="H25" s="6">
        <v>2</v>
      </c>
    </row>
    <row r="26" spans="1:8" x14ac:dyDescent="0.3">
      <c r="A26" s="6" t="s">
        <v>2404</v>
      </c>
      <c r="B26" s="6" t="s">
        <v>354</v>
      </c>
      <c r="C26" s="6"/>
      <c r="D26" s="6">
        <v>5</v>
      </c>
      <c r="E26" s="6"/>
      <c r="F26" s="6"/>
      <c r="G26" s="6">
        <f>Table86[[#This Row],[Total Athletes]]-(LEN(Table86[[#This Row],[Pair]])-LEN(SUBSTITUTE(Table86[[#This Row],[Pair]],"/","")))-1</f>
        <v>1</v>
      </c>
      <c r="H26" s="6">
        <v>2</v>
      </c>
    </row>
    <row r="27" spans="1:8" x14ac:dyDescent="0.3">
      <c r="A27" s="6"/>
      <c r="B27" s="6" t="s">
        <v>334</v>
      </c>
      <c r="C27" s="6"/>
      <c r="D27" s="6">
        <v>-1</v>
      </c>
      <c r="E27" s="6"/>
      <c r="F27" s="6"/>
      <c r="G27" s="6">
        <f>Table86[[#This Row],[Total Athletes]]-(LEN(Table86[[#This Row],[Pair]])-LEN(SUBSTITUTE(Table86[[#This Row],[Pair]],"/","")))-1</f>
        <v>-1</v>
      </c>
      <c r="H27" s="6"/>
    </row>
    <row r="28" spans="1:8" x14ac:dyDescent="0.3">
      <c r="A28" s="6" t="s">
        <v>1567</v>
      </c>
      <c r="B28" s="6" t="s">
        <v>726</v>
      </c>
      <c r="C28" s="6"/>
      <c r="D28" s="6">
        <v>7</v>
      </c>
      <c r="E28" s="6"/>
      <c r="F28" s="6"/>
      <c r="G28" s="6">
        <f>Table86[[#This Row],[Total Athletes]]-(LEN(Table86[[#This Row],[Pair]])-LEN(SUBSTITUTE(Table86[[#This Row],[Pair]],"/","")))-1</f>
        <v>1</v>
      </c>
      <c r="H28" s="6">
        <v>2</v>
      </c>
    </row>
    <row r="29" spans="1:8" x14ac:dyDescent="0.3">
      <c r="A29" s="6" t="s">
        <v>1827</v>
      </c>
      <c r="B29" s="6" t="s">
        <v>332</v>
      </c>
      <c r="C29" s="6"/>
      <c r="D29" s="6">
        <v>2</v>
      </c>
      <c r="E29" s="6"/>
      <c r="F29" s="6"/>
      <c r="G29" s="6">
        <f>Table86[[#This Row],[Total Athletes]]-(LEN(Table86[[#This Row],[Pair]])-LEN(SUBSTITUTE(Table86[[#This Row],[Pair]],"/","")))-1</f>
        <v>1</v>
      </c>
      <c r="H29" s="6">
        <v>2</v>
      </c>
    </row>
    <row r="30" spans="1:8" x14ac:dyDescent="0.3">
      <c r="A30" s="6" t="s">
        <v>2171</v>
      </c>
      <c r="B30" s="6" t="s">
        <v>384</v>
      </c>
      <c r="C30" s="6"/>
      <c r="D30" s="6"/>
      <c r="E30" s="6"/>
      <c r="F30" s="6">
        <v>4</v>
      </c>
      <c r="G30" s="6">
        <f>Table86[[#This Row],[Total Athletes]]-(LEN(Table86[[#This Row],[Pair]])-LEN(SUBSTITUTE(Table86[[#This Row],[Pair]],"/","")))-1</f>
        <v>1</v>
      </c>
      <c r="H30" s="6">
        <v>2</v>
      </c>
    </row>
    <row r="31" spans="1:8" x14ac:dyDescent="0.3">
      <c r="A31" s="6"/>
      <c r="B31" s="6" t="s">
        <v>350</v>
      </c>
      <c r="C31" s="6"/>
      <c r="D31" s="6"/>
      <c r="E31" s="6"/>
      <c r="F31" s="6">
        <v>-1</v>
      </c>
      <c r="G31" s="6">
        <f>Table86[[#This Row],[Total Athletes]]-(LEN(Table86[[#This Row],[Pair]])-LEN(SUBSTITUTE(Table86[[#This Row],[Pair]],"/","")))-1</f>
        <v>-1</v>
      </c>
      <c r="H31" s="6"/>
    </row>
    <row r="32" spans="1:8" x14ac:dyDescent="0.3">
      <c r="A32" s="6"/>
      <c r="B32" s="6" t="s">
        <v>658</v>
      </c>
      <c r="C32" s="6"/>
      <c r="D32" s="6"/>
      <c r="E32" s="6"/>
      <c r="F32" s="6">
        <v>-1</v>
      </c>
      <c r="G32" s="6">
        <f>Table86[[#This Row],[Total Athletes]]-(LEN(Table86[[#This Row],[Pair]])-LEN(SUBSTITUTE(Table86[[#This Row],[Pair]],"/","")))-1</f>
        <v>-1</v>
      </c>
      <c r="H32" s="6"/>
    </row>
    <row r="33" spans="1:8" x14ac:dyDescent="0.3">
      <c r="A33" s="6" t="s">
        <v>4231</v>
      </c>
      <c r="B33" s="6" t="s">
        <v>726</v>
      </c>
      <c r="C33" s="6"/>
      <c r="D33" s="6"/>
      <c r="E33" s="6"/>
      <c r="F33" s="6">
        <v>7</v>
      </c>
      <c r="G33" s="6">
        <f>Table86[[#This Row],[Total Athletes]]-(LEN(Table86[[#This Row],[Pair]])-LEN(SUBSTITUTE(Table86[[#This Row],[Pair]],"/","")))-1</f>
        <v>0</v>
      </c>
      <c r="H33" s="6">
        <v>2</v>
      </c>
    </row>
  </sheetData>
  <pageMargins left="0.7" right="0.7" top="0.75" bottom="0.75" header="0.3" footer="0.3"/>
  <tableParts count="1">
    <tablePart r:id="rId1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55CC4-E401-43AA-913E-77DB879D305E}">
  <dimension ref="A1:E201"/>
  <sheetViews>
    <sheetView topLeftCell="A193" workbookViewId="0">
      <selection activeCell="B202" sqref="B202"/>
    </sheetView>
  </sheetViews>
  <sheetFormatPr defaultRowHeight="14.4" x14ac:dyDescent="0.3"/>
  <cols>
    <col min="1" max="1" width="25.6640625" bestFit="1" customWidth="1"/>
    <col min="2" max="2" width="20" bestFit="1" customWidth="1"/>
    <col min="3" max="3" width="22.21875" bestFit="1" customWidth="1"/>
    <col min="4" max="4" width="22.109375" bestFit="1" customWidth="1"/>
    <col min="5" max="5" width="21.88671875" bestFit="1" customWidth="1"/>
  </cols>
  <sheetData>
    <row r="1" spans="1:5" x14ac:dyDescent="0.3">
      <c r="A1" t="s">
        <v>832</v>
      </c>
      <c r="B1" t="s">
        <v>1</v>
      </c>
      <c r="C1" t="s">
        <v>909</v>
      </c>
      <c r="D1" t="s">
        <v>910</v>
      </c>
      <c r="E1" t="s">
        <v>911</v>
      </c>
    </row>
    <row r="2" spans="1:5" x14ac:dyDescent="0.3">
      <c r="A2" s="6"/>
      <c r="B2" s="6" t="s">
        <v>344</v>
      </c>
      <c r="C2" s="6">
        <v>-1</v>
      </c>
      <c r="D2" s="6"/>
      <c r="E2" s="6"/>
    </row>
    <row r="3" spans="1:5" x14ac:dyDescent="0.3">
      <c r="A3" s="6"/>
      <c r="B3" s="6" t="s">
        <v>344</v>
      </c>
      <c r="C3" s="6">
        <v>-1</v>
      </c>
      <c r="D3" s="6"/>
      <c r="E3" s="6"/>
    </row>
    <row r="4" spans="1:5" x14ac:dyDescent="0.3">
      <c r="A4" s="6"/>
      <c r="B4" s="6" t="s">
        <v>344</v>
      </c>
      <c r="C4" s="6">
        <v>-1</v>
      </c>
      <c r="D4" s="6"/>
      <c r="E4" s="6"/>
    </row>
    <row r="5" spans="1:5" x14ac:dyDescent="0.3">
      <c r="A5" s="6" t="s">
        <v>2842</v>
      </c>
      <c r="B5" s="6" t="s">
        <v>344</v>
      </c>
      <c r="C5" s="6"/>
      <c r="D5" s="6">
        <v>15</v>
      </c>
      <c r="E5" s="6"/>
    </row>
    <row r="6" spans="1:5" x14ac:dyDescent="0.3">
      <c r="A6" s="6"/>
      <c r="B6" s="6" t="s">
        <v>344</v>
      </c>
      <c r="C6" s="6"/>
      <c r="D6" s="6">
        <v>-1</v>
      </c>
      <c r="E6" s="6"/>
    </row>
    <row r="7" spans="1:5" x14ac:dyDescent="0.3">
      <c r="A7" s="6"/>
      <c r="B7" s="6" t="s">
        <v>344</v>
      </c>
      <c r="C7" s="6"/>
      <c r="D7" s="6">
        <v>-1</v>
      </c>
      <c r="E7" s="6"/>
    </row>
    <row r="8" spans="1:5" x14ac:dyDescent="0.3">
      <c r="A8" s="6" t="s">
        <v>3268</v>
      </c>
      <c r="B8" s="6" t="s">
        <v>344</v>
      </c>
      <c r="C8" s="6"/>
      <c r="D8" s="6"/>
      <c r="E8" s="6">
        <v>17</v>
      </c>
    </row>
    <row r="9" spans="1:5" x14ac:dyDescent="0.3">
      <c r="A9" s="6"/>
      <c r="B9" s="6" t="s">
        <v>344</v>
      </c>
      <c r="C9" s="6"/>
      <c r="D9" s="6"/>
      <c r="E9" s="6">
        <v>-1</v>
      </c>
    </row>
    <row r="10" spans="1:5" x14ac:dyDescent="0.3">
      <c r="A10" s="6"/>
      <c r="B10" s="6" t="s">
        <v>344</v>
      </c>
      <c r="C10" s="6"/>
      <c r="D10" s="6"/>
      <c r="E10" s="6">
        <v>-1</v>
      </c>
    </row>
    <row r="11" spans="1:5" x14ac:dyDescent="0.3">
      <c r="A11" s="6" t="s">
        <v>2219</v>
      </c>
      <c r="B11" s="6" t="s">
        <v>414</v>
      </c>
      <c r="C11" s="6">
        <v>7</v>
      </c>
      <c r="D11" s="6"/>
      <c r="E11" s="6"/>
    </row>
    <row r="12" spans="1:5" x14ac:dyDescent="0.3">
      <c r="A12" s="6"/>
      <c r="B12" s="6" t="s">
        <v>414</v>
      </c>
      <c r="C12" s="6">
        <v>-1</v>
      </c>
      <c r="D12" s="6"/>
      <c r="E12" s="6"/>
    </row>
    <row r="13" spans="1:5" x14ac:dyDescent="0.3">
      <c r="A13" s="6"/>
      <c r="B13" s="6" t="s">
        <v>414</v>
      </c>
      <c r="C13" s="6">
        <v>-1</v>
      </c>
      <c r="D13" s="6"/>
      <c r="E13" s="6"/>
    </row>
    <row r="14" spans="1:5" x14ac:dyDescent="0.3">
      <c r="A14" s="6" t="s">
        <v>1482</v>
      </c>
      <c r="B14" s="6" t="s">
        <v>402</v>
      </c>
      <c r="C14" s="6">
        <v>6</v>
      </c>
      <c r="D14" s="6"/>
      <c r="E14" s="6"/>
    </row>
    <row r="15" spans="1:5" x14ac:dyDescent="0.3">
      <c r="A15" s="6"/>
      <c r="B15" s="6" t="s">
        <v>402</v>
      </c>
      <c r="C15" s="6">
        <v>-1</v>
      </c>
      <c r="D15" s="6"/>
      <c r="E15" s="6"/>
    </row>
    <row r="16" spans="1:5" x14ac:dyDescent="0.3">
      <c r="A16" s="6"/>
      <c r="B16" s="6" t="s">
        <v>402</v>
      </c>
      <c r="C16" s="6">
        <v>-1</v>
      </c>
      <c r="D16" s="6"/>
      <c r="E16" s="6"/>
    </row>
    <row r="17" spans="1:5" x14ac:dyDescent="0.3">
      <c r="A17" s="6"/>
      <c r="B17" s="6" t="s">
        <v>334</v>
      </c>
      <c r="C17" s="6">
        <v>-1</v>
      </c>
      <c r="D17" s="6"/>
      <c r="E17" s="6"/>
    </row>
    <row r="18" spans="1:5" x14ac:dyDescent="0.3">
      <c r="A18" s="6"/>
      <c r="B18" s="6" t="s">
        <v>334</v>
      </c>
      <c r="C18" s="6">
        <v>-1</v>
      </c>
      <c r="D18" s="6"/>
      <c r="E18" s="6"/>
    </row>
    <row r="19" spans="1:5" x14ac:dyDescent="0.3">
      <c r="A19" s="6"/>
      <c r="B19" s="6" t="s">
        <v>334</v>
      </c>
      <c r="C19" s="6">
        <v>-1</v>
      </c>
      <c r="D19" s="6"/>
      <c r="E19" s="6"/>
    </row>
    <row r="20" spans="1:5" x14ac:dyDescent="0.3">
      <c r="A20" s="6" t="s">
        <v>3155</v>
      </c>
      <c r="B20" s="6" t="s">
        <v>338</v>
      </c>
      <c r="C20" s="6">
        <v>14</v>
      </c>
      <c r="D20" s="6"/>
      <c r="E20" s="6"/>
    </row>
    <row r="21" spans="1:5" x14ac:dyDescent="0.3">
      <c r="A21" s="6" t="s">
        <v>3162</v>
      </c>
      <c r="B21" s="6" t="s">
        <v>338</v>
      </c>
      <c r="C21" s="6">
        <v>18</v>
      </c>
      <c r="D21" s="6"/>
      <c r="E21" s="6"/>
    </row>
    <row r="22" spans="1:5" x14ac:dyDescent="0.3">
      <c r="A22" s="6"/>
      <c r="B22" s="6" t="s">
        <v>338</v>
      </c>
      <c r="C22" s="6">
        <v>-1</v>
      </c>
      <c r="D22" s="6"/>
      <c r="E22" s="6"/>
    </row>
    <row r="23" spans="1:5" x14ac:dyDescent="0.3">
      <c r="A23" s="6" t="s">
        <v>2653</v>
      </c>
      <c r="B23" s="6" t="s">
        <v>412</v>
      </c>
      <c r="C23" s="6">
        <v>11</v>
      </c>
      <c r="D23" s="6"/>
      <c r="E23" s="6"/>
    </row>
    <row r="24" spans="1:5" x14ac:dyDescent="0.3">
      <c r="A24" s="6" t="s">
        <v>3579</v>
      </c>
      <c r="B24" s="6" t="s">
        <v>412</v>
      </c>
      <c r="C24" s="6">
        <v>4</v>
      </c>
      <c r="D24" s="6"/>
      <c r="E24" s="6"/>
    </row>
    <row r="25" spans="1:5" x14ac:dyDescent="0.3">
      <c r="A25" s="6" t="s">
        <v>3580</v>
      </c>
      <c r="B25" s="6" t="s">
        <v>412</v>
      </c>
      <c r="C25" s="6">
        <v>21</v>
      </c>
      <c r="D25" s="6"/>
      <c r="E25" s="6"/>
    </row>
    <row r="26" spans="1:5" x14ac:dyDescent="0.3">
      <c r="A26" s="6"/>
      <c r="B26" s="6" t="s">
        <v>332</v>
      </c>
      <c r="C26" s="6">
        <v>-1</v>
      </c>
      <c r="D26" s="6"/>
      <c r="E26" s="6"/>
    </row>
    <row r="27" spans="1:5" x14ac:dyDescent="0.3">
      <c r="A27" s="6"/>
      <c r="B27" s="6" t="s">
        <v>332</v>
      </c>
      <c r="C27" s="6">
        <v>-1</v>
      </c>
      <c r="D27" s="6"/>
      <c r="E27" s="6"/>
    </row>
    <row r="28" spans="1:5" x14ac:dyDescent="0.3">
      <c r="A28" s="6"/>
      <c r="B28" s="6" t="s">
        <v>332</v>
      </c>
      <c r="C28" s="6">
        <v>-1</v>
      </c>
      <c r="D28" s="6"/>
      <c r="E28" s="6"/>
    </row>
    <row r="29" spans="1:5" x14ac:dyDescent="0.3">
      <c r="A29" s="6" t="s">
        <v>1248</v>
      </c>
      <c r="B29" s="6" t="s">
        <v>354</v>
      </c>
      <c r="C29" s="6">
        <v>34</v>
      </c>
      <c r="D29" s="6"/>
      <c r="E29" s="6"/>
    </row>
    <row r="30" spans="1:5" x14ac:dyDescent="0.3">
      <c r="A30" s="6"/>
      <c r="B30" s="6" t="s">
        <v>354</v>
      </c>
      <c r="C30" s="6">
        <v>-1</v>
      </c>
      <c r="D30" s="6"/>
      <c r="E30" s="6"/>
    </row>
    <row r="31" spans="1:5" x14ac:dyDescent="0.3">
      <c r="A31" s="6"/>
      <c r="B31" s="6" t="s">
        <v>354</v>
      </c>
      <c r="C31" s="6">
        <v>-1</v>
      </c>
      <c r="D31" s="6"/>
      <c r="E31" s="6"/>
    </row>
    <row r="32" spans="1:5" x14ac:dyDescent="0.3">
      <c r="A32" s="6"/>
      <c r="B32" s="6" t="s">
        <v>338</v>
      </c>
      <c r="C32" s="6"/>
      <c r="D32" s="6"/>
      <c r="E32" s="6">
        <v>-1</v>
      </c>
    </row>
    <row r="33" spans="1:5" x14ac:dyDescent="0.3">
      <c r="A33" s="6"/>
      <c r="B33" s="6" t="s">
        <v>338</v>
      </c>
      <c r="C33" s="6"/>
      <c r="D33" s="6"/>
      <c r="E33" s="6">
        <v>-1</v>
      </c>
    </row>
    <row r="34" spans="1:5" x14ac:dyDescent="0.3">
      <c r="A34" s="6"/>
      <c r="B34" s="6" t="s">
        <v>338</v>
      </c>
      <c r="C34" s="6"/>
      <c r="D34" s="6"/>
      <c r="E34" s="6">
        <v>-1</v>
      </c>
    </row>
    <row r="35" spans="1:5" x14ac:dyDescent="0.3">
      <c r="A35" s="6" t="s">
        <v>2953</v>
      </c>
      <c r="B35" s="6" t="s">
        <v>412</v>
      </c>
      <c r="C35" s="6"/>
      <c r="D35" s="6"/>
      <c r="E35" s="6">
        <v>14</v>
      </c>
    </row>
    <row r="36" spans="1:5" x14ac:dyDescent="0.3">
      <c r="A36" s="6" t="s">
        <v>2959</v>
      </c>
      <c r="B36" s="6" t="s">
        <v>412</v>
      </c>
      <c r="C36" s="6"/>
      <c r="D36" s="6"/>
      <c r="E36" s="6">
        <v>3</v>
      </c>
    </row>
    <row r="37" spans="1:5" x14ac:dyDescent="0.3">
      <c r="A37" s="6"/>
      <c r="B37" s="6" t="s">
        <v>412</v>
      </c>
      <c r="C37" s="6"/>
      <c r="D37" s="6"/>
      <c r="E37" s="6">
        <v>-1</v>
      </c>
    </row>
    <row r="38" spans="1:5" x14ac:dyDescent="0.3">
      <c r="A38" s="6" t="s">
        <v>1493</v>
      </c>
      <c r="B38" s="6" t="s">
        <v>402</v>
      </c>
      <c r="C38" s="6"/>
      <c r="D38" s="6"/>
      <c r="E38" s="6">
        <v>9</v>
      </c>
    </row>
    <row r="39" spans="1:5" x14ac:dyDescent="0.3">
      <c r="A39" s="6" t="s">
        <v>1671</v>
      </c>
      <c r="B39" s="6" t="s">
        <v>402</v>
      </c>
      <c r="C39" s="6"/>
      <c r="D39" s="6"/>
      <c r="E39" s="6">
        <v>6</v>
      </c>
    </row>
    <row r="40" spans="1:5" x14ac:dyDescent="0.3">
      <c r="A40" s="6"/>
      <c r="B40" s="6" t="s">
        <v>402</v>
      </c>
      <c r="C40" s="6"/>
      <c r="D40" s="6"/>
      <c r="E40" s="6">
        <v>-1</v>
      </c>
    </row>
    <row r="41" spans="1:5" x14ac:dyDescent="0.3">
      <c r="A41" s="6" t="s">
        <v>1639</v>
      </c>
      <c r="B41" s="6" t="s">
        <v>596</v>
      </c>
      <c r="C41" s="6"/>
      <c r="D41" s="6"/>
      <c r="E41" s="6">
        <v>33</v>
      </c>
    </row>
    <row r="42" spans="1:5" x14ac:dyDescent="0.3">
      <c r="A42" s="6" t="s">
        <v>3576</v>
      </c>
      <c r="B42" s="6" t="s">
        <v>596</v>
      </c>
      <c r="C42" s="6"/>
      <c r="D42" s="6"/>
      <c r="E42" s="6">
        <v>22</v>
      </c>
    </row>
    <row r="43" spans="1:5" x14ac:dyDescent="0.3">
      <c r="A43" s="6"/>
      <c r="B43" s="6" t="s">
        <v>596</v>
      </c>
      <c r="C43" s="6"/>
      <c r="D43" s="6"/>
      <c r="E43" s="6">
        <v>-1</v>
      </c>
    </row>
    <row r="44" spans="1:5" x14ac:dyDescent="0.3">
      <c r="A44" s="6"/>
      <c r="B44" s="6" t="s">
        <v>334</v>
      </c>
      <c r="C44" s="6"/>
      <c r="D44" s="6"/>
      <c r="E44" s="6">
        <v>-1</v>
      </c>
    </row>
    <row r="45" spans="1:5" x14ac:dyDescent="0.3">
      <c r="A45" s="6"/>
      <c r="B45" s="6" t="s">
        <v>334</v>
      </c>
      <c r="C45" s="6"/>
      <c r="D45" s="6"/>
      <c r="E45" s="6">
        <v>-1</v>
      </c>
    </row>
    <row r="46" spans="1:5" x14ac:dyDescent="0.3">
      <c r="A46" s="6"/>
      <c r="B46" s="6" t="s">
        <v>334</v>
      </c>
      <c r="C46" s="6"/>
      <c r="D46" s="6"/>
      <c r="E46" s="6">
        <v>-1</v>
      </c>
    </row>
    <row r="47" spans="1:5" x14ac:dyDescent="0.3">
      <c r="A47" s="6"/>
      <c r="B47" s="6" t="s">
        <v>334</v>
      </c>
      <c r="C47" s="6"/>
      <c r="D47" s="6">
        <v>-1</v>
      </c>
      <c r="E47" s="6"/>
    </row>
    <row r="48" spans="1:5" x14ac:dyDescent="0.3">
      <c r="A48" s="6"/>
      <c r="B48" s="6" t="s">
        <v>334</v>
      </c>
      <c r="C48" s="6"/>
      <c r="D48" s="6">
        <v>-1</v>
      </c>
      <c r="E48" s="6"/>
    </row>
    <row r="49" spans="1:5" x14ac:dyDescent="0.3">
      <c r="A49" s="6"/>
      <c r="B49" s="6" t="s">
        <v>334</v>
      </c>
      <c r="C49" s="6"/>
      <c r="D49" s="6">
        <v>-1</v>
      </c>
      <c r="E49" s="6"/>
    </row>
    <row r="50" spans="1:5" x14ac:dyDescent="0.3">
      <c r="A50" s="6" t="s">
        <v>2005</v>
      </c>
      <c r="B50" s="6" t="s">
        <v>332</v>
      </c>
      <c r="C50" s="6"/>
      <c r="D50" s="6">
        <v>19</v>
      </c>
      <c r="E50" s="6"/>
    </row>
    <row r="51" spans="1:5" x14ac:dyDescent="0.3">
      <c r="A51" s="6" t="s">
        <v>2413</v>
      </c>
      <c r="B51" s="6" t="s">
        <v>332</v>
      </c>
      <c r="C51" s="6"/>
      <c r="D51" s="6">
        <v>10</v>
      </c>
      <c r="E51" s="6"/>
    </row>
    <row r="52" spans="1:5" x14ac:dyDescent="0.3">
      <c r="A52" s="6" t="s">
        <v>4526</v>
      </c>
      <c r="B52" s="6" t="s">
        <v>332</v>
      </c>
      <c r="C52" s="6"/>
      <c r="D52" s="6">
        <v>36</v>
      </c>
      <c r="E52" s="6"/>
    </row>
    <row r="53" spans="1:5" x14ac:dyDescent="0.3">
      <c r="A53" s="6" t="s">
        <v>2755</v>
      </c>
      <c r="B53" s="6" t="s">
        <v>474</v>
      </c>
      <c r="C53" s="6"/>
      <c r="D53" s="6">
        <v>39</v>
      </c>
      <c r="E53" s="6"/>
    </row>
    <row r="54" spans="1:5" x14ac:dyDescent="0.3">
      <c r="A54" s="6" t="s">
        <v>4156</v>
      </c>
      <c r="B54" s="6" t="s">
        <v>474</v>
      </c>
      <c r="C54" s="6"/>
      <c r="D54" s="6">
        <v>6</v>
      </c>
      <c r="E54" s="6"/>
    </row>
    <row r="55" spans="1:5" x14ac:dyDescent="0.3">
      <c r="A55" s="6"/>
      <c r="B55" s="6" t="s">
        <v>474</v>
      </c>
      <c r="C55" s="6"/>
      <c r="D55" s="6">
        <v>-1</v>
      </c>
      <c r="E55" s="6"/>
    </row>
    <row r="56" spans="1:5" x14ac:dyDescent="0.3">
      <c r="A56" s="6" t="s">
        <v>4643</v>
      </c>
      <c r="B56" s="6" t="s">
        <v>402</v>
      </c>
      <c r="C56" s="6"/>
      <c r="D56" s="6">
        <v>21</v>
      </c>
      <c r="E56" s="6"/>
    </row>
    <row r="57" spans="1:5" x14ac:dyDescent="0.3">
      <c r="A57" s="6"/>
      <c r="B57" s="6" t="s">
        <v>402</v>
      </c>
      <c r="C57" s="6"/>
      <c r="D57" s="6">
        <v>-1</v>
      </c>
      <c r="E57" s="6"/>
    </row>
    <row r="58" spans="1:5" x14ac:dyDescent="0.3">
      <c r="A58" s="6"/>
      <c r="B58" s="6" t="s">
        <v>402</v>
      </c>
      <c r="C58" s="6"/>
      <c r="D58" s="6">
        <v>-1</v>
      </c>
      <c r="E58" s="6"/>
    </row>
    <row r="59" spans="1:5" x14ac:dyDescent="0.3">
      <c r="A59" s="6" t="s">
        <v>1628</v>
      </c>
      <c r="B59" s="6" t="s">
        <v>596</v>
      </c>
      <c r="C59" s="6"/>
      <c r="D59" s="6">
        <v>1001</v>
      </c>
      <c r="E59" s="6"/>
    </row>
    <row r="60" spans="1:5" x14ac:dyDescent="0.3">
      <c r="A60" s="6" t="s">
        <v>2707</v>
      </c>
      <c r="B60" s="6" t="s">
        <v>596</v>
      </c>
      <c r="C60" s="6"/>
      <c r="D60" s="6">
        <v>30</v>
      </c>
      <c r="E60" s="6"/>
    </row>
    <row r="61" spans="1:5" x14ac:dyDescent="0.3">
      <c r="A61" s="6" t="s">
        <v>3573</v>
      </c>
      <c r="B61" s="6" t="s">
        <v>596</v>
      </c>
      <c r="C61" s="6"/>
      <c r="D61" s="6">
        <v>17</v>
      </c>
      <c r="E61" s="6"/>
    </row>
    <row r="62" spans="1:5" x14ac:dyDescent="0.3">
      <c r="A62" s="6" t="s">
        <v>1509</v>
      </c>
      <c r="B62" s="6" t="s">
        <v>338</v>
      </c>
      <c r="C62" s="6"/>
      <c r="D62" s="6">
        <v>32</v>
      </c>
      <c r="E62" s="6"/>
    </row>
    <row r="63" spans="1:5" x14ac:dyDescent="0.3">
      <c r="A63" s="6"/>
      <c r="B63" s="6" t="s">
        <v>338</v>
      </c>
      <c r="C63" s="6"/>
      <c r="D63" s="6">
        <v>-1</v>
      </c>
      <c r="E63" s="6"/>
    </row>
    <row r="64" spans="1:5" x14ac:dyDescent="0.3">
      <c r="A64" s="6"/>
      <c r="B64" s="6" t="s">
        <v>338</v>
      </c>
      <c r="C64" s="6"/>
      <c r="D64" s="6">
        <v>-1</v>
      </c>
      <c r="E64" s="6"/>
    </row>
    <row r="65" spans="1:5" x14ac:dyDescent="0.3">
      <c r="A65" s="6" t="s">
        <v>3453</v>
      </c>
      <c r="B65" s="6" t="s">
        <v>444</v>
      </c>
      <c r="C65" s="6"/>
      <c r="D65" s="6">
        <v>29</v>
      </c>
      <c r="E65" s="6"/>
    </row>
    <row r="66" spans="1:5" x14ac:dyDescent="0.3">
      <c r="A66" s="6"/>
      <c r="B66" s="6" t="s">
        <v>444</v>
      </c>
      <c r="C66" s="6"/>
      <c r="D66" s="6">
        <v>-1</v>
      </c>
      <c r="E66" s="6"/>
    </row>
    <row r="67" spans="1:5" x14ac:dyDescent="0.3">
      <c r="A67" s="6"/>
      <c r="B67" s="6" t="s">
        <v>444</v>
      </c>
      <c r="C67" s="6"/>
      <c r="D67" s="6">
        <v>-1</v>
      </c>
      <c r="E67" s="6"/>
    </row>
    <row r="68" spans="1:5" x14ac:dyDescent="0.3">
      <c r="A68" s="6" t="s">
        <v>3134</v>
      </c>
      <c r="B68" s="6" t="s">
        <v>520</v>
      </c>
      <c r="C68" s="6"/>
      <c r="D68" s="6"/>
      <c r="E68" s="6">
        <v>35</v>
      </c>
    </row>
    <row r="69" spans="1:5" x14ac:dyDescent="0.3">
      <c r="A69" s="6"/>
      <c r="B69" s="6" t="s">
        <v>520</v>
      </c>
      <c r="C69" s="6"/>
      <c r="D69" s="6"/>
      <c r="E69" s="6">
        <v>-1</v>
      </c>
    </row>
    <row r="70" spans="1:5" x14ac:dyDescent="0.3">
      <c r="A70" s="6"/>
      <c r="B70" s="6" t="s">
        <v>520</v>
      </c>
      <c r="C70" s="6"/>
      <c r="D70" s="6"/>
      <c r="E70" s="6">
        <v>-1</v>
      </c>
    </row>
    <row r="71" spans="1:5" x14ac:dyDescent="0.3">
      <c r="A71" s="6"/>
      <c r="B71" s="6" t="s">
        <v>490</v>
      </c>
      <c r="C71" s="6"/>
      <c r="D71" s="6"/>
      <c r="E71" s="6">
        <v>-1</v>
      </c>
    </row>
    <row r="72" spans="1:5" x14ac:dyDescent="0.3">
      <c r="A72" s="6"/>
      <c r="B72" s="6" t="s">
        <v>454</v>
      </c>
      <c r="C72" s="6"/>
      <c r="D72" s="6"/>
      <c r="E72" s="6">
        <v>-1</v>
      </c>
    </row>
    <row r="73" spans="1:5" x14ac:dyDescent="0.3">
      <c r="A73" s="6"/>
      <c r="B73" s="6" t="s">
        <v>490</v>
      </c>
      <c r="C73" s="6"/>
      <c r="D73" s="6"/>
      <c r="E73" s="6">
        <v>-1</v>
      </c>
    </row>
    <row r="74" spans="1:5" x14ac:dyDescent="0.3">
      <c r="A74" s="6"/>
      <c r="B74" s="6" t="s">
        <v>454</v>
      </c>
      <c r="C74" s="6"/>
      <c r="D74" s="6"/>
      <c r="E74" s="6">
        <v>-1</v>
      </c>
    </row>
    <row r="75" spans="1:5" x14ac:dyDescent="0.3">
      <c r="A75" s="6"/>
      <c r="B75" s="6" t="s">
        <v>490</v>
      </c>
      <c r="C75" s="6"/>
      <c r="D75" s="6"/>
      <c r="E75" s="6">
        <v>-1</v>
      </c>
    </row>
    <row r="76" spans="1:5" x14ac:dyDescent="0.3">
      <c r="A76" s="6"/>
      <c r="B76" s="6" t="s">
        <v>454</v>
      </c>
      <c r="C76" s="6"/>
      <c r="D76" s="6"/>
      <c r="E76" s="6">
        <v>-1</v>
      </c>
    </row>
    <row r="77" spans="1:5" x14ac:dyDescent="0.3">
      <c r="A77" s="6"/>
      <c r="B77" s="6" t="s">
        <v>394</v>
      </c>
      <c r="C77" s="6"/>
      <c r="D77" s="6">
        <v>-1</v>
      </c>
      <c r="E77" s="6"/>
    </row>
    <row r="78" spans="1:5" x14ac:dyDescent="0.3">
      <c r="A78" s="6"/>
      <c r="B78" s="6" t="s">
        <v>394</v>
      </c>
      <c r="C78" s="6"/>
      <c r="D78" s="6">
        <v>-1</v>
      </c>
      <c r="E78" s="6"/>
    </row>
    <row r="79" spans="1:5" x14ac:dyDescent="0.3">
      <c r="A79" s="6"/>
      <c r="B79" s="6" t="s">
        <v>394</v>
      </c>
      <c r="C79" s="6"/>
      <c r="D79" s="6">
        <v>-1</v>
      </c>
      <c r="E79" s="6"/>
    </row>
    <row r="80" spans="1:5" x14ac:dyDescent="0.3">
      <c r="A80" s="6" t="s">
        <v>2446</v>
      </c>
      <c r="B80" s="6" t="s">
        <v>354</v>
      </c>
      <c r="C80" s="6"/>
      <c r="D80" s="6">
        <v>20</v>
      </c>
      <c r="E80" s="6"/>
    </row>
    <row r="81" spans="1:5" x14ac:dyDescent="0.3">
      <c r="A81" s="6"/>
      <c r="B81" s="6" t="s">
        <v>354</v>
      </c>
      <c r="C81" s="6"/>
      <c r="D81" s="6">
        <v>-1</v>
      </c>
      <c r="E81" s="6"/>
    </row>
    <row r="82" spans="1:5" x14ac:dyDescent="0.3">
      <c r="A82" s="6"/>
      <c r="B82" s="6" t="s">
        <v>354</v>
      </c>
      <c r="C82" s="6"/>
      <c r="D82" s="6">
        <v>-1</v>
      </c>
      <c r="E82" s="6"/>
    </row>
    <row r="83" spans="1:5" x14ac:dyDescent="0.3">
      <c r="A83" s="6" t="s">
        <v>1535</v>
      </c>
      <c r="B83" s="6" t="s">
        <v>428</v>
      </c>
      <c r="C83" s="6"/>
      <c r="D83" s="6">
        <v>5</v>
      </c>
      <c r="E83" s="6"/>
    </row>
    <row r="84" spans="1:5" x14ac:dyDescent="0.3">
      <c r="A84" s="6" t="s">
        <v>3335</v>
      </c>
      <c r="B84" s="6" t="s">
        <v>428</v>
      </c>
      <c r="C84" s="6"/>
      <c r="D84" s="6">
        <v>7</v>
      </c>
      <c r="E84" s="6"/>
    </row>
    <row r="85" spans="1:5" x14ac:dyDescent="0.3">
      <c r="A85" s="6"/>
      <c r="B85" s="6" t="s">
        <v>428</v>
      </c>
      <c r="C85" s="6"/>
      <c r="D85" s="6">
        <v>-1</v>
      </c>
      <c r="E85" s="6"/>
    </row>
    <row r="86" spans="1:5" x14ac:dyDescent="0.3">
      <c r="A86" s="6"/>
      <c r="B86" s="6" t="s">
        <v>394</v>
      </c>
      <c r="C86" s="6">
        <v>-1</v>
      </c>
      <c r="D86" s="6"/>
      <c r="E86" s="6"/>
    </row>
    <row r="87" spans="1:5" x14ac:dyDescent="0.3">
      <c r="A87" s="6"/>
      <c r="B87" s="6" t="s">
        <v>394</v>
      </c>
      <c r="C87" s="6">
        <v>-1</v>
      </c>
      <c r="D87" s="6"/>
      <c r="E87" s="6"/>
    </row>
    <row r="88" spans="1:5" x14ac:dyDescent="0.3">
      <c r="A88" s="6"/>
      <c r="B88" s="6" t="s">
        <v>394</v>
      </c>
      <c r="C88" s="6">
        <v>-1</v>
      </c>
      <c r="D88" s="6"/>
      <c r="E88" s="6"/>
    </row>
    <row r="89" spans="1:5" x14ac:dyDescent="0.3">
      <c r="A89" s="6" t="s">
        <v>2374</v>
      </c>
      <c r="B89" s="6" t="s">
        <v>354</v>
      </c>
      <c r="C89" s="6"/>
      <c r="D89" s="6"/>
      <c r="E89" s="6">
        <v>51</v>
      </c>
    </row>
    <row r="90" spans="1:5" x14ac:dyDescent="0.3">
      <c r="A90" s="6" t="s">
        <v>2453</v>
      </c>
      <c r="B90" s="6" t="s">
        <v>354</v>
      </c>
      <c r="C90" s="6"/>
      <c r="D90" s="6"/>
      <c r="E90" s="6">
        <v>44</v>
      </c>
    </row>
    <row r="91" spans="1:5" x14ac:dyDescent="0.3">
      <c r="A91" s="6" t="s">
        <v>2461</v>
      </c>
      <c r="B91" s="6" t="s">
        <v>354</v>
      </c>
      <c r="C91" s="6"/>
      <c r="D91" s="6"/>
      <c r="E91" s="6">
        <v>47</v>
      </c>
    </row>
    <row r="92" spans="1:5" x14ac:dyDescent="0.3">
      <c r="A92" s="6" t="s">
        <v>1762</v>
      </c>
      <c r="B92" s="6" t="s">
        <v>428</v>
      </c>
      <c r="C92" s="6"/>
      <c r="D92" s="6"/>
      <c r="E92" s="6">
        <v>54</v>
      </c>
    </row>
    <row r="93" spans="1:5" x14ac:dyDescent="0.3">
      <c r="A93" s="6"/>
      <c r="B93" s="6" t="s">
        <v>428</v>
      </c>
      <c r="C93" s="6"/>
      <c r="D93" s="6"/>
      <c r="E93" s="6">
        <v>-1</v>
      </c>
    </row>
    <row r="94" spans="1:5" x14ac:dyDescent="0.3">
      <c r="A94" s="6"/>
      <c r="B94" s="6" t="s">
        <v>428</v>
      </c>
      <c r="C94" s="6"/>
      <c r="D94" s="6"/>
      <c r="E94" s="6">
        <v>-1</v>
      </c>
    </row>
    <row r="95" spans="1:5" x14ac:dyDescent="0.3">
      <c r="A95" s="6" t="s">
        <v>5059</v>
      </c>
      <c r="B95" s="6" t="s">
        <v>598</v>
      </c>
      <c r="C95" s="6"/>
      <c r="D95" s="6"/>
      <c r="E95" s="6">
        <v>42</v>
      </c>
    </row>
    <row r="96" spans="1:5" x14ac:dyDescent="0.3">
      <c r="A96" s="6"/>
      <c r="B96" s="6" t="s">
        <v>598</v>
      </c>
      <c r="C96" s="6"/>
      <c r="D96" s="6"/>
      <c r="E96" s="6">
        <v>-1</v>
      </c>
    </row>
    <row r="97" spans="1:5" x14ac:dyDescent="0.3">
      <c r="A97" s="6"/>
      <c r="B97" s="6" t="s">
        <v>598</v>
      </c>
      <c r="C97" s="6"/>
      <c r="D97" s="6"/>
      <c r="E97" s="6">
        <v>-1</v>
      </c>
    </row>
    <row r="98" spans="1:5" x14ac:dyDescent="0.3">
      <c r="A98" s="6"/>
      <c r="B98" s="6" t="s">
        <v>394</v>
      </c>
      <c r="C98" s="6"/>
      <c r="D98" s="6"/>
      <c r="E98" s="6">
        <v>-1</v>
      </c>
    </row>
    <row r="99" spans="1:5" x14ac:dyDescent="0.3">
      <c r="A99" s="6"/>
      <c r="B99" s="6" t="s">
        <v>394</v>
      </c>
      <c r="C99" s="6"/>
      <c r="D99" s="6"/>
      <c r="E99" s="6">
        <v>-1</v>
      </c>
    </row>
    <row r="100" spans="1:5" x14ac:dyDescent="0.3">
      <c r="A100" s="6"/>
      <c r="B100" s="6" t="s">
        <v>394</v>
      </c>
      <c r="C100" s="6"/>
      <c r="D100" s="6"/>
      <c r="E100" s="6">
        <v>-1</v>
      </c>
    </row>
    <row r="101" spans="1:5" x14ac:dyDescent="0.3">
      <c r="A101" s="6"/>
      <c r="B101" s="6" t="s">
        <v>520</v>
      </c>
      <c r="C101" s="6"/>
      <c r="D101" s="6">
        <v>-1</v>
      </c>
      <c r="E101" s="6"/>
    </row>
    <row r="102" spans="1:5" x14ac:dyDescent="0.3">
      <c r="A102" s="6"/>
      <c r="B102" s="6" t="s">
        <v>412</v>
      </c>
      <c r="C102" s="6"/>
      <c r="D102" s="6">
        <v>-1</v>
      </c>
      <c r="E102" s="6"/>
    </row>
    <row r="103" spans="1:5" x14ac:dyDescent="0.3">
      <c r="A103" s="6"/>
      <c r="B103" s="6" t="s">
        <v>520</v>
      </c>
      <c r="C103" s="6"/>
      <c r="D103" s="6">
        <v>-1</v>
      </c>
      <c r="E103" s="6"/>
    </row>
    <row r="104" spans="1:5" x14ac:dyDescent="0.3">
      <c r="A104" s="6"/>
      <c r="B104" s="6" t="s">
        <v>412</v>
      </c>
      <c r="C104" s="6"/>
      <c r="D104" s="6">
        <v>-1</v>
      </c>
      <c r="E104" s="6"/>
    </row>
    <row r="105" spans="1:5" x14ac:dyDescent="0.3">
      <c r="A105" s="6"/>
      <c r="B105" s="6" t="s">
        <v>520</v>
      </c>
      <c r="C105" s="6"/>
      <c r="D105" s="6">
        <v>-1</v>
      </c>
      <c r="E105" s="6"/>
    </row>
    <row r="106" spans="1:5" x14ac:dyDescent="0.3">
      <c r="A106" s="6"/>
      <c r="B106" s="6" t="s">
        <v>412</v>
      </c>
      <c r="C106" s="6"/>
      <c r="D106" s="6">
        <v>-1</v>
      </c>
      <c r="E106" s="6"/>
    </row>
    <row r="107" spans="1:5" x14ac:dyDescent="0.3">
      <c r="A107" s="6" t="s">
        <v>4563</v>
      </c>
      <c r="B107" s="6" t="s">
        <v>358</v>
      </c>
      <c r="C107" s="6"/>
      <c r="D107" s="6"/>
      <c r="E107" s="6">
        <v>59</v>
      </c>
    </row>
    <row r="108" spans="1:5" x14ac:dyDescent="0.3">
      <c r="A108" s="6"/>
      <c r="B108" s="6" t="s">
        <v>358</v>
      </c>
      <c r="C108" s="6"/>
      <c r="D108" s="6"/>
      <c r="E108" s="6">
        <v>-1</v>
      </c>
    </row>
    <row r="109" spans="1:5" x14ac:dyDescent="0.3">
      <c r="A109" s="6"/>
      <c r="B109" s="6" t="s">
        <v>358</v>
      </c>
      <c r="C109" s="6"/>
      <c r="D109" s="6"/>
      <c r="E109" s="6">
        <v>-1</v>
      </c>
    </row>
    <row r="110" spans="1:5" x14ac:dyDescent="0.3">
      <c r="A110" s="6" t="s">
        <v>1272</v>
      </c>
      <c r="B110" s="6" t="s">
        <v>330</v>
      </c>
      <c r="C110" s="6"/>
      <c r="D110" s="6"/>
      <c r="E110" s="6">
        <v>39</v>
      </c>
    </row>
    <row r="111" spans="1:5" x14ac:dyDescent="0.3">
      <c r="A111" s="6" t="s">
        <v>3976</v>
      </c>
      <c r="B111" s="6" t="s">
        <v>330</v>
      </c>
      <c r="C111" s="6"/>
      <c r="D111" s="6"/>
      <c r="E111" s="6">
        <v>1001</v>
      </c>
    </row>
    <row r="112" spans="1:5" x14ac:dyDescent="0.3">
      <c r="A112" s="6"/>
      <c r="B112" s="6" t="s">
        <v>330</v>
      </c>
      <c r="C112" s="6"/>
      <c r="D112" s="6"/>
      <c r="E112" s="6">
        <v>-1</v>
      </c>
    </row>
    <row r="113" spans="1:5" x14ac:dyDescent="0.3">
      <c r="A113" s="6"/>
      <c r="B113" s="6" t="s">
        <v>444</v>
      </c>
      <c r="C113" s="6"/>
      <c r="D113" s="6"/>
      <c r="E113" s="6">
        <v>-1</v>
      </c>
    </row>
    <row r="114" spans="1:5" x14ac:dyDescent="0.3">
      <c r="A114" s="6"/>
      <c r="B114" s="6" t="s">
        <v>444</v>
      </c>
      <c r="C114" s="6"/>
      <c r="D114" s="6"/>
      <c r="E114" s="6">
        <v>-1</v>
      </c>
    </row>
    <row r="115" spans="1:5" x14ac:dyDescent="0.3">
      <c r="A115" s="6"/>
      <c r="B115" s="6" t="s">
        <v>444</v>
      </c>
      <c r="C115" s="6"/>
      <c r="D115" s="6"/>
      <c r="E115" s="6">
        <v>-1</v>
      </c>
    </row>
    <row r="116" spans="1:5" x14ac:dyDescent="0.3">
      <c r="A116" s="6" t="s">
        <v>1733</v>
      </c>
      <c r="B116" s="6" t="s">
        <v>358</v>
      </c>
      <c r="C116" s="6">
        <v>44</v>
      </c>
      <c r="D116" s="6"/>
      <c r="E116" s="6"/>
    </row>
    <row r="117" spans="1:5" x14ac:dyDescent="0.3">
      <c r="A117" s="6" t="s">
        <v>1735</v>
      </c>
      <c r="B117" s="6" t="s">
        <v>358</v>
      </c>
      <c r="C117" s="6">
        <v>17</v>
      </c>
      <c r="D117" s="6"/>
      <c r="E117" s="6"/>
    </row>
    <row r="118" spans="1:5" x14ac:dyDescent="0.3">
      <c r="A118" s="6"/>
      <c r="B118" s="6" t="s">
        <v>358</v>
      </c>
      <c r="C118" s="6">
        <v>-1</v>
      </c>
      <c r="D118" s="6"/>
      <c r="E118" s="6"/>
    </row>
    <row r="119" spans="1:5" x14ac:dyDescent="0.3">
      <c r="A119" s="6"/>
      <c r="B119" s="6" t="s">
        <v>520</v>
      </c>
      <c r="C119" s="6">
        <v>-1</v>
      </c>
      <c r="D119" s="6"/>
      <c r="E119" s="6"/>
    </row>
    <row r="120" spans="1:5" x14ac:dyDescent="0.3">
      <c r="A120" s="6"/>
      <c r="B120" s="6" t="s">
        <v>520</v>
      </c>
      <c r="C120" s="6">
        <v>-1</v>
      </c>
      <c r="D120" s="6"/>
      <c r="E120" s="6"/>
    </row>
    <row r="121" spans="1:5" x14ac:dyDescent="0.3">
      <c r="A121" s="6"/>
      <c r="B121" s="6" t="s">
        <v>520</v>
      </c>
      <c r="C121" s="6">
        <v>-1</v>
      </c>
      <c r="D121" s="6"/>
      <c r="E121" s="6"/>
    </row>
    <row r="122" spans="1:5" x14ac:dyDescent="0.3">
      <c r="A122" s="6" t="s">
        <v>3983</v>
      </c>
      <c r="B122" s="6" t="s">
        <v>330</v>
      </c>
      <c r="C122" s="6">
        <v>27</v>
      </c>
      <c r="D122" s="6"/>
      <c r="E122" s="6"/>
    </row>
    <row r="123" spans="1:5" x14ac:dyDescent="0.3">
      <c r="A123" s="6"/>
      <c r="B123" s="6" t="s">
        <v>330</v>
      </c>
      <c r="C123" s="6">
        <v>-1</v>
      </c>
      <c r="D123" s="6"/>
      <c r="E123" s="6"/>
    </row>
    <row r="124" spans="1:5" x14ac:dyDescent="0.3">
      <c r="A124" s="6"/>
      <c r="B124" s="6" t="s">
        <v>330</v>
      </c>
      <c r="C124" s="6">
        <v>-1</v>
      </c>
      <c r="D124" s="6"/>
      <c r="E124" s="6"/>
    </row>
    <row r="125" spans="1:5" x14ac:dyDescent="0.3">
      <c r="A125" s="6" t="s">
        <v>3077</v>
      </c>
      <c r="B125" s="6" t="s">
        <v>336</v>
      </c>
      <c r="C125" s="6"/>
      <c r="D125" s="6"/>
      <c r="E125" s="6">
        <v>62</v>
      </c>
    </row>
    <row r="126" spans="1:5" x14ac:dyDescent="0.3">
      <c r="A126" s="6"/>
      <c r="B126" s="6" t="s">
        <v>336</v>
      </c>
      <c r="C126" s="6"/>
      <c r="D126" s="6"/>
      <c r="E126" s="6">
        <v>-1</v>
      </c>
    </row>
    <row r="127" spans="1:5" x14ac:dyDescent="0.3">
      <c r="A127" s="6"/>
      <c r="B127" s="6" t="s">
        <v>336</v>
      </c>
      <c r="C127" s="6"/>
      <c r="D127" s="6"/>
      <c r="E127" s="6">
        <v>-1</v>
      </c>
    </row>
    <row r="128" spans="1:5" x14ac:dyDescent="0.3">
      <c r="A128" s="6" t="s">
        <v>4706</v>
      </c>
      <c r="B128" s="6" t="s">
        <v>356</v>
      </c>
      <c r="C128" s="6"/>
      <c r="D128" s="6">
        <v>45</v>
      </c>
      <c r="E128" s="6"/>
    </row>
    <row r="129" spans="1:5" x14ac:dyDescent="0.3">
      <c r="A129" s="6"/>
      <c r="B129" s="6" t="s">
        <v>356</v>
      </c>
      <c r="C129" s="6"/>
      <c r="D129" s="6">
        <v>-1</v>
      </c>
      <c r="E129" s="6"/>
    </row>
    <row r="130" spans="1:5" x14ac:dyDescent="0.3">
      <c r="A130" s="6"/>
      <c r="B130" s="6" t="s">
        <v>356</v>
      </c>
      <c r="C130" s="6"/>
      <c r="D130" s="6">
        <v>-1</v>
      </c>
      <c r="E130" s="6"/>
    </row>
    <row r="131" spans="1:5" x14ac:dyDescent="0.3">
      <c r="A131" s="6"/>
      <c r="B131" s="6" t="s">
        <v>384</v>
      </c>
      <c r="C131" s="6">
        <v>-1</v>
      </c>
      <c r="D131" s="6"/>
      <c r="E131" s="6"/>
    </row>
    <row r="132" spans="1:5" x14ac:dyDescent="0.3">
      <c r="A132" s="6"/>
      <c r="B132" s="6" t="s">
        <v>384</v>
      </c>
      <c r="C132" s="6">
        <v>-1</v>
      </c>
      <c r="D132" s="6"/>
      <c r="E132" s="6"/>
    </row>
    <row r="133" spans="1:5" x14ac:dyDescent="0.3">
      <c r="A133" s="6"/>
      <c r="B133" s="6" t="s">
        <v>384</v>
      </c>
      <c r="C133" s="6">
        <v>-1</v>
      </c>
      <c r="D133" s="6"/>
      <c r="E133" s="6"/>
    </row>
    <row r="134" spans="1:5" x14ac:dyDescent="0.3">
      <c r="A134" s="6"/>
      <c r="B134" s="6" t="s">
        <v>400</v>
      </c>
      <c r="C134" s="6">
        <v>-1</v>
      </c>
      <c r="D134" s="6"/>
      <c r="E134" s="6"/>
    </row>
    <row r="135" spans="1:5" x14ac:dyDescent="0.3">
      <c r="A135" s="6" t="s">
        <v>3084</v>
      </c>
      <c r="B135" s="6" t="s">
        <v>336</v>
      </c>
      <c r="C135" s="6">
        <v>32</v>
      </c>
      <c r="D135" s="6"/>
      <c r="E135" s="6"/>
    </row>
    <row r="136" spans="1:5" x14ac:dyDescent="0.3">
      <c r="A136" s="6"/>
      <c r="B136" s="6" t="s">
        <v>384</v>
      </c>
      <c r="C136" s="6"/>
      <c r="D136" s="6">
        <v>-1</v>
      </c>
      <c r="E136" s="6"/>
    </row>
    <row r="137" spans="1:5" x14ac:dyDescent="0.3">
      <c r="A137" s="6"/>
      <c r="B137" s="6" t="s">
        <v>384</v>
      </c>
      <c r="C137" s="6"/>
      <c r="D137" s="6">
        <v>-1</v>
      </c>
      <c r="E137" s="6"/>
    </row>
    <row r="138" spans="1:5" x14ac:dyDescent="0.3">
      <c r="A138" s="6"/>
      <c r="B138" s="6" t="s">
        <v>384</v>
      </c>
      <c r="C138" s="6"/>
      <c r="D138" s="6">
        <v>-1</v>
      </c>
      <c r="E138" s="6"/>
    </row>
    <row r="139" spans="1:5" x14ac:dyDescent="0.3">
      <c r="A139" s="6" t="s">
        <v>3070</v>
      </c>
      <c r="B139" s="6" t="s">
        <v>336</v>
      </c>
      <c r="C139" s="6"/>
      <c r="D139" s="6">
        <v>43</v>
      </c>
      <c r="E139" s="6"/>
    </row>
    <row r="140" spans="1:5" x14ac:dyDescent="0.3">
      <c r="A140" s="6" t="s">
        <v>3074</v>
      </c>
      <c r="B140" s="6" t="s">
        <v>336</v>
      </c>
      <c r="C140" s="6"/>
      <c r="D140" s="6">
        <v>27</v>
      </c>
      <c r="E140" s="6"/>
    </row>
    <row r="141" spans="1:5" x14ac:dyDescent="0.3">
      <c r="A141" s="6" t="s">
        <v>3087</v>
      </c>
      <c r="B141" s="6" t="s">
        <v>336</v>
      </c>
      <c r="C141" s="6"/>
      <c r="D141" s="6">
        <v>1001</v>
      </c>
      <c r="E141" s="6"/>
    </row>
    <row r="142" spans="1:5" x14ac:dyDescent="0.3">
      <c r="A142" s="6" t="s">
        <v>1980</v>
      </c>
      <c r="B142" s="6" t="s">
        <v>332</v>
      </c>
      <c r="C142" s="6"/>
      <c r="D142" s="6"/>
      <c r="E142" s="6">
        <v>16</v>
      </c>
    </row>
    <row r="143" spans="1:5" x14ac:dyDescent="0.3">
      <c r="A143" s="6"/>
      <c r="B143" s="6" t="s">
        <v>332</v>
      </c>
      <c r="C143" s="6"/>
      <c r="D143" s="6"/>
      <c r="E143" s="6">
        <v>-1</v>
      </c>
    </row>
    <row r="144" spans="1:5" x14ac:dyDescent="0.3">
      <c r="A144" s="6"/>
      <c r="B144" s="6" t="s">
        <v>332</v>
      </c>
      <c r="C144" s="6"/>
      <c r="D144" s="6"/>
      <c r="E144" s="6">
        <v>-1</v>
      </c>
    </row>
    <row r="145" spans="1:5" x14ac:dyDescent="0.3">
      <c r="A145" s="6" t="s">
        <v>2544</v>
      </c>
      <c r="B145" s="6" t="s">
        <v>384</v>
      </c>
      <c r="C145" s="6"/>
      <c r="D145" s="6"/>
      <c r="E145" s="6">
        <v>50</v>
      </c>
    </row>
    <row r="146" spans="1:5" x14ac:dyDescent="0.3">
      <c r="A146" s="6"/>
      <c r="B146" s="6" t="s">
        <v>384</v>
      </c>
      <c r="C146" s="6"/>
      <c r="D146" s="6"/>
      <c r="E146" s="6">
        <v>-1</v>
      </c>
    </row>
    <row r="147" spans="1:5" x14ac:dyDescent="0.3">
      <c r="A147" s="6"/>
      <c r="B147" s="6" t="s">
        <v>384</v>
      </c>
      <c r="C147" s="6"/>
      <c r="D147" s="6"/>
      <c r="E147" s="6">
        <v>-1</v>
      </c>
    </row>
    <row r="148" spans="1:5" x14ac:dyDescent="0.3">
      <c r="A148" s="6" t="s">
        <v>4549</v>
      </c>
      <c r="B148" s="6" t="s">
        <v>350</v>
      </c>
      <c r="C148" s="6"/>
      <c r="D148" s="6"/>
      <c r="E148" s="6">
        <v>49</v>
      </c>
    </row>
    <row r="149" spans="1:5" x14ac:dyDescent="0.3">
      <c r="A149" s="6"/>
      <c r="B149" s="6" t="s">
        <v>350</v>
      </c>
      <c r="C149" s="6"/>
      <c r="D149" s="6"/>
      <c r="E149" s="6">
        <v>-1</v>
      </c>
    </row>
    <row r="150" spans="1:5" x14ac:dyDescent="0.3">
      <c r="A150" s="6"/>
      <c r="B150" s="6" t="s">
        <v>350</v>
      </c>
      <c r="C150" s="6"/>
      <c r="D150" s="6"/>
      <c r="E150" s="6">
        <v>-1</v>
      </c>
    </row>
    <row r="151" spans="1:5" x14ac:dyDescent="0.3">
      <c r="A151" s="6" t="s">
        <v>4719</v>
      </c>
      <c r="B151" s="6" t="s">
        <v>362</v>
      </c>
      <c r="C151" s="6"/>
      <c r="D151" s="6"/>
      <c r="E151" s="6">
        <v>66</v>
      </c>
    </row>
    <row r="152" spans="1:5" x14ac:dyDescent="0.3">
      <c r="A152" s="6" t="s">
        <v>3469</v>
      </c>
      <c r="B152" s="6" t="s">
        <v>340</v>
      </c>
      <c r="C152" s="6"/>
      <c r="D152" s="6"/>
      <c r="E152" s="6">
        <v>25</v>
      </c>
    </row>
    <row r="153" spans="1:5" x14ac:dyDescent="0.3">
      <c r="A153" s="6" t="s">
        <v>3944</v>
      </c>
      <c r="B153" s="6" t="s">
        <v>366</v>
      </c>
      <c r="C153" s="6"/>
      <c r="D153" s="6"/>
      <c r="E153" s="6">
        <v>65</v>
      </c>
    </row>
    <row r="154" spans="1:5" x14ac:dyDescent="0.3">
      <c r="A154" s="6"/>
      <c r="B154" s="6" t="s">
        <v>346</v>
      </c>
      <c r="C154" s="6">
        <v>-1</v>
      </c>
      <c r="D154" s="6"/>
      <c r="E154" s="6"/>
    </row>
    <row r="155" spans="1:5" x14ac:dyDescent="0.3">
      <c r="A155" s="6"/>
      <c r="B155" s="6" t="s">
        <v>346</v>
      </c>
      <c r="C155" s="6">
        <v>-1</v>
      </c>
      <c r="D155" s="6"/>
      <c r="E155" s="6"/>
    </row>
    <row r="156" spans="1:5" x14ac:dyDescent="0.3">
      <c r="A156" s="6"/>
      <c r="B156" s="6" t="s">
        <v>346</v>
      </c>
      <c r="C156" s="6">
        <v>-1</v>
      </c>
      <c r="D156" s="6"/>
      <c r="E156" s="6"/>
    </row>
    <row r="157" spans="1:5" x14ac:dyDescent="0.3">
      <c r="A157" s="6" t="s">
        <v>1461</v>
      </c>
      <c r="B157" s="6" t="s">
        <v>372</v>
      </c>
      <c r="C157" s="6">
        <v>53</v>
      </c>
      <c r="D157" s="6"/>
      <c r="E157" s="6"/>
    </row>
    <row r="158" spans="1:5" x14ac:dyDescent="0.3">
      <c r="A158" s="6" t="s">
        <v>4931</v>
      </c>
      <c r="B158" s="6" t="s">
        <v>372</v>
      </c>
      <c r="C158" s="6">
        <v>29</v>
      </c>
      <c r="D158" s="6"/>
      <c r="E158" s="6"/>
    </row>
    <row r="159" spans="1:5" x14ac:dyDescent="0.3">
      <c r="A159" s="6"/>
      <c r="B159" s="6" t="s">
        <v>372</v>
      </c>
      <c r="C159" s="6">
        <v>-1</v>
      </c>
      <c r="D159" s="6"/>
      <c r="E159" s="6"/>
    </row>
    <row r="160" spans="1:5" x14ac:dyDescent="0.3">
      <c r="A160" s="6" t="s">
        <v>4993</v>
      </c>
      <c r="B160" s="6" t="s">
        <v>364</v>
      </c>
      <c r="C160" s="6">
        <v>10</v>
      </c>
      <c r="D160" s="6"/>
      <c r="E160" s="6"/>
    </row>
    <row r="161" spans="1:5" x14ac:dyDescent="0.3">
      <c r="A161" s="6"/>
      <c r="B161" s="6" t="s">
        <v>596</v>
      </c>
      <c r="C161" s="6">
        <v>-1</v>
      </c>
      <c r="D161" s="6"/>
      <c r="E161" s="6"/>
    </row>
    <row r="162" spans="1:5" x14ac:dyDescent="0.3">
      <c r="A162" s="6"/>
      <c r="B162" s="6" t="s">
        <v>622</v>
      </c>
      <c r="C162" s="6">
        <v>-1</v>
      </c>
      <c r="D162" s="6"/>
      <c r="E162" s="6"/>
    </row>
    <row r="163" spans="1:5" x14ac:dyDescent="0.3">
      <c r="A163" s="6"/>
      <c r="B163" s="6" t="s">
        <v>444</v>
      </c>
      <c r="C163" s="6">
        <v>-1</v>
      </c>
      <c r="D163" s="6"/>
      <c r="E163" s="6"/>
    </row>
    <row r="164" spans="1:5" x14ac:dyDescent="0.3">
      <c r="A164" s="6"/>
      <c r="B164" s="6" t="s">
        <v>620</v>
      </c>
      <c r="C164" s="6">
        <v>-1</v>
      </c>
      <c r="D164" s="6"/>
      <c r="E164" s="6"/>
    </row>
    <row r="165" spans="1:5" x14ac:dyDescent="0.3">
      <c r="A165" s="6"/>
      <c r="B165" s="6" t="s">
        <v>390</v>
      </c>
      <c r="C165" s="6">
        <v>-1</v>
      </c>
      <c r="D165" s="6"/>
      <c r="E165" s="6"/>
    </row>
    <row r="166" spans="1:5" x14ac:dyDescent="0.3">
      <c r="A166" s="6"/>
      <c r="B166" s="6" t="s">
        <v>374</v>
      </c>
      <c r="C166" s="6">
        <v>-1</v>
      </c>
      <c r="D166" s="6"/>
      <c r="E166" s="6"/>
    </row>
    <row r="167" spans="1:5" x14ac:dyDescent="0.3">
      <c r="A167" s="6" t="s">
        <v>4446</v>
      </c>
      <c r="B167" s="6" t="s">
        <v>352</v>
      </c>
      <c r="C167" s="6">
        <v>45</v>
      </c>
      <c r="D167" s="6"/>
      <c r="E167" s="6"/>
    </row>
    <row r="168" spans="1:5" x14ac:dyDescent="0.3">
      <c r="A168" s="6"/>
      <c r="B168" s="6" t="s">
        <v>378</v>
      </c>
      <c r="C168" s="6">
        <v>-1</v>
      </c>
      <c r="D168" s="6"/>
      <c r="E168" s="6"/>
    </row>
    <row r="169" spans="1:5" x14ac:dyDescent="0.3">
      <c r="A169" s="6" t="s">
        <v>2750</v>
      </c>
      <c r="B169" s="6" t="s">
        <v>474</v>
      </c>
      <c r="C169" s="6">
        <v>39</v>
      </c>
      <c r="D169" s="6"/>
      <c r="E169" s="6"/>
    </row>
    <row r="170" spans="1:5" x14ac:dyDescent="0.3">
      <c r="A170" s="6"/>
      <c r="B170" s="6" t="s">
        <v>446</v>
      </c>
      <c r="C170" s="6">
        <v>-1</v>
      </c>
      <c r="D170" s="6"/>
      <c r="E170" s="6"/>
    </row>
    <row r="171" spans="1:5" x14ac:dyDescent="0.3">
      <c r="A171" s="6"/>
      <c r="B171" s="6" t="s">
        <v>448</v>
      </c>
      <c r="C171" s="6">
        <v>-1</v>
      </c>
      <c r="D171" s="6"/>
      <c r="E171" s="6"/>
    </row>
    <row r="172" spans="1:5" x14ac:dyDescent="0.3">
      <c r="A172" s="6"/>
      <c r="B172" s="6" t="s">
        <v>700</v>
      </c>
      <c r="C172" s="6">
        <v>-1</v>
      </c>
      <c r="D172" s="6"/>
      <c r="E172" s="6"/>
    </row>
    <row r="173" spans="1:5" x14ac:dyDescent="0.3">
      <c r="A173" s="6"/>
      <c r="B173" s="6" t="s">
        <v>414</v>
      </c>
      <c r="C173" s="6"/>
      <c r="D173" s="6">
        <v>-1</v>
      </c>
      <c r="E173" s="6"/>
    </row>
    <row r="174" spans="1:5" x14ac:dyDescent="0.3">
      <c r="A174" s="6"/>
      <c r="B174" s="6" t="s">
        <v>372</v>
      </c>
      <c r="C174" s="6"/>
      <c r="D174" s="6">
        <v>-1</v>
      </c>
      <c r="E174" s="6"/>
    </row>
    <row r="175" spans="1:5" x14ac:dyDescent="0.3">
      <c r="A175" s="6"/>
      <c r="B175" s="6" t="s">
        <v>330</v>
      </c>
      <c r="C175" s="6"/>
      <c r="D175" s="6">
        <v>-1</v>
      </c>
      <c r="E175" s="6"/>
    </row>
    <row r="176" spans="1:5" x14ac:dyDescent="0.3">
      <c r="A176" s="6"/>
      <c r="B176" s="6" t="s">
        <v>358</v>
      </c>
      <c r="C176" s="6"/>
      <c r="D176" s="6">
        <v>-1</v>
      </c>
      <c r="E176" s="6"/>
    </row>
    <row r="177" spans="1:5" x14ac:dyDescent="0.3">
      <c r="A177" s="6" t="s">
        <v>1622</v>
      </c>
      <c r="B177" s="6" t="s">
        <v>406</v>
      </c>
      <c r="C177" s="6"/>
      <c r="D177" s="6">
        <v>40</v>
      </c>
      <c r="E177" s="6"/>
    </row>
    <row r="178" spans="1:5" x14ac:dyDescent="0.3">
      <c r="A178" s="6" t="s">
        <v>2102</v>
      </c>
      <c r="B178" s="6" t="s">
        <v>442</v>
      </c>
      <c r="C178" s="6"/>
      <c r="D178" s="6">
        <v>1001</v>
      </c>
      <c r="E178" s="6"/>
    </row>
    <row r="179" spans="1:5" x14ac:dyDescent="0.3">
      <c r="A179" s="6" t="s">
        <v>4246</v>
      </c>
      <c r="B179" s="6" t="s">
        <v>400</v>
      </c>
      <c r="C179" s="6"/>
      <c r="D179" s="6">
        <v>1001</v>
      </c>
      <c r="E179" s="6"/>
    </row>
    <row r="180" spans="1:5" x14ac:dyDescent="0.3">
      <c r="A180" s="6"/>
      <c r="B180" s="6" t="s">
        <v>400</v>
      </c>
      <c r="C180" s="6"/>
      <c r="D180" s="6">
        <v>-1</v>
      </c>
      <c r="E180" s="6"/>
    </row>
    <row r="181" spans="1:5" x14ac:dyDescent="0.3">
      <c r="A181" s="6"/>
      <c r="B181" s="6" t="s">
        <v>422</v>
      </c>
      <c r="C181" s="6"/>
      <c r="D181" s="6">
        <v>-1</v>
      </c>
      <c r="E181" s="6"/>
    </row>
    <row r="182" spans="1:5" x14ac:dyDescent="0.3">
      <c r="A182" s="6" t="s">
        <v>4586</v>
      </c>
      <c r="B182" s="6" t="s">
        <v>378</v>
      </c>
      <c r="C182" s="6"/>
      <c r="D182" s="6">
        <v>44</v>
      </c>
      <c r="E182" s="6"/>
    </row>
    <row r="183" spans="1:5" x14ac:dyDescent="0.3">
      <c r="A183" s="6" t="s">
        <v>1485</v>
      </c>
      <c r="B183" s="6" t="s">
        <v>328</v>
      </c>
      <c r="C183" s="6"/>
      <c r="D183" s="6">
        <v>23</v>
      </c>
      <c r="E183" s="6"/>
    </row>
    <row r="184" spans="1:5" x14ac:dyDescent="0.3">
      <c r="A184" s="6" t="s">
        <v>4299</v>
      </c>
      <c r="B184" s="6" t="s">
        <v>328</v>
      </c>
      <c r="C184" s="6"/>
      <c r="D184" s="6">
        <v>1001</v>
      </c>
      <c r="E184" s="6"/>
    </row>
    <row r="185" spans="1:5" x14ac:dyDescent="0.3">
      <c r="A185" s="6"/>
      <c r="B185" s="6" t="s">
        <v>330</v>
      </c>
      <c r="C185" s="6"/>
      <c r="D185" s="6">
        <v>-1</v>
      </c>
      <c r="E185" s="6"/>
    </row>
    <row r="186" spans="1:5" x14ac:dyDescent="0.3">
      <c r="A186" s="6" t="s">
        <v>1880</v>
      </c>
      <c r="B186" s="6" t="s">
        <v>372</v>
      </c>
      <c r="C186" s="6"/>
      <c r="D186" s="6">
        <v>1001</v>
      </c>
      <c r="E186" s="6"/>
    </row>
    <row r="187" spans="1:5" x14ac:dyDescent="0.3">
      <c r="A187" s="6"/>
      <c r="B187" s="6" t="s">
        <v>442</v>
      </c>
      <c r="C187" s="6"/>
      <c r="D187" s="6">
        <v>-1</v>
      </c>
      <c r="E187" s="6"/>
    </row>
    <row r="188" spans="1:5" x14ac:dyDescent="0.3">
      <c r="A188" s="6" t="s">
        <v>4140</v>
      </c>
      <c r="B188" s="6" t="s">
        <v>346</v>
      </c>
      <c r="C188" s="6"/>
      <c r="D188" s="6">
        <v>1001</v>
      </c>
      <c r="E188" s="6"/>
    </row>
    <row r="189" spans="1:5" x14ac:dyDescent="0.3">
      <c r="A189" s="6" t="s">
        <v>1722</v>
      </c>
      <c r="B189" s="6" t="s">
        <v>358</v>
      </c>
      <c r="C189" s="6"/>
      <c r="D189" s="6">
        <v>33</v>
      </c>
      <c r="E189" s="6"/>
    </row>
    <row r="190" spans="1:5" x14ac:dyDescent="0.3">
      <c r="A190" s="6" t="s">
        <v>2226</v>
      </c>
      <c r="B190" s="6" t="s">
        <v>414</v>
      </c>
      <c r="C190" s="6"/>
      <c r="D190" s="6"/>
      <c r="E190" s="6">
        <v>41</v>
      </c>
    </row>
    <row r="191" spans="1:5" x14ac:dyDescent="0.3">
      <c r="A191" s="6" t="s">
        <v>4995</v>
      </c>
      <c r="B191" s="6" t="s">
        <v>364</v>
      </c>
      <c r="C191" s="6"/>
      <c r="D191" s="6"/>
      <c r="E191" s="6">
        <v>24</v>
      </c>
    </row>
    <row r="192" spans="1:5" x14ac:dyDescent="0.3">
      <c r="A192" s="6"/>
      <c r="B192" s="6" t="s">
        <v>356</v>
      </c>
      <c r="C192" s="6"/>
      <c r="D192" s="6"/>
      <c r="E192" s="6">
        <v>-1</v>
      </c>
    </row>
    <row r="193" spans="1:5" x14ac:dyDescent="0.3">
      <c r="A193" s="6"/>
      <c r="B193" s="6" t="s">
        <v>346</v>
      </c>
      <c r="C193" s="6"/>
      <c r="D193" s="6"/>
      <c r="E193" s="6">
        <v>-1</v>
      </c>
    </row>
    <row r="194" spans="1:5" x14ac:dyDescent="0.3">
      <c r="A194" s="6"/>
      <c r="B194" s="6" t="s">
        <v>614</v>
      </c>
      <c r="C194" s="6"/>
      <c r="D194" s="6"/>
      <c r="E194" s="6">
        <v>-1</v>
      </c>
    </row>
    <row r="195" spans="1:5" x14ac:dyDescent="0.3">
      <c r="A195" s="6"/>
      <c r="B195" s="6" t="s">
        <v>342</v>
      </c>
      <c r="C195" s="6"/>
      <c r="D195" s="6"/>
      <c r="E195" s="6">
        <v>-1</v>
      </c>
    </row>
    <row r="196" spans="1:5" x14ac:dyDescent="0.3">
      <c r="A196" s="6" t="s">
        <v>4448</v>
      </c>
      <c r="B196" s="6" t="s">
        <v>352</v>
      </c>
      <c r="C196" s="6"/>
      <c r="D196" s="6"/>
      <c r="E196" s="6">
        <v>63</v>
      </c>
    </row>
    <row r="197" spans="1:5" x14ac:dyDescent="0.3">
      <c r="A197" s="6"/>
      <c r="B197" s="6" t="s">
        <v>326</v>
      </c>
      <c r="C197" s="6"/>
      <c r="D197" s="6"/>
      <c r="E197" s="6">
        <v>-1</v>
      </c>
    </row>
    <row r="198" spans="1:5" x14ac:dyDescent="0.3">
      <c r="A198" s="6"/>
      <c r="B198" s="6" t="s">
        <v>708</v>
      </c>
      <c r="C198" s="6"/>
      <c r="D198" s="6"/>
      <c r="E198" s="6">
        <v>-1</v>
      </c>
    </row>
    <row r="199" spans="1:5" x14ac:dyDescent="0.3">
      <c r="A199" s="6"/>
      <c r="B199" s="6" t="s">
        <v>478</v>
      </c>
      <c r="C199" s="6"/>
      <c r="D199" s="6"/>
      <c r="E199" s="6">
        <v>-1</v>
      </c>
    </row>
    <row r="200" spans="1:5" x14ac:dyDescent="0.3">
      <c r="A200" s="6"/>
      <c r="B200" s="6" t="s">
        <v>620</v>
      </c>
      <c r="C200" s="6"/>
      <c r="D200" s="6"/>
      <c r="E200" s="6">
        <v>-1</v>
      </c>
    </row>
    <row r="201" spans="1:5" x14ac:dyDescent="0.3">
      <c r="A201" s="6" t="s">
        <v>1460</v>
      </c>
      <c r="B201" s="6" t="s">
        <v>572</v>
      </c>
      <c r="C201" s="6"/>
      <c r="D201" s="6"/>
      <c r="E201" s="6">
        <v>1001</v>
      </c>
    </row>
  </sheetData>
  <pageMargins left="0.7" right="0.7" top="0.75" bottom="0.75" header="0.3" footer="0.3"/>
  <tableParts count="1">
    <tablePart r:id="rId1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912603-268A-4270-9FF8-E320E3EA3C4F}">
  <dimension ref="A1:G52"/>
  <sheetViews>
    <sheetView topLeftCell="A49" workbookViewId="0">
      <selection activeCell="B53" sqref="B53"/>
    </sheetView>
  </sheetViews>
  <sheetFormatPr defaultRowHeight="14.4" x14ac:dyDescent="0.3"/>
  <cols>
    <col min="1" max="1" width="66.6640625" bestFit="1" customWidth="1"/>
    <col min="2" max="2" width="19" bestFit="1" customWidth="1"/>
    <col min="3" max="3" width="22.21875" bestFit="1" customWidth="1"/>
    <col min="4" max="4" width="22.109375" bestFit="1" customWidth="1"/>
    <col min="5" max="5" width="21.88671875" bestFit="1" customWidth="1"/>
    <col min="6" max="6" width="17" bestFit="1" customWidth="1"/>
    <col min="7" max="7" width="14.77734375" bestFit="1" customWidth="1"/>
  </cols>
  <sheetData>
    <row r="1" spans="1:7" x14ac:dyDescent="0.3">
      <c r="A1" t="s">
        <v>834</v>
      </c>
      <c r="B1" t="s">
        <v>1</v>
      </c>
      <c r="C1" t="s">
        <v>909</v>
      </c>
      <c r="D1" t="s">
        <v>910</v>
      </c>
      <c r="E1" t="s">
        <v>911</v>
      </c>
      <c r="F1" t="s">
        <v>1212</v>
      </c>
      <c r="G1" t="s">
        <v>1213</v>
      </c>
    </row>
    <row r="2" spans="1:7" x14ac:dyDescent="0.3">
      <c r="A2" s="6"/>
      <c r="B2" s="6" t="s">
        <v>344</v>
      </c>
      <c r="C2" s="6">
        <v>-1</v>
      </c>
      <c r="D2" s="6"/>
      <c r="E2" s="6"/>
      <c r="F2" s="6">
        <f>Table45[[#This Row],[Total Athletes]]-(LEN(Table45[[#This Row],[Team]])-LEN(SUBSTITUTE(Table45[[#This Row],[Team]],"/","")))-1</f>
        <v>-1</v>
      </c>
      <c r="G2" s="6"/>
    </row>
    <row r="3" spans="1:7" x14ac:dyDescent="0.3">
      <c r="A3" s="6" t="s">
        <v>2842</v>
      </c>
      <c r="B3" s="6" t="s">
        <v>344</v>
      </c>
      <c r="C3" s="6"/>
      <c r="D3" s="6">
        <v>2</v>
      </c>
      <c r="E3" s="6"/>
      <c r="F3" s="6">
        <f>Table45[[#This Row],[Total Athletes]]-(LEN(Table45[[#This Row],[Team]])-LEN(SUBSTITUTE(Table45[[#This Row],[Team]],"/","")))-1</f>
        <v>2</v>
      </c>
      <c r="G3" s="6">
        <v>3</v>
      </c>
    </row>
    <row r="4" spans="1:7" x14ac:dyDescent="0.3">
      <c r="A4" s="6" t="s">
        <v>3268</v>
      </c>
      <c r="B4" s="6" t="s">
        <v>344</v>
      </c>
      <c r="C4" s="6"/>
      <c r="D4" s="6"/>
      <c r="E4" s="6">
        <v>3</v>
      </c>
      <c r="F4" s="6">
        <f>Table45[[#This Row],[Total Athletes]]-(LEN(Table45[[#This Row],[Team]])-LEN(SUBSTITUTE(Table45[[#This Row],[Team]],"/","")))-1</f>
        <v>2</v>
      </c>
      <c r="G4" s="6">
        <v>3</v>
      </c>
    </row>
    <row r="5" spans="1:7" x14ac:dyDescent="0.3">
      <c r="A5" s="6" t="s">
        <v>2219</v>
      </c>
      <c r="B5" s="6" t="s">
        <v>414</v>
      </c>
      <c r="C5" s="6">
        <v>2</v>
      </c>
      <c r="D5" s="6"/>
      <c r="E5" s="6"/>
      <c r="F5" s="6">
        <f>Table45[[#This Row],[Total Athletes]]-(LEN(Table45[[#This Row],[Team]])-LEN(SUBSTITUTE(Table45[[#This Row],[Team]],"/","")))-1</f>
        <v>2</v>
      </c>
      <c r="G5" s="6">
        <v>3</v>
      </c>
    </row>
    <row r="6" spans="1:7" x14ac:dyDescent="0.3">
      <c r="A6" s="6" t="s">
        <v>1482</v>
      </c>
      <c r="B6" s="6" t="s">
        <v>402</v>
      </c>
      <c r="C6" s="6">
        <v>3</v>
      </c>
      <c r="D6" s="6"/>
      <c r="E6" s="6"/>
      <c r="F6" s="6">
        <f>Table45[[#This Row],[Total Athletes]]-(LEN(Table45[[#This Row],[Team]])-LEN(SUBSTITUTE(Table45[[#This Row],[Team]],"/","")))-1</f>
        <v>2</v>
      </c>
      <c r="G6" s="6">
        <v>3</v>
      </c>
    </row>
    <row r="7" spans="1:7" x14ac:dyDescent="0.3">
      <c r="A7" s="6"/>
      <c r="B7" s="6" t="s">
        <v>334</v>
      </c>
      <c r="C7" s="6">
        <v>-1</v>
      </c>
      <c r="D7" s="6"/>
      <c r="E7" s="6"/>
      <c r="F7" s="6">
        <f>Table45[[#This Row],[Total Athletes]]-(LEN(Table45[[#This Row],[Team]])-LEN(SUBSTITUTE(Table45[[#This Row],[Team]],"/","")))-1</f>
        <v>-1</v>
      </c>
      <c r="G7" s="6"/>
    </row>
    <row r="8" spans="1:7" x14ac:dyDescent="0.3">
      <c r="A8" s="6" t="s">
        <v>3163</v>
      </c>
      <c r="B8" s="6" t="s">
        <v>338</v>
      </c>
      <c r="C8" s="6">
        <v>6</v>
      </c>
      <c r="D8" s="6"/>
      <c r="E8" s="6"/>
      <c r="F8" s="6">
        <f>Table45[[#This Row],[Total Athletes]]-(LEN(Table45[[#This Row],[Team]])-LEN(SUBSTITUTE(Table45[[#This Row],[Team]],"/","")))-1</f>
        <v>1</v>
      </c>
      <c r="G8" s="6">
        <v>3</v>
      </c>
    </row>
    <row r="9" spans="1:7" x14ac:dyDescent="0.3">
      <c r="A9" s="6" t="s">
        <v>3581</v>
      </c>
      <c r="B9" s="6" t="s">
        <v>412</v>
      </c>
      <c r="C9" s="6">
        <v>4</v>
      </c>
      <c r="D9" s="6"/>
      <c r="E9" s="6"/>
      <c r="F9" s="6">
        <f>Table45[[#This Row],[Total Athletes]]-(LEN(Table45[[#This Row],[Team]])-LEN(SUBSTITUTE(Table45[[#This Row],[Team]],"/","")))-1</f>
        <v>0</v>
      </c>
      <c r="G9" s="6">
        <v>3</v>
      </c>
    </row>
    <row r="10" spans="1:7" x14ac:dyDescent="0.3">
      <c r="A10" s="6"/>
      <c r="B10" s="6" t="s">
        <v>332</v>
      </c>
      <c r="C10" s="6">
        <v>-1</v>
      </c>
      <c r="D10" s="6"/>
      <c r="E10" s="6"/>
      <c r="F10" s="6">
        <f>Table45[[#This Row],[Total Athletes]]-(LEN(Table45[[#This Row],[Team]])-LEN(SUBSTITUTE(Table45[[#This Row],[Team]],"/","")))-1</f>
        <v>-1</v>
      </c>
      <c r="G10" s="6"/>
    </row>
    <row r="11" spans="1:7" x14ac:dyDescent="0.3">
      <c r="A11" s="6" t="s">
        <v>1248</v>
      </c>
      <c r="B11" s="6" t="s">
        <v>354</v>
      </c>
      <c r="C11" s="6">
        <v>9</v>
      </c>
      <c r="D11" s="6"/>
      <c r="E11" s="6"/>
      <c r="F11" s="6">
        <f>Table45[[#This Row],[Total Athletes]]-(LEN(Table45[[#This Row],[Team]])-LEN(SUBSTITUTE(Table45[[#This Row],[Team]],"/","")))-1</f>
        <v>2</v>
      </c>
      <c r="G11" s="6">
        <v>3</v>
      </c>
    </row>
    <row r="12" spans="1:7" x14ac:dyDescent="0.3">
      <c r="A12" s="6"/>
      <c r="B12" s="6" t="s">
        <v>338</v>
      </c>
      <c r="C12" s="6"/>
      <c r="D12" s="6"/>
      <c r="E12" s="6">
        <v>-1</v>
      </c>
      <c r="F12" s="6">
        <f>Table45[[#This Row],[Total Athletes]]-(LEN(Table45[[#This Row],[Team]])-LEN(SUBSTITUTE(Table45[[#This Row],[Team]],"/","")))-1</f>
        <v>-1</v>
      </c>
      <c r="G12" s="6"/>
    </row>
    <row r="13" spans="1:7" x14ac:dyDescent="0.3">
      <c r="A13" s="6" t="s">
        <v>2960</v>
      </c>
      <c r="B13" s="6" t="s">
        <v>412</v>
      </c>
      <c r="C13" s="6"/>
      <c r="D13" s="6"/>
      <c r="E13" s="6">
        <v>4</v>
      </c>
      <c r="F13" s="6">
        <f>Table45[[#This Row],[Total Athletes]]-(LEN(Table45[[#This Row],[Team]])-LEN(SUBSTITUTE(Table45[[#This Row],[Team]],"/","")))-1</f>
        <v>1</v>
      </c>
      <c r="G13" s="6">
        <v>3</v>
      </c>
    </row>
    <row r="14" spans="1:7" x14ac:dyDescent="0.3">
      <c r="A14" s="6" t="s">
        <v>1670</v>
      </c>
      <c r="B14" s="6" t="s">
        <v>402</v>
      </c>
      <c r="C14" s="6"/>
      <c r="D14" s="6"/>
      <c r="E14" s="6">
        <v>1</v>
      </c>
      <c r="F14" s="6">
        <f>Table45[[#This Row],[Total Athletes]]-(LEN(Table45[[#This Row],[Team]])-LEN(SUBSTITUTE(Table45[[#This Row],[Team]],"/","")))-1</f>
        <v>1</v>
      </c>
      <c r="G14" s="6">
        <v>3</v>
      </c>
    </row>
    <row r="15" spans="1:7" x14ac:dyDescent="0.3">
      <c r="A15" s="6" t="s">
        <v>3577</v>
      </c>
      <c r="B15" s="6" t="s">
        <v>596</v>
      </c>
      <c r="C15" s="6"/>
      <c r="D15" s="6"/>
      <c r="E15" s="6">
        <v>7</v>
      </c>
      <c r="F15" s="6">
        <f>Table45[[#This Row],[Total Athletes]]-(LEN(Table45[[#This Row],[Team]])-LEN(SUBSTITUTE(Table45[[#This Row],[Team]],"/","")))-1</f>
        <v>1</v>
      </c>
      <c r="G15" s="6">
        <v>3</v>
      </c>
    </row>
    <row r="16" spans="1:7" x14ac:dyDescent="0.3">
      <c r="A16" s="6"/>
      <c r="B16" s="6" t="s">
        <v>334</v>
      </c>
      <c r="C16" s="6"/>
      <c r="D16" s="6"/>
      <c r="E16" s="6">
        <v>-1</v>
      </c>
      <c r="F16" s="6">
        <f>Table45[[#This Row],[Total Athletes]]-(LEN(Table45[[#This Row],[Team]])-LEN(SUBSTITUTE(Table45[[#This Row],[Team]],"/","")))-1</f>
        <v>-1</v>
      </c>
      <c r="G16" s="6"/>
    </row>
    <row r="17" spans="1:7" x14ac:dyDescent="0.3">
      <c r="A17" s="6"/>
      <c r="B17" s="6" t="s">
        <v>334</v>
      </c>
      <c r="C17" s="6"/>
      <c r="D17" s="6">
        <v>-1</v>
      </c>
      <c r="E17" s="6"/>
      <c r="F17" s="6">
        <f>Table45[[#This Row],[Total Athletes]]-(LEN(Table45[[#This Row],[Team]])-LEN(SUBSTITUTE(Table45[[#This Row],[Team]],"/","")))-1</f>
        <v>-1</v>
      </c>
      <c r="G17" s="6"/>
    </row>
    <row r="18" spans="1:7" x14ac:dyDescent="0.3">
      <c r="A18" s="6" t="s">
        <v>4527</v>
      </c>
      <c r="B18" s="6" t="s">
        <v>332</v>
      </c>
      <c r="C18" s="6"/>
      <c r="D18" s="6">
        <v>6</v>
      </c>
      <c r="E18" s="6"/>
      <c r="F18" s="6">
        <f>Table45[[#This Row],[Total Athletes]]-(LEN(Table45[[#This Row],[Team]])-LEN(SUBSTITUTE(Table45[[#This Row],[Team]],"/","")))-1</f>
        <v>0</v>
      </c>
      <c r="G18" s="6">
        <v>3</v>
      </c>
    </row>
    <row r="19" spans="1:7" x14ac:dyDescent="0.3">
      <c r="A19" s="6" t="s">
        <v>4157</v>
      </c>
      <c r="B19" s="6" t="s">
        <v>474</v>
      </c>
      <c r="C19" s="6"/>
      <c r="D19" s="6">
        <v>7</v>
      </c>
      <c r="E19" s="6"/>
      <c r="F19" s="6">
        <f>Table45[[#This Row],[Total Athletes]]-(LEN(Table45[[#This Row],[Team]])-LEN(SUBSTITUTE(Table45[[#This Row],[Team]],"/","")))-1</f>
        <v>1</v>
      </c>
      <c r="G19" s="6">
        <v>3</v>
      </c>
    </row>
    <row r="20" spans="1:7" x14ac:dyDescent="0.3">
      <c r="A20" s="6" t="s">
        <v>4643</v>
      </c>
      <c r="B20" s="6" t="s">
        <v>402</v>
      </c>
      <c r="C20" s="6"/>
      <c r="D20" s="6">
        <v>1</v>
      </c>
      <c r="E20" s="6"/>
      <c r="F20" s="6">
        <f>Table45[[#This Row],[Total Athletes]]-(LEN(Table45[[#This Row],[Team]])-LEN(SUBSTITUTE(Table45[[#This Row],[Team]],"/","")))-1</f>
        <v>2</v>
      </c>
      <c r="G20" s="6">
        <v>3</v>
      </c>
    </row>
    <row r="21" spans="1:7" x14ac:dyDescent="0.3">
      <c r="A21" s="6" t="s">
        <v>3574</v>
      </c>
      <c r="B21" s="6" t="s">
        <v>596</v>
      </c>
      <c r="C21" s="6"/>
      <c r="D21" s="6">
        <v>8</v>
      </c>
      <c r="E21" s="6"/>
      <c r="F21" s="6">
        <f>Table45[[#This Row],[Total Athletes]]-(LEN(Table45[[#This Row],[Team]])-LEN(SUBSTITUTE(Table45[[#This Row],[Team]],"/","")))-1</f>
        <v>0</v>
      </c>
      <c r="G21" s="6">
        <v>4</v>
      </c>
    </row>
    <row r="22" spans="1:7" x14ac:dyDescent="0.3">
      <c r="A22" s="6" t="s">
        <v>1509</v>
      </c>
      <c r="B22" s="6" t="s">
        <v>338</v>
      </c>
      <c r="C22" s="6"/>
      <c r="D22" s="6">
        <v>5</v>
      </c>
      <c r="E22" s="6"/>
      <c r="F22" s="6">
        <f>Table45[[#This Row],[Total Athletes]]-(LEN(Table45[[#This Row],[Team]])-LEN(SUBSTITUTE(Table45[[#This Row],[Team]],"/","")))-1</f>
        <v>2</v>
      </c>
      <c r="G22" s="6">
        <v>3</v>
      </c>
    </row>
    <row r="23" spans="1:7" x14ac:dyDescent="0.3">
      <c r="A23" s="6" t="s">
        <v>3453</v>
      </c>
      <c r="B23" s="6" t="s">
        <v>444</v>
      </c>
      <c r="C23" s="6"/>
      <c r="D23" s="6">
        <v>4</v>
      </c>
      <c r="E23" s="6"/>
      <c r="F23" s="6">
        <f>Table45[[#This Row],[Total Athletes]]-(LEN(Table45[[#This Row],[Team]])-LEN(SUBSTITUTE(Table45[[#This Row],[Team]],"/","")))-1</f>
        <v>2</v>
      </c>
      <c r="G23" s="6">
        <v>3</v>
      </c>
    </row>
    <row r="24" spans="1:7" x14ac:dyDescent="0.3">
      <c r="A24" s="6" t="s">
        <v>3134</v>
      </c>
      <c r="B24" s="6" t="s">
        <v>520</v>
      </c>
      <c r="C24" s="6"/>
      <c r="D24" s="6"/>
      <c r="E24" s="6">
        <v>8</v>
      </c>
      <c r="F24" s="6">
        <f>Table45[[#This Row],[Total Athletes]]-(LEN(Table45[[#This Row],[Team]])-LEN(SUBSTITUTE(Table45[[#This Row],[Team]],"/","")))-1</f>
        <v>2</v>
      </c>
      <c r="G24" s="6">
        <v>3</v>
      </c>
    </row>
    <row r="25" spans="1:7" x14ac:dyDescent="0.3">
      <c r="A25" s="6"/>
      <c r="B25" s="6" t="s">
        <v>490</v>
      </c>
      <c r="C25" s="6"/>
      <c r="D25" s="6"/>
      <c r="E25" s="6">
        <v>-1</v>
      </c>
      <c r="F25" s="6">
        <f>Table45[[#This Row],[Total Athletes]]-(LEN(Table45[[#This Row],[Team]])-LEN(SUBSTITUTE(Table45[[#This Row],[Team]],"/","")))-1</f>
        <v>-1</v>
      </c>
      <c r="G25" s="6"/>
    </row>
    <row r="26" spans="1:7" x14ac:dyDescent="0.3">
      <c r="A26" s="6"/>
      <c r="B26" s="6" t="s">
        <v>454</v>
      </c>
      <c r="C26" s="6"/>
      <c r="D26" s="6"/>
      <c r="E26" s="6">
        <v>-1</v>
      </c>
      <c r="F26" s="6">
        <f>Table45[[#This Row],[Total Athletes]]-(LEN(Table45[[#This Row],[Team]])-LEN(SUBSTITUTE(Table45[[#This Row],[Team]],"/","")))-1</f>
        <v>-1</v>
      </c>
      <c r="G26" s="6"/>
    </row>
    <row r="27" spans="1:7" x14ac:dyDescent="0.3">
      <c r="A27" s="6"/>
      <c r="B27" s="6" t="s">
        <v>394</v>
      </c>
      <c r="C27" s="6"/>
      <c r="D27" s="6">
        <v>-1</v>
      </c>
      <c r="E27" s="6"/>
      <c r="F27" s="6">
        <f>Table45[[#This Row],[Total Athletes]]-(LEN(Table45[[#This Row],[Team]])-LEN(SUBSTITUTE(Table45[[#This Row],[Team]],"/","")))-1</f>
        <v>-1</v>
      </c>
      <c r="G27" s="6"/>
    </row>
    <row r="28" spans="1:7" x14ac:dyDescent="0.3">
      <c r="A28" s="6" t="s">
        <v>2447</v>
      </c>
      <c r="B28" s="6" t="s">
        <v>354</v>
      </c>
      <c r="C28" s="6"/>
      <c r="D28" s="6">
        <v>14</v>
      </c>
      <c r="E28" s="6"/>
      <c r="F28" s="6">
        <f>Table45[[#This Row],[Total Athletes]]-(LEN(Table45[[#This Row],[Team]])-LEN(SUBSTITUTE(Table45[[#This Row],[Team]],"/","")))-1</f>
        <v>2</v>
      </c>
      <c r="G28" s="6">
        <v>4</v>
      </c>
    </row>
    <row r="29" spans="1:7" x14ac:dyDescent="0.3">
      <c r="A29" s="6" t="s">
        <v>3336</v>
      </c>
      <c r="B29" s="6" t="s">
        <v>428</v>
      </c>
      <c r="C29" s="6"/>
      <c r="D29" s="6">
        <v>3</v>
      </c>
      <c r="E29" s="6"/>
      <c r="F29" s="6">
        <f>Table45[[#This Row],[Total Athletes]]-(LEN(Table45[[#This Row],[Team]])-LEN(SUBSTITUTE(Table45[[#This Row],[Team]],"/","")))-1</f>
        <v>2</v>
      </c>
      <c r="G29" s="6">
        <v>4</v>
      </c>
    </row>
    <row r="30" spans="1:7" x14ac:dyDescent="0.3">
      <c r="A30" s="6"/>
      <c r="B30" s="6" t="s">
        <v>394</v>
      </c>
      <c r="C30" s="6">
        <v>-1</v>
      </c>
      <c r="D30" s="6"/>
      <c r="E30" s="6"/>
      <c r="F30" s="6">
        <f>Table45[[#This Row],[Total Athletes]]-(LEN(Table45[[#This Row],[Team]])-LEN(SUBSTITUTE(Table45[[#This Row],[Team]],"/","")))-1</f>
        <v>-1</v>
      </c>
      <c r="G30" s="6"/>
    </row>
    <row r="31" spans="1:7" x14ac:dyDescent="0.3">
      <c r="A31" s="6" t="s">
        <v>2462</v>
      </c>
      <c r="B31" s="6" t="s">
        <v>354</v>
      </c>
      <c r="C31" s="6"/>
      <c r="D31" s="6"/>
      <c r="E31" s="6">
        <v>15</v>
      </c>
      <c r="F31" s="6">
        <f>Table45[[#This Row],[Total Athletes]]-(LEN(Table45[[#This Row],[Team]])-LEN(SUBSTITUTE(Table45[[#This Row],[Team]],"/","")))-1</f>
        <v>0</v>
      </c>
      <c r="G31" s="6">
        <v>3</v>
      </c>
    </row>
    <row r="32" spans="1:7" x14ac:dyDescent="0.3">
      <c r="A32" s="6" t="s">
        <v>1762</v>
      </c>
      <c r="B32" s="6" t="s">
        <v>428</v>
      </c>
      <c r="C32" s="6"/>
      <c r="D32" s="6"/>
      <c r="E32" s="6">
        <v>16</v>
      </c>
      <c r="F32" s="6">
        <f>Table45[[#This Row],[Total Athletes]]-(LEN(Table45[[#This Row],[Team]])-LEN(SUBSTITUTE(Table45[[#This Row],[Team]],"/","")))-1</f>
        <v>2</v>
      </c>
      <c r="G32" s="6">
        <v>3</v>
      </c>
    </row>
    <row r="33" spans="1:7" x14ac:dyDescent="0.3">
      <c r="A33" s="6" t="s">
        <v>5060</v>
      </c>
      <c r="B33" s="6" t="s">
        <v>598</v>
      </c>
      <c r="C33" s="6"/>
      <c r="D33" s="6"/>
      <c r="E33" s="6">
        <v>9</v>
      </c>
      <c r="F33" s="6">
        <f>Table45[[#This Row],[Total Athletes]]-(LEN(Table45[[#This Row],[Team]])-LEN(SUBSTITUTE(Table45[[#This Row],[Team]],"/","")))-1</f>
        <v>1</v>
      </c>
      <c r="G33" s="6">
        <v>3</v>
      </c>
    </row>
    <row r="34" spans="1:7" x14ac:dyDescent="0.3">
      <c r="A34" s="6"/>
      <c r="B34" s="6" t="s">
        <v>394</v>
      </c>
      <c r="C34" s="6"/>
      <c r="D34" s="6"/>
      <c r="E34" s="6">
        <v>-1</v>
      </c>
      <c r="F34" s="6">
        <f>Table45[[#This Row],[Total Athletes]]-(LEN(Table45[[#This Row],[Team]])-LEN(SUBSTITUTE(Table45[[#This Row],[Team]],"/","")))-1</f>
        <v>-1</v>
      </c>
      <c r="G34" s="6"/>
    </row>
    <row r="35" spans="1:7" x14ac:dyDescent="0.3">
      <c r="A35" s="6"/>
      <c r="B35" s="6" t="s">
        <v>520</v>
      </c>
      <c r="C35" s="6"/>
      <c r="D35" s="6">
        <v>-1</v>
      </c>
      <c r="E35" s="6"/>
      <c r="F35" s="6">
        <f>Table45[[#This Row],[Total Athletes]]-(LEN(Table45[[#This Row],[Team]])-LEN(SUBSTITUTE(Table45[[#This Row],[Team]],"/","")))-1</f>
        <v>-1</v>
      </c>
      <c r="G35" s="6"/>
    </row>
    <row r="36" spans="1:7" x14ac:dyDescent="0.3">
      <c r="A36" s="6"/>
      <c r="B36" s="6" t="s">
        <v>412</v>
      </c>
      <c r="C36" s="6"/>
      <c r="D36" s="6">
        <v>-1</v>
      </c>
      <c r="E36" s="6"/>
      <c r="F36" s="6">
        <f>Table45[[#This Row],[Total Athletes]]-(LEN(Table45[[#This Row],[Team]])-LEN(SUBSTITUTE(Table45[[#This Row],[Team]],"/","")))-1</f>
        <v>-1</v>
      </c>
      <c r="G36" s="6"/>
    </row>
    <row r="37" spans="1:7" x14ac:dyDescent="0.3">
      <c r="A37" s="6" t="s">
        <v>4563</v>
      </c>
      <c r="B37" s="6" t="s">
        <v>358</v>
      </c>
      <c r="C37" s="6"/>
      <c r="D37" s="6"/>
      <c r="E37" s="6">
        <v>13</v>
      </c>
      <c r="F37" s="6">
        <f>Table45[[#This Row],[Total Athletes]]-(LEN(Table45[[#This Row],[Team]])-LEN(SUBSTITUTE(Table45[[#This Row],[Team]],"/","")))-1</f>
        <v>2</v>
      </c>
      <c r="G37" s="6">
        <v>3</v>
      </c>
    </row>
    <row r="38" spans="1:7" x14ac:dyDescent="0.3">
      <c r="A38" s="6" t="s">
        <v>3977</v>
      </c>
      <c r="B38" s="6" t="s">
        <v>330</v>
      </c>
      <c r="C38" s="6"/>
      <c r="D38" s="6"/>
      <c r="E38" s="6">
        <v>11</v>
      </c>
      <c r="F38" s="6">
        <f>Table45[[#This Row],[Total Athletes]]-(LEN(Table45[[#This Row],[Team]])-LEN(SUBSTITUTE(Table45[[#This Row],[Team]],"/","")))-1</f>
        <v>1</v>
      </c>
      <c r="G38" s="6">
        <v>3</v>
      </c>
    </row>
    <row r="39" spans="1:7" x14ac:dyDescent="0.3">
      <c r="A39" s="6"/>
      <c r="B39" s="6" t="s">
        <v>444</v>
      </c>
      <c r="C39" s="6"/>
      <c r="D39" s="6"/>
      <c r="E39" s="6">
        <v>-1</v>
      </c>
      <c r="F39" s="6">
        <f>Table45[[#This Row],[Total Athletes]]-(LEN(Table45[[#This Row],[Team]])-LEN(SUBSTITUTE(Table45[[#This Row],[Team]],"/","")))-1</f>
        <v>-1</v>
      </c>
      <c r="G39" s="6"/>
    </row>
    <row r="40" spans="1:7" x14ac:dyDescent="0.3">
      <c r="A40" s="6" t="s">
        <v>1734</v>
      </c>
      <c r="B40" s="6" t="s">
        <v>358</v>
      </c>
      <c r="C40" s="6">
        <v>8</v>
      </c>
      <c r="D40" s="6"/>
      <c r="E40" s="6"/>
      <c r="F40" s="6">
        <f>Table45[[#This Row],[Total Athletes]]-(LEN(Table45[[#This Row],[Team]])-LEN(SUBSTITUTE(Table45[[#This Row],[Team]],"/","")))-1</f>
        <v>1</v>
      </c>
      <c r="G40" s="6">
        <v>3</v>
      </c>
    </row>
    <row r="41" spans="1:7" x14ac:dyDescent="0.3">
      <c r="A41" s="6"/>
      <c r="B41" s="6" t="s">
        <v>520</v>
      </c>
      <c r="C41" s="6">
        <v>-1</v>
      </c>
      <c r="D41" s="6"/>
      <c r="E41" s="6"/>
      <c r="F41" s="6">
        <f>Table45[[#This Row],[Total Athletes]]-(LEN(Table45[[#This Row],[Team]])-LEN(SUBSTITUTE(Table45[[#This Row],[Team]],"/","")))-1</f>
        <v>-1</v>
      </c>
      <c r="G41" s="6"/>
    </row>
    <row r="42" spans="1:7" x14ac:dyDescent="0.3">
      <c r="A42" s="6" t="s">
        <v>3983</v>
      </c>
      <c r="B42" s="6" t="s">
        <v>330</v>
      </c>
      <c r="C42" s="6">
        <v>12</v>
      </c>
      <c r="D42" s="6"/>
      <c r="E42" s="6"/>
      <c r="F42" s="6">
        <f>Table45[[#This Row],[Total Athletes]]-(LEN(Table45[[#This Row],[Team]])-LEN(SUBSTITUTE(Table45[[#This Row],[Team]],"/","")))-1</f>
        <v>2</v>
      </c>
      <c r="G42" s="6">
        <v>3</v>
      </c>
    </row>
    <row r="43" spans="1:7" x14ac:dyDescent="0.3">
      <c r="A43" s="6" t="s">
        <v>3116</v>
      </c>
      <c r="B43" s="6" t="s">
        <v>336</v>
      </c>
      <c r="C43" s="6"/>
      <c r="D43" s="6"/>
      <c r="E43" s="6">
        <v>1001</v>
      </c>
      <c r="F43" s="6">
        <f>Table45[[#This Row],[Total Athletes]]-(LEN(Table45[[#This Row],[Team]])-LEN(SUBSTITUTE(Table45[[#This Row],[Team]],"/","")))-1</f>
        <v>2</v>
      </c>
      <c r="G43" s="6">
        <v>3</v>
      </c>
    </row>
    <row r="44" spans="1:7" x14ac:dyDescent="0.3">
      <c r="A44" s="6" t="s">
        <v>4707</v>
      </c>
      <c r="B44" s="6" t="s">
        <v>356</v>
      </c>
      <c r="C44" s="6"/>
      <c r="D44" s="6">
        <v>12</v>
      </c>
      <c r="E44" s="6"/>
      <c r="F44" s="6">
        <f>Table45[[#This Row],[Total Athletes]]-(LEN(Table45[[#This Row],[Team]])-LEN(SUBSTITUTE(Table45[[#This Row],[Team]],"/","")))-1</f>
        <v>2</v>
      </c>
      <c r="G44" s="6">
        <v>4</v>
      </c>
    </row>
    <row r="45" spans="1:7" x14ac:dyDescent="0.3">
      <c r="A45" s="6"/>
      <c r="B45" s="6" t="s">
        <v>384</v>
      </c>
      <c r="C45" s="6">
        <v>-1</v>
      </c>
      <c r="D45" s="6"/>
      <c r="E45" s="6"/>
      <c r="F45" s="6">
        <f>Table45[[#This Row],[Total Athletes]]-(LEN(Table45[[#This Row],[Team]])-LEN(SUBSTITUTE(Table45[[#This Row],[Team]],"/","")))-1</f>
        <v>-1</v>
      </c>
      <c r="G45" s="6"/>
    </row>
    <row r="46" spans="1:7" x14ac:dyDescent="0.3">
      <c r="A46" s="6"/>
      <c r="B46" s="6" t="s">
        <v>384</v>
      </c>
      <c r="C46" s="6"/>
      <c r="D46" s="6">
        <v>-1</v>
      </c>
      <c r="E46" s="6"/>
      <c r="F46" s="6">
        <f>Table45[[#This Row],[Total Athletes]]-(LEN(Table45[[#This Row],[Team]])-LEN(SUBSTITUTE(Table45[[#This Row],[Team]],"/","")))-1</f>
        <v>-1</v>
      </c>
      <c r="G46" s="6"/>
    </row>
    <row r="47" spans="1:7" x14ac:dyDescent="0.3">
      <c r="A47" s="6" t="s">
        <v>3088</v>
      </c>
      <c r="B47" s="6" t="s">
        <v>336</v>
      </c>
      <c r="C47" s="6"/>
      <c r="D47" s="6">
        <v>11</v>
      </c>
      <c r="E47" s="6"/>
      <c r="F47" s="6">
        <f>Table45[[#This Row],[Total Athletes]]-(LEN(Table45[[#This Row],[Team]])-LEN(SUBSTITUTE(Table45[[#This Row],[Team]],"/","")))-1</f>
        <v>0</v>
      </c>
      <c r="G47" s="6">
        <v>4</v>
      </c>
    </row>
    <row r="48" spans="1:7" x14ac:dyDescent="0.3">
      <c r="A48" s="6" t="s">
        <v>1980</v>
      </c>
      <c r="B48" s="6" t="s">
        <v>332</v>
      </c>
      <c r="C48" s="6"/>
      <c r="D48" s="6"/>
      <c r="E48" s="6">
        <v>2</v>
      </c>
      <c r="F48" s="6">
        <f>Table45[[#This Row],[Total Athletes]]-(LEN(Table45[[#This Row],[Team]])-LEN(SUBSTITUTE(Table45[[#This Row],[Team]],"/","")))-1</f>
        <v>2</v>
      </c>
      <c r="G48" s="6">
        <v>3</v>
      </c>
    </row>
    <row r="49" spans="1:7" x14ac:dyDescent="0.3">
      <c r="A49" s="6"/>
      <c r="B49" s="6" t="s">
        <v>384</v>
      </c>
      <c r="C49" s="6"/>
      <c r="D49" s="6"/>
      <c r="E49" s="6">
        <v>-1</v>
      </c>
      <c r="F49" s="6">
        <f>Table45[[#This Row],[Total Athletes]]-(LEN(Table45[[#This Row],[Team]])-LEN(SUBSTITUTE(Table45[[#This Row],[Team]],"/","")))-1</f>
        <v>-1</v>
      </c>
      <c r="G49" s="6"/>
    </row>
    <row r="50" spans="1:7" x14ac:dyDescent="0.3">
      <c r="A50" s="6" t="s">
        <v>4549</v>
      </c>
      <c r="B50" s="6" t="s">
        <v>350</v>
      </c>
      <c r="C50" s="6"/>
      <c r="D50" s="6"/>
      <c r="E50" s="6">
        <v>10</v>
      </c>
      <c r="F50" s="6">
        <f>Table45[[#This Row],[Total Athletes]]-(LEN(Table45[[#This Row],[Team]])-LEN(SUBSTITUTE(Table45[[#This Row],[Team]],"/","")))-1</f>
        <v>2</v>
      </c>
      <c r="G50" s="6">
        <v>3</v>
      </c>
    </row>
    <row r="51" spans="1:7" x14ac:dyDescent="0.3">
      <c r="A51" s="6"/>
      <c r="B51" s="6" t="s">
        <v>346</v>
      </c>
      <c r="C51" s="6">
        <v>-1</v>
      </c>
      <c r="D51" s="6"/>
      <c r="E51" s="6"/>
      <c r="F51" s="6">
        <f>Table45[[#This Row],[Total Athletes]]-(LEN(Table45[[#This Row],[Team]])-LEN(SUBSTITUTE(Table45[[#This Row],[Team]],"/","")))-1</f>
        <v>-1</v>
      </c>
      <c r="G51" s="6"/>
    </row>
    <row r="52" spans="1:7" x14ac:dyDescent="0.3">
      <c r="A52" s="6" t="s">
        <v>4932</v>
      </c>
      <c r="B52" s="6" t="s">
        <v>372</v>
      </c>
      <c r="C52" s="6">
        <v>7</v>
      </c>
      <c r="D52" s="6"/>
      <c r="E52" s="6"/>
      <c r="F52" s="6">
        <f>Table45[[#This Row],[Total Athletes]]-(LEN(Table45[[#This Row],[Team]])-LEN(SUBSTITUTE(Table45[[#This Row],[Team]],"/","")))-1</f>
        <v>1</v>
      </c>
      <c r="G52" s="6">
        <v>3</v>
      </c>
    </row>
  </sheetData>
  <pageMargins left="0.7" right="0.7" top="0.75" bottom="0.75" header="0.3" footer="0.3"/>
  <tableParts count="1">
    <tablePart r:id="rId1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02ECA-EBF4-4561-A1F9-2E5D468BBAAE}">
  <dimension ref="A1:E107"/>
  <sheetViews>
    <sheetView topLeftCell="A97" workbookViewId="0">
      <selection activeCell="B108" sqref="B108"/>
    </sheetView>
  </sheetViews>
  <sheetFormatPr defaultRowHeight="14.4" x14ac:dyDescent="0.3"/>
  <cols>
    <col min="1" max="1" width="24.33203125" bestFit="1" customWidth="1"/>
    <col min="2" max="2" width="14" bestFit="1" customWidth="1"/>
    <col min="3" max="3" width="18.77734375" bestFit="1" customWidth="1"/>
    <col min="4" max="4" width="17.44140625" bestFit="1" customWidth="1"/>
    <col min="5" max="5" width="19.5546875" bestFit="1" customWidth="1"/>
  </cols>
  <sheetData>
    <row r="1" spans="1:5" x14ac:dyDescent="0.3">
      <c r="A1" t="s">
        <v>832</v>
      </c>
      <c r="B1" t="s">
        <v>1</v>
      </c>
      <c r="C1" t="s">
        <v>982</v>
      </c>
      <c r="D1" t="s">
        <v>983</v>
      </c>
      <c r="E1" t="s">
        <v>984</v>
      </c>
    </row>
    <row r="2" spans="1:5" x14ac:dyDescent="0.3">
      <c r="A2" s="6" t="s">
        <v>3723</v>
      </c>
      <c r="B2" s="6" t="s">
        <v>344</v>
      </c>
      <c r="C2" s="6">
        <v>2</v>
      </c>
      <c r="D2" s="6"/>
      <c r="E2" s="6"/>
    </row>
    <row r="3" spans="1:5" x14ac:dyDescent="0.3">
      <c r="A3" s="6"/>
      <c r="B3" s="6" t="s">
        <v>344</v>
      </c>
      <c r="C3" s="6">
        <v>-1</v>
      </c>
      <c r="D3" s="6"/>
      <c r="E3" s="6"/>
    </row>
    <row r="4" spans="1:5" x14ac:dyDescent="0.3">
      <c r="A4" s="6" t="s">
        <v>3725</v>
      </c>
      <c r="B4" s="6" t="s">
        <v>344</v>
      </c>
      <c r="C4" s="6">
        <v>18</v>
      </c>
      <c r="D4" s="6"/>
      <c r="E4" s="6"/>
    </row>
    <row r="5" spans="1:5" x14ac:dyDescent="0.3">
      <c r="A5" s="6"/>
      <c r="B5" s="6" t="s">
        <v>356</v>
      </c>
      <c r="C5" s="6">
        <v>-1</v>
      </c>
      <c r="D5" s="6"/>
      <c r="E5" s="6"/>
    </row>
    <row r="6" spans="1:5" x14ac:dyDescent="0.3">
      <c r="A6" s="6"/>
      <c r="B6" s="6" t="s">
        <v>356</v>
      </c>
      <c r="C6" s="6">
        <v>-1</v>
      </c>
      <c r="D6" s="6"/>
      <c r="E6" s="6"/>
    </row>
    <row r="7" spans="1:5" x14ac:dyDescent="0.3">
      <c r="A7" s="6"/>
      <c r="B7" s="6" t="s">
        <v>356</v>
      </c>
      <c r="C7" s="6">
        <v>-1</v>
      </c>
      <c r="D7" s="6"/>
      <c r="E7" s="6"/>
    </row>
    <row r="8" spans="1:5" x14ac:dyDescent="0.3">
      <c r="A8" s="6" t="s">
        <v>3328</v>
      </c>
      <c r="B8" s="6" t="s">
        <v>428</v>
      </c>
      <c r="C8" s="6">
        <v>1</v>
      </c>
      <c r="D8" s="6"/>
      <c r="E8" s="6"/>
    </row>
    <row r="9" spans="1:5" x14ac:dyDescent="0.3">
      <c r="A9" s="6"/>
      <c r="B9" s="6" t="s">
        <v>428</v>
      </c>
      <c r="C9" s="6">
        <v>-1</v>
      </c>
      <c r="D9" s="6"/>
      <c r="E9" s="6"/>
    </row>
    <row r="10" spans="1:5" x14ac:dyDescent="0.3">
      <c r="A10" s="6" t="s">
        <v>2689</v>
      </c>
      <c r="B10" s="6" t="s">
        <v>428</v>
      </c>
      <c r="C10" s="6">
        <v>7</v>
      </c>
      <c r="D10" s="6"/>
      <c r="E10" s="6"/>
    </row>
    <row r="11" spans="1:5" x14ac:dyDescent="0.3">
      <c r="A11" s="6"/>
      <c r="B11" s="6" t="s">
        <v>406</v>
      </c>
      <c r="C11" s="6">
        <v>-1</v>
      </c>
      <c r="D11" s="6"/>
      <c r="E11" s="6"/>
    </row>
    <row r="12" spans="1:5" x14ac:dyDescent="0.3">
      <c r="A12" s="6"/>
      <c r="B12" s="6" t="s">
        <v>406</v>
      </c>
      <c r="C12" s="6">
        <v>-1</v>
      </c>
      <c r="D12" s="6"/>
      <c r="E12" s="6"/>
    </row>
    <row r="13" spans="1:5" x14ac:dyDescent="0.3">
      <c r="A13" s="6" t="s">
        <v>1870</v>
      </c>
      <c r="B13" s="6" t="s">
        <v>406</v>
      </c>
      <c r="C13" s="6">
        <v>1</v>
      </c>
      <c r="D13" s="6"/>
      <c r="E13" s="6"/>
    </row>
    <row r="14" spans="1:5" x14ac:dyDescent="0.3">
      <c r="A14" s="6" t="s">
        <v>4433</v>
      </c>
      <c r="B14" s="6" t="s">
        <v>326</v>
      </c>
      <c r="C14" s="6">
        <v>3</v>
      </c>
      <c r="D14" s="6"/>
      <c r="E14" s="6"/>
    </row>
    <row r="15" spans="1:5" x14ac:dyDescent="0.3">
      <c r="A15" s="6"/>
      <c r="B15" s="6" t="s">
        <v>326</v>
      </c>
      <c r="C15" s="6">
        <v>-1</v>
      </c>
      <c r="D15" s="6"/>
      <c r="E15" s="6"/>
    </row>
    <row r="16" spans="1:5" x14ac:dyDescent="0.3">
      <c r="A16" s="6" t="s">
        <v>4424</v>
      </c>
      <c r="B16" s="6" t="s">
        <v>326</v>
      </c>
      <c r="C16" s="6">
        <v>33</v>
      </c>
      <c r="D16" s="6"/>
      <c r="E16" s="6"/>
    </row>
    <row r="17" spans="1:5" x14ac:dyDescent="0.3">
      <c r="A17" s="6" t="s">
        <v>5031</v>
      </c>
      <c r="B17" s="6" t="s">
        <v>604</v>
      </c>
      <c r="C17" s="6">
        <v>6</v>
      </c>
      <c r="D17" s="6"/>
      <c r="E17" s="6"/>
    </row>
    <row r="18" spans="1:5" x14ac:dyDescent="0.3">
      <c r="A18" s="6"/>
      <c r="B18" s="6" t="s">
        <v>604</v>
      </c>
      <c r="C18" s="6">
        <v>-1</v>
      </c>
      <c r="D18" s="6"/>
      <c r="E18" s="6"/>
    </row>
    <row r="19" spans="1:5" x14ac:dyDescent="0.3">
      <c r="A19" s="6"/>
      <c r="B19" s="6" t="s">
        <v>604</v>
      </c>
      <c r="C19" s="6">
        <v>-1</v>
      </c>
      <c r="D19" s="6"/>
      <c r="E19" s="6"/>
    </row>
    <row r="20" spans="1:5" x14ac:dyDescent="0.3">
      <c r="A20" s="6" t="s">
        <v>1944</v>
      </c>
      <c r="B20" s="6" t="s">
        <v>352</v>
      </c>
      <c r="C20" s="6">
        <v>21</v>
      </c>
      <c r="D20" s="6"/>
      <c r="E20" s="6"/>
    </row>
    <row r="21" spans="1:5" x14ac:dyDescent="0.3">
      <c r="A21" s="6" t="s">
        <v>1943</v>
      </c>
      <c r="B21" s="6" t="s">
        <v>352</v>
      </c>
      <c r="C21" s="6">
        <v>23</v>
      </c>
      <c r="D21" s="6"/>
      <c r="E21" s="6"/>
    </row>
    <row r="22" spans="1:5" x14ac:dyDescent="0.3">
      <c r="A22" s="6" t="s">
        <v>4604</v>
      </c>
      <c r="B22" s="6" t="s">
        <v>352</v>
      </c>
      <c r="C22" s="6">
        <v>16</v>
      </c>
      <c r="D22" s="6"/>
      <c r="E22" s="6"/>
    </row>
    <row r="23" spans="1:5" x14ac:dyDescent="0.3">
      <c r="A23" s="6"/>
      <c r="B23" s="6" t="s">
        <v>442</v>
      </c>
      <c r="C23" s="6">
        <v>-1</v>
      </c>
      <c r="D23" s="6"/>
      <c r="E23" s="6"/>
    </row>
    <row r="24" spans="1:5" x14ac:dyDescent="0.3">
      <c r="A24" s="6"/>
      <c r="B24" s="6" t="s">
        <v>442</v>
      </c>
      <c r="C24" s="6">
        <v>-1</v>
      </c>
      <c r="D24" s="6"/>
      <c r="E24" s="6"/>
    </row>
    <row r="25" spans="1:5" x14ac:dyDescent="0.3">
      <c r="A25" s="6" t="s">
        <v>4802</v>
      </c>
      <c r="B25" s="6" t="s">
        <v>442</v>
      </c>
      <c r="C25" s="6">
        <v>28</v>
      </c>
      <c r="D25" s="6"/>
      <c r="E25" s="6"/>
    </row>
    <row r="26" spans="1:5" x14ac:dyDescent="0.3">
      <c r="A26" s="6"/>
      <c r="B26" s="6" t="s">
        <v>428</v>
      </c>
      <c r="C26" s="6"/>
      <c r="D26" s="6">
        <v>-1</v>
      </c>
      <c r="E26" s="6"/>
    </row>
    <row r="27" spans="1:5" x14ac:dyDescent="0.3">
      <c r="A27" s="6" t="s">
        <v>4058</v>
      </c>
      <c r="B27" s="6" t="s">
        <v>428</v>
      </c>
      <c r="C27" s="6"/>
      <c r="D27" s="6">
        <v>10</v>
      </c>
      <c r="E27" s="6"/>
    </row>
    <row r="28" spans="1:5" x14ac:dyDescent="0.3">
      <c r="A28" s="6"/>
      <c r="B28" s="6" t="s">
        <v>428</v>
      </c>
      <c r="C28" s="6"/>
      <c r="D28" s="6">
        <v>-1</v>
      </c>
      <c r="E28" s="6"/>
    </row>
    <row r="29" spans="1:5" x14ac:dyDescent="0.3">
      <c r="A29" s="6"/>
      <c r="B29" s="6" t="s">
        <v>356</v>
      </c>
      <c r="C29" s="6"/>
      <c r="D29" s="6">
        <v>-1</v>
      </c>
      <c r="E29" s="6"/>
    </row>
    <row r="30" spans="1:5" x14ac:dyDescent="0.3">
      <c r="A30" s="6"/>
      <c r="B30" s="6" t="s">
        <v>356</v>
      </c>
      <c r="C30" s="6"/>
      <c r="D30" s="6">
        <v>-1</v>
      </c>
      <c r="E30" s="6"/>
    </row>
    <row r="31" spans="1:5" x14ac:dyDescent="0.3">
      <c r="A31" s="6" t="s">
        <v>2662</v>
      </c>
      <c r="B31" s="6" t="s">
        <v>356</v>
      </c>
      <c r="C31" s="6"/>
      <c r="D31" s="6">
        <v>9</v>
      </c>
      <c r="E31" s="6"/>
    </row>
    <row r="32" spans="1:5" x14ac:dyDescent="0.3">
      <c r="A32" s="6" t="s">
        <v>2015</v>
      </c>
      <c r="B32" s="6" t="s">
        <v>332</v>
      </c>
      <c r="C32" s="6"/>
      <c r="D32" s="6">
        <v>3</v>
      </c>
      <c r="E32" s="6"/>
    </row>
    <row r="33" spans="1:5" x14ac:dyDescent="0.3">
      <c r="A33" s="6" t="s">
        <v>2030</v>
      </c>
      <c r="B33" s="6" t="s">
        <v>332</v>
      </c>
      <c r="C33" s="6"/>
      <c r="D33" s="6">
        <v>11</v>
      </c>
      <c r="E33" s="6"/>
    </row>
    <row r="34" spans="1:5" x14ac:dyDescent="0.3">
      <c r="A34" s="6" t="s">
        <v>2033</v>
      </c>
      <c r="B34" s="6" t="s">
        <v>332</v>
      </c>
      <c r="C34" s="6"/>
      <c r="D34" s="6">
        <v>13</v>
      </c>
      <c r="E34" s="6"/>
    </row>
    <row r="35" spans="1:5" x14ac:dyDescent="0.3">
      <c r="A35" s="6"/>
      <c r="B35" s="6" t="s">
        <v>344</v>
      </c>
      <c r="C35" s="6"/>
      <c r="D35" s="6">
        <v>-1</v>
      </c>
      <c r="E35" s="6"/>
    </row>
    <row r="36" spans="1:5" x14ac:dyDescent="0.3">
      <c r="A36" s="6"/>
      <c r="B36" s="6" t="s">
        <v>344</v>
      </c>
      <c r="C36" s="6"/>
      <c r="D36" s="6">
        <v>-1</v>
      </c>
      <c r="E36" s="6"/>
    </row>
    <row r="37" spans="1:5" x14ac:dyDescent="0.3">
      <c r="A37" s="6"/>
      <c r="B37" s="6" t="s">
        <v>344</v>
      </c>
      <c r="C37" s="6"/>
      <c r="D37" s="6">
        <v>-1</v>
      </c>
      <c r="E37" s="6"/>
    </row>
    <row r="38" spans="1:5" x14ac:dyDescent="0.3">
      <c r="A38" s="6"/>
      <c r="B38" s="6" t="s">
        <v>326</v>
      </c>
      <c r="C38" s="6"/>
      <c r="D38" s="6">
        <v>-1</v>
      </c>
      <c r="E38" s="6"/>
    </row>
    <row r="39" spans="1:5" x14ac:dyDescent="0.3">
      <c r="A39" s="6"/>
      <c r="B39" s="6" t="s">
        <v>326</v>
      </c>
      <c r="C39" s="6"/>
      <c r="D39" s="6">
        <v>-1</v>
      </c>
      <c r="E39" s="6"/>
    </row>
    <row r="40" spans="1:5" x14ac:dyDescent="0.3">
      <c r="A40" s="6" t="s">
        <v>4441</v>
      </c>
      <c r="B40" s="6" t="s">
        <v>326</v>
      </c>
      <c r="C40" s="6"/>
      <c r="D40" s="6">
        <v>16</v>
      </c>
      <c r="E40" s="6"/>
    </row>
    <row r="41" spans="1:5" x14ac:dyDescent="0.3">
      <c r="A41" s="6"/>
      <c r="B41" s="6" t="s">
        <v>328</v>
      </c>
      <c r="C41" s="6"/>
      <c r="D41" s="6">
        <v>-1</v>
      </c>
      <c r="E41" s="6"/>
    </row>
    <row r="42" spans="1:5" x14ac:dyDescent="0.3">
      <c r="A42" s="6"/>
      <c r="B42" s="6" t="s">
        <v>328</v>
      </c>
      <c r="C42" s="6"/>
      <c r="D42" s="6">
        <v>-1</v>
      </c>
      <c r="E42" s="6"/>
    </row>
    <row r="43" spans="1:5" x14ac:dyDescent="0.3">
      <c r="A43" s="6" t="s">
        <v>4469</v>
      </c>
      <c r="B43" s="6" t="s">
        <v>328</v>
      </c>
      <c r="C43" s="6"/>
      <c r="D43" s="6">
        <v>21</v>
      </c>
      <c r="E43" s="6"/>
    </row>
    <row r="44" spans="1:5" x14ac:dyDescent="0.3">
      <c r="A44" s="6" t="s">
        <v>1970</v>
      </c>
      <c r="B44" s="6" t="s">
        <v>384</v>
      </c>
      <c r="C44" s="6"/>
      <c r="D44" s="6">
        <v>30</v>
      </c>
      <c r="E44" s="6"/>
    </row>
    <row r="45" spans="1:5" x14ac:dyDescent="0.3">
      <c r="A45" s="6" t="s">
        <v>2156</v>
      </c>
      <c r="B45" s="6" t="s">
        <v>384</v>
      </c>
      <c r="C45" s="6"/>
      <c r="D45" s="6">
        <v>32</v>
      </c>
      <c r="E45" s="6"/>
    </row>
    <row r="46" spans="1:5" x14ac:dyDescent="0.3">
      <c r="A46" s="6"/>
      <c r="B46" s="6" t="s">
        <v>384</v>
      </c>
      <c r="C46" s="6"/>
      <c r="D46" s="6">
        <v>-1</v>
      </c>
      <c r="E46" s="6"/>
    </row>
    <row r="47" spans="1:5" x14ac:dyDescent="0.3">
      <c r="A47" s="6" t="s">
        <v>3879</v>
      </c>
      <c r="B47" s="6" t="s">
        <v>394</v>
      </c>
      <c r="C47" s="6"/>
      <c r="D47" s="6">
        <v>29</v>
      </c>
      <c r="E47" s="6"/>
    </row>
    <row r="48" spans="1:5" x14ac:dyDescent="0.3">
      <c r="A48" s="6"/>
      <c r="B48" s="6" t="s">
        <v>394</v>
      </c>
      <c r="C48" s="6"/>
      <c r="D48" s="6">
        <v>-1</v>
      </c>
      <c r="E48" s="6"/>
    </row>
    <row r="49" spans="1:5" x14ac:dyDescent="0.3">
      <c r="A49" s="6"/>
      <c r="B49" s="6" t="s">
        <v>394</v>
      </c>
      <c r="C49" s="6"/>
      <c r="D49" s="6">
        <v>-1</v>
      </c>
      <c r="E49" s="6"/>
    </row>
    <row r="50" spans="1:5" x14ac:dyDescent="0.3">
      <c r="A50" s="6"/>
      <c r="B50" s="6" t="s">
        <v>700</v>
      </c>
      <c r="C50" s="6"/>
      <c r="D50" s="6"/>
      <c r="E50" s="6">
        <v>-1</v>
      </c>
    </row>
    <row r="51" spans="1:5" x14ac:dyDescent="0.3">
      <c r="A51" s="6"/>
      <c r="B51" s="6" t="s">
        <v>700</v>
      </c>
      <c r="C51" s="6"/>
      <c r="D51" s="6"/>
      <c r="E51" s="6">
        <v>-1</v>
      </c>
    </row>
    <row r="52" spans="1:5" x14ac:dyDescent="0.3">
      <c r="A52" s="6"/>
      <c r="B52" s="6" t="s">
        <v>700</v>
      </c>
      <c r="C52" s="6"/>
      <c r="D52" s="6"/>
      <c r="E52" s="6">
        <v>-1</v>
      </c>
    </row>
    <row r="53" spans="1:5" x14ac:dyDescent="0.3">
      <c r="A53" s="6" t="s">
        <v>4316</v>
      </c>
      <c r="B53" s="6" t="s">
        <v>332</v>
      </c>
      <c r="C53" s="6"/>
      <c r="D53" s="6"/>
      <c r="E53" s="6">
        <v>17</v>
      </c>
    </row>
    <row r="54" spans="1:5" x14ac:dyDescent="0.3">
      <c r="A54" s="6"/>
      <c r="B54" s="6" t="s">
        <v>332</v>
      </c>
      <c r="C54" s="6"/>
      <c r="D54" s="6"/>
      <c r="E54" s="6">
        <v>-1</v>
      </c>
    </row>
    <row r="55" spans="1:5" x14ac:dyDescent="0.3">
      <c r="A55" s="6" t="s">
        <v>1658</v>
      </c>
      <c r="B55" s="6" t="s">
        <v>332</v>
      </c>
      <c r="C55" s="6"/>
      <c r="D55" s="6"/>
      <c r="E55" s="6">
        <v>14</v>
      </c>
    </row>
    <row r="56" spans="1:5" x14ac:dyDescent="0.3">
      <c r="A56" s="6"/>
      <c r="B56" s="6" t="s">
        <v>406</v>
      </c>
      <c r="C56" s="6"/>
      <c r="D56" s="6"/>
      <c r="E56" s="6">
        <v>-1</v>
      </c>
    </row>
    <row r="57" spans="1:5" x14ac:dyDescent="0.3">
      <c r="A57" s="6"/>
      <c r="B57" s="6" t="s">
        <v>406</v>
      </c>
      <c r="C57" s="6"/>
      <c r="D57" s="6"/>
      <c r="E57" s="6">
        <v>-1</v>
      </c>
    </row>
    <row r="58" spans="1:5" x14ac:dyDescent="0.3">
      <c r="A58" s="6"/>
      <c r="B58" s="6" t="s">
        <v>406</v>
      </c>
      <c r="C58" s="6"/>
      <c r="D58" s="6"/>
      <c r="E58" s="6">
        <v>-1</v>
      </c>
    </row>
    <row r="59" spans="1:5" x14ac:dyDescent="0.3">
      <c r="A59" s="6"/>
      <c r="B59" s="6" t="s">
        <v>344</v>
      </c>
      <c r="C59" s="6"/>
      <c r="D59" s="6"/>
      <c r="E59" s="6">
        <v>-1</v>
      </c>
    </row>
    <row r="60" spans="1:5" x14ac:dyDescent="0.3">
      <c r="A60" s="6" t="s">
        <v>1434</v>
      </c>
      <c r="B60" s="6" t="s">
        <v>344</v>
      </c>
      <c r="C60" s="6"/>
      <c r="D60" s="6"/>
      <c r="E60" s="6">
        <v>10</v>
      </c>
    </row>
    <row r="61" spans="1:5" x14ac:dyDescent="0.3">
      <c r="A61" s="6" t="s">
        <v>4594</v>
      </c>
      <c r="B61" s="6" t="s">
        <v>344</v>
      </c>
      <c r="C61" s="6"/>
      <c r="D61" s="6"/>
      <c r="E61" s="6">
        <v>21</v>
      </c>
    </row>
    <row r="62" spans="1:5" x14ac:dyDescent="0.3">
      <c r="A62" s="6"/>
      <c r="B62" s="6" t="s">
        <v>326</v>
      </c>
      <c r="C62" s="6"/>
      <c r="D62" s="6"/>
      <c r="E62" s="6">
        <v>-1</v>
      </c>
    </row>
    <row r="63" spans="1:5" x14ac:dyDescent="0.3">
      <c r="A63" s="6"/>
      <c r="B63" s="6" t="s">
        <v>326</v>
      </c>
      <c r="C63" s="6"/>
      <c r="D63" s="6"/>
      <c r="E63" s="6">
        <v>-1</v>
      </c>
    </row>
    <row r="64" spans="1:5" x14ac:dyDescent="0.3">
      <c r="A64" s="6" t="s">
        <v>4405</v>
      </c>
      <c r="B64" s="6" t="s">
        <v>326</v>
      </c>
      <c r="C64" s="6"/>
      <c r="D64" s="6"/>
      <c r="E64" s="6">
        <v>6</v>
      </c>
    </row>
    <row r="65" spans="1:5" x14ac:dyDescent="0.3">
      <c r="A65" s="6"/>
      <c r="B65" s="6" t="s">
        <v>360</v>
      </c>
      <c r="C65" s="6"/>
      <c r="D65" s="6"/>
      <c r="E65" s="6">
        <v>-1</v>
      </c>
    </row>
    <row r="66" spans="1:5" x14ac:dyDescent="0.3">
      <c r="A66" s="6"/>
      <c r="B66" s="6" t="s">
        <v>360</v>
      </c>
      <c r="C66" s="6"/>
      <c r="D66" s="6"/>
      <c r="E66" s="6">
        <v>-1</v>
      </c>
    </row>
    <row r="67" spans="1:5" x14ac:dyDescent="0.3">
      <c r="A67" s="6"/>
      <c r="B67" s="6" t="s">
        <v>360</v>
      </c>
      <c r="C67" s="6"/>
      <c r="D67" s="6"/>
      <c r="E67" s="6">
        <v>-1</v>
      </c>
    </row>
    <row r="68" spans="1:5" x14ac:dyDescent="0.3">
      <c r="A68" s="6" t="s">
        <v>4763</v>
      </c>
      <c r="B68" s="6" t="s">
        <v>384</v>
      </c>
      <c r="C68" s="6"/>
      <c r="D68" s="6"/>
      <c r="E68" s="6">
        <v>8</v>
      </c>
    </row>
    <row r="69" spans="1:5" x14ac:dyDescent="0.3">
      <c r="A69" s="6" t="s">
        <v>4217</v>
      </c>
      <c r="B69" s="6" t="s">
        <v>384</v>
      </c>
      <c r="C69" s="6"/>
      <c r="D69" s="6"/>
      <c r="E69" s="6">
        <v>29</v>
      </c>
    </row>
    <row r="70" spans="1:5" x14ac:dyDescent="0.3">
      <c r="A70" s="6"/>
      <c r="B70" s="6" t="s">
        <v>384</v>
      </c>
      <c r="C70" s="6"/>
      <c r="D70" s="6"/>
      <c r="E70" s="6">
        <v>-1</v>
      </c>
    </row>
    <row r="71" spans="1:5" x14ac:dyDescent="0.3">
      <c r="A71" s="6"/>
      <c r="B71" s="6" t="s">
        <v>356</v>
      </c>
      <c r="C71" s="6"/>
      <c r="D71" s="6"/>
      <c r="E71" s="6">
        <v>-1</v>
      </c>
    </row>
    <row r="72" spans="1:5" x14ac:dyDescent="0.3">
      <c r="A72" s="6"/>
      <c r="B72" s="6" t="s">
        <v>356</v>
      </c>
      <c r="C72" s="6"/>
      <c r="D72" s="6"/>
      <c r="E72" s="6">
        <v>-1</v>
      </c>
    </row>
    <row r="73" spans="1:5" x14ac:dyDescent="0.3">
      <c r="A73" s="6"/>
      <c r="B73" s="6" t="s">
        <v>356</v>
      </c>
      <c r="C73" s="6"/>
      <c r="D73" s="6"/>
      <c r="E73" s="6">
        <v>-1</v>
      </c>
    </row>
    <row r="74" spans="1:5" x14ac:dyDescent="0.3">
      <c r="A74" s="6"/>
      <c r="B74" s="6" t="s">
        <v>328</v>
      </c>
      <c r="C74" s="6">
        <v>-1</v>
      </c>
      <c r="D74" s="6"/>
      <c r="E74" s="6"/>
    </row>
    <row r="75" spans="1:5" x14ac:dyDescent="0.3">
      <c r="A75" s="6"/>
      <c r="B75" s="6" t="s">
        <v>700</v>
      </c>
      <c r="C75" s="6">
        <v>-1</v>
      </c>
      <c r="D75" s="6"/>
      <c r="E75" s="6"/>
    </row>
    <row r="76" spans="1:5" x14ac:dyDescent="0.3">
      <c r="A76" s="6"/>
      <c r="B76" s="6" t="s">
        <v>378</v>
      </c>
      <c r="C76" s="6">
        <v>-1</v>
      </c>
      <c r="D76" s="6"/>
      <c r="E76" s="6"/>
    </row>
    <row r="77" spans="1:5" x14ac:dyDescent="0.3">
      <c r="A77" s="6" t="s">
        <v>2243</v>
      </c>
      <c r="B77" s="6" t="s">
        <v>362</v>
      </c>
      <c r="C77" s="6">
        <v>26</v>
      </c>
      <c r="D77" s="6"/>
      <c r="E77" s="6"/>
    </row>
    <row r="78" spans="1:5" x14ac:dyDescent="0.3">
      <c r="A78" s="6" t="s">
        <v>4756</v>
      </c>
      <c r="B78" s="6" t="s">
        <v>598</v>
      </c>
      <c r="C78" s="6">
        <v>19</v>
      </c>
      <c r="D78" s="6"/>
      <c r="E78" s="6"/>
    </row>
    <row r="79" spans="1:5" x14ac:dyDescent="0.3">
      <c r="A79" s="6"/>
      <c r="B79" s="6" t="s">
        <v>520</v>
      </c>
      <c r="C79" s="6">
        <v>-1</v>
      </c>
      <c r="D79" s="6"/>
      <c r="E79" s="6"/>
    </row>
    <row r="80" spans="1:5" x14ac:dyDescent="0.3">
      <c r="A80" s="6"/>
      <c r="B80" s="6" t="s">
        <v>592</v>
      </c>
      <c r="C80" s="6"/>
      <c r="D80" s="6">
        <v>-1</v>
      </c>
      <c r="E80" s="6"/>
    </row>
    <row r="81" spans="1:5" x14ac:dyDescent="0.3">
      <c r="A81" s="6"/>
      <c r="B81" s="6" t="s">
        <v>700</v>
      </c>
      <c r="C81" s="6"/>
      <c r="D81" s="6">
        <v>-1</v>
      </c>
      <c r="E81" s="6"/>
    </row>
    <row r="82" spans="1:5" x14ac:dyDescent="0.3">
      <c r="A82" s="6" t="s">
        <v>1396</v>
      </c>
      <c r="B82" s="6" t="s">
        <v>380</v>
      </c>
      <c r="C82" s="6"/>
      <c r="D82" s="6">
        <v>36</v>
      </c>
      <c r="E82" s="6"/>
    </row>
    <row r="83" spans="1:5" x14ac:dyDescent="0.3">
      <c r="A83" s="6" t="s">
        <v>4122</v>
      </c>
      <c r="B83" s="6" t="s">
        <v>336</v>
      </c>
      <c r="C83" s="6"/>
      <c r="D83" s="6">
        <v>20</v>
      </c>
      <c r="E83" s="6"/>
    </row>
    <row r="84" spans="1:5" x14ac:dyDescent="0.3">
      <c r="A84" s="6"/>
      <c r="B84" s="6" t="s">
        <v>406</v>
      </c>
      <c r="C84" s="6"/>
      <c r="D84" s="6">
        <v>-1</v>
      </c>
      <c r="E84" s="6"/>
    </row>
    <row r="85" spans="1:5" x14ac:dyDescent="0.3">
      <c r="A85" s="6"/>
      <c r="B85" s="6" t="s">
        <v>442</v>
      </c>
      <c r="C85" s="6"/>
      <c r="D85" s="6">
        <v>-1</v>
      </c>
      <c r="E85" s="6"/>
    </row>
    <row r="86" spans="1:5" x14ac:dyDescent="0.3">
      <c r="A86" s="6"/>
      <c r="B86" s="6" t="s">
        <v>428</v>
      </c>
      <c r="C86" s="6"/>
      <c r="D86" s="6"/>
      <c r="E86" s="6">
        <v>-1</v>
      </c>
    </row>
    <row r="87" spans="1:5" x14ac:dyDescent="0.3">
      <c r="A87" s="6"/>
      <c r="B87" s="6" t="s">
        <v>494</v>
      </c>
      <c r="C87" s="6"/>
      <c r="D87" s="6"/>
      <c r="E87" s="6">
        <v>-1</v>
      </c>
    </row>
    <row r="88" spans="1:5" x14ac:dyDescent="0.3">
      <c r="A88" s="6" t="s">
        <v>2640</v>
      </c>
      <c r="B88" s="6" t="s">
        <v>404</v>
      </c>
      <c r="C88" s="6"/>
      <c r="D88" s="6"/>
      <c r="E88" s="6">
        <v>2</v>
      </c>
    </row>
    <row r="89" spans="1:5" x14ac:dyDescent="0.3">
      <c r="A89" s="6"/>
      <c r="B89" s="6" t="s">
        <v>340</v>
      </c>
      <c r="C89" s="6"/>
      <c r="D89" s="6"/>
      <c r="E89" s="6">
        <v>-1</v>
      </c>
    </row>
    <row r="90" spans="1:5" x14ac:dyDescent="0.3">
      <c r="A90" s="6"/>
      <c r="B90" s="6" t="s">
        <v>580</v>
      </c>
      <c r="C90" s="6"/>
      <c r="D90" s="6"/>
      <c r="E90" s="6">
        <v>-1</v>
      </c>
    </row>
    <row r="91" spans="1:5" x14ac:dyDescent="0.3">
      <c r="A91" s="6"/>
      <c r="B91" s="6" t="s">
        <v>334</v>
      </c>
      <c r="C91" s="6"/>
      <c r="D91" s="6"/>
      <c r="E91" s="6">
        <v>-1</v>
      </c>
    </row>
    <row r="92" spans="1:5" x14ac:dyDescent="0.3">
      <c r="A92" s="6" t="s">
        <v>2589</v>
      </c>
      <c r="B92" s="6" t="s">
        <v>384</v>
      </c>
      <c r="C92" s="6">
        <v>34</v>
      </c>
      <c r="D92" s="6"/>
      <c r="E92" s="6"/>
    </row>
    <row r="93" spans="1:5" x14ac:dyDescent="0.3">
      <c r="A93" s="6"/>
      <c r="B93" s="6" t="s">
        <v>732</v>
      </c>
      <c r="C93" s="6"/>
      <c r="D93" s="6">
        <v>-1</v>
      </c>
      <c r="E93" s="6"/>
    </row>
    <row r="94" spans="1:5" x14ac:dyDescent="0.3">
      <c r="A94" s="6" t="s">
        <v>4553</v>
      </c>
      <c r="B94" s="6" t="s">
        <v>350</v>
      </c>
      <c r="C94" s="6"/>
      <c r="D94" s="6"/>
      <c r="E94" s="6">
        <v>32</v>
      </c>
    </row>
    <row r="95" spans="1:5" x14ac:dyDescent="0.3">
      <c r="A95" s="6"/>
      <c r="B95" s="6" t="s">
        <v>412</v>
      </c>
      <c r="C95" s="6">
        <v>-1</v>
      </c>
      <c r="D95" s="6"/>
      <c r="E95" s="6"/>
    </row>
    <row r="96" spans="1:5" x14ac:dyDescent="0.3">
      <c r="A96" s="6" t="s">
        <v>1516</v>
      </c>
      <c r="B96" s="6" t="s">
        <v>560</v>
      </c>
      <c r="C96" s="6"/>
      <c r="D96" s="6">
        <v>31</v>
      </c>
      <c r="E96" s="6"/>
    </row>
    <row r="97" spans="1:5" x14ac:dyDescent="0.3">
      <c r="A97" s="6"/>
      <c r="B97" s="6" t="s">
        <v>718</v>
      </c>
      <c r="C97" s="6"/>
      <c r="D97" s="6"/>
      <c r="E97" s="6">
        <v>-1</v>
      </c>
    </row>
    <row r="98" spans="1:5" x14ac:dyDescent="0.3">
      <c r="A98" s="6"/>
      <c r="B98" s="6" t="s">
        <v>422</v>
      </c>
      <c r="C98" s="6">
        <v>-1</v>
      </c>
      <c r="D98" s="6"/>
      <c r="E98" s="6"/>
    </row>
    <row r="99" spans="1:5" x14ac:dyDescent="0.3">
      <c r="A99" s="6"/>
      <c r="B99" s="6" t="s">
        <v>426</v>
      </c>
      <c r="C99" s="6"/>
      <c r="D99" s="6">
        <v>-1</v>
      </c>
      <c r="E99" s="6"/>
    </row>
    <row r="100" spans="1:5" x14ac:dyDescent="0.3">
      <c r="A100" s="6" t="s">
        <v>3263</v>
      </c>
      <c r="B100" s="6" t="s">
        <v>656</v>
      </c>
      <c r="C100" s="6"/>
      <c r="D100" s="6"/>
      <c r="E100" s="6">
        <v>30</v>
      </c>
    </row>
    <row r="101" spans="1:5" x14ac:dyDescent="0.3">
      <c r="A101" s="6"/>
      <c r="B101" s="6" t="s">
        <v>592</v>
      </c>
      <c r="C101" s="6">
        <v>-1</v>
      </c>
      <c r="D101" s="6"/>
      <c r="E101" s="6"/>
    </row>
    <row r="102" spans="1:5" x14ac:dyDescent="0.3">
      <c r="A102" s="6"/>
      <c r="B102" s="6" t="s">
        <v>368</v>
      </c>
      <c r="C102" s="6"/>
      <c r="D102" s="6">
        <v>-1</v>
      </c>
      <c r="E102" s="6"/>
    </row>
    <row r="103" spans="1:5" x14ac:dyDescent="0.3">
      <c r="A103" s="6"/>
      <c r="B103" s="6" t="s">
        <v>328</v>
      </c>
      <c r="C103" s="6"/>
      <c r="D103" s="6"/>
      <c r="E103" s="6">
        <v>-1</v>
      </c>
    </row>
    <row r="104" spans="1:5" x14ac:dyDescent="0.3">
      <c r="A104" s="6"/>
      <c r="B104" s="6" t="s">
        <v>444</v>
      </c>
      <c r="C104" s="6">
        <v>-1</v>
      </c>
      <c r="D104" s="6"/>
      <c r="E104" s="6"/>
    </row>
    <row r="105" spans="1:5" x14ac:dyDescent="0.3">
      <c r="A105" s="6" t="s">
        <v>4003</v>
      </c>
      <c r="B105" s="6" t="s">
        <v>330</v>
      </c>
      <c r="C105" s="6"/>
      <c r="D105" s="6">
        <v>14</v>
      </c>
      <c r="E105" s="6"/>
    </row>
    <row r="106" spans="1:5" x14ac:dyDescent="0.3">
      <c r="A106" s="6"/>
      <c r="B106" s="6" t="s">
        <v>468</v>
      </c>
      <c r="C106" s="6"/>
      <c r="D106" s="6">
        <v>-1</v>
      </c>
      <c r="E106" s="6"/>
    </row>
    <row r="107" spans="1:5" x14ac:dyDescent="0.3">
      <c r="A107" s="6"/>
      <c r="B107" s="6" t="s">
        <v>460</v>
      </c>
      <c r="C107" s="6"/>
      <c r="D107" s="6">
        <v>-1</v>
      </c>
      <c r="E107" s="6"/>
    </row>
  </sheetData>
  <pageMargins left="0.7" right="0.7" top="0.75" bottom="0.75" header="0.3" footer="0.3"/>
  <tableParts count="1">
    <tablePart r:id="rId1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47704-B6D1-404F-AD08-DEDEA47470D4}">
  <dimension ref="A1:E107"/>
  <sheetViews>
    <sheetView topLeftCell="A100" workbookViewId="0">
      <selection activeCell="B108" sqref="B108"/>
    </sheetView>
  </sheetViews>
  <sheetFormatPr defaultRowHeight="14.4" x14ac:dyDescent="0.3"/>
  <cols>
    <col min="1" max="1" width="30" bestFit="1" customWidth="1"/>
    <col min="2" max="2" width="12.21875" bestFit="1" customWidth="1"/>
    <col min="3" max="3" width="18.77734375" bestFit="1" customWidth="1"/>
    <col min="4" max="4" width="17.44140625" bestFit="1" customWidth="1"/>
    <col min="5" max="5" width="19.5546875" bestFit="1" customWidth="1"/>
  </cols>
  <sheetData>
    <row r="1" spans="1:5" x14ac:dyDescent="0.3">
      <c r="A1" t="s">
        <v>832</v>
      </c>
      <c r="B1" t="s">
        <v>1</v>
      </c>
      <c r="C1" t="s">
        <v>982</v>
      </c>
      <c r="D1" t="s">
        <v>983</v>
      </c>
      <c r="E1" t="s">
        <v>984</v>
      </c>
    </row>
    <row r="2" spans="1:5" x14ac:dyDescent="0.3">
      <c r="A2" s="6" t="s">
        <v>1938</v>
      </c>
      <c r="B2" s="6" t="s">
        <v>356</v>
      </c>
      <c r="C2" s="6">
        <v>21</v>
      </c>
      <c r="D2" s="6"/>
      <c r="E2" s="6"/>
    </row>
    <row r="3" spans="1:5" x14ac:dyDescent="0.3">
      <c r="A3" s="6" t="s">
        <v>4966</v>
      </c>
      <c r="B3" s="6" t="s">
        <v>356</v>
      </c>
      <c r="C3" s="6">
        <v>18</v>
      </c>
      <c r="D3" s="6"/>
      <c r="E3" s="6"/>
    </row>
    <row r="4" spans="1:5" x14ac:dyDescent="0.3">
      <c r="A4" s="6" t="s">
        <v>1941</v>
      </c>
      <c r="B4" s="6" t="s">
        <v>356</v>
      </c>
      <c r="C4" s="6">
        <v>5</v>
      </c>
      <c r="D4" s="6"/>
      <c r="E4" s="6"/>
    </row>
    <row r="5" spans="1:5" x14ac:dyDescent="0.3">
      <c r="A5" s="6"/>
      <c r="B5" s="6" t="s">
        <v>700</v>
      </c>
      <c r="C5" s="6">
        <v>-1</v>
      </c>
      <c r="D5" s="6"/>
      <c r="E5" s="6"/>
    </row>
    <row r="6" spans="1:5" x14ac:dyDescent="0.3">
      <c r="A6" s="6"/>
      <c r="B6" s="6" t="s">
        <v>700</v>
      </c>
      <c r="C6" s="6">
        <v>-1</v>
      </c>
      <c r="D6" s="6"/>
      <c r="E6" s="6"/>
    </row>
    <row r="7" spans="1:5" x14ac:dyDescent="0.3">
      <c r="A7" s="6"/>
      <c r="B7" s="6" t="s">
        <v>700</v>
      </c>
      <c r="C7" s="6">
        <v>-1</v>
      </c>
      <c r="D7" s="6"/>
      <c r="E7" s="6"/>
    </row>
    <row r="8" spans="1:5" x14ac:dyDescent="0.3">
      <c r="A8" s="6"/>
      <c r="B8" s="6" t="s">
        <v>394</v>
      </c>
      <c r="C8" s="6">
        <v>-1</v>
      </c>
      <c r="D8" s="6"/>
      <c r="E8" s="6"/>
    </row>
    <row r="9" spans="1:5" x14ac:dyDescent="0.3">
      <c r="A9" s="6"/>
      <c r="B9" s="6" t="s">
        <v>394</v>
      </c>
      <c r="C9" s="6">
        <v>-1</v>
      </c>
      <c r="D9" s="6"/>
      <c r="E9" s="6"/>
    </row>
    <row r="10" spans="1:5" x14ac:dyDescent="0.3">
      <c r="A10" s="6"/>
      <c r="B10" s="6" t="s">
        <v>394</v>
      </c>
      <c r="C10" s="6">
        <v>-1</v>
      </c>
      <c r="D10" s="6"/>
      <c r="E10" s="6"/>
    </row>
    <row r="11" spans="1:5" x14ac:dyDescent="0.3">
      <c r="A11" s="6"/>
      <c r="B11" s="6" t="s">
        <v>344</v>
      </c>
      <c r="C11" s="6">
        <v>-1</v>
      </c>
      <c r="D11" s="6"/>
      <c r="E11" s="6"/>
    </row>
    <row r="12" spans="1:5" x14ac:dyDescent="0.3">
      <c r="A12" s="6"/>
      <c r="B12" s="6" t="s">
        <v>344</v>
      </c>
      <c r="C12" s="6">
        <v>-1</v>
      </c>
      <c r="D12" s="6"/>
      <c r="E12" s="6"/>
    </row>
    <row r="13" spans="1:5" x14ac:dyDescent="0.3">
      <c r="A13" s="6" t="s">
        <v>3731</v>
      </c>
      <c r="B13" s="6" t="s">
        <v>344</v>
      </c>
      <c r="C13" s="6">
        <v>11</v>
      </c>
      <c r="D13" s="6"/>
      <c r="E13" s="6"/>
    </row>
    <row r="14" spans="1:5" x14ac:dyDescent="0.3">
      <c r="A14" s="6" t="s">
        <v>2506</v>
      </c>
      <c r="B14" s="6" t="s">
        <v>726</v>
      </c>
      <c r="C14" s="6">
        <v>7</v>
      </c>
      <c r="D14" s="6"/>
      <c r="E14" s="6"/>
    </row>
    <row r="15" spans="1:5" x14ac:dyDescent="0.3">
      <c r="A15" s="6"/>
      <c r="B15" s="6" t="s">
        <v>726</v>
      </c>
      <c r="C15" s="6">
        <v>-1</v>
      </c>
      <c r="D15" s="6"/>
      <c r="E15" s="6"/>
    </row>
    <row r="16" spans="1:5" x14ac:dyDescent="0.3">
      <c r="A16" s="6"/>
      <c r="B16" s="6" t="s">
        <v>726</v>
      </c>
      <c r="C16" s="6">
        <v>-1</v>
      </c>
      <c r="D16" s="6"/>
      <c r="E16" s="6"/>
    </row>
    <row r="17" spans="1:5" x14ac:dyDescent="0.3">
      <c r="A17" s="6"/>
      <c r="B17" s="6" t="s">
        <v>332</v>
      </c>
      <c r="C17" s="6">
        <v>-1</v>
      </c>
      <c r="D17" s="6"/>
      <c r="E17" s="6"/>
    </row>
    <row r="18" spans="1:5" x14ac:dyDescent="0.3">
      <c r="A18" s="6"/>
      <c r="B18" s="6" t="s">
        <v>332</v>
      </c>
      <c r="C18" s="6">
        <v>-1</v>
      </c>
      <c r="D18" s="6"/>
      <c r="E18" s="6"/>
    </row>
    <row r="19" spans="1:5" x14ac:dyDescent="0.3">
      <c r="A19" s="6"/>
      <c r="B19" s="6" t="s">
        <v>332</v>
      </c>
      <c r="C19" s="6">
        <v>-1</v>
      </c>
      <c r="D19" s="6"/>
      <c r="E19" s="6"/>
    </row>
    <row r="20" spans="1:5" x14ac:dyDescent="0.3">
      <c r="A20" s="6"/>
      <c r="B20" s="6" t="s">
        <v>328</v>
      </c>
      <c r="C20" s="6">
        <v>-1</v>
      </c>
      <c r="D20" s="6"/>
      <c r="E20" s="6"/>
    </row>
    <row r="21" spans="1:5" x14ac:dyDescent="0.3">
      <c r="A21" s="6"/>
      <c r="B21" s="6" t="s">
        <v>328</v>
      </c>
      <c r="C21" s="6">
        <v>-1</v>
      </c>
      <c r="D21" s="6"/>
      <c r="E21" s="6"/>
    </row>
    <row r="22" spans="1:5" x14ac:dyDescent="0.3">
      <c r="A22" s="6" t="s">
        <v>4465</v>
      </c>
      <c r="B22" s="6" t="s">
        <v>328</v>
      </c>
      <c r="C22" s="6">
        <v>27</v>
      </c>
      <c r="D22" s="6"/>
      <c r="E22" s="6"/>
    </row>
    <row r="23" spans="1:5" x14ac:dyDescent="0.3">
      <c r="A23" s="6"/>
      <c r="B23" s="6" t="s">
        <v>326</v>
      </c>
      <c r="C23" s="6">
        <v>-1</v>
      </c>
      <c r="D23" s="6"/>
      <c r="E23" s="6"/>
    </row>
    <row r="24" spans="1:5" x14ac:dyDescent="0.3">
      <c r="A24" s="6" t="s">
        <v>4419</v>
      </c>
      <c r="B24" s="6" t="s">
        <v>326</v>
      </c>
      <c r="C24" s="6">
        <v>30</v>
      </c>
      <c r="D24" s="6"/>
      <c r="E24" s="6"/>
    </row>
    <row r="25" spans="1:5" x14ac:dyDescent="0.3">
      <c r="A25" s="6"/>
      <c r="B25" s="6" t="s">
        <v>326</v>
      </c>
      <c r="C25" s="6">
        <v>-1</v>
      </c>
      <c r="D25" s="6"/>
      <c r="E25" s="6"/>
    </row>
    <row r="26" spans="1:5" x14ac:dyDescent="0.3">
      <c r="A26" s="6" t="s">
        <v>4749</v>
      </c>
      <c r="B26" s="6" t="s">
        <v>356</v>
      </c>
      <c r="C26" s="6"/>
      <c r="D26" s="6">
        <v>6</v>
      </c>
      <c r="E26" s="6"/>
    </row>
    <row r="27" spans="1:5" x14ac:dyDescent="0.3">
      <c r="A27" s="6"/>
      <c r="B27" s="6" t="s">
        <v>356</v>
      </c>
      <c r="C27" s="6"/>
      <c r="D27" s="6">
        <v>-1</v>
      </c>
      <c r="E27" s="6"/>
    </row>
    <row r="28" spans="1:5" x14ac:dyDescent="0.3">
      <c r="A28" s="6"/>
      <c r="B28" s="6" t="s">
        <v>356</v>
      </c>
      <c r="C28" s="6"/>
      <c r="D28" s="6">
        <v>-1</v>
      </c>
      <c r="E28" s="6"/>
    </row>
    <row r="29" spans="1:5" x14ac:dyDescent="0.3">
      <c r="A29" s="6" t="s">
        <v>1648</v>
      </c>
      <c r="B29" s="6" t="s">
        <v>332</v>
      </c>
      <c r="C29" s="6"/>
      <c r="D29" s="6">
        <v>18</v>
      </c>
      <c r="E29" s="6"/>
    </row>
    <row r="30" spans="1:5" x14ac:dyDescent="0.3">
      <c r="A30" s="6"/>
      <c r="B30" s="6" t="s">
        <v>332</v>
      </c>
      <c r="C30" s="6"/>
      <c r="D30" s="6">
        <v>-1</v>
      </c>
      <c r="E30" s="6"/>
    </row>
    <row r="31" spans="1:5" x14ac:dyDescent="0.3">
      <c r="A31" s="6"/>
      <c r="B31" s="6" t="s">
        <v>332</v>
      </c>
      <c r="C31" s="6"/>
      <c r="D31" s="6">
        <v>-1</v>
      </c>
      <c r="E31" s="6"/>
    </row>
    <row r="32" spans="1:5" x14ac:dyDescent="0.3">
      <c r="A32" s="6" t="s">
        <v>3730</v>
      </c>
      <c r="B32" s="6" t="s">
        <v>344</v>
      </c>
      <c r="C32" s="6"/>
      <c r="D32" s="6">
        <v>28</v>
      </c>
      <c r="E32" s="6"/>
    </row>
    <row r="33" spans="1:5" x14ac:dyDescent="0.3">
      <c r="A33" s="6"/>
      <c r="B33" s="6" t="s">
        <v>344</v>
      </c>
      <c r="C33" s="6"/>
      <c r="D33" s="6">
        <v>-1</v>
      </c>
      <c r="E33" s="6"/>
    </row>
    <row r="34" spans="1:5" x14ac:dyDescent="0.3">
      <c r="A34" s="6" t="s">
        <v>3244</v>
      </c>
      <c r="B34" s="6" t="s">
        <v>344</v>
      </c>
      <c r="C34" s="6"/>
      <c r="D34" s="6">
        <v>13</v>
      </c>
      <c r="E34" s="6"/>
    </row>
    <row r="35" spans="1:5" x14ac:dyDescent="0.3">
      <c r="A35" s="6" t="s">
        <v>2776</v>
      </c>
      <c r="B35" s="6" t="s">
        <v>428</v>
      </c>
      <c r="C35" s="6"/>
      <c r="D35" s="6">
        <v>19</v>
      </c>
      <c r="E35" s="6"/>
    </row>
    <row r="36" spans="1:5" x14ac:dyDescent="0.3">
      <c r="A36" s="6" t="s">
        <v>1338</v>
      </c>
      <c r="B36" s="6" t="s">
        <v>428</v>
      </c>
      <c r="C36" s="6"/>
      <c r="D36" s="6">
        <v>20</v>
      </c>
      <c r="E36" s="6"/>
    </row>
    <row r="37" spans="1:5" x14ac:dyDescent="0.3">
      <c r="A37" s="6" t="s">
        <v>4061</v>
      </c>
      <c r="B37" s="6" t="s">
        <v>428</v>
      </c>
      <c r="C37" s="6"/>
      <c r="D37" s="6">
        <v>22</v>
      </c>
      <c r="E37" s="6"/>
    </row>
    <row r="38" spans="1:5" x14ac:dyDescent="0.3">
      <c r="A38" s="6"/>
      <c r="B38" s="6" t="s">
        <v>384</v>
      </c>
      <c r="C38" s="6"/>
      <c r="D38" s="6">
        <v>-1</v>
      </c>
      <c r="E38" s="6"/>
    </row>
    <row r="39" spans="1:5" x14ac:dyDescent="0.3">
      <c r="A39" s="6"/>
      <c r="B39" s="6" t="s">
        <v>384</v>
      </c>
      <c r="C39" s="6"/>
      <c r="D39" s="6">
        <v>-1</v>
      </c>
      <c r="E39" s="6"/>
    </row>
    <row r="40" spans="1:5" x14ac:dyDescent="0.3">
      <c r="A40" s="6"/>
      <c r="B40" s="6" t="s">
        <v>384</v>
      </c>
      <c r="C40" s="6"/>
      <c r="D40" s="6">
        <v>-1</v>
      </c>
      <c r="E40" s="6"/>
    </row>
    <row r="41" spans="1:5" x14ac:dyDescent="0.3">
      <c r="A41" s="6"/>
      <c r="B41" s="6" t="s">
        <v>328</v>
      </c>
      <c r="C41" s="6"/>
      <c r="D41" s="6">
        <v>-1</v>
      </c>
      <c r="E41" s="6"/>
    </row>
    <row r="42" spans="1:5" x14ac:dyDescent="0.3">
      <c r="A42" s="6"/>
      <c r="B42" s="6" t="s">
        <v>328</v>
      </c>
      <c r="C42" s="6"/>
      <c r="D42" s="6">
        <v>-1</v>
      </c>
      <c r="E42" s="6"/>
    </row>
    <row r="43" spans="1:5" x14ac:dyDescent="0.3">
      <c r="A43" s="6"/>
      <c r="B43" s="6" t="s">
        <v>328</v>
      </c>
      <c r="C43" s="6"/>
      <c r="D43" s="6">
        <v>-1</v>
      </c>
      <c r="E43" s="6"/>
    </row>
    <row r="44" spans="1:5" x14ac:dyDescent="0.3">
      <c r="A44" s="6" t="s">
        <v>3877</v>
      </c>
      <c r="B44" s="6" t="s">
        <v>394</v>
      </c>
      <c r="C44" s="6"/>
      <c r="D44" s="6">
        <v>31</v>
      </c>
      <c r="E44" s="6"/>
    </row>
    <row r="45" spans="1:5" x14ac:dyDescent="0.3">
      <c r="A45" s="6" t="s">
        <v>3883</v>
      </c>
      <c r="B45" s="6" t="s">
        <v>394</v>
      </c>
      <c r="C45" s="6"/>
      <c r="D45" s="6">
        <v>30</v>
      </c>
      <c r="E45" s="6"/>
    </row>
    <row r="46" spans="1:5" x14ac:dyDescent="0.3">
      <c r="A46" s="6"/>
      <c r="B46" s="6" t="s">
        <v>394</v>
      </c>
      <c r="C46" s="6"/>
      <c r="D46" s="6">
        <v>-1</v>
      </c>
      <c r="E46" s="6"/>
    </row>
    <row r="47" spans="1:5" x14ac:dyDescent="0.3">
      <c r="A47" s="6" t="s">
        <v>4437</v>
      </c>
      <c r="B47" s="6" t="s">
        <v>326</v>
      </c>
      <c r="C47" s="6"/>
      <c r="D47" s="6">
        <v>21</v>
      </c>
      <c r="E47" s="6"/>
    </row>
    <row r="48" spans="1:5" x14ac:dyDescent="0.3">
      <c r="A48" s="6"/>
      <c r="B48" s="6" t="s">
        <v>326</v>
      </c>
      <c r="C48" s="6"/>
      <c r="D48" s="6">
        <v>-1</v>
      </c>
      <c r="E48" s="6"/>
    </row>
    <row r="49" spans="1:5" x14ac:dyDescent="0.3">
      <c r="A49" s="6"/>
      <c r="B49" s="6" t="s">
        <v>326</v>
      </c>
      <c r="C49" s="6"/>
      <c r="D49" s="6">
        <v>-1</v>
      </c>
      <c r="E49" s="6"/>
    </row>
    <row r="50" spans="1:5" x14ac:dyDescent="0.3">
      <c r="A50" s="6" t="s">
        <v>3749</v>
      </c>
      <c r="B50" s="6" t="s">
        <v>344</v>
      </c>
      <c r="C50" s="6"/>
      <c r="D50" s="6"/>
      <c r="E50" s="6">
        <v>2</v>
      </c>
    </row>
    <row r="51" spans="1:5" x14ac:dyDescent="0.3">
      <c r="A51" s="6" t="s">
        <v>4379</v>
      </c>
      <c r="B51" s="6" t="s">
        <v>344</v>
      </c>
      <c r="C51" s="6"/>
      <c r="D51" s="6"/>
      <c r="E51" s="6">
        <v>11</v>
      </c>
    </row>
    <row r="52" spans="1:5" x14ac:dyDescent="0.3">
      <c r="A52" s="6"/>
      <c r="B52" s="6" t="s">
        <v>344</v>
      </c>
      <c r="C52" s="6"/>
      <c r="D52" s="6"/>
      <c r="E52" s="6">
        <v>-1</v>
      </c>
    </row>
    <row r="53" spans="1:5" x14ac:dyDescent="0.3">
      <c r="A53" s="6"/>
      <c r="B53" s="6" t="s">
        <v>406</v>
      </c>
      <c r="C53" s="6"/>
      <c r="D53" s="6"/>
      <c r="E53" s="6">
        <v>-1</v>
      </c>
    </row>
    <row r="54" spans="1:5" x14ac:dyDescent="0.3">
      <c r="A54" s="6"/>
      <c r="B54" s="6" t="s">
        <v>406</v>
      </c>
      <c r="C54" s="6"/>
      <c r="D54" s="6"/>
      <c r="E54" s="6">
        <v>-1</v>
      </c>
    </row>
    <row r="55" spans="1:5" x14ac:dyDescent="0.3">
      <c r="A55" s="6"/>
      <c r="B55" s="6" t="s">
        <v>406</v>
      </c>
      <c r="C55" s="6"/>
      <c r="D55" s="6"/>
      <c r="E55" s="6">
        <v>-1</v>
      </c>
    </row>
    <row r="56" spans="1:5" x14ac:dyDescent="0.3">
      <c r="A56" s="6"/>
      <c r="B56" s="6" t="s">
        <v>700</v>
      </c>
      <c r="C56" s="6"/>
      <c r="D56" s="6"/>
      <c r="E56" s="6">
        <v>-1</v>
      </c>
    </row>
    <row r="57" spans="1:5" x14ac:dyDescent="0.3">
      <c r="A57" s="6"/>
      <c r="B57" s="6" t="s">
        <v>700</v>
      </c>
      <c r="C57" s="6"/>
      <c r="D57" s="6"/>
      <c r="E57" s="6">
        <v>-1</v>
      </c>
    </row>
    <row r="58" spans="1:5" x14ac:dyDescent="0.3">
      <c r="A58" s="6"/>
      <c r="B58" s="6" t="s">
        <v>700</v>
      </c>
      <c r="C58" s="6"/>
      <c r="D58" s="6"/>
      <c r="E58" s="6">
        <v>-1</v>
      </c>
    </row>
    <row r="59" spans="1:5" x14ac:dyDescent="0.3">
      <c r="A59" s="6" t="s">
        <v>2968</v>
      </c>
      <c r="B59" s="6" t="s">
        <v>726</v>
      </c>
      <c r="C59" s="6"/>
      <c r="D59" s="6"/>
      <c r="E59" s="6">
        <v>3</v>
      </c>
    </row>
    <row r="60" spans="1:5" x14ac:dyDescent="0.3">
      <c r="A60" s="6"/>
      <c r="B60" s="6" t="s">
        <v>726</v>
      </c>
      <c r="C60" s="6"/>
      <c r="D60" s="6"/>
      <c r="E60" s="6">
        <v>-1</v>
      </c>
    </row>
    <row r="61" spans="1:5" x14ac:dyDescent="0.3">
      <c r="A61" s="6" t="s">
        <v>4767</v>
      </c>
      <c r="B61" s="6" t="s">
        <v>726</v>
      </c>
      <c r="C61" s="6"/>
      <c r="D61" s="6"/>
      <c r="E61" s="6">
        <v>32</v>
      </c>
    </row>
    <row r="62" spans="1:5" x14ac:dyDescent="0.3">
      <c r="A62" s="6" t="s">
        <v>1392</v>
      </c>
      <c r="B62" s="6" t="s">
        <v>380</v>
      </c>
      <c r="C62" s="6"/>
      <c r="D62" s="6"/>
      <c r="E62" s="6">
        <v>36</v>
      </c>
    </row>
    <row r="63" spans="1:5" x14ac:dyDescent="0.3">
      <c r="A63" s="6" t="s">
        <v>2833</v>
      </c>
      <c r="B63" s="6" t="s">
        <v>380</v>
      </c>
      <c r="C63" s="6"/>
      <c r="D63" s="6"/>
      <c r="E63" s="6">
        <v>33</v>
      </c>
    </row>
    <row r="64" spans="1:5" x14ac:dyDescent="0.3">
      <c r="A64" s="6"/>
      <c r="B64" s="6" t="s">
        <v>380</v>
      </c>
      <c r="C64" s="6"/>
      <c r="D64" s="6"/>
      <c r="E64" s="6">
        <v>-1</v>
      </c>
    </row>
    <row r="65" spans="1:5" x14ac:dyDescent="0.3">
      <c r="A65" s="6" t="s">
        <v>1334</v>
      </c>
      <c r="B65" s="6" t="s">
        <v>428</v>
      </c>
      <c r="C65" s="6"/>
      <c r="D65" s="6"/>
      <c r="E65" s="6">
        <v>9</v>
      </c>
    </row>
    <row r="66" spans="1:5" x14ac:dyDescent="0.3">
      <c r="A66" s="6"/>
      <c r="B66" s="6" t="s">
        <v>428</v>
      </c>
      <c r="C66" s="6"/>
      <c r="D66" s="6"/>
      <c r="E66" s="6">
        <v>-1</v>
      </c>
    </row>
    <row r="67" spans="1:5" x14ac:dyDescent="0.3">
      <c r="A67" s="6"/>
      <c r="B67" s="6" t="s">
        <v>428</v>
      </c>
      <c r="C67" s="6"/>
      <c r="D67" s="6"/>
      <c r="E67" s="6">
        <v>-1</v>
      </c>
    </row>
    <row r="68" spans="1:5" x14ac:dyDescent="0.3">
      <c r="A68" s="6" t="s">
        <v>3026</v>
      </c>
      <c r="B68" s="6" t="s">
        <v>332</v>
      </c>
      <c r="C68" s="6"/>
      <c r="D68" s="6"/>
      <c r="E68" s="6">
        <v>21</v>
      </c>
    </row>
    <row r="69" spans="1:5" x14ac:dyDescent="0.3">
      <c r="A69" s="6"/>
      <c r="B69" s="6" t="s">
        <v>332</v>
      </c>
      <c r="C69" s="6"/>
      <c r="D69" s="6"/>
      <c r="E69" s="6">
        <v>-1</v>
      </c>
    </row>
    <row r="70" spans="1:5" x14ac:dyDescent="0.3">
      <c r="A70" s="6" t="s">
        <v>1660</v>
      </c>
      <c r="B70" s="6" t="s">
        <v>332</v>
      </c>
      <c r="C70" s="6"/>
      <c r="D70" s="6"/>
      <c r="E70" s="6">
        <v>18</v>
      </c>
    </row>
    <row r="71" spans="1:5" x14ac:dyDescent="0.3">
      <c r="A71" s="6" t="s">
        <v>4956</v>
      </c>
      <c r="B71" s="6" t="s">
        <v>356</v>
      </c>
      <c r="C71" s="6"/>
      <c r="D71" s="6"/>
      <c r="E71" s="6">
        <v>23</v>
      </c>
    </row>
    <row r="72" spans="1:5" x14ac:dyDescent="0.3">
      <c r="A72" s="6"/>
      <c r="B72" s="6" t="s">
        <v>356</v>
      </c>
      <c r="C72" s="6"/>
      <c r="D72" s="6"/>
      <c r="E72" s="6">
        <v>-1</v>
      </c>
    </row>
    <row r="73" spans="1:5" x14ac:dyDescent="0.3">
      <c r="A73" s="6"/>
      <c r="B73" s="6" t="s">
        <v>356</v>
      </c>
      <c r="C73" s="6"/>
      <c r="D73" s="6"/>
      <c r="E73" s="6">
        <v>-1</v>
      </c>
    </row>
    <row r="74" spans="1:5" x14ac:dyDescent="0.3">
      <c r="A74" s="6"/>
      <c r="B74" s="6" t="s">
        <v>592</v>
      </c>
      <c r="C74" s="6">
        <v>-1</v>
      </c>
      <c r="D74" s="6"/>
      <c r="E74" s="6"/>
    </row>
    <row r="75" spans="1:5" x14ac:dyDescent="0.3">
      <c r="A75" s="6" t="s">
        <v>4092</v>
      </c>
      <c r="B75" s="6" t="s">
        <v>428</v>
      </c>
      <c r="C75" s="6">
        <v>16</v>
      </c>
      <c r="D75" s="6"/>
      <c r="E75" s="6"/>
    </row>
    <row r="76" spans="1:5" x14ac:dyDescent="0.3">
      <c r="A76" s="6"/>
      <c r="B76" s="6" t="s">
        <v>436</v>
      </c>
      <c r="C76" s="6">
        <v>-1</v>
      </c>
      <c r="D76" s="6"/>
      <c r="E76" s="6"/>
    </row>
    <row r="77" spans="1:5" x14ac:dyDescent="0.3">
      <c r="A77" s="6"/>
      <c r="B77" s="6" t="s">
        <v>336</v>
      </c>
      <c r="C77" s="6">
        <v>-1</v>
      </c>
      <c r="D77" s="6"/>
      <c r="E77" s="6"/>
    </row>
    <row r="78" spans="1:5" x14ac:dyDescent="0.3">
      <c r="A78" s="6"/>
      <c r="B78" s="6" t="s">
        <v>406</v>
      </c>
      <c r="C78" s="6">
        <v>-1</v>
      </c>
      <c r="D78" s="6"/>
      <c r="E78" s="6"/>
    </row>
    <row r="79" spans="1:5" x14ac:dyDescent="0.3">
      <c r="A79" s="6"/>
      <c r="B79" s="6" t="s">
        <v>572</v>
      </c>
      <c r="C79" s="6">
        <v>-1</v>
      </c>
      <c r="D79" s="6"/>
      <c r="E79" s="6"/>
    </row>
    <row r="80" spans="1:5" x14ac:dyDescent="0.3">
      <c r="A80" s="6"/>
      <c r="B80" s="6" t="s">
        <v>446</v>
      </c>
      <c r="C80" s="6"/>
      <c r="D80" s="6">
        <v>-1</v>
      </c>
      <c r="E80" s="6"/>
    </row>
    <row r="81" spans="1:5" x14ac:dyDescent="0.3">
      <c r="A81" s="6"/>
      <c r="B81" s="6" t="s">
        <v>592</v>
      </c>
      <c r="C81" s="6"/>
      <c r="D81" s="6">
        <v>-1</v>
      </c>
      <c r="E81" s="6"/>
    </row>
    <row r="82" spans="1:5" x14ac:dyDescent="0.3">
      <c r="A82" s="6"/>
      <c r="B82" s="6" t="s">
        <v>426</v>
      </c>
      <c r="C82" s="6"/>
      <c r="D82" s="6">
        <v>-1</v>
      </c>
      <c r="E82" s="6"/>
    </row>
    <row r="83" spans="1:5" x14ac:dyDescent="0.3">
      <c r="A83" s="6" t="s">
        <v>3949</v>
      </c>
      <c r="B83" s="6" t="s">
        <v>366</v>
      </c>
      <c r="C83" s="6"/>
      <c r="D83" s="6">
        <v>26</v>
      </c>
      <c r="E83" s="6"/>
    </row>
    <row r="84" spans="1:5" x14ac:dyDescent="0.3">
      <c r="A84" s="6"/>
      <c r="B84" s="6" t="s">
        <v>334</v>
      </c>
      <c r="C84" s="6"/>
      <c r="D84" s="6">
        <v>-1</v>
      </c>
      <c r="E84" s="6"/>
    </row>
    <row r="85" spans="1:5" x14ac:dyDescent="0.3">
      <c r="A85" s="6"/>
      <c r="B85" s="6" t="s">
        <v>406</v>
      </c>
      <c r="C85" s="6"/>
      <c r="D85" s="6">
        <v>-1</v>
      </c>
      <c r="E85" s="6"/>
    </row>
    <row r="86" spans="1:5" x14ac:dyDescent="0.3">
      <c r="A86" s="6"/>
      <c r="B86" s="6" t="s">
        <v>328</v>
      </c>
      <c r="C86" s="6"/>
      <c r="D86" s="6"/>
      <c r="E86" s="6">
        <v>-1</v>
      </c>
    </row>
    <row r="87" spans="1:5" x14ac:dyDescent="0.3">
      <c r="A87" s="6"/>
      <c r="B87" s="6" t="s">
        <v>482</v>
      </c>
      <c r="C87" s="6"/>
      <c r="D87" s="6"/>
      <c r="E87" s="6">
        <v>-1</v>
      </c>
    </row>
    <row r="88" spans="1:5" x14ac:dyDescent="0.3">
      <c r="A88" s="6"/>
      <c r="B88" s="6" t="s">
        <v>326</v>
      </c>
      <c r="C88" s="6"/>
      <c r="D88" s="6"/>
      <c r="E88" s="6">
        <v>-1</v>
      </c>
    </row>
    <row r="89" spans="1:5" x14ac:dyDescent="0.3">
      <c r="A89" s="6"/>
      <c r="B89" s="6" t="s">
        <v>384</v>
      </c>
      <c r="C89" s="6"/>
      <c r="D89" s="6"/>
      <c r="E89" s="6">
        <v>-1</v>
      </c>
    </row>
    <row r="90" spans="1:5" x14ac:dyDescent="0.3">
      <c r="A90" s="6"/>
      <c r="B90" s="6" t="s">
        <v>342</v>
      </c>
      <c r="C90" s="6"/>
      <c r="D90" s="6"/>
      <c r="E90" s="6">
        <v>-1</v>
      </c>
    </row>
    <row r="91" spans="1:5" x14ac:dyDescent="0.3">
      <c r="A91" s="6" t="s">
        <v>4006</v>
      </c>
      <c r="B91" s="6" t="s">
        <v>330</v>
      </c>
      <c r="C91" s="6"/>
      <c r="D91" s="6"/>
      <c r="E91" s="6">
        <v>17</v>
      </c>
    </row>
    <row r="92" spans="1:5" x14ac:dyDescent="0.3">
      <c r="A92" s="6"/>
      <c r="B92" s="6" t="s">
        <v>392</v>
      </c>
      <c r="C92" s="6">
        <v>-1</v>
      </c>
      <c r="D92" s="6"/>
      <c r="E92" s="6"/>
    </row>
    <row r="93" spans="1:5" x14ac:dyDescent="0.3">
      <c r="A93" s="6" t="s">
        <v>4118</v>
      </c>
      <c r="B93" s="6" t="s">
        <v>336</v>
      </c>
      <c r="C93" s="6"/>
      <c r="D93" s="6">
        <v>33</v>
      </c>
      <c r="E93" s="6"/>
    </row>
    <row r="94" spans="1:5" x14ac:dyDescent="0.3">
      <c r="A94" s="6" t="s">
        <v>4452</v>
      </c>
      <c r="B94" s="6" t="s">
        <v>352</v>
      </c>
      <c r="C94" s="6"/>
      <c r="D94" s="6"/>
      <c r="E94" s="6">
        <v>35</v>
      </c>
    </row>
    <row r="95" spans="1:5" x14ac:dyDescent="0.3">
      <c r="A95" s="6"/>
      <c r="B95" s="6" t="s">
        <v>444</v>
      </c>
      <c r="C95" s="6">
        <v>-1</v>
      </c>
      <c r="D95" s="6"/>
      <c r="E95" s="6"/>
    </row>
    <row r="96" spans="1:5" x14ac:dyDescent="0.3">
      <c r="A96" s="6" t="s">
        <v>1899</v>
      </c>
      <c r="B96" s="6" t="s">
        <v>348</v>
      </c>
      <c r="C96" s="6"/>
      <c r="D96" s="6">
        <v>14</v>
      </c>
      <c r="E96" s="6"/>
    </row>
    <row r="97" spans="1:5" x14ac:dyDescent="0.3">
      <c r="A97" s="6"/>
      <c r="B97" s="6" t="s">
        <v>370</v>
      </c>
      <c r="C97" s="6"/>
      <c r="D97" s="6"/>
      <c r="E97" s="6">
        <v>-1</v>
      </c>
    </row>
    <row r="98" spans="1:5" x14ac:dyDescent="0.3">
      <c r="A98" s="6"/>
      <c r="B98" s="6" t="s">
        <v>688</v>
      </c>
      <c r="C98" s="6">
        <v>-1</v>
      </c>
      <c r="D98" s="6"/>
      <c r="E98" s="6"/>
    </row>
    <row r="99" spans="1:5" x14ac:dyDescent="0.3">
      <c r="A99" s="6"/>
      <c r="B99" s="6" t="s">
        <v>378</v>
      </c>
      <c r="C99" s="6"/>
      <c r="D99" s="6">
        <v>-1</v>
      </c>
      <c r="E99" s="6"/>
    </row>
    <row r="100" spans="1:5" x14ac:dyDescent="0.3">
      <c r="A100" s="6" t="s">
        <v>2756</v>
      </c>
      <c r="B100" s="6" t="s">
        <v>404</v>
      </c>
      <c r="C100" s="6"/>
      <c r="D100" s="6"/>
      <c r="E100" s="6">
        <v>31</v>
      </c>
    </row>
    <row r="101" spans="1:5" x14ac:dyDescent="0.3">
      <c r="A101" s="6"/>
      <c r="B101" s="6" t="s">
        <v>446</v>
      </c>
      <c r="C101" s="6">
        <v>-1</v>
      </c>
      <c r="D101" s="6"/>
      <c r="E101" s="6"/>
    </row>
    <row r="102" spans="1:5" x14ac:dyDescent="0.3">
      <c r="A102" s="6"/>
      <c r="B102" s="6" t="s">
        <v>670</v>
      </c>
      <c r="C102" s="6"/>
      <c r="D102" s="6">
        <v>-1</v>
      </c>
      <c r="E102" s="6"/>
    </row>
    <row r="103" spans="1:5" x14ac:dyDescent="0.3">
      <c r="A103" s="6"/>
      <c r="B103" s="6" t="s">
        <v>604</v>
      </c>
      <c r="C103" s="6"/>
      <c r="D103" s="6"/>
      <c r="E103" s="6">
        <v>-1</v>
      </c>
    </row>
    <row r="104" spans="1:5" x14ac:dyDescent="0.3">
      <c r="A104" s="6"/>
      <c r="B104" s="6" t="s">
        <v>384</v>
      </c>
      <c r="C104" s="6">
        <v>-1</v>
      </c>
      <c r="D104" s="6"/>
      <c r="E104" s="6"/>
    </row>
    <row r="105" spans="1:5" x14ac:dyDescent="0.3">
      <c r="A105" s="6"/>
      <c r="B105" s="6" t="s">
        <v>456</v>
      </c>
      <c r="C105" s="6"/>
      <c r="D105" s="6"/>
      <c r="E105" s="6">
        <v>-1</v>
      </c>
    </row>
    <row r="106" spans="1:5" x14ac:dyDescent="0.3">
      <c r="A106" s="6"/>
      <c r="B106" s="6" t="s">
        <v>718</v>
      </c>
      <c r="C106" s="6"/>
      <c r="D106" s="6"/>
      <c r="E106" s="6">
        <v>-1</v>
      </c>
    </row>
    <row r="107" spans="1:5" x14ac:dyDescent="0.3">
      <c r="A107" s="6"/>
      <c r="B107" s="6" t="s">
        <v>676</v>
      </c>
      <c r="C107" s="6">
        <v>-1</v>
      </c>
      <c r="D107" s="6"/>
      <c r="E107" s="6"/>
    </row>
  </sheetData>
  <pageMargins left="0.7" right="0.7" top="0.75" bottom="0.75" header="0.3" footer="0.3"/>
  <tableParts count="1">
    <tablePart r:id="rId1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C55F54-AFD5-406E-858C-FCB2ACEFD9FB}">
  <dimension ref="A1:J49"/>
  <sheetViews>
    <sheetView topLeftCell="A40" workbookViewId="0">
      <selection activeCell="B50" sqref="B50"/>
    </sheetView>
  </sheetViews>
  <sheetFormatPr defaultRowHeight="14.4" x14ac:dyDescent="0.3"/>
  <cols>
    <col min="1" max="1" width="78.44140625" bestFit="1" customWidth="1"/>
    <col min="2" max="2" width="13.6640625" bestFit="1" customWidth="1"/>
    <col min="3" max="3" width="24.5546875" bestFit="1" customWidth="1"/>
    <col min="4" max="4" width="23.21875" bestFit="1" customWidth="1"/>
    <col min="5" max="5" width="25.21875" bestFit="1" customWidth="1"/>
    <col min="6" max="6" width="27.33203125" bestFit="1" customWidth="1"/>
    <col min="7" max="7" width="26.109375" bestFit="1" customWidth="1"/>
    <col min="8" max="8" width="28.109375" bestFit="1" customWidth="1"/>
    <col min="9" max="9" width="17" bestFit="1" customWidth="1"/>
    <col min="10" max="10" width="14.77734375" bestFit="1" customWidth="1"/>
  </cols>
  <sheetData>
    <row r="1" spans="1:10" x14ac:dyDescent="0.3">
      <c r="A1" t="s">
        <v>834</v>
      </c>
      <c r="B1" t="s">
        <v>1</v>
      </c>
      <c r="C1" t="s">
        <v>1042</v>
      </c>
      <c r="D1" t="s">
        <v>1043</v>
      </c>
      <c r="E1" t="s">
        <v>1044</v>
      </c>
      <c r="F1" t="s">
        <v>1045</v>
      </c>
      <c r="G1" t="s">
        <v>1046</v>
      </c>
      <c r="H1" t="s">
        <v>1047</v>
      </c>
      <c r="I1" t="s">
        <v>1212</v>
      </c>
      <c r="J1" t="s">
        <v>1213</v>
      </c>
    </row>
    <row r="2" spans="1:10" x14ac:dyDescent="0.3">
      <c r="A2" s="6" t="s">
        <v>3724</v>
      </c>
      <c r="B2" s="6" t="s">
        <v>344</v>
      </c>
      <c r="C2" s="6">
        <v>4</v>
      </c>
      <c r="D2" s="6"/>
      <c r="E2" s="6"/>
      <c r="F2" s="6"/>
      <c r="G2" s="6"/>
      <c r="H2" s="6"/>
      <c r="I2" s="6">
        <f>Table46[[#This Row],[Total Athletes]]-(LEN(Table46[[#This Row],[Team]])-LEN(SUBSTITUTE(Table46[[#This Row],[Team]],"/","")))-1</f>
        <v>2</v>
      </c>
      <c r="J2" s="6">
        <v>4</v>
      </c>
    </row>
    <row r="3" spans="1:10" x14ac:dyDescent="0.3">
      <c r="A3" s="6"/>
      <c r="B3" s="6" t="s">
        <v>356</v>
      </c>
      <c r="C3" s="6">
        <v>-1</v>
      </c>
      <c r="D3" s="6"/>
      <c r="E3" s="6"/>
      <c r="F3" s="6"/>
      <c r="G3" s="6"/>
      <c r="H3" s="6"/>
      <c r="I3" s="6">
        <f>Table46[[#This Row],[Total Athletes]]-(LEN(Table46[[#This Row],[Team]])-LEN(SUBSTITUTE(Table46[[#This Row],[Team]],"/","")))-1</f>
        <v>-1</v>
      </c>
      <c r="J3" s="6"/>
    </row>
    <row r="4" spans="1:10" x14ac:dyDescent="0.3">
      <c r="A4" s="6" t="s">
        <v>3327</v>
      </c>
      <c r="B4" s="6" t="s">
        <v>428</v>
      </c>
      <c r="C4" s="6">
        <v>2</v>
      </c>
      <c r="D4" s="6"/>
      <c r="E4" s="6"/>
      <c r="F4" s="6"/>
      <c r="G4" s="6"/>
      <c r="H4" s="6"/>
      <c r="I4" s="6">
        <f>Table46[[#This Row],[Total Athletes]]-(LEN(Table46[[#This Row],[Team]])-LEN(SUBSTITUTE(Table46[[#This Row],[Team]],"/","")))-1</f>
        <v>2</v>
      </c>
      <c r="J4" s="6">
        <v>4</v>
      </c>
    </row>
    <row r="5" spans="1:10" x14ac:dyDescent="0.3">
      <c r="A5" s="6" t="s">
        <v>1870</v>
      </c>
      <c r="B5" s="6" t="s">
        <v>406</v>
      </c>
      <c r="C5" s="6">
        <v>1</v>
      </c>
      <c r="D5" s="6"/>
      <c r="E5" s="6"/>
      <c r="F5" s="6"/>
      <c r="G5" s="6"/>
      <c r="H5" s="6"/>
      <c r="I5" s="6">
        <f>Table46[[#This Row],[Total Athletes]]-(LEN(Table46[[#This Row],[Team]])-LEN(SUBSTITUTE(Table46[[#This Row],[Team]],"/","")))-1</f>
        <v>3</v>
      </c>
      <c r="J5" s="6">
        <v>4</v>
      </c>
    </row>
    <row r="6" spans="1:10" x14ac:dyDescent="0.3">
      <c r="A6" s="6" t="s">
        <v>4432</v>
      </c>
      <c r="B6" s="6" t="s">
        <v>326</v>
      </c>
      <c r="C6" s="6">
        <v>8</v>
      </c>
      <c r="D6" s="6"/>
      <c r="E6" s="6"/>
      <c r="F6" s="6"/>
      <c r="G6" s="6"/>
      <c r="H6" s="6"/>
      <c r="I6" s="6">
        <f>Table46[[#This Row],[Total Athletes]]-(LEN(Table46[[#This Row],[Team]])-LEN(SUBSTITUTE(Table46[[#This Row],[Team]],"/","")))-1</f>
        <v>1</v>
      </c>
      <c r="J6" s="6">
        <v>4</v>
      </c>
    </row>
    <row r="7" spans="1:10" x14ac:dyDescent="0.3">
      <c r="A7" s="6" t="s">
        <v>5031</v>
      </c>
      <c r="B7" s="6" t="s">
        <v>604</v>
      </c>
      <c r="C7" s="6">
        <v>6</v>
      </c>
      <c r="D7" s="6"/>
      <c r="E7" s="6"/>
      <c r="F7" s="6"/>
      <c r="G7" s="6"/>
      <c r="H7" s="6"/>
      <c r="I7" s="6">
        <f>Table46[[#This Row],[Total Athletes]]-(LEN(Table46[[#This Row],[Team]])-LEN(SUBSTITUTE(Table46[[#This Row],[Team]],"/","")))-1</f>
        <v>3</v>
      </c>
      <c r="J7" s="6">
        <v>4</v>
      </c>
    </row>
    <row r="8" spans="1:10" x14ac:dyDescent="0.3">
      <c r="A8" s="6" t="s">
        <v>4603</v>
      </c>
      <c r="B8" s="6" t="s">
        <v>352</v>
      </c>
      <c r="C8" s="6">
        <v>7</v>
      </c>
      <c r="D8" s="6"/>
      <c r="E8" s="6"/>
      <c r="F8" s="6"/>
      <c r="G8" s="6"/>
      <c r="H8" s="6"/>
      <c r="I8" s="6">
        <f>Table46[[#This Row],[Total Athletes]]-(LEN(Table46[[#This Row],[Team]])-LEN(SUBSTITUTE(Table46[[#This Row],[Team]],"/","")))-1</f>
        <v>0</v>
      </c>
      <c r="J8" s="6">
        <v>4</v>
      </c>
    </row>
    <row r="9" spans="1:10" x14ac:dyDescent="0.3">
      <c r="A9" s="6" t="s">
        <v>4802</v>
      </c>
      <c r="B9" s="6" t="s">
        <v>442</v>
      </c>
      <c r="C9" s="6">
        <v>3</v>
      </c>
      <c r="D9" s="6"/>
      <c r="E9" s="6"/>
      <c r="F9" s="6"/>
      <c r="G9" s="6"/>
      <c r="H9" s="6"/>
      <c r="I9" s="6">
        <f>Table46[[#This Row],[Total Athletes]]-(LEN(Table46[[#This Row],[Team]])-LEN(SUBSTITUTE(Table46[[#This Row],[Team]],"/","")))-1</f>
        <v>3</v>
      </c>
      <c r="J9" s="6">
        <v>4</v>
      </c>
    </row>
    <row r="10" spans="1:10" x14ac:dyDescent="0.3">
      <c r="A10" s="6" t="s">
        <v>4057</v>
      </c>
      <c r="B10" s="6" t="s">
        <v>428</v>
      </c>
      <c r="C10" s="6"/>
      <c r="D10" s="6">
        <v>1</v>
      </c>
      <c r="E10" s="6"/>
      <c r="F10" s="6"/>
      <c r="G10" s="6"/>
      <c r="H10" s="6"/>
      <c r="I10" s="6">
        <f>Table46[[#This Row],[Total Athletes]]-(LEN(Table46[[#This Row],[Team]])-LEN(SUBSTITUTE(Table46[[#This Row],[Team]],"/","")))-1</f>
        <v>2</v>
      </c>
      <c r="J10" s="6">
        <v>4</v>
      </c>
    </row>
    <row r="11" spans="1:10" x14ac:dyDescent="0.3">
      <c r="A11" s="6" t="s">
        <v>2662</v>
      </c>
      <c r="B11" s="6" t="s">
        <v>356</v>
      </c>
      <c r="C11" s="6"/>
      <c r="D11" s="6">
        <v>2</v>
      </c>
      <c r="E11" s="6"/>
      <c r="F11" s="6"/>
      <c r="G11" s="6"/>
      <c r="H11" s="6"/>
      <c r="I11" s="6">
        <f>Table46[[#This Row],[Total Athletes]]-(LEN(Table46[[#This Row],[Team]])-LEN(SUBSTITUTE(Table46[[#This Row],[Team]],"/","")))-1</f>
        <v>3</v>
      </c>
      <c r="J11" s="6">
        <v>4</v>
      </c>
    </row>
    <row r="12" spans="1:10" x14ac:dyDescent="0.3">
      <c r="A12" s="6" t="s">
        <v>2032</v>
      </c>
      <c r="B12" s="6" t="s">
        <v>332</v>
      </c>
      <c r="C12" s="6"/>
      <c r="D12" s="6">
        <v>4</v>
      </c>
      <c r="E12" s="6"/>
      <c r="F12" s="6"/>
      <c r="G12" s="6"/>
      <c r="H12" s="6"/>
      <c r="I12" s="6">
        <f>Table46[[#This Row],[Total Athletes]]-(LEN(Table46[[#This Row],[Team]])-LEN(SUBSTITUTE(Table46[[#This Row],[Team]],"/","")))-1</f>
        <v>0</v>
      </c>
      <c r="J12" s="6">
        <v>4</v>
      </c>
    </row>
    <row r="13" spans="1:10" x14ac:dyDescent="0.3">
      <c r="A13" s="6"/>
      <c r="B13" s="6" t="s">
        <v>344</v>
      </c>
      <c r="C13" s="6"/>
      <c r="D13" s="6">
        <v>-1</v>
      </c>
      <c r="E13" s="6"/>
      <c r="F13" s="6"/>
      <c r="G13" s="6"/>
      <c r="H13" s="6"/>
      <c r="I13" s="6">
        <f>Table46[[#This Row],[Total Athletes]]-(LEN(Table46[[#This Row],[Team]])-LEN(SUBSTITUTE(Table46[[#This Row],[Team]],"/","")))-1</f>
        <v>-1</v>
      </c>
      <c r="J13" s="6"/>
    </row>
    <row r="14" spans="1:10" x14ac:dyDescent="0.3">
      <c r="A14" s="6" t="s">
        <v>4441</v>
      </c>
      <c r="B14" s="6" t="s">
        <v>326</v>
      </c>
      <c r="C14" s="6"/>
      <c r="D14" s="6">
        <v>8</v>
      </c>
      <c r="E14" s="6"/>
      <c r="F14" s="6"/>
      <c r="G14" s="6"/>
      <c r="H14" s="6"/>
      <c r="I14" s="6">
        <f>Table46[[#This Row],[Total Athletes]]-(LEN(Table46[[#This Row],[Team]])-LEN(SUBSTITUTE(Table46[[#This Row],[Team]],"/","")))-1</f>
        <v>3</v>
      </c>
      <c r="J14" s="6">
        <v>4</v>
      </c>
    </row>
    <row r="15" spans="1:10" x14ac:dyDescent="0.3">
      <c r="A15" s="6" t="s">
        <v>4469</v>
      </c>
      <c r="B15" s="6" t="s">
        <v>328</v>
      </c>
      <c r="C15" s="6"/>
      <c r="D15" s="6">
        <v>5</v>
      </c>
      <c r="E15" s="6"/>
      <c r="F15" s="6"/>
      <c r="G15" s="6"/>
      <c r="H15" s="6"/>
      <c r="I15" s="6">
        <f>Table46[[#This Row],[Total Athletes]]-(LEN(Table46[[#This Row],[Team]])-LEN(SUBSTITUTE(Table46[[#This Row],[Team]],"/","")))-1</f>
        <v>3</v>
      </c>
      <c r="J15" s="6">
        <v>4</v>
      </c>
    </row>
    <row r="16" spans="1:10" x14ac:dyDescent="0.3">
      <c r="A16" s="6" t="s">
        <v>3924</v>
      </c>
      <c r="B16" s="6" t="s">
        <v>384</v>
      </c>
      <c r="C16" s="6"/>
      <c r="D16" s="6">
        <v>7</v>
      </c>
      <c r="E16" s="6"/>
      <c r="F16" s="6"/>
      <c r="G16" s="6"/>
      <c r="H16" s="6"/>
      <c r="I16" s="6">
        <f>Table46[[#This Row],[Total Athletes]]-(LEN(Table46[[#This Row],[Team]])-LEN(SUBSTITUTE(Table46[[#This Row],[Team]],"/","")))-1</f>
        <v>1</v>
      </c>
      <c r="J16" s="6">
        <v>4</v>
      </c>
    </row>
    <row r="17" spans="1:10" x14ac:dyDescent="0.3">
      <c r="A17" s="6" t="s">
        <v>3878</v>
      </c>
      <c r="B17" s="6" t="s">
        <v>394</v>
      </c>
      <c r="C17" s="6"/>
      <c r="D17" s="6">
        <v>6</v>
      </c>
      <c r="E17" s="6"/>
      <c r="F17" s="6"/>
      <c r="G17" s="6"/>
      <c r="H17" s="6"/>
      <c r="I17" s="6">
        <f>Table46[[#This Row],[Total Athletes]]-(LEN(Table46[[#This Row],[Team]])-LEN(SUBSTITUTE(Table46[[#This Row],[Team]],"/","")))-1</f>
        <v>2</v>
      </c>
      <c r="J17" s="6">
        <v>4</v>
      </c>
    </row>
    <row r="18" spans="1:10" x14ac:dyDescent="0.3">
      <c r="A18" s="6"/>
      <c r="B18" s="6" t="s">
        <v>700</v>
      </c>
      <c r="C18" s="6"/>
      <c r="D18" s="6"/>
      <c r="E18" s="6">
        <v>-1</v>
      </c>
      <c r="F18" s="6"/>
      <c r="G18" s="6"/>
      <c r="H18" s="6"/>
      <c r="I18" s="6">
        <f>Table46[[#This Row],[Total Athletes]]-(LEN(Table46[[#This Row],[Team]])-LEN(SUBSTITUTE(Table46[[#This Row],[Team]],"/","")))-1</f>
        <v>-1</v>
      </c>
      <c r="J18" s="6"/>
    </row>
    <row r="19" spans="1:10" x14ac:dyDescent="0.3">
      <c r="A19" s="6" t="s">
        <v>4315</v>
      </c>
      <c r="B19" s="6" t="s">
        <v>332</v>
      </c>
      <c r="C19" s="6"/>
      <c r="D19" s="6"/>
      <c r="E19" s="6">
        <v>7</v>
      </c>
      <c r="F19" s="6"/>
      <c r="G19" s="6"/>
      <c r="H19" s="6"/>
      <c r="I19" s="6">
        <f>Table46[[#This Row],[Total Athletes]]-(LEN(Table46[[#This Row],[Team]])-LEN(SUBSTITUTE(Table46[[#This Row],[Team]],"/","")))-1</f>
        <v>2</v>
      </c>
      <c r="J19" s="6">
        <v>4</v>
      </c>
    </row>
    <row r="20" spans="1:10" x14ac:dyDescent="0.3">
      <c r="A20" s="6"/>
      <c r="B20" s="6" t="s">
        <v>406</v>
      </c>
      <c r="C20" s="6"/>
      <c r="D20" s="6"/>
      <c r="E20" s="6">
        <v>-1</v>
      </c>
      <c r="F20" s="6"/>
      <c r="G20" s="6"/>
      <c r="H20" s="6"/>
      <c r="I20" s="6">
        <f>Table46[[#This Row],[Total Athletes]]-(LEN(Table46[[#This Row],[Team]])-LEN(SUBSTITUTE(Table46[[#This Row],[Team]],"/","")))-1</f>
        <v>-1</v>
      </c>
      <c r="J20" s="6"/>
    </row>
    <row r="21" spans="1:10" x14ac:dyDescent="0.3">
      <c r="A21" s="6" t="s">
        <v>4593</v>
      </c>
      <c r="B21" s="6" t="s">
        <v>344</v>
      </c>
      <c r="C21" s="6"/>
      <c r="D21" s="6"/>
      <c r="E21" s="6">
        <v>3</v>
      </c>
      <c r="F21" s="6"/>
      <c r="G21" s="6"/>
      <c r="H21" s="6"/>
      <c r="I21" s="6">
        <f>Table46[[#This Row],[Total Athletes]]-(LEN(Table46[[#This Row],[Team]])-LEN(SUBSTITUTE(Table46[[#This Row],[Team]],"/","")))-1</f>
        <v>1</v>
      </c>
      <c r="J21" s="6">
        <v>4</v>
      </c>
    </row>
    <row r="22" spans="1:10" x14ac:dyDescent="0.3">
      <c r="A22" s="6" t="s">
        <v>4421</v>
      </c>
      <c r="B22" s="6" t="s">
        <v>326</v>
      </c>
      <c r="C22" s="6"/>
      <c r="D22" s="6"/>
      <c r="E22" s="6">
        <v>6</v>
      </c>
      <c r="F22" s="6"/>
      <c r="G22" s="6"/>
      <c r="H22" s="6"/>
      <c r="I22" s="6">
        <f>Table46[[#This Row],[Total Athletes]]-(LEN(Table46[[#This Row],[Team]])-LEN(SUBSTITUTE(Table46[[#This Row],[Team]],"/","")))-1</f>
        <v>2</v>
      </c>
      <c r="J22" s="6">
        <v>4</v>
      </c>
    </row>
    <row r="23" spans="1:10" x14ac:dyDescent="0.3">
      <c r="A23" s="6"/>
      <c r="B23" s="6" t="s">
        <v>360</v>
      </c>
      <c r="C23" s="6"/>
      <c r="D23" s="6"/>
      <c r="E23" s="6">
        <v>-1</v>
      </c>
      <c r="F23" s="6"/>
      <c r="G23" s="6"/>
      <c r="H23" s="6"/>
      <c r="I23" s="6">
        <f>Table46[[#This Row],[Total Athletes]]-(LEN(Table46[[#This Row],[Team]])-LEN(SUBSTITUTE(Table46[[#This Row],[Team]],"/","")))-1</f>
        <v>-1</v>
      </c>
      <c r="J23" s="6"/>
    </row>
    <row r="24" spans="1:10" x14ac:dyDescent="0.3">
      <c r="A24" s="6" t="s">
        <v>4762</v>
      </c>
      <c r="B24" s="6" t="s">
        <v>384</v>
      </c>
      <c r="C24" s="6"/>
      <c r="D24" s="6"/>
      <c r="E24" s="6">
        <v>8</v>
      </c>
      <c r="F24" s="6"/>
      <c r="G24" s="6"/>
      <c r="H24" s="6"/>
      <c r="I24" s="6">
        <f>Table46[[#This Row],[Total Athletes]]-(LEN(Table46[[#This Row],[Team]])-LEN(SUBSTITUTE(Table46[[#This Row],[Team]],"/","")))-1</f>
        <v>2</v>
      </c>
      <c r="J24" s="6">
        <v>4</v>
      </c>
    </row>
    <row r="25" spans="1:10" x14ac:dyDescent="0.3">
      <c r="A25" s="6"/>
      <c r="B25" s="6" t="s">
        <v>356</v>
      </c>
      <c r="C25" s="6"/>
      <c r="D25" s="6"/>
      <c r="E25" s="6">
        <v>-1</v>
      </c>
      <c r="F25" s="6"/>
      <c r="G25" s="6"/>
      <c r="H25" s="6"/>
      <c r="I25" s="6">
        <f>Table46[[#This Row],[Total Athletes]]-(LEN(Table46[[#This Row],[Team]])-LEN(SUBSTITUTE(Table46[[#This Row],[Team]],"/","")))-1</f>
        <v>-1</v>
      </c>
      <c r="J25" s="6"/>
    </row>
    <row r="26" spans="1:10" x14ac:dyDescent="0.3">
      <c r="A26" s="6" t="s">
        <v>4965</v>
      </c>
      <c r="B26" s="6" t="s">
        <v>356</v>
      </c>
      <c r="C26" s="6"/>
      <c r="D26" s="6"/>
      <c r="E26" s="6"/>
      <c r="F26" s="6">
        <v>1</v>
      </c>
      <c r="G26" s="6"/>
      <c r="H26" s="6"/>
      <c r="I26" s="6">
        <f>Table46[[#This Row],[Total Athletes]]-(LEN(Table46[[#This Row],[Team]])-LEN(SUBSTITUTE(Table46[[#This Row],[Team]],"/","")))-1</f>
        <v>0</v>
      </c>
      <c r="J26" s="6">
        <v>4</v>
      </c>
    </row>
    <row r="27" spans="1:10" x14ac:dyDescent="0.3">
      <c r="A27" s="6"/>
      <c r="B27" s="6" t="s">
        <v>700</v>
      </c>
      <c r="C27" s="6"/>
      <c r="D27" s="6"/>
      <c r="E27" s="6"/>
      <c r="F27" s="6">
        <v>-1</v>
      </c>
      <c r="G27" s="6"/>
      <c r="H27" s="6"/>
      <c r="I27" s="6">
        <f>Table46[[#This Row],[Total Athletes]]-(LEN(Table46[[#This Row],[Team]])-LEN(SUBSTITUTE(Table46[[#This Row],[Team]],"/","")))-1</f>
        <v>-1</v>
      </c>
      <c r="J27" s="6"/>
    </row>
    <row r="28" spans="1:10" x14ac:dyDescent="0.3">
      <c r="A28" s="6"/>
      <c r="B28" s="6" t="s">
        <v>394</v>
      </c>
      <c r="C28" s="6"/>
      <c r="D28" s="6"/>
      <c r="E28" s="6"/>
      <c r="F28" s="6">
        <v>-1</v>
      </c>
      <c r="G28" s="6"/>
      <c r="H28" s="6"/>
      <c r="I28" s="6">
        <f>Table46[[#This Row],[Total Athletes]]-(LEN(Table46[[#This Row],[Team]])-LEN(SUBSTITUTE(Table46[[#This Row],[Team]],"/","")))-1</f>
        <v>-1</v>
      </c>
      <c r="J28" s="6"/>
    </row>
    <row r="29" spans="1:10" x14ac:dyDescent="0.3">
      <c r="A29" s="6" t="s">
        <v>3731</v>
      </c>
      <c r="B29" s="6" t="s">
        <v>344</v>
      </c>
      <c r="C29" s="6"/>
      <c r="D29" s="6"/>
      <c r="E29" s="6"/>
      <c r="F29" s="6">
        <v>2</v>
      </c>
      <c r="G29" s="6"/>
      <c r="H29" s="6"/>
      <c r="I29" s="6">
        <f>Table46[[#This Row],[Total Athletes]]-(LEN(Table46[[#This Row],[Team]])-LEN(SUBSTITUTE(Table46[[#This Row],[Team]],"/","")))-1</f>
        <v>3</v>
      </c>
      <c r="J29" s="6">
        <v>4</v>
      </c>
    </row>
    <row r="30" spans="1:10" x14ac:dyDescent="0.3">
      <c r="A30" s="6" t="s">
        <v>4419</v>
      </c>
      <c r="B30" s="6" t="s">
        <v>326</v>
      </c>
      <c r="C30" s="6"/>
      <c r="D30" s="6"/>
      <c r="E30" s="6"/>
      <c r="F30" s="6">
        <v>8</v>
      </c>
      <c r="G30" s="6"/>
      <c r="H30" s="6"/>
      <c r="I30" s="6">
        <f>Table46[[#This Row],[Total Athletes]]-(LEN(Table46[[#This Row],[Team]])-LEN(SUBSTITUTE(Table46[[#This Row],[Team]],"/","")))-1</f>
        <v>3</v>
      </c>
      <c r="J30" s="6">
        <v>4</v>
      </c>
    </row>
    <row r="31" spans="1:10" x14ac:dyDescent="0.3">
      <c r="A31" s="6" t="s">
        <v>4465</v>
      </c>
      <c r="B31" s="6" t="s">
        <v>328</v>
      </c>
      <c r="C31" s="6"/>
      <c r="D31" s="6"/>
      <c r="E31" s="6"/>
      <c r="F31" s="6">
        <v>4</v>
      </c>
      <c r="G31" s="6"/>
      <c r="H31" s="6"/>
      <c r="I31" s="6">
        <f>Table46[[#This Row],[Total Athletes]]-(LEN(Table46[[#This Row],[Team]])-LEN(SUBSTITUTE(Table46[[#This Row],[Team]],"/","")))-1</f>
        <v>3</v>
      </c>
      <c r="J31" s="6">
        <v>4</v>
      </c>
    </row>
    <row r="32" spans="1:10" x14ac:dyDescent="0.3">
      <c r="A32" s="6"/>
      <c r="B32" s="6" t="s">
        <v>332</v>
      </c>
      <c r="C32" s="6"/>
      <c r="D32" s="6"/>
      <c r="E32" s="6"/>
      <c r="F32" s="6">
        <v>-1</v>
      </c>
      <c r="G32" s="6"/>
      <c r="H32" s="6"/>
      <c r="I32" s="6">
        <f>Table46[[#This Row],[Total Athletes]]-(LEN(Table46[[#This Row],[Team]])-LEN(SUBSTITUTE(Table46[[#This Row],[Team]],"/","")))-1</f>
        <v>-1</v>
      </c>
      <c r="J32" s="6"/>
    </row>
    <row r="33" spans="1:10" x14ac:dyDescent="0.3">
      <c r="A33" s="6" t="s">
        <v>2506</v>
      </c>
      <c r="B33" s="6" t="s">
        <v>726</v>
      </c>
      <c r="C33" s="6"/>
      <c r="D33" s="6"/>
      <c r="E33" s="6"/>
      <c r="F33" s="6">
        <v>6</v>
      </c>
      <c r="G33" s="6"/>
      <c r="H33" s="6"/>
      <c r="I33" s="6">
        <f>Table46[[#This Row],[Total Athletes]]-(LEN(Table46[[#This Row],[Team]])-LEN(SUBSTITUTE(Table46[[#This Row],[Team]],"/","")))-1</f>
        <v>3</v>
      </c>
      <c r="J33" s="6">
        <v>4</v>
      </c>
    </row>
    <row r="34" spans="1:10" x14ac:dyDescent="0.3">
      <c r="A34" s="6" t="s">
        <v>4749</v>
      </c>
      <c r="B34" s="6" t="s">
        <v>356</v>
      </c>
      <c r="C34" s="6"/>
      <c r="D34" s="6"/>
      <c r="E34" s="6"/>
      <c r="F34" s="6"/>
      <c r="G34" s="6">
        <v>2</v>
      </c>
      <c r="H34" s="6"/>
      <c r="I34" s="6">
        <f>Table46[[#This Row],[Total Athletes]]-(LEN(Table46[[#This Row],[Team]])-LEN(SUBSTITUTE(Table46[[#This Row],[Team]],"/","")))-1</f>
        <v>3</v>
      </c>
      <c r="J34" s="6">
        <v>4</v>
      </c>
    </row>
    <row r="35" spans="1:10" x14ac:dyDescent="0.3">
      <c r="A35" s="6" t="s">
        <v>4538</v>
      </c>
      <c r="B35" s="6" t="s">
        <v>332</v>
      </c>
      <c r="C35" s="6"/>
      <c r="D35" s="6"/>
      <c r="E35" s="6"/>
      <c r="F35" s="6"/>
      <c r="G35" s="6">
        <v>1</v>
      </c>
      <c r="H35" s="6"/>
      <c r="I35" s="6">
        <f>Table46[[#This Row],[Total Athletes]]-(LEN(Table46[[#This Row],[Team]])-LEN(SUBSTITUTE(Table46[[#This Row],[Team]],"/","")))-1</f>
        <v>2</v>
      </c>
      <c r="J35" s="6">
        <v>4</v>
      </c>
    </row>
    <row r="36" spans="1:10" x14ac:dyDescent="0.3">
      <c r="A36" s="6" t="s">
        <v>3729</v>
      </c>
      <c r="B36" s="6" t="s">
        <v>344</v>
      </c>
      <c r="C36" s="6"/>
      <c r="D36" s="6"/>
      <c r="E36" s="6"/>
      <c r="F36" s="6"/>
      <c r="G36" s="6">
        <v>5</v>
      </c>
      <c r="H36" s="6"/>
      <c r="I36" s="6">
        <f>Table46[[#This Row],[Total Athletes]]-(LEN(Table46[[#This Row],[Team]])-LEN(SUBSTITUTE(Table46[[#This Row],[Team]],"/","")))-1</f>
        <v>1</v>
      </c>
      <c r="J36" s="6">
        <v>4</v>
      </c>
    </row>
    <row r="37" spans="1:10" x14ac:dyDescent="0.3">
      <c r="A37" s="6" t="s">
        <v>4060</v>
      </c>
      <c r="B37" s="6" t="s">
        <v>428</v>
      </c>
      <c r="C37" s="6"/>
      <c r="D37" s="6"/>
      <c r="E37" s="6"/>
      <c r="F37" s="6"/>
      <c r="G37" s="6">
        <v>3</v>
      </c>
      <c r="H37" s="6"/>
      <c r="I37" s="6">
        <f>Table46[[#This Row],[Total Athletes]]-(LEN(Table46[[#This Row],[Team]])-LEN(SUBSTITUTE(Table46[[#This Row],[Team]],"/","")))-1</f>
        <v>0</v>
      </c>
      <c r="J37" s="6">
        <v>4</v>
      </c>
    </row>
    <row r="38" spans="1:10" x14ac:dyDescent="0.3">
      <c r="A38" s="6" t="s">
        <v>4436</v>
      </c>
      <c r="B38" s="6" t="s">
        <v>326</v>
      </c>
      <c r="C38" s="6"/>
      <c r="D38" s="6"/>
      <c r="E38" s="6"/>
      <c r="F38" s="6"/>
      <c r="G38" s="6">
        <v>8</v>
      </c>
      <c r="H38" s="6"/>
      <c r="I38" s="6">
        <f>Table46[[#This Row],[Total Athletes]]-(LEN(Table46[[#This Row],[Team]])-LEN(SUBSTITUTE(Table46[[#This Row],[Team]],"/","")))-1</f>
        <v>2</v>
      </c>
      <c r="J38" s="6">
        <v>4</v>
      </c>
    </row>
    <row r="39" spans="1:10" x14ac:dyDescent="0.3">
      <c r="A39" s="6"/>
      <c r="B39" s="6" t="s">
        <v>328</v>
      </c>
      <c r="C39" s="6"/>
      <c r="D39" s="6"/>
      <c r="E39" s="6"/>
      <c r="F39" s="6"/>
      <c r="G39" s="6">
        <v>-1</v>
      </c>
      <c r="H39" s="6"/>
      <c r="I39" s="6">
        <f>Table46[[#This Row],[Total Athletes]]-(LEN(Table46[[#This Row],[Team]])-LEN(SUBSTITUTE(Table46[[#This Row],[Team]],"/","")))-1</f>
        <v>-1</v>
      </c>
      <c r="J39" s="6"/>
    </row>
    <row r="40" spans="1:10" x14ac:dyDescent="0.3">
      <c r="A40" s="6"/>
      <c r="B40" s="6" t="s">
        <v>384</v>
      </c>
      <c r="C40" s="6"/>
      <c r="D40" s="6"/>
      <c r="E40" s="6"/>
      <c r="F40" s="6"/>
      <c r="G40" s="6">
        <v>-1</v>
      </c>
      <c r="H40" s="6"/>
      <c r="I40" s="6">
        <f>Table46[[#This Row],[Total Athletes]]-(LEN(Table46[[#This Row],[Team]])-LEN(SUBSTITUTE(Table46[[#This Row],[Team]],"/","")))-1</f>
        <v>-1</v>
      </c>
      <c r="J40" s="6"/>
    </row>
    <row r="41" spans="1:10" x14ac:dyDescent="0.3">
      <c r="A41" s="6" t="s">
        <v>3882</v>
      </c>
      <c r="B41" s="6" t="s">
        <v>394</v>
      </c>
      <c r="C41" s="6"/>
      <c r="D41" s="6"/>
      <c r="E41" s="6"/>
      <c r="F41" s="6"/>
      <c r="G41" s="6">
        <v>6</v>
      </c>
      <c r="H41" s="6"/>
      <c r="I41" s="6">
        <f>Table46[[#This Row],[Total Athletes]]-(LEN(Table46[[#This Row],[Team]])-LEN(SUBSTITUTE(Table46[[#This Row],[Team]],"/","")))-1</f>
        <v>2</v>
      </c>
      <c r="J41" s="6">
        <v>4</v>
      </c>
    </row>
    <row r="42" spans="1:10" x14ac:dyDescent="0.3">
      <c r="A42" s="6" t="s">
        <v>4378</v>
      </c>
      <c r="B42" s="6" t="s">
        <v>344</v>
      </c>
      <c r="C42" s="6"/>
      <c r="D42" s="6"/>
      <c r="E42" s="6"/>
      <c r="F42" s="6"/>
      <c r="G42" s="6"/>
      <c r="H42" s="6">
        <v>4</v>
      </c>
      <c r="I42" s="6">
        <f>Table46[[#This Row],[Total Athletes]]-(LEN(Table46[[#This Row],[Team]])-LEN(SUBSTITUTE(Table46[[#This Row],[Team]],"/","")))-1</f>
        <v>1</v>
      </c>
      <c r="J42" s="6">
        <v>4</v>
      </c>
    </row>
    <row r="43" spans="1:10" x14ac:dyDescent="0.3">
      <c r="A43" s="6"/>
      <c r="B43" s="6" t="s">
        <v>406</v>
      </c>
      <c r="C43" s="6"/>
      <c r="D43" s="6"/>
      <c r="E43" s="6"/>
      <c r="F43" s="6"/>
      <c r="G43" s="6"/>
      <c r="H43" s="6">
        <v>-1</v>
      </c>
      <c r="I43" s="6">
        <f>Table46[[#This Row],[Total Athletes]]-(LEN(Table46[[#This Row],[Team]])-LEN(SUBSTITUTE(Table46[[#This Row],[Team]],"/","")))-1</f>
        <v>-1</v>
      </c>
      <c r="J43" s="6"/>
    </row>
    <row r="44" spans="1:10" x14ac:dyDescent="0.3">
      <c r="A44" s="6"/>
      <c r="B44" s="6" t="s">
        <v>700</v>
      </c>
      <c r="C44" s="6"/>
      <c r="D44" s="6"/>
      <c r="E44" s="6"/>
      <c r="F44" s="6"/>
      <c r="G44" s="6"/>
      <c r="H44" s="6">
        <v>-1</v>
      </c>
      <c r="I44" s="6">
        <f>Table46[[#This Row],[Total Athletes]]-(LEN(Table46[[#This Row],[Team]])-LEN(SUBSTITUTE(Table46[[#This Row],[Team]],"/","")))-1</f>
        <v>-1</v>
      </c>
      <c r="J44" s="6"/>
    </row>
    <row r="45" spans="1:10" x14ac:dyDescent="0.3">
      <c r="A45" s="6" t="s">
        <v>4766</v>
      </c>
      <c r="B45" s="6" t="s">
        <v>726</v>
      </c>
      <c r="C45" s="6"/>
      <c r="D45" s="6"/>
      <c r="E45" s="6"/>
      <c r="F45" s="6"/>
      <c r="G45" s="6"/>
      <c r="H45" s="6">
        <v>1</v>
      </c>
      <c r="I45" s="6">
        <f>Table46[[#This Row],[Total Athletes]]-(LEN(Table46[[#This Row],[Team]])-LEN(SUBSTITUTE(Table46[[#This Row],[Team]],"/","")))-1</f>
        <v>2</v>
      </c>
      <c r="J45" s="6">
        <v>4</v>
      </c>
    </row>
    <row r="46" spans="1:10" x14ac:dyDescent="0.3">
      <c r="A46" s="6" t="s">
        <v>2832</v>
      </c>
      <c r="B46" s="6" t="s">
        <v>380</v>
      </c>
      <c r="C46" s="6"/>
      <c r="D46" s="6"/>
      <c r="E46" s="6"/>
      <c r="F46" s="6"/>
      <c r="G46" s="6"/>
      <c r="H46" s="6">
        <v>8</v>
      </c>
      <c r="I46" s="6">
        <f>Table46[[#This Row],[Total Athletes]]-(LEN(Table46[[#This Row],[Team]])-LEN(SUBSTITUTE(Table46[[#This Row],[Team]],"/","")))-1</f>
        <v>2</v>
      </c>
      <c r="J46" s="6">
        <v>4</v>
      </c>
    </row>
    <row r="47" spans="1:10" x14ac:dyDescent="0.3">
      <c r="A47" s="6" t="s">
        <v>1335</v>
      </c>
      <c r="B47" s="6" t="s">
        <v>428</v>
      </c>
      <c r="C47" s="6"/>
      <c r="D47" s="6"/>
      <c r="E47" s="6"/>
      <c r="F47" s="6"/>
      <c r="G47" s="6"/>
      <c r="H47" s="6">
        <v>3</v>
      </c>
      <c r="I47" s="6">
        <f>Table46[[#This Row],[Total Athletes]]-(LEN(Table46[[#This Row],[Team]])-LEN(SUBSTITUTE(Table46[[#This Row],[Team]],"/","")))-1</f>
        <v>2</v>
      </c>
      <c r="J47" s="6">
        <v>4</v>
      </c>
    </row>
    <row r="48" spans="1:10" x14ac:dyDescent="0.3">
      <c r="A48" s="6" t="s">
        <v>3025</v>
      </c>
      <c r="B48" s="6" t="s">
        <v>332</v>
      </c>
      <c r="C48" s="6"/>
      <c r="D48" s="6"/>
      <c r="E48" s="6"/>
      <c r="F48" s="6"/>
      <c r="G48" s="6"/>
      <c r="H48" s="6">
        <v>5</v>
      </c>
      <c r="I48" s="6">
        <f>Table46[[#This Row],[Total Athletes]]-(LEN(Table46[[#This Row],[Team]])-LEN(SUBSTITUTE(Table46[[#This Row],[Team]],"/","")))-1</f>
        <v>1</v>
      </c>
      <c r="J48" s="6">
        <v>4</v>
      </c>
    </row>
    <row r="49" spans="1:10" x14ac:dyDescent="0.3">
      <c r="A49" s="6" t="s">
        <v>4956</v>
      </c>
      <c r="B49" s="6" t="s">
        <v>356</v>
      </c>
      <c r="C49" s="6"/>
      <c r="D49" s="6"/>
      <c r="E49" s="6"/>
      <c r="F49" s="6"/>
      <c r="G49" s="6"/>
      <c r="H49" s="6">
        <v>7</v>
      </c>
      <c r="I49" s="6">
        <f>Table46[[#This Row],[Total Athletes]]-(LEN(Table46[[#This Row],[Team]])-LEN(SUBSTITUTE(Table46[[#This Row],[Team]],"/","")))-1</f>
        <v>3</v>
      </c>
      <c r="J49" s="6">
        <v>4</v>
      </c>
    </row>
  </sheetData>
  <pageMargins left="0.7" right="0.7" top="0.75" bottom="0.75" header="0.3" footer="0.3"/>
  <tableParts count="1">
    <tablePart r:id="rId1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8635A1-DEF1-43A6-AC9C-2179F65DC1F1}">
  <dimension ref="A1:I25"/>
  <sheetViews>
    <sheetView topLeftCell="D16" workbookViewId="0">
      <selection activeCell="E26" sqref="E26"/>
    </sheetView>
  </sheetViews>
  <sheetFormatPr defaultRowHeight="14.4" x14ac:dyDescent="0.3"/>
  <cols>
    <col min="1" max="1" width="29.77734375" bestFit="1" customWidth="1"/>
    <col min="2" max="2" width="115.109375" bestFit="1" customWidth="1"/>
    <col min="3" max="3" width="134.109375" bestFit="1" customWidth="1"/>
    <col min="4" max="4" width="97.88671875" bestFit="1" customWidth="1"/>
    <col min="5" max="5" width="12.21875" bestFit="1" customWidth="1"/>
    <col min="6" max="6" width="19.88671875" bestFit="1" customWidth="1"/>
    <col min="7" max="7" width="22.5546875" bestFit="1" customWidth="1"/>
    <col min="8" max="8" width="17" bestFit="1" customWidth="1"/>
    <col min="9" max="9" width="14.77734375" bestFit="1" customWidth="1"/>
  </cols>
  <sheetData>
    <row r="1" spans="1:9" x14ac:dyDescent="0.3">
      <c r="A1" t="s">
        <v>838</v>
      </c>
      <c r="B1" t="s">
        <v>839</v>
      </c>
      <c r="C1" t="s">
        <v>840</v>
      </c>
      <c r="D1" t="s">
        <v>836</v>
      </c>
      <c r="E1" t="s">
        <v>1</v>
      </c>
      <c r="F1" t="s">
        <v>900</v>
      </c>
      <c r="G1" t="s">
        <v>901</v>
      </c>
      <c r="H1" t="s">
        <v>1212</v>
      </c>
      <c r="I1" t="s">
        <v>1213</v>
      </c>
    </row>
    <row r="2" spans="1:9" x14ac:dyDescent="0.3">
      <c r="A2" s="6" t="s">
        <v>2849</v>
      </c>
      <c r="B2" s="6" t="s">
        <v>3289</v>
      </c>
      <c r="C2" s="6" t="s">
        <v>2837</v>
      </c>
      <c r="D2" s="6" t="s">
        <v>2850</v>
      </c>
      <c r="E2" s="6" t="s">
        <v>344</v>
      </c>
      <c r="F2" s="6">
        <v>11</v>
      </c>
      <c r="G2" s="6"/>
      <c r="H2" s="6">
        <f>Table91[[#This Row],[Total Athletes]]-(LEN(Table91[[#This Row],[Goalkeepers]])-LEN(SUBSTITUTE(Table91[[#This Row],[Goalkeepers]],"/","")))-(LEN(Table91[[#This Row],[Defenders]])-LEN(SUBSTITUTE(Table91[[#This Row],[Defenders]],"/","")))-(LEN(Table91[[#This Row],[Midfielders]])-LEN(SUBSTITUTE(Table91[[#This Row],[Midfielders]],"/","")))-(LEN(Table91[[#This Row],[Forwards]])-LEN(SUBSTITUTE(Table91[[#This Row],[Forwards]],"/","")))-4</f>
        <v>8</v>
      </c>
      <c r="I2" s="6">
        <v>18</v>
      </c>
    </row>
    <row r="3" spans="1:9" x14ac:dyDescent="0.3">
      <c r="A3" s="6" t="s">
        <v>1683</v>
      </c>
      <c r="B3" s="6" t="s">
        <v>3823</v>
      </c>
      <c r="C3" s="6" t="s">
        <v>2848</v>
      </c>
      <c r="D3" s="6" t="s">
        <v>3290</v>
      </c>
      <c r="E3" s="6" t="s">
        <v>344</v>
      </c>
      <c r="F3" s="6"/>
      <c r="G3" s="6">
        <v>12</v>
      </c>
      <c r="H3" s="6">
        <f>Table91[[#This Row],[Total Athletes]]-(LEN(Table91[[#This Row],[Goalkeepers]])-LEN(SUBSTITUTE(Table91[[#This Row],[Goalkeepers]],"/","")))-(LEN(Table91[[#This Row],[Defenders]])-LEN(SUBSTITUTE(Table91[[#This Row],[Defenders]],"/","")))-(LEN(Table91[[#This Row],[Midfielders]])-LEN(SUBSTITUTE(Table91[[#This Row],[Midfielders]],"/","")))-(LEN(Table91[[#This Row],[Forwards]])-LEN(SUBSTITUTE(Table91[[#This Row],[Forwards]],"/","")))-4</f>
        <v>8</v>
      </c>
      <c r="I3" s="6">
        <v>17</v>
      </c>
    </row>
    <row r="4" spans="1:9" x14ac:dyDescent="0.3">
      <c r="A4" s="6" t="s">
        <v>2352</v>
      </c>
      <c r="B4" s="6" t="s">
        <v>3651</v>
      </c>
      <c r="C4" s="6" t="s">
        <v>3634</v>
      </c>
      <c r="D4" s="6" t="s">
        <v>2457</v>
      </c>
      <c r="E4" s="6" t="s">
        <v>354</v>
      </c>
      <c r="F4" s="6"/>
      <c r="G4" s="6">
        <v>5</v>
      </c>
      <c r="H4" s="6">
        <f>Table91[[#This Row],[Total Athletes]]-(LEN(Table91[[#This Row],[Goalkeepers]])-LEN(SUBSTITUTE(Table91[[#This Row],[Goalkeepers]],"/","")))-(LEN(Table91[[#This Row],[Defenders]])-LEN(SUBSTITUTE(Table91[[#This Row],[Defenders]],"/","")))-(LEN(Table91[[#This Row],[Midfielders]])-LEN(SUBSTITUTE(Table91[[#This Row],[Midfielders]],"/","")))-(LEN(Table91[[#This Row],[Forwards]])-LEN(SUBSTITUTE(Table91[[#This Row],[Forwards]],"/","")))-4</f>
        <v>8</v>
      </c>
      <c r="I4" s="6">
        <v>18</v>
      </c>
    </row>
    <row r="5" spans="1:9" x14ac:dyDescent="0.3">
      <c r="A5" s="6" t="s">
        <v>2364</v>
      </c>
      <c r="B5" s="6" t="s">
        <v>2372</v>
      </c>
      <c r="C5" s="6" t="s">
        <v>2470</v>
      </c>
      <c r="D5" s="6" t="s">
        <v>3653</v>
      </c>
      <c r="E5" s="6" t="s">
        <v>354</v>
      </c>
      <c r="F5" s="6">
        <v>6</v>
      </c>
      <c r="G5" s="6"/>
      <c r="H5" s="6">
        <f>Table91[[#This Row],[Total Athletes]]-(LEN(Table91[[#This Row],[Goalkeepers]])-LEN(SUBSTITUTE(Table91[[#This Row],[Goalkeepers]],"/","")))-(LEN(Table91[[#This Row],[Defenders]])-LEN(SUBSTITUTE(Table91[[#This Row],[Defenders]],"/","")))-(LEN(Table91[[#This Row],[Midfielders]])-LEN(SUBSTITUTE(Table91[[#This Row],[Midfielders]],"/","")))-(LEN(Table91[[#This Row],[Forwards]])-LEN(SUBSTITUTE(Table91[[#This Row],[Forwards]],"/","")))-4</f>
        <v>7</v>
      </c>
      <c r="I5" s="6">
        <v>17</v>
      </c>
    </row>
    <row r="6" spans="1:9" x14ac:dyDescent="0.3">
      <c r="A6" s="6"/>
      <c r="B6" s="6" t="s">
        <v>2952</v>
      </c>
      <c r="C6" s="6" t="s">
        <v>2950</v>
      </c>
      <c r="D6" s="6" t="s">
        <v>2949</v>
      </c>
      <c r="E6" s="6" t="s">
        <v>412</v>
      </c>
      <c r="F6" s="6"/>
      <c r="G6" s="6">
        <v>1</v>
      </c>
      <c r="H6" s="6">
        <f>Table91[[#This Row],[Total Athletes]]-(LEN(Table91[[#This Row],[Goalkeepers]])-LEN(SUBSTITUTE(Table91[[#This Row],[Goalkeepers]],"/","")))-(LEN(Table91[[#This Row],[Defenders]])-LEN(SUBSTITUTE(Table91[[#This Row],[Defenders]],"/","")))-(LEN(Table91[[#This Row],[Midfielders]])-LEN(SUBSTITUTE(Table91[[#This Row],[Midfielders]],"/","")))-(LEN(Table91[[#This Row],[Forwards]])-LEN(SUBSTITUTE(Table91[[#This Row],[Forwards]],"/","")))-4</f>
        <v>12</v>
      </c>
      <c r="I6" s="6">
        <v>17</v>
      </c>
    </row>
    <row r="7" spans="1:9" x14ac:dyDescent="0.3">
      <c r="A7" s="6"/>
      <c r="B7" s="6"/>
      <c r="C7" s="6"/>
      <c r="D7" s="6" t="s">
        <v>2945</v>
      </c>
      <c r="E7" s="6" t="s">
        <v>412</v>
      </c>
      <c r="F7" s="6">
        <v>1</v>
      </c>
      <c r="G7" s="6"/>
      <c r="H7" s="6">
        <f>Table91[[#This Row],[Total Athletes]]-(LEN(Table91[[#This Row],[Goalkeepers]])-LEN(SUBSTITUTE(Table91[[#This Row],[Goalkeepers]],"/","")))-(LEN(Table91[[#This Row],[Defenders]])-LEN(SUBSTITUTE(Table91[[#This Row],[Defenders]],"/","")))-(LEN(Table91[[#This Row],[Midfielders]])-LEN(SUBSTITUTE(Table91[[#This Row],[Midfielders]],"/","")))-(LEN(Table91[[#This Row],[Forwards]])-LEN(SUBSTITUTE(Table91[[#This Row],[Forwards]],"/","")))-4</f>
        <v>14</v>
      </c>
      <c r="I7" s="6">
        <v>18</v>
      </c>
    </row>
    <row r="8" spans="1:9" x14ac:dyDescent="0.3">
      <c r="A8" s="6"/>
      <c r="B8" s="6"/>
      <c r="C8" s="6"/>
      <c r="D8" s="6"/>
      <c r="E8" s="6" t="s">
        <v>448</v>
      </c>
      <c r="F8" s="6">
        <v>-1</v>
      </c>
      <c r="G8" s="6"/>
      <c r="H8" s="6">
        <f>Table91[[#This Row],[Total Athletes]]-(LEN(Table91[[#This Row],[Goalkeepers]])-LEN(SUBSTITUTE(Table91[[#This Row],[Goalkeepers]],"/","")))-(LEN(Table91[[#This Row],[Defenders]])-LEN(SUBSTITUTE(Table91[[#This Row],[Defenders]],"/","")))-(LEN(Table91[[#This Row],[Midfielders]])-LEN(SUBSTITUTE(Table91[[#This Row],[Midfielders]],"/","")))-(LEN(Table91[[#This Row],[Forwards]])-LEN(SUBSTITUTE(Table91[[#This Row],[Forwards]],"/","")))-4</f>
        <v>-4</v>
      </c>
      <c r="I8" s="6"/>
    </row>
    <row r="9" spans="1:9" x14ac:dyDescent="0.3">
      <c r="A9" s="6"/>
      <c r="B9" s="6"/>
      <c r="C9" s="6" t="s">
        <v>4725</v>
      </c>
      <c r="D9" s="6"/>
      <c r="E9" s="6" t="s">
        <v>328</v>
      </c>
      <c r="F9" s="6"/>
      <c r="G9" s="6">
        <v>2</v>
      </c>
      <c r="H9" s="6">
        <f>Table91[[#This Row],[Total Athletes]]-(LEN(Table91[[#This Row],[Goalkeepers]])-LEN(SUBSTITUTE(Table91[[#This Row],[Goalkeepers]],"/","")))-(LEN(Table91[[#This Row],[Defenders]])-LEN(SUBSTITUTE(Table91[[#This Row],[Defenders]],"/","")))-(LEN(Table91[[#This Row],[Midfielders]])-LEN(SUBSTITUTE(Table91[[#This Row],[Midfielders]],"/","")))-(LEN(Table91[[#This Row],[Forwards]])-LEN(SUBSTITUTE(Table91[[#This Row],[Forwards]],"/","")))-4</f>
        <v>11</v>
      </c>
      <c r="I9" s="6">
        <v>17</v>
      </c>
    </row>
    <row r="10" spans="1:9" x14ac:dyDescent="0.3">
      <c r="A10" s="6" t="s">
        <v>2313</v>
      </c>
      <c r="B10" s="6"/>
      <c r="C10" s="6" t="s">
        <v>3843</v>
      </c>
      <c r="D10" s="6" t="s">
        <v>3834</v>
      </c>
      <c r="E10" s="6" t="s">
        <v>340</v>
      </c>
      <c r="F10" s="6">
        <v>8</v>
      </c>
      <c r="G10" s="6"/>
      <c r="H10" s="6">
        <f>Table91[[#This Row],[Total Athletes]]-(LEN(Table91[[#This Row],[Goalkeepers]])-LEN(SUBSTITUTE(Table91[[#This Row],[Goalkeepers]],"/","")))-(LEN(Table91[[#This Row],[Defenders]])-LEN(SUBSTITUTE(Table91[[#This Row],[Defenders]],"/","")))-(LEN(Table91[[#This Row],[Midfielders]])-LEN(SUBSTITUTE(Table91[[#This Row],[Midfielders]],"/","")))-(LEN(Table91[[#This Row],[Forwards]])-LEN(SUBSTITUTE(Table91[[#This Row],[Forwards]],"/","")))-4</f>
        <v>12</v>
      </c>
      <c r="I10" s="6">
        <v>18</v>
      </c>
    </row>
    <row r="11" spans="1:9" x14ac:dyDescent="0.3">
      <c r="A11" s="6"/>
      <c r="B11" s="6" t="s">
        <v>2094</v>
      </c>
      <c r="C11" s="6" t="s">
        <v>3849</v>
      </c>
      <c r="D11" s="6" t="s">
        <v>3810</v>
      </c>
      <c r="E11" s="6" t="s">
        <v>340</v>
      </c>
      <c r="F11" s="6"/>
      <c r="G11" s="6">
        <v>3</v>
      </c>
      <c r="H11" s="6">
        <f>Table91[[#This Row],[Total Athletes]]-(LEN(Table91[[#This Row],[Goalkeepers]])-LEN(SUBSTITUTE(Table91[[#This Row],[Goalkeepers]],"/","")))-(LEN(Table91[[#This Row],[Defenders]])-LEN(SUBSTITUTE(Table91[[#This Row],[Defenders]],"/","")))-(LEN(Table91[[#This Row],[Midfielders]])-LEN(SUBSTITUTE(Table91[[#This Row],[Midfielders]],"/","")))-(LEN(Table91[[#This Row],[Forwards]])-LEN(SUBSTITUTE(Table91[[#This Row],[Forwards]],"/","")))-4</f>
        <v>9</v>
      </c>
      <c r="I11" s="6">
        <v>16</v>
      </c>
    </row>
    <row r="12" spans="1:9" x14ac:dyDescent="0.3">
      <c r="A12" s="6"/>
      <c r="B12" s="6"/>
      <c r="C12" s="6"/>
      <c r="D12" s="6"/>
      <c r="E12" s="6" t="s">
        <v>422</v>
      </c>
      <c r="F12" s="6">
        <v>-1</v>
      </c>
      <c r="G12" s="6"/>
      <c r="H12" s="6">
        <f>Table91[[#This Row],[Total Athletes]]-(LEN(Table91[[#This Row],[Goalkeepers]])-LEN(SUBSTITUTE(Table91[[#This Row],[Goalkeepers]],"/","")))-(LEN(Table91[[#This Row],[Defenders]])-LEN(SUBSTITUTE(Table91[[#This Row],[Defenders]],"/","")))-(LEN(Table91[[#This Row],[Midfielders]])-LEN(SUBSTITUTE(Table91[[#This Row],[Midfielders]],"/","")))-(LEN(Table91[[#This Row],[Forwards]])-LEN(SUBSTITUTE(Table91[[#This Row],[Forwards]],"/","")))-4</f>
        <v>-4</v>
      </c>
      <c r="I12" s="6"/>
    </row>
    <row r="13" spans="1:9" x14ac:dyDescent="0.3">
      <c r="A13" s="6"/>
      <c r="B13" s="6"/>
      <c r="C13" s="6"/>
      <c r="D13" s="6"/>
      <c r="E13" s="6" t="s">
        <v>422</v>
      </c>
      <c r="F13" s="6"/>
      <c r="G13" s="6">
        <v>-1</v>
      </c>
      <c r="H13" s="6">
        <f>Table91[[#This Row],[Total Athletes]]-(LEN(Table91[[#This Row],[Goalkeepers]])-LEN(SUBSTITUTE(Table91[[#This Row],[Goalkeepers]],"/","")))-(LEN(Table91[[#This Row],[Defenders]])-LEN(SUBSTITUTE(Table91[[#This Row],[Defenders]],"/","")))-(LEN(Table91[[#This Row],[Midfielders]])-LEN(SUBSTITUTE(Table91[[#This Row],[Midfielders]],"/","")))-(LEN(Table91[[#This Row],[Forwards]])-LEN(SUBSTITUTE(Table91[[#This Row],[Forwards]],"/","")))-4</f>
        <v>-4</v>
      </c>
      <c r="I13" s="6"/>
    </row>
    <row r="14" spans="1:9" x14ac:dyDescent="0.3">
      <c r="A14" s="6"/>
      <c r="B14" s="6" t="s">
        <v>3763</v>
      </c>
      <c r="C14" s="6" t="s">
        <v>3450</v>
      </c>
      <c r="D14" s="6"/>
      <c r="E14" s="6" t="s">
        <v>334</v>
      </c>
      <c r="F14" s="6"/>
      <c r="G14" s="6">
        <v>6</v>
      </c>
      <c r="H14" s="6">
        <f>Table91[[#This Row],[Total Athletes]]-(LEN(Table91[[#This Row],[Goalkeepers]])-LEN(SUBSTITUTE(Table91[[#This Row],[Goalkeepers]],"/","")))-(LEN(Table91[[#This Row],[Defenders]])-LEN(SUBSTITUTE(Table91[[#This Row],[Defenders]],"/","")))-(LEN(Table91[[#This Row],[Midfielders]])-LEN(SUBSTITUTE(Table91[[#This Row],[Midfielders]],"/","")))-(LEN(Table91[[#This Row],[Forwards]])-LEN(SUBSTITUTE(Table91[[#This Row],[Forwards]],"/","")))-4</f>
        <v>14</v>
      </c>
      <c r="I14" s="6">
        <v>18</v>
      </c>
    </row>
    <row r="15" spans="1:9" x14ac:dyDescent="0.3">
      <c r="A15" s="6"/>
      <c r="B15" s="6" t="s">
        <v>4540</v>
      </c>
      <c r="C15" s="6" t="s">
        <v>4535</v>
      </c>
      <c r="D15" s="6" t="s">
        <v>4534</v>
      </c>
      <c r="E15" s="6" t="s">
        <v>332</v>
      </c>
      <c r="F15" s="6"/>
      <c r="G15" s="6">
        <v>9</v>
      </c>
      <c r="H15" s="6">
        <f>Table91[[#This Row],[Total Athletes]]-(LEN(Table91[[#This Row],[Goalkeepers]])-LEN(SUBSTITUTE(Table91[[#This Row],[Goalkeepers]],"/","")))-(LEN(Table91[[#This Row],[Defenders]])-LEN(SUBSTITUTE(Table91[[#This Row],[Defenders]],"/","")))-(LEN(Table91[[#This Row],[Midfielders]])-LEN(SUBSTITUTE(Table91[[#This Row],[Midfielders]],"/","")))-(LEN(Table91[[#This Row],[Forwards]])-LEN(SUBSTITUTE(Table91[[#This Row],[Forwards]],"/","")))-4</f>
        <v>3</v>
      </c>
      <c r="I15" s="6">
        <v>16</v>
      </c>
    </row>
    <row r="16" spans="1:9" x14ac:dyDescent="0.3">
      <c r="A16" s="6"/>
      <c r="B16" s="6" t="s">
        <v>1744</v>
      </c>
      <c r="C16" s="6" t="s">
        <v>1533</v>
      </c>
      <c r="D16" s="6" t="s">
        <v>2665</v>
      </c>
      <c r="E16" s="6" t="s">
        <v>428</v>
      </c>
      <c r="F16" s="6"/>
      <c r="G16" s="6">
        <v>10</v>
      </c>
      <c r="H16" s="6">
        <f>Table91[[#This Row],[Total Athletes]]-(LEN(Table91[[#This Row],[Goalkeepers]])-LEN(SUBSTITUTE(Table91[[#This Row],[Goalkeepers]],"/","")))-(LEN(Table91[[#This Row],[Defenders]])-LEN(SUBSTITUTE(Table91[[#This Row],[Defenders]],"/","")))-(LEN(Table91[[#This Row],[Midfielders]])-LEN(SUBSTITUTE(Table91[[#This Row],[Midfielders]],"/","")))-(LEN(Table91[[#This Row],[Forwards]])-LEN(SUBSTITUTE(Table91[[#This Row],[Forwards]],"/","")))-4</f>
        <v>9</v>
      </c>
      <c r="I16" s="6">
        <v>16</v>
      </c>
    </row>
    <row r="17" spans="1:9" x14ac:dyDescent="0.3">
      <c r="A17" s="6"/>
      <c r="B17" s="6" t="s">
        <v>3130</v>
      </c>
      <c r="C17" s="6"/>
      <c r="D17" s="6" t="s">
        <v>1477</v>
      </c>
      <c r="E17" s="6" t="s">
        <v>520</v>
      </c>
      <c r="F17" s="6"/>
      <c r="G17" s="6">
        <v>4</v>
      </c>
      <c r="H17" s="6">
        <f>Table91[[#This Row],[Total Athletes]]-(LEN(Table91[[#This Row],[Goalkeepers]])-LEN(SUBSTITUTE(Table91[[#This Row],[Goalkeepers]],"/","")))-(LEN(Table91[[#This Row],[Defenders]])-LEN(SUBSTITUTE(Table91[[#This Row],[Defenders]],"/","")))-(LEN(Table91[[#This Row],[Midfielders]])-LEN(SUBSTITUTE(Table91[[#This Row],[Midfielders]],"/","")))-(LEN(Table91[[#This Row],[Forwards]])-LEN(SUBSTITUTE(Table91[[#This Row],[Forwards]],"/","")))-4</f>
        <v>15</v>
      </c>
      <c r="I17" s="6">
        <v>19</v>
      </c>
    </row>
    <row r="18" spans="1:9" x14ac:dyDescent="0.3">
      <c r="A18" s="6"/>
      <c r="B18" s="6" t="s">
        <v>3979</v>
      </c>
      <c r="C18" s="6" t="s">
        <v>4016</v>
      </c>
      <c r="D18" s="6" t="s">
        <v>4010</v>
      </c>
      <c r="E18" s="6" t="s">
        <v>330</v>
      </c>
      <c r="F18" s="6"/>
      <c r="G18" s="6">
        <v>7</v>
      </c>
      <c r="H18" s="6">
        <f>Table91[[#This Row],[Total Athletes]]-(LEN(Table91[[#This Row],[Goalkeepers]])-LEN(SUBSTITUTE(Table91[[#This Row],[Goalkeepers]],"/","")))-(LEN(Table91[[#This Row],[Defenders]])-LEN(SUBSTITUTE(Table91[[#This Row],[Defenders]],"/","")))-(LEN(Table91[[#This Row],[Midfielders]])-LEN(SUBSTITUTE(Table91[[#This Row],[Midfielders]],"/","")))-(LEN(Table91[[#This Row],[Forwards]])-LEN(SUBSTITUTE(Table91[[#This Row],[Forwards]],"/","")))-4</f>
        <v>6</v>
      </c>
      <c r="I18" s="6">
        <v>16</v>
      </c>
    </row>
    <row r="19" spans="1:9" x14ac:dyDescent="0.3">
      <c r="A19" s="6"/>
      <c r="B19" s="6" t="s">
        <v>2967</v>
      </c>
      <c r="C19" s="6"/>
      <c r="D19" s="6" t="s">
        <v>4374</v>
      </c>
      <c r="E19" s="6" t="s">
        <v>402</v>
      </c>
      <c r="F19" s="6"/>
      <c r="G19" s="6">
        <v>8</v>
      </c>
      <c r="H19" s="6">
        <f>Table91[[#This Row],[Total Athletes]]-(LEN(Table91[[#This Row],[Goalkeepers]])-LEN(SUBSTITUTE(Table91[[#This Row],[Goalkeepers]],"/","")))-(LEN(Table91[[#This Row],[Defenders]])-LEN(SUBSTITUTE(Table91[[#This Row],[Defenders]],"/","")))-(LEN(Table91[[#This Row],[Midfielders]])-LEN(SUBSTITUTE(Table91[[#This Row],[Midfielders]],"/","")))-(LEN(Table91[[#This Row],[Forwards]])-LEN(SUBSTITUTE(Table91[[#This Row],[Forwards]],"/","")))-4</f>
        <v>9</v>
      </c>
      <c r="I19" s="6">
        <v>16</v>
      </c>
    </row>
    <row r="20" spans="1:9" x14ac:dyDescent="0.3">
      <c r="A20" s="6"/>
      <c r="B20" s="6"/>
      <c r="C20" s="6"/>
      <c r="D20" s="6" t="s">
        <v>3168</v>
      </c>
      <c r="E20" s="6" t="s">
        <v>520</v>
      </c>
      <c r="F20" s="6">
        <v>5</v>
      </c>
      <c r="G20" s="6"/>
      <c r="H20" s="6">
        <f>Table91[[#This Row],[Total Athletes]]-(LEN(Table91[[#This Row],[Goalkeepers]])-LEN(SUBSTITUTE(Table91[[#This Row],[Goalkeepers]],"/","")))-(LEN(Table91[[#This Row],[Defenders]])-LEN(SUBSTITUTE(Table91[[#This Row],[Defenders]],"/","")))-(LEN(Table91[[#This Row],[Midfielders]])-LEN(SUBSTITUTE(Table91[[#This Row],[Midfielders]],"/","")))-(LEN(Table91[[#This Row],[Forwards]])-LEN(SUBSTITUTE(Table91[[#This Row],[Forwards]],"/","")))-4</f>
        <v>15</v>
      </c>
      <c r="I20" s="6">
        <v>19</v>
      </c>
    </row>
    <row r="21" spans="1:9" x14ac:dyDescent="0.3">
      <c r="A21" s="6"/>
      <c r="B21" s="6"/>
      <c r="C21" s="6"/>
      <c r="D21" s="6" t="s">
        <v>4000</v>
      </c>
      <c r="E21" s="6" t="s">
        <v>330</v>
      </c>
      <c r="F21" s="6">
        <v>4</v>
      </c>
      <c r="G21" s="6"/>
      <c r="H21" s="6">
        <f>Table91[[#This Row],[Total Athletes]]-(LEN(Table91[[#This Row],[Goalkeepers]])-LEN(SUBSTITUTE(Table91[[#This Row],[Goalkeepers]],"/","")))-(LEN(Table91[[#This Row],[Defenders]])-LEN(SUBSTITUTE(Table91[[#This Row],[Defenders]],"/","")))-(LEN(Table91[[#This Row],[Midfielders]])-LEN(SUBSTITUTE(Table91[[#This Row],[Midfielders]],"/","")))-(LEN(Table91[[#This Row],[Forwards]])-LEN(SUBSTITUTE(Table91[[#This Row],[Forwards]],"/","")))-4</f>
        <v>14</v>
      </c>
      <c r="I21" s="6">
        <v>18</v>
      </c>
    </row>
    <row r="22" spans="1:9" x14ac:dyDescent="0.3">
      <c r="A22" s="6" t="s">
        <v>3570</v>
      </c>
      <c r="B22" s="6" t="s">
        <v>1641</v>
      </c>
      <c r="C22" s="6" t="s">
        <v>5056</v>
      </c>
      <c r="D22" s="6" t="s">
        <v>2827</v>
      </c>
      <c r="E22" s="6" t="s">
        <v>596</v>
      </c>
      <c r="F22" s="6">
        <v>10</v>
      </c>
      <c r="G22" s="6"/>
      <c r="H22" s="6">
        <f>Table91[[#This Row],[Total Athletes]]-(LEN(Table91[[#This Row],[Goalkeepers]])-LEN(SUBSTITUTE(Table91[[#This Row],[Goalkeepers]],"/","")))-(LEN(Table91[[#This Row],[Defenders]])-LEN(SUBSTITUTE(Table91[[#This Row],[Defenders]],"/","")))-(LEN(Table91[[#This Row],[Midfielders]])-LEN(SUBSTITUTE(Table91[[#This Row],[Midfielders]],"/","")))-(LEN(Table91[[#This Row],[Forwards]])-LEN(SUBSTITUTE(Table91[[#This Row],[Forwards]],"/","")))-4</f>
        <v>9</v>
      </c>
      <c r="I22" s="6">
        <v>17</v>
      </c>
    </row>
    <row r="23" spans="1:9" x14ac:dyDescent="0.3">
      <c r="A23" s="6"/>
      <c r="B23" s="6"/>
      <c r="C23" s="6"/>
      <c r="D23" s="6"/>
      <c r="E23" s="6" t="s">
        <v>334</v>
      </c>
      <c r="F23" s="6">
        <v>-1</v>
      </c>
      <c r="G23" s="6"/>
      <c r="H23" s="6">
        <f>Table91[[#This Row],[Total Athletes]]-(LEN(Table91[[#This Row],[Goalkeepers]])-LEN(SUBSTITUTE(Table91[[#This Row],[Goalkeepers]],"/","")))-(LEN(Table91[[#This Row],[Defenders]])-LEN(SUBSTITUTE(Table91[[#This Row],[Defenders]],"/","")))-(LEN(Table91[[#This Row],[Midfielders]])-LEN(SUBSTITUTE(Table91[[#This Row],[Midfielders]],"/","")))-(LEN(Table91[[#This Row],[Forwards]])-LEN(SUBSTITUTE(Table91[[#This Row],[Forwards]],"/","")))-4</f>
        <v>-4</v>
      </c>
      <c r="I23" s="6"/>
    </row>
    <row r="24" spans="1:9" x14ac:dyDescent="0.3">
      <c r="A24" s="6" t="s">
        <v>4771</v>
      </c>
      <c r="B24" s="6" t="s">
        <v>3761</v>
      </c>
      <c r="C24" s="6" t="s">
        <v>4128</v>
      </c>
      <c r="D24" s="6" t="s">
        <v>1473</v>
      </c>
      <c r="E24" s="6" t="s">
        <v>402</v>
      </c>
      <c r="F24" s="6">
        <v>7</v>
      </c>
      <c r="G24" s="6"/>
      <c r="H24" s="6">
        <f>Table91[[#This Row],[Total Athletes]]-(LEN(Table91[[#This Row],[Goalkeepers]])-LEN(SUBSTITUTE(Table91[[#This Row],[Goalkeepers]],"/","")))-(LEN(Table91[[#This Row],[Defenders]])-LEN(SUBSTITUTE(Table91[[#This Row],[Defenders]],"/","")))-(LEN(Table91[[#This Row],[Midfielders]])-LEN(SUBSTITUTE(Table91[[#This Row],[Midfielders]],"/","")))-(LEN(Table91[[#This Row],[Forwards]])-LEN(SUBSTITUTE(Table91[[#This Row],[Forwards]],"/","")))-4</f>
        <v>10</v>
      </c>
      <c r="I24" s="6">
        <v>18</v>
      </c>
    </row>
    <row r="25" spans="1:9" x14ac:dyDescent="0.3">
      <c r="A25" s="6"/>
      <c r="B25" s="6" t="s">
        <v>4160</v>
      </c>
      <c r="C25" s="6" t="s">
        <v>4154</v>
      </c>
      <c r="D25" s="6" t="s">
        <v>4152</v>
      </c>
      <c r="E25" s="6" t="s">
        <v>474</v>
      </c>
      <c r="F25" s="6">
        <v>12</v>
      </c>
      <c r="G25" s="6"/>
      <c r="H25" s="6">
        <f>Table91[[#This Row],[Total Athletes]]-(LEN(Table91[[#This Row],[Goalkeepers]])-LEN(SUBSTITUTE(Table91[[#This Row],[Goalkeepers]],"/","")))-(LEN(Table91[[#This Row],[Defenders]])-LEN(SUBSTITUTE(Table91[[#This Row],[Defenders]],"/","")))-(LEN(Table91[[#This Row],[Midfielders]])-LEN(SUBSTITUTE(Table91[[#This Row],[Midfielders]],"/","")))-(LEN(Table91[[#This Row],[Forwards]])-LEN(SUBSTITUTE(Table91[[#This Row],[Forwards]],"/","")))-4</f>
        <v>13</v>
      </c>
      <c r="I25" s="6">
        <v>19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75A7B-FF68-4DE7-B20B-46BB4BE7425D}">
  <dimension ref="A1:I29"/>
  <sheetViews>
    <sheetView topLeftCell="D25" workbookViewId="0">
      <selection activeCell="E30" sqref="E30"/>
    </sheetView>
  </sheetViews>
  <sheetFormatPr defaultRowHeight="14.4" x14ac:dyDescent="0.3"/>
  <cols>
    <col min="1" max="1" width="47.109375" bestFit="1" customWidth="1"/>
    <col min="2" max="2" width="152" bestFit="1" customWidth="1"/>
    <col min="3" max="3" width="140.6640625" bestFit="1" customWidth="1"/>
    <col min="4" max="4" width="113" bestFit="1" customWidth="1"/>
    <col min="5" max="5" width="17.88671875" bestFit="1" customWidth="1"/>
    <col min="6" max="6" width="19.88671875" bestFit="1" customWidth="1"/>
    <col min="7" max="7" width="22.5546875" bestFit="1" customWidth="1"/>
    <col min="8" max="8" width="17" bestFit="1" customWidth="1"/>
    <col min="9" max="9" width="14.77734375" bestFit="1" customWidth="1"/>
  </cols>
  <sheetData>
    <row r="1" spans="1:9" x14ac:dyDescent="0.3">
      <c r="A1" t="s">
        <v>838</v>
      </c>
      <c r="B1" t="s">
        <v>839</v>
      </c>
      <c r="C1" t="s">
        <v>840</v>
      </c>
      <c r="D1" t="s">
        <v>836</v>
      </c>
      <c r="E1" t="s">
        <v>1</v>
      </c>
      <c r="F1" t="s">
        <v>900</v>
      </c>
      <c r="G1" t="s">
        <v>901</v>
      </c>
      <c r="H1" t="s">
        <v>1212</v>
      </c>
      <c r="I1" t="s">
        <v>1213</v>
      </c>
    </row>
    <row r="2" spans="1:9" x14ac:dyDescent="0.3">
      <c r="A2" s="6"/>
      <c r="B2" s="6" t="s">
        <v>3272</v>
      </c>
      <c r="C2" s="6" t="s">
        <v>2324</v>
      </c>
      <c r="D2" s="6" t="s">
        <v>2334</v>
      </c>
      <c r="E2" s="6" t="s">
        <v>344</v>
      </c>
      <c r="F2" s="6">
        <v>2</v>
      </c>
      <c r="G2" s="6"/>
      <c r="H2" s="6">
        <f>Table9194[[#This Row],[Total Athletes]]-(LEN(Table9194[[#This Row],[Goalkeepers]])-LEN(SUBSTITUTE(Table9194[[#This Row],[Goalkeepers]],"/","")))-(LEN(Table9194[[#This Row],[Defenders]])-LEN(SUBSTITUTE(Table9194[[#This Row],[Defenders]],"/","")))-(LEN(Table9194[[#This Row],[Midfielders]])-LEN(SUBSTITUTE(Table9194[[#This Row],[Midfielders]],"/","")))-(LEN(Table9194[[#This Row],[Forwards]])-LEN(SUBSTITUTE(Table9194[[#This Row],[Forwards]],"/","")))-4</f>
        <v>15</v>
      </c>
      <c r="I2" s="6">
        <v>21</v>
      </c>
    </row>
    <row r="3" spans="1:9" x14ac:dyDescent="0.3">
      <c r="A3" s="6" t="s">
        <v>3556</v>
      </c>
      <c r="B3" s="6" t="s">
        <v>4388</v>
      </c>
      <c r="C3" s="6" t="s">
        <v>4856</v>
      </c>
      <c r="D3" s="6" t="s">
        <v>2326</v>
      </c>
      <c r="E3" s="6" t="s">
        <v>344</v>
      </c>
      <c r="F3" s="6"/>
      <c r="G3" s="6">
        <v>6</v>
      </c>
      <c r="H3" s="6">
        <f>Table9194[[#This Row],[Total Athletes]]-(LEN(Table9194[[#This Row],[Goalkeepers]])-LEN(SUBSTITUTE(Table9194[[#This Row],[Goalkeepers]],"/","")))-(LEN(Table9194[[#This Row],[Defenders]])-LEN(SUBSTITUTE(Table9194[[#This Row],[Defenders]],"/","")))-(LEN(Table9194[[#This Row],[Midfielders]])-LEN(SUBSTITUTE(Table9194[[#This Row],[Midfielders]],"/","")))-(LEN(Table9194[[#This Row],[Forwards]])-LEN(SUBSTITUTE(Table9194[[#This Row],[Forwards]],"/","")))-4</f>
        <v>13</v>
      </c>
      <c r="I3" s="6">
        <v>20</v>
      </c>
    </row>
    <row r="4" spans="1:9" x14ac:dyDescent="0.3">
      <c r="A4" s="6" t="s">
        <v>3928</v>
      </c>
      <c r="B4" s="6" t="s">
        <v>4338</v>
      </c>
      <c r="C4" s="6" t="s">
        <v>1849</v>
      </c>
      <c r="D4" s="6" t="s">
        <v>4611</v>
      </c>
      <c r="E4" s="6" t="s">
        <v>332</v>
      </c>
      <c r="F4" s="6">
        <v>8</v>
      </c>
      <c r="G4" s="6"/>
      <c r="H4" s="6">
        <f>Table9194[[#This Row],[Total Athletes]]-(LEN(Table9194[[#This Row],[Goalkeepers]])-LEN(SUBSTITUTE(Table9194[[#This Row],[Goalkeepers]],"/","")))-(LEN(Table9194[[#This Row],[Defenders]])-LEN(SUBSTITUTE(Table9194[[#This Row],[Defenders]],"/","")))-(LEN(Table9194[[#This Row],[Midfielders]])-LEN(SUBSTITUTE(Table9194[[#This Row],[Midfielders]],"/","")))-(LEN(Table9194[[#This Row],[Forwards]])-LEN(SUBSTITUTE(Table9194[[#This Row],[Forwards]],"/","")))-4</f>
        <v>10</v>
      </c>
      <c r="I4" s="6">
        <v>19</v>
      </c>
    </row>
    <row r="5" spans="1:9" x14ac:dyDescent="0.3">
      <c r="A5" s="6"/>
      <c r="B5" s="6" t="s">
        <v>4017</v>
      </c>
      <c r="C5" s="6" t="s">
        <v>3866</v>
      </c>
      <c r="D5" s="6" t="s">
        <v>3996</v>
      </c>
      <c r="E5" s="6" t="s">
        <v>374</v>
      </c>
      <c r="F5" s="6">
        <v>12</v>
      </c>
      <c r="G5" s="6"/>
      <c r="H5" s="6">
        <f>Table9194[[#This Row],[Total Athletes]]-(LEN(Table9194[[#This Row],[Goalkeepers]])-LEN(SUBSTITUTE(Table9194[[#This Row],[Goalkeepers]],"/","")))-(LEN(Table9194[[#This Row],[Defenders]])-LEN(SUBSTITUTE(Table9194[[#This Row],[Defenders]],"/","")))-(LEN(Table9194[[#This Row],[Midfielders]])-LEN(SUBSTITUTE(Table9194[[#This Row],[Midfielders]],"/","")))-(LEN(Table9194[[#This Row],[Forwards]])-LEN(SUBSTITUTE(Table9194[[#This Row],[Forwards]],"/","")))-4</f>
        <v>12</v>
      </c>
      <c r="I5" s="6">
        <v>19</v>
      </c>
    </row>
    <row r="6" spans="1:9" x14ac:dyDescent="0.3">
      <c r="A6" s="6" t="s">
        <v>1653</v>
      </c>
      <c r="B6" s="6" t="s">
        <v>2039</v>
      </c>
      <c r="C6" s="6" t="s">
        <v>4187</v>
      </c>
      <c r="D6" s="6" t="s">
        <v>4208</v>
      </c>
      <c r="E6" s="6" t="s">
        <v>332</v>
      </c>
      <c r="F6" s="6"/>
      <c r="G6" s="6">
        <v>1</v>
      </c>
      <c r="H6" s="6">
        <f>Table9194[[#This Row],[Total Athletes]]-(LEN(Table9194[[#This Row],[Goalkeepers]])-LEN(SUBSTITUTE(Table9194[[#This Row],[Goalkeepers]],"/","")))-(LEN(Table9194[[#This Row],[Defenders]])-LEN(SUBSTITUTE(Table9194[[#This Row],[Defenders]],"/","")))-(LEN(Table9194[[#This Row],[Midfielders]])-LEN(SUBSTITUTE(Table9194[[#This Row],[Midfielders]],"/","")))-(LEN(Table9194[[#This Row],[Forwards]])-LEN(SUBSTITUTE(Table9194[[#This Row],[Forwards]],"/","")))-4</f>
        <v>10</v>
      </c>
      <c r="I6" s="6">
        <v>19</v>
      </c>
    </row>
    <row r="7" spans="1:9" x14ac:dyDescent="0.3">
      <c r="A7" s="6" t="s">
        <v>3107</v>
      </c>
      <c r="B7" s="6" t="s">
        <v>3072</v>
      </c>
      <c r="C7" s="6" t="s">
        <v>3121</v>
      </c>
      <c r="D7" s="6" t="s">
        <v>4498</v>
      </c>
      <c r="E7" s="6" t="s">
        <v>336</v>
      </c>
      <c r="F7" s="6"/>
      <c r="G7" s="6">
        <v>2</v>
      </c>
      <c r="H7" s="6">
        <f>Table9194[[#This Row],[Total Athletes]]-(LEN(Table9194[[#This Row],[Goalkeepers]])-LEN(SUBSTITUTE(Table9194[[#This Row],[Goalkeepers]],"/","")))-(LEN(Table9194[[#This Row],[Defenders]])-LEN(SUBSTITUTE(Table9194[[#This Row],[Defenders]],"/","")))-(LEN(Table9194[[#This Row],[Midfielders]])-LEN(SUBSTITUTE(Table9194[[#This Row],[Midfielders]],"/","")))-(LEN(Table9194[[#This Row],[Forwards]])-LEN(SUBSTITUTE(Table9194[[#This Row],[Forwards]],"/","")))-4</f>
        <v>8</v>
      </c>
      <c r="I7" s="6">
        <v>22</v>
      </c>
    </row>
    <row r="8" spans="1:9" x14ac:dyDescent="0.3">
      <c r="A8" s="6" t="s">
        <v>4721</v>
      </c>
      <c r="B8" s="6" t="s">
        <v>4711</v>
      </c>
      <c r="C8" s="6" t="s">
        <v>4723</v>
      </c>
      <c r="D8" s="6" t="s">
        <v>2240</v>
      </c>
      <c r="E8" s="6" t="s">
        <v>362</v>
      </c>
      <c r="F8" s="6"/>
      <c r="G8" s="6">
        <v>8</v>
      </c>
      <c r="H8" s="6">
        <f>Table9194[[#This Row],[Total Athletes]]-(LEN(Table9194[[#This Row],[Goalkeepers]])-LEN(SUBSTITUTE(Table9194[[#This Row],[Goalkeepers]],"/","")))-(LEN(Table9194[[#This Row],[Defenders]])-LEN(SUBSTITUTE(Table9194[[#This Row],[Defenders]],"/","")))-(LEN(Table9194[[#This Row],[Midfielders]])-LEN(SUBSTITUTE(Table9194[[#This Row],[Midfielders]],"/","")))-(LEN(Table9194[[#This Row],[Forwards]])-LEN(SUBSTITUTE(Table9194[[#This Row],[Forwards]],"/","")))-4</f>
        <v>11</v>
      </c>
      <c r="I8" s="6">
        <v>19</v>
      </c>
    </row>
    <row r="9" spans="1:9" x14ac:dyDescent="0.3">
      <c r="A9" s="6" t="s">
        <v>4001</v>
      </c>
      <c r="B9" s="6" t="s">
        <v>4884</v>
      </c>
      <c r="C9" s="6" t="s">
        <v>4883</v>
      </c>
      <c r="D9" s="6" t="s">
        <v>4311</v>
      </c>
      <c r="E9" s="6" t="s">
        <v>330</v>
      </c>
      <c r="F9" s="6">
        <v>1</v>
      </c>
      <c r="G9" s="6"/>
      <c r="H9" s="6">
        <f>Table9194[[#This Row],[Total Athletes]]-(LEN(Table9194[[#This Row],[Goalkeepers]])-LEN(SUBSTITUTE(Table9194[[#This Row],[Goalkeepers]],"/","")))-(LEN(Table9194[[#This Row],[Defenders]])-LEN(SUBSTITUTE(Table9194[[#This Row],[Defenders]],"/","")))-(LEN(Table9194[[#This Row],[Midfielders]])-LEN(SUBSTITUTE(Table9194[[#This Row],[Midfielders]],"/","")))-(LEN(Table9194[[#This Row],[Forwards]])-LEN(SUBSTITUTE(Table9194[[#This Row],[Forwards]],"/","")))-4</f>
        <v>12</v>
      </c>
      <c r="I9" s="6">
        <v>22</v>
      </c>
    </row>
    <row r="10" spans="1:9" x14ac:dyDescent="0.3">
      <c r="A10" s="6"/>
      <c r="B10" s="6" t="s">
        <v>4221</v>
      </c>
      <c r="C10" s="6" t="s">
        <v>4760</v>
      </c>
      <c r="D10" s="6"/>
      <c r="E10" s="6" t="s">
        <v>598</v>
      </c>
      <c r="F10" s="6">
        <v>15</v>
      </c>
      <c r="G10" s="6"/>
      <c r="H10" s="6">
        <f>Table9194[[#This Row],[Total Athletes]]-(LEN(Table9194[[#This Row],[Goalkeepers]])-LEN(SUBSTITUTE(Table9194[[#This Row],[Goalkeepers]],"/","")))-(LEN(Table9194[[#This Row],[Defenders]])-LEN(SUBSTITUTE(Table9194[[#This Row],[Defenders]],"/","")))-(LEN(Table9194[[#This Row],[Midfielders]])-LEN(SUBSTITUTE(Table9194[[#This Row],[Midfielders]],"/","")))-(LEN(Table9194[[#This Row],[Forwards]])-LEN(SUBSTITUTE(Table9194[[#This Row],[Forwards]],"/","")))-4</f>
        <v>11</v>
      </c>
      <c r="I10" s="6">
        <v>19</v>
      </c>
    </row>
    <row r="11" spans="1:9" x14ac:dyDescent="0.3">
      <c r="A11" s="6"/>
      <c r="B11" s="6" t="s">
        <v>3564</v>
      </c>
      <c r="C11" s="6"/>
      <c r="D11" s="6"/>
      <c r="E11" s="6" t="s">
        <v>726</v>
      </c>
      <c r="F11" s="6">
        <v>9</v>
      </c>
      <c r="G11" s="6"/>
      <c r="H11" s="6">
        <f>Table9194[[#This Row],[Total Athletes]]-(LEN(Table9194[[#This Row],[Goalkeepers]])-LEN(SUBSTITUTE(Table9194[[#This Row],[Goalkeepers]],"/","")))-(LEN(Table9194[[#This Row],[Defenders]])-LEN(SUBSTITUTE(Table9194[[#This Row],[Defenders]],"/","")))-(LEN(Table9194[[#This Row],[Midfielders]])-LEN(SUBSTITUTE(Table9194[[#This Row],[Midfielders]],"/","")))-(LEN(Table9194[[#This Row],[Forwards]])-LEN(SUBSTITUTE(Table9194[[#This Row],[Forwards]],"/","")))-4</f>
        <v>11</v>
      </c>
      <c r="I11" s="6">
        <v>18</v>
      </c>
    </row>
    <row r="12" spans="1:9" x14ac:dyDescent="0.3">
      <c r="A12" s="6" t="s">
        <v>4310</v>
      </c>
      <c r="B12" s="6" t="s">
        <v>4587</v>
      </c>
      <c r="C12" s="6" t="s">
        <v>4588</v>
      </c>
      <c r="D12" s="6" t="s">
        <v>4860</v>
      </c>
      <c r="E12" s="6" t="s">
        <v>378</v>
      </c>
      <c r="F12" s="6">
        <v>3</v>
      </c>
      <c r="G12" s="6"/>
      <c r="H12" s="6">
        <f>Table9194[[#This Row],[Total Athletes]]-(LEN(Table9194[[#This Row],[Goalkeepers]])-LEN(SUBSTITUTE(Table9194[[#This Row],[Goalkeepers]],"/","")))-(LEN(Table9194[[#This Row],[Defenders]])-LEN(SUBSTITUTE(Table9194[[#This Row],[Defenders]],"/","")))-(LEN(Table9194[[#This Row],[Midfielders]])-LEN(SUBSTITUTE(Table9194[[#This Row],[Midfielders]],"/","")))-(LEN(Table9194[[#This Row],[Forwards]])-LEN(SUBSTITUTE(Table9194[[#This Row],[Forwards]],"/","")))-4</f>
        <v>9</v>
      </c>
      <c r="I12" s="6">
        <v>19</v>
      </c>
    </row>
    <row r="13" spans="1:9" x14ac:dyDescent="0.3">
      <c r="A13" s="6" t="s">
        <v>4413</v>
      </c>
      <c r="B13" s="6" t="s">
        <v>4921</v>
      </c>
      <c r="C13" s="6" t="s">
        <v>4403</v>
      </c>
      <c r="D13" s="6" t="s">
        <v>4878</v>
      </c>
      <c r="E13" s="6" t="s">
        <v>326</v>
      </c>
      <c r="F13" s="6">
        <v>4</v>
      </c>
      <c r="G13" s="6"/>
      <c r="H13" s="6">
        <f>Table9194[[#This Row],[Total Athletes]]-(LEN(Table9194[[#This Row],[Goalkeepers]])-LEN(SUBSTITUTE(Table9194[[#This Row],[Goalkeepers]],"/","")))-(LEN(Table9194[[#This Row],[Defenders]])-LEN(SUBSTITUTE(Table9194[[#This Row],[Defenders]],"/","")))-(LEN(Table9194[[#This Row],[Midfielders]])-LEN(SUBSTITUTE(Table9194[[#This Row],[Midfielders]],"/","")))-(LEN(Table9194[[#This Row],[Forwards]])-LEN(SUBSTITUTE(Table9194[[#This Row],[Forwards]],"/","")))-4</f>
        <v>13</v>
      </c>
      <c r="I13" s="6">
        <v>19</v>
      </c>
    </row>
    <row r="14" spans="1:9" x14ac:dyDescent="0.3">
      <c r="A14" s="6" t="s">
        <v>4345</v>
      </c>
      <c r="B14" s="6" t="s">
        <v>4347</v>
      </c>
      <c r="C14" s="6" t="s">
        <v>4348</v>
      </c>
      <c r="D14" s="6" t="s">
        <v>4346</v>
      </c>
      <c r="E14" s="6" t="s">
        <v>488</v>
      </c>
      <c r="F14" s="6">
        <v>14</v>
      </c>
      <c r="G14" s="6"/>
      <c r="H14" s="6">
        <f>Table9194[[#This Row],[Total Athletes]]-(LEN(Table9194[[#This Row],[Goalkeepers]])-LEN(SUBSTITUTE(Table9194[[#This Row],[Goalkeepers]],"/","")))-(LEN(Table9194[[#This Row],[Defenders]])-LEN(SUBSTITUTE(Table9194[[#This Row],[Defenders]],"/","")))-(LEN(Table9194[[#This Row],[Midfielders]])-LEN(SUBSTITUTE(Table9194[[#This Row],[Midfielders]],"/","")))-(LEN(Table9194[[#This Row],[Forwards]])-LEN(SUBSTITUTE(Table9194[[#This Row],[Forwards]],"/","")))-4</f>
        <v>10</v>
      </c>
      <c r="I14" s="6">
        <v>18</v>
      </c>
    </row>
    <row r="15" spans="1:9" x14ac:dyDescent="0.3">
      <c r="A15" s="6"/>
      <c r="B15" s="6" t="s">
        <v>4746</v>
      </c>
      <c r="C15" s="6" t="s">
        <v>1478</v>
      </c>
      <c r="D15" s="6"/>
      <c r="E15" s="6" t="s">
        <v>474</v>
      </c>
      <c r="F15" s="6">
        <v>11</v>
      </c>
      <c r="G15" s="6"/>
      <c r="H15" s="6">
        <f>Table9194[[#This Row],[Total Athletes]]-(LEN(Table9194[[#This Row],[Goalkeepers]])-LEN(SUBSTITUTE(Table9194[[#This Row],[Goalkeepers]],"/","")))-(LEN(Table9194[[#This Row],[Defenders]])-LEN(SUBSTITUTE(Table9194[[#This Row],[Defenders]],"/","")))-(LEN(Table9194[[#This Row],[Midfielders]])-LEN(SUBSTITUTE(Table9194[[#This Row],[Midfielders]],"/","")))-(LEN(Table9194[[#This Row],[Forwards]])-LEN(SUBSTITUTE(Table9194[[#This Row],[Forwards]],"/","")))-4</f>
        <v>15</v>
      </c>
      <c r="I15" s="6">
        <v>20</v>
      </c>
    </row>
    <row r="16" spans="1:9" x14ac:dyDescent="0.3">
      <c r="A16" s="6"/>
      <c r="B16" s="6"/>
      <c r="C16" s="6" t="s">
        <v>2547</v>
      </c>
      <c r="D16" s="6" t="s">
        <v>4173</v>
      </c>
      <c r="E16" s="6" t="s">
        <v>384</v>
      </c>
      <c r="F16" s="6"/>
      <c r="G16" s="6">
        <v>7</v>
      </c>
      <c r="H16" s="6">
        <f>Table9194[[#This Row],[Total Athletes]]-(LEN(Table9194[[#This Row],[Goalkeepers]])-LEN(SUBSTITUTE(Table9194[[#This Row],[Goalkeepers]],"/","")))-(LEN(Table9194[[#This Row],[Defenders]])-LEN(SUBSTITUTE(Table9194[[#This Row],[Defenders]],"/","")))-(LEN(Table9194[[#This Row],[Midfielders]])-LEN(SUBSTITUTE(Table9194[[#This Row],[Midfielders]],"/","")))-(LEN(Table9194[[#This Row],[Forwards]])-LEN(SUBSTITUTE(Table9194[[#This Row],[Forwards]],"/","")))-4</f>
        <v>14</v>
      </c>
      <c r="I16" s="6">
        <v>19</v>
      </c>
    </row>
    <row r="17" spans="1:9" x14ac:dyDescent="0.3">
      <c r="A17" s="6" t="s">
        <v>5065</v>
      </c>
      <c r="B17" s="6" t="s">
        <v>5066</v>
      </c>
      <c r="C17" s="6" t="s">
        <v>5067</v>
      </c>
      <c r="D17" s="6" t="s">
        <v>5068</v>
      </c>
      <c r="E17" s="6" t="s">
        <v>668</v>
      </c>
      <c r="F17" s="6">
        <v>6</v>
      </c>
      <c r="G17" s="6"/>
      <c r="H17" s="6">
        <f>Table9194[[#This Row],[Total Athletes]]-(LEN(Table9194[[#This Row],[Goalkeepers]])-LEN(SUBSTITUTE(Table9194[[#This Row],[Goalkeepers]],"/","")))-(LEN(Table9194[[#This Row],[Defenders]])-LEN(SUBSTITUTE(Table9194[[#This Row],[Defenders]],"/","")))-(LEN(Table9194[[#This Row],[Midfielders]])-LEN(SUBSTITUTE(Table9194[[#This Row],[Midfielders]],"/","")))-(LEN(Table9194[[#This Row],[Forwards]])-LEN(SUBSTITUTE(Table9194[[#This Row],[Forwards]],"/","")))-4</f>
        <v>14</v>
      </c>
      <c r="I17" s="6">
        <v>19</v>
      </c>
    </row>
    <row r="18" spans="1:9" x14ac:dyDescent="0.3">
      <c r="A18" s="6" t="s">
        <v>3845</v>
      </c>
      <c r="B18" s="6" t="s">
        <v>5069</v>
      </c>
      <c r="C18" s="6" t="s">
        <v>3835</v>
      </c>
      <c r="D18" s="6" t="s">
        <v>2307</v>
      </c>
      <c r="E18" s="6" t="s">
        <v>340</v>
      </c>
      <c r="F18" s="6">
        <v>7</v>
      </c>
      <c r="G18" s="6"/>
      <c r="H18" s="6">
        <f>Table9194[[#This Row],[Total Athletes]]-(LEN(Table9194[[#This Row],[Goalkeepers]])-LEN(SUBSTITUTE(Table9194[[#This Row],[Goalkeepers]],"/","")))-(LEN(Table9194[[#This Row],[Defenders]])-LEN(SUBSTITUTE(Table9194[[#This Row],[Defenders]],"/","")))-(LEN(Table9194[[#This Row],[Midfielders]])-LEN(SUBSTITUTE(Table9194[[#This Row],[Midfielders]],"/","")))-(LEN(Table9194[[#This Row],[Forwards]])-LEN(SUBSTITUTE(Table9194[[#This Row],[Forwards]],"/","")))-4</f>
        <v>8</v>
      </c>
      <c r="I18" s="6">
        <v>18</v>
      </c>
    </row>
    <row r="19" spans="1:9" x14ac:dyDescent="0.3">
      <c r="A19" s="6" t="s">
        <v>4150</v>
      </c>
      <c r="B19" s="6" t="s">
        <v>4153</v>
      </c>
      <c r="C19" s="6" t="s">
        <v>4161</v>
      </c>
      <c r="D19" s="6" t="s">
        <v>4158</v>
      </c>
      <c r="E19" s="6" t="s">
        <v>474</v>
      </c>
      <c r="F19" s="6"/>
      <c r="G19" s="6">
        <v>10</v>
      </c>
      <c r="H19" s="6">
        <f>Table9194[[#This Row],[Total Athletes]]-(LEN(Table9194[[#This Row],[Goalkeepers]])-LEN(SUBSTITUTE(Table9194[[#This Row],[Goalkeepers]],"/","")))-(LEN(Table9194[[#This Row],[Defenders]])-LEN(SUBSTITUTE(Table9194[[#This Row],[Defenders]],"/","")))-(LEN(Table9194[[#This Row],[Midfielders]])-LEN(SUBSTITUTE(Table9194[[#This Row],[Midfielders]],"/","")))-(LEN(Table9194[[#This Row],[Forwards]])-LEN(SUBSTITUTE(Table9194[[#This Row],[Forwards]],"/","")))-4</f>
        <v>12</v>
      </c>
      <c r="I19" s="6">
        <v>19</v>
      </c>
    </row>
    <row r="20" spans="1:9" x14ac:dyDescent="0.3">
      <c r="A20" s="6" t="s">
        <v>2593</v>
      </c>
      <c r="B20" s="6" t="s">
        <v>2971</v>
      </c>
      <c r="C20" s="6" t="s">
        <v>4004</v>
      </c>
      <c r="D20" s="6" t="s">
        <v>3997</v>
      </c>
      <c r="E20" s="6" t="s">
        <v>330</v>
      </c>
      <c r="F20" s="6"/>
      <c r="G20" s="6">
        <v>4</v>
      </c>
      <c r="H20" s="6">
        <f>Table9194[[#This Row],[Total Athletes]]-(LEN(Table9194[[#This Row],[Goalkeepers]])-LEN(SUBSTITUTE(Table9194[[#This Row],[Goalkeepers]],"/","")))-(LEN(Table9194[[#This Row],[Defenders]])-LEN(SUBSTITUTE(Table9194[[#This Row],[Defenders]],"/","")))-(LEN(Table9194[[#This Row],[Midfielders]])-LEN(SUBSTITUTE(Table9194[[#This Row],[Midfielders]],"/","")))-(LEN(Table9194[[#This Row],[Forwards]])-LEN(SUBSTITUTE(Table9194[[#This Row],[Forwards]],"/","")))-4</f>
        <v>13</v>
      </c>
      <c r="I20" s="6">
        <v>22</v>
      </c>
    </row>
    <row r="21" spans="1:9" x14ac:dyDescent="0.3">
      <c r="A21" s="6" t="s">
        <v>4090</v>
      </c>
      <c r="B21" s="6" t="s">
        <v>1752</v>
      </c>
      <c r="C21" s="6" t="s">
        <v>4074</v>
      </c>
      <c r="D21" s="6" t="s">
        <v>1747</v>
      </c>
      <c r="E21" s="6" t="s">
        <v>428</v>
      </c>
      <c r="F21" s="6"/>
      <c r="G21" s="6">
        <v>5</v>
      </c>
      <c r="H21" s="6">
        <f>Table9194[[#This Row],[Total Athletes]]-(LEN(Table9194[[#This Row],[Goalkeepers]])-LEN(SUBSTITUTE(Table9194[[#This Row],[Goalkeepers]],"/","")))-(LEN(Table9194[[#This Row],[Defenders]])-LEN(SUBSTITUTE(Table9194[[#This Row],[Defenders]],"/","")))-(LEN(Table9194[[#This Row],[Midfielders]])-LEN(SUBSTITUTE(Table9194[[#This Row],[Midfielders]],"/","")))-(LEN(Table9194[[#This Row],[Forwards]])-LEN(SUBSTITUTE(Table9194[[#This Row],[Forwards]],"/","")))-4</f>
        <v>14</v>
      </c>
      <c r="I21" s="6">
        <v>22</v>
      </c>
    </row>
    <row r="22" spans="1:9" x14ac:dyDescent="0.3">
      <c r="A22" s="6"/>
      <c r="B22" s="6" t="s">
        <v>2405</v>
      </c>
      <c r="C22" s="6" t="s">
        <v>2466</v>
      </c>
      <c r="D22" s="6" t="s">
        <v>2390</v>
      </c>
      <c r="E22" s="6" t="s">
        <v>354</v>
      </c>
      <c r="F22" s="6"/>
      <c r="G22" s="6">
        <v>9</v>
      </c>
      <c r="H22" s="6">
        <f>Table9194[[#This Row],[Total Athletes]]-(LEN(Table9194[[#This Row],[Goalkeepers]])-LEN(SUBSTITUTE(Table9194[[#This Row],[Goalkeepers]],"/","")))-(LEN(Table9194[[#This Row],[Defenders]])-LEN(SUBSTITUTE(Table9194[[#This Row],[Defenders]],"/","")))-(LEN(Table9194[[#This Row],[Midfielders]])-LEN(SUBSTITUTE(Table9194[[#This Row],[Midfielders]],"/","")))-(LEN(Table9194[[#This Row],[Forwards]])-LEN(SUBSTITUTE(Table9194[[#This Row],[Forwards]],"/","")))-4</f>
        <v>10</v>
      </c>
      <c r="I22" s="6">
        <v>19</v>
      </c>
    </row>
    <row r="23" spans="1:9" x14ac:dyDescent="0.3">
      <c r="A23" s="6"/>
      <c r="B23" s="6"/>
      <c r="C23" s="6" t="s">
        <v>3432</v>
      </c>
      <c r="D23" s="6"/>
      <c r="E23" s="6" t="s">
        <v>334</v>
      </c>
      <c r="F23" s="6"/>
      <c r="G23" s="6">
        <v>3</v>
      </c>
      <c r="H23" s="6">
        <f>Table9194[[#This Row],[Total Athletes]]-(LEN(Table9194[[#This Row],[Goalkeepers]])-LEN(SUBSTITUTE(Table9194[[#This Row],[Goalkeepers]],"/","")))-(LEN(Table9194[[#This Row],[Defenders]])-LEN(SUBSTITUTE(Table9194[[#This Row],[Defenders]],"/","")))-(LEN(Table9194[[#This Row],[Midfielders]])-LEN(SUBSTITUTE(Table9194[[#This Row],[Midfielders]],"/","")))-(LEN(Table9194[[#This Row],[Forwards]])-LEN(SUBSTITUTE(Table9194[[#This Row],[Forwards]],"/","")))-4</f>
        <v>16</v>
      </c>
      <c r="I23" s="6">
        <v>20</v>
      </c>
    </row>
    <row r="24" spans="1:9" x14ac:dyDescent="0.3">
      <c r="A24" s="6"/>
      <c r="B24" s="6" t="s">
        <v>1964</v>
      </c>
      <c r="C24" s="6"/>
      <c r="D24" s="6" t="s">
        <v>2044</v>
      </c>
      <c r="E24" s="6" t="s">
        <v>440</v>
      </c>
      <c r="F24" s="6"/>
      <c r="G24" s="6">
        <v>11</v>
      </c>
      <c r="H24" s="6">
        <f>Table9194[[#This Row],[Total Athletes]]-(LEN(Table9194[[#This Row],[Goalkeepers]])-LEN(SUBSTITUTE(Table9194[[#This Row],[Goalkeepers]],"/","")))-(LEN(Table9194[[#This Row],[Defenders]])-LEN(SUBSTITUTE(Table9194[[#This Row],[Defenders]],"/","")))-(LEN(Table9194[[#This Row],[Midfielders]])-LEN(SUBSTITUTE(Table9194[[#This Row],[Midfielders]],"/","")))-(LEN(Table9194[[#This Row],[Forwards]])-LEN(SUBSTITUTE(Table9194[[#This Row],[Forwards]],"/","")))-4</f>
        <v>13</v>
      </c>
      <c r="I24" s="6">
        <v>18</v>
      </c>
    </row>
    <row r="25" spans="1:9" x14ac:dyDescent="0.3">
      <c r="A25" s="6"/>
      <c r="B25" s="6" t="s">
        <v>4940</v>
      </c>
      <c r="C25" s="6" t="s">
        <v>4939</v>
      </c>
      <c r="D25" s="6" t="s">
        <v>4934</v>
      </c>
      <c r="E25" s="6" t="s">
        <v>736</v>
      </c>
      <c r="F25" s="6"/>
      <c r="G25" s="6">
        <v>12</v>
      </c>
      <c r="H25" s="6">
        <f>Table9194[[#This Row],[Total Athletes]]-(LEN(Table9194[[#This Row],[Goalkeepers]])-LEN(SUBSTITUTE(Table9194[[#This Row],[Goalkeepers]],"/","")))-(LEN(Table9194[[#This Row],[Defenders]])-LEN(SUBSTITUTE(Table9194[[#This Row],[Defenders]],"/","")))-(LEN(Table9194[[#This Row],[Midfielders]])-LEN(SUBSTITUTE(Table9194[[#This Row],[Midfielders]],"/","")))-(LEN(Table9194[[#This Row],[Forwards]])-LEN(SUBSTITUTE(Table9194[[#This Row],[Forwards]],"/","")))-4</f>
        <v>7</v>
      </c>
      <c r="I25" s="6">
        <v>20</v>
      </c>
    </row>
    <row r="26" spans="1:9" x14ac:dyDescent="0.3">
      <c r="A26" s="6" t="s">
        <v>3196</v>
      </c>
      <c r="B26" s="6" t="s">
        <v>3747</v>
      </c>
      <c r="C26" s="6" t="s">
        <v>4041</v>
      </c>
      <c r="D26" s="6" t="s">
        <v>4073</v>
      </c>
      <c r="E26" s="6" t="s">
        <v>428</v>
      </c>
      <c r="F26" s="6">
        <v>5</v>
      </c>
      <c r="G26" s="6"/>
      <c r="H26" s="6">
        <f>Table9194[[#This Row],[Total Athletes]]-(LEN(Table9194[[#This Row],[Goalkeepers]])-LEN(SUBSTITUTE(Table9194[[#This Row],[Goalkeepers]],"/","")))-(LEN(Table9194[[#This Row],[Defenders]])-LEN(SUBSTITUTE(Table9194[[#This Row],[Defenders]],"/","")))-(LEN(Table9194[[#This Row],[Midfielders]])-LEN(SUBSTITUTE(Table9194[[#This Row],[Midfielders]],"/","")))-(LEN(Table9194[[#This Row],[Forwards]])-LEN(SUBSTITUTE(Table9194[[#This Row],[Forwards]],"/","")))-4</f>
        <v>11</v>
      </c>
      <c r="I26" s="6">
        <v>21</v>
      </c>
    </row>
    <row r="27" spans="1:9" x14ac:dyDescent="0.3">
      <c r="A27" s="6" t="s">
        <v>3367</v>
      </c>
      <c r="B27" s="6" t="s">
        <v>2613</v>
      </c>
      <c r="C27" s="6" t="s">
        <v>2614</v>
      </c>
      <c r="D27" s="6"/>
      <c r="E27" s="6" t="s">
        <v>482</v>
      </c>
      <c r="F27" s="6">
        <v>13</v>
      </c>
      <c r="G27" s="6"/>
      <c r="H27" s="6">
        <f>Table9194[[#This Row],[Total Athletes]]-(LEN(Table9194[[#This Row],[Goalkeepers]])-LEN(SUBSTITUTE(Table9194[[#This Row],[Goalkeepers]],"/","")))-(LEN(Table9194[[#This Row],[Defenders]])-LEN(SUBSTITUTE(Table9194[[#This Row],[Defenders]],"/","")))-(LEN(Table9194[[#This Row],[Midfielders]])-LEN(SUBSTITUTE(Table9194[[#This Row],[Midfielders]],"/","")))-(LEN(Table9194[[#This Row],[Forwards]])-LEN(SUBSTITUTE(Table9194[[#This Row],[Forwards]],"/","")))-4</f>
        <v>17</v>
      </c>
      <c r="I27" s="6">
        <v>21</v>
      </c>
    </row>
    <row r="28" spans="1:9" x14ac:dyDescent="0.3">
      <c r="A28" s="6" t="s">
        <v>3462</v>
      </c>
      <c r="B28" s="6"/>
      <c r="C28" s="6"/>
      <c r="D28" s="6"/>
      <c r="E28" s="6" t="s">
        <v>464</v>
      </c>
      <c r="F28" s="6">
        <v>10</v>
      </c>
      <c r="G28" s="6"/>
      <c r="H28" s="6">
        <f>Table9194[[#This Row],[Total Athletes]]-(LEN(Table9194[[#This Row],[Goalkeepers]])-LEN(SUBSTITUTE(Table9194[[#This Row],[Goalkeepers]],"/","")))-(LEN(Table9194[[#This Row],[Defenders]])-LEN(SUBSTITUTE(Table9194[[#This Row],[Defenders]],"/","")))-(LEN(Table9194[[#This Row],[Midfielders]])-LEN(SUBSTITUTE(Table9194[[#This Row],[Midfielders]],"/","")))-(LEN(Table9194[[#This Row],[Forwards]])-LEN(SUBSTITUTE(Table9194[[#This Row],[Forwards]],"/","")))-4</f>
        <v>15</v>
      </c>
      <c r="I28" s="6">
        <v>19</v>
      </c>
    </row>
    <row r="29" spans="1:9" x14ac:dyDescent="0.3">
      <c r="A29" s="6"/>
      <c r="B29" s="6" t="s">
        <v>3264</v>
      </c>
      <c r="C29" s="6" t="s">
        <v>1573</v>
      </c>
      <c r="D29" s="6" t="s">
        <v>1743</v>
      </c>
      <c r="E29" s="6" t="s">
        <v>434</v>
      </c>
      <c r="F29" s="6">
        <v>16</v>
      </c>
      <c r="G29" s="6"/>
      <c r="H29" s="6">
        <f>Table9194[[#This Row],[Total Athletes]]-(LEN(Table9194[[#This Row],[Goalkeepers]])-LEN(SUBSTITUTE(Table9194[[#This Row],[Goalkeepers]],"/","")))-(LEN(Table9194[[#This Row],[Defenders]])-LEN(SUBSTITUTE(Table9194[[#This Row],[Defenders]],"/","")))-(LEN(Table9194[[#This Row],[Midfielders]])-LEN(SUBSTITUTE(Table9194[[#This Row],[Midfielders]],"/","")))-(LEN(Table9194[[#This Row],[Forwards]])-LEN(SUBSTITUTE(Table9194[[#This Row],[Forwards]],"/","")))-4</f>
        <v>4</v>
      </c>
      <c r="I29" s="6">
        <v>20</v>
      </c>
    </row>
  </sheetData>
  <pageMargins left="0.7" right="0.7" top="0.75" bottom="0.75" header="0.3" footer="0.3"/>
  <tableParts count="1">
    <tablePart r:id="rId1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C5E2A-9D21-422B-945D-592DB439B763}">
  <dimension ref="A1:C61"/>
  <sheetViews>
    <sheetView topLeftCell="A55" workbookViewId="0">
      <selection activeCell="B62" sqref="B62"/>
    </sheetView>
  </sheetViews>
  <sheetFormatPr defaultRowHeight="14.4" x14ac:dyDescent="0.3"/>
  <cols>
    <col min="1" max="1" width="24.33203125" bestFit="1" customWidth="1"/>
    <col min="2" max="2" width="14" bestFit="1" customWidth="1"/>
    <col min="3" max="3" width="14.109375" bestFit="1" customWidth="1"/>
  </cols>
  <sheetData>
    <row r="1" spans="1:3" x14ac:dyDescent="0.3">
      <c r="A1" t="s">
        <v>832</v>
      </c>
      <c r="B1" t="s">
        <v>1</v>
      </c>
      <c r="C1" t="s">
        <v>899</v>
      </c>
    </row>
    <row r="2" spans="1:3" x14ac:dyDescent="0.3">
      <c r="A2" s="6"/>
      <c r="B2" s="6" t="s">
        <v>332</v>
      </c>
      <c r="C2" s="6">
        <v>-1</v>
      </c>
    </row>
    <row r="3" spans="1:3" x14ac:dyDescent="0.3">
      <c r="A3" s="6" t="s">
        <v>5055</v>
      </c>
      <c r="B3" s="6" t="s">
        <v>596</v>
      </c>
      <c r="C3" s="6">
        <v>5</v>
      </c>
    </row>
    <row r="4" spans="1:3" x14ac:dyDescent="0.3">
      <c r="A4" s="6" t="s">
        <v>2058</v>
      </c>
      <c r="B4" s="6" t="s">
        <v>332</v>
      </c>
      <c r="C4" s="6">
        <v>9</v>
      </c>
    </row>
    <row r="5" spans="1:3" x14ac:dyDescent="0.3">
      <c r="A5" s="6"/>
      <c r="B5" s="6" t="s">
        <v>338</v>
      </c>
      <c r="C5" s="6">
        <v>-1</v>
      </c>
    </row>
    <row r="6" spans="1:3" x14ac:dyDescent="0.3">
      <c r="A6" s="6" t="s">
        <v>4176</v>
      </c>
      <c r="B6" s="6" t="s">
        <v>332</v>
      </c>
      <c r="C6" s="6">
        <v>14</v>
      </c>
    </row>
    <row r="7" spans="1:3" x14ac:dyDescent="0.3">
      <c r="A7" s="6"/>
      <c r="B7" s="6" t="s">
        <v>364</v>
      </c>
      <c r="C7" s="6">
        <v>-1</v>
      </c>
    </row>
    <row r="8" spans="1:3" x14ac:dyDescent="0.3">
      <c r="A8" s="6" t="s">
        <v>2035</v>
      </c>
      <c r="B8" s="6" t="s">
        <v>332</v>
      </c>
      <c r="C8" s="6">
        <v>24</v>
      </c>
    </row>
    <row r="9" spans="1:3" x14ac:dyDescent="0.3">
      <c r="A9" s="6"/>
      <c r="B9" s="6" t="s">
        <v>330</v>
      </c>
      <c r="C9" s="6">
        <v>-1</v>
      </c>
    </row>
    <row r="10" spans="1:3" x14ac:dyDescent="0.3">
      <c r="A10" s="6" t="s">
        <v>4947</v>
      </c>
      <c r="B10" s="6" t="s">
        <v>428</v>
      </c>
      <c r="C10" s="6">
        <v>3</v>
      </c>
    </row>
    <row r="11" spans="1:3" x14ac:dyDescent="0.3">
      <c r="A11" s="6" t="s">
        <v>1803</v>
      </c>
      <c r="B11" s="6" t="s">
        <v>402</v>
      </c>
      <c r="C11" s="6">
        <v>2</v>
      </c>
    </row>
    <row r="12" spans="1:3" x14ac:dyDescent="0.3">
      <c r="A12" s="6"/>
      <c r="B12" s="6" t="s">
        <v>402</v>
      </c>
      <c r="C12" s="6">
        <v>-1</v>
      </c>
    </row>
    <row r="13" spans="1:3" x14ac:dyDescent="0.3">
      <c r="A13" s="6"/>
      <c r="B13" s="6" t="s">
        <v>344</v>
      </c>
      <c r="C13" s="6">
        <v>-1</v>
      </c>
    </row>
    <row r="14" spans="1:3" x14ac:dyDescent="0.3">
      <c r="A14" s="6"/>
      <c r="B14" s="6" t="s">
        <v>358</v>
      </c>
      <c r="C14" s="6">
        <v>-1</v>
      </c>
    </row>
    <row r="15" spans="1:3" x14ac:dyDescent="0.3">
      <c r="A15" s="6"/>
      <c r="B15" s="6" t="s">
        <v>354</v>
      </c>
      <c r="C15" s="6">
        <v>-1</v>
      </c>
    </row>
    <row r="16" spans="1:3" x14ac:dyDescent="0.3">
      <c r="A16" s="6"/>
      <c r="B16" s="6" t="s">
        <v>700</v>
      </c>
      <c r="C16" s="6">
        <v>-1</v>
      </c>
    </row>
    <row r="17" spans="1:3" x14ac:dyDescent="0.3">
      <c r="A17" s="6"/>
      <c r="B17" s="6" t="s">
        <v>700</v>
      </c>
      <c r="C17" s="6">
        <v>-1</v>
      </c>
    </row>
    <row r="18" spans="1:3" x14ac:dyDescent="0.3">
      <c r="A18" s="6"/>
      <c r="B18" s="6" t="s">
        <v>596</v>
      </c>
      <c r="C18" s="6">
        <v>-1</v>
      </c>
    </row>
    <row r="19" spans="1:3" x14ac:dyDescent="0.3">
      <c r="A19" s="6"/>
      <c r="B19" s="6" t="s">
        <v>384</v>
      </c>
      <c r="C19" s="6">
        <v>-1</v>
      </c>
    </row>
    <row r="20" spans="1:3" x14ac:dyDescent="0.3">
      <c r="A20" s="6" t="s">
        <v>1244</v>
      </c>
      <c r="B20" s="6" t="s">
        <v>354</v>
      </c>
      <c r="C20" s="6">
        <v>22</v>
      </c>
    </row>
    <row r="21" spans="1:3" x14ac:dyDescent="0.3">
      <c r="A21" s="6"/>
      <c r="B21" s="6" t="s">
        <v>384</v>
      </c>
      <c r="C21" s="6">
        <v>-1</v>
      </c>
    </row>
    <row r="22" spans="1:3" x14ac:dyDescent="0.3">
      <c r="A22" s="6" t="s">
        <v>3040</v>
      </c>
      <c r="B22" s="6" t="s">
        <v>422</v>
      </c>
      <c r="C22" s="6">
        <v>16</v>
      </c>
    </row>
    <row r="23" spans="1:3" x14ac:dyDescent="0.3">
      <c r="A23" s="6"/>
      <c r="B23" s="6" t="s">
        <v>334</v>
      </c>
      <c r="C23" s="6">
        <v>-1</v>
      </c>
    </row>
    <row r="24" spans="1:3" x14ac:dyDescent="0.3">
      <c r="A24" s="6" t="s">
        <v>2221</v>
      </c>
      <c r="B24" s="6" t="s">
        <v>414</v>
      </c>
      <c r="C24" s="6">
        <v>7</v>
      </c>
    </row>
    <row r="25" spans="1:3" x14ac:dyDescent="0.3">
      <c r="A25" s="6"/>
      <c r="B25" s="6" t="s">
        <v>520</v>
      </c>
      <c r="C25" s="6">
        <v>-1</v>
      </c>
    </row>
    <row r="26" spans="1:3" x14ac:dyDescent="0.3">
      <c r="A26" s="6"/>
      <c r="B26" s="6" t="s">
        <v>340</v>
      </c>
      <c r="C26" s="6">
        <v>-1</v>
      </c>
    </row>
    <row r="27" spans="1:3" x14ac:dyDescent="0.3">
      <c r="A27" s="6" t="s">
        <v>3165</v>
      </c>
      <c r="B27" s="6" t="s">
        <v>338</v>
      </c>
      <c r="C27" s="6">
        <v>45</v>
      </c>
    </row>
    <row r="28" spans="1:3" x14ac:dyDescent="0.3">
      <c r="A28" s="6"/>
      <c r="B28" s="6" t="s">
        <v>474</v>
      </c>
      <c r="C28" s="6">
        <v>-1</v>
      </c>
    </row>
    <row r="29" spans="1:3" x14ac:dyDescent="0.3">
      <c r="A29" s="6"/>
      <c r="B29" s="6" t="s">
        <v>422</v>
      </c>
      <c r="C29" s="6">
        <v>-1</v>
      </c>
    </row>
    <row r="30" spans="1:3" x14ac:dyDescent="0.3">
      <c r="A30" s="6"/>
      <c r="B30" s="6" t="s">
        <v>394</v>
      </c>
      <c r="C30" s="6">
        <v>-1</v>
      </c>
    </row>
    <row r="31" spans="1:3" x14ac:dyDescent="0.3">
      <c r="A31" s="6" t="s">
        <v>4592</v>
      </c>
      <c r="B31" s="6" t="s">
        <v>344</v>
      </c>
      <c r="C31" s="6">
        <v>4</v>
      </c>
    </row>
    <row r="32" spans="1:3" x14ac:dyDescent="0.3">
      <c r="A32" s="6"/>
      <c r="B32" s="6" t="s">
        <v>428</v>
      </c>
      <c r="C32" s="6">
        <v>-1</v>
      </c>
    </row>
    <row r="33" spans="1:3" x14ac:dyDescent="0.3">
      <c r="A33" s="6"/>
      <c r="B33" s="6" t="s">
        <v>414</v>
      </c>
      <c r="C33" s="6">
        <v>-1</v>
      </c>
    </row>
    <row r="34" spans="1:3" x14ac:dyDescent="0.3">
      <c r="A34" s="6" t="s">
        <v>1791</v>
      </c>
      <c r="B34" s="6" t="s">
        <v>340</v>
      </c>
      <c r="C34" s="6">
        <v>18</v>
      </c>
    </row>
    <row r="35" spans="1:3" x14ac:dyDescent="0.3">
      <c r="A35" s="6" t="s">
        <v>3955</v>
      </c>
      <c r="B35" s="6" t="s">
        <v>366</v>
      </c>
      <c r="C35" s="6">
        <v>9</v>
      </c>
    </row>
    <row r="36" spans="1:3" x14ac:dyDescent="0.3">
      <c r="A36" s="6" t="s">
        <v>1883</v>
      </c>
      <c r="B36" s="6" t="s">
        <v>372</v>
      </c>
      <c r="C36" s="6">
        <v>45</v>
      </c>
    </row>
    <row r="37" spans="1:3" x14ac:dyDescent="0.3">
      <c r="A37" s="6" t="s">
        <v>4981</v>
      </c>
      <c r="B37" s="6" t="s">
        <v>368</v>
      </c>
      <c r="C37" s="6">
        <v>52</v>
      </c>
    </row>
    <row r="38" spans="1:3" x14ac:dyDescent="0.3">
      <c r="A38" s="6"/>
      <c r="B38" s="6" t="s">
        <v>330</v>
      </c>
      <c r="C38" s="6">
        <v>-1</v>
      </c>
    </row>
    <row r="39" spans="1:3" x14ac:dyDescent="0.3">
      <c r="A39" s="6"/>
      <c r="B39" s="6" t="s">
        <v>334</v>
      </c>
      <c r="C39" s="6">
        <v>-1</v>
      </c>
    </row>
    <row r="40" spans="1:3" x14ac:dyDescent="0.3">
      <c r="A40" s="6" t="s">
        <v>2897</v>
      </c>
      <c r="B40" s="6" t="s">
        <v>368</v>
      </c>
      <c r="C40" s="6">
        <v>18</v>
      </c>
    </row>
    <row r="41" spans="1:3" x14ac:dyDescent="0.3">
      <c r="A41" s="6" t="s">
        <v>4742</v>
      </c>
      <c r="B41" s="6" t="s">
        <v>328</v>
      </c>
      <c r="C41" s="6">
        <v>56</v>
      </c>
    </row>
    <row r="42" spans="1:3" x14ac:dyDescent="0.3">
      <c r="A42" s="6"/>
      <c r="B42" s="6" t="s">
        <v>362</v>
      </c>
      <c r="C42" s="6">
        <v>-1</v>
      </c>
    </row>
    <row r="43" spans="1:3" x14ac:dyDescent="0.3">
      <c r="A43" s="6" t="s">
        <v>2862</v>
      </c>
      <c r="B43" s="6" t="s">
        <v>356</v>
      </c>
      <c r="C43" s="6">
        <v>18</v>
      </c>
    </row>
    <row r="44" spans="1:3" x14ac:dyDescent="0.3">
      <c r="A44" s="6"/>
      <c r="B44" s="6" t="s">
        <v>520</v>
      </c>
      <c r="C44" s="6">
        <v>-1</v>
      </c>
    </row>
    <row r="45" spans="1:3" x14ac:dyDescent="0.3">
      <c r="A45" s="6"/>
      <c r="B45" s="6" t="s">
        <v>474</v>
      </c>
      <c r="C45" s="6">
        <v>-1</v>
      </c>
    </row>
    <row r="46" spans="1:3" x14ac:dyDescent="0.3">
      <c r="A46" s="6"/>
      <c r="B46" s="6" t="s">
        <v>356</v>
      </c>
      <c r="C46" s="6">
        <v>-1</v>
      </c>
    </row>
    <row r="47" spans="1:3" x14ac:dyDescent="0.3">
      <c r="A47" s="6"/>
      <c r="B47" s="6" t="s">
        <v>448</v>
      </c>
      <c r="C47" s="6">
        <v>-1</v>
      </c>
    </row>
    <row r="48" spans="1:3" x14ac:dyDescent="0.3">
      <c r="A48" s="6"/>
      <c r="B48" s="6" t="s">
        <v>398</v>
      </c>
      <c r="C48" s="6">
        <v>-1</v>
      </c>
    </row>
    <row r="49" spans="1:3" x14ac:dyDescent="0.3">
      <c r="A49" s="6"/>
      <c r="B49" s="6" t="s">
        <v>350</v>
      </c>
      <c r="C49" s="6">
        <v>-1</v>
      </c>
    </row>
    <row r="50" spans="1:3" x14ac:dyDescent="0.3">
      <c r="A50" s="6"/>
      <c r="B50" s="6" t="s">
        <v>478</v>
      </c>
      <c r="C50" s="6">
        <v>-1</v>
      </c>
    </row>
    <row r="51" spans="1:3" x14ac:dyDescent="0.3">
      <c r="A51" s="6"/>
      <c r="B51" s="6" t="s">
        <v>382</v>
      </c>
      <c r="C51" s="6">
        <v>-1</v>
      </c>
    </row>
    <row r="52" spans="1:3" x14ac:dyDescent="0.3">
      <c r="A52" s="6"/>
      <c r="B52" s="6" t="s">
        <v>448</v>
      </c>
      <c r="C52" s="6">
        <v>-1</v>
      </c>
    </row>
    <row r="53" spans="1:3" x14ac:dyDescent="0.3">
      <c r="A53" s="6"/>
      <c r="B53" s="6" t="s">
        <v>362</v>
      </c>
      <c r="C53" s="6">
        <v>-1</v>
      </c>
    </row>
    <row r="54" spans="1:3" x14ac:dyDescent="0.3">
      <c r="A54" s="6" t="s">
        <v>3956</v>
      </c>
      <c r="B54" s="6" t="s">
        <v>366</v>
      </c>
      <c r="C54" s="6">
        <v>45</v>
      </c>
    </row>
    <row r="55" spans="1:3" x14ac:dyDescent="0.3">
      <c r="A55" s="6" t="s">
        <v>4552</v>
      </c>
      <c r="B55" s="6" t="s">
        <v>364</v>
      </c>
      <c r="C55" s="6">
        <v>43</v>
      </c>
    </row>
    <row r="56" spans="1:3" x14ac:dyDescent="0.3">
      <c r="A56" s="6"/>
      <c r="B56" s="6" t="s">
        <v>478</v>
      </c>
      <c r="C56" s="6">
        <v>-1</v>
      </c>
    </row>
    <row r="57" spans="1:3" x14ac:dyDescent="0.3">
      <c r="A57" s="6"/>
      <c r="B57" s="6" t="s">
        <v>350</v>
      </c>
      <c r="C57" s="6">
        <v>-1</v>
      </c>
    </row>
    <row r="58" spans="1:3" x14ac:dyDescent="0.3">
      <c r="A58" s="6" t="s">
        <v>2719</v>
      </c>
      <c r="B58" s="6" t="s">
        <v>328</v>
      </c>
      <c r="C58" s="6">
        <v>53</v>
      </c>
    </row>
    <row r="59" spans="1:3" x14ac:dyDescent="0.3">
      <c r="A59" s="6" t="s">
        <v>5070</v>
      </c>
      <c r="B59" s="6" t="s">
        <v>668</v>
      </c>
      <c r="C59" s="6">
        <v>33</v>
      </c>
    </row>
    <row r="60" spans="1:3" x14ac:dyDescent="0.3">
      <c r="A60" s="6"/>
      <c r="B60" s="6" t="s">
        <v>444</v>
      </c>
      <c r="C60" s="6">
        <v>-1</v>
      </c>
    </row>
    <row r="61" spans="1:3" x14ac:dyDescent="0.3">
      <c r="A61" s="6" t="s">
        <v>4267</v>
      </c>
      <c r="B61" s="6" t="s">
        <v>372</v>
      </c>
      <c r="C61" s="6">
        <v>35</v>
      </c>
    </row>
  </sheetData>
  <pageMargins left="0.7" right="0.7" top="0.75" bottom="0.75" header="0.3" footer="0.3"/>
  <tableParts count="1">
    <tablePart r:id="rId1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DB7EB-A19E-4A39-AE7B-6A81046A0985}">
  <dimension ref="A1:C61"/>
  <sheetViews>
    <sheetView topLeftCell="A58" workbookViewId="0">
      <selection activeCell="B62" sqref="B62"/>
    </sheetView>
  </sheetViews>
  <sheetFormatPr defaultRowHeight="14.4" x14ac:dyDescent="0.3"/>
  <cols>
    <col min="1" max="1" width="23.6640625" bestFit="1" customWidth="1"/>
    <col min="2" max="2" width="14" bestFit="1" customWidth="1"/>
    <col min="3" max="3" width="14.109375" bestFit="1" customWidth="1"/>
  </cols>
  <sheetData>
    <row r="1" spans="1:3" x14ac:dyDescent="0.3">
      <c r="A1" t="s">
        <v>832</v>
      </c>
      <c r="B1" t="s">
        <v>1</v>
      </c>
      <c r="C1" t="s">
        <v>899</v>
      </c>
    </row>
    <row r="2" spans="1:3" x14ac:dyDescent="0.3">
      <c r="A2" s="6" t="s">
        <v>1844</v>
      </c>
      <c r="B2" s="6" t="s">
        <v>332</v>
      </c>
      <c r="C2" s="6">
        <v>22</v>
      </c>
    </row>
    <row r="3" spans="1:3" x14ac:dyDescent="0.3">
      <c r="A3" s="6" t="s">
        <v>2081</v>
      </c>
      <c r="B3" s="6" t="s">
        <v>332</v>
      </c>
      <c r="C3" s="6">
        <v>36</v>
      </c>
    </row>
    <row r="4" spans="1:3" x14ac:dyDescent="0.3">
      <c r="A4" s="6"/>
      <c r="B4" s="6" t="s">
        <v>700</v>
      </c>
      <c r="C4" s="6">
        <v>-1</v>
      </c>
    </row>
    <row r="5" spans="1:3" x14ac:dyDescent="0.3">
      <c r="A5" s="6"/>
      <c r="B5" s="6" t="s">
        <v>328</v>
      </c>
      <c r="C5" s="6">
        <v>-1</v>
      </c>
    </row>
    <row r="6" spans="1:3" x14ac:dyDescent="0.3">
      <c r="A6" s="6"/>
      <c r="B6" s="6" t="s">
        <v>700</v>
      </c>
      <c r="C6" s="6">
        <v>-1</v>
      </c>
    </row>
    <row r="7" spans="1:3" x14ac:dyDescent="0.3">
      <c r="A7" s="6"/>
      <c r="B7" s="6" t="s">
        <v>344</v>
      </c>
      <c r="C7" s="6">
        <v>-1</v>
      </c>
    </row>
    <row r="8" spans="1:3" x14ac:dyDescent="0.3">
      <c r="A8" s="6" t="s">
        <v>1242</v>
      </c>
      <c r="B8" s="6" t="s">
        <v>354</v>
      </c>
      <c r="C8" s="6">
        <v>4</v>
      </c>
    </row>
    <row r="9" spans="1:3" x14ac:dyDescent="0.3">
      <c r="A9" s="6"/>
      <c r="B9" s="6" t="s">
        <v>402</v>
      </c>
      <c r="C9" s="6">
        <v>-1</v>
      </c>
    </row>
    <row r="10" spans="1:3" x14ac:dyDescent="0.3">
      <c r="A10" s="6" t="s">
        <v>2093</v>
      </c>
      <c r="B10" s="6" t="s">
        <v>332</v>
      </c>
      <c r="C10" s="6">
        <v>8</v>
      </c>
    </row>
    <row r="11" spans="1:3" x14ac:dyDescent="0.3">
      <c r="A11" s="6" t="s">
        <v>4171</v>
      </c>
      <c r="B11" s="6" t="s">
        <v>428</v>
      </c>
      <c r="C11" s="6">
        <v>54</v>
      </c>
    </row>
    <row r="12" spans="1:3" x14ac:dyDescent="0.3">
      <c r="A12" s="6" t="s">
        <v>1245</v>
      </c>
      <c r="B12" s="6" t="s">
        <v>354</v>
      </c>
      <c r="C12" s="6">
        <v>22</v>
      </c>
    </row>
    <row r="13" spans="1:3" x14ac:dyDescent="0.3">
      <c r="A13" s="6"/>
      <c r="B13" s="6" t="s">
        <v>478</v>
      </c>
      <c r="C13" s="6">
        <v>-1</v>
      </c>
    </row>
    <row r="14" spans="1:3" x14ac:dyDescent="0.3">
      <c r="A14" s="6"/>
      <c r="B14" s="6" t="s">
        <v>700</v>
      </c>
      <c r="C14" s="6">
        <v>-1</v>
      </c>
    </row>
    <row r="15" spans="1:3" x14ac:dyDescent="0.3">
      <c r="A15" s="6"/>
      <c r="B15" s="6" t="s">
        <v>384</v>
      </c>
      <c r="C15" s="6">
        <v>-1</v>
      </c>
    </row>
    <row r="16" spans="1:3" x14ac:dyDescent="0.3">
      <c r="A16" s="6"/>
      <c r="B16" s="6" t="s">
        <v>328</v>
      </c>
      <c r="C16" s="6">
        <v>-1</v>
      </c>
    </row>
    <row r="17" spans="1:3" x14ac:dyDescent="0.3">
      <c r="A17" s="6"/>
      <c r="B17" s="6" t="s">
        <v>474</v>
      </c>
      <c r="C17" s="6">
        <v>-1</v>
      </c>
    </row>
    <row r="18" spans="1:3" x14ac:dyDescent="0.3">
      <c r="A18" s="6" t="s">
        <v>1766</v>
      </c>
      <c r="B18" s="6" t="s">
        <v>428</v>
      </c>
      <c r="C18" s="6">
        <v>4</v>
      </c>
    </row>
    <row r="19" spans="1:3" x14ac:dyDescent="0.3">
      <c r="A19" s="6"/>
      <c r="B19" s="6" t="s">
        <v>338</v>
      </c>
      <c r="C19" s="6">
        <v>-1</v>
      </c>
    </row>
    <row r="20" spans="1:3" x14ac:dyDescent="0.3">
      <c r="A20" s="6"/>
      <c r="B20" s="6" t="s">
        <v>478</v>
      </c>
      <c r="C20" s="6">
        <v>-1</v>
      </c>
    </row>
    <row r="21" spans="1:3" x14ac:dyDescent="0.3">
      <c r="A21" s="6"/>
      <c r="B21" s="6" t="s">
        <v>338</v>
      </c>
      <c r="C21" s="6">
        <v>-1</v>
      </c>
    </row>
    <row r="22" spans="1:3" x14ac:dyDescent="0.3">
      <c r="A22" s="6" t="s">
        <v>4879</v>
      </c>
      <c r="B22" s="6" t="s">
        <v>330</v>
      </c>
      <c r="C22" s="6">
        <v>49</v>
      </c>
    </row>
    <row r="23" spans="1:3" x14ac:dyDescent="0.3">
      <c r="A23" s="6" t="s">
        <v>1326</v>
      </c>
      <c r="B23" s="6" t="s">
        <v>596</v>
      </c>
      <c r="C23" s="6">
        <v>59</v>
      </c>
    </row>
    <row r="24" spans="1:3" x14ac:dyDescent="0.3">
      <c r="A24" s="6"/>
      <c r="B24" s="6" t="s">
        <v>402</v>
      </c>
      <c r="C24" s="6">
        <v>-1</v>
      </c>
    </row>
    <row r="25" spans="1:3" x14ac:dyDescent="0.3">
      <c r="A25" s="6"/>
      <c r="B25" s="6" t="s">
        <v>422</v>
      </c>
      <c r="C25" s="6">
        <v>-1</v>
      </c>
    </row>
    <row r="26" spans="1:3" x14ac:dyDescent="0.3">
      <c r="A26" s="6" t="s">
        <v>1813</v>
      </c>
      <c r="B26" s="6" t="s">
        <v>448</v>
      </c>
      <c r="C26" s="6">
        <v>29</v>
      </c>
    </row>
    <row r="27" spans="1:3" x14ac:dyDescent="0.3">
      <c r="A27" s="6"/>
      <c r="B27" s="6" t="s">
        <v>350</v>
      </c>
      <c r="C27" s="6">
        <v>-1</v>
      </c>
    </row>
    <row r="28" spans="1:3" x14ac:dyDescent="0.3">
      <c r="A28" s="6"/>
      <c r="B28" s="6" t="s">
        <v>334</v>
      </c>
      <c r="C28" s="6">
        <v>-1</v>
      </c>
    </row>
    <row r="29" spans="1:3" x14ac:dyDescent="0.3">
      <c r="A29" s="6"/>
      <c r="B29" s="6" t="s">
        <v>334</v>
      </c>
      <c r="C29" s="6">
        <v>-1</v>
      </c>
    </row>
    <row r="30" spans="1:3" x14ac:dyDescent="0.3">
      <c r="A30" s="6"/>
      <c r="B30" s="6" t="s">
        <v>444</v>
      </c>
      <c r="C30" s="6">
        <v>-1</v>
      </c>
    </row>
    <row r="31" spans="1:3" x14ac:dyDescent="0.3">
      <c r="A31" s="6"/>
      <c r="B31" s="6" t="s">
        <v>344</v>
      </c>
      <c r="C31" s="6">
        <v>-1</v>
      </c>
    </row>
    <row r="32" spans="1:3" x14ac:dyDescent="0.3">
      <c r="A32" s="6"/>
      <c r="B32" s="6" t="s">
        <v>414</v>
      </c>
      <c r="C32" s="6">
        <v>-1</v>
      </c>
    </row>
    <row r="33" spans="1:3" x14ac:dyDescent="0.3">
      <c r="A33" s="6" t="s">
        <v>2887</v>
      </c>
      <c r="B33" s="6" t="s">
        <v>368</v>
      </c>
      <c r="C33" s="6">
        <v>18</v>
      </c>
    </row>
    <row r="34" spans="1:3" x14ac:dyDescent="0.3">
      <c r="A34" s="6"/>
      <c r="B34" s="6" t="s">
        <v>414</v>
      </c>
      <c r="C34" s="6">
        <v>-1</v>
      </c>
    </row>
    <row r="35" spans="1:3" x14ac:dyDescent="0.3">
      <c r="A35" s="6"/>
      <c r="B35" s="6" t="s">
        <v>412</v>
      </c>
      <c r="C35" s="6">
        <v>-1</v>
      </c>
    </row>
    <row r="36" spans="1:3" x14ac:dyDescent="0.3">
      <c r="A36" s="6"/>
      <c r="B36" s="6" t="s">
        <v>330</v>
      </c>
      <c r="C36" s="6">
        <v>-1</v>
      </c>
    </row>
    <row r="37" spans="1:3" x14ac:dyDescent="0.3">
      <c r="A37" s="6"/>
      <c r="B37" s="6" t="s">
        <v>670</v>
      </c>
      <c r="C37" s="6">
        <v>-1</v>
      </c>
    </row>
    <row r="38" spans="1:3" x14ac:dyDescent="0.3">
      <c r="A38" s="6"/>
      <c r="B38" s="6" t="s">
        <v>444</v>
      </c>
      <c r="C38" s="6">
        <v>-1</v>
      </c>
    </row>
    <row r="39" spans="1:3" x14ac:dyDescent="0.3">
      <c r="A39" s="6"/>
      <c r="B39" s="6" t="s">
        <v>596</v>
      </c>
      <c r="C39" s="6">
        <v>-1</v>
      </c>
    </row>
    <row r="40" spans="1:3" x14ac:dyDescent="0.3">
      <c r="A40" s="6"/>
      <c r="B40" s="6" t="s">
        <v>520</v>
      </c>
      <c r="C40" s="6">
        <v>-1</v>
      </c>
    </row>
    <row r="41" spans="1:3" x14ac:dyDescent="0.3">
      <c r="A41" s="6" t="s">
        <v>2890</v>
      </c>
      <c r="B41" s="6" t="s">
        <v>368</v>
      </c>
      <c r="C41" s="6">
        <v>8</v>
      </c>
    </row>
    <row r="42" spans="1:3" x14ac:dyDescent="0.3">
      <c r="A42" s="6"/>
      <c r="B42" s="6" t="s">
        <v>448</v>
      </c>
      <c r="C42" s="6">
        <v>-1</v>
      </c>
    </row>
    <row r="43" spans="1:3" x14ac:dyDescent="0.3">
      <c r="A43" s="6"/>
      <c r="B43" s="6" t="s">
        <v>358</v>
      </c>
      <c r="C43" s="6">
        <v>-1</v>
      </c>
    </row>
    <row r="44" spans="1:3" x14ac:dyDescent="0.3">
      <c r="A44" s="6"/>
      <c r="B44" s="6" t="s">
        <v>446</v>
      </c>
      <c r="C44" s="6">
        <v>-1</v>
      </c>
    </row>
    <row r="45" spans="1:3" x14ac:dyDescent="0.3">
      <c r="A45" s="6"/>
      <c r="B45" s="6" t="s">
        <v>350</v>
      </c>
      <c r="C45" s="6">
        <v>-1</v>
      </c>
    </row>
    <row r="46" spans="1:3" x14ac:dyDescent="0.3">
      <c r="A46" s="6"/>
      <c r="B46" s="6" t="s">
        <v>364</v>
      </c>
      <c r="C46" s="6">
        <v>-1</v>
      </c>
    </row>
    <row r="47" spans="1:3" x14ac:dyDescent="0.3">
      <c r="A47" s="6"/>
      <c r="B47" s="6" t="s">
        <v>442</v>
      </c>
      <c r="C47" s="6">
        <v>-1</v>
      </c>
    </row>
    <row r="48" spans="1:3" x14ac:dyDescent="0.3">
      <c r="A48" s="6"/>
      <c r="B48" s="6" t="s">
        <v>422</v>
      </c>
      <c r="C48" s="6">
        <v>-1</v>
      </c>
    </row>
    <row r="49" spans="1:3" x14ac:dyDescent="0.3">
      <c r="A49" s="6"/>
      <c r="B49" s="6" t="s">
        <v>362</v>
      </c>
      <c r="C49" s="6">
        <v>-1</v>
      </c>
    </row>
    <row r="50" spans="1:3" x14ac:dyDescent="0.3">
      <c r="A50" s="6" t="s">
        <v>4240</v>
      </c>
      <c r="B50" s="6" t="s">
        <v>356</v>
      </c>
      <c r="C50" s="6">
        <v>53</v>
      </c>
    </row>
    <row r="51" spans="1:3" x14ac:dyDescent="0.3">
      <c r="A51" s="6"/>
      <c r="B51" s="6" t="s">
        <v>382</v>
      </c>
      <c r="C51" s="6">
        <v>-1</v>
      </c>
    </row>
    <row r="52" spans="1:3" x14ac:dyDescent="0.3">
      <c r="A52" s="6" t="s">
        <v>1468</v>
      </c>
      <c r="B52" s="6" t="s">
        <v>372</v>
      </c>
      <c r="C52" s="6">
        <v>57</v>
      </c>
    </row>
    <row r="53" spans="1:3" x14ac:dyDescent="0.3">
      <c r="A53" s="6" t="s">
        <v>4797</v>
      </c>
      <c r="B53" s="6" t="s">
        <v>694</v>
      </c>
      <c r="C53" s="6">
        <v>55</v>
      </c>
    </row>
    <row r="54" spans="1:3" x14ac:dyDescent="0.3">
      <c r="A54" s="6"/>
      <c r="B54" s="6" t="s">
        <v>442</v>
      </c>
      <c r="C54" s="6">
        <v>-1</v>
      </c>
    </row>
    <row r="55" spans="1:3" x14ac:dyDescent="0.3">
      <c r="A55" s="6"/>
      <c r="B55" s="6" t="s">
        <v>384</v>
      </c>
      <c r="C55" s="6">
        <v>-1</v>
      </c>
    </row>
    <row r="56" spans="1:3" x14ac:dyDescent="0.3">
      <c r="A56" s="6"/>
      <c r="B56" s="6" t="s">
        <v>670</v>
      </c>
      <c r="C56" s="6">
        <v>-1</v>
      </c>
    </row>
    <row r="57" spans="1:3" x14ac:dyDescent="0.3">
      <c r="A57" s="6" t="s">
        <v>1882</v>
      </c>
      <c r="B57" s="6" t="s">
        <v>372</v>
      </c>
      <c r="C57" s="6">
        <v>1001</v>
      </c>
    </row>
    <row r="58" spans="1:3" x14ac:dyDescent="0.3">
      <c r="A58" s="6" t="s">
        <v>2503</v>
      </c>
      <c r="B58" s="6" t="s">
        <v>364</v>
      </c>
      <c r="C58" s="6">
        <v>47</v>
      </c>
    </row>
    <row r="59" spans="1:3" x14ac:dyDescent="0.3">
      <c r="A59" s="6" t="s">
        <v>4582</v>
      </c>
      <c r="B59" s="6" t="s">
        <v>378</v>
      </c>
      <c r="C59" s="6">
        <v>52</v>
      </c>
    </row>
    <row r="60" spans="1:3" x14ac:dyDescent="0.3">
      <c r="A60" s="6"/>
      <c r="B60" s="6" t="s">
        <v>358</v>
      </c>
      <c r="C60" s="6">
        <v>-1</v>
      </c>
    </row>
    <row r="61" spans="1:3" x14ac:dyDescent="0.3">
      <c r="A61" s="6"/>
      <c r="B61" s="6" t="s">
        <v>694</v>
      </c>
      <c r="C61" s="6">
        <v>-1</v>
      </c>
    </row>
  </sheetData>
  <pageMargins left="0.7" right="0.7" top="0.75" bottom="0.75" header="0.3" footer="0.3"/>
  <tableParts count="1">
    <tablePart r:id="rId1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CCB272-F388-4CF2-A337-87DF42213F11}">
  <dimension ref="A1:J25"/>
  <sheetViews>
    <sheetView topLeftCell="E19" workbookViewId="0">
      <selection activeCell="F26" sqref="F26"/>
    </sheetView>
  </sheetViews>
  <sheetFormatPr defaultRowHeight="14.4" x14ac:dyDescent="0.3"/>
  <cols>
    <col min="1" max="1" width="44.88671875" bestFit="1" customWidth="1"/>
    <col min="2" max="2" width="89.33203125" bestFit="1" customWidth="1"/>
    <col min="3" max="3" width="61.33203125" bestFit="1" customWidth="1"/>
    <col min="4" max="4" width="109.6640625" bestFit="1" customWidth="1"/>
    <col min="5" max="5" width="65.33203125" bestFit="1" customWidth="1"/>
    <col min="6" max="6" width="11.33203125" bestFit="1" customWidth="1"/>
    <col min="7" max="7" width="19.88671875" bestFit="1" customWidth="1"/>
    <col min="8" max="8" width="22.5546875" bestFit="1" customWidth="1"/>
    <col min="9" max="9" width="17" bestFit="1" customWidth="1"/>
    <col min="10" max="10" width="14.77734375" bestFit="1" customWidth="1"/>
  </cols>
  <sheetData>
    <row r="1" spans="1:10" x14ac:dyDescent="0.3">
      <c r="A1" t="s">
        <v>838</v>
      </c>
      <c r="B1" t="s">
        <v>841</v>
      </c>
      <c r="C1" t="s">
        <v>842</v>
      </c>
      <c r="D1" t="s">
        <v>843</v>
      </c>
      <c r="E1" t="s">
        <v>844</v>
      </c>
      <c r="F1" t="s">
        <v>1</v>
      </c>
      <c r="G1" t="s">
        <v>900</v>
      </c>
      <c r="H1" t="s">
        <v>901</v>
      </c>
      <c r="I1" t="s">
        <v>1212</v>
      </c>
      <c r="J1" t="s">
        <v>1213</v>
      </c>
    </row>
    <row r="2" spans="1:10" x14ac:dyDescent="0.3">
      <c r="A2" s="6" t="s">
        <v>3269</v>
      </c>
      <c r="B2" s="6"/>
      <c r="C2" s="6" t="s">
        <v>3859</v>
      </c>
      <c r="D2" s="6" t="s">
        <v>1435</v>
      </c>
      <c r="E2" s="6" t="s">
        <v>3755</v>
      </c>
      <c r="F2" s="6" t="s">
        <v>344</v>
      </c>
      <c r="G2" s="6">
        <v>8</v>
      </c>
      <c r="H2" s="6"/>
      <c r="I2" s="6">
        <f>Table919496[[#This Row],[Total Athletes]]-(LEN(Table919496[[#This Row],[Goalkeepers]])-LEN(SUBSTITUTE(Table919496[[#This Row],[Goalkeepers]],"/","")))-(LEN(Table919496[[#This Row],[Wingmans]])-LEN(SUBSTITUTE(Table919496[[#This Row],[Wingmans]],"/","")))-(LEN(Table919496[[#This Row],[Centre Backcourts]])-LEN(SUBSTITUTE(Table919496[[#This Row],[Centre Backcourts]],"/","")))-(LEN(Table919496[[#This Row],[Left/Right Backcourts]])-LEN(SUBSTITUTE(Table919496[[#This Row],[Left/Right Backcourts]],"/","")))-(LEN(Table919496[[#This Row],[Pivots]])-LEN(SUBSTITUTE(Table919496[[#This Row],[Pivots]],"/","")))-5</f>
        <v>8</v>
      </c>
      <c r="J2" s="6">
        <v>16</v>
      </c>
    </row>
    <row r="3" spans="1:10" x14ac:dyDescent="0.3">
      <c r="A3" s="6" t="s">
        <v>3860</v>
      </c>
      <c r="B3" s="6" t="s">
        <v>3251</v>
      </c>
      <c r="C3" s="6" t="s">
        <v>3726</v>
      </c>
      <c r="D3" s="6" t="s">
        <v>3753</v>
      </c>
      <c r="E3" s="6" t="s">
        <v>4391</v>
      </c>
      <c r="F3" s="6" t="s">
        <v>344</v>
      </c>
      <c r="G3" s="6"/>
      <c r="H3" s="6">
        <v>2</v>
      </c>
      <c r="I3" s="6">
        <f>Table919496[[#This Row],[Total Athletes]]-(LEN(Table919496[[#This Row],[Goalkeepers]])-LEN(SUBSTITUTE(Table919496[[#This Row],[Goalkeepers]],"/","")))-(LEN(Table919496[[#This Row],[Wingmans]])-LEN(SUBSTITUTE(Table919496[[#This Row],[Wingmans]],"/","")))-(LEN(Table919496[[#This Row],[Centre Backcourts]])-LEN(SUBSTITUTE(Table919496[[#This Row],[Centre Backcourts]],"/","")))-(LEN(Table919496[[#This Row],[Left/Right Backcourts]])-LEN(SUBSTITUTE(Table919496[[#This Row],[Left/Right Backcourts]],"/","")))-(LEN(Table919496[[#This Row],[Pivots]])-LEN(SUBSTITUTE(Table919496[[#This Row],[Pivots]],"/","")))-5</f>
        <v>8</v>
      </c>
      <c r="J3" s="6">
        <v>17</v>
      </c>
    </row>
    <row r="4" spans="1:10" x14ac:dyDescent="0.3">
      <c r="A4" s="6"/>
      <c r="B4" s="6"/>
      <c r="C4" s="6"/>
      <c r="D4" s="6" t="s">
        <v>3372</v>
      </c>
      <c r="E4" s="6" t="s">
        <v>2220</v>
      </c>
      <c r="F4" s="6" t="s">
        <v>414</v>
      </c>
      <c r="G4" s="6"/>
      <c r="H4" s="6">
        <v>3</v>
      </c>
      <c r="I4" s="6">
        <f>Table919496[[#This Row],[Total Athletes]]-(LEN(Table919496[[#This Row],[Goalkeepers]])-LEN(SUBSTITUTE(Table919496[[#This Row],[Goalkeepers]],"/","")))-(LEN(Table919496[[#This Row],[Wingmans]])-LEN(SUBSTITUTE(Table919496[[#This Row],[Wingmans]],"/","")))-(LEN(Table919496[[#This Row],[Centre Backcourts]])-LEN(SUBSTITUTE(Table919496[[#This Row],[Centre Backcourts]],"/","")))-(LEN(Table919496[[#This Row],[Left/Right Backcourts]])-LEN(SUBSTITUTE(Table919496[[#This Row],[Left/Right Backcourts]],"/","")))-(LEN(Table919496[[#This Row],[Pivots]])-LEN(SUBSTITUTE(Table919496[[#This Row],[Pivots]],"/","")))-5</f>
        <v>9</v>
      </c>
      <c r="J4" s="6">
        <v>15</v>
      </c>
    </row>
    <row r="5" spans="1:10" x14ac:dyDescent="0.3">
      <c r="A5" s="6"/>
      <c r="B5" s="6" t="s">
        <v>3370</v>
      </c>
      <c r="C5" s="6" t="s">
        <v>3374</v>
      </c>
      <c r="D5" s="6"/>
      <c r="E5" s="6" t="s">
        <v>2224</v>
      </c>
      <c r="F5" s="6" t="s">
        <v>414</v>
      </c>
      <c r="G5" s="6">
        <v>1</v>
      </c>
      <c r="H5" s="6"/>
      <c r="I5" s="6">
        <f>Table919496[[#This Row],[Total Athletes]]-(LEN(Table919496[[#This Row],[Goalkeepers]])-LEN(SUBSTITUTE(Table919496[[#This Row],[Goalkeepers]],"/","")))-(LEN(Table919496[[#This Row],[Wingmans]])-LEN(SUBSTITUTE(Table919496[[#This Row],[Wingmans]],"/","")))-(LEN(Table919496[[#This Row],[Centre Backcourts]])-LEN(SUBSTITUTE(Table919496[[#This Row],[Centre Backcourts]],"/","")))-(LEN(Table919496[[#This Row],[Left/Right Backcourts]])-LEN(SUBSTITUTE(Table919496[[#This Row],[Left/Right Backcourts]],"/","")))-(LEN(Table919496[[#This Row],[Pivots]])-LEN(SUBSTITUTE(Table919496[[#This Row],[Pivots]],"/","")))-5</f>
        <v>8</v>
      </c>
      <c r="J5" s="6">
        <v>16</v>
      </c>
    </row>
    <row r="6" spans="1:10" x14ac:dyDescent="0.3">
      <c r="A6" s="6"/>
      <c r="B6" s="6"/>
      <c r="C6" s="6"/>
      <c r="D6" s="6"/>
      <c r="E6" s="6"/>
      <c r="F6" s="6" t="s">
        <v>700</v>
      </c>
      <c r="G6" s="6"/>
      <c r="H6" s="6">
        <v>-1</v>
      </c>
      <c r="I6" s="6">
        <f>Table919496[[#This Row],[Total Athletes]]-(LEN(Table919496[[#This Row],[Goalkeepers]])-LEN(SUBSTITUTE(Table919496[[#This Row],[Goalkeepers]],"/","")))-(LEN(Table919496[[#This Row],[Wingmans]])-LEN(SUBSTITUTE(Table919496[[#This Row],[Wingmans]],"/","")))-(LEN(Table919496[[#This Row],[Centre Backcourts]])-LEN(SUBSTITUTE(Table919496[[#This Row],[Centre Backcourts]],"/","")))-(LEN(Table919496[[#This Row],[Left/Right Backcourts]])-LEN(SUBSTITUTE(Table919496[[#This Row],[Left/Right Backcourts]],"/","")))-(LEN(Table919496[[#This Row],[Pivots]])-LEN(SUBSTITUTE(Table919496[[#This Row],[Pivots]],"/","")))-5</f>
        <v>-5</v>
      </c>
      <c r="J6" s="6"/>
    </row>
    <row r="7" spans="1:10" x14ac:dyDescent="0.3">
      <c r="A7" s="6"/>
      <c r="B7" s="6"/>
      <c r="C7" s="6"/>
      <c r="D7" s="6"/>
      <c r="E7" s="6"/>
      <c r="F7" s="6" t="s">
        <v>502</v>
      </c>
      <c r="G7" s="6"/>
      <c r="H7" s="6">
        <v>-1</v>
      </c>
      <c r="I7" s="6">
        <f>Table919496[[#This Row],[Total Athletes]]-(LEN(Table919496[[#This Row],[Goalkeepers]])-LEN(SUBSTITUTE(Table919496[[#This Row],[Goalkeepers]],"/","")))-(LEN(Table919496[[#This Row],[Wingmans]])-LEN(SUBSTITUTE(Table919496[[#This Row],[Wingmans]],"/","")))-(LEN(Table919496[[#This Row],[Centre Backcourts]])-LEN(SUBSTITUTE(Table919496[[#This Row],[Centre Backcourts]],"/","")))-(LEN(Table919496[[#This Row],[Left/Right Backcourts]])-LEN(SUBSTITUTE(Table919496[[#This Row],[Left/Right Backcourts]],"/","")))-(LEN(Table919496[[#This Row],[Pivots]])-LEN(SUBSTITUTE(Table919496[[#This Row],[Pivots]],"/","")))-5</f>
        <v>-5</v>
      </c>
      <c r="J7" s="6"/>
    </row>
    <row r="8" spans="1:10" x14ac:dyDescent="0.3">
      <c r="A8" s="6"/>
      <c r="B8" s="6" t="s">
        <v>4078</v>
      </c>
      <c r="C8" s="6" t="s">
        <v>3302</v>
      </c>
      <c r="D8" s="6" t="s">
        <v>1340</v>
      </c>
      <c r="E8" s="6" t="s">
        <v>2777</v>
      </c>
      <c r="F8" s="6" t="s">
        <v>428</v>
      </c>
      <c r="G8" s="6">
        <v>11</v>
      </c>
      <c r="H8" s="6"/>
      <c r="I8" s="6">
        <f>Table919496[[#This Row],[Total Athletes]]-(LEN(Table919496[[#This Row],[Goalkeepers]])-LEN(SUBSTITUTE(Table919496[[#This Row],[Goalkeepers]],"/","")))-(LEN(Table919496[[#This Row],[Wingmans]])-LEN(SUBSTITUTE(Table919496[[#This Row],[Wingmans]],"/","")))-(LEN(Table919496[[#This Row],[Centre Backcourts]])-LEN(SUBSTITUTE(Table919496[[#This Row],[Centre Backcourts]],"/","")))-(LEN(Table919496[[#This Row],[Left/Right Backcourts]])-LEN(SUBSTITUTE(Table919496[[#This Row],[Left/Right Backcourts]],"/","")))-(LEN(Table919496[[#This Row],[Pivots]])-LEN(SUBSTITUTE(Table919496[[#This Row],[Pivots]],"/","")))-5</f>
        <v>9</v>
      </c>
      <c r="J8" s="6">
        <v>14</v>
      </c>
    </row>
    <row r="9" spans="1:10" x14ac:dyDescent="0.3">
      <c r="A9" s="6" t="s">
        <v>3612</v>
      </c>
      <c r="B9" s="6" t="s">
        <v>4923</v>
      </c>
      <c r="C9" s="6"/>
      <c r="D9" s="6" t="s">
        <v>4501</v>
      </c>
      <c r="E9" s="6" t="s">
        <v>3046</v>
      </c>
      <c r="F9" s="6" t="s">
        <v>336</v>
      </c>
      <c r="G9" s="6"/>
      <c r="H9" s="6">
        <v>7</v>
      </c>
      <c r="I9" s="6">
        <f>Table919496[[#This Row],[Total Athletes]]-(LEN(Table919496[[#This Row],[Goalkeepers]])-LEN(SUBSTITUTE(Table919496[[#This Row],[Goalkeepers]],"/","")))-(LEN(Table919496[[#This Row],[Wingmans]])-LEN(SUBSTITUTE(Table919496[[#This Row],[Wingmans]],"/","")))-(LEN(Table919496[[#This Row],[Centre Backcourts]])-LEN(SUBSTITUTE(Table919496[[#This Row],[Centre Backcourts]],"/","")))-(LEN(Table919496[[#This Row],[Left/Right Backcourts]])-LEN(SUBSTITUTE(Table919496[[#This Row],[Left/Right Backcourts]],"/","")))-(LEN(Table919496[[#This Row],[Pivots]])-LEN(SUBSTITUTE(Table919496[[#This Row],[Pivots]],"/","")))-5</f>
        <v>5</v>
      </c>
      <c r="J9" s="6">
        <v>16</v>
      </c>
    </row>
    <row r="10" spans="1:10" x14ac:dyDescent="0.3">
      <c r="A10" s="6" t="s">
        <v>3833</v>
      </c>
      <c r="B10" s="6" t="s">
        <v>3842</v>
      </c>
      <c r="C10" s="6" t="s">
        <v>3848</v>
      </c>
      <c r="D10" s="6" t="s">
        <v>3841</v>
      </c>
      <c r="E10" s="6"/>
      <c r="F10" s="6" t="s">
        <v>340</v>
      </c>
      <c r="G10" s="6">
        <v>12</v>
      </c>
      <c r="H10" s="6"/>
      <c r="I10" s="6">
        <f>Table919496[[#This Row],[Total Athletes]]-(LEN(Table919496[[#This Row],[Goalkeepers]])-LEN(SUBSTITUTE(Table919496[[#This Row],[Goalkeepers]],"/","")))-(LEN(Table919496[[#This Row],[Wingmans]])-LEN(SUBSTITUTE(Table919496[[#This Row],[Wingmans]],"/","")))-(LEN(Table919496[[#This Row],[Centre Backcourts]])-LEN(SUBSTITUTE(Table919496[[#This Row],[Centre Backcourts]],"/","")))-(LEN(Table919496[[#This Row],[Left/Right Backcourts]])-LEN(SUBSTITUTE(Table919496[[#This Row],[Left/Right Backcourts]],"/","")))-(LEN(Table919496[[#This Row],[Pivots]])-LEN(SUBSTITUTE(Table919496[[#This Row],[Pivots]],"/","")))-5</f>
        <v>4</v>
      </c>
      <c r="J10" s="6">
        <v>15</v>
      </c>
    </row>
    <row r="11" spans="1:10" x14ac:dyDescent="0.3">
      <c r="A11" s="6" t="s">
        <v>5015</v>
      </c>
      <c r="B11" s="6" t="s">
        <v>5014</v>
      </c>
      <c r="C11" s="6" t="s">
        <v>5004</v>
      </c>
      <c r="D11" s="6" t="s">
        <v>3665</v>
      </c>
      <c r="E11" s="6" t="s">
        <v>4990</v>
      </c>
      <c r="F11" s="6" t="s">
        <v>364</v>
      </c>
      <c r="G11" s="6"/>
      <c r="H11" s="6">
        <v>1</v>
      </c>
      <c r="I11" s="6">
        <f>Table919496[[#This Row],[Total Athletes]]-(LEN(Table919496[[#This Row],[Goalkeepers]])-LEN(SUBSTITUTE(Table919496[[#This Row],[Goalkeepers]],"/","")))-(LEN(Table919496[[#This Row],[Wingmans]])-LEN(SUBSTITUTE(Table919496[[#This Row],[Wingmans]],"/","")))-(LEN(Table919496[[#This Row],[Centre Backcourts]])-LEN(SUBSTITUTE(Table919496[[#This Row],[Centre Backcourts]],"/","")))-(LEN(Table919496[[#This Row],[Left/Right Backcourts]])-LEN(SUBSTITUTE(Table919496[[#This Row],[Left/Right Backcourts]],"/","")))-(LEN(Table919496[[#This Row],[Pivots]])-LEN(SUBSTITUTE(Table919496[[#This Row],[Pivots]],"/","")))-5</f>
        <v>8</v>
      </c>
      <c r="J11" s="6">
        <v>15</v>
      </c>
    </row>
    <row r="12" spans="1:10" x14ac:dyDescent="0.3">
      <c r="A12" s="6"/>
      <c r="B12" s="6" t="s">
        <v>3169</v>
      </c>
      <c r="C12" s="6"/>
      <c r="D12" s="6"/>
      <c r="E12" s="6"/>
      <c r="F12" s="6" t="s">
        <v>338</v>
      </c>
      <c r="G12" s="6">
        <v>7</v>
      </c>
      <c r="H12" s="6"/>
      <c r="I12" s="6">
        <f>Table919496[[#This Row],[Total Athletes]]-(LEN(Table919496[[#This Row],[Goalkeepers]])-LEN(SUBSTITUTE(Table919496[[#This Row],[Goalkeepers]],"/","")))-(LEN(Table919496[[#This Row],[Wingmans]])-LEN(SUBSTITUTE(Table919496[[#This Row],[Wingmans]],"/","")))-(LEN(Table919496[[#This Row],[Centre Backcourts]])-LEN(SUBSTITUTE(Table919496[[#This Row],[Centre Backcourts]],"/","")))-(LEN(Table919496[[#This Row],[Left/Right Backcourts]])-LEN(SUBSTITUTE(Table919496[[#This Row],[Left/Right Backcourts]],"/","")))-(LEN(Table919496[[#This Row],[Pivots]])-LEN(SUBSTITUTE(Table919496[[#This Row],[Pivots]],"/","")))-5</f>
        <v>11</v>
      </c>
      <c r="J12" s="6">
        <v>16</v>
      </c>
    </row>
    <row r="13" spans="1:10" x14ac:dyDescent="0.3">
      <c r="A13" s="6" t="s">
        <v>4431</v>
      </c>
      <c r="B13" s="6"/>
      <c r="C13" s="6" t="s">
        <v>4407</v>
      </c>
      <c r="D13" s="6" t="s">
        <v>4415</v>
      </c>
      <c r="E13" s="6" t="s">
        <v>4423</v>
      </c>
      <c r="F13" s="6" t="s">
        <v>326</v>
      </c>
      <c r="G13" s="6">
        <v>5</v>
      </c>
      <c r="H13" s="6"/>
      <c r="I13" s="6">
        <f>Table919496[[#This Row],[Total Athletes]]-(LEN(Table919496[[#This Row],[Goalkeepers]])-LEN(SUBSTITUTE(Table919496[[#This Row],[Goalkeepers]],"/","")))-(LEN(Table919496[[#This Row],[Wingmans]])-LEN(SUBSTITUTE(Table919496[[#This Row],[Wingmans]],"/","")))-(LEN(Table919496[[#This Row],[Centre Backcourts]])-LEN(SUBSTITUTE(Table919496[[#This Row],[Centre Backcourts]],"/","")))-(LEN(Table919496[[#This Row],[Left/Right Backcourts]])-LEN(SUBSTITUTE(Table919496[[#This Row],[Left/Right Backcourts]],"/","")))-(LEN(Table919496[[#This Row],[Pivots]])-LEN(SUBSTITUTE(Table919496[[#This Row],[Pivots]],"/","")))-5</f>
        <v>7</v>
      </c>
      <c r="J13" s="6">
        <v>15</v>
      </c>
    </row>
    <row r="14" spans="1:10" x14ac:dyDescent="0.3">
      <c r="A14" s="6" t="s">
        <v>2203</v>
      </c>
      <c r="B14" s="6" t="s">
        <v>2810</v>
      </c>
      <c r="C14" s="6"/>
      <c r="D14" s="6"/>
      <c r="E14" s="6" t="s">
        <v>4012</v>
      </c>
      <c r="F14" s="6" t="s">
        <v>330</v>
      </c>
      <c r="G14" s="6">
        <v>3</v>
      </c>
      <c r="H14" s="6"/>
      <c r="I14" s="6">
        <f>Table919496[[#This Row],[Total Athletes]]-(LEN(Table919496[[#This Row],[Goalkeepers]])-LEN(SUBSTITUTE(Table919496[[#This Row],[Goalkeepers]],"/","")))-(LEN(Table919496[[#This Row],[Wingmans]])-LEN(SUBSTITUTE(Table919496[[#This Row],[Wingmans]],"/","")))-(LEN(Table919496[[#This Row],[Centre Backcourts]])-LEN(SUBSTITUTE(Table919496[[#This Row],[Centre Backcourts]],"/","")))-(LEN(Table919496[[#This Row],[Left/Right Backcourts]])-LEN(SUBSTITUTE(Table919496[[#This Row],[Left/Right Backcourts]],"/","")))-(LEN(Table919496[[#This Row],[Pivots]])-LEN(SUBSTITUTE(Table919496[[#This Row],[Pivots]],"/","")))-5</f>
        <v>10</v>
      </c>
      <c r="J14" s="6">
        <v>15</v>
      </c>
    </row>
    <row r="15" spans="1:10" x14ac:dyDescent="0.3">
      <c r="A15" s="6" t="s">
        <v>1923</v>
      </c>
      <c r="B15" s="6" t="s">
        <v>1922</v>
      </c>
      <c r="C15" s="6" t="s">
        <v>4486</v>
      </c>
      <c r="D15" s="6" t="s">
        <v>4489</v>
      </c>
      <c r="E15" s="6" t="s">
        <v>3346</v>
      </c>
      <c r="F15" s="6" t="s">
        <v>694</v>
      </c>
      <c r="G15" s="6">
        <v>4</v>
      </c>
      <c r="H15" s="6"/>
      <c r="I15" s="6">
        <f>Table919496[[#This Row],[Total Athletes]]-(LEN(Table919496[[#This Row],[Goalkeepers]])-LEN(SUBSTITUTE(Table919496[[#This Row],[Goalkeepers]],"/","")))-(LEN(Table919496[[#This Row],[Wingmans]])-LEN(SUBSTITUTE(Table919496[[#This Row],[Wingmans]],"/","")))-(LEN(Table919496[[#This Row],[Centre Backcourts]])-LEN(SUBSTITUTE(Table919496[[#This Row],[Centre Backcourts]],"/","")))-(LEN(Table919496[[#This Row],[Left/Right Backcourts]])-LEN(SUBSTITUTE(Table919496[[#This Row],[Left/Right Backcourts]],"/","")))-(LEN(Table919496[[#This Row],[Pivots]])-LEN(SUBSTITUTE(Table919496[[#This Row],[Pivots]],"/","")))-5</f>
        <v>8</v>
      </c>
      <c r="J15" s="6">
        <v>17</v>
      </c>
    </row>
    <row r="16" spans="1:10" x14ac:dyDescent="0.3">
      <c r="A16" s="6" t="s">
        <v>3539</v>
      </c>
      <c r="B16" s="6" t="s">
        <v>3543</v>
      </c>
      <c r="C16" s="6" t="s">
        <v>4695</v>
      </c>
      <c r="D16" s="6" t="s">
        <v>4635</v>
      </c>
      <c r="E16" s="6" t="s">
        <v>2770</v>
      </c>
      <c r="F16" s="6" t="s">
        <v>450</v>
      </c>
      <c r="G16" s="6">
        <v>9</v>
      </c>
      <c r="H16" s="6"/>
      <c r="I16" s="6">
        <f>Table919496[[#This Row],[Total Athletes]]-(LEN(Table919496[[#This Row],[Goalkeepers]])-LEN(SUBSTITUTE(Table919496[[#This Row],[Goalkeepers]],"/","")))-(LEN(Table919496[[#This Row],[Wingmans]])-LEN(SUBSTITUTE(Table919496[[#This Row],[Wingmans]],"/","")))-(LEN(Table919496[[#This Row],[Centre Backcourts]])-LEN(SUBSTITUTE(Table919496[[#This Row],[Centre Backcourts]],"/","")))-(LEN(Table919496[[#This Row],[Left/Right Backcourts]])-LEN(SUBSTITUTE(Table919496[[#This Row],[Left/Right Backcourts]],"/","")))-(LEN(Table919496[[#This Row],[Pivots]])-LEN(SUBSTITUTE(Table919496[[#This Row],[Pivots]],"/","")))-5</f>
        <v>7</v>
      </c>
      <c r="J16" s="6">
        <v>14</v>
      </c>
    </row>
    <row r="17" spans="1:10" x14ac:dyDescent="0.3">
      <c r="A17" s="6" t="s">
        <v>3444</v>
      </c>
      <c r="B17" s="6"/>
      <c r="C17" s="6"/>
      <c r="D17" s="6"/>
      <c r="E17" s="6"/>
      <c r="F17" s="6" t="s">
        <v>334</v>
      </c>
      <c r="G17" s="6">
        <v>2</v>
      </c>
      <c r="H17" s="6"/>
      <c r="I17" s="6">
        <f>Table919496[[#This Row],[Total Athletes]]-(LEN(Table919496[[#This Row],[Goalkeepers]])-LEN(SUBSTITUTE(Table919496[[#This Row],[Goalkeepers]],"/","")))-(LEN(Table919496[[#This Row],[Wingmans]])-LEN(SUBSTITUTE(Table919496[[#This Row],[Wingmans]],"/","")))-(LEN(Table919496[[#This Row],[Centre Backcourts]])-LEN(SUBSTITUTE(Table919496[[#This Row],[Centre Backcourts]],"/","")))-(LEN(Table919496[[#This Row],[Left/Right Backcourts]])-LEN(SUBSTITUTE(Table919496[[#This Row],[Left/Right Backcourts]],"/","")))-(LEN(Table919496[[#This Row],[Pivots]])-LEN(SUBSTITUTE(Table919496[[#This Row],[Pivots]],"/","")))-5</f>
        <v>11</v>
      </c>
      <c r="J17" s="6">
        <v>16</v>
      </c>
    </row>
    <row r="18" spans="1:10" x14ac:dyDescent="0.3">
      <c r="A18" s="6" t="s">
        <v>4986</v>
      </c>
      <c r="B18" s="6"/>
      <c r="C18" s="6"/>
      <c r="D18" s="6" t="s">
        <v>2502</v>
      </c>
      <c r="E18" s="6"/>
      <c r="F18" s="6" t="s">
        <v>364</v>
      </c>
      <c r="G18" s="6">
        <v>6</v>
      </c>
      <c r="H18" s="6"/>
      <c r="I18" s="6">
        <f>Table919496[[#This Row],[Total Athletes]]-(LEN(Table919496[[#This Row],[Goalkeepers]])-LEN(SUBSTITUTE(Table919496[[#This Row],[Goalkeepers]],"/","")))-(LEN(Table919496[[#This Row],[Wingmans]])-LEN(SUBSTITUTE(Table919496[[#This Row],[Wingmans]],"/","")))-(LEN(Table919496[[#This Row],[Centre Backcourts]])-LEN(SUBSTITUTE(Table919496[[#This Row],[Centre Backcourts]],"/","")))-(LEN(Table919496[[#This Row],[Left/Right Backcourts]])-LEN(SUBSTITUTE(Table919496[[#This Row],[Left/Right Backcourts]],"/","")))-(LEN(Table919496[[#This Row],[Pivots]])-LEN(SUBSTITUTE(Table919496[[#This Row],[Pivots]],"/","")))-5</f>
        <v>9</v>
      </c>
      <c r="J18" s="6">
        <v>14</v>
      </c>
    </row>
    <row r="19" spans="1:10" x14ac:dyDescent="0.3">
      <c r="A19" s="6"/>
      <c r="B19" s="6" t="s">
        <v>2211</v>
      </c>
      <c r="C19" s="6"/>
      <c r="D19" s="6" t="s">
        <v>3869</v>
      </c>
      <c r="E19" s="6"/>
      <c r="F19" s="6" t="s">
        <v>406</v>
      </c>
      <c r="G19" s="6">
        <v>10</v>
      </c>
      <c r="H19" s="6"/>
      <c r="I19" s="6">
        <f>Table919496[[#This Row],[Total Athletes]]-(LEN(Table919496[[#This Row],[Goalkeepers]])-LEN(SUBSTITUTE(Table919496[[#This Row],[Goalkeepers]],"/","")))-(LEN(Table919496[[#This Row],[Wingmans]])-LEN(SUBSTITUTE(Table919496[[#This Row],[Wingmans]],"/","")))-(LEN(Table919496[[#This Row],[Centre Backcourts]])-LEN(SUBSTITUTE(Table919496[[#This Row],[Centre Backcourts]],"/","")))-(LEN(Table919496[[#This Row],[Left/Right Backcourts]])-LEN(SUBSTITUTE(Table919496[[#This Row],[Left/Right Backcourts]],"/","")))-(LEN(Table919496[[#This Row],[Pivots]])-LEN(SUBSTITUTE(Table919496[[#This Row],[Pivots]],"/","")))-5</f>
        <v>9</v>
      </c>
      <c r="J19" s="6">
        <v>17</v>
      </c>
    </row>
    <row r="20" spans="1:10" x14ac:dyDescent="0.3">
      <c r="A20" s="6"/>
      <c r="B20" s="6" t="s">
        <v>3506</v>
      </c>
      <c r="C20" s="6"/>
      <c r="D20" s="6"/>
      <c r="E20" s="6" t="s">
        <v>3871</v>
      </c>
      <c r="F20" s="6" t="s">
        <v>406</v>
      </c>
      <c r="G20" s="6"/>
      <c r="H20" s="6">
        <v>6</v>
      </c>
      <c r="I20" s="6">
        <f>Table919496[[#This Row],[Total Athletes]]-(LEN(Table919496[[#This Row],[Goalkeepers]])-LEN(SUBSTITUTE(Table919496[[#This Row],[Goalkeepers]],"/","")))-(LEN(Table919496[[#This Row],[Wingmans]])-LEN(SUBSTITUTE(Table919496[[#This Row],[Wingmans]],"/","")))-(LEN(Table919496[[#This Row],[Centre Backcourts]])-LEN(SUBSTITUTE(Table919496[[#This Row],[Centre Backcourts]],"/","")))-(LEN(Table919496[[#This Row],[Left/Right Backcourts]])-LEN(SUBSTITUTE(Table919496[[#This Row],[Left/Right Backcourts]],"/","")))-(LEN(Table919496[[#This Row],[Pivots]])-LEN(SUBSTITUTE(Table919496[[#This Row],[Pivots]],"/","")))-5</f>
        <v>12</v>
      </c>
      <c r="J20" s="6">
        <v>17</v>
      </c>
    </row>
    <row r="21" spans="1:10" x14ac:dyDescent="0.3">
      <c r="A21" s="6" t="s">
        <v>3148</v>
      </c>
      <c r="B21" s="6" t="s">
        <v>3160</v>
      </c>
      <c r="C21" s="6" t="s">
        <v>3174</v>
      </c>
      <c r="D21" s="6"/>
      <c r="E21" s="6" t="s">
        <v>3144</v>
      </c>
      <c r="F21" s="6" t="s">
        <v>338</v>
      </c>
      <c r="G21" s="6"/>
      <c r="H21" s="6">
        <v>4</v>
      </c>
      <c r="I21" s="6">
        <f>Table919496[[#This Row],[Total Athletes]]-(LEN(Table919496[[#This Row],[Goalkeepers]])-LEN(SUBSTITUTE(Table919496[[#This Row],[Goalkeepers]],"/","")))-(LEN(Table919496[[#This Row],[Wingmans]])-LEN(SUBSTITUTE(Table919496[[#This Row],[Wingmans]],"/","")))-(LEN(Table919496[[#This Row],[Centre Backcourts]])-LEN(SUBSTITUTE(Table919496[[#This Row],[Centre Backcourts]],"/","")))-(LEN(Table919496[[#This Row],[Left/Right Backcourts]])-LEN(SUBSTITUTE(Table919496[[#This Row],[Left/Right Backcourts]],"/","")))-(LEN(Table919496[[#This Row],[Pivots]])-LEN(SUBSTITUTE(Table919496[[#This Row],[Pivots]],"/","")))-5</f>
        <v>8</v>
      </c>
      <c r="J21" s="6">
        <v>15</v>
      </c>
    </row>
    <row r="22" spans="1:10" x14ac:dyDescent="0.3">
      <c r="A22" s="6"/>
      <c r="B22" s="6"/>
      <c r="C22" s="6"/>
      <c r="D22" s="6" t="s">
        <v>2650</v>
      </c>
      <c r="E22" s="6"/>
      <c r="F22" s="6" t="s">
        <v>412</v>
      </c>
      <c r="G22" s="6"/>
      <c r="H22" s="6">
        <v>5</v>
      </c>
      <c r="I22" s="6">
        <f>Table919496[[#This Row],[Total Athletes]]-(LEN(Table919496[[#This Row],[Goalkeepers]])-LEN(SUBSTITUTE(Table919496[[#This Row],[Goalkeepers]],"/","")))-(LEN(Table919496[[#This Row],[Wingmans]])-LEN(SUBSTITUTE(Table919496[[#This Row],[Wingmans]],"/","")))-(LEN(Table919496[[#This Row],[Centre Backcourts]])-LEN(SUBSTITUTE(Table919496[[#This Row],[Centre Backcourts]],"/","")))-(LEN(Table919496[[#This Row],[Left/Right Backcourts]])-LEN(SUBSTITUTE(Table919496[[#This Row],[Left/Right Backcourts]],"/","")))-(LEN(Table919496[[#This Row],[Pivots]])-LEN(SUBSTITUTE(Table919496[[#This Row],[Pivots]],"/","")))-5</f>
        <v>9</v>
      </c>
      <c r="J22" s="6">
        <v>14</v>
      </c>
    </row>
    <row r="23" spans="1:10" x14ac:dyDescent="0.3">
      <c r="A23" s="6" t="s">
        <v>4020</v>
      </c>
      <c r="B23" s="6"/>
      <c r="C23" s="6" t="s">
        <v>3981</v>
      </c>
      <c r="D23" s="6" t="s">
        <v>4983</v>
      </c>
      <c r="E23" s="6" t="s">
        <v>2138</v>
      </c>
      <c r="F23" s="6" t="s">
        <v>330</v>
      </c>
      <c r="G23" s="6"/>
      <c r="H23" s="6">
        <v>12</v>
      </c>
      <c r="I23" s="6">
        <f>Table919496[[#This Row],[Total Athletes]]-(LEN(Table919496[[#This Row],[Goalkeepers]])-LEN(SUBSTITUTE(Table919496[[#This Row],[Goalkeepers]],"/","")))-(LEN(Table919496[[#This Row],[Wingmans]])-LEN(SUBSTITUTE(Table919496[[#This Row],[Wingmans]],"/","")))-(LEN(Table919496[[#This Row],[Centre Backcourts]])-LEN(SUBSTITUTE(Table919496[[#This Row],[Centre Backcourts]],"/","")))-(LEN(Table919496[[#This Row],[Left/Right Backcourts]])-LEN(SUBSTITUTE(Table919496[[#This Row],[Left/Right Backcourts]],"/","")))-(LEN(Table919496[[#This Row],[Pivots]])-LEN(SUBSTITUTE(Table919496[[#This Row],[Pivots]],"/","")))-5</f>
        <v>8</v>
      </c>
      <c r="J23" s="6">
        <v>15</v>
      </c>
    </row>
    <row r="24" spans="1:10" x14ac:dyDescent="0.3">
      <c r="A24" s="6"/>
      <c r="B24" s="6"/>
      <c r="C24" s="6"/>
      <c r="D24" s="6"/>
      <c r="E24" s="6"/>
      <c r="F24" s="6" t="s">
        <v>334</v>
      </c>
      <c r="G24" s="6"/>
      <c r="H24" s="6">
        <v>-1</v>
      </c>
      <c r="I24" s="6">
        <f>Table919496[[#This Row],[Total Athletes]]-(LEN(Table919496[[#This Row],[Goalkeepers]])-LEN(SUBSTITUTE(Table919496[[#This Row],[Goalkeepers]],"/","")))-(LEN(Table919496[[#This Row],[Wingmans]])-LEN(SUBSTITUTE(Table919496[[#This Row],[Wingmans]],"/","")))-(LEN(Table919496[[#This Row],[Centre Backcourts]])-LEN(SUBSTITUTE(Table919496[[#This Row],[Centre Backcourts]],"/","")))-(LEN(Table919496[[#This Row],[Left/Right Backcourts]])-LEN(SUBSTITUTE(Table919496[[#This Row],[Left/Right Backcourts]],"/","")))-(LEN(Table919496[[#This Row],[Pivots]])-LEN(SUBSTITUTE(Table919496[[#This Row],[Pivots]],"/","")))-5</f>
        <v>-5</v>
      </c>
      <c r="J24" s="6"/>
    </row>
    <row r="25" spans="1:10" x14ac:dyDescent="0.3">
      <c r="A25" s="6" t="s">
        <v>3349</v>
      </c>
      <c r="B25" s="6" t="s">
        <v>1927</v>
      </c>
      <c r="C25" s="6"/>
      <c r="D25" s="6" t="s">
        <v>2130</v>
      </c>
      <c r="E25" s="6" t="s">
        <v>1924</v>
      </c>
      <c r="F25" s="6" t="s">
        <v>694</v>
      </c>
      <c r="G25" s="6"/>
      <c r="H25" s="6">
        <v>11</v>
      </c>
      <c r="I25" s="6">
        <f>Table919496[[#This Row],[Total Athletes]]-(LEN(Table919496[[#This Row],[Goalkeepers]])-LEN(SUBSTITUTE(Table919496[[#This Row],[Goalkeepers]],"/","")))-(LEN(Table919496[[#This Row],[Wingmans]])-LEN(SUBSTITUTE(Table919496[[#This Row],[Wingmans]],"/","")))-(LEN(Table919496[[#This Row],[Centre Backcourts]])-LEN(SUBSTITUTE(Table919496[[#This Row],[Centre Backcourts]],"/","")))-(LEN(Table919496[[#This Row],[Left/Right Backcourts]])-LEN(SUBSTITUTE(Table919496[[#This Row],[Left/Right Backcourts]],"/","")))-(LEN(Table919496[[#This Row],[Pivots]])-LEN(SUBSTITUTE(Table919496[[#This Row],[Pivots]],"/","")))-5</f>
        <v>8</v>
      </c>
      <c r="J25" s="6">
        <v>14</v>
      </c>
    </row>
  </sheetData>
  <pageMargins left="0.7" right="0.7" top="0.75" bottom="0.75" header="0.3" footer="0.3"/>
  <tableParts count="1">
    <tablePart r:id="rId1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B43D0-AC3B-446E-BD97-75CCB280B3A5}">
  <dimension ref="A1:I194"/>
  <sheetViews>
    <sheetView topLeftCell="A190" workbookViewId="0">
      <selection activeCell="B195" sqref="B195"/>
    </sheetView>
  </sheetViews>
  <sheetFormatPr defaultRowHeight="14.4" x14ac:dyDescent="0.3"/>
  <cols>
    <col min="1" max="1" width="30.21875" bestFit="1" customWidth="1"/>
    <col min="2" max="2" width="19" bestFit="1" customWidth="1"/>
    <col min="3" max="7" width="18.6640625" bestFit="1" customWidth="1"/>
    <col min="8" max="8" width="19.77734375" bestFit="1" customWidth="1"/>
    <col min="9" max="9" width="23.77734375" bestFit="1" customWidth="1"/>
  </cols>
  <sheetData>
    <row r="1" spans="1:9" x14ac:dyDescent="0.3">
      <c r="A1" t="s">
        <v>832</v>
      </c>
      <c r="B1" t="s">
        <v>1</v>
      </c>
      <c r="C1" t="s">
        <v>912</v>
      </c>
      <c r="D1" t="s">
        <v>913</v>
      </c>
      <c r="E1" t="s">
        <v>914</v>
      </c>
      <c r="F1" t="s">
        <v>896</v>
      </c>
      <c r="G1" t="s">
        <v>915</v>
      </c>
      <c r="H1" t="s">
        <v>916</v>
      </c>
      <c r="I1" t="s">
        <v>917</v>
      </c>
    </row>
    <row r="2" spans="1:9" x14ac:dyDescent="0.3">
      <c r="A2" s="6"/>
      <c r="B2" s="6" t="s">
        <v>344</v>
      </c>
      <c r="C2" s="6">
        <v>-1</v>
      </c>
      <c r="D2" s="6"/>
      <c r="E2" s="6"/>
      <c r="F2" s="6"/>
      <c r="G2" s="6"/>
      <c r="H2" s="6"/>
      <c r="I2" s="6"/>
    </row>
    <row r="3" spans="1:9" x14ac:dyDescent="0.3">
      <c r="A3" s="6" t="s">
        <v>2331</v>
      </c>
      <c r="B3" s="6" t="s">
        <v>344</v>
      </c>
      <c r="C3" s="6"/>
      <c r="D3" s="6">
        <v>5</v>
      </c>
      <c r="E3" s="6"/>
      <c r="F3" s="6"/>
      <c r="G3" s="6"/>
      <c r="H3" s="6"/>
      <c r="I3" s="6"/>
    </row>
    <row r="4" spans="1:9" x14ac:dyDescent="0.3">
      <c r="A4" s="6"/>
      <c r="B4" s="6" t="s">
        <v>344</v>
      </c>
      <c r="C4" s="6"/>
      <c r="D4" s="6"/>
      <c r="E4" s="6">
        <v>-1</v>
      </c>
      <c r="F4" s="6"/>
      <c r="G4" s="6"/>
      <c r="H4" s="6"/>
      <c r="I4" s="6"/>
    </row>
    <row r="5" spans="1:9" x14ac:dyDescent="0.3">
      <c r="A5" s="6"/>
      <c r="B5" s="6" t="s">
        <v>344</v>
      </c>
      <c r="C5" s="6"/>
      <c r="D5" s="6"/>
      <c r="E5" s="6"/>
      <c r="F5" s="6">
        <v>-1</v>
      </c>
      <c r="G5" s="6"/>
      <c r="H5" s="6"/>
      <c r="I5" s="6"/>
    </row>
    <row r="6" spans="1:9" x14ac:dyDescent="0.3">
      <c r="A6" s="6"/>
      <c r="B6" s="6" t="s">
        <v>344</v>
      </c>
      <c r="C6" s="6"/>
      <c r="D6" s="6"/>
      <c r="E6" s="6"/>
      <c r="F6" s="6"/>
      <c r="G6" s="6">
        <v>-1</v>
      </c>
      <c r="H6" s="6"/>
      <c r="I6" s="6"/>
    </row>
    <row r="7" spans="1:9" x14ac:dyDescent="0.3">
      <c r="A7" s="6" t="s">
        <v>2329</v>
      </c>
      <c r="B7" s="6" t="s">
        <v>344</v>
      </c>
      <c r="C7" s="6"/>
      <c r="D7" s="6"/>
      <c r="E7" s="6"/>
      <c r="F7" s="6"/>
      <c r="G7" s="6"/>
      <c r="H7" s="6">
        <v>9</v>
      </c>
      <c r="I7" s="6"/>
    </row>
    <row r="8" spans="1:9" x14ac:dyDescent="0.3">
      <c r="A8" s="6" t="s">
        <v>3727</v>
      </c>
      <c r="B8" s="6" t="s">
        <v>344</v>
      </c>
      <c r="C8" s="6"/>
      <c r="D8" s="6"/>
      <c r="E8" s="6"/>
      <c r="F8" s="6"/>
      <c r="G8" s="6"/>
      <c r="H8" s="6"/>
      <c r="I8" s="6">
        <v>1</v>
      </c>
    </row>
    <row r="9" spans="1:9" x14ac:dyDescent="0.3">
      <c r="A9" s="6"/>
      <c r="B9" s="6" t="s">
        <v>368</v>
      </c>
      <c r="C9" s="6">
        <v>-1</v>
      </c>
      <c r="D9" s="6"/>
      <c r="E9" s="6"/>
      <c r="F9" s="6"/>
      <c r="G9" s="6"/>
      <c r="H9" s="6"/>
      <c r="I9" s="6"/>
    </row>
    <row r="10" spans="1:9" x14ac:dyDescent="0.3">
      <c r="A10" s="6"/>
      <c r="B10" s="6" t="s">
        <v>580</v>
      </c>
      <c r="C10" s="6">
        <v>-1</v>
      </c>
      <c r="D10" s="6"/>
      <c r="E10" s="6"/>
      <c r="F10" s="6"/>
      <c r="G10" s="6"/>
      <c r="H10" s="6"/>
      <c r="I10" s="6"/>
    </row>
    <row r="11" spans="1:9" x14ac:dyDescent="0.3">
      <c r="A11" s="6"/>
      <c r="B11" s="6" t="s">
        <v>700</v>
      </c>
      <c r="C11" s="6">
        <v>-1</v>
      </c>
      <c r="D11" s="6"/>
      <c r="E11" s="6"/>
      <c r="F11" s="6"/>
      <c r="G11" s="6"/>
      <c r="H11" s="6"/>
      <c r="I11" s="6"/>
    </row>
    <row r="12" spans="1:9" x14ac:dyDescent="0.3">
      <c r="A12" s="6" t="s">
        <v>3995</v>
      </c>
      <c r="B12" s="6" t="s">
        <v>330</v>
      </c>
      <c r="C12" s="6">
        <v>3</v>
      </c>
      <c r="D12" s="6"/>
      <c r="E12" s="6"/>
      <c r="F12" s="6"/>
      <c r="G12" s="6"/>
      <c r="H12" s="6"/>
      <c r="I12" s="6"/>
    </row>
    <row r="13" spans="1:9" x14ac:dyDescent="0.3">
      <c r="A13" s="6" t="s">
        <v>1294</v>
      </c>
      <c r="B13" s="6" t="s">
        <v>428</v>
      </c>
      <c r="C13" s="6">
        <v>3</v>
      </c>
      <c r="D13" s="6"/>
      <c r="E13" s="6"/>
      <c r="F13" s="6"/>
      <c r="G13" s="6"/>
      <c r="H13" s="6"/>
      <c r="I13" s="6"/>
    </row>
    <row r="14" spans="1:9" x14ac:dyDescent="0.3">
      <c r="A14" s="6"/>
      <c r="B14" s="6" t="s">
        <v>456</v>
      </c>
      <c r="C14" s="6">
        <v>-1</v>
      </c>
      <c r="D14" s="6"/>
      <c r="E14" s="6"/>
      <c r="F14" s="6"/>
      <c r="G14" s="6"/>
      <c r="H14" s="6"/>
      <c r="I14" s="6"/>
    </row>
    <row r="15" spans="1:9" x14ac:dyDescent="0.3">
      <c r="A15" s="6"/>
      <c r="B15" s="6" t="s">
        <v>718</v>
      </c>
      <c r="C15" s="6">
        <v>-1</v>
      </c>
      <c r="D15" s="6"/>
      <c r="E15" s="6"/>
      <c r="F15" s="6"/>
      <c r="G15" s="6"/>
      <c r="H15" s="6"/>
      <c r="I15" s="6"/>
    </row>
    <row r="16" spans="1:9" x14ac:dyDescent="0.3">
      <c r="A16" s="6"/>
      <c r="B16" s="6" t="s">
        <v>726</v>
      </c>
      <c r="C16" s="6">
        <v>-1</v>
      </c>
      <c r="D16" s="6"/>
      <c r="E16" s="6"/>
      <c r="F16" s="6"/>
      <c r="G16" s="6"/>
      <c r="H16" s="6"/>
      <c r="I16" s="6"/>
    </row>
    <row r="17" spans="1:9" x14ac:dyDescent="0.3">
      <c r="A17" s="6"/>
      <c r="B17" s="6" t="s">
        <v>642</v>
      </c>
      <c r="C17" s="6">
        <v>-1</v>
      </c>
      <c r="D17" s="6"/>
      <c r="E17" s="6"/>
      <c r="F17" s="6"/>
      <c r="G17" s="6"/>
      <c r="H17" s="6"/>
      <c r="I17" s="6"/>
    </row>
    <row r="18" spans="1:9" x14ac:dyDescent="0.3">
      <c r="A18" s="6"/>
      <c r="B18" s="6" t="s">
        <v>482</v>
      </c>
      <c r="C18" s="6">
        <v>-1</v>
      </c>
      <c r="D18" s="6"/>
      <c r="E18" s="6"/>
      <c r="F18" s="6"/>
      <c r="G18" s="6"/>
      <c r="H18" s="6"/>
      <c r="I18" s="6"/>
    </row>
    <row r="19" spans="1:9" x14ac:dyDescent="0.3">
      <c r="A19" s="6"/>
      <c r="B19" s="6" t="s">
        <v>604</v>
      </c>
      <c r="C19" s="6">
        <v>-1</v>
      </c>
      <c r="D19" s="6"/>
      <c r="E19" s="6"/>
      <c r="F19" s="6"/>
      <c r="G19" s="6"/>
      <c r="H19" s="6"/>
      <c r="I19" s="6"/>
    </row>
    <row r="20" spans="1:9" x14ac:dyDescent="0.3">
      <c r="A20" s="6"/>
      <c r="B20" s="6" t="s">
        <v>520</v>
      </c>
      <c r="C20" s="6">
        <v>-1</v>
      </c>
      <c r="D20" s="6"/>
      <c r="E20" s="6"/>
      <c r="F20" s="6"/>
      <c r="G20" s="6"/>
      <c r="H20" s="6"/>
      <c r="I20" s="6"/>
    </row>
    <row r="21" spans="1:9" x14ac:dyDescent="0.3">
      <c r="A21" s="6"/>
      <c r="B21" s="6" t="s">
        <v>412</v>
      </c>
      <c r="C21" s="6">
        <v>-1</v>
      </c>
      <c r="D21" s="6"/>
      <c r="E21" s="6"/>
      <c r="F21" s="6"/>
      <c r="G21" s="6"/>
      <c r="H21" s="6"/>
      <c r="I21" s="6"/>
    </row>
    <row r="22" spans="1:9" x14ac:dyDescent="0.3">
      <c r="A22" s="6" t="s">
        <v>3047</v>
      </c>
      <c r="B22" s="6" t="s">
        <v>336</v>
      </c>
      <c r="C22" s="6">
        <v>9</v>
      </c>
      <c r="D22" s="6"/>
      <c r="E22" s="6"/>
      <c r="F22" s="6"/>
      <c r="G22" s="6"/>
      <c r="H22" s="6"/>
      <c r="I22" s="6"/>
    </row>
    <row r="23" spans="1:9" x14ac:dyDescent="0.3">
      <c r="A23" s="6"/>
      <c r="B23" s="6" t="s">
        <v>598</v>
      </c>
      <c r="C23" s="6">
        <v>-1</v>
      </c>
      <c r="D23" s="6"/>
      <c r="E23" s="6"/>
      <c r="F23" s="6"/>
      <c r="G23" s="6"/>
      <c r="H23" s="6"/>
      <c r="I23" s="6"/>
    </row>
    <row r="24" spans="1:9" x14ac:dyDescent="0.3">
      <c r="A24" s="6" t="s">
        <v>1740</v>
      </c>
      <c r="B24" s="6" t="s">
        <v>326</v>
      </c>
      <c r="C24" s="6">
        <v>17</v>
      </c>
      <c r="D24" s="6"/>
      <c r="E24" s="6"/>
      <c r="F24" s="6"/>
      <c r="G24" s="6"/>
      <c r="H24" s="6"/>
      <c r="I24" s="6"/>
    </row>
    <row r="25" spans="1:9" x14ac:dyDescent="0.3">
      <c r="A25" s="6" t="s">
        <v>4941</v>
      </c>
      <c r="B25" s="6" t="s">
        <v>736</v>
      </c>
      <c r="C25" s="6">
        <v>17</v>
      </c>
      <c r="D25" s="6"/>
      <c r="E25" s="6"/>
      <c r="F25" s="6"/>
      <c r="G25" s="6"/>
      <c r="H25" s="6"/>
      <c r="I25" s="6"/>
    </row>
    <row r="26" spans="1:9" x14ac:dyDescent="0.3">
      <c r="A26" s="6"/>
      <c r="B26" s="6" t="s">
        <v>564</v>
      </c>
      <c r="C26" s="6">
        <v>-1</v>
      </c>
      <c r="D26" s="6"/>
      <c r="E26" s="6"/>
      <c r="F26" s="6"/>
      <c r="G26" s="6"/>
      <c r="H26" s="6"/>
      <c r="I26" s="6"/>
    </row>
    <row r="27" spans="1:9" x14ac:dyDescent="0.3">
      <c r="A27" s="6" t="s">
        <v>2402</v>
      </c>
      <c r="B27" s="6" t="s">
        <v>354</v>
      </c>
      <c r="C27" s="6">
        <v>17</v>
      </c>
      <c r="D27" s="6"/>
      <c r="E27" s="6"/>
      <c r="F27" s="6"/>
      <c r="G27" s="6"/>
      <c r="H27" s="6"/>
      <c r="I27" s="6"/>
    </row>
    <row r="28" spans="1:9" x14ac:dyDescent="0.3">
      <c r="A28" s="6" t="s">
        <v>1495</v>
      </c>
      <c r="B28" s="6" t="s">
        <v>600</v>
      </c>
      <c r="C28" s="6">
        <v>9</v>
      </c>
      <c r="D28" s="6"/>
      <c r="E28" s="6"/>
      <c r="F28" s="6"/>
      <c r="G28" s="6"/>
      <c r="H28" s="6"/>
      <c r="I28" s="6"/>
    </row>
    <row r="29" spans="1:9" x14ac:dyDescent="0.3">
      <c r="A29" s="6" t="s">
        <v>4920</v>
      </c>
      <c r="B29" s="6" t="s">
        <v>472</v>
      </c>
      <c r="C29" s="6">
        <v>17</v>
      </c>
      <c r="D29" s="6"/>
      <c r="E29" s="6"/>
      <c r="F29" s="6"/>
      <c r="G29" s="6"/>
      <c r="H29" s="6"/>
      <c r="I29" s="6"/>
    </row>
    <row r="30" spans="1:9" x14ac:dyDescent="0.3">
      <c r="A30" s="6" t="s">
        <v>3034</v>
      </c>
      <c r="B30" s="6" t="s">
        <v>558</v>
      </c>
      <c r="C30" s="6">
        <v>17</v>
      </c>
      <c r="D30" s="6"/>
      <c r="E30" s="6"/>
      <c r="F30" s="6"/>
      <c r="G30" s="6"/>
      <c r="H30" s="6"/>
      <c r="I30" s="6"/>
    </row>
    <row r="31" spans="1:9" x14ac:dyDescent="0.3">
      <c r="A31" s="6"/>
      <c r="B31" s="6" t="s">
        <v>356</v>
      </c>
      <c r="C31" s="6">
        <v>-1</v>
      </c>
      <c r="D31" s="6"/>
      <c r="E31" s="6"/>
      <c r="F31" s="6"/>
      <c r="G31" s="6"/>
      <c r="H31" s="6"/>
      <c r="I31" s="6"/>
    </row>
    <row r="32" spans="1:9" x14ac:dyDescent="0.3">
      <c r="A32" s="6"/>
      <c r="B32" s="6" t="s">
        <v>390</v>
      </c>
      <c r="C32" s="6"/>
      <c r="D32" s="6">
        <v>-1</v>
      </c>
      <c r="E32" s="6"/>
      <c r="F32" s="6"/>
      <c r="G32" s="6"/>
      <c r="H32" s="6"/>
      <c r="I32" s="6"/>
    </row>
    <row r="33" spans="1:9" x14ac:dyDescent="0.3">
      <c r="A33" s="6" t="s">
        <v>3512</v>
      </c>
      <c r="B33" s="6" t="s">
        <v>580</v>
      </c>
      <c r="C33" s="6"/>
      <c r="D33" s="6">
        <v>9</v>
      </c>
      <c r="E33" s="6"/>
      <c r="F33" s="6"/>
      <c r="G33" s="6"/>
      <c r="H33" s="6"/>
      <c r="I33" s="6"/>
    </row>
    <row r="34" spans="1:9" x14ac:dyDescent="0.3">
      <c r="A34" s="6"/>
      <c r="B34" s="6" t="s">
        <v>642</v>
      </c>
      <c r="C34" s="6"/>
      <c r="D34" s="6">
        <v>-1</v>
      </c>
      <c r="E34" s="6"/>
      <c r="F34" s="6"/>
      <c r="G34" s="6"/>
      <c r="H34" s="6"/>
      <c r="I34" s="6"/>
    </row>
    <row r="35" spans="1:9" x14ac:dyDescent="0.3">
      <c r="A35" s="6"/>
      <c r="B35" s="6" t="s">
        <v>428</v>
      </c>
      <c r="C35" s="6"/>
      <c r="D35" s="6">
        <v>-1</v>
      </c>
      <c r="E35" s="6"/>
      <c r="F35" s="6"/>
      <c r="G35" s="6"/>
      <c r="H35" s="6"/>
      <c r="I35" s="6"/>
    </row>
    <row r="36" spans="1:9" x14ac:dyDescent="0.3">
      <c r="A36" s="6"/>
      <c r="B36" s="6" t="s">
        <v>710</v>
      </c>
      <c r="C36" s="6"/>
      <c r="D36" s="6">
        <v>-1</v>
      </c>
      <c r="E36" s="6"/>
      <c r="F36" s="6"/>
      <c r="G36" s="6"/>
      <c r="H36" s="6"/>
      <c r="I36" s="6"/>
    </row>
    <row r="37" spans="1:9" x14ac:dyDescent="0.3">
      <c r="A37" s="6" t="s">
        <v>3073</v>
      </c>
      <c r="B37" s="6" t="s">
        <v>336</v>
      </c>
      <c r="C37" s="6"/>
      <c r="D37" s="6">
        <v>2</v>
      </c>
      <c r="E37" s="6"/>
      <c r="F37" s="6"/>
      <c r="G37" s="6"/>
      <c r="H37" s="6"/>
      <c r="I37" s="6"/>
    </row>
    <row r="38" spans="1:9" x14ac:dyDescent="0.3">
      <c r="A38" s="6" t="s">
        <v>1267</v>
      </c>
      <c r="B38" s="6" t="s">
        <v>330</v>
      </c>
      <c r="C38" s="6"/>
      <c r="D38" s="6">
        <v>17</v>
      </c>
      <c r="E38" s="6"/>
      <c r="F38" s="6"/>
      <c r="G38" s="6"/>
      <c r="H38" s="6"/>
      <c r="I38" s="6"/>
    </row>
    <row r="39" spans="1:9" x14ac:dyDescent="0.3">
      <c r="A39" s="6"/>
      <c r="B39" s="6" t="s">
        <v>356</v>
      </c>
      <c r="C39" s="6"/>
      <c r="D39" s="6">
        <v>-1</v>
      </c>
      <c r="E39" s="6"/>
      <c r="F39" s="6"/>
      <c r="G39" s="6"/>
      <c r="H39" s="6"/>
      <c r="I39" s="6"/>
    </row>
    <row r="40" spans="1:9" x14ac:dyDescent="0.3">
      <c r="A40" s="6"/>
      <c r="B40" s="6" t="s">
        <v>456</v>
      </c>
      <c r="C40" s="6"/>
      <c r="D40" s="6">
        <v>-1</v>
      </c>
      <c r="E40" s="6"/>
      <c r="F40" s="6"/>
      <c r="G40" s="6"/>
      <c r="H40" s="6"/>
      <c r="I40" s="6"/>
    </row>
    <row r="41" spans="1:9" x14ac:dyDescent="0.3">
      <c r="A41" s="6"/>
      <c r="B41" s="6" t="s">
        <v>482</v>
      </c>
      <c r="C41" s="6"/>
      <c r="D41" s="6">
        <v>-1</v>
      </c>
      <c r="E41" s="6"/>
      <c r="F41" s="6"/>
      <c r="G41" s="6"/>
      <c r="H41" s="6"/>
      <c r="I41" s="6"/>
    </row>
    <row r="42" spans="1:9" x14ac:dyDescent="0.3">
      <c r="A42" s="6"/>
      <c r="B42" s="6" t="s">
        <v>700</v>
      </c>
      <c r="C42" s="6"/>
      <c r="D42" s="6">
        <v>-1</v>
      </c>
      <c r="E42" s="6"/>
      <c r="F42" s="6"/>
      <c r="G42" s="6"/>
      <c r="H42" s="6"/>
      <c r="I42" s="6"/>
    </row>
    <row r="43" spans="1:9" x14ac:dyDescent="0.3">
      <c r="A43" s="6"/>
      <c r="B43" s="6" t="s">
        <v>454</v>
      </c>
      <c r="C43" s="6"/>
      <c r="D43" s="6">
        <v>-1</v>
      </c>
      <c r="E43" s="6"/>
      <c r="F43" s="6"/>
      <c r="G43" s="6"/>
      <c r="H43" s="6"/>
      <c r="I43" s="6"/>
    </row>
    <row r="44" spans="1:9" x14ac:dyDescent="0.3">
      <c r="A44" s="6"/>
      <c r="B44" s="6" t="s">
        <v>726</v>
      </c>
      <c r="C44" s="6"/>
      <c r="D44" s="6">
        <v>-1</v>
      </c>
      <c r="E44" s="6"/>
      <c r="F44" s="6"/>
      <c r="G44" s="6"/>
      <c r="H44" s="6"/>
      <c r="I44" s="6"/>
    </row>
    <row r="45" spans="1:9" x14ac:dyDescent="0.3">
      <c r="A45" s="6"/>
      <c r="B45" s="6" t="s">
        <v>372</v>
      </c>
      <c r="C45" s="6"/>
      <c r="D45" s="6">
        <v>-1</v>
      </c>
      <c r="E45" s="6"/>
      <c r="F45" s="6"/>
      <c r="G45" s="6"/>
      <c r="H45" s="6"/>
      <c r="I45" s="6"/>
    </row>
    <row r="46" spans="1:9" x14ac:dyDescent="0.3">
      <c r="A46" s="6"/>
      <c r="B46" s="6" t="s">
        <v>598</v>
      </c>
      <c r="C46" s="6"/>
      <c r="D46" s="6">
        <v>-1</v>
      </c>
      <c r="E46" s="6"/>
      <c r="F46" s="6"/>
      <c r="G46" s="6"/>
      <c r="H46" s="6"/>
      <c r="I46" s="6"/>
    </row>
    <row r="47" spans="1:9" x14ac:dyDescent="0.3">
      <c r="A47" s="6"/>
      <c r="B47" s="6" t="s">
        <v>604</v>
      </c>
      <c r="C47" s="6"/>
      <c r="D47" s="6">
        <v>-1</v>
      </c>
      <c r="E47" s="6"/>
      <c r="F47" s="6"/>
      <c r="G47" s="6"/>
      <c r="H47" s="6"/>
      <c r="I47" s="6"/>
    </row>
    <row r="48" spans="1:9" x14ac:dyDescent="0.3">
      <c r="A48" s="6"/>
      <c r="B48" s="6" t="s">
        <v>378</v>
      </c>
      <c r="C48" s="6"/>
      <c r="D48" s="6">
        <v>-1</v>
      </c>
      <c r="E48" s="6"/>
      <c r="F48" s="6"/>
      <c r="G48" s="6"/>
      <c r="H48" s="6"/>
      <c r="I48" s="6"/>
    </row>
    <row r="49" spans="1:9" x14ac:dyDescent="0.3">
      <c r="A49" s="6"/>
      <c r="B49" s="6" t="s">
        <v>502</v>
      </c>
      <c r="C49" s="6"/>
      <c r="D49" s="6">
        <v>-1</v>
      </c>
      <c r="E49" s="6"/>
      <c r="F49" s="6"/>
      <c r="G49" s="6"/>
      <c r="H49" s="6"/>
      <c r="I49" s="6"/>
    </row>
    <row r="50" spans="1:9" x14ac:dyDescent="0.3">
      <c r="A50" s="6"/>
      <c r="B50" s="6" t="s">
        <v>720</v>
      </c>
      <c r="C50" s="6"/>
      <c r="D50" s="6">
        <v>-1</v>
      </c>
      <c r="E50" s="6"/>
      <c r="F50" s="6"/>
      <c r="G50" s="6"/>
      <c r="H50" s="6"/>
      <c r="I50" s="6"/>
    </row>
    <row r="51" spans="1:9" x14ac:dyDescent="0.3">
      <c r="A51" s="6"/>
      <c r="B51" s="6" t="s">
        <v>610</v>
      </c>
      <c r="C51" s="6"/>
      <c r="D51" s="6">
        <v>-1</v>
      </c>
      <c r="E51" s="6"/>
      <c r="F51" s="6"/>
      <c r="G51" s="6"/>
      <c r="H51" s="6"/>
      <c r="I51" s="6"/>
    </row>
    <row r="52" spans="1:9" x14ac:dyDescent="0.3">
      <c r="A52" s="6"/>
      <c r="B52" s="6" t="s">
        <v>690</v>
      </c>
      <c r="C52" s="6"/>
      <c r="D52" s="6">
        <v>-1</v>
      </c>
      <c r="E52" s="6"/>
      <c r="F52" s="6"/>
      <c r="G52" s="6"/>
      <c r="H52" s="6"/>
      <c r="I52" s="6"/>
    </row>
    <row r="53" spans="1:9" x14ac:dyDescent="0.3">
      <c r="A53" s="6"/>
      <c r="B53" s="6" t="s">
        <v>392</v>
      </c>
      <c r="C53" s="6"/>
      <c r="D53" s="6">
        <v>-1</v>
      </c>
      <c r="E53" s="6"/>
      <c r="F53" s="6"/>
      <c r="G53" s="6"/>
      <c r="H53" s="6"/>
      <c r="I53" s="6"/>
    </row>
    <row r="54" spans="1:9" x14ac:dyDescent="0.3">
      <c r="A54" s="6"/>
      <c r="B54" s="6" t="s">
        <v>406</v>
      </c>
      <c r="C54" s="6"/>
      <c r="D54" s="6">
        <v>-1</v>
      </c>
      <c r="E54" s="6"/>
      <c r="F54" s="6"/>
      <c r="G54" s="6"/>
      <c r="H54" s="6"/>
      <c r="I54" s="6"/>
    </row>
    <row r="55" spans="1:9" x14ac:dyDescent="0.3">
      <c r="A55" s="6"/>
      <c r="B55" s="6" t="s">
        <v>718</v>
      </c>
      <c r="C55" s="6"/>
      <c r="D55" s="6">
        <v>-1</v>
      </c>
      <c r="E55" s="6"/>
      <c r="F55" s="6"/>
      <c r="G55" s="6"/>
      <c r="H55" s="6"/>
      <c r="I55" s="6"/>
    </row>
    <row r="56" spans="1:9" x14ac:dyDescent="0.3">
      <c r="A56" s="6"/>
      <c r="B56" s="6" t="s">
        <v>456</v>
      </c>
      <c r="C56" s="6"/>
      <c r="D56" s="6"/>
      <c r="E56" s="6">
        <v>-1</v>
      </c>
      <c r="F56" s="6"/>
      <c r="G56" s="6"/>
      <c r="H56" s="6"/>
      <c r="I56" s="6"/>
    </row>
    <row r="57" spans="1:9" x14ac:dyDescent="0.3">
      <c r="A57" s="6" t="s">
        <v>3740</v>
      </c>
      <c r="B57" s="6" t="s">
        <v>428</v>
      </c>
      <c r="C57" s="6"/>
      <c r="D57" s="6"/>
      <c r="E57" s="6">
        <v>3</v>
      </c>
      <c r="F57" s="6"/>
      <c r="G57" s="6"/>
      <c r="H57" s="6"/>
      <c r="I57" s="6"/>
    </row>
    <row r="58" spans="1:9" x14ac:dyDescent="0.3">
      <c r="A58" s="6"/>
      <c r="B58" s="6" t="s">
        <v>444</v>
      </c>
      <c r="C58" s="6"/>
      <c r="D58" s="6"/>
      <c r="E58" s="6">
        <v>-1</v>
      </c>
      <c r="F58" s="6"/>
      <c r="G58" s="6"/>
      <c r="H58" s="6"/>
      <c r="I58" s="6"/>
    </row>
    <row r="59" spans="1:9" x14ac:dyDescent="0.3">
      <c r="A59" s="6"/>
      <c r="B59" s="6" t="s">
        <v>356</v>
      </c>
      <c r="C59" s="6"/>
      <c r="D59" s="6"/>
      <c r="E59" s="6">
        <v>-1</v>
      </c>
      <c r="F59" s="6"/>
      <c r="G59" s="6"/>
      <c r="H59" s="6"/>
      <c r="I59" s="6"/>
    </row>
    <row r="60" spans="1:9" x14ac:dyDescent="0.3">
      <c r="A60" s="6"/>
      <c r="B60" s="6" t="s">
        <v>482</v>
      </c>
      <c r="C60" s="6"/>
      <c r="D60" s="6"/>
      <c r="E60" s="6">
        <v>-1</v>
      </c>
      <c r="F60" s="6"/>
      <c r="G60" s="6"/>
      <c r="H60" s="6"/>
      <c r="I60" s="6"/>
    </row>
    <row r="61" spans="1:9" x14ac:dyDescent="0.3">
      <c r="A61" s="6" t="s">
        <v>4111</v>
      </c>
      <c r="B61" s="6" t="s">
        <v>336</v>
      </c>
      <c r="C61" s="6"/>
      <c r="D61" s="6"/>
      <c r="E61" s="6">
        <v>17</v>
      </c>
      <c r="F61" s="6"/>
      <c r="G61" s="6"/>
      <c r="H61" s="6"/>
      <c r="I61" s="6"/>
    </row>
    <row r="62" spans="1:9" x14ac:dyDescent="0.3">
      <c r="A62" s="6" t="s">
        <v>3514</v>
      </c>
      <c r="B62" s="6" t="s">
        <v>580</v>
      </c>
      <c r="C62" s="6"/>
      <c r="D62" s="6"/>
      <c r="E62" s="6">
        <v>17</v>
      </c>
      <c r="F62" s="6"/>
      <c r="G62" s="6"/>
      <c r="H62" s="6"/>
      <c r="I62" s="6"/>
    </row>
    <row r="63" spans="1:9" x14ac:dyDescent="0.3">
      <c r="A63" s="6"/>
      <c r="B63" s="6" t="s">
        <v>384</v>
      </c>
      <c r="C63" s="6"/>
      <c r="D63" s="6"/>
      <c r="E63" s="6">
        <v>-1</v>
      </c>
      <c r="F63" s="6"/>
      <c r="G63" s="6"/>
      <c r="H63" s="6"/>
      <c r="I63" s="6"/>
    </row>
    <row r="64" spans="1:9" x14ac:dyDescent="0.3">
      <c r="A64" s="6"/>
      <c r="B64" s="6" t="s">
        <v>710</v>
      </c>
      <c r="C64" s="6"/>
      <c r="D64" s="6"/>
      <c r="E64" s="6">
        <v>-1</v>
      </c>
      <c r="F64" s="6"/>
      <c r="G64" s="6"/>
      <c r="H64" s="6"/>
      <c r="I64" s="6"/>
    </row>
    <row r="65" spans="1:9" x14ac:dyDescent="0.3">
      <c r="A65" s="6"/>
      <c r="B65" s="6" t="s">
        <v>390</v>
      </c>
      <c r="C65" s="6"/>
      <c r="D65" s="6"/>
      <c r="E65" s="6">
        <v>-1</v>
      </c>
      <c r="F65" s="6"/>
      <c r="G65" s="6"/>
      <c r="H65" s="6"/>
      <c r="I65" s="6"/>
    </row>
    <row r="66" spans="1:9" x14ac:dyDescent="0.3">
      <c r="A66" s="6"/>
      <c r="B66" s="6" t="s">
        <v>380</v>
      </c>
      <c r="C66" s="6"/>
      <c r="D66" s="6"/>
      <c r="E66" s="6">
        <v>-1</v>
      </c>
      <c r="F66" s="6"/>
      <c r="G66" s="6"/>
      <c r="H66" s="6"/>
      <c r="I66" s="6"/>
    </row>
    <row r="67" spans="1:9" x14ac:dyDescent="0.3">
      <c r="A67" s="6"/>
      <c r="B67" s="6" t="s">
        <v>330</v>
      </c>
      <c r="C67" s="6"/>
      <c r="D67" s="6"/>
      <c r="E67" s="6">
        <v>-1</v>
      </c>
      <c r="F67" s="6"/>
      <c r="G67" s="6"/>
      <c r="H67" s="6"/>
      <c r="I67" s="6"/>
    </row>
    <row r="68" spans="1:9" x14ac:dyDescent="0.3">
      <c r="A68" s="6" t="s">
        <v>3225</v>
      </c>
      <c r="B68" s="6" t="s">
        <v>608</v>
      </c>
      <c r="C68" s="6"/>
      <c r="D68" s="6"/>
      <c r="E68" s="6">
        <v>5</v>
      </c>
      <c r="F68" s="6"/>
      <c r="G68" s="6"/>
      <c r="H68" s="6"/>
      <c r="I68" s="6"/>
    </row>
    <row r="69" spans="1:9" x14ac:dyDescent="0.3">
      <c r="A69" s="6"/>
      <c r="B69" s="6" t="s">
        <v>604</v>
      </c>
      <c r="C69" s="6"/>
      <c r="D69" s="6"/>
      <c r="E69" s="6">
        <v>-1</v>
      </c>
      <c r="F69" s="6"/>
      <c r="G69" s="6"/>
      <c r="H69" s="6"/>
      <c r="I69" s="6"/>
    </row>
    <row r="70" spans="1:9" x14ac:dyDescent="0.3">
      <c r="A70" s="6" t="s">
        <v>1663</v>
      </c>
      <c r="B70" s="6" t="s">
        <v>332</v>
      </c>
      <c r="C70" s="6"/>
      <c r="D70" s="6"/>
      <c r="E70" s="6">
        <v>17</v>
      </c>
      <c r="F70" s="6"/>
      <c r="G70" s="6"/>
      <c r="H70" s="6"/>
      <c r="I70" s="6"/>
    </row>
    <row r="71" spans="1:9" x14ac:dyDescent="0.3">
      <c r="A71" s="6"/>
      <c r="B71" s="6" t="s">
        <v>598</v>
      </c>
      <c r="C71" s="6"/>
      <c r="D71" s="6"/>
      <c r="E71" s="6">
        <v>-1</v>
      </c>
      <c r="F71" s="6"/>
      <c r="G71" s="6"/>
      <c r="H71" s="6"/>
      <c r="I71" s="6"/>
    </row>
    <row r="72" spans="1:9" x14ac:dyDescent="0.3">
      <c r="A72" s="6" t="s">
        <v>1457</v>
      </c>
      <c r="B72" s="6" t="s">
        <v>388</v>
      </c>
      <c r="C72" s="6"/>
      <c r="D72" s="6"/>
      <c r="E72" s="6">
        <v>17</v>
      </c>
      <c r="F72" s="6"/>
      <c r="G72" s="6"/>
      <c r="H72" s="6"/>
      <c r="I72" s="6"/>
    </row>
    <row r="73" spans="1:9" x14ac:dyDescent="0.3">
      <c r="A73" s="6" t="s">
        <v>4456</v>
      </c>
      <c r="B73" s="6" t="s">
        <v>484</v>
      </c>
      <c r="C73" s="6"/>
      <c r="D73" s="6"/>
      <c r="E73" s="6">
        <v>17</v>
      </c>
      <c r="F73" s="6"/>
      <c r="G73" s="6"/>
      <c r="H73" s="6"/>
      <c r="I73" s="6"/>
    </row>
    <row r="74" spans="1:9" x14ac:dyDescent="0.3">
      <c r="A74" s="6"/>
      <c r="B74" s="6" t="s">
        <v>642</v>
      </c>
      <c r="C74" s="6"/>
      <c r="D74" s="6"/>
      <c r="E74" s="6">
        <v>-1</v>
      </c>
      <c r="F74" s="6"/>
      <c r="G74" s="6"/>
      <c r="H74" s="6"/>
      <c r="I74" s="6"/>
    </row>
    <row r="75" spans="1:9" x14ac:dyDescent="0.3">
      <c r="A75" s="6"/>
      <c r="B75" s="6" t="s">
        <v>478</v>
      </c>
      <c r="C75" s="6"/>
      <c r="D75" s="6"/>
      <c r="E75" s="6">
        <v>-1</v>
      </c>
      <c r="F75" s="6"/>
      <c r="G75" s="6"/>
      <c r="H75" s="6"/>
      <c r="I75" s="6"/>
    </row>
    <row r="76" spans="1:9" x14ac:dyDescent="0.3">
      <c r="A76" s="6"/>
      <c r="B76" s="6" t="s">
        <v>370</v>
      </c>
      <c r="C76" s="6"/>
      <c r="D76" s="6"/>
      <c r="E76" s="6">
        <v>-1</v>
      </c>
      <c r="F76" s="6"/>
      <c r="G76" s="6"/>
      <c r="H76" s="6"/>
      <c r="I76" s="6"/>
    </row>
    <row r="77" spans="1:9" x14ac:dyDescent="0.3">
      <c r="A77" s="6"/>
      <c r="B77" s="6" t="s">
        <v>682</v>
      </c>
      <c r="C77" s="6"/>
      <c r="D77" s="6"/>
      <c r="E77" s="6">
        <v>-1</v>
      </c>
      <c r="F77" s="6"/>
      <c r="G77" s="6"/>
      <c r="H77" s="6"/>
      <c r="I77" s="6"/>
    </row>
    <row r="78" spans="1:9" x14ac:dyDescent="0.3">
      <c r="A78" s="6"/>
      <c r="B78" s="6" t="s">
        <v>588</v>
      </c>
      <c r="C78" s="6"/>
      <c r="D78" s="6"/>
      <c r="E78" s="6">
        <v>-1</v>
      </c>
      <c r="F78" s="6"/>
      <c r="G78" s="6"/>
      <c r="H78" s="6"/>
      <c r="I78" s="6"/>
    </row>
    <row r="79" spans="1:9" x14ac:dyDescent="0.3">
      <c r="A79" s="6" t="s">
        <v>1725</v>
      </c>
      <c r="B79" s="6" t="s">
        <v>358</v>
      </c>
      <c r="C79" s="6"/>
      <c r="D79" s="6"/>
      <c r="E79" s="6">
        <v>9</v>
      </c>
      <c r="F79" s="6"/>
      <c r="G79" s="6"/>
      <c r="H79" s="6"/>
      <c r="I79" s="6"/>
    </row>
    <row r="80" spans="1:9" x14ac:dyDescent="0.3">
      <c r="A80" s="6"/>
      <c r="B80" s="6" t="s">
        <v>334</v>
      </c>
      <c r="C80" s="6"/>
      <c r="D80" s="6"/>
      <c r="E80" s="6">
        <v>-1</v>
      </c>
      <c r="F80" s="6"/>
      <c r="G80" s="6"/>
      <c r="H80" s="6"/>
      <c r="I80" s="6"/>
    </row>
    <row r="81" spans="1:9" x14ac:dyDescent="0.3">
      <c r="A81" s="6"/>
      <c r="B81" s="6" t="s">
        <v>394</v>
      </c>
      <c r="C81" s="6"/>
      <c r="D81" s="6"/>
      <c r="E81" s="6">
        <v>-1</v>
      </c>
      <c r="F81" s="6"/>
      <c r="G81" s="6"/>
      <c r="H81" s="6"/>
      <c r="I81" s="6"/>
    </row>
    <row r="82" spans="1:9" x14ac:dyDescent="0.3">
      <c r="A82" s="6"/>
      <c r="B82" s="6" t="s">
        <v>520</v>
      </c>
      <c r="C82" s="6"/>
      <c r="D82" s="6"/>
      <c r="E82" s="6"/>
      <c r="F82" s="6">
        <v>-1</v>
      </c>
      <c r="G82" s="6"/>
      <c r="H82" s="6"/>
      <c r="I82" s="6"/>
    </row>
    <row r="83" spans="1:9" x14ac:dyDescent="0.3">
      <c r="A83" s="6" t="s">
        <v>3510</v>
      </c>
      <c r="B83" s="6" t="s">
        <v>580</v>
      </c>
      <c r="C83" s="6"/>
      <c r="D83" s="6"/>
      <c r="E83" s="6"/>
      <c r="F83" s="6">
        <v>2</v>
      </c>
      <c r="G83" s="6"/>
      <c r="H83" s="6"/>
      <c r="I83" s="6"/>
    </row>
    <row r="84" spans="1:9" x14ac:dyDescent="0.3">
      <c r="A84" s="6"/>
      <c r="B84" s="6" t="s">
        <v>700</v>
      </c>
      <c r="C84" s="6"/>
      <c r="D84" s="6"/>
      <c r="E84" s="6"/>
      <c r="F84" s="6">
        <v>-1</v>
      </c>
      <c r="G84" s="6"/>
      <c r="H84" s="6"/>
      <c r="I84" s="6"/>
    </row>
    <row r="85" spans="1:9" x14ac:dyDescent="0.3">
      <c r="A85" s="6" t="s">
        <v>4503</v>
      </c>
      <c r="B85" s="6" t="s">
        <v>336</v>
      </c>
      <c r="C85" s="6"/>
      <c r="D85" s="6"/>
      <c r="E85" s="6"/>
      <c r="F85" s="6">
        <v>9</v>
      </c>
      <c r="G85" s="6"/>
      <c r="H85" s="6"/>
      <c r="I85" s="6"/>
    </row>
    <row r="86" spans="1:9" x14ac:dyDescent="0.3">
      <c r="A86" s="6"/>
      <c r="B86" s="6" t="s">
        <v>384</v>
      </c>
      <c r="C86" s="6"/>
      <c r="D86" s="6"/>
      <c r="E86" s="6"/>
      <c r="F86" s="6">
        <v>-1</v>
      </c>
      <c r="G86" s="6"/>
      <c r="H86" s="6"/>
      <c r="I86" s="6"/>
    </row>
    <row r="87" spans="1:9" x14ac:dyDescent="0.3">
      <c r="A87" s="6"/>
      <c r="B87" s="6" t="s">
        <v>456</v>
      </c>
      <c r="C87" s="6"/>
      <c r="D87" s="6"/>
      <c r="E87" s="6"/>
      <c r="F87" s="6">
        <v>-1</v>
      </c>
      <c r="G87" s="6"/>
      <c r="H87" s="6"/>
      <c r="I87" s="6"/>
    </row>
    <row r="88" spans="1:9" x14ac:dyDescent="0.3">
      <c r="A88" s="6"/>
      <c r="B88" s="6" t="s">
        <v>710</v>
      </c>
      <c r="C88" s="6"/>
      <c r="D88" s="6"/>
      <c r="E88" s="6"/>
      <c r="F88" s="6">
        <v>-1</v>
      </c>
      <c r="G88" s="6"/>
      <c r="H88" s="6"/>
      <c r="I88" s="6"/>
    </row>
    <row r="89" spans="1:9" x14ac:dyDescent="0.3">
      <c r="A89" s="6" t="s">
        <v>3318</v>
      </c>
      <c r="B89" s="6" t="s">
        <v>428</v>
      </c>
      <c r="C89" s="6"/>
      <c r="D89" s="6"/>
      <c r="E89" s="6"/>
      <c r="F89" s="6">
        <v>1</v>
      </c>
      <c r="G89" s="6"/>
      <c r="H89" s="6"/>
      <c r="I89" s="6"/>
    </row>
    <row r="90" spans="1:9" x14ac:dyDescent="0.3">
      <c r="A90" s="6"/>
      <c r="B90" s="6" t="s">
        <v>604</v>
      </c>
      <c r="C90" s="6"/>
      <c r="D90" s="6"/>
      <c r="E90" s="6"/>
      <c r="F90" s="6">
        <v>-1</v>
      </c>
      <c r="G90" s="6"/>
      <c r="H90" s="6"/>
      <c r="I90" s="6"/>
    </row>
    <row r="91" spans="1:9" x14ac:dyDescent="0.3">
      <c r="A91" s="6"/>
      <c r="B91" s="6" t="s">
        <v>718</v>
      </c>
      <c r="C91" s="6"/>
      <c r="D91" s="6"/>
      <c r="E91" s="6"/>
      <c r="F91" s="6">
        <v>-1</v>
      </c>
      <c r="G91" s="6"/>
      <c r="H91" s="6"/>
      <c r="I91" s="6"/>
    </row>
    <row r="92" spans="1:9" x14ac:dyDescent="0.3">
      <c r="A92" s="6"/>
      <c r="B92" s="6" t="s">
        <v>482</v>
      </c>
      <c r="C92" s="6"/>
      <c r="D92" s="6"/>
      <c r="E92" s="6"/>
      <c r="F92" s="6">
        <v>-1</v>
      </c>
      <c r="G92" s="6"/>
      <c r="H92" s="6"/>
      <c r="I92" s="6"/>
    </row>
    <row r="93" spans="1:9" x14ac:dyDescent="0.3">
      <c r="A93" s="6"/>
      <c r="B93" s="6" t="s">
        <v>356</v>
      </c>
      <c r="C93" s="6"/>
      <c r="D93" s="6"/>
      <c r="E93" s="6"/>
      <c r="F93" s="6">
        <v>-1</v>
      </c>
      <c r="G93" s="6"/>
      <c r="H93" s="6"/>
      <c r="I93" s="6"/>
    </row>
    <row r="94" spans="1:9" x14ac:dyDescent="0.3">
      <c r="A94" s="6"/>
      <c r="B94" s="6" t="s">
        <v>412</v>
      </c>
      <c r="C94" s="6"/>
      <c r="D94" s="6"/>
      <c r="E94" s="6"/>
      <c r="F94" s="6">
        <v>-1</v>
      </c>
      <c r="G94" s="6"/>
      <c r="H94" s="6"/>
      <c r="I94" s="6"/>
    </row>
    <row r="95" spans="1:9" x14ac:dyDescent="0.3">
      <c r="A95" s="6" t="s">
        <v>3516</v>
      </c>
      <c r="B95" s="6" t="s">
        <v>454</v>
      </c>
      <c r="C95" s="6"/>
      <c r="D95" s="6"/>
      <c r="E95" s="6"/>
      <c r="F95" s="6">
        <v>17</v>
      </c>
      <c r="G95" s="6"/>
      <c r="H95" s="6"/>
      <c r="I95" s="6"/>
    </row>
    <row r="96" spans="1:9" x14ac:dyDescent="0.3">
      <c r="A96" s="6"/>
      <c r="B96" s="6" t="s">
        <v>598</v>
      </c>
      <c r="C96" s="6"/>
      <c r="D96" s="6"/>
      <c r="E96" s="6"/>
      <c r="F96" s="6">
        <v>-1</v>
      </c>
      <c r="G96" s="6"/>
      <c r="H96" s="6"/>
      <c r="I96" s="6"/>
    </row>
    <row r="97" spans="1:9" x14ac:dyDescent="0.3">
      <c r="A97" s="6"/>
      <c r="B97" s="6" t="s">
        <v>358</v>
      </c>
      <c r="C97" s="6"/>
      <c r="D97" s="6"/>
      <c r="E97" s="6"/>
      <c r="F97" s="6">
        <v>-1</v>
      </c>
      <c r="G97" s="6"/>
      <c r="H97" s="6"/>
      <c r="I97" s="6"/>
    </row>
    <row r="98" spans="1:9" x14ac:dyDescent="0.3">
      <c r="A98" s="6" t="s">
        <v>4399</v>
      </c>
      <c r="B98" s="6" t="s">
        <v>326</v>
      </c>
      <c r="C98" s="6"/>
      <c r="D98" s="6"/>
      <c r="E98" s="6"/>
      <c r="F98" s="6">
        <v>31</v>
      </c>
      <c r="G98" s="6"/>
      <c r="H98" s="6"/>
      <c r="I98" s="6"/>
    </row>
    <row r="99" spans="1:9" x14ac:dyDescent="0.3">
      <c r="A99" s="6" t="s">
        <v>3856</v>
      </c>
      <c r="B99" s="6" t="s">
        <v>524</v>
      </c>
      <c r="C99" s="6"/>
      <c r="D99" s="6"/>
      <c r="E99" s="6"/>
      <c r="F99" s="6">
        <v>17</v>
      </c>
      <c r="G99" s="6"/>
      <c r="H99" s="6"/>
      <c r="I99" s="6"/>
    </row>
    <row r="100" spans="1:9" x14ac:dyDescent="0.3">
      <c r="A100" s="6" t="s">
        <v>2934</v>
      </c>
      <c r="B100" s="6" t="s">
        <v>512</v>
      </c>
      <c r="C100" s="6"/>
      <c r="D100" s="6"/>
      <c r="E100" s="6"/>
      <c r="F100" s="6">
        <v>17</v>
      </c>
      <c r="G100" s="6"/>
      <c r="H100" s="6"/>
      <c r="I100" s="6"/>
    </row>
    <row r="101" spans="1:9" x14ac:dyDescent="0.3">
      <c r="A101" s="6"/>
      <c r="B101" s="6" t="s">
        <v>406</v>
      </c>
      <c r="C101" s="6"/>
      <c r="D101" s="6"/>
      <c r="E101" s="6"/>
      <c r="F101" s="6">
        <v>-1</v>
      </c>
      <c r="G101" s="6"/>
      <c r="H101" s="6"/>
      <c r="I101" s="6"/>
    </row>
    <row r="102" spans="1:9" x14ac:dyDescent="0.3">
      <c r="A102" s="6"/>
      <c r="B102" s="6" t="s">
        <v>334</v>
      </c>
      <c r="C102" s="6"/>
      <c r="D102" s="6"/>
      <c r="E102" s="6"/>
      <c r="F102" s="6">
        <v>-1</v>
      </c>
      <c r="G102" s="6"/>
      <c r="H102" s="6"/>
      <c r="I102" s="6"/>
    </row>
    <row r="103" spans="1:9" x14ac:dyDescent="0.3">
      <c r="A103" s="6"/>
      <c r="B103" s="6" t="s">
        <v>346</v>
      </c>
      <c r="C103" s="6"/>
      <c r="D103" s="6"/>
      <c r="E103" s="6"/>
      <c r="F103" s="6">
        <v>-1</v>
      </c>
      <c r="G103" s="6"/>
      <c r="H103" s="6"/>
      <c r="I103" s="6"/>
    </row>
    <row r="104" spans="1:9" x14ac:dyDescent="0.3">
      <c r="A104" s="6"/>
      <c r="B104" s="6" t="s">
        <v>390</v>
      </c>
      <c r="C104" s="6"/>
      <c r="D104" s="6"/>
      <c r="E104" s="6"/>
      <c r="F104" s="6">
        <v>-1</v>
      </c>
      <c r="G104" s="6"/>
      <c r="H104" s="6"/>
      <c r="I104" s="6"/>
    </row>
    <row r="105" spans="1:9" x14ac:dyDescent="0.3">
      <c r="A105" s="6"/>
      <c r="B105" s="6" t="s">
        <v>728</v>
      </c>
      <c r="C105" s="6"/>
      <c r="D105" s="6"/>
      <c r="E105" s="6"/>
      <c r="F105" s="6">
        <v>-1</v>
      </c>
      <c r="G105" s="6"/>
      <c r="H105" s="6"/>
      <c r="I105" s="6"/>
    </row>
    <row r="106" spans="1:9" x14ac:dyDescent="0.3">
      <c r="A106" s="6"/>
      <c r="B106" s="6" t="s">
        <v>398</v>
      </c>
      <c r="C106" s="6"/>
      <c r="D106" s="6"/>
      <c r="E106" s="6"/>
      <c r="F106" s="6">
        <v>-1</v>
      </c>
      <c r="G106" s="6"/>
      <c r="H106" s="6"/>
      <c r="I106" s="6"/>
    </row>
    <row r="107" spans="1:9" x14ac:dyDescent="0.3">
      <c r="A107" s="6"/>
      <c r="B107" s="6" t="s">
        <v>410</v>
      </c>
      <c r="C107" s="6"/>
      <c r="D107" s="6"/>
      <c r="E107" s="6"/>
      <c r="F107" s="6">
        <v>-1</v>
      </c>
      <c r="G107" s="6"/>
      <c r="H107" s="6"/>
      <c r="I107" s="6"/>
    </row>
    <row r="108" spans="1:9" x14ac:dyDescent="0.3">
      <c r="A108" s="6" t="s">
        <v>1947</v>
      </c>
      <c r="B108" s="6" t="s">
        <v>580</v>
      </c>
      <c r="C108" s="6"/>
      <c r="D108" s="6"/>
      <c r="E108" s="6"/>
      <c r="F108" s="6"/>
      <c r="G108" s="6">
        <v>1</v>
      </c>
      <c r="H108" s="6"/>
      <c r="I108" s="6"/>
    </row>
    <row r="109" spans="1:9" x14ac:dyDescent="0.3">
      <c r="A109" s="6" t="s">
        <v>3972</v>
      </c>
      <c r="B109" s="6" t="s">
        <v>690</v>
      </c>
      <c r="C109" s="6"/>
      <c r="D109" s="6"/>
      <c r="E109" s="6"/>
      <c r="F109" s="6"/>
      <c r="G109" s="6">
        <v>9</v>
      </c>
      <c r="H109" s="6"/>
      <c r="I109" s="6"/>
    </row>
    <row r="110" spans="1:9" x14ac:dyDescent="0.3">
      <c r="A110" s="6"/>
      <c r="B110" s="6" t="s">
        <v>428</v>
      </c>
      <c r="C110" s="6"/>
      <c r="D110" s="6"/>
      <c r="E110" s="6"/>
      <c r="F110" s="6"/>
      <c r="G110" s="6">
        <v>-1</v>
      </c>
      <c r="H110" s="6"/>
      <c r="I110" s="6"/>
    </row>
    <row r="111" spans="1:9" x14ac:dyDescent="0.3">
      <c r="A111" s="6"/>
      <c r="B111" s="6" t="s">
        <v>610</v>
      </c>
      <c r="C111" s="6"/>
      <c r="D111" s="6"/>
      <c r="E111" s="6"/>
      <c r="F111" s="6"/>
      <c r="G111" s="6">
        <v>-1</v>
      </c>
      <c r="H111" s="6"/>
      <c r="I111" s="6"/>
    </row>
    <row r="112" spans="1:9" x14ac:dyDescent="0.3">
      <c r="A112" s="6"/>
      <c r="B112" s="6" t="s">
        <v>406</v>
      </c>
      <c r="C112" s="6"/>
      <c r="D112" s="6"/>
      <c r="E112" s="6"/>
      <c r="F112" s="6"/>
      <c r="G112" s="6">
        <v>-1</v>
      </c>
      <c r="H112" s="6"/>
      <c r="I112" s="6"/>
    </row>
    <row r="113" spans="1:9" x14ac:dyDescent="0.3">
      <c r="A113" s="6"/>
      <c r="B113" s="6" t="s">
        <v>482</v>
      </c>
      <c r="C113" s="6"/>
      <c r="D113" s="6"/>
      <c r="E113" s="6"/>
      <c r="F113" s="6"/>
      <c r="G113" s="6">
        <v>-1</v>
      </c>
      <c r="H113" s="6"/>
      <c r="I113" s="6"/>
    </row>
    <row r="114" spans="1:9" x14ac:dyDescent="0.3">
      <c r="A114" s="6" t="s">
        <v>1928</v>
      </c>
      <c r="B114" s="6" t="s">
        <v>718</v>
      </c>
      <c r="C114" s="6"/>
      <c r="D114" s="6"/>
      <c r="E114" s="6"/>
      <c r="F114" s="6"/>
      <c r="G114" s="6">
        <v>17</v>
      </c>
      <c r="H114" s="6"/>
      <c r="I114" s="6"/>
    </row>
    <row r="115" spans="1:9" x14ac:dyDescent="0.3">
      <c r="A115" s="6"/>
      <c r="B115" s="6" t="s">
        <v>356</v>
      </c>
      <c r="C115" s="6"/>
      <c r="D115" s="6"/>
      <c r="E115" s="6"/>
      <c r="F115" s="6"/>
      <c r="G115" s="6">
        <v>-1</v>
      </c>
      <c r="H115" s="6"/>
      <c r="I115" s="6"/>
    </row>
    <row r="116" spans="1:9" x14ac:dyDescent="0.3">
      <c r="A116" s="6"/>
      <c r="B116" s="6" t="s">
        <v>470</v>
      </c>
      <c r="C116" s="6"/>
      <c r="D116" s="6"/>
      <c r="E116" s="6"/>
      <c r="F116" s="6"/>
      <c r="G116" s="6">
        <v>-1</v>
      </c>
      <c r="H116" s="6"/>
      <c r="I116" s="6"/>
    </row>
    <row r="117" spans="1:9" x14ac:dyDescent="0.3">
      <c r="A117" s="6" t="s">
        <v>3076</v>
      </c>
      <c r="B117" s="6" t="s">
        <v>336</v>
      </c>
      <c r="C117" s="6"/>
      <c r="D117" s="6"/>
      <c r="E117" s="6"/>
      <c r="F117" s="6"/>
      <c r="G117" s="6">
        <v>5</v>
      </c>
      <c r="H117" s="6"/>
      <c r="I117" s="6"/>
    </row>
    <row r="118" spans="1:9" x14ac:dyDescent="0.3">
      <c r="A118" s="6"/>
      <c r="B118" s="6" t="s">
        <v>456</v>
      </c>
      <c r="C118" s="6"/>
      <c r="D118" s="6"/>
      <c r="E118" s="6"/>
      <c r="F118" s="6"/>
      <c r="G118" s="6">
        <v>-1</v>
      </c>
      <c r="H118" s="6"/>
      <c r="I118" s="6"/>
    </row>
    <row r="119" spans="1:9" x14ac:dyDescent="0.3">
      <c r="A119" s="6"/>
      <c r="B119" s="6" t="s">
        <v>370</v>
      </c>
      <c r="C119" s="6"/>
      <c r="D119" s="6"/>
      <c r="E119" s="6"/>
      <c r="F119" s="6"/>
      <c r="G119" s="6">
        <v>-1</v>
      </c>
      <c r="H119" s="6"/>
      <c r="I119" s="6"/>
    </row>
    <row r="120" spans="1:9" x14ac:dyDescent="0.3">
      <c r="A120" s="6" t="s">
        <v>1949</v>
      </c>
      <c r="B120" s="6" t="s">
        <v>330</v>
      </c>
      <c r="C120" s="6"/>
      <c r="D120" s="6"/>
      <c r="E120" s="6"/>
      <c r="F120" s="6"/>
      <c r="G120" s="6">
        <v>5</v>
      </c>
      <c r="H120" s="6"/>
      <c r="I120" s="6"/>
    </row>
    <row r="121" spans="1:9" x14ac:dyDescent="0.3">
      <c r="A121" s="6"/>
      <c r="B121" s="6" t="s">
        <v>342</v>
      </c>
      <c r="C121" s="6"/>
      <c r="D121" s="6"/>
      <c r="E121" s="6"/>
      <c r="F121" s="6"/>
      <c r="G121" s="6">
        <v>-1</v>
      </c>
      <c r="H121" s="6"/>
      <c r="I121" s="6"/>
    </row>
    <row r="122" spans="1:9" x14ac:dyDescent="0.3">
      <c r="A122" s="6"/>
      <c r="B122" s="6" t="s">
        <v>412</v>
      </c>
      <c r="C122" s="6"/>
      <c r="D122" s="6"/>
      <c r="E122" s="6"/>
      <c r="F122" s="6"/>
      <c r="G122" s="6">
        <v>-1</v>
      </c>
      <c r="H122" s="6"/>
      <c r="I122" s="6"/>
    </row>
    <row r="123" spans="1:9" x14ac:dyDescent="0.3">
      <c r="A123" s="6" t="s">
        <v>3404</v>
      </c>
      <c r="B123" s="6" t="s">
        <v>710</v>
      </c>
      <c r="C123" s="6"/>
      <c r="D123" s="6"/>
      <c r="E123" s="6"/>
      <c r="F123" s="6"/>
      <c r="G123" s="6">
        <v>17</v>
      </c>
      <c r="H123" s="6"/>
      <c r="I123" s="6"/>
    </row>
    <row r="124" spans="1:9" x14ac:dyDescent="0.3">
      <c r="A124" s="6"/>
      <c r="B124" s="6" t="s">
        <v>636</v>
      </c>
      <c r="C124" s="6"/>
      <c r="D124" s="6"/>
      <c r="E124" s="6"/>
      <c r="F124" s="6"/>
      <c r="G124" s="6">
        <v>-1</v>
      </c>
      <c r="H124" s="6"/>
      <c r="I124" s="6"/>
    </row>
    <row r="125" spans="1:9" x14ac:dyDescent="0.3">
      <c r="A125" s="6"/>
      <c r="B125" s="6" t="s">
        <v>700</v>
      </c>
      <c r="C125" s="6"/>
      <c r="D125" s="6"/>
      <c r="E125" s="6"/>
      <c r="F125" s="6"/>
      <c r="G125" s="6">
        <v>-1</v>
      </c>
      <c r="H125" s="6"/>
      <c r="I125" s="6"/>
    </row>
    <row r="126" spans="1:9" x14ac:dyDescent="0.3">
      <c r="A126" s="6"/>
      <c r="B126" s="6" t="s">
        <v>460</v>
      </c>
      <c r="C126" s="6"/>
      <c r="D126" s="6"/>
      <c r="E126" s="6"/>
      <c r="F126" s="6"/>
      <c r="G126" s="6">
        <v>-1</v>
      </c>
      <c r="H126" s="6"/>
      <c r="I126" s="6"/>
    </row>
    <row r="127" spans="1:9" x14ac:dyDescent="0.3">
      <c r="A127" s="6"/>
      <c r="B127" s="6" t="s">
        <v>454</v>
      </c>
      <c r="C127" s="6"/>
      <c r="D127" s="6"/>
      <c r="E127" s="6"/>
      <c r="F127" s="6"/>
      <c r="G127" s="6">
        <v>-1</v>
      </c>
      <c r="H127" s="6"/>
      <c r="I127" s="6"/>
    </row>
    <row r="128" spans="1:9" x14ac:dyDescent="0.3">
      <c r="A128" s="6" t="s">
        <v>2250</v>
      </c>
      <c r="B128" s="6" t="s">
        <v>442</v>
      </c>
      <c r="C128" s="6"/>
      <c r="D128" s="6"/>
      <c r="E128" s="6"/>
      <c r="F128" s="6"/>
      <c r="G128" s="6">
        <v>17</v>
      </c>
      <c r="H128" s="6"/>
      <c r="I128" s="6"/>
    </row>
    <row r="129" spans="1:9" x14ac:dyDescent="0.3">
      <c r="A129" s="6"/>
      <c r="B129" s="6" t="s">
        <v>572</v>
      </c>
      <c r="C129" s="6"/>
      <c r="D129" s="6"/>
      <c r="E129" s="6"/>
      <c r="F129" s="6"/>
      <c r="G129" s="6">
        <v>-1</v>
      </c>
      <c r="H129" s="6"/>
      <c r="I129" s="6"/>
    </row>
    <row r="130" spans="1:9" x14ac:dyDescent="0.3">
      <c r="A130" s="6" t="s">
        <v>3166</v>
      </c>
      <c r="B130" s="6" t="s">
        <v>338</v>
      </c>
      <c r="C130" s="6"/>
      <c r="D130" s="6"/>
      <c r="E130" s="6"/>
      <c r="F130" s="6"/>
      <c r="G130" s="6">
        <v>9</v>
      </c>
      <c r="H130" s="6"/>
      <c r="I130" s="6"/>
    </row>
    <row r="131" spans="1:9" x14ac:dyDescent="0.3">
      <c r="A131" s="6" t="s">
        <v>4598</v>
      </c>
      <c r="B131" s="6" t="s">
        <v>348</v>
      </c>
      <c r="C131" s="6"/>
      <c r="D131" s="6"/>
      <c r="E131" s="6"/>
      <c r="F131" s="6"/>
      <c r="G131" s="6">
        <v>9</v>
      </c>
      <c r="H131" s="6"/>
      <c r="I131" s="6"/>
    </row>
    <row r="132" spans="1:9" x14ac:dyDescent="0.3">
      <c r="A132" s="6" t="s">
        <v>3865</v>
      </c>
      <c r="B132" s="6" t="s">
        <v>374</v>
      </c>
      <c r="C132" s="6"/>
      <c r="D132" s="6"/>
      <c r="E132" s="6"/>
      <c r="F132" s="6"/>
      <c r="G132" s="6">
        <v>17</v>
      </c>
      <c r="H132" s="6"/>
      <c r="I132" s="6"/>
    </row>
    <row r="133" spans="1:9" x14ac:dyDescent="0.3">
      <c r="A133" s="6"/>
      <c r="B133" s="6" t="s">
        <v>332</v>
      </c>
      <c r="C133" s="6"/>
      <c r="D133" s="6"/>
      <c r="E133" s="6"/>
      <c r="F133" s="6"/>
      <c r="G133" s="6">
        <v>-1</v>
      </c>
      <c r="H133" s="6"/>
      <c r="I133" s="6"/>
    </row>
    <row r="134" spans="1:9" x14ac:dyDescent="0.3">
      <c r="A134" s="6"/>
      <c r="B134" s="6" t="s">
        <v>334</v>
      </c>
      <c r="C134" s="6"/>
      <c r="D134" s="6"/>
      <c r="E134" s="6"/>
      <c r="F134" s="6"/>
      <c r="G134" s="6">
        <v>-1</v>
      </c>
      <c r="H134" s="6"/>
      <c r="I134" s="6"/>
    </row>
    <row r="135" spans="1:9" x14ac:dyDescent="0.3">
      <c r="A135" s="6"/>
      <c r="B135" s="6" t="s">
        <v>456</v>
      </c>
      <c r="C135" s="6"/>
      <c r="D135" s="6"/>
      <c r="E135" s="6"/>
      <c r="F135" s="6"/>
      <c r="G135" s="6"/>
      <c r="H135" s="6">
        <v>-1</v>
      </c>
      <c r="I135" s="6"/>
    </row>
    <row r="136" spans="1:9" x14ac:dyDescent="0.3">
      <c r="A136" s="6"/>
      <c r="B136" s="6" t="s">
        <v>580</v>
      </c>
      <c r="C136" s="6"/>
      <c r="D136" s="6"/>
      <c r="E136" s="6"/>
      <c r="F136" s="6"/>
      <c r="G136" s="6"/>
      <c r="H136" s="6">
        <v>-1</v>
      </c>
      <c r="I136" s="6"/>
    </row>
    <row r="137" spans="1:9" x14ac:dyDescent="0.3">
      <c r="A137" s="6"/>
      <c r="B137" s="6" t="s">
        <v>384</v>
      </c>
      <c r="C137" s="6"/>
      <c r="D137" s="6"/>
      <c r="E137" s="6"/>
      <c r="F137" s="6"/>
      <c r="G137" s="6"/>
      <c r="H137" s="6">
        <v>-1</v>
      </c>
      <c r="I137" s="6"/>
    </row>
    <row r="138" spans="1:9" x14ac:dyDescent="0.3">
      <c r="A138" s="6"/>
      <c r="B138" s="6" t="s">
        <v>482</v>
      </c>
      <c r="C138" s="6"/>
      <c r="D138" s="6"/>
      <c r="E138" s="6"/>
      <c r="F138" s="6"/>
      <c r="G138" s="6"/>
      <c r="H138" s="6">
        <v>-1</v>
      </c>
      <c r="I138" s="6"/>
    </row>
    <row r="139" spans="1:9" x14ac:dyDescent="0.3">
      <c r="A139" s="6"/>
      <c r="B139" s="6" t="s">
        <v>412</v>
      </c>
      <c r="C139" s="6"/>
      <c r="D139" s="6"/>
      <c r="E139" s="6"/>
      <c r="F139" s="6"/>
      <c r="G139" s="6"/>
      <c r="H139" s="6">
        <v>-1</v>
      </c>
      <c r="I139" s="6"/>
    </row>
    <row r="140" spans="1:9" x14ac:dyDescent="0.3">
      <c r="A140" s="6"/>
      <c r="B140" s="6" t="s">
        <v>330</v>
      </c>
      <c r="C140" s="6"/>
      <c r="D140" s="6"/>
      <c r="E140" s="6"/>
      <c r="F140" s="6"/>
      <c r="G140" s="6"/>
      <c r="H140" s="6">
        <v>-1</v>
      </c>
      <c r="I140" s="6"/>
    </row>
    <row r="141" spans="1:9" x14ac:dyDescent="0.3">
      <c r="A141" s="6"/>
      <c r="B141" s="6" t="s">
        <v>346</v>
      </c>
      <c r="C141" s="6"/>
      <c r="D141" s="6"/>
      <c r="E141" s="6"/>
      <c r="F141" s="6"/>
      <c r="G141" s="6"/>
      <c r="H141" s="6">
        <v>-1</v>
      </c>
      <c r="I141" s="6"/>
    </row>
    <row r="142" spans="1:9" x14ac:dyDescent="0.3">
      <c r="A142" s="6"/>
      <c r="B142" s="6" t="s">
        <v>642</v>
      </c>
      <c r="C142" s="6"/>
      <c r="D142" s="6"/>
      <c r="E142" s="6"/>
      <c r="F142" s="6"/>
      <c r="G142" s="6"/>
      <c r="H142" s="6">
        <v>-1</v>
      </c>
      <c r="I142" s="6"/>
    </row>
    <row r="143" spans="1:9" x14ac:dyDescent="0.3">
      <c r="A143" s="6" t="s">
        <v>2657</v>
      </c>
      <c r="B143" s="6" t="s">
        <v>598</v>
      </c>
      <c r="C143" s="6"/>
      <c r="D143" s="6"/>
      <c r="E143" s="6"/>
      <c r="F143" s="6"/>
      <c r="G143" s="6"/>
      <c r="H143" s="6">
        <v>3</v>
      </c>
      <c r="I143" s="6"/>
    </row>
    <row r="144" spans="1:9" x14ac:dyDescent="0.3">
      <c r="A144" s="6" t="s">
        <v>3061</v>
      </c>
      <c r="B144" s="6" t="s">
        <v>336</v>
      </c>
      <c r="C144" s="6"/>
      <c r="D144" s="6"/>
      <c r="E144" s="6"/>
      <c r="F144" s="6"/>
      <c r="G144" s="6"/>
      <c r="H144" s="6">
        <v>17</v>
      </c>
      <c r="I144" s="6"/>
    </row>
    <row r="145" spans="1:9" x14ac:dyDescent="0.3">
      <c r="A145" s="6" t="s">
        <v>4088</v>
      </c>
      <c r="B145" s="6" t="s">
        <v>428</v>
      </c>
      <c r="C145" s="6"/>
      <c r="D145" s="6"/>
      <c r="E145" s="6"/>
      <c r="F145" s="6"/>
      <c r="G145" s="6"/>
      <c r="H145" s="6">
        <v>7</v>
      </c>
      <c r="I145" s="6"/>
    </row>
    <row r="146" spans="1:9" x14ac:dyDescent="0.3">
      <c r="A146" s="6"/>
      <c r="B146" s="6" t="s">
        <v>444</v>
      </c>
      <c r="C146" s="6"/>
      <c r="D146" s="6"/>
      <c r="E146" s="6"/>
      <c r="F146" s="6"/>
      <c r="G146" s="6"/>
      <c r="H146" s="6">
        <v>-1</v>
      </c>
      <c r="I146" s="6"/>
    </row>
    <row r="147" spans="1:9" x14ac:dyDescent="0.3">
      <c r="A147" s="6"/>
      <c r="B147" s="6" t="s">
        <v>690</v>
      </c>
      <c r="C147" s="6"/>
      <c r="D147" s="6"/>
      <c r="E147" s="6"/>
      <c r="F147" s="6"/>
      <c r="G147" s="6"/>
      <c r="H147" s="6">
        <v>-1</v>
      </c>
      <c r="I147" s="6"/>
    </row>
    <row r="148" spans="1:9" x14ac:dyDescent="0.3">
      <c r="A148" s="6"/>
      <c r="B148" s="6" t="s">
        <v>356</v>
      </c>
      <c r="C148" s="6"/>
      <c r="D148" s="6"/>
      <c r="E148" s="6"/>
      <c r="F148" s="6"/>
      <c r="G148" s="6"/>
      <c r="H148" s="6">
        <v>-1</v>
      </c>
      <c r="I148" s="6"/>
    </row>
    <row r="149" spans="1:9" x14ac:dyDescent="0.3">
      <c r="A149" s="6"/>
      <c r="B149" s="6" t="s">
        <v>454</v>
      </c>
      <c r="C149" s="6"/>
      <c r="D149" s="6"/>
      <c r="E149" s="6"/>
      <c r="F149" s="6"/>
      <c r="G149" s="6"/>
      <c r="H149" s="6">
        <v>-1</v>
      </c>
      <c r="I149" s="6"/>
    </row>
    <row r="150" spans="1:9" x14ac:dyDescent="0.3">
      <c r="A150" s="6"/>
      <c r="B150" s="6" t="s">
        <v>358</v>
      </c>
      <c r="C150" s="6"/>
      <c r="D150" s="6"/>
      <c r="E150" s="6"/>
      <c r="F150" s="6"/>
      <c r="G150" s="6"/>
      <c r="H150" s="6">
        <v>-1</v>
      </c>
      <c r="I150" s="6"/>
    </row>
    <row r="151" spans="1:9" x14ac:dyDescent="0.3">
      <c r="A151" s="6"/>
      <c r="B151" s="6" t="s">
        <v>604</v>
      </c>
      <c r="C151" s="6"/>
      <c r="D151" s="6"/>
      <c r="E151" s="6"/>
      <c r="F151" s="6"/>
      <c r="G151" s="6"/>
      <c r="H151" s="6">
        <v>-1</v>
      </c>
      <c r="I151" s="6"/>
    </row>
    <row r="152" spans="1:9" x14ac:dyDescent="0.3">
      <c r="A152" s="6"/>
      <c r="B152" s="6" t="s">
        <v>520</v>
      </c>
      <c r="C152" s="6"/>
      <c r="D152" s="6"/>
      <c r="E152" s="6"/>
      <c r="F152" s="6"/>
      <c r="G152" s="6"/>
      <c r="H152" s="6">
        <v>-1</v>
      </c>
      <c r="I152" s="6"/>
    </row>
    <row r="153" spans="1:9" x14ac:dyDescent="0.3">
      <c r="A153" s="6" t="s">
        <v>3713</v>
      </c>
      <c r="B153" s="6" t="s">
        <v>450</v>
      </c>
      <c r="C153" s="6"/>
      <c r="D153" s="6"/>
      <c r="E153" s="6"/>
      <c r="F153" s="6"/>
      <c r="G153" s="6"/>
      <c r="H153" s="6">
        <v>17</v>
      </c>
      <c r="I153" s="6"/>
    </row>
    <row r="154" spans="1:9" x14ac:dyDescent="0.3">
      <c r="A154" s="6"/>
      <c r="B154" s="6" t="s">
        <v>394</v>
      </c>
      <c r="C154" s="6"/>
      <c r="D154" s="6"/>
      <c r="E154" s="6"/>
      <c r="F154" s="6"/>
      <c r="G154" s="6"/>
      <c r="H154" s="6">
        <v>-1</v>
      </c>
      <c r="I154" s="6"/>
    </row>
    <row r="155" spans="1:9" x14ac:dyDescent="0.3">
      <c r="A155" s="6" t="s">
        <v>3939</v>
      </c>
      <c r="B155" s="6" t="s">
        <v>366</v>
      </c>
      <c r="C155" s="6"/>
      <c r="D155" s="6"/>
      <c r="E155" s="6"/>
      <c r="F155" s="6"/>
      <c r="G155" s="6"/>
      <c r="H155" s="6">
        <v>17</v>
      </c>
      <c r="I155" s="6"/>
    </row>
    <row r="156" spans="1:9" x14ac:dyDescent="0.3">
      <c r="A156" s="6"/>
      <c r="B156" s="6" t="s">
        <v>406</v>
      </c>
      <c r="C156" s="6"/>
      <c r="D156" s="6"/>
      <c r="E156" s="6"/>
      <c r="F156" s="6"/>
      <c r="G156" s="6"/>
      <c r="H156" s="6">
        <v>-1</v>
      </c>
      <c r="I156" s="6"/>
    </row>
    <row r="157" spans="1:9" x14ac:dyDescent="0.3">
      <c r="A157" s="6"/>
      <c r="B157" s="6" t="s">
        <v>710</v>
      </c>
      <c r="C157" s="6"/>
      <c r="D157" s="6"/>
      <c r="E157" s="6"/>
      <c r="F157" s="6"/>
      <c r="G157" s="6"/>
      <c r="H157" s="6">
        <v>-1</v>
      </c>
      <c r="I157" s="6"/>
    </row>
    <row r="158" spans="1:9" x14ac:dyDescent="0.3">
      <c r="A158" s="6"/>
      <c r="B158" s="6" t="s">
        <v>700</v>
      </c>
      <c r="C158" s="6"/>
      <c r="D158" s="6"/>
      <c r="E158" s="6"/>
      <c r="F158" s="6"/>
      <c r="G158" s="6"/>
      <c r="H158" s="6"/>
      <c r="I158" s="6">
        <v>-1</v>
      </c>
    </row>
    <row r="159" spans="1:9" x14ac:dyDescent="0.3">
      <c r="A159" s="6"/>
      <c r="B159" s="6" t="s">
        <v>710</v>
      </c>
      <c r="C159" s="6"/>
      <c r="D159" s="6"/>
      <c r="E159" s="6"/>
      <c r="F159" s="6"/>
      <c r="G159" s="6"/>
      <c r="H159" s="6"/>
      <c r="I159" s="6">
        <v>-1</v>
      </c>
    </row>
    <row r="160" spans="1:9" x14ac:dyDescent="0.3">
      <c r="A160" s="6"/>
      <c r="B160" s="6" t="s">
        <v>580</v>
      </c>
      <c r="C160" s="6"/>
      <c r="D160" s="6"/>
      <c r="E160" s="6"/>
      <c r="F160" s="6"/>
      <c r="G160" s="6"/>
      <c r="H160" s="6"/>
      <c r="I160" s="6">
        <v>-1</v>
      </c>
    </row>
    <row r="161" spans="1:9" x14ac:dyDescent="0.3">
      <c r="A161" s="6"/>
      <c r="B161" s="6" t="s">
        <v>470</v>
      </c>
      <c r="C161" s="6"/>
      <c r="D161" s="6"/>
      <c r="E161" s="6"/>
      <c r="F161" s="6"/>
      <c r="G161" s="6"/>
      <c r="H161" s="6"/>
      <c r="I161" s="6">
        <v>-1</v>
      </c>
    </row>
    <row r="162" spans="1:9" x14ac:dyDescent="0.3">
      <c r="A162" s="6" t="s">
        <v>1759</v>
      </c>
      <c r="B162" s="6" t="s">
        <v>428</v>
      </c>
      <c r="C162" s="6"/>
      <c r="D162" s="6"/>
      <c r="E162" s="6"/>
      <c r="F162" s="6"/>
      <c r="G162" s="6"/>
      <c r="H162" s="6"/>
      <c r="I162" s="6">
        <v>5</v>
      </c>
    </row>
    <row r="163" spans="1:9" x14ac:dyDescent="0.3">
      <c r="A163" s="6"/>
      <c r="B163" s="6" t="s">
        <v>482</v>
      </c>
      <c r="C163" s="6"/>
      <c r="D163" s="6"/>
      <c r="E163" s="6"/>
      <c r="F163" s="6"/>
      <c r="G163" s="6"/>
      <c r="H163" s="6"/>
      <c r="I163" s="6">
        <v>-1</v>
      </c>
    </row>
    <row r="164" spans="1:9" x14ac:dyDescent="0.3">
      <c r="A164" s="6"/>
      <c r="B164" s="6" t="s">
        <v>372</v>
      </c>
      <c r="C164" s="6"/>
      <c r="D164" s="6"/>
      <c r="E164" s="6"/>
      <c r="F164" s="6"/>
      <c r="G164" s="6"/>
      <c r="H164" s="6"/>
      <c r="I164" s="6">
        <v>-1</v>
      </c>
    </row>
    <row r="165" spans="1:9" x14ac:dyDescent="0.3">
      <c r="A165" s="6" t="s">
        <v>2985</v>
      </c>
      <c r="B165" s="6" t="s">
        <v>442</v>
      </c>
      <c r="C165" s="6"/>
      <c r="D165" s="6"/>
      <c r="E165" s="6"/>
      <c r="F165" s="6"/>
      <c r="G165" s="6"/>
      <c r="H165" s="6"/>
      <c r="I165" s="6">
        <v>9</v>
      </c>
    </row>
    <row r="166" spans="1:9" x14ac:dyDescent="0.3">
      <c r="A166" s="6"/>
      <c r="B166" s="6" t="s">
        <v>412</v>
      </c>
      <c r="C166" s="6"/>
      <c r="D166" s="6"/>
      <c r="E166" s="6"/>
      <c r="F166" s="6"/>
      <c r="G166" s="6"/>
      <c r="H166" s="6"/>
      <c r="I166" s="6">
        <v>-1</v>
      </c>
    </row>
    <row r="167" spans="1:9" x14ac:dyDescent="0.3">
      <c r="A167" s="6"/>
      <c r="B167" s="6" t="s">
        <v>336</v>
      </c>
      <c r="C167" s="6"/>
      <c r="D167" s="6"/>
      <c r="E167" s="6"/>
      <c r="F167" s="6"/>
      <c r="G167" s="6"/>
      <c r="H167" s="6"/>
      <c r="I167" s="6">
        <v>-1</v>
      </c>
    </row>
    <row r="168" spans="1:9" x14ac:dyDescent="0.3">
      <c r="A168" s="6"/>
      <c r="B168" s="6" t="s">
        <v>454</v>
      </c>
      <c r="C168" s="6"/>
      <c r="D168" s="6"/>
      <c r="E168" s="6"/>
      <c r="F168" s="6"/>
      <c r="G168" s="6"/>
      <c r="H168" s="6"/>
      <c r="I168" s="6">
        <v>-1</v>
      </c>
    </row>
    <row r="169" spans="1:9" x14ac:dyDescent="0.3">
      <c r="A169" s="6" t="s">
        <v>2797</v>
      </c>
      <c r="B169" s="6" t="s">
        <v>408</v>
      </c>
      <c r="C169" s="6"/>
      <c r="D169" s="6"/>
      <c r="E169" s="6"/>
      <c r="F169" s="6"/>
      <c r="G169" s="6"/>
      <c r="H169" s="6"/>
      <c r="I169" s="6">
        <v>9</v>
      </c>
    </row>
    <row r="170" spans="1:9" x14ac:dyDescent="0.3">
      <c r="A170" s="6" t="s">
        <v>3511</v>
      </c>
      <c r="B170" s="6" t="s">
        <v>456</v>
      </c>
      <c r="C170" s="6"/>
      <c r="D170" s="6"/>
      <c r="E170" s="6"/>
      <c r="F170" s="6"/>
      <c r="G170" s="6"/>
      <c r="H170" s="6"/>
      <c r="I170" s="6">
        <v>7</v>
      </c>
    </row>
    <row r="171" spans="1:9" x14ac:dyDescent="0.3">
      <c r="A171" s="6"/>
      <c r="B171" s="6" t="s">
        <v>334</v>
      </c>
      <c r="C171" s="6"/>
      <c r="D171" s="6"/>
      <c r="E171" s="6"/>
      <c r="F171" s="6"/>
      <c r="G171" s="6"/>
      <c r="H171" s="6"/>
      <c r="I171" s="6">
        <v>-1</v>
      </c>
    </row>
    <row r="172" spans="1:9" x14ac:dyDescent="0.3">
      <c r="A172" s="6"/>
      <c r="B172" s="6" t="s">
        <v>642</v>
      </c>
      <c r="C172" s="6"/>
      <c r="D172" s="6"/>
      <c r="E172" s="6"/>
      <c r="F172" s="6"/>
      <c r="G172" s="6"/>
      <c r="H172" s="6"/>
      <c r="I172" s="6">
        <v>-1</v>
      </c>
    </row>
    <row r="173" spans="1:9" x14ac:dyDescent="0.3">
      <c r="A173" s="6"/>
      <c r="B173" s="6" t="s">
        <v>718</v>
      </c>
      <c r="C173" s="6"/>
      <c r="D173" s="6"/>
      <c r="E173" s="6"/>
      <c r="F173" s="6"/>
      <c r="G173" s="6"/>
      <c r="H173" s="6"/>
      <c r="I173" s="6">
        <v>-1</v>
      </c>
    </row>
    <row r="174" spans="1:9" x14ac:dyDescent="0.3">
      <c r="A174" s="6"/>
      <c r="B174" s="6" t="s">
        <v>688</v>
      </c>
      <c r="C174" s="6"/>
      <c r="D174" s="6"/>
      <c r="E174" s="6"/>
      <c r="F174" s="6"/>
      <c r="G174" s="6"/>
      <c r="H174" s="6"/>
      <c r="I174" s="6">
        <v>-1</v>
      </c>
    </row>
    <row r="175" spans="1:9" x14ac:dyDescent="0.3">
      <c r="A175" s="6"/>
      <c r="B175" s="6" t="s">
        <v>380</v>
      </c>
      <c r="C175" s="6"/>
      <c r="D175" s="6"/>
      <c r="E175" s="6"/>
      <c r="F175" s="6"/>
      <c r="G175" s="6"/>
      <c r="H175" s="6"/>
      <c r="I175" s="6">
        <v>-1</v>
      </c>
    </row>
    <row r="176" spans="1:9" x14ac:dyDescent="0.3">
      <c r="A176" s="6"/>
      <c r="B176" s="6" t="s">
        <v>584</v>
      </c>
      <c r="C176" s="6"/>
      <c r="D176" s="6"/>
      <c r="E176" s="6"/>
      <c r="F176" s="6"/>
      <c r="G176" s="6"/>
      <c r="H176" s="6"/>
      <c r="I176" s="6">
        <v>-1</v>
      </c>
    </row>
    <row r="177" spans="1:9" x14ac:dyDescent="0.3">
      <c r="A177" s="6"/>
      <c r="B177" s="6" t="s">
        <v>420</v>
      </c>
      <c r="C177" s="6"/>
      <c r="D177" s="6"/>
      <c r="E177" s="6"/>
      <c r="F177" s="6"/>
      <c r="G177" s="6"/>
      <c r="H177" s="6"/>
      <c r="I177" s="6">
        <v>-1</v>
      </c>
    </row>
    <row r="178" spans="1:9" x14ac:dyDescent="0.3">
      <c r="A178" s="6" t="s">
        <v>2128</v>
      </c>
      <c r="B178" s="6" t="s">
        <v>694</v>
      </c>
      <c r="C178" s="6"/>
      <c r="D178" s="6"/>
      <c r="E178" s="6"/>
      <c r="F178" s="6"/>
      <c r="G178" s="6"/>
      <c r="H178" s="6"/>
      <c r="I178" s="6">
        <v>17</v>
      </c>
    </row>
    <row r="179" spans="1:9" x14ac:dyDescent="0.3">
      <c r="A179" s="6"/>
      <c r="B179" s="6" t="s">
        <v>734</v>
      </c>
      <c r="C179" s="6">
        <v>-1</v>
      </c>
      <c r="D179" s="6"/>
      <c r="E179" s="6"/>
      <c r="F179" s="6"/>
      <c r="G179" s="6"/>
      <c r="H179" s="6"/>
      <c r="I179" s="6"/>
    </row>
    <row r="180" spans="1:9" x14ac:dyDescent="0.3">
      <c r="A180" s="6"/>
      <c r="B180" s="6" t="s">
        <v>656</v>
      </c>
      <c r="C180" s="6"/>
      <c r="D180" s="6">
        <v>-1</v>
      </c>
      <c r="E180" s="6"/>
      <c r="F180" s="6"/>
      <c r="G180" s="6"/>
      <c r="H180" s="6"/>
      <c r="I180" s="6"/>
    </row>
    <row r="181" spans="1:9" x14ac:dyDescent="0.3">
      <c r="A181" s="6"/>
      <c r="B181" s="6" t="s">
        <v>686</v>
      </c>
      <c r="C181" s="6"/>
      <c r="D181" s="6"/>
      <c r="E181" s="6">
        <v>-1</v>
      </c>
      <c r="F181" s="6"/>
      <c r="G181" s="6"/>
      <c r="H181" s="6"/>
      <c r="I181" s="6"/>
    </row>
    <row r="182" spans="1:9" x14ac:dyDescent="0.3">
      <c r="A182" s="6"/>
      <c r="B182" s="6" t="s">
        <v>624</v>
      </c>
      <c r="C182" s="6"/>
      <c r="D182" s="6"/>
      <c r="E182" s="6">
        <v>-1</v>
      </c>
      <c r="F182" s="6"/>
      <c r="G182" s="6"/>
      <c r="H182" s="6"/>
      <c r="I182" s="6"/>
    </row>
    <row r="183" spans="1:9" x14ac:dyDescent="0.3">
      <c r="A183" s="6"/>
      <c r="B183" s="6" t="s">
        <v>708</v>
      </c>
      <c r="C183" s="6"/>
      <c r="D183" s="6"/>
      <c r="E183" s="6">
        <v>-1</v>
      </c>
      <c r="F183" s="6"/>
      <c r="G183" s="6"/>
      <c r="H183" s="6"/>
      <c r="I183" s="6"/>
    </row>
    <row r="184" spans="1:9" x14ac:dyDescent="0.3">
      <c r="A184" s="6"/>
      <c r="B184" s="6" t="s">
        <v>492</v>
      </c>
      <c r="C184" s="6"/>
      <c r="D184" s="6"/>
      <c r="E184" s="6"/>
      <c r="F184" s="6">
        <v>-1</v>
      </c>
      <c r="G184" s="6"/>
      <c r="H184" s="6"/>
      <c r="I184" s="6"/>
    </row>
    <row r="185" spans="1:9" x14ac:dyDescent="0.3">
      <c r="A185" s="6"/>
      <c r="B185" s="6" t="s">
        <v>464</v>
      </c>
      <c r="C185" s="6"/>
      <c r="D185" s="6"/>
      <c r="E185" s="6"/>
      <c r="F185" s="6">
        <v>-1</v>
      </c>
      <c r="G185" s="6"/>
      <c r="H185" s="6"/>
      <c r="I185" s="6"/>
    </row>
    <row r="186" spans="1:9" x14ac:dyDescent="0.3">
      <c r="A186" s="6"/>
      <c r="B186" s="6" t="s">
        <v>624</v>
      </c>
      <c r="C186" s="6"/>
      <c r="D186" s="6"/>
      <c r="E186" s="6"/>
      <c r="F186" s="6">
        <v>-1</v>
      </c>
      <c r="G186" s="6"/>
      <c r="H186" s="6"/>
      <c r="I186" s="6"/>
    </row>
    <row r="187" spans="1:9" x14ac:dyDescent="0.3">
      <c r="A187" s="6"/>
      <c r="B187" s="6" t="s">
        <v>466</v>
      </c>
      <c r="C187" s="6"/>
      <c r="D187" s="6"/>
      <c r="E187" s="6"/>
      <c r="F187" s="6">
        <v>-1</v>
      </c>
      <c r="G187" s="6"/>
      <c r="H187" s="6"/>
      <c r="I187" s="6"/>
    </row>
    <row r="188" spans="1:9" x14ac:dyDescent="0.3">
      <c r="A188" s="6"/>
      <c r="B188" s="6" t="s">
        <v>538</v>
      </c>
      <c r="C188" s="6"/>
      <c r="D188" s="6"/>
      <c r="E188" s="6"/>
      <c r="F188" s="6"/>
      <c r="G188" s="6">
        <v>-1</v>
      </c>
      <c r="H188" s="6"/>
      <c r="I188" s="6"/>
    </row>
    <row r="189" spans="1:9" x14ac:dyDescent="0.3">
      <c r="A189" s="6"/>
      <c r="B189" s="6" t="s">
        <v>640</v>
      </c>
      <c r="C189" s="6"/>
      <c r="D189" s="6"/>
      <c r="E189" s="6"/>
      <c r="F189" s="6"/>
      <c r="G189" s="6"/>
      <c r="H189" s="6"/>
      <c r="I189" s="6">
        <v>-1</v>
      </c>
    </row>
    <row r="190" spans="1:9" x14ac:dyDescent="0.3">
      <c r="A190" s="6"/>
      <c r="B190" s="6" t="s">
        <v>386</v>
      </c>
      <c r="C190" s="6"/>
      <c r="D190" s="6">
        <v>-1</v>
      </c>
      <c r="E190" s="6"/>
      <c r="F190" s="6"/>
      <c r="G190" s="6"/>
      <c r="H190" s="6"/>
      <c r="I190" s="6"/>
    </row>
    <row r="191" spans="1:9" x14ac:dyDescent="0.3">
      <c r="A191" s="6"/>
      <c r="B191" s="6" t="s">
        <v>386</v>
      </c>
      <c r="C191" s="6"/>
      <c r="D191" s="6"/>
      <c r="E191" s="6"/>
      <c r="F191" s="6">
        <v>-1</v>
      </c>
      <c r="G191" s="6"/>
      <c r="H191" s="6"/>
      <c r="I191" s="6"/>
    </row>
    <row r="192" spans="1:9" x14ac:dyDescent="0.3">
      <c r="A192" s="6"/>
      <c r="B192" s="6" t="s">
        <v>386</v>
      </c>
      <c r="C192" s="6"/>
      <c r="D192" s="6"/>
      <c r="E192" s="6"/>
      <c r="F192" s="6"/>
      <c r="G192" s="6"/>
      <c r="H192" s="6">
        <v>-1</v>
      </c>
      <c r="I192" s="6"/>
    </row>
    <row r="193" spans="1:9" x14ac:dyDescent="0.3">
      <c r="A193" s="6" t="s">
        <v>1812</v>
      </c>
      <c r="B193" s="6" t="s">
        <v>712</v>
      </c>
      <c r="C193" s="6"/>
      <c r="D193" s="6"/>
      <c r="E193" s="6">
        <v>9</v>
      </c>
      <c r="F193" s="6"/>
      <c r="G193" s="6"/>
      <c r="H193" s="6"/>
      <c r="I193" s="6"/>
    </row>
    <row r="194" spans="1:9" x14ac:dyDescent="0.3">
      <c r="A194" s="6" t="s">
        <v>4584</v>
      </c>
      <c r="B194" s="6" t="s">
        <v>378</v>
      </c>
      <c r="C194" s="6"/>
      <c r="D194" s="6"/>
      <c r="E194" s="6"/>
      <c r="F194" s="6">
        <v>17</v>
      </c>
      <c r="G194" s="6"/>
      <c r="H194" s="6"/>
      <c r="I194" s="6"/>
    </row>
  </sheetData>
  <pageMargins left="0.7" right="0.7" top="0.75" bottom="0.75" header="0.3" footer="0.3"/>
  <tableParts count="1">
    <tablePart r:id="rId1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C87CD-F004-4D64-91CB-288E371518AF}">
  <dimension ref="A1:I186"/>
  <sheetViews>
    <sheetView topLeftCell="A178" workbookViewId="0">
      <selection activeCell="B187" sqref="B187"/>
    </sheetView>
  </sheetViews>
  <sheetFormatPr defaultRowHeight="14.4" x14ac:dyDescent="0.3"/>
  <cols>
    <col min="1" max="1" width="26.44140625" bestFit="1" customWidth="1"/>
    <col min="2" max="2" width="21.33203125" bestFit="1" customWidth="1"/>
    <col min="3" max="8" width="18.6640625" bestFit="1" customWidth="1"/>
    <col min="9" max="9" width="22.6640625" bestFit="1" customWidth="1"/>
  </cols>
  <sheetData>
    <row r="1" spans="1:9" x14ac:dyDescent="0.3">
      <c r="A1" t="s">
        <v>832</v>
      </c>
      <c r="B1" t="s">
        <v>1</v>
      </c>
      <c r="C1" t="s">
        <v>870</v>
      </c>
      <c r="D1" t="s">
        <v>871</v>
      </c>
      <c r="E1" t="s">
        <v>872</v>
      </c>
      <c r="F1" t="s">
        <v>873</v>
      </c>
      <c r="G1" t="s">
        <v>874</v>
      </c>
      <c r="H1" t="s">
        <v>875</v>
      </c>
      <c r="I1" t="s">
        <v>876</v>
      </c>
    </row>
    <row r="2" spans="1:9" x14ac:dyDescent="0.3">
      <c r="A2" s="6" t="s">
        <v>4854</v>
      </c>
      <c r="B2" s="6" t="s">
        <v>344</v>
      </c>
      <c r="C2" s="6">
        <v>3</v>
      </c>
      <c r="D2" s="6"/>
      <c r="E2" s="6"/>
      <c r="F2" s="6"/>
      <c r="G2" s="6"/>
      <c r="H2" s="6"/>
      <c r="I2" s="6"/>
    </row>
    <row r="3" spans="1:9" x14ac:dyDescent="0.3">
      <c r="A3" s="6" t="s">
        <v>2328</v>
      </c>
      <c r="B3" s="6" t="s">
        <v>344</v>
      </c>
      <c r="C3" s="6"/>
      <c r="D3" s="6">
        <v>3</v>
      </c>
      <c r="E3" s="6"/>
      <c r="F3" s="6"/>
      <c r="G3" s="6"/>
      <c r="H3" s="6"/>
      <c r="I3" s="6"/>
    </row>
    <row r="4" spans="1:9" x14ac:dyDescent="0.3">
      <c r="A4" s="6"/>
      <c r="B4" s="6" t="s">
        <v>344</v>
      </c>
      <c r="C4" s="6"/>
      <c r="D4" s="6"/>
      <c r="E4" s="6">
        <v>-1</v>
      </c>
      <c r="F4" s="6"/>
      <c r="G4" s="6"/>
      <c r="H4" s="6"/>
      <c r="I4" s="6"/>
    </row>
    <row r="5" spans="1:9" x14ac:dyDescent="0.3">
      <c r="A5" s="6" t="s">
        <v>4354</v>
      </c>
      <c r="B5" s="6" t="s">
        <v>344</v>
      </c>
      <c r="C5" s="6"/>
      <c r="D5" s="6"/>
      <c r="E5" s="6"/>
      <c r="F5" s="6">
        <v>3</v>
      </c>
      <c r="G5" s="6"/>
      <c r="H5" s="6"/>
      <c r="I5" s="6"/>
    </row>
    <row r="6" spans="1:9" x14ac:dyDescent="0.3">
      <c r="A6" s="6"/>
      <c r="B6" s="6" t="s">
        <v>344</v>
      </c>
      <c r="C6" s="6"/>
      <c r="D6" s="6"/>
      <c r="E6" s="6"/>
      <c r="F6" s="6"/>
      <c r="G6" s="6">
        <v>-1</v>
      </c>
      <c r="H6" s="6"/>
      <c r="I6" s="6"/>
    </row>
    <row r="7" spans="1:9" x14ac:dyDescent="0.3">
      <c r="A7" s="6"/>
      <c r="B7" s="6" t="s">
        <v>344</v>
      </c>
      <c r="C7" s="6"/>
      <c r="D7" s="6"/>
      <c r="E7" s="6"/>
      <c r="F7" s="6"/>
      <c r="G7" s="6"/>
      <c r="H7" s="6">
        <v>-1</v>
      </c>
      <c r="I7" s="6"/>
    </row>
    <row r="8" spans="1:9" x14ac:dyDescent="0.3">
      <c r="A8" s="6"/>
      <c r="B8" s="6" t="s">
        <v>344</v>
      </c>
      <c r="C8" s="6"/>
      <c r="D8" s="6"/>
      <c r="E8" s="6"/>
      <c r="F8" s="6"/>
      <c r="G8" s="6"/>
      <c r="H8" s="6"/>
      <c r="I8" s="6">
        <v>-1</v>
      </c>
    </row>
    <row r="9" spans="1:9" x14ac:dyDescent="0.3">
      <c r="A9" s="6"/>
      <c r="B9" s="6" t="s">
        <v>356</v>
      </c>
      <c r="C9" s="6">
        <v>-1</v>
      </c>
      <c r="D9" s="6"/>
      <c r="E9" s="6"/>
      <c r="F9" s="6"/>
      <c r="G9" s="6"/>
      <c r="H9" s="6"/>
      <c r="I9" s="6"/>
    </row>
    <row r="10" spans="1:9" x14ac:dyDescent="0.3">
      <c r="A10" s="6"/>
      <c r="B10" s="6" t="s">
        <v>642</v>
      </c>
      <c r="C10" s="6">
        <v>-1</v>
      </c>
      <c r="D10" s="6"/>
      <c r="E10" s="6"/>
      <c r="F10" s="6"/>
      <c r="G10" s="6"/>
      <c r="H10" s="6"/>
      <c r="I10" s="6"/>
    </row>
    <row r="11" spans="1:9" x14ac:dyDescent="0.3">
      <c r="A11" s="6"/>
      <c r="B11" s="6" t="s">
        <v>604</v>
      </c>
      <c r="C11" s="6">
        <v>-1</v>
      </c>
      <c r="D11" s="6"/>
      <c r="E11" s="6"/>
      <c r="F11" s="6"/>
      <c r="G11" s="6"/>
      <c r="H11" s="6"/>
      <c r="I11" s="6"/>
    </row>
    <row r="12" spans="1:9" x14ac:dyDescent="0.3">
      <c r="A12" s="6"/>
      <c r="B12" s="6" t="s">
        <v>428</v>
      </c>
      <c r="C12" s="6">
        <v>-1</v>
      </c>
      <c r="D12" s="6"/>
      <c r="E12" s="6"/>
      <c r="F12" s="6"/>
      <c r="G12" s="6"/>
      <c r="H12" s="6"/>
      <c r="I12" s="6"/>
    </row>
    <row r="13" spans="1:9" x14ac:dyDescent="0.3">
      <c r="A13" s="6"/>
      <c r="B13" s="6" t="s">
        <v>690</v>
      </c>
      <c r="C13" s="6">
        <v>-1</v>
      </c>
      <c r="D13" s="6"/>
      <c r="E13" s="6"/>
      <c r="F13" s="6"/>
      <c r="G13" s="6"/>
      <c r="H13" s="6"/>
      <c r="I13" s="6"/>
    </row>
    <row r="14" spans="1:9" x14ac:dyDescent="0.3">
      <c r="A14" s="6"/>
      <c r="B14" s="6" t="s">
        <v>346</v>
      </c>
      <c r="C14" s="6">
        <v>-1</v>
      </c>
      <c r="D14" s="6"/>
      <c r="E14" s="6"/>
      <c r="F14" s="6"/>
      <c r="G14" s="6"/>
      <c r="H14" s="6"/>
      <c r="I14" s="6"/>
    </row>
    <row r="15" spans="1:9" x14ac:dyDescent="0.3">
      <c r="A15" s="6"/>
      <c r="B15" s="6" t="s">
        <v>700</v>
      </c>
      <c r="C15" s="6">
        <v>-1</v>
      </c>
      <c r="D15" s="6"/>
      <c r="E15" s="6"/>
      <c r="F15" s="6"/>
      <c r="G15" s="6"/>
      <c r="H15" s="6"/>
      <c r="I15" s="6"/>
    </row>
    <row r="16" spans="1:9" x14ac:dyDescent="0.3">
      <c r="A16" s="6"/>
      <c r="B16" s="6" t="s">
        <v>332</v>
      </c>
      <c r="C16" s="6">
        <v>-1</v>
      </c>
      <c r="D16" s="6"/>
      <c r="E16" s="6"/>
      <c r="F16" s="6"/>
      <c r="G16" s="6"/>
      <c r="H16" s="6"/>
      <c r="I16" s="6"/>
    </row>
    <row r="17" spans="1:9" x14ac:dyDescent="0.3">
      <c r="A17" s="6"/>
      <c r="B17" s="6" t="s">
        <v>718</v>
      </c>
      <c r="C17" s="6">
        <v>-1</v>
      </c>
      <c r="D17" s="6"/>
      <c r="E17" s="6"/>
      <c r="F17" s="6"/>
      <c r="G17" s="6"/>
      <c r="H17" s="6"/>
      <c r="I17" s="6"/>
    </row>
    <row r="18" spans="1:9" x14ac:dyDescent="0.3">
      <c r="A18" s="6" t="s">
        <v>4007</v>
      </c>
      <c r="B18" s="6" t="s">
        <v>330</v>
      </c>
      <c r="C18" s="6">
        <v>5</v>
      </c>
      <c r="D18" s="6"/>
      <c r="E18" s="6"/>
      <c r="F18" s="6"/>
      <c r="G18" s="6"/>
      <c r="H18" s="6"/>
      <c r="I18" s="6"/>
    </row>
    <row r="19" spans="1:9" x14ac:dyDescent="0.3">
      <c r="A19" s="6" t="s">
        <v>3142</v>
      </c>
      <c r="B19" s="6" t="s">
        <v>338</v>
      </c>
      <c r="C19" s="6">
        <v>3</v>
      </c>
      <c r="D19" s="6"/>
      <c r="E19" s="6"/>
      <c r="F19" s="6"/>
      <c r="G19" s="6"/>
      <c r="H19" s="6"/>
      <c r="I19" s="6"/>
    </row>
    <row r="20" spans="1:9" x14ac:dyDescent="0.3">
      <c r="A20" s="6"/>
      <c r="B20" s="6" t="s">
        <v>694</v>
      </c>
      <c r="C20" s="6">
        <v>-1</v>
      </c>
      <c r="D20" s="6"/>
      <c r="E20" s="6"/>
      <c r="F20" s="6"/>
      <c r="G20" s="6"/>
      <c r="H20" s="6"/>
      <c r="I20" s="6"/>
    </row>
    <row r="21" spans="1:9" x14ac:dyDescent="0.3">
      <c r="A21" s="6" t="s">
        <v>2780</v>
      </c>
      <c r="B21" s="6" t="s">
        <v>328</v>
      </c>
      <c r="C21" s="6">
        <v>17</v>
      </c>
      <c r="D21" s="6"/>
      <c r="E21" s="6"/>
      <c r="F21" s="6"/>
      <c r="G21" s="6"/>
      <c r="H21" s="6"/>
      <c r="I21" s="6"/>
    </row>
    <row r="22" spans="1:9" x14ac:dyDescent="0.3">
      <c r="A22" s="6" t="s">
        <v>3966</v>
      </c>
      <c r="B22" s="6" t="s">
        <v>366</v>
      </c>
      <c r="C22" s="6">
        <v>17</v>
      </c>
      <c r="D22" s="6"/>
      <c r="E22" s="6"/>
      <c r="F22" s="6"/>
      <c r="G22" s="6"/>
      <c r="H22" s="6"/>
      <c r="I22" s="6"/>
    </row>
    <row r="23" spans="1:9" x14ac:dyDescent="0.3">
      <c r="A23" s="6"/>
      <c r="B23" s="6" t="s">
        <v>456</v>
      </c>
      <c r="C23" s="6">
        <v>-1</v>
      </c>
      <c r="D23" s="6"/>
      <c r="E23" s="6"/>
      <c r="F23" s="6"/>
      <c r="G23" s="6"/>
      <c r="H23" s="6"/>
      <c r="I23" s="6"/>
    </row>
    <row r="24" spans="1:9" x14ac:dyDescent="0.3">
      <c r="A24" s="6" t="s">
        <v>4222</v>
      </c>
      <c r="B24" s="6" t="s">
        <v>598</v>
      </c>
      <c r="C24" s="6">
        <v>17</v>
      </c>
      <c r="D24" s="6"/>
      <c r="E24" s="6"/>
      <c r="F24" s="6"/>
      <c r="G24" s="6"/>
      <c r="H24" s="6"/>
      <c r="I24" s="6"/>
    </row>
    <row r="25" spans="1:9" x14ac:dyDescent="0.3">
      <c r="A25" s="6"/>
      <c r="B25" s="6" t="s">
        <v>422</v>
      </c>
      <c r="C25" s="6">
        <v>-1</v>
      </c>
      <c r="D25" s="6"/>
      <c r="E25" s="6"/>
      <c r="F25" s="6"/>
      <c r="G25" s="6"/>
      <c r="H25" s="6"/>
      <c r="I25" s="6"/>
    </row>
    <row r="26" spans="1:9" x14ac:dyDescent="0.3">
      <c r="A26" s="6" t="s">
        <v>3284</v>
      </c>
      <c r="B26" s="6" t="s">
        <v>578</v>
      </c>
      <c r="C26" s="6">
        <v>17</v>
      </c>
      <c r="D26" s="6"/>
      <c r="E26" s="6"/>
      <c r="F26" s="6"/>
      <c r="G26" s="6"/>
      <c r="H26" s="6"/>
      <c r="I26" s="6"/>
    </row>
    <row r="27" spans="1:9" x14ac:dyDescent="0.3">
      <c r="A27" s="6"/>
      <c r="B27" s="6" t="s">
        <v>482</v>
      </c>
      <c r="C27" s="6">
        <v>-1</v>
      </c>
      <c r="D27" s="6"/>
      <c r="E27" s="6"/>
      <c r="F27" s="6"/>
      <c r="G27" s="6"/>
      <c r="H27" s="6"/>
      <c r="I27" s="6"/>
    </row>
    <row r="28" spans="1:9" x14ac:dyDescent="0.3">
      <c r="A28" s="6"/>
      <c r="B28" s="6" t="s">
        <v>368</v>
      </c>
      <c r="C28" s="6">
        <v>-1</v>
      </c>
      <c r="D28" s="6"/>
      <c r="E28" s="6"/>
      <c r="F28" s="6"/>
      <c r="G28" s="6"/>
      <c r="H28" s="6"/>
      <c r="I28" s="6"/>
    </row>
    <row r="29" spans="1:9" x14ac:dyDescent="0.3">
      <c r="A29" s="6"/>
      <c r="B29" s="6" t="s">
        <v>592</v>
      </c>
      <c r="C29" s="6">
        <v>-1</v>
      </c>
      <c r="D29" s="6"/>
      <c r="E29" s="6"/>
      <c r="F29" s="6"/>
      <c r="G29" s="6"/>
      <c r="H29" s="6"/>
      <c r="I29" s="6"/>
    </row>
    <row r="30" spans="1:9" x14ac:dyDescent="0.3">
      <c r="A30" s="6"/>
      <c r="B30" s="6" t="s">
        <v>730</v>
      </c>
      <c r="C30" s="6">
        <v>-1</v>
      </c>
      <c r="D30" s="6"/>
      <c r="E30" s="6"/>
      <c r="F30" s="6"/>
      <c r="G30" s="6"/>
      <c r="H30" s="6"/>
      <c r="I30" s="6"/>
    </row>
    <row r="31" spans="1:9" x14ac:dyDescent="0.3">
      <c r="A31" s="6"/>
      <c r="B31" s="6" t="s">
        <v>358</v>
      </c>
      <c r="C31" s="6">
        <v>-1</v>
      </c>
      <c r="D31" s="6"/>
      <c r="E31" s="6"/>
      <c r="F31" s="6"/>
      <c r="G31" s="6"/>
      <c r="H31" s="6"/>
      <c r="I31" s="6"/>
    </row>
    <row r="32" spans="1:9" x14ac:dyDescent="0.3">
      <c r="A32" s="6" t="s">
        <v>2237</v>
      </c>
      <c r="B32" s="6" t="s">
        <v>362</v>
      </c>
      <c r="C32" s="6">
        <v>17</v>
      </c>
      <c r="D32" s="6"/>
      <c r="E32" s="6"/>
      <c r="F32" s="6"/>
      <c r="G32" s="6"/>
      <c r="H32" s="6"/>
      <c r="I32" s="6"/>
    </row>
    <row r="33" spans="1:9" x14ac:dyDescent="0.3">
      <c r="A33" s="6" t="s">
        <v>3837</v>
      </c>
      <c r="B33" s="6" t="s">
        <v>668</v>
      </c>
      <c r="C33" s="6">
        <v>7</v>
      </c>
      <c r="D33" s="6"/>
      <c r="E33" s="6"/>
      <c r="F33" s="6"/>
      <c r="G33" s="6"/>
      <c r="H33" s="6"/>
      <c r="I33" s="6"/>
    </row>
    <row r="34" spans="1:9" x14ac:dyDescent="0.3">
      <c r="A34" s="6"/>
      <c r="B34" s="6" t="s">
        <v>418</v>
      </c>
      <c r="C34" s="6">
        <v>-1</v>
      </c>
      <c r="D34" s="6"/>
      <c r="E34" s="6"/>
      <c r="F34" s="6"/>
      <c r="G34" s="6"/>
      <c r="H34" s="6"/>
      <c r="I34" s="6"/>
    </row>
    <row r="35" spans="1:9" x14ac:dyDescent="0.3">
      <c r="A35" s="6"/>
      <c r="B35" s="6" t="s">
        <v>334</v>
      </c>
      <c r="C35" s="6">
        <v>-1</v>
      </c>
      <c r="D35" s="6"/>
      <c r="E35" s="6"/>
      <c r="F35" s="6"/>
      <c r="G35" s="6"/>
      <c r="H35" s="6"/>
      <c r="I35" s="6"/>
    </row>
    <row r="36" spans="1:9" x14ac:dyDescent="0.3">
      <c r="A36" s="6" t="s">
        <v>1611</v>
      </c>
      <c r="B36" s="6" t="s">
        <v>336</v>
      </c>
      <c r="C36" s="6">
        <v>17</v>
      </c>
      <c r="D36" s="6"/>
      <c r="E36" s="6"/>
      <c r="F36" s="6"/>
      <c r="G36" s="6"/>
      <c r="H36" s="6"/>
      <c r="I36" s="6"/>
    </row>
    <row r="37" spans="1:9" x14ac:dyDescent="0.3">
      <c r="A37" s="6"/>
      <c r="B37" s="6" t="s">
        <v>404</v>
      </c>
      <c r="C37" s="6">
        <v>-1</v>
      </c>
      <c r="D37" s="6"/>
      <c r="E37" s="6"/>
      <c r="F37" s="6"/>
      <c r="G37" s="6"/>
      <c r="H37" s="6"/>
      <c r="I37" s="6"/>
    </row>
    <row r="38" spans="1:9" x14ac:dyDescent="0.3">
      <c r="A38" s="6"/>
      <c r="B38" s="6" t="s">
        <v>482</v>
      </c>
      <c r="C38" s="6"/>
      <c r="D38" s="6">
        <v>-1</v>
      </c>
      <c r="E38" s="6"/>
      <c r="F38" s="6"/>
      <c r="G38" s="6"/>
      <c r="H38" s="6"/>
      <c r="I38" s="6"/>
    </row>
    <row r="39" spans="1:9" x14ac:dyDescent="0.3">
      <c r="A39" s="6" t="s">
        <v>3227</v>
      </c>
      <c r="B39" s="6" t="s">
        <v>608</v>
      </c>
      <c r="C39" s="6"/>
      <c r="D39" s="6">
        <v>2</v>
      </c>
      <c r="E39" s="6"/>
      <c r="F39" s="6"/>
      <c r="G39" s="6"/>
      <c r="H39" s="6"/>
      <c r="I39" s="6"/>
    </row>
    <row r="40" spans="1:9" x14ac:dyDescent="0.3">
      <c r="A40" s="6"/>
      <c r="B40" s="6" t="s">
        <v>356</v>
      </c>
      <c r="C40" s="6"/>
      <c r="D40" s="6">
        <v>-1</v>
      </c>
      <c r="E40" s="6"/>
      <c r="F40" s="6"/>
      <c r="G40" s="6"/>
      <c r="H40" s="6"/>
      <c r="I40" s="6"/>
    </row>
    <row r="41" spans="1:9" x14ac:dyDescent="0.3">
      <c r="A41" s="6"/>
      <c r="B41" s="6" t="s">
        <v>402</v>
      </c>
      <c r="C41" s="6"/>
      <c r="D41" s="6">
        <v>-1</v>
      </c>
      <c r="E41" s="6"/>
      <c r="F41" s="6"/>
      <c r="G41" s="6"/>
      <c r="H41" s="6"/>
      <c r="I41" s="6"/>
    </row>
    <row r="42" spans="1:9" x14ac:dyDescent="0.3">
      <c r="A42" s="6"/>
      <c r="B42" s="6" t="s">
        <v>406</v>
      </c>
      <c r="C42" s="6"/>
      <c r="D42" s="6">
        <v>-1</v>
      </c>
      <c r="E42" s="6"/>
      <c r="F42" s="6"/>
      <c r="G42" s="6"/>
      <c r="H42" s="6"/>
      <c r="I42" s="6"/>
    </row>
    <row r="43" spans="1:9" x14ac:dyDescent="0.3">
      <c r="A43" s="6" t="s">
        <v>3315</v>
      </c>
      <c r="B43" s="6" t="s">
        <v>598</v>
      </c>
      <c r="C43" s="6"/>
      <c r="D43" s="6">
        <v>7</v>
      </c>
      <c r="E43" s="6"/>
      <c r="F43" s="6"/>
      <c r="G43" s="6"/>
      <c r="H43" s="6"/>
      <c r="I43" s="6"/>
    </row>
    <row r="44" spans="1:9" x14ac:dyDescent="0.3">
      <c r="A44" s="6"/>
      <c r="B44" s="6" t="s">
        <v>334</v>
      </c>
      <c r="C44" s="6"/>
      <c r="D44" s="6">
        <v>-1</v>
      </c>
      <c r="E44" s="6"/>
      <c r="F44" s="6"/>
      <c r="G44" s="6"/>
      <c r="H44" s="6"/>
      <c r="I44" s="6"/>
    </row>
    <row r="45" spans="1:9" x14ac:dyDescent="0.3">
      <c r="A45" s="6"/>
      <c r="B45" s="6" t="s">
        <v>428</v>
      </c>
      <c r="C45" s="6"/>
      <c r="D45" s="6">
        <v>-1</v>
      </c>
      <c r="E45" s="6"/>
      <c r="F45" s="6"/>
      <c r="G45" s="6"/>
      <c r="H45" s="6"/>
      <c r="I45" s="6"/>
    </row>
    <row r="46" spans="1:9" x14ac:dyDescent="0.3">
      <c r="A46" s="6" t="s">
        <v>3091</v>
      </c>
      <c r="B46" s="6" t="s">
        <v>336</v>
      </c>
      <c r="C46" s="6"/>
      <c r="D46" s="6">
        <v>3</v>
      </c>
      <c r="E46" s="6"/>
      <c r="F46" s="6"/>
      <c r="G46" s="6"/>
      <c r="H46" s="6"/>
      <c r="I46" s="6"/>
    </row>
    <row r="47" spans="1:9" x14ac:dyDescent="0.3">
      <c r="A47" s="6"/>
      <c r="B47" s="6" t="s">
        <v>454</v>
      </c>
      <c r="C47" s="6"/>
      <c r="D47" s="6">
        <v>-1</v>
      </c>
      <c r="E47" s="6"/>
      <c r="F47" s="6"/>
      <c r="G47" s="6"/>
      <c r="H47" s="6"/>
      <c r="I47" s="6"/>
    </row>
    <row r="48" spans="1:9" x14ac:dyDescent="0.3">
      <c r="A48" s="6" t="s">
        <v>4885</v>
      </c>
      <c r="B48" s="6" t="s">
        <v>330</v>
      </c>
      <c r="C48" s="6"/>
      <c r="D48" s="6">
        <v>17</v>
      </c>
      <c r="E48" s="6"/>
      <c r="F48" s="6"/>
      <c r="G48" s="6"/>
      <c r="H48" s="6"/>
      <c r="I48" s="6"/>
    </row>
    <row r="49" spans="1:9" x14ac:dyDescent="0.3">
      <c r="A49" s="6"/>
      <c r="B49" s="6" t="s">
        <v>642</v>
      </c>
      <c r="C49" s="6"/>
      <c r="D49" s="6">
        <v>-1</v>
      </c>
      <c r="E49" s="6"/>
      <c r="F49" s="6"/>
      <c r="G49" s="6"/>
      <c r="H49" s="6"/>
      <c r="I49" s="6"/>
    </row>
    <row r="50" spans="1:9" x14ac:dyDescent="0.3">
      <c r="A50" s="6"/>
      <c r="B50" s="6" t="s">
        <v>328</v>
      </c>
      <c r="C50" s="6"/>
      <c r="D50" s="6">
        <v>-1</v>
      </c>
      <c r="E50" s="6"/>
      <c r="F50" s="6"/>
      <c r="G50" s="6"/>
      <c r="H50" s="6"/>
      <c r="I50" s="6"/>
    </row>
    <row r="51" spans="1:9" x14ac:dyDescent="0.3">
      <c r="A51" s="6"/>
      <c r="B51" s="6" t="s">
        <v>378</v>
      </c>
      <c r="C51" s="6"/>
      <c r="D51" s="6">
        <v>-1</v>
      </c>
      <c r="E51" s="6"/>
      <c r="F51" s="6"/>
      <c r="G51" s="6"/>
      <c r="H51" s="6"/>
      <c r="I51" s="6"/>
    </row>
    <row r="52" spans="1:9" x14ac:dyDescent="0.3">
      <c r="A52" s="6" t="s">
        <v>1386</v>
      </c>
      <c r="B52" s="6" t="s">
        <v>444</v>
      </c>
      <c r="C52" s="6"/>
      <c r="D52" s="6">
        <v>9</v>
      </c>
      <c r="E52" s="6"/>
      <c r="F52" s="6"/>
      <c r="G52" s="6"/>
      <c r="H52" s="6"/>
      <c r="I52" s="6"/>
    </row>
    <row r="53" spans="1:9" x14ac:dyDescent="0.3">
      <c r="A53" s="6" t="s">
        <v>1829</v>
      </c>
      <c r="B53" s="6" t="s">
        <v>332</v>
      </c>
      <c r="C53" s="6"/>
      <c r="D53" s="6">
        <v>9</v>
      </c>
      <c r="E53" s="6"/>
      <c r="F53" s="6"/>
      <c r="G53" s="6"/>
      <c r="H53" s="6"/>
      <c r="I53" s="6"/>
    </row>
    <row r="54" spans="1:9" x14ac:dyDescent="0.3">
      <c r="A54" s="6"/>
      <c r="B54" s="6" t="s">
        <v>700</v>
      </c>
      <c r="C54" s="6"/>
      <c r="D54" s="6">
        <v>-1</v>
      </c>
      <c r="E54" s="6"/>
      <c r="F54" s="6"/>
      <c r="G54" s="6"/>
      <c r="H54" s="6"/>
      <c r="I54" s="6"/>
    </row>
    <row r="55" spans="1:9" x14ac:dyDescent="0.3">
      <c r="A55" s="6"/>
      <c r="B55" s="6" t="s">
        <v>468</v>
      </c>
      <c r="C55" s="6"/>
      <c r="D55" s="6">
        <v>-1</v>
      </c>
      <c r="E55" s="6"/>
      <c r="F55" s="6"/>
      <c r="G55" s="6"/>
      <c r="H55" s="6"/>
      <c r="I55" s="6"/>
    </row>
    <row r="56" spans="1:9" x14ac:dyDescent="0.3">
      <c r="A56" s="6" t="s">
        <v>1412</v>
      </c>
      <c r="B56" s="6" t="s">
        <v>646</v>
      </c>
      <c r="C56" s="6"/>
      <c r="D56" s="6">
        <v>17</v>
      </c>
      <c r="E56" s="6"/>
      <c r="F56" s="6"/>
      <c r="G56" s="6"/>
      <c r="H56" s="6"/>
      <c r="I56" s="6"/>
    </row>
    <row r="57" spans="1:9" x14ac:dyDescent="0.3">
      <c r="A57" s="6"/>
      <c r="B57" s="6" t="s">
        <v>432</v>
      </c>
      <c r="C57" s="6"/>
      <c r="D57" s="6">
        <v>-1</v>
      </c>
      <c r="E57" s="6"/>
      <c r="F57" s="6"/>
      <c r="G57" s="6"/>
      <c r="H57" s="6"/>
      <c r="I57" s="6"/>
    </row>
    <row r="58" spans="1:9" x14ac:dyDescent="0.3">
      <c r="A58" s="6"/>
      <c r="B58" s="6" t="s">
        <v>456</v>
      </c>
      <c r="C58" s="6"/>
      <c r="D58" s="6">
        <v>-1</v>
      </c>
      <c r="E58" s="6"/>
      <c r="F58" s="6"/>
      <c r="G58" s="6"/>
      <c r="H58" s="6"/>
      <c r="I58" s="6"/>
    </row>
    <row r="59" spans="1:9" x14ac:dyDescent="0.3">
      <c r="A59" s="6"/>
      <c r="B59" s="6" t="s">
        <v>560</v>
      </c>
      <c r="C59" s="6"/>
      <c r="D59" s="6">
        <v>-1</v>
      </c>
      <c r="E59" s="6"/>
      <c r="F59" s="6"/>
      <c r="G59" s="6"/>
      <c r="H59" s="6"/>
      <c r="I59" s="6"/>
    </row>
    <row r="60" spans="1:9" x14ac:dyDescent="0.3">
      <c r="A60" s="6"/>
      <c r="B60" s="6" t="s">
        <v>350</v>
      </c>
      <c r="C60" s="6"/>
      <c r="D60" s="6">
        <v>-1</v>
      </c>
      <c r="E60" s="6"/>
      <c r="F60" s="6"/>
      <c r="G60" s="6"/>
      <c r="H60" s="6"/>
      <c r="I60" s="6"/>
    </row>
    <row r="61" spans="1:9" x14ac:dyDescent="0.3">
      <c r="A61" s="6"/>
      <c r="B61" s="6" t="s">
        <v>384</v>
      </c>
      <c r="C61" s="6"/>
      <c r="D61" s="6">
        <v>-1</v>
      </c>
      <c r="E61" s="6"/>
      <c r="F61" s="6"/>
      <c r="G61" s="6"/>
      <c r="H61" s="6"/>
      <c r="I61" s="6"/>
    </row>
    <row r="62" spans="1:9" x14ac:dyDescent="0.3">
      <c r="A62" s="6" t="s">
        <v>3822</v>
      </c>
      <c r="B62" s="6" t="s">
        <v>340</v>
      </c>
      <c r="C62" s="6"/>
      <c r="D62" s="6">
        <v>17</v>
      </c>
      <c r="E62" s="6"/>
      <c r="F62" s="6"/>
      <c r="G62" s="6"/>
      <c r="H62" s="6"/>
      <c r="I62" s="6"/>
    </row>
    <row r="63" spans="1:9" x14ac:dyDescent="0.3">
      <c r="A63" s="6"/>
      <c r="B63" s="6" t="s">
        <v>384</v>
      </c>
      <c r="C63" s="6"/>
      <c r="D63" s="6"/>
      <c r="E63" s="6">
        <v>-1</v>
      </c>
      <c r="F63" s="6"/>
      <c r="G63" s="6"/>
      <c r="H63" s="6"/>
      <c r="I63" s="6"/>
    </row>
    <row r="64" spans="1:9" x14ac:dyDescent="0.3">
      <c r="A64" s="6"/>
      <c r="B64" s="6" t="s">
        <v>700</v>
      </c>
      <c r="C64" s="6"/>
      <c r="D64" s="6"/>
      <c r="E64" s="6">
        <v>-1</v>
      </c>
      <c r="F64" s="6"/>
      <c r="G64" s="6"/>
      <c r="H64" s="6"/>
      <c r="I64" s="6"/>
    </row>
    <row r="65" spans="1:9" x14ac:dyDescent="0.3">
      <c r="A65" s="6"/>
      <c r="B65" s="6" t="s">
        <v>336</v>
      </c>
      <c r="C65" s="6"/>
      <c r="D65" s="6"/>
      <c r="E65" s="6">
        <v>-1</v>
      </c>
      <c r="F65" s="6"/>
      <c r="G65" s="6"/>
      <c r="H65" s="6"/>
      <c r="I65" s="6"/>
    </row>
    <row r="66" spans="1:9" x14ac:dyDescent="0.3">
      <c r="A66" s="6"/>
      <c r="B66" s="6" t="s">
        <v>428</v>
      </c>
      <c r="C66" s="6"/>
      <c r="D66" s="6"/>
      <c r="E66" s="6">
        <v>-1</v>
      </c>
      <c r="F66" s="6"/>
      <c r="G66" s="6"/>
      <c r="H66" s="6"/>
      <c r="I66" s="6"/>
    </row>
    <row r="67" spans="1:9" x14ac:dyDescent="0.3">
      <c r="A67" s="6"/>
      <c r="B67" s="6" t="s">
        <v>580</v>
      </c>
      <c r="C67" s="6"/>
      <c r="D67" s="6"/>
      <c r="E67" s="6">
        <v>-1</v>
      </c>
      <c r="F67" s="6"/>
      <c r="G67" s="6"/>
      <c r="H67" s="6"/>
      <c r="I67" s="6"/>
    </row>
    <row r="68" spans="1:9" x14ac:dyDescent="0.3">
      <c r="A68" s="6" t="s">
        <v>3226</v>
      </c>
      <c r="B68" s="6" t="s">
        <v>608</v>
      </c>
      <c r="C68" s="6"/>
      <c r="D68" s="6"/>
      <c r="E68" s="6">
        <v>17</v>
      </c>
      <c r="F68" s="6"/>
      <c r="G68" s="6"/>
      <c r="H68" s="6"/>
      <c r="I68" s="6"/>
    </row>
    <row r="69" spans="1:9" x14ac:dyDescent="0.3">
      <c r="A69" s="6"/>
      <c r="B69" s="6" t="s">
        <v>690</v>
      </c>
      <c r="C69" s="6"/>
      <c r="D69" s="6"/>
      <c r="E69" s="6">
        <v>-1</v>
      </c>
      <c r="F69" s="6"/>
      <c r="G69" s="6"/>
      <c r="H69" s="6"/>
      <c r="I69" s="6"/>
    </row>
    <row r="70" spans="1:9" x14ac:dyDescent="0.3">
      <c r="A70" s="6" t="s">
        <v>4758</v>
      </c>
      <c r="B70" s="6" t="s">
        <v>598</v>
      </c>
      <c r="C70" s="6"/>
      <c r="D70" s="6"/>
      <c r="E70" s="6">
        <v>9</v>
      </c>
      <c r="F70" s="6"/>
      <c r="G70" s="6"/>
      <c r="H70" s="6"/>
      <c r="I70" s="6"/>
    </row>
    <row r="71" spans="1:9" x14ac:dyDescent="0.3">
      <c r="A71" s="6" t="s">
        <v>4482</v>
      </c>
      <c r="B71" s="6" t="s">
        <v>356</v>
      </c>
      <c r="C71" s="6"/>
      <c r="D71" s="6"/>
      <c r="E71" s="6">
        <v>17</v>
      </c>
      <c r="F71" s="6"/>
      <c r="G71" s="6"/>
      <c r="H71" s="6"/>
      <c r="I71" s="6"/>
    </row>
    <row r="72" spans="1:9" x14ac:dyDescent="0.3">
      <c r="A72" s="6"/>
      <c r="B72" s="6" t="s">
        <v>642</v>
      </c>
      <c r="C72" s="6"/>
      <c r="D72" s="6"/>
      <c r="E72" s="6">
        <v>-1</v>
      </c>
      <c r="F72" s="6"/>
      <c r="G72" s="6"/>
      <c r="H72" s="6"/>
      <c r="I72" s="6"/>
    </row>
    <row r="73" spans="1:9" x14ac:dyDescent="0.3">
      <c r="A73" s="6"/>
      <c r="B73" s="6" t="s">
        <v>726</v>
      </c>
      <c r="C73" s="6"/>
      <c r="D73" s="6"/>
      <c r="E73" s="6">
        <v>-1</v>
      </c>
      <c r="F73" s="6"/>
      <c r="G73" s="6"/>
      <c r="H73" s="6"/>
      <c r="I73" s="6"/>
    </row>
    <row r="74" spans="1:9" x14ac:dyDescent="0.3">
      <c r="A74" s="6"/>
      <c r="B74" s="6" t="s">
        <v>334</v>
      </c>
      <c r="C74" s="6"/>
      <c r="D74" s="6"/>
      <c r="E74" s="6">
        <v>-1</v>
      </c>
      <c r="F74" s="6"/>
      <c r="G74" s="6"/>
      <c r="H74" s="6"/>
      <c r="I74" s="6"/>
    </row>
    <row r="75" spans="1:9" x14ac:dyDescent="0.3">
      <c r="A75" s="6"/>
      <c r="B75" s="6" t="s">
        <v>694</v>
      </c>
      <c r="C75" s="6"/>
      <c r="D75" s="6"/>
      <c r="E75" s="6">
        <v>-1</v>
      </c>
      <c r="F75" s="6"/>
      <c r="G75" s="6"/>
      <c r="H75" s="6"/>
      <c r="I75" s="6"/>
    </row>
    <row r="76" spans="1:9" x14ac:dyDescent="0.3">
      <c r="A76" s="6"/>
      <c r="B76" s="6" t="s">
        <v>720</v>
      </c>
      <c r="C76" s="6"/>
      <c r="D76" s="6"/>
      <c r="E76" s="6">
        <v>-1</v>
      </c>
      <c r="F76" s="6"/>
      <c r="G76" s="6"/>
      <c r="H76" s="6"/>
      <c r="I76" s="6"/>
    </row>
    <row r="77" spans="1:9" x14ac:dyDescent="0.3">
      <c r="A77" s="6" t="s">
        <v>2894</v>
      </c>
      <c r="B77" s="6" t="s">
        <v>368</v>
      </c>
      <c r="C77" s="6"/>
      <c r="D77" s="6"/>
      <c r="E77" s="6">
        <v>9</v>
      </c>
      <c r="F77" s="6"/>
      <c r="G77" s="6"/>
      <c r="H77" s="6"/>
      <c r="I77" s="6"/>
    </row>
    <row r="78" spans="1:9" x14ac:dyDescent="0.3">
      <c r="A78" s="6"/>
      <c r="B78" s="6" t="s">
        <v>328</v>
      </c>
      <c r="C78" s="6"/>
      <c r="D78" s="6"/>
      <c r="E78" s="6">
        <v>-1</v>
      </c>
      <c r="F78" s="6"/>
      <c r="G78" s="6"/>
      <c r="H78" s="6"/>
      <c r="I78" s="6"/>
    </row>
    <row r="79" spans="1:9" x14ac:dyDescent="0.3">
      <c r="A79" s="6"/>
      <c r="B79" s="6" t="s">
        <v>434</v>
      </c>
      <c r="C79" s="6"/>
      <c r="D79" s="6"/>
      <c r="E79" s="6">
        <v>-1</v>
      </c>
      <c r="F79" s="6"/>
      <c r="G79" s="6"/>
      <c r="H79" s="6"/>
      <c r="I79" s="6"/>
    </row>
    <row r="80" spans="1:9" x14ac:dyDescent="0.3">
      <c r="A80" s="6"/>
      <c r="B80" s="6" t="s">
        <v>426</v>
      </c>
      <c r="C80" s="6"/>
      <c r="D80" s="6"/>
      <c r="E80" s="6">
        <v>-1</v>
      </c>
      <c r="F80" s="6"/>
      <c r="G80" s="6"/>
      <c r="H80" s="6"/>
      <c r="I80" s="6"/>
    </row>
    <row r="81" spans="1:9" x14ac:dyDescent="0.3">
      <c r="A81" s="6"/>
      <c r="B81" s="6" t="s">
        <v>654</v>
      </c>
      <c r="C81" s="6"/>
      <c r="D81" s="6"/>
      <c r="E81" s="6">
        <v>-1</v>
      </c>
      <c r="F81" s="6"/>
      <c r="G81" s="6"/>
      <c r="H81" s="6"/>
      <c r="I81" s="6"/>
    </row>
    <row r="82" spans="1:9" x14ac:dyDescent="0.3">
      <c r="A82" s="6"/>
      <c r="B82" s="6" t="s">
        <v>402</v>
      </c>
      <c r="C82" s="6"/>
      <c r="D82" s="6"/>
      <c r="E82" s="6">
        <v>-1</v>
      </c>
      <c r="F82" s="6"/>
      <c r="G82" s="6"/>
      <c r="H82" s="6"/>
      <c r="I82" s="6"/>
    </row>
    <row r="83" spans="1:9" x14ac:dyDescent="0.3">
      <c r="A83" s="6"/>
      <c r="B83" s="6" t="s">
        <v>412</v>
      </c>
      <c r="C83" s="6"/>
      <c r="D83" s="6"/>
      <c r="E83" s="6">
        <v>-1</v>
      </c>
      <c r="F83" s="6"/>
      <c r="G83" s="6"/>
      <c r="H83" s="6"/>
      <c r="I83" s="6"/>
    </row>
    <row r="84" spans="1:9" x14ac:dyDescent="0.3">
      <c r="A84" s="6"/>
      <c r="B84" s="6" t="s">
        <v>416</v>
      </c>
      <c r="C84" s="6"/>
      <c r="D84" s="6"/>
      <c r="E84" s="6">
        <v>-1</v>
      </c>
      <c r="F84" s="6"/>
      <c r="G84" s="6"/>
      <c r="H84" s="6"/>
      <c r="I84" s="6"/>
    </row>
    <row r="85" spans="1:9" x14ac:dyDescent="0.3">
      <c r="A85" s="6"/>
      <c r="B85" s="6" t="s">
        <v>606</v>
      </c>
      <c r="C85" s="6"/>
      <c r="D85" s="6"/>
      <c r="E85" s="6">
        <v>-1</v>
      </c>
      <c r="F85" s="6"/>
      <c r="G85" s="6"/>
      <c r="H85" s="6"/>
      <c r="I85" s="6"/>
    </row>
    <row r="86" spans="1:9" x14ac:dyDescent="0.3">
      <c r="A86" s="6"/>
      <c r="B86" s="6" t="s">
        <v>664</v>
      </c>
      <c r="C86" s="6"/>
      <c r="D86" s="6"/>
      <c r="E86" s="6">
        <v>-1</v>
      </c>
      <c r="F86" s="6"/>
      <c r="G86" s="6"/>
      <c r="H86" s="6"/>
      <c r="I86" s="6"/>
    </row>
    <row r="87" spans="1:9" x14ac:dyDescent="0.3">
      <c r="A87" s="6"/>
      <c r="B87" s="6" t="s">
        <v>482</v>
      </c>
      <c r="C87" s="6"/>
      <c r="D87" s="6"/>
      <c r="E87" s="6">
        <v>-1</v>
      </c>
      <c r="F87" s="6"/>
      <c r="G87" s="6"/>
      <c r="H87" s="6"/>
      <c r="I87" s="6"/>
    </row>
    <row r="88" spans="1:9" x14ac:dyDescent="0.3">
      <c r="A88" s="6" t="s">
        <v>2958</v>
      </c>
      <c r="B88" s="6" t="s">
        <v>412</v>
      </c>
      <c r="C88" s="6"/>
      <c r="D88" s="6"/>
      <c r="E88" s="6"/>
      <c r="F88" s="6">
        <v>9</v>
      </c>
      <c r="G88" s="6"/>
      <c r="H88" s="6"/>
      <c r="I88" s="6"/>
    </row>
    <row r="89" spans="1:9" x14ac:dyDescent="0.3">
      <c r="A89" s="6"/>
      <c r="B89" s="6" t="s">
        <v>384</v>
      </c>
      <c r="C89" s="6"/>
      <c r="D89" s="6"/>
      <c r="E89" s="6"/>
      <c r="F89" s="6">
        <v>-1</v>
      </c>
      <c r="G89" s="6"/>
      <c r="H89" s="6"/>
      <c r="I89" s="6"/>
    </row>
    <row r="90" spans="1:9" x14ac:dyDescent="0.3">
      <c r="A90" s="6"/>
      <c r="B90" s="6" t="s">
        <v>608</v>
      </c>
      <c r="C90" s="6"/>
      <c r="D90" s="6"/>
      <c r="E90" s="6"/>
      <c r="F90" s="6">
        <v>-1</v>
      </c>
      <c r="G90" s="6"/>
      <c r="H90" s="6"/>
      <c r="I90" s="6"/>
    </row>
    <row r="91" spans="1:9" x14ac:dyDescent="0.3">
      <c r="A91" s="6" t="s">
        <v>3886</v>
      </c>
      <c r="B91" s="6" t="s">
        <v>394</v>
      </c>
      <c r="C91" s="6"/>
      <c r="D91" s="6"/>
      <c r="E91" s="6"/>
      <c r="F91" s="6">
        <v>9</v>
      </c>
      <c r="G91" s="6"/>
      <c r="H91" s="6"/>
      <c r="I91" s="6"/>
    </row>
    <row r="92" spans="1:9" x14ac:dyDescent="0.3">
      <c r="A92" s="6"/>
      <c r="B92" s="6" t="s">
        <v>354</v>
      </c>
      <c r="C92" s="6"/>
      <c r="D92" s="6"/>
      <c r="E92" s="6"/>
      <c r="F92" s="6">
        <v>-1</v>
      </c>
      <c r="G92" s="6"/>
      <c r="H92" s="6"/>
      <c r="I92" s="6"/>
    </row>
    <row r="93" spans="1:9" x14ac:dyDescent="0.3">
      <c r="A93" s="6" t="s">
        <v>4488</v>
      </c>
      <c r="B93" s="6" t="s">
        <v>694</v>
      </c>
      <c r="C93" s="6"/>
      <c r="D93" s="6"/>
      <c r="E93" s="6"/>
      <c r="F93" s="6">
        <v>1</v>
      </c>
      <c r="G93" s="6"/>
      <c r="H93" s="6"/>
      <c r="I93" s="6"/>
    </row>
    <row r="94" spans="1:9" x14ac:dyDescent="0.3">
      <c r="A94" s="6" t="s">
        <v>4079</v>
      </c>
      <c r="B94" s="6" t="s">
        <v>428</v>
      </c>
      <c r="C94" s="6"/>
      <c r="D94" s="6"/>
      <c r="E94" s="6"/>
      <c r="F94" s="6">
        <v>9</v>
      </c>
      <c r="G94" s="6"/>
      <c r="H94" s="6"/>
      <c r="I94" s="6"/>
    </row>
    <row r="95" spans="1:9" x14ac:dyDescent="0.3">
      <c r="A95" s="6"/>
      <c r="B95" s="6" t="s">
        <v>598</v>
      </c>
      <c r="C95" s="6"/>
      <c r="D95" s="6"/>
      <c r="E95" s="6"/>
      <c r="F95" s="6">
        <v>-1</v>
      </c>
      <c r="G95" s="6"/>
      <c r="H95" s="6"/>
      <c r="I95" s="6"/>
    </row>
    <row r="96" spans="1:9" x14ac:dyDescent="0.3">
      <c r="A96" s="6"/>
      <c r="B96" s="6" t="s">
        <v>358</v>
      </c>
      <c r="C96" s="6"/>
      <c r="D96" s="6"/>
      <c r="E96" s="6"/>
      <c r="F96" s="6">
        <v>-1</v>
      </c>
      <c r="G96" s="6"/>
      <c r="H96" s="6"/>
      <c r="I96" s="6"/>
    </row>
    <row r="97" spans="1:9" x14ac:dyDescent="0.3">
      <c r="A97" s="6" t="s">
        <v>1807</v>
      </c>
      <c r="B97" s="6" t="s">
        <v>402</v>
      </c>
      <c r="C97" s="6"/>
      <c r="D97" s="6"/>
      <c r="E97" s="6"/>
      <c r="F97" s="6">
        <v>9</v>
      </c>
      <c r="G97" s="6"/>
      <c r="H97" s="6"/>
      <c r="I97" s="6"/>
    </row>
    <row r="98" spans="1:9" x14ac:dyDescent="0.3">
      <c r="A98" s="6" t="s">
        <v>3712</v>
      </c>
      <c r="B98" s="6" t="s">
        <v>450</v>
      </c>
      <c r="C98" s="6"/>
      <c r="D98" s="6"/>
      <c r="E98" s="6"/>
      <c r="F98" s="6">
        <v>5</v>
      </c>
      <c r="G98" s="6"/>
      <c r="H98" s="6"/>
      <c r="I98" s="6"/>
    </row>
    <row r="99" spans="1:9" x14ac:dyDescent="0.3">
      <c r="A99" s="6"/>
      <c r="B99" s="6" t="s">
        <v>406</v>
      </c>
      <c r="C99" s="6"/>
      <c r="D99" s="6"/>
      <c r="E99" s="6"/>
      <c r="F99" s="6">
        <v>-1</v>
      </c>
      <c r="G99" s="6"/>
      <c r="H99" s="6"/>
      <c r="I99" s="6"/>
    </row>
    <row r="100" spans="1:9" x14ac:dyDescent="0.3">
      <c r="A100" s="6"/>
      <c r="B100" s="6" t="s">
        <v>346</v>
      </c>
      <c r="C100" s="6"/>
      <c r="D100" s="6"/>
      <c r="E100" s="6"/>
      <c r="F100" s="6">
        <v>-1</v>
      </c>
      <c r="G100" s="6"/>
      <c r="H100" s="6"/>
      <c r="I100" s="6"/>
    </row>
    <row r="101" spans="1:9" x14ac:dyDescent="0.3">
      <c r="A101" s="6"/>
      <c r="B101" s="6" t="s">
        <v>700</v>
      </c>
      <c r="C101" s="6"/>
      <c r="D101" s="6"/>
      <c r="E101" s="6"/>
      <c r="F101" s="6">
        <v>-1</v>
      </c>
      <c r="G101" s="6"/>
      <c r="H101" s="6"/>
      <c r="I101" s="6"/>
    </row>
    <row r="102" spans="1:9" x14ac:dyDescent="0.3">
      <c r="A102" s="6"/>
      <c r="B102" s="6" t="s">
        <v>442</v>
      </c>
      <c r="C102" s="6"/>
      <c r="D102" s="6"/>
      <c r="E102" s="6"/>
      <c r="F102" s="6">
        <v>-1</v>
      </c>
      <c r="G102" s="6"/>
      <c r="H102" s="6"/>
      <c r="I102" s="6"/>
    </row>
    <row r="103" spans="1:9" x14ac:dyDescent="0.3">
      <c r="A103" s="6" t="s">
        <v>1470</v>
      </c>
      <c r="B103" s="6" t="s">
        <v>350</v>
      </c>
      <c r="C103" s="6"/>
      <c r="D103" s="6"/>
      <c r="E103" s="6"/>
      <c r="F103" s="6">
        <v>2</v>
      </c>
      <c r="G103" s="6"/>
      <c r="H103" s="6"/>
      <c r="I103" s="6"/>
    </row>
    <row r="104" spans="1:9" x14ac:dyDescent="0.3">
      <c r="A104" s="6" t="s">
        <v>3460</v>
      </c>
      <c r="B104" s="6" t="s">
        <v>380</v>
      </c>
      <c r="C104" s="6"/>
      <c r="D104" s="6"/>
      <c r="E104" s="6"/>
      <c r="F104" s="6">
        <v>9</v>
      </c>
      <c r="G104" s="6"/>
      <c r="H104" s="6"/>
      <c r="I104" s="6"/>
    </row>
    <row r="105" spans="1:9" x14ac:dyDescent="0.3">
      <c r="A105" s="6"/>
      <c r="B105" s="6" t="s">
        <v>548</v>
      </c>
      <c r="C105" s="6"/>
      <c r="D105" s="6"/>
      <c r="E105" s="6"/>
      <c r="F105" s="6">
        <v>-1</v>
      </c>
      <c r="G105" s="6"/>
      <c r="H105" s="6"/>
      <c r="I105" s="6"/>
    </row>
    <row r="106" spans="1:9" x14ac:dyDescent="0.3">
      <c r="A106" s="6" t="s">
        <v>4464</v>
      </c>
      <c r="B106" s="6" t="s">
        <v>328</v>
      </c>
      <c r="C106" s="6"/>
      <c r="D106" s="6"/>
      <c r="E106" s="6"/>
      <c r="F106" s="6">
        <v>9</v>
      </c>
      <c r="G106" s="6"/>
      <c r="H106" s="6"/>
      <c r="I106" s="6"/>
    </row>
    <row r="107" spans="1:9" x14ac:dyDescent="0.3">
      <c r="A107" s="6"/>
      <c r="B107" s="6" t="s">
        <v>670</v>
      </c>
      <c r="C107" s="6"/>
      <c r="D107" s="6"/>
      <c r="E107" s="6"/>
      <c r="F107" s="6">
        <v>-1</v>
      </c>
      <c r="G107" s="6"/>
      <c r="H107" s="6"/>
      <c r="I107" s="6"/>
    </row>
    <row r="108" spans="1:9" x14ac:dyDescent="0.3">
      <c r="A108" s="6"/>
      <c r="B108" s="6" t="s">
        <v>330</v>
      </c>
      <c r="C108" s="6"/>
      <c r="D108" s="6"/>
      <c r="E108" s="6"/>
      <c r="F108" s="6">
        <v>-1</v>
      </c>
      <c r="G108" s="6"/>
      <c r="H108" s="6"/>
      <c r="I108" s="6"/>
    </row>
    <row r="109" spans="1:9" x14ac:dyDescent="0.3">
      <c r="A109" s="6"/>
      <c r="B109" s="6" t="s">
        <v>356</v>
      </c>
      <c r="C109" s="6"/>
      <c r="D109" s="6"/>
      <c r="E109" s="6"/>
      <c r="F109" s="6">
        <v>-1</v>
      </c>
      <c r="G109" s="6"/>
      <c r="H109" s="6"/>
      <c r="I109" s="6"/>
    </row>
    <row r="110" spans="1:9" x14ac:dyDescent="0.3">
      <c r="A110" s="6"/>
      <c r="B110" s="6" t="s">
        <v>470</v>
      </c>
      <c r="C110" s="6"/>
      <c r="D110" s="6"/>
      <c r="E110" s="6"/>
      <c r="F110" s="6">
        <v>-1</v>
      </c>
      <c r="G110" s="6"/>
      <c r="H110" s="6"/>
      <c r="I110" s="6"/>
    </row>
    <row r="111" spans="1:9" x14ac:dyDescent="0.3">
      <c r="A111" s="6" t="s">
        <v>4499</v>
      </c>
      <c r="B111" s="6" t="s">
        <v>336</v>
      </c>
      <c r="C111" s="6"/>
      <c r="D111" s="6"/>
      <c r="E111" s="6"/>
      <c r="F111" s="6">
        <v>9</v>
      </c>
      <c r="G111" s="6"/>
      <c r="H111" s="6"/>
      <c r="I111" s="6"/>
    </row>
    <row r="112" spans="1:9" x14ac:dyDescent="0.3">
      <c r="A112" s="6" t="s">
        <v>1942</v>
      </c>
      <c r="B112" s="6" t="s">
        <v>352</v>
      </c>
      <c r="C112" s="6"/>
      <c r="D112" s="6"/>
      <c r="E112" s="6"/>
      <c r="F112" s="6">
        <v>17</v>
      </c>
      <c r="G112" s="6"/>
      <c r="H112" s="6"/>
      <c r="I112" s="6"/>
    </row>
    <row r="113" spans="1:9" x14ac:dyDescent="0.3">
      <c r="A113" s="6"/>
      <c r="B113" s="6" t="s">
        <v>604</v>
      </c>
      <c r="C113" s="6"/>
      <c r="D113" s="6"/>
      <c r="E113" s="6"/>
      <c r="F113" s="6">
        <v>-1</v>
      </c>
      <c r="G113" s="6"/>
      <c r="H113" s="6"/>
      <c r="I113" s="6"/>
    </row>
    <row r="114" spans="1:9" x14ac:dyDescent="0.3">
      <c r="A114" s="6" t="s">
        <v>3508</v>
      </c>
      <c r="B114" s="6" t="s">
        <v>580</v>
      </c>
      <c r="C114" s="6"/>
      <c r="D114" s="6"/>
      <c r="E114" s="6"/>
      <c r="F114" s="6">
        <v>17</v>
      </c>
      <c r="G114" s="6"/>
      <c r="H114" s="6"/>
      <c r="I114" s="6"/>
    </row>
    <row r="115" spans="1:9" x14ac:dyDescent="0.3">
      <c r="A115" s="6" t="s">
        <v>3716</v>
      </c>
      <c r="B115" s="6" t="s">
        <v>450</v>
      </c>
      <c r="C115" s="6"/>
      <c r="D115" s="6"/>
      <c r="E115" s="6"/>
      <c r="F115" s="6"/>
      <c r="G115" s="6">
        <v>1</v>
      </c>
      <c r="H115" s="6"/>
      <c r="I115" s="6"/>
    </row>
    <row r="116" spans="1:9" x14ac:dyDescent="0.3">
      <c r="A116" s="6" t="s">
        <v>2072</v>
      </c>
      <c r="B116" s="6" t="s">
        <v>342</v>
      </c>
      <c r="C116" s="6"/>
      <c r="D116" s="6"/>
      <c r="E116" s="6"/>
      <c r="F116" s="6"/>
      <c r="G116" s="6">
        <v>9</v>
      </c>
      <c r="H116" s="6"/>
      <c r="I116" s="6"/>
    </row>
    <row r="117" spans="1:9" x14ac:dyDescent="0.3">
      <c r="A117" s="6"/>
      <c r="B117" s="6" t="s">
        <v>358</v>
      </c>
      <c r="C117" s="6"/>
      <c r="D117" s="6"/>
      <c r="E117" s="6"/>
      <c r="F117" s="6"/>
      <c r="G117" s="6">
        <v>-1</v>
      </c>
      <c r="H117" s="6"/>
      <c r="I117" s="6"/>
    </row>
    <row r="118" spans="1:9" x14ac:dyDescent="0.3">
      <c r="A118" s="6" t="s">
        <v>2940</v>
      </c>
      <c r="B118" s="6" t="s">
        <v>412</v>
      </c>
      <c r="C118" s="6"/>
      <c r="D118" s="6"/>
      <c r="E118" s="6"/>
      <c r="F118" s="6"/>
      <c r="G118" s="6">
        <v>5</v>
      </c>
      <c r="H118" s="6"/>
      <c r="I118" s="6"/>
    </row>
    <row r="119" spans="1:9" x14ac:dyDescent="0.3">
      <c r="A119" s="6"/>
      <c r="B119" s="6" t="s">
        <v>428</v>
      </c>
      <c r="C119" s="6"/>
      <c r="D119" s="6"/>
      <c r="E119" s="6"/>
      <c r="F119" s="6"/>
      <c r="G119" s="6">
        <v>-1</v>
      </c>
      <c r="H119" s="6"/>
      <c r="I119" s="6"/>
    </row>
    <row r="120" spans="1:9" x14ac:dyDescent="0.3">
      <c r="A120" s="6"/>
      <c r="B120" s="6" t="s">
        <v>334</v>
      </c>
      <c r="C120" s="6"/>
      <c r="D120" s="6"/>
      <c r="E120" s="6"/>
      <c r="F120" s="6"/>
      <c r="G120" s="6">
        <v>-1</v>
      </c>
      <c r="H120" s="6"/>
      <c r="I120" s="6"/>
    </row>
    <row r="121" spans="1:9" x14ac:dyDescent="0.3">
      <c r="A121" s="6" t="s">
        <v>4578</v>
      </c>
      <c r="B121" s="6" t="s">
        <v>330</v>
      </c>
      <c r="C121" s="6"/>
      <c r="D121" s="6"/>
      <c r="E121" s="6"/>
      <c r="F121" s="6"/>
      <c r="G121" s="6">
        <v>5</v>
      </c>
      <c r="H121" s="6"/>
      <c r="I121" s="6"/>
    </row>
    <row r="122" spans="1:9" x14ac:dyDescent="0.3">
      <c r="A122" s="6"/>
      <c r="B122" s="6" t="s">
        <v>354</v>
      </c>
      <c r="C122" s="6"/>
      <c r="D122" s="6"/>
      <c r="E122" s="6"/>
      <c r="F122" s="6"/>
      <c r="G122" s="6">
        <v>-1</v>
      </c>
      <c r="H122" s="6"/>
      <c r="I122" s="6"/>
    </row>
    <row r="123" spans="1:9" x14ac:dyDescent="0.3">
      <c r="A123" s="6"/>
      <c r="B123" s="6" t="s">
        <v>398</v>
      </c>
      <c r="C123" s="6"/>
      <c r="D123" s="6"/>
      <c r="E123" s="6"/>
      <c r="F123" s="6"/>
      <c r="G123" s="6">
        <v>-1</v>
      </c>
      <c r="H123" s="6"/>
      <c r="I123" s="6"/>
    </row>
    <row r="124" spans="1:9" x14ac:dyDescent="0.3">
      <c r="A124" s="6"/>
      <c r="B124" s="6" t="s">
        <v>356</v>
      </c>
      <c r="C124" s="6"/>
      <c r="D124" s="6"/>
      <c r="E124" s="6"/>
      <c r="F124" s="6"/>
      <c r="G124" s="6">
        <v>-1</v>
      </c>
      <c r="H124" s="6"/>
      <c r="I124" s="6"/>
    </row>
    <row r="125" spans="1:9" x14ac:dyDescent="0.3">
      <c r="A125" s="6" t="s">
        <v>4693</v>
      </c>
      <c r="B125" s="6" t="s">
        <v>402</v>
      </c>
      <c r="C125" s="6"/>
      <c r="D125" s="6"/>
      <c r="E125" s="6"/>
      <c r="F125" s="6"/>
      <c r="G125" s="6">
        <v>9</v>
      </c>
      <c r="H125" s="6"/>
      <c r="I125" s="6"/>
    </row>
    <row r="126" spans="1:9" x14ac:dyDescent="0.3">
      <c r="A126" s="6"/>
      <c r="B126" s="6" t="s">
        <v>482</v>
      </c>
      <c r="C126" s="6"/>
      <c r="D126" s="6"/>
      <c r="E126" s="6"/>
      <c r="F126" s="6"/>
      <c r="G126" s="6">
        <v>-1</v>
      </c>
      <c r="H126" s="6"/>
      <c r="I126" s="6"/>
    </row>
    <row r="127" spans="1:9" x14ac:dyDescent="0.3">
      <c r="A127" s="6"/>
      <c r="B127" s="6" t="s">
        <v>694</v>
      </c>
      <c r="C127" s="6"/>
      <c r="D127" s="6"/>
      <c r="E127" s="6"/>
      <c r="F127" s="6"/>
      <c r="G127" s="6">
        <v>-1</v>
      </c>
      <c r="H127" s="6"/>
      <c r="I127" s="6"/>
    </row>
    <row r="128" spans="1:9" x14ac:dyDescent="0.3">
      <c r="A128" s="6"/>
      <c r="B128" s="6" t="s">
        <v>520</v>
      </c>
      <c r="C128" s="6"/>
      <c r="D128" s="6"/>
      <c r="E128" s="6"/>
      <c r="F128" s="6"/>
      <c r="G128" s="6">
        <v>-1</v>
      </c>
      <c r="H128" s="6"/>
      <c r="I128" s="6"/>
    </row>
    <row r="129" spans="1:9" x14ac:dyDescent="0.3">
      <c r="A129" s="6"/>
      <c r="B129" s="6" t="s">
        <v>406</v>
      </c>
      <c r="C129" s="6"/>
      <c r="D129" s="6"/>
      <c r="E129" s="6"/>
      <c r="F129" s="6"/>
      <c r="G129" s="6">
        <v>-1</v>
      </c>
      <c r="H129" s="6"/>
      <c r="I129" s="6"/>
    </row>
    <row r="130" spans="1:9" x14ac:dyDescent="0.3">
      <c r="A130" s="6"/>
      <c r="B130" s="6" t="s">
        <v>598</v>
      </c>
      <c r="C130" s="6"/>
      <c r="D130" s="6"/>
      <c r="E130" s="6"/>
      <c r="F130" s="6"/>
      <c r="G130" s="6">
        <v>-1</v>
      </c>
      <c r="H130" s="6"/>
      <c r="I130" s="6"/>
    </row>
    <row r="131" spans="1:9" x14ac:dyDescent="0.3">
      <c r="A131" s="6"/>
      <c r="B131" s="6" t="s">
        <v>626</v>
      </c>
      <c r="C131" s="6"/>
      <c r="D131" s="6"/>
      <c r="E131" s="6"/>
      <c r="F131" s="6"/>
      <c r="G131" s="6">
        <v>-1</v>
      </c>
      <c r="H131" s="6"/>
      <c r="I131" s="6"/>
    </row>
    <row r="132" spans="1:9" x14ac:dyDescent="0.3">
      <c r="A132" s="6"/>
      <c r="B132" s="6" t="s">
        <v>658</v>
      </c>
      <c r="C132" s="6"/>
      <c r="D132" s="6"/>
      <c r="E132" s="6"/>
      <c r="F132" s="6"/>
      <c r="G132" s="6">
        <v>-1</v>
      </c>
      <c r="H132" s="6"/>
      <c r="I132" s="6"/>
    </row>
    <row r="133" spans="1:9" x14ac:dyDescent="0.3">
      <c r="A133" s="6"/>
      <c r="B133" s="6" t="s">
        <v>718</v>
      </c>
      <c r="C133" s="6"/>
      <c r="D133" s="6"/>
      <c r="E133" s="6"/>
      <c r="F133" s="6"/>
      <c r="G133" s="6">
        <v>-1</v>
      </c>
      <c r="H133" s="6"/>
      <c r="I133" s="6"/>
    </row>
    <row r="134" spans="1:9" x14ac:dyDescent="0.3">
      <c r="A134" s="6" t="s">
        <v>3974</v>
      </c>
      <c r="B134" s="6" t="s">
        <v>530</v>
      </c>
      <c r="C134" s="6"/>
      <c r="D134" s="6"/>
      <c r="E134" s="6"/>
      <c r="F134" s="6"/>
      <c r="G134" s="6">
        <v>9</v>
      </c>
      <c r="H134" s="6"/>
      <c r="I134" s="6"/>
    </row>
    <row r="135" spans="1:9" x14ac:dyDescent="0.3">
      <c r="A135" s="6"/>
      <c r="B135" s="6" t="s">
        <v>414</v>
      </c>
      <c r="C135" s="6"/>
      <c r="D135" s="6"/>
      <c r="E135" s="6"/>
      <c r="F135" s="6"/>
      <c r="G135" s="6">
        <v>-1</v>
      </c>
      <c r="H135" s="6"/>
      <c r="I135" s="6"/>
    </row>
    <row r="136" spans="1:9" x14ac:dyDescent="0.3">
      <c r="A136" s="6"/>
      <c r="B136" s="6" t="s">
        <v>346</v>
      </c>
      <c r="C136" s="6"/>
      <c r="D136" s="6"/>
      <c r="E136" s="6"/>
      <c r="F136" s="6"/>
      <c r="G136" s="6">
        <v>-1</v>
      </c>
      <c r="H136" s="6"/>
      <c r="I136" s="6"/>
    </row>
    <row r="137" spans="1:9" x14ac:dyDescent="0.3">
      <c r="A137" s="6"/>
      <c r="B137" s="6" t="s">
        <v>356</v>
      </c>
      <c r="C137" s="6"/>
      <c r="D137" s="6"/>
      <c r="E137" s="6"/>
      <c r="F137" s="6"/>
      <c r="G137" s="6"/>
      <c r="H137" s="6">
        <v>-1</v>
      </c>
      <c r="I137" s="6"/>
    </row>
    <row r="138" spans="1:9" x14ac:dyDescent="0.3">
      <c r="A138" s="6"/>
      <c r="B138" s="6" t="s">
        <v>334</v>
      </c>
      <c r="C138" s="6"/>
      <c r="D138" s="6"/>
      <c r="E138" s="6"/>
      <c r="F138" s="6"/>
      <c r="G138" s="6"/>
      <c r="H138" s="6">
        <v>-1</v>
      </c>
      <c r="I138" s="6"/>
    </row>
    <row r="139" spans="1:9" x14ac:dyDescent="0.3">
      <c r="A139" s="6"/>
      <c r="B139" s="6" t="s">
        <v>598</v>
      </c>
      <c r="C139" s="6"/>
      <c r="D139" s="6"/>
      <c r="E139" s="6"/>
      <c r="F139" s="6"/>
      <c r="G139" s="6"/>
      <c r="H139" s="6">
        <v>-1</v>
      </c>
      <c r="I139" s="6"/>
    </row>
    <row r="140" spans="1:9" x14ac:dyDescent="0.3">
      <c r="A140" s="6"/>
      <c r="B140" s="6" t="s">
        <v>328</v>
      </c>
      <c r="C140" s="6"/>
      <c r="D140" s="6"/>
      <c r="E140" s="6"/>
      <c r="F140" s="6"/>
      <c r="G140" s="6"/>
      <c r="H140" s="6">
        <v>-1</v>
      </c>
      <c r="I140" s="6"/>
    </row>
    <row r="141" spans="1:9" x14ac:dyDescent="0.3">
      <c r="A141" s="6"/>
      <c r="B141" s="6" t="s">
        <v>412</v>
      </c>
      <c r="C141" s="6"/>
      <c r="D141" s="6"/>
      <c r="E141" s="6"/>
      <c r="F141" s="6"/>
      <c r="G141" s="6"/>
      <c r="H141" s="6">
        <v>-1</v>
      </c>
      <c r="I141" s="6"/>
    </row>
    <row r="142" spans="1:9" x14ac:dyDescent="0.3">
      <c r="A142" s="6" t="s">
        <v>1811</v>
      </c>
      <c r="B142" s="6" t="s">
        <v>428</v>
      </c>
      <c r="C142" s="6"/>
      <c r="D142" s="6"/>
      <c r="E142" s="6"/>
      <c r="F142" s="6"/>
      <c r="G142" s="6"/>
      <c r="H142" s="6">
        <v>5</v>
      </c>
      <c r="I142" s="6"/>
    </row>
    <row r="143" spans="1:9" x14ac:dyDescent="0.3">
      <c r="A143" s="6"/>
      <c r="B143" s="6" t="s">
        <v>726</v>
      </c>
      <c r="C143" s="6"/>
      <c r="D143" s="6"/>
      <c r="E143" s="6"/>
      <c r="F143" s="6"/>
      <c r="G143" s="6"/>
      <c r="H143" s="6">
        <v>-1</v>
      </c>
      <c r="I143" s="6"/>
    </row>
    <row r="144" spans="1:9" x14ac:dyDescent="0.3">
      <c r="A144" s="6" t="s">
        <v>4109</v>
      </c>
      <c r="B144" s="6" t="s">
        <v>336</v>
      </c>
      <c r="C144" s="6"/>
      <c r="D144" s="6"/>
      <c r="E144" s="6"/>
      <c r="F144" s="6"/>
      <c r="G144" s="6"/>
      <c r="H144" s="6">
        <v>9</v>
      </c>
      <c r="I144" s="6"/>
    </row>
    <row r="145" spans="1:9" x14ac:dyDescent="0.3">
      <c r="A145" s="6"/>
      <c r="B145" s="6" t="s">
        <v>346</v>
      </c>
      <c r="C145" s="6"/>
      <c r="D145" s="6"/>
      <c r="E145" s="6"/>
      <c r="F145" s="6"/>
      <c r="G145" s="6"/>
      <c r="H145" s="6">
        <v>-1</v>
      </c>
      <c r="I145" s="6"/>
    </row>
    <row r="146" spans="1:9" x14ac:dyDescent="0.3">
      <c r="A146" s="6"/>
      <c r="B146" s="6" t="s">
        <v>402</v>
      </c>
      <c r="C146" s="6"/>
      <c r="D146" s="6"/>
      <c r="E146" s="6"/>
      <c r="F146" s="6"/>
      <c r="G146" s="6"/>
      <c r="H146" s="6">
        <v>-1</v>
      </c>
      <c r="I146" s="6"/>
    </row>
    <row r="147" spans="1:9" x14ac:dyDescent="0.3">
      <c r="A147" s="6"/>
      <c r="B147" s="6" t="s">
        <v>394</v>
      </c>
      <c r="C147" s="6"/>
      <c r="D147" s="6"/>
      <c r="E147" s="6"/>
      <c r="F147" s="6"/>
      <c r="G147" s="6"/>
      <c r="H147" s="6">
        <v>-1</v>
      </c>
      <c r="I147" s="6"/>
    </row>
    <row r="148" spans="1:9" x14ac:dyDescent="0.3">
      <c r="A148" s="6"/>
      <c r="B148" s="6" t="s">
        <v>700</v>
      </c>
      <c r="C148" s="6"/>
      <c r="D148" s="6"/>
      <c r="E148" s="6"/>
      <c r="F148" s="6"/>
      <c r="G148" s="6"/>
      <c r="H148" s="6">
        <v>-1</v>
      </c>
      <c r="I148" s="6"/>
    </row>
    <row r="149" spans="1:9" x14ac:dyDescent="0.3">
      <c r="A149" s="6"/>
      <c r="B149" s="6" t="s">
        <v>694</v>
      </c>
      <c r="C149" s="6"/>
      <c r="D149" s="6"/>
      <c r="E149" s="6"/>
      <c r="F149" s="6"/>
      <c r="G149" s="6"/>
      <c r="H149" s="6">
        <v>-1</v>
      </c>
      <c r="I149" s="6"/>
    </row>
    <row r="150" spans="1:9" x14ac:dyDescent="0.3">
      <c r="A150" s="6" t="s">
        <v>4646</v>
      </c>
      <c r="B150" s="6" t="s">
        <v>434</v>
      </c>
      <c r="C150" s="6"/>
      <c r="D150" s="6"/>
      <c r="E150" s="6"/>
      <c r="F150" s="6"/>
      <c r="G150" s="6"/>
      <c r="H150" s="6">
        <v>9</v>
      </c>
      <c r="I150" s="6"/>
    </row>
    <row r="151" spans="1:9" x14ac:dyDescent="0.3">
      <c r="A151" s="6"/>
      <c r="B151" s="6" t="s">
        <v>482</v>
      </c>
      <c r="C151" s="6"/>
      <c r="D151" s="6"/>
      <c r="E151" s="6"/>
      <c r="F151" s="6"/>
      <c r="G151" s="6"/>
      <c r="H151" s="6">
        <v>-1</v>
      </c>
      <c r="I151" s="6"/>
    </row>
    <row r="152" spans="1:9" x14ac:dyDescent="0.3">
      <c r="A152" s="6"/>
      <c r="B152" s="6" t="s">
        <v>642</v>
      </c>
      <c r="C152" s="6"/>
      <c r="D152" s="6"/>
      <c r="E152" s="6"/>
      <c r="F152" s="6"/>
      <c r="G152" s="6"/>
      <c r="H152" s="6">
        <v>-1</v>
      </c>
      <c r="I152" s="6"/>
    </row>
    <row r="153" spans="1:9" x14ac:dyDescent="0.3">
      <c r="A153" s="6" t="s">
        <v>3228</v>
      </c>
      <c r="B153" s="6" t="s">
        <v>608</v>
      </c>
      <c r="C153" s="6"/>
      <c r="D153" s="6"/>
      <c r="E153" s="6"/>
      <c r="F153" s="6"/>
      <c r="G153" s="6"/>
      <c r="H153" s="6">
        <v>9</v>
      </c>
      <c r="I153" s="6"/>
    </row>
    <row r="154" spans="1:9" x14ac:dyDescent="0.3">
      <c r="A154" s="6" t="s">
        <v>2617</v>
      </c>
      <c r="B154" s="6" t="s">
        <v>540</v>
      </c>
      <c r="C154" s="6"/>
      <c r="D154" s="6"/>
      <c r="E154" s="6"/>
      <c r="F154" s="6"/>
      <c r="G154" s="6"/>
      <c r="H154" s="6">
        <v>17</v>
      </c>
      <c r="I154" s="6"/>
    </row>
    <row r="155" spans="1:9" x14ac:dyDescent="0.3">
      <c r="A155" s="6"/>
      <c r="B155" s="6" t="s">
        <v>436</v>
      </c>
      <c r="C155" s="6"/>
      <c r="D155" s="6"/>
      <c r="E155" s="6"/>
      <c r="F155" s="6"/>
      <c r="G155" s="6"/>
      <c r="H155" s="6">
        <v>-1</v>
      </c>
      <c r="I155" s="6"/>
    </row>
    <row r="156" spans="1:9" x14ac:dyDescent="0.3">
      <c r="A156" s="6"/>
      <c r="B156" s="6" t="s">
        <v>474</v>
      </c>
      <c r="C156" s="6"/>
      <c r="D156" s="6"/>
      <c r="E156" s="6"/>
      <c r="F156" s="6"/>
      <c r="G156" s="6"/>
      <c r="H156" s="6">
        <v>-1</v>
      </c>
      <c r="I156" s="6"/>
    </row>
    <row r="157" spans="1:9" x14ac:dyDescent="0.3">
      <c r="A157" s="6"/>
      <c r="B157" s="6" t="s">
        <v>400</v>
      </c>
      <c r="C157" s="6"/>
      <c r="D157" s="6"/>
      <c r="E157" s="6"/>
      <c r="F157" s="6"/>
      <c r="G157" s="6"/>
      <c r="H157" s="6">
        <v>-1</v>
      </c>
      <c r="I157" s="6"/>
    </row>
    <row r="158" spans="1:9" x14ac:dyDescent="0.3">
      <c r="A158" s="6"/>
      <c r="B158" s="6" t="s">
        <v>598</v>
      </c>
      <c r="C158" s="6"/>
      <c r="D158" s="6"/>
      <c r="E158" s="6"/>
      <c r="F158" s="6"/>
      <c r="G158" s="6"/>
      <c r="H158" s="6"/>
      <c r="I158" s="6">
        <v>-1</v>
      </c>
    </row>
    <row r="159" spans="1:9" x14ac:dyDescent="0.3">
      <c r="A159" s="6"/>
      <c r="B159" s="6" t="s">
        <v>718</v>
      </c>
      <c r="C159" s="6"/>
      <c r="D159" s="6"/>
      <c r="E159" s="6"/>
      <c r="F159" s="6"/>
      <c r="G159" s="6"/>
      <c r="H159" s="6"/>
      <c r="I159" s="6">
        <v>-1</v>
      </c>
    </row>
    <row r="160" spans="1:9" x14ac:dyDescent="0.3">
      <c r="A160" s="6"/>
      <c r="B160" s="6" t="s">
        <v>700</v>
      </c>
      <c r="C160" s="6"/>
      <c r="D160" s="6"/>
      <c r="E160" s="6"/>
      <c r="F160" s="6"/>
      <c r="G160" s="6"/>
      <c r="H160" s="6"/>
      <c r="I160" s="6">
        <v>-1</v>
      </c>
    </row>
    <row r="161" spans="1:9" x14ac:dyDescent="0.3">
      <c r="A161" s="6" t="s">
        <v>3104</v>
      </c>
      <c r="B161" s="6" t="s">
        <v>336</v>
      </c>
      <c r="C161" s="6"/>
      <c r="D161" s="6"/>
      <c r="E161" s="6"/>
      <c r="F161" s="6"/>
      <c r="G161" s="6"/>
      <c r="H161" s="6"/>
      <c r="I161" s="6">
        <v>1</v>
      </c>
    </row>
    <row r="162" spans="1:9" x14ac:dyDescent="0.3">
      <c r="A162" s="6"/>
      <c r="B162" s="6" t="s">
        <v>328</v>
      </c>
      <c r="C162" s="6"/>
      <c r="D162" s="6"/>
      <c r="E162" s="6"/>
      <c r="F162" s="6"/>
      <c r="G162" s="6"/>
      <c r="H162" s="6"/>
      <c r="I162" s="6">
        <v>-1</v>
      </c>
    </row>
    <row r="163" spans="1:9" x14ac:dyDescent="0.3">
      <c r="A163" s="6"/>
      <c r="B163" s="6" t="s">
        <v>428</v>
      </c>
      <c r="C163" s="6"/>
      <c r="D163" s="6"/>
      <c r="E163" s="6"/>
      <c r="F163" s="6"/>
      <c r="G163" s="6"/>
      <c r="H163" s="6"/>
      <c r="I163" s="6">
        <v>-1</v>
      </c>
    </row>
    <row r="164" spans="1:9" x14ac:dyDescent="0.3">
      <c r="A164" s="6" t="s">
        <v>4969</v>
      </c>
      <c r="B164" s="6" t="s">
        <v>356</v>
      </c>
      <c r="C164" s="6"/>
      <c r="D164" s="6"/>
      <c r="E164" s="6"/>
      <c r="F164" s="6"/>
      <c r="G164" s="6"/>
      <c r="H164" s="6"/>
      <c r="I164" s="6">
        <v>17</v>
      </c>
    </row>
    <row r="165" spans="1:9" x14ac:dyDescent="0.3">
      <c r="A165" s="6" t="s">
        <v>4117</v>
      </c>
      <c r="B165" s="6" t="s">
        <v>346</v>
      </c>
      <c r="C165" s="6"/>
      <c r="D165" s="6"/>
      <c r="E165" s="6"/>
      <c r="F165" s="6"/>
      <c r="G165" s="6"/>
      <c r="H165" s="6"/>
      <c r="I165" s="6">
        <v>9</v>
      </c>
    </row>
    <row r="166" spans="1:9" x14ac:dyDescent="0.3">
      <c r="A166" s="6"/>
      <c r="B166" s="6" t="s">
        <v>690</v>
      </c>
      <c r="C166" s="6"/>
      <c r="D166" s="6"/>
      <c r="E166" s="6"/>
      <c r="F166" s="6"/>
      <c r="G166" s="6"/>
      <c r="H166" s="6"/>
      <c r="I166" s="6">
        <v>-1</v>
      </c>
    </row>
    <row r="167" spans="1:9" x14ac:dyDescent="0.3">
      <c r="A167" s="6"/>
      <c r="B167" s="6" t="s">
        <v>604</v>
      </c>
      <c r="C167" s="6"/>
      <c r="D167" s="6"/>
      <c r="E167" s="6"/>
      <c r="F167" s="6"/>
      <c r="G167" s="6"/>
      <c r="H167" s="6"/>
      <c r="I167" s="6">
        <v>-1</v>
      </c>
    </row>
    <row r="168" spans="1:9" x14ac:dyDescent="0.3">
      <c r="A168" s="6"/>
      <c r="B168" s="6" t="s">
        <v>412</v>
      </c>
      <c r="C168" s="6"/>
      <c r="D168" s="6"/>
      <c r="E168" s="6"/>
      <c r="F168" s="6"/>
      <c r="G168" s="6"/>
      <c r="H168" s="6"/>
      <c r="I168" s="6">
        <v>-1</v>
      </c>
    </row>
    <row r="169" spans="1:9" x14ac:dyDescent="0.3">
      <c r="A169" s="6" t="s">
        <v>4262</v>
      </c>
      <c r="B169" s="6" t="s">
        <v>470</v>
      </c>
      <c r="C169" s="6"/>
      <c r="D169" s="6"/>
      <c r="E169" s="6"/>
      <c r="F169" s="6"/>
      <c r="G169" s="6"/>
      <c r="H169" s="6"/>
      <c r="I169" s="6">
        <v>9</v>
      </c>
    </row>
    <row r="170" spans="1:9" x14ac:dyDescent="0.3">
      <c r="A170" s="6"/>
      <c r="B170" s="6" t="s">
        <v>642</v>
      </c>
      <c r="C170" s="6"/>
      <c r="D170" s="6"/>
      <c r="E170" s="6"/>
      <c r="F170" s="6"/>
      <c r="G170" s="6"/>
      <c r="H170" s="6"/>
      <c r="I170" s="6">
        <v>-1</v>
      </c>
    </row>
    <row r="171" spans="1:9" x14ac:dyDescent="0.3">
      <c r="A171" s="6"/>
      <c r="B171" s="6" t="s">
        <v>334</v>
      </c>
      <c r="C171" s="6"/>
      <c r="D171" s="6"/>
      <c r="E171" s="6"/>
      <c r="F171" s="6"/>
      <c r="G171" s="6"/>
      <c r="H171" s="6"/>
      <c r="I171" s="6">
        <v>-1</v>
      </c>
    </row>
    <row r="172" spans="1:9" x14ac:dyDescent="0.3">
      <c r="A172" s="6"/>
      <c r="B172" s="6" t="s">
        <v>530</v>
      </c>
      <c r="C172" s="6"/>
      <c r="D172" s="6"/>
      <c r="E172" s="6"/>
      <c r="F172" s="6"/>
      <c r="G172" s="6"/>
      <c r="H172" s="6"/>
      <c r="I172" s="6">
        <v>-1</v>
      </c>
    </row>
    <row r="173" spans="1:9" x14ac:dyDescent="0.3">
      <c r="A173" s="6"/>
      <c r="B173" s="6" t="s">
        <v>474</v>
      </c>
      <c r="C173" s="6"/>
      <c r="D173" s="6"/>
      <c r="E173" s="6"/>
      <c r="F173" s="6"/>
      <c r="G173" s="6"/>
      <c r="H173" s="6"/>
      <c r="I173" s="6">
        <v>-1</v>
      </c>
    </row>
    <row r="174" spans="1:9" x14ac:dyDescent="0.3">
      <c r="A174" s="6"/>
      <c r="B174" s="6" t="s">
        <v>404</v>
      </c>
      <c r="C174" s="6"/>
      <c r="D174" s="6"/>
      <c r="E174" s="6"/>
      <c r="F174" s="6"/>
      <c r="G174" s="6"/>
      <c r="H174" s="6"/>
      <c r="I174" s="6">
        <v>-1</v>
      </c>
    </row>
    <row r="175" spans="1:9" x14ac:dyDescent="0.3">
      <c r="A175" s="6" t="s">
        <v>4628</v>
      </c>
      <c r="B175" s="6" t="s">
        <v>544</v>
      </c>
      <c r="C175" s="6"/>
      <c r="D175" s="6"/>
      <c r="E175" s="6"/>
      <c r="F175" s="6"/>
      <c r="G175" s="6"/>
      <c r="H175" s="6"/>
      <c r="I175" s="6">
        <v>17</v>
      </c>
    </row>
    <row r="176" spans="1:9" x14ac:dyDescent="0.3">
      <c r="A176" s="6" t="s">
        <v>3617</v>
      </c>
      <c r="B176" s="6" t="s">
        <v>448</v>
      </c>
      <c r="C176" s="6"/>
      <c r="D176" s="6"/>
      <c r="E176" s="6"/>
      <c r="F176" s="6"/>
      <c r="G176" s="6"/>
      <c r="H176" s="6"/>
      <c r="I176" s="6">
        <v>17</v>
      </c>
    </row>
    <row r="177" spans="1:9" x14ac:dyDescent="0.3">
      <c r="A177" s="6"/>
      <c r="B177" s="6" t="s">
        <v>580</v>
      </c>
      <c r="C177" s="6"/>
      <c r="D177" s="6"/>
      <c r="E177" s="6"/>
      <c r="F177" s="6"/>
      <c r="G177" s="6"/>
      <c r="H177" s="6"/>
      <c r="I177" s="6">
        <v>-1</v>
      </c>
    </row>
    <row r="178" spans="1:9" x14ac:dyDescent="0.3">
      <c r="A178" s="6"/>
      <c r="B178" s="6" t="s">
        <v>384</v>
      </c>
      <c r="C178" s="6"/>
      <c r="D178" s="6"/>
      <c r="E178" s="6"/>
      <c r="F178" s="6"/>
      <c r="G178" s="6"/>
      <c r="H178" s="6"/>
      <c r="I178" s="6">
        <v>-1</v>
      </c>
    </row>
    <row r="179" spans="1:9" x14ac:dyDescent="0.3">
      <c r="A179" s="6"/>
      <c r="B179" s="6" t="s">
        <v>726</v>
      </c>
      <c r="C179" s="6"/>
      <c r="D179" s="6"/>
      <c r="E179" s="6"/>
      <c r="F179" s="6"/>
      <c r="G179" s="6"/>
      <c r="H179" s="6"/>
      <c r="I179" s="6">
        <v>-1</v>
      </c>
    </row>
    <row r="180" spans="1:9" x14ac:dyDescent="0.3">
      <c r="A180" s="6"/>
      <c r="B180" s="6" t="s">
        <v>630</v>
      </c>
      <c r="C180" s="6">
        <v>-1</v>
      </c>
      <c r="D180" s="6"/>
      <c r="E180" s="6"/>
      <c r="F180" s="6"/>
      <c r="G180" s="6"/>
      <c r="H180" s="6"/>
      <c r="I180" s="6"/>
    </row>
    <row r="181" spans="1:9" x14ac:dyDescent="0.3">
      <c r="A181" s="6"/>
      <c r="B181" s="6" t="s">
        <v>452</v>
      </c>
      <c r="C181" s="6"/>
      <c r="D181" s="6">
        <v>-1</v>
      </c>
      <c r="E181" s="6"/>
      <c r="F181" s="6"/>
      <c r="G181" s="6"/>
      <c r="H181" s="6"/>
      <c r="I181" s="6"/>
    </row>
    <row r="182" spans="1:9" x14ac:dyDescent="0.3">
      <c r="A182" s="6"/>
      <c r="B182" s="6" t="s">
        <v>550</v>
      </c>
      <c r="C182" s="6"/>
      <c r="D182" s="6"/>
      <c r="E182" s="6"/>
      <c r="F182" s="6"/>
      <c r="G182" s="6">
        <v>-1</v>
      </c>
      <c r="H182" s="6"/>
      <c r="I182" s="6"/>
    </row>
    <row r="183" spans="1:9" x14ac:dyDescent="0.3">
      <c r="A183" s="6"/>
      <c r="B183" s="6" t="s">
        <v>396</v>
      </c>
      <c r="C183" s="6"/>
      <c r="D183" s="6"/>
      <c r="E183" s="6"/>
      <c r="F183" s="6"/>
      <c r="G183" s="6"/>
      <c r="H183" s="6"/>
      <c r="I183" s="6">
        <v>-1</v>
      </c>
    </row>
    <row r="184" spans="1:9" x14ac:dyDescent="0.3">
      <c r="A184" s="6"/>
      <c r="B184" s="6" t="s">
        <v>386</v>
      </c>
      <c r="C184" s="6"/>
      <c r="D184" s="6"/>
      <c r="E184" s="6">
        <v>-1</v>
      </c>
      <c r="F184" s="6"/>
      <c r="G184" s="6"/>
      <c r="H184" s="6"/>
      <c r="I184" s="6"/>
    </row>
    <row r="185" spans="1:9" x14ac:dyDescent="0.3">
      <c r="A185" s="6"/>
      <c r="B185" s="6" t="s">
        <v>386</v>
      </c>
      <c r="C185" s="6"/>
      <c r="D185" s="6"/>
      <c r="E185" s="6"/>
      <c r="F185" s="6">
        <v>-1</v>
      </c>
      <c r="G185" s="6"/>
      <c r="H185" s="6"/>
      <c r="I185" s="6"/>
    </row>
    <row r="186" spans="1:9" x14ac:dyDescent="0.3">
      <c r="A186" s="6"/>
      <c r="B186" s="6" t="s">
        <v>386</v>
      </c>
      <c r="C186" s="6"/>
      <c r="D186" s="6"/>
      <c r="E186" s="6"/>
      <c r="F186" s="6"/>
      <c r="G186" s="6"/>
      <c r="H186" s="6"/>
      <c r="I186" s="6">
        <v>-1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C1FA34-3DE7-4E88-89C3-E7409612E21A}">
  <dimension ref="A1:E20"/>
  <sheetViews>
    <sheetView topLeftCell="A10" workbookViewId="0">
      <selection activeCell="B21" sqref="B21"/>
    </sheetView>
  </sheetViews>
  <sheetFormatPr defaultRowHeight="14.4" x14ac:dyDescent="0.3"/>
  <cols>
    <col min="1" max="1" width="157.6640625" bestFit="1" customWidth="1"/>
    <col min="2" max="2" width="13" bestFit="1" customWidth="1"/>
    <col min="3" max="3" width="20" bestFit="1" customWidth="1"/>
    <col min="4" max="4" width="17" bestFit="1" customWidth="1"/>
    <col min="5" max="5" width="14.77734375" bestFit="1" customWidth="1"/>
  </cols>
  <sheetData>
    <row r="1" spans="1:5" x14ac:dyDescent="0.3">
      <c r="A1" t="s">
        <v>834</v>
      </c>
      <c r="B1" t="s">
        <v>1</v>
      </c>
      <c r="C1" t="s">
        <v>1017</v>
      </c>
      <c r="D1" t="s">
        <v>1212</v>
      </c>
      <c r="E1" t="s">
        <v>1213</v>
      </c>
    </row>
    <row r="2" spans="1:5" x14ac:dyDescent="0.3">
      <c r="A2" s="6" t="s">
        <v>4355</v>
      </c>
      <c r="B2" s="6" t="s">
        <v>344</v>
      </c>
      <c r="C2" s="6">
        <v>1</v>
      </c>
      <c r="D2" s="6">
        <f>Table82[[#This Row],[Total Athletes]]-(LEN(Table82[[#This Row],[Team]])-LEN(SUBSTITUTE(Table82[[#This Row],[Team]],"/","")))-1</f>
        <v>5</v>
      </c>
      <c r="E2" s="6">
        <v>7</v>
      </c>
    </row>
    <row r="3" spans="1:5" x14ac:dyDescent="0.3">
      <c r="A3" s="6" t="s">
        <v>1725</v>
      </c>
      <c r="B3" s="6" t="s">
        <v>358</v>
      </c>
      <c r="C3" s="6">
        <v>9</v>
      </c>
      <c r="D3" s="6">
        <f>Table82[[#This Row],[Total Athletes]]-(LEN(Table82[[#This Row],[Team]])-LEN(SUBSTITUTE(Table82[[#This Row],[Team]],"/","")))-1</f>
        <v>5</v>
      </c>
      <c r="E3" s="6">
        <v>6</v>
      </c>
    </row>
    <row r="4" spans="1:5" x14ac:dyDescent="0.3">
      <c r="A4" s="6" t="s">
        <v>4500</v>
      </c>
      <c r="B4" s="6" t="s">
        <v>336</v>
      </c>
      <c r="C4" s="6">
        <v>3</v>
      </c>
      <c r="D4" s="6">
        <f>Table82[[#This Row],[Total Athletes]]-(LEN(Table82[[#This Row],[Team]])-LEN(SUBSTITUTE(Table82[[#This Row],[Team]],"/","")))-1</f>
        <v>2</v>
      </c>
      <c r="E4" s="6">
        <v>8</v>
      </c>
    </row>
    <row r="5" spans="1:5" x14ac:dyDescent="0.3">
      <c r="A5" s="6"/>
      <c r="B5" s="6" t="s">
        <v>384</v>
      </c>
      <c r="C5" s="6">
        <v>-1</v>
      </c>
      <c r="D5" s="6">
        <f>Table82[[#This Row],[Total Athletes]]-(LEN(Table82[[#This Row],[Team]])-LEN(SUBSTITUTE(Table82[[#This Row],[Team]],"/","")))-1</f>
        <v>-1</v>
      </c>
      <c r="E5" s="6"/>
    </row>
    <row r="6" spans="1:5" x14ac:dyDescent="0.3">
      <c r="A6" s="6" t="s">
        <v>3515</v>
      </c>
      <c r="B6" s="6" t="s">
        <v>580</v>
      </c>
      <c r="C6" s="6">
        <v>9</v>
      </c>
      <c r="D6" s="6">
        <f>Table82[[#This Row],[Total Athletes]]-(LEN(Table82[[#This Row],[Team]])-LEN(SUBSTITUTE(Table82[[#This Row],[Team]],"/","")))-1</f>
        <v>3</v>
      </c>
      <c r="E6" s="6">
        <v>6</v>
      </c>
    </row>
    <row r="7" spans="1:5" x14ac:dyDescent="0.3">
      <c r="A7" s="6"/>
      <c r="B7" s="6" t="s">
        <v>334</v>
      </c>
      <c r="C7" s="6">
        <v>-1</v>
      </c>
      <c r="D7" s="6">
        <f>Table82[[#This Row],[Total Athletes]]-(LEN(Table82[[#This Row],[Team]])-LEN(SUBSTITUTE(Table82[[#This Row],[Team]],"/","")))-1</f>
        <v>-1</v>
      </c>
      <c r="E7" s="6"/>
    </row>
    <row r="8" spans="1:5" x14ac:dyDescent="0.3">
      <c r="A8" s="6"/>
      <c r="B8" s="6" t="s">
        <v>406</v>
      </c>
      <c r="C8" s="6">
        <v>-1</v>
      </c>
      <c r="D8" s="6">
        <f>Table82[[#This Row],[Total Athletes]]-(LEN(Table82[[#This Row],[Team]])-LEN(SUBSTITUTE(Table82[[#This Row],[Team]],"/","")))-1</f>
        <v>-1</v>
      </c>
      <c r="E8" s="6"/>
    </row>
    <row r="9" spans="1:5" x14ac:dyDescent="0.3">
      <c r="A9" s="6" t="s">
        <v>4759</v>
      </c>
      <c r="B9" s="6" t="s">
        <v>598</v>
      </c>
      <c r="C9" s="6">
        <v>9</v>
      </c>
      <c r="D9" s="6">
        <f>Table82[[#This Row],[Total Athletes]]-(LEN(Table82[[#This Row],[Team]])-LEN(SUBSTITUTE(Table82[[#This Row],[Team]],"/","")))-1</f>
        <v>4</v>
      </c>
      <c r="E9" s="6">
        <v>6</v>
      </c>
    </row>
    <row r="10" spans="1:5" x14ac:dyDescent="0.3">
      <c r="A10" s="6" t="s">
        <v>4970</v>
      </c>
      <c r="B10" s="6" t="s">
        <v>356</v>
      </c>
      <c r="C10" s="6">
        <v>5</v>
      </c>
      <c r="D10" s="6">
        <f>Table82[[#This Row],[Total Athletes]]-(LEN(Table82[[#This Row],[Team]])-LEN(SUBSTITUTE(Table82[[#This Row],[Team]],"/","")))-1</f>
        <v>7</v>
      </c>
      <c r="E10" s="6">
        <v>9</v>
      </c>
    </row>
    <row r="11" spans="1:5" x14ac:dyDescent="0.3">
      <c r="A11" s="6" t="s">
        <v>4089</v>
      </c>
      <c r="B11" s="6" t="s">
        <v>428</v>
      </c>
      <c r="C11" s="6">
        <v>2</v>
      </c>
      <c r="D11" s="6">
        <f>Table82[[#This Row],[Total Athletes]]-(LEN(Table82[[#This Row],[Team]])-LEN(SUBSTITUTE(Table82[[#This Row],[Team]],"/","")))-1</f>
        <v>6</v>
      </c>
      <c r="E11" s="6">
        <v>12</v>
      </c>
    </row>
    <row r="12" spans="1:5" x14ac:dyDescent="0.3">
      <c r="A12" s="6"/>
      <c r="B12" s="6" t="s">
        <v>604</v>
      </c>
      <c r="C12" s="6">
        <v>-1</v>
      </c>
      <c r="D12" s="6">
        <f>Table82[[#This Row],[Total Athletes]]-(LEN(Table82[[#This Row],[Team]])-LEN(SUBSTITUTE(Table82[[#This Row],[Team]],"/","")))-1</f>
        <v>-1</v>
      </c>
      <c r="E12" s="6"/>
    </row>
    <row r="13" spans="1:5" x14ac:dyDescent="0.3">
      <c r="A13" s="6"/>
      <c r="B13" s="6" t="s">
        <v>642</v>
      </c>
      <c r="C13" s="6">
        <v>-1</v>
      </c>
      <c r="D13" s="6">
        <f>Table82[[#This Row],[Total Athletes]]-(LEN(Table82[[#This Row],[Team]])-LEN(SUBSTITUTE(Table82[[#This Row],[Team]],"/","")))-1</f>
        <v>-1</v>
      </c>
      <c r="E13" s="6"/>
    </row>
    <row r="14" spans="1:5" x14ac:dyDescent="0.3">
      <c r="A14" s="6" t="s">
        <v>2958</v>
      </c>
      <c r="B14" s="6" t="s">
        <v>412</v>
      </c>
      <c r="C14" s="6">
        <v>9</v>
      </c>
      <c r="D14" s="6">
        <f>Table82[[#This Row],[Total Athletes]]-(LEN(Table82[[#This Row],[Team]])-LEN(SUBSTITUTE(Table82[[#This Row],[Team]],"/","")))-1</f>
        <v>5</v>
      </c>
      <c r="E14" s="6">
        <v>6</v>
      </c>
    </row>
    <row r="15" spans="1:5" x14ac:dyDescent="0.3">
      <c r="A15" s="6" t="s">
        <v>3972</v>
      </c>
      <c r="B15" s="6" t="s">
        <v>690</v>
      </c>
      <c r="C15" s="6">
        <v>7</v>
      </c>
      <c r="D15" s="6">
        <f>Table82[[#This Row],[Total Athletes]]-(LEN(Table82[[#This Row],[Team]])-LEN(SUBSTITUTE(Table82[[#This Row],[Team]],"/","")))-1</f>
        <v>5</v>
      </c>
      <c r="E15" s="6">
        <v>6</v>
      </c>
    </row>
    <row r="16" spans="1:5" x14ac:dyDescent="0.3">
      <c r="A16" s="6"/>
      <c r="B16" s="6" t="s">
        <v>700</v>
      </c>
      <c r="C16" s="6">
        <v>-1</v>
      </c>
      <c r="D16" s="6">
        <f>Table82[[#This Row],[Total Athletes]]-(LEN(Table82[[#This Row],[Team]])-LEN(SUBSTITUTE(Table82[[#This Row],[Team]],"/","")))-1</f>
        <v>-1</v>
      </c>
      <c r="E16" s="6"/>
    </row>
    <row r="17" spans="1:5" x14ac:dyDescent="0.3">
      <c r="A17" s="6" t="s">
        <v>4886</v>
      </c>
      <c r="B17" s="6" t="s">
        <v>330</v>
      </c>
      <c r="C17" s="6">
        <v>9</v>
      </c>
      <c r="D17" s="6">
        <f>Table82[[#This Row],[Total Athletes]]-(LEN(Table82[[#This Row],[Team]])-LEN(SUBSTITUTE(Table82[[#This Row],[Team]],"/","")))-1</f>
        <v>3</v>
      </c>
      <c r="E17" s="6">
        <v>7</v>
      </c>
    </row>
    <row r="18" spans="1:5" x14ac:dyDescent="0.3">
      <c r="A18" s="6" t="s">
        <v>1928</v>
      </c>
      <c r="B18" s="6" t="s">
        <v>718</v>
      </c>
      <c r="C18" s="6">
        <v>9</v>
      </c>
      <c r="D18" s="6">
        <f>Table82[[#This Row],[Total Athletes]]-(LEN(Table82[[#This Row],[Team]])-LEN(SUBSTITUTE(Table82[[#This Row],[Team]],"/","")))-1</f>
        <v>5</v>
      </c>
      <c r="E18" s="6">
        <v>6</v>
      </c>
    </row>
    <row r="19" spans="1:5" x14ac:dyDescent="0.3">
      <c r="A19" s="6"/>
      <c r="B19" s="6" t="s">
        <v>482</v>
      </c>
      <c r="C19" s="6">
        <v>-1</v>
      </c>
      <c r="D19" s="6">
        <f>Table82[[#This Row],[Total Athletes]]-(LEN(Table82[[#This Row],[Team]])-LEN(SUBSTITUTE(Table82[[#This Row],[Team]],"/","")))-1</f>
        <v>-1</v>
      </c>
      <c r="E19" s="6"/>
    </row>
    <row r="20" spans="1:5" x14ac:dyDescent="0.3">
      <c r="A20" s="6"/>
      <c r="B20" s="6" t="s">
        <v>386</v>
      </c>
      <c r="C20" s="6">
        <v>-1</v>
      </c>
      <c r="D20" s="6">
        <f>Table82[[#This Row],[Total Athletes]]-(LEN(Table82[[#This Row],[Team]])-LEN(SUBSTITUTE(Table82[[#This Row],[Team]],"/","")))-1</f>
        <v>-1</v>
      </c>
      <c r="E20" s="6"/>
    </row>
  </sheetData>
  <pageMargins left="0.7" right="0.7" top="0.75" bottom="0.75" header="0.3" footer="0.3"/>
  <tableParts count="1">
    <tablePart r:id="rId1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DC0DC-A27A-41C5-A338-CBD51D5985D1}">
  <dimension ref="A1:C37"/>
  <sheetViews>
    <sheetView topLeftCell="A28" workbookViewId="0">
      <selection activeCell="B38" sqref="B38"/>
    </sheetView>
  </sheetViews>
  <sheetFormatPr defaultRowHeight="14.4" x14ac:dyDescent="0.3"/>
  <cols>
    <col min="1" max="1" width="24.109375" bestFit="1" customWidth="1"/>
    <col min="2" max="2" width="14" bestFit="1" customWidth="1"/>
    <col min="3" max="3" width="14.109375" bestFit="1" customWidth="1"/>
  </cols>
  <sheetData>
    <row r="1" spans="1:3" x14ac:dyDescent="0.3">
      <c r="A1" t="s">
        <v>832</v>
      </c>
      <c r="B1" t="s">
        <v>1</v>
      </c>
      <c r="C1" t="s">
        <v>899</v>
      </c>
    </row>
    <row r="2" spans="1:3" x14ac:dyDescent="0.3">
      <c r="A2" s="6" t="s">
        <v>4435</v>
      </c>
      <c r="B2" s="6" t="s">
        <v>326</v>
      </c>
      <c r="C2" s="6">
        <v>18</v>
      </c>
    </row>
    <row r="3" spans="1:3" x14ac:dyDescent="0.3">
      <c r="A3" s="6"/>
      <c r="B3" s="6" t="s">
        <v>356</v>
      </c>
      <c r="C3" s="6">
        <v>-1</v>
      </c>
    </row>
    <row r="4" spans="1:3" x14ac:dyDescent="0.3">
      <c r="A4" s="6" t="s">
        <v>1474</v>
      </c>
      <c r="B4" s="6" t="s">
        <v>402</v>
      </c>
      <c r="C4" s="6">
        <v>9</v>
      </c>
    </row>
    <row r="5" spans="1:3" x14ac:dyDescent="0.3">
      <c r="A5" s="6"/>
      <c r="B5" s="6" t="s">
        <v>406</v>
      </c>
      <c r="C5" s="6">
        <v>-1</v>
      </c>
    </row>
    <row r="6" spans="1:3" x14ac:dyDescent="0.3">
      <c r="A6" s="6"/>
      <c r="B6" s="6" t="s">
        <v>344</v>
      </c>
      <c r="C6" s="6">
        <v>-1</v>
      </c>
    </row>
    <row r="7" spans="1:3" x14ac:dyDescent="0.3">
      <c r="A7" s="6" t="s">
        <v>3433</v>
      </c>
      <c r="B7" s="6" t="s">
        <v>334</v>
      </c>
      <c r="C7" s="6">
        <v>8</v>
      </c>
    </row>
    <row r="8" spans="1:3" x14ac:dyDescent="0.3">
      <c r="A8" s="6"/>
      <c r="B8" s="6" t="s">
        <v>394</v>
      </c>
      <c r="C8" s="6">
        <v>-1</v>
      </c>
    </row>
    <row r="9" spans="1:3" x14ac:dyDescent="0.3">
      <c r="A9" s="6"/>
      <c r="B9" s="6" t="s">
        <v>726</v>
      </c>
      <c r="C9" s="6">
        <v>-1</v>
      </c>
    </row>
    <row r="10" spans="1:3" x14ac:dyDescent="0.3">
      <c r="A10" s="6"/>
      <c r="B10" s="6" t="s">
        <v>444</v>
      </c>
      <c r="C10" s="6">
        <v>-1</v>
      </c>
    </row>
    <row r="11" spans="1:3" x14ac:dyDescent="0.3">
      <c r="A11" s="6"/>
      <c r="B11" s="6" t="s">
        <v>350</v>
      </c>
      <c r="C11" s="6">
        <v>-1</v>
      </c>
    </row>
    <row r="12" spans="1:3" x14ac:dyDescent="0.3">
      <c r="A12" s="6" t="s">
        <v>4410</v>
      </c>
      <c r="B12" s="6" t="s">
        <v>326</v>
      </c>
      <c r="C12" s="6">
        <v>1</v>
      </c>
    </row>
    <row r="13" spans="1:3" x14ac:dyDescent="0.3">
      <c r="A13" s="6"/>
      <c r="B13" s="6" t="s">
        <v>700</v>
      </c>
      <c r="C13" s="6">
        <v>-1</v>
      </c>
    </row>
    <row r="14" spans="1:3" x14ac:dyDescent="0.3">
      <c r="A14" s="6"/>
      <c r="B14" s="6" t="s">
        <v>328</v>
      </c>
      <c r="C14" s="6">
        <v>-1</v>
      </c>
    </row>
    <row r="15" spans="1:3" x14ac:dyDescent="0.3">
      <c r="A15" s="6" t="s">
        <v>3128</v>
      </c>
      <c r="B15" s="6" t="s">
        <v>428</v>
      </c>
      <c r="C15" s="6">
        <v>2</v>
      </c>
    </row>
    <row r="16" spans="1:3" x14ac:dyDescent="0.3">
      <c r="A16" s="6"/>
      <c r="B16" s="6" t="s">
        <v>604</v>
      </c>
      <c r="C16" s="6">
        <v>-1</v>
      </c>
    </row>
    <row r="17" spans="1:3" x14ac:dyDescent="0.3">
      <c r="A17" s="6"/>
      <c r="B17" s="6" t="s">
        <v>478</v>
      </c>
      <c r="C17" s="6">
        <v>-1</v>
      </c>
    </row>
    <row r="18" spans="1:3" x14ac:dyDescent="0.3">
      <c r="A18" s="6"/>
      <c r="B18" s="6" t="s">
        <v>350</v>
      </c>
      <c r="C18" s="6">
        <v>-1</v>
      </c>
    </row>
    <row r="19" spans="1:3" x14ac:dyDescent="0.3">
      <c r="A19" s="6" t="s">
        <v>2140</v>
      </c>
      <c r="B19" s="6" t="s">
        <v>470</v>
      </c>
      <c r="C19" s="6">
        <v>31</v>
      </c>
    </row>
    <row r="20" spans="1:3" x14ac:dyDescent="0.3">
      <c r="A20" s="6"/>
      <c r="B20" s="6" t="s">
        <v>418</v>
      </c>
      <c r="C20" s="6">
        <v>-1</v>
      </c>
    </row>
    <row r="21" spans="1:3" x14ac:dyDescent="0.3">
      <c r="A21" s="6" t="s">
        <v>4245</v>
      </c>
      <c r="B21" s="6" t="s">
        <v>400</v>
      </c>
      <c r="C21" s="6">
        <v>33</v>
      </c>
    </row>
    <row r="22" spans="1:3" x14ac:dyDescent="0.3">
      <c r="A22" s="6"/>
      <c r="B22" s="6" t="s">
        <v>340</v>
      </c>
      <c r="C22" s="6">
        <v>-1</v>
      </c>
    </row>
    <row r="23" spans="1:3" x14ac:dyDescent="0.3">
      <c r="A23" s="6"/>
      <c r="B23" s="6" t="s">
        <v>406</v>
      </c>
      <c r="C23" s="6">
        <v>-1</v>
      </c>
    </row>
    <row r="24" spans="1:3" x14ac:dyDescent="0.3">
      <c r="A24" s="6"/>
      <c r="B24" s="6" t="s">
        <v>700</v>
      </c>
      <c r="C24" s="6">
        <v>-1</v>
      </c>
    </row>
    <row r="25" spans="1:3" x14ac:dyDescent="0.3">
      <c r="A25" s="6"/>
      <c r="B25" s="6" t="s">
        <v>394</v>
      </c>
      <c r="C25" s="6">
        <v>-1</v>
      </c>
    </row>
    <row r="26" spans="1:3" x14ac:dyDescent="0.3">
      <c r="A26" s="6"/>
      <c r="B26" s="6" t="s">
        <v>344</v>
      </c>
      <c r="C26" s="6">
        <v>-1</v>
      </c>
    </row>
    <row r="27" spans="1:3" x14ac:dyDescent="0.3">
      <c r="A27" s="6"/>
      <c r="B27" s="6" t="s">
        <v>328</v>
      </c>
      <c r="C27" s="6">
        <v>-1</v>
      </c>
    </row>
    <row r="28" spans="1:3" x14ac:dyDescent="0.3">
      <c r="A28" s="6"/>
      <c r="B28" s="6" t="s">
        <v>402</v>
      </c>
      <c r="C28" s="6">
        <v>-1</v>
      </c>
    </row>
    <row r="29" spans="1:3" x14ac:dyDescent="0.3">
      <c r="A29" s="6"/>
      <c r="B29" s="6" t="s">
        <v>442</v>
      </c>
      <c r="C29" s="6">
        <v>-1</v>
      </c>
    </row>
    <row r="30" spans="1:3" x14ac:dyDescent="0.3">
      <c r="A30" s="6"/>
      <c r="B30" s="6" t="s">
        <v>356</v>
      </c>
      <c r="C30" s="6">
        <v>-1</v>
      </c>
    </row>
    <row r="31" spans="1:3" x14ac:dyDescent="0.3">
      <c r="A31" s="6"/>
      <c r="B31" s="6" t="s">
        <v>334</v>
      </c>
      <c r="C31" s="6">
        <v>-1</v>
      </c>
    </row>
    <row r="32" spans="1:3" x14ac:dyDescent="0.3">
      <c r="A32" s="6"/>
      <c r="B32" s="6" t="s">
        <v>442</v>
      </c>
      <c r="C32" s="6">
        <v>-1</v>
      </c>
    </row>
    <row r="33" spans="1:3" x14ac:dyDescent="0.3">
      <c r="A33" s="6"/>
      <c r="B33" s="6" t="s">
        <v>370</v>
      </c>
      <c r="C33" s="6">
        <v>-1</v>
      </c>
    </row>
    <row r="34" spans="1:3" x14ac:dyDescent="0.3">
      <c r="A34" s="6"/>
      <c r="B34" s="6" t="s">
        <v>718</v>
      </c>
      <c r="C34" s="6">
        <v>-1</v>
      </c>
    </row>
    <row r="35" spans="1:3" x14ac:dyDescent="0.3">
      <c r="A35" s="6"/>
      <c r="B35" s="6" t="s">
        <v>726</v>
      </c>
      <c r="C35" s="6">
        <v>-1</v>
      </c>
    </row>
    <row r="36" spans="1:3" x14ac:dyDescent="0.3">
      <c r="A36" s="6" t="s">
        <v>3941</v>
      </c>
      <c r="B36" s="6" t="s">
        <v>366</v>
      </c>
      <c r="C36" s="6">
        <v>32</v>
      </c>
    </row>
    <row r="37" spans="1:3" x14ac:dyDescent="0.3">
      <c r="A37" s="6"/>
      <c r="B37" s="6" t="s">
        <v>614</v>
      </c>
      <c r="C37" s="6">
        <v>-1</v>
      </c>
    </row>
  </sheetData>
  <pageMargins left="0.7" right="0.7" top="0.75" bottom="0.75" header="0.3" footer="0.3"/>
  <tableParts count="1">
    <tablePart r:id="rId1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F2FA7-2449-4BE6-A08F-5D2FE2A72021}">
  <dimension ref="A1:C37"/>
  <sheetViews>
    <sheetView topLeftCell="A28" workbookViewId="0">
      <selection activeCell="B38" sqref="B38"/>
    </sheetView>
  </sheetViews>
  <sheetFormatPr defaultRowHeight="14.4" x14ac:dyDescent="0.3"/>
  <cols>
    <col min="1" max="1" width="27.109375" bestFit="1" customWidth="1"/>
    <col min="2" max="2" width="14" bestFit="1" customWidth="1"/>
    <col min="3" max="3" width="14.109375" bestFit="1" customWidth="1"/>
  </cols>
  <sheetData>
    <row r="1" spans="1:3" x14ac:dyDescent="0.3">
      <c r="A1" t="s">
        <v>832</v>
      </c>
      <c r="B1" t="s">
        <v>1</v>
      </c>
      <c r="C1" t="s">
        <v>899</v>
      </c>
    </row>
    <row r="2" spans="1:3" x14ac:dyDescent="0.3">
      <c r="A2" s="6"/>
      <c r="B2" s="6" t="s">
        <v>356</v>
      </c>
      <c r="C2" s="6">
        <v>-1</v>
      </c>
    </row>
    <row r="3" spans="1:3" x14ac:dyDescent="0.3">
      <c r="A3" s="6"/>
      <c r="B3" s="6" t="s">
        <v>356</v>
      </c>
      <c r="C3" s="6">
        <v>-1</v>
      </c>
    </row>
    <row r="4" spans="1:3" x14ac:dyDescent="0.3">
      <c r="A4" s="6"/>
      <c r="B4" s="6" t="s">
        <v>330</v>
      </c>
      <c r="C4" s="6">
        <v>-1</v>
      </c>
    </row>
    <row r="5" spans="1:3" x14ac:dyDescent="0.3">
      <c r="A5" s="6"/>
      <c r="B5" s="6" t="s">
        <v>620</v>
      </c>
      <c r="C5" s="6">
        <v>-1</v>
      </c>
    </row>
    <row r="6" spans="1:3" x14ac:dyDescent="0.3">
      <c r="A6" s="6" t="s">
        <v>1360</v>
      </c>
      <c r="B6" s="6" t="s">
        <v>344</v>
      </c>
      <c r="C6" s="6">
        <v>18</v>
      </c>
    </row>
    <row r="7" spans="1:3" x14ac:dyDescent="0.3">
      <c r="A7" s="6" t="s">
        <v>1480</v>
      </c>
      <c r="B7" s="6" t="s">
        <v>406</v>
      </c>
      <c r="C7" s="6">
        <v>1</v>
      </c>
    </row>
    <row r="8" spans="1:3" x14ac:dyDescent="0.3">
      <c r="A8" s="6"/>
      <c r="B8" s="6" t="s">
        <v>334</v>
      </c>
      <c r="C8" s="6">
        <v>-1</v>
      </c>
    </row>
    <row r="9" spans="1:3" x14ac:dyDescent="0.3">
      <c r="A9" s="6"/>
      <c r="B9" s="6" t="s">
        <v>442</v>
      </c>
      <c r="C9" s="6">
        <v>-1</v>
      </c>
    </row>
    <row r="10" spans="1:3" x14ac:dyDescent="0.3">
      <c r="A10" s="6"/>
      <c r="B10" s="6" t="s">
        <v>402</v>
      </c>
      <c r="C10" s="6">
        <v>-1</v>
      </c>
    </row>
    <row r="11" spans="1:3" x14ac:dyDescent="0.3">
      <c r="A11" s="6" t="s">
        <v>4420</v>
      </c>
      <c r="B11" s="6" t="s">
        <v>326</v>
      </c>
      <c r="C11" s="6">
        <v>12</v>
      </c>
    </row>
    <row r="12" spans="1:3" x14ac:dyDescent="0.3">
      <c r="A12" s="6" t="s">
        <v>2399</v>
      </c>
      <c r="B12" s="6" t="s">
        <v>354</v>
      </c>
      <c r="C12" s="6">
        <v>26</v>
      </c>
    </row>
    <row r="13" spans="1:3" x14ac:dyDescent="0.3">
      <c r="A13" s="6"/>
      <c r="B13" s="6" t="s">
        <v>328</v>
      </c>
      <c r="C13" s="6">
        <v>-1</v>
      </c>
    </row>
    <row r="14" spans="1:3" x14ac:dyDescent="0.3">
      <c r="A14" s="6"/>
      <c r="B14" s="6" t="s">
        <v>700</v>
      </c>
      <c r="C14" s="6">
        <v>-1</v>
      </c>
    </row>
    <row r="15" spans="1:3" x14ac:dyDescent="0.3">
      <c r="A15" s="6"/>
      <c r="B15" s="6" t="s">
        <v>428</v>
      </c>
      <c r="C15" s="6">
        <v>-1</v>
      </c>
    </row>
    <row r="16" spans="1:3" x14ac:dyDescent="0.3">
      <c r="A16" s="6" t="s">
        <v>4233</v>
      </c>
      <c r="B16" s="6" t="s">
        <v>604</v>
      </c>
      <c r="C16" s="6">
        <v>30</v>
      </c>
    </row>
    <row r="17" spans="1:3" x14ac:dyDescent="0.3">
      <c r="A17" s="6"/>
      <c r="B17" s="6" t="s">
        <v>482</v>
      </c>
      <c r="C17" s="6">
        <v>-1</v>
      </c>
    </row>
    <row r="18" spans="1:3" x14ac:dyDescent="0.3">
      <c r="A18" s="6" t="s">
        <v>3936</v>
      </c>
      <c r="B18" s="6" t="s">
        <v>350</v>
      </c>
      <c r="C18" s="6">
        <v>20</v>
      </c>
    </row>
    <row r="19" spans="1:3" x14ac:dyDescent="0.3">
      <c r="A19" s="6"/>
      <c r="B19" s="6" t="s">
        <v>418</v>
      </c>
      <c r="C19" s="6">
        <v>-1</v>
      </c>
    </row>
    <row r="20" spans="1:3" x14ac:dyDescent="0.3">
      <c r="A20" s="6"/>
      <c r="B20" s="6" t="s">
        <v>332</v>
      </c>
      <c r="C20" s="6">
        <v>-1</v>
      </c>
    </row>
    <row r="21" spans="1:3" x14ac:dyDescent="0.3">
      <c r="A21" s="6" t="s">
        <v>1605</v>
      </c>
      <c r="B21" s="6" t="s">
        <v>336</v>
      </c>
      <c r="C21" s="6">
        <v>32</v>
      </c>
    </row>
    <row r="22" spans="1:3" x14ac:dyDescent="0.3">
      <c r="A22" s="6" t="s">
        <v>4244</v>
      </c>
      <c r="B22" s="6" t="s">
        <v>400</v>
      </c>
      <c r="C22" s="6">
        <v>33</v>
      </c>
    </row>
    <row r="23" spans="1:3" x14ac:dyDescent="0.3">
      <c r="A23" s="6"/>
      <c r="B23" s="6" t="s">
        <v>700</v>
      </c>
      <c r="C23" s="6">
        <v>-1</v>
      </c>
    </row>
    <row r="24" spans="1:3" x14ac:dyDescent="0.3">
      <c r="A24" s="6"/>
      <c r="B24" s="6" t="s">
        <v>406</v>
      </c>
      <c r="C24" s="6">
        <v>-1</v>
      </c>
    </row>
    <row r="25" spans="1:3" x14ac:dyDescent="0.3">
      <c r="A25" s="6"/>
      <c r="B25" s="6" t="s">
        <v>718</v>
      </c>
      <c r="C25" s="6">
        <v>-1</v>
      </c>
    </row>
    <row r="26" spans="1:3" x14ac:dyDescent="0.3">
      <c r="A26" s="6" t="s">
        <v>4401</v>
      </c>
      <c r="B26" s="6" t="s">
        <v>326</v>
      </c>
      <c r="C26" s="6">
        <v>34</v>
      </c>
    </row>
    <row r="27" spans="1:3" x14ac:dyDescent="0.3">
      <c r="A27" s="6" t="s">
        <v>1934</v>
      </c>
      <c r="B27" s="6" t="s">
        <v>620</v>
      </c>
      <c r="C27" s="6">
        <v>7</v>
      </c>
    </row>
    <row r="28" spans="1:3" x14ac:dyDescent="0.3">
      <c r="A28" s="6" t="s">
        <v>1951</v>
      </c>
      <c r="B28" s="6" t="s">
        <v>344</v>
      </c>
      <c r="C28" s="6">
        <v>2</v>
      </c>
    </row>
    <row r="29" spans="1:3" x14ac:dyDescent="0.3">
      <c r="A29" s="6" t="s">
        <v>4689</v>
      </c>
      <c r="B29" s="6" t="s">
        <v>402</v>
      </c>
      <c r="C29" s="6">
        <v>19</v>
      </c>
    </row>
    <row r="30" spans="1:3" x14ac:dyDescent="0.3">
      <c r="A30" s="6"/>
      <c r="B30" s="6" t="s">
        <v>350</v>
      </c>
      <c r="C30" s="6">
        <v>-1</v>
      </c>
    </row>
    <row r="31" spans="1:3" x14ac:dyDescent="0.3">
      <c r="A31" s="6"/>
      <c r="B31" s="6" t="s">
        <v>338</v>
      </c>
      <c r="C31" s="6">
        <v>-1</v>
      </c>
    </row>
    <row r="32" spans="1:3" x14ac:dyDescent="0.3">
      <c r="A32" s="6"/>
      <c r="B32" s="6" t="s">
        <v>394</v>
      </c>
      <c r="C32" s="6">
        <v>-1</v>
      </c>
    </row>
    <row r="33" spans="1:3" x14ac:dyDescent="0.3">
      <c r="A33" s="6"/>
      <c r="B33" s="6" t="s">
        <v>726</v>
      </c>
      <c r="C33" s="6">
        <v>-1</v>
      </c>
    </row>
    <row r="34" spans="1:3" x14ac:dyDescent="0.3">
      <c r="A34" s="6"/>
      <c r="B34" s="6" t="s">
        <v>334</v>
      </c>
      <c r="C34" s="6">
        <v>-1</v>
      </c>
    </row>
    <row r="35" spans="1:3" x14ac:dyDescent="0.3">
      <c r="A35" s="6"/>
      <c r="B35" s="6" t="s">
        <v>394</v>
      </c>
      <c r="C35" s="6">
        <v>-1</v>
      </c>
    </row>
    <row r="36" spans="1:3" x14ac:dyDescent="0.3">
      <c r="A36" s="6" t="s">
        <v>2101</v>
      </c>
      <c r="B36" s="6" t="s">
        <v>442</v>
      </c>
      <c r="C36" s="6">
        <v>27</v>
      </c>
    </row>
    <row r="37" spans="1:3" x14ac:dyDescent="0.3">
      <c r="A37" s="6"/>
      <c r="B37" s="6" t="s">
        <v>444</v>
      </c>
      <c r="C37" s="6">
        <v>-1</v>
      </c>
    </row>
  </sheetData>
  <pageMargins left="0.7" right="0.7" top="0.75" bottom="0.75" header="0.3" footer="0.3"/>
  <tableParts count="1">
    <tablePart r:id="rId1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ED2A5-BD78-426A-87B1-7CD6FC78DF5C}">
  <dimension ref="A1:C25"/>
  <sheetViews>
    <sheetView topLeftCell="A19" workbookViewId="0">
      <selection activeCell="B26" sqref="B26"/>
    </sheetView>
  </sheetViews>
  <sheetFormatPr defaultRowHeight="14.4" x14ac:dyDescent="0.3"/>
  <cols>
    <col min="1" max="1" width="26.6640625" bestFit="1" customWidth="1"/>
    <col min="2" max="2" width="12.21875" bestFit="1" customWidth="1"/>
    <col min="3" max="3" width="24" bestFit="1" customWidth="1"/>
  </cols>
  <sheetData>
    <row r="1" spans="1:3" x14ac:dyDescent="0.3">
      <c r="A1" t="s">
        <v>832</v>
      </c>
      <c r="B1" t="s">
        <v>1</v>
      </c>
      <c r="C1" t="s">
        <v>865</v>
      </c>
    </row>
    <row r="2" spans="1:3" x14ac:dyDescent="0.3">
      <c r="A2" s="6" t="s">
        <v>2663</v>
      </c>
      <c r="B2" s="6" t="s">
        <v>356</v>
      </c>
      <c r="C2" s="6">
        <v>3</v>
      </c>
    </row>
    <row r="3" spans="1:3" x14ac:dyDescent="0.3">
      <c r="A3" s="6" t="s">
        <v>4805</v>
      </c>
      <c r="B3" s="6" t="s">
        <v>334</v>
      </c>
      <c r="C3" s="6">
        <v>1</v>
      </c>
    </row>
    <row r="4" spans="1:3" x14ac:dyDescent="0.3">
      <c r="A4" s="6" t="s">
        <v>4426</v>
      </c>
      <c r="B4" s="6" t="s">
        <v>370</v>
      </c>
      <c r="C4" s="6">
        <v>11</v>
      </c>
    </row>
    <row r="5" spans="1:3" x14ac:dyDescent="0.3">
      <c r="A5" s="6"/>
      <c r="B5" s="6" t="s">
        <v>370</v>
      </c>
      <c r="C5" s="6">
        <v>-1</v>
      </c>
    </row>
    <row r="6" spans="1:3" x14ac:dyDescent="0.3">
      <c r="A6" s="6"/>
      <c r="B6" s="6" t="s">
        <v>694</v>
      </c>
      <c r="C6" s="6">
        <v>-1</v>
      </c>
    </row>
    <row r="7" spans="1:3" x14ac:dyDescent="0.3">
      <c r="A7" s="6"/>
      <c r="B7" s="6" t="s">
        <v>330</v>
      </c>
      <c r="C7" s="6">
        <v>-1</v>
      </c>
    </row>
    <row r="8" spans="1:3" x14ac:dyDescent="0.3">
      <c r="A8" s="6" t="s">
        <v>4216</v>
      </c>
      <c r="B8" s="6" t="s">
        <v>598</v>
      </c>
      <c r="C8" s="6">
        <v>5</v>
      </c>
    </row>
    <row r="9" spans="1:3" x14ac:dyDescent="0.3">
      <c r="A9" s="6"/>
      <c r="B9" s="6" t="s">
        <v>726</v>
      </c>
      <c r="C9" s="6">
        <v>-1</v>
      </c>
    </row>
    <row r="10" spans="1:3" x14ac:dyDescent="0.3">
      <c r="A10" s="6"/>
      <c r="B10" s="6" t="s">
        <v>482</v>
      </c>
      <c r="C10" s="6">
        <v>-1</v>
      </c>
    </row>
    <row r="11" spans="1:3" x14ac:dyDescent="0.3">
      <c r="A11" s="6"/>
      <c r="B11" s="6" t="s">
        <v>334</v>
      </c>
      <c r="C11" s="6">
        <v>-1</v>
      </c>
    </row>
    <row r="12" spans="1:3" x14ac:dyDescent="0.3">
      <c r="A12" s="6"/>
      <c r="B12" s="6" t="s">
        <v>406</v>
      </c>
      <c r="C12" s="6">
        <v>-1</v>
      </c>
    </row>
    <row r="13" spans="1:3" x14ac:dyDescent="0.3">
      <c r="A13" s="6"/>
      <c r="B13" s="6" t="s">
        <v>456</v>
      </c>
      <c r="C13" s="6">
        <v>-1</v>
      </c>
    </row>
    <row r="14" spans="1:3" x14ac:dyDescent="0.3">
      <c r="A14" s="6" t="s">
        <v>2841</v>
      </c>
      <c r="B14" s="6" t="s">
        <v>344</v>
      </c>
      <c r="C14" s="6">
        <v>17</v>
      </c>
    </row>
    <row r="15" spans="1:3" x14ac:dyDescent="0.3">
      <c r="A15" s="6" t="s">
        <v>1610</v>
      </c>
      <c r="B15" s="6" t="s">
        <v>336</v>
      </c>
      <c r="C15" s="6">
        <v>10</v>
      </c>
    </row>
    <row r="16" spans="1:3" x14ac:dyDescent="0.3">
      <c r="A16" s="6" t="s">
        <v>4504</v>
      </c>
      <c r="B16" s="6" t="s">
        <v>356</v>
      </c>
      <c r="C16" s="6">
        <v>8</v>
      </c>
    </row>
    <row r="17" spans="1:3" x14ac:dyDescent="0.3">
      <c r="A17" s="6"/>
      <c r="B17" s="6" t="s">
        <v>330</v>
      </c>
      <c r="C17" s="6">
        <v>-1</v>
      </c>
    </row>
    <row r="18" spans="1:3" x14ac:dyDescent="0.3">
      <c r="A18" s="6" t="s">
        <v>1986</v>
      </c>
      <c r="B18" s="6" t="s">
        <v>348</v>
      </c>
      <c r="C18" s="6">
        <v>21</v>
      </c>
    </row>
    <row r="19" spans="1:3" x14ac:dyDescent="0.3">
      <c r="A19" s="6"/>
      <c r="B19" s="6" t="s">
        <v>332</v>
      </c>
      <c r="C19" s="6">
        <v>-1</v>
      </c>
    </row>
    <row r="20" spans="1:3" x14ac:dyDescent="0.3">
      <c r="A20" s="6"/>
      <c r="B20" s="6" t="s">
        <v>326</v>
      </c>
      <c r="C20" s="6">
        <v>-1</v>
      </c>
    </row>
    <row r="21" spans="1:3" x14ac:dyDescent="0.3">
      <c r="A21" s="6"/>
      <c r="B21" s="6" t="s">
        <v>604</v>
      </c>
      <c r="C21" s="6">
        <v>-1</v>
      </c>
    </row>
    <row r="22" spans="1:3" x14ac:dyDescent="0.3">
      <c r="A22" s="6"/>
      <c r="B22" s="6" t="s">
        <v>560</v>
      </c>
      <c r="C22" s="6">
        <v>-1</v>
      </c>
    </row>
    <row r="23" spans="1:3" x14ac:dyDescent="0.3">
      <c r="A23" s="6"/>
      <c r="B23" s="6" t="s">
        <v>354</v>
      </c>
      <c r="C23" s="6">
        <v>-1</v>
      </c>
    </row>
    <row r="24" spans="1:3" x14ac:dyDescent="0.3">
      <c r="A24" s="6"/>
      <c r="B24" s="6" t="s">
        <v>328</v>
      </c>
      <c r="C24" s="6">
        <v>-1</v>
      </c>
    </row>
    <row r="25" spans="1:3" x14ac:dyDescent="0.3">
      <c r="A25" s="6"/>
      <c r="B25" s="6" t="s">
        <v>612</v>
      </c>
      <c r="C25" s="6">
        <v>-1</v>
      </c>
    </row>
  </sheetData>
  <pageMargins left="0.7" right="0.7" top="0.75" bottom="0.75" header="0.3" footer="0.3"/>
  <tableParts count="1">
    <tablePart r:id="rId1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9F666-B741-4281-AC30-CEBE648FCC9B}">
  <dimension ref="A1:E15"/>
  <sheetViews>
    <sheetView topLeftCell="A7" workbookViewId="0">
      <selection activeCell="B16" sqref="B16"/>
    </sheetView>
  </sheetViews>
  <sheetFormatPr defaultRowHeight="14.4" x14ac:dyDescent="0.3"/>
  <cols>
    <col min="1" max="1" width="96.6640625" bestFit="1" customWidth="1"/>
    <col min="2" max="2" width="11.88671875" bestFit="1" customWidth="1"/>
    <col min="3" max="3" width="24" bestFit="1" customWidth="1"/>
    <col min="4" max="4" width="17" bestFit="1" customWidth="1"/>
    <col min="5" max="5" width="14.77734375" bestFit="1" customWidth="1"/>
  </cols>
  <sheetData>
    <row r="1" spans="1:5" x14ac:dyDescent="0.3">
      <c r="A1" t="s">
        <v>834</v>
      </c>
      <c r="B1" t="s">
        <v>1</v>
      </c>
      <c r="C1" t="s">
        <v>865</v>
      </c>
      <c r="D1" t="s">
        <v>1212</v>
      </c>
      <c r="E1" t="s">
        <v>1213</v>
      </c>
    </row>
    <row r="2" spans="1:5" x14ac:dyDescent="0.3">
      <c r="A2" s="6" t="s">
        <v>2070</v>
      </c>
      <c r="B2" s="6" t="s">
        <v>370</v>
      </c>
      <c r="C2" s="6">
        <v>4</v>
      </c>
      <c r="D2" s="6">
        <f>Table49[[#This Row],[Total Athletes]]-(LEN(Table49[[#This Row],[Team]])-LEN(SUBSTITUTE(Table49[[#This Row],[Team]],"/","")))-1</f>
        <v>4</v>
      </c>
      <c r="E2" s="6">
        <v>5</v>
      </c>
    </row>
    <row r="3" spans="1:5" x14ac:dyDescent="0.3">
      <c r="A3" s="6" t="s">
        <v>3307</v>
      </c>
      <c r="B3" s="6" t="s">
        <v>598</v>
      </c>
      <c r="C3" s="6">
        <v>2</v>
      </c>
      <c r="D3" s="6">
        <f>Table49[[#This Row],[Total Athletes]]-(LEN(Table49[[#This Row],[Team]])-LEN(SUBSTITUTE(Table49[[#This Row],[Team]],"/","")))-1</f>
        <v>4</v>
      </c>
      <c r="E3" s="6">
        <v>5</v>
      </c>
    </row>
    <row r="4" spans="1:5" x14ac:dyDescent="0.3">
      <c r="A4" s="6" t="s">
        <v>3978</v>
      </c>
      <c r="B4" s="6" t="s">
        <v>330</v>
      </c>
      <c r="C4" s="6">
        <v>10</v>
      </c>
      <c r="D4" s="6">
        <f>Table49[[#This Row],[Total Athletes]]-(LEN(Table49[[#This Row],[Team]])-LEN(SUBSTITUTE(Table49[[#This Row],[Team]],"/","")))-1</f>
        <v>1</v>
      </c>
      <c r="E4" s="6">
        <v>5</v>
      </c>
    </row>
    <row r="5" spans="1:5" x14ac:dyDescent="0.3">
      <c r="A5" s="6" t="s">
        <v>4224</v>
      </c>
      <c r="B5" s="6" t="s">
        <v>328</v>
      </c>
      <c r="C5" s="6">
        <v>1</v>
      </c>
      <c r="D5" s="6">
        <f>Table49[[#This Row],[Total Athletes]]-(LEN(Table49[[#This Row],[Team]])-LEN(SUBSTITUTE(Table49[[#This Row],[Team]],"/","")))-1</f>
        <v>3</v>
      </c>
      <c r="E5" s="6">
        <v>5</v>
      </c>
    </row>
    <row r="6" spans="1:5" x14ac:dyDescent="0.3">
      <c r="A6" s="6"/>
      <c r="B6" s="6" t="s">
        <v>356</v>
      </c>
      <c r="C6" s="6">
        <v>-1</v>
      </c>
      <c r="D6" s="6">
        <f>Table49[[#This Row],[Total Athletes]]-(LEN(Table49[[#This Row],[Team]])-LEN(SUBSTITUTE(Table49[[#This Row],[Team]],"/","")))-1</f>
        <v>-1</v>
      </c>
      <c r="E6" s="6"/>
    </row>
    <row r="7" spans="1:5" x14ac:dyDescent="0.3">
      <c r="A7" s="6" t="s">
        <v>4790</v>
      </c>
      <c r="B7" s="6" t="s">
        <v>726</v>
      </c>
      <c r="C7" s="6">
        <v>7</v>
      </c>
      <c r="D7" s="6">
        <f>Table49[[#This Row],[Total Athletes]]-(LEN(Table49[[#This Row],[Team]])-LEN(SUBSTITUTE(Table49[[#This Row],[Team]],"/","")))-1</f>
        <v>4</v>
      </c>
      <c r="E7" s="6">
        <v>5</v>
      </c>
    </row>
    <row r="8" spans="1:5" x14ac:dyDescent="0.3">
      <c r="A8" s="6" t="s">
        <v>4925</v>
      </c>
      <c r="B8" s="6" t="s">
        <v>336</v>
      </c>
      <c r="C8" s="6">
        <v>9</v>
      </c>
      <c r="D8" s="6">
        <f>Table49[[#This Row],[Total Athletes]]-(LEN(Table49[[#This Row],[Team]])-LEN(SUBSTITUTE(Table49[[#This Row],[Team]],"/","")))-1</f>
        <v>1</v>
      </c>
      <c r="E8" s="6">
        <v>5</v>
      </c>
    </row>
    <row r="9" spans="1:5" x14ac:dyDescent="0.3">
      <c r="A9" s="6" t="s">
        <v>4590</v>
      </c>
      <c r="B9" s="6" t="s">
        <v>344</v>
      </c>
      <c r="C9" s="6">
        <v>6</v>
      </c>
      <c r="D9" s="6">
        <f>Table49[[#This Row],[Total Athletes]]-(LEN(Table49[[#This Row],[Team]])-LEN(SUBSTITUTE(Table49[[#This Row],[Team]],"/","")))-1</f>
        <v>3</v>
      </c>
      <c r="E9" s="6">
        <v>5</v>
      </c>
    </row>
    <row r="10" spans="1:5" x14ac:dyDescent="0.3">
      <c r="A10" s="6" t="s">
        <v>4247</v>
      </c>
      <c r="B10" s="6" t="s">
        <v>350</v>
      </c>
      <c r="C10" s="6">
        <v>12</v>
      </c>
      <c r="D10" s="6">
        <f>Table49[[#This Row],[Total Athletes]]-(LEN(Table49[[#This Row],[Team]])-LEN(SUBSTITUTE(Table49[[#This Row],[Team]],"/","")))-1</f>
        <v>2</v>
      </c>
      <c r="E10" s="6">
        <v>5</v>
      </c>
    </row>
    <row r="11" spans="1:5" x14ac:dyDescent="0.3">
      <c r="A11" s="6" t="s">
        <v>4439</v>
      </c>
      <c r="B11" s="6" t="s">
        <v>326</v>
      </c>
      <c r="C11" s="6">
        <v>14</v>
      </c>
      <c r="D11" s="6">
        <f>Table49[[#This Row],[Total Athletes]]-(LEN(Table49[[#This Row],[Team]])-LEN(SUBSTITUTE(Table49[[#This Row],[Team]],"/","")))-1</f>
        <v>1</v>
      </c>
      <c r="E11" s="6">
        <v>5</v>
      </c>
    </row>
    <row r="12" spans="1:5" x14ac:dyDescent="0.3">
      <c r="A12" s="6"/>
      <c r="B12" s="6" t="s">
        <v>482</v>
      </c>
      <c r="C12" s="6">
        <v>-1</v>
      </c>
      <c r="D12" s="6">
        <f>Table49[[#This Row],[Total Athletes]]-(LEN(Table49[[#This Row],[Team]])-LEN(SUBSTITUTE(Table49[[#This Row],[Team]],"/","")))-1</f>
        <v>-1</v>
      </c>
      <c r="E12" s="6"/>
    </row>
    <row r="13" spans="1:5" x14ac:dyDescent="0.3">
      <c r="A13" s="6" t="s">
        <v>4788</v>
      </c>
      <c r="B13" s="6" t="s">
        <v>456</v>
      </c>
      <c r="C13" s="6">
        <v>5</v>
      </c>
      <c r="D13" s="6">
        <f>Table49[[#This Row],[Total Athletes]]-(LEN(Table49[[#This Row],[Team]])-LEN(SUBSTITUTE(Table49[[#This Row],[Team]],"/","")))-1</f>
        <v>4</v>
      </c>
      <c r="E13" s="6">
        <v>5</v>
      </c>
    </row>
    <row r="14" spans="1:5" x14ac:dyDescent="0.3">
      <c r="A14" s="6"/>
      <c r="B14" s="6" t="s">
        <v>354</v>
      </c>
      <c r="C14" s="6">
        <v>-1</v>
      </c>
      <c r="D14" s="6">
        <f>Table49[[#This Row],[Total Athletes]]-(LEN(Table49[[#This Row],[Team]])-LEN(SUBSTITUTE(Table49[[#This Row],[Team]],"/","")))-1</f>
        <v>-1</v>
      </c>
      <c r="E14" s="6"/>
    </row>
    <row r="15" spans="1:5" x14ac:dyDescent="0.3">
      <c r="A15" s="6" t="s">
        <v>3447</v>
      </c>
      <c r="B15" s="6" t="s">
        <v>334</v>
      </c>
      <c r="C15" s="6">
        <v>13</v>
      </c>
      <c r="D15" s="6">
        <f>Table49[[#This Row],[Total Athletes]]-(LEN(Table49[[#This Row],[Team]])-LEN(SUBSTITUTE(Table49[[#This Row],[Team]],"/","")))-1</f>
        <v>4</v>
      </c>
      <c r="E15" s="6">
        <v>5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CEF3F-947E-48B4-9017-720D3AF82E06}">
  <dimension ref="A1:C32"/>
  <sheetViews>
    <sheetView topLeftCell="A25" workbookViewId="0">
      <selection activeCell="B33" sqref="B33"/>
    </sheetView>
  </sheetViews>
  <sheetFormatPr defaultRowHeight="14.4" x14ac:dyDescent="0.3"/>
  <cols>
    <col min="1" max="1" width="24.6640625" bestFit="1" customWidth="1"/>
    <col min="2" max="2" width="17.33203125" bestFit="1" customWidth="1"/>
    <col min="3" max="3" width="25" bestFit="1" customWidth="1"/>
  </cols>
  <sheetData>
    <row r="1" spans="1:3" x14ac:dyDescent="0.3">
      <c r="A1" t="s">
        <v>832</v>
      </c>
      <c r="B1" t="s">
        <v>1</v>
      </c>
      <c r="C1" t="s">
        <v>898</v>
      </c>
    </row>
    <row r="2" spans="1:3" x14ac:dyDescent="0.3">
      <c r="A2" s="6"/>
      <c r="B2" s="6" t="s">
        <v>334</v>
      </c>
      <c r="C2" s="6">
        <v>-1</v>
      </c>
    </row>
    <row r="3" spans="1:3" x14ac:dyDescent="0.3">
      <c r="A3" s="6"/>
      <c r="B3" s="6" t="s">
        <v>412</v>
      </c>
      <c r="C3" s="6">
        <v>-1</v>
      </c>
    </row>
    <row r="4" spans="1:3" x14ac:dyDescent="0.3">
      <c r="A4" s="6"/>
      <c r="B4" s="6" t="s">
        <v>474</v>
      </c>
      <c r="C4" s="6">
        <v>-1</v>
      </c>
    </row>
    <row r="5" spans="1:3" x14ac:dyDescent="0.3">
      <c r="A5" s="6"/>
      <c r="B5" s="6" t="s">
        <v>342</v>
      </c>
      <c r="C5" s="6">
        <v>-1</v>
      </c>
    </row>
    <row r="6" spans="1:3" x14ac:dyDescent="0.3">
      <c r="A6" s="6"/>
      <c r="B6" s="6" t="s">
        <v>414</v>
      </c>
      <c r="C6" s="6">
        <v>-1</v>
      </c>
    </row>
    <row r="7" spans="1:3" x14ac:dyDescent="0.3">
      <c r="A7" s="6"/>
      <c r="B7" s="6" t="s">
        <v>450</v>
      </c>
      <c r="C7" s="6">
        <v>-1</v>
      </c>
    </row>
    <row r="8" spans="1:3" x14ac:dyDescent="0.3">
      <c r="A8" s="6"/>
      <c r="B8" s="6" t="s">
        <v>428</v>
      </c>
      <c r="C8" s="6">
        <v>-1</v>
      </c>
    </row>
    <row r="9" spans="1:3" x14ac:dyDescent="0.3">
      <c r="A9" s="6"/>
      <c r="B9" s="6" t="s">
        <v>620</v>
      </c>
      <c r="C9" s="6">
        <v>-1</v>
      </c>
    </row>
    <row r="10" spans="1:3" x14ac:dyDescent="0.3">
      <c r="A10" s="6"/>
      <c r="B10" s="6" t="s">
        <v>518</v>
      </c>
      <c r="C10" s="6">
        <v>-1</v>
      </c>
    </row>
    <row r="11" spans="1:3" x14ac:dyDescent="0.3">
      <c r="A11" s="6"/>
      <c r="B11" s="6" t="s">
        <v>326</v>
      </c>
      <c r="C11" s="6">
        <v>-1</v>
      </c>
    </row>
    <row r="12" spans="1:3" x14ac:dyDescent="0.3">
      <c r="A12" s="6"/>
      <c r="B12" s="6" t="s">
        <v>404</v>
      </c>
      <c r="C12" s="6">
        <v>-1</v>
      </c>
    </row>
    <row r="13" spans="1:3" x14ac:dyDescent="0.3">
      <c r="A13" s="6" t="s">
        <v>1393</v>
      </c>
      <c r="B13" s="6" t="s">
        <v>380</v>
      </c>
      <c r="C13" s="6">
        <v>18</v>
      </c>
    </row>
    <row r="14" spans="1:3" x14ac:dyDescent="0.3">
      <c r="A14" s="6" t="s">
        <v>3475</v>
      </c>
      <c r="B14" s="6" t="s">
        <v>738</v>
      </c>
      <c r="C14" s="6">
        <v>29</v>
      </c>
    </row>
    <row r="15" spans="1:3" x14ac:dyDescent="0.3">
      <c r="A15" s="6"/>
      <c r="B15" s="6" t="s">
        <v>502</v>
      </c>
      <c r="C15" s="6">
        <v>-1</v>
      </c>
    </row>
    <row r="16" spans="1:3" x14ac:dyDescent="0.3">
      <c r="A16" s="6"/>
      <c r="B16" s="6" t="s">
        <v>336</v>
      </c>
      <c r="C16" s="6">
        <v>-1</v>
      </c>
    </row>
    <row r="17" spans="1:3" x14ac:dyDescent="0.3">
      <c r="A17" s="6"/>
      <c r="B17" s="6" t="s">
        <v>410</v>
      </c>
      <c r="C17" s="6">
        <v>-1</v>
      </c>
    </row>
    <row r="18" spans="1:3" x14ac:dyDescent="0.3">
      <c r="A18" s="6"/>
      <c r="B18" s="6" t="s">
        <v>668</v>
      </c>
      <c r="C18" s="6">
        <v>-1</v>
      </c>
    </row>
    <row r="19" spans="1:3" x14ac:dyDescent="0.3">
      <c r="A19" s="6" t="s">
        <v>4313</v>
      </c>
      <c r="B19" s="6" t="s">
        <v>526</v>
      </c>
      <c r="C19" s="6">
        <v>28</v>
      </c>
    </row>
    <row r="20" spans="1:3" x14ac:dyDescent="0.3">
      <c r="A20" s="6" t="s">
        <v>1693</v>
      </c>
      <c r="B20" s="6" t="s">
        <v>470</v>
      </c>
      <c r="C20" s="6">
        <v>24</v>
      </c>
    </row>
    <row r="21" spans="1:3" x14ac:dyDescent="0.3">
      <c r="A21" s="6"/>
      <c r="B21" s="6" t="s">
        <v>604</v>
      </c>
      <c r="C21" s="6">
        <v>-1</v>
      </c>
    </row>
    <row r="22" spans="1:3" x14ac:dyDescent="0.3">
      <c r="A22" s="6" t="s">
        <v>2306</v>
      </c>
      <c r="B22" s="6" t="s">
        <v>432</v>
      </c>
      <c r="C22" s="6">
        <v>27</v>
      </c>
    </row>
    <row r="23" spans="1:3" x14ac:dyDescent="0.3">
      <c r="A23" s="6"/>
      <c r="B23" s="6" t="s">
        <v>448</v>
      </c>
      <c r="C23" s="6">
        <v>-1</v>
      </c>
    </row>
    <row r="24" spans="1:3" x14ac:dyDescent="0.3">
      <c r="A24" s="6"/>
      <c r="B24" s="6" t="s">
        <v>592</v>
      </c>
      <c r="C24" s="6">
        <v>-1</v>
      </c>
    </row>
    <row r="25" spans="1:3" x14ac:dyDescent="0.3">
      <c r="A25" s="6"/>
      <c r="B25" s="6" t="s">
        <v>478</v>
      </c>
      <c r="C25" s="6">
        <v>-1</v>
      </c>
    </row>
    <row r="26" spans="1:3" x14ac:dyDescent="0.3">
      <c r="A26" s="6"/>
      <c r="B26" s="6" t="s">
        <v>370</v>
      </c>
      <c r="C26" s="6">
        <v>-1</v>
      </c>
    </row>
    <row r="27" spans="1:3" x14ac:dyDescent="0.3">
      <c r="A27" s="6"/>
      <c r="B27" s="6" t="s">
        <v>520</v>
      </c>
      <c r="C27" s="6">
        <v>-1</v>
      </c>
    </row>
    <row r="28" spans="1:3" x14ac:dyDescent="0.3">
      <c r="A28" s="6"/>
      <c r="B28" s="6" t="s">
        <v>694</v>
      </c>
      <c r="C28" s="6">
        <v>-1</v>
      </c>
    </row>
    <row r="29" spans="1:3" x14ac:dyDescent="0.3">
      <c r="A29" s="6" t="s">
        <v>4350</v>
      </c>
      <c r="B29" s="6" t="s">
        <v>348</v>
      </c>
      <c r="C29" s="6">
        <v>7</v>
      </c>
    </row>
    <row r="30" spans="1:3" x14ac:dyDescent="0.3">
      <c r="A30" s="6"/>
      <c r="B30" s="6" t="s">
        <v>332</v>
      </c>
      <c r="C30" s="6">
        <v>-1</v>
      </c>
    </row>
    <row r="31" spans="1:3" x14ac:dyDescent="0.3">
      <c r="A31" s="6" t="s">
        <v>5058</v>
      </c>
      <c r="B31" s="6" t="s">
        <v>640</v>
      </c>
      <c r="C31" s="6">
        <v>19</v>
      </c>
    </row>
    <row r="32" spans="1:3" x14ac:dyDescent="0.3">
      <c r="A32" s="6" t="s">
        <v>3351</v>
      </c>
      <c r="B32" s="6" t="s">
        <v>438</v>
      </c>
      <c r="C32" s="6">
        <v>31</v>
      </c>
    </row>
  </sheetData>
  <pageMargins left="0.7" right="0.7" top="0.75" bottom="0.75" header="0.3" footer="0.3"/>
  <tableParts count="1">
    <tablePart r:id="rId1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4834E-727D-4EEE-B884-733B36A95E06}">
  <dimension ref="A1:C32"/>
  <sheetViews>
    <sheetView topLeftCell="A25" workbookViewId="0">
      <selection activeCell="B33" sqref="B33"/>
    </sheetView>
  </sheetViews>
  <sheetFormatPr defaultRowHeight="14.4" x14ac:dyDescent="0.3"/>
  <cols>
    <col min="1" max="1" width="20.6640625" bestFit="1" customWidth="1"/>
    <col min="2" max="2" width="12.21875" bestFit="1" customWidth="1"/>
    <col min="3" max="3" width="25" bestFit="1" customWidth="1"/>
  </cols>
  <sheetData>
    <row r="1" spans="1:3" x14ac:dyDescent="0.3">
      <c r="A1" t="s">
        <v>832</v>
      </c>
      <c r="B1" t="s">
        <v>1</v>
      </c>
      <c r="C1" t="s">
        <v>898</v>
      </c>
    </row>
    <row r="2" spans="1:3" x14ac:dyDescent="0.3">
      <c r="A2" s="6"/>
      <c r="B2" s="6" t="s">
        <v>412</v>
      </c>
      <c r="C2" s="6">
        <v>-1</v>
      </c>
    </row>
    <row r="3" spans="1:3" x14ac:dyDescent="0.3">
      <c r="A3" s="6"/>
      <c r="B3" s="6" t="s">
        <v>474</v>
      </c>
      <c r="C3" s="6">
        <v>-1</v>
      </c>
    </row>
    <row r="4" spans="1:3" x14ac:dyDescent="0.3">
      <c r="A4" s="6" t="s">
        <v>2444</v>
      </c>
      <c r="B4" s="6" t="s">
        <v>354</v>
      </c>
      <c r="C4" s="6">
        <v>4</v>
      </c>
    </row>
    <row r="5" spans="1:3" x14ac:dyDescent="0.3">
      <c r="A5" s="6" t="s">
        <v>2021</v>
      </c>
      <c r="B5" s="6" t="s">
        <v>332</v>
      </c>
      <c r="C5" s="6">
        <v>5</v>
      </c>
    </row>
    <row r="6" spans="1:3" x14ac:dyDescent="0.3">
      <c r="A6" s="6" t="s">
        <v>4143</v>
      </c>
      <c r="B6" s="6" t="s">
        <v>370</v>
      </c>
      <c r="C6" s="6">
        <v>6</v>
      </c>
    </row>
    <row r="7" spans="1:3" x14ac:dyDescent="0.3">
      <c r="A7" s="6"/>
      <c r="B7" s="6" t="s">
        <v>620</v>
      </c>
      <c r="C7" s="6">
        <v>-1</v>
      </c>
    </row>
    <row r="8" spans="1:3" x14ac:dyDescent="0.3">
      <c r="A8" s="6" t="s">
        <v>4557</v>
      </c>
      <c r="B8" s="6" t="s">
        <v>358</v>
      </c>
      <c r="C8" s="6">
        <v>10</v>
      </c>
    </row>
    <row r="9" spans="1:3" x14ac:dyDescent="0.3">
      <c r="A9" s="6"/>
      <c r="B9" s="6" t="s">
        <v>334</v>
      </c>
      <c r="C9" s="6">
        <v>-1</v>
      </c>
    </row>
    <row r="10" spans="1:3" x14ac:dyDescent="0.3">
      <c r="A10" s="6"/>
      <c r="B10" s="6" t="s">
        <v>690</v>
      </c>
      <c r="C10" s="6">
        <v>-1</v>
      </c>
    </row>
    <row r="11" spans="1:3" x14ac:dyDescent="0.3">
      <c r="A11" s="6"/>
      <c r="B11" s="6" t="s">
        <v>380</v>
      </c>
      <c r="C11" s="6">
        <v>-1</v>
      </c>
    </row>
    <row r="12" spans="1:3" x14ac:dyDescent="0.3">
      <c r="A12" s="6"/>
      <c r="B12" s="6" t="s">
        <v>422</v>
      </c>
      <c r="C12" s="6">
        <v>-1</v>
      </c>
    </row>
    <row r="13" spans="1:3" x14ac:dyDescent="0.3">
      <c r="A13" s="6" t="s">
        <v>1279</v>
      </c>
      <c r="B13" s="6" t="s">
        <v>724</v>
      </c>
      <c r="C13" s="6">
        <v>26</v>
      </c>
    </row>
    <row r="14" spans="1:3" x14ac:dyDescent="0.3">
      <c r="A14" s="6"/>
      <c r="B14" s="6" t="s">
        <v>714</v>
      </c>
      <c r="C14" s="6">
        <v>-1</v>
      </c>
    </row>
    <row r="15" spans="1:3" x14ac:dyDescent="0.3">
      <c r="A15" s="6"/>
      <c r="B15" s="6" t="s">
        <v>378</v>
      </c>
      <c r="C15" s="6">
        <v>-1</v>
      </c>
    </row>
    <row r="16" spans="1:3" x14ac:dyDescent="0.3">
      <c r="A16" s="6"/>
      <c r="B16" s="6" t="s">
        <v>336</v>
      </c>
      <c r="C16" s="6">
        <v>-1</v>
      </c>
    </row>
    <row r="17" spans="1:3" x14ac:dyDescent="0.3">
      <c r="A17" s="6"/>
      <c r="B17" s="6" t="s">
        <v>350</v>
      </c>
      <c r="C17" s="6">
        <v>-1</v>
      </c>
    </row>
    <row r="18" spans="1:3" x14ac:dyDescent="0.3">
      <c r="A18" s="6" t="s">
        <v>5064</v>
      </c>
      <c r="B18" s="6" t="s">
        <v>668</v>
      </c>
      <c r="C18" s="6">
        <v>19</v>
      </c>
    </row>
    <row r="19" spans="1:3" x14ac:dyDescent="0.3">
      <c r="A19" s="6"/>
      <c r="B19" s="6" t="s">
        <v>392</v>
      </c>
      <c r="C19" s="6">
        <v>-1</v>
      </c>
    </row>
    <row r="20" spans="1:3" x14ac:dyDescent="0.3">
      <c r="A20" s="6"/>
      <c r="B20" s="6" t="s">
        <v>470</v>
      </c>
      <c r="C20" s="6">
        <v>-1</v>
      </c>
    </row>
    <row r="21" spans="1:3" x14ac:dyDescent="0.3">
      <c r="A21" s="6"/>
      <c r="B21" s="6" t="s">
        <v>482</v>
      </c>
      <c r="C21" s="6">
        <v>-1</v>
      </c>
    </row>
    <row r="22" spans="1:3" x14ac:dyDescent="0.3">
      <c r="A22" s="6"/>
      <c r="B22" s="6" t="s">
        <v>360</v>
      </c>
      <c r="C22" s="6">
        <v>-1</v>
      </c>
    </row>
    <row r="23" spans="1:3" x14ac:dyDescent="0.3">
      <c r="A23" s="6"/>
      <c r="B23" s="6" t="s">
        <v>670</v>
      </c>
      <c r="C23" s="6">
        <v>-1</v>
      </c>
    </row>
    <row r="24" spans="1:3" x14ac:dyDescent="0.3">
      <c r="A24" s="6"/>
      <c r="B24" s="6" t="s">
        <v>730</v>
      </c>
      <c r="C24" s="6">
        <v>-1</v>
      </c>
    </row>
    <row r="25" spans="1:3" x14ac:dyDescent="0.3">
      <c r="A25" s="6"/>
      <c r="B25" s="6" t="s">
        <v>446</v>
      </c>
      <c r="C25" s="6">
        <v>-1</v>
      </c>
    </row>
    <row r="26" spans="1:3" x14ac:dyDescent="0.3">
      <c r="A26" s="6"/>
      <c r="B26" s="6" t="s">
        <v>518</v>
      </c>
      <c r="C26" s="6">
        <v>-1</v>
      </c>
    </row>
    <row r="27" spans="1:3" x14ac:dyDescent="0.3">
      <c r="A27" s="6" t="s">
        <v>2482</v>
      </c>
      <c r="B27" s="6" t="s">
        <v>456</v>
      </c>
      <c r="C27" s="6">
        <v>17</v>
      </c>
    </row>
    <row r="28" spans="1:3" x14ac:dyDescent="0.3">
      <c r="A28" s="6"/>
      <c r="B28" s="6" t="s">
        <v>694</v>
      </c>
      <c r="C28" s="6">
        <v>-1</v>
      </c>
    </row>
    <row r="29" spans="1:3" x14ac:dyDescent="0.3">
      <c r="A29" s="6"/>
      <c r="B29" s="6" t="s">
        <v>330</v>
      </c>
      <c r="C29" s="6">
        <v>-1</v>
      </c>
    </row>
    <row r="30" spans="1:3" x14ac:dyDescent="0.3">
      <c r="A30" s="6"/>
      <c r="B30" s="6" t="s">
        <v>444</v>
      </c>
      <c r="C30" s="6">
        <v>-1</v>
      </c>
    </row>
    <row r="31" spans="1:3" x14ac:dyDescent="0.3">
      <c r="A31" s="6"/>
      <c r="B31" s="6" t="s">
        <v>396</v>
      </c>
      <c r="C31" s="6">
        <v>-1</v>
      </c>
    </row>
    <row r="32" spans="1:3" x14ac:dyDescent="0.3">
      <c r="A32" s="6"/>
      <c r="B32" s="6" t="s">
        <v>494</v>
      </c>
      <c r="C32" s="6">
        <v>-1</v>
      </c>
    </row>
  </sheetData>
  <pageMargins left="0.7" right="0.7" top="0.75" bottom="0.75" header="0.3" footer="0.3"/>
  <tableParts count="1">
    <tablePart r:id="rId1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01AE1-CCBA-4E85-9B0F-EA254C3728BA}">
  <dimension ref="A1:J86"/>
  <sheetViews>
    <sheetView topLeftCell="A79" workbookViewId="0">
      <selection activeCell="B87" sqref="B87"/>
    </sheetView>
  </sheetViews>
  <sheetFormatPr defaultRowHeight="14.4" x14ac:dyDescent="0.3"/>
  <cols>
    <col min="1" max="1" width="40.33203125" bestFit="1" customWidth="1"/>
    <col min="2" max="2" width="14" bestFit="1" customWidth="1"/>
    <col min="3" max="3" width="31.77734375" bestFit="1" customWidth="1"/>
    <col min="4" max="4" width="34.5546875" bestFit="1" customWidth="1"/>
    <col min="5" max="5" width="35.88671875" bestFit="1" customWidth="1"/>
    <col min="6" max="6" width="38.6640625" bestFit="1" customWidth="1"/>
    <col min="7" max="7" width="31.109375" bestFit="1" customWidth="1"/>
    <col min="8" max="8" width="34" bestFit="1" customWidth="1"/>
    <col min="9" max="9" width="17" bestFit="1" customWidth="1"/>
    <col min="10" max="10" width="14.77734375" bestFit="1" customWidth="1"/>
  </cols>
  <sheetData>
    <row r="1" spans="1:10" x14ac:dyDescent="0.3">
      <c r="A1" t="s">
        <v>833</v>
      </c>
      <c r="B1" t="s">
        <v>1</v>
      </c>
      <c r="C1" t="s">
        <v>985</v>
      </c>
      <c r="D1" t="s">
        <v>986</v>
      </c>
      <c r="E1" t="s">
        <v>987</v>
      </c>
      <c r="F1" t="s">
        <v>988</v>
      </c>
      <c r="G1" t="s">
        <v>1184</v>
      </c>
      <c r="H1" t="s">
        <v>1185</v>
      </c>
      <c r="I1" t="s">
        <v>1212</v>
      </c>
      <c r="J1" t="s">
        <v>1213</v>
      </c>
    </row>
    <row r="2" spans="1:10" x14ac:dyDescent="0.3">
      <c r="A2" s="6" t="s">
        <v>2655</v>
      </c>
      <c r="B2" s="6" t="s">
        <v>412</v>
      </c>
      <c r="C2" s="6">
        <v>2</v>
      </c>
      <c r="D2" s="6"/>
      <c r="E2" s="6"/>
      <c r="F2" s="6"/>
      <c r="G2" s="6"/>
      <c r="H2" s="6"/>
      <c r="I2" s="6">
        <f>Table16[[#This Row],[Total Athletes]]-(LEN(Table16[[#This Row],[Pair]])-LEN(SUBSTITUTE(Table16[[#This Row],[Pair]],"/","")))-1</f>
        <v>1</v>
      </c>
      <c r="J2" s="6">
        <v>2</v>
      </c>
    </row>
    <row r="3" spans="1:10" x14ac:dyDescent="0.3">
      <c r="A3" s="6" t="s">
        <v>2708</v>
      </c>
      <c r="B3" s="6" t="s">
        <v>596</v>
      </c>
      <c r="C3" s="6">
        <v>3</v>
      </c>
      <c r="D3" s="6"/>
      <c r="E3" s="6"/>
      <c r="F3" s="6"/>
      <c r="G3" s="6"/>
      <c r="H3" s="6"/>
      <c r="I3" s="6">
        <f>Table16[[#This Row],[Total Athletes]]-(LEN(Table16[[#This Row],[Pair]])-LEN(SUBSTITUTE(Table16[[#This Row],[Pair]],"/","")))-1</f>
        <v>0</v>
      </c>
      <c r="J3" s="6">
        <v>2</v>
      </c>
    </row>
    <row r="4" spans="1:10" x14ac:dyDescent="0.3">
      <c r="A4" s="6" t="s">
        <v>1525</v>
      </c>
      <c r="B4" s="6" t="s">
        <v>356</v>
      </c>
      <c r="C4" s="6">
        <v>13</v>
      </c>
      <c r="D4" s="6"/>
      <c r="E4" s="6"/>
      <c r="F4" s="6"/>
      <c r="G4" s="6"/>
      <c r="H4" s="6"/>
      <c r="I4" s="6">
        <f>Table16[[#This Row],[Total Athletes]]-(LEN(Table16[[#This Row],[Pair]])-LEN(SUBSTITUTE(Table16[[#This Row],[Pair]],"/","")))-1</f>
        <v>1</v>
      </c>
      <c r="J4" s="6">
        <v>2</v>
      </c>
    </row>
    <row r="5" spans="1:10" x14ac:dyDescent="0.3">
      <c r="A5" s="6" t="s">
        <v>2202</v>
      </c>
      <c r="B5" s="6" t="s">
        <v>330</v>
      </c>
      <c r="C5" s="6">
        <v>5</v>
      </c>
      <c r="D5" s="6"/>
      <c r="E5" s="6"/>
      <c r="F5" s="6"/>
      <c r="G5" s="6"/>
      <c r="H5" s="6"/>
      <c r="I5" s="6">
        <f>Table16[[#This Row],[Total Athletes]]-(LEN(Table16[[#This Row],[Pair]])-LEN(SUBSTITUTE(Table16[[#This Row],[Pair]],"/","")))-1</f>
        <v>1</v>
      </c>
      <c r="J5" s="6">
        <v>2</v>
      </c>
    </row>
    <row r="6" spans="1:10" x14ac:dyDescent="0.3">
      <c r="A6" s="6" t="s">
        <v>1768</v>
      </c>
      <c r="B6" s="6" t="s">
        <v>328</v>
      </c>
      <c r="C6" s="6">
        <v>11</v>
      </c>
      <c r="D6" s="6"/>
      <c r="E6" s="6"/>
      <c r="F6" s="6"/>
      <c r="G6" s="6"/>
      <c r="H6" s="6"/>
      <c r="I6" s="6">
        <f>Table16[[#This Row],[Total Athletes]]-(LEN(Table16[[#This Row],[Pair]])-LEN(SUBSTITUTE(Table16[[#This Row],[Pair]],"/","")))-1</f>
        <v>1</v>
      </c>
      <c r="J6" s="6">
        <v>2</v>
      </c>
    </row>
    <row r="7" spans="1:10" x14ac:dyDescent="0.3">
      <c r="A7" s="6"/>
      <c r="B7" s="6" t="s">
        <v>348</v>
      </c>
      <c r="C7" s="6">
        <v>-1</v>
      </c>
      <c r="D7" s="6"/>
      <c r="E7" s="6"/>
      <c r="F7" s="6"/>
      <c r="G7" s="6"/>
      <c r="H7" s="6"/>
      <c r="I7" s="6">
        <f>Table16[[#This Row],[Total Athletes]]-(LEN(Table16[[#This Row],[Pair]])-LEN(SUBSTITUTE(Table16[[#This Row],[Pair]],"/","")))-1</f>
        <v>-1</v>
      </c>
      <c r="J7" s="6"/>
    </row>
    <row r="8" spans="1:10" x14ac:dyDescent="0.3">
      <c r="A8" s="6"/>
      <c r="B8" s="6" t="s">
        <v>334</v>
      </c>
      <c r="C8" s="6">
        <v>-1</v>
      </c>
      <c r="D8" s="6"/>
      <c r="E8" s="6"/>
      <c r="F8" s="6"/>
      <c r="G8" s="6"/>
      <c r="H8" s="6"/>
      <c r="I8" s="6">
        <f>Table16[[#This Row],[Total Athletes]]-(LEN(Table16[[#This Row],[Pair]])-LEN(SUBSTITUTE(Table16[[#This Row],[Pair]],"/","")))-1</f>
        <v>-1</v>
      </c>
      <c r="J8" s="6"/>
    </row>
    <row r="9" spans="1:10" x14ac:dyDescent="0.3">
      <c r="A9" s="6" t="s">
        <v>2499</v>
      </c>
      <c r="B9" s="6" t="s">
        <v>364</v>
      </c>
      <c r="C9" s="6">
        <v>10</v>
      </c>
      <c r="D9" s="6"/>
      <c r="E9" s="6"/>
      <c r="F9" s="6"/>
      <c r="G9" s="6"/>
      <c r="H9" s="6"/>
      <c r="I9" s="6">
        <f>Table16[[#This Row],[Total Athletes]]-(LEN(Table16[[#This Row],[Pair]])-LEN(SUBSTITUTE(Table16[[#This Row],[Pair]],"/","")))-1</f>
        <v>0</v>
      </c>
      <c r="J9" s="6">
        <v>2</v>
      </c>
    </row>
    <row r="10" spans="1:10" x14ac:dyDescent="0.3">
      <c r="A10" s="6"/>
      <c r="B10" s="6" t="s">
        <v>344</v>
      </c>
      <c r="C10" s="6">
        <v>-1</v>
      </c>
      <c r="D10" s="6"/>
      <c r="E10" s="6"/>
      <c r="F10" s="6"/>
      <c r="G10" s="6"/>
      <c r="H10" s="6"/>
      <c r="I10" s="6">
        <f>Table16[[#This Row],[Total Athletes]]-(LEN(Table16[[#This Row],[Pair]])-LEN(SUBSTITUTE(Table16[[#This Row],[Pair]],"/","")))-1</f>
        <v>-1</v>
      </c>
      <c r="J10" s="6"/>
    </row>
    <row r="11" spans="1:10" x14ac:dyDescent="0.3">
      <c r="A11" s="6"/>
      <c r="B11" s="6" t="s">
        <v>474</v>
      </c>
      <c r="C11" s="6">
        <v>-1</v>
      </c>
      <c r="D11" s="6"/>
      <c r="E11" s="6"/>
      <c r="F11" s="6"/>
      <c r="G11" s="6"/>
      <c r="H11" s="6"/>
      <c r="I11" s="6">
        <f>Table16[[#This Row],[Total Athletes]]-(LEN(Table16[[#This Row],[Pair]])-LEN(SUBSTITUTE(Table16[[#This Row],[Pair]],"/","")))-1</f>
        <v>-1</v>
      </c>
      <c r="J11" s="6"/>
    </row>
    <row r="12" spans="1:10" x14ac:dyDescent="0.3">
      <c r="A12" s="6" t="s">
        <v>3575</v>
      </c>
      <c r="B12" s="6" t="s">
        <v>596</v>
      </c>
      <c r="C12" s="6"/>
      <c r="D12" s="6"/>
      <c r="E12" s="6">
        <v>1</v>
      </c>
      <c r="F12" s="6"/>
      <c r="G12" s="6"/>
      <c r="H12" s="6"/>
      <c r="I12" s="6">
        <f>Table16[[#This Row],[Total Athletes]]-(LEN(Table16[[#This Row],[Pair]])-LEN(SUBSTITUTE(Table16[[#This Row],[Pair]],"/","")))-1</f>
        <v>0</v>
      </c>
      <c r="J12" s="6">
        <v>2</v>
      </c>
    </row>
    <row r="13" spans="1:10" x14ac:dyDescent="0.3">
      <c r="A13" s="6"/>
      <c r="B13" s="6" t="s">
        <v>444</v>
      </c>
      <c r="C13" s="6"/>
      <c r="D13" s="6"/>
      <c r="E13" s="6">
        <v>-1</v>
      </c>
      <c r="F13" s="6"/>
      <c r="G13" s="6"/>
      <c r="H13" s="6"/>
      <c r="I13" s="6">
        <f>Table16[[#This Row],[Total Athletes]]-(LEN(Table16[[#This Row],[Pair]])-LEN(SUBSTITUTE(Table16[[#This Row],[Pair]],"/","")))-1</f>
        <v>-1</v>
      </c>
      <c r="J13" s="6"/>
    </row>
    <row r="14" spans="1:10" x14ac:dyDescent="0.3">
      <c r="A14" s="6" t="s">
        <v>1618</v>
      </c>
      <c r="B14" s="6" t="s">
        <v>356</v>
      </c>
      <c r="C14" s="6"/>
      <c r="D14" s="6"/>
      <c r="E14" s="6">
        <v>2</v>
      </c>
      <c r="F14" s="6"/>
      <c r="G14" s="6"/>
      <c r="H14" s="6"/>
      <c r="I14" s="6">
        <f>Table16[[#This Row],[Total Athletes]]-(LEN(Table16[[#This Row],[Pair]])-LEN(SUBSTITUTE(Table16[[#This Row],[Pair]],"/","")))-1</f>
        <v>1</v>
      </c>
      <c r="J14" s="6">
        <v>2</v>
      </c>
    </row>
    <row r="15" spans="1:10" x14ac:dyDescent="0.3">
      <c r="A15" s="6"/>
      <c r="B15" s="6" t="s">
        <v>442</v>
      </c>
      <c r="C15" s="6"/>
      <c r="D15" s="6"/>
      <c r="E15" s="6">
        <v>-1</v>
      </c>
      <c r="F15" s="6"/>
      <c r="G15" s="6"/>
      <c r="H15" s="6"/>
      <c r="I15" s="6">
        <f>Table16[[#This Row],[Total Athletes]]-(LEN(Table16[[#This Row],[Pair]])-LEN(SUBSTITUTE(Table16[[#This Row],[Pair]],"/","")))-1</f>
        <v>-1</v>
      </c>
      <c r="J15" s="6"/>
    </row>
    <row r="16" spans="1:10" x14ac:dyDescent="0.3">
      <c r="A16" s="6"/>
      <c r="B16" s="6" t="s">
        <v>330</v>
      </c>
      <c r="C16" s="6"/>
      <c r="D16" s="6"/>
      <c r="E16" s="6">
        <v>-1</v>
      </c>
      <c r="F16" s="6"/>
      <c r="G16" s="6"/>
      <c r="H16" s="6"/>
      <c r="I16" s="6">
        <f>Table16[[#This Row],[Total Athletes]]-(LEN(Table16[[#This Row],[Pair]])-LEN(SUBSTITUTE(Table16[[#This Row],[Pair]],"/","")))-1</f>
        <v>-1</v>
      </c>
      <c r="J16" s="6"/>
    </row>
    <row r="17" spans="1:10" x14ac:dyDescent="0.3">
      <c r="A17" s="6" t="s">
        <v>5020</v>
      </c>
      <c r="B17" s="6" t="s">
        <v>364</v>
      </c>
      <c r="C17" s="6"/>
      <c r="D17" s="6"/>
      <c r="E17" s="6">
        <v>5</v>
      </c>
      <c r="F17" s="6"/>
      <c r="G17" s="6"/>
      <c r="H17" s="6"/>
      <c r="I17" s="6">
        <f>Table16[[#This Row],[Total Athletes]]-(LEN(Table16[[#This Row],[Pair]])-LEN(SUBSTITUTE(Table16[[#This Row],[Pair]],"/","")))-1</f>
        <v>0</v>
      </c>
      <c r="J17" s="6">
        <v>2</v>
      </c>
    </row>
    <row r="18" spans="1:10" x14ac:dyDescent="0.3">
      <c r="A18" s="6"/>
      <c r="B18" s="6" t="s">
        <v>350</v>
      </c>
      <c r="C18" s="6"/>
      <c r="D18" s="6"/>
      <c r="E18" s="6">
        <v>-1</v>
      </c>
      <c r="F18" s="6"/>
      <c r="G18" s="6"/>
      <c r="H18" s="6"/>
      <c r="I18" s="6">
        <f>Table16[[#This Row],[Total Athletes]]-(LEN(Table16[[#This Row],[Pair]])-LEN(SUBSTITUTE(Table16[[#This Row],[Pair]],"/","")))-1</f>
        <v>-1</v>
      </c>
      <c r="J18" s="6"/>
    </row>
    <row r="19" spans="1:10" x14ac:dyDescent="0.3">
      <c r="A19" s="6" t="s">
        <v>1839</v>
      </c>
      <c r="B19" s="6" t="s">
        <v>444</v>
      </c>
      <c r="C19" s="6"/>
      <c r="D19" s="6"/>
      <c r="E19" s="6"/>
      <c r="F19" s="6"/>
      <c r="G19" s="6">
        <v>3</v>
      </c>
      <c r="H19" s="6"/>
      <c r="I19" s="6">
        <f>Table16[[#This Row],[Total Athletes]]-(LEN(Table16[[#This Row],[Pair]])-LEN(SUBSTITUTE(Table16[[#This Row],[Pair]],"/","")))-1</f>
        <v>1</v>
      </c>
      <c r="J19" s="6">
        <v>2</v>
      </c>
    </row>
    <row r="20" spans="1:10" x14ac:dyDescent="0.3">
      <c r="A20" s="6"/>
      <c r="B20" s="6" t="s">
        <v>402</v>
      </c>
      <c r="C20" s="6"/>
      <c r="D20" s="6"/>
      <c r="E20" s="6"/>
      <c r="F20" s="6"/>
      <c r="G20" s="6">
        <v>-1</v>
      </c>
      <c r="H20" s="6"/>
      <c r="I20" s="6">
        <f>Table16[[#This Row],[Total Athletes]]-(LEN(Table16[[#This Row],[Pair]])-LEN(SUBSTITUTE(Table16[[#This Row],[Pair]],"/","")))-1</f>
        <v>-1</v>
      </c>
      <c r="J20" s="6"/>
    </row>
    <row r="21" spans="1:10" x14ac:dyDescent="0.3">
      <c r="A21" s="6"/>
      <c r="B21" s="6" t="s">
        <v>596</v>
      </c>
      <c r="C21" s="6"/>
      <c r="D21" s="6"/>
      <c r="E21" s="6"/>
      <c r="F21" s="6"/>
      <c r="G21" s="6">
        <v>-1</v>
      </c>
      <c r="H21" s="6"/>
      <c r="I21" s="6">
        <f>Table16[[#This Row],[Total Athletes]]-(LEN(Table16[[#This Row],[Pair]])-LEN(SUBSTITUTE(Table16[[#This Row],[Pair]],"/","")))-1</f>
        <v>-1</v>
      </c>
      <c r="J21" s="6"/>
    </row>
    <row r="22" spans="1:10" x14ac:dyDescent="0.3">
      <c r="A22" s="6"/>
      <c r="B22" s="6" t="s">
        <v>348</v>
      </c>
      <c r="C22" s="6"/>
      <c r="D22" s="6"/>
      <c r="E22" s="6"/>
      <c r="F22" s="6"/>
      <c r="G22" s="6">
        <v>-1</v>
      </c>
      <c r="H22" s="6"/>
      <c r="I22" s="6">
        <f>Table16[[#This Row],[Total Athletes]]-(LEN(Table16[[#This Row],[Pair]])-LEN(SUBSTITUTE(Table16[[#This Row],[Pair]],"/","")))-1</f>
        <v>-1</v>
      </c>
      <c r="J22" s="6"/>
    </row>
    <row r="23" spans="1:10" x14ac:dyDescent="0.3">
      <c r="A23" s="6"/>
      <c r="B23" s="6" t="s">
        <v>332</v>
      </c>
      <c r="C23" s="6"/>
      <c r="D23" s="6"/>
      <c r="E23" s="6"/>
      <c r="F23" s="6"/>
      <c r="G23" s="6">
        <v>-1</v>
      </c>
      <c r="H23" s="6"/>
      <c r="I23" s="6">
        <f>Table16[[#This Row],[Total Athletes]]-(LEN(Table16[[#This Row],[Pair]])-LEN(SUBSTITUTE(Table16[[#This Row],[Pair]],"/","")))-1</f>
        <v>-1</v>
      </c>
      <c r="J23" s="6"/>
    </row>
    <row r="24" spans="1:10" x14ac:dyDescent="0.3">
      <c r="A24" s="6"/>
      <c r="B24" s="6" t="s">
        <v>422</v>
      </c>
      <c r="C24" s="6"/>
      <c r="D24" s="6"/>
      <c r="E24" s="6"/>
      <c r="F24" s="6"/>
      <c r="G24" s="6">
        <v>-1</v>
      </c>
      <c r="H24" s="6"/>
      <c r="I24" s="6">
        <f>Table16[[#This Row],[Total Athletes]]-(LEN(Table16[[#This Row],[Pair]])-LEN(SUBSTITUTE(Table16[[#This Row],[Pair]],"/","")))-1</f>
        <v>-1</v>
      </c>
      <c r="J24" s="6"/>
    </row>
    <row r="25" spans="1:10" x14ac:dyDescent="0.3">
      <c r="A25" s="6" t="s">
        <v>2974</v>
      </c>
      <c r="B25" s="6" t="s">
        <v>330</v>
      </c>
      <c r="C25" s="6"/>
      <c r="D25" s="6"/>
      <c r="E25" s="6"/>
      <c r="F25" s="6"/>
      <c r="G25" s="6">
        <v>5</v>
      </c>
      <c r="H25" s="6"/>
      <c r="I25" s="6">
        <f>Table16[[#This Row],[Total Athletes]]-(LEN(Table16[[#This Row],[Pair]])-LEN(SUBSTITUTE(Table16[[#This Row],[Pair]],"/","")))-1</f>
        <v>0</v>
      </c>
      <c r="J25" s="6">
        <v>2</v>
      </c>
    </row>
    <row r="26" spans="1:10" x14ac:dyDescent="0.3">
      <c r="A26" s="6"/>
      <c r="B26" s="6" t="s">
        <v>354</v>
      </c>
      <c r="C26" s="6"/>
      <c r="D26" s="6"/>
      <c r="E26" s="6"/>
      <c r="F26" s="6"/>
      <c r="G26" s="6">
        <v>-1</v>
      </c>
      <c r="H26" s="6"/>
      <c r="I26" s="6">
        <f>Table16[[#This Row],[Total Athletes]]-(LEN(Table16[[#This Row],[Pair]])-LEN(SUBSTITUTE(Table16[[#This Row],[Pair]],"/","")))-1</f>
        <v>-1</v>
      </c>
      <c r="J26" s="6"/>
    </row>
    <row r="27" spans="1:10" x14ac:dyDescent="0.3">
      <c r="A27" s="6"/>
      <c r="B27" s="6" t="s">
        <v>474</v>
      </c>
      <c r="C27" s="6"/>
      <c r="D27" s="6"/>
      <c r="E27" s="6"/>
      <c r="F27" s="6"/>
      <c r="G27" s="6">
        <v>-1</v>
      </c>
      <c r="H27" s="6"/>
      <c r="I27" s="6">
        <f>Table16[[#This Row],[Total Athletes]]-(LEN(Table16[[#This Row],[Pair]])-LEN(SUBSTITUTE(Table16[[#This Row],[Pair]],"/","")))-1</f>
        <v>-1</v>
      </c>
      <c r="J27" s="6"/>
    </row>
    <row r="28" spans="1:10" x14ac:dyDescent="0.3">
      <c r="A28" s="6" t="s">
        <v>4617</v>
      </c>
      <c r="B28" s="6" t="s">
        <v>356</v>
      </c>
      <c r="C28" s="6"/>
      <c r="D28" s="6"/>
      <c r="E28" s="6"/>
      <c r="F28" s="6"/>
      <c r="G28" s="6">
        <v>12</v>
      </c>
      <c r="H28" s="6"/>
      <c r="I28" s="6">
        <f>Table16[[#This Row],[Total Athletes]]-(LEN(Table16[[#This Row],[Pair]])-LEN(SUBSTITUTE(Table16[[#This Row],[Pair]],"/","")))-1</f>
        <v>0</v>
      </c>
      <c r="J28" s="6">
        <v>2</v>
      </c>
    </row>
    <row r="29" spans="1:10" x14ac:dyDescent="0.3">
      <c r="A29" s="6"/>
      <c r="B29" s="6" t="s">
        <v>450</v>
      </c>
      <c r="C29" s="6"/>
      <c r="D29" s="6"/>
      <c r="E29" s="6"/>
      <c r="F29" s="6"/>
      <c r="G29" s="6">
        <v>-1</v>
      </c>
      <c r="H29" s="6"/>
      <c r="I29" s="6">
        <f>Table16[[#This Row],[Total Athletes]]-(LEN(Table16[[#This Row],[Pair]])-LEN(SUBSTITUTE(Table16[[#This Row],[Pair]],"/","")))-1</f>
        <v>-1</v>
      </c>
      <c r="J29" s="6"/>
    </row>
    <row r="30" spans="1:10" x14ac:dyDescent="0.3">
      <c r="A30" s="6" t="s">
        <v>4352</v>
      </c>
      <c r="B30" s="6" t="s">
        <v>348</v>
      </c>
      <c r="C30" s="6"/>
      <c r="D30" s="6">
        <v>2</v>
      </c>
      <c r="E30" s="6"/>
      <c r="F30" s="6"/>
      <c r="G30" s="6"/>
      <c r="H30" s="6"/>
      <c r="I30" s="6">
        <f>Table16[[#This Row],[Total Athletes]]-(LEN(Table16[[#This Row],[Pair]])-LEN(SUBSTITUTE(Table16[[#This Row],[Pair]],"/","")))-1</f>
        <v>1</v>
      </c>
      <c r="J30" s="6">
        <v>2</v>
      </c>
    </row>
    <row r="31" spans="1:10" x14ac:dyDescent="0.3">
      <c r="A31" s="6"/>
      <c r="B31" s="6" t="s">
        <v>620</v>
      </c>
      <c r="C31" s="6"/>
      <c r="D31" s="6">
        <v>-1</v>
      </c>
      <c r="E31" s="6"/>
      <c r="F31" s="6"/>
      <c r="G31" s="6"/>
      <c r="H31" s="6"/>
      <c r="I31" s="6">
        <f>Table16[[#This Row],[Total Athletes]]-(LEN(Table16[[#This Row],[Pair]])-LEN(SUBSTITUTE(Table16[[#This Row],[Pair]],"/","")))-1</f>
        <v>-1</v>
      </c>
      <c r="J31" s="6"/>
    </row>
    <row r="32" spans="1:10" x14ac:dyDescent="0.3">
      <c r="A32" s="6" t="s">
        <v>4342</v>
      </c>
      <c r="B32" s="6" t="s">
        <v>332</v>
      </c>
      <c r="C32" s="6"/>
      <c r="D32" s="6">
        <v>9</v>
      </c>
      <c r="E32" s="6"/>
      <c r="F32" s="6"/>
      <c r="G32" s="6"/>
      <c r="H32" s="6"/>
      <c r="I32" s="6">
        <f>Table16[[#This Row],[Total Athletes]]-(LEN(Table16[[#This Row],[Pair]])-LEN(SUBSTITUTE(Table16[[#This Row],[Pair]],"/","")))-1</f>
        <v>1</v>
      </c>
      <c r="J32" s="6">
        <v>2</v>
      </c>
    </row>
    <row r="33" spans="1:10" x14ac:dyDescent="0.3">
      <c r="A33" s="6" t="s">
        <v>2826</v>
      </c>
      <c r="B33" s="6" t="s">
        <v>596</v>
      </c>
      <c r="C33" s="6"/>
      <c r="D33" s="6">
        <v>10</v>
      </c>
      <c r="E33" s="6"/>
      <c r="F33" s="6"/>
      <c r="G33" s="6"/>
      <c r="H33" s="6"/>
      <c r="I33" s="6">
        <f>Table16[[#This Row],[Total Athletes]]-(LEN(Table16[[#This Row],[Pair]])-LEN(SUBSTITUTE(Table16[[#This Row],[Pair]],"/","")))-1</f>
        <v>1</v>
      </c>
      <c r="J33" s="6">
        <v>2</v>
      </c>
    </row>
    <row r="34" spans="1:10" x14ac:dyDescent="0.3">
      <c r="A34" s="6" t="s">
        <v>4159</v>
      </c>
      <c r="B34" s="6" t="s">
        <v>474</v>
      </c>
      <c r="C34" s="6"/>
      <c r="D34" s="6">
        <v>1</v>
      </c>
      <c r="E34" s="6"/>
      <c r="F34" s="6"/>
      <c r="G34" s="6"/>
      <c r="H34" s="6"/>
      <c r="I34" s="6">
        <f>Table16[[#This Row],[Total Athletes]]-(LEN(Table16[[#This Row],[Pair]])-LEN(SUBSTITUTE(Table16[[#This Row],[Pair]],"/","")))-1</f>
        <v>1</v>
      </c>
      <c r="J34" s="6">
        <v>2</v>
      </c>
    </row>
    <row r="35" spans="1:10" x14ac:dyDescent="0.3">
      <c r="A35" s="6"/>
      <c r="B35" s="6" t="s">
        <v>344</v>
      </c>
      <c r="C35" s="6"/>
      <c r="D35" s="6">
        <v>-1</v>
      </c>
      <c r="E35" s="6"/>
      <c r="F35" s="6"/>
      <c r="G35" s="6"/>
      <c r="H35" s="6"/>
      <c r="I35" s="6">
        <f>Table16[[#This Row],[Total Athletes]]-(LEN(Table16[[#This Row],[Pair]])-LEN(SUBSTITUTE(Table16[[#This Row],[Pair]],"/","")))-1</f>
        <v>-1</v>
      </c>
      <c r="J35" s="6"/>
    </row>
    <row r="36" spans="1:10" x14ac:dyDescent="0.3">
      <c r="A36" s="6" t="s">
        <v>2860</v>
      </c>
      <c r="B36" s="6" t="s">
        <v>356</v>
      </c>
      <c r="C36" s="6"/>
      <c r="D36" s="6">
        <v>11</v>
      </c>
      <c r="E36" s="6"/>
      <c r="F36" s="6"/>
      <c r="G36" s="6"/>
      <c r="H36" s="6"/>
      <c r="I36" s="6">
        <f>Table16[[#This Row],[Total Athletes]]-(LEN(Table16[[#This Row],[Pair]])-LEN(SUBSTITUTE(Table16[[#This Row],[Pair]],"/","")))-1</f>
        <v>1</v>
      </c>
      <c r="J36" s="6">
        <v>2</v>
      </c>
    </row>
    <row r="37" spans="1:10" x14ac:dyDescent="0.3">
      <c r="A37" s="6"/>
      <c r="B37" s="6" t="s">
        <v>354</v>
      </c>
      <c r="C37" s="6"/>
      <c r="D37" s="6">
        <v>-1</v>
      </c>
      <c r="E37" s="6"/>
      <c r="F37" s="6"/>
      <c r="G37" s="6"/>
      <c r="H37" s="6"/>
      <c r="I37" s="6">
        <f>Table16[[#This Row],[Total Athletes]]-(LEN(Table16[[#This Row],[Pair]])-LEN(SUBSTITUTE(Table16[[#This Row],[Pair]],"/","")))-1</f>
        <v>-1</v>
      </c>
      <c r="J37" s="6"/>
    </row>
    <row r="38" spans="1:10" x14ac:dyDescent="0.3">
      <c r="A38" s="6" t="s">
        <v>1887</v>
      </c>
      <c r="B38" s="6" t="s">
        <v>364</v>
      </c>
      <c r="C38" s="6"/>
      <c r="D38" s="6">
        <v>6</v>
      </c>
      <c r="E38" s="6"/>
      <c r="F38" s="6"/>
      <c r="G38" s="6"/>
      <c r="H38" s="6"/>
      <c r="I38" s="6">
        <f>Table16[[#This Row],[Total Athletes]]-(LEN(Table16[[#This Row],[Pair]])-LEN(SUBSTITUTE(Table16[[#This Row],[Pair]],"/","")))-1</f>
        <v>1</v>
      </c>
      <c r="J38" s="6">
        <v>2</v>
      </c>
    </row>
    <row r="39" spans="1:10" x14ac:dyDescent="0.3">
      <c r="A39" s="6" t="s">
        <v>4297</v>
      </c>
      <c r="B39" s="6" t="s">
        <v>328</v>
      </c>
      <c r="C39" s="6"/>
      <c r="D39" s="6">
        <v>12</v>
      </c>
      <c r="E39" s="6"/>
      <c r="F39" s="6"/>
      <c r="G39" s="6"/>
      <c r="H39" s="6"/>
      <c r="I39" s="6">
        <f>Table16[[#This Row],[Total Athletes]]-(LEN(Table16[[#This Row],[Pair]])-LEN(SUBSTITUTE(Table16[[#This Row],[Pair]],"/","")))-1</f>
        <v>1</v>
      </c>
      <c r="J39" s="6">
        <v>2</v>
      </c>
    </row>
    <row r="40" spans="1:10" x14ac:dyDescent="0.3">
      <c r="A40" s="6"/>
      <c r="B40" s="6" t="s">
        <v>412</v>
      </c>
      <c r="C40" s="6"/>
      <c r="D40" s="6">
        <v>-1</v>
      </c>
      <c r="E40" s="6"/>
      <c r="F40" s="6"/>
      <c r="G40" s="6"/>
      <c r="H40" s="6"/>
      <c r="I40" s="6">
        <f>Table16[[#This Row],[Total Athletes]]-(LEN(Table16[[#This Row],[Pair]])-LEN(SUBSTITUTE(Table16[[#This Row],[Pair]],"/","")))-1</f>
        <v>-1</v>
      </c>
      <c r="J40" s="6"/>
    </row>
    <row r="41" spans="1:10" x14ac:dyDescent="0.3">
      <c r="A41" s="6" t="s">
        <v>4687</v>
      </c>
      <c r="B41" s="6" t="s">
        <v>402</v>
      </c>
      <c r="C41" s="6"/>
      <c r="D41" s="6"/>
      <c r="E41" s="6"/>
      <c r="F41" s="6">
        <v>1</v>
      </c>
      <c r="G41" s="6"/>
      <c r="H41" s="6"/>
      <c r="I41" s="6">
        <f>Table16[[#This Row],[Total Athletes]]-(LEN(Table16[[#This Row],[Pair]])-LEN(SUBSTITUTE(Table16[[#This Row],[Pair]],"/","")))-1</f>
        <v>1</v>
      </c>
      <c r="J41" s="6">
        <v>2</v>
      </c>
    </row>
    <row r="42" spans="1:10" x14ac:dyDescent="0.3">
      <c r="A42" s="6" t="s">
        <v>2060</v>
      </c>
      <c r="B42" s="6" t="s">
        <v>332</v>
      </c>
      <c r="C42" s="6"/>
      <c r="D42" s="6"/>
      <c r="E42" s="6"/>
      <c r="F42" s="6">
        <v>6</v>
      </c>
      <c r="G42" s="6"/>
      <c r="H42" s="6"/>
      <c r="I42" s="6">
        <f>Table16[[#This Row],[Total Athletes]]-(LEN(Table16[[#This Row],[Pair]])-LEN(SUBSTITUTE(Table16[[#This Row],[Pair]],"/","")))-1</f>
        <v>0</v>
      </c>
      <c r="J42" s="6">
        <v>2</v>
      </c>
    </row>
    <row r="43" spans="1:10" x14ac:dyDescent="0.3">
      <c r="A43" s="6"/>
      <c r="B43" s="6" t="s">
        <v>348</v>
      </c>
      <c r="C43" s="6"/>
      <c r="D43" s="6"/>
      <c r="E43" s="6"/>
      <c r="F43" s="6">
        <v>-1</v>
      </c>
      <c r="G43" s="6"/>
      <c r="H43" s="6"/>
      <c r="I43" s="6">
        <f>Table16[[#This Row],[Total Athletes]]-(LEN(Table16[[#This Row],[Pair]])-LEN(SUBSTITUTE(Table16[[#This Row],[Pair]],"/","")))-1</f>
        <v>-1</v>
      </c>
      <c r="J43" s="6"/>
    </row>
    <row r="44" spans="1:10" x14ac:dyDescent="0.3">
      <c r="A44" s="6"/>
      <c r="B44" s="6" t="s">
        <v>384</v>
      </c>
      <c r="C44" s="6"/>
      <c r="D44" s="6"/>
      <c r="E44" s="6"/>
      <c r="F44" s="6">
        <v>-1</v>
      </c>
      <c r="G44" s="6"/>
      <c r="H44" s="6"/>
      <c r="I44" s="6">
        <f>Table16[[#This Row],[Total Athletes]]-(LEN(Table16[[#This Row],[Pair]])-LEN(SUBSTITUTE(Table16[[#This Row],[Pair]],"/","")))-1</f>
        <v>-1</v>
      </c>
      <c r="J44" s="6"/>
    </row>
    <row r="45" spans="1:10" x14ac:dyDescent="0.3">
      <c r="A45" s="6" t="s">
        <v>2857</v>
      </c>
      <c r="B45" s="6" t="s">
        <v>474</v>
      </c>
      <c r="C45" s="6"/>
      <c r="D45" s="6"/>
      <c r="E45" s="6"/>
      <c r="F45" s="6">
        <v>4</v>
      </c>
      <c r="G45" s="6"/>
      <c r="H45" s="6"/>
      <c r="I45" s="6">
        <f>Table16[[#This Row],[Total Athletes]]-(LEN(Table16[[#This Row],[Pair]])-LEN(SUBSTITUTE(Table16[[#This Row],[Pair]],"/","")))-1</f>
        <v>1</v>
      </c>
      <c r="J45" s="6">
        <v>2</v>
      </c>
    </row>
    <row r="46" spans="1:10" x14ac:dyDescent="0.3">
      <c r="A46" s="6" t="s">
        <v>1787</v>
      </c>
      <c r="B46" s="6" t="s">
        <v>328</v>
      </c>
      <c r="C46" s="6"/>
      <c r="D46" s="6"/>
      <c r="E46" s="6"/>
      <c r="F46" s="6">
        <v>13</v>
      </c>
      <c r="G46" s="6"/>
      <c r="H46" s="6"/>
      <c r="I46" s="6">
        <f>Table16[[#This Row],[Total Athletes]]-(LEN(Table16[[#This Row],[Pair]])-LEN(SUBSTITUTE(Table16[[#This Row],[Pair]],"/","")))-1</f>
        <v>1</v>
      </c>
      <c r="J46" s="6">
        <v>2</v>
      </c>
    </row>
    <row r="47" spans="1:10" x14ac:dyDescent="0.3">
      <c r="A47" s="6" t="s">
        <v>3569</v>
      </c>
      <c r="B47" s="6" t="s">
        <v>596</v>
      </c>
      <c r="C47" s="6"/>
      <c r="D47" s="6"/>
      <c r="E47" s="6"/>
      <c r="F47" s="6">
        <v>5</v>
      </c>
      <c r="G47" s="6"/>
      <c r="H47" s="6"/>
      <c r="I47" s="6">
        <f>Table16[[#This Row],[Total Athletes]]-(LEN(Table16[[#This Row],[Pair]])-LEN(SUBSTITUTE(Table16[[#This Row],[Pair]],"/","")))-1</f>
        <v>0</v>
      </c>
      <c r="J47" s="6">
        <v>2</v>
      </c>
    </row>
    <row r="48" spans="1:10" x14ac:dyDescent="0.3">
      <c r="A48" s="6" t="s">
        <v>3772</v>
      </c>
      <c r="B48" s="6" t="s">
        <v>412</v>
      </c>
      <c r="C48" s="6"/>
      <c r="D48" s="6"/>
      <c r="E48" s="6"/>
      <c r="F48" s="6"/>
      <c r="G48" s="6"/>
      <c r="H48" s="6">
        <v>1</v>
      </c>
      <c r="I48" s="6">
        <f>Table16[[#This Row],[Total Athletes]]-(LEN(Table16[[#This Row],[Pair]])-LEN(SUBSTITUTE(Table16[[#This Row],[Pair]],"/","")))-1</f>
        <v>1</v>
      </c>
      <c r="J48" s="6">
        <v>2</v>
      </c>
    </row>
    <row r="49" spans="1:10" x14ac:dyDescent="0.3">
      <c r="A49" s="6" t="s">
        <v>1249</v>
      </c>
      <c r="B49" s="6" t="s">
        <v>354</v>
      </c>
      <c r="C49" s="6"/>
      <c r="D49" s="6"/>
      <c r="E49" s="6"/>
      <c r="F49" s="6"/>
      <c r="G49" s="6"/>
      <c r="H49" s="6">
        <v>3</v>
      </c>
      <c r="I49" s="6">
        <f>Table16[[#This Row],[Total Athletes]]-(LEN(Table16[[#This Row],[Pair]])-LEN(SUBSTITUTE(Table16[[#This Row],[Pair]],"/","")))-1</f>
        <v>1</v>
      </c>
      <c r="J49" s="6">
        <v>2</v>
      </c>
    </row>
    <row r="50" spans="1:10" x14ac:dyDescent="0.3">
      <c r="A50" s="6"/>
      <c r="B50" s="6" t="s">
        <v>348</v>
      </c>
      <c r="C50" s="6"/>
      <c r="D50" s="6"/>
      <c r="E50" s="6"/>
      <c r="F50" s="6"/>
      <c r="G50" s="6"/>
      <c r="H50" s="6">
        <v>-1</v>
      </c>
      <c r="I50" s="6">
        <f>Table16[[#This Row],[Total Athletes]]-(LEN(Table16[[#This Row],[Pair]])-LEN(SUBSTITUTE(Table16[[#This Row],[Pair]],"/","")))-1</f>
        <v>-1</v>
      </c>
      <c r="J50" s="6"/>
    </row>
    <row r="51" spans="1:10" x14ac:dyDescent="0.3">
      <c r="A51" s="6" t="s">
        <v>2713</v>
      </c>
      <c r="B51" s="6" t="s">
        <v>596</v>
      </c>
      <c r="C51" s="6"/>
      <c r="D51" s="6"/>
      <c r="E51" s="6"/>
      <c r="F51" s="6"/>
      <c r="G51" s="6"/>
      <c r="H51" s="6">
        <v>8</v>
      </c>
      <c r="I51" s="6">
        <f>Table16[[#This Row],[Total Athletes]]-(LEN(Table16[[#This Row],[Pair]])-LEN(SUBSTITUTE(Table16[[#This Row],[Pair]],"/","")))-1</f>
        <v>0</v>
      </c>
      <c r="J51" s="6">
        <v>2</v>
      </c>
    </row>
    <row r="52" spans="1:10" x14ac:dyDescent="0.3">
      <c r="A52" s="6" t="s">
        <v>4030</v>
      </c>
      <c r="B52" s="6" t="s">
        <v>366</v>
      </c>
      <c r="C52" s="6"/>
      <c r="D52" s="6"/>
      <c r="E52" s="6"/>
      <c r="F52" s="6"/>
      <c r="G52" s="6"/>
      <c r="H52" s="6">
        <v>9</v>
      </c>
      <c r="I52" s="6">
        <f>Table16[[#This Row],[Total Athletes]]-(LEN(Table16[[#This Row],[Pair]])-LEN(SUBSTITUTE(Table16[[#This Row],[Pair]],"/","")))-1</f>
        <v>0</v>
      </c>
      <c r="J52" s="6">
        <v>2</v>
      </c>
    </row>
    <row r="53" spans="1:10" x14ac:dyDescent="0.3">
      <c r="A53" s="6" t="s">
        <v>1983</v>
      </c>
      <c r="B53" s="6" t="s">
        <v>332</v>
      </c>
      <c r="C53" s="6"/>
      <c r="D53" s="6"/>
      <c r="E53" s="6"/>
      <c r="F53" s="6"/>
      <c r="G53" s="6"/>
      <c r="H53" s="6">
        <v>4</v>
      </c>
      <c r="I53" s="6">
        <f>Table16[[#This Row],[Total Athletes]]-(LEN(Table16[[#This Row],[Pair]])-LEN(SUBSTITUTE(Table16[[#This Row],[Pair]],"/","")))-1</f>
        <v>1</v>
      </c>
      <c r="J53" s="6">
        <v>2</v>
      </c>
    </row>
    <row r="54" spans="1:10" x14ac:dyDescent="0.3">
      <c r="A54" s="6" t="s">
        <v>3417</v>
      </c>
      <c r="B54" s="6" t="s">
        <v>342</v>
      </c>
      <c r="C54" s="6"/>
      <c r="D54" s="6"/>
      <c r="E54" s="6"/>
      <c r="F54" s="6"/>
      <c r="G54" s="6"/>
      <c r="H54" s="6">
        <v>6</v>
      </c>
      <c r="I54" s="6">
        <f>Table16[[#This Row],[Total Athletes]]-(LEN(Table16[[#This Row],[Pair]])-LEN(SUBSTITUTE(Table16[[#This Row],[Pair]],"/","")))-1</f>
        <v>1</v>
      </c>
      <c r="J54" s="6">
        <v>2</v>
      </c>
    </row>
    <row r="55" spans="1:10" x14ac:dyDescent="0.3">
      <c r="A55" s="6" t="s">
        <v>3793</v>
      </c>
      <c r="B55" s="6" t="s">
        <v>330</v>
      </c>
      <c r="C55" s="6"/>
      <c r="D55" s="6"/>
      <c r="E55" s="6"/>
      <c r="F55" s="6"/>
      <c r="G55" s="6"/>
      <c r="H55" s="6">
        <v>7</v>
      </c>
      <c r="I55" s="6">
        <f>Table16[[#This Row],[Total Athletes]]-(LEN(Table16[[#This Row],[Pair]])-LEN(SUBSTITUTE(Table16[[#This Row],[Pair]],"/","")))-1</f>
        <v>0</v>
      </c>
      <c r="J55" s="6">
        <v>2</v>
      </c>
    </row>
    <row r="56" spans="1:10" x14ac:dyDescent="0.3">
      <c r="A56" s="6"/>
      <c r="B56" s="6" t="s">
        <v>402</v>
      </c>
      <c r="C56" s="6"/>
      <c r="D56" s="6"/>
      <c r="E56" s="6"/>
      <c r="F56" s="6"/>
      <c r="G56" s="6"/>
      <c r="H56" s="6">
        <v>-1</v>
      </c>
      <c r="I56" s="6">
        <f>Table16[[#This Row],[Total Athletes]]-(LEN(Table16[[#This Row],[Pair]])-LEN(SUBSTITUTE(Table16[[#This Row],[Pair]],"/","")))-1</f>
        <v>-1</v>
      </c>
      <c r="J56" s="6"/>
    </row>
    <row r="57" spans="1:10" x14ac:dyDescent="0.3">
      <c r="A57" s="6"/>
      <c r="B57" s="6" t="s">
        <v>620</v>
      </c>
      <c r="C57" s="6"/>
      <c r="D57" s="6"/>
      <c r="E57" s="6"/>
      <c r="F57" s="6"/>
      <c r="G57" s="6"/>
      <c r="H57" s="6">
        <v>-1</v>
      </c>
      <c r="I57" s="6">
        <f>Table16[[#This Row],[Total Athletes]]-(LEN(Table16[[#This Row],[Pair]])-LEN(SUBSTITUTE(Table16[[#This Row],[Pair]],"/","")))-1</f>
        <v>-1</v>
      </c>
      <c r="J57" s="6"/>
    </row>
    <row r="58" spans="1:10" x14ac:dyDescent="0.3">
      <c r="A58" s="6"/>
      <c r="B58" s="6" t="s">
        <v>442</v>
      </c>
      <c r="C58" s="6"/>
      <c r="D58" s="6"/>
      <c r="E58" s="6"/>
      <c r="F58" s="6"/>
      <c r="G58" s="6"/>
      <c r="H58" s="6">
        <v>-1</v>
      </c>
      <c r="I58" s="6">
        <f>Table16[[#This Row],[Total Athletes]]-(LEN(Table16[[#This Row],[Pair]])-LEN(SUBSTITUTE(Table16[[#This Row],[Pair]],"/","")))-1</f>
        <v>-1</v>
      </c>
      <c r="J58" s="6"/>
    </row>
    <row r="59" spans="1:10" x14ac:dyDescent="0.3">
      <c r="A59" s="6" t="s">
        <v>3037</v>
      </c>
      <c r="B59" s="6" t="s">
        <v>326</v>
      </c>
      <c r="C59" s="6"/>
      <c r="D59" s="6"/>
      <c r="E59" s="6">
        <v>16</v>
      </c>
      <c r="F59" s="6"/>
      <c r="G59" s="6"/>
      <c r="H59" s="6"/>
      <c r="I59" s="6">
        <f>Table16[[#This Row],[Total Athletes]]-(LEN(Table16[[#This Row],[Pair]])-LEN(SUBSTITUTE(Table16[[#This Row],[Pair]],"/","")))-1</f>
        <v>1</v>
      </c>
      <c r="J59" s="6">
        <v>2</v>
      </c>
    </row>
    <row r="60" spans="1:10" x14ac:dyDescent="0.3">
      <c r="A60" s="6"/>
      <c r="B60" s="6" t="s">
        <v>404</v>
      </c>
      <c r="C60" s="6"/>
      <c r="D60" s="6"/>
      <c r="E60" s="6"/>
      <c r="F60" s="6">
        <v>-1</v>
      </c>
      <c r="G60" s="6"/>
      <c r="H60" s="6"/>
      <c r="I60" s="6">
        <f>Table16[[#This Row],[Total Athletes]]-(LEN(Table16[[#This Row],[Pair]])-LEN(SUBSTITUTE(Table16[[#This Row],[Pair]],"/","")))-1</f>
        <v>-1</v>
      </c>
      <c r="J60" s="6"/>
    </row>
    <row r="61" spans="1:10" x14ac:dyDescent="0.3">
      <c r="A61" s="6" t="s">
        <v>4029</v>
      </c>
      <c r="B61" s="6" t="s">
        <v>366</v>
      </c>
      <c r="C61" s="6"/>
      <c r="D61" s="6"/>
      <c r="E61" s="6">
        <v>13</v>
      </c>
      <c r="F61" s="6"/>
      <c r="G61" s="6"/>
      <c r="H61" s="6"/>
      <c r="I61" s="6">
        <f>Table16[[#This Row],[Total Athletes]]-(LEN(Table16[[#This Row],[Pair]])-LEN(SUBSTITUTE(Table16[[#This Row],[Pair]],"/","")))-1</f>
        <v>1</v>
      </c>
      <c r="J61" s="6">
        <v>2</v>
      </c>
    </row>
    <row r="62" spans="1:10" x14ac:dyDescent="0.3">
      <c r="A62" s="6" t="s">
        <v>3817</v>
      </c>
      <c r="B62" s="6" t="s">
        <v>340</v>
      </c>
      <c r="C62" s="6"/>
      <c r="D62" s="6"/>
      <c r="E62" s="6">
        <v>12</v>
      </c>
      <c r="F62" s="6"/>
      <c r="G62" s="6"/>
      <c r="H62" s="6"/>
      <c r="I62" s="6">
        <f>Table16[[#This Row],[Total Athletes]]-(LEN(Table16[[#This Row],[Pair]])-LEN(SUBSTITUTE(Table16[[#This Row],[Pair]],"/","")))-1</f>
        <v>1</v>
      </c>
      <c r="J62" s="6">
        <v>2</v>
      </c>
    </row>
    <row r="63" spans="1:10" x14ac:dyDescent="0.3">
      <c r="A63" s="6" t="s">
        <v>3847</v>
      </c>
      <c r="B63" s="6" t="s">
        <v>340</v>
      </c>
      <c r="C63" s="6"/>
      <c r="D63" s="6"/>
      <c r="E63" s="6"/>
      <c r="F63" s="6">
        <v>12</v>
      </c>
      <c r="G63" s="6"/>
      <c r="H63" s="6"/>
      <c r="I63" s="6">
        <f>Table16[[#This Row],[Total Athletes]]-(LEN(Table16[[#This Row],[Pair]])-LEN(SUBSTITUTE(Table16[[#This Row],[Pair]],"/","")))-1</f>
        <v>1</v>
      </c>
      <c r="J63" s="6">
        <v>2</v>
      </c>
    </row>
    <row r="64" spans="1:10" x14ac:dyDescent="0.3">
      <c r="A64" s="6"/>
      <c r="B64" s="6" t="s">
        <v>392</v>
      </c>
      <c r="C64" s="6"/>
      <c r="D64" s="6"/>
      <c r="E64" s="6"/>
      <c r="F64" s="6">
        <v>-1</v>
      </c>
      <c r="G64" s="6"/>
      <c r="H64" s="6"/>
      <c r="I64" s="6">
        <f>Table16[[#This Row],[Total Athletes]]-(LEN(Table16[[#This Row],[Pair]])-LEN(SUBSTITUTE(Table16[[#This Row],[Pair]],"/","")))-1</f>
        <v>-1</v>
      </c>
      <c r="J64" s="6"/>
    </row>
    <row r="65" spans="1:10" x14ac:dyDescent="0.3">
      <c r="A65" s="6"/>
      <c r="B65" s="6" t="s">
        <v>428</v>
      </c>
      <c r="C65" s="6"/>
      <c r="D65" s="6"/>
      <c r="E65" s="6">
        <v>-1</v>
      </c>
      <c r="F65" s="6"/>
      <c r="G65" s="6"/>
      <c r="H65" s="6"/>
      <c r="I65" s="6">
        <f>Table16[[#This Row],[Total Athletes]]-(LEN(Table16[[#This Row],[Pair]])-LEN(SUBSTITUTE(Table16[[#This Row],[Pair]],"/","")))-1</f>
        <v>-1</v>
      </c>
      <c r="J65" s="6"/>
    </row>
    <row r="66" spans="1:10" x14ac:dyDescent="0.3">
      <c r="A66" s="6"/>
      <c r="B66" s="6" t="s">
        <v>482</v>
      </c>
      <c r="C66" s="6"/>
      <c r="D66" s="6"/>
      <c r="E66" s="6">
        <v>-1</v>
      </c>
      <c r="F66" s="6"/>
      <c r="G66" s="6"/>
      <c r="H66" s="6"/>
      <c r="I66" s="6">
        <f>Table16[[#This Row],[Total Athletes]]-(LEN(Table16[[#This Row],[Pair]])-LEN(SUBSTITUTE(Table16[[#This Row],[Pair]],"/","")))-1</f>
        <v>-1</v>
      </c>
      <c r="J66" s="6"/>
    </row>
    <row r="67" spans="1:10" x14ac:dyDescent="0.3">
      <c r="A67" s="6" t="s">
        <v>3334</v>
      </c>
      <c r="B67" s="6" t="s">
        <v>428</v>
      </c>
      <c r="C67" s="6"/>
      <c r="D67" s="6"/>
      <c r="E67" s="6"/>
      <c r="F67" s="6">
        <v>15</v>
      </c>
      <c r="G67" s="6"/>
      <c r="H67" s="6"/>
      <c r="I67" s="6">
        <f>Table16[[#This Row],[Total Athletes]]-(LEN(Table16[[#This Row],[Pair]])-LEN(SUBSTITUTE(Table16[[#This Row],[Pair]],"/","")))-1</f>
        <v>1</v>
      </c>
      <c r="J67" s="6">
        <v>2</v>
      </c>
    </row>
    <row r="68" spans="1:10" x14ac:dyDescent="0.3">
      <c r="A68" s="6"/>
      <c r="B68" s="6" t="s">
        <v>360</v>
      </c>
      <c r="C68" s="6"/>
      <c r="D68" s="6"/>
      <c r="E68" s="6"/>
      <c r="F68" s="6">
        <v>-1</v>
      </c>
      <c r="G68" s="6"/>
      <c r="H68" s="6"/>
      <c r="I68" s="6">
        <f>Table16[[#This Row],[Total Athletes]]-(LEN(Table16[[#This Row],[Pair]])-LEN(SUBSTITUTE(Table16[[#This Row],[Pair]],"/","")))-1</f>
        <v>-1</v>
      </c>
      <c r="J68" s="6"/>
    </row>
    <row r="69" spans="1:10" x14ac:dyDescent="0.3">
      <c r="A69" s="6" t="s">
        <v>2483</v>
      </c>
      <c r="B69" s="6" t="s">
        <v>726</v>
      </c>
      <c r="C69" s="6"/>
      <c r="D69" s="6"/>
      <c r="E69" s="6">
        <v>11</v>
      </c>
      <c r="F69" s="6"/>
      <c r="G69" s="6"/>
      <c r="H69" s="6"/>
      <c r="I69" s="6">
        <f>Table16[[#This Row],[Total Athletes]]-(LEN(Table16[[#This Row],[Pair]])-LEN(SUBSTITUTE(Table16[[#This Row],[Pair]],"/","")))-1</f>
        <v>1</v>
      </c>
      <c r="J69" s="6">
        <v>2</v>
      </c>
    </row>
    <row r="70" spans="1:10" x14ac:dyDescent="0.3">
      <c r="A70" s="6"/>
      <c r="B70" s="6" t="s">
        <v>520</v>
      </c>
      <c r="C70" s="6"/>
      <c r="D70" s="6"/>
      <c r="E70" s="6">
        <v>-1</v>
      </c>
      <c r="F70" s="6"/>
      <c r="G70" s="6"/>
      <c r="H70" s="6"/>
      <c r="I70" s="6">
        <f>Table16[[#This Row],[Total Athletes]]-(LEN(Table16[[#This Row],[Pair]])-LEN(SUBSTITUTE(Table16[[#This Row],[Pair]],"/","")))-1</f>
        <v>-1</v>
      </c>
      <c r="J70" s="6"/>
    </row>
    <row r="71" spans="1:10" x14ac:dyDescent="0.3">
      <c r="A71" s="6" t="s">
        <v>3884</v>
      </c>
      <c r="B71" s="6" t="s">
        <v>394</v>
      </c>
      <c r="C71" s="6"/>
      <c r="D71" s="6"/>
      <c r="E71" s="6"/>
      <c r="F71" s="6">
        <v>9</v>
      </c>
      <c r="G71" s="6"/>
      <c r="H71" s="6"/>
      <c r="I71" s="6">
        <f>Table16[[#This Row],[Total Athletes]]-(LEN(Table16[[#This Row],[Pair]])-LEN(SUBSTITUTE(Table16[[#This Row],[Pair]],"/","")))-1</f>
        <v>1</v>
      </c>
      <c r="J71" s="6">
        <v>2</v>
      </c>
    </row>
    <row r="72" spans="1:10" x14ac:dyDescent="0.3">
      <c r="A72" s="6"/>
      <c r="B72" s="6" t="s">
        <v>358</v>
      </c>
      <c r="C72" s="6"/>
      <c r="D72" s="6"/>
      <c r="E72" s="6"/>
      <c r="F72" s="6">
        <v>-1</v>
      </c>
      <c r="G72" s="6"/>
      <c r="H72" s="6"/>
      <c r="I72" s="6">
        <f>Table16[[#This Row],[Total Athletes]]-(LEN(Table16[[#This Row],[Pair]])-LEN(SUBSTITUTE(Table16[[#This Row],[Pair]],"/","")))-1</f>
        <v>-1</v>
      </c>
      <c r="J72" s="6"/>
    </row>
    <row r="73" spans="1:10" x14ac:dyDescent="0.3">
      <c r="A73" s="6"/>
      <c r="B73" s="6" t="s">
        <v>332</v>
      </c>
      <c r="C73" s="6">
        <v>-1</v>
      </c>
      <c r="D73" s="6"/>
      <c r="E73" s="6"/>
      <c r="F73" s="6"/>
      <c r="G73" s="6"/>
      <c r="H73" s="6"/>
      <c r="I73" s="6">
        <f>Table16[[#This Row],[Total Athletes]]-(LEN(Table16[[#This Row],[Pair]])-LEN(SUBSTITUTE(Table16[[#This Row],[Pair]],"/","")))-1</f>
        <v>-1</v>
      </c>
      <c r="J73" s="6"/>
    </row>
    <row r="74" spans="1:10" x14ac:dyDescent="0.3">
      <c r="A74" s="6" t="s">
        <v>2932</v>
      </c>
      <c r="B74" s="6" t="s">
        <v>690</v>
      </c>
      <c r="C74" s="6">
        <v>7</v>
      </c>
      <c r="D74" s="6"/>
      <c r="E74" s="6"/>
      <c r="F74" s="6"/>
      <c r="G74" s="6"/>
      <c r="H74" s="6"/>
      <c r="I74" s="6">
        <f>Table16[[#This Row],[Total Athletes]]-(LEN(Table16[[#This Row],[Pair]])-LEN(SUBSTITUTE(Table16[[#This Row],[Pair]],"/","")))-1</f>
        <v>1</v>
      </c>
      <c r="J74" s="6">
        <v>2</v>
      </c>
    </row>
    <row r="75" spans="1:10" x14ac:dyDescent="0.3">
      <c r="A75" s="6" t="s">
        <v>4390</v>
      </c>
      <c r="B75" s="6" t="s">
        <v>344</v>
      </c>
      <c r="C75" s="6"/>
      <c r="D75" s="6"/>
      <c r="E75" s="6">
        <v>7</v>
      </c>
      <c r="F75" s="6"/>
      <c r="G75" s="6"/>
      <c r="H75" s="6"/>
      <c r="I75" s="6">
        <f>Table16[[#This Row],[Total Athletes]]-(LEN(Table16[[#This Row],[Pair]])-LEN(SUBSTITUTE(Table16[[#This Row],[Pair]],"/","")))-1</f>
        <v>1</v>
      </c>
      <c r="J75" s="6">
        <v>2</v>
      </c>
    </row>
    <row r="76" spans="1:10" x14ac:dyDescent="0.3">
      <c r="A76" s="6" t="s">
        <v>3419</v>
      </c>
      <c r="B76" s="6" t="s">
        <v>342</v>
      </c>
      <c r="C76" s="6"/>
      <c r="D76" s="6"/>
      <c r="E76" s="6">
        <v>3</v>
      </c>
      <c r="F76" s="6"/>
      <c r="G76" s="6"/>
      <c r="H76" s="6"/>
      <c r="I76" s="6">
        <f>Table16[[#This Row],[Total Athletes]]-(LEN(Table16[[#This Row],[Pair]])-LEN(SUBSTITUTE(Table16[[#This Row],[Pair]],"/","")))-1</f>
        <v>1</v>
      </c>
      <c r="J76" s="6">
        <v>2</v>
      </c>
    </row>
    <row r="77" spans="1:10" x14ac:dyDescent="0.3">
      <c r="A77" s="6" t="s">
        <v>4661</v>
      </c>
      <c r="B77" s="6" t="s">
        <v>334</v>
      </c>
      <c r="C77" s="6"/>
      <c r="D77" s="6"/>
      <c r="E77" s="6"/>
      <c r="F77" s="6"/>
      <c r="G77" s="6">
        <v>11</v>
      </c>
      <c r="H77" s="6"/>
      <c r="I77" s="6">
        <f>Table16[[#This Row],[Total Athletes]]-(LEN(Table16[[#This Row],[Pair]])-LEN(SUBSTITUTE(Table16[[#This Row],[Pair]],"/","")))-1</f>
        <v>1</v>
      </c>
      <c r="J77" s="6">
        <v>2</v>
      </c>
    </row>
    <row r="78" spans="1:10" x14ac:dyDescent="0.3">
      <c r="A78" s="6"/>
      <c r="B78" s="6" t="s">
        <v>620</v>
      </c>
      <c r="C78" s="6"/>
      <c r="D78" s="6"/>
      <c r="E78" s="6"/>
      <c r="F78" s="6"/>
      <c r="G78" s="6">
        <v>-1</v>
      </c>
      <c r="H78" s="6"/>
      <c r="I78" s="6">
        <f>Table16[[#This Row],[Total Athletes]]-(LEN(Table16[[#This Row],[Pair]])-LEN(SUBSTITUTE(Table16[[#This Row],[Pair]],"/","")))-1</f>
        <v>-1</v>
      </c>
      <c r="J78" s="6"/>
    </row>
    <row r="79" spans="1:10" x14ac:dyDescent="0.3">
      <c r="A79" s="6"/>
      <c r="B79" s="6" t="s">
        <v>442</v>
      </c>
      <c r="C79" s="6"/>
      <c r="D79" s="6">
        <v>-1</v>
      </c>
      <c r="E79" s="6"/>
      <c r="F79" s="6"/>
      <c r="G79" s="6"/>
      <c r="H79" s="6"/>
      <c r="I79" s="6">
        <f>Table16[[#This Row],[Total Athletes]]-(LEN(Table16[[#This Row],[Pair]])-LEN(SUBSTITUTE(Table16[[#This Row],[Pair]],"/","")))-1</f>
        <v>-1</v>
      </c>
      <c r="J79" s="6"/>
    </row>
    <row r="80" spans="1:10" x14ac:dyDescent="0.3">
      <c r="A80" s="6" t="s">
        <v>1483</v>
      </c>
      <c r="B80" s="6" t="s">
        <v>402</v>
      </c>
      <c r="C80" s="6"/>
      <c r="D80" s="6">
        <v>3</v>
      </c>
      <c r="E80" s="6"/>
      <c r="F80" s="6"/>
      <c r="G80" s="6"/>
      <c r="H80" s="6"/>
      <c r="I80" s="6">
        <f>Table16[[#This Row],[Total Athletes]]-(LEN(Table16[[#This Row],[Pair]])-LEN(SUBSTITUTE(Table16[[#This Row],[Pair]],"/","")))-1</f>
        <v>1</v>
      </c>
      <c r="J80" s="6">
        <v>2</v>
      </c>
    </row>
    <row r="81" spans="1:10" x14ac:dyDescent="0.3">
      <c r="A81" s="6"/>
      <c r="B81" s="6" t="s">
        <v>344</v>
      </c>
      <c r="C81" s="6"/>
      <c r="D81" s="6"/>
      <c r="E81" s="6"/>
      <c r="F81" s="6">
        <v>-1</v>
      </c>
      <c r="G81" s="6"/>
      <c r="H81" s="6"/>
      <c r="I81" s="6">
        <f>Table16[[#This Row],[Total Athletes]]-(LEN(Table16[[#This Row],[Pair]])-LEN(SUBSTITUTE(Table16[[#This Row],[Pair]],"/","")))-1</f>
        <v>-1</v>
      </c>
      <c r="J81" s="6"/>
    </row>
    <row r="82" spans="1:10" x14ac:dyDescent="0.3">
      <c r="A82" s="6"/>
      <c r="B82" s="6" t="s">
        <v>342</v>
      </c>
      <c r="C82" s="6"/>
      <c r="D82" s="6"/>
      <c r="E82" s="6"/>
      <c r="F82" s="6">
        <v>-1</v>
      </c>
      <c r="G82" s="6"/>
      <c r="H82" s="6"/>
      <c r="I82" s="6">
        <f>Table16[[#This Row],[Total Athletes]]-(LEN(Table16[[#This Row],[Pair]])-LEN(SUBSTITUTE(Table16[[#This Row],[Pair]],"/","")))-1</f>
        <v>-1</v>
      </c>
      <c r="J82" s="6"/>
    </row>
    <row r="83" spans="1:10" x14ac:dyDescent="0.3">
      <c r="A83" s="6" t="s">
        <v>3369</v>
      </c>
      <c r="B83" s="6" t="s">
        <v>414</v>
      </c>
      <c r="C83" s="6"/>
      <c r="D83" s="6"/>
      <c r="E83" s="6"/>
      <c r="F83" s="6"/>
      <c r="G83" s="6"/>
      <c r="H83" s="6">
        <v>11</v>
      </c>
      <c r="I83" s="6">
        <f>Table16[[#This Row],[Total Athletes]]-(LEN(Table16[[#This Row],[Pair]])-LEN(SUBSTITUTE(Table16[[#This Row],[Pair]],"/","")))-1</f>
        <v>1</v>
      </c>
      <c r="J83" s="6">
        <v>2</v>
      </c>
    </row>
    <row r="84" spans="1:10" x14ac:dyDescent="0.3">
      <c r="A84" s="6"/>
      <c r="B84" s="6" t="s">
        <v>474</v>
      </c>
      <c r="C84" s="6"/>
      <c r="D84" s="6"/>
      <c r="E84" s="6"/>
      <c r="F84" s="6"/>
      <c r="G84" s="6"/>
      <c r="H84" s="6">
        <v>-1</v>
      </c>
      <c r="I84" s="6">
        <f>Table16[[#This Row],[Total Athletes]]-(LEN(Table16[[#This Row],[Pair]])-LEN(SUBSTITUTE(Table16[[#This Row],[Pair]],"/","")))-1</f>
        <v>-1</v>
      </c>
      <c r="J84" s="6"/>
    </row>
    <row r="85" spans="1:10" x14ac:dyDescent="0.3">
      <c r="A85" s="6" t="s">
        <v>4696</v>
      </c>
      <c r="B85" s="6" t="s">
        <v>450</v>
      </c>
      <c r="C85" s="6">
        <v>12</v>
      </c>
      <c r="D85" s="6"/>
      <c r="E85" s="6"/>
      <c r="F85" s="6"/>
      <c r="G85" s="6"/>
      <c r="H85" s="6"/>
      <c r="I85" s="6">
        <f>Table16[[#This Row],[Total Athletes]]-(LEN(Table16[[#This Row],[Pair]])-LEN(SUBSTITUTE(Table16[[#This Row],[Pair]],"/","")))-1</f>
        <v>0</v>
      </c>
      <c r="J85" s="6">
        <v>2</v>
      </c>
    </row>
    <row r="86" spans="1:10" x14ac:dyDescent="0.3">
      <c r="A86" s="6" t="s">
        <v>3548</v>
      </c>
      <c r="B86" s="6" t="s">
        <v>450</v>
      </c>
      <c r="C86" s="6"/>
      <c r="D86" s="6"/>
      <c r="E86" s="6"/>
      <c r="F86" s="6"/>
      <c r="G86" s="6">
        <v>1</v>
      </c>
      <c r="H86" s="6"/>
      <c r="I86" s="6">
        <f>Table16[[#This Row],[Total Athletes]]-(LEN(Table16[[#This Row],[Pair]])-LEN(SUBSTITUTE(Table16[[#This Row],[Pair]],"/","")))-1</f>
        <v>-2</v>
      </c>
      <c r="J86" s="6"/>
    </row>
  </sheetData>
  <pageMargins left="0.7" right="0.7" top="0.75" bottom="0.75" header="0.3" footer="0.3"/>
  <tableParts count="1">
    <tablePart r:id="rId1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60798-18DA-4848-BD75-B5052DF1486F}">
  <dimension ref="A1:J51"/>
  <sheetViews>
    <sheetView topLeftCell="A46" workbookViewId="0">
      <selection activeCell="B52" sqref="B52"/>
    </sheetView>
  </sheetViews>
  <sheetFormatPr defaultRowHeight="14.4" x14ac:dyDescent="0.3"/>
  <cols>
    <col min="1" max="1" width="143.21875" bestFit="1" customWidth="1"/>
    <col min="2" max="2" width="14" bestFit="1" customWidth="1"/>
    <col min="3" max="3" width="34.6640625" bestFit="1" customWidth="1"/>
    <col min="4" max="4" width="37.5546875" bestFit="1" customWidth="1"/>
    <col min="5" max="5" width="31.77734375" bestFit="1" customWidth="1"/>
    <col min="6" max="6" width="34.5546875" bestFit="1" customWidth="1"/>
    <col min="7" max="7" width="25.44140625" bestFit="1" customWidth="1"/>
    <col min="8" max="8" width="28.33203125" bestFit="1" customWidth="1"/>
    <col min="9" max="9" width="17" bestFit="1" customWidth="1"/>
    <col min="10" max="10" width="14.77734375" bestFit="1" customWidth="1"/>
  </cols>
  <sheetData>
    <row r="1" spans="1:10" x14ac:dyDescent="0.3">
      <c r="A1" t="s">
        <v>834</v>
      </c>
      <c r="B1" t="s">
        <v>1</v>
      </c>
      <c r="C1" t="s">
        <v>1004</v>
      </c>
      <c r="D1" t="s">
        <v>1005</v>
      </c>
      <c r="E1" t="s">
        <v>1188</v>
      </c>
      <c r="F1" t="s">
        <v>1189</v>
      </c>
      <c r="G1" t="s">
        <v>1186</v>
      </c>
      <c r="H1" t="s">
        <v>1187</v>
      </c>
      <c r="I1" t="s">
        <v>1212</v>
      </c>
      <c r="J1" t="s">
        <v>1213</v>
      </c>
    </row>
    <row r="2" spans="1:10" x14ac:dyDescent="0.3">
      <c r="A2" s="6"/>
      <c r="B2" s="6" t="s">
        <v>412</v>
      </c>
      <c r="C2" s="6">
        <v>-1</v>
      </c>
      <c r="D2" s="6"/>
      <c r="E2" s="6"/>
      <c r="F2" s="6"/>
      <c r="G2" s="6"/>
      <c r="H2" s="6"/>
      <c r="I2" s="6">
        <f>Table72[[#This Row],[Total Athletes]]-(LEN(Table72[[#This Row],[Team]])-LEN(SUBSTITUTE(Table72[[#This Row],[Team]],"/","")))-1</f>
        <v>-1</v>
      </c>
      <c r="J2" s="6"/>
    </row>
    <row r="3" spans="1:10" x14ac:dyDescent="0.3">
      <c r="A3" s="6" t="s">
        <v>2922</v>
      </c>
      <c r="B3" s="6" t="s">
        <v>356</v>
      </c>
      <c r="C3" s="6">
        <v>2</v>
      </c>
      <c r="D3" s="6"/>
      <c r="E3" s="6"/>
      <c r="F3" s="6"/>
      <c r="G3" s="6"/>
      <c r="H3" s="6"/>
      <c r="I3" s="6">
        <f>Table72[[#This Row],[Total Athletes]]-(LEN(Table72[[#This Row],[Team]])-LEN(SUBSTITUTE(Table72[[#This Row],[Team]],"/","")))-1</f>
        <v>2</v>
      </c>
      <c r="J3" s="6">
        <v>4</v>
      </c>
    </row>
    <row r="4" spans="1:10" x14ac:dyDescent="0.3">
      <c r="A4" s="6" t="s">
        <v>3889</v>
      </c>
      <c r="B4" s="6" t="s">
        <v>394</v>
      </c>
      <c r="C4" s="6">
        <v>3</v>
      </c>
      <c r="D4" s="6"/>
      <c r="E4" s="6"/>
      <c r="F4" s="6"/>
      <c r="G4" s="6"/>
      <c r="H4" s="6"/>
      <c r="I4" s="6">
        <f>Table72[[#This Row],[Total Athletes]]-(LEN(Table72[[#This Row],[Team]])-LEN(SUBSTITUTE(Table72[[#This Row],[Team]],"/","")))-1</f>
        <v>1</v>
      </c>
      <c r="J4" s="6">
        <v>4</v>
      </c>
    </row>
    <row r="5" spans="1:10" x14ac:dyDescent="0.3">
      <c r="A5" s="6" t="s">
        <v>2980</v>
      </c>
      <c r="B5" s="6" t="s">
        <v>402</v>
      </c>
      <c r="C5" s="6">
        <v>4</v>
      </c>
      <c r="D5" s="6"/>
      <c r="E5" s="6"/>
      <c r="F5" s="6"/>
      <c r="G5" s="6"/>
      <c r="H5" s="6"/>
      <c r="I5" s="6">
        <f>Table72[[#This Row],[Total Athletes]]-(LEN(Table72[[#This Row],[Team]])-LEN(SUBSTITUTE(Table72[[#This Row],[Team]],"/","")))-1</f>
        <v>2</v>
      </c>
      <c r="J5" s="6">
        <v>4</v>
      </c>
    </row>
    <row r="6" spans="1:10" x14ac:dyDescent="0.3">
      <c r="A6" s="6"/>
      <c r="B6" s="6" t="s">
        <v>334</v>
      </c>
      <c r="C6" s="6">
        <v>-1</v>
      </c>
      <c r="D6" s="6"/>
      <c r="E6" s="6"/>
      <c r="F6" s="6"/>
      <c r="G6" s="6"/>
      <c r="H6" s="6"/>
      <c r="I6" s="6">
        <f>Table72[[#This Row],[Total Athletes]]-(LEN(Table72[[#This Row],[Team]])-LEN(SUBSTITUTE(Table72[[#This Row],[Team]],"/","")))-1</f>
        <v>-1</v>
      </c>
      <c r="J6" s="6"/>
    </row>
    <row r="7" spans="1:10" x14ac:dyDescent="0.3">
      <c r="A7" s="6"/>
      <c r="B7" s="6" t="s">
        <v>444</v>
      </c>
      <c r="C7" s="6">
        <v>-1</v>
      </c>
      <c r="D7" s="6"/>
      <c r="E7" s="6"/>
      <c r="F7" s="6"/>
      <c r="G7" s="6"/>
      <c r="H7" s="6"/>
      <c r="I7" s="6">
        <f>Table72[[#This Row],[Total Athletes]]-(LEN(Table72[[#This Row],[Team]])-LEN(SUBSTITUTE(Table72[[#This Row],[Team]],"/","")))-1</f>
        <v>-1</v>
      </c>
      <c r="J7" s="6"/>
    </row>
    <row r="8" spans="1:10" x14ac:dyDescent="0.3">
      <c r="A8" s="6" t="s">
        <v>4700</v>
      </c>
      <c r="B8" s="6" t="s">
        <v>348</v>
      </c>
      <c r="C8" s="6">
        <v>9</v>
      </c>
      <c r="D8" s="6"/>
      <c r="E8" s="6"/>
      <c r="F8" s="6"/>
      <c r="G8" s="6"/>
      <c r="H8" s="6"/>
      <c r="I8" s="6">
        <f>Table72[[#This Row],[Total Athletes]]-(LEN(Table72[[#This Row],[Team]])-LEN(SUBSTITUTE(Table72[[#This Row],[Team]],"/","")))-1</f>
        <v>2</v>
      </c>
      <c r="J8" s="6">
        <v>4</v>
      </c>
    </row>
    <row r="9" spans="1:10" x14ac:dyDescent="0.3">
      <c r="A9" s="6" t="s">
        <v>1475</v>
      </c>
      <c r="B9" s="6" t="s">
        <v>402</v>
      </c>
      <c r="C9" s="6"/>
      <c r="D9" s="6"/>
      <c r="E9" s="6">
        <v>3</v>
      </c>
      <c r="F9" s="6"/>
      <c r="G9" s="6"/>
      <c r="H9" s="6"/>
      <c r="I9" s="6">
        <f>Table72[[#This Row],[Total Athletes]]-(LEN(Table72[[#This Row],[Team]])-LEN(SUBSTITUTE(Table72[[#This Row],[Team]],"/","")))-1</f>
        <v>2</v>
      </c>
      <c r="J9" s="6">
        <v>4</v>
      </c>
    </row>
    <row r="10" spans="1:10" x14ac:dyDescent="0.3">
      <c r="A10" s="6" t="s">
        <v>4525</v>
      </c>
      <c r="B10" s="6" t="s">
        <v>332</v>
      </c>
      <c r="C10" s="6"/>
      <c r="D10" s="6"/>
      <c r="E10" s="6">
        <v>1</v>
      </c>
      <c r="F10" s="6"/>
      <c r="G10" s="6"/>
      <c r="H10" s="6"/>
      <c r="I10" s="6">
        <f>Table72[[#This Row],[Total Athletes]]-(LEN(Table72[[#This Row],[Team]])-LEN(SUBSTITUTE(Table72[[#This Row],[Team]],"/","")))-1</f>
        <v>2</v>
      </c>
      <c r="J10" s="6">
        <v>4</v>
      </c>
    </row>
    <row r="11" spans="1:10" x14ac:dyDescent="0.3">
      <c r="A11" s="6" t="s">
        <v>4125</v>
      </c>
      <c r="B11" s="6" t="s">
        <v>474</v>
      </c>
      <c r="C11" s="6"/>
      <c r="D11" s="6"/>
      <c r="E11" s="6">
        <v>2</v>
      </c>
      <c r="F11" s="6"/>
      <c r="G11" s="6"/>
      <c r="H11" s="6"/>
      <c r="I11" s="6">
        <f>Table72[[#This Row],[Total Athletes]]-(LEN(Table72[[#This Row],[Team]])-LEN(SUBSTITUTE(Table72[[#This Row],[Team]],"/","")))-1</f>
        <v>2</v>
      </c>
      <c r="J11" s="6">
        <v>4</v>
      </c>
    </row>
    <row r="12" spans="1:10" x14ac:dyDescent="0.3">
      <c r="A12" s="6"/>
      <c r="B12" s="6" t="s">
        <v>412</v>
      </c>
      <c r="C12" s="6"/>
      <c r="D12" s="6"/>
      <c r="E12" s="6">
        <v>-1</v>
      </c>
      <c r="F12" s="6"/>
      <c r="G12" s="6"/>
      <c r="H12" s="6"/>
      <c r="I12" s="6">
        <f>Table72[[#This Row],[Total Athletes]]-(LEN(Table72[[#This Row],[Team]])-LEN(SUBSTITUTE(Table72[[#This Row],[Team]],"/","")))-1</f>
        <v>-1</v>
      </c>
      <c r="J12" s="6"/>
    </row>
    <row r="13" spans="1:10" x14ac:dyDescent="0.3">
      <c r="A13" s="6" t="s">
        <v>3760</v>
      </c>
      <c r="B13" s="6" t="s">
        <v>354</v>
      </c>
      <c r="C13" s="6"/>
      <c r="D13" s="6"/>
      <c r="E13" s="6">
        <v>6</v>
      </c>
      <c r="F13" s="6"/>
      <c r="G13" s="6"/>
      <c r="H13" s="6"/>
      <c r="I13" s="6">
        <f>Table72[[#This Row],[Total Athletes]]-(LEN(Table72[[#This Row],[Team]])-LEN(SUBSTITUTE(Table72[[#This Row],[Team]],"/","")))-1</f>
        <v>2</v>
      </c>
      <c r="J13" s="6">
        <v>4</v>
      </c>
    </row>
    <row r="14" spans="1:10" x14ac:dyDescent="0.3">
      <c r="A14" s="6" t="s">
        <v>2834</v>
      </c>
      <c r="B14" s="6" t="s">
        <v>344</v>
      </c>
      <c r="C14" s="6"/>
      <c r="D14" s="6"/>
      <c r="E14" s="6">
        <v>8</v>
      </c>
      <c r="F14" s="6"/>
      <c r="G14" s="6"/>
      <c r="H14" s="6"/>
      <c r="I14" s="6">
        <f>Table72[[#This Row],[Total Athletes]]-(LEN(Table72[[#This Row],[Team]])-LEN(SUBSTITUTE(Table72[[#This Row],[Team]],"/","")))-1</f>
        <v>0</v>
      </c>
      <c r="J14" s="6">
        <v>4</v>
      </c>
    </row>
    <row r="15" spans="1:10" x14ac:dyDescent="0.3">
      <c r="A15" s="6" t="s">
        <v>3405</v>
      </c>
      <c r="B15" s="6" t="s">
        <v>348</v>
      </c>
      <c r="C15" s="6"/>
      <c r="D15" s="6"/>
      <c r="E15" s="6">
        <v>5</v>
      </c>
      <c r="F15" s="6"/>
      <c r="G15" s="6"/>
      <c r="H15" s="6"/>
      <c r="I15" s="6">
        <f>Table72[[#This Row],[Total Athletes]]-(LEN(Table72[[#This Row],[Team]])-LEN(SUBSTITUTE(Table72[[#This Row],[Team]],"/","")))-1</f>
        <v>3</v>
      </c>
      <c r="J15" s="6">
        <v>4</v>
      </c>
    </row>
    <row r="16" spans="1:10" x14ac:dyDescent="0.3">
      <c r="A16" s="6" t="s">
        <v>4037</v>
      </c>
      <c r="B16" s="6" t="s">
        <v>402</v>
      </c>
      <c r="C16" s="6"/>
      <c r="D16" s="6"/>
      <c r="E16" s="6"/>
      <c r="F16" s="6"/>
      <c r="G16" s="6">
        <v>1</v>
      </c>
      <c r="H16" s="6"/>
      <c r="I16" s="6">
        <f>Table72[[#This Row],[Total Athletes]]-(LEN(Table72[[#This Row],[Team]])-LEN(SUBSTITUTE(Table72[[#This Row],[Team]],"/","")))-1</f>
        <v>6</v>
      </c>
      <c r="J16" s="6">
        <v>9</v>
      </c>
    </row>
    <row r="17" spans="1:10" x14ac:dyDescent="0.3">
      <c r="A17" s="6" t="s">
        <v>3769</v>
      </c>
      <c r="B17" s="6" t="s">
        <v>412</v>
      </c>
      <c r="C17" s="6"/>
      <c r="D17" s="6"/>
      <c r="E17" s="6"/>
      <c r="F17" s="6"/>
      <c r="G17" s="6">
        <v>2</v>
      </c>
      <c r="H17" s="6"/>
      <c r="I17" s="6">
        <f>Table72[[#This Row],[Total Athletes]]-(LEN(Table72[[#This Row],[Team]])-LEN(SUBSTITUTE(Table72[[#This Row],[Team]],"/","")))-1</f>
        <v>7</v>
      </c>
      <c r="J17" s="6">
        <v>9</v>
      </c>
    </row>
    <row r="18" spans="1:10" x14ac:dyDescent="0.3">
      <c r="A18" s="6" t="s">
        <v>3635</v>
      </c>
      <c r="B18" s="6" t="s">
        <v>354</v>
      </c>
      <c r="C18" s="6"/>
      <c r="D18" s="6"/>
      <c r="E18" s="6"/>
      <c r="F18" s="6"/>
      <c r="G18" s="6">
        <v>6</v>
      </c>
      <c r="H18" s="6"/>
      <c r="I18" s="6">
        <f>Table72[[#This Row],[Total Athletes]]-(LEN(Table72[[#This Row],[Team]])-LEN(SUBSTITUTE(Table72[[#This Row],[Team]],"/","")))-1</f>
        <v>5</v>
      </c>
      <c r="J18" s="6">
        <v>10</v>
      </c>
    </row>
    <row r="19" spans="1:10" x14ac:dyDescent="0.3">
      <c r="A19" s="6" t="s">
        <v>4309</v>
      </c>
      <c r="B19" s="6" t="s">
        <v>348</v>
      </c>
      <c r="C19" s="6"/>
      <c r="D19" s="6"/>
      <c r="E19" s="6"/>
      <c r="F19" s="6"/>
      <c r="G19" s="6">
        <v>5</v>
      </c>
      <c r="H19" s="6"/>
      <c r="I19" s="6">
        <f>Table72[[#This Row],[Total Athletes]]-(LEN(Table72[[#This Row],[Team]])-LEN(SUBSTITUTE(Table72[[#This Row],[Team]],"/","")))-1</f>
        <v>7</v>
      </c>
      <c r="J19" s="6">
        <v>9</v>
      </c>
    </row>
    <row r="20" spans="1:10" x14ac:dyDescent="0.3">
      <c r="A20" s="6" t="s">
        <v>3449</v>
      </c>
      <c r="B20" s="6" t="s">
        <v>334</v>
      </c>
      <c r="C20" s="6"/>
      <c r="D20" s="6"/>
      <c r="E20" s="6"/>
      <c r="F20" s="6"/>
      <c r="G20" s="6">
        <v>4</v>
      </c>
      <c r="H20" s="6"/>
      <c r="I20" s="6">
        <f>Table72[[#This Row],[Total Athletes]]-(LEN(Table72[[#This Row],[Team]])-LEN(SUBSTITUTE(Table72[[#This Row],[Team]],"/","")))-1</f>
        <v>9</v>
      </c>
      <c r="J20" s="6">
        <v>10</v>
      </c>
    </row>
    <row r="21" spans="1:10" x14ac:dyDescent="0.3">
      <c r="A21" s="6" t="s">
        <v>3199</v>
      </c>
      <c r="B21" s="6" t="s">
        <v>402</v>
      </c>
      <c r="C21" s="6"/>
      <c r="D21" s="6">
        <v>1</v>
      </c>
      <c r="E21" s="6"/>
      <c r="F21" s="6"/>
      <c r="G21" s="6"/>
      <c r="H21" s="6"/>
      <c r="I21" s="6">
        <f>Table72[[#This Row],[Total Athletes]]-(LEN(Table72[[#This Row],[Team]])-LEN(SUBSTITUTE(Table72[[#This Row],[Team]],"/","")))-1</f>
        <v>2</v>
      </c>
      <c r="J21" s="6">
        <v>4</v>
      </c>
    </row>
    <row r="22" spans="1:10" x14ac:dyDescent="0.3">
      <c r="A22" s="6"/>
      <c r="B22" s="6" t="s">
        <v>412</v>
      </c>
      <c r="C22" s="6"/>
      <c r="D22" s="6">
        <v>-1</v>
      </c>
      <c r="E22" s="6"/>
      <c r="F22" s="6"/>
      <c r="G22" s="6"/>
      <c r="H22" s="6"/>
      <c r="I22" s="6">
        <f>Table72[[#This Row],[Total Athletes]]-(LEN(Table72[[#This Row],[Team]])-LEN(SUBSTITUTE(Table72[[#This Row],[Team]],"/","")))-1</f>
        <v>-1</v>
      </c>
      <c r="J22" s="6"/>
    </row>
    <row r="23" spans="1:10" x14ac:dyDescent="0.3">
      <c r="A23" s="6" t="s">
        <v>4726</v>
      </c>
      <c r="B23" s="6" t="s">
        <v>328</v>
      </c>
      <c r="C23" s="6"/>
      <c r="D23" s="6">
        <v>6</v>
      </c>
      <c r="E23" s="6"/>
      <c r="F23" s="6"/>
      <c r="G23" s="6"/>
      <c r="H23" s="6"/>
      <c r="I23" s="6">
        <f>Table72[[#This Row],[Total Athletes]]-(LEN(Table72[[#This Row],[Team]])-LEN(SUBSTITUTE(Table72[[#This Row],[Team]],"/","")))-1</f>
        <v>1</v>
      </c>
      <c r="J23" s="6">
        <v>4</v>
      </c>
    </row>
    <row r="24" spans="1:10" x14ac:dyDescent="0.3">
      <c r="A24" s="6"/>
      <c r="B24" s="6" t="s">
        <v>444</v>
      </c>
      <c r="C24" s="6"/>
      <c r="D24" s="6">
        <v>-1</v>
      </c>
      <c r="E24" s="6"/>
      <c r="F24" s="6"/>
      <c r="G24" s="6"/>
      <c r="H24" s="6"/>
      <c r="I24" s="6">
        <f>Table72[[#This Row],[Total Athletes]]-(LEN(Table72[[#This Row],[Team]])-LEN(SUBSTITUTE(Table72[[#This Row],[Team]],"/","")))-1</f>
        <v>-1</v>
      </c>
      <c r="J24" s="6"/>
    </row>
    <row r="25" spans="1:10" x14ac:dyDescent="0.3">
      <c r="A25" s="6" t="s">
        <v>2379</v>
      </c>
      <c r="B25" s="6" t="s">
        <v>354</v>
      </c>
      <c r="C25" s="6"/>
      <c r="D25" s="6">
        <v>8</v>
      </c>
      <c r="E25" s="6"/>
      <c r="F25" s="6"/>
      <c r="G25" s="6"/>
      <c r="H25" s="6"/>
      <c r="I25" s="6">
        <f>Table72[[#This Row],[Total Athletes]]-(LEN(Table72[[#This Row],[Team]])-LEN(SUBSTITUTE(Table72[[#This Row],[Team]],"/","")))-1</f>
        <v>2</v>
      </c>
      <c r="J25" s="6">
        <v>4</v>
      </c>
    </row>
    <row r="26" spans="1:10" x14ac:dyDescent="0.3">
      <c r="A26" s="6" t="s">
        <v>4351</v>
      </c>
      <c r="B26" s="6" t="s">
        <v>348</v>
      </c>
      <c r="C26" s="6"/>
      <c r="D26" s="6">
        <v>7</v>
      </c>
      <c r="E26" s="6"/>
      <c r="F26" s="6"/>
      <c r="G26" s="6"/>
      <c r="H26" s="6"/>
      <c r="I26" s="6">
        <f>Table72[[#This Row],[Total Athletes]]-(LEN(Table72[[#This Row],[Team]])-LEN(SUBSTITUTE(Table72[[#This Row],[Team]],"/","")))-1</f>
        <v>3</v>
      </c>
      <c r="J26" s="6">
        <v>4</v>
      </c>
    </row>
    <row r="27" spans="1:10" x14ac:dyDescent="0.3">
      <c r="A27" s="6"/>
      <c r="B27" s="6" t="s">
        <v>334</v>
      </c>
      <c r="C27" s="6"/>
      <c r="D27" s="6">
        <v>-1</v>
      </c>
      <c r="E27" s="6"/>
      <c r="F27" s="6"/>
      <c r="G27" s="6"/>
      <c r="H27" s="6"/>
      <c r="I27" s="6">
        <f>Table72[[#This Row],[Total Athletes]]-(LEN(Table72[[#This Row],[Team]])-LEN(SUBSTITUTE(Table72[[#This Row],[Team]],"/","")))-1</f>
        <v>-1</v>
      </c>
      <c r="J27" s="6"/>
    </row>
    <row r="28" spans="1:10" x14ac:dyDescent="0.3">
      <c r="A28" s="6"/>
      <c r="B28" s="6" t="s">
        <v>412</v>
      </c>
      <c r="C28" s="6"/>
      <c r="D28" s="6"/>
      <c r="E28" s="6"/>
      <c r="F28" s="6">
        <v>-1</v>
      </c>
      <c r="G28" s="6"/>
      <c r="H28" s="6"/>
      <c r="I28" s="6">
        <f>Table72[[#This Row],[Total Athletes]]-(LEN(Table72[[#This Row],[Team]])-LEN(SUBSTITUTE(Table72[[#This Row],[Team]],"/","")))-1</f>
        <v>-1</v>
      </c>
      <c r="J28" s="6"/>
    </row>
    <row r="29" spans="1:10" x14ac:dyDescent="0.3">
      <c r="A29" s="6" t="s">
        <v>4698</v>
      </c>
      <c r="B29" s="6" t="s">
        <v>348</v>
      </c>
      <c r="C29" s="6"/>
      <c r="D29" s="6"/>
      <c r="E29" s="6"/>
      <c r="F29" s="6">
        <v>4</v>
      </c>
      <c r="G29" s="6"/>
      <c r="H29" s="6"/>
      <c r="I29" s="6">
        <f>Table72[[#This Row],[Total Athletes]]-(LEN(Table72[[#This Row],[Team]])-LEN(SUBSTITUTE(Table72[[#This Row],[Team]],"/","")))-1</f>
        <v>3</v>
      </c>
      <c r="J29" s="6">
        <v>4</v>
      </c>
    </row>
    <row r="30" spans="1:10" x14ac:dyDescent="0.3">
      <c r="A30" s="6" t="s">
        <v>1405</v>
      </c>
      <c r="B30" s="6" t="s">
        <v>402</v>
      </c>
      <c r="C30" s="6"/>
      <c r="D30" s="6"/>
      <c r="E30" s="6"/>
      <c r="F30" s="6">
        <v>2</v>
      </c>
      <c r="G30" s="6"/>
      <c r="H30" s="6"/>
      <c r="I30" s="6">
        <f>Table72[[#This Row],[Total Athletes]]-(LEN(Table72[[#This Row],[Team]])-LEN(SUBSTITUTE(Table72[[#This Row],[Team]],"/","")))-1</f>
        <v>3</v>
      </c>
      <c r="J30" s="6">
        <v>4</v>
      </c>
    </row>
    <row r="31" spans="1:10" x14ac:dyDescent="0.3">
      <c r="A31" s="6" t="s">
        <v>4332</v>
      </c>
      <c r="B31" s="6" t="s">
        <v>332</v>
      </c>
      <c r="C31" s="6"/>
      <c r="D31" s="6"/>
      <c r="E31" s="6"/>
      <c r="F31" s="6">
        <v>5</v>
      </c>
      <c r="G31" s="6"/>
      <c r="H31" s="6"/>
      <c r="I31" s="6">
        <f>Table72[[#This Row],[Total Athletes]]-(LEN(Table72[[#This Row],[Team]])-LEN(SUBSTITUTE(Table72[[#This Row],[Team]],"/","")))-1</f>
        <v>3</v>
      </c>
      <c r="J31" s="6">
        <v>4</v>
      </c>
    </row>
    <row r="32" spans="1:10" x14ac:dyDescent="0.3">
      <c r="A32" s="6" t="s">
        <v>3639</v>
      </c>
      <c r="B32" s="6" t="s">
        <v>354</v>
      </c>
      <c r="C32" s="6"/>
      <c r="D32" s="6"/>
      <c r="E32" s="6"/>
      <c r="F32" s="6">
        <v>9</v>
      </c>
      <c r="G32" s="6"/>
      <c r="H32" s="6"/>
      <c r="I32" s="6">
        <f>Table72[[#This Row],[Total Athletes]]-(LEN(Table72[[#This Row],[Team]])-LEN(SUBSTITUTE(Table72[[#This Row],[Team]],"/","")))-1</f>
        <v>2</v>
      </c>
      <c r="J32" s="6">
        <v>4</v>
      </c>
    </row>
    <row r="33" spans="1:10" x14ac:dyDescent="0.3">
      <c r="A33" s="6" t="s">
        <v>2736</v>
      </c>
      <c r="B33" s="6" t="s">
        <v>328</v>
      </c>
      <c r="C33" s="6"/>
      <c r="D33" s="6"/>
      <c r="E33" s="6"/>
      <c r="F33" s="6">
        <v>6</v>
      </c>
      <c r="G33" s="6"/>
      <c r="H33" s="6"/>
      <c r="I33" s="6">
        <f>Table72[[#This Row],[Total Athletes]]-(LEN(Table72[[#This Row],[Team]])-LEN(SUBSTITUTE(Table72[[#This Row],[Team]],"/","")))-1</f>
        <v>1</v>
      </c>
      <c r="J33" s="6">
        <v>4</v>
      </c>
    </row>
    <row r="34" spans="1:10" x14ac:dyDescent="0.3">
      <c r="A34" s="6" t="s">
        <v>4164</v>
      </c>
      <c r="B34" s="6" t="s">
        <v>474</v>
      </c>
      <c r="C34" s="6"/>
      <c r="D34" s="6"/>
      <c r="E34" s="6"/>
      <c r="F34" s="6">
        <v>3</v>
      </c>
      <c r="G34" s="6"/>
      <c r="H34" s="6"/>
      <c r="I34" s="6">
        <f>Table72[[#This Row],[Total Athletes]]-(LEN(Table72[[#This Row],[Team]])-LEN(SUBSTITUTE(Table72[[#This Row],[Team]],"/","")))-1</f>
        <v>2</v>
      </c>
      <c r="J34" s="6">
        <v>4</v>
      </c>
    </row>
    <row r="35" spans="1:10" x14ac:dyDescent="0.3">
      <c r="A35" s="6" t="s">
        <v>4699</v>
      </c>
      <c r="B35" s="6" t="s">
        <v>348</v>
      </c>
      <c r="C35" s="6"/>
      <c r="D35" s="6"/>
      <c r="E35" s="6"/>
      <c r="F35" s="6"/>
      <c r="G35" s="6"/>
      <c r="H35" s="6">
        <v>1</v>
      </c>
      <c r="I35" s="6">
        <f>Table72[[#This Row],[Total Athletes]]-(LEN(Table72[[#This Row],[Team]])-LEN(SUBSTITUTE(Table72[[#This Row],[Team]],"/","")))-1</f>
        <v>7</v>
      </c>
      <c r="J35" s="6">
        <v>9</v>
      </c>
    </row>
    <row r="36" spans="1:10" x14ac:dyDescent="0.3">
      <c r="A36" s="6" t="s">
        <v>4339</v>
      </c>
      <c r="B36" s="6" t="s">
        <v>332</v>
      </c>
      <c r="C36" s="6"/>
      <c r="D36" s="6"/>
      <c r="E36" s="6"/>
      <c r="F36" s="6"/>
      <c r="G36" s="6"/>
      <c r="H36" s="6">
        <v>5</v>
      </c>
      <c r="I36" s="6">
        <f>Table72[[#This Row],[Total Athletes]]-(LEN(Table72[[#This Row],[Team]])-LEN(SUBSTITUTE(Table72[[#This Row],[Team]],"/","")))-1</f>
        <v>6</v>
      </c>
      <c r="J36" s="6">
        <v>9</v>
      </c>
    </row>
    <row r="37" spans="1:10" x14ac:dyDescent="0.3">
      <c r="A37" s="6" t="s">
        <v>2448</v>
      </c>
      <c r="B37" s="6" t="s">
        <v>354</v>
      </c>
      <c r="C37" s="6"/>
      <c r="D37" s="6"/>
      <c r="E37" s="6"/>
      <c r="F37" s="6"/>
      <c r="G37" s="6"/>
      <c r="H37" s="6">
        <v>4</v>
      </c>
      <c r="I37" s="6">
        <f>Table72[[#This Row],[Total Athletes]]-(LEN(Table72[[#This Row],[Team]])-LEN(SUBSTITUTE(Table72[[#This Row],[Team]],"/","")))-1</f>
        <v>6</v>
      </c>
      <c r="J37" s="6">
        <v>9</v>
      </c>
    </row>
    <row r="38" spans="1:10" x14ac:dyDescent="0.3">
      <c r="A38" s="6" t="s">
        <v>4127</v>
      </c>
      <c r="B38" s="6" t="s">
        <v>402</v>
      </c>
      <c r="C38" s="6"/>
      <c r="D38" s="6"/>
      <c r="E38" s="6"/>
      <c r="F38" s="6"/>
      <c r="G38" s="6"/>
      <c r="H38" s="6">
        <v>3</v>
      </c>
      <c r="I38" s="6">
        <f>Table72[[#This Row],[Total Athletes]]-(LEN(Table72[[#This Row],[Team]])-LEN(SUBSTITUTE(Table72[[#This Row],[Team]],"/","")))-1</f>
        <v>4</v>
      </c>
      <c r="J38" s="6">
        <v>9</v>
      </c>
    </row>
    <row r="39" spans="1:10" x14ac:dyDescent="0.3">
      <c r="A39" s="6" t="s">
        <v>2586</v>
      </c>
      <c r="B39" s="6" t="s">
        <v>384</v>
      </c>
      <c r="C39" s="6"/>
      <c r="D39" s="6"/>
      <c r="E39" s="6"/>
      <c r="F39" s="6"/>
      <c r="G39" s="6"/>
      <c r="H39" s="6">
        <v>2</v>
      </c>
      <c r="I39" s="6">
        <f>Table72[[#This Row],[Total Athletes]]-(LEN(Table72[[#This Row],[Team]])-LEN(SUBSTITUTE(Table72[[#This Row],[Team]],"/","")))-1</f>
        <v>4</v>
      </c>
      <c r="J39" s="6">
        <v>9</v>
      </c>
    </row>
    <row r="40" spans="1:10" x14ac:dyDescent="0.3">
      <c r="A40" s="6" t="s">
        <v>5013</v>
      </c>
      <c r="B40" s="6" t="s">
        <v>364</v>
      </c>
      <c r="C40" s="6">
        <v>8</v>
      </c>
      <c r="D40" s="6"/>
      <c r="E40" s="6"/>
      <c r="F40" s="6"/>
      <c r="G40" s="6"/>
      <c r="H40" s="6"/>
      <c r="I40" s="6">
        <f>Table72[[#This Row],[Total Athletes]]-(LEN(Table72[[#This Row],[Team]])-LEN(SUBSTITUTE(Table72[[#This Row],[Team]],"/","")))-1</f>
        <v>2</v>
      </c>
      <c r="J40" s="6">
        <v>4</v>
      </c>
    </row>
    <row r="41" spans="1:10" x14ac:dyDescent="0.3">
      <c r="A41" s="6" t="s">
        <v>1239</v>
      </c>
      <c r="B41" s="6" t="s">
        <v>572</v>
      </c>
      <c r="C41" s="6">
        <v>7</v>
      </c>
      <c r="D41" s="6"/>
      <c r="E41" s="6"/>
      <c r="F41" s="6"/>
      <c r="G41" s="6"/>
      <c r="H41" s="6"/>
      <c r="I41" s="6">
        <f>Table72[[#This Row],[Total Athletes]]-(LEN(Table72[[#This Row],[Team]])-LEN(SUBSTITUTE(Table72[[#This Row],[Team]],"/","")))-1</f>
        <v>3</v>
      </c>
      <c r="J41" s="6">
        <v>4</v>
      </c>
    </row>
    <row r="42" spans="1:10" x14ac:dyDescent="0.3">
      <c r="A42" s="6" t="s">
        <v>4681</v>
      </c>
      <c r="B42" s="6" t="s">
        <v>356</v>
      </c>
      <c r="C42" s="6"/>
      <c r="D42" s="6"/>
      <c r="E42" s="6">
        <v>4</v>
      </c>
      <c r="F42" s="6"/>
      <c r="G42" s="6"/>
      <c r="H42" s="6"/>
      <c r="I42" s="6">
        <f>Table72[[#This Row],[Total Athletes]]-(LEN(Table72[[#This Row],[Team]])-LEN(SUBSTITUTE(Table72[[#This Row],[Team]],"/","")))-1</f>
        <v>2</v>
      </c>
      <c r="J42" s="6">
        <v>4</v>
      </c>
    </row>
    <row r="43" spans="1:10" x14ac:dyDescent="0.3">
      <c r="A43" s="6"/>
      <c r="B43" s="6" t="s">
        <v>444</v>
      </c>
      <c r="C43" s="6"/>
      <c r="D43" s="6"/>
      <c r="E43" s="6">
        <v>-1</v>
      </c>
      <c r="F43" s="6"/>
      <c r="G43" s="6"/>
      <c r="H43" s="6"/>
      <c r="I43" s="6">
        <f>Table72[[#This Row],[Total Athletes]]-(LEN(Table72[[#This Row],[Team]])-LEN(SUBSTITUTE(Table72[[#This Row],[Team]],"/","")))-1</f>
        <v>-1</v>
      </c>
      <c r="J43" s="6"/>
    </row>
    <row r="44" spans="1:10" x14ac:dyDescent="0.3">
      <c r="A44" s="6" t="s">
        <v>4323</v>
      </c>
      <c r="B44" s="6" t="s">
        <v>332</v>
      </c>
      <c r="C44" s="6"/>
      <c r="D44" s="6"/>
      <c r="E44" s="6"/>
      <c r="F44" s="6"/>
      <c r="G44" s="6">
        <v>3</v>
      </c>
      <c r="H44" s="6"/>
      <c r="I44" s="6">
        <f>Table72[[#This Row],[Total Athletes]]-(LEN(Table72[[#This Row],[Team]])-LEN(SUBSTITUTE(Table72[[#This Row],[Team]],"/","")))-1</f>
        <v>7</v>
      </c>
      <c r="J44" s="6">
        <v>9</v>
      </c>
    </row>
    <row r="45" spans="1:10" x14ac:dyDescent="0.3">
      <c r="A45" s="6" t="s">
        <v>4623</v>
      </c>
      <c r="B45" s="6" t="s">
        <v>356</v>
      </c>
      <c r="C45" s="6"/>
      <c r="D45" s="6"/>
      <c r="E45" s="6"/>
      <c r="F45" s="6"/>
      <c r="G45" s="6">
        <v>7</v>
      </c>
      <c r="H45" s="6"/>
      <c r="I45" s="6">
        <f>Table72[[#This Row],[Total Athletes]]-(LEN(Table72[[#This Row],[Team]])-LEN(SUBSTITUTE(Table72[[#This Row],[Team]],"/","")))-1</f>
        <v>7</v>
      </c>
      <c r="J45" s="6">
        <v>9</v>
      </c>
    </row>
    <row r="46" spans="1:10" x14ac:dyDescent="0.3">
      <c r="A46" s="6"/>
      <c r="B46" s="6" t="s">
        <v>332</v>
      </c>
      <c r="C46" s="6"/>
      <c r="D46" s="6">
        <v>-1</v>
      </c>
      <c r="E46" s="6"/>
      <c r="F46" s="6"/>
      <c r="G46" s="6"/>
      <c r="H46" s="6"/>
      <c r="I46" s="6">
        <f>Table72[[#This Row],[Total Athletes]]-(LEN(Table72[[#This Row],[Team]])-LEN(SUBSTITUTE(Table72[[#This Row],[Team]],"/","")))-1</f>
        <v>-1</v>
      </c>
      <c r="J46" s="6"/>
    </row>
    <row r="47" spans="1:10" x14ac:dyDescent="0.3">
      <c r="A47" s="6" t="s">
        <v>2485</v>
      </c>
      <c r="B47" s="6" t="s">
        <v>726</v>
      </c>
      <c r="C47" s="6"/>
      <c r="D47" s="6">
        <v>5</v>
      </c>
      <c r="E47" s="6"/>
      <c r="F47" s="6"/>
      <c r="G47" s="6"/>
      <c r="H47" s="6"/>
      <c r="I47" s="6">
        <f>Table72[[#This Row],[Total Athletes]]-(LEN(Table72[[#This Row],[Team]])-LEN(SUBSTITUTE(Table72[[#This Row],[Team]],"/","")))-1</f>
        <v>2</v>
      </c>
      <c r="J47" s="6">
        <v>4</v>
      </c>
    </row>
    <row r="48" spans="1:10" x14ac:dyDescent="0.3">
      <c r="A48" s="6" t="s">
        <v>3572</v>
      </c>
      <c r="B48" s="6" t="s">
        <v>596</v>
      </c>
      <c r="C48" s="6"/>
      <c r="D48" s="6"/>
      <c r="E48" s="6"/>
      <c r="F48" s="6">
        <v>7</v>
      </c>
      <c r="G48" s="6"/>
      <c r="H48" s="6"/>
      <c r="I48" s="6">
        <f>Table72[[#This Row],[Total Athletes]]-(LEN(Table72[[#This Row],[Team]])-LEN(SUBSTITUTE(Table72[[#This Row],[Team]],"/","")))-1</f>
        <v>2</v>
      </c>
      <c r="J48" s="6">
        <v>4</v>
      </c>
    </row>
    <row r="49" spans="1:10" x14ac:dyDescent="0.3">
      <c r="A49" s="6"/>
      <c r="B49" s="6" t="s">
        <v>414</v>
      </c>
      <c r="C49" s="6"/>
      <c r="D49" s="6"/>
      <c r="E49" s="6"/>
      <c r="F49" s="6">
        <v>-1</v>
      </c>
      <c r="G49" s="6"/>
      <c r="H49" s="6"/>
      <c r="I49" s="6">
        <f>Table72[[#This Row],[Total Athletes]]-(LEN(Table72[[#This Row],[Team]])-LEN(SUBSTITUTE(Table72[[#This Row],[Team]],"/","")))-1</f>
        <v>-1</v>
      </c>
      <c r="J49" s="6"/>
    </row>
    <row r="50" spans="1:10" x14ac:dyDescent="0.3">
      <c r="A50" s="6" t="s">
        <v>4961</v>
      </c>
      <c r="B50" s="6" t="s">
        <v>356</v>
      </c>
      <c r="C50" s="6"/>
      <c r="D50" s="6"/>
      <c r="E50" s="6"/>
      <c r="F50" s="6"/>
      <c r="G50" s="6"/>
      <c r="H50" s="6">
        <v>6</v>
      </c>
      <c r="I50" s="6">
        <f>Table72[[#This Row],[Total Athletes]]-(LEN(Table72[[#This Row],[Team]])-LEN(SUBSTITUTE(Table72[[#This Row],[Team]],"/","")))-1</f>
        <v>5</v>
      </c>
      <c r="J50" s="6">
        <v>9</v>
      </c>
    </row>
    <row r="51" spans="1:10" x14ac:dyDescent="0.3">
      <c r="A51" s="6" t="s">
        <v>2229</v>
      </c>
      <c r="B51" s="6" t="s">
        <v>414</v>
      </c>
      <c r="C51" s="6"/>
      <c r="D51" s="6"/>
      <c r="E51" s="6"/>
      <c r="F51" s="6"/>
      <c r="G51" s="6"/>
      <c r="H51" s="6">
        <v>7</v>
      </c>
      <c r="I51" s="6">
        <f>Table72[[#This Row],[Total Athletes]]-(LEN(Table72[[#This Row],[Team]])-LEN(SUBSTITUTE(Table72[[#This Row],[Team]],"/","")))-1</f>
        <v>7</v>
      </c>
      <c r="J51" s="6">
        <v>9</v>
      </c>
    </row>
  </sheetData>
  <pageMargins left="0.7" right="0.7" top="0.75" bottom="0.75" header="0.3" footer="0.3"/>
  <tableParts count="1">
    <tablePart r:id="rId1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0C3C1-5151-4222-95C8-EE8C6DC7E045}">
  <dimension ref="A1:G25"/>
  <sheetViews>
    <sheetView topLeftCell="B16" workbookViewId="0">
      <selection activeCell="C26" sqref="C26"/>
    </sheetView>
  </sheetViews>
  <sheetFormatPr defaultRowHeight="14.4" x14ac:dyDescent="0.3"/>
  <cols>
    <col min="1" max="1" width="148" bestFit="1" customWidth="1"/>
    <col min="2" max="2" width="93.33203125" bestFit="1" customWidth="1"/>
    <col min="3" max="3" width="12.21875" bestFit="1" customWidth="1"/>
    <col min="4" max="4" width="19.88671875" bestFit="1" customWidth="1"/>
    <col min="5" max="5" width="22.5546875" bestFit="1" customWidth="1"/>
    <col min="6" max="6" width="17" bestFit="1" customWidth="1"/>
    <col min="7" max="7" width="14.77734375" bestFit="1" customWidth="1"/>
  </cols>
  <sheetData>
    <row r="1" spans="1:7" x14ac:dyDescent="0.3">
      <c r="A1" t="s">
        <v>1049</v>
      </c>
      <c r="B1" t="s">
        <v>836</v>
      </c>
      <c r="C1" t="s">
        <v>1</v>
      </c>
      <c r="D1" t="s">
        <v>900</v>
      </c>
      <c r="E1" t="s">
        <v>901</v>
      </c>
      <c r="F1" t="s">
        <v>1212</v>
      </c>
      <c r="G1" t="s">
        <v>1213</v>
      </c>
    </row>
    <row r="2" spans="1:7" x14ac:dyDescent="0.3">
      <c r="A2" s="6" t="s">
        <v>4589</v>
      </c>
      <c r="B2" s="6" t="s">
        <v>5061</v>
      </c>
      <c r="C2" s="6" t="s">
        <v>344</v>
      </c>
      <c r="D2" s="6">
        <v>1</v>
      </c>
      <c r="E2" s="6"/>
      <c r="F2" s="6">
        <f>Table91949698[[#This Row],[Total Athletes]]-(LEN(Table91949698[[#This Row],[Backs]])-LEN(SUBSTITUTE(Table91949698[[#This Row],[Backs]],"/","")))-(LEN(Table91949698[[#This Row],[Forwards]])-LEN(SUBSTITUTE(Table91949698[[#This Row],[Forwards]],"/","")))-2</f>
        <v>7</v>
      </c>
      <c r="G2" s="6">
        <v>13</v>
      </c>
    </row>
    <row r="3" spans="1:7" x14ac:dyDescent="0.3">
      <c r="A3" s="6"/>
      <c r="B3" s="6" t="s">
        <v>2703</v>
      </c>
      <c r="C3" s="6" t="s">
        <v>344</v>
      </c>
      <c r="D3" s="6"/>
      <c r="E3" s="6">
        <v>5</v>
      </c>
      <c r="F3" s="6">
        <f>Table91949698[[#This Row],[Total Athletes]]-(LEN(Table91949698[[#This Row],[Backs]])-LEN(SUBSTITUTE(Table91949698[[#This Row],[Backs]],"/","")))-(LEN(Table91949698[[#This Row],[Forwards]])-LEN(SUBSTITUTE(Table91949698[[#This Row],[Forwards]],"/","")))-2</f>
        <v>9</v>
      </c>
      <c r="G3" s="6">
        <v>12</v>
      </c>
    </row>
    <row r="4" spans="1:7" x14ac:dyDescent="0.3">
      <c r="A4" s="6"/>
      <c r="B4" s="6"/>
      <c r="C4" s="6" t="s">
        <v>474</v>
      </c>
      <c r="D4" s="6">
        <v>-1</v>
      </c>
      <c r="E4" s="6"/>
      <c r="F4" s="6">
        <f>Table91949698[[#This Row],[Total Athletes]]-(LEN(Table91949698[[#This Row],[Backs]])-LEN(SUBSTITUTE(Table91949698[[#This Row],[Backs]],"/","")))-(LEN(Table91949698[[#This Row],[Forwards]])-LEN(SUBSTITUTE(Table91949698[[#This Row],[Forwards]],"/","")))-2</f>
        <v>-2</v>
      </c>
      <c r="G4" s="6"/>
    </row>
    <row r="5" spans="1:7" x14ac:dyDescent="0.3">
      <c r="A5" s="6" t="s">
        <v>3836</v>
      </c>
      <c r="B5" s="6" t="s">
        <v>2314</v>
      </c>
      <c r="C5" s="6" t="s">
        <v>340</v>
      </c>
      <c r="D5" s="6">
        <v>7</v>
      </c>
      <c r="E5" s="6"/>
      <c r="F5" s="6">
        <f>Table91949698[[#This Row],[Total Athletes]]-(LEN(Table91949698[[#This Row],[Backs]])-LEN(SUBSTITUTE(Table91949698[[#This Row],[Backs]],"/","")))-(LEN(Table91949698[[#This Row],[Forwards]])-LEN(SUBSTITUTE(Table91949698[[#This Row],[Forwards]],"/","")))-2</f>
        <v>9</v>
      </c>
      <c r="G5" s="6">
        <v>14</v>
      </c>
    </row>
    <row r="6" spans="1:7" x14ac:dyDescent="0.3">
      <c r="A6" s="6" t="s">
        <v>3355</v>
      </c>
      <c r="B6" s="6" t="s">
        <v>3354</v>
      </c>
      <c r="C6" s="6" t="s">
        <v>420</v>
      </c>
      <c r="D6" s="6">
        <v>2</v>
      </c>
      <c r="E6" s="6"/>
      <c r="F6" s="6">
        <f>Table91949698[[#This Row],[Total Athletes]]-(LEN(Table91949698[[#This Row],[Backs]])-LEN(SUBSTITUTE(Table91949698[[#This Row],[Backs]],"/","")))-(LEN(Table91949698[[#This Row],[Forwards]])-LEN(SUBSTITUTE(Table91949698[[#This Row],[Forwards]],"/","")))-2</f>
        <v>9</v>
      </c>
      <c r="G6" s="6">
        <v>14</v>
      </c>
    </row>
    <row r="7" spans="1:7" x14ac:dyDescent="0.3">
      <c r="A7" s="6" t="s">
        <v>2460</v>
      </c>
      <c r="B7" s="6" t="s">
        <v>2433</v>
      </c>
      <c r="C7" s="6" t="s">
        <v>354</v>
      </c>
      <c r="D7" s="6">
        <v>4</v>
      </c>
      <c r="E7" s="6"/>
      <c r="F7" s="6">
        <f>Table91949698[[#This Row],[Total Athletes]]-(LEN(Table91949698[[#This Row],[Backs]])-LEN(SUBSTITUTE(Table91949698[[#This Row],[Backs]],"/","")))-(LEN(Table91949698[[#This Row],[Forwards]])-LEN(SUBSTITUTE(Table91949698[[#This Row],[Forwards]],"/","")))-2</f>
        <v>2</v>
      </c>
      <c r="G7" s="6">
        <v>12</v>
      </c>
    </row>
    <row r="8" spans="1:7" x14ac:dyDescent="0.3">
      <c r="A8" s="6" t="s">
        <v>2855</v>
      </c>
      <c r="B8" s="6" t="s">
        <v>2439</v>
      </c>
      <c r="C8" s="6" t="s">
        <v>474</v>
      </c>
      <c r="D8" s="6"/>
      <c r="E8" s="6">
        <v>1</v>
      </c>
      <c r="F8" s="6">
        <f>Table91949698[[#This Row],[Total Athletes]]-(LEN(Table91949698[[#This Row],[Backs]])-LEN(SUBSTITUTE(Table91949698[[#This Row],[Backs]],"/","")))-(LEN(Table91949698[[#This Row],[Forwards]])-LEN(SUBSTITUTE(Table91949698[[#This Row],[Forwards]],"/","")))-2</f>
        <v>10</v>
      </c>
      <c r="G8" s="6">
        <v>12</v>
      </c>
    </row>
    <row r="9" spans="1:7" x14ac:dyDescent="0.3">
      <c r="A9" s="6" t="s">
        <v>2459</v>
      </c>
      <c r="B9" s="6" t="s">
        <v>2469</v>
      </c>
      <c r="C9" s="6" t="s">
        <v>354</v>
      </c>
      <c r="D9" s="6"/>
      <c r="E9" s="6">
        <v>4</v>
      </c>
      <c r="F9" s="6">
        <f>Table91949698[[#This Row],[Total Athletes]]-(LEN(Table91949698[[#This Row],[Backs]])-LEN(SUBSTITUTE(Table91949698[[#This Row],[Backs]],"/","")))-(LEN(Table91949698[[#This Row],[Forwards]])-LEN(SUBSTITUTE(Table91949698[[#This Row],[Forwards]],"/","")))-2</f>
        <v>5</v>
      </c>
      <c r="G9" s="6">
        <v>13</v>
      </c>
    </row>
    <row r="10" spans="1:7" x14ac:dyDescent="0.3">
      <c r="A10" s="6" t="s">
        <v>4529</v>
      </c>
      <c r="B10" s="6" t="s">
        <v>4326</v>
      </c>
      <c r="C10" s="6" t="s">
        <v>332</v>
      </c>
      <c r="D10" s="6"/>
      <c r="E10" s="6">
        <v>3</v>
      </c>
      <c r="F10" s="6">
        <f>Table91949698[[#This Row],[Total Athletes]]-(LEN(Table91949698[[#This Row],[Backs]])-LEN(SUBSTITUTE(Table91949698[[#This Row],[Backs]],"/","")))-(LEN(Table91949698[[#This Row],[Forwards]])-LEN(SUBSTITUTE(Table91949698[[#This Row],[Forwards]],"/","")))-2</f>
        <v>7</v>
      </c>
      <c r="G10" s="6">
        <v>12</v>
      </c>
    </row>
    <row r="11" spans="1:7" x14ac:dyDescent="0.3">
      <c r="A11" s="6" t="s">
        <v>3851</v>
      </c>
      <c r="B11" s="6" t="s">
        <v>2714</v>
      </c>
      <c r="C11" s="6" t="s">
        <v>596</v>
      </c>
      <c r="D11" s="6"/>
      <c r="E11" s="6">
        <v>8</v>
      </c>
      <c r="F11" s="6">
        <f>Table91949698[[#This Row],[Total Athletes]]-(LEN(Table91949698[[#This Row],[Backs]])-LEN(SUBSTITUTE(Table91949698[[#This Row],[Backs]],"/","")))-(LEN(Table91949698[[#This Row],[Forwards]])-LEN(SUBSTITUTE(Table91949698[[#This Row],[Forwards]],"/","")))-2</f>
        <v>5</v>
      </c>
      <c r="G11" s="6">
        <v>14</v>
      </c>
    </row>
    <row r="12" spans="1:7" x14ac:dyDescent="0.3">
      <c r="A12" s="6" t="s">
        <v>1363</v>
      </c>
      <c r="B12" s="6" t="s">
        <v>1361</v>
      </c>
      <c r="C12" s="6" t="s">
        <v>410</v>
      </c>
      <c r="D12" s="6">
        <v>11</v>
      </c>
      <c r="E12" s="6"/>
      <c r="F12" s="6">
        <f>Table91949698[[#This Row],[Total Athletes]]-(LEN(Table91949698[[#This Row],[Backs]])-LEN(SUBSTITUTE(Table91949698[[#This Row],[Backs]],"/","")))-(LEN(Table91949698[[#This Row],[Forwards]])-LEN(SUBSTITUTE(Table91949698[[#This Row],[Forwards]],"/","")))-2</f>
        <v>10</v>
      </c>
      <c r="G12" s="6">
        <v>14</v>
      </c>
    </row>
    <row r="13" spans="1:7" x14ac:dyDescent="0.3">
      <c r="A13" s="6" t="s">
        <v>4110</v>
      </c>
      <c r="B13" s="6" t="s">
        <v>3102</v>
      </c>
      <c r="C13" s="6" t="s">
        <v>336</v>
      </c>
      <c r="D13" s="6"/>
      <c r="E13" s="6">
        <v>10</v>
      </c>
      <c r="F13" s="6">
        <f>Table91949698[[#This Row],[Total Athletes]]-(LEN(Table91949698[[#This Row],[Backs]])-LEN(SUBSTITUTE(Table91949698[[#This Row],[Backs]],"/","")))-(LEN(Table91949698[[#This Row],[Forwards]])-LEN(SUBSTITUTE(Table91949698[[#This Row],[Forwards]],"/","")))-2</f>
        <v>7</v>
      </c>
      <c r="G13" s="6">
        <v>14</v>
      </c>
    </row>
    <row r="14" spans="1:7" x14ac:dyDescent="0.3">
      <c r="A14" s="6" t="s">
        <v>1640</v>
      </c>
      <c r="B14" s="6" t="s">
        <v>3481</v>
      </c>
      <c r="C14" s="6" t="s">
        <v>596</v>
      </c>
      <c r="D14" s="6">
        <v>6</v>
      </c>
      <c r="E14" s="6"/>
      <c r="F14" s="6">
        <f>Table91949698[[#This Row],[Total Athletes]]-(LEN(Table91949698[[#This Row],[Backs]])-LEN(SUBSTITUTE(Table91949698[[#This Row],[Backs]],"/","")))-(LEN(Table91949698[[#This Row],[Forwards]])-LEN(SUBSTITUTE(Table91949698[[#This Row],[Forwards]],"/","")))-2</f>
        <v>7</v>
      </c>
      <c r="G14" s="6">
        <v>14</v>
      </c>
    </row>
    <row r="15" spans="1:7" x14ac:dyDescent="0.3">
      <c r="A15" s="6" t="s">
        <v>4891</v>
      </c>
      <c r="B15" s="6" t="s">
        <v>4375</v>
      </c>
      <c r="C15" s="6" t="s">
        <v>402</v>
      </c>
      <c r="D15" s="6"/>
      <c r="E15" s="6">
        <v>7</v>
      </c>
      <c r="F15" s="6">
        <f>Table91949698[[#This Row],[Total Athletes]]-(LEN(Table91949698[[#This Row],[Backs]])-LEN(SUBSTITUTE(Table91949698[[#This Row],[Backs]],"/","")))-(LEN(Table91949698[[#This Row],[Forwards]])-LEN(SUBSTITUTE(Table91949698[[#This Row],[Forwards]],"/","")))-2</f>
        <v>6</v>
      </c>
      <c r="G15" s="6">
        <v>14</v>
      </c>
    </row>
    <row r="16" spans="1:7" x14ac:dyDescent="0.3">
      <c r="A16" s="6" t="s">
        <v>2080</v>
      </c>
      <c r="B16" s="6" t="s">
        <v>2075</v>
      </c>
      <c r="C16" s="6" t="s">
        <v>332</v>
      </c>
      <c r="D16" s="6">
        <v>8</v>
      </c>
      <c r="E16" s="6"/>
      <c r="F16" s="6">
        <f>Table91949698[[#This Row],[Total Athletes]]-(LEN(Table91949698[[#This Row],[Backs]])-LEN(SUBSTITUTE(Table91949698[[#This Row],[Backs]],"/","")))-(LEN(Table91949698[[#This Row],[Forwards]])-LEN(SUBSTITUTE(Table91949698[[#This Row],[Forwards]],"/","")))-2</f>
        <v>7</v>
      </c>
      <c r="G16" s="6">
        <v>14</v>
      </c>
    </row>
    <row r="17" spans="1:7" x14ac:dyDescent="0.3">
      <c r="A17" s="6" t="s">
        <v>2584</v>
      </c>
      <c r="B17" s="6" t="s">
        <v>4167</v>
      </c>
      <c r="C17" s="6" t="s">
        <v>384</v>
      </c>
      <c r="D17" s="6"/>
      <c r="E17" s="6">
        <v>2</v>
      </c>
      <c r="F17" s="6">
        <f>Table91949698[[#This Row],[Total Athletes]]-(LEN(Table91949698[[#This Row],[Backs]])-LEN(SUBSTITUTE(Table91949698[[#This Row],[Backs]],"/","")))-(LEN(Table91949698[[#This Row],[Forwards]])-LEN(SUBSTITUTE(Table91949698[[#This Row],[Forwards]],"/","")))-2</f>
        <v>6</v>
      </c>
      <c r="G17" s="6">
        <v>14</v>
      </c>
    </row>
    <row r="18" spans="1:7" x14ac:dyDescent="0.3">
      <c r="A18" s="6"/>
      <c r="B18" s="6"/>
      <c r="C18" s="6" t="s">
        <v>436</v>
      </c>
      <c r="D18" s="6">
        <v>-1</v>
      </c>
      <c r="E18" s="6"/>
      <c r="F18" s="6">
        <f>Table91949698[[#This Row],[Total Athletes]]-(LEN(Table91949698[[#This Row],[Backs]])-LEN(SUBSTITUTE(Table91949698[[#This Row],[Backs]],"/","")))-(LEN(Table91949698[[#This Row],[Forwards]])-LEN(SUBSTITUTE(Table91949698[[#This Row],[Forwards]],"/","")))-2</f>
        <v>-2</v>
      </c>
      <c r="G18" s="6"/>
    </row>
    <row r="19" spans="1:7" x14ac:dyDescent="0.3">
      <c r="A19" s="6"/>
      <c r="B19" s="6"/>
      <c r="C19" s="6" t="s">
        <v>422</v>
      </c>
      <c r="D19" s="6"/>
      <c r="E19" s="6">
        <v>-1</v>
      </c>
      <c r="F19" s="6">
        <f>Table91949698[[#This Row],[Total Athletes]]-(LEN(Table91949698[[#This Row],[Backs]])-LEN(SUBSTITUTE(Table91949698[[#This Row],[Backs]],"/","")))-(LEN(Table91949698[[#This Row],[Forwards]])-LEN(SUBSTITUTE(Table91949698[[#This Row],[Forwards]],"/","")))-2</f>
        <v>-2</v>
      </c>
      <c r="G19" s="6"/>
    </row>
    <row r="20" spans="1:7" x14ac:dyDescent="0.3">
      <c r="A20" s="6" t="s">
        <v>1778</v>
      </c>
      <c r="B20" s="6"/>
      <c r="C20" s="6" t="s">
        <v>682</v>
      </c>
      <c r="D20" s="6">
        <v>10</v>
      </c>
      <c r="E20" s="6"/>
      <c r="F20" s="6">
        <f>Table91949698[[#This Row],[Total Athletes]]-(LEN(Table91949698[[#This Row],[Backs]])-LEN(SUBSTITUTE(Table91949698[[#This Row],[Backs]],"/","")))-(LEN(Table91949698[[#This Row],[Forwards]])-LEN(SUBSTITUTE(Table91949698[[#This Row],[Forwards]],"/","")))-2</f>
        <v>10</v>
      </c>
      <c r="G20" s="6">
        <v>12</v>
      </c>
    </row>
    <row r="21" spans="1:7" x14ac:dyDescent="0.3">
      <c r="A21" s="6" t="s">
        <v>2668</v>
      </c>
      <c r="B21" s="6" t="s">
        <v>2667</v>
      </c>
      <c r="C21" s="6" t="s">
        <v>420</v>
      </c>
      <c r="D21" s="6"/>
      <c r="E21" s="6">
        <v>12</v>
      </c>
      <c r="F21" s="6">
        <f>Table91949698[[#This Row],[Total Athletes]]-(LEN(Table91949698[[#This Row],[Backs]])-LEN(SUBSTITUTE(Table91949698[[#This Row],[Backs]],"/","")))-(LEN(Table91949698[[#This Row],[Forwards]])-LEN(SUBSTITUTE(Table91949698[[#This Row],[Forwards]],"/","")))-2</f>
        <v>9</v>
      </c>
      <c r="G21" s="6">
        <v>13</v>
      </c>
    </row>
    <row r="22" spans="1:7" x14ac:dyDescent="0.3">
      <c r="A22" s="6" t="s">
        <v>4067</v>
      </c>
      <c r="B22" s="6" t="s">
        <v>4056</v>
      </c>
      <c r="C22" s="6" t="s">
        <v>428</v>
      </c>
      <c r="D22" s="6">
        <v>12</v>
      </c>
      <c r="E22" s="6"/>
      <c r="F22" s="6">
        <f>Table91949698[[#This Row],[Total Athletes]]-(LEN(Table91949698[[#This Row],[Backs]])-LEN(SUBSTITUTE(Table91949698[[#This Row],[Backs]],"/","")))-(LEN(Table91949698[[#This Row],[Forwards]])-LEN(SUBSTITUTE(Table91949698[[#This Row],[Forwards]],"/","")))-2</f>
        <v>7</v>
      </c>
      <c r="G22" s="6">
        <v>14</v>
      </c>
    </row>
    <row r="23" spans="1:7" x14ac:dyDescent="0.3">
      <c r="A23" s="6" t="s">
        <v>4044</v>
      </c>
      <c r="B23" s="6" t="s">
        <v>4072</v>
      </c>
      <c r="C23" s="6" t="s">
        <v>428</v>
      </c>
      <c r="D23" s="6"/>
      <c r="E23" s="6">
        <v>9</v>
      </c>
      <c r="F23" s="6">
        <f>Table91949698[[#This Row],[Total Athletes]]-(LEN(Table91949698[[#This Row],[Backs]])-LEN(SUBSTITUTE(Table91949698[[#This Row],[Backs]],"/","")))-(LEN(Table91949698[[#This Row],[Forwards]])-LEN(SUBSTITUTE(Table91949698[[#This Row],[Forwards]],"/","")))-2</f>
        <v>7</v>
      </c>
      <c r="G23" s="6">
        <v>13</v>
      </c>
    </row>
    <row r="24" spans="1:7" x14ac:dyDescent="0.3">
      <c r="A24" s="6"/>
      <c r="B24" s="6"/>
      <c r="C24" s="6" t="s">
        <v>422</v>
      </c>
      <c r="D24" s="6">
        <v>-1</v>
      </c>
      <c r="E24" s="6"/>
      <c r="F24" s="6">
        <f>Table91949698[[#This Row],[Total Athletes]]-(LEN(Table91949698[[#This Row],[Backs]])-LEN(SUBSTITUTE(Table91949698[[#This Row],[Backs]],"/","")))-(LEN(Table91949698[[#This Row],[Forwards]])-LEN(SUBSTITUTE(Table91949698[[#This Row],[Forwards]],"/","")))-2</f>
        <v>-2</v>
      </c>
      <c r="G24" s="6"/>
    </row>
    <row r="25" spans="1:7" x14ac:dyDescent="0.3">
      <c r="A25" s="6"/>
      <c r="B25" s="6" t="s">
        <v>4473</v>
      </c>
      <c r="C25" s="6" t="s">
        <v>328</v>
      </c>
      <c r="D25" s="6"/>
      <c r="E25" s="6">
        <v>6</v>
      </c>
      <c r="F25" s="6">
        <f>Table91949698[[#This Row],[Total Athletes]]-(LEN(Table91949698[[#This Row],[Backs]])-LEN(SUBSTITUTE(Table91949698[[#This Row],[Backs]],"/","")))-(LEN(Table91949698[[#This Row],[Forwards]])-LEN(SUBSTITUTE(Table91949698[[#This Row],[Forwards]],"/","")))-2</f>
        <v>12</v>
      </c>
      <c r="G25" s="6">
        <v>14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805E8-5745-440E-9315-4C5F6979AA9E}">
  <dimension ref="A1:E88"/>
  <sheetViews>
    <sheetView topLeftCell="A82" workbookViewId="0">
      <selection activeCell="B89" sqref="B89"/>
    </sheetView>
  </sheetViews>
  <sheetFormatPr defaultRowHeight="14.4" x14ac:dyDescent="0.3"/>
  <cols>
    <col min="1" max="1" width="26.77734375" bestFit="1" customWidth="1"/>
    <col min="2" max="2" width="19" bestFit="1" customWidth="1"/>
    <col min="3" max="3" width="25.44140625" bestFit="1" customWidth="1"/>
    <col min="4" max="4" width="20" bestFit="1" customWidth="1"/>
    <col min="5" max="5" width="19.5546875" bestFit="1" customWidth="1"/>
  </cols>
  <sheetData>
    <row r="1" spans="1:5" x14ac:dyDescent="0.3">
      <c r="A1" t="s">
        <v>832</v>
      </c>
      <c r="B1" t="s">
        <v>1</v>
      </c>
      <c r="C1" t="s">
        <v>918</v>
      </c>
      <c r="D1" t="s">
        <v>919</v>
      </c>
      <c r="E1" t="s">
        <v>920</v>
      </c>
    </row>
    <row r="2" spans="1:5" x14ac:dyDescent="0.3">
      <c r="A2" s="6" t="s">
        <v>4868</v>
      </c>
      <c r="B2" s="6" t="s">
        <v>344</v>
      </c>
      <c r="C2" s="6">
        <v>6</v>
      </c>
      <c r="D2" s="6"/>
      <c r="E2" s="6"/>
    </row>
    <row r="3" spans="1:5" x14ac:dyDescent="0.3">
      <c r="A3" s="6" t="s">
        <v>4861</v>
      </c>
      <c r="B3" s="6" t="s">
        <v>344</v>
      </c>
      <c r="C3" s="6"/>
      <c r="D3" s="6">
        <v>12</v>
      </c>
      <c r="E3" s="6"/>
    </row>
    <row r="4" spans="1:5" x14ac:dyDescent="0.3">
      <c r="A4" s="6"/>
      <c r="B4" s="6" t="s">
        <v>344</v>
      </c>
      <c r="C4" s="6"/>
      <c r="D4" s="6"/>
      <c r="E4" s="6">
        <v>-1</v>
      </c>
    </row>
    <row r="5" spans="1:5" x14ac:dyDescent="0.3">
      <c r="A5" s="6"/>
      <c r="B5" s="6" t="s">
        <v>412</v>
      </c>
      <c r="C5" s="6"/>
      <c r="D5" s="6"/>
      <c r="E5" s="6">
        <v>-1</v>
      </c>
    </row>
    <row r="6" spans="1:5" x14ac:dyDescent="0.3">
      <c r="A6" s="6"/>
      <c r="B6" s="6" t="s">
        <v>334</v>
      </c>
      <c r="C6" s="6"/>
      <c r="D6" s="6"/>
      <c r="E6" s="6">
        <v>-1</v>
      </c>
    </row>
    <row r="7" spans="1:5" x14ac:dyDescent="0.3">
      <c r="A7" s="6"/>
      <c r="B7" s="6" t="s">
        <v>356</v>
      </c>
      <c r="C7" s="6"/>
      <c r="D7" s="6"/>
      <c r="E7" s="6">
        <v>-1</v>
      </c>
    </row>
    <row r="8" spans="1:5" x14ac:dyDescent="0.3">
      <c r="A8" s="6"/>
      <c r="B8" s="6" t="s">
        <v>402</v>
      </c>
      <c r="C8" s="6"/>
      <c r="D8" s="6"/>
      <c r="E8" s="6">
        <v>-1</v>
      </c>
    </row>
    <row r="9" spans="1:5" x14ac:dyDescent="0.3">
      <c r="A9" s="6" t="s">
        <v>4220</v>
      </c>
      <c r="B9" s="6" t="s">
        <v>598</v>
      </c>
      <c r="C9" s="6"/>
      <c r="D9" s="6"/>
      <c r="E9" s="6">
        <v>1</v>
      </c>
    </row>
    <row r="10" spans="1:5" x14ac:dyDescent="0.3">
      <c r="A10" s="6"/>
      <c r="B10" s="6" t="s">
        <v>474</v>
      </c>
      <c r="C10" s="6"/>
      <c r="D10" s="6"/>
      <c r="E10" s="6">
        <v>-1</v>
      </c>
    </row>
    <row r="11" spans="1:5" x14ac:dyDescent="0.3">
      <c r="A11" s="6" t="s">
        <v>2423</v>
      </c>
      <c r="B11" s="6" t="s">
        <v>354</v>
      </c>
      <c r="C11" s="6"/>
      <c r="D11" s="6"/>
      <c r="E11" s="6">
        <v>2</v>
      </c>
    </row>
    <row r="12" spans="1:5" x14ac:dyDescent="0.3">
      <c r="A12" s="6" t="s">
        <v>2591</v>
      </c>
      <c r="B12" s="6" t="s">
        <v>330</v>
      </c>
      <c r="C12" s="6"/>
      <c r="D12" s="6"/>
      <c r="E12" s="6">
        <v>11</v>
      </c>
    </row>
    <row r="13" spans="1:5" x14ac:dyDescent="0.3">
      <c r="A13" s="6"/>
      <c r="B13" s="6" t="s">
        <v>394</v>
      </c>
      <c r="C13" s="6"/>
      <c r="D13" s="6"/>
      <c r="E13" s="6">
        <v>-1</v>
      </c>
    </row>
    <row r="14" spans="1:5" x14ac:dyDescent="0.3">
      <c r="A14" s="6" t="s">
        <v>3068</v>
      </c>
      <c r="B14" s="6" t="s">
        <v>336</v>
      </c>
      <c r="C14" s="6"/>
      <c r="D14" s="6"/>
      <c r="E14" s="6">
        <v>16</v>
      </c>
    </row>
    <row r="15" spans="1:5" x14ac:dyDescent="0.3">
      <c r="A15" s="6" t="s">
        <v>4678</v>
      </c>
      <c r="B15" s="6" t="s">
        <v>444</v>
      </c>
      <c r="C15" s="6"/>
      <c r="D15" s="6"/>
      <c r="E15" s="6">
        <v>7</v>
      </c>
    </row>
    <row r="16" spans="1:5" x14ac:dyDescent="0.3">
      <c r="A16" s="6"/>
      <c r="B16" s="6" t="s">
        <v>446</v>
      </c>
      <c r="C16" s="6">
        <v>-1</v>
      </c>
      <c r="D16" s="6"/>
      <c r="E16" s="6"/>
    </row>
    <row r="17" spans="1:5" x14ac:dyDescent="0.3">
      <c r="A17" s="6"/>
      <c r="B17" s="6" t="s">
        <v>694</v>
      </c>
      <c r="C17" s="6">
        <v>-1</v>
      </c>
      <c r="D17" s="6"/>
      <c r="E17" s="6"/>
    </row>
    <row r="18" spans="1:5" x14ac:dyDescent="0.3">
      <c r="A18" s="6"/>
      <c r="B18" s="6" t="s">
        <v>358</v>
      </c>
      <c r="C18" s="6">
        <v>-1</v>
      </c>
      <c r="D18" s="6"/>
      <c r="E18" s="6"/>
    </row>
    <row r="19" spans="1:5" x14ac:dyDescent="0.3">
      <c r="A19" s="6"/>
      <c r="B19" s="6" t="s">
        <v>356</v>
      </c>
      <c r="C19" s="6">
        <v>-1</v>
      </c>
      <c r="D19" s="6"/>
      <c r="E19" s="6"/>
    </row>
    <row r="20" spans="1:5" x14ac:dyDescent="0.3">
      <c r="A20" s="6"/>
      <c r="B20" s="6" t="s">
        <v>560</v>
      </c>
      <c r="C20" s="6">
        <v>-1</v>
      </c>
      <c r="D20" s="6"/>
      <c r="E20" s="6"/>
    </row>
    <row r="21" spans="1:5" x14ac:dyDescent="0.3">
      <c r="A21" s="6"/>
      <c r="B21" s="6" t="s">
        <v>328</v>
      </c>
      <c r="C21" s="6">
        <v>-1</v>
      </c>
      <c r="D21" s="6"/>
      <c r="E21" s="6"/>
    </row>
    <row r="22" spans="1:5" x14ac:dyDescent="0.3">
      <c r="A22" s="6" t="s">
        <v>3709</v>
      </c>
      <c r="B22" s="6" t="s">
        <v>450</v>
      </c>
      <c r="C22" s="6">
        <v>14</v>
      </c>
      <c r="D22" s="6"/>
      <c r="E22" s="6"/>
    </row>
    <row r="23" spans="1:5" x14ac:dyDescent="0.3">
      <c r="A23" s="6"/>
      <c r="B23" s="6" t="s">
        <v>336</v>
      </c>
      <c r="C23" s="6">
        <v>-1</v>
      </c>
      <c r="D23" s="6"/>
      <c r="E23" s="6"/>
    </row>
    <row r="24" spans="1:5" x14ac:dyDescent="0.3">
      <c r="A24" s="6" t="s">
        <v>1260</v>
      </c>
      <c r="B24" s="6" t="s">
        <v>354</v>
      </c>
      <c r="C24" s="6"/>
      <c r="D24" s="6">
        <v>1</v>
      </c>
      <c r="E24" s="6"/>
    </row>
    <row r="25" spans="1:5" x14ac:dyDescent="0.3">
      <c r="A25" s="6" t="s">
        <v>1664</v>
      </c>
      <c r="B25" s="6" t="s">
        <v>402</v>
      </c>
      <c r="C25" s="6"/>
      <c r="D25" s="6">
        <v>6</v>
      </c>
      <c r="E25" s="6"/>
    </row>
    <row r="26" spans="1:5" x14ac:dyDescent="0.3">
      <c r="A26" s="6"/>
      <c r="B26" s="6" t="s">
        <v>474</v>
      </c>
      <c r="C26" s="6"/>
      <c r="D26" s="6">
        <v>-1</v>
      </c>
      <c r="E26" s="6"/>
    </row>
    <row r="27" spans="1:5" x14ac:dyDescent="0.3">
      <c r="A27" s="6"/>
      <c r="B27" s="6" t="s">
        <v>356</v>
      </c>
      <c r="C27" s="6"/>
      <c r="D27" s="6">
        <v>-1</v>
      </c>
      <c r="E27" s="6"/>
    </row>
    <row r="28" spans="1:5" x14ac:dyDescent="0.3">
      <c r="A28" s="6"/>
      <c r="B28" s="6" t="s">
        <v>560</v>
      </c>
      <c r="C28" s="6"/>
      <c r="D28" s="6">
        <v>-1</v>
      </c>
      <c r="E28" s="6"/>
    </row>
    <row r="29" spans="1:5" x14ac:dyDescent="0.3">
      <c r="A29" s="6"/>
      <c r="B29" s="6" t="s">
        <v>412</v>
      </c>
      <c r="C29" s="6"/>
      <c r="D29" s="6">
        <v>-1</v>
      </c>
      <c r="E29" s="6"/>
    </row>
    <row r="30" spans="1:5" x14ac:dyDescent="0.3">
      <c r="A30" s="6" t="s">
        <v>1270</v>
      </c>
      <c r="B30" s="6" t="s">
        <v>330</v>
      </c>
      <c r="C30" s="6"/>
      <c r="D30" s="6">
        <v>21</v>
      </c>
      <c r="E30" s="6"/>
    </row>
    <row r="31" spans="1:5" x14ac:dyDescent="0.3">
      <c r="A31" s="6" t="s">
        <v>5021</v>
      </c>
      <c r="B31" s="6" t="s">
        <v>364</v>
      </c>
      <c r="C31" s="6"/>
      <c r="D31" s="6">
        <v>5</v>
      </c>
      <c r="E31" s="6"/>
    </row>
    <row r="32" spans="1:5" x14ac:dyDescent="0.3">
      <c r="A32" s="6"/>
      <c r="B32" s="6" t="s">
        <v>334</v>
      </c>
      <c r="C32" s="6"/>
      <c r="D32" s="6">
        <v>-1</v>
      </c>
      <c r="E32" s="6"/>
    </row>
    <row r="33" spans="1:5" x14ac:dyDescent="0.3">
      <c r="A33" s="6"/>
      <c r="B33" s="6" t="s">
        <v>392</v>
      </c>
      <c r="C33" s="6"/>
      <c r="D33" s="6">
        <v>-1</v>
      </c>
      <c r="E33" s="6"/>
    </row>
    <row r="34" spans="1:5" x14ac:dyDescent="0.3">
      <c r="A34" s="6"/>
      <c r="B34" s="6" t="s">
        <v>520</v>
      </c>
      <c r="C34" s="6"/>
      <c r="D34" s="6">
        <v>-1</v>
      </c>
      <c r="E34" s="6"/>
    </row>
    <row r="35" spans="1:5" x14ac:dyDescent="0.3">
      <c r="A35" s="6" t="s">
        <v>1466</v>
      </c>
      <c r="B35" s="6" t="s">
        <v>372</v>
      </c>
      <c r="C35" s="6"/>
      <c r="D35" s="6">
        <v>37</v>
      </c>
      <c r="E35" s="6"/>
    </row>
    <row r="36" spans="1:5" x14ac:dyDescent="0.3">
      <c r="A36" s="6" t="s">
        <v>1871</v>
      </c>
      <c r="B36" s="6" t="s">
        <v>406</v>
      </c>
      <c r="C36" s="6"/>
      <c r="D36" s="6">
        <v>4</v>
      </c>
      <c r="E36" s="6"/>
    </row>
    <row r="37" spans="1:5" x14ac:dyDescent="0.3">
      <c r="A37" s="6" t="s">
        <v>3711</v>
      </c>
      <c r="B37" s="6" t="s">
        <v>450</v>
      </c>
      <c r="C37" s="6"/>
      <c r="D37" s="6">
        <v>19</v>
      </c>
      <c r="E37" s="6"/>
    </row>
    <row r="38" spans="1:5" x14ac:dyDescent="0.3">
      <c r="A38" s="6"/>
      <c r="B38" s="6" t="s">
        <v>596</v>
      </c>
      <c r="C38" s="6"/>
      <c r="D38" s="6">
        <v>-1</v>
      </c>
      <c r="E38" s="6"/>
    </row>
    <row r="39" spans="1:5" x14ac:dyDescent="0.3">
      <c r="A39" s="6"/>
      <c r="B39" s="6" t="s">
        <v>346</v>
      </c>
      <c r="C39" s="6"/>
      <c r="D39" s="6">
        <v>-1</v>
      </c>
      <c r="E39" s="6"/>
    </row>
    <row r="40" spans="1:5" x14ac:dyDescent="0.3">
      <c r="A40" s="6"/>
      <c r="B40" s="6" t="s">
        <v>334</v>
      </c>
      <c r="C40" s="6">
        <v>-1</v>
      </c>
      <c r="D40" s="6"/>
      <c r="E40" s="6"/>
    </row>
    <row r="41" spans="1:5" x14ac:dyDescent="0.3">
      <c r="A41" s="6"/>
      <c r="B41" s="6" t="s">
        <v>328</v>
      </c>
      <c r="C41" s="6"/>
      <c r="D41" s="6"/>
      <c r="E41" s="6">
        <v>-1</v>
      </c>
    </row>
    <row r="42" spans="1:5" x14ac:dyDescent="0.3">
      <c r="A42" s="6"/>
      <c r="B42" s="6" t="s">
        <v>446</v>
      </c>
      <c r="C42" s="6"/>
      <c r="D42" s="6">
        <v>-1</v>
      </c>
      <c r="E42" s="6"/>
    </row>
    <row r="43" spans="1:5" x14ac:dyDescent="0.3">
      <c r="A43" s="6" t="s">
        <v>1517</v>
      </c>
      <c r="B43" s="6" t="s">
        <v>478</v>
      </c>
      <c r="C43" s="6">
        <v>18</v>
      </c>
      <c r="D43" s="6"/>
      <c r="E43" s="6"/>
    </row>
    <row r="44" spans="1:5" x14ac:dyDescent="0.3">
      <c r="A44" s="6" t="s">
        <v>1795</v>
      </c>
      <c r="B44" s="6" t="s">
        <v>508</v>
      </c>
      <c r="C44" s="6"/>
      <c r="D44" s="6"/>
      <c r="E44" s="6">
        <v>8</v>
      </c>
    </row>
    <row r="45" spans="1:5" x14ac:dyDescent="0.3">
      <c r="A45" s="6"/>
      <c r="B45" s="6" t="s">
        <v>340</v>
      </c>
      <c r="C45" s="6"/>
      <c r="D45" s="6"/>
      <c r="E45" s="6">
        <v>-1</v>
      </c>
    </row>
    <row r="46" spans="1:5" x14ac:dyDescent="0.3">
      <c r="A46" s="6"/>
      <c r="B46" s="6" t="s">
        <v>504</v>
      </c>
      <c r="C46" s="6">
        <v>-1</v>
      </c>
      <c r="D46" s="6"/>
      <c r="E46" s="6"/>
    </row>
    <row r="47" spans="1:5" x14ac:dyDescent="0.3">
      <c r="A47" s="6" t="s">
        <v>2235</v>
      </c>
      <c r="B47" s="6" t="s">
        <v>362</v>
      </c>
      <c r="C47" s="6">
        <v>20</v>
      </c>
      <c r="D47" s="6"/>
      <c r="E47" s="6"/>
    </row>
    <row r="48" spans="1:5" x14ac:dyDescent="0.3">
      <c r="A48" s="6"/>
      <c r="B48" s="6" t="s">
        <v>398</v>
      </c>
      <c r="C48" s="6"/>
      <c r="D48" s="6">
        <v>-1</v>
      </c>
      <c r="E48" s="6"/>
    </row>
    <row r="49" spans="1:5" x14ac:dyDescent="0.3">
      <c r="A49" s="6"/>
      <c r="B49" s="6" t="s">
        <v>508</v>
      </c>
      <c r="C49" s="6"/>
      <c r="D49" s="6">
        <v>-1</v>
      </c>
      <c r="E49" s="6"/>
    </row>
    <row r="50" spans="1:5" x14ac:dyDescent="0.3">
      <c r="A50" s="6" t="s">
        <v>1789</v>
      </c>
      <c r="B50" s="6" t="s">
        <v>340</v>
      </c>
      <c r="C50" s="6"/>
      <c r="D50" s="6">
        <v>27</v>
      </c>
      <c r="E50" s="6"/>
    </row>
    <row r="51" spans="1:5" x14ac:dyDescent="0.3">
      <c r="A51" s="6" t="s">
        <v>1612</v>
      </c>
      <c r="B51" s="6" t="s">
        <v>336</v>
      </c>
      <c r="C51" s="6"/>
      <c r="D51" s="6">
        <v>28</v>
      </c>
      <c r="E51" s="6"/>
    </row>
    <row r="52" spans="1:5" x14ac:dyDescent="0.3">
      <c r="A52" s="6"/>
      <c r="B52" s="6" t="s">
        <v>380</v>
      </c>
      <c r="C52" s="6"/>
      <c r="D52" s="6"/>
      <c r="E52" s="6">
        <v>-1</v>
      </c>
    </row>
    <row r="53" spans="1:5" x14ac:dyDescent="0.3">
      <c r="A53" s="6"/>
      <c r="B53" s="6" t="s">
        <v>636</v>
      </c>
      <c r="C53" s="6">
        <v>-1</v>
      </c>
      <c r="D53" s="6"/>
      <c r="E53" s="6"/>
    </row>
    <row r="54" spans="1:5" x14ac:dyDescent="0.3">
      <c r="A54" s="6"/>
      <c r="B54" s="6" t="s">
        <v>326</v>
      </c>
      <c r="C54" s="6"/>
      <c r="D54" s="6">
        <v>-1</v>
      </c>
      <c r="E54" s="6"/>
    </row>
    <row r="55" spans="1:5" x14ac:dyDescent="0.3">
      <c r="A55" s="6"/>
      <c r="B55" s="6" t="s">
        <v>502</v>
      </c>
      <c r="C55" s="6"/>
      <c r="D55" s="6">
        <v>-1</v>
      </c>
      <c r="E55" s="6"/>
    </row>
    <row r="56" spans="1:5" x14ac:dyDescent="0.3">
      <c r="A56" s="6"/>
      <c r="B56" s="6" t="s">
        <v>474</v>
      </c>
      <c r="C56" s="6">
        <v>-1</v>
      </c>
      <c r="D56" s="6"/>
      <c r="E56" s="6"/>
    </row>
    <row r="57" spans="1:5" x14ac:dyDescent="0.3">
      <c r="A57" s="6"/>
      <c r="B57" s="6" t="s">
        <v>682</v>
      </c>
      <c r="C57" s="6"/>
      <c r="D57" s="6">
        <v>-1</v>
      </c>
      <c r="E57" s="6"/>
    </row>
    <row r="58" spans="1:5" x14ac:dyDescent="0.3">
      <c r="A58" s="6"/>
      <c r="B58" s="6" t="s">
        <v>420</v>
      </c>
      <c r="C58" s="6"/>
      <c r="D58" s="6">
        <v>-1</v>
      </c>
      <c r="E58" s="6"/>
    </row>
    <row r="59" spans="1:5" x14ac:dyDescent="0.3">
      <c r="A59" s="6"/>
      <c r="B59" s="6" t="s">
        <v>592</v>
      </c>
      <c r="C59" s="6"/>
      <c r="D59" s="6">
        <v>-1</v>
      </c>
      <c r="E59" s="6"/>
    </row>
    <row r="60" spans="1:5" x14ac:dyDescent="0.3">
      <c r="A60" s="6"/>
      <c r="B60" s="6" t="s">
        <v>478</v>
      </c>
      <c r="C60" s="6"/>
      <c r="D60" s="6">
        <v>-1</v>
      </c>
      <c r="E60" s="6"/>
    </row>
    <row r="61" spans="1:5" x14ac:dyDescent="0.3">
      <c r="A61" s="6"/>
      <c r="B61" s="6" t="s">
        <v>418</v>
      </c>
      <c r="C61" s="6"/>
      <c r="D61" s="6">
        <v>-1</v>
      </c>
      <c r="E61" s="6"/>
    </row>
    <row r="62" spans="1:5" x14ac:dyDescent="0.3">
      <c r="A62" s="6"/>
      <c r="B62" s="6" t="s">
        <v>644</v>
      </c>
      <c r="C62" s="6"/>
      <c r="D62" s="6">
        <v>-1</v>
      </c>
      <c r="E62" s="6"/>
    </row>
    <row r="63" spans="1:5" x14ac:dyDescent="0.3">
      <c r="A63" s="6"/>
      <c r="B63" s="6" t="s">
        <v>366</v>
      </c>
      <c r="C63" s="6"/>
      <c r="D63" s="6">
        <v>-1</v>
      </c>
      <c r="E63" s="6"/>
    </row>
    <row r="64" spans="1:5" x14ac:dyDescent="0.3">
      <c r="A64" s="6"/>
      <c r="B64" s="6" t="s">
        <v>414</v>
      </c>
      <c r="C64" s="6"/>
      <c r="D64" s="6">
        <v>-1</v>
      </c>
      <c r="E64" s="6"/>
    </row>
    <row r="65" spans="1:5" x14ac:dyDescent="0.3">
      <c r="A65" s="6"/>
      <c r="B65" s="6" t="s">
        <v>448</v>
      </c>
      <c r="C65" s="6"/>
      <c r="D65" s="6">
        <v>-1</v>
      </c>
      <c r="E65" s="6"/>
    </row>
    <row r="66" spans="1:5" x14ac:dyDescent="0.3">
      <c r="A66" s="6"/>
      <c r="B66" s="6" t="s">
        <v>718</v>
      </c>
      <c r="C66" s="6"/>
      <c r="D66" s="6">
        <v>-1</v>
      </c>
      <c r="E66" s="6"/>
    </row>
    <row r="67" spans="1:5" x14ac:dyDescent="0.3">
      <c r="A67" s="6"/>
      <c r="B67" s="6" t="s">
        <v>414</v>
      </c>
      <c r="C67" s="6"/>
      <c r="D67" s="6"/>
      <c r="E67" s="6">
        <v>-1</v>
      </c>
    </row>
    <row r="68" spans="1:5" x14ac:dyDescent="0.3">
      <c r="A68" s="6"/>
      <c r="B68" s="6" t="s">
        <v>598</v>
      </c>
      <c r="C68" s="6"/>
      <c r="D68" s="6">
        <v>-1</v>
      </c>
      <c r="E68" s="6"/>
    </row>
    <row r="69" spans="1:5" x14ac:dyDescent="0.3">
      <c r="A69" s="6"/>
      <c r="B69" s="6" t="s">
        <v>694</v>
      </c>
      <c r="C69" s="6"/>
      <c r="D69" s="6">
        <v>-1</v>
      </c>
      <c r="E69" s="6"/>
    </row>
    <row r="70" spans="1:5" x14ac:dyDescent="0.3">
      <c r="A70" s="6"/>
      <c r="B70" s="6" t="s">
        <v>428</v>
      </c>
      <c r="C70" s="6"/>
      <c r="D70" s="6"/>
      <c r="E70" s="6">
        <v>-1</v>
      </c>
    </row>
    <row r="71" spans="1:5" x14ac:dyDescent="0.3">
      <c r="A71" s="6" t="s">
        <v>1846</v>
      </c>
      <c r="B71" s="6" t="s">
        <v>332</v>
      </c>
      <c r="C71" s="6"/>
      <c r="D71" s="6"/>
      <c r="E71" s="6">
        <v>9</v>
      </c>
    </row>
    <row r="72" spans="1:5" x14ac:dyDescent="0.3">
      <c r="A72" s="6"/>
      <c r="B72" s="6" t="s">
        <v>342</v>
      </c>
      <c r="C72" s="6"/>
      <c r="D72" s="6"/>
      <c r="E72" s="6">
        <v>-1</v>
      </c>
    </row>
    <row r="73" spans="1:5" x14ac:dyDescent="0.3">
      <c r="A73" s="6"/>
      <c r="B73" s="6" t="s">
        <v>620</v>
      </c>
      <c r="C73" s="6"/>
      <c r="D73" s="6"/>
      <c r="E73" s="6">
        <v>-1</v>
      </c>
    </row>
    <row r="74" spans="1:5" x14ac:dyDescent="0.3">
      <c r="A74" s="6"/>
      <c r="B74" s="6" t="s">
        <v>592</v>
      </c>
      <c r="C74" s="6"/>
      <c r="D74" s="6"/>
      <c r="E74" s="6">
        <v>-1</v>
      </c>
    </row>
    <row r="75" spans="1:5" x14ac:dyDescent="0.3">
      <c r="A75" s="6" t="s">
        <v>2799</v>
      </c>
      <c r="B75" s="6" t="s">
        <v>408</v>
      </c>
      <c r="C75" s="6"/>
      <c r="D75" s="6"/>
      <c r="E75" s="6">
        <v>23</v>
      </c>
    </row>
    <row r="76" spans="1:5" x14ac:dyDescent="0.3">
      <c r="A76" s="6" t="s">
        <v>1441</v>
      </c>
      <c r="B76" s="6" t="s">
        <v>372</v>
      </c>
      <c r="C76" s="6"/>
      <c r="D76" s="6"/>
      <c r="E76" s="6">
        <v>20</v>
      </c>
    </row>
    <row r="77" spans="1:5" x14ac:dyDescent="0.3">
      <c r="A77" s="6" t="s">
        <v>3759</v>
      </c>
      <c r="B77" s="6" t="s">
        <v>402</v>
      </c>
      <c r="C77" s="6">
        <v>8</v>
      </c>
      <c r="D77" s="6"/>
      <c r="E77" s="6"/>
    </row>
    <row r="78" spans="1:5" x14ac:dyDescent="0.3">
      <c r="A78" s="6"/>
      <c r="B78" s="6" t="s">
        <v>394</v>
      </c>
      <c r="C78" s="6">
        <v>-1</v>
      </c>
      <c r="D78" s="6"/>
      <c r="E78" s="6"/>
    </row>
    <row r="79" spans="1:5" x14ac:dyDescent="0.3">
      <c r="A79" s="6" t="s">
        <v>1832</v>
      </c>
      <c r="B79" s="6" t="s">
        <v>332</v>
      </c>
      <c r="C79" s="6">
        <v>9</v>
      </c>
      <c r="D79" s="6"/>
      <c r="E79" s="6"/>
    </row>
    <row r="80" spans="1:5" x14ac:dyDescent="0.3">
      <c r="A80" s="6"/>
      <c r="B80" s="6" t="s">
        <v>342</v>
      </c>
      <c r="C80" s="6">
        <v>-1</v>
      </c>
      <c r="D80" s="6"/>
      <c r="E80" s="6"/>
    </row>
    <row r="81" spans="1:5" x14ac:dyDescent="0.3">
      <c r="A81" s="6"/>
      <c r="B81" s="6" t="s">
        <v>598</v>
      </c>
      <c r="C81" s="6">
        <v>-1</v>
      </c>
      <c r="D81" s="6"/>
      <c r="E81" s="6"/>
    </row>
    <row r="82" spans="1:5" x14ac:dyDescent="0.3">
      <c r="A82" s="6"/>
      <c r="B82" s="6" t="s">
        <v>700</v>
      </c>
      <c r="C82" s="6"/>
      <c r="D82" s="6">
        <v>-1</v>
      </c>
      <c r="E82" s="6"/>
    </row>
    <row r="83" spans="1:5" x14ac:dyDescent="0.3">
      <c r="A83" s="6"/>
      <c r="B83" s="6" t="s">
        <v>572</v>
      </c>
      <c r="C83" s="6"/>
      <c r="D83" s="6">
        <v>-1</v>
      </c>
      <c r="E83" s="6"/>
    </row>
    <row r="84" spans="1:5" x14ac:dyDescent="0.3">
      <c r="A84" s="6" t="s">
        <v>2676</v>
      </c>
      <c r="B84" s="6" t="s">
        <v>382</v>
      </c>
      <c r="C84" s="6"/>
      <c r="D84" s="6">
        <v>32</v>
      </c>
      <c r="E84" s="6"/>
    </row>
    <row r="85" spans="1:5" x14ac:dyDescent="0.3">
      <c r="A85" s="6"/>
      <c r="B85" s="6" t="s">
        <v>394</v>
      </c>
      <c r="C85" s="6"/>
      <c r="D85" s="6">
        <v>-1</v>
      </c>
      <c r="E85" s="6"/>
    </row>
    <row r="86" spans="1:5" x14ac:dyDescent="0.3">
      <c r="A86" s="6"/>
      <c r="B86" s="6" t="s">
        <v>472</v>
      </c>
      <c r="C86" s="6"/>
      <c r="D86" s="6">
        <v>-1</v>
      </c>
      <c r="E86" s="6"/>
    </row>
    <row r="87" spans="1:5" x14ac:dyDescent="0.3">
      <c r="A87" s="6"/>
      <c r="B87" s="6" t="s">
        <v>534</v>
      </c>
      <c r="C87" s="6"/>
      <c r="D87" s="6">
        <v>-1</v>
      </c>
      <c r="E87" s="6"/>
    </row>
    <row r="88" spans="1:5" x14ac:dyDescent="0.3">
      <c r="A88" s="6" t="s">
        <v>3180</v>
      </c>
      <c r="B88" s="6" t="s">
        <v>476</v>
      </c>
      <c r="C88" s="6"/>
      <c r="D88" s="6">
        <v>29</v>
      </c>
      <c r="E88" s="6"/>
    </row>
  </sheetData>
  <pageMargins left="0.7" right="0.7" top="0.75" bottom="0.75" header="0.3" footer="0.3"/>
  <tableParts count="1">
    <tablePart r:id="rId1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4735F-1DBB-4DD6-9301-DA2FD4EF73EF}">
  <dimension ref="A1:E88"/>
  <sheetViews>
    <sheetView topLeftCell="A82" workbookViewId="0">
      <selection activeCell="B89" sqref="B89"/>
    </sheetView>
  </sheetViews>
  <sheetFormatPr defaultRowHeight="14.4" x14ac:dyDescent="0.3"/>
  <cols>
    <col min="1" max="1" width="24.33203125" bestFit="1" customWidth="1"/>
    <col min="2" max="2" width="14.21875" bestFit="1" customWidth="1"/>
    <col min="3" max="3" width="25.44140625" bestFit="1" customWidth="1"/>
    <col min="4" max="4" width="20" bestFit="1" customWidth="1"/>
    <col min="5" max="5" width="19.5546875" bestFit="1" customWidth="1"/>
  </cols>
  <sheetData>
    <row r="1" spans="1:5" x14ac:dyDescent="0.3">
      <c r="A1" t="s">
        <v>832</v>
      </c>
      <c r="B1" t="s">
        <v>1</v>
      </c>
      <c r="C1" t="s">
        <v>918</v>
      </c>
      <c r="D1" t="s">
        <v>921</v>
      </c>
      <c r="E1" t="s">
        <v>920</v>
      </c>
    </row>
    <row r="2" spans="1:5" x14ac:dyDescent="0.3">
      <c r="A2" s="6" t="s">
        <v>4871</v>
      </c>
      <c r="B2" s="6" t="s">
        <v>344</v>
      </c>
      <c r="C2" s="6">
        <v>2</v>
      </c>
      <c r="D2" s="6"/>
      <c r="E2" s="6"/>
    </row>
    <row r="3" spans="1:5" x14ac:dyDescent="0.3">
      <c r="A3" s="6"/>
      <c r="B3" s="6" t="s">
        <v>344</v>
      </c>
      <c r="C3" s="6"/>
      <c r="D3" s="6">
        <v>-1</v>
      </c>
      <c r="E3" s="6"/>
    </row>
    <row r="4" spans="1:5" x14ac:dyDescent="0.3">
      <c r="A4" s="6" t="s">
        <v>3554</v>
      </c>
      <c r="B4" s="6" t="s">
        <v>344</v>
      </c>
      <c r="C4" s="6"/>
      <c r="D4" s="6"/>
      <c r="E4" s="6">
        <v>7</v>
      </c>
    </row>
    <row r="5" spans="1:5" x14ac:dyDescent="0.3">
      <c r="A5" s="6"/>
      <c r="B5" s="6" t="s">
        <v>598</v>
      </c>
      <c r="C5" s="6"/>
      <c r="D5" s="6"/>
      <c r="E5" s="6">
        <v>-1</v>
      </c>
    </row>
    <row r="6" spans="1:5" x14ac:dyDescent="0.3">
      <c r="A6" s="6"/>
      <c r="B6" s="6" t="s">
        <v>402</v>
      </c>
      <c r="C6" s="6"/>
      <c r="D6" s="6"/>
      <c r="E6" s="6">
        <v>-1</v>
      </c>
    </row>
    <row r="7" spans="1:5" x14ac:dyDescent="0.3">
      <c r="A7" s="6"/>
      <c r="B7" s="6" t="s">
        <v>364</v>
      </c>
      <c r="C7" s="6"/>
      <c r="D7" s="6"/>
      <c r="E7" s="6">
        <v>-1</v>
      </c>
    </row>
    <row r="8" spans="1:5" x14ac:dyDescent="0.3">
      <c r="A8" s="6" t="s">
        <v>2732</v>
      </c>
      <c r="B8" s="6" t="s">
        <v>328</v>
      </c>
      <c r="C8" s="6"/>
      <c r="D8" s="6"/>
      <c r="E8" s="6">
        <v>5</v>
      </c>
    </row>
    <row r="9" spans="1:5" x14ac:dyDescent="0.3">
      <c r="A9" s="6"/>
      <c r="B9" s="6" t="s">
        <v>350</v>
      </c>
      <c r="C9" s="6"/>
      <c r="D9" s="6"/>
      <c r="E9" s="6">
        <v>-1</v>
      </c>
    </row>
    <row r="10" spans="1:5" x14ac:dyDescent="0.3">
      <c r="A10" s="6"/>
      <c r="B10" s="6" t="s">
        <v>356</v>
      </c>
      <c r="C10" s="6"/>
      <c r="D10" s="6"/>
      <c r="E10" s="6">
        <v>-1</v>
      </c>
    </row>
    <row r="11" spans="1:5" x14ac:dyDescent="0.3">
      <c r="A11" s="6"/>
      <c r="B11" s="6" t="s">
        <v>412</v>
      </c>
      <c r="C11" s="6"/>
      <c r="D11" s="6"/>
      <c r="E11" s="6">
        <v>-1</v>
      </c>
    </row>
    <row r="12" spans="1:5" x14ac:dyDescent="0.3">
      <c r="A12" s="6" t="s">
        <v>2975</v>
      </c>
      <c r="B12" s="6" t="s">
        <v>330</v>
      </c>
      <c r="C12" s="6"/>
      <c r="D12" s="6"/>
      <c r="E12" s="6">
        <v>15</v>
      </c>
    </row>
    <row r="13" spans="1:5" x14ac:dyDescent="0.3">
      <c r="A13" s="6" t="s">
        <v>3708</v>
      </c>
      <c r="B13" s="6" t="s">
        <v>450</v>
      </c>
      <c r="C13" s="6"/>
      <c r="D13" s="6"/>
      <c r="E13" s="6">
        <v>12</v>
      </c>
    </row>
    <row r="14" spans="1:5" x14ac:dyDescent="0.3">
      <c r="A14" s="6" t="s">
        <v>3357</v>
      </c>
      <c r="B14" s="6" t="s">
        <v>394</v>
      </c>
      <c r="C14" s="6"/>
      <c r="D14" s="6"/>
      <c r="E14" s="6">
        <v>8</v>
      </c>
    </row>
    <row r="15" spans="1:5" x14ac:dyDescent="0.3">
      <c r="A15" s="6"/>
      <c r="B15" s="6" t="s">
        <v>474</v>
      </c>
      <c r="C15" s="6"/>
      <c r="D15" s="6"/>
      <c r="E15" s="6">
        <v>-1</v>
      </c>
    </row>
    <row r="16" spans="1:5" x14ac:dyDescent="0.3">
      <c r="A16" s="6"/>
      <c r="B16" s="6" t="s">
        <v>402</v>
      </c>
      <c r="C16" s="6">
        <v>-1</v>
      </c>
      <c r="D16" s="6"/>
      <c r="E16" s="6"/>
    </row>
    <row r="17" spans="1:5" x14ac:dyDescent="0.3">
      <c r="A17" s="6"/>
      <c r="B17" s="6" t="s">
        <v>412</v>
      </c>
      <c r="C17" s="6">
        <v>-1</v>
      </c>
      <c r="D17" s="6"/>
      <c r="E17" s="6"/>
    </row>
    <row r="18" spans="1:5" x14ac:dyDescent="0.3">
      <c r="A18" s="6" t="s">
        <v>2036</v>
      </c>
      <c r="B18" s="6" t="s">
        <v>332</v>
      </c>
      <c r="C18" s="6">
        <v>4</v>
      </c>
      <c r="D18" s="6"/>
      <c r="E18" s="6"/>
    </row>
    <row r="19" spans="1:5" x14ac:dyDescent="0.3">
      <c r="A19" s="6"/>
      <c r="B19" s="6" t="s">
        <v>328</v>
      </c>
      <c r="C19" s="6">
        <v>-1</v>
      </c>
      <c r="D19" s="6"/>
      <c r="E19" s="6"/>
    </row>
    <row r="20" spans="1:5" x14ac:dyDescent="0.3">
      <c r="A20" s="6"/>
      <c r="B20" s="6" t="s">
        <v>354</v>
      </c>
      <c r="C20" s="6">
        <v>-1</v>
      </c>
      <c r="D20" s="6"/>
      <c r="E20" s="6"/>
    </row>
    <row r="21" spans="1:5" x14ac:dyDescent="0.3">
      <c r="A21" s="6" t="s">
        <v>3317</v>
      </c>
      <c r="B21" s="6" t="s">
        <v>598</v>
      </c>
      <c r="C21" s="6">
        <v>8</v>
      </c>
      <c r="D21" s="6"/>
      <c r="E21" s="6"/>
    </row>
    <row r="22" spans="1:5" x14ac:dyDescent="0.3">
      <c r="A22" s="6"/>
      <c r="B22" s="6" t="s">
        <v>334</v>
      </c>
      <c r="C22" s="6">
        <v>-1</v>
      </c>
      <c r="D22" s="6"/>
      <c r="E22" s="6"/>
    </row>
    <row r="23" spans="1:5" x14ac:dyDescent="0.3">
      <c r="A23" s="6" t="s">
        <v>2828</v>
      </c>
      <c r="B23" s="6" t="s">
        <v>356</v>
      </c>
      <c r="C23" s="6">
        <v>10</v>
      </c>
      <c r="D23" s="6"/>
      <c r="E23" s="6"/>
    </row>
    <row r="24" spans="1:5" x14ac:dyDescent="0.3">
      <c r="A24" s="6"/>
      <c r="B24" s="6" t="s">
        <v>406</v>
      </c>
      <c r="C24" s="6"/>
      <c r="D24" s="6">
        <v>-1</v>
      </c>
      <c r="E24" s="6"/>
    </row>
    <row r="25" spans="1:5" x14ac:dyDescent="0.3">
      <c r="A25" s="6" t="s">
        <v>1385</v>
      </c>
      <c r="B25" s="6" t="s">
        <v>444</v>
      </c>
      <c r="C25" s="6"/>
      <c r="D25" s="6">
        <v>4</v>
      </c>
      <c r="E25" s="6"/>
    </row>
    <row r="26" spans="1:5" x14ac:dyDescent="0.3">
      <c r="A26" s="6"/>
      <c r="B26" s="6" t="s">
        <v>414</v>
      </c>
      <c r="C26" s="6"/>
      <c r="D26" s="6">
        <v>-1</v>
      </c>
      <c r="E26" s="6"/>
    </row>
    <row r="27" spans="1:5" x14ac:dyDescent="0.3">
      <c r="A27" s="6" t="s">
        <v>3771</v>
      </c>
      <c r="B27" s="6" t="s">
        <v>412</v>
      </c>
      <c r="C27" s="6"/>
      <c r="D27" s="6">
        <v>1</v>
      </c>
      <c r="E27" s="6"/>
    </row>
    <row r="28" spans="1:5" x14ac:dyDescent="0.3">
      <c r="A28" s="6" t="s">
        <v>1855</v>
      </c>
      <c r="B28" s="6" t="s">
        <v>332</v>
      </c>
      <c r="C28" s="6"/>
      <c r="D28" s="6">
        <v>9</v>
      </c>
      <c r="E28" s="6"/>
    </row>
    <row r="29" spans="1:5" x14ac:dyDescent="0.3">
      <c r="A29" s="6"/>
      <c r="B29" s="6" t="s">
        <v>520</v>
      </c>
      <c r="C29" s="6"/>
      <c r="D29" s="6">
        <v>-1</v>
      </c>
      <c r="E29" s="6"/>
    </row>
    <row r="30" spans="1:5" x14ac:dyDescent="0.3">
      <c r="A30" s="6"/>
      <c r="B30" s="6" t="s">
        <v>338</v>
      </c>
      <c r="C30" s="6"/>
      <c r="D30" s="6">
        <v>-1</v>
      </c>
      <c r="E30" s="6"/>
    </row>
    <row r="31" spans="1:5" x14ac:dyDescent="0.3">
      <c r="A31" s="6"/>
      <c r="B31" s="6" t="s">
        <v>356</v>
      </c>
      <c r="C31" s="6"/>
      <c r="D31" s="6">
        <v>-1</v>
      </c>
      <c r="E31" s="6"/>
    </row>
    <row r="32" spans="1:5" x14ac:dyDescent="0.3">
      <c r="A32" s="6" t="s">
        <v>1258</v>
      </c>
      <c r="B32" s="6" t="s">
        <v>354</v>
      </c>
      <c r="C32" s="6"/>
      <c r="D32" s="6">
        <v>20</v>
      </c>
      <c r="E32" s="6"/>
    </row>
    <row r="33" spans="1:5" x14ac:dyDescent="0.3">
      <c r="A33" s="6" t="s">
        <v>5040</v>
      </c>
      <c r="B33" s="6" t="s">
        <v>402</v>
      </c>
      <c r="C33" s="6"/>
      <c r="D33" s="6">
        <v>12</v>
      </c>
      <c r="E33" s="6"/>
    </row>
    <row r="34" spans="1:5" x14ac:dyDescent="0.3">
      <c r="A34" s="6"/>
      <c r="B34" s="6" t="s">
        <v>334</v>
      </c>
      <c r="C34" s="6"/>
      <c r="D34" s="6">
        <v>-1</v>
      </c>
      <c r="E34" s="6"/>
    </row>
    <row r="35" spans="1:5" x14ac:dyDescent="0.3">
      <c r="A35" s="6" t="s">
        <v>1910</v>
      </c>
      <c r="B35" s="6" t="s">
        <v>394</v>
      </c>
      <c r="C35" s="6"/>
      <c r="D35" s="6">
        <v>15</v>
      </c>
      <c r="E35" s="6"/>
    </row>
    <row r="36" spans="1:5" x14ac:dyDescent="0.3">
      <c r="A36" s="6"/>
      <c r="B36" s="6" t="s">
        <v>364</v>
      </c>
      <c r="C36" s="6"/>
      <c r="D36" s="6">
        <v>-1</v>
      </c>
      <c r="E36" s="6"/>
    </row>
    <row r="37" spans="1:5" x14ac:dyDescent="0.3">
      <c r="A37" s="6"/>
      <c r="B37" s="6" t="s">
        <v>340</v>
      </c>
      <c r="C37" s="6"/>
      <c r="D37" s="6">
        <v>-1</v>
      </c>
      <c r="E37" s="6"/>
    </row>
    <row r="38" spans="1:5" x14ac:dyDescent="0.3">
      <c r="A38" s="6"/>
      <c r="B38" s="6" t="s">
        <v>384</v>
      </c>
      <c r="C38" s="6"/>
      <c r="D38" s="6">
        <v>-1</v>
      </c>
      <c r="E38" s="6"/>
    </row>
    <row r="39" spans="1:5" x14ac:dyDescent="0.3">
      <c r="A39" s="6"/>
      <c r="B39" s="6" t="s">
        <v>330</v>
      </c>
      <c r="C39" s="6">
        <v>-1</v>
      </c>
      <c r="D39" s="6"/>
      <c r="E39" s="6"/>
    </row>
    <row r="40" spans="1:5" x14ac:dyDescent="0.3">
      <c r="A40" s="6"/>
      <c r="B40" s="6" t="s">
        <v>592</v>
      </c>
      <c r="C40" s="6"/>
      <c r="D40" s="6"/>
      <c r="E40" s="6">
        <v>-1</v>
      </c>
    </row>
    <row r="41" spans="1:5" x14ac:dyDescent="0.3">
      <c r="A41" s="6"/>
      <c r="B41" s="6" t="s">
        <v>478</v>
      </c>
      <c r="C41" s="6"/>
      <c r="D41" s="6">
        <v>-1</v>
      </c>
      <c r="E41" s="6"/>
    </row>
    <row r="42" spans="1:5" x14ac:dyDescent="0.3">
      <c r="A42" s="6"/>
      <c r="B42" s="6" t="s">
        <v>382</v>
      </c>
      <c r="C42" s="6">
        <v>-1</v>
      </c>
      <c r="D42" s="6"/>
      <c r="E42" s="6"/>
    </row>
    <row r="43" spans="1:5" x14ac:dyDescent="0.3">
      <c r="A43" s="6" t="s">
        <v>1858</v>
      </c>
      <c r="B43" s="6" t="s">
        <v>332</v>
      </c>
      <c r="C43" s="6"/>
      <c r="D43" s="6"/>
      <c r="E43" s="6">
        <v>22</v>
      </c>
    </row>
    <row r="44" spans="1:5" x14ac:dyDescent="0.3">
      <c r="A44" s="6" t="s">
        <v>2310</v>
      </c>
      <c r="B44" s="6" t="s">
        <v>340</v>
      </c>
      <c r="C44" s="6"/>
      <c r="D44" s="6"/>
      <c r="E44" s="6">
        <v>24</v>
      </c>
    </row>
    <row r="45" spans="1:5" x14ac:dyDescent="0.3">
      <c r="A45" s="6" t="s">
        <v>2527</v>
      </c>
      <c r="B45" s="6" t="s">
        <v>384</v>
      </c>
      <c r="C45" s="6">
        <v>18</v>
      </c>
      <c r="D45" s="6"/>
      <c r="E45" s="6"/>
    </row>
    <row r="46" spans="1:5" x14ac:dyDescent="0.3">
      <c r="A46" s="6"/>
      <c r="B46" s="6" t="s">
        <v>340</v>
      </c>
      <c r="C46" s="6">
        <v>-1</v>
      </c>
      <c r="D46" s="6"/>
      <c r="E46" s="6"/>
    </row>
    <row r="47" spans="1:5" x14ac:dyDescent="0.3">
      <c r="A47" s="6" t="s">
        <v>1656</v>
      </c>
      <c r="B47" s="6" t="s">
        <v>526</v>
      </c>
      <c r="C47" s="6"/>
      <c r="D47" s="6">
        <v>36</v>
      </c>
      <c r="E47" s="6"/>
    </row>
    <row r="48" spans="1:5" x14ac:dyDescent="0.3">
      <c r="A48" s="6" t="s">
        <v>4548</v>
      </c>
      <c r="B48" s="6" t="s">
        <v>546</v>
      </c>
      <c r="C48" s="6"/>
      <c r="D48" s="6">
        <v>41</v>
      </c>
      <c r="E48" s="6"/>
    </row>
    <row r="49" spans="1:5" x14ac:dyDescent="0.3">
      <c r="A49" s="6"/>
      <c r="B49" s="6" t="s">
        <v>392</v>
      </c>
      <c r="C49" s="6"/>
      <c r="D49" s="6">
        <v>-1</v>
      </c>
      <c r="E49" s="6"/>
    </row>
    <row r="50" spans="1:5" x14ac:dyDescent="0.3">
      <c r="A50" s="6" t="s">
        <v>3959</v>
      </c>
      <c r="B50" s="6" t="s">
        <v>366</v>
      </c>
      <c r="C50" s="6"/>
      <c r="D50" s="6">
        <v>38</v>
      </c>
      <c r="E50" s="6"/>
    </row>
    <row r="51" spans="1:5" x14ac:dyDescent="0.3">
      <c r="A51" s="6"/>
      <c r="B51" s="6" t="s">
        <v>636</v>
      </c>
      <c r="C51" s="6">
        <v>-1</v>
      </c>
      <c r="D51" s="6"/>
      <c r="E51" s="6"/>
    </row>
    <row r="52" spans="1:5" x14ac:dyDescent="0.3">
      <c r="A52" s="6"/>
      <c r="B52" s="6" t="s">
        <v>326</v>
      </c>
      <c r="C52" s="6"/>
      <c r="D52" s="6">
        <v>-1</v>
      </c>
      <c r="E52" s="6"/>
    </row>
    <row r="53" spans="1:5" x14ac:dyDescent="0.3">
      <c r="A53" s="6" t="s">
        <v>1414</v>
      </c>
      <c r="B53" s="6" t="s">
        <v>646</v>
      </c>
      <c r="C53" s="6"/>
      <c r="D53" s="6">
        <v>40</v>
      </c>
      <c r="E53" s="6"/>
    </row>
    <row r="54" spans="1:5" x14ac:dyDescent="0.3">
      <c r="A54" s="6"/>
      <c r="B54" s="6" t="s">
        <v>474</v>
      </c>
      <c r="C54" s="6">
        <v>-1</v>
      </c>
      <c r="D54" s="6"/>
      <c r="E54" s="6"/>
    </row>
    <row r="55" spans="1:5" x14ac:dyDescent="0.3">
      <c r="A55" s="6"/>
      <c r="B55" s="6" t="s">
        <v>474</v>
      </c>
      <c r="C55" s="6"/>
      <c r="D55" s="6">
        <v>-1</v>
      </c>
      <c r="E55" s="6"/>
    </row>
    <row r="56" spans="1:5" x14ac:dyDescent="0.3">
      <c r="A56" s="6"/>
      <c r="B56" s="6" t="s">
        <v>420</v>
      </c>
      <c r="C56" s="6"/>
      <c r="D56" s="6">
        <v>-1</v>
      </c>
      <c r="E56" s="6"/>
    </row>
    <row r="57" spans="1:5" x14ac:dyDescent="0.3">
      <c r="A57" s="6"/>
      <c r="B57" s="6" t="s">
        <v>328</v>
      </c>
      <c r="C57" s="6"/>
      <c r="D57" s="6">
        <v>-1</v>
      </c>
      <c r="E57" s="6"/>
    </row>
    <row r="58" spans="1:5" x14ac:dyDescent="0.3">
      <c r="A58" s="6"/>
      <c r="B58" s="6" t="s">
        <v>478</v>
      </c>
      <c r="C58" s="6"/>
      <c r="D58" s="6">
        <v>-1</v>
      </c>
      <c r="E58" s="6"/>
    </row>
    <row r="59" spans="1:5" x14ac:dyDescent="0.3">
      <c r="A59" s="6" t="s">
        <v>1456</v>
      </c>
      <c r="B59" s="6" t="s">
        <v>372</v>
      </c>
      <c r="C59" s="6"/>
      <c r="D59" s="6">
        <v>16</v>
      </c>
      <c r="E59" s="6"/>
    </row>
    <row r="60" spans="1:5" x14ac:dyDescent="0.3">
      <c r="A60" s="6" t="s">
        <v>1637</v>
      </c>
      <c r="B60" s="6" t="s">
        <v>596</v>
      </c>
      <c r="C60" s="6"/>
      <c r="D60" s="6">
        <v>13</v>
      </c>
      <c r="E60" s="6"/>
    </row>
    <row r="61" spans="1:5" x14ac:dyDescent="0.3">
      <c r="A61" s="6" t="s">
        <v>1362</v>
      </c>
      <c r="B61" s="6" t="s">
        <v>410</v>
      </c>
      <c r="C61" s="6"/>
      <c r="D61" s="6">
        <v>22</v>
      </c>
      <c r="E61" s="6"/>
    </row>
    <row r="62" spans="1:5" x14ac:dyDescent="0.3">
      <c r="A62" s="6"/>
      <c r="B62" s="6" t="s">
        <v>330</v>
      </c>
      <c r="C62" s="6"/>
      <c r="D62" s="6">
        <v>-1</v>
      </c>
      <c r="E62" s="6"/>
    </row>
    <row r="63" spans="1:5" x14ac:dyDescent="0.3">
      <c r="A63" s="6"/>
      <c r="B63" s="6" t="s">
        <v>336</v>
      </c>
      <c r="C63" s="6"/>
      <c r="D63" s="6">
        <v>-1</v>
      </c>
      <c r="E63" s="6"/>
    </row>
    <row r="64" spans="1:5" x14ac:dyDescent="0.3">
      <c r="A64" s="6"/>
      <c r="B64" s="6" t="s">
        <v>718</v>
      </c>
      <c r="C64" s="6"/>
      <c r="D64" s="6">
        <v>-1</v>
      </c>
      <c r="E64" s="6"/>
    </row>
    <row r="65" spans="1:5" x14ac:dyDescent="0.3">
      <c r="A65" s="6"/>
      <c r="B65" s="6" t="s">
        <v>350</v>
      </c>
      <c r="C65" s="6"/>
      <c r="D65" s="6">
        <v>-1</v>
      </c>
      <c r="E65" s="6"/>
    </row>
    <row r="66" spans="1:5" x14ac:dyDescent="0.3">
      <c r="A66" s="6" t="s">
        <v>3310</v>
      </c>
      <c r="B66" s="6" t="s">
        <v>598</v>
      </c>
      <c r="C66" s="6"/>
      <c r="D66" s="6">
        <v>24</v>
      </c>
      <c r="E66" s="6"/>
    </row>
    <row r="67" spans="1:5" x14ac:dyDescent="0.3">
      <c r="A67" s="6"/>
      <c r="B67" s="6" t="s">
        <v>334</v>
      </c>
      <c r="C67" s="6"/>
      <c r="D67" s="6"/>
      <c r="E67" s="6">
        <v>-1</v>
      </c>
    </row>
    <row r="68" spans="1:5" x14ac:dyDescent="0.3">
      <c r="A68" s="6"/>
      <c r="B68" s="6" t="s">
        <v>620</v>
      </c>
      <c r="C68" s="6"/>
      <c r="D68" s="6">
        <v>-1</v>
      </c>
      <c r="E68" s="6"/>
    </row>
    <row r="69" spans="1:5" x14ac:dyDescent="0.3">
      <c r="A69" s="6"/>
      <c r="B69" s="6" t="s">
        <v>450</v>
      </c>
      <c r="C69" s="6"/>
      <c r="D69" s="6">
        <v>-1</v>
      </c>
      <c r="E69" s="6"/>
    </row>
    <row r="70" spans="1:5" x14ac:dyDescent="0.3">
      <c r="A70" s="6"/>
      <c r="B70" s="6" t="s">
        <v>442</v>
      </c>
      <c r="C70" s="6"/>
      <c r="D70" s="6"/>
      <c r="E70" s="6">
        <v>-1</v>
      </c>
    </row>
    <row r="71" spans="1:5" x14ac:dyDescent="0.3">
      <c r="A71" s="6" t="s">
        <v>3152</v>
      </c>
      <c r="B71" s="6" t="s">
        <v>338</v>
      </c>
      <c r="C71" s="6"/>
      <c r="D71" s="6"/>
      <c r="E71" s="6">
        <v>20</v>
      </c>
    </row>
    <row r="72" spans="1:5" x14ac:dyDescent="0.3">
      <c r="A72" s="6"/>
      <c r="B72" s="6" t="s">
        <v>718</v>
      </c>
      <c r="C72" s="6"/>
      <c r="D72" s="6"/>
      <c r="E72" s="6">
        <v>-1</v>
      </c>
    </row>
    <row r="73" spans="1:5" x14ac:dyDescent="0.3">
      <c r="A73" s="6"/>
      <c r="B73" s="6" t="s">
        <v>694</v>
      </c>
      <c r="C73" s="6"/>
      <c r="D73" s="6"/>
      <c r="E73" s="6">
        <v>-1</v>
      </c>
    </row>
    <row r="74" spans="1:5" x14ac:dyDescent="0.3">
      <c r="A74" s="6"/>
      <c r="B74" s="6" t="s">
        <v>572</v>
      </c>
      <c r="C74" s="6"/>
      <c r="D74" s="6"/>
      <c r="E74" s="6">
        <v>-1</v>
      </c>
    </row>
    <row r="75" spans="1:5" x14ac:dyDescent="0.3">
      <c r="A75" s="6"/>
      <c r="B75" s="6" t="s">
        <v>358</v>
      </c>
      <c r="C75" s="6"/>
      <c r="D75" s="6"/>
      <c r="E75" s="6">
        <v>-1</v>
      </c>
    </row>
    <row r="76" spans="1:5" x14ac:dyDescent="0.3">
      <c r="A76" s="6"/>
      <c r="B76" s="6" t="s">
        <v>392</v>
      </c>
      <c r="C76" s="6"/>
      <c r="D76" s="6"/>
      <c r="E76" s="6">
        <v>-1</v>
      </c>
    </row>
    <row r="77" spans="1:5" x14ac:dyDescent="0.3">
      <c r="A77" s="6"/>
      <c r="B77" s="6" t="s">
        <v>560</v>
      </c>
      <c r="C77" s="6"/>
      <c r="D77" s="6"/>
      <c r="E77" s="6">
        <v>-1</v>
      </c>
    </row>
    <row r="78" spans="1:5" x14ac:dyDescent="0.3">
      <c r="A78" s="6"/>
      <c r="B78" s="6" t="s">
        <v>444</v>
      </c>
      <c r="C78" s="6">
        <v>-1</v>
      </c>
      <c r="D78" s="6"/>
      <c r="E78" s="6"/>
    </row>
    <row r="79" spans="1:5" x14ac:dyDescent="0.3">
      <c r="A79" s="6"/>
      <c r="B79" s="6" t="s">
        <v>394</v>
      </c>
      <c r="C79" s="6">
        <v>-1</v>
      </c>
      <c r="D79" s="6"/>
      <c r="E79" s="6"/>
    </row>
    <row r="80" spans="1:5" x14ac:dyDescent="0.3">
      <c r="A80" s="6"/>
      <c r="B80" s="6" t="s">
        <v>718</v>
      </c>
      <c r="C80" s="6">
        <v>-1</v>
      </c>
      <c r="D80" s="6"/>
      <c r="E80" s="6"/>
    </row>
    <row r="81" spans="1:5" x14ac:dyDescent="0.3">
      <c r="A81" s="6"/>
      <c r="B81" s="6" t="s">
        <v>358</v>
      </c>
      <c r="C81" s="6">
        <v>-1</v>
      </c>
      <c r="D81" s="6"/>
      <c r="E81" s="6"/>
    </row>
    <row r="82" spans="1:5" x14ac:dyDescent="0.3">
      <c r="A82" s="6" t="s">
        <v>1352</v>
      </c>
      <c r="B82" s="6" t="s">
        <v>346</v>
      </c>
      <c r="C82" s="6">
        <v>14</v>
      </c>
      <c r="D82" s="6"/>
      <c r="E82" s="6"/>
    </row>
    <row r="83" spans="1:5" x14ac:dyDescent="0.3">
      <c r="A83" s="6"/>
      <c r="B83" s="6" t="s">
        <v>348</v>
      </c>
      <c r="C83" s="6"/>
      <c r="D83" s="6">
        <v>-1</v>
      </c>
      <c r="E83" s="6"/>
    </row>
    <row r="84" spans="1:5" x14ac:dyDescent="0.3">
      <c r="A84" s="6"/>
      <c r="B84" s="6" t="s">
        <v>560</v>
      </c>
      <c r="C84" s="6"/>
      <c r="D84" s="6">
        <v>-1</v>
      </c>
      <c r="E84" s="6"/>
    </row>
    <row r="85" spans="1:5" x14ac:dyDescent="0.3">
      <c r="A85" s="6"/>
      <c r="B85" s="6" t="s">
        <v>694</v>
      </c>
      <c r="C85" s="6"/>
      <c r="D85" s="6">
        <v>-1</v>
      </c>
      <c r="E85" s="6"/>
    </row>
    <row r="86" spans="1:5" x14ac:dyDescent="0.3">
      <c r="A86" s="6"/>
      <c r="B86" s="6" t="s">
        <v>448</v>
      </c>
      <c r="C86" s="6"/>
      <c r="D86" s="6">
        <v>-1</v>
      </c>
      <c r="E86" s="6"/>
    </row>
    <row r="87" spans="1:5" x14ac:dyDescent="0.3">
      <c r="A87" s="6"/>
      <c r="B87" s="6" t="s">
        <v>494</v>
      </c>
      <c r="C87" s="6"/>
      <c r="D87" s="6">
        <v>-1</v>
      </c>
      <c r="E87" s="6"/>
    </row>
    <row r="88" spans="1:5" x14ac:dyDescent="0.3">
      <c r="A88" s="6"/>
      <c r="B88" s="6" t="s">
        <v>682</v>
      </c>
      <c r="C88" s="6"/>
      <c r="D88" s="6">
        <v>-1</v>
      </c>
      <c r="E88" s="6"/>
    </row>
  </sheetData>
  <pageMargins left="0.7" right="0.7" top="0.75" bottom="0.75" header="0.3" footer="0.3"/>
  <tableParts count="1">
    <tablePart r:id="rId1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37756-EF55-455F-A839-2C3AEE942206}">
  <dimension ref="A1:H79"/>
  <sheetViews>
    <sheetView topLeftCell="A73" workbookViewId="0">
      <selection activeCell="B80" sqref="B80"/>
    </sheetView>
  </sheetViews>
  <sheetFormatPr defaultRowHeight="14.4" x14ac:dyDescent="0.3"/>
  <cols>
    <col min="1" max="1" width="47" bestFit="1" customWidth="1"/>
    <col min="2" max="2" width="13.6640625" bestFit="1" customWidth="1"/>
    <col min="3" max="3" width="24.109375" bestFit="1" customWidth="1"/>
    <col min="4" max="4" width="29.44140625" bestFit="1" customWidth="1"/>
    <col min="5" max="5" width="28.21875" bestFit="1" customWidth="1"/>
    <col min="6" max="6" width="23.5546875" bestFit="1" customWidth="1"/>
    <col min="7" max="7" width="17" bestFit="1" customWidth="1"/>
    <col min="8" max="8" width="14.77734375" bestFit="1" customWidth="1"/>
  </cols>
  <sheetData>
    <row r="1" spans="1:8" x14ac:dyDescent="0.3">
      <c r="A1" t="s">
        <v>833</v>
      </c>
      <c r="B1" t="s">
        <v>1</v>
      </c>
      <c r="C1" t="s">
        <v>922</v>
      </c>
      <c r="D1" t="s">
        <v>923</v>
      </c>
      <c r="E1" t="s">
        <v>1143</v>
      </c>
      <c r="F1" t="s">
        <v>924</v>
      </c>
      <c r="G1" t="s">
        <v>1212</v>
      </c>
      <c r="H1" t="s">
        <v>1213</v>
      </c>
    </row>
    <row r="2" spans="1:8" x14ac:dyDescent="0.3">
      <c r="A2" s="6"/>
      <c r="B2" s="6" t="s">
        <v>344</v>
      </c>
      <c r="C2" s="6">
        <v>-1</v>
      </c>
      <c r="D2" s="6"/>
      <c r="E2" s="6"/>
      <c r="F2" s="6"/>
      <c r="G2" s="6">
        <f>Table25[[#This Row],[Total Athletes]]-(LEN(Table25[[#This Row],[Pair]])-LEN(SUBSTITUTE(Table25[[#This Row],[Pair]],"/","")))-1</f>
        <v>-1</v>
      </c>
      <c r="H2" s="6"/>
    </row>
    <row r="3" spans="1:8" x14ac:dyDescent="0.3">
      <c r="A3" s="6" t="s">
        <v>1687</v>
      </c>
      <c r="B3" s="6" t="s">
        <v>344</v>
      </c>
      <c r="C3" s="6"/>
      <c r="D3" s="6">
        <v>3</v>
      </c>
      <c r="E3" s="6"/>
      <c r="F3" s="6"/>
      <c r="G3" s="6">
        <f>Table25[[#This Row],[Total Athletes]]-(LEN(Table25[[#This Row],[Pair]])-LEN(SUBSTITUTE(Table25[[#This Row],[Pair]],"/","")))-1</f>
        <v>1</v>
      </c>
      <c r="H3" s="6">
        <v>2</v>
      </c>
    </row>
    <row r="4" spans="1:8" x14ac:dyDescent="0.3">
      <c r="A4" s="6"/>
      <c r="B4" s="6" t="s">
        <v>344</v>
      </c>
      <c r="C4" s="6"/>
      <c r="D4" s="6"/>
      <c r="E4" s="6">
        <v>-1</v>
      </c>
      <c r="F4" s="6"/>
      <c r="G4" s="6">
        <f>Table25[[#This Row],[Total Athletes]]-(LEN(Table25[[#This Row],[Pair]])-LEN(SUBSTITUTE(Table25[[#This Row],[Pair]],"/","")))-1</f>
        <v>-1</v>
      </c>
      <c r="H4" s="6"/>
    </row>
    <row r="5" spans="1:8" x14ac:dyDescent="0.3">
      <c r="A5" s="6"/>
      <c r="B5" s="6" t="s">
        <v>344</v>
      </c>
      <c r="C5" s="6"/>
      <c r="D5" s="6"/>
      <c r="E5" s="6"/>
      <c r="F5" s="6">
        <v>-1</v>
      </c>
      <c r="G5" s="6">
        <f>Table25[[#This Row],[Total Athletes]]-(LEN(Table25[[#This Row],[Pair]])-LEN(SUBSTITUTE(Table25[[#This Row],[Pair]],"/","")))-1</f>
        <v>-1</v>
      </c>
      <c r="H5" s="6"/>
    </row>
    <row r="6" spans="1:8" x14ac:dyDescent="0.3">
      <c r="A6" s="6"/>
      <c r="B6" s="6" t="s">
        <v>412</v>
      </c>
      <c r="C6" s="6">
        <v>-1</v>
      </c>
      <c r="D6" s="6"/>
      <c r="E6" s="6"/>
      <c r="F6" s="6"/>
      <c r="G6" s="6">
        <f>Table25[[#This Row],[Total Athletes]]-(LEN(Table25[[#This Row],[Pair]])-LEN(SUBSTITUTE(Table25[[#This Row],[Pair]],"/","")))-1</f>
        <v>-1</v>
      </c>
      <c r="H6" s="6"/>
    </row>
    <row r="7" spans="1:8" x14ac:dyDescent="0.3">
      <c r="A7" s="6" t="s">
        <v>5052</v>
      </c>
      <c r="B7" s="6" t="s">
        <v>444</v>
      </c>
      <c r="C7" s="6">
        <v>8</v>
      </c>
      <c r="D7" s="6"/>
      <c r="E7" s="6"/>
      <c r="F7" s="6"/>
      <c r="G7" s="6">
        <f>Table25[[#This Row],[Total Athletes]]-(LEN(Table25[[#This Row],[Pair]])-LEN(SUBSTITUTE(Table25[[#This Row],[Pair]],"/","")))-1</f>
        <v>0</v>
      </c>
      <c r="H7" s="6">
        <v>2</v>
      </c>
    </row>
    <row r="8" spans="1:8" x14ac:dyDescent="0.3">
      <c r="A8" s="6"/>
      <c r="B8" s="6" t="s">
        <v>330</v>
      </c>
      <c r="C8" s="6">
        <v>-1</v>
      </c>
      <c r="D8" s="6"/>
      <c r="E8" s="6"/>
      <c r="F8" s="6"/>
      <c r="G8" s="6">
        <f>Table25[[#This Row],[Total Athletes]]-(LEN(Table25[[#This Row],[Pair]])-LEN(SUBSTITUTE(Table25[[#This Row],[Pair]],"/","")))-1</f>
        <v>-1</v>
      </c>
      <c r="H8" s="6"/>
    </row>
    <row r="9" spans="1:8" x14ac:dyDescent="0.3">
      <c r="A9" s="6"/>
      <c r="B9" s="6" t="s">
        <v>474</v>
      </c>
      <c r="C9" s="6">
        <v>-1</v>
      </c>
      <c r="D9" s="6"/>
      <c r="E9" s="6"/>
      <c r="F9" s="6"/>
      <c r="G9" s="6">
        <f>Table25[[#This Row],[Total Athletes]]-(LEN(Table25[[#This Row],[Pair]])-LEN(SUBSTITUTE(Table25[[#This Row],[Pair]],"/","")))-1</f>
        <v>-1</v>
      </c>
      <c r="H9" s="6"/>
    </row>
    <row r="10" spans="1:8" x14ac:dyDescent="0.3">
      <c r="A10" s="6" t="s">
        <v>2006</v>
      </c>
      <c r="B10" s="6" t="s">
        <v>332</v>
      </c>
      <c r="C10" s="6">
        <v>3</v>
      </c>
      <c r="D10" s="6"/>
      <c r="E10" s="6"/>
      <c r="F10" s="6"/>
      <c r="G10" s="6">
        <f>Table25[[#This Row],[Total Athletes]]-(LEN(Table25[[#This Row],[Pair]])-LEN(SUBSTITUTE(Table25[[#This Row],[Pair]],"/","")))-1</f>
        <v>1</v>
      </c>
      <c r="H10" s="6">
        <v>2</v>
      </c>
    </row>
    <row r="11" spans="1:8" x14ac:dyDescent="0.3">
      <c r="A11" s="6" t="s">
        <v>4691</v>
      </c>
      <c r="B11" s="6" t="s">
        <v>402</v>
      </c>
      <c r="C11" s="6">
        <v>7</v>
      </c>
      <c r="D11" s="6"/>
      <c r="E11" s="6"/>
      <c r="F11" s="6"/>
      <c r="G11" s="6">
        <f>Table25[[#This Row],[Total Athletes]]-(LEN(Table25[[#This Row],[Pair]])-LEN(SUBSTITUTE(Table25[[#This Row],[Pair]],"/","")))-1</f>
        <v>0</v>
      </c>
      <c r="H11" s="6">
        <v>2</v>
      </c>
    </row>
    <row r="12" spans="1:8" x14ac:dyDescent="0.3">
      <c r="A12" s="6" t="s">
        <v>3356</v>
      </c>
      <c r="B12" s="6" t="s">
        <v>394</v>
      </c>
      <c r="C12" s="6">
        <v>5</v>
      </c>
      <c r="D12" s="6"/>
      <c r="E12" s="6"/>
      <c r="F12" s="6"/>
      <c r="G12" s="6">
        <f>Table25[[#This Row],[Total Athletes]]-(LEN(Table25[[#This Row],[Pair]])-LEN(SUBSTITUTE(Table25[[#This Row],[Pair]],"/","")))-1</f>
        <v>1</v>
      </c>
      <c r="H12" s="6">
        <v>2</v>
      </c>
    </row>
    <row r="13" spans="1:8" x14ac:dyDescent="0.3">
      <c r="A13" s="6" t="s">
        <v>4632</v>
      </c>
      <c r="B13" s="6" t="s">
        <v>450</v>
      </c>
      <c r="C13" s="6">
        <v>9</v>
      </c>
      <c r="D13" s="6"/>
      <c r="E13" s="6"/>
      <c r="F13" s="6"/>
      <c r="G13" s="6">
        <f>Table25[[#This Row],[Total Athletes]]-(LEN(Table25[[#This Row],[Pair]])-LEN(SUBSTITUTE(Table25[[#This Row],[Pair]],"/","")))-1</f>
        <v>0</v>
      </c>
      <c r="H13" s="6">
        <v>2</v>
      </c>
    </row>
    <row r="14" spans="1:8" x14ac:dyDescent="0.3">
      <c r="A14" s="6"/>
      <c r="B14" s="6" t="s">
        <v>414</v>
      </c>
      <c r="C14" s="6">
        <v>-1</v>
      </c>
      <c r="D14" s="6"/>
      <c r="E14" s="6"/>
      <c r="F14" s="6"/>
      <c r="G14" s="6">
        <f>Table25[[#This Row],[Total Athletes]]-(LEN(Table25[[#This Row],[Pair]])-LEN(SUBSTITUTE(Table25[[#This Row],[Pair]],"/","")))-1</f>
        <v>-1</v>
      </c>
      <c r="H14" s="6"/>
    </row>
    <row r="15" spans="1:8" x14ac:dyDescent="0.3">
      <c r="A15" s="6"/>
      <c r="B15" s="6" t="s">
        <v>358</v>
      </c>
      <c r="C15" s="6">
        <v>-1</v>
      </c>
      <c r="D15" s="6"/>
      <c r="E15" s="6"/>
      <c r="F15" s="6"/>
      <c r="G15" s="6">
        <f>Table25[[#This Row],[Total Athletes]]-(LEN(Table25[[#This Row],[Pair]])-LEN(SUBSTITUTE(Table25[[#This Row],[Pair]],"/","")))-1</f>
        <v>-1</v>
      </c>
      <c r="H15" s="6"/>
    </row>
    <row r="16" spans="1:8" x14ac:dyDescent="0.3">
      <c r="A16" s="6" t="s">
        <v>3145</v>
      </c>
      <c r="B16" s="6" t="s">
        <v>338</v>
      </c>
      <c r="C16" s="6"/>
      <c r="D16" s="6">
        <v>2</v>
      </c>
      <c r="E16" s="6"/>
      <c r="F16" s="6"/>
      <c r="G16" s="6">
        <f>Table25[[#This Row],[Total Athletes]]-(LEN(Table25[[#This Row],[Pair]])-LEN(SUBSTITUTE(Table25[[#This Row],[Pair]],"/","")))-1</f>
        <v>0</v>
      </c>
      <c r="H16" s="6">
        <v>2</v>
      </c>
    </row>
    <row r="17" spans="1:8" x14ac:dyDescent="0.3">
      <c r="A17" s="6"/>
      <c r="B17" s="6" t="s">
        <v>412</v>
      </c>
      <c r="C17" s="6"/>
      <c r="D17" s="6">
        <v>-1</v>
      </c>
      <c r="E17" s="6"/>
      <c r="F17" s="6"/>
      <c r="G17" s="6">
        <f>Table25[[#This Row],[Total Athletes]]-(LEN(Table25[[#This Row],[Pair]])-LEN(SUBSTITUTE(Table25[[#This Row],[Pair]],"/","")))-1</f>
        <v>-1</v>
      </c>
      <c r="H17" s="6"/>
    </row>
    <row r="18" spans="1:8" x14ac:dyDescent="0.3">
      <c r="A18" s="6" t="s">
        <v>2441</v>
      </c>
      <c r="B18" s="6" t="s">
        <v>354</v>
      </c>
      <c r="C18" s="6"/>
      <c r="D18" s="6">
        <v>9</v>
      </c>
      <c r="E18" s="6"/>
      <c r="F18" s="6"/>
      <c r="G18" s="6">
        <f>Table25[[#This Row],[Total Athletes]]-(LEN(Table25[[#This Row],[Pair]])-LEN(SUBSTITUTE(Table25[[#This Row],[Pair]],"/","")))-1</f>
        <v>0</v>
      </c>
      <c r="H18" s="6">
        <v>2</v>
      </c>
    </row>
    <row r="19" spans="1:8" x14ac:dyDescent="0.3">
      <c r="A19" s="6"/>
      <c r="B19" s="6" t="s">
        <v>520</v>
      </c>
      <c r="C19" s="6"/>
      <c r="D19" s="6">
        <v>-1</v>
      </c>
      <c r="E19" s="6"/>
      <c r="F19" s="6"/>
      <c r="G19" s="6">
        <f>Table25[[#This Row],[Total Athletes]]-(LEN(Table25[[#This Row],[Pair]])-LEN(SUBSTITUTE(Table25[[#This Row],[Pair]],"/","")))-1</f>
        <v>-1</v>
      </c>
      <c r="H19" s="6"/>
    </row>
    <row r="20" spans="1:8" x14ac:dyDescent="0.3">
      <c r="A20" s="6" t="s">
        <v>1269</v>
      </c>
      <c r="B20" s="6" t="s">
        <v>402</v>
      </c>
      <c r="C20" s="6"/>
      <c r="D20" s="6">
        <v>16</v>
      </c>
      <c r="E20" s="6"/>
      <c r="F20" s="6"/>
      <c r="G20" s="6">
        <f>Table25[[#This Row],[Total Athletes]]-(LEN(Table25[[#This Row],[Pair]])-LEN(SUBSTITUTE(Table25[[#This Row],[Pair]],"/","")))-1</f>
        <v>1</v>
      </c>
      <c r="H20" s="6">
        <v>2</v>
      </c>
    </row>
    <row r="21" spans="1:8" x14ac:dyDescent="0.3">
      <c r="A21" s="6"/>
      <c r="B21" s="6" t="s">
        <v>474</v>
      </c>
      <c r="C21" s="6"/>
      <c r="D21" s="6">
        <v>-1</v>
      </c>
      <c r="E21" s="6"/>
      <c r="F21" s="6"/>
      <c r="G21" s="6">
        <f>Table25[[#This Row],[Total Athletes]]-(LEN(Table25[[#This Row],[Pair]])-LEN(SUBSTITUTE(Table25[[#This Row],[Pair]],"/","")))-1</f>
        <v>-1</v>
      </c>
      <c r="H21" s="6"/>
    </row>
    <row r="22" spans="1:8" x14ac:dyDescent="0.3">
      <c r="A22" s="6"/>
      <c r="B22" s="6" t="s">
        <v>332</v>
      </c>
      <c r="C22" s="6"/>
      <c r="D22" s="6">
        <v>-1</v>
      </c>
      <c r="E22" s="6"/>
      <c r="F22" s="6"/>
      <c r="G22" s="6">
        <f>Table25[[#This Row],[Total Athletes]]-(LEN(Table25[[#This Row],[Pair]])-LEN(SUBSTITUTE(Table25[[#This Row],[Pair]],"/","")))-1</f>
        <v>-1</v>
      </c>
      <c r="H22" s="6"/>
    </row>
    <row r="23" spans="1:8" x14ac:dyDescent="0.3">
      <c r="A23" s="6" t="s">
        <v>5007</v>
      </c>
      <c r="B23" s="6" t="s">
        <v>364</v>
      </c>
      <c r="C23" s="6"/>
      <c r="D23" s="6">
        <v>4</v>
      </c>
      <c r="E23" s="6"/>
      <c r="F23" s="6"/>
      <c r="G23" s="6">
        <f>Table25[[#This Row],[Total Athletes]]-(LEN(Table25[[#This Row],[Pair]])-LEN(SUBSTITUTE(Table25[[#This Row],[Pair]],"/","")))-1</f>
        <v>0</v>
      </c>
      <c r="H23" s="6">
        <v>2</v>
      </c>
    </row>
    <row r="24" spans="1:8" x14ac:dyDescent="0.3">
      <c r="A24" s="6" t="s">
        <v>2592</v>
      </c>
      <c r="B24" s="6" t="s">
        <v>330</v>
      </c>
      <c r="C24" s="6"/>
      <c r="D24" s="6">
        <v>12</v>
      </c>
      <c r="E24" s="6"/>
      <c r="F24" s="6"/>
      <c r="G24" s="6">
        <f>Table25[[#This Row],[Total Athletes]]-(LEN(Table25[[#This Row],[Pair]])-LEN(SUBSTITUTE(Table25[[#This Row],[Pair]],"/","")))-1</f>
        <v>1</v>
      </c>
      <c r="H24" s="6">
        <v>2</v>
      </c>
    </row>
    <row r="25" spans="1:8" x14ac:dyDescent="0.3">
      <c r="A25" s="6"/>
      <c r="B25" s="6" t="s">
        <v>414</v>
      </c>
      <c r="C25" s="6"/>
      <c r="D25" s="6">
        <v>-1</v>
      </c>
      <c r="E25" s="6"/>
      <c r="F25" s="6"/>
      <c r="G25" s="6">
        <f>Table25[[#This Row],[Total Athletes]]-(LEN(Table25[[#This Row],[Pair]])-LEN(SUBSTITUTE(Table25[[#This Row],[Pair]],"/","")))-1</f>
        <v>-1</v>
      </c>
      <c r="H25" s="6"/>
    </row>
    <row r="26" spans="1:8" x14ac:dyDescent="0.3">
      <c r="A26" s="6"/>
      <c r="B26" s="6" t="s">
        <v>428</v>
      </c>
      <c r="C26" s="6"/>
      <c r="D26" s="6"/>
      <c r="E26" s="6"/>
      <c r="F26" s="6">
        <v>-1</v>
      </c>
      <c r="G26" s="6">
        <f>Table25[[#This Row],[Total Athletes]]-(LEN(Table25[[#This Row],[Pair]])-LEN(SUBSTITUTE(Table25[[#This Row],[Pair]],"/","")))-1</f>
        <v>-1</v>
      </c>
      <c r="H26" s="6"/>
    </row>
    <row r="27" spans="1:8" x14ac:dyDescent="0.3">
      <c r="A27" s="6"/>
      <c r="B27" s="6" t="s">
        <v>330</v>
      </c>
      <c r="C27" s="6"/>
      <c r="D27" s="6"/>
      <c r="E27" s="6"/>
      <c r="F27" s="6">
        <v>-1</v>
      </c>
      <c r="G27" s="6">
        <f>Table25[[#This Row],[Total Athletes]]-(LEN(Table25[[#This Row],[Pair]])-LEN(SUBSTITUTE(Table25[[#This Row],[Pair]],"/","")))-1</f>
        <v>-1</v>
      </c>
      <c r="H27" s="6"/>
    </row>
    <row r="28" spans="1:8" x14ac:dyDescent="0.3">
      <c r="A28" s="6"/>
      <c r="B28" s="6" t="s">
        <v>358</v>
      </c>
      <c r="C28" s="6"/>
      <c r="D28" s="6"/>
      <c r="E28" s="6"/>
      <c r="F28" s="6">
        <v>-1</v>
      </c>
      <c r="G28" s="6">
        <f>Table25[[#This Row],[Total Athletes]]-(LEN(Table25[[#This Row],[Pair]])-LEN(SUBSTITUTE(Table25[[#This Row],[Pair]],"/","")))-1</f>
        <v>-1</v>
      </c>
      <c r="H28" s="6"/>
    </row>
    <row r="29" spans="1:8" x14ac:dyDescent="0.3">
      <c r="A29" s="6"/>
      <c r="B29" s="6" t="s">
        <v>334</v>
      </c>
      <c r="C29" s="6"/>
      <c r="D29" s="6"/>
      <c r="E29" s="6"/>
      <c r="F29" s="6">
        <v>-1</v>
      </c>
      <c r="G29" s="6">
        <f>Table25[[#This Row],[Total Athletes]]-(LEN(Table25[[#This Row],[Pair]])-LEN(SUBSTITUTE(Table25[[#This Row],[Pair]],"/","")))-1</f>
        <v>-1</v>
      </c>
      <c r="H29" s="6"/>
    </row>
    <row r="30" spans="1:8" x14ac:dyDescent="0.3">
      <c r="A30" s="6"/>
      <c r="B30" s="6" t="s">
        <v>338</v>
      </c>
      <c r="C30" s="6"/>
      <c r="D30" s="6"/>
      <c r="E30" s="6"/>
      <c r="F30" s="6">
        <v>-1</v>
      </c>
      <c r="G30" s="6">
        <f>Table25[[#This Row],[Total Athletes]]-(LEN(Table25[[#This Row],[Pair]])-LEN(SUBSTITUTE(Table25[[#This Row],[Pair]],"/","")))-1</f>
        <v>-1</v>
      </c>
      <c r="H30" s="6"/>
    </row>
    <row r="31" spans="1:8" x14ac:dyDescent="0.3">
      <c r="A31" s="6"/>
      <c r="B31" s="6" t="s">
        <v>598</v>
      </c>
      <c r="C31" s="6"/>
      <c r="D31" s="6"/>
      <c r="E31" s="6"/>
      <c r="F31" s="6">
        <v>-1</v>
      </c>
      <c r="G31" s="6">
        <f>Table25[[#This Row],[Total Athletes]]-(LEN(Table25[[#This Row],[Pair]])-LEN(SUBSTITUTE(Table25[[#This Row],[Pair]],"/","")))-1</f>
        <v>-1</v>
      </c>
      <c r="H31" s="6"/>
    </row>
    <row r="32" spans="1:8" x14ac:dyDescent="0.3">
      <c r="A32" s="6" t="s">
        <v>1347</v>
      </c>
      <c r="B32" s="6" t="s">
        <v>346</v>
      </c>
      <c r="C32" s="6"/>
      <c r="D32" s="6"/>
      <c r="E32" s="6"/>
      <c r="F32" s="6">
        <v>5</v>
      </c>
      <c r="G32" s="6">
        <f>Table25[[#This Row],[Total Athletes]]-(LEN(Table25[[#This Row],[Pair]])-LEN(SUBSTITUTE(Table25[[#This Row],[Pair]],"/","")))-1</f>
        <v>1</v>
      </c>
      <c r="H32" s="6">
        <v>2</v>
      </c>
    </row>
    <row r="33" spans="1:8" x14ac:dyDescent="0.3">
      <c r="A33" s="6"/>
      <c r="B33" s="6" t="s">
        <v>444</v>
      </c>
      <c r="C33" s="6"/>
      <c r="D33" s="6"/>
      <c r="E33" s="6"/>
      <c r="F33" s="6">
        <v>-1</v>
      </c>
      <c r="G33" s="6">
        <f>Table25[[#This Row],[Total Athletes]]-(LEN(Table25[[#This Row],[Pair]])-LEN(SUBSTITUTE(Table25[[#This Row],[Pair]],"/","")))-1</f>
        <v>-1</v>
      </c>
      <c r="H33" s="6"/>
    </row>
    <row r="34" spans="1:8" x14ac:dyDescent="0.3">
      <c r="A34" s="6"/>
      <c r="B34" s="6" t="s">
        <v>356</v>
      </c>
      <c r="C34" s="6"/>
      <c r="D34" s="6"/>
      <c r="E34" s="6">
        <v>-1</v>
      </c>
      <c r="F34" s="6"/>
      <c r="G34" s="6">
        <f>Table25[[#This Row],[Total Athletes]]-(LEN(Table25[[#This Row],[Pair]])-LEN(SUBSTITUTE(Table25[[#This Row],[Pair]],"/","")))-1</f>
        <v>-1</v>
      </c>
      <c r="H34" s="6"/>
    </row>
    <row r="35" spans="1:8" x14ac:dyDescent="0.3">
      <c r="A35" s="6" t="s">
        <v>1472</v>
      </c>
      <c r="B35" s="6" t="s">
        <v>402</v>
      </c>
      <c r="C35" s="6"/>
      <c r="D35" s="6"/>
      <c r="E35" s="6">
        <v>4</v>
      </c>
      <c r="F35" s="6"/>
      <c r="G35" s="6">
        <f>Table25[[#This Row],[Total Athletes]]-(LEN(Table25[[#This Row],[Pair]])-LEN(SUBSTITUTE(Table25[[#This Row],[Pair]],"/","")))-1</f>
        <v>1</v>
      </c>
      <c r="H35" s="6">
        <v>2</v>
      </c>
    </row>
    <row r="36" spans="1:8" x14ac:dyDescent="0.3">
      <c r="A36" s="6" t="s">
        <v>3153</v>
      </c>
      <c r="B36" s="6" t="s">
        <v>338</v>
      </c>
      <c r="C36" s="6"/>
      <c r="D36" s="6"/>
      <c r="E36" s="6">
        <v>10</v>
      </c>
      <c r="F36" s="6"/>
      <c r="G36" s="6">
        <f>Table25[[#This Row],[Total Athletes]]-(LEN(Table25[[#This Row],[Pair]])-LEN(SUBSTITUTE(Table25[[#This Row],[Pair]],"/","")))-1</f>
        <v>1</v>
      </c>
      <c r="H36" s="6">
        <v>2</v>
      </c>
    </row>
    <row r="37" spans="1:8" x14ac:dyDescent="0.3">
      <c r="A37" s="6" t="s">
        <v>3785</v>
      </c>
      <c r="B37" s="6" t="s">
        <v>412</v>
      </c>
      <c r="C37" s="6"/>
      <c r="D37" s="6"/>
      <c r="E37" s="6">
        <v>6</v>
      </c>
      <c r="F37" s="6"/>
      <c r="G37" s="6">
        <f>Table25[[#This Row],[Total Athletes]]-(LEN(Table25[[#This Row],[Pair]])-LEN(SUBSTITUTE(Table25[[#This Row],[Pair]],"/","")))-1</f>
        <v>0</v>
      </c>
      <c r="H37" s="6">
        <v>2</v>
      </c>
    </row>
    <row r="38" spans="1:8" x14ac:dyDescent="0.3">
      <c r="A38" s="6" t="s">
        <v>3765</v>
      </c>
      <c r="B38" s="6" t="s">
        <v>334</v>
      </c>
      <c r="C38" s="6"/>
      <c r="D38" s="6"/>
      <c r="E38" s="6">
        <v>8</v>
      </c>
      <c r="F38" s="6"/>
      <c r="G38" s="6">
        <f>Table25[[#This Row],[Total Athletes]]-(LEN(Table25[[#This Row],[Pair]])-LEN(SUBSTITUTE(Table25[[#This Row],[Pair]],"/","")))-1</f>
        <v>1</v>
      </c>
      <c r="H38" s="6">
        <v>2</v>
      </c>
    </row>
    <row r="39" spans="1:8" x14ac:dyDescent="0.3">
      <c r="A39" s="6"/>
      <c r="B39" s="6" t="s">
        <v>474</v>
      </c>
      <c r="C39" s="6"/>
      <c r="D39" s="6"/>
      <c r="E39" s="6">
        <v>-1</v>
      </c>
      <c r="F39" s="6"/>
      <c r="G39" s="6">
        <f>Table25[[#This Row],[Total Athletes]]-(LEN(Table25[[#This Row],[Pair]])-LEN(SUBSTITUTE(Table25[[#This Row],[Pair]],"/","")))-1</f>
        <v>-1</v>
      </c>
      <c r="H39" s="6"/>
    </row>
    <row r="40" spans="1:8" x14ac:dyDescent="0.3">
      <c r="A40" s="6" t="s">
        <v>3812</v>
      </c>
      <c r="B40" s="6" t="s">
        <v>340</v>
      </c>
      <c r="C40" s="6"/>
      <c r="D40" s="6"/>
      <c r="E40" s="6">
        <v>2</v>
      </c>
      <c r="F40" s="6"/>
      <c r="G40" s="6">
        <f>Table25[[#This Row],[Total Athletes]]-(LEN(Table25[[#This Row],[Pair]])-LEN(SUBSTITUTE(Table25[[#This Row],[Pair]],"/","")))-1</f>
        <v>1</v>
      </c>
      <c r="H40" s="6">
        <v>2</v>
      </c>
    </row>
    <row r="41" spans="1:8" x14ac:dyDescent="0.3">
      <c r="A41" s="6" t="s">
        <v>1451</v>
      </c>
      <c r="B41" s="6" t="s">
        <v>372</v>
      </c>
      <c r="C41" s="6"/>
      <c r="D41" s="6"/>
      <c r="E41" s="6">
        <v>7</v>
      </c>
      <c r="F41" s="6"/>
      <c r="G41" s="6">
        <f>Table25[[#This Row],[Total Athletes]]-(LEN(Table25[[#This Row],[Pair]])-LEN(SUBSTITUTE(Table25[[#This Row],[Pair]],"/","")))-1</f>
        <v>1</v>
      </c>
      <c r="H41" s="6">
        <v>2</v>
      </c>
    </row>
    <row r="42" spans="1:8" x14ac:dyDescent="0.3">
      <c r="A42" s="6" t="s">
        <v>1274</v>
      </c>
      <c r="B42" s="6" t="s">
        <v>330</v>
      </c>
      <c r="C42" s="6"/>
      <c r="D42" s="6"/>
      <c r="E42" s="6">
        <v>11</v>
      </c>
      <c r="F42" s="6"/>
      <c r="G42" s="6">
        <f>Table25[[#This Row],[Total Athletes]]-(LEN(Table25[[#This Row],[Pair]])-LEN(SUBSTITUTE(Table25[[#This Row],[Pair]],"/","")))-1</f>
        <v>0</v>
      </c>
      <c r="H42" s="6">
        <v>2</v>
      </c>
    </row>
    <row r="43" spans="1:8" x14ac:dyDescent="0.3">
      <c r="A43" s="6"/>
      <c r="B43" s="6" t="s">
        <v>384</v>
      </c>
      <c r="C43" s="6">
        <v>-1</v>
      </c>
      <c r="D43" s="6"/>
      <c r="E43" s="6"/>
      <c r="F43" s="6"/>
      <c r="G43" s="6">
        <f>Table25[[#This Row],[Total Athletes]]-(LEN(Table25[[#This Row],[Pair]])-LEN(SUBSTITUTE(Table25[[#This Row],[Pair]],"/","")))-1</f>
        <v>-1</v>
      </c>
      <c r="H43" s="6"/>
    </row>
    <row r="44" spans="1:8" x14ac:dyDescent="0.3">
      <c r="A44" s="6"/>
      <c r="B44" s="6" t="s">
        <v>410</v>
      </c>
      <c r="C44" s="6">
        <v>-1</v>
      </c>
      <c r="D44" s="6"/>
      <c r="E44" s="6"/>
      <c r="F44" s="6"/>
      <c r="G44" s="6">
        <f>Table25[[#This Row],[Total Athletes]]-(LEN(Table25[[#This Row],[Pair]])-LEN(SUBSTITUTE(Table25[[#This Row],[Pair]],"/","")))-1</f>
        <v>-1</v>
      </c>
      <c r="H44" s="6"/>
    </row>
    <row r="45" spans="1:8" x14ac:dyDescent="0.3">
      <c r="A45" s="6"/>
      <c r="B45" s="6" t="s">
        <v>384</v>
      </c>
      <c r="C45" s="6"/>
      <c r="D45" s="6">
        <v>-1</v>
      </c>
      <c r="E45" s="6"/>
      <c r="F45" s="6"/>
      <c r="G45" s="6">
        <f>Table25[[#This Row],[Total Athletes]]-(LEN(Table25[[#This Row],[Pair]])-LEN(SUBSTITUTE(Table25[[#This Row],[Pair]],"/","")))-1</f>
        <v>-1</v>
      </c>
      <c r="H45" s="6"/>
    </row>
    <row r="46" spans="1:8" x14ac:dyDescent="0.3">
      <c r="A46" s="6" t="s">
        <v>3071</v>
      </c>
      <c r="B46" s="6" t="s">
        <v>336</v>
      </c>
      <c r="C46" s="6"/>
      <c r="D46" s="6">
        <v>8</v>
      </c>
      <c r="E46" s="6"/>
      <c r="F46" s="6"/>
      <c r="G46" s="6">
        <f>Table25[[#This Row],[Total Athletes]]-(LEN(Table25[[#This Row],[Pair]])-LEN(SUBSTITUTE(Table25[[#This Row],[Pair]],"/","")))-1</f>
        <v>1</v>
      </c>
      <c r="H46" s="6">
        <v>2</v>
      </c>
    </row>
    <row r="47" spans="1:8" x14ac:dyDescent="0.3">
      <c r="A47" s="6" t="s">
        <v>2024</v>
      </c>
      <c r="B47" s="6" t="s">
        <v>332</v>
      </c>
      <c r="C47" s="6"/>
      <c r="D47" s="6"/>
      <c r="E47" s="6">
        <v>16</v>
      </c>
      <c r="F47" s="6"/>
      <c r="G47" s="6">
        <f>Table25[[#This Row],[Total Athletes]]-(LEN(Table25[[#This Row],[Pair]])-LEN(SUBSTITUTE(Table25[[#This Row],[Pair]],"/","")))-1</f>
        <v>0</v>
      </c>
      <c r="H47" s="6">
        <v>2</v>
      </c>
    </row>
    <row r="48" spans="1:8" x14ac:dyDescent="0.3">
      <c r="A48" s="6" t="s">
        <v>3045</v>
      </c>
      <c r="B48" s="6" t="s">
        <v>336</v>
      </c>
      <c r="C48" s="6"/>
      <c r="D48" s="6"/>
      <c r="E48" s="6">
        <v>9</v>
      </c>
      <c r="F48" s="6"/>
      <c r="G48" s="6">
        <f>Table25[[#This Row],[Total Athletes]]-(LEN(Table25[[#This Row],[Pair]])-LEN(SUBSTITUTE(Table25[[#This Row],[Pair]],"/","")))-1</f>
        <v>1</v>
      </c>
      <c r="H48" s="6">
        <v>2</v>
      </c>
    </row>
    <row r="49" spans="1:8" x14ac:dyDescent="0.3">
      <c r="A49" s="6" t="s">
        <v>1626</v>
      </c>
      <c r="B49" s="6" t="s">
        <v>596</v>
      </c>
      <c r="C49" s="6">
        <v>4</v>
      </c>
      <c r="D49" s="6"/>
      <c r="E49" s="6"/>
      <c r="F49" s="6"/>
      <c r="G49" s="6">
        <f>Table25[[#This Row],[Total Athletes]]-(LEN(Table25[[#This Row],[Pair]])-LEN(SUBSTITUTE(Table25[[#This Row],[Pair]],"/","")))-1</f>
        <v>1</v>
      </c>
      <c r="H49" s="6">
        <v>2</v>
      </c>
    </row>
    <row r="50" spans="1:8" x14ac:dyDescent="0.3">
      <c r="A50" s="6" t="s">
        <v>4480</v>
      </c>
      <c r="B50" s="6" t="s">
        <v>356</v>
      </c>
      <c r="C50" s="6"/>
      <c r="D50" s="6">
        <v>5</v>
      </c>
      <c r="E50" s="6"/>
      <c r="F50" s="6"/>
      <c r="G50" s="6">
        <f>Table25[[#This Row],[Total Athletes]]-(LEN(Table25[[#This Row],[Pair]])-LEN(SUBSTITUTE(Table25[[#This Row],[Pair]],"/","")))-1</f>
        <v>1</v>
      </c>
      <c r="H50" s="6">
        <v>2</v>
      </c>
    </row>
    <row r="51" spans="1:8" x14ac:dyDescent="0.3">
      <c r="A51" s="6"/>
      <c r="B51" s="6" t="s">
        <v>358</v>
      </c>
      <c r="C51" s="6"/>
      <c r="D51" s="6"/>
      <c r="E51" s="6">
        <v>-1</v>
      </c>
      <c r="F51" s="6"/>
      <c r="G51" s="6">
        <f>Table25[[#This Row],[Total Athletes]]-(LEN(Table25[[#This Row],[Pair]])-LEN(SUBSTITUTE(Table25[[#This Row],[Pair]],"/","")))-1</f>
        <v>-1</v>
      </c>
      <c r="H51" s="6"/>
    </row>
    <row r="52" spans="1:8" x14ac:dyDescent="0.3">
      <c r="A52" s="6" t="s">
        <v>2367</v>
      </c>
      <c r="B52" s="6" t="s">
        <v>354</v>
      </c>
      <c r="C52" s="6">
        <v>15</v>
      </c>
      <c r="D52" s="6"/>
      <c r="E52" s="6"/>
      <c r="F52" s="6"/>
      <c r="G52" s="6">
        <f>Table25[[#This Row],[Total Athletes]]-(LEN(Table25[[#This Row],[Pair]])-LEN(SUBSTITUTE(Table25[[#This Row],[Pair]],"/","")))-1</f>
        <v>0</v>
      </c>
      <c r="H52" s="6">
        <v>2</v>
      </c>
    </row>
    <row r="53" spans="1:8" x14ac:dyDescent="0.3">
      <c r="A53" s="6"/>
      <c r="B53" s="6" t="s">
        <v>354</v>
      </c>
      <c r="C53" s="6"/>
      <c r="D53" s="6"/>
      <c r="E53" s="6">
        <v>-1</v>
      </c>
      <c r="F53" s="6"/>
      <c r="G53" s="6">
        <f>Table25[[#This Row],[Total Athletes]]-(LEN(Table25[[#This Row],[Pair]])-LEN(SUBSTITUTE(Table25[[#This Row],[Pair]],"/","")))-1</f>
        <v>-1</v>
      </c>
      <c r="H53" s="6"/>
    </row>
    <row r="54" spans="1:8" x14ac:dyDescent="0.3">
      <c r="A54" s="6" t="s">
        <v>3530</v>
      </c>
      <c r="B54" s="6" t="s">
        <v>354</v>
      </c>
      <c r="C54" s="6"/>
      <c r="D54" s="6"/>
      <c r="E54" s="6"/>
      <c r="F54" s="6">
        <v>9</v>
      </c>
      <c r="G54" s="6">
        <f>Table25[[#This Row],[Total Athletes]]-(LEN(Table25[[#This Row],[Pair]])-LEN(SUBSTITUTE(Table25[[#This Row],[Pair]],"/","")))-1</f>
        <v>0</v>
      </c>
      <c r="H54" s="6">
        <v>2</v>
      </c>
    </row>
    <row r="55" spans="1:8" x14ac:dyDescent="0.3">
      <c r="A55" s="6"/>
      <c r="B55" s="6" t="s">
        <v>328</v>
      </c>
      <c r="C55" s="6">
        <v>-1</v>
      </c>
      <c r="D55" s="6"/>
      <c r="E55" s="6"/>
      <c r="F55" s="6"/>
      <c r="G55" s="6">
        <f>Table25[[#This Row],[Total Athletes]]-(LEN(Table25[[#This Row],[Pair]])-LEN(SUBSTITUTE(Table25[[#This Row],[Pair]],"/","")))-1</f>
        <v>-1</v>
      </c>
      <c r="H55" s="6"/>
    </row>
    <row r="56" spans="1:8" x14ac:dyDescent="0.3">
      <c r="A56" s="6"/>
      <c r="B56" s="6" t="s">
        <v>328</v>
      </c>
      <c r="C56" s="6"/>
      <c r="D56" s="6">
        <v>-1</v>
      </c>
      <c r="E56" s="6"/>
      <c r="F56" s="6"/>
      <c r="G56" s="6">
        <f>Table25[[#This Row],[Total Athletes]]-(LEN(Table25[[#This Row],[Pair]])-LEN(SUBSTITUTE(Table25[[#This Row],[Pair]],"/","")))-1</f>
        <v>-1</v>
      </c>
      <c r="H56" s="6"/>
    </row>
    <row r="57" spans="1:8" x14ac:dyDescent="0.3">
      <c r="A57" s="6"/>
      <c r="B57" s="6" t="s">
        <v>328</v>
      </c>
      <c r="C57" s="6"/>
      <c r="D57" s="6"/>
      <c r="E57" s="6">
        <v>-1</v>
      </c>
      <c r="F57" s="6"/>
      <c r="G57" s="6">
        <f>Table25[[#This Row],[Total Athletes]]-(LEN(Table25[[#This Row],[Pair]])-LEN(SUBSTITUTE(Table25[[#This Row],[Pair]],"/","")))-1</f>
        <v>-1</v>
      </c>
      <c r="H57" s="6"/>
    </row>
    <row r="58" spans="1:8" x14ac:dyDescent="0.3">
      <c r="A58" s="6"/>
      <c r="B58" s="6" t="s">
        <v>328</v>
      </c>
      <c r="C58" s="6"/>
      <c r="D58" s="6"/>
      <c r="E58" s="6"/>
      <c r="F58" s="6">
        <v>-1</v>
      </c>
      <c r="G58" s="6">
        <f>Table25[[#This Row],[Total Athletes]]-(LEN(Table25[[#This Row],[Pair]])-LEN(SUBSTITUTE(Table25[[#This Row],[Pair]],"/","")))-1</f>
        <v>-1</v>
      </c>
      <c r="H58" s="6"/>
    </row>
    <row r="59" spans="1:8" x14ac:dyDescent="0.3">
      <c r="A59" s="6"/>
      <c r="B59" s="6" t="s">
        <v>502</v>
      </c>
      <c r="C59" s="6"/>
      <c r="D59" s="6"/>
      <c r="E59" s="6"/>
      <c r="F59" s="6">
        <v>-1</v>
      </c>
      <c r="G59" s="6">
        <f>Table25[[#This Row],[Total Athletes]]-(LEN(Table25[[#This Row],[Pair]])-LEN(SUBSTITUTE(Table25[[#This Row],[Pair]],"/","")))-1</f>
        <v>-1</v>
      </c>
      <c r="H59" s="6"/>
    </row>
    <row r="60" spans="1:8" x14ac:dyDescent="0.3">
      <c r="A60" s="6" t="s">
        <v>5039</v>
      </c>
      <c r="B60" s="6" t="s">
        <v>402</v>
      </c>
      <c r="C60" s="6"/>
      <c r="D60" s="6"/>
      <c r="E60" s="6"/>
      <c r="F60" s="6">
        <v>11</v>
      </c>
      <c r="G60" s="6">
        <f>Table25[[#This Row],[Total Athletes]]-(LEN(Table25[[#This Row],[Pair]])-LEN(SUBSTITUTE(Table25[[#This Row],[Pair]],"/","")))-1</f>
        <v>1</v>
      </c>
      <c r="H60" s="6">
        <v>2</v>
      </c>
    </row>
    <row r="61" spans="1:8" x14ac:dyDescent="0.3">
      <c r="A61" s="6" t="s">
        <v>4811</v>
      </c>
      <c r="B61" s="6" t="s">
        <v>332</v>
      </c>
      <c r="C61" s="6"/>
      <c r="D61" s="6"/>
      <c r="E61" s="6"/>
      <c r="F61" s="6">
        <v>13</v>
      </c>
      <c r="G61" s="6">
        <f>Table25[[#This Row],[Total Athletes]]-(LEN(Table25[[#This Row],[Pair]])-LEN(SUBSTITUTE(Table25[[#This Row],[Pair]],"/","")))-1</f>
        <v>0</v>
      </c>
      <c r="H61" s="6">
        <v>2</v>
      </c>
    </row>
    <row r="62" spans="1:8" x14ac:dyDescent="0.3">
      <c r="A62" s="6"/>
      <c r="B62" s="6" t="s">
        <v>336</v>
      </c>
      <c r="C62" s="6"/>
      <c r="D62" s="6"/>
      <c r="E62" s="6"/>
      <c r="F62" s="6">
        <v>-1</v>
      </c>
      <c r="G62" s="6">
        <f>Table25[[#This Row],[Total Athletes]]-(LEN(Table25[[#This Row],[Pair]])-LEN(SUBSTITUTE(Table25[[#This Row],[Pair]],"/","")))-1</f>
        <v>-1</v>
      </c>
      <c r="H62" s="6"/>
    </row>
    <row r="63" spans="1:8" x14ac:dyDescent="0.3">
      <c r="A63" s="6"/>
      <c r="B63" s="6" t="s">
        <v>334</v>
      </c>
      <c r="C63" s="6">
        <v>-1</v>
      </c>
      <c r="D63" s="6"/>
      <c r="E63" s="6"/>
      <c r="F63" s="6"/>
      <c r="G63" s="6">
        <f>Table25[[#This Row],[Total Athletes]]-(LEN(Table25[[#This Row],[Pair]])-LEN(SUBSTITUTE(Table25[[#This Row],[Pair]],"/","")))-1</f>
        <v>-1</v>
      </c>
      <c r="H63" s="6"/>
    </row>
    <row r="64" spans="1:8" x14ac:dyDescent="0.3">
      <c r="A64" s="6"/>
      <c r="B64" s="6" t="s">
        <v>520</v>
      </c>
      <c r="C64" s="6">
        <v>-1</v>
      </c>
      <c r="D64" s="6"/>
      <c r="E64" s="6"/>
      <c r="F64" s="6"/>
      <c r="G64" s="6">
        <f>Table25[[#This Row],[Total Athletes]]-(LEN(Table25[[#This Row],[Pair]])-LEN(SUBSTITUTE(Table25[[#This Row],[Pair]],"/","")))-1</f>
        <v>-1</v>
      </c>
      <c r="H64" s="6"/>
    </row>
    <row r="65" spans="1:8" x14ac:dyDescent="0.3">
      <c r="A65" s="6" t="s">
        <v>4121</v>
      </c>
      <c r="B65" s="6" t="s">
        <v>336</v>
      </c>
      <c r="C65" s="6">
        <v>19</v>
      </c>
      <c r="D65" s="6"/>
      <c r="E65" s="6"/>
      <c r="F65" s="6"/>
      <c r="G65" s="6">
        <f>Table25[[#This Row],[Total Athletes]]-(LEN(Table25[[#This Row],[Pair]])-LEN(SUBSTITUTE(Table25[[#This Row],[Pair]],"/","")))-1</f>
        <v>1</v>
      </c>
      <c r="H65" s="6">
        <v>2</v>
      </c>
    </row>
    <row r="66" spans="1:8" x14ac:dyDescent="0.3">
      <c r="A66" s="6"/>
      <c r="B66" s="6" t="s">
        <v>592</v>
      </c>
      <c r="C66" s="6">
        <v>-1</v>
      </c>
      <c r="D66" s="6"/>
      <c r="E66" s="6"/>
      <c r="F66" s="6"/>
      <c r="G66" s="6">
        <f>Table25[[#This Row],[Total Athletes]]-(LEN(Table25[[#This Row],[Pair]])-LEN(SUBSTITUTE(Table25[[#This Row],[Pair]],"/","")))-1</f>
        <v>-1</v>
      </c>
      <c r="H66" s="6"/>
    </row>
    <row r="67" spans="1:8" x14ac:dyDescent="0.3">
      <c r="A67" s="6" t="s">
        <v>3362</v>
      </c>
      <c r="B67" s="6" t="s">
        <v>394</v>
      </c>
      <c r="C67" s="6"/>
      <c r="D67" s="6">
        <v>18</v>
      </c>
      <c r="E67" s="6"/>
      <c r="F67" s="6"/>
      <c r="G67" s="6">
        <f>Table25[[#This Row],[Total Athletes]]-(LEN(Table25[[#This Row],[Pair]])-LEN(SUBSTITUTE(Table25[[#This Row],[Pair]],"/","")))-1</f>
        <v>1</v>
      </c>
      <c r="H67" s="6">
        <v>2</v>
      </c>
    </row>
    <row r="68" spans="1:8" x14ac:dyDescent="0.3">
      <c r="A68" s="6"/>
      <c r="B68" s="6" t="s">
        <v>334</v>
      </c>
      <c r="C68" s="6"/>
      <c r="D68" s="6">
        <v>-1</v>
      </c>
      <c r="E68" s="6"/>
      <c r="F68" s="6"/>
      <c r="G68" s="6">
        <f>Table25[[#This Row],[Total Athletes]]-(LEN(Table25[[#This Row],[Pair]])-LEN(SUBSTITUTE(Table25[[#This Row],[Pair]],"/","")))-1</f>
        <v>-1</v>
      </c>
      <c r="H68" s="6"/>
    </row>
    <row r="69" spans="1:8" x14ac:dyDescent="0.3">
      <c r="A69" s="6" t="s">
        <v>1446</v>
      </c>
      <c r="B69" s="6" t="s">
        <v>372</v>
      </c>
      <c r="C69" s="6"/>
      <c r="D69" s="6">
        <v>15</v>
      </c>
      <c r="E69" s="6"/>
      <c r="F69" s="6"/>
      <c r="G69" s="6">
        <f>Table25[[#This Row],[Total Athletes]]-(LEN(Table25[[#This Row],[Pair]])-LEN(SUBSTITUTE(Table25[[#This Row],[Pair]],"/","")))-1</f>
        <v>0</v>
      </c>
      <c r="H69" s="6">
        <v>2</v>
      </c>
    </row>
    <row r="70" spans="1:8" x14ac:dyDescent="0.3">
      <c r="A70" s="6" t="s">
        <v>1763</v>
      </c>
      <c r="B70" s="6" t="s">
        <v>428</v>
      </c>
      <c r="C70" s="6"/>
      <c r="D70" s="6">
        <v>17</v>
      </c>
      <c r="E70" s="6"/>
      <c r="F70" s="6"/>
      <c r="G70" s="6">
        <f>Table25[[#This Row],[Total Athletes]]-(LEN(Table25[[#This Row],[Pair]])-LEN(SUBSTITUTE(Table25[[#This Row],[Pair]],"/","")))-1</f>
        <v>0</v>
      </c>
      <c r="H70" s="6">
        <v>2</v>
      </c>
    </row>
    <row r="71" spans="1:8" x14ac:dyDescent="0.3">
      <c r="A71" s="6"/>
      <c r="B71" s="6" t="s">
        <v>442</v>
      </c>
      <c r="C71" s="6"/>
      <c r="D71" s="6">
        <v>-1</v>
      </c>
      <c r="E71" s="6"/>
      <c r="F71" s="6"/>
      <c r="G71" s="6">
        <f>Table25[[#This Row],[Total Athletes]]-(LEN(Table25[[#This Row],[Pair]])-LEN(SUBSTITUTE(Table25[[#This Row],[Pair]],"/","")))-1</f>
        <v>-1</v>
      </c>
      <c r="H71" s="6"/>
    </row>
    <row r="72" spans="1:8" x14ac:dyDescent="0.3">
      <c r="A72" s="6"/>
      <c r="B72" s="6" t="s">
        <v>356</v>
      </c>
      <c r="C72" s="6"/>
      <c r="D72" s="6"/>
      <c r="E72" s="6"/>
      <c r="F72" s="6">
        <v>-1</v>
      </c>
      <c r="G72" s="6">
        <f>Table25[[#This Row],[Total Athletes]]-(LEN(Table25[[#This Row],[Pair]])-LEN(SUBSTITUTE(Table25[[#This Row],[Pair]],"/","")))-1</f>
        <v>-1</v>
      </c>
      <c r="H72" s="6"/>
    </row>
    <row r="73" spans="1:8" x14ac:dyDescent="0.3">
      <c r="A73" s="6" t="s">
        <v>4490</v>
      </c>
      <c r="B73" s="6" t="s">
        <v>694</v>
      </c>
      <c r="C73" s="6"/>
      <c r="D73" s="6"/>
      <c r="E73" s="6"/>
      <c r="F73" s="6">
        <v>18</v>
      </c>
      <c r="G73" s="6">
        <f>Table25[[#This Row],[Total Athletes]]-(LEN(Table25[[#This Row],[Pair]])-LEN(SUBSTITUTE(Table25[[#This Row],[Pair]],"/","")))-1</f>
        <v>1</v>
      </c>
      <c r="H73" s="6">
        <v>2</v>
      </c>
    </row>
    <row r="74" spans="1:8" x14ac:dyDescent="0.3">
      <c r="A74" s="6" t="s">
        <v>3426</v>
      </c>
      <c r="B74" s="6" t="s">
        <v>342</v>
      </c>
      <c r="C74" s="6"/>
      <c r="D74" s="6"/>
      <c r="E74" s="6"/>
      <c r="F74" s="6">
        <v>12</v>
      </c>
      <c r="G74" s="6">
        <f>Table25[[#This Row],[Total Athletes]]-(LEN(Table25[[#This Row],[Pair]])-LEN(SUBSTITUTE(Table25[[#This Row],[Pair]],"/","")))-1</f>
        <v>1</v>
      </c>
      <c r="H74" s="6">
        <v>2</v>
      </c>
    </row>
    <row r="75" spans="1:8" x14ac:dyDescent="0.3">
      <c r="A75" s="6" t="s">
        <v>1579</v>
      </c>
      <c r="B75" s="6" t="s">
        <v>718</v>
      </c>
      <c r="C75" s="6"/>
      <c r="D75" s="6"/>
      <c r="E75" s="6"/>
      <c r="F75" s="6">
        <v>16</v>
      </c>
      <c r="G75" s="6">
        <f>Table25[[#This Row],[Total Athletes]]-(LEN(Table25[[#This Row],[Pair]])-LEN(SUBSTITUTE(Table25[[#This Row],[Pair]],"/","")))-1</f>
        <v>1</v>
      </c>
      <c r="H75" s="6">
        <v>2</v>
      </c>
    </row>
    <row r="76" spans="1:8" x14ac:dyDescent="0.3">
      <c r="A76" s="6" t="s">
        <v>2225</v>
      </c>
      <c r="B76" s="6" t="s">
        <v>414</v>
      </c>
      <c r="C76" s="6"/>
      <c r="D76" s="6"/>
      <c r="E76" s="6">
        <v>12</v>
      </c>
      <c r="F76" s="6"/>
      <c r="G76" s="6">
        <f>Table25[[#This Row],[Total Athletes]]-(LEN(Table25[[#This Row],[Pair]])-LEN(SUBSTITUTE(Table25[[#This Row],[Pair]],"/","")))-1</f>
        <v>1</v>
      </c>
      <c r="H76" s="6">
        <v>2</v>
      </c>
    </row>
    <row r="77" spans="1:8" x14ac:dyDescent="0.3">
      <c r="A77" s="6" t="s">
        <v>1581</v>
      </c>
      <c r="B77" s="6" t="s">
        <v>718</v>
      </c>
      <c r="C77" s="6"/>
      <c r="D77" s="6"/>
      <c r="E77" s="6">
        <v>18</v>
      </c>
      <c r="F77" s="6"/>
      <c r="G77" s="6">
        <f>Table25[[#This Row],[Total Athletes]]-(LEN(Table25[[#This Row],[Pair]])-LEN(SUBSTITUTE(Table25[[#This Row],[Pair]],"/","")))-1</f>
        <v>1</v>
      </c>
      <c r="H77" s="6">
        <v>2</v>
      </c>
    </row>
    <row r="78" spans="1:8" x14ac:dyDescent="0.3">
      <c r="A78" s="6"/>
      <c r="B78" s="6" t="s">
        <v>520</v>
      </c>
      <c r="C78" s="6"/>
      <c r="D78" s="6"/>
      <c r="E78" s="6">
        <v>-1</v>
      </c>
      <c r="F78" s="6"/>
      <c r="G78" s="6">
        <f>Table25[[#This Row],[Total Athletes]]-(LEN(Table25[[#This Row],[Pair]])-LEN(SUBSTITUTE(Table25[[#This Row],[Pair]],"/","")))-1</f>
        <v>-1</v>
      </c>
      <c r="H78" s="6"/>
    </row>
    <row r="79" spans="1:8" x14ac:dyDescent="0.3">
      <c r="A79" s="6" t="s">
        <v>2686</v>
      </c>
      <c r="B79" s="6" t="s">
        <v>428</v>
      </c>
      <c r="C79" s="6"/>
      <c r="D79" s="6"/>
      <c r="E79" s="6">
        <v>17</v>
      </c>
      <c r="F79" s="6"/>
      <c r="G79" s="6">
        <f>Table25[[#This Row],[Total Athletes]]-(LEN(Table25[[#This Row],[Pair]])-LEN(SUBSTITUTE(Table25[[#This Row],[Pair]],"/","")))-1</f>
        <v>1</v>
      </c>
      <c r="H79" s="6">
        <v>2</v>
      </c>
    </row>
  </sheetData>
  <pageMargins left="0.7" right="0.7" top="0.75" bottom="0.75" header="0.3" footer="0.3"/>
  <tableParts count="1">
    <tablePart r:id="rId1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013BE9-E475-4C89-ABB7-958883591C4B}">
  <dimension ref="A1:H174"/>
  <sheetViews>
    <sheetView topLeftCell="A169" workbookViewId="0">
      <selection activeCell="B175" sqref="B175"/>
    </sheetView>
  </sheetViews>
  <sheetFormatPr defaultRowHeight="14.4" x14ac:dyDescent="0.3"/>
  <cols>
    <col min="1" max="1" width="26.77734375" bestFit="1" customWidth="1"/>
    <col min="2" max="2" width="17.88671875" bestFit="1" customWidth="1"/>
    <col min="3" max="3" width="26.33203125" bestFit="1" customWidth="1"/>
    <col min="4" max="4" width="25.44140625" bestFit="1" customWidth="1"/>
    <col min="5" max="5" width="32.44140625" bestFit="1" customWidth="1"/>
    <col min="6" max="6" width="32.33203125" bestFit="1" customWidth="1"/>
    <col min="7" max="7" width="19.5546875" bestFit="1" customWidth="1"/>
    <col min="8" max="8" width="18.44140625" bestFit="1" customWidth="1"/>
  </cols>
  <sheetData>
    <row r="1" spans="1:8" x14ac:dyDescent="0.3">
      <c r="A1" t="s">
        <v>832</v>
      </c>
      <c r="B1" t="s">
        <v>1</v>
      </c>
      <c r="C1" t="s">
        <v>888</v>
      </c>
      <c r="D1" t="s">
        <v>889</v>
      </c>
      <c r="E1" t="s">
        <v>890</v>
      </c>
      <c r="F1" t="s">
        <v>891</v>
      </c>
      <c r="G1" t="s">
        <v>892</v>
      </c>
      <c r="H1" t="s">
        <v>893</v>
      </c>
    </row>
    <row r="2" spans="1:8" x14ac:dyDescent="0.3">
      <c r="A2" s="6"/>
      <c r="B2" s="6" t="s">
        <v>344</v>
      </c>
      <c r="C2" s="6">
        <v>-1</v>
      </c>
      <c r="D2" s="6"/>
      <c r="E2" s="6"/>
      <c r="F2" s="6"/>
      <c r="G2" s="6"/>
      <c r="H2" s="6"/>
    </row>
    <row r="3" spans="1:8" x14ac:dyDescent="0.3">
      <c r="A3" s="6"/>
      <c r="B3" s="6" t="s">
        <v>344</v>
      </c>
      <c r="C3" s="6"/>
      <c r="D3" s="6"/>
      <c r="E3" s="6"/>
      <c r="F3" s="6"/>
      <c r="G3" s="6">
        <v>-1</v>
      </c>
      <c r="H3" s="6"/>
    </row>
    <row r="4" spans="1:8" x14ac:dyDescent="0.3">
      <c r="A4" s="6"/>
      <c r="B4" s="6" t="s">
        <v>442</v>
      </c>
      <c r="C4" s="6"/>
      <c r="D4" s="6"/>
      <c r="E4" s="6"/>
      <c r="F4" s="6"/>
      <c r="G4" s="6"/>
      <c r="H4" s="6">
        <v>-1</v>
      </c>
    </row>
    <row r="5" spans="1:8" x14ac:dyDescent="0.3">
      <c r="A5" s="6"/>
      <c r="B5" s="6" t="s">
        <v>338</v>
      </c>
      <c r="C5" s="6"/>
      <c r="D5" s="6"/>
      <c r="E5" s="6"/>
      <c r="F5" s="6"/>
      <c r="G5" s="6"/>
      <c r="H5" s="6">
        <v>-1</v>
      </c>
    </row>
    <row r="6" spans="1:8" x14ac:dyDescent="0.3">
      <c r="A6" s="6"/>
      <c r="B6" s="6" t="s">
        <v>356</v>
      </c>
      <c r="C6" s="6"/>
      <c r="D6" s="6"/>
      <c r="E6" s="6"/>
      <c r="F6" s="6"/>
      <c r="G6" s="6">
        <v>-1</v>
      </c>
      <c r="H6" s="6"/>
    </row>
    <row r="7" spans="1:8" x14ac:dyDescent="0.3">
      <c r="A7" s="6"/>
      <c r="B7" s="6" t="s">
        <v>442</v>
      </c>
      <c r="C7" s="6"/>
      <c r="D7" s="6"/>
      <c r="E7" s="6"/>
      <c r="F7" s="6"/>
      <c r="G7" s="6">
        <v>-1</v>
      </c>
      <c r="H7" s="6"/>
    </row>
    <row r="8" spans="1:8" x14ac:dyDescent="0.3">
      <c r="A8" s="6" t="s">
        <v>3658</v>
      </c>
      <c r="B8" s="6" t="s">
        <v>364</v>
      </c>
      <c r="C8" s="6"/>
      <c r="D8" s="6">
        <v>9</v>
      </c>
      <c r="E8" s="6"/>
      <c r="F8" s="6">
        <v>5</v>
      </c>
      <c r="G8" s="6"/>
      <c r="H8" s="6"/>
    </row>
    <row r="9" spans="1:8" x14ac:dyDescent="0.3">
      <c r="A9" s="6"/>
      <c r="B9" s="6" t="s">
        <v>442</v>
      </c>
      <c r="C9" s="6"/>
      <c r="D9" s="6"/>
      <c r="E9" s="6"/>
      <c r="F9" s="6">
        <v>-1</v>
      </c>
      <c r="G9" s="6"/>
      <c r="H9" s="6"/>
    </row>
    <row r="10" spans="1:8" x14ac:dyDescent="0.3">
      <c r="A10" s="6" t="s">
        <v>2692</v>
      </c>
      <c r="B10" s="6" t="s">
        <v>344</v>
      </c>
      <c r="C10" s="6"/>
      <c r="D10" s="6"/>
      <c r="E10" s="6">
        <v>7</v>
      </c>
      <c r="F10" s="6"/>
      <c r="G10" s="6"/>
      <c r="H10" s="6"/>
    </row>
    <row r="11" spans="1:8" x14ac:dyDescent="0.3">
      <c r="A11" s="6"/>
      <c r="B11" s="6" t="s">
        <v>334</v>
      </c>
      <c r="C11" s="6"/>
      <c r="D11" s="6"/>
      <c r="E11" s="6">
        <v>-1</v>
      </c>
      <c r="F11" s="6"/>
      <c r="G11" s="6"/>
      <c r="H11" s="6"/>
    </row>
    <row r="12" spans="1:8" x14ac:dyDescent="0.3">
      <c r="A12" s="6"/>
      <c r="B12" s="6" t="s">
        <v>402</v>
      </c>
      <c r="C12" s="6"/>
      <c r="D12" s="6"/>
      <c r="E12" s="6"/>
      <c r="F12" s="6"/>
      <c r="G12" s="6"/>
      <c r="H12" s="6">
        <v>-1</v>
      </c>
    </row>
    <row r="13" spans="1:8" x14ac:dyDescent="0.3">
      <c r="A13" s="6" t="s">
        <v>2900</v>
      </c>
      <c r="B13" s="6" t="s">
        <v>368</v>
      </c>
      <c r="C13" s="6"/>
      <c r="D13" s="6"/>
      <c r="E13" s="6"/>
      <c r="F13" s="6"/>
      <c r="G13" s="6"/>
      <c r="H13" s="6">
        <v>12</v>
      </c>
    </row>
    <row r="14" spans="1:8" x14ac:dyDescent="0.3">
      <c r="A14" s="6"/>
      <c r="B14" s="6" t="s">
        <v>448</v>
      </c>
      <c r="C14" s="6"/>
      <c r="D14" s="6"/>
      <c r="E14" s="6"/>
      <c r="F14" s="6"/>
      <c r="G14" s="6"/>
      <c r="H14" s="6">
        <v>-1</v>
      </c>
    </row>
    <row r="15" spans="1:8" x14ac:dyDescent="0.3">
      <c r="A15" s="6"/>
      <c r="B15" s="6" t="s">
        <v>332</v>
      </c>
      <c r="C15" s="6"/>
      <c r="D15" s="6"/>
      <c r="E15" s="6"/>
      <c r="F15" s="6"/>
      <c r="G15" s="6"/>
      <c r="H15" s="6">
        <v>-1</v>
      </c>
    </row>
    <row r="16" spans="1:8" x14ac:dyDescent="0.3">
      <c r="A16" s="6" t="s">
        <v>1840</v>
      </c>
      <c r="B16" s="6" t="s">
        <v>332</v>
      </c>
      <c r="C16" s="6"/>
      <c r="D16" s="6"/>
      <c r="E16" s="6"/>
      <c r="F16" s="6"/>
      <c r="G16" s="6">
        <v>1</v>
      </c>
      <c r="H16" s="6"/>
    </row>
    <row r="17" spans="1:8" x14ac:dyDescent="0.3">
      <c r="A17" s="6"/>
      <c r="B17" s="6" t="s">
        <v>338</v>
      </c>
      <c r="C17" s="6"/>
      <c r="D17" s="6"/>
      <c r="E17" s="6"/>
      <c r="F17" s="6"/>
      <c r="G17" s="6">
        <v>-1</v>
      </c>
      <c r="H17" s="6"/>
    </row>
    <row r="18" spans="1:8" x14ac:dyDescent="0.3">
      <c r="A18" s="6"/>
      <c r="B18" s="6" t="s">
        <v>326</v>
      </c>
      <c r="C18" s="6"/>
      <c r="D18" s="6"/>
      <c r="E18" s="6"/>
      <c r="F18" s="6"/>
      <c r="G18" s="6">
        <v>-1</v>
      </c>
      <c r="H18" s="6"/>
    </row>
    <row r="19" spans="1:8" x14ac:dyDescent="0.3">
      <c r="A19" s="6"/>
      <c r="B19" s="6" t="s">
        <v>672</v>
      </c>
      <c r="C19" s="6"/>
      <c r="D19" s="6"/>
      <c r="E19" s="6"/>
      <c r="F19" s="6"/>
      <c r="G19" s="6">
        <v>-1</v>
      </c>
      <c r="H19" s="6"/>
    </row>
    <row r="20" spans="1:8" x14ac:dyDescent="0.3">
      <c r="A20" s="6" t="s">
        <v>2339</v>
      </c>
      <c r="B20" s="6" t="s">
        <v>726</v>
      </c>
      <c r="C20" s="6"/>
      <c r="D20" s="6">
        <v>27</v>
      </c>
      <c r="E20" s="6"/>
      <c r="F20" s="6">
        <v>2</v>
      </c>
      <c r="G20" s="6"/>
      <c r="H20" s="6"/>
    </row>
    <row r="21" spans="1:8" x14ac:dyDescent="0.3">
      <c r="A21" s="6"/>
      <c r="B21" s="6" t="s">
        <v>394</v>
      </c>
      <c r="C21" s="6"/>
      <c r="D21" s="6">
        <v>-1</v>
      </c>
      <c r="E21" s="6"/>
      <c r="F21" s="6">
        <v>-1</v>
      </c>
      <c r="G21" s="6"/>
      <c r="H21" s="6"/>
    </row>
    <row r="22" spans="1:8" x14ac:dyDescent="0.3">
      <c r="A22" s="6"/>
      <c r="B22" s="6" t="s">
        <v>448</v>
      </c>
      <c r="C22" s="6"/>
      <c r="D22" s="6"/>
      <c r="E22" s="6"/>
      <c r="F22" s="6">
        <v>-1</v>
      </c>
      <c r="G22" s="6"/>
      <c r="H22" s="6"/>
    </row>
    <row r="23" spans="1:8" x14ac:dyDescent="0.3">
      <c r="A23" s="6"/>
      <c r="B23" s="6" t="s">
        <v>328</v>
      </c>
      <c r="C23" s="6"/>
      <c r="D23" s="6"/>
      <c r="E23" s="6"/>
      <c r="F23" s="6">
        <v>-1</v>
      </c>
      <c r="G23" s="6"/>
      <c r="H23" s="6"/>
    </row>
    <row r="24" spans="1:8" x14ac:dyDescent="0.3">
      <c r="A24" s="6" t="s">
        <v>4622</v>
      </c>
      <c r="B24" s="6" t="s">
        <v>356</v>
      </c>
      <c r="C24" s="6"/>
      <c r="D24" s="6">
        <v>5</v>
      </c>
      <c r="E24" s="6"/>
      <c r="F24" s="6">
        <v>19</v>
      </c>
      <c r="G24" s="6"/>
      <c r="H24" s="6"/>
    </row>
    <row r="25" spans="1:8" x14ac:dyDescent="0.3">
      <c r="A25" s="6"/>
      <c r="B25" s="6" t="s">
        <v>448</v>
      </c>
      <c r="C25" s="6"/>
      <c r="D25" s="6">
        <v>-1</v>
      </c>
      <c r="E25" s="6"/>
      <c r="F25" s="6"/>
      <c r="G25" s="6"/>
      <c r="H25" s="6"/>
    </row>
    <row r="26" spans="1:8" x14ac:dyDescent="0.3">
      <c r="A26" s="6"/>
      <c r="B26" s="6" t="s">
        <v>328</v>
      </c>
      <c r="C26" s="6"/>
      <c r="D26" s="6">
        <v>-1</v>
      </c>
      <c r="E26" s="6"/>
      <c r="F26" s="6"/>
      <c r="G26" s="6"/>
      <c r="H26" s="6"/>
    </row>
    <row r="27" spans="1:8" x14ac:dyDescent="0.3">
      <c r="A27" s="6"/>
      <c r="B27" s="6" t="s">
        <v>442</v>
      </c>
      <c r="C27" s="6"/>
      <c r="D27" s="6">
        <v>-1</v>
      </c>
      <c r="E27" s="6"/>
      <c r="F27" s="6">
        <v>-1</v>
      </c>
      <c r="G27" s="6"/>
      <c r="H27" s="6"/>
    </row>
    <row r="28" spans="1:8" x14ac:dyDescent="0.3">
      <c r="A28" s="6"/>
      <c r="B28" s="6" t="s">
        <v>700</v>
      </c>
      <c r="C28" s="6">
        <v>-1</v>
      </c>
      <c r="D28" s="6"/>
      <c r="E28" s="6">
        <v>-1</v>
      </c>
      <c r="F28" s="6"/>
      <c r="G28" s="6"/>
      <c r="H28" s="6"/>
    </row>
    <row r="29" spans="1:8" x14ac:dyDescent="0.3">
      <c r="A29" s="6"/>
      <c r="B29" s="6" t="s">
        <v>376</v>
      </c>
      <c r="C29" s="6"/>
      <c r="D29" s="6"/>
      <c r="E29" s="6">
        <v>-1</v>
      </c>
      <c r="F29" s="6"/>
      <c r="G29" s="6"/>
      <c r="H29" s="6"/>
    </row>
    <row r="30" spans="1:8" x14ac:dyDescent="0.3">
      <c r="A30" s="6" t="s">
        <v>4670</v>
      </c>
      <c r="B30" s="6" t="s">
        <v>334</v>
      </c>
      <c r="C30" s="6">
        <v>5</v>
      </c>
      <c r="D30" s="6"/>
      <c r="E30" s="6">
        <v>23</v>
      </c>
      <c r="F30" s="6"/>
      <c r="G30" s="6"/>
      <c r="H30" s="6"/>
    </row>
    <row r="31" spans="1:8" x14ac:dyDescent="0.3">
      <c r="A31" s="6"/>
      <c r="B31" s="6" t="s">
        <v>328</v>
      </c>
      <c r="C31" s="6"/>
      <c r="D31" s="6"/>
      <c r="E31" s="6">
        <v>-1</v>
      </c>
      <c r="F31" s="6"/>
      <c r="G31" s="6"/>
      <c r="H31" s="6"/>
    </row>
    <row r="32" spans="1:8" x14ac:dyDescent="0.3">
      <c r="A32" s="6"/>
      <c r="B32" s="6" t="s">
        <v>328</v>
      </c>
      <c r="C32" s="6">
        <v>-1</v>
      </c>
      <c r="D32" s="6"/>
      <c r="E32" s="6"/>
      <c r="F32" s="6"/>
      <c r="G32" s="6"/>
      <c r="H32" s="6"/>
    </row>
    <row r="33" spans="1:8" x14ac:dyDescent="0.3">
      <c r="A33" s="6"/>
      <c r="B33" s="6" t="s">
        <v>726</v>
      </c>
      <c r="C33" s="6">
        <v>-1</v>
      </c>
      <c r="D33" s="6"/>
      <c r="E33" s="6"/>
      <c r="F33" s="6"/>
      <c r="G33" s="6"/>
      <c r="H33" s="6"/>
    </row>
    <row r="34" spans="1:8" x14ac:dyDescent="0.3">
      <c r="A34" s="6"/>
      <c r="B34" s="6" t="s">
        <v>700</v>
      </c>
      <c r="C34" s="6">
        <v>-1</v>
      </c>
      <c r="D34" s="6"/>
      <c r="E34" s="6"/>
      <c r="F34" s="6"/>
      <c r="G34" s="6"/>
      <c r="H34" s="6"/>
    </row>
    <row r="35" spans="1:8" x14ac:dyDescent="0.3">
      <c r="A35" s="6"/>
      <c r="B35" s="6" t="s">
        <v>376</v>
      </c>
      <c r="C35" s="6">
        <v>-1</v>
      </c>
      <c r="D35" s="6"/>
      <c r="E35" s="6"/>
      <c r="F35" s="6"/>
      <c r="G35" s="6"/>
      <c r="H35" s="6"/>
    </row>
    <row r="36" spans="1:8" x14ac:dyDescent="0.3">
      <c r="A36" s="6"/>
      <c r="B36" s="6" t="s">
        <v>332</v>
      </c>
      <c r="C36" s="6"/>
      <c r="D36" s="6">
        <v>-1</v>
      </c>
      <c r="E36" s="6"/>
      <c r="F36" s="6">
        <v>-1</v>
      </c>
      <c r="G36" s="6"/>
      <c r="H36" s="6"/>
    </row>
    <row r="37" spans="1:8" x14ac:dyDescent="0.3">
      <c r="A37" s="6" t="s">
        <v>4193</v>
      </c>
      <c r="B37" s="6" t="s">
        <v>332</v>
      </c>
      <c r="C37" s="6"/>
      <c r="D37" s="6">
        <v>35</v>
      </c>
      <c r="E37" s="6"/>
      <c r="F37" s="6">
        <v>38</v>
      </c>
      <c r="G37" s="6"/>
      <c r="H37" s="6"/>
    </row>
    <row r="38" spans="1:8" x14ac:dyDescent="0.3">
      <c r="A38" s="6" t="s">
        <v>5063</v>
      </c>
      <c r="B38" s="6" t="s">
        <v>470</v>
      </c>
      <c r="C38" s="6"/>
      <c r="D38" s="6"/>
      <c r="E38" s="6">
        <v>16</v>
      </c>
      <c r="F38" s="6"/>
      <c r="G38" s="6"/>
      <c r="H38" s="6"/>
    </row>
    <row r="39" spans="1:8" x14ac:dyDescent="0.3">
      <c r="A39" s="6"/>
      <c r="B39" s="6" t="s">
        <v>336</v>
      </c>
      <c r="C39" s="6">
        <v>-1</v>
      </c>
      <c r="D39" s="6"/>
      <c r="E39" s="6"/>
      <c r="F39" s="6"/>
      <c r="G39" s="6"/>
      <c r="H39" s="6"/>
    </row>
    <row r="40" spans="1:8" x14ac:dyDescent="0.3">
      <c r="A40" s="6"/>
      <c r="B40" s="6" t="s">
        <v>332</v>
      </c>
      <c r="C40" s="6"/>
      <c r="D40" s="6"/>
      <c r="E40" s="6"/>
      <c r="F40" s="6"/>
      <c r="G40" s="6"/>
      <c r="H40" s="6">
        <v>-1</v>
      </c>
    </row>
    <row r="41" spans="1:8" x14ac:dyDescent="0.3">
      <c r="A41" s="6"/>
      <c r="B41" s="6" t="s">
        <v>332</v>
      </c>
      <c r="C41" s="6"/>
      <c r="D41" s="6"/>
      <c r="E41" s="6"/>
      <c r="F41" s="6"/>
      <c r="G41" s="6">
        <v>-1</v>
      </c>
      <c r="H41" s="6"/>
    </row>
    <row r="42" spans="1:8" x14ac:dyDescent="0.3">
      <c r="A42" s="6"/>
      <c r="B42" s="6" t="s">
        <v>334</v>
      </c>
      <c r="C42" s="6"/>
      <c r="D42" s="6">
        <v>-1</v>
      </c>
      <c r="E42" s="6"/>
      <c r="F42" s="6">
        <v>-1</v>
      </c>
      <c r="G42" s="6"/>
      <c r="H42" s="6"/>
    </row>
    <row r="43" spans="1:8" x14ac:dyDescent="0.3">
      <c r="A43" s="6"/>
      <c r="B43" s="6" t="s">
        <v>408</v>
      </c>
      <c r="C43" s="6"/>
      <c r="D43" s="6">
        <v>-1</v>
      </c>
      <c r="E43" s="6"/>
      <c r="F43" s="6">
        <v>-1</v>
      </c>
      <c r="G43" s="6"/>
      <c r="H43" s="6"/>
    </row>
    <row r="44" spans="1:8" x14ac:dyDescent="0.3">
      <c r="A44" s="6" t="s">
        <v>3717</v>
      </c>
      <c r="B44" s="6" t="s">
        <v>690</v>
      </c>
      <c r="C44" s="6">
        <v>7</v>
      </c>
      <c r="D44" s="6"/>
      <c r="E44" s="6"/>
      <c r="F44" s="6"/>
      <c r="G44" s="6"/>
      <c r="H44" s="6"/>
    </row>
    <row r="45" spans="1:8" x14ac:dyDescent="0.3">
      <c r="A45" s="6"/>
      <c r="B45" s="6" t="s">
        <v>456</v>
      </c>
      <c r="C45" s="6">
        <v>-1</v>
      </c>
      <c r="D45" s="6"/>
      <c r="E45" s="6">
        <v>-1</v>
      </c>
      <c r="F45" s="6"/>
      <c r="G45" s="6"/>
      <c r="H45" s="6"/>
    </row>
    <row r="46" spans="1:8" x14ac:dyDescent="0.3">
      <c r="A46" s="6"/>
      <c r="B46" s="6" t="s">
        <v>406</v>
      </c>
      <c r="C46" s="6"/>
      <c r="D46" s="6">
        <v>-1</v>
      </c>
      <c r="E46" s="6"/>
      <c r="F46" s="6">
        <v>-1</v>
      </c>
      <c r="G46" s="6"/>
      <c r="H46" s="6"/>
    </row>
    <row r="47" spans="1:8" x14ac:dyDescent="0.3">
      <c r="A47" s="6"/>
      <c r="B47" s="6" t="s">
        <v>358</v>
      </c>
      <c r="C47" s="6"/>
      <c r="D47" s="6">
        <v>-1</v>
      </c>
      <c r="E47" s="6"/>
      <c r="F47" s="6"/>
      <c r="G47" s="6"/>
      <c r="H47" s="6"/>
    </row>
    <row r="48" spans="1:8" x14ac:dyDescent="0.3">
      <c r="A48" s="6"/>
      <c r="B48" s="6" t="s">
        <v>442</v>
      </c>
      <c r="C48" s="6"/>
      <c r="D48" s="6"/>
      <c r="E48" s="6">
        <v>-1</v>
      </c>
      <c r="F48" s="6"/>
      <c r="G48" s="6"/>
      <c r="H48" s="6"/>
    </row>
    <row r="49" spans="1:8" x14ac:dyDescent="0.3">
      <c r="A49" s="6"/>
      <c r="B49" s="6" t="s">
        <v>718</v>
      </c>
      <c r="C49" s="6">
        <v>-1</v>
      </c>
      <c r="D49" s="6"/>
      <c r="E49" s="6"/>
      <c r="F49" s="6"/>
      <c r="G49" s="6"/>
      <c r="H49" s="6"/>
    </row>
    <row r="50" spans="1:8" x14ac:dyDescent="0.3">
      <c r="A50" s="6" t="s">
        <v>2909</v>
      </c>
      <c r="B50" s="6" t="s">
        <v>356</v>
      </c>
      <c r="C50" s="6"/>
      <c r="D50" s="6"/>
      <c r="E50" s="6"/>
      <c r="F50" s="6"/>
      <c r="G50" s="6"/>
      <c r="H50" s="6">
        <v>13</v>
      </c>
    </row>
    <row r="51" spans="1:8" x14ac:dyDescent="0.3">
      <c r="A51" s="6"/>
      <c r="B51" s="6" t="s">
        <v>338</v>
      </c>
      <c r="C51" s="6"/>
      <c r="D51" s="6"/>
      <c r="E51" s="6"/>
      <c r="F51" s="6"/>
      <c r="G51" s="6">
        <v>-1</v>
      </c>
      <c r="H51" s="6"/>
    </row>
    <row r="52" spans="1:8" x14ac:dyDescent="0.3">
      <c r="A52" s="6"/>
      <c r="B52" s="6" t="s">
        <v>358</v>
      </c>
      <c r="C52" s="6"/>
      <c r="D52" s="6">
        <v>-1</v>
      </c>
      <c r="E52" s="6"/>
      <c r="F52" s="6">
        <v>-1</v>
      </c>
      <c r="G52" s="6"/>
      <c r="H52" s="6"/>
    </row>
    <row r="53" spans="1:8" x14ac:dyDescent="0.3">
      <c r="A53" s="6" t="s">
        <v>4265</v>
      </c>
      <c r="B53" s="6" t="s">
        <v>372</v>
      </c>
      <c r="C53" s="6"/>
      <c r="D53" s="6">
        <v>22</v>
      </c>
      <c r="E53" s="6"/>
      <c r="F53" s="6">
        <v>24</v>
      </c>
      <c r="G53" s="6"/>
      <c r="H53" s="6"/>
    </row>
    <row r="54" spans="1:8" x14ac:dyDescent="0.3">
      <c r="A54" s="6"/>
      <c r="B54" s="6" t="s">
        <v>448</v>
      </c>
      <c r="C54" s="6"/>
      <c r="D54" s="6"/>
      <c r="E54" s="6"/>
      <c r="F54" s="6">
        <v>-1</v>
      </c>
      <c r="G54" s="6"/>
      <c r="H54" s="6"/>
    </row>
    <row r="55" spans="1:8" x14ac:dyDescent="0.3">
      <c r="A55" s="6"/>
      <c r="B55" s="6" t="s">
        <v>444</v>
      </c>
      <c r="C55" s="6"/>
      <c r="D55" s="6"/>
      <c r="E55" s="6"/>
      <c r="F55" s="6">
        <v>-1</v>
      </c>
      <c r="G55" s="6"/>
      <c r="H55" s="6"/>
    </row>
    <row r="56" spans="1:8" x14ac:dyDescent="0.3">
      <c r="A56" s="6"/>
      <c r="B56" s="6" t="s">
        <v>328</v>
      </c>
      <c r="C56" s="6"/>
      <c r="D56" s="6">
        <v>-1</v>
      </c>
      <c r="E56" s="6"/>
      <c r="F56" s="6"/>
      <c r="G56" s="6"/>
      <c r="H56" s="6"/>
    </row>
    <row r="57" spans="1:8" x14ac:dyDescent="0.3">
      <c r="A57" s="6" t="s">
        <v>2255</v>
      </c>
      <c r="B57" s="6" t="s">
        <v>442</v>
      </c>
      <c r="C57" s="6"/>
      <c r="D57" s="6">
        <v>38</v>
      </c>
      <c r="E57" s="6"/>
      <c r="F57" s="6"/>
      <c r="G57" s="6"/>
      <c r="H57" s="6"/>
    </row>
    <row r="58" spans="1:8" x14ac:dyDescent="0.3">
      <c r="A58" s="6"/>
      <c r="B58" s="6" t="s">
        <v>604</v>
      </c>
      <c r="C58" s="6"/>
      <c r="D58" s="6">
        <v>-1</v>
      </c>
      <c r="E58" s="6"/>
      <c r="F58" s="6">
        <v>-1</v>
      </c>
      <c r="G58" s="6"/>
      <c r="H58" s="6"/>
    </row>
    <row r="59" spans="1:8" x14ac:dyDescent="0.3">
      <c r="A59" s="6"/>
      <c r="B59" s="6" t="s">
        <v>338</v>
      </c>
      <c r="C59" s="6"/>
      <c r="D59" s="6">
        <v>-1</v>
      </c>
      <c r="E59" s="6"/>
      <c r="F59" s="6">
        <v>-1</v>
      </c>
      <c r="G59" s="6"/>
      <c r="H59" s="6"/>
    </row>
    <row r="60" spans="1:8" x14ac:dyDescent="0.3">
      <c r="A60" s="6"/>
      <c r="B60" s="6" t="s">
        <v>328</v>
      </c>
      <c r="C60" s="6"/>
      <c r="D60" s="6"/>
      <c r="E60" s="6">
        <v>-1</v>
      </c>
      <c r="F60" s="6"/>
      <c r="G60" s="6"/>
      <c r="H60" s="6"/>
    </row>
    <row r="61" spans="1:8" x14ac:dyDescent="0.3">
      <c r="A61" s="6"/>
      <c r="B61" s="6" t="s">
        <v>428</v>
      </c>
      <c r="C61" s="6"/>
      <c r="D61" s="6"/>
      <c r="E61" s="6">
        <v>-1</v>
      </c>
      <c r="F61" s="6"/>
      <c r="G61" s="6"/>
      <c r="H61" s="6"/>
    </row>
    <row r="62" spans="1:8" x14ac:dyDescent="0.3">
      <c r="A62" s="6"/>
      <c r="B62" s="6" t="s">
        <v>726</v>
      </c>
      <c r="C62" s="6"/>
      <c r="D62" s="6"/>
      <c r="E62" s="6">
        <v>-1</v>
      </c>
      <c r="F62" s="6"/>
      <c r="G62" s="6"/>
      <c r="H62" s="6"/>
    </row>
    <row r="63" spans="1:8" x14ac:dyDescent="0.3">
      <c r="A63" s="6" t="s">
        <v>1561</v>
      </c>
      <c r="B63" s="6" t="s">
        <v>572</v>
      </c>
      <c r="C63" s="6"/>
      <c r="D63" s="6"/>
      <c r="E63" s="6">
        <v>11</v>
      </c>
      <c r="F63" s="6"/>
      <c r="G63" s="6"/>
      <c r="H63" s="6"/>
    </row>
    <row r="64" spans="1:8" x14ac:dyDescent="0.3">
      <c r="A64" s="6"/>
      <c r="B64" s="6" t="s">
        <v>370</v>
      </c>
      <c r="C64" s="6">
        <v>-1</v>
      </c>
      <c r="D64" s="6"/>
      <c r="E64" s="6"/>
      <c r="F64" s="6"/>
      <c r="G64" s="6"/>
      <c r="H64" s="6"/>
    </row>
    <row r="65" spans="1:8" x14ac:dyDescent="0.3">
      <c r="A65" s="6"/>
      <c r="B65" s="6" t="s">
        <v>328</v>
      </c>
      <c r="C65" s="6">
        <v>-1</v>
      </c>
      <c r="D65" s="6"/>
      <c r="E65" s="6"/>
      <c r="F65" s="6"/>
      <c r="G65" s="6"/>
      <c r="H65" s="6"/>
    </row>
    <row r="66" spans="1:8" x14ac:dyDescent="0.3">
      <c r="A66" s="6"/>
      <c r="B66" s="6" t="s">
        <v>334</v>
      </c>
      <c r="C66" s="6">
        <v>-1</v>
      </c>
      <c r="D66" s="6"/>
      <c r="E66" s="6"/>
      <c r="F66" s="6"/>
      <c r="G66" s="6"/>
      <c r="H66" s="6"/>
    </row>
    <row r="67" spans="1:8" x14ac:dyDescent="0.3">
      <c r="A67" s="6" t="s">
        <v>4683</v>
      </c>
      <c r="B67" s="6" t="s">
        <v>444</v>
      </c>
      <c r="C67" s="6">
        <v>20</v>
      </c>
      <c r="D67" s="6"/>
      <c r="E67" s="6"/>
      <c r="F67" s="6"/>
      <c r="G67" s="6"/>
      <c r="H67" s="6"/>
    </row>
    <row r="68" spans="1:8" x14ac:dyDescent="0.3">
      <c r="A68" s="6" t="s">
        <v>4487</v>
      </c>
      <c r="B68" s="6" t="s">
        <v>450</v>
      </c>
      <c r="C68" s="6"/>
      <c r="D68" s="6"/>
      <c r="E68" s="6"/>
      <c r="F68" s="6"/>
      <c r="G68" s="6"/>
      <c r="H68" s="6">
        <v>7</v>
      </c>
    </row>
    <row r="69" spans="1:8" x14ac:dyDescent="0.3">
      <c r="A69" s="6"/>
      <c r="B69" s="6" t="s">
        <v>356</v>
      </c>
      <c r="C69" s="6"/>
      <c r="D69" s="6"/>
      <c r="E69" s="6"/>
      <c r="F69" s="6"/>
      <c r="G69" s="6"/>
      <c r="H69" s="6">
        <v>-1</v>
      </c>
    </row>
    <row r="70" spans="1:8" x14ac:dyDescent="0.3">
      <c r="A70" s="6"/>
      <c r="B70" s="6" t="s">
        <v>494</v>
      </c>
      <c r="C70" s="6"/>
      <c r="D70" s="6"/>
      <c r="E70" s="6"/>
      <c r="F70" s="6"/>
      <c r="G70" s="6"/>
      <c r="H70" s="6">
        <v>-1</v>
      </c>
    </row>
    <row r="71" spans="1:8" x14ac:dyDescent="0.3">
      <c r="A71" s="6"/>
      <c r="B71" s="6" t="s">
        <v>408</v>
      </c>
      <c r="C71" s="6"/>
      <c r="D71" s="6"/>
      <c r="E71" s="6"/>
      <c r="F71" s="6"/>
      <c r="G71" s="6"/>
      <c r="H71" s="6">
        <v>-1</v>
      </c>
    </row>
    <row r="72" spans="1:8" x14ac:dyDescent="0.3">
      <c r="A72" s="6"/>
      <c r="B72" s="6" t="s">
        <v>414</v>
      </c>
      <c r="C72" s="6"/>
      <c r="D72" s="6"/>
      <c r="E72" s="6"/>
      <c r="F72" s="6"/>
      <c r="G72" s="6">
        <v>-1</v>
      </c>
      <c r="H72" s="6"/>
    </row>
    <row r="73" spans="1:8" x14ac:dyDescent="0.3">
      <c r="A73" s="6"/>
      <c r="B73" s="6" t="s">
        <v>372</v>
      </c>
      <c r="C73" s="6"/>
      <c r="D73" s="6"/>
      <c r="E73" s="6"/>
      <c r="F73" s="6"/>
      <c r="G73" s="6">
        <v>-1</v>
      </c>
      <c r="H73" s="6"/>
    </row>
    <row r="74" spans="1:8" x14ac:dyDescent="0.3">
      <c r="A74" s="6"/>
      <c r="B74" s="6" t="s">
        <v>342</v>
      </c>
      <c r="C74" s="6"/>
      <c r="D74" s="6"/>
      <c r="E74" s="6"/>
      <c r="F74" s="6"/>
      <c r="G74" s="6">
        <v>-1</v>
      </c>
      <c r="H74" s="6"/>
    </row>
    <row r="75" spans="1:8" x14ac:dyDescent="0.3">
      <c r="A75" s="6"/>
      <c r="B75" s="6" t="s">
        <v>364</v>
      </c>
      <c r="C75" s="6"/>
      <c r="D75" s="6"/>
      <c r="E75" s="6"/>
      <c r="F75" s="6"/>
      <c r="G75" s="6">
        <v>-1</v>
      </c>
      <c r="H75" s="6"/>
    </row>
    <row r="76" spans="1:8" x14ac:dyDescent="0.3">
      <c r="A76" s="6" t="s">
        <v>2680</v>
      </c>
      <c r="B76" s="6" t="s">
        <v>344</v>
      </c>
      <c r="C76" s="6"/>
      <c r="D76" s="6"/>
      <c r="E76" s="6"/>
      <c r="F76" s="6"/>
      <c r="G76" s="6"/>
      <c r="H76" s="6">
        <v>19</v>
      </c>
    </row>
    <row r="77" spans="1:8" x14ac:dyDescent="0.3">
      <c r="A77" s="6"/>
      <c r="B77" s="6" t="s">
        <v>342</v>
      </c>
      <c r="C77" s="6"/>
      <c r="D77" s="6"/>
      <c r="E77" s="6"/>
      <c r="F77" s="6"/>
      <c r="G77" s="6">
        <v>-1</v>
      </c>
      <c r="H77" s="6"/>
    </row>
    <row r="78" spans="1:8" x14ac:dyDescent="0.3">
      <c r="A78" s="6"/>
      <c r="B78" s="6" t="s">
        <v>326</v>
      </c>
      <c r="C78" s="6"/>
      <c r="D78" s="6">
        <v>-1</v>
      </c>
      <c r="E78" s="6"/>
      <c r="F78" s="6">
        <v>-1</v>
      </c>
      <c r="G78" s="6"/>
      <c r="H78" s="6"/>
    </row>
    <row r="79" spans="1:8" x14ac:dyDescent="0.3">
      <c r="A79" s="6"/>
      <c r="B79" s="6" t="s">
        <v>326</v>
      </c>
      <c r="C79" s="6"/>
      <c r="D79" s="6">
        <v>-1</v>
      </c>
      <c r="E79" s="6"/>
      <c r="F79" s="6"/>
      <c r="G79" s="6"/>
      <c r="H79" s="6"/>
    </row>
    <row r="80" spans="1:8" x14ac:dyDescent="0.3">
      <c r="A80" s="6" t="s">
        <v>3901</v>
      </c>
      <c r="B80" s="6" t="s">
        <v>380</v>
      </c>
      <c r="C80" s="6"/>
      <c r="D80" s="6">
        <v>49</v>
      </c>
      <c r="E80" s="6"/>
      <c r="F80" s="6"/>
      <c r="G80" s="6"/>
      <c r="H80" s="6"/>
    </row>
    <row r="81" spans="1:8" x14ac:dyDescent="0.3">
      <c r="A81" s="6"/>
      <c r="B81" s="6" t="s">
        <v>326</v>
      </c>
      <c r="C81" s="6"/>
      <c r="D81" s="6"/>
      <c r="E81" s="6">
        <v>-1</v>
      </c>
      <c r="F81" s="6"/>
      <c r="G81" s="6"/>
      <c r="H81" s="6"/>
    </row>
    <row r="82" spans="1:8" x14ac:dyDescent="0.3">
      <c r="A82" s="6" t="s">
        <v>3902</v>
      </c>
      <c r="B82" s="6" t="s">
        <v>380</v>
      </c>
      <c r="C82" s="6">
        <v>29</v>
      </c>
      <c r="D82" s="6"/>
      <c r="E82" s="6"/>
      <c r="F82" s="6"/>
      <c r="G82" s="6"/>
      <c r="H82" s="6"/>
    </row>
    <row r="83" spans="1:8" x14ac:dyDescent="0.3">
      <c r="A83" s="6"/>
      <c r="B83" s="6" t="s">
        <v>438</v>
      </c>
      <c r="C83" s="6">
        <v>-1</v>
      </c>
      <c r="D83" s="6"/>
      <c r="E83" s="6"/>
      <c r="F83" s="6"/>
      <c r="G83" s="6"/>
      <c r="H83" s="6"/>
    </row>
    <row r="84" spans="1:8" x14ac:dyDescent="0.3">
      <c r="A84" s="6"/>
      <c r="B84" s="6" t="s">
        <v>378</v>
      </c>
      <c r="C84" s="6"/>
      <c r="D84" s="6"/>
      <c r="E84" s="6"/>
      <c r="F84" s="6"/>
      <c r="G84" s="6"/>
      <c r="H84" s="6">
        <v>-1</v>
      </c>
    </row>
    <row r="85" spans="1:8" x14ac:dyDescent="0.3">
      <c r="A85" s="6"/>
      <c r="B85" s="6" t="s">
        <v>326</v>
      </c>
      <c r="C85" s="6"/>
      <c r="D85" s="6"/>
      <c r="E85" s="6"/>
      <c r="F85" s="6"/>
      <c r="G85" s="6">
        <v>-1</v>
      </c>
      <c r="H85" s="6"/>
    </row>
    <row r="86" spans="1:8" x14ac:dyDescent="0.3">
      <c r="A86" s="6"/>
      <c r="B86" s="6" t="s">
        <v>350</v>
      </c>
      <c r="C86" s="6"/>
      <c r="D86" s="6">
        <v>-1</v>
      </c>
      <c r="E86" s="6"/>
      <c r="F86" s="6">
        <v>-1</v>
      </c>
      <c r="G86" s="6"/>
      <c r="H86" s="6"/>
    </row>
    <row r="87" spans="1:8" x14ac:dyDescent="0.3">
      <c r="A87" s="6" t="s">
        <v>3938</v>
      </c>
      <c r="B87" s="6" t="s">
        <v>350</v>
      </c>
      <c r="C87" s="6"/>
      <c r="D87" s="6">
        <v>19</v>
      </c>
      <c r="E87" s="6"/>
      <c r="F87" s="6"/>
      <c r="G87" s="6"/>
      <c r="H87" s="6"/>
    </row>
    <row r="88" spans="1:8" x14ac:dyDescent="0.3">
      <c r="A88" s="6"/>
      <c r="B88" s="6" t="s">
        <v>352</v>
      </c>
      <c r="C88" s="6"/>
      <c r="D88" s="6"/>
      <c r="E88" s="6">
        <v>-1</v>
      </c>
      <c r="F88" s="6"/>
      <c r="G88" s="6"/>
      <c r="H88" s="6"/>
    </row>
    <row r="89" spans="1:8" x14ac:dyDescent="0.3">
      <c r="A89" s="6"/>
      <c r="B89" s="6" t="s">
        <v>332</v>
      </c>
      <c r="C89" s="6"/>
      <c r="D89" s="6"/>
      <c r="E89" s="6">
        <v>-1</v>
      </c>
      <c r="F89" s="6"/>
      <c r="G89" s="6"/>
      <c r="H89" s="6"/>
    </row>
    <row r="90" spans="1:8" x14ac:dyDescent="0.3">
      <c r="A90" s="6"/>
      <c r="B90" s="6" t="s">
        <v>384</v>
      </c>
      <c r="C90" s="6">
        <v>-1</v>
      </c>
      <c r="D90" s="6"/>
      <c r="E90" s="6"/>
      <c r="F90" s="6"/>
      <c r="G90" s="6"/>
      <c r="H90" s="6"/>
    </row>
    <row r="91" spans="1:8" x14ac:dyDescent="0.3">
      <c r="A91" s="6"/>
      <c r="B91" s="6" t="s">
        <v>418</v>
      </c>
      <c r="C91" s="6"/>
      <c r="D91" s="6"/>
      <c r="E91" s="6"/>
      <c r="F91" s="6"/>
      <c r="G91" s="6"/>
      <c r="H91" s="6">
        <v>-1</v>
      </c>
    </row>
    <row r="92" spans="1:8" x14ac:dyDescent="0.3">
      <c r="A92" s="6"/>
      <c r="B92" s="6" t="s">
        <v>352</v>
      </c>
      <c r="C92" s="6"/>
      <c r="D92" s="6"/>
      <c r="E92" s="6"/>
      <c r="F92" s="6"/>
      <c r="G92" s="6"/>
      <c r="H92" s="6">
        <v>-1</v>
      </c>
    </row>
    <row r="93" spans="1:8" x14ac:dyDescent="0.3">
      <c r="A93" s="6" t="s">
        <v>3824</v>
      </c>
      <c r="B93" s="6" t="s">
        <v>340</v>
      </c>
      <c r="C93" s="6"/>
      <c r="D93" s="6"/>
      <c r="E93" s="6"/>
      <c r="F93" s="6"/>
      <c r="G93" s="6">
        <v>27</v>
      </c>
      <c r="H93" s="6"/>
    </row>
    <row r="94" spans="1:8" x14ac:dyDescent="0.3">
      <c r="A94" s="6"/>
      <c r="B94" s="6" t="s">
        <v>392</v>
      </c>
      <c r="C94" s="6"/>
      <c r="D94" s="6"/>
      <c r="E94" s="6"/>
      <c r="F94" s="6"/>
      <c r="G94" s="6">
        <v>-1</v>
      </c>
      <c r="H94" s="6"/>
    </row>
    <row r="95" spans="1:8" x14ac:dyDescent="0.3">
      <c r="A95" s="6"/>
      <c r="B95" s="6" t="s">
        <v>328</v>
      </c>
      <c r="C95" s="6"/>
      <c r="D95" s="6"/>
      <c r="E95" s="6"/>
      <c r="F95" s="6">
        <v>-1</v>
      </c>
      <c r="G95" s="6"/>
      <c r="H95" s="6"/>
    </row>
    <row r="96" spans="1:8" x14ac:dyDescent="0.3">
      <c r="A96" s="6"/>
      <c r="B96" s="6" t="s">
        <v>604</v>
      </c>
      <c r="C96" s="6"/>
      <c r="D96" s="6">
        <v>-1</v>
      </c>
      <c r="E96" s="6"/>
      <c r="F96" s="6">
        <v>-1</v>
      </c>
      <c r="G96" s="6"/>
      <c r="H96" s="6"/>
    </row>
    <row r="97" spans="1:8" x14ac:dyDescent="0.3">
      <c r="A97" s="6"/>
      <c r="B97" s="6" t="s">
        <v>448</v>
      </c>
      <c r="C97" s="6"/>
      <c r="D97" s="6">
        <v>-1</v>
      </c>
      <c r="E97" s="6"/>
      <c r="F97" s="6"/>
      <c r="G97" s="6"/>
      <c r="H97" s="6"/>
    </row>
    <row r="98" spans="1:8" x14ac:dyDescent="0.3">
      <c r="A98" s="6"/>
      <c r="B98" s="6" t="s">
        <v>428</v>
      </c>
      <c r="C98" s="6"/>
      <c r="D98" s="6">
        <v>-1</v>
      </c>
      <c r="E98" s="6"/>
      <c r="F98" s="6">
        <v>-1</v>
      </c>
      <c r="G98" s="6"/>
      <c r="H98" s="6"/>
    </row>
    <row r="99" spans="1:8" x14ac:dyDescent="0.3">
      <c r="A99" s="6"/>
      <c r="B99" s="6" t="s">
        <v>448</v>
      </c>
      <c r="C99" s="6"/>
      <c r="D99" s="6"/>
      <c r="E99" s="6">
        <v>-1</v>
      </c>
      <c r="F99" s="6"/>
      <c r="G99" s="6"/>
      <c r="H99" s="6"/>
    </row>
    <row r="100" spans="1:8" x14ac:dyDescent="0.3">
      <c r="A100" s="6"/>
      <c r="B100" s="6" t="s">
        <v>700</v>
      </c>
      <c r="C100" s="6"/>
      <c r="D100" s="6"/>
      <c r="E100" s="6">
        <v>-1</v>
      </c>
      <c r="F100" s="6"/>
      <c r="G100" s="6"/>
      <c r="H100" s="6"/>
    </row>
    <row r="101" spans="1:8" x14ac:dyDescent="0.3">
      <c r="A101" s="6"/>
      <c r="B101" s="6" t="s">
        <v>448</v>
      </c>
      <c r="C101" s="6">
        <v>-1</v>
      </c>
      <c r="D101" s="6"/>
      <c r="E101" s="6"/>
      <c r="F101" s="6"/>
      <c r="G101" s="6"/>
      <c r="H101" s="6"/>
    </row>
    <row r="102" spans="1:8" x14ac:dyDescent="0.3">
      <c r="A102" s="6"/>
      <c r="B102" s="6" t="s">
        <v>382</v>
      </c>
      <c r="C102" s="6">
        <v>-1</v>
      </c>
      <c r="D102" s="6"/>
      <c r="E102" s="6"/>
      <c r="F102" s="6"/>
      <c r="G102" s="6"/>
      <c r="H102" s="6"/>
    </row>
    <row r="103" spans="1:8" x14ac:dyDescent="0.3">
      <c r="A103" s="6"/>
      <c r="B103" s="6" t="s">
        <v>328</v>
      </c>
      <c r="C103" s="6"/>
      <c r="D103" s="6"/>
      <c r="E103" s="6"/>
      <c r="F103" s="6"/>
      <c r="G103" s="6"/>
      <c r="H103" s="6">
        <v>-1</v>
      </c>
    </row>
    <row r="104" spans="1:8" x14ac:dyDescent="0.3">
      <c r="A104" s="6"/>
      <c r="B104" s="6" t="s">
        <v>672</v>
      </c>
      <c r="C104" s="6"/>
      <c r="D104" s="6"/>
      <c r="E104" s="6"/>
      <c r="F104" s="6"/>
      <c r="G104" s="6"/>
      <c r="H104" s="6">
        <v>-1</v>
      </c>
    </row>
    <row r="105" spans="1:8" x14ac:dyDescent="0.3">
      <c r="A105" s="6"/>
      <c r="B105" s="6" t="s">
        <v>700</v>
      </c>
      <c r="C105" s="6"/>
      <c r="D105" s="6"/>
      <c r="E105" s="6"/>
      <c r="F105" s="6"/>
      <c r="G105" s="6">
        <v>-1</v>
      </c>
      <c r="H105" s="6"/>
    </row>
    <row r="106" spans="1:8" x14ac:dyDescent="0.3">
      <c r="A106" s="6"/>
      <c r="B106" s="6" t="s">
        <v>368</v>
      </c>
      <c r="C106" s="6"/>
      <c r="D106" s="6"/>
      <c r="E106" s="6"/>
      <c r="F106" s="6"/>
      <c r="G106" s="6">
        <v>-1</v>
      </c>
      <c r="H106" s="6"/>
    </row>
    <row r="107" spans="1:8" x14ac:dyDescent="0.3">
      <c r="A107" s="6" t="s">
        <v>2451</v>
      </c>
      <c r="B107" s="6" t="s">
        <v>354</v>
      </c>
      <c r="C107" s="6"/>
      <c r="D107" s="6">
        <v>30</v>
      </c>
      <c r="E107" s="6"/>
      <c r="F107" s="6">
        <v>34</v>
      </c>
      <c r="G107" s="6"/>
      <c r="H107" s="6"/>
    </row>
    <row r="108" spans="1:8" x14ac:dyDescent="0.3">
      <c r="A108" s="6" t="s">
        <v>3649</v>
      </c>
      <c r="B108" s="6" t="s">
        <v>354</v>
      </c>
      <c r="C108" s="6"/>
      <c r="D108" s="6">
        <v>16</v>
      </c>
      <c r="E108" s="6"/>
      <c r="F108" s="6">
        <v>27</v>
      </c>
      <c r="G108" s="6"/>
      <c r="H108" s="6"/>
    </row>
    <row r="109" spans="1:8" x14ac:dyDescent="0.3">
      <c r="A109" s="6"/>
      <c r="B109" s="6" t="s">
        <v>354</v>
      </c>
      <c r="C109" s="6"/>
      <c r="D109" s="6"/>
      <c r="E109" s="6">
        <v>-1</v>
      </c>
      <c r="F109" s="6"/>
      <c r="G109" s="6"/>
      <c r="H109" s="6"/>
    </row>
    <row r="110" spans="1:8" x14ac:dyDescent="0.3">
      <c r="A110" s="6"/>
      <c r="B110" s="6" t="s">
        <v>474</v>
      </c>
      <c r="C110" s="6"/>
      <c r="D110" s="6"/>
      <c r="E110" s="6"/>
      <c r="F110" s="6"/>
      <c r="G110" s="6"/>
      <c r="H110" s="6">
        <v>-1</v>
      </c>
    </row>
    <row r="111" spans="1:8" x14ac:dyDescent="0.3">
      <c r="A111" s="6" t="s">
        <v>2355</v>
      </c>
      <c r="B111" s="6" t="s">
        <v>354</v>
      </c>
      <c r="C111" s="6"/>
      <c r="D111" s="6"/>
      <c r="E111" s="6"/>
      <c r="F111" s="6"/>
      <c r="G111" s="6">
        <v>25</v>
      </c>
      <c r="H111" s="6"/>
    </row>
    <row r="112" spans="1:8" x14ac:dyDescent="0.3">
      <c r="A112" s="6"/>
      <c r="B112" s="6" t="s">
        <v>478</v>
      </c>
      <c r="C112" s="6"/>
      <c r="D112" s="6"/>
      <c r="E112" s="6"/>
      <c r="F112" s="6">
        <v>-1</v>
      </c>
      <c r="G112" s="6"/>
      <c r="H112" s="6"/>
    </row>
    <row r="113" spans="1:8" x14ac:dyDescent="0.3">
      <c r="A113" s="6"/>
      <c r="B113" s="6" t="s">
        <v>642</v>
      </c>
      <c r="C113" s="6"/>
      <c r="D113" s="6"/>
      <c r="E113" s="6"/>
      <c r="F113" s="6">
        <v>-1</v>
      </c>
      <c r="G113" s="6"/>
      <c r="H113" s="6"/>
    </row>
    <row r="114" spans="1:8" x14ac:dyDescent="0.3">
      <c r="A114" s="6"/>
      <c r="B114" s="6" t="s">
        <v>700</v>
      </c>
      <c r="C114" s="6"/>
      <c r="D114" s="6">
        <v>-1</v>
      </c>
      <c r="E114" s="6"/>
      <c r="F114" s="6"/>
      <c r="G114" s="6"/>
      <c r="H114" s="6"/>
    </row>
    <row r="115" spans="1:8" x14ac:dyDescent="0.3">
      <c r="A115" s="6"/>
      <c r="B115" s="6" t="s">
        <v>432</v>
      </c>
      <c r="C115" s="6"/>
      <c r="D115" s="6">
        <v>-1</v>
      </c>
      <c r="E115" s="6"/>
      <c r="F115" s="6">
        <v>-1</v>
      </c>
      <c r="G115" s="6"/>
      <c r="H115" s="6"/>
    </row>
    <row r="116" spans="1:8" x14ac:dyDescent="0.3">
      <c r="A116" s="6"/>
      <c r="B116" s="6" t="s">
        <v>604</v>
      </c>
      <c r="C116" s="6">
        <v>-1</v>
      </c>
      <c r="D116" s="6"/>
      <c r="E116" s="6">
        <v>-1</v>
      </c>
      <c r="F116" s="6"/>
      <c r="G116" s="6"/>
      <c r="H116" s="6"/>
    </row>
    <row r="117" spans="1:8" x14ac:dyDescent="0.3">
      <c r="A117" s="6"/>
      <c r="B117" s="6" t="s">
        <v>448</v>
      </c>
      <c r="C117" s="6"/>
      <c r="D117" s="6"/>
      <c r="E117" s="6">
        <v>-1</v>
      </c>
      <c r="F117" s="6"/>
      <c r="G117" s="6"/>
      <c r="H117" s="6"/>
    </row>
    <row r="118" spans="1:8" x14ac:dyDescent="0.3">
      <c r="A118" s="6"/>
      <c r="B118" s="6" t="s">
        <v>448</v>
      </c>
      <c r="C118" s="6">
        <v>-1</v>
      </c>
      <c r="D118" s="6"/>
      <c r="E118" s="6"/>
      <c r="F118" s="6"/>
      <c r="G118" s="6"/>
      <c r="H118" s="6"/>
    </row>
    <row r="119" spans="1:8" x14ac:dyDescent="0.3">
      <c r="A119" s="6"/>
      <c r="B119" s="6" t="s">
        <v>642</v>
      </c>
      <c r="C119" s="6">
        <v>-1</v>
      </c>
      <c r="D119" s="6"/>
      <c r="E119" s="6">
        <v>-1</v>
      </c>
      <c r="F119" s="6"/>
      <c r="G119" s="6"/>
      <c r="H119" s="6"/>
    </row>
    <row r="120" spans="1:8" x14ac:dyDescent="0.3">
      <c r="A120" s="6"/>
      <c r="B120" s="6" t="s">
        <v>360</v>
      </c>
      <c r="C120" s="6"/>
      <c r="D120" s="6"/>
      <c r="E120" s="6"/>
      <c r="F120" s="6"/>
      <c r="G120" s="6"/>
      <c r="H120" s="6">
        <v>-1</v>
      </c>
    </row>
    <row r="121" spans="1:8" x14ac:dyDescent="0.3">
      <c r="A121" s="6"/>
      <c r="B121" s="6" t="s">
        <v>328</v>
      </c>
      <c r="C121" s="6"/>
      <c r="D121" s="6"/>
      <c r="E121" s="6"/>
      <c r="F121" s="6"/>
      <c r="G121" s="6"/>
      <c r="H121" s="6">
        <v>-1</v>
      </c>
    </row>
    <row r="122" spans="1:8" x14ac:dyDescent="0.3">
      <c r="A122" s="6"/>
      <c r="B122" s="6" t="s">
        <v>448</v>
      </c>
      <c r="C122" s="6"/>
      <c r="D122" s="6"/>
      <c r="E122" s="6"/>
      <c r="F122" s="6"/>
      <c r="G122" s="6">
        <v>-1</v>
      </c>
      <c r="H122" s="6"/>
    </row>
    <row r="123" spans="1:8" x14ac:dyDescent="0.3">
      <c r="A123" s="6"/>
      <c r="B123" s="6" t="s">
        <v>494</v>
      </c>
      <c r="C123" s="6"/>
      <c r="D123" s="6"/>
      <c r="E123" s="6"/>
      <c r="F123" s="6"/>
      <c r="G123" s="6">
        <v>-1</v>
      </c>
      <c r="H123" s="6"/>
    </row>
    <row r="124" spans="1:8" x14ac:dyDescent="0.3">
      <c r="A124" s="6"/>
      <c r="B124" s="6" t="s">
        <v>406</v>
      </c>
      <c r="C124" s="6"/>
      <c r="D124" s="6">
        <v>-1</v>
      </c>
      <c r="E124" s="6"/>
      <c r="F124" s="6">
        <v>-1</v>
      </c>
      <c r="G124" s="6"/>
      <c r="H124" s="6"/>
    </row>
    <row r="125" spans="1:8" x14ac:dyDescent="0.3">
      <c r="A125" s="6" t="s">
        <v>1913</v>
      </c>
      <c r="B125" s="6" t="s">
        <v>394</v>
      </c>
      <c r="C125" s="6"/>
      <c r="D125" s="6">
        <v>25</v>
      </c>
      <c r="E125" s="6"/>
      <c r="F125" s="6">
        <v>37</v>
      </c>
      <c r="G125" s="6"/>
      <c r="H125" s="6"/>
    </row>
    <row r="126" spans="1:8" x14ac:dyDescent="0.3">
      <c r="A126" s="6" t="s">
        <v>3532</v>
      </c>
      <c r="B126" s="6" t="s">
        <v>356</v>
      </c>
      <c r="C126" s="6">
        <v>3</v>
      </c>
      <c r="D126" s="6"/>
      <c r="E126" s="6"/>
      <c r="F126" s="6"/>
      <c r="G126" s="6"/>
      <c r="H126" s="6"/>
    </row>
    <row r="127" spans="1:8" x14ac:dyDescent="0.3">
      <c r="A127" s="6"/>
      <c r="B127" s="6" t="s">
        <v>408</v>
      </c>
      <c r="C127" s="6">
        <v>-1</v>
      </c>
      <c r="D127" s="6"/>
      <c r="E127" s="6"/>
      <c r="F127" s="6"/>
      <c r="G127" s="6"/>
      <c r="H127" s="6"/>
    </row>
    <row r="128" spans="1:8" x14ac:dyDescent="0.3">
      <c r="A128" s="6"/>
      <c r="B128" s="6" t="s">
        <v>374</v>
      </c>
      <c r="C128" s="6"/>
      <c r="D128" s="6"/>
      <c r="E128" s="6"/>
      <c r="F128" s="6"/>
      <c r="G128" s="6"/>
      <c r="H128" s="6">
        <v>-1</v>
      </c>
    </row>
    <row r="129" spans="1:8" x14ac:dyDescent="0.3">
      <c r="A129" s="6"/>
      <c r="B129" s="6" t="s">
        <v>418</v>
      </c>
      <c r="C129" s="6"/>
      <c r="D129" s="6"/>
      <c r="E129" s="6"/>
      <c r="F129" s="6"/>
      <c r="G129" s="6">
        <v>-1</v>
      </c>
      <c r="H129" s="6"/>
    </row>
    <row r="130" spans="1:8" x14ac:dyDescent="0.3">
      <c r="A130" s="6" t="s">
        <v>2158</v>
      </c>
      <c r="B130" s="6" t="s">
        <v>384</v>
      </c>
      <c r="C130" s="6"/>
      <c r="D130" s="6">
        <v>48</v>
      </c>
      <c r="E130" s="6"/>
      <c r="F130" s="6">
        <v>42</v>
      </c>
      <c r="G130" s="6"/>
      <c r="H130" s="6"/>
    </row>
    <row r="131" spans="1:8" x14ac:dyDescent="0.3">
      <c r="A131" s="6"/>
      <c r="B131" s="6" t="s">
        <v>340</v>
      </c>
      <c r="C131" s="6"/>
      <c r="D131" s="6">
        <v>-1</v>
      </c>
      <c r="E131" s="6"/>
      <c r="F131" s="6"/>
      <c r="G131" s="6"/>
      <c r="H131" s="6"/>
    </row>
    <row r="132" spans="1:8" x14ac:dyDescent="0.3">
      <c r="A132" s="6" t="s">
        <v>1690</v>
      </c>
      <c r="B132" s="6" t="s">
        <v>470</v>
      </c>
      <c r="C132" s="6"/>
      <c r="D132" s="6"/>
      <c r="E132" s="6">
        <v>21</v>
      </c>
      <c r="F132" s="6"/>
      <c r="G132" s="6"/>
      <c r="H132" s="6"/>
    </row>
    <row r="133" spans="1:8" x14ac:dyDescent="0.3">
      <c r="A133" s="6"/>
      <c r="B133" s="6" t="s">
        <v>366</v>
      </c>
      <c r="C133" s="6">
        <v>-1</v>
      </c>
      <c r="D133" s="6"/>
      <c r="E133" s="6"/>
      <c r="F133" s="6"/>
      <c r="G133" s="6"/>
      <c r="H133" s="6"/>
    </row>
    <row r="134" spans="1:8" x14ac:dyDescent="0.3">
      <c r="A134" s="6" t="s">
        <v>3656</v>
      </c>
      <c r="B134" s="6" t="s">
        <v>364</v>
      </c>
      <c r="C134" s="6"/>
      <c r="D134" s="6">
        <v>42</v>
      </c>
      <c r="E134" s="6"/>
      <c r="F134" s="6">
        <v>23</v>
      </c>
      <c r="G134" s="6"/>
      <c r="H134" s="6"/>
    </row>
    <row r="135" spans="1:8" x14ac:dyDescent="0.3">
      <c r="A135" s="6" t="s">
        <v>1471</v>
      </c>
      <c r="B135" s="6" t="s">
        <v>402</v>
      </c>
      <c r="C135" s="6"/>
      <c r="D135" s="6">
        <v>47</v>
      </c>
      <c r="E135" s="6"/>
      <c r="F135" s="6">
        <v>29</v>
      </c>
      <c r="G135" s="6"/>
      <c r="H135" s="6"/>
    </row>
    <row r="136" spans="1:8" x14ac:dyDescent="0.3">
      <c r="A136" s="6"/>
      <c r="B136" s="6" t="s">
        <v>690</v>
      </c>
      <c r="C136" s="6"/>
      <c r="D136" s="6">
        <v>-1</v>
      </c>
      <c r="E136" s="6"/>
      <c r="F136" s="6">
        <v>-1</v>
      </c>
      <c r="G136" s="6"/>
      <c r="H136" s="6"/>
    </row>
    <row r="137" spans="1:8" x14ac:dyDescent="0.3">
      <c r="A137" s="6"/>
      <c r="B137" s="6" t="s">
        <v>356</v>
      </c>
      <c r="C137" s="6"/>
      <c r="D137" s="6">
        <v>-1</v>
      </c>
      <c r="E137" s="6"/>
      <c r="F137" s="6">
        <v>-1</v>
      </c>
      <c r="G137" s="6"/>
      <c r="H137" s="6"/>
    </row>
    <row r="138" spans="1:8" x14ac:dyDescent="0.3">
      <c r="A138" s="6"/>
      <c r="B138" s="6" t="s">
        <v>344</v>
      </c>
      <c r="C138" s="6"/>
      <c r="D138" s="6"/>
      <c r="E138" s="6">
        <v>-1</v>
      </c>
      <c r="F138" s="6"/>
      <c r="G138" s="6"/>
      <c r="H138" s="6"/>
    </row>
    <row r="139" spans="1:8" x14ac:dyDescent="0.3">
      <c r="A139" s="6" t="s">
        <v>4340</v>
      </c>
      <c r="B139" s="6" t="s">
        <v>332</v>
      </c>
      <c r="C139" s="6"/>
      <c r="D139" s="6"/>
      <c r="E139" s="6">
        <v>19</v>
      </c>
      <c r="F139" s="6"/>
      <c r="G139" s="6"/>
      <c r="H139" s="6"/>
    </row>
    <row r="140" spans="1:8" x14ac:dyDescent="0.3">
      <c r="A140" s="6"/>
      <c r="B140" s="6" t="s">
        <v>356</v>
      </c>
      <c r="C140" s="6">
        <v>-1</v>
      </c>
      <c r="D140" s="6"/>
      <c r="E140" s="6"/>
      <c r="F140" s="6"/>
      <c r="G140" s="6"/>
      <c r="H140" s="6"/>
    </row>
    <row r="141" spans="1:8" x14ac:dyDescent="0.3">
      <c r="A141" s="6"/>
      <c r="B141" s="6" t="s">
        <v>718</v>
      </c>
      <c r="C141" s="6"/>
      <c r="D141" s="6"/>
      <c r="E141" s="6"/>
      <c r="F141" s="6"/>
      <c r="G141" s="6"/>
      <c r="H141" s="6">
        <v>-1</v>
      </c>
    </row>
    <row r="142" spans="1:8" x14ac:dyDescent="0.3">
      <c r="A142" s="6"/>
      <c r="B142" s="6" t="s">
        <v>330</v>
      </c>
      <c r="C142" s="6"/>
      <c r="D142" s="6"/>
      <c r="E142" s="6"/>
      <c r="F142" s="6"/>
      <c r="G142" s="6"/>
      <c r="H142" s="6">
        <v>-1</v>
      </c>
    </row>
    <row r="143" spans="1:8" x14ac:dyDescent="0.3">
      <c r="A143" s="6"/>
      <c r="B143" s="6" t="s">
        <v>604</v>
      </c>
      <c r="C143" s="6"/>
      <c r="D143" s="6"/>
      <c r="E143" s="6"/>
      <c r="F143" s="6"/>
      <c r="G143" s="6">
        <v>-1</v>
      </c>
      <c r="H143" s="6"/>
    </row>
    <row r="144" spans="1:8" x14ac:dyDescent="0.3">
      <c r="A144" s="6"/>
      <c r="B144" s="6" t="s">
        <v>572</v>
      </c>
      <c r="C144" s="6"/>
      <c r="D144" s="6"/>
      <c r="E144" s="6"/>
      <c r="F144" s="6"/>
      <c r="G144" s="6">
        <v>-1</v>
      </c>
      <c r="H144" s="6"/>
    </row>
    <row r="145" spans="1:8" x14ac:dyDescent="0.3">
      <c r="A145" s="6" t="s">
        <v>3992</v>
      </c>
      <c r="B145" s="6" t="s">
        <v>330</v>
      </c>
      <c r="C145" s="6"/>
      <c r="D145" s="6"/>
      <c r="E145" s="6"/>
      <c r="F145" s="6"/>
      <c r="G145" s="6"/>
      <c r="H145" s="6">
        <v>14</v>
      </c>
    </row>
    <row r="146" spans="1:8" x14ac:dyDescent="0.3">
      <c r="A146" s="6"/>
      <c r="B146" s="6" t="s">
        <v>334</v>
      </c>
      <c r="C146" s="6"/>
      <c r="D146" s="6"/>
      <c r="E146" s="6"/>
      <c r="F146" s="6"/>
      <c r="G146" s="6">
        <v>-1</v>
      </c>
      <c r="H146" s="6"/>
    </row>
    <row r="147" spans="1:8" x14ac:dyDescent="0.3">
      <c r="A147" s="6"/>
      <c r="B147" s="6" t="s">
        <v>718</v>
      </c>
      <c r="C147" s="6"/>
      <c r="D147" s="6"/>
      <c r="E147" s="6"/>
      <c r="F147" s="6"/>
      <c r="G147" s="6"/>
      <c r="H147" s="6">
        <v>-1</v>
      </c>
    </row>
    <row r="148" spans="1:8" x14ac:dyDescent="0.3">
      <c r="A148" s="6"/>
      <c r="B148" s="6" t="s">
        <v>344</v>
      </c>
      <c r="C148" s="6"/>
      <c r="D148" s="6"/>
      <c r="E148" s="6"/>
      <c r="F148" s="6"/>
      <c r="G148" s="6">
        <v>-1</v>
      </c>
      <c r="H148" s="6"/>
    </row>
    <row r="149" spans="1:8" x14ac:dyDescent="0.3">
      <c r="A149" s="6" t="s">
        <v>4393</v>
      </c>
      <c r="B149" s="6" t="s">
        <v>344</v>
      </c>
      <c r="C149" s="6"/>
      <c r="D149" s="6">
        <v>11</v>
      </c>
      <c r="E149" s="6"/>
      <c r="F149" s="6">
        <v>6</v>
      </c>
      <c r="G149" s="6"/>
      <c r="H149" s="6"/>
    </row>
    <row r="150" spans="1:8" x14ac:dyDescent="0.3">
      <c r="A150" s="6" t="s">
        <v>4484</v>
      </c>
      <c r="B150" s="6" t="s">
        <v>450</v>
      </c>
      <c r="C150" s="6"/>
      <c r="D150" s="6">
        <v>3</v>
      </c>
      <c r="E150" s="6"/>
      <c r="F150" s="6">
        <v>26</v>
      </c>
      <c r="G150" s="6"/>
      <c r="H150" s="6"/>
    </row>
    <row r="151" spans="1:8" x14ac:dyDescent="0.3">
      <c r="A151" s="6"/>
      <c r="B151" s="6" t="s">
        <v>726</v>
      </c>
      <c r="C151" s="6"/>
      <c r="D151" s="6"/>
      <c r="E151" s="6">
        <v>-1</v>
      </c>
      <c r="F151" s="6"/>
      <c r="G151" s="6"/>
      <c r="H151" s="6"/>
    </row>
    <row r="152" spans="1:8" x14ac:dyDescent="0.3">
      <c r="A152" s="6" t="s">
        <v>4620</v>
      </c>
      <c r="B152" s="6" t="s">
        <v>356</v>
      </c>
      <c r="C152" s="6"/>
      <c r="D152" s="6"/>
      <c r="E152" s="6">
        <v>12</v>
      </c>
      <c r="F152" s="6"/>
      <c r="G152" s="6"/>
      <c r="H152" s="6"/>
    </row>
    <row r="153" spans="1:8" x14ac:dyDescent="0.3">
      <c r="A153" s="6"/>
      <c r="B153" s="6" t="s">
        <v>344</v>
      </c>
      <c r="C153" s="6"/>
      <c r="D153" s="6">
        <v>-1</v>
      </c>
      <c r="E153" s="6"/>
      <c r="F153" s="6">
        <v>-1</v>
      </c>
      <c r="G153" s="6"/>
      <c r="H153" s="6"/>
    </row>
    <row r="154" spans="1:8" x14ac:dyDescent="0.3">
      <c r="A154" s="6"/>
      <c r="B154" s="6" t="s">
        <v>358</v>
      </c>
      <c r="C154" s="6"/>
      <c r="D154" s="6"/>
      <c r="E154" s="6"/>
      <c r="F154" s="6">
        <v>-1</v>
      </c>
      <c r="G154" s="6"/>
      <c r="H154" s="6"/>
    </row>
    <row r="155" spans="1:8" x14ac:dyDescent="0.3">
      <c r="A155" s="6"/>
      <c r="B155" s="6" t="s">
        <v>338</v>
      </c>
      <c r="C155" s="6"/>
      <c r="D155" s="6">
        <v>-1</v>
      </c>
      <c r="E155" s="6"/>
      <c r="F155" s="6">
        <v>-1</v>
      </c>
      <c r="G155" s="6"/>
      <c r="H155" s="6"/>
    </row>
    <row r="156" spans="1:8" x14ac:dyDescent="0.3">
      <c r="A156" s="6"/>
      <c r="B156" s="6" t="s">
        <v>700</v>
      </c>
      <c r="C156" s="6"/>
      <c r="D156" s="6">
        <v>-1</v>
      </c>
      <c r="E156" s="6"/>
      <c r="F156" s="6">
        <v>-1</v>
      </c>
      <c r="G156" s="6"/>
      <c r="H156" s="6"/>
    </row>
    <row r="157" spans="1:8" x14ac:dyDescent="0.3">
      <c r="A157" s="6"/>
      <c r="B157" s="6" t="s">
        <v>598</v>
      </c>
      <c r="C157" s="6"/>
      <c r="D157" s="6">
        <v>-1</v>
      </c>
      <c r="E157" s="6"/>
      <c r="F157" s="6"/>
      <c r="G157" s="6"/>
      <c r="H157" s="6"/>
    </row>
    <row r="158" spans="1:8" x14ac:dyDescent="0.3">
      <c r="A158" s="6" t="s">
        <v>4483</v>
      </c>
      <c r="B158" s="6" t="s">
        <v>450</v>
      </c>
      <c r="C158" s="6"/>
      <c r="D158" s="6">
        <v>6</v>
      </c>
      <c r="E158" s="6"/>
      <c r="F158" s="6">
        <v>31</v>
      </c>
      <c r="G158" s="6"/>
      <c r="H158" s="6"/>
    </row>
    <row r="159" spans="1:8" x14ac:dyDescent="0.3">
      <c r="A159" s="6"/>
      <c r="B159" s="6" t="s">
        <v>442</v>
      </c>
      <c r="C159" s="6">
        <v>-1</v>
      </c>
      <c r="D159" s="6"/>
      <c r="E159" s="6">
        <v>-1</v>
      </c>
      <c r="F159" s="6"/>
      <c r="G159" s="6"/>
      <c r="H159" s="6"/>
    </row>
    <row r="160" spans="1:8" x14ac:dyDescent="0.3">
      <c r="A160" s="6"/>
      <c r="B160" s="6" t="s">
        <v>356</v>
      </c>
      <c r="C160" s="6"/>
      <c r="D160" s="6"/>
      <c r="E160" s="6">
        <v>-1</v>
      </c>
      <c r="F160" s="6"/>
      <c r="G160" s="6"/>
      <c r="H160" s="6"/>
    </row>
    <row r="161" spans="1:8" x14ac:dyDescent="0.3">
      <c r="A161" s="6"/>
      <c r="B161" s="6" t="s">
        <v>614</v>
      </c>
      <c r="C161" s="6">
        <v>-1</v>
      </c>
      <c r="D161" s="6"/>
      <c r="E161" s="6"/>
      <c r="F161" s="6"/>
      <c r="G161" s="6"/>
      <c r="H161" s="6"/>
    </row>
    <row r="162" spans="1:8" x14ac:dyDescent="0.3">
      <c r="A162" s="6"/>
      <c r="B162" s="6" t="s">
        <v>718</v>
      </c>
      <c r="C162" s="6">
        <v>-1</v>
      </c>
      <c r="D162" s="6"/>
      <c r="E162" s="6"/>
      <c r="F162" s="6"/>
      <c r="G162" s="6"/>
      <c r="H162" s="6"/>
    </row>
    <row r="163" spans="1:8" x14ac:dyDescent="0.3">
      <c r="A163" s="6"/>
      <c r="B163" s="6" t="s">
        <v>354</v>
      </c>
      <c r="C163" s="6"/>
      <c r="D163" s="6"/>
      <c r="E163" s="6"/>
      <c r="F163" s="6"/>
      <c r="G163" s="6"/>
      <c r="H163" s="6">
        <v>-1</v>
      </c>
    </row>
    <row r="164" spans="1:8" x14ac:dyDescent="0.3">
      <c r="A164" s="6" t="s">
        <v>2912</v>
      </c>
      <c r="B164" s="6" t="s">
        <v>402</v>
      </c>
      <c r="C164" s="6"/>
      <c r="D164" s="6"/>
      <c r="E164" s="6"/>
      <c r="F164" s="6"/>
      <c r="G164" s="6"/>
      <c r="H164" s="6">
        <v>25</v>
      </c>
    </row>
    <row r="165" spans="1:8" x14ac:dyDescent="0.3">
      <c r="A165" s="6"/>
      <c r="B165" s="6" t="s">
        <v>356</v>
      </c>
      <c r="C165" s="6"/>
      <c r="D165" s="6"/>
      <c r="E165" s="6"/>
      <c r="F165" s="6"/>
      <c r="G165" s="6">
        <v>-1</v>
      </c>
      <c r="H165" s="6"/>
    </row>
    <row r="166" spans="1:8" x14ac:dyDescent="0.3">
      <c r="A166" s="6"/>
      <c r="B166" s="6" t="s">
        <v>726</v>
      </c>
      <c r="C166" s="6">
        <v>-1</v>
      </c>
      <c r="D166" s="6"/>
      <c r="E166" s="6"/>
      <c r="F166" s="6"/>
      <c r="G166" s="6"/>
      <c r="H166" s="6"/>
    </row>
    <row r="167" spans="1:8" x14ac:dyDescent="0.3">
      <c r="A167" s="6"/>
      <c r="B167" s="6" t="s">
        <v>472</v>
      </c>
      <c r="C167" s="6"/>
      <c r="D167" s="6">
        <v>-1</v>
      </c>
      <c r="E167" s="6"/>
      <c r="F167" s="6">
        <v>-1</v>
      </c>
      <c r="G167" s="6"/>
      <c r="H167" s="6"/>
    </row>
    <row r="168" spans="1:8" x14ac:dyDescent="0.3">
      <c r="A168" s="6"/>
      <c r="B168" s="6" t="s">
        <v>514</v>
      </c>
      <c r="C168" s="6"/>
      <c r="D168" s="6">
        <v>-1</v>
      </c>
      <c r="E168" s="6"/>
      <c r="F168" s="6"/>
      <c r="G168" s="6"/>
      <c r="H168" s="6"/>
    </row>
    <row r="169" spans="1:8" x14ac:dyDescent="0.3">
      <c r="A169" s="6"/>
      <c r="B169" s="6" t="s">
        <v>508</v>
      </c>
      <c r="C169" s="6">
        <v>-1</v>
      </c>
      <c r="D169" s="6"/>
      <c r="E169" s="6"/>
      <c r="F169" s="6"/>
      <c r="G169" s="6"/>
      <c r="H169" s="6"/>
    </row>
    <row r="170" spans="1:8" x14ac:dyDescent="0.3">
      <c r="A170" s="6"/>
      <c r="B170" s="6" t="s">
        <v>630</v>
      </c>
      <c r="C170" s="6"/>
      <c r="D170" s="6"/>
      <c r="E170" s="6"/>
      <c r="F170" s="6"/>
      <c r="G170" s="6"/>
      <c r="H170" s="6">
        <v>-1</v>
      </c>
    </row>
    <row r="171" spans="1:8" x14ac:dyDescent="0.3">
      <c r="A171" s="6"/>
      <c r="B171" s="6" t="s">
        <v>660</v>
      </c>
      <c r="C171" s="6"/>
      <c r="D171" s="6"/>
      <c r="E171" s="6"/>
      <c r="F171" s="6"/>
      <c r="G171" s="6"/>
      <c r="H171" s="6">
        <v>-1</v>
      </c>
    </row>
    <row r="172" spans="1:8" x14ac:dyDescent="0.3">
      <c r="A172" s="6"/>
      <c r="B172" s="6" t="s">
        <v>594</v>
      </c>
      <c r="C172" s="6"/>
      <c r="D172" s="6"/>
      <c r="E172" s="6"/>
      <c r="F172" s="6"/>
      <c r="G172" s="6">
        <v>-1</v>
      </c>
      <c r="H172" s="6"/>
    </row>
    <row r="173" spans="1:8" x14ac:dyDescent="0.3">
      <c r="A173" s="6" t="s">
        <v>3963</v>
      </c>
      <c r="B173" s="6" t="s">
        <v>466</v>
      </c>
      <c r="C173" s="6"/>
      <c r="D173" s="6"/>
      <c r="E173" s="6"/>
      <c r="F173" s="6"/>
      <c r="G173" s="6">
        <v>30</v>
      </c>
      <c r="H173" s="6"/>
    </row>
    <row r="174" spans="1:8" x14ac:dyDescent="0.3">
      <c r="A174" s="6"/>
      <c r="B174" s="6" t="s">
        <v>386</v>
      </c>
      <c r="C174" s="6">
        <v>-1</v>
      </c>
      <c r="D174" s="6"/>
      <c r="E174" s="6"/>
      <c r="F174" s="6"/>
      <c r="G174" s="6"/>
      <c r="H174" s="6"/>
    </row>
  </sheetData>
  <pageMargins left="0.7" right="0.7" top="0.75" bottom="0.75" header="0.3" footer="0.3"/>
  <tableParts count="1">
    <tablePart r:id="rId1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6E481-116B-4A6D-9278-F1670E89064C}">
  <dimension ref="A1:H180"/>
  <sheetViews>
    <sheetView topLeftCell="A172" workbookViewId="0">
      <selection activeCell="B181" sqref="B181"/>
    </sheetView>
  </sheetViews>
  <sheetFormatPr defaultRowHeight="14.4" x14ac:dyDescent="0.3"/>
  <cols>
    <col min="1" max="1" width="24" bestFit="1" customWidth="1"/>
    <col min="2" max="2" width="13.6640625" bestFit="1" customWidth="1"/>
    <col min="3" max="3" width="26.33203125" bestFit="1" customWidth="1"/>
    <col min="4" max="4" width="25.44140625" bestFit="1" customWidth="1"/>
    <col min="5" max="5" width="23.5546875" bestFit="1" customWidth="1"/>
    <col min="6" max="6" width="32.33203125" bestFit="1" customWidth="1"/>
    <col min="7" max="7" width="19.5546875" bestFit="1" customWidth="1"/>
    <col min="8" max="8" width="18.44140625" bestFit="1" customWidth="1"/>
  </cols>
  <sheetData>
    <row r="1" spans="1:8" x14ac:dyDescent="0.3">
      <c r="A1" t="s">
        <v>832</v>
      </c>
      <c r="B1" t="s">
        <v>1</v>
      </c>
      <c r="C1" t="s">
        <v>888</v>
      </c>
      <c r="D1" t="s">
        <v>889</v>
      </c>
      <c r="E1" t="s">
        <v>925</v>
      </c>
      <c r="F1" t="s">
        <v>891</v>
      </c>
      <c r="G1" t="s">
        <v>892</v>
      </c>
      <c r="H1" t="s">
        <v>893</v>
      </c>
    </row>
    <row r="2" spans="1:8" x14ac:dyDescent="0.3">
      <c r="A2" s="6"/>
      <c r="B2" s="6" t="s">
        <v>344</v>
      </c>
      <c r="C2" s="6"/>
      <c r="D2" s="6"/>
      <c r="E2" s="6"/>
      <c r="F2" s="6">
        <v>-1</v>
      </c>
      <c r="G2" s="6"/>
      <c r="H2" s="6"/>
    </row>
    <row r="3" spans="1:8" x14ac:dyDescent="0.3">
      <c r="A3" s="6"/>
      <c r="B3" s="6" t="s">
        <v>356</v>
      </c>
      <c r="C3" s="6"/>
      <c r="D3" s="6"/>
      <c r="E3" s="6"/>
      <c r="F3" s="6"/>
      <c r="G3" s="6"/>
      <c r="H3" s="6">
        <v>-1</v>
      </c>
    </row>
    <row r="4" spans="1:8" x14ac:dyDescent="0.3">
      <c r="A4" s="6"/>
      <c r="B4" s="6" t="s">
        <v>402</v>
      </c>
      <c r="C4" s="6"/>
      <c r="D4" s="6"/>
      <c r="E4" s="6"/>
      <c r="F4" s="6"/>
      <c r="G4" s="6"/>
      <c r="H4" s="6">
        <v>-1</v>
      </c>
    </row>
    <row r="5" spans="1:8" x14ac:dyDescent="0.3">
      <c r="A5" s="6" t="s">
        <v>3567</v>
      </c>
      <c r="B5" s="6" t="s">
        <v>402</v>
      </c>
      <c r="C5" s="6"/>
      <c r="D5" s="6"/>
      <c r="E5" s="6"/>
      <c r="F5" s="6"/>
      <c r="G5" s="6">
        <v>2</v>
      </c>
      <c r="H5" s="6"/>
    </row>
    <row r="6" spans="1:8" x14ac:dyDescent="0.3">
      <c r="A6" s="6"/>
      <c r="B6" s="6" t="s">
        <v>334</v>
      </c>
      <c r="C6" s="6"/>
      <c r="D6" s="6"/>
      <c r="E6" s="6"/>
      <c r="F6" s="6"/>
      <c r="G6" s="6">
        <v>-1</v>
      </c>
      <c r="H6" s="6"/>
    </row>
    <row r="7" spans="1:8" x14ac:dyDescent="0.3">
      <c r="A7" s="6"/>
      <c r="B7" s="6" t="s">
        <v>414</v>
      </c>
      <c r="C7" s="6"/>
      <c r="D7" s="6">
        <v>-1</v>
      </c>
      <c r="E7" s="6"/>
      <c r="F7" s="6">
        <v>-1</v>
      </c>
      <c r="G7" s="6"/>
      <c r="H7" s="6"/>
    </row>
    <row r="8" spans="1:8" x14ac:dyDescent="0.3">
      <c r="A8" s="6"/>
      <c r="B8" s="6" t="s">
        <v>442</v>
      </c>
      <c r="C8" s="6"/>
      <c r="D8" s="6">
        <v>-1</v>
      </c>
      <c r="E8" s="6"/>
      <c r="F8" s="6">
        <v>-1</v>
      </c>
      <c r="G8" s="6"/>
      <c r="H8" s="6"/>
    </row>
    <row r="9" spans="1:8" x14ac:dyDescent="0.3">
      <c r="A9" s="6"/>
      <c r="B9" s="6" t="s">
        <v>334</v>
      </c>
      <c r="C9" s="6">
        <v>-1</v>
      </c>
      <c r="D9" s="6"/>
      <c r="E9" s="6">
        <v>-1</v>
      </c>
      <c r="F9" s="6"/>
      <c r="G9" s="6"/>
      <c r="H9" s="6"/>
    </row>
    <row r="10" spans="1:8" x14ac:dyDescent="0.3">
      <c r="A10" s="6" t="s">
        <v>3876</v>
      </c>
      <c r="B10" s="6" t="s">
        <v>394</v>
      </c>
      <c r="C10" s="6">
        <v>14</v>
      </c>
      <c r="D10" s="6"/>
      <c r="E10" s="6">
        <v>29</v>
      </c>
      <c r="F10" s="6"/>
      <c r="G10" s="6"/>
      <c r="H10" s="6"/>
    </row>
    <row r="11" spans="1:8" x14ac:dyDescent="0.3">
      <c r="A11" s="6"/>
      <c r="B11" s="6" t="s">
        <v>408</v>
      </c>
      <c r="C11" s="6"/>
      <c r="D11" s="6"/>
      <c r="E11" s="6"/>
      <c r="F11" s="6"/>
      <c r="G11" s="6"/>
      <c r="H11" s="6">
        <v>-1</v>
      </c>
    </row>
    <row r="12" spans="1:8" x14ac:dyDescent="0.3">
      <c r="A12" s="6" t="s">
        <v>3192</v>
      </c>
      <c r="B12" s="6" t="s">
        <v>344</v>
      </c>
      <c r="C12" s="6"/>
      <c r="D12" s="6"/>
      <c r="E12" s="6"/>
      <c r="F12" s="6"/>
      <c r="G12" s="6"/>
      <c r="H12" s="6">
        <v>28</v>
      </c>
    </row>
    <row r="13" spans="1:8" x14ac:dyDescent="0.3">
      <c r="A13" s="6"/>
      <c r="B13" s="6" t="s">
        <v>354</v>
      </c>
      <c r="C13" s="6"/>
      <c r="D13" s="6"/>
      <c r="E13" s="6"/>
      <c r="F13" s="6"/>
      <c r="G13" s="6"/>
      <c r="H13" s="6">
        <v>-1</v>
      </c>
    </row>
    <row r="14" spans="1:8" x14ac:dyDescent="0.3">
      <c r="A14" s="6"/>
      <c r="B14" s="6" t="s">
        <v>330</v>
      </c>
      <c r="C14" s="6"/>
      <c r="D14" s="6"/>
      <c r="E14" s="6"/>
      <c r="F14" s="6"/>
      <c r="G14" s="6"/>
      <c r="H14" s="6">
        <v>-1</v>
      </c>
    </row>
    <row r="15" spans="1:8" x14ac:dyDescent="0.3">
      <c r="A15" s="6"/>
      <c r="B15" s="6" t="s">
        <v>332</v>
      </c>
      <c r="C15" s="6"/>
      <c r="D15" s="6"/>
      <c r="E15" s="6"/>
      <c r="F15" s="6"/>
      <c r="G15" s="6">
        <v>-1</v>
      </c>
      <c r="H15" s="6"/>
    </row>
    <row r="16" spans="1:8" x14ac:dyDescent="0.3">
      <c r="A16" s="6"/>
      <c r="B16" s="6" t="s">
        <v>356</v>
      </c>
      <c r="C16" s="6"/>
      <c r="D16" s="6"/>
      <c r="E16" s="6"/>
      <c r="F16" s="6"/>
      <c r="G16" s="6">
        <v>-1</v>
      </c>
      <c r="H16" s="6"/>
    </row>
    <row r="17" spans="1:8" x14ac:dyDescent="0.3">
      <c r="A17" s="6"/>
      <c r="B17" s="6" t="s">
        <v>408</v>
      </c>
      <c r="C17" s="6"/>
      <c r="D17" s="6"/>
      <c r="E17" s="6"/>
      <c r="F17" s="6"/>
      <c r="G17" s="6">
        <v>-1</v>
      </c>
      <c r="H17" s="6"/>
    </row>
    <row r="18" spans="1:8" x14ac:dyDescent="0.3">
      <c r="A18" s="6"/>
      <c r="B18" s="6" t="s">
        <v>726</v>
      </c>
      <c r="C18" s="6"/>
      <c r="D18" s="6"/>
      <c r="E18" s="6"/>
      <c r="F18" s="6"/>
      <c r="G18" s="6">
        <v>-1</v>
      </c>
      <c r="H18" s="6"/>
    </row>
    <row r="19" spans="1:8" x14ac:dyDescent="0.3">
      <c r="A19" s="6" t="s">
        <v>5017</v>
      </c>
      <c r="B19" s="6" t="s">
        <v>364</v>
      </c>
      <c r="C19" s="6"/>
      <c r="D19" s="6"/>
      <c r="E19" s="6"/>
      <c r="F19" s="6">
        <v>15</v>
      </c>
      <c r="G19" s="6"/>
      <c r="H19" s="6"/>
    </row>
    <row r="20" spans="1:8" x14ac:dyDescent="0.3">
      <c r="A20" s="6"/>
      <c r="B20" s="6" t="s">
        <v>328</v>
      </c>
      <c r="C20" s="6"/>
      <c r="D20" s="6"/>
      <c r="E20" s="6"/>
      <c r="F20" s="6">
        <v>-1</v>
      </c>
      <c r="G20" s="6"/>
      <c r="H20" s="6"/>
    </row>
    <row r="21" spans="1:8" x14ac:dyDescent="0.3">
      <c r="A21" s="6"/>
      <c r="B21" s="6" t="s">
        <v>332</v>
      </c>
      <c r="C21" s="6"/>
      <c r="D21" s="6"/>
      <c r="E21" s="6"/>
      <c r="F21" s="6">
        <v>-1</v>
      </c>
      <c r="G21" s="6"/>
      <c r="H21" s="6"/>
    </row>
    <row r="22" spans="1:8" x14ac:dyDescent="0.3">
      <c r="A22" s="6"/>
      <c r="B22" s="6" t="s">
        <v>700</v>
      </c>
      <c r="C22" s="6"/>
      <c r="D22" s="6"/>
      <c r="E22" s="6"/>
      <c r="F22" s="6">
        <v>-1</v>
      </c>
      <c r="G22" s="6"/>
      <c r="H22" s="6"/>
    </row>
    <row r="23" spans="1:8" x14ac:dyDescent="0.3">
      <c r="A23" s="6"/>
      <c r="B23" s="6" t="s">
        <v>332</v>
      </c>
      <c r="C23" s="6"/>
      <c r="D23" s="6">
        <v>-1</v>
      </c>
      <c r="E23" s="6"/>
      <c r="F23" s="6"/>
      <c r="G23" s="6"/>
      <c r="H23" s="6"/>
    </row>
    <row r="24" spans="1:8" x14ac:dyDescent="0.3">
      <c r="A24" s="6"/>
      <c r="B24" s="6" t="s">
        <v>328</v>
      </c>
      <c r="C24" s="6"/>
      <c r="D24" s="6">
        <v>-1</v>
      </c>
      <c r="E24" s="6"/>
      <c r="F24" s="6"/>
      <c r="G24" s="6"/>
      <c r="H24" s="6"/>
    </row>
    <row r="25" spans="1:8" x14ac:dyDescent="0.3">
      <c r="A25" s="6"/>
      <c r="B25" s="6" t="s">
        <v>394</v>
      </c>
      <c r="C25" s="6"/>
      <c r="D25" s="6">
        <v>-1</v>
      </c>
      <c r="E25" s="6"/>
      <c r="F25" s="6"/>
      <c r="G25" s="6"/>
      <c r="H25" s="6"/>
    </row>
    <row r="26" spans="1:8" x14ac:dyDescent="0.3">
      <c r="A26" s="6"/>
      <c r="B26" s="6" t="s">
        <v>700</v>
      </c>
      <c r="C26" s="6"/>
      <c r="D26" s="6">
        <v>-1</v>
      </c>
      <c r="E26" s="6"/>
      <c r="F26" s="6"/>
      <c r="G26" s="6"/>
      <c r="H26" s="6"/>
    </row>
    <row r="27" spans="1:8" x14ac:dyDescent="0.3">
      <c r="A27" s="6"/>
      <c r="B27" s="6" t="s">
        <v>700</v>
      </c>
      <c r="C27" s="6"/>
      <c r="D27" s="6"/>
      <c r="E27" s="6">
        <v>-1</v>
      </c>
      <c r="F27" s="6"/>
      <c r="G27" s="6"/>
      <c r="H27" s="6"/>
    </row>
    <row r="28" spans="1:8" x14ac:dyDescent="0.3">
      <c r="A28" s="6" t="s">
        <v>3568</v>
      </c>
      <c r="B28" s="6" t="s">
        <v>370</v>
      </c>
      <c r="C28" s="6">
        <v>16</v>
      </c>
      <c r="D28" s="6"/>
      <c r="E28" s="6">
        <v>11</v>
      </c>
      <c r="F28" s="6"/>
      <c r="G28" s="6"/>
      <c r="H28" s="6"/>
    </row>
    <row r="29" spans="1:8" x14ac:dyDescent="0.3">
      <c r="A29" s="6"/>
      <c r="B29" s="6" t="s">
        <v>328</v>
      </c>
      <c r="C29" s="6"/>
      <c r="D29" s="6"/>
      <c r="E29" s="6">
        <v>-1</v>
      </c>
      <c r="F29" s="6"/>
      <c r="G29" s="6"/>
      <c r="H29" s="6"/>
    </row>
    <row r="30" spans="1:8" x14ac:dyDescent="0.3">
      <c r="A30" s="6"/>
      <c r="B30" s="6" t="s">
        <v>360</v>
      </c>
      <c r="C30" s="6">
        <v>-1</v>
      </c>
      <c r="D30" s="6"/>
      <c r="E30" s="6">
        <v>-1</v>
      </c>
      <c r="F30" s="6"/>
      <c r="G30" s="6"/>
      <c r="H30" s="6"/>
    </row>
    <row r="31" spans="1:8" x14ac:dyDescent="0.3">
      <c r="A31" s="6"/>
      <c r="B31" s="6" t="s">
        <v>328</v>
      </c>
      <c r="C31" s="6">
        <v>-1</v>
      </c>
      <c r="D31" s="6"/>
      <c r="E31" s="6"/>
      <c r="F31" s="6"/>
      <c r="G31" s="6"/>
      <c r="H31" s="6"/>
    </row>
    <row r="32" spans="1:8" x14ac:dyDescent="0.3">
      <c r="A32" s="6"/>
      <c r="B32" s="6" t="s">
        <v>342</v>
      </c>
      <c r="C32" s="6">
        <v>-1</v>
      </c>
      <c r="D32" s="6"/>
      <c r="E32" s="6">
        <v>-1</v>
      </c>
      <c r="F32" s="6"/>
      <c r="G32" s="6"/>
      <c r="H32" s="6"/>
    </row>
    <row r="33" spans="1:8" x14ac:dyDescent="0.3">
      <c r="A33" s="6"/>
      <c r="B33" s="6" t="s">
        <v>690</v>
      </c>
      <c r="C33" s="6">
        <v>-1</v>
      </c>
      <c r="D33" s="6"/>
      <c r="E33" s="6"/>
      <c r="F33" s="6"/>
      <c r="G33" s="6"/>
      <c r="H33" s="6"/>
    </row>
    <row r="34" spans="1:8" x14ac:dyDescent="0.3">
      <c r="A34" s="6"/>
      <c r="B34" s="6" t="s">
        <v>506</v>
      </c>
      <c r="C34" s="6">
        <v>-1</v>
      </c>
      <c r="D34" s="6"/>
      <c r="E34" s="6"/>
      <c r="F34" s="6"/>
      <c r="G34" s="6"/>
      <c r="H34" s="6"/>
    </row>
    <row r="35" spans="1:8" x14ac:dyDescent="0.3">
      <c r="A35" s="6"/>
      <c r="B35" s="6" t="s">
        <v>332</v>
      </c>
      <c r="C35" s="6"/>
      <c r="D35" s="6"/>
      <c r="E35" s="6"/>
      <c r="F35" s="6">
        <v>-1</v>
      </c>
      <c r="G35" s="6"/>
      <c r="H35" s="6"/>
    </row>
    <row r="36" spans="1:8" x14ac:dyDescent="0.3">
      <c r="A36" s="6"/>
      <c r="B36" s="6" t="s">
        <v>332</v>
      </c>
      <c r="C36" s="6"/>
      <c r="D36" s="6">
        <v>-1</v>
      </c>
      <c r="E36" s="6"/>
      <c r="F36" s="6"/>
      <c r="G36" s="6"/>
      <c r="H36" s="6"/>
    </row>
    <row r="37" spans="1:8" x14ac:dyDescent="0.3">
      <c r="A37" s="6"/>
      <c r="B37" s="6" t="s">
        <v>332</v>
      </c>
      <c r="C37" s="6"/>
      <c r="D37" s="6"/>
      <c r="E37" s="6">
        <v>-1</v>
      </c>
      <c r="F37" s="6"/>
      <c r="G37" s="6"/>
      <c r="H37" s="6"/>
    </row>
    <row r="38" spans="1:8" x14ac:dyDescent="0.3">
      <c r="A38" s="6"/>
      <c r="B38" s="6" t="s">
        <v>332</v>
      </c>
      <c r="C38" s="6">
        <v>-1</v>
      </c>
      <c r="D38" s="6"/>
      <c r="E38" s="6"/>
      <c r="F38" s="6"/>
      <c r="G38" s="6"/>
      <c r="H38" s="6"/>
    </row>
    <row r="39" spans="1:8" x14ac:dyDescent="0.3">
      <c r="A39" s="6"/>
      <c r="B39" s="6" t="s">
        <v>332</v>
      </c>
      <c r="C39" s="6"/>
      <c r="D39" s="6"/>
      <c r="E39" s="6"/>
      <c r="F39" s="6"/>
      <c r="G39" s="6"/>
      <c r="H39" s="6">
        <v>-1</v>
      </c>
    </row>
    <row r="40" spans="1:8" x14ac:dyDescent="0.3">
      <c r="A40" s="6" t="s">
        <v>1864</v>
      </c>
      <c r="B40" s="6" t="s">
        <v>332</v>
      </c>
      <c r="C40" s="6"/>
      <c r="D40" s="6"/>
      <c r="E40" s="6"/>
      <c r="F40" s="6"/>
      <c r="G40" s="6">
        <v>12</v>
      </c>
      <c r="H40" s="6"/>
    </row>
    <row r="41" spans="1:8" x14ac:dyDescent="0.3">
      <c r="A41" s="6" t="s">
        <v>1675</v>
      </c>
      <c r="B41" s="6" t="s">
        <v>402</v>
      </c>
      <c r="C41" s="6"/>
      <c r="D41" s="6">
        <v>37</v>
      </c>
      <c r="E41" s="6"/>
      <c r="F41" s="6">
        <v>12</v>
      </c>
      <c r="G41" s="6"/>
      <c r="H41" s="6"/>
    </row>
    <row r="42" spans="1:8" x14ac:dyDescent="0.3">
      <c r="A42" s="6" t="s">
        <v>2500</v>
      </c>
      <c r="B42" s="6" t="s">
        <v>364</v>
      </c>
      <c r="C42" s="6"/>
      <c r="D42" s="6">
        <v>8</v>
      </c>
      <c r="E42" s="6"/>
      <c r="F42" s="6">
        <v>4</v>
      </c>
      <c r="G42" s="6"/>
      <c r="H42" s="6"/>
    </row>
    <row r="43" spans="1:8" x14ac:dyDescent="0.3">
      <c r="A43" s="6" t="s">
        <v>4457</v>
      </c>
      <c r="B43" s="6" t="s">
        <v>344</v>
      </c>
      <c r="C43" s="6">
        <v>18</v>
      </c>
      <c r="D43" s="6"/>
      <c r="E43" s="6">
        <v>2</v>
      </c>
      <c r="F43" s="6"/>
      <c r="G43" s="6"/>
      <c r="H43" s="6"/>
    </row>
    <row r="44" spans="1:8" x14ac:dyDescent="0.3">
      <c r="A44" s="6"/>
      <c r="B44" s="6" t="s">
        <v>342</v>
      </c>
      <c r="C44" s="6">
        <v>-1</v>
      </c>
      <c r="D44" s="6"/>
      <c r="E44" s="6"/>
      <c r="F44" s="6"/>
      <c r="G44" s="6"/>
      <c r="H44" s="6"/>
    </row>
    <row r="45" spans="1:8" x14ac:dyDescent="0.3">
      <c r="A45" s="6"/>
      <c r="B45" s="6" t="s">
        <v>394</v>
      </c>
      <c r="C45" s="6"/>
      <c r="D45" s="6"/>
      <c r="E45" s="6"/>
      <c r="F45" s="6">
        <v>-1</v>
      </c>
      <c r="G45" s="6"/>
      <c r="H45" s="6"/>
    </row>
    <row r="46" spans="1:8" x14ac:dyDescent="0.3">
      <c r="A46" s="6"/>
      <c r="B46" s="6" t="s">
        <v>444</v>
      </c>
      <c r="C46" s="6"/>
      <c r="D46" s="6">
        <v>-1</v>
      </c>
      <c r="E46" s="6"/>
      <c r="F46" s="6"/>
      <c r="G46" s="6"/>
      <c r="H46" s="6"/>
    </row>
    <row r="47" spans="1:8" x14ac:dyDescent="0.3">
      <c r="A47" s="6"/>
      <c r="B47" s="6" t="s">
        <v>580</v>
      </c>
      <c r="C47" s="6"/>
      <c r="D47" s="6"/>
      <c r="E47" s="6">
        <v>-1</v>
      </c>
      <c r="F47" s="6"/>
      <c r="G47" s="6"/>
      <c r="H47" s="6"/>
    </row>
    <row r="48" spans="1:8" x14ac:dyDescent="0.3">
      <c r="A48" s="6"/>
      <c r="B48" s="6" t="s">
        <v>726</v>
      </c>
      <c r="C48" s="6">
        <v>-1</v>
      </c>
      <c r="D48" s="6"/>
      <c r="E48" s="6">
        <v>-1</v>
      </c>
      <c r="F48" s="6"/>
      <c r="G48" s="6"/>
      <c r="H48" s="6"/>
    </row>
    <row r="49" spans="1:8" x14ac:dyDescent="0.3">
      <c r="A49" s="6" t="s">
        <v>1604</v>
      </c>
      <c r="B49" s="6" t="s">
        <v>356</v>
      </c>
      <c r="C49" s="6"/>
      <c r="D49" s="6"/>
      <c r="E49" s="6"/>
      <c r="F49" s="6"/>
      <c r="G49" s="6"/>
      <c r="H49" s="6">
        <v>9</v>
      </c>
    </row>
    <row r="50" spans="1:8" x14ac:dyDescent="0.3">
      <c r="A50" s="6"/>
      <c r="B50" s="6" t="s">
        <v>356</v>
      </c>
      <c r="C50" s="6"/>
      <c r="D50" s="6"/>
      <c r="E50" s="6"/>
      <c r="F50" s="6"/>
      <c r="G50" s="6">
        <v>-1</v>
      </c>
      <c r="H50" s="6"/>
    </row>
    <row r="51" spans="1:8" x14ac:dyDescent="0.3">
      <c r="A51" s="6"/>
      <c r="B51" s="6" t="s">
        <v>328</v>
      </c>
      <c r="C51" s="6"/>
      <c r="D51" s="6"/>
      <c r="E51" s="6"/>
      <c r="F51" s="6">
        <v>-1</v>
      </c>
      <c r="G51" s="6"/>
      <c r="H51" s="6"/>
    </row>
    <row r="52" spans="1:8" x14ac:dyDescent="0.3">
      <c r="A52" s="6"/>
      <c r="B52" s="6" t="s">
        <v>448</v>
      </c>
      <c r="C52" s="6"/>
      <c r="D52" s="6"/>
      <c r="E52" s="6"/>
      <c r="F52" s="6">
        <v>-1</v>
      </c>
      <c r="G52" s="6"/>
      <c r="H52" s="6"/>
    </row>
    <row r="53" spans="1:8" x14ac:dyDescent="0.3">
      <c r="A53" s="6"/>
      <c r="B53" s="6" t="s">
        <v>334</v>
      </c>
      <c r="C53" s="6"/>
      <c r="D53" s="6">
        <v>-1</v>
      </c>
      <c r="E53" s="6"/>
      <c r="F53" s="6">
        <v>-1</v>
      </c>
      <c r="G53" s="6"/>
      <c r="H53" s="6"/>
    </row>
    <row r="54" spans="1:8" x14ac:dyDescent="0.3">
      <c r="A54" s="6"/>
      <c r="B54" s="6" t="s">
        <v>642</v>
      </c>
      <c r="C54" s="6"/>
      <c r="D54" s="6"/>
      <c r="E54" s="6"/>
      <c r="F54" s="6">
        <v>-1</v>
      </c>
      <c r="G54" s="6"/>
      <c r="H54" s="6"/>
    </row>
    <row r="55" spans="1:8" x14ac:dyDescent="0.3">
      <c r="A55" s="6"/>
      <c r="B55" s="6" t="s">
        <v>328</v>
      </c>
      <c r="C55" s="6"/>
      <c r="D55" s="6">
        <v>-1</v>
      </c>
      <c r="E55" s="6"/>
      <c r="F55" s="6"/>
      <c r="G55" s="6"/>
      <c r="H55" s="6"/>
    </row>
    <row r="56" spans="1:8" x14ac:dyDescent="0.3">
      <c r="A56" s="6"/>
      <c r="B56" s="6" t="s">
        <v>448</v>
      </c>
      <c r="C56" s="6"/>
      <c r="D56" s="6">
        <v>-1</v>
      </c>
      <c r="E56" s="6"/>
      <c r="F56" s="6"/>
      <c r="G56" s="6"/>
      <c r="H56" s="6"/>
    </row>
    <row r="57" spans="1:8" x14ac:dyDescent="0.3">
      <c r="A57" s="6"/>
      <c r="B57" s="6" t="s">
        <v>360</v>
      </c>
      <c r="C57" s="6"/>
      <c r="D57" s="6">
        <v>-1</v>
      </c>
      <c r="E57" s="6"/>
      <c r="F57" s="6"/>
      <c r="G57" s="6"/>
      <c r="H57" s="6"/>
    </row>
    <row r="58" spans="1:8" x14ac:dyDescent="0.3">
      <c r="A58" s="6"/>
      <c r="B58" s="6" t="s">
        <v>444</v>
      </c>
      <c r="C58" s="6"/>
      <c r="D58" s="6">
        <v>-1</v>
      </c>
      <c r="E58" s="6"/>
      <c r="F58" s="6"/>
      <c r="G58" s="6"/>
      <c r="H58" s="6"/>
    </row>
    <row r="59" spans="1:8" x14ac:dyDescent="0.3">
      <c r="A59" s="6" t="s">
        <v>2899</v>
      </c>
      <c r="B59" s="6" t="s">
        <v>368</v>
      </c>
      <c r="C59" s="6"/>
      <c r="D59" s="6"/>
      <c r="E59" s="6">
        <v>16</v>
      </c>
      <c r="F59" s="6"/>
      <c r="G59" s="6"/>
      <c r="H59" s="6"/>
    </row>
    <row r="60" spans="1:8" x14ac:dyDescent="0.3">
      <c r="A60" s="6"/>
      <c r="B60" s="6" t="s">
        <v>614</v>
      </c>
      <c r="C60" s="6">
        <v>-1</v>
      </c>
      <c r="D60" s="6"/>
      <c r="E60" s="6">
        <v>-1</v>
      </c>
      <c r="F60" s="6"/>
      <c r="G60" s="6"/>
      <c r="H60" s="6"/>
    </row>
    <row r="61" spans="1:8" x14ac:dyDescent="0.3">
      <c r="A61" s="6"/>
      <c r="B61" s="6" t="s">
        <v>700</v>
      </c>
      <c r="C61" s="6"/>
      <c r="D61" s="6"/>
      <c r="E61" s="6">
        <v>-1</v>
      </c>
      <c r="F61" s="6"/>
      <c r="G61" s="6"/>
      <c r="H61" s="6"/>
    </row>
    <row r="62" spans="1:8" x14ac:dyDescent="0.3">
      <c r="A62" s="6"/>
      <c r="B62" s="6" t="s">
        <v>478</v>
      </c>
      <c r="C62" s="6">
        <v>-1</v>
      </c>
      <c r="D62" s="6"/>
      <c r="E62" s="6">
        <v>-1</v>
      </c>
      <c r="F62" s="6"/>
      <c r="G62" s="6"/>
      <c r="H62" s="6"/>
    </row>
    <row r="63" spans="1:8" x14ac:dyDescent="0.3">
      <c r="A63" s="6"/>
      <c r="B63" s="6" t="s">
        <v>328</v>
      </c>
      <c r="C63" s="6">
        <v>-1</v>
      </c>
      <c r="D63" s="6"/>
      <c r="E63" s="6"/>
      <c r="F63" s="6"/>
      <c r="G63" s="6"/>
      <c r="H63" s="6"/>
    </row>
    <row r="64" spans="1:8" x14ac:dyDescent="0.3">
      <c r="A64" s="6"/>
      <c r="B64" s="6" t="s">
        <v>406</v>
      </c>
      <c r="C64" s="6">
        <v>-1</v>
      </c>
      <c r="D64" s="6"/>
      <c r="E64" s="6">
        <v>-1</v>
      </c>
      <c r="F64" s="6"/>
      <c r="G64" s="6"/>
      <c r="H64" s="6"/>
    </row>
    <row r="65" spans="1:8" x14ac:dyDescent="0.3">
      <c r="A65" s="6"/>
      <c r="B65" s="6" t="s">
        <v>700</v>
      </c>
      <c r="C65" s="6">
        <v>-1</v>
      </c>
      <c r="D65" s="6"/>
      <c r="E65" s="6"/>
      <c r="F65" s="6"/>
      <c r="G65" s="6"/>
      <c r="H65" s="6"/>
    </row>
    <row r="66" spans="1:8" x14ac:dyDescent="0.3">
      <c r="A66" s="6"/>
      <c r="B66" s="6" t="s">
        <v>730</v>
      </c>
      <c r="C66" s="6">
        <v>-1</v>
      </c>
      <c r="D66" s="6"/>
      <c r="E66" s="6">
        <v>-1</v>
      </c>
      <c r="F66" s="6"/>
      <c r="G66" s="6"/>
      <c r="H66" s="6"/>
    </row>
    <row r="67" spans="1:8" x14ac:dyDescent="0.3">
      <c r="A67" s="6" t="s">
        <v>4978</v>
      </c>
      <c r="B67" s="6" t="s">
        <v>368</v>
      </c>
      <c r="C67" s="6"/>
      <c r="D67" s="6"/>
      <c r="E67" s="6"/>
      <c r="F67" s="6"/>
      <c r="G67" s="6"/>
      <c r="H67" s="6">
        <v>26</v>
      </c>
    </row>
    <row r="68" spans="1:8" x14ac:dyDescent="0.3">
      <c r="A68" s="6" t="s">
        <v>4666</v>
      </c>
      <c r="B68" s="6" t="s">
        <v>334</v>
      </c>
      <c r="C68" s="6"/>
      <c r="D68" s="6"/>
      <c r="E68" s="6"/>
      <c r="F68" s="6"/>
      <c r="G68" s="6"/>
      <c r="H68" s="6">
        <v>11</v>
      </c>
    </row>
    <row r="69" spans="1:8" x14ac:dyDescent="0.3">
      <c r="A69" s="6" t="s">
        <v>2730</v>
      </c>
      <c r="B69" s="6" t="s">
        <v>328</v>
      </c>
      <c r="C69" s="6"/>
      <c r="D69" s="6"/>
      <c r="E69" s="6"/>
      <c r="F69" s="6"/>
      <c r="G69" s="6"/>
      <c r="H69" s="6">
        <v>6</v>
      </c>
    </row>
    <row r="70" spans="1:8" x14ac:dyDescent="0.3">
      <c r="A70" s="6" t="s">
        <v>3616</v>
      </c>
      <c r="B70" s="6" t="s">
        <v>448</v>
      </c>
      <c r="C70" s="6"/>
      <c r="D70" s="6"/>
      <c r="E70" s="6"/>
      <c r="F70" s="6"/>
      <c r="G70" s="6"/>
      <c r="H70" s="6">
        <v>22</v>
      </c>
    </row>
    <row r="71" spans="1:8" x14ac:dyDescent="0.3">
      <c r="A71" s="6" t="s">
        <v>3945</v>
      </c>
      <c r="B71" s="6" t="s">
        <v>366</v>
      </c>
      <c r="C71" s="6"/>
      <c r="D71" s="6"/>
      <c r="E71" s="6"/>
      <c r="F71" s="6"/>
      <c r="G71" s="6">
        <v>1</v>
      </c>
      <c r="H71" s="6"/>
    </row>
    <row r="72" spans="1:8" x14ac:dyDescent="0.3">
      <c r="A72" s="6"/>
      <c r="B72" s="6" t="s">
        <v>342</v>
      </c>
      <c r="C72" s="6"/>
      <c r="D72" s="6"/>
      <c r="E72" s="6"/>
      <c r="F72" s="6"/>
      <c r="G72" s="6">
        <v>-1</v>
      </c>
      <c r="H72" s="6"/>
    </row>
    <row r="73" spans="1:8" x14ac:dyDescent="0.3">
      <c r="A73" s="6" t="s">
        <v>1536</v>
      </c>
      <c r="B73" s="6" t="s">
        <v>408</v>
      </c>
      <c r="C73" s="6"/>
      <c r="D73" s="6"/>
      <c r="E73" s="6"/>
      <c r="F73" s="6"/>
      <c r="G73" s="6">
        <v>6</v>
      </c>
      <c r="H73" s="6"/>
    </row>
    <row r="74" spans="1:8" x14ac:dyDescent="0.3">
      <c r="A74" s="6"/>
      <c r="B74" s="6" t="s">
        <v>718</v>
      </c>
      <c r="C74" s="6"/>
      <c r="D74" s="6"/>
      <c r="E74" s="6"/>
      <c r="F74" s="6"/>
      <c r="G74" s="6">
        <v>-1</v>
      </c>
      <c r="H74" s="6"/>
    </row>
    <row r="75" spans="1:8" x14ac:dyDescent="0.3">
      <c r="A75" s="6" t="s">
        <v>1343</v>
      </c>
      <c r="B75" s="6" t="s">
        <v>346</v>
      </c>
      <c r="C75" s="6"/>
      <c r="D75" s="6"/>
      <c r="E75" s="6"/>
      <c r="F75" s="6"/>
      <c r="G75" s="6"/>
      <c r="H75" s="6">
        <v>8</v>
      </c>
    </row>
    <row r="76" spans="1:8" x14ac:dyDescent="0.3">
      <c r="A76" s="6"/>
      <c r="B76" s="6" t="s">
        <v>334</v>
      </c>
      <c r="C76" s="6"/>
      <c r="D76" s="6"/>
      <c r="E76" s="6"/>
      <c r="F76" s="6"/>
      <c r="G76" s="6">
        <v>-1</v>
      </c>
      <c r="H76" s="6"/>
    </row>
    <row r="77" spans="1:8" x14ac:dyDescent="0.3">
      <c r="A77" s="6"/>
      <c r="B77" s="6" t="s">
        <v>380</v>
      </c>
      <c r="C77" s="6"/>
      <c r="D77" s="6">
        <v>-1</v>
      </c>
      <c r="E77" s="6"/>
      <c r="F77" s="6"/>
      <c r="G77" s="6"/>
      <c r="H77" s="6"/>
    </row>
    <row r="78" spans="1:8" x14ac:dyDescent="0.3">
      <c r="A78" s="6"/>
      <c r="B78" s="6" t="s">
        <v>326</v>
      </c>
      <c r="C78" s="6"/>
      <c r="D78" s="6">
        <v>-1</v>
      </c>
      <c r="E78" s="6"/>
      <c r="F78" s="6"/>
      <c r="G78" s="6"/>
      <c r="H78" s="6"/>
    </row>
    <row r="79" spans="1:8" x14ac:dyDescent="0.3">
      <c r="A79" s="6" t="s">
        <v>4397</v>
      </c>
      <c r="B79" s="6" t="s">
        <v>326</v>
      </c>
      <c r="C79" s="6"/>
      <c r="D79" s="6"/>
      <c r="E79" s="6">
        <v>38</v>
      </c>
      <c r="F79" s="6"/>
      <c r="G79" s="6"/>
      <c r="H79" s="6"/>
    </row>
    <row r="80" spans="1:8" x14ac:dyDescent="0.3">
      <c r="A80" s="6"/>
      <c r="B80" s="6" t="s">
        <v>326</v>
      </c>
      <c r="C80" s="6">
        <v>-1</v>
      </c>
      <c r="D80" s="6"/>
      <c r="E80" s="6"/>
      <c r="F80" s="6"/>
      <c r="G80" s="6"/>
      <c r="H80" s="6"/>
    </row>
    <row r="81" spans="1:8" x14ac:dyDescent="0.3">
      <c r="A81" s="6" t="s">
        <v>2637</v>
      </c>
      <c r="B81" s="6" t="s">
        <v>404</v>
      </c>
      <c r="C81" s="6">
        <v>34</v>
      </c>
      <c r="D81" s="6"/>
      <c r="E81" s="6"/>
      <c r="F81" s="6"/>
      <c r="G81" s="6"/>
      <c r="H81" s="6"/>
    </row>
    <row r="82" spans="1:8" x14ac:dyDescent="0.3">
      <c r="A82" s="6" t="s">
        <v>4406</v>
      </c>
      <c r="B82" s="6" t="s">
        <v>326</v>
      </c>
      <c r="C82" s="6"/>
      <c r="D82" s="6"/>
      <c r="E82" s="6"/>
      <c r="F82" s="6"/>
      <c r="G82" s="6"/>
      <c r="H82" s="6">
        <v>27</v>
      </c>
    </row>
    <row r="83" spans="1:8" x14ac:dyDescent="0.3">
      <c r="A83" s="6"/>
      <c r="B83" s="6" t="s">
        <v>326</v>
      </c>
      <c r="C83" s="6"/>
      <c r="D83" s="6"/>
      <c r="E83" s="6"/>
      <c r="F83" s="6"/>
      <c r="G83" s="6">
        <v>-1</v>
      </c>
      <c r="H83" s="6"/>
    </row>
    <row r="84" spans="1:8" x14ac:dyDescent="0.3">
      <c r="A84" s="6"/>
      <c r="B84" s="6" t="s">
        <v>384</v>
      </c>
      <c r="C84" s="6"/>
      <c r="D84" s="6"/>
      <c r="E84" s="6"/>
      <c r="F84" s="6">
        <v>-1</v>
      </c>
      <c r="G84" s="6"/>
      <c r="H84" s="6"/>
    </row>
    <row r="85" spans="1:8" x14ac:dyDescent="0.3">
      <c r="A85" s="6" t="s">
        <v>2312</v>
      </c>
      <c r="B85" s="6" t="s">
        <v>340</v>
      </c>
      <c r="C85" s="6"/>
      <c r="D85" s="6">
        <v>30</v>
      </c>
      <c r="E85" s="6"/>
      <c r="F85" s="6"/>
      <c r="G85" s="6"/>
      <c r="H85" s="6"/>
    </row>
    <row r="86" spans="1:8" x14ac:dyDescent="0.3">
      <c r="A86" s="6"/>
      <c r="B86" s="6" t="s">
        <v>350</v>
      </c>
      <c r="C86" s="6">
        <v>-1</v>
      </c>
      <c r="D86" s="6"/>
      <c r="E86" s="6">
        <v>-1</v>
      </c>
      <c r="F86" s="6"/>
      <c r="G86" s="6"/>
      <c r="H86" s="6"/>
    </row>
    <row r="87" spans="1:8" x14ac:dyDescent="0.3">
      <c r="A87" s="6" t="s">
        <v>4241</v>
      </c>
      <c r="B87" s="6" t="s">
        <v>400</v>
      </c>
      <c r="C87" s="6">
        <v>41</v>
      </c>
      <c r="D87" s="6"/>
      <c r="E87" s="6">
        <v>15</v>
      </c>
      <c r="F87" s="6"/>
      <c r="G87" s="6"/>
      <c r="H87" s="6"/>
    </row>
    <row r="88" spans="1:8" x14ac:dyDescent="0.3">
      <c r="A88" s="6"/>
      <c r="B88" s="6" t="s">
        <v>332</v>
      </c>
      <c r="C88" s="6">
        <v>-1</v>
      </c>
      <c r="D88" s="6"/>
      <c r="E88" s="6"/>
      <c r="F88" s="6"/>
      <c r="G88" s="6"/>
      <c r="H88" s="6"/>
    </row>
    <row r="89" spans="1:8" x14ac:dyDescent="0.3">
      <c r="A89" s="6"/>
      <c r="B89" s="6" t="s">
        <v>418</v>
      </c>
      <c r="C89" s="6"/>
      <c r="D89" s="6"/>
      <c r="E89" s="6"/>
      <c r="F89" s="6"/>
      <c r="G89" s="6"/>
      <c r="H89" s="6">
        <v>-1</v>
      </c>
    </row>
    <row r="90" spans="1:8" x14ac:dyDescent="0.3">
      <c r="A90" s="6" t="s">
        <v>3930</v>
      </c>
      <c r="B90" s="6" t="s">
        <v>332</v>
      </c>
      <c r="C90" s="6"/>
      <c r="D90" s="6"/>
      <c r="E90" s="6"/>
      <c r="F90" s="6"/>
      <c r="G90" s="6"/>
      <c r="H90" s="6">
        <v>18</v>
      </c>
    </row>
    <row r="91" spans="1:8" x14ac:dyDescent="0.3">
      <c r="A91" s="6"/>
      <c r="B91" s="6" t="s">
        <v>350</v>
      </c>
      <c r="C91" s="6"/>
      <c r="D91" s="6"/>
      <c r="E91" s="6"/>
      <c r="F91" s="6"/>
      <c r="G91" s="6">
        <v>-1</v>
      </c>
      <c r="H91" s="6"/>
    </row>
    <row r="92" spans="1:8" x14ac:dyDescent="0.3">
      <c r="A92" s="6"/>
      <c r="B92" s="6" t="s">
        <v>392</v>
      </c>
      <c r="C92" s="6"/>
      <c r="D92" s="6"/>
      <c r="E92" s="6"/>
      <c r="F92" s="6"/>
      <c r="G92" s="6">
        <v>-1</v>
      </c>
      <c r="H92" s="6"/>
    </row>
    <row r="93" spans="1:8" x14ac:dyDescent="0.3">
      <c r="A93" s="6" t="s">
        <v>1238</v>
      </c>
      <c r="B93" s="6" t="s">
        <v>448</v>
      </c>
      <c r="C93" s="6"/>
      <c r="D93" s="6"/>
      <c r="E93" s="6"/>
      <c r="F93" s="6">
        <v>18</v>
      </c>
      <c r="G93" s="6"/>
      <c r="H93" s="6"/>
    </row>
    <row r="94" spans="1:8" x14ac:dyDescent="0.3">
      <c r="A94" s="6"/>
      <c r="B94" s="6" t="s">
        <v>604</v>
      </c>
      <c r="C94" s="6"/>
      <c r="D94" s="6">
        <v>-1</v>
      </c>
      <c r="E94" s="6"/>
      <c r="F94" s="6">
        <v>-1</v>
      </c>
      <c r="G94" s="6"/>
      <c r="H94" s="6"/>
    </row>
    <row r="95" spans="1:8" x14ac:dyDescent="0.3">
      <c r="A95" s="6"/>
      <c r="B95" s="6" t="s">
        <v>700</v>
      </c>
      <c r="C95" s="6"/>
      <c r="D95" s="6">
        <v>-1</v>
      </c>
      <c r="E95" s="6"/>
      <c r="F95" s="6"/>
      <c r="G95" s="6"/>
      <c r="H95" s="6"/>
    </row>
    <row r="96" spans="1:8" x14ac:dyDescent="0.3">
      <c r="A96" s="6"/>
      <c r="B96" s="6" t="s">
        <v>448</v>
      </c>
      <c r="C96" s="6"/>
      <c r="D96" s="6">
        <v>-1</v>
      </c>
      <c r="E96" s="6"/>
      <c r="F96" s="6"/>
      <c r="G96" s="6"/>
      <c r="H96" s="6"/>
    </row>
    <row r="97" spans="1:8" x14ac:dyDescent="0.3">
      <c r="A97" s="6"/>
      <c r="B97" s="6" t="s">
        <v>328</v>
      </c>
      <c r="C97" s="6"/>
      <c r="D97" s="6"/>
      <c r="E97" s="6">
        <v>-1</v>
      </c>
      <c r="F97" s="6"/>
      <c r="G97" s="6"/>
      <c r="H97" s="6"/>
    </row>
    <row r="98" spans="1:8" x14ac:dyDescent="0.3">
      <c r="A98" s="6"/>
      <c r="B98" s="6" t="s">
        <v>448</v>
      </c>
      <c r="C98" s="6"/>
      <c r="D98" s="6"/>
      <c r="E98" s="6">
        <v>-1</v>
      </c>
      <c r="F98" s="6"/>
      <c r="G98" s="6"/>
      <c r="H98" s="6"/>
    </row>
    <row r="99" spans="1:8" x14ac:dyDescent="0.3">
      <c r="A99" s="6"/>
      <c r="B99" s="6" t="s">
        <v>700</v>
      </c>
      <c r="C99" s="6">
        <v>-1</v>
      </c>
      <c r="D99" s="6"/>
      <c r="E99" s="6"/>
      <c r="F99" s="6"/>
      <c r="G99" s="6"/>
      <c r="H99" s="6"/>
    </row>
    <row r="100" spans="1:8" x14ac:dyDescent="0.3">
      <c r="A100" s="6"/>
      <c r="B100" s="6" t="s">
        <v>368</v>
      </c>
      <c r="C100" s="6">
        <v>-1</v>
      </c>
      <c r="D100" s="6"/>
      <c r="E100" s="6"/>
      <c r="F100" s="6"/>
      <c r="G100" s="6"/>
      <c r="H100" s="6"/>
    </row>
    <row r="101" spans="1:8" x14ac:dyDescent="0.3">
      <c r="A101" s="6"/>
      <c r="B101" s="6" t="s">
        <v>460</v>
      </c>
      <c r="C101" s="6"/>
      <c r="D101" s="6"/>
      <c r="E101" s="6"/>
      <c r="F101" s="6"/>
      <c r="G101" s="6"/>
      <c r="H101" s="6">
        <v>-1</v>
      </c>
    </row>
    <row r="102" spans="1:8" x14ac:dyDescent="0.3">
      <c r="A102" s="6"/>
      <c r="B102" s="6" t="s">
        <v>700</v>
      </c>
      <c r="C102" s="6"/>
      <c r="D102" s="6"/>
      <c r="E102" s="6"/>
      <c r="F102" s="6"/>
      <c r="G102" s="6"/>
      <c r="H102" s="6">
        <v>-1</v>
      </c>
    </row>
    <row r="103" spans="1:8" x14ac:dyDescent="0.3">
      <c r="A103" s="6"/>
      <c r="B103" s="6" t="s">
        <v>328</v>
      </c>
      <c r="C103" s="6"/>
      <c r="D103" s="6"/>
      <c r="E103" s="6"/>
      <c r="F103" s="6"/>
      <c r="G103" s="6">
        <v>-1</v>
      </c>
      <c r="H103" s="6"/>
    </row>
    <row r="104" spans="1:8" x14ac:dyDescent="0.3">
      <c r="A104" s="6"/>
      <c r="B104" s="6" t="s">
        <v>700</v>
      </c>
      <c r="C104" s="6"/>
      <c r="D104" s="6"/>
      <c r="E104" s="6"/>
      <c r="F104" s="6"/>
      <c r="G104" s="6">
        <v>-1</v>
      </c>
      <c r="H104" s="6"/>
    </row>
    <row r="105" spans="1:8" x14ac:dyDescent="0.3">
      <c r="A105" s="6"/>
      <c r="B105" s="6" t="s">
        <v>354</v>
      </c>
      <c r="C105" s="6"/>
      <c r="D105" s="6"/>
      <c r="E105" s="6">
        <v>-1</v>
      </c>
      <c r="F105" s="6"/>
      <c r="G105" s="6"/>
      <c r="H105" s="6"/>
    </row>
    <row r="106" spans="1:8" x14ac:dyDescent="0.3">
      <c r="A106" s="6"/>
      <c r="B106" s="6" t="s">
        <v>354</v>
      </c>
      <c r="C106" s="6">
        <v>-1</v>
      </c>
      <c r="D106" s="6"/>
      <c r="E106" s="6"/>
      <c r="F106" s="6"/>
      <c r="G106" s="6"/>
      <c r="H106" s="6"/>
    </row>
    <row r="107" spans="1:8" x14ac:dyDescent="0.3">
      <c r="A107" s="6"/>
      <c r="B107" s="6" t="s">
        <v>354</v>
      </c>
      <c r="C107" s="6"/>
      <c r="D107" s="6"/>
      <c r="E107" s="6"/>
      <c r="F107" s="6"/>
      <c r="G107" s="6"/>
      <c r="H107" s="6">
        <v>-1</v>
      </c>
    </row>
    <row r="108" spans="1:8" x14ac:dyDescent="0.3">
      <c r="A108" s="6"/>
      <c r="B108" s="6" t="s">
        <v>354</v>
      </c>
      <c r="C108" s="6"/>
      <c r="D108" s="6"/>
      <c r="E108" s="6"/>
      <c r="F108" s="6"/>
      <c r="G108" s="6">
        <v>-1</v>
      </c>
      <c r="H108" s="6"/>
    </row>
    <row r="109" spans="1:8" x14ac:dyDescent="0.3">
      <c r="A109" s="6"/>
      <c r="B109" s="6" t="s">
        <v>700</v>
      </c>
      <c r="C109" s="6"/>
      <c r="D109" s="6"/>
      <c r="E109" s="6"/>
      <c r="F109" s="6">
        <v>-1</v>
      </c>
      <c r="G109" s="6"/>
      <c r="H109" s="6"/>
    </row>
    <row r="110" spans="1:8" x14ac:dyDescent="0.3">
      <c r="A110" s="6"/>
      <c r="B110" s="6" t="s">
        <v>604</v>
      </c>
      <c r="C110" s="6"/>
      <c r="D110" s="6">
        <v>-1</v>
      </c>
      <c r="E110" s="6"/>
      <c r="F110" s="6">
        <v>-1</v>
      </c>
      <c r="G110" s="6"/>
      <c r="H110" s="6"/>
    </row>
    <row r="111" spans="1:8" x14ac:dyDescent="0.3">
      <c r="A111" s="6" t="s">
        <v>2621</v>
      </c>
      <c r="B111" s="6" t="s">
        <v>730</v>
      </c>
      <c r="C111" s="6"/>
      <c r="D111" s="6">
        <v>40</v>
      </c>
      <c r="E111" s="6"/>
      <c r="F111" s="6"/>
      <c r="G111" s="6"/>
      <c r="H111" s="6"/>
    </row>
    <row r="112" spans="1:8" x14ac:dyDescent="0.3">
      <c r="A112" s="6"/>
      <c r="B112" s="6" t="s">
        <v>360</v>
      </c>
      <c r="C112" s="6"/>
      <c r="D112" s="6">
        <v>-1</v>
      </c>
      <c r="E112" s="6"/>
      <c r="F112" s="6"/>
      <c r="G112" s="6"/>
      <c r="H112" s="6"/>
    </row>
    <row r="113" spans="1:8" x14ac:dyDescent="0.3">
      <c r="A113" s="6" t="s">
        <v>3673</v>
      </c>
      <c r="B113" s="6" t="s">
        <v>448</v>
      </c>
      <c r="C113" s="6"/>
      <c r="D113" s="6"/>
      <c r="E113" s="6">
        <v>18</v>
      </c>
      <c r="F113" s="6"/>
      <c r="G113" s="6"/>
      <c r="H113" s="6"/>
    </row>
    <row r="114" spans="1:8" x14ac:dyDescent="0.3">
      <c r="A114" s="6"/>
      <c r="B114" s="6" t="s">
        <v>368</v>
      </c>
      <c r="C114" s="6"/>
      <c r="D114" s="6"/>
      <c r="E114" s="6">
        <v>-1</v>
      </c>
      <c r="F114" s="6"/>
      <c r="G114" s="6"/>
      <c r="H114" s="6"/>
    </row>
    <row r="115" spans="1:8" x14ac:dyDescent="0.3">
      <c r="A115" s="6"/>
      <c r="B115" s="6" t="s">
        <v>448</v>
      </c>
      <c r="C115" s="6">
        <v>-1</v>
      </c>
      <c r="D115" s="6"/>
      <c r="E115" s="6"/>
      <c r="F115" s="6"/>
      <c r="G115" s="6"/>
      <c r="H115" s="6"/>
    </row>
    <row r="116" spans="1:8" x14ac:dyDescent="0.3">
      <c r="A116" s="6"/>
      <c r="B116" s="6" t="s">
        <v>376</v>
      </c>
      <c r="C116" s="6">
        <v>-1</v>
      </c>
      <c r="D116" s="6"/>
      <c r="E116" s="6">
        <v>-1</v>
      </c>
      <c r="F116" s="6"/>
      <c r="G116" s="6"/>
      <c r="H116" s="6"/>
    </row>
    <row r="117" spans="1:8" x14ac:dyDescent="0.3">
      <c r="A117" s="6"/>
      <c r="B117" s="6" t="s">
        <v>368</v>
      </c>
      <c r="C117" s="6"/>
      <c r="D117" s="6"/>
      <c r="E117" s="6"/>
      <c r="F117" s="6"/>
      <c r="G117" s="6"/>
      <c r="H117" s="6">
        <v>-1</v>
      </c>
    </row>
    <row r="118" spans="1:8" x14ac:dyDescent="0.3">
      <c r="A118" s="6"/>
      <c r="B118" s="6" t="s">
        <v>328</v>
      </c>
      <c r="C118" s="6"/>
      <c r="D118" s="6"/>
      <c r="E118" s="6"/>
      <c r="F118" s="6"/>
      <c r="G118" s="6"/>
      <c r="H118" s="6">
        <v>-1</v>
      </c>
    </row>
    <row r="119" spans="1:8" x14ac:dyDescent="0.3">
      <c r="A119" s="6"/>
      <c r="B119" s="6" t="s">
        <v>328</v>
      </c>
      <c r="C119" s="6"/>
      <c r="D119" s="6"/>
      <c r="E119" s="6"/>
      <c r="F119" s="6"/>
      <c r="G119" s="6">
        <v>-1</v>
      </c>
      <c r="H119" s="6"/>
    </row>
    <row r="120" spans="1:8" x14ac:dyDescent="0.3">
      <c r="A120" s="6" t="s">
        <v>1237</v>
      </c>
      <c r="B120" s="6" t="s">
        <v>448</v>
      </c>
      <c r="C120" s="6"/>
      <c r="D120" s="6"/>
      <c r="E120" s="6"/>
      <c r="F120" s="6"/>
      <c r="G120" s="6">
        <v>23</v>
      </c>
      <c r="H120" s="6"/>
    </row>
    <row r="121" spans="1:8" x14ac:dyDescent="0.3">
      <c r="A121" s="6"/>
      <c r="B121" s="6" t="s">
        <v>334</v>
      </c>
      <c r="C121" s="6"/>
      <c r="D121" s="6">
        <v>-1</v>
      </c>
      <c r="E121" s="6"/>
      <c r="F121" s="6"/>
      <c r="G121" s="6"/>
      <c r="H121" s="6"/>
    </row>
    <row r="122" spans="1:8" x14ac:dyDescent="0.3">
      <c r="A122" s="6" t="s">
        <v>3757</v>
      </c>
      <c r="B122" s="6" t="s">
        <v>344</v>
      </c>
      <c r="C122" s="6"/>
      <c r="D122" s="6">
        <v>5</v>
      </c>
      <c r="E122" s="6"/>
      <c r="F122" s="6"/>
      <c r="G122" s="6"/>
      <c r="H122" s="6"/>
    </row>
    <row r="123" spans="1:8" x14ac:dyDescent="0.3">
      <c r="A123" s="6"/>
      <c r="B123" s="6" t="s">
        <v>390</v>
      </c>
      <c r="C123" s="6">
        <v>-1</v>
      </c>
      <c r="D123" s="6"/>
      <c r="E123" s="6"/>
      <c r="F123" s="6"/>
      <c r="G123" s="6"/>
      <c r="H123" s="6"/>
    </row>
    <row r="124" spans="1:8" x14ac:dyDescent="0.3">
      <c r="A124" s="6"/>
      <c r="B124" s="6" t="s">
        <v>718</v>
      </c>
      <c r="C124" s="6">
        <v>-1</v>
      </c>
      <c r="D124" s="6"/>
      <c r="E124" s="6">
        <v>-1</v>
      </c>
      <c r="F124" s="6"/>
      <c r="G124" s="6"/>
      <c r="H124" s="6"/>
    </row>
    <row r="125" spans="1:8" x14ac:dyDescent="0.3">
      <c r="A125" s="6"/>
      <c r="B125" s="6" t="s">
        <v>418</v>
      </c>
      <c r="C125" s="6"/>
      <c r="D125" s="6"/>
      <c r="E125" s="6"/>
      <c r="F125" s="6"/>
      <c r="G125" s="6"/>
      <c r="H125" s="6">
        <v>-1</v>
      </c>
    </row>
    <row r="126" spans="1:8" x14ac:dyDescent="0.3">
      <c r="A126" s="6" t="s">
        <v>4113</v>
      </c>
      <c r="B126" s="6" t="s">
        <v>336</v>
      </c>
      <c r="C126" s="6"/>
      <c r="D126" s="6"/>
      <c r="E126" s="6"/>
      <c r="F126" s="6"/>
      <c r="G126" s="6">
        <v>26</v>
      </c>
      <c r="H126" s="6"/>
    </row>
    <row r="127" spans="1:8" x14ac:dyDescent="0.3">
      <c r="A127" s="6"/>
      <c r="B127" s="6" t="s">
        <v>336</v>
      </c>
      <c r="C127" s="6"/>
      <c r="D127" s="6">
        <v>-1</v>
      </c>
      <c r="E127" s="6"/>
      <c r="F127" s="6">
        <v>-1</v>
      </c>
      <c r="G127" s="6"/>
      <c r="H127" s="6"/>
    </row>
    <row r="128" spans="1:8" x14ac:dyDescent="0.3">
      <c r="A128" s="6"/>
      <c r="B128" s="6" t="s">
        <v>470</v>
      </c>
      <c r="C128" s="6"/>
      <c r="D128" s="6">
        <v>-1</v>
      </c>
      <c r="E128" s="6"/>
      <c r="F128" s="6">
        <v>-1</v>
      </c>
      <c r="G128" s="6"/>
      <c r="H128" s="6"/>
    </row>
    <row r="129" spans="1:8" x14ac:dyDescent="0.3">
      <c r="A129" s="6"/>
      <c r="B129" s="6" t="s">
        <v>470</v>
      </c>
      <c r="C129" s="6">
        <v>-1</v>
      </c>
      <c r="D129" s="6"/>
      <c r="E129" s="6">
        <v>-1</v>
      </c>
      <c r="F129" s="6"/>
      <c r="G129" s="6"/>
      <c r="H129" s="6"/>
    </row>
    <row r="130" spans="1:8" x14ac:dyDescent="0.3">
      <c r="A130" s="6"/>
      <c r="B130" s="6" t="s">
        <v>400</v>
      </c>
      <c r="C130" s="6">
        <v>-1</v>
      </c>
      <c r="D130" s="6"/>
      <c r="E130" s="6">
        <v>-1</v>
      </c>
      <c r="F130" s="6"/>
      <c r="G130" s="6"/>
      <c r="H130" s="6"/>
    </row>
    <row r="131" spans="1:8" x14ac:dyDescent="0.3">
      <c r="A131" s="6"/>
      <c r="B131" s="6" t="s">
        <v>444</v>
      </c>
      <c r="C131" s="6"/>
      <c r="D131" s="6"/>
      <c r="E131" s="6"/>
      <c r="F131" s="6">
        <v>-1</v>
      </c>
      <c r="G131" s="6"/>
      <c r="H131" s="6"/>
    </row>
    <row r="132" spans="1:8" x14ac:dyDescent="0.3">
      <c r="A132" s="6" t="s">
        <v>1558</v>
      </c>
      <c r="B132" s="6" t="s">
        <v>394</v>
      </c>
      <c r="C132" s="6"/>
      <c r="D132" s="6"/>
      <c r="E132" s="6"/>
      <c r="F132" s="6">
        <v>20</v>
      </c>
      <c r="G132" s="6"/>
      <c r="H132" s="6"/>
    </row>
    <row r="133" spans="1:8" x14ac:dyDescent="0.3">
      <c r="A133" s="6"/>
      <c r="B133" s="6" t="s">
        <v>344</v>
      </c>
      <c r="C133" s="6"/>
      <c r="D133" s="6">
        <v>-1</v>
      </c>
      <c r="E133" s="6"/>
      <c r="F133" s="6"/>
      <c r="G133" s="6"/>
      <c r="H133" s="6"/>
    </row>
    <row r="134" spans="1:8" x14ac:dyDescent="0.3">
      <c r="A134" s="6" t="s">
        <v>4985</v>
      </c>
      <c r="B134" s="6" t="s">
        <v>364</v>
      </c>
      <c r="C134" s="6"/>
      <c r="D134" s="6">
        <v>14</v>
      </c>
      <c r="E134" s="6"/>
      <c r="F134" s="6"/>
      <c r="G134" s="6"/>
      <c r="H134" s="6"/>
    </row>
    <row r="135" spans="1:8" x14ac:dyDescent="0.3">
      <c r="A135" s="6"/>
      <c r="B135" s="6" t="s">
        <v>334</v>
      </c>
      <c r="C135" s="6">
        <v>-1</v>
      </c>
      <c r="D135" s="6"/>
      <c r="E135" s="6">
        <v>-1</v>
      </c>
      <c r="F135" s="6"/>
      <c r="G135" s="6"/>
      <c r="H135" s="6"/>
    </row>
    <row r="136" spans="1:8" x14ac:dyDescent="0.3">
      <c r="A136" s="6" t="s">
        <v>1623</v>
      </c>
      <c r="B136" s="6" t="s">
        <v>406</v>
      </c>
      <c r="C136" s="6">
        <v>8</v>
      </c>
      <c r="D136" s="6"/>
      <c r="E136" s="6">
        <v>3</v>
      </c>
      <c r="F136" s="6"/>
      <c r="G136" s="6"/>
      <c r="H136" s="6"/>
    </row>
    <row r="137" spans="1:8" x14ac:dyDescent="0.3">
      <c r="A137" s="6"/>
      <c r="B137" s="6" t="s">
        <v>478</v>
      </c>
      <c r="C137" s="6">
        <v>-1</v>
      </c>
      <c r="D137" s="6"/>
      <c r="E137" s="6">
        <v>-1</v>
      </c>
      <c r="F137" s="6"/>
      <c r="G137" s="6"/>
      <c r="H137" s="6"/>
    </row>
    <row r="138" spans="1:8" x14ac:dyDescent="0.3">
      <c r="A138" s="6"/>
      <c r="B138" s="6" t="s">
        <v>448</v>
      </c>
      <c r="C138" s="6">
        <v>-1</v>
      </c>
      <c r="D138" s="6"/>
      <c r="E138" s="6"/>
      <c r="F138" s="6"/>
      <c r="G138" s="6"/>
      <c r="H138" s="6"/>
    </row>
    <row r="139" spans="1:8" x14ac:dyDescent="0.3">
      <c r="A139" s="6"/>
      <c r="B139" s="6" t="s">
        <v>344</v>
      </c>
      <c r="C139" s="6"/>
      <c r="D139" s="6"/>
      <c r="E139" s="6"/>
      <c r="F139" s="6"/>
      <c r="G139" s="6"/>
      <c r="H139" s="6">
        <v>-1</v>
      </c>
    </row>
    <row r="140" spans="1:8" x14ac:dyDescent="0.3">
      <c r="A140" s="6" t="s">
        <v>1320</v>
      </c>
      <c r="B140" s="6" t="s">
        <v>604</v>
      </c>
      <c r="C140" s="6"/>
      <c r="D140" s="6"/>
      <c r="E140" s="6"/>
      <c r="F140" s="6"/>
      <c r="G140" s="6"/>
      <c r="H140" s="6">
        <v>10</v>
      </c>
    </row>
    <row r="141" spans="1:8" x14ac:dyDescent="0.3">
      <c r="A141" s="6"/>
      <c r="B141" s="6" t="s">
        <v>448</v>
      </c>
      <c r="C141" s="6"/>
      <c r="D141" s="6"/>
      <c r="E141" s="6"/>
      <c r="F141" s="6"/>
      <c r="G141" s="6">
        <v>-1</v>
      </c>
      <c r="H141" s="6"/>
    </row>
    <row r="142" spans="1:8" x14ac:dyDescent="0.3">
      <c r="A142" s="6"/>
      <c r="B142" s="6" t="s">
        <v>338</v>
      </c>
      <c r="C142" s="6"/>
      <c r="D142" s="6"/>
      <c r="E142" s="6"/>
      <c r="F142" s="6"/>
      <c r="G142" s="6">
        <v>-1</v>
      </c>
      <c r="H142" s="6"/>
    </row>
    <row r="143" spans="1:8" x14ac:dyDescent="0.3">
      <c r="A143" s="6"/>
      <c r="B143" s="6" t="s">
        <v>718</v>
      </c>
      <c r="C143" s="6"/>
      <c r="D143" s="6"/>
      <c r="E143" s="6"/>
      <c r="F143" s="6"/>
      <c r="G143" s="6"/>
      <c r="H143" s="6">
        <v>-1</v>
      </c>
    </row>
    <row r="144" spans="1:8" x14ac:dyDescent="0.3">
      <c r="A144" s="6"/>
      <c r="B144" s="6" t="s">
        <v>344</v>
      </c>
      <c r="C144" s="6"/>
      <c r="D144" s="6"/>
      <c r="E144" s="6"/>
      <c r="F144" s="6"/>
      <c r="G144" s="6">
        <v>-1</v>
      </c>
      <c r="H144" s="6"/>
    </row>
    <row r="145" spans="1:8" x14ac:dyDescent="0.3">
      <c r="A145" s="6"/>
      <c r="B145" s="6" t="s">
        <v>444</v>
      </c>
      <c r="C145" s="6"/>
      <c r="D145" s="6"/>
      <c r="E145" s="6"/>
      <c r="F145" s="6">
        <v>-1</v>
      </c>
      <c r="G145" s="6"/>
      <c r="H145" s="6"/>
    </row>
    <row r="146" spans="1:8" x14ac:dyDescent="0.3">
      <c r="A146" s="6"/>
      <c r="B146" s="6" t="s">
        <v>518</v>
      </c>
      <c r="C146" s="6"/>
      <c r="D146" s="6"/>
      <c r="E146" s="6"/>
      <c r="F146" s="6">
        <v>-1</v>
      </c>
      <c r="G146" s="6"/>
      <c r="H146" s="6"/>
    </row>
    <row r="147" spans="1:8" x14ac:dyDescent="0.3">
      <c r="A147" s="6" t="s">
        <v>2716</v>
      </c>
      <c r="B147" s="6" t="s">
        <v>518</v>
      </c>
      <c r="C147" s="6"/>
      <c r="D147" s="6"/>
      <c r="E147" s="6">
        <v>39</v>
      </c>
      <c r="F147" s="6"/>
      <c r="G147" s="6"/>
      <c r="H147" s="6"/>
    </row>
    <row r="148" spans="1:8" x14ac:dyDescent="0.3">
      <c r="A148" s="6"/>
      <c r="B148" s="6" t="s">
        <v>338</v>
      </c>
      <c r="C148" s="6"/>
      <c r="D148" s="6"/>
      <c r="E148" s="6">
        <v>-1</v>
      </c>
      <c r="F148" s="6"/>
      <c r="G148" s="6"/>
      <c r="H148" s="6"/>
    </row>
    <row r="149" spans="1:8" x14ac:dyDescent="0.3">
      <c r="A149" s="6"/>
      <c r="B149" s="6" t="s">
        <v>334</v>
      </c>
      <c r="C149" s="6"/>
      <c r="D149" s="6"/>
      <c r="E149" s="6"/>
      <c r="F149" s="6">
        <v>-1</v>
      </c>
      <c r="G149" s="6"/>
      <c r="H149" s="6"/>
    </row>
    <row r="150" spans="1:8" x14ac:dyDescent="0.3">
      <c r="A150" s="6"/>
      <c r="B150" s="6" t="s">
        <v>414</v>
      </c>
      <c r="C150" s="6"/>
      <c r="D150" s="6">
        <v>-1</v>
      </c>
      <c r="E150" s="6"/>
      <c r="F150" s="6">
        <v>-1</v>
      </c>
      <c r="G150" s="6"/>
      <c r="H150" s="6"/>
    </row>
    <row r="151" spans="1:8" x14ac:dyDescent="0.3">
      <c r="A151" s="6"/>
      <c r="B151" s="6" t="s">
        <v>358</v>
      </c>
      <c r="C151" s="6"/>
      <c r="D151" s="6">
        <v>-1</v>
      </c>
      <c r="E151" s="6"/>
      <c r="F151" s="6">
        <v>-1</v>
      </c>
      <c r="G151" s="6"/>
      <c r="H151" s="6"/>
    </row>
    <row r="152" spans="1:8" x14ac:dyDescent="0.3">
      <c r="A152" s="6" t="s">
        <v>2270</v>
      </c>
      <c r="B152" s="6" t="s">
        <v>356</v>
      </c>
      <c r="C152" s="6"/>
      <c r="D152" s="6">
        <v>24</v>
      </c>
      <c r="E152" s="6"/>
      <c r="F152" s="6">
        <v>23</v>
      </c>
      <c r="G152" s="6"/>
      <c r="H152" s="6"/>
    </row>
    <row r="153" spans="1:8" x14ac:dyDescent="0.3">
      <c r="A153" s="6"/>
      <c r="B153" s="6" t="s">
        <v>398</v>
      </c>
      <c r="C153" s="6"/>
      <c r="D153" s="6">
        <v>-1</v>
      </c>
      <c r="E153" s="6"/>
      <c r="F153" s="6">
        <v>-1</v>
      </c>
      <c r="G153" s="6"/>
      <c r="H153" s="6"/>
    </row>
    <row r="154" spans="1:8" x14ac:dyDescent="0.3">
      <c r="A154" s="6"/>
      <c r="B154" s="6" t="s">
        <v>394</v>
      </c>
      <c r="C154" s="6"/>
      <c r="D154" s="6">
        <v>-1</v>
      </c>
      <c r="E154" s="6"/>
      <c r="F154" s="6"/>
      <c r="G154" s="6"/>
      <c r="H154" s="6"/>
    </row>
    <row r="155" spans="1:8" x14ac:dyDescent="0.3">
      <c r="A155" s="6"/>
      <c r="B155" s="6" t="s">
        <v>406</v>
      </c>
      <c r="C155" s="6"/>
      <c r="D155" s="6">
        <v>-1</v>
      </c>
      <c r="E155" s="6"/>
      <c r="F155" s="6">
        <v>-1</v>
      </c>
      <c r="G155" s="6"/>
      <c r="H155" s="6"/>
    </row>
    <row r="156" spans="1:8" x14ac:dyDescent="0.3">
      <c r="A156" s="6" t="s">
        <v>1337</v>
      </c>
      <c r="B156" s="6" t="s">
        <v>428</v>
      </c>
      <c r="C156" s="6"/>
      <c r="D156" s="6">
        <v>12</v>
      </c>
      <c r="E156" s="6"/>
      <c r="F156" s="6"/>
      <c r="G156" s="6"/>
      <c r="H156" s="6"/>
    </row>
    <row r="157" spans="1:8" x14ac:dyDescent="0.3">
      <c r="A157" s="6" t="s">
        <v>3256</v>
      </c>
      <c r="B157" s="6" t="s">
        <v>350</v>
      </c>
      <c r="C157" s="6"/>
      <c r="D157" s="6">
        <v>20</v>
      </c>
      <c r="E157" s="6"/>
      <c r="F157" s="6"/>
      <c r="G157" s="6"/>
      <c r="H157" s="6"/>
    </row>
    <row r="158" spans="1:8" x14ac:dyDescent="0.3">
      <c r="A158" s="6" t="s">
        <v>1431</v>
      </c>
      <c r="B158" s="6" t="s">
        <v>344</v>
      </c>
      <c r="C158" s="6"/>
      <c r="D158" s="6"/>
      <c r="E158" s="6">
        <v>23</v>
      </c>
      <c r="F158" s="6"/>
      <c r="G158" s="6"/>
      <c r="H158" s="6"/>
    </row>
    <row r="159" spans="1:8" x14ac:dyDescent="0.3">
      <c r="A159" s="6"/>
      <c r="B159" s="6" t="s">
        <v>358</v>
      </c>
      <c r="C159" s="6">
        <v>-1</v>
      </c>
      <c r="D159" s="6"/>
      <c r="E159" s="6">
        <v>-1</v>
      </c>
      <c r="F159" s="6"/>
      <c r="G159" s="6"/>
      <c r="H159" s="6"/>
    </row>
    <row r="160" spans="1:8" x14ac:dyDescent="0.3">
      <c r="A160" s="6"/>
      <c r="B160" s="6" t="s">
        <v>446</v>
      </c>
      <c r="C160" s="6">
        <v>-1</v>
      </c>
      <c r="D160" s="6"/>
      <c r="E160" s="6">
        <v>-1</v>
      </c>
      <c r="F160" s="6"/>
      <c r="G160" s="6"/>
      <c r="H160" s="6"/>
    </row>
    <row r="161" spans="1:8" x14ac:dyDescent="0.3">
      <c r="A161" s="6"/>
      <c r="B161" s="6" t="s">
        <v>718</v>
      </c>
      <c r="C161" s="6">
        <v>-1</v>
      </c>
      <c r="D161" s="6"/>
      <c r="E161" s="6">
        <v>-1</v>
      </c>
      <c r="F161" s="6"/>
      <c r="G161" s="6"/>
      <c r="H161" s="6"/>
    </row>
    <row r="162" spans="1:8" x14ac:dyDescent="0.3">
      <c r="A162" s="6" t="s">
        <v>1324</v>
      </c>
      <c r="B162" s="6" t="s">
        <v>604</v>
      </c>
      <c r="C162" s="6">
        <v>11</v>
      </c>
      <c r="D162" s="6"/>
      <c r="E162" s="6"/>
      <c r="F162" s="6"/>
      <c r="G162" s="6"/>
      <c r="H162" s="6"/>
    </row>
    <row r="163" spans="1:8" x14ac:dyDescent="0.3">
      <c r="A163" s="6" t="s">
        <v>4980</v>
      </c>
      <c r="B163" s="6" t="s">
        <v>368</v>
      </c>
      <c r="C163" s="6">
        <v>35</v>
      </c>
      <c r="D163" s="6"/>
      <c r="E163" s="6"/>
      <c r="F163" s="6"/>
      <c r="G163" s="6"/>
      <c r="H163" s="6"/>
    </row>
    <row r="164" spans="1:8" x14ac:dyDescent="0.3">
      <c r="A164" s="6"/>
      <c r="B164" s="6" t="s">
        <v>684</v>
      </c>
      <c r="C164" s="6"/>
      <c r="D164" s="6"/>
      <c r="E164" s="6"/>
      <c r="F164" s="6"/>
      <c r="G164" s="6"/>
      <c r="H164" s="6">
        <v>-1</v>
      </c>
    </row>
    <row r="165" spans="1:8" x14ac:dyDescent="0.3">
      <c r="A165" s="6" t="s">
        <v>1268</v>
      </c>
      <c r="B165" s="6" t="s">
        <v>330</v>
      </c>
      <c r="C165" s="6"/>
      <c r="D165" s="6"/>
      <c r="E165" s="6"/>
      <c r="F165" s="6"/>
      <c r="G165" s="6"/>
      <c r="H165" s="6">
        <v>4</v>
      </c>
    </row>
    <row r="166" spans="1:8" x14ac:dyDescent="0.3">
      <c r="A166" s="6" t="s">
        <v>2804</v>
      </c>
      <c r="B166" s="6" t="s">
        <v>372</v>
      </c>
      <c r="C166" s="6"/>
      <c r="D166" s="6"/>
      <c r="E166" s="6"/>
      <c r="F166" s="6"/>
      <c r="G166" s="6"/>
      <c r="H166" s="6">
        <v>30</v>
      </c>
    </row>
    <row r="167" spans="1:8" x14ac:dyDescent="0.3">
      <c r="A167" s="6"/>
      <c r="B167" s="6" t="s">
        <v>604</v>
      </c>
      <c r="C167" s="6"/>
      <c r="D167" s="6"/>
      <c r="E167" s="6"/>
      <c r="F167" s="6"/>
      <c r="G167" s="6">
        <v>-1</v>
      </c>
      <c r="H167" s="6"/>
    </row>
    <row r="168" spans="1:8" x14ac:dyDescent="0.3">
      <c r="A168" s="6" t="s">
        <v>2107</v>
      </c>
      <c r="B168" s="6" t="s">
        <v>442</v>
      </c>
      <c r="C168" s="6"/>
      <c r="D168" s="6"/>
      <c r="E168" s="6"/>
      <c r="F168" s="6"/>
      <c r="G168" s="6">
        <v>22</v>
      </c>
      <c r="H168" s="6"/>
    </row>
    <row r="169" spans="1:8" x14ac:dyDescent="0.3">
      <c r="A169" s="6" t="s">
        <v>2709</v>
      </c>
      <c r="B169" s="6" t="s">
        <v>560</v>
      </c>
      <c r="C169" s="6"/>
      <c r="D169" s="6"/>
      <c r="E169" s="6"/>
      <c r="F169" s="6"/>
      <c r="G169" s="6">
        <v>20</v>
      </c>
      <c r="H169" s="6"/>
    </row>
    <row r="170" spans="1:8" x14ac:dyDescent="0.3">
      <c r="A170" s="6"/>
      <c r="B170" s="6" t="s">
        <v>326</v>
      </c>
      <c r="C170" s="6"/>
      <c r="D170" s="6">
        <v>-1</v>
      </c>
      <c r="E170" s="6"/>
      <c r="F170" s="6"/>
      <c r="G170" s="6"/>
      <c r="H170" s="6"/>
    </row>
    <row r="171" spans="1:8" x14ac:dyDescent="0.3">
      <c r="A171" s="6" t="s">
        <v>4327</v>
      </c>
      <c r="B171" s="6" t="s">
        <v>332</v>
      </c>
      <c r="C171" s="6"/>
      <c r="D171" s="6"/>
      <c r="E171" s="6">
        <v>32</v>
      </c>
      <c r="F171" s="6"/>
      <c r="G171" s="6"/>
      <c r="H171" s="6"/>
    </row>
    <row r="172" spans="1:8" x14ac:dyDescent="0.3">
      <c r="A172" s="6" t="s">
        <v>3619</v>
      </c>
      <c r="B172" s="6" t="s">
        <v>448</v>
      </c>
      <c r="C172" s="6"/>
      <c r="D172" s="6"/>
      <c r="E172" s="6"/>
      <c r="F172" s="6"/>
      <c r="G172" s="6"/>
      <c r="H172" s="6">
        <v>23</v>
      </c>
    </row>
    <row r="173" spans="1:8" x14ac:dyDescent="0.3">
      <c r="A173" s="6" t="s">
        <v>3609</v>
      </c>
      <c r="B173" s="6" t="s">
        <v>700</v>
      </c>
      <c r="C173" s="6"/>
      <c r="D173" s="6"/>
      <c r="E173" s="6"/>
      <c r="F173" s="6"/>
      <c r="G173" s="6"/>
      <c r="H173" s="6">
        <v>24</v>
      </c>
    </row>
    <row r="174" spans="1:8" x14ac:dyDescent="0.3">
      <c r="A174" s="6" t="s">
        <v>4162</v>
      </c>
      <c r="B174" s="6" t="s">
        <v>474</v>
      </c>
      <c r="C174" s="6"/>
      <c r="D174" s="6"/>
      <c r="E174" s="6"/>
      <c r="F174" s="6"/>
      <c r="G174" s="6">
        <v>28</v>
      </c>
      <c r="H174" s="6"/>
    </row>
    <row r="175" spans="1:8" x14ac:dyDescent="0.3">
      <c r="A175" s="6"/>
      <c r="B175" s="6" t="s">
        <v>396</v>
      </c>
      <c r="C175" s="6"/>
      <c r="D175" s="6">
        <v>-1</v>
      </c>
      <c r="E175" s="6"/>
      <c r="F175" s="6"/>
      <c r="G175" s="6"/>
      <c r="H175" s="6"/>
    </row>
    <row r="176" spans="1:8" x14ac:dyDescent="0.3">
      <c r="A176" s="6"/>
      <c r="B176" s="6" t="s">
        <v>624</v>
      </c>
      <c r="C176" s="6"/>
      <c r="D176" s="6">
        <v>-1</v>
      </c>
      <c r="E176" s="6"/>
      <c r="F176" s="6"/>
      <c r="G176" s="6"/>
      <c r="H176" s="6"/>
    </row>
    <row r="177" spans="1:8" x14ac:dyDescent="0.3">
      <c r="A177" s="6"/>
      <c r="B177" s="6" t="s">
        <v>654</v>
      </c>
      <c r="C177" s="6"/>
      <c r="D177" s="6">
        <v>-1</v>
      </c>
      <c r="E177" s="6"/>
      <c r="F177" s="6"/>
      <c r="G177" s="6"/>
      <c r="H177" s="6"/>
    </row>
    <row r="178" spans="1:8" x14ac:dyDescent="0.3">
      <c r="A178" s="6"/>
      <c r="B178" s="6" t="s">
        <v>496</v>
      </c>
      <c r="C178" s="6">
        <v>-1</v>
      </c>
      <c r="D178" s="6"/>
      <c r="E178" s="6">
        <v>-1</v>
      </c>
      <c r="F178" s="6"/>
      <c r="G178" s="6"/>
      <c r="H178" s="6"/>
    </row>
    <row r="179" spans="1:8" x14ac:dyDescent="0.3">
      <c r="A179" s="6" t="s">
        <v>2963</v>
      </c>
      <c r="B179" s="6" t="s">
        <v>734</v>
      </c>
      <c r="C179" s="6">
        <v>40</v>
      </c>
      <c r="D179" s="6"/>
      <c r="E179" s="6"/>
      <c r="F179" s="6"/>
      <c r="G179" s="6"/>
      <c r="H179" s="6"/>
    </row>
    <row r="180" spans="1:8" x14ac:dyDescent="0.3">
      <c r="A180" s="6"/>
      <c r="B180" s="6" t="s">
        <v>386</v>
      </c>
      <c r="C180" s="6"/>
      <c r="D180" s="6">
        <v>-1</v>
      </c>
      <c r="E180" s="6"/>
      <c r="F180" s="6"/>
      <c r="G180" s="6"/>
      <c r="H180" s="6"/>
    </row>
  </sheetData>
  <pageMargins left="0.7" right="0.7" top="0.75" bottom="0.75" header="0.3" footer="0.3"/>
  <tableParts count="1">
    <tablePart r:id="rId1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39FC2-5617-4BAC-BF5C-7BD4DDC9D743}">
  <dimension ref="A1:H61"/>
  <sheetViews>
    <sheetView topLeftCell="A52" workbookViewId="0">
      <selection activeCell="B62" sqref="B62"/>
    </sheetView>
  </sheetViews>
  <sheetFormatPr defaultRowHeight="14.4" x14ac:dyDescent="0.3"/>
  <cols>
    <col min="1" max="1" width="42.6640625" bestFit="1" customWidth="1"/>
    <col min="2" max="2" width="13.6640625" bestFit="1" customWidth="1"/>
    <col min="3" max="3" width="37.44140625" bestFit="1" customWidth="1"/>
    <col min="4" max="4" width="36.5546875" bestFit="1" customWidth="1"/>
    <col min="5" max="5" width="30.44140625" bestFit="1" customWidth="1"/>
    <col min="6" max="6" width="17" bestFit="1" customWidth="1"/>
    <col min="7" max="7" width="14.77734375" bestFit="1" customWidth="1"/>
    <col min="8" max="8" width="14.77734375" customWidth="1"/>
  </cols>
  <sheetData>
    <row r="1" spans="1:8" x14ac:dyDescent="0.3">
      <c r="A1" t="s">
        <v>833</v>
      </c>
      <c r="B1" t="s">
        <v>1</v>
      </c>
      <c r="C1" t="s">
        <v>1222</v>
      </c>
      <c r="D1" t="s">
        <v>1223</v>
      </c>
      <c r="E1" t="s">
        <v>1224</v>
      </c>
      <c r="F1" t="s">
        <v>1212</v>
      </c>
      <c r="G1" t="s">
        <v>1213</v>
      </c>
    </row>
    <row r="2" spans="1:8" x14ac:dyDescent="0.3">
      <c r="A2" s="6"/>
      <c r="B2" s="6" t="s">
        <v>380</v>
      </c>
      <c r="C2" s="6"/>
      <c r="D2" s="6">
        <v>-1</v>
      </c>
      <c r="E2" s="6"/>
      <c r="F2" s="6">
        <f>Table54[[#This Row],[Total Athletes]]-(LEN(Table54[[#This Row],[Pair]])-LEN(SUBSTITUTE(Table54[[#This Row],[Pair]],"/","")))-1</f>
        <v>-1</v>
      </c>
      <c r="G2" s="6"/>
      <c r="H2" s="6"/>
    </row>
    <row r="3" spans="1:8" x14ac:dyDescent="0.3">
      <c r="A3" s="6" t="s">
        <v>2312</v>
      </c>
      <c r="B3" s="6" t="s">
        <v>340</v>
      </c>
      <c r="C3" s="6"/>
      <c r="D3" s="6">
        <v>19</v>
      </c>
      <c r="E3" s="6"/>
      <c r="F3" s="6">
        <f>Table54[[#This Row],[Total Athletes]]-(LEN(Table54[[#This Row],[Pair]])-LEN(SUBSTITUTE(Table54[[#This Row],[Pair]],"/","")))-1</f>
        <v>1</v>
      </c>
      <c r="G3" s="6">
        <v>2</v>
      </c>
      <c r="H3" s="6"/>
    </row>
    <row r="4" spans="1:8" x14ac:dyDescent="0.3">
      <c r="A4" s="6" t="s">
        <v>2355</v>
      </c>
      <c r="B4" s="6" t="s">
        <v>354</v>
      </c>
      <c r="C4" s="6"/>
      <c r="D4" s="6"/>
      <c r="E4" s="6">
        <v>11</v>
      </c>
      <c r="F4" s="6">
        <f>Table54[[#This Row],[Total Athletes]]-(LEN(Table54[[#This Row],[Pair]])-LEN(SUBSTITUTE(Table54[[#This Row],[Pair]],"/","")))-1</f>
        <v>1</v>
      </c>
      <c r="G4" s="6">
        <v>2</v>
      </c>
      <c r="H4" s="6"/>
    </row>
    <row r="5" spans="1:8" x14ac:dyDescent="0.3">
      <c r="A5" s="6"/>
      <c r="B5" s="6" t="s">
        <v>358</v>
      </c>
      <c r="C5" s="6"/>
      <c r="D5" s="6">
        <v>-1</v>
      </c>
      <c r="E5" s="6"/>
      <c r="F5" s="6">
        <f>Table54[[#This Row],[Total Athletes]]-(LEN(Table54[[#This Row],[Pair]])-LEN(SUBSTITUTE(Table54[[#This Row],[Pair]],"/","")))-1</f>
        <v>-1</v>
      </c>
      <c r="G5" s="6"/>
      <c r="H5" s="6"/>
    </row>
    <row r="6" spans="1:8" x14ac:dyDescent="0.3">
      <c r="A6" s="6" t="s">
        <v>3568</v>
      </c>
      <c r="B6" s="6" t="s">
        <v>370</v>
      </c>
      <c r="C6" s="6">
        <v>12</v>
      </c>
      <c r="D6" s="6"/>
      <c r="E6" s="6"/>
      <c r="F6" s="6">
        <f>Table54[[#This Row],[Total Athletes]]-(LEN(Table54[[#This Row],[Pair]])-LEN(SUBSTITUTE(Table54[[#This Row],[Pair]],"/","")))-1</f>
        <v>1</v>
      </c>
      <c r="G6" s="6">
        <v>2</v>
      </c>
      <c r="H6" s="6"/>
    </row>
    <row r="7" spans="1:8" x14ac:dyDescent="0.3">
      <c r="A7" s="6"/>
      <c r="B7" s="6" t="s">
        <v>328</v>
      </c>
      <c r="C7" s="6">
        <v>-1</v>
      </c>
      <c r="D7" s="6"/>
      <c r="E7" s="6"/>
      <c r="F7" s="6">
        <f>Table54[[#This Row],[Total Athletes]]-(LEN(Table54[[#This Row],[Pair]])-LEN(SUBSTITUTE(Table54[[#This Row],[Pair]],"/","")))-1</f>
        <v>-1</v>
      </c>
      <c r="G7" s="6"/>
      <c r="H7" s="6"/>
    </row>
    <row r="8" spans="1:8" x14ac:dyDescent="0.3">
      <c r="A8" s="6"/>
      <c r="B8" s="6" t="s">
        <v>328</v>
      </c>
      <c r="C8" s="6">
        <v>-1</v>
      </c>
      <c r="D8" s="6"/>
      <c r="E8" s="6"/>
      <c r="F8" s="6">
        <f>Table54[[#This Row],[Total Athletes]]-(LEN(Table54[[#This Row],[Pair]])-LEN(SUBSTITUTE(Table54[[#This Row],[Pair]],"/","")))-1</f>
        <v>-1</v>
      </c>
      <c r="G8" s="6"/>
      <c r="H8" s="6"/>
    </row>
    <row r="9" spans="1:8" x14ac:dyDescent="0.3">
      <c r="A9" s="6"/>
      <c r="B9" s="6" t="s">
        <v>328</v>
      </c>
      <c r="C9" s="6"/>
      <c r="D9" s="6">
        <v>-1</v>
      </c>
      <c r="E9" s="6"/>
      <c r="F9" s="6">
        <f>Table54[[#This Row],[Total Athletes]]-(LEN(Table54[[#This Row],[Pair]])-LEN(SUBSTITUTE(Table54[[#This Row],[Pair]],"/","")))-1</f>
        <v>-1</v>
      </c>
      <c r="G9" s="6"/>
      <c r="H9" s="6"/>
    </row>
    <row r="10" spans="1:8" x14ac:dyDescent="0.3">
      <c r="A10" s="6"/>
      <c r="B10" s="6" t="s">
        <v>328</v>
      </c>
      <c r="C10" s="6"/>
      <c r="D10" s="6">
        <v>-1</v>
      </c>
      <c r="E10" s="6"/>
      <c r="F10" s="6">
        <f>Table54[[#This Row],[Total Athletes]]-(LEN(Table54[[#This Row],[Pair]])-LEN(SUBSTITUTE(Table54[[#This Row],[Pair]],"/","")))-1</f>
        <v>-1</v>
      </c>
      <c r="G10" s="6"/>
      <c r="H10" s="6"/>
    </row>
    <row r="11" spans="1:8" x14ac:dyDescent="0.3">
      <c r="A11" s="6"/>
      <c r="B11" s="6" t="s">
        <v>442</v>
      </c>
      <c r="C11" s="6"/>
      <c r="D11" s="6">
        <v>-1</v>
      </c>
      <c r="E11" s="6"/>
      <c r="F11" s="6">
        <f>Table54[[#This Row],[Total Athletes]]-(LEN(Table54[[#This Row],[Pair]])-LEN(SUBSTITUTE(Table54[[#This Row],[Pair]],"/","")))-1</f>
        <v>-1</v>
      </c>
      <c r="G11" s="6"/>
      <c r="H11" s="6"/>
    </row>
    <row r="12" spans="1:8" x14ac:dyDescent="0.3">
      <c r="A12" s="6" t="s">
        <v>2107</v>
      </c>
      <c r="B12" s="6" t="s">
        <v>442</v>
      </c>
      <c r="C12" s="6"/>
      <c r="D12" s="6"/>
      <c r="E12" s="6">
        <v>8</v>
      </c>
      <c r="F12" s="6">
        <f>Table54[[#This Row],[Total Athletes]]-(LEN(Table54[[#This Row],[Pair]])-LEN(SUBSTITUTE(Table54[[#This Row],[Pair]],"/","")))-1</f>
        <v>1</v>
      </c>
      <c r="G12" s="6">
        <v>2</v>
      </c>
      <c r="H12" s="6"/>
    </row>
    <row r="13" spans="1:8" x14ac:dyDescent="0.3">
      <c r="A13" s="6"/>
      <c r="B13" s="6" t="s">
        <v>326</v>
      </c>
      <c r="C13" s="6"/>
      <c r="D13" s="6">
        <v>-1</v>
      </c>
      <c r="E13" s="6"/>
      <c r="F13" s="6">
        <f>Table54[[#This Row],[Total Athletes]]-(LEN(Table54[[#This Row],[Pair]])-LEN(SUBSTITUTE(Table54[[#This Row],[Pair]],"/","")))-1</f>
        <v>-1</v>
      </c>
      <c r="G13" s="6"/>
      <c r="H13" s="6"/>
    </row>
    <row r="14" spans="1:8" x14ac:dyDescent="0.3">
      <c r="A14" s="6"/>
      <c r="B14" s="6" t="s">
        <v>326</v>
      </c>
      <c r="C14" s="6"/>
      <c r="D14" s="6">
        <v>-1</v>
      </c>
      <c r="E14" s="6"/>
      <c r="F14" s="6">
        <f>Table54[[#This Row],[Total Athletes]]-(LEN(Table54[[#This Row],[Pair]])-LEN(SUBSTITUTE(Table54[[#This Row],[Pair]],"/","")))-1</f>
        <v>-1</v>
      </c>
      <c r="G14" s="6"/>
      <c r="H14" s="6"/>
    </row>
    <row r="15" spans="1:8" x14ac:dyDescent="0.3">
      <c r="A15" s="6"/>
      <c r="B15" s="6" t="s">
        <v>326</v>
      </c>
      <c r="C15" s="6"/>
      <c r="D15" s="6"/>
      <c r="E15" s="6">
        <v>-1</v>
      </c>
      <c r="F15" s="6">
        <f>Table54[[#This Row],[Total Athletes]]-(LEN(Table54[[#This Row],[Pair]])-LEN(SUBSTITUTE(Table54[[#This Row],[Pair]],"/","")))-1</f>
        <v>-1</v>
      </c>
      <c r="G15" s="6"/>
      <c r="H15" s="6"/>
    </row>
    <row r="16" spans="1:8" x14ac:dyDescent="0.3">
      <c r="A16" s="6" t="s">
        <v>4457</v>
      </c>
      <c r="B16" s="6" t="s">
        <v>344</v>
      </c>
      <c r="C16" s="6">
        <v>17</v>
      </c>
      <c r="D16" s="6"/>
      <c r="E16" s="6"/>
      <c r="F16" s="6">
        <f>Table54[[#This Row],[Total Athletes]]-(LEN(Table54[[#This Row],[Pair]])-LEN(SUBSTITUTE(Table54[[#This Row],[Pair]],"/","")))-1</f>
        <v>1</v>
      </c>
      <c r="G16" s="6">
        <v>2</v>
      </c>
      <c r="H16" s="6"/>
    </row>
    <row r="17" spans="1:8" x14ac:dyDescent="0.3">
      <c r="A17" s="6" t="s">
        <v>4392</v>
      </c>
      <c r="B17" s="6" t="s">
        <v>344</v>
      </c>
      <c r="C17" s="6"/>
      <c r="D17" s="6">
        <v>14</v>
      </c>
      <c r="E17" s="6"/>
      <c r="F17" s="6">
        <f>Table54[[#This Row],[Total Athletes]]-(LEN(Table54[[#This Row],[Pair]])-LEN(SUBSTITUTE(Table54[[#This Row],[Pair]],"/","")))-1</f>
        <v>0</v>
      </c>
      <c r="G17" s="6">
        <v>2</v>
      </c>
      <c r="H17" s="6"/>
    </row>
    <row r="18" spans="1:8" x14ac:dyDescent="0.3">
      <c r="A18" s="6"/>
      <c r="B18" s="6" t="s">
        <v>344</v>
      </c>
      <c r="C18" s="6"/>
      <c r="D18" s="6">
        <v>-1</v>
      </c>
      <c r="E18" s="6"/>
      <c r="F18" s="6">
        <f>Table54[[#This Row],[Total Athletes]]-(LEN(Table54[[#This Row],[Pair]])-LEN(SUBSTITUTE(Table54[[#This Row],[Pair]],"/","")))-1</f>
        <v>-1</v>
      </c>
      <c r="G18" s="6"/>
      <c r="H18" s="6"/>
    </row>
    <row r="19" spans="1:8" x14ac:dyDescent="0.3">
      <c r="A19" s="6"/>
      <c r="B19" s="6" t="s">
        <v>344</v>
      </c>
      <c r="C19" s="6"/>
      <c r="D19" s="6"/>
      <c r="E19" s="6">
        <v>-1</v>
      </c>
      <c r="F19" s="6">
        <f>Table54[[#This Row],[Total Athletes]]-(LEN(Table54[[#This Row],[Pair]])-LEN(SUBSTITUTE(Table54[[#This Row],[Pair]],"/","")))-1</f>
        <v>-1</v>
      </c>
      <c r="G19" s="6"/>
      <c r="H19" s="6"/>
    </row>
    <row r="20" spans="1:8" x14ac:dyDescent="0.3">
      <c r="A20" s="6" t="s">
        <v>4670</v>
      </c>
      <c r="B20" s="6" t="s">
        <v>334</v>
      </c>
      <c r="C20" s="6">
        <v>6</v>
      </c>
      <c r="D20" s="6"/>
      <c r="E20" s="6"/>
      <c r="F20" s="6">
        <f>Table54[[#This Row],[Total Athletes]]-(LEN(Table54[[#This Row],[Pair]])-LEN(SUBSTITUTE(Table54[[#This Row],[Pair]],"/","")))-1</f>
        <v>1</v>
      </c>
      <c r="G20" s="6">
        <v>2</v>
      </c>
      <c r="H20" s="6"/>
    </row>
    <row r="21" spans="1:8" x14ac:dyDescent="0.3">
      <c r="A21" s="6"/>
      <c r="B21" s="6" t="s">
        <v>334</v>
      </c>
      <c r="C21" s="6">
        <v>-1</v>
      </c>
      <c r="D21" s="6"/>
      <c r="E21" s="6"/>
      <c r="F21" s="6">
        <f>Table54[[#This Row],[Total Athletes]]-(LEN(Table54[[#This Row],[Pair]])-LEN(SUBSTITUTE(Table54[[#This Row],[Pair]],"/","")))-1</f>
        <v>-1</v>
      </c>
      <c r="G21" s="6"/>
      <c r="H21" s="6"/>
    </row>
    <row r="22" spans="1:8" x14ac:dyDescent="0.3">
      <c r="A22" s="6"/>
      <c r="B22" s="6" t="s">
        <v>334</v>
      </c>
      <c r="C22" s="6"/>
      <c r="D22" s="6">
        <v>-1</v>
      </c>
      <c r="E22" s="6"/>
      <c r="F22" s="6">
        <f>Table54[[#This Row],[Total Athletes]]-(LEN(Table54[[#This Row],[Pair]])-LEN(SUBSTITUTE(Table54[[#This Row],[Pair]],"/","")))-1</f>
        <v>-1</v>
      </c>
      <c r="G22" s="6"/>
      <c r="H22" s="6"/>
    </row>
    <row r="23" spans="1:8" x14ac:dyDescent="0.3">
      <c r="A23" s="6"/>
      <c r="B23" s="6" t="s">
        <v>334</v>
      </c>
      <c r="C23" s="6"/>
      <c r="D23" s="6"/>
      <c r="E23" s="6">
        <v>-1</v>
      </c>
      <c r="F23" s="6">
        <f>Table54[[#This Row],[Total Athletes]]-(LEN(Table54[[#This Row],[Pair]])-LEN(SUBSTITUTE(Table54[[#This Row],[Pair]],"/","")))-1</f>
        <v>-1</v>
      </c>
      <c r="G23" s="6"/>
      <c r="H23" s="6"/>
    </row>
    <row r="24" spans="1:8" x14ac:dyDescent="0.3">
      <c r="A24" s="6" t="s">
        <v>1674</v>
      </c>
      <c r="B24" s="6" t="s">
        <v>402</v>
      </c>
      <c r="C24" s="6"/>
      <c r="D24" s="6">
        <v>26</v>
      </c>
      <c r="E24" s="6"/>
      <c r="F24" s="6">
        <f>Table54[[#This Row],[Total Athletes]]-(LEN(Table54[[#This Row],[Pair]])-LEN(SUBSTITUTE(Table54[[#This Row],[Pair]],"/","")))-1</f>
        <v>0</v>
      </c>
      <c r="G24" s="6">
        <v>2</v>
      </c>
      <c r="H24" s="6"/>
    </row>
    <row r="25" spans="1:8" x14ac:dyDescent="0.3">
      <c r="A25" s="6"/>
      <c r="B25" s="6" t="s">
        <v>342</v>
      </c>
      <c r="C25" s="6"/>
      <c r="D25" s="6"/>
      <c r="E25" s="6">
        <v>-1</v>
      </c>
      <c r="F25" s="6">
        <f>Table54[[#This Row],[Total Athletes]]-(LEN(Table54[[#This Row],[Pair]])-LEN(SUBSTITUTE(Table54[[#This Row],[Pair]],"/","")))-1</f>
        <v>-1</v>
      </c>
      <c r="G25" s="6"/>
      <c r="H25" s="6"/>
    </row>
    <row r="26" spans="1:8" x14ac:dyDescent="0.3">
      <c r="A26" s="6"/>
      <c r="B26" s="6" t="s">
        <v>406</v>
      </c>
      <c r="C26" s="6"/>
      <c r="D26" s="6">
        <v>-1</v>
      </c>
      <c r="E26" s="6"/>
      <c r="F26" s="6">
        <f>Table54[[#This Row],[Total Athletes]]-(LEN(Table54[[#This Row],[Pair]])-LEN(SUBSTITUTE(Table54[[#This Row],[Pair]],"/","")))-1</f>
        <v>-1</v>
      </c>
      <c r="G26" s="6"/>
      <c r="H26" s="6"/>
    </row>
    <row r="27" spans="1:8" x14ac:dyDescent="0.3">
      <c r="A27" s="6"/>
      <c r="B27" s="6" t="s">
        <v>448</v>
      </c>
      <c r="C27" s="6">
        <v>-1</v>
      </c>
      <c r="D27" s="6"/>
      <c r="E27" s="6"/>
      <c r="F27" s="6">
        <f>Table54[[#This Row],[Total Athletes]]-(LEN(Table54[[#This Row],[Pair]])-LEN(SUBSTITUTE(Table54[[#This Row],[Pair]],"/","")))-1</f>
        <v>-1</v>
      </c>
      <c r="G27" s="6"/>
      <c r="H27" s="6"/>
    </row>
    <row r="28" spans="1:8" x14ac:dyDescent="0.3">
      <c r="A28" s="6"/>
      <c r="B28" s="6" t="s">
        <v>448</v>
      </c>
      <c r="C28" s="6">
        <v>-1</v>
      </c>
      <c r="D28" s="6"/>
      <c r="E28" s="6"/>
      <c r="F28" s="6">
        <f>Table54[[#This Row],[Total Athletes]]-(LEN(Table54[[#This Row],[Pair]])-LEN(SUBSTITUTE(Table54[[#This Row],[Pair]],"/","")))-1</f>
        <v>-1</v>
      </c>
      <c r="G28" s="6"/>
      <c r="H28" s="6"/>
    </row>
    <row r="29" spans="1:8" x14ac:dyDescent="0.3">
      <c r="A29" s="6"/>
      <c r="B29" s="6" t="s">
        <v>448</v>
      </c>
      <c r="C29" s="6"/>
      <c r="D29" s="6">
        <v>-1</v>
      </c>
      <c r="E29" s="6"/>
      <c r="F29" s="6">
        <f>Table54[[#This Row],[Total Athletes]]-(LEN(Table54[[#This Row],[Pair]])-LEN(SUBSTITUTE(Table54[[#This Row],[Pair]],"/","")))-1</f>
        <v>-1</v>
      </c>
      <c r="G29" s="6"/>
      <c r="H29" s="6"/>
    </row>
    <row r="30" spans="1:8" x14ac:dyDescent="0.3">
      <c r="A30" s="6"/>
      <c r="B30" s="6" t="s">
        <v>448</v>
      </c>
      <c r="C30" s="6"/>
      <c r="D30" s="6">
        <v>-1</v>
      </c>
      <c r="E30" s="6"/>
      <c r="F30" s="6">
        <f>Table54[[#This Row],[Total Athletes]]-(LEN(Table54[[#This Row],[Pair]])-LEN(SUBSTITUTE(Table54[[#This Row],[Pair]],"/","")))-1</f>
        <v>-1</v>
      </c>
      <c r="G30" s="6"/>
      <c r="H30" s="6"/>
    </row>
    <row r="31" spans="1:8" x14ac:dyDescent="0.3">
      <c r="A31" s="6"/>
      <c r="B31" s="6" t="s">
        <v>448</v>
      </c>
      <c r="C31" s="6"/>
      <c r="D31" s="6"/>
      <c r="E31" s="6">
        <v>-1</v>
      </c>
      <c r="F31" s="6">
        <f>Table54[[#This Row],[Total Athletes]]-(LEN(Table54[[#This Row],[Pair]])-LEN(SUBSTITUTE(Table54[[#This Row],[Pair]],"/","")))-1</f>
        <v>-1</v>
      </c>
      <c r="G31" s="6"/>
      <c r="H31" s="6"/>
    </row>
    <row r="32" spans="1:8" x14ac:dyDescent="0.3">
      <c r="A32" s="6" t="s">
        <v>4621</v>
      </c>
      <c r="B32" s="6" t="s">
        <v>356</v>
      </c>
      <c r="C32" s="6"/>
      <c r="D32" s="6">
        <v>17</v>
      </c>
      <c r="E32" s="6"/>
      <c r="F32" s="6">
        <f>Table54[[#This Row],[Total Athletes]]-(LEN(Table54[[#This Row],[Pair]])-LEN(SUBSTITUTE(Table54[[#This Row],[Pair]],"/","")))-1</f>
        <v>0</v>
      </c>
      <c r="G32" s="6">
        <v>2</v>
      </c>
      <c r="H32" s="6"/>
    </row>
    <row r="33" spans="1:8" x14ac:dyDescent="0.3">
      <c r="A33" s="6"/>
      <c r="B33" s="6" t="s">
        <v>356</v>
      </c>
      <c r="C33" s="6"/>
      <c r="D33" s="6"/>
      <c r="E33" s="6">
        <v>-1</v>
      </c>
      <c r="F33" s="6">
        <f>Table54[[#This Row],[Total Athletes]]-(LEN(Table54[[#This Row],[Pair]])-LEN(SUBSTITUTE(Table54[[#This Row],[Pair]],"/","")))-1</f>
        <v>-1</v>
      </c>
      <c r="G33" s="6"/>
      <c r="H33" s="6"/>
    </row>
    <row r="34" spans="1:8" x14ac:dyDescent="0.3">
      <c r="A34" s="6"/>
      <c r="B34" s="6" t="s">
        <v>356</v>
      </c>
      <c r="C34" s="6"/>
      <c r="D34" s="6"/>
      <c r="E34" s="6">
        <v>-1</v>
      </c>
      <c r="F34" s="6">
        <f>Table54[[#This Row],[Total Athletes]]-(LEN(Table54[[#This Row],[Pair]])-LEN(SUBSTITUTE(Table54[[#This Row],[Pair]],"/","")))-1</f>
        <v>-1</v>
      </c>
      <c r="G34" s="6"/>
      <c r="H34" s="6"/>
    </row>
    <row r="35" spans="1:8" x14ac:dyDescent="0.3">
      <c r="A35" s="6" t="s">
        <v>1337</v>
      </c>
      <c r="B35" s="6" t="s">
        <v>428</v>
      </c>
      <c r="C35" s="6"/>
      <c r="D35" s="6">
        <v>25</v>
      </c>
      <c r="E35" s="6"/>
      <c r="F35" s="6">
        <f>Table54[[#This Row],[Total Athletes]]-(LEN(Table54[[#This Row],[Pair]])-LEN(SUBSTITUTE(Table54[[#This Row],[Pair]],"/","")))-1</f>
        <v>1</v>
      </c>
      <c r="G35" s="6">
        <v>2</v>
      </c>
      <c r="H35" s="6"/>
    </row>
    <row r="36" spans="1:8" x14ac:dyDescent="0.3">
      <c r="A36" s="6" t="s">
        <v>1324</v>
      </c>
      <c r="B36" s="6" t="s">
        <v>604</v>
      </c>
      <c r="C36" s="6">
        <v>11</v>
      </c>
      <c r="D36" s="6"/>
      <c r="E36" s="6"/>
      <c r="F36" s="6">
        <f>Table54[[#This Row],[Total Athletes]]-(LEN(Table54[[#This Row],[Pair]])-LEN(SUBSTITUTE(Table54[[#This Row],[Pair]],"/","")))-1</f>
        <v>1</v>
      </c>
      <c r="G36" s="6">
        <v>2</v>
      </c>
      <c r="H36" s="6"/>
    </row>
    <row r="37" spans="1:8" x14ac:dyDescent="0.3">
      <c r="A37" s="6"/>
      <c r="B37" s="6" t="s">
        <v>604</v>
      </c>
      <c r="C37" s="6"/>
      <c r="D37" s="6">
        <v>-1</v>
      </c>
      <c r="E37" s="6"/>
      <c r="F37" s="6">
        <f>Table54[[#This Row],[Total Athletes]]-(LEN(Table54[[#This Row],[Pair]])-LEN(SUBSTITUTE(Table54[[#This Row],[Pair]],"/","")))-1</f>
        <v>-1</v>
      </c>
      <c r="G37" s="6"/>
      <c r="H37" s="6"/>
    </row>
    <row r="38" spans="1:8" x14ac:dyDescent="0.3">
      <c r="A38" s="6"/>
      <c r="B38" s="6" t="s">
        <v>604</v>
      </c>
      <c r="C38" s="6"/>
      <c r="D38" s="6">
        <v>-1</v>
      </c>
      <c r="E38" s="6"/>
      <c r="F38" s="6">
        <f>Table54[[#This Row],[Total Athletes]]-(LEN(Table54[[#This Row],[Pair]])-LEN(SUBSTITUTE(Table54[[#This Row],[Pair]],"/","")))-1</f>
        <v>-1</v>
      </c>
      <c r="G38" s="6"/>
      <c r="H38" s="6"/>
    </row>
    <row r="39" spans="1:8" x14ac:dyDescent="0.3">
      <c r="A39" s="6"/>
      <c r="B39" s="6" t="s">
        <v>604</v>
      </c>
      <c r="C39" s="6"/>
      <c r="D39" s="6"/>
      <c r="E39" s="6">
        <v>-1</v>
      </c>
      <c r="F39" s="6">
        <f>Table54[[#This Row],[Total Athletes]]-(LEN(Table54[[#This Row],[Pair]])-LEN(SUBSTITUTE(Table54[[#This Row],[Pair]],"/","")))-1</f>
        <v>-1</v>
      </c>
      <c r="G39" s="6"/>
      <c r="H39" s="6"/>
    </row>
    <row r="40" spans="1:8" x14ac:dyDescent="0.3">
      <c r="A40" s="6"/>
      <c r="B40" s="6" t="s">
        <v>614</v>
      </c>
      <c r="C40" s="6">
        <v>-1</v>
      </c>
      <c r="D40" s="6"/>
      <c r="E40" s="6"/>
      <c r="F40" s="6">
        <f>Table54[[#This Row],[Total Athletes]]-(LEN(Table54[[#This Row],[Pair]])-LEN(SUBSTITUTE(Table54[[#This Row],[Pair]],"/","")))-1</f>
        <v>-1</v>
      </c>
      <c r="G40" s="6"/>
      <c r="H40" s="6"/>
    </row>
    <row r="41" spans="1:8" x14ac:dyDescent="0.3">
      <c r="A41" s="6" t="s">
        <v>3937</v>
      </c>
      <c r="B41" s="6" t="s">
        <v>350</v>
      </c>
      <c r="C41" s="6"/>
      <c r="D41" s="6">
        <v>7</v>
      </c>
      <c r="E41" s="6"/>
      <c r="F41" s="6">
        <f>Table54[[#This Row],[Total Athletes]]-(LEN(Table54[[#This Row],[Pair]])-LEN(SUBSTITUTE(Table54[[#This Row],[Pair]],"/","")))-1</f>
        <v>0</v>
      </c>
      <c r="G41" s="6">
        <v>2</v>
      </c>
      <c r="H41" s="6"/>
    </row>
    <row r="42" spans="1:8" x14ac:dyDescent="0.3">
      <c r="A42" s="6" t="s">
        <v>3657</v>
      </c>
      <c r="B42" s="6" t="s">
        <v>364</v>
      </c>
      <c r="C42" s="6"/>
      <c r="D42" s="6">
        <v>5</v>
      </c>
      <c r="E42" s="6"/>
      <c r="F42" s="6">
        <f>Table54[[#This Row],[Total Athletes]]-(LEN(Table54[[#This Row],[Pair]])-LEN(SUBSTITUTE(Table54[[#This Row],[Pair]],"/","")))-1</f>
        <v>0</v>
      </c>
      <c r="G42" s="6">
        <v>2</v>
      </c>
      <c r="H42" s="6"/>
    </row>
    <row r="43" spans="1:8" x14ac:dyDescent="0.3">
      <c r="A43" s="6" t="s">
        <v>4984</v>
      </c>
      <c r="B43" s="6" t="s">
        <v>364</v>
      </c>
      <c r="C43" s="6"/>
      <c r="D43" s="6">
        <v>21</v>
      </c>
      <c r="E43" s="6"/>
      <c r="F43" s="6">
        <f>Table54[[#This Row],[Total Athletes]]-(LEN(Table54[[#This Row],[Pair]])-LEN(SUBSTITUTE(Table54[[#This Row],[Pair]],"/","")))-1</f>
        <v>0</v>
      </c>
      <c r="G43" s="6">
        <v>2</v>
      </c>
      <c r="H43" s="6"/>
    </row>
    <row r="44" spans="1:8" x14ac:dyDescent="0.3">
      <c r="A44" s="6"/>
      <c r="B44" s="6" t="s">
        <v>376</v>
      </c>
      <c r="C44" s="6">
        <v>-1</v>
      </c>
      <c r="D44" s="6"/>
      <c r="E44" s="6"/>
      <c r="F44" s="6">
        <f>Table54[[#This Row],[Total Athletes]]-(LEN(Table54[[#This Row],[Pair]])-LEN(SUBSTITUTE(Table54[[#This Row],[Pair]],"/","")))-1</f>
        <v>-1</v>
      </c>
      <c r="G44" s="6"/>
      <c r="H44" s="6"/>
    </row>
    <row r="45" spans="1:8" x14ac:dyDescent="0.3">
      <c r="A45" s="6"/>
      <c r="B45" s="6" t="s">
        <v>392</v>
      </c>
      <c r="C45" s="6"/>
      <c r="D45" s="6"/>
      <c r="E45" s="6">
        <v>-1</v>
      </c>
      <c r="F45" s="6">
        <f>Table54[[#This Row],[Total Athletes]]-(LEN(Table54[[#This Row],[Pair]])-LEN(SUBSTITUTE(Table54[[#This Row],[Pair]],"/","")))-1</f>
        <v>-1</v>
      </c>
      <c r="G45" s="6"/>
    </row>
    <row r="46" spans="1:8" x14ac:dyDescent="0.3">
      <c r="A46" s="6" t="s">
        <v>1913</v>
      </c>
      <c r="B46" s="6" t="s">
        <v>394</v>
      </c>
      <c r="C46" s="6"/>
      <c r="D46" s="6">
        <v>23</v>
      </c>
      <c r="E46" s="6"/>
      <c r="F46" s="6">
        <f>Table54[[#This Row],[Total Athletes]]-(LEN(Table54[[#This Row],[Pair]])-LEN(SUBSTITUTE(Table54[[#This Row],[Pair]],"/","")))-1</f>
        <v>1</v>
      </c>
      <c r="G46" s="6">
        <v>2</v>
      </c>
    </row>
    <row r="47" spans="1:8" x14ac:dyDescent="0.3">
      <c r="A47" s="6"/>
      <c r="B47" s="6" t="s">
        <v>394</v>
      </c>
      <c r="C47" s="6"/>
      <c r="D47" s="6">
        <v>-1</v>
      </c>
      <c r="E47" s="6"/>
      <c r="F47" s="6">
        <f>Table54[[#This Row],[Total Athletes]]-(LEN(Table54[[#This Row],[Pair]])-LEN(SUBSTITUTE(Table54[[#This Row],[Pair]],"/","")))-1</f>
        <v>-1</v>
      </c>
      <c r="G47" s="6"/>
    </row>
    <row r="48" spans="1:8" x14ac:dyDescent="0.3">
      <c r="A48" s="6" t="s">
        <v>3717</v>
      </c>
      <c r="B48" s="6" t="s">
        <v>690</v>
      </c>
      <c r="C48" s="6">
        <v>1</v>
      </c>
      <c r="D48" s="6"/>
      <c r="E48" s="6"/>
      <c r="F48" s="6">
        <f>Table54[[#This Row],[Total Athletes]]-(LEN(Table54[[#This Row],[Pair]])-LEN(SUBSTITUTE(Table54[[#This Row],[Pair]],"/","")))-1</f>
        <v>1</v>
      </c>
      <c r="G48" s="6">
        <v>2</v>
      </c>
    </row>
    <row r="49" spans="1:7" x14ac:dyDescent="0.3">
      <c r="A49" s="6"/>
      <c r="B49" s="6" t="s">
        <v>700</v>
      </c>
      <c r="C49" s="6">
        <v>-1</v>
      </c>
      <c r="D49" s="6"/>
      <c r="E49" s="6"/>
      <c r="F49" s="6">
        <f>Table54[[#This Row],[Total Athletes]]-(LEN(Table54[[#This Row],[Pair]])-LEN(SUBSTITUTE(Table54[[#This Row],[Pair]],"/","")))-1</f>
        <v>-1</v>
      </c>
      <c r="G49" s="6"/>
    </row>
    <row r="50" spans="1:7" x14ac:dyDescent="0.3">
      <c r="A50" s="6"/>
      <c r="B50" s="6" t="s">
        <v>700</v>
      </c>
      <c r="C50" s="6">
        <v>-1</v>
      </c>
      <c r="D50" s="6"/>
      <c r="E50" s="6"/>
      <c r="F50" s="6">
        <f>Table54[[#This Row],[Total Athletes]]-(LEN(Table54[[#This Row],[Pair]])-LEN(SUBSTITUTE(Table54[[#This Row],[Pair]],"/","")))-1</f>
        <v>-1</v>
      </c>
      <c r="G50" s="6"/>
    </row>
    <row r="51" spans="1:7" x14ac:dyDescent="0.3">
      <c r="A51" s="6"/>
      <c r="B51" s="6" t="s">
        <v>700</v>
      </c>
      <c r="C51" s="6"/>
      <c r="D51" s="6">
        <v>-1</v>
      </c>
      <c r="E51" s="6"/>
      <c r="F51" s="6">
        <f>Table54[[#This Row],[Total Athletes]]-(LEN(Table54[[#This Row],[Pair]])-LEN(SUBSTITUTE(Table54[[#This Row],[Pair]],"/","")))-1</f>
        <v>-1</v>
      </c>
      <c r="G51" s="6"/>
    </row>
    <row r="52" spans="1:7" x14ac:dyDescent="0.3">
      <c r="A52" s="6"/>
      <c r="B52" s="6" t="s">
        <v>700</v>
      </c>
      <c r="C52" s="6"/>
      <c r="D52" s="6">
        <v>-1</v>
      </c>
      <c r="E52" s="6"/>
      <c r="F52" s="6">
        <f>Table54[[#This Row],[Total Athletes]]-(LEN(Table54[[#This Row],[Pair]])-LEN(SUBSTITUTE(Table54[[#This Row],[Pair]],"/","")))-1</f>
        <v>-1</v>
      </c>
      <c r="G52" s="6"/>
    </row>
    <row r="53" spans="1:7" x14ac:dyDescent="0.3">
      <c r="A53" s="6"/>
      <c r="B53" s="6" t="s">
        <v>700</v>
      </c>
      <c r="C53" s="6"/>
      <c r="D53" s="6"/>
      <c r="E53" s="6">
        <v>-1</v>
      </c>
      <c r="F53" s="6">
        <f>Table54[[#This Row],[Total Athletes]]-(LEN(Table54[[#This Row],[Pair]])-LEN(SUBSTITUTE(Table54[[#This Row],[Pair]],"/","")))-1</f>
        <v>-1</v>
      </c>
      <c r="G53" s="6"/>
    </row>
    <row r="54" spans="1:7" x14ac:dyDescent="0.3">
      <c r="A54" s="6"/>
      <c r="B54" s="6" t="s">
        <v>338</v>
      </c>
      <c r="C54" s="6"/>
      <c r="D54" s="6"/>
      <c r="E54" s="6">
        <v>-1</v>
      </c>
      <c r="F54" s="6">
        <f>Table54[[#This Row],[Total Athletes]]-(LEN(Table54[[#This Row],[Pair]])-LEN(SUBSTITUTE(Table54[[#This Row],[Pair]],"/","")))-1</f>
        <v>-1</v>
      </c>
      <c r="G54" s="6"/>
    </row>
    <row r="55" spans="1:7" x14ac:dyDescent="0.3">
      <c r="A55" s="6"/>
      <c r="B55" s="6" t="s">
        <v>718</v>
      </c>
      <c r="C55" s="6">
        <v>-1</v>
      </c>
      <c r="D55" s="6"/>
      <c r="E55" s="6"/>
      <c r="F55" s="6">
        <f>Table54[[#This Row],[Total Athletes]]-(LEN(Table54[[#This Row],[Pair]])-LEN(SUBSTITUTE(Table54[[#This Row],[Pair]],"/","")))-1</f>
        <v>-1</v>
      </c>
      <c r="G55" s="6"/>
    </row>
    <row r="56" spans="1:7" x14ac:dyDescent="0.3">
      <c r="A56" s="6"/>
      <c r="B56" s="6" t="s">
        <v>718</v>
      </c>
      <c r="C56" s="6">
        <v>-1</v>
      </c>
      <c r="D56" s="6"/>
      <c r="E56" s="6"/>
      <c r="F56" s="6">
        <f>Table54[[#This Row],[Total Athletes]]-(LEN(Table54[[#This Row],[Pair]])-LEN(SUBSTITUTE(Table54[[#This Row],[Pair]],"/","")))-1</f>
        <v>-1</v>
      </c>
      <c r="G56" s="6"/>
    </row>
    <row r="57" spans="1:7" x14ac:dyDescent="0.3">
      <c r="A57" s="6"/>
      <c r="B57" s="6" t="s">
        <v>726</v>
      </c>
      <c r="C57" s="6">
        <v>-1</v>
      </c>
      <c r="D57" s="6"/>
      <c r="E57" s="6"/>
      <c r="F57" s="6">
        <f>Table54[[#This Row],[Total Athletes]]-(LEN(Table54[[#This Row],[Pair]])-LEN(SUBSTITUTE(Table54[[#This Row],[Pair]],"/","")))-1</f>
        <v>-1</v>
      </c>
      <c r="G57" s="6"/>
    </row>
    <row r="58" spans="1:7" x14ac:dyDescent="0.3">
      <c r="A58" s="6" t="s">
        <v>4193</v>
      </c>
      <c r="B58" s="6" t="s">
        <v>332</v>
      </c>
      <c r="C58" s="6"/>
      <c r="D58" s="6">
        <v>13</v>
      </c>
      <c r="E58" s="6"/>
      <c r="F58" s="6">
        <f>Table54[[#This Row],[Total Athletes]]-(LEN(Table54[[#This Row],[Pair]])-LEN(SUBSTITUTE(Table54[[#This Row],[Pair]],"/","")))-1</f>
        <v>1</v>
      </c>
      <c r="G58" s="6">
        <v>2</v>
      </c>
    </row>
    <row r="59" spans="1:7" x14ac:dyDescent="0.3">
      <c r="A59" s="6"/>
      <c r="B59" s="6" t="s">
        <v>332</v>
      </c>
      <c r="C59" s="6"/>
      <c r="D59" s="6">
        <v>-1</v>
      </c>
      <c r="E59" s="6"/>
      <c r="F59" s="6">
        <f>Table54[[#This Row],[Total Athletes]]-(LEN(Table54[[#This Row],[Pair]])-LEN(SUBSTITUTE(Table54[[#This Row],[Pair]],"/","")))-1</f>
        <v>-1</v>
      </c>
      <c r="G59" s="6"/>
    </row>
    <row r="60" spans="1:7" x14ac:dyDescent="0.3">
      <c r="A60" s="6" t="s">
        <v>1840</v>
      </c>
      <c r="B60" s="6" t="s">
        <v>332</v>
      </c>
      <c r="C60" s="6"/>
      <c r="D60" s="6"/>
      <c r="E60" s="6">
        <v>2</v>
      </c>
      <c r="F60" s="6">
        <f>Table54[[#This Row],[Total Athletes]]-(LEN(Table54[[#This Row],[Pair]])-LEN(SUBSTITUTE(Table54[[#This Row],[Pair]],"/","")))-1</f>
        <v>1</v>
      </c>
      <c r="G60" s="6">
        <v>2</v>
      </c>
    </row>
    <row r="61" spans="1:7" x14ac:dyDescent="0.3">
      <c r="A61" s="6" t="s">
        <v>1864</v>
      </c>
      <c r="B61" s="6" t="s">
        <v>332</v>
      </c>
      <c r="C61" s="6"/>
      <c r="D61" s="6"/>
      <c r="E61" s="6">
        <v>6</v>
      </c>
      <c r="F61" s="6">
        <f>Table54[[#This Row],[Total Athletes]]-(LEN(Table54[[#This Row],[Pair]])-LEN(SUBSTITUTE(Table54[[#This Row],[Pair]],"/","")))-1</f>
        <v>1</v>
      </c>
      <c r="G61" s="6">
        <v>2</v>
      </c>
    </row>
  </sheetData>
  <pageMargins left="0.7" right="0.7" top="0.75" bottom="0.75" header="0.3" footer="0.3"/>
  <tableParts count="1">
    <tablePart r:id="rId1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FF9D4-075B-4340-BE32-03B8A36C44E0}">
  <dimension ref="A1:D45"/>
  <sheetViews>
    <sheetView topLeftCell="A40" workbookViewId="0">
      <selection activeCell="B46" sqref="B46"/>
    </sheetView>
  </sheetViews>
  <sheetFormatPr defaultRowHeight="14.4" x14ac:dyDescent="0.3"/>
  <cols>
    <col min="1" max="1" width="21.77734375" bestFit="1" customWidth="1"/>
    <col min="2" max="2" width="13.6640625" bestFit="1" customWidth="1"/>
    <col min="3" max="3" width="18.44140625" bestFit="1" customWidth="1"/>
    <col min="4" max="4" width="19.77734375" bestFit="1" customWidth="1"/>
  </cols>
  <sheetData>
    <row r="1" spans="1:4" x14ac:dyDescent="0.3">
      <c r="A1" t="s">
        <v>832</v>
      </c>
      <c r="B1" t="s">
        <v>1</v>
      </c>
      <c r="C1" t="s">
        <v>927</v>
      </c>
      <c r="D1" t="s">
        <v>926</v>
      </c>
    </row>
    <row r="2" spans="1:4" x14ac:dyDescent="0.3">
      <c r="A2" s="6" t="s">
        <v>1972</v>
      </c>
      <c r="B2" s="6" t="s">
        <v>332</v>
      </c>
      <c r="C2" s="6">
        <v>5</v>
      </c>
      <c r="D2" s="6"/>
    </row>
    <row r="3" spans="1:4" x14ac:dyDescent="0.3">
      <c r="A3" s="6" t="s">
        <v>2045</v>
      </c>
      <c r="B3" s="6" t="s">
        <v>354</v>
      </c>
      <c r="C3" s="6">
        <v>1</v>
      </c>
      <c r="D3" s="6"/>
    </row>
    <row r="4" spans="1:4" x14ac:dyDescent="0.3">
      <c r="A4" s="6" t="s">
        <v>1969</v>
      </c>
      <c r="B4" s="6" t="s">
        <v>332</v>
      </c>
      <c r="C4" s="6">
        <v>10</v>
      </c>
      <c r="D4" s="6"/>
    </row>
    <row r="5" spans="1:4" x14ac:dyDescent="0.3">
      <c r="A5" s="6" t="s">
        <v>2057</v>
      </c>
      <c r="B5" s="6" t="s">
        <v>332</v>
      </c>
      <c r="C5" s="6">
        <v>2</v>
      </c>
      <c r="D5" s="6"/>
    </row>
    <row r="6" spans="1:4" x14ac:dyDescent="0.3">
      <c r="A6" s="6" t="s">
        <v>1606</v>
      </c>
      <c r="B6" s="6" t="s">
        <v>336</v>
      </c>
      <c r="C6" s="6">
        <v>3</v>
      </c>
      <c r="D6" s="6"/>
    </row>
    <row r="7" spans="1:4" x14ac:dyDescent="0.3">
      <c r="A7" s="6" t="s">
        <v>2475</v>
      </c>
      <c r="B7" s="6" t="s">
        <v>354</v>
      </c>
      <c r="C7" s="6">
        <v>16</v>
      </c>
      <c r="D7" s="6"/>
    </row>
    <row r="8" spans="1:4" x14ac:dyDescent="0.3">
      <c r="A8" s="6" t="s">
        <v>1608</v>
      </c>
      <c r="B8" s="6" t="s">
        <v>336</v>
      </c>
      <c r="C8" s="6">
        <v>7</v>
      </c>
      <c r="D8" s="6"/>
    </row>
    <row r="9" spans="1:4" x14ac:dyDescent="0.3">
      <c r="A9" s="6"/>
      <c r="B9" s="6" t="s">
        <v>336</v>
      </c>
      <c r="C9" s="6">
        <v>-1</v>
      </c>
      <c r="D9" s="6"/>
    </row>
    <row r="10" spans="1:4" x14ac:dyDescent="0.3">
      <c r="A10" s="6" t="s">
        <v>4002</v>
      </c>
      <c r="B10" s="6" t="s">
        <v>330</v>
      </c>
      <c r="C10" s="6">
        <v>20</v>
      </c>
      <c r="D10" s="6"/>
    </row>
    <row r="11" spans="1:4" x14ac:dyDescent="0.3">
      <c r="A11" s="6"/>
      <c r="B11" s="6" t="s">
        <v>414</v>
      </c>
      <c r="C11" s="6">
        <v>-1</v>
      </c>
      <c r="D11" s="6"/>
    </row>
    <row r="12" spans="1:4" x14ac:dyDescent="0.3">
      <c r="A12" s="6"/>
      <c r="B12" s="6" t="s">
        <v>354</v>
      </c>
      <c r="C12" s="6">
        <v>-1</v>
      </c>
      <c r="D12" s="6"/>
    </row>
    <row r="13" spans="1:4" x14ac:dyDescent="0.3">
      <c r="A13" s="6" t="s">
        <v>1857</v>
      </c>
      <c r="B13" s="6" t="s">
        <v>356</v>
      </c>
      <c r="C13" s="6">
        <v>6</v>
      </c>
      <c r="D13" s="6"/>
    </row>
    <row r="14" spans="1:4" x14ac:dyDescent="0.3">
      <c r="A14" s="6"/>
      <c r="B14" s="6" t="s">
        <v>338</v>
      </c>
      <c r="C14" s="6">
        <v>-1</v>
      </c>
      <c r="D14" s="6"/>
    </row>
    <row r="15" spans="1:4" x14ac:dyDescent="0.3">
      <c r="A15" s="6" t="s">
        <v>1433</v>
      </c>
      <c r="B15" s="6" t="s">
        <v>344</v>
      </c>
      <c r="C15" s="6">
        <v>12</v>
      </c>
      <c r="D15" s="6"/>
    </row>
    <row r="16" spans="1:4" x14ac:dyDescent="0.3">
      <c r="A16" s="6"/>
      <c r="B16" s="6" t="s">
        <v>398</v>
      </c>
      <c r="C16" s="6">
        <v>-1</v>
      </c>
      <c r="D16" s="6"/>
    </row>
    <row r="17" spans="1:4" x14ac:dyDescent="0.3">
      <c r="A17" s="6"/>
      <c r="B17" s="6" t="s">
        <v>428</v>
      </c>
      <c r="C17" s="6">
        <v>-1</v>
      </c>
      <c r="D17" s="6"/>
    </row>
    <row r="18" spans="1:4" x14ac:dyDescent="0.3">
      <c r="A18" s="6"/>
      <c r="B18" s="6" t="s">
        <v>356</v>
      </c>
      <c r="C18" s="6">
        <v>-1</v>
      </c>
      <c r="D18" s="6"/>
    </row>
    <row r="19" spans="1:4" x14ac:dyDescent="0.3">
      <c r="A19" s="6" t="s">
        <v>1965</v>
      </c>
      <c r="B19" s="6" t="s">
        <v>346</v>
      </c>
      <c r="C19" s="6">
        <v>13</v>
      </c>
      <c r="D19" s="6"/>
    </row>
    <row r="20" spans="1:4" x14ac:dyDescent="0.3">
      <c r="A20" s="6"/>
      <c r="B20" s="6" t="s">
        <v>330</v>
      </c>
      <c r="C20" s="6">
        <v>-1</v>
      </c>
      <c r="D20" s="6"/>
    </row>
    <row r="21" spans="1:4" x14ac:dyDescent="0.3">
      <c r="A21" s="6"/>
      <c r="B21" s="6" t="s">
        <v>422</v>
      </c>
      <c r="C21" s="6">
        <v>-1</v>
      </c>
      <c r="D21" s="6"/>
    </row>
    <row r="22" spans="1:4" x14ac:dyDescent="0.3">
      <c r="A22" s="6" t="s">
        <v>4330</v>
      </c>
      <c r="B22" s="6" t="s">
        <v>402</v>
      </c>
      <c r="C22" s="6">
        <v>18</v>
      </c>
      <c r="D22" s="6"/>
    </row>
    <row r="23" spans="1:4" x14ac:dyDescent="0.3">
      <c r="A23" s="6"/>
      <c r="B23" s="6" t="s">
        <v>334</v>
      </c>
      <c r="C23" s="6">
        <v>-1</v>
      </c>
      <c r="D23" s="6"/>
    </row>
    <row r="24" spans="1:4" x14ac:dyDescent="0.3">
      <c r="A24" s="6"/>
      <c r="B24" s="6" t="s">
        <v>428</v>
      </c>
      <c r="C24" s="6"/>
      <c r="D24" s="6">
        <v>-1</v>
      </c>
    </row>
    <row r="25" spans="1:4" x14ac:dyDescent="0.3">
      <c r="A25" s="6"/>
      <c r="B25" s="6" t="s">
        <v>428</v>
      </c>
      <c r="C25" s="6"/>
      <c r="D25" s="6">
        <v>-1</v>
      </c>
    </row>
    <row r="26" spans="1:4" x14ac:dyDescent="0.3">
      <c r="A26" s="6" t="s">
        <v>4045</v>
      </c>
      <c r="B26" s="6" t="s">
        <v>428</v>
      </c>
      <c r="C26" s="6"/>
      <c r="D26" s="6">
        <v>1</v>
      </c>
    </row>
    <row r="27" spans="1:4" x14ac:dyDescent="0.3">
      <c r="A27" s="6" t="s">
        <v>2743</v>
      </c>
      <c r="B27" s="6" t="s">
        <v>332</v>
      </c>
      <c r="C27" s="6"/>
      <c r="D27" s="6">
        <v>2</v>
      </c>
    </row>
    <row r="28" spans="1:4" x14ac:dyDescent="0.3">
      <c r="A28" s="6" t="s">
        <v>2012</v>
      </c>
      <c r="B28" s="6" t="s">
        <v>332</v>
      </c>
      <c r="C28" s="6"/>
      <c r="D28" s="6">
        <v>3</v>
      </c>
    </row>
    <row r="29" spans="1:4" x14ac:dyDescent="0.3">
      <c r="A29" s="6"/>
      <c r="B29" s="6" t="s">
        <v>346</v>
      </c>
      <c r="C29" s="6"/>
      <c r="D29" s="6">
        <v>-1</v>
      </c>
    </row>
    <row r="30" spans="1:4" x14ac:dyDescent="0.3">
      <c r="A30" s="6" t="s">
        <v>2017</v>
      </c>
      <c r="B30" s="6" t="s">
        <v>332</v>
      </c>
      <c r="C30" s="6"/>
      <c r="D30" s="6">
        <v>21</v>
      </c>
    </row>
    <row r="31" spans="1:4" x14ac:dyDescent="0.3">
      <c r="A31" s="6" t="s">
        <v>2803</v>
      </c>
      <c r="B31" s="6" t="s">
        <v>408</v>
      </c>
      <c r="C31" s="6"/>
      <c r="D31" s="6">
        <v>5</v>
      </c>
    </row>
    <row r="32" spans="1:4" x14ac:dyDescent="0.3">
      <c r="A32" s="6" t="s">
        <v>3820</v>
      </c>
      <c r="B32" s="6" t="s">
        <v>340</v>
      </c>
      <c r="C32" s="6"/>
      <c r="D32" s="6">
        <v>8</v>
      </c>
    </row>
    <row r="33" spans="1:4" x14ac:dyDescent="0.3">
      <c r="A33" s="6"/>
      <c r="B33" s="6" t="s">
        <v>344</v>
      </c>
      <c r="C33" s="6"/>
      <c r="D33" s="6">
        <v>-1</v>
      </c>
    </row>
    <row r="34" spans="1:4" x14ac:dyDescent="0.3">
      <c r="A34" s="6" t="s">
        <v>3067</v>
      </c>
      <c r="B34" s="6" t="s">
        <v>336</v>
      </c>
      <c r="C34" s="6"/>
      <c r="D34" s="6">
        <v>6</v>
      </c>
    </row>
    <row r="35" spans="1:4" x14ac:dyDescent="0.3">
      <c r="A35" s="6" t="s">
        <v>3118</v>
      </c>
      <c r="B35" s="6" t="s">
        <v>336</v>
      </c>
      <c r="C35" s="6"/>
      <c r="D35" s="6">
        <v>13</v>
      </c>
    </row>
    <row r="36" spans="1:4" x14ac:dyDescent="0.3">
      <c r="A36" s="6"/>
      <c r="B36" s="6" t="s">
        <v>384</v>
      </c>
      <c r="C36" s="6"/>
      <c r="D36" s="6">
        <v>-1</v>
      </c>
    </row>
    <row r="37" spans="1:4" x14ac:dyDescent="0.3">
      <c r="A37" s="6" t="s">
        <v>2524</v>
      </c>
      <c r="B37" s="6" t="s">
        <v>384</v>
      </c>
      <c r="C37" s="6"/>
      <c r="D37" s="6">
        <v>11</v>
      </c>
    </row>
    <row r="38" spans="1:4" x14ac:dyDescent="0.3">
      <c r="A38" s="6" t="s">
        <v>2533</v>
      </c>
      <c r="B38" s="6" t="s">
        <v>384</v>
      </c>
      <c r="C38" s="6"/>
      <c r="D38" s="6">
        <v>18</v>
      </c>
    </row>
    <row r="39" spans="1:4" x14ac:dyDescent="0.3">
      <c r="A39" s="6"/>
      <c r="B39" s="6" t="s">
        <v>344</v>
      </c>
      <c r="C39" s="6"/>
      <c r="D39" s="6">
        <v>-1</v>
      </c>
    </row>
    <row r="40" spans="1:4" x14ac:dyDescent="0.3">
      <c r="A40" s="6" t="s">
        <v>4497</v>
      </c>
      <c r="B40" s="6" t="s">
        <v>336</v>
      </c>
      <c r="C40" s="6"/>
      <c r="D40" s="6">
        <v>15</v>
      </c>
    </row>
    <row r="41" spans="1:4" x14ac:dyDescent="0.3">
      <c r="A41" s="6" t="s">
        <v>2681</v>
      </c>
      <c r="B41" s="6" t="s">
        <v>344</v>
      </c>
      <c r="C41" s="6"/>
      <c r="D41" s="6">
        <v>9</v>
      </c>
    </row>
    <row r="42" spans="1:4" x14ac:dyDescent="0.3">
      <c r="A42" s="6"/>
      <c r="B42" s="6" t="s">
        <v>354</v>
      </c>
      <c r="C42" s="6"/>
      <c r="D42" s="6">
        <v>-1</v>
      </c>
    </row>
    <row r="43" spans="1:4" x14ac:dyDescent="0.3">
      <c r="A43" s="6"/>
      <c r="B43" s="6" t="s">
        <v>422</v>
      </c>
      <c r="C43" s="6"/>
      <c r="D43" s="6">
        <v>-1</v>
      </c>
    </row>
    <row r="44" spans="1:4" x14ac:dyDescent="0.3">
      <c r="A44" s="6" t="s">
        <v>4715</v>
      </c>
      <c r="B44" s="6" t="s">
        <v>362</v>
      </c>
      <c r="C44" s="6"/>
      <c r="D44" s="6">
        <v>22</v>
      </c>
    </row>
    <row r="45" spans="1:4" x14ac:dyDescent="0.3">
      <c r="A45" s="6" t="s">
        <v>3830</v>
      </c>
      <c r="B45" s="6" t="s">
        <v>340</v>
      </c>
      <c r="C45" s="6"/>
      <c r="D45" s="6">
        <v>10</v>
      </c>
    </row>
  </sheetData>
  <pageMargins left="0.7" right="0.7" top="0.75" bottom="0.75" header="0.3" footer="0.3"/>
  <tableParts count="1">
    <tablePart r:id="rId1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9B341-21AE-4593-A119-9BA98CF32DD1}">
  <dimension ref="A1:D45"/>
  <sheetViews>
    <sheetView topLeftCell="A37" workbookViewId="0">
      <selection activeCell="B46" sqref="B46"/>
    </sheetView>
  </sheetViews>
  <sheetFormatPr defaultRowHeight="14.4" x14ac:dyDescent="0.3"/>
  <cols>
    <col min="1" max="1" width="17.77734375" bestFit="1" customWidth="1"/>
    <col min="2" max="2" width="12.21875" bestFit="1" customWidth="1"/>
    <col min="3" max="3" width="18.44140625" bestFit="1" customWidth="1"/>
    <col min="4" max="4" width="19.77734375" bestFit="1" customWidth="1"/>
  </cols>
  <sheetData>
    <row r="1" spans="1:4" x14ac:dyDescent="0.3">
      <c r="A1" t="s">
        <v>832</v>
      </c>
      <c r="B1" t="s">
        <v>1</v>
      </c>
      <c r="C1" t="s">
        <v>927</v>
      </c>
      <c r="D1" t="s">
        <v>926</v>
      </c>
    </row>
    <row r="2" spans="1:4" x14ac:dyDescent="0.3">
      <c r="A2" s="6"/>
      <c r="B2" s="6" t="s">
        <v>344</v>
      </c>
      <c r="C2" s="6"/>
      <c r="D2" s="6">
        <v>-1</v>
      </c>
    </row>
    <row r="3" spans="1:4" x14ac:dyDescent="0.3">
      <c r="A3" s="6" t="s">
        <v>1284</v>
      </c>
      <c r="B3" s="6" t="s">
        <v>428</v>
      </c>
      <c r="C3" s="6">
        <v>2</v>
      </c>
      <c r="D3" s="6"/>
    </row>
    <row r="4" spans="1:4" x14ac:dyDescent="0.3">
      <c r="A4" s="6"/>
      <c r="B4" s="6" t="s">
        <v>354</v>
      </c>
      <c r="C4" s="6">
        <v>-1</v>
      </c>
      <c r="D4" s="6"/>
    </row>
    <row r="5" spans="1:4" x14ac:dyDescent="0.3">
      <c r="A5" s="6" t="s">
        <v>2778</v>
      </c>
      <c r="B5" s="6" t="s">
        <v>428</v>
      </c>
      <c r="C5" s="6">
        <v>10</v>
      </c>
      <c r="D5" s="6"/>
    </row>
    <row r="6" spans="1:4" x14ac:dyDescent="0.3">
      <c r="A6" s="6" t="s">
        <v>1809</v>
      </c>
      <c r="B6" s="6" t="s">
        <v>402</v>
      </c>
      <c r="C6" s="6">
        <v>3</v>
      </c>
      <c r="D6" s="6"/>
    </row>
    <row r="7" spans="1:4" x14ac:dyDescent="0.3">
      <c r="A7" s="6"/>
      <c r="B7" s="6" t="s">
        <v>428</v>
      </c>
      <c r="C7" s="6">
        <v>-1</v>
      </c>
      <c r="D7" s="6"/>
    </row>
    <row r="8" spans="1:4" x14ac:dyDescent="0.3">
      <c r="A8" s="6" t="s">
        <v>3117</v>
      </c>
      <c r="B8" s="6" t="s">
        <v>336</v>
      </c>
      <c r="C8" s="6">
        <v>12</v>
      </c>
      <c r="D8" s="6"/>
    </row>
    <row r="9" spans="1:4" x14ac:dyDescent="0.3">
      <c r="A9" s="6" t="s">
        <v>2084</v>
      </c>
      <c r="B9" s="6" t="s">
        <v>332</v>
      </c>
      <c r="C9" s="6">
        <v>6</v>
      </c>
      <c r="D9" s="6"/>
    </row>
    <row r="10" spans="1:4" x14ac:dyDescent="0.3">
      <c r="A10" s="6" t="s">
        <v>2463</v>
      </c>
      <c r="B10" s="6" t="s">
        <v>354</v>
      </c>
      <c r="C10" s="6">
        <v>11</v>
      </c>
      <c r="D10" s="6"/>
    </row>
    <row r="11" spans="1:4" x14ac:dyDescent="0.3">
      <c r="A11" s="6" t="s">
        <v>3115</v>
      </c>
      <c r="B11" s="6" t="s">
        <v>336</v>
      </c>
      <c r="C11" s="6">
        <v>4</v>
      </c>
      <c r="D11" s="6"/>
    </row>
    <row r="12" spans="1:4" x14ac:dyDescent="0.3">
      <c r="A12" s="6" t="s">
        <v>2025</v>
      </c>
      <c r="B12" s="6" t="s">
        <v>332</v>
      </c>
      <c r="C12" s="6">
        <v>13</v>
      </c>
      <c r="D12" s="6"/>
    </row>
    <row r="13" spans="1:4" x14ac:dyDescent="0.3">
      <c r="A13" s="6"/>
      <c r="B13" s="6" t="s">
        <v>336</v>
      </c>
      <c r="C13" s="6">
        <v>-1</v>
      </c>
      <c r="D13" s="6"/>
    </row>
    <row r="14" spans="1:4" x14ac:dyDescent="0.3">
      <c r="A14" s="6" t="s">
        <v>2069</v>
      </c>
      <c r="B14" s="6" t="s">
        <v>332</v>
      </c>
      <c r="C14" s="6">
        <v>19</v>
      </c>
      <c r="D14" s="6"/>
    </row>
    <row r="15" spans="1:4" x14ac:dyDescent="0.3">
      <c r="A15" s="6"/>
      <c r="B15" s="6" t="s">
        <v>330</v>
      </c>
      <c r="C15" s="6">
        <v>-1</v>
      </c>
      <c r="D15" s="6"/>
    </row>
    <row r="16" spans="1:4" x14ac:dyDescent="0.3">
      <c r="A16" s="6" t="s">
        <v>1465</v>
      </c>
      <c r="B16" s="6" t="s">
        <v>372</v>
      </c>
      <c r="C16" s="6">
        <v>5</v>
      </c>
      <c r="D16" s="6"/>
    </row>
    <row r="17" spans="1:4" x14ac:dyDescent="0.3">
      <c r="A17" s="6"/>
      <c r="B17" s="6" t="s">
        <v>334</v>
      </c>
      <c r="C17" s="6">
        <v>-1</v>
      </c>
      <c r="D17" s="6"/>
    </row>
    <row r="18" spans="1:4" x14ac:dyDescent="0.3">
      <c r="A18" s="6" t="s">
        <v>1381</v>
      </c>
      <c r="B18" s="6" t="s">
        <v>344</v>
      </c>
      <c r="C18" s="6">
        <v>21</v>
      </c>
      <c r="D18" s="6"/>
    </row>
    <row r="19" spans="1:4" x14ac:dyDescent="0.3">
      <c r="A19" s="6"/>
      <c r="B19" s="6" t="s">
        <v>402</v>
      </c>
      <c r="C19" s="6">
        <v>-1</v>
      </c>
      <c r="D19" s="6"/>
    </row>
    <row r="20" spans="1:4" x14ac:dyDescent="0.3">
      <c r="A20" s="6"/>
      <c r="B20" s="6" t="s">
        <v>384</v>
      </c>
      <c r="C20" s="6">
        <v>-1</v>
      </c>
      <c r="D20" s="6"/>
    </row>
    <row r="21" spans="1:4" x14ac:dyDescent="0.3">
      <c r="A21" s="6" t="s">
        <v>1423</v>
      </c>
      <c r="B21" s="6" t="s">
        <v>344</v>
      </c>
      <c r="C21" s="6">
        <v>16</v>
      </c>
      <c r="D21" s="6"/>
    </row>
    <row r="22" spans="1:4" x14ac:dyDescent="0.3">
      <c r="A22" s="6"/>
      <c r="B22" s="6" t="s">
        <v>378</v>
      </c>
      <c r="C22" s="6">
        <v>-1</v>
      </c>
      <c r="D22" s="6"/>
    </row>
    <row r="23" spans="1:4" x14ac:dyDescent="0.3">
      <c r="A23" s="6"/>
      <c r="B23" s="6" t="s">
        <v>330</v>
      </c>
      <c r="C23" s="6">
        <v>-1</v>
      </c>
      <c r="D23" s="6"/>
    </row>
    <row r="24" spans="1:4" x14ac:dyDescent="0.3">
      <c r="A24" s="6"/>
      <c r="B24" s="6" t="s">
        <v>328</v>
      </c>
      <c r="C24" s="6">
        <v>-1</v>
      </c>
      <c r="D24" s="6"/>
    </row>
    <row r="25" spans="1:4" x14ac:dyDescent="0.3">
      <c r="A25" s="6"/>
      <c r="B25" s="6" t="s">
        <v>428</v>
      </c>
      <c r="C25" s="6"/>
      <c r="D25" s="6">
        <v>-1</v>
      </c>
    </row>
    <row r="26" spans="1:4" x14ac:dyDescent="0.3">
      <c r="A26" s="6"/>
      <c r="B26" s="6" t="s">
        <v>428</v>
      </c>
      <c r="C26" s="6"/>
      <c r="D26" s="6">
        <v>-1</v>
      </c>
    </row>
    <row r="27" spans="1:4" x14ac:dyDescent="0.3">
      <c r="A27" s="6"/>
      <c r="B27" s="6" t="s">
        <v>336</v>
      </c>
      <c r="C27" s="6"/>
      <c r="D27" s="6">
        <v>-1</v>
      </c>
    </row>
    <row r="28" spans="1:4" x14ac:dyDescent="0.3">
      <c r="A28" s="6" t="s">
        <v>3300</v>
      </c>
      <c r="B28" s="6" t="s">
        <v>428</v>
      </c>
      <c r="C28" s="6"/>
      <c r="D28" s="6">
        <v>7</v>
      </c>
    </row>
    <row r="29" spans="1:4" x14ac:dyDescent="0.3">
      <c r="A29" s="6" t="s">
        <v>2368</v>
      </c>
      <c r="B29" s="6" t="s">
        <v>354</v>
      </c>
      <c r="C29" s="6"/>
      <c r="D29" s="6">
        <v>8</v>
      </c>
    </row>
    <row r="30" spans="1:4" x14ac:dyDescent="0.3">
      <c r="A30" s="6"/>
      <c r="B30" s="6" t="s">
        <v>328</v>
      </c>
      <c r="C30" s="6"/>
      <c r="D30" s="6">
        <v>-1</v>
      </c>
    </row>
    <row r="31" spans="1:4" x14ac:dyDescent="0.3">
      <c r="A31" s="6" t="s">
        <v>2745</v>
      </c>
      <c r="B31" s="6" t="s">
        <v>332</v>
      </c>
      <c r="C31" s="6"/>
      <c r="D31" s="6">
        <v>6</v>
      </c>
    </row>
    <row r="32" spans="1:4" x14ac:dyDescent="0.3">
      <c r="A32" s="6" t="s">
        <v>1854</v>
      </c>
      <c r="B32" s="6" t="s">
        <v>332</v>
      </c>
      <c r="C32" s="6"/>
      <c r="D32" s="6">
        <v>5</v>
      </c>
    </row>
    <row r="33" spans="1:4" x14ac:dyDescent="0.3">
      <c r="A33" s="6"/>
      <c r="B33" s="6" t="s">
        <v>328</v>
      </c>
      <c r="C33" s="6"/>
      <c r="D33" s="6">
        <v>-1</v>
      </c>
    </row>
    <row r="34" spans="1:4" x14ac:dyDescent="0.3">
      <c r="A34" s="6"/>
      <c r="B34" s="6" t="s">
        <v>328</v>
      </c>
      <c r="C34" s="6"/>
      <c r="D34" s="6">
        <v>-1</v>
      </c>
    </row>
    <row r="35" spans="1:4" x14ac:dyDescent="0.3">
      <c r="A35" s="6"/>
      <c r="B35" s="6" t="s">
        <v>412</v>
      </c>
      <c r="C35" s="6"/>
      <c r="D35" s="6">
        <v>-1</v>
      </c>
    </row>
    <row r="36" spans="1:4" x14ac:dyDescent="0.3">
      <c r="A36" s="6" t="s">
        <v>3098</v>
      </c>
      <c r="B36" s="6" t="s">
        <v>336</v>
      </c>
      <c r="C36" s="6"/>
      <c r="D36" s="6">
        <v>16</v>
      </c>
    </row>
    <row r="37" spans="1:4" x14ac:dyDescent="0.3">
      <c r="A37" s="6"/>
      <c r="B37" s="6" t="s">
        <v>330</v>
      </c>
      <c r="C37" s="6"/>
      <c r="D37" s="6">
        <v>-1</v>
      </c>
    </row>
    <row r="38" spans="1:4" x14ac:dyDescent="0.3">
      <c r="A38" s="6"/>
      <c r="B38" s="6" t="s">
        <v>354</v>
      </c>
      <c r="C38" s="6"/>
      <c r="D38" s="6">
        <v>-1</v>
      </c>
    </row>
    <row r="39" spans="1:4" x14ac:dyDescent="0.3">
      <c r="A39" s="6"/>
      <c r="B39" s="6" t="s">
        <v>412</v>
      </c>
      <c r="C39" s="6"/>
      <c r="D39" s="6">
        <v>-1</v>
      </c>
    </row>
    <row r="40" spans="1:4" x14ac:dyDescent="0.3">
      <c r="A40" s="6" t="s">
        <v>3078</v>
      </c>
      <c r="B40" s="6" t="s">
        <v>336</v>
      </c>
      <c r="C40" s="6"/>
      <c r="D40" s="6">
        <v>19</v>
      </c>
    </row>
    <row r="41" spans="1:4" x14ac:dyDescent="0.3">
      <c r="A41" s="6"/>
      <c r="B41" s="6" t="s">
        <v>478</v>
      </c>
      <c r="C41" s="6"/>
      <c r="D41" s="6">
        <v>-1</v>
      </c>
    </row>
    <row r="42" spans="1:4" x14ac:dyDescent="0.3">
      <c r="A42" s="6" t="s">
        <v>4702</v>
      </c>
      <c r="B42" s="6" t="s">
        <v>332</v>
      </c>
      <c r="C42" s="6"/>
      <c r="D42" s="6">
        <v>22</v>
      </c>
    </row>
    <row r="43" spans="1:4" x14ac:dyDescent="0.3">
      <c r="A43" s="6"/>
      <c r="B43" s="6" t="s">
        <v>330</v>
      </c>
      <c r="C43" s="6"/>
      <c r="D43" s="6">
        <v>-1</v>
      </c>
    </row>
    <row r="44" spans="1:4" x14ac:dyDescent="0.3">
      <c r="A44" s="6" t="s">
        <v>3123</v>
      </c>
      <c r="B44" s="6" t="s">
        <v>422</v>
      </c>
      <c r="C44" s="6"/>
      <c r="D44" s="6">
        <v>18</v>
      </c>
    </row>
    <row r="45" spans="1:4" x14ac:dyDescent="0.3">
      <c r="A45" s="6"/>
      <c r="B45" s="6" t="s">
        <v>354</v>
      </c>
      <c r="C45" s="6"/>
      <c r="D45" s="6">
        <v>-1</v>
      </c>
    </row>
  </sheetData>
  <pageMargins left="0.7" right="0.7" top="0.75" bottom="0.75" header="0.3" footer="0.3"/>
  <tableParts count="1">
    <tablePart r:id="rId1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E987E7-B153-4307-A266-19AD60635D3D}">
  <dimension ref="A1:D35"/>
  <sheetViews>
    <sheetView topLeftCell="A28" workbookViewId="0">
      <selection activeCell="B36" sqref="B36"/>
    </sheetView>
  </sheetViews>
  <sheetFormatPr defaultRowHeight="14.4" x14ac:dyDescent="0.3"/>
  <cols>
    <col min="1" max="1" width="21.33203125" bestFit="1" customWidth="1"/>
    <col min="2" max="2" width="13.6640625" bestFit="1" customWidth="1"/>
    <col min="3" max="3" width="29.6640625" bestFit="1" customWidth="1"/>
    <col min="4" max="4" width="20" bestFit="1" customWidth="1"/>
  </cols>
  <sheetData>
    <row r="1" spans="1:4" x14ac:dyDescent="0.3">
      <c r="A1" t="s">
        <v>832</v>
      </c>
      <c r="B1" t="s">
        <v>1</v>
      </c>
      <c r="C1" t="s">
        <v>1206</v>
      </c>
      <c r="D1" t="s">
        <v>1006</v>
      </c>
    </row>
    <row r="2" spans="1:4" x14ac:dyDescent="0.3">
      <c r="A2" s="6"/>
      <c r="B2" s="6" t="s">
        <v>358</v>
      </c>
      <c r="C2" s="6">
        <v>-1</v>
      </c>
      <c r="D2" s="6"/>
    </row>
    <row r="3" spans="1:4" x14ac:dyDescent="0.3">
      <c r="A3" s="6"/>
      <c r="B3" s="6" t="s">
        <v>332</v>
      </c>
      <c r="C3" s="6">
        <v>-1</v>
      </c>
      <c r="D3" s="6"/>
    </row>
    <row r="4" spans="1:4" x14ac:dyDescent="0.3">
      <c r="A4" s="6"/>
      <c r="B4" s="6" t="s">
        <v>428</v>
      </c>
      <c r="C4" s="6">
        <v>-1</v>
      </c>
      <c r="D4" s="6"/>
    </row>
    <row r="5" spans="1:4" x14ac:dyDescent="0.3">
      <c r="A5" s="6"/>
      <c r="B5" s="6" t="s">
        <v>356</v>
      </c>
      <c r="C5" s="6"/>
      <c r="D5" s="6">
        <v>-1</v>
      </c>
    </row>
    <row r="6" spans="1:4" x14ac:dyDescent="0.3">
      <c r="A6" s="6"/>
      <c r="B6" s="6" t="s">
        <v>328</v>
      </c>
      <c r="C6" s="6"/>
      <c r="D6" s="6">
        <v>-1</v>
      </c>
    </row>
    <row r="7" spans="1:4" x14ac:dyDescent="0.3">
      <c r="A7" s="6"/>
      <c r="B7" s="6" t="s">
        <v>344</v>
      </c>
      <c r="C7" s="6"/>
      <c r="D7" s="6">
        <v>-1</v>
      </c>
    </row>
    <row r="8" spans="1:4" x14ac:dyDescent="0.3">
      <c r="A8" s="6" t="s">
        <v>1650</v>
      </c>
      <c r="B8" s="6" t="s">
        <v>332</v>
      </c>
      <c r="C8" s="6">
        <v>18</v>
      </c>
      <c r="D8" s="6"/>
    </row>
    <row r="9" spans="1:4" x14ac:dyDescent="0.3">
      <c r="A9" s="6"/>
      <c r="B9" s="6" t="s">
        <v>332</v>
      </c>
      <c r="C9" s="6"/>
      <c r="D9" s="6">
        <v>-1</v>
      </c>
    </row>
    <row r="10" spans="1:4" x14ac:dyDescent="0.3">
      <c r="A10" s="6" t="s">
        <v>2920</v>
      </c>
      <c r="B10" s="6" t="s">
        <v>402</v>
      </c>
      <c r="C10" s="6">
        <v>1</v>
      </c>
      <c r="D10" s="6"/>
    </row>
    <row r="11" spans="1:4" x14ac:dyDescent="0.3">
      <c r="A11" s="6"/>
      <c r="B11" s="6" t="s">
        <v>428</v>
      </c>
      <c r="C11" s="6">
        <v>-1</v>
      </c>
      <c r="D11" s="6"/>
    </row>
    <row r="12" spans="1:4" x14ac:dyDescent="0.3">
      <c r="A12" s="6" t="s">
        <v>1365</v>
      </c>
      <c r="B12" s="6" t="s">
        <v>432</v>
      </c>
      <c r="C12" s="6"/>
      <c r="D12" s="6">
        <v>9</v>
      </c>
    </row>
    <row r="13" spans="1:4" x14ac:dyDescent="0.3">
      <c r="A13" s="6"/>
      <c r="B13" s="6" t="s">
        <v>354</v>
      </c>
      <c r="C13" s="6">
        <v>-1</v>
      </c>
      <c r="D13" s="6"/>
    </row>
    <row r="14" spans="1:4" x14ac:dyDescent="0.3">
      <c r="A14" s="6"/>
      <c r="B14" s="6" t="s">
        <v>474</v>
      </c>
      <c r="C14" s="6"/>
      <c r="D14" s="6">
        <v>-1</v>
      </c>
    </row>
    <row r="15" spans="1:4" x14ac:dyDescent="0.3">
      <c r="A15" s="6"/>
      <c r="B15" s="6" t="s">
        <v>422</v>
      </c>
      <c r="C15" s="6">
        <v>-1</v>
      </c>
      <c r="D15" s="6"/>
    </row>
    <row r="16" spans="1:4" x14ac:dyDescent="0.3">
      <c r="A16" s="6"/>
      <c r="B16" s="6" t="s">
        <v>422</v>
      </c>
      <c r="C16" s="6"/>
      <c r="D16" s="6">
        <v>-1</v>
      </c>
    </row>
    <row r="17" spans="1:4" x14ac:dyDescent="0.3">
      <c r="A17" s="6"/>
      <c r="B17" s="6" t="s">
        <v>700</v>
      </c>
      <c r="C17" s="6">
        <v>-1</v>
      </c>
      <c r="D17" s="6"/>
    </row>
    <row r="18" spans="1:4" x14ac:dyDescent="0.3">
      <c r="A18" s="6"/>
      <c r="B18" s="6" t="s">
        <v>344</v>
      </c>
      <c r="C18" s="6">
        <v>-1</v>
      </c>
      <c r="D18" s="6"/>
    </row>
    <row r="19" spans="1:4" x14ac:dyDescent="0.3">
      <c r="A19" s="6"/>
      <c r="B19" s="6" t="s">
        <v>442</v>
      </c>
      <c r="C19" s="6">
        <v>-1</v>
      </c>
      <c r="D19" s="6"/>
    </row>
    <row r="20" spans="1:4" x14ac:dyDescent="0.3">
      <c r="A20" s="6"/>
      <c r="B20" s="6" t="s">
        <v>330</v>
      </c>
      <c r="C20" s="6">
        <v>-1</v>
      </c>
      <c r="D20" s="6"/>
    </row>
    <row r="21" spans="1:4" x14ac:dyDescent="0.3">
      <c r="A21" s="6"/>
      <c r="B21" s="6" t="s">
        <v>520</v>
      </c>
      <c r="C21" s="6">
        <v>-1</v>
      </c>
      <c r="D21" s="6"/>
    </row>
    <row r="22" spans="1:4" x14ac:dyDescent="0.3">
      <c r="A22" s="6"/>
      <c r="B22" s="6" t="s">
        <v>344</v>
      </c>
      <c r="C22" s="6">
        <v>-1</v>
      </c>
      <c r="D22" s="6"/>
    </row>
    <row r="23" spans="1:4" x14ac:dyDescent="0.3">
      <c r="A23" s="6"/>
      <c r="B23" s="6" t="s">
        <v>334</v>
      </c>
      <c r="C23" s="6">
        <v>-1</v>
      </c>
      <c r="D23" s="6"/>
    </row>
    <row r="24" spans="1:4" x14ac:dyDescent="0.3">
      <c r="A24" s="6" t="s">
        <v>4631</v>
      </c>
      <c r="B24" s="6" t="s">
        <v>402</v>
      </c>
      <c r="C24" s="6">
        <v>5</v>
      </c>
      <c r="D24" s="6"/>
    </row>
    <row r="25" spans="1:4" x14ac:dyDescent="0.3">
      <c r="A25" s="6"/>
      <c r="B25" s="6" t="s">
        <v>444</v>
      </c>
      <c r="C25" s="6">
        <v>-1</v>
      </c>
      <c r="D25" s="6"/>
    </row>
    <row r="26" spans="1:4" x14ac:dyDescent="0.3">
      <c r="A26" s="6"/>
      <c r="B26" s="6" t="s">
        <v>334</v>
      </c>
      <c r="C26" s="6">
        <v>-1</v>
      </c>
      <c r="D26" s="6"/>
    </row>
    <row r="27" spans="1:4" x14ac:dyDescent="0.3">
      <c r="A27" s="6"/>
      <c r="B27" s="6" t="s">
        <v>694</v>
      </c>
      <c r="C27" s="6">
        <v>-1</v>
      </c>
      <c r="D27" s="6"/>
    </row>
    <row r="28" spans="1:4" x14ac:dyDescent="0.3">
      <c r="A28" s="6"/>
      <c r="B28" s="6" t="s">
        <v>328</v>
      </c>
      <c r="C28" s="6">
        <v>-1</v>
      </c>
      <c r="D28" s="6"/>
    </row>
    <row r="29" spans="1:4" x14ac:dyDescent="0.3">
      <c r="A29" s="6"/>
      <c r="B29" s="6" t="s">
        <v>328</v>
      </c>
      <c r="C29" s="6"/>
      <c r="D29" s="6">
        <v>-1</v>
      </c>
    </row>
    <row r="30" spans="1:4" x14ac:dyDescent="0.3">
      <c r="A30" s="6"/>
      <c r="B30" s="6" t="s">
        <v>432</v>
      </c>
      <c r="C30" s="6"/>
      <c r="D30" s="6">
        <v>-1</v>
      </c>
    </row>
    <row r="31" spans="1:4" x14ac:dyDescent="0.3">
      <c r="A31" s="6"/>
      <c r="B31" s="6" t="s">
        <v>604</v>
      </c>
      <c r="C31" s="6"/>
      <c r="D31" s="6">
        <v>-1</v>
      </c>
    </row>
    <row r="32" spans="1:4" x14ac:dyDescent="0.3">
      <c r="A32" s="6"/>
      <c r="B32" s="6" t="s">
        <v>332</v>
      </c>
      <c r="C32" s="6"/>
      <c r="D32" s="6">
        <v>-1</v>
      </c>
    </row>
    <row r="33" spans="1:4" x14ac:dyDescent="0.3">
      <c r="A33" s="6"/>
      <c r="B33" s="6" t="s">
        <v>360</v>
      </c>
      <c r="C33" s="6"/>
      <c r="D33" s="6">
        <v>-1</v>
      </c>
    </row>
    <row r="34" spans="1:4" x14ac:dyDescent="0.3">
      <c r="A34" s="6"/>
      <c r="B34" s="6" t="s">
        <v>726</v>
      </c>
      <c r="C34" s="6"/>
      <c r="D34" s="6">
        <v>-1</v>
      </c>
    </row>
    <row r="35" spans="1:4" x14ac:dyDescent="0.3">
      <c r="A35" s="6"/>
      <c r="B35" s="6" t="s">
        <v>700</v>
      </c>
      <c r="C35" s="6"/>
      <c r="D35" s="6">
        <v>-1</v>
      </c>
    </row>
  </sheetData>
  <pageMargins left="0.7" right="0.7" top="0.75" bottom="0.75" header="0.3" footer="0.3"/>
  <tableParts count="1">
    <tablePart r:id="rId1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DA3A8-9EDA-486D-888C-8CEEFD68CE51}">
  <dimension ref="A1:D35"/>
  <sheetViews>
    <sheetView topLeftCell="A28" workbookViewId="0">
      <selection activeCell="B36" sqref="B36"/>
    </sheetView>
  </sheetViews>
  <sheetFormatPr defaultRowHeight="14.4" x14ac:dyDescent="0.3"/>
  <cols>
    <col min="1" max="1" width="27.21875" bestFit="1" customWidth="1"/>
    <col min="2" max="2" width="14" bestFit="1" customWidth="1"/>
    <col min="3" max="3" width="29.6640625" bestFit="1" customWidth="1"/>
    <col min="4" max="4" width="20" bestFit="1" customWidth="1"/>
  </cols>
  <sheetData>
    <row r="1" spans="1:4" x14ac:dyDescent="0.3">
      <c r="A1" t="s">
        <v>832</v>
      </c>
      <c r="B1" t="s">
        <v>1</v>
      </c>
      <c r="C1" t="s">
        <v>1206</v>
      </c>
      <c r="D1" t="s">
        <v>1006</v>
      </c>
    </row>
    <row r="2" spans="1:4" x14ac:dyDescent="0.3">
      <c r="A2" s="6"/>
      <c r="B2" s="6" t="s">
        <v>694</v>
      </c>
      <c r="C2" s="6">
        <v>-1</v>
      </c>
      <c r="D2" s="6"/>
    </row>
    <row r="3" spans="1:4" x14ac:dyDescent="0.3">
      <c r="A3" s="6"/>
      <c r="B3" s="6" t="s">
        <v>358</v>
      </c>
      <c r="C3" s="6">
        <v>-1</v>
      </c>
      <c r="D3" s="6"/>
    </row>
    <row r="4" spans="1:4" x14ac:dyDescent="0.3">
      <c r="A4" s="6"/>
      <c r="B4" s="6" t="s">
        <v>428</v>
      </c>
      <c r="C4" s="6">
        <v>-1</v>
      </c>
      <c r="D4" s="6"/>
    </row>
    <row r="5" spans="1:4" x14ac:dyDescent="0.3">
      <c r="A5" s="6" t="s">
        <v>4343</v>
      </c>
      <c r="B5" s="6" t="s">
        <v>432</v>
      </c>
      <c r="C5" s="6"/>
      <c r="D5" s="6">
        <v>6</v>
      </c>
    </row>
    <row r="6" spans="1:4" x14ac:dyDescent="0.3">
      <c r="A6" s="6"/>
      <c r="B6" s="6" t="s">
        <v>332</v>
      </c>
      <c r="C6" s="6"/>
      <c r="D6" s="6">
        <v>-1</v>
      </c>
    </row>
    <row r="7" spans="1:4" x14ac:dyDescent="0.3">
      <c r="A7" s="6" t="s">
        <v>2491</v>
      </c>
      <c r="B7" s="6" t="s">
        <v>394</v>
      </c>
      <c r="C7" s="6"/>
      <c r="D7" s="6">
        <v>1</v>
      </c>
    </row>
    <row r="8" spans="1:4" x14ac:dyDescent="0.3">
      <c r="A8" s="6" t="s">
        <v>2001</v>
      </c>
      <c r="B8" s="6" t="s">
        <v>332</v>
      </c>
      <c r="C8" s="6">
        <v>11</v>
      </c>
      <c r="D8" s="6"/>
    </row>
    <row r="9" spans="1:4" x14ac:dyDescent="0.3">
      <c r="A9" s="6"/>
      <c r="B9" s="6" t="s">
        <v>332</v>
      </c>
      <c r="C9" s="6"/>
      <c r="D9" s="6">
        <v>-1</v>
      </c>
    </row>
    <row r="10" spans="1:4" x14ac:dyDescent="0.3">
      <c r="A10" s="6"/>
      <c r="B10" s="6" t="s">
        <v>344</v>
      </c>
      <c r="C10" s="6">
        <v>-1</v>
      </c>
      <c r="D10" s="6"/>
    </row>
    <row r="11" spans="1:4" x14ac:dyDescent="0.3">
      <c r="A11" s="6"/>
      <c r="B11" s="6" t="s">
        <v>328</v>
      </c>
      <c r="C11" s="6">
        <v>-1</v>
      </c>
      <c r="D11" s="6"/>
    </row>
    <row r="12" spans="1:4" x14ac:dyDescent="0.3">
      <c r="A12" s="6"/>
      <c r="B12" s="6" t="s">
        <v>328</v>
      </c>
      <c r="C12" s="6"/>
      <c r="D12" s="6">
        <v>-1</v>
      </c>
    </row>
    <row r="13" spans="1:4" x14ac:dyDescent="0.3">
      <c r="A13" s="6"/>
      <c r="B13" s="6" t="s">
        <v>354</v>
      </c>
      <c r="C13" s="6">
        <v>-1</v>
      </c>
      <c r="D13" s="6"/>
    </row>
    <row r="14" spans="1:4" x14ac:dyDescent="0.3">
      <c r="A14" s="6"/>
      <c r="B14" s="6" t="s">
        <v>474</v>
      </c>
      <c r="C14" s="6"/>
      <c r="D14" s="6">
        <v>-1</v>
      </c>
    </row>
    <row r="15" spans="1:4" x14ac:dyDescent="0.3">
      <c r="A15" s="6"/>
      <c r="B15" s="6" t="s">
        <v>422</v>
      </c>
      <c r="C15" s="6">
        <v>-1</v>
      </c>
      <c r="D15" s="6"/>
    </row>
    <row r="16" spans="1:4" x14ac:dyDescent="0.3">
      <c r="A16" s="6"/>
      <c r="B16" s="6" t="s">
        <v>422</v>
      </c>
      <c r="C16" s="6"/>
      <c r="D16" s="6">
        <v>-1</v>
      </c>
    </row>
    <row r="17" spans="1:4" x14ac:dyDescent="0.3">
      <c r="A17" s="6" t="s">
        <v>4200</v>
      </c>
      <c r="B17" s="6" t="s">
        <v>332</v>
      </c>
      <c r="C17" s="6">
        <v>2</v>
      </c>
      <c r="D17" s="6"/>
    </row>
    <row r="18" spans="1:4" x14ac:dyDescent="0.3">
      <c r="A18" s="6" t="s">
        <v>4068</v>
      </c>
      <c r="B18" s="6" t="s">
        <v>428</v>
      </c>
      <c r="C18" s="6">
        <v>9</v>
      </c>
      <c r="D18" s="6"/>
    </row>
    <row r="19" spans="1:4" x14ac:dyDescent="0.3">
      <c r="A19" s="6" t="s">
        <v>4951</v>
      </c>
      <c r="B19" s="6" t="s">
        <v>402</v>
      </c>
      <c r="C19" s="6">
        <v>5</v>
      </c>
      <c r="D19" s="6"/>
    </row>
    <row r="20" spans="1:4" x14ac:dyDescent="0.3">
      <c r="A20" s="6"/>
      <c r="B20" s="6" t="s">
        <v>700</v>
      </c>
      <c r="C20" s="6">
        <v>-1</v>
      </c>
      <c r="D20" s="6"/>
    </row>
    <row r="21" spans="1:4" x14ac:dyDescent="0.3">
      <c r="A21" s="6"/>
      <c r="B21" s="6" t="s">
        <v>328</v>
      </c>
      <c r="C21" s="6">
        <v>-1</v>
      </c>
      <c r="D21" s="6"/>
    </row>
    <row r="22" spans="1:4" x14ac:dyDescent="0.3">
      <c r="A22" s="6" t="s">
        <v>4786</v>
      </c>
      <c r="B22" s="6" t="s">
        <v>726</v>
      </c>
      <c r="C22" s="6">
        <v>15</v>
      </c>
      <c r="D22" s="6"/>
    </row>
    <row r="23" spans="1:4" x14ac:dyDescent="0.3">
      <c r="A23" s="6"/>
      <c r="B23" s="6" t="s">
        <v>694</v>
      </c>
      <c r="C23" s="6">
        <v>-1</v>
      </c>
      <c r="D23" s="6"/>
    </row>
    <row r="24" spans="1:4" x14ac:dyDescent="0.3">
      <c r="A24" s="6" t="s">
        <v>4647</v>
      </c>
      <c r="B24" s="6" t="s">
        <v>334</v>
      </c>
      <c r="C24" s="6">
        <v>16</v>
      </c>
      <c r="D24" s="6"/>
    </row>
    <row r="25" spans="1:4" x14ac:dyDescent="0.3">
      <c r="A25" s="6"/>
      <c r="B25" s="6" t="s">
        <v>344</v>
      </c>
      <c r="C25" s="6">
        <v>-1</v>
      </c>
      <c r="D25" s="6"/>
    </row>
    <row r="26" spans="1:4" x14ac:dyDescent="0.3">
      <c r="A26" s="6"/>
      <c r="B26" s="6" t="s">
        <v>356</v>
      </c>
      <c r="C26" s="6">
        <v>-1</v>
      </c>
      <c r="D26" s="6"/>
    </row>
    <row r="27" spans="1:4" x14ac:dyDescent="0.3">
      <c r="A27" s="6"/>
      <c r="B27" s="6" t="s">
        <v>356</v>
      </c>
      <c r="C27" s="6">
        <v>-1</v>
      </c>
      <c r="D27" s="6"/>
    </row>
    <row r="28" spans="1:4" x14ac:dyDescent="0.3">
      <c r="A28" s="6" t="s">
        <v>1515</v>
      </c>
      <c r="B28" s="6" t="s">
        <v>402</v>
      </c>
      <c r="C28" s="6">
        <v>19</v>
      </c>
      <c r="D28" s="6"/>
    </row>
    <row r="29" spans="1:4" x14ac:dyDescent="0.3">
      <c r="A29" s="6"/>
      <c r="B29" s="6" t="s">
        <v>328</v>
      </c>
      <c r="C29" s="6"/>
      <c r="D29" s="6">
        <v>-1</v>
      </c>
    </row>
    <row r="30" spans="1:4" x14ac:dyDescent="0.3">
      <c r="A30" s="6"/>
      <c r="B30" s="6" t="s">
        <v>394</v>
      </c>
      <c r="C30" s="6"/>
      <c r="D30" s="6">
        <v>-1</v>
      </c>
    </row>
    <row r="31" spans="1:4" x14ac:dyDescent="0.3">
      <c r="A31" s="6"/>
      <c r="B31" s="6" t="s">
        <v>432</v>
      </c>
      <c r="C31" s="6"/>
      <c r="D31" s="6">
        <v>-1</v>
      </c>
    </row>
    <row r="32" spans="1:4" x14ac:dyDescent="0.3">
      <c r="A32" s="6" t="s">
        <v>1438</v>
      </c>
      <c r="B32" s="6" t="s">
        <v>344</v>
      </c>
      <c r="C32" s="6"/>
      <c r="D32" s="6">
        <v>10</v>
      </c>
    </row>
    <row r="33" spans="1:4" x14ac:dyDescent="0.3">
      <c r="A33" s="6"/>
      <c r="B33" s="6" t="s">
        <v>344</v>
      </c>
      <c r="C33" s="6"/>
      <c r="D33" s="6">
        <v>-1</v>
      </c>
    </row>
    <row r="34" spans="1:4" x14ac:dyDescent="0.3">
      <c r="A34" s="6" t="s">
        <v>2200</v>
      </c>
      <c r="B34" s="6" t="s">
        <v>330</v>
      </c>
      <c r="C34" s="6"/>
      <c r="D34" s="6">
        <v>8</v>
      </c>
    </row>
    <row r="35" spans="1:4" x14ac:dyDescent="0.3">
      <c r="A35" s="6" t="s">
        <v>2627</v>
      </c>
      <c r="B35" s="6" t="s">
        <v>356</v>
      </c>
      <c r="C35" s="6"/>
      <c r="D35" s="6">
        <v>9</v>
      </c>
    </row>
  </sheetData>
  <pageMargins left="0.7" right="0.7" top="0.75" bottom="0.75" header="0.3" footer="0.3"/>
  <tableParts count="1">
    <tablePart r:id="rId1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37BF9-8575-43F6-8361-C8626C0CBB21}">
  <dimension ref="A1:C25"/>
  <sheetViews>
    <sheetView topLeftCell="A16" workbookViewId="0">
      <selection activeCell="B26" sqref="B26"/>
    </sheetView>
  </sheetViews>
  <sheetFormatPr defaultRowHeight="14.4" x14ac:dyDescent="0.3"/>
  <cols>
    <col min="1" max="1" width="18.6640625" bestFit="1" customWidth="1"/>
    <col min="2" max="2" width="12.21875" bestFit="1" customWidth="1"/>
    <col min="3" max="3" width="24.44140625" bestFit="1" customWidth="1"/>
  </cols>
  <sheetData>
    <row r="1" spans="1:3" x14ac:dyDescent="0.3">
      <c r="A1" t="s">
        <v>832</v>
      </c>
      <c r="B1" t="s">
        <v>1</v>
      </c>
      <c r="C1" t="s">
        <v>2013</v>
      </c>
    </row>
    <row r="2" spans="1:3" x14ac:dyDescent="0.3">
      <c r="A2" s="6" t="s">
        <v>2428</v>
      </c>
      <c r="B2" s="6" t="s">
        <v>428</v>
      </c>
      <c r="C2" s="6">
        <v>9</v>
      </c>
    </row>
    <row r="3" spans="1:3" x14ac:dyDescent="0.3">
      <c r="A3" s="6" t="s">
        <v>3297</v>
      </c>
      <c r="B3" s="6" t="s">
        <v>428</v>
      </c>
      <c r="C3" s="6">
        <v>5</v>
      </c>
    </row>
    <row r="4" spans="1:3" x14ac:dyDescent="0.3">
      <c r="A4" s="6" t="s">
        <v>2678</v>
      </c>
      <c r="B4" s="6" t="s">
        <v>344</v>
      </c>
      <c r="C4" s="6">
        <v>5</v>
      </c>
    </row>
    <row r="5" spans="1:3" x14ac:dyDescent="0.3">
      <c r="A5" s="6"/>
      <c r="B5" s="6" t="s">
        <v>474</v>
      </c>
      <c r="C5" s="6">
        <v>-1</v>
      </c>
    </row>
    <row r="6" spans="1:3" x14ac:dyDescent="0.3">
      <c r="A6" s="6"/>
      <c r="B6" s="6" t="s">
        <v>350</v>
      </c>
      <c r="C6" s="6">
        <v>-1</v>
      </c>
    </row>
    <row r="7" spans="1:3" x14ac:dyDescent="0.3">
      <c r="A7" s="6"/>
      <c r="B7" s="6" t="s">
        <v>354</v>
      </c>
      <c r="C7" s="6">
        <v>-1</v>
      </c>
    </row>
    <row r="8" spans="1:3" x14ac:dyDescent="0.3">
      <c r="A8" s="6" t="s">
        <v>1256</v>
      </c>
      <c r="B8" s="6" t="s">
        <v>354</v>
      </c>
      <c r="C8" s="6">
        <v>2</v>
      </c>
    </row>
    <row r="9" spans="1:3" x14ac:dyDescent="0.3">
      <c r="A9" s="6" t="s">
        <v>3114</v>
      </c>
      <c r="B9" s="6" t="s">
        <v>336</v>
      </c>
      <c r="C9" s="6">
        <v>9</v>
      </c>
    </row>
    <row r="10" spans="1:3" x14ac:dyDescent="0.3">
      <c r="A10" s="6"/>
      <c r="B10" s="6" t="s">
        <v>336</v>
      </c>
      <c r="C10" s="6">
        <v>-1</v>
      </c>
    </row>
    <row r="11" spans="1:3" x14ac:dyDescent="0.3">
      <c r="A11" s="6"/>
      <c r="B11" s="6" t="s">
        <v>356</v>
      </c>
      <c r="C11" s="6">
        <v>-1</v>
      </c>
    </row>
    <row r="12" spans="1:3" x14ac:dyDescent="0.3">
      <c r="A12" s="6" t="s">
        <v>2014</v>
      </c>
      <c r="B12" s="6" t="s">
        <v>428</v>
      </c>
      <c r="C12" s="6">
        <v>9</v>
      </c>
    </row>
    <row r="13" spans="1:3" x14ac:dyDescent="0.3">
      <c r="A13" s="6"/>
      <c r="B13" s="6" t="s">
        <v>422</v>
      </c>
      <c r="C13" s="6">
        <v>-1</v>
      </c>
    </row>
    <row r="14" spans="1:3" x14ac:dyDescent="0.3">
      <c r="A14" s="6"/>
      <c r="B14" s="6" t="s">
        <v>422</v>
      </c>
      <c r="C14" s="6">
        <v>-1</v>
      </c>
    </row>
    <row r="15" spans="1:3" x14ac:dyDescent="0.3">
      <c r="A15" s="6" t="s">
        <v>1979</v>
      </c>
      <c r="B15" s="6" t="s">
        <v>332</v>
      </c>
      <c r="C15" s="6">
        <v>9</v>
      </c>
    </row>
    <row r="16" spans="1:3" x14ac:dyDescent="0.3">
      <c r="A16" s="6"/>
      <c r="B16" s="6" t="s">
        <v>332</v>
      </c>
      <c r="C16" s="6">
        <v>-1</v>
      </c>
    </row>
    <row r="17" spans="1:3" x14ac:dyDescent="0.3">
      <c r="A17" s="6"/>
      <c r="B17" s="6" t="s">
        <v>392</v>
      </c>
      <c r="C17" s="6">
        <v>-1</v>
      </c>
    </row>
    <row r="18" spans="1:3" x14ac:dyDescent="0.3">
      <c r="A18" s="6" t="s">
        <v>3079</v>
      </c>
      <c r="B18" s="6" t="s">
        <v>336</v>
      </c>
      <c r="C18" s="6">
        <v>3</v>
      </c>
    </row>
    <row r="19" spans="1:3" x14ac:dyDescent="0.3">
      <c r="A19" s="6"/>
      <c r="B19" s="6" t="s">
        <v>344</v>
      </c>
      <c r="C19" s="6">
        <v>-1</v>
      </c>
    </row>
    <row r="20" spans="1:3" x14ac:dyDescent="0.3">
      <c r="A20" s="6" t="s">
        <v>1271</v>
      </c>
      <c r="B20" s="6" t="s">
        <v>334</v>
      </c>
      <c r="C20" s="6">
        <v>17</v>
      </c>
    </row>
    <row r="21" spans="1:3" x14ac:dyDescent="0.3">
      <c r="A21" s="6"/>
      <c r="B21" s="6" t="s">
        <v>432</v>
      </c>
      <c r="C21" s="6">
        <v>-1</v>
      </c>
    </row>
    <row r="22" spans="1:3" x14ac:dyDescent="0.3">
      <c r="A22" s="6"/>
      <c r="B22" s="6" t="s">
        <v>378</v>
      </c>
      <c r="C22" s="6">
        <v>-1</v>
      </c>
    </row>
    <row r="23" spans="1:3" x14ac:dyDescent="0.3">
      <c r="A23" s="6"/>
      <c r="B23" s="6" t="s">
        <v>392</v>
      </c>
      <c r="C23" s="6">
        <v>-1</v>
      </c>
    </row>
    <row r="24" spans="1:3" x14ac:dyDescent="0.3">
      <c r="A24" s="6"/>
      <c r="B24" s="6" t="s">
        <v>330</v>
      </c>
      <c r="C24" s="6">
        <v>-1</v>
      </c>
    </row>
    <row r="25" spans="1:3" x14ac:dyDescent="0.3">
      <c r="A25" s="6" t="s">
        <v>3868</v>
      </c>
      <c r="B25" s="6" t="s">
        <v>472</v>
      </c>
      <c r="C25" s="6">
        <v>17</v>
      </c>
    </row>
  </sheetData>
  <pageMargins left="0.7" right="0.7" top="0.75" bottom="0.75" header="0.3" footer="0.3"/>
  <tableParts count="1">
    <tablePart r:id="rId1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4FA2A-A13B-44C5-9B0A-5FDD6FEED2DA}">
  <dimension ref="A1:C25"/>
  <sheetViews>
    <sheetView topLeftCell="A16" workbookViewId="0">
      <selection activeCell="B26" sqref="B26"/>
    </sheetView>
  </sheetViews>
  <sheetFormatPr defaultRowHeight="14.4" x14ac:dyDescent="0.3"/>
  <cols>
    <col min="1" max="1" width="22.21875" bestFit="1" customWidth="1"/>
    <col min="2" max="2" width="12.21875" bestFit="1" customWidth="1"/>
    <col min="3" max="3" width="24.44140625" bestFit="1" customWidth="1"/>
  </cols>
  <sheetData>
    <row r="1" spans="1:3" x14ac:dyDescent="0.3">
      <c r="A1" t="s">
        <v>832</v>
      </c>
      <c r="B1" t="s">
        <v>1</v>
      </c>
      <c r="C1" t="s">
        <v>2013</v>
      </c>
    </row>
    <row r="2" spans="1:3" x14ac:dyDescent="0.3">
      <c r="A2" s="6" t="s">
        <v>2065</v>
      </c>
      <c r="B2" s="6" t="s">
        <v>332</v>
      </c>
      <c r="C2" s="6">
        <v>9</v>
      </c>
    </row>
    <row r="3" spans="1:3" x14ac:dyDescent="0.3">
      <c r="A3" s="6"/>
      <c r="B3" s="6" t="s">
        <v>422</v>
      </c>
      <c r="C3" s="6">
        <v>-1</v>
      </c>
    </row>
    <row r="4" spans="1:3" x14ac:dyDescent="0.3">
      <c r="A4" s="6"/>
      <c r="B4" s="6" t="s">
        <v>428</v>
      </c>
      <c r="C4" s="6">
        <v>-1</v>
      </c>
    </row>
    <row r="5" spans="1:3" x14ac:dyDescent="0.3">
      <c r="A5" s="6"/>
      <c r="B5" s="6" t="s">
        <v>344</v>
      </c>
      <c r="C5" s="6">
        <v>-1</v>
      </c>
    </row>
    <row r="6" spans="1:3" x14ac:dyDescent="0.3">
      <c r="A6" s="6"/>
      <c r="B6" s="6" t="s">
        <v>474</v>
      </c>
      <c r="C6" s="6">
        <v>-1</v>
      </c>
    </row>
    <row r="7" spans="1:3" x14ac:dyDescent="0.3">
      <c r="A7" s="6" t="s">
        <v>2476</v>
      </c>
      <c r="B7" s="6" t="s">
        <v>354</v>
      </c>
      <c r="C7" s="6">
        <v>5</v>
      </c>
    </row>
    <row r="8" spans="1:3" x14ac:dyDescent="0.3">
      <c r="A8" s="6" t="s">
        <v>2435</v>
      </c>
      <c r="B8" s="6" t="s">
        <v>354</v>
      </c>
      <c r="C8" s="6">
        <v>17</v>
      </c>
    </row>
    <row r="9" spans="1:3" x14ac:dyDescent="0.3">
      <c r="A9" s="6" t="s">
        <v>4123</v>
      </c>
      <c r="B9" s="6" t="s">
        <v>336</v>
      </c>
      <c r="C9" s="6">
        <v>2</v>
      </c>
    </row>
    <row r="10" spans="1:3" x14ac:dyDescent="0.3">
      <c r="A10" s="6" t="s">
        <v>2647</v>
      </c>
      <c r="B10" s="6" t="s">
        <v>558</v>
      </c>
      <c r="C10" s="6">
        <v>4</v>
      </c>
    </row>
    <row r="11" spans="1:3" x14ac:dyDescent="0.3">
      <c r="A11" s="6" t="s">
        <v>3911</v>
      </c>
      <c r="B11" s="6" t="s">
        <v>344</v>
      </c>
      <c r="C11" s="6">
        <v>3</v>
      </c>
    </row>
    <row r="12" spans="1:3" x14ac:dyDescent="0.3">
      <c r="A12" s="6"/>
      <c r="B12" s="6" t="s">
        <v>346</v>
      </c>
      <c r="C12" s="6">
        <v>-1</v>
      </c>
    </row>
    <row r="13" spans="1:3" x14ac:dyDescent="0.3">
      <c r="A13" s="6"/>
      <c r="B13" s="6" t="s">
        <v>332</v>
      </c>
      <c r="C13" s="6">
        <v>-1</v>
      </c>
    </row>
    <row r="14" spans="1:3" x14ac:dyDescent="0.3">
      <c r="A14" s="6" t="s">
        <v>1848</v>
      </c>
      <c r="B14" s="6" t="s">
        <v>332</v>
      </c>
      <c r="C14" s="6">
        <v>1</v>
      </c>
    </row>
    <row r="15" spans="1:3" x14ac:dyDescent="0.3">
      <c r="A15" s="6" t="s">
        <v>2534</v>
      </c>
      <c r="B15" s="6" t="s">
        <v>384</v>
      </c>
      <c r="C15" s="6">
        <v>17</v>
      </c>
    </row>
    <row r="16" spans="1:3" x14ac:dyDescent="0.3">
      <c r="A16" s="6"/>
      <c r="B16" s="6" t="s">
        <v>336</v>
      </c>
      <c r="C16" s="6">
        <v>-1</v>
      </c>
    </row>
    <row r="17" spans="1:3" x14ac:dyDescent="0.3">
      <c r="A17" s="6"/>
      <c r="B17" s="6" t="s">
        <v>336</v>
      </c>
      <c r="C17" s="6">
        <v>-1</v>
      </c>
    </row>
    <row r="18" spans="1:3" x14ac:dyDescent="0.3">
      <c r="A18" s="6"/>
      <c r="B18" s="6" t="s">
        <v>328</v>
      </c>
      <c r="C18" s="6">
        <v>-1</v>
      </c>
    </row>
    <row r="19" spans="1:3" x14ac:dyDescent="0.3">
      <c r="A19" s="6"/>
      <c r="B19" s="6" t="s">
        <v>334</v>
      </c>
      <c r="C19" s="6">
        <v>-1</v>
      </c>
    </row>
    <row r="20" spans="1:3" x14ac:dyDescent="0.3">
      <c r="A20" s="6" t="s">
        <v>4218</v>
      </c>
      <c r="B20" s="6" t="s">
        <v>598</v>
      </c>
      <c r="C20" s="6">
        <v>9</v>
      </c>
    </row>
    <row r="21" spans="1:3" x14ac:dyDescent="0.3">
      <c r="A21" s="6"/>
      <c r="B21" s="6" t="s">
        <v>392</v>
      </c>
      <c r="C21" s="6">
        <v>-1</v>
      </c>
    </row>
    <row r="22" spans="1:3" x14ac:dyDescent="0.3">
      <c r="A22" s="6"/>
      <c r="B22" s="6" t="s">
        <v>346</v>
      </c>
      <c r="C22" s="6">
        <v>-1</v>
      </c>
    </row>
    <row r="23" spans="1:3" x14ac:dyDescent="0.3">
      <c r="A23" s="6"/>
      <c r="B23" s="6" t="s">
        <v>330</v>
      </c>
      <c r="C23" s="6">
        <v>-1</v>
      </c>
    </row>
    <row r="24" spans="1:3" x14ac:dyDescent="0.3">
      <c r="A24" s="6"/>
      <c r="B24" s="6" t="s">
        <v>330</v>
      </c>
      <c r="C24" s="6">
        <v>-1</v>
      </c>
    </row>
    <row r="25" spans="1:3" x14ac:dyDescent="0.3">
      <c r="A25" s="6"/>
      <c r="B25" s="6" t="s">
        <v>396</v>
      </c>
      <c r="C25" s="6">
        <v>-1</v>
      </c>
    </row>
  </sheetData>
  <pageMargins left="0.7" right="0.7" top="0.75" bottom="0.75" header="0.3" footer="0.3"/>
  <tableParts count="1">
    <tablePart r:id="rId1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B7B4F-681E-444C-878F-FE7C8543E00C}">
  <dimension ref="A1:Q525"/>
  <sheetViews>
    <sheetView topLeftCell="A519" workbookViewId="0">
      <selection activeCell="B526" sqref="B526"/>
    </sheetView>
  </sheetViews>
  <sheetFormatPr defaultRowHeight="14.4" x14ac:dyDescent="0.3"/>
  <cols>
    <col min="1" max="1" width="30.88671875" bestFit="1" customWidth="1"/>
    <col min="2" max="2" width="26.109375" bestFit="1" customWidth="1"/>
    <col min="3" max="3" width="26.44140625" bestFit="1" customWidth="1"/>
    <col min="4" max="7" width="27.44140625" bestFit="1" customWidth="1"/>
    <col min="8" max="8" width="28.5546875" bestFit="1" customWidth="1"/>
    <col min="9" max="10" width="29.33203125" bestFit="1" customWidth="1"/>
    <col min="11" max="12" width="30.5546875" bestFit="1" customWidth="1"/>
    <col min="13" max="14" width="27.33203125" bestFit="1" customWidth="1"/>
    <col min="15" max="16" width="26.33203125" bestFit="1" customWidth="1"/>
    <col min="17" max="17" width="30.21875" bestFit="1" customWidth="1"/>
  </cols>
  <sheetData>
    <row r="1" spans="1:17" x14ac:dyDescent="0.3">
      <c r="A1" t="s">
        <v>832</v>
      </c>
      <c r="B1" t="s">
        <v>1</v>
      </c>
      <c r="C1" t="s">
        <v>961</v>
      </c>
      <c r="D1" t="s">
        <v>962</v>
      </c>
      <c r="E1" t="s">
        <v>963</v>
      </c>
      <c r="F1" t="s">
        <v>964</v>
      </c>
      <c r="G1" t="s">
        <v>965</v>
      </c>
      <c r="H1" t="s">
        <v>966</v>
      </c>
      <c r="I1" t="s">
        <v>967</v>
      </c>
      <c r="J1" t="s">
        <v>968</v>
      </c>
      <c r="K1" t="s">
        <v>969</v>
      </c>
      <c r="L1" t="s">
        <v>970</v>
      </c>
      <c r="M1" t="s">
        <v>971</v>
      </c>
      <c r="N1" t="s">
        <v>972</v>
      </c>
      <c r="O1" t="s">
        <v>973</v>
      </c>
      <c r="P1" t="s">
        <v>974</v>
      </c>
      <c r="Q1" t="s">
        <v>1177</v>
      </c>
    </row>
    <row r="2" spans="1:17" x14ac:dyDescent="0.3">
      <c r="A2" s="6"/>
      <c r="B2" s="6" t="s">
        <v>334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>
        <v>-1</v>
      </c>
    </row>
    <row r="3" spans="1:17" x14ac:dyDescent="0.3">
      <c r="A3" s="6" t="s">
        <v>3766</v>
      </c>
      <c r="B3" s="6" t="s">
        <v>334</v>
      </c>
      <c r="C3" s="6"/>
      <c r="D3" s="6"/>
      <c r="E3" s="6"/>
      <c r="F3" s="6"/>
      <c r="G3" s="6">
        <v>12</v>
      </c>
      <c r="H3" s="6">
        <v>14</v>
      </c>
      <c r="I3" s="6"/>
      <c r="J3" s="6"/>
      <c r="K3" s="6"/>
      <c r="L3" s="6"/>
      <c r="M3" s="6"/>
      <c r="N3" s="6"/>
      <c r="O3" s="6"/>
      <c r="P3" s="6"/>
      <c r="Q3" s="6">
        <v>8</v>
      </c>
    </row>
    <row r="4" spans="1:17" x14ac:dyDescent="0.3">
      <c r="A4" s="6" t="s">
        <v>1869</v>
      </c>
      <c r="B4" s="6" t="s">
        <v>406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>
        <v>1</v>
      </c>
    </row>
    <row r="5" spans="1:17" x14ac:dyDescent="0.3">
      <c r="A5" s="6"/>
      <c r="B5" s="6" t="s">
        <v>344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>
        <v>-1</v>
      </c>
    </row>
    <row r="6" spans="1:17" x14ac:dyDescent="0.3">
      <c r="A6" s="6" t="s">
        <v>2846</v>
      </c>
      <c r="B6" s="6" t="s">
        <v>344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>
        <v>7</v>
      </c>
    </row>
    <row r="7" spans="1:17" x14ac:dyDescent="0.3">
      <c r="A7" s="6"/>
      <c r="B7" s="6" t="s">
        <v>402</v>
      </c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>
        <v>-1</v>
      </c>
    </row>
    <row r="8" spans="1:17" x14ac:dyDescent="0.3">
      <c r="A8" s="6"/>
      <c r="B8" s="6" t="s">
        <v>402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>
        <v>-1</v>
      </c>
    </row>
    <row r="9" spans="1:17" x14ac:dyDescent="0.3">
      <c r="A9" s="6" t="s">
        <v>3478</v>
      </c>
      <c r="B9" s="6" t="s">
        <v>354</v>
      </c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>
        <v>13</v>
      </c>
    </row>
    <row r="10" spans="1:17" x14ac:dyDescent="0.3">
      <c r="A10" s="6"/>
      <c r="B10" s="6" t="s">
        <v>354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>
        <v>-1</v>
      </c>
    </row>
    <row r="11" spans="1:17" x14ac:dyDescent="0.3">
      <c r="A11" s="6"/>
      <c r="B11" s="6" t="s">
        <v>356</v>
      </c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>
        <v>-1</v>
      </c>
    </row>
    <row r="12" spans="1:17" x14ac:dyDescent="0.3">
      <c r="A12" s="6"/>
      <c r="B12" s="6" t="s">
        <v>356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>
        <v>-1</v>
      </c>
    </row>
    <row r="13" spans="1:17" x14ac:dyDescent="0.3">
      <c r="A13" s="6"/>
      <c r="B13" s="6" t="s">
        <v>406</v>
      </c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>
        <v>-1</v>
      </c>
    </row>
    <row r="14" spans="1:17" x14ac:dyDescent="0.3">
      <c r="A14" s="6" t="s">
        <v>4223</v>
      </c>
      <c r="B14" s="6" t="s">
        <v>598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>
        <v>16</v>
      </c>
    </row>
    <row r="15" spans="1:17" x14ac:dyDescent="0.3">
      <c r="A15" s="6"/>
      <c r="B15" s="6" t="s">
        <v>400</v>
      </c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>
        <v>-1</v>
      </c>
    </row>
    <row r="16" spans="1:17" x14ac:dyDescent="0.3">
      <c r="A16" s="6"/>
      <c r="B16" s="6" t="s">
        <v>342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>
        <v>-1</v>
      </c>
    </row>
    <row r="17" spans="1:17" x14ac:dyDescent="0.3">
      <c r="A17" s="6" t="s">
        <v>4528</v>
      </c>
      <c r="B17" s="6" t="s">
        <v>332</v>
      </c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>
        <v>19</v>
      </c>
    </row>
    <row r="18" spans="1:17" x14ac:dyDescent="0.3">
      <c r="A18" s="6"/>
      <c r="B18" s="6" t="s">
        <v>358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>
        <v>-1</v>
      </c>
    </row>
    <row r="19" spans="1:17" x14ac:dyDescent="0.3">
      <c r="A19" s="6" t="s">
        <v>1918</v>
      </c>
      <c r="B19" s="6" t="s">
        <v>394</v>
      </c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>
        <v>22</v>
      </c>
    </row>
    <row r="20" spans="1:17" x14ac:dyDescent="0.3">
      <c r="A20" s="6"/>
      <c r="B20" s="6" t="s">
        <v>650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>
        <v>-1</v>
      </c>
    </row>
    <row r="21" spans="1:17" x14ac:dyDescent="0.3">
      <c r="A21" s="6"/>
      <c r="B21" s="6" t="s">
        <v>350</v>
      </c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>
        <v>-1</v>
      </c>
    </row>
    <row r="22" spans="1:17" x14ac:dyDescent="0.3">
      <c r="A22" s="6"/>
      <c r="B22" s="6" t="s">
        <v>428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>
        <v>-1</v>
      </c>
    </row>
    <row r="23" spans="1:17" x14ac:dyDescent="0.3">
      <c r="A23" s="6"/>
      <c r="B23" s="6" t="s">
        <v>442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>
        <v>-1</v>
      </c>
    </row>
    <row r="24" spans="1:17" x14ac:dyDescent="0.3">
      <c r="A24" s="6"/>
      <c r="B24" s="6" t="s">
        <v>354</v>
      </c>
      <c r="C24" s="6">
        <v>-1</v>
      </c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</row>
    <row r="25" spans="1:17" x14ac:dyDescent="0.3">
      <c r="A25" s="6"/>
      <c r="B25" s="6" t="s">
        <v>354</v>
      </c>
      <c r="C25" s="6">
        <v>-1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</row>
    <row r="26" spans="1:17" x14ac:dyDescent="0.3">
      <c r="A26" s="6"/>
      <c r="B26" s="6" t="s">
        <v>344</v>
      </c>
      <c r="C26" s="6">
        <v>-1</v>
      </c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</row>
    <row r="27" spans="1:17" x14ac:dyDescent="0.3">
      <c r="A27" s="6"/>
      <c r="B27" s="6" t="s">
        <v>344</v>
      </c>
      <c r="C27" s="6">
        <v>-1</v>
      </c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</row>
    <row r="28" spans="1:17" x14ac:dyDescent="0.3">
      <c r="A28" s="6"/>
      <c r="B28" s="6" t="s">
        <v>402</v>
      </c>
      <c r="C28" s="6">
        <v>-1</v>
      </c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</row>
    <row r="29" spans="1:17" x14ac:dyDescent="0.3">
      <c r="A29" s="6" t="s">
        <v>1505</v>
      </c>
      <c r="B29" s="6" t="s">
        <v>402</v>
      </c>
      <c r="C29" s="6">
        <v>2</v>
      </c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</row>
    <row r="30" spans="1:17" x14ac:dyDescent="0.3">
      <c r="A30" s="6" t="s">
        <v>4493</v>
      </c>
      <c r="B30" s="6" t="s">
        <v>342</v>
      </c>
      <c r="C30" s="6">
        <v>18</v>
      </c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</row>
    <row r="31" spans="1:17" x14ac:dyDescent="0.3">
      <c r="A31" s="6"/>
      <c r="B31" s="6" t="s">
        <v>342</v>
      </c>
      <c r="C31" s="6">
        <v>-1</v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</row>
    <row r="32" spans="1:17" x14ac:dyDescent="0.3">
      <c r="A32" s="6"/>
      <c r="B32" s="6" t="s">
        <v>596</v>
      </c>
      <c r="C32" s="6">
        <v>-1</v>
      </c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</row>
    <row r="33" spans="1:17" x14ac:dyDescent="0.3">
      <c r="A33" s="6"/>
      <c r="B33" s="6" t="s">
        <v>596</v>
      </c>
      <c r="C33" s="6">
        <v>-1</v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</row>
    <row r="34" spans="1:17" x14ac:dyDescent="0.3">
      <c r="A34" s="6"/>
      <c r="B34" s="6" t="s">
        <v>598</v>
      </c>
      <c r="C34" s="6">
        <v>-1</v>
      </c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</row>
    <row r="35" spans="1:17" x14ac:dyDescent="0.3">
      <c r="A35" s="6"/>
      <c r="B35" s="6" t="s">
        <v>598</v>
      </c>
      <c r="C35" s="6">
        <v>-1</v>
      </c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</row>
    <row r="36" spans="1:17" x14ac:dyDescent="0.3">
      <c r="A36" s="6"/>
      <c r="B36" s="6" t="s">
        <v>356</v>
      </c>
      <c r="C36" s="6">
        <v>-1</v>
      </c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</row>
    <row r="37" spans="1:17" x14ac:dyDescent="0.3">
      <c r="A37" s="6"/>
      <c r="B37" s="6" t="s">
        <v>356</v>
      </c>
      <c r="C37" s="6">
        <v>-1</v>
      </c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</row>
    <row r="38" spans="1:17" x14ac:dyDescent="0.3">
      <c r="A38" s="6"/>
      <c r="B38" s="6" t="s">
        <v>412</v>
      </c>
      <c r="C38" s="6">
        <v>-1</v>
      </c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</row>
    <row r="39" spans="1:17" x14ac:dyDescent="0.3">
      <c r="A39" s="6"/>
      <c r="B39" s="6" t="s">
        <v>412</v>
      </c>
      <c r="C39" s="6">
        <v>-1</v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</row>
    <row r="40" spans="1:17" x14ac:dyDescent="0.3">
      <c r="A40" s="6"/>
      <c r="B40" s="6" t="s">
        <v>346</v>
      </c>
      <c r="C40" s="6">
        <v>-1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</row>
    <row r="41" spans="1:17" x14ac:dyDescent="0.3">
      <c r="A41" s="6"/>
      <c r="B41" s="6" t="s">
        <v>346</v>
      </c>
      <c r="C41" s="6">
        <v>-1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</row>
    <row r="42" spans="1:17" x14ac:dyDescent="0.3">
      <c r="A42" s="6" t="s">
        <v>1831</v>
      </c>
      <c r="B42" s="6" t="s">
        <v>332</v>
      </c>
      <c r="C42" s="6">
        <v>6</v>
      </c>
      <c r="D42" s="6"/>
      <c r="E42" s="6"/>
      <c r="F42" s="6"/>
      <c r="G42" s="6"/>
      <c r="H42" s="6"/>
      <c r="I42" s="6"/>
      <c r="J42" s="6"/>
      <c r="K42" s="6"/>
      <c r="L42" s="6"/>
      <c r="M42" s="6">
        <v>13</v>
      </c>
      <c r="N42" s="6"/>
      <c r="O42" s="6"/>
      <c r="P42" s="6"/>
      <c r="Q42" s="6"/>
    </row>
    <row r="43" spans="1:17" x14ac:dyDescent="0.3">
      <c r="A43" s="6" t="s">
        <v>4513</v>
      </c>
      <c r="B43" s="6" t="s">
        <v>332</v>
      </c>
      <c r="C43" s="6">
        <v>17</v>
      </c>
      <c r="D43" s="6">
        <v>8</v>
      </c>
      <c r="E43" s="6">
        <v>19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</row>
    <row r="44" spans="1:17" x14ac:dyDescent="0.3">
      <c r="A44" s="6" t="s">
        <v>1794</v>
      </c>
      <c r="B44" s="6" t="s">
        <v>508</v>
      </c>
      <c r="C44" s="6">
        <v>26</v>
      </c>
      <c r="D44" s="6">
        <v>26</v>
      </c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</row>
    <row r="45" spans="1:17" x14ac:dyDescent="0.3">
      <c r="A45" s="6" t="s">
        <v>2824</v>
      </c>
      <c r="B45" s="6" t="s">
        <v>336</v>
      </c>
      <c r="C45" s="6">
        <v>33</v>
      </c>
      <c r="D45" s="6">
        <v>10</v>
      </c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</row>
    <row r="46" spans="1:17" x14ac:dyDescent="0.3">
      <c r="A46" s="6"/>
      <c r="B46" s="6" t="s">
        <v>384</v>
      </c>
      <c r="C46" s="6">
        <v>-1</v>
      </c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</row>
    <row r="47" spans="1:17" x14ac:dyDescent="0.3">
      <c r="A47" s="6"/>
      <c r="B47" s="6" t="s">
        <v>546</v>
      </c>
      <c r="C47" s="6">
        <v>-1</v>
      </c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</row>
    <row r="48" spans="1:17" x14ac:dyDescent="0.3">
      <c r="A48" s="6"/>
      <c r="B48" s="6" t="s">
        <v>328</v>
      </c>
      <c r="C48" s="6">
        <v>-1</v>
      </c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</row>
    <row r="49" spans="1:17" x14ac:dyDescent="0.3">
      <c r="A49" s="6" t="s">
        <v>3710</v>
      </c>
      <c r="B49" s="6" t="s">
        <v>450</v>
      </c>
      <c r="C49" s="6">
        <v>22</v>
      </c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</row>
    <row r="50" spans="1:17" x14ac:dyDescent="0.3">
      <c r="A50" s="6" t="s">
        <v>3625</v>
      </c>
      <c r="B50" s="6" t="s">
        <v>334</v>
      </c>
      <c r="C50" s="6">
        <v>38</v>
      </c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</row>
    <row r="51" spans="1:17" x14ac:dyDescent="0.3">
      <c r="A51" s="6"/>
      <c r="B51" s="6" t="s">
        <v>592</v>
      </c>
      <c r="C51" s="6">
        <v>-1</v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</row>
    <row r="52" spans="1:17" x14ac:dyDescent="0.3">
      <c r="A52" s="6"/>
      <c r="B52" s="6" t="s">
        <v>406</v>
      </c>
      <c r="C52" s="6">
        <v>-1</v>
      </c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</row>
    <row r="53" spans="1:17" x14ac:dyDescent="0.3">
      <c r="A53" s="6"/>
      <c r="B53" s="6" t="s">
        <v>350</v>
      </c>
      <c r="C53" s="6">
        <v>-1</v>
      </c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</row>
    <row r="54" spans="1:17" x14ac:dyDescent="0.3">
      <c r="A54" s="6" t="s">
        <v>4163</v>
      </c>
      <c r="B54" s="6" t="s">
        <v>474</v>
      </c>
      <c r="C54" s="6">
        <v>19</v>
      </c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</row>
    <row r="55" spans="1:17" x14ac:dyDescent="0.3">
      <c r="A55" s="6"/>
      <c r="B55" s="6" t="s">
        <v>364</v>
      </c>
      <c r="C55" s="6">
        <v>-1</v>
      </c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</row>
    <row r="56" spans="1:17" x14ac:dyDescent="0.3">
      <c r="A56" s="6"/>
      <c r="B56" s="6" t="s">
        <v>394</v>
      </c>
      <c r="C56" s="6">
        <v>-1</v>
      </c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</row>
    <row r="57" spans="1:17" x14ac:dyDescent="0.3">
      <c r="A57" s="6" t="s">
        <v>2931</v>
      </c>
      <c r="B57" s="6" t="s">
        <v>690</v>
      </c>
      <c r="C57" s="6">
        <v>30</v>
      </c>
      <c r="D57" s="6">
        <v>14</v>
      </c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</row>
    <row r="58" spans="1:17" x14ac:dyDescent="0.3">
      <c r="A58" s="6"/>
      <c r="B58" s="6" t="s">
        <v>446</v>
      </c>
      <c r="C58" s="6">
        <v>-1</v>
      </c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</row>
    <row r="59" spans="1:17" x14ac:dyDescent="0.3">
      <c r="A59" s="6"/>
      <c r="B59" s="6" t="s">
        <v>700</v>
      </c>
      <c r="C59" s="6">
        <v>-1</v>
      </c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</row>
    <row r="60" spans="1:17" x14ac:dyDescent="0.3">
      <c r="A60" s="6"/>
      <c r="B60" s="6" t="s">
        <v>338</v>
      </c>
      <c r="C60" s="6">
        <v>-1</v>
      </c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</row>
    <row r="61" spans="1:17" x14ac:dyDescent="0.3">
      <c r="A61" s="6" t="s">
        <v>1973</v>
      </c>
      <c r="B61" s="6" t="s">
        <v>480</v>
      </c>
      <c r="C61" s="6">
        <v>29</v>
      </c>
      <c r="D61" s="6">
        <v>34</v>
      </c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</row>
    <row r="62" spans="1:17" x14ac:dyDescent="0.3">
      <c r="A62" s="6"/>
      <c r="B62" s="6" t="s">
        <v>726</v>
      </c>
      <c r="C62" s="6">
        <v>-1</v>
      </c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</row>
    <row r="63" spans="1:17" x14ac:dyDescent="0.3">
      <c r="A63" s="6" t="s">
        <v>4449</v>
      </c>
      <c r="B63" s="6" t="s">
        <v>352</v>
      </c>
      <c r="C63" s="6">
        <v>21</v>
      </c>
      <c r="D63" s="6">
        <v>37</v>
      </c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</row>
    <row r="64" spans="1:17" x14ac:dyDescent="0.3">
      <c r="A64" s="6" t="s">
        <v>3633</v>
      </c>
      <c r="B64" s="6" t="s">
        <v>354</v>
      </c>
      <c r="C64" s="6"/>
      <c r="D64" s="6">
        <v>2</v>
      </c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</row>
    <row r="65" spans="1:17" x14ac:dyDescent="0.3">
      <c r="A65" s="6" t="s">
        <v>2478</v>
      </c>
      <c r="B65" s="6" t="s">
        <v>354</v>
      </c>
      <c r="C65" s="6"/>
      <c r="D65" s="6">
        <v>15</v>
      </c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</row>
    <row r="66" spans="1:17" x14ac:dyDescent="0.3">
      <c r="A66" s="6" t="s">
        <v>3054</v>
      </c>
      <c r="B66" s="6" t="s">
        <v>336</v>
      </c>
      <c r="C66" s="6"/>
      <c r="D66" s="6">
        <v>35</v>
      </c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</row>
    <row r="67" spans="1:17" x14ac:dyDescent="0.3">
      <c r="A67" s="6" t="s">
        <v>2161</v>
      </c>
      <c r="B67" s="6" t="s">
        <v>384</v>
      </c>
      <c r="C67" s="6"/>
      <c r="D67" s="6">
        <v>29</v>
      </c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</row>
    <row r="68" spans="1:17" x14ac:dyDescent="0.3">
      <c r="A68" s="6"/>
      <c r="B68" s="6" t="s">
        <v>384</v>
      </c>
      <c r="C68" s="6"/>
      <c r="D68" s="6">
        <v>-1</v>
      </c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</row>
    <row r="69" spans="1:17" x14ac:dyDescent="0.3">
      <c r="A69" s="6"/>
      <c r="B69" s="6" t="s">
        <v>328</v>
      </c>
      <c r="C69" s="6"/>
      <c r="D69" s="6">
        <v>-1</v>
      </c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</row>
    <row r="70" spans="1:17" x14ac:dyDescent="0.3">
      <c r="A70" s="6" t="s">
        <v>2729</v>
      </c>
      <c r="B70" s="6" t="s">
        <v>328</v>
      </c>
      <c r="C70" s="6"/>
      <c r="D70" s="6">
        <v>22</v>
      </c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</row>
    <row r="71" spans="1:17" x14ac:dyDescent="0.3">
      <c r="A71" s="6"/>
      <c r="B71" s="6" t="s">
        <v>344</v>
      </c>
      <c r="C71" s="6"/>
      <c r="D71" s="6">
        <v>-1</v>
      </c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</row>
    <row r="72" spans="1:17" x14ac:dyDescent="0.3">
      <c r="A72" s="6"/>
      <c r="B72" s="6" t="s">
        <v>344</v>
      </c>
      <c r="C72" s="6"/>
      <c r="D72" s="6">
        <v>-1</v>
      </c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</row>
    <row r="73" spans="1:17" x14ac:dyDescent="0.3">
      <c r="A73" s="6"/>
      <c r="B73" s="6" t="s">
        <v>402</v>
      </c>
      <c r="C73" s="6"/>
      <c r="D73" s="6">
        <v>-1</v>
      </c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</row>
    <row r="74" spans="1:17" x14ac:dyDescent="0.3">
      <c r="A74" s="6"/>
      <c r="B74" s="6" t="s">
        <v>402</v>
      </c>
      <c r="C74" s="6"/>
      <c r="D74" s="6">
        <v>-1</v>
      </c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</row>
    <row r="75" spans="1:17" x14ac:dyDescent="0.3">
      <c r="A75" s="6" t="s">
        <v>1599</v>
      </c>
      <c r="B75" s="6" t="s">
        <v>690</v>
      </c>
      <c r="C75" s="6"/>
      <c r="D75" s="6">
        <v>16</v>
      </c>
      <c r="E75" s="6">
        <v>18</v>
      </c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</row>
    <row r="76" spans="1:17" x14ac:dyDescent="0.3">
      <c r="A76" s="6"/>
      <c r="B76" s="6" t="s">
        <v>332</v>
      </c>
      <c r="C76" s="6"/>
      <c r="D76" s="6">
        <v>-1</v>
      </c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</row>
    <row r="77" spans="1:17" x14ac:dyDescent="0.3">
      <c r="A77" s="6"/>
      <c r="B77" s="6" t="s">
        <v>546</v>
      </c>
      <c r="C77" s="6"/>
      <c r="D77" s="6">
        <v>-1</v>
      </c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</row>
    <row r="78" spans="1:17" x14ac:dyDescent="0.3">
      <c r="A78" s="6" t="s">
        <v>3544</v>
      </c>
      <c r="B78" s="6" t="s">
        <v>450</v>
      </c>
      <c r="C78" s="6"/>
      <c r="D78" s="6">
        <v>33</v>
      </c>
      <c r="E78" s="6"/>
      <c r="F78" s="6"/>
      <c r="G78" s="6"/>
      <c r="H78" s="6"/>
      <c r="I78" s="6"/>
      <c r="J78" s="6"/>
      <c r="K78" s="6"/>
      <c r="L78" s="6"/>
      <c r="M78" s="6">
        <v>30</v>
      </c>
      <c r="N78" s="6"/>
      <c r="O78" s="6"/>
      <c r="P78" s="6"/>
      <c r="Q78" s="6"/>
    </row>
    <row r="79" spans="1:17" x14ac:dyDescent="0.3">
      <c r="A79" s="6"/>
      <c r="B79" s="6" t="s">
        <v>334</v>
      </c>
      <c r="C79" s="6"/>
      <c r="D79" s="6">
        <v>-1</v>
      </c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</row>
    <row r="80" spans="1:17" x14ac:dyDescent="0.3">
      <c r="A80" s="6"/>
      <c r="B80" s="6" t="s">
        <v>406</v>
      </c>
      <c r="C80" s="6"/>
      <c r="D80" s="6">
        <v>-1</v>
      </c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</row>
    <row r="81" spans="1:17" x14ac:dyDescent="0.3">
      <c r="A81" s="6" t="s">
        <v>4755</v>
      </c>
      <c r="B81" s="6" t="s">
        <v>598</v>
      </c>
      <c r="C81" s="6"/>
      <c r="D81" s="6">
        <v>21</v>
      </c>
      <c r="E81" s="6"/>
      <c r="F81" s="6"/>
      <c r="G81" s="6"/>
      <c r="H81" s="6"/>
      <c r="I81" s="6"/>
      <c r="J81" s="6"/>
      <c r="K81" s="6"/>
      <c r="L81" s="6"/>
      <c r="M81" s="6">
        <v>21</v>
      </c>
      <c r="N81" s="6"/>
      <c r="O81" s="6"/>
      <c r="P81" s="6"/>
      <c r="Q81" s="6"/>
    </row>
    <row r="82" spans="1:17" x14ac:dyDescent="0.3">
      <c r="A82" s="6"/>
      <c r="B82" s="6" t="s">
        <v>356</v>
      </c>
      <c r="C82" s="6"/>
      <c r="D82" s="6">
        <v>-1</v>
      </c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</row>
    <row r="83" spans="1:17" x14ac:dyDescent="0.3">
      <c r="A83" s="6"/>
      <c r="B83" s="6" t="s">
        <v>428</v>
      </c>
      <c r="C83" s="6"/>
      <c r="D83" s="6">
        <v>-1</v>
      </c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</row>
    <row r="84" spans="1:17" x14ac:dyDescent="0.3">
      <c r="A84" s="6" t="s">
        <v>2793</v>
      </c>
      <c r="B84" s="6" t="s">
        <v>620</v>
      </c>
      <c r="C84" s="6"/>
      <c r="D84" s="6">
        <v>20</v>
      </c>
      <c r="E84" s="6">
        <v>5</v>
      </c>
      <c r="F84" s="6">
        <v>10</v>
      </c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</row>
    <row r="85" spans="1:17" x14ac:dyDescent="0.3">
      <c r="A85" s="6"/>
      <c r="B85" s="6" t="s">
        <v>350</v>
      </c>
      <c r="C85" s="6"/>
      <c r="D85" s="6">
        <v>-1</v>
      </c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</row>
    <row r="86" spans="1:17" x14ac:dyDescent="0.3">
      <c r="A86" s="6"/>
      <c r="B86" s="6" t="s">
        <v>412</v>
      </c>
      <c r="C86" s="6"/>
      <c r="D86" s="6">
        <v>-1</v>
      </c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</row>
    <row r="87" spans="1:17" x14ac:dyDescent="0.3">
      <c r="A87" s="6"/>
      <c r="B87" s="6" t="s">
        <v>474</v>
      </c>
      <c r="C87" s="6"/>
      <c r="D87" s="6">
        <v>-1</v>
      </c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</row>
    <row r="88" spans="1:17" x14ac:dyDescent="0.3">
      <c r="A88" s="6"/>
      <c r="B88" s="6" t="s">
        <v>346</v>
      </c>
      <c r="C88" s="6"/>
      <c r="D88" s="6">
        <v>-1</v>
      </c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</row>
    <row r="89" spans="1:17" x14ac:dyDescent="0.3">
      <c r="A89" s="6" t="s">
        <v>1903</v>
      </c>
      <c r="B89" s="6" t="s">
        <v>348</v>
      </c>
      <c r="C89" s="6"/>
      <c r="D89" s="6">
        <v>3</v>
      </c>
      <c r="E89" s="6">
        <v>1</v>
      </c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</row>
    <row r="90" spans="1:17" x14ac:dyDescent="0.3">
      <c r="A90" s="6"/>
      <c r="B90" s="6" t="s">
        <v>700</v>
      </c>
      <c r="C90" s="6"/>
      <c r="D90" s="6">
        <v>-1</v>
      </c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</row>
    <row r="91" spans="1:17" x14ac:dyDescent="0.3">
      <c r="A91" s="6" t="s">
        <v>2594</v>
      </c>
      <c r="B91" s="6" t="s">
        <v>330</v>
      </c>
      <c r="C91" s="6"/>
      <c r="D91" s="6">
        <v>19</v>
      </c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</row>
    <row r="92" spans="1:17" x14ac:dyDescent="0.3">
      <c r="A92" s="6"/>
      <c r="B92" s="6" t="s">
        <v>354</v>
      </c>
      <c r="C92" s="6"/>
      <c r="D92" s="6"/>
      <c r="E92" s="6">
        <v>-1</v>
      </c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</row>
    <row r="93" spans="1:17" x14ac:dyDescent="0.3">
      <c r="A93" s="6"/>
      <c r="B93" s="6" t="s">
        <v>354</v>
      </c>
      <c r="C93" s="6"/>
      <c r="D93" s="6"/>
      <c r="E93" s="6">
        <v>-1</v>
      </c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</row>
    <row r="94" spans="1:17" x14ac:dyDescent="0.3">
      <c r="A94" s="6"/>
      <c r="B94" s="6" t="s">
        <v>328</v>
      </c>
      <c r="C94" s="6"/>
      <c r="D94" s="6"/>
      <c r="E94" s="6">
        <v>-1</v>
      </c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</row>
    <row r="95" spans="1:17" x14ac:dyDescent="0.3">
      <c r="A95" s="6"/>
      <c r="B95" s="6" t="s">
        <v>328</v>
      </c>
      <c r="C95" s="6"/>
      <c r="D95" s="6"/>
      <c r="E95" s="6">
        <v>-1</v>
      </c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</row>
    <row r="96" spans="1:17" x14ac:dyDescent="0.3">
      <c r="A96" s="6"/>
      <c r="B96" s="6" t="s">
        <v>334</v>
      </c>
      <c r="C96" s="6"/>
      <c r="D96" s="6"/>
      <c r="E96" s="6">
        <v>-1</v>
      </c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</row>
    <row r="97" spans="1:17" x14ac:dyDescent="0.3">
      <c r="A97" s="6"/>
      <c r="B97" s="6" t="s">
        <v>334</v>
      </c>
      <c r="C97" s="6"/>
      <c r="D97" s="6"/>
      <c r="E97" s="6">
        <v>-1</v>
      </c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</row>
    <row r="98" spans="1:17" x14ac:dyDescent="0.3">
      <c r="A98" s="6"/>
      <c r="B98" s="6" t="s">
        <v>402</v>
      </c>
      <c r="C98" s="6"/>
      <c r="D98" s="6"/>
      <c r="E98" s="6">
        <v>-1</v>
      </c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</row>
    <row r="99" spans="1:17" x14ac:dyDescent="0.3">
      <c r="A99" s="6" t="s">
        <v>4135</v>
      </c>
      <c r="B99" s="6" t="s">
        <v>402</v>
      </c>
      <c r="C99" s="6"/>
      <c r="D99" s="6"/>
      <c r="E99" s="6">
        <v>4</v>
      </c>
      <c r="F99" s="6"/>
      <c r="G99" s="6"/>
      <c r="H99" s="6"/>
      <c r="I99" s="6"/>
      <c r="J99" s="6"/>
      <c r="K99" s="6"/>
      <c r="L99" s="6"/>
      <c r="M99" s="6"/>
      <c r="N99" s="6"/>
      <c r="O99" s="6">
        <v>2</v>
      </c>
      <c r="P99" s="6"/>
      <c r="Q99" s="6"/>
    </row>
    <row r="100" spans="1:17" x14ac:dyDescent="0.3">
      <c r="A100" s="6"/>
      <c r="B100" s="6" t="s">
        <v>428</v>
      </c>
      <c r="C100" s="6"/>
      <c r="D100" s="6"/>
      <c r="E100" s="6">
        <v>-1</v>
      </c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</row>
    <row r="101" spans="1:17" x14ac:dyDescent="0.3">
      <c r="A101" s="6"/>
      <c r="B101" s="6" t="s">
        <v>428</v>
      </c>
      <c r="C101" s="6"/>
      <c r="D101" s="6"/>
      <c r="E101" s="6">
        <v>-1</v>
      </c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</row>
    <row r="102" spans="1:17" x14ac:dyDescent="0.3">
      <c r="A102" s="6"/>
      <c r="B102" s="6" t="s">
        <v>700</v>
      </c>
      <c r="C102" s="6"/>
      <c r="D102" s="6"/>
      <c r="E102" s="6">
        <v>-1</v>
      </c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</row>
    <row r="103" spans="1:17" x14ac:dyDescent="0.3">
      <c r="A103" s="6"/>
      <c r="B103" s="6" t="s">
        <v>700</v>
      </c>
      <c r="C103" s="6"/>
      <c r="D103" s="6"/>
      <c r="E103" s="6">
        <v>-1</v>
      </c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</row>
    <row r="104" spans="1:17" x14ac:dyDescent="0.3">
      <c r="A104" s="6"/>
      <c r="B104" s="6" t="s">
        <v>332</v>
      </c>
      <c r="C104" s="6"/>
      <c r="D104" s="6"/>
      <c r="E104" s="6">
        <v>-1</v>
      </c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</row>
    <row r="105" spans="1:17" x14ac:dyDescent="0.3">
      <c r="A105" s="6"/>
      <c r="B105" s="6" t="s">
        <v>358</v>
      </c>
      <c r="C105" s="6"/>
      <c r="D105" s="6"/>
      <c r="E105" s="6">
        <v>-1</v>
      </c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</row>
    <row r="106" spans="1:17" x14ac:dyDescent="0.3">
      <c r="A106" s="6"/>
      <c r="B106" s="6" t="s">
        <v>336</v>
      </c>
      <c r="C106" s="6"/>
      <c r="D106" s="6"/>
      <c r="E106" s="6">
        <v>-1</v>
      </c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</row>
    <row r="107" spans="1:17" x14ac:dyDescent="0.3">
      <c r="A107" s="6"/>
      <c r="B107" s="6" t="s">
        <v>406</v>
      </c>
      <c r="C107" s="6"/>
      <c r="D107" s="6"/>
      <c r="E107" s="6">
        <v>-1</v>
      </c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</row>
    <row r="108" spans="1:17" x14ac:dyDescent="0.3">
      <c r="A108" s="6"/>
      <c r="B108" s="6" t="s">
        <v>598</v>
      </c>
      <c r="C108" s="6"/>
      <c r="D108" s="6"/>
      <c r="E108" s="6">
        <v>-1</v>
      </c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</row>
    <row r="109" spans="1:17" x14ac:dyDescent="0.3">
      <c r="A109" s="6" t="s">
        <v>2664</v>
      </c>
      <c r="B109" s="6" t="s">
        <v>356</v>
      </c>
      <c r="C109" s="6"/>
      <c r="D109" s="6"/>
      <c r="E109" s="6">
        <v>14</v>
      </c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</row>
    <row r="110" spans="1:17" x14ac:dyDescent="0.3">
      <c r="A110" s="6"/>
      <c r="B110" s="6" t="s">
        <v>520</v>
      </c>
      <c r="C110" s="6"/>
      <c r="D110" s="6"/>
      <c r="E110" s="6">
        <v>-1</v>
      </c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</row>
    <row r="111" spans="1:17" x14ac:dyDescent="0.3">
      <c r="A111" s="6"/>
      <c r="B111" s="6" t="s">
        <v>350</v>
      </c>
      <c r="C111" s="6"/>
      <c r="D111" s="6"/>
      <c r="E111" s="6">
        <v>-1</v>
      </c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</row>
    <row r="112" spans="1:17" x14ac:dyDescent="0.3">
      <c r="A112" s="6"/>
      <c r="B112" s="6" t="s">
        <v>444</v>
      </c>
      <c r="C112" s="6"/>
      <c r="D112" s="6"/>
      <c r="E112" s="6">
        <v>-1</v>
      </c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</row>
    <row r="113" spans="1:17" x14ac:dyDescent="0.3">
      <c r="A113" s="6"/>
      <c r="B113" s="6" t="s">
        <v>354</v>
      </c>
      <c r="C113" s="6"/>
      <c r="D113" s="6"/>
      <c r="E113" s="6"/>
      <c r="F113" s="6">
        <v>-1</v>
      </c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</row>
    <row r="114" spans="1:17" x14ac:dyDescent="0.3">
      <c r="A114" s="6"/>
      <c r="B114" s="6" t="s">
        <v>354</v>
      </c>
      <c r="C114" s="6"/>
      <c r="D114" s="6"/>
      <c r="E114" s="6"/>
      <c r="F114" s="6">
        <v>-1</v>
      </c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</row>
    <row r="115" spans="1:17" x14ac:dyDescent="0.3">
      <c r="A115" s="6"/>
      <c r="B115" s="6" t="s">
        <v>336</v>
      </c>
      <c r="C115" s="6"/>
      <c r="D115" s="6"/>
      <c r="E115" s="6"/>
      <c r="F115" s="6">
        <v>-1</v>
      </c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</row>
    <row r="116" spans="1:17" x14ac:dyDescent="0.3">
      <c r="A116" s="6"/>
      <c r="B116" s="6" t="s">
        <v>336</v>
      </c>
      <c r="C116" s="6"/>
      <c r="D116" s="6"/>
      <c r="E116" s="6"/>
      <c r="F116" s="6">
        <v>-1</v>
      </c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</row>
    <row r="117" spans="1:17" x14ac:dyDescent="0.3">
      <c r="A117" s="6"/>
      <c r="B117" s="6" t="s">
        <v>328</v>
      </c>
      <c r="C117" s="6"/>
      <c r="D117" s="6"/>
      <c r="E117" s="6"/>
      <c r="F117" s="6">
        <v>-1</v>
      </c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</row>
    <row r="118" spans="1:17" x14ac:dyDescent="0.3">
      <c r="A118" s="6"/>
      <c r="B118" s="6" t="s">
        <v>328</v>
      </c>
      <c r="C118" s="6"/>
      <c r="D118" s="6"/>
      <c r="E118" s="6"/>
      <c r="F118" s="6">
        <v>-1</v>
      </c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</row>
    <row r="119" spans="1:17" x14ac:dyDescent="0.3">
      <c r="A119" s="6"/>
      <c r="B119" s="6" t="s">
        <v>334</v>
      </c>
      <c r="C119" s="6"/>
      <c r="D119" s="6"/>
      <c r="E119" s="6"/>
      <c r="F119" s="6">
        <v>-1</v>
      </c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</row>
    <row r="120" spans="1:17" x14ac:dyDescent="0.3">
      <c r="A120" s="6"/>
      <c r="B120" s="6" t="s">
        <v>334</v>
      </c>
      <c r="C120" s="6"/>
      <c r="D120" s="6"/>
      <c r="E120" s="6"/>
      <c r="F120" s="6">
        <v>-1</v>
      </c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</row>
    <row r="121" spans="1:17" x14ac:dyDescent="0.3">
      <c r="A121" s="6"/>
      <c r="B121" s="6" t="s">
        <v>332</v>
      </c>
      <c r="C121" s="6"/>
      <c r="D121" s="6"/>
      <c r="E121" s="6"/>
      <c r="F121" s="6">
        <v>-1</v>
      </c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</row>
    <row r="122" spans="1:17" x14ac:dyDescent="0.3">
      <c r="A122" s="6" t="s">
        <v>2455</v>
      </c>
      <c r="B122" s="6" t="s">
        <v>332</v>
      </c>
      <c r="C122" s="6"/>
      <c r="D122" s="6"/>
      <c r="E122" s="6"/>
      <c r="F122" s="6">
        <v>11</v>
      </c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</row>
    <row r="123" spans="1:17" x14ac:dyDescent="0.3">
      <c r="A123" s="6"/>
      <c r="B123" s="6" t="s">
        <v>358</v>
      </c>
      <c r="C123" s="6"/>
      <c r="D123" s="6"/>
      <c r="E123" s="6"/>
      <c r="F123" s="6">
        <v>-1</v>
      </c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</row>
    <row r="124" spans="1:17" x14ac:dyDescent="0.3">
      <c r="A124" s="6"/>
      <c r="B124" s="6" t="s">
        <v>520</v>
      </c>
      <c r="C124" s="6"/>
      <c r="D124" s="6"/>
      <c r="E124" s="6"/>
      <c r="F124" s="6">
        <v>-1</v>
      </c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</row>
    <row r="125" spans="1:17" x14ac:dyDescent="0.3">
      <c r="A125" s="6"/>
      <c r="B125" s="6" t="s">
        <v>370</v>
      </c>
      <c r="C125" s="6"/>
      <c r="D125" s="6"/>
      <c r="E125" s="6"/>
      <c r="F125" s="6">
        <v>-1</v>
      </c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</row>
    <row r="126" spans="1:17" x14ac:dyDescent="0.3">
      <c r="A126" s="6"/>
      <c r="B126" s="6" t="s">
        <v>344</v>
      </c>
      <c r="C126" s="6"/>
      <c r="D126" s="6"/>
      <c r="E126" s="6"/>
      <c r="F126" s="6">
        <v>-1</v>
      </c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</row>
    <row r="127" spans="1:17" x14ac:dyDescent="0.3">
      <c r="A127" s="6"/>
      <c r="B127" s="6" t="s">
        <v>402</v>
      </c>
      <c r="C127" s="6"/>
      <c r="D127" s="6"/>
      <c r="E127" s="6"/>
      <c r="F127" s="6">
        <v>-1</v>
      </c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</row>
    <row r="128" spans="1:17" x14ac:dyDescent="0.3">
      <c r="A128" s="6"/>
      <c r="B128" s="6" t="s">
        <v>596</v>
      </c>
      <c r="C128" s="6"/>
      <c r="D128" s="6"/>
      <c r="E128" s="6"/>
      <c r="F128" s="6">
        <v>-1</v>
      </c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</row>
    <row r="129" spans="1:17" x14ac:dyDescent="0.3">
      <c r="A129" s="6"/>
      <c r="B129" s="6" t="s">
        <v>700</v>
      </c>
      <c r="C129" s="6"/>
      <c r="D129" s="6"/>
      <c r="E129" s="6"/>
      <c r="F129" s="6">
        <v>-1</v>
      </c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</row>
    <row r="130" spans="1:17" x14ac:dyDescent="0.3">
      <c r="A130" s="6"/>
      <c r="B130" s="6" t="s">
        <v>338</v>
      </c>
      <c r="C130" s="6"/>
      <c r="D130" s="6"/>
      <c r="E130" s="6"/>
      <c r="F130" s="6">
        <v>-1</v>
      </c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</row>
    <row r="131" spans="1:17" x14ac:dyDescent="0.3">
      <c r="A131" s="6"/>
      <c r="B131" s="6" t="s">
        <v>444</v>
      </c>
      <c r="C131" s="6"/>
      <c r="D131" s="6"/>
      <c r="E131" s="6"/>
      <c r="F131" s="6">
        <v>-1</v>
      </c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</row>
    <row r="132" spans="1:17" x14ac:dyDescent="0.3">
      <c r="A132" s="6"/>
      <c r="B132" s="6" t="s">
        <v>404</v>
      </c>
      <c r="C132" s="6"/>
      <c r="D132" s="6"/>
      <c r="E132" s="6"/>
      <c r="F132" s="6">
        <v>-1</v>
      </c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</row>
    <row r="133" spans="1:17" x14ac:dyDescent="0.3">
      <c r="A133" s="6"/>
      <c r="B133" s="6" t="s">
        <v>726</v>
      </c>
      <c r="C133" s="6"/>
      <c r="D133" s="6"/>
      <c r="E133" s="6"/>
      <c r="F133" s="6">
        <v>-1</v>
      </c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</row>
    <row r="134" spans="1:17" x14ac:dyDescent="0.3">
      <c r="A134" s="6" t="s">
        <v>4450</v>
      </c>
      <c r="B134" s="6" t="s">
        <v>352</v>
      </c>
      <c r="C134" s="6"/>
      <c r="D134" s="6"/>
      <c r="E134" s="6"/>
      <c r="F134" s="6">
        <v>19</v>
      </c>
      <c r="G134" s="6">
        <v>29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</row>
    <row r="135" spans="1:17" x14ac:dyDescent="0.3">
      <c r="A135" s="6"/>
      <c r="B135" s="6" t="s">
        <v>406</v>
      </c>
      <c r="C135" s="6"/>
      <c r="D135" s="6"/>
      <c r="E135" s="6"/>
      <c r="F135" s="6">
        <v>-1</v>
      </c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</row>
    <row r="136" spans="1:17" x14ac:dyDescent="0.3">
      <c r="A136" s="6"/>
      <c r="B136" s="6" t="s">
        <v>354</v>
      </c>
      <c r="C136" s="6"/>
      <c r="D136" s="6"/>
      <c r="E136" s="6"/>
      <c r="F136" s="6"/>
      <c r="G136" s="6">
        <v>-1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</row>
    <row r="137" spans="1:17" x14ac:dyDescent="0.3">
      <c r="A137" s="6"/>
      <c r="B137" s="6" t="s">
        <v>354</v>
      </c>
      <c r="C137" s="6"/>
      <c r="D137" s="6"/>
      <c r="E137" s="6"/>
      <c r="F137" s="6"/>
      <c r="G137" s="6">
        <v>-1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</row>
    <row r="138" spans="1:17" x14ac:dyDescent="0.3">
      <c r="A138" s="6"/>
      <c r="B138" s="6" t="s">
        <v>328</v>
      </c>
      <c r="C138" s="6"/>
      <c r="D138" s="6"/>
      <c r="E138" s="6"/>
      <c r="F138" s="6"/>
      <c r="G138" s="6">
        <v>-1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</row>
    <row r="139" spans="1:17" x14ac:dyDescent="0.3">
      <c r="A139" s="6"/>
      <c r="B139" s="6" t="s">
        <v>328</v>
      </c>
      <c r="C139" s="6"/>
      <c r="D139" s="6"/>
      <c r="E139" s="6"/>
      <c r="F139" s="6"/>
      <c r="G139" s="6">
        <v>-1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</row>
    <row r="140" spans="1:17" x14ac:dyDescent="0.3">
      <c r="A140" s="6"/>
      <c r="B140" s="6" t="s">
        <v>344</v>
      </c>
      <c r="C140" s="6"/>
      <c r="D140" s="6"/>
      <c r="E140" s="6"/>
      <c r="F140" s="6"/>
      <c r="G140" s="6">
        <v>-1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</row>
    <row r="141" spans="1:17" x14ac:dyDescent="0.3">
      <c r="A141" s="6"/>
      <c r="B141" s="6" t="s">
        <v>344</v>
      </c>
      <c r="C141" s="6"/>
      <c r="D141" s="6"/>
      <c r="E141" s="6"/>
      <c r="F141" s="6"/>
      <c r="G141" s="6">
        <v>-1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</row>
    <row r="142" spans="1:17" x14ac:dyDescent="0.3">
      <c r="A142" s="6"/>
      <c r="B142" s="6" t="s">
        <v>334</v>
      </c>
      <c r="C142" s="6"/>
      <c r="D142" s="6"/>
      <c r="E142" s="6"/>
      <c r="F142" s="6"/>
      <c r="G142" s="6">
        <v>-1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</row>
    <row r="143" spans="1:17" x14ac:dyDescent="0.3">
      <c r="A143" s="6"/>
      <c r="B143" s="6" t="s">
        <v>334</v>
      </c>
      <c r="C143" s="6"/>
      <c r="D143" s="6"/>
      <c r="E143" s="6"/>
      <c r="F143" s="6"/>
      <c r="G143" s="6">
        <v>-1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</row>
    <row r="144" spans="1:17" x14ac:dyDescent="0.3">
      <c r="A144" s="6" t="s">
        <v>3376</v>
      </c>
      <c r="B144" s="6" t="s">
        <v>356</v>
      </c>
      <c r="C144" s="6"/>
      <c r="D144" s="6"/>
      <c r="E144" s="6"/>
      <c r="F144" s="6"/>
      <c r="G144" s="6">
        <v>7</v>
      </c>
      <c r="H144" s="6">
        <v>12</v>
      </c>
      <c r="I144" s="6"/>
      <c r="J144" s="6"/>
      <c r="K144" s="6"/>
      <c r="L144" s="6"/>
      <c r="M144" s="6"/>
      <c r="N144" s="6"/>
      <c r="O144" s="6"/>
      <c r="P144" s="6"/>
      <c r="Q144" s="6"/>
    </row>
    <row r="145" spans="1:17" x14ac:dyDescent="0.3">
      <c r="A145" s="6"/>
      <c r="B145" s="6" t="s">
        <v>356</v>
      </c>
      <c r="C145" s="6"/>
      <c r="D145" s="6"/>
      <c r="E145" s="6"/>
      <c r="F145" s="6"/>
      <c r="G145" s="6">
        <v>-1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</row>
    <row r="146" spans="1:17" x14ac:dyDescent="0.3">
      <c r="A146" s="6" t="s">
        <v>4987</v>
      </c>
      <c r="B146" s="6" t="s">
        <v>364</v>
      </c>
      <c r="C146" s="6"/>
      <c r="D146" s="6"/>
      <c r="E146" s="6"/>
      <c r="F146" s="6"/>
      <c r="G146" s="6">
        <v>25</v>
      </c>
      <c r="H146" s="6">
        <v>20</v>
      </c>
      <c r="I146" s="6"/>
      <c r="J146" s="6"/>
      <c r="K146" s="6"/>
      <c r="L146" s="6"/>
      <c r="M146" s="6"/>
      <c r="N146" s="6"/>
      <c r="O146" s="6"/>
      <c r="P146" s="6"/>
      <c r="Q146" s="6">
        <v>25</v>
      </c>
    </row>
    <row r="147" spans="1:17" x14ac:dyDescent="0.3">
      <c r="A147" s="6"/>
      <c r="B147" s="6" t="s">
        <v>364</v>
      </c>
      <c r="C147" s="6"/>
      <c r="D147" s="6"/>
      <c r="E147" s="6"/>
      <c r="F147" s="6"/>
      <c r="G147" s="6">
        <v>-1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</row>
    <row r="148" spans="1:17" x14ac:dyDescent="0.3">
      <c r="A148" s="6" t="s">
        <v>1834</v>
      </c>
      <c r="B148" s="6" t="s">
        <v>332</v>
      </c>
      <c r="C148" s="6"/>
      <c r="D148" s="6"/>
      <c r="E148" s="6"/>
      <c r="F148" s="6"/>
      <c r="G148" s="6">
        <v>2</v>
      </c>
      <c r="H148" s="6">
        <v>1</v>
      </c>
      <c r="I148" s="6"/>
      <c r="J148" s="6"/>
      <c r="K148" s="6"/>
      <c r="L148" s="6"/>
      <c r="M148" s="6"/>
      <c r="N148" s="6"/>
      <c r="O148" s="6"/>
      <c r="P148" s="6"/>
      <c r="Q148" s="6"/>
    </row>
    <row r="149" spans="1:17" x14ac:dyDescent="0.3">
      <c r="A149" s="6"/>
      <c r="B149" s="6" t="s">
        <v>332</v>
      </c>
      <c r="C149" s="6"/>
      <c r="D149" s="6"/>
      <c r="E149" s="6"/>
      <c r="F149" s="6"/>
      <c r="G149" s="6">
        <v>-1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</row>
    <row r="150" spans="1:17" x14ac:dyDescent="0.3">
      <c r="A150" s="6"/>
      <c r="B150" s="6" t="s">
        <v>358</v>
      </c>
      <c r="C150" s="6"/>
      <c r="D150" s="6"/>
      <c r="E150" s="6"/>
      <c r="F150" s="6"/>
      <c r="G150" s="6">
        <v>-1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</row>
    <row r="151" spans="1:17" x14ac:dyDescent="0.3">
      <c r="A151" s="6"/>
      <c r="B151" s="6" t="s">
        <v>336</v>
      </c>
      <c r="C151" s="6"/>
      <c r="D151" s="6"/>
      <c r="E151" s="6"/>
      <c r="F151" s="6"/>
      <c r="G151" s="6">
        <v>-1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</row>
    <row r="152" spans="1:17" x14ac:dyDescent="0.3">
      <c r="A152" s="6"/>
      <c r="B152" s="6" t="s">
        <v>326</v>
      </c>
      <c r="C152" s="6"/>
      <c r="D152" s="6"/>
      <c r="E152" s="6"/>
      <c r="F152" s="6"/>
      <c r="G152" s="6">
        <v>-1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</row>
    <row r="153" spans="1:17" x14ac:dyDescent="0.3">
      <c r="A153" s="6"/>
      <c r="B153" s="6" t="s">
        <v>342</v>
      </c>
      <c r="C153" s="6"/>
      <c r="D153" s="6"/>
      <c r="E153" s="6"/>
      <c r="F153" s="6"/>
      <c r="G153" s="6">
        <v>-1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</row>
    <row r="154" spans="1:17" x14ac:dyDescent="0.3">
      <c r="A154" s="6"/>
      <c r="B154" s="6" t="s">
        <v>406</v>
      </c>
      <c r="C154" s="6"/>
      <c r="D154" s="6"/>
      <c r="E154" s="6"/>
      <c r="F154" s="6"/>
      <c r="G154" s="6">
        <v>-1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</row>
    <row r="155" spans="1:17" x14ac:dyDescent="0.3">
      <c r="A155" s="6" t="s">
        <v>3218</v>
      </c>
      <c r="B155" s="6" t="s">
        <v>596</v>
      </c>
      <c r="C155" s="6"/>
      <c r="D155" s="6"/>
      <c r="E155" s="6"/>
      <c r="F155" s="6"/>
      <c r="G155" s="6">
        <v>1</v>
      </c>
      <c r="H155" s="6">
        <v>3</v>
      </c>
      <c r="I155" s="6"/>
      <c r="J155" s="6"/>
      <c r="K155" s="6"/>
      <c r="L155" s="6"/>
      <c r="M155" s="6"/>
      <c r="N155" s="6"/>
      <c r="O155" s="6"/>
      <c r="P155" s="6"/>
      <c r="Q155" s="6">
        <v>18</v>
      </c>
    </row>
    <row r="156" spans="1:17" x14ac:dyDescent="0.3">
      <c r="A156" s="6"/>
      <c r="B156" s="6" t="s">
        <v>394</v>
      </c>
      <c r="C156" s="6"/>
      <c r="D156" s="6"/>
      <c r="E156" s="6"/>
      <c r="F156" s="6"/>
      <c r="G156" s="6">
        <v>-1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</row>
    <row r="157" spans="1:17" x14ac:dyDescent="0.3">
      <c r="A157" s="6" t="s">
        <v>1906</v>
      </c>
      <c r="B157" s="6" t="s">
        <v>348</v>
      </c>
      <c r="C157" s="6"/>
      <c r="D157" s="6"/>
      <c r="E157" s="6"/>
      <c r="F157" s="6"/>
      <c r="G157" s="6">
        <v>30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</row>
    <row r="158" spans="1:17" x14ac:dyDescent="0.3">
      <c r="A158" s="6"/>
      <c r="B158" s="6" t="s">
        <v>700</v>
      </c>
      <c r="C158" s="6"/>
      <c r="D158" s="6"/>
      <c r="E158" s="6"/>
      <c r="F158" s="6"/>
      <c r="G158" s="6">
        <v>-1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</row>
    <row r="159" spans="1:17" x14ac:dyDescent="0.3">
      <c r="A159" s="6"/>
      <c r="B159" s="6" t="s">
        <v>330</v>
      </c>
      <c r="C159" s="6"/>
      <c r="D159" s="6"/>
      <c r="E159" s="6"/>
      <c r="F159" s="6"/>
      <c r="G159" s="6">
        <v>-1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</row>
    <row r="160" spans="1:17" x14ac:dyDescent="0.3">
      <c r="A160" s="6"/>
      <c r="B160" s="6" t="s">
        <v>338</v>
      </c>
      <c r="C160" s="6"/>
      <c r="D160" s="6"/>
      <c r="E160" s="6"/>
      <c r="F160" s="6"/>
      <c r="G160" s="6">
        <v>-1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</row>
    <row r="161" spans="1:17" x14ac:dyDescent="0.3">
      <c r="A161" s="6"/>
      <c r="B161" s="6" t="s">
        <v>718</v>
      </c>
      <c r="C161" s="6"/>
      <c r="D161" s="6"/>
      <c r="E161" s="6"/>
      <c r="F161" s="6"/>
      <c r="G161" s="6">
        <v>-1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</row>
    <row r="162" spans="1:17" x14ac:dyDescent="0.3">
      <c r="A162" s="6" t="s">
        <v>2870</v>
      </c>
      <c r="B162" s="6" t="s">
        <v>726</v>
      </c>
      <c r="C162" s="6"/>
      <c r="D162" s="6"/>
      <c r="E162" s="6"/>
      <c r="F162" s="6"/>
      <c r="G162" s="6">
        <v>17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</row>
    <row r="163" spans="1:17" x14ac:dyDescent="0.3">
      <c r="A163" s="6" t="s">
        <v>4804</v>
      </c>
      <c r="B163" s="6" t="s">
        <v>482</v>
      </c>
      <c r="C163" s="6"/>
      <c r="D163" s="6"/>
      <c r="E163" s="6"/>
      <c r="F163" s="6">
        <v>26</v>
      </c>
      <c r="G163" s="6">
        <v>22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</row>
    <row r="164" spans="1:17" x14ac:dyDescent="0.3">
      <c r="A164" s="6"/>
      <c r="B164" s="6" t="s">
        <v>730</v>
      </c>
      <c r="C164" s="6"/>
      <c r="D164" s="6"/>
      <c r="E164" s="6"/>
      <c r="F164" s="6"/>
      <c r="G164" s="6">
        <v>-1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</row>
    <row r="165" spans="1:17" x14ac:dyDescent="0.3">
      <c r="A165" s="6"/>
      <c r="B165" s="6" t="s">
        <v>520</v>
      </c>
      <c r="C165" s="6"/>
      <c r="D165" s="6"/>
      <c r="E165" s="6"/>
      <c r="F165" s="6"/>
      <c r="G165" s="6">
        <v>-1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</row>
    <row r="166" spans="1:17" x14ac:dyDescent="0.3">
      <c r="A166" s="6"/>
      <c r="B166" s="6" t="s">
        <v>344</v>
      </c>
      <c r="C166" s="6"/>
      <c r="D166" s="6"/>
      <c r="E166" s="6"/>
      <c r="F166" s="6"/>
      <c r="G166" s="6"/>
      <c r="H166" s="6">
        <v>-1</v>
      </c>
      <c r="I166" s="6"/>
      <c r="J166" s="6"/>
      <c r="K166" s="6"/>
      <c r="L166" s="6"/>
      <c r="M166" s="6"/>
      <c r="N166" s="6"/>
      <c r="O166" s="6"/>
      <c r="P166" s="6"/>
      <c r="Q166" s="6"/>
    </row>
    <row r="167" spans="1:17" x14ac:dyDescent="0.3">
      <c r="A167" s="6" t="s">
        <v>4866</v>
      </c>
      <c r="B167" s="6" t="s">
        <v>344</v>
      </c>
      <c r="C167" s="6"/>
      <c r="D167" s="6"/>
      <c r="E167" s="6"/>
      <c r="F167" s="6"/>
      <c r="G167" s="6"/>
      <c r="H167" s="6">
        <v>8</v>
      </c>
      <c r="I167" s="6"/>
      <c r="J167" s="6"/>
      <c r="K167" s="6"/>
      <c r="L167" s="6"/>
      <c r="M167" s="6"/>
      <c r="N167" s="6"/>
      <c r="O167" s="6"/>
      <c r="P167" s="6"/>
      <c r="Q167" s="6"/>
    </row>
    <row r="168" spans="1:17" x14ac:dyDescent="0.3">
      <c r="A168" s="6"/>
      <c r="B168" s="6" t="s">
        <v>334</v>
      </c>
      <c r="C168" s="6"/>
      <c r="D168" s="6"/>
      <c r="E168" s="6"/>
      <c r="F168" s="6"/>
      <c r="G168" s="6"/>
      <c r="H168" s="6">
        <v>-1</v>
      </c>
      <c r="I168" s="6"/>
      <c r="J168" s="6"/>
      <c r="K168" s="6"/>
      <c r="L168" s="6"/>
      <c r="M168" s="6"/>
      <c r="N168" s="6"/>
      <c r="O168" s="6"/>
      <c r="P168" s="6"/>
      <c r="Q168" s="6"/>
    </row>
    <row r="169" spans="1:17" x14ac:dyDescent="0.3">
      <c r="A169" s="6"/>
      <c r="B169" s="6" t="s">
        <v>406</v>
      </c>
      <c r="C169" s="6"/>
      <c r="D169" s="6"/>
      <c r="E169" s="6"/>
      <c r="F169" s="6"/>
      <c r="G169" s="6"/>
      <c r="H169" s="6">
        <v>-1</v>
      </c>
      <c r="I169" s="6"/>
      <c r="J169" s="6"/>
      <c r="K169" s="6"/>
      <c r="L169" s="6"/>
      <c r="M169" s="6"/>
      <c r="N169" s="6"/>
      <c r="O169" s="6"/>
      <c r="P169" s="6"/>
      <c r="Q169" s="6"/>
    </row>
    <row r="170" spans="1:17" x14ac:dyDescent="0.3">
      <c r="A170" s="6"/>
      <c r="B170" s="6" t="s">
        <v>406</v>
      </c>
      <c r="C170" s="6"/>
      <c r="D170" s="6"/>
      <c r="E170" s="6"/>
      <c r="F170" s="6"/>
      <c r="G170" s="6"/>
      <c r="H170" s="6">
        <v>-1</v>
      </c>
      <c r="I170" s="6"/>
      <c r="J170" s="6"/>
      <c r="K170" s="6"/>
      <c r="L170" s="6"/>
      <c r="M170" s="6"/>
      <c r="N170" s="6"/>
      <c r="O170" s="6"/>
      <c r="P170" s="6"/>
      <c r="Q170" s="6"/>
    </row>
    <row r="171" spans="1:17" x14ac:dyDescent="0.3">
      <c r="A171" s="6"/>
      <c r="B171" s="6" t="s">
        <v>356</v>
      </c>
      <c r="C171" s="6"/>
      <c r="D171" s="6"/>
      <c r="E171" s="6"/>
      <c r="F171" s="6"/>
      <c r="G171" s="6"/>
      <c r="H171" s="6">
        <v>-1</v>
      </c>
      <c r="I171" s="6"/>
      <c r="J171" s="6"/>
      <c r="K171" s="6"/>
      <c r="L171" s="6"/>
      <c r="M171" s="6"/>
      <c r="N171" s="6"/>
      <c r="O171" s="6"/>
      <c r="P171" s="6"/>
      <c r="Q171" s="6"/>
    </row>
    <row r="172" spans="1:17" x14ac:dyDescent="0.3">
      <c r="A172" s="6"/>
      <c r="B172" s="6" t="s">
        <v>718</v>
      </c>
      <c r="C172" s="6"/>
      <c r="D172" s="6"/>
      <c r="E172" s="6"/>
      <c r="F172" s="6"/>
      <c r="G172" s="6"/>
      <c r="H172" s="6">
        <v>-1</v>
      </c>
      <c r="I172" s="6"/>
      <c r="J172" s="6"/>
      <c r="K172" s="6"/>
      <c r="L172" s="6"/>
      <c r="M172" s="6"/>
      <c r="N172" s="6"/>
      <c r="O172" s="6"/>
      <c r="P172" s="6"/>
      <c r="Q172" s="6"/>
    </row>
    <row r="173" spans="1:17" x14ac:dyDescent="0.3">
      <c r="A173" s="6"/>
      <c r="B173" s="6" t="s">
        <v>718</v>
      </c>
      <c r="C173" s="6"/>
      <c r="D173" s="6"/>
      <c r="E173" s="6"/>
      <c r="F173" s="6"/>
      <c r="G173" s="6"/>
      <c r="H173" s="6">
        <v>-1</v>
      </c>
      <c r="I173" s="6"/>
      <c r="J173" s="6"/>
      <c r="K173" s="6"/>
      <c r="L173" s="6"/>
      <c r="M173" s="6"/>
      <c r="N173" s="6"/>
      <c r="O173" s="6"/>
      <c r="P173" s="6"/>
      <c r="Q173" s="6"/>
    </row>
    <row r="174" spans="1:17" x14ac:dyDescent="0.3">
      <c r="A174" s="6"/>
      <c r="B174" s="6" t="s">
        <v>332</v>
      </c>
      <c r="C174" s="6"/>
      <c r="D174" s="6"/>
      <c r="E174" s="6"/>
      <c r="F174" s="6"/>
      <c r="G174" s="6"/>
      <c r="H174" s="6">
        <v>-1</v>
      </c>
      <c r="I174" s="6"/>
      <c r="J174" s="6"/>
      <c r="K174" s="6"/>
      <c r="L174" s="6"/>
      <c r="M174" s="6"/>
      <c r="N174" s="6"/>
      <c r="O174" s="6"/>
      <c r="P174" s="6"/>
      <c r="Q174" s="6"/>
    </row>
    <row r="175" spans="1:17" x14ac:dyDescent="0.3">
      <c r="A175" s="6"/>
      <c r="B175" s="6" t="s">
        <v>354</v>
      </c>
      <c r="C175" s="6"/>
      <c r="D175" s="6"/>
      <c r="E175" s="6"/>
      <c r="F175" s="6"/>
      <c r="G175" s="6"/>
      <c r="H175" s="6">
        <v>-1</v>
      </c>
      <c r="I175" s="6"/>
      <c r="J175" s="6"/>
      <c r="K175" s="6"/>
      <c r="L175" s="6"/>
      <c r="M175" s="6"/>
      <c r="N175" s="6"/>
      <c r="O175" s="6"/>
      <c r="P175" s="6"/>
      <c r="Q175" s="6"/>
    </row>
    <row r="176" spans="1:17" x14ac:dyDescent="0.3">
      <c r="A176" s="6"/>
      <c r="B176" s="6" t="s">
        <v>328</v>
      </c>
      <c r="C176" s="6"/>
      <c r="D176" s="6"/>
      <c r="E176" s="6"/>
      <c r="F176" s="6"/>
      <c r="G176" s="6"/>
      <c r="H176" s="6">
        <v>-1</v>
      </c>
      <c r="I176" s="6"/>
      <c r="J176" s="6"/>
      <c r="K176" s="6"/>
      <c r="L176" s="6"/>
      <c r="M176" s="6"/>
      <c r="N176" s="6"/>
      <c r="O176" s="6"/>
      <c r="P176" s="6"/>
      <c r="Q176" s="6"/>
    </row>
    <row r="177" spans="1:17" x14ac:dyDescent="0.3">
      <c r="A177" s="6"/>
      <c r="B177" s="6" t="s">
        <v>326</v>
      </c>
      <c r="C177" s="6"/>
      <c r="D177" s="6"/>
      <c r="E177" s="6"/>
      <c r="F177" s="6"/>
      <c r="G177" s="6"/>
      <c r="H177" s="6">
        <v>-1</v>
      </c>
      <c r="I177" s="6"/>
      <c r="J177" s="6"/>
      <c r="K177" s="6"/>
      <c r="L177" s="6"/>
      <c r="M177" s="6"/>
      <c r="N177" s="6"/>
      <c r="O177" s="6"/>
      <c r="P177" s="6"/>
      <c r="Q177" s="6"/>
    </row>
    <row r="178" spans="1:17" x14ac:dyDescent="0.3">
      <c r="A178" s="6" t="s">
        <v>3387</v>
      </c>
      <c r="B178" s="6" t="s">
        <v>402</v>
      </c>
      <c r="C178" s="6"/>
      <c r="D178" s="6"/>
      <c r="E178" s="6"/>
      <c r="F178" s="6"/>
      <c r="G178" s="6"/>
      <c r="H178" s="6">
        <v>15</v>
      </c>
      <c r="I178" s="6"/>
      <c r="J178" s="6"/>
      <c r="K178" s="6"/>
      <c r="L178" s="6"/>
      <c r="M178" s="6"/>
      <c r="N178" s="6"/>
      <c r="O178" s="6"/>
      <c r="P178" s="6"/>
      <c r="Q178" s="6"/>
    </row>
    <row r="179" spans="1:17" x14ac:dyDescent="0.3">
      <c r="A179" s="6"/>
      <c r="B179" s="6" t="s">
        <v>348</v>
      </c>
      <c r="C179" s="6"/>
      <c r="D179" s="6"/>
      <c r="E179" s="6"/>
      <c r="F179" s="6"/>
      <c r="G179" s="6"/>
      <c r="H179" s="6">
        <v>-1</v>
      </c>
      <c r="I179" s="6"/>
      <c r="J179" s="6"/>
      <c r="K179" s="6"/>
      <c r="L179" s="6"/>
      <c r="M179" s="6"/>
      <c r="N179" s="6"/>
      <c r="O179" s="6"/>
      <c r="P179" s="6"/>
      <c r="Q179" s="6"/>
    </row>
    <row r="180" spans="1:17" x14ac:dyDescent="0.3">
      <c r="A180" s="6"/>
      <c r="B180" s="6" t="s">
        <v>700</v>
      </c>
      <c r="C180" s="6"/>
      <c r="D180" s="6"/>
      <c r="E180" s="6"/>
      <c r="F180" s="6"/>
      <c r="G180" s="6"/>
      <c r="H180" s="6">
        <v>-1</v>
      </c>
      <c r="I180" s="6"/>
      <c r="J180" s="6"/>
      <c r="K180" s="6"/>
      <c r="L180" s="6"/>
      <c r="M180" s="6"/>
      <c r="N180" s="6"/>
      <c r="O180" s="6"/>
      <c r="P180" s="6"/>
      <c r="Q180" s="6"/>
    </row>
    <row r="181" spans="1:17" x14ac:dyDescent="0.3">
      <c r="A181" s="6"/>
      <c r="B181" s="6" t="s">
        <v>330</v>
      </c>
      <c r="C181" s="6"/>
      <c r="D181" s="6"/>
      <c r="E181" s="6"/>
      <c r="F181" s="6"/>
      <c r="G181" s="6"/>
      <c r="H181" s="6">
        <v>-1</v>
      </c>
      <c r="I181" s="6"/>
      <c r="J181" s="6"/>
      <c r="K181" s="6"/>
      <c r="L181" s="6"/>
      <c r="M181" s="6"/>
      <c r="N181" s="6"/>
      <c r="O181" s="6"/>
      <c r="P181" s="6"/>
      <c r="Q181" s="6"/>
    </row>
    <row r="182" spans="1:17" x14ac:dyDescent="0.3">
      <c r="A182" s="6"/>
      <c r="B182" s="6" t="s">
        <v>338</v>
      </c>
      <c r="C182" s="6"/>
      <c r="D182" s="6"/>
      <c r="E182" s="6"/>
      <c r="F182" s="6"/>
      <c r="G182" s="6"/>
      <c r="H182" s="6">
        <v>-1</v>
      </c>
      <c r="I182" s="6"/>
      <c r="J182" s="6"/>
      <c r="K182" s="6"/>
      <c r="L182" s="6"/>
      <c r="M182" s="6"/>
      <c r="N182" s="6"/>
      <c r="O182" s="6"/>
      <c r="P182" s="6"/>
      <c r="Q182" s="6"/>
    </row>
    <row r="183" spans="1:17" x14ac:dyDescent="0.3">
      <c r="A183" s="6"/>
      <c r="B183" s="6" t="s">
        <v>404</v>
      </c>
      <c r="C183" s="6"/>
      <c r="D183" s="6"/>
      <c r="E183" s="6"/>
      <c r="F183" s="6"/>
      <c r="G183" s="6"/>
      <c r="H183" s="6">
        <v>-1</v>
      </c>
      <c r="I183" s="6"/>
      <c r="J183" s="6"/>
      <c r="K183" s="6"/>
      <c r="L183" s="6"/>
      <c r="M183" s="6"/>
      <c r="N183" s="6"/>
      <c r="O183" s="6"/>
      <c r="P183" s="6"/>
      <c r="Q183" s="6"/>
    </row>
    <row r="184" spans="1:17" x14ac:dyDescent="0.3">
      <c r="A184" s="6"/>
      <c r="B184" s="6" t="s">
        <v>726</v>
      </c>
      <c r="C184" s="6"/>
      <c r="D184" s="6"/>
      <c r="E184" s="6"/>
      <c r="F184" s="6"/>
      <c r="G184" s="6"/>
      <c r="H184" s="6">
        <v>-1</v>
      </c>
      <c r="I184" s="6"/>
      <c r="J184" s="6"/>
      <c r="K184" s="6"/>
      <c r="L184" s="6"/>
      <c r="M184" s="6"/>
      <c r="N184" s="6"/>
      <c r="O184" s="6"/>
      <c r="P184" s="6"/>
      <c r="Q184" s="6"/>
    </row>
    <row r="185" spans="1:17" x14ac:dyDescent="0.3">
      <c r="A185" s="6"/>
      <c r="B185" s="6" t="s">
        <v>394</v>
      </c>
      <c r="C185" s="6"/>
      <c r="D185" s="6"/>
      <c r="E185" s="6"/>
      <c r="F185" s="6"/>
      <c r="G185" s="6"/>
      <c r="H185" s="6">
        <v>-1</v>
      </c>
      <c r="I185" s="6"/>
      <c r="J185" s="6"/>
      <c r="K185" s="6"/>
      <c r="L185" s="6"/>
      <c r="M185" s="6"/>
      <c r="N185" s="6"/>
      <c r="O185" s="6"/>
      <c r="P185" s="6"/>
      <c r="Q185" s="6"/>
    </row>
    <row r="186" spans="1:17" x14ac:dyDescent="0.3">
      <c r="A186" s="6"/>
      <c r="B186" s="6" t="s">
        <v>730</v>
      </c>
      <c r="C186" s="6"/>
      <c r="D186" s="6"/>
      <c r="E186" s="6"/>
      <c r="F186" s="6"/>
      <c r="G186" s="6"/>
      <c r="H186" s="6">
        <v>-1</v>
      </c>
      <c r="I186" s="6"/>
      <c r="J186" s="6"/>
      <c r="K186" s="6"/>
      <c r="L186" s="6"/>
      <c r="M186" s="6"/>
      <c r="N186" s="6"/>
      <c r="O186" s="6"/>
      <c r="P186" s="6"/>
      <c r="Q186" s="6"/>
    </row>
    <row r="187" spans="1:17" x14ac:dyDescent="0.3">
      <c r="A187" s="6"/>
      <c r="B187" s="6" t="s">
        <v>354</v>
      </c>
      <c r="C187" s="6"/>
      <c r="D187" s="6"/>
      <c r="E187" s="6"/>
      <c r="F187" s="6"/>
      <c r="G187" s="6"/>
      <c r="H187" s="6"/>
      <c r="I187" s="6">
        <v>-1</v>
      </c>
      <c r="J187" s="6"/>
      <c r="K187" s="6"/>
      <c r="L187" s="6"/>
      <c r="M187" s="6"/>
      <c r="N187" s="6"/>
      <c r="O187" s="6"/>
      <c r="P187" s="6"/>
      <c r="Q187" s="6"/>
    </row>
    <row r="188" spans="1:17" x14ac:dyDescent="0.3">
      <c r="A188" s="6" t="s">
        <v>2474</v>
      </c>
      <c r="B188" s="6" t="s">
        <v>354</v>
      </c>
      <c r="C188" s="6"/>
      <c r="D188" s="6"/>
      <c r="E188" s="6"/>
      <c r="F188" s="6"/>
      <c r="G188" s="6"/>
      <c r="H188" s="6"/>
      <c r="I188" s="6">
        <v>25</v>
      </c>
      <c r="J188" s="6">
        <v>25</v>
      </c>
      <c r="K188" s="6"/>
      <c r="L188" s="6"/>
      <c r="M188" s="6"/>
      <c r="N188" s="6"/>
      <c r="O188" s="6"/>
      <c r="P188" s="6"/>
      <c r="Q188" s="6"/>
    </row>
    <row r="189" spans="1:17" x14ac:dyDescent="0.3">
      <c r="A189" s="6"/>
      <c r="B189" s="6" t="s">
        <v>384</v>
      </c>
      <c r="C189" s="6"/>
      <c r="D189" s="6"/>
      <c r="E189" s="6"/>
      <c r="F189" s="6"/>
      <c r="G189" s="6"/>
      <c r="H189" s="6"/>
      <c r="I189" s="6">
        <v>-1</v>
      </c>
      <c r="J189" s="6"/>
      <c r="K189" s="6"/>
      <c r="L189" s="6"/>
      <c r="M189" s="6"/>
      <c r="N189" s="6"/>
      <c r="O189" s="6"/>
      <c r="P189" s="6"/>
      <c r="Q189" s="6"/>
    </row>
    <row r="190" spans="1:17" x14ac:dyDescent="0.3">
      <c r="A190" s="6"/>
      <c r="B190" s="6" t="s">
        <v>384</v>
      </c>
      <c r="C190" s="6"/>
      <c r="D190" s="6"/>
      <c r="E190" s="6"/>
      <c r="F190" s="6"/>
      <c r="G190" s="6"/>
      <c r="H190" s="6"/>
      <c r="I190" s="6">
        <v>-1</v>
      </c>
      <c r="J190" s="6"/>
      <c r="K190" s="6"/>
      <c r="L190" s="6"/>
      <c r="M190" s="6"/>
      <c r="N190" s="6"/>
      <c r="O190" s="6"/>
      <c r="P190" s="6"/>
      <c r="Q190" s="6"/>
    </row>
    <row r="191" spans="1:17" x14ac:dyDescent="0.3">
      <c r="A191" s="6"/>
      <c r="B191" s="6" t="s">
        <v>344</v>
      </c>
      <c r="C191" s="6"/>
      <c r="D191" s="6"/>
      <c r="E191" s="6"/>
      <c r="F191" s="6"/>
      <c r="G191" s="6"/>
      <c r="H191" s="6"/>
      <c r="I191" s="6">
        <v>-1</v>
      </c>
      <c r="J191" s="6"/>
      <c r="K191" s="6"/>
      <c r="L191" s="6"/>
      <c r="M191" s="6"/>
      <c r="N191" s="6"/>
      <c r="O191" s="6"/>
      <c r="P191" s="6"/>
      <c r="Q191" s="6"/>
    </row>
    <row r="192" spans="1:17" x14ac:dyDescent="0.3">
      <c r="A192" s="6" t="s">
        <v>1590</v>
      </c>
      <c r="B192" s="6" t="s">
        <v>344</v>
      </c>
      <c r="C192" s="6"/>
      <c r="D192" s="6"/>
      <c r="E192" s="6"/>
      <c r="F192" s="6"/>
      <c r="G192" s="6"/>
      <c r="H192" s="6"/>
      <c r="I192" s="6">
        <v>15</v>
      </c>
      <c r="J192" s="6">
        <v>4</v>
      </c>
      <c r="K192" s="6"/>
      <c r="L192" s="6"/>
      <c r="M192" s="6"/>
      <c r="N192" s="6"/>
      <c r="O192" s="6"/>
      <c r="P192" s="6"/>
      <c r="Q192" s="6"/>
    </row>
    <row r="193" spans="1:17" x14ac:dyDescent="0.3">
      <c r="A193" s="6"/>
      <c r="B193" s="6" t="s">
        <v>334</v>
      </c>
      <c r="C193" s="6"/>
      <c r="D193" s="6"/>
      <c r="E193" s="6"/>
      <c r="F193" s="6"/>
      <c r="G193" s="6"/>
      <c r="H193" s="6"/>
      <c r="I193" s="6">
        <v>-1</v>
      </c>
      <c r="J193" s="6"/>
      <c r="K193" s="6"/>
      <c r="L193" s="6"/>
      <c r="M193" s="6"/>
      <c r="N193" s="6"/>
      <c r="O193" s="6"/>
      <c r="P193" s="6"/>
      <c r="Q193" s="6"/>
    </row>
    <row r="194" spans="1:17" x14ac:dyDescent="0.3">
      <c r="A194" s="6"/>
      <c r="B194" s="6" t="s">
        <v>334</v>
      </c>
      <c r="C194" s="6"/>
      <c r="D194" s="6"/>
      <c r="E194" s="6"/>
      <c r="F194" s="6"/>
      <c r="G194" s="6"/>
      <c r="H194" s="6"/>
      <c r="I194" s="6">
        <v>-1</v>
      </c>
      <c r="J194" s="6"/>
      <c r="K194" s="6"/>
      <c r="L194" s="6"/>
      <c r="M194" s="6"/>
      <c r="N194" s="6"/>
      <c r="O194" s="6"/>
      <c r="P194" s="6"/>
      <c r="Q194" s="6"/>
    </row>
    <row r="195" spans="1:17" x14ac:dyDescent="0.3">
      <c r="A195" s="6"/>
      <c r="B195" s="6" t="s">
        <v>402</v>
      </c>
      <c r="C195" s="6"/>
      <c r="D195" s="6"/>
      <c r="E195" s="6"/>
      <c r="F195" s="6"/>
      <c r="G195" s="6"/>
      <c r="H195" s="6"/>
      <c r="I195" s="6">
        <v>-1</v>
      </c>
      <c r="J195" s="6"/>
      <c r="K195" s="6"/>
      <c r="L195" s="6"/>
      <c r="M195" s="6"/>
      <c r="N195" s="6"/>
      <c r="O195" s="6"/>
      <c r="P195" s="6"/>
      <c r="Q195" s="6"/>
    </row>
    <row r="196" spans="1:17" x14ac:dyDescent="0.3">
      <c r="A196" s="6" t="s">
        <v>2740</v>
      </c>
      <c r="B196" s="6" t="s">
        <v>402</v>
      </c>
      <c r="C196" s="6"/>
      <c r="D196" s="6"/>
      <c r="E196" s="6"/>
      <c r="F196" s="6"/>
      <c r="G196" s="6"/>
      <c r="H196" s="6"/>
      <c r="I196" s="6">
        <v>8</v>
      </c>
      <c r="J196" s="6">
        <v>12</v>
      </c>
      <c r="K196" s="6"/>
      <c r="L196" s="6"/>
      <c r="M196" s="6"/>
      <c r="N196" s="6"/>
      <c r="O196" s="6"/>
      <c r="P196" s="6"/>
      <c r="Q196" s="6"/>
    </row>
    <row r="197" spans="1:17" x14ac:dyDescent="0.3">
      <c r="A197" s="6"/>
      <c r="B197" s="6" t="s">
        <v>342</v>
      </c>
      <c r="C197" s="6"/>
      <c r="D197" s="6"/>
      <c r="E197" s="6"/>
      <c r="F197" s="6"/>
      <c r="G197" s="6"/>
      <c r="H197" s="6"/>
      <c r="I197" s="6">
        <v>-1</v>
      </c>
      <c r="J197" s="6"/>
      <c r="K197" s="6"/>
      <c r="L197" s="6"/>
      <c r="M197" s="6"/>
      <c r="N197" s="6"/>
      <c r="O197" s="6"/>
      <c r="P197" s="6"/>
      <c r="Q197" s="6"/>
    </row>
    <row r="198" spans="1:17" x14ac:dyDescent="0.3">
      <c r="A198" s="6"/>
      <c r="B198" s="6" t="s">
        <v>342</v>
      </c>
      <c r="C198" s="6"/>
      <c r="D198" s="6"/>
      <c r="E198" s="6"/>
      <c r="F198" s="6"/>
      <c r="G198" s="6"/>
      <c r="H198" s="6"/>
      <c r="I198" s="6">
        <v>-1</v>
      </c>
      <c r="J198" s="6"/>
      <c r="K198" s="6"/>
      <c r="L198" s="6"/>
      <c r="M198" s="6"/>
      <c r="N198" s="6"/>
      <c r="O198" s="6"/>
      <c r="P198" s="6"/>
      <c r="Q198" s="6"/>
    </row>
    <row r="199" spans="1:17" x14ac:dyDescent="0.3">
      <c r="A199" s="6" t="s">
        <v>3505</v>
      </c>
      <c r="B199" s="6" t="s">
        <v>406</v>
      </c>
      <c r="C199" s="6"/>
      <c r="D199" s="6"/>
      <c r="E199" s="6"/>
      <c r="F199" s="6"/>
      <c r="G199" s="6"/>
      <c r="H199" s="6"/>
      <c r="I199" s="6">
        <v>19</v>
      </c>
      <c r="J199" s="6"/>
      <c r="K199" s="6"/>
      <c r="L199" s="6"/>
      <c r="M199" s="6"/>
      <c r="N199" s="6"/>
      <c r="O199" s="6"/>
      <c r="P199" s="6"/>
      <c r="Q199" s="6"/>
    </row>
    <row r="200" spans="1:17" x14ac:dyDescent="0.3">
      <c r="A200" s="6"/>
      <c r="B200" s="6" t="s">
        <v>406</v>
      </c>
      <c r="C200" s="6"/>
      <c r="D200" s="6"/>
      <c r="E200" s="6"/>
      <c r="F200" s="6"/>
      <c r="G200" s="6"/>
      <c r="H200" s="6"/>
      <c r="I200" s="6">
        <v>-1</v>
      </c>
      <c r="J200" s="6"/>
      <c r="K200" s="6"/>
      <c r="L200" s="6"/>
      <c r="M200" s="6"/>
      <c r="N200" s="6"/>
      <c r="O200" s="6"/>
      <c r="P200" s="6"/>
      <c r="Q200" s="6"/>
    </row>
    <row r="201" spans="1:17" x14ac:dyDescent="0.3">
      <c r="A201" s="6"/>
      <c r="B201" s="6" t="s">
        <v>356</v>
      </c>
      <c r="C201" s="6"/>
      <c r="D201" s="6"/>
      <c r="E201" s="6"/>
      <c r="F201" s="6"/>
      <c r="G201" s="6"/>
      <c r="H201" s="6"/>
      <c r="I201" s="6">
        <v>-1</v>
      </c>
      <c r="J201" s="6"/>
      <c r="K201" s="6"/>
      <c r="L201" s="6"/>
      <c r="M201" s="6"/>
      <c r="N201" s="6"/>
      <c r="O201" s="6"/>
      <c r="P201" s="6"/>
      <c r="Q201" s="6"/>
    </row>
    <row r="202" spans="1:17" x14ac:dyDescent="0.3">
      <c r="A202" s="6"/>
      <c r="B202" s="6" t="s">
        <v>356</v>
      </c>
      <c r="C202" s="6"/>
      <c r="D202" s="6"/>
      <c r="E202" s="6"/>
      <c r="F202" s="6"/>
      <c r="G202" s="6"/>
      <c r="H202" s="6"/>
      <c r="I202" s="6">
        <v>-1</v>
      </c>
      <c r="J202" s="6"/>
      <c r="K202" s="6"/>
      <c r="L202" s="6"/>
      <c r="M202" s="6"/>
      <c r="N202" s="6"/>
      <c r="O202" s="6"/>
      <c r="P202" s="6"/>
      <c r="Q202" s="6"/>
    </row>
    <row r="203" spans="1:17" x14ac:dyDescent="0.3">
      <c r="A203" s="6"/>
      <c r="B203" s="6" t="s">
        <v>444</v>
      </c>
      <c r="C203" s="6"/>
      <c r="D203" s="6"/>
      <c r="E203" s="6"/>
      <c r="F203" s="6"/>
      <c r="G203" s="6"/>
      <c r="H203" s="6"/>
      <c r="I203" s="6">
        <v>-1</v>
      </c>
      <c r="J203" s="6"/>
      <c r="K203" s="6"/>
      <c r="L203" s="6"/>
      <c r="M203" s="6"/>
      <c r="N203" s="6"/>
      <c r="O203" s="6"/>
      <c r="P203" s="6"/>
      <c r="Q203" s="6"/>
    </row>
    <row r="204" spans="1:17" x14ac:dyDescent="0.3">
      <c r="A204" s="6" t="s">
        <v>5047</v>
      </c>
      <c r="B204" s="6" t="s">
        <v>444</v>
      </c>
      <c r="C204" s="6"/>
      <c r="D204" s="6"/>
      <c r="E204" s="6"/>
      <c r="F204" s="6"/>
      <c r="G204" s="6"/>
      <c r="H204" s="6"/>
      <c r="I204" s="6">
        <v>17</v>
      </c>
      <c r="J204" s="6">
        <v>3</v>
      </c>
      <c r="K204" s="6"/>
      <c r="L204" s="6"/>
      <c r="M204" s="6"/>
      <c r="N204" s="6"/>
      <c r="O204" s="6"/>
      <c r="P204" s="6"/>
      <c r="Q204" s="6"/>
    </row>
    <row r="205" spans="1:17" x14ac:dyDescent="0.3">
      <c r="A205" s="6"/>
      <c r="B205" s="6" t="s">
        <v>332</v>
      </c>
      <c r="C205" s="6"/>
      <c r="D205" s="6"/>
      <c r="E205" s="6"/>
      <c r="F205" s="6"/>
      <c r="G205" s="6"/>
      <c r="H205" s="6"/>
      <c r="I205" s="6">
        <v>-1</v>
      </c>
      <c r="J205" s="6"/>
      <c r="K205" s="6"/>
      <c r="L205" s="6"/>
      <c r="M205" s="6"/>
      <c r="N205" s="6"/>
      <c r="O205" s="6"/>
      <c r="P205" s="6"/>
      <c r="Q205" s="6"/>
    </row>
    <row r="206" spans="1:17" x14ac:dyDescent="0.3">
      <c r="A206" s="6"/>
      <c r="B206" s="6" t="s">
        <v>332</v>
      </c>
      <c r="C206" s="6"/>
      <c r="D206" s="6"/>
      <c r="E206" s="6"/>
      <c r="F206" s="6"/>
      <c r="G206" s="6"/>
      <c r="H206" s="6"/>
      <c r="I206" s="6">
        <v>-1</v>
      </c>
      <c r="J206" s="6"/>
      <c r="K206" s="6"/>
      <c r="L206" s="6"/>
      <c r="M206" s="6"/>
      <c r="N206" s="6"/>
      <c r="O206" s="6"/>
      <c r="P206" s="6"/>
      <c r="Q206" s="6"/>
    </row>
    <row r="207" spans="1:17" x14ac:dyDescent="0.3">
      <c r="A207" s="6"/>
      <c r="B207" s="6" t="s">
        <v>328</v>
      </c>
      <c r="C207" s="6"/>
      <c r="D207" s="6"/>
      <c r="E207" s="6"/>
      <c r="F207" s="6"/>
      <c r="G207" s="6"/>
      <c r="H207" s="6"/>
      <c r="I207" s="6">
        <v>-1</v>
      </c>
      <c r="J207" s="6"/>
      <c r="K207" s="6"/>
      <c r="L207" s="6"/>
      <c r="M207" s="6"/>
      <c r="N207" s="6"/>
      <c r="O207" s="6"/>
      <c r="P207" s="6"/>
      <c r="Q207" s="6"/>
    </row>
    <row r="208" spans="1:17" x14ac:dyDescent="0.3">
      <c r="A208" s="6"/>
      <c r="B208" s="6" t="s">
        <v>442</v>
      </c>
      <c r="C208" s="6"/>
      <c r="D208" s="6"/>
      <c r="E208" s="6"/>
      <c r="F208" s="6"/>
      <c r="G208" s="6"/>
      <c r="H208" s="6"/>
      <c r="I208" s="6">
        <v>-1</v>
      </c>
      <c r="J208" s="6"/>
      <c r="K208" s="6"/>
      <c r="L208" s="6"/>
      <c r="M208" s="6"/>
      <c r="N208" s="6"/>
      <c r="O208" s="6"/>
      <c r="P208" s="6"/>
      <c r="Q208" s="6"/>
    </row>
    <row r="209" spans="1:17" x14ac:dyDescent="0.3">
      <c r="A209" s="6" t="s">
        <v>4757</v>
      </c>
      <c r="B209" s="6" t="s">
        <v>598</v>
      </c>
      <c r="C209" s="6"/>
      <c r="D209" s="6"/>
      <c r="E209" s="6"/>
      <c r="F209" s="6"/>
      <c r="G209" s="6"/>
      <c r="H209" s="6"/>
      <c r="I209" s="6">
        <v>28</v>
      </c>
      <c r="J209" s="6"/>
      <c r="K209" s="6"/>
      <c r="L209" s="6"/>
      <c r="M209" s="6"/>
      <c r="N209" s="6"/>
      <c r="O209" s="6"/>
      <c r="P209" s="6"/>
      <c r="Q209" s="6"/>
    </row>
    <row r="210" spans="1:17" x14ac:dyDescent="0.3">
      <c r="A210" s="6"/>
      <c r="B210" s="6" t="s">
        <v>428</v>
      </c>
      <c r="C210" s="6"/>
      <c r="D210" s="6"/>
      <c r="E210" s="6"/>
      <c r="F210" s="6"/>
      <c r="G210" s="6"/>
      <c r="H210" s="6"/>
      <c r="I210" s="6">
        <v>-1</v>
      </c>
      <c r="J210" s="6"/>
      <c r="K210" s="6"/>
      <c r="L210" s="6"/>
      <c r="M210" s="6"/>
      <c r="N210" s="6"/>
      <c r="O210" s="6"/>
      <c r="P210" s="6"/>
      <c r="Q210" s="6"/>
    </row>
    <row r="211" spans="1:17" x14ac:dyDescent="0.3">
      <c r="A211" s="6"/>
      <c r="B211" s="6" t="s">
        <v>394</v>
      </c>
      <c r="C211" s="6"/>
      <c r="D211" s="6"/>
      <c r="E211" s="6"/>
      <c r="F211" s="6"/>
      <c r="G211" s="6"/>
      <c r="H211" s="6"/>
      <c r="I211" s="6">
        <v>-1</v>
      </c>
      <c r="J211" s="6"/>
      <c r="K211" s="6"/>
      <c r="L211" s="6"/>
      <c r="M211" s="6"/>
      <c r="N211" s="6"/>
      <c r="O211" s="6"/>
      <c r="P211" s="6"/>
      <c r="Q211" s="6"/>
    </row>
    <row r="212" spans="1:17" x14ac:dyDescent="0.3">
      <c r="A212" s="6"/>
      <c r="B212" s="6" t="s">
        <v>346</v>
      </c>
      <c r="C212" s="6"/>
      <c r="D212" s="6"/>
      <c r="E212" s="6"/>
      <c r="F212" s="6"/>
      <c r="G212" s="6"/>
      <c r="H212" s="6"/>
      <c r="I212" s="6">
        <v>-1</v>
      </c>
      <c r="J212" s="6"/>
      <c r="K212" s="6"/>
      <c r="L212" s="6"/>
      <c r="M212" s="6"/>
      <c r="N212" s="6"/>
      <c r="O212" s="6"/>
      <c r="P212" s="6"/>
      <c r="Q212" s="6"/>
    </row>
    <row r="213" spans="1:17" x14ac:dyDescent="0.3">
      <c r="A213" s="6"/>
      <c r="B213" s="6" t="s">
        <v>422</v>
      </c>
      <c r="C213" s="6"/>
      <c r="D213" s="6"/>
      <c r="E213" s="6"/>
      <c r="F213" s="6"/>
      <c r="G213" s="6"/>
      <c r="H213" s="6"/>
      <c r="I213" s="6">
        <v>-1</v>
      </c>
      <c r="J213" s="6"/>
      <c r="K213" s="6"/>
      <c r="L213" s="6"/>
      <c r="M213" s="6"/>
      <c r="N213" s="6"/>
      <c r="O213" s="6"/>
      <c r="P213" s="6"/>
      <c r="Q213" s="6"/>
    </row>
    <row r="214" spans="1:17" x14ac:dyDescent="0.3">
      <c r="A214" s="6"/>
      <c r="B214" s="6" t="s">
        <v>700</v>
      </c>
      <c r="C214" s="6"/>
      <c r="D214" s="6"/>
      <c r="E214" s="6"/>
      <c r="F214" s="6"/>
      <c r="G214" s="6"/>
      <c r="H214" s="6"/>
      <c r="I214" s="6">
        <v>-1</v>
      </c>
      <c r="J214" s="6"/>
      <c r="K214" s="6"/>
      <c r="L214" s="6"/>
      <c r="M214" s="6"/>
      <c r="N214" s="6"/>
      <c r="O214" s="6"/>
      <c r="P214" s="6"/>
      <c r="Q214" s="6"/>
    </row>
    <row r="215" spans="1:17" x14ac:dyDescent="0.3">
      <c r="A215" s="6" t="s">
        <v>2596</v>
      </c>
      <c r="B215" s="6" t="s">
        <v>330</v>
      </c>
      <c r="C215" s="6"/>
      <c r="D215" s="6"/>
      <c r="E215" s="6"/>
      <c r="F215" s="6"/>
      <c r="G215" s="6"/>
      <c r="H215" s="6"/>
      <c r="I215" s="6">
        <v>6</v>
      </c>
      <c r="J215" s="6">
        <v>6</v>
      </c>
      <c r="K215" s="6"/>
      <c r="L215" s="6"/>
      <c r="M215" s="6"/>
      <c r="N215" s="6"/>
      <c r="O215" s="6"/>
      <c r="P215" s="6"/>
      <c r="Q215" s="6"/>
    </row>
    <row r="216" spans="1:17" x14ac:dyDescent="0.3">
      <c r="A216" s="6" t="s">
        <v>4793</v>
      </c>
      <c r="B216" s="6" t="s">
        <v>726</v>
      </c>
      <c r="C216" s="6"/>
      <c r="D216" s="6"/>
      <c r="E216" s="6"/>
      <c r="F216" s="6"/>
      <c r="G216" s="6"/>
      <c r="H216" s="6"/>
      <c r="I216" s="6">
        <v>24</v>
      </c>
      <c r="J216" s="6">
        <v>20</v>
      </c>
      <c r="K216" s="6"/>
      <c r="L216" s="6"/>
      <c r="M216" s="6"/>
      <c r="N216" s="6"/>
      <c r="O216" s="6"/>
      <c r="P216" s="6"/>
      <c r="Q216" s="6"/>
    </row>
    <row r="217" spans="1:17" x14ac:dyDescent="0.3">
      <c r="A217" s="6" t="s">
        <v>3846</v>
      </c>
      <c r="B217" s="6" t="s">
        <v>340</v>
      </c>
      <c r="C217" s="6"/>
      <c r="D217" s="6"/>
      <c r="E217" s="6"/>
      <c r="F217" s="6"/>
      <c r="G217" s="6"/>
      <c r="H217" s="6"/>
      <c r="I217" s="6">
        <v>35</v>
      </c>
      <c r="J217" s="6"/>
      <c r="K217" s="6"/>
      <c r="L217" s="6"/>
      <c r="M217" s="6"/>
      <c r="N217" s="6"/>
      <c r="O217" s="6"/>
      <c r="P217" s="6"/>
      <c r="Q217" s="6"/>
    </row>
    <row r="218" spans="1:17" x14ac:dyDescent="0.3">
      <c r="A218" s="6"/>
      <c r="B218" s="6" t="s">
        <v>412</v>
      </c>
      <c r="C218" s="6"/>
      <c r="D218" s="6"/>
      <c r="E218" s="6"/>
      <c r="F218" s="6"/>
      <c r="G218" s="6"/>
      <c r="H218" s="6"/>
      <c r="I218" s="6">
        <v>-1</v>
      </c>
      <c r="J218" s="6"/>
      <c r="K218" s="6"/>
      <c r="L218" s="6"/>
      <c r="M218" s="6"/>
      <c r="N218" s="6"/>
      <c r="O218" s="6"/>
      <c r="P218" s="6"/>
      <c r="Q218" s="6"/>
    </row>
    <row r="219" spans="1:17" x14ac:dyDescent="0.3">
      <c r="A219" s="6" t="s">
        <v>2410</v>
      </c>
      <c r="B219" s="6" t="s">
        <v>354</v>
      </c>
      <c r="C219" s="6"/>
      <c r="D219" s="6"/>
      <c r="E219" s="6"/>
      <c r="F219" s="6"/>
      <c r="G219" s="6"/>
      <c r="H219" s="6"/>
      <c r="I219" s="6"/>
      <c r="J219" s="6">
        <v>18</v>
      </c>
      <c r="K219" s="6"/>
      <c r="L219" s="6"/>
      <c r="M219" s="6"/>
      <c r="N219" s="6"/>
      <c r="O219" s="6"/>
      <c r="P219" s="6"/>
      <c r="Q219" s="6"/>
    </row>
    <row r="220" spans="1:17" x14ac:dyDescent="0.3">
      <c r="A220" s="6"/>
      <c r="B220" s="6" t="s">
        <v>344</v>
      </c>
      <c r="C220" s="6"/>
      <c r="D220" s="6"/>
      <c r="E220" s="6"/>
      <c r="F220" s="6"/>
      <c r="G220" s="6"/>
      <c r="H220" s="6"/>
      <c r="I220" s="6"/>
      <c r="J220" s="6">
        <v>-1</v>
      </c>
      <c r="K220" s="6"/>
      <c r="L220" s="6"/>
      <c r="M220" s="6"/>
      <c r="N220" s="6"/>
      <c r="O220" s="6"/>
      <c r="P220" s="6"/>
      <c r="Q220" s="6"/>
    </row>
    <row r="221" spans="1:17" x14ac:dyDescent="0.3">
      <c r="A221" s="6" t="s">
        <v>4038</v>
      </c>
      <c r="B221" s="6" t="s">
        <v>402</v>
      </c>
      <c r="C221" s="6"/>
      <c r="D221" s="6"/>
      <c r="E221" s="6"/>
      <c r="F221" s="6"/>
      <c r="G221" s="6"/>
      <c r="H221" s="6"/>
      <c r="I221" s="6"/>
      <c r="J221" s="6">
        <v>3001</v>
      </c>
      <c r="K221" s="6"/>
      <c r="L221" s="6"/>
      <c r="M221" s="6"/>
      <c r="N221" s="6"/>
      <c r="O221" s="6"/>
      <c r="P221" s="6"/>
      <c r="Q221" s="6"/>
    </row>
    <row r="222" spans="1:17" x14ac:dyDescent="0.3">
      <c r="A222" s="6"/>
      <c r="B222" s="6" t="s">
        <v>342</v>
      </c>
      <c r="C222" s="6"/>
      <c r="D222" s="6"/>
      <c r="E222" s="6"/>
      <c r="F222" s="6"/>
      <c r="G222" s="6"/>
      <c r="H222" s="6"/>
      <c r="I222" s="6"/>
      <c r="J222" s="6">
        <v>-1</v>
      </c>
      <c r="K222" s="6"/>
      <c r="L222" s="6"/>
      <c r="M222" s="6"/>
      <c r="N222" s="6"/>
      <c r="O222" s="6"/>
      <c r="P222" s="6"/>
      <c r="Q222" s="6"/>
    </row>
    <row r="223" spans="1:17" x14ac:dyDescent="0.3">
      <c r="A223" s="6"/>
      <c r="B223" s="6" t="s">
        <v>342</v>
      </c>
      <c r="C223" s="6"/>
      <c r="D223" s="6"/>
      <c r="E223" s="6"/>
      <c r="F223" s="6"/>
      <c r="G223" s="6"/>
      <c r="H223" s="6"/>
      <c r="I223" s="6"/>
      <c r="J223" s="6">
        <v>-1</v>
      </c>
      <c r="K223" s="6"/>
      <c r="L223" s="6"/>
      <c r="M223" s="6"/>
      <c r="N223" s="6"/>
      <c r="O223" s="6"/>
      <c r="P223" s="6"/>
      <c r="Q223" s="6"/>
    </row>
    <row r="224" spans="1:17" x14ac:dyDescent="0.3">
      <c r="A224" s="6"/>
      <c r="B224" s="6" t="s">
        <v>406</v>
      </c>
      <c r="C224" s="6"/>
      <c r="D224" s="6"/>
      <c r="E224" s="6"/>
      <c r="F224" s="6"/>
      <c r="G224" s="6"/>
      <c r="H224" s="6"/>
      <c r="I224" s="6"/>
      <c r="J224" s="6">
        <v>-1</v>
      </c>
      <c r="K224" s="6"/>
      <c r="L224" s="6"/>
      <c r="M224" s="6"/>
      <c r="N224" s="6"/>
      <c r="O224" s="6"/>
      <c r="P224" s="6"/>
      <c r="Q224" s="6"/>
    </row>
    <row r="225" spans="1:17" x14ac:dyDescent="0.3">
      <c r="A225" s="6"/>
      <c r="B225" s="6" t="s">
        <v>406</v>
      </c>
      <c r="C225" s="6"/>
      <c r="D225" s="6"/>
      <c r="E225" s="6"/>
      <c r="F225" s="6"/>
      <c r="G225" s="6"/>
      <c r="H225" s="6"/>
      <c r="I225" s="6"/>
      <c r="J225" s="6">
        <v>-1</v>
      </c>
      <c r="K225" s="6"/>
      <c r="L225" s="6"/>
      <c r="M225" s="6"/>
      <c r="N225" s="6"/>
      <c r="O225" s="6"/>
      <c r="P225" s="6"/>
      <c r="Q225" s="6"/>
    </row>
    <row r="226" spans="1:17" x14ac:dyDescent="0.3">
      <c r="A226" s="6"/>
      <c r="B226" s="6" t="s">
        <v>428</v>
      </c>
      <c r="C226" s="6"/>
      <c r="D226" s="6"/>
      <c r="E226" s="6"/>
      <c r="F226" s="6"/>
      <c r="G226" s="6"/>
      <c r="H226" s="6"/>
      <c r="I226" s="6"/>
      <c r="J226" s="6">
        <v>-1</v>
      </c>
      <c r="K226" s="6"/>
      <c r="L226" s="6"/>
      <c r="M226" s="6"/>
      <c r="N226" s="6"/>
      <c r="O226" s="6"/>
      <c r="P226" s="6"/>
      <c r="Q226" s="6"/>
    </row>
    <row r="227" spans="1:17" x14ac:dyDescent="0.3">
      <c r="A227" s="6"/>
      <c r="B227" s="6" t="s">
        <v>428</v>
      </c>
      <c r="C227" s="6"/>
      <c r="D227" s="6"/>
      <c r="E227" s="6"/>
      <c r="F227" s="6"/>
      <c r="G227" s="6"/>
      <c r="H227" s="6"/>
      <c r="I227" s="6"/>
      <c r="J227" s="6">
        <v>-1</v>
      </c>
      <c r="K227" s="6"/>
      <c r="L227" s="6"/>
      <c r="M227" s="6"/>
      <c r="N227" s="6"/>
      <c r="O227" s="6"/>
      <c r="P227" s="6"/>
      <c r="Q227" s="6"/>
    </row>
    <row r="228" spans="1:17" x14ac:dyDescent="0.3">
      <c r="A228" s="6" t="s">
        <v>2746</v>
      </c>
      <c r="B228" s="6" t="s">
        <v>332</v>
      </c>
      <c r="C228" s="6"/>
      <c r="D228" s="6"/>
      <c r="E228" s="6"/>
      <c r="F228" s="6"/>
      <c r="G228" s="6"/>
      <c r="H228" s="6"/>
      <c r="I228" s="6"/>
      <c r="J228" s="6">
        <v>5</v>
      </c>
      <c r="K228" s="6"/>
      <c r="L228" s="6"/>
      <c r="M228" s="6"/>
      <c r="N228" s="6"/>
      <c r="O228" s="6"/>
      <c r="P228" s="6"/>
      <c r="Q228" s="6"/>
    </row>
    <row r="229" spans="1:17" x14ac:dyDescent="0.3">
      <c r="A229" s="6"/>
      <c r="B229" s="6" t="s">
        <v>332</v>
      </c>
      <c r="C229" s="6"/>
      <c r="D229" s="6"/>
      <c r="E229" s="6"/>
      <c r="F229" s="6"/>
      <c r="G229" s="6"/>
      <c r="H229" s="6"/>
      <c r="I229" s="6"/>
      <c r="J229" s="6">
        <v>-1</v>
      </c>
      <c r="K229" s="6"/>
      <c r="L229" s="6"/>
      <c r="M229" s="6"/>
      <c r="N229" s="6"/>
      <c r="O229" s="6"/>
      <c r="P229" s="6"/>
      <c r="Q229" s="6"/>
    </row>
    <row r="230" spans="1:17" x14ac:dyDescent="0.3">
      <c r="A230" s="6"/>
      <c r="B230" s="6" t="s">
        <v>384</v>
      </c>
      <c r="C230" s="6"/>
      <c r="D230" s="6"/>
      <c r="E230" s="6"/>
      <c r="F230" s="6"/>
      <c r="G230" s="6"/>
      <c r="H230" s="6"/>
      <c r="I230" s="6"/>
      <c r="J230" s="6">
        <v>-1</v>
      </c>
      <c r="K230" s="6"/>
      <c r="L230" s="6"/>
      <c r="M230" s="6"/>
      <c r="N230" s="6"/>
      <c r="O230" s="6"/>
      <c r="P230" s="6"/>
      <c r="Q230" s="6"/>
    </row>
    <row r="231" spans="1:17" x14ac:dyDescent="0.3">
      <c r="A231" s="6"/>
      <c r="B231" s="6" t="s">
        <v>328</v>
      </c>
      <c r="C231" s="6"/>
      <c r="D231" s="6"/>
      <c r="E231" s="6"/>
      <c r="F231" s="6"/>
      <c r="G231" s="6"/>
      <c r="H231" s="6"/>
      <c r="I231" s="6"/>
      <c r="J231" s="6">
        <v>-1</v>
      </c>
      <c r="K231" s="6"/>
      <c r="L231" s="6"/>
      <c r="M231" s="6"/>
      <c r="N231" s="6"/>
      <c r="O231" s="6"/>
      <c r="P231" s="6"/>
      <c r="Q231" s="6"/>
    </row>
    <row r="232" spans="1:17" x14ac:dyDescent="0.3">
      <c r="A232" s="6"/>
      <c r="B232" s="6" t="s">
        <v>334</v>
      </c>
      <c r="C232" s="6"/>
      <c r="D232" s="6"/>
      <c r="E232" s="6"/>
      <c r="F232" s="6"/>
      <c r="G232" s="6"/>
      <c r="H232" s="6"/>
      <c r="I232" s="6"/>
      <c r="J232" s="6">
        <v>-1</v>
      </c>
      <c r="K232" s="6"/>
      <c r="L232" s="6"/>
      <c r="M232" s="6"/>
      <c r="N232" s="6"/>
      <c r="O232" s="6"/>
      <c r="P232" s="6"/>
      <c r="Q232" s="6"/>
    </row>
    <row r="233" spans="1:17" x14ac:dyDescent="0.3">
      <c r="A233" s="6" t="s">
        <v>4964</v>
      </c>
      <c r="B233" s="6" t="s">
        <v>356</v>
      </c>
      <c r="C233" s="6"/>
      <c r="D233" s="6"/>
      <c r="E233" s="6"/>
      <c r="F233" s="6"/>
      <c r="G233" s="6"/>
      <c r="H233" s="6"/>
      <c r="I233" s="6"/>
      <c r="J233" s="6">
        <v>24</v>
      </c>
      <c r="K233" s="6"/>
      <c r="L233" s="6"/>
      <c r="M233" s="6"/>
      <c r="N233" s="6"/>
      <c r="O233" s="6"/>
      <c r="P233" s="6"/>
      <c r="Q233" s="6"/>
    </row>
    <row r="234" spans="1:17" x14ac:dyDescent="0.3">
      <c r="A234" s="6"/>
      <c r="B234" s="6" t="s">
        <v>412</v>
      </c>
      <c r="C234" s="6"/>
      <c r="D234" s="6"/>
      <c r="E234" s="6"/>
      <c r="F234" s="6"/>
      <c r="G234" s="6"/>
      <c r="H234" s="6"/>
      <c r="I234" s="6"/>
      <c r="J234" s="6">
        <v>-1</v>
      </c>
      <c r="K234" s="6"/>
      <c r="L234" s="6"/>
      <c r="M234" s="6"/>
      <c r="N234" s="6"/>
      <c r="O234" s="6"/>
      <c r="P234" s="6"/>
      <c r="Q234" s="6"/>
    </row>
    <row r="235" spans="1:17" x14ac:dyDescent="0.3">
      <c r="A235" s="6"/>
      <c r="B235" s="6" t="s">
        <v>474</v>
      </c>
      <c r="C235" s="6"/>
      <c r="D235" s="6"/>
      <c r="E235" s="6"/>
      <c r="F235" s="6"/>
      <c r="G235" s="6"/>
      <c r="H235" s="6"/>
      <c r="I235" s="6"/>
      <c r="J235" s="6">
        <v>-1</v>
      </c>
      <c r="K235" s="6"/>
      <c r="L235" s="6"/>
      <c r="M235" s="6"/>
      <c r="N235" s="6"/>
      <c r="O235" s="6"/>
      <c r="P235" s="6"/>
      <c r="Q235" s="6"/>
    </row>
    <row r="236" spans="1:17" x14ac:dyDescent="0.3">
      <c r="A236" s="6"/>
      <c r="B236" s="6" t="s">
        <v>394</v>
      </c>
      <c r="C236" s="6"/>
      <c r="D236" s="6"/>
      <c r="E236" s="6"/>
      <c r="F236" s="6"/>
      <c r="G236" s="6"/>
      <c r="H236" s="6"/>
      <c r="I236" s="6"/>
      <c r="J236" s="6">
        <v>-1</v>
      </c>
      <c r="K236" s="6"/>
      <c r="L236" s="6"/>
      <c r="M236" s="6"/>
      <c r="N236" s="6"/>
      <c r="O236" s="6"/>
      <c r="P236" s="6"/>
      <c r="Q236" s="6"/>
    </row>
    <row r="237" spans="1:17" x14ac:dyDescent="0.3">
      <c r="A237" s="6"/>
      <c r="B237" s="6" t="s">
        <v>422</v>
      </c>
      <c r="C237" s="6"/>
      <c r="D237" s="6"/>
      <c r="E237" s="6"/>
      <c r="F237" s="6"/>
      <c r="G237" s="6"/>
      <c r="H237" s="6"/>
      <c r="I237" s="6"/>
      <c r="J237" s="6">
        <v>-1</v>
      </c>
      <c r="K237" s="6"/>
      <c r="L237" s="6"/>
      <c r="M237" s="6"/>
      <c r="N237" s="6"/>
      <c r="O237" s="6"/>
      <c r="P237" s="6"/>
      <c r="Q237" s="6"/>
    </row>
    <row r="238" spans="1:17" x14ac:dyDescent="0.3">
      <c r="A238" s="6"/>
      <c r="B238" s="6" t="s">
        <v>700</v>
      </c>
      <c r="C238" s="6"/>
      <c r="D238" s="6"/>
      <c r="E238" s="6"/>
      <c r="F238" s="6"/>
      <c r="G238" s="6"/>
      <c r="H238" s="6"/>
      <c r="I238" s="6"/>
      <c r="J238" s="6">
        <v>-1</v>
      </c>
      <c r="K238" s="6"/>
      <c r="L238" s="6"/>
      <c r="M238" s="6"/>
      <c r="N238" s="6"/>
      <c r="O238" s="6"/>
      <c r="P238" s="6"/>
      <c r="Q238" s="6"/>
    </row>
    <row r="239" spans="1:17" x14ac:dyDescent="0.3">
      <c r="A239" s="6"/>
      <c r="B239" s="6" t="s">
        <v>398</v>
      </c>
      <c r="C239" s="6"/>
      <c r="D239" s="6"/>
      <c r="E239" s="6"/>
      <c r="F239" s="6"/>
      <c r="G239" s="6"/>
      <c r="H239" s="6"/>
      <c r="I239" s="6"/>
      <c r="J239" s="6">
        <v>-1</v>
      </c>
      <c r="K239" s="6"/>
      <c r="L239" s="6"/>
      <c r="M239" s="6"/>
      <c r="N239" s="6"/>
      <c r="O239" s="6"/>
      <c r="P239" s="6"/>
      <c r="Q239" s="6"/>
    </row>
    <row r="240" spans="1:17" x14ac:dyDescent="0.3">
      <c r="A240" s="6"/>
      <c r="B240" s="6" t="s">
        <v>354</v>
      </c>
      <c r="C240" s="6"/>
      <c r="D240" s="6"/>
      <c r="E240" s="6"/>
      <c r="F240" s="6"/>
      <c r="G240" s="6"/>
      <c r="H240" s="6"/>
      <c r="I240" s="6"/>
      <c r="J240" s="6"/>
      <c r="K240" s="6">
        <v>-1</v>
      </c>
      <c r="L240" s="6"/>
      <c r="M240" s="6"/>
      <c r="N240" s="6"/>
      <c r="O240" s="6"/>
      <c r="P240" s="6"/>
      <c r="Q240" s="6"/>
    </row>
    <row r="241" spans="1:17" x14ac:dyDescent="0.3">
      <c r="A241" s="6" t="s">
        <v>4945</v>
      </c>
      <c r="B241" s="6" t="s">
        <v>354</v>
      </c>
      <c r="C241" s="6"/>
      <c r="D241" s="6"/>
      <c r="E241" s="6"/>
      <c r="F241" s="6"/>
      <c r="G241" s="6"/>
      <c r="H241" s="6"/>
      <c r="I241" s="6"/>
      <c r="J241" s="6"/>
      <c r="K241" s="6">
        <v>12</v>
      </c>
      <c r="L241" s="6">
        <v>8</v>
      </c>
      <c r="M241" s="6"/>
      <c r="N241" s="6"/>
      <c r="O241" s="6"/>
      <c r="P241" s="6"/>
      <c r="Q241" s="6"/>
    </row>
    <row r="242" spans="1:17" x14ac:dyDescent="0.3">
      <c r="A242" s="6"/>
      <c r="B242" s="6" t="s">
        <v>328</v>
      </c>
      <c r="C242" s="6"/>
      <c r="D242" s="6"/>
      <c r="E242" s="6"/>
      <c r="F242" s="6"/>
      <c r="G242" s="6"/>
      <c r="H242" s="6"/>
      <c r="I242" s="6"/>
      <c r="J242" s="6"/>
      <c r="K242" s="6">
        <v>-1</v>
      </c>
      <c r="L242" s="6"/>
      <c r="M242" s="6"/>
      <c r="N242" s="6"/>
      <c r="O242" s="6"/>
      <c r="P242" s="6"/>
      <c r="Q242" s="6"/>
    </row>
    <row r="243" spans="1:17" x14ac:dyDescent="0.3">
      <c r="A243" s="6" t="s">
        <v>2117</v>
      </c>
      <c r="B243" s="6" t="s">
        <v>328</v>
      </c>
      <c r="C243" s="6"/>
      <c r="D243" s="6"/>
      <c r="E243" s="6"/>
      <c r="F243" s="6"/>
      <c r="G243" s="6"/>
      <c r="H243" s="6"/>
      <c r="I243" s="6"/>
      <c r="J243" s="6"/>
      <c r="K243" s="6">
        <v>17</v>
      </c>
      <c r="L243" s="6"/>
      <c r="M243" s="6">
        <v>19</v>
      </c>
      <c r="N243" s="6"/>
      <c r="O243" s="6"/>
      <c r="P243" s="6"/>
      <c r="Q243" s="6"/>
    </row>
    <row r="244" spans="1:17" x14ac:dyDescent="0.3">
      <c r="A244" s="6"/>
      <c r="B244" s="6" t="s">
        <v>334</v>
      </c>
      <c r="C244" s="6"/>
      <c r="D244" s="6"/>
      <c r="E244" s="6"/>
      <c r="F244" s="6"/>
      <c r="G244" s="6"/>
      <c r="H244" s="6"/>
      <c r="I244" s="6"/>
      <c r="J244" s="6"/>
      <c r="K244" s="6">
        <v>-1</v>
      </c>
      <c r="L244" s="6"/>
      <c r="M244" s="6"/>
      <c r="N244" s="6"/>
      <c r="O244" s="6"/>
      <c r="P244" s="6"/>
      <c r="Q244" s="6"/>
    </row>
    <row r="245" spans="1:17" x14ac:dyDescent="0.3">
      <c r="A245" s="6"/>
      <c r="B245" s="6" t="s">
        <v>334</v>
      </c>
      <c r="C245" s="6"/>
      <c r="D245" s="6"/>
      <c r="E245" s="6"/>
      <c r="F245" s="6"/>
      <c r="G245" s="6"/>
      <c r="H245" s="6"/>
      <c r="I245" s="6"/>
      <c r="J245" s="6"/>
      <c r="K245" s="6">
        <v>-1</v>
      </c>
      <c r="L245" s="6"/>
      <c r="M245" s="6"/>
      <c r="N245" s="6"/>
      <c r="O245" s="6"/>
      <c r="P245" s="6"/>
      <c r="Q245" s="6"/>
    </row>
    <row r="246" spans="1:17" x14ac:dyDescent="0.3">
      <c r="A246" s="6" t="s">
        <v>2981</v>
      </c>
      <c r="B246" s="6" t="s">
        <v>402</v>
      </c>
      <c r="C246" s="6"/>
      <c r="D246" s="6"/>
      <c r="E246" s="6"/>
      <c r="F246" s="6"/>
      <c r="G246" s="6"/>
      <c r="H246" s="6"/>
      <c r="I246" s="6"/>
      <c r="J246" s="6"/>
      <c r="K246" s="6">
        <v>2</v>
      </c>
      <c r="L246" s="6"/>
      <c r="M246" s="6"/>
      <c r="N246" s="6"/>
      <c r="O246" s="6"/>
      <c r="P246" s="6"/>
      <c r="Q246" s="6"/>
    </row>
    <row r="247" spans="1:17" x14ac:dyDescent="0.3">
      <c r="A247" s="6" t="s">
        <v>4138</v>
      </c>
      <c r="B247" s="6" t="s">
        <v>402</v>
      </c>
      <c r="C247" s="6"/>
      <c r="D247" s="6"/>
      <c r="E247" s="6"/>
      <c r="F247" s="6"/>
      <c r="G247" s="6"/>
      <c r="H247" s="6"/>
      <c r="I247" s="6"/>
      <c r="J247" s="6"/>
      <c r="K247" s="6">
        <v>11</v>
      </c>
      <c r="L247" s="6"/>
      <c r="M247" s="6"/>
      <c r="N247" s="6"/>
      <c r="O247" s="6"/>
      <c r="P247" s="6"/>
      <c r="Q247" s="6"/>
    </row>
    <row r="248" spans="1:17" x14ac:dyDescent="0.3">
      <c r="A248" s="6"/>
      <c r="B248" s="6" t="s">
        <v>518</v>
      </c>
      <c r="C248" s="6"/>
      <c r="D248" s="6"/>
      <c r="E248" s="6"/>
      <c r="F248" s="6"/>
      <c r="G248" s="6"/>
      <c r="H248" s="6"/>
      <c r="I248" s="6"/>
      <c r="J248" s="6"/>
      <c r="K248" s="6">
        <v>-1</v>
      </c>
      <c r="L248" s="6"/>
      <c r="M248" s="6"/>
      <c r="N248" s="6"/>
      <c r="O248" s="6"/>
      <c r="P248" s="6"/>
      <c r="Q248" s="6"/>
    </row>
    <row r="249" spans="1:17" x14ac:dyDescent="0.3">
      <c r="A249" s="6"/>
      <c r="B249" s="6" t="s">
        <v>674</v>
      </c>
      <c r="C249" s="6"/>
      <c r="D249" s="6"/>
      <c r="E249" s="6"/>
      <c r="F249" s="6"/>
      <c r="G249" s="6"/>
      <c r="H249" s="6"/>
      <c r="I249" s="6"/>
      <c r="J249" s="6"/>
      <c r="K249" s="6">
        <v>-1</v>
      </c>
      <c r="L249" s="6"/>
      <c r="M249" s="6"/>
      <c r="N249" s="6"/>
      <c r="O249" s="6"/>
      <c r="P249" s="6"/>
      <c r="Q249" s="6"/>
    </row>
    <row r="250" spans="1:17" x14ac:dyDescent="0.3">
      <c r="A250" s="6" t="s">
        <v>4619</v>
      </c>
      <c r="B250" s="6" t="s">
        <v>356</v>
      </c>
      <c r="C250" s="6"/>
      <c r="D250" s="6"/>
      <c r="E250" s="6"/>
      <c r="F250" s="6"/>
      <c r="G250" s="6"/>
      <c r="H250" s="6"/>
      <c r="I250" s="6"/>
      <c r="J250" s="6"/>
      <c r="K250" s="6">
        <v>1</v>
      </c>
      <c r="L250" s="6"/>
      <c r="M250" s="6"/>
      <c r="N250" s="6"/>
      <c r="O250" s="6"/>
      <c r="P250" s="6"/>
      <c r="Q250" s="6"/>
    </row>
    <row r="251" spans="1:17" x14ac:dyDescent="0.3">
      <c r="A251" s="6"/>
      <c r="B251" s="6" t="s">
        <v>356</v>
      </c>
      <c r="C251" s="6"/>
      <c r="D251" s="6"/>
      <c r="E251" s="6"/>
      <c r="F251" s="6"/>
      <c r="G251" s="6"/>
      <c r="H251" s="6"/>
      <c r="I251" s="6"/>
      <c r="J251" s="6"/>
      <c r="K251" s="6">
        <v>-1</v>
      </c>
      <c r="L251" s="6"/>
      <c r="M251" s="6"/>
      <c r="N251" s="6"/>
      <c r="O251" s="6"/>
      <c r="P251" s="6"/>
      <c r="Q251" s="6"/>
    </row>
    <row r="252" spans="1:17" x14ac:dyDescent="0.3">
      <c r="A252" s="6" t="s">
        <v>1981</v>
      </c>
      <c r="B252" s="6" t="s">
        <v>412</v>
      </c>
      <c r="C252" s="6"/>
      <c r="D252" s="6"/>
      <c r="E252" s="6"/>
      <c r="F252" s="6"/>
      <c r="G252" s="6"/>
      <c r="H252" s="6"/>
      <c r="I252" s="6"/>
      <c r="J252" s="6"/>
      <c r="K252" s="6">
        <v>8</v>
      </c>
      <c r="L252" s="6">
        <v>3</v>
      </c>
      <c r="M252" s="6"/>
      <c r="N252" s="6"/>
      <c r="O252" s="6"/>
      <c r="P252" s="6"/>
      <c r="Q252" s="6"/>
    </row>
    <row r="253" spans="1:17" x14ac:dyDescent="0.3">
      <c r="A253" s="6"/>
      <c r="B253" s="6" t="s">
        <v>412</v>
      </c>
      <c r="C253" s="6"/>
      <c r="D253" s="6"/>
      <c r="E253" s="6"/>
      <c r="F253" s="6"/>
      <c r="G253" s="6"/>
      <c r="H253" s="6"/>
      <c r="I253" s="6"/>
      <c r="J253" s="6"/>
      <c r="K253" s="6">
        <v>-1</v>
      </c>
      <c r="L253" s="6"/>
      <c r="M253" s="6"/>
      <c r="N253" s="6"/>
      <c r="O253" s="6"/>
      <c r="P253" s="6"/>
      <c r="Q253" s="6"/>
    </row>
    <row r="254" spans="1:17" x14ac:dyDescent="0.3">
      <c r="A254" s="6"/>
      <c r="B254" s="6" t="s">
        <v>332</v>
      </c>
      <c r="C254" s="6"/>
      <c r="D254" s="6"/>
      <c r="E254" s="6"/>
      <c r="F254" s="6"/>
      <c r="G254" s="6"/>
      <c r="H254" s="6"/>
      <c r="I254" s="6"/>
      <c r="J254" s="6"/>
      <c r="K254" s="6">
        <v>-1</v>
      </c>
      <c r="L254" s="6"/>
      <c r="M254" s="6"/>
      <c r="N254" s="6"/>
      <c r="O254" s="6"/>
      <c r="P254" s="6"/>
      <c r="Q254" s="6"/>
    </row>
    <row r="255" spans="1:17" x14ac:dyDescent="0.3">
      <c r="A255" s="6"/>
      <c r="B255" s="6" t="s">
        <v>332</v>
      </c>
      <c r="C255" s="6"/>
      <c r="D255" s="6"/>
      <c r="E255" s="6"/>
      <c r="F255" s="6"/>
      <c r="G255" s="6"/>
      <c r="H255" s="6"/>
      <c r="I255" s="6"/>
      <c r="J255" s="6"/>
      <c r="K255" s="6">
        <v>-1</v>
      </c>
      <c r="L255" s="6"/>
      <c r="M255" s="6"/>
      <c r="N255" s="6"/>
      <c r="O255" s="6"/>
      <c r="P255" s="6"/>
      <c r="Q255" s="6"/>
    </row>
    <row r="256" spans="1:17" x14ac:dyDescent="0.3">
      <c r="A256" s="6" t="s">
        <v>3748</v>
      </c>
      <c r="B256" s="6" t="s">
        <v>428</v>
      </c>
      <c r="C256" s="6"/>
      <c r="D256" s="6"/>
      <c r="E256" s="6"/>
      <c r="F256" s="6"/>
      <c r="G256" s="6"/>
      <c r="H256" s="6"/>
      <c r="I256" s="6"/>
      <c r="J256" s="6"/>
      <c r="K256" s="6">
        <v>19</v>
      </c>
      <c r="L256" s="6"/>
      <c r="M256" s="6"/>
      <c r="N256" s="6"/>
      <c r="O256" s="6"/>
      <c r="P256" s="6"/>
      <c r="Q256" s="6"/>
    </row>
    <row r="257" spans="1:17" x14ac:dyDescent="0.3">
      <c r="A257" s="6"/>
      <c r="B257" s="6" t="s">
        <v>610</v>
      </c>
      <c r="C257" s="6"/>
      <c r="D257" s="6"/>
      <c r="E257" s="6"/>
      <c r="F257" s="6"/>
      <c r="G257" s="6"/>
      <c r="H257" s="6"/>
      <c r="I257" s="6"/>
      <c r="J257" s="6"/>
      <c r="K257" s="6">
        <v>-1</v>
      </c>
      <c r="L257" s="6"/>
      <c r="M257" s="6"/>
      <c r="N257" s="6"/>
      <c r="O257" s="6"/>
      <c r="P257" s="6"/>
      <c r="Q257" s="6"/>
    </row>
    <row r="258" spans="1:17" x14ac:dyDescent="0.3">
      <c r="A258" s="6" t="s">
        <v>2795</v>
      </c>
      <c r="B258" s="6" t="s">
        <v>620</v>
      </c>
      <c r="C258" s="6"/>
      <c r="D258" s="6"/>
      <c r="E258" s="6"/>
      <c r="F258" s="6"/>
      <c r="G258" s="6"/>
      <c r="H258" s="6"/>
      <c r="I258" s="6"/>
      <c r="J258" s="6"/>
      <c r="K258" s="6">
        <v>20</v>
      </c>
      <c r="L258" s="6"/>
      <c r="M258" s="6"/>
      <c r="N258" s="6"/>
      <c r="O258" s="6"/>
      <c r="P258" s="6"/>
      <c r="Q258" s="6"/>
    </row>
    <row r="259" spans="1:17" x14ac:dyDescent="0.3">
      <c r="A259" s="6"/>
      <c r="B259" s="6" t="s">
        <v>700</v>
      </c>
      <c r="C259" s="6"/>
      <c r="D259" s="6"/>
      <c r="E259" s="6"/>
      <c r="F259" s="6"/>
      <c r="G259" s="6"/>
      <c r="H259" s="6"/>
      <c r="I259" s="6"/>
      <c r="J259" s="6"/>
      <c r="K259" s="6">
        <v>-1</v>
      </c>
      <c r="L259" s="6"/>
      <c r="M259" s="6"/>
      <c r="N259" s="6"/>
      <c r="O259" s="6"/>
      <c r="P259" s="6"/>
      <c r="Q259" s="6"/>
    </row>
    <row r="260" spans="1:17" x14ac:dyDescent="0.3">
      <c r="A260" s="6" t="s">
        <v>1957</v>
      </c>
      <c r="B260" s="6" t="s">
        <v>718</v>
      </c>
      <c r="C260" s="6"/>
      <c r="D260" s="6"/>
      <c r="E260" s="6"/>
      <c r="F260" s="6"/>
      <c r="G260" s="6"/>
      <c r="H260" s="6"/>
      <c r="I260" s="6"/>
      <c r="J260" s="6"/>
      <c r="K260" s="6">
        <v>21</v>
      </c>
      <c r="L260" s="6"/>
      <c r="M260" s="6"/>
      <c r="N260" s="6"/>
      <c r="O260" s="6"/>
      <c r="P260" s="6"/>
      <c r="Q260" s="6"/>
    </row>
    <row r="261" spans="1:17" x14ac:dyDescent="0.3">
      <c r="A261" s="6"/>
      <c r="B261" s="6" t="s">
        <v>358</v>
      </c>
      <c r="C261" s="6"/>
      <c r="D261" s="6"/>
      <c r="E261" s="6"/>
      <c r="F261" s="6"/>
      <c r="G261" s="6"/>
      <c r="H261" s="6"/>
      <c r="I261" s="6"/>
      <c r="J261" s="6"/>
      <c r="K261" s="6">
        <v>-1</v>
      </c>
      <c r="L261" s="6"/>
      <c r="M261" s="6"/>
      <c r="N261" s="6"/>
      <c r="O261" s="6"/>
      <c r="P261" s="6"/>
      <c r="Q261" s="6"/>
    </row>
    <row r="262" spans="1:17" x14ac:dyDescent="0.3">
      <c r="A262" s="6"/>
      <c r="B262" s="6" t="s">
        <v>394</v>
      </c>
      <c r="C262" s="6"/>
      <c r="D262" s="6"/>
      <c r="E262" s="6"/>
      <c r="F262" s="6"/>
      <c r="G262" s="6"/>
      <c r="H262" s="6"/>
      <c r="I262" s="6"/>
      <c r="J262" s="6"/>
      <c r="K262" s="6">
        <v>-1</v>
      </c>
      <c r="L262" s="6"/>
      <c r="M262" s="6"/>
      <c r="N262" s="6"/>
      <c r="O262" s="6"/>
      <c r="P262" s="6"/>
      <c r="Q262" s="6"/>
    </row>
    <row r="263" spans="1:17" x14ac:dyDescent="0.3">
      <c r="A263" s="6"/>
      <c r="B263" s="6" t="s">
        <v>354</v>
      </c>
      <c r="C263" s="6"/>
      <c r="D263" s="6"/>
      <c r="E263" s="6"/>
      <c r="F263" s="6"/>
      <c r="G263" s="6"/>
      <c r="H263" s="6"/>
      <c r="I263" s="6"/>
      <c r="J263" s="6"/>
      <c r="K263" s="6"/>
      <c r="L263" s="6">
        <v>-1</v>
      </c>
      <c r="M263" s="6"/>
      <c r="N263" s="6"/>
      <c r="O263" s="6"/>
      <c r="P263" s="6"/>
      <c r="Q263" s="6"/>
    </row>
    <row r="264" spans="1:17" x14ac:dyDescent="0.3">
      <c r="A264" s="6"/>
      <c r="B264" s="6" t="s">
        <v>328</v>
      </c>
      <c r="C264" s="6"/>
      <c r="D264" s="6"/>
      <c r="E264" s="6"/>
      <c r="F264" s="6"/>
      <c r="G264" s="6"/>
      <c r="H264" s="6"/>
      <c r="I264" s="6"/>
      <c r="J264" s="6"/>
      <c r="K264" s="6"/>
      <c r="L264" s="6">
        <v>-1</v>
      </c>
      <c r="M264" s="6"/>
      <c r="N264" s="6"/>
      <c r="O264" s="6"/>
      <c r="P264" s="6"/>
      <c r="Q264" s="6"/>
    </row>
    <row r="265" spans="1:17" x14ac:dyDescent="0.3">
      <c r="A265" s="6"/>
      <c r="B265" s="6" t="s">
        <v>328</v>
      </c>
      <c r="C265" s="6"/>
      <c r="D265" s="6"/>
      <c r="E265" s="6"/>
      <c r="F265" s="6"/>
      <c r="G265" s="6"/>
      <c r="H265" s="6"/>
      <c r="I265" s="6"/>
      <c r="J265" s="6"/>
      <c r="K265" s="6"/>
      <c r="L265" s="6">
        <v>-1</v>
      </c>
      <c r="M265" s="6"/>
      <c r="N265" s="6"/>
      <c r="O265" s="6"/>
      <c r="P265" s="6"/>
      <c r="Q265" s="6"/>
    </row>
    <row r="266" spans="1:17" x14ac:dyDescent="0.3">
      <c r="A266" s="6" t="s">
        <v>3795</v>
      </c>
      <c r="B266" s="6" t="s">
        <v>428</v>
      </c>
      <c r="C266" s="6"/>
      <c r="D266" s="6"/>
      <c r="E266" s="6"/>
      <c r="F266" s="6"/>
      <c r="G266" s="6"/>
      <c r="H266" s="6"/>
      <c r="I266" s="6"/>
      <c r="J266" s="6"/>
      <c r="K266" s="6"/>
      <c r="L266" s="6">
        <v>5</v>
      </c>
      <c r="M266" s="6"/>
      <c r="N266" s="6"/>
      <c r="O266" s="6"/>
      <c r="P266" s="6"/>
      <c r="Q266" s="6"/>
    </row>
    <row r="267" spans="1:17" x14ac:dyDescent="0.3">
      <c r="A267" s="6" t="s">
        <v>1339</v>
      </c>
      <c r="B267" s="6" t="s">
        <v>428</v>
      </c>
      <c r="C267" s="6"/>
      <c r="D267" s="6"/>
      <c r="E267" s="6"/>
      <c r="F267" s="6"/>
      <c r="G267" s="6"/>
      <c r="H267" s="6"/>
      <c r="I267" s="6"/>
      <c r="J267" s="6"/>
      <c r="K267" s="6"/>
      <c r="L267" s="6">
        <v>6</v>
      </c>
      <c r="M267" s="6"/>
      <c r="N267" s="6"/>
      <c r="O267" s="6"/>
      <c r="P267" s="6"/>
      <c r="Q267" s="6"/>
    </row>
    <row r="268" spans="1:17" x14ac:dyDescent="0.3">
      <c r="A268" s="6"/>
      <c r="B268" s="6" t="s">
        <v>412</v>
      </c>
      <c r="C268" s="6"/>
      <c r="D268" s="6"/>
      <c r="E268" s="6"/>
      <c r="F268" s="6"/>
      <c r="G268" s="6"/>
      <c r="H268" s="6"/>
      <c r="I268" s="6"/>
      <c r="J268" s="6"/>
      <c r="K268" s="6"/>
      <c r="L268" s="6">
        <v>-1</v>
      </c>
      <c r="M268" s="6"/>
      <c r="N268" s="6"/>
      <c r="O268" s="6"/>
      <c r="P268" s="6"/>
      <c r="Q268" s="6"/>
    </row>
    <row r="269" spans="1:17" x14ac:dyDescent="0.3">
      <c r="A269" s="6" t="s">
        <v>1649</v>
      </c>
      <c r="B269" s="6" t="s">
        <v>332</v>
      </c>
      <c r="C269" s="6"/>
      <c r="D269" s="6"/>
      <c r="E269" s="6"/>
      <c r="F269" s="6"/>
      <c r="G269" s="6"/>
      <c r="H269" s="6"/>
      <c r="I269" s="6"/>
      <c r="J269" s="6"/>
      <c r="K269" s="6"/>
      <c r="L269" s="6">
        <v>10</v>
      </c>
      <c r="M269" s="6"/>
      <c r="N269" s="6"/>
      <c r="O269" s="6"/>
      <c r="P269" s="6"/>
      <c r="Q269" s="6"/>
    </row>
    <row r="270" spans="1:17" x14ac:dyDescent="0.3">
      <c r="A270" s="6" t="s">
        <v>4523</v>
      </c>
      <c r="B270" s="6" t="s">
        <v>332</v>
      </c>
      <c r="C270" s="6"/>
      <c r="D270" s="6"/>
      <c r="E270" s="6"/>
      <c r="F270" s="6"/>
      <c r="G270" s="6"/>
      <c r="H270" s="6"/>
      <c r="I270" s="6"/>
      <c r="J270" s="6"/>
      <c r="K270" s="6"/>
      <c r="L270" s="6">
        <v>7</v>
      </c>
      <c r="M270" s="6"/>
      <c r="N270" s="6"/>
      <c r="O270" s="6"/>
      <c r="P270" s="6"/>
      <c r="Q270" s="6"/>
    </row>
    <row r="271" spans="1:17" x14ac:dyDescent="0.3">
      <c r="A271" s="6"/>
      <c r="B271" s="6" t="s">
        <v>370</v>
      </c>
      <c r="C271" s="6"/>
      <c r="D271" s="6"/>
      <c r="E271" s="6"/>
      <c r="F271" s="6"/>
      <c r="G271" s="6"/>
      <c r="H271" s="6"/>
      <c r="I271" s="6"/>
      <c r="J271" s="6"/>
      <c r="K271" s="6"/>
      <c r="L271" s="6">
        <v>-1</v>
      </c>
      <c r="M271" s="6"/>
      <c r="N271" s="6"/>
      <c r="O271" s="6"/>
      <c r="P271" s="6"/>
      <c r="Q271" s="6"/>
    </row>
    <row r="272" spans="1:17" x14ac:dyDescent="0.3">
      <c r="A272" s="6" t="s">
        <v>4930</v>
      </c>
      <c r="B272" s="6" t="s">
        <v>372</v>
      </c>
      <c r="C272" s="6"/>
      <c r="D272" s="6"/>
      <c r="E272" s="6"/>
      <c r="F272" s="6"/>
      <c r="G272" s="6"/>
      <c r="H272" s="6"/>
      <c r="I272" s="6"/>
      <c r="J272" s="6"/>
      <c r="K272" s="6"/>
      <c r="L272" s="6">
        <v>18</v>
      </c>
      <c r="M272" s="6"/>
      <c r="N272" s="6"/>
      <c r="O272" s="6"/>
      <c r="P272" s="6"/>
      <c r="Q272" s="6"/>
    </row>
    <row r="273" spans="1:17" x14ac:dyDescent="0.3">
      <c r="A273" s="6"/>
      <c r="B273" s="6" t="s">
        <v>344</v>
      </c>
      <c r="C273" s="6"/>
      <c r="D273" s="6"/>
      <c r="E273" s="6"/>
      <c r="F273" s="6"/>
      <c r="G273" s="6"/>
      <c r="H273" s="6"/>
      <c r="I273" s="6"/>
      <c r="J273" s="6"/>
      <c r="K273" s="6"/>
      <c r="L273" s="6">
        <v>-1</v>
      </c>
      <c r="M273" s="6"/>
      <c r="N273" s="6"/>
      <c r="O273" s="6"/>
      <c r="P273" s="6"/>
      <c r="Q273" s="6"/>
    </row>
    <row r="274" spans="1:17" x14ac:dyDescent="0.3">
      <c r="A274" s="6" t="s">
        <v>2344</v>
      </c>
      <c r="B274" s="6" t="s">
        <v>594</v>
      </c>
      <c r="C274" s="6"/>
      <c r="D274" s="6"/>
      <c r="E274" s="6"/>
      <c r="F274" s="6"/>
      <c r="G274" s="6"/>
      <c r="H274" s="6"/>
      <c r="I274" s="6"/>
      <c r="J274" s="6"/>
      <c r="K274" s="6">
        <v>25</v>
      </c>
      <c r="L274" s="6">
        <v>15</v>
      </c>
      <c r="M274" s="6"/>
      <c r="N274" s="6"/>
      <c r="O274" s="6"/>
      <c r="P274" s="6"/>
      <c r="Q274" s="6"/>
    </row>
    <row r="275" spans="1:17" x14ac:dyDescent="0.3">
      <c r="A275" s="6"/>
      <c r="B275" s="6" t="s">
        <v>620</v>
      </c>
      <c r="C275" s="6"/>
      <c r="D275" s="6"/>
      <c r="E275" s="6"/>
      <c r="F275" s="6"/>
      <c r="G275" s="6"/>
      <c r="H275" s="6"/>
      <c r="I275" s="6"/>
      <c r="J275" s="6"/>
      <c r="K275" s="6"/>
      <c r="L275" s="6">
        <v>-1</v>
      </c>
      <c r="M275" s="6"/>
      <c r="N275" s="6"/>
      <c r="O275" s="6"/>
      <c r="P275" s="6"/>
      <c r="Q275" s="6"/>
    </row>
    <row r="276" spans="1:17" x14ac:dyDescent="0.3">
      <c r="A276" s="6"/>
      <c r="B276" s="6" t="s">
        <v>350</v>
      </c>
      <c r="C276" s="6"/>
      <c r="D276" s="6"/>
      <c r="E276" s="6"/>
      <c r="F276" s="6"/>
      <c r="G276" s="6"/>
      <c r="H276" s="6"/>
      <c r="I276" s="6"/>
      <c r="J276" s="6"/>
      <c r="K276" s="6"/>
      <c r="L276" s="6">
        <v>-1</v>
      </c>
      <c r="M276" s="6"/>
      <c r="N276" s="6"/>
      <c r="O276" s="6"/>
      <c r="P276" s="6"/>
      <c r="Q276" s="6"/>
    </row>
    <row r="277" spans="1:17" x14ac:dyDescent="0.3">
      <c r="A277" s="6"/>
      <c r="B277" s="6" t="s">
        <v>700</v>
      </c>
      <c r="C277" s="6"/>
      <c r="D277" s="6"/>
      <c r="E277" s="6"/>
      <c r="F277" s="6"/>
      <c r="G277" s="6"/>
      <c r="H277" s="6"/>
      <c r="I277" s="6"/>
      <c r="J277" s="6"/>
      <c r="K277" s="6"/>
      <c r="L277" s="6">
        <v>-1</v>
      </c>
      <c r="M277" s="6"/>
      <c r="N277" s="6"/>
      <c r="O277" s="6"/>
      <c r="P277" s="6"/>
      <c r="Q277" s="6"/>
    </row>
    <row r="278" spans="1:17" x14ac:dyDescent="0.3">
      <c r="A278" s="6"/>
      <c r="B278" s="6" t="s">
        <v>338</v>
      </c>
      <c r="C278" s="6"/>
      <c r="D278" s="6"/>
      <c r="E278" s="6"/>
      <c r="F278" s="6"/>
      <c r="G278" s="6"/>
      <c r="H278" s="6"/>
      <c r="I278" s="6"/>
      <c r="J278" s="6"/>
      <c r="K278" s="6"/>
      <c r="L278" s="6">
        <v>-1</v>
      </c>
      <c r="M278" s="6"/>
      <c r="N278" s="6"/>
      <c r="O278" s="6"/>
      <c r="P278" s="6"/>
      <c r="Q278" s="6"/>
    </row>
    <row r="279" spans="1:17" x14ac:dyDescent="0.3">
      <c r="A279" s="6"/>
      <c r="B279" s="6" t="s">
        <v>394</v>
      </c>
      <c r="C279" s="6"/>
      <c r="D279" s="6"/>
      <c r="E279" s="6"/>
      <c r="F279" s="6"/>
      <c r="G279" s="6"/>
      <c r="H279" s="6"/>
      <c r="I279" s="6"/>
      <c r="J279" s="6"/>
      <c r="K279" s="6"/>
      <c r="L279" s="6">
        <v>-1</v>
      </c>
      <c r="M279" s="6"/>
      <c r="N279" s="6"/>
      <c r="O279" s="6"/>
      <c r="P279" s="6"/>
      <c r="Q279" s="6"/>
    </row>
    <row r="280" spans="1:17" x14ac:dyDescent="0.3">
      <c r="A280" s="6"/>
      <c r="B280" s="6" t="s">
        <v>354</v>
      </c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>
        <v>-1</v>
      </c>
      <c r="N280" s="6"/>
      <c r="O280" s="6"/>
      <c r="P280" s="6"/>
      <c r="Q280" s="6"/>
    </row>
    <row r="281" spans="1:17" x14ac:dyDescent="0.3">
      <c r="A281" s="6"/>
      <c r="B281" s="6" t="s">
        <v>354</v>
      </c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>
        <v>-1</v>
      </c>
      <c r="N281" s="6"/>
      <c r="O281" s="6"/>
      <c r="P281" s="6"/>
      <c r="Q281" s="6"/>
    </row>
    <row r="282" spans="1:17" x14ac:dyDescent="0.3">
      <c r="A282" s="6"/>
      <c r="B282" s="6" t="s">
        <v>384</v>
      </c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>
        <v>-1</v>
      </c>
      <c r="N282" s="6"/>
      <c r="O282" s="6"/>
      <c r="P282" s="6"/>
      <c r="Q282" s="6"/>
    </row>
    <row r="283" spans="1:17" x14ac:dyDescent="0.3">
      <c r="A283" s="6"/>
      <c r="B283" s="6" t="s">
        <v>384</v>
      </c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>
        <v>-1</v>
      </c>
      <c r="N283" s="6"/>
      <c r="O283" s="6"/>
      <c r="P283" s="6"/>
      <c r="Q283" s="6"/>
    </row>
    <row r="284" spans="1:17" x14ac:dyDescent="0.3">
      <c r="A284" s="6" t="s">
        <v>2783</v>
      </c>
      <c r="B284" s="6" t="s">
        <v>328</v>
      </c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>
        <v>26</v>
      </c>
      <c r="N284" s="6"/>
      <c r="O284" s="6"/>
      <c r="P284" s="6"/>
      <c r="Q284" s="6"/>
    </row>
    <row r="285" spans="1:17" x14ac:dyDescent="0.3">
      <c r="A285" s="6"/>
      <c r="B285" s="6" t="s">
        <v>344</v>
      </c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>
        <v>-1</v>
      </c>
      <c r="N285" s="6"/>
      <c r="O285" s="6"/>
      <c r="P285" s="6"/>
      <c r="Q285" s="6"/>
    </row>
    <row r="286" spans="1:17" x14ac:dyDescent="0.3">
      <c r="A286" s="6" t="s">
        <v>1436</v>
      </c>
      <c r="B286" s="6" t="s">
        <v>344</v>
      </c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>
        <v>14</v>
      </c>
      <c r="N286" s="6"/>
      <c r="O286" s="6"/>
      <c r="P286" s="6"/>
      <c r="Q286" s="6"/>
    </row>
    <row r="287" spans="1:17" x14ac:dyDescent="0.3">
      <c r="A287" s="6"/>
      <c r="B287" s="6" t="s">
        <v>406</v>
      </c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>
        <v>-1</v>
      </c>
      <c r="N287" s="6"/>
      <c r="O287" s="6"/>
      <c r="P287" s="6"/>
      <c r="Q287" s="6"/>
    </row>
    <row r="288" spans="1:17" x14ac:dyDescent="0.3">
      <c r="A288" s="6"/>
      <c r="B288" s="6" t="s">
        <v>406</v>
      </c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>
        <v>-1</v>
      </c>
      <c r="N288" s="6"/>
      <c r="O288" s="6"/>
      <c r="P288" s="6"/>
      <c r="Q288" s="6"/>
    </row>
    <row r="289" spans="1:17" x14ac:dyDescent="0.3">
      <c r="A289" s="6"/>
      <c r="B289" s="6" t="s">
        <v>598</v>
      </c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>
        <v>-1</v>
      </c>
      <c r="N289" s="6"/>
      <c r="O289" s="6"/>
      <c r="P289" s="6"/>
      <c r="Q289" s="6"/>
    </row>
    <row r="290" spans="1:17" x14ac:dyDescent="0.3">
      <c r="A290" s="6"/>
      <c r="B290" s="6" t="s">
        <v>428</v>
      </c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>
        <v>-1</v>
      </c>
      <c r="N290" s="6"/>
      <c r="O290" s="6"/>
      <c r="P290" s="6"/>
      <c r="Q290" s="6"/>
    </row>
    <row r="291" spans="1:17" x14ac:dyDescent="0.3">
      <c r="A291" s="6"/>
      <c r="B291" s="6" t="s">
        <v>428</v>
      </c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>
        <v>-1</v>
      </c>
      <c r="N291" s="6"/>
      <c r="O291" s="6"/>
      <c r="P291" s="6"/>
      <c r="Q291" s="6"/>
    </row>
    <row r="292" spans="1:17" x14ac:dyDescent="0.3">
      <c r="A292" s="6"/>
      <c r="B292" s="6" t="s">
        <v>422</v>
      </c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>
        <v>-1</v>
      </c>
      <c r="N292" s="6"/>
      <c r="O292" s="6"/>
      <c r="P292" s="6"/>
      <c r="Q292" s="6"/>
    </row>
    <row r="293" spans="1:17" x14ac:dyDescent="0.3">
      <c r="A293" s="6"/>
      <c r="B293" s="6" t="s">
        <v>422</v>
      </c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>
        <v>-1</v>
      </c>
      <c r="N293" s="6"/>
      <c r="O293" s="6"/>
      <c r="P293" s="6"/>
      <c r="Q293" s="6"/>
    </row>
    <row r="294" spans="1:17" x14ac:dyDescent="0.3">
      <c r="A294" s="6"/>
      <c r="B294" s="6" t="s">
        <v>332</v>
      </c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>
        <v>-1</v>
      </c>
      <c r="N294" s="6"/>
      <c r="O294" s="6"/>
      <c r="P294" s="6"/>
      <c r="Q294" s="6"/>
    </row>
    <row r="295" spans="1:17" x14ac:dyDescent="0.3">
      <c r="A295" s="6"/>
      <c r="B295" s="6" t="s">
        <v>358</v>
      </c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>
        <v>-1</v>
      </c>
      <c r="N295" s="6"/>
      <c r="O295" s="6"/>
      <c r="P295" s="6"/>
      <c r="Q295" s="6"/>
    </row>
    <row r="296" spans="1:17" x14ac:dyDescent="0.3">
      <c r="A296" s="6" t="s">
        <v>3081</v>
      </c>
      <c r="B296" s="6" t="s">
        <v>336</v>
      </c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>
        <v>22</v>
      </c>
      <c r="N296" s="6"/>
      <c r="O296" s="6"/>
      <c r="P296" s="6"/>
      <c r="Q296" s="6"/>
    </row>
    <row r="297" spans="1:17" x14ac:dyDescent="0.3">
      <c r="A297" s="6"/>
      <c r="B297" s="6" t="s">
        <v>370</v>
      </c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>
        <v>-1</v>
      </c>
      <c r="N297" s="6"/>
      <c r="O297" s="6"/>
      <c r="P297" s="6"/>
      <c r="Q297" s="6"/>
    </row>
    <row r="298" spans="1:17" x14ac:dyDescent="0.3">
      <c r="A298" s="6"/>
      <c r="B298" s="6" t="s">
        <v>442</v>
      </c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>
        <v>-1</v>
      </c>
      <c r="N298" s="6"/>
      <c r="O298" s="6"/>
      <c r="P298" s="6"/>
      <c r="Q298" s="6"/>
    </row>
    <row r="299" spans="1:17" x14ac:dyDescent="0.3">
      <c r="A299" s="6"/>
      <c r="B299" s="6" t="s">
        <v>402</v>
      </c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>
        <v>-1</v>
      </c>
      <c r="N299" s="6"/>
      <c r="O299" s="6"/>
      <c r="P299" s="6"/>
      <c r="Q299" s="6"/>
    </row>
    <row r="300" spans="1:17" x14ac:dyDescent="0.3">
      <c r="A300" s="6" t="s">
        <v>3778</v>
      </c>
      <c r="B300" s="6" t="s">
        <v>412</v>
      </c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>
        <v>6</v>
      </c>
      <c r="N300" s="6"/>
      <c r="O300" s="6"/>
      <c r="P300" s="6"/>
      <c r="Q300" s="6"/>
    </row>
    <row r="301" spans="1:17" x14ac:dyDescent="0.3">
      <c r="A301" s="6"/>
      <c r="B301" s="6" t="s">
        <v>394</v>
      </c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>
        <v>-1</v>
      </c>
      <c r="N301" s="6"/>
      <c r="O301" s="6"/>
      <c r="P301" s="6"/>
      <c r="Q301" s="6"/>
    </row>
    <row r="302" spans="1:17" x14ac:dyDescent="0.3">
      <c r="A302" s="6"/>
      <c r="B302" s="6" t="s">
        <v>346</v>
      </c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>
        <v>-1</v>
      </c>
      <c r="N302" s="6"/>
      <c r="O302" s="6"/>
      <c r="P302" s="6"/>
      <c r="Q302" s="6"/>
    </row>
    <row r="303" spans="1:17" x14ac:dyDescent="0.3">
      <c r="A303" s="6"/>
      <c r="B303" s="6" t="s">
        <v>330</v>
      </c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>
        <v>-1</v>
      </c>
      <c r="N303" s="6"/>
      <c r="O303" s="6"/>
      <c r="P303" s="6"/>
      <c r="Q303" s="6"/>
    </row>
    <row r="304" spans="1:17" x14ac:dyDescent="0.3">
      <c r="A304" s="6" t="s">
        <v>4682</v>
      </c>
      <c r="B304" s="6" t="s">
        <v>444</v>
      </c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>
        <v>4</v>
      </c>
      <c r="N304" s="6">
        <v>5</v>
      </c>
      <c r="O304" s="6"/>
      <c r="P304" s="6"/>
      <c r="Q304" s="6"/>
    </row>
    <row r="305" spans="1:17" x14ac:dyDescent="0.3">
      <c r="A305" s="6"/>
      <c r="B305" s="6" t="s">
        <v>604</v>
      </c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>
        <v>-1</v>
      </c>
      <c r="N305" s="6"/>
      <c r="O305" s="6"/>
      <c r="P305" s="6"/>
      <c r="Q305" s="6"/>
    </row>
    <row r="306" spans="1:17" x14ac:dyDescent="0.3">
      <c r="A306" s="6"/>
      <c r="B306" s="6" t="s">
        <v>406</v>
      </c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>
        <v>-1</v>
      </c>
      <c r="O306" s="6"/>
      <c r="P306" s="6"/>
      <c r="Q306" s="6"/>
    </row>
    <row r="307" spans="1:17" x14ac:dyDescent="0.3">
      <c r="A307" s="6"/>
      <c r="B307" s="6" t="s">
        <v>406</v>
      </c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>
        <v>-1</v>
      </c>
      <c r="O307" s="6"/>
      <c r="P307" s="6"/>
      <c r="Q307" s="6"/>
    </row>
    <row r="308" spans="1:17" x14ac:dyDescent="0.3">
      <c r="A308" s="6"/>
      <c r="B308" s="6" t="s">
        <v>356</v>
      </c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>
        <v>-1</v>
      </c>
      <c r="O308" s="6"/>
      <c r="P308" s="6"/>
      <c r="Q308" s="6"/>
    </row>
    <row r="309" spans="1:17" x14ac:dyDescent="0.3">
      <c r="A309" s="6"/>
      <c r="B309" s="6" t="s">
        <v>356</v>
      </c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>
        <v>-1</v>
      </c>
      <c r="O309" s="6"/>
      <c r="P309" s="6"/>
      <c r="Q309" s="6"/>
    </row>
    <row r="310" spans="1:17" x14ac:dyDescent="0.3">
      <c r="A310" s="6"/>
      <c r="B310" s="6" t="s">
        <v>428</v>
      </c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>
        <v>-1</v>
      </c>
      <c r="O310" s="6"/>
      <c r="P310" s="6"/>
      <c r="Q310" s="6"/>
    </row>
    <row r="311" spans="1:17" x14ac:dyDescent="0.3">
      <c r="A311" s="6"/>
      <c r="B311" s="6" t="s">
        <v>428</v>
      </c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>
        <v>-1</v>
      </c>
      <c r="O311" s="6"/>
      <c r="P311" s="6"/>
      <c r="Q311" s="6"/>
    </row>
    <row r="312" spans="1:17" x14ac:dyDescent="0.3">
      <c r="A312" s="6"/>
      <c r="B312" s="6" t="s">
        <v>394</v>
      </c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>
        <v>-1</v>
      </c>
      <c r="O312" s="6"/>
      <c r="P312" s="6"/>
      <c r="Q312" s="6"/>
    </row>
    <row r="313" spans="1:17" x14ac:dyDescent="0.3">
      <c r="A313" s="6"/>
      <c r="B313" s="6" t="s">
        <v>394</v>
      </c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>
        <v>-1</v>
      </c>
      <c r="O313" s="6"/>
      <c r="P313" s="6"/>
      <c r="Q313" s="6"/>
    </row>
    <row r="314" spans="1:17" x14ac:dyDescent="0.3">
      <c r="A314" s="6"/>
      <c r="B314" s="6" t="s">
        <v>332</v>
      </c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>
        <v>-1</v>
      </c>
      <c r="O314" s="6"/>
      <c r="P314" s="6"/>
      <c r="Q314" s="6"/>
    </row>
    <row r="315" spans="1:17" x14ac:dyDescent="0.3">
      <c r="A315" s="6" t="s">
        <v>2076</v>
      </c>
      <c r="B315" s="6" t="s">
        <v>332</v>
      </c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>
        <v>17</v>
      </c>
      <c r="O315" s="6"/>
      <c r="P315" s="6"/>
      <c r="Q315" s="6"/>
    </row>
    <row r="316" spans="1:17" x14ac:dyDescent="0.3">
      <c r="A316" s="6"/>
      <c r="B316" s="6" t="s">
        <v>354</v>
      </c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>
        <v>-1</v>
      </c>
      <c r="O316" s="6"/>
      <c r="P316" s="6"/>
      <c r="Q316" s="6"/>
    </row>
    <row r="317" spans="1:17" x14ac:dyDescent="0.3">
      <c r="A317" s="6" t="s">
        <v>1723</v>
      </c>
      <c r="B317" s="6" t="s">
        <v>358</v>
      </c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>
        <v>6</v>
      </c>
      <c r="O317" s="6"/>
      <c r="P317" s="6"/>
      <c r="Q317" s="6"/>
    </row>
    <row r="318" spans="1:17" x14ac:dyDescent="0.3">
      <c r="A318" s="6"/>
      <c r="B318" s="6" t="s">
        <v>336</v>
      </c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>
        <v>-1</v>
      </c>
      <c r="O318" s="6"/>
      <c r="P318" s="6"/>
      <c r="Q318" s="6"/>
    </row>
    <row r="319" spans="1:17" x14ac:dyDescent="0.3">
      <c r="A319" s="6"/>
      <c r="B319" s="6" t="s">
        <v>384</v>
      </c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>
        <v>-1</v>
      </c>
      <c r="O319" s="6"/>
      <c r="P319" s="6"/>
      <c r="Q319" s="6"/>
    </row>
    <row r="320" spans="1:17" x14ac:dyDescent="0.3">
      <c r="A320" s="6"/>
      <c r="B320" s="6" t="s">
        <v>328</v>
      </c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>
        <v>-1</v>
      </c>
      <c r="O320" s="6"/>
      <c r="P320" s="6"/>
      <c r="Q320" s="6"/>
    </row>
    <row r="321" spans="1:17" x14ac:dyDescent="0.3">
      <c r="A321" s="6"/>
      <c r="B321" s="6" t="s">
        <v>572</v>
      </c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>
        <v>-1</v>
      </c>
      <c r="O321" s="6"/>
      <c r="P321" s="6"/>
      <c r="Q321" s="6"/>
    </row>
    <row r="322" spans="1:17" x14ac:dyDescent="0.3">
      <c r="A322" s="6"/>
      <c r="B322" s="6" t="s">
        <v>344</v>
      </c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>
        <v>-1</v>
      </c>
      <c r="O322" s="6"/>
      <c r="P322" s="6"/>
      <c r="Q322" s="6"/>
    </row>
    <row r="323" spans="1:17" x14ac:dyDescent="0.3">
      <c r="A323" s="6"/>
      <c r="B323" s="6" t="s">
        <v>422</v>
      </c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>
        <v>-1</v>
      </c>
      <c r="O323" s="6"/>
      <c r="P323" s="6"/>
      <c r="Q323" s="6"/>
    </row>
    <row r="324" spans="1:17" x14ac:dyDescent="0.3">
      <c r="A324" s="6"/>
      <c r="B324" s="6" t="s">
        <v>700</v>
      </c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>
        <v>-1</v>
      </c>
      <c r="O324" s="6"/>
      <c r="P324" s="6"/>
      <c r="Q324" s="6"/>
    </row>
    <row r="325" spans="1:17" x14ac:dyDescent="0.3">
      <c r="A325" s="6"/>
      <c r="B325" s="6" t="s">
        <v>330</v>
      </c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>
        <v>-1</v>
      </c>
      <c r="O325" s="6"/>
      <c r="P325" s="6"/>
      <c r="Q325" s="6"/>
    </row>
    <row r="326" spans="1:17" x14ac:dyDescent="0.3">
      <c r="A326" s="6"/>
      <c r="B326" s="6" t="s">
        <v>368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>
        <v>-1</v>
      </c>
      <c r="O326" s="6"/>
      <c r="P326" s="6"/>
      <c r="Q326" s="6"/>
    </row>
    <row r="327" spans="1:17" x14ac:dyDescent="0.3">
      <c r="A327" s="6"/>
      <c r="B327" s="6" t="s">
        <v>726</v>
      </c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>
        <v>-1</v>
      </c>
      <c r="O327" s="6"/>
      <c r="P327" s="6"/>
      <c r="Q327" s="6"/>
    </row>
    <row r="328" spans="1:17" x14ac:dyDescent="0.3">
      <c r="A328" s="6"/>
      <c r="B328" s="6" t="s">
        <v>370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>
        <v>-1</v>
      </c>
      <c r="O328" s="6"/>
      <c r="P328" s="6"/>
      <c r="Q328" s="6"/>
    </row>
    <row r="329" spans="1:17" x14ac:dyDescent="0.3">
      <c r="A329" s="6"/>
      <c r="B329" s="6" t="s">
        <v>474</v>
      </c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>
        <v>-1</v>
      </c>
      <c r="O329" s="6"/>
      <c r="P329" s="6"/>
      <c r="Q329" s="6"/>
    </row>
    <row r="330" spans="1:17" x14ac:dyDescent="0.3">
      <c r="A330" s="6"/>
      <c r="B330" s="6" t="s">
        <v>354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>
        <v>-1</v>
      </c>
      <c r="P330" s="6"/>
      <c r="Q330" s="6"/>
    </row>
    <row r="331" spans="1:17" x14ac:dyDescent="0.3">
      <c r="A331" s="6"/>
      <c r="B331" s="6" t="s">
        <v>354</v>
      </c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>
        <v>-1</v>
      </c>
      <c r="P331" s="6"/>
      <c r="Q331" s="6"/>
    </row>
    <row r="332" spans="1:17" x14ac:dyDescent="0.3">
      <c r="A332" s="6" t="s">
        <v>3565</v>
      </c>
      <c r="B332" s="6" t="s">
        <v>402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>
        <v>5</v>
      </c>
      <c r="P332" s="6"/>
      <c r="Q332" s="6"/>
    </row>
    <row r="333" spans="1:17" x14ac:dyDescent="0.3">
      <c r="A333" s="6"/>
      <c r="B333" s="6" t="s">
        <v>332</v>
      </c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>
        <v>-1</v>
      </c>
      <c r="P333" s="6"/>
      <c r="Q333" s="6"/>
    </row>
    <row r="334" spans="1:17" x14ac:dyDescent="0.3">
      <c r="A334" s="6"/>
      <c r="B334" s="6" t="s">
        <v>332</v>
      </c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>
        <v>-1</v>
      </c>
      <c r="P334" s="6"/>
      <c r="Q334" s="6"/>
    </row>
    <row r="335" spans="1:17" x14ac:dyDescent="0.3">
      <c r="A335" s="6" t="s">
        <v>3206</v>
      </c>
      <c r="B335" s="6" t="s">
        <v>384</v>
      </c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>
        <v>8</v>
      </c>
      <c r="P335" s="6"/>
      <c r="Q335" s="6"/>
    </row>
    <row r="336" spans="1:17" x14ac:dyDescent="0.3">
      <c r="A336" s="6"/>
      <c r="B336" s="6" t="s">
        <v>328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>
        <v>-1</v>
      </c>
      <c r="P336" s="6"/>
      <c r="Q336" s="6"/>
    </row>
    <row r="337" spans="1:17" x14ac:dyDescent="0.3">
      <c r="A337" s="6"/>
      <c r="B337" s="6" t="s">
        <v>344</v>
      </c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>
        <v>-1</v>
      </c>
      <c r="P337" s="6"/>
      <c r="Q337" s="6"/>
    </row>
    <row r="338" spans="1:17" x14ac:dyDescent="0.3">
      <c r="A338" s="6"/>
      <c r="B338" s="6" t="s">
        <v>406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>
        <v>-1</v>
      </c>
      <c r="P338" s="6"/>
      <c r="Q338" s="6"/>
    </row>
    <row r="339" spans="1:17" x14ac:dyDescent="0.3">
      <c r="A339" s="6" t="s">
        <v>3314</v>
      </c>
      <c r="B339" s="6" t="s">
        <v>598</v>
      </c>
      <c r="C339" s="6"/>
      <c r="D339" s="6"/>
      <c r="E339" s="6"/>
      <c r="F339" s="6"/>
      <c r="G339" s="6"/>
      <c r="H339" s="6"/>
      <c r="I339" s="6"/>
      <c r="J339" s="6"/>
      <c r="K339" s="6">
        <v>16</v>
      </c>
      <c r="L339" s="6"/>
      <c r="M339" s="6"/>
      <c r="N339" s="6"/>
      <c r="O339" s="6">
        <v>12</v>
      </c>
      <c r="P339" s="6"/>
      <c r="Q339" s="6"/>
    </row>
    <row r="340" spans="1:17" x14ac:dyDescent="0.3">
      <c r="A340" s="6"/>
      <c r="B340" s="6" t="s">
        <v>356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>
        <v>-1</v>
      </c>
      <c r="P340" s="6"/>
      <c r="Q340" s="6"/>
    </row>
    <row r="341" spans="1:17" x14ac:dyDescent="0.3">
      <c r="A341" s="6"/>
      <c r="B341" s="6" t="s">
        <v>428</v>
      </c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>
        <v>-1</v>
      </c>
      <c r="P341" s="6"/>
      <c r="Q341" s="6"/>
    </row>
    <row r="342" spans="1:17" x14ac:dyDescent="0.3">
      <c r="A342" s="6"/>
      <c r="B342" s="6" t="s">
        <v>474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>
        <v>-1</v>
      </c>
      <c r="P342" s="6"/>
      <c r="Q342" s="6"/>
    </row>
    <row r="343" spans="1:17" x14ac:dyDescent="0.3">
      <c r="A343" s="6"/>
      <c r="B343" s="6" t="s">
        <v>422</v>
      </c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>
        <v>-1</v>
      </c>
      <c r="P343" s="6"/>
      <c r="Q343" s="6"/>
    </row>
    <row r="344" spans="1:17" x14ac:dyDescent="0.3">
      <c r="A344" s="6"/>
      <c r="B344" s="6" t="s">
        <v>342</v>
      </c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>
        <v>-1</v>
      </c>
      <c r="P344" s="6"/>
      <c r="Q344" s="6"/>
    </row>
    <row r="345" spans="1:17" x14ac:dyDescent="0.3">
      <c r="A345" s="6" t="s">
        <v>5042</v>
      </c>
      <c r="B345" s="6" t="s">
        <v>444</v>
      </c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>
        <v>13</v>
      </c>
      <c r="P345" s="6"/>
      <c r="Q345" s="6"/>
    </row>
    <row r="346" spans="1:17" x14ac:dyDescent="0.3">
      <c r="A346" s="6"/>
      <c r="B346" s="6" t="s">
        <v>718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>
        <v>-1</v>
      </c>
      <c r="P346" s="6"/>
      <c r="Q346" s="6"/>
    </row>
    <row r="347" spans="1:17" x14ac:dyDescent="0.3">
      <c r="A347" s="6"/>
      <c r="B347" s="6" t="s">
        <v>354</v>
      </c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>
        <v>-1</v>
      </c>
      <c r="Q347" s="6"/>
    </row>
    <row r="348" spans="1:17" x14ac:dyDescent="0.3">
      <c r="A348" s="6" t="s">
        <v>2454</v>
      </c>
      <c r="B348" s="6" t="s">
        <v>354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>
        <v>13</v>
      </c>
      <c r="Q348" s="6"/>
    </row>
    <row r="349" spans="1:17" x14ac:dyDescent="0.3">
      <c r="A349" s="6"/>
      <c r="B349" s="6" t="s">
        <v>406</v>
      </c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>
        <v>-1</v>
      </c>
      <c r="Q349" s="6"/>
    </row>
    <row r="350" spans="1:17" x14ac:dyDescent="0.3">
      <c r="A350" s="6"/>
      <c r="B350" s="6" t="s">
        <v>406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>
        <v>-1</v>
      </c>
      <c r="Q350" s="6"/>
    </row>
    <row r="351" spans="1:17" x14ac:dyDescent="0.3">
      <c r="A351" s="6" t="s">
        <v>1336</v>
      </c>
      <c r="B351" s="6" t="s">
        <v>428</v>
      </c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>
        <v>2</v>
      </c>
      <c r="Q351" s="6"/>
    </row>
    <row r="352" spans="1:17" x14ac:dyDescent="0.3">
      <c r="A352" s="6"/>
      <c r="B352" s="6" t="s">
        <v>428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>
        <v>-1</v>
      </c>
      <c r="Q352" s="6"/>
    </row>
    <row r="353" spans="1:17" x14ac:dyDescent="0.3">
      <c r="A353" s="6"/>
      <c r="B353" s="6" t="s">
        <v>332</v>
      </c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>
        <v>-1</v>
      </c>
      <c r="Q353" s="6"/>
    </row>
    <row r="354" spans="1:17" x14ac:dyDescent="0.3">
      <c r="A354" s="6" t="s">
        <v>3023</v>
      </c>
      <c r="B354" s="6" t="s">
        <v>332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>
        <v>11</v>
      </c>
      <c r="Q354" s="6"/>
    </row>
    <row r="355" spans="1:17" x14ac:dyDescent="0.3">
      <c r="A355" s="6"/>
      <c r="B355" s="6" t="s">
        <v>384</v>
      </c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>
        <v>-1</v>
      </c>
      <c r="Q355" s="6"/>
    </row>
    <row r="356" spans="1:17" x14ac:dyDescent="0.3">
      <c r="A356" s="6"/>
      <c r="B356" s="6" t="s">
        <v>328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>
        <v>-1</v>
      </c>
      <c r="Q356" s="6"/>
    </row>
    <row r="357" spans="1:17" x14ac:dyDescent="0.3">
      <c r="A357" s="6"/>
      <c r="B357" s="6" t="s">
        <v>344</v>
      </c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>
        <v>-1</v>
      </c>
      <c r="Q357" s="6"/>
    </row>
    <row r="358" spans="1:17" x14ac:dyDescent="0.3">
      <c r="A358" s="6"/>
      <c r="B358" s="6" t="s">
        <v>334</v>
      </c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>
        <v>-1</v>
      </c>
      <c r="Q358" s="6"/>
    </row>
    <row r="359" spans="1:17" x14ac:dyDescent="0.3">
      <c r="A359" s="6" t="s">
        <v>3208</v>
      </c>
      <c r="B359" s="6" t="s">
        <v>402</v>
      </c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>
        <v>4</v>
      </c>
      <c r="Q359" s="6"/>
    </row>
    <row r="360" spans="1:17" x14ac:dyDescent="0.3">
      <c r="A360" s="6"/>
      <c r="B360" s="6" t="s">
        <v>342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>
        <v>-1</v>
      </c>
      <c r="Q360" s="6"/>
    </row>
    <row r="361" spans="1:17" x14ac:dyDescent="0.3">
      <c r="A361" s="6"/>
      <c r="B361" s="6" t="s">
        <v>356</v>
      </c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>
        <v>-1</v>
      </c>
      <c r="Q361" s="6"/>
    </row>
    <row r="362" spans="1:17" x14ac:dyDescent="0.3">
      <c r="A362" s="6"/>
      <c r="B362" s="6" t="s">
        <v>474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>
        <v>-1</v>
      </c>
      <c r="Q362" s="6"/>
    </row>
    <row r="363" spans="1:17" x14ac:dyDescent="0.3">
      <c r="A363" s="6"/>
      <c r="B363" s="6" t="s">
        <v>718</v>
      </c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>
        <v>-1</v>
      </c>
    </row>
    <row r="364" spans="1:17" x14ac:dyDescent="0.3">
      <c r="A364" s="6"/>
      <c r="B364" s="6" t="s">
        <v>718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>
        <v>-1</v>
      </c>
    </row>
    <row r="365" spans="1:17" x14ac:dyDescent="0.3">
      <c r="A365" s="6"/>
      <c r="B365" s="6" t="s">
        <v>358</v>
      </c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>
        <v>-1</v>
      </c>
    </row>
    <row r="366" spans="1:17" x14ac:dyDescent="0.3">
      <c r="A366" s="6"/>
      <c r="B366" s="6" t="s">
        <v>336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>
        <v>-1</v>
      </c>
    </row>
    <row r="367" spans="1:17" x14ac:dyDescent="0.3">
      <c r="A367" s="6"/>
      <c r="B367" s="6" t="s">
        <v>332</v>
      </c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>
        <v>-1</v>
      </c>
    </row>
    <row r="368" spans="1:17" x14ac:dyDescent="0.3">
      <c r="A368" s="6"/>
      <c r="B368" s="6" t="s">
        <v>330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>
        <v>-1</v>
      </c>
    </row>
    <row r="369" spans="1:17" x14ac:dyDescent="0.3">
      <c r="A369" s="6"/>
      <c r="B369" s="6" t="s">
        <v>700</v>
      </c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>
        <v>-1</v>
      </c>
    </row>
    <row r="370" spans="1:17" x14ac:dyDescent="0.3">
      <c r="A370" s="6"/>
      <c r="B370" s="6" t="s">
        <v>338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>
        <v>-1</v>
      </c>
    </row>
    <row r="371" spans="1:17" x14ac:dyDescent="0.3">
      <c r="A371" s="6"/>
      <c r="B371" s="6" t="s">
        <v>404</v>
      </c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>
        <v>-1</v>
      </c>
    </row>
    <row r="372" spans="1:17" x14ac:dyDescent="0.3">
      <c r="A372" s="6"/>
      <c r="B372" s="6" t="s">
        <v>492</v>
      </c>
      <c r="C372" s="6">
        <v>-1</v>
      </c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</row>
    <row r="373" spans="1:17" x14ac:dyDescent="0.3">
      <c r="A373" s="6" t="s">
        <v>2615</v>
      </c>
      <c r="B373" s="6" t="s">
        <v>540</v>
      </c>
      <c r="C373" s="6">
        <v>46</v>
      </c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</row>
    <row r="374" spans="1:17" x14ac:dyDescent="0.3">
      <c r="A374" s="6"/>
      <c r="B374" s="6" t="s">
        <v>538</v>
      </c>
      <c r="C374" s="6">
        <v>-1</v>
      </c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</row>
    <row r="375" spans="1:17" x14ac:dyDescent="0.3">
      <c r="A375" s="6"/>
      <c r="B375" s="6" t="s">
        <v>468</v>
      </c>
      <c r="C375" s="6">
        <v>-1</v>
      </c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</row>
    <row r="376" spans="1:17" x14ac:dyDescent="0.3">
      <c r="A376" s="6"/>
      <c r="B376" s="6" t="s">
        <v>548</v>
      </c>
      <c r="C376" s="6">
        <v>-1</v>
      </c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</row>
    <row r="377" spans="1:17" x14ac:dyDescent="0.3">
      <c r="A377" s="6"/>
      <c r="B377" s="6" t="s">
        <v>564</v>
      </c>
      <c r="C377" s="6">
        <v>-1</v>
      </c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</row>
    <row r="378" spans="1:17" x14ac:dyDescent="0.3">
      <c r="A378" s="6"/>
      <c r="B378" s="6" t="s">
        <v>484</v>
      </c>
      <c r="C378" s="6">
        <v>-1</v>
      </c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</row>
    <row r="379" spans="1:17" x14ac:dyDescent="0.3">
      <c r="A379" s="6"/>
      <c r="B379" s="6" t="s">
        <v>562</v>
      </c>
      <c r="C379" s="6">
        <v>-1</v>
      </c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</row>
    <row r="380" spans="1:17" x14ac:dyDescent="0.3">
      <c r="A380" s="6"/>
      <c r="B380" s="6" t="s">
        <v>566</v>
      </c>
      <c r="C380" s="6">
        <v>-1</v>
      </c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</row>
    <row r="381" spans="1:17" x14ac:dyDescent="0.3">
      <c r="A381" s="6"/>
      <c r="B381" s="6" t="s">
        <v>568</v>
      </c>
      <c r="C381" s="6">
        <v>-1</v>
      </c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</row>
    <row r="382" spans="1:17" x14ac:dyDescent="0.3">
      <c r="A382" s="6"/>
      <c r="B382" s="6" t="s">
        <v>570</v>
      </c>
      <c r="C382" s="6">
        <v>-1</v>
      </c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</row>
    <row r="383" spans="1:17" x14ac:dyDescent="0.3">
      <c r="A383" s="6" t="s">
        <v>2479</v>
      </c>
      <c r="B383" s="6" t="s">
        <v>420</v>
      </c>
      <c r="C383" s="6">
        <v>40</v>
      </c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</row>
    <row r="384" spans="1:17" x14ac:dyDescent="0.3">
      <c r="A384" s="6" t="s">
        <v>4444</v>
      </c>
      <c r="B384" s="6" t="s">
        <v>578</v>
      </c>
      <c r="C384" s="6">
        <v>68</v>
      </c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</row>
    <row r="385" spans="1:17" x14ac:dyDescent="0.3">
      <c r="A385" s="6"/>
      <c r="B385" s="6" t="s">
        <v>388</v>
      </c>
      <c r="C385" s="6">
        <v>-1</v>
      </c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</row>
    <row r="386" spans="1:17" x14ac:dyDescent="0.3">
      <c r="A386" s="6" t="s">
        <v>1569</v>
      </c>
      <c r="B386" s="6" t="s">
        <v>434</v>
      </c>
      <c r="C386" s="6">
        <v>57</v>
      </c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</row>
    <row r="387" spans="1:17" x14ac:dyDescent="0.3">
      <c r="A387" s="6"/>
      <c r="B387" s="6" t="s">
        <v>584</v>
      </c>
      <c r="C387" s="6">
        <v>-1</v>
      </c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</row>
    <row r="388" spans="1:17" x14ac:dyDescent="0.3">
      <c r="A388" s="6"/>
      <c r="B388" s="6" t="s">
        <v>674</v>
      </c>
      <c r="C388" s="6">
        <v>-1</v>
      </c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</row>
    <row r="389" spans="1:17" x14ac:dyDescent="0.3">
      <c r="A389" s="6"/>
      <c r="B389" s="6" t="s">
        <v>628</v>
      </c>
      <c r="C389" s="6">
        <v>-1</v>
      </c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</row>
    <row r="390" spans="1:17" x14ac:dyDescent="0.3">
      <c r="A390" s="6"/>
      <c r="B390" s="6" t="s">
        <v>486</v>
      </c>
      <c r="C390" s="6">
        <v>-1</v>
      </c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</row>
    <row r="391" spans="1:17" x14ac:dyDescent="0.3">
      <c r="A391" s="6"/>
      <c r="B391" s="6" t="s">
        <v>630</v>
      </c>
      <c r="C391" s="6">
        <v>-1</v>
      </c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</row>
    <row r="392" spans="1:17" x14ac:dyDescent="0.3">
      <c r="A392" s="6"/>
      <c r="B392" s="6" t="s">
        <v>632</v>
      </c>
      <c r="C392" s="6">
        <v>-1</v>
      </c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</row>
    <row r="393" spans="1:17" x14ac:dyDescent="0.3">
      <c r="A393" s="6" t="s">
        <v>1681</v>
      </c>
      <c r="B393" s="6" t="s">
        <v>634</v>
      </c>
      <c r="C393" s="6">
        <v>55</v>
      </c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</row>
    <row r="394" spans="1:17" x14ac:dyDescent="0.3">
      <c r="A394" s="6"/>
      <c r="B394" s="6" t="s">
        <v>656</v>
      </c>
      <c r="C394" s="6">
        <v>-1</v>
      </c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</row>
    <row r="395" spans="1:17" x14ac:dyDescent="0.3">
      <c r="A395" s="6"/>
      <c r="B395" s="6" t="s">
        <v>440</v>
      </c>
      <c r="C395" s="6">
        <v>-1</v>
      </c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</row>
    <row r="396" spans="1:17" x14ac:dyDescent="0.3">
      <c r="A396" s="6"/>
      <c r="B396" s="6" t="s">
        <v>662</v>
      </c>
      <c r="C396" s="6">
        <v>-1</v>
      </c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</row>
    <row r="397" spans="1:17" x14ac:dyDescent="0.3">
      <c r="A397" s="6"/>
      <c r="B397" s="6" t="s">
        <v>554</v>
      </c>
      <c r="C397" s="6">
        <v>-1</v>
      </c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</row>
    <row r="398" spans="1:17" x14ac:dyDescent="0.3">
      <c r="A398" s="6"/>
      <c r="B398" s="6" t="s">
        <v>678</v>
      </c>
      <c r="C398" s="6">
        <v>-1</v>
      </c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</row>
    <row r="399" spans="1:17" x14ac:dyDescent="0.3">
      <c r="A399" s="6" t="s">
        <v>3908</v>
      </c>
      <c r="B399" s="6" t="s">
        <v>680</v>
      </c>
      <c r="C399" s="6">
        <v>45</v>
      </c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</row>
    <row r="400" spans="1:17" x14ac:dyDescent="0.3">
      <c r="A400" s="6"/>
      <c r="B400" s="6" t="s">
        <v>452</v>
      </c>
      <c r="C400" s="6">
        <v>-1</v>
      </c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</row>
    <row r="401" spans="1:17" x14ac:dyDescent="0.3">
      <c r="A401" s="6"/>
      <c r="B401" s="6" t="s">
        <v>408</v>
      </c>
      <c r="C401" s="6">
        <v>-1</v>
      </c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</row>
    <row r="402" spans="1:17" x14ac:dyDescent="0.3">
      <c r="A402" s="6"/>
      <c r="B402" s="6" t="s">
        <v>444</v>
      </c>
      <c r="C402" s="6">
        <v>-1</v>
      </c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</row>
    <row r="403" spans="1:17" x14ac:dyDescent="0.3">
      <c r="A403" s="6"/>
      <c r="B403" s="6" t="s">
        <v>710</v>
      </c>
      <c r="C403" s="6">
        <v>-1</v>
      </c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</row>
    <row r="404" spans="1:17" x14ac:dyDescent="0.3">
      <c r="A404" s="6"/>
      <c r="B404" s="6" t="s">
        <v>714</v>
      </c>
      <c r="C404" s="6">
        <v>-1</v>
      </c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</row>
    <row r="405" spans="1:17" x14ac:dyDescent="0.3">
      <c r="A405" s="6" t="s">
        <v>4937</v>
      </c>
      <c r="B405" s="6" t="s">
        <v>736</v>
      </c>
      <c r="C405" s="6">
        <v>48</v>
      </c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</row>
    <row r="406" spans="1:17" x14ac:dyDescent="0.3">
      <c r="A406" s="6"/>
      <c r="B406" s="6" t="s">
        <v>496</v>
      </c>
      <c r="C406" s="6"/>
      <c r="D406" s="6">
        <v>-1</v>
      </c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</row>
    <row r="407" spans="1:17" x14ac:dyDescent="0.3">
      <c r="A407" s="6"/>
      <c r="B407" s="6" t="s">
        <v>502</v>
      </c>
      <c r="C407" s="6"/>
      <c r="D407" s="6">
        <v>-1</v>
      </c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</row>
    <row r="408" spans="1:17" x14ac:dyDescent="0.3">
      <c r="A408" s="6"/>
      <c r="B408" s="6" t="s">
        <v>506</v>
      </c>
      <c r="C408" s="6"/>
      <c r="D408" s="6">
        <v>-1</v>
      </c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</row>
    <row r="409" spans="1:17" x14ac:dyDescent="0.3">
      <c r="A409" s="6"/>
      <c r="B409" s="6" t="s">
        <v>510</v>
      </c>
      <c r="C409" s="6"/>
      <c r="D409" s="6">
        <v>-1</v>
      </c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</row>
    <row r="410" spans="1:17" x14ac:dyDescent="0.3">
      <c r="A410" s="6" t="s">
        <v>4494</v>
      </c>
      <c r="B410" s="6" t="s">
        <v>514</v>
      </c>
      <c r="C410" s="6"/>
      <c r="D410" s="6">
        <v>69</v>
      </c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</row>
    <row r="411" spans="1:17" x14ac:dyDescent="0.3">
      <c r="A411" s="6"/>
      <c r="B411" s="6" t="s">
        <v>516</v>
      </c>
      <c r="C411" s="6"/>
      <c r="D411" s="6">
        <v>-1</v>
      </c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</row>
    <row r="412" spans="1:17" x14ac:dyDescent="0.3">
      <c r="A412" s="6"/>
      <c r="B412" s="6" t="s">
        <v>528</v>
      </c>
      <c r="C412" s="6"/>
      <c r="D412" s="6">
        <v>-1</v>
      </c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</row>
    <row r="413" spans="1:17" x14ac:dyDescent="0.3">
      <c r="A413" s="6" t="s">
        <v>4249</v>
      </c>
      <c r="B413" s="6" t="s">
        <v>542</v>
      </c>
      <c r="C413" s="6"/>
      <c r="D413" s="6">
        <v>67</v>
      </c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</row>
    <row r="414" spans="1:17" x14ac:dyDescent="0.3">
      <c r="A414" s="6"/>
      <c r="B414" s="6" t="s">
        <v>544</v>
      </c>
      <c r="C414" s="6"/>
      <c r="D414" s="6">
        <v>-1</v>
      </c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</row>
    <row r="415" spans="1:17" x14ac:dyDescent="0.3">
      <c r="A415" s="6"/>
      <c r="B415" s="6" t="s">
        <v>552</v>
      </c>
      <c r="C415" s="6"/>
      <c r="D415" s="6">
        <v>-1</v>
      </c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</row>
    <row r="416" spans="1:17" x14ac:dyDescent="0.3">
      <c r="A416" s="6" t="s">
        <v>1600</v>
      </c>
      <c r="B416" s="6" t="s">
        <v>560</v>
      </c>
      <c r="C416" s="6"/>
      <c r="D416" s="6">
        <v>43</v>
      </c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</row>
    <row r="417" spans="1:17" x14ac:dyDescent="0.3">
      <c r="A417" s="6"/>
      <c r="B417" s="6" t="s">
        <v>442</v>
      </c>
      <c r="C417" s="6"/>
      <c r="D417" s="6">
        <v>-1</v>
      </c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</row>
    <row r="418" spans="1:17" x14ac:dyDescent="0.3">
      <c r="A418" s="6"/>
      <c r="B418" s="6" t="s">
        <v>374</v>
      </c>
      <c r="C418" s="6"/>
      <c r="D418" s="6">
        <v>-1</v>
      </c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</row>
    <row r="419" spans="1:17" x14ac:dyDescent="0.3">
      <c r="A419" s="6"/>
      <c r="B419" s="6" t="s">
        <v>472</v>
      </c>
      <c r="C419" s="6"/>
      <c r="D419" s="6">
        <v>-1</v>
      </c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</row>
    <row r="420" spans="1:17" x14ac:dyDescent="0.3">
      <c r="A420" s="6" t="s">
        <v>1512</v>
      </c>
      <c r="B420" s="6" t="s">
        <v>424</v>
      </c>
      <c r="C420" s="6"/>
      <c r="D420" s="6">
        <v>52</v>
      </c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</row>
    <row r="421" spans="1:17" x14ac:dyDescent="0.3">
      <c r="A421" s="6"/>
      <c r="B421" s="6" t="s">
        <v>592</v>
      </c>
      <c r="C421" s="6"/>
      <c r="D421" s="6">
        <v>-1</v>
      </c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</row>
    <row r="422" spans="1:17" x14ac:dyDescent="0.3">
      <c r="A422" s="6"/>
      <c r="B422" s="6" t="s">
        <v>360</v>
      </c>
      <c r="C422" s="6"/>
      <c r="D422" s="6">
        <v>-1</v>
      </c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</row>
    <row r="423" spans="1:17" x14ac:dyDescent="0.3">
      <c r="A423" s="6"/>
      <c r="B423" s="6" t="s">
        <v>604</v>
      </c>
      <c r="C423" s="6"/>
      <c r="D423" s="6">
        <v>-1</v>
      </c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</row>
    <row r="424" spans="1:17" x14ac:dyDescent="0.3">
      <c r="A424" s="6"/>
      <c r="B424" s="6" t="s">
        <v>608</v>
      </c>
      <c r="C424" s="6"/>
      <c r="D424" s="6">
        <v>-1</v>
      </c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</row>
    <row r="425" spans="1:17" x14ac:dyDescent="0.3">
      <c r="A425" s="6"/>
      <c r="B425" s="6" t="s">
        <v>494</v>
      </c>
      <c r="C425" s="6"/>
      <c r="D425" s="6">
        <v>-1</v>
      </c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</row>
    <row r="426" spans="1:17" x14ac:dyDescent="0.3">
      <c r="A426" s="6" t="s">
        <v>2321</v>
      </c>
      <c r="B426" s="6" t="s">
        <v>460</v>
      </c>
      <c r="C426" s="6"/>
      <c r="D426" s="6">
        <v>42</v>
      </c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</row>
    <row r="427" spans="1:17" x14ac:dyDescent="0.3">
      <c r="A427" s="6" t="s">
        <v>3350</v>
      </c>
      <c r="B427" s="6" t="s">
        <v>438</v>
      </c>
      <c r="C427" s="6"/>
      <c r="D427" s="6">
        <v>75</v>
      </c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</row>
    <row r="428" spans="1:17" x14ac:dyDescent="0.3">
      <c r="A428" s="6"/>
      <c r="B428" s="6" t="s">
        <v>622</v>
      </c>
      <c r="C428" s="6"/>
      <c r="D428" s="6">
        <v>-1</v>
      </c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</row>
    <row r="429" spans="1:17" x14ac:dyDescent="0.3">
      <c r="A429" s="6"/>
      <c r="B429" s="6" t="s">
        <v>488</v>
      </c>
      <c r="C429" s="6"/>
      <c r="D429" s="6">
        <v>-1</v>
      </c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</row>
    <row r="430" spans="1:17" x14ac:dyDescent="0.3">
      <c r="A430" s="6"/>
      <c r="B430" s="6" t="s">
        <v>636</v>
      </c>
      <c r="C430" s="6"/>
      <c r="D430" s="6">
        <v>-1</v>
      </c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</row>
    <row r="431" spans="1:17" x14ac:dyDescent="0.3">
      <c r="A431" s="6"/>
      <c r="B431" s="6" t="s">
        <v>642</v>
      </c>
      <c r="C431" s="6"/>
      <c r="D431" s="6">
        <v>-1</v>
      </c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</row>
    <row r="432" spans="1:17" x14ac:dyDescent="0.3">
      <c r="A432" s="6"/>
      <c r="B432" s="6" t="s">
        <v>648</v>
      </c>
      <c r="C432" s="6"/>
      <c r="D432" s="6">
        <v>-1</v>
      </c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</row>
    <row r="433" spans="1:17" x14ac:dyDescent="0.3">
      <c r="A433" s="6"/>
      <c r="B433" s="6" t="s">
        <v>654</v>
      </c>
      <c r="C433" s="6"/>
      <c r="D433" s="6">
        <v>-1</v>
      </c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</row>
    <row r="434" spans="1:17" x14ac:dyDescent="0.3">
      <c r="A434" s="6"/>
      <c r="B434" s="6" t="s">
        <v>660</v>
      </c>
      <c r="C434" s="6"/>
      <c r="D434" s="6">
        <v>-1</v>
      </c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</row>
    <row r="435" spans="1:17" x14ac:dyDescent="0.3">
      <c r="A435" s="6"/>
      <c r="B435" s="6" t="s">
        <v>666</v>
      </c>
      <c r="C435" s="6"/>
      <c r="D435" s="6">
        <v>-1</v>
      </c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</row>
    <row r="436" spans="1:17" x14ac:dyDescent="0.3">
      <c r="A436" s="6"/>
      <c r="B436" s="6" t="s">
        <v>394</v>
      </c>
      <c r="C436" s="6"/>
      <c r="D436" s="6">
        <v>-1</v>
      </c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</row>
    <row r="437" spans="1:17" x14ac:dyDescent="0.3">
      <c r="A437" s="6"/>
      <c r="B437" s="6" t="s">
        <v>476</v>
      </c>
      <c r="C437" s="6"/>
      <c r="D437" s="6">
        <v>-1</v>
      </c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</row>
    <row r="438" spans="1:17" x14ac:dyDescent="0.3">
      <c r="A438" s="6"/>
      <c r="B438" s="6" t="s">
        <v>682</v>
      </c>
      <c r="C438" s="6"/>
      <c r="D438" s="6">
        <v>-1</v>
      </c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</row>
    <row r="439" spans="1:17" x14ac:dyDescent="0.3">
      <c r="A439" s="6"/>
      <c r="B439" s="6" t="s">
        <v>490</v>
      </c>
      <c r="C439" s="6"/>
      <c r="D439" s="6">
        <v>-1</v>
      </c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</row>
    <row r="440" spans="1:17" x14ac:dyDescent="0.3">
      <c r="A440" s="6"/>
      <c r="B440" s="6" t="s">
        <v>688</v>
      </c>
      <c r="C440" s="6"/>
      <c r="D440" s="6">
        <v>-1</v>
      </c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</row>
    <row r="441" spans="1:17" x14ac:dyDescent="0.3">
      <c r="A441" s="6"/>
      <c r="B441" s="6" t="s">
        <v>446</v>
      </c>
      <c r="C441" s="6"/>
      <c r="D441" s="6">
        <v>-1</v>
      </c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</row>
    <row r="442" spans="1:17" x14ac:dyDescent="0.3">
      <c r="A442" s="6"/>
      <c r="B442" s="6" t="s">
        <v>702</v>
      </c>
      <c r="C442" s="6"/>
      <c r="D442" s="6">
        <v>-1</v>
      </c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</row>
    <row r="443" spans="1:17" x14ac:dyDescent="0.3">
      <c r="A443" s="6"/>
      <c r="B443" s="6" t="s">
        <v>706</v>
      </c>
      <c r="C443" s="6"/>
      <c r="D443" s="6">
        <v>-1</v>
      </c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</row>
    <row r="444" spans="1:17" x14ac:dyDescent="0.3">
      <c r="A444" s="6"/>
      <c r="B444" s="6" t="s">
        <v>338</v>
      </c>
      <c r="C444" s="6"/>
      <c r="D444" s="6">
        <v>-1</v>
      </c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</row>
    <row r="445" spans="1:17" x14ac:dyDescent="0.3">
      <c r="A445" s="6"/>
      <c r="B445" s="6" t="s">
        <v>712</v>
      </c>
      <c r="C445" s="6"/>
      <c r="D445" s="6">
        <v>-1</v>
      </c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</row>
    <row r="446" spans="1:17" x14ac:dyDescent="0.3">
      <c r="A446" s="6"/>
      <c r="B446" s="6" t="s">
        <v>478</v>
      </c>
      <c r="C446" s="6"/>
      <c r="D446" s="6">
        <v>-1</v>
      </c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</row>
    <row r="447" spans="1:17" x14ac:dyDescent="0.3">
      <c r="A447" s="6"/>
      <c r="B447" s="6" t="s">
        <v>720</v>
      </c>
      <c r="C447" s="6"/>
      <c r="D447" s="6">
        <v>-1</v>
      </c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</row>
    <row r="448" spans="1:17" x14ac:dyDescent="0.3">
      <c r="A448" s="6"/>
      <c r="B448" s="6" t="s">
        <v>454</v>
      </c>
      <c r="C448" s="6"/>
      <c r="D448" s="6">
        <v>-1</v>
      </c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</row>
    <row r="449" spans="1:17" x14ac:dyDescent="0.3">
      <c r="A449" s="6"/>
      <c r="B449" s="6" t="s">
        <v>410</v>
      </c>
      <c r="C449" s="6"/>
      <c r="D449" s="6">
        <v>-1</v>
      </c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</row>
    <row r="450" spans="1:17" x14ac:dyDescent="0.3">
      <c r="A450" s="6"/>
      <c r="B450" s="6" t="s">
        <v>728</v>
      </c>
      <c r="C450" s="6"/>
      <c r="D450" s="6">
        <v>-1</v>
      </c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</row>
    <row r="451" spans="1:17" x14ac:dyDescent="0.3">
      <c r="A451" s="6"/>
      <c r="B451" s="6" t="s">
        <v>376</v>
      </c>
      <c r="C451" s="6"/>
      <c r="D451" s="6"/>
      <c r="E451" s="6">
        <v>-1</v>
      </c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</row>
    <row r="452" spans="1:17" x14ac:dyDescent="0.3">
      <c r="A452" s="6"/>
      <c r="B452" s="6" t="s">
        <v>694</v>
      </c>
      <c r="C452" s="6"/>
      <c r="D452" s="6"/>
      <c r="E452" s="6">
        <v>-1</v>
      </c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</row>
    <row r="453" spans="1:17" x14ac:dyDescent="0.3">
      <c r="A453" s="6"/>
      <c r="B453" s="6" t="s">
        <v>708</v>
      </c>
      <c r="C453" s="6"/>
      <c r="D453" s="6"/>
      <c r="E453" s="6">
        <v>-1</v>
      </c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</row>
    <row r="454" spans="1:17" x14ac:dyDescent="0.3">
      <c r="A454" s="6"/>
      <c r="B454" s="6" t="s">
        <v>530</v>
      </c>
      <c r="C454" s="6"/>
      <c r="D454" s="6"/>
      <c r="E454" s="6"/>
      <c r="F454" s="6">
        <v>-1</v>
      </c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</row>
    <row r="455" spans="1:17" x14ac:dyDescent="0.3">
      <c r="A455" s="6" t="s">
        <v>3943</v>
      </c>
      <c r="B455" s="6" t="s">
        <v>366</v>
      </c>
      <c r="C455" s="6"/>
      <c r="D455" s="6"/>
      <c r="E455" s="6"/>
      <c r="F455" s="6">
        <v>25</v>
      </c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</row>
    <row r="456" spans="1:17" x14ac:dyDescent="0.3">
      <c r="A456" s="6" t="s">
        <v>3035</v>
      </c>
      <c r="B456" s="6" t="s">
        <v>558</v>
      </c>
      <c r="C456" s="6"/>
      <c r="D456" s="6"/>
      <c r="E456" s="6"/>
      <c r="F456" s="6">
        <v>35</v>
      </c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</row>
    <row r="457" spans="1:17" x14ac:dyDescent="0.3">
      <c r="A457" s="6"/>
      <c r="B457" s="6" t="s">
        <v>572</v>
      </c>
      <c r="C457" s="6"/>
      <c r="D457" s="6"/>
      <c r="E457" s="6"/>
      <c r="F457" s="6">
        <v>-1</v>
      </c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</row>
    <row r="458" spans="1:17" x14ac:dyDescent="0.3">
      <c r="A458" s="6"/>
      <c r="B458" s="6" t="s">
        <v>586</v>
      </c>
      <c r="C458" s="6"/>
      <c r="D458" s="6"/>
      <c r="E458" s="6"/>
      <c r="F458" s="6">
        <v>-1</v>
      </c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</row>
    <row r="459" spans="1:17" x14ac:dyDescent="0.3">
      <c r="A459" s="6"/>
      <c r="B459" s="6" t="s">
        <v>436</v>
      </c>
      <c r="C459" s="6"/>
      <c r="D459" s="6"/>
      <c r="E459" s="6"/>
      <c r="F459" s="6">
        <v>-1</v>
      </c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</row>
    <row r="460" spans="1:17" x14ac:dyDescent="0.3">
      <c r="A460" s="6"/>
      <c r="B460" s="6" t="s">
        <v>382</v>
      </c>
      <c r="C460" s="6"/>
      <c r="D460" s="6"/>
      <c r="E460" s="6"/>
      <c r="F460" s="6">
        <v>-1</v>
      </c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</row>
    <row r="461" spans="1:17" x14ac:dyDescent="0.3">
      <c r="A461" s="6"/>
      <c r="B461" s="6" t="s">
        <v>390</v>
      </c>
      <c r="C461" s="6"/>
      <c r="D461" s="6"/>
      <c r="E461" s="6"/>
      <c r="F461" s="6">
        <v>-1</v>
      </c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</row>
    <row r="462" spans="1:17" x14ac:dyDescent="0.3">
      <c r="A462" s="6" t="s">
        <v>2973</v>
      </c>
      <c r="B462" s="6" t="s">
        <v>378</v>
      </c>
      <c r="C462" s="6"/>
      <c r="D462" s="6"/>
      <c r="E462" s="6"/>
      <c r="F462" s="6">
        <v>33</v>
      </c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</row>
    <row r="463" spans="1:17" x14ac:dyDescent="0.3">
      <c r="A463" s="6"/>
      <c r="B463" s="6" t="s">
        <v>624</v>
      </c>
      <c r="C463" s="6"/>
      <c r="D463" s="6"/>
      <c r="E463" s="6"/>
      <c r="F463" s="6">
        <v>-1</v>
      </c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</row>
    <row r="464" spans="1:17" x14ac:dyDescent="0.3">
      <c r="A464" s="6" t="s">
        <v>4459</v>
      </c>
      <c r="B464" s="6" t="s">
        <v>392</v>
      </c>
      <c r="C464" s="6"/>
      <c r="D464" s="6"/>
      <c r="E464" s="6"/>
      <c r="F464" s="6">
        <v>29</v>
      </c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</row>
    <row r="465" spans="1:17" x14ac:dyDescent="0.3">
      <c r="A465" s="6"/>
      <c r="B465" s="6" t="s">
        <v>684</v>
      </c>
      <c r="C465" s="6"/>
      <c r="D465" s="6"/>
      <c r="E465" s="6"/>
      <c r="F465" s="6">
        <v>-1</v>
      </c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</row>
    <row r="466" spans="1:17" x14ac:dyDescent="0.3">
      <c r="A466" s="6"/>
      <c r="B466" s="6" t="s">
        <v>640</v>
      </c>
      <c r="C466" s="6"/>
      <c r="D466" s="6"/>
      <c r="E466" s="6"/>
      <c r="F466" s="6"/>
      <c r="G466" s="6">
        <v>-1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</row>
    <row r="467" spans="1:17" x14ac:dyDescent="0.3">
      <c r="A467" s="6" t="s">
        <v>1697</v>
      </c>
      <c r="B467" s="6" t="s">
        <v>470</v>
      </c>
      <c r="C467" s="6"/>
      <c r="D467" s="6"/>
      <c r="E467" s="6"/>
      <c r="F467" s="6"/>
      <c r="G467" s="6"/>
      <c r="H467" s="6">
        <v>24</v>
      </c>
      <c r="I467" s="6"/>
      <c r="J467" s="6"/>
      <c r="K467" s="6"/>
      <c r="L467" s="6"/>
      <c r="M467" s="6"/>
      <c r="N467" s="6"/>
      <c r="O467" s="6"/>
      <c r="P467" s="6"/>
      <c r="Q467" s="6"/>
    </row>
    <row r="468" spans="1:17" x14ac:dyDescent="0.3">
      <c r="A468" s="6"/>
      <c r="B468" s="6" t="s">
        <v>342</v>
      </c>
      <c r="C468" s="6"/>
      <c r="D468" s="6"/>
      <c r="E468" s="6"/>
      <c r="F468" s="6"/>
      <c r="G468" s="6"/>
      <c r="H468" s="6">
        <v>-1</v>
      </c>
      <c r="I468" s="6"/>
      <c r="J468" s="6"/>
      <c r="K468" s="6"/>
      <c r="L468" s="6"/>
      <c r="M468" s="6"/>
      <c r="N468" s="6"/>
      <c r="O468" s="6"/>
      <c r="P468" s="6"/>
      <c r="Q468" s="6"/>
    </row>
    <row r="469" spans="1:17" x14ac:dyDescent="0.3">
      <c r="A469" s="6"/>
      <c r="B469" s="6" t="s">
        <v>358</v>
      </c>
      <c r="C469" s="6"/>
      <c r="D469" s="6"/>
      <c r="E469" s="6"/>
      <c r="F469" s="6"/>
      <c r="G469" s="6"/>
      <c r="H469" s="6"/>
      <c r="I469" s="6">
        <v>-1</v>
      </c>
      <c r="J469" s="6"/>
      <c r="K469" s="6"/>
      <c r="L469" s="6"/>
      <c r="M469" s="6"/>
      <c r="N469" s="6"/>
      <c r="O469" s="6"/>
      <c r="P469" s="6"/>
      <c r="Q469" s="6"/>
    </row>
    <row r="470" spans="1:17" x14ac:dyDescent="0.3">
      <c r="A470" s="6"/>
      <c r="B470" s="6" t="s">
        <v>524</v>
      </c>
      <c r="C470" s="6"/>
      <c r="D470" s="6"/>
      <c r="E470" s="6"/>
      <c r="F470" s="6"/>
      <c r="G470" s="6"/>
      <c r="H470" s="6"/>
      <c r="I470" s="6">
        <v>-1</v>
      </c>
      <c r="J470" s="6"/>
      <c r="K470" s="6"/>
      <c r="L470" s="6"/>
      <c r="M470" s="6"/>
      <c r="N470" s="6"/>
      <c r="O470" s="6"/>
      <c r="P470" s="6"/>
      <c r="Q470" s="6"/>
    </row>
    <row r="471" spans="1:17" x14ac:dyDescent="0.3">
      <c r="A471" s="6" t="s">
        <v>4098</v>
      </c>
      <c r="B471" s="6" t="s">
        <v>526</v>
      </c>
      <c r="C471" s="6"/>
      <c r="D471" s="6"/>
      <c r="E471" s="6"/>
      <c r="F471" s="6"/>
      <c r="G471" s="6"/>
      <c r="H471" s="6"/>
      <c r="I471" s="6">
        <v>39</v>
      </c>
      <c r="J471" s="6"/>
      <c r="K471" s="6"/>
      <c r="L471" s="6"/>
      <c r="M471" s="6"/>
      <c r="N471" s="6"/>
      <c r="O471" s="6"/>
      <c r="P471" s="6"/>
      <c r="Q471" s="6"/>
    </row>
    <row r="472" spans="1:17" x14ac:dyDescent="0.3">
      <c r="A472" s="6"/>
      <c r="B472" s="6" t="s">
        <v>536</v>
      </c>
      <c r="C472" s="6"/>
      <c r="D472" s="6"/>
      <c r="E472" s="6"/>
      <c r="F472" s="6"/>
      <c r="G472" s="6"/>
      <c r="H472" s="6"/>
      <c r="I472" s="6">
        <v>-1</v>
      </c>
      <c r="J472" s="6"/>
      <c r="K472" s="6"/>
      <c r="L472" s="6"/>
      <c r="M472" s="6"/>
      <c r="N472" s="6"/>
      <c r="O472" s="6"/>
      <c r="P472" s="6"/>
      <c r="Q472" s="6"/>
    </row>
    <row r="473" spans="1:17" x14ac:dyDescent="0.3">
      <c r="A473" s="6"/>
      <c r="B473" s="6" t="s">
        <v>362</v>
      </c>
      <c r="C473" s="6"/>
      <c r="D473" s="6"/>
      <c r="E473" s="6"/>
      <c r="F473" s="6"/>
      <c r="G473" s="6"/>
      <c r="H473" s="6"/>
      <c r="I473" s="6">
        <v>-1</v>
      </c>
      <c r="J473" s="6"/>
      <c r="K473" s="6"/>
      <c r="L473" s="6"/>
      <c r="M473" s="6"/>
      <c r="N473" s="6"/>
      <c r="O473" s="6"/>
      <c r="P473" s="6"/>
      <c r="Q473" s="6"/>
    </row>
    <row r="474" spans="1:17" x14ac:dyDescent="0.3">
      <c r="A474" s="6"/>
      <c r="B474" s="6" t="s">
        <v>580</v>
      </c>
      <c r="C474" s="6"/>
      <c r="D474" s="6"/>
      <c r="E474" s="6"/>
      <c r="F474" s="6"/>
      <c r="G474" s="6"/>
      <c r="H474" s="6"/>
      <c r="I474" s="6">
        <v>-1</v>
      </c>
      <c r="J474" s="6"/>
      <c r="K474" s="6"/>
      <c r="L474" s="6"/>
      <c r="M474" s="6"/>
      <c r="N474" s="6"/>
      <c r="O474" s="6"/>
      <c r="P474" s="6"/>
      <c r="Q474" s="6"/>
    </row>
    <row r="475" spans="1:17" x14ac:dyDescent="0.3">
      <c r="A475" s="6" t="s">
        <v>1838</v>
      </c>
      <c r="B475" s="6" t="s">
        <v>582</v>
      </c>
      <c r="C475" s="6"/>
      <c r="D475" s="6"/>
      <c r="E475" s="6"/>
      <c r="F475" s="6"/>
      <c r="G475" s="6"/>
      <c r="H475" s="6"/>
      <c r="I475" s="6">
        <v>44</v>
      </c>
      <c r="J475" s="6"/>
      <c r="K475" s="6"/>
      <c r="L475" s="6"/>
      <c r="M475" s="6"/>
      <c r="N475" s="6"/>
      <c r="O475" s="6"/>
      <c r="P475" s="6"/>
      <c r="Q475" s="6"/>
    </row>
    <row r="476" spans="1:17" x14ac:dyDescent="0.3">
      <c r="A476" s="6" t="s">
        <v>1815</v>
      </c>
      <c r="B476" s="6" t="s">
        <v>448</v>
      </c>
      <c r="C476" s="6"/>
      <c r="D476" s="6"/>
      <c r="E476" s="6"/>
      <c r="F476" s="6"/>
      <c r="G476" s="6"/>
      <c r="H476" s="6"/>
      <c r="I476" s="6">
        <v>33</v>
      </c>
      <c r="J476" s="6"/>
      <c r="K476" s="6"/>
      <c r="L476" s="6"/>
      <c r="M476" s="6"/>
      <c r="N476" s="6"/>
      <c r="O476" s="6"/>
      <c r="P476" s="6"/>
      <c r="Q476" s="6"/>
    </row>
    <row r="477" spans="1:17" x14ac:dyDescent="0.3">
      <c r="A477" s="6"/>
      <c r="B477" s="6" t="s">
        <v>474</v>
      </c>
      <c r="C477" s="6"/>
      <c r="D477" s="6"/>
      <c r="E477" s="6"/>
      <c r="F477" s="6"/>
      <c r="G477" s="6"/>
      <c r="H477" s="6"/>
      <c r="I477" s="6">
        <v>-1</v>
      </c>
      <c r="J477" s="6"/>
      <c r="K477" s="6"/>
      <c r="L477" s="6"/>
      <c r="M477" s="6"/>
      <c r="N477" s="6"/>
      <c r="O477" s="6"/>
      <c r="P477" s="6"/>
      <c r="Q477" s="6"/>
    </row>
    <row r="478" spans="1:17" x14ac:dyDescent="0.3">
      <c r="A478" s="6"/>
      <c r="B478" s="6" t="s">
        <v>466</v>
      </c>
      <c r="C478" s="6"/>
      <c r="D478" s="6"/>
      <c r="E478" s="6"/>
      <c r="F478" s="6"/>
      <c r="G478" s="6"/>
      <c r="H478" s="6"/>
      <c r="I478" s="6">
        <v>-1</v>
      </c>
      <c r="J478" s="6"/>
      <c r="K478" s="6"/>
      <c r="L478" s="6"/>
      <c r="M478" s="6"/>
      <c r="N478" s="6"/>
      <c r="O478" s="6"/>
      <c r="P478" s="6"/>
      <c r="Q478" s="6"/>
    </row>
    <row r="479" spans="1:17" x14ac:dyDescent="0.3">
      <c r="A479" s="6"/>
      <c r="B479" s="6" t="s">
        <v>398</v>
      </c>
      <c r="C479" s="6"/>
      <c r="D479" s="6"/>
      <c r="E479" s="6"/>
      <c r="F479" s="6"/>
      <c r="G479" s="6"/>
      <c r="H479" s="6"/>
      <c r="I479" s="6">
        <v>-1</v>
      </c>
      <c r="J479" s="6"/>
      <c r="K479" s="6"/>
      <c r="L479" s="6"/>
      <c r="M479" s="6"/>
      <c r="N479" s="6"/>
      <c r="O479" s="6"/>
      <c r="P479" s="6"/>
      <c r="Q479" s="6"/>
    </row>
    <row r="480" spans="1:17" x14ac:dyDescent="0.3">
      <c r="A480" s="6" t="s">
        <v>3472</v>
      </c>
      <c r="B480" s="6" t="s">
        <v>716</v>
      </c>
      <c r="C480" s="6"/>
      <c r="D480" s="6"/>
      <c r="E480" s="6"/>
      <c r="F480" s="6"/>
      <c r="G480" s="6"/>
      <c r="H480" s="6"/>
      <c r="I480" s="6">
        <v>46</v>
      </c>
      <c r="J480" s="6"/>
      <c r="K480" s="6"/>
      <c r="L480" s="6"/>
      <c r="M480" s="6"/>
      <c r="N480" s="6"/>
      <c r="O480" s="6"/>
      <c r="P480" s="6"/>
      <c r="Q480" s="6"/>
    </row>
    <row r="481" spans="1:17" x14ac:dyDescent="0.3">
      <c r="A481" s="6"/>
      <c r="B481" s="6" t="s">
        <v>718</v>
      </c>
      <c r="C481" s="6"/>
      <c r="D481" s="6"/>
      <c r="E481" s="6"/>
      <c r="F481" s="6"/>
      <c r="G481" s="6"/>
      <c r="H481" s="6"/>
      <c r="I481" s="6">
        <v>-1</v>
      </c>
      <c r="J481" s="6"/>
      <c r="K481" s="6"/>
      <c r="L481" s="6"/>
      <c r="M481" s="6"/>
      <c r="N481" s="6"/>
      <c r="O481" s="6"/>
      <c r="P481" s="6"/>
      <c r="Q481" s="6"/>
    </row>
    <row r="482" spans="1:17" x14ac:dyDescent="0.3">
      <c r="A482" s="6"/>
      <c r="B482" s="6" t="s">
        <v>732</v>
      </c>
      <c r="C482" s="6"/>
      <c r="D482" s="6"/>
      <c r="E482" s="6"/>
      <c r="F482" s="6"/>
      <c r="G482" s="6"/>
      <c r="H482" s="6"/>
      <c r="I482" s="6">
        <v>-1</v>
      </c>
      <c r="J482" s="6"/>
      <c r="K482" s="6"/>
      <c r="L482" s="6"/>
      <c r="M482" s="6"/>
      <c r="N482" s="6"/>
      <c r="O482" s="6"/>
      <c r="P482" s="6"/>
      <c r="Q482" s="6"/>
    </row>
    <row r="483" spans="1:17" x14ac:dyDescent="0.3">
      <c r="A483" s="6"/>
      <c r="B483" s="6" t="s">
        <v>704</v>
      </c>
      <c r="C483" s="6"/>
      <c r="D483" s="6"/>
      <c r="E483" s="6"/>
      <c r="F483" s="6"/>
      <c r="G483" s="6"/>
      <c r="H483" s="6"/>
      <c r="I483" s="6"/>
      <c r="J483" s="6">
        <v>-1</v>
      </c>
      <c r="K483" s="6"/>
      <c r="L483" s="6"/>
      <c r="M483" s="6"/>
      <c r="N483" s="6"/>
      <c r="O483" s="6"/>
      <c r="P483" s="6"/>
      <c r="Q483" s="6"/>
    </row>
    <row r="484" spans="1:17" x14ac:dyDescent="0.3">
      <c r="A484" s="6"/>
      <c r="B484" s="6" t="s">
        <v>738</v>
      </c>
      <c r="C484" s="6"/>
      <c r="D484" s="6"/>
      <c r="E484" s="6"/>
      <c r="F484" s="6"/>
      <c r="G484" s="6"/>
      <c r="H484" s="6"/>
      <c r="I484" s="6"/>
      <c r="J484" s="6">
        <v>-1</v>
      </c>
      <c r="K484" s="6"/>
      <c r="L484" s="6"/>
      <c r="M484" s="6"/>
      <c r="N484" s="6"/>
      <c r="O484" s="6"/>
      <c r="P484" s="6"/>
      <c r="Q484" s="6"/>
    </row>
    <row r="485" spans="1:17" x14ac:dyDescent="0.3">
      <c r="A485" s="6"/>
      <c r="B485" s="6" t="s">
        <v>504</v>
      </c>
      <c r="C485" s="6"/>
      <c r="D485" s="6"/>
      <c r="E485" s="6"/>
      <c r="F485" s="6"/>
      <c r="G485" s="6"/>
      <c r="H485" s="6"/>
      <c r="I485" s="6"/>
      <c r="J485" s="6"/>
      <c r="K485" s="6">
        <v>-1</v>
      </c>
      <c r="L485" s="6"/>
      <c r="M485" s="6"/>
      <c r="N485" s="6"/>
      <c r="O485" s="6"/>
      <c r="P485" s="6"/>
      <c r="Q485" s="6"/>
    </row>
    <row r="486" spans="1:17" x14ac:dyDescent="0.3">
      <c r="A486" s="6"/>
      <c r="B486" s="6" t="s">
        <v>498</v>
      </c>
      <c r="C486" s="6"/>
      <c r="D486" s="6"/>
      <c r="E486" s="6"/>
      <c r="F486" s="6"/>
      <c r="G486" s="6"/>
      <c r="H486" s="6"/>
      <c r="I486" s="6"/>
      <c r="J486" s="6"/>
      <c r="K486" s="6">
        <v>-1</v>
      </c>
      <c r="L486" s="6"/>
      <c r="M486" s="6"/>
      <c r="N486" s="6"/>
      <c r="O486" s="6"/>
      <c r="P486" s="6"/>
      <c r="Q486" s="6"/>
    </row>
    <row r="487" spans="1:17" x14ac:dyDescent="0.3">
      <c r="A487" s="6"/>
      <c r="B487" s="6" t="s">
        <v>532</v>
      </c>
      <c r="C487" s="6"/>
      <c r="D487" s="6"/>
      <c r="E487" s="6"/>
      <c r="F487" s="6"/>
      <c r="G487" s="6"/>
      <c r="H487" s="6"/>
      <c r="I487" s="6"/>
      <c r="J487" s="6"/>
      <c r="K487" s="6">
        <v>-1</v>
      </c>
      <c r="L487" s="6"/>
      <c r="M487" s="6"/>
      <c r="N487" s="6"/>
      <c r="O487" s="6"/>
      <c r="P487" s="6"/>
      <c r="Q487" s="6"/>
    </row>
    <row r="488" spans="1:17" x14ac:dyDescent="0.3">
      <c r="A488" s="6"/>
      <c r="B488" s="6" t="s">
        <v>370</v>
      </c>
      <c r="C488" s="6"/>
      <c r="D488" s="6"/>
      <c r="E488" s="6"/>
      <c r="F488" s="6"/>
      <c r="G488" s="6"/>
      <c r="H488" s="6"/>
      <c r="I488" s="6"/>
      <c r="J488" s="6"/>
      <c r="K488" s="6">
        <v>-1</v>
      </c>
      <c r="L488" s="6"/>
      <c r="M488" s="6"/>
      <c r="N488" s="6"/>
      <c r="O488" s="6"/>
      <c r="P488" s="6"/>
      <c r="Q488" s="6"/>
    </row>
    <row r="489" spans="1:17" x14ac:dyDescent="0.3">
      <c r="A489" s="6"/>
      <c r="B489" s="6" t="s">
        <v>574</v>
      </c>
      <c r="C489" s="6"/>
      <c r="D489" s="6"/>
      <c r="E489" s="6"/>
      <c r="F489" s="6"/>
      <c r="G489" s="6"/>
      <c r="H489" s="6"/>
      <c r="I489" s="6"/>
      <c r="J489" s="6"/>
      <c r="K489" s="6">
        <v>-1</v>
      </c>
      <c r="L489" s="6"/>
      <c r="M489" s="6"/>
      <c r="N489" s="6"/>
      <c r="O489" s="6"/>
      <c r="P489" s="6"/>
      <c r="Q489" s="6"/>
    </row>
    <row r="490" spans="1:17" x14ac:dyDescent="0.3">
      <c r="A490" s="6"/>
      <c r="B490" s="6" t="s">
        <v>638</v>
      </c>
      <c r="C490" s="6"/>
      <c r="D490" s="6"/>
      <c r="E490" s="6"/>
      <c r="F490" s="6"/>
      <c r="G490" s="6"/>
      <c r="H490" s="6"/>
      <c r="I490" s="6"/>
      <c r="J490" s="6"/>
      <c r="K490" s="6">
        <v>-1</v>
      </c>
      <c r="L490" s="6"/>
      <c r="M490" s="6"/>
      <c r="N490" s="6"/>
      <c r="O490" s="6"/>
      <c r="P490" s="6"/>
      <c r="Q490" s="6"/>
    </row>
    <row r="491" spans="1:17" x14ac:dyDescent="0.3">
      <c r="A491" s="6"/>
      <c r="B491" s="6" t="s">
        <v>588</v>
      </c>
      <c r="C491" s="6"/>
      <c r="D491" s="6"/>
      <c r="E491" s="6"/>
      <c r="F491" s="6"/>
      <c r="G491" s="6"/>
      <c r="H491" s="6"/>
      <c r="I491" s="6"/>
      <c r="J491" s="6"/>
      <c r="K491" s="6">
        <v>-1</v>
      </c>
      <c r="L491" s="6"/>
      <c r="M491" s="6"/>
      <c r="N491" s="6"/>
      <c r="O491" s="6"/>
      <c r="P491" s="6"/>
      <c r="Q491" s="6"/>
    </row>
    <row r="492" spans="1:17" x14ac:dyDescent="0.3">
      <c r="A492" s="6"/>
      <c r="B492" s="6" t="s">
        <v>612</v>
      </c>
      <c r="C492" s="6"/>
      <c r="D492" s="6"/>
      <c r="E492" s="6"/>
      <c r="F492" s="6"/>
      <c r="G492" s="6"/>
      <c r="H492" s="6"/>
      <c r="I492" s="6"/>
      <c r="J492" s="6"/>
      <c r="K492" s="6">
        <v>-1</v>
      </c>
      <c r="L492" s="6"/>
      <c r="M492" s="6"/>
      <c r="N492" s="6"/>
      <c r="O492" s="6"/>
      <c r="P492" s="6"/>
      <c r="Q492" s="6"/>
    </row>
    <row r="493" spans="1:17" x14ac:dyDescent="0.3">
      <c r="A493" s="6"/>
      <c r="B493" s="6" t="s">
        <v>626</v>
      </c>
      <c r="C493" s="6"/>
      <c r="D493" s="6"/>
      <c r="E493" s="6"/>
      <c r="F493" s="6"/>
      <c r="G493" s="6"/>
      <c r="H493" s="6"/>
      <c r="I493" s="6"/>
      <c r="J493" s="6"/>
      <c r="K493" s="6">
        <v>-1</v>
      </c>
      <c r="L493" s="6"/>
      <c r="M493" s="6"/>
      <c r="N493" s="6"/>
      <c r="O493" s="6"/>
      <c r="P493" s="6"/>
      <c r="Q493" s="6"/>
    </row>
    <row r="494" spans="1:17" x14ac:dyDescent="0.3">
      <c r="A494" s="6"/>
      <c r="B494" s="6" t="s">
        <v>350</v>
      </c>
      <c r="C494" s="6"/>
      <c r="D494" s="6"/>
      <c r="E494" s="6"/>
      <c r="F494" s="6"/>
      <c r="G494" s="6"/>
      <c r="H494" s="6"/>
      <c r="I494" s="6"/>
      <c r="J494" s="6"/>
      <c r="K494" s="6">
        <v>-1</v>
      </c>
      <c r="L494" s="6"/>
      <c r="M494" s="6"/>
      <c r="N494" s="6"/>
      <c r="O494" s="6"/>
      <c r="P494" s="6"/>
      <c r="Q494" s="6"/>
    </row>
    <row r="495" spans="1:17" x14ac:dyDescent="0.3">
      <c r="A495" s="6"/>
      <c r="B495" s="6" t="s">
        <v>646</v>
      </c>
      <c r="C495" s="6"/>
      <c r="D495" s="6"/>
      <c r="E495" s="6"/>
      <c r="F495" s="6"/>
      <c r="G495" s="6"/>
      <c r="H495" s="6"/>
      <c r="I495" s="6"/>
      <c r="J495" s="6"/>
      <c r="K495" s="6">
        <v>-1</v>
      </c>
      <c r="L495" s="6"/>
      <c r="M495" s="6"/>
      <c r="N495" s="6"/>
      <c r="O495" s="6"/>
      <c r="P495" s="6"/>
      <c r="Q495" s="6"/>
    </row>
    <row r="496" spans="1:17" x14ac:dyDescent="0.3">
      <c r="A496" s="6"/>
      <c r="B496" s="6" t="s">
        <v>672</v>
      </c>
      <c r="C496" s="6"/>
      <c r="D496" s="6"/>
      <c r="E496" s="6"/>
      <c r="F496" s="6"/>
      <c r="G496" s="6"/>
      <c r="H496" s="6"/>
      <c r="I496" s="6"/>
      <c r="J496" s="6"/>
      <c r="K496" s="6">
        <v>-1</v>
      </c>
      <c r="L496" s="6"/>
      <c r="M496" s="6"/>
      <c r="N496" s="6"/>
      <c r="O496" s="6"/>
      <c r="P496" s="6"/>
      <c r="Q496" s="6"/>
    </row>
    <row r="497" spans="1:17" x14ac:dyDescent="0.3">
      <c r="A497" s="6"/>
      <c r="B497" s="6" t="s">
        <v>338</v>
      </c>
      <c r="C497" s="6"/>
      <c r="D497" s="6"/>
      <c r="E497" s="6"/>
      <c r="F497" s="6"/>
      <c r="G497" s="6"/>
      <c r="H497" s="6"/>
      <c r="I497" s="6"/>
      <c r="J497" s="6"/>
      <c r="K497" s="6">
        <v>-1</v>
      </c>
      <c r="L497" s="6"/>
      <c r="M497" s="6"/>
      <c r="N497" s="6"/>
      <c r="O497" s="6"/>
      <c r="P497" s="6"/>
      <c r="Q497" s="6"/>
    </row>
    <row r="498" spans="1:17" x14ac:dyDescent="0.3">
      <c r="A498" s="6" t="s">
        <v>3480</v>
      </c>
      <c r="B498" s="6" t="s">
        <v>512</v>
      </c>
      <c r="C498" s="6"/>
      <c r="D498" s="6"/>
      <c r="E498" s="6"/>
      <c r="F498" s="6"/>
      <c r="G498" s="6"/>
      <c r="H498" s="6"/>
      <c r="I498" s="6"/>
      <c r="J498" s="6"/>
      <c r="K498" s="6"/>
      <c r="L498" s="6">
        <v>25</v>
      </c>
      <c r="M498" s="6"/>
      <c r="N498" s="6"/>
      <c r="O498" s="6"/>
      <c r="P498" s="6"/>
      <c r="Q498" s="6"/>
    </row>
    <row r="499" spans="1:17" x14ac:dyDescent="0.3">
      <c r="A499" s="6"/>
      <c r="B499" s="6" t="s">
        <v>590</v>
      </c>
      <c r="C499" s="6"/>
      <c r="D499" s="6"/>
      <c r="E499" s="6"/>
      <c r="F499" s="6"/>
      <c r="G499" s="6"/>
      <c r="H499" s="6"/>
      <c r="I499" s="6"/>
      <c r="J499" s="6"/>
      <c r="K499" s="6"/>
      <c r="L499" s="6">
        <v>-1</v>
      </c>
      <c r="M499" s="6"/>
      <c r="N499" s="6"/>
      <c r="O499" s="6"/>
      <c r="P499" s="6"/>
      <c r="Q499" s="6"/>
    </row>
    <row r="500" spans="1:17" x14ac:dyDescent="0.3">
      <c r="A500" s="6"/>
      <c r="B500" s="6" t="s">
        <v>602</v>
      </c>
      <c r="C500" s="6"/>
      <c r="D500" s="6"/>
      <c r="E500" s="6"/>
      <c r="F500" s="6"/>
      <c r="G500" s="6"/>
      <c r="H500" s="6"/>
      <c r="I500" s="6"/>
      <c r="J500" s="6"/>
      <c r="K500" s="6"/>
      <c r="L500" s="6">
        <v>-1</v>
      </c>
      <c r="M500" s="6"/>
      <c r="N500" s="6"/>
      <c r="O500" s="6"/>
      <c r="P500" s="6"/>
      <c r="Q500" s="6"/>
    </row>
    <row r="501" spans="1:17" x14ac:dyDescent="0.3">
      <c r="A501" s="6"/>
      <c r="B501" s="6" t="s">
        <v>610</v>
      </c>
      <c r="C501" s="6"/>
      <c r="D501" s="6"/>
      <c r="E501" s="6"/>
      <c r="F501" s="6"/>
      <c r="G501" s="6"/>
      <c r="H501" s="6"/>
      <c r="I501" s="6"/>
      <c r="J501" s="6"/>
      <c r="K501" s="6"/>
      <c r="L501" s="6">
        <v>-1</v>
      </c>
      <c r="M501" s="6"/>
      <c r="N501" s="6"/>
      <c r="O501" s="6"/>
      <c r="P501" s="6"/>
      <c r="Q501" s="6"/>
    </row>
    <row r="502" spans="1:17" x14ac:dyDescent="0.3">
      <c r="A502" s="6" t="s">
        <v>3485</v>
      </c>
      <c r="B502" s="6" t="s">
        <v>614</v>
      </c>
      <c r="C502" s="6"/>
      <c r="D502" s="6"/>
      <c r="E502" s="6"/>
      <c r="F502" s="6"/>
      <c r="G502" s="6"/>
      <c r="H502" s="6"/>
      <c r="I502" s="6"/>
      <c r="J502" s="6"/>
      <c r="K502" s="6"/>
      <c r="L502" s="6">
        <v>21</v>
      </c>
      <c r="M502" s="6"/>
      <c r="N502" s="6"/>
      <c r="O502" s="6"/>
      <c r="P502" s="6"/>
      <c r="Q502" s="6"/>
    </row>
    <row r="503" spans="1:17" x14ac:dyDescent="0.3">
      <c r="A503" s="6"/>
      <c r="B503" s="6" t="s">
        <v>432</v>
      </c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>
        <v>-1</v>
      </c>
      <c r="N503" s="6"/>
      <c r="O503" s="6"/>
      <c r="P503" s="6"/>
      <c r="Q503" s="6"/>
    </row>
    <row r="504" spans="1:17" x14ac:dyDescent="0.3">
      <c r="A504" s="6"/>
      <c r="B504" s="6" t="s">
        <v>464</v>
      </c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>
        <v>-1</v>
      </c>
      <c r="N504" s="6"/>
      <c r="O504" s="6"/>
      <c r="P504" s="6"/>
      <c r="Q504" s="6"/>
    </row>
    <row r="505" spans="1:17" x14ac:dyDescent="0.3">
      <c r="A505" s="6" t="s">
        <v>1487</v>
      </c>
      <c r="B505" s="6" t="s">
        <v>600</v>
      </c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>
        <v>36</v>
      </c>
      <c r="N505" s="6"/>
      <c r="O505" s="6"/>
      <c r="P505" s="6"/>
      <c r="Q505" s="6"/>
    </row>
    <row r="506" spans="1:17" x14ac:dyDescent="0.3">
      <c r="A506" s="6"/>
      <c r="B506" s="6" t="s">
        <v>644</v>
      </c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>
        <v>-1</v>
      </c>
      <c r="N506" s="6"/>
      <c r="O506" s="6"/>
      <c r="P506" s="6"/>
      <c r="Q506" s="6"/>
    </row>
    <row r="507" spans="1:17" x14ac:dyDescent="0.3">
      <c r="A507" s="6"/>
      <c r="B507" s="6" t="s">
        <v>474</v>
      </c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>
        <v>-1</v>
      </c>
      <c r="N507" s="6"/>
      <c r="O507" s="6"/>
      <c r="P507" s="6"/>
      <c r="Q507" s="6"/>
    </row>
    <row r="508" spans="1:17" x14ac:dyDescent="0.3">
      <c r="A508" s="6"/>
      <c r="B508" s="6" t="s">
        <v>670</v>
      </c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>
        <v>-1</v>
      </c>
      <c r="N508" s="6"/>
      <c r="O508" s="6"/>
      <c r="P508" s="6"/>
      <c r="Q508" s="6"/>
    </row>
    <row r="509" spans="1:17" x14ac:dyDescent="0.3">
      <c r="A509" s="6"/>
      <c r="B509" s="6" t="s">
        <v>676</v>
      </c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>
        <v>-1</v>
      </c>
      <c r="N509" s="6"/>
      <c r="O509" s="6"/>
      <c r="P509" s="6"/>
      <c r="Q509" s="6"/>
    </row>
    <row r="510" spans="1:17" x14ac:dyDescent="0.3">
      <c r="A510" s="6"/>
      <c r="B510" s="6" t="s">
        <v>724</v>
      </c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>
        <v>-1</v>
      </c>
      <c r="N510" s="6"/>
      <c r="O510" s="6"/>
      <c r="P510" s="6"/>
      <c r="Q510" s="6"/>
    </row>
    <row r="511" spans="1:17" x14ac:dyDescent="0.3">
      <c r="A511" s="6"/>
      <c r="B511" s="6" t="s">
        <v>734</v>
      </c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>
        <v>-1</v>
      </c>
      <c r="N511" s="6"/>
      <c r="O511" s="6"/>
      <c r="P511" s="6"/>
      <c r="Q511" s="6"/>
    </row>
    <row r="512" spans="1:17" x14ac:dyDescent="0.3">
      <c r="A512" s="6"/>
      <c r="B512" s="6" t="s">
        <v>456</v>
      </c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>
        <v>-1</v>
      </c>
      <c r="O512" s="6"/>
      <c r="P512" s="6"/>
      <c r="Q512" s="6"/>
    </row>
    <row r="513" spans="1:17" x14ac:dyDescent="0.3">
      <c r="A513" s="6"/>
      <c r="B513" s="6" t="s">
        <v>396</v>
      </c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>
        <v>-1</v>
      </c>
      <c r="O513" s="6"/>
      <c r="P513" s="6"/>
      <c r="Q513" s="6"/>
    </row>
    <row r="514" spans="1:17" x14ac:dyDescent="0.3">
      <c r="A514" s="6" t="s">
        <v>4892</v>
      </c>
      <c r="B514" s="6" t="s">
        <v>380</v>
      </c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>
        <v>15</v>
      </c>
      <c r="P514" s="6"/>
      <c r="Q514" s="6"/>
    </row>
    <row r="515" spans="1:17" x14ac:dyDescent="0.3">
      <c r="A515" s="6"/>
      <c r="B515" s="6" t="s">
        <v>458</v>
      </c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>
        <v>-1</v>
      </c>
      <c r="P515" s="6"/>
      <c r="Q515" s="6"/>
    </row>
    <row r="516" spans="1:17" x14ac:dyDescent="0.3">
      <c r="A516" s="6" t="s">
        <v>1852</v>
      </c>
      <c r="B516" s="6" t="s">
        <v>400</v>
      </c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>
        <v>19</v>
      </c>
      <c r="P516" s="6"/>
      <c r="Q516" s="6"/>
    </row>
    <row r="517" spans="1:17" x14ac:dyDescent="0.3">
      <c r="A517" s="6"/>
      <c r="B517" s="6" t="s">
        <v>418</v>
      </c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>
        <v>-1</v>
      </c>
      <c r="P517" s="6"/>
      <c r="Q517" s="6"/>
    </row>
    <row r="518" spans="1:17" x14ac:dyDescent="0.3">
      <c r="A518" s="6"/>
      <c r="B518" s="6" t="s">
        <v>668</v>
      </c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>
        <v>-1</v>
      </c>
      <c r="P518" s="6"/>
      <c r="Q518" s="6"/>
    </row>
    <row r="519" spans="1:17" x14ac:dyDescent="0.3">
      <c r="A519" s="6"/>
      <c r="B519" s="6" t="s">
        <v>692</v>
      </c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>
        <v>-1</v>
      </c>
      <c r="P519" s="6"/>
      <c r="Q519" s="6"/>
    </row>
    <row r="520" spans="1:17" x14ac:dyDescent="0.3">
      <c r="A520" s="6"/>
      <c r="B520" s="6" t="s">
        <v>386</v>
      </c>
      <c r="C520" s="6">
        <v>-1</v>
      </c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</row>
    <row r="521" spans="1:17" x14ac:dyDescent="0.3">
      <c r="A521" s="6"/>
      <c r="B521" s="6" t="s">
        <v>386</v>
      </c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>
        <v>-1</v>
      </c>
      <c r="O521" s="6"/>
      <c r="P521" s="6"/>
      <c r="Q521" s="6"/>
    </row>
    <row r="522" spans="1:17" x14ac:dyDescent="0.3">
      <c r="A522" s="6" t="s">
        <v>1666</v>
      </c>
      <c r="B522" s="6" t="s">
        <v>402</v>
      </c>
      <c r="C522" s="6"/>
      <c r="D522" s="6">
        <v>18</v>
      </c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</row>
    <row r="523" spans="1:17" x14ac:dyDescent="0.3">
      <c r="A523" s="6" t="s">
        <v>3377</v>
      </c>
      <c r="B523" s="6" t="s">
        <v>356</v>
      </c>
      <c r="C523" s="6"/>
      <c r="D523" s="6"/>
      <c r="E523" s="6"/>
      <c r="F523" s="6">
        <v>17</v>
      </c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</row>
    <row r="524" spans="1:17" x14ac:dyDescent="0.3">
      <c r="A524" s="6" t="s">
        <v>3308</v>
      </c>
      <c r="B524" s="6" t="s">
        <v>598</v>
      </c>
      <c r="C524" s="6"/>
      <c r="D524" s="6"/>
      <c r="E524" s="6"/>
      <c r="F524" s="6"/>
      <c r="G524" s="6"/>
      <c r="H524" s="6"/>
      <c r="I524" s="6"/>
      <c r="J524" s="6">
        <v>22</v>
      </c>
      <c r="K524" s="6"/>
      <c r="L524" s="6"/>
      <c r="M524" s="6"/>
      <c r="N524" s="6"/>
      <c r="O524" s="6"/>
      <c r="P524" s="6"/>
      <c r="Q524" s="6"/>
    </row>
    <row r="525" spans="1:17" x14ac:dyDescent="0.3">
      <c r="A525" s="6" t="s">
        <v>1867</v>
      </c>
      <c r="B525" s="6" t="s">
        <v>334</v>
      </c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>
        <v>28</v>
      </c>
      <c r="N525" s="6"/>
      <c r="O525" s="6"/>
      <c r="P525" s="6"/>
      <c r="Q525" s="6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E3C07-FF04-40DF-80E3-794D52697699}">
  <dimension ref="A1:Q416"/>
  <sheetViews>
    <sheetView topLeftCell="A407" workbookViewId="0">
      <selection activeCell="B417" sqref="B417"/>
    </sheetView>
  </sheetViews>
  <sheetFormatPr defaultRowHeight="14.4" x14ac:dyDescent="0.3"/>
  <cols>
    <col min="1" max="1" width="29.5546875" bestFit="1" customWidth="1"/>
    <col min="2" max="2" width="24.88671875" bestFit="1" customWidth="1"/>
    <col min="3" max="3" width="26.44140625" bestFit="1" customWidth="1"/>
    <col min="4" max="7" width="27.44140625" bestFit="1" customWidth="1"/>
    <col min="8" max="8" width="28.5546875" bestFit="1" customWidth="1"/>
    <col min="9" max="10" width="29.33203125" bestFit="1" customWidth="1"/>
    <col min="11" max="12" width="30.5546875" bestFit="1" customWidth="1"/>
    <col min="13" max="14" width="27.33203125" bestFit="1" customWidth="1"/>
    <col min="15" max="16" width="26.33203125" bestFit="1" customWidth="1"/>
    <col min="17" max="17" width="30.21875" bestFit="1" customWidth="1"/>
  </cols>
  <sheetData>
    <row r="1" spans="1:17" x14ac:dyDescent="0.3">
      <c r="A1" t="s">
        <v>832</v>
      </c>
      <c r="B1" t="s">
        <v>1</v>
      </c>
      <c r="C1" t="s">
        <v>961</v>
      </c>
      <c r="D1" t="s">
        <v>962</v>
      </c>
      <c r="E1" t="s">
        <v>963</v>
      </c>
      <c r="F1" t="s">
        <v>964</v>
      </c>
      <c r="G1" t="s">
        <v>965</v>
      </c>
      <c r="H1" t="s">
        <v>966</v>
      </c>
      <c r="I1" t="s">
        <v>967</v>
      </c>
      <c r="J1" t="s">
        <v>968</v>
      </c>
      <c r="K1" t="s">
        <v>969</v>
      </c>
      <c r="L1" t="s">
        <v>970</v>
      </c>
      <c r="M1" t="s">
        <v>971</v>
      </c>
      <c r="N1" t="s">
        <v>972</v>
      </c>
      <c r="O1" t="s">
        <v>973</v>
      </c>
      <c r="P1" t="s">
        <v>974</v>
      </c>
      <c r="Q1" t="s">
        <v>1177</v>
      </c>
    </row>
    <row r="2" spans="1:17" x14ac:dyDescent="0.3">
      <c r="A2" s="6"/>
      <c r="B2" s="6" t="s">
        <v>334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>
        <v>-1</v>
      </c>
    </row>
    <row r="3" spans="1:17" x14ac:dyDescent="0.3">
      <c r="A3" s="6"/>
      <c r="B3" s="6" t="s">
        <v>354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>
        <v>-1</v>
      </c>
    </row>
    <row r="4" spans="1:17" x14ac:dyDescent="0.3">
      <c r="A4" s="6"/>
      <c r="B4" s="6" t="s">
        <v>332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>
        <v>-1</v>
      </c>
    </row>
    <row r="5" spans="1:17" x14ac:dyDescent="0.3">
      <c r="A5" s="6"/>
      <c r="B5" s="6" t="s">
        <v>330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>
        <v>-1</v>
      </c>
    </row>
    <row r="6" spans="1:17" x14ac:dyDescent="0.3">
      <c r="A6" s="6"/>
      <c r="B6" s="6" t="s">
        <v>330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>
        <v>-1</v>
      </c>
    </row>
    <row r="7" spans="1:17" x14ac:dyDescent="0.3">
      <c r="A7" s="6" t="s">
        <v>2814</v>
      </c>
      <c r="B7" s="6" t="s">
        <v>336</v>
      </c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>
        <v>4</v>
      </c>
    </row>
    <row r="8" spans="1:17" x14ac:dyDescent="0.3">
      <c r="A8" s="6" t="s">
        <v>4115</v>
      </c>
      <c r="B8" s="6" t="s">
        <v>336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>
        <v>11</v>
      </c>
    </row>
    <row r="9" spans="1:17" x14ac:dyDescent="0.3">
      <c r="A9" s="6" t="s">
        <v>2693</v>
      </c>
      <c r="B9" s="6" t="s">
        <v>344</v>
      </c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>
        <v>7</v>
      </c>
    </row>
    <row r="10" spans="1:17" x14ac:dyDescent="0.3">
      <c r="A10" s="6"/>
      <c r="B10" s="6" t="s">
        <v>344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>
        <v>-1</v>
      </c>
    </row>
    <row r="11" spans="1:17" x14ac:dyDescent="0.3">
      <c r="A11" s="6"/>
      <c r="B11" s="6" t="s">
        <v>412</v>
      </c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>
        <v>-1</v>
      </c>
    </row>
    <row r="12" spans="1:17" x14ac:dyDescent="0.3">
      <c r="A12" s="6" t="s">
        <v>1341</v>
      </c>
      <c r="B12" s="6" t="s">
        <v>346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>
        <v>12</v>
      </c>
    </row>
    <row r="13" spans="1:17" x14ac:dyDescent="0.3">
      <c r="A13" s="6" t="s">
        <v>2401</v>
      </c>
      <c r="B13" s="6" t="s">
        <v>354</v>
      </c>
      <c r="C13" s="6"/>
      <c r="D13" s="6"/>
      <c r="E13" s="6"/>
      <c r="F13" s="6"/>
      <c r="G13" s="6"/>
      <c r="H13" s="6">
        <v>6</v>
      </c>
      <c r="I13" s="6"/>
      <c r="J13" s="6"/>
      <c r="K13" s="6"/>
      <c r="L13" s="6"/>
      <c r="M13" s="6"/>
      <c r="N13" s="6"/>
      <c r="O13" s="6"/>
      <c r="P13" s="6"/>
      <c r="Q13" s="6">
        <v>2</v>
      </c>
    </row>
    <row r="14" spans="1:17" x14ac:dyDescent="0.3">
      <c r="A14" s="6"/>
      <c r="B14" s="6" t="s">
        <v>332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>
        <v>-1</v>
      </c>
    </row>
    <row r="15" spans="1:17" x14ac:dyDescent="0.3">
      <c r="A15" s="6"/>
      <c r="B15" s="6" t="s">
        <v>356</v>
      </c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>
        <v>-1</v>
      </c>
    </row>
    <row r="16" spans="1:17" x14ac:dyDescent="0.3">
      <c r="A16" s="6" t="s">
        <v>4872</v>
      </c>
      <c r="B16" s="6" t="s">
        <v>640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>
        <v>18</v>
      </c>
    </row>
    <row r="17" spans="1:17" x14ac:dyDescent="0.3">
      <c r="A17" s="6" t="s">
        <v>1283</v>
      </c>
      <c r="B17" s="6" t="s">
        <v>428</v>
      </c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>
        <v>13</v>
      </c>
    </row>
    <row r="18" spans="1:17" x14ac:dyDescent="0.3">
      <c r="A18" s="6"/>
      <c r="B18" s="6" t="s">
        <v>406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>
        <v>-1</v>
      </c>
    </row>
    <row r="19" spans="1:17" x14ac:dyDescent="0.3">
      <c r="A19" s="6" t="s">
        <v>2151</v>
      </c>
      <c r="B19" s="6" t="s">
        <v>384</v>
      </c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>
        <v>23</v>
      </c>
    </row>
    <row r="20" spans="1:17" x14ac:dyDescent="0.3">
      <c r="A20" s="6"/>
      <c r="B20" s="6" t="s">
        <v>392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>
        <v>-1</v>
      </c>
    </row>
    <row r="21" spans="1:17" x14ac:dyDescent="0.3">
      <c r="A21" s="6"/>
      <c r="B21" s="6" t="s">
        <v>350</v>
      </c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>
        <v>-1</v>
      </c>
    </row>
    <row r="22" spans="1:17" x14ac:dyDescent="0.3">
      <c r="A22" s="6"/>
      <c r="B22" s="6" t="s">
        <v>328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>
        <v>-1</v>
      </c>
    </row>
    <row r="23" spans="1:17" x14ac:dyDescent="0.3">
      <c r="A23" s="6" t="s">
        <v>3202</v>
      </c>
      <c r="B23" s="6" t="s">
        <v>402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>
        <v>20</v>
      </c>
    </row>
    <row r="24" spans="1:17" x14ac:dyDescent="0.3">
      <c r="A24" s="6" t="s">
        <v>2385</v>
      </c>
      <c r="B24" s="6" t="s">
        <v>354</v>
      </c>
      <c r="C24" s="6">
        <v>2</v>
      </c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</row>
    <row r="25" spans="1:17" x14ac:dyDescent="0.3">
      <c r="A25" s="6"/>
      <c r="B25" s="6" t="s">
        <v>354</v>
      </c>
      <c r="C25" s="6">
        <v>-1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</row>
    <row r="26" spans="1:17" x14ac:dyDescent="0.3">
      <c r="A26" s="6"/>
      <c r="B26" s="6" t="s">
        <v>328</v>
      </c>
      <c r="C26" s="6">
        <v>-1</v>
      </c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</row>
    <row r="27" spans="1:17" x14ac:dyDescent="0.3">
      <c r="A27" s="6"/>
      <c r="B27" s="6" t="s">
        <v>328</v>
      </c>
      <c r="C27" s="6">
        <v>-1</v>
      </c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</row>
    <row r="28" spans="1:17" x14ac:dyDescent="0.3">
      <c r="A28" s="6" t="s">
        <v>1430</v>
      </c>
      <c r="B28" s="6" t="s">
        <v>344</v>
      </c>
      <c r="C28" s="6">
        <v>11</v>
      </c>
      <c r="D28" s="6">
        <v>16</v>
      </c>
      <c r="E28" s="6"/>
      <c r="F28" s="6"/>
      <c r="G28" s="6"/>
      <c r="H28" s="6"/>
      <c r="I28" s="6">
        <v>8</v>
      </c>
      <c r="J28" s="6"/>
      <c r="K28" s="6"/>
      <c r="L28" s="6"/>
      <c r="M28" s="6"/>
      <c r="N28" s="6"/>
      <c r="O28" s="6"/>
      <c r="P28" s="6"/>
      <c r="Q28" s="6"/>
    </row>
    <row r="29" spans="1:17" x14ac:dyDescent="0.3">
      <c r="A29" s="6" t="s">
        <v>3292</v>
      </c>
      <c r="B29" s="6" t="s">
        <v>344</v>
      </c>
      <c r="C29" s="6">
        <v>22</v>
      </c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</row>
    <row r="30" spans="1:17" x14ac:dyDescent="0.3">
      <c r="A30" s="6"/>
      <c r="B30" s="6" t="s">
        <v>412</v>
      </c>
      <c r="C30" s="6">
        <v>-1</v>
      </c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</row>
    <row r="31" spans="1:17" x14ac:dyDescent="0.3">
      <c r="A31" s="6"/>
      <c r="B31" s="6" t="s">
        <v>412</v>
      </c>
      <c r="C31" s="6">
        <v>-1</v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</row>
    <row r="32" spans="1:17" x14ac:dyDescent="0.3">
      <c r="A32" s="6" t="s">
        <v>3678</v>
      </c>
      <c r="B32" s="6" t="s">
        <v>394</v>
      </c>
      <c r="C32" s="6">
        <v>20</v>
      </c>
      <c r="D32" s="6">
        <v>20</v>
      </c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</row>
    <row r="33" spans="1:17" x14ac:dyDescent="0.3">
      <c r="A33" s="6"/>
      <c r="B33" s="6" t="s">
        <v>394</v>
      </c>
      <c r="C33" s="6">
        <v>-1</v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</row>
    <row r="34" spans="1:17" x14ac:dyDescent="0.3">
      <c r="A34" s="6" t="s">
        <v>3146</v>
      </c>
      <c r="B34" s="6" t="s">
        <v>338</v>
      </c>
      <c r="C34" s="6">
        <v>9</v>
      </c>
      <c r="D34" s="6">
        <v>12</v>
      </c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</row>
    <row r="35" spans="1:17" x14ac:dyDescent="0.3">
      <c r="A35" s="6" t="s">
        <v>3171</v>
      </c>
      <c r="B35" s="6" t="s">
        <v>338</v>
      </c>
      <c r="C35" s="6">
        <v>1</v>
      </c>
      <c r="D35" s="6">
        <v>1</v>
      </c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</row>
    <row r="36" spans="1:17" x14ac:dyDescent="0.3">
      <c r="A36" s="6"/>
      <c r="B36" s="6" t="s">
        <v>332</v>
      </c>
      <c r="C36" s="6">
        <v>-1</v>
      </c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</row>
    <row r="37" spans="1:17" x14ac:dyDescent="0.3">
      <c r="A37" s="6"/>
      <c r="B37" s="6" t="s">
        <v>332</v>
      </c>
      <c r="C37" s="6">
        <v>-1</v>
      </c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</row>
    <row r="38" spans="1:17" x14ac:dyDescent="0.3">
      <c r="A38" s="6"/>
      <c r="B38" s="6" t="s">
        <v>520</v>
      </c>
      <c r="C38" s="6">
        <v>-1</v>
      </c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</row>
    <row r="39" spans="1:17" x14ac:dyDescent="0.3">
      <c r="A39" s="6" t="s">
        <v>2575</v>
      </c>
      <c r="B39" s="6" t="s">
        <v>384</v>
      </c>
      <c r="C39" s="6">
        <v>13</v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</row>
    <row r="40" spans="1:17" x14ac:dyDescent="0.3">
      <c r="A40" s="6" t="s">
        <v>3222</v>
      </c>
      <c r="B40" s="6" t="s">
        <v>450</v>
      </c>
      <c r="C40" s="6">
        <v>25</v>
      </c>
      <c r="D40" s="6">
        <v>21</v>
      </c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</row>
    <row r="41" spans="1:17" x14ac:dyDescent="0.3">
      <c r="A41" s="6"/>
      <c r="B41" s="6" t="s">
        <v>414</v>
      </c>
      <c r="C41" s="6">
        <v>-1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</row>
    <row r="42" spans="1:17" x14ac:dyDescent="0.3">
      <c r="A42" s="6"/>
      <c r="B42" s="6" t="s">
        <v>402</v>
      </c>
      <c r="C42" s="6">
        <v>-1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</row>
    <row r="43" spans="1:17" x14ac:dyDescent="0.3">
      <c r="A43" s="6"/>
      <c r="B43" s="6" t="s">
        <v>342</v>
      </c>
      <c r="C43" s="6">
        <v>-1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</row>
    <row r="44" spans="1:17" x14ac:dyDescent="0.3">
      <c r="A44" s="6"/>
      <c r="B44" s="6" t="s">
        <v>592</v>
      </c>
      <c r="C44" s="6">
        <v>-1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</row>
    <row r="45" spans="1:17" x14ac:dyDescent="0.3">
      <c r="A45" s="6"/>
      <c r="B45" s="6" t="s">
        <v>406</v>
      </c>
      <c r="C45" s="6">
        <v>-1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</row>
    <row r="46" spans="1:17" x14ac:dyDescent="0.3">
      <c r="A46" s="6"/>
      <c r="B46" s="6" t="s">
        <v>596</v>
      </c>
      <c r="C46" s="6">
        <v>-1</v>
      </c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</row>
    <row r="47" spans="1:17" x14ac:dyDescent="0.3">
      <c r="A47" s="6"/>
      <c r="B47" s="6" t="s">
        <v>694</v>
      </c>
      <c r="C47" s="6">
        <v>-1</v>
      </c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</row>
    <row r="48" spans="1:17" x14ac:dyDescent="0.3">
      <c r="A48" s="6"/>
      <c r="B48" s="6" t="s">
        <v>354</v>
      </c>
      <c r="C48" s="6"/>
      <c r="D48" s="6">
        <v>-1</v>
      </c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</row>
    <row r="49" spans="1:17" x14ac:dyDescent="0.3">
      <c r="A49" s="6"/>
      <c r="B49" s="6" t="s">
        <v>354</v>
      </c>
      <c r="C49" s="6"/>
      <c r="D49" s="6">
        <v>-1</v>
      </c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</row>
    <row r="50" spans="1:17" x14ac:dyDescent="0.3">
      <c r="A50" s="6"/>
      <c r="B50" s="6" t="s">
        <v>328</v>
      </c>
      <c r="C50" s="6"/>
      <c r="D50" s="6">
        <v>-1</v>
      </c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</row>
    <row r="51" spans="1:17" x14ac:dyDescent="0.3">
      <c r="A51" s="6"/>
      <c r="B51" s="6" t="s">
        <v>328</v>
      </c>
      <c r="C51" s="6"/>
      <c r="D51" s="6">
        <v>-1</v>
      </c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</row>
    <row r="52" spans="1:17" x14ac:dyDescent="0.3">
      <c r="A52" s="6"/>
      <c r="B52" s="6" t="s">
        <v>402</v>
      </c>
      <c r="C52" s="6"/>
      <c r="D52" s="6">
        <v>-1</v>
      </c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</row>
    <row r="53" spans="1:17" x14ac:dyDescent="0.3">
      <c r="A53" s="6"/>
      <c r="B53" s="6" t="s">
        <v>402</v>
      </c>
      <c r="C53" s="6"/>
      <c r="D53" s="6">
        <v>-1</v>
      </c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</row>
    <row r="54" spans="1:17" x14ac:dyDescent="0.3">
      <c r="A54" s="6"/>
      <c r="B54" s="6" t="s">
        <v>332</v>
      </c>
      <c r="C54" s="6"/>
      <c r="D54" s="6">
        <v>-1</v>
      </c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</row>
    <row r="55" spans="1:17" x14ac:dyDescent="0.3">
      <c r="A55" s="6"/>
      <c r="B55" s="6" t="s">
        <v>332</v>
      </c>
      <c r="C55" s="6"/>
      <c r="D55" s="6">
        <v>-1</v>
      </c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</row>
    <row r="56" spans="1:17" x14ac:dyDescent="0.3">
      <c r="A56" s="6"/>
      <c r="B56" s="6" t="s">
        <v>442</v>
      </c>
      <c r="C56" s="6"/>
      <c r="D56" s="6">
        <v>-1</v>
      </c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</row>
    <row r="57" spans="1:17" x14ac:dyDescent="0.3">
      <c r="A57" s="6" t="s">
        <v>2853</v>
      </c>
      <c r="B57" s="6" t="s">
        <v>344</v>
      </c>
      <c r="C57" s="6"/>
      <c r="D57" s="6">
        <v>10</v>
      </c>
      <c r="E57" s="6"/>
      <c r="F57" s="6"/>
      <c r="G57" s="6"/>
      <c r="H57" s="6"/>
      <c r="I57" s="6"/>
      <c r="J57" s="6"/>
      <c r="K57" s="6"/>
      <c r="L57" s="6"/>
      <c r="M57" s="6">
        <v>9</v>
      </c>
      <c r="N57" s="6"/>
      <c r="O57" s="6"/>
      <c r="P57" s="6"/>
      <c r="Q57" s="6"/>
    </row>
    <row r="58" spans="1:17" x14ac:dyDescent="0.3">
      <c r="A58" s="6"/>
      <c r="B58" s="6" t="s">
        <v>592</v>
      </c>
      <c r="C58" s="6"/>
      <c r="D58" s="6">
        <v>-1</v>
      </c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</row>
    <row r="59" spans="1:17" x14ac:dyDescent="0.3">
      <c r="A59" s="6" t="s">
        <v>3783</v>
      </c>
      <c r="B59" s="6" t="s">
        <v>412</v>
      </c>
      <c r="C59" s="6"/>
      <c r="D59" s="6">
        <v>7</v>
      </c>
      <c r="E59" s="6"/>
      <c r="F59" s="6"/>
      <c r="G59" s="6"/>
      <c r="H59" s="6"/>
      <c r="I59" s="6"/>
      <c r="J59" s="6"/>
      <c r="K59" s="6"/>
      <c r="L59" s="6"/>
      <c r="M59" s="6"/>
      <c r="N59" s="6"/>
      <c r="O59" s="6">
        <v>20</v>
      </c>
      <c r="P59" s="6"/>
      <c r="Q59" s="6"/>
    </row>
    <row r="60" spans="1:17" x14ac:dyDescent="0.3">
      <c r="A60" s="6" t="s">
        <v>1782</v>
      </c>
      <c r="B60" s="6" t="s">
        <v>384</v>
      </c>
      <c r="C60" s="6"/>
      <c r="D60" s="6">
        <v>17</v>
      </c>
      <c r="E60" s="6"/>
      <c r="F60" s="6"/>
      <c r="G60" s="6"/>
      <c r="H60" s="6"/>
      <c r="I60" s="6"/>
      <c r="J60" s="6"/>
      <c r="K60" s="6"/>
      <c r="L60" s="6"/>
      <c r="M60" s="6">
        <v>5</v>
      </c>
      <c r="N60" s="6"/>
      <c r="O60" s="6"/>
      <c r="P60" s="6"/>
      <c r="Q60" s="6"/>
    </row>
    <row r="61" spans="1:17" x14ac:dyDescent="0.3">
      <c r="A61" s="6"/>
      <c r="B61" s="6" t="s">
        <v>594</v>
      </c>
      <c r="C61" s="6"/>
      <c r="D61" s="6">
        <v>-1</v>
      </c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</row>
    <row r="62" spans="1:17" x14ac:dyDescent="0.3">
      <c r="A62" s="6"/>
      <c r="B62" s="6" t="s">
        <v>694</v>
      </c>
      <c r="C62" s="6"/>
      <c r="D62" s="6">
        <v>-1</v>
      </c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</row>
    <row r="63" spans="1:17" x14ac:dyDescent="0.3">
      <c r="A63" s="6"/>
      <c r="B63" s="6" t="s">
        <v>354</v>
      </c>
      <c r="C63" s="6"/>
      <c r="D63" s="6"/>
      <c r="E63" s="6">
        <v>-1</v>
      </c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</row>
    <row r="64" spans="1:17" x14ac:dyDescent="0.3">
      <c r="A64" s="6"/>
      <c r="B64" s="6" t="s">
        <v>354</v>
      </c>
      <c r="C64" s="6"/>
      <c r="D64" s="6"/>
      <c r="E64" s="6">
        <v>-1</v>
      </c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</row>
    <row r="65" spans="1:17" x14ac:dyDescent="0.3">
      <c r="A65" s="6" t="s">
        <v>4293</v>
      </c>
      <c r="B65" s="6" t="s">
        <v>328</v>
      </c>
      <c r="C65" s="6"/>
      <c r="D65" s="6"/>
      <c r="E65" s="6">
        <v>10</v>
      </c>
      <c r="F65" s="6">
        <v>9</v>
      </c>
      <c r="G65" s="6">
        <v>9</v>
      </c>
      <c r="H65" s="6">
        <v>5</v>
      </c>
      <c r="I65" s="6"/>
      <c r="J65" s="6"/>
      <c r="K65" s="6"/>
      <c r="L65" s="6"/>
      <c r="M65" s="6"/>
      <c r="N65" s="6"/>
      <c r="O65" s="6"/>
      <c r="P65" s="6"/>
      <c r="Q65" s="6"/>
    </row>
    <row r="66" spans="1:17" x14ac:dyDescent="0.3">
      <c r="A66" s="6"/>
      <c r="B66" s="6" t="s">
        <v>328</v>
      </c>
      <c r="C66" s="6"/>
      <c r="D66" s="6"/>
      <c r="E66" s="6">
        <v>-1</v>
      </c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</row>
    <row r="67" spans="1:17" x14ac:dyDescent="0.3">
      <c r="A67" s="6"/>
      <c r="B67" s="6" t="s">
        <v>406</v>
      </c>
      <c r="C67" s="6"/>
      <c r="D67" s="6"/>
      <c r="E67" s="6">
        <v>-1</v>
      </c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</row>
    <row r="68" spans="1:17" x14ac:dyDescent="0.3">
      <c r="A68" s="6"/>
      <c r="B68" s="6" t="s">
        <v>406</v>
      </c>
      <c r="C68" s="6"/>
      <c r="D68" s="6"/>
      <c r="E68" s="6">
        <v>-1</v>
      </c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</row>
    <row r="69" spans="1:17" x14ac:dyDescent="0.3">
      <c r="A69" s="6"/>
      <c r="B69" s="6" t="s">
        <v>332</v>
      </c>
      <c r="C69" s="6"/>
      <c r="D69" s="6"/>
      <c r="E69" s="6">
        <v>-1</v>
      </c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</row>
    <row r="70" spans="1:17" x14ac:dyDescent="0.3">
      <c r="A70" s="6"/>
      <c r="B70" s="6" t="s">
        <v>332</v>
      </c>
      <c r="C70" s="6"/>
      <c r="D70" s="6"/>
      <c r="E70" s="6">
        <v>-1</v>
      </c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</row>
    <row r="71" spans="1:17" x14ac:dyDescent="0.3">
      <c r="A71" s="6"/>
      <c r="B71" s="6" t="s">
        <v>520</v>
      </c>
      <c r="C71" s="6"/>
      <c r="D71" s="6"/>
      <c r="E71" s="6">
        <v>-1</v>
      </c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</row>
    <row r="72" spans="1:17" x14ac:dyDescent="0.3">
      <c r="A72" s="6"/>
      <c r="B72" s="6" t="s">
        <v>336</v>
      </c>
      <c r="C72" s="6"/>
      <c r="D72" s="6"/>
      <c r="E72" s="6">
        <v>-1</v>
      </c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</row>
    <row r="73" spans="1:17" x14ac:dyDescent="0.3">
      <c r="A73" s="6"/>
      <c r="B73" s="6" t="s">
        <v>384</v>
      </c>
      <c r="C73" s="6"/>
      <c r="D73" s="6"/>
      <c r="E73" s="6">
        <v>-1</v>
      </c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</row>
    <row r="74" spans="1:17" x14ac:dyDescent="0.3">
      <c r="A74" s="6"/>
      <c r="B74" s="6" t="s">
        <v>442</v>
      </c>
      <c r="C74" s="6"/>
      <c r="D74" s="6"/>
      <c r="E74" s="6">
        <v>-1</v>
      </c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</row>
    <row r="75" spans="1:17" x14ac:dyDescent="0.3">
      <c r="A75" s="6"/>
      <c r="B75" s="6" t="s">
        <v>334</v>
      </c>
      <c r="C75" s="6"/>
      <c r="D75" s="6"/>
      <c r="E75" s="6">
        <v>-1</v>
      </c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</row>
    <row r="76" spans="1:17" x14ac:dyDescent="0.3">
      <c r="A76" s="6"/>
      <c r="B76" s="6" t="s">
        <v>592</v>
      </c>
      <c r="C76" s="6"/>
      <c r="D76" s="6"/>
      <c r="E76" s="6">
        <v>-1</v>
      </c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</row>
    <row r="77" spans="1:17" x14ac:dyDescent="0.3">
      <c r="A77" s="6"/>
      <c r="B77" s="6" t="s">
        <v>474</v>
      </c>
      <c r="C77" s="6"/>
      <c r="D77" s="6"/>
      <c r="E77" s="6">
        <v>-1</v>
      </c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</row>
    <row r="78" spans="1:17" x14ac:dyDescent="0.3">
      <c r="A78" s="6"/>
      <c r="B78" s="6" t="s">
        <v>422</v>
      </c>
      <c r="C78" s="6"/>
      <c r="D78" s="6"/>
      <c r="E78" s="6">
        <v>-1</v>
      </c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</row>
    <row r="79" spans="1:17" x14ac:dyDescent="0.3">
      <c r="A79" s="6"/>
      <c r="B79" s="6" t="s">
        <v>594</v>
      </c>
      <c r="C79" s="6"/>
      <c r="D79" s="6"/>
      <c r="E79" s="6">
        <v>-1</v>
      </c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</row>
    <row r="80" spans="1:17" x14ac:dyDescent="0.3">
      <c r="A80" s="6" t="s">
        <v>3312</v>
      </c>
      <c r="B80" s="6" t="s">
        <v>598</v>
      </c>
      <c r="C80" s="6"/>
      <c r="D80" s="6"/>
      <c r="E80" s="6">
        <v>19</v>
      </c>
      <c r="F80" s="6"/>
      <c r="G80" s="6"/>
      <c r="H80" s="6"/>
      <c r="I80" s="6"/>
      <c r="J80" s="6"/>
      <c r="K80" s="6"/>
      <c r="L80" s="6"/>
      <c r="M80" s="6"/>
      <c r="N80" s="6"/>
      <c r="O80" s="6">
        <v>28</v>
      </c>
      <c r="P80" s="6"/>
      <c r="Q80" s="6"/>
    </row>
    <row r="81" spans="1:17" x14ac:dyDescent="0.3">
      <c r="A81" s="6"/>
      <c r="B81" s="6" t="s">
        <v>354</v>
      </c>
      <c r="C81" s="6"/>
      <c r="D81" s="6"/>
      <c r="E81" s="6"/>
      <c r="F81" s="6">
        <v>-1</v>
      </c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</row>
    <row r="82" spans="1:17" x14ac:dyDescent="0.3">
      <c r="A82" s="6"/>
      <c r="B82" s="6" t="s">
        <v>354</v>
      </c>
      <c r="C82" s="6"/>
      <c r="D82" s="6"/>
      <c r="E82" s="6"/>
      <c r="F82" s="6">
        <v>-1</v>
      </c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</row>
    <row r="83" spans="1:17" x14ac:dyDescent="0.3">
      <c r="A83" s="6"/>
      <c r="B83" s="6" t="s">
        <v>336</v>
      </c>
      <c r="C83" s="6"/>
      <c r="D83" s="6"/>
      <c r="E83" s="6"/>
      <c r="F83" s="6">
        <v>-1</v>
      </c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</row>
    <row r="84" spans="1:17" x14ac:dyDescent="0.3">
      <c r="A84" s="6" t="s">
        <v>3097</v>
      </c>
      <c r="B84" s="6" t="s">
        <v>336</v>
      </c>
      <c r="C84" s="6"/>
      <c r="D84" s="6"/>
      <c r="E84" s="6"/>
      <c r="F84" s="6">
        <v>16</v>
      </c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</row>
    <row r="85" spans="1:17" x14ac:dyDescent="0.3">
      <c r="A85" s="6"/>
      <c r="B85" s="6" t="s">
        <v>384</v>
      </c>
      <c r="C85" s="6"/>
      <c r="D85" s="6"/>
      <c r="E85" s="6"/>
      <c r="F85" s="6">
        <v>-1</v>
      </c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</row>
    <row r="86" spans="1:17" x14ac:dyDescent="0.3">
      <c r="A86" s="6"/>
      <c r="B86" s="6" t="s">
        <v>384</v>
      </c>
      <c r="C86" s="6"/>
      <c r="D86" s="6"/>
      <c r="E86" s="6"/>
      <c r="F86" s="6">
        <v>-1</v>
      </c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</row>
    <row r="87" spans="1:17" x14ac:dyDescent="0.3">
      <c r="A87" s="6"/>
      <c r="B87" s="6" t="s">
        <v>328</v>
      </c>
      <c r="C87" s="6"/>
      <c r="D87" s="6"/>
      <c r="E87" s="6"/>
      <c r="F87" s="6">
        <v>-1</v>
      </c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</row>
    <row r="88" spans="1:17" x14ac:dyDescent="0.3">
      <c r="A88" s="6"/>
      <c r="B88" s="6" t="s">
        <v>334</v>
      </c>
      <c r="C88" s="6"/>
      <c r="D88" s="6"/>
      <c r="E88" s="6"/>
      <c r="F88" s="6">
        <v>-1</v>
      </c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</row>
    <row r="89" spans="1:17" x14ac:dyDescent="0.3">
      <c r="A89" s="6"/>
      <c r="B89" s="6" t="s">
        <v>334</v>
      </c>
      <c r="C89" s="6"/>
      <c r="D89" s="6"/>
      <c r="E89" s="6"/>
      <c r="F89" s="6">
        <v>-1</v>
      </c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</row>
    <row r="90" spans="1:17" x14ac:dyDescent="0.3">
      <c r="A90" s="6"/>
      <c r="B90" s="6" t="s">
        <v>474</v>
      </c>
      <c r="C90" s="6"/>
      <c r="D90" s="6"/>
      <c r="E90" s="6"/>
      <c r="F90" s="6">
        <v>-1</v>
      </c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</row>
    <row r="91" spans="1:17" x14ac:dyDescent="0.3">
      <c r="A91" s="6"/>
      <c r="B91" s="6" t="s">
        <v>474</v>
      </c>
      <c r="C91" s="6"/>
      <c r="D91" s="6"/>
      <c r="E91" s="6"/>
      <c r="F91" s="6">
        <v>-1</v>
      </c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</row>
    <row r="92" spans="1:17" x14ac:dyDescent="0.3">
      <c r="A92" s="6"/>
      <c r="B92" s="6" t="s">
        <v>332</v>
      </c>
      <c r="C92" s="6"/>
      <c r="D92" s="6"/>
      <c r="E92" s="6"/>
      <c r="F92" s="6">
        <v>-1</v>
      </c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</row>
    <row r="93" spans="1:17" x14ac:dyDescent="0.3">
      <c r="A93" s="6"/>
      <c r="B93" s="6" t="s">
        <v>332</v>
      </c>
      <c r="C93" s="6"/>
      <c r="D93" s="6"/>
      <c r="E93" s="6"/>
      <c r="F93" s="6">
        <v>-1</v>
      </c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</row>
    <row r="94" spans="1:17" x14ac:dyDescent="0.3">
      <c r="A94" s="6"/>
      <c r="B94" s="6" t="s">
        <v>520</v>
      </c>
      <c r="C94" s="6"/>
      <c r="D94" s="6"/>
      <c r="E94" s="6"/>
      <c r="F94" s="6">
        <v>-1</v>
      </c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</row>
    <row r="95" spans="1:17" x14ac:dyDescent="0.3">
      <c r="A95" s="6" t="s">
        <v>1799</v>
      </c>
      <c r="B95" s="6" t="s">
        <v>344</v>
      </c>
      <c r="C95" s="6"/>
      <c r="D95" s="6"/>
      <c r="E95" s="6"/>
      <c r="F95" s="6">
        <v>15</v>
      </c>
      <c r="G95" s="6">
        <v>7</v>
      </c>
      <c r="H95" s="6">
        <v>2</v>
      </c>
      <c r="I95" s="6"/>
      <c r="J95" s="6"/>
      <c r="K95" s="6"/>
      <c r="L95" s="6"/>
      <c r="M95" s="6"/>
      <c r="N95" s="6"/>
      <c r="O95" s="6"/>
      <c r="P95" s="6"/>
      <c r="Q95" s="6"/>
    </row>
    <row r="96" spans="1:17" x14ac:dyDescent="0.3">
      <c r="A96" s="6"/>
      <c r="B96" s="6" t="s">
        <v>406</v>
      </c>
      <c r="C96" s="6"/>
      <c r="D96" s="6"/>
      <c r="E96" s="6"/>
      <c r="F96" s="6">
        <v>-1</v>
      </c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</row>
    <row r="97" spans="1:17" x14ac:dyDescent="0.3">
      <c r="A97" s="6"/>
      <c r="B97" s="6" t="s">
        <v>356</v>
      </c>
      <c r="C97" s="6"/>
      <c r="D97" s="6"/>
      <c r="E97" s="6"/>
      <c r="F97" s="6">
        <v>-1</v>
      </c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</row>
    <row r="98" spans="1:17" x14ac:dyDescent="0.3">
      <c r="A98" s="6"/>
      <c r="B98" s="6" t="s">
        <v>428</v>
      </c>
      <c r="C98" s="6"/>
      <c r="D98" s="6"/>
      <c r="E98" s="6"/>
      <c r="F98" s="6">
        <v>-1</v>
      </c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</row>
    <row r="99" spans="1:17" x14ac:dyDescent="0.3">
      <c r="A99" s="6" t="s">
        <v>3829</v>
      </c>
      <c r="B99" s="6" t="s">
        <v>340</v>
      </c>
      <c r="C99" s="6"/>
      <c r="D99" s="6"/>
      <c r="E99" s="6"/>
      <c r="F99" s="6">
        <v>18</v>
      </c>
      <c r="G99" s="6">
        <v>14</v>
      </c>
      <c r="H99" s="6"/>
      <c r="I99" s="6"/>
      <c r="J99" s="6"/>
      <c r="K99" s="6"/>
      <c r="L99" s="6"/>
      <c r="M99" s="6"/>
      <c r="N99" s="6"/>
      <c r="O99" s="6"/>
      <c r="P99" s="6"/>
      <c r="Q99" s="6"/>
    </row>
    <row r="100" spans="1:17" x14ac:dyDescent="0.3">
      <c r="A100" s="6"/>
      <c r="B100" s="6" t="s">
        <v>354</v>
      </c>
      <c r="C100" s="6"/>
      <c r="D100" s="6"/>
      <c r="E100" s="6"/>
      <c r="F100" s="6"/>
      <c r="G100" s="6">
        <v>-1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</row>
    <row r="101" spans="1:17" x14ac:dyDescent="0.3">
      <c r="A101" s="6" t="s">
        <v>2430</v>
      </c>
      <c r="B101" s="6" t="s">
        <v>354</v>
      </c>
      <c r="C101" s="6"/>
      <c r="D101" s="6"/>
      <c r="E101" s="6"/>
      <c r="F101" s="6"/>
      <c r="G101" s="6">
        <v>6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</row>
    <row r="102" spans="1:17" x14ac:dyDescent="0.3">
      <c r="A102" s="6"/>
      <c r="B102" s="6" t="s">
        <v>474</v>
      </c>
      <c r="C102" s="6"/>
      <c r="D102" s="6"/>
      <c r="E102" s="6"/>
      <c r="F102" s="6"/>
      <c r="G102" s="6">
        <v>-1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</row>
    <row r="103" spans="1:17" x14ac:dyDescent="0.3">
      <c r="A103" s="6"/>
      <c r="B103" s="6" t="s">
        <v>474</v>
      </c>
      <c r="C103" s="6"/>
      <c r="D103" s="6"/>
      <c r="E103" s="6"/>
      <c r="F103" s="6"/>
      <c r="G103" s="6">
        <v>-1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</row>
    <row r="104" spans="1:17" x14ac:dyDescent="0.3">
      <c r="A104" s="6"/>
      <c r="B104" s="6" t="s">
        <v>332</v>
      </c>
      <c r="C104" s="6"/>
      <c r="D104" s="6"/>
      <c r="E104" s="6"/>
      <c r="F104" s="6"/>
      <c r="G104" s="6">
        <v>-1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</row>
    <row r="105" spans="1:17" x14ac:dyDescent="0.3">
      <c r="A105" s="6"/>
      <c r="B105" s="6" t="s">
        <v>332</v>
      </c>
      <c r="C105" s="6"/>
      <c r="D105" s="6"/>
      <c r="E105" s="6"/>
      <c r="F105" s="6"/>
      <c r="G105" s="6">
        <v>-1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</row>
    <row r="106" spans="1:17" x14ac:dyDescent="0.3">
      <c r="A106" s="6"/>
      <c r="B106" s="6" t="s">
        <v>334</v>
      </c>
      <c r="C106" s="6"/>
      <c r="D106" s="6"/>
      <c r="E106" s="6"/>
      <c r="F106" s="6"/>
      <c r="G106" s="6">
        <v>-1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</row>
    <row r="107" spans="1:17" x14ac:dyDescent="0.3">
      <c r="A107" s="6"/>
      <c r="B107" s="6" t="s">
        <v>406</v>
      </c>
      <c r="C107" s="6"/>
      <c r="D107" s="6"/>
      <c r="E107" s="6"/>
      <c r="F107" s="6"/>
      <c r="G107" s="6">
        <v>-1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</row>
    <row r="108" spans="1:17" x14ac:dyDescent="0.3">
      <c r="A108" s="6"/>
      <c r="B108" s="6" t="s">
        <v>356</v>
      </c>
      <c r="C108" s="6"/>
      <c r="D108" s="6"/>
      <c r="E108" s="6"/>
      <c r="F108" s="6"/>
      <c r="G108" s="6">
        <v>-1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</row>
    <row r="109" spans="1:17" x14ac:dyDescent="0.3">
      <c r="A109" s="6"/>
      <c r="B109" s="6" t="s">
        <v>336</v>
      </c>
      <c r="C109" s="6"/>
      <c r="D109" s="6"/>
      <c r="E109" s="6"/>
      <c r="F109" s="6"/>
      <c r="G109" s="6">
        <v>-1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</row>
    <row r="110" spans="1:17" x14ac:dyDescent="0.3">
      <c r="A110" s="6" t="s">
        <v>3952</v>
      </c>
      <c r="B110" s="6" t="s">
        <v>366</v>
      </c>
      <c r="C110" s="6"/>
      <c r="D110" s="6"/>
      <c r="E110" s="6"/>
      <c r="F110" s="6"/>
      <c r="G110" s="6">
        <v>15</v>
      </c>
      <c r="H110" s="6">
        <v>14</v>
      </c>
      <c r="I110" s="6"/>
      <c r="J110" s="6"/>
      <c r="K110" s="6"/>
      <c r="L110" s="6"/>
      <c r="M110" s="6"/>
      <c r="N110" s="6"/>
      <c r="O110" s="6"/>
      <c r="P110" s="6"/>
      <c r="Q110" s="6"/>
    </row>
    <row r="111" spans="1:17" x14ac:dyDescent="0.3">
      <c r="A111" s="6"/>
      <c r="B111" s="6" t="s">
        <v>446</v>
      </c>
      <c r="C111" s="6"/>
      <c r="D111" s="6"/>
      <c r="E111" s="6"/>
      <c r="F111" s="6"/>
      <c r="G111" s="6">
        <v>-1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</row>
    <row r="112" spans="1:17" x14ac:dyDescent="0.3">
      <c r="A112" s="6"/>
      <c r="B112" s="6" t="s">
        <v>354</v>
      </c>
      <c r="C112" s="6"/>
      <c r="D112" s="6"/>
      <c r="E112" s="6"/>
      <c r="F112" s="6"/>
      <c r="G112" s="6"/>
      <c r="H112" s="6">
        <v>-1</v>
      </c>
      <c r="I112" s="6"/>
      <c r="J112" s="6"/>
      <c r="K112" s="6"/>
      <c r="L112" s="6"/>
      <c r="M112" s="6"/>
      <c r="N112" s="6"/>
      <c r="O112" s="6"/>
      <c r="P112" s="6"/>
      <c r="Q112" s="6"/>
    </row>
    <row r="113" spans="1:17" x14ac:dyDescent="0.3">
      <c r="A113" s="6" t="s">
        <v>4286</v>
      </c>
      <c r="B113" s="6" t="s">
        <v>328</v>
      </c>
      <c r="C113" s="6"/>
      <c r="D113" s="6"/>
      <c r="E113" s="6"/>
      <c r="F113" s="6"/>
      <c r="G113" s="6"/>
      <c r="H113" s="6">
        <v>13</v>
      </c>
      <c r="I113" s="6"/>
      <c r="J113" s="6"/>
      <c r="K113" s="6"/>
      <c r="L113" s="6"/>
      <c r="M113" s="6"/>
      <c r="N113" s="6"/>
      <c r="O113" s="6"/>
      <c r="P113" s="6"/>
      <c r="Q113" s="6"/>
    </row>
    <row r="114" spans="1:17" x14ac:dyDescent="0.3">
      <c r="A114" s="6"/>
      <c r="B114" s="6" t="s">
        <v>334</v>
      </c>
      <c r="C114" s="6"/>
      <c r="D114" s="6"/>
      <c r="E114" s="6"/>
      <c r="F114" s="6"/>
      <c r="G114" s="6"/>
      <c r="H114" s="6">
        <v>-1</v>
      </c>
      <c r="I114" s="6"/>
      <c r="J114" s="6"/>
      <c r="K114" s="6"/>
      <c r="L114" s="6"/>
      <c r="M114" s="6"/>
      <c r="N114" s="6"/>
      <c r="O114" s="6"/>
      <c r="P114" s="6"/>
      <c r="Q114" s="6"/>
    </row>
    <row r="115" spans="1:17" x14ac:dyDescent="0.3">
      <c r="A115" s="6"/>
      <c r="B115" s="6" t="s">
        <v>334</v>
      </c>
      <c r="C115" s="6"/>
      <c r="D115" s="6"/>
      <c r="E115" s="6"/>
      <c r="F115" s="6"/>
      <c r="G115" s="6"/>
      <c r="H115" s="6">
        <v>-1</v>
      </c>
      <c r="I115" s="6"/>
      <c r="J115" s="6"/>
      <c r="K115" s="6"/>
      <c r="L115" s="6"/>
      <c r="M115" s="6"/>
      <c r="N115" s="6"/>
      <c r="O115" s="6"/>
      <c r="P115" s="6"/>
      <c r="Q115" s="6"/>
    </row>
    <row r="116" spans="1:17" x14ac:dyDescent="0.3">
      <c r="A116" s="6"/>
      <c r="B116" s="6" t="s">
        <v>356</v>
      </c>
      <c r="C116" s="6"/>
      <c r="D116" s="6"/>
      <c r="E116" s="6"/>
      <c r="F116" s="6"/>
      <c r="G116" s="6"/>
      <c r="H116" s="6">
        <v>-1</v>
      </c>
      <c r="I116" s="6"/>
      <c r="J116" s="6"/>
      <c r="K116" s="6"/>
      <c r="L116" s="6"/>
      <c r="M116" s="6"/>
      <c r="N116" s="6"/>
      <c r="O116" s="6"/>
      <c r="P116" s="6"/>
      <c r="Q116" s="6"/>
    </row>
    <row r="117" spans="1:17" x14ac:dyDescent="0.3">
      <c r="A117" s="6"/>
      <c r="B117" s="6" t="s">
        <v>356</v>
      </c>
      <c r="C117" s="6"/>
      <c r="D117" s="6"/>
      <c r="E117" s="6"/>
      <c r="F117" s="6"/>
      <c r="G117" s="6"/>
      <c r="H117" s="6">
        <v>-1</v>
      </c>
      <c r="I117" s="6"/>
      <c r="J117" s="6"/>
      <c r="K117" s="6"/>
      <c r="L117" s="6"/>
      <c r="M117" s="6"/>
      <c r="N117" s="6"/>
      <c r="O117" s="6"/>
      <c r="P117" s="6"/>
      <c r="Q117" s="6"/>
    </row>
    <row r="118" spans="1:17" x14ac:dyDescent="0.3">
      <c r="A118" s="6"/>
      <c r="B118" s="6" t="s">
        <v>332</v>
      </c>
      <c r="C118" s="6"/>
      <c r="D118" s="6"/>
      <c r="E118" s="6"/>
      <c r="F118" s="6"/>
      <c r="G118" s="6"/>
      <c r="H118" s="6">
        <v>-1</v>
      </c>
      <c r="I118" s="6"/>
      <c r="J118" s="6"/>
      <c r="K118" s="6"/>
      <c r="L118" s="6"/>
      <c r="M118" s="6"/>
      <c r="N118" s="6"/>
      <c r="O118" s="6"/>
      <c r="P118" s="6"/>
      <c r="Q118" s="6"/>
    </row>
    <row r="119" spans="1:17" x14ac:dyDescent="0.3">
      <c r="A119" s="6"/>
      <c r="B119" s="6" t="s">
        <v>332</v>
      </c>
      <c r="C119" s="6"/>
      <c r="D119" s="6"/>
      <c r="E119" s="6"/>
      <c r="F119" s="6"/>
      <c r="G119" s="6"/>
      <c r="H119" s="6">
        <v>-1</v>
      </c>
      <c r="I119" s="6"/>
      <c r="J119" s="6"/>
      <c r="K119" s="6"/>
      <c r="L119" s="6"/>
      <c r="M119" s="6"/>
      <c r="N119" s="6"/>
      <c r="O119" s="6"/>
      <c r="P119" s="6"/>
      <c r="Q119" s="6"/>
    </row>
    <row r="120" spans="1:17" x14ac:dyDescent="0.3">
      <c r="A120" s="6" t="s">
        <v>3057</v>
      </c>
      <c r="B120" s="6" t="s">
        <v>336</v>
      </c>
      <c r="C120" s="6"/>
      <c r="D120" s="6"/>
      <c r="E120" s="6"/>
      <c r="F120" s="6"/>
      <c r="G120" s="6"/>
      <c r="H120" s="6">
        <v>7</v>
      </c>
      <c r="I120" s="6"/>
      <c r="J120" s="6"/>
      <c r="K120" s="6"/>
      <c r="L120" s="6"/>
      <c r="M120" s="6"/>
      <c r="N120" s="6"/>
      <c r="O120" s="6"/>
      <c r="P120" s="6"/>
      <c r="Q120" s="6"/>
    </row>
    <row r="121" spans="1:17" x14ac:dyDescent="0.3">
      <c r="A121" s="6"/>
      <c r="B121" s="6" t="s">
        <v>406</v>
      </c>
      <c r="C121" s="6"/>
      <c r="D121" s="6"/>
      <c r="E121" s="6"/>
      <c r="F121" s="6"/>
      <c r="G121" s="6"/>
      <c r="H121" s="6">
        <v>-1</v>
      </c>
      <c r="I121" s="6"/>
      <c r="J121" s="6"/>
      <c r="K121" s="6"/>
      <c r="L121" s="6"/>
      <c r="M121" s="6"/>
      <c r="N121" s="6"/>
      <c r="O121" s="6"/>
      <c r="P121" s="6"/>
      <c r="Q121" s="6"/>
    </row>
    <row r="122" spans="1:17" x14ac:dyDescent="0.3">
      <c r="A122" s="6"/>
      <c r="B122" s="6" t="s">
        <v>474</v>
      </c>
      <c r="C122" s="6"/>
      <c r="D122" s="6"/>
      <c r="E122" s="6"/>
      <c r="F122" s="6"/>
      <c r="G122" s="6"/>
      <c r="H122" s="6">
        <v>-1</v>
      </c>
      <c r="I122" s="6"/>
      <c r="J122" s="6"/>
      <c r="K122" s="6"/>
      <c r="L122" s="6"/>
      <c r="M122" s="6"/>
      <c r="N122" s="6"/>
      <c r="O122" s="6"/>
      <c r="P122" s="6"/>
      <c r="Q122" s="6"/>
    </row>
    <row r="123" spans="1:17" x14ac:dyDescent="0.3">
      <c r="A123" s="6"/>
      <c r="B123" s="6" t="s">
        <v>446</v>
      </c>
      <c r="C123" s="6"/>
      <c r="D123" s="6"/>
      <c r="E123" s="6"/>
      <c r="F123" s="6"/>
      <c r="G123" s="6"/>
      <c r="H123" s="6">
        <v>-1</v>
      </c>
      <c r="I123" s="6"/>
      <c r="J123" s="6"/>
      <c r="K123" s="6"/>
      <c r="L123" s="6"/>
      <c r="M123" s="6"/>
      <c r="N123" s="6"/>
      <c r="O123" s="6"/>
      <c r="P123" s="6"/>
      <c r="Q123" s="6"/>
    </row>
    <row r="124" spans="1:17" x14ac:dyDescent="0.3">
      <c r="A124" s="6" t="s">
        <v>1240</v>
      </c>
      <c r="B124" s="6" t="s">
        <v>354</v>
      </c>
      <c r="C124" s="6"/>
      <c r="D124" s="6"/>
      <c r="E124" s="6"/>
      <c r="F124" s="6"/>
      <c r="G124" s="6"/>
      <c r="H124" s="6"/>
      <c r="I124" s="6">
        <v>5</v>
      </c>
      <c r="J124" s="6"/>
      <c r="K124" s="6"/>
      <c r="L124" s="6"/>
      <c r="M124" s="6"/>
      <c r="N124" s="6"/>
      <c r="O124" s="6"/>
      <c r="P124" s="6"/>
      <c r="Q124" s="6"/>
    </row>
    <row r="125" spans="1:17" x14ac:dyDescent="0.3">
      <c r="A125" s="6"/>
      <c r="B125" s="6" t="s">
        <v>354</v>
      </c>
      <c r="C125" s="6"/>
      <c r="D125" s="6"/>
      <c r="E125" s="6"/>
      <c r="F125" s="6"/>
      <c r="G125" s="6"/>
      <c r="H125" s="6"/>
      <c r="I125" s="6">
        <v>-1</v>
      </c>
      <c r="J125" s="6"/>
      <c r="K125" s="6"/>
      <c r="L125" s="6"/>
      <c r="M125" s="6"/>
      <c r="N125" s="6"/>
      <c r="O125" s="6"/>
      <c r="P125" s="6"/>
      <c r="Q125" s="6"/>
    </row>
    <row r="126" spans="1:17" x14ac:dyDescent="0.3">
      <c r="A126" s="6"/>
      <c r="B126" s="6" t="s">
        <v>384</v>
      </c>
      <c r="C126" s="6"/>
      <c r="D126" s="6"/>
      <c r="E126" s="6"/>
      <c r="F126" s="6"/>
      <c r="G126" s="6"/>
      <c r="H126" s="6"/>
      <c r="I126" s="6">
        <v>-1</v>
      </c>
      <c r="J126" s="6"/>
      <c r="K126" s="6"/>
      <c r="L126" s="6"/>
      <c r="M126" s="6"/>
      <c r="N126" s="6"/>
      <c r="O126" s="6"/>
      <c r="P126" s="6"/>
      <c r="Q126" s="6"/>
    </row>
    <row r="127" spans="1:17" x14ac:dyDescent="0.3">
      <c r="A127" s="6" t="s">
        <v>4953</v>
      </c>
      <c r="B127" s="6" t="s">
        <v>384</v>
      </c>
      <c r="C127" s="6"/>
      <c r="D127" s="6"/>
      <c r="E127" s="6"/>
      <c r="F127" s="6"/>
      <c r="G127" s="6"/>
      <c r="H127" s="6"/>
      <c r="I127" s="6">
        <v>6</v>
      </c>
      <c r="J127" s="6"/>
      <c r="K127" s="6"/>
      <c r="L127" s="6"/>
      <c r="M127" s="6"/>
      <c r="N127" s="6"/>
      <c r="O127" s="6"/>
      <c r="P127" s="6"/>
      <c r="Q127" s="6"/>
    </row>
    <row r="128" spans="1:17" x14ac:dyDescent="0.3">
      <c r="A128" s="6" t="s">
        <v>1783</v>
      </c>
      <c r="B128" s="6" t="s">
        <v>328</v>
      </c>
      <c r="C128" s="6"/>
      <c r="D128" s="6"/>
      <c r="E128" s="6"/>
      <c r="F128" s="6"/>
      <c r="G128" s="6"/>
      <c r="H128" s="6"/>
      <c r="I128" s="6">
        <v>12</v>
      </c>
      <c r="J128" s="6"/>
      <c r="K128" s="6"/>
      <c r="L128" s="6"/>
      <c r="M128" s="6"/>
      <c r="N128" s="6"/>
      <c r="O128" s="6"/>
      <c r="P128" s="6"/>
      <c r="Q128" s="6"/>
    </row>
    <row r="129" spans="1:17" x14ac:dyDescent="0.3">
      <c r="A129" s="6"/>
      <c r="B129" s="6" t="s">
        <v>328</v>
      </c>
      <c r="C129" s="6"/>
      <c r="D129" s="6"/>
      <c r="E129" s="6"/>
      <c r="F129" s="6"/>
      <c r="G129" s="6"/>
      <c r="H129" s="6"/>
      <c r="I129" s="6">
        <v>-1</v>
      </c>
      <c r="J129" s="6"/>
      <c r="K129" s="6"/>
      <c r="L129" s="6"/>
      <c r="M129" s="6"/>
      <c r="N129" s="6"/>
      <c r="O129" s="6"/>
      <c r="P129" s="6"/>
      <c r="Q129" s="6"/>
    </row>
    <row r="130" spans="1:17" x14ac:dyDescent="0.3">
      <c r="A130" s="6"/>
      <c r="B130" s="6" t="s">
        <v>344</v>
      </c>
      <c r="C130" s="6"/>
      <c r="D130" s="6"/>
      <c r="E130" s="6"/>
      <c r="F130" s="6"/>
      <c r="G130" s="6"/>
      <c r="H130" s="6"/>
      <c r="I130" s="6">
        <v>-1</v>
      </c>
      <c r="J130" s="6"/>
      <c r="K130" s="6"/>
      <c r="L130" s="6"/>
      <c r="M130" s="6"/>
      <c r="N130" s="6"/>
      <c r="O130" s="6"/>
      <c r="P130" s="6"/>
      <c r="Q130" s="6"/>
    </row>
    <row r="131" spans="1:17" x14ac:dyDescent="0.3">
      <c r="A131" s="6"/>
      <c r="B131" s="6" t="s">
        <v>402</v>
      </c>
      <c r="C131" s="6"/>
      <c r="D131" s="6"/>
      <c r="E131" s="6"/>
      <c r="F131" s="6"/>
      <c r="G131" s="6"/>
      <c r="H131" s="6"/>
      <c r="I131" s="6">
        <v>-1</v>
      </c>
      <c r="J131" s="6"/>
      <c r="K131" s="6"/>
      <c r="L131" s="6"/>
      <c r="M131" s="6"/>
      <c r="N131" s="6"/>
      <c r="O131" s="6"/>
      <c r="P131" s="6"/>
      <c r="Q131" s="6"/>
    </row>
    <row r="132" spans="1:17" x14ac:dyDescent="0.3">
      <c r="A132" s="6" t="s">
        <v>1564</v>
      </c>
      <c r="B132" s="6" t="s">
        <v>402</v>
      </c>
      <c r="C132" s="6"/>
      <c r="D132" s="6"/>
      <c r="E132" s="6"/>
      <c r="F132" s="6"/>
      <c r="G132" s="6"/>
      <c r="H132" s="6"/>
      <c r="I132" s="6">
        <v>19</v>
      </c>
      <c r="J132" s="6"/>
      <c r="K132" s="6"/>
      <c r="L132" s="6"/>
      <c r="M132" s="6"/>
      <c r="N132" s="6"/>
      <c r="O132" s="6"/>
      <c r="P132" s="6"/>
      <c r="Q132" s="6"/>
    </row>
    <row r="133" spans="1:17" x14ac:dyDescent="0.3">
      <c r="A133" s="6"/>
      <c r="B133" s="6" t="s">
        <v>412</v>
      </c>
      <c r="C133" s="6"/>
      <c r="D133" s="6"/>
      <c r="E133" s="6"/>
      <c r="F133" s="6"/>
      <c r="G133" s="6"/>
      <c r="H133" s="6"/>
      <c r="I133" s="6">
        <v>-1</v>
      </c>
      <c r="J133" s="6"/>
      <c r="K133" s="6"/>
      <c r="L133" s="6"/>
      <c r="M133" s="6"/>
      <c r="N133" s="6"/>
      <c r="O133" s="6"/>
      <c r="P133" s="6"/>
      <c r="Q133" s="6"/>
    </row>
    <row r="134" spans="1:17" x14ac:dyDescent="0.3">
      <c r="A134" s="6"/>
      <c r="B134" s="6" t="s">
        <v>412</v>
      </c>
      <c r="C134" s="6"/>
      <c r="D134" s="6"/>
      <c r="E134" s="6"/>
      <c r="F134" s="6"/>
      <c r="G134" s="6"/>
      <c r="H134" s="6"/>
      <c r="I134" s="6">
        <v>-1</v>
      </c>
      <c r="J134" s="6"/>
      <c r="K134" s="6"/>
      <c r="L134" s="6"/>
      <c r="M134" s="6"/>
      <c r="N134" s="6"/>
      <c r="O134" s="6"/>
      <c r="P134" s="6"/>
      <c r="Q134" s="6"/>
    </row>
    <row r="135" spans="1:17" x14ac:dyDescent="0.3">
      <c r="A135" s="6"/>
      <c r="B135" s="6" t="s">
        <v>332</v>
      </c>
      <c r="C135" s="6"/>
      <c r="D135" s="6"/>
      <c r="E135" s="6"/>
      <c r="F135" s="6"/>
      <c r="G135" s="6"/>
      <c r="H135" s="6"/>
      <c r="I135" s="6">
        <v>-1</v>
      </c>
      <c r="J135" s="6"/>
      <c r="K135" s="6"/>
      <c r="L135" s="6"/>
      <c r="M135" s="6"/>
      <c r="N135" s="6"/>
      <c r="O135" s="6"/>
      <c r="P135" s="6"/>
      <c r="Q135" s="6"/>
    </row>
    <row r="136" spans="1:17" x14ac:dyDescent="0.3">
      <c r="A136" s="6" t="s">
        <v>4838</v>
      </c>
      <c r="B136" s="6" t="s">
        <v>332</v>
      </c>
      <c r="C136" s="6"/>
      <c r="D136" s="6"/>
      <c r="E136" s="6"/>
      <c r="F136" s="6"/>
      <c r="G136" s="6"/>
      <c r="H136" s="6"/>
      <c r="I136" s="6">
        <v>2</v>
      </c>
      <c r="J136" s="6">
        <v>2</v>
      </c>
      <c r="K136" s="6"/>
      <c r="L136" s="6"/>
      <c r="M136" s="6"/>
      <c r="N136" s="6">
        <v>2</v>
      </c>
      <c r="O136" s="6"/>
      <c r="P136" s="6"/>
      <c r="Q136" s="6"/>
    </row>
    <row r="137" spans="1:17" x14ac:dyDescent="0.3">
      <c r="A137" s="6"/>
      <c r="B137" s="6" t="s">
        <v>520</v>
      </c>
      <c r="C137" s="6"/>
      <c r="D137" s="6"/>
      <c r="E137" s="6"/>
      <c r="F137" s="6"/>
      <c r="G137" s="6"/>
      <c r="H137" s="6"/>
      <c r="I137" s="6">
        <v>-1</v>
      </c>
      <c r="J137" s="6"/>
      <c r="K137" s="6"/>
      <c r="L137" s="6"/>
      <c r="M137" s="6"/>
      <c r="N137" s="6"/>
      <c r="O137" s="6"/>
      <c r="P137" s="6"/>
      <c r="Q137" s="6"/>
    </row>
    <row r="138" spans="1:17" x14ac:dyDescent="0.3">
      <c r="A138" s="6"/>
      <c r="B138" s="6" t="s">
        <v>518</v>
      </c>
      <c r="C138" s="6"/>
      <c r="D138" s="6"/>
      <c r="E138" s="6"/>
      <c r="F138" s="6"/>
      <c r="G138" s="6"/>
      <c r="H138" s="6"/>
      <c r="I138" s="6">
        <v>-1</v>
      </c>
      <c r="J138" s="6"/>
      <c r="K138" s="6"/>
      <c r="L138" s="6"/>
      <c r="M138" s="6"/>
      <c r="N138" s="6"/>
      <c r="O138" s="6"/>
      <c r="P138" s="6"/>
      <c r="Q138" s="6"/>
    </row>
    <row r="139" spans="1:17" x14ac:dyDescent="0.3">
      <c r="A139" s="6"/>
      <c r="B139" s="6" t="s">
        <v>596</v>
      </c>
      <c r="C139" s="6"/>
      <c r="D139" s="6"/>
      <c r="E139" s="6"/>
      <c r="F139" s="6"/>
      <c r="G139" s="6"/>
      <c r="H139" s="6"/>
      <c r="I139" s="6">
        <v>-1</v>
      </c>
      <c r="J139" s="6"/>
      <c r="K139" s="6"/>
      <c r="L139" s="6"/>
      <c r="M139" s="6"/>
      <c r="N139" s="6"/>
      <c r="O139" s="6"/>
      <c r="P139" s="6"/>
      <c r="Q139" s="6"/>
    </row>
    <row r="140" spans="1:17" x14ac:dyDescent="0.3">
      <c r="A140" s="6" t="s">
        <v>3682</v>
      </c>
      <c r="B140" s="6" t="s">
        <v>394</v>
      </c>
      <c r="C140" s="6"/>
      <c r="D140" s="6"/>
      <c r="E140" s="6"/>
      <c r="F140" s="6"/>
      <c r="G140" s="6"/>
      <c r="H140" s="6"/>
      <c r="I140" s="6">
        <v>17</v>
      </c>
      <c r="J140" s="6">
        <v>24</v>
      </c>
      <c r="K140" s="6"/>
      <c r="L140" s="6"/>
      <c r="M140" s="6"/>
      <c r="N140" s="6"/>
      <c r="O140" s="6"/>
      <c r="P140" s="6"/>
      <c r="Q140" s="6"/>
    </row>
    <row r="141" spans="1:17" x14ac:dyDescent="0.3">
      <c r="A141" s="6"/>
      <c r="B141" s="6" t="s">
        <v>330</v>
      </c>
      <c r="C141" s="6"/>
      <c r="D141" s="6"/>
      <c r="E141" s="6"/>
      <c r="F141" s="6"/>
      <c r="G141" s="6"/>
      <c r="H141" s="6"/>
      <c r="I141" s="6">
        <v>-1</v>
      </c>
      <c r="J141" s="6"/>
      <c r="K141" s="6"/>
      <c r="L141" s="6"/>
      <c r="M141" s="6"/>
      <c r="N141" s="6"/>
      <c r="O141" s="6"/>
      <c r="P141" s="6"/>
      <c r="Q141" s="6"/>
    </row>
    <row r="142" spans="1:17" x14ac:dyDescent="0.3">
      <c r="A142" s="6"/>
      <c r="B142" s="6" t="s">
        <v>338</v>
      </c>
      <c r="C142" s="6"/>
      <c r="D142" s="6"/>
      <c r="E142" s="6"/>
      <c r="F142" s="6"/>
      <c r="G142" s="6"/>
      <c r="H142" s="6"/>
      <c r="I142" s="6">
        <v>-1</v>
      </c>
      <c r="J142" s="6"/>
      <c r="K142" s="6"/>
      <c r="L142" s="6"/>
      <c r="M142" s="6"/>
      <c r="N142" s="6"/>
      <c r="O142" s="6"/>
      <c r="P142" s="6"/>
      <c r="Q142" s="6"/>
    </row>
    <row r="143" spans="1:17" x14ac:dyDescent="0.3">
      <c r="A143" s="6"/>
      <c r="B143" s="6" t="s">
        <v>370</v>
      </c>
      <c r="C143" s="6"/>
      <c r="D143" s="6"/>
      <c r="E143" s="6"/>
      <c r="F143" s="6"/>
      <c r="G143" s="6"/>
      <c r="H143" s="6"/>
      <c r="I143" s="6">
        <v>-1</v>
      </c>
      <c r="J143" s="6"/>
      <c r="K143" s="6"/>
      <c r="L143" s="6"/>
      <c r="M143" s="6"/>
      <c r="N143" s="6"/>
      <c r="O143" s="6"/>
      <c r="P143" s="6"/>
      <c r="Q143" s="6"/>
    </row>
    <row r="144" spans="1:17" x14ac:dyDescent="0.3">
      <c r="A144" s="6"/>
      <c r="B144" s="6" t="s">
        <v>592</v>
      </c>
      <c r="C144" s="6"/>
      <c r="D144" s="6"/>
      <c r="E144" s="6"/>
      <c r="F144" s="6"/>
      <c r="G144" s="6"/>
      <c r="H144" s="6"/>
      <c r="I144" s="6">
        <v>-1</v>
      </c>
      <c r="J144" s="6"/>
      <c r="K144" s="6"/>
      <c r="L144" s="6"/>
      <c r="M144" s="6"/>
      <c r="N144" s="6"/>
      <c r="O144" s="6"/>
      <c r="P144" s="6"/>
      <c r="Q144" s="6"/>
    </row>
    <row r="145" spans="1:17" x14ac:dyDescent="0.3">
      <c r="A145" s="6"/>
      <c r="B145" s="6" t="s">
        <v>598</v>
      </c>
      <c r="C145" s="6"/>
      <c r="D145" s="6"/>
      <c r="E145" s="6"/>
      <c r="F145" s="6"/>
      <c r="G145" s="6"/>
      <c r="H145" s="6"/>
      <c r="I145" s="6">
        <v>-1</v>
      </c>
      <c r="J145" s="6"/>
      <c r="K145" s="6"/>
      <c r="L145" s="6"/>
      <c r="M145" s="6"/>
      <c r="N145" s="6"/>
      <c r="O145" s="6"/>
      <c r="P145" s="6"/>
      <c r="Q145" s="6"/>
    </row>
    <row r="146" spans="1:17" x14ac:dyDescent="0.3">
      <c r="A146" s="6"/>
      <c r="B146" s="6" t="s">
        <v>354</v>
      </c>
      <c r="C146" s="6"/>
      <c r="D146" s="6"/>
      <c r="E146" s="6"/>
      <c r="F146" s="6"/>
      <c r="G146" s="6"/>
      <c r="H146" s="6"/>
      <c r="I146" s="6"/>
      <c r="J146" s="6">
        <v>-1</v>
      </c>
      <c r="K146" s="6"/>
      <c r="L146" s="6"/>
      <c r="M146" s="6"/>
      <c r="N146" s="6"/>
      <c r="O146" s="6"/>
      <c r="P146" s="6"/>
      <c r="Q146" s="6"/>
    </row>
    <row r="147" spans="1:17" x14ac:dyDescent="0.3">
      <c r="A147" s="6"/>
      <c r="B147" s="6" t="s">
        <v>354</v>
      </c>
      <c r="C147" s="6"/>
      <c r="D147" s="6"/>
      <c r="E147" s="6"/>
      <c r="F147" s="6"/>
      <c r="G147" s="6"/>
      <c r="H147" s="6"/>
      <c r="I147" s="6"/>
      <c r="J147" s="6">
        <v>-1</v>
      </c>
      <c r="K147" s="6"/>
      <c r="L147" s="6"/>
      <c r="M147" s="6"/>
      <c r="N147" s="6"/>
      <c r="O147" s="6"/>
      <c r="P147" s="6"/>
      <c r="Q147" s="6"/>
    </row>
    <row r="148" spans="1:17" x14ac:dyDescent="0.3">
      <c r="A148" s="6"/>
      <c r="B148" s="6" t="s">
        <v>384</v>
      </c>
      <c r="C148" s="6"/>
      <c r="D148" s="6"/>
      <c r="E148" s="6"/>
      <c r="F148" s="6"/>
      <c r="G148" s="6"/>
      <c r="H148" s="6"/>
      <c r="I148" s="6"/>
      <c r="J148" s="6">
        <v>-1</v>
      </c>
      <c r="K148" s="6"/>
      <c r="L148" s="6"/>
      <c r="M148" s="6"/>
      <c r="N148" s="6"/>
      <c r="O148" s="6"/>
      <c r="P148" s="6"/>
      <c r="Q148" s="6"/>
    </row>
    <row r="149" spans="1:17" x14ac:dyDescent="0.3">
      <c r="A149" s="6"/>
      <c r="B149" s="6" t="s">
        <v>384</v>
      </c>
      <c r="C149" s="6"/>
      <c r="D149" s="6"/>
      <c r="E149" s="6"/>
      <c r="F149" s="6"/>
      <c r="G149" s="6"/>
      <c r="H149" s="6"/>
      <c r="I149" s="6"/>
      <c r="J149" s="6">
        <v>-1</v>
      </c>
      <c r="K149" s="6"/>
      <c r="L149" s="6"/>
      <c r="M149" s="6"/>
      <c r="N149" s="6"/>
      <c r="O149" s="6"/>
      <c r="P149" s="6"/>
      <c r="Q149" s="6"/>
    </row>
    <row r="150" spans="1:17" x14ac:dyDescent="0.3">
      <c r="A150" s="6"/>
      <c r="B150" s="6" t="s">
        <v>328</v>
      </c>
      <c r="C150" s="6"/>
      <c r="D150" s="6"/>
      <c r="E150" s="6"/>
      <c r="F150" s="6"/>
      <c r="G150" s="6"/>
      <c r="H150" s="6"/>
      <c r="I150" s="6"/>
      <c r="J150" s="6">
        <v>-1</v>
      </c>
      <c r="K150" s="6"/>
      <c r="L150" s="6"/>
      <c r="M150" s="6"/>
      <c r="N150" s="6"/>
      <c r="O150" s="6"/>
      <c r="P150" s="6"/>
      <c r="Q150" s="6"/>
    </row>
    <row r="151" spans="1:17" x14ac:dyDescent="0.3">
      <c r="A151" s="6" t="s">
        <v>2116</v>
      </c>
      <c r="B151" s="6" t="s">
        <v>328</v>
      </c>
      <c r="C151" s="6"/>
      <c r="D151" s="6"/>
      <c r="E151" s="6"/>
      <c r="F151" s="6"/>
      <c r="G151" s="6"/>
      <c r="H151" s="6"/>
      <c r="I151" s="6"/>
      <c r="J151" s="6">
        <v>6</v>
      </c>
      <c r="K151" s="6"/>
      <c r="L151" s="6"/>
      <c r="M151" s="6"/>
      <c r="N151" s="6"/>
      <c r="O151" s="6"/>
      <c r="P151" s="6"/>
      <c r="Q151" s="6"/>
    </row>
    <row r="152" spans="1:17" x14ac:dyDescent="0.3">
      <c r="A152" s="6" t="s">
        <v>2844</v>
      </c>
      <c r="B152" s="6" t="s">
        <v>344</v>
      </c>
      <c r="C152" s="6"/>
      <c r="D152" s="6"/>
      <c r="E152" s="6"/>
      <c r="F152" s="6"/>
      <c r="G152" s="6"/>
      <c r="H152" s="6"/>
      <c r="I152" s="6"/>
      <c r="J152" s="6">
        <v>11</v>
      </c>
      <c r="K152" s="6"/>
      <c r="L152" s="6"/>
      <c r="M152" s="6"/>
      <c r="N152" s="6"/>
      <c r="O152" s="6"/>
      <c r="P152" s="6"/>
      <c r="Q152" s="6"/>
    </row>
    <row r="153" spans="1:17" x14ac:dyDescent="0.3">
      <c r="A153" s="6"/>
      <c r="B153" s="6" t="s">
        <v>344</v>
      </c>
      <c r="C153" s="6"/>
      <c r="D153" s="6"/>
      <c r="E153" s="6"/>
      <c r="F153" s="6"/>
      <c r="G153" s="6"/>
      <c r="H153" s="6"/>
      <c r="I153" s="6"/>
      <c r="J153" s="6">
        <v>-1</v>
      </c>
      <c r="K153" s="6"/>
      <c r="L153" s="6"/>
      <c r="M153" s="6"/>
      <c r="N153" s="6"/>
      <c r="O153" s="6"/>
      <c r="P153" s="6"/>
      <c r="Q153" s="6"/>
    </row>
    <row r="154" spans="1:17" x14ac:dyDescent="0.3">
      <c r="A154" s="6"/>
      <c r="B154" s="6" t="s">
        <v>402</v>
      </c>
      <c r="C154" s="6"/>
      <c r="D154" s="6"/>
      <c r="E154" s="6"/>
      <c r="F154" s="6"/>
      <c r="G154" s="6"/>
      <c r="H154" s="6"/>
      <c r="I154" s="6"/>
      <c r="J154" s="6">
        <v>-1</v>
      </c>
      <c r="K154" s="6"/>
      <c r="L154" s="6"/>
      <c r="M154" s="6"/>
      <c r="N154" s="6"/>
      <c r="O154" s="6"/>
      <c r="P154" s="6"/>
      <c r="Q154" s="6"/>
    </row>
    <row r="155" spans="1:17" x14ac:dyDescent="0.3">
      <c r="A155" s="6" t="s">
        <v>4136</v>
      </c>
      <c r="B155" s="6" t="s">
        <v>402</v>
      </c>
      <c r="C155" s="6"/>
      <c r="D155" s="6"/>
      <c r="E155" s="6"/>
      <c r="F155" s="6"/>
      <c r="G155" s="6"/>
      <c r="H155" s="6"/>
      <c r="I155" s="6"/>
      <c r="J155" s="6">
        <v>5</v>
      </c>
      <c r="K155" s="6"/>
      <c r="L155" s="6"/>
      <c r="M155" s="6"/>
      <c r="N155" s="6"/>
      <c r="O155" s="6"/>
      <c r="P155" s="6">
        <v>7</v>
      </c>
      <c r="Q155" s="6"/>
    </row>
    <row r="156" spans="1:17" x14ac:dyDescent="0.3">
      <c r="A156" s="6"/>
      <c r="B156" s="6" t="s">
        <v>406</v>
      </c>
      <c r="C156" s="6"/>
      <c r="D156" s="6"/>
      <c r="E156" s="6"/>
      <c r="F156" s="6"/>
      <c r="G156" s="6"/>
      <c r="H156" s="6"/>
      <c r="I156" s="6"/>
      <c r="J156" s="6">
        <v>-1</v>
      </c>
      <c r="K156" s="6"/>
      <c r="L156" s="6"/>
      <c r="M156" s="6"/>
      <c r="N156" s="6"/>
      <c r="O156" s="6"/>
      <c r="P156" s="6"/>
      <c r="Q156" s="6"/>
    </row>
    <row r="157" spans="1:17" x14ac:dyDescent="0.3">
      <c r="A157" s="6"/>
      <c r="B157" s="6" t="s">
        <v>406</v>
      </c>
      <c r="C157" s="6"/>
      <c r="D157" s="6"/>
      <c r="E157" s="6"/>
      <c r="F157" s="6"/>
      <c r="G157" s="6"/>
      <c r="H157" s="6"/>
      <c r="I157" s="6"/>
      <c r="J157" s="6">
        <v>-1</v>
      </c>
      <c r="K157" s="6"/>
      <c r="L157" s="6"/>
      <c r="M157" s="6"/>
      <c r="N157" s="6"/>
      <c r="O157" s="6"/>
      <c r="P157" s="6"/>
      <c r="Q157" s="6"/>
    </row>
    <row r="158" spans="1:17" x14ac:dyDescent="0.3">
      <c r="A158" s="6"/>
      <c r="B158" s="6" t="s">
        <v>598</v>
      </c>
      <c r="C158" s="6"/>
      <c r="D158" s="6"/>
      <c r="E158" s="6"/>
      <c r="F158" s="6"/>
      <c r="G158" s="6"/>
      <c r="H158" s="6"/>
      <c r="I158" s="6"/>
      <c r="J158" s="6">
        <v>-1</v>
      </c>
      <c r="K158" s="6"/>
      <c r="L158" s="6"/>
      <c r="M158" s="6"/>
      <c r="N158" s="6"/>
      <c r="O158" s="6"/>
      <c r="P158" s="6"/>
      <c r="Q158" s="6"/>
    </row>
    <row r="159" spans="1:17" x14ac:dyDescent="0.3">
      <c r="A159" s="6" t="s">
        <v>3309</v>
      </c>
      <c r="B159" s="6" t="s">
        <v>598</v>
      </c>
      <c r="C159" s="6"/>
      <c r="D159" s="6"/>
      <c r="E159" s="6"/>
      <c r="F159" s="6"/>
      <c r="G159" s="6"/>
      <c r="H159" s="6"/>
      <c r="I159" s="6"/>
      <c r="J159" s="6">
        <v>16</v>
      </c>
      <c r="K159" s="6">
        <v>17</v>
      </c>
      <c r="L159" s="6"/>
      <c r="M159" s="6"/>
      <c r="N159" s="6"/>
      <c r="O159" s="6">
        <v>9</v>
      </c>
      <c r="P159" s="6">
        <v>10</v>
      </c>
      <c r="Q159" s="6"/>
    </row>
    <row r="160" spans="1:17" x14ac:dyDescent="0.3">
      <c r="A160" s="6" t="s">
        <v>2486</v>
      </c>
      <c r="B160" s="6" t="s">
        <v>394</v>
      </c>
      <c r="C160" s="6"/>
      <c r="D160" s="6"/>
      <c r="E160" s="6"/>
      <c r="F160" s="6"/>
      <c r="G160" s="6"/>
      <c r="H160" s="6"/>
      <c r="I160" s="6"/>
      <c r="J160" s="6">
        <v>25</v>
      </c>
      <c r="K160" s="6"/>
      <c r="L160" s="6"/>
      <c r="M160" s="6"/>
      <c r="N160" s="6"/>
      <c r="O160" s="6"/>
      <c r="P160" s="6"/>
      <c r="Q160" s="6"/>
    </row>
    <row r="161" spans="1:17" x14ac:dyDescent="0.3">
      <c r="A161" s="6"/>
      <c r="B161" s="6" t="s">
        <v>330</v>
      </c>
      <c r="C161" s="6"/>
      <c r="D161" s="6"/>
      <c r="E161" s="6"/>
      <c r="F161" s="6"/>
      <c r="G161" s="6"/>
      <c r="H161" s="6"/>
      <c r="I161" s="6"/>
      <c r="J161" s="6">
        <v>-1</v>
      </c>
      <c r="K161" s="6"/>
      <c r="L161" s="6"/>
      <c r="M161" s="6"/>
      <c r="N161" s="6"/>
      <c r="O161" s="6"/>
      <c r="P161" s="6"/>
      <c r="Q161" s="6"/>
    </row>
    <row r="162" spans="1:17" x14ac:dyDescent="0.3">
      <c r="A162" s="6"/>
      <c r="B162" s="6" t="s">
        <v>330</v>
      </c>
      <c r="C162" s="6"/>
      <c r="D162" s="6"/>
      <c r="E162" s="6"/>
      <c r="F162" s="6"/>
      <c r="G162" s="6"/>
      <c r="H162" s="6"/>
      <c r="I162" s="6"/>
      <c r="J162" s="6">
        <v>-1</v>
      </c>
      <c r="K162" s="6"/>
      <c r="L162" s="6"/>
      <c r="M162" s="6"/>
      <c r="N162" s="6"/>
      <c r="O162" s="6"/>
      <c r="P162" s="6"/>
      <c r="Q162" s="6"/>
    </row>
    <row r="163" spans="1:17" x14ac:dyDescent="0.3">
      <c r="A163" s="6"/>
      <c r="B163" s="6" t="s">
        <v>332</v>
      </c>
      <c r="C163" s="6"/>
      <c r="D163" s="6"/>
      <c r="E163" s="6"/>
      <c r="F163" s="6"/>
      <c r="G163" s="6"/>
      <c r="H163" s="6"/>
      <c r="I163" s="6"/>
      <c r="J163" s="6">
        <v>-1</v>
      </c>
      <c r="K163" s="6"/>
      <c r="L163" s="6"/>
      <c r="M163" s="6"/>
      <c r="N163" s="6"/>
      <c r="O163" s="6"/>
      <c r="P163" s="6"/>
      <c r="Q163" s="6"/>
    </row>
    <row r="164" spans="1:17" x14ac:dyDescent="0.3">
      <c r="A164" s="6"/>
      <c r="B164" s="6" t="s">
        <v>370</v>
      </c>
      <c r="C164" s="6"/>
      <c r="D164" s="6"/>
      <c r="E164" s="6"/>
      <c r="F164" s="6"/>
      <c r="G164" s="6"/>
      <c r="H164" s="6"/>
      <c r="I164" s="6"/>
      <c r="J164" s="6">
        <v>-1</v>
      </c>
      <c r="K164" s="6"/>
      <c r="L164" s="6"/>
      <c r="M164" s="6"/>
      <c r="N164" s="6"/>
      <c r="O164" s="6"/>
      <c r="P164" s="6"/>
      <c r="Q164" s="6"/>
    </row>
    <row r="165" spans="1:17" x14ac:dyDescent="0.3">
      <c r="A165" s="6"/>
      <c r="B165" s="6" t="s">
        <v>592</v>
      </c>
      <c r="C165" s="6"/>
      <c r="D165" s="6"/>
      <c r="E165" s="6"/>
      <c r="F165" s="6"/>
      <c r="G165" s="6"/>
      <c r="H165" s="6"/>
      <c r="I165" s="6"/>
      <c r="J165" s="6">
        <v>-1</v>
      </c>
      <c r="K165" s="6"/>
      <c r="L165" s="6"/>
      <c r="M165" s="6"/>
      <c r="N165" s="6"/>
      <c r="O165" s="6"/>
      <c r="P165" s="6"/>
      <c r="Q165" s="6"/>
    </row>
    <row r="166" spans="1:17" x14ac:dyDescent="0.3">
      <c r="A166" s="6"/>
      <c r="B166" s="6" t="s">
        <v>518</v>
      </c>
      <c r="C166" s="6"/>
      <c r="D166" s="6"/>
      <c r="E166" s="6"/>
      <c r="F166" s="6"/>
      <c r="G166" s="6"/>
      <c r="H166" s="6"/>
      <c r="I166" s="6"/>
      <c r="J166" s="6">
        <v>-1</v>
      </c>
      <c r="K166" s="6"/>
      <c r="L166" s="6"/>
      <c r="M166" s="6"/>
      <c r="N166" s="6"/>
      <c r="O166" s="6"/>
      <c r="P166" s="6"/>
      <c r="Q166" s="6"/>
    </row>
    <row r="167" spans="1:17" x14ac:dyDescent="0.3">
      <c r="A167" s="6"/>
      <c r="B167" s="6" t="s">
        <v>356</v>
      </c>
      <c r="C167" s="6"/>
      <c r="D167" s="6"/>
      <c r="E167" s="6"/>
      <c r="F167" s="6"/>
      <c r="G167" s="6"/>
      <c r="H167" s="6"/>
      <c r="I167" s="6"/>
      <c r="J167" s="6">
        <v>-1</v>
      </c>
      <c r="K167" s="6"/>
      <c r="L167" s="6"/>
      <c r="M167" s="6"/>
      <c r="N167" s="6"/>
      <c r="O167" s="6"/>
      <c r="P167" s="6"/>
      <c r="Q167" s="6"/>
    </row>
    <row r="168" spans="1:17" x14ac:dyDescent="0.3">
      <c r="A168" s="6"/>
      <c r="B168" s="6" t="s">
        <v>346</v>
      </c>
      <c r="C168" s="6"/>
      <c r="D168" s="6"/>
      <c r="E168" s="6"/>
      <c r="F168" s="6"/>
      <c r="G168" s="6"/>
      <c r="H168" s="6"/>
      <c r="I168" s="6"/>
      <c r="J168" s="6">
        <v>-1</v>
      </c>
      <c r="K168" s="6"/>
      <c r="L168" s="6"/>
      <c r="M168" s="6"/>
      <c r="N168" s="6"/>
      <c r="O168" s="6"/>
      <c r="P168" s="6"/>
      <c r="Q168" s="6"/>
    </row>
    <row r="169" spans="1:17" x14ac:dyDescent="0.3">
      <c r="A169" s="6"/>
      <c r="B169" s="6" t="s">
        <v>700</v>
      </c>
      <c r="C169" s="6"/>
      <c r="D169" s="6"/>
      <c r="E169" s="6"/>
      <c r="F169" s="6"/>
      <c r="G169" s="6"/>
      <c r="H169" s="6"/>
      <c r="I169" s="6"/>
      <c r="J169" s="6">
        <v>-1</v>
      </c>
      <c r="K169" s="6"/>
      <c r="L169" s="6"/>
      <c r="M169" s="6"/>
      <c r="N169" s="6"/>
      <c r="O169" s="6"/>
      <c r="P169" s="6"/>
      <c r="Q169" s="6"/>
    </row>
    <row r="170" spans="1:17" x14ac:dyDescent="0.3">
      <c r="A170" s="6"/>
      <c r="B170" s="6" t="s">
        <v>328</v>
      </c>
      <c r="C170" s="6"/>
      <c r="D170" s="6"/>
      <c r="E170" s="6"/>
      <c r="F170" s="6"/>
      <c r="G170" s="6"/>
      <c r="H170" s="6"/>
      <c r="I170" s="6"/>
      <c r="J170" s="6"/>
      <c r="K170" s="6">
        <v>-1</v>
      </c>
      <c r="L170" s="6"/>
      <c r="M170" s="6"/>
      <c r="N170" s="6"/>
      <c r="O170" s="6"/>
      <c r="P170" s="6"/>
      <c r="Q170" s="6"/>
    </row>
    <row r="171" spans="1:17" x14ac:dyDescent="0.3">
      <c r="A171" s="6"/>
      <c r="B171" s="6" t="s">
        <v>328</v>
      </c>
      <c r="C171" s="6"/>
      <c r="D171" s="6"/>
      <c r="E171" s="6"/>
      <c r="F171" s="6"/>
      <c r="G171" s="6"/>
      <c r="H171" s="6"/>
      <c r="I171" s="6"/>
      <c r="J171" s="6"/>
      <c r="K171" s="6">
        <v>-1</v>
      </c>
      <c r="L171" s="6"/>
      <c r="M171" s="6"/>
      <c r="N171" s="6"/>
      <c r="O171" s="6"/>
      <c r="P171" s="6"/>
      <c r="Q171" s="6"/>
    </row>
    <row r="172" spans="1:17" x14ac:dyDescent="0.3">
      <c r="A172" s="6"/>
      <c r="B172" s="6" t="s">
        <v>356</v>
      </c>
      <c r="C172" s="6"/>
      <c r="D172" s="6"/>
      <c r="E172" s="6"/>
      <c r="F172" s="6"/>
      <c r="G172" s="6"/>
      <c r="H172" s="6"/>
      <c r="I172" s="6"/>
      <c r="J172" s="6"/>
      <c r="K172" s="6">
        <v>-1</v>
      </c>
      <c r="L172" s="6"/>
      <c r="M172" s="6"/>
      <c r="N172" s="6"/>
      <c r="O172" s="6"/>
      <c r="P172" s="6"/>
      <c r="Q172" s="6"/>
    </row>
    <row r="173" spans="1:17" x14ac:dyDescent="0.3">
      <c r="A173" s="6" t="s">
        <v>2911</v>
      </c>
      <c r="B173" s="6" t="s">
        <v>356</v>
      </c>
      <c r="C173" s="6"/>
      <c r="D173" s="6"/>
      <c r="E173" s="6"/>
      <c r="F173" s="6"/>
      <c r="G173" s="6"/>
      <c r="H173" s="6"/>
      <c r="I173" s="6"/>
      <c r="J173" s="6"/>
      <c r="K173" s="6">
        <v>4</v>
      </c>
      <c r="L173" s="6"/>
      <c r="M173" s="6"/>
      <c r="N173" s="6"/>
      <c r="O173" s="6"/>
      <c r="P173" s="6"/>
      <c r="Q173" s="6"/>
    </row>
    <row r="174" spans="1:17" x14ac:dyDescent="0.3">
      <c r="A174" s="6" t="s">
        <v>4040</v>
      </c>
      <c r="B174" s="6" t="s">
        <v>428</v>
      </c>
      <c r="C174" s="6"/>
      <c r="D174" s="6"/>
      <c r="E174" s="6"/>
      <c r="F174" s="6"/>
      <c r="G174" s="6"/>
      <c r="H174" s="6"/>
      <c r="I174" s="6"/>
      <c r="J174" s="6"/>
      <c r="K174" s="6">
        <v>19</v>
      </c>
      <c r="L174" s="6"/>
      <c r="M174" s="6"/>
      <c r="N174" s="6"/>
      <c r="O174" s="6"/>
      <c r="P174" s="6"/>
      <c r="Q174" s="6"/>
    </row>
    <row r="175" spans="1:17" x14ac:dyDescent="0.3">
      <c r="A175" s="6"/>
      <c r="B175" s="6" t="s">
        <v>428</v>
      </c>
      <c r="C175" s="6"/>
      <c r="D175" s="6"/>
      <c r="E175" s="6"/>
      <c r="F175" s="6"/>
      <c r="G175" s="6"/>
      <c r="H175" s="6"/>
      <c r="I175" s="6"/>
      <c r="J175" s="6"/>
      <c r="K175" s="6">
        <v>-1</v>
      </c>
      <c r="L175" s="6"/>
      <c r="M175" s="6"/>
      <c r="N175" s="6"/>
      <c r="O175" s="6"/>
      <c r="P175" s="6"/>
      <c r="Q175" s="6"/>
    </row>
    <row r="176" spans="1:17" x14ac:dyDescent="0.3">
      <c r="A176" s="6"/>
      <c r="B176" s="6" t="s">
        <v>620</v>
      </c>
      <c r="C176" s="6"/>
      <c r="D176" s="6"/>
      <c r="E176" s="6"/>
      <c r="F176" s="6"/>
      <c r="G176" s="6"/>
      <c r="H176" s="6"/>
      <c r="I176" s="6"/>
      <c r="J176" s="6"/>
      <c r="K176" s="6">
        <v>-1</v>
      </c>
      <c r="L176" s="6"/>
      <c r="M176" s="6"/>
      <c r="N176" s="6"/>
      <c r="O176" s="6"/>
      <c r="P176" s="6"/>
      <c r="Q176" s="6"/>
    </row>
    <row r="177" spans="1:17" x14ac:dyDescent="0.3">
      <c r="A177" s="6"/>
      <c r="B177" s="6" t="s">
        <v>620</v>
      </c>
      <c r="C177" s="6"/>
      <c r="D177" s="6"/>
      <c r="E177" s="6"/>
      <c r="F177" s="6"/>
      <c r="G177" s="6"/>
      <c r="H177" s="6"/>
      <c r="I177" s="6"/>
      <c r="J177" s="6"/>
      <c r="K177" s="6">
        <v>-1</v>
      </c>
      <c r="L177" s="6"/>
      <c r="M177" s="6"/>
      <c r="N177" s="6"/>
      <c r="O177" s="6"/>
      <c r="P177" s="6"/>
      <c r="Q177" s="6"/>
    </row>
    <row r="178" spans="1:17" x14ac:dyDescent="0.3">
      <c r="A178" s="6"/>
      <c r="B178" s="6" t="s">
        <v>332</v>
      </c>
      <c r="C178" s="6"/>
      <c r="D178" s="6"/>
      <c r="E178" s="6"/>
      <c r="F178" s="6"/>
      <c r="G178" s="6"/>
      <c r="H178" s="6"/>
      <c r="I178" s="6"/>
      <c r="J178" s="6"/>
      <c r="K178" s="6">
        <v>-1</v>
      </c>
      <c r="L178" s="6"/>
      <c r="M178" s="6"/>
      <c r="N178" s="6"/>
      <c r="O178" s="6"/>
      <c r="P178" s="6"/>
      <c r="Q178" s="6"/>
    </row>
    <row r="179" spans="1:17" x14ac:dyDescent="0.3">
      <c r="A179" s="6" t="s">
        <v>4211</v>
      </c>
      <c r="B179" s="6" t="s">
        <v>332</v>
      </c>
      <c r="C179" s="6"/>
      <c r="D179" s="6"/>
      <c r="E179" s="6"/>
      <c r="F179" s="6"/>
      <c r="G179" s="6"/>
      <c r="H179" s="6"/>
      <c r="I179" s="6"/>
      <c r="J179" s="6"/>
      <c r="K179" s="6">
        <v>23</v>
      </c>
      <c r="L179" s="6"/>
      <c r="M179" s="6"/>
      <c r="N179" s="6"/>
      <c r="O179" s="6"/>
      <c r="P179" s="6"/>
      <c r="Q179" s="6"/>
    </row>
    <row r="180" spans="1:17" x14ac:dyDescent="0.3">
      <c r="A180" s="6" t="s">
        <v>2309</v>
      </c>
      <c r="B180" s="6" t="s">
        <v>340</v>
      </c>
      <c r="C180" s="6"/>
      <c r="D180" s="6"/>
      <c r="E180" s="6"/>
      <c r="F180" s="6"/>
      <c r="G180" s="6"/>
      <c r="H180" s="6"/>
      <c r="I180" s="6"/>
      <c r="J180" s="6"/>
      <c r="K180" s="6">
        <v>15</v>
      </c>
      <c r="L180" s="6">
        <v>18</v>
      </c>
      <c r="M180" s="6"/>
      <c r="N180" s="6"/>
      <c r="O180" s="6"/>
      <c r="P180" s="6"/>
      <c r="Q180" s="6"/>
    </row>
    <row r="181" spans="1:17" x14ac:dyDescent="0.3">
      <c r="A181" s="6"/>
      <c r="B181" s="6" t="s">
        <v>384</v>
      </c>
      <c r="C181" s="6"/>
      <c r="D181" s="6"/>
      <c r="E181" s="6"/>
      <c r="F181" s="6"/>
      <c r="G181" s="6"/>
      <c r="H181" s="6"/>
      <c r="I181" s="6"/>
      <c r="J181" s="6"/>
      <c r="K181" s="6">
        <v>-1</v>
      </c>
      <c r="L181" s="6"/>
      <c r="M181" s="6"/>
      <c r="N181" s="6"/>
      <c r="O181" s="6"/>
      <c r="P181" s="6"/>
      <c r="Q181" s="6"/>
    </row>
    <row r="182" spans="1:17" x14ac:dyDescent="0.3">
      <c r="A182" s="6"/>
      <c r="B182" s="6" t="s">
        <v>572</v>
      </c>
      <c r="C182" s="6"/>
      <c r="D182" s="6"/>
      <c r="E182" s="6"/>
      <c r="F182" s="6"/>
      <c r="G182" s="6"/>
      <c r="H182" s="6"/>
      <c r="I182" s="6"/>
      <c r="J182" s="6"/>
      <c r="K182" s="6">
        <v>-1</v>
      </c>
      <c r="L182" s="6"/>
      <c r="M182" s="6"/>
      <c r="N182" s="6"/>
      <c r="O182" s="6"/>
      <c r="P182" s="6"/>
      <c r="Q182" s="6"/>
    </row>
    <row r="183" spans="1:17" x14ac:dyDescent="0.3">
      <c r="A183" s="6"/>
      <c r="B183" s="6" t="s">
        <v>334</v>
      </c>
      <c r="C183" s="6"/>
      <c r="D183" s="6"/>
      <c r="E183" s="6"/>
      <c r="F183" s="6"/>
      <c r="G183" s="6"/>
      <c r="H183" s="6"/>
      <c r="I183" s="6"/>
      <c r="J183" s="6"/>
      <c r="K183" s="6">
        <v>-1</v>
      </c>
      <c r="L183" s="6"/>
      <c r="M183" s="6"/>
      <c r="N183" s="6"/>
      <c r="O183" s="6"/>
      <c r="P183" s="6"/>
      <c r="Q183" s="6"/>
    </row>
    <row r="184" spans="1:17" x14ac:dyDescent="0.3">
      <c r="A184" s="6"/>
      <c r="B184" s="6" t="s">
        <v>402</v>
      </c>
      <c r="C184" s="6"/>
      <c r="D184" s="6"/>
      <c r="E184" s="6"/>
      <c r="F184" s="6"/>
      <c r="G184" s="6"/>
      <c r="H184" s="6"/>
      <c r="I184" s="6"/>
      <c r="J184" s="6"/>
      <c r="K184" s="6">
        <v>-1</v>
      </c>
      <c r="L184" s="6"/>
      <c r="M184" s="6"/>
      <c r="N184" s="6"/>
      <c r="O184" s="6"/>
      <c r="P184" s="6"/>
      <c r="Q184" s="6"/>
    </row>
    <row r="185" spans="1:17" x14ac:dyDescent="0.3">
      <c r="A185" s="6"/>
      <c r="B185" s="6" t="s">
        <v>518</v>
      </c>
      <c r="C185" s="6"/>
      <c r="D185" s="6"/>
      <c r="E185" s="6"/>
      <c r="F185" s="6"/>
      <c r="G185" s="6"/>
      <c r="H185" s="6"/>
      <c r="I185" s="6"/>
      <c r="J185" s="6"/>
      <c r="K185" s="6">
        <v>-1</v>
      </c>
      <c r="L185" s="6"/>
      <c r="M185" s="6"/>
      <c r="N185" s="6"/>
      <c r="O185" s="6"/>
      <c r="P185" s="6"/>
      <c r="Q185" s="6"/>
    </row>
    <row r="186" spans="1:17" x14ac:dyDescent="0.3">
      <c r="A186" s="6"/>
      <c r="B186" s="6" t="s">
        <v>596</v>
      </c>
      <c r="C186" s="6"/>
      <c r="D186" s="6"/>
      <c r="E186" s="6"/>
      <c r="F186" s="6"/>
      <c r="G186" s="6"/>
      <c r="H186" s="6"/>
      <c r="I186" s="6"/>
      <c r="J186" s="6"/>
      <c r="K186" s="6">
        <v>-1</v>
      </c>
      <c r="L186" s="6"/>
      <c r="M186" s="6"/>
      <c r="N186" s="6"/>
      <c r="O186" s="6"/>
      <c r="P186" s="6"/>
      <c r="Q186" s="6"/>
    </row>
    <row r="187" spans="1:17" x14ac:dyDescent="0.3">
      <c r="A187" s="6"/>
      <c r="B187" s="6" t="s">
        <v>412</v>
      </c>
      <c r="C187" s="6"/>
      <c r="D187" s="6"/>
      <c r="E187" s="6"/>
      <c r="F187" s="6"/>
      <c r="G187" s="6"/>
      <c r="H187" s="6"/>
      <c r="I187" s="6"/>
      <c r="J187" s="6"/>
      <c r="K187" s="6">
        <v>-1</v>
      </c>
      <c r="L187" s="6"/>
      <c r="M187" s="6"/>
      <c r="N187" s="6"/>
      <c r="O187" s="6"/>
      <c r="P187" s="6"/>
      <c r="Q187" s="6"/>
    </row>
    <row r="188" spans="1:17" x14ac:dyDescent="0.3">
      <c r="A188" s="6" t="s">
        <v>3690</v>
      </c>
      <c r="B188" s="6" t="s">
        <v>394</v>
      </c>
      <c r="C188" s="6"/>
      <c r="D188" s="6"/>
      <c r="E188" s="6"/>
      <c r="F188" s="6"/>
      <c r="G188" s="6"/>
      <c r="H188" s="6"/>
      <c r="I188" s="6"/>
      <c r="J188" s="6"/>
      <c r="K188" s="6">
        <v>21</v>
      </c>
      <c r="L188" s="6"/>
      <c r="M188" s="6"/>
      <c r="N188" s="6"/>
      <c r="O188" s="6"/>
      <c r="P188" s="6"/>
      <c r="Q188" s="6"/>
    </row>
    <row r="189" spans="1:17" x14ac:dyDescent="0.3">
      <c r="A189" s="6"/>
      <c r="B189" s="6" t="s">
        <v>446</v>
      </c>
      <c r="C189" s="6"/>
      <c r="D189" s="6"/>
      <c r="E189" s="6"/>
      <c r="F189" s="6"/>
      <c r="G189" s="6"/>
      <c r="H189" s="6"/>
      <c r="I189" s="6"/>
      <c r="J189" s="6"/>
      <c r="K189" s="6">
        <v>-1</v>
      </c>
      <c r="L189" s="6"/>
      <c r="M189" s="6"/>
      <c r="N189" s="6"/>
      <c r="O189" s="6"/>
      <c r="P189" s="6"/>
      <c r="Q189" s="6"/>
    </row>
    <row r="190" spans="1:17" x14ac:dyDescent="0.3">
      <c r="A190" s="6"/>
      <c r="B190" s="6" t="s">
        <v>422</v>
      </c>
      <c r="C190" s="6"/>
      <c r="D190" s="6"/>
      <c r="E190" s="6"/>
      <c r="F190" s="6"/>
      <c r="G190" s="6"/>
      <c r="H190" s="6"/>
      <c r="I190" s="6"/>
      <c r="J190" s="6"/>
      <c r="K190" s="6">
        <v>-1</v>
      </c>
      <c r="L190" s="6"/>
      <c r="M190" s="6"/>
      <c r="N190" s="6"/>
      <c r="O190" s="6"/>
      <c r="P190" s="6"/>
      <c r="Q190" s="6"/>
    </row>
    <row r="191" spans="1:17" x14ac:dyDescent="0.3">
      <c r="A191" s="6"/>
      <c r="B191" s="6" t="s">
        <v>338</v>
      </c>
      <c r="C191" s="6"/>
      <c r="D191" s="6"/>
      <c r="E191" s="6"/>
      <c r="F191" s="6"/>
      <c r="G191" s="6"/>
      <c r="H191" s="6"/>
      <c r="I191" s="6"/>
      <c r="J191" s="6"/>
      <c r="K191" s="6">
        <v>-1</v>
      </c>
      <c r="L191" s="6"/>
      <c r="M191" s="6"/>
      <c r="N191" s="6"/>
      <c r="O191" s="6"/>
      <c r="P191" s="6"/>
      <c r="Q191" s="6"/>
    </row>
    <row r="192" spans="1:17" x14ac:dyDescent="0.3">
      <c r="A192" s="6"/>
      <c r="B192" s="6" t="s">
        <v>354</v>
      </c>
      <c r="C192" s="6"/>
      <c r="D192" s="6"/>
      <c r="E192" s="6"/>
      <c r="F192" s="6"/>
      <c r="G192" s="6"/>
      <c r="H192" s="6"/>
      <c r="I192" s="6"/>
      <c r="J192" s="6"/>
      <c r="K192" s="6">
        <v>-1</v>
      </c>
      <c r="L192" s="6"/>
      <c r="M192" s="6"/>
      <c r="N192" s="6"/>
      <c r="O192" s="6"/>
      <c r="P192" s="6"/>
      <c r="Q192" s="6"/>
    </row>
    <row r="193" spans="1:17" x14ac:dyDescent="0.3">
      <c r="A193" s="6"/>
      <c r="B193" s="6" t="s">
        <v>442</v>
      </c>
      <c r="C193" s="6"/>
      <c r="D193" s="6"/>
      <c r="E193" s="6"/>
      <c r="F193" s="6"/>
      <c r="G193" s="6"/>
      <c r="H193" s="6"/>
      <c r="I193" s="6"/>
      <c r="J193" s="6"/>
      <c r="K193" s="6">
        <v>-1</v>
      </c>
      <c r="L193" s="6"/>
      <c r="M193" s="6"/>
      <c r="N193" s="6"/>
      <c r="O193" s="6"/>
      <c r="P193" s="6"/>
      <c r="Q193" s="6"/>
    </row>
    <row r="194" spans="1:17" x14ac:dyDescent="0.3">
      <c r="A194" s="6"/>
      <c r="B194" s="6" t="s">
        <v>330</v>
      </c>
      <c r="C194" s="6"/>
      <c r="D194" s="6"/>
      <c r="E194" s="6"/>
      <c r="F194" s="6"/>
      <c r="G194" s="6"/>
      <c r="H194" s="6"/>
      <c r="I194" s="6"/>
      <c r="J194" s="6"/>
      <c r="K194" s="6">
        <v>-1</v>
      </c>
      <c r="L194" s="6"/>
      <c r="M194" s="6"/>
      <c r="N194" s="6"/>
      <c r="O194" s="6"/>
      <c r="P194" s="6"/>
      <c r="Q194" s="6"/>
    </row>
    <row r="195" spans="1:17" x14ac:dyDescent="0.3">
      <c r="A195" s="6"/>
      <c r="B195" s="6" t="s">
        <v>444</v>
      </c>
      <c r="C195" s="6"/>
      <c r="D195" s="6"/>
      <c r="E195" s="6"/>
      <c r="F195" s="6"/>
      <c r="G195" s="6"/>
      <c r="H195" s="6"/>
      <c r="I195" s="6"/>
      <c r="J195" s="6"/>
      <c r="K195" s="6">
        <v>-1</v>
      </c>
      <c r="L195" s="6"/>
      <c r="M195" s="6"/>
      <c r="N195" s="6"/>
      <c r="O195" s="6"/>
      <c r="P195" s="6"/>
      <c r="Q195" s="6"/>
    </row>
    <row r="196" spans="1:17" x14ac:dyDescent="0.3">
      <c r="A196" s="6"/>
      <c r="B196" s="6" t="s">
        <v>354</v>
      </c>
      <c r="C196" s="6"/>
      <c r="D196" s="6"/>
      <c r="E196" s="6"/>
      <c r="F196" s="6"/>
      <c r="G196" s="6"/>
      <c r="H196" s="6"/>
      <c r="I196" s="6"/>
      <c r="J196" s="6"/>
      <c r="K196" s="6"/>
      <c r="L196" s="6">
        <v>-1</v>
      </c>
      <c r="M196" s="6"/>
      <c r="N196" s="6"/>
      <c r="O196" s="6"/>
      <c r="P196" s="6"/>
      <c r="Q196" s="6"/>
    </row>
    <row r="197" spans="1:17" x14ac:dyDescent="0.3">
      <c r="A197" s="6"/>
      <c r="B197" s="6" t="s">
        <v>354</v>
      </c>
      <c r="C197" s="6"/>
      <c r="D197" s="6"/>
      <c r="E197" s="6"/>
      <c r="F197" s="6"/>
      <c r="G197" s="6"/>
      <c r="H197" s="6"/>
      <c r="I197" s="6"/>
      <c r="J197" s="6"/>
      <c r="K197" s="6"/>
      <c r="L197" s="6">
        <v>-1</v>
      </c>
      <c r="M197" s="6"/>
      <c r="N197" s="6"/>
      <c r="O197" s="6"/>
      <c r="P197" s="6"/>
      <c r="Q197" s="6"/>
    </row>
    <row r="198" spans="1:17" x14ac:dyDescent="0.3">
      <c r="A198" s="6" t="s">
        <v>1853</v>
      </c>
      <c r="B198" s="6" t="s">
        <v>384</v>
      </c>
      <c r="C198" s="6"/>
      <c r="D198" s="6"/>
      <c r="E198" s="6"/>
      <c r="F198" s="6"/>
      <c r="G198" s="6"/>
      <c r="H198" s="6"/>
      <c r="I198" s="6"/>
      <c r="J198" s="6"/>
      <c r="K198" s="6"/>
      <c r="L198" s="6">
        <v>9</v>
      </c>
      <c r="M198" s="6"/>
      <c r="N198" s="6"/>
      <c r="O198" s="6">
        <v>6</v>
      </c>
      <c r="P198" s="6"/>
      <c r="Q198" s="6"/>
    </row>
    <row r="199" spans="1:17" x14ac:dyDescent="0.3">
      <c r="A199" s="6" t="s">
        <v>1236</v>
      </c>
      <c r="B199" s="6" t="s">
        <v>384</v>
      </c>
      <c r="C199" s="6"/>
      <c r="D199" s="6"/>
      <c r="E199" s="6"/>
      <c r="F199" s="6"/>
      <c r="G199" s="6"/>
      <c r="H199" s="6"/>
      <c r="I199" s="6"/>
      <c r="J199" s="6"/>
      <c r="K199" s="6"/>
      <c r="L199" s="6">
        <v>13</v>
      </c>
      <c r="M199" s="6"/>
      <c r="N199" s="6"/>
      <c r="O199" s="6"/>
      <c r="P199" s="6"/>
      <c r="Q199" s="6"/>
    </row>
    <row r="200" spans="1:17" x14ac:dyDescent="0.3">
      <c r="A200" s="6"/>
      <c r="B200" s="6" t="s">
        <v>422</v>
      </c>
      <c r="C200" s="6"/>
      <c r="D200" s="6"/>
      <c r="E200" s="6"/>
      <c r="F200" s="6"/>
      <c r="G200" s="6"/>
      <c r="H200" s="6"/>
      <c r="I200" s="6"/>
      <c r="J200" s="6"/>
      <c r="K200" s="6"/>
      <c r="L200" s="6">
        <v>-1</v>
      </c>
      <c r="M200" s="6"/>
      <c r="N200" s="6"/>
      <c r="O200" s="6"/>
      <c r="P200" s="6"/>
      <c r="Q200" s="6"/>
    </row>
    <row r="201" spans="1:17" x14ac:dyDescent="0.3">
      <c r="A201" s="6"/>
      <c r="B201" s="6" t="s">
        <v>422</v>
      </c>
      <c r="C201" s="6"/>
      <c r="D201" s="6"/>
      <c r="E201" s="6"/>
      <c r="F201" s="6"/>
      <c r="G201" s="6"/>
      <c r="H201" s="6"/>
      <c r="I201" s="6"/>
      <c r="J201" s="6"/>
      <c r="K201" s="6"/>
      <c r="L201" s="6">
        <v>-1</v>
      </c>
      <c r="M201" s="6"/>
      <c r="N201" s="6"/>
      <c r="O201" s="6"/>
      <c r="P201" s="6"/>
      <c r="Q201" s="6"/>
    </row>
    <row r="202" spans="1:17" x14ac:dyDescent="0.3">
      <c r="A202" s="6"/>
      <c r="B202" s="6" t="s">
        <v>332</v>
      </c>
      <c r="C202" s="6"/>
      <c r="D202" s="6"/>
      <c r="E202" s="6"/>
      <c r="F202" s="6"/>
      <c r="G202" s="6"/>
      <c r="H202" s="6"/>
      <c r="I202" s="6"/>
      <c r="J202" s="6"/>
      <c r="K202" s="6"/>
      <c r="L202" s="6">
        <v>-1</v>
      </c>
      <c r="M202" s="6"/>
      <c r="N202" s="6"/>
      <c r="O202" s="6"/>
      <c r="P202" s="6"/>
      <c r="Q202" s="6"/>
    </row>
    <row r="203" spans="1:17" x14ac:dyDescent="0.3">
      <c r="A203" s="6"/>
      <c r="B203" s="6" t="s">
        <v>332</v>
      </c>
      <c r="C203" s="6"/>
      <c r="D203" s="6"/>
      <c r="E203" s="6"/>
      <c r="F203" s="6"/>
      <c r="G203" s="6"/>
      <c r="H203" s="6"/>
      <c r="I203" s="6"/>
      <c r="J203" s="6"/>
      <c r="K203" s="6"/>
      <c r="L203" s="6">
        <v>-1</v>
      </c>
      <c r="M203" s="6"/>
      <c r="N203" s="6"/>
      <c r="O203" s="6"/>
      <c r="P203" s="6"/>
      <c r="Q203" s="6"/>
    </row>
    <row r="204" spans="1:17" x14ac:dyDescent="0.3">
      <c r="A204" s="6"/>
      <c r="B204" s="6" t="s">
        <v>328</v>
      </c>
      <c r="C204" s="6"/>
      <c r="D204" s="6"/>
      <c r="E204" s="6"/>
      <c r="F204" s="6"/>
      <c r="G204" s="6"/>
      <c r="H204" s="6"/>
      <c r="I204" s="6"/>
      <c r="J204" s="6"/>
      <c r="K204" s="6"/>
      <c r="L204" s="6">
        <v>-1</v>
      </c>
      <c r="M204" s="6"/>
      <c r="N204" s="6"/>
      <c r="O204" s="6"/>
      <c r="P204" s="6"/>
      <c r="Q204" s="6"/>
    </row>
    <row r="205" spans="1:17" x14ac:dyDescent="0.3">
      <c r="A205" s="6"/>
      <c r="B205" s="6" t="s">
        <v>442</v>
      </c>
      <c r="C205" s="6"/>
      <c r="D205" s="6"/>
      <c r="E205" s="6"/>
      <c r="F205" s="6"/>
      <c r="G205" s="6"/>
      <c r="H205" s="6"/>
      <c r="I205" s="6"/>
      <c r="J205" s="6"/>
      <c r="K205" s="6"/>
      <c r="L205" s="6">
        <v>-1</v>
      </c>
      <c r="M205" s="6"/>
      <c r="N205" s="6"/>
      <c r="O205" s="6"/>
      <c r="P205" s="6"/>
      <c r="Q205" s="6"/>
    </row>
    <row r="206" spans="1:17" x14ac:dyDescent="0.3">
      <c r="A206" s="6"/>
      <c r="B206" s="6" t="s">
        <v>414</v>
      </c>
      <c r="C206" s="6"/>
      <c r="D206" s="6"/>
      <c r="E206" s="6"/>
      <c r="F206" s="6"/>
      <c r="G206" s="6"/>
      <c r="H206" s="6"/>
      <c r="I206" s="6"/>
      <c r="J206" s="6"/>
      <c r="K206" s="6"/>
      <c r="L206" s="6">
        <v>-1</v>
      </c>
      <c r="M206" s="6"/>
      <c r="N206" s="6"/>
      <c r="O206" s="6"/>
      <c r="P206" s="6"/>
      <c r="Q206" s="6"/>
    </row>
    <row r="207" spans="1:17" x14ac:dyDescent="0.3">
      <c r="A207" s="6"/>
      <c r="B207" s="6" t="s">
        <v>596</v>
      </c>
      <c r="C207" s="6"/>
      <c r="D207" s="6"/>
      <c r="E207" s="6"/>
      <c r="F207" s="6"/>
      <c r="G207" s="6"/>
      <c r="H207" s="6"/>
      <c r="I207" s="6"/>
      <c r="J207" s="6"/>
      <c r="K207" s="6"/>
      <c r="L207" s="6">
        <v>-1</v>
      </c>
      <c r="M207" s="6"/>
      <c r="N207" s="6"/>
      <c r="O207" s="6"/>
      <c r="P207" s="6"/>
      <c r="Q207" s="6"/>
    </row>
    <row r="208" spans="1:17" x14ac:dyDescent="0.3">
      <c r="A208" s="6"/>
      <c r="B208" s="6" t="s">
        <v>356</v>
      </c>
      <c r="C208" s="6"/>
      <c r="D208" s="6"/>
      <c r="E208" s="6"/>
      <c r="F208" s="6"/>
      <c r="G208" s="6"/>
      <c r="H208" s="6"/>
      <c r="I208" s="6"/>
      <c r="J208" s="6"/>
      <c r="K208" s="6"/>
      <c r="L208" s="6">
        <v>-1</v>
      </c>
      <c r="M208" s="6"/>
      <c r="N208" s="6"/>
      <c r="O208" s="6"/>
      <c r="P208" s="6"/>
      <c r="Q208" s="6"/>
    </row>
    <row r="209" spans="1:17" x14ac:dyDescent="0.3">
      <c r="A209" s="6"/>
      <c r="B209" s="6" t="s">
        <v>428</v>
      </c>
      <c r="C209" s="6"/>
      <c r="D209" s="6"/>
      <c r="E209" s="6"/>
      <c r="F209" s="6"/>
      <c r="G209" s="6"/>
      <c r="H209" s="6"/>
      <c r="I209" s="6"/>
      <c r="J209" s="6"/>
      <c r="K209" s="6"/>
      <c r="L209" s="6">
        <v>-1</v>
      </c>
      <c r="M209" s="6"/>
      <c r="N209" s="6"/>
      <c r="O209" s="6"/>
      <c r="P209" s="6"/>
      <c r="Q209" s="6"/>
    </row>
    <row r="210" spans="1:17" x14ac:dyDescent="0.3">
      <c r="A210" s="6"/>
      <c r="B210" s="6" t="s">
        <v>620</v>
      </c>
      <c r="C210" s="6"/>
      <c r="D210" s="6"/>
      <c r="E210" s="6"/>
      <c r="F210" s="6"/>
      <c r="G210" s="6"/>
      <c r="H210" s="6"/>
      <c r="I210" s="6"/>
      <c r="J210" s="6"/>
      <c r="K210" s="6"/>
      <c r="L210" s="6">
        <v>-1</v>
      </c>
      <c r="M210" s="6"/>
      <c r="N210" s="6"/>
      <c r="O210" s="6"/>
      <c r="P210" s="6"/>
      <c r="Q210" s="6"/>
    </row>
    <row r="211" spans="1:17" x14ac:dyDescent="0.3">
      <c r="A211" s="6"/>
      <c r="B211" s="6" t="s">
        <v>412</v>
      </c>
      <c r="C211" s="6"/>
      <c r="D211" s="6"/>
      <c r="E211" s="6"/>
      <c r="F211" s="6"/>
      <c r="G211" s="6"/>
      <c r="H211" s="6"/>
      <c r="I211" s="6"/>
      <c r="J211" s="6"/>
      <c r="K211" s="6"/>
      <c r="L211" s="6">
        <v>-1</v>
      </c>
      <c r="M211" s="6"/>
      <c r="N211" s="6"/>
      <c r="O211" s="6"/>
      <c r="P211" s="6"/>
      <c r="Q211" s="6"/>
    </row>
    <row r="212" spans="1:17" x14ac:dyDescent="0.3">
      <c r="A212" s="6"/>
      <c r="B212" s="6" t="s">
        <v>518</v>
      </c>
      <c r="C212" s="6"/>
      <c r="D212" s="6"/>
      <c r="E212" s="6"/>
      <c r="F212" s="6"/>
      <c r="G212" s="6"/>
      <c r="H212" s="6"/>
      <c r="I212" s="6"/>
      <c r="J212" s="6"/>
      <c r="K212" s="6"/>
      <c r="L212" s="6">
        <v>-1</v>
      </c>
      <c r="M212" s="6"/>
      <c r="N212" s="6"/>
      <c r="O212" s="6"/>
      <c r="P212" s="6"/>
      <c r="Q212" s="6"/>
    </row>
    <row r="213" spans="1:17" x14ac:dyDescent="0.3">
      <c r="A213" s="6"/>
      <c r="B213" s="6" t="s">
        <v>446</v>
      </c>
      <c r="C213" s="6"/>
      <c r="D213" s="6"/>
      <c r="E213" s="6"/>
      <c r="F213" s="6"/>
      <c r="G213" s="6"/>
      <c r="H213" s="6"/>
      <c r="I213" s="6"/>
      <c r="J213" s="6"/>
      <c r="K213" s="6"/>
      <c r="L213" s="6">
        <v>-1</v>
      </c>
      <c r="M213" s="6"/>
      <c r="N213" s="6"/>
      <c r="O213" s="6"/>
      <c r="P213" s="6"/>
      <c r="Q213" s="6"/>
    </row>
    <row r="214" spans="1:17" x14ac:dyDescent="0.3">
      <c r="A214" s="6"/>
      <c r="B214" s="6" t="s">
        <v>330</v>
      </c>
      <c r="C214" s="6"/>
      <c r="D214" s="6"/>
      <c r="E214" s="6"/>
      <c r="F214" s="6"/>
      <c r="G214" s="6"/>
      <c r="H214" s="6"/>
      <c r="I214" s="6"/>
      <c r="J214" s="6"/>
      <c r="K214" s="6"/>
      <c r="L214" s="6">
        <v>-1</v>
      </c>
      <c r="M214" s="6"/>
      <c r="N214" s="6"/>
      <c r="O214" s="6"/>
      <c r="P214" s="6"/>
      <c r="Q214" s="6"/>
    </row>
    <row r="215" spans="1:17" x14ac:dyDescent="0.3">
      <c r="A215" s="6"/>
      <c r="B215" s="6" t="s">
        <v>338</v>
      </c>
      <c r="C215" s="6"/>
      <c r="D215" s="6"/>
      <c r="E215" s="6"/>
      <c r="F215" s="6"/>
      <c r="G215" s="6"/>
      <c r="H215" s="6"/>
      <c r="I215" s="6"/>
      <c r="J215" s="6"/>
      <c r="K215" s="6"/>
      <c r="L215" s="6">
        <v>-1</v>
      </c>
      <c r="M215" s="6"/>
      <c r="N215" s="6"/>
      <c r="O215" s="6"/>
      <c r="P215" s="6"/>
      <c r="Q215" s="6"/>
    </row>
    <row r="216" spans="1:17" x14ac:dyDescent="0.3">
      <c r="A216" s="6"/>
      <c r="B216" s="6" t="s">
        <v>444</v>
      </c>
      <c r="C216" s="6"/>
      <c r="D216" s="6"/>
      <c r="E216" s="6"/>
      <c r="F216" s="6"/>
      <c r="G216" s="6"/>
      <c r="H216" s="6"/>
      <c r="I216" s="6"/>
      <c r="J216" s="6"/>
      <c r="K216" s="6"/>
      <c r="L216" s="6">
        <v>-1</v>
      </c>
      <c r="M216" s="6"/>
      <c r="N216" s="6"/>
      <c r="O216" s="6"/>
      <c r="P216" s="6"/>
      <c r="Q216" s="6"/>
    </row>
    <row r="217" spans="1:17" x14ac:dyDescent="0.3">
      <c r="A217" s="6" t="s">
        <v>2421</v>
      </c>
      <c r="B217" s="6" t="s">
        <v>354</v>
      </c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>
        <v>6</v>
      </c>
      <c r="N217" s="6"/>
      <c r="O217" s="6"/>
      <c r="P217" s="6"/>
      <c r="Q217" s="6"/>
    </row>
    <row r="218" spans="1:17" x14ac:dyDescent="0.3">
      <c r="A218" s="6"/>
      <c r="B218" s="6" t="s">
        <v>354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>
        <v>-1</v>
      </c>
      <c r="N218" s="6"/>
      <c r="O218" s="6"/>
      <c r="P218" s="6"/>
      <c r="Q218" s="6"/>
    </row>
    <row r="219" spans="1:17" x14ac:dyDescent="0.3">
      <c r="A219" s="6" t="s">
        <v>2189</v>
      </c>
      <c r="B219" s="6" t="s">
        <v>384</v>
      </c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>
        <v>24</v>
      </c>
      <c r="N219" s="6"/>
      <c r="O219" s="6"/>
      <c r="P219" s="6"/>
      <c r="Q219" s="6"/>
    </row>
    <row r="220" spans="1:17" x14ac:dyDescent="0.3">
      <c r="A220" s="6"/>
      <c r="B220" s="6" t="s">
        <v>328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>
        <v>-1</v>
      </c>
      <c r="N220" s="6"/>
      <c r="O220" s="6"/>
      <c r="P220" s="6"/>
      <c r="Q220" s="6"/>
    </row>
    <row r="221" spans="1:17" x14ac:dyDescent="0.3">
      <c r="A221" s="6"/>
      <c r="B221" s="6" t="s">
        <v>328</v>
      </c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>
        <v>-1</v>
      </c>
      <c r="N221" s="6"/>
      <c r="O221" s="6"/>
      <c r="P221" s="6"/>
      <c r="Q221" s="6"/>
    </row>
    <row r="222" spans="1:17" x14ac:dyDescent="0.3">
      <c r="A222" s="6"/>
      <c r="B222" s="6" t="s">
        <v>342</v>
      </c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>
        <v>-1</v>
      </c>
      <c r="N222" s="6"/>
      <c r="O222" s="6"/>
      <c r="P222" s="6"/>
      <c r="Q222" s="6"/>
    </row>
    <row r="223" spans="1:17" x14ac:dyDescent="0.3">
      <c r="A223" s="6"/>
      <c r="B223" s="6" t="s">
        <v>342</v>
      </c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>
        <v>-1</v>
      </c>
      <c r="N223" s="6"/>
      <c r="O223" s="6"/>
      <c r="P223" s="6"/>
      <c r="Q223" s="6"/>
    </row>
    <row r="224" spans="1:17" x14ac:dyDescent="0.3">
      <c r="A224" s="6"/>
      <c r="B224" s="6" t="s">
        <v>356</v>
      </c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>
        <v>-1</v>
      </c>
      <c r="N224" s="6"/>
      <c r="O224" s="6"/>
      <c r="P224" s="6"/>
      <c r="Q224" s="6"/>
    </row>
    <row r="225" spans="1:17" x14ac:dyDescent="0.3">
      <c r="A225" s="6"/>
      <c r="B225" s="6" t="s">
        <v>356</v>
      </c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>
        <v>-1</v>
      </c>
      <c r="N225" s="6"/>
      <c r="O225" s="6"/>
      <c r="P225" s="6"/>
      <c r="Q225" s="6"/>
    </row>
    <row r="226" spans="1:17" x14ac:dyDescent="0.3">
      <c r="A226" s="6"/>
      <c r="B226" s="6" t="s">
        <v>428</v>
      </c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>
        <v>-1</v>
      </c>
      <c r="N226" s="6"/>
      <c r="O226" s="6"/>
      <c r="P226" s="6"/>
      <c r="Q226" s="6"/>
    </row>
    <row r="227" spans="1:17" x14ac:dyDescent="0.3">
      <c r="A227" s="6" t="s">
        <v>4046</v>
      </c>
      <c r="B227" s="6" t="s">
        <v>428</v>
      </c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>
        <v>12</v>
      </c>
      <c r="N227" s="6"/>
      <c r="O227" s="6"/>
      <c r="P227" s="6"/>
      <c r="Q227" s="6"/>
    </row>
    <row r="228" spans="1:17" x14ac:dyDescent="0.3">
      <c r="A228" s="6"/>
      <c r="B228" s="6" t="s">
        <v>332</v>
      </c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>
        <v>-1</v>
      </c>
      <c r="N228" s="6"/>
      <c r="O228" s="6"/>
      <c r="P228" s="6"/>
      <c r="Q228" s="6"/>
    </row>
    <row r="229" spans="1:17" x14ac:dyDescent="0.3">
      <c r="A229" s="6"/>
      <c r="B229" s="6" t="s">
        <v>332</v>
      </c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>
        <v>-1</v>
      </c>
      <c r="N229" s="6"/>
      <c r="O229" s="6"/>
      <c r="P229" s="6"/>
      <c r="Q229" s="6"/>
    </row>
    <row r="230" spans="1:17" x14ac:dyDescent="0.3">
      <c r="A230" s="6"/>
      <c r="B230" s="6" t="s">
        <v>520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>
        <v>-1</v>
      </c>
      <c r="N230" s="6"/>
      <c r="O230" s="6"/>
      <c r="P230" s="6"/>
      <c r="Q230" s="6"/>
    </row>
    <row r="231" spans="1:17" x14ac:dyDescent="0.3">
      <c r="A231" s="6"/>
      <c r="B231" s="6" t="s">
        <v>530</v>
      </c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>
        <v>-1</v>
      </c>
      <c r="N231" s="6"/>
      <c r="O231" s="6"/>
      <c r="P231" s="6"/>
      <c r="Q231" s="6"/>
    </row>
    <row r="232" spans="1:17" x14ac:dyDescent="0.3">
      <c r="A232" s="6"/>
      <c r="B232" s="6" t="s">
        <v>442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>
        <v>-1</v>
      </c>
      <c r="N232" s="6"/>
      <c r="O232" s="6"/>
      <c r="P232" s="6"/>
      <c r="Q232" s="6"/>
    </row>
    <row r="233" spans="1:17" x14ac:dyDescent="0.3">
      <c r="A233" s="6" t="s">
        <v>3440</v>
      </c>
      <c r="B233" s="6" t="s">
        <v>334</v>
      </c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>
        <v>4</v>
      </c>
      <c r="N233" s="6"/>
      <c r="O233" s="6"/>
      <c r="P233" s="6"/>
      <c r="Q233" s="6"/>
    </row>
    <row r="234" spans="1:17" x14ac:dyDescent="0.3">
      <c r="A234" s="6" t="s">
        <v>1673</v>
      </c>
      <c r="B234" s="6" t="s">
        <v>402</v>
      </c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>
        <v>16</v>
      </c>
      <c r="N234" s="6">
        <v>9</v>
      </c>
      <c r="O234" s="6"/>
      <c r="P234" s="6"/>
      <c r="Q234" s="6"/>
    </row>
    <row r="235" spans="1:17" x14ac:dyDescent="0.3">
      <c r="A235" s="6"/>
      <c r="B235" s="6" t="s">
        <v>412</v>
      </c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>
        <v>-1</v>
      </c>
      <c r="N235" s="6"/>
      <c r="O235" s="6"/>
      <c r="P235" s="6"/>
      <c r="Q235" s="6"/>
    </row>
    <row r="236" spans="1:17" x14ac:dyDescent="0.3">
      <c r="A236" s="6"/>
      <c r="B236" s="6" t="s">
        <v>474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>
        <v>-1</v>
      </c>
      <c r="N236" s="6"/>
      <c r="O236" s="6"/>
      <c r="P236" s="6"/>
      <c r="Q236" s="6"/>
    </row>
    <row r="237" spans="1:17" x14ac:dyDescent="0.3">
      <c r="A237" s="6"/>
      <c r="B237" s="6" t="s">
        <v>422</v>
      </c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>
        <v>-1</v>
      </c>
      <c r="N237" s="6"/>
      <c r="O237" s="6"/>
      <c r="P237" s="6"/>
      <c r="Q237" s="6"/>
    </row>
    <row r="238" spans="1:17" x14ac:dyDescent="0.3">
      <c r="A238" s="6"/>
      <c r="B238" s="6" t="s">
        <v>338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>
        <v>-1</v>
      </c>
      <c r="N238" s="6"/>
      <c r="O238" s="6"/>
      <c r="P238" s="6"/>
      <c r="Q238" s="6"/>
    </row>
    <row r="239" spans="1:17" x14ac:dyDescent="0.3">
      <c r="A239" s="6"/>
      <c r="B239" s="6" t="s">
        <v>414</v>
      </c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>
        <v>-1</v>
      </c>
      <c r="N239" s="6"/>
      <c r="O239" s="6"/>
      <c r="P239" s="6"/>
      <c r="Q239" s="6"/>
    </row>
    <row r="240" spans="1:17" x14ac:dyDescent="0.3">
      <c r="A240" s="6" t="s">
        <v>1643</v>
      </c>
      <c r="B240" s="6" t="s">
        <v>596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>
        <v>22</v>
      </c>
      <c r="N240" s="6"/>
      <c r="O240" s="6">
        <v>13</v>
      </c>
      <c r="P240" s="6">
        <v>8</v>
      </c>
      <c r="Q240" s="6"/>
    </row>
    <row r="241" spans="1:17" x14ac:dyDescent="0.3">
      <c r="A241" s="6" t="s">
        <v>2809</v>
      </c>
      <c r="B241" s="6" t="s">
        <v>330</v>
      </c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>
        <v>25</v>
      </c>
      <c r="N241" s="6">
        <v>16</v>
      </c>
      <c r="O241" s="6"/>
      <c r="P241" s="6"/>
      <c r="Q241" s="6"/>
    </row>
    <row r="242" spans="1:17" x14ac:dyDescent="0.3">
      <c r="A242" s="6" t="s">
        <v>2366</v>
      </c>
      <c r="B242" s="6" t="s">
        <v>354</v>
      </c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>
        <v>7</v>
      </c>
      <c r="O242" s="6"/>
      <c r="P242" s="6"/>
      <c r="Q242" s="6"/>
    </row>
    <row r="243" spans="1:17" x14ac:dyDescent="0.3">
      <c r="A243" s="6"/>
      <c r="B243" s="6" t="s">
        <v>354</v>
      </c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>
        <v>-1</v>
      </c>
      <c r="O243" s="6"/>
      <c r="P243" s="6"/>
      <c r="Q243" s="6"/>
    </row>
    <row r="244" spans="1:17" x14ac:dyDescent="0.3">
      <c r="A244" s="6"/>
      <c r="B244" s="6" t="s">
        <v>328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>
        <v>-1</v>
      </c>
      <c r="O244" s="6"/>
      <c r="P244" s="6"/>
      <c r="Q244" s="6"/>
    </row>
    <row r="245" spans="1:17" x14ac:dyDescent="0.3">
      <c r="A245" s="6"/>
      <c r="B245" s="6" t="s">
        <v>328</v>
      </c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>
        <v>-1</v>
      </c>
      <c r="O245" s="6"/>
      <c r="P245" s="6"/>
      <c r="Q245" s="6"/>
    </row>
    <row r="246" spans="1:17" x14ac:dyDescent="0.3">
      <c r="A246" s="6" t="s">
        <v>1513</v>
      </c>
      <c r="B246" s="6" t="s">
        <v>402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>
        <v>8</v>
      </c>
      <c r="O246" s="6"/>
      <c r="P246" s="6"/>
      <c r="Q246" s="6"/>
    </row>
    <row r="247" spans="1:17" x14ac:dyDescent="0.3">
      <c r="A247" s="6" t="s">
        <v>4055</v>
      </c>
      <c r="B247" s="6" t="s">
        <v>428</v>
      </c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>
        <v>13</v>
      </c>
      <c r="O247" s="6"/>
      <c r="P247" s="6"/>
      <c r="Q247" s="6"/>
    </row>
    <row r="248" spans="1:17" x14ac:dyDescent="0.3">
      <c r="A248" s="6"/>
      <c r="B248" s="6" t="s">
        <v>428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>
        <v>-1</v>
      </c>
      <c r="O248" s="6"/>
      <c r="P248" s="6"/>
      <c r="Q248" s="6"/>
    </row>
    <row r="249" spans="1:17" x14ac:dyDescent="0.3">
      <c r="A249" s="6"/>
      <c r="B249" s="6" t="s">
        <v>332</v>
      </c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>
        <v>-1</v>
      </c>
      <c r="O249" s="6"/>
      <c r="P249" s="6"/>
      <c r="Q249" s="6"/>
    </row>
    <row r="250" spans="1:17" x14ac:dyDescent="0.3">
      <c r="A250" s="6"/>
      <c r="B250" s="6" t="s">
        <v>530</v>
      </c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>
        <v>-1</v>
      </c>
      <c r="O250" s="6"/>
      <c r="P250" s="6"/>
      <c r="Q250" s="6"/>
    </row>
    <row r="251" spans="1:17" x14ac:dyDescent="0.3">
      <c r="A251" s="6"/>
      <c r="B251" s="6" t="s">
        <v>384</v>
      </c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>
        <v>-1</v>
      </c>
      <c r="O251" s="6"/>
      <c r="P251" s="6"/>
      <c r="Q251" s="6"/>
    </row>
    <row r="252" spans="1:17" x14ac:dyDescent="0.3">
      <c r="A252" s="6"/>
      <c r="B252" s="6" t="s">
        <v>414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>
        <v>-1</v>
      </c>
      <c r="O252" s="6"/>
      <c r="P252" s="6"/>
      <c r="Q252" s="6"/>
    </row>
    <row r="253" spans="1:17" x14ac:dyDescent="0.3">
      <c r="A253" s="6"/>
      <c r="B253" s="6" t="s">
        <v>406</v>
      </c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>
        <v>-1</v>
      </c>
      <c r="O253" s="6"/>
      <c r="P253" s="6"/>
      <c r="Q253" s="6"/>
    </row>
    <row r="254" spans="1:17" x14ac:dyDescent="0.3">
      <c r="A254" s="6"/>
      <c r="B254" s="6" t="s">
        <v>342</v>
      </c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>
        <v>-1</v>
      </c>
      <c r="O254" s="6"/>
      <c r="P254" s="6"/>
      <c r="Q254" s="6"/>
    </row>
    <row r="255" spans="1:17" x14ac:dyDescent="0.3">
      <c r="A255" s="6"/>
      <c r="B255" s="6" t="s">
        <v>690</v>
      </c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>
        <v>-1</v>
      </c>
      <c r="O255" s="6"/>
      <c r="P255" s="6"/>
      <c r="Q255" s="6"/>
    </row>
    <row r="256" spans="1:17" x14ac:dyDescent="0.3">
      <c r="A256" s="6"/>
      <c r="B256" s="6" t="s">
        <v>354</v>
      </c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>
        <v>-1</v>
      </c>
      <c r="P256" s="6"/>
      <c r="Q256" s="6"/>
    </row>
    <row r="257" spans="1:17" x14ac:dyDescent="0.3">
      <c r="A257" s="6"/>
      <c r="B257" s="6" t="s">
        <v>354</v>
      </c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>
        <v>-1</v>
      </c>
      <c r="P257" s="6"/>
      <c r="Q257" s="6"/>
    </row>
    <row r="258" spans="1:17" x14ac:dyDescent="0.3">
      <c r="A258" s="6"/>
      <c r="B258" s="6" t="s">
        <v>384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>
        <v>-1</v>
      </c>
      <c r="P258" s="6"/>
      <c r="Q258" s="6"/>
    </row>
    <row r="259" spans="1:17" x14ac:dyDescent="0.3">
      <c r="A259" s="6"/>
      <c r="B259" s="6" t="s">
        <v>328</v>
      </c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>
        <v>-1</v>
      </c>
      <c r="P259" s="6"/>
      <c r="Q259" s="6"/>
    </row>
    <row r="260" spans="1:17" x14ac:dyDescent="0.3">
      <c r="A260" s="6"/>
      <c r="B260" s="6" t="s">
        <v>328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>
        <v>-1</v>
      </c>
      <c r="P260" s="6"/>
      <c r="Q260" s="6"/>
    </row>
    <row r="261" spans="1:17" x14ac:dyDescent="0.3">
      <c r="A261" s="6"/>
      <c r="B261" s="6" t="s">
        <v>402</v>
      </c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>
        <v>-1</v>
      </c>
      <c r="P261" s="6"/>
      <c r="Q261" s="6"/>
    </row>
    <row r="262" spans="1:17" x14ac:dyDescent="0.3">
      <c r="A262" s="6" t="s">
        <v>1667</v>
      </c>
      <c r="B262" s="6" t="s">
        <v>402</v>
      </c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>
        <v>5</v>
      </c>
      <c r="P262" s="6"/>
      <c r="Q262" s="6"/>
    </row>
    <row r="263" spans="1:17" x14ac:dyDescent="0.3">
      <c r="A263" s="6" t="s">
        <v>3744</v>
      </c>
      <c r="B263" s="6" t="s">
        <v>428</v>
      </c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>
        <v>14</v>
      </c>
      <c r="P263" s="6"/>
      <c r="Q263" s="6"/>
    </row>
    <row r="264" spans="1:17" x14ac:dyDescent="0.3">
      <c r="A264" s="6"/>
      <c r="B264" s="6" t="s">
        <v>428</v>
      </c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>
        <v>-1</v>
      </c>
      <c r="P264" s="6"/>
      <c r="Q264" s="6"/>
    </row>
    <row r="265" spans="1:17" x14ac:dyDescent="0.3">
      <c r="A265" s="6"/>
      <c r="B265" s="6" t="s">
        <v>332</v>
      </c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>
        <v>-1</v>
      </c>
      <c r="P265" s="6"/>
      <c r="Q265" s="6"/>
    </row>
    <row r="266" spans="1:17" x14ac:dyDescent="0.3">
      <c r="A266" s="6"/>
      <c r="B266" s="6" t="s">
        <v>332</v>
      </c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>
        <v>-1</v>
      </c>
      <c r="P266" s="6"/>
      <c r="Q266" s="6"/>
    </row>
    <row r="267" spans="1:17" x14ac:dyDescent="0.3">
      <c r="A267" s="6"/>
      <c r="B267" s="6" t="s">
        <v>442</v>
      </c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>
        <v>-1</v>
      </c>
      <c r="P267" s="6"/>
      <c r="Q267" s="6"/>
    </row>
    <row r="268" spans="1:17" x14ac:dyDescent="0.3">
      <c r="A268" s="6"/>
      <c r="B268" s="6" t="s">
        <v>344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>
        <v>-1</v>
      </c>
      <c r="P268" s="6"/>
      <c r="Q268" s="6"/>
    </row>
    <row r="269" spans="1:17" x14ac:dyDescent="0.3">
      <c r="A269" s="6"/>
      <c r="B269" s="6" t="s">
        <v>406</v>
      </c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>
        <v>-1</v>
      </c>
      <c r="P269" s="6"/>
      <c r="Q269" s="6"/>
    </row>
    <row r="270" spans="1:17" x14ac:dyDescent="0.3">
      <c r="A270" s="6"/>
      <c r="B270" s="6" t="s">
        <v>356</v>
      </c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>
        <v>-1</v>
      </c>
      <c r="P270" s="6"/>
      <c r="Q270" s="6"/>
    </row>
    <row r="271" spans="1:17" x14ac:dyDescent="0.3">
      <c r="A271" s="6"/>
      <c r="B271" s="6" t="s">
        <v>422</v>
      </c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>
        <v>-1</v>
      </c>
      <c r="P271" s="6"/>
      <c r="Q271" s="6"/>
    </row>
    <row r="272" spans="1:17" x14ac:dyDescent="0.3">
      <c r="A272" s="6"/>
      <c r="B272" s="6" t="s">
        <v>700</v>
      </c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>
        <v>-1</v>
      </c>
      <c r="P272" s="6"/>
      <c r="Q272" s="6"/>
    </row>
    <row r="273" spans="1:17" x14ac:dyDescent="0.3">
      <c r="A273" s="6" t="s">
        <v>4570</v>
      </c>
      <c r="B273" s="6" t="s">
        <v>330</v>
      </c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>
        <v>15</v>
      </c>
      <c r="P273" s="6">
        <v>12</v>
      </c>
      <c r="Q273" s="6"/>
    </row>
    <row r="274" spans="1:17" x14ac:dyDescent="0.3">
      <c r="A274" s="6"/>
      <c r="B274" s="6" t="s">
        <v>354</v>
      </c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>
        <v>-1</v>
      </c>
      <c r="Q274" s="6"/>
    </row>
    <row r="275" spans="1:17" x14ac:dyDescent="0.3">
      <c r="A275" s="6"/>
      <c r="B275" s="6" t="s">
        <v>354</v>
      </c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>
        <v>-1</v>
      </c>
      <c r="Q275" s="6"/>
    </row>
    <row r="276" spans="1:17" x14ac:dyDescent="0.3">
      <c r="A276" s="6"/>
      <c r="B276" s="6" t="s">
        <v>384</v>
      </c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>
        <v>-1</v>
      </c>
      <c r="Q276" s="6"/>
    </row>
    <row r="277" spans="1:17" x14ac:dyDescent="0.3">
      <c r="A277" s="6"/>
      <c r="B277" s="6" t="s">
        <v>384</v>
      </c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>
        <v>-1</v>
      </c>
      <c r="Q277" s="6"/>
    </row>
    <row r="278" spans="1:17" x14ac:dyDescent="0.3">
      <c r="A278" s="6"/>
      <c r="B278" s="6" t="s">
        <v>402</v>
      </c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>
        <v>-1</v>
      </c>
      <c r="Q278" s="6"/>
    </row>
    <row r="279" spans="1:17" x14ac:dyDescent="0.3">
      <c r="A279" s="6" t="s">
        <v>4066</v>
      </c>
      <c r="B279" s="6" t="s">
        <v>428</v>
      </c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>
        <v>6</v>
      </c>
      <c r="Q279" s="6"/>
    </row>
    <row r="280" spans="1:17" x14ac:dyDescent="0.3">
      <c r="A280" s="6" t="s">
        <v>1765</v>
      </c>
      <c r="B280" s="6" t="s">
        <v>428</v>
      </c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>
        <v>13</v>
      </c>
      <c r="Q280" s="6"/>
    </row>
    <row r="281" spans="1:17" x14ac:dyDescent="0.3">
      <c r="A281" s="6"/>
      <c r="B281" s="6" t="s">
        <v>332</v>
      </c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>
        <v>-1</v>
      </c>
      <c r="Q281" s="6"/>
    </row>
    <row r="282" spans="1:17" x14ac:dyDescent="0.3">
      <c r="A282" s="6" t="s">
        <v>1865</v>
      </c>
      <c r="B282" s="6" t="s">
        <v>332</v>
      </c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>
        <v>3</v>
      </c>
      <c r="Q282" s="6"/>
    </row>
    <row r="283" spans="1:17" x14ac:dyDescent="0.3">
      <c r="A283" s="6"/>
      <c r="B283" s="6" t="s">
        <v>406</v>
      </c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>
        <v>-1</v>
      </c>
      <c r="Q283" s="6"/>
    </row>
    <row r="284" spans="1:17" x14ac:dyDescent="0.3">
      <c r="A284" s="6"/>
      <c r="B284" s="6" t="s">
        <v>356</v>
      </c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>
        <v>-1</v>
      </c>
      <c r="Q284" s="6"/>
    </row>
    <row r="285" spans="1:17" x14ac:dyDescent="0.3">
      <c r="A285" s="6"/>
      <c r="B285" s="6" t="s">
        <v>690</v>
      </c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>
        <v>-1</v>
      </c>
      <c r="Q285" s="6"/>
    </row>
    <row r="286" spans="1:17" x14ac:dyDescent="0.3">
      <c r="A286" s="6"/>
      <c r="B286" s="6" t="s">
        <v>334</v>
      </c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>
        <v>-1</v>
      </c>
    </row>
    <row r="287" spans="1:17" x14ac:dyDescent="0.3">
      <c r="A287" s="6"/>
      <c r="B287" s="6" t="s">
        <v>356</v>
      </c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>
        <v>-1</v>
      </c>
    </row>
    <row r="288" spans="1:17" x14ac:dyDescent="0.3">
      <c r="A288" s="6" t="s">
        <v>1792</v>
      </c>
      <c r="B288" s="6" t="s">
        <v>508</v>
      </c>
      <c r="C288" s="6">
        <v>31</v>
      </c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</row>
    <row r="289" spans="1:17" x14ac:dyDescent="0.3">
      <c r="A289" s="6"/>
      <c r="B289" s="6" t="s">
        <v>456</v>
      </c>
      <c r="C289" s="6">
        <v>-1</v>
      </c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</row>
    <row r="290" spans="1:17" x14ac:dyDescent="0.3">
      <c r="A290" s="6"/>
      <c r="B290" s="6" t="s">
        <v>510</v>
      </c>
      <c r="C290" s="6">
        <v>-1</v>
      </c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</row>
    <row r="291" spans="1:17" x14ac:dyDescent="0.3">
      <c r="A291" s="6"/>
      <c r="B291" s="6" t="s">
        <v>514</v>
      </c>
      <c r="C291" s="6">
        <v>-1</v>
      </c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</row>
    <row r="292" spans="1:17" x14ac:dyDescent="0.3">
      <c r="A292" s="6" t="s">
        <v>3262</v>
      </c>
      <c r="B292" s="6" t="s">
        <v>524</v>
      </c>
      <c r="C292" s="6">
        <v>44</v>
      </c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</row>
    <row r="293" spans="1:17" x14ac:dyDescent="0.3">
      <c r="A293" s="6"/>
      <c r="B293" s="6" t="s">
        <v>458</v>
      </c>
      <c r="C293" s="6">
        <v>-1</v>
      </c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</row>
    <row r="294" spans="1:17" x14ac:dyDescent="0.3">
      <c r="A294" s="6"/>
      <c r="B294" s="6" t="s">
        <v>536</v>
      </c>
      <c r="C294" s="6">
        <v>-1</v>
      </c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</row>
    <row r="295" spans="1:17" x14ac:dyDescent="0.3">
      <c r="A295" s="6" t="s">
        <v>1327</v>
      </c>
      <c r="B295" s="6" t="s">
        <v>538</v>
      </c>
      <c r="C295" s="6">
        <v>61</v>
      </c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</row>
    <row r="296" spans="1:17" x14ac:dyDescent="0.3">
      <c r="A296" s="6" t="s">
        <v>2616</v>
      </c>
      <c r="B296" s="6" t="s">
        <v>540</v>
      </c>
      <c r="C296" s="6">
        <v>57</v>
      </c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</row>
    <row r="297" spans="1:17" x14ac:dyDescent="0.3">
      <c r="A297" s="6"/>
      <c r="B297" s="6" t="s">
        <v>542</v>
      </c>
      <c r="C297" s="6">
        <v>-1</v>
      </c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</row>
    <row r="298" spans="1:17" x14ac:dyDescent="0.3">
      <c r="A298" s="6" t="s">
        <v>4627</v>
      </c>
      <c r="B298" s="6" t="s">
        <v>544</v>
      </c>
      <c r="C298" s="6">
        <v>65</v>
      </c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</row>
    <row r="299" spans="1:17" x14ac:dyDescent="0.3">
      <c r="A299" s="6"/>
      <c r="B299" s="6" t="s">
        <v>548</v>
      </c>
      <c r="C299" s="6">
        <v>-1</v>
      </c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</row>
    <row r="300" spans="1:17" x14ac:dyDescent="0.3">
      <c r="A300" s="6"/>
      <c r="B300" s="6" t="s">
        <v>552</v>
      </c>
      <c r="C300" s="6">
        <v>-1</v>
      </c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</row>
    <row r="301" spans="1:17" x14ac:dyDescent="0.3">
      <c r="A301" s="6"/>
      <c r="B301" s="6" t="s">
        <v>564</v>
      </c>
      <c r="C301" s="6">
        <v>-1</v>
      </c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</row>
    <row r="302" spans="1:17" x14ac:dyDescent="0.3">
      <c r="A302" s="6"/>
      <c r="B302" s="6" t="s">
        <v>484</v>
      </c>
      <c r="C302" s="6">
        <v>-1</v>
      </c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</row>
    <row r="303" spans="1:17" x14ac:dyDescent="0.3">
      <c r="A303" s="6"/>
      <c r="B303" s="6" t="s">
        <v>562</v>
      </c>
      <c r="C303" s="6">
        <v>-1</v>
      </c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</row>
    <row r="304" spans="1:17" x14ac:dyDescent="0.3">
      <c r="A304" s="6"/>
      <c r="B304" s="6" t="s">
        <v>566</v>
      </c>
      <c r="C304" s="6">
        <v>-1</v>
      </c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</row>
    <row r="305" spans="1:17" x14ac:dyDescent="0.3">
      <c r="A305" s="6" t="s">
        <v>4812</v>
      </c>
      <c r="B305" s="6" t="s">
        <v>400</v>
      </c>
      <c r="C305" s="6">
        <v>26</v>
      </c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</row>
    <row r="306" spans="1:17" x14ac:dyDescent="0.3">
      <c r="A306" s="6"/>
      <c r="B306" s="6" t="s">
        <v>570</v>
      </c>
      <c r="C306" s="6">
        <v>-1</v>
      </c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</row>
    <row r="307" spans="1:17" x14ac:dyDescent="0.3">
      <c r="A307" s="6"/>
      <c r="B307" s="6" t="s">
        <v>576</v>
      </c>
      <c r="C307" s="6">
        <v>-1</v>
      </c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</row>
    <row r="308" spans="1:17" x14ac:dyDescent="0.3">
      <c r="A308" s="6"/>
      <c r="B308" s="6" t="s">
        <v>638</v>
      </c>
      <c r="C308" s="6">
        <v>-1</v>
      </c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</row>
    <row r="309" spans="1:17" x14ac:dyDescent="0.3">
      <c r="A309" s="6" t="s">
        <v>1592</v>
      </c>
      <c r="B309" s="6" t="s">
        <v>420</v>
      </c>
      <c r="C309" s="6">
        <v>36</v>
      </c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</row>
    <row r="310" spans="1:17" x14ac:dyDescent="0.3">
      <c r="A310" s="6"/>
      <c r="B310" s="6" t="s">
        <v>578</v>
      </c>
      <c r="C310" s="6">
        <v>-1</v>
      </c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</row>
    <row r="311" spans="1:17" x14ac:dyDescent="0.3">
      <c r="A311" s="6"/>
      <c r="B311" s="6" t="s">
        <v>424</v>
      </c>
      <c r="C311" s="6">
        <v>-1</v>
      </c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</row>
    <row r="312" spans="1:17" x14ac:dyDescent="0.3">
      <c r="A312" s="6" t="s">
        <v>1568</v>
      </c>
      <c r="B312" s="6" t="s">
        <v>434</v>
      </c>
      <c r="C312" s="6">
        <v>68</v>
      </c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</row>
    <row r="313" spans="1:17" x14ac:dyDescent="0.3">
      <c r="A313" s="6" t="s">
        <v>1825</v>
      </c>
      <c r="B313" s="6" t="s">
        <v>588</v>
      </c>
      <c r="C313" s="6">
        <v>58</v>
      </c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</row>
    <row r="314" spans="1:17" x14ac:dyDescent="0.3">
      <c r="A314" s="6"/>
      <c r="B314" s="6" t="s">
        <v>600</v>
      </c>
      <c r="C314" s="6">
        <v>-1</v>
      </c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</row>
    <row r="315" spans="1:17" x14ac:dyDescent="0.3">
      <c r="A315" s="6"/>
      <c r="B315" s="6" t="s">
        <v>436</v>
      </c>
      <c r="C315" s="6">
        <v>-1</v>
      </c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</row>
    <row r="316" spans="1:17" x14ac:dyDescent="0.3">
      <c r="A316" s="6"/>
      <c r="B316" s="6" t="s">
        <v>608</v>
      </c>
      <c r="C316" s="6">
        <v>-1</v>
      </c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</row>
    <row r="317" spans="1:17" x14ac:dyDescent="0.3">
      <c r="A317" s="6"/>
      <c r="B317" s="6" t="s">
        <v>610</v>
      </c>
      <c r="C317" s="6">
        <v>-1</v>
      </c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</row>
    <row r="318" spans="1:17" x14ac:dyDescent="0.3">
      <c r="A318" s="6"/>
      <c r="B318" s="6" t="s">
        <v>626</v>
      </c>
      <c r="C318" s="6">
        <v>-1</v>
      </c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</row>
    <row r="319" spans="1:17" x14ac:dyDescent="0.3">
      <c r="A319" s="6"/>
      <c r="B319" s="6" t="s">
        <v>628</v>
      </c>
      <c r="C319" s="6">
        <v>-1</v>
      </c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</row>
    <row r="320" spans="1:17" x14ac:dyDescent="0.3">
      <c r="A320" s="6"/>
      <c r="B320" s="6" t="s">
        <v>486</v>
      </c>
      <c r="C320" s="6">
        <v>-1</v>
      </c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</row>
    <row r="321" spans="1:17" x14ac:dyDescent="0.3">
      <c r="A321" s="6"/>
      <c r="B321" s="6" t="s">
        <v>488</v>
      </c>
      <c r="C321" s="6">
        <v>-1</v>
      </c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</row>
    <row r="322" spans="1:17" x14ac:dyDescent="0.3">
      <c r="A322" s="6"/>
      <c r="B322" s="6" t="s">
        <v>632</v>
      </c>
      <c r="C322" s="6">
        <v>-1</v>
      </c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</row>
    <row r="323" spans="1:17" x14ac:dyDescent="0.3">
      <c r="A323" s="6"/>
      <c r="B323" s="6" t="s">
        <v>644</v>
      </c>
      <c r="C323" s="6">
        <v>-1</v>
      </c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</row>
    <row r="324" spans="1:17" x14ac:dyDescent="0.3">
      <c r="A324" s="6"/>
      <c r="B324" s="6" t="s">
        <v>656</v>
      </c>
      <c r="C324" s="6">
        <v>-1</v>
      </c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</row>
    <row r="325" spans="1:17" x14ac:dyDescent="0.3">
      <c r="A325" s="6"/>
      <c r="B325" s="6" t="s">
        <v>662</v>
      </c>
      <c r="C325" s="6">
        <v>-1</v>
      </c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</row>
    <row r="326" spans="1:17" x14ac:dyDescent="0.3">
      <c r="A326" s="6"/>
      <c r="B326" s="6" t="s">
        <v>666</v>
      </c>
      <c r="C326" s="6">
        <v>-1</v>
      </c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</row>
    <row r="327" spans="1:17" x14ac:dyDescent="0.3">
      <c r="A327" s="6"/>
      <c r="B327" s="6" t="s">
        <v>554</v>
      </c>
      <c r="C327" s="6">
        <v>-1</v>
      </c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</row>
    <row r="328" spans="1:17" x14ac:dyDescent="0.3">
      <c r="A328" s="6"/>
      <c r="B328" s="6" t="s">
        <v>676</v>
      </c>
      <c r="C328" s="6">
        <v>-1</v>
      </c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</row>
    <row r="329" spans="1:17" x14ac:dyDescent="0.3">
      <c r="A329" s="6"/>
      <c r="B329" s="6" t="s">
        <v>680</v>
      </c>
      <c r="C329" s="6">
        <v>-1</v>
      </c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</row>
    <row r="330" spans="1:17" x14ac:dyDescent="0.3">
      <c r="A330" s="6"/>
      <c r="B330" s="6" t="s">
        <v>682</v>
      </c>
      <c r="C330" s="6">
        <v>-1</v>
      </c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</row>
    <row r="331" spans="1:17" x14ac:dyDescent="0.3">
      <c r="A331" s="6"/>
      <c r="B331" s="6" t="s">
        <v>692</v>
      </c>
      <c r="C331" s="6">
        <v>-1</v>
      </c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</row>
    <row r="332" spans="1:17" x14ac:dyDescent="0.3">
      <c r="A332" s="6"/>
      <c r="B332" s="6" t="s">
        <v>452</v>
      </c>
      <c r="C332" s="6">
        <v>-1</v>
      </c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</row>
    <row r="333" spans="1:17" x14ac:dyDescent="0.3">
      <c r="A333" s="6"/>
      <c r="B333" s="6" t="s">
        <v>696</v>
      </c>
      <c r="C333" s="6">
        <v>-1</v>
      </c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</row>
    <row r="334" spans="1:17" x14ac:dyDescent="0.3">
      <c r="A334" s="6"/>
      <c r="B334" s="6" t="s">
        <v>706</v>
      </c>
      <c r="C334" s="6">
        <v>-1</v>
      </c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</row>
    <row r="335" spans="1:17" x14ac:dyDescent="0.3">
      <c r="A335" s="6"/>
      <c r="B335" s="6" t="s">
        <v>710</v>
      </c>
      <c r="C335" s="6">
        <v>-1</v>
      </c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</row>
    <row r="336" spans="1:17" x14ac:dyDescent="0.3">
      <c r="A336" s="6"/>
      <c r="B336" s="6" t="s">
        <v>712</v>
      </c>
      <c r="C336" s="6">
        <v>-1</v>
      </c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</row>
    <row r="337" spans="1:17" x14ac:dyDescent="0.3">
      <c r="A337" s="6"/>
      <c r="B337" s="6" t="s">
        <v>478</v>
      </c>
      <c r="C337" s="6">
        <v>-1</v>
      </c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</row>
    <row r="338" spans="1:17" x14ac:dyDescent="0.3">
      <c r="A338" s="6"/>
      <c r="B338" s="6" t="s">
        <v>714</v>
      </c>
      <c r="C338" s="6">
        <v>-1</v>
      </c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</row>
    <row r="339" spans="1:17" x14ac:dyDescent="0.3">
      <c r="A339" s="6" t="s">
        <v>3471</v>
      </c>
      <c r="B339" s="6" t="s">
        <v>716</v>
      </c>
      <c r="C339" s="6">
        <v>50</v>
      </c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</row>
    <row r="340" spans="1:17" x14ac:dyDescent="0.3">
      <c r="A340" s="6"/>
      <c r="B340" s="6" t="s">
        <v>728</v>
      </c>
      <c r="C340" s="6">
        <v>-1</v>
      </c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</row>
    <row r="341" spans="1:17" x14ac:dyDescent="0.3">
      <c r="A341" s="6"/>
      <c r="B341" s="6" t="s">
        <v>736</v>
      </c>
      <c r="C341" s="6">
        <v>-1</v>
      </c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</row>
    <row r="342" spans="1:17" x14ac:dyDescent="0.3">
      <c r="A342" s="6"/>
      <c r="B342" s="6" t="s">
        <v>380</v>
      </c>
      <c r="C342" s="6"/>
      <c r="D342" s="6">
        <v>-1</v>
      </c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</row>
    <row r="343" spans="1:17" x14ac:dyDescent="0.3">
      <c r="A343" s="6" t="s">
        <v>3526</v>
      </c>
      <c r="B343" s="6" t="s">
        <v>532</v>
      </c>
      <c r="C343" s="6"/>
      <c r="D343" s="6">
        <v>27</v>
      </c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</row>
    <row r="344" spans="1:17" x14ac:dyDescent="0.3">
      <c r="A344" s="6"/>
      <c r="B344" s="6" t="s">
        <v>546</v>
      </c>
      <c r="C344" s="6"/>
      <c r="D344" s="6">
        <v>-1</v>
      </c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</row>
    <row r="345" spans="1:17" x14ac:dyDescent="0.3">
      <c r="A345" s="6"/>
      <c r="B345" s="6" t="s">
        <v>560</v>
      </c>
      <c r="C345" s="6"/>
      <c r="D345" s="6">
        <v>-1</v>
      </c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</row>
    <row r="346" spans="1:17" x14ac:dyDescent="0.3">
      <c r="A346" s="6"/>
      <c r="B346" s="6" t="s">
        <v>582</v>
      </c>
      <c r="C346" s="6"/>
      <c r="D346" s="6">
        <v>-1</v>
      </c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</row>
    <row r="347" spans="1:17" x14ac:dyDescent="0.3">
      <c r="A347" s="6"/>
      <c r="B347" s="6" t="s">
        <v>586</v>
      </c>
      <c r="C347" s="6"/>
      <c r="D347" s="6">
        <v>-1</v>
      </c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</row>
    <row r="348" spans="1:17" x14ac:dyDescent="0.3">
      <c r="A348" s="6"/>
      <c r="B348" s="6" t="s">
        <v>670</v>
      </c>
      <c r="C348" s="6"/>
      <c r="D348" s="6">
        <v>-1</v>
      </c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</row>
    <row r="349" spans="1:17" x14ac:dyDescent="0.3">
      <c r="A349" s="6"/>
      <c r="B349" s="6" t="s">
        <v>704</v>
      </c>
      <c r="C349" s="6"/>
      <c r="D349" s="6">
        <v>-1</v>
      </c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</row>
    <row r="350" spans="1:17" x14ac:dyDescent="0.3">
      <c r="A350" s="6"/>
      <c r="B350" s="6" t="s">
        <v>724</v>
      </c>
      <c r="C350" s="6"/>
      <c r="D350" s="6">
        <v>-1</v>
      </c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</row>
    <row r="351" spans="1:17" x14ac:dyDescent="0.3">
      <c r="A351" s="6"/>
      <c r="B351" s="6" t="s">
        <v>738</v>
      </c>
      <c r="C351" s="6"/>
      <c r="D351" s="6">
        <v>-1</v>
      </c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</row>
    <row r="352" spans="1:17" x14ac:dyDescent="0.3">
      <c r="A352" s="6"/>
      <c r="B352" s="6" t="s">
        <v>496</v>
      </c>
      <c r="C352" s="6"/>
      <c r="D352" s="6"/>
      <c r="E352" s="6">
        <v>-1</v>
      </c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</row>
    <row r="353" spans="1:17" x14ac:dyDescent="0.3">
      <c r="A353" s="6" t="s">
        <v>1691</v>
      </c>
      <c r="B353" s="6" t="s">
        <v>470</v>
      </c>
      <c r="C353" s="6"/>
      <c r="D353" s="6"/>
      <c r="E353" s="6">
        <v>21</v>
      </c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</row>
    <row r="354" spans="1:17" x14ac:dyDescent="0.3">
      <c r="A354" s="6"/>
      <c r="B354" s="6" t="s">
        <v>326</v>
      </c>
      <c r="C354" s="6"/>
      <c r="D354" s="6"/>
      <c r="E354" s="6">
        <v>-1</v>
      </c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</row>
    <row r="355" spans="1:17" x14ac:dyDescent="0.3">
      <c r="A355" s="6"/>
      <c r="B355" s="6" t="s">
        <v>590</v>
      </c>
      <c r="C355" s="6"/>
      <c r="D355" s="6"/>
      <c r="E355" s="6">
        <v>-1</v>
      </c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</row>
    <row r="356" spans="1:17" x14ac:dyDescent="0.3">
      <c r="A356" s="6"/>
      <c r="B356" s="6" t="s">
        <v>448</v>
      </c>
      <c r="C356" s="6"/>
      <c r="D356" s="6"/>
      <c r="E356" s="6">
        <v>-1</v>
      </c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</row>
    <row r="357" spans="1:17" x14ac:dyDescent="0.3">
      <c r="A357" s="6"/>
      <c r="B357" s="6" t="s">
        <v>612</v>
      </c>
      <c r="C357" s="6"/>
      <c r="D357" s="6"/>
      <c r="E357" s="6">
        <v>-1</v>
      </c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</row>
    <row r="358" spans="1:17" x14ac:dyDescent="0.3">
      <c r="A358" s="6"/>
      <c r="B358" s="6" t="s">
        <v>642</v>
      </c>
      <c r="C358" s="6"/>
      <c r="D358" s="6"/>
      <c r="E358" s="6">
        <v>-1</v>
      </c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</row>
    <row r="359" spans="1:17" x14ac:dyDescent="0.3">
      <c r="A359" s="6"/>
      <c r="B359" s="6" t="s">
        <v>654</v>
      </c>
      <c r="C359" s="6"/>
      <c r="D359" s="6"/>
      <c r="E359" s="6">
        <v>-1</v>
      </c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</row>
    <row r="360" spans="1:17" x14ac:dyDescent="0.3">
      <c r="A360" s="6"/>
      <c r="B360" s="6" t="s">
        <v>376</v>
      </c>
      <c r="C360" s="6"/>
      <c r="D360" s="6"/>
      <c r="E360" s="6">
        <v>-1</v>
      </c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</row>
    <row r="361" spans="1:17" x14ac:dyDescent="0.3">
      <c r="A361" s="6" t="s">
        <v>1985</v>
      </c>
      <c r="B361" s="6" t="s">
        <v>348</v>
      </c>
      <c r="C361" s="6"/>
      <c r="D361" s="6"/>
      <c r="E361" s="6">
        <v>16</v>
      </c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</row>
    <row r="362" spans="1:17" x14ac:dyDescent="0.3">
      <c r="A362" s="6" t="s">
        <v>2257</v>
      </c>
      <c r="B362" s="6" t="s">
        <v>490</v>
      </c>
      <c r="C362" s="6"/>
      <c r="D362" s="6"/>
      <c r="E362" s="6">
        <v>29</v>
      </c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</row>
    <row r="363" spans="1:17" x14ac:dyDescent="0.3">
      <c r="A363" s="6"/>
      <c r="B363" s="6" t="s">
        <v>454</v>
      </c>
      <c r="C363" s="6"/>
      <c r="D363" s="6"/>
      <c r="E363" s="6">
        <v>-1</v>
      </c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</row>
    <row r="364" spans="1:17" x14ac:dyDescent="0.3">
      <c r="A364" s="6" t="s">
        <v>4454</v>
      </c>
      <c r="B364" s="6" t="s">
        <v>352</v>
      </c>
      <c r="C364" s="6"/>
      <c r="D364" s="6"/>
      <c r="E364" s="6">
        <v>20</v>
      </c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</row>
    <row r="365" spans="1:17" x14ac:dyDescent="0.3">
      <c r="A365" s="6" t="s">
        <v>3801</v>
      </c>
      <c r="B365" s="6" t="s">
        <v>602</v>
      </c>
      <c r="C365" s="6"/>
      <c r="D365" s="6"/>
      <c r="E365" s="6"/>
      <c r="F365" s="6">
        <v>21</v>
      </c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</row>
    <row r="366" spans="1:17" x14ac:dyDescent="0.3">
      <c r="A366" s="6"/>
      <c r="B366" s="6" t="s">
        <v>482</v>
      </c>
      <c r="C366" s="6"/>
      <c r="D366" s="6"/>
      <c r="E366" s="6"/>
      <c r="F366" s="6">
        <v>-1</v>
      </c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</row>
    <row r="367" spans="1:17" x14ac:dyDescent="0.3">
      <c r="A367" s="6" t="s">
        <v>1369</v>
      </c>
      <c r="B367" s="6" t="s">
        <v>732</v>
      </c>
      <c r="C367" s="6"/>
      <c r="D367" s="6"/>
      <c r="E367" s="6"/>
      <c r="F367" s="6">
        <v>20</v>
      </c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</row>
    <row r="368" spans="1:17" x14ac:dyDescent="0.3">
      <c r="A368" s="6"/>
      <c r="B368" s="6" t="s">
        <v>624</v>
      </c>
      <c r="C368" s="6"/>
      <c r="D368" s="6"/>
      <c r="E368" s="6"/>
      <c r="F368" s="6"/>
      <c r="G368" s="6">
        <v>-1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</row>
    <row r="369" spans="1:17" x14ac:dyDescent="0.3">
      <c r="A369" s="6"/>
      <c r="B369" s="6" t="s">
        <v>404</v>
      </c>
      <c r="C369" s="6"/>
      <c r="D369" s="6"/>
      <c r="E369" s="6"/>
      <c r="F369" s="6"/>
      <c r="G369" s="6">
        <v>-1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</row>
    <row r="370" spans="1:17" x14ac:dyDescent="0.3">
      <c r="A370" s="6"/>
      <c r="B370" s="6" t="s">
        <v>630</v>
      </c>
      <c r="C370" s="6"/>
      <c r="D370" s="6"/>
      <c r="E370" s="6"/>
      <c r="F370" s="6"/>
      <c r="G370" s="6"/>
      <c r="H370" s="6">
        <v>-1</v>
      </c>
      <c r="I370" s="6"/>
      <c r="J370" s="6"/>
      <c r="K370" s="6"/>
      <c r="L370" s="6"/>
      <c r="M370" s="6"/>
      <c r="N370" s="6"/>
      <c r="O370" s="6"/>
      <c r="P370" s="6"/>
      <c r="Q370" s="6"/>
    </row>
    <row r="371" spans="1:17" x14ac:dyDescent="0.3">
      <c r="A371" s="6" t="s">
        <v>3482</v>
      </c>
      <c r="B371" s="6" t="s">
        <v>512</v>
      </c>
      <c r="C371" s="6"/>
      <c r="D371" s="6"/>
      <c r="E371" s="6"/>
      <c r="F371" s="6"/>
      <c r="G371" s="6"/>
      <c r="H371" s="6"/>
      <c r="I371" s="6">
        <v>31</v>
      </c>
      <c r="J371" s="6"/>
      <c r="K371" s="6"/>
      <c r="L371" s="6"/>
      <c r="M371" s="6"/>
      <c r="N371" s="6"/>
      <c r="O371" s="6"/>
      <c r="P371" s="6"/>
      <c r="Q371" s="6"/>
    </row>
    <row r="372" spans="1:17" x14ac:dyDescent="0.3">
      <c r="A372" s="6" t="s">
        <v>4097</v>
      </c>
      <c r="B372" s="6" t="s">
        <v>526</v>
      </c>
      <c r="C372" s="6"/>
      <c r="D372" s="6"/>
      <c r="E372" s="6"/>
      <c r="F372" s="6"/>
      <c r="G372" s="6"/>
      <c r="H372" s="6"/>
      <c r="I372" s="6">
        <v>23</v>
      </c>
      <c r="J372" s="6"/>
      <c r="K372" s="6"/>
      <c r="L372" s="6"/>
      <c r="M372" s="6"/>
      <c r="N372" s="6"/>
      <c r="O372" s="6"/>
      <c r="P372" s="6"/>
      <c r="Q372" s="6"/>
    </row>
    <row r="373" spans="1:17" x14ac:dyDescent="0.3">
      <c r="A373" s="6"/>
      <c r="B373" s="6" t="s">
        <v>374</v>
      </c>
      <c r="C373" s="6"/>
      <c r="D373" s="6"/>
      <c r="E373" s="6"/>
      <c r="F373" s="6"/>
      <c r="G373" s="6"/>
      <c r="H373" s="6"/>
      <c r="I373" s="6">
        <v>-1</v>
      </c>
      <c r="J373" s="6"/>
      <c r="K373" s="6"/>
      <c r="L373" s="6"/>
      <c r="M373" s="6"/>
      <c r="N373" s="6"/>
      <c r="O373" s="6"/>
      <c r="P373" s="6"/>
      <c r="Q373" s="6"/>
    </row>
    <row r="374" spans="1:17" x14ac:dyDescent="0.3">
      <c r="A374" s="6"/>
      <c r="B374" s="6" t="s">
        <v>472</v>
      </c>
      <c r="C374" s="6"/>
      <c r="D374" s="6"/>
      <c r="E374" s="6"/>
      <c r="F374" s="6"/>
      <c r="G374" s="6"/>
      <c r="H374" s="6"/>
      <c r="I374" s="6">
        <v>-1</v>
      </c>
      <c r="J374" s="6"/>
      <c r="K374" s="6"/>
      <c r="L374" s="6"/>
      <c r="M374" s="6"/>
      <c r="N374" s="6"/>
      <c r="O374" s="6"/>
      <c r="P374" s="6"/>
      <c r="Q374" s="6"/>
    </row>
    <row r="375" spans="1:17" x14ac:dyDescent="0.3">
      <c r="A375" s="6"/>
      <c r="B375" s="6" t="s">
        <v>418</v>
      </c>
      <c r="C375" s="6"/>
      <c r="D375" s="6"/>
      <c r="E375" s="6"/>
      <c r="F375" s="6"/>
      <c r="G375" s="6"/>
      <c r="H375" s="6"/>
      <c r="I375" s="6">
        <v>-1</v>
      </c>
      <c r="J375" s="6"/>
      <c r="K375" s="6"/>
      <c r="L375" s="6"/>
      <c r="M375" s="6"/>
      <c r="N375" s="6"/>
      <c r="O375" s="6"/>
      <c r="P375" s="6"/>
      <c r="Q375" s="6"/>
    </row>
    <row r="376" spans="1:17" x14ac:dyDescent="0.3">
      <c r="A376" s="6"/>
      <c r="B376" s="6" t="s">
        <v>604</v>
      </c>
      <c r="C376" s="6"/>
      <c r="D376" s="6"/>
      <c r="E376" s="6"/>
      <c r="F376" s="6"/>
      <c r="G376" s="6"/>
      <c r="H376" s="6"/>
      <c r="I376" s="6">
        <v>-1</v>
      </c>
      <c r="J376" s="6"/>
      <c r="K376" s="6"/>
      <c r="L376" s="6"/>
      <c r="M376" s="6"/>
      <c r="N376" s="6"/>
      <c r="O376" s="6"/>
      <c r="P376" s="6"/>
      <c r="Q376" s="6"/>
    </row>
    <row r="377" spans="1:17" x14ac:dyDescent="0.3">
      <c r="A377" s="6"/>
      <c r="B377" s="6" t="s">
        <v>438</v>
      </c>
      <c r="C377" s="6"/>
      <c r="D377" s="6"/>
      <c r="E377" s="6"/>
      <c r="F377" s="6"/>
      <c r="G377" s="6"/>
      <c r="H377" s="6"/>
      <c r="I377" s="6">
        <v>-1</v>
      </c>
      <c r="J377" s="6"/>
      <c r="K377" s="6"/>
      <c r="L377" s="6"/>
      <c r="M377" s="6"/>
      <c r="N377" s="6"/>
      <c r="O377" s="6"/>
      <c r="P377" s="6"/>
      <c r="Q377" s="6"/>
    </row>
    <row r="378" spans="1:17" x14ac:dyDescent="0.3">
      <c r="A378" s="6"/>
      <c r="B378" s="6" t="s">
        <v>350</v>
      </c>
      <c r="C378" s="6"/>
      <c r="D378" s="6"/>
      <c r="E378" s="6"/>
      <c r="F378" s="6"/>
      <c r="G378" s="6"/>
      <c r="H378" s="6"/>
      <c r="I378" s="6">
        <v>-1</v>
      </c>
      <c r="J378" s="6"/>
      <c r="K378" s="6"/>
      <c r="L378" s="6"/>
      <c r="M378" s="6"/>
      <c r="N378" s="6"/>
      <c r="O378" s="6"/>
      <c r="P378" s="6"/>
      <c r="Q378" s="6"/>
    </row>
    <row r="379" spans="1:17" x14ac:dyDescent="0.3">
      <c r="A379" s="6" t="s">
        <v>4618</v>
      </c>
      <c r="B379" s="6" t="s">
        <v>646</v>
      </c>
      <c r="C379" s="6"/>
      <c r="D379" s="6"/>
      <c r="E379" s="6"/>
      <c r="F379" s="6"/>
      <c r="G379" s="6"/>
      <c r="H379" s="6"/>
      <c r="I379" s="6">
        <v>34</v>
      </c>
      <c r="J379" s="6"/>
      <c r="K379" s="6"/>
      <c r="L379" s="6"/>
      <c r="M379" s="6"/>
      <c r="N379" s="6"/>
      <c r="O379" s="6"/>
      <c r="P379" s="6"/>
      <c r="Q379" s="6"/>
    </row>
    <row r="380" spans="1:17" x14ac:dyDescent="0.3">
      <c r="A380" s="6"/>
      <c r="B380" s="6" t="s">
        <v>702</v>
      </c>
      <c r="C380" s="6"/>
      <c r="D380" s="6"/>
      <c r="E380" s="6"/>
      <c r="F380" s="6"/>
      <c r="G380" s="6"/>
      <c r="H380" s="6"/>
      <c r="I380" s="6">
        <v>-1</v>
      </c>
      <c r="J380" s="6"/>
      <c r="K380" s="6"/>
      <c r="L380" s="6"/>
      <c r="M380" s="6"/>
      <c r="N380" s="6"/>
      <c r="O380" s="6"/>
      <c r="P380" s="6"/>
      <c r="Q380" s="6"/>
    </row>
    <row r="381" spans="1:17" x14ac:dyDescent="0.3">
      <c r="A381" s="6"/>
      <c r="B381" s="6" t="s">
        <v>480</v>
      </c>
      <c r="C381" s="6"/>
      <c r="D381" s="6"/>
      <c r="E381" s="6"/>
      <c r="F381" s="6"/>
      <c r="G381" s="6"/>
      <c r="H381" s="6"/>
      <c r="I381" s="6">
        <v>-1</v>
      </c>
      <c r="J381" s="6"/>
      <c r="K381" s="6"/>
      <c r="L381" s="6"/>
      <c r="M381" s="6"/>
      <c r="N381" s="6"/>
      <c r="O381" s="6"/>
      <c r="P381" s="6"/>
      <c r="Q381" s="6"/>
    </row>
    <row r="382" spans="1:17" x14ac:dyDescent="0.3">
      <c r="A382" s="6"/>
      <c r="B382" s="6" t="s">
        <v>720</v>
      </c>
      <c r="C382" s="6"/>
      <c r="D382" s="6"/>
      <c r="E382" s="6"/>
      <c r="F382" s="6"/>
      <c r="G382" s="6"/>
      <c r="H382" s="6"/>
      <c r="I382" s="6">
        <v>-1</v>
      </c>
      <c r="J382" s="6"/>
      <c r="K382" s="6"/>
      <c r="L382" s="6"/>
      <c r="M382" s="6"/>
      <c r="N382" s="6"/>
      <c r="O382" s="6"/>
      <c r="P382" s="6"/>
      <c r="Q382" s="6"/>
    </row>
    <row r="383" spans="1:17" x14ac:dyDescent="0.3">
      <c r="A383" s="6"/>
      <c r="B383" s="6" t="s">
        <v>726</v>
      </c>
      <c r="C383" s="6"/>
      <c r="D383" s="6"/>
      <c r="E383" s="6"/>
      <c r="F383" s="6"/>
      <c r="G383" s="6"/>
      <c r="H383" s="6"/>
      <c r="I383" s="6">
        <v>-1</v>
      </c>
      <c r="J383" s="6"/>
      <c r="K383" s="6"/>
      <c r="L383" s="6"/>
      <c r="M383" s="6"/>
      <c r="N383" s="6"/>
      <c r="O383" s="6"/>
      <c r="P383" s="6"/>
      <c r="Q383" s="6"/>
    </row>
    <row r="384" spans="1:17" x14ac:dyDescent="0.3">
      <c r="A384" s="6"/>
      <c r="B384" s="6" t="s">
        <v>636</v>
      </c>
      <c r="C384" s="6"/>
      <c r="D384" s="6"/>
      <c r="E384" s="6"/>
      <c r="F384" s="6"/>
      <c r="G384" s="6"/>
      <c r="H384" s="6"/>
      <c r="I384" s="6"/>
      <c r="J384" s="6">
        <v>-1</v>
      </c>
      <c r="K384" s="6"/>
      <c r="L384" s="6"/>
      <c r="M384" s="6"/>
      <c r="N384" s="6"/>
      <c r="O384" s="6"/>
      <c r="P384" s="6"/>
      <c r="Q384" s="6"/>
    </row>
    <row r="385" spans="1:17" x14ac:dyDescent="0.3">
      <c r="A385" s="6"/>
      <c r="B385" s="6" t="s">
        <v>390</v>
      </c>
      <c r="C385" s="6"/>
      <c r="D385" s="6"/>
      <c r="E385" s="6"/>
      <c r="F385" s="6"/>
      <c r="G385" s="6"/>
      <c r="H385" s="6"/>
      <c r="I385" s="6"/>
      <c r="J385" s="6">
        <v>-1</v>
      </c>
      <c r="K385" s="6"/>
      <c r="L385" s="6"/>
      <c r="M385" s="6"/>
      <c r="N385" s="6"/>
      <c r="O385" s="6"/>
      <c r="P385" s="6"/>
      <c r="Q385" s="6"/>
    </row>
    <row r="386" spans="1:17" x14ac:dyDescent="0.3">
      <c r="A386" s="6"/>
      <c r="B386" s="6" t="s">
        <v>504</v>
      </c>
      <c r="C386" s="6"/>
      <c r="D386" s="6"/>
      <c r="E386" s="6"/>
      <c r="F386" s="6"/>
      <c r="G386" s="6"/>
      <c r="H386" s="6"/>
      <c r="I386" s="6"/>
      <c r="J386" s="6"/>
      <c r="K386" s="6">
        <v>-1</v>
      </c>
      <c r="L386" s="6"/>
      <c r="M386" s="6"/>
      <c r="N386" s="6"/>
      <c r="O386" s="6"/>
      <c r="P386" s="6"/>
      <c r="Q386" s="6"/>
    </row>
    <row r="387" spans="1:17" x14ac:dyDescent="0.3">
      <c r="A387" s="6" t="s">
        <v>2921</v>
      </c>
      <c r="B387" s="6" t="s">
        <v>362</v>
      </c>
      <c r="C387" s="6"/>
      <c r="D387" s="6"/>
      <c r="E387" s="6"/>
      <c r="F387" s="6"/>
      <c r="G387" s="6"/>
      <c r="H387" s="6"/>
      <c r="I387" s="6"/>
      <c r="J387" s="6"/>
      <c r="K387" s="6">
        <v>29</v>
      </c>
      <c r="L387" s="6"/>
      <c r="M387" s="6"/>
      <c r="N387" s="6"/>
      <c r="O387" s="6"/>
      <c r="P387" s="6"/>
      <c r="Q387" s="6"/>
    </row>
    <row r="388" spans="1:17" x14ac:dyDescent="0.3">
      <c r="A388" s="6"/>
      <c r="B388" s="6" t="s">
        <v>556</v>
      </c>
      <c r="C388" s="6"/>
      <c r="D388" s="6"/>
      <c r="E388" s="6"/>
      <c r="F388" s="6"/>
      <c r="G388" s="6"/>
      <c r="H388" s="6"/>
      <c r="I388" s="6"/>
      <c r="J388" s="6"/>
      <c r="K388" s="6">
        <v>-1</v>
      </c>
      <c r="L388" s="6"/>
      <c r="M388" s="6"/>
      <c r="N388" s="6"/>
      <c r="O388" s="6"/>
      <c r="P388" s="6"/>
      <c r="Q388" s="6"/>
    </row>
    <row r="389" spans="1:17" x14ac:dyDescent="0.3">
      <c r="A389" s="6"/>
      <c r="B389" s="6" t="s">
        <v>372</v>
      </c>
      <c r="C389" s="6"/>
      <c r="D389" s="6"/>
      <c r="E389" s="6"/>
      <c r="F389" s="6"/>
      <c r="G389" s="6"/>
      <c r="H389" s="6"/>
      <c r="I389" s="6"/>
      <c r="J389" s="6"/>
      <c r="K389" s="6">
        <v>-1</v>
      </c>
      <c r="L389" s="6"/>
      <c r="M389" s="6"/>
      <c r="N389" s="6"/>
      <c r="O389" s="6"/>
      <c r="P389" s="6"/>
      <c r="Q389" s="6"/>
    </row>
    <row r="390" spans="1:17" x14ac:dyDescent="0.3">
      <c r="A390" s="6"/>
      <c r="B390" s="6" t="s">
        <v>388</v>
      </c>
      <c r="C390" s="6"/>
      <c r="D390" s="6"/>
      <c r="E390" s="6"/>
      <c r="F390" s="6"/>
      <c r="G390" s="6"/>
      <c r="H390" s="6"/>
      <c r="I390" s="6"/>
      <c r="J390" s="6"/>
      <c r="K390" s="6">
        <v>-1</v>
      </c>
      <c r="L390" s="6"/>
      <c r="M390" s="6"/>
      <c r="N390" s="6"/>
      <c r="O390" s="6"/>
      <c r="P390" s="6"/>
      <c r="Q390" s="6"/>
    </row>
    <row r="391" spans="1:17" x14ac:dyDescent="0.3">
      <c r="A391" s="6"/>
      <c r="B391" s="6" t="s">
        <v>494</v>
      </c>
      <c r="C391" s="6"/>
      <c r="D391" s="6"/>
      <c r="E391" s="6"/>
      <c r="F391" s="6"/>
      <c r="G391" s="6"/>
      <c r="H391" s="6"/>
      <c r="I391" s="6"/>
      <c r="J391" s="6"/>
      <c r="K391" s="6">
        <v>-1</v>
      </c>
      <c r="L391" s="6"/>
      <c r="M391" s="6"/>
      <c r="N391" s="6"/>
      <c r="O391" s="6"/>
      <c r="P391" s="6"/>
      <c r="Q391" s="6"/>
    </row>
    <row r="392" spans="1:17" x14ac:dyDescent="0.3">
      <c r="A392" s="6"/>
      <c r="B392" s="6" t="s">
        <v>460</v>
      </c>
      <c r="C392" s="6"/>
      <c r="D392" s="6"/>
      <c r="E392" s="6"/>
      <c r="F392" s="6"/>
      <c r="G392" s="6"/>
      <c r="H392" s="6"/>
      <c r="I392" s="6"/>
      <c r="J392" s="6"/>
      <c r="K392" s="6">
        <v>-1</v>
      </c>
      <c r="L392" s="6"/>
      <c r="M392" s="6"/>
      <c r="N392" s="6"/>
      <c r="O392" s="6"/>
      <c r="P392" s="6"/>
      <c r="Q392" s="6"/>
    </row>
    <row r="393" spans="1:17" x14ac:dyDescent="0.3">
      <c r="A393" s="6"/>
      <c r="B393" s="6" t="s">
        <v>382</v>
      </c>
      <c r="C393" s="6"/>
      <c r="D393" s="6"/>
      <c r="E393" s="6"/>
      <c r="F393" s="6"/>
      <c r="G393" s="6"/>
      <c r="H393" s="6"/>
      <c r="I393" s="6"/>
      <c r="J393" s="6"/>
      <c r="K393" s="6">
        <v>-1</v>
      </c>
      <c r="L393" s="6"/>
      <c r="M393" s="6"/>
      <c r="N393" s="6"/>
      <c r="O393" s="6"/>
      <c r="P393" s="6"/>
      <c r="Q393" s="6"/>
    </row>
    <row r="394" spans="1:17" x14ac:dyDescent="0.3">
      <c r="A394" s="6"/>
      <c r="B394" s="6" t="s">
        <v>378</v>
      </c>
      <c r="C394" s="6"/>
      <c r="D394" s="6"/>
      <c r="E394" s="6"/>
      <c r="F394" s="6"/>
      <c r="G394" s="6"/>
      <c r="H394" s="6"/>
      <c r="I394" s="6"/>
      <c r="J394" s="6"/>
      <c r="K394" s="6">
        <v>-1</v>
      </c>
      <c r="L394" s="6"/>
      <c r="M394" s="6"/>
      <c r="N394" s="6"/>
      <c r="O394" s="6"/>
      <c r="P394" s="6"/>
      <c r="Q394" s="6"/>
    </row>
    <row r="395" spans="1:17" x14ac:dyDescent="0.3">
      <c r="A395" s="6"/>
      <c r="B395" s="6" t="s">
        <v>664</v>
      </c>
      <c r="C395" s="6"/>
      <c r="D395" s="6"/>
      <c r="E395" s="6"/>
      <c r="F395" s="6"/>
      <c r="G395" s="6"/>
      <c r="H395" s="6"/>
      <c r="I395" s="6"/>
      <c r="J395" s="6"/>
      <c r="K395" s="6">
        <v>-1</v>
      </c>
      <c r="L395" s="6"/>
      <c r="M395" s="6"/>
      <c r="N395" s="6"/>
      <c r="O395" s="6"/>
      <c r="P395" s="6"/>
      <c r="Q395" s="6"/>
    </row>
    <row r="396" spans="1:17" x14ac:dyDescent="0.3">
      <c r="A396" s="6"/>
      <c r="B396" s="6" t="s">
        <v>572</v>
      </c>
      <c r="C396" s="6"/>
      <c r="D396" s="6"/>
      <c r="E396" s="6"/>
      <c r="F396" s="6"/>
      <c r="G396" s="6"/>
      <c r="H396" s="6"/>
      <c r="I396" s="6"/>
      <c r="J396" s="6"/>
      <c r="K396" s="6"/>
      <c r="L396" s="6">
        <v>-1</v>
      </c>
      <c r="M396" s="6"/>
      <c r="N396" s="6"/>
      <c r="O396" s="6"/>
      <c r="P396" s="6"/>
      <c r="Q396" s="6"/>
    </row>
    <row r="397" spans="1:17" x14ac:dyDescent="0.3">
      <c r="A397" s="6"/>
      <c r="B397" s="6" t="s">
        <v>506</v>
      </c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>
        <v>-1</v>
      </c>
      <c r="N397" s="6"/>
      <c r="O397" s="6"/>
      <c r="P397" s="6"/>
      <c r="Q397" s="6"/>
    </row>
    <row r="398" spans="1:17" x14ac:dyDescent="0.3">
      <c r="A398" s="6"/>
      <c r="B398" s="6" t="s">
        <v>574</v>
      </c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>
        <v>-1</v>
      </c>
      <c r="N398" s="6"/>
      <c r="O398" s="6"/>
      <c r="P398" s="6"/>
      <c r="Q398" s="6"/>
    </row>
    <row r="399" spans="1:17" x14ac:dyDescent="0.3">
      <c r="A399" s="6"/>
      <c r="B399" s="6" t="s">
        <v>580</v>
      </c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>
        <v>-1</v>
      </c>
      <c r="N399" s="6"/>
      <c r="O399" s="6"/>
      <c r="P399" s="6"/>
      <c r="Q399" s="6"/>
    </row>
    <row r="400" spans="1:17" x14ac:dyDescent="0.3">
      <c r="A400" s="6"/>
      <c r="B400" s="6" t="s">
        <v>396</v>
      </c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>
        <v>-1</v>
      </c>
      <c r="N400" s="6"/>
      <c r="O400" s="6"/>
      <c r="P400" s="6"/>
      <c r="Q400" s="6"/>
    </row>
    <row r="401" spans="1:17" x14ac:dyDescent="0.3">
      <c r="A401" s="6"/>
      <c r="B401" s="6" t="s">
        <v>668</v>
      </c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>
        <v>-1</v>
      </c>
      <c r="N401" s="6"/>
      <c r="O401" s="6"/>
      <c r="P401" s="6"/>
      <c r="Q401" s="6"/>
    </row>
    <row r="402" spans="1:17" x14ac:dyDescent="0.3">
      <c r="A402" s="6"/>
      <c r="B402" s="6" t="s">
        <v>688</v>
      </c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>
        <v>-1</v>
      </c>
      <c r="N402" s="6"/>
      <c r="O402" s="6"/>
      <c r="P402" s="6"/>
      <c r="Q402" s="6"/>
    </row>
    <row r="403" spans="1:17" x14ac:dyDescent="0.3">
      <c r="A403" s="6"/>
      <c r="B403" s="6" t="s">
        <v>502</v>
      </c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>
        <v>-1</v>
      </c>
      <c r="O403" s="6"/>
      <c r="P403" s="6"/>
      <c r="Q403" s="6"/>
    </row>
    <row r="404" spans="1:17" x14ac:dyDescent="0.3">
      <c r="A404" s="6" t="s">
        <v>2649</v>
      </c>
      <c r="B404" s="6" t="s">
        <v>558</v>
      </c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>
        <v>18</v>
      </c>
      <c r="O404" s="6"/>
      <c r="P404" s="6"/>
      <c r="Q404" s="6"/>
    </row>
    <row r="405" spans="1:17" x14ac:dyDescent="0.3">
      <c r="A405" s="6" t="s">
        <v>1731</v>
      </c>
      <c r="B405" s="6" t="s">
        <v>358</v>
      </c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>
        <v>24</v>
      </c>
      <c r="P405" s="6"/>
      <c r="Q405" s="6"/>
    </row>
    <row r="406" spans="1:17" x14ac:dyDescent="0.3">
      <c r="A406" s="6"/>
      <c r="B406" s="6" t="s">
        <v>468</v>
      </c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>
        <v>-1</v>
      </c>
      <c r="P406" s="6"/>
      <c r="Q406" s="6"/>
    </row>
    <row r="407" spans="1:17" x14ac:dyDescent="0.3">
      <c r="A407" s="6"/>
      <c r="B407" s="6" t="s">
        <v>368</v>
      </c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>
        <v>-1</v>
      </c>
      <c r="P407" s="6"/>
      <c r="Q407" s="6"/>
    </row>
    <row r="408" spans="1:17" x14ac:dyDescent="0.3">
      <c r="A408" s="6"/>
      <c r="B408" s="6" t="s">
        <v>432</v>
      </c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>
        <v>-1</v>
      </c>
      <c r="P408" s="6"/>
      <c r="Q408" s="6"/>
    </row>
    <row r="409" spans="1:17" x14ac:dyDescent="0.3">
      <c r="A409" s="6"/>
      <c r="B409" s="6" t="s">
        <v>614</v>
      </c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>
        <v>-1</v>
      </c>
      <c r="P409" s="6"/>
      <c r="Q409" s="6"/>
    </row>
    <row r="410" spans="1:17" x14ac:dyDescent="0.3">
      <c r="A410" s="6"/>
      <c r="B410" s="6" t="s">
        <v>466</v>
      </c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>
        <v>-1</v>
      </c>
      <c r="P410" s="6"/>
      <c r="Q410" s="6"/>
    </row>
    <row r="411" spans="1:17" x14ac:dyDescent="0.3">
      <c r="A411" s="6" t="s">
        <v>1984</v>
      </c>
      <c r="B411" s="6" t="s">
        <v>392</v>
      </c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>
        <v>29</v>
      </c>
      <c r="P411" s="6"/>
      <c r="Q411" s="6"/>
    </row>
    <row r="412" spans="1:17" x14ac:dyDescent="0.3">
      <c r="A412" s="6"/>
      <c r="B412" s="6" t="s">
        <v>398</v>
      </c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>
        <v>-1</v>
      </c>
      <c r="P412" s="6"/>
      <c r="Q412" s="6"/>
    </row>
    <row r="413" spans="1:17" x14ac:dyDescent="0.3">
      <c r="A413" s="6"/>
      <c r="B413" s="6" t="s">
        <v>408</v>
      </c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>
        <v>-1</v>
      </c>
      <c r="P413" s="6"/>
      <c r="Q413" s="6"/>
    </row>
    <row r="414" spans="1:17" x14ac:dyDescent="0.3">
      <c r="A414" s="6"/>
      <c r="B414" s="6" t="s">
        <v>410</v>
      </c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>
        <v>-1</v>
      </c>
      <c r="P414" s="6"/>
      <c r="Q414" s="6"/>
    </row>
    <row r="415" spans="1:17" x14ac:dyDescent="0.3">
      <c r="A415" s="6"/>
      <c r="B415" s="6" t="s">
        <v>730</v>
      </c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>
        <v>-1</v>
      </c>
      <c r="P415" s="6"/>
      <c r="Q415" s="6"/>
    </row>
    <row r="416" spans="1:17" x14ac:dyDescent="0.3">
      <c r="A416" s="6" t="s">
        <v>3021</v>
      </c>
      <c r="B416" s="6" t="s">
        <v>332</v>
      </c>
      <c r="C416" s="6"/>
      <c r="D416" s="6"/>
      <c r="E416" s="6">
        <v>9</v>
      </c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93993-F885-45C2-98D4-6F32E30451CE}">
  <dimension ref="A1:K113"/>
  <sheetViews>
    <sheetView topLeftCell="A106" workbookViewId="0">
      <selection activeCell="B114" sqref="B114"/>
    </sheetView>
  </sheetViews>
  <sheetFormatPr defaultRowHeight="14.4" x14ac:dyDescent="0.3"/>
  <cols>
    <col min="1" max="1" width="101.33203125" bestFit="1" customWidth="1"/>
    <col min="2" max="2" width="14" bestFit="1" customWidth="1"/>
    <col min="3" max="3" width="40.33203125" bestFit="1" customWidth="1"/>
    <col min="4" max="4" width="43.109375" bestFit="1" customWidth="1"/>
    <col min="5" max="5" width="40.33203125" bestFit="1" customWidth="1"/>
    <col min="6" max="6" width="43.109375" bestFit="1" customWidth="1"/>
    <col min="7" max="7" width="39.109375" bestFit="1" customWidth="1"/>
    <col min="8" max="8" width="42" bestFit="1" customWidth="1"/>
    <col min="9" max="9" width="39.21875" bestFit="1" customWidth="1"/>
    <col min="10" max="10" width="17" bestFit="1" customWidth="1"/>
    <col min="11" max="11" width="14.77734375" bestFit="1" customWidth="1"/>
  </cols>
  <sheetData>
    <row r="1" spans="1:11" x14ac:dyDescent="0.3">
      <c r="A1" t="s">
        <v>834</v>
      </c>
      <c r="B1" t="s">
        <v>1</v>
      </c>
      <c r="C1" t="s">
        <v>1144</v>
      </c>
      <c r="D1" t="s">
        <v>1145</v>
      </c>
      <c r="E1" t="s">
        <v>1146</v>
      </c>
      <c r="F1" t="s">
        <v>1147</v>
      </c>
      <c r="G1" t="s">
        <v>1148</v>
      </c>
      <c r="H1" t="s">
        <v>1149</v>
      </c>
      <c r="I1" t="s">
        <v>1150</v>
      </c>
      <c r="J1" t="s">
        <v>1212</v>
      </c>
      <c r="K1" t="s">
        <v>1213</v>
      </c>
    </row>
    <row r="2" spans="1:11" x14ac:dyDescent="0.3">
      <c r="A2" s="6" t="s">
        <v>3632</v>
      </c>
      <c r="B2" s="6" t="s">
        <v>354</v>
      </c>
      <c r="C2" s="6">
        <v>2</v>
      </c>
      <c r="D2" s="6"/>
      <c r="E2" s="6"/>
      <c r="F2" s="6"/>
      <c r="G2" s="6"/>
      <c r="H2" s="6"/>
      <c r="I2" s="6"/>
      <c r="J2" s="6">
        <f>Table78[[#This Row],[Total Athletes]]-(LEN(Table78[[#This Row],[Team]])-LEN(SUBSTITUTE(Table78[[#This Row],[Team]],"/","")))-1</f>
        <v>2</v>
      </c>
      <c r="K2" s="6">
        <v>5</v>
      </c>
    </row>
    <row r="3" spans="1:11" x14ac:dyDescent="0.3">
      <c r="A3" s="6"/>
      <c r="B3" s="6" t="s">
        <v>356</v>
      </c>
      <c r="C3" s="6">
        <v>-1</v>
      </c>
      <c r="D3" s="6"/>
      <c r="E3" s="6"/>
      <c r="F3" s="6"/>
      <c r="G3" s="6"/>
      <c r="H3" s="6"/>
      <c r="I3" s="6"/>
      <c r="J3" s="6">
        <f>Table78[[#This Row],[Total Athletes]]-(LEN(Table78[[#This Row],[Team]])-LEN(SUBSTITUTE(Table78[[#This Row],[Team]],"/","")))-1</f>
        <v>-1</v>
      </c>
      <c r="K3" s="6"/>
    </row>
    <row r="4" spans="1:11" x14ac:dyDescent="0.3">
      <c r="A4" s="6" t="s">
        <v>4511</v>
      </c>
      <c r="B4" s="6" t="s">
        <v>332</v>
      </c>
      <c r="C4" s="6">
        <v>1</v>
      </c>
      <c r="D4" s="6"/>
      <c r="E4" s="6"/>
      <c r="F4" s="6"/>
      <c r="G4" s="6"/>
      <c r="H4" s="6"/>
      <c r="I4" s="6"/>
      <c r="J4" s="6">
        <f>Table78[[#This Row],[Total Athletes]]-(LEN(Table78[[#This Row],[Team]])-LEN(SUBSTITUTE(Table78[[#This Row],[Team]],"/","")))-1</f>
        <v>3</v>
      </c>
      <c r="K4" s="6">
        <v>6</v>
      </c>
    </row>
    <row r="5" spans="1:11" x14ac:dyDescent="0.3">
      <c r="A5" s="6" t="s">
        <v>4133</v>
      </c>
      <c r="B5" s="6" t="s">
        <v>402</v>
      </c>
      <c r="C5" s="6"/>
      <c r="D5" s="6"/>
      <c r="E5" s="6">
        <v>1</v>
      </c>
      <c r="F5" s="6"/>
      <c r="G5" s="6"/>
      <c r="H5" s="6"/>
      <c r="I5" s="6"/>
      <c r="J5" s="6">
        <f>Table78[[#This Row],[Total Athletes]]-(LEN(Table78[[#This Row],[Team]])-LEN(SUBSTITUTE(Table78[[#This Row],[Team]],"/","")))-1</f>
        <v>4</v>
      </c>
      <c r="K5" s="6">
        <v>6</v>
      </c>
    </row>
    <row r="6" spans="1:11" x14ac:dyDescent="0.3">
      <c r="A6" s="6" t="s">
        <v>4512</v>
      </c>
      <c r="B6" s="6" t="s">
        <v>332</v>
      </c>
      <c r="C6" s="6"/>
      <c r="D6" s="6"/>
      <c r="E6" s="6">
        <v>2</v>
      </c>
      <c r="F6" s="6"/>
      <c r="G6" s="6"/>
      <c r="H6" s="6"/>
      <c r="I6" s="6"/>
      <c r="J6" s="6">
        <f>Table78[[#This Row],[Total Athletes]]-(LEN(Table78[[#This Row],[Team]])-LEN(SUBSTITUTE(Table78[[#This Row],[Team]],"/","")))-1</f>
        <v>5</v>
      </c>
      <c r="K6" s="6">
        <v>7</v>
      </c>
    </row>
    <row r="7" spans="1:11" x14ac:dyDescent="0.3">
      <c r="A7" s="6" t="s">
        <v>1257</v>
      </c>
      <c r="B7" s="6" t="s">
        <v>354</v>
      </c>
      <c r="C7" s="6"/>
      <c r="D7" s="6"/>
      <c r="E7" s="6">
        <v>3</v>
      </c>
      <c r="F7" s="6"/>
      <c r="G7" s="6"/>
      <c r="H7" s="6"/>
      <c r="I7" s="6"/>
      <c r="J7" s="6">
        <f>Table78[[#This Row],[Total Athletes]]-(LEN(Table78[[#This Row],[Team]])-LEN(SUBSTITUTE(Table78[[#This Row],[Team]],"/","")))-1</f>
        <v>4</v>
      </c>
      <c r="K7" s="6">
        <v>6</v>
      </c>
    </row>
    <row r="8" spans="1:11" x14ac:dyDescent="0.3">
      <c r="A8" s="6" t="s">
        <v>1830</v>
      </c>
      <c r="B8" s="6" t="s">
        <v>332</v>
      </c>
      <c r="C8" s="6"/>
      <c r="D8" s="6"/>
      <c r="E8" s="6"/>
      <c r="F8" s="6"/>
      <c r="G8" s="6">
        <v>2</v>
      </c>
      <c r="H8" s="6"/>
      <c r="I8" s="6"/>
      <c r="J8" s="6">
        <f>Table78[[#This Row],[Total Athletes]]-(LEN(Table78[[#This Row],[Team]])-LEN(SUBSTITUTE(Table78[[#This Row],[Team]],"/","")))-1</f>
        <v>5</v>
      </c>
      <c r="K8" s="6">
        <v>7</v>
      </c>
    </row>
    <row r="9" spans="1:11" x14ac:dyDescent="0.3">
      <c r="A9" s="6" t="s">
        <v>2782</v>
      </c>
      <c r="B9" s="6" t="s">
        <v>328</v>
      </c>
      <c r="C9" s="6"/>
      <c r="D9" s="6"/>
      <c r="E9" s="6"/>
      <c r="F9" s="6"/>
      <c r="G9" s="6">
        <v>1</v>
      </c>
      <c r="H9" s="6"/>
      <c r="I9" s="6"/>
      <c r="J9" s="6">
        <f>Table78[[#This Row],[Total Athletes]]-(LEN(Table78[[#This Row],[Team]])-LEN(SUBSTITUTE(Table78[[#This Row],[Team]],"/","")))-1</f>
        <v>3</v>
      </c>
      <c r="K9" s="6">
        <v>5</v>
      </c>
    </row>
    <row r="10" spans="1:11" x14ac:dyDescent="0.3">
      <c r="A10" s="6" t="s">
        <v>4943</v>
      </c>
      <c r="B10" s="6" t="s">
        <v>354</v>
      </c>
      <c r="C10" s="6"/>
      <c r="D10" s="6"/>
      <c r="E10" s="6"/>
      <c r="F10" s="6"/>
      <c r="G10" s="6">
        <v>6</v>
      </c>
      <c r="H10" s="6"/>
      <c r="I10" s="6"/>
      <c r="J10" s="6">
        <f>Table78[[#This Row],[Total Athletes]]-(LEN(Table78[[#This Row],[Team]])-LEN(SUBSTITUTE(Table78[[#This Row],[Team]],"/","")))-1</f>
        <v>3</v>
      </c>
      <c r="K10" s="6">
        <v>5</v>
      </c>
    </row>
    <row r="11" spans="1:11" x14ac:dyDescent="0.3">
      <c r="A11" s="6" t="s">
        <v>4784</v>
      </c>
      <c r="B11" s="6" t="s">
        <v>354</v>
      </c>
      <c r="C11" s="6"/>
      <c r="D11" s="6">
        <v>1</v>
      </c>
      <c r="E11" s="6"/>
      <c r="F11" s="6"/>
      <c r="G11" s="6"/>
      <c r="H11" s="6"/>
      <c r="I11" s="6"/>
      <c r="J11" s="6">
        <f>Table78[[#This Row],[Total Athletes]]-(LEN(Table78[[#This Row],[Team]])-LEN(SUBSTITUTE(Table78[[#This Row],[Team]],"/","")))-1</f>
        <v>2</v>
      </c>
      <c r="K11" s="6">
        <v>6</v>
      </c>
    </row>
    <row r="12" spans="1:11" x14ac:dyDescent="0.3">
      <c r="A12" s="6" t="s">
        <v>2083</v>
      </c>
      <c r="B12" s="6" t="s">
        <v>332</v>
      </c>
      <c r="C12" s="6"/>
      <c r="D12" s="6">
        <v>2</v>
      </c>
      <c r="E12" s="6"/>
      <c r="F12" s="6"/>
      <c r="G12" s="6"/>
      <c r="H12" s="6"/>
      <c r="I12" s="6"/>
      <c r="J12" s="6">
        <f>Table78[[#This Row],[Total Athletes]]-(LEN(Table78[[#This Row],[Team]])-LEN(SUBSTITUTE(Table78[[#This Row],[Team]],"/","")))-1</f>
        <v>4</v>
      </c>
      <c r="K12" s="6">
        <v>6</v>
      </c>
    </row>
    <row r="13" spans="1:11" x14ac:dyDescent="0.3">
      <c r="A13" s="6" t="s">
        <v>1779</v>
      </c>
      <c r="B13" s="6" t="s">
        <v>328</v>
      </c>
      <c r="C13" s="6"/>
      <c r="D13" s="6">
        <v>3</v>
      </c>
      <c r="E13" s="6"/>
      <c r="F13" s="6"/>
      <c r="G13" s="6"/>
      <c r="H13" s="6"/>
      <c r="I13" s="6"/>
      <c r="J13" s="6">
        <f>Table78[[#This Row],[Total Athletes]]-(LEN(Table78[[#This Row],[Team]])-LEN(SUBSTITUTE(Table78[[#This Row],[Team]],"/","")))-1</f>
        <v>4</v>
      </c>
      <c r="K13" s="6">
        <v>5</v>
      </c>
    </row>
    <row r="14" spans="1:11" x14ac:dyDescent="0.3">
      <c r="A14" s="6" t="s">
        <v>2429</v>
      </c>
      <c r="B14" s="6" t="s">
        <v>354</v>
      </c>
      <c r="C14" s="6"/>
      <c r="D14" s="6"/>
      <c r="E14" s="6"/>
      <c r="F14" s="6">
        <v>1</v>
      </c>
      <c r="G14" s="6"/>
      <c r="H14" s="6"/>
      <c r="I14" s="6"/>
      <c r="J14" s="6">
        <f>Table78[[#This Row],[Total Athletes]]-(LEN(Table78[[#This Row],[Team]])-LEN(SUBSTITUTE(Table78[[#This Row],[Team]],"/","")))-1</f>
        <v>4</v>
      </c>
      <c r="K14" s="6">
        <v>6</v>
      </c>
    </row>
    <row r="15" spans="1:11" x14ac:dyDescent="0.3">
      <c r="A15" s="6" t="s">
        <v>3021</v>
      </c>
      <c r="B15" s="6" t="s">
        <v>332</v>
      </c>
      <c r="C15" s="6"/>
      <c r="D15" s="6"/>
      <c r="E15" s="6"/>
      <c r="F15" s="6">
        <v>2</v>
      </c>
      <c r="G15" s="6"/>
      <c r="H15" s="6"/>
      <c r="I15" s="6"/>
      <c r="J15" s="6">
        <f>Table78[[#This Row],[Total Athletes]]-(LEN(Table78[[#This Row],[Team]])-LEN(SUBSTITUTE(Table78[[#This Row],[Team]],"/","")))-1</f>
        <v>6</v>
      </c>
      <c r="K15" s="6">
        <v>7</v>
      </c>
    </row>
    <row r="16" spans="1:11" x14ac:dyDescent="0.3">
      <c r="A16" s="6" t="s">
        <v>4293</v>
      </c>
      <c r="B16" s="6" t="s">
        <v>328</v>
      </c>
      <c r="C16" s="6"/>
      <c r="D16" s="6"/>
      <c r="E16" s="6"/>
      <c r="F16" s="6">
        <v>3</v>
      </c>
      <c r="G16" s="6"/>
      <c r="H16" s="6"/>
      <c r="I16" s="6"/>
      <c r="J16" s="6">
        <f>Table78[[#This Row],[Total Athletes]]-(LEN(Table78[[#This Row],[Team]])-LEN(SUBSTITUTE(Table78[[#This Row],[Team]],"/","")))-1</f>
        <v>5</v>
      </c>
      <c r="K16" s="6">
        <v>6</v>
      </c>
    </row>
    <row r="17" spans="1:11" x14ac:dyDescent="0.3">
      <c r="A17" s="6" t="s">
        <v>4836</v>
      </c>
      <c r="B17" s="6" t="s">
        <v>332</v>
      </c>
      <c r="C17" s="6"/>
      <c r="D17" s="6"/>
      <c r="E17" s="6"/>
      <c r="F17" s="6"/>
      <c r="G17" s="6"/>
      <c r="H17" s="6">
        <v>1</v>
      </c>
      <c r="I17" s="6"/>
      <c r="J17" s="6">
        <f>Table78[[#This Row],[Total Athletes]]-(LEN(Table78[[#This Row],[Team]])-LEN(SUBSTITUTE(Table78[[#This Row],[Team]],"/","")))-1</f>
        <v>6</v>
      </c>
      <c r="K17" s="6">
        <v>8</v>
      </c>
    </row>
    <row r="18" spans="1:11" x14ac:dyDescent="0.3">
      <c r="A18" s="6" t="s">
        <v>2422</v>
      </c>
      <c r="B18" s="6" t="s">
        <v>354</v>
      </c>
      <c r="C18" s="6"/>
      <c r="D18" s="6"/>
      <c r="E18" s="6"/>
      <c r="F18" s="6"/>
      <c r="G18" s="6"/>
      <c r="H18" s="6">
        <v>2</v>
      </c>
      <c r="I18" s="6"/>
      <c r="J18" s="6">
        <f>Table78[[#This Row],[Total Athletes]]-(LEN(Table78[[#This Row],[Team]])-LEN(SUBSTITUTE(Table78[[#This Row],[Team]],"/","")))-1</f>
        <v>5</v>
      </c>
      <c r="K18" s="6">
        <v>8</v>
      </c>
    </row>
    <row r="19" spans="1:11" x14ac:dyDescent="0.3">
      <c r="A19" s="6" t="s">
        <v>4952</v>
      </c>
      <c r="B19" s="6" t="s">
        <v>384</v>
      </c>
      <c r="C19" s="6"/>
      <c r="D19" s="6"/>
      <c r="E19" s="6"/>
      <c r="F19" s="6"/>
      <c r="G19" s="6"/>
      <c r="H19" s="6">
        <v>4</v>
      </c>
      <c r="I19" s="6"/>
      <c r="J19" s="6">
        <f>Table78[[#This Row],[Total Athletes]]-(LEN(Table78[[#This Row],[Team]])-LEN(SUBSTITUTE(Table78[[#This Row],[Team]],"/","")))-1</f>
        <v>5</v>
      </c>
      <c r="K19" s="6">
        <v>7</v>
      </c>
    </row>
    <row r="20" spans="1:11" x14ac:dyDescent="0.3">
      <c r="A20" s="6"/>
      <c r="B20" s="6" t="s">
        <v>328</v>
      </c>
      <c r="C20" s="6"/>
      <c r="D20" s="6"/>
      <c r="E20" s="6"/>
      <c r="F20" s="6"/>
      <c r="G20" s="6"/>
      <c r="H20" s="6"/>
      <c r="I20" s="6">
        <v>-1</v>
      </c>
      <c r="J20" s="6">
        <f>Table78[[#This Row],[Total Athletes]]-(LEN(Table78[[#This Row],[Team]])-LEN(SUBSTITUTE(Table78[[#This Row],[Team]],"/","")))-1</f>
        <v>-1</v>
      </c>
      <c r="K20" s="6"/>
    </row>
    <row r="21" spans="1:11" x14ac:dyDescent="0.3">
      <c r="A21" s="6" t="s">
        <v>4944</v>
      </c>
      <c r="B21" s="6" t="s">
        <v>354</v>
      </c>
      <c r="C21" s="6"/>
      <c r="D21" s="6"/>
      <c r="E21" s="6"/>
      <c r="F21" s="6"/>
      <c r="G21" s="6"/>
      <c r="H21" s="6"/>
      <c r="I21" s="6">
        <v>3</v>
      </c>
      <c r="J21" s="6">
        <f>Table78[[#This Row],[Total Athletes]]-(LEN(Table78[[#This Row],[Team]])-LEN(SUBSTITUTE(Table78[[#This Row],[Team]],"/","")))-1</f>
        <v>4</v>
      </c>
      <c r="K21" s="6">
        <v>8</v>
      </c>
    </row>
    <row r="22" spans="1:11" x14ac:dyDescent="0.3">
      <c r="A22" s="6" t="s">
        <v>4837</v>
      </c>
      <c r="B22" s="6" t="s">
        <v>332</v>
      </c>
      <c r="C22" s="6"/>
      <c r="D22" s="6"/>
      <c r="E22" s="6"/>
      <c r="F22" s="6"/>
      <c r="G22" s="6"/>
      <c r="H22" s="6"/>
      <c r="I22" s="6">
        <v>1</v>
      </c>
      <c r="J22" s="6">
        <f>Table78[[#This Row],[Total Athletes]]-(LEN(Table78[[#This Row],[Team]])-LEN(SUBSTITUTE(Table78[[#This Row],[Team]],"/","")))-1</f>
        <v>5</v>
      </c>
      <c r="K22" s="6">
        <v>8</v>
      </c>
    </row>
    <row r="23" spans="1:11" x14ac:dyDescent="0.3">
      <c r="A23" s="6" t="s">
        <v>2729</v>
      </c>
      <c r="B23" s="6" t="s">
        <v>328</v>
      </c>
      <c r="C23" s="6">
        <v>4</v>
      </c>
      <c r="D23" s="6"/>
      <c r="E23" s="6"/>
      <c r="F23" s="6"/>
      <c r="G23" s="6"/>
      <c r="H23" s="6"/>
      <c r="I23" s="6"/>
      <c r="J23" s="6">
        <f>Table78[[#This Row],[Total Athletes]]-(LEN(Table78[[#This Row],[Team]])-LEN(SUBSTITUTE(Table78[[#This Row],[Team]],"/","")))-1</f>
        <v>3</v>
      </c>
      <c r="K23" s="6">
        <v>4</v>
      </c>
    </row>
    <row r="24" spans="1:11" x14ac:dyDescent="0.3">
      <c r="A24" s="6" t="s">
        <v>3205</v>
      </c>
      <c r="B24" s="6" t="s">
        <v>384</v>
      </c>
      <c r="C24" s="6">
        <v>6</v>
      </c>
      <c r="D24" s="6"/>
      <c r="E24" s="6"/>
      <c r="F24" s="6"/>
      <c r="G24" s="6"/>
      <c r="H24" s="6"/>
      <c r="I24" s="6"/>
      <c r="J24" s="6">
        <f>Table78[[#This Row],[Total Athletes]]-(LEN(Table78[[#This Row],[Team]])-LEN(SUBSTITUTE(Table78[[#This Row],[Team]],"/","")))-1</f>
        <v>2</v>
      </c>
      <c r="K24" s="6">
        <v>4</v>
      </c>
    </row>
    <row r="25" spans="1:11" x14ac:dyDescent="0.3">
      <c r="A25" s="6" t="s">
        <v>4132</v>
      </c>
      <c r="B25" s="6" t="s">
        <v>402</v>
      </c>
      <c r="C25" s="6">
        <v>5</v>
      </c>
      <c r="D25" s="6"/>
      <c r="E25" s="6"/>
      <c r="F25" s="6"/>
      <c r="G25" s="6"/>
      <c r="H25" s="6"/>
      <c r="I25" s="6"/>
      <c r="J25" s="6">
        <f>Table78[[#This Row],[Total Athletes]]-(LEN(Table78[[#This Row],[Team]])-LEN(SUBSTITUTE(Table78[[#This Row],[Team]],"/","")))-1</f>
        <v>2</v>
      </c>
      <c r="K25" s="6">
        <v>5</v>
      </c>
    </row>
    <row r="26" spans="1:11" x14ac:dyDescent="0.3">
      <c r="A26" s="6" t="s">
        <v>3099</v>
      </c>
      <c r="B26" s="6" t="s">
        <v>336</v>
      </c>
      <c r="C26" s="6">
        <v>10</v>
      </c>
      <c r="D26" s="6"/>
      <c r="E26" s="6"/>
      <c r="F26" s="6"/>
      <c r="G26" s="6"/>
      <c r="H26" s="6"/>
      <c r="I26" s="6"/>
      <c r="J26" s="6">
        <f>Table78[[#This Row],[Total Athletes]]-(LEN(Table78[[#This Row],[Team]])-LEN(SUBSTITUTE(Table78[[#This Row],[Team]],"/","")))-1</f>
        <v>0</v>
      </c>
      <c r="K26" s="6">
        <v>4</v>
      </c>
    </row>
    <row r="27" spans="1:11" x14ac:dyDescent="0.3">
      <c r="A27" s="6" t="s">
        <v>3505</v>
      </c>
      <c r="B27" s="6" t="s">
        <v>406</v>
      </c>
      <c r="C27" s="6">
        <v>8</v>
      </c>
      <c r="D27" s="6"/>
      <c r="E27" s="6"/>
      <c r="F27" s="6"/>
      <c r="G27" s="6"/>
      <c r="H27" s="6"/>
      <c r="I27" s="6"/>
      <c r="J27" s="6">
        <f>Table78[[#This Row],[Total Athletes]]-(LEN(Table78[[#This Row],[Team]])-LEN(SUBSTITUTE(Table78[[#This Row],[Team]],"/","")))-1</f>
        <v>3</v>
      </c>
      <c r="K27" s="6">
        <v>4</v>
      </c>
    </row>
    <row r="28" spans="1:11" x14ac:dyDescent="0.3">
      <c r="A28" s="6" t="s">
        <v>4493</v>
      </c>
      <c r="B28" s="6" t="s">
        <v>342</v>
      </c>
      <c r="C28" s="6">
        <v>16</v>
      </c>
      <c r="D28" s="6"/>
      <c r="E28" s="6"/>
      <c r="F28" s="6"/>
      <c r="G28" s="6"/>
      <c r="H28" s="6"/>
      <c r="I28" s="6"/>
      <c r="J28" s="6">
        <f>Table78[[#This Row],[Total Athletes]]-(LEN(Table78[[#This Row],[Team]])-LEN(SUBSTITUTE(Table78[[#This Row],[Team]],"/","")))-1</f>
        <v>3</v>
      </c>
      <c r="K28" s="6">
        <v>4</v>
      </c>
    </row>
    <row r="29" spans="1:11" x14ac:dyDescent="0.3">
      <c r="A29" s="6" t="s">
        <v>3794</v>
      </c>
      <c r="B29" s="6" t="s">
        <v>330</v>
      </c>
      <c r="C29" s="6">
        <v>9</v>
      </c>
      <c r="D29" s="6"/>
      <c r="E29" s="6"/>
      <c r="F29" s="6"/>
      <c r="G29" s="6"/>
      <c r="H29" s="6"/>
      <c r="I29" s="6"/>
      <c r="J29" s="6">
        <f>Table78[[#This Row],[Total Athletes]]-(LEN(Table78[[#This Row],[Team]])-LEN(SUBSTITUTE(Table78[[#This Row],[Team]],"/","")))-1</f>
        <v>2</v>
      </c>
      <c r="K29" s="6">
        <v>4</v>
      </c>
    </row>
    <row r="30" spans="1:11" x14ac:dyDescent="0.3">
      <c r="A30" s="6" t="s">
        <v>4755</v>
      </c>
      <c r="B30" s="6" t="s">
        <v>598</v>
      </c>
      <c r="C30" s="6">
        <v>14</v>
      </c>
      <c r="D30" s="6"/>
      <c r="E30" s="6"/>
      <c r="F30" s="6"/>
      <c r="G30" s="6"/>
      <c r="H30" s="6"/>
      <c r="I30" s="6"/>
      <c r="J30" s="6">
        <f>Table78[[#This Row],[Total Athletes]]-(LEN(Table78[[#This Row],[Team]])-LEN(SUBSTITUTE(Table78[[#This Row],[Team]],"/","")))-1</f>
        <v>3</v>
      </c>
      <c r="K30" s="6">
        <v>4</v>
      </c>
    </row>
    <row r="31" spans="1:11" x14ac:dyDescent="0.3">
      <c r="A31" s="6"/>
      <c r="B31" s="6" t="s">
        <v>334</v>
      </c>
      <c r="C31" s="6">
        <v>-1</v>
      </c>
      <c r="D31" s="6"/>
      <c r="E31" s="6"/>
      <c r="F31" s="6"/>
      <c r="G31" s="6"/>
      <c r="H31" s="6"/>
      <c r="I31" s="6"/>
      <c r="J31" s="6">
        <f>Table78[[#This Row],[Total Athletes]]-(LEN(Table78[[#This Row],[Team]])-LEN(SUBSTITUTE(Table78[[#This Row],[Team]],"/","")))-1</f>
        <v>-1</v>
      </c>
      <c r="K31" s="6"/>
    </row>
    <row r="32" spans="1:11" x14ac:dyDescent="0.3">
      <c r="A32" s="6" t="s">
        <v>2930</v>
      </c>
      <c r="B32" s="6" t="s">
        <v>690</v>
      </c>
      <c r="C32" s="6">
        <v>11</v>
      </c>
      <c r="D32" s="6"/>
      <c r="E32" s="6"/>
      <c r="F32" s="6"/>
      <c r="G32" s="6"/>
      <c r="H32" s="6"/>
      <c r="I32" s="6"/>
      <c r="J32" s="6">
        <f>Table78[[#This Row],[Total Athletes]]-(LEN(Table78[[#This Row],[Team]])-LEN(SUBSTITUTE(Table78[[#This Row],[Team]],"/","")))-1</f>
        <v>2</v>
      </c>
      <c r="K32" s="6">
        <v>4</v>
      </c>
    </row>
    <row r="33" spans="1:11" x14ac:dyDescent="0.3">
      <c r="A33" s="6"/>
      <c r="B33" s="6" t="s">
        <v>344</v>
      </c>
      <c r="C33" s="6">
        <v>-1</v>
      </c>
      <c r="D33" s="6"/>
      <c r="E33" s="6"/>
      <c r="F33" s="6"/>
      <c r="G33" s="6"/>
      <c r="H33" s="6"/>
      <c r="I33" s="6"/>
      <c r="J33" s="6">
        <f>Table78[[#This Row],[Total Athletes]]-(LEN(Table78[[#This Row],[Team]])-LEN(SUBSTITUTE(Table78[[#This Row],[Team]],"/","")))-1</f>
        <v>-1</v>
      </c>
      <c r="K33" s="6"/>
    </row>
    <row r="34" spans="1:11" x14ac:dyDescent="0.3">
      <c r="A34" s="6" t="s">
        <v>3150</v>
      </c>
      <c r="B34" s="6" t="s">
        <v>338</v>
      </c>
      <c r="C34" s="6">
        <v>15</v>
      </c>
      <c r="D34" s="6"/>
      <c r="E34" s="6"/>
      <c r="F34" s="6"/>
      <c r="G34" s="6"/>
      <c r="H34" s="6"/>
      <c r="I34" s="6"/>
      <c r="J34" s="6">
        <f>Table78[[#This Row],[Total Athletes]]-(LEN(Table78[[#This Row],[Team]])-LEN(SUBSTITUTE(Table78[[#This Row],[Team]],"/","")))-1</f>
        <v>3</v>
      </c>
      <c r="K34" s="6">
        <v>4</v>
      </c>
    </row>
    <row r="35" spans="1:11" x14ac:dyDescent="0.3">
      <c r="A35" s="6"/>
      <c r="B35" s="6" t="s">
        <v>394</v>
      </c>
      <c r="C35" s="6">
        <v>-1</v>
      </c>
      <c r="D35" s="6"/>
      <c r="E35" s="6"/>
      <c r="F35" s="6"/>
      <c r="G35" s="6"/>
      <c r="H35" s="6"/>
      <c r="I35" s="6"/>
      <c r="J35" s="6">
        <f>Table78[[#This Row],[Total Athletes]]-(LEN(Table78[[#This Row],[Team]])-LEN(SUBSTITUTE(Table78[[#This Row],[Team]],"/","")))-1</f>
        <v>-1</v>
      </c>
      <c r="K35" s="6"/>
    </row>
    <row r="36" spans="1:11" x14ac:dyDescent="0.3">
      <c r="A36" s="6" t="s">
        <v>4280</v>
      </c>
      <c r="B36" s="6" t="s">
        <v>356</v>
      </c>
      <c r="C36" s="6"/>
      <c r="D36" s="6"/>
      <c r="E36" s="6">
        <v>10</v>
      </c>
      <c r="F36" s="6"/>
      <c r="G36" s="6"/>
      <c r="H36" s="6"/>
      <c r="I36" s="6"/>
      <c r="J36" s="6">
        <f>Table78[[#This Row],[Total Athletes]]-(LEN(Table78[[#This Row],[Team]])-LEN(SUBSTITUTE(Table78[[#This Row],[Team]],"/","")))-1</f>
        <v>2</v>
      </c>
      <c r="K36" s="6">
        <v>4</v>
      </c>
    </row>
    <row r="37" spans="1:11" x14ac:dyDescent="0.3">
      <c r="A37" s="6" t="s">
        <v>4386</v>
      </c>
      <c r="B37" s="6" t="s">
        <v>344</v>
      </c>
      <c r="C37" s="6"/>
      <c r="D37" s="6"/>
      <c r="E37" s="6">
        <v>5</v>
      </c>
      <c r="F37" s="6"/>
      <c r="G37" s="6"/>
      <c r="H37" s="6"/>
      <c r="I37" s="6"/>
      <c r="J37" s="6">
        <f>Table78[[#This Row],[Total Athletes]]-(LEN(Table78[[#This Row],[Team]])-LEN(SUBSTITUTE(Table78[[#This Row],[Team]],"/","")))-1</f>
        <v>3</v>
      </c>
      <c r="K37" s="6">
        <v>4</v>
      </c>
    </row>
    <row r="38" spans="1:11" x14ac:dyDescent="0.3">
      <c r="A38" s="6"/>
      <c r="B38" s="6" t="s">
        <v>700</v>
      </c>
      <c r="C38" s="6"/>
      <c r="D38" s="6"/>
      <c r="E38" s="6">
        <v>-1</v>
      </c>
      <c r="F38" s="6"/>
      <c r="G38" s="6"/>
      <c r="H38" s="6"/>
      <c r="I38" s="6"/>
      <c r="J38" s="6">
        <f>Table78[[#This Row],[Total Athletes]]-(LEN(Table78[[#This Row],[Team]])-LEN(SUBSTITUTE(Table78[[#This Row],[Team]],"/","")))-1</f>
        <v>-1</v>
      </c>
      <c r="K38" s="6"/>
    </row>
    <row r="39" spans="1:11" x14ac:dyDescent="0.3">
      <c r="A39" s="6"/>
      <c r="B39" s="6" t="s">
        <v>334</v>
      </c>
      <c r="C39" s="6"/>
      <c r="D39" s="6"/>
      <c r="E39" s="6">
        <v>-1</v>
      </c>
      <c r="F39" s="6"/>
      <c r="G39" s="6"/>
      <c r="H39" s="6"/>
      <c r="I39" s="6"/>
      <c r="J39" s="6">
        <f>Table78[[#This Row],[Total Athletes]]-(LEN(Table78[[#This Row],[Team]])-LEN(SUBSTITUTE(Table78[[#This Row],[Team]],"/","")))-1</f>
        <v>-1</v>
      </c>
      <c r="K39" s="6"/>
    </row>
    <row r="40" spans="1:11" x14ac:dyDescent="0.3">
      <c r="A40" s="6" t="s">
        <v>4119</v>
      </c>
      <c r="B40" s="6" t="s">
        <v>336</v>
      </c>
      <c r="C40" s="6"/>
      <c r="D40" s="6"/>
      <c r="E40" s="6">
        <v>12</v>
      </c>
      <c r="F40" s="6"/>
      <c r="G40" s="6"/>
      <c r="H40" s="6"/>
      <c r="I40" s="6"/>
      <c r="J40" s="6">
        <f>Table78[[#This Row],[Total Athletes]]-(LEN(Table78[[#This Row],[Team]])-LEN(SUBSTITUTE(Table78[[#This Row],[Team]],"/","")))-1</f>
        <v>2</v>
      </c>
      <c r="K40" s="6">
        <v>4</v>
      </c>
    </row>
    <row r="41" spans="1:11" x14ac:dyDescent="0.3">
      <c r="A41" s="6"/>
      <c r="B41" s="6" t="s">
        <v>328</v>
      </c>
      <c r="C41" s="6"/>
      <c r="D41" s="6"/>
      <c r="E41" s="6">
        <v>-1</v>
      </c>
      <c r="F41" s="6"/>
      <c r="G41" s="6"/>
      <c r="H41" s="6"/>
      <c r="I41" s="6"/>
      <c r="J41" s="6">
        <f>Table78[[#This Row],[Total Athletes]]-(LEN(Table78[[#This Row],[Team]])-LEN(SUBSTITUTE(Table78[[#This Row],[Team]],"/","")))-1</f>
        <v>-1</v>
      </c>
      <c r="K41" s="6"/>
    </row>
    <row r="42" spans="1:11" x14ac:dyDescent="0.3">
      <c r="A42" s="6" t="s">
        <v>2666</v>
      </c>
      <c r="B42" s="6" t="s">
        <v>428</v>
      </c>
      <c r="C42" s="6"/>
      <c r="D42" s="6"/>
      <c r="E42" s="6">
        <v>7</v>
      </c>
      <c r="F42" s="6"/>
      <c r="G42" s="6"/>
      <c r="H42" s="6"/>
      <c r="I42" s="6"/>
      <c r="J42" s="6">
        <f>Table78[[#This Row],[Total Athletes]]-(LEN(Table78[[#This Row],[Team]])-LEN(SUBSTITUTE(Table78[[#This Row],[Team]],"/","")))-1</f>
        <v>2</v>
      </c>
      <c r="K42" s="6">
        <v>4</v>
      </c>
    </row>
    <row r="43" spans="1:11" x14ac:dyDescent="0.3">
      <c r="A43" s="6" t="s">
        <v>4755</v>
      </c>
      <c r="B43" s="6" t="s">
        <v>598</v>
      </c>
      <c r="C43" s="6"/>
      <c r="D43" s="6"/>
      <c r="E43" s="6">
        <v>9</v>
      </c>
      <c r="F43" s="6"/>
      <c r="G43" s="6"/>
      <c r="H43" s="6"/>
      <c r="I43" s="6"/>
      <c r="J43" s="6">
        <f>Table78[[#This Row],[Total Athletes]]-(LEN(Table78[[#This Row],[Team]])-LEN(SUBSTITUTE(Table78[[#This Row],[Team]],"/","")))-1</f>
        <v>4</v>
      </c>
      <c r="K43" s="6">
        <v>5</v>
      </c>
    </row>
    <row r="44" spans="1:11" x14ac:dyDescent="0.3">
      <c r="A44" s="6"/>
      <c r="B44" s="6" t="s">
        <v>342</v>
      </c>
      <c r="C44" s="6"/>
      <c r="D44" s="6"/>
      <c r="E44" s="6">
        <v>-1</v>
      </c>
      <c r="F44" s="6"/>
      <c r="G44" s="6"/>
      <c r="H44" s="6"/>
      <c r="I44" s="6"/>
      <c r="J44" s="6">
        <f>Table78[[#This Row],[Total Athletes]]-(LEN(Table78[[#This Row],[Team]])-LEN(SUBSTITUTE(Table78[[#This Row],[Team]],"/","")))-1</f>
        <v>-1</v>
      </c>
      <c r="K44" s="6"/>
    </row>
    <row r="45" spans="1:11" x14ac:dyDescent="0.3">
      <c r="A45" s="6" t="s">
        <v>2794</v>
      </c>
      <c r="B45" s="6" t="s">
        <v>620</v>
      </c>
      <c r="C45" s="6"/>
      <c r="D45" s="6"/>
      <c r="E45" s="6">
        <v>15</v>
      </c>
      <c r="F45" s="6"/>
      <c r="G45" s="6"/>
      <c r="H45" s="6"/>
      <c r="I45" s="6"/>
      <c r="J45" s="6">
        <f>Table78[[#This Row],[Total Athletes]]-(LEN(Table78[[#This Row],[Team]])-LEN(SUBSTITUTE(Table78[[#This Row],[Team]],"/","")))-1</f>
        <v>1</v>
      </c>
      <c r="K45" s="6">
        <v>4</v>
      </c>
    </row>
    <row r="46" spans="1:11" x14ac:dyDescent="0.3">
      <c r="A46" s="6" t="s">
        <v>4574</v>
      </c>
      <c r="B46" s="6" t="s">
        <v>330</v>
      </c>
      <c r="C46" s="6"/>
      <c r="D46" s="6"/>
      <c r="E46" s="6">
        <v>13</v>
      </c>
      <c r="F46" s="6"/>
      <c r="G46" s="6"/>
      <c r="H46" s="6"/>
      <c r="I46" s="6"/>
      <c r="J46" s="6">
        <f>Table78[[#This Row],[Total Athletes]]-(LEN(Table78[[#This Row],[Team]])-LEN(SUBSTITUTE(Table78[[#This Row],[Team]],"/","")))-1</f>
        <v>2</v>
      </c>
      <c r="K46" s="6">
        <v>4</v>
      </c>
    </row>
    <row r="47" spans="1:11" x14ac:dyDescent="0.3">
      <c r="A47" s="6" t="s">
        <v>2195</v>
      </c>
      <c r="B47" s="6" t="s">
        <v>384</v>
      </c>
      <c r="C47" s="6"/>
      <c r="D47" s="6"/>
      <c r="E47" s="6">
        <v>14</v>
      </c>
      <c r="F47" s="6"/>
      <c r="G47" s="6"/>
      <c r="H47" s="6"/>
      <c r="I47" s="6"/>
      <c r="J47" s="6">
        <f>Table78[[#This Row],[Total Athletes]]-(LEN(Table78[[#This Row],[Team]])-LEN(SUBSTITUTE(Table78[[#This Row],[Team]],"/","")))-1</f>
        <v>3</v>
      </c>
      <c r="K47" s="6">
        <v>4</v>
      </c>
    </row>
    <row r="48" spans="1:11" x14ac:dyDescent="0.3">
      <c r="A48" s="6" t="s">
        <v>5045</v>
      </c>
      <c r="B48" s="6" t="s">
        <v>444</v>
      </c>
      <c r="C48" s="6"/>
      <c r="D48" s="6"/>
      <c r="E48" s="6">
        <v>16</v>
      </c>
      <c r="F48" s="6"/>
      <c r="G48" s="6"/>
      <c r="H48" s="6"/>
      <c r="I48" s="6"/>
      <c r="J48" s="6">
        <f>Table78[[#This Row],[Total Athletes]]-(LEN(Table78[[#This Row],[Team]])-LEN(SUBSTITUTE(Table78[[#This Row],[Team]],"/","")))-1</f>
        <v>2</v>
      </c>
      <c r="K48" s="6">
        <v>4</v>
      </c>
    </row>
    <row r="49" spans="1:11" x14ac:dyDescent="0.3">
      <c r="A49" s="6" t="s">
        <v>1436</v>
      </c>
      <c r="B49" s="6" t="s">
        <v>344</v>
      </c>
      <c r="C49" s="6"/>
      <c r="D49" s="6"/>
      <c r="E49" s="6"/>
      <c r="F49" s="6"/>
      <c r="G49" s="6">
        <v>3</v>
      </c>
      <c r="H49" s="6"/>
      <c r="I49" s="6"/>
      <c r="J49" s="6">
        <f>Table78[[#This Row],[Total Athletes]]-(LEN(Table78[[#This Row],[Team]])-LEN(SUBSTITUTE(Table78[[#This Row],[Team]],"/","")))-1</f>
        <v>5</v>
      </c>
      <c r="K49" s="6">
        <v>6</v>
      </c>
    </row>
    <row r="50" spans="1:11" x14ac:dyDescent="0.3">
      <c r="A50" s="6"/>
      <c r="B50" s="6" t="s">
        <v>334</v>
      </c>
      <c r="C50" s="6"/>
      <c r="D50" s="6"/>
      <c r="E50" s="6"/>
      <c r="F50" s="6"/>
      <c r="G50" s="6">
        <v>-1</v>
      </c>
      <c r="H50" s="6"/>
      <c r="I50" s="6"/>
      <c r="J50" s="6">
        <f>Table78[[#This Row],[Total Athletes]]-(LEN(Table78[[#This Row],[Team]])-LEN(SUBSTITUTE(Table78[[#This Row],[Team]],"/","")))-1</f>
        <v>-1</v>
      </c>
      <c r="K50" s="6"/>
    </row>
    <row r="51" spans="1:11" x14ac:dyDescent="0.3">
      <c r="A51" s="6" t="s">
        <v>3206</v>
      </c>
      <c r="B51" s="6" t="s">
        <v>384</v>
      </c>
      <c r="C51" s="6"/>
      <c r="D51" s="6"/>
      <c r="E51" s="6"/>
      <c r="F51" s="6"/>
      <c r="G51" s="6">
        <v>5</v>
      </c>
      <c r="H51" s="6"/>
      <c r="I51" s="6"/>
      <c r="J51" s="6">
        <f>Table78[[#This Row],[Total Athletes]]-(LEN(Table78[[#This Row],[Team]])-LEN(SUBSTITUTE(Table78[[#This Row],[Team]],"/","")))-1</f>
        <v>4</v>
      </c>
      <c r="K51" s="6">
        <v>5</v>
      </c>
    </row>
    <row r="52" spans="1:11" x14ac:dyDescent="0.3">
      <c r="A52" s="6" t="s">
        <v>3748</v>
      </c>
      <c r="B52" s="6" t="s">
        <v>428</v>
      </c>
      <c r="C52" s="6"/>
      <c r="D52" s="6"/>
      <c r="E52" s="6"/>
      <c r="F52" s="6"/>
      <c r="G52" s="6">
        <v>14</v>
      </c>
      <c r="H52" s="6"/>
      <c r="I52" s="6"/>
      <c r="J52" s="6">
        <f>Table78[[#This Row],[Total Athletes]]-(LEN(Table78[[#This Row],[Team]])-LEN(SUBSTITUTE(Table78[[#This Row],[Team]],"/","")))-1</f>
        <v>3</v>
      </c>
      <c r="K52" s="6">
        <v>4</v>
      </c>
    </row>
    <row r="53" spans="1:11" x14ac:dyDescent="0.3">
      <c r="A53" s="6" t="s">
        <v>3777</v>
      </c>
      <c r="B53" s="6" t="s">
        <v>412</v>
      </c>
      <c r="C53" s="6"/>
      <c r="D53" s="6"/>
      <c r="E53" s="6"/>
      <c r="F53" s="6"/>
      <c r="G53" s="6">
        <v>8</v>
      </c>
      <c r="H53" s="6"/>
      <c r="I53" s="6"/>
      <c r="J53" s="6">
        <f>Table78[[#This Row],[Total Athletes]]-(LEN(Table78[[#This Row],[Team]])-LEN(SUBSTITUTE(Table78[[#This Row],[Team]],"/","")))-1</f>
        <v>1</v>
      </c>
      <c r="K53" s="6">
        <v>4</v>
      </c>
    </row>
    <row r="54" spans="1:11" x14ac:dyDescent="0.3">
      <c r="A54" s="6" t="s">
        <v>4134</v>
      </c>
      <c r="B54" s="6" t="s">
        <v>402</v>
      </c>
      <c r="C54" s="6"/>
      <c r="D54" s="6"/>
      <c r="E54" s="6"/>
      <c r="F54" s="6"/>
      <c r="G54" s="6">
        <v>4</v>
      </c>
      <c r="H54" s="6"/>
      <c r="I54" s="6"/>
      <c r="J54" s="6">
        <f>Table78[[#This Row],[Total Athletes]]-(LEN(Table78[[#This Row],[Team]])-LEN(SUBSTITUTE(Table78[[#This Row],[Team]],"/","")))-1</f>
        <v>1</v>
      </c>
      <c r="K54" s="6">
        <v>5</v>
      </c>
    </row>
    <row r="55" spans="1:11" x14ac:dyDescent="0.3">
      <c r="A55" s="6" t="s">
        <v>4619</v>
      </c>
      <c r="B55" s="6" t="s">
        <v>356</v>
      </c>
      <c r="C55" s="6"/>
      <c r="D55" s="6"/>
      <c r="E55" s="6"/>
      <c r="F55" s="6"/>
      <c r="G55" s="6">
        <v>9</v>
      </c>
      <c r="H55" s="6"/>
      <c r="I55" s="6"/>
      <c r="J55" s="6">
        <f>Table78[[#This Row],[Total Athletes]]-(LEN(Table78[[#This Row],[Team]])-LEN(SUBSTITUTE(Table78[[#This Row],[Team]],"/","")))-1</f>
        <v>3</v>
      </c>
      <c r="K55" s="6">
        <v>4</v>
      </c>
    </row>
    <row r="56" spans="1:11" x14ac:dyDescent="0.3">
      <c r="A56" s="6" t="s">
        <v>2597</v>
      </c>
      <c r="B56" s="6" t="s">
        <v>330</v>
      </c>
      <c r="C56" s="6"/>
      <c r="D56" s="6"/>
      <c r="E56" s="6"/>
      <c r="F56" s="6"/>
      <c r="G56" s="6">
        <v>3001</v>
      </c>
      <c r="H56" s="6"/>
      <c r="I56" s="6"/>
      <c r="J56" s="6">
        <f>Table78[[#This Row],[Total Athletes]]-(LEN(Table78[[#This Row],[Team]])-LEN(SUBSTITUTE(Table78[[#This Row],[Team]],"/","")))-1</f>
        <v>1</v>
      </c>
      <c r="K56" s="6">
        <v>4</v>
      </c>
    </row>
    <row r="57" spans="1:11" x14ac:dyDescent="0.3">
      <c r="A57" s="6"/>
      <c r="B57" s="6" t="s">
        <v>394</v>
      </c>
      <c r="C57" s="6"/>
      <c r="D57" s="6"/>
      <c r="E57" s="6"/>
      <c r="F57" s="6"/>
      <c r="G57" s="6">
        <v>-1</v>
      </c>
      <c r="H57" s="6"/>
      <c r="I57" s="6"/>
      <c r="J57" s="6">
        <f>Table78[[#This Row],[Total Athletes]]-(LEN(Table78[[#This Row],[Team]])-LEN(SUBSTITUTE(Table78[[#This Row],[Team]],"/","")))-1</f>
        <v>-1</v>
      </c>
      <c r="K57" s="6"/>
    </row>
    <row r="58" spans="1:11" x14ac:dyDescent="0.3">
      <c r="A58" s="6"/>
      <c r="B58" s="6" t="s">
        <v>700</v>
      </c>
      <c r="C58" s="6"/>
      <c r="D58" s="6"/>
      <c r="E58" s="6"/>
      <c r="F58" s="6"/>
      <c r="G58" s="6">
        <v>-1</v>
      </c>
      <c r="H58" s="6"/>
      <c r="I58" s="6"/>
      <c r="J58" s="6">
        <f>Table78[[#This Row],[Total Athletes]]-(LEN(Table78[[#This Row],[Team]])-LEN(SUBSTITUTE(Table78[[#This Row],[Team]],"/","")))-1</f>
        <v>-1</v>
      </c>
      <c r="K58" s="6"/>
    </row>
    <row r="59" spans="1:11" x14ac:dyDescent="0.3">
      <c r="A59" s="6" t="s">
        <v>4555</v>
      </c>
      <c r="B59" s="6" t="s">
        <v>358</v>
      </c>
      <c r="C59" s="6"/>
      <c r="D59" s="6"/>
      <c r="E59" s="6"/>
      <c r="F59" s="6"/>
      <c r="G59" s="6">
        <v>12</v>
      </c>
      <c r="H59" s="6"/>
      <c r="I59" s="6"/>
      <c r="J59" s="6">
        <f>Table78[[#This Row],[Total Athletes]]-(LEN(Table78[[#This Row],[Team]])-LEN(SUBSTITUTE(Table78[[#This Row],[Team]],"/","")))-1</f>
        <v>3</v>
      </c>
      <c r="K59" s="6">
        <v>4</v>
      </c>
    </row>
    <row r="60" spans="1:11" x14ac:dyDescent="0.3">
      <c r="A60" s="6" t="s">
        <v>4532</v>
      </c>
      <c r="B60" s="6" t="s">
        <v>596</v>
      </c>
      <c r="C60" s="6"/>
      <c r="D60" s="6"/>
      <c r="E60" s="6"/>
      <c r="F60" s="6"/>
      <c r="G60" s="6">
        <v>11</v>
      </c>
      <c r="H60" s="6"/>
      <c r="I60" s="6"/>
      <c r="J60" s="6">
        <f>Table78[[#This Row],[Total Athletes]]-(LEN(Table78[[#This Row],[Team]])-LEN(SUBSTITUTE(Table78[[#This Row],[Team]],"/","")))-1</f>
        <v>2</v>
      </c>
      <c r="K60" s="6">
        <v>4</v>
      </c>
    </row>
    <row r="61" spans="1:11" x14ac:dyDescent="0.3">
      <c r="A61" s="6" t="s">
        <v>5046</v>
      </c>
      <c r="B61" s="6" t="s">
        <v>444</v>
      </c>
      <c r="C61" s="6"/>
      <c r="D61" s="6"/>
      <c r="E61" s="6"/>
      <c r="F61" s="6"/>
      <c r="G61" s="6">
        <v>15</v>
      </c>
      <c r="H61" s="6"/>
      <c r="I61" s="6"/>
      <c r="J61" s="6">
        <f>Table78[[#This Row],[Total Athletes]]-(LEN(Table78[[#This Row],[Team]])-LEN(SUBSTITUTE(Table78[[#This Row],[Team]],"/","")))-1</f>
        <v>1</v>
      </c>
      <c r="K61" s="6">
        <v>4</v>
      </c>
    </row>
    <row r="62" spans="1:11" x14ac:dyDescent="0.3">
      <c r="A62" s="6" t="s">
        <v>4372</v>
      </c>
      <c r="B62" s="6" t="s">
        <v>402</v>
      </c>
      <c r="C62" s="6"/>
      <c r="D62" s="6">
        <v>7</v>
      </c>
      <c r="E62" s="6"/>
      <c r="F62" s="6"/>
      <c r="G62" s="6"/>
      <c r="H62" s="6"/>
      <c r="I62" s="6"/>
      <c r="J62" s="6">
        <f>Table78[[#This Row],[Total Athletes]]-(LEN(Table78[[#This Row],[Team]])-LEN(SUBSTITUTE(Table78[[#This Row],[Team]],"/","")))-1</f>
        <v>1</v>
      </c>
      <c r="K62" s="6">
        <v>4</v>
      </c>
    </row>
    <row r="63" spans="1:11" x14ac:dyDescent="0.3">
      <c r="A63" s="6" t="s">
        <v>3170</v>
      </c>
      <c r="B63" s="6" t="s">
        <v>338</v>
      </c>
      <c r="C63" s="6"/>
      <c r="D63" s="6">
        <v>5</v>
      </c>
      <c r="E63" s="6"/>
      <c r="F63" s="6"/>
      <c r="G63" s="6"/>
      <c r="H63" s="6"/>
      <c r="I63" s="6"/>
      <c r="J63" s="6">
        <f>Table78[[#This Row],[Total Athletes]]-(LEN(Table78[[#This Row],[Team]])-LEN(SUBSTITUTE(Table78[[#This Row],[Team]],"/","")))-1</f>
        <v>3</v>
      </c>
      <c r="K63" s="6">
        <v>5</v>
      </c>
    </row>
    <row r="64" spans="1:11" x14ac:dyDescent="0.3">
      <c r="A64" s="6" t="s">
        <v>3783</v>
      </c>
      <c r="B64" s="6" t="s">
        <v>412</v>
      </c>
      <c r="C64" s="6"/>
      <c r="D64" s="6">
        <v>9</v>
      </c>
      <c r="E64" s="6"/>
      <c r="F64" s="6"/>
      <c r="G64" s="6"/>
      <c r="H64" s="6"/>
      <c r="I64" s="6"/>
      <c r="J64" s="6">
        <f>Table78[[#This Row],[Total Athletes]]-(LEN(Table78[[#This Row],[Team]])-LEN(SUBSTITUTE(Table78[[#This Row],[Team]],"/","")))-1</f>
        <v>3</v>
      </c>
      <c r="K64" s="6">
        <v>4</v>
      </c>
    </row>
    <row r="65" spans="1:11" x14ac:dyDescent="0.3">
      <c r="A65" s="6" t="s">
        <v>2576</v>
      </c>
      <c r="B65" s="6" t="s">
        <v>384</v>
      </c>
      <c r="C65" s="6"/>
      <c r="D65" s="6">
        <v>4</v>
      </c>
      <c r="E65" s="6"/>
      <c r="F65" s="6"/>
      <c r="G65" s="6"/>
      <c r="H65" s="6"/>
      <c r="I65" s="6"/>
      <c r="J65" s="6">
        <f>Table78[[#This Row],[Total Athletes]]-(LEN(Table78[[#This Row],[Team]])-LEN(SUBSTITUTE(Table78[[#This Row],[Team]],"/","")))-1</f>
        <v>4</v>
      </c>
      <c r="K65" s="6">
        <v>6</v>
      </c>
    </row>
    <row r="66" spans="1:11" x14ac:dyDescent="0.3">
      <c r="A66" s="6" t="s">
        <v>3380</v>
      </c>
      <c r="B66" s="6" t="s">
        <v>356</v>
      </c>
      <c r="C66" s="6"/>
      <c r="D66" s="6">
        <v>8</v>
      </c>
      <c r="E66" s="6"/>
      <c r="F66" s="6"/>
      <c r="G66" s="6"/>
      <c r="H66" s="6"/>
      <c r="I66" s="6"/>
      <c r="J66" s="6">
        <f>Table78[[#This Row],[Total Athletes]]-(LEN(Table78[[#This Row],[Team]])-LEN(SUBSTITUTE(Table78[[#This Row],[Team]],"/","")))-1</f>
        <v>3</v>
      </c>
      <c r="K66" s="6">
        <v>4</v>
      </c>
    </row>
    <row r="67" spans="1:11" x14ac:dyDescent="0.3">
      <c r="A67" s="6" t="s">
        <v>2852</v>
      </c>
      <c r="B67" s="6" t="s">
        <v>344</v>
      </c>
      <c r="C67" s="6"/>
      <c r="D67" s="6">
        <v>6</v>
      </c>
      <c r="E67" s="6"/>
      <c r="F67" s="6"/>
      <c r="G67" s="6"/>
      <c r="H67" s="6"/>
      <c r="I67" s="6"/>
      <c r="J67" s="6">
        <f>Table78[[#This Row],[Total Athletes]]-(LEN(Table78[[#This Row],[Team]])-LEN(SUBSTITUTE(Table78[[#This Row],[Team]],"/","")))-1</f>
        <v>3</v>
      </c>
      <c r="K67" s="6">
        <v>5</v>
      </c>
    </row>
    <row r="68" spans="1:11" x14ac:dyDescent="0.3">
      <c r="A68" s="6" t="s">
        <v>3678</v>
      </c>
      <c r="B68" s="6" t="s">
        <v>394</v>
      </c>
      <c r="C68" s="6"/>
      <c r="D68" s="6">
        <v>13</v>
      </c>
      <c r="E68" s="6"/>
      <c r="F68" s="6"/>
      <c r="G68" s="6"/>
      <c r="H68" s="6"/>
      <c r="I68" s="6"/>
      <c r="J68" s="6">
        <f>Table78[[#This Row],[Total Athletes]]-(LEN(Table78[[#This Row],[Team]])-LEN(SUBSTITUTE(Table78[[#This Row],[Team]],"/","")))-1</f>
        <v>3</v>
      </c>
      <c r="K68" s="6">
        <v>4</v>
      </c>
    </row>
    <row r="69" spans="1:11" x14ac:dyDescent="0.3">
      <c r="A69" s="6" t="s">
        <v>3119</v>
      </c>
      <c r="B69" s="6" t="s">
        <v>336</v>
      </c>
      <c r="C69" s="6"/>
      <c r="D69" s="6">
        <v>12</v>
      </c>
      <c r="E69" s="6"/>
      <c r="F69" s="6"/>
      <c r="G69" s="6"/>
      <c r="H69" s="6"/>
      <c r="I69" s="6"/>
      <c r="J69" s="6">
        <f>Table78[[#This Row],[Total Athletes]]-(LEN(Table78[[#This Row],[Team]])-LEN(SUBSTITUTE(Table78[[#This Row],[Team]],"/","")))-1</f>
        <v>1</v>
      </c>
      <c r="K69" s="6">
        <v>4</v>
      </c>
    </row>
    <row r="70" spans="1:11" x14ac:dyDescent="0.3">
      <c r="A70" s="6"/>
      <c r="B70" s="6" t="s">
        <v>592</v>
      </c>
      <c r="C70" s="6"/>
      <c r="D70" s="6">
        <v>-1</v>
      </c>
      <c r="E70" s="6"/>
      <c r="F70" s="6"/>
      <c r="G70" s="6"/>
      <c r="H70" s="6"/>
      <c r="I70" s="6"/>
      <c r="J70" s="6">
        <f>Table78[[#This Row],[Total Athletes]]-(LEN(Table78[[#This Row],[Team]])-LEN(SUBSTITUTE(Table78[[#This Row],[Team]],"/","")))-1</f>
        <v>-1</v>
      </c>
      <c r="K70" s="6"/>
    </row>
    <row r="71" spans="1:11" x14ac:dyDescent="0.3">
      <c r="A71" s="6"/>
      <c r="B71" s="6" t="s">
        <v>406</v>
      </c>
      <c r="C71" s="6"/>
      <c r="D71" s="6">
        <v>-1</v>
      </c>
      <c r="E71" s="6"/>
      <c r="F71" s="6"/>
      <c r="G71" s="6"/>
      <c r="H71" s="6"/>
      <c r="I71" s="6"/>
      <c r="J71" s="6">
        <f>Table78[[#This Row],[Total Athletes]]-(LEN(Table78[[#This Row],[Team]])-LEN(SUBSTITUTE(Table78[[#This Row],[Team]],"/","")))-1</f>
        <v>-1</v>
      </c>
      <c r="K71" s="6"/>
    </row>
    <row r="72" spans="1:11" x14ac:dyDescent="0.3">
      <c r="A72" s="6"/>
      <c r="B72" s="6" t="s">
        <v>414</v>
      </c>
      <c r="C72" s="6"/>
      <c r="D72" s="6">
        <v>-1</v>
      </c>
      <c r="E72" s="6"/>
      <c r="F72" s="6"/>
      <c r="G72" s="6"/>
      <c r="H72" s="6"/>
      <c r="I72" s="6"/>
      <c r="J72" s="6">
        <f>Table78[[#This Row],[Total Athletes]]-(LEN(Table78[[#This Row],[Team]])-LEN(SUBSTITUTE(Table78[[#This Row],[Team]],"/","")))-1</f>
        <v>-1</v>
      </c>
      <c r="K72" s="6"/>
    </row>
    <row r="73" spans="1:11" x14ac:dyDescent="0.3">
      <c r="A73" s="6"/>
      <c r="B73" s="6" t="s">
        <v>694</v>
      </c>
      <c r="C73" s="6"/>
      <c r="D73" s="6">
        <v>-1</v>
      </c>
      <c r="E73" s="6"/>
      <c r="F73" s="6"/>
      <c r="G73" s="6"/>
      <c r="H73" s="6"/>
      <c r="I73" s="6"/>
      <c r="J73" s="6">
        <f>Table78[[#This Row],[Total Athletes]]-(LEN(Table78[[#This Row],[Team]])-LEN(SUBSTITUTE(Table78[[#This Row],[Team]],"/","")))-1</f>
        <v>-1</v>
      </c>
      <c r="K73" s="6"/>
    </row>
    <row r="74" spans="1:11" x14ac:dyDescent="0.3">
      <c r="A74" s="6"/>
      <c r="B74" s="6" t="s">
        <v>596</v>
      </c>
      <c r="C74" s="6"/>
      <c r="D74" s="6">
        <v>-1</v>
      </c>
      <c r="E74" s="6"/>
      <c r="F74" s="6"/>
      <c r="G74" s="6"/>
      <c r="H74" s="6"/>
      <c r="I74" s="6"/>
      <c r="J74" s="6">
        <f>Table78[[#This Row],[Total Athletes]]-(LEN(Table78[[#This Row],[Team]])-LEN(SUBSTITUTE(Table78[[#This Row],[Team]],"/","")))-1</f>
        <v>-1</v>
      </c>
      <c r="K74" s="6"/>
    </row>
    <row r="75" spans="1:11" x14ac:dyDescent="0.3">
      <c r="A75" s="6" t="s">
        <v>4373</v>
      </c>
      <c r="B75" s="6" t="s">
        <v>402</v>
      </c>
      <c r="C75" s="6"/>
      <c r="D75" s="6"/>
      <c r="E75" s="6"/>
      <c r="F75" s="6">
        <v>5</v>
      </c>
      <c r="G75" s="6"/>
      <c r="H75" s="6"/>
      <c r="I75" s="6"/>
      <c r="J75" s="6">
        <f>Table78[[#This Row],[Total Athletes]]-(LEN(Table78[[#This Row],[Team]])-LEN(SUBSTITUTE(Table78[[#This Row],[Team]],"/","")))-1</f>
        <v>1</v>
      </c>
      <c r="K75" s="6">
        <v>5</v>
      </c>
    </row>
    <row r="76" spans="1:11" x14ac:dyDescent="0.3">
      <c r="A76" s="6" t="s">
        <v>2176</v>
      </c>
      <c r="B76" s="6" t="s">
        <v>384</v>
      </c>
      <c r="C76" s="6"/>
      <c r="D76" s="6"/>
      <c r="E76" s="6"/>
      <c r="F76" s="6">
        <v>4</v>
      </c>
      <c r="G76" s="6"/>
      <c r="H76" s="6"/>
      <c r="I76" s="6"/>
      <c r="J76" s="6">
        <f>Table78[[#This Row],[Total Athletes]]-(LEN(Table78[[#This Row],[Team]])-LEN(SUBSTITUTE(Table78[[#This Row],[Team]],"/","")))-1</f>
        <v>4</v>
      </c>
      <c r="K76" s="6">
        <v>5</v>
      </c>
    </row>
    <row r="77" spans="1:11" x14ac:dyDescent="0.3">
      <c r="A77" s="6" t="s">
        <v>3783</v>
      </c>
      <c r="B77" s="6" t="s">
        <v>412</v>
      </c>
      <c r="C77" s="6"/>
      <c r="D77" s="6"/>
      <c r="E77" s="6"/>
      <c r="F77" s="6">
        <v>12</v>
      </c>
      <c r="G77" s="6"/>
      <c r="H77" s="6"/>
      <c r="I77" s="6"/>
      <c r="J77" s="6">
        <f>Table78[[#This Row],[Total Athletes]]-(LEN(Table78[[#This Row],[Team]])-LEN(SUBSTITUTE(Table78[[#This Row],[Team]],"/","")))-1</f>
        <v>3</v>
      </c>
      <c r="K77" s="6">
        <v>4</v>
      </c>
    </row>
    <row r="78" spans="1:11" x14ac:dyDescent="0.3">
      <c r="A78" s="6"/>
      <c r="B78" s="6" t="s">
        <v>406</v>
      </c>
      <c r="C78" s="6"/>
      <c r="D78" s="6"/>
      <c r="E78" s="6"/>
      <c r="F78" s="6">
        <v>-1</v>
      </c>
      <c r="G78" s="6"/>
      <c r="H78" s="6"/>
      <c r="I78" s="6"/>
      <c r="J78" s="6">
        <f>Table78[[#This Row],[Total Athletes]]-(LEN(Table78[[#This Row],[Team]])-LEN(SUBSTITUTE(Table78[[#This Row],[Team]],"/","")))-1</f>
        <v>-1</v>
      </c>
      <c r="K78" s="6"/>
    </row>
    <row r="79" spans="1:11" x14ac:dyDescent="0.3">
      <c r="A79" s="6"/>
      <c r="B79" s="6" t="s">
        <v>474</v>
      </c>
      <c r="C79" s="6"/>
      <c r="D79" s="6"/>
      <c r="E79" s="6"/>
      <c r="F79" s="6">
        <v>-1</v>
      </c>
      <c r="G79" s="6"/>
      <c r="H79" s="6"/>
      <c r="I79" s="6"/>
      <c r="J79" s="6">
        <f>Table78[[#This Row],[Total Athletes]]-(LEN(Table78[[#This Row],[Team]])-LEN(SUBSTITUTE(Table78[[#This Row],[Team]],"/","")))-1</f>
        <v>-1</v>
      </c>
      <c r="K79" s="6"/>
    </row>
    <row r="80" spans="1:11" x14ac:dyDescent="0.3">
      <c r="A80" s="6" t="s">
        <v>3095</v>
      </c>
      <c r="B80" s="6" t="s">
        <v>336</v>
      </c>
      <c r="C80" s="6"/>
      <c r="D80" s="6"/>
      <c r="E80" s="6"/>
      <c r="F80" s="6">
        <v>7</v>
      </c>
      <c r="G80" s="6"/>
      <c r="H80" s="6"/>
      <c r="I80" s="6"/>
      <c r="J80" s="6">
        <f>Table78[[#This Row],[Total Athletes]]-(LEN(Table78[[#This Row],[Team]])-LEN(SUBSTITUTE(Table78[[#This Row],[Team]],"/","")))-1</f>
        <v>2</v>
      </c>
      <c r="K80" s="6">
        <v>4</v>
      </c>
    </row>
    <row r="81" spans="1:11" x14ac:dyDescent="0.3">
      <c r="A81" s="6" t="s">
        <v>4055</v>
      </c>
      <c r="B81" s="6" t="s">
        <v>428</v>
      </c>
      <c r="C81" s="6"/>
      <c r="D81" s="6"/>
      <c r="E81" s="6"/>
      <c r="F81" s="6">
        <v>13</v>
      </c>
      <c r="G81" s="6"/>
      <c r="H81" s="6"/>
      <c r="I81" s="6"/>
      <c r="J81" s="6">
        <f>Table78[[#This Row],[Total Athletes]]-(LEN(Table78[[#This Row],[Team]])-LEN(SUBSTITUTE(Table78[[#This Row],[Team]],"/","")))-1</f>
        <v>3</v>
      </c>
      <c r="K81" s="6">
        <v>4</v>
      </c>
    </row>
    <row r="82" spans="1:11" x14ac:dyDescent="0.3">
      <c r="A82" s="6" t="s">
        <v>3311</v>
      </c>
      <c r="B82" s="6" t="s">
        <v>598</v>
      </c>
      <c r="C82" s="6"/>
      <c r="D82" s="6"/>
      <c r="E82" s="6"/>
      <c r="F82" s="6">
        <v>11</v>
      </c>
      <c r="G82" s="6"/>
      <c r="H82" s="6"/>
      <c r="I82" s="6"/>
      <c r="J82" s="6">
        <f>Table78[[#This Row],[Total Athletes]]-(LEN(Table78[[#This Row],[Team]])-LEN(SUBSTITUTE(Table78[[#This Row],[Team]],"/","")))-1</f>
        <v>2</v>
      </c>
      <c r="K82" s="6">
        <v>4</v>
      </c>
    </row>
    <row r="83" spans="1:11" x14ac:dyDescent="0.3">
      <c r="A83" s="6" t="s">
        <v>3273</v>
      </c>
      <c r="B83" s="6" t="s">
        <v>344</v>
      </c>
      <c r="C83" s="6"/>
      <c r="D83" s="6"/>
      <c r="E83" s="6"/>
      <c r="F83" s="6">
        <v>14</v>
      </c>
      <c r="G83" s="6"/>
      <c r="H83" s="6"/>
      <c r="I83" s="6"/>
      <c r="J83" s="6">
        <f>Table78[[#This Row],[Total Athletes]]-(LEN(Table78[[#This Row],[Team]])-LEN(SUBSTITUTE(Table78[[#This Row],[Team]],"/","")))-1</f>
        <v>1</v>
      </c>
      <c r="K83" s="6">
        <v>4</v>
      </c>
    </row>
    <row r="84" spans="1:11" x14ac:dyDescent="0.3">
      <c r="A84" s="6"/>
      <c r="B84" s="6" t="s">
        <v>356</v>
      </c>
      <c r="C84" s="6"/>
      <c r="D84" s="6"/>
      <c r="E84" s="6"/>
      <c r="F84" s="6">
        <v>-1</v>
      </c>
      <c r="G84" s="6"/>
      <c r="H84" s="6"/>
      <c r="I84" s="6"/>
      <c r="J84" s="6">
        <f>Table78[[#This Row],[Total Athletes]]-(LEN(Table78[[#This Row],[Team]])-LEN(SUBSTITUTE(Table78[[#This Row],[Team]],"/","")))-1</f>
        <v>-1</v>
      </c>
      <c r="K84" s="6"/>
    </row>
    <row r="85" spans="1:11" x14ac:dyDescent="0.3">
      <c r="A85" s="6"/>
      <c r="B85" s="6" t="s">
        <v>334</v>
      </c>
      <c r="C85" s="6"/>
      <c r="D85" s="6"/>
      <c r="E85" s="6"/>
      <c r="F85" s="6">
        <v>-1</v>
      </c>
      <c r="G85" s="6"/>
      <c r="H85" s="6"/>
      <c r="I85" s="6"/>
      <c r="J85" s="6">
        <f>Table78[[#This Row],[Total Athletes]]-(LEN(Table78[[#This Row],[Team]])-LEN(SUBSTITUTE(Table78[[#This Row],[Team]],"/","")))-1</f>
        <v>-1</v>
      </c>
      <c r="K85" s="6"/>
    </row>
    <row r="86" spans="1:11" x14ac:dyDescent="0.3">
      <c r="A86" s="6"/>
      <c r="B86" s="6" t="s">
        <v>330</v>
      </c>
      <c r="C86" s="6"/>
      <c r="D86" s="6"/>
      <c r="E86" s="6"/>
      <c r="F86" s="6">
        <v>-1</v>
      </c>
      <c r="G86" s="6"/>
      <c r="H86" s="6"/>
      <c r="I86" s="6"/>
      <c r="J86" s="6">
        <f>Table78[[#This Row],[Total Athletes]]-(LEN(Table78[[#This Row],[Team]])-LEN(SUBSTITUTE(Table78[[#This Row],[Team]],"/","")))-1</f>
        <v>-1</v>
      </c>
      <c r="K86" s="6"/>
    </row>
    <row r="87" spans="1:11" x14ac:dyDescent="0.3">
      <c r="A87" s="6"/>
      <c r="B87" s="6" t="s">
        <v>718</v>
      </c>
      <c r="C87" s="6"/>
      <c r="D87" s="6"/>
      <c r="E87" s="6"/>
      <c r="F87" s="6">
        <v>-1</v>
      </c>
      <c r="G87" s="6"/>
      <c r="H87" s="6"/>
      <c r="I87" s="6"/>
      <c r="J87" s="6">
        <f>Table78[[#This Row],[Total Athletes]]-(LEN(Table78[[#This Row],[Team]])-LEN(SUBSTITUTE(Table78[[#This Row],[Team]],"/","")))-1</f>
        <v>-1</v>
      </c>
      <c r="K87" s="6"/>
    </row>
    <row r="88" spans="1:11" x14ac:dyDescent="0.3">
      <c r="A88" s="6" t="s">
        <v>3171</v>
      </c>
      <c r="B88" s="6" t="s">
        <v>338</v>
      </c>
      <c r="C88" s="6"/>
      <c r="D88" s="6"/>
      <c r="E88" s="6"/>
      <c r="F88" s="6"/>
      <c r="G88" s="6"/>
      <c r="H88" s="6">
        <v>7</v>
      </c>
      <c r="I88" s="6"/>
      <c r="J88" s="6">
        <f>Table78[[#This Row],[Total Athletes]]-(LEN(Table78[[#This Row],[Team]])-LEN(SUBSTITUTE(Table78[[#This Row],[Team]],"/","")))-1</f>
        <v>3</v>
      </c>
      <c r="K88" s="6">
        <v>4</v>
      </c>
    </row>
    <row r="89" spans="1:11" x14ac:dyDescent="0.3">
      <c r="A89" s="6" t="s">
        <v>3783</v>
      </c>
      <c r="B89" s="6" t="s">
        <v>412</v>
      </c>
      <c r="C89" s="6"/>
      <c r="D89" s="6"/>
      <c r="E89" s="6"/>
      <c r="F89" s="6"/>
      <c r="G89" s="6"/>
      <c r="H89" s="6">
        <v>8</v>
      </c>
      <c r="I89" s="6"/>
      <c r="J89" s="6">
        <f>Table78[[#This Row],[Total Athletes]]-(LEN(Table78[[#This Row],[Team]])-LEN(SUBSTITUTE(Table78[[#This Row],[Team]],"/","")))-1</f>
        <v>3</v>
      </c>
      <c r="K89" s="6">
        <v>4</v>
      </c>
    </row>
    <row r="90" spans="1:11" x14ac:dyDescent="0.3">
      <c r="A90" s="6" t="s">
        <v>1783</v>
      </c>
      <c r="B90" s="6" t="s">
        <v>328</v>
      </c>
      <c r="C90" s="6"/>
      <c r="D90" s="6"/>
      <c r="E90" s="6"/>
      <c r="F90" s="6"/>
      <c r="G90" s="6"/>
      <c r="H90" s="6">
        <v>3</v>
      </c>
      <c r="I90" s="6"/>
      <c r="J90" s="6">
        <f>Table78[[#This Row],[Total Athletes]]-(LEN(Table78[[#This Row],[Team]])-LEN(SUBSTITUTE(Table78[[#This Row],[Team]],"/","")))-1</f>
        <v>6</v>
      </c>
      <c r="K90" s="6">
        <v>7</v>
      </c>
    </row>
    <row r="91" spans="1:11" x14ac:dyDescent="0.3">
      <c r="A91" s="6" t="s">
        <v>2852</v>
      </c>
      <c r="B91" s="6" t="s">
        <v>344</v>
      </c>
      <c r="C91" s="6"/>
      <c r="D91" s="6"/>
      <c r="E91" s="6"/>
      <c r="F91" s="6"/>
      <c r="G91" s="6"/>
      <c r="H91" s="6">
        <v>6</v>
      </c>
      <c r="I91" s="6"/>
      <c r="J91" s="6">
        <f>Table78[[#This Row],[Total Athletes]]-(LEN(Table78[[#This Row],[Team]])-LEN(SUBSTITUTE(Table78[[#This Row],[Team]],"/","")))-1</f>
        <v>3</v>
      </c>
      <c r="K91" s="6">
        <v>5</v>
      </c>
    </row>
    <row r="92" spans="1:11" x14ac:dyDescent="0.3">
      <c r="A92" s="6" t="s">
        <v>4046</v>
      </c>
      <c r="B92" s="6" t="s">
        <v>428</v>
      </c>
      <c r="C92" s="6"/>
      <c r="D92" s="6"/>
      <c r="E92" s="6"/>
      <c r="F92" s="6"/>
      <c r="G92" s="6"/>
      <c r="H92" s="6">
        <v>5</v>
      </c>
      <c r="I92" s="6"/>
      <c r="J92" s="6">
        <f>Table78[[#This Row],[Total Athletes]]-(LEN(Table78[[#This Row],[Team]])-LEN(SUBSTITUTE(Table78[[#This Row],[Team]],"/","")))-1</f>
        <v>3</v>
      </c>
      <c r="K92" s="6">
        <v>4</v>
      </c>
    </row>
    <row r="93" spans="1:11" x14ac:dyDescent="0.3">
      <c r="A93" s="6" t="s">
        <v>1802</v>
      </c>
      <c r="B93" s="6" t="s">
        <v>402</v>
      </c>
      <c r="C93" s="6"/>
      <c r="D93" s="6"/>
      <c r="E93" s="6"/>
      <c r="F93" s="6"/>
      <c r="G93" s="6"/>
      <c r="H93" s="6">
        <v>10</v>
      </c>
      <c r="I93" s="6"/>
      <c r="J93" s="6">
        <f>Table78[[#This Row],[Total Athletes]]-(LEN(Table78[[#This Row],[Team]])-LEN(SUBSTITUTE(Table78[[#This Row],[Team]],"/","")))-1</f>
        <v>2</v>
      </c>
      <c r="K93" s="6">
        <v>4</v>
      </c>
    </row>
    <row r="94" spans="1:11" x14ac:dyDescent="0.3">
      <c r="A94" s="6" t="s">
        <v>3688</v>
      </c>
      <c r="B94" s="6" t="s">
        <v>394</v>
      </c>
      <c r="C94" s="6"/>
      <c r="D94" s="6"/>
      <c r="E94" s="6"/>
      <c r="F94" s="6"/>
      <c r="G94" s="6"/>
      <c r="H94" s="6">
        <v>12</v>
      </c>
      <c r="I94" s="6"/>
      <c r="J94" s="6">
        <f>Table78[[#This Row],[Total Athletes]]-(LEN(Table78[[#This Row],[Team]])-LEN(SUBSTITUTE(Table78[[#This Row],[Team]],"/","")))-1</f>
        <v>1</v>
      </c>
      <c r="K94" s="6">
        <v>4</v>
      </c>
    </row>
    <row r="95" spans="1:11" x14ac:dyDescent="0.3">
      <c r="A95" s="6" t="s">
        <v>2911</v>
      </c>
      <c r="B95" s="6" t="s">
        <v>356</v>
      </c>
      <c r="C95" s="6"/>
      <c r="D95" s="6"/>
      <c r="E95" s="6"/>
      <c r="F95" s="6"/>
      <c r="G95" s="6"/>
      <c r="H95" s="6">
        <v>3001</v>
      </c>
      <c r="I95" s="6"/>
      <c r="J95" s="6">
        <f>Table78[[#This Row],[Total Athletes]]-(LEN(Table78[[#This Row],[Team]])-LEN(SUBSTITUTE(Table78[[#This Row],[Team]],"/","")))-1</f>
        <v>3</v>
      </c>
      <c r="K95" s="6">
        <v>4</v>
      </c>
    </row>
    <row r="96" spans="1:11" x14ac:dyDescent="0.3">
      <c r="A96" s="6" t="s">
        <v>3440</v>
      </c>
      <c r="B96" s="6" t="s">
        <v>334</v>
      </c>
      <c r="C96" s="6"/>
      <c r="D96" s="6"/>
      <c r="E96" s="6"/>
      <c r="F96" s="6"/>
      <c r="G96" s="6"/>
      <c r="H96" s="6">
        <v>9</v>
      </c>
      <c r="I96" s="6"/>
      <c r="J96" s="6">
        <f>Table78[[#This Row],[Total Athletes]]-(LEN(Table78[[#This Row],[Team]])-LEN(SUBSTITUTE(Table78[[#This Row],[Team]],"/","")))-1</f>
        <v>3</v>
      </c>
      <c r="K96" s="6">
        <v>4</v>
      </c>
    </row>
    <row r="97" spans="1:11" x14ac:dyDescent="0.3">
      <c r="A97" s="6" t="s">
        <v>1643</v>
      </c>
      <c r="B97" s="6" t="s">
        <v>596</v>
      </c>
      <c r="C97" s="6"/>
      <c r="D97" s="6"/>
      <c r="E97" s="6"/>
      <c r="F97" s="6"/>
      <c r="G97" s="6"/>
      <c r="H97" s="6">
        <v>11</v>
      </c>
      <c r="I97" s="6"/>
      <c r="J97" s="6">
        <f>Table78[[#This Row],[Total Athletes]]-(LEN(Table78[[#This Row],[Team]])-LEN(SUBSTITUTE(Table78[[#This Row],[Team]],"/","")))-1</f>
        <v>3</v>
      </c>
      <c r="K97" s="6">
        <v>4</v>
      </c>
    </row>
    <row r="98" spans="1:11" x14ac:dyDescent="0.3">
      <c r="A98" s="6"/>
      <c r="B98" s="6" t="s">
        <v>592</v>
      </c>
      <c r="C98" s="6"/>
      <c r="D98" s="6"/>
      <c r="E98" s="6"/>
      <c r="F98" s="6"/>
      <c r="G98" s="6"/>
      <c r="H98" s="6">
        <v>-1</v>
      </c>
      <c r="I98" s="6"/>
      <c r="J98" s="6">
        <f>Table78[[#This Row],[Total Athletes]]-(LEN(Table78[[#This Row],[Team]])-LEN(SUBSTITUTE(Table78[[#This Row],[Team]],"/","")))-1</f>
        <v>-1</v>
      </c>
      <c r="K98" s="6"/>
    </row>
    <row r="99" spans="1:11" x14ac:dyDescent="0.3">
      <c r="A99" s="6"/>
      <c r="B99" s="6" t="s">
        <v>446</v>
      </c>
      <c r="C99" s="6"/>
      <c r="D99" s="6"/>
      <c r="E99" s="6"/>
      <c r="F99" s="6"/>
      <c r="G99" s="6"/>
      <c r="H99" s="6">
        <v>-1</v>
      </c>
      <c r="I99" s="6"/>
      <c r="J99" s="6">
        <f>Table78[[#This Row],[Total Athletes]]-(LEN(Table78[[#This Row],[Team]])-LEN(SUBSTITUTE(Table78[[#This Row],[Team]],"/","")))-1</f>
        <v>-1</v>
      </c>
      <c r="K99" s="6"/>
    </row>
    <row r="100" spans="1:11" x14ac:dyDescent="0.3">
      <c r="A100" s="6"/>
      <c r="B100" s="6" t="s">
        <v>414</v>
      </c>
      <c r="C100" s="6"/>
      <c r="D100" s="6"/>
      <c r="E100" s="6"/>
      <c r="F100" s="6"/>
      <c r="G100" s="6"/>
      <c r="H100" s="6">
        <v>-1</v>
      </c>
      <c r="I100" s="6"/>
      <c r="J100" s="6">
        <f>Table78[[#This Row],[Total Athletes]]-(LEN(Table78[[#This Row],[Team]])-LEN(SUBSTITUTE(Table78[[#This Row],[Team]],"/","")))-1</f>
        <v>-1</v>
      </c>
      <c r="K100" s="6"/>
    </row>
    <row r="101" spans="1:11" x14ac:dyDescent="0.3">
      <c r="A101" s="6" t="s">
        <v>3784</v>
      </c>
      <c r="B101" s="6" t="s">
        <v>412</v>
      </c>
      <c r="C101" s="6"/>
      <c r="D101" s="6"/>
      <c r="E101" s="6"/>
      <c r="F101" s="6"/>
      <c r="G101" s="6"/>
      <c r="H101" s="6"/>
      <c r="I101" s="6">
        <v>6</v>
      </c>
      <c r="J101" s="6">
        <f>Table78[[#This Row],[Total Athletes]]-(LEN(Table78[[#This Row],[Team]])-LEN(SUBSTITUTE(Table78[[#This Row],[Team]],"/","")))-1</f>
        <v>3</v>
      </c>
      <c r="K101" s="6">
        <v>6</v>
      </c>
    </row>
    <row r="102" spans="1:11" x14ac:dyDescent="0.3">
      <c r="A102" s="6" t="s">
        <v>4137</v>
      </c>
      <c r="B102" s="6" t="s">
        <v>402</v>
      </c>
      <c r="C102" s="6"/>
      <c r="D102" s="6"/>
      <c r="E102" s="6"/>
      <c r="F102" s="6"/>
      <c r="G102" s="6"/>
      <c r="H102" s="6"/>
      <c r="I102" s="6">
        <v>7</v>
      </c>
      <c r="J102" s="6">
        <f>Table78[[#This Row],[Total Athletes]]-(LEN(Table78[[#This Row],[Team]])-LEN(SUBSTITUTE(Table78[[#This Row],[Team]],"/","")))-1</f>
        <v>2</v>
      </c>
      <c r="K102" s="6">
        <v>5</v>
      </c>
    </row>
    <row r="103" spans="1:11" x14ac:dyDescent="0.3">
      <c r="A103" s="6" t="s">
        <v>3207</v>
      </c>
      <c r="B103" s="6" t="s">
        <v>384</v>
      </c>
      <c r="C103" s="6"/>
      <c r="D103" s="6"/>
      <c r="E103" s="6"/>
      <c r="F103" s="6"/>
      <c r="G103" s="6"/>
      <c r="H103" s="6"/>
      <c r="I103" s="6">
        <v>5</v>
      </c>
      <c r="J103" s="6">
        <f>Table78[[#This Row],[Total Athletes]]-(LEN(Table78[[#This Row],[Team]])-LEN(SUBSTITUTE(Table78[[#This Row],[Team]],"/","")))-1</f>
        <v>3</v>
      </c>
      <c r="K103" s="6">
        <v>7</v>
      </c>
    </row>
    <row r="104" spans="1:11" x14ac:dyDescent="0.3">
      <c r="A104" s="6" t="s">
        <v>4047</v>
      </c>
      <c r="B104" s="6" t="s">
        <v>428</v>
      </c>
      <c r="C104" s="6"/>
      <c r="D104" s="6"/>
      <c r="E104" s="6"/>
      <c r="F104" s="6"/>
      <c r="G104" s="6"/>
      <c r="H104" s="6"/>
      <c r="I104" s="6">
        <v>8</v>
      </c>
      <c r="J104" s="6">
        <f>Table78[[#This Row],[Total Athletes]]-(LEN(Table78[[#This Row],[Team]])-LEN(SUBSTITUTE(Table78[[#This Row],[Team]],"/","")))-1</f>
        <v>2</v>
      </c>
      <c r="K104" s="6">
        <v>4</v>
      </c>
    </row>
    <row r="105" spans="1:11" x14ac:dyDescent="0.3">
      <c r="A105" s="6" t="s">
        <v>3440</v>
      </c>
      <c r="B105" s="6" t="s">
        <v>334</v>
      </c>
      <c r="C105" s="6"/>
      <c r="D105" s="6"/>
      <c r="E105" s="6"/>
      <c r="F105" s="6"/>
      <c r="G105" s="6"/>
      <c r="H105" s="6"/>
      <c r="I105" s="6">
        <v>9</v>
      </c>
      <c r="J105" s="6">
        <f>Table78[[#This Row],[Total Athletes]]-(LEN(Table78[[#This Row],[Team]])-LEN(SUBSTITUTE(Table78[[#This Row],[Team]],"/","")))-1</f>
        <v>3</v>
      </c>
      <c r="K105" s="6">
        <v>4</v>
      </c>
    </row>
    <row r="106" spans="1:11" x14ac:dyDescent="0.3">
      <c r="A106" s="6" t="s">
        <v>3150</v>
      </c>
      <c r="B106" s="6" t="s">
        <v>338</v>
      </c>
      <c r="C106" s="6"/>
      <c r="D106" s="6"/>
      <c r="E106" s="6"/>
      <c r="F106" s="6"/>
      <c r="G106" s="6"/>
      <c r="H106" s="6"/>
      <c r="I106" s="6">
        <v>12</v>
      </c>
      <c r="J106" s="6">
        <f>Table78[[#This Row],[Total Athletes]]-(LEN(Table78[[#This Row],[Team]])-LEN(SUBSTITUTE(Table78[[#This Row],[Team]],"/","")))-1</f>
        <v>3</v>
      </c>
      <c r="K106" s="6">
        <v>4</v>
      </c>
    </row>
    <row r="107" spans="1:11" x14ac:dyDescent="0.3">
      <c r="A107" s="6" t="s">
        <v>4595</v>
      </c>
      <c r="B107" s="6" t="s">
        <v>344</v>
      </c>
      <c r="C107" s="6"/>
      <c r="D107" s="6"/>
      <c r="E107" s="6"/>
      <c r="F107" s="6"/>
      <c r="G107" s="6"/>
      <c r="H107" s="6"/>
      <c r="I107" s="6">
        <v>4</v>
      </c>
      <c r="J107" s="6">
        <f>Table78[[#This Row],[Total Athletes]]-(LEN(Table78[[#This Row],[Team]])-LEN(SUBSTITUTE(Table78[[#This Row],[Team]],"/","")))-1</f>
        <v>3</v>
      </c>
      <c r="K107" s="6">
        <v>6</v>
      </c>
    </row>
    <row r="108" spans="1:11" x14ac:dyDescent="0.3">
      <c r="A108" s="6" t="s">
        <v>4619</v>
      </c>
      <c r="B108" s="6" t="s">
        <v>356</v>
      </c>
      <c r="C108" s="6"/>
      <c r="D108" s="6"/>
      <c r="E108" s="6"/>
      <c r="F108" s="6"/>
      <c r="G108" s="6"/>
      <c r="H108" s="6"/>
      <c r="I108" s="6">
        <v>11</v>
      </c>
      <c r="J108" s="6">
        <f>Table78[[#This Row],[Total Athletes]]-(LEN(Table78[[#This Row],[Team]])-LEN(SUBSTITUTE(Table78[[#This Row],[Team]],"/","")))-1</f>
        <v>3</v>
      </c>
      <c r="K108" s="6">
        <v>4</v>
      </c>
    </row>
    <row r="109" spans="1:11" x14ac:dyDescent="0.3">
      <c r="A109" s="6" t="s">
        <v>3689</v>
      </c>
      <c r="B109" s="6" t="s">
        <v>394</v>
      </c>
      <c r="C109" s="6"/>
      <c r="D109" s="6"/>
      <c r="E109" s="6"/>
      <c r="F109" s="6"/>
      <c r="G109" s="6"/>
      <c r="H109" s="6"/>
      <c r="I109" s="6">
        <v>14</v>
      </c>
      <c r="J109" s="6">
        <f>Table78[[#This Row],[Total Athletes]]-(LEN(Table78[[#This Row],[Team]])-LEN(SUBSTITUTE(Table78[[#This Row],[Team]],"/","")))-1</f>
        <v>2</v>
      </c>
      <c r="K109" s="6">
        <v>4</v>
      </c>
    </row>
    <row r="110" spans="1:11" x14ac:dyDescent="0.3">
      <c r="A110" s="6"/>
      <c r="B110" s="6" t="s">
        <v>342</v>
      </c>
      <c r="C110" s="6"/>
      <c r="D110" s="6"/>
      <c r="E110" s="6"/>
      <c r="F110" s="6"/>
      <c r="G110" s="6"/>
      <c r="H110" s="6"/>
      <c r="I110" s="6">
        <v>-1</v>
      </c>
      <c r="J110" s="6">
        <f>Table78[[#This Row],[Total Athletes]]-(LEN(Table78[[#This Row],[Team]])-LEN(SUBSTITUTE(Table78[[#This Row],[Team]],"/","")))-1</f>
        <v>-1</v>
      </c>
      <c r="K110" s="6"/>
    </row>
    <row r="111" spans="1:11" x14ac:dyDescent="0.3">
      <c r="A111" s="6"/>
      <c r="B111" s="6" t="s">
        <v>700</v>
      </c>
      <c r="C111" s="6"/>
      <c r="D111" s="6"/>
      <c r="E111" s="6"/>
      <c r="F111" s="6"/>
      <c r="G111" s="6"/>
      <c r="H111" s="6"/>
      <c r="I111" s="6">
        <v>-1</v>
      </c>
      <c r="J111" s="6">
        <f>Table78[[#This Row],[Total Athletes]]-(LEN(Table78[[#This Row],[Team]])-LEN(SUBSTITUTE(Table78[[#This Row],[Team]],"/","")))-1</f>
        <v>-1</v>
      </c>
      <c r="K111" s="6"/>
    </row>
    <row r="112" spans="1:11" x14ac:dyDescent="0.3">
      <c r="A112" s="6" t="s">
        <v>3313</v>
      </c>
      <c r="B112" s="6" t="s">
        <v>598</v>
      </c>
      <c r="C112" s="6"/>
      <c r="D112" s="6"/>
      <c r="E112" s="6"/>
      <c r="F112" s="6"/>
      <c r="G112" s="6"/>
      <c r="H112" s="6"/>
      <c r="I112" s="6">
        <v>10</v>
      </c>
      <c r="J112" s="6">
        <f>Table78[[#This Row],[Total Athletes]]-(LEN(Table78[[#This Row],[Team]])-LEN(SUBSTITUTE(Table78[[#This Row],[Team]],"/","")))-1</f>
        <v>1</v>
      </c>
      <c r="K112" s="6">
        <v>4</v>
      </c>
    </row>
    <row r="113" spans="1:11" x14ac:dyDescent="0.3">
      <c r="A113" s="6" t="s">
        <v>3096</v>
      </c>
      <c r="B113" s="6" t="s">
        <v>336</v>
      </c>
      <c r="C113" s="6"/>
      <c r="D113" s="6"/>
      <c r="E113" s="6"/>
      <c r="F113" s="6"/>
      <c r="G113" s="6"/>
      <c r="H113" s="6"/>
      <c r="I113" s="6">
        <v>16</v>
      </c>
      <c r="J113" s="6">
        <f>Table78[[#This Row],[Total Athletes]]-(LEN(Table78[[#This Row],[Team]])-LEN(SUBSTITUTE(Table78[[#This Row],[Team]],"/","")))-1</f>
        <v>1</v>
      </c>
      <c r="K113" s="6">
        <v>4</v>
      </c>
    </row>
  </sheetData>
  <pageMargins left="0.7" right="0.7" top="0.75" bottom="0.75" header="0.3" footer="0.3"/>
  <tableParts count="1">
    <tablePart r:id="rId1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EEB06-EAA0-4CEA-BF2A-44F52FB9691F}">
  <dimension ref="A1:C68"/>
  <sheetViews>
    <sheetView topLeftCell="A61" workbookViewId="0">
      <selection activeCell="B69" sqref="B69"/>
    </sheetView>
  </sheetViews>
  <sheetFormatPr defaultRowHeight="14.4" x14ac:dyDescent="0.3"/>
  <cols>
    <col min="1" max="1" width="21.109375" bestFit="1" customWidth="1"/>
    <col min="2" max="2" width="14" bestFit="1" customWidth="1"/>
    <col min="3" max="3" width="14.109375" bestFit="1" customWidth="1"/>
  </cols>
  <sheetData>
    <row r="1" spans="1:3" x14ac:dyDescent="0.3">
      <c r="A1" t="s">
        <v>832</v>
      </c>
      <c r="B1" t="s">
        <v>1</v>
      </c>
      <c r="C1" t="s">
        <v>899</v>
      </c>
    </row>
    <row r="2" spans="1:3" x14ac:dyDescent="0.3">
      <c r="A2" s="6" t="s">
        <v>2699</v>
      </c>
      <c r="B2" s="6" t="s">
        <v>344</v>
      </c>
      <c r="C2" s="6">
        <v>9</v>
      </c>
    </row>
    <row r="3" spans="1:3" x14ac:dyDescent="0.3">
      <c r="A3" s="6" t="s">
        <v>2701</v>
      </c>
      <c r="B3" s="6" t="s">
        <v>344</v>
      </c>
      <c r="C3" s="6">
        <v>3</v>
      </c>
    </row>
    <row r="4" spans="1:3" x14ac:dyDescent="0.3">
      <c r="A4" s="6"/>
      <c r="B4" s="6" t="s">
        <v>354</v>
      </c>
      <c r="C4" s="6">
        <v>-1</v>
      </c>
    </row>
    <row r="5" spans="1:3" x14ac:dyDescent="0.3">
      <c r="A5" s="6"/>
      <c r="B5" s="6" t="s">
        <v>354</v>
      </c>
      <c r="C5" s="6">
        <v>-1</v>
      </c>
    </row>
    <row r="6" spans="1:3" x14ac:dyDescent="0.3">
      <c r="A6" s="6"/>
      <c r="B6" s="6" t="s">
        <v>328</v>
      </c>
      <c r="C6" s="6">
        <v>-1</v>
      </c>
    </row>
    <row r="7" spans="1:3" x14ac:dyDescent="0.3">
      <c r="A7" s="6"/>
      <c r="B7" s="6" t="s">
        <v>328</v>
      </c>
      <c r="C7" s="6">
        <v>-1</v>
      </c>
    </row>
    <row r="8" spans="1:3" x14ac:dyDescent="0.3">
      <c r="A8" s="6" t="s">
        <v>3154</v>
      </c>
      <c r="B8" s="6" t="s">
        <v>338</v>
      </c>
      <c r="C8" s="6">
        <v>17</v>
      </c>
    </row>
    <row r="9" spans="1:3" x14ac:dyDescent="0.3">
      <c r="A9" s="6"/>
      <c r="B9" s="6" t="s">
        <v>338</v>
      </c>
      <c r="C9" s="6">
        <v>-1</v>
      </c>
    </row>
    <row r="10" spans="1:3" x14ac:dyDescent="0.3">
      <c r="A10" s="6"/>
      <c r="B10" s="6" t="s">
        <v>336</v>
      </c>
      <c r="C10" s="6">
        <v>-1</v>
      </c>
    </row>
    <row r="11" spans="1:3" x14ac:dyDescent="0.3">
      <c r="A11" s="6" t="s">
        <v>3069</v>
      </c>
      <c r="B11" s="6" t="s">
        <v>336</v>
      </c>
      <c r="C11" s="6">
        <v>17</v>
      </c>
    </row>
    <row r="12" spans="1:3" x14ac:dyDescent="0.3">
      <c r="A12" s="6"/>
      <c r="B12" s="6" t="s">
        <v>384</v>
      </c>
      <c r="C12" s="6">
        <v>-1</v>
      </c>
    </row>
    <row r="13" spans="1:3" x14ac:dyDescent="0.3">
      <c r="A13" s="6" t="s">
        <v>4301</v>
      </c>
      <c r="B13" s="6" t="s">
        <v>384</v>
      </c>
      <c r="C13" s="6">
        <v>49</v>
      </c>
    </row>
    <row r="14" spans="1:3" x14ac:dyDescent="0.3">
      <c r="A14" s="6" t="s">
        <v>2198</v>
      </c>
      <c r="B14" s="6" t="s">
        <v>326</v>
      </c>
      <c r="C14" s="6">
        <v>33</v>
      </c>
    </row>
    <row r="15" spans="1:3" x14ac:dyDescent="0.3">
      <c r="A15" s="6"/>
      <c r="B15" s="6" t="s">
        <v>326</v>
      </c>
      <c r="C15" s="6">
        <v>-1</v>
      </c>
    </row>
    <row r="16" spans="1:3" x14ac:dyDescent="0.3">
      <c r="A16" s="6"/>
      <c r="B16" s="6" t="s">
        <v>428</v>
      </c>
      <c r="C16" s="6">
        <v>-1</v>
      </c>
    </row>
    <row r="17" spans="1:3" x14ac:dyDescent="0.3">
      <c r="A17" s="6" t="s">
        <v>2688</v>
      </c>
      <c r="B17" s="6" t="s">
        <v>428</v>
      </c>
      <c r="C17" s="6">
        <v>9</v>
      </c>
    </row>
    <row r="18" spans="1:3" x14ac:dyDescent="0.3">
      <c r="A18" s="6"/>
      <c r="B18" s="6" t="s">
        <v>700</v>
      </c>
      <c r="C18" s="6">
        <v>-1</v>
      </c>
    </row>
    <row r="19" spans="1:3" x14ac:dyDescent="0.3">
      <c r="A19" s="6"/>
      <c r="B19" s="6" t="s">
        <v>700</v>
      </c>
      <c r="C19" s="6">
        <v>-1</v>
      </c>
    </row>
    <row r="20" spans="1:3" x14ac:dyDescent="0.3">
      <c r="A20" s="6"/>
      <c r="B20" s="6" t="s">
        <v>346</v>
      </c>
      <c r="C20" s="6">
        <v>-1</v>
      </c>
    </row>
    <row r="21" spans="1:3" x14ac:dyDescent="0.3">
      <c r="A21" s="6" t="s">
        <v>3875</v>
      </c>
      <c r="B21" s="6" t="s">
        <v>346</v>
      </c>
      <c r="C21" s="6">
        <v>33</v>
      </c>
    </row>
    <row r="22" spans="1:3" x14ac:dyDescent="0.3">
      <c r="A22" s="6"/>
      <c r="B22" s="6" t="s">
        <v>334</v>
      </c>
      <c r="C22" s="6">
        <v>-1</v>
      </c>
    </row>
    <row r="23" spans="1:3" x14ac:dyDescent="0.3">
      <c r="A23" s="6"/>
      <c r="B23" s="6" t="s">
        <v>334</v>
      </c>
      <c r="C23" s="6">
        <v>-1</v>
      </c>
    </row>
    <row r="24" spans="1:3" x14ac:dyDescent="0.3">
      <c r="A24" s="6"/>
      <c r="B24" s="6" t="s">
        <v>368</v>
      </c>
      <c r="C24" s="6">
        <v>-1</v>
      </c>
    </row>
    <row r="25" spans="1:3" x14ac:dyDescent="0.3">
      <c r="A25" s="6" t="s">
        <v>2895</v>
      </c>
      <c r="B25" s="6" t="s">
        <v>368</v>
      </c>
      <c r="C25" s="6">
        <v>5</v>
      </c>
    </row>
    <row r="26" spans="1:3" x14ac:dyDescent="0.3">
      <c r="A26" s="6"/>
      <c r="B26" s="6" t="s">
        <v>414</v>
      </c>
      <c r="C26" s="6">
        <v>-1</v>
      </c>
    </row>
    <row r="27" spans="1:3" x14ac:dyDescent="0.3">
      <c r="A27" s="6"/>
      <c r="B27" s="6" t="s">
        <v>414</v>
      </c>
      <c r="C27" s="6">
        <v>-1</v>
      </c>
    </row>
    <row r="28" spans="1:3" x14ac:dyDescent="0.3">
      <c r="A28" s="6"/>
      <c r="B28" s="6" t="s">
        <v>694</v>
      </c>
      <c r="C28" s="6">
        <v>-1</v>
      </c>
    </row>
    <row r="29" spans="1:3" x14ac:dyDescent="0.3">
      <c r="A29" s="6"/>
      <c r="B29" s="6" t="s">
        <v>694</v>
      </c>
      <c r="C29" s="6">
        <v>-1</v>
      </c>
    </row>
    <row r="30" spans="1:3" x14ac:dyDescent="0.3">
      <c r="A30" s="6" t="s">
        <v>4633</v>
      </c>
      <c r="B30" s="6" t="s">
        <v>450</v>
      </c>
      <c r="C30" s="6">
        <v>17</v>
      </c>
    </row>
    <row r="31" spans="1:3" x14ac:dyDescent="0.3">
      <c r="A31" s="6" t="s">
        <v>3303</v>
      </c>
      <c r="B31" s="6" t="s">
        <v>450</v>
      </c>
      <c r="C31" s="6">
        <v>17</v>
      </c>
    </row>
    <row r="32" spans="1:3" x14ac:dyDescent="0.3">
      <c r="A32" s="6"/>
      <c r="B32" s="6" t="s">
        <v>448</v>
      </c>
      <c r="C32" s="6">
        <v>-1</v>
      </c>
    </row>
    <row r="33" spans="1:3" x14ac:dyDescent="0.3">
      <c r="A33" s="6"/>
      <c r="B33" s="6" t="s">
        <v>448</v>
      </c>
      <c r="C33" s="6">
        <v>-1</v>
      </c>
    </row>
    <row r="34" spans="1:3" x14ac:dyDescent="0.3">
      <c r="A34" s="6"/>
      <c r="B34" s="6" t="s">
        <v>446</v>
      </c>
      <c r="C34" s="6">
        <v>-1</v>
      </c>
    </row>
    <row r="35" spans="1:3" x14ac:dyDescent="0.3">
      <c r="A35" s="6"/>
      <c r="B35" s="6" t="s">
        <v>654</v>
      </c>
      <c r="C35" s="6">
        <v>-1</v>
      </c>
    </row>
    <row r="36" spans="1:3" x14ac:dyDescent="0.3">
      <c r="A36" s="6"/>
      <c r="B36" s="6" t="s">
        <v>340</v>
      </c>
      <c r="C36" s="6">
        <v>-1</v>
      </c>
    </row>
    <row r="37" spans="1:3" x14ac:dyDescent="0.3">
      <c r="A37" s="6" t="s">
        <v>4550</v>
      </c>
      <c r="B37" s="6" t="s">
        <v>350</v>
      </c>
      <c r="C37" s="6">
        <v>49</v>
      </c>
    </row>
    <row r="38" spans="1:3" x14ac:dyDescent="0.3">
      <c r="A38" s="6" t="s">
        <v>2016</v>
      </c>
      <c r="B38" s="6" t="s">
        <v>332</v>
      </c>
      <c r="C38" s="6">
        <v>9</v>
      </c>
    </row>
    <row r="39" spans="1:3" x14ac:dyDescent="0.3">
      <c r="A39" s="6" t="s">
        <v>1704</v>
      </c>
      <c r="B39" s="6" t="s">
        <v>470</v>
      </c>
      <c r="C39" s="6">
        <v>49</v>
      </c>
    </row>
    <row r="40" spans="1:3" x14ac:dyDescent="0.3">
      <c r="A40" s="6"/>
      <c r="B40" s="6" t="s">
        <v>394</v>
      </c>
      <c r="C40" s="6">
        <v>-1</v>
      </c>
    </row>
    <row r="41" spans="1:3" x14ac:dyDescent="0.3">
      <c r="A41" s="6"/>
      <c r="B41" s="6" t="s">
        <v>342</v>
      </c>
      <c r="C41" s="6">
        <v>-1</v>
      </c>
    </row>
    <row r="42" spans="1:3" x14ac:dyDescent="0.3">
      <c r="A42" s="6"/>
      <c r="B42" s="6" t="s">
        <v>390</v>
      </c>
      <c r="C42" s="6">
        <v>-1</v>
      </c>
    </row>
    <row r="43" spans="1:3" x14ac:dyDescent="0.3">
      <c r="A43" s="6" t="s">
        <v>2340</v>
      </c>
      <c r="B43" s="6" t="s">
        <v>726</v>
      </c>
      <c r="C43" s="6">
        <v>49</v>
      </c>
    </row>
    <row r="44" spans="1:3" x14ac:dyDescent="0.3">
      <c r="A44" s="6" t="s">
        <v>4466</v>
      </c>
      <c r="B44" s="6" t="s">
        <v>408</v>
      </c>
      <c r="C44" s="6">
        <v>49</v>
      </c>
    </row>
    <row r="45" spans="1:3" x14ac:dyDescent="0.3">
      <c r="A45" s="6"/>
      <c r="B45" s="6" t="s">
        <v>440</v>
      </c>
      <c r="C45" s="6">
        <v>-1</v>
      </c>
    </row>
    <row r="46" spans="1:3" x14ac:dyDescent="0.3">
      <c r="A46" s="6"/>
      <c r="B46" s="6" t="s">
        <v>626</v>
      </c>
      <c r="C46" s="6">
        <v>-1</v>
      </c>
    </row>
    <row r="47" spans="1:3" x14ac:dyDescent="0.3">
      <c r="A47" s="6" t="s">
        <v>2327</v>
      </c>
      <c r="B47" s="6" t="s">
        <v>380</v>
      </c>
      <c r="C47" s="6">
        <v>33</v>
      </c>
    </row>
    <row r="48" spans="1:3" x14ac:dyDescent="0.3">
      <c r="A48" s="6" t="s">
        <v>3892</v>
      </c>
      <c r="B48" s="6" t="s">
        <v>360</v>
      </c>
      <c r="C48" s="6">
        <v>33</v>
      </c>
    </row>
    <row r="49" spans="1:3" x14ac:dyDescent="0.3">
      <c r="A49" s="6" t="s">
        <v>3799</v>
      </c>
      <c r="B49" s="6" t="s">
        <v>602</v>
      </c>
      <c r="C49" s="6">
        <v>65</v>
      </c>
    </row>
    <row r="50" spans="1:3" x14ac:dyDescent="0.3">
      <c r="A50" s="6"/>
      <c r="B50" s="6" t="s">
        <v>592</v>
      </c>
      <c r="C50" s="6">
        <v>-1</v>
      </c>
    </row>
    <row r="51" spans="1:3" x14ac:dyDescent="0.3">
      <c r="A51" s="6"/>
      <c r="B51" s="6" t="s">
        <v>440</v>
      </c>
      <c r="C51" s="6">
        <v>-1</v>
      </c>
    </row>
    <row r="52" spans="1:3" x14ac:dyDescent="0.3">
      <c r="A52" s="6" t="s">
        <v>3940</v>
      </c>
      <c r="B52" s="6" t="s">
        <v>366</v>
      </c>
      <c r="C52" s="6">
        <v>33</v>
      </c>
    </row>
    <row r="53" spans="1:3" x14ac:dyDescent="0.3">
      <c r="A53" s="6" t="s">
        <v>4102</v>
      </c>
      <c r="B53" s="6" t="s">
        <v>604</v>
      </c>
      <c r="C53" s="6">
        <v>9</v>
      </c>
    </row>
    <row r="54" spans="1:3" x14ac:dyDescent="0.3">
      <c r="A54" s="6"/>
      <c r="B54" s="6" t="s">
        <v>330</v>
      </c>
      <c r="C54" s="6">
        <v>-1</v>
      </c>
    </row>
    <row r="55" spans="1:3" x14ac:dyDescent="0.3">
      <c r="A55" s="6"/>
      <c r="B55" s="6" t="s">
        <v>420</v>
      </c>
      <c r="C55" s="6">
        <v>-1</v>
      </c>
    </row>
    <row r="56" spans="1:3" x14ac:dyDescent="0.3">
      <c r="A56" s="6" t="s">
        <v>1665</v>
      </c>
      <c r="B56" s="6" t="s">
        <v>402</v>
      </c>
      <c r="C56" s="6">
        <v>17</v>
      </c>
    </row>
    <row r="57" spans="1:3" x14ac:dyDescent="0.3">
      <c r="A57" s="6"/>
      <c r="B57" s="6" t="s">
        <v>348</v>
      </c>
      <c r="C57" s="6">
        <v>-1</v>
      </c>
    </row>
    <row r="58" spans="1:3" x14ac:dyDescent="0.3">
      <c r="A58" s="6" t="s">
        <v>3893</v>
      </c>
      <c r="B58" s="6" t="s">
        <v>360</v>
      </c>
      <c r="C58" s="6">
        <v>17</v>
      </c>
    </row>
    <row r="59" spans="1:3" x14ac:dyDescent="0.3">
      <c r="A59" s="6"/>
      <c r="B59" s="6" t="s">
        <v>358</v>
      </c>
      <c r="C59" s="6">
        <v>-1</v>
      </c>
    </row>
    <row r="60" spans="1:3" x14ac:dyDescent="0.3">
      <c r="A60" s="6"/>
      <c r="B60" s="6" t="s">
        <v>348</v>
      </c>
      <c r="C60" s="6">
        <v>-1</v>
      </c>
    </row>
    <row r="61" spans="1:3" x14ac:dyDescent="0.3">
      <c r="A61" s="6"/>
      <c r="B61" s="6" t="s">
        <v>398</v>
      </c>
      <c r="C61" s="6">
        <v>-1</v>
      </c>
    </row>
    <row r="62" spans="1:3" x14ac:dyDescent="0.3">
      <c r="A62" s="6" t="s">
        <v>3518</v>
      </c>
      <c r="B62" s="6" t="s">
        <v>520</v>
      </c>
      <c r="C62" s="6">
        <v>33</v>
      </c>
    </row>
    <row r="63" spans="1:3" x14ac:dyDescent="0.3">
      <c r="A63" s="6"/>
      <c r="B63" s="6" t="s">
        <v>400</v>
      </c>
      <c r="C63" s="6">
        <v>-1</v>
      </c>
    </row>
    <row r="64" spans="1:3" x14ac:dyDescent="0.3">
      <c r="A64" s="6"/>
      <c r="B64" s="6" t="s">
        <v>688</v>
      </c>
      <c r="C64" s="6">
        <v>-1</v>
      </c>
    </row>
    <row r="65" spans="1:3" x14ac:dyDescent="0.3">
      <c r="A65" s="6"/>
      <c r="B65" s="6" t="s">
        <v>398</v>
      </c>
      <c r="C65" s="6">
        <v>-1</v>
      </c>
    </row>
    <row r="66" spans="1:3" x14ac:dyDescent="0.3">
      <c r="A66" s="6" t="s">
        <v>4852</v>
      </c>
      <c r="B66" s="6" t="s">
        <v>622</v>
      </c>
      <c r="C66" s="6">
        <v>49</v>
      </c>
    </row>
    <row r="67" spans="1:3" x14ac:dyDescent="0.3">
      <c r="A67" s="6"/>
      <c r="B67" s="6" t="s">
        <v>520</v>
      </c>
      <c r="C67" s="6">
        <v>-1</v>
      </c>
    </row>
    <row r="68" spans="1:3" x14ac:dyDescent="0.3">
      <c r="A68" s="6" t="s">
        <v>1563</v>
      </c>
      <c r="B68" s="6" t="s">
        <v>554</v>
      </c>
      <c r="C68" s="6">
        <v>33</v>
      </c>
    </row>
  </sheetData>
  <pageMargins left="0.7" right="0.7" top="0.75" bottom="0.75" header="0.3" footer="0.3"/>
  <tableParts count="1">
    <tablePart r:id="rId1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42D55-668E-4FE8-A821-E032BDFC3262}">
  <dimension ref="A1:C68"/>
  <sheetViews>
    <sheetView topLeftCell="A58" workbookViewId="0">
      <selection activeCell="B69" sqref="B69"/>
    </sheetView>
  </sheetViews>
  <sheetFormatPr defaultRowHeight="14.4" x14ac:dyDescent="0.3"/>
  <cols>
    <col min="1" max="1" width="22.5546875" bestFit="1" customWidth="1"/>
    <col min="2" max="2" width="14" bestFit="1" customWidth="1"/>
    <col min="3" max="3" width="14.109375" bestFit="1" customWidth="1"/>
  </cols>
  <sheetData>
    <row r="1" spans="1:3" x14ac:dyDescent="0.3">
      <c r="A1" t="s">
        <v>832</v>
      </c>
      <c r="B1" t="s">
        <v>1</v>
      </c>
      <c r="C1" t="s">
        <v>899</v>
      </c>
    </row>
    <row r="2" spans="1:3" x14ac:dyDescent="0.3">
      <c r="A2" s="6" t="s">
        <v>2335</v>
      </c>
      <c r="B2" s="6" t="s">
        <v>344</v>
      </c>
      <c r="C2" s="6">
        <v>17</v>
      </c>
    </row>
    <row r="3" spans="1:3" x14ac:dyDescent="0.3">
      <c r="A3" s="6" t="s">
        <v>2734</v>
      </c>
      <c r="B3" s="6" t="s">
        <v>344</v>
      </c>
      <c r="C3" s="6">
        <v>9</v>
      </c>
    </row>
    <row r="4" spans="1:3" x14ac:dyDescent="0.3">
      <c r="A4" s="6"/>
      <c r="B4" s="6" t="s">
        <v>354</v>
      </c>
      <c r="C4" s="6">
        <v>-1</v>
      </c>
    </row>
    <row r="5" spans="1:3" x14ac:dyDescent="0.3">
      <c r="A5" s="6"/>
      <c r="B5" s="6" t="s">
        <v>354</v>
      </c>
      <c r="C5" s="6">
        <v>-1</v>
      </c>
    </row>
    <row r="6" spans="1:3" x14ac:dyDescent="0.3">
      <c r="A6" s="6"/>
      <c r="B6" s="6" t="s">
        <v>328</v>
      </c>
      <c r="C6" s="6">
        <v>-1</v>
      </c>
    </row>
    <row r="7" spans="1:3" x14ac:dyDescent="0.3">
      <c r="A7" s="6" t="s">
        <v>4300</v>
      </c>
      <c r="B7" s="6" t="s">
        <v>328</v>
      </c>
      <c r="C7" s="6">
        <v>2</v>
      </c>
    </row>
    <row r="8" spans="1:3" x14ac:dyDescent="0.3">
      <c r="A8" s="6"/>
      <c r="B8" s="6" t="s">
        <v>334</v>
      </c>
      <c r="C8" s="6">
        <v>-1</v>
      </c>
    </row>
    <row r="9" spans="1:3" x14ac:dyDescent="0.3">
      <c r="A9" s="6" t="s">
        <v>4734</v>
      </c>
      <c r="B9" s="6" t="s">
        <v>334</v>
      </c>
      <c r="C9" s="6">
        <v>33</v>
      </c>
    </row>
    <row r="10" spans="1:3" x14ac:dyDescent="0.3">
      <c r="A10" s="6" t="s">
        <v>1662</v>
      </c>
      <c r="B10" s="6" t="s">
        <v>332</v>
      </c>
      <c r="C10" s="6">
        <v>17</v>
      </c>
    </row>
    <row r="11" spans="1:3" x14ac:dyDescent="0.3">
      <c r="A11" s="6" t="s">
        <v>2091</v>
      </c>
      <c r="B11" s="6" t="s">
        <v>332</v>
      </c>
      <c r="C11" s="6">
        <v>9</v>
      </c>
    </row>
    <row r="12" spans="1:3" x14ac:dyDescent="0.3">
      <c r="A12" s="6" t="s">
        <v>3108</v>
      </c>
      <c r="B12" s="6" t="s">
        <v>336</v>
      </c>
      <c r="C12" s="6">
        <v>17</v>
      </c>
    </row>
    <row r="13" spans="1:3" x14ac:dyDescent="0.3">
      <c r="A13" s="6" t="s">
        <v>3110</v>
      </c>
      <c r="B13" s="6" t="s">
        <v>336</v>
      </c>
      <c r="C13" s="6">
        <v>33</v>
      </c>
    </row>
    <row r="14" spans="1:3" x14ac:dyDescent="0.3">
      <c r="A14" s="6" t="s">
        <v>4411</v>
      </c>
      <c r="B14" s="6" t="s">
        <v>326</v>
      </c>
      <c r="C14" s="6">
        <v>33</v>
      </c>
    </row>
    <row r="15" spans="1:3" x14ac:dyDescent="0.3">
      <c r="A15" s="6"/>
      <c r="B15" s="6" t="s">
        <v>326</v>
      </c>
      <c r="C15" s="6">
        <v>-1</v>
      </c>
    </row>
    <row r="16" spans="1:3" x14ac:dyDescent="0.3">
      <c r="A16" s="6" t="s">
        <v>4291</v>
      </c>
      <c r="B16" s="6" t="s">
        <v>700</v>
      </c>
      <c r="C16" s="6">
        <v>33</v>
      </c>
    </row>
    <row r="17" spans="1:3" x14ac:dyDescent="0.3">
      <c r="A17" s="6"/>
      <c r="B17" s="6" t="s">
        <v>700</v>
      </c>
      <c r="C17" s="6">
        <v>-1</v>
      </c>
    </row>
    <row r="18" spans="1:3" x14ac:dyDescent="0.3">
      <c r="A18" s="6" t="s">
        <v>1358</v>
      </c>
      <c r="B18" s="6" t="s">
        <v>368</v>
      </c>
      <c r="C18" s="6">
        <v>5</v>
      </c>
    </row>
    <row r="19" spans="1:3" x14ac:dyDescent="0.3">
      <c r="A19" s="6" t="s">
        <v>4973</v>
      </c>
      <c r="B19" s="6" t="s">
        <v>368</v>
      </c>
      <c r="C19" s="6">
        <v>33</v>
      </c>
    </row>
    <row r="20" spans="1:3" x14ac:dyDescent="0.3">
      <c r="A20" s="6"/>
      <c r="B20" s="6" t="s">
        <v>592</v>
      </c>
      <c r="C20" s="6">
        <v>-1</v>
      </c>
    </row>
    <row r="21" spans="1:3" x14ac:dyDescent="0.3">
      <c r="A21" s="6"/>
      <c r="B21" s="6" t="s">
        <v>592</v>
      </c>
      <c r="C21" s="6">
        <v>-1</v>
      </c>
    </row>
    <row r="22" spans="1:3" x14ac:dyDescent="0.3">
      <c r="A22" s="6"/>
      <c r="B22" s="6" t="s">
        <v>428</v>
      </c>
      <c r="C22" s="6">
        <v>-1</v>
      </c>
    </row>
    <row r="23" spans="1:3" x14ac:dyDescent="0.3">
      <c r="A23" s="6" t="s">
        <v>3741</v>
      </c>
      <c r="B23" s="6" t="s">
        <v>428</v>
      </c>
      <c r="C23" s="6">
        <v>5</v>
      </c>
    </row>
    <row r="24" spans="1:3" x14ac:dyDescent="0.3">
      <c r="A24" s="6"/>
      <c r="B24" s="6" t="s">
        <v>348</v>
      </c>
      <c r="C24" s="6">
        <v>-1</v>
      </c>
    </row>
    <row r="25" spans="1:3" x14ac:dyDescent="0.3">
      <c r="A25" s="6" t="s">
        <v>4492</v>
      </c>
      <c r="B25" s="6" t="s">
        <v>348</v>
      </c>
      <c r="C25" s="6">
        <v>9</v>
      </c>
    </row>
    <row r="26" spans="1:3" x14ac:dyDescent="0.3">
      <c r="A26" s="6"/>
      <c r="B26" s="6" t="s">
        <v>478</v>
      </c>
      <c r="C26" s="6">
        <v>-1</v>
      </c>
    </row>
    <row r="27" spans="1:3" x14ac:dyDescent="0.3">
      <c r="A27" s="6"/>
      <c r="B27" s="6" t="s">
        <v>478</v>
      </c>
      <c r="C27" s="6">
        <v>-1</v>
      </c>
    </row>
    <row r="28" spans="1:3" x14ac:dyDescent="0.3">
      <c r="A28" s="6"/>
      <c r="B28" s="6" t="s">
        <v>394</v>
      </c>
      <c r="C28" s="6">
        <v>-1</v>
      </c>
    </row>
    <row r="29" spans="1:3" x14ac:dyDescent="0.3">
      <c r="A29" s="6" t="s">
        <v>3692</v>
      </c>
      <c r="B29" s="6" t="s">
        <v>394</v>
      </c>
      <c r="C29" s="6">
        <v>33</v>
      </c>
    </row>
    <row r="30" spans="1:3" x14ac:dyDescent="0.3">
      <c r="A30" s="6" t="s">
        <v>3670</v>
      </c>
      <c r="B30" s="6" t="s">
        <v>448</v>
      </c>
      <c r="C30" s="6">
        <v>9</v>
      </c>
    </row>
    <row r="31" spans="1:3" x14ac:dyDescent="0.3">
      <c r="A31" s="6" t="s">
        <v>3615</v>
      </c>
      <c r="B31" s="6" t="s">
        <v>448</v>
      </c>
      <c r="C31" s="6">
        <v>9</v>
      </c>
    </row>
    <row r="32" spans="1:3" x14ac:dyDescent="0.3">
      <c r="A32" s="6" t="s">
        <v>3143</v>
      </c>
      <c r="B32" s="6" t="s">
        <v>338</v>
      </c>
      <c r="C32" s="6">
        <v>17</v>
      </c>
    </row>
    <row r="33" spans="1:3" x14ac:dyDescent="0.3">
      <c r="A33" s="6"/>
      <c r="B33" s="6" t="s">
        <v>338</v>
      </c>
      <c r="C33" s="6">
        <v>-1</v>
      </c>
    </row>
    <row r="34" spans="1:3" x14ac:dyDescent="0.3">
      <c r="A34" s="6"/>
      <c r="B34" s="6" t="s">
        <v>446</v>
      </c>
      <c r="C34" s="6">
        <v>-1</v>
      </c>
    </row>
    <row r="35" spans="1:3" x14ac:dyDescent="0.3">
      <c r="A35" s="6"/>
      <c r="B35" s="6" t="s">
        <v>728</v>
      </c>
      <c r="C35" s="6">
        <v>-1</v>
      </c>
    </row>
    <row r="36" spans="1:3" x14ac:dyDescent="0.3">
      <c r="A36" s="6" t="s">
        <v>2938</v>
      </c>
      <c r="B36" s="6" t="s">
        <v>486</v>
      </c>
      <c r="C36" s="6">
        <v>65</v>
      </c>
    </row>
    <row r="37" spans="1:3" x14ac:dyDescent="0.3">
      <c r="A37" s="6" t="s">
        <v>4305</v>
      </c>
      <c r="B37" s="6" t="s">
        <v>384</v>
      </c>
      <c r="C37" s="6">
        <v>17</v>
      </c>
    </row>
    <row r="38" spans="1:3" x14ac:dyDescent="0.3">
      <c r="A38" s="6" t="s">
        <v>4032</v>
      </c>
      <c r="B38" s="6" t="s">
        <v>366</v>
      </c>
      <c r="C38" s="6">
        <v>33</v>
      </c>
    </row>
    <row r="39" spans="1:3" x14ac:dyDescent="0.3">
      <c r="A39" s="6"/>
      <c r="B39" s="6" t="s">
        <v>366</v>
      </c>
      <c r="C39" s="6">
        <v>-1</v>
      </c>
    </row>
    <row r="40" spans="1:3" x14ac:dyDescent="0.3">
      <c r="A40" s="6"/>
      <c r="B40" s="6" t="s">
        <v>350</v>
      </c>
      <c r="C40" s="6">
        <v>-1</v>
      </c>
    </row>
    <row r="41" spans="1:3" x14ac:dyDescent="0.3">
      <c r="A41" s="6"/>
      <c r="B41" s="6" t="s">
        <v>402</v>
      </c>
      <c r="C41" s="6">
        <v>-1</v>
      </c>
    </row>
    <row r="42" spans="1:3" x14ac:dyDescent="0.3">
      <c r="A42" s="6"/>
      <c r="B42" s="6" t="s">
        <v>412</v>
      </c>
      <c r="C42" s="6">
        <v>-1</v>
      </c>
    </row>
    <row r="43" spans="1:3" x14ac:dyDescent="0.3">
      <c r="A43" s="6" t="s">
        <v>4735</v>
      </c>
      <c r="B43" s="6" t="s">
        <v>346</v>
      </c>
      <c r="C43" s="6">
        <v>17</v>
      </c>
    </row>
    <row r="44" spans="1:3" x14ac:dyDescent="0.3">
      <c r="A44" s="6" t="s">
        <v>4304</v>
      </c>
      <c r="B44" s="6" t="s">
        <v>346</v>
      </c>
      <c r="C44" s="6">
        <v>17</v>
      </c>
    </row>
    <row r="45" spans="1:3" x14ac:dyDescent="0.3">
      <c r="A45" s="6"/>
      <c r="B45" s="6" t="s">
        <v>726</v>
      </c>
      <c r="C45" s="6">
        <v>-1</v>
      </c>
    </row>
    <row r="46" spans="1:3" x14ac:dyDescent="0.3">
      <c r="A46" s="6" t="s">
        <v>1377</v>
      </c>
      <c r="B46" s="6" t="s">
        <v>440</v>
      </c>
      <c r="C46" s="6">
        <v>33</v>
      </c>
    </row>
    <row r="47" spans="1:3" x14ac:dyDescent="0.3">
      <c r="A47" s="6" t="s">
        <v>2838</v>
      </c>
      <c r="B47" s="6" t="s">
        <v>544</v>
      </c>
      <c r="C47" s="6">
        <v>33</v>
      </c>
    </row>
    <row r="48" spans="1:3" x14ac:dyDescent="0.3">
      <c r="A48" s="6"/>
      <c r="B48" s="6" t="s">
        <v>440</v>
      </c>
      <c r="C48" s="6">
        <v>-1</v>
      </c>
    </row>
    <row r="49" spans="1:3" x14ac:dyDescent="0.3">
      <c r="A49" s="6" t="s">
        <v>4845</v>
      </c>
      <c r="B49" s="6" t="s">
        <v>360</v>
      </c>
      <c r="C49" s="6">
        <v>33</v>
      </c>
    </row>
    <row r="50" spans="1:3" x14ac:dyDescent="0.3">
      <c r="A50" s="6"/>
      <c r="B50" s="6" t="s">
        <v>460</v>
      </c>
      <c r="C50" s="6">
        <v>-1</v>
      </c>
    </row>
    <row r="51" spans="1:3" x14ac:dyDescent="0.3">
      <c r="A51" s="6"/>
      <c r="B51" s="6" t="s">
        <v>658</v>
      </c>
      <c r="C51" s="6">
        <v>-1</v>
      </c>
    </row>
    <row r="52" spans="1:3" x14ac:dyDescent="0.3">
      <c r="A52" s="6" t="s">
        <v>2757</v>
      </c>
      <c r="B52" s="6" t="s">
        <v>380</v>
      </c>
      <c r="C52" s="6">
        <v>33</v>
      </c>
    </row>
    <row r="53" spans="1:3" x14ac:dyDescent="0.3">
      <c r="A53" s="6"/>
      <c r="B53" s="6" t="s">
        <v>398</v>
      </c>
      <c r="C53" s="6">
        <v>-1</v>
      </c>
    </row>
    <row r="54" spans="1:3" x14ac:dyDescent="0.3">
      <c r="A54" s="6"/>
      <c r="B54" s="6" t="s">
        <v>446</v>
      </c>
      <c r="C54" s="6">
        <v>-1</v>
      </c>
    </row>
    <row r="55" spans="1:3" x14ac:dyDescent="0.3">
      <c r="A55" s="6"/>
      <c r="B55" s="6" t="s">
        <v>640</v>
      </c>
      <c r="C55" s="6">
        <v>-1</v>
      </c>
    </row>
    <row r="56" spans="1:3" x14ac:dyDescent="0.3">
      <c r="A56" s="6"/>
      <c r="B56" s="6" t="s">
        <v>358</v>
      </c>
      <c r="C56" s="6">
        <v>-1</v>
      </c>
    </row>
    <row r="57" spans="1:3" x14ac:dyDescent="0.3">
      <c r="A57" s="6"/>
      <c r="B57" s="6" t="s">
        <v>622</v>
      </c>
      <c r="C57" s="6">
        <v>-1</v>
      </c>
    </row>
    <row r="58" spans="1:3" x14ac:dyDescent="0.3">
      <c r="A58" s="6" t="s">
        <v>2287</v>
      </c>
      <c r="B58" s="6" t="s">
        <v>356</v>
      </c>
      <c r="C58" s="6">
        <v>33</v>
      </c>
    </row>
    <row r="59" spans="1:3" x14ac:dyDescent="0.3">
      <c r="A59" s="6"/>
      <c r="B59" s="6" t="s">
        <v>330</v>
      </c>
      <c r="C59" s="6">
        <v>-1</v>
      </c>
    </row>
    <row r="60" spans="1:3" x14ac:dyDescent="0.3">
      <c r="A60" s="6"/>
      <c r="B60" s="6" t="s">
        <v>406</v>
      </c>
      <c r="C60" s="6">
        <v>-1</v>
      </c>
    </row>
    <row r="61" spans="1:3" x14ac:dyDescent="0.3">
      <c r="A61" s="6" t="s">
        <v>4237</v>
      </c>
      <c r="B61" s="6" t="s">
        <v>450</v>
      </c>
      <c r="C61" s="6">
        <v>33</v>
      </c>
    </row>
    <row r="62" spans="1:3" x14ac:dyDescent="0.3">
      <c r="A62" s="6" t="s">
        <v>2251</v>
      </c>
      <c r="B62" s="6" t="s">
        <v>442</v>
      </c>
      <c r="C62" s="6">
        <v>17</v>
      </c>
    </row>
    <row r="63" spans="1:3" x14ac:dyDescent="0.3">
      <c r="A63" s="6"/>
      <c r="B63" s="6" t="s">
        <v>690</v>
      </c>
      <c r="C63" s="6">
        <v>-1</v>
      </c>
    </row>
    <row r="64" spans="1:3" x14ac:dyDescent="0.3">
      <c r="A64" s="6" t="s">
        <v>2300</v>
      </c>
      <c r="B64" s="6" t="s">
        <v>356</v>
      </c>
      <c r="C64" s="6">
        <v>33</v>
      </c>
    </row>
    <row r="65" spans="1:3" x14ac:dyDescent="0.3">
      <c r="A65" s="6" t="s">
        <v>4847</v>
      </c>
      <c r="B65" s="6" t="s">
        <v>622</v>
      </c>
      <c r="C65" s="6">
        <v>33</v>
      </c>
    </row>
    <row r="66" spans="1:3" x14ac:dyDescent="0.3">
      <c r="A66" s="6"/>
      <c r="B66" s="6" t="s">
        <v>718</v>
      </c>
      <c r="C66" s="6">
        <v>-1</v>
      </c>
    </row>
    <row r="67" spans="1:3" x14ac:dyDescent="0.3">
      <c r="A67" s="6"/>
      <c r="B67" s="6" t="s">
        <v>726</v>
      </c>
      <c r="C67" s="6">
        <v>-1</v>
      </c>
    </row>
    <row r="68" spans="1:3" x14ac:dyDescent="0.3">
      <c r="A68" s="6"/>
      <c r="B68" s="6" t="s">
        <v>586</v>
      </c>
      <c r="C68" s="6">
        <v>-1</v>
      </c>
    </row>
  </sheetData>
  <pageMargins left="0.7" right="0.7" top="0.75" bottom="0.75" header="0.3" footer="0.3"/>
  <tableParts count="1">
    <tablePart r:id="rId1"/>
  </tablePart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5C1F4-3039-47A0-A032-E8D2F3FAA6FE}">
  <dimension ref="A1:E17"/>
  <sheetViews>
    <sheetView topLeftCell="A7" workbookViewId="0">
      <selection activeCell="B18" sqref="B18"/>
    </sheetView>
  </sheetViews>
  <sheetFormatPr defaultRowHeight="14.4" x14ac:dyDescent="0.3"/>
  <cols>
    <col min="1" max="1" width="30.6640625" bestFit="1" customWidth="1"/>
    <col min="2" max="2" width="11.33203125" bestFit="1" customWidth="1"/>
    <col min="3" max="3" width="20" bestFit="1" customWidth="1"/>
    <col min="4" max="4" width="17" bestFit="1" customWidth="1"/>
    <col min="5" max="5" width="14.77734375" bestFit="1" customWidth="1"/>
  </cols>
  <sheetData>
    <row r="1" spans="1:5" x14ac:dyDescent="0.3">
      <c r="A1" t="s">
        <v>833</v>
      </c>
      <c r="B1" t="s">
        <v>1</v>
      </c>
      <c r="C1" t="s">
        <v>1017</v>
      </c>
      <c r="D1" t="s">
        <v>1212</v>
      </c>
      <c r="E1" t="s">
        <v>1213</v>
      </c>
    </row>
    <row r="2" spans="1:5" x14ac:dyDescent="0.3">
      <c r="A2" s="6" t="s">
        <v>2735</v>
      </c>
      <c r="B2" s="6" t="s">
        <v>344</v>
      </c>
      <c r="C2" s="6">
        <v>9</v>
      </c>
      <c r="D2" s="6">
        <f>Table56[[#This Row],[Total Athletes]]-(LEN(Table56[[#This Row],[Pair]])-LEN(SUBSTITUTE(Table56[[#This Row],[Pair]],"/","")))-1</f>
        <v>0</v>
      </c>
      <c r="E2" s="6">
        <v>2</v>
      </c>
    </row>
    <row r="3" spans="1:5" x14ac:dyDescent="0.3">
      <c r="A3" s="6"/>
      <c r="B3" s="6" t="s">
        <v>334</v>
      </c>
      <c r="C3" s="6">
        <v>-1</v>
      </c>
      <c r="D3" s="6">
        <f>Table56[[#This Row],[Total Athletes]]-(LEN(Table56[[#This Row],[Pair]])-LEN(SUBSTITUTE(Table56[[#This Row],[Pair]],"/","")))-1</f>
        <v>-1</v>
      </c>
      <c r="E3" s="6"/>
    </row>
    <row r="4" spans="1:5" x14ac:dyDescent="0.3">
      <c r="A4" s="6"/>
      <c r="B4" s="6" t="s">
        <v>354</v>
      </c>
      <c r="C4" s="6">
        <v>-1</v>
      </c>
      <c r="D4" s="6">
        <f>Table56[[#This Row],[Total Athletes]]-(LEN(Table56[[#This Row],[Pair]])-LEN(SUBSTITUTE(Table56[[#This Row],[Pair]],"/","")))-1</f>
        <v>-1</v>
      </c>
      <c r="E4" s="6"/>
    </row>
    <row r="5" spans="1:5" x14ac:dyDescent="0.3">
      <c r="A5" s="6"/>
      <c r="B5" s="6" t="s">
        <v>326</v>
      </c>
      <c r="C5" s="6">
        <v>-1</v>
      </c>
      <c r="D5" s="6">
        <f>Table56[[#This Row],[Total Athletes]]-(LEN(Table56[[#This Row],[Pair]])-LEN(SUBSTITUTE(Table56[[#This Row],[Pair]],"/","")))-1</f>
        <v>-1</v>
      </c>
      <c r="E5" s="6"/>
    </row>
    <row r="6" spans="1:5" x14ac:dyDescent="0.3">
      <c r="A6" s="6" t="s">
        <v>3109</v>
      </c>
      <c r="B6" s="6" t="s">
        <v>336</v>
      </c>
      <c r="C6" s="6">
        <v>9</v>
      </c>
      <c r="D6" s="6">
        <f>Table56[[#This Row],[Total Athletes]]-(LEN(Table56[[#This Row],[Pair]])-LEN(SUBSTITUTE(Table56[[#This Row],[Pair]],"/","")))-1</f>
        <v>0</v>
      </c>
      <c r="E6" s="6">
        <v>2</v>
      </c>
    </row>
    <row r="7" spans="1:5" x14ac:dyDescent="0.3">
      <c r="A7" s="6" t="s">
        <v>1692</v>
      </c>
      <c r="B7" s="6" t="s">
        <v>470</v>
      </c>
      <c r="C7" s="6">
        <v>9</v>
      </c>
      <c r="D7" s="6">
        <f>Table56[[#This Row],[Total Athletes]]-(LEN(Table56[[#This Row],[Pair]])-LEN(SUBSTITUTE(Table56[[#This Row],[Pair]],"/","")))-1</f>
        <v>1</v>
      </c>
      <c r="E7" s="6">
        <v>2</v>
      </c>
    </row>
    <row r="8" spans="1:5" x14ac:dyDescent="0.3">
      <c r="A8" s="6"/>
      <c r="B8" s="6" t="s">
        <v>658</v>
      </c>
      <c r="C8" s="6">
        <v>-1</v>
      </c>
      <c r="D8" s="6">
        <f>Table56[[#This Row],[Total Athletes]]-(LEN(Table56[[#This Row],[Pair]])-LEN(SUBSTITUTE(Table56[[#This Row],[Pair]],"/","")))-1</f>
        <v>-1</v>
      </c>
      <c r="E8" s="6"/>
    </row>
    <row r="9" spans="1:5" x14ac:dyDescent="0.3">
      <c r="A9" s="6"/>
      <c r="B9" s="6" t="s">
        <v>592</v>
      </c>
      <c r="C9" s="6">
        <v>-1</v>
      </c>
      <c r="D9" s="6">
        <f>Table56[[#This Row],[Total Athletes]]-(LEN(Table56[[#This Row],[Pair]])-LEN(SUBSTITUTE(Table56[[#This Row],[Pair]],"/","")))-1</f>
        <v>-1</v>
      </c>
      <c r="E9" s="6"/>
    </row>
    <row r="10" spans="1:5" x14ac:dyDescent="0.3">
      <c r="A10" s="6"/>
      <c r="B10" s="6" t="s">
        <v>330</v>
      </c>
      <c r="C10" s="6">
        <v>-1</v>
      </c>
      <c r="D10" s="6">
        <f>Table56[[#This Row],[Total Athletes]]-(LEN(Table56[[#This Row],[Pair]])-LEN(SUBSTITUTE(Table56[[#This Row],[Pair]],"/","")))-1</f>
        <v>-1</v>
      </c>
      <c r="E10" s="6"/>
    </row>
    <row r="11" spans="1:5" x14ac:dyDescent="0.3">
      <c r="A11" s="6"/>
      <c r="B11" s="6" t="s">
        <v>338</v>
      </c>
      <c r="C11" s="6">
        <v>-1</v>
      </c>
      <c r="D11" s="6">
        <f>Table56[[#This Row],[Total Athletes]]-(LEN(Table56[[#This Row],[Pair]])-LEN(SUBSTITUTE(Table56[[#This Row],[Pair]],"/","")))-1</f>
        <v>-1</v>
      </c>
      <c r="E11" s="6"/>
    </row>
    <row r="12" spans="1:5" x14ac:dyDescent="0.3">
      <c r="A12" s="6" t="s">
        <v>4300</v>
      </c>
      <c r="B12" s="6" t="s">
        <v>328</v>
      </c>
      <c r="C12" s="6">
        <v>1</v>
      </c>
      <c r="D12" s="6">
        <f>Table56[[#This Row],[Total Athletes]]-(LEN(Table56[[#This Row],[Pair]])-LEN(SUBSTITUTE(Table56[[#This Row],[Pair]],"/","")))-1</f>
        <v>1</v>
      </c>
      <c r="E12" s="6">
        <v>2</v>
      </c>
    </row>
    <row r="13" spans="1:5" x14ac:dyDescent="0.3">
      <c r="A13" s="6"/>
      <c r="B13" s="6" t="s">
        <v>428</v>
      </c>
      <c r="C13" s="6">
        <v>-1</v>
      </c>
      <c r="D13" s="6">
        <f>Table56[[#This Row],[Total Athletes]]-(LEN(Table56[[#This Row],[Pair]])-LEN(SUBSTITUTE(Table56[[#This Row],[Pair]],"/","")))-1</f>
        <v>-1</v>
      </c>
      <c r="E13" s="6"/>
    </row>
    <row r="14" spans="1:5" x14ac:dyDescent="0.3">
      <c r="A14" s="6"/>
      <c r="B14" s="6" t="s">
        <v>700</v>
      </c>
      <c r="C14" s="6">
        <v>-1</v>
      </c>
      <c r="D14" s="6">
        <f>Table56[[#This Row],[Total Athletes]]-(LEN(Table56[[#This Row],[Pair]])-LEN(SUBSTITUTE(Table56[[#This Row],[Pair]],"/","")))-1</f>
        <v>-1</v>
      </c>
      <c r="E14" s="6"/>
    </row>
    <row r="15" spans="1:5" x14ac:dyDescent="0.3">
      <c r="A15" s="6" t="s">
        <v>4492</v>
      </c>
      <c r="B15" s="6" t="s">
        <v>348</v>
      </c>
      <c r="C15" s="6">
        <v>5</v>
      </c>
      <c r="D15" s="6">
        <f>Table56[[#This Row],[Total Athletes]]-(LEN(Table56[[#This Row],[Pair]])-LEN(SUBSTITUTE(Table56[[#This Row],[Pair]],"/","")))-1</f>
        <v>1</v>
      </c>
      <c r="E15" s="6">
        <v>2</v>
      </c>
    </row>
    <row r="16" spans="1:5" x14ac:dyDescent="0.3">
      <c r="A16" s="6" t="s">
        <v>2896</v>
      </c>
      <c r="B16" s="6" t="s">
        <v>368</v>
      </c>
      <c r="C16" s="6">
        <v>5</v>
      </c>
      <c r="D16" s="6">
        <f>Table56[[#This Row],[Total Athletes]]-(LEN(Table56[[#This Row],[Pair]])-LEN(SUBSTITUTE(Table56[[#This Row],[Pair]],"/","")))-1</f>
        <v>0</v>
      </c>
      <c r="E16" s="6">
        <v>2</v>
      </c>
    </row>
    <row r="17" spans="1:5" x14ac:dyDescent="0.3">
      <c r="A17" s="6"/>
      <c r="B17" s="6" t="s">
        <v>406</v>
      </c>
      <c r="C17" s="6">
        <v>-1</v>
      </c>
      <c r="D17" s="6">
        <f>Table56[[#This Row],[Total Athletes]]-(LEN(Table56[[#This Row],[Pair]])-LEN(SUBSTITUTE(Table56[[#This Row],[Pair]],"/","")))-1</f>
        <v>-1</v>
      </c>
      <c r="E17" s="6"/>
    </row>
  </sheetData>
  <pageMargins left="0.7" right="0.7" top="0.75" bottom="0.75" header="0.3" footer="0.3"/>
  <tableParts count="1">
    <tablePart r:id="rId1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E5A206-F679-42A2-9EB7-11A4EBC11EA1}">
  <dimension ref="A1:F33"/>
  <sheetViews>
    <sheetView topLeftCell="A22" workbookViewId="0">
      <selection activeCell="B34" sqref="B34"/>
    </sheetView>
  </sheetViews>
  <sheetFormatPr defaultRowHeight="14.4" x14ac:dyDescent="0.3"/>
  <cols>
    <col min="1" max="1" width="52.5546875" bestFit="1" customWidth="1"/>
    <col min="2" max="2" width="12.21875" bestFit="1" customWidth="1"/>
    <col min="3" max="3" width="19.88671875" bestFit="1" customWidth="1"/>
    <col min="4" max="4" width="22.5546875" bestFit="1" customWidth="1"/>
    <col min="5" max="5" width="17" bestFit="1" customWidth="1"/>
    <col min="6" max="6" width="14.77734375" bestFit="1" customWidth="1"/>
  </cols>
  <sheetData>
    <row r="1" spans="1:6" x14ac:dyDescent="0.3">
      <c r="A1" t="s">
        <v>834</v>
      </c>
      <c r="B1" t="s">
        <v>1</v>
      </c>
      <c r="C1" t="s">
        <v>900</v>
      </c>
      <c r="D1" t="s">
        <v>901</v>
      </c>
      <c r="E1" t="s">
        <v>1212</v>
      </c>
      <c r="F1" t="s">
        <v>1213</v>
      </c>
    </row>
    <row r="2" spans="1:6" x14ac:dyDescent="0.3">
      <c r="A2" s="6" t="s">
        <v>2700</v>
      </c>
      <c r="B2" s="6" t="s">
        <v>344</v>
      </c>
      <c r="C2" s="6">
        <v>3</v>
      </c>
      <c r="D2" s="6"/>
      <c r="E2" s="6">
        <f>Table55[[#This Row],[Total Athletes]]-(LEN(Table55[[#This Row],[Team]])-LEN(SUBSTITUTE(Table55[[#This Row],[Team]],"/","")))-1</f>
        <v>1</v>
      </c>
      <c r="F2" s="6">
        <v>3</v>
      </c>
    </row>
    <row r="3" spans="1:6" x14ac:dyDescent="0.3">
      <c r="A3" s="6" t="s">
        <v>3756</v>
      </c>
      <c r="B3" s="6" t="s">
        <v>344</v>
      </c>
      <c r="C3" s="6"/>
      <c r="D3" s="6">
        <v>9</v>
      </c>
      <c r="E3" s="6">
        <f>Table55[[#This Row],[Total Athletes]]-(LEN(Table55[[#This Row],[Team]])-LEN(SUBSTITUTE(Table55[[#This Row],[Team]],"/","")))-1</f>
        <v>0</v>
      </c>
      <c r="F3" s="6">
        <v>3</v>
      </c>
    </row>
    <row r="4" spans="1:6" x14ac:dyDescent="0.3">
      <c r="A4" s="6" t="s">
        <v>2350</v>
      </c>
      <c r="B4" s="6" t="s">
        <v>354</v>
      </c>
      <c r="C4" s="6">
        <v>9</v>
      </c>
      <c r="D4" s="6"/>
      <c r="E4" s="6">
        <f>Table55[[#This Row],[Total Athletes]]-(LEN(Table55[[#This Row],[Team]])-LEN(SUBSTITUTE(Table55[[#This Row],[Team]],"/","")))-1</f>
        <v>2</v>
      </c>
      <c r="F4" s="6">
        <v>3</v>
      </c>
    </row>
    <row r="5" spans="1:6" x14ac:dyDescent="0.3">
      <c r="A5" s="6" t="s">
        <v>2359</v>
      </c>
      <c r="B5" s="6" t="s">
        <v>354</v>
      </c>
      <c r="C5" s="6"/>
      <c r="D5" s="6">
        <v>9</v>
      </c>
      <c r="E5" s="6">
        <f>Table55[[#This Row],[Total Athletes]]-(LEN(Table55[[#This Row],[Team]])-LEN(SUBSTITUTE(Table55[[#This Row],[Team]],"/","")))-1</f>
        <v>2</v>
      </c>
      <c r="F5" s="6">
        <v>3</v>
      </c>
    </row>
    <row r="6" spans="1:6" x14ac:dyDescent="0.3">
      <c r="A6" s="6" t="s">
        <v>4733</v>
      </c>
      <c r="B6" s="6" t="s">
        <v>328</v>
      </c>
      <c r="C6" s="6">
        <v>1</v>
      </c>
      <c r="D6" s="6"/>
      <c r="E6" s="6">
        <f>Table55[[#This Row],[Total Athletes]]-(LEN(Table55[[#This Row],[Team]])-LEN(SUBSTITUTE(Table55[[#This Row],[Team]],"/","")))-1</f>
        <v>2</v>
      </c>
      <c r="F6" s="6">
        <v>3</v>
      </c>
    </row>
    <row r="7" spans="1:6" x14ac:dyDescent="0.3">
      <c r="A7" s="6" t="s">
        <v>4300</v>
      </c>
      <c r="B7" s="6" t="s">
        <v>328</v>
      </c>
      <c r="C7" s="6"/>
      <c r="D7" s="6">
        <v>1</v>
      </c>
      <c r="E7" s="6">
        <f>Table55[[#This Row],[Total Athletes]]-(LEN(Table55[[#This Row],[Team]])-LEN(SUBSTITUTE(Table55[[#This Row],[Team]],"/","")))-1</f>
        <v>2</v>
      </c>
      <c r="F7" s="6">
        <v>3</v>
      </c>
    </row>
    <row r="8" spans="1:6" x14ac:dyDescent="0.3">
      <c r="A8" s="6" t="s">
        <v>3154</v>
      </c>
      <c r="B8" s="6" t="s">
        <v>338</v>
      </c>
      <c r="C8" s="6">
        <v>2</v>
      </c>
      <c r="D8" s="6"/>
      <c r="E8" s="6">
        <f>Table55[[#This Row],[Total Athletes]]-(LEN(Table55[[#This Row],[Team]])-LEN(SUBSTITUTE(Table55[[#This Row],[Team]],"/","")))-1</f>
        <v>2</v>
      </c>
      <c r="F8" s="6">
        <v>3</v>
      </c>
    </row>
    <row r="9" spans="1:6" x14ac:dyDescent="0.3">
      <c r="A9" s="6" t="s">
        <v>4734</v>
      </c>
      <c r="B9" s="6" t="s">
        <v>334</v>
      </c>
      <c r="C9" s="6"/>
      <c r="D9" s="6">
        <v>4</v>
      </c>
      <c r="E9" s="6">
        <f>Table55[[#This Row],[Total Athletes]]-(LEN(Table55[[#This Row],[Team]])-LEN(SUBSTITUTE(Table55[[#This Row],[Team]],"/","")))-1</f>
        <v>2</v>
      </c>
      <c r="F9" s="6">
        <v>3</v>
      </c>
    </row>
    <row r="10" spans="1:6" x14ac:dyDescent="0.3">
      <c r="A10" s="6" t="s">
        <v>3113</v>
      </c>
      <c r="B10" s="6" t="s">
        <v>336</v>
      </c>
      <c r="C10" s="6">
        <v>5</v>
      </c>
      <c r="D10" s="6"/>
      <c r="E10" s="6">
        <f>Table55[[#This Row],[Total Athletes]]-(LEN(Table55[[#This Row],[Team]])-LEN(SUBSTITUTE(Table55[[#This Row],[Team]],"/","")))-1</f>
        <v>1</v>
      </c>
      <c r="F10" s="6">
        <v>3</v>
      </c>
    </row>
    <row r="11" spans="1:6" x14ac:dyDescent="0.3">
      <c r="A11" s="6" t="s">
        <v>4301</v>
      </c>
      <c r="B11" s="6" t="s">
        <v>384</v>
      </c>
      <c r="C11" s="6">
        <v>9</v>
      </c>
      <c r="D11" s="6"/>
      <c r="E11" s="6">
        <f>Table55[[#This Row],[Total Athletes]]-(LEN(Table55[[#This Row],[Team]])-LEN(SUBSTITUTE(Table55[[#This Row],[Team]],"/","")))-1</f>
        <v>2</v>
      </c>
      <c r="F11" s="6">
        <v>3</v>
      </c>
    </row>
    <row r="12" spans="1:6" x14ac:dyDescent="0.3">
      <c r="A12" s="6" t="s">
        <v>2092</v>
      </c>
      <c r="B12" s="6" t="s">
        <v>332</v>
      </c>
      <c r="C12" s="6"/>
      <c r="D12" s="6">
        <v>9</v>
      </c>
      <c r="E12" s="6">
        <f>Table55[[#This Row],[Total Athletes]]-(LEN(Table55[[#This Row],[Team]])-LEN(SUBSTITUTE(Table55[[#This Row],[Team]],"/","")))-1</f>
        <v>0</v>
      </c>
      <c r="F12" s="6">
        <v>3</v>
      </c>
    </row>
    <row r="13" spans="1:6" x14ac:dyDescent="0.3">
      <c r="A13" s="6" t="s">
        <v>3111</v>
      </c>
      <c r="B13" s="6" t="s">
        <v>336</v>
      </c>
      <c r="C13" s="6"/>
      <c r="D13" s="6">
        <v>9</v>
      </c>
      <c r="E13" s="6">
        <f>Table55[[#This Row],[Total Athletes]]-(LEN(Table55[[#This Row],[Team]])-LEN(SUBSTITUTE(Table55[[#This Row],[Team]],"/","")))-1</f>
        <v>1</v>
      </c>
      <c r="F13" s="6">
        <v>3</v>
      </c>
    </row>
    <row r="14" spans="1:6" x14ac:dyDescent="0.3">
      <c r="A14" s="6" t="s">
        <v>4398</v>
      </c>
      <c r="B14" s="6" t="s">
        <v>326</v>
      </c>
      <c r="C14" s="6">
        <v>9</v>
      </c>
      <c r="D14" s="6"/>
      <c r="E14" s="6">
        <f>Table55[[#This Row],[Total Athletes]]-(LEN(Table55[[#This Row],[Team]])-LEN(SUBSTITUTE(Table55[[#This Row],[Team]],"/","")))-1</f>
        <v>1</v>
      </c>
      <c r="F14" s="6">
        <v>3</v>
      </c>
    </row>
    <row r="15" spans="1:6" x14ac:dyDescent="0.3">
      <c r="A15" s="6" t="s">
        <v>4417</v>
      </c>
      <c r="B15" s="6" t="s">
        <v>326</v>
      </c>
      <c r="C15" s="6"/>
      <c r="D15" s="6">
        <v>9</v>
      </c>
      <c r="E15" s="6">
        <f>Table55[[#This Row],[Total Athletes]]-(LEN(Table55[[#This Row],[Team]])-LEN(SUBSTITUTE(Table55[[#This Row],[Team]],"/","")))-1</f>
        <v>1</v>
      </c>
      <c r="F15" s="6">
        <v>3</v>
      </c>
    </row>
    <row r="16" spans="1:6" x14ac:dyDescent="0.3">
      <c r="A16" s="6" t="s">
        <v>4076</v>
      </c>
      <c r="B16" s="6" t="s">
        <v>428</v>
      </c>
      <c r="C16" s="6">
        <v>4</v>
      </c>
      <c r="D16" s="6"/>
      <c r="E16" s="6">
        <f>Table55[[#This Row],[Total Athletes]]-(LEN(Table55[[#This Row],[Team]])-LEN(SUBSTITUTE(Table55[[#This Row],[Team]],"/","")))-1</f>
        <v>1</v>
      </c>
      <c r="F16" s="6">
        <v>3</v>
      </c>
    </row>
    <row r="17" spans="1:6" x14ac:dyDescent="0.3">
      <c r="A17" s="6"/>
      <c r="B17" s="6" t="s">
        <v>700</v>
      </c>
      <c r="C17" s="6">
        <v>-1</v>
      </c>
      <c r="D17" s="6"/>
      <c r="E17" s="6">
        <f>Table55[[#This Row],[Total Athletes]]-(LEN(Table55[[#This Row],[Team]])-LEN(SUBSTITUTE(Table55[[#This Row],[Team]],"/","")))-1</f>
        <v>-1</v>
      </c>
      <c r="F17" s="6"/>
    </row>
    <row r="18" spans="1:6" x14ac:dyDescent="0.3">
      <c r="A18" s="6" t="s">
        <v>3875</v>
      </c>
      <c r="B18" s="6" t="s">
        <v>346</v>
      </c>
      <c r="C18" s="6">
        <v>9</v>
      </c>
      <c r="D18" s="6"/>
      <c r="E18" s="6">
        <f>Table55[[#This Row],[Total Athletes]]-(LEN(Table55[[#This Row],[Team]])-LEN(SUBSTITUTE(Table55[[#This Row],[Team]],"/","")))-1</f>
        <v>2</v>
      </c>
      <c r="F18" s="6">
        <v>3</v>
      </c>
    </row>
    <row r="19" spans="1:6" x14ac:dyDescent="0.3">
      <c r="A19" s="6"/>
      <c r="B19" s="6" t="s">
        <v>334</v>
      </c>
      <c r="C19" s="6">
        <v>-1</v>
      </c>
      <c r="D19" s="6"/>
      <c r="E19" s="6">
        <f>Table55[[#This Row],[Total Athletes]]-(LEN(Table55[[#This Row],[Team]])-LEN(SUBSTITUTE(Table55[[#This Row],[Team]],"/","")))-1</f>
        <v>-1</v>
      </c>
      <c r="F19" s="6"/>
    </row>
    <row r="20" spans="1:6" x14ac:dyDescent="0.3">
      <c r="A20" s="6" t="s">
        <v>2895</v>
      </c>
      <c r="B20" s="6" t="s">
        <v>368</v>
      </c>
      <c r="C20" s="6">
        <v>5</v>
      </c>
      <c r="D20" s="6"/>
      <c r="E20" s="6">
        <f>Table55[[#This Row],[Total Athletes]]-(LEN(Table55[[#This Row],[Team]])-LEN(SUBSTITUTE(Table55[[#This Row],[Team]],"/","")))-1</f>
        <v>2</v>
      </c>
      <c r="F20" s="6">
        <v>3</v>
      </c>
    </row>
    <row r="21" spans="1:6" x14ac:dyDescent="0.3">
      <c r="A21" s="6"/>
      <c r="B21" s="6" t="s">
        <v>414</v>
      </c>
      <c r="C21" s="6">
        <v>-1</v>
      </c>
      <c r="D21" s="6"/>
      <c r="E21" s="6">
        <f>Table55[[#This Row],[Total Athletes]]-(LEN(Table55[[#This Row],[Team]])-LEN(SUBSTITUTE(Table55[[#This Row],[Team]],"/","")))-1</f>
        <v>-1</v>
      </c>
      <c r="F21" s="6"/>
    </row>
    <row r="22" spans="1:6" x14ac:dyDescent="0.3">
      <c r="A22" s="6" t="s">
        <v>4292</v>
      </c>
      <c r="B22" s="6" t="s">
        <v>700</v>
      </c>
      <c r="C22" s="6"/>
      <c r="D22" s="6">
        <v>3</v>
      </c>
      <c r="E22" s="6">
        <f>Table55[[#This Row],[Total Athletes]]-(LEN(Table55[[#This Row],[Team]])-LEN(SUBSTITUTE(Table55[[#This Row],[Team]],"/","")))-1</f>
        <v>1</v>
      </c>
      <c r="F22" s="6">
        <v>3</v>
      </c>
    </row>
    <row r="23" spans="1:6" x14ac:dyDescent="0.3">
      <c r="A23" s="6" t="s">
        <v>4974</v>
      </c>
      <c r="B23" s="6" t="s">
        <v>368</v>
      </c>
      <c r="C23" s="6"/>
      <c r="D23" s="6">
        <v>5</v>
      </c>
      <c r="E23" s="6">
        <f>Table55[[#This Row],[Total Athletes]]-(LEN(Table55[[#This Row],[Team]])-LEN(SUBSTITUTE(Table55[[#This Row],[Team]],"/","")))-1</f>
        <v>0</v>
      </c>
      <c r="F23" s="6">
        <v>3</v>
      </c>
    </row>
    <row r="24" spans="1:6" x14ac:dyDescent="0.3">
      <c r="A24" s="6"/>
      <c r="B24" s="6" t="s">
        <v>592</v>
      </c>
      <c r="C24" s="6"/>
      <c r="D24" s="6">
        <v>-1</v>
      </c>
      <c r="E24" s="6">
        <f>Table55[[#This Row],[Total Athletes]]-(LEN(Table55[[#This Row],[Team]])-LEN(SUBSTITUTE(Table55[[#This Row],[Team]],"/","")))-1</f>
        <v>-1</v>
      </c>
      <c r="F24" s="6"/>
    </row>
    <row r="25" spans="1:6" x14ac:dyDescent="0.3">
      <c r="A25" s="6" t="s">
        <v>3741</v>
      </c>
      <c r="B25" s="6" t="s">
        <v>428</v>
      </c>
      <c r="C25" s="6"/>
      <c r="D25" s="6">
        <v>2</v>
      </c>
      <c r="E25" s="6">
        <f>Table55[[#This Row],[Total Athletes]]-(LEN(Table55[[#This Row],[Team]])-LEN(SUBSTITUTE(Table55[[#This Row],[Team]],"/","")))-1</f>
        <v>2</v>
      </c>
      <c r="F25" s="6">
        <v>3</v>
      </c>
    </row>
    <row r="26" spans="1:6" x14ac:dyDescent="0.3">
      <c r="A26" s="6" t="s">
        <v>4492</v>
      </c>
      <c r="B26" s="6" t="s">
        <v>348</v>
      </c>
      <c r="C26" s="6"/>
      <c r="D26" s="6">
        <v>9</v>
      </c>
      <c r="E26" s="6">
        <f>Table55[[#This Row],[Total Athletes]]-(LEN(Table55[[#This Row],[Team]])-LEN(SUBSTITUTE(Table55[[#This Row],[Team]],"/","")))-1</f>
        <v>2</v>
      </c>
      <c r="F26" s="6">
        <v>3</v>
      </c>
    </row>
    <row r="27" spans="1:6" x14ac:dyDescent="0.3">
      <c r="A27" s="6" t="s">
        <v>3347</v>
      </c>
      <c r="B27" s="6" t="s">
        <v>694</v>
      </c>
      <c r="C27" s="6">
        <v>9</v>
      </c>
      <c r="D27" s="6"/>
      <c r="E27" s="6">
        <f>Table55[[#This Row],[Total Athletes]]-(LEN(Table55[[#This Row],[Team]])-LEN(SUBSTITUTE(Table55[[#This Row],[Team]],"/","")))-1</f>
        <v>2</v>
      </c>
      <c r="F27" s="6">
        <v>3</v>
      </c>
    </row>
    <row r="28" spans="1:6" x14ac:dyDescent="0.3">
      <c r="A28" s="6" t="s">
        <v>4634</v>
      </c>
      <c r="B28" s="6" t="s">
        <v>450</v>
      </c>
      <c r="C28" s="6">
        <v>9</v>
      </c>
      <c r="D28" s="6"/>
      <c r="E28" s="6">
        <f>Table55[[#This Row],[Total Athletes]]-(LEN(Table55[[#This Row],[Team]])-LEN(SUBSTITUTE(Table55[[#This Row],[Team]],"/","")))-1</f>
        <v>0</v>
      </c>
      <c r="F28" s="6">
        <v>3</v>
      </c>
    </row>
    <row r="29" spans="1:6" x14ac:dyDescent="0.3">
      <c r="A29" s="6"/>
      <c r="B29" s="6" t="s">
        <v>448</v>
      </c>
      <c r="C29" s="6">
        <v>-1</v>
      </c>
      <c r="D29" s="6"/>
      <c r="E29" s="6">
        <f>Table55[[#This Row],[Total Athletes]]-(LEN(Table55[[#This Row],[Team]])-LEN(SUBSTITUTE(Table55[[#This Row],[Team]],"/","")))-1</f>
        <v>-1</v>
      </c>
      <c r="F29" s="6"/>
    </row>
    <row r="30" spans="1:6" x14ac:dyDescent="0.3">
      <c r="A30" s="6"/>
      <c r="B30" s="6" t="s">
        <v>478</v>
      </c>
      <c r="C30" s="6"/>
      <c r="D30" s="6">
        <v>-1</v>
      </c>
      <c r="E30" s="6">
        <f>Table55[[#This Row],[Total Athletes]]-(LEN(Table55[[#This Row],[Team]])-LEN(SUBSTITUTE(Table55[[#This Row],[Team]],"/","")))-1</f>
        <v>-1</v>
      </c>
      <c r="F30" s="6"/>
    </row>
    <row r="31" spans="1:6" x14ac:dyDescent="0.3">
      <c r="A31" s="6" t="s">
        <v>3691</v>
      </c>
      <c r="B31" s="6" t="s">
        <v>394</v>
      </c>
      <c r="C31" s="6"/>
      <c r="D31" s="6">
        <v>9</v>
      </c>
      <c r="E31" s="6">
        <f>Table55[[#This Row],[Total Athletes]]-(LEN(Table55[[#This Row],[Team]])-LEN(SUBSTITUTE(Table55[[#This Row],[Team]],"/","")))-1</f>
        <v>2</v>
      </c>
      <c r="F31" s="6">
        <v>3</v>
      </c>
    </row>
    <row r="32" spans="1:6" x14ac:dyDescent="0.3">
      <c r="A32" s="6" t="s">
        <v>3671</v>
      </c>
      <c r="B32" s="6" t="s">
        <v>448</v>
      </c>
      <c r="C32" s="6"/>
      <c r="D32" s="6">
        <v>5</v>
      </c>
      <c r="E32" s="6">
        <f>Table55[[#This Row],[Total Athletes]]-(LEN(Table55[[#This Row],[Team]])-LEN(SUBSTITUTE(Table55[[#This Row],[Team]],"/","")))-1</f>
        <v>0</v>
      </c>
      <c r="F32" s="6">
        <v>3</v>
      </c>
    </row>
    <row r="33" spans="1:6" x14ac:dyDescent="0.3">
      <c r="A33" s="6" t="s">
        <v>3143</v>
      </c>
      <c r="B33" s="6" t="s">
        <v>338</v>
      </c>
      <c r="C33" s="6"/>
      <c r="D33" s="6">
        <v>5</v>
      </c>
      <c r="E33" s="6">
        <f>Table55[[#This Row],[Total Athletes]]-(LEN(Table55[[#This Row],[Team]])-LEN(SUBSTITUTE(Table55[[#This Row],[Team]],"/","")))-1</f>
        <v>2</v>
      </c>
      <c r="F33" s="6">
        <v>3</v>
      </c>
    </row>
  </sheetData>
  <pageMargins left="0.7" right="0.7" top="0.75" bottom="0.75" header="0.3" footer="0.3"/>
  <tableParts count="1">
    <tablePart r:id="rId1"/>
  </tablePart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5FB2A-524F-4EC5-BE21-B638E72470C2}">
  <dimension ref="A1:F70"/>
  <sheetViews>
    <sheetView topLeftCell="A61" workbookViewId="0">
      <selection activeCell="B71" sqref="B71"/>
    </sheetView>
  </sheetViews>
  <sheetFormatPr defaultRowHeight="14.4" x14ac:dyDescent="0.3"/>
  <cols>
    <col min="1" max="1" width="22.88671875" bestFit="1" customWidth="1"/>
    <col min="2" max="2" width="17.33203125" bestFit="1" customWidth="1"/>
    <col min="3" max="5" width="18.6640625" bestFit="1" customWidth="1"/>
    <col min="6" max="6" width="22.5546875" bestFit="1" customWidth="1"/>
  </cols>
  <sheetData>
    <row r="1" spans="1:6" x14ac:dyDescent="0.3">
      <c r="A1" t="s">
        <v>832</v>
      </c>
      <c r="B1" t="s">
        <v>1</v>
      </c>
      <c r="C1" t="s">
        <v>928</v>
      </c>
      <c r="D1" t="s">
        <v>929</v>
      </c>
      <c r="E1" t="s">
        <v>883</v>
      </c>
      <c r="F1" t="s">
        <v>930</v>
      </c>
    </row>
    <row r="2" spans="1:6" x14ac:dyDescent="0.3">
      <c r="A2" s="6"/>
      <c r="B2" s="6" t="s">
        <v>344</v>
      </c>
      <c r="C2" s="6">
        <v>-1</v>
      </c>
      <c r="D2" s="6"/>
      <c r="E2" s="6"/>
      <c r="F2" s="6"/>
    </row>
    <row r="3" spans="1:6" x14ac:dyDescent="0.3">
      <c r="A3" s="6"/>
      <c r="B3" s="6" t="s">
        <v>344</v>
      </c>
      <c r="C3" s="6"/>
      <c r="D3" s="6">
        <v>-1</v>
      </c>
      <c r="E3" s="6"/>
      <c r="F3" s="6"/>
    </row>
    <row r="4" spans="1:6" x14ac:dyDescent="0.3">
      <c r="A4" s="6"/>
      <c r="B4" s="6" t="s">
        <v>404</v>
      </c>
      <c r="C4" s="6">
        <v>-1</v>
      </c>
      <c r="D4" s="6"/>
      <c r="E4" s="6"/>
      <c r="F4" s="6"/>
    </row>
    <row r="5" spans="1:6" x14ac:dyDescent="0.3">
      <c r="A5" s="6" t="s">
        <v>4019</v>
      </c>
      <c r="B5" s="6" t="s">
        <v>330</v>
      </c>
      <c r="C5" s="6">
        <v>5</v>
      </c>
      <c r="D5" s="6"/>
      <c r="E5" s="6"/>
      <c r="F5" s="6"/>
    </row>
    <row r="6" spans="1:6" x14ac:dyDescent="0.3">
      <c r="A6" s="6"/>
      <c r="B6" s="6" t="s">
        <v>700</v>
      </c>
      <c r="C6" s="6">
        <v>-1</v>
      </c>
      <c r="D6" s="6"/>
      <c r="E6" s="6"/>
      <c r="F6" s="6"/>
    </row>
    <row r="7" spans="1:6" x14ac:dyDescent="0.3">
      <c r="A7" s="6" t="s">
        <v>3531</v>
      </c>
      <c r="B7" s="6" t="s">
        <v>356</v>
      </c>
      <c r="C7" s="6">
        <v>5</v>
      </c>
      <c r="D7" s="6"/>
      <c r="E7" s="6"/>
      <c r="F7" s="6"/>
    </row>
    <row r="8" spans="1:6" x14ac:dyDescent="0.3">
      <c r="A8" s="6" t="s">
        <v>2056</v>
      </c>
      <c r="B8" s="6" t="s">
        <v>406</v>
      </c>
      <c r="C8" s="6">
        <v>9</v>
      </c>
      <c r="D8" s="6"/>
      <c r="E8" s="6"/>
      <c r="F8" s="6"/>
    </row>
    <row r="9" spans="1:6" x14ac:dyDescent="0.3">
      <c r="A9" s="6"/>
      <c r="B9" s="6" t="s">
        <v>482</v>
      </c>
      <c r="C9" s="6"/>
      <c r="D9" s="6">
        <v>-1</v>
      </c>
      <c r="E9" s="6"/>
      <c r="F9" s="6"/>
    </row>
    <row r="10" spans="1:6" x14ac:dyDescent="0.3">
      <c r="A10" s="6"/>
      <c r="B10" s="6" t="s">
        <v>402</v>
      </c>
      <c r="C10" s="6"/>
      <c r="D10" s="6">
        <v>-1</v>
      </c>
      <c r="E10" s="6"/>
      <c r="F10" s="6"/>
    </row>
    <row r="11" spans="1:6" x14ac:dyDescent="0.3">
      <c r="A11" s="6"/>
      <c r="B11" s="6" t="s">
        <v>718</v>
      </c>
      <c r="C11" s="6"/>
      <c r="D11" s="6">
        <v>-1</v>
      </c>
      <c r="E11" s="6"/>
      <c r="F11" s="6"/>
    </row>
    <row r="12" spans="1:6" x14ac:dyDescent="0.3">
      <c r="A12" s="6" t="s">
        <v>3805</v>
      </c>
      <c r="B12" s="6" t="s">
        <v>602</v>
      </c>
      <c r="C12" s="6"/>
      <c r="D12" s="6">
        <v>2</v>
      </c>
      <c r="E12" s="6"/>
      <c r="F12" s="6"/>
    </row>
    <row r="13" spans="1:6" x14ac:dyDescent="0.3">
      <c r="A13" s="6" t="s">
        <v>4011</v>
      </c>
      <c r="B13" s="6" t="s">
        <v>330</v>
      </c>
      <c r="C13" s="6"/>
      <c r="D13" s="6">
        <v>5</v>
      </c>
      <c r="E13" s="6"/>
      <c r="F13" s="6"/>
    </row>
    <row r="14" spans="1:6" x14ac:dyDescent="0.3">
      <c r="A14" s="6"/>
      <c r="B14" s="6" t="s">
        <v>356</v>
      </c>
      <c r="C14" s="6"/>
      <c r="D14" s="6"/>
      <c r="E14" s="6">
        <v>-1</v>
      </c>
      <c r="F14" s="6"/>
    </row>
    <row r="15" spans="1:6" x14ac:dyDescent="0.3">
      <c r="A15" s="6" t="s">
        <v>2038</v>
      </c>
      <c r="B15" s="6" t="s">
        <v>332</v>
      </c>
      <c r="C15" s="6"/>
      <c r="D15" s="6"/>
      <c r="E15" s="6">
        <v>5</v>
      </c>
      <c r="F15" s="6"/>
    </row>
    <row r="16" spans="1:6" x14ac:dyDescent="0.3">
      <c r="A16" s="6" t="s">
        <v>4408</v>
      </c>
      <c r="B16" s="6" t="s">
        <v>326</v>
      </c>
      <c r="C16" s="6"/>
      <c r="D16" s="6"/>
      <c r="E16" s="6">
        <v>11</v>
      </c>
      <c r="F16" s="6"/>
    </row>
    <row r="17" spans="1:6" x14ac:dyDescent="0.3">
      <c r="A17" s="6"/>
      <c r="B17" s="6" t="s">
        <v>700</v>
      </c>
      <c r="C17" s="6"/>
      <c r="D17" s="6"/>
      <c r="E17" s="6">
        <v>-1</v>
      </c>
      <c r="F17" s="6"/>
    </row>
    <row r="18" spans="1:6" x14ac:dyDescent="0.3">
      <c r="A18" s="6"/>
      <c r="B18" s="6" t="s">
        <v>602</v>
      </c>
      <c r="C18" s="6"/>
      <c r="D18" s="6"/>
      <c r="E18" s="6">
        <v>-1</v>
      </c>
      <c r="F18" s="6"/>
    </row>
    <row r="19" spans="1:6" x14ac:dyDescent="0.3">
      <c r="A19" s="6"/>
      <c r="B19" s="6" t="s">
        <v>426</v>
      </c>
      <c r="C19" s="6"/>
      <c r="D19" s="6"/>
      <c r="E19" s="6"/>
      <c r="F19" s="6">
        <v>-1</v>
      </c>
    </row>
    <row r="20" spans="1:6" x14ac:dyDescent="0.3">
      <c r="A20" s="6" t="s">
        <v>1741</v>
      </c>
      <c r="B20" s="6" t="s">
        <v>350</v>
      </c>
      <c r="C20" s="6"/>
      <c r="D20" s="6"/>
      <c r="E20" s="6"/>
      <c r="F20" s="6">
        <v>5</v>
      </c>
    </row>
    <row r="21" spans="1:6" x14ac:dyDescent="0.3">
      <c r="A21" s="6" t="s">
        <v>3547</v>
      </c>
      <c r="B21" s="6" t="s">
        <v>450</v>
      </c>
      <c r="C21" s="6"/>
      <c r="D21" s="6"/>
      <c r="E21" s="6"/>
      <c r="F21" s="6">
        <v>5</v>
      </c>
    </row>
    <row r="22" spans="1:6" x14ac:dyDescent="0.3">
      <c r="A22" s="6" t="s">
        <v>3203</v>
      </c>
      <c r="B22" s="6" t="s">
        <v>402</v>
      </c>
      <c r="C22" s="6"/>
      <c r="D22" s="6"/>
      <c r="E22" s="6"/>
      <c r="F22" s="6">
        <v>2</v>
      </c>
    </row>
    <row r="23" spans="1:6" x14ac:dyDescent="0.3">
      <c r="A23" s="6" t="s">
        <v>3533</v>
      </c>
      <c r="B23" s="6" t="s">
        <v>718</v>
      </c>
      <c r="C23" s="6"/>
      <c r="D23" s="6"/>
      <c r="E23" s="6"/>
      <c r="F23" s="6">
        <v>11</v>
      </c>
    </row>
    <row r="24" spans="1:6" x14ac:dyDescent="0.3">
      <c r="A24" s="6"/>
      <c r="B24" s="6" t="s">
        <v>482</v>
      </c>
      <c r="C24" s="6"/>
      <c r="D24" s="6"/>
      <c r="E24" s="6"/>
      <c r="F24" s="6">
        <v>-1</v>
      </c>
    </row>
    <row r="25" spans="1:6" x14ac:dyDescent="0.3">
      <c r="A25" s="6"/>
      <c r="B25" s="6" t="s">
        <v>456</v>
      </c>
      <c r="C25" s="6">
        <v>-1</v>
      </c>
      <c r="D25" s="6"/>
      <c r="E25" s="6"/>
      <c r="F25" s="6"/>
    </row>
    <row r="26" spans="1:6" x14ac:dyDescent="0.3">
      <c r="A26" s="6"/>
      <c r="B26" s="6" t="s">
        <v>328</v>
      </c>
      <c r="C26" s="6"/>
      <c r="D26" s="6">
        <v>-1</v>
      </c>
      <c r="E26" s="6"/>
      <c r="F26" s="6"/>
    </row>
    <row r="27" spans="1:6" x14ac:dyDescent="0.3">
      <c r="A27" s="6"/>
      <c r="B27" s="6" t="s">
        <v>360</v>
      </c>
      <c r="C27" s="6"/>
      <c r="D27" s="6"/>
      <c r="E27" s="6">
        <v>-1</v>
      </c>
      <c r="F27" s="6"/>
    </row>
    <row r="28" spans="1:6" x14ac:dyDescent="0.3">
      <c r="A28" s="6"/>
      <c r="B28" s="6" t="s">
        <v>656</v>
      </c>
      <c r="C28" s="6">
        <v>-1</v>
      </c>
      <c r="D28" s="6"/>
      <c r="E28" s="6"/>
      <c r="F28" s="6"/>
    </row>
    <row r="29" spans="1:6" x14ac:dyDescent="0.3">
      <c r="A29" s="6"/>
      <c r="B29" s="6" t="s">
        <v>688</v>
      </c>
      <c r="C29" s="6">
        <v>-1</v>
      </c>
      <c r="D29" s="6"/>
      <c r="E29" s="6"/>
      <c r="F29" s="6"/>
    </row>
    <row r="30" spans="1:6" x14ac:dyDescent="0.3">
      <c r="A30" s="6" t="s">
        <v>4425</v>
      </c>
      <c r="B30" s="6" t="s">
        <v>326</v>
      </c>
      <c r="C30" s="6"/>
      <c r="D30" s="6">
        <v>11</v>
      </c>
      <c r="E30" s="6"/>
      <c r="F30" s="6"/>
    </row>
    <row r="31" spans="1:6" x14ac:dyDescent="0.3">
      <c r="A31" s="6"/>
      <c r="B31" s="6" t="s">
        <v>538</v>
      </c>
      <c r="C31" s="6"/>
      <c r="D31" s="6">
        <v>-1</v>
      </c>
      <c r="E31" s="6"/>
      <c r="F31" s="6"/>
    </row>
    <row r="32" spans="1:6" x14ac:dyDescent="0.3">
      <c r="A32" s="6" t="s">
        <v>1328</v>
      </c>
      <c r="B32" s="6" t="s">
        <v>538</v>
      </c>
      <c r="C32" s="6"/>
      <c r="D32" s="6"/>
      <c r="E32" s="6">
        <v>9</v>
      </c>
      <c r="F32" s="6"/>
    </row>
    <row r="33" spans="1:6" x14ac:dyDescent="0.3">
      <c r="A33" s="6" t="s">
        <v>2641</v>
      </c>
      <c r="B33" s="6" t="s">
        <v>404</v>
      </c>
      <c r="C33" s="6"/>
      <c r="D33" s="6"/>
      <c r="E33" s="6">
        <v>1</v>
      </c>
      <c r="F33" s="6"/>
    </row>
    <row r="34" spans="1:6" x14ac:dyDescent="0.3">
      <c r="A34" s="6"/>
      <c r="B34" s="6" t="s">
        <v>656</v>
      </c>
      <c r="C34" s="6"/>
      <c r="D34" s="6"/>
      <c r="E34" s="6"/>
      <c r="F34" s="6">
        <v>-1</v>
      </c>
    </row>
    <row r="35" spans="1:6" x14ac:dyDescent="0.3">
      <c r="A35" s="6" t="s">
        <v>4809</v>
      </c>
      <c r="B35" s="6" t="s">
        <v>388</v>
      </c>
      <c r="C35" s="6"/>
      <c r="D35" s="6"/>
      <c r="E35" s="6"/>
      <c r="F35" s="6">
        <v>11</v>
      </c>
    </row>
    <row r="36" spans="1:6" x14ac:dyDescent="0.3">
      <c r="A36" s="6" t="s">
        <v>1644</v>
      </c>
      <c r="B36" s="6" t="s">
        <v>596</v>
      </c>
      <c r="C36" s="6">
        <v>7</v>
      </c>
      <c r="D36" s="6"/>
      <c r="E36" s="6"/>
      <c r="F36" s="6"/>
    </row>
    <row r="37" spans="1:6" x14ac:dyDescent="0.3">
      <c r="A37" s="6"/>
      <c r="B37" s="6" t="s">
        <v>518</v>
      </c>
      <c r="C37" s="6">
        <v>-1</v>
      </c>
      <c r="D37" s="6"/>
      <c r="E37" s="6"/>
      <c r="F37" s="6"/>
    </row>
    <row r="38" spans="1:6" x14ac:dyDescent="0.3">
      <c r="A38" s="6"/>
      <c r="B38" s="6" t="s">
        <v>690</v>
      </c>
      <c r="C38" s="6">
        <v>-1</v>
      </c>
      <c r="D38" s="6"/>
      <c r="E38" s="6"/>
      <c r="F38" s="6"/>
    </row>
    <row r="39" spans="1:6" x14ac:dyDescent="0.3">
      <c r="A39" s="6" t="s">
        <v>3535</v>
      </c>
      <c r="B39" s="6" t="s">
        <v>450</v>
      </c>
      <c r="C39" s="6"/>
      <c r="D39" s="6">
        <v>9</v>
      </c>
      <c r="E39" s="6"/>
      <c r="F39" s="6"/>
    </row>
    <row r="40" spans="1:6" x14ac:dyDescent="0.3">
      <c r="A40" s="6"/>
      <c r="B40" s="6" t="s">
        <v>406</v>
      </c>
      <c r="C40" s="6"/>
      <c r="D40" s="6">
        <v>-1</v>
      </c>
      <c r="E40" s="6"/>
      <c r="F40" s="6"/>
    </row>
    <row r="41" spans="1:6" x14ac:dyDescent="0.3">
      <c r="A41" s="6"/>
      <c r="B41" s="6" t="s">
        <v>414</v>
      </c>
      <c r="C41" s="6"/>
      <c r="D41" s="6"/>
      <c r="E41" s="6">
        <v>-1</v>
      </c>
      <c r="F41" s="6"/>
    </row>
    <row r="42" spans="1:6" x14ac:dyDescent="0.3">
      <c r="A42" s="6"/>
      <c r="B42" s="6" t="s">
        <v>690</v>
      </c>
      <c r="C42" s="6"/>
      <c r="D42" s="6"/>
      <c r="E42" s="6">
        <v>-1</v>
      </c>
      <c r="F42" s="6"/>
    </row>
    <row r="43" spans="1:6" x14ac:dyDescent="0.3">
      <c r="A43" s="6"/>
      <c r="B43" s="6" t="s">
        <v>364</v>
      </c>
      <c r="C43" s="6"/>
      <c r="D43" s="6"/>
      <c r="E43" s="6"/>
      <c r="F43" s="6">
        <v>-1</v>
      </c>
    </row>
    <row r="44" spans="1:6" x14ac:dyDescent="0.3">
      <c r="A44" s="6"/>
      <c r="B44" s="6" t="s">
        <v>694</v>
      </c>
      <c r="C44" s="6"/>
      <c r="D44" s="6"/>
      <c r="E44" s="6"/>
      <c r="F44" s="6">
        <v>-1</v>
      </c>
    </row>
    <row r="45" spans="1:6" x14ac:dyDescent="0.3">
      <c r="A45" s="6"/>
      <c r="B45" s="6" t="s">
        <v>466</v>
      </c>
      <c r="C45" s="6">
        <v>-1</v>
      </c>
      <c r="D45" s="6"/>
      <c r="E45" s="6"/>
      <c r="F45" s="6"/>
    </row>
    <row r="46" spans="1:6" x14ac:dyDescent="0.3">
      <c r="A46" s="6" t="s">
        <v>1318</v>
      </c>
      <c r="B46" s="6" t="s">
        <v>604</v>
      </c>
      <c r="C46" s="6">
        <v>11</v>
      </c>
      <c r="D46" s="6"/>
      <c r="E46" s="6"/>
      <c r="F46" s="6"/>
    </row>
    <row r="47" spans="1:6" x14ac:dyDescent="0.3">
      <c r="A47" s="6"/>
      <c r="B47" s="6" t="s">
        <v>478</v>
      </c>
      <c r="C47" s="6"/>
      <c r="D47" s="6">
        <v>-1</v>
      </c>
      <c r="E47" s="6"/>
      <c r="F47" s="6"/>
    </row>
    <row r="48" spans="1:6" x14ac:dyDescent="0.3">
      <c r="A48" s="6"/>
      <c r="B48" s="6" t="s">
        <v>592</v>
      </c>
      <c r="C48" s="6"/>
      <c r="D48" s="6">
        <v>-1</v>
      </c>
      <c r="E48" s="6"/>
      <c r="F48" s="6"/>
    </row>
    <row r="49" spans="1:6" x14ac:dyDescent="0.3">
      <c r="A49" s="6"/>
      <c r="B49" s="6" t="s">
        <v>482</v>
      </c>
      <c r="C49" s="6"/>
      <c r="D49" s="6"/>
      <c r="E49" s="6">
        <v>-1</v>
      </c>
      <c r="F49" s="6"/>
    </row>
    <row r="50" spans="1:6" x14ac:dyDescent="0.3">
      <c r="A50" s="6" t="s">
        <v>5035</v>
      </c>
      <c r="B50" s="6" t="s">
        <v>604</v>
      </c>
      <c r="C50" s="6"/>
      <c r="D50" s="6"/>
      <c r="E50" s="6">
        <v>11</v>
      </c>
      <c r="F50" s="6"/>
    </row>
    <row r="51" spans="1:6" x14ac:dyDescent="0.3">
      <c r="A51" s="6" t="s">
        <v>4298</v>
      </c>
      <c r="B51" s="6" t="s">
        <v>328</v>
      </c>
      <c r="C51" s="6"/>
      <c r="D51" s="6"/>
      <c r="E51" s="6"/>
      <c r="F51" s="6">
        <v>11</v>
      </c>
    </row>
    <row r="52" spans="1:6" x14ac:dyDescent="0.3">
      <c r="A52" s="6" t="s">
        <v>4844</v>
      </c>
      <c r="B52" s="6" t="s">
        <v>360</v>
      </c>
      <c r="C52" s="6"/>
      <c r="D52" s="6"/>
      <c r="E52" s="6"/>
      <c r="F52" s="6">
        <v>1</v>
      </c>
    </row>
    <row r="53" spans="1:6" x14ac:dyDescent="0.3">
      <c r="A53" s="6"/>
      <c r="B53" s="6" t="s">
        <v>354</v>
      </c>
      <c r="C53" s="6">
        <v>-1</v>
      </c>
      <c r="D53" s="6"/>
      <c r="E53" s="6"/>
      <c r="F53" s="6"/>
    </row>
    <row r="54" spans="1:6" x14ac:dyDescent="0.3">
      <c r="A54" s="6" t="s">
        <v>4308</v>
      </c>
      <c r="B54" s="6" t="s">
        <v>666</v>
      </c>
      <c r="C54" s="6"/>
      <c r="D54" s="6">
        <v>11</v>
      </c>
      <c r="E54" s="6"/>
      <c r="F54" s="6"/>
    </row>
    <row r="55" spans="1:6" x14ac:dyDescent="0.3">
      <c r="A55" s="6"/>
      <c r="B55" s="6" t="s">
        <v>354</v>
      </c>
      <c r="C55" s="6"/>
      <c r="D55" s="6"/>
      <c r="E55" s="6">
        <v>-1</v>
      </c>
      <c r="F55" s="6"/>
    </row>
    <row r="56" spans="1:6" x14ac:dyDescent="0.3">
      <c r="A56" s="6"/>
      <c r="B56" s="6" t="s">
        <v>666</v>
      </c>
      <c r="C56" s="6"/>
      <c r="D56" s="6"/>
      <c r="E56" s="6"/>
      <c r="F56" s="6">
        <v>-1</v>
      </c>
    </row>
    <row r="57" spans="1:6" x14ac:dyDescent="0.3">
      <c r="A57" s="6" t="s">
        <v>4447</v>
      </c>
      <c r="B57" s="6" t="s">
        <v>352</v>
      </c>
      <c r="C57" s="6">
        <v>7</v>
      </c>
      <c r="D57" s="6"/>
      <c r="E57" s="6"/>
      <c r="F57" s="6"/>
    </row>
    <row r="58" spans="1:6" x14ac:dyDescent="0.3">
      <c r="A58" s="6" t="s">
        <v>3828</v>
      </c>
      <c r="B58" s="6" t="s">
        <v>340</v>
      </c>
      <c r="C58" s="6">
        <v>11</v>
      </c>
      <c r="D58" s="6"/>
      <c r="E58" s="6"/>
      <c r="F58" s="6"/>
    </row>
    <row r="59" spans="1:6" x14ac:dyDescent="0.3">
      <c r="A59" s="6"/>
      <c r="B59" s="6" t="s">
        <v>336</v>
      </c>
      <c r="C59" s="6"/>
      <c r="D59" s="6">
        <v>-1</v>
      </c>
      <c r="E59" s="6"/>
      <c r="F59" s="6"/>
    </row>
    <row r="60" spans="1:6" x14ac:dyDescent="0.3">
      <c r="A60" s="6"/>
      <c r="B60" s="6" t="s">
        <v>374</v>
      </c>
      <c r="C60" s="6"/>
      <c r="D60" s="6">
        <v>-1</v>
      </c>
      <c r="E60" s="6"/>
      <c r="F60" s="6"/>
    </row>
    <row r="61" spans="1:6" x14ac:dyDescent="0.3">
      <c r="A61" s="6" t="s">
        <v>3942</v>
      </c>
      <c r="B61" s="6" t="s">
        <v>366</v>
      </c>
      <c r="C61" s="6"/>
      <c r="D61" s="6"/>
      <c r="E61" s="6">
        <v>11</v>
      </c>
      <c r="F61" s="6"/>
    </row>
    <row r="62" spans="1:6" x14ac:dyDescent="0.3">
      <c r="A62" s="6"/>
      <c r="B62" s="6" t="s">
        <v>336</v>
      </c>
      <c r="C62" s="6"/>
      <c r="D62" s="6"/>
      <c r="E62" s="6">
        <v>-1</v>
      </c>
      <c r="F62" s="6"/>
    </row>
    <row r="63" spans="1:6" x14ac:dyDescent="0.3">
      <c r="A63" s="6"/>
      <c r="B63" s="6" t="s">
        <v>332</v>
      </c>
      <c r="C63" s="6"/>
      <c r="D63" s="6"/>
      <c r="E63" s="6"/>
      <c r="F63" s="6">
        <v>-1</v>
      </c>
    </row>
    <row r="64" spans="1:6" x14ac:dyDescent="0.3">
      <c r="A64" s="6"/>
      <c r="B64" s="6" t="s">
        <v>470</v>
      </c>
      <c r="C64" s="6"/>
      <c r="D64" s="6"/>
      <c r="E64" s="6"/>
      <c r="F64" s="6">
        <v>-1</v>
      </c>
    </row>
    <row r="65" spans="1:6" x14ac:dyDescent="0.3">
      <c r="A65" s="6" t="s">
        <v>4344</v>
      </c>
      <c r="B65" s="6" t="s">
        <v>488</v>
      </c>
      <c r="C65" s="6"/>
      <c r="D65" s="6"/>
      <c r="E65" s="6">
        <v>17</v>
      </c>
      <c r="F65" s="6"/>
    </row>
    <row r="66" spans="1:6" x14ac:dyDescent="0.3">
      <c r="A66" s="6"/>
      <c r="B66" s="6" t="s">
        <v>584</v>
      </c>
      <c r="C66" s="6"/>
      <c r="D66" s="6"/>
      <c r="E66" s="6"/>
      <c r="F66" s="6">
        <v>-1</v>
      </c>
    </row>
    <row r="67" spans="1:6" x14ac:dyDescent="0.3">
      <c r="A67" s="6"/>
      <c r="B67" s="6" t="s">
        <v>386</v>
      </c>
      <c r="C67" s="6">
        <v>-1</v>
      </c>
      <c r="D67" s="6"/>
      <c r="E67" s="6"/>
      <c r="F67" s="6"/>
    </row>
    <row r="68" spans="1:6" x14ac:dyDescent="0.3">
      <c r="A68" s="6"/>
      <c r="B68" s="6" t="s">
        <v>386</v>
      </c>
      <c r="C68" s="6"/>
      <c r="D68" s="6">
        <v>-1</v>
      </c>
      <c r="E68" s="6"/>
      <c r="F68" s="6"/>
    </row>
    <row r="69" spans="1:6" x14ac:dyDescent="0.3">
      <c r="A69" s="6"/>
      <c r="B69" s="6" t="s">
        <v>386</v>
      </c>
      <c r="C69" s="6"/>
      <c r="D69" s="6"/>
      <c r="E69" s="6">
        <v>-1</v>
      </c>
      <c r="F69" s="6"/>
    </row>
    <row r="70" spans="1:6" x14ac:dyDescent="0.3">
      <c r="A70" s="6"/>
      <c r="B70" s="6" t="s">
        <v>386</v>
      </c>
      <c r="C70" s="6"/>
      <c r="D70" s="6"/>
      <c r="E70" s="6"/>
      <c r="F70" s="6">
        <v>-1</v>
      </c>
    </row>
  </sheetData>
  <pageMargins left="0.7" right="0.7" top="0.75" bottom="0.75" header="0.3" footer="0.3"/>
  <tableParts count="1">
    <tablePart r:id="rId1"/>
  </tablePart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624568-5341-4850-A717-1F4C41E16261}">
  <dimension ref="A1:F66"/>
  <sheetViews>
    <sheetView topLeftCell="A61" workbookViewId="0">
      <selection activeCell="B67" sqref="B67"/>
    </sheetView>
  </sheetViews>
  <sheetFormatPr defaultRowHeight="14.4" x14ac:dyDescent="0.3"/>
  <cols>
    <col min="1" max="1" width="23.109375" bestFit="1" customWidth="1"/>
    <col min="2" max="2" width="17.33203125" bestFit="1" customWidth="1"/>
    <col min="3" max="5" width="18.6640625" bestFit="1" customWidth="1"/>
    <col min="6" max="6" width="22.5546875" bestFit="1" customWidth="1"/>
  </cols>
  <sheetData>
    <row r="1" spans="1:6" x14ac:dyDescent="0.3">
      <c r="A1" t="s">
        <v>832</v>
      </c>
      <c r="B1" t="s">
        <v>1</v>
      </c>
      <c r="C1" t="s">
        <v>894</v>
      </c>
      <c r="D1" t="s">
        <v>872</v>
      </c>
      <c r="E1" t="s">
        <v>931</v>
      </c>
      <c r="F1" t="s">
        <v>932</v>
      </c>
    </row>
    <row r="2" spans="1:6" x14ac:dyDescent="0.3">
      <c r="A2" s="6" t="s">
        <v>4396</v>
      </c>
      <c r="B2" s="6" t="s">
        <v>344</v>
      </c>
      <c r="C2" s="6"/>
      <c r="D2" s="6"/>
      <c r="E2" s="6">
        <v>11</v>
      </c>
      <c r="F2" s="6"/>
    </row>
    <row r="3" spans="1:6" x14ac:dyDescent="0.3">
      <c r="A3" s="6" t="s">
        <v>2332</v>
      </c>
      <c r="B3" s="6" t="s">
        <v>344</v>
      </c>
      <c r="C3" s="6"/>
      <c r="D3" s="6"/>
      <c r="E3" s="6"/>
      <c r="F3" s="6">
        <v>1</v>
      </c>
    </row>
    <row r="4" spans="1:6" x14ac:dyDescent="0.3">
      <c r="A4" s="6"/>
      <c r="B4" s="6" t="s">
        <v>478</v>
      </c>
      <c r="C4" s="6">
        <v>-1</v>
      </c>
      <c r="D4" s="6"/>
      <c r="E4" s="6"/>
      <c r="F4" s="6"/>
    </row>
    <row r="5" spans="1:6" x14ac:dyDescent="0.3">
      <c r="A5" s="6"/>
      <c r="B5" s="6" t="s">
        <v>718</v>
      </c>
      <c r="C5" s="6">
        <v>-1</v>
      </c>
      <c r="D5" s="6"/>
      <c r="E5" s="6"/>
      <c r="F5" s="6"/>
    </row>
    <row r="6" spans="1:6" x14ac:dyDescent="0.3">
      <c r="A6" s="6" t="s">
        <v>3986</v>
      </c>
      <c r="B6" s="6" t="s">
        <v>330</v>
      </c>
      <c r="C6" s="6">
        <v>9</v>
      </c>
      <c r="D6" s="6"/>
      <c r="E6" s="6"/>
      <c r="F6" s="6"/>
    </row>
    <row r="7" spans="1:6" x14ac:dyDescent="0.3">
      <c r="A7" s="6" t="s">
        <v>3719</v>
      </c>
      <c r="B7" s="6" t="s">
        <v>450</v>
      </c>
      <c r="C7" s="6">
        <v>3</v>
      </c>
      <c r="D7" s="6"/>
      <c r="E7" s="6"/>
      <c r="F7" s="6"/>
    </row>
    <row r="8" spans="1:6" x14ac:dyDescent="0.3">
      <c r="A8" s="6"/>
      <c r="B8" s="6" t="s">
        <v>350</v>
      </c>
      <c r="C8" s="6">
        <v>-1</v>
      </c>
      <c r="D8" s="6"/>
      <c r="E8" s="6"/>
      <c r="F8" s="6"/>
    </row>
    <row r="9" spans="1:6" x14ac:dyDescent="0.3">
      <c r="A9" s="6"/>
      <c r="B9" s="6" t="s">
        <v>328</v>
      </c>
      <c r="C9" s="6">
        <v>-1</v>
      </c>
      <c r="D9" s="6"/>
      <c r="E9" s="6"/>
      <c r="F9" s="6"/>
    </row>
    <row r="10" spans="1:6" x14ac:dyDescent="0.3">
      <c r="A10" s="6" t="s">
        <v>4580</v>
      </c>
      <c r="B10" s="6" t="s">
        <v>378</v>
      </c>
      <c r="C10" s="6">
        <v>7</v>
      </c>
      <c r="D10" s="6"/>
      <c r="E10" s="6"/>
      <c r="F10" s="6"/>
    </row>
    <row r="11" spans="1:6" x14ac:dyDescent="0.3">
      <c r="A11" s="6"/>
      <c r="B11" s="6" t="s">
        <v>328</v>
      </c>
      <c r="C11" s="6"/>
      <c r="D11" s="6">
        <v>-1</v>
      </c>
      <c r="E11" s="6"/>
      <c r="F11" s="6"/>
    </row>
    <row r="12" spans="1:6" x14ac:dyDescent="0.3">
      <c r="A12" s="6"/>
      <c r="B12" s="6" t="s">
        <v>402</v>
      </c>
      <c r="C12" s="6"/>
      <c r="D12" s="6">
        <v>-1</v>
      </c>
      <c r="E12" s="6"/>
      <c r="F12" s="6"/>
    </row>
    <row r="13" spans="1:6" x14ac:dyDescent="0.3">
      <c r="A13" s="6"/>
      <c r="B13" s="6" t="s">
        <v>384</v>
      </c>
      <c r="C13" s="6"/>
      <c r="D13" s="6">
        <v>-1</v>
      </c>
      <c r="E13" s="6"/>
      <c r="F13" s="6"/>
    </row>
    <row r="14" spans="1:6" x14ac:dyDescent="0.3">
      <c r="A14" s="6"/>
      <c r="B14" s="6" t="s">
        <v>360</v>
      </c>
      <c r="C14" s="6"/>
      <c r="D14" s="6">
        <v>-1</v>
      </c>
      <c r="E14" s="6"/>
      <c r="F14" s="6"/>
    </row>
    <row r="15" spans="1:6" x14ac:dyDescent="0.3">
      <c r="A15" s="6"/>
      <c r="B15" s="6" t="s">
        <v>718</v>
      </c>
      <c r="C15" s="6"/>
      <c r="D15" s="6">
        <v>-1</v>
      </c>
      <c r="E15" s="6"/>
      <c r="F15" s="6"/>
    </row>
    <row r="16" spans="1:6" x14ac:dyDescent="0.3">
      <c r="A16" s="6"/>
      <c r="B16" s="6" t="s">
        <v>368</v>
      </c>
      <c r="C16" s="6"/>
      <c r="D16" s="6">
        <v>-1</v>
      </c>
      <c r="E16" s="6"/>
      <c r="F16" s="6"/>
    </row>
    <row r="17" spans="1:6" x14ac:dyDescent="0.3">
      <c r="A17" s="6" t="s">
        <v>3132</v>
      </c>
      <c r="B17" s="6" t="s">
        <v>520</v>
      </c>
      <c r="C17" s="6"/>
      <c r="D17" s="6"/>
      <c r="E17" s="6">
        <v>3</v>
      </c>
      <c r="F17" s="6"/>
    </row>
    <row r="18" spans="1:6" x14ac:dyDescent="0.3">
      <c r="A18" s="6" t="s">
        <v>3806</v>
      </c>
      <c r="B18" s="6" t="s">
        <v>602</v>
      </c>
      <c r="C18" s="6"/>
      <c r="D18" s="6"/>
      <c r="E18" s="6">
        <v>9</v>
      </c>
      <c r="F18" s="6"/>
    </row>
    <row r="19" spans="1:6" x14ac:dyDescent="0.3">
      <c r="A19" s="6"/>
      <c r="B19" s="6" t="s">
        <v>690</v>
      </c>
      <c r="C19" s="6"/>
      <c r="D19" s="6"/>
      <c r="E19" s="6">
        <v>-1</v>
      </c>
      <c r="F19" s="6"/>
    </row>
    <row r="20" spans="1:6" x14ac:dyDescent="0.3">
      <c r="A20" s="6"/>
      <c r="B20" s="6" t="s">
        <v>328</v>
      </c>
      <c r="C20" s="6"/>
      <c r="D20" s="6"/>
      <c r="E20" s="6">
        <v>-1</v>
      </c>
      <c r="F20" s="6"/>
    </row>
    <row r="21" spans="1:6" x14ac:dyDescent="0.3">
      <c r="A21" s="6"/>
      <c r="B21" s="6" t="s">
        <v>426</v>
      </c>
      <c r="C21" s="6"/>
      <c r="D21" s="6"/>
      <c r="E21" s="6">
        <v>-1</v>
      </c>
      <c r="F21" s="6"/>
    </row>
    <row r="22" spans="1:6" x14ac:dyDescent="0.3">
      <c r="A22" s="6"/>
      <c r="B22" s="6" t="s">
        <v>336</v>
      </c>
      <c r="C22" s="6"/>
      <c r="D22" s="6"/>
      <c r="E22" s="6">
        <v>-1</v>
      </c>
      <c r="F22" s="6"/>
    </row>
    <row r="23" spans="1:6" x14ac:dyDescent="0.3">
      <c r="A23" s="6"/>
      <c r="B23" s="6" t="s">
        <v>718</v>
      </c>
      <c r="C23" s="6"/>
      <c r="D23" s="6"/>
      <c r="E23" s="6"/>
      <c r="F23" s="6">
        <v>-1</v>
      </c>
    </row>
    <row r="24" spans="1:6" x14ac:dyDescent="0.3">
      <c r="A24" s="6"/>
      <c r="B24" s="6" t="s">
        <v>700</v>
      </c>
      <c r="C24" s="6"/>
      <c r="D24" s="6"/>
      <c r="E24" s="6"/>
      <c r="F24" s="6">
        <v>-1</v>
      </c>
    </row>
    <row r="25" spans="1:6" x14ac:dyDescent="0.3">
      <c r="A25" s="6"/>
      <c r="B25" s="6" t="s">
        <v>402</v>
      </c>
      <c r="C25" s="6"/>
      <c r="D25" s="6"/>
      <c r="E25" s="6"/>
      <c r="F25" s="6">
        <v>-1</v>
      </c>
    </row>
    <row r="26" spans="1:6" x14ac:dyDescent="0.3">
      <c r="A26" s="6"/>
      <c r="B26" s="6" t="s">
        <v>482</v>
      </c>
      <c r="C26" s="6"/>
      <c r="D26" s="6"/>
      <c r="E26" s="6"/>
      <c r="F26" s="6">
        <v>-1</v>
      </c>
    </row>
    <row r="27" spans="1:6" x14ac:dyDescent="0.3">
      <c r="A27" s="6"/>
      <c r="B27" s="6" t="s">
        <v>334</v>
      </c>
      <c r="C27" s="6"/>
      <c r="D27" s="6"/>
      <c r="E27" s="6"/>
      <c r="F27" s="6">
        <v>-1</v>
      </c>
    </row>
    <row r="28" spans="1:6" x14ac:dyDescent="0.3">
      <c r="A28" s="6"/>
      <c r="B28" s="6" t="s">
        <v>328</v>
      </c>
      <c r="C28" s="6"/>
      <c r="D28" s="6"/>
      <c r="E28" s="6"/>
      <c r="F28" s="6">
        <v>-1</v>
      </c>
    </row>
    <row r="29" spans="1:6" x14ac:dyDescent="0.3">
      <c r="A29" s="6"/>
      <c r="B29" s="6" t="s">
        <v>616</v>
      </c>
      <c r="C29" s="6">
        <v>-1</v>
      </c>
      <c r="D29" s="6"/>
      <c r="E29" s="6"/>
      <c r="F29" s="6"/>
    </row>
    <row r="30" spans="1:6" x14ac:dyDescent="0.3">
      <c r="A30" s="6" t="s">
        <v>2638</v>
      </c>
      <c r="B30" s="6" t="s">
        <v>404</v>
      </c>
      <c r="C30" s="6">
        <v>9</v>
      </c>
      <c r="D30" s="6"/>
      <c r="E30" s="6"/>
      <c r="F30" s="6"/>
    </row>
    <row r="31" spans="1:6" x14ac:dyDescent="0.3">
      <c r="A31" s="6" t="s">
        <v>4442</v>
      </c>
      <c r="B31" s="6" t="s">
        <v>578</v>
      </c>
      <c r="C31" s="6"/>
      <c r="D31" s="6">
        <v>11</v>
      </c>
      <c r="E31" s="6"/>
      <c r="F31" s="6"/>
    </row>
    <row r="32" spans="1:6" x14ac:dyDescent="0.3">
      <c r="A32" s="6" t="s">
        <v>2642</v>
      </c>
      <c r="B32" s="6" t="s">
        <v>404</v>
      </c>
      <c r="C32" s="6"/>
      <c r="D32" s="6">
        <v>7</v>
      </c>
      <c r="E32" s="6"/>
      <c r="F32" s="6"/>
    </row>
    <row r="33" spans="1:6" x14ac:dyDescent="0.3">
      <c r="A33" s="6"/>
      <c r="B33" s="6" t="s">
        <v>326</v>
      </c>
      <c r="C33" s="6"/>
      <c r="D33" s="6"/>
      <c r="E33" s="6">
        <v>-1</v>
      </c>
      <c r="F33" s="6"/>
    </row>
    <row r="34" spans="1:6" x14ac:dyDescent="0.3">
      <c r="A34" s="6"/>
      <c r="B34" s="6" t="s">
        <v>440</v>
      </c>
      <c r="C34" s="6"/>
      <c r="D34" s="6"/>
      <c r="E34" s="6">
        <v>-1</v>
      </c>
      <c r="F34" s="6"/>
    </row>
    <row r="35" spans="1:6" x14ac:dyDescent="0.3">
      <c r="A35" s="6" t="s">
        <v>4443</v>
      </c>
      <c r="B35" s="6" t="s">
        <v>426</v>
      </c>
      <c r="C35" s="6"/>
      <c r="D35" s="6"/>
      <c r="E35" s="6"/>
      <c r="F35" s="6">
        <v>7</v>
      </c>
    </row>
    <row r="36" spans="1:6" x14ac:dyDescent="0.3">
      <c r="A36" s="6"/>
      <c r="B36" s="6" t="s">
        <v>378</v>
      </c>
      <c r="C36" s="6"/>
      <c r="D36" s="6"/>
      <c r="E36" s="6"/>
      <c r="F36" s="6">
        <v>-1</v>
      </c>
    </row>
    <row r="37" spans="1:6" x14ac:dyDescent="0.3">
      <c r="A37" s="6"/>
      <c r="B37" s="6" t="s">
        <v>356</v>
      </c>
      <c r="C37" s="6">
        <v>-1</v>
      </c>
      <c r="D37" s="6"/>
      <c r="E37" s="6"/>
      <c r="F37" s="6"/>
    </row>
    <row r="38" spans="1:6" x14ac:dyDescent="0.3">
      <c r="A38" s="6"/>
      <c r="B38" s="6" t="s">
        <v>598</v>
      </c>
      <c r="C38" s="6">
        <v>-1</v>
      </c>
      <c r="D38" s="6"/>
      <c r="E38" s="6"/>
      <c r="F38" s="6"/>
    </row>
    <row r="39" spans="1:6" x14ac:dyDescent="0.3">
      <c r="A39" s="6"/>
      <c r="B39" s="6" t="s">
        <v>370</v>
      </c>
      <c r="C39" s="6"/>
      <c r="D39" s="6">
        <v>-1</v>
      </c>
      <c r="E39" s="6"/>
      <c r="F39" s="6"/>
    </row>
    <row r="40" spans="1:6" x14ac:dyDescent="0.3">
      <c r="A40" s="6" t="s">
        <v>2983</v>
      </c>
      <c r="B40" s="6" t="s">
        <v>442</v>
      </c>
      <c r="C40" s="6"/>
      <c r="D40" s="6">
        <v>11</v>
      </c>
      <c r="E40" s="6"/>
      <c r="F40" s="6"/>
    </row>
    <row r="41" spans="1:6" x14ac:dyDescent="0.3">
      <c r="A41" s="6" t="s">
        <v>3985</v>
      </c>
      <c r="B41" s="6" t="s">
        <v>330</v>
      </c>
      <c r="C41" s="6"/>
      <c r="D41" s="6"/>
      <c r="E41" s="6">
        <v>11</v>
      </c>
      <c r="F41" s="6"/>
    </row>
    <row r="42" spans="1:6" x14ac:dyDescent="0.3">
      <c r="A42" s="6" t="s">
        <v>3274</v>
      </c>
      <c r="B42" s="6" t="s">
        <v>406</v>
      </c>
      <c r="C42" s="6"/>
      <c r="D42" s="6"/>
      <c r="E42" s="6">
        <v>1</v>
      </c>
      <c r="F42" s="6"/>
    </row>
    <row r="43" spans="1:6" x14ac:dyDescent="0.3">
      <c r="A43" s="6"/>
      <c r="B43" s="6" t="s">
        <v>442</v>
      </c>
      <c r="C43" s="6"/>
      <c r="D43" s="6"/>
      <c r="E43" s="6"/>
      <c r="F43" s="6">
        <v>-1</v>
      </c>
    </row>
    <row r="44" spans="1:6" x14ac:dyDescent="0.3">
      <c r="A44" s="6" t="s">
        <v>1729</v>
      </c>
      <c r="B44" s="6" t="s">
        <v>358</v>
      </c>
      <c r="C44" s="6"/>
      <c r="D44" s="6"/>
      <c r="E44" s="6"/>
      <c r="F44" s="6">
        <v>11</v>
      </c>
    </row>
    <row r="45" spans="1:6" x14ac:dyDescent="0.3">
      <c r="A45" s="6"/>
      <c r="B45" s="6" t="s">
        <v>360</v>
      </c>
      <c r="C45" s="6">
        <v>-1</v>
      </c>
      <c r="D45" s="6"/>
      <c r="E45" s="6"/>
      <c r="F45" s="6"/>
    </row>
    <row r="46" spans="1:6" x14ac:dyDescent="0.3">
      <c r="A46" s="6"/>
      <c r="B46" s="6" t="s">
        <v>490</v>
      </c>
      <c r="C46" s="6">
        <v>-1</v>
      </c>
      <c r="D46" s="6"/>
      <c r="E46" s="6"/>
      <c r="F46" s="6"/>
    </row>
    <row r="47" spans="1:6" x14ac:dyDescent="0.3">
      <c r="A47" s="6" t="s">
        <v>4476</v>
      </c>
      <c r="B47" s="6" t="s">
        <v>460</v>
      </c>
      <c r="C47" s="6"/>
      <c r="D47" s="6">
        <v>5</v>
      </c>
      <c r="E47" s="6"/>
      <c r="F47" s="6"/>
    </row>
    <row r="48" spans="1:6" x14ac:dyDescent="0.3">
      <c r="A48" s="6" t="s">
        <v>2854</v>
      </c>
      <c r="B48" s="6" t="s">
        <v>700</v>
      </c>
      <c r="C48" s="6"/>
      <c r="D48" s="6">
        <v>1</v>
      </c>
      <c r="E48" s="6"/>
      <c r="F48" s="6"/>
    </row>
    <row r="49" spans="1:6" x14ac:dyDescent="0.3">
      <c r="A49" s="6"/>
      <c r="B49" s="6" t="s">
        <v>478</v>
      </c>
      <c r="C49" s="6"/>
      <c r="D49" s="6"/>
      <c r="E49" s="6">
        <v>-1</v>
      </c>
      <c r="F49" s="6"/>
    </row>
    <row r="50" spans="1:6" x14ac:dyDescent="0.3">
      <c r="A50" s="6" t="s">
        <v>3368</v>
      </c>
      <c r="B50" s="6" t="s">
        <v>482</v>
      </c>
      <c r="C50" s="6"/>
      <c r="D50" s="6"/>
      <c r="E50" s="6">
        <v>5</v>
      </c>
      <c r="F50" s="6"/>
    </row>
    <row r="51" spans="1:6" x14ac:dyDescent="0.3">
      <c r="A51" s="6"/>
      <c r="B51" s="6" t="s">
        <v>710</v>
      </c>
      <c r="C51" s="6"/>
      <c r="D51" s="6"/>
      <c r="E51" s="6"/>
      <c r="F51" s="6">
        <v>-1</v>
      </c>
    </row>
    <row r="52" spans="1:6" x14ac:dyDescent="0.3">
      <c r="A52" s="6"/>
      <c r="B52" s="6" t="s">
        <v>602</v>
      </c>
      <c r="C52" s="6"/>
      <c r="D52" s="6"/>
      <c r="E52" s="6"/>
      <c r="F52" s="6">
        <v>-1</v>
      </c>
    </row>
    <row r="53" spans="1:6" x14ac:dyDescent="0.3">
      <c r="A53" s="6"/>
      <c r="B53" s="6" t="s">
        <v>354</v>
      </c>
      <c r="C53" s="6"/>
      <c r="D53" s="6">
        <v>-1</v>
      </c>
      <c r="E53" s="6"/>
      <c r="F53" s="6"/>
    </row>
    <row r="54" spans="1:6" x14ac:dyDescent="0.3">
      <c r="A54" s="6"/>
      <c r="B54" s="6" t="s">
        <v>420</v>
      </c>
      <c r="C54" s="6"/>
      <c r="D54" s="6"/>
      <c r="E54" s="6">
        <v>-1</v>
      </c>
      <c r="F54" s="6"/>
    </row>
    <row r="55" spans="1:6" x14ac:dyDescent="0.3">
      <c r="A55" s="6"/>
      <c r="B55" s="6" t="s">
        <v>420</v>
      </c>
      <c r="C55" s="6"/>
      <c r="D55" s="6"/>
      <c r="E55" s="6"/>
      <c r="F55" s="6">
        <v>-1</v>
      </c>
    </row>
    <row r="56" spans="1:6" x14ac:dyDescent="0.3">
      <c r="A56" s="6" t="s">
        <v>2556</v>
      </c>
      <c r="B56" s="6" t="s">
        <v>384</v>
      </c>
      <c r="C56" s="6">
        <v>11</v>
      </c>
      <c r="D56" s="6"/>
      <c r="E56" s="6"/>
      <c r="F56" s="6"/>
    </row>
    <row r="57" spans="1:6" x14ac:dyDescent="0.3">
      <c r="A57" s="6"/>
      <c r="B57" s="6" t="s">
        <v>410</v>
      </c>
      <c r="C57" s="6">
        <v>-1</v>
      </c>
      <c r="D57" s="6"/>
      <c r="E57" s="6"/>
      <c r="F57" s="6"/>
    </row>
    <row r="58" spans="1:6" x14ac:dyDescent="0.3">
      <c r="A58" s="6"/>
      <c r="B58" s="6" t="s">
        <v>332</v>
      </c>
      <c r="C58" s="6"/>
      <c r="D58" s="6">
        <v>-1</v>
      </c>
      <c r="E58" s="6"/>
      <c r="F58" s="6"/>
    </row>
    <row r="59" spans="1:6" x14ac:dyDescent="0.3">
      <c r="A59" s="6" t="s">
        <v>3086</v>
      </c>
      <c r="B59" s="6" t="s">
        <v>336</v>
      </c>
      <c r="C59" s="6"/>
      <c r="D59" s="6">
        <v>9</v>
      </c>
      <c r="E59" s="6"/>
      <c r="F59" s="6"/>
    </row>
    <row r="60" spans="1:6" x14ac:dyDescent="0.3">
      <c r="A60" s="6" t="s">
        <v>1860</v>
      </c>
      <c r="B60" s="6" t="s">
        <v>332</v>
      </c>
      <c r="C60" s="6"/>
      <c r="D60" s="6"/>
      <c r="E60" s="6">
        <v>3</v>
      </c>
      <c r="F60" s="6"/>
    </row>
    <row r="61" spans="1:6" x14ac:dyDescent="0.3">
      <c r="A61" s="6"/>
      <c r="B61" s="6" t="s">
        <v>374</v>
      </c>
      <c r="C61" s="6"/>
      <c r="D61" s="6"/>
      <c r="E61" s="6">
        <v>-1</v>
      </c>
      <c r="F61" s="6"/>
    </row>
    <row r="62" spans="1:6" x14ac:dyDescent="0.3">
      <c r="A62" s="6"/>
      <c r="B62" s="6" t="s">
        <v>366</v>
      </c>
      <c r="C62" s="6"/>
      <c r="D62" s="6"/>
      <c r="E62" s="6"/>
      <c r="F62" s="6">
        <v>-1</v>
      </c>
    </row>
    <row r="63" spans="1:6" x14ac:dyDescent="0.3">
      <c r="A63" s="6"/>
      <c r="B63" s="6" t="s">
        <v>470</v>
      </c>
      <c r="C63" s="6"/>
      <c r="D63" s="6"/>
      <c r="E63" s="6"/>
      <c r="F63" s="6">
        <v>-1</v>
      </c>
    </row>
    <row r="64" spans="1:6" x14ac:dyDescent="0.3">
      <c r="A64" s="6"/>
      <c r="B64" s="6" t="s">
        <v>566</v>
      </c>
      <c r="C64" s="6">
        <v>-1</v>
      </c>
      <c r="D64" s="6"/>
      <c r="E64" s="6"/>
      <c r="F64" s="6"/>
    </row>
    <row r="65" spans="1:6" x14ac:dyDescent="0.3">
      <c r="A65" s="6"/>
      <c r="B65" s="6" t="s">
        <v>624</v>
      </c>
      <c r="C65" s="6"/>
      <c r="D65" s="6">
        <v>-1</v>
      </c>
      <c r="E65" s="6"/>
      <c r="F65" s="6"/>
    </row>
    <row r="66" spans="1:6" x14ac:dyDescent="0.3">
      <c r="A66" s="6"/>
      <c r="B66" s="6" t="s">
        <v>386</v>
      </c>
      <c r="C66" s="6">
        <v>-1</v>
      </c>
      <c r="D66" s="6"/>
      <c r="E66" s="6"/>
      <c r="F66" s="6"/>
    </row>
  </sheetData>
  <pageMargins left="0.7" right="0.7" top="0.75" bottom="0.75" header="0.3" footer="0.3"/>
  <tableParts count="1">
    <tablePart r:id="rId1"/>
  </tablePart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C8EC6-3205-46DD-9292-33C1B80A423F}">
  <dimension ref="A1:C65"/>
  <sheetViews>
    <sheetView topLeftCell="A58" workbookViewId="0">
      <selection activeCell="B66" sqref="B66"/>
    </sheetView>
  </sheetViews>
  <sheetFormatPr defaultRowHeight="14.4" x14ac:dyDescent="0.3"/>
  <cols>
    <col min="1" max="1" width="24.33203125" bestFit="1" customWidth="1"/>
    <col min="2" max="2" width="14" bestFit="1" customWidth="1"/>
    <col min="3" max="3" width="14.109375" bestFit="1" customWidth="1"/>
  </cols>
  <sheetData>
    <row r="1" spans="1:3" x14ac:dyDescent="0.3">
      <c r="A1" t="s">
        <v>832</v>
      </c>
      <c r="B1" t="s">
        <v>1</v>
      </c>
      <c r="C1" t="s">
        <v>899</v>
      </c>
    </row>
    <row r="2" spans="1:3" x14ac:dyDescent="0.3">
      <c r="A2" s="6"/>
      <c r="B2" s="6" t="s">
        <v>328</v>
      </c>
      <c r="C2" s="6">
        <v>-1</v>
      </c>
    </row>
    <row r="3" spans="1:3" x14ac:dyDescent="0.3">
      <c r="A3" s="6"/>
      <c r="B3" s="6" t="s">
        <v>336</v>
      </c>
      <c r="C3" s="6">
        <v>-1</v>
      </c>
    </row>
    <row r="4" spans="1:3" x14ac:dyDescent="0.3">
      <c r="A4" s="6"/>
      <c r="B4" s="6" t="s">
        <v>366</v>
      </c>
      <c r="C4" s="6">
        <v>-1</v>
      </c>
    </row>
    <row r="5" spans="1:3" x14ac:dyDescent="0.3">
      <c r="A5" s="6" t="s">
        <v>2639</v>
      </c>
      <c r="B5" s="6" t="s">
        <v>404</v>
      </c>
      <c r="C5" s="6">
        <v>33</v>
      </c>
    </row>
    <row r="6" spans="1:3" x14ac:dyDescent="0.3">
      <c r="A6" s="6"/>
      <c r="B6" s="6" t="s">
        <v>690</v>
      </c>
      <c r="C6" s="6">
        <v>-1</v>
      </c>
    </row>
    <row r="7" spans="1:3" x14ac:dyDescent="0.3">
      <c r="A7" s="6"/>
      <c r="B7" s="6" t="s">
        <v>330</v>
      </c>
      <c r="C7" s="6">
        <v>-1</v>
      </c>
    </row>
    <row r="8" spans="1:3" x14ac:dyDescent="0.3">
      <c r="A8" s="6"/>
      <c r="B8" s="6" t="s">
        <v>334</v>
      </c>
      <c r="C8" s="6">
        <v>-1</v>
      </c>
    </row>
    <row r="9" spans="1:3" x14ac:dyDescent="0.3">
      <c r="A9" s="6"/>
      <c r="B9" s="6" t="s">
        <v>674</v>
      </c>
      <c r="C9" s="6">
        <v>-1</v>
      </c>
    </row>
    <row r="10" spans="1:3" x14ac:dyDescent="0.3">
      <c r="A10" s="6" t="s">
        <v>5009</v>
      </c>
      <c r="B10" s="6" t="s">
        <v>364</v>
      </c>
      <c r="C10" s="6">
        <v>5</v>
      </c>
    </row>
    <row r="11" spans="1:3" x14ac:dyDescent="0.3">
      <c r="A11" s="6" t="s">
        <v>2602</v>
      </c>
      <c r="B11" s="6" t="s">
        <v>330</v>
      </c>
      <c r="C11" s="6">
        <v>17</v>
      </c>
    </row>
    <row r="12" spans="1:3" x14ac:dyDescent="0.3">
      <c r="A12" s="6"/>
      <c r="B12" s="6" t="s">
        <v>342</v>
      </c>
      <c r="C12" s="6">
        <v>-1</v>
      </c>
    </row>
    <row r="13" spans="1:3" x14ac:dyDescent="0.3">
      <c r="A13" s="6" t="s">
        <v>1992</v>
      </c>
      <c r="B13" s="6" t="s">
        <v>332</v>
      </c>
      <c r="C13" s="6">
        <v>9</v>
      </c>
    </row>
    <row r="14" spans="1:3" x14ac:dyDescent="0.3">
      <c r="A14" s="6" t="s">
        <v>1655</v>
      </c>
      <c r="B14" s="6" t="s">
        <v>332</v>
      </c>
      <c r="C14" s="6">
        <v>5</v>
      </c>
    </row>
    <row r="15" spans="1:3" x14ac:dyDescent="0.3">
      <c r="A15" s="6" t="s">
        <v>3270</v>
      </c>
      <c r="B15" s="6" t="s">
        <v>344</v>
      </c>
      <c r="C15" s="6">
        <v>17</v>
      </c>
    </row>
    <row r="16" spans="1:3" x14ac:dyDescent="0.3">
      <c r="A16" s="6"/>
      <c r="B16" s="6" t="s">
        <v>604</v>
      </c>
      <c r="C16" s="6">
        <v>-1</v>
      </c>
    </row>
    <row r="17" spans="1:3" x14ac:dyDescent="0.3">
      <c r="A17" s="6"/>
      <c r="B17" s="6" t="s">
        <v>384</v>
      </c>
      <c r="C17" s="6">
        <v>-1</v>
      </c>
    </row>
    <row r="18" spans="1:3" x14ac:dyDescent="0.3">
      <c r="A18" s="6"/>
      <c r="B18" s="6" t="s">
        <v>340</v>
      </c>
      <c r="C18" s="6">
        <v>-1</v>
      </c>
    </row>
    <row r="19" spans="1:3" x14ac:dyDescent="0.3">
      <c r="A19" s="6" t="s">
        <v>3950</v>
      </c>
      <c r="B19" s="6" t="s">
        <v>366</v>
      </c>
      <c r="C19" s="6">
        <v>33</v>
      </c>
    </row>
    <row r="20" spans="1:3" x14ac:dyDescent="0.3">
      <c r="A20" s="6"/>
      <c r="B20" s="6" t="s">
        <v>412</v>
      </c>
      <c r="C20" s="6">
        <v>-1</v>
      </c>
    </row>
    <row r="21" spans="1:3" x14ac:dyDescent="0.3">
      <c r="A21" s="6"/>
      <c r="B21" s="6" t="s">
        <v>366</v>
      </c>
      <c r="C21" s="6">
        <v>-1</v>
      </c>
    </row>
    <row r="22" spans="1:3" x14ac:dyDescent="0.3">
      <c r="A22" s="6"/>
      <c r="B22" s="6" t="s">
        <v>340</v>
      </c>
      <c r="C22" s="6">
        <v>-1</v>
      </c>
    </row>
    <row r="23" spans="1:3" x14ac:dyDescent="0.3">
      <c r="A23" s="6" t="s">
        <v>3838</v>
      </c>
      <c r="B23" s="6" t="s">
        <v>340</v>
      </c>
      <c r="C23" s="6">
        <v>17</v>
      </c>
    </row>
    <row r="24" spans="1:3" x14ac:dyDescent="0.3">
      <c r="A24" s="6"/>
      <c r="B24" s="6" t="s">
        <v>356</v>
      </c>
      <c r="C24" s="6">
        <v>-1</v>
      </c>
    </row>
    <row r="25" spans="1:3" x14ac:dyDescent="0.3">
      <c r="A25" s="6" t="s">
        <v>3821</v>
      </c>
      <c r="B25" s="6" t="s">
        <v>340</v>
      </c>
      <c r="C25" s="6">
        <v>17</v>
      </c>
    </row>
    <row r="26" spans="1:3" x14ac:dyDescent="0.3">
      <c r="A26" s="6" t="s">
        <v>2098</v>
      </c>
      <c r="B26" s="6" t="s">
        <v>442</v>
      </c>
      <c r="C26" s="6">
        <v>17</v>
      </c>
    </row>
    <row r="27" spans="1:3" x14ac:dyDescent="0.3">
      <c r="A27" s="6"/>
      <c r="B27" s="6" t="s">
        <v>384</v>
      </c>
      <c r="C27" s="6">
        <v>-1</v>
      </c>
    </row>
    <row r="28" spans="1:3" x14ac:dyDescent="0.3">
      <c r="A28" s="6" t="s">
        <v>2706</v>
      </c>
      <c r="B28" s="6" t="s">
        <v>356</v>
      </c>
      <c r="C28" s="6">
        <v>17</v>
      </c>
    </row>
    <row r="29" spans="1:3" x14ac:dyDescent="0.3">
      <c r="A29" s="6"/>
      <c r="B29" s="6" t="s">
        <v>334</v>
      </c>
      <c r="C29" s="6">
        <v>-1</v>
      </c>
    </row>
    <row r="30" spans="1:3" x14ac:dyDescent="0.3">
      <c r="A30" s="6"/>
      <c r="B30" s="6" t="s">
        <v>344</v>
      </c>
      <c r="C30" s="6">
        <v>-1</v>
      </c>
    </row>
    <row r="31" spans="1:3" x14ac:dyDescent="0.3">
      <c r="A31" s="6"/>
      <c r="B31" s="6" t="s">
        <v>344</v>
      </c>
      <c r="C31" s="6">
        <v>-1</v>
      </c>
    </row>
    <row r="32" spans="1:3" x14ac:dyDescent="0.3">
      <c r="A32" s="6" t="s">
        <v>1476</v>
      </c>
      <c r="B32" s="6" t="s">
        <v>402</v>
      </c>
      <c r="C32" s="6">
        <v>17</v>
      </c>
    </row>
    <row r="33" spans="1:3" x14ac:dyDescent="0.3">
      <c r="A33" s="6" t="s">
        <v>3819</v>
      </c>
      <c r="B33" s="6" t="s">
        <v>356</v>
      </c>
      <c r="C33" s="6">
        <v>33</v>
      </c>
    </row>
    <row r="34" spans="1:3" x14ac:dyDescent="0.3">
      <c r="A34" s="6"/>
      <c r="B34" s="6" t="s">
        <v>406</v>
      </c>
      <c r="C34" s="6">
        <v>-1</v>
      </c>
    </row>
    <row r="35" spans="1:3" x14ac:dyDescent="0.3">
      <c r="A35" s="6"/>
      <c r="B35" s="6" t="s">
        <v>674</v>
      </c>
      <c r="C35" s="6">
        <v>-1</v>
      </c>
    </row>
    <row r="36" spans="1:3" x14ac:dyDescent="0.3">
      <c r="A36" s="6"/>
      <c r="B36" s="6" t="s">
        <v>332</v>
      </c>
      <c r="C36" s="6">
        <v>-1</v>
      </c>
    </row>
    <row r="37" spans="1:3" x14ac:dyDescent="0.3">
      <c r="A37" s="6" t="s">
        <v>2877</v>
      </c>
      <c r="B37" s="6" t="s">
        <v>330</v>
      </c>
      <c r="C37" s="6">
        <v>33</v>
      </c>
    </row>
    <row r="38" spans="1:3" x14ac:dyDescent="0.3">
      <c r="A38" s="6" t="s">
        <v>1344</v>
      </c>
      <c r="B38" s="6" t="s">
        <v>346</v>
      </c>
      <c r="C38" s="6">
        <v>33</v>
      </c>
    </row>
    <row r="39" spans="1:3" x14ac:dyDescent="0.3">
      <c r="A39" s="6"/>
      <c r="B39" s="6" t="s">
        <v>428</v>
      </c>
      <c r="C39" s="6">
        <v>-1</v>
      </c>
    </row>
    <row r="40" spans="1:3" x14ac:dyDescent="0.3">
      <c r="A40" s="6" t="s">
        <v>2437</v>
      </c>
      <c r="B40" s="6" t="s">
        <v>354</v>
      </c>
      <c r="C40" s="6">
        <v>17</v>
      </c>
    </row>
    <row r="41" spans="1:3" x14ac:dyDescent="0.3">
      <c r="A41" s="6"/>
      <c r="B41" s="6" t="s">
        <v>674</v>
      </c>
      <c r="C41" s="6">
        <v>-1</v>
      </c>
    </row>
    <row r="42" spans="1:3" x14ac:dyDescent="0.3">
      <c r="A42" s="6"/>
      <c r="B42" s="6" t="s">
        <v>358</v>
      </c>
      <c r="C42" s="6">
        <v>-1</v>
      </c>
    </row>
    <row r="43" spans="1:3" x14ac:dyDescent="0.3">
      <c r="A43" s="6" t="s">
        <v>1995</v>
      </c>
      <c r="B43" s="6" t="s">
        <v>332</v>
      </c>
      <c r="C43" s="6">
        <v>33</v>
      </c>
    </row>
    <row r="44" spans="1:3" x14ac:dyDescent="0.3">
      <c r="A44" s="6" t="s">
        <v>3870</v>
      </c>
      <c r="B44" s="6" t="s">
        <v>406</v>
      </c>
      <c r="C44" s="6">
        <v>33</v>
      </c>
    </row>
    <row r="45" spans="1:3" x14ac:dyDescent="0.3">
      <c r="A45" s="6"/>
      <c r="B45" s="6" t="s">
        <v>344</v>
      </c>
      <c r="C45" s="6">
        <v>-1</v>
      </c>
    </row>
    <row r="46" spans="1:3" x14ac:dyDescent="0.3">
      <c r="A46" s="6"/>
      <c r="B46" s="6" t="s">
        <v>690</v>
      </c>
      <c r="C46" s="6">
        <v>-1</v>
      </c>
    </row>
    <row r="47" spans="1:3" x14ac:dyDescent="0.3">
      <c r="A47" s="6"/>
      <c r="B47" s="6" t="s">
        <v>604</v>
      </c>
      <c r="C47" s="6">
        <v>-1</v>
      </c>
    </row>
    <row r="48" spans="1:3" x14ac:dyDescent="0.3">
      <c r="A48" s="6" t="s">
        <v>2601</v>
      </c>
      <c r="B48" s="6" t="s">
        <v>330</v>
      </c>
      <c r="C48" s="6">
        <v>33</v>
      </c>
    </row>
    <row r="49" spans="1:3" x14ac:dyDescent="0.3">
      <c r="A49" s="6"/>
      <c r="B49" s="6" t="s">
        <v>402</v>
      </c>
      <c r="C49" s="6">
        <v>-1</v>
      </c>
    </row>
    <row r="50" spans="1:3" x14ac:dyDescent="0.3">
      <c r="A50" s="6"/>
      <c r="B50" s="6" t="s">
        <v>334</v>
      </c>
      <c r="C50" s="6">
        <v>-1</v>
      </c>
    </row>
    <row r="51" spans="1:3" x14ac:dyDescent="0.3">
      <c r="A51" s="6" t="s">
        <v>1616</v>
      </c>
      <c r="B51" s="6" t="s">
        <v>336</v>
      </c>
      <c r="C51" s="6">
        <v>33</v>
      </c>
    </row>
    <row r="52" spans="1:3" x14ac:dyDescent="0.3">
      <c r="A52" s="6"/>
      <c r="B52" s="6" t="s">
        <v>448</v>
      </c>
      <c r="C52" s="6">
        <v>-1</v>
      </c>
    </row>
    <row r="53" spans="1:3" x14ac:dyDescent="0.3">
      <c r="A53" s="6"/>
      <c r="B53" s="6" t="s">
        <v>442</v>
      </c>
      <c r="C53" s="6">
        <v>-1</v>
      </c>
    </row>
    <row r="54" spans="1:3" x14ac:dyDescent="0.3">
      <c r="A54" s="6" t="s">
        <v>2392</v>
      </c>
      <c r="B54" s="6" t="s">
        <v>354</v>
      </c>
      <c r="C54" s="6">
        <v>33</v>
      </c>
    </row>
    <row r="55" spans="1:3" x14ac:dyDescent="0.3">
      <c r="A55" s="6"/>
      <c r="B55" s="6" t="s">
        <v>520</v>
      </c>
      <c r="C55" s="6">
        <v>-1</v>
      </c>
    </row>
    <row r="56" spans="1:3" x14ac:dyDescent="0.3">
      <c r="A56" s="6"/>
      <c r="B56" s="6" t="s">
        <v>428</v>
      </c>
      <c r="C56" s="6">
        <v>-1</v>
      </c>
    </row>
    <row r="57" spans="1:3" x14ac:dyDescent="0.3">
      <c r="A57" s="6"/>
      <c r="B57" s="6" t="s">
        <v>334</v>
      </c>
      <c r="C57" s="6">
        <v>-1</v>
      </c>
    </row>
    <row r="58" spans="1:3" x14ac:dyDescent="0.3">
      <c r="A58" s="6"/>
      <c r="B58" s="6" t="s">
        <v>356</v>
      </c>
      <c r="C58" s="6">
        <v>-1</v>
      </c>
    </row>
    <row r="59" spans="1:3" x14ac:dyDescent="0.3">
      <c r="A59" s="6"/>
      <c r="B59" s="6" t="s">
        <v>460</v>
      </c>
      <c r="C59" s="6">
        <v>-1</v>
      </c>
    </row>
    <row r="60" spans="1:3" x14ac:dyDescent="0.3">
      <c r="A60" s="6"/>
      <c r="B60" s="6" t="s">
        <v>354</v>
      </c>
      <c r="C60" s="6">
        <v>-1</v>
      </c>
    </row>
    <row r="61" spans="1:3" x14ac:dyDescent="0.3">
      <c r="A61" s="6"/>
      <c r="B61" s="6" t="s">
        <v>412</v>
      </c>
      <c r="C61" s="6">
        <v>-1</v>
      </c>
    </row>
    <row r="62" spans="1:3" x14ac:dyDescent="0.3">
      <c r="A62" s="6" t="s">
        <v>1345</v>
      </c>
      <c r="B62" s="6" t="s">
        <v>346</v>
      </c>
      <c r="C62" s="6">
        <v>33</v>
      </c>
    </row>
    <row r="63" spans="1:3" x14ac:dyDescent="0.3">
      <c r="A63" s="6"/>
      <c r="B63" s="6" t="s">
        <v>342</v>
      </c>
      <c r="C63" s="6">
        <v>-1</v>
      </c>
    </row>
    <row r="64" spans="1:3" x14ac:dyDescent="0.3">
      <c r="A64" s="6" t="s">
        <v>1389</v>
      </c>
      <c r="B64" s="6" t="s">
        <v>444</v>
      </c>
      <c r="C64" s="6">
        <v>17</v>
      </c>
    </row>
    <row r="65" spans="1:3" x14ac:dyDescent="0.3">
      <c r="A65" s="6" t="s">
        <v>3903</v>
      </c>
      <c r="B65" s="6" t="s">
        <v>460</v>
      </c>
      <c r="C65" s="6">
        <v>17</v>
      </c>
    </row>
  </sheetData>
  <pageMargins left="0.7" right="0.7" top="0.75" bottom="0.75" header="0.3" footer="0.3"/>
  <tableParts count="1">
    <tablePart r:id="rId1"/>
  </tablePart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6D5199-ADD7-4B49-9AAA-65E72A430248}">
  <dimension ref="A1:C65"/>
  <sheetViews>
    <sheetView topLeftCell="A58" workbookViewId="0">
      <selection activeCell="B66" sqref="B66"/>
    </sheetView>
  </sheetViews>
  <sheetFormatPr defaultRowHeight="14.4" x14ac:dyDescent="0.3"/>
  <cols>
    <col min="1" max="1" width="23.21875" bestFit="1" customWidth="1"/>
    <col min="2" max="2" width="14" bestFit="1" customWidth="1"/>
    <col min="3" max="3" width="14.109375" bestFit="1" customWidth="1"/>
  </cols>
  <sheetData>
    <row r="1" spans="1:3" x14ac:dyDescent="0.3">
      <c r="A1" t="s">
        <v>832</v>
      </c>
      <c r="B1" t="s">
        <v>1</v>
      </c>
      <c r="C1" t="s">
        <v>899</v>
      </c>
    </row>
    <row r="2" spans="1:3" x14ac:dyDescent="0.3">
      <c r="A2" s="6" t="s">
        <v>2121</v>
      </c>
      <c r="B2" s="6" t="s">
        <v>328</v>
      </c>
      <c r="C2" s="6">
        <v>1</v>
      </c>
    </row>
    <row r="3" spans="1:3" x14ac:dyDescent="0.3">
      <c r="A3" s="6" t="s">
        <v>3090</v>
      </c>
      <c r="B3" s="6" t="s">
        <v>336</v>
      </c>
      <c r="C3" s="6">
        <v>33</v>
      </c>
    </row>
    <row r="4" spans="1:3" x14ac:dyDescent="0.3">
      <c r="A4" s="6" t="s">
        <v>3814</v>
      </c>
      <c r="B4" s="6" t="s">
        <v>340</v>
      </c>
      <c r="C4" s="6">
        <v>17</v>
      </c>
    </row>
    <row r="5" spans="1:3" x14ac:dyDescent="0.3">
      <c r="A5" s="6" t="s">
        <v>4438</v>
      </c>
      <c r="B5" s="6" t="s">
        <v>326</v>
      </c>
      <c r="C5" s="6">
        <v>33</v>
      </c>
    </row>
    <row r="6" spans="1:3" x14ac:dyDescent="0.3">
      <c r="A6" s="6"/>
      <c r="B6" s="6" t="s">
        <v>394</v>
      </c>
      <c r="C6" s="6">
        <v>-1</v>
      </c>
    </row>
    <row r="7" spans="1:3" x14ac:dyDescent="0.3">
      <c r="A7" s="6" t="s">
        <v>1837</v>
      </c>
      <c r="B7" s="6" t="s">
        <v>332</v>
      </c>
      <c r="C7" s="6">
        <v>9</v>
      </c>
    </row>
    <row r="8" spans="1:3" x14ac:dyDescent="0.3">
      <c r="A8" s="6"/>
      <c r="B8" s="6" t="s">
        <v>332</v>
      </c>
      <c r="C8" s="6">
        <v>-1</v>
      </c>
    </row>
    <row r="9" spans="1:3" x14ac:dyDescent="0.3">
      <c r="A9" s="6" t="s">
        <v>3365</v>
      </c>
      <c r="B9" s="6" t="s">
        <v>356</v>
      </c>
      <c r="C9" s="6">
        <v>9</v>
      </c>
    </row>
    <row r="10" spans="1:3" x14ac:dyDescent="0.3">
      <c r="A10" s="6"/>
      <c r="B10" s="6" t="s">
        <v>342</v>
      </c>
      <c r="C10" s="6">
        <v>-1</v>
      </c>
    </row>
    <row r="11" spans="1:3" x14ac:dyDescent="0.3">
      <c r="A11" s="6" t="s">
        <v>1826</v>
      </c>
      <c r="B11" s="6" t="s">
        <v>332</v>
      </c>
      <c r="C11" s="6">
        <v>5</v>
      </c>
    </row>
    <row r="12" spans="1:3" x14ac:dyDescent="0.3">
      <c r="A12" s="6" t="s">
        <v>3496</v>
      </c>
      <c r="B12" s="6" t="s">
        <v>614</v>
      </c>
      <c r="C12" s="6">
        <v>33</v>
      </c>
    </row>
    <row r="13" spans="1:3" x14ac:dyDescent="0.3">
      <c r="A13" s="6"/>
      <c r="B13" s="6" t="s">
        <v>674</v>
      </c>
      <c r="C13" s="6">
        <v>-1</v>
      </c>
    </row>
    <row r="14" spans="1:3" x14ac:dyDescent="0.3">
      <c r="A14" s="6"/>
      <c r="B14" s="6" t="s">
        <v>726</v>
      </c>
      <c r="C14" s="6">
        <v>-1</v>
      </c>
    </row>
    <row r="15" spans="1:3" x14ac:dyDescent="0.3">
      <c r="A15" s="6"/>
      <c r="B15" s="6" t="s">
        <v>332</v>
      </c>
      <c r="C15" s="6">
        <v>-1</v>
      </c>
    </row>
    <row r="16" spans="1:3" x14ac:dyDescent="0.3">
      <c r="A16" s="6" t="s">
        <v>3065</v>
      </c>
      <c r="B16" s="6" t="s">
        <v>336</v>
      </c>
      <c r="C16" s="6">
        <v>17</v>
      </c>
    </row>
    <row r="17" spans="1:3" x14ac:dyDescent="0.3">
      <c r="A17" s="6"/>
      <c r="B17" s="6" t="s">
        <v>726</v>
      </c>
      <c r="C17" s="6">
        <v>-1</v>
      </c>
    </row>
    <row r="18" spans="1:3" x14ac:dyDescent="0.3">
      <c r="A18" s="6"/>
      <c r="B18" s="6" t="s">
        <v>344</v>
      </c>
      <c r="C18" s="6">
        <v>-1</v>
      </c>
    </row>
    <row r="19" spans="1:3" x14ac:dyDescent="0.3">
      <c r="A19" s="6" t="s">
        <v>3623</v>
      </c>
      <c r="B19" s="6" t="s">
        <v>674</v>
      </c>
      <c r="C19" s="6">
        <v>33</v>
      </c>
    </row>
    <row r="20" spans="1:3" x14ac:dyDescent="0.3">
      <c r="A20" s="6"/>
      <c r="B20" s="6" t="s">
        <v>442</v>
      </c>
      <c r="C20" s="6">
        <v>-1</v>
      </c>
    </row>
    <row r="21" spans="1:3" x14ac:dyDescent="0.3">
      <c r="A21" s="6"/>
      <c r="B21" s="6" t="s">
        <v>726</v>
      </c>
      <c r="C21" s="6">
        <v>-1</v>
      </c>
    </row>
    <row r="22" spans="1:3" x14ac:dyDescent="0.3">
      <c r="A22" s="6" t="s">
        <v>2253</v>
      </c>
      <c r="B22" s="6" t="s">
        <v>442</v>
      </c>
      <c r="C22" s="6">
        <v>33</v>
      </c>
    </row>
    <row r="23" spans="1:3" x14ac:dyDescent="0.3">
      <c r="A23" s="6"/>
      <c r="B23" s="6" t="s">
        <v>402</v>
      </c>
      <c r="C23" s="6">
        <v>-1</v>
      </c>
    </row>
    <row r="24" spans="1:3" x14ac:dyDescent="0.3">
      <c r="A24" s="6"/>
      <c r="B24" s="6" t="s">
        <v>442</v>
      </c>
      <c r="C24" s="6">
        <v>-1</v>
      </c>
    </row>
    <row r="25" spans="1:3" x14ac:dyDescent="0.3">
      <c r="A25" s="6" t="s">
        <v>3764</v>
      </c>
      <c r="B25" s="6" t="s">
        <v>334</v>
      </c>
      <c r="C25" s="6">
        <v>5</v>
      </c>
    </row>
    <row r="26" spans="1:3" x14ac:dyDescent="0.3">
      <c r="A26" s="6"/>
      <c r="B26" s="6" t="s">
        <v>384</v>
      </c>
      <c r="C26" s="6">
        <v>-1</v>
      </c>
    </row>
    <row r="27" spans="1:3" x14ac:dyDescent="0.3">
      <c r="A27" s="6" t="s">
        <v>3550</v>
      </c>
      <c r="B27" s="6" t="s">
        <v>354</v>
      </c>
      <c r="C27" s="6">
        <v>33</v>
      </c>
    </row>
    <row r="28" spans="1:3" x14ac:dyDescent="0.3">
      <c r="A28" s="6"/>
      <c r="B28" s="6" t="s">
        <v>442</v>
      </c>
      <c r="C28" s="6">
        <v>-1</v>
      </c>
    </row>
    <row r="29" spans="1:3" x14ac:dyDescent="0.3">
      <c r="A29" s="6"/>
      <c r="B29" s="6" t="s">
        <v>328</v>
      </c>
      <c r="C29" s="6">
        <v>-1</v>
      </c>
    </row>
    <row r="30" spans="1:3" x14ac:dyDescent="0.3">
      <c r="A30" s="6" t="s">
        <v>4697</v>
      </c>
      <c r="B30" s="6" t="s">
        <v>450</v>
      </c>
      <c r="C30" s="6">
        <v>2</v>
      </c>
    </row>
    <row r="31" spans="1:3" x14ac:dyDescent="0.3">
      <c r="A31" s="6"/>
      <c r="B31" s="6" t="s">
        <v>328</v>
      </c>
      <c r="C31" s="6">
        <v>-1</v>
      </c>
    </row>
    <row r="32" spans="1:3" x14ac:dyDescent="0.3">
      <c r="A32" s="6" t="s">
        <v>4357</v>
      </c>
      <c r="B32" s="6" t="s">
        <v>344</v>
      </c>
      <c r="C32" s="6">
        <v>17</v>
      </c>
    </row>
    <row r="33" spans="1:3" x14ac:dyDescent="0.3">
      <c r="A33" s="6" t="s">
        <v>2660</v>
      </c>
      <c r="B33" s="6" t="s">
        <v>356</v>
      </c>
      <c r="C33" s="6">
        <v>33</v>
      </c>
    </row>
    <row r="34" spans="1:3" x14ac:dyDescent="0.3">
      <c r="A34" s="6"/>
      <c r="B34" s="6" t="s">
        <v>394</v>
      </c>
      <c r="C34" s="6">
        <v>-1</v>
      </c>
    </row>
    <row r="35" spans="1:3" x14ac:dyDescent="0.3">
      <c r="A35" s="6"/>
      <c r="B35" s="6" t="s">
        <v>674</v>
      </c>
      <c r="C35" s="6">
        <v>-1</v>
      </c>
    </row>
    <row r="36" spans="1:3" x14ac:dyDescent="0.3">
      <c r="A36" s="6"/>
      <c r="B36" s="6" t="s">
        <v>348</v>
      </c>
      <c r="C36" s="6">
        <v>-1</v>
      </c>
    </row>
    <row r="37" spans="1:3" x14ac:dyDescent="0.3">
      <c r="A37" s="6" t="s">
        <v>1898</v>
      </c>
      <c r="B37" s="6" t="s">
        <v>348</v>
      </c>
      <c r="C37" s="6">
        <v>33</v>
      </c>
    </row>
    <row r="38" spans="1:3" x14ac:dyDescent="0.3">
      <c r="A38" s="6"/>
      <c r="B38" s="6" t="s">
        <v>328</v>
      </c>
      <c r="C38" s="6">
        <v>-1</v>
      </c>
    </row>
    <row r="39" spans="1:3" x14ac:dyDescent="0.3">
      <c r="A39" s="6"/>
      <c r="B39" s="6" t="s">
        <v>394</v>
      </c>
      <c r="C39" s="6">
        <v>-1</v>
      </c>
    </row>
    <row r="40" spans="1:3" x14ac:dyDescent="0.3">
      <c r="A40" s="6" t="s">
        <v>2496</v>
      </c>
      <c r="B40" s="6" t="s">
        <v>330</v>
      </c>
      <c r="C40" s="6">
        <v>33</v>
      </c>
    </row>
    <row r="41" spans="1:3" x14ac:dyDescent="0.3">
      <c r="A41" s="6"/>
      <c r="B41" s="6" t="s">
        <v>334</v>
      </c>
      <c r="C41" s="6">
        <v>-1</v>
      </c>
    </row>
    <row r="42" spans="1:3" x14ac:dyDescent="0.3">
      <c r="A42" s="6"/>
      <c r="B42" s="6" t="s">
        <v>412</v>
      </c>
      <c r="C42" s="6">
        <v>-1</v>
      </c>
    </row>
    <row r="43" spans="1:3" x14ac:dyDescent="0.3">
      <c r="A43" s="6" t="s">
        <v>1790</v>
      </c>
      <c r="B43" s="6" t="s">
        <v>340</v>
      </c>
      <c r="C43" s="6">
        <v>33</v>
      </c>
    </row>
    <row r="44" spans="1:3" x14ac:dyDescent="0.3">
      <c r="A44" s="6"/>
      <c r="B44" s="6" t="s">
        <v>344</v>
      </c>
      <c r="C44" s="6">
        <v>-1</v>
      </c>
    </row>
    <row r="45" spans="1:3" x14ac:dyDescent="0.3">
      <c r="A45" s="6"/>
      <c r="B45" s="6" t="s">
        <v>384</v>
      </c>
      <c r="C45" s="6">
        <v>-1</v>
      </c>
    </row>
    <row r="46" spans="1:3" x14ac:dyDescent="0.3">
      <c r="A46" s="6"/>
      <c r="B46" s="6" t="s">
        <v>414</v>
      </c>
      <c r="C46" s="6">
        <v>-1</v>
      </c>
    </row>
    <row r="47" spans="1:3" x14ac:dyDescent="0.3">
      <c r="A47" s="6" t="s">
        <v>1900</v>
      </c>
      <c r="B47" s="6" t="s">
        <v>348</v>
      </c>
      <c r="C47" s="6">
        <v>17</v>
      </c>
    </row>
    <row r="48" spans="1:3" x14ac:dyDescent="0.3">
      <c r="A48" s="6"/>
      <c r="B48" s="6" t="s">
        <v>330</v>
      </c>
      <c r="C48" s="6">
        <v>-1</v>
      </c>
    </row>
    <row r="49" spans="1:3" x14ac:dyDescent="0.3">
      <c r="A49" s="6"/>
      <c r="B49" s="6" t="s">
        <v>356</v>
      </c>
      <c r="C49" s="6">
        <v>-1</v>
      </c>
    </row>
    <row r="50" spans="1:3" x14ac:dyDescent="0.3">
      <c r="A50" s="6"/>
      <c r="B50" s="6" t="s">
        <v>370</v>
      </c>
      <c r="C50" s="6">
        <v>-1</v>
      </c>
    </row>
    <row r="51" spans="1:3" x14ac:dyDescent="0.3">
      <c r="A51" s="6"/>
      <c r="B51" s="6" t="s">
        <v>344</v>
      </c>
      <c r="C51" s="6">
        <v>-1</v>
      </c>
    </row>
    <row r="52" spans="1:3" x14ac:dyDescent="0.3">
      <c r="A52" s="6"/>
      <c r="B52" s="6" t="s">
        <v>444</v>
      </c>
      <c r="C52" s="6">
        <v>-1</v>
      </c>
    </row>
    <row r="53" spans="1:3" x14ac:dyDescent="0.3">
      <c r="A53" s="6"/>
      <c r="B53" s="6" t="s">
        <v>358</v>
      </c>
      <c r="C53" s="6">
        <v>-1</v>
      </c>
    </row>
    <row r="54" spans="1:3" x14ac:dyDescent="0.3">
      <c r="A54" s="6"/>
      <c r="B54" s="6" t="s">
        <v>334</v>
      </c>
      <c r="C54" s="6">
        <v>-1</v>
      </c>
    </row>
    <row r="55" spans="1:3" x14ac:dyDescent="0.3">
      <c r="A55" s="6"/>
      <c r="B55" s="6" t="s">
        <v>334</v>
      </c>
      <c r="C55" s="6">
        <v>-1</v>
      </c>
    </row>
    <row r="56" spans="1:3" x14ac:dyDescent="0.3">
      <c r="A56" s="6"/>
      <c r="B56" s="6" t="s">
        <v>428</v>
      </c>
      <c r="C56" s="6">
        <v>-1</v>
      </c>
    </row>
    <row r="57" spans="1:3" x14ac:dyDescent="0.3">
      <c r="A57" s="6" t="s">
        <v>3715</v>
      </c>
      <c r="B57" s="6" t="s">
        <v>450</v>
      </c>
      <c r="C57" s="6">
        <v>33</v>
      </c>
    </row>
    <row r="58" spans="1:3" x14ac:dyDescent="0.3">
      <c r="A58" s="6" t="s">
        <v>2802</v>
      </c>
      <c r="B58" s="6" t="s">
        <v>408</v>
      </c>
      <c r="C58" s="6">
        <v>4</v>
      </c>
    </row>
    <row r="59" spans="1:3" x14ac:dyDescent="0.3">
      <c r="A59" s="6"/>
      <c r="B59" s="6" t="s">
        <v>362</v>
      </c>
      <c r="C59" s="6">
        <v>-1</v>
      </c>
    </row>
    <row r="60" spans="1:3" x14ac:dyDescent="0.3">
      <c r="A60" s="6"/>
      <c r="B60" s="6" t="s">
        <v>356</v>
      </c>
      <c r="C60" s="6">
        <v>-1</v>
      </c>
    </row>
    <row r="61" spans="1:3" x14ac:dyDescent="0.3">
      <c r="A61" s="6"/>
      <c r="B61" s="6" t="s">
        <v>474</v>
      </c>
      <c r="C61" s="6">
        <v>-1</v>
      </c>
    </row>
    <row r="62" spans="1:3" x14ac:dyDescent="0.3">
      <c r="A62" s="6"/>
      <c r="B62" s="6" t="s">
        <v>354</v>
      </c>
      <c r="C62" s="6">
        <v>-1</v>
      </c>
    </row>
    <row r="63" spans="1:3" x14ac:dyDescent="0.3">
      <c r="A63" s="6" t="s">
        <v>1758</v>
      </c>
      <c r="B63" s="6" t="s">
        <v>428</v>
      </c>
      <c r="C63" s="6">
        <v>33</v>
      </c>
    </row>
    <row r="64" spans="1:3" x14ac:dyDescent="0.3">
      <c r="A64" s="6" t="s">
        <v>2230</v>
      </c>
      <c r="B64" s="6" t="s">
        <v>414</v>
      </c>
      <c r="C64" s="6">
        <v>17</v>
      </c>
    </row>
    <row r="65" spans="1:3" x14ac:dyDescent="0.3">
      <c r="A65" s="6"/>
      <c r="B65" s="6" t="s">
        <v>644</v>
      </c>
      <c r="C65" s="6">
        <v>-1</v>
      </c>
    </row>
  </sheetData>
  <pageMargins left="0.7" right="0.7" top="0.75" bottom="0.75" header="0.3" footer="0.3"/>
  <tableParts count="1">
    <tablePart r:id="rId1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8624B-03AF-4FE9-93BF-33DC54581FF7}">
  <dimension ref="A1:G81"/>
  <sheetViews>
    <sheetView topLeftCell="A76" workbookViewId="0">
      <selection activeCell="B82" sqref="B82"/>
    </sheetView>
  </sheetViews>
  <sheetFormatPr defaultRowHeight="14.4" x14ac:dyDescent="0.3"/>
  <cols>
    <col min="1" max="1" width="42.109375" bestFit="1" customWidth="1"/>
    <col min="2" max="2" width="14" bestFit="1" customWidth="1"/>
    <col min="3" max="3" width="19.88671875" bestFit="1" customWidth="1"/>
    <col min="4" max="4" width="22.6640625" bestFit="1" customWidth="1"/>
    <col min="5" max="5" width="20" bestFit="1" customWidth="1"/>
    <col min="6" max="6" width="17" bestFit="1" customWidth="1"/>
    <col min="7" max="7" width="14.77734375" bestFit="1" customWidth="1"/>
  </cols>
  <sheetData>
    <row r="1" spans="1:7" x14ac:dyDescent="0.3">
      <c r="A1" t="s">
        <v>833</v>
      </c>
      <c r="B1" t="s">
        <v>1</v>
      </c>
      <c r="C1" t="s">
        <v>900</v>
      </c>
      <c r="D1" t="s">
        <v>901</v>
      </c>
      <c r="E1" t="s">
        <v>1017</v>
      </c>
      <c r="F1" t="s">
        <v>1212</v>
      </c>
      <c r="G1" t="s">
        <v>1213</v>
      </c>
    </row>
    <row r="2" spans="1:7" x14ac:dyDescent="0.3">
      <c r="A2" s="6"/>
      <c r="B2" s="6" t="s">
        <v>354</v>
      </c>
      <c r="C2" s="6">
        <v>-1</v>
      </c>
      <c r="D2" s="6"/>
      <c r="E2" s="6"/>
      <c r="F2" s="6">
        <f>Table79[[#This Row],[Total Athletes]]-(LEN(Table79[[#This Row],[Pair]])-LEN(SUBSTITUTE(Table79[[#This Row],[Pair]],"/","")))-1</f>
        <v>-1</v>
      </c>
      <c r="G2" s="6"/>
    </row>
    <row r="3" spans="1:7" x14ac:dyDescent="0.3">
      <c r="A3" s="6"/>
      <c r="B3" s="6" t="s">
        <v>330</v>
      </c>
      <c r="C3" s="6">
        <v>-1</v>
      </c>
      <c r="D3" s="6"/>
      <c r="E3" s="6"/>
      <c r="F3" s="6">
        <f>Table79[[#This Row],[Total Athletes]]-(LEN(Table79[[#This Row],[Pair]])-LEN(SUBSTITUTE(Table79[[#This Row],[Pair]],"/","")))-1</f>
        <v>-1</v>
      </c>
      <c r="G3" s="6"/>
    </row>
    <row r="4" spans="1:7" x14ac:dyDescent="0.3">
      <c r="A4" s="6" t="s">
        <v>1814</v>
      </c>
      <c r="B4" s="6" t="s">
        <v>448</v>
      </c>
      <c r="C4" s="6">
        <v>17</v>
      </c>
      <c r="D4" s="6"/>
      <c r="E4" s="6"/>
      <c r="F4" s="6">
        <f>Table79[[#This Row],[Total Athletes]]-(LEN(Table79[[#This Row],[Pair]])-LEN(SUBSTITUTE(Table79[[#This Row],[Pair]],"/","")))-1</f>
        <v>1</v>
      </c>
      <c r="G4" s="6">
        <v>2</v>
      </c>
    </row>
    <row r="5" spans="1:7" x14ac:dyDescent="0.3">
      <c r="A5" s="6" t="s">
        <v>1808</v>
      </c>
      <c r="B5" s="6" t="s">
        <v>402</v>
      </c>
      <c r="C5" s="6">
        <v>17</v>
      </c>
      <c r="D5" s="6"/>
      <c r="E5" s="6"/>
      <c r="F5" s="6">
        <f>Table79[[#This Row],[Total Athletes]]-(LEN(Table79[[#This Row],[Pair]])-LEN(SUBSTITUTE(Table79[[#This Row],[Pair]],"/","")))-1</f>
        <v>0</v>
      </c>
      <c r="G5" s="6">
        <v>2</v>
      </c>
    </row>
    <row r="6" spans="1:7" x14ac:dyDescent="0.3">
      <c r="A6" s="6" t="s">
        <v>4203</v>
      </c>
      <c r="B6" s="6" t="s">
        <v>332</v>
      </c>
      <c r="C6" s="6">
        <v>2</v>
      </c>
      <c r="D6" s="6"/>
      <c r="E6" s="6"/>
      <c r="F6" s="6">
        <f>Table79[[#This Row],[Total Athletes]]-(LEN(Table79[[#This Row],[Pair]])-LEN(SUBSTITUTE(Table79[[#This Row],[Pair]],"/","")))-1</f>
        <v>0</v>
      </c>
      <c r="G6" s="6">
        <v>2</v>
      </c>
    </row>
    <row r="7" spans="1:7" x14ac:dyDescent="0.3">
      <c r="A7" s="6"/>
      <c r="B7" s="6" t="s">
        <v>412</v>
      </c>
      <c r="C7" s="6">
        <v>-1</v>
      </c>
      <c r="D7" s="6"/>
      <c r="E7" s="6"/>
      <c r="F7" s="6">
        <f>Table79[[#This Row],[Total Athletes]]-(LEN(Table79[[#This Row],[Pair]])-LEN(SUBSTITUTE(Table79[[#This Row],[Pair]],"/","")))-1</f>
        <v>-1</v>
      </c>
      <c r="G7" s="6"/>
    </row>
    <row r="8" spans="1:7" x14ac:dyDescent="0.3">
      <c r="A8" s="6" t="s">
        <v>3718</v>
      </c>
      <c r="B8" s="6" t="s">
        <v>450</v>
      </c>
      <c r="C8" s="6">
        <v>17</v>
      </c>
      <c r="D8" s="6"/>
      <c r="E8" s="6"/>
      <c r="F8" s="6">
        <f>Table79[[#This Row],[Total Athletes]]-(LEN(Table79[[#This Row],[Pair]])-LEN(SUBSTITUTE(Table79[[#This Row],[Pair]],"/","")))-1</f>
        <v>0</v>
      </c>
      <c r="G8" s="6">
        <v>2</v>
      </c>
    </row>
    <row r="9" spans="1:7" x14ac:dyDescent="0.3">
      <c r="A9" s="6"/>
      <c r="B9" s="6" t="s">
        <v>356</v>
      </c>
      <c r="C9" s="6">
        <v>-1</v>
      </c>
      <c r="D9" s="6"/>
      <c r="E9" s="6"/>
      <c r="F9" s="6">
        <f>Table79[[#This Row],[Total Athletes]]-(LEN(Table79[[#This Row],[Pair]])-LEN(SUBSTITUTE(Table79[[#This Row],[Pair]],"/","")))-1</f>
        <v>-1</v>
      </c>
      <c r="G9" s="6"/>
    </row>
    <row r="10" spans="1:7" x14ac:dyDescent="0.3">
      <c r="A10" s="6" t="s">
        <v>2602</v>
      </c>
      <c r="B10" s="6" t="s">
        <v>330</v>
      </c>
      <c r="C10" s="6">
        <v>5</v>
      </c>
      <c r="D10" s="6"/>
      <c r="E10" s="6"/>
      <c r="F10" s="6">
        <f>Table79[[#This Row],[Total Athletes]]-(LEN(Table79[[#This Row],[Pair]])-LEN(SUBSTITUTE(Table79[[#This Row],[Pair]],"/","")))-1</f>
        <v>1</v>
      </c>
      <c r="G10" s="6">
        <v>2</v>
      </c>
    </row>
    <row r="11" spans="1:7" x14ac:dyDescent="0.3">
      <c r="A11" s="6" t="s">
        <v>1993</v>
      </c>
      <c r="B11" s="6" t="s">
        <v>332</v>
      </c>
      <c r="C11" s="6">
        <v>3</v>
      </c>
      <c r="D11" s="6"/>
      <c r="E11" s="6"/>
      <c r="F11" s="6">
        <f>Table79[[#This Row],[Total Athletes]]-(LEN(Table79[[#This Row],[Pair]])-LEN(SUBSTITUTE(Table79[[#This Row],[Pair]],"/","")))-1</f>
        <v>0</v>
      </c>
      <c r="G11" s="6">
        <v>2</v>
      </c>
    </row>
    <row r="12" spans="1:7" x14ac:dyDescent="0.3">
      <c r="A12" s="6"/>
      <c r="B12" s="6" t="s">
        <v>334</v>
      </c>
      <c r="C12" s="6">
        <v>-1</v>
      </c>
      <c r="D12" s="6"/>
      <c r="E12" s="6"/>
      <c r="F12" s="6">
        <f>Table79[[#This Row],[Total Athletes]]-(LEN(Table79[[#This Row],[Pair]])-LEN(SUBSTITUTE(Table79[[#This Row],[Pair]],"/","")))-1</f>
        <v>-1</v>
      </c>
      <c r="G12" s="6"/>
    </row>
    <row r="13" spans="1:7" x14ac:dyDescent="0.3">
      <c r="A13" s="6" t="s">
        <v>3826</v>
      </c>
      <c r="B13" s="6" t="s">
        <v>340</v>
      </c>
      <c r="C13" s="6">
        <v>17</v>
      </c>
      <c r="D13" s="6"/>
      <c r="E13" s="6"/>
      <c r="F13" s="6">
        <f>Table79[[#This Row],[Total Athletes]]-(LEN(Table79[[#This Row],[Pair]])-LEN(SUBSTITUTE(Table79[[#This Row],[Pair]],"/","")))-1</f>
        <v>1</v>
      </c>
      <c r="G13" s="6">
        <v>2</v>
      </c>
    </row>
    <row r="14" spans="1:7" x14ac:dyDescent="0.3">
      <c r="A14" s="6" t="s">
        <v>3950</v>
      </c>
      <c r="B14" s="6" t="s">
        <v>366</v>
      </c>
      <c r="C14" s="6">
        <v>9</v>
      </c>
      <c r="D14" s="6"/>
      <c r="E14" s="6"/>
      <c r="F14" s="6">
        <f>Table79[[#This Row],[Total Athletes]]-(LEN(Table79[[#This Row],[Pair]])-LEN(SUBSTITUTE(Table79[[#This Row],[Pair]],"/","")))-1</f>
        <v>1</v>
      </c>
      <c r="G14" s="6">
        <v>2</v>
      </c>
    </row>
    <row r="15" spans="1:7" x14ac:dyDescent="0.3">
      <c r="A15" s="6"/>
      <c r="B15" s="6" t="s">
        <v>674</v>
      </c>
      <c r="C15" s="6">
        <v>-1</v>
      </c>
      <c r="D15" s="6"/>
      <c r="E15" s="6"/>
      <c r="F15" s="6">
        <f>Table79[[#This Row],[Total Athletes]]-(LEN(Table79[[#This Row],[Pair]])-LEN(SUBSTITUTE(Table79[[#This Row],[Pair]],"/","")))-1</f>
        <v>-1</v>
      </c>
      <c r="G15" s="6"/>
    </row>
    <row r="16" spans="1:7" x14ac:dyDescent="0.3">
      <c r="A16" s="6"/>
      <c r="B16" s="6" t="s">
        <v>344</v>
      </c>
      <c r="C16" s="6">
        <v>-1</v>
      </c>
      <c r="D16" s="6"/>
      <c r="E16" s="6"/>
      <c r="F16" s="6">
        <f>Table79[[#This Row],[Total Athletes]]-(LEN(Table79[[#This Row],[Pair]])-LEN(SUBSTITUTE(Table79[[#This Row],[Pair]],"/","")))-1</f>
        <v>-1</v>
      </c>
      <c r="G16" s="6"/>
    </row>
    <row r="17" spans="1:7" x14ac:dyDescent="0.3">
      <c r="A17" s="6"/>
      <c r="B17" s="6" t="s">
        <v>384</v>
      </c>
      <c r="C17" s="6">
        <v>-1</v>
      </c>
      <c r="D17" s="6"/>
      <c r="E17" s="6"/>
      <c r="F17" s="6">
        <f>Table79[[#This Row],[Total Athletes]]-(LEN(Table79[[#This Row],[Pair]])-LEN(SUBSTITUTE(Table79[[#This Row],[Pair]],"/","")))-1</f>
        <v>-1</v>
      </c>
      <c r="G17" s="6"/>
    </row>
    <row r="18" spans="1:7" x14ac:dyDescent="0.3">
      <c r="A18" s="6" t="s">
        <v>3270</v>
      </c>
      <c r="B18" s="6" t="s">
        <v>344</v>
      </c>
      <c r="C18" s="6">
        <v>17</v>
      </c>
      <c r="D18" s="6"/>
      <c r="E18" s="6"/>
      <c r="F18" s="6">
        <f>Table79[[#This Row],[Total Athletes]]-(LEN(Table79[[#This Row],[Pair]])-LEN(SUBSTITUTE(Table79[[#This Row],[Pair]],"/","")))-1</f>
        <v>1</v>
      </c>
      <c r="G18" s="6">
        <v>2</v>
      </c>
    </row>
    <row r="19" spans="1:7" x14ac:dyDescent="0.3">
      <c r="A19" s="6" t="s">
        <v>2373</v>
      </c>
      <c r="B19" s="6" t="s">
        <v>354</v>
      </c>
      <c r="C19" s="6">
        <v>17</v>
      </c>
      <c r="D19" s="6"/>
      <c r="E19" s="6"/>
      <c r="F19" s="6">
        <f>Table79[[#This Row],[Total Athletes]]-(LEN(Table79[[#This Row],[Pair]])-LEN(SUBSTITUTE(Table79[[#This Row],[Pair]],"/","")))-1</f>
        <v>1</v>
      </c>
      <c r="G19" s="6">
        <v>2</v>
      </c>
    </row>
    <row r="20" spans="1:7" x14ac:dyDescent="0.3">
      <c r="A20" s="6"/>
      <c r="B20" s="6" t="s">
        <v>520</v>
      </c>
      <c r="C20" s="6">
        <v>-1</v>
      </c>
      <c r="D20" s="6"/>
      <c r="E20" s="6"/>
      <c r="F20" s="6">
        <f>Table79[[#This Row],[Total Athletes]]-(LEN(Table79[[#This Row],[Pair]])-LEN(SUBSTITUTE(Table79[[#This Row],[Pair]],"/","")))-1</f>
        <v>-1</v>
      </c>
      <c r="G20" s="6"/>
    </row>
    <row r="21" spans="1:7" x14ac:dyDescent="0.3">
      <c r="A21" s="6" t="s">
        <v>2656</v>
      </c>
      <c r="B21" s="6" t="s">
        <v>604</v>
      </c>
      <c r="C21" s="6">
        <v>17</v>
      </c>
      <c r="D21" s="6"/>
      <c r="E21" s="6"/>
      <c r="F21" s="6">
        <f>Table79[[#This Row],[Total Athletes]]-(LEN(Table79[[#This Row],[Pair]])-LEN(SUBSTITUTE(Table79[[#This Row],[Pair]],"/","")))-1</f>
        <v>1</v>
      </c>
      <c r="G21" s="6">
        <v>2</v>
      </c>
    </row>
    <row r="22" spans="1:7" x14ac:dyDescent="0.3">
      <c r="A22" s="6" t="s">
        <v>3839</v>
      </c>
      <c r="B22" s="6" t="s">
        <v>340</v>
      </c>
      <c r="C22" s="6">
        <v>17</v>
      </c>
      <c r="D22" s="6"/>
      <c r="E22" s="6"/>
      <c r="F22" s="6">
        <f>Table79[[#This Row],[Total Athletes]]-(LEN(Table79[[#This Row],[Pair]])-LEN(SUBSTITUTE(Table79[[#This Row],[Pair]],"/","")))-1</f>
        <v>0</v>
      </c>
      <c r="G22" s="6">
        <v>2</v>
      </c>
    </row>
    <row r="23" spans="1:7" x14ac:dyDescent="0.3">
      <c r="A23" s="6" t="s">
        <v>2098</v>
      </c>
      <c r="B23" s="6" t="s">
        <v>442</v>
      </c>
      <c r="C23" s="6">
        <v>4</v>
      </c>
      <c r="D23" s="6"/>
      <c r="E23" s="6"/>
      <c r="F23" s="6">
        <f>Table79[[#This Row],[Total Athletes]]-(LEN(Table79[[#This Row],[Pair]])-LEN(SUBSTITUTE(Table79[[#This Row],[Pair]],"/","")))-1</f>
        <v>1</v>
      </c>
      <c r="G23" s="6">
        <v>2</v>
      </c>
    </row>
    <row r="24" spans="1:7" x14ac:dyDescent="0.3">
      <c r="A24" s="6" t="s">
        <v>3819</v>
      </c>
      <c r="B24" s="6" t="s">
        <v>356</v>
      </c>
      <c r="C24" s="6">
        <v>17</v>
      </c>
      <c r="D24" s="6"/>
      <c r="E24" s="6"/>
      <c r="F24" s="6">
        <f>Table79[[#This Row],[Total Athletes]]-(LEN(Table79[[#This Row],[Pair]])-LEN(SUBSTITUTE(Table79[[#This Row],[Pair]],"/","")))-1</f>
        <v>1</v>
      </c>
      <c r="G24" s="6">
        <v>2</v>
      </c>
    </row>
    <row r="25" spans="1:7" x14ac:dyDescent="0.3">
      <c r="A25" s="6"/>
      <c r="B25" s="6" t="s">
        <v>412</v>
      </c>
      <c r="C25" s="6">
        <v>-1</v>
      </c>
      <c r="D25" s="6"/>
      <c r="E25" s="6"/>
      <c r="F25" s="6">
        <f>Table79[[#This Row],[Total Athletes]]-(LEN(Table79[[#This Row],[Pair]])-LEN(SUBSTITUTE(Table79[[#This Row],[Pair]],"/","")))-1</f>
        <v>-1</v>
      </c>
      <c r="G25" s="6"/>
    </row>
    <row r="26" spans="1:7" x14ac:dyDescent="0.3">
      <c r="A26" s="6"/>
      <c r="B26" s="6" t="s">
        <v>342</v>
      </c>
      <c r="C26" s="6">
        <v>-1</v>
      </c>
      <c r="D26" s="6"/>
      <c r="E26" s="6"/>
      <c r="F26" s="6">
        <f>Table79[[#This Row],[Total Athletes]]-(LEN(Table79[[#This Row],[Pair]])-LEN(SUBSTITUTE(Table79[[#This Row],[Pair]],"/","")))-1</f>
        <v>-1</v>
      </c>
      <c r="G26" s="6"/>
    </row>
    <row r="27" spans="1:7" x14ac:dyDescent="0.3">
      <c r="A27" s="6" t="s">
        <v>3870</v>
      </c>
      <c r="B27" s="6" t="s">
        <v>406</v>
      </c>
      <c r="C27" s="6">
        <v>17</v>
      </c>
      <c r="D27" s="6"/>
      <c r="E27" s="6"/>
      <c r="F27" s="6">
        <f>Table79[[#This Row],[Total Athletes]]-(LEN(Table79[[#This Row],[Pair]])-LEN(SUBSTITUTE(Table79[[#This Row],[Pair]],"/","")))-1</f>
        <v>1</v>
      </c>
      <c r="G27" s="6">
        <v>2</v>
      </c>
    </row>
    <row r="28" spans="1:7" x14ac:dyDescent="0.3">
      <c r="A28" s="6"/>
      <c r="B28" s="6" t="s">
        <v>334</v>
      </c>
      <c r="C28" s="6">
        <v>-1</v>
      </c>
      <c r="D28" s="6"/>
      <c r="E28" s="6"/>
      <c r="F28" s="6">
        <f>Table79[[#This Row],[Total Athletes]]-(LEN(Table79[[#This Row],[Pair]])-LEN(SUBSTITUTE(Table79[[#This Row],[Pair]],"/","")))-1</f>
        <v>-1</v>
      </c>
      <c r="G28" s="6"/>
    </row>
    <row r="29" spans="1:7" x14ac:dyDescent="0.3">
      <c r="A29" s="6" t="s">
        <v>1346</v>
      </c>
      <c r="B29" s="6" t="s">
        <v>346</v>
      </c>
      <c r="C29" s="6">
        <v>9</v>
      </c>
      <c r="D29" s="6"/>
      <c r="E29" s="6"/>
      <c r="F29" s="6">
        <f>Table79[[#This Row],[Total Athletes]]-(LEN(Table79[[#This Row],[Pair]])-LEN(SUBSTITUTE(Table79[[#This Row],[Pair]],"/","")))-1</f>
        <v>0</v>
      </c>
      <c r="G29" s="6">
        <v>2</v>
      </c>
    </row>
    <row r="30" spans="1:7" x14ac:dyDescent="0.3">
      <c r="A30" s="6" t="s">
        <v>1616</v>
      </c>
      <c r="B30" s="6" t="s">
        <v>336</v>
      </c>
      <c r="C30" s="6">
        <v>9</v>
      </c>
      <c r="D30" s="6"/>
      <c r="E30" s="6"/>
      <c r="F30" s="6">
        <f>Table79[[#This Row],[Total Athletes]]-(LEN(Table79[[#This Row],[Pair]])-LEN(SUBSTITUTE(Table79[[#This Row],[Pair]],"/","")))-1</f>
        <v>1</v>
      </c>
      <c r="G30" s="6">
        <v>2</v>
      </c>
    </row>
    <row r="31" spans="1:7" x14ac:dyDescent="0.3">
      <c r="A31" s="6" t="s">
        <v>4129</v>
      </c>
      <c r="B31" s="6" t="s">
        <v>402</v>
      </c>
      <c r="C31" s="6">
        <v>5</v>
      </c>
      <c r="D31" s="6"/>
      <c r="E31" s="6"/>
      <c r="F31" s="6">
        <f>Table79[[#This Row],[Total Athletes]]-(LEN(Table79[[#This Row],[Pair]])-LEN(SUBSTITUTE(Table79[[#This Row],[Pair]],"/","")))-1</f>
        <v>1</v>
      </c>
      <c r="G31" s="6">
        <v>2</v>
      </c>
    </row>
    <row r="32" spans="1:7" x14ac:dyDescent="0.3">
      <c r="A32" s="6" t="s">
        <v>3903</v>
      </c>
      <c r="B32" s="6" t="s">
        <v>460</v>
      </c>
      <c r="C32" s="6">
        <v>17</v>
      </c>
      <c r="D32" s="6"/>
      <c r="E32" s="6"/>
      <c r="F32" s="6">
        <f>Table79[[#This Row],[Total Athletes]]-(LEN(Table79[[#This Row],[Pair]])-LEN(SUBSTITUTE(Table79[[#This Row],[Pair]],"/","")))-1</f>
        <v>1</v>
      </c>
      <c r="G32" s="6">
        <v>2</v>
      </c>
    </row>
    <row r="33" spans="1:7" x14ac:dyDescent="0.3">
      <c r="A33" s="6"/>
      <c r="B33" s="6" t="s">
        <v>428</v>
      </c>
      <c r="C33" s="6">
        <v>-1</v>
      </c>
      <c r="D33" s="6"/>
      <c r="E33" s="6"/>
      <c r="F33" s="6">
        <f>Table79[[#This Row],[Total Athletes]]-(LEN(Table79[[#This Row],[Pair]])-LEN(SUBSTITUTE(Table79[[#This Row],[Pair]],"/","")))-1</f>
        <v>-1</v>
      </c>
      <c r="G33" s="6"/>
    </row>
    <row r="34" spans="1:7" x14ac:dyDescent="0.3">
      <c r="A34" s="6" t="s">
        <v>2889</v>
      </c>
      <c r="B34" s="6" t="s">
        <v>368</v>
      </c>
      <c r="C34" s="6"/>
      <c r="D34" s="6">
        <v>5</v>
      </c>
      <c r="E34" s="6"/>
      <c r="F34" s="6">
        <f>Table79[[#This Row],[Total Athletes]]-(LEN(Table79[[#This Row],[Pair]])-LEN(SUBSTITUTE(Table79[[#This Row],[Pair]],"/","")))-1</f>
        <v>1</v>
      </c>
      <c r="G34" s="6">
        <v>2</v>
      </c>
    </row>
    <row r="35" spans="1:7" x14ac:dyDescent="0.3">
      <c r="A35" s="6"/>
      <c r="B35" s="6" t="s">
        <v>474</v>
      </c>
      <c r="C35" s="6"/>
      <c r="D35" s="6">
        <v>-1</v>
      </c>
      <c r="E35" s="6"/>
      <c r="F35" s="6">
        <f>Table79[[#This Row],[Total Athletes]]-(LEN(Table79[[#This Row],[Pair]])-LEN(SUBSTITUTE(Table79[[#This Row],[Pair]],"/","")))-1</f>
        <v>-1</v>
      </c>
      <c r="G35" s="6"/>
    </row>
    <row r="36" spans="1:7" x14ac:dyDescent="0.3">
      <c r="A36" s="6"/>
      <c r="B36" s="6" t="s">
        <v>442</v>
      </c>
      <c r="C36" s="6"/>
      <c r="D36" s="6">
        <v>-1</v>
      </c>
      <c r="E36" s="6"/>
      <c r="F36" s="6">
        <f>Table79[[#This Row],[Total Athletes]]-(LEN(Table79[[#This Row],[Pair]])-LEN(SUBSTITUTE(Table79[[#This Row],[Pair]],"/","")))-1</f>
        <v>-1</v>
      </c>
      <c r="G36" s="6"/>
    </row>
    <row r="37" spans="1:7" x14ac:dyDescent="0.3">
      <c r="A37" s="6" t="s">
        <v>3764</v>
      </c>
      <c r="B37" s="6" t="s">
        <v>334</v>
      </c>
      <c r="C37" s="6"/>
      <c r="D37" s="6">
        <v>17</v>
      </c>
      <c r="E37" s="6"/>
      <c r="F37" s="6">
        <f>Table79[[#This Row],[Total Athletes]]-(LEN(Table79[[#This Row],[Pair]])-LEN(SUBSTITUTE(Table79[[#This Row],[Pair]],"/","")))-1</f>
        <v>1</v>
      </c>
      <c r="G37" s="6">
        <v>2</v>
      </c>
    </row>
    <row r="38" spans="1:7" x14ac:dyDescent="0.3">
      <c r="A38" s="6"/>
      <c r="B38" s="6" t="s">
        <v>384</v>
      </c>
      <c r="C38" s="6"/>
      <c r="D38" s="6">
        <v>-1</v>
      </c>
      <c r="E38" s="6"/>
      <c r="F38" s="6">
        <f>Table79[[#This Row],[Total Athletes]]-(LEN(Table79[[#This Row],[Pair]])-LEN(SUBSTITUTE(Table79[[#This Row],[Pair]],"/","")))-1</f>
        <v>-1</v>
      </c>
      <c r="G38" s="6"/>
    </row>
    <row r="39" spans="1:7" x14ac:dyDescent="0.3">
      <c r="A39" s="6" t="s">
        <v>2434</v>
      </c>
      <c r="B39" s="6" t="s">
        <v>354</v>
      </c>
      <c r="C39" s="6"/>
      <c r="D39" s="6">
        <v>17</v>
      </c>
      <c r="E39" s="6"/>
      <c r="F39" s="6">
        <f>Table79[[#This Row],[Total Athletes]]-(LEN(Table79[[#This Row],[Pair]])-LEN(SUBSTITUTE(Table79[[#This Row],[Pair]],"/","")))-1</f>
        <v>1</v>
      </c>
      <c r="G39" s="6">
        <v>2</v>
      </c>
    </row>
    <row r="40" spans="1:7" x14ac:dyDescent="0.3">
      <c r="A40" s="6" t="s">
        <v>1837</v>
      </c>
      <c r="B40" s="6" t="s">
        <v>332</v>
      </c>
      <c r="C40" s="6"/>
      <c r="D40" s="6">
        <v>9</v>
      </c>
      <c r="E40" s="6"/>
      <c r="F40" s="6">
        <f>Table79[[#This Row],[Total Athletes]]-(LEN(Table79[[#This Row],[Pair]])-LEN(SUBSTITUTE(Table79[[#This Row],[Pair]],"/","")))-1</f>
        <v>1</v>
      </c>
      <c r="G40" s="6">
        <v>2</v>
      </c>
    </row>
    <row r="41" spans="1:7" x14ac:dyDescent="0.3">
      <c r="A41" s="6" t="s">
        <v>3365</v>
      </c>
      <c r="B41" s="6" t="s">
        <v>356</v>
      </c>
      <c r="C41" s="6"/>
      <c r="D41" s="6">
        <v>1</v>
      </c>
      <c r="E41" s="6"/>
      <c r="F41" s="6">
        <f>Table79[[#This Row],[Total Athletes]]-(LEN(Table79[[#This Row],[Pair]])-LEN(SUBSTITUTE(Table79[[#This Row],[Pair]],"/","")))-1</f>
        <v>1</v>
      </c>
      <c r="G41" s="6">
        <v>2</v>
      </c>
    </row>
    <row r="42" spans="1:7" x14ac:dyDescent="0.3">
      <c r="A42" s="6" t="s">
        <v>2022</v>
      </c>
      <c r="B42" s="6" t="s">
        <v>332</v>
      </c>
      <c r="C42" s="6"/>
      <c r="D42" s="6">
        <v>9</v>
      </c>
      <c r="E42" s="6"/>
      <c r="F42" s="6">
        <f>Table79[[#This Row],[Total Athletes]]-(LEN(Table79[[#This Row],[Pair]])-LEN(SUBSTITUTE(Table79[[#This Row],[Pair]],"/","")))-1</f>
        <v>0</v>
      </c>
      <c r="G42" s="6">
        <v>2</v>
      </c>
    </row>
    <row r="43" spans="1:7" x14ac:dyDescent="0.3">
      <c r="A43" s="6" t="s">
        <v>3105</v>
      </c>
      <c r="B43" s="6" t="s">
        <v>336</v>
      </c>
      <c r="C43" s="6"/>
      <c r="D43" s="6">
        <v>9</v>
      </c>
      <c r="E43" s="6"/>
      <c r="F43" s="6">
        <f>Table79[[#This Row],[Total Athletes]]-(LEN(Table79[[#This Row],[Pair]])-LEN(SUBSTITUTE(Table79[[#This Row],[Pair]],"/","")))-1</f>
        <v>0</v>
      </c>
      <c r="G43" s="6">
        <v>2</v>
      </c>
    </row>
    <row r="44" spans="1:7" x14ac:dyDescent="0.3">
      <c r="A44" s="6" t="s">
        <v>2496</v>
      </c>
      <c r="B44" s="6" t="s">
        <v>330</v>
      </c>
      <c r="C44" s="6"/>
      <c r="D44" s="6">
        <v>3</v>
      </c>
      <c r="E44" s="6"/>
      <c r="F44" s="6">
        <f>Table79[[#This Row],[Total Athletes]]-(LEN(Table79[[#This Row],[Pair]])-LEN(SUBSTITUTE(Table79[[#This Row],[Pair]],"/","")))-1</f>
        <v>1</v>
      </c>
      <c r="G44" s="6">
        <v>2</v>
      </c>
    </row>
    <row r="45" spans="1:7" x14ac:dyDescent="0.3">
      <c r="A45" s="6"/>
      <c r="B45" s="6" t="s">
        <v>726</v>
      </c>
      <c r="C45" s="6"/>
      <c r="D45" s="6">
        <v>-1</v>
      </c>
      <c r="E45" s="6"/>
      <c r="F45" s="6">
        <f>Table79[[#This Row],[Total Athletes]]-(LEN(Table79[[#This Row],[Pair]])-LEN(SUBSTITUTE(Table79[[#This Row],[Pair]],"/","")))-1</f>
        <v>-1</v>
      </c>
      <c r="G45" s="6"/>
    </row>
    <row r="46" spans="1:7" x14ac:dyDescent="0.3">
      <c r="A46" s="6" t="s">
        <v>2061</v>
      </c>
      <c r="B46" s="6" t="s">
        <v>428</v>
      </c>
      <c r="C46" s="6"/>
      <c r="D46" s="6">
        <v>9</v>
      </c>
      <c r="E46" s="6"/>
      <c r="F46" s="6">
        <f>Table79[[#This Row],[Total Athletes]]-(LEN(Table79[[#This Row],[Pair]])-LEN(SUBSTITUTE(Table79[[#This Row],[Pair]],"/","")))-1</f>
        <v>0</v>
      </c>
      <c r="G46" s="6">
        <v>2</v>
      </c>
    </row>
    <row r="47" spans="1:7" x14ac:dyDescent="0.3">
      <c r="A47" s="6" t="s">
        <v>4787</v>
      </c>
      <c r="B47" s="6" t="s">
        <v>726</v>
      </c>
      <c r="C47" s="6"/>
      <c r="D47" s="6">
        <v>5</v>
      </c>
      <c r="E47" s="6"/>
      <c r="F47" s="6">
        <f>Table79[[#This Row],[Total Athletes]]-(LEN(Table79[[#This Row],[Pair]])-LEN(SUBSTITUTE(Table79[[#This Row],[Pair]],"/","")))-1</f>
        <v>0</v>
      </c>
      <c r="G47" s="6">
        <v>2</v>
      </c>
    </row>
    <row r="48" spans="1:7" x14ac:dyDescent="0.3">
      <c r="A48" s="6" t="s">
        <v>2253</v>
      </c>
      <c r="B48" s="6" t="s">
        <v>442</v>
      </c>
      <c r="C48" s="6"/>
      <c r="D48" s="6">
        <v>4</v>
      </c>
      <c r="E48" s="6"/>
      <c r="F48" s="6">
        <f>Table79[[#This Row],[Total Athletes]]-(LEN(Table79[[#This Row],[Pair]])-LEN(SUBSTITUTE(Table79[[#This Row],[Pair]],"/","")))-1</f>
        <v>1</v>
      </c>
      <c r="G48" s="6">
        <v>2</v>
      </c>
    </row>
    <row r="49" spans="1:7" x14ac:dyDescent="0.3">
      <c r="A49" s="6" t="s">
        <v>2885</v>
      </c>
      <c r="B49" s="6" t="s">
        <v>368</v>
      </c>
      <c r="C49" s="6"/>
      <c r="D49" s="6">
        <v>17</v>
      </c>
      <c r="E49" s="6"/>
      <c r="F49" s="6">
        <f>Table79[[#This Row],[Total Athletes]]-(LEN(Table79[[#This Row],[Pair]])-LEN(SUBSTITUTE(Table79[[#This Row],[Pair]],"/","")))-1</f>
        <v>1</v>
      </c>
      <c r="G49" s="6">
        <v>2</v>
      </c>
    </row>
    <row r="50" spans="1:7" x14ac:dyDescent="0.3">
      <c r="A50" s="6" t="s">
        <v>2787</v>
      </c>
      <c r="B50" s="6" t="s">
        <v>328</v>
      </c>
      <c r="C50" s="6"/>
      <c r="D50" s="6">
        <v>17</v>
      </c>
      <c r="E50" s="6"/>
      <c r="F50" s="6">
        <f>Table79[[#This Row],[Total Athletes]]-(LEN(Table79[[#This Row],[Pair]])-LEN(SUBSTITUTE(Table79[[#This Row],[Pair]],"/","")))-1</f>
        <v>1</v>
      </c>
      <c r="G50" s="6">
        <v>2</v>
      </c>
    </row>
    <row r="51" spans="1:7" x14ac:dyDescent="0.3">
      <c r="A51" s="6"/>
      <c r="B51" s="6" t="s">
        <v>674</v>
      </c>
      <c r="C51" s="6"/>
      <c r="D51" s="6">
        <v>-1</v>
      </c>
      <c r="E51" s="6"/>
      <c r="F51" s="6">
        <f>Table79[[#This Row],[Total Athletes]]-(LEN(Table79[[#This Row],[Pair]])-LEN(SUBSTITUTE(Table79[[#This Row],[Pair]],"/","")))-1</f>
        <v>-1</v>
      </c>
      <c r="G51" s="6"/>
    </row>
    <row r="52" spans="1:7" x14ac:dyDescent="0.3">
      <c r="A52" s="6" t="s">
        <v>3623</v>
      </c>
      <c r="B52" s="6" t="s">
        <v>674</v>
      </c>
      <c r="C52" s="6"/>
      <c r="D52" s="6">
        <v>2</v>
      </c>
      <c r="E52" s="6"/>
      <c r="F52" s="6">
        <f>Table79[[#This Row],[Total Athletes]]-(LEN(Table79[[#This Row],[Pair]])-LEN(SUBSTITUTE(Table79[[#This Row],[Pair]],"/","")))-1</f>
        <v>1</v>
      </c>
      <c r="G52" s="6">
        <v>2</v>
      </c>
    </row>
    <row r="53" spans="1:7" x14ac:dyDescent="0.3">
      <c r="A53" s="6"/>
      <c r="B53" s="6" t="s">
        <v>412</v>
      </c>
      <c r="C53" s="6"/>
      <c r="D53" s="6">
        <v>-1</v>
      </c>
      <c r="E53" s="6"/>
      <c r="F53" s="6">
        <f>Table79[[#This Row],[Total Athletes]]-(LEN(Table79[[#This Row],[Pair]])-LEN(SUBSTITUTE(Table79[[#This Row],[Pair]],"/","")))-1</f>
        <v>-1</v>
      </c>
      <c r="G53" s="6"/>
    </row>
    <row r="54" spans="1:7" x14ac:dyDescent="0.3">
      <c r="A54" s="6" t="s">
        <v>2110</v>
      </c>
      <c r="B54" s="6" t="s">
        <v>402</v>
      </c>
      <c r="C54" s="6"/>
      <c r="D54" s="6">
        <v>5</v>
      </c>
      <c r="E54" s="6"/>
      <c r="F54" s="6">
        <f>Table79[[#This Row],[Total Athletes]]-(LEN(Table79[[#This Row],[Pair]])-LEN(SUBSTITUTE(Table79[[#This Row],[Pair]],"/","")))-1</f>
        <v>1</v>
      </c>
      <c r="G54" s="6">
        <v>2</v>
      </c>
    </row>
    <row r="55" spans="1:7" x14ac:dyDescent="0.3">
      <c r="A55" s="6" t="s">
        <v>2126</v>
      </c>
      <c r="B55" s="6" t="s">
        <v>328</v>
      </c>
      <c r="C55" s="6"/>
      <c r="D55" s="6">
        <v>17</v>
      </c>
      <c r="E55" s="6"/>
      <c r="F55" s="6">
        <f>Table79[[#This Row],[Total Athletes]]-(LEN(Table79[[#This Row],[Pair]])-LEN(SUBSTITUTE(Table79[[#This Row],[Pair]],"/","")))-1</f>
        <v>1</v>
      </c>
      <c r="G55" s="6">
        <v>2</v>
      </c>
    </row>
    <row r="56" spans="1:7" x14ac:dyDescent="0.3">
      <c r="A56" s="6" t="s">
        <v>1898</v>
      </c>
      <c r="B56" s="6" t="s">
        <v>348</v>
      </c>
      <c r="C56" s="6"/>
      <c r="D56" s="6">
        <v>17</v>
      </c>
      <c r="E56" s="6"/>
      <c r="F56" s="6">
        <f>Table79[[#This Row],[Total Athletes]]-(LEN(Table79[[#This Row],[Pair]])-LEN(SUBSTITUTE(Table79[[#This Row],[Pair]],"/","")))-1</f>
        <v>1</v>
      </c>
      <c r="G56" s="6">
        <v>2</v>
      </c>
    </row>
    <row r="57" spans="1:7" x14ac:dyDescent="0.3">
      <c r="A57" s="6"/>
      <c r="B57" s="6" t="s">
        <v>344</v>
      </c>
      <c r="C57" s="6"/>
      <c r="D57" s="6">
        <v>-1</v>
      </c>
      <c r="E57" s="6"/>
      <c r="F57" s="6">
        <f>Table79[[#This Row],[Total Athletes]]-(LEN(Table79[[#This Row],[Pair]])-LEN(SUBSTITUTE(Table79[[#This Row],[Pair]],"/","")))-1</f>
        <v>-1</v>
      </c>
      <c r="G57" s="6"/>
    </row>
    <row r="58" spans="1:7" x14ac:dyDescent="0.3">
      <c r="A58" s="6" t="s">
        <v>3550</v>
      </c>
      <c r="B58" s="6" t="s">
        <v>354</v>
      </c>
      <c r="C58" s="6"/>
      <c r="D58" s="6">
        <v>17</v>
      </c>
      <c r="E58" s="6"/>
      <c r="F58" s="6">
        <f>Table79[[#This Row],[Total Athletes]]-(LEN(Table79[[#This Row],[Pair]])-LEN(SUBSTITUTE(Table79[[#This Row],[Pair]],"/","")))-1</f>
        <v>1</v>
      </c>
      <c r="G58" s="6">
        <v>2</v>
      </c>
    </row>
    <row r="59" spans="1:7" x14ac:dyDescent="0.3">
      <c r="A59" s="6"/>
      <c r="B59" s="6" t="s">
        <v>394</v>
      </c>
      <c r="C59" s="6"/>
      <c r="D59" s="6">
        <v>-1</v>
      </c>
      <c r="E59" s="6"/>
      <c r="F59" s="6">
        <f>Table79[[#This Row],[Total Athletes]]-(LEN(Table79[[#This Row],[Pair]])-LEN(SUBSTITUTE(Table79[[#This Row],[Pair]],"/","")))-1</f>
        <v>-1</v>
      </c>
      <c r="G59" s="6"/>
    </row>
    <row r="60" spans="1:7" x14ac:dyDescent="0.3">
      <c r="A60" s="6" t="s">
        <v>2660</v>
      </c>
      <c r="B60" s="6" t="s">
        <v>356</v>
      </c>
      <c r="C60" s="6"/>
      <c r="D60" s="6">
        <v>17</v>
      </c>
      <c r="E60" s="6"/>
      <c r="F60" s="6">
        <f>Table79[[#This Row],[Total Athletes]]-(LEN(Table79[[#This Row],[Pair]])-LEN(SUBSTITUTE(Table79[[#This Row],[Pair]],"/","")))-1</f>
        <v>1</v>
      </c>
      <c r="G60" s="6">
        <v>2</v>
      </c>
    </row>
    <row r="61" spans="1:7" x14ac:dyDescent="0.3">
      <c r="A61" s="6" t="s">
        <v>4357</v>
      </c>
      <c r="B61" s="6" t="s">
        <v>344</v>
      </c>
      <c r="C61" s="6"/>
      <c r="D61" s="6">
        <v>17</v>
      </c>
      <c r="E61" s="6"/>
      <c r="F61" s="6">
        <f>Table79[[#This Row],[Total Athletes]]-(LEN(Table79[[#This Row],[Pair]])-LEN(SUBSTITUTE(Table79[[#This Row],[Pair]],"/","")))-1</f>
        <v>1</v>
      </c>
      <c r="G61" s="6">
        <v>2</v>
      </c>
    </row>
    <row r="62" spans="1:7" x14ac:dyDescent="0.3">
      <c r="A62" s="6" t="s">
        <v>1900</v>
      </c>
      <c r="B62" s="6" t="s">
        <v>348</v>
      </c>
      <c r="C62" s="6"/>
      <c r="D62" s="6">
        <v>17</v>
      </c>
      <c r="E62" s="6"/>
      <c r="F62" s="6">
        <f>Table79[[#This Row],[Total Athletes]]-(LEN(Table79[[#This Row],[Pair]])-LEN(SUBSTITUTE(Table79[[#This Row],[Pair]],"/","")))-1</f>
        <v>1</v>
      </c>
      <c r="G62" s="6">
        <v>2</v>
      </c>
    </row>
    <row r="63" spans="1:7" x14ac:dyDescent="0.3">
      <c r="A63" s="6"/>
      <c r="B63" s="6" t="s">
        <v>342</v>
      </c>
      <c r="C63" s="6"/>
      <c r="D63" s="6">
        <v>-1</v>
      </c>
      <c r="E63" s="6"/>
      <c r="F63" s="6">
        <f>Table79[[#This Row],[Total Athletes]]-(LEN(Table79[[#This Row],[Pair]])-LEN(SUBSTITUTE(Table79[[#This Row],[Pair]],"/","")))-1</f>
        <v>-1</v>
      </c>
      <c r="G63" s="6"/>
    </row>
    <row r="64" spans="1:7" x14ac:dyDescent="0.3">
      <c r="A64" s="6"/>
      <c r="B64" s="6" t="s">
        <v>334</v>
      </c>
      <c r="C64" s="6"/>
      <c r="D64" s="6">
        <v>-1</v>
      </c>
      <c r="E64" s="6"/>
      <c r="F64" s="6">
        <f>Table79[[#This Row],[Total Athletes]]-(LEN(Table79[[#This Row],[Pair]])-LEN(SUBSTITUTE(Table79[[#This Row],[Pair]],"/","")))-1</f>
        <v>-1</v>
      </c>
      <c r="G64" s="6"/>
    </row>
    <row r="65" spans="1:7" x14ac:dyDescent="0.3">
      <c r="A65" s="6" t="s">
        <v>3815</v>
      </c>
      <c r="B65" s="6" t="s">
        <v>340</v>
      </c>
      <c r="C65" s="6"/>
      <c r="D65" s="6">
        <v>9</v>
      </c>
      <c r="E65" s="6"/>
      <c r="F65" s="6">
        <f>Table79[[#This Row],[Total Athletes]]-(LEN(Table79[[#This Row],[Pair]])-LEN(SUBSTITUTE(Table79[[#This Row],[Pair]],"/","")))-1</f>
        <v>0</v>
      </c>
      <c r="G65" s="6">
        <v>2</v>
      </c>
    </row>
    <row r="66" spans="1:7" x14ac:dyDescent="0.3">
      <c r="A66" s="6" t="s">
        <v>2434</v>
      </c>
      <c r="B66" s="6" t="s">
        <v>354</v>
      </c>
      <c r="C66" s="6"/>
      <c r="D66" s="6"/>
      <c r="E66" s="6">
        <v>5</v>
      </c>
      <c r="F66" s="6">
        <f>Table79[[#This Row],[Total Athletes]]-(LEN(Table79[[#This Row],[Pair]])-LEN(SUBSTITUTE(Table79[[#This Row],[Pair]],"/","")))-1</f>
        <v>1</v>
      </c>
      <c r="G66" s="6">
        <v>2</v>
      </c>
    </row>
    <row r="67" spans="1:7" x14ac:dyDescent="0.3">
      <c r="A67" s="6"/>
      <c r="B67" s="6" t="s">
        <v>334</v>
      </c>
      <c r="C67" s="6"/>
      <c r="D67" s="6"/>
      <c r="E67" s="6">
        <v>-1</v>
      </c>
      <c r="F67" s="6">
        <f>Table79[[#This Row],[Total Athletes]]-(LEN(Table79[[#This Row],[Pair]])-LEN(SUBSTITUTE(Table79[[#This Row],[Pair]],"/","")))-1</f>
        <v>-1</v>
      </c>
      <c r="G67" s="6"/>
    </row>
    <row r="68" spans="1:7" x14ac:dyDescent="0.3">
      <c r="A68" s="6" t="s">
        <v>1994</v>
      </c>
      <c r="B68" s="6" t="s">
        <v>332</v>
      </c>
      <c r="C68" s="6"/>
      <c r="D68" s="6"/>
      <c r="E68" s="6">
        <v>5</v>
      </c>
      <c r="F68" s="6">
        <f>Table79[[#This Row],[Total Athletes]]-(LEN(Table79[[#This Row],[Pair]])-LEN(SUBSTITUTE(Table79[[#This Row],[Pair]],"/","")))-1</f>
        <v>0</v>
      </c>
      <c r="G68" s="6">
        <v>2</v>
      </c>
    </row>
    <row r="69" spans="1:7" x14ac:dyDescent="0.3">
      <c r="A69" s="6"/>
      <c r="B69" s="6" t="s">
        <v>342</v>
      </c>
      <c r="C69" s="6"/>
      <c r="D69" s="6"/>
      <c r="E69" s="6">
        <v>-1</v>
      </c>
      <c r="F69" s="6">
        <f>Table79[[#This Row],[Total Athletes]]-(LEN(Table79[[#This Row],[Pair]])-LEN(SUBSTITUTE(Table79[[#This Row],[Pair]],"/","")))-1</f>
        <v>-1</v>
      </c>
      <c r="G69" s="6"/>
    </row>
    <row r="70" spans="1:7" x14ac:dyDescent="0.3">
      <c r="A70" s="6" t="s">
        <v>2496</v>
      </c>
      <c r="B70" s="6" t="s">
        <v>330</v>
      </c>
      <c r="C70" s="6"/>
      <c r="D70" s="6"/>
      <c r="E70" s="6">
        <v>9</v>
      </c>
      <c r="F70" s="6">
        <f>Table79[[#This Row],[Total Athletes]]-(LEN(Table79[[#This Row],[Pair]])-LEN(SUBSTITUTE(Table79[[#This Row],[Pair]],"/","")))-1</f>
        <v>1</v>
      </c>
      <c r="G70" s="6">
        <v>2</v>
      </c>
    </row>
    <row r="71" spans="1:7" x14ac:dyDescent="0.3">
      <c r="A71" s="6"/>
      <c r="B71" s="6" t="s">
        <v>412</v>
      </c>
      <c r="C71" s="6"/>
      <c r="D71" s="6"/>
      <c r="E71" s="6">
        <v>-1</v>
      </c>
      <c r="F71" s="6">
        <f>Table79[[#This Row],[Total Athletes]]-(LEN(Table79[[#This Row],[Pair]])-LEN(SUBSTITUTE(Table79[[#This Row],[Pair]],"/","")))-1</f>
        <v>-1</v>
      </c>
      <c r="G71" s="6"/>
    </row>
    <row r="72" spans="1:7" x14ac:dyDescent="0.3">
      <c r="A72" s="6"/>
      <c r="B72" s="6" t="s">
        <v>384</v>
      </c>
      <c r="C72" s="6"/>
      <c r="D72" s="6"/>
      <c r="E72" s="6">
        <v>-1</v>
      </c>
      <c r="F72" s="6">
        <f>Table79[[#This Row],[Total Athletes]]-(LEN(Table79[[#This Row],[Pair]])-LEN(SUBSTITUTE(Table79[[#This Row],[Pair]],"/","")))-1</f>
        <v>-1</v>
      </c>
      <c r="G72" s="6"/>
    </row>
    <row r="73" spans="1:7" x14ac:dyDescent="0.3">
      <c r="A73" s="6"/>
      <c r="B73" s="6" t="s">
        <v>356</v>
      </c>
      <c r="C73" s="6"/>
      <c r="D73" s="6"/>
      <c r="E73" s="6">
        <v>-1</v>
      </c>
      <c r="F73" s="6">
        <f>Table79[[#This Row],[Total Athletes]]-(LEN(Table79[[#This Row],[Pair]])-LEN(SUBSTITUTE(Table79[[#This Row],[Pair]],"/","")))-1</f>
        <v>-1</v>
      </c>
      <c r="G73" s="6"/>
    </row>
    <row r="74" spans="1:7" x14ac:dyDescent="0.3">
      <c r="A74" s="6" t="s">
        <v>3623</v>
      </c>
      <c r="B74" s="6" t="s">
        <v>674</v>
      </c>
      <c r="C74" s="6"/>
      <c r="D74" s="6"/>
      <c r="E74" s="6">
        <v>9</v>
      </c>
      <c r="F74" s="6">
        <f>Table79[[#This Row],[Total Athletes]]-(LEN(Table79[[#This Row],[Pair]])-LEN(SUBSTITUTE(Table79[[#This Row],[Pair]],"/","")))-1</f>
        <v>1</v>
      </c>
      <c r="G74" s="6">
        <v>2</v>
      </c>
    </row>
    <row r="75" spans="1:7" x14ac:dyDescent="0.3">
      <c r="A75" s="6"/>
      <c r="B75" s="6" t="s">
        <v>344</v>
      </c>
      <c r="C75" s="6"/>
      <c r="D75" s="6"/>
      <c r="E75" s="6">
        <v>-1</v>
      </c>
      <c r="F75" s="6">
        <f>Table79[[#This Row],[Total Athletes]]-(LEN(Table79[[#This Row],[Pair]])-LEN(SUBSTITUTE(Table79[[#This Row],[Pair]],"/","")))-1</f>
        <v>-1</v>
      </c>
      <c r="G75" s="6"/>
    </row>
    <row r="76" spans="1:7" x14ac:dyDescent="0.3">
      <c r="A76" s="6" t="s">
        <v>2098</v>
      </c>
      <c r="B76" s="6" t="s">
        <v>442</v>
      </c>
      <c r="C76" s="6"/>
      <c r="D76" s="6"/>
      <c r="E76" s="6">
        <v>1</v>
      </c>
      <c r="F76" s="6">
        <f>Table79[[#This Row],[Total Athletes]]-(LEN(Table79[[#This Row],[Pair]])-LEN(SUBSTITUTE(Table79[[#This Row],[Pair]],"/","")))-1</f>
        <v>1</v>
      </c>
      <c r="G76" s="6">
        <v>2</v>
      </c>
    </row>
    <row r="77" spans="1:7" x14ac:dyDescent="0.3">
      <c r="A77" s="6" t="s">
        <v>2111</v>
      </c>
      <c r="B77" s="6" t="s">
        <v>402</v>
      </c>
      <c r="C77" s="6"/>
      <c r="D77" s="6"/>
      <c r="E77" s="6">
        <v>9</v>
      </c>
      <c r="F77" s="6">
        <f>Table79[[#This Row],[Total Athletes]]-(LEN(Table79[[#This Row],[Pair]])-LEN(SUBSTITUTE(Table79[[#This Row],[Pair]],"/","")))-1</f>
        <v>0</v>
      </c>
      <c r="G77" s="6">
        <v>2</v>
      </c>
    </row>
    <row r="78" spans="1:7" x14ac:dyDescent="0.3">
      <c r="A78" s="6" t="s">
        <v>2062</v>
      </c>
      <c r="B78" s="6" t="s">
        <v>428</v>
      </c>
      <c r="C78" s="6"/>
      <c r="D78" s="6"/>
      <c r="E78" s="6">
        <v>5</v>
      </c>
      <c r="F78" s="6">
        <f>Table79[[#This Row],[Total Athletes]]-(LEN(Table79[[#This Row],[Pair]])-LEN(SUBSTITUTE(Table79[[#This Row],[Pair]],"/","")))-1</f>
        <v>1</v>
      </c>
      <c r="G78" s="6">
        <v>2</v>
      </c>
    </row>
    <row r="79" spans="1:7" x14ac:dyDescent="0.3">
      <c r="A79" s="6"/>
      <c r="B79" s="6" t="s">
        <v>328</v>
      </c>
      <c r="C79" s="6"/>
      <c r="D79" s="6"/>
      <c r="E79" s="6">
        <v>-1</v>
      </c>
      <c r="F79" s="6">
        <f>Table79[[#This Row],[Total Athletes]]-(LEN(Table79[[#This Row],[Pair]])-LEN(SUBSTITUTE(Table79[[#This Row],[Pair]],"/","")))-1</f>
        <v>-1</v>
      </c>
      <c r="G79" s="6"/>
    </row>
    <row r="80" spans="1:7" x14ac:dyDescent="0.3">
      <c r="A80" s="6" t="s">
        <v>3827</v>
      </c>
      <c r="B80" s="6" t="s">
        <v>340</v>
      </c>
      <c r="C80" s="6"/>
      <c r="D80" s="6"/>
      <c r="E80" s="6">
        <v>9</v>
      </c>
      <c r="F80" s="6">
        <f>Table79[[#This Row],[Total Athletes]]-(LEN(Table79[[#This Row],[Pair]])-LEN(SUBSTITUTE(Table79[[#This Row],[Pair]],"/","")))-1</f>
        <v>0</v>
      </c>
      <c r="G80" s="6">
        <v>2</v>
      </c>
    </row>
    <row r="81" spans="1:7" x14ac:dyDescent="0.3">
      <c r="A81" s="6" t="s">
        <v>3106</v>
      </c>
      <c r="B81" s="6" t="s">
        <v>336</v>
      </c>
      <c r="C81" s="6"/>
      <c r="D81" s="6"/>
      <c r="E81" s="6">
        <v>9</v>
      </c>
      <c r="F81" s="6">
        <f>Table79[[#This Row],[Total Athletes]]-(LEN(Table79[[#This Row],[Pair]])-LEN(SUBSTITUTE(Table79[[#This Row],[Pair]],"/","")))-1</f>
        <v>0</v>
      </c>
      <c r="G81" s="6">
        <v>2</v>
      </c>
    </row>
  </sheetData>
  <pageMargins left="0.7" right="0.7" top="0.75" bottom="0.75" header="0.3" footer="0.3"/>
  <tableParts count="1">
    <tablePart r:id="rId1"/>
  </tablePart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0D9A64-AB44-4388-B17D-BCAEA86ED7C0}">
  <dimension ref="A1:C17"/>
  <sheetViews>
    <sheetView workbookViewId="0">
      <selection activeCell="B18" sqref="B18"/>
    </sheetView>
  </sheetViews>
  <sheetFormatPr defaultRowHeight="14.4" x14ac:dyDescent="0.3"/>
  <cols>
    <col min="1" max="1" width="18.5546875" bestFit="1" customWidth="1"/>
    <col min="2" max="2" width="12.21875" bestFit="1" customWidth="1"/>
    <col min="3" max="3" width="14.109375" bestFit="1" customWidth="1"/>
  </cols>
  <sheetData>
    <row r="1" spans="1:3" x14ac:dyDescent="0.3">
      <c r="A1" t="s">
        <v>832</v>
      </c>
      <c r="B1" t="s">
        <v>1</v>
      </c>
      <c r="C1" t="s">
        <v>899</v>
      </c>
    </row>
    <row r="2" spans="1:3" x14ac:dyDescent="0.3">
      <c r="A2" s="6"/>
      <c r="B2" s="6" t="s">
        <v>328</v>
      </c>
      <c r="C2" s="6">
        <v>-1</v>
      </c>
    </row>
    <row r="3" spans="1:3" x14ac:dyDescent="0.3">
      <c r="A3" s="6" t="s">
        <v>1757</v>
      </c>
      <c r="B3" s="6" t="s">
        <v>428</v>
      </c>
      <c r="C3" s="6">
        <v>16</v>
      </c>
    </row>
    <row r="4" spans="1:3" x14ac:dyDescent="0.3">
      <c r="A4" s="6"/>
      <c r="B4" s="6" t="s">
        <v>346</v>
      </c>
      <c r="C4" s="6">
        <v>-1</v>
      </c>
    </row>
    <row r="5" spans="1:3" x14ac:dyDescent="0.3">
      <c r="A5" s="6" t="s">
        <v>1806</v>
      </c>
      <c r="B5" s="6" t="s">
        <v>402</v>
      </c>
      <c r="C5" s="6">
        <v>4</v>
      </c>
    </row>
    <row r="6" spans="1:3" x14ac:dyDescent="0.3">
      <c r="A6" s="6"/>
      <c r="B6" s="6" t="s">
        <v>358</v>
      </c>
      <c r="C6" s="6">
        <v>-1</v>
      </c>
    </row>
    <row r="7" spans="1:3" x14ac:dyDescent="0.3">
      <c r="A7" s="6"/>
      <c r="B7" s="6" t="s">
        <v>328</v>
      </c>
      <c r="C7" s="6">
        <v>-1</v>
      </c>
    </row>
    <row r="8" spans="1:3" x14ac:dyDescent="0.3">
      <c r="A8" s="6"/>
      <c r="B8" s="6" t="s">
        <v>474</v>
      </c>
      <c r="C8" s="6">
        <v>-1</v>
      </c>
    </row>
    <row r="9" spans="1:3" x14ac:dyDescent="0.3">
      <c r="A9" s="6" t="s">
        <v>3855</v>
      </c>
      <c r="B9" s="6" t="s">
        <v>344</v>
      </c>
      <c r="C9" s="6">
        <v>6</v>
      </c>
    </row>
    <row r="10" spans="1:3" x14ac:dyDescent="0.3">
      <c r="A10" s="6" t="s">
        <v>2715</v>
      </c>
      <c r="B10" s="6" t="s">
        <v>518</v>
      </c>
      <c r="C10" s="6">
        <v>1</v>
      </c>
    </row>
    <row r="11" spans="1:3" x14ac:dyDescent="0.3">
      <c r="A11" s="6"/>
      <c r="B11" s="6" t="s">
        <v>336</v>
      </c>
      <c r="C11" s="6">
        <v>-1</v>
      </c>
    </row>
    <row r="12" spans="1:3" x14ac:dyDescent="0.3">
      <c r="A12" s="6"/>
      <c r="B12" s="6" t="s">
        <v>332</v>
      </c>
      <c r="C12" s="6">
        <v>-1</v>
      </c>
    </row>
    <row r="13" spans="1:3" x14ac:dyDescent="0.3">
      <c r="A13" s="6"/>
      <c r="B13" s="6" t="s">
        <v>330</v>
      </c>
      <c r="C13" s="6">
        <v>-1</v>
      </c>
    </row>
    <row r="14" spans="1:3" x14ac:dyDescent="0.3">
      <c r="A14" s="6"/>
      <c r="B14" s="6" t="s">
        <v>362</v>
      </c>
      <c r="C14" s="6">
        <v>-1</v>
      </c>
    </row>
    <row r="15" spans="1:3" x14ac:dyDescent="0.3">
      <c r="A15" s="6"/>
      <c r="B15" s="6" t="s">
        <v>604</v>
      </c>
      <c r="C15" s="6">
        <v>-1</v>
      </c>
    </row>
    <row r="16" spans="1:3" x14ac:dyDescent="0.3">
      <c r="A16" s="6"/>
      <c r="B16" s="6" t="s">
        <v>334</v>
      </c>
      <c r="C16" s="6">
        <v>-1</v>
      </c>
    </row>
    <row r="17" spans="1:3" x14ac:dyDescent="0.3">
      <c r="A17" s="6"/>
      <c r="B17" s="6" t="s">
        <v>354</v>
      </c>
      <c r="C17" s="6">
        <v>-1</v>
      </c>
    </row>
  </sheetData>
  <pageMargins left="0.7" right="0.7" top="0.75" bottom="0.75" header="0.3" footer="0.3"/>
  <tableParts count="1">
    <tablePart r:id="rId1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06C07-4DC8-4E23-8573-B41B643DEEC9}">
  <dimension ref="A1:C17"/>
  <sheetViews>
    <sheetView topLeftCell="A10" workbookViewId="0">
      <selection activeCell="B18" sqref="B18"/>
    </sheetView>
  </sheetViews>
  <sheetFormatPr defaultRowHeight="14.4" x14ac:dyDescent="0.3"/>
  <cols>
    <col min="1" max="1" width="21" bestFit="1" customWidth="1"/>
    <col min="2" max="2" width="12.21875" bestFit="1" customWidth="1"/>
    <col min="3" max="3" width="14.109375" bestFit="1" customWidth="1"/>
  </cols>
  <sheetData>
    <row r="1" spans="1:3" x14ac:dyDescent="0.3">
      <c r="A1" t="s">
        <v>832</v>
      </c>
      <c r="B1" t="s">
        <v>1</v>
      </c>
      <c r="C1" t="s">
        <v>899</v>
      </c>
    </row>
    <row r="2" spans="1:3" x14ac:dyDescent="0.3">
      <c r="A2" s="6" t="s">
        <v>4039</v>
      </c>
      <c r="B2" s="6" t="s">
        <v>402</v>
      </c>
      <c r="C2" s="6">
        <v>1</v>
      </c>
    </row>
    <row r="3" spans="1:3" x14ac:dyDescent="0.3">
      <c r="A3" s="6"/>
      <c r="B3" s="6" t="s">
        <v>328</v>
      </c>
      <c r="C3" s="6">
        <v>-1</v>
      </c>
    </row>
    <row r="4" spans="1:3" x14ac:dyDescent="0.3">
      <c r="A4" s="6" t="s">
        <v>3029</v>
      </c>
      <c r="B4" s="6" t="s">
        <v>332</v>
      </c>
      <c r="C4" s="6">
        <v>13</v>
      </c>
    </row>
    <row r="5" spans="1:3" x14ac:dyDescent="0.3">
      <c r="A5" s="6"/>
      <c r="B5" s="6" t="s">
        <v>384</v>
      </c>
      <c r="C5" s="6">
        <v>-1</v>
      </c>
    </row>
    <row r="6" spans="1:3" x14ac:dyDescent="0.3">
      <c r="A6" s="6"/>
      <c r="B6" s="6" t="s">
        <v>336</v>
      </c>
      <c r="C6" s="6">
        <v>-1</v>
      </c>
    </row>
    <row r="7" spans="1:3" x14ac:dyDescent="0.3">
      <c r="A7" s="6"/>
      <c r="B7" s="6" t="s">
        <v>328</v>
      </c>
      <c r="C7" s="6">
        <v>-1</v>
      </c>
    </row>
    <row r="8" spans="1:3" x14ac:dyDescent="0.3">
      <c r="A8" s="6"/>
      <c r="B8" s="6" t="s">
        <v>402</v>
      </c>
      <c r="C8" s="6">
        <v>-1</v>
      </c>
    </row>
    <row r="9" spans="1:3" x14ac:dyDescent="0.3">
      <c r="A9" s="6" t="s">
        <v>4062</v>
      </c>
      <c r="B9" s="6" t="s">
        <v>428</v>
      </c>
      <c r="C9" s="6">
        <v>6</v>
      </c>
    </row>
    <row r="10" spans="1:3" x14ac:dyDescent="0.3">
      <c r="A10" s="6"/>
      <c r="B10" s="6" t="s">
        <v>518</v>
      </c>
      <c r="C10" s="6">
        <v>-1</v>
      </c>
    </row>
    <row r="11" spans="1:3" x14ac:dyDescent="0.3">
      <c r="A11" s="6" t="s">
        <v>2216</v>
      </c>
      <c r="B11" s="6" t="s">
        <v>344</v>
      </c>
      <c r="C11" s="6">
        <v>12</v>
      </c>
    </row>
    <row r="12" spans="1:3" x14ac:dyDescent="0.3">
      <c r="A12" s="6" t="s">
        <v>4149</v>
      </c>
      <c r="B12" s="6" t="s">
        <v>474</v>
      </c>
      <c r="C12" s="6">
        <v>7</v>
      </c>
    </row>
    <row r="13" spans="1:3" x14ac:dyDescent="0.3">
      <c r="A13" s="6" t="s">
        <v>4014</v>
      </c>
      <c r="B13" s="6" t="s">
        <v>330</v>
      </c>
      <c r="C13" s="6">
        <v>9</v>
      </c>
    </row>
    <row r="14" spans="1:3" x14ac:dyDescent="0.3">
      <c r="A14" s="6"/>
      <c r="B14" s="6" t="s">
        <v>456</v>
      </c>
      <c r="C14" s="6">
        <v>-1</v>
      </c>
    </row>
    <row r="15" spans="1:3" x14ac:dyDescent="0.3">
      <c r="A15" s="6"/>
      <c r="B15" s="6" t="s">
        <v>674</v>
      </c>
      <c r="C15" s="6">
        <v>-1</v>
      </c>
    </row>
    <row r="16" spans="1:3" x14ac:dyDescent="0.3">
      <c r="A16" s="6"/>
      <c r="B16" s="6" t="s">
        <v>580</v>
      </c>
      <c r="C16" s="6">
        <v>-1</v>
      </c>
    </row>
    <row r="17" spans="1:3" x14ac:dyDescent="0.3">
      <c r="A17" s="6"/>
      <c r="B17" s="6" t="s">
        <v>326</v>
      </c>
      <c r="C17" s="6">
        <v>-1</v>
      </c>
    </row>
  </sheetData>
  <pageMargins left="0.7" right="0.7" top="0.75" bottom="0.75" header="0.3" footer="0.3"/>
  <tableParts count="1">
    <tablePart r:id="rId1"/>
  </tablePart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1F202-C706-4BB7-937F-09154EF23E69}">
  <dimension ref="A1:C56"/>
  <sheetViews>
    <sheetView topLeftCell="A52" workbookViewId="0">
      <selection activeCell="B57" sqref="B57"/>
    </sheetView>
  </sheetViews>
  <sheetFormatPr defaultRowHeight="14.4" x14ac:dyDescent="0.3"/>
  <cols>
    <col min="1" max="1" width="22.88671875" bestFit="1" customWidth="1"/>
    <col min="2" max="2" width="14" bestFit="1" customWidth="1"/>
    <col min="3" max="3" width="14.109375" bestFit="1" customWidth="1"/>
  </cols>
  <sheetData>
    <row r="1" spans="1:3" x14ac:dyDescent="0.3">
      <c r="A1" t="s">
        <v>832</v>
      </c>
      <c r="B1" t="s">
        <v>1</v>
      </c>
      <c r="C1" t="s">
        <v>899</v>
      </c>
    </row>
    <row r="2" spans="1:3" x14ac:dyDescent="0.3">
      <c r="A2" s="6"/>
      <c r="B2" s="6" t="s">
        <v>344</v>
      </c>
      <c r="C2" s="6">
        <v>-1</v>
      </c>
    </row>
    <row r="3" spans="1:3" x14ac:dyDescent="0.3">
      <c r="A3" s="6"/>
      <c r="B3" s="6" t="s">
        <v>344</v>
      </c>
      <c r="C3" s="6">
        <v>-1</v>
      </c>
    </row>
    <row r="4" spans="1:3" x14ac:dyDescent="0.3">
      <c r="A4" s="6" t="s">
        <v>1523</v>
      </c>
      <c r="B4" s="6" t="s">
        <v>402</v>
      </c>
      <c r="C4" s="6">
        <v>1</v>
      </c>
    </row>
    <row r="5" spans="1:3" x14ac:dyDescent="0.3">
      <c r="A5" s="6" t="s">
        <v>4629</v>
      </c>
      <c r="B5" s="6" t="s">
        <v>402</v>
      </c>
      <c r="C5" s="6">
        <v>1001</v>
      </c>
    </row>
    <row r="6" spans="1:3" x14ac:dyDescent="0.3">
      <c r="A6" s="6"/>
      <c r="B6" s="6" t="s">
        <v>334</v>
      </c>
      <c r="C6" s="6">
        <v>-1</v>
      </c>
    </row>
    <row r="7" spans="1:3" x14ac:dyDescent="0.3">
      <c r="A7" s="6" t="s">
        <v>3436</v>
      </c>
      <c r="B7" s="6" t="s">
        <v>334</v>
      </c>
      <c r="C7" s="6">
        <v>18</v>
      </c>
    </row>
    <row r="8" spans="1:3" x14ac:dyDescent="0.3">
      <c r="A8" s="6"/>
      <c r="B8" s="6" t="s">
        <v>354</v>
      </c>
      <c r="C8" s="6">
        <v>-1</v>
      </c>
    </row>
    <row r="9" spans="1:3" x14ac:dyDescent="0.3">
      <c r="A9" s="6"/>
      <c r="B9" s="6" t="s">
        <v>354</v>
      </c>
      <c r="C9" s="6">
        <v>-1</v>
      </c>
    </row>
    <row r="10" spans="1:3" x14ac:dyDescent="0.3">
      <c r="A10" s="6"/>
      <c r="B10" s="6" t="s">
        <v>356</v>
      </c>
      <c r="C10" s="6">
        <v>-1</v>
      </c>
    </row>
    <row r="11" spans="1:3" x14ac:dyDescent="0.3">
      <c r="A11" s="6"/>
      <c r="B11" s="6" t="s">
        <v>356</v>
      </c>
      <c r="C11" s="6">
        <v>-1</v>
      </c>
    </row>
    <row r="12" spans="1:3" x14ac:dyDescent="0.3">
      <c r="A12" s="6"/>
      <c r="B12" s="6" t="s">
        <v>474</v>
      </c>
      <c r="C12" s="6">
        <v>-1</v>
      </c>
    </row>
    <row r="13" spans="1:3" x14ac:dyDescent="0.3">
      <c r="A13" s="6"/>
      <c r="B13" s="6" t="s">
        <v>474</v>
      </c>
      <c r="C13" s="6">
        <v>-1</v>
      </c>
    </row>
    <row r="14" spans="1:3" x14ac:dyDescent="0.3">
      <c r="A14" s="6"/>
      <c r="B14" s="6" t="s">
        <v>346</v>
      </c>
      <c r="C14" s="6">
        <v>-1</v>
      </c>
    </row>
    <row r="15" spans="1:3" x14ac:dyDescent="0.3">
      <c r="A15" s="6"/>
      <c r="B15" s="6" t="s">
        <v>346</v>
      </c>
      <c r="C15" s="6">
        <v>-1</v>
      </c>
    </row>
    <row r="16" spans="1:3" x14ac:dyDescent="0.3">
      <c r="A16" s="6"/>
      <c r="B16" s="6" t="s">
        <v>444</v>
      </c>
      <c r="C16" s="6">
        <v>-1</v>
      </c>
    </row>
    <row r="17" spans="1:3" x14ac:dyDescent="0.3">
      <c r="A17" s="6"/>
      <c r="B17" s="6" t="s">
        <v>444</v>
      </c>
      <c r="C17" s="6">
        <v>-1</v>
      </c>
    </row>
    <row r="18" spans="1:3" x14ac:dyDescent="0.3">
      <c r="A18" s="6"/>
      <c r="B18" s="6" t="s">
        <v>332</v>
      </c>
      <c r="C18" s="6">
        <v>-1</v>
      </c>
    </row>
    <row r="19" spans="1:3" x14ac:dyDescent="0.3">
      <c r="A19" s="6"/>
      <c r="B19" s="6" t="s">
        <v>332</v>
      </c>
      <c r="C19" s="6">
        <v>-1</v>
      </c>
    </row>
    <row r="20" spans="1:3" x14ac:dyDescent="0.3">
      <c r="A20" s="6" t="s">
        <v>3655</v>
      </c>
      <c r="B20" s="6" t="s">
        <v>364</v>
      </c>
      <c r="C20" s="6">
        <v>12</v>
      </c>
    </row>
    <row r="21" spans="1:3" x14ac:dyDescent="0.3">
      <c r="A21" s="6" t="s">
        <v>3667</v>
      </c>
      <c r="B21" s="6" t="s">
        <v>364</v>
      </c>
      <c r="C21" s="6">
        <v>17</v>
      </c>
    </row>
    <row r="22" spans="1:3" x14ac:dyDescent="0.3">
      <c r="A22" s="6"/>
      <c r="B22" s="6" t="s">
        <v>412</v>
      </c>
      <c r="C22" s="6">
        <v>-1</v>
      </c>
    </row>
    <row r="23" spans="1:3" x14ac:dyDescent="0.3">
      <c r="A23" s="6"/>
      <c r="B23" s="6" t="s">
        <v>412</v>
      </c>
      <c r="C23" s="6">
        <v>-1</v>
      </c>
    </row>
    <row r="24" spans="1:3" x14ac:dyDescent="0.3">
      <c r="A24" s="6"/>
      <c r="B24" s="6" t="s">
        <v>406</v>
      </c>
      <c r="C24" s="6">
        <v>-1</v>
      </c>
    </row>
    <row r="25" spans="1:3" x14ac:dyDescent="0.3">
      <c r="A25" s="6"/>
      <c r="B25" s="6" t="s">
        <v>520</v>
      </c>
      <c r="C25" s="6">
        <v>-1</v>
      </c>
    </row>
    <row r="26" spans="1:3" x14ac:dyDescent="0.3">
      <c r="A26" s="6"/>
      <c r="B26" s="6" t="s">
        <v>336</v>
      </c>
      <c r="C26" s="6">
        <v>-1</v>
      </c>
    </row>
    <row r="27" spans="1:3" x14ac:dyDescent="0.3">
      <c r="A27" s="6"/>
      <c r="B27" s="6" t="s">
        <v>344</v>
      </c>
      <c r="C27" s="6">
        <v>-1</v>
      </c>
    </row>
    <row r="28" spans="1:3" x14ac:dyDescent="0.3">
      <c r="A28" s="6" t="s">
        <v>2212</v>
      </c>
      <c r="B28" s="6" t="s">
        <v>330</v>
      </c>
      <c r="C28" s="6">
        <v>32</v>
      </c>
    </row>
    <row r="29" spans="1:3" x14ac:dyDescent="0.3">
      <c r="A29" s="6" t="s">
        <v>3066</v>
      </c>
      <c r="B29" s="6" t="s">
        <v>336</v>
      </c>
      <c r="C29" s="6">
        <v>10</v>
      </c>
    </row>
    <row r="30" spans="1:3" x14ac:dyDescent="0.3">
      <c r="A30" s="6" t="s">
        <v>4069</v>
      </c>
      <c r="B30" s="6" t="s">
        <v>428</v>
      </c>
      <c r="C30" s="6">
        <v>41</v>
      </c>
    </row>
    <row r="31" spans="1:3" x14ac:dyDescent="0.3">
      <c r="A31" s="6"/>
      <c r="B31" s="6" t="s">
        <v>334</v>
      </c>
      <c r="C31" s="6">
        <v>-1</v>
      </c>
    </row>
    <row r="32" spans="1:3" x14ac:dyDescent="0.3">
      <c r="A32" s="6"/>
      <c r="B32" s="6" t="s">
        <v>384</v>
      </c>
      <c r="C32" s="6">
        <v>-1</v>
      </c>
    </row>
    <row r="33" spans="1:3" x14ac:dyDescent="0.3">
      <c r="A33" s="6" t="s">
        <v>2878</v>
      </c>
      <c r="B33" s="6" t="s">
        <v>330</v>
      </c>
      <c r="C33" s="6">
        <v>36</v>
      </c>
    </row>
    <row r="34" spans="1:3" x14ac:dyDescent="0.3">
      <c r="A34" s="6"/>
      <c r="B34" s="6" t="s">
        <v>384</v>
      </c>
      <c r="C34" s="6">
        <v>-1</v>
      </c>
    </row>
    <row r="35" spans="1:3" x14ac:dyDescent="0.3">
      <c r="A35" s="6"/>
      <c r="B35" s="6" t="s">
        <v>520</v>
      </c>
      <c r="C35" s="6">
        <v>-1</v>
      </c>
    </row>
    <row r="36" spans="1:3" x14ac:dyDescent="0.3">
      <c r="A36" s="6" t="s">
        <v>1621</v>
      </c>
      <c r="B36" s="6" t="s">
        <v>406</v>
      </c>
      <c r="C36" s="6">
        <v>16</v>
      </c>
    </row>
    <row r="37" spans="1:3" x14ac:dyDescent="0.3">
      <c r="A37" s="6"/>
      <c r="B37" s="6" t="s">
        <v>330</v>
      </c>
      <c r="C37" s="6">
        <v>-1</v>
      </c>
    </row>
    <row r="38" spans="1:3" x14ac:dyDescent="0.3">
      <c r="A38" s="6"/>
      <c r="B38" s="6" t="s">
        <v>378</v>
      </c>
      <c r="C38" s="6">
        <v>-1</v>
      </c>
    </row>
    <row r="39" spans="1:3" x14ac:dyDescent="0.3">
      <c r="A39" s="6" t="s">
        <v>1250</v>
      </c>
      <c r="B39" s="6" t="s">
        <v>428</v>
      </c>
      <c r="C39" s="6">
        <v>15</v>
      </c>
    </row>
    <row r="40" spans="1:3" x14ac:dyDescent="0.3">
      <c r="A40" s="6" t="s">
        <v>3954</v>
      </c>
      <c r="B40" s="6" t="s">
        <v>366</v>
      </c>
      <c r="C40" s="6">
        <v>28</v>
      </c>
    </row>
    <row r="41" spans="1:3" x14ac:dyDescent="0.3">
      <c r="A41" s="6" t="s">
        <v>3316</v>
      </c>
      <c r="B41" s="6" t="s">
        <v>598</v>
      </c>
      <c r="C41" s="6">
        <v>37</v>
      </c>
    </row>
    <row r="42" spans="1:3" x14ac:dyDescent="0.3">
      <c r="A42" s="6"/>
      <c r="B42" s="6" t="s">
        <v>350</v>
      </c>
      <c r="C42" s="6">
        <v>-1</v>
      </c>
    </row>
    <row r="43" spans="1:3" x14ac:dyDescent="0.3">
      <c r="A43" s="6"/>
      <c r="B43" s="6" t="s">
        <v>456</v>
      </c>
      <c r="C43" s="6">
        <v>-1</v>
      </c>
    </row>
    <row r="44" spans="1:3" x14ac:dyDescent="0.3">
      <c r="A44" s="6"/>
      <c r="B44" s="6" t="s">
        <v>422</v>
      </c>
      <c r="C44" s="6">
        <v>-1</v>
      </c>
    </row>
    <row r="45" spans="1:3" x14ac:dyDescent="0.3">
      <c r="A45" s="6" t="s">
        <v>3863</v>
      </c>
      <c r="B45" s="6" t="s">
        <v>350</v>
      </c>
      <c r="C45" s="6">
        <v>39</v>
      </c>
    </row>
    <row r="46" spans="1:3" x14ac:dyDescent="0.3">
      <c r="A46" s="6"/>
      <c r="B46" s="6" t="s">
        <v>358</v>
      </c>
      <c r="C46" s="6">
        <v>-1</v>
      </c>
    </row>
    <row r="47" spans="1:3" x14ac:dyDescent="0.3">
      <c r="A47" s="6"/>
      <c r="B47" s="6" t="s">
        <v>414</v>
      </c>
      <c r="C47" s="6">
        <v>-1</v>
      </c>
    </row>
    <row r="48" spans="1:3" x14ac:dyDescent="0.3">
      <c r="A48" s="6"/>
      <c r="B48" s="6" t="s">
        <v>422</v>
      </c>
      <c r="C48" s="6">
        <v>-1</v>
      </c>
    </row>
    <row r="49" spans="1:3" x14ac:dyDescent="0.3">
      <c r="A49" s="6"/>
      <c r="B49" s="6" t="s">
        <v>358</v>
      </c>
      <c r="C49" s="6">
        <v>-1</v>
      </c>
    </row>
    <row r="50" spans="1:3" x14ac:dyDescent="0.3">
      <c r="A50" s="6"/>
      <c r="B50" s="6" t="s">
        <v>636</v>
      </c>
      <c r="C50" s="6">
        <v>-1</v>
      </c>
    </row>
    <row r="51" spans="1:3" x14ac:dyDescent="0.3">
      <c r="A51" s="6"/>
      <c r="B51" s="6" t="s">
        <v>516</v>
      </c>
      <c r="C51" s="6">
        <v>-1</v>
      </c>
    </row>
    <row r="52" spans="1:3" x14ac:dyDescent="0.3">
      <c r="A52" s="6"/>
      <c r="B52" s="6" t="s">
        <v>592</v>
      </c>
      <c r="C52" s="6">
        <v>-1</v>
      </c>
    </row>
    <row r="53" spans="1:3" x14ac:dyDescent="0.3">
      <c r="A53" s="6" t="s">
        <v>2214</v>
      </c>
      <c r="B53" s="6" t="s">
        <v>348</v>
      </c>
      <c r="C53" s="6">
        <v>50</v>
      </c>
    </row>
    <row r="54" spans="1:3" x14ac:dyDescent="0.3">
      <c r="A54" s="6" t="s">
        <v>3960</v>
      </c>
      <c r="B54" s="6" t="s">
        <v>366</v>
      </c>
      <c r="C54" s="6">
        <v>38</v>
      </c>
    </row>
    <row r="55" spans="1:3" x14ac:dyDescent="0.3">
      <c r="A55" s="6" t="s">
        <v>4101</v>
      </c>
      <c r="B55" s="6" t="s">
        <v>526</v>
      </c>
      <c r="C55" s="6">
        <v>48</v>
      </c>
    </row>
    <row r="56" spans="1:3" x14ac:dyDescent="0.3">
      <c r="A56" s="6"/>
      <c r="B56" s="6" t="s">
        <v>714</v>
      </c>
      <c r="C56" s="6">
        <v>-1</v>
      </c>
    </row>
  </sheetData>
  <pageMargins left="0.7" right="0.7" top="0.75" bottom="0.75" header="0.3" footer="0.3"/>
  <tableParts count="1">
    <tablePart r:id="rId1"/>
  </tablePart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AFA2E-C7BD-4E08-A90B-B1AA8216ABDD}">
  <dimension ref="A1:C56"/>
  <sheetViews>
    <sheetView topLeftCell="A46" workbookViewId="0">
      <selection activeCell="B57" sqref="B57"/>
    </sheetView>
  </sheetViews>
  <sheetFormatPr defaultRowHeight="14.4" x14ac:dyDescent="0.3"/>
  <cols>
    <col min="1" max="1" width="23.109375" bestFit="1" customWidth="1"/>
    <col min="2" max="2" width="14" bestFit="1" customWidth="1"/>
    <col min="3" max="3" width="14.109375" bestFit="1" customWidth="1"/>
  </cols>
  <sheetData>
    <row r="1" spans="1:3" x14ac:dyDescent="0.3">
      <c r="A1" t="s">
        <v>832</v>
      </c>
      <c r="B1" t="s">
        <v>1</v>
      </c>
      <c r="C1" t="s">
        <v>899</v>
      </c>
    </row>
    <row r="2" spans="1:3" x14ac:dyDescent="0.3">
      <c r="A2" s="6" t="s">
        <v>2325</v>
      </c>
      <c r="B2" s="6" t="s">
        <v>344</v>
      </c>
      <c r="C2" s="6">
        <v>1</v>
      </c>
    </row>
    <row r="3" spans="1:3" x14ac:dyDescent="0.3">
      <c r="A3" s="6"/>
      <c r="B3" s="6" t="s">
        <v>344</v>
      </c>
      <c r="C3" s="6">
        <v>-1</v>
      </c>
    </row>
    <row r="4" spans="1:3" x14ac:dyDescent="0.3">
      <c r="A4" s="6" t="s">
        <v>4131</v>
      </c>
      <c r="B4" s="6" t="s">
        <v>402</v>
      </c>
      <c r="C4" s="6">
        <v>3</v>
      </c>
    </row>
    <row r="5" spans="1:3" x14ac:dyDescent="0.3">
      <c r="A5" s="6"/>
      <c r="B5" s="6" t="s">
        <v>402</v>
      </c>
      <c r="C5" s="6">
        <v>-1</v>
      </c>
    </row>
    <row r="6" spans="1:3" x14ac:dyDescent="0.3">
      <c r="A6" s="6"/>
      <c r="B6" s="6" t="s">
        <v>334</v>
      </c>
      <c r="C6" s="6">
        <v>-1</v>
      </c>
    </row>
    <row r="7" spans="1:3" x14ac:dyDescent="0.3">
      <c r="A7" s="6"/>
      <c r="B7" s="6" t="s">
        <v>334</v>
      </c>
      <c r="C7" s="6">
        <v>-1</v>
      </c>
    </row>
    <row r="8" spans="1:3" x14ac:dyDescent="0.3">
      <c r="A8" s="6" t="s">
        <v>3642</v>
      </c>
      <c r="B8" s="6" t="s">
        <v>354</v>
      </c>
      <c r="C8" s="6">
        <v>21</v>
      </c>
    </row>
    <row r="9" spans="1:3" x14ac:dyDescent="0.3">
      <c r="A9" s="6" t="s">
        <v>2464</v>
      </c>
      <c r="B9" s="6" t="s">
        <v>354</v>
      </c>
      <c r="C9" s="6">
        <v>42</v>
      </c>
    </row>
    <row r="10" spans="1:3" x14ac:dyDescent="0.3">
      <c r="A10" s="6"/>
      <c r="B10" s="6" t="s">
        <v>356</v>
      </c>
      <c r="C10" s="6">
        <v>-1</v>
      </c>
    </row>
    <row r="11" spans="1:3" x14ac:dyDescent="0.3">
      <c r="A11" s="6" t="s">
        <v>2292</v>
      </c>
      <c r="B11" s="6" t="s">
        <v>356</v>
      </c>
      <c r="C11" s="6">
        <v>39</v>
      </c>
    </row>
    <row r="12" spans="1:3" x14ac:dyDescent="0.3">
      <c r="A12" s="6"/>
      <c r="B12" s="6" t="s">
        <v>474</v>
      </c>
      <c r="C12" s="6">
        <v>-1</v>
      </c>
    </row>
    <row r="13" spans="1:3" x14ac:dyDescent="0.3">
      <c r="A13" s="6"/>
      <c r="B13" s="6" t="s">
        <v>474</v>
      </c>
      <c r="C13" s="6">
        <v>-1</v>
      </c>
    </row>
    <row r="14" spans="1:3" x14ac:dyDescent="0.3">
      <c r="A14" s="6"/>
      <c r="B14" s="6" t="s">
        <v>346</v>
      </c>
      <c r="C14" s="6">
        <v>-1</v>
      </c>
    </row>
    <row r="15" spans="1:3" x14ac:dyDescent="0.3">
      <c r="A15" s="6"/>
      <c r="B15" s="6" t="s">
        <v>346</v>
      </c>
      <c r="C15" s="6">
        <v>-1</v>
      </c>
    </row>
    <row r="16" spans="1:3" x14ac:dyDescent="0.3">
      <c r="A16" s="6" t="s">
        <v>1387</v>
      </c>
      <c r="B16" s="6" t="s">
        <v>444</v>
      </c>
      <c r="C16" s="6">
        <v>43</v>
      </c>
    </row>
    <row r="17" spans="1:3" x14ac:dyDescent="0.3">
      <c r="A17" s="6"/>
      <c r="B17" s="6" t="s">
        <v>444</v>
      </c>
      <c r="C17" s="6">
        <v>-1</v>
      </c>
    </row>
    <row r="18" spans="1:3" x14ac:dyDescent="0.3">
      <c r="A18" s="6"/>
      <c r="B18" s="6" t="s">
        <v>332</v>
      </c>
      <c r="C18" s="6">
        <v>-1</v>
      </c>
    </row>
    <row r="19" spans="1:3" x14ac:dyDescent="0.3">
      <c r="A19" s="6" t="s">
        <v>2067</v>
      </c>
      <c r="B19" s="6" t="s">
        <v>332</v>
      </c>
      <c r="C19" s="6">
        <v>10</v>
      </c>
    </row>
    <row r="20" spans="1:3" x14ac:dyDescent="0.3">
      <c r="A20" s="6"/>
      <c r="B20" s="6" t="s">
        <v>364</v>
      </c>
      <c r="C20" s="6">
        <v>-1</v>
      </c>
    </row>
    <row r="21" spans="1:3" x14ac:dyDescent="0.3">
      <c r="A21" s="6"/>
      <c r="B21" s="6" t="s">
        <v>364</v>
      </c>
      <c r="C21" s="6">
        <v>-1</v>
      </c>
    </row>
    <row r="22" spans="1:3" x14ac:dyDescent="0.3">
      <c r="A22" s="6" t="s">
        <v>3476</v>
      </c>
      <c r="B22" s="6" t="s">
        <v>412</v>
      </c>
      <c r="C22" s="6">
        <v>14</v>
      </c>
    </row>
    <row r="23" spans="1:3" x14ac:dyDescent="0.3">
      <c r="A23" s="6" t="s">
        <v>2946</v>
      </c>
      <c r="B23" s="6" t="s">
        <v>412</v>
      </c>
      <c r="C23" s="6">
        <v>7</v>
      </c>
    </row>
    <row r="24" spans="1:3" x14ac:dyDescent="0.3">
      <c r="A24" s="6" t="s">
        <v>1407</v>
      </c>
      <c r="B24" s="6" t="s">
        <v>402</v>
      </c>
      <c r="C24" s="6">
        <v>15</v>
      </c>
    </row>
    <row r="25" spans="1:3" x14ac:dyDescent="0.3">
      <c r="A25" s="6"/>
      <c r="B25" s="6" t="s">
        <v>622</v>
      </c>
      <c r="C25" s="6">
        <v>-1</v>
      </c>
    </row>
    <row r="26" spans="1:3" x14ac:dyDescent="0.3">
      <c r="A26" s="6"/>
      <c r="B26" s="6" t="s">
        <v>334</v>
      </c>
      <c r="C26" s="6">
        <v>-1</v>
      </c>
    </row>
    <row r="27" spans="1:3" x14ac:dyDescent="0.3">
      <c r="A27" s="6"/>
      <c r="B27" s="6" t="s">
        <v>344</v>
      </c>
      <c r="C27" s="6">
        <v>-1</v>
      </c>
    </row>
    <row r="28" spans="1:3" x14ac:dyDescent="0.3">
      <c r="A28" s="6" t="s">
        <v>4325</v>
      </c>
      <c r="B28" s="6" t="s">
        <v>332</v>
      </c>
      <c r="C28" s="6">
        <v>49</v>
      </c>
    </row>
    <row r="29" spans="1:3" x14ac:dyDescent="0.3">
      <c r="A29" s="6"/>
      <c r="B29" s="6" t="s">
        <v>350</v>
      </c>
      <c r="C29" s="6">
        <v>-1</v>
      </c>
    </row>
    <row r="30" spans="1:3" x14ac:dyDescent="0.3">
      <c r="A30" s="6"/>
      <c r="B30" s="6" t="s">
        <v>330</v>
      </c>
      <c r="C30" s="6">
        <v>-1</v>
      </c>
    </row>
    <row r="31" spans="1:3" x14ac:dyDescent="0.3">
      <c r="A31" s="6" t="s">
        <v>4096</v>
      </c>
      <c r="B31" s="6" t="s">
        <v>526</v>
      </c>
      <c r="C31" s="6">
        <v>5</v>
      </c>
    </row>
    <row r="32" spans="1:3" x14ac:dyDescent="0.3">
      <c r="A32" s="6" t="s">
        <v>4077</v>
      </c>
      <c r="B32" s="6" t="s">
        <v>428</v>
      </c>
      <c r="C32" s="6">
        <v>40</v>
      </c>
    </row>
    <row r="33" spans="1:3" x14ac:dyDescent="0.3">
      <c r="A33" s="6" t="s">
        <v>4614</v>
      </c>
      <c r="B33" s="6" t="s">
        <v>356</v>
      </c>
      <c r="C33" s="6">
        <v>16</v>
      </c>
    </row>
    <row r="34" spans="1:3" x14ac:dyDescent="0.3">
      <c r="A34" s="6"/>
      <c r="B34" s="6" t="s">
        <v>520</v>
      </c>
      <c r="C34" s="6">
        <v>-1</v>
      </c>
    </row>
    <row r="35" spans="1:3" x14ac:dyDescent="0.3">
      <c r="A35" s="6"/>
      <c r="B35" s="6" t="s">
        <v>336</v>
      </c>
      <c r="C35" s="6">
        <v>-1</v>
      </c>
    </row>
    <row r="36" spans="1:3" x14ac:dyDescent="0.3">
      <c r="A36" s="6"/>
      <c r="B36" s="6" t="s">
        <v>336</v>
      </c>
      <c r="C36" s="6">
        <v>-1</v>
      </c>
    </row>
    <row r="37" spans="1:3" x14ac:dyDescent="0.3">
      <c r="A37" s="6"/>
      <c r="B37" s="6" t="s">
        <v>414</v>
      </c>
      <c r="C37" s="6">
        <v>-1</v>
      </c>
    </row>
    <row r="38" spans="1:3" x14ac:dyDescent="0.3">
      <c r="A38" s="6"/>
      <c r="B38" s="6" t="s">
        <v>520</v>
      </c>
      <c r="C38" s="6">
        <v>-1</v>
      </c>
    </row>
    <row r="39" spans="1:3" x14ac:dyDescent="0.3">
      <c r="A39" s="6"/>
      <c r="B39" s="6" t="s">
        <v>330</v>
      </c>
      <c r="C39" s="6">
        <v>-1</v>
      </c>
    </row>
    <row r="40" spans="1:3" x14ac:dyDescent="0.3">
      <c r="A40" s="6"/>
      <c r="B40" s="6" t="s">
        <v>350</v>
      </c>
      <c r="C40" s="6">
        <v>-1</v>
      </c>
    </row>
    <row r="41" spans="1:3" x14ac:dyDescent="0.3">
      <c r="A41" s="6"/>
      <c r="B41" s="6" t="s">
        <v>384</v>
      </c>
      <c r="C41" s="6">
        <v>-1</v>
      </c>
    </row>
    <row r="42" spans="1:3" x14ac:dyDescent="0.3">
      <c r="A42" s="6"/>
      <c r="B42" s="6" t="s">
        <v>328</v>
      </c>
      <c r="C42" s="6">
        <v>-1</v>
      </c>
    </row>
    <row r="43" spans="1:3" x14ac:dyDescent="0.3">
      <c r="A43" s="6"/>
      <c r="B43" s="6" t="s">
        <v>406</v>
      </c>
      <c r="C43" s="6">
        <v>-1</v>
      </c>
    </row>
    <row r="44" spans="1:3" x14ac:dyDescent="0.3">
      <c r="A44" s="6" t="s">
        <v>3161</v>
      </c>
      <c r="B44" s="6" t="s">
        <v>338</v>
      </c>
      <c r="C44" s="6">
        <v>23</v>
      </c>
    </row>
    <row r="45" spans="1:3" x14ac:dyDescent="0.3">
      <c r="A45" s="6"/>
      <c r="B45" s="6" t="s">
        <v>362</v>
      </c>
      <c r="C45" s="6">
        <v>-1</v>
      </c>
    </row>
    <row r="46" spans="1:3" x14ac:dyDescent="0.3">
      <c r="A46" s="6"/>
      <c r="B46" s="6" t="s">
        <v>358</v>
      </c>
      <c r="C46" s="6">
        <v>-1</v>
      </c>
    </row>
    <row r="47" spans="1:3" x14ac:dyDescent="0.3">
      <c r="A47" s="6"/>
      <c r="B47" s="6" t="s">
        <v>400</v>
      </c>
      <c r="C47" s="6">
        <v>-1</v>
      </c>
    </row>
    <row r="48" spans="1:3" x14ac:dyDescent="0.3">
      <c r="A48" s="6" t="s">
        <v>4562</v>
      </c>
      <c r="B48" s="6" t="s">
        <v>358</v>
      </c>
      <c r="C48" s="6">
        <v>50</v>
      </c>
    </row>
    <row r="49" spans="1:3" x14ac:dyDescent="0.3">
      <c r="A49" s="6" t="s">
        <v>3601</v>
      </c>
      <c r="B49" s="6" t="s">
        <v>442</v>
      </c>
      <c r="C49" s="6">
        <v>29</v>
      </c>
    </row>
    <row r="50" spans="1:3" x14ac:dyDescent="0.3">
      <c r="A50" s="6"/>
      <c r="B50" s="6" t="s">
        <v>422</v>
      </c>
      <c r="C50" s="6">
        <v>-1</v>
      </c>
    </row>
    <row r="51" spans="1:3" x14ac:dyDescent="0.3">
      <c r="A51" s="6" t="s">
        <v>2308</v>
      </c>
      <c r="B51" s="6" t="s">
        <v>340</v>
      </c>
      <c r="C51" s="6">
        <v>47</v>
      </c>
    </row>
    <row r="52" spans="1:3" x14ac:dyDescent="0.3">
      <c r="A52" s="6"/>
      <c r="B52" s="6" t="s">
        <v>604</v>
      </c>
      <c r="C52" s="6">
        <v>-1</v>
      </c>
    </row>
    <row r="53" spans="1:3" x14ac:dyDescent="0.3">
      <c r="A53" s="6"/>
      <c r="B53" s="6" t="s">
        <v>394</v>
      </c>
      <c r="C53" s="6">
        <v>-1</v>
      </c>
    </row>
    <row r="54" spans="1:3" x14ac:dyDescent="0.3">
      <c r="A54" s="6"/>
      <c r="B54" s="6" t="s">
        <v>416</v>
      </c>
      <c r="C54" s="6">
        <v>-1</v>
      </c>
    </row>
    <row r="55" spans="1:3" x14ac:dyDescent="0.3">
      <c r="A55" s="6" t="s">
        <v>4099</v>
      </c>
      <c r="B55" s="6" t="s">
        <v>526</v>
      </c>
      <c r="C55" s="6">
        <v>41</v>
      </c>
    </row>
    <row r="56" spans="1:3" x14ac:dyDescent="0.3">
      <c r="A56" s="6" t="s">
        <v>2343</v>
      </c>
      <c r="B56" s="6" t="s">
        <v>594</v>
      </c>
      <c r="C56" s="6">
        <v>51</v>
      </c>
    </row>
  </sheetData>
  <pageMargins left="0.7" right="0.7" top="0.75" bottom="0.75" header="0.3" footer="0.3"/>
  <tableParts count="1">
    <tablePart r:id="rId1"/>
  </tablePart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0E1BA-EEAA-4EE4-A19D-3852C6B96910}">
  <dimension ref="A1:E17"/>
  <sheetViews>
    <sheetView topLeftCell="A10" workbookViewId="0">
      <selection activeCell="B18" sqref="B18"/>
    </sheetView>
  </sheetViews>
  <sheetFormatPr defaultRowHeight="14.4" x14ac:dyDescent="0.3"/>
  <cols>
    <col min="1" max="1" width="66.6640625" bestFit="1" customWidth="1"/>
    <col min="2" max="2" width="14" bestFit="1" customWidth="1"/>
    <col min="3" max="3" width="25.109375" bestFit="1" customWidth="1"/>
    <col min="4" max="4" width="17" bestFit="1" customWidth="1"/>
    <col min="5" max="5" width="14.77734375" bestFit="1" customWidth="1"/>
  </cols>
  <sheetData>
    <row r="1" spans="1:5" x14ac:dyDescent="0.3">
      <c r="A1" t="s">
        <v>834</v>
      </c>
      <c r="B1" t="s">
        <v>1</v>
      </c>
      <c r="C1" t="s">
        <v>1020</v>
      </c>
      <c r="D1" t="s">
        <v>1212</v>
      </c>
      <c r="E1" t="s">
        <v>1213</v>
      </c>
    </row>
    <row r="2" spans="1:5" x14ac:dyDescent="0.3">
      <c r="A2" s="6" t="s">
        <v>2325</v>
      </c>
      <c r="B2" s="6" t="s">
        <v>344</v>
      </c>
      <c r="C2" s="6">
        <v>4</v>
      </c>
      <c r="D2" s="6">
        <f>Table87[[#This Row],[Total Athletes]]-(LEN(Table87[[#This Row],[Team]])-LEN(SUBSTITUTE(Table87[[#This Row],[Team]],"/","")))-1</f>
        <v>3</v>
      </c>
      <c r="E2" s="6">
        <v>4</v>
      </c>
    </row>
    <row r="3" spans="1:5" x14ac:dyDescent="0.3">
      <c r="A3" s="6" t="s">
        <v>4630</v>
      </c>
      <c r="B3" s="6" t="s">
        <v>402</v>
      </c>
      <c r="C3" s="6">
        <v>3</v>
      </c>
      <c r="D3" s="6">
        <f>Table87[[#This Row],[Total Athletes]]-(LEN(Table87[[#This Row],[Team]])-LEN(SUBSTITUTE(Table87[[#This Row],[Team]],"/","")))-1</f>
        <v>1</v>
      </c>
      <c r="E3" s="6">
        <v>4</v>
      </c>
    </row>
    <row r="4" spans="1:5" x14ac:dyDescent="0.3">
      <c r="A4" s="6" t="s">
        <v>3436</v>
      </c>
      <c r="B4" s="6" t="s">
        <v>334</v>
      </c>
      <c r="C4" s="6">
        <v>1</v>
      </c>
      <c r="D4" s="6">
        <f>Table87[[#This Row],[Total Athletes]]-(LEN(Table87[[#This Row],[Team]])-LEN(SUBSTITUTE(Table87[[#This Row],[Team]],"/","")))-1</f>
        <v>3</v>
      </c>
      <c r="E4" s="6">
        <v>4</v>
      </c>
    </row>
    <row r="5" spans="1:5" x14ac:dyDescent="0.3">
      <c r="A5" s="6" t="s">
        <v>3643</v>
      </c>
      <c r="B5" s="6" t="s">
        <v>354</v>
      </c>
      <c r="C5" s="6">
        <v>12</v>
      </c>
      <c r="D5" s="6">
        <f>Table87[[#This Row],[Total Athletes]]-(LEN(Table87[[#This Row],[Team]])-LEN(SUBSTITUTE(Table87[[#This Row],[Team]],"/","")))-1</f>
        <v>2</v>
      </c>
      <c r="E5" s="6">
        <v>4</v>
      </c>
    </row>
    <row r="6" spans="1:5" x14ac:dyDescent="0.3">
      <c r="A6" s="6" t="s">
        <v>4615</v>
      </c>
      <c r="B6" s="6" t="s">
        <v>356</v>
      </c>
      <c r="C6" s="6">
        <v>6</v>
      </c>
      <c r="D6" s="6">
        <f>Table87[[#This Row],[Total Athletes]]-(LEN(Table87[[#This Row],[Team]])-LEN(SUBSTITUTE(Table87[[#This Row],[Team]],"/","")))-1</f>
        <v>2</v>
      </c>
      <c r="E6" s="6">
        <v>4</v>
      </c>
    </row>
    <row r="7" spans="1:5" x14ac:dyDescent="0.3">
      <c r="A7" s="6"/>
      <c r="B7" s="6" t="s">
        <v>474</v>
      </c>
      <c r="C7" s="6">
        <v>-1</v>
      </c>
      <c r="D7" s="6">
        <f>Table87[[#This Row],[Total Athletes]]-(LEN(Table87[[#This Row],[Team]])-LEN(SUBSTITUTE(Table87[[#This Row],[Team]],"/","")))-1</f>
        <v>-1</v>
      </c>
      <c r="E7" s="6"/>
    </row>
    <row r="8" spans="1:5" x14ac:dyDescent="0.3">
      <c r="A8" s="6"/>
      <c r="B8" s="6" t="s">
        <v>346</v>
      </c>
      <c r="C8" s="6">
        <v>-1</v>
      </c>
      <c r="D8" s="6">
        <f>Table87[[#This Row],[Total Athletes]]-(LEN(Table87[[#This Row],[Team]])-LEN(SUBSTITUTE(Table87[[#This Row],[Team]],"/","")))-1</f>
        <v>-1</v>
      </c>
      <c r="E8" s="6"/>
    </row>
    <row r="9" spans="1:5" x14ac:dyDescent="0.3">
      <c r="A9" s="6" t="s">
        <v>1387</v>
      </c>
      <c r="B9" s="6" t="s">
        <v>444</v>
      </c>
      <c r="C9" s="6">
        <v>7</v>
      </c>
      <c r="D9" s="6">
        <f>Table87[[#This Row],[Total Athletes]]-(LEN(Table87[[#This Row],[Team]])-LEN(SUBSTITUTE(Table87[[#This Row],[Team]],"/","")))-1</f>
        <v>3</v>
      </c>
      <c r="E9" s="6">
        <v>4</v>
      </c>
    </row>
    <row r="10" spans="1:5" x14ac:dyDescent="0.3">
      <c r="A10" s="6" t="s">
        <v>2067</v>
      </c>
      <c r="B10" s="6" t="s">
        <v>332</v>
      </c>
      <c r="C10" s="6">
        <v>2</v>
      </c>
      <c r="D10" s="6">
        <f>Table87[[#This Row],[Total Athletes]]-(LEN(Table87[[#This Row],[Team]])-LEN(SUBSTITUTE(Table87[[#This Row],[Team]],"/","")))-1</f>
        <v>3</v>
      </c>
      <c r="E10" s="6">
        <v>4</v>
      </c>
    </row>
    <row r="11" spans="1:5" x14ac:dyDescent="0.3">
      <c r="A11" s="6" t="s">
        <v>3668</v>
      </c>
      <c r="B11" s="6" t="s">
        <v>364</v>
      </c>
      <c r="C11" s="6">
        <v>11</v>
      </c>
      <c r="D11" s="6">
        <f>Table87[[#This Row],[Total Athletes]]-(LEN(Table87[[#This Row],[Team]])-LEN(SUBSTITUTE(Table87[[#This Row],[Team]],"/","")))-1</f>
        <v>2</v>
      </c>
      <c r="E11" s="6">
        <v>4</v>
      </c>
    </row>
    <row r="12" spans="1:5" x14ac:dyDescent="0.3">
      <c r="A12" s="6" t="s">
        <v>3477</v>
      </c>
      <c r="B12" s="6" t="s">
        <v>412</v>
      </c>
      <c r="C12" s="6">
        <v>10</v>
      </c>
      <c r="D12" s="6">
        <f>Table87[[#This Row],[Total Athletes]]-(LEN(Table87[[#This Row],[Team]])-LEN(SUBSTITUTE(Table87[[#This Row],[Team]],"/","")))-1</f>
        <v>2</v>
      </c>
      <c r="E12" s="6">
        <v>4</v>
      </c>
    </row>
    <row r="13" spans="1:5" x14ac:dyDescent="0.3">
      <c r="A13" s="6" t="s">
        <v>3066</v>
      </c>
      <c r="B13" s="6" t="s">
        <v>336</v>
      </c>
      <c r="C13" s="6">
        <v>8</v>
      </c>
      <c r="D13" s="6">
        <f>Table87[[#This Row],[Total Athletes]]-(LEN(Table87[[#This Row],[Team]])-LEN(SUBSTITUTE(Table87[[#This Row],[Team]],"/","")))-1</f>
        <v>3</v>
      </c>
      <c r="E13" s="6">
        <v>4</v>
      </c>
    </row>
    <row r="14" spans="1:5" x14ac:dyDescent="0.3">
      <c r="A14" s="6"/>
      <c r="B14" s="6" t="s">
        <v>520</v>
      </c>
      <c r="C14" s="6">
        <v>-1</v>
      </c>
      <c r="D14" s="6">
        <f>Table87[[#This Row],[Total Athletes]]-(LEN(Table87[[#This Row],[Team]])-LEN(SUBSTITUTE(Table87[[#This Row],[Team]],"/","")))-1</f>
        <v>-1</v>
      </c>
      <c r="E14" s="6"/>
    </row>
    <row r="15" spans="1:5" x14ac:dyDescent="0.3">
      <c r="A15" s="6" t="s">
        <v>2212</v>
      </c>
      <c r="B15" s="6" t="s">
        <v>330</v>
      </c>
      <c r="C15" s="6">
        <v>9</v>
      </c>
      <c r="D15" s="6">
        <f>Table87[[#This Row],[Total Athletes]]-(LEN(Table87[[#This Row],[Team]])-LEN(SUBSTITUTE(Table87[[#This Row],[Team]],"/","")))-1</f>
        <v>3</v>
      </c>
      <c r="E15" s="6">
        <v>4</v>
      </c>
    </row>
    <row r="16" spans="1:5" x14ac:dyDescent="0.3">
      <c r="A16" s="6" t="s">
        <v>3863</v>
      </c>
      <c r="B16" s="6" t="s">
        <v>350</v>
      </c>
      <c r="C16" s="6">
        <v>13</v>
      </c>
      <c r="D16" s="6">
        <f>Table87[[#This Row],[Total Athletes]]-(LEN(Table87[[#This Row],[Team]])-LEN(SUBSTITUTE(Table87[[#This Row],[Team]],"/","")))-1</f>
        <v>3</v>
      </c>
      <c r="E16" s="6">
        <v>4</v>
      </c>
    </row>
    <row r="17" spans="1:5" x14ac:dyDescent="0.3">
      <c r="A17" s="6" t="s">
        <v>4562</v>
      </c>
      <c r="B17" s="6" t="s">
        <v>358</v>
      </c>
      <c r="C17" s="6">
        <v>1001</v>
      </c>
      <c r="D17" s="6">
        <f>Table87[[#This Row],[Total Athletes]]-(LEN(Table87[[#This Row],[Team]])-LEN(SUBSTITUTE(Table87[[#This Row],[Team]],"/","")))-1</f>
        <v>3</v>
      </c>
      <c r="E17" s="6">
        <v>4</v>
      </c>
    </row>
  </sheetData>
  <pageMargins left="0.7" right="0.7" top="0.75" bottom="0.75" header="0.3" footer="0.3"/>
  <tableParts count="1">
    <tablePart r:id="rId1"/>
  </tablePart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EE1F75-85FC-4039-9A2E-BB7197C7192F}">
  <dimension ref="A1:J25"/>
  <sheetViews>
    <sheetView topLeftCell="D22" workbookViewId="0">
      <selection activeCell="F26" sqref="F26"/>
    </sheetView>
  </sheetViews>
  <sheetFormatPr defaultRowHeight="14.4" x14ac:dyDescent="0.3"/>
  <cols>
    <col min="1" max="1" width="40.109375" bestFit="1" customWidth="1"/>
    <col min="2" max="2" width="35" bestFit="1" customWidth="1"/>
    <col min="3" max="3" width="73.77734375" bestFit="1" customWidth="1"/>
    <col min="4" max="4" width="45.109375" bestFit="1" customWidth="1"/>
    <col min="5" max="5" width="70.77734375" bestFit="1" customWidth="1"/>
    <col min="6" max="6" width="17.88671875" bestFit="1" customWidth="1"/>
    <col min="7" max="7" width="19.88671875" bestFit="1" customWidth="1"/>
    <col min="8" max="8" width="22.5546875" bestFit="1" customWidth="1"/>
    <col min="9" max="9" width="17" bestFit="1" customWidth="1"/>
    <col min="10" max="10" width="14.77734375" bestFit="1" customWidth="1"/>
  </cols>
  <sheetData>
    <row r="1" spans="1:10" x14ac:dyDescent="0.3">
      <c r="A1" t="s">
        <v>845</v>
      </c>
      <c r="B1" t="s">
        <v>846</v>
      </c>
      <c r="C1" t="s">
        <v>847</v>
      </c>
      <c r="D1" t="s">
        <v>848</v>
      </c>
      <c r="E1" t="s">
        <v>849</v>
      </c>
      <c r="F1" t="s">
        <v>1</v>
      </c>
      <c r="G1" t="s">
        <v>900</v>
      </c>
      <c r="H1" t="s">
        <v>901</v>
      </c>
      <c r="I1" t="s">
        <v>1212</v>
      </c>
      <c r="J1" t="s">
        <v>1213</v>
      </c>
    </row>
    <row r="2" spans="1:10" x14ac:dyDescent="0.3">
      <c r="A2" s="6" t="s">
        <v>1364</v>
      </c>
      <c r="B2" s="6" t="s">
        <v>4363</v>
      </c>
      <c r="C2" s="6" t="s">
        <v>4870</v>
      </c>
      <c r="D2" s="6" t="s">
        <v>2704</v>
      </c>
      <c r="E2" s="6" t="s">
        <v>2835</v>
      </c>
      <c r="F2" s="6" t="s">
        <v>344</v>
      </c>
      <c r="G2" s="6">
        <v>1</v>
      </c>
      <c r="H2" s="6"/>
      <c r="I2" s="6">
        <f>Table91949698100[[#This Row],[Total Athletes]]-(LEN(Table91949698100[[#This Row],[Setters]])-LEN(SUBSTITUTE(Table91949698100[[#This Row],[Setters]],"/","")))-(LEN(Table91949698100[[#This Row],[Liberos]])-LEN(SUBSTITUTE(Table91949698100[[#This Row],[Liberos]],"/","")))-(LEN(Table91949698100[[#This Row],[Outside Hitters]])-LEN(SUBSTITUTE(Table91949698100[[#This Row],[Outside Hitters]],"/","")))-(LEN(Table91949698100[[#This Row],[Opposite Spikers]])-LEN(SUBSTITUTE(Table91949698100[[#This Row],[Opposite Spikers]],"/","")))-(LEN(Table91949698100[[#This Row],[Middle Blockers]])-LEN(SUBSTITUTE(Table91949698100[[#This Row],[Middle Blockers]],"/","")))-5</f>
        <v>5</v>
      </c>
      <c r="J2" s="6">
        <v>12</v>
      </c>
    </row>
    <row r="3" spans="1:10" x14ac:dyDescent="0.3">
      <c r="A3" s="6" t="s">
        <v>4873</v>
      </c>
      <c r="B3" s="6" t="s">
        <v>4865</v>
      </c>
      <c r="C3" s="6"/>
      <c r="D3" s="6" t="s">
        <v>4361</v>
      </c>
      <c r="E3" s="6" t="s">
        <v>3728</v>
      </c>
      <c r="F3" s="6" t="s">
        <v>344</v>
      </c>
      <c r="G3" s="6"/>
      <c r="H3" s="6">
        <v>11</v>
      </c>
      <c r="I3" s="6">
        <f>Table91949698100[[#This Row],[Total Athletes]]-(LEN(Table91949698100[[#This Row],[Setters]])-LEN(SUBSTITUTE(Table91949698100[[#This Row],[Setters]],"/","")))-(LEN(Table91949698100[[#This Row],[Liberos]])-LEN(SUBSTITUTE(Table91949698100[[#This Row],[Liberos]],"/","")))-(LEN(Table91949698100[[#This Row],[Outside Hitters]])-LEN(SUBSTITUTE(Table91949698100[[#This Row],[Outside Hitters]],"/","")))-(LEN(Table91949698100[[#This Row],[Opposite Spikers]])-LEN(SUBSTITUTE(Table91949698100[[#This Row],[Opposite Spikers]],"/","")))-(LEN(Table91949698100[[#This Row],[Middle Blockers]])-LEN(SUBSTITUTE(Table91949698100[[#This Row],[Middle Blockers]],"/","")))-5</f>
        <v>3</v>
      </c>
      <c r="J3" s="6">
        <v>12</v>
      </c>
    </row>
    <row r="4" spans="1:10" x14ac:dyDescent="0.3">
      <c r="A4" s="6"/>
      <c r="B4" s="6"/>
      <c r="C4" s="6"/>
      <c r="D4" s="6"/>
      <c r="E4" s="6" t="s">
        <v>1586</v>
      </c>
      <c r="F4" s="6" t="s">
        <v>374</v>
      </c>
      <c r="G4" s="6"/>
      <c r="H4" s="6">
        <v>8</v>
      </c>
      <c r="I4" s="6">
        <f>Table91949698100[[#This Row],[Total Athletes]]-(LEN(Table91949698100[[#This Row],[Setters]])-LEN(SUBSTITUTE(Table91949698100[[#This Row],[Setters]],"/","")))-(LEN(Table91949698100[[#This Row],[Liberos]])-LEN(SUBSTITUTE(Table91949698100[[#This Row],[Liberos]],"/","")))-(LEN(Table91949698100[[#This Row],[Outside Hitters]])-LEN(SUBSTITUTE(Table91949698100[[#This Row],[Outside Hitters]],"/","")))-(LEN(Table91949698100[[#This Row],[Opposite Spikers]])-LEN(SUBSTITUTE(Table91949698100[[#This Row],[Opposite Spikers]],"/","")))-(LEN(Table91949698100[[#This Row],[Middle Blockers]])-LEN(SUBSTITUTE(Table91949698100[[#This Row],[Middle Blockers]],"/","")))-5</f>
        <v>8</v>
      </c>
      <c r="J4" s="6">
        <v>13</v>
      </c>
    </row>
    <row r="5" spans="1:10" x14ac:dyDescent="0.3">
      <c r="A5" s="6"/>
      <c r="B5" s="6"/>
      <c r="C5" s="6" t="s">
        <v>3973</v>
      </c>
      <c r="D5" s="6"/>
      <c r="E5" s="6" t="s">
        <v>3916</v>
      </c>
      <c r="F5" s="6" t="s">
        <v>690</v>
      </c>
      <c r="G5" s="6"/>
      <c r="H5" s="6">
        <v>7</v>
      </c>
      <c r="I5" s="6">
        <f>Table91949698100[[#This Row],[Total Athletes]]-(LEN(Table91949698100[[#This Row],[Setters]])-LEN(SUBSTITUTE(Table91949698100[[#This Row],[Setters]],"/","")))-(LEN(Table91949698100[[#This Row],[Liberos]])-LEN(SUBSTITUTE(Table91949698100[[#This Row],[Liberos]],"/","")))-(LEN(Table91949698100[[#This Row],[Outside Hitters]])-LEN(SUBSTITUTE(Table91949698100[[#This Row],[Outside Hitters]],"/","")))-(LEN(Table91949698100[[#This Row],[Opposite Spikers]])-LEN(SUBSTITUTE(Table91949698100[[#This Row],[Opposite Spikers]],"/","")))-(LEN(Table91949698100[[#This Row],[Middle Blockers]])-LEN(SUBSTITUTE(Table91949698100[[#This Row],[Middle Blockers]],"/","")))-5</f>
        <v>6</v>
      </c>
      <c r="J5" s="6">
        <v>13</v>
      </c>
    </row>
    <row r="6" spans="1:10" x14ac:dyDescent="0.3">
      <c r="A6" s="6" t="s">
        <v>1584</v>
      </c>
      <c r="B6" s="6"/>
      <c r="C6" s="6" t="s">
        <v>3517</v>
      </c>
      <c r="D6" s="6"/>
      <c r="E6" s="6" t="s">
        <v>1576</v>
      </c>
      <c r="F6" s="6" t="s">
        <v>718</v>
      </c>
      <c r="G6" s="6"/>
      <c r="H6" s="6">
        <v>4</v>
      </c>
      <c r="I6" s="6">
        <f>Table91949698100[[#This Row],[Total Athletes]]-(LEN(Table91949698100[[#This Row],[Setters]])-LEN(SUBSTITUTE(Table91949698100[[#This Row],[Setters]],"/","")))-(LEN(Table91949698100[[#This Row],[Liberos]])-LEN(SUBSTITUTE(Table91949698100[[#This Row],[Liberos]],"/","")))-(LEN(Table91949698100[[#This Row],[Outside Hitters]])-LEN(SUBSTITUTE(Table91949698100[[#This Row],[Outside Hitters]],"/","")))-(LEN(Table91949698100[[#This Row],[Opposite Spikers]])-LEN(SUBSTITUTE(Table91949698100[[#This Row],[Opposite Spikers]],"/","")))-(LEN(Table91949698100[[#This Row],[Middle Blockers]])-LEN(SUBSTITUTE(Table91949698100[[#This Row],[Middle Blockers]],"/","")))-5</f>
        <v>8</v>
      </c>
      <c r="J6" s="6">
        <v>13</v>
      </c>
    </row>
    <row r="7" spans="1:10" x14ac:dyDescent="0.3">
      <c r="A7" s="6" t="s">
        <v>3052</v>
      </c>
      <c r="B7" s="6" t="s">
        <v>3044</v>
      </c>
      <c r="C7" s="6"/>
      <c r="D7" s="6" t="s">
        <v>3100</v>
      </c>
      <c r="E7" s="6" t="s">
        <v>3041</v>
      </c>
      <c r="F7" s="6" t="s">
        <v>336</v>
      </c>
      <c r="G7" s="6"/>
      <c r="H7" s="6">
        <v>3</v>
      </c>
      <c r="I7" s="6">
        <f>Table91949698100[[#This Row],[Total Athletes]]-(LEN(Table91949698100[[#This Row],[Setters]])-LEN(SUBSTITUTE(Table91949698100[[#This Row],[Setters]],"/","")))-(LEN(Table91949698100[[#This Row],[Liberos]])-LEN(SUBSTITUTE(Table91949698100[[#This Row],[Liberos]],"/","")))-(LEN(Table91949698100[[#This Row],[Outside Hitters]])-LEN(SUBSTITUTE(Table91949698100[[#This Row],[Outside Hitters]],"/","")))-(LEN(Table91949698100[[#This Row],[Opposite Spikers]])-LEN(SUBSTITUTE(Table91949698100[[#This Row],[Opposite Spikers]],"/","")))-(LEN(Table91949698100[[#This Row],[Middle Blockers]])-LEN(SUBSTITUTE(Table91949698100[[#This Row],[Middle Blockers]],"/","")))-5</f>
        <v>7</v>
      </c>
      <c r="J7" s="6">
        <v>13</v>
      </c>
    </row>
    <row r="8" spans="1:10" x14ac:dyDescent="0.3">
      <c r="A8" s="6" t="s">
        <v>2906</v>
      </c>
      <c r="B8" s="6" t="s">
        <v>2085</v>
      </c>
      <c r="C8" s="6" t="s">
        <v>4610</v>
      </c>
      <c r="D8" s="6" t="s">
        <v>4210</v>
      </c>
      <c r="E8" s="6" t="s">
        <v>4840</v>
      </c>
      <c r="F8" s="6" t="s">
        <v>332</v>
      </c>
      <c r="G8" s="6"/>
      <c r="H8" s="6">
        <v>2</v>
      </c>
      <c r="I8" s="6">
        <f>Table91949698100[[#This Row],[Total Athletes]]-(LEN(Table91949698100[[#This Row],[Setters]])-LEN(SUBSTITUTE(Table91949698100[[#This Row],[Setters]],"/","")))-(LEN(Table91949698100[[#This Row],[Liberos]])-LEN(SUBSTITUTE(Table91949698100[[#This Row],[Liberos]],"/","")))-(LEN(Table91949698100[[#This Row],[Outside Hitters]])-LEN(SUBSTITUTE(Table91949698100[[#This Row],[Outside Hitters]],"/","")))-(LEN(Table91949698100[[#This Row],[Opposite Spikers]])-LEN(SUBSTITUTE(Table91949698100[[#This Row],[Opposite Spikers]],"/","")))-(LEN(Table91949698100[[#This Row],[Middle Blockers]])-LEN(SUBSTITUTE(Table91949698100[[#This Row],[Middle Blockers]],"/","")))-5</f>
        <v>6</v>
      </c>
      <c r="J8" s="6">
        <v>13</v>
      </c>
    </row>
    <row r="9" spans="1:10" x14ac:dyDescent="0.3">
      <c r="A9" s="6" t="s">
        <v>3888</v>
      </c>
      <c r="B9" s="6" t="s">
        <v>1917</v>
      </c>
      <c r="C9" s="6" t="s">
        <v>3361</v>
      </c>
      <c r="D9" s="6"/>
      <c r="E9" s="6"/>
      <c r="F9" s="6" t="s">
        <v>394</v>
      </c>
      <c r="G9" s="6"/>
      <c r="H9" s="6">
        <v>6</v>
      </c>
      <c r="I9" s="6">
        <f>Table91949698100[[#This Row],[Total Athletes]]-(LEN(Table91949698100[[#This Row],[Setters]])-LEN(SUBSTITUTE(Table91949698100[[#This Row],[Setters]],"/","")))-(LEN(Table91949698100[[#This Row],[Liberos]])-LEN(SUBSTITUTE(Table91949698100[[#This Row],[Liberos]],"/","")))-(LEN(Table91949698100[[#This Row],[Outside Hitters]])-LEN(SUBSTITUTE(Table91949698100[[#This Row],[Outside Hitters]],"/","")))-(LEN(Table91949698100[[#This Row],[Opposite Spikers]])-LEN(SUBSTITUTE(Table91949698100[[#This Row],[Opposite Spikers]],"/","")))-(LEN(Table91949698100[[#This Row],[Middle Blockers]])-LEN(SUBSTITUTE(Table91949698100[[#This Row],[Middle Blockers]],"/","")))-5</f>
        <v>5</v>
      </c>
      <c r="J9" s="6">
        <v>12</v>
      </c>
    </row>
    <row r="10" spans="1:10" x14ac:dyDescent="0.3">
      <c r="A10" s="6"/>
      <c r="B10" s="6"/>
      <c r="C10" s="6" t="s">
        <v>3905</v>
      </c>
      <c r="D10" s="6"/>
      <c r="E10" s="6" t="s">
        <v>4663</v>
      </c>
      <c r="F10" s="6" t="s">
        <v>334</v>
      </c>
      <c r="G10" s="6">
        <v>6</v>
      </c>
      <c r="H10" s="6"/>
      <c r="I10" s="6">
        <f>Table91949698100[[#This Row],[Total Athletes]]-(LEN(Table91949698100[[#This Row],[Setters]])-LEN(SUBSTITUTE(Table91949698100[[#This Row],[Setters]],"/","")))-(LEN(Table91949698100[[#This Row],[Liberos]])-LEN(SUBSTITUTE(Table91949698100[[#This Row],[Liberos]],"/","")))-(LEN(Table91949698100[[#This Row],[Outside Hitters]])-LEN(SUBSTITUTE(Table91949698100[[#This Row],[Outside Hitters]],"/","")))-(LEN(Table91949698100[[#This Row],[Opposite Spikers]])-LEN(SUBSTITUTE(Table91949698100[[#This Row],[Opposite Spikers]],"/","")))-(LEN(Table91949698100[[#This Row],[Middle Blockers]])-LEN(SUBSTITUTE(Table91949698100[[#This Row],[Middle Blockers]],"/","")))-5</f>
        <v>4</v>
      </c>
      <c r="J10" s="6">
        <v>12</v>
      </c>
    </row>
    <row r="11" spans="1:10" x14ac:dyDescent="0.3">
      <c r="A11" s="6" t="s">
        <v>4112</v>
      </c>
      <c r="B11" s="6" t="s">
        <v>4114</v>
      </c>
      <c r="C11" s="6" t="s">
        <v>1700</v>
      </c>
      <c r="D11" s="6"/>
      <c r="E11" s="6" t="s">
        <v>4116</v>
      </c>
      <c r="F11" s="6" t="s">
        <v>336</v>
      </c>
      <c r="G11" s="6">
        <v>8</v>
      </c>
      <c r="H11" s="6"/>
      <c r="I11" s="6">
        <f>Table91949698100[[#This Row],[Total Athletes]]-(LEN(Table91949698100[[#This Row],[Setters]])-LEN(SUBSTITUTE(Table91949698100[[#This Row],[Setters]],"/","")))-(LEN(Table91949698100[[#This Row],[Liberos]])-LEN(SUBSTITUTE(Table91949698100[[#This Row],[Liberos]],"/","")))-(LEN(Table91949698100[[#This Row],[Outside Hitters]])-LEN(SUBSTITUTE(Table91949698100[[#This Row],[Outside Hitters]],"/","")))-(LEN(Table91949698100[[#This Row],[Opposite Spikers]])-LEN(SUBSTITUTE(Table91949698100[[#This Row],[Opposite Spikers]],"/","")))-(LEN(Table91949698100[[#This Row],[Middle Blockers]])-LEN(SUBSTITUTE(Table91949698100[[#This Row],[Middle Blockers]],"/","")))-5</f>
        <v>8</v>
      </c>
      <c r="J11" s="6">
        <v>13</v>
      </c>
    </row>
    <row r="12" spans="1:10" x14ac:dyDescent="0.3">
      <c r="A12" s="6"/>
      <c r="B12" s="6"/>
      <c r="C12" s="6" t="s">
        <v>3921</v>
      </c>
      <c r="D12" s="6"/>
      <c r="E12" s="6" t="s">
        <v>2066</v>
      </c>
      <c r="F12" s="6" t="s">
        <v>332</v>
      </c>
      <c r="G12" s="6">
        <v>3</v>
      </c>
      <c r="H12" s="6"/>
      <c r="I12" s="6">
        <f>Table91949698100[[#This Row],[Total Athletes]]-(LEN(Table91949698100[[#This Row],[Setters]])-LEN(SUBSTITUTE(Table91949698100[[#This Row],[Setters]],"/","")))-(LEN(Table91949698100[[#This Row],[Liberos]])-LEN(SUBSTITUTE(Table91949698100[[#This Row],[Liberos]],"/","")))-(LEN(Table91949698100[[#This Row],[Outside Hitters]])-LEN(SUBSTITUTE(Table91949698100[[#This Row],[Outside Hitters]],"/","")))-(LEN(Table91949698100[[#This Row],[Opposite Spikers]])-LEN(SUBSTITUTE(Table91949698100[[#This Row],[Opposite Spikers]],"/","")))-(LEN(Table91949698100[[#This Row],[Middle Blockers]])-LEN(SUBSTITUTE(Table91949698100[[#This Row],[Middle Blockers]],"/","")))-5</f>
        <v>5</v>
      </c>
      <c r="J12" s="6">
        <v>12</v>
      </c>
    </row>
    <row r="13" spans="1:10" x14ac:dyDescent="0.3">
      <c r="A13" s="6" t="s">
        <v>4075</v>
      </c>
      <c r="B13" s="6" t="s">
        <v>1312</v>
      </c>
      <c r="C13" s="6" t="s">
        <v>3326</v>
      </c>
      <c r="D13" s="6" t="s">
        <v>3320</v>
      </c>
      <c r="E13" s="6" t="s">
        <v>3341</v>
      </c>
      <c r="F13" s="6" t="s">
        <v>428</v>
      </c>
      <c r="G13" s="6">
        <v>7</v>
      </c>
      <c r="H13" s="6"/>
      <c r="I13" s="6">
        <f>Table91949698100[[#This Row],[Total Athletes]]-(LEN(Table91949698100[[#This Row],[Setters]])-LEN(SUBSTITUTE(Table91949698100[[#This Row],[Setters]],"/","")))-(LEN(Table91949698100[[#This Row],[Liberos]])-LEN(SUBSTITUTE(Table91949698100[[#This Row],[Liberos]],"/","")))-(LEN(Table91949698100[[#This Row],[Outside Hitters]])-LEN(SUBSTITUTE(Table91949698100[[#This Row],[Outside Hitters]],"/","")))-(LEN(Table91949698100[[#This Row],[Opposite Spikers]])-LEN(SUBSTITUTE(Table91949698100[[#This Row],[Opposite Spikers]],"/","")))-(LEN(Table91949698100[[#This Row],[Middle Blockers]])-LEN(SUBSTITUTE(Table91949698100[[#This Row],[Middle Blockers]],"/","")))-5</f>
        <v>3</v>
      </c>
      <c r="J13" s="6">
        <v>12</v>
      </c>
    </row>
    <row r="14" spans="1:10" x14ac:dyDescent="0.3">
      <c r="A14" s="6"/>
      <c r="B14" s="6"/>
      <c r="C14" s="6" t="s">
        <v>3684</v>
      </c>
      <c r="D14" s="6" t="s">
        <v>3680</v>
      </c>
      <c r="E14" s="6" t="s">
        <v>1912</v>
      </c>
      <c r="F14" s="6" t="s">
        <v>394</v>
      </c>
      <c r="G14" s="6">
        <v>2</v>
      </c>
      <c r="H14" s="6"/>
      <c r="I14" s="6">
        <f>Table91949698100[[#This Row],[Total Athletes]]-(LEN(Table91949698100[[#This Row],[Setters]])-LEN(SUBSTITUTE(Table91949698100[[#This Row],[Setters]],"/","")))-(LEN(Table91949698100[[#This Row],[Liberos]])-LEN(SUBSTITUTE(Table91949698100[[#This Row],[Liberos]],"/","")))-(LEN(Table91949698100[[#This Row],[Outside Hitters]])-LEN(SUBSTITUTE(Table91949698100[[#This Row],[Outside Hitters]],"/","")))-(LEN(Table91949698100[[#This Row],[Opposite Spikers]])-LEN(SUBSTITUTE(Table91949698100[[#This Row],[Opposite Spikers]],"/","")))-(LEN(Table91949698100[[#This Row],[Middle Blockers]])-LEN(SUBSTITUTE(Table91949698100[[#This Row],[Middle Blockers]],"/","")))-5</f>
        <v>8</v>
      </c>
      <c r="J14" s="6">
        <v>13</v>
      </c>
    </row>
    <row r="15" spans="1:10" x14ac:dyDescent="0.3">
      <c r="A15" s="6" t="s">
        <v>2193</v>
      </c>
      <c r="B15" s="6"/>
      <c r="C15" s="6" t="s">
        <v>2552</v>
      </c>
      <c r="D15" s="6"/>
      <c r="E15" s="6" t="s">
        <v>2566</v>
      </c>
      <c r="F15" s="6" t="s">
        <v>384</v>
      </c>
      <c r="G15" s="6">
        <v>10</v>
      </c>
      <c r="H15" s="6"/>
      <c r="I15" s="6">
        <f>Table91949698100[[#This Row],[Total Athletes]]-(LEN(Table91949698100[[#This Row],[Setters]])-LEN(SUBSTITUTE(Table91949698100[[#This Row],[Setters]],"/","")))-(LEN(Table91949698100[[#This Row],[Liberos]])-LEN(SUBSTITUTE(Table91949698100[[#This Row],[Liberos]],"/","")))-(LEN(Table91949698100[[#This Row],[Outside Hitters]])-LEN(SUBSTITUTE(Table91949698100[[#This Row],[Outside Hitters]],"/","")))-(LEN(Table91949698100[[#This Row],[Opposite Spikers]])-LEN(SUBSTITUTE(Table91949698100[[#This Row],[Opposite Spikers]],"/","")))-(LEN(Table91949698100[[#This Row],[Middle Blockers]])-LEN(SUBSTITUTE(Table91949698100[[#This Row],[Middle Blockers]],"/","")))-5</f>
        <v>5</v>
      </c>
      <c r="J15" s="6">
        <v>12</v>
      </c>
    </row>
    <row r="16" spans="1:10" x14ac:dyDescent="0.3">
      <c r="A16" s="6" t="s">
        <v>4616</v>
      </c>
      <c r="B16" s="6"/>
      <c r="C16" s="6" t="s">
        <v>3628</v>
      </c>
      <c r="D16" s="6" t="s">
        <v>1596</v>
      </c>
      <c r="E16" s="6"/>
      <c r="F16" s="6" t="s">
        <v>356</v>
      </c>
      <c r="G16" s="6"/>
      <c r="H16" s="6">
        <v>1</v>
      </c>
      <c r="I16" s="6">
        <f>Table91949698100[[#This Row],[Total Athletes]]-(LEN(Table91949698100[[#This Row],[Setters]])-LEN(SUBSTITUTE(Table91949698100[[#This Row],[Setters]],"/","")))-(LEN(Table91949698100[[#This Row],[Liberos]])-LEN(SUBSTITUTE(Table91949698100[[#This Row],[Liberos]],"/","")))-(LEN(Table91949698100[[#This Row],[Outside Hitters]])-LEN(SUBSTITUTE(Table91949698100[[#This Row],[Outside Hitters]],"/","")))-(LEN(Table91949698100[[#This Row],[Opposite Spikers]])-LEN(SUBSTITUTE(Table91949698100[[#This Row],[Opposite Spikers]],"/","")))-(LEN(Table91949698100[[#This Row],[Middle Blockers]])-LEN(SUBSTITUTE(Table91949698100[[#This Row],[Middle Blockers]],"/","")))-5</f>
        <v>8</v>
      </c>
      <c r="J16" s="6">
        <v>13</v>
      </c>
    </row>
    <row r="17" spans="1:10" x14ac:dyDescent="0.3">
      <c r="A17" s="6" t="s">
        <v>4285</v>
      </c>
      <c r="B17" s="6"/>
      <c r="C17" s="6" t="s">
        <v>2737</v>
      </c>
      <c r="D17" s="6"/>
      <c r="E17" s="6" t="s">
        <v>4227</v>
      </c>
      <c r="F17" s="6" t="s">
        <v>328</v>
      </c>
      <c r="G17" s="6"/>
      <c r="H17" s="6">
        <v>5</v>
      </c>
      <c r="I17" s="6">
        <f>Table91949698100[[#This Row],[Total Athletes]]-(LEN(Table91949698100[[#This Row],[Setters]])-LEN(SUBSTITUTE(Table91949698100[[#This Row],[Setters]],"/","")))-(LEN(Table91949698100[[#This Row],[Liberos]])-LEN(SUBSTITUTE(Table91949698100[[#This Row],[Liberos]],"/","")))-(LEN(Table91949698100[[#This Row],[Outside Hitters]])-LEN(SUBSTITUTE(Table91949698100[[#This Row],[Outside Hitters]],"/","")))-(LEN(Table91949698100[[#This Row],[Opposite Spikers]])-LEN(SUBSTITUTE(Table91949698100[[#This Row],[Opposite Spikers]],"/","")))-(LEN(Table91949698100[[#This Row],[Middle Blockers]])-LEN(SUBSTITUTE(Table91949698100[[#This Row],[Middle Blockers]],"/","")))-5</f>
        <v>7</v>
      </c>
      <c r="J17" s="6">
        <v>12</v>
      </c>
    </row>
    <row r="18" spans="1:10" x14ac:dyDescent="0.3">
      <c r="A18" s="6" t="s">
        <v>4049</v>
      </c>
      <c r="B18" s="6"/>
      <c r="C18" s="6" t="s">
        <v>3325</v>
      </c>
      <c r="D18" s="6"/>
      <c r="E18" s="6" t="s">
        <v>3340</v>
      </c>
      <c r="F18" s="6" t="s">
        <v>428</v>
      </c>
      <c r="G18" s="6"/>
      <c r="H18" s="6">
        <v>9</v>
      </c>
      <c r="I18" s="6">
        <f>Table91949698100[[#This Row],[Total Athletes]]-(LEN(Table91949698100[[#This Row],[Setters]])-LEN(SUBSTITUTE(Table91949698100[[#This Row],[Setters]],"/","")))-(LEN(Table91949698100[[#This Row],[Liberos]])-LEN(SUBSTITUTE(Table91949698100[[#This Row],[Liberos]],"/","")))-(LEN(Table91949698100[[#This Row],[Outside Hitters]])-LEN(SUBSTITUTE(Table91949698100[[#This Row],[Outside Hitters]],"/","")))-(LEN(Table91949698100[[#This Row],[Opposite Spikers]])-LEN(SUBSTITUTE(Table91949698100[[#This Row],[Opposite Spikers]],"/","")))-(LEN(Table91949698100[[#This Row],[Middle Blockers]])-LEN(SUBSTITUTE(Table91949698100[[#This Row],[Middle Blockers]],"/","")))-5</f>
        <v>7</v>
      </c>
      <c r="J18" s="6">
        <v>12</v>
      </c>
    </row>
    <row r="19" spans="1:10" x14ac:dyDescent="0.3">
      <c r="A19" s="6"/>
      <c r="B19" s="6"/>
      <c r="C19" s="6" t="s">
        <v>3775</v>
      </c>
      <c r="D19" s="6"/>
      <c r="E19" s="6"/>
      <c r="F19" s="6" t="s">
        <v>412</v>
      </c>
      <c r="G19" s="6"/>
      <c r="H19" s="6">
        <v>10</v>
      </c>
      <c r="I19" s="6">
        <f>Table91949698100[[#This Row],[Total Athletes]]-(LEN(Table91949698100[[#This Row],[Setters]])-LEN(SUBSTITUTE(Table91949698100[[#This Row],[Setters]],"/","")))-(LEN(Table91949698100[[#This Row],[Liberos]])-LEN(SUBSTITUTE(Table91949698100[[#This Row],[Liberos]],"/","")))-(LEN(Table91949698100[[#This Row],[Outside Hitters]])-LEN(SUBSTITUTE(Table91949698100[[#This Row],[Outside Hitters]],"/","")))-(LEN(Table91949698100[[#This Row],[Opposite Spikers]])-LEN(SUBSTITUTE(Table91949698100[[#This Row],[Opposite Spikers]],"/","")))-(LEN(Table91949698100[[#This Row],[Middle Blockers]])-LEN(SUBSTITUTE(Table91949698100[[#This Row],[Middle Blockers]],"/","")))-5</f>
        <v>6</v>
      </c>
      <c r="J19" s="6">
        <v>12</v>
      </c>
    </row>
    <row r="20" spans="1:10" x14ac:dyDescent="0.3">
      <c r="A20" s="6"/>
      <c r="B20" s="6"/>
      <c r="C20" s="6"/>
      <c r="D20" s="6" t="s">
        <v>1593</v>
      </c>
      <c r="E20" s="6"/>
      <c r="F20" s="6" t="s">
        <v>436</v>
      </c>
      <c r="G20" s="6"/>
      <c r="H20" s="6">
        <v>12</v>
      </c>
      <c r="I20" s="6">
        <f>Table91949698100[[#This Row],[Total Athletes]]-(LEN(Table91949698100[[#This Row],[Setters]])-LEN(SUBSTITUTE(Table91949698100[[#This Row],[Setters]],"/","")))-(LEN(Table91949698100[[#This Row],[Liberos]])-LEN(SUBSTITUTE(Table91949698100[[#This Row],[Liberos]],"/","")))-(LEN(Table91949698100[[#This Row],[Outside Hitters]])-LEN(SUBSTITUTE(Table91949698100[[#This Row],[Outside Hitters]],"/","")))-(LEN(Table91949698100[[#This Row],[Opposite Spikers]])-LEN(SUBSTITUTE(Table91949698100[[#This Row],[Opposite Spikers]],"/","")))-(LEN(Table91949698100[[#This Row],[Middle Blockers]])-LEN(SUBSTITUTE(Table91949698100[[#This Row],[Middle Blockers]],"/","")))-5</f>
        <v>7</v>
      </c>
      <c r="J20" s="6">
        <v>12</v>
      </c>
    </row>
    <row r="21" spans="1:10" x14ac:dyDescent="0.3">
      <c r="A21" s="6" t="s">
        <v>2644</v>
      </c>
      <c r="B21" s="6"/>
      <c r="C21" s="6" t="s">
        <v>2132</v>
      </c>
      <c r="D21" s="6" t="s">
        <v>2131</v>
      </c>
      <c r="E21" s="6" t="s">
        <v>2129</v>
      </c>
      <c r="F21" s="6" t="s">
        <v>694</v>
      </c>
      <c r="G21" s="6">
        <v>5</v>
      </c>
      <c r="H21" s="6"/>
      <c r="I21" s="6">
        <f>Table91949698100[[#This Row],[Total Athletes]]-(LEN(Table91949698100[[#This Row],[Setters]])-LEN(SUBSTITUTE(Table91949698100[[#This Row],[Setters]],"/","")))-(LEN(Table91949698100[[#This Row],[Liberos]])-LEN(SUBSTITUTE(Table91949698100[[#This Row],[Liberos]],"/","")))-(LEN(Table91949698100[[#This Row],[Outside Hitters]])-LEN(SUBSTITUTE(Table91949698100[[#This Row],[Outside Hitters]],"/","")))-(LEN(Table91949698100[[#This Row],[Opposite Spikers]])-LEN(SUBSTITUTE(Table91949698100[[#This Row],[Opposite Spikers]],"/","")))-(LEN(Table91949698100[[#This Row],[Middle Blockers]])-LEN(SUBSTITUTE(Table91949698100[[#This Row],[Middle Blockers]],"/","")))-5</f>
        <v>6</v>
      </c>
      <c r="J21" s="6">
        <v>12</v>
      </c>
    </row>
    <row r="22" spans="1:10" x14ac:dyDescent="0.3">
      <c r="A22" s="6" t="s">
        <v>2273</v>
      </c>
      <c r="B22" s="6"/>
      <c r="C22" s="6" t="s">
        <v>3223</v>
      </c>
      <c r="D22" s="6" t="s">
        <v>4753</v>
      </c>
      <c r="E22" s="6" t="s">
        <v>1595</v>
      </c>
      <c r="F22" s="6" t="s">
        <v>356</v>
      </c>
      <c r="G22" s="6">
        <v>4</v>
      </c>
      <c r="H22" s="6"/>
      <c r="I22" s="6">
        <f>Table91949698100[[#This Row],[Total Athletes]]-(LEN(Table91949698100[[#This Row],[Setters]])-LEN(SUBSTITUTE(Table91949698100[[#This Row],[Setters]],"/","")))-(LEN(Table91949698100[[#This Row],[Liberos]])-LEN(SUBSTITUTE(Table91949698100[[#This Row],[Liberos]],"/","")))-(LEN(Table91949698100[[#This Row],[Outside Hitters]])-LEN(SUBSTITUTE(Table91949698100[[#This Row],[Outside Hitters]],"/","")))-(LEN(Table91949698100[[#This Row],[Opposite Spikers]])-LEN(SUBSTITUTE(Table91949698100[[#This Row],[Opposite Spikers]],"/","")))-(LEN(Table91949698100[[#This Row],[Middle Blockers]])-LEN(SUBSTITUTE(Table91949698100[[#This Row],[Middle Blockers]],"/","")))-5</f>
        <v>7</v>
      </c>
      <c r="J22" s="6">
        <v>12</v>
      </c>
    </row>
    <row r="23" spans="1:10" x14ac:dyDescent="0.3">
      <c r="A23" s="6" t="s">
        <v>3403</v>
      </c>
      <c r="B23" s="6"/>
      <c r="C23" s="6" t="s">
        <v>3818</v>
      </c>
      <c r="D23" s="6" t="s">
        <v>3401</v>
      </c>
      <c r="E23" s="6"/>
      <c r="F23" s="6" t="s">
        <v>340</v>
      </c>
      <c r="G23" s="6">
        <v>11</v>
      </c>
      <c r="H23" s="6"/>
      <c r="I23" s="6">
        <f>Table91949698100[[#This Row],[Total Athletes]]-(LEN(Table91949698100[[#This Row],[Setters]])-LEN(SUBSTITUTE(Table91949698100[[#This Row],[Setters]],"/","")))-(LEN(Table91949698100[[#This Row],[Liberos]])-LEN(SUBSTITUTE(Table91949698100[[#This Row],[Liberos]],"/","")))-(LEN(Table91949698100[[#This Row],[Outside Hitters]])-LEN(SUBSTITUTE(Table91949698100[[#This Row],[Outside Hitters]],"/","")))-(LEN(Table91949698100[[#This Row],[Opposite Spikers]])-LEN(SUBSTITUTE(Table91949698100[[#This Row],[Opposite Spikers]],"/","")))-(LEN(Table91949698100[[#This Row],[Middle Blockers]])-LEN(SUBSTITUTE(Table91949698100[[#This Row],[Middle Blockers]],"/","")))-5</f>
        <v>6</v>
      </c>
      <c r="J23" s="6">
        <v>12</v>
      </c>
    </row>
    <row r="24" spans="1:10" x14ac:dyDescent="0.3">
      <c r="A24" s="6"/>
      <c r="B24" s="6"/>
      <c r="C24" s="6" t="s">
        <v>3914</v>
      </c>
      <c r="D24" s="6"/>
      <c r="E24" s="6" t="s">
        <v>4025</v>
      </c>
      <c r="F24" s="6" t="s">
        <v>690</v>
      </c>
      <c r="G24" s="6">
        <v>9</v>
      </c>
      <c r="H24" s="6"/>
      <c r="I24" s="6">
        <f>Table91949698100[[#This Row],[Total Athletes]]-(LEN(Table91949698100[[#This Row],[Setters]])-LEN(SUBSTITUTE(Table91949698100[[#This Row],[Setters]],"/","")))-(LEN(Table91949698100[[#This Row],[Liberos]])-LEN(SUBSTITUTE(Table91949698100[[#This Row],[Liberos]],"/","")))-(LEN(Table91949698100[[#This Row],[Outside Hitters]])-LEN(SUBSTITUTE(Table91949698100[[#This Row],[Outside Hitters]],"/","")))-(LEN(Table91949698100[[#This Row],[Opposite Spikers]])-LEN(SUBSTITUTE(Table91949698100[[#This Row],[Opposite Spikers]],"/","")))-(LEN(Table91949698100[[#This Row],[Middle Blockers]])-LEN(SUBSTITUTE(Table91949698100[[#This Row],[Middle Blockers]],"/","")))-5</f>
        <v>6</v>
      </c>
      <c r="J24" s="6">
        <v>12</v>
      </c>
    </row>
    <row r="25" spans="1:10" x14ac:dyDescent="0.3">
      <c r="A25" s="6" t="s">
        <v>4409</v>
      </c>
      <c r="B25" s="6"/>
      <c r="C25" s="6" t="s">
        <v>4418</v>
      </c>
      <c r="D25" s="6" t="s">
        <v>4412</v>
      </c>
      <c r="E25" s="6" t="s">
        <v>4434</v>
      </c>
      <c r="F25" s="6" t="s">
        <v>326</v>
      </c>
      <c r="G25" s="6">
        <v>12</v>
      </c>
      <c r="H25" s="6"/>
      <c r="I25" s="6">
        <f>Table91949698100[[#This Row],[Total Athletes]]-(LEN(Table91949698100[[#This Row],[Setters]])-LEN(SUBSTITUTE(Table91949698100[[#This Row],[Setters]],"/","")))-(LEN(Table91949698100[[#This Row],[Liberos]])-LEN(SUBSTITUTE(Table91949698100[[#This Row],[Liberos]],"/","")))-(LEN(Table91949698100[[#This Row],[Outside Hitters]])-LEN(SUBSTITUTE(Table91949698100[[#This Row],[Outside Hitters]],"/","")))-(LEN(Table91949698100[[#This Row],[Opposite Spikers]])-LEN(SUBSTITUTE(Table91949698100[[#This Row],[Opposite Spikers]],"/","")))-(LEN(Table91949698100[[#This Row],[Middle Blockers]])-LEN(SUBSTITUTE(Table91949698100[[#This Row],[Middle Blockers]],"/","")))-5</f>
        <v>5</v>
      </c>
      <c r="J25" s="6">
        <v>12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3CA9D-3EEF-4BC4-8E9E-0FCA9AB2F776}">
  <dimension ref="A1:J23"/>
  <sheetViews>
    <sheetView topLeftCell="D19" workbookViewId="0">
      <selection activeCell="F24" sqref="F24"/>
    </sheetView>
  </sheetViews>
  <sheetFormatPr defaultRowHeight="14.4" x14ac:dyDescent="0.3"/>
  <cols>
    <col min="1" max="1" width="45.21875" bestFit="1" customWidth="1"/>
    <col min="2" max="2" width="119.77734375" bestFit="1" customWidth="1"/>
    <col min="3" max="3" width="67" bestFit="1" customWidth="1"/>
    <col min="4" max="4" width="55.88671875" bestFit="1" customWidth="1"/>
    <col min="5" max="5" width="87.109375" bestFit="1" customWidth="1"/>
    <col min="6" max="6" width="12.21875" bestFit="1" customWidth="1"/>
    <col min="7" max="7" width="19.88671875" bestFit="1" customWidth="1"/>
    <col min="8" max="8" width="22.5546875" bestFit="1" customWidth="1"/>
    <col min="9" max="9" width="17" bestFit="1" customWidth="1"/>
    <col min="10" max="10" width="14.77734375" bestFit="1" customWidth="1"/>
  </cols>
  <sheetData>
    <row r="1" spans="1:10" x14ac:dyDescent="0.3">
      <c r="A1" t="s">
        <v>838</v>
      </c>
      <c r="B1" t="s">
        <v>839</v>
      </c>
      <c r="C1" t="s">
        <v>850</v>
      </c>
      <c r="D1" t="s">
        <v>851</v>
      </c>
      <c r="E1" t="s">
        <v>1050</v>
      </c>
      <c r="F1" t="s">
        <v>1</v>
      </c>
      <c r="G1" t="s">
        <v>900</v>
      </c>
      <c r="H1" t="s">
        <v>901</v>
      </c>
      <c r="I1" t="s">
        <v>1212</v>
      </c>
      <c r="J1" t="s">
        <v>1213</v>
      </c>
    </row>
    <row r="2" spans="1:10" x14ac:dyDescent="0.3">
      <c r="A2" s="6" t="s">
        <v>4455</v>
      </c>
      <c r="B2" s="6" t="s">
        <v>2333</v>
      </c>
      <c r="C2" s="6" t="s">
        <v>2697</v>
      </c>
      <c r="D2" s="6" t="s">
        <v>4862</v>
      </c>
      <c r="E2" s="6" t="s">
        <v>2851</v>
      </c>
      <c r="F2" s="6" t="s">
        <v>344</v>
      </c>
      <c r="G2" s="6">
        <v>10</v>
      </c>
      <c r="H2" s="6"/>
      <c r="I2" s="6">
        <f>Table91949698100102[[#This Row],[Total Athletes]]-(LEN(Table91949698100102[[#This Row],[Goalkeepers]])-LEN(SUBSTITUTE(Table91949698100102[[#This Row],[Goalkeepers]],"/","")))-(LEN(Table91949698100102[[#This Row],[Defenders]])-LEN(SUBSTITUTE(Table91949698100102[[#This Row],[Defenders]],"/","")))-(LEN(Table91949698100102[[#This Row],[Centre Backs]])-LEN(SUBSTITUTE(Table91949698100102[[#This Row],[Centre Backs]],"/","")))-(LEN(Table91949698100102[[#This Row],[Center Forwards]])-LEN(SUBSTITUTE(Table91949698100102[[#This Row],[Center Forwards]],"/","")))-(LEN(Table91949698100102[[#This Row],[Wingers]])-LEN(SUBSTITUTE(Table91949698100102[[#This Row],[Wingers]],"/","")))-5</f>
        <v>4</v>
      </c>
      <c r="J2" s="6">
        <v>13</v>
      </c>
    </row>
    <row r="3" spans="1:10" x14ac:dyDescent="0.3">
      <c r="A3" s="6" t="s">
        <v>2055</v>
      </c>
      <c r="B3" s="6" t="s">
        <v>3193</v>
      </c>
      <c r="C3" s="6"/>
      <c r="D3" s="6" t="s">
        <v>3190</v>
      </c>
      <c r="E3" s="6"/>
      <c r="F3" s="6" t="s">
        <v>344</v>
      </c>
      <c r="G3" s="6"/>
      <c r="H3" s="6">
        <v>9</v>
      </c>
      <c r="I3" s="6">
        <f>Table91949698100102[[#This Row],[Total Athletes]]-(LEN(Table91949698100102[[#This Row],[Goalkeepers]])-LEN(SUBSTITUTE(Table91949698100102[[#This Row],[Goalkeepers]],"/","")))-(LEN(Table91949698100102[[#This Row],[Defenders]])-LEN(SUBSTITUTE(Table91949698100102[[#This Row],[Defenders]],"/","")))-(LEN(Table91949698100102[[#This Row],[Centre Backs]])-LEN(SUBSTITUTE(Table91949698100102[[#This Row],[Centre Backs]],"/","")))-(LEN(Table91949698100102[[#This Row],[Center Forwards]])-LEN(SUBSTITUTE(Table91949698100102[[#This Row],[Center Forwards]],"/","")))-(LEN(Table91949698100102[[#This Row],[Wingers]])-LEN(SUBSTITUTE(Table91949698100102[[#This Row],[Wingers]],"/","")))-5</f>
        <v>6</v>
      </c>
      <c r="J3" s="6">
        <v>13</v>
      </c>
    </row>
    <row r="4" spans="1:10" x14ac:dyDescent="0.3">
      <c r="A4" s="6"/>
      <c r="B4" s="6"/>
      <c r="C4" s="6"/>
      <c r="D4" s="6"/>
      <c r="E4" s="6"/>
      <c r="F4" s="6" t="s">
        <v>412</v>
      </c>
      <c r="G4" s="6"/>
      <c r="H4" s="6">
        <v>-1</v>
      </c>
      <c r="I4" s="6">
        <f>Table91949698100102[[#This Row],[Total Athletes]]-(LEN(Table91949698100102[[#This Row],[Goalkeepers]])-LEN(SUBSTITUTE(Table91949698100102[[#This Row],[Goalkeepers]],"/","")))-(LEN(Table91949698100102[[#This Row],[Defenders]])-LEN(SUBSTITUTE(Table91949698100102[[#This Row],[Defenders]],"/","")))-(LEN(Table91949698100102[[#This Row],[Centre Backs]])-LEN(SUBSTITUTE(Table91949698100102[[#This Row],[Centre Backs]],"/","")))-(LEN(Table91949698100102[[#This Row],[Center Forwards]])-LEN(SUBSTITUTE(Table91949698100102[[#This Row],[Center Forwards]],"/","")))-(LEN(Table91949698100102[[#This Row],[Wingers]])-LEN(SUBSTITUTE(Table91949698100102[[#This Row],[Wingers]],"/","")))-5</f>
        <v>-5</v>
      </c>
      <c r="J4" s="6"/>
    </row>
    <row r="5" spans="1:10" x14ac:dyDescent="0.3">
      <c r="A5" s="6"/>
      <c r="B5" s="6"/>
      <c r="C5" s="6" t="s">
        <v>3982</v>
      </c>
      <c r="D5" s="6"/>
      <c r="E5" s="6" t="s">
        <v>4009</v>
      </c>
      <c r="F5" s="6" t="s">
        <v>330</v>
      </c>
      <c r="G5" s="6"/>
      <c r="H5" s="6">
        <v>1</v>
      </c>
      <c r="I5" s="6">
        <f>Table91949698100102[[#This Row],[Total Athletes]]-(LEN(Table91949698100102[[#This Row],[Goalkeepers]])-LEN(SUBSTITUTE(Table91949698100102[[#This Row],[Goalkeepers]],"/","")))-(LEN(Table91949698100102[[#This Row],[Defenders]])-LEN(SUBSTITUTE(Table91949698100102[[#This Row],[Defenders]],"/","")))-(LEN(Table91949698100102[[#This Row],[Centre Backs]])-LEN(SUBSTITUTE(Table91949698100102[[#This Row],[Centre Backs]],"/","")))-(LEN(Table91949698100102[[#This Row],[Center Forwards]])-LEN(SUBSTITUTE(Table91949698100102[[#This Row],[Center Forwards]],"/","")))-(LEN(Table91949698100102[[#This Row],[Wingers]])-LEN(SUBSTITUTE(Table91949698100102[[#This Row],[Wingers]],"/","")))-5</f>
        <v>8</v>
      </c>
      <c r="J5" s="6">
        <v>13</v>
      </c>
    </row>
    <row r="6" spans="1:10" x14ac:dyDescent="0.3">
      <c r="A6" s="6" t="s">
        <v>4597</v>
      </c>
      <c r="B6" s="6"/>
      <c r="C6" s="6"/>
      <c r="D6" s="6"/>
      <c r="E6" s="6"/>
      <c r="F6" s="6" t="s">
        <v>406</v>
      </c>
      <c r="G6" s="6">
        <v>4</v>
      </c>
      <c r="H6" s="6"/>
      <c r="I6" s="6">
        <f>Table91949698100102[[#This Row],[Total Athletes]]-(LEN(Table91949698100102[[#This Row],[Goalkeepers]])-LEN(SUBSTITUTE(Table91949698100102[[#This Row],[Goalkeepers]],"/","")))-(LEN(Table91949698100102[[#This Row],[Defenders]])-LEN(SUBSTITUTE(Table91949698100102[[#This Row],[Defenders]],"/","")))-(LEN(Table91949698100102[[#This Row],[Centre Backs]])-LEN(SUBSTITUTE(Table91949698100102[[#This Row],[Centre Backs]],"/","")))-(LEN(Table91949698100102[[#This Row],[Center Forwards]])-LEN(SUBSTITUTE(Table91949698100102[[#This Row],[Center Forwards]],"/","")))-(LEN(Table91949698100102[[#This Row],[Wingers]])-LEN(SUBSTITUTE(Table91949698100102[[#This Row],[Wingers]],"/","")))-5</f>
        <v>8</v>
      </c>
      <c r="J6" s="6">
        <v>13</v>
      </c>
    </row>
    <row r="7" spans="1:10" x14ac:dyDescent="0.3">
      <c r="A7" s="6"/>
      <c r="B7" s="6" t="s">
        <v>3430</v>
      </c>
      <c r="C7" s="6"/>
      <c r="D7" s="6" t="s">
        <v>3421</v>
      </c>
      <c r="E7" s="6"/>
      <c r="F7" s="6" t="s">
        <v>342</v>
      </c>
      <c r="G7" s="6">
        <v>5</v>
      </c>
      <c r="H7" s="6"/>
      <c r="I7" s="6">
        <f>Table91949698100102[[#This Row],[Total Athletes]]-(LEN(Table91949698100102[[#This Row],[Goalkeepers]])-LEN(SUBSTITUTE(Table91949698100102[[#This Row],[Goalkeepers]],"/","")))-(LEN(Table91949698100102[[#This Row],[Defenders]])-LEN(SUBSTITUTE(Table91949698100102[[#This Row],[Defenders]],"/","")))-(LEN(Table91949698100102[[#This Row],[Centre Backs]])-LEN(SUBSTITUTE(Table91949698100102[[#This Row],[Centre Backs]],"/","")))-(LEN(Table91949698100102[[#This Row],[Center Forwards]])-LEN(SUBSTITUTE(Table91949698100102[[#This Row],[Center Forwards]],"/","")))-(LEN(Table91949698100102[[#This Row],[Wingers]])-LEN(SUBSTITUTE(Table91949698100102[[#This Row],[Wingers]],"/","")))-5</f>
        <v>8</v>
      </c>
      <c r="J7" s="6">
        <v>13</v>
      </c>
    </row>
    <row r="8" spans="1:10" x14ac:dyDescent="0.3">
      <c r="A8" s="6" t="s">
        <v>1246</v>
      </c>
      <c r="B8" s="6" t="s">
        <v>2388</v>
      </c>
      <c r="C8" s="6" t="s">
        <v>2381</v>
      </c>
      <c r="D8" s="6" t="s">
        <v>2403</v>
      </c>
      <c r="E8" s="6"/>
      <c r="F8" s="6" t="s">
        <v>354</v>
      </c>
      <c r="G8" s="6"/>
      <c r="H8" s="6">
        <v>2</v>
      </c>
      <c r="I8" s="6">
        <f>Table91949698100102[[#This Row],[Total Athletes]]-(LEN(Table91949698100102[[#This Row],[Goalkeepers]])-LEN(SUBSTITUTE(Table91949698100102[[#This Row],[Goalkeepers]],"/","")))-(LEN(Table91949698100102[[#This Row],[Defenders]])-LEN(SUBSTITUTE(Table91949698100102[[#This Row],[Defenders]],"/","")))-(LEN(Table91949698100102[[#This Row],[Centre Backs]])-LEN(SUBSTITUTE(Table91949698100102[[#This Row],[Centre Backs]],"/","")))-(LEN(Table91949698100102[[#This Row],[Center Forwards]])-LEN(SUBSTITUTE(Table91949698100102[[#This Row],[Center Forwards]],"/","")))-(LEN(Table91949698100102[[#This Row],[Wingers]])-LEN(SUBSTITUTE(Table91949698100102[[#This Row],[Wingers]],"/","")))-5</f>
        <v>5</v>
      </c>
      <c r="J8" s="6">
        <v>13</v>
      </c>
    </row>
    <row r="9" spans="1:10" x14ac:dyDescent="0.3">
      <c r="A9" s="6"/>
      <c r="B9" s="6"/>
      <c r="C9" s="6" t="s">
        <v>2784</v>
      </c>
      <c r="D9" s="6" t="s">
        <v>2786</v>
      </c>
      <c r="E9" s="6"/>
      <c r="F9" s="6" t="s">
        <v>328</v>
      </c>
      <c r="G9" s="6"/>
      <c r="H9" s="6">
        <v>10</v>
      </c>
      <c r="I9" s="6">
        <f>Table91949698100102[[#This Row],[Total Athletes]]-(LEN(Table91949698100102[[#This Row],[Goalkeepers]])-LEN(SUBSTITUTE(Table91949698100102[[#This Row],[Goalkeepers]],"/","")))-(LEN(Table91949698100102[[#This Row],[Defenders]])-LEN(SUBSTITUTE(Table91949698100102[[#This Row],[Defenders]],"/","")))-(LEN(Table91949698100102[[#This Row],[Centre Backs]])-LEN(SUBSTITUTE(Table91949698100102[[#This Row],[Centre Backs]],"/","")))-(LEN(Table91949698100102[[#This Row],[Center Forwards]])-LEN(SUBSTITUTE(Table91949698100102[[#This Row],[Center Forwards]],"/","")))-(LEN(Table91949698100102[[#This Row],[Wingers]])-LEN(SUBSTITUTE(Table91949698100102[[#This Row],[Wingers]],"/","")))-5</f>
        <v>8</v>
      </c>
      <c r="J9" s="6">
        <v>13</v>
      </c>
    </row>
    <row r="10" spans="1:10" x14ac:dyDescent="0.3">
      <c r="A10" s="6" t="s">
        <v>3197</v>
      </c>
      <c r="B10" s="6" t="s">
        <v>1416</v>
      </c>
      <c r="C10" s="6"/>
      <c r="D10" s="6"/>
      <c r="E10" s="6" t="s">
        <v>3298</v>
      </c>
      <c r="F10" s="6" t="s">
        <v>428</v>
      </c>
      <c r="G10" s="6">
        <v>11</v>
      </c>
      <c r="H10" s="6"/>
      <c r="I10" s="6">
        <f>Table91949698100102[[#This Row],[Total Athletes]]-(LEN(Table91949698100102[[#This Row],[Goalkeepers]])-LEN(SUBSTITUTE(Table91949698100102[[#This Row],[Goalkeepers]],"/","")))-(LEN(Table91949698100102[[#This Row],[Defenders]])-LEN(SUBSTITUTE(Table91949698100102[[#This Row],[Defenders]],"/","")))-(LEN(Table91949698100102[[#This Row],[Centre Backs]])-LEN(SUBSTITUTE(Table91949698100102[[#This Row],[Centre Backs]],"/","")))-(LEN(Table91949698100102[[#This Row],[Center Forwards]])-LEN(SUBSTITUTE(Table91949698100102[[#This Row],[Center Forwards]],"/","")))-(LEN(Table91949698100102[[#This Row],[Wingers]])-LEN(SUBSTITUTE(Table91949698100102[[#This Row],[Wingers]],"/","")))-5</f>
        <v>4</v>
      </c>
      <c r="J10" s="6">
        <v>13</v>
      </c>
    </row>
    <row r="11" spans="1:10" x14ac:dyDescent="0.3">
      <c r="A11" s="6" t="s">
        <v>2082</v>
      </c>
      <c r="B11" s="6" t="s">
        <v>2079</v>
      </c>
      <c r="C11" s="6" t="s">
        <v>2086</v>
      </c>
      <c r="D11" s="6" t="s">
        <v>2043</v>
      </c>
      <c r="E11" s="6"/>
      <c r="F11" s="6" t="s">
        <v>332</v>
      </c>
      <c r="G11" s="6">
        <v>3</v>
      </c>
      <c r="H11" s="6"/>
      <c r="I11" s="6">
        <f>Table91949698100102[[#This Row],[Total Athletes]]-(LEN(Table91949698100102[[#This Row],[Goalkeepers]])-LEN(SUBSTITUTE(Table91949698100102[[#This Row],[Goalkeepers]],"/","")))-(LEN(Table91949698100102[[#This Row],[Defenders]])-LEN(SUBSTITUTE(Table91949698100102[[#This Row],[Defenders]],"/","")))-(LEN(Table91949698100102[[#This Row],[Centre Backs]])-LEN(SUBSTITUTE(Table91949698100102[[#This Row],[Centre Backs]],"/","")))-(LEN(Table91949698100102[[#This Row],[Center Forwards]])-LEN(SUBSTITUTE(Table91949698100102[[#This Row],[Center Forwards]],"/","")))-(LEN(Table91949698100102[[#This Row],[Wingers]])-LEN(SUBSTITUTE(Table91949698100102[[#This Row],[Wingers]],"/","")))-5</f>
        <v>0</v>
      </c>
      <c r="J11" s="6">
        <v>13</v>
      </c>
    </row>
    <row r="12" spans="1:10" x14ac:dyDescent="0.3">
      <c r="A12" s="6" t="s">
        <v>2028</v>
      </c>
      <c r="B12" s="6" t="s">
        <v>2068</v>
      </c>
      <c r="C12" s="6" t="s">
        <v>2053</v>
      </c>
      <c r="D12" s="6" t="s">
        <v>4533</v>
      </c>
      <c r="E12" s="6"/>
      <c r="F12" s="6" t="s">
        <v>332</v>
      </c>
      <c r="G12" s="6"/>
      <c r="H12" s="6">
        <v>4</v>
      </c>
      <c r="I12" s="6">
        <f>Table91949698100102[[#This Row],[Total Athletes]]-(LEN(Table91949698100102[[#This Row],[Goalkeepers]])-LEN(SUBSTITUTE(Table91949698100102[[#This Row],[Goalkeepers]],"/","")))-(LEN(Table91949698100102[[#This Row],[Defenders]])-LEN(SUBSTITUTE(Table91949698100102[[#This Row],[Defenders]],"/","")))-(LEN(Table91949698100102[[#This Row],[Centre Backs]])-LEN(SUBSTITUTE(Table91949698100102[[#This Row],[Centre Backs]],"/","")))-(LEN(Table91949698100102[[#This Row],[Center Forwards]])-LEN(SUBSTITUTE(Table91949698100102[[#This Row],[Center Forwards]],"/","")))-(LEN(Table91949698100102[[#This Row],[Wingers]])-LEN(SUBSTITUTE(Table91949698100102[[#This Row],[Wingers]],"/","")))-5</f>
        <v>-1</v>
      </c>
      <c r="J12" s="6">
        <v>13</v>
      </c>
    </row>
    <row r="13" spans="1:10" x14ac:dyDescent="0.3">
      <c r="A13" s="6" t="s">
        <v>4005</v>
      </c>
      <c r="B13" s="6" t="s">
        <v>4882</v>
      </c>
      <c r="C13" s="6" t="s">
        <v>3980</v>
      </c>
      <c r="D13" s="6" t="s">
        <v>2972</v>
      </c>
      <c r="E13" s="6"/>
      <c r="F13" s="6" t="s">
        <v>330</v>
      </c>
      <c r="G13" s="6">
        <v>6</v>
      </c>
      <c r="H13" s="6"/>
      <c r="I13" s="6">
        <f>Table91949698100102[[#This Row],[Total Athletes]]-(LEN(Table91949698100102[[#This Row],[Goalkeepers]])-LEN(SUBSTITUTE(Table91949698100102[[#This Row],[Goalkeepers]],"/","")))-(LEN(Table91949698100102[[#This Row],[Defenders]])-LEN(SUBSTITUTE(Table91949698100102[[#This Row],[Defenders]],"/","")))-(LEN(Table91949698100102[[#This Row],[Centre Backs]])-LEN(SUBSTITUTE(Table91949698100102[[#This Row],[Centre Backs]],"/","")))-(LEN(Table91949698100102[[#This Row],[Center Forwards]])-LEN(SUBSTITUTE(Table91949698100102[[#This Row],[Center Forwards]],"/","")))-(LEN(Table91949698100102[[#This Row],[Wingers]])-LEN(SUBSTITUTE(Table91949698100102[[#This Row],[Wingers]],"/","")))-5</f>
        <v>8</v>
      </c>
      <c r="J13" s="6">
        <v>13</v>
      </c>
    </row>
    <row r="14" spans="1:10" x14ac:dyDescent="0.3">
      <c r="A14" s="6"/>
      <c r="B14" s="6" t="s">
        <v>3425</v>
      </c>
      <c r="C14" s="6" t="s">
        <v>3424</v>
      </c>
      <c r="D14" s="6"/>
      <c r="E14" s="6"/>
      <c r="F14" s="6" t="s">
        <v>342</v>
      </c>
      <c r="G14" s="6"/>
      <c r="H14" s="6">
        <v>7</v>
      </c>
      <c r="I14" s="6">
        <f>Table91949698100102[[#This Row],[Total Athletes]]-(LEN(Table91949698100102[[#This Row],[Goalkeepers]])-LEN(SUBSTITUTE(Table91949698100102[[#This Row],[Goalkeepers]],"/","")))-(LEN(Table91949698100102[[#This Row],[Defenders]])-LEN(SUBSTITUTE(Table91949698100102[[#This Row],[Defenders]],"/","")))-(LEN(Table91949698100102[[#This Row],[Centre Backs]])-LEN(SUBSTITUTE(Table91949698100102[[#This Row],[Centre Backs]],"/","")))-(LEN(Table91949698100102[[#This Row],[Center Forwards]])-LEN(SUBSTITUTE(Table91949698100102[[#This Row],[Center Forwards]],"/","")))-(LEN(Table91949698100102[[#This Row],[Wingers]])-LEN(SUBSTITUTE(Table91949698100102[[#This Row],[Wingers]],"/","")))-5</f>
        <v>6</v>
      </c>
      <c r="J14" s="6">
        <v>13</v>
      </c>
    </row>
    <row r="15" spans="1:10" x14ac:dyDescent="0.3">
      <c r="A15" s="6"/>
      <c r="B15" s="6"/>
      <c r="C15" s="6"/>
      <c r="D15" s="6" t="s">
        <v>2843</v>
      </c>
      <c r="E15" s="6"/>
      <c r="F15" s="6" t="s">
        <v>406</v>
      </c>
      <c r="G15" s="6"/>
      <c r="H15" s="6">
        <v>5</v>
      </c>
      <c r="I15" s="6">
        <f>Table91949698100102[[#This Row],[Total Athletes]]-(LEN(Table91949698100102[[#This Row],[Goalkeepers]])-LEN(SUBSTITUTE(Table91949698100102[[#This Row],[Goalkeepers]],"/","")))-(LEN(Table91949698100102[[#This Row],[Defenders]])-LEN(SUBSTITUTE(Table91949698100102[[#This Row],[Defenders]],"/","")))-(LEN(Table91949698100102[[#This Row],[Centre Backs]])-LEN(SUBSTITUTE(Table91949698100102[[#This Row],[Centre Backs]],"/","")))-(LEN(Table91949698100102[[#This Row],[Center Forwards]])-LEN(SUBSTITUTE(Table91949698100102[[#This Row],[Center Forwards]],"/","")))-(LEN(Table91949698100102[[#This Row],[Wingers]])-LEN(SUBSTITUTE(Table91949698100102[[#This Row],[Wingers]],"/","")))-5</f>
        <v>8</v>
      </c>
      <c r="J15" s="6">
        <v>13</v>
      </c>
    </row>
    <row r="16" spans="1:10" x14ac:dyDescent="0.3">
      <c r="A16" s="6" t="s">
        <v>1937</v>
      </c>
      <c r="B16" s="6"/>
      <c r="C16" s="6"/>
      <c r="D16" s="6" t="s">
        <v>1940</v>
      </c>
      <c r="E16" s="6" t="s">
        <v>1939</v>
      </c>
      <c r="F16" s="6" t="s">
        <v>356</v>
      </c>
      <c r="G16" s="6"/>
      <c r="H16" s="6">
        <v>6</v>
      </c>
      <c r="I16" s="6">
        <f>Table91949698100102[[#This Row],[Total Athletes]]-(LEN(Table91949698100102[[#This Row],[Goalkeepers]])-LEN(SUBSTITUTE(Table91949698100102[[#This Row],[Goalkeepers]],"/","")))-(LEN(Table91949698100102[[#This Row],[Defenders]])-LEN(SUBSTITUTE(Table91949698100102[[#This Row],[Defenders]],"/","")))-(LEN(Table91949698100102[[#This Row],[Centre Backs]])-LEN(SUBSTITUTE(Table91949698100102[[#This Row],[Centre Backs]],"/","")))-(LEN(Table91949698100102[[#This Row],[Center Forwards]])-LEN(SUBSTITUTE(Table91949698100102[[#This Row],[Center Forwards]],"/","")))-(LEN(Table91949698100102[[#This Row],[Wingers]])-LEN(SUBSTITUTE(Table91949698100102[[#This Row],[Wingers]],"/","")))-5</f>
        <v>8</v>
      </c>
      <c r="J16" s="6">
        <v>13</v>
      </c>
    </row>
    <row r="17" spans="1:10" x14ac:dyDescent="0.3">
      <c r="A17" s="6"/>
      <c r="B17" s="6" t="s">
        <v>2567</v>
      </c>
      <c r="C17" s="6" t="s">
        <v>2179</v>
      </c>
      <c r="D17" s="6" t="s">
        <v>2162</v>
      </c>
      <c r="E17" s="6"/>
      <c r="F17" s="6" t="s">
        <v>384</v>
      </c>
      <c r="G17" s="6"/>
      <c r="H17" s="6">
        <v>8</v>
      </c>
      <c r="I17" s="6">
        <f>Table91949698100102[[#This Row],[Total Athletes]]-(LEN(Table91949698100102[[#This Row],[Goalkeepers]])-LEN(SUBSTITUTE(Table91949698100102[[#This Row],[Goalkeepers]],"/","")))-(LEN(Table91949698100102[[#This Row],[Defenders]])-LEN(SUBSTITUTE(Table91949698100102[[#This Row],[Defenders]],"/","")))-(LEN(Table91949698100102[[#This Row],[Centre Backs]])-LEN(SUBSTITUTE(Table91949698100102[[#This Row],[Centre Backs]],"/","")))-(LEN(Table91949698100102[[#This Row],[Center Forwards]])-LEN(SUBSTITUTE(Table91949698100102[[#This Row],[Center Forwards]],"/","")))-(LEN(Table91949698100102[[#This Row],[Wingers]])-LEN(SUBSTITUTE(Table91949698100102[[#This Row],[Wingers]],"/","")))-5</f>
        <v>6</v>
      </c>
      <c r="J17" s="6">
        <v>13</v>
      </c>
    </row>
    <row r="18" spans="1:10" x14ac:dyDescent="0.3">
      <c r="A18" s="6"/>
      <c r="B18" s="6" t="s">
        <v>3714</v>
      </c>
      <c r="C18" s="6" t="s">
        <v>3707</v>
      </c>
      <c r="D18" s="6" t="s">
        <v>3541</v>
      </c>
      <c r="E18" s="6"/>
      <c r="F18" s="6" t="s">
        <v>450</v>
      </c>
      <c r="G18" s="6">
        <v>2</v>
      </c>
      <c r="H18" s="6"/>
      <c r="I18" s="6">
        <f>Table91949698100102[[#This Row],[Total Athletes]]-(LEN(Table91949698100102[[#This Row],[Goalkeepers]])-LEN(SUBSTITUTE(Table91949698100102[[#This Row],[Goalkeepers]],"/","")))-(LEN(Table91949698100102[[#This Row],[Defenders]])-LEN(SUBSTITUTE(Table91949698100102[[#This Row],[Defenders]],"/","")))-(LEN(Table91949698100102[[#This Row],[Centre Backs]])-LEN(SUBSTITUTE(Table91949698100102[[#This Row],[Centre Backs]],"/","")))-(LEN(Table91949698100102[[#This Row],[Center Forwards]])-LEN(SUBSTITUTE(Table91949698100102[[#This Row],[Center Forwards]],"/","")))-(LEN(Table91949698100102[[#This Row],[Wingers]])-LEN(SUBSTITUTE(Table91949698100102[[#This Row],[Wingers]],"/","")))-5</f>
        <v>5</v>
      </c>
      <c r="J18" s="6">
        <v>13</v>
      </c>
    </row>
    <row r="19" spans="1:10" x14ac:dyDescent="0.3">
      <c r="A19" s="6"/>
      <c r="B19" s="6"/>
      <c r="C19" s="6" t="s">
        <v>4095</v>
      </c>
      <c r="D19" s="6"/>
      <c r="E19" s="6" t="s">
        <v>1936</v>
      </c>
      <c r="F19" s="6" t="s">
        <v>356</v>
      </c>
      <c r="G19" s="6">
        <v>7</v>
      </c>
      <c r="H19" s="6"/>
      <c r="I19" s="6">
        <f>Table91949698100102[[#This Row],[Total Athletes]]-(LEN(Table91949698100102[[#This Row],[Goalkeepers]])-LEN(SUBSTITUTE(Table91949698100102[[#This Row],[Goalkeepers]],"/","")))-(LEN(Table91949698100102[[#This Row],[Defenders]])-LEN(SUBSTITUTE(Table91949698100102[[#This Row],[Defenders]],"/","")))-(LEN(Table91949698100102[[#This Row],[Centre Backs]])-LEN(SUBSTITUTE(Table91949698100102[[#This Row],[Centre Backs]],"/","")))-(LEN(Table91949698100102[[#This Row],[Center Forwards]])-LEN(SUBSTITUTE(Table91949698100102[[#This Row],[Center Forwards]],"/","")))-(LEN(Table91949698100102[[#This Row],[Wingers]])-LEN(SUBSTITUTE(Table91949698100102[[#This Row],[Wingers]],"/","")))-5</f>
        <v>7</v>
      </c>
      <c r="J19" s="6">
        <v>13</v>
      </c>
    </row>
    <row r="20" spans="1:10" x14ac:dyDescent="0.3">
      <c r="A20" s="6"/>
      <c r="B20" s="6"/>
      <c r="C20" s="6"/>
      <c r="D20" s="6"/>
      <c r="E20" s="6"/>
      <c r="F20" s="6" t="s">
        <v>690</v>
      </c>
      <c r="G20" s="6">
        <v>-1</v>
      </c>
      <c r="H20" s="6"/>
      <c r="I20" s="6">
        <f>Table91949698100102[[#This Row],[Total Athletes]]-(LEN(Table91949698100102[[#This Row],[Goalkeepers]])-LEN(SUBSTITUTE(Table91949698100102[[#This Row],[Goalkeepers]],"/","")))-(LEN(Table91949698100102[[#This Row],[Defenders]])-LEN(SUBSTITUTE(Table91949698100102[[#This Row],[Defenders]],"/","")))-(LEN(Table91949698100102[[#This Row],[Centre Backs]])-LEN(SUBSTITUTE(Table91949698100102[[#This Row],[Centre Backs]],"/","")))-(LEN(Table91949698100102[[#This Row],[Center Forwards]])-LEN(SUBSTITUTE(Table91949698100102[[#This Row],[Center Forwards]],"/","")))-(LEN(Table91949698100102[[#This Row],[Wingers]])-LEN(SUBSTITUTE(Table91949698100102[[#This Row],[Wingers]],"/","")))-5</f>
        <v>-5</v>
      </c>
      <c r="J20" s="6"/>
    </row>
    <row r="21" spans="1:10" x14ac:dyDescent="0.3">
      <c r="A21" s="6"/>
      <c r="B21" s="6"/>
      <c r="C21" s="6"/>
      <c r="D21" s="6"/>
      <c r="E21" s="6"/>
      <c r="F21" s="6" t="s">
        <v>644</v>
      </c>
      <c r="G21" s="6">
        <v>-1</v>
      </c>
      <c r="H21" s="6"/>
      <c r="I21" s="6">
        <f>Table91949698100102[[#This Row],[Total Athletes]]-(LEN(Table91949698100102[[#This Row],[Goalkeepers]])-LEN(SUBSTITUTE(Table91949698100102[[#This Row],[Goalkeepers]],"/","")))-(LEN(Table91949698100102[[#This Row],[Defenders]])-LEN(SUBSTITUTE(Table91949698100102[[#This Row],[Defenders]],"/","")))-(LEN(Table91949698100102[[#This Row],[Centre Backs]])-LEN(SUBSTITUTE(Table91949698100102[[#This Row],[Centre Backs]],"/","")))-(LEN(Table91949698100102[[#This Row],[Center Forwards]])-LEN(SUBSTITUTE(Table91949698100102[[#This Row],[Center Forwards]],"/","")))-(LEN(Table91949698100102[[#This Row],[Wingers]])-LEN(SUBSTITUTE(Table91949698100102[[#This Row],[Wingers]],"/","")))-5</f>
        <v>-5</v>
      </c>
      <c r="J21" s="6"/>
    </row>
    <row r="22" spans="1:10" x14ac:dyDescent="0.3">
      <c r="A22" s="6" t="s">
        <v>2438</v>
      </c>
      <c r="B22" s="6" t="s">
        <v>2933</v>
      </c>
      <c r="C22" s="6" t="s">
        <v>2440</v>
      </c>
      <c r="D22" s="6" t="s">
        <v>2408</v>
      </c>
      <c r="E22" s="6" t="s">
        <v>1253</v>
      </c>
      <c r="F22" s="6" t="s">
        <v>354</v>
      </c>
      <c r="G22" s="6">
        <v>8</v>
      </c>
      <c r="H22" s="6"/>
      <c r="I22" s="6">
        <f>Table91949698100102[[#This Row],[Total Athletes]]-(LEN(Table91949698100102[[#This Row],[Goalkeepers]])-LEN(SUBSTITUTE(Table91949698100102[[#This Row],[Goalkeepers]],"/","")))-(LEN(Table91949698100102[[#This Row],[Defenders]])-LEN(SUBSTITUTE(Table91949698100102[[#This Row],[Defenders]],"/","")))-(LEN(Table91949698100102[[#This Row],[Centre Backs]])-LEN(SUBSTITUTE(Table91949698100102[[#This Row],[Centre Backs]],"/","")))-(LEN(Table91949698100102[[#This Row],[Center Forwards]])-LEN(SUBSTITUTE(Table91949698100102[[#This Row],[Center Forwards]],"/","")))-(LEN(Table91949698100102[[#This Row],[Wingers]])-LEN(SUBSTITUTE(Table91949698100102[[#This Row],[Wingers]],"/","")))-5</f>
        <v>4</v>
      </c>
      <c r="J22" s="6">
        <v>13</v>
      </c>
    </row>
    <row r="23" spans="1:10" x14ac:dyDescent="0.3">
      <c r="A23" s="6" t="s">
        <v>4600</v>
      </c>
      <c r="B23" s="6" t="s">
        <v>4599</v>
      </c>
      <c r="C23" s="6" t="s">
        <v>1908</v>
      </c>
      <c r="D23" s="6" t="s">
        <v>3238</v>
      </c>
      <c r="E23" s="6" t="s">
        <v>1904</v>
      </c>
      <c r="F23" s="6" t="s">
        <v>348</v>
      </c>
      <c r="G23" s="6">
        <v>12</v>
      </c>
      <c r="H23" s="6"/>
      <c r="I23" s="6">
        <f>Table91949698100102[[#This Row],[Total Athletes]]-(LEN(Table91949698100102[[#This Row],[Goalkeepers]])-LEN(SUBSTITUTE(Table91949698100102[[#This Row],[Goalkeepers]],"/","")))-(LEN(Table91949698100102[[#This Row],[Defenders]])-LEN(SUBSTITUTE(Table91949698100102[[#This Row],[Defenders]],"/","")))-(LEN(Table91949698100102[[#This Row],[Centre Backs]])-LEN(SUBSTITUTE(Table91949698100102[[#This Row],[Centre Backs]],"/","")))-(LEN(Table91949698100102[[#This Row],[Center Forwards]])-LEN(SUBSTITUTE(Table91949698100102[[#This Row],[Center Forwards]],"/","")))-(LEN(Table91949698100102[[#This Row],[Wingers]])-LEN(SUBSTITUTE(Table91949698100102[[#This Row],[Wingers]],"/","")))-5</f>
        <v>3</v>
      </c>
      <c r="J23" s="6">
        <v>13</v>
      </c>
    </row>
  </sheetData>
  <pageMargins left="0.7" right="0.7" top="0.75" bottom="0.75" header="0.3" footer="0.3"/>
  <tableParts count="1">
    <tablePart r:id="rId1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F231B-C339-4CF8-B58B-889E858F5507}">
  <dimension ref="A1:G62"/>
  <sheetViews>
    <sheetView topLeftCell="A58" workbookViewId="0">
      <selection activeCell="B63" sqref="B63"/>
    </sheetView>
  </sheetViews>
  <sheetFormatPr defaultRowHeight="14.4" x14ac:dyDescent="0.3"/>
  <cols>
    <col min="1" max="1" width="24.33203125" bestFit="1" customWidth="1"/>
    <col min="2" max="2" width="17.33203125" bestFit="1" customWidth="1"/>
    <col min="3" max="5" width="18.6640625" bestFit="1" customWidth="1"/>
    <col min="6" max="6" width="19.77734375" bestFit="1" customWidth="1"/>
    <col min="7" max="7" width="23.77734375" bestFit="1" customWidth="1"/>
  </cols>
  <sheetData>
    <row r="1" spans="1:7" x14ac:dyDescent="0.3">
      <c r="A1" t="s">
        <v>832</v>
      </c>
      <c r="B1" t="s">
        <v>1</v>
      </c>
      <c r="C1" t="s">
        <v>933</v>
      </c>
      <c r="D1" t="s">
        <v>914</v>
      </c>
      <c r="E1" t="s">
        <v>934</v>
      </c>
      <c r="F1" t="s">
        <v>935</v>
      </c>
      <c r="G1" t="s">
        <v>936</v>
      </c>
    </row>
    <row r="2" spans="1:7" x14ac:dyDescent="0.3">
      <c r="A2" s="6" t="s">
        <v>2136</v>
      </c>
      <c r="B2" s="6" t="s">
        <v>344</v>
      </c>
      <c r="C2" s="6"/>
      <c r="D2" s="6">
        <v>9</v>
      </c>
      <c r="E2" s="6"/>
      <c r="F2" s="6"/>
      <c r="G2" s="6"/>
    </row>
    <row r="3" spans="1:7" x14ac:dyDescent="0.3">
      <c r="A3" s="6" t="s">
        <v>2840</v>
      </c>
      <c r="B3" s="6" t="s">
        <v>344</v>
      </c>
      <c r="C3" s="6"/>
      <c r="D3" s="6"/>
      <c r="E3" s="6">
        <v>9</v>
      </c>
      <c r="F3" s="6"/>
      <c r="G3" s="6"/>
    </row>
    <row r="4" spans="1:7" x14ac:dyDescent="0.3">
      <c r="A4" s="6"/>
      <c r="B4" s="6" t="s">
        <v>328</v>
      </c>
      <c r="C4" s="6">
        <v>-1</v>
      </c>
      <c r="D4" s="6"/>
      <c r="E4" s="6"/>
      <c r="F4" s="6"/>
      <c r="G4" s="6"/>
    </row>
    <row r="5" spans="1:7" x14ac:dyDescent="0.3">
      <c r="A5" s="6"/>
      <c r="B5" s="6" t="s">
        <v>332</v>
      </c>
      <c r="C5" s="6">
        <v>-1</v>
      </c>
      <c r="D5" s="6"/>
      <c r="E5" s="6"/>
      <c r="F5" s="6"/>
      <c r="G5" s="6"/>
    </row>
    <row r="6" spans="1:7" x14ac:dyDescent="0.3">
      <c r="A6" s="6"/>
      <c r="B6" s="6" t="s">
        <v>356</v>
      </c>
      <c r="C6" s="6">
        <v>-1</v>
      </c>
      <c r="D6" s="6"/>
      <c r="E6" s="6"/>
      <c r="F6" s="6"/>
      <c r="G6" s="6"/>
    </row>
    <row r="7" spans="1:7" x14ac:dyDescent="0.3">
      <c r="A7" s="6"/>
      <c r="B7" s="6" t="s">
        <v>432</v>
      </c>
      <c r="C7" s="6">
        <v>-1</v>
      </c>
      <c r="D7" s="6"/>
      <c r="E7" s="6"/>
      <c r="F7" s="6"/>
      <c r="G7" s="6"/>
    </row>
    <row r="8" spans="1:7" x14ac:dyDescent="0.3">
      <c r="A8" s="6"/>
      <c r="B8" s="6" t="s">
        <v>670</v>
      </c>
      <c r="C8" s="6">
        <v>-1</v>
      </c>
      <c r="D8" s="6"/>
      <c r="E8" s="6"/>
      <c r="F8" s="6"/>
      <c r="G8" s="6"/>
    </row>
    <row r="9" spans="1:7" x14ac:dyDescent="0.3">
      <c r="A9" s="6"/>
      <c r="B9" s="6" t="s">
        <v>478</v>
      </c>
      <c r="C9" s="6">
        <v>-1</v>
      </c>
      <c r="D9" s="6"/>
      <c r="E9" s="6"/>
      <c r="F9" s="6"/>
      <c r="G9" s="6"/>
    </row>
    <row r="10" spans="1:7" x14ac:dyDescent="0.3">
      <c r="A10" s="6"/>
      <c r="B10" s="6" t="s">
        <v>580</v>
      </c>
      <c r="C10" s="6">
        <v>-1</v>
      </c>
      <c r="D10" s="6"/>
      <c r="E10" s="6"/>
      <c r="F10" s="6"/>
      <c r="G10" s="6"/>
    </row>
    <row r="11" spans="1:7" x14ac:dyDescent="0.3">
      <c r="A11" s="6"/>
      <c r="B11" s="6" t="s">
        <v>382</v>
      </c>
      <c r="C11" s="6">
        <v>-1</v>
      </c>
      <c r="D11" s="6"/>
      <c r="E11" s="6"/>
      <c r="F11" s="6"/>
      <c r="G11" s="6"/>
    </row>
    <row r="12" spans="1:7" x14ac:dyDescent="0.3">
      <c r="A12" s="6"/>
      <c r="B12" s="6" t="s">
        <v>730</v>
      </c>
      <c r="C12" s="6">
        <v>-1</v>
      </c>
      <c r="D12" s="6"/>
      <c r="E12" s="6"/>
      <c r="F12" s="6"/>
      <c r="G12" s="6"/>
    </row>
    <row r="13" spans="1:7" x14ac:dyDescent="0.3">
      <c r="A13" s="6"/>
      <c r="B13" s="6" t="s">
        <v>370</v>
      </c>
      <c r="C13" s="6">
        <v>-1</v>
      </c>
      <c r="D13" s="6"/>
      <c r="E13" s="6"/>
      <c r="F13" s="6"/>
      <c r="G13" s="6"/>
    </row>
    <row r="14" spans="1:7" x14ac:dyDescent="0.3">
      <c r="A14" s="6" t="s">
        <v>4307</v>
      </c>
      <c r="B14" s="6" t="s">
        <v>666</v>
      </c>
      <c r="C14" s="6">
        <v>5</v>
      </c>
      <c r="D14" s="6"/>
      <c r="E14" s="6"/>
      <c r="F14" s="6"/>
      <c r="G14" s="6"/>
    </row>
    <row r="15" spans="1:7" x14ac:dyDescent="0.3">
      <c r="A15" s="6"/>
      <c r="B15" s="6" t="s">
        <v>432</v>
      </c>
      <c r="C15" s="6"/>
      <c r="D15" s="6">
        <v>-1</v>
      </c>
      <c r="E15" s="6"/>
      <c r="F15" s="6"/>
      <c r="G15" s="6"/>
    </row>
    <row r="16" spans="1:7" x14ac:dyDescent="0.3">
      <c r="A16" s="6"/>
      <c r="B16" s="6" t="s">
        <v>328</v>
      </c>
      <c r="C16" s="6"/>
      <c r="D16" s="6">
        <v>-1</v>
      </c>
      <c r="E16" s="6"/>
      <c r="F16" s="6"/>
      <c r="G16" s="6"/>
    </row>
    <row r="17" spans="1:7" x14ac:dyDescent="0.3">
      <c r="A17" s="6" t="s">
        <v>3195</v>
      </c>
      <c r="B17" s="6" t="s">
        <v>428</v>
      </c>
      <c r="C17" s="6"/>
      <c r="D17" s="6">
        <v>6</v>
      </c>
      <c r="E17" s="6"/>
      <c r="F17" s="6"/>
      <c r="G17" s="6"/>
    </row>
    <row r="18" spans="1:7" x14ac:dyDescent="0.3">
      <c r="A18" s="6"/>
      <c r="B18" s="6" t="s">
        <v>478</v>
      </c>
      <c r="C18" s="6"/>
      <c r="D18" s="6">
        <v>-1</v>
      </c>
      <c r="E18" s="6"/>
      <c r="F18" s="6"/>
      <c r="G18" s="6"/>
    </row>
    <row r="19" spans="1:7" x14ac:dyDescent="0.3">
      <c r="A19" s="6"/>
      <c r="B19" s="6" t="s">
        <v>370</v>
      </c>
      <c r="C19" s="6"/>
      <c r="D19" s="6">
        <v>-1</v>
      </c>
      <c r="E19" s="6"/>
      <c r="F19" s="6"/>
      <c r="G19" s="6"/>
    </row>
    <row r="20" spans="1:7" x14ac:dyDescent="0.3">
      <c r="A20" s="6"/>
      <c r="B20" s="6" t="s">
        <v>700</v>
      </c>
      <c r="C20" s="6"/>
      <c r="D20" s="6">
        <v>-1</v>
      </c>
      <c r="E20" s="6"/>
      <c r="F20" s="6"/>
      <c r="G20" s="6"/>
    </row>
    <row r="21" spans="1:7" x14ac:dyDescent="0.3">
      <c r="A21" s="6" t="s">
        <v>4312</v>
      </c>
      <c r="B21" s="6" t="s">
        <v>614</v>
      </c>
      <c r="C21" s="6"/>
      <c r="D21" s="6">
        <v>1001</v>
      </c>
      <c r="E21" s="6"/>
      <c r="F21" s="6"/>
      <c r="G21" s="6"/>
    </row>
    <row r="22" spans="1:7" x14ac:dyDescent="0.3">
      <c r="A22" s="6"/>
      <c r="B22" s="6" t="s">
        <v>718</v>
      </c>
      <c r="C22" s="6"/>
      <c r="D22" s="6">
        <v>-1</v>
      </c>
      <c r="E22" s="6"/>
      <c r="F22" s="6"/>
      <c r="G22" s="6"/>
    </row>
    <row r="23" spans="1:7" x14ac:dyDescent="0.3">
      <c r="A23" s="6"/>
      <c r="B23" s="6" t="s">
        <v>352</v>
      </c>
      <c r="C23" s="6"/>
      <c r="D23" s="6">
        <v>-1</v>
      </c>
      <c r="E23" s="6"/>
      <c r="F23" s="6"/>
      <c r="G23" s="6"/>
    </row>
    <row r="24" spans="1:7" x14ac:dyDescent="0.3">
      <c r="A24" s="6" t="s">
        <v>2238</v>
      </c>
      <c r="B24" s="6" t="s">
        <v>362</v>
      </c>
      <c r="C24" s="6"/>
      <c r="D24" s="6">
        <v>5</v>
      </c>
      <c r="E24" s="6"/>
      <c r="F24" s="6"/>
      <c r="G24" s="6"/>
    </row>
    <row r="25" spans="1:7" x14ac:dyDescent="0.3">
      <c r="A25" s="6"/>
      <c r="B25" s="6" t="s">
        <v>404</v>
      </c>
      <c r="C25" s="6"/>
      <c r="D25" s="6">
        <v>-1</v>
      </c>
      <c r="E25" s="6"/>
      <c r="F25" s="6"/>
      <c r="G25" s="6"/>
    </row>
    <row r="26" spans="1:7" x14ac:dyDescent="0.3">
      <c r="A26" s="6"/>
      <c r="B26" s="6" t="s">
        <v>370</v>
      </c>
      <c r="C26" s="6"/>
      <c r="D26" s="6"/>
      <c r="E26" s="6">
        <v>-1</v>
      </c>
      <c r="F26" s="6"/>
      <c r="G26" s="6"/>
    </row>
    <row r="27" spans="1:7" x14ac:dyDescent="0.3">
      <c r="A27" s="6"/>
      <c r="B27" s="6" t="s">
        <v>362</v>
      </c>
      <c r="C27" s="6"/>
      <c r="D27" s="6"/>
      <c r="E27" s="6">
        <v>-1</v>
      </c>
      <c r="F27" s="6"/>
      <c r="G27" s="6"/>
    </row>
    <row r="28" spans="1:7" x14ac:dyDescent="0.3">
      <c r="A28" s="6"/>
      <c r="B28" s="6" t="s">
        <v>352</v>
      </c>
      <c r="C28" s="6"/>
      <c r="D28" s="6"/>
      <c r="E28" s="6">
        <v>-1</v>
      </c>
      <c r="F28" s="6"/>
      <c r="G28" s="6"/>
    </row>
    <row r="29" spans="1:7" x14ac:dyDescent="0.3">
      <c r="A29" s="6"/>
      <c r="B29" s="6" t="s">
        <v>360</v>
      </c>
      <c r="C29" s="6"/>
      <c r="D29" s="6"/>
      <c r="E29" s="6">
        <v>-1</v>
      </c>
      <c r="F29" s="6"/>
      <c r="G29" s="6"/>
    </row>
    <row r="30" spans="1:7" x14ac:dyDescent="0.3">
      <c r="A30" s="6" t="s">
        <v>2197</v>
      </c>
      <c r="B30" s="6" t="s">
        <v>326</v>
      </c>
      <c r="C30" s="6"/>
      <c r="D30" s="6"/>
      <c r="E30" s="6">
        <v>1001</v>
      </c>
      <c r="F30" s="6"/>
      <c r="G30" s="6"/>
    </row>
    <row r="31" spans="1:7" x14ac:dyDescent="0.3">
      <c r="A31" s="6"/>
      <c r="B31" s="6" t="s">
        <v>356</v>
      </c>
      <c r="C31" s="6"/>
      <c r="D31" s="6"/>
      <c r="E31" s="6">
        <v>-1</v>
      </c>
      <c r="F31" s="6"/>
      <c r="G31" s="6"/>
    </row>
    <row r="32" spans="1:7" x14ac:dyDescent="0.3">
      <c r="A32" s="6"/>
      <c r="B32" s="6" t="s">
        <v>390</v>
      </c>
      <c r="C32" s="6"/>
      <c r="D32" s="6"/>
      <c r="E32" s="6">
        <v>-1</v>
      </c>
      <c r="F32" s="6"/>
      <c r="G32" s="6"/>
    </row>
    <row r="33" spans="1:7" x14ac:dyDescent="0.3">
      <c r="A33" s="6" t="s">
        <v>1960</v>
      </c>
      <c r="B33" s="6" t="s">
        <v>506</v>
      </c>
      <c r="C33" s="6"/>
      <c r="D33" s="6"/>
      <c r="E33" s="6">
        <v>7</v>
      </c>
      <c r="F33" s="6"/>
      <c r="G33" s="6"/>
    </row>
    <row r="34" spans="1:7" x14ac:dyDescent="0.3">
      <c r="A34" s="6"/>
      <c r="B34" s="6" t="s">
        <v>700</v>
      </c>
      <c r="C34" s="6"/>
      <c r="D34" s="6"/>
      <c r="E34" s="6">
        <v>-1</v>
      </c>
      <c r="F34" s="6"/>
      <c r="G34" s="6"/>
    </row>
    <row r="35" spans="1:7" x14ac:dyDescent="0.3">
      <c r="A35" s="6"/>
      <c r="B35" s="6" t="s">
        <v>384</v>
      </c>
      <c r="C35" s="6"/>
      <c r="D35" s="6"/>
      <c r="E35" s="6">
        <v>-1</v>
      </c>
      <c r="F35" s="6"/>
      <c r="G35" s="6"/>
    </row>
    <row r="36" spans="1:7" x14ac:dyDescent="0.3">
      <c r="A36" s="6" t="s">
        <v>2361</v>
      </c>
      <c r="B36" s="6" t="s">
        <v>354</v>
      </c>
      <c r="C36" s="6"/>
      <c r="D36" s="6"/>
      <c r="E36" s="6">
        <v>10</v>
      </c>
      <c r="F36" s="6"/>
      <c r="G36" s="6"/>
    </row>
    <row r="37" spans="1:7" x14ac:dyDescent="0.3">
      <c r="A37" s="6"/>
      <c r="B37" s="6" t="s">
        <v>328</v>
      </c>
      <c r="C37" s="6"/>
      <c r="D37" s="6"/>
      <c r="E37" s="6"/>
      <c r="F37" s="6">
        <v>-1</v>
      </c>
      <c r="G37" s="6"/>
    </row>
    <row r="38" spans="1:7" x14ac:dyDescent="0.3">
      <c r="A38" s="6" t="s">
        <v>3411</v>
      </c>
      <c r="B38" s="6" t="s">
        <v>506</v>
      </c>
      <c r="C38" s="6"/>
      <c r="D38" s="6"/>
      <c r="E38" s="6"/>
      <c r="F38" s="6">
        <v>4</v>
      </c>
      <c r="G38" s="6"/>
    </row>
    <row r="39" spans="1:7" x14ac:dyDescent="0.3">
      <c r="A39" s="6"/>
      <c r="B39" s="6" t="s">
        <v>672</v>
      </c>
      <c r="C39" s="6"/>
      <c r="D39" s="6"/>
      <c r="E39" s="6"/>
      <c r="F39" s="6">
        <v>-1</v>
      </c>
      <c r="G39" s="6"/>
    </row>
    <row r="40" spans="1:7" x14ac:dyDescent="0.3">
      <c r="A40" s="6"/>
      <c r="B40" s="6" t="s">
        <v>482</v>
      </c>
      <c r="C40" s="6"/>
      <c r="D40" s="6"/>
      <c r="E40" s="6"/>
      <c r="F40" s="6">
        <v>-1</v>
      </c>
      <c r="G40" s="6"/>
    </row>
    <row r="41" spans="1:7" x14ac:dyDescent="0.3">
      <c r="A41" s="6"/>
      <c r="B41" s="6" t="s">
        <v>518</v>
      </c>
      <c r="C41" s="6"/>
      <c r="D41" s="6"/>
      <c r="E41" s="6"/>
      <c r="F41" s="6">
        <v>-1</v>
      </c>
      <c r="G41" s="6"/>
    </row>
    <row r="42" spans="1:7" x14ac:dyDescent="0.3">
      <c r="A42" s="6"/>
      <c r="B42" s="6" t="s">
        <v>700</v>
      </c>
      <c r="C42" s="6"/>
      <c r="D42" s="6"/>
      <c r="E42" s="6"/>
      <c r="F42" s="6">
        <v>-1</v>
      </c>
      <c r="G42" s="6"/>
    </row>
    <row r="43" spans="1:7" x14ac:dyDescent="0.3">
      <c r="A43" s="6" t="s">
        <v>2239</v>
      </c>
      <c r="B43" s="6" t="s">
        <v>512</v>
      </c>
      <c r="C43" s="6"/>
      <c r="D43" s="6"/>
      <c r="E43" s="6"/>
      <c r="F43" s="6">
        <v>6</v>
      </c>
      <c r="G43" s="6"/>
    </row>
    <row r="44" spans="1:7" x14ac:dyDescent="0.3">
      <c r="A44" s="6"/>
      <c r="B44" s="6" t="s">
        <v>720</v>
      </c>
      <c r="C44" s="6"/>
      <c r="D44" s="6"/>
      <c r="E44" s="6"/>
      <c r="F44" s="6">
        <v>-1</v>
      </c>
      <c r="G44" s="6"/>
    </row>
    <row r="45" spans="1:7" x14ac:dyDescent="0.3">
      <c r="A45" s="6" t="s">
        <v>2775</v>
      </c>
      <c r="B45" s="6" t="s">
        <v>580</v>
      </c>
      <c r="C45" s="6"/>
      <c r="D45" s="6"/>
      <c r="E45" s="6"/>
      <c r="F45" s="6">
        <v>5</v>
      </c>
      <c r="G45" s="6"/>
    </row>
    <row r="46" spans="1:7" x14ac:dyDescent="0.3">
      <c r="A46" s="6"/>
      <c r="B46" s="6" t="s">
        <v>682</v>
      </c>
      <c r="C46" s="6"/>
      <c r="D46" s="6"/>
      <c r="E46" s="6"/>
      <c r="F46" s="6">
        <v>-1</v>
      </c>
      <c r="G46" s="6"/>
    </row>
    <row r="47" spans="1:7" x14ac:dyDescent="0.3">
      <c r="A47" s="6"/>
      <c r="B47" s="6" t="s">
        <v>332</v>
      </c>
      <c r="C47" s="6"/>
      <c r="D47" s="6"/>
      <c r="E47" s="6"/>
      <c r="F47" s="6">
        <v>-1</v>
      </c>
      <c r="G47" s="6"/>
    </row>
    <row r="48" spans="1:7" x14ac:dyDescent="0.3">
      <c r="A48" s="6"/>
      <c r="B48" s="6" t="s">
        <v>580</v>
      </c>
      <c r="C48" s="6"/>
      <c r="D48" s="6"/>
      <c r="E48" s="6"/>
      <c r="F48" s="6"/>
      <c r="G48" s="6">
        <v>-1</v>
      </c>
    </row>
    <row r="49" spans="1:7" x14ac:dyDescent="0.3">
      <c r="A49" s="6" t="s">
        <v>3414</v>
      </c>
      <c r="B49" s="6" t="s">
        <v>512</v>
      </c>
      <c r="C49" s="6"/>
      <c r="D49" s="6"/>
      <c r="E49" s="6"/>
      <c r="F49" s="6"/>
      <c r="G49" s="6">
        <v>3</v>
      </c>
    </row>
    <row r="50" spans="1:7" x14ac:dyDescent="0.3">
      <c r="A50" s="6" t="s">
        <v>3412</v>
      </c>
      <c r="B50" s="6" t="s">
        <v>506</v>
      </c>
      <c r="C50" s="6"/>
      <c r="D50" s="6"/>
      <c r="E50" s="6"/>
      <c r="F50" s="6"/>
      <c r="G50" s="6">
        <v>2</v>
      </c>
    </row>
    <row r="51" spans="1:7" x14ac:dyDescent="0.3">
      <c r="A51" s="6" t="s">
        <v>3459</v>
      </c>
      <c r="B51" s="6" t="s">
        <v>360</v>
      </c>
      <c r="C51" s="6"/>
      <c r="D51" s="6"/>
      <c r="E51" s="6"/>
      <c r="F51" s="6"/>
      <c r="G51" s="6">
        <v>4</v>
      </c>
    </row>
    <row r="52" spans="1:7" x14ac:dyDescent="0.3">
      <c r="A52" s="6"/>
      <c r="B52" s="6" t="s">
        <v>708</v>
      </c>
      <c r="C52" s="6"/>
      <c r="D52" s="6"/>
      <c r="E52" s="6"/>
      <c r="F52" s="6"/>
      <c r="G52" s="6">
        <v>-1</v>
      </c>
    </row>
    <row r="53" spans="1:7" x14ac:dyDescent="0.3">
      <c r="A53" s="6"/>
      <c r="B53" s="6" t="s">
        <v>326</v>
      </c>
      <c r="C53" s="6"/>
      <c r="D53" s="6"/>
      <c r="E53" s="6"/>
      <c r="F53" s="6"/>
      <c r="G53" s="6">
        <v>-1</v>
      </c>
    </row>
    <row r="54" spans="1:7" x14ac:dyDescent="0.3">
      <c r="A54" s="6"/>
      <c r="B54" s="6" t="s">
        <v>464</v>
      </c>
      <c r="C54" s="6"/>
      <c r="D54" s="6"/>
      <c r="E54" s="6"/>
      <c r="F54" s="6"/>
      <c r="G54" s="6">
        <v>-1</v>
      </c>
    </row>
    <row r="55" spans="1:7" x14ac:dyDescent="0.3">
      <c r="A55" s="6" t="s">
        <v>3461</v>
      </c>
      <c r="B55" s="6" t="s">
        <v>380</v>
      </c>
      <c r="C55" s="6"/>
      <c r="D55" s="6"/>
      <c r="E55" s="6"/>
      <c r="F55" s="6"/>
      <c r="G55" s="6">
        <v>1001</v>
      </c>
    </row>
    <row r="56" spans="1:7" x14ac:dyDescent="0.3">
      <c r="A56" s="6" t="s">
        <v>3299</v>
      </c>
      <c r="B56" s="6" t="s">
        <v>428</v>
      </c>
      <c r="C56" s="6"/>
      <c r="D56" s="6"/>
      <c r="E56" s="6"/>
      <c r="F56" s="6"/>
      <c r="G56" s="6">
        <v>10</v>
      </c>
    </row>
    <row r="57" spans="1:7" x14ac:dyDescent="0.3">
      <c r="A57" s="6"/>
      <c r="B57" s="6" t="s">
        <v>442</v>
      </c>
      <c r="C57" s="6"/>
      <c r="D57" s="6"/>
      <c r="E57" s="6"/>
      <c r="F57" s="6"/>
      <c r="G57" s="6">
        <v>-1</v>
      </c>
    </row>
    <row r="58" spans="1:7" x14ac:dyDescent="0.3">
      <c r="A58" s="6"/>
      <c r="B58" s="6" t="s">
        <v>474</v>
      </c>
      <c r="C58" s="6"/>
      <c r="D58" s="6"/>
      <c r="E58" s="6"/>
      <c r="F58" s="6"/>
      <c r="G58" s="6">
        <v>-1</v>
      </c>
    </row>
    <row r="59" spans="1:7" x14ac:dyDescent="0.3">
      <c r="A59" s="6"/>
      <c r="B59" s="6" t="s">
        <v>606</v>
      </c>
      <c r="C59" s="6">
        <v>-1</v>
      </c>
      <c r="D59" s="6"/>
      <c r="E59" s="6"/>
      <c r="F59" s="6"/>
      <c r="G59" s="6"/>
    </row>
    <row r="60" spans="1:7" x14ac:dyDescent="0.3">
      <c r="A60" s="6"/>
      <c r="B60" s="6" t="s">
        <v>438</v>
      </c>
      <c r="C60" s="6"/>
      <c r="D60" s="6"/>
      <c r="E60" s="6"/>
      <c r="F60" s="6">
        <v>-1</v>
      </c>
      <c r="G60" s="6"/>
    </row>
    <row r="61" spans="1:7" x14ac:dyDescent="0.3">
      <c r="A61" s="6"/>
      <c r="B61" s="6" t="s">
        <v>572</v>
      </c>
      <c r="C61" s="6"/>
      <c r="D61" s="6"/>
      <c r="E61" s="6"/>
      <c r="F61" s="6"/>
      <c r="G61" s="6">
        <v>-1</v>
      </c>
    </row>
    <row r="62" spans="1:7" x14ac:dyDescent="0.3">
      <c r="A62" s="6"/>
      <c r="B62" s="6" t="s">
        <v>386</v>
      </c>
      <c r="C62" s="6"/>
      <c r="D62" s="6"/>
      <c r="E62" s="6"/>
      <c r="F62" s="6">
        <v>-1</v>
      </c>
      <c r="G62" s="6"/>
    </row>
  </sheetData>
  <pageMargins left="0.7" right="0.7" top="0.75" bottom="0.75" header="0.3" footer="0.3"/>
  <tableParts count="1">
    <tablePart r:id="rId1"/>
  </tablePart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3C46A-1606-4EBE-9F81-37A02950720A}">
  <dimension ref="A1:G62"/>
  <sheetViews>
    <sheetView topLeftCell="A56" workbookViewId="0">
      <selection activeCell="B63" sqref="B63"/>
    </sheetView>
  </sheetViews>
  <sheetFormatPr defaultRowHeight="14.4" x14ac:dyDescent="0.3"/>
  <cols>
    <col min="1" max="1" width="27.5546875" bestFit="1" customWidth="1"/>
    <col min="2" max="2" width="17.88671875" bestFit="1" customWidth="1"/>
    <col min="3" max="6" width="18.6640625" bestFit="1" customWidth="1"/>
    <col min="7" max="7" width="22.5546875" bestFit="1" customWidth="1"/>
  </cols>
  <sheetData>
    <row r="1" spans="1:7" x14ac:dyDescent="0.3">
      <c r="A1" t="s">
        <v>832</v>
      </c>
      <c r="B1" t="s">
        <v>1</v>
      </c>
      <c r="C1" t="s">
        <v>894</v>
      </c>
      <c r="D1" t="s">
        <v>895</v>
      </c>
      <c r="E1" t="s">
        <v>882</v>
      </c>
      <c r="F1" t="s">
        <v>896</v>
      </c>
      <c r="G1" t="s">
        <v>897</v>
      </c>
    </row>
    <row r="2" spans="1:7" x14ac:dyDescent="0.3">
      <c r="A2" s="6" t="s">
        <v>2137</v>
      </c>
      <c r="B2" s="6" t="s">
        <v>344</v>
      </c>
      <c r="C2" s="6"/>
      <c r="D2" s="6">
        <v>9</v>
      </c>
      <c r="E2" s="6"/>
      <c r="F2" s="6"/>
      <c r="G2" s="6"/>
    </row>
    <row r="3" spans="1:7" x14ac:dyDescent="0.3">
      <c r="A3" s="6" t="s">
        <v>2135</v>
      </c>
      <c r="B3" s="6" t="s">
        <v>344</v>
      </c>
      <c r="C3" s="6"/>
      <c r="D3" s="6"/>
      <c r="E3" s="6">
        <v>5</v>
      </c>
      <c r="F3" s="6"/>
      <c r="G3" s="6"/>
    </row>
    <row r="4" spans="1:7" x14ac:dyDescent="0.3">
      <c r="A4" s="6"/>
      <c r="B4" s="6" t="s">
        <v>328</v>
      </c>
      <c r="C4" s="6">
        <v>-1</v>
      </c>
      <c r="D4" s="6"/>
      <c r="E4" s="6"/>
      <c r="F4" s="6"/>
      <c r="G4" s="6"/>
    </row>
    <row r="5" spans="1:7" x14ac:dyDescent="0.3">
      <c r="A5" s="6"/>
      <c r="B5" s="6" t="s">
        <v>448</v>
      </c>
      <c r="C5" s="6">
        <v>-1</v>
      </c>
      <c r="D5" s="6"/>
      <c r="E5" s="6"/>
      <c r="F5" s="6"/>
      <c r="G5" s="6"/>
    </row>
    <row r="6" spans="1:7" x14ac:dyDescent="0.3">
      <c r="A6" s="6"/>
      <c r="B6" s="6" t="s">
        <v>478</v>
      </c>
      <c r="C6" s="6">
        <v>-1</v>
      </c>
      <c r="D6" s="6"/>
      <c r="E6" s="6"/>
      <c r="F6" s="6"/>
      <c r="G6" s="6"/>
    </row>
    <row r="7" spans="1:7" x14ac:dyDescent="0.3">
      <c r="A7" s="6"/>
      <c r="B7" s="6" t="s">
        <v>332</v>
      </c>
      <c r="C7" s="6">
        <v>-1</v>
      </c>
      <c r="D7" s="6"/>
      <c r="E7" s="6"/>
      <c r="F7" s="6"/>
      <c r="G7" s="6"/>
    </row>
    <row r="8" spans="1:7" x14ac:dyDescent="0.3">
      <c r="A8" s="6"/>
      <c r="B8" s="6" t="s">
        <v>348</v>
      </c>
      <c r="C8" s="6">
        <v>-1</v>
      </c>
      <c r="D8" s="6"/>
      <c r="E8" s="6"/>
      <c r="F8" s="6"/>
      <c r="G8" s="6"/>
    </row>
    <row r="9" spans="1:7" x14ac:dyDescent="0.3">
      <c r="A9" s="6"/>
      <c r="B9" s="6" t="s">
        <v>428</v>
      </c>
      <c r="C9" s="6">
        <v>-1</v>
      </c>
      <c r="D9" s="6"/>
      <c r="E9" s="6"/>
      <c r="F9" s="6"/>
      <c r="G9" s="6"/>
    </row>
    <row r="10" spans="1:7" x14ac:dyDescent="0.3">
      <c r="A10" s="6"/>
      <c r="B10" s="6" t="s">
        <v>520</v>
      </c>
      <c r="C10" s="6">
        <v>-1</v>
      </c>
      <c r="D10" s="6"/>
      <c r="E10" s="6"/>
      <c r="F10" s="6"/>
      <c r="G10" s="6"/>
    </row>
    <row r="11" spans="1:7" x14ac:dyDescent="0.3">
      <c r="A11" s="6" t="s">
        <v>4602</v>
      </c>
      <c r="B11" s="6" t="s">
        <v>352</v>
      </c>
      <c r="C11" s="6">
        <v>9</v>
      </c>
      <c r="D11" s="6"/>
      <c r="E11" s="6"/>
      <c r="F11" s="6"/>
      <c r="G11" s="6"/>
    </row>
    <row r="12" spans="1:7" x14ac:dyDescent="0.3">
      <c r="A12" s="6"/>
      <c r="B12" s="6" t="s">
        <v>368</v>
      </c>
      <c r="C12" s="6">
        <v>-1</v>
      </c>
      <c r="D12" s="6"/>
      <c r="E12" s="6"/>
      <c r="F12" s="6"/>
      <c r="G12" s="6"/>
    </row>
    <row r="13" spans="1:7" x14ac:dyDescent="0.3">
      <c r="A13" s="6" t="s">
        <v>4028</v>
      </c>
      <c r="B13" s="6" t="s">
        <v>374</v>
      </c>
      <c r="C13" s="6">
        <v>7</v>
      </c>
      <c r="D13" s="6"/>
      <c r="E13" s="6"/>
      <c r="F13" s="6"/>
      <c r="G13" s="6"/>
    </row>
    <row r="14" spans="1:7" x14ac:dyDescent="0.3">
      <c r="A14" s="6"/>
      <c r="B14" s="6" t="s">
        <v>626</v>
      </c>
      <c r="C14" s="6">
        <v>-1</v>
      </c>
      <c r="D14" s="6"/>
      <c r="E14" s="6"/>
      <c r="F14" s="6"/>
      <c r="G14" s="6"/>
    </row>
    <row r="15" spans="1:7" x14ac:dyDescent="0.3">
      <c r="A15" s="6"/>
      <c r="B15" s="6" t="s">
        <v>328</v>
      </c>
      <c r="C15" s="6"/>
      <c r="D15" s="6">
        <v>-1</v>
      </c>
      <c r="E15" s="6"/>
      <c r="F15" s="6"/>
      <c r="G15" s="6"/>
    </row>
    <row r="16" spans="1:7" x14ac:dyDescent="0.3">
      <c r="A16" s="6"/>
      <c r="B16" s="6" t="s">
        <v>726</v>
      </c>
      <c r="C16" s="6"/>
      <c r="D16" s="6">
        <v>-1</v>
      </c>
      <c r="E16" s="6"/>
      <c r="F16" s="6"/>
      <c r="G16" s="6"/>
    </row>
    <row r="17" spans="1:7" x14ac:dyDescent="0.3">
      <c r="A17" s="6"/>
      <c r="B17" s="6" t="s">
        <v>384</v>
      </c>
      <c r="C17" s="6"/>
      <c r="D17" s="6">
        <v>-1</v>
      </c>
      <c r="E17" s="6"/>
      <c r="F17" s="6"/>
      <c r="G17" s="6"/>
    </row>
    <row r="18" spans="1:7" x14ac:dyDescent="0.3">
      <c r="A18" s="6" t="s">
        <v>4709</v>
      </c>
      <c r="B18" s="6" t="s">
        <v>362</v>
      </c>
      <c r="C18" s="6"/>
      <c r="D18" s="6">
        <v>1001</v>
      </c>
      <c r="E18" s="6"/>
      <c r="F18" s="6"/>
      <c r="G18" s="6"/>
    </row>
    <row r="19" spans="1:7" x14ac:dyDescent="0.3">
      <c r="A19" s="6" t="s">
        <v>2892</v>
      </c>
      <c r="B19" s="6" t="s">
        <v>368</v>
      </c>
      <c r="C19" s="6"/>
      <c r="D19" s="6">
        <v>3</v>
      </c>
      <c r="E19" s="6"/>
      <c r="F19" s="6"/>
      <c r="G19" s="6"/>
    </row>
    <row r="20" spans="1:7" x14ac:dyDescent="0.3">
      <c r="A20" s="6"/>
      <c r="B20" s="6" t="s">
        <v>352</v>
      </c>
      <c r="C20" s="6"/>
      <c r="D20" s="6">
        <v>-1</v>
      </c>
      <c r="E20" s="6"/>
      <c r="F20" s="6"/>
      <c r="G20" s="6"/>
    </row>
    <row r="21" spans="1:7" x14ac:dyDescent="0.3">
      <c r="A21" s="6"/>
      <c r="B21" s="6" t="s">
        <v>670</v>
      </c>
      <c r="C21" s="6"/>
      <c r="D21" s="6">
        <v>-1</v>
      </c>
      <c r="E21" s="6"/>
      <c r="F21" s="6"/>
      <c r="G21" s="6"/>
    </row>
    <row r="22" spans="1:7" x14ac:dyDescent="0.3">
      <c r="A22" s="6"/>
      <c r="B22" s="6" t="s">
        <v>440</v>
      </c>
      <c r="C22" s="6"/>
      <c r="D22" s="6">
        <v>-1</v>
      </c>
      <c r="E22" s="6"/>
      <c r="F22" s="6"/>
      <c r="G22" s="6"/>
    </row>
    <row r="23" spans="1:7" x14ac:dyDescent="0.3">
      <c r="A23" s="6"/>
      <c r="B23" s="6" t="s">
        <v>350</v>
      </c>
      <c r="C23" s="6"/>
      <c r="D23" s="6">
        <v>-1</v>
      </c>
      <c r="E23" s="6"/>
      <c r="F23" s="6"/>
      <c r="G23" s="6"/>
    </row>
    <row r="24" spans="1:7" x14ac:dyDescent="0.3">
      <c r="A24" s="6"/>
      <c r="B24" s="6" t="s">
        <v>356</v>
      </c>
      <c r="C24" s="6"/>
      <c r="D24" s="6">
        <v>-1</v>
      </c>
      <c r="E24" s="6"/>
      <c r="F24" s="6"/>
      <c r="G24" s="6"/>
    </row>
    <row r="25" spans="1:7" x14ac:dyDescent="0.3">
      <c r="A25" s="6"/>
      <c r="B25" s="6" t="s">
        <v>632</v>
      </c>
      <c r="C25" s="6"/>
      <c r="D25" s="6">
        <v>-1</v>
      </c>
      <c r="E25" s="6"/>
      <c r="F25" s="6"/>
      <c r="G25" s="6"/>
    </row>
    <row r="26" spans="1:7" x14ac:dyDescent="0.3">
      <c r="A26" s="6"/>
      <c r="B26" s="6" t="s">
        <v>332</v>
      </c>
      <c r="C26" s="6"/>
      <c r="D26" s="6"/>
      <c r="E26" s="6">
        <v>-1</v>
      </c>
      <c r="F26" s="6"/>
      <c r="G26" s="6"/>
    </row>
    <row r="27" spans="1:7" x14ac:dyDescent="0.3">
      <c r="A27" s="6"/>
      <c r="B27" s="6" t="s">
        <v>400</v>
      </c>
      <c r="C27" s="6"/>
      <c r="D27" s="6"/>
      <c r="E27" s="6">
        <v>-1</v>
      </c>
      <c r="F27" s="6"/>
      <c r="G27" s="6"/>
    </row>
    <row r="28" spans="1:7" x14ac:dyDescent="0.3">
      <c r="A28" s="6" t="s">
        <v>4353</v>
      </c>
      <c r="B28" s="6" t="s">
        <v>348</v>
      </c>
      <c r="C28" s="6"/>
      <c r="D28" s="6"/>
      <c r="E28" s="6">
        <v>1001</v>
      </c>
      <c r="F28" s="6"/>
      <c r="G28" s="6"/>
    </row>
    <row r="29" spans="1:7" x14ac:dyDescent="0.3">
      <c r="A29" s="6"/>
      <c r="B29" s="6" t="s">
        <v>670</v>
      </c>
      <c r="C29" s="6"/>
      <c r="D29" s="6"/>
      <c r="E29" s="6">
        <v>-1</v>
      </c>
      <c r="F29" s="6"/>
      <c r="G29" s="6"/>
    </row>
    <row r="30" spans="1:7" x14ac:dyDescent="0.3">
      <c r="A30" s="6" t="s">
        <v>1893</v>
      </c>
      <c r="B30" s="6" t="s">
        <v>326</v>
      </c>
      <c r="C30" s="6"/>
      <c r="D30" s="6"/>
      <c r="E30" s="6">
        <v>9</v>
      </c>
      <c r="F30" s="6"/>
      <c r="G30" s="6"/>
    </row>
    <row r="31" spans="1:7" x14ac:dyDescent="0.3">
      <c r="A31" s="6"/>
      <c r="B31" s="6" t="s">
        <v>368</v>
      </c>
      <c r="C31" s="6"/>
      <c r="D31" s="6"/>
      <c r="E31" s="6">
        <v>-1</v>
      </c>
      <c r="F31" s="6"/>
      <c r="G31" s="6"/>
    </row>
    <row r="32" spans="1:7" x14ac:dyDescent="0.3">
      <c r="A32" s="6"/>
      <c r="B32" s="6" t="s">
        <v>362</v>
      </c>
      <c r="C32" s="6"/>
      <c r="D32" s="6"/>
      <c r="E32" s="6">
        <v>-1</v>
      </c>
      <c r="F32" s="6"/>
      <c r="G32" s="6"/>
    </row>
    <row r="33" spans="1:7" x14ac:dyDescent="0.3">
      <c r="A33" s="6"/>
      <c r="B33" s="6" t="s">
        <v>518</v>
      </c>
      <c r="C33" s="6"/>
      <c r="D33" s="6"/>
      <c r="E33" s="6">
        <v>-1</v>
      </c>
      <c r="F33" s="6"/>
      <c r="G33" s="6"/>
    </row>
    <row r="34" spans="1:7" x14ac:dyDescent="0.3">
      <c r="A34" s="6"/>
      <c r="B34" s="6" t="s">
        <v>440</v>
      </c>
      <c r="C34" s="6"/>
      <c r="D34" s="6"/>
      <c r="E34" s="6">
        <v>-1</v>
      </c>
      <c r="F34" s="6"/>
      <c r="G34" s="6"/>
    </row>
    <row r="35" spans="1:7" x14ac:dyDescent="0.3">
      <c r="A35" s="6"/>
      <c r="B35" s="6" t="s">
        <v>336</v>
      </c>
      <c r="C35" s="6"/>
      <c r="D35" s="6"/>
      <c r="E35" s="6">
        <v>-1</v>
      </c>
      <c r="F35" s="6"/>
      <c r="G35" s="6"/>
    </row>
    <row r="36" spans="1:7" x14ac:dyDescent="0.3">
      <c r="A36" s="6" t="s">
        <v>2427</v>
      </c>
      <c r="B36" s="6" t="s">
        <v>354</v>
      </c>
      <c r="C36" s="6"/>
      <c r="D36" s="6"/>
      <c r="E36" s="6">
        <v>10</v>
      </c>
      <c r="F36" s="6"/>
      <c r="G36" s="6"/>
    </row>
    <row r="37" spans="1:7" x14ac:dyDescent="0.3">
      <c r="A37" s="6"/>
      <c r="B37" s="6" t="s">
        <v>400</v>
      </c>
      <c r="C37" s="6"/>
      <c r="D37" s="6"/>
      <c r="E37" s="6"/>
      <c r="F37" s="6">
        <v>-1</v>
      </c>
      <c r="G37" s="6"/>
    </row>
    <row r="38" spans="1:7" x14ac:dyDescent="0.3">
      <c r="A38" s="6" t="s">
        <v>1894</v>
      </c>
      <c r="B38" s="6" t="s">
        <v>326</v>
      </c>
      <c r="C38" s="6"/>
      <c r="D38" s="6"/>
      <c r="E38" s="6"/>
      <c r="F38" s="6">
        <v>2</v>
      </c>
      <c r="G38" s="6"/>
    </row>
    <row r="39" spans="1:7" x14ac:dyDescent="0.3">
      <c r="A39" s="6"/>
      <c r="B39" s="6" t="s">
        <v>364</v>
      </c>
      <c r="C39" s="6"/>
      <c r="D39" s="6"/>
      <c r="E39" s="6"/>
      <c r="F39" s="6">
        <v>-1</v>
      </c>
      <c r="G39" s="6"/>
    </row>
    <row r="40" spans="1:7" x14ac:dyDescent="0.3">
      <c r="A40" s="6" t="s">
        <v>3975</v>
      </c>
      <c r="B40" s="6" t="s">
        <v>354</v>
      </c>
      <c r="C40" s="6"/>
      <c r="D40" s="6"/>
      <c r="E40" s="6"/>
      <c r="F40" s="6">
        <v>4</v>
      </c>
      <c r="G40" s="6"/>
    </row>
    <row r="41" spans="1:7" x14ac:dyDescent="0.3">
      <c r="A41" s="6"/>
      <c r="B41" s="6" t="s">
        <v>700</v>
      </c>
      <c r="C41" s="6"/>
      <c r="D41" s="6"/>
      <c r="E41" s="6"/>
      <c r="F41" s="6">
        <v>-1</v>
      </c>
      <c r="G41" s="6"/>
    </row>
    <row r="42" spans="1:7" x14ac:dyDescent="0.3">
      <c r="A42" s="6"/>
      <c r="B42" s="6" t="s">
        <v>470</v>
      </c>
      <c r="C42" s="6"/>
      <c r="D42" s="6"/>
      <c r="E42" s="6"/>
      <c r="F42" s="6">
        <v>-1</v>
      </c>
      <c r="G42" s="6"/>
    </row>
    <row r="43" spans="1:7" x14ac:dyDescent="0.3">
      <c r="A43" s="6"/>
      <c r="B43" s="6" t="s">
        <v>336</v>
      </c>
      <c r="C43" s="6"/>
      <c r="D43" s="6"/>
      <c r="E43" s="6"/>
      <c r="F43" s="6">
        <v>-1</v>
      </c>
      <c r="G43" s="6"/>
    </row>
    <row r="44" spans="1:7" x14ac:dyDescent="0.3">
      <c r="A44" s="6"/>
      <c r="B44" s="6" t="s">
        <v>374</v>
      </c>
      <c r="C44" s="6"/>
      <c r="D44" s="6"/>
      <c r="E44" s="6"/>
      <c r="F44" s="6">
        <v>-1</v>
      </c>
      <c r="G44" s="6"/>
    </row>
    <row r="45" spans="1:7" x14ac:dyDescent="0.3">
      <c r="A45" s="6"/>
      <c r="B45" s="6" t="s">
        <v>642</v>
      </c>
      <c r="C45" s="6"/>
      <c r="D45" s="6"/>
      <c r="E45" s="6"/>
      <c r="F45" s="6">
        <v>-1</v>
      </c>
      <c r="G45" s="6"/>
    </row>
    <row r="46" spans="1:7" x14ac:dyDescent="0.3">
      <c r="A46" s="6"/>
      <c r="B46" s="6" t="s">
        <v>482</v>
      </c>
      <c r="C46" s="6"/>
      <c r="D46" s="6"/>
      <c r="E46" s="6"/>
      <c r="F46" s="6">
        <v>-1</v>
      </c>
      <c r="G46" s="6"/>
    </row>
    <row r="47" spans="1:7" x14ac:dyDescent="0.3">
      <c r="A47" s="6"/>
      <c r="B47" s="6" t="s">
        <v>394</v>
      </c>
      <c r="C47" s="6"/>
      <c r="D47" s="6"/>
      <c r="E47" s="6"/>
      <c r="F47" s="6">
        <v>-1</v>
      </c>
      <c r="G47" s="6"/>
    </row>
    <row r="48" spans="1:7" x14ac:dyDescent="0.3">
      <c r="A48" s="6" t="s">
        <v>4730</v>
      </c>
      <c r="B48" s="6" t="s">
        <v>328</v>
      </c>
      <c r="C48" s="6"/>
      <c r="D48" s="6"/>
      <c r="E48" s="6"/>
      <c r="F48" s="6"/>
      <c r="G48" s="6">
        <v>1</v>
      </c>
    </row>
    <row r="49" spans="1:7" x14ac:dyDescent="0.3">
      <c r="A49" s="6"/>
      <c r="B49" s="6" t="s">
        <v>700</v>
      </c>
      <c r="C49" s="6"/>
      <c r="D49" s="6"/>
      <c r="E49" s="6"/>
      <c r="F49" s="6"/>
      <c r="G49" s="6">
        <v>-1</v>
      </c>
    </row>
    <row r="50" spans="1:7" x14ac:dyDescent="0.3">
      <c r="A50" s="6"/>
      <c r="B50" s="6" t="s">
        <v>402</v>
      </c>
      <c r="C50" s="6"/>
      <c r="D50" s="6"/>
      <c r="E50" s="6"/>
      <c r="F50" s="6"/>
      <c r="G50" s="6">
        <v>-1</v>
      </c>
    </row>
    <row r="51" spans="1:7" x14ac:dyDescent="0.3">
      <c r="A51" s="6"/>
      <c r="B51" s="6" t="s">
        <v>478</v>
      </c>
      <c r="C51" s="6"/>
      <c r="D51" s="6"/>
      <c r="E51" s="6"/>
      <c r="F51" s="6"/>
      <c r="G51" s="6">
        <v>-1</v>
      </c>
    </row>
    <row r="52" spans="1:7" x14ac:dyDescent="0.3">
      <c r="A52" s="6"/>
      <c r="B52" s="6" t="s">
        <v>332</v>
      </c>
      <c r="C52" s="6"/>
      <c r="D52" s="6"/>
      <c r="E52" s="6"/>
      <c r="F52" s="6"/>
      <c r="G52" s="6">
        <v>-1</v>
      </c>
    </row>
    <row r="53" spans="1:7" x14ac:dyDescent="0.3">
      <c r="A53" s="6"/>
      <c r="B53" s="6" t="s">
        <v>400</v>
      </c>
      <c r="C53" s="6"/>
      <c r="D53" s="6"/>
      <c r="E53" s="6"/>
      <c r="F53" s="6"/>
      <c r="G53" s="6">
        <v>-1</v>
      </c>
    </row>
    <row r="54" spans="1:7" x14ac:dyDescent="0.3">
      <c r="A54" s="6"/>
      <c r="B54" s="6" t="s">
        <v>326</v>
      </c>
      <c r="C54" s="6"/>
      <c r="D54" s="6"/>
      <c r="E54" s="6"/>
      <c r="F54" s="6"/>
      <c r="G54" s="6">
        <v>-1</v>
      </c>
    </row>
    <row r="55" spans="1:7" x14ac:dyDescent="0.3">
      <c r="A55" s="6"/>
      <c r="B55" s="6" t="s">
        <v>352</v>
      </c>
      <c r="C55" s="6"/>
      <c r="D55" s="6"/>
      <c r="E55" s="6"/>
      <c r="F55" s="6"/>
      <c r="G55" s="6">
        <v>-1</v>
      </c>
    </row>
    <row r="56" spans="1:7" x14ac:dyDescent="0.3">
      <c r="A56" s="6"/>
      <c r="B56" s="6" t="s">
        <v>682</v>
      </c>
      <c r="C56" s="6"/>
      <c r="D56" s="6"/>
      <c r="E56" s="6"/>
      <c r="F56" s="6"/>
      <c r="G56" s="6">
        <v>-1</v>
      </c>
    </row>
    <row r="57" spans="1:7" x14ac:dyDescent="0.3">
      <c r="A57" s="6"/>
      <c r="B57" s="6" t="s">
        <v>374</v>
      </c>
      <c r="C57" s="6"/>
      <c r="D57" s="6"/>
      <c r="E57" s="6"/>
      <c r="F57" s="6"/>
      <c r="G57" s="6">
        <v>-1</v>
      </c>
    </row>
    <row r="58" spans="1:7" x14ac:dyDescent="0.3">
      <c r="A58" s="6" t="s">
        <v>4475</v>
      </c>
      <c r="B58" s="6" t="s">
        <v>432</v>
      </c>
      <c r="C58" s="6"/>
      <c r="D58" s="6"/>
      <c r="E58" s="6"/>
      <c r="F58" s="6"/>
      <c r="G58" s="6">
        <v>12</v>
      </c>
    </row>
    <row r="59" spans="1:7" x14ac:dyDescent="0.3">
      <c r="A59" s="6"/>
      <c r="B59" s="6" t="s">
        <v>416</v>
      </c>
      <c r="C59" s="6">
        <v>-1</v>
      </c>
      <c r="D59" s="6"/>
      <c r="E59" s="6"/>
      <c r="F59" s="6"/>
      <c r="G59" s="6"/>
    </row>
    <row r="60" spans="1:7" x14ac:dyDescent="0.3">
      <c r="A60" s="6"/>
      <c r="B60" s="6" t="s">
        <v>728</v>
      </c>
      <c r="C60" s="6"/>
      <c r="D60" s="6"/>
      <c r="E60" s="6"/>
      <c r="F60" s="6">
        <v>-1</v>
      </c>
      <c r="G60" s="6"/>
    </row>
    <row r="61" spans="1:7" x14ac:dyDescent="0.3">
      <c r="A61" s="6"/>
      <c r="B61" s="6" t="s">
        <v>482</v>
      </c>
      <c r="C61" s="6"/>
      <c r="D61" s="6"/>
      <c r="E61" s="6"/>
      <c r="F61" s="6"/>
      <c r="G61" s="6">
        <v>-1</v>
      </c>
    </row>
    <row r="62" spans="1:7" x14ac:dyDescent="0.3">
      <c r="A62" s="6"/>
      <c r="B62" s="6" t="s">
        <v>386</v>
      </c>
      <c r="C62" s="6"/>
      <c r="D62" s="6"/>
      <c r="E62" s="6"/>
      <c r="F62" s="6">
        <v>-1</v>
      </c>
      <c r="G62" s="6"/>
    </row>
  </sheetData>
  <pageMargins left="0.7" right="0.7" top="0.75" bottom="0.75" header="0.3" footer="0.3"/>
  <tableParts count="1">
    <tablePart r:id="rId1"/>
  </tablePart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0919E-1C69-4FBF-BB30-232FC703B8DF}">
  <dimension ref="A1:N196"/>
  <sheetViews>
    <sheetView topLeftCell="A190" workbookViewId="0">
      <selection activeCell="B197" sqref="B197"/>
    </sheetView>
  </sheetViews>
  <sheetFormatPr defaultRowHeight="14.4" x14ac:dyDescent="0.3"/>
  <cols>
    <col min="1" max="1" width="31.5546875" bestFit="1" customWidth="1"/>
    <col min="2" max="2" width="17.88671875" bestFit="1" customWidth="1"/>
    <col min="3" max="7" width="26.77734375" bestFit="1" customWidth="1"/>
    <col min="8" max="8" width="27.88671875" bestFit="1" customWidth="1"/>
    <col min="9" max="13" width="30.88671875" bestFit="1" customWidth="1"/>
    <col min="14" max="14" width="32.109375" bestFit="1" customWidth="1"/>
  </cols>
  <sheetData>
    <row r="1" spans="1:14" x14ac:dyDescent="0.3">
      <c r="A1" t="s">
        <v>832</v>
      </c>
      <c r="B1" t="s">
        <v>1</v>
      </c>
      <c r="C1" t="s">
        <v>989</v>
      </c>
      <c r="D1" t="s">
        <v>990</v>
      </c>
      <c r="E1" t="s">
        <v>991</v>
      </c>
      <c r="F1" t="s">
        <v>992</v>
      </c>
      <c r="G1" t="s">
        <v>993</v>
      </c>
      <c r="H1" t="s">
        <v>994</v>
      </c>
      <c r="I1" t="s">
        <v>995</v>
      </c>
      <c r="J1" t="s">
        <v>996</v>
      </c>
      <c r="K1" t="s">
        <v>997</v>
      </c>
      <c r="L1" t="s">
        <v>998</v>
      </c>
      <c r="M1" t="s">
        <v>999</v>
      </c>
      <c r="N1" t="s">
        <v>1000</v>
      </c>
    </row>
    <row r="2" spans="1:14" x14ac:dyDescent="0.3">
      <c r="A2" s="6" t="s">
        <v>1749</v>
      </c>
      <c r="B2" s="6" t="s">
        <v>428</v>
      </c>
      <c r="C2" s="6">
        <v>1</v>
      </c>
      <c r="D2" s="6"/>
      <c r="E2" s="6"/>
      <c r="F2" s="6"/>
      <c r="G2" s="6"/>
      <c r="H2" s="6"/>
      <c r="I2" s="6"/>
      <c r="J2" s="6"/>
      <c r="K2" s="6"/>
      <c r="L2" s="6"/>
      <c r="M2" s="6"/>
      <c r="N2" s="6"/>
    </row>
    <row r="3" spans="1:14" x14ac:dyDescent="0.3">
      <c r="A3" s="6"/>
      <c r="B3" s="6" t="s">
        <v>506</v>
      </c>
      <c r="C3" s="6">
        <v>-1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</row>
    <row r="4" spans="1:14" x14ac:dyDescent="0.3">
      <c r="A4" s="6"/>
      <c r="B4" s="6" t="s">
        <v>496</v>
      </c>
      <c r="C4" s="6">
        <v>-1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</row>
    <row r="5" spans="1:14" x14ac:dyDescent="0.3">
      <c r="A5" s="6"/>
      <c r="B5" s="6" t="s">
        <v>604</v>
      </c>
      <c r="C5" s="6">
        <v>-1</v>
      </c>
      <c r="D5" s="6"/>
      <c r="E5" s="6"/>
      <c r="F5" s="6"/>
      <c r="G5" s="6"/>
      <c r="H5" s="6"/>
      <c r="I5" s="6"/>
      <c r="J5" s="6"/>
      <c r="K5" s="6"/>
      <c r="L5" s="6"/>
      <c r="M5" s="6"/>
      <c r="N5" s="6"/>
    </row>
    <row r="6" spans="1:14" x14ac:dyDescent="0.3">
      <c r="A6" s="6"/>
      <c r="B6" s="6" t="s">
        <v>360</v>
      </c>
      <c r="C6" s="6">
        <v>-1</v>
      </c>
      <c r="D6" s="6"/>
      <c r="E6" s="6"/>
      <c r="F6" s="6"/>
      <c r="G6" s="6"/>
      <c r="H6" s="6"/>
      <c r="I6" s="6"/>
      <c r="J6" s="6"/>
      <c r="K6" s="6"/>
      <c r="L6" s="6"/>
      <c r="M6" s="6"/>
      <c r="N6" s="6"/>
    </row>
    <row r="7" spans="1:14" x14ac:dyDescent="0.3">
      <c r="A7" s="6" t="s">
        <v>3563</v>
      </c>
      <c r="B7" s="6" t="s">
        <v>406</v>
      </c>
      <c r="C7" s="6"/>
      <c r="D7" s="6">
        <v>5</v>
      </c>
      <c r="E7" s="6"/>
      <c r="F7" s="6"/>
      <c r="G7" s="6"/>
      <c r="H7" s="6"/>
      <c r="I7" s="6"/>
      <c r="J7" s="6"/>
      <c r="K7" s="6"/>
      <c r="L7" s="6"/>
      <c r="M7" s="6"/>
      <c r="N7" s="6"/>
    </row>
    <row r="8" spans="1:14" x14ac:dyDescent="0.3">
      <c r="A8" s="6"/>
      <c r="B8" s="6" t="s">
        <v>398</v>
      </c>
      <c r="C8" s="6"/>
      <c r="D8" s="6">
        <v>-1</v>
      </c>
      <c r="E8" s="6"/>
      <c r="F8" s="6"/>
      <c r="G8" s="6"/>
      <c r="H8" s="6"/>
      <c r="I8" s="6"/>
      <c r="J8" s="6"/>
      <c r="K8" s="6"/>
      <c r="L8" s="6"/>
      <c r="M8" s="6"/>
      <c r="N8" s="6"/>
    </row>
    <row r="9" spans="1:14" x14ac:dyDescent="0.3">
      <c r="A9" s="6"/>
      <c r="B9" s="6" t="s">
        <v>506</v>
      </c>
      <c r="C9" s="6"/>
      <c r="D9" s="6">
        <v>-1</v>
      </c>
      <c r="E9" s="6"/>
      <c r="F9" s="6"/>
      <c r="G9" s="6"/>
      <c r="H9" s="6"/>
      <c r="I9" s="6"/>
      <c r="J9" s="6"/>
      <c r="K9" s="6"/>
      <c r="L9" s="6"/>
      <c r="M9" s="6"/>
      <c r="N9" s="6"/>
    </row>
    <row r="10" spans="1:14" x14ac:dyDescent="0.3">
      <c r="A10" s="6" t="s">
        <v>3894</v>
      </c>
      <c r="B10" s="6" t="s">
        <v>360</v>
      </c>
      <c r="C10" s="6"/>
      <c r="D10" s="6">
        <v>2</v>
      </c>
      <c r="E10" s="6"/>
      <c r="F10" s="6"/>
      <c r="G10" s="6"/>
      <c r="H10" s="6"/>
      <c r="I10" s="6"/>
      <c r="J10" s="6"/>
      <c r="K10" s="6"/>
      <c r="L10" s="6"/>
      <c r="M10" s="6"/>
      <c r="N10" s="6"/>
    </row>
    <row r="11" spans="1:14" x14ac:dyDescent="0.3">
      <c r="A11" s="6"/>
      <c r="B11" s="6" t="s">
        <v>390</v>
      </c>
      <c r="C11" s="6"/>
      <c r="D11" s="6">
        <v>-1</v>
      </c>
      <c r="E11" s="6"/>
      <c r="F11" s="6"/>
      <c r="G11" s="6"/>
      <c r="H11" s="6"/>
      <c r="I11" s="6"/>
      <c r="J11" s="6"/>
      <c r="K11" s="6"/>
      <c r="L11" s="6"/>
      <c r="M11" s="6"/>
      <c r="N11" s="6"/>
    </row>
    <row r="12" spans="1:14" x14ac:dyDescent="0.3">
      <c r="A12" s="6"/>
      <c r="B12" s="6" t="s">
        <v>332</v>
      </c>
      <c r="C12" s="6"/>
      <c r="D12" s="6"/>
      <c r="E12" s="6">
        <v>-1</v>
      </c>
      <c r="F12" s="6"/>
      <c r="G12" s="6"/>
      <c r="H12" s="6"/>
      <c r="I12" s="6"/>
      <c r="J12" s="6"/>
      <c r="K12" s="6"/>
      <c r="L12" s="6"/>
      <c r="M12" s="6"/>
      <c r="N12" s="6"/>
    </row>
    <row r="13" spans="1:14" x14ac:dyDescent="0.3">
      <c r="A13" s="6"/>
      <c r="B13" s="6" t="s">
        <v>690</v>
      </c>
      <c r="C13" s="6"/>
      <c r="D13" s="6"/>
      <c r="E13" s="6">
        <v>-1</v>
      </c>
      <c r="F13" s="6"/>
      <c r="G13" s="6"/>
      <c r="H13" s="6"/>
      <c r="I13" s="6"/>
      <c r="J13" s="6"/>
      <c r="K13" s="6"/>
      <c r="L13" s="6"/>
      <c r="M13" s="6"/>
      <c r="N13" s="6"/>
    </row>
    <row r="14" spans="1:14" x14ac:dyDescent="0.3">
      <c r="A14" s="6"/>
      <c r="B14" s="6" t="s">
        <v>428</v>
      </c>
      <c r="C14" s="6"/>
      <c r="D14" s="6"/>
      <c r="E14" s="6">
        <v>-1</v>
      </c>
      <c r="F14" s="6"/>
      <c r="G14" s="6"/>
      <c r="H14" s="6"/>
      <c r="I14" s="6"/>
      <c r="J14" s="6"/>
      <c r="K14" s="6"/>
      <c r="L14" s="6"/>
      <c r="M14" s="6"/>
      <c r="N14" s="6"/>
    </row>
    <row r="15" spans="1:14" x14ac:dyDescent="0.3">
      <c r="A15" s="6" t="s">
        <v>3420</v>
      </c>
      <c r="B15" s="6" t="s">
        <v>342</v>
      </c>
      <c r="C15" s="6"/>
      <c r="D15" s="6"/>
      <c r="E15" s="6">
        <v>13</v>
      </c>
      <c r="F15" s="6"/>
      <c r="G15" s="6"/>
      <c r="H15" s="6"/>
      <c r="I15" s="6"/>
      <c r="J15" s="6"/>
      <c r="K15" s="6"/>
      <c r="L15" s="6"/>
      <c r="M15" s="6"/>
      <c r="N15" s="6"/>
    </row>
    <row r="16" spans="1:14" x14ac:dyDescent="0.3">
      <c r="A16" s="6"/>
      <c r="B16" s="6" t="s">
        <v>328</v>
      </c>
      <c r="C16" s="6"/>
      <c r="D16" s="6"/>
      <c r="E16" s="6">
        <v>-1</v>
      </c>
      <c r="F16" s="6"/>
      <c r="G16" s="6"/>
      <c r="H16" s="6"/>
      <c r="I16" s="6"/>
      <c r="J16" s="6"/>
      <c r="K16" s="6"/>
      <c r="L16" s="6"/>
      <c r="M16" s="6"/>
      <c r="N16" s="6"/>
    </row>
    <row r="17" spans="1:14" x14ac:dyDescent="0.3">
      <c r="A17" s="6" t="s">
        <v>3020</v>
      </c>
      <c r="B17" s="6" t="s">
        <v>332</v>
      </c>
      <c r="C17" s="6"/>
      <c r="D17" s="6"/>
      <c r="E17" s="6"/>
      <c r="F17" s="6">
        <v>3</v>
      </c>
      <c r="G17" s="6"/>
      <c r="H17" s="6"/>
      <c r="I17" s="6"/>
      <c r="J17" s="6"/>
      <c r="K17" s="6"/>
      <c r="L17" s="6"/>
      <c r="M17" s="6"/>
      <c r="N17" s="6"/>
    </row>
    <row r="18" spans="1:14" x14ac:dyDescent="0.3">
      <c r="A18" s="6" t="s">
        <v>3897</v>
      </c>
      <c r="B18" s="6" t="s">
        <v>360</v>
      </c>
      <c r="C18" s="6"/>
      <c r="D18" s="6"/>
      <c r="E18" s="6"/>
      <c r="F18" s="6">
        <v>2</v>
      </c>
      <c r="G18" s="6"/>
      <c r="H18" s="6"/>
      <c r="I18" s="6"/>
      <c r="J18" s="6"/>
      <c r="K18" s="6"/>
      <c r="L18" s="6"/>
      <c r="M18" s="6"/>
      <c r="N18" s="6"/>
    </row>
    <row r="19" spans="1:14" x14ac:dyDescent="0.3">
      <c r="A19" s="6"/>
      <c r="B19" s="6" t="s">
        <v>684</v>
      </c>
      <c r="C19" s="6"/>
      <c r="D19" s="6"/>
      <c r="E19" s="6"/>
      <c r="F19" s="6">
        <v>-1</v>
      </c>
      <c r="G19" s="6"/>
      <c r="H19" s="6"/>
      <c r="I19" s="6"/>
      <c r="J19" s="6"/>
      <c r="K19" s="6"/>
      <c r="L19" s="6"/>
      <c r="M19" s="6"/>
      <c r="N19" s="6"/>
    </row>
    <row r="20" spans="1:14" x14ac:dyDescent="0.3">
      <c r="A20" s="6"/>
      <c r="B20" s="6" t="s">
        <v>604</v>
      </c>
      <c r="C20" s="6"/>
      <c r="D20" s="6"/>
      <c r="E20" s="6"/>
      <c r="F20" s="6">
        <v>-1</v>
      </c>
      <c r="G20" s="6"/>
      <c r="H20" s="6"/>
      <c r="I20" s="6"/>
      <c r="J20" s="6"/>
      <c r="K20" s="6"/>
      <c r="L20" s="6"/>
      <c r="M20" s="6"/>
      <c r="N20" s="6"/>
    </row>
    <row r="21" spans="1:14" x14ac:dyDescent="0.3">
      <c r="A21" s="6"/>
      <c r="B21" s="6" t="s">
        <v>482</v>
      </c>
      <c r="C21" s="6"/>
      <c r="D21" s="6"/>
      <c r="E21" s="6"/>
      <c r="F21" s="6">
        <v>-1</v>
      </c>
      <c r="G21" s="6"/>
      <c r="H21" s="6"/>
      <c r="I21" s="6"/>
      <c r="J21" s="6"/>
      <c r="K21" s="6"/>
      <c r="L21" s="6"/>
      <c r="M21" s="6"/>
      <c r="N21" s="6"/>
    </row>
    <row r="22" spans="1:14" x14ac:dyDescent="0.3">
      <c r="A22" s="6"/>
      <c r="B22" s="6" t="s">
        <v>512</v>
      </c>
      <c r="C22" s="6"/>
      <c r="D22" s="6"/>
      <c r="E22" s="6"/>
      <c r="F22" s="6"/>
      <c r="G22" s="6">
        <v>-1</v>
      </c>
      <c r="H22" s="6"/>
      <c r="I22" s="6"/>
      <c r="J22" s="6"/>
      <c r="K22" s="6"/>
      <c r="L22" s="6"/>
      <c r="M22" s="6"/>
      <c r="N22" s="6"/>
    </row>
    <row r="23" spans="1:14" x14ac:dyDescent="0.3">
      <c r="A23" s="6"/>
      <c r="B23" s="6" t="s">
        <v>456</v>
      </c>
      <c r="C23" s="6"/>
      <c r="D23" s="6"/>
      <c r="E23" s="6"/>
      <c r="F23" s="6"/>
      <c r="G23" s="6">
        <v>-1</v>
      </c>
      <c r="H23" s="6"/>
      <c r="I23" s="6"/>
      <c r="J23" s="6"/>
      <c r="K23" s="6"/>
      <c r="L23" s="6"/>
      <c r="M23" s="6"/>
      <c r="N23" s="6"/>
    </row>
    <row r="24" spans="1:14" x14ac:dyDescent="0.3">
      <c r="A24" s="6" t="s">
        <v>3028</v>
      </c>
      <c r="B24" s="6" t="s">
        <v>332</v>
      </c>
      <c r="C24" s="6"/>
      <c r="D24" s="6"/>
      <c r="E24" s="6"/>
      <c r="F24" s="6"/>
      <c r="G24" s="6">
        <v>5</v>
      </c>
      <c r="H24" s="6"/>
      <c r="I24" s="6"/>
      <c r="J24" s="6"/>
      <c r="K24" s="6"/>
      <c r="L24" s="6"/>
      <c r="M24" s="6"/>
      <c r="N24" s="6"/>
    </row>
    <row r="25" spans="1:14" x14ac:dyDescent="0.3">
      <c r="A25" s="6" t="s">
        <v>3235</v>
      </c>
      <c r="B25" s="6" t="s">
        <v>580</v>
      </c>
      <c r="C25" s="6"/>
      <c r="D25" s="6"/>
      <c r="E25" s="6"/>
      <c r="F25" s="6"/>
      <c r="G25" s="6">
        <v>2</v>
      </c>
      <c r="H25" s="6"/>
      <c r="I25" s="6"/>
      <c r="J25" s="6"/>
      <c r="K25" s="6"/>
      <c r="L25" s="6"/>
      <c r="M25" s="6"/>
      <c r="N25" s="6"/>
    </row>
    <row r="26" spans="1:14" x14ac:dyDescent="0.3">
      <c r="A26" s="6"/>
      <c r="B26" s="6" t="s">
        <v>718</v>
      </c>
      <c r="C26" s="6"/>
      <c r="D26" s="6"/>
      <c r="E26" s="6"/>
      <c r="F26" s="6"/>
      <c r="G26" s="6">
        <v>-1</v>
      </c>
      <c r="H26" s="6"/>
      <c r="I26" s="6"/>
      <c r="J26" s="6"/>
      <c r="K26" s="6"/>
      <c r="L26" s="6"/>
      <c r="M26" s="6"/>
      <c r="N26" s="6"/>
    </row>
    <row r="27" spans="1:14" x14ac:dyDescent="0.3">
      <c r="A27" s="6" t="s">
        <v>3898</v>
      </c>
      <c r="B27" s="6" t="s">
        <v>360</v>
      </c>
      <c r="C27" s="6"/>
      <c r="D27" s="6"/>
      <c r="E27" s="6"/>
      <c r="F27" s="6"/>
      <c r="G27" s="6"/>
      <c r="H27" s="6">
        <v>2</v>
      </c>
      <c r="I27" s="6"/>
      <c r="J27" s="6"/>
      <c r="K27" s="6"/>
      <c r="L27" s="6"/>
      <c r="M27" s="6"/>
      <c r="N27" s="6"/>
    </row>
    <row r="28" spans="1:14" x14ac:dyDescent="0.3">
      <c r="A28" s="6" t="s">
        <v>3513</v>
      </c>
      <c r="B28" s="6" t="s">
        <v>580</v>
      </c>
      <c r="C28" s="6"/>
      <c r="D28" s="6"/>
      <c r="E28" s="6"/>
      <c r="F28" s="6"/>
      <c r="G28" s="6"/>
      <c r="H28" s="6">
        <v>1</v>
      </c>
      <c r="I28" s="6"/>
      <c r="J28" s="6"/>
      <c r="K28" s="6"/>
      <c r="L28" s="6"/>
      <c r="M28" s="6"/>
      <c r="N28" s="6"/>
    </row>
    <row r="29" spans="1:14" x14ac:dyDescent="0.3">
      <c r="A29" s="6" t="s">
        <v>1594</v>
      </c>
      <c r="B29" s="6" t="s">
        <v>718</v>
      </c>
      <c r="C29" s="6"/>
      <c r="D29" s="6"/>
      <c r="E29" s="6"/>
      <c r="F29" s="6"/>
      <c r="G29" s="6"/>
      <c r="H29" s="6">
        <v>3</v>
      </c>
      <c r="I29" s="6"/>
      <c r="J29" s="6"/>
      <c r="K29" s="6"/>
      <c r="L29" s="6"/>
      <c r="M29" s="6"/>
      <c r="N29" s="6"/>
    </row>
    <row r="30" spans="1:14" x14ac:dyDescent="0.3">
      <c r="A30" s="6"/>
      <c r="B30" s="6" t="s">
        <v>332</v>
      </c>
      <c r="C30" s="6"/>
      <c r="D30" s="6"/>
      <c r="E30" s="6"/>
      <c r="F30" s="6"/>
      <c r="G30" s="6"/>
      <c r="H30" s="6">
        <v>-1</v>
      </c>
      <c r="I30" s="6"/>
      <c r="J30" s="6"/>
      <c r="K30" s="6"/>
      <c r="L30" s="6"/>
      <c r="M30" s="6"/>
      <c r="N30" s="6"/>
    </row>
    <row r="31" spans="1:14" x14ac:dyDescent="0.3">
      <c r="A31" s="6"/>
      <c r="B31" s="6" t="s">
        <v>726</v>
      </c>
      <c r="C31" s="6"/>
      <c r="D31" s="6"/>
      <c r="E31" s="6"/>
      <c r="F31" s="6"/>
      <c r="G31" s="6"/>
      <c r="H31" s="6">
        <v>-1</v>
      </c>
      <c r="I31" s="6"/>
      <c r="J31" s="6"/>
      <c r="K31" s="6"/>
      <c r="L31" s="6"/>
      <c r="M31" s="6"/>
      <c r="N31" s="6"/>
    </row>
    <row r="32" spans="1:14" x14ac:dyDescent="0.3">
      <c r="A32" s="6"/>
      <c r="B32" s="6" t="s">
        <v>610</v>
      </c>
      <c r="C32" s="6"/>
      <c r="D32" s="6"/>
      <c r="E32" s="6"/>
      <c r="F32" s="6"/>
      <c r="G32" s="6"/>
      <c r="H32" s="6"/>
      <c r="I32" s="6">
        <v>-1</v>
      </c>
      <c r="J32" s="6"/>
      <c r="K32" s="6"/>
      <c r="L32" s="6"/>
      <c r="M32" s="6"/>
      <c r="N32" s="6"/>
    </row>
    <row r="33" spans="1:14" x14ac:dyDescent="0.3">
      <c r="A33" s="6"/>
      <c r="B33" s="6" t="s">
        <v>428</v>
      </c>
      <c r="C33" s="6"/>
      <c r="D33" s="6"/>
      <c r="E33" s="6"/>
      <c r="F33" s="6"/>
      <c r="G33" s="6"/>
      <c r="H33" s="6"/>
      <c r="I33" s="6">
        <v>-1</v>
      </c>
      <c r="J33" s="6"/>
      <c r="K33" s="6"/>
      <c r="L33" s="6"/>
      <c r="M33" s="6"/>
      <c r="N33" s="6"/>
    </row>
    <row r="34" spans="1:14" x14ac:dyDescent="0.3">
      <c r="A34" s="6"/>
      <c r="B34" s="6" t="s">
        <v>328</v>
      </c>
      <c r="C34" s="6"/>
      <c r="D34" s="6"/>
      <c r="E34" s="6"/>
      <c r="F34" s="6"/>
      <c r="G34" s="6"/>
      <c r="H34" s="6"/>
      <c r="I34" s="6">
        <v>-1</v>
      </c>
      <c r="J34" s="6"/>
      <c r="K34" s="6"/>
      <c r="L34" s="6"/>
      <c r="M34" s="6"/>
      <c r="N34" s="6"/>
    </row>
    <row r="35" spans="1:14" x14ac:dyDescent="0.3">
      <c r="A35" s="6"/>
      <c r="B35" s="6" t="s">
        <v>482</v>
      </c>
      <c r="C35" s="6"/>
      <c r="D35" s="6"/>
      <c r="E35" s="6"/>
      <c r="F35" s="6"/>
      <c r="G35" s="6"/>
      <c r="H35" s="6"/>
      <c r="I35" s="6">
        <v>-1</v>
      </c>
      <c r="J35" s="6"/>
      <c r="K35" s="6"/>
      <c r="L35" s="6"/>
      <c r="M35" s="6"/>
      <c r="N35" s="6"/>
    </row>
    <row r="36" spans="1:14" x14ac:dyDescent="0.3">
      <c r="A36" s="6"/>
      <c r="B36" s="6" t="s">
        <v>360</v>
      </c>
      <c r="C36" s="6"/>
      <c r="D36" s="6"/>
      <c r="E36" s="6"/>
      <c r="F36" s="6"/>
      <c r="G36" s="6"/>
      <c r="H36" s="6"/>
      <c r="I36" s="6">
        <v>-1</v>
      </c>
      <c r="J36" s="6"/>
      <c r="K36" s="6"/>
      <c r="L36" s="6"/>
      <c r="M36" s="6"/>
      <c r="N36" s="6"/>
    </row>
    <row r="37" spans="1:14" x14ac:dyDescent="0.3">
      <c r="A37" s="6" t="s">
        <v>1703</v>
      </c>
      <c r="B37" s="6" t="s">
        <v>470</v>
      </c>
      <c r="C37" s="6"/>
      <c r="D37" s="6"/>
      <c r="E37" s="6"/>
      <c r="F37" s="6"/>
      <c r="G37" s="6"/>
      <c r="H37" s="6"/>
      <c r="I37" s="6"/>
      <c r="J37" s="6">
        <v>3</v>
      </c>
      <c r="K37" s="6"/>
      <c r="L37" s="6"/>
      <c r="M37" s="6"/>
      <c r="N37" s="6"/>
    </row>
    <row r="38" spans="1:14" x14ac:dyDescent="0.3">
      <c r="A38" s="6"/>
      <c r="B38" s="6" t="s">
        <v>456</v>
      </c>
      <c r="C38" s="6"/>
      <c r="D38" s="6"/>
      <c r="E38" s="6"/>
      <c r="F38" s="6"/>
      <c r="G38" s="6"/>
      <c r="H38" s="6"/>
      <c r="I38" s="6"/>
      <c r="J38" s="6">
        <v>-1</v>
      </c>
      <c r="K38" s="6"/>
      <c r="L38" s="6"/>
      <c r="M38" s="6"/>
      <c r="N38" s="6"/>
    </row>
    <row r="39" spans="1:14" x14ac:dyDescent="0.3">
      <c r="A39" s="6"/>
      <c r="B39" s="6" t="s">
        <v>690</v>
      </c>
      <c r="C39" s="6"/>
      <c r="D39" s="6"/>
      <c r="E39" s="6"/>
      <c r="F39" s="6"/>
      <c r="G39" s="6"/>
      <c r="H39" s="6"/>
      <c r="I39" s="6"/>
      <c r="J39" s="6">
        <v>-1</v>
      </c>
      <c r="K39" s="6"/>
      <c r="L39" s="6"/>
      <c r="M39" s="6"/>
      <c r="N39" s="6"/>
    </row>
    <row r="40" spans="1:14" x14ac:dyDescent="0.3">
      <c r="A40" s="6"/>
      <c r="B40" s="6" t="s">
        <v>360</v>
      </c>
      <c r="C40" s="6"/>
      <c r="D40" s="6"/>
      <c r="E40" s="6"/>
      <c r="F40" s="6"/>
      <c r="G40" s="6"/>
      <c r="H40" s="6"/>
      <c r="I40" s="6"/>
      <c r="J40" s="6">
        <v>-1</v>
      </c>
      <c r="K40" s="6"/>
      <c r="L40" s="6"/>
      <c r="M40" s="6"/>
      <c r="N40" s="6"/>
    </row>
    <row r="41" spans="1:14" x14ac:dyDescent="0.3">
      <c r="A41" s="6"/>
      <c r="B41" s="6" t="s">
        <v>506</v>
      </c>
      <c r="C41" s="6"/>
      <c r="D41" s="6"/>
      <c r="E41" s="6"/>
      <c r="F41" s="6"/>
      <c r="G41" s="6"/>
      <c r="H41" s="6"/>
      <c r="I41" s="6"/>
      <c r="J41" s="6">
        <v>-1</v>
      </c>
      <c r="K41" s="6"/>
      <c r="L41" s="6"/>
      <c r="M41" s="6"/>
      <c r="N41" s="6"/>
    </row>
    <row r="42" spans="1:14" x14ac:dyDescent="0.3">
      <c r="A42" s="6"/>
      <c r="B42" s="6" t="s">
        <v>610</v>
      </c>
      <c r="C42" s="6"/>
      <c r="D42" s="6"/>
      <c r="E42" s="6"/>
      <c r="F42" s="6"/>
      <c r="G42" s="6"/>
      <c r="H42" s="6"/>
      <c r="I42" s="6"/>
      <c r="J42" s="6"/>
      <c r="K42" s="6">
        <v>-1</v>
      </c>
      <c r="L42" s="6"/>
      <c r="M42" s="6"/>
      <c r="N42" s="6"/>
    </row>
    <row r="43" spans="1:14" x14ac:dyDescent="0.3">
      <c r="A43" s="6"/>
      <c r="B43" s="6" t="s">
        <v>456</v>
      </c>
      <c r="C43" s="6"/>
      <c r="D43" s="6"/>
      <c r="E43" s="6"/>
      <c r="F43" s="6"/>
      <c r="G43" s="6"/>
      <c r="H43" s="6"/>
      <c r="I43" s="6"/>
      <c r="J43" s="6"/>
      <c r="K43" s="6">
        <v>-1</v>
      </c>
      <c r="L43" s="6"/>
      <c r="M43" s="6"/>
      <c r="N43" s="6"/>
    </row>
    <row r="44" spans="1:14" x14ac:dyDescent="0.3">
      <c r="A44" s="6"/>
      <c r="B44" s="6" t="s">
        <v>506</v>
      </c>
      <c r="C44" s="6"/>
      <c r="D44" s="6"/>
      <c r="E44" s="6"/>
      <c r="F44" s="6"/>
      <c r="G44" s="6"/>
      <c r="H44" s="6"/>
      <c r="I44" s="6"/>
      <c r="J44" s="6"/>
      <c r="K44" s="6">
        <v>-1</v>
      </c>
      <c r="L44" s="6"/>
      <c r="M44" s="6"/>
      <c r="N44" s="6"/>
    </row>
    <row r="45" spans="1:14" x14ac:dyDescent="0.3">
      <c r="A45" s="6" t="s">
        <v>3796</v>
      </c>
      <c r="B45" s="6" t="s">
        <v>428</v>
      </c>
      <c r="C45" s="6"/>
      <c r="D45" s="6"/>
      <c r="E45" s="6"/>
      <c r="F45" s="6"/>
      <c r="G45" s="6"/>
      <c r="H45" s="6"/>
      <c r="I45" s="6"/>
      <c r="J45" s="6"/>
      <c r="K45" s="6">
        <v>1</v>
      </c>
      <c r="L45" s="6"/>
      <c r="M45" s="6"/>
      <c r="N45" s="6"/>
    </row>
    <row r="46" spans="1:14" x14ac:dyDescent="0.3">
      <c r="A46" s="6"/>
      <c r="B46" s="6" t="s">
        <v>482</v>
      </c>
      <c r="C46" s="6"/>
      <c r="D46" s="6"/>
      <c r="E46" s="6"/>
      <c r="F46" s="6"/>
      <c r="G46" s="6"/>
      <c r="H46" s="6"/>
      <c r="I46" s="6"/>
      <c r="J46" s="6"/>
      <c r="K46" s="6">
        <v>-1</v>
      </c>
      <c r="L46" s="6"/>
      <c r="M46" s="6"/>
      <c r="N46" s="6"/>
    </row>
    <row r="47" spans="1:14" x14ac:dyDescent="0.3">
      <c r="A47" s="6"/>
      <c r="B47" s="6" t="s">
        <v>718</v>
      </c>
      <c r="C47" s="6"/>
      <c r="D47" s="6"/>
      <c r="E47" s="6"/>
      <c r="F47" s="6"/>
      <c r="G47" s="6"/>
      <c r="H47" s="6"/>
      <c r="I47" s="6"/>
      <c r="J47" s="6"/>
      <c r="K47" s="6"/>
      <c r="L47" s="6">
        <v>-1</v>
      </c>
      <c r="M47" s="6"/>
      <c r="N47" s="6"/>
    </row>
    <row r="48" spans="1:14" x14ac:dyDescent="0.3">
      <c r="A48" s="6"/>
      <c r="B48" s="6" t="s">
        <v>406</v>
      </c>
      <c r="C48" s="6"/>
      <c r="D48" s="6"/>
      <c r="E48" s="6"/>
      <c r="F48" s="6"/>
      <c r="G48" s="6"/>
      <c r="H48" s="6"/>
      <c r="I48" s="6"/>
      <c r="J48" s="6"/>
      <c r="K48" s="6"/>
      <c r="L48" s="6">
        <v>-1</v>
      </c>
      <c r="M48" s="6"/>
      <c r="N48" s="6"/>
    </row>
    <row r="49" spans="1:14" x14ac:dyDescent="0.3">
      <c r="A49" s="6"/>
      <c r="B49" s="6" t="s">
        <v>726</v>
      </c>
      <c r="C49" s="6"/>
      <c r="D49" s="6"/>
      <c r="E49" s="6"/>
      <c r="F49" s="6"/>
      <c r="G49" s="6"/>
      <c r="H49" s="6"/>
      <c r="I49" s="6"/>
      <c r="J49" s="6"/>
      <c r="K49" s="6"/>
      <c r="L49" s="6">
        <v>-1</v>
      </c>
      <c r="M49" s="6"/>
      <c r="N49" s="6"/>
    </row>
    <row r="50" spans="1:14" x14ac:dyDescent="0.3">
      <c r="A50" s="6"/>
      <c r="B50" s="6" t="s">
        <v>370</v>
      </c>
      <c r="C50" s="6"/>
      <c r="D50" s="6"/>
      <c r="E50" s="6"/>
      <c r="F50" s="6"/>
      <c r="G50" s="6"/>
      <c r="H50" s="6"/>
      <c r="I50" s="6"/>
      <c r="J50" s="6"/>
      <c r="K50" s="6"/>
      <c r="L50" s="6">
        <v>-1</v>
      </c>
      <c r="M50" s="6"/>
      <c r="N50" s="6"/>
    </row>
    <row r="51" spans="1:14" x14ac:dyDescent="0.3">
      <c r="A51" s="6" t="s">
        <v>5036</v>
      </c>
      <c r="B51" s="6" t="s">
        <v>604</v>
      </c>
      <c r="C51" s="6"/>
      <c r="D51" s="6"/>
      <c r="E51" s="6"/>
      <c r="F51" s="6"/>
      <c r="G51" s="6"/>
      <c r="H51" s="6"/>
      <c r="I51" s="6"/>
      <c r="J51" s="6"/>
      <c r="K51" s="6"/>
      <c r="L51" s="6">
        <v>7</v>
      </c>
      <c r="M51" s="6"/>
      <c r="N51" s="6"/>
    </row>
    <row r="52" spans="1:14" x14ac:dyDescent="0.3">
      <c r="A52" s="6"/>
      <c r="B52" s="6" t="s">
        <v>470</v>
      </c>
      <c r="C52" s="6"/>
      <c r="D52" s="6"/>
      <c r="E52" s="6"/>
      <c r="F52" s="6"/>
      <c r="G52" s="6"/>
      <c r="H52" s="6"/>
      <c r="I52" s="6"/>
      <c r="J52" s="6"/>
      <c r="K52" s="6"/>
      <c r="L52" s="6"/>
      <c r="M52" s="6">
        <v>-1</v>
      </c>
      <c r="N52" s="6"/>
    </row>
    <row r="53" spans="1:14" x14ac:dyDescent="0.3">
      <c r="A53" s="6" t="s">
        <v>3408</v>
      </c>
      <c r="B53" s="6" t="s">
        <v>506</v>
      </c>
      <c r="C53" s="6"/>
      <c r="D53" s="6"/>
      <c r="E53" s="6"/>
      <c r="F53" s="6"/>
      <c r="G53" s="6"/>
      <c r="H53" s="6"/>
      <c r="I53" s="6"/>
      <c r="J53" s="6"/>
      <c r="K53" s="6"/>
      <c r="L53" s="6"/>
      <c r="M53" s="6">
        <v>2</v>
      </c>
      <c r="N53" s="6"/>
    </row>
    <row r="54" spans="1:14" x14ac:dyDescent="0.3">
      <c r="A54" s="6" t="s">
        <v>3896</v>
      </c>
      <c r="B54" s="6" t="s">
        <v>360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6">
        <v>1</v>
      </c>
      <c r="N54" s="6"/>
    </row>
    <row r="55" spans="1:14" x14ac:dyDescent="0.3">
      <c r="A55" s="6"/>
      <c r="B55" s="6" t="s">
        <v>518</v>
      </c>
      <c r="C55" s="6"/>
      <c r="D55" s="6"/>
      <c r="E55" s="6"/>
      <c r="F55" s="6"/>
      <c r="G55" s="6"/>
      <c r="H55" s="6"/>
      <c r="I55" s="6"/>
      <c r="J55" s="6"/>
      <c r="K55" s="6"/>
      <c r="L55" s="6"/>
      <c r="M55" s="6">
        <v>-1</v>
      </c>
      <c r="N55" s="6"/>
    </row>
    <row r="56" spans="1:14" x14ac:dyDescent="0.3">
      <c r="A56" s="6"/>
      <c r="B56" s="6" t="s">
        <v>690</v>
      </c>
      <c r="C56" s="6"/>
      <c r="D56" s="6"/>
      <c r="E56" s="6"/>
      <c r="F56" s="6"/>
      <c r="G56" s="6"/>
      <c r="H56" s="6"/>
      <c r="I56" s="6"/>
      <c r="J56" s="6"/>
      <c r="K56" s="6"/>
      <c r="L56" s="6"/>
      <c r="M56" s="6">
        <v>-1</v>
      </c>
      <c r="N56" s="6"/>
    </row>
    <row r="57" spans="1:14" x14ac:dyDescent="0.3">
      <c r="A57" s="6"/>
      <c r="B57" s="6" t="s">
        <v>360</v>
      </c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>
        <v>-1</v>
      </c>
    </row>
    <row r="58" spans="1:14" x14ac:dyDescent="0.3">
      <c r="A58" s="6"/>
      <c r="B58" s="6" t="s">
        <v>718</v>
      </c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>
        <v>-1</v>
      </c>
    </row>
    <row r="59" spans="1:14" x14ac:dyDescent="0.3">
      <c r="A59" s="6" t="s">
        <v>2199</v>
      </c>
      <c r="B59" s="6" t="s">
        <v>326</v>
      </c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>
        <v>5</v>
      </c>
    </row>
    <row r="60" spans="1:14" x14ac:dyDescent="0.3">
      <c r="A60" s="6"/>
      <c r="B60" s="6" t="s">
        <v>470</v>
      </c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>
        <v>-1</v>
      </c>
    </row>
    <row r="61" spans="1:14" x14ac:dyDescent="0.3">
      <c r="A61" s="6"/>
      <c r="B61" s="6" t="s">
        <v>328</v>
      </c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>
        <v>-1</v>
      </c>
    </row>
    <row r="62" spans="1:14" x14ac:dyDescent="0.3">
      <c r="A62" s="6" t="s">
        <v>1933</v>
      </c>
      <c r="B62" s="6" t="s">
        <v>620</v>
      </c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>
        <v>7</v>
      </c>
    </row>
    <row r="63" spans="1:14" x14ac:dyDescent="0.3">
      <c r="A63" s="6"/>
      <c r="B63" s="6" t="s">
        <v>350</v>
      </c>
      <c r="C63" s="6">
        <v>-1</v>
      </c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</row>
    <row r="64" spans="1:14" x14ac:dyDescent="0.3">
      <c r="A64" s="6"/>
      <c r="B64" s="6" t="s">
        <v>398</v>
      </c>
      <c r="C64" s="6">
        <v>-1</v>
      </c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</row>
    <row r="65" spans="1:14" x14ac:dyDescent="0.3">
      <c r="A65" s="6"/>
      <c r="B65" s="6" t="s">
        <v>350</v>
      </c>
      <c r="C65" s="6"/>
      <c r="D65" s="6">
        <v>-1</v>
      </c>
      <c r="E65" s="6"/>
      <c r="F65" s="6"/>
      <c r="G65" s="6"/>
      <c r="H65" s="6"/>
      <c r="I65" s="6"/>
      <c r="J65" s="6"/>
      <c r="K65" s="6"/>
      <c r="L65" s="6"/>
      <c r="M65" s="6"/>
      <c r="N65" s="6"/>
    </row>
    <row r="66" spans="1:14" x14ac:dyDescent="0.3">
      <c r="A66" s="6" t="s">
        <v>1706</v>
      </c>
      <c r="B66" s="6" t="s">
        <v>470</v>
      </c>
      <c r="C66" s="6"/>
      <c r="D66" s="6">
        <v>11</v>
      </c>
      <c r="E66" s="6"/>
      <c r="F66" s="6"/>
      <c r="G66" s="6"/>
      <c r="H66" s="6"/>
      <c r="I66" s="6"/>
      <c r="J66" s="6"/>
      <c r="K66" s="6"/>
      <c r="L66" s="6"/>
      <c r="M66" s="6"/>
      <c r="N66" s="6"/>
    </row>
    <row r="67" spans="1:14" x14ac:dyDescent="0.3">
      <c r="A67" s="6"/>
      <c r="B67" s="6" t="s">
        <v>470</v>
      </c>
      <c r="C67" s="6"/>
      <c r="D67" s="6"/>
      <c r="E67" s="6">
        <v>-1</v>
      </c>
      <c r="F67" s="6"/>
      <c r="G67" s="6"/>
      <c r="H67" s="6"/>
      <c r="I67" s="6"/>
      <c r="J67" s="6"/>
      <c r="K67" s="6"/>
      <c r="L67" s="6"/>
      <c r="M67" s="6"/>
      <c r="N67" s="6"/>
    </row>
    <row r="68" spans="1:14" x14ac:dyDescent="0.3">
      <c r="A68" s="6" t="s">
        <v>2608</v>
      </c>
      <c r="B68" s="6" t="s">
        <v>352</v>
      </c>
      <c r="C68" s="6"/>
      <c r="D68" s="6"/>
      <c r="E68" s="6">
        <v>15</v>
      </c>
      <c r="F68" s="6"/>
      <c r="G68" s="6"/>
      <c r="H68" s="6"/>
      <c r="I68" s="6"/>
      <c r="J68" s="6"/>
      <c r="K68" s="6"/>
      <c r="L68" s="6"/>
      <c r="M68" s="6"/>
      <c r="N68" s="6"/>
    </row>
    <row r="69" spans="1:14" x14ac:dyDescent="0.3">
      <c r="A69" s="6"/>
      <c r="B69" s="6" t="s">
        <v>398</v>
      </c>
      <c r="C69" s="6"/>
      <c r="D69" s="6"/>
      <c r="E69" s="6"/>
      <c r="F69" s="6">
        <v>-1</v>
      </c>
      <c r="G69" s="6"/>
      <c r="H69" s="6"/>
      <c r="I69" s="6"/>
      <c r="J69" s="6"/>
      <c r="K69" s="6"/>
      <c r="L69" s="6"/>
      <c r="M69" s="6"/>
      <c r="N69" s="6"/>
    </row>
    <row r="70" spans="1:14" x14ac:dyDescent="0.3">
      <c r="A70" s="6"/>
      <c r="B70" s="6" t="s">
        <v>384</v>
      </c>
      <c r="C70" s="6"/>
      <c r="D70" s="6"/>
      <c r="E70" s="6"/>
      <c r="F70" s="6">
        <v>-1</v>
      </c>
      <c r="G70" s="6"/>
      <c r="H70" s="6"/>
      <c r="I70" s="6"/>
      <c r="J70" s="6"/>
      <c r="K70" s="6"/>
      <c r="L70" s="6"/>
      <c r="M70" s="6"/>
      <c r="N70" s="6"/>
    </row>
    <row r="71" spans="1:14" x14ac:dyDescent="0.3">
      <c r="A71" s="6"/>
      <c r="B71" s="6" t="s">
        <v>374</v>
      </c>
      <c r="C71" s="6"/>
      <c r="D71" s="6"/>
      <c r="E71" s="6"/>
      <c r="F71" s="6"/>
      <c r="G71" s="6">
        <v>-1</v>
      </c>
      <c r="H71" s="6"/>
      <c r="I71" s="6"/>
      <c r="J71" s="6"/>
      <c r="K71" s="6"/>
      <c r="L71" s="6"/>
      <c r="M71" s="6"/>
      <c r="N71" s="6"/>
    </row>
    <row r="72" spans="1:14" x14ac:dyDescent="0.3">
      <c r="A72" s="6"/>
      <c r="B72" s="6" t="s">
        <v>470</v>
      </c>
      <c r="C72" s="6"/>
      <c r="D72" s="6"/>
      <c r="E72" s="6"/>
      <c r="F72" s="6"/>
      <c r="G72" s="6">
        <v>-1</v>
      </c>
      <c r="H72" s="6"/>
      <c r="I72" s="6"/>
      <c r="J72" s="6"/>
      <c r="K72" s="6"/>
      <c r="L72" s="6"/>
      <c r="M72" s="6"/>
      <c r="N72" s="6"/>
    </row>
    <row r="73" spans="1:14" x14ac:dyDescent="0.3">
      <c r="A73" s="6"/>
      <c r="B73" s="6" t="s">
        <v>398</v>
      </c>
      <c r="C73" s="6"/>
      <c r="D73" s="6"/>
      <c r="E73" s="6"/>
      <c r="F73" s="6"/>
      <c r="G73" s="6"/>
      <c r="H73" s="6">
        <v>-1</v>
      </c>
      <c r="I73" s="6"/>
      <c r="J73" s="6"/>
      <c r="K73" s="6"/>
      <c r="L73" s="6"/>
      <c r="M73" s="6"/>
      <c r="N73" s="6"/>
    </row>
    <row r="74" spans="1:14" x14ac:dyDescent="0.3">
      <c r="A74" s="6" t="s">
        <v>2535</v>
      </c>
      <c r="B74" s="6" t="s">
        <v>384</v>
      </c>
      <c r="C74" s="6"/>
      <c r="D74" s="6"/>
      <c r="E74" s="6"/>
      <c r="F74" s="6"/>
      <c r="G74" s="6"/>
      <c r="H74" s="6">
        <v>9</v>
      </c>
      <c r="I74" s="6"/>
      <c r="J74" s="6"/>
      <c r="K74" s="6"/>
      <c r="L74" s="6"/>
      <c r="M74" s="6"/>
      <c r="N74" s="6"/>
    </row>
    <row r="75" spans="1:14" x14ac:dyDescent="0.3">
      <c r="A75" s="6"/>
      <c r="B75" s="6" t="s">
        <v>352</v>
      </c>
      <c r="C75" s="6"/>
      <c r="D75" s="6"/>
      <c r="E75" s="6"/>
      <c r="F75" s="6"/>
      <c r="G75" s="6"/>
      <c r="H75" s="6"/>
      <c r="I75" s="6">
        <v>-1</v>
      </c>
      <c r="J75" s="6"/>
      <c r="K75" s="6"/>
      <c r="L75" s="6"/>
      <c r="M75" s="6"/>
      <c r="N75" s="6"/>
    </row>
    <row r="76" spans="1:14" x14ac:dyDescent="0.3">
      <c r="A76" s="6"/>
      <c r="B76" s="6" t="s">
        <v>470</v>
      </c>
      <c r="C76" s="6"/>
      <c r="D76" s="6"/>
      <c r="E76" s="6"/>
      <c r="F76" s="6"/>
      <c r="G76" s="6"/>
      <c r="H76" s="6"/>
      <c r="I76" s="6">
        <v>-1</v>
      </c>
      <c r="J76" s="6"/>
      <c r="K76" s="6"/>
      <c r="L76" s="6"/>
      <c r="M76" s="6"/>
      <c r="N76" s="6"/>
    </row>
    <row r="77" spans="1:14" x14ac:dyDescent="0.3">
      <c r="A77" s="6" t="s">
        <v>1689</v>
      </c>
      <c r="B77" s="6" t="s">
        <v>366</v>
      </c>
      <c r="C77" s="6"/>
      <c r="D77" s="6"/>
      <c r="E77" s="6"/>
      <c r="F77" s="6"/>
      <c r="G77" s="6"/>
      <c r="H77" s="6"/>
      <c r="I77" s="6"/>
      <c r="J77" s="6">
        <v>13</v>
      </c>
      <c r="K77" s="6"/>
      <c r="L77" s="6"/>
      <c r="M77" s="6"/>
      <c r="N77" s="6"/>
    </row>
    <row r="78" spans="1:14" x14ac:dyDescent="0.3">
      <c r="A78" s="6" t="s">
        <v>4783</v>
      </c>
      <c r="B78" s="6" t="s">
        <v>400</v>
      </c>
      <c r="C78" s="6"/>
      <c r="D78" s="6"/>
      <c r="E78" s="6"/>
      <c r="F78" s="6"/>
      <c r="G78" s="6"/>
      <c r="H78" s="6"/>
      <c r="I78" s="6"/>
      <c r="J78" s="6">
        <v>9</v>
      </c>
      <c r="K78" s="6"/>
      <c r="L78" s="6"/>
      <c r="M78" s="6"/>
      <c r="N78" s="6"/>
    </row>
    <row r="79" spans="1:14" x14ac:dyDescent="0.3">
      <c r="A79" s="6"/>
      <c r="B79" s="6" t="s">
        <v>470</v>
      </c>
      <c r="C79" s="6"/>
      <c r="D79" s="6"/>
      <c r="E79" s="6"/>
      <c r="F79" s="6"/>
      <c r="G79" s="6"/>
      <c r="H79" s="6"/>
      <c r="I79" s="6"/>
      <c r="J79" s="6"/>
      <c r="K79" s="6">
        <v>-1</v>
      </c>
      <c r="L79" s="6"/>
      <c r="M79" s="6"/>
      <c r="N79" s="6"/>
    </row>
    <row r="80" spans="1:14" x14ac:dyDescent="0.3">
      <c r="A80" s="6"/>
      <c r="B80" s="6" t="s">
        <v>362</v>
      </c>
      <c r="C80" s="6"/>
      <c r="D80" s="6"/>
      <c r="E80" s="6"/>
      <c r="F80" s="6"/>
      <c r="G80" s="6"/>
      <c r="H80" s="6"/>
      <c r="I80" s="6"/>
      <c r="J80" s="6"/>
      <c r="K80" s="6">
        <v>-1</v>
      </c>
      <c r="L80" s="6"/>
      <c r="M80" s="6"/>
      <c r="N80" s="6"/>
    </row>
    <row r="81" spans="1:14" x14ac:dyDescent="0.3">
      <c r="A81" s="6"/>
      <c r="B81" s="6" t="s">
        <v>332</v>
      </c>
      <c r="C81" s="6"/>
      <c r="D81" s="6"/>
      <c r="E81" s="6"/>
      <c r="F81" s="6"/>
      <c r="G81" s="6"/>
      <c r="H81" s="6"/>
      <c r="I81" s="6"/>
      <c r="J81" s="6"/>
      <c r="K81" s="6"/>
      <c r="L81" s="6">
        <v>-1</v>
      </c>
      <c r="M81" s="6"/>
      <c r="N81" s="6"/>
    </row>
    <row r="82" spans="1:14" x14ac:dyDescent="0.3">
      <c r="A82" s="6"/>
      <c r="B82" s="6" t="s">
        <v>362</v>
      </c>
      <c r="C82" s="6"/>
      <c r="D82" s="6"/>
      <c r="E82" s="6"/>
      <c r="F82" s="6"/>
      <c r="G82" s="6"/>
      <c r="H82" s="6"/>
      <c r="I82" s="6"/>
      <c r="J82" s="6"/>
      <c r="K82" s="6"/>
      <c r="L82" s="6">
        <v>-1</v>
      </c>
      <c r="M82" s="6"/>
      <c r="N82" s="6"/>
    </row>
    <row r="83" spans="1:14" x14ac:dyDescent="0.3">
      <c r="A83" s="6"/>
      <c r="B83" s="6" t="s">
        <v>590</v>
      </c>
      <c r="C83" s="6"/>
      <c r="D83" s="6"/>
      <c r="E83" s="6"/>
      <c r="F83" s="6"/>
      <c r="G83" s="6"/>
      <c r="H83" s="6"/>
      <c r="I83" s="6"/>
      <c r="J83" s="6"/>
      <c r="K83" s="6"/>
      <c r="L83" s="6"/>
      <c r="M83" s="6">
        <v>-1</v>
      </c>
      <c r="N83" s="6"/>
    </row>
    <row r="84" spans="1:14" x14ac:dyDescent="0.3">
      <c r="A84" s="6"/>
      <c r="B84" s="6" t="s">
        <v>332</v>
      </c>
      <c r="C84" s="6"/>
      <c r="D84" s="6"/>
      <c r="E84" s="6"/>
      <c r="F84" s="6"/>
      <c r="G84" s="6"/>
      <c r="H84" s="6"/>
      <c r="I84" s="6"/>
      <c r="J84" s="6"/>
      <c r="K84" s="6"/>
      <c r="L84" s="6"/>
      <c r="M84" s="6">
        <v>-1</v>
      </c>
      <c r="N84" s="6"/>
    </row>
    <row r="85" spans="1:14" x14ac:dyDescent="0.3">
      <c r="A85" s="6"/>
      <c r="B85" s="6" t="s">
        <v>332</v>
      </c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>
        <v>-1</v>
      </c>
    </row>
    <row r="86" spans="1:14" x14ac:dyDescent="0.3">
      <c r="A86" s="6"/>
      <c r="B86" s="6" t="s">
        <v>366</v>
      </c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>
        <v>-1</v>
      </c>
    </row>
    <row r="87" spans="1:14" x14ac:dyDescent="0.3">
      <c r="A87" s="6" t="s">
        <v>4402</v>
      </c>
      <c r="B87" s="6" t="s">
        <v>326</v>
      </c>
      <c r="C87" s="6">
        <v>14</v>
      </c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</row>
    <row r="88" spans="1:14" x14ac:dyDescent="0.3">
      <c r="A88" s="6"/>
      <c r="B88" s="6" t="s">
        <v>584</v>
      </c>
      <c r="C88" s="6">
        <v>-1</v>
      </c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</row>
    <row r="89" spans="1:14" x14ac:dyDescent="0.3">
      <c r="A89" s="6"/>
      <c r="B89" s="6" t="s">
        <v>682</v>
      </c>
      <c r="C89" s="6"/>
      <c r="D89" s="6">
        <v>-1</v>
      </c>
      <c r="E89" s="6"/>
      <c r="F89" s="6"/>
      <c r="G89" s="6"/>
      <c r="H89" s="6"/>
      <c r="I89" s="6"/>
      <c r="J89" s="6"/>
      <c r="K89" s="6"/>
      <c r="L89" s="6"/>
      <c r="M89" s="6"/>
      <c r="N89" s="6"/>
    </row>
    <row r="90" spans="1:14" x14ac:dyDescent="0.3">
      <c r="A90" s="6"/>
      <c r="B90" s="6" t="s">
        <v>354</v>
      </c>
      <c r="C90" s="6"/>
      <c r="D90" s="6">
        <v>-1</v>
      </c>
      <c r="E90" s="6"/>
      <c r="F90" s="6"/>
      <c r="G90" s="6"/>
      <c r="H90" s="6"/>
      <c r="I90" s="6"/>
      <c r="J90" s="6"/>
      <c r="K90" s="6"/>
      <c r="L90" s="6"/>
      <c r="M90" s="6"/>
      <c r="N90" s="6"/>
    </row>
    <row r="91" spans="1:14" x14ac:dyDescent="0.3">
      <c r="A91" s="6"/>
      <c r="B91" s="6" t="s">
        <v>584</v>
      </c>
      <c r="C91" s="6"/>
      <c r="D91" s="6"/>
      <c r="E91" s="6">
        <v>-1</v>
      </c>
      <c r="F91" s="6"/>
      <c r="G91" s="6"/>
      <c r="H91" s="6"/>
      <c r="I91" s="6"/>
      <c r="J91" s="6"/>
      <c r="K91" s="6"/>
      <c r="L91" s="6"/>
      <c r="M91" s="6"/>
      <c r="N91" s="6"/>
    </row>
    <row r="92" spans="1:14" x14ac:dyDescent="0.3">
      <c r="A92" s="6" t="s">
        <v>4429</v>
      </c>
      <c r="B92" s="6" t="s">
        <v>326</v>
      </c>
      <c r="C92" s="6"/>
      <c r="D92" s="6"/>
      <c r="E92" s="6">
        <v>4001</v>
      </c>
      <c r="F92" s="6"/>
      <c r="G92" s="6"/>
      <c r="H92" s="6"/>
      <c r="I92" s="6"/>
      <c r="J92" s="6"/>
      <c r="K92" s="6"/>
      <c r="L92" s="6"/>
      <c r="M92" s="6"/>
      <c r="N92" s="6"/>
    </row>
    <row r="93" spans="1:14" x14ac:dyDescent="0.3">
      <c r="A93" s="6" t="s">
        <v>2409</v>
      </c>
      <c r="B93" s="6" t="s">
        <v>354</v>
      </c>
      <c r="C93" s="6"/>
      <c r="D93" s="6"/>
      <c r="E93" s="6"/>
      <c r="F93" s="6">
        <v>16</v>
      </c>
      <c r="G93" s="6"/>
      <c r="H93" s="6"/>
      <c r="I93" s="6"/>
      <c r="J93" s="6"/>
      <c r="K93" s="6"/>
      <c r="L93" s="6"/>
      <c r="M93" s="6"/>
      <c r="N93" s="6"/>
    </row>
    <row r="94" spans="1:14" x14ac:dyDescent="0.3">
      <c r="A94" s="6" t="s">
        <v>1409</v>
      </c>
      <c r="B94" s="6" t="s">
        <v>380</v>
      </c>
      <c r="C94" s="6"/>
      <c r="D94" s="6"/>
      <c r="E94" s="6"/>
      <c r="F94" s="6">
        <v>14</v>
      </c>
      <c r="G94" s="6"/>
      <c r="H94" s="6"/>
      <c r="I94" s="6"/>
      <c r="J94" s="6"/>
      <c r="K94" s="6"/>
      <c r="L94" s="6"/>
      <c r="M94" s="6"/>
      <c r="N94" s="6"/>
    </row>
    <row r="95" spans="1:14" x14ac:dyDescent="0.3">
      <c r="A95" s="6" t="s">
        <v>1355</v>
      </c>
      <c r="B95" s="6" t="s">
        <v>326</v>
      </c>
      <c r="C95" s="6"/>
      <c r="D95" s="6"/>
      <c r="E95" s="6"/>
      <c r="F95" s="6"/>
      <c r="G95" s="6">
        <v>12</v>
      </c>
      <c r="H95" s="6"/>
      <c r="I95" s="6"/>
      <c r="J95" s="6"/>
      <c r="K95" s="6"/>
      <c r="L95" s="6"/>
      <c r="M95" s="6"/>
      <c r="N95" s="6"/>
    </row>
    <row r="96" spans="1:14" x14ac:dyDescent="0.3">
      <c r="A96" s="6"/>
      <c r="B96" s="6" t="s">
        <v>422</v>
      </c>
      <c r="C96" s="6"/>
      <c r="D96" s="6"/>
      <c r="E96" s="6"/>
      <c r="F96" s="6"/>
      <c r="G96" s="6">
        <v>-1</v>
      </c>
      <c r="H96" s="6"/>
      <c r="I96" s="6"/>
      <c r="J96" s="6"/>
      <c r="K96" s="6"/>
      <c r="L96" s="6"/>
      <c r="M96" s="6"/>
      <c r="N96" s="6"/>
    </row>
    <row r="97" spans="1:14" x14ac:dyDescent="0.3">
      <c r="A97" s="6"/>
      <c r="B97" s="6" t="s">
        <v>440</v>
      </c>
      <c r="C97" s="6"/>
      <c r="D97" s="6"/>
      <c r="E97" s="6"/>
      <c r="F97" s="6"/>
      <c r="G97" s="6"/>
      <c r="H97" s="6">
        <v>-1</v>
      </c>
      <c r="I97" s="6"/>
      <c r="J97" s="6"/>
      <c r="K97" s="6"/>
      <c r="L97" s="6"/>
      <c r="M97" s="6"/>
      <c r="N97" s="6"/>
    </row>
    <row r="98" spans="1:14" x14ac:dyDescent="0.3">
      <c r="A98" s="6"/>
      <c r="B98" s="6" t="s">
        <v>326</v>
      </c>
      <c r="C98" s="6"/>
      <c r="D98" s="6"/>
      <c r="E98" s="6"/>
      <c r="F98" s="6"/>
      <c r="G98" s="6"/>
      <c r="H98" s="6">
        <v>-1</v>
      </c>
      <c r="I98" s="6"/>
      <c r="J98" s="6"/>
      <c r="K98" s="6"/>
      <c r="L98" s="6"/>
      <c r="M98" s="6"/>
      <c r="N98" s="6"/>
    </row>
    <row r="99" spans="1:14" x14ac:dyDescent="0.3">
      <c r="A99" s="6" t="s">
        <v>1394</v>
      </c>
      <c r="B99" s="6" t="s">
        <v>380</v>
      </c>
      <c r="C99" s="6"/>
      <c r="D99" s="6"/>
      <c r="E99" s="6"/>
      <c r="F99" s="6"/>
      <c r="G99" s="6"/>
      <c r="H99" s="6"/>
      <c r="I99" s="6">
        <v>16</v>
      </c>
      <c r="J99" s="6"/>
      <c r="K99" s="6"/>
      <c r="L99" s="6"/>
      <c r="M99" s="6"/>
      <c r="N99" s="6"/>
    </row>
    <row r="100" spans="1:14" x14ac:dyDescent="0.3">
      <c r="A100" s="6" t="s">
        <v>4428</v>
      </c>
      <c r="B100" s="6" t="s">
        <v>326</v>
      </c>
      <c r="C100" s="6"/>
      <c r="D100" s="6"/>
      <c r="E100" s="6"/>
      <c r="F100" s="6"/>
      <c r="G100" s="6"/>
      <c r="H100" s="6"/>
      <c r="I100" s="6">
        <v>10</v>
      </c>
      <c r="J100" s="6"/>
      <c r="K100" s="6"/>
      <c r="L100" s="6"/>
      <c r="M100" s="6"/>
      <c r="N100" s="6"/>
    </row>
    <row r="101" spans="1:14" x14ac:dyDescent="0.3">
      <c r="A101" s="6"/>
      <c r="B101" s="6" t="s">
        <v>404</v>
      </c>
      <c r="C101" s="6"/>
      <c r="D101" s="6"/>
      <c r="E101" s="6"/>
      <c r="F101" s="6"/>
      <c r="G101" s="6"/>
      <c r="H101" s="6"/>
      <c r="I101" s="6"/>
      <c r="J101" s="6">
        <v>-1</v>
      </c>
      <c r="K101" s="6"/>
      <c r="L101" s="6"/>
      <c r="M101" s="6"/>
      <c r="N101" s="6"/>
    </row>
    <row r="102" spans="1:14" x14ac:dyDescent="0.3">
      <c r="A102" s="6"/>
      <c r="B102" s="6" t="s">
        <v>380</v>
      </c>
      <c r="C102" s="6"/>
      <c r="D102" s="6"/>
      <c r="E102" s="6"/>
      <c r="F102" s="6"/>
      <c r="G102" s="6"/>
      <c r="H102" s="6"/>
      <c r="I102" s="6"/>
      <c r="J102" s="6">
        <v>-1</v>
      </c>
      <c r="K102" s="6"/>
      <c r="L102" s="6"/>
      <c r="M102" s="6"/>
      <c r="N102" s="6"/>
    </row>
    <row r="103" spans="1:14" x14ac:dyDescent="0.3">
      <c r="A103" s="6" t="s">
        <v>1398</v>
      </c>
      <c r="B103" s="6" t="s">
        <v>380</v>
      </c>
      <c r="C103" s="6"/>
      <c r="D103" s="6"/>
      <c r="E103" s="6"/>
      <c r="F103" s="6"/>
      <c r="G103" s="6"/>
      <c r="H103" s="6"/>
      <c r="I103" s="6"/>
      <c r="J103" s="6"/>
      <c r="K103" s="6">
        <v>16</v>
      </c>
      <c r="L103" s="6"/>
      <c r="M103" s="6"/>
      <c r="N103" s="6"/>
    </row>
    <row r="104" spans="1:14" x14ac:dyDescent="0.3">
      <c r="A104" s="6" t="s">
        <v>4922</v>
      </c>
      <c r="B104" s="6" t="s">
        <v>326</v>
      </c>
      <c r="C104" s="6"/>
      <c r="D104" s="6"/>
      <c r="E104" s="6"/>
      <c r="F104" s="6"/>
      <c r="G104" s="6"/>
      <c r="H104" s="6"/>
      <c r="I104" s="6"/>
      <c r="J104" s="6"/>
      <c r="K104" s="6">
        <v>14</v>
      </c>
      <c r="L104" s="6"/>
      <c r="M104" s="6"/>
      <c r="N104" s="6"/>
    </row>
    <row r="105" spans="1:14" x14ac:dyDescent="0.3">
      <c r="A105" s="6" t="s">
        <v>1399</v>
      </c>
      <c r="B105" s="6" t="s">
        <v>380</v>
      </c>
      <c r="C105" s="6"/>
      <c r="D105" s="6"/>
      <c r="E105" s="6"/>
      <c r="F105" s="6"/>
      <c r="G105" s="6"/>
      <c r="H105" s="6"/>
      <c r="I105" s="6"/>
      <c r="J105" s="6"/>
      <c r="K105" s="6"/>
      <c r="L105" s="6">
        <v>12</v>
      </c>
      <c r="M105" s="6"/>
      <c r="N105" s="6"/>
    </row>
    <row r="106" spans="1:14" x14ac:dyDescent="0.3">
      <c r="A106" s="6"/>
      <c r="B106" s="6" t="s">
        <v>326</v>
      </c>
      <c r="C106" s="6"/>
      <c r="D106" s="6"/>
      <c r="E106" s="6"/>
      <c r="F106" s="6"/>
      <c r="G106" s="6"/>
      <c r="H106" s="6"/>
      <c r="I106" s="6"/>
      <c r="J106" s="6"/>
      <c r="K106" s="6"/>
      <c r="L106" s="6">
        <v>-1</v>
      </c>
      <c r="M106" s="6"/>
      <c r="N106" s="6"/>
    </row>
    <row r="107" spans="1:14" x14ac:dyDescent="0.3">
      <c r="A107" s="6" t="s">
        <v>1410</v>
      </c>
      <c r="B107" s="6" t="s">
        <v>380</v>
      </c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>
        <v>16</v>
      </c>
      <c r="N107" s="6"/>
    </row>
    <row r="108" spans="1:14" x14ac:dyDescent="0.3">
      <c r="A108" s="6" t="s">
        <v>1354</v>
      </c>
      <c r="B108" s="6" t="s">
        <v>326</v>
      </c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>
        <v>5</v>
      </c>
      <c r="N108" s="6"/>
    </row>
    <row r="109" spans="1:14" x14ac:dyDescent="0.3">
      <c r="A109" s="6"/>
      <c r="B109" s="6" t="s">
        <v>378</v>
      </c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>
        <v>-1</v>
      </c>
    </row>
    <row r="110" spans="1:14" x14ac:dyDescent="0.3">
      <c r="A110" s="6"/>
      <c r="B110" s="6" t="s">
        <v>456</v>
      </c>
      <c r="C110" s="6">
        <v>-1</v>
      </c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</row>
    <row r="111" spans="1:14" x14ac:dyDescent="0.3">
      <c r="A111" s="6"/>
      <c r="B111" s="6" t="s">
        <v>624</v>
      </c>
      <c r="C111" s="6">
        <v>-1</v>
      </c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</row>
    <row r="112" spans="1:14" x14ac:dyDescent="0.3">
      <c r="A112" s="6" t="s">
        <v>3509</v>
      </c>
      <c r="B112" s="6" t="s">
        <v>580</v>
      </c>
      <c r="C112" s="6"/>
      <c r="D112" s="6">
        <v>15</v>
      </c>
      <c r="E112" s="6"/>
      <c r="F112" s="6"/>
      <c r="G112" s="6"/>
      <c r="H112" s="6"/>
      <c r="I112" s="6"/>
      <c r="J112" s="6"/>
      <c r="K112" s="6"/>
      <c r="L112" s="6"/>
      <c r="M112" s="6"/>
      <c r="N112" s="6"/>
    </row>
    <row r="113" spans="1:14" x14ac:dyDescent="0.3">
      <c r="A113" s="6"/>
      <c r="B113" s="6" t="s">
        <v>456</v>
      </c>
      <c r="C113" s="6"/>
      <c r="D113" s="6">
        <v>-1</v>
      </c>
      <c r="E113" s="6"/>
      <c r="F113" s="6"/>
      <c r="G113" s="6"/>
      <c r="H113" s="6"/>
      <c r="I113" s="6"/>
      <c r="J113" s="6"/>
      <c r="K113" s="6"/>
      <c r="L113" s="6"/>
      <c r="M113" s="6"/>
      <c r="N113" s="6"/>
    </row>
    <row r="114" spans="1:14" x14ac:dyDescent="0.3">
      <c r="A114" s="6"/>
      <c r="B114" s="6" t="s">
        <v>456</v>
      </c>
      <c r="C114" s="6"/>
      <c r="D114" s="6"/>
      <c r="E114" s="6">
        <v>-1</v>
      </c>
      <c r="F114" s="6"/>
      <c r="G114" s="6"/>
      <c r="H114" s="6"/>
      <c r="I114" s="6"/>
      <c r="J114" s="6"/>
      <c r="K114" s="6"/>
      <c r="L114" s="6"/>
      <c r="M114" s="6"/>
      <c r="N114" s="6"/>
    </row>
    <row r="115" spans="1:14" x14ac:dyDescent="0.3">
      <c r="A115" s="6"/>
      <c r="B115" s="6" t="s">
        <v>518</v>
      </c>
      <c r="C115" s="6"/>
      <c r="D115" s="6"/>
      <c r="E115" s="6">
        <v>-1</v>
      </c>
      <c r="F115" s="6"/>
      <c r="G115" s="6"/>
      <c r="H115" s="6"/>
      <c r="I115" s="6"/>
      <c r="J115" s="6"/>
      <c r="K115" s="6"/>
      <c r="L115" s="6"/>
      <c r="M115" s="6"/>
      <c r="N115" s="6"/>
    </row>
    <row r="116" spans="1:14" x14ac:dyDescent="0.3">
      <c r="A116" s="6"/>
      <c r="B116" s="6" t="s">
        <v>356</v>
      </c>
      <c r="C116" s="6"/>
      <c r="D116" s="6"/>
      <c r="E116" s="6">
        <v>-1</v>
      </c>
      <c r="F116" s="6"/>
      <c r="G116" s="6"/>
      <c r="H116" s="6"/>
      <c r="I116" s="6"/>
      <c r="J116" s="6"/>
      <c r="K116" s="6"/>
      <c r="L116" s="6"/>
      <c r="M116" s="6"/>
      <c r="N116" s="6"/>
    </row>
    <row r="117" spans="1:14" x14ac:dyDescent="0.3">
      <c r="A117" s="6"/>
      <c r="B117" s="6" t="s">
        <v>456</v>
      </c>
      <c r="C117" s="6"/>
      <c r="D117" s="6"/>
      <c r="E117" s="6"/>
      <c r="F117" s="6">
        <v>-1</v>
      </c>
      <c r="G117" s="6"/>
      <c r="H117" s="6"/>
      <c r="I117" s="6"/>
      <c r="J117" s="6"/>
      <c r="K117" s="6"/>
      <c r="L117" s="6"/>
      <c r="M117" s="6"/>
      <c r="N117" s="6"/>
    </row>
    <row r="118" spans="1:14" x14ac:dyDescent="0.3">
      <c r="A118" s="6"/>
      <c r="B118" s="6" t="s">
        <v>726</v>
      </c>
      <c r="C118" s="6"/>
      <c r="D118" s="6"/>
      <c r="E118" s="6"/>
      <c r="F118" s="6">
        <v>-1</v>
      </c>
      <c r="G118" s="6"/>
      <c r="H118" s="6"/>
      <c r="I118" s="6"/>
      <c r="J118" s="6"/>
      <c r="K118" s="6"/>
      <c r="L118" s="6"/>
      <c r="M118" s="6"/>
      <c r="N118" s="6"/>
    </row>
    <row r="119" spans="1:14" x14ac:dyDescent="0.3">
      <c r="A119" s="6"/>
      <c r="B119" s="6" t="s">
        <v>726</v>
      </c>
      <c r="C119" s="6"/>
      <c r="D119" s="6"/>
      <c r="E119" s="6"/>
      <c r="F119" s="6"/>
      <c r="G119" s="6">
        <v>-1</v>
      </c>
      <c r="H119" s="6"/>
      <c r="I119" s="6"/>
      <c r="J119" s="6"/>
      <c r="K119" s="6"/>
      <c r="L119" s="6"/>
      <c r="M119" s="6"/>
      <c r="N119" s="6"/>
    </row>
    <row r="120" spans="1:14" x14ac:dyDescent="0.3">
      <c r="A120" s="6"/>
      <c r="B120" s="6" t="s">
        <v>390</v>
      </c>
      <c r="C120" s="6"/>
      <c r="D120" s="6"/>
      <c r="E120" s="6"/>
      <c r="F120" s="6"/>
      <c r="G120" s="6">
        <v>-1</v>
      </c>
      <c r="H120" s="6"/>
      <c r="I120" s="6"/>
      <c r="J120" s="6"/>
      <c r="K120" s="6"/>
      <c r="L120" s="6"/>
      <c r="M120" s="6"/>
      <c r="N120" s="6"/>
    </row>
    <row r="121" spans="1:14" x14ac:dyDescent="0.3">
      <c r="A121" s="6"/>
      <c r="B121" s="6" t="s">
        <v>456</v>
      </c>
      <c r="C121" s="6"/>
      <c r="D121" s="6"/>
      <c r="E121" s="6"/>
      <c r="F121" s="6"/>
      <c r="G121" s="6"/>
      <c r="H121" s="6">
        <v>-1</v>
      </c>
      <c r="I121" s="6"/>
      <c r="J121" s="6"/>
      <c r="K121" s="6"/>
      <c r="L121" s="6"/>
      <c r="M121" s="6"/>
      <c r="N121" s="6"/>
    </row>
    <row r="122" spans="1:14" x14ac:dyDescent="0.3">
      <c r="A122" s="6"/>
      <c r="B122" s="6" t="s">
        <v>394</v>
      </c>
      <c r="C122" s="6"/>
      <c r="D122" s="6"/>
      <c r="E122" s="6"/>
      <c r="F122" s="6"/>
      <c r="G122" s="6"/>
      <c r="H122" s="6">
        <v>-1</v>
      </c>
      <c r="I122" s="6"/>
      <c r="J122" s="6"/>
      <c r="K122" s="6"/>
      <c r="L122" s="6"/>
      <c r="M122" s="6"/>
      <c r="N122" s="6"/>
    </row>
    <row r="123" spans="1:14" x14ac:dyDescent="0.3">
      <c r="A123" s="6"/>
      <c r="B123" s="6" t="s">
        <v>390</v>
      </c>
      <c r="C123" s="6"/>
      <c r="D123" s="6"/>
      <c r="E123" s="6"/>
      <c r="F123" s="6"/>
      <c r="G123" s="6"/>
      <c r="H123" s="6"/>
      <c r="I123" s="6">
        <v>-1</v>
      </c>
      <c r="J123" s="6"/>
      <c r="K123" s="6"/>
      <c r="L123" s="6"/>
      <c r="M123" s="6"/>
      <c r="N123" s="6"/>
    </row>
    <row r="124" spans="1:14" x14ac:dyDescent="0.3">
      <c r="A124" s="6"/>
      <c r="B124" s="6" t="s">
        <v>718</v>
      </c>
      <c r="C124" s="6"/>
      <c r="D124" s="6"/>
      <c r="E124" s="6"/>
      <c r="F124" s="6"/>
      <c r="G124" s="6"/>
      <c r="H124" s="6"/>
      <c r="I124" s="6">
        <v>-1</v>
      </c>
      <c r="J124" s="6"/>
      <c r="K124" s="6"/>
      <c r="L124" s="6"/>
      <c r="M124" s="6"/>
      <c r="N124" s="6"/>
    </row>
    <row r="125" spans="1:14" x14ac:dyDescent="0.3">
      <c r="A125" s="6"/>
      <c r="B125" s="6" t="s">
        <v>726</v>
      </c>
      <c r="C125" s="6"/>
      <c r="D125" s="6"/>
      <c r="E125" s="6"/>
      <c r="F125" s="6"/>
      <c r="G125" s="6"/>
      <c r="H125" s="6"/>
      <c r="I125" s="6"/>
      <c r="J125" s="6">
        <v>-1</v>
      </c>
      <c r="K125" s="6"/>
      <c r="L125" s="6"/>
      <c r="M125" s="6"/>
      <c r="N125" s="6"/>
    </row>
    <row r="126" spans="1:14" x14ac:dyDescent="0.3">
      <c r="A126" s="6"/>
      <c r="B126" s="6" t="s">
        <v>344</v>
      </c>
      <c r="C126" s="6"/>
      <c r="D126" s="6"/>
      <c r="E126" s="6"/>
      <c r="F126" s="6"/>
      <c r="G126" s="6"/>
      <c r="H126" s="6"/>
      <c r="I126" s="6"/>
      <c r="J126" s="6">
        <v>-1</v>
      </c>
      <c r="K126" s="6"/>
      <c r="L126" s="6"/>
      <c r="M126" s="6"/>
      <c r="N126" s="6"/>
    </row>
    <row r="127" spans="1:14" x14ac:dyDescent="0.3">
      <c r="A127" s="6"/>
      <c r="B127" s="6" t="s">
        <v>718</v>
      </c>
      <c r="C127" s="6"/>
      <c r="D127" s="6"/>
      <c r="E127" s="6"/>
      <c r="F127" s="6"/>
      <c r="G127" s="6"/>
      <c r="H127" s="6"/>
      <c r="I127" s="6"/>
      <c r="J127" s="6"/>
      <c r="K127" s="6">
        <v>-1</v>
      </c>
      <c r="L127" s="6"/>
      <c r="M127" s="6"/>
      <c r="N127" s="6"/>
    </row>
    <row r="128" spans="1:14" x14ac:dyDescent="0.3">
      <c r="A128" s="6" t="s">
        <v>2807</v>
      </c>
      <c r="B128" s="6" t="s">
        <v>372</v>
      </c>
      <c r="C128" s="6"/>
      <c r="D128" s="6"/>
      <c r="E128" s="6"/>
      <c r="F128" s="6"/>
      <c r="G128" s="6"/>
      <c r="H128" s="6"/>
      <c r="I128" s="6"/>
      <c r="J128" s="6"/>
      <c r="K128" s="6">
        <v>13</v>
      </c>
      <c r="L128" s="6"/>
      <c r="M128" s="6"/>
      <c r="N128" s="6"/>
    </row>
    <row r="129" spans="1:14" x14ac:dyDescent="0.3">
      <c r="A129" s="6"/>
      <c r="B129" s="6" t="s">
        <v>690</v>
      </c>
      <c r="C129" s="6"/>
      <c r="D129" s="6"/>
      <c r="E129" s="6"/>
      <c r="F129" s="6"/>
      <c r="G129" s="6"/>
      <c r="H129" s="6"/>
      <c r="I129" s="6"/>
      <c r="J129" s="6"/>
      <c r="K129" s="6"/>
      <c r="L129" s="6">
        <v>-1</v>
      </c>
      <c r="M129" s="6"/>
      <c r="N129" s="6"/>
    </row>
    <row r="130" spans="1:14" x14ac:dyDescent="0.3">
      <c r="A130" s="6"/>
      <c r="B130" s="6" t="s">
        <v>414</v>
      </c>
      <c r="C130" s="6"/>
      <c r="D130" s="6"/>
      <c r="E130" s="6"/>
      <c r="F130" s="6"/>
      <c r="G130" s="6"/>
      <c r="H130" s="6"/>
      <c r="I130" s="6"/>
      <c r="J130" s="6"/>
      <c r="K130" s="6"/>
      <c r="L130" s="6">
        <v>-1</v>
      </c>
      <c r="M130" s="6"/>
      <c r="N130" s="6"/>
    </row>
    <row r="131" spans="1:14" x14ac:dyDescent="0.3">
      <c r="A131" s="6"/>
      <c r="B131" s="6" t="s">
        <v>580</v>
      </c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>
        <v>-1</v>
      </c>
      <c r="N131" s="6"/>
    </row>
    <row r="132" spans="1:14" x14ac:dyDescent="0.3">
      <c r="A132" s="6"/>
      <c r="B132" s="6" t="s">
        <v>620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>
        <v>-1</v>
      </c>
      <c r="N132" s="6"/>
    </row>
    <row r="133" spans="1:14" x14ac:dyDescent="0.3">
      <c r="A133" s="6"/>
      <c r="B133" s="6" t="s">
        <v>334</v>
      </c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>
        <v>-1</v>
      </c>
    </row>
    <row r="134" spans="1:14" x14ac:dyDescent="0.3">
      <c r="A134" s="6" t="s">
        <v>3305</v>
      </c>
      <c r="B134" s="6" t="s">
        <v>370</v>
      </c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>
        <v>9</v>
      </c>
    </row>
    <row r="135" spans="1:14" x14ac:dyDescent="0.3">
      <c r="A135" s="6"/>
      <c r="B135" s="6" t="s">
        <v>610</v>
      </c>
      <c r="C135" s="6">
        <v>-1</v>
      </c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</row>
    <row r="136" spans="1:14" x14ac:dyDescent="0.3">
      <c r="A136" s="6"/>
      <c r="B136" s="6" t="s">
        <v>482</v>
      </c>
      <c r="C136" s="6">
        <v>-1</v>
      </c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</row>
    <row r="137" spans="1:14" x14ac:dyDescent="0.3">
      <c r="A137" s="6"/>
      <c r="B137" s="6" t="s">
        <v>428</v>
      </c>
      <c r="C137" s="6"/>
      <c r="D137" s="6">
        <v>-1</v>
      </c>
      <c r="E137" s="6"/>
      <c r="F137" s="6"/>
      <c r="G137" s="6"/>
      <c r="H137" s="6"/>
      <c r="I137" s="6"/>
      <c r="J137" s="6"/>
      <c r="K137" s="6"/>
      <c r="L137" s="6"/>
      <c r="M137" s="6"/>
      <c r="N137" s="6"/>
    </row>
    <row r="138" spans="1:14" x14ac:dyDescent="0.3">
      <c r="A138" s="6"/>
      <c r="B138" s="6" t="s">
        <v>610</v>
      </c>
      <c r="C138" s="6"/>
      <c r="D138" s="6">
        <v>-1</v>
      </c>
      <c r="E138" s="6"/>
      <c r="F138" s="6"/>
      <c r="G138" s="6"/>
      <c r="H138" s="6"/>
      <c r="I138" s="6"/>
      <c r="J138" s="6"/>
      <c r="K138" s="6"/>
      <c r="L138" s="6"/>
      <c r="M138" s="6"/>
      <c r="N138" s="6"/>
    </row>
    <row r="139" spans="1:14" x14ac:dyDescent="0.3">
      <c r="A139" s="6"/>
      <c r="B139" s="6" t="s">
        <v>482</v>
      </c>
      <c r="C139" s="6"/>
      <c r="D139" s="6"/>
      <c r="E139" s="6">
        <v>-1</v>
      </c>
      <c r="F139" s="6"/>
      <c r="G139" s="6"/>
      <c r="H139" s="6"/>
      <c r="I139" s="6"/>
      <c r="J139" s="6"/>
      <c r="K139" s="6"/>
      <c r="L139" s="6"/>
      <c r="M139" s="6"/>
      <c r="N139" s="6"/>
    </row>
    <row r="140" spans="1:14" x14ac:dyDescent="0.3">
      <c r="A140" s="6" t="s">
        <v>4843</v>
      </c>
      <c r="B140" s="6" t="s">
        <v>360</v>
      </c>
      <c r="C140" s="6"/>
      <c r="D140" s="6"/>
      <c r="E140" s="6">
        <v>7</v>
      </c>
      <c r="F140" s="6"/>
      <c r="G140" s="6"/>
      <c r="H140" s="6"/>
      <c r="I140" s="6"/>
      <c r="J140" s="6"/>
      <c r="K140" s="6"/>
      <c r="L140" s="6"/>
      <c r="M140" s="6"/>
      <c r="N140" s="6"/>
    </row>
    <row r="141" spans="1:14" x14ac:dyDescent="0.3">
      <c r="A141" s="6" t="s">
        <v>4048</v>
      </c>
      <c r="B141" s="6" t="s">
        <v>428</v>
      </c>
      <c r="C141" s="6"/>
      <c r="D141" s="6"/>
      <c r="E141" s="6"/>
      <c r="F141" s="6">
        <v>7</v>
      </c>
      <c r="G141" s="6"/>
      <c r="H141" s="6"/>
      <c r="I141" s="6"/>
      <c r="J141" s="6"/>
      <c r="K141" s="6"/>
      <c r="L141" s="6"/>
      <c r="M141" s="6"/>
      <c r="N141" s="6"/>
    </row>
    <row r="142" spans="1:14" x14ac:dyDescent="0.3">
      <c r="A142" s="6"/>
      <c r="B142" s="6" t="s">
        <v>642</v>
      </c>
      <c r="C142" s="6"/>
      <c r="D142" s="6"/>
      <c r="E142" s="6"/>
      <c r="F142" s="6">
        <v>-1</v>
      </c>
      <c r="G142" s="6"/>
      <c r="H142" s="6"/>
      <c r="I142" s="6"/>
      <c r="J142" s="6"/>
      <c r="K142" s="6"/>
      <c r="L142" s="6"/>
      <c r="M142" s="6"/>
      <c r="N142" s="6"/>
    </row>
    <row r="143" spans="1:14" x14ac:dyDescent="0.3">
      <c r="A143" s="6"/>
      <c r="B143" s="6" t="s">
        <v>604</v>
      </c>
      <c r="C143" s="6"/>
      <c r="D143" s="6"/>
      <c r="E143" s="6"/>
      <c r="F143" s="6"/>
      <c r="G143" s="6">
        <v>-1</v>
      </c>
      <c r="H143" s="6"/>
      <c r="I143" s="6"/>
      <c r="J143" s="6"/>
      <c r="K143" s="6"/>
      <c r="L143" s="6"/>
      <c r="M143" s="6"/>
      <c r="N143" s="6"/>
    </row>
    <row r="144" spans="1:14" x14ac:dyDescent="0.3">
      <c r="A144" s="6"/>
      <c r="B144" s="6" t="s">
        <v>360</v>
      </c>
      <c r="C144" s="6"/>
      <c r="D144" s="6"/>
      <c r="E144" s="6"/>
      <c r="F144" s="6"/>
      <c r="G144" s="6">
        <v>-1</v>
      </c>
      <c r="H144" s="6"/>
      <c r="I144" s="6"/>
      <c r="J144" s="6"/>
      <c r="K144" s="6"/>
      <c r="L144" s="6"/>
      <c r="M144" s="6"/>
      <c r="N144" s="6"/>
    </row>
    <row r="145" spans="1:14" x14ac:dyDescent="0.3">
      <c r="A145" s="6"/>
      <c r="B145" s="6" t="s">
        <v>642</v>
      </c>
      <c r="C145" s="6"/>
      <c r="D145" s="6"/>
      <c r="E145" s="6"/>
      <c r="F145" s="6"/>
      <c r="G145" s="6"/>
      <c r="H145" s="6">
        <v>-1</v>
      </c>
      <c r="I145" s="6"/>
      <c r="J145" s="6"/>
      <c r="K145" s="6"/>
      <c r="L145" s="6"/>
      <c r="M145" s="6"/>
      <c r="N145" s="6"/>
    </row>
    <row r="146" spans="1:14" x14ac:dyDescent="0.3">
      <c r="A146" s="6"/>
      <c r="B146" s="6" t="s">
        <v>604</v>
      </c>
      <c r="C146" s="6"/>
      <c r="D146" s="6"/>
      <c r="E146" s="6"/>
      <c r="F146" s="6"/>
      <c r="G146" s="6"/>
      <c r="H146" s="6">
        <v>-1</v>
      </c>
      <c r="I146" s="6"/>
      <c r="J146" s="6"/>
      <c r="K146" s="6"/>
      <c r="L146" s="6"/>
      <c r="M146" s="6"/>
      <c r="N146" s="6"/>
    </row>
    <row r="147" spans="1:14" x14ac:dyDescent="0.3">
      <c r="A147" s="6"/>
      <c r="B147" s="6" t="s">
        <v>604</v>
      </c>
      <c r="C147" s="6"/>
      <c r="D147" s="6"/>
      <c r="E147" s="6"/>
      <c r="F147" s="6"/>
      <c r="G147" s="6"/>
      <c r="H147" s="6"/>
      <c r="I147" s="6">
        <v>-1</v>
      </c>
      <c r="J147" s="6"/>
      <c r="K147" s="6"/>
      <c r="L147" s="6"/>
      <c r="M147" s="6"/>
      <c r="N147" s="6"/>
    </row>
    <row r="148" spans="1:14" x14ac:dyDescent="0.3">
      <c r="A148" s="6"/>
      <c r="B148" s="6" t="s">
        <v>658</v>
      </c>
      <c r="C148" s="6"/>
      <c r="D148" s="6"/>
      <c r="E148" s="6"/>
      <c r="F148" s="6"/>
      <c r="G148" s="6"/>
      <c r="H148" s="6"/>
      <c r="I148" s="6">
        <v>-1</v>
      </c>
      <c r="J148" s="6"/>
      <c r="K148" s="6"/>
      <c r="L148" s="6"/>
      <c r="M148" s="6"/>
      <c r="N148" s="6"/>
    </row>
    <row r="149" spans="1:14" x14ac:dyDescent="0.3">
      <c r="A149" s="6"/>
      <c r="B149" s="6" t="s">
        <v>610</v>
      </c>
      <c r="C149" s="6"/>
      <c r="D149" s="6"/>
      <c r="E149" s="6"/>
      <c r="F149" s="6"/>
      <c r="G149" s="6"/>
      <c r="H149" s="6"/>
      <c r="I149" s="6"/>
      <c r="J149" s="6">
        <v>-1</v>
      </c>
      <c r="K149" s="6"/>
      <c r="L149" s="6"/>
      <c r="M149" s="6"/>
      <c r="N149" s="6"/>
    </row>
    <row r="150" spans="1:14" x14ac:dyDescent="0.3">
      <c r="A150" s="6"/>
      <c r="B150" s="6" t="s">
        <v>428</v>
      </c>
      <c r="C150" s="6"/>
      <c r="D150" s="6"/>
      <c r="E150" s="6"/>
      <c r="F150" s="6"/>
      <c r="G150" s="6"/>
      <c r="H150" s="6"/>
      <c r="I150" s="6"/>
      <c r="J150" s="6">
        <v>-1</v>
      </c>
      <c r="K150" s="6"/>
      <c r="L150" s="6"/>
      <c r="M150" s="6"/>
      <c r="N150" s="6"/>
    </row>
    <row r="151" spans="1:14" x14ac:dyDescent="0.3">
      <c r="A151" s="6" t="s">
        <v>2318</v>
      </c>
      <c r="B151" s="6" t="s">
        <v>604</v>
      </c>
      <c r="C151" s="6"/>
      <c r="D151" s="6"/>
      <c r="E151" s="6"/>
      <c r="F151" s="6"/>
      <c r="G151" s="6"/>
      <c r="H151" s="6"/>
      <c r="I151" s="6"/>
      <c r="J151" s="6"/>
      <c r="K151" s="6">
        <v>2</v>
      </c>
      <c r="L151" s="6"/>
      <c r="M151" s="6"/>
      <c r="N151" s="6"/>
    </row>
    <row r="152" spans="1:14" x14ac:dyDescent="0.3">
      <c r="A152" s="6"/>
      <c r="B152" s="6" t="s">
        <v>360</v>
      </c>
      <c r="C152" s="6"/>
      <c r="D152" s="6"/>
      <c r="E152" s="6"/>
      <c r="F152" s="6"/>
      <c r="G152" s="6"/>
      <c r="H152" s="6"/>
      <c r="I152" s="6"/>
      <c r="J152" s="6"/>
      <c r="K152" s="6">
        <v>-1</v>
      </c>
      <c r="L152" s="6"/>
      <c r="M152" s="6"/>
      <c r="N152" s="6"/>
    </row>
    <row r="153" spans="1:14" x14ac:dyDescent="0.3">
      <c r="A153" s="6" t="s">
        <v>4463</v>
      </c>
      <c r="B153" s="6" t="s">
        <v>328</v>
      </c>
      <c r="C153" s="6"/>
      <c r="D153" s="6"/>
      <c r="E153" s="6"/>
      <c r="F153" s="6"/>
      <c r="G153" s="6"/>
      <c r="H153" s="6"/>
      <c r="I153" s="6"/>
      <c r="J153" s="6"/>
      <c r="K153" s="6"/>
      <c r="L153" s="6">
        <v>13</v>
      </c>
      <c r="M153" s="6"/>
      <c r="N153" s="6"/>
    </row>
    <row r="154" spans="1:14" x14ac:dyDescent="0.3">
      <c r="A154" s="6"/>
      <c r="B154" s="6" t="s">
        <v>360</v>
      </c>
      <c r="C154" s="6"/>
      <c r="D154" s="6"/>
      <c r="E154" s="6"/>
      <c r="F154" s="6"/>
      <c r="G154" s="6"/>
      <c r="H154" s="6"/>
      <c r="I154" s="6"/>
      <c r="J154" s="6"/>
      <c r="K154" s="6"/>
      <c r="L154" s="6">
        <v>-1</v>
      </c>
      <c r="M154" s="6"/>
      <c r="N154" s="6"/>
    </row>
    <row r="155" spans="1:14" x14ac:dyDescent="0.3">
      <c r="A155" s="6" t="s">
        <v>2901</v>
      </c>
      <c r="B155" s="6" t="s">
        <v>482</v>
      </c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>
        <v>5</v>
      </c>
      <c r="N155" s="6"/>
    </row>
    <row r="156" spans="1:14" x14ac:dyDescent="0.3">
      <c r="A156" s="6"/>
      <c r="B156" s="6" t="s">
        <v>700</v>
      </c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>
        <v>-1</v>
      </c>
      <c r="N156" s="6"/>
    </row>
    <row r="157" spans="1:14" x14ac:dyDescent="0.3">
      <c r="A157" s="6"/>
      <c r="B157" s="6" t="s">
        <v>700</v>
      </c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>
        <v>-1</v>
      </c>
    </row>
    <row r="158" spans="1:14" x14ac:dyDescent="0.3">
      <c r="A158" s="6"/>
      <c r="B158" s="6" t="s">
        <v>604</v>
      </c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>
        <v>-1</v>
      </c>
    </row>
    <row r="159" spans="1:14" x14ac:dyDescent="0.3">
      <c r="A159" s="6" t="s">
        <v>4521</v>
      </c>
      <c r="B159" s="6" t="s">
        <v>332</v>
      </c>
      <c r="C159" s="6">
        <v>2</v>
      </c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</row>
    <row r="160" spans="1:14" x14ac:dyDescent="0.3">
      <c r="A160" s="6" t="s">
        <v>3618</v>
      </c>
      <c r="B160" s="6" t="s">
        <v>448</v>
      </c>
      <c r="C160" s="6">
        <v>3</v>
      </c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</row>
    <row r="161" spans="1:14" x14ac:dyDescent="0.3">
      <c r="A161" s="6"/>
      <c r="B161" s="6" t="s">
        <v>328</v>
      </c>
      <c r="C161" s="6">
        <v>-1</v>
      </c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</row>
    <row r="162" spans="1:14" x14ac:dyDescent="0.3">
      <c r="A162" s="6"/>
      <c r="B162" s="6" t="s">
        <v>496</v>
      </c>
      <c r="C162" s="6"/>
      <c r="D162" s="6">
        <v>-1</v>
      </c>
      <c r="E162" s="6"/>
      <c r="F162" s="6"/>
      <c r="G162" s="6"/>
      <c r="H162" s="6"/>
      <c r="I162" s="6"/>
      <c r="J162" s="6"/>
      <c r="K162" s="6"/>
      <c r="L162" s="6"/>
      <c r="M162" s="6"/>
      <c r="N162" s="6"/>
    </row>
    <row r="163" spans="1:14" x14ac:dyDescent="0.3">
      <c r="A163" s="6"/>
      <c r="B163" s="6" t="s">
        <v>642</v>
      </c>
      <c r="C163" s="6"/>
      <c r="D163" s="6">
        <v>-1</v>
      </c>
      <c r="E163" s="6"/>
      <c r="F163" s="6"/>
      <c r="G163" s="6"/>
      <c r="H163" s="6"/>
      <c r="I163" s="6"/>
      <c r="J163" s="6"/>
      <c r="K163" s="6"/>
      <c r="L163" s="6"/>
      <c r="M163" s="6"/>
      <c r="N163" s="6"/>
    </row>
    <row r="164" spans="1:14" x14ac:dyDescent="0.3">
      <c r="A164" s="6" t="s">
        <v>4530</v>
      </c>
      <c r="B164" s="6" t="s">
        <v>332</v>
      </c>
      <c r="C164" s="6"/>
      <c r="D164" s="6">
        <v>13</v>
      </c>
      <c r="E164" s="6"/>
      <c r="F164" s="6"/>
      <c r="G164" s="6"/>
      <c r="H164" s="6"/>
      <c r="I164" s="6"/>
      <c r="J164" s="6"/>
      <c r="K164" s="6"/>
      <c r="L164" s="6"/>
      <c r="M164" s="6"/>
      <c r="N164" s="6"/>
    </row>
    <row r="165" spans="1:14" x14ac:dyDescent="0.3">
      <c r="A165" s="6"/>
      <c r="B165" s="6" t="s">
        <v>710</v>
      </c>
      <c r="C165" s="6"/>
      <c r="D165" s="6"/>
      <c r="E165" s="6">
        <v>-1</v>
      </c>
      <c r="F165" s="6"/>
      <c r="G165" s="6"/>
      <c r="H165" s="6"/>
      <c r="I165" s="6"/>
      <c r="J165" s="6"/>
      <c r="K165" s="6"/>
      <c r="L165" s="6"/>
      <c r="M165" s="6"/>
      <c r="N165" s="6"/>
    </row>
    <row r="166" spans="1:14" x14ac:dyDescent="0.3">
      <c r="A166" s="6"/>
      <c r="B166" s="6" t="s">
        <v>408</v>
      </c>
      <c r="C166" s="6"/>
      <c r="D166" s="6"/>
      <c r="E166" s="6">
        <v>-1</v>
      </c>
      <c r="F166" s="6"/>
      <c r="G166" s="6"/>
      <c r="H166" s="6"/>
      <c r="I166" s="6"/>
      <c r="J166" s="6"/>
      <c r="K166" s="6"/>
      <c r="L166" s="6"/>
      <c r="M166" s="6"/>
      <c r="N166" s="6"/>
    </row>
    <row r="167" spans="1:14" x14ac:dyDescent="0.3">
      <c r="A167" s="6"/>
      <c r="B167" s="6" t="s">
        <v>496</v>
      </c>
      <c r="C167" s="6"/>
      <c r="D167" s="6"/>
      <c r="E167" s="6">
        <v>-1</v>
      </c>
      <c r="F167" s="6"/>
      <c r="G167" s="6"/>
      <c r="H167" s="6"/>
      <c r="I167" s="6"/>
      <c r="J167" s="6"/>
      <c r="K167" s="6"/>
      <c r="L167" s="6"/>
      <c r="M167" s="6"/>
      <c r="N167" s="6"/>
    </row>
    <row r="168" spans="1:14" x14ac:dyDescent="0.3">
      <c r="A168" s="6"/>
      <c r="B168" s="6" t="s">
        <v>342</v>
      </c>
      <c r="C168" s="6"/>
      <c r="D168" s="6"/>
      <c r="E168" s="6"/>
      <c r="F168" s="6">
        <v>-1</v>
      </c>
      <c r="G168" s="6"/>
      <c r="H168" s="6"/>
      <c r="I168" s="6"/>
      <c r="J168" s="6"/>
      <c r="K168" s="6"/>
      <c r="L168" s="6"/>
      <c r="M168" s="6"/>
      <c r="N168" s="6"/>
    </row>
    <row r="169" spans="1:14" x14ac:dyDescent="0.3">
      <c r="A169" s="6"/>
      <c r="B169" s="6" t="s">
        <v>370</v>
      </c>
      <c r="C169" s="6"/>
      <c r="D169" s="6"/>
      <c r="E169" s="6"/>
      <c r="F169" s="6">
        <v>-1</v>
      </c>
      <c r="G169" s="6"/>
      <c r="H169" s="6"/>
      <c r="I169" s="6"/>
      <c r="J169" s="6"/>
      <c r="K169" s="6"/>
      <c r="L169" s="6"/>
      <c r="M169" s="6"/>
      <c r="N169" s="6"/>
    </row>
    <row r="170" spans="1:14" x14ac:dyDescent="0.3">
      <c r="A170" s="6"/>
      <c r="B170" s="6" t="s">
        <v>580</v>
      </c>
      <c r="C170" s="6"/>
      <c r="D170" s="6"/>
      <c r="E170" s="6"/>
      <c r="F170" s="6">
        <v>-1</v>
      </c>
      <c r="G170" s="6"/>
      <c r="H170" s="6"/>
      <c r="I170" s="6"/>
      <c r="J170" s="6"/>
      <c r="K170" s="6"/>
      <c r="L170" s="6"/>
      <c r="M170" s="6"/>
      <c r="N170" s="6"/>
    </row>
    <row r="171" spans="1:14" x14ac:dyDescent="0.3">
      <c r="A171" s="6" t="s">
        <v>4676</v>
      </c>
      <c r="B171" s="6" t="s">
        <v>334</v>
      </c>
      <c r="C171" s="6"/>
      <c r="D171" s="6"/>
      <c r="E171" s="6"/>
      <c r="F171" s="6"/>
      <c r="G171" s="6">
        <v>15</v>
      </c>
      <c r="H171" s="6"/>
      <c r="I171" s="6"/>
      <c r="J171" s="6"/>
      <c r="K171" s="6"/>
      <c r="L171" s="6"/>
      <c r="M171" s="6"/>
      <c r="N171" s="6"/>
    </row>
    <row r="172" spans="1:14" x14ac:dyDescent="0.3">
      <c r="A172" s="6"/>
      <c r="B172" s="6" t="s">
        <v>394</v>
      </c>
      <c r="C172" s="6"/>
      <c r="D172" s="6"/>
      <c r="E172" s="6"/>
      <c r="F172" s="6"/>
      <c r="G172" s="6">
        <v>-1</v>
      </c>
      <c r="H172" s="6"/>
      <c r="I172" s="6"/>
      <c r="J172" s="6"/>
      <c r="K172" s="6"/>
      <c r="L172" s="6"/>
      <c r="M172" s="6"/>
      <c r="N172" s="6"/>
    </row>
    <row r="173" spans="1:14" x14ac:dyDescent="0.3">
      <c r="A173" s="6" t="s">
        <v>1771</v>
      </c>
      <c r="B173" s="6" t="s">
        <v>328</v>
      </c>
      <c r="C173" s="6"/>
      <c r="D173" s="6"/>
      <c r="E173" s="6"/>
      <c r="F173" s="6"/>
      <c r="G173" s="6">
        <v>11</v>
      </c>
      <c r="H173" s="6"/>
      <c r="I173" s="6"/>
      <c r="J173" s="6"/>
      <c r="K173" s="6"/>
      <c r="L173" s="6"/>
      <c r="M173" s="6"/>
      <c r="N173" s="6"/>
    </row>
    <row r="174" spans="1:14" x14ac:dyDescent="0.3">
      <c r="A174" s="6"/>
      <c r="B174" s="6" t="s">
        <v>610</v>
      </c>
      <c r="C174" s="6"/>
      <c r="D174" s="6"/>
      <c r="E174" s="6"/>
      <c r="F174" s="6"/>
      <c r="G174" s="6"/>
      <c r="H174" s="6">
        <v>-1</v>
      </c>
      <c r="I174" s="6"/>
      <c r="J174" s="6"/>
      <c r="K174" s="6"/>
      <c r="L174" s="6"/>
      <c r="M174" s="6"/>
      <c r="N174" s="6"/>
    </row>
    <row r="175" spans="1:14" x14ac:dyDescent="0.3">
      <c r="A175" s="6" t="s">
        <v>4284</v>
      </c>
      <c r="B175" s="6" t="s">
        <v>328</v>
      </c>
      <c r="C175" s="6"/>
      <c r="D175" s="6"/>
      <c r="E175" s="6"/>
      <c r="F175" s="6"/>
      <c r="G175" s="6"/>
      <c r="H175" s="6">
        <v>11</v>
      </c>
      <c r="I175" s="6"/>
      <c r="J175" s="6"/>
      <c r="K175" s="6"/>
      <c r="L175" s="6"/>
      <c r="M175" s="6"/>
      <c r="N175" s="6"/>
    </row>
    <row r="176" spans="1:14" x14ac:dyDescent="0.3">
      <c r="A176" s="6"/>
      <c r="B176" s="6" t="s">
        <v>406</v>
      </c>
      <c r="C176" s="6"/>
      <c r="D176" s="6"/>
      <c r="E176" s="6"/>
      <c r="F176" s="6"/>
      <c r="G176" s="6"/>
      <c r="H176" s="6">
        <v>-1</v>
      </c>
      <c r="I176" s="6"/>
      <c r="J176" s="6"/>
      <c r="K176" s="6"/>
      <c r="L176" s="6"/>
      <c r="M176" s="6"/>
      <c r="N176" s="6"/>
    </row>
    <row r="177" spans="1:14" x14ac:dyDescent="0.3">
      <c r="A177" s="6"/>
      <c r="B177" s="6" t="s">
        <v>456</v>
      </c>
      <c r="C177" s="6"/>
      <c r="D177" s="6"/>
      <c r="E177" s="6"/>
      <c r="F177" s="6"/>
      <c r="G177" s="6"/>
      <c r="H177" s="6"/>
      <c r="I177" s="6">
        <v>-1</v>
      </c>
      <c r="J177" s="6"/>
      <c r="K177" s="6"/>
      <c r="L177" s="6"/>
      <c r="M177" s="6"/>
      <c r="N177" s="6"/>
    </row>
    <row r="178" spans="1:14" x14ac:dyDescent="0.3">
      <c r="A178" s="6"/>
      <c r="B178" s="6" t="s">
        <v>690</v>
      </c>
      <c r="C178" s="6"/>
      <c r="D178" s="6"/>
      <c r="E178" s="6"/>
      <c r="F178" s="6"/>
      <c r="G178" s="6"/>
      <c r="H178" s="6"/>
      <c r="I178" s="6">
        <v>-1</v>
      </c>
      <c r="J178" s="6"/>
      <c r="K178" s="6"/>
      <c r="L178" s="6"/>
      <c r="M178" s="6"/>
      <c r="N178" s="6"/>
    </row>
    <row r="179" spans="1:14" x14ac:dyDescent="0.3">
      <c r="A179" s="6"/>
      <c r="B179" s="6" t="s">
        <v>348</v>
      </c>
      <c r="C179" s="6"/>
      <c r="D179" s="6"/>
      <c r="E179" s="6"/>
      <c r="F179" s="6"/>
      <c r="G179" s="6"/>
      <c r="H179" s="6"/>
      <c r="I179" s="6">
        <v>-1</v>
      </c>
      <c r="J179" s="6"/>
      <c r="K179" s="6"/>
      <c r="L179" s="6"/>
      <c r="M179" s="6"/>
      <c r="N179" s="6"/>
    </row>
    <row r="180" spans="1:14" x14ac:dyDescent="0.3">
      <c r="A180" s="6"/>
      <c r="B180" s="6" t="s">
        <v>390</v>
      </c>
      <c r="C180" s="6"/>
      <c r="D180" s="6"/>
      <c r="E180" s="6"/>
      <c r="F180" s="6"/>
      <c r="G180" s="6"/>
      <c r="H180" s="6"/>
      <c r="I180" s="6"/>
      <c r="J180" s="6">
        <v>-1</v>
      </c>
      <c r="K180" s="6"/>
      <c r="L180" s="6"/>
      <c r="M180" s="6"/>
      <c r="N180" s="6"/>
    </row>
    <row r="181" spans="1:14" x14ac:dyDescent="0.3">
      <c r="A181" s="6"/>
      <c r="B181" s="6" t="s">
        <v>580</v>
      </c>
      <c r="C181" s="6"/>
      <c r="D181" s="6"/>
      <c r="E181" s="6"/>
      <c r="F181" s="6"/>
      <c r="G181" s="6"/>
      <c r="H181" s="6"/>
      <c r="I181" s="6"/>
      <c r="J181" s="6">
        <v>-1</v>
      </c>
      <c r="K181" s="6"/>
      <c r="L181" s="6"/>
      <c r="M181" s="6"/>
      <c r="N181" s="6"/>
    </row>
    <row r="182" spans="1:14" x14ac:dyDescent="0.3">
      <c r="A182" s="6"/>
      <c r="B182" s="6" t="s">
        <v>326</v>
      </c>
      <c r="C182" s="6"/>
      <c r="D182" s="6"/>
      <c r="E182" s="6"/>
      <c r="F182" s="6"/>
      <c r="G182" s="6"/>
      <c r="H182" s="6"/>
      <c r="I182" s="6"/>
      <c r="J182" s="6">
        <v>-1</v>
      </c>
      <c r="K182" s="6"/>
      <c r="L182" s="6"/>
      <c r="M182" s="6"/>
      <c r="N182" s="6"/>
    </row>
    <row r="183" spans="1:14" x14ac:dyDescent="0.3">
      <c r="A183" s="6" t="s">
        <v>4625</v>
      </c>
      <c r="B183" s="6" t="s">
        <v>370</v>
      </c>
      <c r="C183" s="6"/>
      <c r="D183" s="6"/>
      <c r="E183" s="6"/>
      <c r="F183" s="6"/>
      <c r="G183" s="6"/>
      <c r="H183" s="6"/>
      <c r="I183" s="6"/>
      <c r="J183" s="6"/>
      <c r="K183" s="6">
        <v>12</v>
      </c>
      <c r="L183" s="6"/>
      <c r="M183" s="6"/>
      <c r="N183" s="6"/>
    </row>
    <row r="184" spans="1:14" x14ac:dyDescent="0.3">
      <c r="A184" s="6"/>
      <c r="B184" s="6" t="s">
        <v>406</v>
      </c>
      <c r="C184" s="6"/>
      <c r="D184" s="6"/>
      <c r="E184" s="6"/>
      <c r="F184" s="6"/>
      <c r="G184" s="6"/>
      <c r="H184" s="6"/>
      <c r="I184" s="6"/>
      <c r="J184" s="6"/>
      <c r="K184" s="6">
        <v>-1</v>
      </c>
      <c r="L184" s="6"/>
      <c r="M184" s="6"/>
      <c r="N184" s="6"/>
    </row>
    <row r="185" spans="1:14" x14ac:dyDescent="0.3">
      <c r="A185" s="6"/>
      <c r="B185" s="6" t="s">
        <v>332</v>
      </c>
      <c r="C185" s="6"/>
      <c r="D185" s="6"/>
      <c r="E185" s="6"/>
      <c r="F185" s="6"/>
      <c r="G185" s="6"/>
      <c r="H185" s="6"/>
      <c r="I185" s="6"/>
      <c r="J185" s="6"/>
      <c r="K185" s="6">
        <v>-1</v>
      </c>
      <c r="L185" s="6"/>
      <c r="M185" s="6"/>
      <c r="N185" s="6"/>
    </row>
    <row r="186" spans="1:14" x14ac:dyDescent="0.3">
      <c r="A186" s="6"/>
      <c r="B186" s="6" t="s">
        <v>456</v>
      </c>
      <c r="C186" s="6"/>
      <c r="D186" s="6"/>
      <c r="E186" s="6"/>
      <c r="F186" s="6"/>
      <c r="G186" s="6"/>
      <c r="H186" s="6"/>
      <c r="I186" s="6"/>
      <c r="J186" s="6"/>
      <c r="K186" s="6"/>
      <c r="L186" s="6">
        <v>-1</v>
      </c>
      <c r="M186" s="6"/>
      <c r="N186" s="6"/>
    </row>
    <row r="187" spans="1:14" x14ac:dyDescent="0.3">
      <c r="A187" s="6"/>
      <c r="B187" s="6" t="s">
        <v>394</v>
      </c>
      <c r="C187" s="6"/>
      <c r="D187" s="6"/>
      <c r="E187" s="6"/>
      <c r="F187" s="6"/>
      <c r="G187" s="6"/>
      <c r="H187" s="6"/>
      <c r="I187" s="6"/>
      <c r="J187" s="6"/>
      <c r="K187" s="6"/>
      <c r="L187" s="6">
        <v>-1</v>
      </c>
      <c r="M187" s="6"/>
      <c r="N187" s="6"/>
    </row>
    <row r="188" spans="1:14" x14ac:dyDescent="0.3">
      <c r="A188" s="6"/>
      <c r="B188" s="6" t="s">
        <v>580</v>
      </c>
      <c r="C188" s="6"/>
      <c r="D188" s="6"/>
      <c r="E188" s="6"/>
      <c r="F188" s="6"/>
      <c r="G188" s="6"/>
      <c r="H188" s="6"/>
      <c r="I188" s="6"/>
      <c r="J188" s="6"/>
      <c r="K188" s="6"/>
      <c r="L188" s="6">
        <v>-1</v>
      </c>
      <c r="M188" s="6"/>
      <c r="N188" s="6"/>
    </row>
    <row r="189" spans="1:14" x14ac:dyDescent="0.3">
      <c r="A189" s="6" t="s">
        <v>2808</v>
      </c>
      <c r="B189" s="6" t="s">
        <v>372</v>
      </c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>
        <v>8</v>
      </c>
      <c r="N189" s="6"/>
    </row>
    <row r="190" spans="1:14" x14ac:dyDescent="0.3">
      <c r="A190" s="6"/>
      <c r="B190" s="6" t="s">
        <v>610</v>
      </c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>
        <v>-1</v>
      </c>
      <c r="N190" s="6"/>
    </row>
    <row r="191" spans="1:14" x14ac:dyDescent="0.3">
      <c r="A191" s="6"/>
      <c r="B191" s="6" t="s">
        <v>334</v>
      </c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>
        <v>-1</v>
      </c>
      <c r="N191" s="6"/>
    </row>
    <row r="192" spans="1:14" x14ac:dyDescent="0.3">
      <c r="A192" s="6" t="s">
        <v>2498</v>
      </c>
      <c r="B192" s="6" t="s">
        <v>456</v>
      </c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>
        <v>5</v>
      </c>
    </row>
    <row r="193" spans="1:14" x14ac:dyDescent="0.3">
      <c r="A193" s="6" t="s">
        <v>4349</v>
      </c>
      <c r="B193" s="6" t="s">
        <v>348</v>
      </c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>
        <v>11</v>
      </c>
    </row>
    <row r="194" spans="1:14" x14ac:dyDescent="0.3">
      <c r="A194" s="6" t="s">
        <v>3890</v>
      </c>
      <c r="B194" s="6" t="s">
        <v>572</v>
      </c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>
        <v>10</v>
      </c>
    </row>
    <row r="195" spans="1:14" x14ac:dyDescent="0.3">
      <c r="A195" s="6"/>
      <c r="B195" s="6" t="s">
        <v>386</v>
      </c>
      <c r="C195" s="6"/>
      <c r="D195" s="6"/>
      <c r="E195" s="6">
        <v>-1</v>
      </c>
      <c r="F195" s="6"/>
      <c r="G195" s="6"/>
      <c r="H195" s="6"/>
      <c r="I195" s="6"/>
      <c r="J195" s="6"/>
      <c r="K195" s="6"/>
      <c r="L195" s="6"/>
      <c r="M195" s="6"/>
      <c r="N195" s="6"/>
    </row>
    <row r="196" spans="1:14" x14ac:dyDescent="0.3">
      <c r="A196" s="6" t="s">
        <v>4846</v>
      </c>
      <c r="B196" s="6" t="s">
        <v>386</v>
      </c>
      <c r="C196" s="6"/>
      <c r="D196" s="6"/>
      <c r="E196" s="6"/>
      <c r="F196" s="6"/>
      <c r="G196" s="6"/>
      <c r="H196" s="6"/>
      <c r="I196" s="6">
        <v>17</v>
      </c>
      <c r="J196" s="6"/>
      <c r="K196" s="6"/>
      <c r="L196" s="6"/>
      <c r="M196" s="6"/>
      <c r="N196" s="6"/>
    </row>
  </sheetData>
  <pageMargins left="0.7" right="0.7" top="0.75" bottom="0.75" header="0.3" footer="0.3"/>
  <tableParts count="1">
    <tablePart r:id="rId1"/>
  </tablePart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A2915-9F53-4EF9-A56E-805C0EC9D700}">
  <dimension ref="A1:H97"/>
  <sheetViews>
    <sheetView topLeftCell="A88" workbookViewId="0">
      <selection activeCell="B98" sqref="B98"/>
    </sheetView>
  </sheetViews>
  <sheetFormatPr defaultRowHeight="14.4" x14ac:dyDescent="0.3"/>
  <cols>
    <col min="1" max="1" width="25.6640625" bestFit="1" customWidth="1"/>
    <col min="2" max="2" width="12.21875" bestFit="1" customWidth="1"/>
    <col min="3" max="8" width="18.6640625" bestFit="1" customWidth="1"/>
  </cols>
  <sheetData>
    <row r="1" spans="1:8" x14ac:dyDescent="0.3">
      <c r="A1" t="s">
        <v>832</v>
      </c>
      <c r="B1" t="s">
        <v>1</v>
      </c>
      <c r="C1" t="s">
        <v>1001</v>
      </c>
      <c r="D1" t="s">
        <v>1007</v>
      </c>
      <c r="E1" t="s">
        <v>872</v>
      </c>
      <c r="F1" t="s">
        <v>1008</v>
      </c>
      <c r="G1" t="s">
        <v>929</v>
      </c>
      <c r="H1" t="s">
        <v>1009</v>
      </c>
    </row>
    <row r="2" spans="1:8" x14ac:dyDescent="0.3">
      <c r="A2" s="6"/>
      <c r="B2" s="6" t="s">
        <v>428</v>
      </c>
      <c r="C2" s="6">
        <v>-1</v>
      </c>
      <c r="D2" s="6"/>
      <c r="E2" s="6"/>
      <c r="F2" s="6"/>
      <c r="G2" s="6"/>
      <c r="H2" s="6"/>
    </row>
    <row r="3" spans="1:8" x14ac:dyDescent="0.3">
      <c r="A3" s="6"/>
      <c r="B3" s="6" t="s">
        <v>642</v>
      </c>
      <c r="C3" s="6">
        <v>-1</v>
      </c>
      <c r="D3" s="6"/>
      <c r="E3" s="6"/>
      <c r="F3" s="6"/>
      <c r="G3" s="6"/>
      <c r="H3" s="6"/>
    </row>
    <row r="4" spans="1:8" x14ac:dyDescent="0.3">
      <c r="A4" s="6"/>
      <c r="B4" s="6" t="s">
        <v>328</v>
      </c>
      <c r="C4" s="6">
        <v>-1</v>
      </c>
      <c r="D4" s="6"/>
      <c r="E4" s="6"/>
      <c r="F4" s="6"/>
      <c r="G4" s="6"/>
      <c r="H4" s="6"/>
    </row>
    <row r="5" spans="1:8" x14ac:dyDescent="0.3">
      <c r="A5" s="6"/>
      <c r="B5" s="6" t="s">
        <v>332</v>
      </c>
      <c r="C5" s="6">
        <v>-1</v>
      </c>
      <c r="D5" s="6"/>
      <c r="E5" s="6"/>
      <c r="F5" s="6"/>
      <c r="G5" s="6"/>
      <c r="H5" s="6"/>
    </row>
    <row r="6" spans="1:8" x14ac:dyDescent="0.3">
      <c r="A6" s="6"/>
      <c r="B6" s="6" t="s">
        <v>718</v>
      </c>
      <c r="C6" s="6">
        <v>-1</v>
      </c>
      <c r="D6" s="6"/>
      <c r="E6" s="6"/>
      <c r="F6" s="6"/>
      <c r="G6" s="6"/>
      <c r="H6" s="6"/>
    </row>
    <row r="7" spans="1:8" x14ac:dyDescent="0.3">
      <c r="A7" s="6" t="s">
        <v>2682</v>
      </c>
      <c r="B7" s="6" t="s">
        <v>428</v>
      </c>
      <c r="C7" s="6"/>
      <c r="D7" s="6">
        <v>1</v>
      </c>
      <c r="E7" s="6"/>
      <c r="F7" s="6"/>
      <c r="G7" s="6"/>
      <c r="H7" s="6"/>
    </row>
    <row r="8" spans="1:8" x14ac:dyDescent="0.3">
      <c r="A8" s="6"/>
      <c r="B8" s="6" t="s">
        <v>400</v>
      </c>
      <c r="C8" s="6"/>
      <c r="D8" s="6">
        <v>-1</v>
      </c>
      <c r="E8" s="6"/>
      <c r="F8" s="6"/>
      <c r="G8" s="6"/>
      <c r="H8" s="6"/>
    </row>
    <row r="9" spans="1:8" x14ac:dyDescent="0.3">
      <c r="A9" s="6"/>
      <c r="B9" s="6" t="s">
        <v>448</v>
      </c>
      <c r="C9" s="6"/>
      <c r="D9" s="6">
        <v>-1</v>
      </c>
      <c r="E9" s="6"/>
      <c r="F9" s="6"/>
      <c r="G9" s="6"/>
      <c r="H9" s="6"/>
    </row>
    <row r="10" spans="1:8" x14ac:dyDescent="0.3">
      <c r="A10" s="6"/>
      <c r="B10" s="6" t="s">
        <v>338</v>
      </c>
      <c r="C10" s="6"/>
      <c r="D10" s="6">
        <v>-1</v>
      </c>
      <c r="E10" s="6"/>
      <c r="F10" s="6"/>
      <c r="G10" s="6"/>
      <c r="H10" s="6"/>
    </row>
    <row r="11" spans="1:8" x14ac:dyDescent="0.3">
      <c r="A11" s="6"/>
      <c r="B11" s="6" t="s">
        <v>342</v>
      </c>
      <c r="C11" s="6"/>
      <c r="D11" s="6">
        <v>-1</v>
      </c>
      <c r="E11" s="6"/>
      <c r="F11" s="6"/>
      <c r="G11" s="6"/>
      <c r="H11" s="6"/>
    </row>
    <row r="12" spans="1:8" x14ac:dyDescent="0.3">
      <c r="A12" s="6" t="s">
        <v>3337</v>
      </c>
      <c r="B12" s="6" t="s">
        <v>428</v>
      </c>
      <c r="C12" s="6"/>
      <c r="D12" s="6"/>
      <c r="E12" s="6">
        <v>1</v>
      </c>
      <c r="F12" s="6"/>
      <c r="G12" s="6"/>
      <c r="H12" s="6"/>
    </row>
    <row r="13" spans="1:8" x14ac:dyDescent="0.3">
      <c r="A13" s="6"/>
      <c r="B13" s="6" t="s">
        <v>390</v>
      </c>
      <c r="C13" s="6"/>
      <c r="D13" s="6"/>
      <c r="E13" s="6">
        <v>-1</v>
      </c>
      <c r="F13" s="6"/>
      <c r="G13" s="6"/>
      <c r="H13" s="6"/>
    </row>
    <row r="14" spans="1:8" x14ac:dyDescent="0.3">
      <c r="A14" s="6"/>
      <c r="B14" s="6" t="s">
        <v>440</v>
      </c>
      <c r="C14" s="6"/>
      <c r="D14" s="6"/>
      <c r="E14" s="6">
        <v>-1</v>
      </c>
      <c r="F14" s="6"/>
      <c r="G14" s="6"/>
      <c r="H14" s="6"/>
    </row>
    <row r="15" spans="1:8" x14ac:dyDescent="0.3">
      <c r="A15" s="6" t="s">
        <v>3024</v>
      </c>
      <c r="B15" s="6" t="s">
        <v>332</v>
      </c>
      <c r="C15" s="6"/>
      <c r="D15" s="6"/>
      <c r="E15" s="6">
        <v>3</v>
      </c>
      <c r="F15" s="6"/>
      <c r="G15" s="6"/>
      <c r="H15" s="6"/>
    </row>
    <row r="16" spans="1:8" x14ac:dyDescent="0.3">
      <c r="A16" s="6" t="s">
        <v>2489</v>
      </c>
      <c r="B16" s="6" t="s">
        <v>394</v>
      </c>
      <c r="C16" s="6"/>
      <c r="D16" s="6"/>
      <c r="E16" s="6">
        <v>10</v>
      </c>
      <c r="F16" s="6"/>
      <c r="G16" s="6"/>
      <c r="H16" s="6"/>
    </row>
    <row r="17" spans="1:8" x14ac:dyDescent="0.3">
      <c r="A17" s="6"/>
      <c r="B17" s="6" t="s">
        <v>610</v>
      </c>
      <c r="C17" s="6"/>
      <c r="D17" s="6"/>
      <c r="E17" s="6"/>
      <c r="F17" s="6">
        <v>-1</v>
      </c>
      <c r="G17" s="6"/>
      <c r="H17" s="6"/>
    </row>
    <row r="18" spans="1:8" x14ac:dyDescent="0.3">
      <c r="A18" s="6" t="s">
        <v>3797</v>
      </c>
      <c r="B18" s="6" t="s">
        <v>428</v>
      </c>
      <c r="C18" s="6"/>
      <c r="D18" s="6"/>
      <c r="E18" s="6"/>
      <c r="F18" s="6">
        <v>1</v>
      </c>
      <c r="G18" s="6"/>
      <c r="H18" s="6"/>
    </row>
    <row r="19" spans="1:8" x14ac:dyDescent="0.3">
      <c r="A19" s="6"/>
      <c r="B19" s="6" t="s">
        <v>364</v>
      </c>
      <c r="C19" s="6"/>
      <c r="D19" s="6"/>
      <c r="E19" s="6"/>
      <c r="F19" s="6">
        <v>-1</v>
      </c>
      <c r="G19" s="6"/>
      <c r="H19" s="6"/>
    </row>
    <row r="20" spans="1:8" x14ac:dyDescent="0.3">
      <c r="A20" s="6" t="s">
        <v>3381</v>
      </c>
      <c r="B20" s="6" t="s">
        <v>726</v>
      </c>
      <c r="C20" s="6"/>
      <c r="D20" s="6"/>
      <c r="E20" s="6"/>
      <c r="F20" s="6">
        <v>2</v>
      </c>
      <c r="G20" s="6"/>
      <c r="H20" s="6"/>
    </row>
    <row r="21" spans="1:8" x14ac:dyDescent="0.3">
      <c r="A21" s="6"/>
      <c r="B21" s="6" t="s">
        <v>334</v>
      </c>
      <c r="C21" s="6"/>
      <c r="D21" s="6"/>
      <c r="E21" s="6"/>
      <c r="F21" s="6">
        <v>-1</v>
      </c>
      <c r="G21" s="6"/>
      <c r="H21" s="6"/>
    </row>
    <row r="22" spans="1:8" x14ac:dyDescent="0.3">
      <c r="A22" s="6" t="s">
        <v>1578</v>
      </c>
      <c r="B22" s="6" t="s">
        <v>718</v>
      </c>
      <c r="C22" s="6"/>
      <c r="D22" s="6"/>
      <c r="E22" s="6"/>
      <c r="F22" s="6"/>
      <c r="G22" s="6">
        <v>3</v>
      </c>
      <c r="H22" s="6"/>
    </row>
    <row r="23" spans="1:8" x14ac:dyDescent="0.3">
      <c r="A23" s="6"/>
      <c r="B23" s="6" t="s">
        <v>642</v>
      </c>
      <c r="C23" s="6"/>
      <c r="D23" s="6"/>
      <c r="E23" s="6"/>
      <c r="F23" s="6"/>
      <c r="G23" s="6">
        <v>-1</v>
      </c>
      <c r="H23" s="6"/>
    </row>
    <row r="24" spans="1:8" x14ac:dyDescent="0.3">
      <c r="A24" s="6"/>
      <c r="B24" s="6" t="s">
        <v>344</v>
      </c>
      <c r="C24" s="6"/>
      <c r="D24" s="6"/>
      <c r="E24" s="6"/>
      <c r="F24" s="6"/>
      <c r="G24" s="6">
        <v>-1</v>
      </c>
      <c r="H24" s="6"/>
    </row>
    <row r="25" spans="1:8" x14ac:dyDescent="0.3">
      <c r="A25" s="6"/>
      <c r="B25" s="6" t="s">
        <v>390</v>
      </c>
      <c r="C25" s="6"/>
      <c r="D25" s="6"/>
      <c r="E25" s="6"/>
      <c r="F25" s="6"/>
      <c r="G25" s="6">
        <v>-1</v>
      </c>
      <c r="H25" s="6"/>
    </row>
    <row r="26" spans="1:8" x14ac:dyDescent="0.3">
      <c r="A26" s="6" t="s">
        <v>4071</v>
      </c>
      <c r="B26" s="6" t="s">
        <v>428</v>
      </c>
      <c r="C26" s="6"/>
      <c r="D26" s="6"/>
      <c r="E26" s="6"/>
      <c r="F26" s="6"/>
      <c r="G26" s="6">
        <v>3</v>
      </c>
      <c r="H26" s="6"/>
    </row>
    <row r="27" spans="1:8" x14ac:dyDescent="0.3">
      <c r="A27" s="6" t="s">
        <v>1929</v>
      </c>
      <c r="B27" s="6" t="s">
        <v>428</v>
      </c>
      <c r="C27" s="6"/>
      <c r="D27" s="6"/>
      <c r="E27" s="6"/>
      <c r="F27" s="6"/>
      <c r="G27" s="6"/>
      <c r="H27" s="6">
        <v>1</v>
      </c>
    </row>
    <row r="28" spans="1:8" x14ac:dyDescent="0.3">
      <c r="A28" s="6"/>
      <c r="B28" s="6" t="s">
        <v>610</v>
      </c>
      <c r="C28" s="6"/>
      <c r="D28" s="6"/>
      <c r="E28" s="6"/>
      <c r="F28" s="6"/>
      <c r="G28" s="6"/>
      <c r="H28" s="6">
        <v>-1</v>
      </c>
    </row>
    <row r="29" spans="1:8" x14ac:dyDescent="0.3">
      <c r="A29" s="6" t="s">
        <v>2242</v>
      </c>
      <c r="B29" s="6" t="s">
        <v>362</v>
      </c>
      <c r="C29" s="6"/>
      <c r="D29" s="6"/>
      <c r="E29" s="6"/>
      <c r="F29" s="6"/>
      <c r="G29" s="6"/>
      <c r="H29" s="6">
        <v>3</v>
      </c>
    </row>
    <row r="30" spans="1:8" x14ac:dyDescent="0.3">
      <c r="A30" s="6"/>
      <c r="B30" s="6" t="s">
        <v>332</v>
      </c>
      <c r="C30" s="6"/>
      <c r="D30" s="6"/>
      <c r="E30" s="6"/>
      <c r="F30" s="6"/>
      <c r="G30" s="6"/>
      <c r="H30" s="6">
        <v>-1</v>
      </c>
    </row>
    <row r="31" spans="1:8" x14ac:dyDescent="0.3">
      <c r="A31" s="6" t="s">
        <v>1701</v>
      </c>
      <c r="B31" s="6" t="s">
        <v>470</v>
      </c>
      <c r="C31" s="6"/>
      <c r="D31" s="6"/>
      <c r="E31" s="6"/>
      <c r="F31" s="6"/>
      <c r="G31" s="6"/>
      <c r="H31" s="6">
        <v>3</v>
      </c>
    </row>
    <row r="32" spans="1:8" x14ac:dyDescent="0.3">
      <c r="A32" s="6" t="s">
        <v>4713</v>
      </c>
      <c r="B32" s="6" t="s">
        <v>362</v>
      </c>
      <c r="C32" s="6">
        <v>12</v>
      </c>
      <c r="D32" s="6"/>
      <c r="E32" s="6"/>
      <c r="F32" s="6"/>
      <c r="G32" s="6"/>
      <c r="H32" s="6"/>
    </row>
    <row r="33" spans="1:8" x14ac:dyDescent="0.3">
      <c r="A33" s="6" t="s">
        <v>1699</v>
      </c>
      <c r="B33" s="6" t="s">
        <v>470</v>
      </c>
      <c r="C33" s="6">
        <v>2</v>
      </c>
      <c r="D33" s="6"/>
      <c r="E33" s="6"/>
      <c r="F33" s="6"/>
      <c r="G33" s="6"/>
      <c r="H33" s="6"/>
    </row>
    <row r="34" spans="1:8" x14ac:dyDescent="0.3">
      <c r="A34" s="6" t="s">
        <v>2046</v>
      </c>
      <c r="B34" s="6" t="s">
        <v>332</v>
      </c>
      <c r="C34" s="6"/>
      <c r="D34" s="6">
        <v>11</v>
      </c>
      <c r="E34" s="6"/>
      <c r="F34" s="6"/>
      <c r="G34" s="6"/>
      <c r="H34" s="6"/>
    </row>
    <row r="35" spans="1:8" x14ac:dyDescent="0.3">
      <c r="A35" s="6"/>
      <c r="B35" s="6" t="s">
        <v>352</v>
      </c>
      <c r="C35" s="6"/>
      <c r="D35" s="6">
        <v>-1</v>
      </c>
      <c r="E35" s="6"/>
      <c r="F35" s="6"/>
      <c r="G35" s="6"/>
      <c r="H35" s="6"/>
    </row>
    <row r="36" spans="1:8" x14ac:dyDescent="0.3">
      <c r="A36" s="6"/>
      <c r="B36" s="6" t="s">
        <v>400</v>
      </c>
      <c r="C36" s="6"/>
      <c r="D36" s="6"/>
      <c r="E36" s="6">
        <v>-1</v>
      </c>
      <c r="F36" s="6"/>
      <c r="G36" s="6"/>
      <c r="H36" s="6"/>
    </row>
    <row r="37" spans="1:8" x14ac:dyDescent="0.3">
      <c r="A37" s="6" t="s">
        <v>4170</v>
      </c>
      <c r="B37" s="6" t="s">
        <v>384</v>
      </c>
      <c r="C37" s="6"/>
      <c r="D37" s="6"/>
      <c r="E37" s="6">
        <v>5</v>
      </c>
      <c r="F37" s="6"/>
      <c r="G37" s="6"/>
      <c r="H37" s="6"/>
    </row>
    <row r="38" spans="1:8" x14ac:dyDescent="0.3">
      <c r="A38" s="6"/>
      <c r="B38" s="6" t="s">
        <v>332</v>
      </c>
      <c r="C38" s="6"/>
      <c r="D38" s="6"/>
      <c r="E38" s="6"/>
      <c r="F38" s="6">
        <v>-1</v>
      </c>
      <c r="G38" s="6"/>
      <c r="H38" s="6"/>
    </row>
    <row r="39" spans="1:8" x14ac:dyDescent="0.3">
      <c r="A39" s="6"/>
      <c r="B39" s="6" t="s">
        <v>384</v>
      </c>
      <c r="C39" s="6"/>
      <c r="D39" s="6"/>
      <c r="E39" s="6"/>
      <c r="F39" s="6">
        <v>-1</v>
      </c>
      <c r="G39" s="6"/>
      <c r="H39" s="6"/>
    </row>
    <row r="40" spans="1:8" x14ac:dyDescent="0.3">
      <c r="A40" s="6" t="s">
        <v>1987</v>
      </c>
      <c r="B40" s="6" t="s">
        <v>332</v>
      </c>
      <c r="C40" s="6"/>
      <c r="D40" s="6"/>
      <c r="E40" s="6"/>
      <c r="F40" s="6"/>
      <c r="G40" s="6">
        <v>1</v>
      </c>
      <c r="H40" s="6"/>
    </row>
    <row r="41" spans="1:8" x14ac:dyDescent="0.3">
      <c r="A41" s="6"/>
      <c r="B41" s="6" t="s">
        <v>352</v>
      </c>
      <c r="C41" s="6"/>
      <c r="D41" s="6"/>
      <c r="E41" s="6"/>
      <c r="F41" s="6"/>
      <c r="G41" s="6">
        <v>-1</v>
      </c>
      <c r="H41" s="6"/>
    </row>
    <row r="42" spans="1:8" x14ac:dyDescent="0.3">
      <c r="A42" s="6" t="s">
        <v>2536</v>
      </c>
      <c r="B42" s="6" t="s">
        <v>384</v>
      </c>
      <c r="C42" s="6"/>
      <c r="D42" s="6"/>
      <c r="E42" s="6"/>
      <c r="F42" s="6"/>
      <c r="G42" s="6"/>
      <c r="H42" s="6">
        <v>12</v>
      </c>
    </row>
    <row r="43" spans="1:8" x14ac:dyDescent="0.3">
      <c r="A43" s="6"/>
      <c r="B43" s="6" t="s">
        <v>400</v>
      </c>
      <c r="C43" s="6"/>
      <c r="D43" s="6"/>
      <c r="E43" s="6"/>
      <c r="F43" s="6"/>
      <c r="G43" s="6"/>
      <c r="H43" s="6">
        <v>-1</v>
      </c>
    </row>
    <row r="44" spans="1:8" x14ac:dyDescent="0.3">
      <c r="A44" s="6"/>
      <c r="B44" s="6" t="s">
        <v>326</v>
      </c>
      <c r="C44" s="6">
        <v>-1</v>
      </c>
      <c r="D44" s="6"/>
      <c r="E44" s="6"/>
      <c r="F44" s="6"/>
      <c r="G44" s="6"/>
      <c r="H44" s="6"/>
    </row>
    <row r="45" spans="1:8" x14ac:dyDescent="0.3">
      <c r="A45" s="6"/>
      <c r="B45" s="6" t="s">
        <v>380</v>
      </c>
      <c r="C45" s="6">
        <v>-1</v>
      </c>
      <c r="D45" s="6"/>
      <c r="E45" s="6"/>
      <c r="F45" s="6"/>
      <c r="G45" s="6"/>
      <c r="H45" s="6"/>
    </row>
    <row r="46" spans="1:8" x14ac:dyDescent="0.3">
      <c r="A46" s="6"/>
      <c r="B46" s="6" t="s">
        <v>440</v>
      </c>
      <c r="C46" s="6"/>
      <c r="D46" s="6">
        <v>-1</v>
      </c>
      <c r="E46" s="6"/>
      <c r="F46" s="6"/>
      <c r="G46" s="6"/>
      <c r="H46" s="6"/>
    </row>
    <row r="47" spans="1:8" x14ac:dyDescent="0.3">
      <c r="A47" s="6"/>
      <c r="B47" s="6" t="s">
        <v>416</v>
      </c>
      <c r="C47" s="6"/>
      <c r="D47" s="6">
        <v>-1</v>
      </c>
      <c r="E47" s="6"/>
      <c r="F47" s="6"/>
      <c r="G47" s="6"/>
      <c r="H47" s="6"/>
    </row>
    <row r="48" spans="1:8" x14ac:dyDescent="0.3">
      <c r="A48" s="6"/>
      <c r="B48" s="6" t="s">
        <v>416</v>
      </c>
      <c r="C48" s="6"/>
      <c r="D48" s="6"/>
      <c r="E48" s="6">
        <v>-1</v>
      </c>
      <c r="F48" s="6"/>
      <c r="G48" s="6"/>
      <c r="H48" s="6"/>
    </row>
    <row r="49" spans="1:8" x14ac:dyDescent="0.3">
      <c r="A49" s="6"/>
      <c r="B49" s="6" t="s">
        <v>380</v>
      </c>
      <c r="C49" s="6"/>
      <c r="D49" s="6"/>
      <c r="E49" s="6">
        <v>-1</v>
      </c>
      <c r="F49" s="6"/>
      <c r="G49" s="6"/>
      <c r="H49" s="6"/>
    </row>
    <row r="50" spans="1:8" x14ac:dyDescent="0.3">
      <c r="A50" s="6"/>
      <c r="B50" s="6" t="s">
        <v>440</v>
      </c>
      <c r="C50" s="6"/>
      <c r="D50" s="6"/>
      <c r="E50" s="6"/>
      <c r="F50" s="6">
        <v>-1</v>
      </c>
      <c r="G50" s="6"/>
      <c r="H50" s="6"/>
    </row>
    <row r="51" spans="1:8" x14ac:dyDescent="0.3">
      <c r="A51" s="6"/>
      <c r="B51" s="6" t="s">
        <v>404</v>
      </c>
      <c r="C51" s="6"/>
      <c r="D51" s="6"/>
      <c r="E51" s="6"/>
      <c r="F51" s="6">
        <v>-1</v>
      </c>
      <c r="G51" s="6"/>
      <c r="H51" s="6"/>
    </row>
    <row r="52" spans="1:8" x14ac:dyDescent="0.3">
      <c r="A52" s="6"/>
      <c r="B52" s="6" t="s">
        <v>440</v>
      </c>
      <c r="C52" s="6"/>
      <c r="D52" s="6"/>
      <c r="E52" s="6"/>
      <c r="F52" s="6"/>
      <c r="G52" s="6">
        <v>-1</v>
      </c>
      <c r="H52" s="6"/>
    </row>
    <row r="53" spans="1:8" x14ac:dyDescent="0.3">
      <c r="A53" s="6" t="s">
        <v>2753</v>
      </c>
      <c r="B53" s="6" t="s">
        <v>474</v>
      </c>
      <c r="C53" s="6"/>
      <c r="D53" s="6"/>
      <c r="E53" s="6"/>
      <c r="F53" s="6"/>
      <c r="G53" s="6">
        <v>15</v>
      </c>
      <c r="H53" s="6"/>
    </row>
    <row r="54" spans="1:8" x14ac:dyDescent="0.3">
      <c r="A54" s="6" t="s">
        <v>1946</v>
      </c>
      <c r="B54" s="6" t="s">
        <v>440</v>
      </c>
      <c r="C54" s="6"/>
      <c r="D54" s="6"/>
      <c r="E54" s="6"/>
      <c r="F54" s="6"/>
      <c r="G54" s="6"/>
      <c r="H54" s="6">
        <v>11</v>
      </c>
    </row>
    <row r="55" spans="1:8" x14ac:dyDescent="0.3">
      <c r="A55" s="6"/>
      <c r="B55" s="6" t="s">
        <v>404</v>
      </c>
      <c r="C55" s="6"/>
      <c r="D55" s="6"/>
      <c r="E55" s="6"/>
      <c r="F55" s="6"/>
      <c r="G55" s="6"/>
      <c r="H55" s="6">
        <v>-1</v>
      </c>
    </row>
    <row r="56" spans="1:8" x14ac:dyDescent="0.3">
      <c r="A56" s="6"/>
      <c r="B56" s="6" t="s">
        <v>726</v>
      </c>
      <c r="C56" s="6">
        <v>-1</v>
      </c>
      <c r="D56" s="6"/>
      <c r="E56" s="6"/>
      <c r="F56" s="6"/>
      <c r="G56" s="6"/>
      <c r="H56" s="6"/>
    </row>
    <row r="57" spans="1:8" x14ac:dyDescent="0.3">
      <c r="A57" s="6"/>
      <c r="B57" s="6" t="s">
        <v>620</v>
      </c>
      <c r="C57" s="6">
        <v>-1</v>
      </c>
      <c r="D57" s="6"/>
      <c r="E57" s="6"/>
      <c r="F57" s="6"/>
      <c r="G57" s="6"/>
      <c r="H57" s="6"/>
    </row>
    <row r="58" spans="1:8" x14ac:dyDescent="0.3">
      <c r="A58" s="6"/>
      <c r="B58" s="6" t="s">
        <v>348</v>
      </c>
      <c r="C58" s="6"/>
      <c r="D58" s="6">
        <v>-1</v>
      </c>
      <c r="E58" s="6"/>
      <c r="F58" s="6"/>
      <c r="G58" s="6"/>
      <c r="H58" s="6"/>
    </row>
    <row r="59" spans="1:8" x14ac:dyDescent="0.3">
      <c r="A59" s="6"/>
      <c r="B59" s="6" t="s">
        <v>334</v>
      </c>
      <c r="C59" s="6"/>
      <c r="D59" s="6">
        <v>-1</v>
      </c>
      <c r="E59" s="6"/>
      <c r="F59" s="6"/>
      <c r="G59" s="6"/>
      <c r="H59" s="6"/>
    </row>
    <row r="60" spans="1:8" x14ac:dyDescent="0.3">
      <c r="A60" s="6"/>
      <c r="B60" s="6" t="s">
        <v>334</v>
      </c>
      <c r="C60" s="6"/>
      <c r="D60" s="6"/>
      <c r="E60" s="6">
        <v>-1</v>
      </c>
      <c r="F60" s="6"/>
      <c r="G60" s="6"/>
      <c r="H60" s="6"/>
    </row>
    <row r="61" spans="1:8" x14ac:dyDescent="0.3">
      <c r="A61" s="6"/>
      <c r="B61" s="6" t="s">
        <v>726</v>
      </c>
      <c r="C61" s="6"/>
      <c r="D61" s="6"/>
      <c r="E61" s="6">
        <v>-1</v>
      </c>
      <c r="F61" s="6"/>
      <c r="G61" s="6"/>
      <c r="H61" s="6"/>
    </row>
    <row r="62" spans="1:8" x14ac:dyDescent="0.3">
      <c r="A62" s="6" t="s">
        <v>3562</v>
      </c>
      <c r="B62" s="6" t="s">
        <v>370</v>
      </c>
      <c r="C62" s="6"/>
      <c r="D62" s="6"/>
      <c r="E62" s="6"/>
      <c r="F62" s="6">
        <v>8</v>
      </c>
      <c r="G62" s="6"/>
      <c r="H62" s="6"/>
    </row>
    <row r="63" spans="1:8" x14ac:dyDescent="0.3">
      <c r="A63" s="6"/>
      <c r="B63" s="6" t="s">
        <v>344</v>
      </c>
      <c r="C63" s="6"/>
      <c r="D63" s="6"/>
      <c r="E63" s="6"/>
      <c r="F63" s="6">
        <v>-1</v>
      </c>
      <c r="G63" s="6"/>
      <c r="H63" s="6"/>
    </row>
    <row r="64" spans="1:8" x14ac:dyDescent="0.3">
      <c r="A64" s="6"/>
      <c r="B64" s="6" t="s">
        <v>394</v>
      </c>
      <c r="C64" s="6"/>
      <c r="D64" s="6"/>
      <c r="E64" s="6"/>
      <c r="F64" s="6"/>
      <c r="G64" s="6">
        <v>-1</v>
      </c>
      <c r="H64" s="6"/>
    </row>
    <row r="65" spans="1:8" x14ac:dyDescent="0.3">
      <c r="A65" s="6"/>
      <c r="B65" s="6" t="s">
        <v>726</v>
      </c>
      <c r="C65" s="6"/>
      <c r="D65" s="6"/>
      <c r="E65" s="6"/>
      <c r="F65" s="6"/>
      <c r="G65" s="6">
        <v>-1</v>
      </c>
      <c r="H65" s="6"/>
    </row>
    <row r="66" spans="1:8" x14ac:dyDescent="0.3">
      <c r="A66" s="6"/>
      <c r="B66" s="6" t="s">
        <v>406</v>
      </c>
      <c r="C66" s="6"/>
      <c r="D66" s="6"/>
      <c r="E66" s="6"/>
      <c r="F66" s="6"/>
      <c r="G66" s="6"/>
      <c r="H66" s="6">
        <v>-1</v>
      </c>
    </row>
    <row r="67" spans="1:8" x14ac:dyDescent="0.3">
      <c r="A67" s="6"/>
      <c r="B67" s="6" t="s">
        <v>718</v>
      </c>
      <c r="C67" s="6"/>
      <c r="D67" s="6"/>
      <c r="E67" s="6"/>
      <c r="F67" s="6"/>
      <c r="G67" s="6"/>
      <c r="H67" s="6">
        <v>-1</v>
      </c>
    </row>
    <row r="68" spans="1:8" x14ac:dyDescent="0.3">
      <c r="A68" s="6"/>
      <c r="B68" s="6" t="s">
        <v>482</v>
      </c>
      <c r="C68" s="6">
        <v>-1</v>
      </c>
      <c r="D68" s="6"/>
      <c r="E68" s="6"/>
      <c r="F68" s="6"/>
      <c r="G68" s="6"/>
      <c r="H68" s="6"/>
    </row>
    <row r="69" spans="1:8" x14ac:dyDescent="0.3">
      <c r="A69" s="6"/>
      <c r="B69" s="6" t="s">
        <v>448</v>
      </c>
      <c r="C69" s="6">
        <v>-1</v>
      </c>
      <c r="D69" s="6"/>
      <c r="E69" s="6"/>
      <c r="F69" s="6"/>
      <c r="G69" s="6"/>
      <c r="H69" s="6"/>
    </row>
    <row r="70" spans="1:8" x14ac:dyDescent="0.3">
      <c r="A70" s="6"/>
      <c r="B70" s="6" t="s">
        <v>328</v>
      </c>
      <c r="C70" s="6"/>
      <c r="D70" s="6">
        <v>-1</v>
      </c>
      <c r="E70" s="6"/>
      <c r="F70" s="6"/>
      <c r="G70" s="6"/>
      <c r="H70" s="6"/>
    </row>
    <row r="71" spans="1:8" x14ac:dyDescent="0.3">
      <c r="A71" s="6"/>
      <c r="B71" s="6" t="s">
        <v>658</v>
      </c>
      <c r="C71" s="6"/>
      <c r="D71" s="6">
        <v>-1</v>
      </c>
      <c r="E71" s="6"/>
      <c r="F71" s="6"/>
      <c r="G71" s="6"/>
      <c r="H71" s="6"/>
    </row>
    <row r="72" spans="1:8" x14ac:dyDescent="0.3">
      <c r="A72" s="6"/>
      <c r="B72" s="6" t="s">
        <v>328</v>
      </c>
      <c r="C72" s="6"/>
      <c r="D72" s="6"/>
      <c r="E72" s="6">
        <v>-1</v>
      </c>
      <c r="F72" s="6"/>
      <c r="G72" s="6"/>
      <c r="H72" s="6"/>
    </row>
    <row r="73" spans="1:8" x14ac:dyDescent="0.3">
      <c r="A73" s="6"/>
      <c r="B73" s="6" t="s">
        <v>448</v>
      </c>
      <c r="C73" s="6"/>
      <c r="D73" s="6"/>
      <c r="E73" s="6">
        <v>-1</v>
      </c>
      <c r="F73" s="6"/>
      <c r="G73" s="6"/>
      <c r="H73" s="6"/>
    </row>
    <row r="74" spans="1:8" x14ac:dyDescent="0.3">
      <c r="A74" s="6"/>
      <c r="B74" s="6" t="s">
        <v>642</v>
      </c>
      <c r="C74" s="6"/>
      <c r="D74" s="6"/>
      <c r="E74" s="6"/>
      <c r="F74" s="6">
        <v>-1</v>
      </c>
      <c r="G74" s="6"/>
      <c r="H74" s="6"/>
    </row>
    <row r="75" spans="1:8" x14ac:dyDescent="0.3">
      <c r="A75" s="6"/>
      <c r="B75" s="6" t="s">
        <v>700</v>
      </c>
      <c r="C75" s="6"/>
      <c r="D75" s="6"/>
      <c r="E75" s="6"/>
      <c r="F75" s="6">
        <v>-1</v>
      </c>
      <c r="G75" s="6"/>
      <c r="H75" s="6"/>
    </row>
    <row r="76" spans="1:8" x14ac:dyDescent="0.3">
      <c r="A76" s="6"/>
      <c r="B76" s="6" t="s">
        <v>658</v>
      </c>
      <c r="C76" s="6"/>
      <c r="D76" s="6"/>
      <c r="E76" s="6"/>
      <c r="F76" s="6"/>
      <c r="G76" s="6">
        <v>-1</v>
      </c>
      <c r="H76" s="6"/>
    </row>
    <row r="77" spans="1:8" x14ac:dyDescent="0.3">
      <c r="A77" s="6"/>
      <c r="B77" s="6" t="s">
        <v>610</v>
      </c>
      <c r="C77" s="6"/>
      <c r="D77" s="6"/>
      <c r="E77" s="6"/>
      <c r="F77" s="6"/>
      <c r="G77" s="6">
        <v>-1</v>
      </c>
      <c r="H77" s="6"/>
    </row>
    <row r="78" spans="1:8" x14ac:dyDescent="0.3">
      <c r="A78" s="6"/>
      <c r="B78" s="6" t="s">
        <v>448</v>
      </c>
      <c r="C78" s="6"/>
      <c r="D78" s="6"/>
      <c r="E78" s="6"/>
      <c r="F78" s="6"/>
      <c r="G78" s="6"/>
      <c r="H78" s="6">
        <v>-1</v>
      </c>
    </row>
    <row r="79" spans="1:8" x14ac:dyDescent="0.3">
      <c r="A79" s="6" t="s">
        <v>4467</v>
      </c>
      <c r="B79" s="6" t="s">
        <v>328</v>
      </c>
      <c r="C79" s="6"/>
      <c r="D79" s="6"/>
      <c r="E79" s="6"/>
      <c r="F79" s="6"/>
      <c r="G79" s="6"/>
      <c r="H79" s="6">
        <v>14</v>
      </c>
    </row>
    <row r="80" spans="1:8" x14ac:dyDescent="0.3">
      <c r="A80" s="6"/>
      <c r="B80" s="6" t="s">
        <v>334</v>
      </c>
      <c r="C80" s="6">
        <v>-1</v>
      </c>
      <c r="D80" s="6"/>
      <c r="E80" s="6"/>
      <c r="F80" s="6"/>
      <c r="G80" s="6"/>
      <c r="H80" s="6"/>
    </row>
    <row r="81" spans="1:8" x14ac:dyDescent="0.3">
      <c r="A81" s="6"/>
      <c r="B81" s="6" t="s">
        <v>456</v>
      </c>
      <c r="C81" s="6">
        <v>-1</v>
      </c>
      <c r="D81" s="6"/>
      <c r="E81" s="6"/>
      <c r="F81" s="6"/>
      <c r="G81" s="6"/>
      <c r="H81" s="6"/>
    </row>
    <row r="82" spans="1:8" x14ac:dyDescent="0.3">
      <c r="A82" s="6"/>
      <c r="B82" s="6" t="s">
        <v>356</v>
      </c>
      <c r="C82" s="6">
        <v>-1</v>
      </c>
      <c r="D82" s="6"/>
      <c r="E82" s="6"/>
      <c r="F82" s="6"/>
      <c r="G82" s="6"/>
      <c r="H82" s="6"/>
    </row>
    <row r="83" spans="1:8" x14ac:dyDescent="0.3">
      <c r="A83" s="6"/>
      <c r="B83" s="6" t="s">
        <v>390</v>
      </c>
      <c r="C83" s="6"/>
      <c r="D83" s="6">
        <v>-1</v>
      </c>
      <c r="E83" s="6"/>
      <c r="F83" s="6"/>
      <c r="G83" s="6"/>
      <c r="H83" s="6"/>
    </row>
    <row r="84" spans="1:8" x14ac:dyDescent="0.3">
      <c r="A84" s="6"/>
      <c r="B84" s="6" t="s">
        <v>642</v>
      </c>
      <c r="C84" s="6"/>
      <c r="D84" s="6">
        <v>-1</v>
      </c>
      <c r="E84" s="6"/>
      <c r="F84" s="6"/>
      <c r="G84" s="6"/>
      <c r="H84" s="6"/>
    </row>
    <row r="85" spans="1:8" x14ac:dyDescent="0.3">
      <c r="A85" s="6"/>
      <c r="B85" s="6" t="s">
        <v>718</v>
      </c>
      <c r="C85" s="6"/>
      <c r="D85" s="6">
        <v>-1</v>
      </c>
      <c r="E85" s="6"/>
      <c r="F85" s="6"/>
      <c r="G85" s="6"/>
      <c r="H85" s="6"/>
    </row>
    <row r="86" spans="1:8" x14ac:dyDescent="0.3">
      <c r="A86" s="6"/>
      <c r="B86" s="6" t="s">
        <v>336</v>
      </c>
      <c r="C86" s="6"/>
      <c r="D86" s="6"/>
      <c r="E86" s="6">
        <v>-1</v>
      </c>
      <c r="F86" s="6"/>
      <c r="G86" s="6"/>
      <c r="H86" s="6"/>
    </row>
    <row r="87" spans="1:8" x14ac:dyDescent="0.3">
      <c r="A87" s="6"/>
      <c r="B87" s="6" t="s">
        <v>356</v>
      </c>
      <c r="C87" s="6"/>
      <c r="D87" s="6"/>
      <c r="E87" s="6">
        <v>-1</v>
      </c>
      <c r="F87" s="6"/>
      <c r="G87" s="6"/>
      <c r="H87" s="6"/>
    </row>
    <row r="88" spans="1:8" x14ac:dyDescent="0.3">
      <c r="A88" s="6"/>
      <c r="B88" s="6" t="s">
        <v>642</v>
      </c>
      <c r="C88" s="6"/>
      <c r="D88" s="6"/>
      <c r="E88" s="6">
        <v>-1</v>
      </c>
      <c r="F88" s="6"/>
      <c r="G88" s="6"/>
      <c r="H88" s="6"/>
    </row>
    <row r="89" spans="1:8" x14ac:dyDescent="0.3">
      <c r="A89" s="6"/>
      <c r="B89" s="6" t="s">
        <v>348</v>
      </c>
      <c r="C89" s="6"/>
      <c r="D89" s="6"/>
      <c r="E89" s="6"/>
      <c r="F89" s="6">
        <v>-1</v>
      </c>
      <c r="G89" s="6"/>
      <c r="H89" s="6"/>
    </row>
    <row r="90" spans="1:8" x14ac:dyDescent="0.3">
      <c r="A90" s="6"/>
      <c r="B90" s="6" t="s">
        <v>718</v>
      </c>
      <c r="C90" s="6"/>
      <c r="D90" s="6"/>
      <c r="E90" s="6"/>
      <c r="F90" s="6">
        <v>-1</v>
      </c>
      <c r="G90" s="6"/>
      <c r="H90" s="6"/>
    </row>
    <row r="91" spans="1:8" x14ac:dyDescent="0.3">
      <c r="A91" s="6"/>
      <c r="B91" s="6" t="s">
        <v>338</v>
      </c>
      <c r="C91" s="6"/>
      <c r="D91" s="6"/>
      <c r="E91" s="6"/>
      <c r="F91" s="6">
        <v>-1</v>
      </c>
      <c r="G91" s="6"/>
      <c r="H91" s="6"/>
    </row>
    <row r="92" spans="1:8" x14ac:dyDescent="0.3">
      <c r="A92" s="6"/>
      <c r="B92" s="6" t="s">
        <v>448</v>
      </c>
      <c r="C92" s="6"/>
      <c r="D92" s="6"/>
      <c r="E92" s="6"/>
      <c r="F92" s="6"/>
      <c r="G92" s="6">
        <v>-1</v>
      </c>
      <c r="H92" s="6"/>
    </row>
    <row r="93" spans="1:8" x14ac:dyDescent="0.3">
      <c r="A93" s="6" t="s">
        <v>4745</v>
      </c>
      <c r="B93" s="6" t="s">
        <v>328</v>
      </c>
      <c r="C93" s="6"/>
      <c r="D93" s="6"/>
      <c r="E93" s="6"/>
      <c r="F93" s="6"/>
      <c r="G93" s="6">
        <v>12</v>
      </c>
      <c r="H93" s="6"/>
    </row>
    <row r="94" spans="1:8" x14ac:dyDescent="0.3">
      <c r="A94" s="6"/>
      <c r="B94" s="6" t="s">
        <v>384</v>
      </c>
      <c r="C94" s="6"/>
      <c r="D94" s="6"/>
      <c r="E94" s="6"/>
      <c r="F94" s="6"/>
      <c r="G94" s="6">
        <v>-1</v>
      </c>
      <c r="H94" s="6"/>
    </row>
    <row r="95" spans="1:8" x14ac:dyDescent="0.3">
      <c r="A95" s="6"/>
      <c r="B95" s="6" t="s">
        <v>348</v>
      </c>
      <c r="C95" s="6"/>
      <c r="D95" s="6"/>
      <c r="E95" s="6"/>
      <c r="F95" s="6"/>
      <c r="G95" s="6"/>
      <c r="H95" s="6">
        <v>-1</v>
      </c>
    </row>
    <row r="96" spans="1:8" x14ac:dyDescent="0.3">
      <c r="A96" s="6"/>
      <c r="B96" s="6" t="s">
        <v>370</v>
      </c>
      <c r="C96" s="6"/>
      <c r="D96" s="6"/>
      <c r="E96" s="6"/>
      <c r="F96" s="6"/>
      <c r="G96" s="6"/>
      <c r="H96" s="6">
        <v>-1</v>
      </c>
    </row>
    <row r="97" spans="1:8" x14ac:dyDescent="0.3">
      <c r="A97" s="6"/>
      <c r="B97" s="6" t="s">
        <v>642</v>
      </c>
      <c r="C97" s="6"/>
      <c r="D97" s="6"/>
      <c r="E97" s="6"/>
      <c r="F97" s="6"/>
      <c r="G97" s="6"/>
      <c r="H97" s="6">
        <v>-1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B5526-118D-4D41-940D-B037E1690B9B}">
  <dimension ref="A1:F154"/>
  <sheetViews>
    <sheetView topLeftCell="A148" workbookViewId="0">
      <selection activeCell="B155" sqref="B155"/>
    </sheetView>
  </sheetViews>
  <sheetFormatPr defaultRowHeight="14.4" x14ac:dyDescent="0.3"/>
  <cols>
    <col min="1" max="1" width="26.33203125" bestFit="1" customWidth="1"/>
    <col min="2" max="2" width="19" bestFit="1" customWidth="1"/>
    <col min="3" max="3" width="22.109375" bestFit="1" customWidth="1"/>
    <col min="4" max="4" width="25.44140625" bestFit="1" customWidth="1"/>
    <col min="5" max="5" width="20.44140625" bestFit="1" customWidth="1"/>
    <col min="6" max="6" width="21.5546875" bestFit="1" customWidth="1"/>
  </cols>
  <sheetData>
    <row r="1" spans="1:6" x14ac:dyDescent="0.3">
      <c r="A1" t="s">
        <v>832</v>
      </c>
      <c r="B1" t="s">
        <v>1</v>
      </c>
      <c r="C1" t="s">
        <v>1010</v>
      </c>
      <c r="D1" t="s">
        <v>1011</v>
      </c>
      <c r="E1" t="s">
        <v>1012</v>
      </c>
      <c r="F1" t="s">
        <v>1013</v>
      </c>
    </row>
    <row r="2" spans="1:6" x14ac:dyDescent="0.3">
      <c r="A2" s="6"/>
      <c r="B2" s="6" t="s">
        <v>496</v>
      </c>
      <c r="C2" s="6">
        <v>-1</v>
      </c>
      <c r="D2" s="6">
        <v>-1</v>
      </c>
      <c r="E2" s="6">
        <v>-1</v>
      </c>
      <c r="F2" s="6">
        <v>-1</v>
      </c>
    </row>
    <row r="3" spans="1:6" x14ac:dyDescent="0.3">
      <c r="A3" s="6" t="s">
        <v>1550</v>
      </c>
      <c r="B3" s="6" t="s">
        <v>500</v>
      </c>
      <c r="C3" s="6"/>
      <c r="D3" s="6">
        <v>10</v>
      </c>
      <c r="E3" s="6"/>
      <c r="F3" s="6"/>
    </row>
    <row r="4" spans="1:6" x14ac:dyDescent="0.3">
      <c r="A4" s="6"/>
      <c r="B4" s="6" t="s">
        <v>340</v>
      </c>
      <c r="C4" s="6">
        <v>-1</v>
      </c>
      <c r="D4" s="6">
        <v>-1</v>
      </c>
      <c r="E4" s="6">
        <v>-1</v>
      </c>
      <c r="F4" s="6">
        <v>-1</v>
      </c>
    </row>
    <row r="5" spans="1:6" x14ac:dyDescent="0.3">
      <c r="A5" s="6"/>
      <c r="B5" s="6" t="s">
        <v>506</v>
      </c>
      <c r="C5" s="6">
        <v>-1</v>
      </c>
      <c r="D5" s="6">
        <v>-1</v>
      </c>
      <c r="E5" s="6">
        <v>-1</v>
      </c>
      <c r="F5" s="6">
        <v>-1</v>
      </c>
    </row>
    <row r="6" spans="1:6" x14ac:dyDescent="0.3">
      <c r="A6" s="6"/>
      <c r="B6" s="6" t="s">
        <v>354</v>
      </c>
      <c r="C6" s="6">
        <v>-1</v>
      </c>
      <c r="D6" s="6">
        <v>-1</v>
      </c>
      <c r="E6" s="6">
        <v>-1</v>
      </c>
      <c r="F6" s="6">
        <v>-1</v>
      </c>
    </row>
    <row r="7" spans="1:6" x14ac:dyDescent="0.3">
      <c r="A7" s="6" t="s">
        <v>1728</v>
      </c>
      <c r="B7" s="6" t="s">
        <v>358</v>
      </c>
      <c r="C7" s="6">
        <v>7</v>
      </c>
      <c r="D7" s="6"/>
      <c r="E7" s="6"/>
      <c r="F7" s="6"/>
    </row>
    <row r="8" spans="1:6" x14ac:dyDescent="0.3">
      <c r="A8" s="6"/>
      <c r="B8" s="6" t="s">
        <v>520</v>
      </c>
      <c r="C8" s="6">
        <v>-1</v>
      </c>
      <c r="D8" s="6">
        <v>-1</v>
      </c>
      <c r="E8" s="6">
        <v>-1</v>
      </c>
      <c r="F8" s="6">
        <v>-1</v>
      </c>
    </row>
    <row r="9" spans="1:6" x14ac:dyDescent="0.3">
      <c r="A9" s="6"/>
      <c r="B9" s="6" t="s">
        <v>524</v>
      </c>
      <c r="C9" s="6">
        <v>-1</v>
      </c>
      <c r="D9" s="6">
        <v>-1</v>
      </c>
      <c r="E9" s="6">
        <v>-1</v>
      </c>
      <c r="F9" s="6">
        <v>-1</v>
      </c>
    </row>
    <row r="10" spans="1:6" x14ac:dyDescent="0.3">
      <c r="A10" s="6"/>
      <c r="B10" s="6" t="s">
        <v>530</v>
      </c>
      <c r="C10" s="6">
        <v>-1</v>
      </c>
      <c r="D10" s="6">
        <v>-1</v>
      </c>
      <c r="E10" s="6">
        <v>-1</v>
      </c>
      <c r="F10" s="6">
        <v>-1</v>
      </c>
    </row>
    <row r="11" spans="1:6" x14ac:dyDescent="0.3">
      <c r="A11" s="6"/>
      <c r="B11" s="6" t="s">
        <v>336</v>
      </c>
      <c r="C11" s="6">
        <v>-1</v>
      </c>
      <c r="D11" s="6">
        <v>-1</v>
      </c>
      <c r="E11" s="6">
        <v>-1</v>
      </c>
      <c r="F11" s="6">
        <v>-1</v>
      </c>
    </row>
    <row r="12" spans="1:6" x14ac:dyDescent="0.3">
      <c r="A12" s="6"/>
      <c r="B12" s="6" t="s">
        <v>370</v>
      </c>
      <c r="C12" s="6">
        <v>-1</v>
      </c>
      <c r="D12" s="6">
        <v>-1</v>
      </c>
      <c r="E12" s="6">
        <v>-1</v>
      </c>
      <c r="F12" s="6">
        <v>-1</v>
      </c>
    </row>
    <row r="13" spans="1:6" x14ac:dyDescent="0.3">
      <c r="A13" s="6" t="s">
        <v>2182</v>
      </c>
      <c r="B13" s="6" t="s">
        <v>384</v>
      </c>
      <c r="C13" s="6">
        <v>25</v>
      </c>
      <c r="D13" s="6"/>
      <c r="E13" s="6"/>
      <c r="F13" s="6"/>
    </row>
    <row r="14" spans="1:6" x14ac:dyDescent="0.3">
      <c r="A14" s="6" t="s">
        <v>3948</v>
      </c>
      <c r="B14" s="6" t="s">
        <v>366</v>
      </c>
      <c r="C14" s="6"/>
      <c r="D14" s="6">
        <v>30</v>
      </c>
      <c r="E14" s="6">
        <v>24</v>
      </c>
      <c r="F14" s="6"/>
    </row>
    <row r="15" spans="1:6" x14ac:dyDescent="0.3">
      <c r="A15" s="6"/>
      <c r="B15" s="6" t="s">
        <v>328</v>
      </c>
      <c r="C15" s="6">
        <v>-1</v>
      </c>
      <c r="D15" s="6">
        <v>-1</v>
      </c>
      <c r="E15" s="6">
        <v>-1</v>
      </c>
      <c r="F15" s="6">
        <v>-1</v>
      </c>
    </row>
    <row r="16" spans="1:6" x14ac:dyDescent="0.3">
      <c r="A16" s="6"/>
      <c r="B16" s="6" t="s">
        <v>368</v>
      </c>
      <c r="C16" s="6">
        <v>-1</v>
      </c>
      <c r="D16" s="6">
        <v>-1</v>
      </c>
      <c r="E16" s="6">
        <v>-1</v>
      </c>
      <c r="F16" s="6">
        <v>-1</v>
      </c>
    </row>
    <row r="17" spans="1:6" x14ac:dyDescent="0.3">
      <c r="A17" s="6" t="s">
        <v>3552</v>
      </c>
      <c r="B17" s="6" t="s">
        <v>450</v>
      </c>
      <c r="C17" s="6"/>
      <c r="D17" s="6">
        <v>14</v>
      </c>
      <c r="E17" s="6">
        <v>13</v>
      </c>
      <c r="F17" s="6"/>
    </row>
    <row r="18" spans="1:6" x14ac:dyDescent="0.3">
      <c r="A18" s="6" t="s">
        <v>1602</v>
      </c>
      <c r="B18" s="6" t="s">
        <v>560</v>
      </c>
      <c r="C18" s="6"/>
      <c r="D18" s="6">
        <v>63</v>
      </c>
      <c r="E18" s="6">
        <v>34</v>
      </c>
      <c r="F18" s="6"/>
    </row>
    <row r="19" spans="1:6" x14ac:dyDescent="0.3">
      <c r="A19" s="6"/>
      <c r="B19" s="6" t="s">
        <v>442</v>
      </c>
      <c r="C19" s="6">
        <v>-1</v>
      </c>
      <c r="D19" s="6">
        <v>-1</v>
      </c>
      <c r="E19" s="6">
        <v>-1</v>
      </c>
      <c r="F19" s="6">
        <v>-1</v>
      </c>
    </row>
    <row r="20" spans="1:6" x14ac:dyDescent="0.3">
      <c r="A20" s="6"/>
      <c r="B20" s="6" t="s">
        <v>414</v>
      </c>
      <c r="C20" s="6">
        <v>-1</v>
      </c>
      <c r="D20" s="6">
        <v>-1</v>
      </c>
      <c r="E20" s="6">
        <v>-1</v>
      </c>
      <c r="F20" s="6">
        <v>-1</v>
      </c>
    </row>
    <row r="21" spans="1:6" x14ac:dyDescent="0.3">
      <c r="A21" s="6" t="s">
        <v>2141</v>
      </c>
      <c r="B21" s="6" t="s">
        <v>570</v>
      </c>
      <c r="C21" s="6"/>
      <c r="D21" s="6">
        <v>68</v>
      </c>
      <c r="E21" s="6">
        <v>1001</v>
      </c>
      <c r="F21" s="6"/>
    </row>
    <row r="22" spans="1:6" x14ac:dyDescent="0.3">
      <c r="A22" s="6"/>
      <c r="B22" s="6" t="s">
        <v>572</v>
      </c>
      <c r="C22" s="6">
        <v>-1</v>
      </c>
      <c r="D22" s="6">
        <v>-1</v>
      </c>
      <c r="E22" s="6">
        <v>-1</v>
      </c>
      <c r="F22" s="6">
        <v>-1</v>
      </c>
    </row>
    <row r="23" spans="1:6" x14ac:dyDescent="0.3">
      <c r="A23" s="6" t="s">
        <v>1442</v>
      </c>
      <c r="B23" s="6" t="s">
        <v>372</v>
      </c>
      <c r="C23" s="6"/>
      <c r="D23" s="6">
        <v>1001</v>
      </c>
      <c r="E23" s="6">
        <v>1001</v>
      </c>
      <c r="F23" s="6"/>
    </row>
    <row r="24" spans="1:6" x14ac:dyDescent="0.3">
      <c r="A24" s="6" t="s">
        <v>3187</v>
      </c>
      <c r="B24" s="6" t="s">
        <v>344</v>
      </c>
      <c r="C24" s="6"/>
      <c r="D24" s="6"/>
      <c r="E24" s="6">
        <v>1001</v>
      </c>
      <c r="F24" s="6"/>
    </row>
    <row r="25" spans="1:6" x14ac:dyDescent="0.3">
      <c r="A25" s="6" t="s">
        <v>3234</v>
      </c>
      <c r="B25" s="6" t="s">
        <v>580</v>
      </c>
      <c r="C25" s="6"/>
      <c r="D25" s="6">
        <v>55</v>
      </c>
      <c r="E25" s="6">
        <v>1001</v>
      </c>
      <c r="F25" s="6"/>
    </row>
    <row r="26" spans="1:6" x14ac:dyDescent="0.3">
      <c r="A26" s="6"/>
      <c r="B26" s="6" t="s">
        <v>334</v>
      </c>
      <c r="C26" s="6">
        <v>-1</v>
      </c>
      <c r="D26" s="6">
        <v>-1</v>
      </c>
      <c r="E26" s="6">
        <v>-1</v>
      </c>
      <c r="F26" s="6">
        <v>-1</v>
      </c>
    </row>
    <row r="27" spans="1:6" x14ac:dyDescent="0.3">
      <c r="A27" s="6" t="s">
        <v>3407</v>
      </c>
      <c r="B27" s="6" t="s">
        <v>402</v>
      </c>
      <c r="C27" s="6"/>
      <c r="D27" s="6"/>
      <c r="E27" s="6">
        <v>1001</v>
      </c>
      <c r="F27" s="6"/>
    </row>
    <row r="28" spans="1:6" x14ac:dyDescent="0.3">
      <c r="A28" s="6"/>
      <c r="B28" s="6" t="s">
        <v>342</v>
      </c>
      <c r="C28" s="6">
        <v>-1</v>
      </c>
      <c r="D28" s="6">
        <v>-1</v>
      </c>
      <c r="E28" s="6">
        <v>-1</v>
      </c>
      <c r="F28" s="6">
        <v>-1</v>
      </c>
    </row>
    <row r="29" spans="1:6" x14ac:dyDescent="0.3">
      <c r="A29" s="6"/>
      <c r="B29" s="6" t="s">
        <v>584</v>
      </c>
      <c r="C29" s="6">
        <v>-1</v>
      </c>
      <c r="D29" s="6">
        <v>-1</v>
      </c>
      <c r="E29" s="6">
        <v>-1</v>
      </c>
      <c r="F29" s="6">
        <v>-1</v>
      </c>
    </row>
    <row r="30" spans="1:6" x14ac:dyDescent="0.3">
      <c r="A30" s="6" t="s">
        <v>3233</v>
      </c>
      <c r="B30" s="6" t="s">
        <v>588</v>
      </c>
      <c r="C30" s="6"/>
      <c r="D30" s="6">
        <v>44</v>
      </c>
      <c r="E30" s="6">
        <v>29</v>
      </c>
      <c r="F30" s="6"/>
    </row>
    <row r="31" spans="1:6" x14ac:dyDescent="0.3">
      <c r="A31" s="6"/>
      <c r="B31" s="6" t="s">
        <v>592</v>
      </c>
      <c r="C31" s="6">
        <v>-1</v>
      </c>
      <c r="D31" s="6">
        <v>-1</v>
      </c>
      <c r="E31" s="6">
        <v>-1</v>
      </c>
      <c r="F31" s="6">
        <v>-1</v>
      </c>
    </row>
    <row r="32" spans="1:6" x14ac:dyDescent="0.3">
      <c r="A32" s="6"/>
      <c r="B32" s="6" t="s">
        <v>406</v>
      </c>
      <c r="C32" s="6">
        <v>-1</v>
      </c>
      <c r="D32" s="6">
        <v>-1</v>
      </c>
      <c r="E32" s="6">
        <v>-1</v>
      </c>
      <c r="F32" s="6">
        <v>-1</v>
      </c>
    </row>
    <row r="33" spans="1:6" x14ac:dyDescent="0.3">
      <c r="A33" s="6"/>
      <c r="B33" s="6" t="s">
        <v>594</v>
      </c>
      <c r="C33" s="6">
        <v>-1</v>
      </c>
      <c r="D33" s="6">
        <v>-1</v>
      </c>
      <c r="E33" s="6">
        <v>-1</v>
      </c>
      <c r="F33" s="6">
        <v>-1</v>
      </c>
    </row>
    <row r="34" spans="1:6" x14ac:dyDescent="0.3">
      <c r="A34" s="6"/>
      <c r="B34" s="6" t="s">
        <v>448</v>
      </c>
      <c r="C34" s="6">
        <v>-1</v>
      </c>
      <c r="D34" s="6">
        <v>-1</v>
      </c>
      <c r="E34" s="6">
        <v>-1</v>
      </c>
      <c r="F34" s="6">
        <v>-1</v>
      </c>
    </row>
    <row r="35" spans="1:6" x14ac:dyDescent="0.3">
      <c r="A35" s="6"/>
      <c r="B35" s="6" t="s">
        <v>674</v>
      </c>
      <c r="C35" s="6">
        <v>-1</v>
      </c>
      <c r="D35" s="6">
        <v>-1</v>
      </c>
      <c r="E35" s="6">
        <v>-1</v>
      </c>
      <c r="F35" s="6">
        <v>-1</v>
      </c>
    </row>
    <row r="36" spans="1:6" x14ac:dyDescent="0.3">
      <c r="A36" s="6"/>
      <c r="B36" s="6" t="s">
        <v>360</v>
      </c>
      <c r="C36" s="6">
        <v>-1</v>
      </c>
      <c r="D36" s="6">
        <v>-1</v>
      </c>
      <c r="E36" s="6">
        <v>-1</v>
      </c>
      <c r="F36" s="6">
        <v>-1</v>
      </c>
    </row>
    <row r="37" spans="1:6" x14ac:dyDescent="0.3">
      <c r="A37" s="6" t="s">
        <v>1625</v>
      </c>
      <c r="B37" s="6" t="s">
        <v>596</v>
      </c>
      <c r="C37" s="6">
        <v>34</v>
      </c>
      <c r="D37" s="6">
        <v>42</v>
      </c>
      <c r="E37" s="6">
        <v>31</v>
      </c>
      <c r="F37" s="6">
        <v>37</v>
      </c>
    </row>
    <row r="38" spans="1:6" x14ac:dyDescent="0.3">
      <c r="A38" s="6"/>
      <c r="B38" s="6" t="s">
        <v>598</v>
      </c>
      <c r="C38" s="6">
        <v>-1</v>
      </c>
      <c r="D38" s="6">
        <v>-1</v>
      </c>
      <c r="E38" s="6">
        <v>-1</v>
      </c>
      <c r="F38" s="6">
        <v>-1</v>
      </c>
    </row>
    <row r="39" spans="1:6" x14ac:dyDescent="0.3">
      <c r="A39" s="6" t="s">
        <v>2278</v>
      </c>
      <c r="B39" s="6" t="s">
        <v>356</v>
      </c>
      <c r="C39" s="6"/>
      <c r="D39" s="6"/>
      <c r="E39" s="6"/>
      <c r="F39" s="6">
        <v>11</v>
      </c>
    </row>
    <row r="40" spans="1:6" x14ac:dyDescent="0.3">
      <c r="A40" s="6"/>
      <c r="B40" s="6" t="s">
        <v>600</v>
      </c>
      <c r="C40" s="6">
        <v>-1</v>
      </c>
      <c r="D40" s="6">
        <v>-1</v>
      </c>
      <c r="E40" s="6">
        <v>-1</v>
      </c>
      <c r="F40" s="6">
        <v>-1</v>
      </c>
    </row>
    <row r="41" spans="1:6" x14ac:dyDescent="0.3">
      <c r="A41" s="6" t="s">
        <v>1280</v>
      </c>
      <c r="B41" s="6" t="s">
        <v>428</v>
      </c>
      <c r="C41" s="6"/>
      <c r="D41" s="6"/>
      <c r="E41" s="6">
        <v>20</v>
      </c>
      <c r="F41" s="6"/>
    </row>
    <row r="42" spans="1:6" x14ac:dyDescent="0.3">
      <c r="A42" s="6"/>
      <c r="B42" s="6" t="s">
        <v>604</v>
      </c>
      <c r="C42" s="6">
        <v>-1</v>
      </c>
      <c r="D42" s="6">
        <v>-1</v>
      </c>
      <c r="E42" s="6">
        <v>-1</v>
      </c>
      <c r="F42" s="6">
        <v>-1</v>
      </c>
    </row>
    <row r="43" spans="1:6" x14ac:dyDescent="0.3">
      <c r="A43" s="6"/>
      <c r="B43" s="6" t="s">
        <v>436</v>
      </c>
      <c r="C43" s="6">
        <v>-1</v>
      </c>
      <c r="D43" s="6">
        <v>-1</v>
      </c>
      <c r="E43" s="6">
        <v>-1</v>
      </c>
      <c r="F43" s="6">
        <v>-1</v>
      </c>
    </row>
    <row r="44" spans="1:6" x14ac:dyDescent="0.3">
      <c r="A44" s="6"/>
      <c r="B44" s="6" t="s">
        <v>608</v>
      </c>
      <c r="C44" s="6">
        <v>-1</v>
      </c>
      <c r="D44" s="6">
        <v>-1</v>
      </c>
      <c r="E44" s="6">
        <v>-1</v>
      </c>
      <c r="F44" s="6">
        <v>-1</v>
      </c>
    </row>
    <row r="45" spans="1:6" x14ac:dyDescent="0.3">
      <c r="A45" s="6"/>
      <c r="B45" s="6" t="s">
        <v>610</v>
      </c>
      <c r="C45" s="6">
        <v>-1</v>
      </c>
      <c r="D45" s="6">
        <v>-1</v>
      </c>
      <c r="E45" s="6">
        <v>-1</v>
      </c>
      <c r="F45" s="6">
        <v>-1</v>
      </c>
    </row>
    <row r="46" spans="1:6" x14ac:dyDescent="0.3">
      <c r="A46" s="6" t="s">
        <v>3495</v>
      </c>
      <c r="B46" s="6" t="s">
        <v>614</v>
      </c>
      <c r="C46" s="6">
        <v>32</v>
      </c>
      <c r="D46" s="6">
        <v>45</v>
      </c>
      <c r="E46" s="6"/>
      <c r="F46" s="6">
        <v>35</v>
      </c>
    </row>
    <row r="47" spans="1:6" x14ac:dyDescent="0.3">
      <c r="A47" s="6"/>
      <c r="B47" s="6" t="s">
        <v>460</v>
      </c>
      <c r="C47" s="6">
        <v>-1</v>
      </c>
      <c r="D47" s="6">
        <v>-1</v>
      </c>
      <c r="E47" s="6">
        <v>-1</v>
      </c>
      <c r="F47" s="6">
        <v>-1</v>
      </c>
    </row>
    <row r="48" spans="1:6" x14ac:dyDescent="0.3">
      <c r="A48" s="6" t="s">
        <v>1707</v>
      </c>
      <c r="B48" s="6" t="s">
        <v>618</v>
      </c>
      <c r="C48" s="6">
        <v>29</v>
      </c>
      <c r="D48" s="6"/>
      <c r="E48" s="6"/>
      <c r="F48" s="6">
        <v>1001</v>
      </c>
    </row>
    <row r="49" spans="1:6" x14ac:dyDescent="0.3">
      <c r="A49" s="6"/>
      <c r="B49" s="6" t="s">
        <v>620</v>
      </c>
      <c r="C49" s="6">
        <v>-1</v>
      </c>
      <c r="D49" s="6">
        <v>-1</v>
      </c>
      <c r="E49" s="6">
        <v>-1</v>
      </c>
      <c r="F49" s="6">
        <v>-1</v>
      </c>
    </row>
    <row r="50" spans="1:6" x14ac:dyDescent="0.3">
      <c r="A50" s="6" t="s">
        <v>4853</v>
      </c>
      <c r="B50" s="6" t="s">
        <v>622</v>
      </c>
      <c r="C50" s="6"/>
      <c r="D50" s="6">
        <v>46</v>
      </c>
      <c r="E50" s="6">
        <v>28</v>
      </c>
      <c r="F50" s="6"/>
    </row>
    <row r="51" spans="1:6" x14ac:dyDescent="0.3">
      <c r="A51" s="6" t="s">
        <v>1359</v>
      </c>
      <c r="B51" s="6" t="s">
        <v>626</v>
      </c>
      <c r="C51" s="6"/>
      <c r="D51" s="6">
        <v>56</v>
      </c>
      <c r="E51" s="6"/>
      <c r="F51" s="6"/>
    </row>
    <row r="52" spans="1:6" x14ac:dyDescent="0.3">
      <c r="A52" s="6" t="s">
        <v>4184</v>
      </c>
      <c r="B52" s="6" t="s">
        <v>350</v>
      </c>
      <c r="C52" s="6"/>
      <c r="D52" s="6">
        <v>52</v>
      </c>
      <c r="E52" s="6">
        <v>1001</v>
      </c>
      <c r="F52" s="6"/>
    </row>
    <row r="53" spans="1:6" x14ac:dyDescent="0.3">
      <c r="A53" s="6" t="s">
        <v>5057</v>
      </c>
      <c r="B53" s="6" t="s">
        <v>640</v>
      </c>
      <c r="C53" s="6">
        <v>31</v>
      </c>
      <c r="D53" s="6"/>
      <c r="E53" s="6"/>
      <c r="F53" s="6">
        <v>30</v>
      </c>
    </row>
    <row r="54" spans="1:6" x14ac:dyDescent="0.3">
      <c r="A54" s="6"/>
      <c r="B54" s="6" t="s">
        <v>642</v>
      </c>
      <c r="C54" s="6">
        <v>-1</v>
      </c>
      <c r="D54" s="6">
        <v>-1</v>
      </c>
      <c r="E54" s="6">
        <v>-1</v>
      </c>
      <c r="F54" s="6">
        <v>-1</v>
      </c>
    </row>
    <row r="55" spans="1:6" x14ac:dyDescent="0.3">
      <c r="A55" s="6"/>
      <c r="B55" s="6" t="s">
        <v>644</v>
      </c>
      <c r="C55" s="6">
        <v>-1</v>
      </c>
      <c r="D55" s="6">
        <v>-1</v>
      </c>
      <c r="E55" s="6">
        <v>-1</v>
      </c>
      <c r="F55" s="6">
        <v>-1</v>
      </c>
    </row>
    <row r="56" spans="1:6" x14ac:dyDescent="0.3">
      <c r="A56" s="6"/>
      <c r="B56" s="6" t="s">
        <v>378</v>
      </c>
      <c r="C56" s="6">
        <v>-1</v>
      </c>
      <c r="D56" s="6">
        <v>-1</v>
      </c>
      <c r="E56" s="6">
        <v>-1</v>
      </c>
      <c r="F56" s="6">
        <v>-1</v>
      </c>
    </row>
    <row r="57" spans="1:6" x14ac:dyDescent="0.3">
      <c r="A57" s="6"/>
      <c r="B57" s="6" t="s">
        <v>624</v>
      </c>
      <c r="C57" s="6">
        <v>-1</v>
      </c>
      <c r="D57" s="6">
        <v>-1</v>
      </c>
      <c r="E57" s="6">
        <v>-1</v>
      </c>
      <c r="F57" s="6">
        <v>-1</v>
      </c>
    </row>
    <row r="58" spans="1:6" x14ac:dyDescent="0.3">
      <c r="A58" s="6" t="s">
        <v>4997</v>
      </c>
      <c r="B58" s="6" t="s">
        <v>364</v>
      </c>
      <c r="C58" s="6"/>
      <c r="D58" s="6">
        <v>7</v>
      </c>
      <c r="E58" s="6">
        <v>3</v>
      </c>
      <c r="F58" s="6"/>
    </row>
    <row r="59" spans="1:6" x14ac:dyDescent="0.3">
      <c r="A59" s="6"/>
      <c r="B59" s="6" t="s">
        <v>376</v>
      </c>
      <c r="C59" s="6">
        <v>-1</v>
      </c>
      <c r="D59" s="6">
        <v>-1</v>
      </c>
      <c r="E59" s="6">
        <v>-1</v>
      </c>
      <c r="F59" s="6">
        <v>-1</v>
      </c>
    </row>
    <row r="60" spans="1:6" x14ac:dyDescent="0.3">
      <c r="A60" s="6"/>
      <c r="B60" s="6" t="s">
        <v>670</v>
      </c>
      <c r="C60" s="6">
        <v>-1</v>
      </c>
      <c r="D60" s="6">
        <v>-1</v>
      </c>
      <c r="E60" s="6">
        <v>-1</v>
      </c>
      <c r="F60" s="6">
        <v>-1</v>
      </c>
    </row>
    <row r="61" spans="1:6" x14ac:dyDescent="0.3">
      <c r="A61" s="6" t="s">
        <v>2487</v>
      </c>
      <c r="B61" s="6" t="s">
        <v>394</v>
      </c>
      <c r="C61" s="6"/>
      <c r="D61" s="6"/>
      <c r="E61" s="6">
        <v>1001</v>
      </c>
      <c r="F61" s="6"/>
    </row>
    <row r="62" spans="1:6" x14ac:dyDescent="0.3">
      <c r="A62" s="6"/>
      <c r="B62" s="6" t="s">
        <v>346</v>
      </c>
      <c r="C62" s="6">
        <v>-1</v>
      </c>
      <c r="D62" s="6">
        <v>-1</v>
      </c>
      <c r="E62" s="6">
        <v>-1</v>
      </c>
      <c r="F62" s="6">
        <v>-1</v>
      </c>
    </row>
    <row r="63" spans="1:6" x14ac:dyDescent="0.3">
      <c r="A63" s="6" t="s">
        <v>1907</v>
      </c>
      <c r="B63" s="6" t="s">
        <v>348</v>
      </c>
      <c r="C63" s="6"/>
      <c r="D63" s="6">
        <v>43</v>
      </c>
      <c r="E63" s="6">
        <v>30</v>
      </c>
      <c r="F63" s="6"/>
    </row>
    <row r="64" spans="1:6" x14ac:dyDescent="0.3">
      <c r="A64" s="6" t="s">
        <v>3236</v>
      </c>
      <c r="B64" s="6" t="s">
        <v>684</v>
      </c>
      <c r="C64" s="6"/>
      <c r="D64" s="6">
        <v>64</v>
      </c>
      <c r="E64" s="6">
        <v>1001</v>
      </c>
      <c r="F64" s="6"/>
    </row>
    <row r="65" spans="1:6" x14ac:dyDescent="0.3">
      <c r="A65" s="6" t="s">
        <v>1961</v>
      </c>
      <c r="B65" s="6" t="s">
        <v>490</v>
      </c>
      <c r="C65" s="6"/>
      <c r="D65" s="6">
        <v>66</v>
      </c>
      <c r="E65" s="6">
        <v>1001</v>
      </c>
      <c r="F65" s="6"/>
    </row>
    <row r="66" spans="1:6" x14ac:dyDescent="0.3">
      <c r="A66" s="6"/>
      <c r="B66" s="6" t="s">
        <v>690</v>
      </c>
      <c r="C66" s="6">
        <v>-1</v>
      </c>
      <c r="D66" s="6">
        <v>-1</v>
      </c>
      <c r="E66" s="6">
        <v>-1</v>
      </c>
      <c r="F66" s="6">
        <v>-1</v>
      </c>
    </row>
    <row r="67" spans="1:6" x14ac:dyDescent="0.3">
      <c r="A67" s="6"/>
      <c r="B67" s="6" t="s">
        <v>446</v>
      </c>
      <c r="C67" s="6">
        <v>-1</v>
      </c>
      <c r="D67" s="6">
        <v>-1</v>
      </c>
      <c r="E67" s="6">
        <v>-1</v>
      </c>
      <c r="F67" s="6">
        <v>-1</v>
      </c>
    </row>
    <row r="68" spans="1:6" x14ac:dyDescent="0.3">
      <c r="A68" s="6"/>
      <c r="B68" s="6" t="s">
        <v>408</v>
      </c>
      <c r="C68" s="6">
        <v>-1</v>
      </c>
      <c r="D68" s="6">
        <v>-1</v>
      </c>
      <c r="E68" s="6">
        <v>-1</v>
      </c>
      <c r="F68" s="6">
        <v>-1</v>
      </c>
    </row>
    <row r="69" spans="1:6" x14ac:dyDescent="0.3">
      <c r="A69" s="6" t="s">
        <v>1920</v>
      </c>
      <c r="B69" s="6" t="s">
        <v>694</v>
      </c>
      <c r="C69" s="6">
        <v>16</v>
      </c>
      <c r="D69" s="6"/>
      <c r="E69" s="6"/>
      <c r="F69" s="6">
        <v>20</v>
      </c>
    </row>
    <row r="70" spans="1:6" x14ac:dyDescent="0.3">
      <c r="A70" s="6" t="s">
        <v>5054</v>
      </c>
      <c r="B70" s="6" t="s">
        <v>422</v>
      </c>
      <c r="C70" s="6"/>
      <c r="D70" s="6">
        <v>62</v>
      </c>
      <c r="E70" s="6">
        <v>1001</v>
      </c>
      <c r="F70" s="6"/>
    </row>
    <row r="71" spans="1:6" x14ac:dyDescent="0.3">
      <c r="A71" s="6"/>
      <c r="B71" s="6" t="s">
        <v>700</v>
      </c>
      <c r="C71" s="6">
        <v>-1</v>
      </c>
      <c r="D71" s="6">
        <v>-1</v>
      </c>
      <c r="E71" s="6">
        <v>-1</v>
      </c>
      <c r="F71" s="6">
        <v>-1</v>
      </c>
    </row>
    <row r="72" spans="1:6" x14ac:dyDescent="0.3">
      <c r="A72" s="6"/>
      <c r="B72" s="6" t="s">
        <v>330</v>
      </c>
      <c r="C72" s="6">
        <v>-1</v>
      </c>
      <c r="D72" s="6">
        <v>-1</v>
      </c>
      <c r="E72" s="6">
        <v>-1</v>
      </c>
      <c r="F72" s="6">
        <v>-1</v>
      </c>
    </row>
    <row r="73" spans="1:6" x14ac:dyDescent="0.3">
      <c r="A73" s="6" t="s">
        <v>3141</v>
      </c>
      <c r="B73" s="6" t="s">
        <v>338</v>
      </c>
      <c r="C73" s="6"/>
      <c r="D73" s="6">
        <v>22</v>
      </c>
      <c r="E73" s="6">
        <v>14</v>
      </c>
      <c r="F73" s="6"/>
    </row>
    <row r="74" spans="1:6" x14ac:dyDescent="0.3">
      <c r="A74" s="6" t="s">
        <v>3451</v>
      </c>
      <c r="B74" s="6" t="s">
        <v>444</v>
      </c>
      <c r="C74" s="6"/>
      <c r="D74" s="6">
        <v>18</v>
      </c>
      <c r="E74" s="6"/>
      <c r="F74" s="6"/>
    </row>
    <row r="75" spans="1:6" x14ac:dyDescent="0.3">
      <c r="A75" s="6"/>
      <c r="B75" s="6" t="s">
        <v>478</v>
      </c>
      <c r="C75" s="6">
        <v>-1</v>
      </c>
      <c r="D75" s="6">
        <v>-1</v>
      </c>
      <c r="E75" s="6">
        <v>-1</v>
      </c>
      <c r="F75" s="6">
        <v>-1</v>
      </c>
    </row>
    <row r="76" spans="1:6" x14ac:dyDescent="0.3">
      <c r="A76" s="6" t="s">
        <v>1963</v>
      </c>
      <c r="B76" s="6" t="s">
        <v>480</v>
      </c>
      <c r="C76" s="6"/>
      <c r="D76" s="6">
        <v>51</v>
      </c>
      <c r="E76" s="6">
        <v>3001</v>
      </c>
      <c r="F76" s="6"/>
    </row>
    <row r="77" spans="1:6" x14ac:dyDescent="0.3">
      <c r="A77" s="6" t="s">
        <v>1504</v>
      </c>
      <c r="B77" s="6" t="s">
        <v>718</v>
      </c>
      <c r="C77" s="6"/>
      <c r="D77" s="6">
        <v>49</v>
      </c>
      <c r="E77" s="6">
        <v>1001</v>
      </c>
      <c r="F77" s="6"/>
    </row>
    <row r="78" spans="1:6" x14ac:dyDescent="0.3">
      <c r="A78" s="6" t="s">
        <v>2509</v>
      </c>
      <c r="B78" s="6" t="s">
        <v>726</v>
      </c>
      <c r="C78" s="6">
        <v>33</v>
      </c>
      <c r="D78" s="6">
        <v>40</v>
      </c>
      <c r="E78" s="6">
        <v>32</v>
      </c>
      <c r="F78" s="6">
        <v>36</v>
      </c>
    </row>
    <row r="79" spans="1:6" x14ac:dyDescent="0.3">
      <c r="A79" s="6"/>
      <c r="B79" s="6" t="s">
        <v>454</v>
      </c>
      <c r="C79" s="6">
        <v>-1</v>
      </c>
      <c r="D79" s="6">
        <v>-1</v>
      </c>
      <c r="E79" s="6">
        <v>-1</v>
      </c>
      <c r="F79" s="6">
        <v>-1</v>
      </c>
    </row>
    <row r="80" spans="1:6" x14ac:dyDescent="0.3">
      <c r="A80" s="6" t="s">
        <v>1548</v>
      </c>
      <c r="B80" s="6" t="s">
        <v>332</v>
      </c>
      <c r="C80" s="6"/>
      <c r="D80" s="6">
        <v>25</v>
      </c>
      <c r="E80" s="6"/>
      <c r="F80" s="6"/>
    </row>
    <row r="81" spans="1:6" x14ac:dyDescent="0.3">
      <c r="A81" s="6" t="s">
        <v>3958</v>
      </c>
      <c r="B81" s="6" t="s">
        <v>410</v>
      </c>
      <c r="C81" s="6"/>
      <c r="D81" s="6">
        <v>36</v>
      </c>
      <c r="E81" s="6">
        <v>1001</v>
      </c>
      <c r="F81" s="6"/>
    </row>
    <row r="82" spans="1:6" x14ac:dyDescent="0.3">
      <c r="A82" s="6"/>
      <c r="B82" s="6" t="s">
        <v>482</v>
      </c>
      <c r="C82" s="6">
        <v>-1</v>
      </c>
      <c r="D82" s="6">
        <v>-1</v>
      </c>
      <c r="E82" s="6">
        <v>-1</v>
      </c>
      <c r="F82" s="6">
        <v>-1</v>
      </c>
    </row>
    <row r="83" spans="1:6" x14ac:dyDescent="0.3">
      <c r="A83" s="6"/>
      <c r="B83" s="6" t="s">
        <v>500</v>
      </c>
      <c r="C83" s="6">
        <v>-1</v>
      </c>
      <c r="D83" s="6">
        <v>-1</v>
      </c>
      <c r="E83" s="6">
        <v>-1</v>
      </c>
      <c r="F83" s="6">
        <v>-1</v>
      </c>
    </row>
    <row r="84" spans="1:6" x14ac:dyDescent="0.3">
      <c r="A84" s="6" t="s">
        <v>1732</v>
      </c>
      <c r="B84" s="6" t="s">
        <v>358</v>
      </c>
      <c r="C84" s="6">
        <v>6</v>
      </c>
      <c r="D84" s="6"/>
      <c r="E84" s="6"/>
      <c r="F84" s="6">
        <v>7</v>
      </c>
    </row>
    <row r="85" spans="1:6" x14ac:dyDescent="0.3">
      <c r="A85" s="6" t="s">
        <v>3762</v>
      </c>
      <c r="B85" s="6" t="s">
        <v>358</v>
      </c>
      <c r="C85" s="6">
        <v>26</v>
      </c>
      <c r="D85" s="6"/>
      <c r="E85" s="6"/>
      <c r="F85" s="6">
        <v>21</v>
      </c>
    </row>
    <row r="86" spans="1:6" x14ac:dyDescent="0.3">
      <c r="A86" s="6"/>
      <c r="B86" s="6" t="s">
        <v>520</v>
      </c>
      <c r="C86" s="6">
        <v>-1</v>
      </c>
      <c r="D86" s="6">
        <v>-1</v>
      </c>
      <c r="E86" s="6">
        <v>-1</v>
      </c>
      <c r="F86" s="6">
        <v>-1</v>
      </c>
    </row>
    <row r="87" spans="1:6" x14ac:dyDescent="0.3">
      <c r="A87" s="6"/>
      <c r="B87" s="6" t="s">
        <v>336</v>
      </c>
      <c r="C87" s="6">
        <v>-1</v>
      </c>
      <c r="D87" s="6">
        <v>-1</v>
      </c>
      <c r="E87" s="6">
        <v>-1</v>
      </c>
      <c r="F87" s="6">
        <v>-1</v>
      </c>
    </row>
    <row r="88" spans="1:6" x14ac:dyDescent="0.3">
      <c r="A88" s="6"/>
      <c r="B88" s="6" t="s">
        <v>336</v>
      </c>
      <c r="C88" s="6">
        <v>-1</v>
      </c>
      <c r="D88" s="6">
        <v>-1</v>
      </c>
      <c r="E88" s="6">
        <v>-1</v>
      </c>
      <c r="F88" s="6">
        <v>-1</v>
      </c>
    </row>
    <row r="89" spans="1:6" x14ac:dyDescent="0.3">
      <c r="A89" s="6"/>
      <c r="B89" s="6" t="s">
        <v>370</v>
      </c>
      <c r="C89" s="6">
        <v>-1</v>
      </c>
      <c r="D89" s="6">
        <v>-1</v>
      </c>
      <c r="E89" s="6">
        <v>-1</v>
      </c>
      <c r="F89" s="6">
        <v>-1</v>
      </c>
    </row>
    <row r="90" spans="1:6" x14ac:dyDescent="0.3">
      <c r="A90" s="6" t="s">
        <v>2522</v>
      </c>
      <c r="B90" s="6" t="s">
        <v>384</v>
      </c>
      <c r="C90" s="6">
        <v>14</v>
      </c>
      <c r="D90" s="6"/>
      <c r="E90" s="6"/>
      <c r="F90" s="6">
        <v>17</v>
      </c>
    </row>
    <row r="91" spans="1:6" x14ac:dyDescent="0.3">
      <c r="A91" s="6" t="s">
        <v>2578</v>
      </c>
      <c r="B91" s="6" t="s">
        <v>384</v>
      </c>
      <c r="C91" s="6">
        <v>28</v>
      </c>
      <c r="D91" s="6"/>
      <c r="E91" s="6"/>
      <c r="F91" s="6">
        <v>22</v>
      </c>
    </row>
    <row r="92" spans="1:6" x14ac:dyDescent="0.3">
      <c r="A92" s="6" t="s">
        <v>4889</v>
      </c>
      <c r="B92" s="6" t="s">
        <v>450</v>
      </c>
      <c r="C92" s="6"/>
      <c r="D92" s="6"/>
      <c r="E92" s="6">
        <v>1001</v>
      </c>
      <c r="F92" s="6"/>
    </row>
    <row r="93" spans="1:6" x14ac:dyDescent="0.3">
      <c r="A93" s="6"/>
      <c r="B93" s="6" t="s">
        <v>450</v>
      </c>
      <c r="C93" s="6">
        <v>-1</v>
      </c>
      <c r="D93" s="6">
        <v>-1</v>
      </c>
      <c r="E93" s="6">
        <v>-1</v>
      </c>
      <c r="F93" s="6">
        <v>-1</v>
      </c>
    </row>
    <row r="94" spans="1:6" x14ac:dyDescent="0.3">
      <c r="A94" s="6"/>
      <c r="B94" s="6" t="s">
        <v>442</v>
      </c>
      <c r="C94" s="6">
        <v>-1</v>
      </c>
      <c r="D94" s="6">
        <v>-1</v>
      </c>
      <c r="E94" s="6">
        <v>-1</v>
      </c>
      <c r="F94" s="6">
        <v>-1</v>
      </c>
    </row>
    <row r="95" spans="1:6" x14ac:dyDescent="0.3">
      <c r="A95" s="6" t="s">
        <v>1458</v>
      </c>
      <c r="B95" s="6" t="s">
        <v>372</v>
      </c>
      <c r="C95" s="6"/>
      <c r="D95" s="6">
        <v>27</v>
      </c>
      <c r="E95" s="6">
        <v>1001</v>
      </c>
      <c r="F95" s="6"/>
    </row>
    <row r="96" spans="1:6" x14ac:dyDescent="0.3">
      <c r="A96" s="6"/>
      <c r="B96" s="6" t="s">
        <v>372</v>
      </c>
      <c r="C96" s="6">
        <v>-1</v>
      </c>
      <c r="D96" s="6">
        <v>-1</v>
      </c>
      <c r="E96" s="6">
        <v>-1</v>
      </c>
      <c r="F96" s="6">
        <v>-1</v>
      </c>
    </row>
    <row r="97" spans="1:6" x14ac:dyDescent="0.3">
      <c r="A97" s="6" t="s">
        <v>4894</v>
      </c>
      <c r="B97" s="6" t="s">
        <v>344</v>
      </c>
      <c r="C97" s="6">
        <v>8</v>
      </c>
      <c r="D97" s="6"/>
      <c r="E97" s="6"/>
      <c r="F97" s="6">
        <v>4</v>
      </c>
    </row>
    <row r="98" spans="1:6" x14ac:dyDescent="0.3">
      <c r="A98" s="6" t="s">
        <v>4897</v>
      </c>
      <c r="B98" s="6" t="s">
        <v>344</v>
      </c>
      <c r="C98" s="6">
        <v>22</v>
      </c>
      <c r="D98" s="6"/>
      <c r="E98" s="6"/>
      <c r="F98" s="6">
        <v>1001</v>
      </c>
    </row>
    <row r="99" spans="1:6" x14ac:dyDescent="0.3">
      <c r="A99" s="6"/>
      <c r="B99" s="6" t="s">
        <v>334</v>
      </c>
      <c r="C99" s="6">
        <v>-1</v>
      </c>
      <c r="D99" s="6">
        <v>-1</v>
      </c>
      <c r="E99" s="6">
        <v>-1</v>
      </c>
      <c r="F99" s="6">
        <v>-1</v>
      </c>
    </row>
    <row r="100" spans="1:6" x14ac:dyDescent="0.3">
      <c r="A100" s="6"/>
      <c r="B100" s="6" t="s">
        <v>334</v>
      </c>
      <c r="C100" s="6">
        <v>-1</v>
      </c>
      <c r="D100" s="6">
        <v>-1</v>
      </c>
      <c r="E100" s="6">
        <v>-1</v>
      </c>
      <c r="F100" s="6">
        <v>-1</v>
      </c>
    </row>
    <row r="101" spans="1:6" x14ac:dyDescent="0.3">
      <c r="A101" s="6"/>
      <c r="B101" s="6" t="s">
        <v>402</v>
      </c>
      <c r="C101" s="6">
        <v>-1</v>
      </c>
      <c r="D101" s="6">
        <v>-1</v>
      </c>
      <c r="E101" s="6">
        <v>-1</v>
      </c>
      <c r="F101" s="6">
        <v>-1</v>
      </c>
    </row>
    <row r="102" spans="1:6" x14ac:dyDescent="0.3">
      <c r="A102" s="6"/>
      <c r="B102" s="6" t="s">
        <v>402</v>
      </c>
      <c r="C102" s="6">
        <v>-1</v>
      </c>
      <c r="D102" s="6">
        <v>-1</v>
      </c>
      <c r="E102" s="6">
        <v>-1</v>
      </c>
      <c r="F102" s="6">
        <v>-1</v>
      </c>
    </row>
    <row r="103" spans="1:6" x14ac:dyDescent="0.3">
      <c r="A103" s="6" t="s">
        <v>2280</v>
      </c>
      <c r="B103" s="6" t="s">
        <v>356</v>
      </c>
      <c r="C103" s="6"/>
      <c r="D103" s="6">
        <v>1001</v>
      </c>
      <c r="E103" s="6">
        <v>3001</v>
      </c>
      <c r="F103" s="6"/>
    </row>
    <row r="104" spans="1:6" x14ac:dyDescent="0.3">
      <c r="A104" s="6" t="s">
        <v>2286</v>
      </c>
      <c r="B104" s="6" t="s">
        <v>356</v>
      </c>
      <c r="C104" s="6">
        <v>3</v>
      </c>
      <c r="D104" s="6"/>
      <c r="E104" s="6"/>
      <c r="F104" s="6">
        <v>1001</v>
      </c>
    </row>
    <row r="105" spans="1:6" x14ac:dyDescent="0.3">
      <c r="A105" s="6" t="s">
        <v>2510</v>
      </c>
      <c r="B105" s="6" t="s">
        <v>364</v>
      </c>
      <c r="C105" s="6"/>
      <c r="D105" s="6">
        <v>11</v>
      </c>
      <c r="E105" s="6">
        <v>4</v>
      </c>
      <c r="F105" s="6"/>
    </row>
    <row r="106" spans="1:6" x14ac:dyDescent="0.3">
      <c r="A106" s="6" t="s">
        <v>5010</v>
      </c>
      <c r="B106" s="6" t="s">
        <v>364</v>
      </c>
      <c r="C106" s="6">
        <v>1001</v>
      </c>
      <c r="D106" s="6"/>
      <c r="E106" s="6"/>
      <c r="F106" s="6">
        <v>12</v>
      </c>
    </row>
    <row r="107" spans="1:6" x14ac:dyDescent="0.3">
      <c r="A107" s="6"/>
      <c r="B107" s="6" t="s">
        <v>694</v>
      </c>
      <c r="C107" s="6">
        <v>-1</v>
      </c>
      <c r="D107" s="6">
        <v>-1</v>
      </c>
      <c r="E107" s="6">
        <v>-1</v>
      </c>
      <c r="F107" s="6">
        <v>-1</v>
      </c>
    </row>
    <row r="108" spans="1:6" x14ac:dyDescent="0.3">
      <c r="A108" s="6"/>
      <c r="B108" s="6" t="s">
        <v>694</v>
      </c>
      <c r="C108" s="6">
        <v>-1</v>
      </c>
      <c r="D108" s="6">
        <v>-1</v>
      </c>
      <c r="E108" s="6">
        <v>-1</v>
      </c>
      <c r="F108" s="6">
        <v>-1</v>
      </c>
    </row>
    <row r="109" spans="1:6" x14ac:dyDescent="0.3">
      <c r="A109" s="6"/>
      <c r="B109" s="6" t="s">
        <v>338</v>
      </c>
      <c r="C109" s="6">
        <v>-1</v>
      </c>
      <c r="D109" s="6">
        <v>-1</v>
      </c>
      <c r="E109" s="6">
        <v>-1</v>
      </c>
      <c r="F109" s="6">
        <v>-1</v>
      </c>
    </row>
    <row r="110" spans="1:6" x14ac:dyDescent="0.3">
      <c r="A110" s="6" t="s">
        <v>5049</v>
      </c>
      <c r="B110" s="6" t="s">
        <v>444</v>
      </c>
      <c r="C110" s="6"/>
      <c r="D110" s="6"/>
      <c r="E110" s="6">
        <v>6</v>
      </c>
      <c r="F110" s="6"/>
    </row>
    <row r="111" spans="1:6" x14ac:dyDescent="0.3">
      <c r="A111" s="6"/>
      <c r="B111" s="6" t="s">
        <v>444</v>
      </c>
      <c r="C111" s="6">
        <v>-1</v>
      </c>
      <c r="D111" s="6">
        <v>-1</v>
      </c>
      <c r="E111" s="6">
        <v>-1</v>
      </c>
      <c r="F111" s="6">
        <v>-1</v>
      </c>
    </row>
    <row r="112" spans="1:6" x14ac:dyDescent="0.3">
      <c r="A112" s="6" t="s">
        <v>1966</v>
      </c>
      <c r="B112" s="6" t="s">
        <v>332</v>
      </c>
      <c r="C112" s="6">
        <v>13</v>
      </c>
      <c r="D112" s="6"/>
      <c r="E112" s="6"/>
      <c r="F112" s="6"/>
    </row>
    <row r="113" spans="1:6" x14ac:dyDescent="0.3">
      <c r="A113" s="6" t="s">
        <v>4198</v>
      </c>
      <c r="B113" s="6" t="s">
        <v>332</v>
      </c>
      <c r="C113" s="6">
        <v>10</v>
      </c>
      <c r="D113" s="6">
        <v>1001</v>
      </c>
      <c r="E113" s="6"/>
      <c r="F113" s="6">
        <v>26</v>
      </c>
    </row>
    <row r="114" spans="1:6" x14ac:dyDescent="0.3">
      <c r="A114" s="6" t="s">
        <v>4564</v>
      </c>
      <c r="B114" s="6" t="s">
        <v>358</v>
      </c>
      <c r="C114" s="6"/>
      <c r="D114" s="6">
        <v>9</v>
      </c>
      <c r="E114" s="6">
        <v>10</v>
      </c>
      <c r="F114" s="6">
        <v>14</v>
      </c>
    </row>
    <row r="115" spans="1:6" x14ac:dyDescent="0.3">
      <c r="A115" s="6"/>
      <c r="B115" s="6" t="s">
        <v>358</v>
      </c>
      <c r="C115" s="6">
        <v>-1</v>
      </c>
      <c r="D115" s="6">
        <v>-1</v>
      </c>
      <c r="E115" s="6">
        <v>-1</v>
      </c>
      <c r="F115" s="6">
        <v>-1</v>
      </c>
    </row>
    <row r="116" spans="1:6" x14ac:dyDescent="0.3">
      <c r="A116" s="6"/>
      <c r="B116" s="6" t="s">
        <v>358</v>
      </c>
      <c r="C116" s="6">
        <v>-1</v>
      </c>
      <c r="D116" s="6">
        <v>-1</v>
      </c>
      <c r="E116" s="6">
        <v>-1</v>
      </c>
      <c r="F116" s="6">
        <v>-1</v>
      </c>
    </row>
    <row r="117" spans="1:6" x14ac:dyDescent="0.3">
      <c r="A117" s="6"/>
      <c r="B117" s="6" t="s">
        <v>358</v>
      </c>
      <c r="C117" s="6">
        <v>-1</v>
      </c>
      <c r="D117" s="6">
        <v>-1</v>
      </c>
      <c r="E117" s="6">
        <v>-1</v>
      </c>
      <c r="F117" s="6">
        <v>-1</v>
      </c>
    </row>
    <row r="118" spans="1:6" x14ac:dyDescent="0.3">
      <c r="A118" s="6"/>
      <c r="B118" s="6" t="s">
        <v>358</v>
      </c>
      <c r="C118" s="6">
        <v>-1</v>
      </c>
      <c r="D118" s="6">
        <v>-1</v>
      </c>
      <c r="E118" s="6">
        <v>-1</v>
      </c>
      <c r="F118" s="6">
        <v>-1</v>
      </c>
    </row>
    <row r="119" spans="1:6" x14ac:dyDescent="0.3">
      <c r="A119" s="6"/>
      <c r="B119" s="6" t="s">
        <v>358</v>
      </c>
      <c r="C119" s="6">
        <v>-1</v>
      </c>
      <c r="D119" s="6">
        <v>-1</v>
      </c>
      <c r="E119" s="6">
        <v>-1</v>
      </c>
      <c r="F119" s="6">
        <v>-1</v>
      </c>
    </row>
    <row r="120" spans="1:6" x14ac:dyDescent="0.3">
      <c r="A120" s="6"/>
      <c r="B120" s="6" t="s">
        <v>358</v>
      </c>
      <c r="C120" s="6">
        <v>-1</v>
      </c>
      <c r="D120" s="6">
        <v>-1</v>
      </c>
      <c r="E120" s="6">
        <v>-1</v>
      </c>
      <c r="F120" s="6">
        <v>-1</v>
      </c>
    </row>
    <row r="121" spans="1:6" x14ac:dyDescent="0.3">
      <c r="A121" s="6"/>
      <c r="B121" s="6" t="s">
        <v>358</v>
      </c>
      <c r="C121" s="6">
        <v>-1</v>
      </c>
      <c r="D121" s="6">
        <v>-1</v>
      </c>
      <c r="E121" s="6">
        <v>-1</v>
      </c>
      <c r="F121" s="6">
        <v>-1</v>
      </c>
    </row>
    <row r="122" spans="1:6" x14ac:dyDescent="0.3">
      <c r="A122" s="6" t="s">
        <v>2579</v>
      </c>
      <c r="B122" s="6" t="s">
        <v>384</v>
      </c>
      <c r="C122" s="6"/>
      <c r="D122" s="6"/>
      <c r="E122" s="6"/>
      <c r="F122" s="6">
        <v>1001</v>
      </c>
    </row>
    <row r="123" spans="1:6" x14ac:dyDescent="0.3">
      <c r="A123" s="6"/>
      <c r="B123" s="6" t="s">
        <v>384</v>
      </c>
      <c r="C123" s="6">
        <v>-1</v>
      </c>
      <c r="D123" s="6">
        <v>-1</v>
      </c>
      <c r="E123" s="6">
        <v>-1</v>
      </c>
      <c r="F123" s="6">
        <v>-1</v>
      </c>
    </row>
    <row r="124" spans="1:6" x14ac:dyDescent="0.3">
      <c r="A124" s="6"/>
      <c r="B124" s="6" t="s">
        <v>344</v>
      </c>
      <c r="C124" s="6">
        <v>-1</v>
      </c>
      <c r="D124" s="6">
        <v>-1</v>
      </c>
      <c r="E124" s="6">
        <v>-1</v>
      </c>
      <c r="F124" s="6">
        <v>-1</v>
      </c>
    </row>
    <row r="125" spans="1:6" x14ac:dyDescent="0.3">
      <c r="A125" s="6"/>
      <c r="B125" s="6" t="s">
        <v>344</v>
      </c>
      <c r="C125" s="6">
        <v>-1</v>
      </c>
      <c r="D125" s="6">
        <v>-1</v>
      </c>
      <c r="E125" s="6">
        <v>-1</v>
      </c>
      <c r="F125" s="6">
        <v>-1</v>
      </c>
    </row>
    <row r="126" spans="1:6" x14ac:dyDescent="0.3">
      <c r="A126" s="6"/>
      <c r="B126" s="6" t="s">
        <v>344</v>
      </c>
      <c r="C126" s="6">
        <v>-1</v>
      </c>
      <c r="D126" s="6">
        <v>-1</v>
      </c>
      <c r="E126" s="6">
        <v>-1</v>
      </c>
      <c r="F126" s="6">
        <v>-1</v>
      </c>
    </row>
    <row r="127" spans="1:6" x14ac:dyDescent="0.3">
      <c r="A127" s="6"/>
      <c r="B127" s="6" t="s">
        <v>344</v>
      </c>
      <c r="C127" s="6">
        <v>-1</v>
      </c>
      <c r="D127" s="6">
        <v>-1</v>
      </c>
      <c r="E127" s="6">
        <v>-1</v>
      </c>
      <c r="F127" s="6">
        <v>-1</v>
      </c>
    </row>
    <row r="128" spans="1:6" x14ac:dyDescent="0.3">
      <c r="A128" s="6"/>
      <c r="B128" s="6" t="s">
        <v>344</v>
      </c>
      <c r="C128" s="6">
        <v>-1</v>
      </c>
      <c r="D128" s="6">
        <v>-1</v>
      </c>
      <c r="E128" s="6">
        <v>-1</v>
      </c>
      <c r="F128" s="6">
        <v>-1</v>
      </c>
    </row>
    <row r="129" spans="1:6" x14ac:dyDescent="0.3">
      <c r="A129" s="6"/>
      <c r="B129" s="6" t="s">
        <v>334</v>
      </c>
      <c r="C129" s="6">
        <v>-1</v>
      </c>
      <c r="D129" s="6">
        <v>-1</v>
      </c>
      <c r="E129" s="6">
        <v>-1</v>
      </c>
      <c r="F129" s="6">
        <v>-1</v>
      </c>
    </row>
    <row r="130" spans="1:6" x14ac:dyDescent="0.3">
      <c r="A130" s="6"/>
      <c r="B130" s="6" t="s">
        <v>334</v>
      </c>
      <c r="C130" s="6">
        <v>-1</v>
      </c>
      <c r="D130" s="6">
        <v>-1</v>
      </c>
      <c r="E130" s="6">
        <v>-1</v>
      </c>
      <c r="F130" s="6">
        <v>-1</v>
      </c>
    </row>
    <row r="131" spans="1:6" x14ac:dyDescent="0.3">
      <c r="A131" s="6" t="s">
        <v>2290</v>
      </c>
      <c r="B131" s="6" t="s">
        <v>356</v>
      </c>
      <c r="C131" s="6">
        <v>17</v>
      </c>
      <c r="D131" s="6"/>
      <c r="E131" s="6"/>
      <c r="F131" s="6"/>
    </row>
    <row r="132" spans="1:6" x14ac:dyDescent="0.3">
      <c r="A132" s="6" t="s">
        <v>2298</v>
      </c>
      <c r="B132" s="6" t="s">
        <v>356</v>
      </c>
      <c r="C132" s="6"/>
      <c r="D132" s="6">
        <v>1001</v>
      </c>
      <c r="E132" s="6">
        <v>1001</v>
      </c>
      <c r="F132" s="6"/>
    </row>
    <row r="133" spans="1:6" x14ac:dyDescent="0.3">
      <c r="A133" s="6" t="s">
        <v>4705</v>
      </c>
      <c r="B133" s="6" t="s">
        <v>356</v>
      </c>
      <c r="C133" s="6"/>
      <c r="D133" s="6"/>
      <c r="E133" s="6">
        <v>12</v>
      </c>
      <c r="F133" s="6"/>
    </row>
    <row r="134" spans="1:6" x14ac:dyDescent="0.3">
      <c r="A134" s="6"/>
      <c r="B134" s="6" t="s">
        <v>356</v>
      </c>
      <c r="C134" s="6">
        <v>-1</v>
      </c>
      <c r="D134" s="6">
        <v>-1</v>
      </c>
      <c r="E134" s="6">
        <v>-1</v>
      </c>
      <c r="F134" s="6">
        <v>-1</v>
      </c>
    </row>
    <row r="135" spans="1:6" x14ac:dyDescent="0.3">
      <c r="A135" s="6"/>
      <c r="B135" s="6" t="s">
        <v>356</v>
      </c>
      <c r="C135" s="6">
        <v>-1</v>
      </c>
      <c r="D135" s="6">
        <v>-1</v>
      </c>
      <c r="E135" s="6">
        <v>-1</v>
      </c>
      <c r="F135" s="6">
        <v>-1</v>
      </c>
    </row>
    <row r="136" spans="1:6" x14ac:dyDescent="0.3">
      <c r="A136" s="6"/>
      <c r="B136" s="6" t="s">
        <v>356</v>
      </c>
      <c r="C136" s="6">
        <v>-1</v>
      </c>
      <c r="D136" s="6">
        <v>-1</v>
      </c>
      <c r="E136" s="6">
        <v>-1</v>
      </c>
      <c r="F136" s="6">
        <v>-1</v>
      </c>
    </row>
    <row r="137" spans="1:6" x14ac:dyDescent="0.3">
      <c r="A137" s="6"/>
      <c r="B137" s="6" t="s">
        <v>356</v>
      </c>
      <c r="C137" s="6">
        <v>-1</v>
      </c>
      <c r="D137" s="6">
        <v>-1</v>
      </c>
      <c r="E137" s="6">
        <v>-1</v>
      </c>
      <c r="F137" s="6">
        <v>-1</v>
      </c>
    </row>
    <row r="138" spans="1:6" x14ac:dyDescent="0.3">
      <c r="A138" s="6"/>
      <c r="B138" s="6" t="s">
        <v>364</v>
      </c>
      <c r="C138" s="6">
        <v>-1</v>
      </c>
      <c r="D138" s="6">
        <v>-1</v>
      </c>
      <c r="E138" s="6">
        <v>-1</v>
      </c>
      <c r="F138" s="6">
        <v>-1</v>
      </c>
    </row>
    <row r="139" spans="1:6" x14ac:dyDescent="0.3">
      <c r="A139" s="6"/>
      <c r="B139" s="6" t="s">
        <v>364</v>
      </c>
      <c r="C139" s="6">
        <v>-1</v>
      </c>
      <c r="D139" s="6">
        <v>-1</v>
      </c>
      <c r="E139" s="6">
        <v>-1</v>
      </c>
      <c r="F139" s="6">
        <v>-1</v>
      </c>
    </row>
    <row r="140" spans="1:6" x14ac:dyDescent="0.3">
      <c r="A140" s="6"/>
      <c r="B140" s="6" t="s">
        <v>364</v>
      </c>
      <c r="C140" s="6">
        <v>-1</v>
      </c>
      <c r="D140" s="6">
        <v>-1</v>
      </c>
      <c r="E140" s="6">
        <v>-1</v>
      </c>
      <c r="F140" s="6">
        <v>-1</v>
      </c>
    </row>
    <row r="141" spans="1:6" x14ac:dyDescent="0.3">
      <c r="A141" s="6"/>
      <c r="B141" s="6" t="s">
        <v>364</v>
      </c>
      <c r="C141" s="6">
        <v>-1</v>
      </c>
      <c r="D141" s="6">
        <v>-1</v>
      </c>
      <c r="E141" s="6">
        <v>-1</v>
      </c>
      <c r="F141" s="6">
        <v>-1</v>
      </c>
    </row>
    <row r="142" spans="1:6" x14ac:dyDescent="0.3">
      <c r="A142" s="6"/>
      <c r="B142" s="6" t="s">
        <v>364</v>
      </c>
      <c r="C142" s="6">
        <v>-1</v>
      </c>
      <c r="D142" s="6">
        <v>-1</v>
      </c>
      <c r="E142" s="6">
        <v>-1</v>
      </c>
      <c r="F142" s="6">
        <v>-1</v>
      </c>
    </row>
    <row r="143" spans="1:6" x14ac:dyDescent="0.3">
      <c r="A143" s="6"/>
      <c r="B143" s="6" t="s">
        <v>364</v>
      </c>
      <c r="C143" s="6">
        <v>-1</v>
      </c>
      <c r="D143" s="6">
        <v>-1</v>
      </c>
      <c r="E143" s="6">
        <v>-1</v>
      </c>
      <c r="F143" s="6">
        <v>-1</v>
      </c>
    </row>
    <row r="144" spans="1:6" x14ac:dyDescent="0.3">
      <c r="A144" s="6"/>
      <c r="B144" s="6" t="s">
        <v>444</v>
      </c>
      <c r="C144" s="6">
        <v>-1</v>
      </c>
      <c r="D144" s="6">
        <v>-1</v>
      </c>
      <c r="E144" s="6">
        <v>-1</v>
      </c>
      <c r="F144" s="6">
        <v>-1</v>
      </c>
    </row>
    <row r="145" spans="1:6" x14ac:dyDescent="0.3">
      <c r="A145" s="6"/>
      <c r="B145" s="6" t="s">
        <v>444</v>
      </c>
      <c r="C145" s="6">
        <v>-1</v>
      </c>
      <c r="D145" s="6">
        <v>-1</v>
      </c>
      <c r="E145" s="6">
        <v>-1</v>
      </c>
      <c r="F145" s="6">
        <v>-1</v>
      </c>
    </row>
    <row r="146" spans="1:6" x14ac:dyDescent="0.3">
      <c r="A146" s="6"/>
      <c r="B146" s="6" t="s">
        <v>444</v>
      </c>
      <c r="C146" s="6">
        <v>-1</v>
      </c>
      <c r="D146" s="6">
        <v>-1</v>
      </c>
      <c r="E146" s="6">
        <v>-1</v>
      </c>
      <c r="F146" s="6">
        <v>-1</v>
      </c>
    </row>
    <row r="147" spans="1:6" x14ac:dyDescent="0.3">
      <c r="A147" s="6"/>
      <c r="B147" s="6" t="s">
        <v>444</v>
      </c>
      <c r="C147" s="6">
        <v>-1</v>
      </c>
      <c r="D147" s="6">
        <v>-1</v>
      </c>
      <c r="E147" s="6">
        <v>-1</v>
      </c>
      <c r="F147" s="6">
        <v>-1</v>
      </c>
    </row>
    <row r="148" spans="1:6" x14ac:dyDescent="0.3">
      <c r="A148" s="6"/>
      <c r="B148" s="6" t="s">
        <v>444</v>
      </c>
      <c r="C148" s="6">
        <v>-1</v>
      </c>
      <c r="D148" s="6">
        <v>-1</v>
      </c>
      <c r="E148" s="6">
        <v>-1</v>
      </c>
      <c r="F148" s="6">
        <v>-1</v>
      </c>
    </row>
    <row r="149" spans="1:6" x14ac:dyDescent="0.3">
      <c r="A149" s="6"/>
      <c r="B149" s="6" t="s">
        <v>444</v>
      </c>
      <c r="C149" s="6">
        <v>-1</v>
      </c>
      <c r="D149" s="6">
        <v>-1</v>
      </c>
      <c r="E149" s="6">
        <v>-1</v>
      </c>
      <c r="F149" s="6">
        <v>-1</v>
      </c>
    </row>
    <row r="150" spans="1:6" x14ac:dyDescent="0.3">
      <c r="A150" s="6"/>
      <c r="B150" s="6" t="s">
        <v>444</v>
      </c>
      <c r="C150" s="6">
        <v>-1</v>
      </c>
      <c r="D150" s="6">
        <v>-1</v>
      </c>
      <c r="E150" s="6">
        <v>-1</v>
      </c>
      <c r="F150" s="6">
        <v>-1</v>
      </c>
    </row>
    <row r="151" spans="1:6" x14ac:dyDescent="0.3">
      <c r="A151" s="6"/>
      <c r="B151" s="6" t="s">
        <v>444</v>
      </c>
      <c r="C151" s="6">
        <v>-1</v>
      </c>
      <c r="D151" s="6">
        <v>-1</v>
      </c>
      <c r="E151" s="6">
        <v>-1</v>
      </c>
      <c r="F151" s="6">
        <v>-1</v>
      </c>
    </row>
    <row r="152" spans="1:6" x14ac:dyDescent="0.3">
      <c r="A152" s="6" t="s">
        <v>4201</v>
      </c>
      <c r="B152" s="6" t="s">
        <v>332</v>
      </c>
      <c r="C152" s="6"/>
      <c r="D152" s="6">
        <v>17</v>
      </c>
      <c r="E152" s="6">
        <v>1001</v>
      </c>
      <c r="F152" s="6">
        <v>1001</v>
      </c>
    </row>
    <row r="153" spans="1:6" x14ac:dyDescent="0.3">
      <c r="A153" s="6"/>
      <c r="B153" s="6" t="s">
        <v>332</v>
      </c>
      <c r="C153" s="6">
        <v>-1</v>
      </c>
      <c r="D153" s="6">
        <v>-1</v>
      </c>
      <c r="E153" s="6">
        <v>-1</v>
      </c>
      <c r="F153" s="6">
        <v>-1</v>
      </c>
    </row>
    <row r="154" spans="1:6" x14ac:dyDescent="0.3">
      <c r="A154" s="6"/>
      <c r="B154" s="6" t="s">
        <v>332</v>
      </c>
      <c r="C154" s="6">
        <v>-1</v>
      </c>
      <c r="D154" s="6">
        <v>-1</v>
      </c>
      <c r="E154" s="6">
        <v>-1</v>
      </c>
      <c r="F154" s="6">
        <v>-1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9ABEA-4F76-4359-9919-84C1289921F8}">
  <dimension ref="A1:F153"/>
  <sheetViews>
    <sheetView topLeftCell="A148" workbookViewId="0">
      <selection activeCell="B154" sqref="B154"/>
    </sheetView>
  </sheetViews>
  <sheetFormatPr defaultRowHeight="14.4" x14ac:dyDescent="0.3"/>
  <cols>
    <col min="1" max="1" width="32.5546875" bestFit="1" customWidth="1"/>
    <col min="2" max="2" width="18.5546875" bestFit="1" customWidth="1"/>
    <col min="3" max="3" width="22.109375" bestFit="1" customWidth="1"/>
    <col min="4" max="4" width="25.44140625" bestFit="1" customWidth="1"/>
    <col min="5" max="5" width="20.44140625" bestFit="1" customWidth="1"/>
    <col min="6" max="6" width="21.5546875" bestFit="1" customWidth="1"/>
  </cols>
  <sheetData>
    <row r="1" spans="1:6" x14ac:dyDescent="0.3">
      <c r="A1" t="s">
        <v>832</v>
      </c>
      <c r="B1" t="s">
        <v>1</v>
      </c>
      <c r="C1" t="s">
        <v>1010</v>
      </c>
      <c r="D1" t="s">
        <v>1011</v>
      </c>
      <c r="E1" t="s">
        <v>1012</v>
      </c>
      <c r="F1" t="s">
        <v>1013</v>
      </c>
    </row>
    <row r="2" spans="1:6" x14ac:dyDescent="0.3">
      <c r="A2" s="6" t="s">
        <v>1588</v>
      </c>
      <c r="B2" s="6" t="s">
        <v>496</v>
      </c>
      <c r="C2" s="6"/>
      <c r="D2" s="6">
        <v>44</v>
      </c>
      <c r="E2" s="6">
        <v>1001</v>
      </c>
      <c r="F2" s="6"/>
    </row>
    <row r="3" spans="1:6" x14ac:dyDescent="0.3">
      <c r="A3" s="6" t="s">
        <v>2311</v>
      </c>
      <c r="B3" s="6" t="s">
        <v>500</v>
      </c>
      <c r="C3" s="6">
        <v>1001</v>
      </c>
      <c r="D3" s="6"/>
      <c r="E3" s="6"/>
      <c r="F3" s="6"/>
    </row>
    <row r="4" spans="1:6" x14ac:dyDescent="0.3">
      <c r="A4" s="6" t="s">
        <v>3398</v>
      </c>
      <c r="B4" s="6" t="s">
        <v>340</v>
      </c>
      <c r="C4" s="6">
        <v>30</v>
      </c>
      <c r="D4" s="6">
        <v>1001</v>
      </c>
      <c r="E4" s="6"/>
      <c r="F4" s="6">
        <v>22</v>
      </c>
    </row>
    <row r="5" spans="1:6" x14ac:dyDescent="0.3">
      <c r="A5" s="6" t="s">
        <v>2389</v>
      </c>
      <c r="B5" s="6" t="s">
        <v>354</v>
      </c>
      <c r="C5" s="6"/>
      <c r="D5" s="6">
        <v>34</v>
      </c>
      <c r="E5" s="6">
        <v>1001</v>
      </c>
      <c r="F5" s="6"/>
    </row>
    <row r="6" spans="1:6" x14ac:dyDescent="0.3">
      <c r="A6" s="6" t="s">
        <v>4566</v>
      </c>
      <c r="B6" s="6" t="s">
        <v>358</v>
      </c>
      <c r="C6" s="6"/>
      <c r="D6" s="6"/>
      <c r="E6" s="6">
        <v>5</v>
      </c>
      <c r="F6" s="6"/>
    </row>
    <row r="7" spans="1:6" x14ac:dyDescent="0.3">
      <c r="A7" s="6"/>
      <c r="B7" s="6" t="s">
        <v>456</v>
      </c>
      <c r="C7" s="6">
        <v>-1</v>
      </c>
      <c r="D7" s="6">
        <v>-1</v>
      </c>
      <c r="E7" s="6">
        <v>-1</v>
      </c>
      <c r="F7" s="6">
        <v>-1</v>
      </c>
    </row>
    <row r="8" spans="1:6" x14ac:dyDescent="0.3">
      <c r="A8" s="6"/>
      <c r="B8" s="6" t="s">
        <v>520</v>
      </c>
      <c r="C8" s="6">
        <v>-1</v>
      </c>
      <c r="D8" s="6">
        <v>-1</v>
      </c>
      <c r="E8" s="6">
        <v>-1</v>
      </c>
      <c r="F8" s="6">
        <v>-1</v>
      </c>
    </row>
    <row r="9" spans="1:6" x14ac:dyDescent="0.3">
      <c r="A9" s="6" t="s">
        <v>3969</v>
      </c>
      <c r="B9" s="6" t="s">
        <v>530</v>
      </c>
      <c r="C9" s="6"/>
      <c r="D9" s="6">
        <v>51</v>
      </c>
      <c r="E9" s="6">
        <v>46</v>
      </c>
      <c r="F9" s="6"/>
    </row>
    <row r="10" spans="1:6" x14ac:dyDescent="0.3">
      <c r="A10" s="6"/>
      <c r="B10" s="6" t="s">
        <v>336</v>
      </c>
      <c r="C10" s="6">
        <v>-1</v>
      </c>
      <c r="D10" s="6">
        <v>-1</v>
      </c>
      <c r="E10" s="6">
        <v>-1</v>
      </c>
      <c r="F10" s="6">
        <v>-1</v>
      </c>
    </row>
    <row r="11" spans="1:6" x14ac:dyDescent="0.3">
      <c r="A11" s="6"/>
      <c r="B11" s="6" t="s">
        <v>370</v>
      </c>
      <c r="C11" s="6">
        <v>-1</v>
      </c>
      <c r="D11" s="6">
        <v>-1</v>
      </c>
      <c r="E11" s="6">
        <v>-1</v>
      </c>
      <c r="F11" s="6">
        <v>-1</v>
      </c>
    </row>
    <row r="12" spans="1:6" x14ac:dyDescent="0.3">
      <c r="A12" s="6" t="s">
        <v>2142</v>
      </c>
      <c r="B12" s="6" t="s">
        <v>384</v>
      </c>
      <c r="C12" s="6"/>
      <c r="D12" s="6"/>
      <c r="E12" s="6">
        <v>35</v>
      </c>
      <c r="F12" s="6"/>
    </row>
    <row r="13" spans="1:6" x14ac:dyDescent="0.3">
      <c r="A13" s="6" t="s">
        <v>3964</v>
      </c>
      <c r="B13" s="6" t="s">
        <v>366</v>
      </c>
      <c r="C13" s="6">
        <v>27</v>
      </c>
      <c r="D13" s="6"/>
      <c r="E13" s="6"/>
      <c r="F13" s="6">
        <v>1001</v>
      </c>
    </row>
    <row r="14" spans="1:6" x14ac:dyDescent="0.3">
      <c r="A14" s="6"/>
      <c r="B14" s="6" t="s">
        <v>328</v>
      </c>
      <c r="C14" s="6">
        <v>-1</v>
      </c>
      <c r="D14" s="6">
        <v>-1</v>
      </c>
      <c r="E14" s="6">
        <v>-1</v>
      </c>
      <c r="F14" s="6">
        <v>-1</v>
      </c>
    </row>
    <row r="15" spans="1:6" x14ac:dyDescent="0.3">
      <c r="A15" s="6"/>
      <c r="B15" s="6" t="s">
        <v>368</v>
      </c>
      <c r="C15" s="6">
        <v>-1</v>
      </c>
      <c r="D15" s="6">
        <v>-1</v>
      </c>
      <c r="E15" s="6">
        <v>-1</v>
      </c>
      <c r="F15" s="6">
        <v>-1</v>
      </c>
    </row>
    <row r="16" spans="1:6" x14ac:dyDescent="0.3">
      <c r="A16" s="6" t="s">
        <v>2771</v>
      </c>
      <c r="B16" s="6" t="s">
        <v>450</v>
      </c>
      <c r="C16" s="6"/>
      <c r="D16" s="6"/>
      <c r="E16" s="6">
        <v>3001</v>
      </c>
      <c r="F16" s="6"/>
    </row>
    <row r="17" spans="1:6" x14ac:dyDescent="0.3">
      <c r="A17" s="6"/>
      <c r="B17" s="6" t="s">
        <v>560</v>
      </c>
      <c r="C17" s="6">
        <v>-1</v>
      </c>
      <c r="D17" s="6">
        <v>-1</v>
      </c>
      <c r="E17" s="6">
        <v>-1</v>
      </c>
      <c r="F17" s="6">
        <v>-1</v>
      </c>
    </row>
    <row r="18" spans="1:6" x14ac:dyDescent="0.3">
      <c r="A18" s="6" t="s">
        <v>2097</v>
      </c>
      <c r="B18" s="6" t="s">
        <v>442</v>
      </c>
      <c r="C18" s="6">
        <v>29</v>
      </c>
      <c r="D18" s="6">
        <v>38</v>
      </c>
      <c r="E18" s="6">
        <v>38</v>
      </c>
      <c r="F18" s="6">
        <v>20</v>
      </c>
    </row>
    <row r="19" spans="1:6" x14ac:dyDescent="0.3">
      <c r="A19" s="6" t="s">
        <v>1459</v>
      </c>
      <c r="B19" s="6" t="s">
        <v>372</v>
      </c>
      <c r="C19" s="6">
        <v>28</v>
      </c>
      <c r="D19" s="6"/>
      <c r="E19" s="6">
        <v>1001</v>
      </c>
      <c r="F19" s="6">
        <v>23</v>
      </c>
    </row>
    <row r="20" spans="1:6" x14ac:dyDescent="0.3">
      <c r="A20" s="6" t="s">
        <v>1378</v>
      </c>
      <c r="B20" s="6" t="s">
        <v>344</v>
      </c>
      <c r="C20" s="6"/>
      <c r="D20" s="6">
        <v>22</v>
      </c>
      <c r="E20" s="6">
        <v>1001</v>
      </c>
      <c r="F20" s="6"/>
    </row>
    <row r="21" spans="1:6" x14ac:dyDescent="0.3">
      <c r="A21" s="6"/>
      <c r="B21" s="6" t="s">
        <v>580</v>
      </c>
      <c r="C21" s="6">
        <v>-1</v>
      </c>
      <c r="D21" s="6">
        <v>-1</v>
      </c>
      <c r="E21" s="6">
        <v>-1</v>
      </c>
      <c r="F21" s="6">
        <v>-1</v>
      </c>
    </row>
    <row r="22" spans="1:6" x14ac:dyDescent="0.3">
      <c r="A22" s="6"/>
      <c r="B22" s="6" t="s">
        <v>334</v>
      </c>
      <c r="C22" s="6">
        <v>-1</v>
      </c>
      <c r="D22" s="6">
        <v>-1</v>
      </c>
      <c r="E22" s="6">
        <v>-1</v>
      </c>
      <c r="F22" s="6">
        <v>-1</v>
      </c>
    </row>
    <row r="23" spans="1:6" x14ac:dyDescent="0.3">
      <c r="A23" s="6" t="s">
        <v>3428</v>
      </c>
      <c r="B23" s="6" t="s">
        <v>342</v>
      </c>
      <c r="C23" s="6"/>
      <c r="D23" s="6">
        <v>53</v>
      </c>
      <c r="E23" s="6">
        <v>3001</v>
      </c>
      <c r="F23" s="6"/>
    </row>
    <row r="24" spans="1:6" x14ac:dyDescent="0.3">
      <c r="A24" s="6"/>
      <c r="B24" s="6" t="s">
        <v>592</v>
      </c>
      <c r="C24" s="6">
        <v>-1</v>
      </c>
      <c r="D24" s="6">
        <v>-1</v>
      </c>
      <c r="E24" s="6">
        <v>-1</v>
      </c>
      <c r="F24" s="6">
        <v>-1</v>
      </c>
    </row>
    <row r="25" spans="1:6" x14ac:dyDescent="0.3">
      <c r="A25" s="6"/>
      <c r="B25" s="6" t="s">
        <v>406</v>
      </c>
      <c r="C25" s="6">
        <v>-1</v>
      </c>
      <c r="D25" s="6">
        <v>-1</v>
      </c>
      <c r="E25" s="6">
        <v>-1</v>
      </c>
      <c r="F25" s="6">
        <v>-1</v>
      </c>
    </row>
    <row r="26" spans="1:6" x14ac:dyDescent="0.3">
      <c r="A26" s="6"/>
      <c r="B26" s="6" t="s">
        <v>594</v>
      </c>
      <c r="C26" s="6">
        <v>-1</v>
      </c>
      <c r="D26" s="6">
        <v>-1</v>
      </c>
      <c r="E26" s="6">
        <v>-1</v>
      </c>
      <c r="F26" s="6">
        <v>-1</v>
      </c>
    </row>
    <row r="27" spans="1:6" x14ac:dyDescent="0.3">
      <c r="A27" s="6"/>
      <c r="B27" s="6" t="s">
        <v>518</v>
      </c>
      <c r="C27" s="6">
        <v>-1</v>
      </c>
      <c r="D27" s="6">
        <v>-1</v>
      </c>
      <c r="E27" s="6">
        <v>-1</v>
      </c>
      <c r="F27" s="6">
        <v>-1</v>
      </c>
    </row>
    <row r="28" spans="1:6" x14ac:dyDescent="0.3">
      <c r="A28" s="6"/>
      <c r="B28" s="6" t="s">
        <v>674</v>
      </c>
      <c r="C28" s="6">
        <v>-1</v>
      </c>
      <c r="D28" s="6">
        <v>-1</v>
      </c>
      <c r="E28" s="6">
        <v>-1</v>
      </c>
      <c r="F28" s="6">
        <v>-1</v>
      </c>
    </row>
    <row r="29" spans="1:6" x14ac:dyDescent="0.3">
      <c r="A29" s="6"/>
      <c r="B29" s="6" t="s">
        <v>360</v>
      </c>
      <c r="C29" s="6">
        <v>-1</v>
      </c>
      <c r="D29" s="6">
        <v>-1</v>
      </c>
      <c r="E29" s="6">
        <v>-1</v>
      </c>
      <c r="F29" s="6">
        <v>-1</v>
      </c>
    </row>
    <row r="30" spans="1:6" x14ac:dyDescent="0.3">
      <c r="A30" s="6" t="s">
        <v>2908</v>
      </c>
      <c r="B30" s="6" t="s">
        <v>596</v>
      </c>
      <c r="C30" s="6"/>
      <c r="D30" s="6">
        <v>48</v>
      </c>
      <c r="E30" s="6">
        <v>48</v>
      </c>
      <c r="F30" s="6"/>
    </row>
    <row r="31" spans="1:6" x14ac:dyDescent="0.3">
      <c r="A31" s="6"/>
      <c r="B31" s="6" t="s">
        <v>598</v>
      </c>
      <c r="C31" s="6">
        <v>-1</v>
      </c>
      <c r="D31" s="6">
        <v>-1</v>
      </c>
      <c r="E31" s="6">
        <v>-1</v>
      </c>
      <c r="F31" s="6">
        <v>-1</v>
      </c>
    </row>
    <row r="32" spans="1:6" x14ac:dyDescent="0.3">
      <c r="A32" s="6" t="s">
        <v>2266</v>
      </c>
      <c r="B32" s="6" t="s">
        <v>356</v>
      </c>
      <c r="C32" s="6">
        <v>11</v>
      </c>
      <c r="D32" s="6"/>
      <c r="E32" s="6"/>
      <c r="F32" s="6"/>
    </row>
    <row r="33" spans="1:6" x14ac:dyDescent="0.3">
      <c r="A33" s="6" t="s">
        <v>1281</v>
      </c>
      <c r="B33" s="6" t="s">
        <v>428</v>
      </c>
      <c r="C33" s="6"/>
      <c r="D33" s="6"/>
      <c r="E33" s="6">
        <v>1001</v>
      </c>
      <c r="F33" s="6"/>
    </row>
    <row r="34" spans="1:6" x14ac:dyDescent="0.3">
      <c r="A34" s="6"/>
      <c r="B34" s="6" t="s">
        <v>604</v>
      </c>
      <c r="C34" s="6">
        <v>-1</v>
      </c>
      <c r="D34" s="6">
        <v>-1</v>
      </c>
      <c r="E34" s="6">
        <v>-1</v>
      </c>
      <c r="F34" s="6">
        <v>-1</v>
      </c>
    </row>
    <row r="35" spans="1:6" x14ac:dyDescent="0.3">
      <c r="A35" s="6"/>
      <c r="B35" s="6" t="s">
        <v>608</v>
      </c>
      <c r="C35" s="6">
        <v>-1</v>
      </c>
      <c r="D35" s="6">
        <v>-1</v>
      </c>
      <c r="E35" s="6">
        <v>-1</v>
      </c>
      <c r="F35" s="6">
        <v>-1</v>
      </c>
    </row>
    <row r="36" spans="1:6" x14ac:dyDescent="0.3">
      <c r="A36" s="6" t="s">
        <v>3486</v>
      </c>
      <c r="B36" s="6" t="s">
        <v>614</v>
      </c>
      <c r="C36" s="6"/>
      <c r="D36" s="6"/>
      <c r="E36" s="6">
        <v>43</v>
      </c>
      <c r="F36" s="6"/>
    </row>
    <row r="37" spans="1:6" x14ac:dyDescent="0.3">
      <c r="A37" s="6"/>
      <c r="B37" s="6" t="s">
        <v>618</v>
      </c>
      <c r="C37" s="6">
        <v>-1</v>
      </c>
      <c r="D37" s="6">
        <v>-1</v>
      </c>
      <c r="E37" s="6">
        <v>-1</v>
      </c>
      <c r="F37" s="6">
        <v>-1</v>
      </c>
    </row>
    <row r="38" spans="1:6" x14ac:dyDescent="0.3">
      <c r="A38" s="6"/>
      <c r="B38" s="6" t="s">
        <v>620</v>
      </c>
      <c r="C38" s="6">
        <v>-1</v>
      </c>
      <c r="D38" s="6">
        <v>-1</v>
      </c>
      <c r="E38" s="6">
        <v>-1</v>
      </c>
      <c r="F38" s="6">
        <v>-1</v>
      </c>
    </row>
    <row r="39" spans="1:6" x14ac:dyDescent="0.3">
      <c r="A39" s="6"/>
      <c r="B39" s="6" t="s">
        <v>622</v>
      </c>
      <c r="C39" s="6">
        <v>-1</v>
      </c>
      <c r="D39" s="6">
        <v>-1</v>
      </c>
      <c r="E39" s="6">
        <v>-1</v>
      </c>
      <c r="F39" s="6">
        <v>-1</v>
      </c>
    </row>
    <row r="40" spans="1:6" x14ac:dyDescent="0.3">
      <c r="A40" s="6"/>
      <c r="B40" s="6" t="s">
        <v>626</v>
      </c>
      <c r="C40" s="6">
        <v>-1</v>
      </c>
      <c r="D40" s="6">
        <v>-1</v>
      </c>
      <c r="E40" s="6">
        <v>-1</v>
      </c>
      <c r="F40" s="6">
        <v>-1</v>
      </c>
    </row>
    <row r="41" spans="1:6" x14ac:dyDescent="0.3">
      <c r="A41" s="6"/>
      <c r="B41" s="6" t="s">
        <v>382</v>
      </c>
      <c r="C41" s="6">
        <v>-1</v>
      </c>
      <c r="D41" s="6">
        <v>-1</v>
      </c>
      <c r="E41" s="6">
        <v>-1</v>
      </c>
      <c r="F41" s="6">
        <v>-1</v>
      </c>
    </row>
    <row r="42" spans="1:6" x14ac:dyDescent="0.3">
      <c r="A42" s="6" t="s">
        <v>4205</v>
      </c>
      <c r="B42" s="6" t="s">
        <v>350</v>
      </c>
      <c r="C42" s="6"/>
      <c r="D42" s="6">
        <v>3001</v>
      </c>
      <c r="E42" s="6"/>
      <c r="F42" s="6">
        <v>26</v>
      </c>
    </row>
    <row r="43" spans="1:6" x14ac:dyDescent="0.3">
      <c r="A43" s="6" t="s">
        <v>2445</v>
      </c>
      <c r="B43" s="6" t="s">
        <v>474</v>
      </c>
      <c r="C43" s="6"/>
      <c r="D43" s="6">
        <v>8</v>
      </c>
      <c r="E43" s="6"/>
      <c r="F43" s="6">
        <v>8</v>
      </c>
    </row>
    <row r="44" spans="1:6" x14ac:dyDescent="0.3">
      <c r="A44" s="6"/>
      <c r="B44" s="6" t="s">
        <v>624</v>
      </c>
      <c r="C44" s="6">
        <v>-1</v>
      </c>
      <c r="D44" s="6">
        <v>-1</v>
      </c>
      <c r="E44" s="6">
        <v>-1</v>
      </c>
      <c r="F44" s="6">
        <v>-1</v>
      </c>
    </row>
    <row r="45" spans="1:6" x14ac:dyDescent="0.3">
      <c r="A45" s="6" t="s">
        <v>5018</v>
      </c>
      <c r="B45" s="6" t="s">
        <v>364</v>
      </c>
      <c r="C45" s="6"/>
      <c r="D45" s="6">
        <v>2</v>
      </c>
      <c r="E45" s="6">
        <v>1001</v>
      </c>
      <c r="F45" s="6"/>
    </row>
    <row r="46" spans="1:6" x14ac:dyDescent="0.3">
      <c r="A46" s="6"/>
      <c r="B46" s="6" t="s">
        <v>670</v>
      </c>
      <c r="C46" s="6">
        <v>-1</v>
      </c>
      <c r="D46" s="6">
        <v>-1</v>
      </c>
      <c r="E46" s="6">
        <v>-1</v>
      </c>
      <c r="F46" s="6">
        <v>-1</v>
      </c>
    </row>
    <row r="47" spans="1:6" x14ac:dyDescent="0.3">
      <c r="A47" s="6"/>
      <c r="B47" s="6" t="s">
        <v>394</v>
      </c>
      <c r="C47" s="6">
        <v>-1</v>
      </c>
      <c r="D47" s="6">
        <v>-1</v>
      </c>
      <c r="E47" s="6">
        <v>-1</v>
      </c>
      <c r="F47" s="6">
        <v>-1</v>
      </c>
    </row>
    <row r="48" spans="1:6" x14ac:dyDescent="0.3">
      <c r="A48" s="6"/>
      <c r="B48" s="6" t="s">
        <v>346</v>
      </c>
      <c r="C48" s="6">
        <v>-1</v>
      </c>
      <c r="D48" s="6">
        <v>-1</v>
      </c>
      <c r="E48" s="6">
        <v>-1</v>
      </c>
      <c r="F48" s="6">
        <v>-1</v>
      </c>
    </row>
    <row r="49" spans="1:6" x14ac:dyDescent="0.3">
      <c r="A49" s="6" t="s">
        <v>3254</v>
      </c>
      <c r="B49" s="6" t="s">
        <v>348</v>
      </c>
      <c r="C49" s="6"/>
      <c r="D49" s="6">
        <v>46</v>
      </c>
      <c r="E49" s="6">
        <v>1001</v>
      </c>
      <c r="F49" s="6"/>
    </row>
    <row r="50" spans="1:6" x14ac:dyDescent="0.3">
      <c r="A50" s="6" t="s">
        <v>4913</v>
      </c>
      <c r="B50" s="6" t="s">
        <v>408</v>
      </c>
      <c r="C50" s="6"/>
      <c r="D50" s="6"/>
      <c r="E50" s="6">
        <v>1001</v>
      </c>
      <c r="F50" s="6"/>
    </row>
    <row r="51" spans="1:6" x14ac:dyDescent="0.3">
      <c r="A51" s="6" t="s">
        <v>4481</v>
      </c>
      <c r="B51" s="6" t="s">
        <v>694</v>
      </c>
      <c r="C51" s="6"/>
      <c r="D51" s="6">
        <v>31</v>
      </c>
      <c r="E51" s="6">
        <v>30</v>
      </c>
      <c r="F51" s="6"/>
    </row>
    <row r="52" spans="1:6" x14ac:dyDescent="0.3">
      <c r="A52" s="6"/>
      <c r="B52" s="6" t="s">
        <v>422</v>
      </c>
      <c r="C52" s="6">
        <v>-1</v>
      </c>
      <c r="D52" s="6">
        <v>-1</v>
      </c>
      <c r="E52" s="6">
        <v>-1</v>
      </c>
      <c r="F52" s="6">
        <v>-1</v>
      </c>
    </row>
    <row r="53" spans="1:6" x14ac:dyDescent="0.3">
      <c r="A53" s="6"/>
      <c r="B53" s="6" t="s">
        <v>700</v>
      </c>
      <c r="C53" s="6">
        <v>-1</v>
      </c>
      <c r="D53" s="6">
        <v>-1</v>
      </c>
      <c r="E53" s="6">
        <v>-1</v>
      </c>
      <c r="F53" s="6">
        <v>-1</v>
      </c>
    </row>
    <row r="54" spans="1:6" x14ac:dyDescent="0.3">
      <c r="A54" s="6"/>
      <c r="B54" s="6" t="s">
        <v>330</v>
      </c>
      <c r="C54" s="6">
        <v>-1</v>
      </c>
      <c r="D54" s="6">
        <v>-1</v>
      </c>
      <c r="E54" s="6">
        <v>-1</v>
      </c>
      <c r="F54" s="6">
        <v>-1</v>
      </c>
    </row>
    <row r="55" spans="1:6" x14ac:dyDescent="0.3">
      <c r="A55" s="6" t="s">
        <v>3167</v>
      </c>
      <c r="B55" s="6" t="s">
        <v>338</v>
      </c>
      <c r="C55" s="6"/>
      <c r="D55" s="6"/>
      <c r="E55" s="6">
        <v>1001</v>
      </c>
      <c r="F55" s="6"/>
    </row>
    <row r="56" spans="1:6" x14ac:dyDescent="0.3">
      <c r="A56" s="6" t="s">
        <v>2231</v>
      </c>
      <c r="B56" s="6" t="s">
        <v>444</v>
      </c>
      <c r="C56" s="6"/>
      <c r="D56" s="6"/>
      <c r="E56" s="6">
        <v>4</v>
      </c>
      <c r="F56" s="6"/>
    </row>
    <row r="57" spans="1:6" x14ac:dyDescent="0.3">
      <c r="A57" s="6"/>
      <c r="B57" s="6" t="s">
        <v>480</v>
      </c>
      <c r="C57" s="6">
        <v>-1</v>
      </c>
      <c r="D57" s="6">
        <v>-1</v>
      </c>
      <c r="E57" s="6">
        <v>-1</v>
      </c>
      <c r="F57" s="6">
        <v>-1</v>
      </c>
    </row>
    <row r="58" spans="1:6" x14ac:dyDescent="0.3">
      <c r="A58" s="6"/>
      <c r="B58" s="6" t="s">
        <v>718</v>
      </c>
      <c r="C58" s="6">
        <v>-1</v>
      </c>
      <c r="D58" s="6">
        <v>-1</v>
      </c>
      <c r="E58" s="6">
        <v>-1</v>
      </c>
      <c r="F58" s="6">
        <v>-1</v>
      </c>
    </row>
    <row r="59" spans="1:6" x14ac:dyDescent="0.3">
      <c r="A59" s="6"/>
      <c r="B59" s="6" t="s">
        <v>726</v>
      </c>
      <c r="C59" s="6">
        <v>-1</v>
      </c>
      <c r="D59" s="6">
        <v>-1</v>
      </c>
      <c r="E59" s="6">
        <v>-1</v>
      </c>
      <c r="F59" s="6">
        <v>-1</v>
      </c>
    </row>
    <row r="60" spans="1:6" x14ac:dyDescent="0.3">
      <c r="A60" s="6"/>
      <c r="B60" s="6" t="s">
        <v>454</v>
      </c>
      <c r="C60" s="6">
        <v>-1</v>
      </c>
      <c r="D60" s="6">
        <v>-1</v>
      </c>
      <c r="E60" s="6">
        <v>-1</v>
      </c>
      <c r="F60" s="6">
        <v>-1</v>
      </c>
    </row>
    <row r="61" spans="1:6" x14ac:dyDescent="0.3">
      <c r="A61" s="6" t="s">
        <v>1974</v>
      </c>
      <c r="B61" s="6" t="s">
        <v>332</v>
      </c>
      <c r="C61" s="6"/>
      <c r="D61" s="6"/>
      <c r="E61" s="6"/>
      <c r="F61" s="6">
        <v>15</v>
      </c>
    </row>
    <row r="62" spans="1:6" x14ac:dyDescent="0.3">
      <c r="A62" s="6"/>
      <c r="B62" s="6" t="s">
        <v>496</v>
      </c>
      <c r="C62" s="6">
        <v>-1</v>
      </c>
      <c r="D62" s="6">
        <v>-1</v>
      </c>
      <c r="E62" s="6">
        <v>-1</v>
      </c>
      <c r="F62" s="6">
        <v>-1</v>
      </c>
    </row>
    <row r="63" spans="1:6" x14ac:dyDescent="0.3">
      <c r="A63" s="6"/>
      <c r="B63" s="6" t="s">
        <v>496</v>
      </c>
      <c r="C63" s="6">
        <v>-1</v>
      </c>
      <c r="D63" s="6">
        <v>-1</v>
      </c>
      <c r="E63" s="6">
        <v>-1</v>
      </c>
      <c r="F63" s="6">
        <v>-1</v>
      </c>
    </row>
    <row r="64" spans="1:6" x14ac:dyDescent="0.3">
      <c r="A64" s="6"/>
      <c r="B64" s="6" t="s">
        <v>358</v>
      </c>
      <c r="C64" s="6">
        <v>-1</v>
      </c>
      <c r="D64" s="6">
        <v>-1</v>
      </c>
      <c r="E64" s="6">
        <v>-1</v>
      </c>
      <c r="F64" s="6">
        <v>-1</v>
      </c>
    </row>
    <row r="65" spans="1:6" x14ac:dyDescent="0.3">
      <c r="A65" s="6"/>
      <c r="B65" s="6" t="s">
        <v>358</v>
      </c>
      <c r="C65" s="6">
        <v>-1</v>
      </c>
      <c r="D65" s="6">
        <v>-1</v>
      </c>
      <c r="E65" s="6">
        <v>-1</v>
      </c>
      <c r="F65" s="6">
        <v>-1</v>
      </c>
    </row>
    <row r="66" spans="1:6" x14ac:dyDescent="0.3">
      <c r="A66" s="6" t="s">
        <v>2155</v>
      </c>
      <c r="B66" s="6" t="s">
        <v>384</v>
      </c>
      <c r="C66" s="6">
        <v>26</v>
      </c>
      <c r="D66" s="6">
        <v>1001</v>
      </c>
      <c r="E66" s="6"/>
      <c r="F66" s="6">
        <v>1001</v>
      </c>
    </row>
    <row r="67" spans="1:6" x14ac:dyDescent="0.3">
      <c r="A67" s="6" t="s">
        <v>2183</v>
      </c>
      <c r="B67" s="6" t="s">
        <v>384</v>
      </c>
      <c r="C67" s="6"/>
      <c r="D67" s="6">
        <v>26</v>
      </c>
      <c r="E67" s="6"/>
      <c r="F67" s="6"/>
    </row>
    <row r="68" spans="1:6" x14ac:dyDescent="0.3">
      <c r="A68" s="6" t="s">
        <v>3540</v>
      </c>
      <c r="B68" s="6" t="s">
        <v>450</v>
      </c>
      <c r="C68" s="6"/>
      <c r="D68" s="6">
        <v>17</v>
      </c>
      <c r="E68" s="6">
        <v>26</v>
      </c>
      <c r="F68" s="6"/>
    </row>
    <row r="69" spans="1:6" x14ac:dyDescent="0.3">
      <c r="A69" s="6" t="s">
        <v>3551</v>
      </c>
      <c r="B69" s="6" t="s">
        <v>450</v>
      </c>
      <c r="C69" s="6"/>
      <c r="D69" s="6">
        <v>1001</v>
      </c>
      <c r="E69" s="6">
        <v>1001</v>
      </c>
      <c r="F69" s="6"/>
    </row>
    <row r="70" spans="1:6" x14ac:dyDescent="0.3">
      <c r="A70" s="6" t="s">
        <v>2633</v>
      </c>
      <c r="B70" s="6" t="s">
        <v>442</v>
      </c>
      <c r="C70" s="6">
        <v>31</v>
      </c>
      <c r="D70" s="6">
        <v>1001</v>
      </c>
      <c r="E70" s="6"/>
      <c r="F70" s="6">
        <v>24</v>
      </c>
    </row>
    <row r="71" spans="1:6" x14ac:dyDescent="0.3">
      <c r="A71" s="6"/>
      <c r="B71" s="6" t="s">
        <v>442</v>
      </c>
      <c r="C71" s="6">
        <v>-1</v>
      </c>
      <c r="D71" s="6">
        <v>-1</v>
      </c>
      <c r="E71" s="6">
        <v>-1</v>
      </c>
      <c r="F71" s="6">
        <v>-1</v>
      </c>
    </row>
    <row r="72" spans="1:6" x14ac:dyDescent="0.3">
      <c r="A72" s="6" t="s">
        <v>1425</v>
      </c>
      <c r="B72" s="6" t="s">
        <v>344</v>
      </c>
      <c r="C72" s="6">
        <v>23</v>
      </c>
      <c r="D72" s="6">
        <v>1001</v>
      </c>
      <c r="E72" s="6"/>
      <c r="F72" s="6">
        <v>8</v>
      </c>
    </row>
    <row r="73" spans="1:6" x14ac:dyDescent="0.3">
      <c r="A73" s="6" t="s">
        <v>2419</v>
      </c>
      <c r="B73" s="6" t="s">
        <v>344</v>
      </c>
      <c r="C73" s="6"/>
      <c r="D73" s="6"/>
      <c r="E73" s="6">
        <v>10</v>
      </c>
      <c r="F73" s="6"/>
    </row>
    <row r="74" spans="1:6" x14ac:dyDescent="0.3">
      <c r="A74" s="6"/>
      <c r="B74" s="6" t="s">
        <v>334</v>
      </c>
      <c r="C74" s="6">
        <v>-1</v>
      </c>
      <c r="D74" s="6">
        <v>-1</v>
      </c>
      <c r="E74" s="6">
        <v>-1</v>
      </c>
      <c r="F74" s="6">
        <v>-1</v>
      </c>
    </row>
    <row r="75" spans="1:6" x14ac:dyDescent="0.3">
      <c r="A75" s="6"/>
      <c r="B75" s="6" t="s">
        <v>334</v>
      </c>
      <c r="C75" s="6">
        <v>-1</v>
      </c>
      <c r="D75" s="6">
        <v>-1</v>
      </c>
      <c r="E75" s="6">
        <v>-1</v>
      </c>
      <c r="F75" s="6">
        <v>-1</v>
      </c>
    </row>
    <row r="76" spans="1:6" x14ac:dyDescent="0.3">
      <c r="A76" s="6" t="s">
        <v>2294</v>
      </c>
      <c r="B76" s="6" t="s">
        <v>356</v>
      </c>
      <c r="C76" s="6"/>
      <c r="D76" s="6"/>
      <c r="E76" s="6">
        <v>1001</v>
      </c>
      <c r="F76" s="6"/>
    </row>
    <row r="77" spans="1:6" x14ac:dyDescent="0.3">
      <c r="A77" s="6" t="s">
        <v>2629</v>
      </c>
      <c r="B77" s="6" t="s">
        <v>356</v>
      </c>
      <c r="C77" s="6"/>
      <c r="D77" s="6"/>
      <c r="E77" s="6"/>
      <c r="F77" s="6">
        <v>7</v>
      </c>
    </row>
    <row r="78" spans="1:6" x14ac:dyDescent="0.3">
      <c r="A78" s="6"/>
      <c r="B78" s="6" t="s">
        <v>614</v>
      </c>
      <c r="C78" s="6">
        <v>-1</v>
      </c>
      <c r="D78" s="6">
        <v>-1</v>
      </c>
      <c r="E78" s="6">
        <v>-1</v>
      </c>
      <c r="F78" s="6">
        <v>-1</v>
      </c>
    </row>
    <row r="79" spans="1:6" x14ac:dyDescent="0.3">
      <c r="A79" s="6"/>
      <c r="B79" s="6" t="s">
        <v>364</v>
      </c>
      <c r="C79" s="6">
        <v>-1</v>
      </c>
      <c r="D79" s="6">
        <v>-1</v>
      </c>
      <c r="E79" s="6">
        <v>-1</v>
      </c>
      <c r="F79" s="6">
        <v>-1</v>
      </c>
    </row>
    <row r="80" spans="1:6" x14ac:dyDescent="0.3">
      <c r="A80" s="6"/>
      <c r="B80" s="6" t="s">
        <v>364</v>
      </c>
      <c r="C80" s="6">
        <v>-1</v>
      </c>
      <c r="D80" s="6">
        <v>-1</v>
      </c>
      <c r="E80" s="6">
        <v>-1</v>
      </c>
      <c r="F80" s="6">
        <v>-1</v>
      </c>
    </row>
    <row r="81" spans="1:6" x14ac:dyDescent="0.3">
      <c r="A81" s="6"/>
      <c r="B81" s="6" t="s">
        <v>394</v>
      </c>
      <c r="C81" s="6">
        <v>-1</v>
      </c>
      <c r="D81" s="6">
        <v>-1</v>
      </c>
      <c r="E81" s="6">
        <v>-1</v>
      </c>
      <c r="F81" s="6">
        <v>-1</v>
      </c>
    </row>
    <row r="82" spans="1:6" x14ac:dyDescent="0.3">
      <c r="A82" s="6" t="s">
        <v>4916</v>
      </c>
      <c r="B82" s="6" t="s">
        <v>408</v>
      </c>
      <c r="C82" s="6"/>
      <c r="D82" s="6"/>
      <c r="E82" s="6">
        <v>20</v>
      </c>
      <c r="F82" s="6"/>
    </row>
    <row r="83" spans="1:6" x14ac:dyDescent="0.3">
      <c r="A83" s="6"/>
      <c r="B83" s="6" t="s">
        <v>408</v>
      </c>
      <c r="C83" s="6">
        <v>-1</v>
      </c>
      <c r="D83" s="6">
        <v>-1</v>
      </c>
      <c r="E83" s="6">
        <v>-1</v>
      </c>
      <c r="F83" s="6">
        <v>-1</v>
      </c>
    </row>
    <row r="84" spans="1:6" x14ac:dyDescent="0.3">
      <c r="A84" s="6"/>
      <c r="B84" s="6" t="s">
        <v>694</v>
      </c>
      <c r="C84" s="6">
        <v>-1</v>
      </c>
      <c r="D84" s="6">
        <v>-1</v>
      </c>
      <c r="E84" s="6">
        <v>-1</v>
      </c>
      <c r="F84" s="6">
        <v>-1</v>
      </c>
    </row>
    <row r="85" spans="1:6" x14ac:dyDescent="0.3">
      <c r="A85" s="6"/>
      <c r="B85" s="6" t="s">
        <v>694</v>
      </c>
      <c r="C85" s="6">
        <v>-1</v>
      </c>
      <c r="D85" s="6">
        <v>-1</v>
      </c>
      <c r="E85" s="6">
        <v>-1</v>
      </c>
      <c r="F85" s="6">
        <v>-1</v>
      </c>
    </row>
    <row r="86" spans="1:6" x14ac:dyDescent="0.3">
      <c r="A86" s="6" t="s">
        <v>4896</v>
      </c>
      <c r="B86" s="6" t="s">
        <v>338</v>
      </c>
      <c r="C86" s="6"/>
      <c r="D86" s="6">
        <v>27</v>
      </c>
      <c r="E86" s="6"/>
      <c r="F86" s="6"/>
    </row>
    <row r="87" spans="1:6" x14ac:dyDescent="0.3">
      <c r="A87" s="6"/>
      <c r="B87" s="6" t="s">
        <v>338</v>
      </c>
      <c r="C87" s="6">
        <v>-1</v>
      </c>
      <c r="D87" s="6">
        <v>-1</v>
      </c>
      <c r="E87" s="6">
        <v>-1</v>
      </c>
      <c r="F87" s="6">
        <v>-1</v>
      </c>
    </row>
    <row r="88" spans="1:6" x14ac:dyDescent="0.3">
      <c r="A88" s="6" t="s">
        <v>2232</v>
      </c>
      <c r="B88" s="6" t="s">
        <v>444</v>
      </c>
      <c r="C88" s="6">
        <v>14</v>
      </c>
      <c r="D88" s="6"/>
      <c r="E88" s="6"/>
      <c r="F88" s="6">
        <v>11</v>
      </c>
    </row>
    <row r="89" spans="1:6" x14ac:dyDescent="0.3">
      <c r="A89" s="6"/>
      <c r="B89" s="6" t="s">
        <v>444</v>
      </c>
      <c r="C89" s="6">
        <v>-1</v>
      </c>
      <c r="D89" s="6">
        <v>-1</v>
      </c>
      <c r="E89" s="6">
        <v>-1</v>
      </c>
      <c r="F89" s="6">
        <v>-1</v>
      </c>
    </row>
    <row r="90" spans="1:6" x14ac:dyDescent="0.3">
      <c r="A90" s="6" t="s">
        <v>2011</v>
      </c>
      <c r="B90" s="6" t="s">
        <v>332</v>
      </c>
      <c r="C90" s="6"/>
      <c r="D90" s="6">
        <v>1001</v>
      </c>
      <c r="E90" s="6">
        <v>19</v>
      </c>
      <c r="F90" s="6"/>
    </row>
    <row r="91" spans="1:6" x14ac:dyDescent="0.3">
      <c r="A91" s="6" t="s">
        <v>2041</v>
      </c>
      <c r="B91" s="6" t="s">
        <v>332</v>
      </c>
      <c r="C91" s="6"/>
      <c r="D91" s="6">
        <v>20</v>
      </c>
      <c r="E91" s="6">
        <v>1001</v>
      </c>
      <c r="F91" s="6"/>
    </row>
    <row r="92" spans="1:6" x14ac:dyDescent="0.3">
      <c r="A92" s="6" t="s">
        <v>2623</v>
      </c>
      <c r="B92" s="6" t="s">
        <v>500</v>
      </c>
      <c r="C92" s="6"/>
      <c r="D92" s="6"/>
      <c r="E92" s="6">
        <v>1001</v>
      </c>
      <c r="F92" s="6"/>
    </row>
    <row r="93" spans="1:6" x14ac:dyDescent="0.3">
      <c r="A93" s="6"/>
      <c r="B93" s="6" t="s">
        <v>500</v>
      </c>
      <c r="C93" s="6">
        <v>-1</v>
      </c>
      <c r="D93" s="6">
        <v>-1</v>
      </c>
      <c r="E93" s="6">
        <v>-1</v>
      </c>
      <c r="F93" s="6">
        <v>-1</v>
      </c>
    </row>
    <row r="94" spans="1:6" x14ac:dyDescent="0.3">
      <c r="A94" s="6"/>
      <c r="B94" s="6" t="s">
        <v>340</v>
      </c>
      <c r="C94" s="6">
        <v>-1</v>
      </c>
      <c r="D94" s="6">
        <v>-1</v>
      </c>
      <c r="E94" s="6">
        <v>-1</v>
      </c>
      <c r="F94" s="6">
        <v>-1</v>
      </c>
    </row>
    <row r="95" spans="1:6" x14ac:dyDescent="0.3">
      <c r="A95" s="6" t="s">
        <v>2395</v>
      </c>
      <c r="B95" s="6" t="s">
        <v>354</v>
      </c>
      <c r="C95" s="6"/>
      <c r="D95" s="6"/>
      <c r="E95" s="6">
        <v>23</v>
      </c>
      <c r="F95" s="6"/>
    </row>
    <row r="96" spans="1:6" x14ac:dyDescent="0.3">
      <c r="A96" s="6"/>
      <c r="B96" s="6" t="s">
        <v>358</v>
      </c>
      <c r="C96" s="6">
        <v>-1</v>
      </c>
      <c r="D96" s="6">
        <v>-1</v>
      </c>
      <c r="E96" s="6">
        <v>-1</v>
      </c>
      <c r="F96" s="6">
        <v>-1</v>
      </c>
    </row>
    <row r="97" spans="1:6" x14ac:dyDescent="0.3">
      <c r="A97" s="6"/>
      <c r="B97" s="6" t="s">
        <v>358</v>
      </c>
      <c r="C97" s="6">
        <v>-1</v>
      </c>
      <c r="D97" s="6">
        <v>-1</v>
      </c>
      <c r="E97" s="6">
        <v>-1</v>
      </c>
      <c r="F97" s="6">
        <v>-1</v>
      </c>
    </row>
    <row r="98" spans="1:6" x14ac:dyDescent="0.3">
      <c r="A98" s="6"/>
      <c r="B98" s="6" t="s">
        <v>358</v>
      </c>
      <c r="C98" s="6">
        <v>-1</v>
      </c>
      <c r="D98" s="6">
        <v>-1</v>
      </c>
      <c r="E98" s="6">
        <v>-1</v>
      </c>
      <c r="F98" s="6">
        <v>-1</v>
      </c>
    </row>
    <row r="99" spans="1:6" x14ac:dyDescent="0.3">
      <c r="A99" s="6"/>
      <c r="B99" s="6" t="s">
        <v>358</v>
      </c>
      <c r="C99" s="6">
        <v>-1</v>
      </c>
      <c r="D99" s="6">
        <v>-1</v>
      </c>
      <c r="E99" s="6">
        <v>-1</v>
      </c>
      <c r="F99" s="6">
        <v>-1</v>
      </c>
    </row>
    <row r="100" spans="1:6" x14ac:dyDescent="0.3">
      <c r="A100" s="6"/>
      <c r="B100" s="6" t="s">
        <v>358</v>
      </c>
      <c r="C100" s="6">
        <v>-1</v>
      </c>
      <c r="D100" s="6">
        <v>-1</v>
      </c>
      <c r="E100" s="6">
        <v>-1</v>
      </c>
      <c r="F100" s="6">
        <v>-1</v>
      </c>
    </row>
    <row r="101" spans="1:6" x14ac:dyDescent="0.3">
      <c r="A101" s="6"/>
      <c r="B101" s="6" t="s">
        <v>358</v>
      </c>
      <c r="C101" s="6">
        <v>-1</v>
      </c>
      <c r="D101" s="6">
        <v>-1</v>
      </c>
      <c r="E101" s="6">
        <v>-1</v>
      </c>
      <c r="F101" s="6">
        <v>-1</v>
      </c>
    </row>
    <row r="102" spans="1:6" x14ac:dyDescent="0.3">
      <c r="A102" s="6"/>
      <c r="B102" s="6" t="s">
        <v>358</v>
      </c>
      <c r="C102" s="6">
        <v>-1</v>
      </c>
      <c r="D102" s="6">
        <v>-1</v>
      </c>
      <c r="E102" s="6">
        <v>-1</v>
      </c>
      <c r="F102" s="6">
        <v>-1</v>
      </c>
    </row>
    <row r="103" spans="1:6" x14ac:dyDescent="0.3">
      <c r="A103" s="6"/>
      <c r="B103" s="6" t="s">
        <v>358</v>
      </c>
      <c r="C103" s="6">
        <v>-1</v>
      </c>
      <c r="D103" s="6">
        <v>-1</v>
      </c>
      <c r="E103" s="6">
        <v>-1</v>
      </c>
      <c r="F103" s="6">
        <v>-1</v>
      </c>
    </row>
    <row r="104" spans="1:6" x14ac:dyDescent="0.3">
      <c r="A104" s="6"/>
      <c r="B104" s="6" t="s">
        <v>530</v>
      </c>
      <c r="C104" s="6">
        <v>-1</v>
      </c>
      <c r="D104" s="6">
        <v>-1</v>
      </c>
      <c r="E104" s="6">
        <v>-1</v>
      </c>
      <c r="F104" s="6">
        <v>-1</v>
      </c>
    </row>
    <row r="105" spans="1:6" x14ac:dyDescent="0.3">
      <c r="A105" s="6" t="s">
        <v>2580</v>
      </c>
      <c r="B105" s="6" t="s">
        <v>384</v>
      </c>
      <c r="C105" s="6"/>
      <c r="D105" s="6"/>
      <c r="E105" s="6">
        <v>27</v>
      </c>
      <c r="F105" s="6"/>
    </row>
    <row r="106" spans="1:6" x14ac:dyDescent="0.3">
      <c r="A106" s="6"/>
      <c r="B106" s="6" t="s">
        <v>384</v>
      </c>
      <c r="C106" s="6">
        <v>-1</v>
      </c>
      <c r="D106" s="6">
        <v>-1</v>
      </c>
      <c r="E106" s="6">
        <v>-1</v>
      </c>
      <c r="F106" s="6">
        <v>-1</v>
      </c>
    </row>
    <row r="107" spans="1:6" x14ac:dyDescent="0.3">
      <c r="A107" s="6"/>
      <c r="B107" s="6" t="s">
        <v>384</v>
      </c>
      <c r="C107" s="6">
        <v>-1</v>
      </c>
      <c r="D107" s="6">
        <v>-1</v>
      </c>
      <c r="E107" s="6">
        <v>-1</v>
      </c>
      <c r="F107" s="6">
        <v>-1</v>
      </c>
    </row>
    <row r="108" spans="1:6" x14ac:dyDescent="0.3">
      <c r="A108" s="6"/>
      <c r="B108" s="6" t="s">
        <v>384</v>
      </c>
      <c r="C108" s="6">
        <v>-1</v>
      </c>
      <c r="D108" s="6">
        <v>-1</v>
      </c>
      <c r="E108" s="6">
        <v>-1</v>
      </c>
      <c r="F108" s="6">
        <v>-1</v>
      </c>
    </row>
    <row r="109" spans="1:6" x14ac:dyDescent="0.3">
      <c r="A109" s="6"/>
      <c r="B109" s="6" t="s">
        <v>384</v>
      </c>
      <c r="C109" s="6">
        <v>-1</v>
      </c>
      <c r="D109" s="6">
        <v>-1</v>
      </c>
      <c r="E109" s="6">
        <v>-1</v>
      </c>
      <c r="F109" s="6">
        <v>-1</v>
      </c>
    </row>
    <row r="110" spans="1:6" x14ac:dyDescent="0.3">
      <c r="A110" s="6"/>
      <c r="B110" s="6" t="s">
        <v>442</v>
      </c>
      <c r="C110" s="6">
        <v>-1</v>
      </c>
      <c r="D110" s="6">
        <v>-1</v>
      </c>
      <c r="E110" s="6">
        <v>-1</v>
      </c>
      <c r="F110" s="6">
        <v>-1</v>
      </c>
    </row>
    <row r="111" spans="1:6" x14ac:dyDescent="0.3">
      <c r="A111" s="6"/>
      <c r="B111" s="6" t="s">
        <v>442</v>
      </c>
      <c r="C111" s="6">
        <v>-1</v>
      </c>
      <c r="D111" s="6">
        <v>-1</v>
      </c>
      <c r="E111" s="6">
        <v>-1</v>
      </c>
      <c r="F111" s="6">
        <v>-1</v>
      </c>
    </row>
    <row r="112" spans="1:6" x14ac:dyDescent="0.3">
      <c r="A112" s="6"/>
      <c r="B112" s="6" t="s">
        <v>442</v>
      </c>
      <c r="C112" s="6">
        <v>-1</v>
      </c>
      <c r="D112" s="6">
        <v>-1</v>
      </c>
      <c r="E112" s="6">
        <v>-1</v>
      </c>
      <c r="F112" s="6">
        <v>-1</v>
      </c>
    </row>
    <row r="113" spans="1:6" x14ac:dyDescent="0.3">
      <c r="A113" s="6"/>
      <c r="B113" s="6" t="s">
        <v>372</v>
      </c>
      <c r="C113" s="6">
        <v>-1</v>
      </c>
      <c r="D113" s="6">
        <v>-1</v>
      </c>
      <c r="E113" s="6">
        <v>-1</v>
      </c>
      <c r="F113" s="6">
        <v>-1</v>
      </c>
    </row>
    <row r="114" spans="1:6" x14ac:dyDescent="0.3">
      <c r="A114" s="6"/>
      <c r="B114" s="6" t="s">
        <v>372</v>
      </c>
      <c r="C114" s="6">
        <v>-1</v>
      </c>
      <c r="D114" s="6">
        <v>-1</v>
      </c>
      <c r="E114" s="6">
        <v>-1</v>
      </c>
      <c r="F114" s="6">
        <v>-1</v>
      </c>
    </row>
    <row r="115" spans="1:6" x14ac:dyDescent="0.3">
      <c r="A115" s="6"/>
      <c r="B115" s="6" t="s">
        <v>344</v>
      </c>
      <c r="C115" s="6">
        <v>-1</v>
      </c>
      <c r="D115" s="6">
        <v>-1</v>
      </c>
      <c r="E115" s="6">
        <v>-1</v>
      </c>
      <c r="F115" s="6">
        <v>-1</v>
      </c>
    </row>
    <row r="116" spans="1:6" x14ac:dyDescent="0.3">
      <c r="A116" s="6"/>
      <c r="B116" s="6" t="s">
        <v>344</v>
      </c>
      <c r="C116" s="6">
        <v>-1</v>
      </c>
      <c r="D116" s="6">
        <v>-1</v>
      </c>
      <c r="E116" s="6">
        <v>-1</v>
      </c>
      <c r="F116" s="6">
        <v>-1</v>
      </c>
    </row>
    <row r="117" spans="1:6" x14ac:dyDescent="0.3">
      <c r="A117" s="6"/>
      <c r="B117" s="6" t="s">
        <v>344</v>
      </c>
      <c r="C117" s="6">
        <v>-1</v>
      </c>
      <c r="D117" s="6">
        <v>-1</v>
      </c>
      <c r="E117" s="6">
        <v>-1</v>
      </c>
      <c r="F117" s="6">
        <v>-1</v>
      </c>
    </row>
    <row r="118" spans="1:6" x14ac:dyDescent="0.3">
      <c r="A118" s="6"/>
      <c r="B118" s="6" t="s">
        <v>344</v>
      </c>
      <c r="C118" s="6">
        <v>-1</v>
      </c>
      <c r="D118" s="6">
        <v>-1</v>
      </c>
      <c r="E118" s="6">
        <v>-1</v>
      </c>
      <c r="F118" s="6">
        <v>-1</v>
      </c>
    </row>
    <row r="119" spans="1:6" x14ac:dyDescent="0.3">
      <c r="A119" s="6"/>
      <c r="B119" s="6" t="s">
        <v>344</v>
      </c>
      <c r="C119" s="6">
        <v>-1</v>
      </c>
      <c r="D119" s="6">
        <v>-1</v>
      </c>
      <c r="E119" s="6">
        <v>-1</v>
      </c>
      <c r="F119" s="6">
        <v>-1</v>
      </c>
    </row>
    <row r="120" spans="1:6" x14ac:dyDescent="0.3">
      <c r="A120" s="6"/>
      <c r="B120" s="6" t="s">
        <v>334</v>
      </c>
      <c r="C120" s="6">
        <v>-1</v>
      </c>
      <c r="D120" s="6">
        <v>-1</v>
      </c>
      <c r="E120" s="6">
        <v>-1</v>
      </c>
      <c r="F120" s="6">
        <v>-1</v>
      </c>
    </row>
    <row r="121" spans="1:6" x14ac:dyDescent="0.3">
      <c r="A121" s="6"/>
      <c r="B121" s="6" t="s">
        <v>594</v>
      </c>
      <c r="C121" s="6">
        <v>-1</v>
      </c>
      <c r="D121" s="6">
        <v>-1</v>
      </c>
      <c r="E121" s="6">
        <v>-1</v>
      </c>
      <c r="F121" s="6">
        <v>-1</v>
      </c>
    </row>
    <row r="122" spans="1:6" x14ac:dyDescent="0.3">
      <c r="A122" s="6" t="s">
        <v>4479</v>
      </c>
      <c r="B122" s="6" t="s">
        <v>356</v>
      </c>
      <c r="C122" s="6"/>
      <c r="D122" s="6">
        <v>4</v>
      </c>
      <c r="E122" s="6">
        <v>13</v>
      </c>
      <c r="F122" s="6"/>
    </row>
    <row r="123" spans="1:6" x14ac:dyDescent="0.3">
      <c r="A123" s="6"/>
      <c r="B123" s="6" t="s">
        <v>356</v>
      </c>
      <c r="C123" s="6">
        <v>-1</v>
      </c>
      <c r="D123" s="6">
        <v>-1</v>
      </c>
      <c r="E123" s="6">
        <v>-1</v>
      </c>
      <c r="F123" s="6">
        <v>-1</v>
      </c>
    </row>
    <row r="124" spans="1:6" x14ac:dyDescent="0.3">
      <c r="A124" s="6"/>
      <c r="B124" s="6" t="s">
        <v>356</v>
      </c>
      <c r="C124" s="6">
        <v>-1</v>
      </c>
      <c r="D124" s="6">
        <v>-1</v>
      </c>
      <c r="E124" s="6">
        <v>-1</v>
      </c>
      <c r="F124" s="6">
        <v>-1</v>
      </c>
    </row>
    <row r="125" spans="1:6" x14ac:dyDescent="0.3">
      <c r="A125" s="6"/>
      <c r="B125" s="6" t="s">
        <v>356</v>
      </c>
      <c r="C125" s="6">
        <v>-1</v>
      </c>
      <c r="D125" s="6">
        <v>-1</v>
      </c>
      <c r="E125" s="6">
        <v>-1</v>
      </c>
      <c r="F125" s="6">
        <v>-1</v>
      </c>
    </row>
    <row r="126" spans="1:6" x14ac:dyDescent="0.3">
      <c r="A126" s="6"/>
      <c r="B126" s="6" t="s">
        <v>356</v>
      </c>
      <c r="C126" s="6">
        <v>-1</v>
      </c>
      <c r="D126" s="6">
        <v>-1</v>
      </c>
      <c r="E126" s="6">
        <v>-1</v>
      </c>
      <c r="F126" s="6">
        <v>-1</v>
      </c>
    </row>
    <row r="127" spans="1:6" x14ac:dyDescent="0.3">
      <c r="A127" s="6"/>
      <c r="B127" s="6" t="s">
        <v>356</v>
      </c>
      <c r="C127" s="6">
        <v>-1</v>
      </c>
      <c r="D127" s="6">
        <v>-1</v>
      </c>
      <c r="E127" s="6">
        <v>-1</v>
      </c>
      <c r="F127" s="6">
        <v>-1</v>
      </c>
    </row>
    <row r="128" spans="1:6" x14ac:dyDescent="0.3">
      <c r="A128" s="6"/>
      <c r="B128" s="6" t="s">
        <v>356</v>
      </c>
      <c r="C128" s="6">
        <v>-1</v>
      </c>
      <c r="D128" s="6">
        <v>-1</v>
      </c>
      <c r="E128" s="6">
        <v>-1</v>
      </c>
      <c r="F128" s="6">
        <v>-1</v>
      </c>
    </row>
    <row r="129" spans="1:6" x14ac:dyDescent="0.3">
      <c r="A129" s="6"/>
      <c r="B129" s="6" t="s">
        <v>356</v>
      </c>
      <c r="C129" s="6">
        <v>-1</v>
      </c>
      <c r="D129" s="6">
        <v>-1</v>
      </c>
      <c r="E129" s="6">
        <v>-1</v>
      </c>
      <c r="F129" s="6">
        <v>-1</v>
      </c>
    </row>
    <row r="130" spans="1:6" x14ac:dyDescent="0.3">
      <c r="A130" s="6"/>
      <c r="B130" s="6" t="s">
        <v>364</v>
      </c>
      <c r="C130" s="6">
        <v>-1</v>
      </c>
      <c r="D130" s="6">
        <v>-1</v>
      </c>
      <c r="E130" s="6">
        <v>-1</v>
      </c>
      <c r="F130" s="6">
        <v>-1</v>
      </c>
    </row>
    <row r="131" spans="1:6" x14ac:dyDescent="0.3">
      <c r="A131" s="6"/>
      <c r="B131" s="6" t="s">
        <v>364</v>
      </c>
      <c r="C131" s="6">
        <v>-1</v>
      </c>
      <c r="D131" s="6">
        <v>-1</v>
      </c>
      <c r="E131" s="6">
        <v>-1</v>
      </c>
      <c r="F131" s="6">
        <v>-1</v>
      </c>
    </row>
    <row r="132" spans="1:6" x14ac:dyDescent="0.3">
      <c r="A132" s="6"/>
      <c r="B132" s="6" t="s">
        <v>364</v>
      </c>
      <c r="C132" s="6">
        <v>-1</v>
      </c>
      <c r="D132" s="6">
        <v>-1</v>
      </c>
      <c r="E132" s="6">
        <v>-1</v>
      </c>
      <c r="F132" s="6">
        <v>-1</v>
      </c>
    </row>
    <row r="133" spans="1:6" x14ac:dyDescent="0.3">
      <c r="A133" s="6"/>
      <c r="B133" s="6" t="s">
        <v>694</v>
      </c>
      <c r="C133" s="6">
        <v>-1</v>
      </c>
      <c r="D133" s="6">
        <v>-1</v>
      </c>
      <c r="E133" s="6">
        <v>-1</v>
      </c>
      <c r="F133" s="6">
        <v>-1</v>
      </c>
    </row>
    <row r="134" spans="1:6" x14ac:dyDescent="0.3">
      <c r="A134" s="6"/>
      <c r="B134" s="6" t="s">
        <v>694</v>
      </c>
      <c r="C134" s="6">
        <v>-1</v>
      </c>
      <c r="D134" s="6">
        <v>-1</v>
      </c>
      <c r="E134" s="6">
        <v>-1</v>
      </c>
      <c r="F134" s="6">
        <v>-1</v>
      </c>
    </row>
    <row r="135" spans="1:6" x14ac:dyDescent="0.3">
      <c r="A135" s="6"/>
      <c r="B135" s="6" t="s">
        <v>700</v>
      </c>
      <c r="C135" s="6">
        <v>-1</v>
      </c>
      <c r="D135" s="6">
        <v>-1</v>
      </c>
      <c r="E135" s="6">
        <v>-1</v>
      </c>
      <c r="F135" s="6">
        <v>-1</v>
      </c>
    </row>
    <row r="136" spans="1:6" x14ac:dyDescent="0.3">
      <c r="A136" s="6"/>
      <c r="B136" s="6" t="s">
        <v>338</v>
      </c>
      <c r="C136" s="6">
        <v>-1</v>
      </c>
      <c r="D136" s="6">
        <v>-1</v>
      </c>
      <c r="E136" s="6">
        <v>-1</v>
      </c>
      <c r="F136" s="6">
        <v>-1</v>
      </c>
    </row>
    <row r="137" spans="1:6" x14ac:dyDescent="0.3">
      <c r="A137" s="6"/>
      <c r="B137" s="6" t="s">
        <v>338</v>
      </c>
      <c r="C137" s="6">
        <v>-1</v>
      </c>
      <c r="D137" s="6">
        <v>-1</v>
      </c>
      <c r="E137" s="6">
        <v>-1</v>
      </c>
      <c r="F137" s="6">
        <v>-1</v>
      </c>
    </row>
    <row r="138" spans="1:6" x14ac:dyDescent="0.3">
      <c r="A138" s="6"/>
      <c r="B138" s="6" t="s">
        <v>444</v>
      </c>
      <c r="C138" s="6">
        <v>-1</v>
      </c>
      <c r="D138" s="6">
        <v>-1</v>
      </c>
      <c r="E138" s="6">
        <v>-1</v>
      </c>
      <c r="F138" s="6">
        <v>-1</v>
      </c>
    </row>
    <row r="139" spans="1:6" x14ac:dyDescent="0.3">
      <c r="A139" s="6"/>
      <c r="B139" s="6" t="s">
        <v>444</v>
      </c>
      <c r="C139" s="6">
        <v>-1</v>
      </c>
      <c r="D139" s="6">
        <v>-1</v>
      </c>
      <c r="E139" s="6">
        <v>-1</v>
      </c>
      <c r="F139" s="6">
        <v>-1</v>
      </c>
    </row>
    <row r="140" spans="1:6" x14ac:dyDescent="0.3">
      <c r="A140" s="6"/>
      <c r="B140" s="6" t="s">
        <v>444</v>
      </c>
      <c r="C140" s="6">
        <v>-1</v>
      </c>
      <c r="D140" s="6">
        <v>-1</v>
      </c>
      <c r="E140" s="6">
        <v>-1</v>
      </c>
      <c r="F140" s="6">
        <v>-1</v>
      </c>
    </row>
    <row r="141" spans="1:6" x14ac:dyDescent="0.3">
      <c r="A141" s="6"/>
      <c r="B141" s="6" t="s">
        <v>444</v>
      </c>
      <c r="C141" s="6">
        <v>-1</v>
      </c>
      <c r="D141" s="6">
        <v>-1</v>
      </c>
      <c r="E141" s="6">
        <v>-1</v>
      </c>
      <c r="F141" s="6">
        <v>-1</v>
      </c>
    </row>
    <row r="142" spans="1:6" x14ac:dyDescent="0.3">
      <c r="A142" s="6"/>
      <c r="B142" s="6" t="s">
        <v>444</v>
      </c>
      <c r="C142" s="6">
        <v>-1</v>
      </c>
      <c r="D142" s="6">
        <v>-1</v>
      </c>
      <c r="E142" s="6">
        <v>-1</v>
      </c>
      <c r="F142" s="6">
        <v>-1</v>
      </c>
    </row>
    <row r="143" spans="1:6" x14ac:dyDescent="0.3">
      <c r="A143" s="6"/>
      <c r="B143" s="6" t="s">
        <v>444</v>
      </c>
      <c r="C143" s="6">
        <v>-1</v>
      </c>
      <c r="D143" s="6">
        <v>-1</v>
      </c>
      <c r="E143" s="6">
        <v>-1</v>
      </c>
      <c r="F143" s="6">
        <v>-1</v>
      </c>
    </row>
    <row r="144" spans="1:6" x14ac:dyDescent="0.3">
      <c r="A144" s="6"/>
      <c r="B144" s="6" t="s">
        <v>444</v>
      </c>
      <c r="C144" s="6">
        <v>-1</v>
      </c>
      <c r="D144" s="6">
        <v>-1</v>
      </c>
      <c r="E144" s="6">
        <v>-1</v>
      </c>
      <c r="F144" s="6">
        <v>-1</v>
      </c>
    </row>
    <row r="145" spans="1:6" x14ac:dyDescent="0.3">
      <c r="A145" s="6"/>
      <c r="B145" s="6" t="s">
        <v>444</v>
      </c>
      <c r="C145" s="6">
        <v>-1</v>
      </c>
      <c r="D145" s="6">
        <v>-1</v>
      </c>
      <c r="E145" s="6">
        <v>-1</v>
      </c>
      <c r="F145" s="6">
        <v>-1</v>
      </c>
    </row>
    <row r="146" spans="1:6" x14ac:dyDescent="0.3">
      <c r="A146" s="6" t="s">
        <v>2691</v>
      </c>
      <c r="B146" s="6" t="s">
        <v>332</v>
      </c>
      <c r="C146" s="6">
        <v>1</v>
      </c>
      <c r="D146" s="6"/>
      <c r="E146" s="6"/>
      <c r="F146" s="6">
        <v>1001</v>
      </c>
    </row>
    <row r="147" spans="1:6" x14ac:dyDescent="0.3">
      <c r="A147" s="6" t="s">
        <v>3016</v>
      </c>
      <c r="B147" s="6" t="s">
        <v>332</v>
      </c>
      <c r="C147" s="6">
        <v>21</v>
      </c>
      <c r="D147" s="6"/>
      <c r="E147" s="6"/>
      <c r="F147" s="6"/>
    </row>
    <row r="148" spans="1:6" x14ac:dyDescent="0.3">
      <c r="A148" s="6" t="s">
        <v>4206</v>
      </c>
      <c r="B148" s="6" t="s">
        <v>332</v>
      </c>
      <c r="C148" s="6"/>
      <c r="D148" s="6">
        <v>11</v>
      </c>
      <c r="E148" s="6">
        <v>1</v>
      </c>
      <c r="F148" s="6"/>
    </row>
    <row r="149" spans="1:6" x14ac:dyDescent="0.3">
      <c r="A149" s="6" t="s">
        <v>4820</v>
      </c>
      <c r="B149" s="6" t="s">
        <v>332</v>
      </c>
      <c r="C149" s="6">
        <v>1001</v>
      </c>
      <c r="D149" s="6"/>
      <c r="E149" s="6"/>
      <c r="F149" s="6"/>
    </row>
    <row r="150" spans="1:6" x14ac:dyDescent="0.3">
      <c r="A150" s="6" t="s">
        <v>4826</v>
      </c>
      <c r="B150" s="6" t="s">
        <v>332</v>
      </c>
      <c r="C150" s="6"/>
      <c r="D150" s="6">
        <v>15</v>
      </c>
      <c r="E150" s="6">
        <v>8</v>
      </c>
      <c r="F150" s="6"/>
    </row>
    <row r="151" spans="1:6" x14ac:dyDescent="0.3">
      <c r="A151" s="6"/>
      <c r="B151" s="6" t="s">
        <v>332</v>
      </c>
      <c r="C151" s="6">
        <v>-1</v>
      </c>
      <c r="D151" s="6">
        <v>-1</v>
      </c>
      <c r="E151" s="6">
        <v>-1</v>
      </c>
      <c r="F151" s="6">
        <v>-1</v>
      </c>
    </row>
    <row r="152" spans="1:6" x14ac:dyDescent="0.3">
      <c r="A152" s="6"/>
      <c r="B152" s="6" t="s">
        <v>332</v>
      </c>
      <c r="C152" s="6">
        <v>-1</v>
      </c>
      <c r="D152" s="6">
        <v>-1</v>
      </c>
      <c r="E152" s="6">
        <v>-1</v>
      </c>
      <c r="F152" s="6">
        <v>-1</v>
      </c>
    </row>
    <row r="153" spans="1:6" x14ac:dyDescent="0.3">
      <c r="A153" s="6"/>
      <c r="B153" s="6" t="s">
        <v>332</v>
      </c>
      <c r="C153" s="6">
        <v>-1</v>
      </c>
      <c r="D153" s="6">
        <v>-1</v>
      </c>
      <c r="E153" s="6">
        <v>-1</v>
      </c>
      <c r="F153" s="6">
        <v>-1</v>
      </c>
    </row>
  </sheetData>
  <pageMargins left="0.7" right="0.7" top="0.75" bottom="0.75" header="0.3" footer="0.3"/>
  <tableParts count="1">
    <tablePart r:id="rId1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76059-CC7D-49FA-9558-FE8453C51B78}">
  <dimension ref="A1:F49"/>
  <sheetViews>
    <sheetView topLeftCell="A43" workbookViewId="0">
      <selection activeCell="B50" sqref="B50"/>
    </sheetView>
  </sheetViews>
  <sheetFormatPr defaultRowHeight="14.4" x14ac:dyDescent="0.3"/>
  <cols>
    <col min="1" max="1" width="90.88671875" bestFit="1" customWidth="1"/>
    <col min="2" max="2" width="13.6640625" bestFit="1" customWidth="1"/>
    <col min="3" max="3" width="29.21875" bestFit="1" customWidth="1"/>
    <col min="4" max="4" width="32.109375" bestFit="1" customWidth="1"/>
    <col min="5" max="5" width="17" bestFit="1" customWidth="1"/>
    <col min="6" max="6" width="14.77734375" bestFit="1" customWidth="1"/>
  </cols>
  <sheetData>
    <row r="1" spans="1:6" x14ac:dyDescent="0.3">
      <c r="A1" t="s">
        <v>833</v>
      </c>
      <c r="B1" t="s">
        <v>1</v>
      </c>
      <c r="C1" t="s">
        <v>2246</v>
      </c>
      <c r="D1" t="s">
        <v>2247</v>
      </c>
      <c r="E1" t="s">
        <v>1212</v>
      </c>
      <c r="F1" t="s">
        <v>1213</v>
      </c>
    </row>
    <row r="2" spans="1:6" x14ac:dyDescent="0.3">
      <c r="A2" s="6" t="s">
        <v>4565</v>
      </c>
      <c r="B2" s="6" t="s">
        <v>358</v>
      </c>
      <c r="C2" s="6">
        <v>11</v>
      </c>
      <c r="D2" s="6"/>
      <c r="E2" s="6">
        <f>Table105[[#This Row],[Total Athletes]]-(LEN(Table105[[#This Row],[Pair]])-LEN(SUBSTITUTE(Table105[[#This Row],[Pair]],"/","")))-1</f>
        <v>0</v>
      </c>
      <c r="F2" s="6">
        <v>2</v>
      </c>
    </row>
    <row r="3" spans="1:6" x14ac:dyDescent="0.3">
      <c r="A3" s="6" t="s">
        <v>1732</v>
      </c>
      <c r="B3" s="6" t="s">
        <v>358</v>
      </c>
      <c r="C3" s="6">
        <v>2</v>
      </c>
      <c r="D3" s="6"/>
      <c r="E3" s="6">
        <f>Table105[[#This Row],[Total Athletes]]-(LEN(Table105[[#This Row],[Pair]])-LEN(SUBSTITUTE(Table105[[#This Row],[Pair]],"/","")))-1</f>
        <v>1</v>
      </c>
      <c r="F3" s="6">
        <v>2</v>
      </c>
    </row>
    <row r="4" spans="1:6" x14ac:dyDescent="0.3">
      <c r="A4" s="6" t="s">
        <v>3762</v>
      </c>
      <c r="B4" s="6" t="s">
        <v>358</v>
      </c>
      <c r="C4" s="6">
        <v>8</v>
      </c>
      <c r="D4" s="6"/>
      <c r="E4" s="6">
        <f>Table105[[#This Row],[Total Athletes]]-(LEN(Table105[[#This Row],[Pair]])-LEN(SUBSTITUTE(Table105[[#This Row],[Pair]],"/","")))-1</f>
        <v>1</v>
      </c>
      <c r="F4" s="6">
        <v>2</v>
      </c>
    </row>
    <row r="5" spans="1:6" x14ac:dyDescent="0.3">
      <c r="A5" s="6"/>
      <c r="B5" s="6" t="s">
        <v>358</v>
      </c>
      <c r="C5" s="6">
        <v>-1</v>
      </c>
      <c r="D5" s="6"/>
      <c r="E5" s="6">
        <f>Table105[[#This Row],[Total Athletes]]-(LEN(Table105[[#This Row],[Pair]])-LEN(SUBSTITUTE(Table105[[#This Row],[Pair]],"/","")))-1</f>
        <v>-1</v>
      </c>
      <c r="F5" s="6"/>
    </row>
    <row r="6" spans="1:6" x14ac:dyDescent="0.3">
      <c r="A6" s="6"/>
      <c r="B6" s="6" t="s">
        <v>442</v>
      </c>
      <c r="C6" s="6">
        <v>-1</v>
      </c>
      <c r="D6" s="6"/>
      <c r="E6" s="6">
        <f>Table105[[#This Row],[Total Athletes]]-(LEN(Table105[[#This Row],[Pair]])-LEN(SUBSTITUTE(Table105[[#This Row],[Pair]],"/","")))-1</f>
        <v>-1</v>
      </c>
      <c r="F6" s="6"/>
    </row>
    <row r="7" spans="1:6" x14ac:dyDescent="0.3">
      <c r="A7" s="6" t="s">
        <v>1442</v>
      </c>
      <c r="B7" s="6" t="s">
        <v>372</v>
      </c>
      <c r="C7" s="6">
        <v>9</v>
      </c>
      <c r="D7" s="6"/>
      <c r="E7" s="6">
        <f>Table105[[#This Row],[Total Athletes]]-(LEN(Table105[[#This Row],[Pair]])-LEN(SUBSTITUTE(Table105[[#This Row],[Pair]],"/","")))-1</f>
        <v>1</v>
      </c>
      <c r="F7" s="6">
        <v>2</v>
      </c>
    </row>
    <row r="8" spans="1:6" x14ac:dyDescent="0.3">
      <c r="A8" s="6" t="s">
        <v>4895</v>
      </c>
      <c r="B8" s="6" t="s">
        <v>344</v>
      </c>
      <c r="C8" s="6">
        <v>5</v>
      </c>
      <c r="D8" s="6"/>
      <c r="E8" s="6">
        <f>Table105[[#This Row],[Total Athletes]]-(LEN(Table105[[#This Row],[Pair]])-LEN(SUBSTITUTE(Table105[[#This Row],[Pair]],"/","")))-1</f>
        <v>0</v>
      </c>
      <c r="F8" s="6">
        <v>2</v>
      </c>
    </row>
    <row r="9" spans="1:6" x14ac:dyDescent="0.3">
      <c r="A9" s="6" t="s">
        <v>4897</v>
      </c>
      <c r="B9" s="6" t="s">
        <v>344</v>
      </c>
      <c r="C9" s="6">
        <v>16</v>
      </c>
      <c r="D9" s="6"/>
      <c r="E9" s="6">
        <f>Table105[[#This Row],[Total Athletes]]-(LEN(Table105[[#This Row],[Pair]])-LEN(SUBSTITUTE(Table105[[#This Row],[Pair]],"/","")))-1</f>
        <v>1</v>
      </c>
      <c r="F9" s="6">
        <v>2</v>
      </c>
    </row>
    <row r="10" spans="1:6" x14ac:dyDescent="0.3">
      <c r="A10" s="6"/>
      <c r="B10" s="6" t="s">
        <v>344</v>
      </c>
      <c r="C10" s="6">
        <v>-1</v>
      </c>
      <c r="D10" s="6"/>
      <c r="E10" s="6">
        <f>Table105[[#This Row],[Total Athletes]]-(LEN(Table105[[#This Row],[Pair]])-LEN(SUBSTITUTE(Table105[[#This Row],[Pair]],"/","")))-1</f>
        <v>-1</v>
      </c>
      <c r="F10" s="6"/>
    </row>
    <row r="11" spans="1:6" x14ac:dyDescent="0.3">
      <c r="A11" s="6"/>
      <c r="B11" s="6" t="s">
        <v>334</v>
      </c>
      <c r="C11" s="6">
        <v>-1</v>
      </c>
      <c r="D11" s="6"/>
      <c r="E11" s="6">
        <f>Table105[[#This Row],[Total Athletes]]-(LEN(Table105[[#This Row],[Pair]])-LEN(SUBSTITUTE(Table105[[#This Row],[Pair]],"/","")))-1</f>
        <v>-1</v>
      </c>
      <c r="F11" s="6"/>
    </row>
    <row r="12" spans="1:6" x14ac:dyDescent="0.3">
      <c r="A12" s="6" t="s">
        <v>2291</v>
      </c>
      <c r="B12" s="6" t="s">
        <v>356</v>
      </c>
      <c r="C12" s="6">
        <v>1001</v>
      </c>
      <c r="D12" s="6"/>
      <c r="E12" s="6">
        <f>Table105[[#This Row],[Total Athletes]]-(LEN(Table105[[#This Row],[Pair]])-LEN(SUBSTITUTE(Table105[[#This Row],[Pair]],"/","")))-1</f>
        <v>0</v>
      </c>
      <c r="F12" s="6">
        <v>2</v>
      </c>
    </row>
    <row r="13" spans="1:6" x14ac:dyDescent="0.3">
      <c r="A13" s="6" t="s">
        <v>2286</v>
      </c>
      <c r="B13" s="6" t="s">
        <v>356</v>
      </c>
      <c r="C13" s="6">
        <v>5</v>
      </c>
      <c r="D13" s="6"/>
      <c r="E13" s="6">
        <f>Table105[[#This Row],[Total Athletes]]-(LEN(Table105[[#This Row],[Pair]])-LEN(SUBSTITUTE(Table105[[#This Row],[Pair]],"/","")))-1</f>
        <v>1</v>
      </c>
      <c r="F13" s="6">
        <v>2</v>
      </c>
    </row>
    <row r="14" spans="1:6" x14ac:dyDescent="0.3">
      <c r="A14" s="6" t="s">
        <v>2298</v>
      </c>
      <c r="B14" s="6" t="s">
        <v>356</v>
      </c>
      <c r="C14" s="6">
        <v>7</v>
      </c>
      <c r="D14" s="6"/>
      <c r="E14" s="6">
        <f>Table105[[#This Row],[Total Athletes]]-(LEN(Table105[[#This Row],[Pair]])-LEN(SUBSTITUTE(Table105[[#This Row],[Pair]],"/","")))-1</f>
        <v>1</v>
      </c>
      <c r="F14" s="6">
        <v>2</v>
      </c>
    </row>
    <row r="15" spans="1:6" x14ac:dyDescent="0.3">
      <c r="A15" s="6" t="s">
        <v>4705</v>
      </c>
      <c r="B15" s="6" t="s">
        <v>356</v>
      </c>
      <c r="C15" s="6">
        <v>14</v>
      </c>
      <c r="D15" s="6"/>
      <c r="E15" s="6">
        <f>Table105[[#This Row],[Total Athletes]]-(LEN(Table105[[#This Row],[Pair]])-LEN(SUBSTITUTE(Table105[[#This Row],[Pair]],"/","")))-1</f>
        <v>1</v>
      </c>
      <c r="F15" s="6">
        <v>2</v>
      </c>
    </row>
    <row r="16" spans="1:6" x14ac:dyDescent="0.3">
      <c r="A16" s="6" t="s">
        <v>2510</v>
      </c>
      <c r="B16" s="6" t="s">
        <v>364</v>
      </c>
      <c r="C16" s="6">
        <v>17</v>
      </c>
      <c r="D16" s="6"/>
      <c r="E16" s="6">
        <f>Table105[[#This Row],[Total Athletes]]-(LEN(Table105[[#This Row],[Pair]])-LEN(SUBSTITUTE(Table105[[#This Row],[Pair]],"/","")))-1</f>
        <v>1</v>
      </c>
      <c r="F16" s="6">
        <v>2</v>
      </c>
    </row>
    <row r="17" spans="1:6" x14ac:dyDescent="0.3">
      <c r="A17" s="6" t="s">
        <v>5010</v>
      </c>
      <c r="B17" s="6" t="s">
        <v>364</v>
      </c>
      <c r="C17" s="6">
        <v>12</v>
      </c>
      <c r="D17" s="6"/>
      <c r="E17" s="6">
        <f>Table105[[#This Row],[Total Athletes]]-(LEN(Table105[[#This Row],[Pair]])-LEN(SUBSTITUTE(Table105[[#This Row],[Pair]],"/","")))-1</f>
        <v>1</v>
      </c>
      <c r="F17" s="6">
        <v>2</v>
      </c>
    </row>
    <row r="18" spans="1:6" x14ac:dyDescent="0.3">
      <c r="A18" s="6" t="s">
        <v>5049</v>
      </c>
      <c r="B18" s="6" t="s">
        <v>444</v>
      </c>
      <c r="C18" s="6">
        <v>1</v>
      </c>
      <c r="D18" s="6"/>
      <c r="E18" s="6">
        <f>Table105[[#This Row],[Total Athletes]]-(LEN(Table105[[#This Row],[Pair]])-LEN(SUBSTITUTE(Table105[[#This Row],[Pair]],"/","")))-1</f>
        <v>1</v>
      </c>
      <c r="F18" s="6">
        <v>2</v>
      </c>
    </row>
    <row r="19" spans="1:6" x14ac:dyDescent="0.3">
      <c r="A19" s="6"/>
      <c r="B19" s="6" t="s">
        <v>444</v>
      </c>
      <c r="C19" s="6">
        <v>-1</v>
      </c>
      <c r="D19" s="6"/>
      <c r="E19" s="6">
        <f>Table105[[#This Row],[Total Athletes]]-(LEN(Table105[[#This Row],[Pair]])-LEN(SUBSTITUTE(Table105[[#This Row],[Pair]],"/","")))-1</f>
        <v>-1</v>
      </c>
      <c r="F19" s="6"/>
    </row>
    <row r="20" spans="1:6" x14ac:dyDescent="0.3">
      <c r="A20" s="6"/>
      <c r="B20" s="6" t="s">
        <v>444</v>
      </c>
      <c r="C20" s="6">
        <v>-1</v>
      </c>
      <c r="D20" s="6"/>
      <c r="E20" s="6">
        <f>Table105[[#This Row],[Total Athletes]]-(LEN(Table105[[#This Row],[Pair]])-LEN(SUBSTITUTE(Table105[[#This Row],[Pair]],"/","")))-1</f>
        <v>-1</v>
      </c>
      <c r="F20" s="6"/>
    </row>
    <row r="21" spans="1:6" x14ac:dyDescent="0.3">
      <c r="A21" s="6"/>
      <c r="B21" s="6" t="s">
        <v>444</v>
      </c>
      <c r="C21" s="6">
        <v>-1</v>
      </c>
      <c r="D21" s="6"/>
      <c r="E21" s="6">
        <f>Table105[[#This Row],[Total Athletes]]-(LEN(Table105[[#This Row],[Pair]])-LEN(SUBSTITUTE(Table105[[#This Row],[Pair]],"/","")))-1</f>
        <v>-1</v>
      </c>
      <c r="F21" s="6"/>
    </row>
    <row r="22" spans="1:6" x14ac:dyDescent="0.3">
      <c r="A22" s="6" t="s">
        <v>4202</v>
      </c>
      <c r="B22" s="6" t="s">
        <v>332</v>
      </c>
      <c r="C22" s="6">
        <v>19</v>
      </c>
      <c r="D22" s="6"/>
      <c r="E22" s="6">
        <f>Table105[[#This Row],[Total Athletes]]-(LEN(Table105[[#This Row],[Pair]])-LEN(SUBSTITUTE(Table105[[#This Row],[Pair]],"/","")))-1</f>
        <v>0</v>
      </c>
      <c r="F22" s="6">
        <v>2</v>
      </c>
    </row>
    <row r="23" spans="1:6" x14ac:dyDescent="0.3">
      <c r="A23" s="6" t="s">
        <v>3398</v>
      </c>
      <c r="B23" s="6" t="s">
        <v>340</v>
      </c>
      <c r="C23" s="6"/>
      <c r="D23" s="6">
        <v>17</v>
      </c>
      <c r="E23" s="6">
        <f>Table105[[#This Row],[Total Athletes]]-(LEN(Table105[[#This Row],[Pair]])-LEN(SUBSTITUTE(Table105[[#This Row],[Pair]],"/","")))-1</f>
        <v>1</v>
      </c>
      <c r="F23" s="6">
        <v>2</v>
      </c>
    </row>
    <row r="24" spans="1:6" x14ac:dyDescent="0.3">
      <c r="A24" s="6" t="s">
        <v>4566</v>
      </c>
      <c r="B24" s="6" t="s">
        <v>358</v>
      </c>
      <c r="C24" s="6"/>
      <c r="D24" s="6">
        <v>5</v>
      </c>
      <c r="E24" s="6">
        <f>Table105[[#This Row],[Total Athletes]]-(LEN(Table105[[#This Row],[Pair]])-LEN(SUBSTITUTE(Table105[[#This Row],[Pair]],"/","")))-1</f>
        <v>1</v>
      </c>
      <c r="F24" s="6">
        <v>2</v>
      </c>
    </row>
    <row r="25" spans="1:6" x14ac:dyDescent="0.3">
      <c r="A25" s="6"/>
      <c r="B25" s="6" t="s">
        <v>358</v>
      </c>
      <c r="C25" s="6"/>
      <c r="D25" s="6">
        <v>-1</v>
      </c>
      <c r="E25" s="6">
        <f>Table105[[#This Row],[Total Athletes]]-(LEN(Table105[[#This Row],[Pair]])-LEN(SUBSTITUTE(Table105[[#This Row],[Pair]],"/","")))-1</f>
        <v>-1</v>
      </c>
      <c r="F25" s="6"/>
    </row>
    <row r="26" spans="1:6" x14ac:dyDescent="0.3">
      <c r="A26" s="6"/>
      <c r="B26" s="6" t="s">
        <v>358</v>
      </c>
      <c r="C26" s="6"/>
      <c r="D26" s="6">
        <v>-1</v>
      </c>
      <c r="E26" s="6">
        <f>Table105[[#This Row],[Total Athletes]]-(LEN(Table105[[#This Row],[Pair]])-LEN(SUBSTITUTE(Table105[[#This Row],[Pair]],"/","")))-1</f>
        <v>-1</v>
      </c>
      <c r="F26" s="6"/>
    </row>
    <row r="27" spans="1:6" x14ac:dyDescent="0.3">
      <c r="A27" s="6"/>
      <c r="B27" s="6" t="s">
        <v>358</v>
      </c>
      <c r="C27" s="6"/>
      <c r="D27" s="6">
        <v>-1</v>
      </c>
      <c r="E27" s="6">
        <f>Table105[[#This Row],[Total Athletes]]-(LEN(Table105[[#This Row],[Pair]])-LEN(SUBSTITUTE(Table105[[#This Row],[Pair]],"/","")))-1</f>
        <v>-1</v>
      </c>
      <c r="F27" s="6"/>
    </row>
    <row r="28" spans="1:6" x14ac:dyDescent="0.3">
      <c r="A28" s="6" t="s">
        <v>2155</v>
      </c>
      <c r="B28" s="6" t="s">
        <v>384</v>
      </c>
      <c r="C28" s="6"/>
      <c r="D28" s="6">
        <v>3001</v>
      </c>
      <c r="E28" s="6">
        <f>Table105[[#This Row],[Total Athletes]]-(LEN(Table105[[#This Row],[Pair]])-LEN(SUBSTITUTE(Table105[[#This Row],[Pair]],"/","")))-1</f>
        <v>1</v>
      </c>
      <c r="F28" s="6">
        <v>2</v>
      </c>
    </row>
    <row r="29" spans="1:6" x14ac:dyDescent="0.3">
      <c r="A29" s="6"/>
      <c r="B29" s="6" t="s">
        <v>384</v>
      </c>
      <c r="C29" s="6"/>
      <c r="D29" s="6">
        <v>-1</v>
      </c>
      <c r="E29" s="6">
        <f>Table105[[#This Row],[Total Athletes]]-(LEN(Table105[[#This Row],[Pair]])-LEN(SUBSTITUTE(Table105[[#This Row],[Pair]],"/","")))-1</f>
        <v>-1</v>
      </c>
      <c r="F29" s="6"/>
    </row>
    <row r="30" spans="1:6" x14ac:dyDescent="0.3">
      <c r="A30" s="6" t="s">
        <v>2634</v>
      </c>
      <c r="B30" s="6" t="s">
        <v>442</v>
      </c>
      <c r="C30" s="6"/>
      <c r="D30" s="6">
        <v>18</v>
      </c>
      <c r="E30" s="6">
        <f>Table105[[#This Row],[Total Athletes]]-(LEN(Table105[[#This Row],[Pair]])-LEN(SUBSTITUTE(Table105[[#This Row],[Pair]],"/","")))-1</f>
        <v>0</v>
      </c>
      <c r="F30" s="6">
        <v>2</v>
      </c>
    </row>
    <row r="31" spans="1:6" x14ac:dyDescent="0.3">
      <c r="A31" s="6"/>
      <c r="B31" s="6" t="s">
        <v>442</v>
      </c>
      <c r="C31" s="6"/>
      <c r="D31" s="6">
        <v>-1</v>
      </c>
      <c r="E31" s="6">
        <f>Table105[[#This Row],[Total Athletes]]-(LEN(Table105[[#This Row],[Pair]])-LEN(SUBSTITUTE(Table105[[#This Row],[Pair]],"/","")))-1</f>
        <v>-1</v>
      </c>
      <c r="F31" s="6"/>
    </row>
    <row r="32" spans="1:6" x14ac:dyDescent="0.3">
      <c r="A32" s="6" t="s">
        <v>2420</v>
      </c>
      <c r="B32" s="6" t="s">
        <v>344</v>
      </c>
      <c r="C32" s="6"/>
      <c r="D32" s="6">
        <v>12</v>
      </c>
      <c r="E32" s="6">
        <f>Table105[[#This Row],[Total Athletes]]-(LEN(Table105[[#This Row],[Pair]])-LEN(SUBSTITUTE(Table105[[#This Row],[Pair]],"/","")))-1</f>
        <v>0</v>
      </c>
      <c r="F32" s="6">
        <v>2</v>
      </c>
    </row>
    <row r="33" spans="1:6" x14ac:dyDescent="0.3">
      <c r="A33" s="6"/>
      <c r="B33" s="6" t="s">
        <v>344</v>
      </c>
      <c r="C33" s="6"/>
      <c r="D33" s="6">
        <v>-1</v>
      </c>
      <c r="E33" s="6">
        <f>Table105[[#This Row],[Total Athletes]]-(LEN(Table105[[#This Row],[Pair]])-LEN(SUBSTITUTE(Table105[[#This Row],[Pair]],"/","")))-1</f>
        <v>-1</v>
      </c>
      <c r="F33" s="6"/>
    </row>
    <row r="34" spans="1:6" x14ac:dyDescent="0.3">
      <c r="A34" s="6"/>
      <c r="B34" s="6" t="s">
        <v>344</v>
      </c>
      <c r="C34" s="6"/>
      <c r="D34" s="6">
        <v>-1</v>
      </c>
      <c r="E34" s="6">
        <f>Table105[[#This Row],[Total Athletes]]-(LEN(Table105[[#This Row],[Pair]])-LEN(SUBSTITUTE(Table105[[#This Row],[Pair]],"/","")))-1</f>
        <v>-1</v>
      </c>
      <c r="F34" s="6"/>
    </row>
    <row r="35" spans="1:6" x14ac:dyDescent="0.3">
      <c r="A35" s="6"/>
      <c r="B35" s="6" t="s">
        <v>334</v>
      </c>
      <c r="C35" s="6"/>
      <c r="D35" s="6">
        <v>-1</v>
      </c>
      <c r="E35" s="6">
        <f>Table105[[#This Row],[Total Athletes]]-(LEN(Table105[[#This Row],[Pair]])-LEN(SUBSTITUTE(Table105[[#This Row],[Pair]],"/","")))-1</f>
        <v>-1</v>
      </c>
      <c r="F35" s="6"/>
    </row>
    <row r="36" spans="1:6" x14ac:dyDescent="0.3">
      <c r="A36" s="6" t="s">
        <v>2265</v>
      </c>
      <c r="B36" s="6" t="s">
        <v>356</v>
      </c>
      <c r="C36" s="6"/>
      <c r="D36" s="6">
        <v>1001</v>
      </c>
      <c r="E36" s="6">
        <f>Table105[[#This Row],[Total Athletes]]-(LEN(Table105[[#This Row],[Pair]])-LEN(SUBSTITUTE(Table105[[#This Row],[Pair]],"/","")))-1</f>
        <v>1</v>
      </c>
      <c r="F36" s="6">
        <v>2</v>
      </c>
    </row>
    <row r="37" spans="1:6" x14ac:dyDescent="0.3">
      <c r="A37" s="6" t="s">
        <v>2295</v>
      </c>
      <c r="B37" s="6" t="s">
        <v>356</v>
      </c>
      <c r="C37" s="6"/>
      <c r="D37" s="6">
        <v>10</v>
      </c>
      <c r="E37" s="6">
        <f>Table105[[#This Row],[Total Athletes]]-(LEN(Table105[[#This Row],[Pair]])-LEN(SUBSTITUTE(Table105[[#This Row],[Pair]],"/","")))-1</f>
        <v>0</v>
      </c>
      <c r="F37" s="6">
        <v>2</v>
      </c>
    </row>
    <row r="38" spans="1:6" x14ac:dyDescent="0.3">
      <c r="A38" s="6" t="s">
        <v>4479</v>
      </c>
      <c r="B38" s="6" t="s">
        <v>356</v>
      </c>
      <c r="C38" s="6"/>
      <c r="D38" s="6">
        <v>1001</v>
      </c>
      <c r="E38" s="6">
        <f>Table105[[#This Row],[Total Athletes]]-(LEN(Table105[[#This Row],[Pair]])-LEN(SUBSTITUTE(Table105[[#This Row],[Pair]],"/","")))-1</f>
        <v>1</v>
      </c>
      <c r="F38" s="6">
        <v>2</v>
      </c>
    </row>
    <row r="39" spans="1:6" x14ac:dyDescent="0.3">
      <c r="A39" s="6"/>
      <c r="B39" s="6" t="s">
        <v>364</v>
      </c>
      <c r="C39" s="6"/>
      <c r="D39" s="6">
        <v>-1</v>
      </c>
      <c r="E39" s="6">
        <f>Table105[[#This Row],[Total Athletes]]-(LEN(Table105[[#This Row],[Pair]])-LEN(SUBSTITUTE(Table105[[#This Row],[Pair]],"/","")))-1</f>
        <v>-1</v>
      </c>
      <c r="F39" s="6"/>
    </row>
    <row r="40" spans="1:6" x14ac:dyDescent="0.3">
      <c r="A40" s="6" t="s">
        <v>4917</v>
      </c>
      <c r="B40" s="6" t="s">
        <v>408</v>
      </c>
      <c r="C40" s="6"/>
      <c r="D40" s="6">
        <v>1001</v>
      </c>
      <c r="E40" s="6">
        <f>Table105[[#This Row],[Total Athletes]]-(LEN(Table105[[#This Row],[Pair]])-LEN(SUBSTITUTE(Table105[[#This Row],[Pair]],"/","")))-1</f>
        <v>0</v>
      </c>
      <c r="F40" s="6">
        <v>2</v>
      </c>
    </row>
    <row r="41" spans="1:6" x14ac:dyDescent="0.3">
      <c r="A41" s="6"/>
      <c r="B41" s="6" t="s">
        <v>694</v>
      </c>
      <c r="C41" s="6"/>
      <c r="D41" s="6">
        <v>-1</v>
      </c>
      <c r="E41" s="6">
        <f>Table105[[#This Row],[Total Athletes]]-(LEN(Table105[[#This Row],[Pair]])-LEN(SUBSTITUTE(Table105[[#This Row],[Pair]],"/","")))-1</f>
        <v>-1</v>
      </c>
      <c r="F41" s="6"/>
    </row>
    <row r="42" spans="1:6" x14ac:dyDescent="0.3">
      <c r="A42" s="6" t="s">
        <v>2231</v>
      </c>
      <c r="B42" s="6" t="s">
        <v>444</v>
      </c>
      <c r="C42" s="6"/>
      <c r="D42" s="6">
        <v>6</v>
      </c>
      <c r="E42" s="6">
        <f>Table105[[#This Row],[Total Athletes]]-(LEN(Table105[[#This Row],[Pair]])-LEN(SUBSTITUTE(Table105[[#This Row],[Pair]],"/","")))-1</f>
        <v>1</v>
      </c>
      <c r="F42" s="6">
        <v>2</v>
      </c>
    </row>
    <row r="43" spans="1:6" x14ac:dyDescent="0.3">
      <c r="A43" s="6" t="s">
        <v>2232</v>
      </c>
      <c r="B43" s="6" t="s">
        <v>444</v>
      </c>
      <c r="C43" s="6"/>
      <c r="D43" s="6">
        <v>9</v>
      </c>
      <c r="E43" s="6">
        <f>Table105[[#This Row],[Total Athletes]]-(LEN(Table105[[#This Row],[Pair]])-LEN(SUBSTITUTE(Table105[[#This Row],[Pair]],"/","")))-1</f>
        <v>1</v>
      </c>
      <c r="F43" s="6">
        <v>2</v>
      </c>
    </row>
    <row r="44" spans="1:6" x14ac:dyDescent="0.3">
      <c r="A44" s="6"/>
      <c r="B44" s="6" t="s">
        <v>444</v>
      </c>
      <c r="C44" s="6"/>
      <c r="D44" s="6">
        <v>-1</v>
      </c>
      <c r="E44" s="6">
        <f>Table105[[#This Row],[Total Athletes]]-(LEN(Table105[[#This Row],[Pair]])-LEN(SUBSTITUTE(Table105[[#This Row],[Pair]],"/","")))-1</f>
        <v>-1</v>
      </c>
      <c r="F44" s="6"/>
    </row>
    <row r="45" spans="1:6" x14ac:dyDescent="0.3">
      <c r="A45" s="6"/>
      <c r="B45" s="6" t="s">
        <v>444</v>
      </c>
      <c r="C45" s="6"/>
      <c r="D45" s="6">
        <v>-1</v>
      </c>
      <c r="E45" s="6">
        <f>Table105[[#This Row],[Total Athletes]]-(LEN(Table105[[#This Row],[Pair]])-LEN(SUBSTITUTE(Table105[[#This Row],[Pair]],"/","")))-1</f>
        <v>-1</v>
      </c>
      <c r="F45" s="6"/>
    </row>
    <row r="46" spans="1:6" x14ac:dyDescent="0.3">
      <c r="A46" s="6" t="s">
        <v>2010</v>
      </c>
      <c r="B46" s="6" t="s">
        <v>332</v>
      </c>
      <c r="C46" s="6"/>
      <c r="D46" s="6">
        <v>15</v>
      </c>
      <c r="E46" s="6">
        <f>Table105[[#This Row],[Total Athletes]]-(LEN(Table105[[#This Row],[Pair]])-LEN(SUBSTITUTE(Table105[[#This Row],[Pair]],"/","")))-1</f>
        <v>0</v>
      </c>
      <c r="F46" s="6">
        <v>2</v>
      </c>
    </row>
    <row r="47" spans="1:6" x14ac:dyDescent="0.3">
      <c r="A47" s="6" t="s">
        <v>3017</v>
      </c>
      <c r="B47" s="6" t="s">
        <v>332</v>
      </c>
      <c r="C47" s="6"/>
      <c r="D47" s="6">
        <v>1001</v>
      </c>
      <c r="E47" s="6">
        <f>Table105[[#This Row],[Total Athletes]]-(LEN(Table105[[#This Row],[Pair]])-LEN(SUBSTITUTE(Table105[[#This Row],[Pair]],"/","")))-1</f>
        <v>0</v>
      </c>
      <c r="F47" s="6">
        <v>2</v>
      </c>
    </row>
    <row r="48" spans="1:6" x14ac:dyDescent="0.3">
      <c r="A48" s="6" t="s">
        <v>4207</v>
      </c>
      <c r="B48" s="6" t="s">
        <v>332</v>
      </c>
      <c r="C48" s="6"/>
      <c r="D48" s="6">
        <v>4</v>
      </c>
      <c r="E48" s="6">
        <f>Table105[[#This Row],[Total Athletes]]-(LEN(Table105[[#This Row],[Pair]])-LEN(SUBSTITUTE(Table105[[#This Row],[Pair]],"/","")))-1</f>
        <v>0</v>
      </c>
      <c r="F48" s="6">
        <v>2</v>
      </c>
    </row>
    <row r="49" spans="1:6" x14ac:dyDescent="0.3">
      <c r="A49" s="6" t="s">
        <v>4826</v>
      </c>
      <c r="B49" s="6" t="s">
        <v>332</v>
      </c>
      <c r="C49" s="6"/>
      <c r="D49" s="6">
        <v>3</v>
      </c>
      <c r="E49" s="6">
        <f>Table105[[#This Row],[Total Athletes]]-(LEN(Table105[[#This Row],[Pair]])-LEN(SUBSTITUTE(Table105[[#This Row],[Pair]],"/","")))-1</f>
        <v>1</v>
      </c>
      <c r="F49" s="6">
        <v>2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C6B49-75F6-46C7-99CD-C8075AD6FD0C}">
  <dimension ref="A1:F106"/>
  <sheetViews>
    <sheetView topLeftCell="A97" workbookViewId="0">
      <selection activeCell="B107" sqref="B107"/>
    </sheetView>
  </sheetViews>
  <sheetFormatPr defaultRowHeight="14.4" x14ac:dyDescent="0.3"/>
  <cols>
    <col min="1" max="1" width="22.88671875" bestFit="1" customWidth="1"/>
    <col min="2" max="2" width="13.33203125" bestFit="1" customWidth="1"/>
    <col min="3" max="3" width="23.109375" bestFit="1" customWidth="1"/>
    <col min="4" max="4" width="23.6640625" bestFit="1" customWidth="1"/>
    <col min="5" max="5" width="20.6640625" bestFit="1" customWidth="1"/>
    <col min="6" max="6" width="19.77734375" bestFit="1" customWidth="1"/>
  </cols>
  <sheetData>
    <row r="1" spans="1:6" x14ac:dyDescent="0.3">
      <c r="A1" t="s">
        <v>832</v>
      </c>
      <c r="B1" t="s">
        <v>1</v>
      </c>
      <c r="C1" t="s">
        <v>1014</v>
      </c>
      <c r="D1" t="s">
        <v>1015</v>
      </c>
      <c r="E1" t="s">
        <v>1016</v>
      </c>
      <c r="F1" t="s">
        <v>979</v>
      </c>
    </row>
    <row r="2" spans="1:6" x14ac:dyDescent="0.3">
      <c r="A2" s="6" t="s">
        <v>2738</v>
      </c>
      <c r="B2" s="6" t="s">
        <v>344</v>
      </c>
      <c r="C2" s="6">
        <v>8</v>
      </c>
      <c r="D2" s="6">
        <v>3</v>
      </c>
      <c r="E2" s="6">
        <v>7</v>
      </c>
      <c r="F2" s="6">
        <v>1</v>
      </c>
    </row>
    <row r="3" spans="1:6" x14ac:dyDescent="0.3">
      <c r="A3" s="6" t="s">
        <v>3181</v>
      </c>
      <c r="B3" s="6" t="s">
        <v>344</v>
      </c>
      <c r="C3" s="6">
        <v>17</v>
      </c>
      <c r="D3" s="6">
        <v>27</v>
      </c>
      <c r="E3" s="6">
        <v>24</v>
      </c>
      <c r="F3" s="6">
        <v>41</v>
      </c>
    </row>
    <row r="4" spans="1:6" x14ac:dyDescent="0.3">
      <c r="A4" s="6"/>
      <c r="B4" s="6" t="s">
        <v>344</v>
      </c>
      <c r="C4" s="6">
        <v>-1</v>
      </c>
      <c r="D4" s="6">
        <v>-1</v>
      </c>
      <c r="E4" s="6">
        <v>-1</v>
      </c>
      <c r="F4" s="6">
        <v>-1</v>
      </c>
    </row>
    <row r="5" spans="1:6" x14ac:dyDescent="0.3">
      <c r="A5" s="6"/>
      <c r="B5" s="6" t="s">
        <v>344</v>
      </c>
      <c r="C5" s="6">
        <v>-1</v>
      </c>
      <c r="D5" s="6">
        <v>-1</v>
      </c>
      <c r="E5" s="6">
        <v>-1</v>
      </c>
      <c r="F5" s="6">
        <v>-1</v>
      </c>
    </row>
    <row r="6" spans="1:6" x14ac:dyDescent="0.3">
      <c r="A6" s="6"/>
      <c r="B6" s="6" t="s">
        <v>344</v>
      </c>
      <c r="C6" s="6">
        <v>-1</v>
      </c>
      <c r="D6" s="6">
        <v>-1</v>
      </c>
      <c r="E6" s="6">
        <v>-1</v>
      </c>
      <c r="F6" s="6">
        <v>-1</v>
      </c>
    </row>
    <row r="7" spans="1:6" x14ac:dyDescent="0.3">
      <c r="A7" s="6"/>
      <c r="B7" s="6" t="s">
        <v>344</v>
      </c>
      <c r="C7" s="6">
        <v>-1</v>
      </c>
      <c r="D7" s="6">
        <v>-1</v>
      </c>
      <c r="E7" s="6">
        <v>-1</v>
      </c>
      <c r="F7" s="6">
        <v>-1</v>
      </c>
    </row>
    <row r="8" spans="1:6" x14ac:dyDescent="0.3">
      <c r="A8" s="6" t="s">
        <v>4988</v>
      </c>
      <c r="B8" s="6" t="s">
        <v>364</v>
      </c>
      <c r="C8" s="6"/>
      <c r="D8" s="6">
        <v>5</v>
      </c>
      <c r="E8" s="6">
        <v>5</v>
      </c>
      <c r="F8" s="6">
        <v>2</v>
      </c>
    </row>
    <row r="9" spans="1:6" x14ac:dyDescent="0.3">
      <c r="A9" s="6" t="s">
        <v>4998</v>
      </c>
      <c r="B9" s="6" t="s">
        <v>364</v>
      </c>
      <c r="C9" s="6">
        <v>3</v>
      </c>
      <c r="D9" s="6">
        <v>2</v>
      </c>
      <c r="E9" s="6">
        <v>2</v>
      </c>
      <c r="F9" s="6">
        <v>3</v>
      </c>
    </row>
    <row r="10" spans="1:6" x14ac:dyDescent="0.3">
      <c r="A10" s="6"/>
      <c r="B10" s="6" t="s">
        <v>364</v>
      </c>
      <c r="C10" s="6">
        <v>-1</v>
      </c>
      <c r="D10" s="6">
        <v>-1</v>
      </c>
      <c r="E10" s="6">
        <v>-1</v>
      </c>
      <c r="F10" s="6">
        <v>-1</v>
      </c>
    </row>
    <row r="11" spans="1:6" x14ac:dyDescent="0.3">
      <c r="A11" s="6"/>
      <c r="B11" s="6" t="s">
        <v>364</v>
      </c>
      <c r="C11" s="6">
        <v>-1</v>
      </c>
      <c r="D11" s="6">
        <v>-1</v>
      </c>
      <c r="E11" s="6">
        <v>-1</v>
      </c>
      <c r="F11" s="6">
        <v>-1</v>
      </c>
    </row>
    <row r="12" spans="1:6" x14ac:dyDescent="0.3">
      <c r="A12" s="6"/>
      <c r="B12" s="6" t="s">
        <v>364</v>
      </c>
      <c r="C12" s="6">
        <v>-1</v>
      </c>
      <c r="D12" s="6">
        <v>-1</v>
      </c>
      <c r="E12" s="6">
        <v>-1</v>
      </c>
      <c r="F12" s="6">
        <v>-1</v>
      </c>
    </row>
    <row r="13" spans="1:6" x14ac:dyDescent="0.3">
      <c r="A13" s="6"/>
      <c r="B13" s="6" t="s">
        <v>364</v>
      </c>
      <c r="C13" s="6">
        <v>-1</v>
      </c>
      <c r="D13" s="6">
        <v>-1</v>
      </c>
      <c r="E13" s="6">
        <v>-1</v>
      </c>
      <c r="F13" s="6">
        <v>-1</v>
      </c>
    </row>
    <row r="14" spans="1:6" x14ac:dyDescent="0.3">
      <c r="A14" s="6" t="s">
        <v>2673</v>
      </c>
      <c r="B14" s="6" t="s">
        <v>338</v>
      </c>
      <c r="C14" s="6">
        <v>9</v>
      </c>
      <c r="D14" s="6">
        <v>21</v>
      </c>
      <c r="E14" s="6">
        <v>1</v>
      </c>
      <c r="F14" s="6">
        <v>7</v>
      </c>
    </row>
    <row r="15" spans="1:6" x14ac:dyDescent="0.3">
      <c r="A15" s="6"/>
      <c r="B15" s="6" t="s">
        <v>338</v>
      </c>
      <c r="C15" s="6">
        <v>-1</v>
      </c>
      <c r="D15" s="6">
        <v>-1</v>
      </c>
      <c r="E15" s="6">
        <v>-1</v>
      </c>
      <c r="F15" s="6">
        <v>-1</v>
      </c>
    </row>
    <row r="16" spans="1:6" x14ac:dyDescent="0.3">
      <c r="A16" s="6"/>
      <c r="B16" s="6" t="s">
        <v>338</v>
      </c>
      <c r="C16" s="6">
        <v>-1</v>
      </c>
      <c r="D16" s="6">
        <v>-1</v>
      </c>
      <c r="E16" s="6">
        <v>-1</v>
      </c>
      <c r="F16" s="6">
        <v>-1</v>
      </c>
    </row>
    <row r="17" spans="1:6" x14ac:dyDescent="0.3">
      <c r="A17" s="6"/>
      <c r="B17" s="6" t="s">
        <v>338</v>
      </c>
      <c r="C17" s="6">
        <v>-1</v>
      </c>
      <c r="D17" s="6">
        <v>-1</v>
      </c>
      <c r="E17" s="6">
        <v>-1</v>
      </c>
      <c r="F17" s="6">
        <v>-1</v>
      </c>
    </row>
    <row r="18" spans="1:6" x14ac:dyDescent="0.3">
      <c r="A18" s="6"/>
      <c r="B18" s="6" t="s">
        <v>338</v>
      </c>
      <c r="C18" s="6">
        <v>-1</v>
      </c>
      <c r="D18" s="6">
        <v>-1</v>
      </c>
      <c r="E18" s="6">
        <v>-1</v>
      </c>
      <c r="F18" s="6">
        <v>-1</v>
      </c>
    </row>
    <row r="19" spans="1:6" x14ac:dyDescent="0.3">
      <c r="A19" s="6"/>
      <c r="B19" s="6" t="s">
        <v>338</v>
      </c>
      <c r="C19" s="6">
        <v>-1</v>
      </c>
      <c r="D19" s="6">
        <v>-1</v>
      </c>
      <c r="E19" s="6">
        <v>-1</v>
      </c>
      <c r="F19" s="6">
        <v>-1</v>
      </c>
    </row>
    <row r="20" spans="1:6" x14ac:dyDescent="0.3">
      <c r="A20" s="6" t="s">
        <v>4674</v>
      </c>
      <c r="B20" s="6" t="s">
        <v>334</v>
      </c>
      <c r="C20" s="6"/>
      <c r="D20" s="6"/>
      <c r="E20" s="6">
        <v>30</v>
      </c>
      <c r="F20" s="6">
        <v>23</v>
      </c>
    </row>
    <row r="21" spans="1:6" x14ac:dyDescent="0.3">
      <c r="A21" s="6"/>
      <c r="B21" s="6" t="s">
        <v>334</v>
      </c>
      <c r="C21" s="6">
        <v>-1</v>
      </c>
      <c r="D21" s="6">
        <v>-1</v>
      </c>
      <c r="E21" s="6">
        <v>-1</v>
      </c>
      <c r="F21" s="6">
        <v>-1</v>
      </c>
    </row>
    <row r="22" spans="1:6" x14ac:dyDescent="0.3">
      <c r="A22" s="6"/>
      <c r="B22" s="6" t="s">
        <v>334</v>
      </c>
      <c r="C22" s="6">
        <v>-1</v>
      </c>
      <c r="D22" s="6">
        <v>-1</v>
      </c>
      <c r="E22" s="6">
        <v>-1</v>
      </c>
      <c r="F22" s="6">
        <v>-1</v>
      </c>
    </row>
    <row r="23" spans="1:6" x14ac:dyDescent="0.3">
      <c r="A23" s="6"/>
      <c r="B23" s="6" t="s">
        <v>334</v>
      </c>
      <c r="C23" s="6">
        <v>-1</v>
      </c>
      <c r="D23" s="6">
        <v>-1</v>
      </c>
      <c r="E23" s="6">
        <v>-1</v>
      </c>
      <c r="F23" s="6">
        <v>-1</v>
      </c>
    </row>
    <row r="24" spans="1:6" x14ac:dyDescent="0.3">
      <c r="A24" s="6"/>
      <c r="B24" s="6" t="s">
        <v>334</v>
      </c>
      <c r="C24" s="6">
        <v>-1</v>
      </c>
      <c r="D24" s="6">
        <v>-1</v>
      </c>
      <c r="E24" s="6">
        <v>-1</v>
      </c>
      <c r="F24" s="6">
        <v>-1</v>
      </c>
    </row>
    <row r="25" spans="1:6" x14ac:dyDescent="0.3">
      <c r="A25" s="6" t="s">
        <v>2272</v>
      </c>
      <c r="B25" s="6" t="s">
        <v>356</v>
      </c>
      <c r="C25" s="6">
        <v>6</v>
      </c>
      <c r="D25" s="6">
        <v>1001</v>
      </c>
      <c r="E25" s="6">
        <v>9</v>
      </c>
      <c r="F25" s="6">
        <v>22</v>
      </c>
    </row>
    <row r="26" spans="1:6" x14ac:dyDescent="0.3">
      <c r="A26" s="6" t="s">
        <v>2276</v>
      </c>
      <c r="B26" s="6" t="s">
        <v>356</v>
      </c>
      <c r="C26" s="6">
        <v>16</v>
      </c>
      <c r="D26" s="6">
        <v>25</v>
      </c>
      <c r="E26" s="6">
        <v>13</v>
      </c>
      <c r="F26" s="6">
        <v>13</v>
      </c>
    </row>
    <row r="27" spans="1:6" x14ac:dyDescent="0.3">
      <c r="A27" s="6" t="s">
        <v>4967</v>
      </c>
      <c r="B27" s="6" t="s">
        <v>356</v>
      </c>
      <c r="C27" s="6"/>
      <c r="D27" s="6">
        <v>28</v>
      </c>
      <c r="E27" s="6">
        <v>28</v>
      </c>
      <c r="F27" s="6">
        <v>16</v>
      </c>
    </row>
    <row r="28" spans="1:6" x14ac:dyDescent="0.3">
      <c r="A28" s="6"/>
      <c r="B28" s="6" t="s">
        <v>356</v>
      </c>
      <c r="C28" s="6">
        <v>-1</v>
      </c>
      <c r="D28" s="6">
        <v>-1</v>
      </c>
      <c r="E28" s="6">
        <v>-1</v>
      </c>
      <c r="F28" s="6">
        <v>-1</v>
      </c>
    </row>
    <row r="29" spans="1:6" x14ac:dyDescent="0.3">
      <c r="A29" s="6"/>
      <c r="B29" s="6" t="s">
        <v>356</v>
      </c>
      <c r="C29" s="6">
        <v>-1</v>
      </c>
      <c r="D29" s="6">
        <v>-1</v>
      </c>
      <c r="E29" s="6">
        <v>-1</v>
      </c>
      <c r="F29" s="6">
        <v>-1</v>
      </c>
    </row>
    <row r="30" spans="1:6" x14ac:dyDescent="0.3">
      <c r="A30" s="6" t="s">
        <v>5043</v>
      </c>
      <c r="B30" s="6" t="s">
        <v>444</v>
      </c>
      <c r="C30" s="6">
        <v>63</v>
      </c>
      <c r="D30" s="6"/>
      <c r="E30" s="6"/>
      <c r="F30" s="6">
        <v>76</v>
      </c>
    </row>
    <row r="31" spans="1:6" x14ac:dyDescent="0.3">
      <c r="A31" s="6"/>
      <c r="B31" s="6" t="s">
        <v>444</v>
      </c>
      <c r="C31" s="6">
        <v>-1</v>
      </c>
      <c r="D31" s="6">
        <v>-1</v>
      </c>
      <c r="E31" s="6">
        <v>-1</v>
      </c>
      <c r="F31" s="6">
        <v>-1</v>
      </c>
    </row>
    <row r="32" spans="1:6" x14ac:dyDescent="0.3">
      <c r="A32" s="6"/>
      <c r="B32" s="6" t="s">
        <v>444</v>
      </c>
      <c r="C32" s="6">
        <v>-1</v>
      </c>
      <c r="D32" s="6">
        <v>-1</v>
      </c>
      <c r="E32" s="6">
        <v>-1</v>
      </c>
      <c r="F32" s="6">
        <v>-1</v>
      </c>
    </row>
    <row r="33" spans="1:6" x14ac:dyDescent="0.3">
      <c r="A33" s="6"/>
      <c r="B33" s="6" t="s">
        <v>444</v>
      </c>
      <c r="C33" s="6">
        <v>-1</v>
      </c>
      <c r="D33" s="6">
        <v>-1</v>
      </c>
      <c r="E33" s="6">
        <v>-1</v>
      </c>
      <c r="F33" s="6">
        <v>-1</v>
      </c>
    </row>
    <row r="34" spans="1:6" x14ac:dyDescent="0.3">
      <c r="A34" s="6"/>
      <c r="B34" s="6" t="s">
        <v>444</v>
      </c>
      <c r="C34" s="6">
        <v>-1</v>
      </c>
      <c r="D34" s="6">
        <v>-1</v>
      </c>
      <c r="E34" s="6">
        <v>-1</v>
      </c>
      <c r="F34" s="6">
        <v>-1</v>
      </c>
    </row>
    <row r="35" spans="1:6" x14ac:dyDescent="0.3">
      <c r="A35" s="6" t="s">
        <v>3588</v>
      </c>
      <c r="B35" s="6" t="s">
        <v>442</v>
      </c>
      <c r="C35" s="6">
        <v>81</v>
      </c>
      <c r="D35" s="6"/>
      <c r="E35" s="6"/>
      <c r="F35" s="6"/>
    </row>
    <row r="36" spans="1:6" x14ac:dyDescent="0.3">
      <c r="A36" s="6" t="s">
        <v>3589</v>
      </c>
      <c r="B36" s="6" t="s">
        <v>442</v>
      </c>
      <c r="C36" s="6">
        <v>26</v>
      </c>
      <c r="D36" s="6">
        <v>19</v>
      </c>
      <c r="E36" s="6">
        <v>19</v>
      </c>
      <c r="F36" s="6">
        <v>20</v>
      </c>
    </row>
    <row r="37" spans="1:6" x14ac:dyDescent="0.3">
      <c r="A37" s="6"/>
      <c r="B37" s="6" t="s">
        <v>442</v>
      </c>
      <c r="C37" s="6">
        <v>-1</v>
      </c>
      <c r="D37" s="6">
        <v>-1</v>
      </c>
      <c r="E37" s="6">
        <v>-1</v>
      </c>
      <c r="F37" s="6">
        <v>-1</v>
      </c>
    </row>
    <row r="38" spans="1:6" x14ac:dyDescent="0.3">
      <c r="A38" s="6"/>
      <c r="B38" s="6" t="s">
        <v>442</v>
      </c>
      <c r="C38" s="6">
        <v>-1</v>
      </c>
      <c r="D38" s="6">
        <v>-1</v>
      </c>
      <c r="E38" s="6">
        <v>-1</v>
      </c>
      <c r="F38" s="6">
        <v>-1</v>
      </c>
    </row>
    <row r="39" spans="1:6" x14ac:dyDescent="0.3">
      <c r="A39" s="6"/>
      <c r="B39" s="6" t="s">
        <v>442</v>
      </c>
      <c r="C39" s="6">
        <v>-1</v>
      </c>
      <c r="D39" s="6">
        <v>-1</v>
      </c>
      <c r="E39" s="6">
        <v>-1</v>
      </c>
      <c r="F39" s="6">
        <v>-1</v>
      </c>
    </row>
    <row r="40" spans="1:6" x14ac:dyDescent="0.3">
      <c r="A40" s="6" t="s">
        <v>4772</v>
      </c>
      <c r="B40" s="6" t="s">
        <v>726</v>
      </c>
      <c r="C40" s="6"/>
      <c r="D40" s="6"/>
      <c r="E40" s="6"/>
      <c r="F40" s="6">
        <v>63</v>
      </c>
    </row>
    <row r="41" spans="1:6" x14ac:dyDescent="0.3">
      <c r="A41" s="6" t="s">
        <v>4773</v>
      </c>
      <c r="B41" s="6" t="s">
        <v>726</v>
      </c>
      <c r="C41" s="6">
        <v>35</v>
      </c>
      <c r="D41" s="6"/>
      <c r="E41" s="6"/>
      <c r="F41" s="6">
        <v>88</v>
      </c>
    </row>
    <row r="42" spans="1:6" x14ac:dyDescent="0.3">
      <c r="A42" s="6"/>
      <c r="B42" s="6" t="s">
        <v>726</v>
      </c>
      <c r="C42" s="6">
        <v>-1</v>
      </c>
      <c r="D42" s="6">
        <v>-1</v>
      </c>
      <c r="E42" s="6">
        <v>-1</v>
      </c>
      <c r="F42" s="6">
        <v>-1</v>
      </c>
    </row>
    <row r="43" spans="1:6" x14ac:dyDescent="0.3">
      <c r="A43" s="6"/>
      <c r="B43" s="6" t="s">
        <v>726</v>
      </c>
      <c r="C43" s="6">
        <v>-1</v>
      </c>
      <c r="D43" s="6">
        <v>-1</v>
      </c>
      <c r="E43" s="6">
        <v>-1</v>
      </c>
      <c r="F43" s="6">
        <v>-1</v>
      </c>
    </row>
    <row r="44" spans="1:6" x14ac:dyDescent="0.3">
      <c r="A44" s="6"/>
      <c r="B44" s="6" t="s">
        <v>726</v>
      </c>
      <c r="C44" s="6">
        <v>-1</v>
      </c>
      <c r="D44" s="6">
        <v>-1</v>
      </c>
      <c r="E44" s="6">
        <v>-1</v>
      </c>
      <c r="F44" s="6">
        <v>-1</v>
      </c>
    </row>
    <row r="45" spans="1:6" x14ac:dyDescent="0.3">
      <c r="A45" s="6" t="s">
        <v>2766</v>
      </c>
      <c r="B45" s="6" t="s">
        <v>694</v>
      </c>
      <c r="C45" s="6">
        <v>29</v>
      </c>
      <c r="D45" s="6">
        <v>16</v>
      </c>
      <c r="E45" s="6">
        <v>14</v>
      </c>
      <c r="F45" s="6">
        <v>25</v>
      </c>
    </row>
    <row r="46" spans="1:6" x14ac:dyDescent="0.3">
      <c r="A46" s="6"/>
      <c r="B46" s="6" t="s">
        <v>694</v>
      </c>
      <c r="C46" s="6">
        <v>-1</v>
      </c>
      <c r="D46" s="6">
        <v>-1</v>
      </c>
      <c r="E46" s="6">
        <v>-1</v>
      </c>
      <c r="F46" s="6">
        <v>-1</v>
      </c>
    </row>
    <row r="47" spans="1:6" x14ac:dyDescent="0.3">
      <c r="A47" s="6"/>
      <c r="B47" s="6" t="s">
        <v>694</v>
      </c>
      <c r="C47" s="6">
        <v>-1</v>
      </c>
      <c r="D47" s="6">
        <v>-1</v>
      </c>
      <c r="E47" s="6">
        <v>-1</v>
      </c>
      <c r="F47" s="6">
        <v>-1</v>
      </c>
    </row>
    <row r="48" spans="1:6" x14ac:dyDescent="0.3">
      <c r="A48" s="6"/>
      <c r="B48" s="6" t="s">
        <v>694</v>
      </c>
      <c r="C48" s="6">
        <v>-1</v>
      </c>
      <c r="D48" s="6">
        <v>-1</v>
      </c>
      <c r="E48" s="6">
        <v>-1</v>
      </c>
      <c r="F48" s="6">
        <v>-1</v>
      </c>
    </row>
    <row r="49" spans="1:6" x14ac:dyDescent="0.3">
      <c r="A49" s="6"/>
      <c r="B49" s="6" t="s">
        <v>694</v>
      </c>
      <c r="C49" s="6">
        <v>-1</v>
      </c>
      <c r="D49" s="6">
        <v>-1</v>
      </c>
      <c r="E49" s="6">
        <v>-1</v>
      </c>
      <c r="F49" s="6">
        <v>-1</v>
      </c>
    </row>
    <row r="50" spans="1:6" x14ac:dyDescent="0.3">
      <c r="A50" s="6" t="s">
        <v>1443</v>
      </c>
      <c r="B50" s="6" t="s">
        <v>372</v>
      </c>
      <c r="C50" s="6">
        <v>15</v>
      </c>
      <c r="D50" s="6">
        <v>15</v>
      </c>
      <c r="E50" s="6">
        <v>21</v>
      </c>
      <c r="F50" s="6">
        <v>21</v>
      </c>
    </row>
    <row r="51" spans="1:6" x14ac:dyDescent="0.3">
      <c r="A51" s="6" t="s">
        <v>1445</v>
      </c>
      <c r="B51" s="6" t="s">
        <v>372</v>
      </c>
      <c r="C51" s="6">
        <v>4</v>
      </c>
      <c r="D51" s="6">
        <v>14</v>
      </c>
      <c r="E51" s="6">
        <v>17</v>
      </c>
      <c r="F51" s="6">
        <v>11</v>
      </c>
    </row>
    <row r="52" spans="1:6" x14ac:dyDescent="0.3">
      <c r="A52" s="6" t="s">
        <v>1464</v>
      </c>
      <c r="B52" s="6" t="s">
        <v>372</v>
      </c>
      <c r="C52" s="6">
        <v>51</v>
      </c>
      <c r="D52" s="6">
        <v>22</v>
      </c>
      <c r="E52" s="6">
        <v>15</v>
      </c>
      <c r="F52" s="6">
        <v>18</v>
      </c>
    </row>
    <row r="53" spans="1:6" x14ac:dyDescent="0.3">
      <c r="A53" s="6"/>
      <c r="B53" s="6" t="s">
        <v>372</v>
      </c>
      <c r="C53" s="6">
        <v>-1</v>
      </c>
      <c r="D53" s="6">
        <v>-1</v>
      </c>
      <c r="E53" s="6">
        <v>-1</v>
      </c>
      <c r="F53" s="6">
        <v>-1</v>
      </c>
    </row>
    <row r="54" spans="1:6" x14ac:dyDescent="0.3">
      <c r="A54" s="6"/>
      <c r="B54" s="6" t="s">
        <v>372</v>
      </c>
      <c r="C54" s="6">
        <v>-1</v>
      </c>
      <c r="D54" s="6">
        <v>-1</v>
      </c>
      <c r="E54" s="6">
        <v>-1</v>
      </c>
      <c r="F54" s="6">
        <v>-1</v>
      </c>
    </row>
    <row r="55" spans="1:6" x14ac:dyDescent="0.3">
      <c r="A55" s="6"/>
      <c r="B55" s="6" t="s">
        <v>358</v>
      </c>
      <c r="C55" s="6">
        <v>-1</v>
      </c>
      <c r="D55" s="6">
        <v>-1</v>
      </c>
      <c r="E55" s="6">
        <v>-1</v>
      </c>
      <c r="F55" s="6">
        <v>-1</v>
      </c>
    </row>
    <row r="56" spans="1:6" x14ac:dyDescent="0.3">
      <c r="A56" s="6"/>
      <c r="B56" s="6" t="s">
        <v>358</v>
      </c>
      <c r="C56" s="6">
        <v>-1</v>
      </c>
      <c r="D56" s="6">
        <v>-1</v>
      </c>
      <c r="E56" s="6">
        <v>-1</v>
      </c>
      <c r="F56" s="6">
        <v>-1</v>
      </c>
    </row>
    <row r="57" spans="1:6" x14ac:dyDescent="0.3">
      <c r="A57" s="6"/>
      <c r="B57" s="6" t="s">
        <v>358</v>
      </c>
      <c r="C57" s="6">
        <v>-1</v>
      </c>
      <c r="D57" s="6">
        <v>-1</v>
      </c>
      <c r="E57" s="6">
        <v>-1</v>
      </c>
      <c r="F57" s="6">
        <v>-1</v>
      </c>
    </row>
    <row r="58" spans="1:6" x14ac:dyDescent="0.3">
      <c r="A58" s="6"/>
      <c r="B58" s="6" t="s">
        <v>358</v>
      </c>
      <c r="C58" s="6">
        <v>-1</v>
      </c>
      <c r="D58" s="6">
        <v>-1</v>
      </c>
      <c r="E58" s="6">
        <v>-1</v>
      </c>
      <c r="F58" s="6">
        <v>-1</v>
      </c>
    </row>
    <row r="59" spans="1:6" x14ac:dyDescent="0.3">
      <c r="A59" s="6" t="s">
        <v>3701</v>
      </c>
      <c r="B59" s="6" t="s">
        <v>332</v>
      </c>
      <c r="C59" s="6">
        <v>67</v>
      </c>
      <c r="D59" s="6"/>
      <c r="E59" s="6"/>
      <c r="F59" s="6">
        <v>66</v>
      </c>
    </row>
    <row r="60" spans="1:6" x14ac:dyDescent="0.3">
      <c r="A60" s="6"/>
      <c r="B60" s="6" t="s">
        <v>332</v>
      </c>
      <c r="C60" s="6">
        <v>-1</v>
      </c>
      <c r="D60" s="6">
        <v>-1</v>
      </c>
      <c r="E60" s="6">
        <v>-1</v>
      </c>
      <c r="F60" s="6">
        <v>-1</v>
      </c>
    </row>
    <row r="61" spans="1:6" x14ac:dyDescent="0.3">
      <c r="A61" s="6"/>
      <c r="B61" s="6" t="s">
        <v>332</v>
      </c>
      <c r="C61" s="6">
        <v>-1</v>
      </c>
      <c r="D61" s="6">
        <v>-1</v>
      </c>
      <c r="E61" s="6">
        <v>-1</v>
      </c>
      <c r="F61" s="6">
        <v>-1</v>
      </c>
    </row>
    <row r="62" spans="1:6" x14ac:dyDescent="0.3">
      <c r="A62" s="6"/>
      <c r="B62" s="6" t="s">
        <v>332</v>
      </c>
      <c r="C62" s="6">
        <v>-1</v>
      </c>
      <c r="D62" s="6">
        <v>-1</v>
      </c>
      <c r="E62" s="6">
        <v>-1</v>
      </c>
      <c r="F62" s="6">
        <v>-1</v>
      </c>
    </row>
    <row r="63" spans="1:6" x14ac:dyDescent="0.3">
      <c r="A63" s="6" t="s">
        <v>3183</v>
      </c>
      <c r="B63" s="6" t="s">
        <v>520</v>
      </c>
      <c r="C63" s="6">
        <v>46</v>
      </c>
      <c r="D63" s="6"/>
      <c r="E63" s="6">
        <v>50</v>
      </c>
      <c r="F63" s="6">
        <v>38</v>
      </c>
    </row>
    <row r="64" spans="1:6" x14ac:dyDescent="0.3">
      <c r="A64" s="6"/>
      <c r="B64" s="6" t="s">
        <v>520</v>
      </c>
      <c r="C64" s="6">
        <v>-1</v>
      </c>
      <c r="D64" s="6">
        <v>-1</v>
      </c>
      <c r="E64" s="6">
        <v>-1</v>
      </c>
      <c r="F64" s="6">
        <v>-1</v>
      </c>
    </row>
    <row r="65" spans="1:6" x14ac:dyDescent="0.3">
      <c r="A65" s="6"/>
      <c r="B65" s="6" t="s">
        <v>520</v>
      </c>
      <c r="C65" s="6">
        <v>-1</v>
      </c>
      <c r="D65" s="6">
        <v>-1</v>
      </c>
      <c r="E65" s="6">
        <v>-1</v>
      </c>
      <c r="F65" s="6">
        <v>-1</v>
      </c>
    </row>
    <row r="66" spans="1:6" x14ac:dyDescent="0.3">
      <c r="A66" s="6"/>
      <c r="B66" s="6" t="s">
        <v>520</v>
      </c>
      <c r="C66" s="6">
        <v>-1</v>
      </c>
      <c r="D66" s="6">
        <v>-1</v>
      </c>
      <c r="E66" s="6">
        <v>-1</v>
      </c>
      <c r="F66" s="6">
        <v>-1</v>
      </c>
    </row>
    <row r="67" spans="1:6" x14ac:dyDescent="0.3">
      <c r="A67" s="6" t="s">
        <v>3674</v>
      </c>
      <c r="B67" s="6" t="s">
        <v>394</v>
      </c>
      <c r="C67" s="6">
        <v>49</v>
      </c>
      <c r="D67" s="6"/>
      <c r="E67" s="6">
        <v>43</v>
      </c>
      <c r="F67" s="6">
        <v>57</v>
      </c>
    </row>
    <row r="68" spans="1:6" x14ac:dyDescent="0.3">
      <c r="A68" s="6" t="s">
        <v>3694</v>
      </c>
      <c r="B68" s="6" t="s">
        <v>394</v>
      </c>
      <c r="C68" s="6">
        <v>43</v>
      </c>
      <c r="D68" s="6"/>
      <c r="E68" s="6"/>
      <c r="F68" s="6">
        <v>69</v>
      </c>
    </row>
    <row r="69" spans="1:6" x14ac:dyDescent="0.3">
      <c r="A69" s="6"/>
      <c r="B69" s="6" t="s">
        <v>394</v>
      </c>
      <c r="C69" s="6">
        <v>-1</v>
      </c>
      <c r="D69" s="6">
        <v>-1</v>
      </c>
      <c r="E69" s="6">
        <v>-1</v>
      </c>
      <c r="F69" s="6">
        <v>-1</v>
      </c>
    </row>
    <row r="70" spans="1:6" x14ac:dyDescent="0.3">
      <c r="A70" s="6"/>
      <c r="B70" s="6" t="s">
        <v>394</v>
      </c>
      <c r="C70" s="6">
        <v>-1</v>
      </c>
      <c r="D70" s="6">
        <v>-1</v>
      </c>
      <c r="E70" s="6">
        <v>-1</v>
      </c>
      <c r="F70" s="6">
        <v>-1</v>
      </c>
    </row>
    <row r="71" spans="1:6" x14ac:dyDescent="0.3">
      <c r="A71" s="6" t="s">
        <v>3389</v>
      </c>
      <c r="B71" s="6" t="s">
        <v>370</v>
      </c>
      <c r="C71" s="6">
        <v>75</v>
      </c>
      <c r="D71" s="6"/>
      <c r="E71" s="6"/>
      <c r="F71" s="6">
        <v>70</v>
      </c>
    </row>
    <row r="72" spans="1:6" x14ac:dyDescent="0.3">
      <c r="A72" s="6" t="s">
        <v>3393</v>
      </c>
      <c r="B72" s="6" t="s">
        <v>370</v>
      </c>
      <c r="C72" s="6">
        <v>78</v>
      </c>
      <c r="D72" s="6"/>
      <c r="E72" s="6">
        <v>57</v>
      </c>
      <c r="F72" s="6">
        <v>56</v>
      </c>
    </row>
    <row r="73" spans="1:6" x14ac:dyDescent="0.3">
      <c r="A73" s="6"/>
      <c r="B73" s="6" t="s">
        <v>370</v>
      </c>
      <c r="C73" s="6">
        <v>-1</v>
      </c>
      <c r="D73" s="6">
        <v>-1</v>
      </c>
      <c r="E73" s="6">
        <v>-1</v>
      </c>
      <c r="F73" s="6">
        <v>-1</v>
      </c>
    </row>
    <row r="74" spans="1:6" x14ac:dyDescent="0.3">
      <c r="A74" s="6"/>
      <c r="B74" s="6" t="s">
        <v>370</v>
      </c>
      <c r="C74" s="6">
        <v>-1</v>
      </c>
      <c r="D74" s="6">
        <v>-1</v>
      </c>
      <c r="E74" s="6">
        <v>-1</v>
      </c>
      <c r="F74" s="6">
        <v>-1</v>
      </c>
    </row>
    <row r="75" spans="1:6" x14ac:dyDescent="0.3">
      <c r="A75" s="6"/>
      <c r="B75" s="6" t="s">
        <v>572</v>
      </c>
      <c r="C75" s="6">
        <v>-1</v>
      </c>
      <c r="D75" s="6">
        <v>-1</v>
      </c>
      <c r="E75" s="6">
        <v>-1</v>
      </c>
      <c r="F75" s="6">
        <v>-1</v>
      </c>
    </row>
    <row r="76" spans="1:6" x14ac:dyDescent="0.3">
      <c r="A76" s="6"/>
      <c r="B76" s="6" t="s">
        <v>572</v>
      </c>
      <c r="C76" s="6">
        <v>-1</v>
      </c>
      <c r="D76" s="6">
        <v>-1</v>
      </c>
      <c r="E76" s="6">
        <v>-1</v>
      </c>
      <c r="F76" s="6">
        <v>-1</v>
      </c>
    </row>
    <row r="77" spans="1:6" x14ac:dyDescent="0.3">
      <c r="A77" s="6"/>
      <c r="B77" s="6" t="s">
        <v>572</v>
      </c>
      <c r="C77" s="6">
        <v>-1</v>
      </c>
      <c r="D77" s="6">
        <v>-1</v>
      </c>
      <c r="E77" s="6">
        <v>-1</v>
      </c>
      <c r="F77" s="6">
        <v>-1</v>
      </c>
    </row>
    <row r="78" spans="1:6" x14ac:dyDescent="0.3">
      <c r="A78" s="6"/>
      <c r="B78" s="6" t="s">
        <v>572</v>
      </c>
      <c r="C78" s="6">
        <v>-1</v>
      </c>
      <c r="D78" s="6">
        <v>-1</v>
      </c>
      <c r="E78" s="6">
        <v>-1</v>
      </c>
      <c r="F78" s="6">
        <v>-1</v>
      </c>
    </row>
    <row r="79" spans="1:6" x14ac:dyDescent="0.3">
      <c r="A79" s="6"/>
      <c r="B79" s="6" t="s">
        <v>348</v>
      </c>
      <c r="C79" s="6">
        <v>-1</v>
      </c>
      <c r="D79" s="6">
        <v>-1</v>
      </c>
      <c r="E79" s="6">
        <v>-1</v>
      </c>
      <c r="F79" s="6">
        <v>-1</v>
      </c>
    </row>
    <row r="80" spans="1:6" x14ac:dyDescent="0.3">
      <c r="A80" s="6"/>
      <c r="B80" s="6" t="s">
        <v>348</v>
      </c>
      <c r="C80" s="6">
        <v>-1</v>
      </c>
      <c r="D80" s="6">
        <v>-1</v>
      </c>
      <c r="E80" s="6">
        <v>-1</v>
      </c>
      <c r="F80" s="6">
        <v>-1</v>
      </c>
    </row>
    <row r="81" spans="1:6" x14ac:dyDescent="0.3">
      <c r="A81" s="6"/>
      <c r="B81" s="6" t="s">
        <v>348</v>
      </c>
      <c r="C81" s="6">
        <v>-1</v>
      </c>
      <c r="D81" s="6">
        <v>-1</v>
      </c>
      <c r="E81" s="6">
        <v>-1</v>
      </c>
      <c r="F81" s="6">
        <v>-1</v>
      </c>
    </row>
    <row r="82" spans="1:6" x14ac:dyDescent="0.3">
      <c r="A82" s="6"/>
      <c r="B82" s="6" t="s">
        <v>348</v>
      </c>
      <c r="C82" s="6">
        <v>-1</v>
      </c>
      <c r="D82" s="6">
        <v>-1</v>
      </c>
      <c r="E82" s="6">
        <v>-1</v>
      </c>
      <c r="F82" s="6">
        <v>-1</v>
      </c>
    </row>
    <row r="83" spans="1:6" x14ac:dyDescent="0.3">
      <c r="A83" s="6" t="s">
        <v>3484</v>
      </c>
      <c r="B83" s="6" t="s">
        <v>614</v>
      </c>
      <c r="C83" s="6">
        <v>31</v>
      </c>
      <c r="D83" s="6"/>
      <c r="E83" s="6"/>
      <c r="F83" s="6">
        <v>77</v>
      </c>
    </row>
    <row r="84" spans="1:6" x14ac:dyDescent="0.3">
      <c r="A84" s="6" t="s">
        <v>3559</v>
      </c>
      <c r="B84" s="6" t="s">
        <v>614</v>
      </c>
      <c r="C84" s="6">
        <v>41</v>
      </c>
      <c r="D84" s="6"/>
      <c r="E84" s="6">
        <v>29</v>
      </c>
      <c r="F84" s="6">
        <v>30</v>
      </c>
    </row>
    <row r="85" spans="1:6" x14ac:dyDescent="0.3">
      <c r="A85" s="6"/>
      <c r="B85" s="6" t="s">
        <v>614</v>
      </c>
      <c r="C85" s="6">
        <v>-1</v>
      </c>
      <c r="D85" s="6">
        <v>-1</v>
      </c>
      <c r="E85" s="6">
        <v>-1</v>
      </c>
      <c r="F85" s="6">
        <v>-1</v>
      </c>
    </row>
    <row r="86" spans="1:6" x14ac:dyDescent="0.3">
      <c r="A86" s="6"/>
      <c r="B86" s="6" t="s">
        <v>614</v>
      </c>
      <c r="C86" s="6">
        <v>-1</v>
      </c>
      <c r="D86" s="6">
        <v>-1</v>
      </c>
      <c r="E86" s="6">
        <v>-1</v>
      </c>
      <c r="F86" s="6">
        <v>-1</v>
      </c>
    </row>
    <row r="87" spans="1:6" x14ac:dyDescent="0.3">
      <c r="A87" s="6"/>
      <c r="B87" s="6" t="s">
        <v>620</v>
      </c>
      <c r="C87" s="6">
        <v>-1</v>
      </c>
      <c r="D87" s="6">
        <v>-1</v>
      </c>
      <c r="E87" s="6">
        <v>-1</v>
      </c>
      <c r="F87" s="6">
        <v>-1</v>
      </c>
    </row>
    <row r="88" spans="1:6" x14ac:dyDescent="0.3">
      <c r="A88" s="6"/>
      <c r="B88" s="6" t="s">
        <v>620</v>
      </c>
      <c r="C88" s="6">
        <v>-1</v>
      </c>
      <c r="D88" s="6">
        <v>-1</v>
      </c>
      <c r="E88" s="6">
        <v>-1</v>
      </c>
      <c r="F88" s="6">
        <v>-1</v>
      </c>
    </row>
    <row r="89" spans="1:6" x14ac:dyDescent="0.3">
      <c r="A89" s="6"/>
      <c r="B89" s="6" t="s">
        <v>620</v>
      </c>
      <c r="C89" s="6">
        <v>-1</v>
      </c>
      <c r="D89" s="6">
        <v>-1</v>
      </c>
      <c r="E89" s="6">
        <v>-1</v>
      </c>
      <c r="F89" s="6">
        <v>-1</v>
      </c>
    </row>
    <row r="90" spans="1:6" x14ac:dyDescent="0.3">
      <c r="A90" s="6"/>
      <c r="B90" s="6" t="s">
        <v>620</v>
      </c>
      <c r="C90" s="6">
        <v>-1</v>
      </c>
      <c r="D90" s="6">
        <v>-1</v>
      </c>
      <c r="E90" s="6">
        <v>-1</v>
      </c>
      <c r="F90" s="6">
        <v>-1</v>
      </c>
    </row>
    <row r="91" spans="1:6" x14ac:dyDescent="0.3">
      <c r="A91" s="6" t="s">
        <v>1233</v>
      </c>
      <c r="B91" s="6" t="s">
        <v>384</v>
      </c>
      <c r="C91" s="6">
        <v>77</v>
      </c>
      <c r="D91" s="6"/>
      <c r="E91" s="6">
        <v>53</v>
      </c>
      <c r="F91" s="6">
        <v>55</v>
      </c>
    </row>
    <row r="92" spans="1:6" x14ac:dyDescent="0.3">
      <c r="A92" s="6" t="s">
        <v>2153</v>
      </c>
      <c r="B92" s="6" t="s">
        <v>384</v>
      </c>
      <c r="C92" s="6">
        <v>86</v>
      </c>
      <c r="D92" s="6"/>
      <c r="E92" s="6"/>
      <c r="F92" s="6">
        <v>80</v>
      </c>
    </row>
    <row r="93" spans="1:6" x14ac:dyDescent="0.3">
      <c r="A93" s="6" t="s">
        <v>2184</v>
      </c>
      <c r="B93" s="6" t="s">
        <v>384</v>
      </c>
      <c r="C93" s="6">
        <v>64</v>
      </c>
      <c r="D93" s="6"/>
      <c r="E93" s="6">
        <v>49</v>
      </c>
      <c r="F93" s="6">
        <v>31</v>
      </c>
    </row>
    <row r="94" spans="1:6" x14ac:dyDescent="0.3">
      <c r="A94" s="6"/>
      <c r="B94" s="6" t="s">
        <v>384</v>
      </c>
      <c r="C94" s="6">
        <v>-1</v>
      </c>
      <c r="D94" s="6">
        <v>-1</v>
      </c>
      <c r="E94" s="6">
        <v>-1</v>
      </c>
      <c r="F94" s="6">
        <v>-1</v>
      </c>
    </row>
    <row r="95" spans="1:6" x14ac:dyDescent="0.3">
      <c r="A95" s="6"/>
      <c r="B95" s="6" t="s">
        <v>390</v>
      </c>
      <c r="C95" s="6">
        <v>-1</v>
      </c>
      <c r="D95" s="6">
        <v>-1</v>
      </c>
      <c r="E95" s="6">
        <v>-1</v>
      </c>
      <c r="F95" s="6">
        <v>-1</v>
      </c>
    </row>
    <row r="96" spans="1:6" x14ac:dyDescent="0.3">
      <c r="A96" s="6"/>
      <c r="B96" s="6" t="s">
        <v>414</v>
      </c>
      <c r="C96" s="6">
        <v>-1</v>
      </c>
      <c r="D96" s="6">
        <v>-1</v>
      </c>
      <c r="E96" s="6">
        <v>-1</v>
      </c>
      <c r="F96" s="6">
        <v>-1</v>
      </c>
    </row>
    <row r="97" spans="1:6" x14ac:dyDescent="0.3">
      <c r="A97" s="6"/>
      <c r="B97" s="6" t="s">
        <v>402</v>
      </c>
      <c r="C97" s="6">
        <v>-1</v>
      </c>
      <c r="D97" s="6">
        <v>-1</v>
      </c>
      <c r="E97" s="6">
        <v>-1</v>
      </c>
      <c r="F97" s="6">
        <v>-1</v>
      </c>
    </row>
    <row r="98" spans="1:6" x14ac:dyDescent="0.3">
      <c r="A98" s="6" t="s">
        <v>1417</v>
      </c>
      <c r="B98" s="6" t="s">
        <v>390</v>
      </c>
      <c r="C98" s="6">
        <v>45</v>
      </c>
      <c r="D98" s="6"/>
      <c r="E98" s="6"/>
      <c r="F98" s="6">
        <v>78</v>
      </c>
    </row>
    <row r="99" spans="1:6" x14ac:dyDescent="0.3">
      <c r="A99" s="6"/>
      <c r="B99" s="6" t="s">
        <v>604</v>
      </c>
      <c r="C99" s="6">
        <v>-1</v>
      </c>
      <c r="D99" s="6">
        <v>-1</v>
      </c>
      <c r="E99" s="6">
        <v>-1</v>
      </c>
      <c r="F99" s="6">
        <v>-1</v>
      </c>
    </row>
    <row r="100" spans="1:6" x14ac:dyDescent="0.3">
      <c r="A100" s="6" t="s">
        <v>2765</v>
      </c>
      <c r="B100" s="6" t="s">
        <v>450</v>
      </c>
      <c r="C100" s="6">
        <v>76</v>
      </c>
      <c r="D100" s="6"/>
      <c r="E100" s="6"/>
      <c r="F100" s="6">
        <v>89</v>
      </c>
    </row>
    <row r="101" spans="1:6" x14ac:dyDescent="0.3">
      <c r="A101" s="6" t="s">
        <v>2768</v>
      </c>
      <c r="B101" s="6" t="s">
        <v>450</v>
      </c>
      <c r="C101" s="6">
        <v>72</v>
      </c>
      <c r="D101" s="6"/>
      <c r="E101" s="6">
        <v>1001</v>
      </c>
      <c r="F101" s="6">
        <v>59</v>
      </c>
    </row>
    <row r="102" spans="1:6" x14ac:dyDescent="0.3">
      <c r="A102" s="6"/>
      <c r="B102" s="6" t="s">
        <v>604</v>
      </c>
      <c r="C102" s="6">
        <v>-1</v>
      </c>
      <c r="D102" s="6">
        <v>-1</v>
      </c>
      <c r="E102" s="6">
        <v>-1</v>
      </c>
      <c r="F102" s="6">
        <v>-1</v>
      </c>
    </row>
    <row r="103" spans="1:6" x14ac:dyDescent="0.3">
      <c r="A103" s="6"/>
      <c r="B103" s="6" t="s">
        <v>328</v>
      </c>
      <c r="C103" s="6">
        <v>-1</v>
      </c>
      <c r="D103" s="6">
        <v>-1</v>
      </c>
      <c r="E103" s="6">
        <v>-1</v>
      </c>
      <c r="F103" s="6">
        <v>-1</v>
      </c>
    </row>
    <row r="104" spans="1:6" x14ac:dyDescent="0.3">
      <c r="A104" s="6"/>
      <c r="B104" s="6" t="s">
        <v>408</v>
      </c>
      <c r="C104" s="6">
        <v>-1</v>
      </c>
      <c r="D104" s="6">
        <v>-1</v>
      </c>
      <c r="E104" s="6">
        <v>-1</v>
      </c>
      <c r="F104" s="6">
        <v>-1</v>
      </c>
    </row>
    <row r="105" spans="1:6" x14ac:dyDescent="0.3">
      <c r="A105" s="6" t="s">
        <v>4903</v>
      </c>
      <c r="B105" s="6" t="s">
        <v>408</v>
      </c>
      <c r="C105" s="6">
        <v>82</v>
      </c>
      <c r="D105" s="6"/>
      <c r="E105" s="6"/>
      <c r="F105" s="6">
        <v>75</v>
      </c>
    </row>
    <row r="106" spans="1:6" x14ac:dyDescent="0.3">
      <c r="A106" s="6"/>
      <c r="B106" s="6" t="s">
        <v>700</v>
      </c>
      <c r="C106" s="6">
        <v>-1</v>
      </c>
      <c r="D106" s="6">
        <v>-1</v>
      </c>
      <c r="E106" s="6">
        <v>-1</v>
      </c>
      <c r="F106" s="6">
        <v>-1</v>
      </c>
    </row>
  </sheetData>
  <pageMargins left="0.7" right="0.7" top="0.75" bottom="0.75" header="0.3" footer="0.3"/>
  <tableParts count="1">
    <tablePart r:id="rId1"/>
  </tableParts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4996C-8279-4247-82A2-EA39D09A7B7F}">
  <dimension ref="A1:F107"/>
  <sheetViews>
    <sheetView topLeftCell="A97" workbookViewId="0">
      <selection activeCell="B108" sqref="B108"/>
    </sheetView>
  </sheetViews>
  <sheetFormatPr defaultRowHeight="14.4" x14ac:dyDescent="0.3"/>
  <cols>
    <col min="1" max="1" width="28.109375" bestFit="1" customWidth="1"/>
    <col min="2" max="2" width="13.33203125" bestFit="1" customWidth="1"/>
    <col min="3" max="3" width="23.109375" bestFit="1" customWidth="1"/>
    <col min="4" max="4" width="23.6640625" bestFit="1" customWidth="1"/>
    <col min="5" max="5" width="20.6640625" bestFit="1" customWidth="1"/>
    <col min="6" max="6" width="19.77734375" bestFit="1" customWidth="1"/>
  </cols>
  <sheetData>
    <row r="1" spans="1:6" x14ac:dyDescent="0.3">
      <c r="A1" t="s">
        <v>832</v>
      </c>
      <c r="B1" t="s">
        <v>1</v>
      </c>
      <c r="C1" t="s">
        <v>1014</v>
      </c>
      <c r="D1" t="s">
        <v>1015</v>
      </c>
      <c r="E1" t="s">
        <v>1016</v>
      </c>
      <c r="F1" t="s">
        <v>979</v>
      </c>
    </row>
    <row r="2" spans="1:6" x14ac:dyDescent="0.3">
      <c r="A2" s="6" t="s">
        <v>3241</v>
      </c>
      <c r="B2" s="6" t="s">
        <v>344</v>
      </c>
      <c r="C2" s="6">
        <v>2</v>
      </c>
      <c r="D2" s="6">
        <v>16</v>
      </c>
      <c r="E2" s="6">
        <v>4</v>
      </c>
      <c r="F2" s="6">
        <v>3</v>
      </c>
    </row>
    <row r="3" spans="1:6" x14ac:dyDescent="0.3">
      <c r="A3" s="6"/>
      <c r="B3" s="6" t="s">
        <v>344</v>
      </c>
      <c r="C3" s="6">
        <v>-1</v>
      </c>
      <c r="D3" s="6">
        <v>-1</v>
      </c>
      <c r="E3" s="6">
        <v>-1</v>
      </c>
      <c r="F3" s="6">
        <v>-1</v>
      </c>
    </row>
    <row r="4" spans="1:6" x14ac:dyDescent="0.3">
      <c r="A4" s="6"/>
      <c r="B4" s="6" t="s">
        <v>344</v>
      </c>
      <c r="C4" s="6">
        <v>-1</v>
      </c>
      <c r="D4" s="6">
        <v>-1</v>
      </c>
      <c r="E4" s="6">
        <v>-1</v>
      </c>
      <c r="F4" s="6">
        <v>-1</v>
      </c>
    </row>
    <row r="5" spans="1:6" x14ac:dyDescent="0.3">
      <c r="A5" s="6"/>
      <c r="B5" s="6" t="s">
        <v>344</v>
      </c>
      <c r="C5" s="6">
        <v>-1</v>
      </c>
      <c r="D5" s="6">
        <v>-1</v>
      </c>
      <c r="E5" s="6">
        <v>-1</v>
      </c>
      <c r="F5" s="6">
        <v>-1</v>
      </c>
    </row>
    <row r="6" spans="1:6" x14ac:dyDescent="0.3">
      <c r="A6" s="6"/>
      <c r="B6" s="6" t="s">
        <v>344</v>
      </c>
      <c r="C6" s="6">
        <v>-1</v>
      </c>
      <c r="D6" s="6">
        <v>-1</v>
      </c>
      <c r="E6" s="6">
        <v>-1</v>
      </c>
      <c r="F6" s="6">
        <v>-1</v>
      </c>
    </row>
    <row r="7" spans="1:6" x14ac:dyDescent="0.3">
      <c r="A7" s="6"/>
      <c r="B7" s="6" t="s">
        <v>344</v>
      </c>
      <c r="C7" s="6">
        <v>-1</v>
      </c>
      <c r="D7" s="6">
        <v>-1</v>
      </c>
      <c r="E7" s="6">
        <v>-1</v>
      </c>
      <c r="F7" s="6">
        <v>-1</v>
      </c>
    </row>
    <row r="8" spans="1:6" x14ac:dyDescent="0.3">
      <c r="A8" s="6"/>
      <c r="B8" s="6" t="s">
        <v>338</v>
      </c>
      <c r="C8" s="6">
        <v>-1</v>
      </c>
      <c r="D8" s="6">
        <v>-1</v>
      </c>
      <c r="E8" s="6">
        <v>-1</v>
      </c>
      <c r="F8" s="6">
        <v>-1</v>
      </c>
    </row>
    <row r="9" spans="1:6" x14ac:dyDescent="0.3">
      <c r="A9" s="6"/>
      <c r="B9" s="6" t="s">
        <v>338</v>
      </c>
      <c r="C9" s="6">
        <v>-1</v>
      </c>
      <c r="D9" s="6">
        <v>-1</v>
      </c>
      <c r="E9" s="6">
        <v>-1</v>
      </c>
      <c r="F9" s="6">
        <v>-1</v>
      </c>
    </row>
    <row r="10" spans="1:6" x14ac:dyDescent="0.3">
      <c r="A10" s="6"/>
      <c r="B10" s="6" t="s">
        <v>338</v>
      </c>
      <c r="C10" s="6">
        <v>-1</v>
      </c>
      <c r="D10" s="6">
        <v>-1</v>
      </c>
      <c r="E10" s="6">
        <v>-1</v>
      </c>
      <c r="F10" s="6">
        <v>-1</v>
      </c>
    </row>
    <row r="11" spans="1:6" x14ac:dyDescent="0.3">
      <c r="A11" s="6"/>
      <c r="B11" s="6" t="s">
        <v>338</v>
      </c>
      <c r="C11" s="6">
        <v>-1</v>
      </c>
      <c r="D11" s="6">
        <v>-1</v>
      </c>
      <c r="E11" s="6">
        <v>-1</v>
      </c>
      <c r="F11" s="6">
        <v>-1</v>
      </c>
    </row>
    <row r="12" spans="1:6" x14ac:dyDescent="0.3">
      <c r="A12" s="6"/>
      <c r="B12" s="6" t="s">
        <v>338</v>
      </c>
      <c r="C12" s="6">
        <v>-1</v>
      </c>
      <c r="D12" s="6">
        <v>-1</v>
      </c>
      <c r="E12" s="6">
        <v>-1</v>
      </c>
      <c r="F12" s="6">
        <v>-1</v>
      </c>
    </row>
    <row r="13" spans="1:6" x14ac:dyDescent="0.3">
      <c r="A13" s="6"/>
      <c r="B13" s="6" t="s">
        <v>338</v>
      </c>
      <c r="C13" s="6">
        <v>-1</v>
      </c>
      <c r="D13" s="6">
        <v>-1</v>
      </c>
      <c r="E13" s="6">
        <v>-1</v>
      </c>
      <c r="F13" s="6">
        <v>-1</v>
      </c>
    </row>
    <row r="14" spans="1:6" x14ac:dyDescent="0.3">
      <c r="A14" s="6"/>
      <c r="B14" s="6" t="s">
        <v>334</v>
      </c>
      <c r="C14" s="6">
        <v>-1</v>
      </c>
      <c r="D14" s="6">
        <v>-1</v>
      </c>
      <c r="E14" s="6">
        <v>-1</v>
      </c>
      <c r="F14" s="6">
        <v>-1</v>
      </c>
    </row>
    <row r="15" spans="1:6" x14ac:dyDescent="0.3">
      <c r="A15" s="6"/>
      <c r="B15" s="6" t="s">
        <v>334</v>
      </c>
      <c r="C15" s="6">
        <v>-1</v>
      </c>
      <c r="D15" s="6">
        <v>-1</v>
      </c>
      <c r="E15" s="6">
        <v>-1</v>
      </c>
      <c r="F15" s="6">
        <v>-1</v>
      </c>
    </row>
    <row r="16" spans="1:6" x14ac:dyDescent="0.3">
      <c r="A16" s="6"/>
      <c r="B16" s="6" t="s">
        <v>334</v>
      </c>
      <c r="C16" s="6">
        <v>-1</v>
      </c>
      <c r="D16" s="6">
        <v>-1</v>
      </c>
      <c r="E16" s="6">
        <v>-1</v>
      </c>
      <c r="F16" s="6">
        <v>-1</v>
      </c>
    </row>
    <row r="17" spans="1:6" x14ac:dyDescent="0.3">
      <c r="A17" s="6"/>
      <c r="B17" s="6" t="s">
        <v>334</v>
      </c>
      <c r="C17" s="6">
        <v>-1</v>
      </c>
      <c r="D17" s="6">
        <v>-1</v>
      </c>
      <c r="E17" s="6">
        <v>-1</v>
      </c>
      <c r="F17" s="6">
        <v>-1</v>
      </c>
    </row>
    <row r="18" spans="1:6" x14ac:dyDescent="0.3">
      <c r="A18" s="6"/>
      <c r="B18" s="6" t="s">
        <v>334</v>
      </c>
      <c r="C18" s="6">
        <v>-1</v>
      </c>
      <c r="D18" s="6">
        <v>-1</v>
      </c>
      <c r="E18" s="6">
        <v>-1</v>
      </c>
      <c r="F18" s="6">
        <v>-1</v>
      </c>
    </row>
    <row r="19" spans="1:6" x14ac:dyDescent="0.3">
      <c r="A19" s="6"/>
      <c r="B19" s="6" t="s">
        <v>334</v>
      </c>
      <c r="C19" s="6">
        <v>-1</v>
      </c>
      <c r="D19" s="6">
        <v>-1</v>
      </c>
      <c r="E19" s="6">
        <v>-1</v>
      </c>
      <c r="F19" s="6">
        <v>-1</v>
      </c>
    </row>
    <row r="20" spans="1:6" x14ac:dyDescent="0.3">
      <c r="A20" s="6" t="s">
        <v>3659</v>
      </c>
      <c r="B20" s="6" t="s">
        <v>364</v>
      </c>
      <c r="C20" s="6">
        <v>49</v>
      </c>
      <c r="D20" s="6">
        <v>12</v>
      </c>
      <c r="E20" s="6">
        <v>2</v>
      </c>
      <c r="F20" s="6">
        <v>1</v>
      </c>
    </row>
    <row r="21" spans="1:6" x14ac:dyDescent="0.3">
      <c r="A21" s="6" t="s">
        <v>5019</v>
      </c>
      <c r="B21" s="6" t="s">
        <v>364</v>
      </c>
      <c r="C21" s="6">
        <v>71</v>
      </c>
      <c r="D21" s="6"/>
      <c r="E21" s="6">
        <v>46</v>
      </c>
      <c r="F21" s="6">
        <v>10</v>
      </c>
    </row>
    <row r="22" spans="1:6" x14ac:dyDescent="0.3">
      <c r="A22" s="6"/>
      <c r="B22" s="6" t="s">
        <v>364</v>
      </c>
      <c r="C22" s="6">
        <v>-1</v>
      </c>
      <c r="D22" s="6">
        <v>-1</v>
      </c>
      <c r="E22" s="6">
        <v>-1</v>
      </c>
      <c r="F22" s="6">
        <v>-1</v>
      </c>
    </row>
    <row r="23" spans="1:6" x14ac:dyDescent="0.3">
      <c r="A23" s="6"/>
      <c r="B23" s="6" t="s">
        <v>364</v>
      </c>
      <c r="C23" s="6">
        <v>-1</v>
      </c>
      <c r="D23" s="6">
        <v>-1</v>
      </c>
      <c r="E23" s="6">
        <v>-1</v>
      </c>
      <c r="F23" s="6">
        <v>-1</v>
      </c>
    </row>
    <row r="24" spans="1:6" x14ac:dyDescent="0.3">
      <c r="A24" s="6"/>
      <c r="B24" s="6" t="s">
        <v>364</v>
      </c>
      <c r="C24" s="6">
        <v>-1</v>
      </c>
      <c r="D24" s="6">
        <v>-1</v>
      </c>
      <c r="E24" s="6">
        <v>-1</v>
      </c>
      <c r="F24" s="6">
        <v>-1</v>
      </c>
    </row>
    <row r="25" spans="1:6" x14ac:dyDescent="0.3">
      <c r="A25" s="6"/>
      <c r="B25" s="6" t="s">
        <v>444</v>
      </c>
      <c r="C25" s="6">
        <v>-1</v>
      </c>
      <c r="D25" s="6">
        <v>-1</v>
      </c>
      <c r="E25" s="6">
        <v>-1</v>
      </c>
      <c r="F25" s="6">
        <v>-1</v>
      </c>
    </row>
    <row r="26" spans="1:6" x14ac:dyDescent="0.3">
      <c r="A26" s="6"/>
      <c r="B26" s="6" t="s">
        <v>444</v>
      </c>
      <c r="C26" s="6">
        <v>-1</v>
      </c>
      <c r="D26" s="6">
        <v>-1</v>
      </c>
      <c r="E26" s="6">
        <v>-1</v>
      </c>
      <c r="F26" s="6">
        <v>-1</v>
      </c>
    </row>
    <row r="27" spans="1:6" x14ac:dyDescent="0.3">
      <c r="A27" s="6"/>
      <c r="B27" s="6" t="s">
        <v>444</v>
      </c>
      <c r="C27" s="6">
        <v>-1</v>
      </c>
      <c r="D27" s="6">
        <v>-1</v>
      </c>
      <c r="E27" s="6">
        <v>-1</v>
      </c>
      <c r="F27" s="6">
        <v>-1</v>
      </c>
    </row>
    <row r="28" spans="1:6" x14ac:dyDescent="0.3">
      <c r="A28" s="6"/>
      <c r="B28" s="6" t="s">
        <v>444</v>
      </c>
      <c r="C28" s="6">
        <v>-1</v>
      </c>
      <c r="D28" s="6">
        <v>-1</v>
      </c>
      <c r="E28" s="6">
        <v>-1</v>
      </c>
      <c r="F28" s="6">
        <v>-1</v>
      </c>
    </row>
    <row r="29" spans="1:6" x14ac:dyDescent="0.3">
      <c r="A29" s="6"/>
      <c r="B29" s="6" t="s">
        <v>444</v>
      </c>
      <c r="C29" s="6">
        <v>-1</v>
      </c>
      <c r="D29" s="6">
        <v>-1</v>
      </c>
      <c r="E29" s="6">
        <v>-1</v>
      </c>
      <c r="F29" s="6">
        <v>-1</v>
      </c>
    </row>
    <row r="30" spans="1:6" x14ac:dyDescent="0.3">
      <c r="A30" s="6" t="s">
        <v>2259</v>
      </c>
      <c r="B30" s="6" t="s">
        <v>356</v>
      </c>
      <c r="C30" s="6">
        <v>30</v>
      </c>
      <c r="D30" s="6"/>
      <c r="E30" s="6">
        <v>26</v>
      </c>
      <c r="F30" s="6">
        <v>43</v>
      </c>
    </row>
    <row r="31" spans="1:6" x14ac:dyDescent="0.3">
      <c r="A31" s="6" t="s">
        <v>2303</v>
      </c>
      <c r="B31" s="6" t="s">
        <v>356</v>
      </c>
      <c r="C31" s="6">
        <v>5</v>
      </c>
      <c r="D31" s="6">
        <v>5</v>
      </c>
      <c r="E31" s="6">
        <v>9</v>
      </c>
      <c r="F31" s="6">
        <v>44</v>
      </c>
    </row>
    <row r="32" spans="1:6" x14ac:dyDescent="0.3">
      <c r="A32" s="6" t="s">
        <v>4273</v>
      </c>
      <c r="B32" s="6" t="s">
        <v>356</v>
      </c>
      <c r="C32" s="6">
        <v>65</v>
      </c>
      <c r="D32" s="6"/>
      <c r="E32" s="6">
        <v>36</v>
      </c>
      <c r="F32" s="6">
        <v>23</v>
      </c>
    </row>
    <row r="33" spans="1:6" x14ac:dyDescent="0.3">
      <c r="A33" s="6"/>
      <c r="B33" s="6" t="s">
        <v>356</v>
      </c>
      <c r="C33" s="6">
        <v>-1</v>
      </c>
      <c r="D33" s="6">
        <v>-1</v>
      </c>
      <c r="E33" s="6">
        <v>-1</v>
      </c>
      <c r="F33" s="6">
        <v>-1</v>
      </c>
    </row>
    <row r="34" spans="1:6" x14ac:dyDescent="0.3">
      <c r="A34" s="6"/>
      <c r="B34" s="6" t="s">
        <v>356</v>
      </c>
      <c r="C34" s="6">
        <v>-1</v>
      </c>
      <c r="D34" s="6">
        <v>-1</v>
      </c>
      <c r="E34" s="6">
        <v>-1</v>
      </c>
      <c r="F34" s="6">
        <v>-1</v>
      </c>
    </row>
    <row r="35" spans="1:6" x14ac:dyDescent="0.3">
      <c r="A35" s="6"/>
      <c r="B35" s="6" t="s">
        <v>358</v>
      </c>
      <c r="C35" s="6">
        <v>-1</v>
      </c>
      <c r="D35" s="6">
        <v>-1</v>
      </c>
      <c r="E35" s="6">
        <v>-1</v>
      </c>
      <c r="F35" s="6">
        <v>-1</v>
      </c>
    </row>
    <row r="36" spans="1:6" x14ac:dyDescent="0.3">
      <c r="A36" s="6"/>
      <c r="B36" s="6" t="s">
        <v>358</v>
      </c>
      <c r="C36" s="6">
        <v>-1</v>
      </c>
      <c r="D36" s="6">
        <v>-1</v>
      </c>
      <c r="E36" s="6">
        <v>-1</v>
      </c>
      <c r="F36" s="6">
        <v>-1</v>
      </c>
    </row>
    <row r="37" spans="1:6" x14ac:dyDescent="0.3">
      <c r="A37" s="6"/>
      <c r="B37" s="6" t="s">
        <v>358</v>
      </c>
      <c r="C37" s="6">
        <v>-1</v>
      </c>
      <c r="D37" s="6">
        <v>-1</v>
      </c>
      <c r="E37" s="6">
        <v>-1</v>
      </c>
      <c r="F37" s="6">
        <v>-1</v>
      </c>
    </row>
    <row r="38" spans="1:6" x14ac:dyDescent="0.3">
      <c r="A38" s="6"/>
      <c r="B38" s="6" t="s">
        <v>358</v>
      </c>
      <c r="C38" s="6">
        <v>-1</v>
      </c>
      <c r="D38" s="6">
        <v>-1</v>
      </c>
      <c r="E38" s="6">
        <v>-1</v>
      </c>
      <c r="F38" s="6">
        <v>-1</v>
      </c>
    </row>
    <row r="39" spans="1:6" x14ac:dyDescent="0.3">
      <c r="A39" s="6"/>
      <c r="B39" s="6" t="s">
        <v>358</v>
      </c>
      <c r="C39" s="6">
        <v>-1</v>
      </c>
      <c r="D39" s="6">
        <v>-1</v>
      </c>
      <c r="E39" s="6">
        <v>-1</v>
      </c>
      <c r="F39" s="6">
        <v>-1</v>
      </c>
    </row>
    <row r="40" spans="1:6" x14ac:dyDescent="0.3">
      <c r="A40" s="6"/>
      <c r="B40" s="6" t="s">
        <v>726</v>
      </c>
      <c r="C40" s="6">
        <v>-1</v>
      </c>
      <c r="D40" s="6">
        <v>-1</v>
      </c>
      <c r="E40" s="6">
        <v>-1</v>
      </c>
      <c r="F40" s="6">
        <v>-1</v>
      </c>
    </row>
    <row r="41" spans="1:6" x14ac:dyDescent="0.3">
      <c r="A41" s="6"/>
      <c r="B41" s="6" t="s">
        <v>726</v>
      </c>
      <c r="C41" s="6">
        <v>-1</v>
      </c>
      <c r="D41" s="6">
        <v>-1</v>
      </c>
      <c r="E41" s="6">
        <v>-1</v>
      </c>
      <c r="F41" s="6">
        <v>-1</v>
      </c>
    </row>
    <row r="42" spans="1:6" x14ac:dyDescent="0.3">
      <c r="A42" s="6"/>
      <c r="B42" s="6" t="s">
        <v>726</v>
      </c>
      <c r="C42" s="6">
        <v>-1</v>
      </c>
      <c r="D42" s="6">
        <v>-1</v>
      </c>
      <c r="E42" s="6">
        <v>-1</v>
      </c>
      <c r="F42" s="6">
        <v>-1</v>
      </c>
    </row>
    <row r="43" spans="1:6" x14ac:dyDescent="0.3">
      <c r="A43" s="6"/>
      <c r="B43" s="6" t="s">
        <v>726</v>
      </c>
      <c r="C43" s="6">
        <v>-1</v>
      </c>
      <c r="D43" s="6">
        <v>-1</v>
      </c>
      <c r="E43" s="6">
        <v>-1</v>
      </c>
      <c r="F43" s="6">
        <v>-1</v>
      </c>
    </row>
    <row r="44" spans="1:6" x14ac:dyDescent="0.3">
      <c r="A44" s="6"/>
      <c r="B44" s="6" t="s">
        <v>726</v>
      </c>
      <c r="C44" s="6">
        <v>-1</v>
      </c>
      <c r="D44" s="6">
        <v>-1</v>
      </c>
      <c r="E44" s="6">
        <v>-1</v>
      </c>
      <c r="F44" s="6">
        <v>-1</v>
      </c>
    </row>
    <row r="45" spans="1:6" x14ac:dyDescent="0.3">
      <c r="A45" s="6" t="s">
        <v>3586</v>
      </c>
      <c r="B45" s="6" t="s">
        <v>442</v>
      </c>
      <c r="C45" s="6"/>
      <c r="D45" s="6"/>
      <c r="E45" s="6"/>
      <c r="F45" s="6">
        <v>81</v>
      </c>
    </row>
    <row r="46" spans="1:6" x14ac:dyDescent="0.3">
      <c r="A46" s="6" t="s">
        <v>3598</v>
      </c>
      <c r="B46" s="6" t="s">
        <v>442</v>
      </c>
      <c r="C46" s="6">
        <v>51</v>
      </c>
      <c r="D46" s="6"/>
      <c r="E46" s="6"/>
      <c r="F46" s="6"/>
    </row>
    <row r="47" spans="1:6" x14ac:dyDescent="0.3">
      <c r="A47" s="6"/>
      <c r="B47" s="6" t="s">
        <v>442</v>
      </c>
      <c r="C47" s="6">
        <v>-1</v>
      </c>
      <c r="D47" s="6">
        <v>-1</v>
      </c>
      <c r="E47" s="6">
        <v>-1</v>
      </c>
      <c r="F47" s="6">
        <v>-1</v>
      </c>
    </row>
    <row r="48" spans="1:6" x14ac:dyDescent="0.3">
      <c r="A48" s="6"/>
      <c r="B48" s="6" t="s">
        <v>442</v>
      </c>
      <c r="C48" s="6">
        <v>-1</v>
      </c>
      <c r="D48" s="6">
        <v>-1</v>
      </c>
      <c r="E48" s="6">
        <v>-1</v>
      </c>
      <c r="F48" s="6">
        <v>-1</v>
      </c>
    </row>
    <row r="49" spans="1:6" x14ac:dyDescent="0.3">
      <c r="A49" s="6"/>
      <c r="B49" s="6" t="s">
        <v>442</v>
      </c>
      <c r="C49" s="6">
        <v>-1</v>
      </c>
      <c r="D49" s="6">
        <v>-1</v>
      </c>
      <c r="E49" s="6">
        <v>-1</v>
      </c>
      <c r="F49" s="6">
        <v>-1</v>
      </c>
    </row>
    <row r="50" spans="1:6" x14ac:dyDescent="0.3">
      <c r="A50" s="6" t="s">
        <v>1892</v>
      </c>
      <c r="B50" s="6" t="s">
        <v>372</v>
      </c>
      <c r="C50" s="6">
        <v>56</v>
      </c>
      <c r="D50" s="6"/>
      <c r="E50" s="6"/>
      <c r="F50" s="6">
        <v>77</v>
      </c>
    </row>
    <row r="51" spans="1:6" x14ac:dyDescent="0.3">
      <c r="A51" s="6" t="s">
        <v>3737</v>
      </c>
      <c r="B51" s="6" t="s">
        <v>372</v>
      </c>
      <c r="C51" s="6">
        <v>20</v>
      </c>
      <c r="D51" s="6">
        <v>19</v>
      </c>
      <c r="E51" s="6">
        <v>3</v>
      </c>
      <c r="F51" s="6">
        <v>6</v>
      </c>
    </row>
    <row r="52" spans="1:6" x14ac:dyDescent="0.3">
      <c r="A52" s="6"/>
      <c r="B52" s="6" t="s">
        <v>372</v>
      </c>
      <c r="C52" s="6">
        <v>-1</v>
      </c>
      <c r="D52" s="6">
        <v>-1</v>
      </c>
      <c r="E52" s="6">
        <v>-1</v>
      </c>
      <c r="F52" s="6">
        <v>-1</v>
      </c>
    </row>
    <row r="53" spans="1:6" x14ac:dyDescent="0.3">
      <c r="A53" s="6"/>
      <c r="B53" s="6" t="s">
        <v>372</v>
      </c>
      <c r="C53" s="6">
        <v>-1</v>
      </c>
      <c r="D53" s="6">
        <v>-1</v>
      </c>
      <c r="E53" s="6">
        <v>-1</v>
      </c>
      <c r="F53" s="6">
        <v>-1</v>
      </c>
    </row>
    <row r="54" spans="1:6" x14ac:dyDescent="0.3">
      <c r="A54" s="6"/>
      <c r="B54" s="6" t="s">
        <v>372</v>
      </c>
      <c r="C54" s="6">
        <v>-1</v>
      </c>
      <c r="D54" s="6">
        <v>-1</v>
      </c>
      <c r="E54" s="6">
        <v>-1</v>
      </c>
      <c r="F54" s="6">
        <v>-1</v>
      </c>
    </row>
    <row r="55" spans="1:6" x14ac:dyDescent="0.3">
      <c r="A55" s="6" t="s">
        <v>3697</v>
      </c>
      <c r="B55" s="6" t="s">
        <v>394</v>
      </c>
      <c r="C55" s="6">
        <v>43</v>
      </c>
      <c r="D55" s="6">
        <v>30</v>
      </c>
      <c r="E55" s="6">
        <v>12</v>
      </c>
      <c r="F55" s="6">
        <v>8</v>
      </c>
    </row>
    <row r="56" spans="1:6" x14ac:dyDescent="0.3">
      <c r="A56" s="6"/>
      <c r="B56" s="6" t="s">
        <v>394</v>
      </c>
      <c r="C56" s="6">
        <v>-1</v>
      </c>
      <c r="D56" s="6">
        <v>-1</v>
      </c>
      <c r="E56" s="6">
        <v>-1</v>
      </c>
      <c r="F56" s="6">
        <v>-1</v>
      </c>
    </row>
    <row r="57" spans="1:6" x14ac:dyDescent="0.3">
      <c r="A57" s="6"/>
      <c r="B57" s="6" t="s">
        <v>394</v>
      </c>
      <c r="C57" s="6">
        <v>-1</v>
      </c>
      <c r="D57" s="6">
        <v>-1</v>
      </c>
      <c r="E57" s="6">
        <v>-1</v>
      </c>
      <c r="F57" s="6">
        <v>-1</v>
      </c>
    </row>
    <row r="58" spans="1:6" x14ac:dyDescent="0.3">
      <c r="A58" s="6"/>
      <c r="B58" s="6" t="s">
        <v>394</v>
      </c>
      <c r="C58" s="6">
        <v>-1</v>
      </c>
      <c r="D58" s="6">
        <v>-1</v>
      </c>
      <c r="E58" s="6">
        <v>-1</v>
      </c>
      <c r="F58" s="6">
        <v>-1</v>
      </c>
    </row>
    <row r="59" spans="1:6" x14ac:dyDescent="0.3">
      <c r="A59" s="6"/>
      <c r="B59" s="6" t="s">
        <v>694</v>
      </c>
      <c r="C59" s="6">
        <v>-1</v>
      </c>
      <c r="D59" s="6">
        <v>-1</v>
      </c>
      <c r="E59" s="6">
        <v>-1</v>
      </c>
      <c r="F59" s="6">
        <v>-1</v>
      </c>
    </row>
    <row r="60" spans="1:6" x14ac:dyDescent="0.3">
      <c r="A60" s="6"/>
      <c r="B60" s="6" t="s">
        <v>694</v>
      </c>
      <c r="C60" s="6">
        <v>-1</v>
      </c>
      <c r="D60" s="6">
        <v>-1</v>
      </c>
      <c r="E60" s="6">
        <v>-1</v>
      </c>
      <c r="F60" s="6">
        <v>-1</v>
      </c>
    </row>
    <row r="61" spans="1:6" x14ac:dyDescent="0.3">
      <c r="A61" s="6"/>
      <c r="B61" s="6" t="s">
        <v>694</v>
      </c>
      <c r="C61" s="6">
        <v>-1</v>
      </c>
      <c r="D61" s="6">
        <v>-1</v>
      </c>
      <c r="E61" s="6">
        <v>-1</v>
      </c>
      <c r="F61" s="6">
        <v>-1</v>
      </c>
    </row>
    <row r="62" spans="1:6" x14ac:dyDescent="0.3">
      <c r="A62" s="6"/>
      <c r="B62" s="6" t="s">
        <v>694</v>
      </c>
      <c r="C62" s="6">
        <v>-1</v>
      </c>
      <c r="D62" s="6">
        <v>-1</v>
      </c>
      <c r="E62" s="6">
        <v>-1</v>
      </c>
      <c r="F62" s="6">
        <v>-1</v>
      </c>
    </row>
    <row r="63" spans="1:6" x14ac:dyDescent="0.3">
      <c r="A63" s="6"/>
      <c r="B63" s="6" t="s">
        <v>572</v>
      </c>
      <c r="C63" s="6">
        <v>-1</v>
      </c>
      <c r="D63" s="6">
        <v>-1</v>
      </c>
      <c r="E63" s="6">
        <v>-1</v>
      </c>
      <c r="F63" s="6">
        <v>-1</v>
      </c>
    </row>
    <row r="64" spans="1:6" x14ac:dyDescent="0.3">
      <c r="A64" s="6"/>
      <c r="B64" s="6" t="s">
        <v>572</v>
      </c>
      <c r="C64" s="6">
        <v>-1</v>
      </c>
      <c r="D64" s="6">
        <v>-1</v>
      </c>
      <c r="E64" s="6">
        <v>-1</v>
      </c>
      <c r="F64" s="6">
        <v>-1</v>
      </c>
    </row>
    <row r="65" spans="1:6" x14ac:dyDescent="0.3">
      <c r="A65" s="6"/>
      <c r="B65" s="6" t="s">
        <v>572</v>
      </c>
      <c r="C65" s="6">
        <v>-1</v>
      </c>
      <c r="D65" s="6">
        <v>-1</v>
      </c>
      <c r="E65" s="6">
        <v>-1</v>
      </c>
      <c r="F65" s="6">
        <v>-1</v>
      </c>
    </row>
    <row r="66" spans="1:6" x14ac:dyDescent="0.3">
      <c r="A66" s="6"/>
      <c r="B66" s="6" t="s">
        <v>572</v>
      </c>
      <c r="C66" s="6">
        <v>-1</v>
      </c>
      <c r="D66" s="6">
        <v>-1</v>
      </c>
      <c r="E66" s="6">
        <v>-1</v>
      </c>
      <c r="F66" s="6">
        <v>-1</v>
      </c>
    </row>
    <row r="67" spans="1:6" x14ac:dyDescent="0.3">
      <c r="A67" s="6" t="s">
        <v>4910</v>
      </c>
      <c r="B67" s="6" t="s">
        <v>408</v>
      </c>
      <c r="C67" s="6">
        <v>82</v>
      </c>
      <c r="D67" s="6"/>
      <c r="E67" s="6">
        <v>38</v>
      </c>
      <c r="F67" s="6">
        <v>51</v>
      </c>
    </row>
    <row r="68" spans="1:6" x14ac:dyDescent="0.3">
      <c r="A68" s="6"/>
      <c r="B68" s="6" t="s">
        <v>408</v>
      </c>
      <c r="C68" s="6">
        <v>-1</v>
      </c>
      <c r="D68" s="6">
        <v>-1</v>
      </c>
      <c r="E68" s="6">
        <v>-1</v>
      </c>
      <c r="F68" s="6">
        <v>-1</v>
      </c>
    </row>
    <row r="69" spans="1:6" x14ac:dyDescent="0.3">
      <c r="A69" s="6"/>
      <c r="B69" s="6" t="s">
        <v>408</v>
      </c>
      <c r="C69" s="6">
        <v>-1</v>
      </c>
      <c r="D69" s="6">
        <v>-1</v>
      </c>
      <c r="E69" s="6">
        <v>-1</v>
      </c>
      <c r="F69" s="6">
        <v>-1</v>
      </c>
    </row>
    <row r="70" spans="1:6" x14ac:dyDescent="0.3">
      <c r="A70" s="6"/>
      <c r="B70" s="6" t="s">
        <v>408</v>
      </c>
      <c r="C70" s="6">
        <v>-1</v>
      </c>
      <c r="D70" s="6">
        <v>-1</v>
      </c>
      <c r="E70" s="6">
        <v>-1</v>
      </c>
      <c r="F70" s="6">
        <v>-1</v>
      </c>
    </row>
    <row r="71" spans="1:6" x14ac:dyDescent="0.3">
      <c r="A71" s="6" t="s">
        <v>3304</v>
      </c>
      <c r="B71" s="6" t="s">
        <v>370</v>
      </c>
      <c r="C71" s="6">
        <v>73</v>
      </c>
      <c r="D71" s="6"/>
      <c r="E71" s="6"/>
      <c r="F71" s="6">
        <v>85</v>
      </c>
    </row>
    <row r="72" spans="1:6" x14ac:dyDescent="0.3">
      <c r="A72" s="6" t="s">
        <v>3388</v>
      </c>
      <c r="B72" s="6" t="s">
        <v>370</v>
      </c>
      <c r="C72" s="6">
        <v>3</v>
      </c>
      <c r="D72" s="6">
        <v>14</v>
      </c>
      <c r="E72" s="6">
        <v>7</v>
      </c>
      <c r="F72" s="6">
        <v>11</v>
      </c>
    </row>
    <row r="73" spans="1:6" x14ac:dyDescent="0.3">
      <c r="A73" s="6" t="s">
        <v>3390</v>
      </c>
      <c r="B73" s="6" t="s">
        <v>370</v>
      </c>
      <c r="C73" s="6">
        <v>59</v>
      </c>
      <c r="D73" s="6">
        <v>20</v>
      </c>
      <c r="E73" s="6">
        <v>14</v>
      </c>
      <c r="F73" s="6">
        <v>4</v>
      </c>
    </row>
    <row r="74" spans="1:6" x14ac:dyDescent="0.3">
      <c r="A74" s="6"/>
      <c r="B74" s="6" t="s">
        <v>370</v>
      </c>
      <c r="C74" s="6">
        <v>-1</v>
      </c>
      <c r="D74" s="6">
        <v>-1</v>
      </c>
      <c r="E74" s="6">
        <v>-1</v>
      </c>
      <c r="F74" s="6">
        <v>-1</v>
      </c>
    </row>
    <row r="75" spans="1:6" x14ac:dyDescent="0.3">
      <c r="A75" s="6" t="s">
        <v>2174</v>
      </c>
      <c r="B75" s="6" t="s">
        <v>384</v>
      </c>
      <c r="C75" s="6">
        <v>67</v>
      </c>
      <c r="D75" s="6"/>
      <c r="E75" s="6"/>
      <c r="F75" s="6">
        <v>61</v>
      </c>
    </row>
    <row r="76" spans="1:6" x14ac:dyDescent="0.3">
      <c r="A76" s="6" t="s">
        <v>2178</v>
      </c>
      <c r="B76" s="6" t="s">
        <v>384</v>
      </c>
      <c r="C76" s="6">
        <v>24</v>
      </c>
      <c r="D76" s="6"/>
      <c r="E76" s="6"/>
      <c r="F76" s="6">
        <v>67</v>
      </c>
    </row>
    <row r="77" spans="1:6" x14ac:dyDescent="0.3">
      <c r="A77" s="6" t="s">
        <v>2569</v>
      </c>
      <c r="B77" s="6" t="s">
        <v>384</v>
      </c>
      <c r="C77" s="6"/>
      <c r="D77" s="6"/>
      <c r="E77" s="6">
        <v>58</v>
      </c>
      <c r="F77" s="6">
        <v>56</v>
      </c>
    </row>
    <row r="78" spans="1:6" x14ac:dyDescent="0.3">
      <c r="A78" s="6"/>
      <c r="B78" s="6" t="s">
        <v>384</v>
      </c>
      <c r="C78" s="6">
        <v>-1</v>
      </c>
      <c r="D78" s="6">
        <v>-1</v>
      </c>
      <c r="E78" s="6">
        <v>-1</v>
      </c>
      <c r="F78" s="6">
        <v>-1</v>
      </c>
    </row>
    <row r="79" spans="1:6" x14ac:dyDescent="0.3">
      <c r="A79" s="6" t="s">
        <v>2515</v>
      </c>
      <c r="B79" s="6" t="s">
        <v>520</v>
      </c>
      <c r="C79" s="6">
        <v>19</v>
      </c>
      <c r="D79" s="6"/>
      <c r="E79" s="6">
        <v>47</v>
      </c>
      <c r="F79" s="6">
        <v>39</v>
      </c>
    </row>
    <row r="80" spans="1:6" x14ac:dyDescent="0.3">
      <c r="A80" s="6"/>
      <c r="B80" s="6" t="s">
        <v>520</v>
      </c>
      <c r="C80" s="6">
        <v>-1</v>
      </c>
      <c r="D80" s="6">
        <v>-1</v>
      </c>
      <c r="E80" s="6">
        <v>-1</v>
      </c>
      <c r="F80" s="6">
        <v>-1</v>
      </c>
    </row>
    <row r="81" spans="1:6" x14ac:dyDescent="0.3">
      <c r="A81" s="6"/>
      <c r="B81" s="6" t="s">
        <v>520</v>
      </c>
      <c r="C81" s="6">
        <v>-1</v>
      </c>
      <c r="D81" s="6">
        <v>-1</v>
      </c>
      <c r="E81" s="6">
        <v>-1</v>
      </c>
      <c r="F81" s="6">
        <v>-1</v>
      </c>
    </row>
    <row r="82" spans="1:6" x14ac:dyDescent="0.3">
      <c r="A82" s="6"/>
      <c r="B82" s="6" t="s">
        <v>520</v>
      </c>
      <c r="C82" s="6">
        <v>-1</v>
      </c>
      <c r="D82" s="6">
        <v>-1</v>
      </c>
      <c r="E82" s="6">
        <v>-1</v>
      </c>
      <c r="F82" s="6">
        <v>-1</v>
      </c>
    </row>
    <row r="83" spans="1:6" x14ac:dyDescent="0.3">
      <c r="A83" s="6" t="s">
        <v>3500</v>
      </c>
      <c r="B83" s="6" t="s">
        <v>614</v>
      </c>
      <c r="C83" s="6">
        <v>64</v>
      </c>
      <c r="D83" s="6"/>
      <c r="E83" s="6"/>
      <c r="F83" s="6">
        <v>71</v>
      </c>
    </row>
    <row r="84" spans="1:6" x14ac:dyDescent="0.3">
      <c r="A84" s="6" t="s">
        <v>3503</v>
      </c>
      <c r="B84" s="6" t="s">
        <v>614</v>
      </c>
      <c r="C84" s="6">
        <v>36</v>
      </c>
      <c r="D84" s="6">
        <v>23</v>
      </c>
      <c r="E84" s="6">
        <v>11</v>
      </c>
      <c r="F84" s="6">
        <v>16</v>
      </c>
    </row>
    <row r="85" spans="1:6" x14ac:dyDescent="0.3">
      <c r="A85" s="6" t="s">
        <v>3557</v>
      </c>
      <c r="B85" s="6" t="s">
        <v>614</v>
      </c>
      <c r="C85" s="6">
        <v>58</v>
      </c>
      <c r="D85" s="6"/>
      <c r="E85" s="6">
        <v>53</v>
      </c>
      <c r="F85" s="6">
        <v>38</v>
      </c>
    </row>
    <row r="86" spans="1:6" x14ac:dyDescent="0.3">
      <c r="A86" s="6"/>
      <c r="B86" s="6" t="s">
        <v>614</v>
      </c>
      <c r="C86" s="6">
        <v>-1</v>
      </c>
      <c r="D86" s="6">
        <v>-1</v>
      </c>
      <c r="E86" s="6">
        <v>-1</v>
      </c>
      <c r="F86" s="6">
        <v>-1</v>
      </c>
    </row>
    <row r="87" spans="1:6" x14ac:dyDescent="0.3">
      <c r="A87" s="6" t="s">
        <v>4181</v>
      </c>
      <c r="B87" s="6" t="s">
        <v>332</v>
      </c>
      <c r="C87" s="6">
        <v>21</v>
      </c>
      <c r="D87" s="6"/>
      <c r="E87" s="6"/>
      <c r="F87" s="6">
        <v>66</v>
      </c>
    </row>
    <row r="88" spans="1:6" x14ac:dyDescent="0.3">
      <c r="A88" s="6" t="s">
        <v>4807</v>
      </c>
      <c r="B88" s="6" t="s">
        <v>332</v>
      </c>
      <c r="C88" s="6">
        <v>84</v>
      </c>
      <c r="D88" s="6"/>
      <c r="E88" s="6"/>
      <c r="F88" s="6">
        <v>79</v>
      </c>
    </row>
    <row r="89" spans="1:6" x14ac:dyDescent="0.3">
      <c r="A89" s="6"/>
      <c r="B89" s="6" t="s">
        <v>332</v>
      </c>
      <c r="C89" s="6">
        <v>-1</v>
      </c>
      <c r="D89" s="6">
        <v>-1</v>
      </c>
      <c r="E89" s="6">
        <v>-1</v>
      </c>
      <c r="F89" s="6">
        <v>-1</v>
      </c>
    </row>
    <row r="90" spans="1:6" x14ac:dyDescent="0.3">
      <c r="A90" s="6"/>
      <c r="B90" s="6" t="s">
        <v>332</v>
      </c>
      <c r="C90" s="6">
        <v>-1</v>
      </c>
      <c r="D90" s="6">
        <v>-1</v>
      </c>
      <c r="E90" s="6">
        <v>-1</v>
      </c>
      <c r="F90" s="6">
        <v>-1</v>
      </c>
    </row>
    <row r="91" spans="1:6" x14ac:dyDescent="0.3">
      <c r="A91" s="6"/>
      <c r="B91" s="6" t="s">
        <v>620</v>
      </c>
      <c r="C91" s="6">
        <v>-1</v>
      </c>
      <c r="D91" s="6">
        <v>-1</v>
      </c>
      <c r="E91" s="6">
        <v>-1</v>
      </c>
      <c r="F91" s="6">
        <v>-1</v>
      </c>
    </row>
    <row r="92" spans="1:6" x14ac:dyDescent="0.3">
      <c r="A92" s="6"/>
      <c r="B92" s="6" t="s">
        <v>620</v>
      </c>
      <c r="C92" s="6">
        <v>-1</v>
      </c>
      <c r="D92" s="6">
        <v>-1</v>
      </c>
      <c r="E92" s="6">
        <v>-1</v>
      </c>
      <c r="F92" s="6">
        <v>-1</v>
      </c>
    </row>
    <row r="93" spans="1:6" x14ac:dyDescent="0.3">
      <c r="A93" s="6"/>
      <c r="B93" s="6" t="s">
        <v>620</v>
      </c>
      <c r="C93" s="6">
        <v>-1</v>
      </c>
      <c r="D93" s="6">
        <v>-1</v>
      </c>
      <c r="E93" s="6">
        <v>-1</v>
      </c>
      <c r="F93" s="6">
        <v>-1</v>
      </c>
    </row>
    <row r="94" spans="1:6" x14ac:dyDescent="0.3">
      <c r="A94" s="6"/>
      <c r="B94" s="6" t="s">
        <v>620</v>
      </c>
      <c r="C94" s="6">
        <v>-1</v>
      </c>
      <c r="D94" s="6">
        <v>-1</v>
      </c>
      <c r="E94" s="6">
        <v>-1</v>
      </c>
      <c r="F94" s="6">
        <v>-1</v>
      </c>
    </row>
    <row r="95" spans="1:6" x14ac:dyDescent="0.3">
      <c r="A95" s="6"/>
      <c r="B95" s="6" t="s">
        <v>390</v>
      </c>
      <c r="C95" s="6">
        <v>-1</v>
      </c>
      <c r="D95" s="6">
        <v>-1</v>
      </c>
      <c r="E95" s="6">
        <v>-1</v>
      </c>
      <c r="F95" s="6">
        <v>-1</v>
      </c>
    </row>
    <row r="96" spans="1:6" x14ac:dyDescent="0.3">
      <c r="A96" s="6" t="s">
        <v>2879</v>
      </c>
      <c r="B96" s="6" t="s">
        <v>328</v>
      </c>
      <c r="C96" s="6">
        <v>54</v>
      </c>
      <c r="D96" s="6"/>
      <c r="E96" s="6">
        <v>31</v>
      </c>
      <c r="F96" s="6">
        <v>31</v>
      </c>
    </row>
    <row r="97" spans="1:6" x14ac:dyDescent="0.3">
      <c r="A97" s="6"/>
      <c r="B97" s="6" t="s">
        <v>414</v>
      </c>
      <c r="C97" s="6">
        <v>-1</v>
      </c>
      <c r="D97" s="6">
        <v>-1</v>
      </c>
      <c r="E97" s="6">
        <v>-1</v>
      </c>
      <c r="F97" s="6">
        <v>-1</v>
      </c>
    </row>
    <row r="98" spans="1:6" x14ac:dyDescent="0.3">
      <c r="A98" s="6" t="s">
        <v>2767</v>
      </c>
      <c r="B98" s="6" t="s">
        <v>450</v>
      </c>
      <c r="C98" s="6">
        <v>60</v>
      </c>
      <c r="D98" s="6"/>
      <c r="E98" s="6"/>
      <c r="F98" s="6">
        <v>68</v>
      </c>
    </row>
    <row r="99" spans="1:6" x14ac:dyDescent="0.3">
      <c r="A99" s="6"/>
      <c r="B99" s="6" t="s">
        <v>414</v>
      </c>
      <c r="C99" s="6">
        <v>-1</v>
      </c>
      <c r="D99" s="6">
        <v>-1</v>
      </c>
      <c r="E99" s="6">
        <v>-1</v>
      </c>
      <c r="F99" s="6">
        <v>-1</v>
      </c>
    </row>
    <row r="100" spans="1:6" x14ac:dyDescent="0.3">
      <c r="A100" s="6" t="s">
        <v>4376</v>
      </c>
      <c r="B100" s="6" t="s">
        <v>348</v>
      </c>
      <c r="C100" s="6">
        <v>72</v>
      </c>
      <c r="D100" s="6"/>
      <c r="E100" s="6">
        <v>56</v>
      </c>
      <c r="F100" s="6">
        <v>59</v>
      </c>
    </row>
    <row r="101" spans="1:6" x14ac:dyDescent="0.3">
      <c r="A101" s="6"/>
      <c r="B101" s="6" t="s">
        <v>328</v>
      </c>
      <c r="C101" s="6">
        <v>-1</v>
      </c>
      <c r="D101" s="6">
        <v>-1</v>
      </c>
      <c r="E101" s="6">
        <v>-1</v>
      </c>
      <c r="F101" s="6">
        <v>-1</v>
      </c>
    </row>
    <row r="102" spans="1:6" x14ac:dyDescent="0.3">
      <c r="A102" s="6"/>
      <c r="B102" s="6" t="s">
        <v>700</v>
      </c>
      <c r="C102" s="6">
        <v>-1</v>
      </c>
      <c r="D102" s="6">
        <v>-1</v>
      </c>
      <c r="E102" s="6">
        <v>-1</v>
      </c>
      <c r="F102" s="6">
        <v>-1</v>
      </c>
    </row>
    <row r="103" spans="1:6" x14ac:dyDescent="0.3">
      <c r="A103" s="6" t="s">
        <v>5033</v>
      </c>
      <c r="B103" s="6" t="s">
        <v>604</v>
      </c>
      <c r="C103" s="6">
        <v>86</v>
      </c>
      <c r="D103" s="6"/>
      <c r="E103" s="6"/>
      <c r="F103" s="6">
        <v>91</v>
      </c>
    </row>
    <row r="104" spans="1:6" x14ac:dyDescent="0.3">
      <c r="A104" s="6"/>
      <c r="B104" s="6" t="s">
        <v>604</v>
      </c>
      <c r="C104" s="6">
        <v>-1</v>
      </c>
      <c r="D104" s="6">
        <v>-1</v>
      </c>
      <c r="E104" s="6">
        <v>-1</v>
      </c>
      <c r="F104" s="6">
        <v>-1</v>
      </c>
    </row>
    <row r="105" spans="1:6" x14ac:dyDescent="0.3">
      <c r="A105" s="6" t="s">
        <v>2964</v>
      </c>
      <c r="B105" s="6" t="s">
        <v>402</v>
      </c>
      <c r="C105" s="6">
        <v>88</v>
      </c>
      <c r="D105" s="6"/>
      <c r="E105" s="6"/>
      <c r="F105" s="6">
        <v>89</v>
      </c>
    </row>
    <row r="106" spans="1:6" x14ac:dyDescent="0.3">
      <c r="A106" s="6"/>
      <c r="B106" s="6" t="s">
        <v>354</v>
      </c>
      <c r="C106" s="6">
        <v>-1</v>
      </c>
      <c r="D106" s="6">
        <v>-1</v>
      </c>
      <c r="E106" s="6">
        <v>-1</v>
      </c>
      <c r="F106" s="6">
        <v>-1</v>
      </c>
    </row>
    <row r="107" spans="1:6" x14ac:dyDescent="0.3">
      <c r="A107" s="6" t="s">
        <v>2316</v>
      </c>
      <c r="B107" s="6" t="s">
        <v>604</v>
      </c>
      <c r="C107" s="6">
        <v>89</v>
      </c>
      <c r="D107" s="6"/>
      <c r="E107" s="6"/>
      <c r="F107" s="6">
        <v>88</v>
      </c>
    </row>
  </sheetData>
  <pageMargins left="0.7" right="0.7" top="0.75" bottom="0.75" header="0.3" footer="0.3"/>
  <tableParts count="1">
    <tablePart r:id="rId1"/>
  </tableParts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E6485-E682-487E-BB4C-4C1A1F443497}">
  <dimension ref="A1:G62"/>
  <sheetViews>
    <sheetView topLeftCell="A58" workbookViewId="0">
      <selection activeCell="B63" sqref="B63"/>
    </sheetView>
  </sheetViews>
  <sheetFormatPr defaultRowHeight="14.4" x14ac:dyDescent="0.3"/>
  <cols>
    <col min="1" max="1" width="67" bestFit="1" customWidth="1"/>
    <col min="2" max="2" width="13.33203125" bestFit="1" customWidth="1"/>
    <col min="3" max="3" width="25" bestFit="1" customWidth="1"/>
    <col min="4" max="4" width="27.88671875" bestFit="1" customWidth="1"/>
    <col min="5" max="5" width="25.109375" bestFit="1" customWidth="1"/>
    <col min="6" max="6" width="17" bestFit="1" customWidth="1"/>
    <col min="7" max="7" width="14.77734375" bestFit="1" customWidth="1"/>
  </cols>
  <sheetData>
    <row r="1" spans="1:7" x14ac:dyDescent="0.3">
      <c r="A1" t="s">
        <v>834</v>
      </c>
      <c r="B1" t="s">
        <v>1</v>
      </c>
      <c r="C1" t="s">
        <v>1018</v>
      </c>
      <c r="D1" t="s">
        <v>1019</v>
      </c>
      <c r="E1" t="s">
        <v>1020</v>
      </c>
      <c r="F1" t="s">
        <v>1212</v>
      </c>
      <c r="G1" t="s">
        <v>1213</v>
      </c>
    </row>
    <row r="2" spans="1:7" x14ac:dyDescent="0.3">
      <c r="A2" s="6" t="s">
        <v>3182</v>
      </c>
      <c r="B2" s="6" t="s">
        <v>344</v>
      </c>
      <c r="C2" s="6">
        <v>1</v>
      </c>
      <c r="D2" s="6"/>
      <c r="E2" s="6"/>
      <c r="F2" s="6">
        <f>Table109[[#This Row],[Total Athletes]]-(LEN(Table109[[#This Row],[Team]])-LEN(SUBSTITUTE(Table109[[#This Row],[Team]],"/","")))-1</f>
        <v>2</v>
      </c>
      <c r="G2" s="6">
        <v>4</v>
      </c>
    </row>
    <row r="3" spans="1:7" x14ac:dyDescent="0.3">
      <c r="A3" s="6" t="s">
        <v>4999</v>
      </c>
      <c r="B3" s="6" t="s">
        <v>364</v>
      </c>
      <c r="C3" s="6">
        <v>2</v>
      </c>
      <c r="D3" s="6"/>
      <c r="E3" s="6"/>
      <c r="F3" s="6">
        <f>Table109[[#This Row],[Total Athletes]]-(LEN(Table109[[#This Row],[Team]])-LEN(SUBSTITUTE(Table109[[#This Row],[Team]],"/","")))-1</f>
        <v>2</v>
      </c>
      <c r="G3" s="6">
        <v>4</v>
      </c>
    </row>
    <row r="4" spans="1:7" x14ac:dyDescent="0.3">
      <c r="A4" s="6" t="s">
        <v>2673</v>
      </c>
      <c r="B4" s="6" t="s">
        <v>338</v>
      </c>
      <c r="C4" s="6">
        <v>3</v>
      </c>
      <c r="D4" s="6"/>
      <c r="E4" s="6"/>
      <c r="F4" s="6">
        <f>Table109[[#This Row],[Total Athletes]]-(LEN(Table109[[#This Row],[Team]])-LEN(SUBSTITUTE(Table109[[#This Row],[Team]],"/","")))-1</f>
        <v>3</v>
      </c>
      <c r="G4" s="6">
        <v>4</v>
      </c>
    </row>
    <row r="5" spans="1:7" x14ac:dyDescent="0.3">
      <c r="A5" s="6" t="s">
        <v>4674</v>
      </c>
      <c r="B5" s="6" t="s">
        <v>334</v>
      </c>
      <c r="C5" s="6">
        <v>4</v>
      </c>
      <c r="D5" s="6"/>
      <c r="E5" s="6"/>
      <c r="F5" s="6">
        <f>Table109[[#This Row],[Total Athletes]]-(LEN(Table109[[#This Row],[Team]])-LEN(SUBSTITUTE(Table109[[#This Row],[Team]],"/","")))-1</f>
        <v>3</v>
      </c>
      <c r="G5" s="6">
        <v>4</v>
      </c>
    </row>
    <row r="6" spans="1:7" x14ac:dyDescent="0.3">
      <c r="A6" s="6" t="s">
        <v>4968</v>
      </c>
      <c r="B6" s="6" t="s">
        <v>356</v>
      </c>
      <c r="C6" s="6">
        <v>14</v>
      </c>
      <c r="D6" s="6"/>
      <c r="E6" s="6"/>
      <c r="F6" s="6">
        <f>Table109[[#This Row],[Total Athletes]]-(LEN(Table109[[#This Row],[Team]])-LEN(SUBSTITUTE(Table109[[#This Row],[Team]],"/","")))-1</f>
        <v>1</v>
      </c>
      <c r="G6" s="6">
        <v>4</v>
      </c>
    </row>
    <row r="7" spans="1:7" x14ac:dyDescent="0.3">
      <c r="A7" s="6" t="s">
        <v>5043</v>
      </c>
      <c r="B7" s="6" t="s">
        <v>444</v>
      </c>
      <c r="C7" s="6">
        <v>8</v>
      </c>
      <c r="D7" s="6"/>
      <c r="E7" s="6"/>
      <c r="F7" s="6">
        <f>Table109[[#This Row],[Total Athletes]]-(LEN(Table109[[#This Row],[Team]])-LEN(SUBSTITUTE(Table109[[#This Row],[Team]],"/","")))-1</f>
        <v>3</v>
      </c>
      <c r="G7" s="6">
        <v>4</v>
      </c>
    </row>
    <row r="8" spans="1:7" x14ac:dyDescent="0.3">
      <c r="A8" s="6" t="s">
        <v>3590</v>
      </c>
      <c r="B8" s="6" t="s">
        <v>442</v>
      </c>
      <c r="C8" s="6">
        <v>6</v>
      </c>
      <c r="D8" s="6"/>
      <c r="E8" s="6"/>
      <c r="F8" s="6">
        <f>Table109[[#This Row],[Total Athletes]]-(LEN(Table109[[#This Row],[Team]])-LEN(SUBSTITUTE(Table109[[#This Row],[Team]],"/","")))-1</f>
        <v>2</v>
      </c>
      <c r="G8" s="6">
        <v>4</v>
      </c>
    </row>
    <row r="9" spans="1:7" x14ac:dyDescent="0.3">
      <c r="A9" s="6" t="s">
        <v>4772</v>
      </c>
      <c r="B9" s="6" t="s">
        <v>726</v>
      </c>
      <c r="C9" s="6">
        <v>16</v>
      </c>
      <c r="D9" s="6"/>
      <c r="E9" s="6"/>
      <c r="F9" s="6">
        <f>Table109[[#This Row],[Total Athletes]]-(LEN(Table109[[#This Row],[Team]])-LEN(SUBSTITUTE(Table109[[#This Row],[Team]],"/","")))-1</f>
        <v>3</v>
      </c>
      <c r="G9" s="6">
        <v>4</v>
      </c>
    </row>
    <row r="10" spans="1:7" x14ac:dyDescent="0.3">
      <c r="A10" s="6" t="s">
        <v>2766</v>
      </c>
      <c r="B10" s="6" t="s">
        <v>694</v>
      </c>
      <c r="C10" s="6">
        <v>9</v>
      </c>
      <c r="D10" s="6"/>
      <c r="E10" s="6"/>
      <c r="F10" s="6">
        <f>Table109[[#This Row],[Total Athletes]]-(LEN(Table109[[#This Row],[Team]])-LEN(SUBSTITUTE(Table109[[#This Row],[Team]],"/","")))-1</f>
        <v>3</v>
      </c>
      <c r="G10" s="6">
        <v>4</v>
      </c>
    </row>
    <row r="11" spans="1:7" x14ac:dyDescent="0.3">
      <c r="A11" s="6" t="s">
        <v>1463</v>
      </c>
      <c r="B11" s="6" t="s">
        <v>372</v>
      </c>
      <c r="C11" s="6">
        <v>7</v>
      </c>
      <c r="D11" s="6"/>
      <c r="E11" s="6"/>
      <c r="F11" s="6">
        <f>Table109[[#This Row],[Total Athletes]]-(LEN(Table109[[#This Row],[Team]])-LEN(SUBSTITUTE(Table109[[#This Row],[Team]],"/","")))-1</f>
        <v>2</v>
      </c>
      <c r="G11" s="6">
        <v>4</v>
      </c>
    </row>
    <row r="12" spans="1:7" x14ac:dyDescent="0.3">
      <c r="A12" s="6"/>
      <c r="B12" s="6" t="s">
        <v>358</v>
      </c>
      <c r="C12" s="6">
        <v>-1</v>
      </c>
      <c r="D12" s="6"/>
      <c r="E12" s="6"/>
      <c r="F12" s="6">
        <f>Table109[[#This Row],[Total Athletes]]-(LEN(Table109[[#This Row],[Team]])-LEN(SUBSTITUTE(Table109[[#This Row],[Team]],"/","")))-1</f>
        <v>-1</v>
      </c>
      <c r="G12" s="6"/>
    </row>
    <row r="13" spans="1:7" x14ac:dyDescent="0.3">
      <c r="A13" s="6" t="s">
        <v>3701</v>
      </c>
      <c r="B13" s="6" t="s">
        <v>332</v>
      </c>
      <c r="C13" s="6">
        <v>5</v>
      </c>
      <c r="D13" s="6"/>
      <c r="E13" s="6"/>
      <c r="F13" s="6">
        <f>Table109[[#This Row],[Total Athletes]]-(LEN(Table109[[#This Row],[Team]])-LEN(SUBSTITUTE(Table109[[#This Row],[Team]],"/","")))-1</f>
        <v>3</v>
      </c>
      <c r="G13" s="6">
        <v>4</v>
      </c>
    </row>
    <row r="14" spans="1:7" x14ac:dyDescent="0.3">
      <c r="A14" s="6" t="s">
        <v>3183</v>
      </c>
      <c r="B14" s="6" t="s">
        <v>520</v>
      </c>
      <c r="C14" s="6">
        <v>19</v>
      </c>
      <c r="D14" s="6"/>
      <c r="E14" s="6"/>
      <c r="F14" s="6">
        <f>Table109[[#This Row],[Total Athletes]]-(LEN(Table109[[#This Row],[Team]])-LEN(SUBSTITUTE(Table109[[#This Row],[Team]],"/","")))-1</f>
        <v>3</v>
      </c>
      <c r="G14" s="6">
        <v>4</v>
      </c>
    </row>
    <row r="15" spans="1:7" x14ac:dyDescent="0.3">
      <c r="A15" s="6" t="s">
        <v>3695</v>
      </c>
      <c r="B15" s="6" t="s">
        <v>394</v>
      </c>
      <c r="C15" s="6">
        <v>11</v>
      </c>
      <c r="D15" s="6"/>
      <c r="E15" s="6"/>
      <c r="F15" s="6">
        <f>Table109[[#This Row],[Total Athletes]]-(LEN(Table109[[#This Row],[Team]])-LEN(SUBSTITUTE(Table109[[#This Row],[Team]],"/","")))-1</f>
        <v>2</v>
      </c>
      <c r="G15" s="6">
        <v>4</v>
      </c>
    </row>
    <row r="16" spans="1:7" x14ac:dyDescent="0.3">
      <c r="A16" s="6" t="s">
        <v>3394</v>
      </c>
      <c r="B16" s="6" t="s">
        <v>370</v>
      </c>
      <c r="C16" s="6">
        <v>12</v>
      </c>
      <c r="D16" s="6"/>
      <c r="E16" s="6"/>
      <c r="F16" s="6">
        <f>Table109[[#This Row],[Total Athletes]]-(LEN(Table109[[#This Row],[Team]])-LEN(SUBSTITUTE(Table109[[#This Row],[Team]],"/","")))-1</f>
        <v>2</v>
      </c>
      <c r="G16" s="6">
        <v>4</v>
      </c>
    </row>
    <row r="17" spans="1:7" x14ac:dyDescent="0.3">
      <c r="A17" s="6"/>
      <c r="B17" s="6" t="s">
        <v>572</v>
      </c>
      <c r="C17" s="6">
        <v>-1</v>
      </c>
      <c r="D17" s="6"/>
      <c r="E17" s="6"/>
      <c r="F17" s="6">
        <f>Table109[[#This Row],[Total Athletes]]-(LEN(Table109[[#This Row],[Team]])-LEN(SUBSTITUTE(Table109[[#This Row],[Team]],"/","")))-1</f>
        <v>-1</v>
      </c>
      <c r="G17" s="6"/>
    </row>
    <row r="18" spans="1:7" x14ac:dyDescent="0.3">
      <c r="A18" s="6"/>
      <c r="B18" s="6" t="s">
        <v>348</v>
      </c>
      <c r="C18" s="6">
        <v>-1</v>
      </c>
      <c r="D18" s="6"/>
      <c r="E18" s="6"/>
      <c r="F18" s="6">
        <f>Table109[[#This Row],[Total Athletes]]-(LEN(Table109[[#This Row],[Team]])-LEN(SUBSTITUTE(Table109[[#This Row],[Team]],"/","")))-1</f>
        <v>-1</v>
      </c>
      <c r="G18" s="6"/>
    </row>
    <row r="19" spans="1:7" x14ac:dyDescent="0.3">
      <c r="A19" s="6" t="s">
        <v>3560</v>
      </c>
      <c r="B19" s="6" t="s">
        <v>614</v>
      </c>
      <c r="C19" s="6">
        <v>18</v>
      </c>
      <c r="D19" s="6"/>
      <c r="E19" s="6"/>
      <c r="F19" s="6">
        <f>Table109[[#This Row],[Total Athletes]]-(LEN(Table109[[#This Row],[Team]])-LEN(SUBSTITUTE(Table109[[#This Row],[Team]],"/","")))-1</f>
        <v>2</v>
      </c>
      <c r="G19" s="6">
        <v>4</v>
      </c>
    </row>
    <row r="20" spans="1:7" x14ac:dyDescent="0.3">
      <c r="A20" s="6"/>
      <c r="B20" s="6" t="s">
        <v>620</v>
      </c>
      <c r="C20" s="6">
        <v>-1</v>
      </c>
      <c r="D20" s="6"/>
      <c r="E20" s="6"/>
      <c r="F20" s="6">
        <f>Table109[[#This Row],[Total Athletes]]-(LEN(Table109[[#This Row],[Team]])-LEN(SUBSTITUTE(Table109[[#This Row],[Team]],"/","")))-1</f>
        <v>-1</v>
      </c>
      <c r="G20" s="6"/>
    </row>
    <row r="21" spans="1:7" x14ac:dyDescent="0.3">
      <c r="A21" s="6" t="s">
        <v>2185</v>
      </c>
      <c r="B21" s="6" t="s">
        <v>384</v>
      </c>
      <c r="C21" s="6">
        <v>17</v>
      </c>
      <c r="D21" s="6"/>
      <c r="E21" s="6"/>
      <c r="F21" s="6">
        <f>Table109[[#This Row],[Total Athletes]]-(LEN(Table109[[#This Row],[Team]])-LEN(SUBSTITUTE(Table109[[#This Row],[Team]],"/","")))-1</f>
        <v>1</v>
      </c>
      <c r="G21" s="6">
        <v>4</v>
      </c>
    </row>
    <row r="22" spans="1:7" x14ac:dyDescent="0.3">
      <c r="A22" s="6" t="s">
        <v>3241</v>
      </c>
      <c r="B22" s="6" t="s">
        <v>344</v>
      </c>
      <c r="C22" s="6"/>
      <c r="D22" s="6">
        <v>1</v>
      </c>
      <c r="E22" s="6"/>
      <c r="F22" s="6">
        <f>Table109[[#This Row],[Total Athletes]]-(LEN(Table109[[#This Row],[Team]])-LEN(SUBSTITUTE(Table109[[#This Row],[Team]],"/","")))-1</f>
        <v>3</v>
      </c>
      <c r="G22" s="6">
        <v>4</v>
      </c>
    </row>
    <row r="23" spans="1:7" x14ac:dyDescent="0.3">
      <c r="A23" s="6"/>
      <c r="B23" s="6" t="s">
        <v>338</v>
      </c>
      <c r="C23" s="6"/>
      <c r="D23" s="6">
        <v>-1</v>
      </c>
      <c r="E23" s="6"/>
      <c r="F23" s="6">
        <f>Table109[[#This Row],[Total Athletes]]-(LEN(Table109[[#This Row],[Team]])-LEN(SUBSTITUTE(Table109[[#This Row],[Team]],"/","")))-1</f>
        <v>-1</v>
      </c>
      <c r="G23" s="6"/>
    </row>
    <row r="24" spans="1:7" x14ac:dyDescent="0.3">
      <c r="A24" s="6"/>
      <c r="B24" s="6" t="s">
        <v>334</v>
      </c>
      <c r="C24" s="6"/>
      <c r="D24" s="6">
        <v>-1</v>
      </c>
      <c r="E24" s="6"/>
      <c r="F24" s="6">
        <f>Table109[[#This Row],[Total Athletes]]-(LEN(Table109[[#This Row],[Team]])-LEN(SUBSTITUTE(Table109[[#This Row],[Team]],"/","")))-1</f>
        <v>-1</v>
      </c>
      <c r="G24" s="6"/>
    </row>
    <row r="25" spans="1:7" x14ac:dyDescent="0.3">
      <c r="A25" s="6" t="s">
        <v>3659</v>
      </c>
      <c r="B25" s="6" t="s">
        <v>364</v>
      </c>
      <c r="C25" s="6"/>
      <c r="D25" s="6">
        <v>3</v>
      </c>
      <c r="E25" s="6"/>
      <c r="F25" s="6">
        <f>Table109[[#This Row],[Total Athletes]]-(LEN(Table109[[#This Row],[Team]])-LEN(SUBSTITUTE(Table109[[#This Row],[Team]],"/","")))-1</f>
        <v>3</v>
      </c>
      <c r="G25" s="6">
        <v>4</v>
      </c>
    </row>
    <row r="26" spans="1:7" x14ac:dyDescent="0.3">
      <c r="A26" s="6"/>
      <c r="B26" s="6" t="s">
        <v>444</v>
      </c>
      <c r="C26" s="6"/>
      <c r="D26" s="6">
        <v>-1</v>
      </c>
      <c r="E26" s="6"/>
      <c r="F26" s="6">
        <f>Table109[[#This Row],[Total Athletes]]-(LEN(Table109[[#This Row],[Team]])-LEN(SUBSTITUTE(Table109[[#This Row],[Team]],"/","")))-1</f>
        <v>-1</v>
      </c>
      <c r="G26" s="6"/>
    </row>
    <row r="27" spans="1:7" x14ac:dyDescent="0.3">
      <c r="A27" s="6" t="s">
        <v>4274</v>
      </c>
      <c r="B27" s="6" t="s">
        <v>356</v>
      </c>
      <c r="C27" s="6"/>
      <c r="D27" s="6">
        <v>11</v>
      </c>
      <c r="E27" s="6"/>
      <c r="F27" s="6">
        <f>Table109[[#This Row],[Total Athletes]]-(LEN(Table109[[#This Row],[Team]])-LEN(SUBSTITUTE(Table109[[#This Row],[Team]],"/","")))-1</f>
        <v>1</v>
      </c>
      <c r="G27" s="6">
        <v>4</v>
      </c>
    </row>
    <row r="28" spans="1:7" x14ac:dyDescent="0.3">
      <c r="A28" s="6"/>
      <c r="B28" s="6" t="s">
        <v>358</v>
      </c>
      <c r="C28" s="6"/>
      <c r="D28" s="6">
        <v>-1</v>
      </c>
      <c r="E28" s="6"/>
      <c r="F28" s="6">
        <f>Table109[[#This Row],[Total Athletes]]-(LEN(Table109[[#This Row],[Team]])-LEN(SUBSTITUTE(Table109[[#This Row],[Team]],"/","")))-1</f>
        <v>-1</v>
      </c>
      <c r="G28" s="6"/>
    </row>
    <row r="29" spans="1:7" x14ac:dyDescent="0.3">
      <c r="A29" s="6"/>
      <c r="B29" s="6" t="s">
        <v>726</v>
      </c>
      <c r="C29" s="6"/>
      <c r="D29" s="6">
        <v>-1</v>
      </c>
      <c r="E29" s="6"/>
      <c r="F29" s="6">
        <f>Table109[[#This Row],[Total Athletes]]-(LEN(Table109[[#This Row],[Team]])-LEN(SUBSTITUTE(Table109[[#This Row],[Team]],"/","")))-1</f>
        <v>-1</v>
      </c>
      <c r="G29" s="6"/>
    </row>
    <row r="30" spans="1:7" x14ac:dyDescent="0.3">
      <c r="A30" s="6" t="s">
        <v>3598</v>
      </c>
      <c r="B30" s="6" t="s">
        <v>442</v>
      </c>
      <c r="C30" s="6"/>
      <c r="D30" s="6">
        <v>5</v>
      </c>
      <c r="E30" s="6"/>
      <c r="F30" s="6">
        <f>Table109[[#This Row],[Total Athletes]]-(LEN(Table109[[#This Row],[Team]])-LEN(SUBSTITUTE(Table109[[#This Row],[Team]],"/","")))-1</f>
        <v>3</v>
      </c>
      <c r="G30" s="6">
        <v>4</v>
      </c>
    </row>
    <row r="31" spans="1:7" x14ac:dyDescent="0.3">
      <c r="A31" s="6" t="s">
        <v>3738</v>
      </c>
      <c r="B31" s="6" t="s">
        <v>372</v>
      </c>
      <c r="C31" s="6"/>
      <c r="D31" s="6">
        <v>7</v>
      </c>
      <c r="E31" s="6"/>
      <c r="F31" s="6">
        <f>Table109[[#This Row],[Total Athletes]]-(LEN(Table109[[#This Row],[Team]])-LEN(SUBSTITUTE(Table109[[#This Row],[Team]],"/","")))-1</f>
        <v>2</v>
      </c>
      <c r="G31" s="6">
        <v>4</v>
      </c>
    </row>
    <row r="32" spans="1:7" x14ac:dyDescent="0.3">
      <c r="A32" s="6" t="s">
        <v>3697</v>
      </c>
      <c r="B32" s="6" t="s">
        <v>394</v>
      </c>
      <c r="C32" s="6"/>
      <c r="D32" s="6">
        <v>6</v>
      </c>
      <c r="E32" s="6"/>
      <c r="F32" s="6">
        <f>Table109[[#This Row],[Total Athletes]]-(LEN(Table109[[#This Row],[Team]])-LEN(SUBSTITUTE(Table109[[#This Row],[Team]],"/","")))-1</f>
        <v>3</v>
      </c>
      <c r="G32" s="6">
        <v>4</v>
      </c>
    </row>
    <row r="33" spans="1:7" x14ac:dyDescent="0.3">
      <c r="A33" s="6"/>
      <c r="B33" s="6" t="s">
        <v>694</v>
      </c>
      <c r="C33" s="6"/>
      <c r="D33" s="6">
        <v>-1</v>
      </c>
      <c r="E33" s="6"/>
      <c r="F33" s="6">
        <f>Table109[[#This Row],[Total Athletes]]-(LEN(Table109[[#This Row],[Team]])-LEN(SUBSTITUTE(Table109[[#This Row],[Team]],"/","")))-1</f>
        <v>-1</v>
      </c>
      <c r="G33" s="6"/>
    </row>
    <row r="34" spans="1:7" x14ac:dyDescent="0.3">
      <c r="A34" s="6"/>
      <c r="B34" s="6" t="s">
        <v>572</v>
      </c>
      <c r="C34" s="6"/>
      <c r="D34" s="6">
        <v>-1</v>
      </c>
      <c r="E34" s="6"/>
      <c r="F34" s="6">
        <f>Table109[[#This Row],[Total Athletes]]-(LEN(Table109[[#This Row],[Team]])-LEN(SUBSTITUTE(Table109[[#This Row],[Team]],"/","")))-1</f>
        <v>-1</v>
      </c>
      <c r="G34" s="6"/>
    </row>
    <row r="35" spans="1:7" x14ac:dyDescent="0.3">
      <c r="A35" s="6" t="s">
        <v>4910</v>
      </c>
      <c r="B35" s="6" t="s">
        <v>408</v>
      </c>
      <c r="C35" s="6"/>
      <c r="D35" s="6">
        <v>10</v>
      </c>
      <c r="E35" s="6"/>
      <c r="F35" s="6">
        <f>Table109[[#This Row],[Total Athletes]]-(LEN(Table109[[#This Row],[Team]])-LEN(SUBSTITUTE(Table109[[#This Row],[Team]],"/","")))-1</f>
        <v>3</v>
      </c>
      <c r="G35" s="6">
        <v>4</v>
      </c>
    </row>
    <row r="36" spans="1:7" x14ac:dyDescent="0.3">
      <c r="A36" s="6" t="s">
        <v>3391</v>
      </c>
      <c r="B36" s="6" t="s">
        <v>370</v>
      </c>
      <c r="C36" s="6"/>
      <c r="D36" s="6">
        <v>12</v>
      </c>
      <c r="E36" s="6"/>
      <c r="F36" s="6">
        <f>Table109[[#This Row],[Total Athletes]]-(LEN(Table109[[#This Row],[Team]])-LEN(SUBSTITUTE(Table109[[#This Row],[Team]],"/","")))-1</f>
        <v>1</v>
      </c>
      <c r="G36" s="6">
        <v>4</v>
      </c>
    </row>
    <row r="37" spans="1:7" x14ac:dyDescent="0.3">
      <c r="A37" s="6" t="s">
        <v>2570</v>
      </c>
      <c r="B37" s="6" t="s">
        <v>384</v>
      </c>
      <c r="C37" s="6"/>
      <c r="D37" s="6">
        <v>1001</v>
      </c>
      <c r="E37" s="6"/>
      <c r="F37" s="6">
        <f>Table109[[#This Row],[Total Athletes]]-(LEN(Table109[[#This Row],[Team]])-LEN(SUBSTITUTE(Table109[[#This Row],[Team]],"/","")))-1</f>
        <v>1</v>
      </c>
      <c r="G37" s="6">
        <v>4</v>
      </c>
    </row>
    <row r="38" spans="1:7" x14ac:dyDescent="0.3">
      <c r="A38" s="6" t="s">
        <v>2515</v>
      </c>
      <c r="B38" s="6" t="s">
        <v>520</v>
      </c>
      <c r="C38" s="6"/>
      <c r="D38" s="6">
        <v>13</v>
      </c>
      <c r="E38" s="6"/>
      <c r="F38" s="6">
        <f>Table109[[#This Row],[Total Athletes]]-(LEN(Table109[[#This Row],[Team]])-LEN(SUBSTITUTE(Table109[[#This Row],[Team]],"/","")))-1</f>
        <v>3</v>
      </c>
      <c r="G38" s="6">
        <v>4</v>
      </c>
    </row>
    <row r="39" spans="1:7" x14ac:dyDescent="0.3">
      <c r="A39" s="6" t="s">
        <v>3558</v>
      </c>
      <c r="B39" s="6" t="s">
        <v>614</v>
      </c>
      <c r="C39" s="6"/>
      <c r="D39" s="6">
        <v>17</v>
      </c>
      <c r="E39" s="6"/>
      <c r="F39" s="6">
        <f>Table109[[#This Row],[Total Athletes]]-(LEN(Table109[[#This Row],[Team]])-LEN(SUBSTITUTE(Table109[[#This Row],[Team]],"/","")))-1</f>
        <v>1</v>
      </c>
      <c r="G39" s="6">
        <v>4</v>
      </c>
    </row>
    <row r="40" spans="1:7" x14ac:dyDescent="0.3">
      <c r="A40" s="6" t="s">
        <v>4808</v>
      </c>
      <c r="B40" s="6" t="s">
        <v>332</v>
      </c>
      <c r="C40" s="6"/>
      <c r="D40" s="6">
        <v>18</v>
      </c>
      <c r="E40" s="6"/>
      <c r="F40" s="6">
        <f>Table109[[#This Row],[Total Athletes]]-(LEN(Table109[[#This Row],[Team]])-LEN(SUBSTITUTE(Table109[[#This Row],[Team]],"/","")))-1</f>
        <v>2</v>
      </c>
      <c r="G40" s="6">
        <v>4</v>
      </c>
    </row>
    <row r="41" spans="1:7" x14ac:dyDescent="0.3">
      <c r="A41" s="6"/>
      <c r="B41" s="6" t="s">
        <v>620</v>
      </c>
      <c r="C41" s="6"/>
      <c r="D41" s="6">
        <v>-1</v>
      </c>
      <c r="E41" s="6"/>
      <c r="F41" s="6">
        <f>Table109[[#This Row],[Total Athletes]]-(LEN(Table109[[#This Row],[Team]])-LEN(SUBSTITUTE(Table109[[#This Row],[Team]],"/","")))-1</f>
        <v>-1</v>
      </c>
      <c r="G41" s="6"/>
    </row>
    <row r="42" spans="1:7" x14ac:dyDescent="0.3">
      <c r="A42" s="6" t="s">
        <v>3242</v>
      </c>
      <c r="B42" s="6" t="s">
        <v>344</v>
      </c>
      <c r="C42" s="6"/>
      <c r="D42" s="6"/>
      <c r="E42" s="6">
        <v>1</v>
      </c>
      <c r="F42" s="6">
        <f>Table109[[#This Row],[Total Athletes]]-(LEN(Table109[[#This Row],[Team]])-LEN(SUBSTITUTE(Table109[[#This Row],[Team]],"/","")))-1</f>
        <v>2</v>
      </c>
      <c r="G42" s="6">
        <v>4</v>
      </c>
    </row>
    <row r="43" spans="1:7" x14ac:dyDescent="0.3">
      <c r="A43" s="6" t="s">
        <v>2673</v>
      </c>
      <c r="B43" s="6" t="s">
        <v>338</v>
      </c>
      <c r="C43" s="6"/>
      <c r="D43" s="6"/>
      <c r="E43" s="6">
        <v>5</v>
      </c>
      <c r="F43" s="6">
        <f>Table109[[#This Row],[Total Athletes]]-(LEN(Table109[[#This Row],[Team]])-LEN(SUBSTITUTE(Table109[[#This Row],[Team]],"/","")))-1</f>
        <v>3</v>
      </c>
      <c r="G43" s="6">
        <v>4</v>
      </c>
    </row>
    <row r="44" spans="1:7" x14ac:dyDescent="0.3">
      <c r="A44" s="6" t="s">
        <v>4674</v>
      </c>
      <c r="B44" s="6" t="s">
        <v>334</v>
      </c>
      <c r="C44" s="6"/>
      <c r="D44" s="6"/>
      <c r="E44" s="6">
        <v>3</v>
      </c>
      <c r="F44" s="6">
        <f>Table109[[#This Row],[Total Athletes]]-(LEN(Table109[[#This Row],[Team]])-LEN(SUBSTITUTE(Table109[[#This Row],[Team]],"/","")))-1</f>
        <v>3</v>
      </c>
      <c r="G44" s="6">
        <v>4</v>
      </c>
    </row>
    <row r="45" spans="1:7" x14ac:dyDescent="0.3">
      <c r="A45" s="6" t="s">
        <v>4989</v>
      </c>
      <c r="B45" s="6" t="s">
        <v>364</v>
      </c>
      <c r="C45" s="6"/>
      <c r="D45" s="6"/>
      <c r="E45" s="6">
        <v>4</v>
      </c>
      <c r="F45" s="6">
        <f>Table109[[#This Row],[Total Athletes]]-(LEN(Table109[[#This Row],[Team]])-LEN(SUBSTITUTE(Table109[[#This Row],[Team]],"/","")))-1</f>
        <v>2</v>
      </c>
      <c r="G45" s="6">
        <v>4</v>
      </c>
    </row>
    <row r="46" spans="1:7" x14ac:dyDescent="0.3">
      <c r="A46" s="6"/>
      <c r="B46" s="6" t="s">
        <v>444</v>
      </c>
      <c r="C46" s="6"/>
      <c r="D46" s="6"/>
      <c r="E46" s="6">
        <v>-1</v>
      </c>
      <c r="F46" s="6">
        <f>Table109[[#This Row],[Total Athletes]]-(LEN(Table109[[#This Row],[Team]])-LEN(SUBSTITUTE(Table109[[#This Row],[Team]],"/","")))-1</f>
        <v>-1</v>
      </c>
      <c r="G46" s="6"/>
    </row>
    <row r="47" spans="1:7" x14ac:dyDescent="0.3">
      <c r="A47" s="6" t="s">
        <v>2304</v>
      </c>
      <c r="B47" s="6" t="s">
        <v>356</v>
      </c>
      <c r="C47" s="6"/>
      <c r="D47" s="6"/>
      <c r="E47" s="6">
        <v>2</v>
      </c>
      <c r="F47" s="6">
        <f>Table109[[#This Row],[Total Athletes]]-(LEN(Table109[[#This Row],[Team]])-LEN(SUBSTITUTE(Table109[[#This Row],[Team]],"/","")))-1</f>
        <v>1</v>
      </c>
      <c r="G47" s="6">
        <v>4</v>
      </c>
    </row>
    <row r="48" spans="1:7" x14ac:dyDescent="0.3">
      <c r="A48" s="6"/>
      <c r="B48" s="6" t="s">
        <v>358</v>
      </c>
      <c r="C48" s="6"/>
      <c r="D48" s="6"/>
      <c r="E48" s="6">
        <v>-1</v>
      </c>
      <c r="F48" s="6">
        <f>Table109[[#This Row],[Total Athletes]]-(LEN(Table109[[#This Row],[Team]])-LEN(SUBSTITUTE(Table109[[#This Row],[Team]],"/","")))-1</f>
        <v>-1</v>
      </c>
      <c r="G48" s="6"/>
    </row>
    <row r="49" spans="1:7" x14ac:dyDescent="0.3">
      <c r="A49" s="6"/>
      <c r="B49" s="6" t="s">
        <v>726</v>
      </c>
      <c r="C49" s="6"/>
      <c r="D49" s="6"/>
      <c r="E49" s="6">
        <v>-1</v>
      </c>
      <c r="F49" s="6">
        <f>Table109[[#This Row],[Total Athletes]]-(LEN(Table109[[#This Row],[Team]])-LEN(SUBSTITUTE(Table109[[#This Row],[Team]],"/","")))-1</f>
        <v>-1</v>
      </c>
      <c r="G49" s="6"/>
    </row>
    <row r="50" spans="1:7" x14ac:dyDescent="0.3">
      <c r="A50" s="6" t="s">
        <v>3591</v>
      </c>
      <c r="B50" s="6" t="s">
        <v>442</v>
      </c>
      <c r="C50" s="6"/>
      <c r="D50" s="6"/>
      <c r="E50" s="6">
        <v>11</v>
      </c>
      <c r="F50" s="6">
        <f>Table109[[#This Row],[Total Athletes]]-(LEN(Table109[[#This Row],[Team]])-LEN(SUBSTITUTE(Table109[[#This Row],[Team]],"/","")))-1</f>
        <v>2</v>
      </c>
      <c r="G50" s="6">
        <v>4</v>
      </c>
    </row>
    <row r="51" spans="1:7" x14ac:dyDescent="0.3">
      <c r="A51" s="6" t="s">
        <v>3739</v>
      </c>
      <c r="B51" s="6" t="s">
        <v>372</v>
      </c>
      <c r="C51" s="6"/>
      <c r="D51" s="6"/>
      <c r="E51" s="6">
        <v>6</v>
      </c>
      <c r="F51" s="6">
        <f>Table109[[#This Row],[Total Athletes]]-(LEN(Table109[[#This Row],[Team]])-LEN(SUBSTITUTE(Table109[[#This Row],[Team]],"/","")))-1</f>
        <v>0</v>
      </c>
      <c r="G51" s="6">
        <v>4</v>
      </c>
    </row>
    <row r="52" spans="1:7" x14ac:dyDescent="0.3">
      <c r="A52" s="6" t="s">
        <v>3698</v>
      </c>
      <c r="B52" s="6" t="s">
        <v>394</v>
      </c>
      <c r="C52" s="6"/>
      <c r="D52" s="6"/>
      <c r="E52" s="6">
        <v>9</v>
      </c>
      <c r="F52" s="6">
        <f>Table109[[#This Row],[Total Athletes]]-(LEN(Table109[[#This Row],[Team]])-LEN(SUBSTITUTE(Table109[[#This Row],[Team]],"/","")))-1</f>
        <v>2</v>
      </c>
      <c r="G52" s="6">
        <v>4</v>
      </c>
    </row>
    <row r="53" spans="1:7" x14ac:dyDescent="0.3">
      <c r="A53" s="6"/>
      <c r="B53" s="6" t="s">
        <v>694</v>
      </c>
      <c r="C53" s="6"/>
      <c r="D53" s="6"/>
      <c r="E53" s="6">
        <v>-1</v>
      </c>
      <c r="F53" s="6">
        <f>Table109[[#This Row],[Total Athletes]]-(LEN(Table109[[#This Row],[Team]])-LEN(SUBSTITUTE(Table109[[#This Row],[Team]],"/","")))-1</f>
        <v>-1</v>
      </c>
      <c r="G53" s="6"/>
    </row>
    <row r="54" spans="1:7" x14ac:dyDescent="0.3">
      <c r="A54" s="6"/>
      <c r="B54" s="6" t="s">
        <v>572</v>
      </c>
      <c r="C54" s="6"/>
      <c r="D54" s="6"/>
      <c r="E54" s="6">
        <v>-1</v>
      </c>
      <c r="F54" s="6">
        <f>Table109[[#This Row],[Total Athletes]]-(LEN(Table109[[#This Row],[Team]])-LEN(SUBSTITUTE(Table109[[#This Row],[Team]],"/","")))-1</f>
        <v>-1</v>
      </c>
      <c r="G54" s="6"/>
    </row>
    <row r="55" spans="1:7" x14ac:dyDescent="0.3">
      <c r="A55" s="6" t="s">
        <v>4903</v>
      </c>
      <c r="B55" s="6" t="s">
        <v>408</v>
      </c>
      <c r="C55" s="6"/>
      <c r="D55" s="6"/>
      <c r="E55" s="6">
        <v>19</v>
      </c>
      <c r="F55" s="6">
        <f>Table109[[#This Row],[Total Athletes]]-(LEN(Table109[[#This Row],[Team]])-LEN(SUBSTITUTE(Table109[[#This Row],[Team]],"/","")))-1</f>
        <v>3</v>
      </c>
      <c r="G55" s="6">
        <v>4</v>
      </c>
    </row>
    <row r="56" spans="1:7" x14ac:dyDescent="0.3">
      <c r="A56" s="6" t="s">
        <v>3392</v>
      </c>
      <c r="B56" s="6" t="s">
        <v>370</v>
      </c>
      <c r="C56" s="6"/>
      <c r="D56" s="6"/>
      <c r="E56" s="6">
        <v>16</v>
      </c>
      <c r="F56" s="6">
        <f>Table109[[#This Row],[Total Athletes]]-(LEN(Table109[[#This Row],[Team]])-LEN(SUBSTITUTE(Table109[[#This Row],[Team]],"/","")))-1</f>
        <v>1</v>
      </c>
      <c r="G56" s="6">
        <v>4</v>
      </c>
    </row>
    <row r="57" spans="1:7" x14ac:dyDescent="0.3">
      <c r="A57" s="6" t="s">
        <v>2186</v>
      </c>
      <c r="B57" s="6" t="s">
        <v>384</v>
      </c>
      <c r="C57" s="6"/>
      <c r="D57" s="6"/>
      <c r="E57" s="6">
        <v>17</v>
      </c>
      <c r="F57" s="6">
        <f>Table109[[#This Row],[Total Athletes]]-(LEN(Table109[[#This Row],[Team]])-LEN(SUBSTITUTE(Table109[[#This Row],[Team]],"/","")))-1</f>
        <v>0</v>
      </c>
      <c r="G57" s="6">
        <v>4</v>
      </c>
    </row>
    <row r="58" spans="1:7" x14ac:dyDescent="0.3">
      <c r="A58" s="6" t="s">
        <v>3184</v>
      </c>
      <c r="B58" s="6" t="s">
        <v>520</v>
      </c>
      <c r="C58" s="6"/>
      <c r="D58" s="6"/>
      <c r="E58" s="6">
        <v>18</v>
      </c>
      <c r="F58" s="6">
        <f>Table109[[#This Row],[Total Athletes]]-(LEN(Table109[[#This Row],[Team]])-LEN(SUBSTITUTE(Table109[[#This Row],[Team]],"/","")))-1</f>
        <v>2</v>
      </c>
      <c r="G58" s="6">
        <v>4</v>
      </c>
    </row>
    <row r="59" spans="1:7" x14ac:dyDescent="0.3">
      <c r="A59" s="6" t="s">
        <v>3561</v>
      </c>
      <c r="B59" s="6" t="s">
        <v>614</v>
      </c>
      <c r="C59" s="6"/>
      <c r="D59" s="6"/>
      <c r="E59" s="6">
        <v>12</v>
      </c>
      <c r="F59" s="6">
        <f>Table109[[#This Row],[Total Athletes]]-(LEN(Table109[[#This Row],[Team]])-LEN(SUBSTITUTE(Table109[[#This Row],[Team]],"/","")))-1</f>
        <v>1</v>
      </c>
      <c r="G59" s="6">
        <v>4</v>
      </c>
    </row>
    <row r="60" spans="1:7" x14ac:dyDescent="0.3">
      <c r="A60" s="6" t="s">
        <v>4182</v>
      </c>
      <c r="B60" s="6" t="s">
        <v>332</v>
      </c>
      <c r="C60" s="6"/>
      <c r="D60" s="6"/>
      <c r="E60" s="6">
        <v>14</v>
      </c>
      <c r="F60" s="6">
        <f>Table109[[#This Row],[Total Athletes]]-(LEN(Table109[[#This Row],[Team]])-LEN(SUBSTITUTE(Table109[[#This Row],[Team]],"/","")))-1</f>
        <v>2</v>
      </c>
      <c r="G60" s="6">
        <v>4</v>
      </c>
    </row>
    <row r="61" spans="1:7" x14ac:dyDescent="0.3">
      <c r="A61" s="6"/>
      <c r="B61" s="6" t="s">
        <v>620</v>
      </c>
      <c r="C61" s="6"/>
      <c r="D61" s="6"/>
      <c r="E61" s="6">
        <v>-1</v>
      </c>
      <c r="F61" s="6">
        <f>Table109[[#This Row],[Total Athletes]]-(LEN(Table109[[#This Row],[Team]])-LEN(SUBSTITUTE(Table109[[#This Row],[Team]],"/","")))-1</f>
        <v>-1</v>
      </c>
      <c r="G61" s="6"/>
    </row>
    <row r="62" spans="1:7" x14ac:dyDescent="0.3">
      <c r="A62" s="6" t="s">
        <v>5034</v>
      </c>
      <c r="B62" s="6" t="s">
        <v>604</v>
      </c>
      <c r="C62" s="6"/>
      <c r="D62" s="6"/>
      <c r="E62" s="6">
        <v>21</v>
      </c>
      <c r="F62" s="6">
        <f>Table109[[#This Row],[Total Athletes]]-(LEN(Table109[[#This Row],[Team]])-LEN(SUBSTITUTE(Table109[[#This Row],[Team]],"/","")))-1</f>
        <v>2</v>
      </c>
      <c r="G62" s="6">
        <v>4</v>
      </c>
    </row>
  </sheetData>
  <pageMargins left="0.7" right="0.7" top="0.75" bottom="0.75" header="0.3" footer="0.3"/>
  <tableParts count="1">
    <tablePart r:id="rId1"/>
  </tableParts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FA882-1929-4D75-AA4D-6C02143404A7}">
  <dimension ref="A1:C26"/>
  <sheetViews>
    <sheetView topLeftCell="A19" workbookViewId="0">
      <selection activeCell="B27" sqref="B27"/>
    </sheetView>
  </sheetViews>
  <sheetFormatPr defaultRowHeight="14.4" x14ac:dyDescent="0.3"/>
  <cols>
    <col min="1" max="1" width="23" bestFit="1" customWidth="1"/>
    <col min="2" max="2" width="12.21875" bestFit="1" customWidth="1"/>
    <col min="3" max="3" width="23.21875" bestFit="1" customWidth="1"/>
  </cols>
  <sheetData>
    <row r="1" spans="1:3" x14ac:dyDescent="0.3">
      <c r="A1" t="s">
        <v>832</v>
      </c>
      <c r="B1" t="s">
        <v>1</v>
      </c>
      <c r="C1" t="s">
        <v>1021</v>
      </c>
    </row>
    <row r="2" spans="1:3" x14ac:dyDescent="0.3">
      <c r="A2" s="6"/>
      <c r="B2" s="6" t="s">
        <v>334</v>
      </c>
      <c r="C2" s="6">
        <v>-1</v>
      </c>
    </row>
    <row r="3" spans="1:3" x14ac:dyDescent="0.3">
      <c r="A3" s="6"/>
      <c r="B3" s="6" t="s">
        <v>334</v>
      </c>
      <c r="C3" s="6">
        <v>-1</v>
      </c>
    </row>
    <row r="4" spans="1:3" x14ac:dyDescent="0.3">
      <c r="A4" s="6"/>
      <c r="B4" s="6" t="s">
        <v>334</v>
      </c>
      <c r="C4" s="6">
        <v>-1</v>
      </c>
    </row>
    <row r="5" spans="1:3" x14ac:dyDescent="0.3">
      <c r="A5" s="6" t="s">
        <v>2034</v>
      </c>
      <c r="B5" s="6" t="s">
        <v>332</v>
      </c>
      <c r="C5" s="6">
        <v>1</v>
      </c>
    </row>
    <row r="6" spans="1:3" x14ac:dyDescent="0.3">
      <c r="A6" s="6" t="s">
        <v>2157</v>
      </c>
      <c r="B6" s="6" t="s">
        <v>332</v>
      </c>
      <c r="C6" s="6">
        <v>3</v>
      </c>
    </row>
    <row r="7" spans="1:3" x14ac:dyDescent="0.3">
      <c r="A7" s="6" t="s">
        <v>3011</v>
      </c>
      <c r="B7" s="6" t="s">
        <v>332</v>
      </c>
      <c r="C7" s="6">
        <v>7</v>
      </c>
    </row>
    <row r="8" spans="1:3" x14ac:dyDescent="0.3">
      <c r="A8" s="6" t="s">
        <v>2165</v>
      </c>
      <c r="B8" s="6" t="s">
        <v>384</v>
      </c>
      <c r="C8" s="6">
        <v>6</v>
      </c>
    </row>
    <row r="9" spans="1:3" x14ac:dyDescent="0.3">
      <c r="A9" s="6"/>
      <c r="B9" s="6" t="s">
        <v>384</v>
      </c>
      <c r="C9" s="6">
        <v>-1</v>
      </c>
    </row>
    <row r="10" spans="1:3" x14ac:dyDescent="0.3">
      <c r="A10" s="6"/>
      <c r="B10" s="6" t="s">
        <v>444</v>
      </c>
      <c r="C10" s="6">
        <v>-1</v>
      </c>
    </row>
    <row r="11" spans="1:3" x14ac:dyDescent="0.3">
      <c r="A11" s="6"/>
      <c r="B11" s="6" t="s">
        <v>444</v>
      </c>
      <c r="C11" s="6">
        <v>-1</v>
      </c>
    </row>
    <row r="12" spans="1:3" x14ac:dyDescent="0.3">
      <c r="A12" s="6"/>
      <c r="B12" s="6" t="s">
        <v>328</v>
      </c>
      <c r="C12" s="6">
        <v>-1</v>
      </c>
    </row>
    <row r="13" spans="1:3" x14ac:dyDescent="0.3">
      <c r="A13" s="6"/>
      <c r="B13" s="6" t="s">
        <v>328</v>
      </c>
      <c r="C13" s="6">
        <v>-1</v>
      </c>
    </row>
    <row r="14" spans="1:3" x14ac:dyDescent="0.3">
      <c r="A14" s="6" t="s">
        <v>4955</v>
      </c>
      <c r="B14" s="6" t="s">
        <v>356</v>
      </c>
      <c r="C14" s="6">
        <v>24</v>
      </c>
    </row>
    <row r="15" spans="1:3" x14ac:dyDescent="0.3">
      <c r="A15" s="6"/>
      <c r="B15" s="6" t="s">
        <v>356</v>
      </c>
      <c r="C15" s="6">
        <v>-1</v>
      </c>
    </row>
    <row r="16" spans="1:3" x14ac:dyDescent="0.3">
      <c r="A16" s="6"/>
      <c r="B16" s="6" t="s">
        <v>358</v>
      </c>
      <c r="C16" s="6">
        <v>-1</v>
      </c>
    </row>
    <row r="17" spans="1:3" x14ac:dyDescent="0.3">
      <c r="A17" s="6"/>
      <c r="B17" s="6" t="s">
        <v>344</v>
      </c>
      <c r="C17" s="6">
        <v>-1</v>
      </c>
    </row>
    <row r="18" spans="1:3" x14ac:dyDescent="0.3">
      <c r="A18" s="6"/>
      <c r="B18" s="6" t="s">
        <v>354</v>
      </c>
      <c r="C18" s="6">
        <v>-1</v>
      </c>
    </row>
    <row r="19" spans="1:3" x14ac:dyDescent="0.3">
      <c r="A19" s="6"/>
      <c r="B19" s="6" t="s">
        <v>700</v>
      </c>
      <c r="C19" s="6">
        <v>-1</v>
      </c>
    </row>
    <row r="20" spans="1:3" x14ac:dyDescent="0.3">
      <c r="A20" s="6" t="s">
        <v>2741</v>
      </c>
      <c r="B20" s="6" t="s">
        <v>402</v>
      </c>
      <c r="C20" s="6">
        <v>18</v>
      </c>
    </row>
    <row r="21" spans="1:3" x14ac:dyDescent="0.3">
      <c r="A21" s="6"/>
      <c r="B21" s="6" t="s">
        <v>414</v>
      </c>
      <c r="C21" s="6">
        <v>-1</v>
      </c>
    </row>
    <row r="22" spans="1:3" x14ac:dyDescent="0.3">
      <c r="A22" s="6"/>
      <c r="B22" s="6" t="s">
        <v>368</v>
      </c>
      <c r="C22" s="6">
        <v>-1</v>
      </c>
    </row>
    <row r="23" spans="1:3" x14ac:dyDescent="0.3">
      <c r="A23" s="6"/>
      <c r="B23" s="6" t="s">
        <v>394</v>
      </c>
      <c r="C23" s="6">
        <v>-1</v>
      </c>
    </row>
    <row r="24" spans="1:3" x14ac:dyDescent="0.3">
      <c r="A24" s="6"/>
      <c r="B24" s="6" t="s">
        <v>408</v>
      </c>
      <c r="C24" s="6">
        <v>-1</v>
      </c>
    </row>
    <row r="25" spans="1:3" x14ac:dyDescent="0.3">
      <c r="A25" s="6"/>
      <c r="B25" s="6" t="s">
        <v>600</v>
      </c>
      <c r="C25" s="6">
        <v>-1</v>
      </c>
    </row>
    <row r="26" spans="1:3" x14ac:dyDescent="0.3">
      <c r="A26" s="6"/>
      <c r="B26" s="6" t="s">
        <v>520</v>
      </c>
      <c r="C26" s="6">
        <v>-1</v>
      </c>
    </row>
  </sheetData>
  <pageMargins left="0.7" right="0.7" top="0.75" bottom="0.75" header="0.3" footer="0.3"/>
  <tableParts count="1">
    <tablePart r:id="rId1"/>
  </tableParts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0935E4-D25A-4FAE-B77B-B62A28471BF9}">
  <dimension ref="A1:F54"/>
  <sheetViews>
    <sheetView topLeftCell="A49" workbookViewId="0">
      <selection activeCell="B55" sqref="B55"/>
    </sheetView>
  </sheetViews>
  <sheetFormatPr defaultRowHeight="14.4" x14ac:dyDescent="0.3"/>
  <cols>
    <col min="1" max="1" width="34.6640625" bestFit="1" customWidth="1"/>
    <col min="2" max="2" width="18.5546875" bestFit="1" customWidth="1"/>
    <col min="3" max="3" width="19.88671875" bestFit="1" customWidth="1"/>
    <col min="4" max="4" width="22.5546875" bestFit="1" customWidth="1"/>
    <col min="5" max="5" width="17" bestFit="1" customWidth="1"/>
    <col min="6" max="6" width="14.77734375" bestFit="1" customWidth="1"/>
  </cols>
  <sheetData>
    <row r="1" spans="1:6" x14ac:dyDescent="0.3">
      <c r="A1" t="s">
        <v>833</v>
      </c>
      <c r="B1" t="s">
        <v>1</v>
      </c>
      <c r="C1" t="s">
        <v>900</v>
      </c>
      <c r="D1" t="s">
        <v>901</v>
      </c>
      <c r="E1" t="s">
        <v>1212</v>
      </c>
      <c r="F1" t="s">
        <v>1213</v>
      </c>
    </row>
    <row r="2" spans="1:6" x14ac:dyDescent="0.3">
      <c r="A2" s="6" t="s">
        <v>4672</v>
      </c>
      <c r="B2" s="6" t="s">
        <v>334</v>
      </c>
      <c r="C2" s="6">
        <v>2</v>
      </c>
      <c r="D2" s="6"/>
      <c r="E2" s="6">
        <f>Table111[[#This Row],[Total Athletes]]-(LEN(Table111[[#This Row],[Pair]])-LEN(SUBSTITUTE(Table111[[#This Row],[Pair]],"/","")))-1</f>
        <v>0</v>
      </c>
      <c r="F2" s="6">
        <v>2</v>
      </c>
    </row>
    <row r="3" spans="1:6" x14ac:dyDescent="0.3">
      <c r="A3" s="6"/>
      <c r="B3" s="6" t="s">
        <v>334</v>
      </c>
      <c r="C3" s="6">
        <v>-1</v>
      </c>
      <c r="D3" s="6"/>
      <c r="E3" s="6">
        <f>Table111[[#This Row],[Total Athletes]]-(LEN(Table111[[#This Row],[Pair]])-LEN(SUBSTITUTE(Table111[[#This Row],[Pair]],"/","")))-1</f>
        <v>-1</v>
      </c>
      <c r="F3" s="6"/>
    </row>
    <row r="4" spans="1:6" x14ac:dyDescent="0.3">
      <c r="A4" s="6"/>
      <c r="B4" s="6" t="s">
        <v>334</v>
      </c>
      <c r="C4" s="6">
        <v>-1</v>
      </c>
      <c r="D4" s="6"/>
      <c r="E4" s="6">
        <f>Table111[[#This Row],[Total Athletes]]-(LEN(Table111[[#This Row],[Pair]])-LEN(SUBSTITUTE(Table111[[#This Row],[Pair]],"/","")))-1</f>
        <v>-1</v>
      </c>
      <c r="F4" s="6"/>
    </row>
    <row r="5" spans="1:6" x14ac:dyDescent="0.3">
      <c r="A5" s="6" t="s">
        <v>2233</v>
      </c>
      <c r="B5" s="6" t="s">
        <v>444</v>
      </c>
      <c r="C5" s="6">
        <v>6</v>
      </c>
      <c r="D5" s="6"/>
      <c r="E5" s="6">
        <f>Table111[[#This Row],[Total Athletes]]-(LEN(Table111[[#This Row],[Pair]])-LEN(SUBSTITUTE(Table111[[#This Row],[Pair]],"/","")))-1</f>
        <v>1</v>
      </c>
      <c r="F5" s="6">
        <v>2</v>
      </c>
    </row>
    <row r="6" spans="1:6" x14ac:dyDescent="0.3">
      <c r="A6" s="6"/>
      <c r="B6" s="6" t="s">
        <v>444</v>
      </c>
      <c r="C6" s="6">
        <v>-1</v>
      </c>
      <c r="D6" s="6"/>
      <c r="E6" s="6">
        <f>Table111[[#This Row],[Total Athletes]]-(LEN(Table111[[#This Row],[Pair]])-LEN(SUBSTITUTE(Table111[[#This Row],[Pair]],"/","")))-1</f>
        <v>-1</v>
      </c>
      <c r="F6" s="6"/>
    </row>
    <row r="7" spans="1:6" x14ac:dyDescent="0.3">
      <c r="A7" s="6"/>
      <c r="B7" s="6" t="s">
        <v>444</v>
      </c>
      <c r="C7" s="6">
        <v>-1</v>
      </c>
      <c r="D7" s="6"/>
      <c r="E7" s="6">
        <f>Table111[[#This Row],[Total Athletes]]-(LEN(Table111[[#This Row],[Pair]])-LEN(SUBSTITUTE(Table111[[#This Row],[Pair]],"/","")))-1</f>
        <v>-1</v>
      </c>
      <c r="F7" s="6"/>
    </row>
    <row r="8" spans="1:6" x14ac:dyDescent="0.3">
      <c r="A8" s="6" t="s">
        <v>1866</v>
      </c>
      <c r="B8" s="6" t="s">
        <v>332</v>
      </c>
      <c r="C8" s="6">
        <v>4</v>
      </c>
      <c r="D8" s="6"/>
      <c r="E8" s="6">
        <f>Table111[[#This Row],[Total Athletes]]-(LEN(Table111[[#This Row],[Pair]])-LEN(SUBSTITUTE(Table111[[#This Row],[Pair]],"/","")))-1</f>
        <v>0</v>
      </c>
      <c r="F8" s="6">
        <v>2</v>
      </c>
    </row>
    <row r="9" spans="1:6" x14ac:dyDescent="0.3">
      <c r="A9" s="6"/>
      <c r="B9" s="6" t="s">
        <v>332</v>
      </c>
      <c r="C9" s="6">
        <v>-1</v>
      </c>
      <c r="D9" s="6"/>
      <c r="E9" s="6">
        <f>Table111[[#This Row],[Total Athletes]]-(LEN(Table111[[#This Row],[Pair]])-LEN(SUBSTITUTE(Table111[[#This Row],[Pair]],"/","")))-1</f>
        <v>-1</v>
      </c>
      <c r="F9" s="6"/>
    </row>
    <row r="10" spans="1:6" x14ac:dyDescent="0.3">
      <c r="A10" s="6" t="s">
        <v>2143</v>
      </c>
      <c r="B10" s="6" t="s">
        <v>384</v>
      </c>
      <c r="C10" s="6">
        <v>18</v>
      </c>
      <c r="D10" s="6"/>
      <c r="E10" s="6">
        <f>Table111[[#This Row],[Total Athletes]]-(LEN(Table111[[#This Row],[Pair]])-LEN(SUBSTITUTE(Table111[[#This Row],[Pair]],"/","")))-1</f>
        <v>1</v>
      </c>
      <c r="F10" s="6">
        <v>2</v>
      </c>
    </row>
    <row r="11" spans="1:6" x14ac:dyDescent="0.3">
      <c r="A11" s="6"/>
      <c r="B11" s="6" t="s">
        <v>384</v>
      </c>
      <c r="C11" s="6">
        <v>-1</v>
      </c>
      <c r="D11" s="6"/>
      <c r="E11" s="6">
        <f>Table111[[#This Row],[Total Athletes]]-(LEN(Table111[[#This Row],[Pair]])-LEN(SUBSTITUTE(Table111[[#This Row],[Pair]],"/","")))-1</f>
        <v>-1</v>
      </c>
      <c r="F11" s="6"/>
    </row>
    <row r="12" spans="1:6" x14ac:dyDescent="0.3">
      <c r="A12" s="6"/>
      <c r="B12" s="6" t="s">
        <v>700</v>
      </c>
      <c r="C12" s="6">
        <v>-1</v>
      </c>
      <c r="D12" s="6"/>
      <c r="E12" s="6">
        <f>Table111[[#This Row],[Total Athletes]]-(LEN(Table111[[#This Row],[Pair]])-LEN(SUBSTITUTE(Table111[[#This Row],[Pair]],"/","")))-1</f>
        <v>-1</v>
      </c>
      <c r="F12" s="6"/>
    </row>
    <row r="13" spans="1:6" x14ac:dyDescent="0.3">
      <c r="A13" s="6"/>
      <c r="B13" s="6" t="s">
        <v>700</v>
      </c>
      <c r="C13" s="6">
        <v>-1</v>
      </c>
      <c r="D13" s="6"/>
      <c r="E13" s="6">
        <f>Table111[[#This Row],[Total Athletes]]-(LEN(Table111[[#This Row],[Pair]])-LEN(SUBSTITUTE(Table111[[#This Row],[Pair]],"/","")))-1</f>
        <v>-1</v>
      </c>
      <c r="F13" s="6"/>
    </row>
    <row r="14" spans="1:6" x14ac:dyDescent="0.3">
      <c r="A14" s="6" t="s">
        <v>4294</v>
      </c>
      <c r="B14" s="6" t="s">
        <v>328</v>
      </c>
      <c r="C14" s="6">
        <v>17</v>
      </c>
      <c r="D14" s="6"/>
      <c r="E14" s="6">
        <f>Table111[[#This Row],[Total Athletes]]-(LEN(Table111[[#This Row],[Pair]])-LEN(SUBSTITUTE(Table111[[#This Row],[Pair]],"/","")))-1</f>
        <v>1</v>
      </c>
      <c r="F14" s="6">
        <v>2</v>
      </c>
    </row>
    <row r="15" spans="1:6" x14ac:dyDescent="0.3">
      <c r="A15" s="6" t="s">
        <v>4737</v>
      </c>
      <c r="B15" s="6" t="s">
        <v>328</v>
      </c>
      <c r="C15" s="6">
        <v>16</v>
      </c>
      <c r="D15" s="6"/>
      <c r="E15" s="6">
        <f>Table111[[#This Row],[Total Athletes]]-(LEN(Table111[[#This Row],[Pair]])-LEN(SUBSTITUTE(Table111[[#This Row],[Pair]],"/","")))-1</f>
        <v>1</v>
      </c>
      <c r="F15" s="6">
        <v>2</v>
      </c>
    </row>
    <row r="16" spans="1:6" x14ac:dyDescent="0.3">
      <c r="A16" s="6"/>
      <c r="B16" s="6" t="s">
        <v>614</v>
      </c>
      <c r="C16" s="6">
        <v>-1</v>
      </c>
      <c r="D16" s="6"/>
      <c r="E16" s="6">
        <f>Table111[[#This Row],[Total Athletes]]-(LEN(Table111[[#This Row],[Pair]])-LEN(SUBSTITUTE(Table111[[#This Row],[Pair]],"/","")))-1</f>
        <v>-1</v>
      </c>
      <c r="F16" s="6"/>
    </row>
    <row r="17" spans="1:6" x14ac:dyDescent="0.3">
      <c r="A17" s="6"/>
      <c r="B17" s="6" t="s">
        <v>614</v>
      </c>
      <c r="C17" s="6">
        <v>-1</v>
      </c>
      <c r="D17" s="6"/>
      <c r="E17" s="6">
        <f>Table111[[#This Row],[Total Athletes]]-(LEN(Table111[[#This Row],[Pair]])-LEN(SUBSTITUTE(Table111[[#This Row],[Pair]],"/","")))-1</f>
        <v>-1</v>
      </c>
      <c r="F17" s="6"/>
    </row>
    <row r="18" spans="1:6" x14ac:dyDescent="0.3">
      <c r="A18" s="6"/>
      <c r="B18" s="6" t="s">
        <v>358</v>
      </c>
      <c r="C18" s="6">
        <v>-1</v>
      </c>
      <c r="D18" s="6"/>
      <c r="E18" s="6">
        <f>Table111[[#This Row],[Total Athletes]]-(LEN(Table111[[#This Row],[Pair]])-LEN(SUBSTITUTE(Table111[[#This Row],[Pair]],"/","")))-1</f>
        <v>-1</v>
      </c>
      <c r="F18" s="6"/>
    </row>
    <row r="19" spans="1:6" x14ac:dyDescent="0.3">
      <c r="A19" s="6"/>
      <c r="B19" s="6" t="s">
        <v>358</v>
      </c>
      <c r="C19" s="6">
        <v>-1</v>
      </c>
      <c r="D19" s="6"/>
      <c r="E19" s="6">
        <f>Table111[[#This Row],[Total Athletes]]-(LEN(Table111[[#This Row],[Pair]])-LEN(SUBSTITUTE(Table111[[#This Row],[Pair]],"/","")))-1</f>
        <v>-1</v>
      </c>
      <c r="F19" s="6"/>
    </row>
    <row r="20" spans="1:6" x14ac:dyDescent="0.3">
      <c r="A20" s="6" t="s">
        <v>4690</v>
      </c>
      <c r="B20" s="6" t="s">
        <v>402</v>
      </c>
      <c r="C20" s="6">
        <v>12</v>
      </c>
      <c r="D20" s="6"/>
      <c r="E20" s="6">
        <f>Table111[[#This Row],[Total Athletes]]-(LEN(Table111[[#This Row],[Pair]])-LEN(SUBSTITUTE(Table111[[#This Row],[Pair]],"/","")))-1</f>
        <v>1</v>
      </c>
      <c r="F20" s="6">
        <v>3</v>
      </c>
    </row>
    <row r="21" spans="1:6" x14ac:dyDescent="0.3">
      <c r="A21" s="6" t="s">
        <v>2260</v>
      </c>
      <c r="B21" s="6" t="s">
        <v>356</v>
      </c>
      <c r="C21" s="6">
        <v>7</v>
      </c>
      <c r="D21" s="6"/>
      <c r="E21" s="6">
        <f>Table111[[#This Row],[Total Athletes]]-(LEN(Table111[[#This Row],[Pair]])-LEN(SUBSTITUTE(Table111[[#This Row],[Pair]],"/","")))-1</f>
        <v>1</v>
      </c>
      <c r="F21" s="6">
        <v>2</v>
      </c>
    </row>
    <row r="22" spans="1:6" x14ac:dyDescent="0.3">
      <c r="A22" s="6"/>
      <c r="B22" s="6" t="s">
        <v>344</v>
      </c>
      <c r="C22" s="6">
        <v>-1</v>
      </c>
      <c r="D22" s="6"/>
      <c r="E22" s="6">
        <f>Table111[[#This Row],[Total Athletes]]-(LEN(Table111[[#This Row],[Pair]])-LEN(SUBSTITUTE(Table111[[#This Row],[Pair]],"/","")))-1</f>
        <v>-1</v>
      </c>
      <c r="F22" s="6"/>
    </row>
    <row r="23" spans="1:6" x14ac:dyDescent="0.3">
      <c r="A23" s="6"/>
      <c r="B23" s="6" t="s">
        <v>348</v>
      </c>
      <c r="C23" s="6">
        <v>-1</v>
      </c>
      <c r="D23" s="6"/>
      <c r="E23" s="6">
        <f>Table111[[#This Row],[Total Athletes]]-(LEN(Table111[[#This Row],[Pair]])-LEN(SUBSTITUTE(Table111[[#This Row],[Pair]],"/","")))-1</f>
        <v>-1</v>
      </c>
      <c r="F23" s="6"/>
    </row>
    <row r="24" spans="1:6" x14ac:dyDescent="0.3">
      <c r="A24" s="6" t="s">
        <v>3062</v>
      </c>
      <c r="B24" s="6" t="s">
        <v>336</v>
      </c>
      <c r="C24" s="6">
        <v>24</v>
      </c>
      <c r="D24" s="6"/>
      <c r="E24" s="6">
        <f>Table111[[#This Row],[Total Athletes]]-(LEN(Table111[[#This Row],[Pair]])-LEN(SUBSTITUTE(Table111[[#This Row],[Pair]],"/","")))-1</f>
        <v>0</v>
      </c>
      <c r="F24" s="6">
        <v>2</v>
      </c>
    </row>
    <row r="25" spans="1:6" x14ac:dyDescent="0.3">
      <c r="A25" s="6" t="s">
        <v>2942</v>
      </c>
      <c r="B25" s="6" t="s">
        <v>412</v>
      </c>
      <c r="C25" s="6">
        <v>10</v>
      </c>
      <c r="D25" s="6"/>
      <c r="E25" s="6">
        <f>Table111[[#This Row],[Total Athletes]]-(LEN(Table111[[#This Row],[Pair]])-LEN(SUBSTITUTE(Table111[[#This Row],[Pair]],"/","")))-1</f>
        <v>1</v>
      </c>
      <c r="F25" s="6">
        <v>2</v>
      </c>
    </row>
    <row r="26" spans="1:6" x14ac:dyDescent="0.3">
      <c r="A26" s="6"/>
      <c r="B26" s="6" t="s">
        <v>618</v>
      </c>
      <c r="C26" s="6">
        <v>-1</v>
      </c>
      <c r="D26" s="6"/>
      <c r="E26" s="6">
        <f>Table111[[#This Row],[Total Athletes]]-(LEN(Table111[[#This Row],[Pair]])-LEN(SUBSTITUTE(Table111[[#This Row],[Pair]],"/","")))-1</f>
        <v>-1</v>
      </c>
      <c r="F26" s="6"/>
    </row>
    <row r="27" spans="1:6" x14ac:dyDescent="0.3">
      <c r="A27" s="6"/>
      <c r="B27" s="6" t="s">
        <v>600</v>
      </c>
      <c r="C27" s="6">
        <v>-1</v>
      </c>
      <c r="D27" s="6"/>
      <c r="E27" s="6">
        <f>Table111[[#This Row],[Total Athletes]]-(LEN(Table111[[#This Row],[Pair]])-LEN(SUBSTITUTE(Table111[[#This Row],[Pair]],"/","")))-1</f>
        <v>-1</v>
      </c>
      <c r="F27" s="6"/>
    </row>
    <row r="28" spans="1:6" x14ac:dyDescent="0.3">
      <c r="A28" s="6"/>
      <c r="B28" s="6" t="s">
        <v>480</v>
      </c>
      <c r="C28" s="6">
        <v>-1</v>
      </c>
      <c r="D28" s="6"/>
      <c r="E28" s="6">
        <f>Table111[[#This Row],[Total Athletes]]-(LEN(Table111[[#This Row],[Pair]])-LEN(SUBSTITUTE(Table111[[#This Row],[Pair]],"/","")))-1</f>
        <v>-1</v>
      </c>
      <c r="F28" s="6"/>
    </row>
    <row r="29" spans="1:6" x14ac:dyDescent="0.3">
      <c r="A29" s="6" t="s">
        <v>4318</v>
      </c>
      <c r="B29" s="6" t="s">
        <v>598</v>
      </c>
      <c r="C29" s="6">
        <v>26</v>
      </c>
      <c r="D29" s="6"/>
      <c r="E29" s="6">
        <f>Table111[[#This Row],[Total Athletes]]-(LEN(Table111[[#This Row],[Pair]])-LEN(SUBSTITUTE(Table111[[#This Row],[Pair]],"/","")))-1</f>
        <v>1</v>
      </c>
      <c r="F29" s="6">
        <v>2</v>
      </c>
    </row>
    <row r="30" spans="1:6" x14ac:dyDescent="0.3">
      <c r="A30" s="6"/>
      <c r="B30" s="6" t="s">
        <v>334</v>
      </c>
      <c r="C30" s="6"/>
      <c r="D30" s="6">
        <v>-1</v>
      </c>
      <c r="E30" s="6">
        <f>Table111[[#This Row],[Total Athletes]]-(LEN(Table111[[#This Row],[Pair]])-LEN(SUBSTITUTE(Table111[[#This Row],[Pair]],"/","")))-1</f>
        <v>-1</v>
      </c>
      <c r="F30" s="6"/>
    </row>
    <row r="31" spans="1:6" x14ac:dyDescent="0.3">
      <c r="A31" s="6"/>
      <c r="B31" s="6" t="s">
        <v>334</v>
      </c>
      <c r="C31" s="6"/>
      <c r="D31" s="6">
        <v>-1</v>
      </c>
      <c r="E31" s="6">
        <f>Table111[[#This Row],[Total Athletes]]-(LEN(Table111[[#This Row],[Pair]])-LEN(SUBSTITUTE(Table111[[#This Row],[Pair]],"/","")))-1</f>
        <v>-1</v>
      </c>
      <c r="F31" s="6"/>
    </row>
    <row r="32" spans="1:6" x14ac:dyDescent="0.3">
      <c r="A32" s="6"/>
      <c r="B32" s="6" t="s">
        <v>334</v>
      </c>
      <c r="C32" s="6"/>
      <c r="D32" s="6">
        <v>-1</v>
      </c>
      <c r="E32" s="6">
        <f>Table111[[#This Row],[Total Athletes]]-(LEN(Table111[[#This Row],[Pair]])-LEN(SUBSTITUTE(Table111[[#This Row],[Pair]],"/","")))-1</f>
        <v>-1</v>
      </c>
      <c r="F32" s="6"/>
    </row>
    <row r="33" spans="1:6" x14ac:dyDescent="0.3">
      <c r="A33" s="6" t="s">
        <v>2034</v>
      </c>
      <c r="B33" s="6" t="s">
        <v>332</v>
      </c>
      <c r="C33" s="6"/>
      <c r="D33" s="6">
        <v>7</v>
      </c>
      <c r="E33" s="6">
        <f>Table111[[#This Row],[Total Athletes]]-(LEN(Table111[[#This Row],[Pair]])-LEN(SUBSTITUTE(Table111[[#This Row],[Pair]],"/","")))-1</f>
        <v>1</v>
      </c>
      <c r="F33" s="6">
        <v>2</v>
      </c>
    </row>
    <row r="34" spans="1:6" x14ac:dyDescent="0.3">
      <c r="A34" s="6" t="s">
        <v>4516</v>
      </c>
      <c r="B34" s="6" t="s">
        <v>332</v>
      </c>
      <c r="C34" s="6"/>
      <c r="D34" s="6">
        <v>3</v>
      </c>
      <c r="E34" s="6">
        <f>Table111[[#This Row],[Total Athletes]]-(LEN(Table111[[#This Row],[Pair]])-LEN(SUBSTITUTE(Table111[[#This Row],[Pair]],"/","")))-1</f>
        <v>0</v>
      </c>
      <c r="F34" s="6">
        <v>2</v>
      </c>
    </row>
    <row r="35" spans="1:6" x14ac:dyDescent="0.3">
      <c r="A35" s="6" t="s">
        <v>3011</v>
      </c>
      <c r="B35" s="6" t="s">
        <v>332</v>
      </c>
      <c r="C35" s="6"/>
      <c r="D35" s="6">
        <v>5</v>
      </c>
      <c r="E35" s="6">
        <f>Table111[[#This Row],[Total Athletes]]-(LEN(Table111[[#This Row],[Pair]])-LEN(SUBSTITUTE(Table111[[#This Row],[Pair]],"/","")))-1</f>
        <v>1</v>
      </c>
      <c r="F35" s="6">
        <v>2</v>
      </c>
    </row>
    <row r="36" spans="1:6" x14ac:dyDescent="0.3">
      <c r="A36" s="6" t="s">
        <v>2064</v>
      </c>
      <c r="B36" s="6" t="s">
        <v>384</v>
      </c>
      <c r="C36" s="6"/>
      <c r="D36" s="6">
        <v>11</v>
      </c>
      <c r="E36" s="6">
        <f>Table111[[#This Row],[Total Athletes]]-(LEN(Table111[[#This Row],[Pair]])-LEN(SUBSTITUTE(Table111[[#This Row],[Pair]],"/","")))-1</f>
        <v>1</v>
      </c>
      <c r="F36" s="6">
        <v>2</v>
      </c>
    </row>
    <row r="37" spans="1:6" x14ac:dyDescent="0.3">
      <c r="A37" s="6" t="s">
        <v>2165</v>
      </c>
      <c r="B37" s="6" t="s">
        <v>384</v>
      </c>
      <c r="C37" s="6"/>
      <c r="D37" s="6">
        <v>13</v>
      </c>
      <c r="E37" s="6">
        <f>Table111[[#This Row],[Total Athletes]]-(LEN(Table111[[#This Row],[Pair]])-LEN(SUBSTITUTE(Table111[[#This Row],[Pair]],"/","")))-1</f>
        <v>1</v>
      </c>
      <c r="F37" s="6">
        <v>2</v>
      </c>
    </row>
    <row r="38" spans="1:6" x14ac:dyDescent="0.3">
      <c r="A38" s="6"/>
      <c r="B38" s="6" t="s">
        <v>384</v>
      </c>
      <c r="C38" s="6"/>
      <c r="D38" s="6">
        <v>-1</v>
      </c>
      <c r="E38" s="6">
        <f>Table111[[#This Row],[Total Athletes]]-(LEN(Table111[[#This Row],[Pair]])-LEN(SUBSTITUTE(Table111[[#This Row],[Pair]],"/","")))-1</f>
        <v>-1</v>
      </c>
      <c r="F38" s="6"/>
    </row>
    <row r="39" spans="1:6" x14ac:dyDescent="0.3">
      <c r="A39" s="6" t="s">
        <v>4256</v>
      </c>
      <c r="B39" s="6" t="s">
        <v>444</v>
      </c>
      <c r="C39" s="6"/>
      <c r="D39" s="6">
        <v>7</v>
      </c>
      <c r="E39" s="6">
        <f>Table111[[#This Row],[Total Athletes]]-(LEN(Table111[[#This Row],[Pair]])-LEN(SUBSTITUTE(Table111[[#This Row],[Pair]],"/","")))-1</f>
        <v>1</v>
      </c>
      <c r="F39" s="6">
        <v>2</v>
      </c>
    </row>
    <row r="40" spans="1:6" x14ac:dyDescent="0.3">
      <c r="A40" s="6"/>
      <c r="B40" s="6" t="s">
        <v>444</v>
      </c>
      <c r="C40" s="6"/>
      <c r="D40" s="6">
        <v>-1</v>
      </c>
      <c r="E40" s="6">
        <f>Table111[[#This Row],[Total Athletes]]-(LEN(Table111[[#This Row],[Pair]])-LEN(SUBSTITUTE(Table111[[#This Row],[Pair]],"/","")))-1</f>
        <v>-1</v>
      </c>
      <c r="F40" s="6"/>
    </row>
    <row r="41" spans="1:6" x14ac:dyDescent="0.3">
      <c r="A41" s="6" t="s">
        <v>2784</v>
      </c>
      <c r="B41" s="6" t="s">
        <v>328</v>
      </c>
      <c r="C41" s="6"/>
      <c r="D41" s="6">
        <v>11</v>
      </c>
      <c r="E41" s="6">
        <f>Table111[[#This Row],[Total Athletes]]-(LEN(Table111[[#This Row],[Pair]])-LEN(SUBSTITUTE(Table111[[#This Row],[Pair]],"/","")))-1</f>
        <v>1</v>
      </c>
      <c r="F41" s="6">
        <v>2</v>
      </c>
    </row>
    <row r="42" spans="1:6" x14ac:dyDescent="0.3">
      <c r="A42" s="6" t="s">
        <v>2785</v>
      </c>
      <c r="B42" s="6" t="s">
        <v>328</v>
      </c>
      <c r="C42" s="6"/>
      <c r="D42" s="6">
        <v>22</v>
      </c>
      <c r="E42" s="6">
        <f>Table111[[#This Row],[Total Athletes]]-(LEN(Table111[[#This Row],[Pair]])-LEN(SUBSTITUTE(Table111[[#This Row],[Pair]],"/","")))-1</f>
        <v>1</v>
      </c>
      <c r="F42" s="6">
        <v>2</v>
      </c>
    </row>
    <row r="43" spans="1:6" x14ac:dyDescent="0.3">
      <c r="A43" s="6" t="s">
        <v>2873</v>
      </c>
      <c r="B43" s="6" t="s">
        <v>356</v>
      </c>
      <c r="C43" s="6"/>
      <c r="D43" s="6">
        <v>23</v>
      </c>
      <c r="E43" s="6">
        <f>Table111[[#This Row],[Total Athletes]]-(LEN(Table111[[#This Row],[Pair]])-LEN(SUBSTITUTE(Table111[[#This Row],[Pair]],"/","")))-1</f>
        <v>1</v>
      </c>
      <c r="F43" s="6">
        <v>2</v>
      </c>
    </row>
    <row r="44" spans="1:6" x14ac:dyDescent="0.3">
      <c r="A44" s="6" t="s">
        <v>4954</v>
      </c>
      <c r="B44" s="6" t="s">
        <v>356</v>
      </c>
      <c r="C44" s="6"/>
      <c r="D44" s="6">
        <v>20</v>
      </c>
      <c r="E44" s="6">
        <f>Table111[[#This Row],[Total Athletes]]-(LEN(Table111[[#This Row],[Pair]])-LEN(SUBSTITUTE(Table111[[#This Row],[Pair]],"/","")))-1</f>
        <v>0</v>
      </c>
      <c r="F44" s="6">
        <v>2</v>
      </c>
    </row>
    <row r="45" spans="1:6" x14ac:dyDescent="0.3">
      <c r="A45" s="6" t="s">
        <v>1254</v>
      </c>
      <c r="B45" s="6" t="s">
        <v>354</v>
      </c>
      <c r="C45" s="6"/>
      <c r="D45" s="6">
        <v>10</v>
      </c>
      <c r="E45" s="6">
        <f>Table111[[#This Row],[Total Athletes]]-(LEN(Table111[[#This Row],[Pair]])-LEN(SUBSTITUTE(Table111[[#This Row],[Pair]],"/","")))-1</f>
        <v>1</v>
      </c>
      <c r="F45" s="6">
        <v>2</v>
      </c>
    </row>
    <row r="46" spans="1:6" x14ac:dyDescent="0.3">
      <c r="A46" s="6"/>
      <c r="B46" s="6" t="s">
        <v>354</v>
      </c>
      <c r="C46" s="6"/>
      <c r="D46" s="6">
        <v>-1</v>
      </c>
      <c r="E46" s="6">
        <f>Table111[[#This Row],[Total Athletes]]-(LEN(Table111[[#This Row],[Pair]])-LEN(SUBSTITUTE(Table111[[#This Row],[Pair]],"/","")))-1</f>
        <v>-1</v>
      </c>
      <c r="F46" s="6"/>
    </row>
    <row r="47" spans="1:6" x14ac:dyDescent="0.3">
      <c r="A47" s="6" t="s">
        <v>3621</v>
      </c>
      <c r="B47" s="6" t="s">
        <v>358</v>
      </c>
      <c r="C47" s="6"/>
      <c r="D47" s="6">
        <v>9</v>
      </c>
      <c r="E47" s="6">
        <f>Table111[[#This Row],[Total Athletes]]-(LEN(Table111[[#This Row],[Pair]])-LEN(SUBSTITUTE(Table111[[#This Row],[Pair]],"/","")))-1</f>
        <v>1</v>
      </c>
      <c r="F47" s="6">
        <v>2</v>
      </c>
    </row>
    <row r="48" spans="1:6" x14ac:dyDescent="0.3">
      <c r="A48" s="6"/>
      <c r="B48" s="6" t="s">
        <v>358</v>
      </c>
      <c r="C48" s="6"/>
      <c r="D48" s="6">
        <v>-1</v>
      </c>
      <c r="E48" s="6">
        <f>Table111[[#This Row],[Total Athletes]]-(LEN(Table111[[#This Row],[Pair]])-LEN(SUBSTITUTE(Table111[[#This Row],[Pair]],"/","")))-1</f>
        <v>-1</v>
      </c>
      <c r="F48" s="6"/>
    </row>
    <row r="49" spans="1:6" x14ac:dyDescent="0.3">
      <c r="A49" s="6" t="s">
        <v>1685</v>
      </c>
      <c r="B49" s="6" t="s">
        <v>344</v>
      </c>
      <c r="C49" s="6"/>
      <c r="D49" s="6">
        <v>17</v>
      </c>
      <c r="E49" s="6">
        <f>Table111[[#This Row],[Total Athletes]]-(LEN(Table111[[#This Row],[Pair]])-LEN(SUBSTITUTE(Table111[[#This Row],[Pair]],"/","")))-1</f>
        <v>1</v>
      </c>
      <c r="F49" s="6">
        <v>2</v>
      </c>
    </row>
    <row r="50" spans="1:6" x14ac:dyDescent="0.3">
      <c r="A50" s="6"/>
      <c r="B50" s="6" t="s">
        <v>700</v>
      </c>
      <c r="C50" s="6"/>
      <c r="D50" s="6">
        <v>-1</v>
      </c>
      <c r="E50" s="6">
        <f>Table111[[#This Row],[Total Athletes]]-(LEN(Table111[[#This Row],[Pair]])-LEN(SUBSTITUTE(Table111[[#This Row],[Pair]],"/","")))-1</f>
        <v>-1</v>
      </c>
      <c r="F50" s="6"/>
    </row>
    <row r="51" spans="1:6" x14ac:dyDescent="0.3">
      <c r="A51" s="6" t="s">
        <v>2937</v>
      </c>
      <c r="B51" s="6" t="s">
        <v>402</v>
      </c>
      <c r="C51" s="6"/>
      <c r="D51" s="6">
        <v>15</v>
      </c>
      <c r="E51" s="6">
        <f>Table111[[#This Row],[Total Athletes]]-(LEN(Table111[[#This Row],[Pair]])-LEN(SUBSTITUTE(Table111[[#This Row],[Pair]],"/","")))-1</f>
        <v>0</v>
      </c>
      <c r="F51" s="6">
        <v>2</v>
      </c>
    </row>
    <row r="52" spans="1:6" x14ac:dyDescent="0.3">
      <c r="A52" s="6"/>
      <c r="B52" s="6" t="s">
        <v>394</v>
      </c>
      <c r="C52" s="6"/>
      <c r="D52" s="6">
        <v>-1</v>
      </c>
      <c r="E52" s="6">
        <f>Table111[[#This Row],[Total Athletes]]-(LEN(Table111[[#This Row],[Pair]])-LEN(SUBSTITUTE(Table111[[#This Row],[Pair]],"/","")))-1</f>
        <v>-1</v>
      </c>
      <c r="F52" s="6"/>
    </row>
    <row r="53" spans="1:6" x14ac:dyDescent="0.3">
      <c r="A53" s="6" t="s">
        <v>1540</v>
      </c>
      <c r="B53" s="6" t="s">
        <v>408</v>
      </c>
      <c r="C53" s="6"/>
      <c r="D53" s="6">
        <v>19</v>
      </c>
      <c r="E53" s="6">
        <f>Table111[[#This Row],[Total Athletes]]-(LEN(Table111[[#This Row],[Pair]])-LEN(SUBSTITUTE(Table111[[#This Row],[Pair]],"/","")))-1</f>
        <v>1</v>
      </c>
      <c r="F53" s="6">
        <v>2</v>
      </c>
    </row>
    <row r="54" spans="1:6" x14ac:dyDescent="0.3">
      <c r="A54" s="6"/>
      <c r="B54" s="6" t="s">
        <v>368</v>
      </c>
      <c r="C54" s="6"/>
      <c r="D54" s="6">
        <v>-1</v>
      </c>
      <c r="E54" s="6">
        <f>Table111[[#This Row],[Total Athletes]]-(LEN(Table111[[#This Row],[Pair]])-LEN(SUBSTITUTE(Table111[[#This Row],[Pair]],"/","")))-1</f>
        <v>-1</v>
      </c>
      <c r="F54" s="6"/>
    </row>
  </sheetData>
  <pageMargins left="0.7" right="0.7" top="0.75" bottom="0.75" header="0.3" footer="0.3"/>
  <tableParts count="1">
    <tablePart r:id="rId1"/>
  </tableParts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47760-68B4-4D91-941E-8C8CA1900383}">
  <dimension ref="A1:E29"/>
  <sheetViews>
    <sheetView topLeftCell="A22" workbookViewId="0">
      <selection activeCell="B30" sqref="B30"/>
    </sheetView>
  </sheetViews>
  <sheetFormatPr defaultRowHeight="14.4" x14ac:dyDescent="0.3"/>
  <cols>
    <col min="1" max="1" width="59" bestFit="1" customWidth="1"/>
    <col min="2" max="2" width="18.5546875" bestFit="1" customWidth="1"/>
    <col min="3" max="3" width="24.21875" bestFit="1" customWidth="1"/>
    <col min="4" max="4" width="17" bestFit="1" customWidth="1"/>
    <col min="5" max="5" width="14.77734375" bestFit="1" customWidth="1"/>
  </cols>
  <sheetData>
    <row r="1" spans="1:5" x14ac:dyDescent="0.3">
      <c r="A1" t="s">
        <v>834</v>
      </c>
      <c r="B1" t="s">
        <v>1</v>
      </c>
      <c r="C1" t="s">
        <v>1225</v>
      </c>
      <c r="D1" t="s">
        <v>1212</v>
      </c>
      <c r="E1" t="s">
        <v>1213</v>
      </c>
    </row>
    <row r="2" spans="1:5" x14ac:dyDescent="0.3">
      <c r="A2" s="6" t="s">
        <v>4672</v>
      </c>
      <c r="B2" s="6" t="s">
        <v>334</v>
      </c>
      <c r="C2" s="6">
        <v>2</v>
      </c>
      <c r="D2" s="6">
        <f>Table112[[#This Row],[Total Athletes]]-(LEN(Table112[[#This Row],[Team]])-LEN(SUBSTITUTE(Table112[[#This Row],[Team]],"/","")))-1</f>
        <v>2</v>
      </c>
      <c r="E2" s="6">
        <v>4</v>
      </c>
    </row>
    <row r="3" spans="1:5" x14ac:dyDescent="0.3">
      <c r="A3" s="6" t="s">
        <v>4677</v>
      </c>
      <c r="B3" s="6" t="s">
        <v>334</v>
      </c>
      <c r="C3" s="6">
        <v>1</v>
      </c>
      <c r="D3" s="6">
        <f>Table112[[#This Row],[Total Athletes]]-(LEN(Table112[[#This Row],[Team]])-LEN(SUBSTITUTE(Table112[[#This Row],[Team]],"/","")))-1</f>
        <v>3</v>
      </c>
      <c r="E3" s="6">
        <v>4</v>
      </c>
    </row>
    <row r="4" spans="1:5" x14ac:dyDescent="0.3">
      <c r="A4" s="6"/>
      <c r="B4" s="6" t="s">
        <v>334</v>
      </c>
      <c r="C4" s="6">
        <v>-1</v>
      </c>
      <c r="D4" s="6">
        <f>Table112[[#This Row],[Total Athletes]]-(LEN(Table112[[#This Row],[Team]])-LEN(SUBSTITUTE(Table112[[#This Row],[Team]],"/","")))-1</f>
        <v>-1</v>
      </c>
      <c r="E4" s="6"/>
    </row>
    <row r="5" spans="1:5" x14ac:dyDescent="0.3">
      <c r="A5" s="6" t="s">
        <v>2233</v>
      </c>
      <c r="B5" s="6" t="s">
        <v>444</v>
      </c>
      <c r="C5" s="6">
        <v>3</v>
      </c>
      <c r="D5" s="6">
        <f>Table112[[#This Row],[Total Athletes]]-(LEN(Table112[[#This Row],[Team]])-LEN(SUBSTITUTE(Table112[[#This Row],[Team]],"/","")))-1</f>
        <v>3</v>
      </c>
      <c r="E5" s="6">
        <v>4</v>
      </c>
    </row>
    <row r="6" spans="1:5" x14ac:dyDescent="0.3">
      <c r="A6" s="6"/>
      <c r="B6" s="6" t="s">
        <v>444</v>
      </c>
      <c r="C6" s="6">
        <v>-1</v>
      </c>
      <c r="D6" s="6">
        <f>Table112[[#This Row],[Total Athletes]]-(LEN(Table112[[#This Row],[Team]])-LEN(SUBSTITUTE(Table112[[#This Row],[Team]],"/","")))-1</f>
        <v>-1</v>
      </c>
      <c r="E6" s="6"/>
    </row>
    <row r="7" spans="1:5" x14ac:dyDescent="0.3">
      <c r="A7" s="6"/>
      <c r="B7" s="6" t="s">
        <v>444</v>
      </c>
      <c r="C7" s="6">
        <v>-1</v>
      </c>
      <c r="D7" s="6">
        <f>Table112[[#This Row],[Total Athletes]]-(LEN(Table112[[#This Row],[Team]])-LEN(SUBSTITUTE(Table112[[#This Row],[Team]],"/","")))-1</f>
        <v>-1</v>
      </c>
      <c r="E7" s="6"/>
    </row>
    <row r="8" spans="1:5" x14ac:dyDescent="0.3">
      <c r="A8" s="6" t="s">
        <v>1866</v>
      </c>
      <c r="B8" s="6" t="s">
        <v>332</v>
      </c>
      <c r="C8" s="6">
        <v>12</v>
      </c>
      <c r="D8" s="6">
        <f>Table112[[#This Row],[Total Athletes]]-(LEN(Table112[[#This Row],[Team]])-LEN(SUBSTITUTE(Table112[[#This Row],[Team]],"/","")))-1</f>
        <v>2</v>
      </c>
      <c r="E8" s="6">
        <v>4</v>
      </c>
    </row>
    <row r="9" spans="1:5" x14ac:dyDescent="0.3">
      <c r="A9" s="6" t="s">
        <v>4324</v>
      </c>
      <c r="B9" s="6" t="s">
        <v>332</v>
      </c>
      <c r="C9" s="6">
        <v>11</v>
      </c>
      <c r="D9" s="6">
        <f>Table112[[#This Row],[Total Athletes]]-(LEN(Table112[[#This Row],[Team]])-LEN(SUBSTITUTE(Table112[[#This Row],[Team]],"/","")))-1</f>
        <v>1</v>
      </c>
      <c r="E9" s="6">
        <v>4</v>
      </c>
    </row>
    <row r="10" spans="1:5" x14ac:dyDescent="0.3">
      <c r="A10" s="6" t="s">
        <v>2143</v>
      </c>
      <c r="B10" s="6" t="s">
        <v>384</v>
      </c>
      <c r="C10" s="6">
        <v>14</v>
      </c>
      <c r="D10" s="6">
        <f>Table112[[#This Row],[Total Athletes]]-(LEN(Table112[[#This Row],[Team]])-LEN(SUBSTITUTE(Table112[[#This Row],[Team]],"/","")))-1</f>
        <v>3</v>
      </c>
      <c r="E10" s="6">
        <v>4</v>
      </c>
    </row>
    <row r="11" spans="1:5" x14ac:dyDescent="0.3">
      <c r="A11" s="6" t="s">
        <v>2150</v>
      </c>
      <c r="B11" s="6" t="s">
        <v>384</v>
      </c>
      <c r="C11" s="6">
        <v>20</v>
      </c>
      <c r="D11" s="6">
        <f>Table112[[#This Row],[Total Athletes]]-(LEN(Table112[[#This Row],[Team]])-LEN(SUBSTITUTE(Table112[[#This Row],[Team]],"/","")))-1</f>
        <v>3</v>
      </c>
      <c r="E11" s="6">
        <v>4</v>
      </c>
    </row>
    <row r="12" spans="1:5" x14ac:dyDescent="0.3">
      <c r="A12" s="6"/>
      <c r="B12" s="6" t="s">
        <v>700</v>
      </c>
      <c r="C12" s="6">
        <v>-1</v>
      </c>
      <c r="D12" s="6">
        <f>Table112[[#This Row],[Total Athletes]]-(LEN(Table112[[#This Row],[Team]])-LEN(SUBSTITUTE(Table112[[#This Row],[Team]],"/","")))-1</f>
        <v>-1</v>
      </c>
      <c r="E12" s="6"/>
    </row>
    <row r="13" spans="1:5" x14ac:dyDescent="0.3">
      <c r="A13" s="6"/>
      <c r="B13" s="6" t="s">
        <v>700</v>
      </c>
      <c r="C13" s="6">
        <v>-1</v>
      </c>
      <c r="D13" s="6">
        <f>Table112[[#This Row],[Total Athletes]]-(LEN(Table112[[#This Row],[Team]])-LEN(SUBSTITUTE(Table112[[#This Row],[Team]],"/","")))-1</f>
        <v>-1</v>
      </c>
      <c r="E13" s="6"/>
    </row>
    <row r="14" spans="1:5" x14ac:dyDescent="0.3">
      <c r="A14" s="6" t="s">
        <v>4294</v>
      </c>
      <c r="B14" s="6" t="s">
        <v>328</v>
      </c>
      <c r="C14" s="6">
        <v>18</v>
      </c>
      <c r="D14" s="6">
        <f>Table112[[#This Row],[Total Athletes]]-(LEN(Table112[[#This Row],[Team]])-LEN(SUBSTITUTE(Table112[[#This Row],[Team]],"/","")))-1</f>
        <v>3</v>
      </c>
      <c r="E14" s="6">
        <v>4</v>
      </c>
    </row>
    <row r="15" spans="1:5" x14ac:dyDescent="0.3">
      <c r="A15" s="6" t="s">
        <v>4737</v>
      </c>
      <c r="B15" s="6" t="s">
        <v>328</v>
      </c>
      <c r="C15" s="6">
        <v>16</v>
      </c>
      <c r="D15" s="6">
        <f>Table112[[#This Row],[Total Athletes]]-(LEN(Table112[[#This Row],[Team]])-LEN(SUBSTITUTE(Table112[[#This Row],[Team]],"/","")))-1</f>
        <v>3</v>
      </c>
      <c r="E15" s="6">
        <v>4</v>
      </c>
    </row>
    <row r="16" spans="1:5" x14ac:dyDescent="0.3">
      <c r="A16" s="6" t="s">
        <v>4806</v>
      </c>
      <c r="B16" s="6" t="s">
        <v>614</v>
      </c>
      <c r="C16" s="6">
        <v>10</v>
      </c>
      <c r="D16" s="6">
        <f>Table112[[#This Row],[Total Athletes]]-(LEN(Table112[[#This Row],[Team]])-LEN(SUBSTITUTE(Table112[[#This Row],[Team]],"/","")))-1</f>
        <v>2</v>
      </c>
      <c r="E16" s="6">
        <v>4</v>
      </c>
    </row>
    <row r="17" spans="1:5" x14ac:dyDescent="0.3">
      <c r="A17" s="6"/>
      <c r="B17" s="6" t="s">
        <v>614</v>
      </c>
      <c r="C17" s="6">
        <v>-1</v>
      </c>
      <c r="D17" s="6">
        <f>Table112[[#This Row],[Total Athletes]]-(LEN(Table112[[#This Row],[Team]])-LEN(SUBSTITUTE(Table112[[#This Row],[Team]],"/","")))-1</f>
        <v>-1</v>
      </c>
      <c r="E17" s="6"/>
    </row>
    <row r="18" spans="1:5" x14ac:dyDescent="0.3">
      <c r="A18" s="6"/>
      <c r="B18" s="6" t="s">
        <v>358</v>
      </c>
      <c r="C18" s="6">
        <v>-1</v>
      </c>
      <c r="D18" s="6">
        <f>Table112[[#This Row],[Total Athletes]]-(LEN(Table112[[#This Row],[Team]])-LEN(SUBSTITUTE(Table112[[#This Row],[Team]],"/","")))-1</f>
        <v>-1</v>
      </c>
      <c r="E18" s="6"/>
    </row>
    <row r="19" spans="1:5" x14ac:dyDescent="0.3">
      <c r="A19" s="6"/>
      <c r="B19" s="6" t="s">
        <v>358</v>
      </c>
      <c r="C19" s="6">
        <v>-1</v>
      </c>
      <c r="D19" s="6">
        <f>Table112[[#This Row],[Total Athletes]]-(LEN(Table112[[#This Row],[Team]])-LEN(SUBSTITUTE(Table112[[#This Row],[Team]],"/","")))-1</f>
        <v>-1</v>
      </c>
      <c r="E19" s="6"/>
    </row>
    <row r="20" spans="1:5" x14ac:dyDescent="0.3">
      <c r="A20" s="6" t="s">
        <v>4690</v>
      </c>
      <c r="B20" s="6" t="s">
        <v>402</v>
      </c>
      <c r="C20" s="6">
        <v>7</v>
      </c>
      <c r="D20" s="6">
        <f>Table112[[#This Row],[Total Athletes]]-(LEN(Table112[[#This Row],[Team]])-LEN(SUBSTITUTE(Table112[[#This Row],[Team]],"/","")))-1</f>
        <v>2</v>
      </c>
      <c r="E20" s="6">
        <v>4</v>
      </c>
    </row>
    <row r="21" spans="1:5" x14ac:dyDescent="0.3">
      <c r="A21" s="6" t="s">
        <v>4505</v>
      </c>
      <c r="B21" s="6" t="s">
        <v>356</v>
      </c>
      <c r="C21" s="6">
        <v>5</v>
      </c>
      <c r="D21" s="6">
        <f>Table112[[#This Row],[Total Athletes]]-(LEN(Table112[[#This Row],[Team]])-LEN(SUBSTITUTE(Table112[[#This Row],[Team]],"/","")))-1</f>
        <v>2</v>
      </c>
      <c r="E21" s="6">
        <v>4</v>
      </c>
    </row>
    <row r="22" spans="1:5" x14ac:dyDescent="0.3">
      <c r="A22" s="6" t="s">
        <v>3294</v>
      </c>
      <c r="B22" s="6" t="s">
        <v>344</v>
      </c>
      <c r="C22" s="6">
        <v>1001</v>
      </c>
      <c r="D22" s="6">
        <f>Table112[[#This Row],[Total Athletes]]-(LEN(Table112[[#This Row],[Team]])-LEN(SUBSTITUTE(Table112[[#This Row],[Team]],"/","")))-1</f>
        <v>3</v>
      </c>
      <c r="E22" s="6">
        <v>4</v>
      </c>
    </row>
    <row r="23" spans="1:5" x14ac:dyDescent="0.3">
      <c r="A23" s="6"/>
      <c r="B23" s="6" t="s">
        <v>348</v>
      </c>
      <c r="C23" s="6">
        <v>-1</v>
      </c>
      <c r="D23" s="6">
        <f>Table112[[#This Row],[Total Athletes]]-(LEN(Table112[[#This Row],[Team]])-LEN(SUBSTITUTE(Table112[[#This Row],[Team]],"/","")))-1</f>
        <v>-1</v>
      </c>
      <c r="E23" s="6"/>
    </row>
    <row r="24" spans="1:5" x14ac:dyDescent="0.3">
      <c r="A24" s="6" t="s">
        <v>3063</v>
      </c>
      <c r="B24" s="6" t="s">
        <v>336</v>
      </c>
      <c r="C24" s="6">
        <v>19</v>
      </c>
      <c r="D24" s="6">
        <f>Table112[[#This Row],[Total Athletes]]-(LEN(Table112[[#This Row],[Team]])-LEN(SUBSTITUTE(Table112[[#This Row],[Team]],"/","")))-1</f>
        <v>1</v>
      </c>
      <c r="E24" s="6">
        <v>4</v>
      </c>
    </row>
    <row r="25" spans="1:5" x14ac:dyDescent="0.3">
      <c r="A25" s="6" t="s">
        <v>2943</v>
      </c>
      <c r="B25" s="6" t="s">
        <v>412</v>
      </c>
      <c r="C25" s="6">
        <v>13</v>
      </c>
      <c r="D25" s="6">
        <f>Table112[[#This Row],[Total Athletes]]-(LEN(Table112[[#This Row],[Team]])-LEN(SUBSTITUTE(Table112[[#This Row],[Team]],"/","")))-1</f>
        <v>2</v>
      </c>
      <c r="E25" s="6">
        <v>4</v>
      </c>
    </row>
    <row r="26" spans="1:5" x14ac:dyDescent="0.3">
      <c r="A26" s="6"/>
      <c r="B26" s="6" t="s">
        <v>618</v>
      </c>
      <c r="C26" s="6">
        <v>-1</v>
      </c>
      <c r="D26" s="6">
        <f>Table112[[#This Row],[Total Athletes]]-(LEN(Table112[[#This Row],[Team]])-LEN(SUBSTITUTE(Table112[[#This Row],[Team]],"/","")))-1</f>
        <v>-1</v>
      </c>
      <c r="E26" s="6"/>
    </row>
    <row r="27" spans="1:5" x14ac:dyDescent="0.3">
      <c r="A27" s="6" t="s">
        <v>2762</v>
      </c>
      <c r="B27" s="6" t="s">
        <v>600</v>
      </c>
      <c r="C27" s="6">
        <v>21</v>
      </c>
      <c r="D27" s="6">
        <f>Table112[[#This Row],[Total Athletes]]-(LEN(Table112[[#This Row],[Team]])-LEN(SUBSTITUTE(Table112[[#This Row],[Team]],"/","")))-1</f>
        <v>3</v>
      </c>
      <c r="E27" s="6">
        <v>4</v>
      </c>
    </row>
    <row r="28" spans="1:5" x14ac:dyDescent="0.3">
      <c r="A28" s="6"/>
      <c r="B28" s="6" t="s">
        <v>480</v>
      </c>
      <c r="C28" s="6">
        <v>-1</v>
      </c>
      <c r="D28" s="6">
        <f>Table112[[#This Row],[Total Athletes]]-(LEN(Table112[[#This Row],[Team]])-LEN(SUBSTITUTE(Table112[[#This Row],[Team]],"/","")))-1</f>
        <v>-1</v>
      </c>
      <c r="E28" s="6"/>
    </row>
    <row r="29" spans="1:5" x14ac:dyDescent="0.3">
      <c r="A29" s="6" t="s">
        <v>4319</v>
      </c>
      <c r="B29" s="6" t="s">
        <v>598</v>
      </c>
      <c r="C29" s="6">
        <v>1001</v>
      </c>
      <c r="D29" s="6">
        <f>Table112[[#This Row],[Total Athletes]]-(LEN(Table112[[#This Row],[Team]])-LEN(SUBSTITUTE(Table112[[#This Row],[Team]],"/","")))-1</f>
        <v>2</v>
      </c>
      <c r="E29" s="6">
        <v>4</v>
      </c>
    </row>
  </sheetData>
  <pageMargins left="0.7" right="0.7" top="0.75" bottom="0.75" header="0.3" footer="0.3"/>
  <tableParts count="1">
    <tablePart r:id="rId1"/>
  </tableParts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F13CE-1726-45E1-8C9E-7F5D4F2D54E2}">
  <dimension ref="A1:F151"/>
  <sheetViews>
    <sheetView topLeftCell="A145" workbookViewId="0">
      <selection activeCell="B152" sqref="B152"/>
    </sheetView>
  </sheetViews>
  <sheetFormatPr defaultRowHeight="14.4" x14ac:dyDescent="0.3"/>
  <cols>
    <col min="1" max="1" width="24.33203125" bestFit="1" customWidth="1"/>
    <col min="2" max="2" width="14" bestFit="1" customWidth="1"/>
    <col min="3" max="3" width="21.6640625" bestFit="1" customWidth="1"/>
    <col min="4" max="4" width="22.21875" bestFit="1" customWidth="1"/>
    <col min="5" max="5" width="22.5546875" bestFit="1" customWidth="1"/>
    <col min="6" max="6" width="19.77734375" bestFit="1" customWidth="1"/>
  </cols>
  <sheetData>
    <row r="1" spans="1:6" x14ac:dyDescent="0.3">
      <c r="A1" t="s">
        <v>832</v>
      </c>
      <c r="B1" t="s">
        <v>1</v>
      </c>
      <c r="C1" t="s">
        <v>1022</v>
      </c>
      <c r="D1" t="s">
        <v>908</v>
      </c>
      <c r="E1" t="s">
        <v>1023</v>
      </c>
      <c r="F1" t="s">
        <v>979</v>
      </c>
    </row>
    <row r="2" spans="1:6" x14ac:dyDescent="0.3">
      <c r="A2" s="6"/>
      <c r="B2" s="6" t="s">
        <v>500</v>
      </c>
      <c r="C2" s="6">
        <v>-1</v>
      </c>
      <c r="D2" s="6">
        <v>-1</v>
      </c>
      <c r="E2" s="6">
        <v>-1</v>
      </c>
      <c r="F2" s="6">
        <v>-1</v>
      </c>
    </row>
    <row r="3" spans="1:6" x14ac:dyDescent="0.3">
      <c r="A3" s="6"/>
      <c r="B3" s="6" t="s">
        <v>340</v>
      </c>
      <c r="C3" s="6">
        <v>-1</v>
      </c>
      <c r="D3" s="6">
        <v>-1</v>
      </c>
      <c r="E3" s="6">
        <v>-1</v>
      </c>
      <c r="F3" s="6">
        <v>-1</v>
      </c>
    </row>
    <row r="4" spans="1:6" x14ac:dyDescent="0.3">
      <c r="A4" s="6" t="s">
        <v>3413</v>
      </c>
      <c r="B4" s="6" t="s">
        <v>506</v>
      </c>
      <c r="C4" s="6"/>
      <c r="D4" s="6">
        <v>53</v>
      </c>
      <c r="E4" s="6">
        <v>48</v>
      </c>
      <c r="F4" s="6"/>
    </row>
    <row r="5" spans="1:6" x14ac:dyDescent="0.3">
      <c r="A5" s="6"/>
      <c r="B5" s="6" t="s">
        <v>354</v>
      </c>
      <c r="C5" s="6">
        <v>-1</v>
      </c>
      <c r="D5" s="6">
        <v>-1</v>
      </c>
      <c r="E5" s="6">
        <v>-1</v>
      </c>
      <c r="F5" s="6">
        <v>-1</v>
      </c>
    </row>
    <row r="6" spans="1:6" x14ac:dyDescent="0.3">
      <c r="A6" s="6"/>
      <c r="B6" s="6" t="s">
        <v>358</v>
      </c>
      <c r="C6" s="6">
        <v>-1</v>
      </c>
      <c r="D6" s="6">
        <v>-1</v>
      </c>
      <c r="E6" s="6">
        <v>-1</v>
      </c>
      <c r="F6" s="6">
        <v>-1</v>
      </c>
    </row>
    <row r="7" spans="1:6" x14ac:dyDescent="0.3">
      <c r="A7" s="6" t="s">
        <v>1891</v>
      </c>
      <c r="B7" s="6" t="s">
        <v>458</v>
      </c>
      <c r="C7" s="6">
        <v>1001</v>
      </c>
      <c r="D7" s="6">
        <v>82</v>
      </c>
      <c r="E7" s="6">
        <v>73</v>
      </c>
      <c r="F7" s="6">
        <v>93</v>
      </c>
    </row>
    <row r="8" spans="1:6" x14ac:dyDescent="0.3">
      <c r="A8" s="6"/>
      <c r="B8" s="6" t="s">
        <v>530</v>
      </c>
      <c r="C8" s="6">
        <v>-1</v>
      </c>
      <c r="D8" s="6">
        <v>-1</v>
      </c>
      <c r="E8" s="6">
        <v>-1</v>
      </c>
      <c r="F8" s="6">
        <v>-1</v>
      </c>
    </row>
    <row r="9" spans="1:6" x14ac:dyDescent="0.3">
      <c r="A9" s="6" t="s">
        <v>3861</v>
      </c>
      <c r="B9" s="6" t="s">
        <v>336</v>
      </c>
      <c r="C9" s="6"/>
      <c r="D9" s="6">
        <v>97</v>
      </c>
      <c r="E9" s="6"/>
      <c r="F9" s="6">
        <v>48</v>
      </c>
    </row>
    <row r="10" spans="1:6" x14ac:dyDescent="0.3">
      <c r="A10" s="6" t="s">
        <v>3306</v>
      </c>
      <c r="B10" s="6" t="s">
        <v>370</v>
      </c>
      <c r="C10" s="6">
        <v>42</v>
      </c>
      <c r="D10" s="6">
        <v>67</v>
      </c>
      <c r="E10" s="6">
        <v>1001</v>
      </c>
      <c r="F10" s="6">
        <v>73</v>
      </c>
    </row>
    <row r="11" spans="1:6" x14ac:dyDescent="0.3">
      <c r="A11" s="6" t="s">
        <v>2172</v>
      </c>
      <c r="B11" s="6" t="s">
        <v>384</v>
      </c>
      <c r="C11" s="6"/>
      <c r="D11" s="6"/>
      <c r="E11" s="6">
        <v>13</v>
      </c>
      <c r="F11" s="6">
        <v>41</v>
      </c>
    </row>
    <row r="12" spans="1:6" x14ac:dyDescent="0.3">
      <c r="A12" s="6" t="s">
        <v>4991</v>
      </c>
      <c r="B12" s="6" t="s">
        <v>366</v>
      </c>
      <c r="C12" s="6">
        <v>1001</v>
      </c>
      <c r="D12" s="6">
        <v>92</v>
      </c>
      <c r="E12" s="6">
        <v>72</v>
      </c>
      <c r="F12" s="6">
        <v>86</v>
      </c>
    </row>
    <row r="13" spans="1:6" x14ac:dyDescent="0.3">
      <c r="A13" s="6"/>
      <c r="B13" s="6" t="s">
        <v>328</v>
      </c>
      <c r="C13" s="6">
        <v>-1</v>
      </c>
      <c r="D13" s="6">
        <v>-1</v>
      </c>
      <c r="E13" s="6">
        <v>-1</v>
      </c>
      <c r="F13" s="6">
        <v>-1</v>
      </c>
    </row>
    <row r="14" spans="1:6" x14ac:dyDescent="0.3">
      <c r="A14" s="6" t="s">
        <v>4714</v>
      </c>
      <c r="B14" s="6" t="s">
        <v>362</v>
      </c>
      <c r="C14" s="6">
        <v>1001</v>
      </c>
      <c r="D14" s="6">
        <v>101</v>
      </c>
      <c r="E14" s="6">
        <v>69</v>
      </c>
      <c r="F14" s="6">
        <v>83</v>
      </c>
    </row>
    <row r="15" spans="1:6" x14ac:dyDescent="0.3">
      <c r="A15" s="6" t="s">
        <v>2773</v>
      </c>
      <c r="B15" s="6" t="s">
        <v>450</v>
      </c>
      <c r="C15" s="6">
        <v>1001</v>
      </c>
      <c r="D15" s="6">
        <v>95</v>
      </c>
      <c r="E15" s="6"/>
      <c r="F15" s="6">
        <v>61</v>
      </c>
    </row>
    <row r="16" spans="1:6" x14ac:dyDescent="0.3">
      <c r="A16" s="6" t="s">
        <v>3606</v>
      </c>
      <c r="B16" s="6" t="s">
        <v>442</v>
      </c>
      <c r="C16" s="6"/>
      <c r="D16" s="6">
        <v>55</v>
      </c>
      <c r="E16" s="6"/>
      <c r="F16" s="6">
        <v>5</v>
      </c>
    </row>
    <row r="17" spans="1:6" x14ac:dyDescent="0.3">
      <c r="A17" s="6"/>
      <c r="B17" s="6" t="s">
        <v>572</v>
      </c>
      <c r="C17" s="6">
        <v>-1</v>
      </c>
      <c r="D17" s="6">
        <v>-1</v>
      </c>
      <c r="E17" s="6">
        <v>-1</v>
      </c>
      <c r="F17" s="6">
        <v>-1</v>
      </c>
    </row>
    <row r="18" spans="1:6" x14ac:dyDescent="0.3">
      <c r="A18" s="6" t="s">
        <v>4266</v>
      </c>
      <c r="B18" s="6" t="s">
        <v>372</v>
      </c>
      <c r="C18" s="6"/>
      <c r="D18" s="6">
        <v>47</v>
      </c>
      <c r="E18" s="6"/>
      <c r="F18" s="6">
        <v>21</v>
      </c>
    </row>
    <row r="19" spans="1:6" x14ac:dyDescent="0.3">
      <c r="A19" s="6" t="s">
        <v>4901</v>
      </c>
      <c r="B19" s="6" t="s">
        <v>344</v>
      </c>
      <c r="C19" s="6"/>
      <c r="D19" s="6"/>
      <c r="E19" s="6"/>
      <c r="F19" s="6">
        <v>24</v>
      </c>
    </row>
    <row r="20" spans="1:6" x14ac:dyDescent="0.3">
      <c r="A20" s="6" t="s">
        <v>3445</v>
      </c>
      <c r="B20" s="6" t="s">
        <v>334</v>
      </c>
      <c r="C20" s="6"/>
      <c r="D20" s="6"/>
      <c r="E20" s="6"/>
      <c r="F20" s="6">
        <v>22</v>
      </c>
    </row>
    <row r="21" spans="1:6" x14ac:dyDescent="0.3">
      <c r="A21" s="6" t="s">
        <v>2532</v>
      </c>
      <c r="B21" s="6" t="s">
        <v>402</v>
      </c>
      <c r="C21" s="6">
        <v>16</v>
      </c>
      <c r="D21" s="6">
        <v>12</v>
      </c>
      <c r="E21" s="6">
        <v>16</v>
      </c>
      <c r="F21" s="6"/>
    </row>
    <row r="22" spans="1:6" x14ac:dyDescent="0.3">
      <c r="A22" s="6"/>
      <c r="B22" s="6" t="s">
        <v>342</v>
      </c>
      <c r="C22" s="6">
        <v>-1</v>
      </c>
      <c r="D22" s="6">
        <v>-1</v>
      </c>
      <c r="E22" s="6">
        <v>-1</v>
      </c>
      <c r="F22" s="6">
        <v>-1</v>
      </c>
    </row>
    <row r="23" spans="1:6" x14ac:dyDescent="0.3">
      <c r="A23" s="6" t="s">
        <v>3232</v>
      </c>
      <c r="B23" s="6" t="s">
        <v>588</v>
      </c>
      <c r="C23" s="6">
        <v>1001</v>
      </c>
      <c r="D23" s="6">
        <v>79</v>
      </c>
      <c r="E23" s="6">
        <v>64</v>
      </c>
      <c r="F23" s="6">
        <v>82</v>
      </c>
    </row>
    <row r="24" spans="1:6" x14ac:dyDescent="0.3">
      <c r="A24" s="6" t="s">
        <v>1868</v>
      </c>
      <c r="B24" s="6" t="s">
        <v>406</v>
      </c>
      <c r="C24" s="6">
        <v>1001</v>
      </c>
      <c r="D24" s="6">
        <v>72</v>
      </c>
      <c r="E24" s="6">
        <v>63</v>
      </c>
      <c r="F24" s="6"/>
    </row>
    <row r="25" spans="1:6" x14ac:dyDescent="0.3">
      <c r="A25" s="6"/>
      <c r="B25" s="6" t="s">
        <v>594</v>
      </c>
      <c r="C25" s="6">
        <v>-1</v>
      </c>
      <c r="D25" s="6">
        <v>-1</v>
      </c>
      <c r="E25" s="6">
        <v>-1</v>
      </c>
      <c r="F25" s="6">
        <v>-1</v>
      </c>
    </row>
    <row r="26" spans="1:6" x14ac:dyDescent="0.3">
      <c r="A26" s="6"/>
      <c r="B26" s="6" t="s">
        <v>448</v>
      </c>
      <c r="C26" s="6">
        <v>-1</v>
      </c>
      <c r="D26" s="6">
        <v>-1</v>
      </c>
      <c r="E26" s="6">
        <v>-1</v>
      </c>
      <c r="F26" s="6">
        <v>-1</v>
      </c>
    </row>
    <row r="27" spans="1:6" x14ac:dyDescent="0.3">
      <c r="A27" s="6"/>
      <c r="B27" s="6" t="s">
        <v>360</v>
      </c>
      <c r="C27" s="6">
        <v>-1</v>
      </c>
      <c r="D27" s="6">
        <v>-1</v>
      </c>
      <c r="E27" s="6">
        <v>-1</v>
      </c>
      <c r="F27" s="6">
        <v>-1</v>
      </c>
    </row>
    <row r="28" spans="1:6" x14ac:dyDescent="0.3">
      <c r="A28" s="6" t="s">
        <v>2517</v>
      </c>
      <c r="B28" s="6" t="s">
        <v>596</v>
      </c>
      <c r="C28" s="6">
        <v>23</v>
      </c>
      <c r="D28" s="6">
        <v>54</v>
      </c>
      <c r="E28" s="6">
        <v>35</v>
      </c>
      <c r="F28" s="6"/>
    </row>
    <row r="29" spans="1:6" x14ac:dyDescent="0.3">
      <c r="A29" s="6" t="s">
        <v>4279</v>
      </c>
      <c r="B29" s="6" t="s">
        <v>356</v>
      </c>
      <c r="C29" s="6"/>
      <c r="D29" s="6"/>
      <c r="E29" s="6">
        <v>20</v>
      </c>
      <c r="F29" s="6">
        <v>7</v>
      </c>
    </row>
    <row r="30" spans="1:6" x14ac:dyDescent="0.3">
      <c r="A30" s="6" t="s">
        <v>3296</v>
      </c>
      <c r="B30" s="6" t="s">
        <v>428</v>
      </c>
      <c r="C30" s="6">
        <v>32</v>
      </c>
      <c r="D30" s="6">
        <v>33</v>
      </c>
      <c r="E30" s="6">
        <v>22</v>
      </c>
      <c r="F30" s="6"/>
    </row>
    <row r="31" spans="1:6" x14ac:dyDescent="0.3">
      <c r="A31" s="6"/>
      <c r="B31" s="6" t="s">
        <v>604</v>
      </c>
      <c r="C31" s="6">
        <v>-1</v>
      </c>
      <c r="D31" s="6">
        <v>-1</v>
      </c>
      <c r="E31" s="6">
        <v>-1</v>
      </c>
      <c r="F31" s="6">
        <v>-1</v>
      </c>
    </row>
    <row r="32" spans="1:6" x14ac:dyDescent="0.3">
      <c r="A32" s="6"/>
      <c r="B32" s="6" t="s">
        <v>610</v>
      </c>
      <c r="C32" s="6">
        <v>-1</v>
      </c>
      <c r="D32" s="6">
        <v>-1</v>
      </c>
      <c r="E32" s="6">
        <v>-1</v>
      </c>
      <c r="F32" s="6">
        <v>-1</v>
      </c>
    </row>
    <row r="33" spans="1:6" x14ac:dyDescent="0.3">
      <c r="A33" s="6"/>
      <c r="B33" s="6" t="s">
        <v>614</v>
      </c>
      <c r="C33" s="6">
        <v>-1</v>
      </c>
      <c r="D33" s="6">
        <v>-1</v>
      </c>
      <c r="E33" s="6">
        <v>-1</v>
      </c>
      <c r="F33" s="6">
        <v>-1</v>
      </c>
    </row>
    <row r="34" spans="1:6" x14ac:dyDescent="0.3">
      <c r="A34" s="6"/>
      <c r="B34" s="6" t="s">
        <v>618</v>
      </c>
      <c r="C34" s="6">
        <v>-1</v>
      </c>
      <c r="D34" s="6">
        <v>-1</v>
      </c>
      <c r="E34" s="6">
        <v>-1</v>
      </c>
      <c r="F34" s="6">
        <v>-1</v>
      </c>
    </row>
    <row r="35" spans="1:6" x14ac:dyDescent="0.3">
      <c r="A35" s="6"/>
      <c r="B35" s="6" t="s">
        <v>620</v>
      </c>
      <c r="C35" s="6">
        <v>-1</v>
      </c>
      <c r="D35" s="6">
        <v>-1</v>
      </c>
      <c r="E35" s="6">
        <v>-1</v>
      </c>
      <c r="F35" s="6">
        <v>-1</v>
      </c>
    </row>
    <row r="36" spans="1:6" x14ac:dyDescent="0.3">
      <c r="A36" s="6"/>
      <c r="B36" s="6" t="s">
        <v>350</v>
      </c>
      <c r="C36" s="6">
        <v>-1</v>
      </c>
      <c r="D36" s="6">
        <v>-1</v>
      </c>
      <c r="E36" s="6">
        <v>-1</v>
      </c>
      <c r="F36" s="6">
        <v>-1</v>
      </c>
    </row>
    <row r="37" spans="1:6" x14ac:dyDescent="0.3">
      <c r="A37" s="6" t="s">
        <v>3529</v>
      </c>
      <c r="B37" s="6" t="s">
        <v>642</v>
      </c>
      <c r="C37" s="6"/>
      <c r="D37" s="6">
        <v>85</v>
      </c>
      <c r="E37" s="6">
        <v>55</v>
      </c>
      <c r="F37" s="6">
        <v>81</v>
      </c>
    </row>
    <row r="38" spans="1:6" x14ac:dyDescent="0.3">
      <c r="A38" s="6"/>
      <c r="B38" s="6" t="s">
        <v>644</v>
      </c>
      <c r="C38" s="6">
        <v>-1</v>
      </c>
      <c r="D38" s="6">
        <v>-1</v>
      </c>
      <c r="E38" s="6">
        <v>-1</v>
      </c>
      <c r="F38" s="6">
        <v>-1</v>
      </c>
    </row>
    <row r="39" spans="1:6" x14ac:dyDescent="0.3">
      <c r="A39" s="6"/>
      <c r="B39" s="6" t="s">
        <v>440</v>
      </c>
      <c r="C39" s="6">
        <v>-1</v>
      </c>
      <c r="D39" s="6">
        <v>-1</v>
      </c>
      <c r="E39" s="6">
        <v>-1</v>
      </c>
      <c r="F39" s="6">
        <v>-1</v>
      </c>
    </row>
    <row r="40" spans="1:6" x14ac:dyDescent="0.3">
      <c r="A40" s="6"/>
      <c r="B40" s="6" t="s">
        <v>624</v>
      </c>
      <c r="C40" s="6">
        <v>-1</v>
      </c>
      <c r="D40" s="6">
        <v>-1</v>
      </c>
      <c r="E40" s="6">
        <v>-1</v>
      </c>
      <c r="F40" s="6">
        <v>-1</v>
      </c>
    </row>
    <row r="41" spans="1:6" x14ac:dyDescent="0.3">
      <c r="A41" s="6" t="s">
        <v>2504</v>
      </c>
      <c r="B41" s="6" t="s">
        <v>364</v>
      </c>
      <c r="C41" s="6"/>
      <c r="D41" s="6"/>
      <c r="E41" s="6"/>
      <c r="F41" s="6">
        <v>3</v>
      </c>
    </row>
    <row r="42" spans="1:6" x14ac:dyDescent="0.3">
      <c r="A42" s="6"/>
      <c r="B42" s="6" t="s">
        <v>394</v>
      </c>
      <c r="C42" s="6">
        <v>-1</v>
      </c>
      <c r="D42" s="6">
        <v>-1</v>
      </c>
      <c r="E42" s="6">
        <v>-1</v>
      </c>
      <c r="F42" s="6">
        <v>-1</v>
      </c>
    </row>
    <row r="43" spans="1:6" x14ac:dyDescent="0.3">
      <c r="A43" s="6" t="s">
        <v>4139</v>
      </c>
      <c r="B43" s="6" t="s">
        <v>346</v>
      </c>
      <c r="C43" s="6"/>
      <c r="D43" s="6">
        <v>99</v>
      </c>
      <c r="E43" s="6"/>
      <c r="F43" s="6">
        <v>91</v>
      </c>
    </row>
    <row r="44" spans="1:6" x14ac:dyDescent="0.3">
      <c r="A44" s="6"/>
      <c r="B44" s="6" t="s">
        <v>348</v>
      </c>
      <c r="C44" s="6">
        <v>-1</v>
      </c>
      <c r="D44" s="6">
        <v>-1</v>
      </c>
      <c r="E44" s="6">
        <v>-1</v>
      </c>
      <c r="F44" s="6">
        <v>-1</v>
      </c>
    </row>
    <row r="45" spans="1:6" x14ac:dyDescent="0.3">
      <c r="A45" s="6" t="s">
        <v>1818</v>
      </c>
      <c r="B45" s="6" t="s">
        <v>490</v>
      </c>
      <c r="C45" s="6"/>
      <c r="D45" s="6">
        <v>109</v>
      </c>
      <c r="E45" s="6"/>
      <c r="F45" s="6"/>
    </row>
    <row r="46" spans="1:6" x14ac:dyDescent="0.3">
      <c r="A46" s="6" t="s">
        <v>4259</v>
      </c>
      <c r="B46" s="6" t="s">
        <v>690</v>
      </c>
      <c r="C46" s="6"/>
      <c r="D46" s="6">
        <v>88</v>
      </c>
      <c r="E46" s="6"/>
      <c r="F46" s="6">
        <v>87</v>
      </c>
    </row>
    <row r="47" spans="1:6" x14ac:dyDescent="0.3">
      <c r="A47" s="6" t="s">
        <v>3703</v>
      </c>
      <c r="B47" s="6" t="s">
        <v>408</v>
      </c>
      <c r="C47" s="6">
        <v>38</v>
      </c>
      <c r="D47" s="6">
        <v>64</v>
      </c>
      <c r="E47" s="6">
        <v>60</v>
      </c>
      <c r="F47" s="6">
        <v>49</v>
      </c>
    </row>
    <row r="48" spans="1:6" x14ac:dyDescent="0.3">
      <c r="A48" s="6" t="s">
        <v>2618</v>
      </c>
      <c r="B48" s="6" t="s">
        <v>694</v>
      </c>
      <c r="C48" s="6">
        <v>30</v>
      </c>
      <c r="D48" s="6">
        <v>50</v>
      </c>
      <c r="E48" s="6"/>
      <c r="F48" s="6">
        <v>43</v>
      </c>
    </row>
    <row r="49" spans="1:6" x14ac:dyDescent="0.3">
      <c r="A49" s="6"/>
      <c r="B49" s="6" t="s">
        <v>422</v>
      </c>
      <c r="C49" s="6">
        <v>-1</v>
      </c>
      <c r="D49" s="6">
        <v>-1</v>
      </c>
      <c r="E49" s="6">
        <v>-1</v>
      </c>
      <c r="F49" s="6">
        <v>-1</v>
      </c>
    </row>
    <row r="50" spans="1:6" x14ac:dyDescent="0.3">
      <c r="A50" s="6"/>
      <c r="B50" s="6" t="s">
        <v>700</v>
      </c>
      <c r="C50" s="6">
        <v>-1</v>
      </c>
      <c r="D50" s="6">
        <v>-1</v>
      </c>
      <c r="E50" s="6">
        <v>-1</v>
      </c>
      <c r="F50" s="6">
        <v>-1</v>
      </c>
    </row>
    <row r="51" spans="1:6" x14ac:dyDescent="0.3">
      <c r="A51" s="6" t="s">
        <v>4571</v>
      </c>
      <c r="B51" s="6" t="s">
        <v>330</v>
      </c>
      <c r="C51" s="6"/>
      <c r="D51" s="6"/>
      <c r="E51" s="6"/>
      <c r="F51" s="6">
        <v>55</v>
      </c>
    </row>
    <row r="52" spans="1:6" x14ac:dyDescent="0.3">
      <c r="A52" s="6" t="s">
        <v>2669</v>
      </c>
      <c r="B52" s="6" t="s">
        <v>338</v>
      </c>
      <c r="C52" s="6"/>
      <c r="D52" s="6">
        <v>40</v>
      </c>
      <c r="E52" s="6">
        <v>7</v>
      </c>
      <c r="F52" s="6"/>
    </row>
    <row r="53" spans="1:6" x14ac:dyDescent="0.3">
      <c r="A53" s="6"/>
      <c r="B53" s="6" t="s">
        <v>444</v>
      </c>
      <c r="C53" s="6">
        <v>-1</v>
      </c>
      <c r="D53" s="6">
        <v>-1</v>
      </c>
      <c r="E53" s="6">
        <v>-1</v>
      </c>
      <c r="F53" s="6">
        <v>-1</v>
      </c>
    </row>
    <row r="54" spans="1:6" x14ac:dyDescent="0.3">
      <c r="A54" s="6"/>
      <c r="B54" s="6" t="s">
        <v>368</v>
      </c>
      <c r="C54" s="6">
        <v>-1</v>
      </c>
      <c r="D54" s="6">
        <v>-1</v>
      </c>
      <c r="E54" s="6">
        <v>-1</v>
      </c>
      <c r="F54" s="6">
        <v>-1</v>
      </c>
    </row>
    <row r="55" spans="1:6" x14ac:dyDescent="0.3">
      <c r="A55" s="6" t="s">
        <v>4277</v>
      </c>
      <c r="B55" s="6" t="s">
        <v>478</v>
      </c>
      <c r="C55" s="6">
        <v>1001</v>
      </c>
      <c r="D55" s="6">
        <v>77</v>
      </c>
      <c r="E55" s="6">
        <v>71</v>
      </c>
      <c r="F55" s="6">
        <v>69</v>
      </c>
    </row>
    <row r="56" spans="1:6" x14ac:dyDescent="0.3">
      <c r="A56" s="6"/>
      <c r="B56" s="6" t="s">
        <v>718</v>
      </c>
      <c r="C56" s="6">
        <v>-1</v>
      </c>
      <c r="D56" s="6">
        <v>-1</v>
      </c>
      <c r="E56" s="6">
        <v>-1</v>
      </c>
      <c r="F56" s="6">
        <v>-1</v>
      </c>
    </row>
    <row r="57" spans="1:6" x14ac:dyDescent="0.3">
      <c r="A57" s="6"/>
      <c r="B57" s="6" t="s">
        <v>726</v>
      </c>
      <c r="C57" s="6">
        <v>-1</v>
      </c>
      <c r="D57" s="6">
        <v>-1</v>
      </c>
      <c r="E57" s="6">
        <v>-1</v>
      </c>
      <c r="F57" s="6">
        <v>-1</v>
      </c>
    </row>
    <row r="58" spans="1:6" x14ac:dyDescent="0.3">
      <c r="A58" s="6" t="s">
        <v>2004</v>
      </c>
      <c r="B58" s="6" t="s">
        <v>332</v>
      </c>
      <c r="C58" s="6"/>
      <c r="D58" s="6">
        <v>14</v>
      </c>
      <c r="E58" s="6"/>
      <c r="F58" s="6"/>
    </row>
    <row r="59" spans="1:6" x14ac:dyDescent="0.3">
      <c r="A59" s="6" t="s">
        <v>2511</v>
      </c>
      <c r="B59" s="6" t="s">
        <v>364</v>
      </c>
      <c r="C59" s="6"/>
      <c r="D59" s="6">
        <v>3</v>
      </c>
      <c r="E59" s="6"/>
      <c r="F59" s="6"/>
    </row>
    <row r="60" spans="1:6" x14ac:dyDescent="0.3">
      <c r="A60" s="6" t="s">
        <v>2513</v>
      </c>
      <c r="B60" s="6" t="s">
        <v>364</v>
      </c>
      <c r="C60" s="6">
        <v>3</v>
      </c>
      <c r="D60" s="6"/>
      <c r="E60" s="6"/>
      <c r="F60" s="6"/>
    </row>
    <row r="61" spans="1:6" x14ac:dyDescent="0.3">
      <c r="A61" s="6"/>
      <c r="B61" s="6" t="s">
        <v>364</v>
      </c>
      <c r="C61" s="6">
        <v>-1</v>
      </c>
      <c r="D61" s="6">
        <v>-1</v>
      </c>
      <c r="E61" s="6">
        <v>-1</v>
      </c>
      <c r="F61" s="6">
        <v>-1</v>
      </c>
    </row>
    <row r="62" spans="1:6" x14ac:dyDescent="0.3">
      <c r="A62" s="6"/>
      <c r="B62" s="6" t="s">
        <v>364</v>
      </c>
      <c r="C62" s="6">
        <v>-1</v>
      </c>
      <c r="D62" s="6">
        <v>-1</v>
      </c>
      <c r="E62" s="6">
        <v>-1</v>
      </c>
      <c r="F62" s="6">
        <v>-1</v>
      </c>
    </row>
    <row r="63" spans="1:6" x14ac:dyDescent="0.3">
      <c r="A63" s="6"/>
      <c r="B63" s="6" t="s">
        <v>338</v>
      </c>
      <c r="C63" s="6">
        <v>-1</v>
      </c>
      <c r="D63" s="6">
        <v>-1</v>
      </c>
      <c r="E63" s="6">
        <v>-1</v>
      </c>
      <c r="F63" s="6">
        <v>-1</v>
      </c>
    </row>
    <row r="64" spans="1:6" x14ac:dyDescent="0.3">
      <c r="A64" s="6"/>
      <c r="B64" s="6" t="s">
        <v>338</v>
      </c>
      <c r="C64" s="6">
        <v>-1</v>
      </c>
      <c r="D64" s="6">
        <v>-1</v>
      </c>
      <c r="E64" s="6">
        <v>-1</v>
      </c>
      <c r="F64" s="6">
        <v>-1</v>
      </c>
    </row>
    <row r="65" spans="1:6" x14ac:dyDescent="0.3">
      <c r="A65" s="6"/>
      <c r="B65" s="6" t="s">
        <v>338</v>
      </c>
      <c r="C65" s="6">
        <v>-1</v>
      </c>
      <c r="D65" s="6">
        <v>-1</v>
      </c>
      <c r="E65" s="6">
        <v>-1</v>
      </c>
      <c r="F65" s="6">
        <v>-1</v>
      </c>
    </row>
    <row r="66" spans="1:6" x14ac:dyDescent="0.3">
      <c r="A66" s="6"/>
      <c r="B66" s="6" t="s">
        <v>338</v>
      </c>
      <c r="C66" s="6">
        <v>-1</v>
      </c>
      <c r="D66" s="6">
        <v>-1</v>
      </c>
      <c r="E66" s="6">
        <v>-1</v>
      </c>
      <c r="F66" s="6">
        <v>-1</v>
      </c>
    </row>
    <row r="67" spans="1:6" x14ac:dyDescent="0.3">
      <c r="A67" s="6"/>
      <c r="B67" s="6" t="s">
        <v>344</v>
      </c>
      <c r="C67" s="6">
        <v>-1</v>
      </c>
      <c r="D67" s="6">
        <v>-1</v>
      </c>
      <c r="E67" s="6">
        <v>-1</v>
      </c>
      <c r="F67" s="6">
        <v>-1</v>
      </c>
    </row>
    <row r="68" spans="1:6" x14ac:dyDescent="0.3">
      <c r="A68" s="6"/>
      <c r="B68" s="6" t="s">
        <v>344</v>
      </c>
      <c r="C68" s="6">
        <v>-1</v>
      </c>
      <c r="D68" s="6">
        <v>-1</v>
      </c>
      <c r="E68" s="6">
        <v>-1</v>
      </c>
      <c r="F68" s="6">
        <v>-1</v>
      </c>
    </row>
    <row r="69" spans="1:6" x14ac:dyDescent="0.3">
      <c r="A69" s="6"/>
      <c r="B69" s="6" t="s">
        <v>344</v>
      </c>
      <c r="C69" s="6">
        <v>-1</v>
      </c>
      <c r="D69" s="6">
        <v>-1</v>
      </c>
      <c r="E69" s="6">
        <v>-1</v>
      </c>
      <c r="F69" s="6">
        <v>-1</v>
      </c>
    </row>
    <row r="70" spans="1:6" x14ac:dyDescent="0.3">
      <c r="A70" s="6"/>
      <c r="B70" s="6" t="s">
        <v>344</v>
      </c>
      <c r="C70" s="6">
        <v>-1</v>
      </c>
      <c r="D70" s="6">
        <v>-1</v>
      </c>
      <c r="E70" s="6">
        <v>-1</v>
      </c>
      <c r="F70" s="6">
        <v>-1</v>
      </c>
    </row>
    <row r="71" spans="1:6" x14ac:dyDescent="0.3">
      <c r="A71" s="6" t="s">
        <v>4927</v>
      </c>
      <c r="B71" s="6" t="s">
        <v>372</v>
      </c>
      <c r="C71" s="6"/>
      <c r="D71" s="6"/>
      <c r="E71" s="6">
        <v>52</v>
      </c>
      <c r="F71" s="6"/>
    </row>
    <row r="72" spans="1:6" x14ac:dyDescent="0.3">
      <c r="A72" s="6"/>
      <c r="B72" s="6" t="s">
        <v>372</v>
      </c>
      <c r="C72" s="6">
        <v>-1</v>
      </c>
      <c r="D72" s="6">
        <v>-1</v>
      </c>
      <c r="E72" s="6">
        <v>-1</v>
      </c>
      <c r="F72" s="6">
        <v>-1</v>
      </c>
    </row>
    <row r="73" spans="1:6" x14ac:dyDescent="0.3">
      <c r="A73" s="6"/>
      <c r="B73" s="6" t="s">
        <v>372</v>
      </c>
      <c r="C73" s="6">
        <v>-1</v>
      </c>
      <c r="D73" s="6">
        <v>-1</v>
      </c>
      <c r="E73" s="6">
        <v>-1</v>
      </c>
      <c r="F73" s="6">
        <v>-1</v>
      </c>
    </row>
    <row r="74" spans="1:6" x14ac:dyDescent="0.3">
      <c r="A74" s="6"/>
      <c r="B74" s="6" t="s">
        <v>372</v>
      </c>
      <c r="C74" s="6">
        <v>-1</v>
      </c>
      <c r="D74" s="6">
        <v>-1</v>
      </c>
      <c r="E74" s="6">
        <v>-1</v>
      </c>
      <c r="F74" s="6">
        <v>-1</v>
      </c>
    </row>
    <row r="75" spans="1:6" x14ac:dyDescent="0.3">
      <c r="A75" s="6" t="s">
        <v>2059</v>
      </c>
      <c r="B75" s="6" t="s">
        <v>332</v>
      </c>
      <c r="C75" s="6"/>
      <c r="D75" s="6"/>
      <c r="E75" s="6"/>
      <c r="F75" s="6">
        <v>8</v>
      </c>
    </row>
    <row r="76" spans="1:6" x14ac:dyDescent="0.3">
      <c r="A76" s="6" t="s">
        <v>3705</v>
      </c>
      <c r="B76" s="6" t="s">
        <v>332</v>
      </c>
      <c r="C76" s="6"/>
      <c r="D76" s="6">
        <v>32</v>
      </c>
      <c r="E76" s="6">
        <v>36</v>
      </c>
      <c r="F76" s="6"/>
    </row>
    <row r="77" spans="1:6" x14ac:dyDescent="0.3">
      <c r="A77" s="6" t="s">
        <v>3706</v>
      </c>
      <c r="B77" s="6" t="s">
        <v>332</v>
      </c>
      <c r="C77" s="6">
        <v>35</v>
      </c>
      <c r="D77" s="6"/>
      <c r="E77" s="6">
        <v>31</v>
      </c>
      <c r="F77" s="6"/>
    </row>
    <row r="78" spans="1:6" x14ac:dyDescent="0.3">
      <c r="A78" s="6" t="s">
        <v>4818</v>
      </c>
      <c r="B78" s="6" t="s">
        <v>332</v>
      </c>
      <c r="C78" s="6"/>
      <c r="D78" s="6">
        <v>38</v>
      </c>
      <c r="E78" s="6">
        <v>43</v>
      </c>
      <c r="F78" s="6">
        <v>28</v>
      </c>
    </row>
    <row r="79" spans="1:6" x14ac:dyDescent="0.3">
      <c r="A79" s="6"/>
      <c r="B79" s="6" t="s">
        <v>356</v>
      </c>
      <c r="C79" s="6">
        <v>-1</v>
      </c>
      <c r="D79" s="6">
        <v>-1</v>
      </c>
      <c r="E79" s="6">
        <v>-1</v>
      </c>
      <c r="F79" s="6">
        <v>-1</v>
      </c>
    </row>
    <row r="80" spans="1:6" x14ac:dyDescent="0.3">
      <c r="A80" s="6"/>
      <c r="B80" s="6" t="s">
        <v>356</v>
      </c>
      <c r="C80" s="6">
        <v>-1</v>
      </c>
      <c r="D80" s="6">
        <v>-1</v>
      </c>
      <c r="E80" s="6">
        <v>-1</v>
      </c>
      <c r="F80" s="6">
        <v>-1</v>
      </c>
    </row>
    <row r="81" spans="1:6" x14ac:dyDescent="0.3">
      <c r="A81" s="6"/>
      <c r="B81" s="6" t="s">
        <v>356</v>
      </c>
      <c r="C81" s="6">
        <v>-1</v>
      </c>
      <c r="D81" s="6">
        <v>-1</v>
      </c>
      <c r="E81" s="6">
        <v>-1</v>
      </c>
      <c r="F81" s="6">
        <v>-1</v>
      </c>
    </row>
    <row r="82" spans="1:6" x14ac:dyDescent="0.3">
      <c r="A82" s="6"/>
      <c r="B82" s="6" t="s">
        <v>334</v>
      </c>
      <c r="C82" s="6">
        <v>-1</v>
      </c>
      <c r="D82" s="6">
        <v>-1</v>
      </c>
      <c r="E82" s="6">
        <v>-1</v>
      </c>
      <c r="F82" s="6">
        <v>-1</v>
      </c>
    </row>
    <row r="83" spans="1:6" x14ac:dyDescent="0.3">
      <c r="A83" s="6"/>
      <c r="B83" s="6" t="s">
        <v>334</v>
      </c>
      <c r="C83" s="6">
        <v>-1</v>
      </c>
      <c r="D83" s="6">
        <v>-1</v>
      </c>
      <c r="E83" s="6">
        <v>-1</v>
      </c>
      <c r="F83" s="6">
        <v>-1</v>
      </c>
    </row>
    <row r="84" spans="1:6" x14ac:dyDescent="0.3">
      <c r="A84" s="6"/>
      <c r="B84" s="6" t="s">
        <v>334</v>
      </c>
      <c r="C84" s="6">
        <v>-1</v>
      </c>
      <c r="D84" s="6">
        <v>-1</v>
      </c>
      <c r="E84" s="6">
        <v>-1</v>
      </c>
      <c r="F84" s="6">
        <v>-1</v>
      </c>
    </row>
    <row r="85" spans="1:6" x14ac:dyDescent="0.3">
      <c r="A85" s="6"/>
      <c r="B85" s="6" t="s">
        <v>444</v>
      </c>
      <c r="C85" s="6">
        <v>-1</v>
      </c>
      <c r="D85" s="6">
        <v>-1</v>
      </c>
      <c r="E85" s="6">
        <v>-1</v>
      </c>
      <c r="F85" s="6">
        <v>-1</v>
      </c>
    </row>
    <row r="86" spans="1:6" x14ac:dyDescent="0.3">
      <c r="A86" s="6"/>
      <c r="B86" s="6" t="s">
        <v>444</v>
      </c>
      <c r="C86" s="6">
        <v>-1</v>
      </c>
      <c r="D86" s="6">
        <v>-1</v>
      </c>
      <c r="E86" s="6">
        <v>-1</v>
      </c>
      <c r="F86" s="6">
        <v>-1</v>
      </c>
    </row>
    <row r="87" spans="1:6" x14ac:dyDescent="0.3">
      <c r="A87" s="6"/>
      <c r="B87" s="6" t="s">
        <v>444</v>
      </c>
      <c r="C87" s="6">
        <v>-1</v>
      </c>
      <c r="D87" s="6">
        <v>-1</v>
      </c>
      <c r="E87" s="6">
        <v>-1</v>
      </c>
      <c r="F87" s="6">
        <v>-1</v>
      </c>
    </row>
    <row r="88" spans="1:6" x14ac:dyDescent="0.3">
      <c r="A88" s="6" t="s">
        <v>4794</v>
      </c>
      <c r="B88" s="6" t="s">
        <v>442</v>
      </c>
      <c r="C88" s="6">
        <v>21</v>
      </c>
      <c r="D88" s="6">
        <v>13</v>
      </c>
      <c r="E88" s="6">
        <v>29</v>
      </c>
      <c r="F88" s="6"/>
    </row>
    <row r="89" spans="1:6" x14ac:dyDescent="0.3">
      <c r="A89" s="6" t="s">
        <v>4798</v>
      </c>
      <c r="B89" s="6" t="s">
        <v>442</v>
      </c>
      <c r="C89" s="6">
        <v>1001</v>
      </c>
      <c r="D89" s="6">
        <v>11</v>
      </c>
      <c r="E89" s="6">
        <v>19</v>
      </c>
      <c r="F89" s="6">
        <v>38</v>
      </c>
    </row>
    <row r="90" spans="1:6" x14ac:dyDescent="0.3">
      <c r="A90" s="6"/>
      <c r="B90" s="6" t="s">
        <v>442</v>
      </c>
      <c r="C90" s="6">
        <v>-1</v>
      </c>
      <c r="D90" s="6">
        <v>-1</v>
      </c>
      <c r="E90" s="6">
        <v>-1</v>
      </c>
      <c r="F90" s="6">
        <v>-1</v>
      </c>
    </row>
    <row r="91" spans="1:6" x14ac:dyDescent="0.3">
      <c r="A91" s="6" t="s">
        <v>2190</v>
      </c>
      <c r="B91" s="6" t="s">
        <v>384</v>
      </c>
      <c r="C91" s="6">
        <v>17</v>
      </c>
      <c r="D91" s="6">
        <v>9</v>
      </c>
      <c r="E91" s="6"/>
      <c r="F91" s="6">
        <v>47</v>
      </c>
    </row>
    <row r="92" spans="1:6" x14ac:dyDescent="0.3">
      <c r="A92" s="6" t="s">
        <v>2538</v>
      </c>
      <c r="B92" s="6" t="s">
        <v>384</v>
      </c>
      <c r="C92" s="6"/>
      <c r="D92" s="6">
        <v>19</v>
      </c>
      <c r="E92" s="6">
        <v>42</v>
      </c>
      <c r="F92" s="6">
        <v>56</v>
      </c>
    </row>
    <row r="93" spans="1:6" x14ac:dyDescent="0.3">
      <c r="A93" s="6"/>
      <c r="B93" s="6" t="s">
        <v>384</v>
      </c>
      <c r="C93" s="6">
        <v>-1</v>
      </c>
      <c r="D93" s="6">
        <v>-1</v>
      </c>
      <c r="E93" s="6">
        <v>-1</v>
      </c>
      <c r="F93" s="6">
        <v>-1</v>
      </c>
    </row>
    <row r="94" spans="1:6" x14ac:dyDescent="0.3">
      <c r="A94" s="6"/>
      <c r="B94" s="6" t="s">
        <v>358</v>
      </c>
      <c r="C94" s="6">
        <v>-1</v>
      </c>
      <c r="D94" s="6">
        <v>-1</v>
      </c>
      <c r="E94" s="6">
        <v>-1</v>
      </c>
      <c r="F94" s="6">
        <v>-1</v>
      </c>
    </row>
    <row r="95" spans="1:6" x14ac:dyDescent="0.3">
      <c r="A95" s="6"/>
      <c r="B95" s="6" t="s">
        <v>358</v>
      </c>
      <c r="C95" s="6">
        <v>-1</v>
      </c>
      <c r="D95" s="6">
        <v>-1</v>
      </c>
      <c r="E95" s="6">
        <v>-1</v>
      </c>
      <c r="F95" s="6">
        <v>-1</v>
      </c>
    </row>
    <row r="96" spans="1:6" x14ac:dyDescent="0.3">
      <c r="A96" s="6"/>
      <c r="B96" s="6" t="s">
        <v>402</v>
      </c>
      <c r="C96" s="6">
        <v>-1</v>
      </c>
      <c r="D96" s="6">
        <v>-1</v>
      </c>
      <c r="E96" s="6">
        <v>-1</v>
      </c>
      <c r="F96" s="6">
        <v>-1</v>
      </c>
    </row>
    <row r="97" spans="1:6" x14ac:dyDescent="0.3">
      <c r="A97" s="6"/>
      <c r="B97" s="6" t="s">
        <v>402</v>
      </c>
      <c r="C97" s="6">
        <v>-1</v>
      </c>
      <c r="D97" s="6">
        <v>-1</v>
      </c>
      <c r="E97" s="6">
        <v>-1</v>
      </c>
      <c r="F97" s="6">
        <v>-1</v>
      </c>
    </row>
    <row r="98" spans="1:6" x14ac:dyDescent="0.3">
      <c r="A98" s="6"/>
      <c r="B98" s="6" t="s">
        <v>694</v>
      </c>
      <c r="C98" s="6">
        <v>-1</v>
      </c>
      <c r="D98" s="6">
        <v>-1</v>
      </c>
      <c r="E98" s="6">
        <v>-1</v>
      </c>
      <c r="F98" s="6">
        <v>-1</v>
      </c>
    </row>
    <row r="99" spans="1:6" x14ac:dyDescent="0.3">
      <c r="A99" s="6"/>
      <c r="B99" s="6" t="s">
        <v>694</v>
      </c>
      <c r="C99" s="6">
        <v>-1</v>
      </c>
      <c r="D99" s="6">
        <v>-1</v>
      </c>
      <c r="E99" s="6">
        <v>-1</v>
      </c>
      <c r="F99" s="6">
        <v>-1</v>
      </c>
    </row>
    <row r="100" spans="1:6" x14ac:dyDescent="0.3">
      <c r="A100" s="6"/>
      <c r="B100" s="6" t="s">
        <v>572</v>
      </c>
      <c r="C100" s="6">
        <v>-1</v>
      </c>
      <c r="D100" s="6">
        <v>-1</v>
      </c>
      <c r="E100" s="6">
        <v>-1</v>
      </c>
      <c r="F100" s="6">
        <v>-1</v>
      </c>
    </row>
    <row r="101" spans="1:6" x14ac:dyDescent="0.3">
      <c r="A101" s="6"/>
      <c r="B101" s="6" t="s">
        <v>572</v>
      </c>
      <c r="C101" s="6">
        <v>-1</v>
      </c>
      <c r="D101" s="6">
        <v>-1</v>
      </c>
      <c r="E101" s="6">
        <v>-1</v>
      </c>
      <c r="F101" s="6">
        <v>-1</v>
      </c>
    </row>
    <row r="102" spans="1:6" x14ac:dyDescent="0.3">
      <c r="A102" s="6"/>
      <c r="B102" s="6" t="s">
        <v>354</v>
      </c>
      <c r="C102" s="6">
        <v>-1</v>
      </c>
      <c r="D102" s="6">
        <v>-1</v>
      </c>
      <c r="E102" s="6">
        <v>-1</v>
      </c>
      <c r="F102" s="6">
        <v>-1</v>
      </c>
    </row>
    <row r="103" spans="1:6" x14ac:dyDescent="0.3">
      <c r="A103" s="6"/>
      <c r="B103" s="6" t="s">
        <v>354</v>
      </c>
      <c r="C103" s="6">
        <v>-1</v>
      </c>
      <c r="D103" s="6">
        <v>-1</v>
      </c>
      <c r="E103" s="6">
        <v>-1</v>
      </c>
      <c r="F103" s="6">
        <v>-1</v>
      </c>
    </row>
    <row r="104" spans="1:6" x14ac:dyDescent="0.3">
      <c r="A104" s="6"/>
      <c r="B104" s="6" t="s">
        <v>394</v>
      </c>
      <c r="C104" s="6">
        <v>-1</v>
      </c>
      <c r="D104" s="6">
        <v>-1</v>
      </c>
      <c r="E104" s="6">
        <v>-1</v>
      </c>
      <c r="F104" s="6">
        <v>-1</v>
      </c>
    </row>
    <row r="105" spans="1:6" x14ac:dyDescent="0.3">
      <c r="A105" s="6"/>
      <c r="B105" s="6" t="s">
        <v>394</v>
      </c>
      <c r="C105" s="6">
        <v>-1</v>
      </c>
      <c r="D105" s="6">
        <v>-1</v>
      </c>
      <c r="E105" s="6">
        <v>-1</v>
      </c>
      <c r="F105" s="6">
        <v>-1</v>
      </c>
    </row>
    <row r="106" spans="1:6" x14ac:dyDescent="0.3">
      <c r="A106" s="6" t="s">
        <v>3301</v>
      </c>
      <c r="B106" s="6" t="s">
        <v>428</v>
      </c>
      <c r="C106" s="6"/>
      <c r="D106" s="6">
        <v>30</v>
      </c>
      <c r="E106" s="6">
        <v>44</v>
      </c>
      <c r="F106" s="6"/>
    </row>
    <row r="107" spans="1:6" x14ac:dyDescent="0.3">
      <c r="A107" s="6"/>
      <c r="B107" s="6" t="s">
        <v>428</v>
      </c>
      <c r="C107" s="6">
        <v>-1</v>
      </c>
      <c r="D107" s="6">
        <v>-1</v>
      </c>
      <c r="E107" s="6">
        <v>-1</v>
      </c>
      <c r="F107" s="6">
        <v>-1</v>
      </c>
    </row>
    <row r="108" spans="1:6" x14ac:dyDescent="0.3">
      <c r="A108" s="6"/>
      <c r="B108" s="6" t="s">
        <v>614</v>
      </c>
      <c r="C108" s="6">
        <v>-1</v>
      </c>
      <c r="D108" s="6">
        <v>-1</v>
      </c>
      <c r="E108" s="6">
        <v>-1</v>
      </c>
      <c r="F108" s="6">
        <v>-1</v>
      </c>
    </row>
    <row r="109" spans="1:6" x14ac:dyDescent="0.3">
      <c r="A109" s="6"/>
      <c r="B109" s="6" t="s">
        <v>614</v>
      </c>
      <c r="C109" s="6">
        <v>-1</v>
      </c>
      <c r="D109" s="6">
        <v>-1</v>
      </c>
      <c r="E109" s="6">
        <v>-1</v>
      </c>
      <c r="F109" s="6">
        <v>-1</v>
      </c>
    </row>
    <row r="110" spans="1:6" x14ac:dyDescent="0.3">
      <c r="A110" s="6" t="s">
        <v>4576</v>
      </c>
      <c r="B110" s="6" t="s">
        <v>330</v>
      </c>
      <c r="C110" s="6"/>
      <c r="D110" s="6">
        <v>3001</v>
      </c>
      <c r="E110" s="6"/>
      <c r="F110" s="6">
        <v>29</v>
      </c>
    </row>
    <row r="111" spans="1:6" x14ac:dyDescent="0.3">
      <c r="A111" s="6"/>
      <c r="B111" s="6" t="s">
        <v>330</v>
      </c>
      <c r="C111" s="6">
        <v>-1</v>
      </c>
      <c r="D111" s="6">
        <v>-1</v>
      </c>
      <c r="E111" s="6">
        <v>-1</v>
      </c>
      <c r="F111" s="6">
        <v>-1</v>
      </c>
    </row>
    <row r="112" spans="1:6" x14ac:dyDescent="0.3">
      <c r="A112" s="6"/>
      <c r="B112" s="6" t="s">
        <v>604</v>
      </c>
      <c r="C112" s="6">
        <v>-1</v>
      </c>
      <c r="D112" s="6">
        <v>-1</v>
      </c>
      <c r="E112" s="6">
        <v>-1</v>
      </c>
      <c r="F112" s="6">
        <v>-1</v>
      </c>
    </row>
    <row r="113" spans="1:6" x14ac:dyDescent="0.3">
      <c r="A113" s="6"/>
      <c r="B113" s="6" t="s">
        <v>604</v>
      </c>
      <c r="C113" s="6">
        <v>-1</v>
      </c>
      <c r="D113" s="6">
        <v>-1</v>
      </c>
      <c r="E113" s="6">
        <v>-1</v>
      </c>
      <c r="F113" s="6">
        <v>-1</v>
      </c>
    </row>
    <row r="114" spans="1:6" x14ac:dyDescent="0.3">
      <c r="A114" s="6"/>
      <c r="B114" s="6" t="s">
        <v>596</v>
      </c>
      <c r="C114" s="6">
        <v>-1</v>
      </c>
      <c r="D114" s="6">
        <v>-1</v>
      </c>
      <c r="E114" s="6">
        <v>-1</v>
      </c>
      <c r="F114" s="6">
        <v>-1</v>
      </c>
    </row>
    <row r="115" spans="1:6" x14ac:dyDescent="0.3">
      <c r="A115" s="6"/>
      <c r="B115" s="6" t="s">
        <v>726</v>
      </c>
      <c r="C115" s="6">
        <v>-1</v>
      </c>
      <c r="D115" s="6">
        <v>-1</v>
      </c>
      <c r="E115" s="6">
        <v>-1</v>
      </c>
      <c r="F115" s="6">
        <v>-1</v>
      </c>
    </row>
    <row r="116" spans="1:6" x14ac:dyDescent="0.3">
      <c r="A116" s="6"/>
      <c r="B116" s="6" t="s">
        <v>500</v>
      </c>
      <c r="C116" s="6">
        <v>-1</v>
      </c>
      <c r="D116" s="6">
        <v>-1</v>
      </c>
      <c r="E116" s="6">
        <v>-1</v>
      </c>
      <c r="F116" s="6">
        <v>-1</v>
      </c>
    </row>
    <row r="117" spans="1:6" x14ac:dyDescent="0.3">
      <c r="A117" s="6"/>
      <c r="B117" s="6" t="s">
        <v>328</v>
      </c>
      <c r="C117" s="6">
        <v>-1</v>
      </c>
      <c r="D117" s="6">
        <v>-1</v>
      </c>
      <c r="E117" s="6">
        <v>-1</v>
      </c>
      <c r="F117" s="6">
        <v>-1</v>
      </c>
    </row>
    <row r="118" spans="1:6" x14ac:dyDescent="0.3">
      <c r="A118" s="6"/>
      <c r="B118" s="6" t="s">
        <v>406</v>
      </c>
      <c r="C118" s="6">
        <v>-1</v>
      </c>
      <c r="D118" s="6">
        <v>-1</v>
      </c>
      <c r="E118" s="6">
        <v>-1</v>
      </c>
      <c r="F118" s="6">
        <v>-1</v>
      </c>
    </row>
    <row r="119" spans="1:6" x14ac:dyDescent="0.3">
      <c r="A119" s="6"/>
      <c r="B119" s="6" t="s">
        <v>348</v>
      </c>
      <c r="C119" s="6">
        <v>-1</v>
      </c>
      <c r="D119" s="6">
        <v>-1</v>
      </c>
      <c r="E119" s="6">
        <v>-1</v>
      </c>
      <c r="F119" s="6">
        <v>-1</v>
      </c>
    </row>
    <row r="120" spans="1:6" x14ac:dyDescent="0.3">
      <c r="A120" s="6" t="s">
        <v>4367</v>
      </c>
      <c r="B120" s="6" t="s">
        <v>370</v>
      </c>
      <c r="C120" s="6"/>
      <c r="D120" s="6">
        <v>49</v>
      </c>
      <c r="E120" s="6">
        <v>62</v>
      </c>
      <c r="F120" s="6">
        <v>74</v>
      </c>
    </row>
    <row r="121" spans="1:6" x14ac:dyDescent="0.3">
      <c r="A121" s="6"/>
      <c r="B121" s="6" t="s">
        <v>340</v>
      </c>
      <c r="C121" s="6">
        <v>-1</v>
      </c>
      <c r="D121" s="6">
        <v>-1</v>
      </c>
      <c r="E121" s="6">
        <v>-1</v>
      </c>
      <c r="F121" s="6">
        <v>-1</v>
      </c>
    </row>
    <row r="122" spans="1:6" x14ac:dyDescent="0.3">
      <c r="A122" s="6"/>
      <c r="B122" s="6" t="s">
        <v>408</v>
      </c>
      <c r="C122" s="6">
        <v>-1</v>
      </c>
      <c r="D122" s="6">
        <v>-1</v>
      </c>
      <c r="E122" s="6">
        <v>-1</v>
      </c>
      <c r="F122" s="6">
        <v>-1</v>
      </c>
    </row>
    <row r="123" spans="1:6" x14ac:dyDescent="0.3">
      <c r="A123" s="6"/>
      <c r="B123" s="6" t="s">
        <v>620</v>
      </c>
      <c r="C123" s="6">
        <v>-1</v>
      </c>
      <c r="D123" s="6">
        <v>-1</v>
      </c>
      <c r="E123" s="6">
        <v>-1</v>
      </c>
      <c r="F123" s="6">
        <v>-1</v>
      </c>
    </row>
    <row r="124" spans="1:6" x14ac:dyDescent="0.3">
      <c r="A124" s="6"/>
      <c r="B124" s="6" t="s">
        <v>364</v>
      </c>
      <c r="C124" s="6">
        <v>-1</v>
      </c>
      <c r="D124" s="6">
        <v>-1</v>
      </c>
      <c r="E124" s="6">
        <v>-1</v>
      </c>
      <c r="F124" s="6">
        <v>-1</v>
      </c>
    </row>
    <row r="125" spans="1:6" x14ac:dyDescent="0.3">
      <c r="A125" s="6"/>
      <c r="B125" s="6" t="s">
        <v>364</v>
      </c>
      <c r="C125" s="6">
        <v>-1</v>
      </c>
      <c r="D125" s="6">
        <v>-1</v>
      </c>
      <c r="E125" s="6">
        <v>-1</v>
      </c>
      <c r="F125" s="6">
        <v>-1</v>
      </c>
    </row>
    <row r="126" spans="1:6" x14ac:dyDescent="0.3">
      <c r="A126" s="6"/>
      <c r="B126" s="6" t="s">
        <v>364</v>
      </c>
      <c r="C126" s="6">
        <v>-1</v>
      </c>
      <c r="D126" s="6">
        <v>-1</v>
      </c>
      <c r="E126" s="6">
        <v>-1</v>
      </c>
      <c r="F126" s="6">
        <v>-1</v>
      </c>
    </row>
    <row r="127" spans="1:6" x14ac:dyDescent="0.3">
      <c r="A127" s="6"/>
      <c r="B127" s="6" t="s">
        <v>338</v>
      </c>
      <c r="C127" s="6">
        <v>-1</v>
      </c>
      <c r="D127" s="6">
        <v>-1</v>
      </c>
      <c r="E127" s="6">
        <v>-1</v>
      </c>
      <c r="F127" s="6">
        <v>-1</v>
      </c>
    </row>
    <row r="128" spans="1:6" x14ac:dyDescent="0.3">
      <c r="A128" s="6"/>
      <c r="B128" s="6" t="s">
        <v>338</v>
      </c>
      <c r="C128" s="6">
        <v>-1</v>
      </c>
      <c r="D128" s="6">
        <v>-1</v>
      </c>
      <c r="E128" s="6">
        <v>-1</v>
      </c>
      <c r="F128" s="6">
        <v>-1</v>
      </c>
    </row>
    <row r="129" spans="1:6" x14ac:dyDescent="0.3">
      <c r="A129" s="6"/>
      <c r="B129" s="6" t="s">
        <v>338</v>
      </c>
      <c r="C129" s="6">
        <v>-1</v>
      </c>
      <c r="D129" s="6">
        <v>-1</v>
      </c>
      <c r="E129" s="6">
        <v>-1</v>
      </c>
      <c r="F129" s="6">
        <v>-1</v>
      </c>
    </row>
    <row r="130" spans="1:6" x14ac:dyDescent="0.3">
      <c r="A130" s="6"/>
      <c r="B130" s="6" t="s">
        <v>344</v>
      </c>
      <c r="C130" s="6">
        <v>-1</v>
      </c>
      <c r="D130" s="6">
        <v>-1</v>
      </c>
      <c r="E130" s="6">
        <v>-1</v>
      </c>
      <c r="F130" s="6">
        <v>-1</v>
      </c>
    </row>
    <row r="131" spans="1:6" x14ac:dyDescent="0.3">
      <c r="A131" s="6"/>
      <c r="B131" s="6" t="s">
        <v>344</v>
      </c>
      <c r="C131" s="6">
        <v>-1</v>
      </c>
      <c r="D131" s="6">
        <v>-1</v>
      </c>
      <c r="E131" s="6">
        <v>-1</v>
      </c>
      <c r="F131" s="6">
        <v>-1</v>
      </c>
    </row>
    <row r="132" spans="1:6" x14ac:dyDescent="0.3">
      <c r="A132" s="6"/>
      <c r="B132" s="6" t="s">
        <v>372</v>
      </c>
      <c r="C132" s="6">
        <v>-1</v>
      </c>
      <c r="D132" s="6">
        <v>-1</v>
      </c>
      <c r="E132" s="6">
        <v>-1</v>
      </c>
      <c r="F132" s="6">
        <v>-1</v>
      </c>
    </row>
    <row r="133" spans="1:6" x14ac:dyDescent="0.3">
      <c r="A133" s="6"/>
      <c r="B133" s="6" t="s">
        <v>372</v>
      </c>
      <c r="C133" s="6">
        <v>-1</v>
      </c>
      <c r="D133" s="6">
        <v>-1</v>
      </c>
      <c r="E133" s="6">
        <v>-1</v>
      </c>
      <c r="F133" s="6">
        <v>-1</v>
      </c>
    </row>
    <row r="134" spans="1:6" x14ac:dyDescent="0.3">
      <c r="A134" s="6"/>
      <c r="B134" s="6" t="s">
        <v>332</v>
      </c>
      <c r="C134" s="6">
        <v>-1</v>
      </c>
      <c r="D134" s="6">
        <v>-1</v>
      </c>
      <c r="E134" s="6">
        <v>-1</v>
      </c>
      <c r="F134" s="6">
        <v>-1</v>
      </c>
    </row>
    <row r="135" spans="1:6" x14ac:dyDescent="0.3">
      <c r="A135" s="6"/>
      <c r="B135" s="6" t="s">
        <v>332</v>
      </c>
      <c r="C135" s="6">
        <v>-1</v>
      </c>
      <c r="D135" s="6">
        <v>-1</v>
      </c>
      <c r="E135" s="6">
        <v>-1</v>
      </c>
      <c r="F135" s="6">
        <v>-1</v>
      </c>
    </row>
    <row r="136" spans="1:6" x14ac:dyDescent="0.3">
      <c r="A136" s="6"/>
      <c r="B136" s="6" t="s">
        <v>356</v>
      </c>
      <c r="C136" s="6">
        <v>-1</v>
      </c>
      <c r="D136" s="6">
        <v>-1</v>
      </c>
      <c r="E136" s="6">
        <v>-1</v>
      </c>
      <c r="F136" s="6">
        <v>-1</v>
      </c>
    </row>
    <row r="137" spans="1:6" x14ac:dyDescent="0.3">
      <c r="A137" s="6"/>
      <c r="B137" s="6" t="s">
        <v>334</v>
      </c>
      <c r="C137" s="6">
        <v>-1</v>
      </c>
      <c r="D137" s="6">
        <v>-1</v>
      </c>
      <c r="E137" s="6">
        <v>-1</v>
      </c>
      <c r="F137" s="6">
        <v>-1</v>
      </c>
    </row>
    <row r="138" spans="1:6" x14ac:dyDescent="0.3">
      <c r="A138" s="6"/>
      <c r="B138" s="6" t="s">
        <v>444</v>
      </c>
      <c r="C138" s="6">
        <v>-1</v>
      </c>
      <c r="D138" s="6">
        <v>-1</v>
      </c>
      <c r="E138" s="6">
        <v>-1</v>
      </c>
      <c r="F138" s="6">
        <v>-1</v>
      </c>
    </row>
    <row r="139" spans="1:6" x14ac:dyDescent="0.3">
      <c r="A139" s="6"/>
      <c r="B139" s="6" t="s">
        <v>442</v>
      </c>
      <c r="C139" s="6">
        <v>-1</v>
      </c>
      <c r="D139" s="6">
        <v>-1</v>
      </c>
      <c r="E139" s="6">
        <v>-1</v>
      </c>
      <c r="F139" s="6">
        <v>-1</v>
      </c>
    </row>
    <row r="140" spans="1:6" x14ac:dyDescent="0.3">
      <c r="A140" s="6"/>
      <c r="B140" s="6" t="s">
        <v>384</v>
      </c>
      <c r="C140" s="6">
        <v>-1</v>
      </c>
      <c r="D140" s="6">
        <v>-1</v>
      </c>
      <c r="E140" s="6">
        <v>-1</v>
      </c>
      <c r="F140" s="6">
        <v>-1</v>
      </c>
    </row>
    <row r="141" spans="1:6" x14ac:dyDescent="0.3">
      <c r="A141" s="6"/>
      <c r="B141" s="6" t="s">
        <v>674</v>
      </c>
      <c r="C141" s="6">
        <v>-1</v>
      </c>
      <c r="D141" s="6">
        <v>-1</v>
      </c>
      <c r="E141" s="6">
        <v>-1</v>
      </c>
      <c r="F141" s="6">
        <v>-1</v>
      </c>
    </row>
    <row r="142" spans="1:6" x14ac:dyDescent="0.3">
      <c r="A142" s="6"/>
      <c r="B142" s="6" t="s">
        <v>390</v>
      </c>
      <c r="C142" s="6">
        <v>-1</v>
      </c>
      <c r="D142" s="6">
        <v>-1</v>
      </c>
      <c r="E142" s="6">
        <v>-1</v>
      </c>
      <c r="F142" s="6">
        <v>-1</v>
      </c>
    </row>
    <row r="143" spans="1:6" x14ac:dyDescent="0.3">
      <c r="A143" s="6" t="s">
        <v>4238</v>
      </c>
      <c r="B143" s="6" t="s">
        <v>352</v>
      </c>
      <c r="C143" s="6"/>
      <c r="D143" s="6">
        <v>98</v>
      </c>
      <c r="E143" s="6"/>
      <c r="F143" s="6">
        <v>88</v>
      </c>
    </row>
    <row r="144" spans="1:6" x14ac:dyDescent="0.3">
      <c r="A144" s="6" t="s">
        <v>2322</v>
      </c>
      <c r="B144" s="6" t="s">
        <v>460</v>
      </c>
      <c r="C144" s="6"/>
      <c r="D144" s="6">
        <v>107</v>
      </c>
      <c r="E144" s="6"/>
      <c r="F144" s="6"/>
    </row>
    <row r="145" spans="1:6" x14ac:dyDescent="0.3">
      <c r="A145" s="6"/>
      <c r="B145" s="6" t="s">
        <v>378</v>
      </c>
      <c r="C145" s="6">
        <v>-1</v>
      </c>
      <c r="D145" s="6">
        <v>-1</v>
      </c>
      <c r="E145" s="6">
        <v>-1</v>
      </c>
      <c r="F145" s="6">
        <v>-1</v>
      </c>
    </row>
    <row r="146" spans="1:6" x14ac:dyDescent="0.3">
      <c r="A146" s="6"/>
      <c r="B146" s="6" t="s">
        <v>598</v>
      </c>
      <c r="C146" s="6">
        <v>-1</v>
      </c>
      <c r="D146" s="6">
        <v>-1</v>
      </c>
      <c r="E146" s="6">
        <v>-1</v>
      </c>
      <c r="F146" s="6">
        <v>-1</v>
      </c>
    </row>
    <row r="147" spans="1:6" x14ac:dyDescent="0.3">
      <c r="A147" s="6"/>
      <c r="B147" s="6" t="s">
        <v>400</v>
      </c>
      <c r="C147" s="6">
        <v>-1</v>
      </c>
      <c r="D147" s="6">
        <v>-1</v>
      </c>
      <c r="E147" s="6">
        <v>-1</v>
      </c>
      <c r="F147" s="6">
        <v>-1</v>
      </c>
    </row>
    <row r="148" spans="1:6" x14ac:dyDescent="0.3">
      <c r="A148" s="6"/>
      <c r="B148" s="6" t="s">
        <v>344</v>
      </c>
      <c r="C148" s="6">
        <v>-1</v>
      </c>
      <c r="D148" s="6">
        <v>-1</v>
      </c>
      <c r="E148" s="6">
        <v>-1</v>
      </c>
      <c r="F148" s="6">
        <v>-1</v>
      </c>
    </row>
    <row r="149" spans="1:6" x14ac:dyDescent="0.3">
      <c r="A149" s="6"/>
      <c r="B149" s="6" t="s">
        <v>372</v>
      </c>
      <c r="C149" s="6">
        <v>-1</v>
      </c>
      <c r="D149" s="6">
        <v>-1</v>
      </c>
      <c r="E149" s="6">
        <v>-1</v>
      </c>
      <c r="F149" s="6">
        <v>-1</v>
      </c>
    </row>
    <row r="150" spans="1:6" x14ac:dyDescent="0.3">
      <c r="A150" s="6"/>
      <c r="B150" s="6" t="s">
        <v>332</v>
      </c>
      <c r="C150" s="6">
        <v>-1</v>
      </c>
      <c r="D150" s="6">
        <v>-1</v>
      </c>
      <c r="E150" s="6">
        <v>-1</v>
      </c>
      <c r="F150" s="6">
        <v>-1</v>
      </c>
    </row>
    <row r="151" spans="1:6" x14ac:dyDescent="0.3">
      <c r="A151" s="6"/>
      <c r="B151" s="6" t="s">
        <v>356</v>
      </c>
      <c r="C151" s="6">
        <v>-1</v>
      </c>
      <c r="D151" s="6">
        <v>-1</v>
      </c>
      <c r="E151" s="6">
        <v>-1</v>
      </c>
      <c r="F151" s="6">
        <v>-1</v>
      </c>
    </row>
  </sheetData>
  <pageMargins left="0.7" right="0.7" top="0.75" bottom="0.75" header="0.3" footer="0.3"/>
  <tableParts count="1">
    <tablePart r:id="rId1"/>
  </tableParts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DAA72-8ABC-45E6-A4D6-6FD164170B2D}">
  <dimension ref="A1:F155"/>
  <sheetViews>
    <sheetView topLeftCell="A151" workbookViewId="0">
      <selection activeCell="B156" sqref="B156"/>
    </sheetView>
  </sheetViews>
  <sheetFormatPr defaultRowHeight="14.4" x14ac:dyDescent="0.3"/>
  <cols>
    <col min="1" max="1" width="27.77734375" bestFit="1" customWidth="1"/>
    <col min="2" max="2" width="13.33203125" bestFit="1" customWidth="1"/>
    <col min="3" max="3" width="21.6640625" bestFit="1" customWidth="1"/>
    <col min="4" max="4" width="22.21875" bestFit="1" customWidth="1"/>
    <col min="5" max="5" width="22.5546875" bestFit="1" customWidth="1"/>
    <col min="6" max="6" width="19.77734375" bestFit="1" customWidth="1"/>
  </cols>
  <sheetData>
    <row r="1" spans="1:6" x14ac:dyDescent="0.3">
      <c r="A1" t="s">
        <v>832</v>
      </c>
      <c r="B1" t="s">
        <v>1</v>
      </c>
      <c r="C1" t="s">
        <v>1022</v>
      </c>
      <c r="D1" t="s">
        <v>908</v>
      </c>
      <c r="E1" t="s">
        <v>1023</v>
      </c>
      <c r="F1" t="s">
        <v>979</v>
      </c>
    </row>
    <row r="2" spans="1:6" x14ac:dyDescent="0.3">
      <c r="A2" s="6" t="s">
        <v>2622</v>
      </c>
      <c r="B2" s="6" t="s">
        <v>500</v>
      </c>
      <c r="C2" s="6"/>
      <c r="D2" s="6">
        <v>35</v>
      </c>
      <c r="E2" s="6">
        <v>44</v>
      </c>
      <c r="F2" s="6">
        <v>47</v>
      </c>
    </row>
    <row r="3" spans="1:6" x14ac:dyDescent="0.3">
      <c r="A3" s="6"/>
      <c r="B3" s="6" t="s">
        <v>340</v>
      </c>
      <c r="C3" s="6">
        <v>-1</v>
      </c>
      <c r="D3" s="6">
        <v>-1</v>
      </c>
      <c r="E3" s="6">
        <v>-1</v>
      </c>
      <c r="F3" s="6">
        <v>-1</v>
      </c>
    </row>
    <row r="4" spans="1:6" x14ac:dyDescent="0.3">
      <c r="A4" s="6" t="s">
        <v>3410</v>
      </c>
      <c r="B4" s="6" t="s">
        <v>506</v>
      </c>
      <c r="C4" s="6"/>
      <c r="D4" s="6">
        <v>82</v>
      </c>
      <c r="E4" s="6">
        <v>69</v>
      </c>
      <c r="F4" s="6"/>
    </row>
    <row r="5" spans="1:6" x14ac:dyDescent="0.3">
      <c r="A5" s="6" t="s">
        <v>2369</v>
      </c>
      <c r="B5" s="6" t="s">
        <v>354</v>
      </c>
      <c r="C5" s="6"/>
      <c r="D5" s="6">
        <v>49</v>
      </c>
      <c r="E5" s="6">
        <v>58</v>
      </c>
      <c r="F5" s="6"/>
    </row>
    <row r="6" spans="1:6" x14ac:dyDescent="0.3">
      <c r="A6" s="6"/>
      <c r="B6" s="6" t="s">
        <v>358</v>
      </c>
      <c r="C6" s="6">
        <v>-1</v>
      </c>
      <c r="D6" s="6">
        <v>-1</v>
      </c>
      <c r="E6" s="6">
        <v>-1</v>
      </c>
      <c r="F6" s="6">
        <v>-1</v>
      </c>
    </row>
    <row r="7" spans="1:6" x14ac:dyDescent="0.3">
      <c r="A7" s="6" t="s">
        <v>3082</v>
      </c>
      <c r="B7" s="6" t="s">
        <v>336</v>
      </c>
      <c r="C7" s="6"/>
      <c r="D7" s="6">
        <v>99</v>
      </c>
      <c r="E7" s="6"/>
      <c r="F7" s="6">
        <v>74</v>
      </c>
    </row>
    <row r="8" spans="1:6" x14ac:dyDescent="0.3">
      <c r="A8" s="6"/>
      <c r="B8" s="6" t="s">
        <v>370</v>
      </c>
      <c r="C8" s="6">
        <v>-1</v>
      </c>
      <c r="D8" s="6">
        <v>-1</v>
      </c>
      <c r="E8" s="6">
        <v>-1</v>
      </c>
      <c r="F8" s="6">
        <v>-1</v>
      </c>
    </row>
    <row r="9" spans="1:6" x14ac:dyDescent="0.3">
      <c r="A9" s="6" t="s">
        <v>2537</v>
      </c>
      <c r="B9" s="6" t="s">
        <v>384</v>
      </c>
      <c r="C9" s="6">
        <v>17</v>
      </c>
      <c r="D9" s="6"/>
      <c r="E9" s="6">
        <v>38</v>
      </c>
      <c r="F9" s="6">
        <v>43</v>
      </c>
    </row>
    <row r="10" spans="1:6" x14ac:dyDescent="0.3">
      <c r="A10" s="6" t="s">
        <v>1401</v>
      </c>
      <c r="B10" s="6" t="s">
        <v>328</v>
      </c>
      <c r="C10" s="6">
        <v>1001</v>
      </c>
      <c r="D10" s="6">
        <v>74</v>
      </c>
      <c r="E10" s="6">
        <v>62</v>
      </c>
      <c r="F10" s="6">
        <v>78</v>
      </c>
    </row>
    <row r="11" spans="1:6" x14ac:dyDescent="0.3">
      <c r="A11" s="6" t="s">
        <v>2774</v>
      </c>
      <c r="B11" s="6" t="s">
        <v>450</v>
      </c>
      <c r="C11" s="6"/>
      <c r="D11" s="6">
        <v>88</v>
      </c>
      <c r="E11" s="6"/>
      <c r="F11" s="6">
        <v>75</v>
      </c>
    </row>
    <row r="12" spans="1:6" x14ac:dyDescent="0.3">
      <c r="A12" s="6" t="s">
        <v>2554</v>
      </c>
      <c r="B12" s="6" t="s">
        <v>442</v>
      </c>
      <c r="C12" s="6"/>
      <c r="D12" s="6">
        <v>54</v>
      </c>
      <c r="E12" s="6"/>
      <c r="F12" s="6">
        <v>41</v>
      </c>
    </row>
    <row r="13" spans="1:6" x14ac:dyDescent="0.3">
      <c r="A13" s="6" t="s">
        <v>2609</v>
      </c>
      <c r="B13" s="6" t="s">
        <v>572</v>
      </c>
      <c r="C13" s="6">
        <v>30</v>
      </c>
      <c r="D13" s="6">
        <v>62</v>
      </c>
      <c r="E13" s="6"/>
      <c r="F13" s="6">
        <v>54</v>
      </c>
    </row>
    <row r="14" spans="1:6" x14ac:dyDescent="0.3">
      <c r="A14" s="6" t="s">
        <v>1447</v>
      </c>
      <c r="B14" s="6" t="s">
        <v>372</v>
      </c>
      <c r="C14" s="6"/>
      <c r="D14" s="6"/>
      <c r="E14" s="6"/>
      <c r="F14" s="6">
        <v>14</v>
      </c>
    </row>
    <row r="15" spans="1:6" x14ac:dyDescent="0.3">
      <c r="A15" s="6" t="s">
        <v>3185</v>
      </c>
      <c r="B15" s="6" t="s">
        <v>344</v>
      </c>
      <c r="C15" s="6"/>
      <c r="D15" s="6">
        <v>22</v>
      </c>
      <c r="E15" s="6">
        <v>31</v>
      </c>
      <c r="F15" s="6"/>
    </row>
    <row r="16" spans="1:6" x14ac:dyDescent="0.3">
      <c r="A16" s="6" t="s">
        <v>4654</v>
      </c>
      <c r="B16" s="6" t="s">
        <v>334</v>
      </c>
      <c r="C16" s="6">
        <v>9</v>
      </c>
      <c r="D16" s="6"/>
      <c r="E16" s="6">
        <v>30</v>
      </c>
      <c r="F16" s="6"/>
    </row>
    <row r="17" spans="1:6" x14ac:dyDescent="0.3">
      <c r="A17" s="6"/>
      <c r="B17" s="6" t="s">
        <v>402</v>
      </c>
      <c r="C17" s="6">
        <v>-1</v>
      </c>
      <c r="D17" s="6">
        <v>-1</v>
      </c>
      <c r="E17" s="6">
        <v>-1</v>
      </c>
      <c r="F17" s="6">
        <v>-1</v>
      </c>
    </row>
    <row r="18" spans="1:6" x14ac:dyDescent="0.3">
      <c r="A18" s="6"/>
      <c r="B18" s="6" t="s">
        <v>342</v>
      </c>
      <c r="C18" s="6">
        <v>-1</v>
      </c>
      <c r="D18" s="6">
        <v>-1</v>
      </c>
      <c r="E18" s="6">
        <v>-1</v>
      </c>
      <c r="F18" s="6">
        <v>-1</v>
      </c>
    </row>
    <row r="19" spans="1:6" x14ac:dyDescent="0.3">
      <c r="A19" s="6"/>
      <c r="B19" s="6" t="s">
        <v>406</v>
      </c>
      <c r="C19" s="6">
        <v>-1</v>
      </c>
      <c r="D19" s="6">
        <v>-1</v>
      </c>
      <c r="E19" s="6">
        <v>-1</v>
      </c>
      <c r="F19" s="6">
        <v>-1</v>
      </c>
    </row>
    <row r="20" spans="1:6" x14ac:dyDescent="0.3">
      <c r="A20" s="6" t="s">
        <v>2341</v>
      </c>
      <c r="B20" s="6" t="s">
        <v>594</v>
      </c>
      <c r="C20" s="6"/>
      <c r="D20" s="6">
        <v>3001</v>
      </c>
      <c r="E20" s="6"/>
      <c r="F20" s="6">
        <v>61</v>
      </c>
    </row>
    <row r="21" spans="1:6" x14ac:dyDescent="0.3">
      <c r="A21" s="6"/>
      <c r="B21" s="6" t="s">
        <v>360</v>
      </c>
      <c r="C21" s="6">
        <v>-1</v>
      </c>
      <c r="D21" s="6">
        <v>-1</v>
      </c>
      <c r="E21" s="6">
        <v>-1</v>
      </c>
      <c r="F21" s="6">
        <v>-1</v>
      </c>
    </row>
    <row r="22" spans="1:6" x14ac:dyDescent="0.3">
      <c r="A22" s="6" t="s">
        <v>2263</v>
      </c>
      <c r="B22" s="6" t="s">
        <v>356</v>
      </c>
      <c r="C22" s="6"/>
      <c r="D22" s="6"/>
      <c r="E22" s="6"/>
      <c r="F22" s="6">
        <v>16</v>
      </c>
    </row>
    <row r="23" spans="1:6" x14ac:dyDescent="0.3">
      <c r="A23" s="6"/>
      <c r="B23" s="6" t="s">
        <v>428</v>
      </c>
      <c r="C23" s="6">
        <v>-1</v>
      </c>
      <c r="D23" s="6">
        <v>-1</v>
      </c>
      <c r="E23" s="6">
        <v>-1</v>
      </c>
      <c r="F23" s="6">
        <v>-1</v>
      </c>
    </row>
    <row r="24" spans="1:6" x14ac:dyDescent="0.3">
      <c r="A24" s="6"/>
      <c r="B24" s="6" t="s">
        <v>604</v>
      </c>
      <c r="C24" s="6">
        <v>-1</v>
      </c>
      <c r="D24" s="6">
        <v>-1</v>
      </c>
      <c r="E24" s="6">
        <v>-1</v>
      </c>
      <c r="F24" s="6">
        <v>-1</v>
      </c>
    </row>
    <row r="25" spans="1:6" x14ac:dyDescent="0.3">
      <c r="A25" s="6" t="s">
        <v>3487</v>
      </c>
      <c r="B25" s="6" t="s">
        <v>614</v>
      </c>
      <c r="C25" s="6">
        <v>11</v>
      </c>
      <c r="D25" s="6">
        <v>15</v>
      </c>
      <c r="E25" s="6">
        <v>23</v>
      </c>
      <c r="F25" s="6"/>
    </row>
    <row r="26" spans="1:6" x14ac:dyDescent="0.3">
      <c r="A26" s="6" t="s">
        <v>2789</v>
      </c>
      <c r="B26" s="6" t="s">
        <v>620</v>
      </c>
      <c r="C26" s="6"/>
      <c r="D26" s="6">
        <v>79</v>
      </c>
      <c r="E26" s="6"/>
      <c r="F26" s="6">
        <v>87</v>
      </c>
    </row>
    <row r="27" spans="1:6" x14ac:dyDescent="0.3">
      <c r="A27" s="6"/>
      <c r="B27" s="6" t="s">
        <v>630</v>
      </c>
      <c r="C27" s="6">
        <v>-1</v>
      </c>
      <c r="D27" s="6">
        <v>-1</v>
      </c>
      <c r="E27" s="6">
        <v>-1</v>
      </c>
      <c r="F27" s="6">
        <v>-1</v>
      </c>
    </row>
    <row r="28" spans="1:6" x14ac:dyDescent="0.3">
      <c r="A28" s="6"/>
      <c r="B28" s="6" t="s">
        <v>350</v>
      </c>
      <c r="C28" s="6">
        <v>-1</v>
      </c>
      <c r="D28" s="6">
        <v>-1</v>
      </c>
      <c r="E28" s="6">
        <v>-1</v>
      </c>
      <c r="F28" s="6">
        <v>-1</v>
      </c>
    </row>
    <row r="29" spans="1:6" x14ac:dyDescent="0.3">
      <c r="A29" s="6"/>
      <c r="B29" s="6" t="s">
        <v>642</v>
      </c>
      <c r="C29" s="6">
        <v>-1</v>
      </c>
      <c r="D29" s="6">
        <v>-1</v>
      </c>
      <c r="E29" s="6">
        <v>-1</v>
      </c>
      <c r="F29" s="6">
        <v>-1</v>
      </c>
    </row>
    <row r="30" spans="1:6" x14ac:dyDescent="0.3">
      <c r="A30" s="6" t="s">
        <v>2520</v>
      </c>
      <c r="B30" s="6" t="s">
        <v>364</v>
      </c>
      <c r="C30" s="6">
        <v>1001</v>
      </c>
      <c r="D30" s="6">
        <v>4</v>
      </c>
      <c r="E30" s="6">
        <v>6</v>
      </c>
      <c r="F30" s="6"/>
    </row>
    <row r="31" spans="1:6" x14ac:dyDescent="0.3">
      <c r="A31" s="6" t="s">
        <v>2492</v>
      </c>
      <c r="B31" s="6" t="s">
        <v>394</v>
      </c>
      <c r="C31" s="6"/>
      <c r="D31" s="6">
        <v>60</v>
      </c>
      <c r="E31" s="6">
        <v>41</v>
      </c>
      <c r="F31" s="6">
        <v>33</v>
      </c>
    </row>
    <row r="32" spans="1:6" x14ac:dyDescent="0.3">
      <c r="A32" s="6"/>
      <c r="B32" s="6" t="s">
        <v>348</v>
      </c>
      <c r="C32" s="6">
        <v>-1</v>
      </c>
      <c r="D32" s="6">
        <v>-1</v>
      </c>
      <c r="E32" s="6">
        <v>-1</v>
      </c>
      <c r="F32" s="6">
        <v>-1</v>
      </c>
    </row>
    <row r="33" spans="1:6" x14ac:dyDescent="0.3">
      <c r="A33" s="6"/>
      <c r="B33" s="6" t="s">
        <v>690</v>
      </c>
      <c r="C33" s="6">
        <v>-1</v>
      </c>
      <c r="D33" s="6">
        <v>-1</v>
      </c>
      <c r="E33" s="6">
        <v>-1</v>
      </c>
      <c r="F33" s="6">
        <v>-1</v>
      </c>
    </row>
    <row r="34" spans="1:6" x14ac:dyDescent="0.3">
      <c r="A34" s="6"/>
      <c r="B34" s="6" t="s">
        <v>408</v>
      </c>
      <c r="C34" s="6">
        <v>-1</v>
      </c>
      <c r="D34" s="6">
        <v>-1</v>
      </c>
      <c r="E34" s="6">
        <v>-1</v>
      </c>
      <c r="F34" s="6">
        <v>-1</v>
      </c>
    </row>
    <row r="35" spans="1:6" x14ac:dyDescent="0.3">
      <c r="A35" s="6"/>
      <c r="B35" s="6" t="s">
        <v>694</v>
      </c>
      <c r="C35" s="6">
        <v>-1</v>
      </c>
      <c r="D35" s="6">
        <v>-1</v>
      </c>
      <c r="E35" s="6">
        <v>-1</v>
      </c>
      <c r="F35" s="6">
        <v>-1</v>
      </c>
    </row>
    <row r="36" spans="1:6" x14ac:dyDescent="0.3">
      <c r="A36" s="6"/>
      <c r="B36" s="6" t="s">
        <v>700</v>
      </c>
      <c r="C36" s="6">
        <v>-1</v>
      </c>
      <c r="D36" s="6">
        <v>-1</v>
      </c>
      <c r="E36" s="6">
        <v>-1</v>
      </c>
      <c r="F36" s="6">
        <v>-1</v>
      </c>
    </row>
    <row r="37" spans="1:6" x14ac:dyDescent="0.3">
      <c r="A37" s="6" t="s">
        <v>1719</v>
      </c>
      <c r="B37" s="6" t="s">
        <v>338</v>
      </c>
      <c r="C37" s="6"/>
      <c r="D37" s="6"/>
      <c r="E37" s="6">
        <v>11</v>
      </c>
      <c r="F37" s="6">
        <v>2</v>
      </c>
    </row>
    <row r="38" spans="1:6" x14ac:dyDescent="0.3">
      <c r="A38" s="6"/>
      <c r="B38" s="6" t="s">
        <v>444</v>
      </c>
      <c r="C38" s="6">
        <v>-1</v>
      </c>
      <c r="D38" s="6">
        <v>-1</v>
      </c>
      <c r="E38" s="6">
        <v>-1</v>
      </c>
      <c r="F38" s="6">
        <v>-1</v>
      </c>
    </row>
    <row r="39" spans="1:6" x14ac:dyDescent="0.3">
      <c r="A39" s="6"/>
      <c r="B39" s="6" t="s">
        <v>368</v>
      </c>
      <c r="C39" s="6">
        <v>-1</v>
      </c>
      <c r="D39" s="6">
        <v>-1</v>
      </c>
      <c r="E39" s="6">
        <v>-1</v>
      </c>
      <c r="F39" s="6">
        <v>-1</v>
      </c>
    </row>
    <row r="40" spans="1:6" x14ac:dyDescent="0.3">
      <c r="A40" s="6"/>
      <c r="B40" s="6" t="s">
        <v>718</v>
      </c>
      <c r="C40" s="6">
        <v>-1</v>
      </c>
      <c r="D40" s="6">
        <v>-1</v>
      </c>
      <c r="E40" s="6">
        <v>-1</v>
      </c>
      <c r="F40" s="6">
        <v>-1</v>
      </c>
    </row>
    <row r="41" spans="1:6" x14ac:dyDescent="0.3">
      <c r="A41" s="6" t="s">
        <v>4774</v>
      </c>
      <c r="B41" s="6" t="s">
        <v>726</v>
      </c>
      <c r="C41" s="6"/>
      <c r="D41" s="6">
        <v>65</v>
      </c>
      <c r="E41" s="6">
        <v>63</v>
      </c>
      <c r="F41" s="6">
        <v>81</v>
      </c>
    </row>
    <row r="42" spans="1:6" x14ac:dyDescent="0.3">
      <c r="A42" s="6" t="s">
        <v>2019</v>
      </c>
      <c r="B42" s="6" t="s">
        <v>332</v>
      </c>
      <c r="C42" s="6"/>
      <c r="D42" s="6"/>
      <c r="E42" s="6">
        <v>24</v>
      </c>
      <c r="F42" s="6">
        <v>6</v>
      </c>
    </row>
    <row r="43" spans="1:6" x14ac:dyDescent="0.3">
      <c r="A43" s="6" t="s">
        <v>4992</v>
      </c>
      <c r="B43" s="6" t="s">
        <v>364</v>
      </c>
      <c r="C43" s="6">
        <v>4</v>
      </c>
      <c r="D43" s="6">
        <v>9</v>
      </c>
      <c r="E43" s="6">
        <v>10</v>
      </c>
      <c r="F43" s="6"/>
    </row>
    <row r="44" spans="1:6" x14ac:dyDescent="0.3">
      <c r="A44" s="6" t="s">
        <v>5024</v>
      </c>
      <c r="B44" s="6" t="s">
        <v>364</v>
      </c>
      <c r="C44" s="6">
        <v>2</v>
      </c>
      <c r="D44" s="6">
        <v>5</v>
      </c>
      <c r="E44" s="6">
        <v>3</v>
      </c>
      <c r="F44" s="6"/>
    </row>
    <row r="45" spans="1:6" x14ac:dyDescent="0.3">
      <c r="A45" s="6"/>
      <c r="B45" s="6" t="s">
        <v>364</v>
      </c>
      <c r="C45" s="6">
        <v>-1</v>
      </c>
      <c r="D45" s="6">
        <v>-1</v>
      </c>
      <c r="E45" s="6">
        <v>-1</v>
      </c>
      <c r="F45" s="6">
        <v>-1</v>
      </c>
    </row>
    <row r="46" spans="1:6" x14ac:dyDescent="0.3">
      <c r="A46" s="6"/>
      <c r="B46" s="6" t="s">
        <v>364</v>
      </c>
      <c r="C46" s="6">
        <v>-1</v>
      </c>
      <c r="D46" s="6">
        <v>-1</v>
      </c>
      <c r="E46" s="6">
        <v>-1</v>
      </c>
      <c r="F46" s="6">
        <v>-1</v>
      </c>
    </row>
    <row r="47" spans="1:6" x14ac:dyDescent="0.3">
      <c r="A47" s="6" t="s">
        <v>1720</v>
      </c>
      <c r="B47" s="6" t="s">
        <v>338</v>
      </c>
      <c r="C47" s="6"/>
      <c r="D47" s="6"/>
      <c r="E47" s="6"/>
      <c r="F47" s="6">
        <v>1</v>
      </c>
    </row>
    <row r="48" spans="1:6" x14ac:dyDescent="0.3">
      <c r="A48" s="6"/>
      <c r="B48" s="6" t="s">
        <v>338</v>
      </c>
      <c r="C48" s="6">
        <v>-1</v>
      </c>
      <c r="D48" s="6">
        <v>-1</v>
      </c>
      <c r="E48" s="6">
        <v>-1</v>
      </c>
      <c r="F48" s="6">
        <v>-1</v>
      </c>
    </row>
    <row r="49" spans="1:6" x14ac:dyDescent="0.3">
      <c r="A49" s="6"/>
      <c r="B49" s="6" t="s">
        <v>338</v>
      </c>
      <c r="C49" s="6">
        <v>-1</v>
      </c>
      <c r="D49" s="6">
        <v>-1</v>
      </c>
      <c r="E49" s="6">
        <v>-1</v>
      </c>
      <c r="F49" s="6">
        <v>-1</v>
      </c>
    </row>
    <row r="50" spans="1:6" x14ac:dyDescent="0.3">
      <c r="A50" s="6"/>
      <c r="B50" s="6" t="s">
        <v>338</v>
      </c>
      <c r="C50" s="6">
        <v>-1</v>
      </c>
      <c r="D50" s="6">
        <v>-1</v>
      </c>
      <c r="E50" s="6">
        <v>-1</v>
      </c>
      <c r="F50" s="6">
        <v>-1</v>
      </c>
    </row>
    <row r="51" spans="1:6" x14ac:dyDescent="0.3">
      <c r="A51" s="6"/>
      <c r="B51" s="6" t="s">
        <v>334</v>
      </c>
      <c r="C51" s="6">
        <v>-1</v>
      </c>
      <c r="D51" s="6">
        <v>-1</v>
      </c>
      <c r="E51" s="6">
        <v>-1</v>
      </c>
      <c r="F51" s="6">
        <v>-1</v>
      </c>
    </row>
    <row r="52" spans="1:6" x14ac:dyDescent="0.3">
      <c r="A52" s="6"/>
      <c r="B52" s="6" t="s">
        <v>334</v>
      </c>
      <c r="C52" s="6">
        <v>-1</v>
      </c>
      <c r="D52" s="6">
        <v>-1</v>
      </c>
      <c r="E52" s="6">
        <v>-1</v>
      </c>
      <c r="F52" s="6">
        <v>-1</v>
      </c>
    </row>
    <row r="53" spans="1:6" x14ac:dyDescent="0.3">
      <c r="A53" s="6"/>
      <c r="B53" s="6" t="s">
        <v>334</v>
      </c>
      <c r="C53" s="6">
        <v>-1</v>
      </c>
      <c r="D53" s="6">
        <v>-1</v>
      </c>
      <c r="E53" s="6">
        <v>-1</v>
      </c>
      <c r="F53" s="6">
        <v>-1</v>
      </c>
    </row>
    <row r="54" spans="1:6" x14ac:dyDescent="0.3">
      <c r="A54" s="6"/>
      <c r="B54" s="6" t="s">
        <v>334</v>
      </c>
      <c r="C54" s="6">
        <v>-1</v>
      </c>
      <c r="D54" s="6">
        <v>-1</v>
      </c>
      <c r="E54" s="6">
        <v>-1</v>
      </c>
      <c r="F54" s="6">
        <v>-1</v>
      </c>
    </row>
    <row r="55" spans="1:6" x14ac:dyDescent="0.3">
      <c r="A55" s="6" t="s">
        <v>1876</v>
      </c>
      <c r="B55" s="6" t="s">
        <v>372</v>
      </c>
      <c r="C55" s="6">
        <v>21</v>
      </c>
      <c r="D55" s="6">
        <v>25</v>
      </c>
      <c r="E55" s="6">
        <v>20</v>
      </c>
      <c r="F55" s="6"/>
    </row>
    <row r="56" spans="1:6" x14ac:dyDescent="0.3">
      <c r="A56" s="6" t="s">
        <v>1879</v>
      </c>
      <c r="B56" s="6" t="s">
        <v>372</v>
      </c>
      <c r="C56" s="6"/>
      <c r="D56" s="6"/>
      <c r="E56" s="6"/>
      <c r="F56" s="6">
        <v>24</v>
      </c>
    </row>
    <row r="57" spans="1:6" x14ac:dyDescent="0.3">
      <c r="A57" s="6" t="s">
        <v>2806</v>
      </c>
      <c r="B57" s="6" t="s">
        <v>372</v>
      </c>
      <c r="C57" s="6"/>
      <c r="D57" s="6">
        <v>30</v>
      </c>
      <c r="E57" s="6">
        <v>40</v>
      </c>
      <c r="F57" s="6"/>
    </row>
    <row r="58" spans="1:6" x14ac:dyDescent="0.3">
      <c r="A58" s="6"/>
      <c r="B58" s="6" t="s">
        <v>372</v>
      </c>
      <c r="C58" s="6">
        <v>-1</v>
      </c>
      <c r="D58" s="6">
        <v>-1</v>
      </c>
      <c r="E58" s="6">
        <v>-1</v>
      </c>
      <c r="F58" s="6">
        <v>-1</v>
      </c>
    </row>
    <row r="59" spans="1:6" x14ac:dyDescent="0.3">
      <c r="A59" s="6" t="s">
        <v>3004</v>
      </c>
      <c r="B59" s="6" t="s">
        <v>332</v>
      </c>
      <c r="C59" s="6">
        <v>15</v>
      </c>
      <c r="D59" s="6"/>
      <c r="E59" s="6">
        <v>37</v>
      </c>
      <c r="F59" s="6"/>
    </row>
    <row r="60" spans="1:6" x14ac:dyDescent="0.3">
      <c r="A60" s="6" t="s">
        <v>3704</v>
      </c>
      <c r="B60" s="6" t="s">
        <v>332</v>
      </c>
      <c r="C60" s="6">
        <v>26</v>
      </c>
      <c r="D60" s="6">
        <v>38</v>
      </c>
      <c r="E60" s="6"/>
      <c r="F60" s="6"/>
    </row>
    <row r="61" spans="1:6" x14ac:dyDescent="0.3">
      <c r="A61" s="6" t="s">
        <v>4190</v>
      </c>
      <c r="B61" s="6" t="s">
        <v>332</v>
      </c>
      <c r="C61" s="6"/>
      <c r="D61" s="6"/>
      <c r="E61" s="6"/>
      <c r="F61" s="6">
        <v>30</v>
      </c>
    </row>
    <row r="62" spans="1:6" x14ac:dyDescent="0.3">
      <c r="A62" s="6" t="s">
        <v>4209</v>
      </c>
      <c r="B62" s="6" t="s">
        <v>332</v>
      </c>
      <c r="C62" s="6">
        <v>19</v>
      </c>
      <c r="D62" s="6">
        <v>39</v>
      </c>
      <c r="E62" s="6"/>
      <c r="F62" s="6"/>
    </row>
    <row r="63" spans="1:6" x14ac:dyDescent="0.3">
      <c r="A63" s="6"/>
      <c r="B63" s="6" t="s">
        <v>444</v>
      </c>
      <c r="C63" s="6">
        <v>-1</v>
      </c>
      <c r="D63" s="6">
        <v>-1</v>
      </c>
      <c r="E63" s="6">
        <v>-1</v>
      </c>
      <c r="F63" s="6">
        <v>-1</v>
      </c>
    </row>
    <row r="64" spans="1:6" x14ac:dyDescent="0.3">
      <c r="A64" s="6"/>
      <c r="B64" s="6" t="s">
        <v>444</v>
      </c>
      <c r="C64" s="6">
        <v>-1</v>
      </c>
      <c r="D64" s="6">
        <v>-1</v>
      </c>
      <c r="E64" s="6">
        <v>-1</v>
      </c>
      <c r="F64" s="6">
        <v>-1</v>
      </c>
    </row>
    <row r="65" spans="1:6" x14ac:dyDescent="0.3">
      <c r="A65" s="6"/>
      <c r="B65" s="6" t="s">
        <v>444</v>
      </c>
      <c r="C65" s="6">
        <v>-1</v>
      </c>
      <c r="D65" s="6">
        <v>-1</v>
      </c>
      <c r="E65" s="6">
        <v>-1</v>
      </c>
      <c r="F65" s="6">
        <v>-1</v>
      </c>
    </row>
    <row r="66" spans="1:6" x14ac:dyDescent="0.3">
      <c r="A66" s="6" t="s">
        <v>4275</v>
      </c>
      <c r="B66" s="6" t="s">
        <v>356</v>
      </c>
      <c r="C66" s="6"/>
      <c r="D66" s="6"/>
      <c r="E66" s="6"/>
      <c r="F66" s="6">
        <v>11</v>
      </c>
    </row>
    <row r="67" spans="1:6" x14ac:dyDescent="0.3">
      <c r="A67" s="6" t="s">
        <v>4959</v>
      </c>
      <c r="B67" s="6" t="s">
        <v>356</v>
      </c>
      <c r="C67" s="6"/>
      <c r="D67" s="6">
        <v>20</v>
      </c>
      <c r="E67" s="6">
        <v>28</v>
      </c>
      <c r="F67" s="6"/>
    </row>
    <row r="68" spans="1:6" x14ac:dyDescent="0.3">
      <c r="A68" s="6"/>
      <c r="B68" s="6" t="s">
        <v>356</v>
      </c>
      <c r="C68" s="6">
        <v>-1</v>
      </c>
      <c r="D68" s="6">
        <v>-1</v>
      </c>
      <c r="E68" s="6">
        <v>-1</v>
      </c>
      <c r="F68" s="6">
        <v>-1</v>
      </c>
    </row>
    <row r="69" spans="1:6" x14ac:dyDescent="0.3">
      <c r="A69" s="6" t="s">
        <v>3186</v>
      </c>
      <c r="B69" s="6" t="s">
        <v>344</v>
      </c>
      <c r="C69" s="6"/>
      <c r="D69" s="6"/>
      <c r="E69" s="6"/>
      <c r="F69" s="6">
        <v>38</v>
      </c>
    </row>
    <row r="70" spans="1:6" x14ac:dyDescent="0.3">
      <c r="A70" s="6" t="s">
        <v>3188</v>
      </c>
      <c r="B70" s="6" t="s">
        <v>344</v>
      </c>
      <c r="C70" s="6"/>
      <c r="D70" s="6">
        <v>10</v>
      </c>
      <c r="E70" s="6">
        <v>16</v>
      </c>
      <c r="F70" s="6"/>
    </row>
    <row r="71" spans="1:6" x14ac:dyDescent="0.3">
      <c r="A71" s="6" t="s">
        <v>3245</v>
      </c>
      <c r="B71" s="6" t="s">
        <v>344</v>
      </c>
      <c r="C71" s="6">
        <v>12</v>
      </c>
      <c r="D71" s="6"/>
      <c r="E71" s="6">
        <v>27</v>
      </c>
      <c r="F71" s="6"/>
    </row>
    <row r="72" spans="1:6" x14ac:dyDescent="0.3">
      <c r="A72" s="6" t="s">
        <v>2587</v>
      </c>
      <c r="B72" s="6" t="s">
        <v>384</v>
      </c>
      <c r="C72" s="6">
        <v>28</v>
      </c>
      <c r="D72" s="6"/>
      <c r="E72" s="6">
        <v>50</v>
      </c>
      <c r="F72" s="6"/>
    </row>
    <row r="73" spans="1:6" x14ac:dyDescent="0.3">
      <c r="A73" s="6" t="s">
        <v>4875</v>
      </c>
      <c r="B73" s="6" t="s">
        <v>384</v>
      </c>
      <c r="C73" s="6">
        <v>25</v>
      </c>
      <c r="D73" s="6">
        <v>34</v>
      </c>
      <c r="E73" s="6"/>
      <c r="F73" s="6">
        <v>45</v>
      </c>
    </row>
    <row r="74" spans="1:6" x14ac:dyDescent="0.3">
      <c r="A74" s="6"/>
      <c r="B74" s="6" t="s">
        <v>384</v>
      </c>
      <c r="C74" s="6">
        <v>-1</v>
      </c>
      <c r="D74" s="6">
        <v>-1</v>
      </c>
      <c r="E74" s="6">
        <v>-1</v>
      </c>
      <c r="F74" s="6">
        <v>-1</v>
      </c>
    </row>
    <row r="75" spans="1:6" x14ac:dyDescent="0.3">
      <c r="A75" s="6" t="s">
        <v>3583</v>
      </c>
      <c r="B75" s="6" t="s">
        <v>442</v>
      </c>
      <c r="C75" s="6"/>
      <c r="D75" s="6"/>
      <c r="E75" s="6"/>
      <c r="F75" s="6">
        <v>46</v>
      </c>
    </row>
    <row r="76" spans="1:6" x14ac:dyDescent="0.3">
      <c r="A76" s="6" t="s">
        <v>3584</v>
      </c>
      <c r="B76" s="6" t="s">
        <v>442</v>
      </c>
      <c r="C76" s="6"/>
      <c r="D76" s="6"/>
      <c r="E76" s="6"/>
      <c r="F76" s="6">
        <v>49</v>
      </c>
    </row>
    <row r="77" spans="1:6" x14ac:dyDescent="0.3">
      <c r="A77" s="6" t="s">
        <v>3596</v>
      </c>
      <c r="B77" s="6" t="s">
        <v>442</v>
      </c>
      <c r="C77" s="6"/>
      <c r="D77" s="6">
        <v>12</v>
      </c>
      <c r="E77" s="6">
        <v>7</v>
      </c>
      <c r="F77" s="6">
        <v>15</v>
      </c>
    </row>
    <row r="78" spans="1:6" x14ac:dyDescent="0.3">
      <c r="A78" s="6"/>
      <c r="B78" s="6" t="s">
        <v>358</v>
      </c>
      <c r="C78" s="6">
        <v>-1</v>
      </c>
      <c r="D78" s="6">
        <v>-1</v>
      </c>
      <c r="E78" s="6">
        <v>-1</v>
      </c>
      <c r="F78" s="6">
        <v>-1</v>
      </c>
    </row>
    <row r="79" spans="1:6" x14ac:dyDescent="0.3">
      <c r="A79" s="6"/>
      <c r="B79" s="6" t="s">
        <v>358</v>
      </c>
      <c r="C79" s="6">
        <v>-1</v>
      </c>
      <c r="D79" s="6">
        <v>-1</v>
      </c>
      <c r="E79" s="6">
        <v>-1</v>
      </c>
      <c r="F79" s="6">
        <v>-1</v>
      </c>
    </row>
    <row r="80" spans="1:6" x14ac:dyDescent="0.3">
      <c r="A80" s="6"/>
      <c r="B80" s="6" t="s">
        <v>572</v>
      </c>
      <c r="C80" s="6">
        <v>-1</v>
      </c>
      <c r="D80" s="6">
        <v>-1</v>
      </c>
      <c r="E80" s="6">
        <v>-1</v>
      </c>
      <c r="F80" s="6">
        <v>-1</v>
      </c>
    </row>
    <row r="81" spans="1:6" x14ac:dyDescent="0.3">
      <c r="A81" s="6"/>
      <c r="B81" s="6" t="s">
        <v>572</v>
      </c>
      <c r="C81" s="6">
        <v>-1</v>
      </c>
      <c r="D81" s="6">
        <v>-1</v>
      </c>
      <c r="E81" s="6">
        <v>-1</v>
      </c>
      <c r="F81" s="6">
        <v>-1</v>
      </c>
    </row>
    <row r="82" spans="1:6" x14ac:dyDescent="0.3">
      <c r="A82" s="6" t="s">
        <v>2376</v>
      </c>
      <c r="B82" s="6" t="s">
        <v>354</v>
      </c>
      <c r="C82" s="6">
        <v>29</v>
      </c>
      <c r="D82" s="6">
        <v>33</v>
      </c>
      <c r="E82" s="6">
        <v>49</v>
      </c>
      <c r="F82" s="6"/>
    </row>
    <row r="83" spans="1:6" x14ac:dyDescent="0.3">
      <c r="A83" s="6" t="s">
        <v>2411</v>
      </c>
      <c r="B83" s="6" t="s">
        <v>354</v>
      </c>
      <c r="C83" s="6"/>
      <c r="D83" s="6">
        <v>57</v>
      </c>
      <c r="E83" s="6">
        <v>57</v>
      </c>
      <c r="F83" s="6">
        <v>50</v>
      </c>
    </row>
    <row r="84" spans="1:6" x14ac:dyDescent="0.3">
      <c r="A84" s="6"/>
      <c r="B84" s="6" t="s">
        <v>604</v>
      </c>
      <c r="C84" s="6">
        <v>-1</v>
      </c>
      <c r="D84" s="6">
        <v>-1</v>
      </c>
      <c r="E84" s="6">
        <v>-1</v>
      </c>
      <c r="F84" s="6">
        <v>-1</v>
      </c>
    </row>
    <row r="85" spans="1:6" x14ac:dyDescent="0.3">
      <c r="A85" s="6"/>
      <c r="B85" s="6" t="s">
        <v>604</v>
      </c>
      <c r="C85" s="6">
        <v>-1</v>
      </c>
      <c r="D85" s="6">
        <v>-1</v>
      </c>
      <c r="E85" s="6">
        <v>-1</v>
      </c>
      <c r="F85" s="6">
        <v>-1</v>
      </c>
    </row>
    <row r="86" spans="1:6" x14ac:dyDescent="0.3">
      <c r="A86" s="6"/>
      <c r="B86" s="6" t="s">
        <v>694</v>
      </c>
      <c r="C86" s="6">
        <v>-1</v>
      </c>
      <c r="D86" s="6">
        <v>-1</v>
      </c>
      <c r="E86" s="6">
        <v>-1</v>
      </c>
      <c r="F86" s="6">
        <v>-1</v>
      </c>
    </row>
    <row r="87" spans="1:6" x14ac:dyDescent="0.3">
      <c r="A87" s="6"/>
      <c r="B87" s="6" t="s">
        <v>694</v>
      </c>
      <c r="C87" s="6">
        <v>-1</v>
      </c>
      <c r="D87" s="6">
        <v>-1</v>
      </c>
      <c r="E87" s="6">
        <v>-1</v>
      </c>
      <c r="F87" s="6">
        <v>-1</v>
      </c>
    </row>
    <row r="88" spans="1:6" x14ac:dyDescent="0.3">
      <c r="A88" s="6"/>
      <c r="B88" s="6" t="s">
        <v>394</v>
      </c>
      <c r="C88" s="6">
        <v>-1</v>
      </c>
      <c r="D88" s="6">
        <v>-1</v>
      </c>
      <c r="E88" s="6">
        <v>-1</v>
      </c>
      <c r="F88" s="6">
        <v>-1</v>
      </c>
    </row>
    <row r="89" spans="1:6" x14ac:dyDescent="0.3">
      <c r="A89" s="6"/>
      <c r="B89" s="6" t="s">
        <v>394</v>
      </c>
      <c r="C89" s="6">
        <v>-1</v>
      </c>
      <c r="D89" s="6">
        <v>-1</v>
      </c>
      <c r="E89" s="6">
        <v>-1</v>
      </c>
      <c r="F89" s="6">
        <v>-1</v>
      </c>
    </row>
    <row r="90" spans="1:6" x14ac:dyDescent="0.3">
      <c r="A90" s="6" t="s">
        <v>4775</v>
      </c>
      <c r="B90" s="6" t="s">
        <v>726</v>
      </c>
      <c r="C90" s="6"/>
      <c r="D90" s="6">
        <v>67</v>
      </c>
      <c r="E90" s="6">
        <v>61</v>
      </c>
      <c r="F90" s="6">
        <v>59</v>
      </c>
    </row>
    <row r="91" spans="1:6" x14ac:dyDescent="0.3">
      <c r="A91" s="6" t="s">
        <v>4776</v>
      </c>
      <c r="B91" s="6" t="s">
        <v>726</v>
      </c>
      <c r="C91" s="6"/>
      <c r="D91" s="6">
        <v>69</v>
      </c>
      <c r="E91" s="6">
        <v>67</v>
      </c>
      <c r="F91" s="6">
        <v>64</v>
      </c>
    </row>
    <row r="92" spans="1:6" x14ac:dyDescent="0.3">
      <c r="A92" s="6"/>
      <c r="B92" s="6" t="s">
        <v>428</v>
      </c>
      <c r="C92" s="6">
        <v>-1</v>
      </c>
      <c r="D92" s="6">
        <v>-1</v>
      </c>
      <c r="E92" s="6">
        <v>-1</v>
      </c>
      <c r="F92" s="6">
        <v>-1</v>
      </c>
    </row>
    <row r="93" spans="1:6" x14ac:dyDescent="0.3">
      <c r="A93" s="6"/>
      <c r="B93" s="6" t="s">
        <v>428</v>
      </c>
      <c r="C93" s="6">
        <v>-1</v>
      </c>
      <c r="D93" s="6">
        <v>-1</v>
      </c>
      <c r="E93" s="6">
        <v>-1</v>
      </c>
      <c r="F93" s="6">
        <v>-1</v>
      </c>
    </row>
    <row r="94" spans="1:6" x14ac:dyDescent="0.3">
      <c r="A94" s="6" t="s">
        <v>3490</v>
      </c>
      <c r="B94" s="6" t="s">
        <v>614</v>
      </c>
      <c r="C94" s="6"/>
      <c r="D94" s="6">
        <v>1001</v>
      </c>
      <c r="E94" s="6"/>
      <c r="F94" s="6">
        <v>76</v>
      </c>
    </row>
    <row r="95" spans="1:6" x14ac:dyDescent="0.3">
      <c r="A95" s="6"/>
      <c r="B95" s="6" t="s">
        <v>614</v>
      </c>
      <c r="C95" s="6">
        <v>-1</v>
      </c>
      <c r="D95" s="6">
        <v>-1</v>
      </c>
      <c r="E95" s="6">
        <v>-1</v>
      </c>
      <c r="F95" s="6">
        <v>-1</v>
      </c>
    </row>
    <row r="96" spans="1:6" x14ac:dyDescent="0.3">
      <c r="A96" s="6" t="s">
        <v>1777</v>
      </c>
      <c r="B96" s="6" t="s">
        <v>328</v>
      </c>
      <c r="C96" s="6">
        <v>1001</v>
      </c>
      <c r="D96" s="6">
        <v>78</v>
      </c>
      <c r="E96" s="6">
        <v>68</v>
      </c>
      <c r="F96" s="6">
        <v>53</v>
      </c>
    </row>
    <row r="97" spans="1:6" x14ac:dyDescent="0.3">
      <c r="A97" s="6" t="s">
        <v>4282</v>
      </c>
      <c r="B97" s="6" t="s">
        <v>328</v>
      </c>
      <c r="C97" s="6">
        <v>1001</v>
      </c>
      <c r="D97" s="6">
        <v>66</v>
      </c>
      <c r="E97" s="6">
        <v>55</v>
      </c>
      <c r="F97" s="6">
        <v>69</v>
      </c>
    </row>
    <row r="98" spans="1:6" x14ac:dyDescent="0.3">
      <c r="A98" s="6"/>
      <c r="B98" s="6" t="s">
        <v>500</v>
      </c>
      <c r="C98" s="6">
        <v>-1</v>
      </c>
      <c r="D98" s="6">
        <v>-1</v>
      </c>
      <c r="E98" s="6">
        <v>-1</v>
      </c>
      <c r="F98" s="6">
        <v>-1</v>
      </c>
    </row>
    <row r="99" spans="1:6" x14ac:dyDescent="0.3">
      <c r="A99" s="6"/>
      <c r="B99" s="6" t="s">
        <v>700</v>
      </c>
      <c r="C99" s="6">
        <v>-1</v>
      </c>
      <c r="D99" s="6">
        <v>-1</v>
      </c>
      <c r="E99" s="6">
        <v>-1</v>
      </c>
      <c r="F99" s="6">
        <v>-1</v>
      </c>
    </row>
    <row r="100" spans="1:6" x14ac:dyDescent="0.3">
      <c r="A100" s="6" t="s">
        <v>3537</v>
      </c>
      <c r="B100" s="6" t="s">
        <v>450</v>
      </c>
      <c r="C100" s="6"/>
      <c r="D100" s="6">
        <v>97</v>
      </c>
      <c r="E100" s="6"/>
      <c r="F100" s="6">
        <v>66</v>
      </c>
    </row>
    <row r="101" spans="1:6" x14ac:dyDescent="0.3">
      <c r="A101" s="6"/>
      <c r="B101" s="6" t="s">
        <v>368</v>
      </c>
      <c r="C101" s="6">
        <v>-1</v>
      </c>
      <c r="D101" s="6">
        <v>-1</v>
      </c>
      <c r="E101" s="6">
        <v>-1</v>
      </c>
      <c r="F101" s="6">
        <v>-1</v>
      </c>
    </row>
    <row r="102" spans="1:6" x14ac:dyDescent="0.3">
      <c r="A102" s="6"/>
      <c r="B102" s="6" t="s">
        <v>406</v>
      </c>
      <c r="C102" s="6">
        <v>-1</v>
      </c>
      <c r="D102" s="6">
        <v>-1</v>
      </c>
      <c r="E102" s="6">
        <v>-1</v>
      </c>
      <c r="F102" s="6">
        <v>-1</v>
      </c>
    </row>
    <row r="103" spans="1:6" x14ac:dyDescent="0.3">
      <c r="A103" s="6" t="s">
        <v>3092</v>
      </c>
      <c r="B103" s="6" t="s">
        <v>336</v>
      </c>
      <c r="C103" s="6"/>
      <c r="D103" s="6">
        <v>1001</v>
      </c>
      <c r="E103" s="6"/>
      <c r="F103" s="6">
        <v>72</v>
      </c>
    </row>
    <row r="104" spans="1:6" x14ac:dyDescent="0.3">
      <c r="A104" s="6"/>
      <c r="B104" s="6" t="s">
        <v>620</v>
      </c>
      <c r="C104" s="6">
        <v>-1</v>
      </c>
      <c r="D104" s="6">
        <v>-1</v>
      </c>
      <c r="E104" s="6">
        <v>-1</v>
      </c>
      <c r="F104" s="6">
        <v>-1</v>
      </c>
    </row>
    <row r="105" spans="1:6" x14ac:dyDescent="0.3">
      <c r="A105" s="6"/>
      <c r="B105" s="6" t="s">
        <v>340</v>
      </c>
      <c r="C105" s="6">
        <v>-1</v>
      </c>
      <c r="D105" s="6">
        <v>-1</v>
      </c>
      <c r="E105" s="6">
        <v>-1</v>
      </c>
      <c r="F105" s="6">
        <v>-1</v>
      </c>
    </row>
    <row r="106" spans="1:6" x14ac:dyDescent="0.3">
      <c r="A106" s="6"/>
      <c r="B106" s="6" t="s">
        <v>342</v>
      </c>
      <c r="C106" s="6">
        <v>-1</v>
      </c>
      <c r="D106" s="6">
        <v>-1</v>
      </c>
      <c r="E106" s="6">
        <v>-1</v>
      </c>
      <c r="F106" s="6">
        <v>-1</v>
      </c>
    </row>
    <row r="107" spans="1:6" x14ac:dyDescent="0.3">
      <c r="A107" s="6"/>
      <c r="B107" s="6" t="s">
        <v>506</v>
      </c>
      <c r="C107" s="6">
        <v>-1</v>
      </c>
      <c r="D107" s="6">
        <v>-1</v>
      </c>
      <c r="E107" s="6">
        <v>-1</v>
      </c>
      <c r="F107" s="6">
        <v>-1</v>
      </c>
    </row>
    <row r="108" spans="1:6" x14ac:dyDescent="0.3">
      <c r="A108" s="6"/>
      <c r="B108" s="6" t="s">
        <v>364</v>
      </c>
      <c r="C108" s="6">
        <v>-1</v>
      </c>
      <c r="D108" s="6">
        <v>-1</v>
      </c>
      <c r="E108" s="6">
        <v>-1</v>
      </c>
      <c r="F108" s="6">
        <v>-1</v>
      </c>
    </row>
    <row r="109" spans="1:6" x14ac:dyDescent="0.3">
      <c r="A109" s="6"/>
      <c r="B109" s="6" t="s">
        <v>364</v>
      </c>
      <c r="C109" s="6">
        <v>-1</v>
      </c>
      <c r="D109" s="6">
        <v>-1</v>
      </c>
      <c r="E109" s="6">
        <v>-1</v>
      </c>
      <c r="F109" s="6">
        <v>-1</v>
      </c>
    </row>
    <row r="110" spans="1:6" x14ac:dyDescent="0.3">
      <c r="A110" s="6"/>
      <c r="B110" s="6" t="s">
        <v>364</v>
      </c>
      <c r="C110" s="6">
        <v>-1</v>
      </c>
      <c r="D110" s="6">
        <v>-1</v>
      </c>
      <c r="E110" s="6">
        <v>-1</v>
      </c>
      <c r="F110" s="6">
        <v>-1</v>
      </c>
    </row>
    <row r="111" spans="1:6" x14ac:dyDescent="0.3">
      <c r="A111" s="6"/>
      <c r="B111" s="6" t="s">
        <v>338</v>
      </c>
      <c r="C111" s="6">
        <v>-1</v>
      </c>
      <c r="D111" s="6">
        <v>-1</v>
      </c>
      <c r="E111" s="6">
        <v>-1</v>
      </c>
      <c r="F111" s="6">
        <v>-1</v>
      </c>
    </row>
    <row r="112" spans="1:6" x14ac:dyDescent="0.3">
      <c r="A112" s="6"/>
      <c r="B112" s="6" t="s">
        <v>338</v>
      </c>
      <c r="C112" s="6">
        <v>-1</v>
      </c>
      <c r="D112" s="6">
        <v>-1</v>
      </c>
      <c r="E112" s="6">
        <v>-1</v>
      </c>
      <c r="F112" s="6">
        <v>-1</v>
      </c>
    </row>
    <row r="113" spans="1:6" x14ac:dyDescent="0.3">
      <c r="A113" s="6"/>
      <c r="B113" s="6" t="s">
        <v>338</v>
      </c>
      <c r="C113" s="6">
        <v>-1</v>
      </c>
      <c r="D113" s="6">
        <v>-1</v>
      </c>
      <c r="E113" s="6">
        <v>-1</v>
      </c>
      <c r="F113" s="6">
        <v>-1</v>
      </c>
    </row>
    <row r="114" spans="1:6" x14ac:dyDescent="0.3">
      <c r="A114" s="6"/>
      <c r="B114" s="6" t="s">
        <v>334</v>
      </c>
      <c r="C114" s="6">
        <v>-1</v>
      </c>
      <c r="D114" s="6">
        <v>-1</v>
      </c>
      <c r="E114" s="6">
        <v>-1</v>
      </c>
      <c r="F114" s="6">
        <v>-1</v>
      </c>
    </row>
    <row r="115" spans="1:6" x14ac:dyDescent="0.3">
      <c r="A115" s="6"/>
      <c r="B115" s="6" t="s">
        <v>334</v>
      </c>
      <c r="C115" s="6">
        <v>-1</v>
      </c>
      <c r="D115" s="6">
        <v>-1</v>
      </c>
      <c r="E115" s="6">
        <v>-1</v>
      </c>
      <c r="F115" s="6">
        <v>-1</v>
      </c>
    </row>
    <row r="116" spans="1:6" x14ac:dyDescent="0.3">
      <c r="A116" s="6"/>
      <c r="B116" s="6" t="s">
        <v>334</v>
      </c>
      <c r="C116" s="6">
        <v>-1</v>
      </c>
      <c r="D116" s="6">
        <v>-1</v>
      </c>
      <c r="E116" s="6">
        <v>-1</v>
      </c>
      <c r="F116" s="6">
        <v>-1</v>
      </c>
    </row>
    <row r="117" spans="1:6" x14ac:dyDescent="0.3">
      <c r="A117" s="6"/>
      <c r="B117" s="6" t="s">
        <v>372</v>
      </c>
      <c r="C117" s="6">
        <v>-1</v>
      </c>
      <c r="D117" s="6">
        <v>-1</v>
      </c>
      <c r="E117" s="6">
        <v>-1</v>
      </c>
      <c r="F117" s="6">
        <v>-1</v>
      </c>
    </row>
    <row r="118" spans="1:6" x14ac:dyDescent="0.3">
      <c r="A118" s="6"/>
      <c r="B118" s="6" t="s">
        <v>372</v>
      </c>
      <c r="C118" s="6">
        <v>-1</v>
      </c>
      <c r="D118" s="6">
        <v>-1</v>
      </c>
      <c r="E118" s="6">
        <v>-1</v>
      </c>
      <c r="F118" s="6">
        <v>-1</v>
      </c>
    </row>
    <row r="119" spans="1:6" x14ac:dyDescent="0.3">
      <c r="A119" s="6"/>
      <c r="B119" s="6" t="s">
        <v>372</v>
      </c>
      <c r="C119" s="6">
        <v>-1</v>
      </c>
      <c r="D119" s="6">
        <v>-1</v>
      </c>
      <c r="E119" s="6">
        <v>-1</v>
      </c>
      <c r="F119" s="6">
        <v>-1</v>
      </c>
    </row>
    <row r="120" spans="1:6" x14ac:dyDescent="0.3">
      <c r="A120" s="6" t="s">
        <v>4813</v>
      </c>
      <c r="B120" s="6" t="s">
        <v>332</v>
      </c>
      <c r="C120" s="6">
        <v>5</v>
      </c>
      <c r="D120" s="6">
        <v>3</v>
      </c>
      <c r="E120" s="6">
        <v>8</v>
      </c>
      <c r="F120" s="6">
        <v>17</v>
      </c>
    </row>
    <row r="121" spans="1:6" x14ac:dyDescent="0.3">
      <c r="A121" s="6"/>
      <c r="B121" s="6" t="s">
        <v>332</v>
      </c>
      <c r="C121" s="6">
        <v>-1</v>
      </c>
      <c r="D121" s="6">
        <v>-1</v>
      </c>
      <c r="E121" s="6">
        <v>-1</v>
      </c>
      <c r="F121" s="6">
        <v>-1</v>
      </c>
    </row>
    <row r="122" spans="1:6" x14ac:dyDescent="0.3">
      <c r="A122" s="6"/>
      <c r="B122" s="6" t="s">
        <v>332</v>
      </c>
      <c r="C122" s="6">
        <v>-1</v>
      </c>
      <c r="D122" s="6">
        <v>-1</v>
      </c>
      <c r="E122" s="6">
        <v>-1</v>
      </c>
      <c r="F122" s="6">
        <v>-1</v>
      </c>
    </row>
    <row r="123" spans="1:6" x14ac:dyDescent="0.3">
      <c r="A123" s="6"/>
      <c r="B123" s="6" t="s">
        <v>444</v>
      </c>
      <c r="C123" s="6">
        <v>-1</v>
      </c>
      <c r="D123" s="6">
        <v>-1</v>
      </c>
      <c r="E123" s="6">
        <v>-1</v>
      </c>
      <c r="F123" s="6">
        <v>-1</v>
      </c>
    </row>
    <row r="124" spans="1:6" x14ac:dyDescent="0.3">
      <c r="A124" s="6"/>
      <c r="B124" s="6" t="s">
        <v>444</v>
      </c>
      <c r="C124" s="6">
        <v>-1</v>
      </c>
      <c r="D124" s="6">
        <v>-1</v>
      </c>
      <c r="E124" s="6">
        <v>-1</v>
      </c>
      <c r="F124" s="6">
        <v>-1</v>
      </c>
    </row>
    <row r="125" spans="1:6" x14ac:dyDescent="0.3">
      <c r="A125" s="6"/>
      <c r="B125" s="6" t="s">
        <v>356</v>
      </c>
      <c r="C125" s="6">
        <v>-1</v>
      </c>
      <c r="D125" s="6">
        <v>-1</v>
      </c>
      <c r="E125" s="6">
        <v>-1</v>
      </c>
      <c r="F125" s="6">
        <v>-1</v>
      </c>
    </row>
    <row r="126" spans="1:6" x14ac:dyDescent="0.3">
      <c r="A126" s="6"/>
      <c r="B126" s="6" t="s">
        <v>356</v>
      </c>
      <c r="C126" s="6">
        <v>-1</v>
      </c>
      <c r="D126" s="6">
        <v>-1</v>
      </c>
      <c r="E126" s="6">
        <v>-1</v>
      </c>
      <c r="F126" s="6">
        <v>-1</v>
      </c>
    </row>
    <row r="127" spans="1:6" x14ac:dyDescent="0.3">
      <c r="A127" s="6"/>
      <c r="B127" s="6" t="s">
        <v>344</v>
      </c>
      <c r="C127" s="6">
        <v>-1</v>
      </c>
      <c r="D127" s="6">
        <v>-1</v>
      </c>
      <c r="E127" s="6">
        <v>-1</v>
      </c>
      <c r="F127" s="6">
        <v>-1</v>
      </c>
    </row>
    <row r="128" spans="1:6" x14ac:dyDescent="0.3">
      <c r="A128" s="6"/>
      <c r="B128" s="6" t="s">
        <v>344</v>
      </c>
      <c r="C128" s="6">
        <v>-1</v>
      </c>
      <c r="D128" s="6">
        <v>-1</v>
      </c>
      <c r="E128" s="6">
        <v>-1</v>
      </c>
      <c r="F128" s="6">
        <v>-1</v>
      </c>
    </row>
    <row r="129" spans="1:6" x14ac:dyDescent="0.3">
      <c r="A129" s="6"/>
      <c r="B129" s="6" t="s">
        <v>384</v>
      </c>
      <c r="C129" s="6">
        <v>-1</v>
      </c>
      <c r="D129" s="6">
        <v>-1</v>
      </c>
      <c r="E129" s="6">
        <v>-1</v>
      </c>
      <c r="F129" s="6">
        <v>-1</v>
      </c>
    </row>
    <row r="130" spans="1:6" x14ac:dyDescent="0.3">
      <c r="A130" s="6"/>
      <c r="B130" s="6" t="s">
        <v>384</v>
      </c>
      <c r="C130" s="6">
        <v>-1</v>
      </c>
      <c r="D130" s="6">
        <v>-1</v>
      </c>
      <c r="E130" s="6">
        <v>-1</v>
      </c>
      <c r="F130" s="6">
        <v>-1</v>
      </c>
    </row>
    <row r="131" spans="1:6" x14ac:dyDescent="0.3">
      <c r="A131" s="6" t="s">
        <v>3603</v>
      </c>
      <c r="B131" s="6" t="s">
        <v>442</v>
      </c>
      <c r="C131" s="6">
        <v>18</v>
      </c>
      <c r="D131" s="6"/>
      <c r="E131" s="6">
        <v>32</v>
      </c>
      <c r="F131" s="6"/>
    </row>
    <row r="132" spans="1:6" x14ac:dyDescent="0.3">
      <c r="A132" s="6"/>
      <c r="B132" s="6" t="s">
        <v>442</v>
      </c>
      <c r="C132" s="6">
        <v>-1</v>
      </c>
      <c r="D132" s="6">
        <v>-1</v>
      </c>
      <c r="E132" s="6">
        <v>-1</v>
      </c>
      <c r="F132" s="6">
        <v>-1</v>
      </c>
    </row>
    <row r="133" spans="1:6" x14ac:dyDescent="0.3">
      <c r="A133" s="6"/>
      <c r="B133" s="6" t="s">
        <v>358</v>
      </c>
      <c r="C133" s="6">
        <v>-1</v>
      </c>
      <c r="D133" s="6">
        <v>-1</v>
      </c>
      <c r="E133" s="6">
        <v>-1</v>
      </c>
      <c r="F133" s="6">
        <v>-1</v>
      </c>
    </row>
    <row r="134" spans="1:6" x14ac:dyDescent="0.3">
      <c r="A134" s="6"/>
      <c r="B134" s="6" t="s">
        <v>572</v>
      </c>
      <c r="C134" s="6">
        <v>-1</v>
      </c>
      <c r="D134" s="6">
        <v>-1</v>
      </c>
      <c r="E134" s="6">
        <v>-1</v>
      </c>
      <c r="F134" s="6">
        <v>-1</v>
      </c>
    </row>
    <row r="135" spans="1:6" x14ac:dyDescent="0.3">
      <c r="A135" s="6"/>
      <c r="B135" s="6" t="s">
        <v>354</v>
      </c>
      <c r="C135" s="6">
        <v>-1</v>
      </c>
      <c r="D135" s="6">
        <v>-1</v>
      </c>
      <c r="E135" s="6">
        <v>-1</v>
      </c>
      <c r="F135" s="6">
        <v>-1</v>
      </c>
    </row>
    <row r="136" spans="1:6" x14ac:dyDescent="0.3">
      <c r="A136" s="6"/>
      <c r="B136" s="6" t="s">
        <v>604</v>
      </c>
      <c r="C136" s="6">
        <v>-1</v>
      </c>
      <c r="D136" s="6">
        <v>-1</v>
      </c>
      <c r="E136" s="6">
        <v>-1</v>
      </c>
      <c r="F136" s="6">
        <v>-1</v>
      </c>
    </row>
    <row r="137" spans="1:6" x14ac:dyDescent="0.3">
      <c r="A137" s="6"/>
      <c r="B137" s="6" t="s">
        <v>694</v>
      </c>
      <c r="C137" s="6">
        <v>-1</v>
      </c>
      <c r="D137" s="6">
        <v>-1</v>
      </c>
      <c r="E137" s="6">
        <v>-1</v>
      </c>
      <c r="F137" s="6">
        <v>-1</v>
      </c>
    </row>
    <row r="138" spans="1:6" x14ac:dyDescent="0.3">
      <c r="A138" s="6"/>
      <c r="B138" s="6" t="s">
        <v>394</v>
      </c>
      <c r="C138" s="6">
        <v>-1</v>
      </c>
      <c r="D138" s="6">
        <v>-1</v>
      </c>
      <c r="E138" s="6">
        <v>-1</v>
      </c>
      <c r="F138" s="6">
        <v>-1</v>
      </c>
    </row>
    <row r="139" spans="1:6" x14ac:dyDescent="0.3">
      <c r="A139" s="6"/>
      <c r="B139" s="6" t="s">
        <v>726</v>
      </c>
      <c r="C139" s="6">
        <v>-1</v>
      </c>
      <c r="D139" s="6">
        <v>-1</v>
      </c>
      <c r="E139" s="6">
        <v>-1</v>
      </c>
      <c r="F139" s="6">
        <v>-1</v>
      </c>
    </row>
    <row r="140" spans="1:6" x14ac:dyDescent="0.3">
      <c r="A140" s="6"/>
      <c r="B140" s="6" t="s">
        <v>428</v>
      </c>
      <c r="C140" s="6">
        <v>-1</v>
      </c>
      <c r="D140" s="6">
        <v>-1</v>
      </c>
      <c r="E140" s="6">
        <v>-1</v>
      </c>
      <c r="F140" s="6">
        <v>-1</v>
      </c>
    </row>
    <row r="141" spans="1:6" x14ac:dyDescent="0.3">
      <c r="A141" s="6"/>
      <c r="B141" s="6" t="s">
        <v>614</v>
      </c>
      <c r="C141" s="6">
        <v>-1</v>
      </c>
      <c r="D141" s="6">
        <v>-1</v>
      </c>
      <c r="E141" s="6">
        <v>-1</v>
      </c>
      <c r="F141" s="6">
        <v>-1</v>
      </c>
    </row>
    <row r="142" spans="1:6" x14ac:dyDescent="0.3">
      <c r="A142" s="6" t="s">
        <v>4289</v>
      </c>
      <c r="B142" s="6" t="s">
        <v>328</v>
      </c>
      <c r="C142" s="6">
        <v>1001</v>
      </c>
      <c r="D142" s="6">
        <v>72</v>
      </c>
      <c r="E142" s="6">
        <v>64</v>
      </c>
      <c r="F142" s="6">
        <v>84</v>
      </c>
    </row>
    <row r="143" spans="1:6" x14ac:dyDescent="0.3">
      <c r="A143" s="6"/>
      <c r="B143" s="6" t="s">
        <v>674</v>
      </c>
      <c r="C143" s="6">
        <v>-1</v>
      </c>
      <c r="D143" s="6">
        <v>-1</v>
      </c>
      <c r="E143" s="6">
        <v>-1</v>
      </c>
      <c r="F143" s="6">
        <v>-1</v>
      </c>
    </row>
    <row r="144" spans="1:6" x14ac:dyDescent="0.3">
      <c r="A144" s="6"/>
      <c r="B144" s="6" t="s">
        <v>518</v>
      </c>
      <c r="C144" s="6">
        <v>-1</v>
      </c>
      <c r="D144" s="6">
        <v>-1</v>
      </c>
      <c r="E144" s="6">
        <v>-1</v>
      </c>
      <c r="F144" s="6">
        <v>-1</v>
      </c>
    </row>
    <row r="145" spans="1:6" x14ac:dyDescent="0.3">
      <c r="A145" s="6" t="s">
        <v>4276</v>
      </c>
      <c r="B145" s="6" t="s">
        <v>478</v>
      </c>
      <c r="C145" s="6"/>
      <c r="D145" s="6">
        <v>84</v>
      </c>
      <c r="E145" s="6"/>
      <c r="F145" s="6"/>
    </row>
    <row r="146" spans="1:6" x14ac:dyDescent="0.3">
      <c r="A146" s="6"/>
      <c r="B146" s="6" t="s">
        <v>624</v>
      </c>
      <c r="C146" s="6">
        <v>-1</v>
      </c>
      <c r="D146" s="6">
        <v>-1</v>
      </c>
      <c r="E146" s="6">
        <v>-1</v>
      </c>
      <c r="F146" s="6">
        <v>-1</v>
      </c>
    </row>
    <row r="147" spans="1:6" x14ac:dyDescent="0.3">
      <c r="A147" s="6"/>
      <c r="B147" s="6" t="s">
        <v>530</v>
      </c>
      <c r="C147" s="6">
        <v>-1</v>
      </c>
      <c r="D147" s="6">
        <v>-1</v>
      </c>
      <c r="E147" s="6">
        <v>-1</v>
      </c>
      <c r="F147" s="6">
        <v>-1</v>
      </c>
    </row>
    <row r="148" spans="1:6" x14ac:dyDescent="0.3">
      <c r="A148" s="6"/>
      <c r="B148" s="6" t="s">
        <v>390</v>
      </c>
      <c r="C148" s="6">
        <v>-1</v>
      </c>
      <c r="D148" s="6">
        <v>-1</v>
      </c>
      <c r="E148" s="6">
        <v>-1</v>
      </c>
      <c r="F148" s="6">
        <v>-1</v>
      </c>
    </row>
    <row r="149" spans="1:6" x14ac:dyDescent="0.3">
      <c r="A149" s="6"/>
      <c r="B149" s="6" t="s">
        <v>444</v>
      </c>
      <c r="C149" s="6">
        <v>-1</v>
      </c>
      <c r="D149" s="6">
        <v>-1</v>
      </c>
      <c r="E149" s="6">
        <v>-1</v>
      </c>
      <c r="F149" s="6">
        <v>-1</v>
      </c>
    </row>
    <row r="150" spans="1:6" x14ac:dyDescent="0.3">
      <c r="A150" s="6"/>
      <c r="B150" s="6" t="s">
        <v>356</v>
      </c>
      <c r="C150" s="6">
        <v>-1</v>
      </c>
      <c r="D150" s="6">
        <v>-1</v>
      </c>
      <c r="E150" s="6">
        <v>-1</v>
      </c>
      <c r="F150" s="6">
        <v>-1</v>
      </c>
    </row>
    <row r="151" spans="1:6" x14ac:dyDescent="0.3">
      <c r="A151" s="6"/>
      <c r="B151" s="6" t="s">
        <v>344</v>
      </c>
      <c r="C151" s="6">
        <v>-1</v>
      </c>
      <c r="D151" s="6">
        <v>-1</v>
      </c>
      <c r="E151" s="6">
        <v>-1</v>
      </c>
      <c r="F151" s="6">
        <v>-1</v>
      </c>
    </row>
    <row r="152" spans="1:6" x14ac:dyDescent="0.3">
      <c r="A152" s="6"/>
      <c r="B152" s="6" t="s">
        <v>384</v>
      </c>
      <c r="C152" s="6">
        <v>-1</v>
      </c>
      <c r="D152" s="6">
        <v>-1</v>
      </c>
      <c r="E152" s="6">
        <v>-1</v>
      </c>
      <c r="F152" s="6">
        <v>-1</v>
      </c>
    </row>
    <row r="153" spans="1:6" x14ac:dyDescent="0.3">
      <c r="A153" s="6"/>
      <c r="B153" s="6" t="s">
        <v>442</v>
      </c>
      <c r="C153" s="6">
        <v>-1</v>
      </c>
      <c r="D153" s="6">
        <v>-1</v>
      </c>
      <c r="E153" s="6">
        <v>-1</v>
      </c>
      <c r="F153" s="6">
        <v>-1</v>
      </c>
    </row>
    <row r="154" spans="1:6" x14ac:dyDescent="0.3">
      <c r="A154" s="6"/>
      <c r="B154" s="6" t="s">
        <v>358</v>
      </c>
      <c r="C154" s="6">
        <v>-1</v>
      </c>
      <c r="D154" s="6">
        <v>-1</v>
      </c>
      <c r="E154" s="6">
        <v>-1</v>
      </c>
      <c r="F154" s="6">
        <v>-1</v>
      </c>
    </row>
    <row r="155" spans="1:6" x14ac:dyDescent="0.3">
      <c r="A155" s="6"/>
      <c r="B155" s="6" t="s">
        <v>572</v>
      </c>
      <c r="C155" s="6">
        <v>-1</v>
      </c>
      <c r="D155" s="6">
        <v>-1</v>
      </c>
      <c r="E155" s="6">
        <v>-1</v>
      </c>
      <c r="F155" s="6">
        <v>-1</v>
      </c>
    </row>
  </sheetData>
  <pageMargins left="0.7" right="0.7" top="0.75" bottom="0.75" header="0.3" footer="0.3"/>
  <tableParts count="1">
    <tablePart r:id="rId1"/>
  </tableParts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ED86ED-E003-4568-A2AF-B1C8C59555FB}">
  <dimension ref="A1:F54"/>
  <sheetViews>
    <sheetView topLeftCell="A43" workbookViewId="0">
      <selection activeCell="B55" sqref="B55"/>
    </sheetView>
  </sheetViews>
  <sheetFormatPr defaultRowHeight="14.4" x14ac:dyDescent="0.3"/>
  <cols>
    <col min="1" max="1" width="36" bestFit="1" customWidth="1"/>
    <col min="2" max="2" width="14" bestFit="1" customWidth="1"/>
    <col min="3" max="3" width="30.6640625" bestFit="1" customWidth="1"/>
    <col min="4" max="4" width="33.5546875" bestFit="1" customWidth="1"/>
    <col min="5" max="5" width="17" bestFit="1" customWidth="1"/>
    <col min="6" max="6" width="14.77734375" bestFit="1" customWidth="1"/>
  </cols>
  <sheetData>
    <row r="1" spans="1:6" x14ac:dyDescent="0.3">
      <c r="A1" t="s">
        <v>833</v>
      </c>
      <c r="B1" t="s">
        <v>1</v>
      </c>
      <c r="C1" t="s">
        <v>1163</v>
      </c>
      <c r="D1" t="s">
        <v>1164</v>
      </c>
      <c r="E1" t="s">
        <v>1212</v>
      </c>
      <c r="F1" t="s">
        <v>1213</v>
      </c>
    </row>
    <row r="2" spans="1:6" x14ac:dyDescent="0.3">
      <c r="A2" s="6"/>
      <c r="B2" s="6" t="s">
        <v>340</v>
      </c>
      <c r="C2" s="6">
        <v>-1</v>
      </c>
      <c r="D2" s="6"/>
      <c r="E2" s="6">
        <f>Table116[[#This Row],[Total Athletes]]-(LEN(Table116[[#This Row],[Pair]])-LEN(SUBSTITUTE(Table116[[#This Row],[Pair]],"/","")))-1</f>
        <v>-1</v>
      </c>
      <c r="F2" s="6"/>
    </row>
    <row r="3" spans="1:6" x14ac:dyDescent="0.3">
      <c r="A3" s="6"/>
      <c r="B3" s="6" t="s">
        <v>354</v>
      </c>
      <c r="C3" s="6">
        <v>-1</v>
      </c>
      <c r="D3" s="6"/>
      <c r="E3" s="6">
        <f>Table116[[#This Row],[Total Athletes]]-(LEN(Table116[[#This Row],[Pair]])-LEN(SUBSTITUTE(Table116[[#This Row],[Pair]],"/","")))-1</f>
        <v>-1</v>
      </c>
      <c r="F3" s="6"/>
    </row>
    <row r="4" spans="1:6" x14ac:dyDescent="0.3">
      <c r="A4" s="6"/>
      <c r="B4" s="6" t="s">
        <v>358</v>
      </c>
      <c r="C4" s="6">
        <v>-1</v>
      </c>
      <c r="D4" s="6"/>
      <c r="E4" s="6">
        <f>Table116[[#This Row],[Total Athletes]]-(LEN(Table116[[#This Row],[Pair]])-LEN(SUBSTITUTE(Table116[[#This Row],[Pair]],"/","")))-1</f>
        <v>-1</v>
      </c>
      <c r="F4" s="6"/>
    </row>
    <row r="5" spans="1:6" x14ac:dyDescent="0.3">
      <c r="A5" s="6" t="s">
        <v>4368</v>
      </c>
      <c r="B5" s="6" t="s">
        <v>370</v>
      </c>
      <c r="C5" s="6">
        <v>22</v>
      </c>
      <c r="D5" s="6"/>
      <c r="E5" s="6">
        <f>Table116[[#This Row],[Total Athletes]]-(LEN(Table116[[#This Row],[Pair]])-LEN(SUBSTITUTE(Table116[[#This Row],[Pair]],"/","")))-1</f>
        <v>0</v>
      </c>
      <c r="F5" s="6">
        <v>2</v>
      </c>
    </row>
    <row r="6" spans="1:6" x14ac:dyDescent="0.3">
      <c r="A6" s="6" t="s">
        <v>2172</v>
      </c>
      <c r="B6" s="6" t="s">
        <v>384</v>
      </c>
      <c r="C6" s="6">
        <v>6</v>
      </c>
      <c r="D6" s="6"/>
      <c r="E6" s="6">
        <f>Table116[[#This Row],[Total Athletes]]-(LEN(Table116[[#This Row],[Pair]])-LEN(SUBSTITUTE(Table116[[#This Row],[Pair]],"/","")))-1</f>
        <v>1</v>
      </c>
      <c r="F6" s="6">
        <v>2</v>
      </c>
    </row>
    <row r="7" spans="1:6" x14ac:dyDescent="0.3">
      <c r="A7" s="6"/>
      <c r="B7" s="6" t="s">
        <v>328</v>
      </c>
      <c r="C7" s="6">
        <v>-1</v>
      </c>
      <c r="D7" s="6"/>
      <c r="E7" s="6">
        <f>Table116[[#This Row],[Total Athletes]]-(LEN(Table116[[#This Row],[Pair]])-LEN(SUBSTITUTE(Table116[[#This Row],[Pair]],"/","")))-1</f>
        <v>-1</v>
      </c>
      <c r="F7" s="6"/>
    </row>
    <row r="8" spans="1:6" x14ac:dyDescent="0.3">
      <c r="A8" s="6" t="s">
        <v>4799</v>
      </c>
      <c r="B8" s="6" t="s">
        <v>442</v>
      </c>
      <c r="C8" s="6">
        <v>8</v>
      </c>
      <c r="D8" s="6"/>
      <c r="E8" s="6">
        <f>Table116[[#This Row],[Total Athletes]]-(LEN(Table116[[#This Row],[Pair]])-LEN(SUBSTITUTE(Table116[[#This Row],[Pair]],"/","")))-1</f>
        <v>0</v>
      </c>
      <c r="F8" s="6">
        <v>2</v>
      </c>
    </row>
    <row r="9" spans="1:6" x14ac:dyDescent="0.3">
      <c r="A9" s="6"/>
      <c r="B9" s="6" t="s">
        <v>572</v>
      </c>
      <c r="C9" s="6">
        <v>-1</v>
      </c>
      <c r="D9" s="6"/>
      <c r="E9" s="6">
        <f>Table116[[#This Row],[Total Athletes]]-(LEN(Table116[[#This Row],[Pair]])-LEN(SUBSTITUTE(Table116[[#This Row],[Pair]],"/","")))-1</f>
        <v>-1</v>
      </c>
      <c r="F9" s="6"/>
    </row>
    <row r="10" spans="1:6" x14ac:dyDescent="0.3">
      <c r="A10" s="6"/>
      <c r="B10" s="6" t="s">
        <v>372</v>
      </c>
      <c r="C10" s="6">
        <v>-1</v>
      </c>
      <c r="D10" s="6"/>
      <c r="E10" s="6">
        <f>Table116[[#This Row],[Total Athletes]]-(LEN(Table116[[#This Row],[Pair]])-LEN(SUBSTITUTE(Table116[[#This Row],[Pair]],"/","")))-1</f>
        <v>-1</v>
      </c>
      <c r="F10" s="6"/>
    </row>
    <row r="11" spans="1:6" x14ac:dyDescent="0.3">
      <c r="A11" s="6"/>
      <c r="B11" s="6" t="s">
        <v>344</v>
      </c>
      <c r="C11" s="6">
        <v>-1</v>
      </c>
      <c r="D11" s="6"/>
      <c r="E11" s="6">
        <f>Table116[[#This Row],[Total Athletes]]-(LEN(Table116[[#This Row],[Pair]])-LEN(SUBSTITUTE(Table116[[#This Row],[Pair]],"/","")))-1</f>
        <v>-1</v>
      </c>
      <c r="F11" s="6"/>
    </row>
    <row r="12" spans="1:6" x14ac:dyDescent="0.3">
      <c r="A12" s="6" t="s">
        <v>3445</v>
      </c>
      <c r="B12" s="6" t="s">
        <v>334</v>
      </c>
      <c r="C12" s="6">
        <v>9</v>
      </c>
      <c r="D12" s="6"/>
      <c r="E12" s="6">
        <f>Table116[[#This Row],[Total Athletes]]-(LEN(Table116[[#This Row],[Pair]])-LEN(SUBSTITUTE(Table116[[#This Row],[Pair]],"/","")))-1</f>
        <v>1</v>
      </c>
      <c r="F12" s="6">
        <v>2</v>
      </c>
    </row>
    <row r="13" spans="1:6" x14ac:dyDescent="0.3">
      <c r="A13" s="6"/>
      <c r="B13" s="6" t="s">
        <v>402</v>
      </c>
      <c r="C13" s="6">
        <v>-1</v>
      </c>
      <c r="D13" s="6"/>
      <c r="E13" s="6">
        <f>Table116[[#This Row],[Total Athletes]]-(LEN(Table116[[#This Row],[Pair]])-LEN(SUBSTITUTE(Table116[[#This Row],[Pair]],"/","")))-1</f>
        <v>-1</v>
      </c>
      <c r="F13" s="6"/>
    </row>
    <row r="14" spans="1:6" x14ac:dyDescent="0.3">
      <c r="A14" s="6" t="s">
        <v>1868</v>
      </c>
      <c r="B14" s="6" t="s">
        <v>406</v>
      </c>
      <c r="C14" s="6">
        <v>26</v>
      </c>
      <c r="D14" s="6"/>
      <c r="E14" s="6">
        <f>Table116[[#This Row],[Total Athletes]]-(LEN(Table116[[#This Row],[Pair]])-LEN(SUBSTITUTE(Table116[[#This Row],[Pair]],"/","")))-1</f>
        <v>1</v>
      </c>
      <c r="F14" s="6">
        <v>2</v>
      </c>
    </row>
    <row r="15" spans="1:6" x14ac:dyDescent="0.3">
      <c r="A15" s="6" t="s">
        <v>4279</v>
      </c>
      <c r="B15" s="6" t="s">
        <v>356</v>
      </c>
      <c r="C15" s="6">
        <v>3</v>
      </c>
      <c r="D15" s="6"/>
      <c r="E15" s="6">
        <f>Table116[[#This Row],[Total Athletes]]-(LEN(Table116[[#This Row],[Pair]])-LEN(SUBSTITUTE(Table116[[#This Row],[Pair]],"/","")))-1</f>
        <v>1</v>
      </c>
      <c r="F15" s="6">
        <v>2</v>
      </c>
    </row>
    <row r="16" spans="1:6" x14ac:dyDescent="0.3">
      <c r="A16" s="6"/>
      <c r="B16" s="6" t="s">
        <v>604</v>
      </c>
      <c r="C16" s="6">
        <v>-1</v>
      </c>
      <c r="D16" s="6"/>
      <c r="E16" s="6">
        <f>Table116[[#This Row],[Total Athletes]]-(LEN(Table116[[#This Row],[Pair]])-LEN(SUBSTITUTE(Table116[[#This Row],[Pair]],"/","")))-1</f>
        <v>-1</v>
      </c>
      <c r="F16" s="6"/>
    </row>
    <row r="17" spans="1:6" x14ac:dyDescent="0.3">
      <c r="A17" s="6"/>
      <c r="B17" s="6" t="s">
        <v>614</v>
      </c>
      <c r="C17" s="6">
        <v>-1</v>
      </c>
      <c r="D17" s="6"/>
      <c r="E17" s="6">
        <f>Table116[[#This Row],[Total Athletes]]-(LEN(Table116[[#This Row],[Pair]])-LEN(SUBSTITUTE(Table116[[#This Row],[Pair]],"/","")))-1</f>
        <v>-1</v>
      </c>
      <c r="F17" s="6"/>
    </row>
    <row r="18" spans="1:6" x14ac:dyDescent="0.3">
      <c r="A18" s="6"/>
      <c r="B18" s="6" t="s">
        <v>620</v>
      </c>
      <c r="C18" s="6">
        <v>-1</v>
      </c>
      <c r="D18" s="6"/>
      <c r="E18" s="6">
        <f>Table116[[#This Row],[Total Athletes]]-(LEN(Table116[[#This Row],[Pair]])-LEN(SUBSTITUTE(Table116[[#This Row],[Pair]],"/","")))-1</f>
        <v>-1</v>
      </c>
      <c r="F18" s="6"/>
    </row>
    <row r="19" spans="1:6" x14ac:dyDescent="0.3">
      <c r="A19" s="6" t="s">
        <v>2511</v>
      </c>
      <c r="B19" s="6" t="s">
        <v>364</v>
      </c>
      <c r="C19" s="6">
        <v>1</v>
      </c>
      <c r="D19" s="6"/>
      <c r="E19" s="6">
        <f>Table116[[#This Row],[Total Athletes]]-(LEN(Table116[[#This Row],[Pair]])-LEN(SUBSTITUTE(Table116[[#This Row],[Pair]],"/","")))-1</f>
        <v>1</v>
      </c>
      <c r="F19" s="6">
        <v>2</v>
      </c>
    </row>
    <row r="20" spans="1:6" x14ac:dyDescent="0.3">
      <c r="A20" s="6"/>
      <c r="B20" s="6" t="s">
        <v>394</v>
      </c>
      <c r="C20" s="6">
        <v>-1</v>
      </c>
      <c r="D20" s="6"/>
      <c r="E20" s="6">
        <f>Table116[[#This Row],[Total Athletes]]-(LEN(Table116[[#This Row],[Pair]])-LEN(SUBSTITUTE(Table116[[#This Row],[Pair]],"/","")))-1</f>
        <v>-1</v>
      </c>
      <c r="F20" s="6"/>
    </row>
    <row r="21" spans="1:6" x14ac:dyDescent="0.3">
      <c r="A21" s="6"/>
      <c r="B21" s="6" t="s">
        <v>348</v>
      </c>
      <c r="C21" s="6">
        <v>-1</v>
      </c>
      <c r="D21" s="6"/>
      <c r="E21" s="6">
        <f>Table116[[#This Row],[Total Athletes]]-(LEN(Table116[[#This Row],[Pair]])-LEN(SUBSTITUTE(Table116[[#This Row],[Pair]],"/","")))-1</f>
        <v>-1</v>
      </c>
      <c r="F21" s="6"/>
    </row>
    <row r="22" spans="1:6" x14ac:dyDescent="0.3">
      <c r="A22" s="6" t="s">
        <v>3703</v>
      </c>
      <c r="B22" s="6" t="s">
        <v>408</v>
      </c>
      <c r="C22" s="6">
        <v>20</v>
      </c>
      <c r="D22" s="6"/>
      <c r="E22" s="6">
        <f>Table116[[#This Row],[Total Athletes]]-(LEN(Table116[[#This Row],[Pair]])-LEN(SUBSTITUTE(Table116[[#This Row],[Pair]],"/","")))-1</f>
        <v>1</v>
      </c>
      <c r="F22" s="6">
        <v>2</v>
      </c>
    </row>
    <row r="23" spans="1:6" x14ac:dyDescent="0.3">
      <c r="A23" s="6"/>
      <c r="B23" s="6" t="s">
        <v>694</v>
      </c>
      <c r="C23" s="6">
        <v>-1</v>
      </c>
      <c r="D23" s="6"/>
      <c r="E23" s="6">
        <f>Table116[[#This Row],[Total Athletes]]-(LEN(Table116[[#This Row],[Pair]])-LEN(SUBSTITUTE(Table116[[#This Row],[Pair]],"/","")))-1</f>
        <v>-1</v>
      </c>
      <c r="F23" s="6"/>
    </row>
    <row r="24" spans="1:6" x14ac:dyDescent="0.3">
      <c r="A24" s="6" t="s">
        <v>4571</v>
      </c>
      <c r="B24" s="6" t="s">
        <v>330</v>
      </c>
      <c r="C24" s="6">
        <v>15</v>
      </c>
      <c r="D24" s="6"/>
      <c r="E24" s="6">
        <f>Table116[[#This Row],[Total Athletes]]-(LEN(Table116[[#This Row],[Pair]])-LEN(SUBSTITUTE(Table116[[#This Row],[Pair]],"/","")))-1</f>
        <v>1</v>
      </c>
      <c r="F24" s="6">
        <v>2</v>
      </c>
    </row>
    <row r="25" spans="1:6" x14ac:dyDescent="0.3">
      <c r="A25" s="6"/>
      <c r="B25" s="6" t="s">
        <v>338</v>
      </c>
      <c r="C25" s="6">
        <v>-1</v>
      </c>
      <c r="D25" s="6"/>
      <c r="E25" s="6">
        <f>Table116[[#This Row],[Total Athletes]]-(LEN(Table116[[#This Row],[Pair]])-LEN(SUBSTITUTE(Table116[[#This Row],[Pair]],"/","")))-1</f>
        <v>-1</v>
      </c>
      <c r="F25" s="6"/>
    </row>
    <row r="26" spans="1:6" x14ac:dyDescent="0.3">
      <c r="A26" s="6"/>
      <c r="B26" s="6" t="s">
        <v>444</v>
      </c>
      <c r="C26" s="6">
        <v>-1</v>
      </c>
      <c r="D26" s="6"/>
      <c r="E26" s="6">
        <f>Table116[[#This Row],[Total Athletes]]-(LEN(Table116[[#This Row],[Pair]])-LEN(SUBSTITUTE(Table116[[#This Row],[Pair]],"/","")))-1</f>
        <v>-1</v>
      </c>
      <c r="F26" s="6"/>
    </row>
    <row r="27" spans="1:6" x14ac:dyDescent="0.3">
      <c r="A27" s="6"/>
      <c r="B27" s="6" t="s">
        <v>726</v>
      </c>
      <c r="C27" s="6">
        <v>-1</v>
      </c>
      <c r="D27" s="6"/>
      <c r="E27" s="6">
        <f>Table116[[#This Row],[Total Athletes]]-(LEN(Table116[[#This Row],[Pair]])-LEN(SUBSTITUTE(Table116[[#This Row],[Pair]],"/","")))-1</f>
        <v>-1</v>
      </c>
      <c r="F27" s="6"/>
    </row>
    <row r="28" spans="1:6" x14ac:dyDescent="0.3">
      <c r="A28" s="6"/>
      <c r="B28" s="6" t="s">
        <v>332</v>
      </c>
      <c r="C28" s="6">
        <v>-1</v>
      </c>
      <c r="D28" s="6"/>
      <c r="E28" s="6">
        <f>Table116[[#This Row],[Total Athletes]]-(LEN(Table116[[#This Row],[Pair]])-LEN(SUBSTITUTE(Table116[[#This Row],[Pair]],"/","")))-1</f>
        <v>-1</v>
      </c>
      <c r="F28" s="6"/>
    </row>
    <row r="29" spans="1:6" x14ac:dyDescent="0.3">
      <c r="A29" s="6"/>
      <c r="B29" s="6" t="s">
        <v>340</v>
      </c>
      <c r="C29" s="6"/>
      <c r="D29" s="6">
        <v>-1</v>
      </c>
      <c r="E29" s="6">
        <f>Table116[[#This Row],[Total Athletes]]-(LEN(Table116[[#This Row],[Pair]])-LEN(SUBSTITUTE(Table116[[#This Row],[Pair]],"/","")))-1</f>
        <v>-1</v>
      </c>
      <c r="F29" s="6"/>
    </row>
    <row r="30" spans="1:6" x14ac:dyDescent="0.3">
      <c r="A30" s="6" t="s">
        <v>2377</v>
      </c>
      <c r="B30" s="6" t="s">
        <v>354</v>
      </c>
      <c r="C30" s="6"/>
      <c r="D30" s="6">
        <v>18</v>
      </c>
      <c r="E30" s="6">
        <f>Table116[[#This Row],[Total Athletes]]-(LEN(Table116[[#This Row],[Pair]])-LEN(SUBSTITUTE(Table116[[#This Row],[Pair]],"/","")))-1</f>
        <v>0</v>
      </c>
      <c r="F30" s="6">
        <v>2</v>
      </c>
    </row>
    <row r="31" spans="1:6" x14ac:dyDescent="0.3">
      <c r="A31" s="6"/>
      <c r="B31" s="6" t="s">
        <v>358</v>
      </c>
      <c r="C31" s="6"/>
      <c r="D31" s="6">
        <v>-1</v>
      </c>
      <c r="E31" s="6">
        <f>Table116[[#This Row],[Total Athletes]]-(LEN(Table116[[#This Row],[Pair]])-LEN(SUBSTITUTE(Table116[[#This Row],[Pair]],"/","")))-1</f>
        <v>-1</v>
      </c>
      <c r="F31" s="6"/>
    </row>
    <row r="32" spans="1:6" x14ac:dyDescent="0.3">
      <c r="A32" s="6" t="s">
        <v>3093</v>
      </c>
      <c r="B32" s="6" t="s">
        <v>336</v>
      </c>
      <c r="C32" s="6"/>
      <c r="D32" s="6">
        <v>21</v>
      </c>
      <c r="E32" s="6">
        <f>Table116[[#This Row],[Total Athletes]]-(LEN(Table116[[#This Row],[Pair]])-LEN(SUBSTITUTE(Table116[[#This Row],[Pair]],"/","")))-1</f>
        <v>0</v>
      </c>
      <c r="F32" s="6">
        <v>2</v>
      </c>
    </row>
    <row r="33" spans="1:6" x14ac:dyDescent="0.3">
      <c r="A33" s="6"/>
      <c r="B33" s="6" t="s">
        <v>384</v>
      </c>
      <c r="C33" s="6"/>
      <c r="D33" s="6">
        <v>-1</v>
      </c>
      <c r="E33" s="6">
        <f>Table116[[#This Row],[Total Athletes]]-(LEN(Table116[[#This Row],[Pair]])-LEN(SUBSTITUTE(Table116[[#This Row],[Pair]],"/","")))-1</f>
        <v>-1</v>
      </c>
      <c r="F33" s="6"/>
    </row>
    <row r="34" spans="1:6" x14ac:dyDescent="0.3">
      <c r="A34" s="6" t="s">
        <v>4283</v>
      </c>
      <c r="B34" s="6" t="s">
        <v>328</v>
      </c>
      <c r="C34" s="6"/>
      <c r="D34" s="6">
        <v>15</v>
      </c>
      <c r="E34" s="6">
        <f>Table116[[#This Row],[Total Athletes]]-(LEN(Table116[[#This Row],[Pair]])-LEN(SUBSTITUTE(Table116[[#This Row],[Pair]],"/","")))-1</f>
        <v>0</v>
      </c>
      <c r="F34" s="6">
        <v>2</v>
      </c>
    </row>
    <row r="35" spans="1:6" x14ac:dyDescent="0.3">
      <c r="A35" s="6" t="s">
        <v>3538</v>
      </c>
      <c r="B35" s="6" t="s">
        <v>450</v>
      </c>
      <c r="C35" s="6"/>
      <c r="D35" s="6">
        <v>19</v>
      </c>
      <c r="E35" s="6">
        <f>Table116[[#This Row],[Total Athletes]]-(LEN(Table116[[#This Row],[Pair]])-LEN(SUBSTITUTE(Table116[[#This Row],[Pair]],"/","")))-1</f>
        <v>0</v>
      </c>
      <c r="F35" s="6">
        <v>2</v>
      </c>
    </row>
    <row r="36" spans="1:6" x14ac:dyDescent="0.3">
      <c r="A36" s="6" t="s">
        <v>3604</v>
      </c>
      <c r="B36" s="6" t="s">
        <v>442</v>
      </c>
      <c r="C36" s="6"/>
      <c r="D36" s="6">
        <v>14</v>
      </c>
      <c r="E36" s="6">
        <f>Table116[[#This Row],[Total Athletes]]-(LEN(Table116[[#This Row],[Pair]])-LEN(SUBSTITUTE(Table116[[#This Row],[Pair]],"/","")))-1</f>
        <v>0</v>
      </c>
      <c r="F36" s="6">
        <v>2</v>
      </c>
    </row>
    <row r="37" spans="1:6" x14ac:dyDescent="0.3">
      <c r="A37" s="6"/>
      <c r="B37" s="6" t="s">
        <v>572</v>
      </c>
      <c r="C37" s="6"/>
      <c r="D37" s="6">
        <v>-1</v>
      </c>
      <c r="E37" s="6">
        <f>Table116[[#This Row],[Total Athletes]]-(LEN(Table116[[#This Row],[Pair]])-LEN(SUBSTITUTE(Table116[[#This Row],[Pair]],"/","")))-1</f>
        <v>-1</v>
      </c>
      <c r="F37" s="6"/>
    </row>
    <row r="38" spans="1:6" x14ac:dyDescent="0.3">
      <c r="A38" s="6" t="s">
        <v>1447</v>
      </c>
      <c r="B38" s="6" t="s">
        <v>372</v>
      </c>
      <c r="C38" s="6"/>
      <c r="D38" s="6">
        <v>9</v>
      </c>
      <c r="E38" s="6">
        <f>Table116[[#This Row],[Total Athletes]]-(LEN(Table116[[#This Row],[Pair]])-LEN(SUBSTITUTE(Table116[[#This Row],[Pair]],"/","")))-1</f>
        <v>1</v>
      </c>
      <c r="F38" s="6">
        <v>2</v>
      </c>
    </row>
    <row r="39" spans="1:6" x14ac:dyDescent="0.3">
      <c r="A39" s="6" t="s">
        <v>3188</v>
      </c>
      <c r="B39" s="6" t="s">
        <v>344</v>
      </c>
      <c r="C39" s="6"/>
      <c r="D39" s="6">
        <v>7</v>
      </c>
      <c r="E39" s="6">
        <f>Table116[[#This Row],[Total Athletes]]-(LEN(Table116[[#This Row],[Pair]])-LEN(SUBSTITUTE(Table116[[#This Row],[Pair]],"/","")))-1</f>
        <v>1</v>
      </c>
      <c r="F39" s="6">
        <v>2</v>
      </c>
    </row>
    <row r="40" spans="1:6" x14ac:dyDescent="0.3">
      <c r="A40" s="6"/>
      <c r="B40" s="6" t="s">
        <v>334</v>
      </c>
      <c r="C40" s="6"/>
      <c r="D40" s="6">
        <v>-1</v>
      </c>
      <c r="E40" s="6">
        <f>Table116[[#This Row],[Total Athletes]]-(LEN(Table116[[#This Row],[Pair]])-LEN(SUBSTITUTE(Table116[[#This Row],[Pair]],"/","")))-1</f>
        <v>-1</v>
      </c>
      <c r="F40" s="6"/>
    </row>
    <row r="41" spans="1:6" x14ac:dyDescent="0.3">
      <c r="A41" s="6"/>
      <c r="B41" s="6" t="s">
        <v>342</v>
      </c>
      <c r="C41" s="6"/>
      <c r="D41" s="6">
        <v>-1</v>
      </c>
      <c r="E41" s="6">
        <f>Table116[[#This Row],[Total Athletes]]-(LEN(Table116[[#This Row],[Pair]])-LEN(SUBSTITUTE(Table116[[#This Row],[Pair]],"/","")))-1</f>
        <v>-1</v>
      </c>
      <c r="F41" s="6"/>
    </row>
    <row r="42" spans="1:6" x14ac:dyDescent="0.3">
      <c r="A42" s="6"/>
      <c r="B42" s="6" t="s">
        <v>406</v>
      </c>
      <c r="C42" s="6"/>
      <c r="D42" s="6">
        <v>-1</v>
      </c>
      <c r="E42" s="6">
        <f>Table116[[#This Row],[Total Athletes]]-(LEN(Table116[[#This Row],[Pair]])-LEN(SUBSTITUTE(Table116[[#This Row],[Pair]],"/","")))-1</f>
        <v>-1</v>
      </c>
      <c r="F42" s="6"/>
    </row>
    <row r="43" spans="1:6" x14ac:dyDescent="0.3">
      <c r="A43" s="6" t="s">
        <v>2263</v>
      </c>
      <c r="B43" s="6" t="s">
        <v>356</v>
      </c>
      <c r="C43" s="6"/>
      <c r="D43" s="6">
        <v>8</v>
      </c>
      <c r="E43" s="6">
        <f>Table116[[#This Row],[Total Athletes]]-(LEN(Table116[[#This Row],[Pair]])-LEN(SUBSTITUTE(Table116[[#This Row],[Pair]],"/","")))-1</f>
        <v>1</v>
      </c>
      <c r="F43" s="6">
        <v>2</v>
      </c>
    </row>
    <row r="44" spans="1:6" x14ac:dyDescent="0.3">
      <c r="A44" s="6"/>
      <c r="B44" s="6" t="s">
        <v>604</v>
      </c>
      <c r="C44" s="6"/>
      <c r="D44" s="6">
        <v>-1</v>
      </c>
      <c r="E44" s="6">
        <f>Table116[[#This Row],[Total Athletes]]-(LEN(Table116[[#This Row],[Pair]])-LEN(SUBSTITUTE(Table116[[#This Row],[Pair]],"/","")))-1</f>
        <v>-1</v>
      </c>
      <c r="F44" s="6"/>
    </row>
    <row r="45" spans="1:6" x14ac:dyDescent="0.3">
      <c r="A45" s="6" t="s">
        <v>3487</v>
      </c>
      <c r="B45" s="6" t="s">
        <v>614</v>
      </c>
      <c r="C45" s="6"/>
      <c r="D45" s="6">
        <v>13</v>
      </c>
      <c r="E45" s="6">
        <f>Table116[[#This Row],[Total Athletes]]-(LEN(Table116[[#This Row],[Pair]])-LEN(SUBSTITUTE(Table116[[#This Row],[Pair]],"/","")))-1</f>
        <v>1</v>
      </c>
      <c r="F45" s="6">
        <v>2</v>
      </c>
    </row>
    <row r="46" spans="1:6" x14ac:dyDescent="0.3">
      <c r="A46" s="6" t="s">
        <v>2789</v>
      </c>
      <c r="B46" s="6" t="s">
        <v>620</v>
      </c>
      <c r="C46" s="6"/>
      <c r="D46" s="6">
        <v>22</v>
      </c>
      <c r="E46" s="6">
        <f>Table116[[#This Row],[Total Athletes]]-(LEN(Table116[[#This Row],[Pair]])-LEN(SUBSTITUTE(Table116[[#This Row],[Pair]],"/","")))-1</f>
        <v>1</v>
      </c>
      <c r="F46" s="6">
        <v>2</v>
      </c>
    </row>
    <row r="47" spans="1:6" x14ac:dyDescent="0.3">
      <c r="A47" s="6" t="s">
        <v>2520</v>
      </c>
      <c r="B47" s="6" t="s">
        <v>364</v>
      </c>
      <c r="C47" s="6"/>
      <c r="D47" s="6">
        <v>4</v>
      </c>
      <c r="E47" s="6">
        <f>Table116[[#This Row],[Total Athletes]]-(LEN(Table116[[#This Row],[Pair]])-LEN(SUBSTITUTE(Table116[[#This Row],[Pair]],"/","")))-1</f>
        <v>1</v>
      </c>
      <c r="F47" s="6">
        <v>2</v>
      </c>
    </row>
    <row r="48" spans="1:6" x14ac:dyDescent="0.3">
      <c r="A48" s="6" t="s">
        <v>2492</v>
      </c>
      <c r="B48" s="6" t="s">
        <v>394</v>
      </c>
      <c r="C48" s="6"/>
      <c r="D48" s="6">
        <v>11</v>
      </c>
      <c r="E48" s="6">
        <f>Table116[[#This Row],[Total Athletes]]-(LEN(Table116[[#This Row],[Pair]])-LEN(SUBSTITUTE(Table116[[#This Row],[Pair]],"/","")))-1</f>
        <v>1</v>
      </c>
      <c r="F48" s="6">
        <v>2</v>
      </c>
    </row>
    <row r="49" spans="1:6" x14ac:dyDescent="0.3">
      <c r="A49" s="6"/>
      <c r="B49" s="6" t="s">
        <v>694</v>
      </c>
      <c r="C49" s="6"/>
      <c r="D49" s="6">
        <v>-1</v>
      </c>
      <c r="E49" s="6">
        <f>Table116[[#This Row],[Total Athletes]]-(LEN(Table116[[#This Row],[Pair]])-LEN(SUBSTITUTE(Table116[[#This Row],[Pair]],"/","")))-1</f>
        <v>-1</v>
      </c>
      <c r="F49" s="6"/>
    </row>
    <row r="50" spans="1:6" x14ac:dyDescent="0.3">
      <c r="A50" s="6"/>
      <c r="B50" s="6" t="s">
        <v>700</v>
      </c>
      <c r="C50" s="6"/>
      <c r="D50" s="6">
        <v>-1</v>
      </c>
      <c r="E50" s="6">
        <f>Table116[[#This Row],[Total Athletes]]-(LEN(Table116[[#This Row],[Pair]])-LEN(SUBSTITUTE(Table116[[#This Row],[Pair]],"/","")))-1</f>
        <v>-1</v>
      </c>
      <c r="F50" s="6"/>
    </row>
    <row r="51" spans="1:6" x14ac:dyDescent="0.3">
      <c r="A51" s="6" t="s">
        <v>1719</v>
      </c>
      <c r="B51" s="6" t="s">
        <v>338</v>
      </c>
      <c r="C51" s="6"/>
      <c r="D51" s="6">
        <v>1</v>
      </c>
      <c r="E51" s="6">
        <f>Table116[[#This Row],[Total Athletes]]-(LEN(Table116[[#This Row],[Pair]])-LEN(SUBSTITUTE(Table116[[#This Row],[Pair]],"/","")))-1</f>
        <v>1</v>
      </c>
      <c r="F51" s="6">
        <v>2</v>
      </c>
    </row>
    <row r="52" spans="1:6" x14ac:dyDescent="0.3">
      <c r="A52" s="6"/>
      <c r="B52" s="6" t="s">
        <v>444</v>
      </c>
      <c r="C52" s="6"/>
      <c r="D52" s="6">
        <v>-1</v>
      </c>
      <c r="E52" s="6">
        <f>Table116[[#This Row],[Total Athletes]]-(LEN(Table116[[#This Row],[Pair]])-LEN(SUBSTITUTE(Table116[[#This Row],[Pair]],"/","")))-1</f>
        <v>-1</v>
      </c>
      <c r="F52" s="6"/>
    </row>
    <row r="53" spans="1:6" x14ac:dyDescent="0.3">
      <c r="A53" s="6" t="s">
        <v>4777</v>
      </c>
      <c r="B53" s="6" t="s">
        <v>726</v>
      </c>
      <c r="C53" s="6"/>
      <c r="D53" s="6">
        <v>20</v>
      </c>
      <c r="E53" s="6">
        <f>Table116[[#This Row],[Total Athletes]]-(LEN(Table116[[#This Row],[Pair]])-LEN(SUBSTITUTE(Table116[[#This Row],[Pair]],"/","")))-1</f>
        <v>0</v>
      </c>
      <c r="F53" s="6">
        <v>2</v>
      </c>
    </row>
    <row r="54" spans="1:6" x14ac:dyDescent="0.3">
      <c r="A54" s="6" t="s">
        <v>4814</v>
      </c>
      <c r="B54" s="6" t="s">
        <v>332</v>
      </c>
      <c r="C54" s="6"/>
      <c r="D54" s="6">
        <v>6</v>
      </c>
      <c r="E54" s="6">
        <f>Table116[[#This Row],[Total Athletes]]-(LEN(Table116[[#This Row],[Pair]])-LEN(SUBSTITUTE(Table116[[#This Row],[Pair]],"/","")))-1</f>
        <v>0</v>
      </c>
      <c r="F54" s="6">
        <v>2</v>
      </c>
    </row>
  </sheetData>
  <pageMargins left="0.7" right="0.7" top="0.75" bottom="0.75" header="0.3" footer="0.3"/>
  <tableParts count="1">
    <tablePart r:id="rId1"/>
  </tableParts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1A49C-B935-4DE3-9D12-E8042E2803A8}">
  <dimension ref="A1:F30"/>
  <sheetViews>
    <sheetView topLeftCell="A22" workbookViewId="0">
      <selection activeCell="B31" sqref="B31"/>
    </sheetView>
  </sheetViews>
  <sheetFormatPr defaultRowHeight="14.4" x14ac:dyDescent="0.3"/>
  <cols>
    <col min="1" max="1" width="68.5546875" bestFit="1" customWidth="1"/>
    <col min="2" max="2" width="13.33203125" bestFit="1" customWidth="1"/>
    <col min="3" max="3" width="25" bestFit="1" customWidth="1"/>
    <col min="4" max="4" width="27.88671875" bestFit="1" customWidth="1"/>
    <col min="5" max="5" width="17" bestFit="1" customWidth="1"/>
    <col min="6" max="6" width="14.77734375" bestFit="1" customWidth="1"/>
  </cols>
  <sheetData>
    <row r="1" spans="1:6" x14ac:dyDescent="0.3">
      <c r="A1" t="s">
        <v>834</v>
      </c>
      <c r="B1" t="s">
        <v>1</v>
      </c>
      <c r="C1" t="s">
        <v>1018</v>
      </c>
      <c r="D1" t="s">
        <v>1019</v>
      </c>
      <c r="E1" t="s">
        <v>1212</v>
      </c>
      <c r="F1" t="s">
        <v>1213</v>
      </c>
    </row>
    <row r="2" spans="1:6" x14ac:dyDescent="0.3">
      <c r="A2" s="6" t="s">
        <v>2539</v>
      </c>
      <c r="B2" s="6" t="s">
        <v>384</v>
      </c>
      <c r="C2" s="6">
        <v>5</v>
      </c>
      <c r="D2" s="6"/>
      <c r="E2" s="6">
        <f>Table117[[#This Row],[Total Athletes]]-(LEN(Table117[[#This Row],[Team]])-LEN(SUBSTITUTE(Table117[[#This Row],[Team]],"/","")))-1</f>
        <v>1</v>
      </c>
      <c r="F2" s="6">
        <v>4</v>
      </c>
    </row>
    <row r="3" spans="1:6" x14ac:dyDescent="0.3">
      <c r="A3" s="6" t="s">
        <v>4800</v>
      </c>
      <c r="B3" s="6" t="s">
        <v>442</v>
      </c>
      <c r="C3" s="6">
        <v>7</v>
      </c>
      <c r="D3" s="6"/>
      <c r="E3" s="6">
        <f>Table117[[#This Row],[Total Athletes]]-(LEN(Table117[[#This Row],[Team]])-LEN(SUBSTITUTE(Table117[[#This Row],[Team]],"/","")))-1</f>
        <v>1</v>
      </c>
      <c r="F3" s="6">
        <v>4</v>
      </c>
    </row>
    <row r="4" spans="1:6" x14ac:dyDescent="0.3">
      <c r="A4" s="6"/>
      <c r="B4" s="6" t="s">
        <v>372</v>
      </c>
      <c r="C4" s="6">
        <v>-1</v>
      </c>
      <c r="D4" s="6"/>
      <c r="E4" s="6">
        <f>Table117[[#This Row],[Total Athletes]]-(LEN(Table117[[#This Row],[Team]])-LEN(SUBSTITUTE(Table117[[#This Row],[Team]],"/","")))-1</f>
        <v>-1</v>
      </c>
      <c r="F4" s="6"/>
    </row>
    <row r="5" spans="1:6" x14ac:dyDescent="0.3">
      <c r="A5" s="6"/>
      <c r="B5" s="6" t="s">
        <v>344</v>
      </c>
      <c r="C5" s="6">
        <v>-1</v>
      </c>
      <c r="D5" s="6"/>
      <c r="E5" s="6">
        <f>Table117[[#This Row],[Total Athletes]]-(LEN(Table117[[#This Row],[Team]])-LEN(SUBSTITUTE(Table117[[#This Row],[Team]],"/","")))-1</f>
        <v>-1</v>
      </c>
      <c r="F5" s="6"/>
    </row>
    <row r="6" spans="1:6" x14ac:dyDescent="0.3">
      <c r="A6" s="6" t="s">
        <v>3445</v>
      </c>
      <c r="B6" s="6" t="s">
        <v>334</v>
      </c>
      <c r="C6" s="6">
        <v>8</v>
      </c>
      <c r="D6" s="6"/>
      <c r="E6" s="6">
        <f>Table117[[#This Row],[Total Athletes]]-(LEN(Table117[[#This Row],[Team]])-LEN(SUBSTITUTE(Table117[[#This Row],[Team]],"/","")))-1</f>
        <v>3</v>
      </c>
      <c r="F6" s="6">
        <v>4</v>
      </c>
    </row>
    <row r="7" spans="1:6" x14ac:dyDescent="0.3">
      <c r="A7" s="6" t="s">
        <v>4279</v>
      </c>
      <c r="B7" s="6" t="s">
        <v>356</v>
      </c>
      <c r="C7" s="6">
        <v>3</v>
      </c>
      <c r="D7" s="6"/>
      <c r="E7" s="6">
        <f>Table117[[#This Row],[Total Athletes]]-(LEN(Table117[[#This Row],[Team]])-LEN(SUBSTITUTE(Table117[[#This Row],[Team]],"/","")))-1</f>
        <v>3</v>
      </c>
      <c r="F7" s="6">
        <v>4</v>
      </c>
    </row>
    <row r="8" spans="1:6" x14ac:dyDescent="0.3">
      <c r="A8" s="6" t="s">
        <v>2514</v>
      </c>
      <c r="B8" s="6" t="s">
        <v>364</v>
      </c>
      <c r="C8" s="6">
        <v>1</v>
      </c>
      <c r="D8" s="6"/>
      <c r="E8" s="6">
        <f>Table117[[#This Row],[Total Athletes]]-(LEN(Table117[[#This Row],[Team]])-LEN(SUBSTITUTE(Table117[[#This Row],[Team]],"/","")))-1</f>
        <v>2</v>
      </c>
      <c r="F8" s="6">
        <v>4</v>
      </c>
    </row>
    <row r="9" spans="1:6" x14ac:dyDescent="0.3">
      <c r="A9" s="6"/>
      <c r="B9" s="6" t="s">
        <v>338</v>
      </c>
      <c r="C9" s="6">
        <v>-1</v>
      </c>
      <c r="D9" s="6"/>
      <c r="E9" s="6">
        <f>Table117[[#This Row],[Total Athletes]]-(LEN(Table117[[#This Row],[Team]])-LEN(SUBSTITUTE(Table117[[#This Row],[Team]],"/","")))-1</f>
        <v>-1</v>
      </c>
      <c r="F9" s="6"/>
    </row>
    <row r="10" spans="1:6" x14ac:dyDescent="0.3">
      <c r="A10" s="6"/>
      <c r="B10" s="6" t="s">
        <v>444</v>
      </c>
      <c r="C10" s="6">
        <v>-1</v>
      </c>
      <c r="D10" s="6"/>
      <c r="E10" s="6">
        <f>Table117[[#This Row],[Total Athletes]]-(LEN(Table117[[#This Row],[Team]])-LEN(SUBSTITUTE(Table117[[#This Row],[Team]],"/","")))-1</f>
        <v>-1</v>
      </c>
      <c r="F10" s="6"/>
    </row>
    <row r="11" spans="1:6" x14ac:dyDescent="0.3">
      <c r="A11" s="6" t="s">
        <v>4819</v>
      </c>
      <c r="B11" s="6" t="s">
        <v>332</v>
      </c>
      <c r="C11" s="6">
        <v>6</v>
      </c>
      <c r="D11" s="6"/>
      <c r="E11" s="6">
        <f>Table117[[#This Row],[Total Athletes]]-(LEN(Table117[[#This Row],[Team]])-LEN(SUBSTITUTE(Table117[[#This Row],[Team]],"/","")))-1</f>
        <v>2</v>
      </c>
      <c r="F11" s="6">
        <v>4</v>
      </c>
    </row>
    <row r="12" spans="1:6" x14ac:dyDescent="0.3">
      <c r="A12" s="6" t="s">
        <v>2412</v>
      </c>
      <c r="B12" s="6" t="s">
        <v>354</v>
      </c>
      <c r="C12" s="6"/>
      <c r="D12" s="6">
        <v>14</v>
      </c>
      <c r="E12" s="6">
        <f>Table117[[#This Row],[Total Athletes]]-(LEN(Table117[[#This Row],[Team]])-LEN(SUBSTITUTE(Table117[[#This Row],[Team]],"/","")))-1</f>
        <v>1</v>
      </c>
      <c r="F12" s="6">
        <v>4</v>
      </c>
    </row>
    <row r="13" spans="1:6" x14ac:dyDescent="0.3">
      <c r="A13" s="6"/>
      <c r="B13" s="6" t="s">
        <v>358</v>
      </c>
      <c r="C13" s="6"/>
      <c r="D13" s="6">
        <v>-1</v>
      </c>
      <c r="E13" s="6">
        <f>Table117[[#This Row],[Total Athletes]]-(LEN(Table117[[#This Row],[Team]])-LEN(SUBSTITUTE(Table117[[#This Row],[Team]],"/","")))-1</f>
        <v>-1</v>
      </c>
      <c r="F13" s="6"/>
    </row>
    <row r="14" spans="1:6" x14ac:dyDescent="0.3">
      <c r="A14" s="6" t="s">
        <v>4876</v>
      </c>
      <c r="B14" s="6" t="s">
        <v>384</v>
      </c>
      <c r="C14" s="6"/>
      <c r="D14" s="6">
        <v>8</v>
      </c>
      <c r="E14" s="6">
        <f>Table117[[#This Row],[Total Athletes]]-(LEN(Table117[[#This Row],[Team]])-LEN(SUBSTITUTE(Table117[[#This Row],[Team]],"/","")))-1</f>
        <v>2</v>
      </c>
      <c r="F14" s="6">
        <v>4</v>
      </c>
    </row>
    <row r="15" spans="1:6" x14ac:dyDescent="0.3">
      <c r="A15" s="6" t="s">
        <v>4290</v>
      </c>
      <c r="B15" s="6" t="s">
        <v>328</v>
      </c>
      <c r="C15" s="6"/>
      <c r="D15" s="6">
        <v>1001</v>
      </c>
      <c r="E15" s="6">
        <f>Table117[[#This Row],[Total Athletes]]-(LEN(Table117[[#This Row],[Team]])-LEN(SUBSTITUTE(Table117[[#This Row],[Team]],"/","")))-1</f>
        <v>0</v>
      </c>
      <c r="F15" s="6">
        <v>4</v>
      </c>
    </row>
    <row r="16" spans="1:6" x14ac:dyDescent="0.3">
      <c r="A16" s="6" t="s">
        <v>3605</v>
      </c>
      <c r="B16" s="6" t="s">
        <v>442</v>
      </c>
      <c r="C16" s="6"/>
      <c r="D16" s="6">
        <v>11</v>
      </c>
      <c r="E16" s="6">
        <f>Table117[[#This Row],[Total Athletes]]-(LEN(Table117[[#This Row],[Team]])-LEN(SUBSTITUTE(Table117[[#This Row],[Team]],"/","")))-1</f>
        <v>1</v>
      </c>
      <c r="F16" s="6">
        <v>4</v>
      </c>
    </row>
    <row r="17" spans="1:6" x14ac:dyDescent="0.3">
      <c r="A17" s="6" t="s">
        <v>2609</v>
      </c>
      <c r="B17" s="6" t="s">
        <v>572</v>
      </c>
      <c r="C17" s="6"/>
      <c r="D17" s="6">
        <v>13</v>
      </c>
      <c r="E17" s="6">
        <f>Table117[[#This Row],[Total Athletes]]-(LEN(Table117[[#This Row],[Team]])-LEN(SUBSTITUTE(Table117[[#This Row],[Team]],"/","")))-1</f>
        <v>3</v>
      </c>
      <c r="F17" s="6">
        <v>4</v>
      </c>
    </row>
    <row r="18" spans="1:6" x14ac:dyDescent="0.3">
      <c r="A18" s="6" t="s">
        <v>1447</v>
      </c>
      <c r="B18" s="6" t="s">
        <v>372</v>
      </c>
      <c r="C18" s="6"/>
      <c r="D18" s="6">
        <v>3</v>
      </c>
      <c r="E18" s="6">
        <f>Table117[[#This Row],[Total Athletes]]-(LEN(Table117[[#This Row],[Team]])-LEN(SUBSTITUTE(Table117[[#This Row],[Team]],"/","")))-1</f>
        <v>3</v>
      </c>
      <c r="F18" s="6">
        <v>4</v>
      </c>
    </row>
    <row r="19" spans="1:6" x14ac:dyDescent="0.3">
      <c r="A19" s="6" t="s">
        <v>3246</v>
      </c>
      <c r="B19" s="6" t="s">
        <v>344</v>
      </c>
      <c r="C19" s="6"/>
      <c r="D19" s="6">
        <v>9</v>
      </c>
      <c r="E19" s="6">
        <f>Table117[[#This Row],[Total Athletes]]-(LEN(Table117[[#This Row],[Team]])-LEN(SUBSTITUTE(Table117[[#This Row],[Team]],"/","")))-1</f>
        <v>1</v>
      </c>
      <c r="F19" s="6">
        <v>4</v>
      </c>
    </row>
    <row r="20" spans="1:6" x14ac:dyDescent="0.3">
      <c r="A20" s="6" t="s">
        <v>4654</v>
      </c>
      <c r="B20" s="6" t="s">
        <v>334</v>
      </c>
      <c r="C20" s="6"/>
      <c r="D20" s="6">
        <v>4</v>
      </c>
      <c r="E20" s="6">
        <f>Table117[[#This Row],[Total Athletes]]-(LEN(Table117[[#This Row],[Team]])-LEN(SUBSTITUTE(Table117[[#This Row],[Team]],"/","")))-1</f>
        <v>3</v>
      </c>
      <c r="F20" s="6">
        <v>4</v>
      </c>
    </row>
    <row r="21" spans="1:6" x14ac:dyDescent="0.3">
      <c r="A21" s="6" t="s">
        <v>4960</v>
      </c>
      <c r="B21" s="6" t="s">
        <v>356</v>
      </c>
      <c r="C21" s="6"/>
      <c r="D21" s="6">
        <v>6</v>
      </c>
      <c r="E21" s="6">
        <f>Table117[[#This Row],[Total Athletes]]-(LEN(Table117[[#This Row],[Team]])-LEN(SUBSTITUTE(Table117[[#This Row],[Team]],"/","")))-1</f>
        <v>1</v>
      </c>
      <c r="F21" s="6">
        <v>4</v>
      </c>
    </row>
    <row r="22" spans="1:6" x14ac:dyDescent="0.3">
      <c r="A22" s="6"/>
      <c r="B22" s="6" t="s">
        <v>604</v>
      </c>
      <c r="C22" s="6"/>
      <c r="D22" s="6">
        <v>-1</v>
      </c>
      <c r="E22" s="6">
        <f>Table117[[#This Row],[Total Athletes]]-(LEN(Table117[[#This Row],[Team]])-LEN(SUBSTITUTE(Table117[[#This Row],[Team]],"/","")))-1</f>
        <v>-1</v>
      </c>
      <c r="F22" s="6"/>
    </row>
    <row r="23" spans="1:6" x14ac:dyDescent="0.3">
      <c r="A23" s="6" t="s">
        <v>3491</v>
      </c>
      <c r="B23" s="6" t="s">
        <v>614</v>
      </c>
      <c r="C23" s="6"/>
      <c r="D23" s="6">
        <v>1001</v>
      </c>
      <c r="E23" s="6">
        <f>Table117[[#This Row],[Total Athletes]]-(LEN(Table117[[#This Row],[Team]])-LEN(SUBSTITUTE(Table117[[#This Row],[Team]],"/","")))-1</f>
        <v>2</v>
      </c>
      <c r="F23" s="6">
        <v>4</v>
      </c>
    </row>
    <row r="24" spans="1:6" x14ac:dyDescent="0.3">
      <c r="A24" s="6" t="s">
        <v>5025</v>
      </c>
      <c r="B24" s="6" t="s">
        <v>364</v>
      </c>
      <c r="C24" s="6"/>
      <c r="D24" s="6">
        <v>1</v>
      </c>
      <c r="E24" s="6">
        <f>Table117[[#This Row],[Total Athletes]]-(LEN(Table117[[#This Row],[Team]])-LEN(SUBSTITUTE(Table117[[#This Row],[Team]],"/","")))-1</f>
        <v>1</v>
      </c>
      <c r="F24" s="6">
        <v>4</v>
      </c>
    </row>
    <row r="25" spans="1:6" x14ac:dyDescent="0.3">
      <c r="A25" s="6" t="s">
        <v>2492</v>
      </c>
      <c r="B25" s="6" t="s">
        <v>394</v>
      </c>
      <c r="C25" s="6"/>
      <c r="D25" s="6">
        <v>12</v>
      </c>
      <c r="E25" s="6">
        <f>Table117[[#This Row],[Total Athletes]]-(LEN(Table117[[#This Row],[Team]])-LEN(SUBSTITUTE(Table117[[#This Row],[Team]],"/","")))-1</f>
        <v>3</v>
      </c>
      <c r="F25" s="6">
        <v>4</v>
      </c>
    </row>
    <row r="26" spans="1:6" x14ac:dyDescent="0.3">
      <c r="A26" s="6"/>
      <c r="B26" s="6" t="s">
        <v>694</v>
      </c>
      <c r="C26" s="6"/>
      <c r="D26" s="6">
        <v>-1</v>
      </c>
      <c r="E26" s="6">
        <f>Table117[[#This Row],[Total Athletes]]-(LEN(Table117[[#This Row],[Team]])-LEN(SUBSTITUTE(Table117[[#This Row],[Team]],"/","")))-1</f>
        <v>-1</v>
      </c>
      <c r="F26" s="6"/>
    </row>
    <row r="27" spans="1:6" x14ac:dyDescent="0.3">
      <c r="A27" s="6" t="s">
        <v>1721</v>
      </c>
      <c r="B27" s="6" t="s">
        <v>338</v>
      </c>
      <c r="C27" s="6"/>
      <c r="D27" s="6">
        <v>2</v>
      </c>
      <c r="E27" s="6">
        <f>Table117[[#This Row],[Total Athletes]]-(LEN(Table117[[#This Row],[Team]])-LEN(SUBSTITUTE(Table117[[#This Row],[Team]],"/","")))-1</f>
        <v>2</v>
      </c>
      <c r="F27" s="6">
        <v>4</v>
      </c>
    </row>
    <row r="28" spans="1:6" x14ac:dyDescent="0.3">
      <c r="A28" s="6"/>
      <c r="B28" s="6" t="s">
        <v>444</v>
      </c>
      <c r="C28" s="6"/>
      <c r="D28" s="6">
        <v>-1</v>
      </c>
      <c r="E28" s="6">
        <f>Table117[[#This Row],[Total Athletes]]-(LEN(Table117[[#This Row],[Team]])-LEN(SUBSTITUTE(Table117[[#This Row],[Team]],"/","")))-1</f>
        <v>-1</v>
      </c>
      <c r="F28" s="6"/>
    </row>
    <row r="29" spans="1:6" x14ac:dyDescent="0.3">
      <c r="A29" s="6" t="s">
        <v>4778</v>
      </c>
      <c r="B29" s="6" t="s">
        <v>726</v>
      </c>
      <c r="C29" s="6"/>
      <c r="D29" s="6">
        <v>1001</v>
      </c>
      <c r="E29" s="6">
        <f>Table117[[#This Row],[Total Athletes]]-(LEN(Table117[[#This Row],[Team]])-LEN(SUBSTITUTE(Table117[[#This Row],[Team]],"/","")))-1</f>
        <v>1</v>
      </c>
      <c r="F29" s="6">
        <v>4</v>
      </c>
    </row>
    <row r="30" spans="1:6" x14ac:dyDescent="0.3">
      <c r="A30" s="6" t="s">
        <v>4815</v>
      </c>
      <c r="B30" s="6" t="s">
        <v>332</v>
      </c>
      <c r="C30" s="6"/>
      <c r="D30" s="6">
        <v>5</v>
      </c>
      <c r="E30" s="6">
        <f>Table117[[#This Row],[Total Athletes]]-(LEN(Table117[[#This Row],[Team]])-LEN(SUBSTITUTE(Table117[[#This Row],[Team]],"/","")))-1</f>
        <v>1</v>
      </c>
      <c r="F30" s="6">
        <v>4</v>
      </c>
    </row>
  </sheetData>
  <pageMargins left="0.7" right="0.7" top="0.75" bottom="0.75" header="0.3" footer="0.3"/>
  <tableParts count="1">
    <tablePart r:id="rId1"/>
  </tableParts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4680A-CA0A-4B3C-A42B-EB00FE8A57CC}">
  <dimension ref="A1:E11"/>
  <sheetViews>
    <sheetView workbookViewId="0">
      <selection activeCell="B12" sqref="B12"/>
    </sheetView>
  </sheetViews>
  <sheetFormatPr defaultRowHeight="14.4" x14ac:dyDescent="0.3"/>
  <cols>
    <col min="1" max="1" width="31.33203125" bestFit="1" customWidth="1"/>
    <col min="2" max="2" width="14" bestFit="1" customWidth="1"/>
    <col min="3" max="3" width="20" bestFit="1" customWidth="1"/>
    <col min="4" max="4" width="17" bestFit="1" customWidth="1"/>
    <col min="5" max="5" width="14.77734375" bestFit="1" customWidth="1"/>
  </cols>
  <sheetData>
    <row r="1" spans="1:5" x14ac:dyDescent="0.3">
      <c r="A1" t="s">
        <v>833</v>
      </c>
      <c r="B1" t="s">
        <v>1</v>
      </c>
      <c r="C1" t="s">
        <v>1017</v>
      </c>
      <c r="D1" t="s">
        <v>1212</v>
      </c>
      <c r="E1" t="s">
        <v>1213</v>
      </c>
    </row>
    <row r="2" spans="1:5" x14ac:dyDescent="0.3">
      <c r="A2" s="6"/>
      <c r="B2" s="6" t="s">
        <v>356</v>
      </c>
      <c r="C2" s="6">
        <v>-1</v>
      </c>
      <c r="D2" s="6">
        <f>Table118[[#This Row],[Total Athletes]]-(LEN(Table118[[#This Row],[Pair]])-LEN(SUBSTITUTE(Table118[[#This Row],[Pair]],"/","")))-1</f>
        <v>-1</v>
      </c>
      <c r="E2" s="6"/>
    </row>
    <row r="3" spans="1:5" x14ac:dyDescent="0.3">
      <c r="A3" s="6"/>
      <c r="B3" s="6" t="s">
        <v>572</v>
      </c>
      <c r="C3" s="6">
        <v>-1</v>
      </c>
      <c r="D3" s="6">
        <f>Table118[[#This Row],[Total Athletes]]-(LEN(Table118[[#This Row],[Pair]])-LEN(SUBSTITUTE(Table118[[#This Row],[Pair]],"/","")))-1</f>
        <v>-1</v>
      </c>
      <c r="E3" s="6"/>
    </row>
    <row r="4" spans="1:5" x14ac:dyDescent="0.3">
      <c r="A4" s="6" t="s">
        <v>3176</v>
      </c>
      <c r="B4" s="6" t="s">
        <v>338</v>
      </c>
      <c r="C4" s="6">
        <v>1</v>
      </c>
      <c r="D4" s="6">
        <f>Table118[[#This Row],[Total Athletes]]-(LEN(Table118[[#This Row],[Pair]])-LEN(SUBSTITUTE(Table118[[#This Row],[Pair]],"/","")))-1</f>
        <v>0</v>
      </c>
      <c r="E4" s="6">
        <v>2</v>
      </c>
    </row>
    <row r="5" spans="1:5" x14ac:dyDescent="0.3">
      <c r="A5" s="6" t="s">
        <v>1676</v>
      </c>
      <c r="B5" s="6" t="s">
        <v>402</v>
      </c>
      <c r="C5" s="6">
        <v>4</v>
      </c>
      <c r="D5" s="6">
        <f>Table118[[#This Row],[Total Athletes]]-(LEN(Table118[[#This Row],[Pair]])-LEN(SUBSTITUTE(Table118[[#This Row],[Pair]],"/","")))-1</f>
        <v>0</v>
      </c>
      <c r="E5" s="6">
        <v>2</v>
      </c>
    </row>
    <row r="6" spans="1:5" x14ac:dyDescent="0.3">
      <c r="A6" s="6" t="s">
        <v>2519</v>
      </c>
      <c r="B6" s="6" t="s">
        <v>364</v>
      </c>
      <c r="C6" s="6">
        <v>6</v>
      </c>
      <c r="D6" s="6">
        <f>Table118[[#This Row],[Total Athletes]]-(LEN(Table118[[#This Row],[Pair]])-LEN(SUBSTITUTE(Table118[[#This Row],[Pair]],"/","")))-1</f>
        <v>1</v>
      </c>
      <c r="E6" s="6">
        <v>2</v>
      </c>
    </row>
    <row r="7" spans="1:5" x14ac:dyDescent="0.3">
      <c r="A7" s="6" t="s">
        <v>4168</v>
      </c>
      <c r="B7" s="6" t="s">
        <v>384</v>
      </c>
      <c r="C7" s="6">
        <v>5</v>
      </c>
      <c r="D7" s="6">
        <f>Table118[[#This Row],[Total Athletes]]-(LEN(Table118[[#This Row],[Pair]])-LEN(SUBSTITUTE(Table118[[#This Row],[Pair]],"/","")))-1</f>
        <v>0</v>
      </c>
      <c r="E7" s="6">
        <v>2</v>
      </c>
    </row>
    <row r="8" spans="1:5" x14ac:dyDescent="0.3">
      <c r="A8" s="6"/>
      <c r="B8" s="6" t="s">
        <v>444</v>
      </c>
      <c r="C8" s="6">
        <v>-1</v>
      </c>
      <c r="D8" s="6">
        <f>Table118[[#This Row],[Total Athletes]]-(LEN(Table118[[#This Row],[Pair]])-LEN(SUBSTITUTE(Table118[[#This Row],[Pair]],"/","")))-1</f>
        <v>-1</v>
      </c>
      <c r="E8" s="6"/>
    </row>
    <row r="9" spans="1:5" x14ac:dyDescent="0.3">
      <c r="A9" s="6" t="s">
        <v>4810</v>
      </c>
      <c r="B9" s="6" t="s">
        <v>332</v>
      </c>
      <c r="C9" s="6">
        <v>2</v>
      </c>
      <c r="D9" s="6">
        <f>Table118[[#This Row],[Total Athletes]]-(LEN(Table118[[#This Row],[Pair]])-LEN(SUBSTITUTE(Table118[[#This Row],[Pair]],"/","")))-1</f>
        <v>0</v>
      </c>
      <c r="E9" s="6">
        <v>2</v>
      </c>
    </row>
    <row r="10" spans="1:5" x14ac:dyDescent="0.3">
      <c r="A10" s="6"/>
      <c r="B10" s="6" t="s">
        <v>442</v>
      </c>
      <c r="C10" s="6">
        <v>-1</v>
      </c>
      <c r="D10" s="6">
        <f>Table118[[#This Row],[Total Athletes]]-(LEN(Table118[[#This Row],[Pair]])-LEN(SUBSTITUTE(Table118[[#This Row],[Pair]],"/","")))-1</f>
        <v>-1</v>
      </c>
      <c r="E10" s="6"/>
    </row>
    <row r="11" spans="1:5" x14ac:dyDescent="0.3">
      <c r="A11" s="6"/>
      <c r="B11" s="6" t="s">
        <v>700</v>
      </c>
      <c r="C11" s="6">
        <v>-1</v>
      </c>
      <c r="D11" s="6">
        <f>Table118[[#This Row],[Total Athletes]]-(LEN(Table118[[#This Row],[Pair]])-LEN(SUBSTITUTE(Table118[[#This Row],[Pair]],"/","")))-1</f>
        <v>-1</v>
      </c>
      <c r="E11" s="6"/>
    </row>
  </sheetData>
  <pageMargins left="0.7" right="0.7" top="0.75" bottom="0.75" header="0.3" footer="0.3"/>
  <tableParts count="1">
    <tablePart r:id="rId1"/>
  </tableParts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D218B-B4B6-419C-8521-347C74F6FC7C}">
  <dimension ref="A1:F21"/>
  <sheetViews>
    <sheetView topLeftCell="A13" workbookViewId="0">
      <selection activeCell="B22" sqref="B22"/>
    </sheetView>
  </sheetViews>
  <sheetFormatPr defaultRowHeight="14.4" x14ac:dyDescent="0.3"/>
  <cols>
    <col min="1" max="1" width="79.33203125" bestFit="1" customWidth="1"/>
    <col min="2" max="2" width="14" bestFit="1" customWidth="1"/>
    <col min="3" max="3" width="19.88671875" bestFit="1" customWidth="1"/>
    <col min="4" max="4" width="22.5546875" bestFit="1" customWidth="1"/>
    <col min="5" max="5" width="17" bestFit="1" customWidth="1"/>
    <col min="6" max="6" width="14.77734375" bestFit="1" customWidth="1"/>
  </cols>
  <sheetData>
    <row r="1" spans="1:6" x14ac:dyDescent="0.3">
      <c r="A1" t="s">
        <v>834</v>
      </c>
      <c r="B1" t="s">
        <v>1</v>
      </c>
      <c r="C1" t="s">
        <v>900</v>
      </c>
      <c r="D1" t="s">
        <v>901</v>
      </c>
      <c r="E1" t="s">
        <v>1212</v>
      </c>
      <c r="F1" t="s">
        <v>1213</v>
      </c>
    </row>
    <row r="2" spans="1:6" x14ac:dyDescent="0.3">
      <c r="A2" s="6" t="s">
        <v>5051</v>
      </c>
      <c r="B2" s="6" t="s">
        <v>356</v>
      </c>
      <c r="C2" s="6">
        <v>6</v>
      </c>
      <c r="D2" s="6"/>
      <c r="E2" s="6">
        <f>Table119[[#This Row],[Total Athletes]]-(LEN(Table119[[#This Row],[Team]])-LEN(SUBSTITUTE(Table119[[#This Row],[Team]],"/","")))-1</f>
        <v>4</v>
      </c>
      <c r="F2" s="6">
        <v>5</v>
      </c>
    </row>
    <row r="3" spans="1:6" x14ac:dyDescent="0.3">
      <c r="A3" s="6"/>
      <c r="B3" s="6" t="s">
        <v>356</v>
      </c>
      <c r="C3" s="6"/>
      <c r="D3" s="6">
        <v>-1</v>
      </c>
      <c r="E3" s="6">
        <f>Table119[[#This Row],[Total Athletes]]-(LEN(Table119[[#This Row],[Team]])-LEN(SUBSTITUTE(Table119[[#This Row],[Team]],"/","")))-1</f>
        <v>-1</v>
      </c>
      <c r="F3" s="6"/>
    </row>
    <row r="4" spans="1:6" x14ac:dyDescent="0.3">
      <c r="A4" s="6" t="s">
        <v>2526</v>
      </c>
      <c r="B4" s="6" t="s">
        <v>384</v>
      </c>
      <c r="C4" s="6"/>
      <c r="D4" s="6">
        <v>3</v>
      </c>
      <c r="E4" s="6">
        <f>Table119[[#This Row],[Total Athletes]]-(LEN(Table119[[#This Row],[Team]])-LEN(SUBSTITUTE(Table119[[#This Row],[Team]],"/","")))-1</f>
        <v>4</v>
      </c>
      <c r="F4" s="6">
        <v>5</v>
      </c>
    </row>
    <row r="5" spans="1:6" x14ac:dyDescent="0.3">
      <c r="A5" s="6"/>
      <c r="B5" s="6" t="s">
        <v>444</v>
      </c>
      <c r="C5" s="6"/>
      <c r="D5" s="6">
        <v>-1</v>
      </c>
      <c r="E5" s="6">
        <f>Table119[[#This Row],[Total Athletes]]-(LEN(Table119[[#This Row],[Team]])-LEN(SUBSTITUTE(Table119[[#This Row],[Team]],"/","")))-1</f>
        <v>-1</v>
      </c>
      <c r="F5" s="6"/>
    </row>
    <row r="6" spans="1:6" x14ac:dyDescent="0.3">
      <c r="A6" s="6"/>
      <c r="B6" s="6" t="s">
        <v>700</v>
      </c>
      <c r="C6" s="6"/>
      <c r="D6" s="6">
        <v>-1</v>
      </c>
      <c r="E6" s="6">
        <f>Table119[[#This Row],[Total Athletes]]-(LEN(Table119[[#This Row],[Team]])-LEN(SUBSTITUTE(Table119[[#This Row],[Team]],"/","")))-1</f>
        <v>-1</v>
      </c>
      <c r="F6" s="6"/>
    </row>
    <row r="7" spans="1:6" x14ac:dyDescent="0.3">
      <c r="A7" s="6" t="s">
        <v>3156</v>
      </c>
      <c r="B7" s="6" t="s">
        <v>338</v>
      </c>
      <c r="C7" s="6"/>
      <c r="D7" s="6">
        <v>1</v>
      </c>
      <c r="E7" s="6">
        <f>Table119[[#This Row],[Total Athletes]]-(LEN(Table119[[#This Row],[Team]])-LEN(SUBSTITUTE(Table119[[#This Row],[Team]],"/","")))-1</f>
        <v>3</v>
      </c>
      <c r="F7" s="6">
        <v>5</v>
      </c>
    </row>
    <row r="8" spans="1:6" x14ac:dyDescent="0.3">
      <c r="A8" s="6"/>
      <c r="B8" s="6" t="s">
        <v>414</v>
      </c>
      <c r="C8" s="6"/>
      <c r="D8" s="6">
        <v>-1</v>
      </c>
      <c r="E8" s="6">
        <f>Table119[[#This Row],[Total Athletes]]-(LEN(Table119[[#This Row],[Team]])-LEN(SUBSTITUTE(Table119[[#This Row],[Team]],"/","")))-1</f>
        <v>-1</v>
      </c>
      <c r="F8" s="6"/>
    </row>
    <row r="9" spans="1:6" x14ac:dyDescent="0.3">
      <c r="A9" s="6" t="s">
        <v>4228</v>
      </c>
      <c r="B9" s="6" t="s">
        <v>402</v>
      </c>
      <c r="C9" s="6"/>
      <c r="D9" s="6">
        <v>6</v>
      </c>
      <c r="E9" s="6">
        <f>Table119[[#This Row],[Total Athletes]]-(LEN(Table119[[#This Row],[Team]])-LEN(SUBSTITUTE(Table119[[#This Row],[Team]],"/","")))-1</f>
        <v>1</v>
      </c>
      <c r="F9" s="6">
        <v>5</v>
      </c>
    </row>
    <row r="10" spans="1:6" x14ac:dyDescent="0.3">
      <c r="A10" s="6"/>
      <c r="B10" s="6" t="s">
        <v>328</v>
      </c>
      <c r="C10" s="6"/>
      <c r="D10" s="6">
        <v>-1</v>
      </c>
      <c r="E10" s="6">
        <f>Table119[[#This Row],[Total Athletes]]-(LEN(Table119[[#This Row],[Team]])-LEN(SUBSTITUTE(Table119[[#This Row],[Team]],"/","")))-1</f>
        <v>-1</v>
      </c>
      <c r="F10" s="6"/>
    </row>
    <row r="11" spans="1:6" x14ac:dyDescent="0.3">
      <c r="A11" s="6" t="s">
        <v>5038</v>
      </c>
      <c r="B11" s="6" t="s">
        <v>402</v>
      </c>
      <c r="C11" s="6">
        <v>2</v>
      </c>
      <c r="D11" s="6"/>
      <c r="E11" s="6">
        <f>Table119[[#This Row],[Total Athletes]]-(LEN(Table119[[#This Row],[Team]])-LEN(SUBSTITUTE(Table119[[#This Row],[Team]],"/","")))-1</f>
        <v>0</v>
      </c>
      <c r="F11" s="6">
        <v>5</v>
      </c>
    </row>
    <row r="12" spans="1:6" x14ac:dyDescent="0.3">
      <c r="A12" s="6" t="s">
        <v>4169</v>
      </c>
      <c r="B12" s="6" t="s">
        <v>384</v>
      </c>
      <c r="C12" s="6">
        <v>1</v>
      </c>
      <c r="D12" s="6"/>
      <c r="E12" s="6">
        <f>Table119[[#This Row],[Total Athletes]]-(LEN(Table119[[#This Row],[Team]])-LEN(SUBSTITUTE(Table119[[#This Row],[Team]],"/","")))-1</f>
        <v>1</v>
      </c>
      <c r="F12" s="6">
        <v>5</v>
      </c>
    </row>
    <row r="13" spans="1:6" x14ac:dyDescent="0.3">
      <c r="A13" s="6" t="s">
        <v>3177</v>
      </c>
      <c r="B13" s="6" t="s">
        <v>338</v>
      </c>
      <c r="C13" s="6">
        <v>9</v>
      </c>
      <c r="D13" s="6"/>
      <c r="E13" s="6">
        <f>Table119[[#This Row],[Total Athletes]]-(LEN(Table119[[#This Row],[Team]])-LEN(SUBSTITUTE(Table119[[#This Row],[Team]],"/","")))-1</f>
        <v>3</v>
      </c>
      <c r="F13" s="6">
        <v>5</v>
      </c>
    </row>
    <row r="14" spans="1:6" x14ac:dyDescent="0.3">
      <c r="A14" s="6" t="s">
        <v>5053</v>
      </c>
      <c r="B14" s="6" t="s">
        <v>444</v>
      </c>
      <c r="C14" s="6">
        <v>3</v>
      </c>
      <c r="D14" s="6"/>
      <c r="E14" s="6">
        <f>Table119[[#This Row],[Total Athletes]]-(LEN(Table119[[#This Row],[Team]])-LEN(SUBSTITUTE(Table119[[#This Row],[Team]],"/","")))-1</f>
        <v>4</v>
      </c>
      <c r="F14" s="6">
        <v>5</v>
      </c>
    </row>
    <row r="15" spans="1:6" x14ac:dyDescent="0.3">
      <c r="A15" s="6"/>
      <c r="B15" s="6" t="s">
        <v>334</v>
      </c>
      <c r="C15" s="6">
        <v>-1</v>
      </c>
      <c r="D15" s="6"/>
      <c r="E15" s="6">
        <f>Table119[[#This Row],[Total Athletes]]-(LEN(Table119[[#This Row],[Team]])-LEN(SUBSTITUTE(Table119[[#This Row],[Team]],"/","")))-1</f>
        <v>-1</v>
      </c>
      <c r="F15" s="6"/>
    </row>
    <row r="16" spans="1:6" x14ac:dyDescent="0.3">
      <c r="A16" s="6" t="s">
        <v>3663</v>
      </c>
      <c r="B16" s="6" t="s">
        <v>364</v>
      </c>
      <c r="C16" s="6">
        <v>4</v>
      </c>
      <c r="D16" s="6"/>
      <c r="E16" s="6">
        <f>Table119[[#This Row],[Total Athletes]]-(LEN(Table119[[#This Row],[Team]])-LEN(SUBSTITUTE(Table119[[#This Row],[Team]],"/","")))-1</f>
        <v>3</v>
      </c>
      <c r="F16" s="6">
        <v>5</v>
      </c>
    </row>
    <row r="17" spans="1:6" x14ac:dyDescent="0.3">
      <c r="A17" s="6"/>
      <c r="B17" s="6" t="s">
        <v>442</v>
      </c>
      <c r="C17" s="6">
        <v>-1</v>
      </c>
      <c r="D17" s="6"/>
      <c r="E17" s="6">
        <f>Table119[[#This Row],[Total Athletes]]-(LEN(Table119[[#This Row],[Team]])-LEN(SUBSTITUTE(Table119[[#This Row],[Team]],"/","")))-1</f>
        <v>-1</v>
      </c>
      <c r="F17" s="6"/>
    </row>
    <row r="18" spans="1:6" x14ac:dyDescent="0.3">
      <c r="A18" s="6" t="s">
        <v>4835</v>
      </c>
      <c r="B18" s="6" t="s">
        <v>332</v>
      </c>
      <c r="C18" s="6">
        <v>5</v>
      </c>
      <c r="D18" s="6"/>
      <c r="E18" s="6">
        <f>Table119[[#This Row],[Total Athletes]]-(LEN(Table119[[#This Row],[Team]])-LEN(SUBSTITUTE(Table119[[#This Row],[Team]],"/","")))-1</f>
        <v>2</v>
      </c>
      <c r="F18" s="6">
        <v>5</v>
      </c>
    </row>
    <row r="19" spans="1:6" x14ac:dyDescent="0.3">
      <c r="A19" s="6" t="s">
        <v>2882</v>
      </c>
      <c r="B19" s="6" t="s">
        <v>328</v>
      </c>
      <c r="C19" s="6">
        <v>10</v>
      </c>
      <c r="D19" s="6"/>
      <c r="E19" s="6">
        <f>Table119[[#This Row],[Total Athletes]]-(LEN(Table119[[#This Row],[Team]])-LEN(SUBSTITUTE(Table119[[#This Row],[Team]],"/","")))-1</f>
        <v>3</v>
      </c>
      <c r="F19" s="6">
        <v>5</v>
      </c>
    </row>
    <row r="20" spans="1:6" x14ac:dyDescent="0.3">
      <c r="A20" s="6" t="s">
        <v>1313</v>
      </c>
      <c r="B20" s="6" t="s">
        <v>428</v>
      </c>
      <c r="C20" s="6"/>
      <c r="D20" s="6">
        <v>8</v>
      </c>
      <c r="E20" s="6">
        <f>Table119[[#This Row],[Total Athletes]]-(LEN(Table119[[#This Row],[Team]])-LEN(SUBSTITUTE(Table119[[#This Row],[Team]],"/","")))-1</f>
        <v>1</v>
      </c>
      <c r="F20" s="6">
        <v>5</v>
      </c>
    </row>
    <row r="21" spans="1:6" x14ac:dyDescent="0.3">
      <c r="A21" s="6" t="s">
        <v>4832</v>
      </c>
      <c r="B21" s="6" t="s">
        <v>332</v>
      </c>
      <c r="C21" s="6"/>
      <c r="D21" s="6">
        <v>4</v>
      </c>
      <c r="E21" s="6">
        <f>Table119[[#This Row],[Total Athletes]]-(LEN(Table119[[#This Row],[Team]])-LEN(SUBSTITUTE(Table119[[#This Row],[Team]],"/","")))-1</f>
        <v>0</v>
      </c>
      <c r="F21" s="6">
        <v>5</v>
      </c>
    </row>
  </sheetData>
  <pageMargins left="0.7" right="0.7" top="0.75" bottom="0.75" header="0.3" footer="0.3"/>
  <tableParts count="1">
    <tablePart r:id="rId1"/>
  </tableParts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3A0D49-91A6-44DE-99E1-1489EE4FF9EE}">
  <dimension ref="A1:C30"/>
  <sheetViews>
    <sheetView topLeftCell="A25" workbookViewId="0">
      <selection activeCell="B31" sqref="B31"/>
    </sheetView>
  </sheetViews>
  <sheetFormatPr defaultRowHeight="14.4" x14ac:dyDescent="0.3"/>
  <cols>
    <col min="1" max="1" width="17.6640625" bestFit="1" customWidth="1"/>
    <col min="2" max="2" width="13.33203125" bestFit="1" customWidth="1"/>
    <col min="3" max="3" width="14.109375" bestFit="1" customWidth="1"/>
  </cols>
  <sheetData>
    <row r="1" spans="1:3" x14ac:dyDescent="0.3">
      <c r="A1" t="s">
        <v>832</v>
      </c>
      <c r="B1" t="s">
        <v>1</v>
      </c>
      <c r="C1" t="s">
        <v>899</v>
      </c>
    </row>
    <row r="2" spans="1:3" x14ac:dyDescent="0.3">
      <c r="A2" s="6" t="s">
        <v>1862</v>
      </c>
      <c r="B2" s="6" t="s">
        <v>332</v>
      </c>
      <c r="C2" s="6">
        <v>12</v>
      </c>
    </row>
    <row r="3" spans="1:3" x14ac:dyDescent="0.3">
      <c r="A3" s="6"/>
      <c r="B3" s="6" t="s">
        <v>332</v>
      </c>
      <c r="C3" s="6">
        <v>-1</v>
      </c>
    </row>
    <row r="4" spans="1:3" x14ac:dyDescent="0.3">
      <c r="A4" s="6"/>
      <c r="B4" s="6" t="s">
        <v>332</v>
      </c>
      <c r="C4" s="6">
        <v>-1</v>
      </c>
    </row>
    <row r="5" spans="1:3" x14ac:dyDescent="0.3">
      <c r="A5" s="6" t="s">
        <v>4059</v>
      </c>
      <c r="B5" s="6" t="s">
        <v>428</v>
      </c>
      <c r="C5" s="6">
        <v>13</v>
      </c>
    </row>
    <row r="6" spans="1:3" x14ac:dyDescent="0.3">
      <c r="A6" s="6"/>
      <c r="B6" s="6" t="s">
        <v>428</v>
      </c>
      <c r="C6" s="6">
        <v>-1</v>
      </c>
    </row>
    <row r="7" spans="1:3" x14ac:dyDescent="0.3">
      <c r="A7" s="6"/>
      <c r="B7" s="6" t="s">
        <v>428</v>
      </c>
      <c r="C7" s="6">
        <v>-1</v>
      </c>
    </row>
    <row r="8" spans="1:3" x14ac:dyDescent="0.3">
      <c r="A8" s="6" t="s">
        <v>1686</v>
      </c>
      <c r="B8" s="6" t="s">
        <v>344</v>
      </c>
      <c r="C8" s="6">
        <v>7</v>
      </c>
    </row>
    <row r="9" spans="1:3" x14ac:dyDescent="0.3">
      <c r="A9" s="6"/>
      <c r="B9" s="6" t="s">
        <v>344</v>
      </c>
      <c r="C9" s="6">
        <v>-1</v>
      </c>
    </row>
    <row r="10" spans="1:3" x14ac:dyDescent="0.3">
      <c r="A10" s="6" t="s">
        <v>2274</v>
      </c>
      <c r="B10" s="6" t="s">
        <v>356</v>
      </c>
      <c r="C10" s="6">
        <v>9</v>
      </c>
    </row>
    <row r="11" spans="1:3" x14ac:dyDescent="0.3">
      <c r="A11" s="6"/>
      <c r="B11" s="6" t="s">
        <v>356</v>
      </c>
      <c r="C11" s="6">
        <v>-1</v>
      </c>
    </row>
    <row r="12" spans="1:3" x14ac:dyDescent="0.3">
      <c r="A12" s="6"/>
      <c r="B12" s="6" t="s">
        <v>614</v>
      </c>
      <c r="C12" s="6">
        <v>-1</v>
      </c>
    </row>
    <row r="13" spans="1:3" x14ac:dyDescent="0.3">
      <c r="A13" s="6"/>
      <c r="B13" s="6" t="s">
        <v>614</v>
      </c>
      <c r="C13" s="6">
        <v>-1</v>
      </c>
    </row>
    <row r="14" spans="1:3" x14ac:dyDescent="0.3">
      <c r="A14" s="6"/>
      <c r="B14" s="6" t="s">
        <v>604</v>
      </c>
      <c r="C14" s="6">
        <v>-1</v>
      </c>
    </row>
    <row r="15" spans="1:3" x14ac:dyDescent="0.3">
      <c r="A15" s="6"/>
      <c r="B15" s="6" t="s">
        <v>700</v>
      </c>
      <c r="C15" s="6">
        <v>-1</v>
      </c>
    </row>
    <row r="16" spans="1:3" x14ac:dyDescent="0.3">
      <c r="A16" s="6"/>
      <c r="B16" s="6" t="s">
        <v>580</v>
      </c>
      <c r="C16" s="6">
        <v>-1</v>
      </c>
    </row>
    <row r="17" spans="1:3" x14ac:dyDescent="0.3">
      <c r="A17" s="6" t="s">
        <v>3456</v>
      </c>
      <c r="B17" s="6" t="s">
        <v>444</v>
      </c>
      <c r="C17" s="6">
        <v>14</v>
      </c>
    </row>
    <row r="18" spans="1:3" x14ac:dyDescent="0.3">
      <c r="A18" s="6"/>
      <c r="B18" s="6" t="s">
        <v>384</v>
      </c>
      <c r="C18" s="6">
        <v>-1</v>
      </c>
    </row>
    <row r="19" spans="1:3" x14ac:dyDescent="0.3">
      <c r="A19" s="6"/>
      <c r="B19" s="6" t="s">
        <v>456</v>
      </c>
      <c r="C19" s="6">
        <v>-1</v>
      </c>
    </row>
    <row r="20" spans="1:3" x14ac:dyDescent="0.3">
      <c r="A20" s="6"/>
      <c r="B20" s="6" t="s">
        <v>408</v>
      </c>
      <c r="C20" s="6">
        <v>-1</v>
      </c>
    </row>
    <row r="21" spans="1:3" x14ac:dyDescent="0.3">
      <c r="A21" s="6" t="s">
        <v>3164</v>
      </c>
      <c r="B21" s="6" t="s">
        <v>338</v>
      </c>
      <c r="C21" s="6">
        <v>27</v>
      </c>
    </row>
    <row r="22" spans="1:3" x14ac:dyDescent="0.3">
      <c r="A22" s="6"/>
      <c r="B22" s="6" t="s">
        <v>328</v>
      </c>
      <c r="C22" s="6">
        <v>-1</v>
      </c>
    </row>
    <row r="23" spans="1:3" x14ac:dyDescent="0.3">
      <c r="A23" s="6"/>
      <c r="B23" s="6" t="s">
        <v>572</v>
      </c>
      <c r="C23" s="6">
        <v>-1</v>
      </c>
    </row>
    <row r="24" spans="1:3" x14ac:dyDescent="0.3">
      <c r="A24" s="6"/>
      <c r="B24" s="6" t="s">
        <v>330</v>
      </c>
      <c r="C24" s="6">
        <v>-1</v>
      </c>
    </row>
    <row r="25" spans="1:3" x14ac:dyDescent="0.3">
      <c r="A25" s="6"/>
      <c r="B25" s="6" t="s">
        <v>394</v>
      </c>
      <c r="C25" s="6">
        <v>-1</v>
      </c>
    </row>
    <row r="26" spans="1:3" x14ac:dyDescent="0.3">
      <c r="A26" s="6"/>
      <c r="B26" s="6" t="s">
        <v>674</v>
      </c>
      <c r="C26" s="6">
        <v>-1</v>
      </c>
    </row>
    <row r="27" spans="1:3" x14ac:dyDescent="0.3">
      <c r="A27" s="6"/>
      <c r="B27" s="6" t="s">
        <v>700</v>
      </c>
      <c r="C27" s="6">
        <v>-1</v>
      </c>
    </row>
    <row r="28" spans="1:3" x14ac:dyDescent="0.3">
      <c r="A28" s="6"/>
      <c r="B28" s="6" t="s">
        <v>350</v>
      </c>
      <c r="C28" s="6">
        <v>-1</v>
      </c>
    </row>
    <row r="29" spans="1:3" x14ac:dyDescent="0.3">
      <c r="A29" s="6"/>
      <c r="B29" s="6" t="s">
        <v>726</v>
      </c>
      <c r="C29" s="6">
        <v>-1</v>
      </c>
    </row>
    <row r="30" spans="1:3" x14ac:dyDescent="0.3">
      <c r="A30" s="6"/>
      <c r="B30" s="6" t="s">
        <v>368</v>
      </c>
      <c r="C30" s="6">
        <v>-1</v>
      </c>
    </row>
  </sheetData>
  <pageMargins left="0.7" right="0.7" top="0.75" bottom="0.75" header="0.3" footer="0.3"/>
  <tableParts count="1">
    <tablePart r:id="rId1"/>
  </tableParts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8E6D64-4228-4B9D-848D-110CA9D98A66}">
  <dimension ref="A1:C30"/>
  <sheetViews>
    <sheetView topLeftCell="A22" workbookViewId="0">
      <selection activeCell="B31" sqref="B31"/>
    </sheetView>
  </sheetViews>
  <sheetFormatPr defaultRowHeight="14.4" x14ac:dyDescent="0.3"/>
  <cols>
    <col min="1" max="1" width="18.5546875" bestFit="1" customWidth="1"/>
    <col min="2" max="2" width="14" bestFit="1" customWidth="1"/>
    <col min="3" max="3" width="14.109375" bestFit="1" customWidth="1"/>
  </cols>
  <sheetData>
    <row r="1" spans="1:3" x14ac:dyDescent="0.3">
      <c r="A1" t="s">
        <v>832</v>
      </c>
      <c r="B1" t="s">
        <v>1</v>
      </c>
      <c r="C1" t="s">
        <v>899</v>
      </c>
    </row>
    <row r="2" spans="1:3" x14ac:dyDescent="0.3">
      <c r="A2" s="6" t="s">
        <v>2026</v>
      </c>
      <c r="B2" s="6" t="s">
        <v>332</v>
      </c>
      <c r="C2" s="6">
        <v>1</v>
      </c>
    </row>
    <row r="3" spans="1:3" x14ac:dyDescent="0.3">
      <c r="A3" s="6" t="s">
        <v>4522</v>
      </c>
      <c r="B3" s="6" t="s">
        <v>332</v>
      </c>
      <c r="C3" s="6">
        <v>12</v>
      </c>
    </row>
    <row r="4" spans="1:3" x14ac:dyDescent="0.3">
      <c r="A4" s="6"/>
      <c r="B4" s="6" t="s">
        <v>332</v>
      </c>
      <c r="C4" s="6">
        <v>-1</v>
      </c>
    </row>
    <row r="5" spans="1:3" x14ac:dyDescent="0.3">
      <c r="A5" s="6"/>
      <c r="B5" s="6" t="s">
        <v>428</v>
      </c>
      <c r="C5" s="6">
        <v>-1</v>
      </c>
    </row>
    <row r="6" spans="1:3" x14ac:dyDescent="0.3">
      <c r="A6" s="6"/>
      <c r="B6" s="6" t="s">
        <v>428</v>
      </c>
      <c r="C6" s="6">
        <v>-1</v>
      </c>
    </row>
    <row r="7" spans="1:3" x14ac:dyDescent="0.3">
      <c r="A7" s="6"/>
      <c r="B7" s="6" t="s">
        <v>428</v>
      </c>
      <c r="C7" s="6">
        <v>-1</v>
      </c>
    </row>
    <row r="8" spans="1:3" x14ac:dyDescent="0.3">
      <c r="A8" s="6"/>
      <c r="B8" s="6" t="s">
        <v>700</v>
      </c>
      <c r="C8" s="6">
        <v>-1</v>
      </c>
    </row>
    <row r="9" spans="1:3" x14ac:dyDescent="0.3">
      <c r="A9" s="6"/>
      <c r="B9" s="6" t="s">
        <v>700</v>
      </c>
      <c r="C9" s="6">
        <v>-1</v>
      </c>
    </row>
    <row r="10" spans="1:3" x14ac:dyDescent="0.3">
      <c r="A10" s="6"/>
      <c r="B10" s="6" t="s">
        <v>444</v>
      </c>
      <c r="C10" s="6">
        <v>-1</v>
      </c>
    </row>
    <row r="11" spans="1:3" x14ac:dyDescent="0.3">
      <c r="A11" s="6"/>
      <c r="B11" s="6" t="s">
        <v>444</v>
      </c>
      <c r="C11" s="6">
        <v>-1</v>
      </c>
    </row>
    <row r="12" spans="1:3" x14ac:dyDescent="0.3">
      <c r="A12" s="6"/>
      <c r="B12" s="6" t="s">
        <v>520</v>
      </c>
      <c r="C12" s="6">
        <v>-1</v>
      </c>
    </row>
    <row r="13" spans="1:3" x14ac:dyDescent="0.3">
      <c r="A13" s="6"/>
      <c r="B13" s="6" t="s">
        <v>572</v>
      </c>
      <c r="C13" s="6">
        <v>-1</v>
      </c>
    </row>
    <row r="14" spans="1:3" x14ac:dyDescent="0.3">
      <c r="A14" s="6"/>
      <c r="B14" s="6" t="s">
        <v>384</v>
      </c>
      <c r="C14" s="6">
        <v>-1</v>
      </c>
    </row>
    <row r="15" spans="1:3" x14ac:dyDescent="0.3">
      <c r="A15" s="6"/>
      <c r="B15" s="6" t="s">
        <v>356</v>
      </c>
      <c r="C15" s="6">
        <v>-1</v>
      </c>
    </row>
    <row r="16" spans="1:3" x14ac:dyDescent="0.3">
      <c r="A16" s="6"/>
      <c r="B16" s="6" t="s">
        <v>604</v>
      </c>
      <c r="C16" s="6">
        <v>-1</v>
      </c>
    </row>
    <row r="17" spans="1:3" x14ac:dyDescent="0.3">
      <c r="A17" s="6"/>
      <c r="B17" s="6" t="s">
        <v>344</v>
      </c>
      <c r="C17" s="6">
        <v>-1</v>
      </c>
    </row>
    <row r="18" spans="1:3" x14ac:dyDescent="0.3">
      <c r="A18" s="6"/>
      <c r="B18" s="6" t="s">
        <v>598</v>
      </c>
      <c r="C18" s="6">
        <v>-1</v>
      </c>
    </row>
    <row r="19" spans="1:3" x14ac:dyDescent="0.3">
      <c r="A19" s="6"/>
      <c r="B19" s="6" t="s">
        <v>358</v>
      </c>
      <c r="C19" s="6">
        <v>-1</v>
      </c>
    </row>
    <row r="20" spans="1:3" x14ac:dyDescent="0.3">
      <c r="A20" s="6"/>
      <c r="B20" s="6" t="s">
        <v>372</v>
      </c>
      <c r="C20" s="6">
        <v>-1</v>
      </c>
    </row>
    <row r="21" spans="1:3" x14ac:dyDescent="0.3">
      <c r="A21" s="6"/>
      <c r="B21" s="6" t="s">
        <v>348</v>
      </c>
      <c r="C21" s="6">
        <v>-1</v>
      </c>
    </row>
    <row r="22" spans="1:3" x14ac:dyDescent="0.3">
      <c r="A22" s="6"/>
      <c r="B22" s="6" t="s">
        <v>394</v>
      </c>
      <c r="C22" s="6">
        <v>-1</v>
      </c>
    </row>
    <row r="23" spans="1:3" x14ac:dyDescent="0.3">
      <c r="A23" s="6" t="s">
        <v>4754</v>
      </c>
      <c r="B23" s="6" t="s">
        <v>370</v>
      </c>
      <c r="C23" s="6">
        <v>28</v>
      </c>
    </row>
    <row r="24" spans="1:3" x14ac:dyDescent="0.3">
      <c r="A24" s="6" t="s">
        <v>1511</v>
      </c>
      <c r="B24" s="6" t="s">
        <v>402</v>
      </c>
      <c r="C24" s="6">
        <v>29</v>
      </c>
    </row>
    <row r="25" spans="1:3" x14ac:dyDescent="0.3">
      <c r="A25" s="6"/>
      <c r="B25" s="6" t="s">
        <v>620</v>
      </c>
      <c r="C25" s="6">
        <v>-1</v>
      </c>
    </row>
    <row r="26" spans="1:3" x14ac:dyDescent="0.3">
      <c r="A26" s="6"/>
      <c r="B26" s="6" t="s">
        <v>674</v>
      </c>
      <c r="C26" s="6">
        <v>-1</v>
      </c>
    </row>
    <row r="27" spans="1:3" x14ac:dyDescent="0.3">
      <c r="A27" s="6"/>
      <c r="B27" s="6" t="s">
        <v>580</v>
      </c>
      <c r="C27" s="6">
        <v>-1</v>
      </c>
    </row>
    <row r="28" spans="1:3" x14ac:dyDescent="0.3">
      <c r="A28" s="6"/>
      <c r="B28" s="6" t="s">
        <v>520</v>
      </c>
      <c r="C28" s="6">
        <v>-1</v>
      </c>
    </row>
    <row r="29" spans="1:3" x14ac:dyDescent="0.3">
      <c r="A29" s="6"/>
      <c r="B29" s="6" t="s">
        <v>518</v>
      </c>
      <c r="C29" s="6">
        <v>-1</v>
      </c>
    </row>
    <row r="30" spans="1:3" x14ac:dyDescent="0.3">
      <c r="A30" s="6"/>
      <c r="B30" s="6" t="s">
        <v>328</v>
      </c>
      <c r="C30" s="6">
        <v>-1</v>
      </c>
    </row>
  </sheetData>
  <pageMargins left="0.7" right="0.7" top="0.75" bottom="0.75" header="0.3" footer="0.3"/>
  <tableParts count="1">
    <tablePart r:id="rId1"/>
  </tableParts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BBEED-E839-4242-BA6E-D67330349F94}">
  <dimension ref="A1:F43"/>
  <sheetViews>
    <sheetView topLeftCell="A37" workbookViewId="0">
      <selection activeCell="B44" sqref="B44"/>
    </sheetView>
  </sheetViews>
  <sheetFormatPr defaultRowHeight="14.4" x14ac:dyDescent="0.3"/>
  <cols>
    <col min="1" max="1" width="37.88671875" bestFit="1" customWidth="1"/>
    <col min="2" max="2" width="14" bestFit="1" customWidth="1"/>
    <col min="3" max="3" width="22.88671875" bestFit="1" customWidth="1"/>
    <col min="4" max="4" width="24.77734375" bestFit="1" customWidth="1"/>
    <col min="5" max="5" width="17" bestFit="1" customWidth="1"/>
    <col min="6" max="6" width="14.77734375" bestFit="1" customWidth="1"/>
  </cols>
  <sheetData>
    <row r="1" spans="1:6" x14ac:dyDescent="0.3">
      <c r="A1" t="s">
        <v>833</v>
      </c>
      <c r="B1" t="s">
        <v>1</v>
      </c>
      <c r="C1" t="s">
        <v>1025</v>
      </c>
      <c r="D1" t="s">
        <v>1024</v>
      </c>
      <c r="E1" t="s">
        <v>1212</v>
      </c>
      <c r="F1" t="s">
        <v>1213</v>
      </c>
    </row>
    <row r="2" spans="1:6" x14ac:dyDescent="0.3">
      <c r="A2" s="6"/>
      <c r="B2" s="6" t="s">
        <v>384</v>
      </c>
      <c r="C2" s="6"/>
      <c r="D2" s="6">
        <v>-1</v>
      </c>
      <c r="E2" s="6">
        <f>Table123[[#This Row],[Total Athletes]]-(LEN(Table123[[#This Row],[Pair]])-LEN(SUBSTITUTE(Table123[[#This Row],[Pair]],"/","")))-1</f>
        <v>-1</v>
      </c>
      <c r="F2" s="6"/>
    </row>
    <row r="3" spans="1:6" x14ac:dyDescent="0.3">
      <c r="A3" s="6"/>
      <c r="B3" s="6" t="s">
        <v>384</v>
      </c>
      <c r="C3" s="6"/>
      <c r="D3" s="6">
        <v>-1</v>
      </c>
      <c r="E3" s="6">
        <f>Table123[[#This Row],[Total Athletes]]-(LEN(Table123[[#This Row],[Pair]])-LEN(SUBSTITUTE(Table123[[#This Row],[Pair]],"/","")))-1</f>
        <v>-1</v>
      </c>
      <c r="F3" s="6"/>
    </row>
    <row r="4" spans="1:6" x14ac:dyDescent="0.3">
      <c r="A4" s="6"/>
      <c r="B4" s="6" t="s">
        <v>356</v>
      </c>
      <c r="C4" s="6"/>
      <c r="D4" s="6">
        <v>-1</v>
      </c>
      <c r="E4" s="6">
        <f>Table123[[#This Row],[Total Athletes]]-(LEN(Table123[[#This Row],[Pair]])-LEN(SUBSTITUTE(Table123[[#This Row],[Pair]],"/","")))-1</f>
        <v>-1</v>
      </c>
      <c r="F4" s="6"/>
    </row>
    <row r="5" spans="1:6" x14ac:dyDescent="0.3">
      <c r="A5" s="6"/>
      <c r="B5" s="6" t="s">
        <v>356</v>
      </c>
      <c r="C5" s="6"/>
      <c r="D5" s="6">
        <v>-1</v>
      </c>
      <c r="E5" s="6">
        <f>Table123[[#This Row],[Total Athletes]]-(LEN(Table123[[#This Row],[Pair]])-LEN(SUBSTITUTE(Table123[[#This Row],[Pair]],"/","")))-1</f>
        <v>-1</v>
      </c>
      <c r="F5" s="6"/>
    </row>
    <row r="6" spans="1:6" x14ac:dyDescent="0.3">
      <c r="A6" s="6"/>
      <c r="B6" s="6" t="s">
        <v>334</v>
      </c>
      <c r="C6" s="6"/>
      <c r="D6" s="6">
        <v>-1</v>
      </c>
      <c r="E6" s="6">
        <f>Table123[[#This Row],[Total Athletes]]-(LEN(Table123[[#This Row],[Pair]])-LEN(SUBSTITUTE(Table123[[#This Row],[Pair]],"/","")))-1</f>
        <v>-1</v>
      </c>
      <c r="F6" s="6"/>
    </row>
    <row r="7" spans="1:6" x14ac:dyDescent="0.3">
      <c r="A7" s="6"/>
      <c r="B7" s="6" t="s">
        <v>334</v>
      </c>
      <c r="C7" s="6"/>
      <c r="D7" s="6">
        <v>-1</v>
      </c>
      <c r="E7" s="6">
        <f>Table123[[#This Row],[Total Athletes]]-(LEN(Table123[[#This Row],[Pair]])-LEN(SUBSTITUTE(Table123[[#This Row],[Pair]],"/","")))-1</f>
        <v>-1</v>
      </c>
      <c r="F7" s="6"/>
    </row>
    <row r="8" spans="1:6" x14ac:dyDescent="0.3">
      <c r="A8" s="6" t="s">
        <v>2008</v>
      </c>
      <c r="B8" s="6" t="s">
        <v>332</v>
      </c>
      <c r="C8" s="6"/>
      <c r="D8" s="6">
        <v>7</v>
      </c>
      <c r="E8" s="6">
        <f>Table123[[#This Row],[Total Athletes]]-(LEN(Table123[[#This Row],[Pair]])-LEN(SUBSTITUTE(Table123[[#This Row],[Pair]],"/","")))-1</f>
        <v>1</v>
      </c>
      <c r="F8" s="6">
        <v>2</v>
      </c>
    </row>
    <row r="9" spans="1:6" x14ac:dyDescent="0.3">
      <c r="A9" s="6" t="s">
        <v>4050</v>
      </c>
      <c r="B9" s="6" t="s">
        <v>332</v>
      </c>
      <c r="C9" s="6"/>
      <c r="D9" s="6">
        <v>9</v>
      </c>
      <c r="E9" s="6">
        <f>Table123[[#This Row],[Total Athletes]]-(LEN(Table123[[#This Row],[Pair]])-LEN(SUBSTITUTE(Table123[[#This Row],[Pair]],"/","")))-1</f>
        <v>1</v>
      </c>
      <c r="F9" s="6">
        <v>2</v>
      </c>
    </row>
    <row r="10" spans="1:6" x14ac:dyDescent="0.3">
      <c r="A10" s="6" t="s">
        <v>3330</v>
      </c>
      <c r="B10" s="6" t="s">
        <v>428</v>
      </c>
      <c r="C10" s="6"/>
      <c r="D10" s="6">
        <v>1</v>
      </c>
      <c r="E10" s="6">
        <f>Table123[[#This Row],[Total Athletes]]-(LEN(Table123[[#This Row],[Pair]])-LEN(SUBSTITUTE(Table123[[#This Row],[Pair]],"/","")))-1</f>
        <v>1</v>
      </c>
      <c r="F10" s="6">
        <v>2</v>
      </c>
    </row>
    <row r="11" spans="1:6" x14ac:dyDescent="0.3">
      <c r="A11" s="6"/>
      <c r="B11" s="6" t="s">
        <v>580</v>
      </c>
      <c r="C11" s="6"/>
      <c r="D11" s="6">
        <v>-1</v>
      </c>
      <c r="E11" s="6">
        <f>Table123[[#This Row],[Total Athletes]]-(LEN(Table123[[#This Row],[Pair]])-LEN(SUBSTITUTE(Table123[[#This Row],[Pair]],"/","")))-1</f>
        <v>-1</v>
      </c>
      <c r="F11" s="6"/>
    </row>
    <row r="12" spans="1:6" x14ac:dyDescent="0.3">
      <c r="A12" s="6"/>
      <c r="B12" s="6" t="s">
        <v>354</v>
      </c>
      <c r="C12" s="6"/>
      <c r="D12" s="6">
        <v>-1</v>
      </c>
      <c r="E12" s="6">
        <f>Table123[[#This Row],[Total Athletes]]-(LEN(Table123[[#This Row],[Pair]])-LEN(SUBSTITUTE(Table123[[#This Row],[Pair]],"/","")))-1</f>
        <v>-1</v>
      </c>
      <c r="F12" s="6"/>
    </row>
    <row r="13" spans="1:6" x14ac:dyDescent="0.3">
      <c r="A13" s="6"/>
      <c r="B13" s="6" t="s">
        <v>406</v>
      </c>
      <c r="C13" s="6"/>
      <c r="D13" s="6">
        <v>-1</v>
      </c>
      <c r="E13" s="6">
        <f>Table123[[#This Row],[Total Athletes]]-(LEN(Table123[[#This Row],[Pair]])-LEN(SUBSTITUTE(Table123[[#This Row],[Pair]],"/","")))-1</f>
        <v>-1</v>
      </c>
      <c r="F13" s="6"/>
    </row>
    <row r="14" spans="1:6" x14ac:dyDescent="0.3">
      <c r="A14" s="6" t="s">
        <v>4229</v>
      </c>
      <c r="B14" s="6" t="s">
        <v>402</v>
      </c>
      <c r="C14" s="6"/>
      <c r="D14" s="6">
        <v>15</v>
      </c>
      <c r="E14" s="6">
        <f>Table123[[#This Row],[Total Athletes]]-(LEN(Table123[[#This Row],[Pair]])-LEN(SUBSTITUTE(Table123[[#This Row],[Pair]],"/","")))-1</f>
        <v>1</v>
      </c>
      <c r="F14" s="6">
        <v>2</v>
      </c>
    </row>
    <row r="15" spans="1:6" x14ac:dyDescent="0.3">
      <c r="A15" s="6"/>
      <c r="B15" s="6" t="s">
        <v>394</v>
      </c>
      <c r="C15" s="6"/>
      <c r="D15" s="6">
        <v>-1</v>
      </c>
      <c r="E15" s="6">
        <f>Table123[[#This Row],[Total Athletes]]-(LEN(Table123[[#This Row],[Pair]])-LEN(SUBSTITUTE(Table123[[#This Row],[Pair]],"/","")))-1</f>
        <v>-1</v>
      </c>
      <c r="F15" s="6"/>
    </row>
    <row r="16" spans="1:6" x14ac:dyDescent="0.3">
      <c r="A16" s="6" t="s">
        <v>2654</v>
      </c>
      <c r="B16" s="6" t="s">
        <v>412</v>
      </c>
      <c r="C16" s="6"/>
      <c r="D16" s="6">
        <v>17</v>
      </c>
      <c r="E16" s="6">
        <f>Table123[[#This Row],[Total Athletes]]-(LEN(Table123[[#This Row],[Pair]])-LEN(SUBSTITUTE(Table123[[#This Row],[Pair]],"/","")))-1</f>
        <v>1</v>
      </c>
      <c r="F16" s="6">
        <v>2</v>
      </c>
    </row>
    <row r="17" spans="1:6" x14ac:dyDescent="0.3">
      <c r="A17" s="6"/>
      <c r="B17" s="6" t="s">
        <v>384</v>
      </c>
      <c r="C17" s="6">
        <v>-1</v>
      </c>
      <c r="D17" s="6"/>
      <c r="E17" s="6">
        <f>Table123[[#This Row],[Total Athletes]]-(LEN(Table123[[#This Row],[Pair]])-LEN(SUBSTITUTE(Table123[[#This Row],[Pair]],"/","")))-1</f>
        <v>-1</v>
      </c>
      <c r="F17" s="6"/>
    </row>
    <row r="18" spans="1:6" x14ac:dyDescent="0.3">
      <c r="A18" s="6"/>
      <c r="B18" s="6" t="s">
        <v>384</v>
      </c>
      <c r="C18" s="6">
        <v>-1</v>
      </c>
      <c r="D18" s="6"/>
      <c r="E18" s="6">
        <f>Table123[[#This Row],[Total Athletes]]-(LEN(Table123[[#This Row],[Pair]])-LEN(SUBSTITUTE(Table123[[#This Row],[Pair]],"/","")))-1</f>
        <v>-1</v>
      </c>
      <c r="F18" s="6"/>
    </row>
    <row r="19" spans="1:6" x14ac:dyDescent="0.3">
      <c r="A19" s="6"/>
      <c r="B19" s="6" t="s">
        <v>384</v>
      </c>
      <c r="C19" s="6">
        <v>-1</v>
      </c>
      <c r="D19" s="6"/>
      <c r="E19" s="6">
        <f>Table123[[#This Row],[Total Athletes]]-(LEN(Table123[[#This Row],[Pair]])-LEN(SUBSTITUTE(Table123[[#This Row],[Pair]],"/","")))-1</f>
        <v>-1</v>
      </c>
      <c r="F19" s="6"/>
    </row>
    <row r="20" spans="1:6" x14ac:dyDescent="0.3">
      <c r="A20" s="6" t="s">
        <v>1975</v>
      </c>
      <c r="B20" s="6" t="s">
        <v>332</v>
      </c>
      <c r="C20" s="6">
        <v>2</v>
      </c>
      <c r="D20" s="6"/>
      <c r="E20" s="6">
        <f>Table123[[#This Row],[Total Athletes]]-(LEN(Table123[[#This Row],[Pair]])-LEN(SUBSTITUTE(Table123[[#This Row],[Pair]],"/","")))-1</f>
        <v>1</v>
      </c>
      <c r="F20" s="6">
        <v>2</v>
      </c>
    </row>
    <row r="21" spans="1:6" x14ac:dyDescent="0.3">
      <c r="A21" s="6" t="s">
        <v>2050</v>
      </c>
      <c r="B21" s="6" t="s">
        <v>332</v>
      </c>
      <c r="C21" s="6">
        <v>11</v>
      </c>
      <c r="D21" s="6"/>
      <c r="E21" s="6">
        <f>Table123[[#This Row],[Total Athletes]]-(LEN(Table123[[#This Row],[Pair]])-LEN(SUBSTITUTE(Table123[[#This Row],[Pair]],"/","")))-1</f>
        <v>1</v>
      </c>
      <c r="F21" s="6">
        <v>2</v>
      </c>
    </row>
    <row r="22" spans="1:6" x14ac:dyDescent="0.3">
      <c r="A22" s="6"/>
      <c r="B22" s="6" t="s">
        <v>332</v>
      </c>
      <c r="C22" s="6">
        <v>-1</v>
      </c>
      <c r="D22" s="6"/>
      <c r="E22" s="6">
        <f>Table123[[#This Row],[Total Athletes]]-(LEN(Table123[[#This Row],[Pair]])-LEN(SUBSTITUTE(Table123[[#This Row],[Pair]],"/","")))-1</f>
        <v>-1</v>
      </c>
      <c r="F22" s="6"/>
    </row>
    <row r="23" spans="1:6" x14ac:dyDescent="0.3">
      <c r="A23" s="6" t="s">
        <v>2099</v>
      </c>
      <c r="B23" s="6" t="s">
        <v>442</v>
      </c>
      <c r="C23" s="6">
        <v>16</v>
      </c>
      <c r="D23" s="6"/>
      <c r="E23" s="6">
        <f>Table123[[#This Row],[Total Athletes]]-(LEN(Table123[[#This Row],[Pair]])-LEN(SUBSTITUTE(Table123[[#This Row],[Pair]],"/","")))-1</f>
        <v>1</v>
      </c>
      <c r="F23" s="6">
        <v>2</v>
      </c>
    </row>
    <row r="24" spans="1:6" x14ac:dyDescent="0.3">
      <c r="A24" s="6"/>
      <c r="B24" s="6" t="s">
        <v>442</v>
      </c>
      <c r="C24" s="6">
        <v>-1</v>
      </c>
      <c r="D24" s="6"/>
      <c r="E24" s="6">
        <f>Table123[[#This Row],[Total Athletes]]-(LEN(Table123[[#This Row],[Pair]])-LEN(SUBSTITUTE(Table123[[#This Row],[Pair]],"/","")))-1</f>
        <v>-1</v>
      </c>
      <c r="F24" s="6"/>
    </row>
    <row r="25" spans="1:6" x14ac:dyDescent="0.3">
      <c r="A25" s="6" t="s">
        <v>1950</v>
      </c>
      <c r="B25" s="6" t="s">
        <v>344</v>
      </c>
      <c r="C25" s="6">
        <v>1</v>
      </c>
      <c r="D25" s="6"/>
      <c r="E25" s="6">
        <f>Table123[[#This Row],[Total Athletes]]-(LEN(Table123[[#This Row],[Pair]])-LEN(SUBSTITUTE(Table123[[#This Row],[Pair]],"/","")))-1</f>
        <v>1</v>
      </c>
      <c r="F25" s="6">
        <v>2</v>
      </c>
    </row>
    <row r="26" spans="1:6" x14ac:dyDescent="0.3">
      <c r="A26" s="6" t="s">
        <v>3191</v>
      </c>
      <c r="B26" s="6" t="s">
        <v>344</v>
      </c>
      <c r="C26" s="6">
        <v>8</v>
      </c>
      <c r="D26" s="6"/>
      <c r="E26" s="6">
        <f>Table123[[#This Row],[Total Athletes]]-(LEN(Table123[[#This Row],[Pair]])-LEN(SUBSTITUTE(Table123[[#This Row],[Pair]],"/","")))-1</f>
        <v>1</v>
      </c>
      <c r="F26" s="6">
        <v>2</v>
      </c>
    </row>
    <row r="27" spans="1:6" x14ac:dyDescent="0.3">
      <c r="A27" s="6"/>
      <c r="B27" s="6" t="s">
        <v>402</v>
      </c>
      <c r="C27" s="6">
        <v>-1</v>
      </c>
      <c r="D27" s="6"/>
      <c r="E27" s="6">
        <f>Table123[[#This Row],[Total Athletes]]-(LEN(Table123[[#This Row],[Pair]])-LEN(SUBSTITUTE(Table123[[#This Row],[Pair]],"/","")))-1</f>
        <v>-1</v>
      </c>
      <c r="F27" s="6"/>
    </row>
    <row r="28" spans="1:6" x14ac:dyDescent="0.3">
      <c r="A28" s="6"/>
      <c r="B28" s="6" t="s">
        <v>402</v>
      </c>
      <c r="C28" s="6">
        <v>-1</v>
      </c>
      <c r="D28" s="6"/>
      <c r="E28" s="6">
        <f>Table123[[#This Row],[Total Athletes]]-(LEN(Table123[[#This Row],[Pair]])-LEN(SUBSTITUTE(Table123[[#This Row],[Pair]],"/","")))-1</f>
        <v>-1</v>
      </c>
      <c r="F28" s="6"/>
    </row>
    <row r="29" spans="1:6" x14ac:dyDescent="0.3">
      <c r="A29" s="6" t="s">
        <v>1467</v>
      </c>
      <c r="B29" s="6" t="s">
        <v>372</v>
      </c>
      <c r="C29" s="6">
        <v>12</v>
      </c>
      <c r="D29" s="6"/>
      <c r="E29" s="6">
        <f>Table123[[#This Row],[Total Athletes]]-(LEN(Table123[[#This Row],[Pair]])-LEN(SUBSTITUTE(Table123[[#This Row],[Pair]],"/","")))-1</f>
        <v>0</v>
      </c>
      <c r="F29" s="6">
        <v>2</v>
      </c>
    </row>
    <row r="30" spans="1:6" x14ac:dyDescent="0.3">
      <c r="A30" s="6" t="s">
        <v>4382</v>
      </c>
      <c r="B30" s="6" t="s">
        <v>356</v>
      </c>
      <c r="C30" s="6">
        <v>4</v>
      </c>
      <c r="D30" s="6"/>
      <c r="E30" s="6">
        <f>Table123[[#This Row],[Total Athletes]]-(LEN(Table123[[#This Row],[Pair]])-LEN(SUBSTITUTE(Table123[[#This Row],[Pair]],"/","")))-1</f>
        <v>1</v>
      </c>
      <c r="F30" s="6">
        <v>2</v>
      </c>
    </row>
    <row r="31" spans="1:6" x14ac:dyDescent="0.3">
      <c r="A31" s="6"/>
      <c r="B31" s="6" t="s">
        <v>330</v>
      </c>
      <c r="C31" s="6">
        <v>-1</v>
      </c>
      <c r="D31" s="6"/>
      <c r="E31" s="6">
        <f>Table123[[#This Row],[Total Athletes]]-(LEN(Table123[[#This Row],[Pair]])-LEN(SUBSTITUTE(Table123[[#This Row],[Pair]],"/","")))-1</f>
        <v>-1</v>
      </c>
      <c r="F31" s="6"/>
    </row>
    <row r="32" spans="1:6" x14ac:dyDescent="0.3">
      <c r="A32" s="6"/>
      <c r="B32" s="6" t="s">
        <v>580</v>
      </c>
      <c r="C32" s="6">
        <v>-1</v>
      </c>
      <c r="D32" s="6"/>
      <c r="E32" s="6">
        <f>Table123[[#This Row],[Total Athletes]]-(LEN(Table123[[#This Row],[Pair]])-LEN(SUBSTITUTE(Table123[[#This Row],[Pair]],"/","")))-1</f>
        <v>-1</v>
      </c>
      <c r="F32" s="6"/>
    </row>
    <row r="33" spans="1:6" x14ac:dyDescent="0.3">
      <c r="A33" s="6" t="s">
        <v>4673</v>
      </c>
      <c r="B33" s="6" t="s">
        <v>334</v>
      </c>
      <c r="C33" s="6">
        <v>23</v>
      </c>
      <c r="D33" s="6"/>
      <c r="E33" s="6">
        <f>Table123[[#This Row],[Total Athletes]]-(LEN(Table123[[#This Row],[Pair]])-LEN(SUBSTITUTE(Table123[[#This Row],[Pair]],"/","")))-1</f>
        <v>1</v>
      </c>
      <c r="F33" s="6">
        <v>2</v>
      </c>
    </row>
    <row r="34" spans="1:6" x14ac:dyDescent="0.3">
      <c r="A34" s="6" t="s">
        <v>2345</v>
      </c>
      <c r="B34" s="6" t="s">
        <v>700</v>
      </c>
      <c r="C34" s="6">
        <v>22</v>
      </c>
      <c r="D34" s="6"/>
      <c r="E34" s="6">
        <f>Table123[[#This Row],[Total Athletes]]-(LEN(Table123[[#This Row],[Pair]])-LEN(SUBSTITUTE(Table123[[#This Row],[Pair]],"/","")))-1</f>
        <v>1</v>
      </c>
      <c r="F34" s="6">
        <v>2</v>
      </c>
    </row>
    <row r="35" spans="1:6" x14ac:dyDescent="0.3">
      <c r="A35" s="6"/>
      <c r="B35" s="6" t="s">
        <v>328</v>
      </c>
      <c r="C35" s="6"/>
      <c r="D35" s="6">
        <v>-1</v>
      </c>
      <c r="E35" s="6">
        <f>Table123[[#This Row],[Total Athletes]]-(LEN(Table123[[#This Row],[Pair]])-LEN(SUBSTITUTE(Table123[[#This Row],[Pair]],"/","")))-1</f>
        <v>-1</v>
      </c>
      <c r="F35" s="6"/>
    </row>
    <row r="36" spans="1:6" x14ac:dyDescent="0.3">
      <c r="A36" s="6"/>
      <c r="B36" s="6" t="s">
        <v>506</v>
      </c>
      <c r="C36" s="6"/>
      <c r="D36" s="6">
        <v>-1</v>
      </c>
      <c r="E36" s="6">
        <f>Table123[[#This Row],[Total Athletes]]-(LEN(Table123[[#This Row],[Pair]])-LEN(SUBSTITUTE(Table123[[#This Row],[Pair]],"/","")))-1</f>
        <v>-1</v>
      </c>
      <c r="F36" s="6"/>
    </row>
    <row r="37" spans="1:6" x14ac:dyDescent="0.3">
      <c r="A37" s="6" t="s">
        <v>1293</v>
      </c>
      <c r="B37" s="6" t="s">
        <v>428</v>
      </c>
      <c r="C37" s="6"/>
      <c r="D37" s="6">
        <v>19</v>
      </c>
      <c r="E37" s="6">
        <f>Table123[[#This Row],[Total Athletes]]-(LEN(Table123[[#This Row],[Pair]])-LEN(SUBSTITUTE(Table123[[#This Row],[Pair]],"/","")))-1</f>
        <v>1</v>
      </c>
      <c r="F37" s="6">
        <v>2</v>
      </c>
    </row>
    <row r="38" spans="1:6" x14ac:dyDescent="0.3">
      <c r="A38" s="6"/>
      <c r="B38" s="6" t="s">
        <v>344</v>
      </c>
      <c r="C38" s="6"/>
      <c r="D38" s="6">
        <v>-1</v>
      </c>
      <c r="E38" s="6">
        <f>Table123[[#This Row],[Total Athletes]]-(LEN(Table123[[#This Row],[Pair]])-LEN(SUBSTITUTE(Table123[[#This Row],[Pair]],"/","")))-1</f>
        <v>-1</v>
      </c>
      <c r="F38" s="6"/>
    </row>
    <row r="39" spans="1:6" x14ac:dyDescent="0.3">
      <c r="A39" s="6"/>
      <c r="B39" s="6" t="s">
        <v>620</v>
      </c>
      <c r="C39" s="6">
        <v>-1</v>
      </c>
      <c r="D39" s="6"/>
      <c r="E39" s="6">
        <f>Table123[[#This Row],[Total Athletes]]-(LEN(Table123[[#This Row],[Pair]])-LEN(SUBSTITUTE(Table123[[#This Row],[Pair]],"/","")))-1</f>
        <v>-1</v>
      </c>
      <c r="F39" s="6"/>
    </row>
    <row r="40" spans="1:6" x14ac:dyDescent="0.3">
      <c r="A40" s="6" t="s">
        <v>2384</v>
      </c>
      <c r="B40" s="6" t="s">
        <v>354</v>
      </c>
      <c r="C40" s="6">
        <v>18</v>
      </c>
      <c r="D40" s="6"/>
      <c r="E40" s="6">
        <f>Table123[[#This Row],[Total Athletes]]-(LEN(Table123[[#This Row],[Pair]])-LEN(SUBSTITUTE(Table123[[#This Row],[Pair]],"/","")))-1</f>
        <v>1</v>
      </c>
      <c r="F40" s="6">
        <v>2</v>
      </c>
    </row>
    <row r="41" spans="1:6" x14ac:dyDescent="0.3">
      <c r="A41" s="6" t="s">
        <v>4018</v>
      </c>
      <c r="B41" s="6" t="s">
        <v>330</v>
      </c>
      <c r="C41" s="6">
        <v>19</v>
      </c>
      <c r="D41" s="6"/>
      <c r="E41" s="6">
        <f>Table123[[#This Row],[Total Athletes]]-(LEN(Table123[[#This Row],[Pair]])-LEN(SUBSTITUTE(Table123[[#This Row],[Pair]],"/","")))-1</f>
        <v>1</v>
      </c>
      <c r="F41" s="6">
        <v>2</v>
      </c>
    </row>
    <row r="42" spans="1:6" x14ac:dyDescent="0.3">
      <c r="A42" s="6"/>
      <c r="B42" s="6" t="s">
        <v>328</v>
      </c>
      <c r="C42" s="6">
        <v>-1</v>
      </c>
      <c r="D42" s="6"/>
      <c r="E42" s="6">
        <f>Table123[[#This Row],[Total Athletes]]-(LEN(Table123[[#This Row],[Pair]])-LEN(SUBSTITUTE(Table123[[#This Row],[Pair]],"/","")))-1</f>
        <v>-1</v>
      </c>
      <c r="F42" s="6"/>
    </row>
    <row r="43" spans="1:6" x14ac:dyDescent="0.3">
      <c r="A43" s="6"/>
      <c r="B43" s="6" t="s">
        <v>338</v>
      </c>
      <c r="C43" s="6">
        <v>-1</v>
      </c>
      <c r="D43" s="6"/>
      <c r="E43" s="6">
        <f>Table123[[#This Row],[Total Athletes]]-(LEN(Table123[[#This Row],[Pair]])-LEN(SUBSTITUTE(Table123[[#This Row],[Pair]],"/","")))-1</f>
        <v>-1</v>
      </c>
      <c r="F43" s="6"/>
    </row>
  </sheetData>
  <pageMargins left="0.7" right="0.7" top="0.75" bottom="0.75" header="0.3" footer="0.3"/>
  <tableParts count="1">
    <tablePart r:id="rId1"/>
  </tableParts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4CBD8-9C99-479A-ADFB-5BA2097CCF7F}">
  <dimension ref="A1:E11"/>
  <sheetViews>
    <sheetView workbookViewId="0">
      <selection activeCell="B12" sqref="B12"/>
    </sheetView>
  </sheetViews>
  <sheetFormatPr defaultRowHeight="14.4" x14ac:dyDescent="0.3"/>
  <cols>
    <col min="1" max="1" width="113.6640625" bestFit="1" customWidth="1"/>
    <col min="2" max="2" width="13.33203125" bestFit="1" customWidth="1"/>
    <col min="3" max="3" width="20" bestFit="1" customWidth="1"/>
    <col min="4" max="4" width="17" bestFit="1" customWidth="1"/>
    <col min="5" max="5" width="14.77734375" bestFit="1" customWidth="1"/>
  </cols>
  <sheetData>
    <row r="1" spans="1:5" x14ac:dyDescent="0.3">
      <c r="A1" t="s">
        <v>834</v>
      </c>
      <c r="B1" t="s">
        <v>1</v>
      </c>
      <c r="C1" t="s">
        <v>1017</v>
      </c>
      <c r="D1" t="s">
        <v>1212</v>
      </c>
      <c r="E1" t="s">
        <v>1213</v>
      </c>
    </row>
    <row r="2" spans="1:5" x14ac:dyDescent="0.3">
      <c r="A2" s="6" t="s">
        <v>4051</v>
      </c>
      <c r="B2" s="6" t="s">
        <v>332</v>
      </c>
      <c r="C2" s="6">
        <v>1</v>
      </c>
      <c r="D2" s="6">
        <f>Table124[[#This Row],[Total Athletes]]-(LEN(Table124[[#This Row],[Team]])-LEN(SUBSTITUTE(Table124[[#This Row],[Team]],"/","")))-1</f>
        <v>4</v>
      </c>
      <c r="E2" s="6">
        <v>7</v>
      </c>
    </row>
    <row r="3" spans="1:5" x14ac:dyDescent="0.3">
      <c r="A3" s="6" t="s">
        <v>3330</v>
      </c>
      <c r="B3" s="6" t="s">
        <v>428</v>
      </c>
      <c r="C3" s="6">
        <v>2</v>
      </c>
      <c r="D3" s="6">
        <f>Table124[[#This Row],[Total Athletes]]-(LEN(Table124[[#This Row],[Team]])-LEN(SUBSTITUTE(Table124[[#This Row],[Team]],"/","")))-1</f>
        <v>6</v>
      </c>
      <c r="E3" s="6">
        <v>7</v>
      </c>
    </row>
    <row r="4" spans="1:5" x14ac:dyDescent="0.3">
      <c r="A4" s="6" t="s">
        <v>4383</v>
      </c>
      <c r="B4" s="6" t="s">
        <v>356</v>
      </c>
      <c r="C4" s="6">
        <v>3</v>
      </c>
      <c r="D4" s="6">
        <f>Table124[[#This Row],[Total Athletes]]-(LEN(Table124[[#This Row],[Team]])-LEN(SUBSTITUTE(Table124[[#This Row],[Team]],"/","")))-1</f>
        <v>5</v>
      </c>
      <c r="E4" s="6">
        <v>7</v>
      </c>
    </row>
    <row r="5" spans="1:5" x14ac:dyDescent="0.3">
      <c r="A5" s="6"/>
      <c r="B5" s="6" t="s">
        <v>384</v>
      </c>
      <c r="C5" s="6">
        <v>-1</v>
      </c>
      <c r="D5" s="6">
        <f>Table124[[#This Row],[Total Athletes]]-(LEN(Table124[[#This Row],[Team]])-LEN(SUBSTITUTE(Table124[[#This Row],[Team]],"/","")))-1</f>
        <v>-1</v>
      </c>
      <c r="E5" s="6"/>
    </row>
    <row r="6" spans="1:5" x14ac:dyDescent="0.3">
      <c r="A6" s="6"/>
      <c r="B6" s="6" t="s">
        <v>580</v>
      </c>
      <c r="C6" s="6">
        <v>-1</v>
      </c>
      <c r="D6" s="6">
        <f>Table124[[#This Row],[Total Athletes]]-(LEN(Table124[[#This Row],[Team]])-LEN(SUBSTITUTE(Table124[[#This Row],[Team]],"/","")))-1</f>
        <v>-1</v>
      </c>
      <c r="E6" s="6"/>
    </row>
    <row r="7" spans="1:5" x14ac:dyDescent="0.3">
      <c r="A7" s="6" t="s">
        <v>1950</v>
      </c>
      <c r="B7" s="6" t="s">
        <v>344</v>
      </c>
      <c r="C7" s="6">
        <v>6</v>
      </c>
      <c r="D7" s="6">
        <f>Table124[[#This Row],[Total Athletes]]-(LEN(Table124[[#This Row],[Team]])-LEN(SUBSTITUTE(Table124[[#This Row],[Team]],"/","")))-1</f>
        <v>5</v>
      </c>
      <c r="E7" s="6">
        <v>6</v>
      </c>
    </row>
    <row r="8" spans="1:5" x14ac:dyDescent="0.3">
      <c r="A8" s="6" t="s">
        <v>4230</v>
      </c>
      <c r="B8" s="6" t="s">
        <v>402</v>
      </c>
      <c r="C8" s="6">
        <v>9</v>
      </c>
      <c r="D8" s="6">
        <f>Table124[[#This Row],[Total Athletes]]-(LEN(Table124[[#This Row],[Team]])-LEN(SUBSTITUTE(Table124[[#This Row],[Team]],"/","")))-1</f>
        <v>3</v>
      </c>
      <c r="E8" s="6">
        <v>6</v>
      </c>
    </row>
    <row r="9" spans="1:5" x14ac:dyDescent="0.3">
      <c r="A9" s="6" t="s">
        <v>2345</v>
      </c>
      <c r="B9" s="6" t="s">
        <v>700</v>
      </c>
      <c r="C9" s="6">
        <v>7</v>
      </c>
      <c r="D9" s="6">
        <f>Table124[[#This Row],[Total Athletes]]-(LEN(Table124[[#This Row],[Team]])-LEN(SUBSTITUTE(Table124[[#This Row],[Team]],"/","")))-1</f>
        <v>3</v>
      </c>
      <c r="E9" s="6">
        <v>4</v>
      </c>
    </row>
    <row r="10" spans="1:5" x14ac:dyDescent="0.3">
      <c r="A10" s="6"/>
      <c r="B10" s="6" t="s">
        <v>328</v>
      </c>
      <c r="C10" s="6">
        <v>-1</v>
      </c>
      <c r="D10" s="6">
        <f>Table124[[#This Row],[Total Athletes]]-(LEN(Table124[[#This Row],[Team]])-LEN(SUBSTITUTE(Table124[[#This Row],[Team]],"/","")))-1</f>
        <v>-1</v>
      </c>
      <c r="E10" s="6"/>
    </row>
    <row r="11" spans="1:5" x14ac:dyDescent="0.3">
      <c r="A11" s="6"/>
      <c r="B11" s="6" t="s">
        <v>394</v>
      </c>
      <c r="C11" s="6">
        <v>-1</v>
      </c>
      <c r="D11" s="6">
        <f>Table124[[#This Row],[Total Athletes]]-(LEN(Table124[[#This Row],[Team]])-LEN(SUBSTITUTE(Table124[[#This Row],[Team]],"/","")))-1</f>
        <v>-1</v>
      </c>
      <c r="E11" s="6"/>
    </row>
  </sheetData>
  <pageMargins left="0.7" right="0.7" top="0.75" bottom="0.75" header="0.3" footer="0.3"/>
  <tableParts count="1">
    <tablePart r:id="rId1"/>
  </tableParts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85A43-6338-445E-BD7B-E3CE082FF364}">
  <dimension ref="A1:I145"/>
  <sheetViews>
    <sheetView topLeftCell="A140" workbookViewId="0">
      <selection activeCell="B146" sqref="B146"/>
    </sheetView>
  </sheetViews>
  <sheetFormatPr defaultRowHeight="14.4" x14ac:dyDescent="0.3"/>
  <cols>
    <col min="1" max="1" width="24.77734375" bestFit="1" customWidth="1"/>
    <col min="2" max="2" width="14" bestFit="1" customWidth="1"/>
    <col min="3" max="3" width="20.33203125" bestFit="1" customWidth="1"/>
    <col min="4" max="4" width="20" bestFit="1" customWidth="1"/>
    <col min="5" max="5" width="25.33203125" bestFit="1" customWidth="1"/>
    <col min="6" max="6" width="21.77734375" bestFit="1" customWidth="1"/>
    <col min="7" max="7" width="21" bestFit="1" customWidth="1"/>
    <col min="8" max="8" width="22.109375" bestFit="1" customWidth="1"/>
    <col min="9" max="9" width="23.21875" bestFit="1" customWidth="1"/>
  </cols>
  <sheetData>
    <row r="1" spans="1:9" x14ac:dyDescent="0.3">
      <c r="A1" t="s">
        <v>832</v>
      </c>
      <c r="B1" t="s">
        <v>1</v>
      </c>
      <c r="C1" t="s">
        <v>1026</v>
      </c>
      <c r="D1" t="s">
        <v>1027</v>
      </c>
      <c r="E1" t="s">
        <v>1028</v>
      </c>
      <c r="F1" t="s">
        <v>1029</v>
      </c>
      <c r="G1" t="s">
        <v>1030</v>
      </c>
      <c r="H1" t="s">
        <v>1031</v>
      </c>
      <c r="I1" t="s">
        <v>1032</v>
      </c>
    </row>
    <row r="2" spans="1:9" x14ac:dyDescent="0.3">
      <c r="A2" s="6"/>
      <c r="B2" s="6" t="s">
        <v>354</v>
      </c>
      <c r="C2" s="6">
        <v>-1</v>
      </c>
      <c r="D2" s="6"/>
      <c r="E2" s="6"/>
      <c r="F2" s="6"/>
      <c r="G2" s="6"/>
      <c r="H2" s="6"/>
      <c r="I2" s="6"/>
    </row>
    <row r="3" spans="1:9" x14ac:dyDescent="0.3">
      <c r="A3" s="6"/>
      <c r="B3" s="6" t="s">
        <v>384</v>
      </c>
      <c r="C3" s="6">
        <v>-1</v>
      </c>
      <c r="D3" s="6"/>
      <c r="E3" s="6"/>
      <c r="F3" s="6"/>
      <c r="G3" s="6"/>
      <c r="H3" s="6"/>
      <c r="I3" s="6"/>
    </row>
    <row r="4" spans="1:9" x14ac:dyDescent="0.3">
      <c r="A4" s="6"/>
      <c r="B4" s="6" t="s">
        <v>384</v>
      </c>
      <c r="C4" s="6">
        <v>-1</v>
      </c>
      <c r="D4" s="6"/>
      <c r="E4" s="6"/>
      <c r="F4" s="6"/>
      <c r="G4" s="6"/>
      <c r="H4" s="6"/>
      <c r="I4" s="6"/>
    </row>
    <row r="5" spans="1:9" x14ac:dyDescent="0.3">
      <c r="A5" s="6"/>
      <c r="B5" s="6" t="s">
        <v>384</v>
      </c>
      <c r="C5" s="6">
        <v>-1</v>
      </c>
      <c r="D5" s="6"/>
      <c r="E5" s="6"/>
      <c r="F5" s="6"/>
      <c r="G5" s="6"/>
      <c r="H5" s="6"/>
      <c r="I5" s="6"/>
    </row>
    <row r="6" spans="1:9" x14ac:dyDescent="0.3">
      <c r="A6" s="6"/>
      <c r="B6" s="6" t="s">
        <v>384</v>
      </c>
      <c r="C6" s="6">
        <v>-1</v>
      </c>
      <c r="D6" s="6"/>
      <c r="E6" s="6"/>
      <c r="F6" s="6"/>
      <c r="G6" s="6"/>
      <c r="H6" s="6"/>
      <c r="I6" s="6"/>
    </row>
    <row r="7" spans="1:9" x14ac:dyDescent="0.3">
      <c r="A7" s="6" t="s">
        <v>4302</v>
      </c>
      <c r="B7" s="6" t="s">
        <v>328</v>
      </c>
      <c r="C7" s="6">
        <v>1</v>
      </c>
      <c r="D7" s="6"/>
      <c r="E7" s="6"/>
      <c r="F7" s="6"/>
      <c r="G7" s="6"/>
      <c r="H7" s="6"/>
      <c r="I7" s="6"/>
    </row>
    <row r="8" spans="1:9" x14ac:dyDescent="0.3">
      <c r="A8" s="6"/>
      <c r="B8" s="6" t="s">
        <v>328</v>
      </c>
      <c r="C8" s="6">
        <v>-1</v>
      </c>
      <c r="D8" s="6"/>
      <c r="E8" s="6"/>
      <c r="F8" s="6"/>
      <c r="G8" s="6"/>
      <c r="H8" s="6"/>
      <c r="I8" s="6"/>
    </row>
    <row r="9" spans="1:9" x14ac:dyDescent="0.3">
      <c r="A9" s="6"/>
      <c r="B9" s="6" t="s">
        <v>328</v>
      </c>
      <c r="C9" s="6">
        <v>-1</v>
      </c>
      <c r="D9" s="6"/>
      <c r="E9" s="6"/>
      <c r="F9" s="6"/>
      <c r="G9" s="6"/>
      <c r="H9" s="6"/>
      <c r="I9" s="6"/>
    </row>
    <row r="10" spans="1:9" x14ac:dyDescent="0.3">
      <c r="A10" s="6"/>
      <c r="B10" s="6" t="s">
        <v>328</v>
      </c>
      <c r="C10" s="6">
        <v>-1</v>
      </c>
      <c r="D10" s="6"/>
      <c r="E10" s="6"/>
      <c r="F10" s="6"/>
      <c r="G10" s="6"/>
      <c r="H10" s="6"/>
      <c r="I10" s="6"/>
    </row>
    <row r="11" spans="1:9" x14ac:dyDescent="0.3">
      <c r="A11" s="6" t="s">
        <v>4801</v>
      </c>
      <c r="B11" s="6" t="s">
        <v>442</v>
      </c>
      <c r="C11" s="6">
        <v>22</v>
      </c>
      <c r="D11" s="6"/>
      <c r="E11" s="6"/>
      <c r="F11" s="6"/>
      <c r="G11" s="6"/>
      <c r="H11" s="6"/>
      <c r="I11" s="6"/>
    </row>
    <row r="12" spans="1:9" x14ac:dyDescent="0.3">
      <c r="A12" s="6" t="s">
        <v>1286</v>
      </c>
      <c r="B12" s="6" t="s">
        <v>428</v>
      </c>
      <c r="C12" s="6">
        <v>24</v>
      </c>
      <c r="D12" s="6"/>
      <c r="E12" s="6"/>
      <c r="F12" s="6"/>
      <c r="G12" s="6"/>
      <c r="H12" s="6"/>
      <c r="I12" s="6"/>
    </row>
    <row r="13" spans="1:9" x14ac:dyDescent="0.3">
      <c r="A13" s="6" t="s">
        <v>1319</v>
      </c>
      <c r="B13" s="6" t="s">
        <v>604</v>
      </c>
      <c r="C13" s="6">
        <v>18</v>
      </c>
      <c r="D13" s="6"/>
      <c r="E13" s="6"/>
      <c r="F13" s="6"/>
      <c r="G13" s="6"/>
      <c r="H13" s="6"/>
      <c r="I13" s="6"/>
    </row>
    <row r="14" spans="1:9" x14ac:dyDescent="0.3">
      <c r="A14" s="6" t="s">
        <v>1321</v>
      </c>
      <c r="B14" s="6" t="s">
        <v>604</v>
      </c>
      <c r="C14" s="6">
        <v>19</v>
      </c>
      <c r="D14" s="6"/>
      <c r="E14" s="6"/>
      <c r="F14" s="6"/>
      <c r="G14" s="6"/>
      <c r="H14" s="6"/>
      <c r="I14" s="6"/>
    </row>
    <row r="15" spans="1:9" x14ac:dyDescent="0.3">
      <c r="A15" s="6" t="s">
        <v>1420</v>
      </c>
      <c r="B15" s="6" t="s">
        <v>604</v>
      </c>
      <c r="C15" s="6">
        <v>13</v>
      </c>
      <c r="D15" s="6"/>
      <c r="E15" s="6"/>
      <c r="F15" s="6"/>
      <c r="G15" s="6"/>
      <c r="H15" s="6"/>
      <c r="I15" s="6"/>
    </row>
    <row r="16" spans="1:9" x14ac:dyDescent="0.3">
      <c r="A16" s="6" t="s">
        <v>5029</v>
      </c>
      <c r="B16" s="6" t="s">
        <v>604</v>
      </c>
      <c r="C16" s="6">
        <v>16</v>
      </c>
      <c r="D16" s="6"/>
      <c r="E16" s="6"/>
      <c r="F16" s="6"/>
      <c r="G16" s="6"/>
      <c r="H16" s="6"/>
      <c r="I16" s="6"/>
    </row>
    <row r="17" spans="1:9" x14ac:dyDescent="0.3">
      <c r="A17" s="6" t="s">
        <v>3458</v>
      </c>
      <c r="B17" s="6" t="s">
        <v>444</v>
      </c>
      <c r="C17" s="6">
        <v>5</v>
      </c>
      <c r="D17" s="6"/>
      <c r="E17" s="6"/>
      <c r="F17" s="6"/>
      <c r="G17" s="6"/>
      <c r="H17" s="6"/>
      <c r="I17" s="6"/>
    </row>
    <row r="18" spans="1:9" x14ac:dyDescent="0.3">
      <c r="A18" s="6"/>
      <c r="B18" s="6" t="s">
        <v>444</v>
      </c>
      <c r="C18" s="6">
        <v>-1</v>
      </c>
      <c r="D18" s="6"/>
      <c r="E18" s="6"/>
      <c r="F18" s="6"/>
      <c r="G18" s="6"/>
      <c r="H18" s="6"/>
      <c r="I18" s="6"/>
    </row>
    <row r="19" spans="1:9" x14ac:dyDescent="0.3">
      <c r="A19" s="6" t="s">
        <v>2507</v>
      </c>
      <c r="B19" s="6" t="s">
        <v>726</v>
      </c>
      <c r="C19" s="6">
        <v>10</v>
      </c>
      <c r="D19" s="6"/>
      <c r="E19" s="6"/>
      <c r="F19" s="6"/>
      <c r="G19" s="6"/>
      <c r="H19" s="6"/>
      <c r="I19" s="6"/>
    </row>
    <row r="20" spans="1:9" x14ac:dyDescent="0.3">
      <c r="A20" s="6" t="s">
        <v>2866</v>
      </c>
      <c r="B20" s="6" t="s">
        <v>726</v>
      </c>
      <c r="C20" s="6">
        <v>21</v>
      </c>
      <c r="D20" s="6"/>
      <c r="E20" s="6"/>
      <c r="F20" s="6"/>
      <c r="G20" s="6"/>
      <c r="H20" s="6"/>
      <c r="I20" s="6"/>
    </row>
    <row r="21" spans="1:9" x14ac:dyDescent="0.3">
      <c r="A21" s="6" t="s">
        <v>2867</v>
      </c>
      <c r="B21" s="6" t="s">
        <v>726</v>
      </c>
      <c r="C21" s="6">
        <v>17</v>
      </c>
      <c r="D21" s="6"/>
      <c r="E21" s="6"/>
      <c r="F21" s="6"/>
      <c r="G21" s="6"/>
      <c r="H21" s="6"/>
      <c r="I21" s="6"/>
    </row>
    <row r="22" spans="1:9" x14ac:dyDescent="0.3">
      <c r="A22" s="6" t="s">
        <v>2869</v>
      </c>
      <c r="B22" s="6" t="s">
        <v>726</v>
      </c>
      <c r="C22" s="6">
        <v>23</v>
      </c>
      <c r="D22" s="6"/>
      <c r="E22" s="6"/>
      <c r="F22" s="6"/>
      <c r="G22" s="6"/>
      <c r="H22" s="6"/>
      <c r="I22" s="6"/>
    </row>
    <row r="23" spans="1:9" x14ac:dyDescent="0.3">
      <c r="A23" s="6"/>
      <c r="B23" s="6" t="s">
        <v>332</v>
      </c>
      <c r="C23" s="6">
        <v>-1</v>
      </c>
      <c r="D23" s="6"/>
      <c r="E23" s="6"/>
      <c r="F23" s="6"/>
      <c r="G23" s="6"/>
      <c r="H23" s="6"/>
      <c r="I23" s="6"/>
    </row>
    <row r="24" spans="1:9" x14ac:dyDescent="0.3">
      <c r="A24" s="6"/>
      <c r="B24" s="6" t="s">
        <v>332</v>
      </c>
      <c r="C24" s="6">
        <v>-1</v>
      </c>
      <c r="D24" s="6"/>
      <c r="E24" s="6"/>
      <c r="F24" s="6"/>
      <c r="G24" s="6"/>
      <c r="H24" s="6"/>
      <c r="I24" s="6"/>
    </row>
    <row r="25" spans="1:9" x14ac:dyDescent="0.3">
      <c r="A25" s="6"/>
      <c r="B25" s="6" t="s">
        <v>332</v>
      </c>
      <c r="C25" s="6">
        <v>-1</v>
      </c>
      <c r="D25" s="6"/>
      <c r="E25" s="6"/>
      <c r="F25" s="6"/>
      <c r="G25" s="6"/>
      <c r="H25" s="6"/>
      <c r="I25" s="6"/>
    </row>
    <row r="26" spans="1:9" x14ac:dyDescent="0.3">
      <c r="A26" s="6"/>
      <c r="B26" s="6" t="s">
        <v>332</v>
      </c>
      <c r="C26" s="6">
        <v>-1</v>
      </c>
      <c r="D26" s="6"/>
      <c r="E26" s="6"/>
      <c r="F26" s="6"/>
      <c r="G26" s="6"/>
      <c r="H26" s="6"/>
      <c r="I26" s="6"/>
    </row>
    <row r="27" spans="1:9" x14ac:dyDescent="0.3">
      <c r="A27" s="6"/>
      <c r="B27" s="6" t="s">
        <v>358</v>
      </c>
      <c r="C27" s="6"/>
      <c r="D27" s="6"/>
      <c r="E27" s="6"/>
      <c r="F27" s="6">
        <v>-1</v>
      </c>
      <c r="G27" s="6"/>
      <c r="H27" s="6"/>
      <c r="I27" s="6"/>
    </row>
    <row r="28" spans="1:9" x14ac:dyDescent="0.3">
      <c r="A28" s="6" t="s">
        <v>2164</v>
      </c>
      <c r="B28" s="6" t="s">
        <v>384</v>
      </c>
      <c r="C28" s="6"/>
      <c r="D28" s="6"/>
      <c r="E28" s="6"/>
      <c r="F28" s="6">
        <v>7</v>
      </c>
      <c r="G28" s="6"/>
      <c r="H28" s="6"/>
      <c r="I28" s="6"/>
    </row>
    <row r="29" spans="1:9" x14ac:dyDescent="0.3">
      <c r="A29" s="6" t="s">
        <v>2166</v>
      </c>
      <c r="B29" s="6" t="s">
        <v>384</v>
      </c>
      <c r="C29" s="6"/>
      <c r="D29" s="6"/>
      <c r="E29" s="6"/>
      <c r="F29" s="6">
        <v>3</v>
      </c>
      <c r="G29" s="6"/>
      <c r="H29" s="6"/>
      <c r="I29" s="6"/>
    </row>
    <row r="30" spans="1:9" x14ac:dyDescent="0.3">
      <c r="A30" s="6" t="s">
        <v>2167</v>
      </c>
      <c r="B30" s="6" t="s">
        <v>384</v>
      </c>
      <c r="C30" s="6"/>
      <c r="D30" s="6"/>
      <c r="E30" s="6"/>
      <c r="F30" s="6">
        <v>11</v>
      </c>
      <c r="G30" s="6"/>
      <c r="H30" s="6"/>
      <c r="I30" s="6"/>
    </row>
    <row r="31" spans="1:9" x14ac:dyDescent="0.3">
      <c r="A31" s="6" t="s">
        <v>2727</v>
      </c>
      <c r="B31" s="6" t="s">
        <v>328</v>
      </c>
      <c r="C31" s="6"/>
      <c r="D31" s="6"/>
      <c r="E31" s="6"/>
      <c r="F31" s="6">
        <v>16</v>
      </c>
      <c r="G31" s="6"/>
      <c r="H31" s="6"/>
      <c r="I31" s="6"/>
    </row>
    <row r="32" spans="1:9" x14ac:dyDescent="0.3">
      <c r="A32" s="6" t="s">
        <v>4303</v>
      </c>
      <c r="B32" s="6" t="s">
        <v>328</v>
      </c>
      <c r="C32" s="6"/>
      <c r="D32" s="6"/>
      <c r="E32" s="6"/>
      <c r="F32" s="6">
        <v>25</v>
      </c>
      <c r="G32" s="6"/>
      <c r="H32" s="6"/>
      <c r="I32" s="6"/>
    </row>
    <row r="33" spans="1:9" x14ac:dyDescent="0.3">
      <c r="A33" s="6"/>
      <c r="B33" s="6" t="s">
        <v>328</v>
      </c>
      <c r="C33" s="6"/>
      <c r="D33" s="6"/>
      <c r="E33" s="6"/>
      <c r="F33" s="6">
        <v>-1</v>
      </c>
      <c r="G33" s="6"/>
      <c r="H33" s="6"/>
      <c r="I33" s="6"/>
    </row>
    <row r="34" spans="1:9" x14ac:dyDescent="0.3">
      <c r="A34" s="6"/>
      <c r="B34" s="6" t="s">
        <v>328</v>
      </c>
      <c r="C34" s="6"/>
      <c r="D34" s="6"/>
      <c r="E34" s="6"/>
      <c r="F34" s="6">
        <v>-1</v>
      </c>
      <c r="G34" s="6"/>
      <c r="H34" s="6"/>
      <c r="I34" s="6"/>
    </row>
    <row r="35" spans="1:9" x14ac:dyDescent="0.3">
      <c r="A35" s="6"/>
      <c r="B35" s="6" t="s">
        <v>572</v>
      </c>
      <c r="C35" s="6"/>
      <c r="D35" s="6"/>
      <c r="E35" s="6"/>
      <c r="F35" s="6">
        <v>-1</v>
      </c>
      <c r="G35" s="6"/>
      <c r="H35" s="6"/>
      <c r="I35" s="6"/>
    </row>
    <row r="36" spans="1:9" x14ac:dyDescent="0.3">
      <c r="A36" s="6" t="s">
        <v>2916</v>
      </c>
      <c r="B36" s="6" t="s">
        <v>402</v>
      </c>
      <c r="C36" s="6"/>
      <c r="D36" s="6"/>
      <c r="E36" s="6"/>
      <c r="F36" s="6">
        <v>6</v>
      </c>
      <c r="G36" s="6"/>
      <c r="H36" s="6"/>
      <c r="I36" s="6"/>
    </row>
    <row r="37" spans="1:9" x14ac:dyDescent="0.3">
      <c r="A37" s="6"/>
      <c r="B37" s="6" t="s">
        <v>402</v>
      </c>
      <c r="C37" s="6"/>
      <c r="D37" s="6"/>
      <c r="E37" s="6"/>
      <c r="F37" s="6">
        <v>-1</v>
      </c>
      <c r="G37" s="6"/>
      <c r="H37" s="6"/>
      <c r="I37" s="6"/>
    </row>
    <row r="38" spans="1:9" x14ac:dyDescent="0.3">
      <c r="A38" s="6" t="s">
        <v>1633</v>
      </c>
      <c r="B38" s="6" t="s">
        <v>596</v>
      </c>
      <c r="C38" s="6"/>
      <c r="D38" s="6"/>
      <c r="E38" s="6"/>
      <c r="F38" s="6">
        <v>8</v>
      </c>
      <c r="G38" s="6"/>
      <c r="H38" s="6"/>
      <c r="I38" s="6"/>
    </row>
    <row r="39" spans="1:9" x14ac:dyDescent="0.3">
      <c r="A39" s="6" t="s">
        <v>1531</v>
      </c>
      <c r="B39" s="6" t="s">
        <v>428</v>
      </c>
      <c r="C39" s="6"/>
      <c r="D39" s="6"/>
      <c r="E39" s="6"/>
      <c r="F39" s="6">
        <v>13</v>
      </c>
      <c r="G39" s="6"/>
      <c r="H39" s="6"/>
      <c r="I39" s="6"/>
    </row>
    <row r="40" spans="1:9" x14ac:dyDescent="0.3">
      <c r="A40" s="6" t="s">
        <v>4151</v>
      </c>
      <c r="B40" s="6" t="s">
        <v>474</v>
      </c>
      <c r="C40" s="6"/>
      <c r="D40" s="6"/>
      <c r="E40" s="6"/>
      <c r="F40" s="6">
        <v>15</v>
      </c>
      <c r="G40" s="6"/>
      <c r="H40" s="6"/>
      <c r="I40" s="6"/>
    </row>
    <row r="41" spans="1:9" x14ac:dyDescent="0.3">
      <c r="A41" s="6"/>
      <c r="B41" s="6" t="s">
        <v>474</v>
      </c>
      <c r="C41" s="6"/>
      <c r="D41" s="6"/>
      <c r="E41" s="6"/>
      <c r="F41" s="6">
        <v>-1</v>
      </c>
      <c r="G41" s="6"/>
      <c r="H41" s="6"/>
      <c r="I41" s="6"/>
    </row>
    <row r="42" spans="1:9" x14ac:dyDescent="0.3">
      <c r="A42" s="6"/>
      <c r="B42" s="6" t="s">
        <v>474</v>
      </c>
      <c r="C42" s="6"/>
      <c r="D42" s="6"/>
      <c r="E42" s="6"/>
      <c r="F42" s="6">
        <v>-1</v>
      </c>
      <c r="G42" s="6"/>
      <c r="H42" s="6"/>
      <c r="I42" s="6"/>
    </row>
    <row r="43" spans="1:9" x14ac:dyDescent="0.3">
      <c r="A43" s="6"/>
      <c r="B43" s="6" t="s">
        <v>474</v>
      </c>
      <c r="C43" s="6"/>
      <c r="D43" s="6"/>
      <c r="E43" s="6"/>
      <c r="F43" s="6">
        <v>-1</v>
      </c>
      <c r="G43" s="6"/>
      <c r="H43" s="6"/>
      <c r="I43" s="6"/>
    </row>
    <row r="44" spans="1:9" x14ac:dyDescent="0.3">
      <c r="A44" s="6"/>
      <c r="B44" s="6" t="s">
        <v>700</v>
      </c>
      <c r="C44" s="6"/>
      <c r="D44" s="6"/>
      <c r="E44" s="6"/>
      <c r="F44" s="6">
        <v>-1</v>
      </c>
      <c r="G44" s="6"/>
      <c r="H44" s="6"/>
      <c r="I44" s="6"/>
    </row>
    <row r="45" spans="1:9" x14ac:dyDescent="0.3">
      <c r="A45" s="6"/>
      <c r="B45" s="6" t="s">
        <v>700</v>
      </c>
      <c r="C45" s="6"/>
      <c r="D45" s="6"/>
      <c r="E45" s="6"/>
      <c r="F45" s="6">
        <v>-1</v>
      </c>
      <c r="G45" s="6"/>
      <c r="H45" s="6"/>
      <c r="I45" s="6"/>
    </row>
    <row r="46" spans="1:9" x14ac:dyDescent="0.3">
      <c r="A46" s="6"/>
      <c r="B46" s="6" t="s">
        <v>444</v>
      </c>
      <c r="C46" s="6"/>
      <c r="D46" s="6"/>
      <c r="E46" s="6"/>
      <c r="F46" s="6">
        <v>-1</v>
      </c>
      <c r="G46" s="6"/>
      <c r="H46" s="6"/>
      <c r="I46" s="6"/>
    </row>
    <row r="47" spans="1:9" x14ac:dyDescent="0.3">
      <c r="A47" s="6" t="s">
        <v>1651</v>
      </c>
      <c r="B47" s="6" t="s">
        <v>332</v>
      </c>
      <c r="C47" s="6"/>
      <c r="D47" s="6"/>
      <c r="E47" s="6"/>
      <c r="F47" s="6">
        <v>5</v>
      </c>
      <c r="G47" s="6"/>
      <c r="H47" s="6"/>
      <c r="I47" s="6"/>
    </row>
    <row r="48" spans="1:9" x14ac:dyDescent="0.3">
      <c r="A48" s="6" t="s">
        <v>4180</v>
      </c>
      <c r="B48" s="6" t="s">
        <v>332</v>
      </c>
      <c r="C48" s="6"/>
      <c r="D48" s="6"/>
      <c r="E48" s="6"/>
      <c r="F48" s="6">
        <v>1</v>
      </c>
      <c r="G48" s="6"/>
      <c r="H48" s="6"/>
      <c r="I48" s="6"/>
    </row>
    <row r="49" spans="1:9" x14ac:dyDescent="0.3">
      <c r="A49" s="6"/>
      <c r="B49" s="6" t="s">
        <v>332</v>
      </c>
      <c r="C49" s="6"/>
      <c r="D49" s="6"/>
      <c r="E49" s="6"/>
      <c r="F49" s="6">
        <v>-1</v>
      </c>
      <c r="G49" s="6"/>
      <c r="H49" s="6"/>
      <c r="I49" s="6"/>
    </row>
    <row r="50" spans="1:9" x14ac:dyDescent="0.3">
      <c r="A50" s="6"/>
      <c r="B50" s="6" t="s">
        <v>332</v>
      </c>
      <c r="C50" s="6"/>
      <c r="D50" s="6"/>
      <c r="E50" s="6"/>
      <c r="F50" s="6">
        <v>-1</v>
      </c>
      <c r="G50" s="6"/>
      <c r="H50" s="6"/>
      <c r="I50" s="6"/>
    </row>
    <row r="51" spans="1:9" x14ac:dyDescent="0.3">
      <c r="A51" s="6" t="s">
        <v>2380</v>
      </c>
      <c r="B51" s="6" t="s">
        <v>354</v>
      </c>
      <c r="C51" s="6"/>
      <c r="D51" s="6"/>
      <c r="E51" s="6">
        <v>3</v>
      </c>
      <c r="F51" s="6"/>
      <c r="G51" s="6">
        <v>5</v>
      </c>
      <c r="H51" s="6"/>
      <c r="I51" s="6"/>
    </row>
    <row r="52" spans="1:9" x14ac:dyDescent="0.3">
      <c r="A52" s="6" t="s">
        <v>2425</v>
      </c>
      <c r="B52" s="6" t="s">
        <v>354</v>
      </c>
      <c r="C52" s="6"/>
      <c r="D52" s="6"/>
      <c r="E52" s="6">
        <v>16</v>
      </c>
      <c r="F52" s="6"/>
      <c r="G52" s="6">
        <v>29</v>
      </c>
      <c r="H52" s="6"/>
      <c r="I52" s="6"/>
    </row>
    <row r="53" spans="1:9" x14ac:dyDescent="0.3">
      <c r="A53" s="6" t="s">
        <v>2473</v>
      </c>
      <c r="B53" s="6" t="s">
        <v>354</v>
      </c>
      <c r="C53" s="6"/>
      <c r="D53" s="6"/>
      <c r="E53" s="6">
        <v>13</v>
      </c>
      <c r="F53" s="6"/>
      <c r="G53" s="6">
        <v>1</v>
      </c>
      <c r="H53" s="6"/>
      <c r="I53" s="6"/>
    </row>
    <row r="54" spans="1:9" x14ac:dyDescent="0.3">
      <c r="A54" s="6" t="s">
        <v>4186</v>
      </c>
      <c r="B54" s="6" t="s">
        <v>354</v>
      </c>
      <c r="C54" s="6"/>
      <c r="D54" s="6"/>
      <c r="E54" s="6">
        <v>11</v>
      </c>
      <c r="F54" s="6"/>
      <c r="G54" s="6">
        <v>8</v>
      </c>
      <c r="H54" s="6"/>
      <c r="I54" s="6"/>
    </row>
    <row r="55" spans="1:9" x14ac:dyDescent="0.3">
      <c r="A55" s="6"/>
      <c r="B55" s="6" t="s">
        <v>384</v>
      </c>
      <c r="C55" s="6"/>
      <c r="D55" s="6"/>
      <c r="E55" s="6">
        <v>-1</v>
      </c>
      <c r="F55" s="6"/>
      <c r="G55" s="6">
        <v>-1</v>
      </c>
      <c r="H55" s="6"/>
      <c r="I55" s="6"/>
    </row>
    <row r="56" spans="1:9" x14ac:dyDescent="0.3">
      <c r="A56" s="6"/>
      <c r="B56" s="6" t="s">
        <v>384</v>
      </c>
      <c r="C56" s="6"/>
      <c r="D56" s="6"/>
      <c r="E56" s="6">
        <v>-1</v>
      </c>
      <c r="F56" s="6"/>
      <c r="G56" s="6">
        <v>-1</v>
      </c>
      <c r="H56" s="6"/>
      <c r="I56" s="6"/>
    </row>
    <row r="57" spans="1:9" x14ac:dyDescent="0.3">
      <c r="A57" s="6"/>
      <c r="B57" s="6" t="s">
        <v>384</v>
      </c>
      <c r="C57" s="6"/>
      <c r="D57" s="6"/>
      <c r="E57" s="6">
        <v>-1</v>
      </c>
      <c r="F57" s="6"/>
      <c r="G57" s="6">
        <v>-1</v>
      </c>
      <c r="H57" s="6"/>
      <c r="I57" s="6"/>
    </row>
    <row r="58" spans="1:9" x14ac:dyDescent="0.3">
      <c r="A58" s="6"/>
      <c r="B58" s="6" t="s">
        <v>442</v>
      </c>
      <c r="C58" s="6"/>
      <c r="D58" s="6"/>
      <c r="E58" s="6">
        <v>-1</v>
      </c>
      <c r="F58" s="6"/>
      <c r="G58" s="6">
        <v>-1</v>
      </c>
      <c r="H58" s="6"/>
      <c r="I58" s="6"/>
    </row>
    <row r="59" spans="1:9" x14ac:dyDescent="0.3">
      <c r="A59" s="6" t="s">
        <v>1440</v>
      </c>
      <c r="B59" s="6" t="s">
        <v>372</v>
      </c>
      <c r="C59" s="6"/>
      <c r="D59" s="6"/>
      <c r="E59" s="6">
        <v>29</v>
      </c>
      <c r="F59" s="6"/>
      <c r="G59" s="6">
        <v>20</v>
      </c>
      <c r="H59" s="6"/>
      <c r="I59" s="6"/>
    </row>
    <row r="60" spans="1:9" x14ac:dyDescent="0.3">
      <c r="A60" s="6" t="s">
        <v>3734</v>
      </c>
      <c r="B60" s="6" t="s">
        <v>372</v>
      </c>
      <c r="C60" s="6"/>
      <c r="D60" s="6"/>
      <c r="E60" s="6">
        <v>23</v>
      </c>
      <c r="F60" s="6"/>
      <c r="G60" s="6">
        <v>21</v>
      </c>
      <c r="H60" s="6"/>
      <c r="I60" s="6"/>
    </row>
    <row r="61" spans="1:9" x14ac:dyDescent="0.3">
      <c r="A61" s="6"/>
      <c r="B61" s="6" t="s">
        <v>372</v>
      </c>
      <c r="C61" s="6"/>
      <c r="D61" s="6"/>
      <c r="E61" s="6">
        <v>-1</v>
      </c>
      <c r="F61" s="6"/>
      <c r="G61" s="6">
        <v>-1</v>
      </c>
      <c r="H61" s="6"/>
      <c r="I61" s="6"/>
    </row>
    <row r="62" spans="1:9" x14ac:dyDescent="0.3">
      <c r="A62" s="6"/>
      <c r="B62" s="6" t="s">
        <v>372</v>
      </c>
      <c r="C62" s="6"/>
      <c r="D62" s="6"/>
      <c r="E62" s="6">
        <v>-1</v>
      </c>
      <c r="F62" s="6"/>
      <c r="G62" s="6">
        <v>-1</v>
      </c>
      <c r="H62" s="6"/>
      <c r="I62" s="6"/>
    </row>
    <row r="63" spans="1:9" x14ac:dyDescent="0.3">
      <c r="A63" s="6" t="s">
        <v>3555</v>
      </c>
      <c r="B63" s="6" t="s">
        <v>344</v>
      </c>
      <c r="C63" s="6"/>
      <c r="D63" s="6"/>
      <c r="E63" s="6">
        <v>24</v>
      </c>
      <c r="F63" s="6"/>
      <c r="G63" s="6">
        <v>25</v>
      </c>
      <c r="H63" s="6"/>
      <c r="I63" s="6"/>
    </row>
    <row r="64" spans="1:9" x14ac:dyDescent="0.3">
      <c r="A64" s="6" t="s">
        <v>4686</v>
      </c>
      <c r="B64" s="6" t="s">
        <v>344</v>
      </c>
      <c r="C64" s="6"/>
      <c r="D64" s="6"/>
      <c r="E64" s="6">
        <v>25</v>
      </c>
      <c r="F64" s="6"/>
      <c r="G64" s="6">
        <v>10</v>
      </c>
      <c r="H64" s="6"/>
      <c r="I64" s="6"/>
    </row>
    <row r="65" spans="1:9" x14ac:dyDescent="0.3">
      <c r="A65" s="6"/>
      <c r="B65" s="6" t="s">
        <v>344</v>
      </c>
      <c r="C65" s="6"/>
      <c r="D65" s="6"/>
      <c r="E65" s="6">
        <v>-1</v>
      </c>
      <c r="F65" s="6"/>
      <c r="G65" s="6">
        <v>-1</v>
      </c>
      <c r="H65" s="6"/>
      <c r="I65" s="6"/>
    </row>
    <row r="66" spans="1:9" x14ac:dyDescent="0.3">
      <c r="A66" s="6"/>
      <c r="B66" s="6" t="s">
        <v>344</v>
      </c>
      <c r="C66" s="6"/>
      <c r="D66" s="6"/>
      <c r="E66" s="6">
        <v>-1</v>
      </c>
      <c r="F66" s="6"/>
      <c r="G66" s="6">
        <v>-1</v>
      </c>
      <c r="H66" s="6"/>
      <c r="I66" s="6"/>
    </row>
    <row r="67" spans="1:9" x14ac:dyDescent="0.3">
      <c r="A67" s="6"/>
      <c r="B67" s="6" t="s">
        <v>402</v>
      </c>
      <c r="C67" s="6"/>
      <c r="D67" s="6"/>
      <c r="E67" s="6">
        <v>-1</v>
      </c>
      <c r="F67" s="6"/>
      <c r="G67" s="6">
        <v>-1</v>
      </c>
      <c r="H67" s="6"/>
      <c r="I67" s="6"/>
    </row>
    <row r="68" spans="1:9" x14ac:dyDescent="0.3">
      <c r="A68" s="6" t="s">
        <v>1301</v>
      </c>
      <c r="B68" s="6" t="s">
        <v>428</v>
      </c>
      <c r="C68" s="6"/>
      <c r="D68" s="6"/>
      <c r="E68" s="6">
        <v>4</v>
      </c>
      <c r="F68" s="6"/>
      <c r="G68" s="6">
        <v>15</v>
      </c>
      <c r="H68" s="6"/>
      <c r="I68" s="6"/>
    </row>
    <row r="69" spans="1:9" x14ac:dyDescent="0.3">
      <c r="A69" s="6" t="s">
        <v>1529</v>
      </c>
      <c r="B69" s="6" t="s">
        <v>428</v>
      </c>
      <c r="C69" s="6"/>
      <c r="D69" s="6"/>
      <c r="E69" s="6">
        <v>2</v>
      </c>
      <c r="F69" s="6"/>
      <c r="G69" s="6">
        <v>3</v>
      </c>
      <c r="H69" s="6"/>
      <c r="I69" s="6"/>
    </row>
    <row r="70" spans="1:9" x14ac:dyDescent="0.3">
      <c r="A70" s="6" t="s">
        <v>1930</v>
      </c>
      <c r="B70" s="6" t="s">
        <v>428</v>
      </c>
      <c r="C70" s="6"/>
      <c r="D70" s="6"/>
      <c r="E70" s="6">
        <v>22</v>
      </c>
      <c r="F70" s="6"/>
      <c r="G70" s="6">
        <v>22</v>
      </c>
      <c r="H70" s="6"/>
      <c r="I70" s="6"/>
    </row>
    <row r="71" spans="1:9" x14ac:dyDescent="0.3">
      <c r="A71" s="6"/>
      <c r="B71" s="6" t="s">
        <v>428</v>
      </c>
      <c r="C71" s="6"/>
      <c r="D71" s="6"/>
      <c r="E71" s="6">
        <v>-1</v>
      </c>
      <c r="F71" s="6"/>
      <c r="G71" s="6">
        <v>-1</v>
      </c>
      <c r="H71" s="6"/>
      <c r="I71" s="6"/>
    </row>
    <row r="72" spans="1:9" x14ac:dyDescent="0.3">
      <c r="A72" s="6" t="s">
        <v>5030</v>
      </c>
      <c r="B72" s="6" t="s">
        <v>604</v>
      </c>
      <c r="C72" s="6"/>
      <c r="D72" s="6"/>
      <c r="E72" s="6">
        <v>9</v>
      </c>
      <c r="F72" s="6"/>
      <c r="G72" s="6">
        <v>16</v>
      </c>
      <c r="H72" s="6"/>
      <c r="I72" s="6"/>
    </row>
    <row r="73" spans="1:9" x14ac:dyDescent="0.3">
      <c r="A73" s="6"/>
      <c r="B73" s="6" t="s">
        <v>700</v>
      </c>
      <c r="C73" s="6"/>
      <c r="D73" s="6"/>
      <c r="E73" s="6">
        <v>-1</v>
      </c>
      <c r="F73" s="6"/>
      <c r="G73" s="6">
        <v>-1</v>
      </c>
      <c r="H73" s="6"/>
      <c r="I73" s="6"/>
    </row>
    <row r="74" spans="1:9" x14ac:dyDescent="0.3">
      <c r="A74" s="6"/>
      <c r="B74" s="6" t="s">
        <v>700</v>
      </c>
      <c r="C74" s="6"/>
      <c r="D74" s="6"/>
      <c r="E74" s="6">
        <v>-1</v>
      </c>
      <c r="F74" s="6"/>
      <c r="G74" s="6">
        <v>-1</v>
      </c>
      <c r="H74" s="6"/>
      <c r="I74" s="6"/>
    </row>
    <row r="75" spans="1:9" x14ac:dyDescent="0.3">
      <c r="A75" s="6"/>
      <c r="B75" s="6" t="s">
        <v>338</v>
      </c>
      <c r="C75" s="6"/>
      <c r="D75" s="6"/>
      <c r="E75" s="6">
        <v>-1</v>
      </c>
      <c r="F75" s="6"/>
      <c r="G75" s="6">
        <v>-1</v>
      </c>
      <c r="H75" s="6"/>
      <c r="I75" s="6"/>
    </row>
    <row r="76" spans="1:9" x14ac:dyDescent="0.3">
      <c r="A76" s="6"/>
      <c r="B76" s="6" t="s">
        <v>338</v>
      </c>
      <c r="C76" s="6"/>
      <c r="D76" s="6"/>
      <c r="E76" s="6">
        <v>-1</v>
      </c>
      <c r="F76" s="6"/>
      <c r="G76" s="6">
        <v>-1</v>
      </c>
      <c r="H76" s="6"/>
      <c r="I76" s="6"/>
    </row>
    <row r="77" spans="1:9" x14ac:dyDescent="0.3">
      <c r="A77" s="6" t="s">
        <v>1851</v>
      </c>
      <c r="B77" s="6" t="s">
        <v>332</v>
      </c>
      <c r="C77" s="6"/>
      <c r="D77" s="6"/>
      <c r="E77" s="6">
        <v>15</v>
      </c>
      <c r="F77" s="6"/>
      <c r="G77" s="6">
        <v>7</v>
      </c>
      <c r="H77" s="6"/>
      <c r="I77" s="6"/>
    </row>
    <row r="78" spans="1:9" x14ac:dyDescent="0.3">
      <c r="A78" s="6" t="s">
        <v>4212</v>
      </c>
      <c r="B78" s="6" t="s">
        <v>332</v>
      </c>
      <c r="C78" s="6"/>
      <c r="D78" s="6"/>
      <c r="E78" s="6">
        <v>26</v>
      </c>
      <c r="F78" s="6"/>
      <c r="G78" s="6">
        <v>17</v>
      </c>
      <c r="H78" s="6"/>
      <c r="I78" s="6"/>
    </row>
    <row r="79" spans="1:9" x14ac:dyDescent="0.3">
      <c r="A79" s="6"/>
      <c r="B79" s="6" t="s">
        <v>332</v>
      </c>
      <c r="C79" s="6"/>
      <c r="D79" s="6"/>
      <c r="E79" s="6">
        <v>-1</v>
      </c>
      <c r="F79" s="6"/>
      <c r="G79" s="6">
        <v>-1</v>
      </c>
      <c r="H79" s="6"/>
      <c r="I79" s="6"/>
    </row>
    <row r="80" spans="1:9" x14ac:dyDescent="0.3">
      <c r="A80" s="6"/>
      <c r="B80" s="6" t="s">
        <v>332</v>
      </c>
      <c r="C80" s="6"/>
      <c r="D80" s="6"/>
      <c r="E80" s="6">
        <v>-1</v>
      </c>
      <c r="F80" s="6"/>
      <c r="G80" s="6">
        <v>-1</v>
      </c>
      <c r="H80" s="6"/>
      <c r="I80" s="6"/>
    </row>
    <row r="81" spans="1:9" x14ac:dyDescent="0.3">
      <c r="A81" s="6"/>
      <c r="B81" s="6" t="s">
        <v>358</v>
      </c>
      <c r="C81" s="6"/>
      <c r="D81" s="6">
        <v>-1</v>
      </c>
      <c r="E81" s="6"/>
      <c r="F81" s="6"/>
      <c r="G81" s="6"/>
      <c r="H81" s="6"/>
      <c r="I81" s="6">
        <v>-1</v>
      </c>
    </row>
    <row r="82" spans="1:9" x14ac:dyDescent="0.3">
      <c r="A82" s="6"/>
      <c r="B82" s="6" t="s">
        <v>358</v>
      </c>
      <c r="C82" s="6"/>
      <c r="D82" s="6">
        <v>-1</v>
      </c>
      <c r="E82" s="6"/>
      <c r="F82" s="6"/>
      <c r="G82" s="6"/>
      <c r="H82" s="6"/>
      <c r="I82" s="6">
        <v>-1</v>
      </c>
    </row>
    <row r="83" spans="1:9" x14ac:dyDescent="0.3">
      <c r="A83" s="6"/>
      <c r="B83" s="6" t="s">
        <v>384</v>
      </c>
      <c r="C83" s="6"/>
      <c r="D83" s="6">
        <v>-1</v>
      </c>
      <c r="E83" s="6"/>
      <c r="F83" s="6"/>
      <c r="G83" s="6"/>
      <c r="H83" s="6"/>
      <c r="I83" s="6">
        <v>-1</v>
      </c>
    </row>
    <row r="84" spans="1:9" x14ac:dyDescent="0.3">
      <c r="A84" s="6"/>
      <c r="B84" s="6" t="s">
        <v>384</v>
      </c>
      <c r="C84" s="6"/>
      <c r="D84" s="6">
        <v>-1</v>
      </c>
      <c r="E84" s="6"/>
      <c r="F84" s="6"/>
      <c r="G84" s="6"/>
      <c r="H84" s="6"/>
      <c r="I84" s="6">
        <v>-1</v>
      </c>
    </row>
    <row r="85" spans="1:9" x14ac:dyDescent="0.3">
      <c r="A85" s="6"/>
      <c r="B85" s="6" t="s">
        <v>572</v>
      </c>
      <c r="C85" s="6"/>
      <c r="D85" s="6">
        <v>-1</v>
      </c>
      <c r="E85" s="6"/>
      <c r="F85" s="6"/>
      <c r="G85" s="6"/>
      <c r="H85" s="6"/>
      <c r="I85" s="6">
        <v>-1</v>
      </c>
    </row>
    <row r="86" spans="1:9" x14ac:dyDescent="0.3">
      <c r="A86" s="6" t="s">
        <v>3735</v>
      </c>
      <c r="B86" s="6" t="s">
        <v>372</v>
      </c>
      <c r="C86" s="6"/>
      <c r="D86" s="6">
        <v>29</v>
      </c>
      <c r="E86" s="6"/>
      <c r="F86" s="6"/>
      <c r="G86" s="6"/>
      <c r="H86" s="6"/>
      <c r="I86" s="6">
        <v>18</v>
      </c>
    </row>
    <row r="87" spans="1:9" x14ac:dyDescent="0.3">
      <c r="A87" s="6"/>
      <c r="B87" s="6" t="s">
        <v>372</v>
      </c>
      <c r="C87" s="6"/>
      <c r="D87" s="6">
        <v>-1</v>
      </c>
      <c r="E87" s="6"/>
      <c r="F87" s="6"/>
      <c r="G87" s="6"/>
      <c r="H87" s="6"/>
      <c r="I87" s="6">
        <v>-1</v>
      </c>
    </row>
    <row r="88" spans="1:9" x14ac:dyDescent="0.3">
      <c r="A88" s="6"/>
      <c r="B88" s="6" t="s">
        <v>372</v>
      </c>
      <c r="C88" s="6"/>
      <c r="D88" s="6">
        <v>-1</v>
      </c>
      <c r="E88" s="6"/>
      <c r="F88" s="6"/>
      <c r="G88" s="6"/>
      <c r="H88" s="6"/>
      <c r="I88" s="6">
        <v>-1</v>
      </c>
    </row>
    <row r="89" spans="1:9" x14ac:dyDescent="0.3">
      <c r="A89" s="6"/>
      <c r="B89" s="6" t="s">
        <v>344</v>
      </c>
      <c r="C89" s="6"/>
      <c r="D89" s="6">
        <v>-1</v>
      </c>
      <c r="E89" s="6"/>
      <c r="F89" s="6"/>
      <c r="G89" s="6"/>
      <c r="H89" s="6"/>
      <c r="I89" s="6">
        <v>-1</v>
      </c>
    </row>
    <row r="90" spans="1:9" x14ac:dyDescent="0.3">
      <c r="A90" s="6"/>
      <c r="B90" s="6" t="s">
        <v>344</v>
      </c>
      <c r="C90" s="6"/>
      <c r="D90" s="6">
        <v>-1</v>
      </c>
      <c r="E90" s="6"/>
      <c r="F90" s="6"/>
      <c r="G90" s="6"/>
      <c r="H90" s="6"/>
      <c r="I90" s="6">
        <v>-1</v>
      </c>
    </row>
    <row r="91" spans="1:9" x14ac:dyDescent="0.3">
      <c r="A91" s="6" t="s">
        <v>4126</v>
      </c>
      <c r="B91" s="6" t="s">
        <v>402</v>
      </c>
      <c r="C91" s="6"/>
      <c r="D91" s="6">
        <v>21</v>
      </c>
      <c r="E91" s="6"/>
      <c r="F91" s="6"/>
      <c r="G91" s="6"/>
      <c r="H91" s="6"/>
      <c r="I91" s="6">
        <v>26</v>
      </c>
    </row>
    <row r="92" spans="1:9" x14ac:dyDescent="0.3">
      <c r="A92" s="6"/>
      <c r="B92" s="6" t="s">
        <v>356</v>
      </c>
      <c r="C92" s="6"/>
      <c r="D92" s="6">
        <v>-1</v>
      </c>
      <c r="E92" s="6"/>
      <c r="F92" s="6"/>
      <c r="G92" s="6"/>
      <c r="H92" s="6"/>
      <c r="I92" s="6">
        <v>-1</v>
      </c>
    </row>
    <row r="93" spans="1:9" x14ac:dyDescent="0.3">
      <c r="A93" s="6" t="s">
        <v>2523</v>
      </c>
      <c r="B93" s="6" t="s">
        <v>474</v>
      </c>
      <c r="C93" s="6"/>
      <c r="D93" s="6">
        <v>24</v>
      </c>
      <c r="E93" s="6"/>
      <c r="F93" s="6"/>
      <c r="G93" s="6"/>
      <c r="H93" s="6"/>
      <c r="I93" s="6">
        <v>20</v>
      </c>
    </row>
    <row r="94" spans="1:9" x14ac:dyDescent="0.3">
      <c r="A94" s="6"/>
      <c r="B94" s="6" t="s">
        <v>474</v>
      </c>
      <c r="C94" s="6"/>
      <c r="D94" s="6">
        <v>-1</v>
      </c>
      <c r="E94" s="6"/>
      <c r="F94" s="6"/>
      <c r="G94" s="6"/>
      <c r="H94" s="6"/>
      <c r="I94" s="6">
        <v>-1</v>
      </c>
    </row>
    <row r="95" spans="1:9" x14ac:dyDescent="0.3">
      <c r="A95" s="6"/>
      <c r="B95" s="6" t="s">
        <v>474</v>
      </c>
      <c r="C95" s="6"/>
      <c r="D95" s="6">
        <v>-1</v>
      </c>
      <c r="E95" s="6"/>
      <c r="F95" s="6"/>
      <c r="G95" s="6"/>
      <c r="H95" s="6"/>
      <c r="I95" s="6">
        <v>-1</v>
      </c>
    </row>
    <row r="96" spans="1:9" x14ac:dyDescent="0.3">
      <c r="A96" s="6" t="s">
        <v>4994</v>
      </c>
      <c r="B96" s="6" t="s">
        <v>364</v>
      </c>
      <c r="C96" s="6"/>
      <c r="D96" s="6">
        <v>1</v>
      </c>
      <c r="E96" s="6"/>
      <c r="F96" s="6"/>
      <c r="G96" s="6"/>
      <c r="H96" s="6"/>
      <c r="I96" s="6">
        <v>12</v>
      </c>
    </row>
    <row r="97" spans="1:9" x14ac:dyDescent="0.3">
      <c r="A97" s="6" t="s">
        <v>5008</v>
      </c>
      <c r="B97" s="6" t="s">
        <v>364</v>
      </c>
      <c r="C97" s="6"/>
      <c r="D97" s="6">
        <v>8</v>
      </c>
      <c r="E97" s="6"/>
      <c r="F97" s="6"/>
      <c r="G97" s="6"/>
      <c r="H97" s="6"/>
      <c r="I97" s="6">
        <v>1</v>
      </c>
    </row>
    <row r="98" spans="1:9" x14ac:dyDescent="0.3">
      <c r="A98" s="6"/>
      <c r="B98" s="6" t="s">
        <v>364</v>
      </c>
      <c r="C98" s="6"/>
      <c r="D98" s="6">
        <v>-1</v>
      </c>
      <c r="E98" s="6"/>
      <c r="F98" s="6"/>
      <c r="G98" s="6"/>
      <c r="H98" s="6"/>
      <c r="I98" s="6">
        <v>-1</v>
      </c>
    </row>
    <row r="99" spans="1:9" x14ac:dyDescent="0.3">
      <c r="A99" s="6"/>
      <c r="B99" s="6" t="s">
        <v>364</v>
      </c>
      <c r="C99" s="6"/>
      <c r="D99" s="6">
        <v>-1</v>
      </c>
      <c r="E99" s="6"/>
      <c r="F99" s="6"/>
      <c r="G99" s="6"/>
      <c r="H99" s="6"/>
      <c r="I99" s="6">
        <v>-1</v>
      </c>
    </row>
    <row r="100" spans="1:9" x14ac:dyDescent="0.3">
      <c r="A100" s="6" t="s">
        <v>2674</v>
      </c>
      <c r="B100" s="6" t="s">
        <v>338</v>
      </c>
      <c r="C100" s="6"/>
      <c r="D100" s="6">
        <v>23</v>
      </c>
      <c r="E100" s="6"/>
      <c r="F100" s="6"/>
      <c r="G100" s="6"/>
      <c r="H100" s="6"/>
      <c r="I100" s="6">
        <v>5</v>
      </c>
    </row>
    <row r="101" spans="1:9" x14ac:dyDescent="0.3">
      <c r="A101" s="6"/>
      <c r="B101" s="6" t="s">
        <v>338</v>
      </c>
      <c r="C101" s="6"/>
      <c r="D101" s="6">
        <v>-1</v>
      </c>
      <c r="E101" s="6"/>
      <c r="F101" s="6"/>
      <c r="G101" s="6"/>
      <c r="H101" s="6"/>
      <c r="I101" s="6">
        <v>-1</v>
      </c>
    </row>
    <row r="102" spans="1:9" x14ac:dyDescent="0.3">
      <c r="A102" s="6"/>
      <c r="B102" s="6" t="s">
        <v>338</v>
      </c>
      <c r="C102" s="6"/>
      <c r="D102" s="6">
        <v>-1</v>
      </c>
      <c r="E102" s="6"/>
      <c r="F102" s="6"/>
      <c r="G102" s="6"/>
      <c r="H102" s="6"/>
      <c r="I102" s="6">
        <v>-1</v>
      </c>
    </row>
    <row r="103" spans="1:9" x14ac:dyDescent="0.3">
      <c r="A103" s="6" t="s">
        <v>3464</v>
      </c>
      <c r="B103" s="6" t="s">
        <v>444</v>
      </c>
      <c r="C103" s="6"/>
      <c r="D103" s="6">
        <v>13</v>
      </c>
      <c r="E103" s="6"/>
      <c r="F103" s="6"/>
      <c r="G103" s="6"/>
      <c r="H103" s="6"/>
      <c r="I103" s="6">
        <v>22</v>
      </c>
    </row>
    <row r="104" spans="1:9" x14ac:dyDescent="0.3">
      <c r="A104" s="6"/>
      <c r="B104" s="6" t="s">
        <v>444</v>
      </c>
      <c r="C104" s="6"/>
      <c r="D104" s="6">
        <v>-1</v>
      </c>
      <c r="E104" s="6"/>
      <c r="F104" s="6"/>
      <c r="G104" s="6"/>
      <c r="H104" s="6"/>
      <c r="I104" s="6">
        <v>-1</v>
      </c>
    </row>
    <row r="105" spans="1:9" x14ac:dyDescent="0.3">
      <c r="A105" s="6"/>
      <c r="B105" s="6" t="s">
        <v>444</v>
      </c>
      <c r="C105" s="6"/>
      <c r="D105" s="6">
        <v>-1</v>
      </c>
      <c r="E105" s="6"/>
      <c r="F105" s="6"/>
      <c r="G105" s="6"/>
      <c r="H105" s="6"/>
      <c r="I105" s="6">
        <v>-1</v>
      </c>
    </row>
    <row r="106" spans="1:9" x14ac:dyDescent="0.3">
      <c r="A106" s="6"/>
      <c r="B106" s="6" t="s">
        <v>444</v>
      </c>
      <c r="C106" s="6"/>
      <c r="D106" s="6">
        <v>-1</v>
      </c>
      <c r="E106" s="6"/>
      <c r="F106" s="6"/>
      <c r="G106" s="6"/>
      <c r="H106" s="6"/>
      <c r="I106" s="6">
        <v>-1</v>
      </c>
    </row>
    <row r="107" spans="1:9" x14ac:dyDescent="0.3">
      <c r="A107" s="6" t="s">
        <v>3014</v>
      </c>
      <c r="B107" s="6" t="s">
        <v>332</v>
      </c>
      <c r="C107" s="6"/>
      <c r="D107" s="6">
        <v>4</v>
      </c>
      <c r="E107" s="6"/>
      <c r="F107" s="6"/>
      <c r="G107" s="6"/>
      <c r="H107" s="6"/>
      <c r="I107" s="6">
        <v>28</v>
      </c>
    </row>
    <row r="108" spans="1:9" x14ac:dyDescent="0.3">
      <c r="A108" s="6" t="s">
        <v>3702</v>
      </c>
      <c r="B108" s="6" t="s">
        <v>332</v>
      </c>
      <c r="C108" s="6"/>
      <c r="D108" s="6">
        <v>26</v>
      </c>
      <c r="E108" s="6"/>
      <c r="F108" s="6"/>
      <c r="G108" s="6"/>
      <c r="H108" s="6"/>
      <c r="I108" s="6">
        <v>2</v>
      </c>
    </row>
    <row r="109" spans="1:9" x14ac:dyDescent="0.3">
      <c r="A109" s="6"/>
      <c r="B109" s="6" t="s">
        <v>332</v>
      </c>
      <c r="C109" s="6"/>
      <c r="D109" s="6">
        <v>-1</v>
      </c>
      <c r="E109" s="6"/>
      <c r="F109" s="6"/>
      <c r="G109" s="6"/>
      <c r="H109" s="6"/>
      <c r="I109" s="6">
        <v>-1</v>
      </c>
    </row>
    <row r="110" spans="1:9" x14ac:dyDescent="0.3">
      <c r="A110" s="6"/>
      <c r="B110" s="6" t="s">
        <v>332</v>
      </c>
      <c r="C110" s="6"/>
      <c r="D110" s="6">
        <v>-1</v>
      </c>
      <c r="E110" s="6"/>
      <c r="F110" s="6"/>
      <c r="G110" s="6"/>
      <c r="H110" s="6"/>
      <c r="I110" s="6">
        <v>-1</v>
      </c>
    </row>
    <row r="111" spans="1:9" x14ac:dyDescent="0.3">
      <c r="A111" s="6"/>
      <c r="B111" s="6" t="s">
        <v>358</v>
      </c>
      <c r="C111" s="6"/>
      <c r="D111" s="6"/>
      <c r="E111" s="6"/>
      <c r="F111" s="6"/>
      <c r="G111" s="6"/>
      <c r="H111" s="6">
        <v>-1</v>
      </c>
      <c r="I111" s="6"/>
    </row>
    <row r="112" spans="1:9" x14ac:dyDescent="0.3">
      <c r="A112" s="6"/>
      <c r="B112" s="6" t="s">
        <v>358</v>
      </c>
      <c r="C112" s="6"/>
      <c r="D112" s="6"/>
      <c r="E112" s="6"/>
      <c r="F112" s="6"/>
      <c r="G112" s="6"/>
      <c r="H112" s="6">
        <v>-1</v>
      </c>
      <c r="I112" s="6"/>
    </row>
    <row r="113" spans="1:9" x14ac:dyDescent="0.3">
      <c r="A113" s="6"/>
      <c r="B113" s="6" t="s">
        <v>358</v>
      </c>
      <c r="C113" s="6"/>
      <c r="D113" s="6"/>
      <c r="E113" s="6"/>
      <c r="F113" s="6"/>
      <c r="G113" s="6"/>
      <c r="H113" s="6">
        <v>-1</v>
      </c>
      <c r="I113" s="6"/>
    </row>
    <row r="114" spans="1:9" x14ac:dyDescent="0.3">
      <c r="A114" s="6"/>
      <c r="B114" s="6" t="s">
        <v>358</v>
      </c>
      <c r="C114" s="6"/>
      <c r="D114" s="6"/>
      <c r="E114" s="6"/>
      <c r="F114" s="6"/>
      <c r="G114" s="6"/>
      <c r="H114" s="6">
        <v>-1</v>
      </c>
      <c r="I114" s="6"/>
    </row>
    <row r="115" spans="1:9" x14ac:dyDescent="0.3">
      <c r="A115" s="6" t="s">
        <v>2553</v>
      </c>
      <c r="B115" s="6" t="s">
        <v>384</v>
      </c>
      <c r="C115" s="6"/>
      <c r="D115" s="6"/>
      <c r="E115" s="6"/>
      <c r="F115" s="6"/>
      <c r="G115" s="6"/>
      <c r="H115" s="6">
        <v>13</v>
      </c>
      <c r="I115" s="6"/>
    </row>
    <row r="116" spans="1:9" x14ac:dyDescent="0.3">
      <c r="A116" s="6" t="s">
        <v>2574</v>
      </c>
      <c r="B116" s="6" t="s">
        <v>384</v>
      </c>
      <c r="C116" s="6"/>
      <c r="D116" s="6"/>
      <c r="E116" s="6"/>
      <c r="F116" s="6"/>
      <c r="G116" s="6"/>
      <c r="H116" s="6">
        <v>28</v>
      </c>
      <c r="I116" s="6"/>
    </row>
    <row r="117" spans="1:9" x14ac:dyDescent="0.3">
      <c r="A117" s="6"/>
      <c r="B117" s="6" t="s">
        <v>384</v>
      </c>
      <c r="C117" s="6"/>
      <c r="D117" s="6"/>
      <c r="E117" s="6"/>
      <c r="F117" s="6"/>
      <c r="G117" s="6"/>
      <c r="H117" s="6">
        <v>-1</v>
      </c>
      <c r="I117" s="6"/>
    </row>
    <row r="118" spans="1:9" x14ac:dyDescent="0.3">
      <c r="A118" s="6"/>
      <c r="B118" s="6" t="s">
        <v>384</v>
      </c>
      <c r="C118" s="6"/>
      <c r="D118" s="6"/>
      <c r="E118" s="6"/>
      <c r="F118" s="6"/>
      <c r="G118" s="6"/>
      <c r="H118" s="6">
        <v>-1</v>
      </c>
      <c r="I118" s="6"/>
    </row>
    <row r="119" spans="1:9" x14ac:dyDescent="0.3">
      <c r="A119" s="6" t="s">
        <v>2254</v>
      </c>
      <c r="B119" s="6" t="s">
        <v>442</v>
      </c>
      <c r="C119" s="6"/>
      <c r="D119" s="6"/>
      <c r="E119" s="6"/>
      <c r="F119" s="6"/>
      <c r="G119" s="6"/>
      <c r="H119" s="6">
        <v>16</v>
      </c>
      <c r="I119" s="6"/>
    </row>
    <row r="120" spans="1:9" x14ac:dyDescent="0.3">
      <c r="A120" s="6" t="s">
        <v>1437</v>
      </c>
      <c r="B120" s="6" t="s">
        <v>344</v>
      </c>
      <c r="C120" s="6"/>
      <c r="D120" s="6"/>
      <c r="E120" s="6"/>
      <c r="F120" s="6"/>
      <c r="G120" s="6"/>
      <c r="H120" s="6">
        <v>17</v>
      </c>
      <c r="I120" s="6"/>
    </row>
    <row r="121" spans="1:9" x14ac:dyDescent="0.3">
      <c r="A121" s="6" t="s">
        <v>2695</v>
      </c>
      <c r="B121" s="6" t="s">
        <v>344</v>
      </c>
      <c r="C121" s="6"/>
      <c r="D121" s="6"/>
      <c r="E121" s="6"/>
      <c r="F121" s="6"/>
      <c r="G121" s="6"/>
      <c r="H121" s="6">
        <v>15</v>
      </c>
      <c r="I121" s="6"/>
    </row>
    <row r="122" spans="1:9" x14ac:dyDescent="0.3">
      <c r="A122" s="6"/>
      <c r="B122" s="6" t="s">
        <v>344</v>
      </c>
      <c r="C122" s="6"/>
      <c r="D122" s="6"/>
      <c r="E122" s="6"/>
      <c r="F122" s="6"/>
      <c r="G122" s="6"/>
      <c r="H122" s="6">
        <v>-1</v>
      </c>
      <c r="I122" s="6"/>
    </row>
    <row r="123" spans="1:9" x14ac:dyDescent="0.3">
      <c r="A123" s="6"/>
      <c r="B123" s="6" t="s">
        <v>344</v>
      </c>
      <c r="C123" s="6"/>
      <c r="D123" s="6"/>
      <c r="E123" s="6"/>
      <c r="F123" s="6"/>
      <c r="G123" s="6"/>
      <c r="H123" s="6">
        <v>-1</v>
      </c>
      <c r="I123" s="6"/>
    </row>
    <row r="124" spans="1:9" x14ac:dyDescent="0.3">
      <c r="A124" s="6"/>
      <c r="B124" s="6" t="s">
        <v>334</v>
      </c>
      <c r="C124" s="6"/>
      <c r="D124" s="6"/>
      <c r="E124" s="6"/>
      <c r="F124" s="6"/>
      <c r="G124" s="6"/>
      <c r="H124" s="6">
        <v>-1</v>
      </c>
      <c r="I124" s="6"/>
    </row>
    <row r="125" spans="1:9" x14ac:dyDescent="0.3">
      <c r="A125" s="6"/>
      <c r="B125" s="6" t="s">
        <v>334</v>
      </c>
      <c r="C125" s="6"/>
      <c r="D125" s="6"/>
      <c r="E125" s="6"/>
      <c r="F125" s="6"/>
      <c r="G125" s="6"/>
      <c r="H125" s="6">
        <v>-1</v>
      </c>
      <c r="I125" s="6"/>
    </row>
    <row r="126" spans="1:9" x14ac:dyDescent="0.3">
      <c r="A126" s="6"/>
      <c r="B126" s="6" t="s">
        <v>334</v>
      </c>
      <c r="C126" s="6"/>
      <c r="D126" s="6"/>
      <c r="E126" s="6"/>
      <c r="F126" s="6"/>
      <c r="G126" s="6"/>
      <c r="H126" s="6">
        <v>-1</v>
      </c>
      <c r="I126" s="6"/>
    </row>
    <row r="127" spans="1:9" x14ac:dyDescent="0.3">
      <c r="A127" s="6"/>
      <c r="B127" s="6" t="s">
        <v>334</v>
      </c>
      <c r="C127" s="6"/>
      <c r="D127" s="6"/>
      <c r="E127" s="6"/>
      <c r="F127" s="6"/>
      <c r="G127" s="6"/>
      <c r="H127" s="6">
        <v>-1</v>
      </c>
      <c r="I127" s="6"/>
    </row>
    <row r="128" spans="1:9" x14ac:dyDescent="0.3">
      <c r="A128" s="6"/>
      <c r="B128" s="6" t="s">
        <v>402</v>
      </c>
      <c r="C128" s="6"/>
      <c r="D128" s="6"/>
      <c r="E128" s="6"/>
      <c r="F128" s="6"/>
      <c r="G128" s="6"/>
      <c r="H128" s="6">
        <v>-1</v>
      </c>
      <c r="I128" s="6"/>
    </row>
    <row r="129" spans="1:9" x14ac:dyDescent="0.3">
      <c r="A129" s="6" t="s">
        <v>2305</v>
      </c>
      <c r="B129" s="6" t="s">
        <v>356</v>
      </c>
      <c r="C129" s="6"/>
      <c r="D129" s="6"/>
      <c r="E129" s="6"/>
      <c r="F129" s="6"/>
      <c r="G129" s="6"/>
      <c r="H129" s="6">
        <v>9</v>
      </c>
      <c r="I129" s="6"/>
    </row>
    <row r="130" spans="1:9" x14ac:dyDescent="0.3">
      <c r="A130" s="6"/>
      <c r="B130" s="6" t="s">
        <v>356</v>
      </c>
      <c r="C130" s="6"/>
      <c r="D130" s="6"/>
      <c r="E130" s="6"/>
      <c r="F130" s="6"/>
      <c r="G130" s="6"/>
      <c r="H130" s="6">
        <v>-1</v>
      </c>
      <c r="I130" s="6"/>
    </row>
    <row r="131" spans="1:9" x14ac:dyDescent="0.3">
      <c r="A131" s="6"/>
      <c r="B131" s="6" t="s">
        <v>356</v>
      </c>
      <c r="C131" s="6"/>
      <c r="D131" s="6"/>
      <c r="E131" s="6"/>
      <c r="F131" s="6"/>
      <c r="G131" s="6"/>
      <c r="H131" s="6">
        <v>-1</v>
      </c>
      <c r="I131" s="6"/>
    </row>
    <row r="132" spans="1:9" x14ac:dyDescent="0.3">
      <c r="A132" s="6"/>
      <c r="B132" s="6" t="s">
        <v>356</v>
      </c>
      <c r="C132" s="6"/>
      <c r="D132" s="6"/>
      <c r="E132" s="6"/>
      <c r="F132" s="6"/>
      <c r="G132" s="6"/>
      <c r="H132" s="6">
        <v>-1</v>
      </c>
      <c r="I132" s="6"/>
    </row>
    <row r="133" spans="1:9" x14ac:dyDescent="0.3">
      <c r="A133" s="6" t="s">
        <v>3295</v>
      </c>
      <c r="B133" s="6" t="s">
        <v>428</v>
      </c>
      <c r="C133" s="6"/>
      <c r="D133" s="6"/>
      <c r="E133" s="6"/>
      <c r="F133" s="6"/>
      <c r="G133" s="6"/>
      <c r="H133" s="6">
        <v>4</v>
      </c>
      <c r="I133" s="6"/>
    </row>
    <row r="134" spans="1:9" x14ac:dyDescent="0.3">
      <c r="A134" s="6"/>
      <c r="B134" s="6" t="s">
        <v>428</v>
      </c>
      <c r="C134" s="6"/>
      <c r="D134" s="6"/>
      <c r="E134" s="6"/>
      <c r="F134" s="6"/>
      <c r="G134" s="6"/>
      <c r="H134" s="6">
        <v>-1</v>
      </c>
      <c r="I134" s="6"/>
    </row>
    <row r="135" spans="1:9" x14ac:dyDescent="0.3">
      <c r="A135" s="6"/>
      <c r="B135" s="6" t="s">
        <v>428</v>
      </c>
      <c r="C135" s="6"/>
      <c r="D135" s="6"/>
      <c r="E135" s="6"/>
      <c r="F135" s="6"/>
      <c r="G135" s="6"/>
      <c r="H135" s="6">
        <v>-1</v>
      </c>
      <c r="I135" s="6"/>
    </row>
    <row r="136" spans="1:9" x14ac:dyDescent="0.3">
      <c r="A136" s="6" t="s">
        <v>2670</v>
      </c>
      <c r="B136" s="6" t="s">
        <v>338</v>
      </c>
      <c r="C136" s="6"/>
      <c r="D136" s="6"/>
      <c r="E136" s="6"/>
      <c r="F136" s="6"/>
      <c r="G136" s="6"/>
      <c r="H136" s="6">
        <v>18</v>
      </c>
      <c r="I136" s="6"/>
    </row>
    <row r="137" spans="1:9" x14ac:dyDescent="0.3">
      <c r="A137" s="6" t="s">
        <v>2671</v>
      </c>
      <c r="B137" s="6" t="s">
        <v>338</v>
      </c>
      <c r="C137" s="6"/>
      <c r="D137" s="6"/>
      <c r="E137" s="6"/>
      <c r="F137" s="6"/>
      <c r="G137" s="6"/>
      <c r="H137" s="6">
        <v>23</v>
      </c>
      <c r="I137" s="6"/>
    </row>
    <row r="138" spans="1:9" x14ac:dyDescent="0.3">
      <c r="A138" s="6" t="s">
        <v>1384</v>
      </c>
      <c r="B138" s="6" t="s">
        <v>444</v>
      </c>
      <c r="C138" s="6"/>
      <c r="D138" s="6"/>
      <c r="E138" s="6"/>
      <c r="F138" s="6"/>
      <c r="G138" s="6"/>
      <c r="H138" s="6">
        <v>19</v>
      </c>
      <c r="I138" s="6"/>
    </row>
    <row r="139" spans="1:9" x14ac:dyDescent="0.3">
      <c r="A139" s="6" t="s">
        <v>1991</v>
      </c>
      <c r="B139" s="6" t="s">
        <v>444</v>
      </c>
      <c r="C139" s="6"/>
      <c r="D139" s="6"/>
      <c r="E139" s="6"/>
      <c r="F139" s="6"/>
      <c r="G139" s="6"/>
      <c r="H139" s="6">
        <v>3</v>
      </c>
      <c r="I139" s="6"/>
    </row>
    <row r="140" spans="1:9" x14ac:dyDescent="0.3">
      <c r="A140" s="6"/>
      <c r="B140" s="6" t="s">
        <v>444</v>
      </c>
      <c r="C140" s="6"/>
      <c r="D140" s="6"/>
      <c r="E140" s="6"/>
      <c r="F140" s="6"/>
      <c r="G140" s="6"/>
      <c r="H140" s="6">
        <v>-1</v>
      </c>
      <c r="I140" s="6"/>
    </row>
    <row r="141" spans="1:9" x14ac:dyDescent="0.3">
      <c r="A141" s="6"/>
      <c r="B141" s="6" t="s">
        <v>444</v>
      </c>
      <c r="C141" s="6"/>
      <c r="D141" s="6"/>
      <c r="E141" s="6"/>
      <c r="F141" s="6"/>
      <c r="G141" s="6"/>
      <c r="H141" s="6">
        <v>-1</v>
      </c>
      <c r="I141" s="6"/>
    </row>
    <row r="142" spans="1:9" x14ac:dyDescent="0.3">
      <c r="A142" s="6"/>
      <c r="B142" s="6" t="s">
        <v>332</v>
      </c>
      <c r="C142" s="6"/>
      <c r="D142" s="6"/>
      <c r="E142" s="6"/>
      <c r="F142" s="6"/>
      <c r="G142" s="6"/>
      <c r="H142" s="6">
        <v>-1</v>
      </c>
      <c r="I142" s="6"/>
    </row>
    <row r="143" spans="1:9" x14ac:dyDescent="0.3">
      <c r="A143" s="6"/>
      <c r="B143" s="6" t="s">
        <v>332</v>
      </c>
      <c r="C143" s="6"/>
      <c r="D143" s="6"/>
      <c r="E143" s="6"/>
      <c r="F143" s="6"/>
      <c r="G143" s="6"/>
      <c r="H143" s="6">
        <v>-1</v>
      </c>
      <c r="I143" s="6"/>
    </row>
    <row r="144" spans="1:9" x14ac:dyDescent="0.3">
      <c r="A144" s="6"/>
      <c r="B144" s="6" t="s">
        <v>332</v>
      </c>
      <c r="C144" s="6"/>
      <c r="D144" s="6"/>
      <c r="E144" s="6"/>
      <c r="F144" s="6"/>
      <c r="G144" s="6"/>
      <c r="H144" s="6">
        <v>-1</v>
      </c>
      <c r="I144" s="6"/>
    </row>
    <row r="145" spans="1:9" x14ac:dyDescent="0.3">
      <c r="A145" s="6"/>
      <c r="B145" s="6" t="s">
        <v>332</v>
      </c>
      <c r="C145" s="6"/>
      <c r="D145" s="6"/>
      <c r="E145" s="6"/>
      <c r="F145" s="6"/>
      <c r="G145" s="6"/>
      <c r="H145" s="6">
        <v>-1</v>
      </c>
      <c r="I145" s="6"/>
    </row>
  </sheetData>
  <pageMargins left="0.7" right="0.7" top="0.75" bottom="0.75" header="0.3" footer="0.3"/>
  <tableParts count="1">
    <tablePart r:id="rId1"/>
  </tableParts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7CE448-6110-410B-B596-8C546E775521}">
  <dimension ref="A1:I138"/>
  <sheetViews>
    <sheetView topLeftCell="A130" workbookViewId="0">
      <selection activeCell="B139" sqref="B139"/>
    </sheetView>
  </sheetViews>
  <sheetFormatPr defaultRowHeight="14.4" x14ac:dyDescent="0.3"/>
  <cols>
    <col min="1" max="1" width="23.21875" bestFit="1" customWidth="1"/>
    <col min="2" max="2" width="14" bestFit="1" customWidth="1"/>
    <col min="3" max="3" width="20.33203125" bestFit="1" customWidth="1"/>
    <col min="4" max="4" width="20" bestFit="1" customWidth="1"/>
    <col min="5" max="5" width="25.33203125" bestFit="1" customWidth="1"/>
    <col min="6" max="6" width="21.77734375" bestFit="1" customWidth="1"/>
    <col min="7" max="7" width="21" bestFit="1" customWidth="1"/>
    <col min="8" max="8" width="22.109375" bestFit="1" customWidth="1"/>
    <col min="9" max="9" width="23.21875" bestFit="1" customWidth="1"/>
  </cols>
  <sheetData>
    <row r="1" spans="1:9" x14ac:dyDescent="0.3">
      <c r="A1" t="s">
        <v>832</v>
      </c>
      <c r="B1" t="s">
        <v>1</v>
      </c>
      <c r="C1" t="s">
        <v>1026</v>
      </c>
      <c r="D1" t="s">
        <v>1027</v>
      </c>
      <c r="E1" t="s">
        <v>1028</v>
      </c>
      <c r="F1" t="s">
        <v>1029</v>
      </c>
      <c r="G1" t="s">
        <v>1030</v>
      </c>
      <c r="H1" t="s">
        <v>1031</v>
      </c>
      <c r="I1" t="s">
        <v>1032</v>
      </c>
    </row>
    <row r="2" spans="1:9" x14ac:dyDescent="0.3">
      <c r="A2" s="6" t="s">
        <v>2452</v>
      </c>
      <c r="B2" s="6" t="s">
        <v>354</v>
      </c>
      <c r="C2" s="6">
        <v>2</v>
      </c>
      <c r="D2" s="6"/>
      <c r="E2" s="6"/>
      <c r="F2" s="6"/>
      <c r="G2" s="6"/>
      <c r="H2" s="6"/>
      <c r="I2" s="6"/>
    </row>
    <row r="3" spans="1:9" x14ac:dyDescent="0.3">
      <c r="A3" s="6" t="s">
        <v>2467</v>
      </c>
      <c r="B3" s="6" t="s">
        <v>354</v>
      </c>
      <c r="C3" s="6">
        <v>10</v>
      </c>
      <c r="D3" s="6"/>
      <c r="E3" s="6"/>
      <c r="F3" s="6"/>
      <c r="G3" s="6"/>
      <c r="H3" s="6"/>
      <c r="I3" s="6"/>
    </row>
    <row r="4" spans="1:9" x14ac:dyDescent="0.3">
      <c r="A4" s="6"/>
      <c r="B4" s="6" t="s">
        <v>354</v>
      </c>
      <c r="C4" s="6">
        <v>-1</v>
      </c>
      <c r="D4" s="6"/>
      <c r="E4" s="6"/>
      <c r="F4" s="6"/>
      <c r="G4" s="6"/>
      <c r="H4" s="6"/>
      <c r="I4" s="6"/>
    </row>
    <row r="5" spans="1:9" x14ac:dyDescent="0.3">
      <c r="A5" s="6"/>
      <c r="B5" s="6" t="s">
        <v>354</v>
      </c>
      <c r="C5" s="6">
        <v>-1</v>
      </c>
      <c r="D5" s="6"/>
      <c r="E5" s="6"/>
      <c r="F5" s="6"/>
      <c r="G5" s="6"/>
      <c r="H5" s="6"/>
      <c r="I5" s="6"/>
    </row>
    <row r="6" spans="1:9" x14ac:dyDescent="0.3">
      <c r="A6" s="6"/>
      <c r="B6" s="6" t="s">
        <v>384</v>
      </c>
      <c r="C6" s="6">
        <v>-1</v>
      </c>
      <c r="D6" s="6"/>
      <c r="E6" s="6"/>
      <c r="F6" s="6"/>
      <c r="G6" s="6"/>
      <c r="H6" s="6"/>
      <c r="I6" s="6"/>
    </row>
    <row r="7" spans="1:9" x14ac:dyDescent="0.3">
      <c r="A7" s="6" t="s">
        <v>4460</v>
      </c>
      <c r="B7" s="6" t="s">
        <v>328</v>
      </c>
      <c r="C7" s="6">
        <v>9</v>
      </c>
      <c r="D7" s="6"/>
      <c r="E7" s="6"/>
      <c r="F7" s="6"/>
      <c r="G7" s="6"/>
      <c r="H7" s="6"/>
      <c r="I7" s="6"/>
    </row>
    <row r="8" spans="1:9" x14ac:dyDescent="0.3">
      <c r="A8" s="6" t="s">
        <v>4727</v>
      </c>
      <c r="B8" s="6" t="s">
        <v>328</v>
      </c>
      <c r="C8" s="6">
        <v>4</v>
      </c>
      <c r="D8" s="6"/>
      <c r="E8" s="6"/>
      <c r="F8" s="6"/>
      <c r="G8" s="6"/>
      <c r="H8" s="6"/>
      <c r="I8" s="6"/>
    </row>
    <row r="9" spans="1:9" x14ac:dyDescent="0.3">
      <c r="A9" s="6" t="s">
        <v>4736</v>
      </c>
      <c r="B9" s="6" t="s">
        <v>328</v>
      </c>
      <c r="C9" s="6">
        <v>3</v>
      </c>
      <c r="D9" s="6"/>
      <c r="E9" s="6"/>
      <c r="F9" s="6"/>
      <c r="G9" s="6"/>
      <c r="H9" s="6"/>
      <c r="I9" s="6"/>
    </row>
    <row r="10" spans="1:9" x14ac:dyDescent="0.3">
      <c r="A10" s="6"/>
      <c r="B10" s="6" t="s">
        <v>328</v>
      </c>
      <c r="C10" s="6">
        <v>-1</v>
      </c>
      <c r="D10" s="6"/>
      <c r="E10" s="6"/>
      <c r="F10" s="6"/>
      <c r="G10" s="6"/>
      <c r="H10" s="6"/>
      <c r="I10" s="6"/>
    </row>
    <row r="11" spans="1:9" x14ac:dyDescent="0.3">
      <c r="A11" s="6"/>
      <c r="B11" s="6" t="s">
        <v>442</v>
      </c>
      <c r="C11" s="6">
        <v>-1</v>
      </c>
      <c r="D11" s="6"/>
      <c r="E11" s="6"/>
      <c r="F11" s="6"/>
      <c r="G11" s="6"/>
      <c r="H11" s="6"/>
      <c r="I11" s="6"/>
    </row>
    <row r="12" spans="1:9" x14ac:dyDescent="0.3">
      <c r="A12" s="6"/>
      <c r="B12" s="6" t="s">
        <v>334</v>
      </c>
      <c r="C12" s="6">
        <v>-1</v>
      </c>
      <c r="D12" s="6"/>
      <c r="E12" s="6"/>
      <c r="F12" s="6"/>
      <c r="G12" s="6"/>
      <c r="H12" s="6"/>
      <c r="I12" s="6"/>
    </row>
    <row r="13" spans="1:9" x14ac:dyDescent="0.3">
      <c r="A13" s="6"/>
      <c r="B13" s="6" t="s">
        <v>518</v>
      </c>
      <c r="C13" s="6">
        <v>-1</v>
      </c>
      <c r="D13" s="6"/>
      <c r="E13" s="6"/>
      <c r="F13" s="6"/>
      <c r="G13" s="6"/>
      <c r="H13" s="6"/>
      <c r="I13" s="6"/>
    </row>
    <row r="14" spans="1:9" x14ac:dyDescent="0.3">
      <c r="A14" s="6"/>
      <c r="B14" s="6" t="s">
        <v>518</v>
      </c>
      <c r="C14" s="6">
        <v>-1</v>
      </c>
      <c r="D14" s="6"/>
      <c r="E14" s="6"/>
      <c r="F14" s="6"/>
      <c r="G14" s="6"/>
      <c r="H14" s="6"/>
      <c r="I14" s="6"/>
    </row>
    <row r="15" spans="1:9" x14ac:dyDescent="0.3">
      <c r="A15" s="6"/>
      <c r="B15" s="6" t="s">
        <v>518</v>
      </c>
      <c r="C15" s="6">
        <v>-1</v>
      </c>
      <c r="D15" s="6"/>
      <c r="E15" s="6"/>
      <c r="F15" s="6"/>
      <c r="G15" s="6"/>
      <c r="H15" s="6"/>
      <c r="I15" s="6"/>
    </row>
    <row r="16" spans="1:9" x14ac:dyDescent="0.3">
      <c r="A16" s="6" t="s">
        <v>1287</v>
      </c>
      <c r="B16" s="6" t="s">
        <v>428</v>
      </c>
      <c r="C16" s="6">
        <v>24</v>
      </c>
      <c r="D16" s="6"/>
      <c r="E16" s="6"/>
      <c r="F16" s="6"/>
      <c r="G16" s="6"/>
      <c r="H16" s="6"/>
      <c r="I16" s="6"/>
    </row>
    <row r="17" spans="1:9" x14ac:dyDescent="0.3">
      <c r="A17" s="6" t="s">
        <v>1325</v>
      </c>
      <c r="B17" s="6" t="s">
        <v>604</v>
      </c>
      <c r="C17" s="6">
        <v>21</v>
      </c>
      <c r="D17" s="6"/>
      <c r="E17" s="6"/>
      <c r="F17" s="6"/>
      <c r="G17" s="6"/>
      <c r="H17" s="6"/>
      <c r="I17" s="6"/>
    </row>
    <row r="18" spans="1:9" x14ac:dyDescent="0.3">
      <c r="A18" s="6" t="s">
        <v>3467</v>
      </c>
      <c r="B18" s="6" t="s">
        <v>444</v>
      </c>
      <c r="C18" s="6">
        <v>23</v>
      </c>
      <c r="D18" s="6"/>
      <c r="E18" s="6"/>
      <c r="F18" s="6"/>
      <c r="G18" s="6"/>
      <c r="H18" s="6"/>
      <c r="I18" s="6"/>
    </row>
    <row r="19" spans="1:9" x14ac:dyDescent="0.3">
      <c r="A19" s="6" t="s">
        <v>2508</v>
      </c>
      <c r="B19" s="6" t="s">
        <v>726</v>
      </c>
      <c r="C19" s="6">
        <v>19</v>
      </c>
      <c r="D19" s="6"/>
      <c r="E19" s="6"/>
      <c r="F19" s="6"/>
      <c r="G19" s="6"/>
      <c r="H19" s="6"/>
      <c r="I19" s="6"/>
    </row>
    <row r="20" spans="1:9" x14ac:dyDescent="0.3">
      <c r="A20" s="6" t="s">
        <v>2872</v>
      </c>
      <c r="B20" s="6" t="s">
        <v>726</v>
      </c>
      <c r="C20" s="6">
        <v>18</v>
      </c>
      <c r="D20" s="6"/>
      <c r="E20" s="6"/>
      <c r="F20" s="6"/>
      <c r="G20" s="6"/>
      <c r="H20" s="6"/>
      <c r="I20" s="6"/>
    </row>
    <row r="21" spans="1:9" x14ac:dyDescent="0.3">
      <c r="A21" s="6"/>
      <c r="B21" s="6" t="s">
        <v>726</v>
      </c>
      <c r="C21" s="6">
        <v>-1</v>
      </c>
      <c r="D21" s="6"/>
      <c r="E21" s="6"/>
      <c r="F21" s="6"/>
      <c r="G21" s="6"/>
      <c r="H21" s="6"/>
      <c r="I21" s="6"/>
    </row>
    <row r="22" spans="1:9" x14ac:dyDescent="0.3">
      <c r="A22" s="6"/>
      <c r="B22" s="6" t="s">
        <v>726</v>
      </c>
      <c r="C22" s="6">
        <v>-1</v>
      </c>
      <c r="D22" s="6"/>
      <c r="E22" s="6"/>
      <c r="F22" s="6"/>
      <c r="G22" s="6"/>
      <c r="H22" s="6"/>
      <c r="I22" s="6"/>
    </row>
    <row r="23" spans="1:9" x14ac:dyDescent="0.3">
      <c r="A23" s="6"/>
      <c r="B23" s="6" t="s">
        <v>332</v>
      </c>
      <c r="C23" s="6">
        <v>-1</v>
      </c>
      <c r="D23" s="6"/>
      <c r="E23" s="6"/>
      <c r="F23" s="6"/>
      <c r="G23" s="6"/>
      <c r="H23" s="6"/>
      <c r="I23" s="6"/>
    </row>
    <row r="24" spans="1:9" x14ac:dyDescent="0.3">
      <c r="A24" s="6"/>
      <c r="B24" s="6" t="s">
        <v>332</v>
      </c>
      <c r="C24" s="6">
        <v>-1</v>
      </c>
      <c r="D24" s="6"/>
      <c r="E24" s="6"/>
      <c r="F24" s="6"/>
      <c r="G24" s="6"/>
      <c r="H24" s="6"/>
      <c r="I24" s="6"/>
    </row>
    <row r="25" spans="1:9" x14ac:dyDescent="0.3">
      <c r="A25" s="6"/>
      <c r="B25" s="6" t="s">
        <v>332</v>
      </c>
      <c r="C25" s="6">
        <v>-1</v>
      </c>
      <c r="D25" s="6"/>
      <c r="E25" s="6"/>
      <c r="F25" s="6"/>
      <c r="G25" s="6"/>
      <c r="H25" s="6"/>
      <c r="I25" s="6"/>
    </row>
    <row r="26" spans="1:9" x14ac:dyDescent="0.3">
      <c r="A26" s="6"/>
      <c r="B26" s="6" t="s">
        <v>332</v>
      </c>
      <c r="C26" s="6">
        <v>-1</v>
      </c>
      <c r="D26" s="6"/>
      <c r="E26" s="6"/>
      <c r="F26" s="6"/>
      <c r="G26" s="6"/>
      <c r="H26" s="6"/>
      <c r="I26" s="6"/>
    </row>
    <row r="27" spans="1:9" x14ac:dyDescent="0.3">
      <c r="A27" s="6"/>
      <c r="B27" s="6" t="s">
        <v>354</v>
      </c>
      <c r="C27" s="6"/>
      <c r="D27" s="6"/>
      <c r="E27" s="6"/>
      <c r="F27" s="6">
        <v>-1</v>
      </c>
      <c r="G27" s="6"/>
      <c r="H27" s="6"/>
      <c r="I27" s="6"/>
    </row>
    <row r="28" spans="1:9" x14ac:dyDescent="0.3">
      <c r="A28" s="6" t="s">
        <v>2187</v>
      </c>
      <c r="B28" s="6" t="s">
        <v>384</v>
      </c>
      <c r="C28" s="6"/>
      <c r="D28" s="6"/>
      <c r="E28" s="6"/>
      <c r="F28" s="6">
        <v>12</v>
      </c>
      <c r="G28" s="6"/>
      <c r="H28" s="6"/>
      <c r="I28" s="6"/>
    </row>
    <row r="29" spans="1:9" x14ac:dyDescent="0.3">
      <c r="A29" s="6" t="s">
        <v>2546</v>
      </c>
      <c r="B29" s="6" t="s">
        <v>384</v>
      </c>
      <c r="C29" s="6"/>
      <c r="D29" s="6"/>
      <c r="E29" s="6"/>
      <c r="F29" s="6">
        <v>14</v>
      </c>
      <c r="G29" s="6"/>
      <c r="H29" s="6"/>
      <c r="I29" s="6"/>
    </row>
    <row r="30" spans="1:9" x14ac:dyDescent="0.3">
      <c r="A30" s="6"/>
      <c r="B30" s="6" t="s">
        <v>384</v>
      </c>
      <c r="C30" s="6"/>
      <c r="D30" s="6"/>
      <c r="E30" s="6"/>
      <c r="F30" s="6">
        <v>-1</v>
      </c>
      <c r="G30" s="6"/>
      <c r="H30" s="6"/>
      <c r="I30" s="6"/>
    </row>
    <row r="31" spans="1:9" x14ac:dyDescent="0.3">
      <c r="A31" s="6"/>
      <c r="B31" s="6" t="s">
        <v>384</v>
      </c>
      <c r="C31" s="6"/>
      <c r="D31" s="6"/>
      <c r="E31" s="6"/>
      <c r="F31" s="6">
        <v>-1</v>
      </c>
      <c r="G31" s="6"/>
      <c r="H31" s="6"/>
      <c r="I31" s="6"/>
    </row>
    <row r="32" spans="1:9" x14ac:dyDescent="0.3">
      <c r="A32" s="6" t="s">
        <v>2002</v>
      </c>
      <c r="B32" s="6" t="s">
        <v>328</v>
      </c>
      <c r="C32" s="6"/>
      <c r="D32" s="6">
        <v>2</v>
      </c>
      <c r="E32" s="6"/>
      <c r="F32" s="6">
        <v>1</v>
      </c>
      <c r="G32" s="6"/>
      <c r="H32" s="6"/>
      <c r="I32" s="6">
        <v>2</v>
      </c>
    </row>
    <row r="33" spans="1:9" x14ac:dyDescent="0.3">
      <c r="A33" s="6" t="s">
        <v>4296</v>
      </c>
      <c r="B33" s="6" t="s">
        <v>328</v>
      </c>
      <c r="C33" s="6"/>
      <c r="D33" s="6"/>
      <c r="E33" s="6"/>
      <c r="F33" s="6">
        <v>9</v>
      </c>
      <c r="G33" s="6"/>
      <c r="H33" s="6"/>
      <c r="I33" s="6"/>
    </row>
    <row r="34" spans="1:9" x14ac:dyDescent="0.3">
      <c r="A34" s="6"/>
      <c r="B34" s="6" t="s">
        <v>328</v>
      </c>
      <c r="C34" s="6"/>
      <c r="D34" s="6"/>
      <c r="E34" s="6"/>
      <c r="F34" s="6">
        <v>-1</v>
      </c>
      <c r="G34" s="6"/>
      <c r="H34" s="6"/>
      <c r="I34" s="6"/>
    </row>
    <row r="35" spans="1:9" x14ac:dyDescent="0.3">
      <c r="A35" s="6"/>
      <c r="B35" s="6" t="s">
        <v>328</v>
      </c>
      <c r="C35" s="6"/>
      <c r="D35" s="6"/>
      <c r="E35" s="6"/>
      <c r="F35" s="6">
        <v>-1</v>
      </c>
      <c r="G35" s="6"/>
      <c r="H35" s="6"/>
      <c r="I35" s="6"/>
    </row>
    <row r="36" spans="1:9" x14ac:dyDescent="0.3">
      <c r="A36" s="6"/>
      <c r="B36" s="6" t="s">
        <v>572</v>
      </c>
      <c r="C36" s="6"/>
      <c r="D36" s="6"/>
      <c r="E36" s="6"/>
      <c r="F36" s="6">
        <v>-1</v>
      </c>
      <c r="G36" s="6"/>
      <c r="H36" s="6"/>
      <c r="I36" s="6"/>
    </row>
    <row r="37" spans="1:9" x14ac:dyDescent="0.3">
      <c r="A37" s="6"/>
      <c r="B37" s="6" t="s">
        <v>572</v>
      </c>
      <c r="C37" s="6"/>
      <c r="D37" s="6"/>
      <c r="E37" s="6"/>
      <c r="F37" s="6">
        <v>-1</v>
      </c>
      <c r="G37" s="6"/>
      <c r="H37" s="6"/>
      <c r="I37" s="6"/>
    </row>
    <row r="38" spans="1:9" x14ac:dyDescent="0.3">
      <c r="A38" s="6"/>
      <c r="B38" s="6" t="s">
        <v>334</v>
      </c>
      <c r="C38" s="6"/>
      <c r="D38" s="6"/>
      <c r="E38" s="6"/>
      <c r="F38" s="6">
        <v>-1</v>
      </c>
      <c r="G38" s="6"/>
      <c r="H38" s="6"/>
      <c r="I38" s="6"/>
    </row>
    <row r="39" spans="1:9" x14ac:dyDescent="0.3">
      <c r="A39" s="6" t="s">
        <v>4314</v>
      </c>
      <c r="B39" s="6" t="s">
        <v>402</v>
      </c>
      <c r="C39" s="6"/>
      <c r="D39" s="6"/>
      <c r="E39" s="6"/>
      <c r="F39" s="6">
        <v>3</v>
      </c>
      <c r="G39" s="6"/>
      <c r="H39" s="6"/>
      <c r="I39" s="6"/>
    </row>
    <row r="40" spans="1:9" x14ac:dyDescent="0.3">
      <c r="A40" s="6" t="s">
        <v>1530</v>
      </c>
      <c r="B40" s="6" t="s">
        <v>428</v>
      </c>
      <c r="C40" s="6"/>
      <c r="D40" s="6"/>
      <c r="E40" s="6"/>
      <c r="F40" s="6">
        <v>19</v>
      </c>
      <c r="G40" s="6"/>
      <c r="H40" s="6"/>
      <c r="I40" s="6"/>
    </row>
    <row r="41" spans="1:9" x14ac:dyDescent="0.3">
      <c r="A41" s="6" t="s">
        <v>2173</v>
      </c>
      <c r="B41" s="6" t="s">
        <v>474</v>
      </c>
      <c r="C41" s="6"/>
      <c r="D41" s="6"/>
      <c r="E41" s="6"/>
      <c r="F41" s="6">
        <v>24</v>
      </c>
      <c r="G41" s="6"/>
      <c r="H41" s="6"/>
      <c r="I41" s="6"/>
    </row>
    <row r="42" spans="1:9" x14ac:dyDescent="0.3">
      <c r="A42" s="6"/>
      <c r="B42" s="6" t="s">
        <v>700</v>
      </c>
      <c r="C42" s="6"/>
      <c r="D42" s="6"/>
      <c r="E42" s="6"/>
      <c r="F42" s="6">
        <v>-1</v>
      </c>
      <c r="G42" s="6"/>
      <c r="H42" s="6"/>
      <c r="I42" s="6"/>
    </row>
    <row r="43" spans="1:9" x14ac:dyDescent="0.3">
      <c r="A43" s="6"/>
      <c r="B43" s="6" t="s">
        <v>700</v>
      </c>
      <c r="C43" s="6"/>
      <c r="D43" s="6"/>
      <c r="E43" s="6"/>
      <c r="F43" s="6">
        <v>-1</v>
      </c>
      <c r="G43" s="6"/>
      <c r="H43" s="6"/>
      <c r="I43" s="6"/>
    </row>
    <row r="44" spans="1:9" x14ac:dyDescent="0.3">
      <c r="A44" s="6" t="s">
        <v>2000</v>
      </c>
      <c r="B44" s="6" t="s">
        <v>332</v>
      </c>
      <c r="C44" s="6"/>
      <c r="D44" s="6"/>
      <c r="E44" s="6"/>
      <c r="F44" s="6">
        <v>10</v>
      </c>
      <c r="G44" s="6"/>
      <c r="H44" s="6"/>
      <c r="I44" s="6"/>
    </row>
    <row r="45" spans="1:9" x14ac:dyDescent="0.3">
      <c r="A45" s="6" t="s">
        <v>4188</v>
      </c>
      <c r="B45" s="6" t="s">
        <v>332</v>
      </c>
      <c r="C45" s="6"/>
      <c r="D45" s="6"/>
      <c r="E45" s="6"/>
      <c r="F45" s="6">
        <v>18</v>
      </c>
      <c r="G45" s="6"/>
      <c r="H45" s="6"/>
      <c r="I45" s="6"/>
    </row>
    <row r="46" spans="1:9" x14ac:dyDescent="0.3">
      <c r="A46" s="6"/>
      <c r="B46" s="6" t="s">
        <v>332</v>
      </c>
      <c r="C46" s="6"/>
      <c r="D46" s="6"/>
      <c r="E46" s="6"/>
      <c r="F46" s="6">
        <v>-1</v>
      </c>
      <c r="G46" s="6"/>
      <c r="H46" s="6"/>
      <c r="I46" s="6"/>
    </row>
    <row r="47" spans="1:9" x14ac:dyDescent="0.3">
      <c r="A47" s="6"/>
      <c r="B47" s="6" t="s">
        <v>332</v>
      </c>
      <c r="C47" s="6"/>
      <c r="D47" s="6"/>
      <c r="E47" s="6"/>
      <c r="F47" s="6">
        <v>-1</v>
      </c>
      <c r="G47" s="6"/>
      <c r="H47" s="6"/>
      <c r="I47" s="6"/>
    </row>
    <row r="48" spans="1:9" x14ac:dyDescent="0.3">
      <c r="A48" s="6" t="s">
        <v>2357</v>
      </c>
      <c r="B48" s="6" t="s">
        <v>354</v>
      </c>
      <c r="C48" s="6"/>
      <c r="D48" s="6"/>
      <c r="E48" s="6">
        <v>16</v>
      </c>
      <c r="F48" s="6"/>
      <c r="G48" s="6">
        <v>21</v>
      </c>
      <c r="H48" s="6"/>
      <c r="I48" s="6"/>
    </row>
    <row r="49" spans="1:9" x14ac:dyDescent="0.3">
      <c r="A49" s="6" t="s">
        <v>2472</v>
      </c>
      <c r="B49" s="6" t="s">
        <v>354</v>
      </c>
      <c r="C49" s="6"/>
      <c r="D49" s="6"/>
      <c r="E49" s="6">
        <v>24</v>
      </c>
      <c r="F49" s="6"/>
      <c r="G49" s="6">
        <v>6</v>
      </c>
      <c r="H49" s="6"/>
      <c r="I49" s="6"/>
    </row>
    <row r="50" spans="1:9" x14ac:dyDescent="0.3">
      <c r="A50" s="6"/>
      <c r="B50" s="6" t="s">
        <v>354</v>
      </c>
      <c r="C50" s="6"/>
      <c r="D50" s="6"/>
      <c r="E50" s="6">
        <v>-1</v>
      </c>
      <c r="F50" s="6"/>
      <c r="G50" s="6">
        <v>-1</v>
      </c>
      <c r="H50" s="6"/>
      <c r="I50" s="6"/>
    </row>
    <row r="51" spans="1:9" x14ac:dyDescent="0.3">
      <c r="A51" s="6"/>
      <c r="B51" s="6" t="s">
        <v>358</v>
      </c>
      <c r="C51" s="6"/>
      <c r="D51" s="6"/>
      <c r="E51" s="6">
        <v>-1</v>
      </c>
      <c r="F51" s="6"/>
      <c r="G51" s="6">
        <v>-1</v>
      </c>
      <c r="H51" s="6"/>
      <c r="I51" s="6"/>
    </row>
    <row r="52" spans="1:9" x14ac:dyDescent="0.3">
      <c r="A52" s="6"/>
      <c r="B52" s="6" t="s">
        <v>358</v>
      </c>
      <c r="C52" s="6"/>
      <c r="D52" s="6"/>
      <c r="E52" s="6">
        <v>-1</v>
      </c>
      <c r="F52" s="6"/>
      <c r="G52" s="6">
        <v>-1</v>
      </c>
      <c r="H52" s="6"/>
      <c r="I52" s="6"/>
    </row>
    <row r="53" spans="1:9" x14ac:dyDescent="0.3">
      <c r="A53" s="6" t="s">
        <v>1234</v>
      </c>
      <c r="B53" s="6" t="s">
        <v>384</v>
      </c>
      <c r="C53" s="6"/>
      <c r="D53" s="6"/>
      <c r="E53" s="6">
        <v>11</v>
      </c>
      <c r="F53" s="6"/>
      <c r="G53" s="6">
        <v>5</v>
      </c>
      <c r="H53" s="6"/>
      <c r="I53" s="6"/>
    </row>
    <row r="54" spans="1:9" x14ac:dyDescent="0.3">
      <c r="A54" s="6" t="s">
        <v>2561</v>
      </c>
      <c r="B54" s="6" t="s">
        <v>384</v>
      </c>
      <c r="C54" s="6"/>
      <c r="D54" s="6"/>
      <c r="E54" s="6">
        <v>15</v>
      </c>
      <c r="F54" s="6"/>
      <c r="G54" s="6">
        <v>19</v>
      </c>
      <c r="H54" s="6"/>
      <c r="I54" s="6"/>
    </row>
    <row r="55" spans="1:9" x14ac:dyDescent="0.3">
      <c r="A55" s="6"/>
      <c r="B55" s="6" t="s">
        <v>384</v>
      </c>
      <c r="C55" s="6"/>
      <c r="D55" s="6"/>
      <c r="E55" s="6">
        <v>-1</v>
      </c>
      <c r="F55" s="6"/>
      <c r="G55" s="6">
        <v>-1</v>
      </c>
      <c r="H55" s="6"/>
      <c r="I55" s="6"/>
    </row>
    <row r="56" spans="1:9" x14ac:dyDescent="0.3">
      <c r="A56" s="6"/>
      <c r="B56" s="6" t="s">
        <v>384</v>
      </c>
      <c r="C56" s="6"/>
      <c r="D56" s="6"/>
      <c r="E56" s="6">
        <v>-1</v>
      </c>
      <c r="F56" s="6"/>
      <c r="G56" s="6">
        <v>-1</v>
      </c>
      <c r="H56" s="6"/>
      <c r="I56" s="6"/>
    </row>
    <row r="57" spans="1:9" x14ac:dyDescent="0.3">
      <c r="A57" s="6"/>
      <c r="B57" s="6" t="s">
        <v>328</v>
      </c>
      <c r="C57" s="6"/>
      <c r="D57" s="6"/>
      <c r="E57" s="6">
        <v>-1</v>
      </c>
      <c r="F57" s="6"/>
      <c r="G57" s="6">
        <v>-1</v>
      </c>
      <c r="H57" s="6"/>
      <c r="I57" s="6"/>
    </row>
    <row r="58" spans="1:9" x14ac:dyDescent="0.3">
      <c r="A58" s="6"/>
      <c r="B58" s="6" t="s">
        <v>328</v>
      </c>
      <c r="C58" s="6"/>
      <c r="D58" s="6"/>
      <c r="E58" s="6">
        <v>-1</v>
      </c>
      <c r="F58" s="6"/>
      <c r="G58" s="6">
        <v>-1</v>
      </c>
      <c r="H58" s="6"/>
      <c r="I58" s="6"/>
    </row>
    <row r="59" spans="1:9" x14ac:dyDescent="0.3">
      <c r="A59" s="6" t="s">
        <v>4863</v>
      </c>
      <c r="B59" s="6" t="s">
        <v>344</v>
      </c>
      <c r="C59" s="6"/>
      <c r="D59" s="6"/>
      <c r="E59" s="6">
        <v>20</v>
      </c>
      <c r="F59" s="6"/>
      <c r="G59" s="6">
        <v>23</v>
      </c>
      <c r="H59" s="6"/>
      <c r="I59" s="6"/>
    </row>
    <row r="60" spans="1:9" x14ac:dyDescent="0.3">
      <c r="A60" s="6"/>
      <c r="B60" s="6" t="s">
        <v>344</v>
      </c>
      <c r="C60" s="6"/>
      <c r="D60" s="6"/>
      <c r="E60" s="6">
        <v>-1</v>
      </c>
      <c r="F60" s="6"/>
      <c r="G60" s="6">
        <v>-1</v>
      </c>
      <c r="H60" s="6"/>
      <c r="I60" s="6"/>
    </row>
    <row r="61" spans="1:9" x14ac:dyDescent="0.3">
      <c r="A61" s="6"/>
      <c r="B61" s="6" t="s">
        <v>344</v>
      </c>
      <c r="C61" s="6"/>
      <c r="D61" s="6"/>
      <c r="E61" s="6">
        <v>-1</v>
      </c>
      <c r="F61" s="6"/>
      <c r="G61" s="6">
        <v>-1</v>
      </c>
      <c r="H61" s="6"/>
      <c r="I61" s="6"/>
    </row>
    <row r="62" spans="1:9" x14ac:dyDescent="0.3">
      <c r="A62" s="6" t="s">
        <v>2915</v>
      </c>
      <c r="B62" s="6" t="s">
        <v>402</v>
      </c>
      <c r="C62" s="6"/>
      <c r="D62" s="6"/>
      <c r="E62" s="6">
        <v>22</v>
      </c>
      <c r="F62" s="6"/>
      <c r="G62" s="6">
        <v>22</v>
      </c>
      <c r="H62" s="6"/>
      <c r="I62" s="6"/>
    </row>
    <row r="63" spans="1:9" x14ac:dyDescent="0.3">
      <c r="A63" s="6"/>
      <c r="B63" s="6" t="s">
        <v>356</v>
      </c>
      <c r="C63" s="6"/>
      <c r="D63" s="6"/>
      <c r="E63" s="6">
        <v>-1</v>
      </c>
      <c r="F63" s="6"/>
      <c r="G63" s="6">
        <v>-1</v>
      </c>
      <c r="H63" s="6"/>
      <c r="I63" s="6"/>
    </row>
    <row r="64" spans="1:9" x14ac:dyDescent="0.3">
      <c r="A64" s="6" t="s">
        <v>1745</v>
      </c>
      <c r="B64" s="6" t="s">
        <v>428</v>
      </c>
      <c r="C64" s="6"/>
      <c r="D64" s="6"/>
      <c r="E64" s="6">
        <v>9</v>
      </c>
      <c r="F64" s="6"/>
      <c r="G64" s="6">
        <v>11</v>
      </c>
      <c r="H64" s="6"/>
      <c r="I64" s="6"/>
    </row>
    <row r="65" spans="1:9" x14ac:dyDescent="0.3">
      <c r="A65" s="6" t="s">
        <v>1756</v>
      </c>
      <c r="B65" s="6" t="s">
        <v>428</v>
      </c>
      <c r="C65" s="6"/>
      <c r="D65" s="6"/>
      <c r="E65" s="6">
        <v>18</v>
      </c>
      <c r="F65" s="6"/>
      <c r="G65" s="6">
        <v>17</v>
      </c>
      <c r="H65" s="6"/>
      <c r="I65" s="6"/>
    </row>
    <row r="66" spans="1:9" x14ac:dyDescent="0.3">
      <c r="A66" s="6" t="s">
        <v>3342</v>
      </c>
      <c r="B66" s="6" t="s">
        <v>428</v>
      </c>
      <c r="C66" s="6"/>
      <c r="D66" s="6"/>
      <c r="E66" s="6">
        <v>17</v>
      </c>
      <c r="F66" s="6"/>
      <c r="G66" s="6">
        <v>13</v>
      </c>
      <c r="H66" s="6"/>
      <c r="I66" s="6"/>
    </row>
    <row r="67" spans="1:9" x14ac:dyDescent="0.3">
      <c r="A67" s="6" t="s">
        <v>4082</v>
      </c>
      <c r="B67" s="6" t="s">
        <v>428</v>
      </c>
      <c r="C67" s="6"/>
      <c r="D67" s="6"/>
      <c r="E67" s="6">
        <v>7</v>
      </c>
      <c r="F67" s="6"/>
      <c r="G67" s="6">
        <v>4</v>
      </c>
      <c r="H67" s="6"/>
      <c r="I67" s="6"/>
    </row>
    <row r="68" spans="1:9" x14ac:dyDescent="0.3">
      <c r="A68" s="6" t="s">
        <v>5027</v>
      </c>
      <c r="B68" s="6" t="s">
        <v>604</v>
      </c>
      <c r="C68" s="6"/>
      <c r="D68" s="6"/>
      <c r="E68" s="6">
        <v>13</v>
      </c>
      <c r="F68" s="6"/>
      <c r="G68" s="6">
        <v>14</v>
      </c>
      <c r="H68" s="6"/>
      <c r="I68" s="6"/>
    </row>
    <row r="69" spans="1:9" x14ac:dyDescent="0.3">
      <c r="A69" s="6" t="s">
        <v>5028</v>
      </c>
      <c r="B69" s="6" t="s">
        <v>604</v>
      </c>
      <c r="C69" s="6"/>
      <c r="D69" s="6"/>
      <c r="E69" s="6">
        <v>8</v>
      </c>
      <c r="F69" s="6"/>
      <c r="G69" s="6">
        <v>15</v>
      </c>
      <c r="H69" s="6"/>
      <c r="I69" s="6"/>
    </row>
    <row r="70" spans="1:9" x14ac:dyDescent="0.3">
      <c r="A70" s="6"/>
      <c r="B70" s="6" t="s">
        <v>604</v>
      </c>
      <c r="C70" s="6"/>
      <c r="D70" s="6"/>
      <c r="E70" s="6">
        <v>-1</v>
      </c>
      <c r="F70" s="6"/>
      <c r="G70" s="6">
        <v>-1</v>
      </c>
      <c r="H70" s="6"/>
      <c r="I70" s="6"/>
    </row>
    <row r="71" spans="1:9" x14ac:dyDescent="0.3">
      <c r="A71" s="6" t="s">
        <v>2564</v>
      </c>
      <c r="B71" s="6" t="s">
        <v>422</v>
      </c>
      <c r="C71" s="6"/>
      <c r="D71" s="6"/>
      <c r="E71" s="6">
        <v>30</v>
      </c>
      <c r="F71" s="6"/>
      <c r="G71" s="6">
        <v>27</v>
      </c>
      <c r="H71" s="6"/>
      <c r="I71" s="6"/>
    </row>
    <row r="72" spans="1:9" x14ac:dyDescent="0.3">
      <c r="A72" s="6"/>
      <c r="B72" s="6" t="s">
        <v>700</v>
      </c>
      <c r="C72" s="6"/>
      <c r="D72" s="6"/>
      <c r="E72" s="6">
        <v>-1</v>
      </c>
      <c r="F72" s="6"/>
      <c r="G72" s="6">
        <v>-1</v>
      </c>
      <c r="H72" s="6"/>
      <c r="I72" s="6"/>
    </row>
    <row r="73" spans="1:9" x14ac:dyDescent="0.3">
      <c r="A73" s="6" t="s">
        <v>3159</v>
      </c>
      <c r="B73" s="6" t="s">
        <v>338</v>
      </c>
      <c r="C73" s="6"/>
      <c r="D73" s="6"/>
      <c r="E73" s="6">
        <v>25</v>
      </c>
      <c r="F73" s="6"/>
      <c r="G73" s="6">
        <v>25</v>
      </c>
      <c r="H73" s="6"/>
      <c r="I73" s="6"/>
    </row>
    <row r="74" spans="1:9" x14ac:dyDescent="0.3">
      <c r="A74" s="6" t="s">
        <v>4189</v>
      </c>
      <c r="B74" s="6" t="s">
        <v>332</v>
      </c>
      <c r="C74" s="6"/>
      <c r="D74" s="6"/>
      <c r="E74" s="6">
        <v>5</v>
      </c>
      <c r="F74" s="6"/>
      <c r="G74" s="6">
        <v>10</v>
      </c>
      <c r="H74" s="6"/>
      <c r="I74" s="6"/>
    </row>
    <row r="75" spans="1:9" x14ac:dyDescent="0.3">
      <c r="A75" s="6" t="s">
        <v>4191</v>
      </c>
      <c r="B75" s="6" t="s">
        <v>332</v>
      </c>
      <c r="C75" s="6"/>
      <c r="D75" s="6"/>
      <c r="E75" s="6">
        <v>2</v>
      </c>
      <c r="F75" s="6"/>
      <c r="G75" s="6">
        <v>2</v>
      </c>
      <c r="H75" s="6"/>
      <c r="I75" s="6"/>
    </row>
    <row r="76" spans="1:9" x14ac:dyDescent="0.3">
      <c r="A76" s="6" t="s">
        <v>4195</v>
      </c>
      <c r="B76" s="6" t="s">
        <v>332</v>
      </c>
      <c r="C76" s="6"/>
      <c r="D76" s="6"/>
      <c r="E76" s="6">
        <v>3</v>
      </c>
      <c r="F76" s="6"/>
      <c r="G76" s="6">
        <v>1</v>
      </c>
      <c r="H76" s="6"/>
      <c r="I76" s="6"/>
    </row>
    <row r="77" spans="1:9" x14ac:dyDescent="0.3">
      <c r="A77" s="6"/>
      <c r="B77" s="6" t="s">
        <v>332</v>
      </c>
      <c r="C77" s="6"/>
      <c r="D77" s="6"/>
      <c r="E77" s="6">
        <v>-1</v>
      </c>
      <c r="F77" s="6"/>
      <c r="G77" s="6">
        <v>-1</v>
      </c>
      <c r="H77" s="6"/>
      <c r="I77" s="6"/>
    </row>
    <row r="78" spans="1:9" x14ac:dyDescent="0.3">
      <c r="A78" s="6"/>
      <c r="B78" s="6" t="s">
        <v>354</v>
      </c>
      <c r="C78" s="6"/>
      <c r="D78" s="6">
        <v>-1</v>
      </c>
      <c r="E78" s="6"/>
      <c r="F78" s="6"/>
      <c r="G78" s="6"/>
      <c r="H78" s="6"/>
      <c r="I78" s="6">
        <v>-1</v>
      </c>
    </row>
    <row r="79" spans="1:9" x14ac:dyDescent="0.3">
      <c r="A79" s="6"/>
      <c r="B79" s="6" t="s">
        <v>358</v>
      </c>
      <c r="C79" s="6"/>
      <c r="D79" s="6">
        <v>-1</v>
      </c>
      <c r="E79" s="6"/>
      <c r="F79" s="6"/>
      <c r="G79" s="6"/>
      <c r="H79" s="6"/>
      <c r="I79" s="6">
        <v>-1</v>
      </c>
    </row>
    <row r="80" spans="1:9" x14ac:dyDescent="0.3">
      <c r="A80" s="6" t="s">
        <v>2529</v>
      </c>
      <c r="B80" s="6" t="s">
        <v>384</v>
      </c>
      <c r="C80" s="6"/>
      <c r="D80" s="6">
        <v>17</v>
      </c>
      <c r="E80" s="6"/>
      <c r="F80" s="6"/>
      <c r="G80" s="6"/>
      <c r="H80" s="6"/>
      <c r="I80" s="6">
        <v>21</v>
      </c>
    </row>
    <row r="81" spans="1:9" x14ac:dyDescent="0.3">
      <c r="A81" s="6" t="s">
        <v>2545</v>
      </c>
      <c r="B81" s="6" t="s">
        <v>384</v>
      </c>
      <c r="C81" s="6"/>
      <c r="D81" s="6">
        <v>20</v>
      </c>
      <c r="E81" s="6"/>
      <c r="F81" s="6"/>
      <c r="G81" s="6"/>
      <c r="H81" s="6"/>
      <c r="I81" s="6">
        <v>23</v>
      </c>
    </row>
    <row r="82" spans="1:9" x14ac:dyDescent="0.3">
      <c r="A82" s="6"/>
      <c r="B82" s="6" t="s">
        <v>384</v>
      </c>
      <c r="C82" s="6"/>
      <c r="D82" s="6">
        <v>-1</v>
      </c>
      <c r="E82" s="6"/>
      <c r="F82" s="6"/>
      <c r="G82" s="6"/>
      <c r="H82" s="6"/>
      <c r="I82" s="6">
        <v>-1</v>
      </c>
    </row>
    <row r="83" spans="1:9" x14ac:dyDescent="0.3">
      <c r="A83" s="6"/>
      <c r="B83" s="6" t="s">
        <v>384</v>
      </c>
      <c r="C83" s="6"/>
      <c r="D83" s="6">
        <v>-1</v>
      </c>
      <c r="E83" s="6"/>
      <c r="F83" s="6"/>
      <c r="G83" s="6"/>
      <c r="H83" s="6"/>
      <c r="I83" s="6">
        <v>-1</v>
      </c>
    </row>
    <row r="84" spans="1:9" x14ac:dyDescent="0.3">
      <c r="A84" s="6" t="s">
        <v>2733</v>
      </c>
      <c r="B84" s="6" t="s">
        <v>328</v>
      </c>
      <c r="C84" s="6"/>
      <c r="D84" s="6">
        <v>16</v>
      </c>
      <c r="E84" s="6"/>
      <c r="F84" s="6"/>
      <c r="G84" s="6"/>
      <c r="H84" s="6"/>
      <c r="I84" s="6">
        <v>19</v>
      </c>
    </row>
    <row r="85" spans="1:9" x14ac:dyDescent="0.3">
      <c r="A85" s="6"/>
      <c r="B85" s="6" t="s">
        <v>328</v>
      </c>
      <c r="C85" s="6"/>
      <c r="D85" s="6">
        <v>-1</v>
      </c>
      <c r="E85" s="6"/>
      <c r="F85" s="6"/>
      <c r="G85" s="6"/>
      <c r="H85" s="6"/>
      <c r="I85" s="6">
        <v>-1</v>
      </c>
    </row>
    <row r="86" spans="1:9" x14ac:dyDescent="0.3">
      <c r="A86" s="6"/>
      <c r="B86" s="6" t="s">
        <v>328</v>
      </c>
      <c r="C86" s="6"/>
      <c r="D86" s="6">
        <v>-1</v>
      </c>
      <c r="E86" s="6"/>
      <c r="F86" s="6"/>
      <c r="G86" s="6"/>
      <c r="H86" s="6"/>
      <c r="I86" s="6">
        <v>-1</v>
      </c>
    </row>
    <row r="87" spans="1:9" x14ac:dyDescent="0.3">
      <c r="A87" s="6" t="s">
        <v>1449</v>
      </c>
      <c r="B87" s="6" t="s">
        <v>372</v>
      </c>
      <c r="C87" s="6"/>
      <c r="D87" s="6">
        <v>8</v>
      </c>
      <c r="E87" s="6"/>
      <c r="F87" s="6"/>
      <c r="G87" s="6"/>
      <c r="H87" s="6"/>
      <c r="I87" s="6">
        <v>8</v>
      </c>
    </row>
    <row r="88" spans="1:9" x14ac:dyDescent="0.3">
      <c r="A88" s="6" t="s">
        <v>2694</v>
      </c>
      <c r="B88" s="6" t="s">
        <v>344</v>
      </c>
      <c r="C88" s="6"/>
      <c r="D88" s="6">
        <v>18</v>
      </c>
      <c r="E88" s="6"/>
      <c r="F88" s="6"/>
      <c r="G88" s="6"/>
      <c r="H88" s="6"/>
      <c r="I88" s="6">
        <v>22</v>
      </c>
    </row>
    <row r="89" spans="1:9" x14ac:dyDescent="0.3">
      <c r="A89" s="6"/>
      <c r="B89" s="6" t="s">
        <v>334</v>
      </c>
      <c r="C89" s="6"/>
      <c r="D89" s="6">
        <v>-1</v>
      </c>
      <c r="E89" s="6"/>
      <c r="F89" s="6"/>
      <c r="G89" s="6"/>
      <c r="H89" s="6"/>
      <c r="I89" s="6">
        <v>-1</v>
      </c>
    </row>
    <row r="90" spans="1:9" x14ac:dyDescent="0.3">
      <c r="A90" s="6"/>
      <c r="B90" s="6" t="s">
        <v>402</v>
      </c>
      <c r="C90" s="6"/>
      <c r="D90" s="6">
        <v>-1</v>
      </c>
      <c r="E90" s="6"/>
      <c r="F90" s="6"/>
      <c r="G90" s="6"/>
      <c r="H90" s="6"/>
      <c r="I90" s="6">
        <v>-1</v>
      </c>
    </row>
    <row r="91" spans="1:9" x14ac:dyDescent="0.3">
      <c r="A91" s="6" t="s">
        <v>2271</v>
      </c>
      <c r="B91" s="6" t="s">
        <v>356</v>
      </c>
      <c r="C91" s="6"/>
      <c r="D91" s="6">
        <v>9</v>
      </c>
      <c r="E91" s="6"/>
      <c r="F91" s="6"/>
      <c r="G91" s="6"/>
      <c r="H91" s="6"/>
      <c r="I91" s="6">
        <v>10</v>
      </c>
    </row>
    <row r="92" spans="1:9" x14ac:dyDescent="0.3">
      <c r="A92" s="6"/>
      <c r="B92" s="6" t="s">
        <v>356</v>
      </c>
      <c r="C92" s="6"/>
      <c r="D92" s="6">
        <v>-1</v>
      </c>
      <c r="E92" s="6"/>
      <c r="F92" s="6"/>
      <c r="G92" s="6"/>
      <c r="H92" s="6"/>
      <c r="I92" s="6">
        <v>-1</v>
      </c>
    </row>
    <row r="93" spans="1:9" x14ac:dyDescent="0.3">
      <c r="A93" s="6" t="s">
        <v>4054</v>
      </c>
      <c r="B93" s="6" t="s">
        <v>428</v>
      </c>
      <c r="C93" s="6"/>
      <c r="D93" s="6">
        <v>25</v>
      </c>
      <c r="E93" s="6"/>
      <c r="F93" s="6"/>
      <c r="G93" s="6"/>
      <c r="H93" s="6"/>
      <c r="I93" s="6">
        <v>18</v>
      </c>
    </row>
    <row r="94" spans="1:9" x14ac:dyDescent="0.3">
      <c r="A94" s="6"/>
      <c r="B94" s="6" t="s">
        <v>428</v>
      </c>
      <c r="C94" s="6"/>
      <c r="D94" s="6">
        <v>-1</v>
      </c>
      <c r="E94" s="6"/>
      <c r="F94" s="6"/>
      <c r="G94" s="6"/>
      <c r="H94" s="6"/>
      <c r="I94" s="6">
        <v>-1</v>
      </c>
    </row>
    <row r="95" spans="1:9" x14ac:dyDescent="0.3">
      <c r="A95" s="6" t="s">
        <v>4146</v>
      </c>
      <c r="B95" s="6" t="s">
        <v>474</v>
      </c>
      <c r="C95" s="6"/>
      <c r="D95" s="6">
        <v>24</v>
      </c>
      <c r="E95" s="6"/>
      <c r="F95" s="6"/>
      <c r="G95" s="6"/>
      <c r="H95" s="6"/>
      <c r="I95" s="6">
        <v>17</v>
      </c>
    </row>
    <row r="96" spans="1:9" x14ac:dyDescent="0.3">
      <c r="A96" s="6"/>
      <c r="B96" s="6" t="s">
        <v>474</v>
      </c>
      <c r="C96" s="6"/>
      <c r="D96" s="6">
        <v>-1</v>
      </c>
      <c r="E96" s="6"/>
      <c r="F96" s="6"/>
      <c r="G96" s="6"/>
      <c r="H96" s="6"/>
      <c r="I96" s="6">
        <v>-1</v>
      </c>
    </row>
    <row r="97" spans="1:9" x14ac:dyDescent="0.3">
      <c r="A97" s="6"/>
      <c r="B97" s="6" t="s">
        <v>364</v>
      </c>
      <c r="C97" s="6"/>
      <c r="D97" s="6">
        <v>-1</v>
      </c>
      <c r="E97" s="6"/>
      <c r="F97" s="6"/>
      <c r="G97" s="6"/>
      <c r="H97" s="6"/>
      <c r="I97" s="6">
        <v>-1</v>
      </c>
    </row>
    <row r="98" spans="1:9" x14ac:dyDescent="0.3">
      <c r="A98" s="6" t="s">
        <v>3454</v>
      </c>
      <c r="B98" s="6" t="s">
        <v>444</v>
      </c>
      <c r="C98" s="6"/>
      <c r="D98" s="6">
        <v>11</v>
      </c>
      <c r="E98" s="6"/>
      <c r="F98" s="6"/>
      <c r="G98" s="6"/>
      <c r="H98" s="6"/>
      <c r="I98" s="6">
        <v>1</v>
      </c>
    </row>
    <row r="99" spans="1:9" x14ac:dyDescent="0.3">
      <c r="A99" s="6" t="s">
        <v>5044</v>
      </c>
      <c r="B99" s="6" t="s">
        <v>444</v>
      </c>
      <c r="C99" s="6"/>
      <c r="D99" s="6">
        <v>27</v>
      </c>
      <c r="E99" s="6"/>
      <c r="F99" s="6"/>
      <c r="G99" s="6"/>
      <c r="H99" s="6"/>
      <c r="I99" s="6">
        <v>13</v>
      </c>
    </row>
    <row r="100" spans="1:9" x14ac:dyDescent="0.3">
      <c r="A100" s="6"/>
      <c r="B100" s="6" t="s">
        <v>444</v>
      </c>
      <c r="C100" s="6"/>
      <c r="D100" s="6">
        <v>-1</v>
      </c>
      <c r="E100" s="6"/>
      <c r="F100" s="6"/>
      <c r="G100" s="6"/>
      <c r="H100" s="6"/>
      <c r="I100" s="6">
        <v>-1</v>
      </c>
    </row>
    <row r="101" spans="1:9" x14ac:dyDescent="0.3">
      <c r="A101" s="6"/>
      <c r="B101" s="6" t="s">
        <v>444</v>
      </c>
      <c r="C101" s="6"/>
      <c r="D101" s="6">
        <v>-1</v>
      </c>
      <c r="E101" s="6"/>
      <c r="F101" s="6"/>
      <c r="G101" s="6"/>
      <c r="H101" s="6"/>
      <c r="I101" s="6">
        <v>-1</v>
      </c>
    </row>
    <row r="102" spans="1:9" x14ac:dyDescent="0.3">
      <c r="A102" s="6"/>
      <c r="B102" s="6" t="s">
        <v>726</v>
      </c>
      <c r="C102" s="6"/>
      <c r="D102" s="6">
        <v>-1</v>
      </c>
      <c r="E102" s="6"/>
      <c r="F102" s="6"/>
      <c r="G102" s="6"/>
      <c r="H102" s="6"/>
      <c r="I102" s="6">
        <v>-1</v>
      </c>
    </row>
    <row r="103" spans="1:9" x14ac:dyDescent="0.3">
      <c r="A103" s="6" t="s">
        <v>2559</v>
      </c>
      <c r="B103" s="6" t="s">
        <v>332</v>
      </c>
      <c r="C103" s="6"/>
      <c r="D103" s="6">
        <v>19</v>
      </c>
      <c r="E103" s="6"/>
      <c r="F103" s="6"/>
      <c r="G103" s="6"/>
      <c r="H103" s="6"/>
      <c r="I103" s="6">
        <v>11</v>
      </c>
    </row>
    <row r="104" spans="1:9" x14ac:dyDescent="0.3">
      <c r="A104" s="6" t="s">
        <v>3007</v>
      </c>
      <c r="B104" s="6" t="s">
        <v>332</v>
      </c>
      <c r="C104" s="6"/>
      <c r="D104" s="6">
        <v>22</v>
      </c>
      <c r="E104" s="6"/>
      <c r="F104" s="6"/>
      <c r="G104" s="6"/>
      <c r="H104" s="6"/>
      <c r="I104" s="6">
        <v>16</v>
      </c>
    </row>
    <row r="105" spans="1:9" x14ac:dyDescent="0.3">
      <c r="A105" s="6" t="s">
        <v>3008</v>
      </c>
      <c r="B105" s="6" t="s">
        <v>332</v>
      </c>
      <c r="C105" s="6"/>
      <c r="D105" s="6">
        <v>23</v>
      </c>
      <c r="E105" s="6"/>
      <c r="F105" s="6"/>
      <c r="G105" s="6"/>
      <c r="H105" s="6"/>
      <c r="I105" s="6"/>
    </row>
    <row r="106" spans="1:9" x14ac:dyDescent="0.3">
      <c r="A106" s="6"/>
      <c r="B106" s="6" t="s">
        <v>332</v>
      </c>
      <c r="C106" s="6"/>
      <c r="D106" s="6">
        <v>-1</v>
      </c>
      <c r="E106" s="6"/>
      <c r="F106" s="6"/>
      <c r="G106" s="6"/>
      <c r="H106" s="6"/>
      <c r="I106" s="6">
        <v>-1</v>
      </c>
    </row>
    <row r="107" spans="1:9" x14ac:dyDescent="0.3">
      <c r="A107" s="6" t="s">
        <v>2465</v>
      </c>
      <c r="B107" s="6" t="s">
        <v>354</v>
      </c>
      <c r="C107" s="6"/>
      <c r="D107" s="6"/>
      <c r="E107" s="6"/>
      <c r="F107" s="6"/>
      <c r="G107" s="6"/>
      <c r="H107" s="6">
        <v>25</v>
      </c>
      <c r="I107" s="6"/>
    </row>
    <row r="108" spans="1:9" x14ac:dyDescent="0.3">
      <c r="A108" s="6" t="s">
        <v>1724</v>
      </c>
      <c r="B108" s="6" t="s">
        <v>358</v>
      </c>
      <c r="C108" s="6"/>
      <c r="D108" s="6"/>
      <c r="E108" s="6"/>
      <c r="F108" s="6"/>
      <c r="G108" s="6"/>
      <c r="H108" s="6">
        <v>22</v>
      </c>
      <c r="I108" s="6"/>
    </row>
    <row r="109" spans="1:9" x14ac:dyDescent="0.3">
      <c r="A109" s="6" t="s">
        <v>4558</v>
      </c>
      <c r="B109" s="6" t="s">
        <v>358</v>
      </c>
      <c r="C109" s="6"/>
      <c r="D109" s="6"/>
      <c r="E109" s="6"/>
      <c r="F109" s="6"/>
      <c r="G109" s="6"/>
      <c r="H109" s="6">
        <v>9</v>
      </c>
      <c r="I109" s="6"/>
    </row>
    <row r="110" spans="1:9" x14ac:dyDescent="0.3">
      <c r="A110" s="6"/>
      <c r="B110" s="6" t="s">
        <v>358</v>
      </c>
      <c r="C110" s="6"/>
      <c r="D110" s="6"/>
      <c r="E110" s="6"/>
      <c r="F110" s="6"/>
      <c r="G110" s="6"/>
      <c r="H110" s="6">
        <v>-1</v>
      </c>
      <c r="I110" s="6"/>
    </row>
    <row r="111" spans="1:9" x14ac:dyDescent="0.3">
      <c r="A111" s="6" t="s">
        <v>2582</v>
      </c>
      <c r="B111" s="6" t="s">
        <v>384</v>
      </c>
      <c r="C111" s="6"/>
      <c r="D111" s="6"/>
      <c r="E111" s="6"/>
      <c r="F111" s="6"/>
      <c r="G111" s="6"/>
      <c r="H111" s="6">
        <v>14</v>
      </c>
      <c r="I111" s="6"/>
    </row>
    <row r="112" spans="1:9" x14ac:dyDescent="0.3">
      <c r="A112" s="6"/>
      <c r="B112" s="6" t="s">
        <v>384</v>
      </c>
      <c r="C112" s="6"/>
      <c r="D112" s="6"/>
      <c r="E112" s="6"/>
      <c r="F112" s="6"/>
      <c r="G112" s="6"/>
      <c r="H112" s="6">
        <v>-1</v>
      </c>
      <c r="I112" s="6"/>
    </row>
    <row r="113" spans="1:9" x14ac:dyDescent="0.3">
      <c r="A113" s="6"/>
      <c r="B113" s="6" t="s">
        <v>384</v>
      </c>
      <c r="C113" s="6"/>
      <c r="D113" s="6"/>
      <c r="E113" s="6"/>
      <c r="F113" s="6"/>
      <c r="G113" s="6"/>
      <c r="H113" s="6">
        <v>-1</v>
      </c>
      <c r="I113" s="6"/>
    </row>
    <row r="114" spans="1:9" x14ac:dyDescent="0.3">
      <c r="A114" s="6" t="s">
        <v>3951</v>
      </c>
      <c r="B114" s="6" t="s">
        <v>366</v>
      </c>
      <c r="C114" s="6"/>
      <c r="D114" s="6"/>
      <c r="E114" s="6"/>
      <c r="F114" s="6"/>
      <c r="G114" s="6"/>
      <c r="H114" s="6">
        <v>21</v>
      </c>
      <c r="I114" s="6"/>
    </row>
    <row r="115" spans="1:9" x14ac:dyDescent="0.3">
      <c r="A115" s="6"/>
      <c r="B115" s="6" t="s">
        <v>328</v>
      </c>
      <c r="C115" s="6"/>
      <c r="D115" s="6"/>
      <c r="E115" s="6"/>
      <c r="F115" s="6"/>
      <c r="G115" s="6"/>
      <c r="H115" s="6">
        <v>-1</v>
      </c>
      <c r="I115" s="6"/>
    </row>
    <row r="116" spans="1:9" x14ac:dyDescent="0.3">
      <c r="A116" s="6"/>
      <c r="B116" s="6" t="s">
        <v>328</v>
      </c>
      <c r="C116" s="6"/>
      <c r="D116" s="6"/>
      <c r="E116" s="6"/>
      <c r="F116" s="6"/>
      <c r="G116" s="6"/>
      <c r="H116" s="6">
        <v>-1</v>
      </c>
      <c r="I116" s="6"/>
    </row>
    <row r="117" spans="1:9" x14ac:dyDescent="0.3">
      <c r="A117" s="6" t="s">
        <v>3585</v>
      </c>
      <c r="B117" s="6" t="s">
        <v>442</v>
      </c>
      <c r="C117" s="6"/>
      <c r="D117" s="6"/>
      <c r="E117" s="6"/>
      <c r="F117" s="6"/>
      <c r="G117" s="6"/>
      <c r="H117" s="6">
        <v>24</v>
      </c>
      <c r="I117" s="6"/>
    </row>
    <row r="118" spans="1:9" x14ac:dyDescent="0.3">
      <c r="A118" s="6"/>
      <c r="B118" s="6" t="s">
        <v>442</v>
      </c>
      <c r="C118" s="6"/>
      <c r="D118" s="6"/>
      <c r="E118" s="6"/>
      <c r="F118" s="6"/>
      <c r="G118" s="6"/>
      <c r="H118" s="6">
        <v>-1</v>
      </c>
      <c r="I118" s="6"/>
    </row>
    <row r="119" spans="1:9" x14ac:dyDescent="0.3">
      <c r="A119" s="6"/>
      <c r="B119" s="6" t="s">
        <v>344</v>
      </c>
      <c r="C119" s="6"/>
      <c r="D119" s="6"/>
      <c r="E119" s="6"/>
      <c r="F119" s="6"/>
      <c r="G119" s="6"/>
      <c r="H119" s="6">
        <v>-1</v>
      </c>
      <c r="I119" s="6"/>
    </row>
    <row r="120" spans="1:9" x14ac:dyDescent="0.3">
      <c r="A120" s="6"/>
      <c r="B120" s="6" t="s">
        <v>344</v>
      </c>
      <c r="C120" s="6"/>
      <c r="D120" s="6"/>
      <c r="E120" s="6"/>
      <c r="F120" s="6"/>
      <c r="G120" s="6"/>
      <c r="H120" s="6">
        <v>-1</v>
      </c>
      <c r="I120" s="6"/>
    </row>
    <row r="121" spans="1:9" x14ac:dyDescent="0.3">
      <c r="A121" s="6"/>
      <c r="B121" s="6" t="s">
        <v>344</v>
      </c>
      <c r="C121" s="6"/>
      <c r="D121" s="6"/>
      <c r="E121" s="6"/>
      <c r="F121" s="6"/>
      <c r="G121" s="6"/>
      <c r="H121" s="6">
        <v>-1</v>
      </c>
      <c r="I121" s="6"/>
    </row>
    <row r="122" spans="1:9" x14ac:dyDescent="0.3">
      <c r="A122" s="6"/>
      <c r="B122" s="6" t="s">
        <v>344</v>
      </c>
      <c r="C122" s="6"/>
      <c r="D122" s="6"/>
      <c r="E122" s="6"/>
      <c r="F122" s="6"/>
      <c r="G122" s="6"/>
      <c r="H122" s="6">
        <v>-1</v>
      </c>
      <c r="I122" s="6"/>
    </row>
    <row r="123" spans="1:9" x14ac:dyDescent="0.3">
      <c r="A123" s="6"/>
      <c r="B123" s="6" t="s">
        <v>334</v>
      </c>
      <c r="C123" s="6"/>
      <c r="D123" s="6"/>
      <c r="E123" s="6"/>
      <c r="F123" s="6"/>
      <c r="G123" s="6"/>
      <c r="H123" s="6">
        <v>-1</v>
      </c>
      <c r="I123" s="6"/>
    </row>
    <row r="124" spans="1:9" x14ac:dyDescent="0.3">
      <c r="A124" s="6"/>
      <c r="B124" s="6" t="s">
        <v>334</v>
      </c>
      <c r="C124" s="6"/>
      <c r="D124" s="6"/>
      <c r="E124" s="6"/>
      <c r="F124" s="6"/>
      <c r="G124" s="6"/>
      <c r="H124" s="6">
        <v>-1</v>
      </c>
      <c r="I124" s="6"/>
    </row>
    <row r="125" spans="1:9" x14ac:dyDescent="0.3">
      <c r="A125" s="6"/>
      <c r="B125" s="6" t="s">
        <v>334</v>
      </c>
      <c r="C125" s="6"/>
      <c r="D125" s="6"/>
      <c r="E125" s="6"/>
      <c r="F125" s="6"/>
      <c r="G125" s="6"/>
      <c r="H125" s="6">
        <v>-1</v>
      </c>
      <c r="I125" s="6"/>
    </row>
    <row r="126" spans="1:9" x14ac:dyDescent="0.3">
      <c r="A126" s="6"/>
      <c r="B126" s="6" t="s">
        <v>334</v>
      </c>
      <c r="C126" s="6"/>
      <c r="D126" s="6"/>
      <c r="E126" s="6"/>
      <c r="F126" s="6"/>
      <c r="G126" s="6"/>
      <c r="H126" s="6">
        <v>-1</v>
      </c>
      <c r="I126" s="6"/>
    </row>
    <row r="127" spans="1:9" x14ac:dyDescent="0.3">
      <c r="A127" s="6"/>
      <c r="B127" s="6" t="s">
        <v>356</v>
      </c>
      <c r="C127" s="6"/>
      <c r="D127" s="6"/>
      <c r="E127" s="6"/>
      <c r="F127" s="6"/>
      <c r="G127" s="6"/>
      <c r="H127" s="6">
        <v>-1</v>
      </c>
      <c r="I127" s="6"/>
    </row>
    <row r="128" spans="1:9" x14ac:dyDescent="0.3">
      <c r="A128" s="6"/>
      <c r="B128" s="6" t="s">
        <v>356</v>
      </c>
      <c r="C128" s="6"/>
      <c r="D128" s="6"/>
      <c r="E128" s="6"/>
      <c r="F128" s="6"/>
      <c r="G128" s="6"/>
      <c r="H128" s="6">
        <v>-1</v>
      </c>
      <c r="I128" s="6"/>
    </row>
    <row r="129" spans="1:9" x14ac:dyDescent="0.3">
      <c r="A129" s="6" t="s">
        <v>1527</v>
      </c>
      <c r="B129" s="6" t="s">
        <v>428</v>
      </c>
      <c r="C129" s="6"/>
      <c r="D129" s="6"/>
      <c r="E129" s="6"/>
      <c r="F129" s="6"/>
      <c r="G129" s="6"/>
      <c r="H129" s="6">
        <v>31</v>
      </c>
      <c r="I129" s="6"/>
    </row>
    <row r="130" spans="1:9" x14ac:dyDescent="0.3">
      <c r="A130" s="6" t="s">
        <v>2037</v>
      </c>
      <c r="B130" s="6" t="s">
        <v>428</v>
      </c>
      <c r="C130" s="6"/>
      <c r="D130" s="6"/>
      <c r="E130" s="6"/>
      <c r="F130" s="6"/>
      <c r="G130" s="6"/>
      <c r="H130" s="6">
        <v>26</v>
      </c>
      <c r="I130" s="6"/>
    </row>
    <row r="131" spans="1:9" x14ac:dyDescent="0.3">
      <c r="A131" s="6"/>
      <c r="B131" s="6" t="s">
        <v>428</v>
      </c>
      <c r="C131" s="6"/>
      <c r="D131" s="6"/>
      <c r="E131" s="6"/>
      <c r="F131" s="6"/>
      <c r="G131" s="6"/>
      <c r="H131" s="6">
        <v>-1</v>
      </c>
      <c r="I131" s="6"/>
    </row>
    <row r="132" spans="1:9" x14ac:dyDescent="0.3">
      <c r="A132" s="6"/>
      <c r="B132" s="6" t="s">
        <v>408</v>
      </c>
      <c r="C132" s="6"/>
      <c r="D132" s="6"/>
      <c r="E132" s="6"/>
      <c r="F132" s="6"/>
      <c r="G132" s="6"/>
      <c r="H132" s="6">
        <v>-1</v>
      </c>
      <c r="I132" s="6"/>
    </row>
    <row r="133" spans="1:9" x14ac:dyDescent="0.3">
      <c r="A133" s="6" t="s">
        <v>2672</v>
      </c>
      <c r="B133" s="6" t="s">
        <v>338</v>
      </c>
      <c r="C133" s="6"/>
      <c r="D133" s="6"/>
      <c r="E133" s="6"/>
      <c r="F133" s="6"/>
      <c r="G133" s="6"/>
      <c r="H133" s="6">
        <v>10</v>
      </c>
      <c r="I133" s="6"/>
    </row>
    <row r="134" spans="1:9" x14ac:dyDescent="0.3">
      <c r="A134" s="6"/>
      <c r="B134" s="6" t="s">
        <v>338</v>
      </c>
      <c r="C134" s="6"/>
      <c r="D134" s="6"/>
      <c r="E134" s="6"/>
      <c r="F134" s="6"/>
      <c r="G134" s="6"/>
      <c r="H134" s="6">
        <v>-1</v>
      </c>
      <c r="I134" s="6"/>
    </row>
    <row r="135" spans="1:9" x14ac:dyDescent="0.3">
      <c r="A135" s="6" t="s">
        <v>1388</v>
      </c>
      <c r="B135" s="6" t="s">
        <v>444</v>
      </c>
      <c r="C135" s="6"/>
      <c r="D135" s="6"/>
      <c r="E135" s="6"/>
      <c r="F135" s="6"/>
      <c r="G135" s="6"/>
      <c r="H135" s="6">
        <v>2</v>
      </c>
      <c r="I135" s="6"/>
    </row>
    <row r="136" spans="1:9" x14ac:dyDescent="0.3">
      <c r="A136" s="6"/>
      <c r="B136" s="6" t="s">
        <v>444</v>
      </c>
      <c r="C136" s="6"/>
      <c r="D136" s="6"/>
      <c r="E136" s="6"/>
      <c r="F136" s="6"/>
      <c r="G136" s="6"/>
      <c r="H136" s="6">
        <v>-1</v>
      </c>
      <c r="I136" s="6"/>
    </row>
    <row r="137" spans="1:9" x14ac:dyDescent="0.3">
      <c r="A137" s="6"/>
      <c r="B137" s="6" t="s">
        <v>444</v>
      </c>
      <c r="C137" s="6"/>
      <c r="D137" s="6"/>
      <c r="E137" s="6"/>
      <c r="F137" s="6"/>
      <c r="G137" s="6"/>
      <c r="H137" s="6">
        <v>-1</v>
      </c>
      <c r="I137" s="6"/>
    </row>
    <row r="138" spans="1:9" x14ac:dyDescent="0.3">
      <c r="A138" s="6"/>
      <c r="B138" s="6" t="s">
        <v>444</v>
      </c>
      <c r="C138" s="6"/>
      <c r="D138" s="6"/>
      <c r="E138" s="6"/>
      <c r="F138" s="6"/>
      <c r="G138" s="6"/>
      <c r="H138" s="6">
        <v>-1</v>
      </c>
      <c r="I138" s="6"/>
    </row>
  </sheetData>
  <pageMargins left="0.7" right="0.7" top="0.75" bottom="0.75" header="0.3" footer="0.3"/>
  <tableParts count="1">
    <tablePart r:id="rId1"/>
  </tableParts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2BC6E-E5C9-4440-B48D-4C1C6DFB70E8}">
  <dimension ref="A1:E8"/>
  <sheetViews>
    <sheetView workbookViewId="0">
      <selection activeCell="B9" sqref="B9"/>
    </sheetView>
  </sheetViews>
  <sheetFormatPr defaultRowHeight="14.4" x14ac:dyDescent="0.3"/>
  <cols>
    <col min="1" max="1" width="44.44140625" bestFit="1" customWidth="1"/>
    <col min="2" max="2" width="12.21875" bestFit="1" customWidth="1"/>
    <col min="3" max="3" width="26.109375" bestFit="1" customWidth="1"/>
    <col min="4" max="4" width="17" bestFit="1" customWidth="1"/>
    <col min="5" max="5" width="14.77734375" bestFit="1" customWidth="1"/>
  </cols>
  <sheetData>
    <row r="1" spans="1:5" x14ac:dyDescent="0.3">
      <c r="A1" t="s">
        <v>834</v>
      </c>
      <c r="B1" t="s">
        <v>1</v>
      </c>
      <c r="C1" t="s">
        <v>4545</v>
      </c>
      <c r="D1" t="s">
        <v>1212</v>
      </c>
      <c r="E1" t="s">
        <v>1213</v>
      </c>
    </row>
    <row r="2" spans="1:5" x14ac:dyDescent="0.3">
      <c r="A2" s="6" t="s">
        <v>2468</v>
      </c>
      <c r="B2" s="6" t="s">
        <v>354</v>
      </c>
      <c r="C2" s="6">
        <v>4</v>
      </c>
      <c r="D2" s="6">
        <f>Table128[[#This Row],[Total Athletes]]-(LEN(Table128[[#This Row],[Team]])-LEN(SUBSTITUTE(Table128[[#This Row],[Team]],"/","")))-1</f>
        <v>1</v>
      </c>
      <c r="E2" s="6">
        <v>3</v>
      </c>
    </row>
    <row r="3" spans="1:5" x14ac:dyDescent="0.3">
      <c r="A3" s="6"/>
      <c r="B3" s="6" t="s">
        <v>384</v>
      </c>
      <c r="C3" s="6">
        <v>-1</v>
      </c>
      <c r="D3" s="6">
        <f>Table128[[#This Row],[Total Athletes]]-(LEN(Table128[[#This Row],[Team]])-LEN(SUBSTITUTE(Table128[[#This Row],[Team]],"/","")))-1</f>
        <v>-1</v>
      </c>
      <c r="E3" s="6"/>
    </row>
    <row r="4" spans="1:5" x14ac:dyDescent="0.3">
      <c r="A4" s="6" t="s">
        <v>4302</v>
      </c>
      <c r="B4" s="6" t="s">
        <v>328</v>
      </c>
      <c r="C4" s="6">
        <v>3</v>
      </c>
      <c r="D4" s="6">
        <f>Table128[[#This Row],[Total Athletes]]-(LEN(Table128[[#This Row],[Team]])-LEN(SUBSTITUTE(Table128[[#This Row],[Team]],"/","")))-1</f>
        <v>2</v>
      </c>
      <c r="E4" s="6">
        <v>3</v>
      </c>
    </row>
    <row r="5" spans="1:5" x14ac:dyDescent="0.3">
      <c r="A5" s="6" t="s">
        <v>1419</v>
      </c>
      <c r="B5" s="6" t="s">
        <v>604</v>
      </c>
      <c r="C5" s="6">
        <v>7</v>
      </c>
      <c r="D5" s="6">
        <f>Table128[[#This Row],[Total Athletes]]-(LEN(Table128[[#This Row],[Team]])-LEN(SUBSTITUTE(Table128[[#This Row],[Team]],"/","")))-1</f>
        <v>0</v>
      </c>
      <c r="E5" s="6">
        <v>3</v>
      </c>
    </row>
    <row r="6" spans="1:5" x14ac:dyDescent="0.3">
      <c r="A6" s="6" t="s">
        <v>3468</v>
      </c>
      <c r="B6" s="6" t="s">
        <v>444</v>
      </c>
      <c r="C6" s="6">
        <v>2</v>
      </c>
      <c r="D6" s="6">
        <f>Table128[[#This Row],[Total Athletes]]-(LEN(Table128[[#This Row],[Team]])-LEN(SUBSTITUTE(Table128[[#This Row],[Team]],"/","")))-1</f>
        <v>1</v>
      </c>
      <c r="E6" s="6">
        <v>3</v>
      </c>
    </row>
    <row r="7" spans="1:5" x14ac:dyDescent="0.3">
      <c r="A7" s="6" t="s">
        <v>2868</v>
      </c>
      <c r="B7" s="6" t="s">
        <v>726</v>
      </c>
      <c r="C7" s="6">
        <v>6</v>
      </c>
      <c r="D7" s="6">
        <f>Table128[[#This Row],[Total Athletes]]-(LEN(Table128[[#This Row],[Team]])-LEN(SUBSTITUTE(Table128[[#This Row],[Team]],"/","")))-1</f>
        <v>1</v>
      </c>
      <c r="E7" s="6">
        <v>3</v>
      </c>
    </row>
    <row r="8" spans="1:5" x14ac:dyDescent="0.3">
      <c r="A8" s="6"/>
      <c r="B8" s="6" t="s">
        <v>332</v>
      </c>
      <c r="C8" s="6">
        <v>-1</v>
      </c>
      <c r="D8" s="6">
        <f>Table128[[#This Row],[Total Athletes]]-(LEN(Table128[[#This Row],[Team]])-LEN(SUBSTITUTE(Table128[[#This Row],[Team]],"/","")))-1</f>
        <v>-1</v>
      </c>
      <c r="E8" s="6"/>
    </row>
  </sheetData>
  <pageMargins left="0.7" right="0.7" top="0.75" bottom="0.75" header="0.3" footer="0.3"/>
  <tableParts count="1">
    <tablePart r:id="rId1"/>
  </tableParts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D6481-8401-48DB-A28E-A8E948675C2A}">
  <dimension ref="A1:H23"/>
  <sheetViews>
    <sheetView topLeftCell="D13" workbookViewId="0">
      <selection activeCell="D24" sqref="D24"/>
    </sheetView>
  </sheetViews>
  <sheetFormatPr defaultRowHeight="14.4" x14ac:dyDescent="0.3"/>
  <cols>
    <col min="1" max="1" width="55.109375" bestFit="1" customWidth="1"/>
    <col min="2" max="2" width="102.33203125" bestFit="1" customWidth="1"/>
    <col min="3" max="3" width="199" bestFit="1" customWidth="1"/>
    <col min="4" max="4" width="13.6640625" bestFit="1" customWidth="1"/>
    <col min="5" max="5" width="19.88671875" bestFit="1" customWidth="1"/>
    <col min="6" max="6" width="22.5546875" bestFit="1" customWidth="1"/>
    <col min="7" max="7" width="17" bestFit="1" customWidth="1"/>
    <col min="8" max="8" width="14.77734375" bestFit="1" customWidth="1"/>
  </cols>
  <sheetData>
    <row r="1" spans="1:8" x14ac:dyDescent="0.3">
      <c r="A1" t="s">
        <v>852</v>
      </c>
      <c r="B1" t="s">
        <v>839</v>
      </c>
      <c r="C1" t="s">
        <v>836</v>
      </c>
      <c r="D1" t="s">
        <v>1</v>
      </c>
      <c r="E1" t="s">
        <v>900</v>
      </c>
      <c r="F1" t="s">
        <v>901</v>
      </c>
      <c r="G1" t="s">
        <v>1212</v>
      </c>
      <c r="H1" t="s">
        <v>1213</v>
      </c>
    </row>
    <row r="2" spans="1:8" x14ac:dyDescent="0.3">
      <c r="A2" s="6" t="s">
        <v>2296</v>
      </c>
      <c r="B2" s="6" t="s">
        <v>2293</v>
      </c>
      <c r="C2" s="6" t="s">
        <v>4624</v>
      </c>
      <c r="D2" s="6" t="s">
        <v>356</v>
      </c>
      <c r="E2" s="6">
        <v>12</v>
      </c>
      <c r="F2" s="6"/>
      <c r="G2" s="6">
        <f>Table119131[[#This Row],[Total Athletes]]-(LEN(Table119131[[#This Row],[Goalies]])-LEN(SUBSTITUTE(Table119131[[#This Row],[Goalies]],"/","")))-(LEN(Table119131[[#This Row],[Defenders]])-LEN(SUBSTITUTE(Table119131[[#This Row],[Defenders]],"/","")))-(LEN(Table119131[[#This Row],[Forwards]])-LEN(SUBSTITUTE(Table119131[[#This Row],[Forwards]],"/","")))-3</f>
        <v>13</v>
      </c>
      <c r="H2" s="6">
        <v>25</v>
      </c>
    </row>
    <row r="3" spans="1:8" x14ac:dyDescent="0.3">
      <c r="A3" s="6" t="s">
        <v>2146</v>
      </c>
      <c r="B3" s="6" t="s">
        <v>4341</v>
      </c>
      <c r="C3" s="6" t="s">
        <v>4748</v>
      </c>
      <c r="D3" s="6" t="s">
        <v>356</v>
      </c>
      <c r="E3" s="6"/>
      <c r="F3" s="6">
        <v>8</v>
      </c>
      <c r="G3" s="6">
        <f>Table119131[[#This Row],[Total Athletes]]-(LEN(Table119131[[#This Row],[Goalies]])-LEN(SUBSTITUTE(Table119131[[#This Row],[Goalies]],"/","")))-(LEN(Table119131[[#This Row],[Defenders]])-LEN(SUBSTITUTE(Table119131[[#This Row],[Defenders]],"/","")))-(LEN(Table119131[[#This Row],[Forwards]])-LEN(SUBSTITUTE(Table119131[[#This Row],[Forwards]],"/","")))-3</f>
        <v>12</v>
      </c>
      <c r="H3" s="6">
        <v>23</v>
      </c>
    </row>
    <row r="4" spans="1:8" x14ac:dyDescent="0.3">
      <c r="A4" s="6" t="s">
        <v>2192</v>
      </c>
      <c r="B4" s="6" t="s">
        <v>2583</v>
      </c>
      <c r="C4" s="6" t="s">
        <v>2572</v>
      </c>
      <c r="D4" s="6" t="s">
        <v>384</v>
      </c>
      <c r="E4" s="6">
        <v>2</v>
      </c>
      <c r="F4" s="6"/>
      <c r="G4" s="6">
        <f>Table119131[[#This Row],[Total Athletes]]-(LEN(Table119131[[#This Row],[Goalies]])-LEN(SUBSTITUTE(Table119131[[#This Row],[Goalies]],"/","")))-(LEN(Table119131[[#This Row],[Defenders]])-LEN(SUBSTITUTE(Table119131[[#This Row],[Defenders]],"/","")))-(LEN(Table119131[[#This Row],[Forwards]])-LEN(SUBSTITUTE(Table119131[[#This Row],[Forwards]],"/","")))-3</f>
        <v>15</v>
      </c>
      <c r="H4" s="6">
        <v>25</v>
      </c>
    </row>
    <row r="5" spans="1:8" x14ac:dyDescent="0.3">
      <c r="A5" s="6" t="s">
        <v>4929</v>
      </c>
      <c r="B5" s="6" t="s">
        <v>3736</v>
      </c>
      <c r="C5" s="6" t="s">
        <v>4928</v>
      </c>
      <c r="D5" s="6" t="s">
        <v>372</v>
      </c>
      <c r="E5" s="6">
        <v>3</v>
      </c>
      <c r="F5" s="6"/>
      <c r="G5" s="6">
        <f>Table119131[[#This Row],[Total Athletes]]-(LEN(Table119131[[#This Row],[Goalies]])-LEN(SUBSTITUTE(Table119131[[#This Row],[Goalies]],"/","")))-(LEN(Table119131[[#This Row],[Defenders]])-LEN(SUBSTITUTE(Table119131[[#This Row],[Defenders]],"/","")))-(LEN(Table119131[[#This Row],[Forwards]])-LEN(SUBSTITUTE(Table119131[[#This Row],[Forwards]],"/","")))-3</f>
        <v>11</v>
      </c>
      <c r="H5" s="6">
        <v>25</v>
      </c>
    </row>
    <row r="6" spans="1:8" x14ac:dyDescent="0.3">
      <c r="A6" s="6" t="s">
        <v>4830</v>
      </c>
      <c r="B6" s="6" t="s">
        <v>4821</v>
      </c>
      <c r="C6" s="6" t="s">
        <v>4829</v>
      </c>
      <c r="D6" s="6" t="s">
        <v>332</v>
      </c>
      <c r="E6" s="6">
        <v>1</v>
      </c>
      <c r="F6" s="6"/>
      <c r="G6" s="6">
        <f>Table119131[[#This Row],[Total Athletes]]-(LEN(Table119131[[#This Row],[Goalies]])-LEN(SUBSTITUTE(Table119131[[#This Row],[Goalies]],"/","")))-(LEN(Table119131[[#This Row],[Defenders]])-LEN(SUBSTITUTE(Table119131[[#This Row],[Defenders]],"/","")))-(LEN(Table119131[[#This Row],[Forwards]])-LEN(SUBSTITUTE(Table119131[[#This Row],[Forwards]],"/","")))-3</f>
        <v>7</v>
      </c>
      <c r="H6" s="6">
        <v>25</v>
      </c>
    </row>
    <row r="7" spans="1:8" x14ac:dyDescent="0.3">
      <c r="A7" s="6"/>
      <c r="B7" s="6" t="s">
        <v>3443</v>
      </c>
      <c r="C7" s="6" t="s">
        <v>3363</v>
      </c>
      <c r="D7" s="6" t="s">
        <v>334</v>
      </c>
      <c r="E7" s="6">
        <v>6</v>
      </c>
      <c r="F7" s="6"/>
      <c r="G7" s="6">
        <f>Table119131[[#This Row],[Total Athletes]]-(LEN(Table119131[[#This Row],[Goalies]])-LEN(SUBSTITUTE(Table119131[[#This Row],[Goalies]],"/","")))-(LEN(Table119131[[#This Row],[Defenders]])-LEN(SUBSTITUTE(Table119131[[#This Row],[Defenders]],"/","")))-(LEN(Table119131[[#This Row],[Forwards]])-LEN(SUBSTITUTE(Table119131[[#This Row],[Forwards]],"/","")))-3</f>
        <v>22</v>
      </c>
      <c r="H7" s="6">
        <v>25</v>
      </c>
    </row>
    <row r="8" spans="1:8" x14ac:dyDescent="0.3">
      <c r="A8" s="6" t="s">
        <v>1715</v>
      </c>
      <c r="B8" s="6" t="s">
        <v>2112</v>
      </c>
      <c r="C8" s="6" t="s">
        <v>3178</v>
      </c>
      <c r="D8" s="6" t="s">
        <v>338</v>
      </c>
      <c r="E8" s="6">
        <v>7</v>
      </c>
      <c r="F8" s="6"/>
      <c r="G8" s="6">
        <f>Table119131[[#This Row],[Total Athletes]]-(LEN(Table119131[[#This Row],[Goalies]])-LEN(SUBSTITUTE(Table119131[[#This Row],[Goalies]],"/","")))-(LEN(Table119131[[#This Row],[Defenders]])-LEN(SUBSTITUTE(Table119131[[#This Row],[Defenders]],"/","")))-(LEN(Table119131[[#This Row],[Forwards]])-LEN(SUBSTITUTE(Table119131[[#This Row],[Forwards]],"/","")))-3</f>
        <v>17</v>
      </c>
      <c r="H8" s="6">
        <v>25</v>
      </c>
    </row>
    <row r="9" spans="1:8" x14ac:dyDescent="0.3">
      <c r="A9" s="6" t="s">
        <v>4680</v>
      </c>
      <c r="B9" s="6" t="s">
        <v>4679</v>
      </c>
      <c r="C9" s="6" t="s">
        <v>3452</v>
      </c>
      <c r="D9" s="6" t="s">
        <v>444</v>
      </c>
      <c r="E9" s="6">
        <v>5</v>
      </c>
      <c r="F9" s="6"/>
      <c r="G9" s="6">
        <f>Table119131[[#This Row],[Total Athletes]]-(LEN(Table119131[[#This Row],[Goalies]])-LEN(SUBSTITUTE(Table119131[[#This Row],[Goalies]],"/","")))-(LEN(Table119131[[#This Row],[Defenders]])-LEN(SUBSTITUTE(Table119131[[#This Row],[Defenders]],"/","")))-(LEN(Table119131[[#This Row],[Forwards]])-LEN(SUBSTITUTE(Table119131[[#This Row],[Forwards]],"/","")))-3</f>
        <v>22</v>
      </c>
      <c r="H9" s="6">
        <v>25</v>
      </c>
    </row>
    <row r="10" spans="1:8" x14ac:dyDescent="0.3">
      <c r="A10" s="6" t="s">
        <v>2987</v>
      </c>
      <c r="B10" s="6" t="s">
        <v>4803</v>
      </c>
      <c r="C10" s="6" t="s">
        <v>4795</v>
      </c>
      <c r="D10" s="6" t="s">
        <v>442</v>
      </c>
      <c r="E10" s="6">
        <v>8</v>
      </c>
      <c r="F10" s="6"/>
      <c r="G10" s="6">
        <f>Table119131[[#This Row],[Total Athletes]]-(LEN(Table119131[[#This Row],[Goalies]])-LEN(SUBSTITUTE(Table119131[[#This Row],[Goalies]],"/","")))-(LEN(Table119131[[#This Row],[Defenders]])-LEN(SUBSTITUTE(Table119131[[#This Row],[Defenders]],"/","")))-(LEN(Table119131[[#This Row],[Forwards]])-LEN(SUBSTITUTE(Table119131[[#This Row],[Forwards]],"/","")))-3</f>
        <v>19</v>
      </c>
      <c r="H10" s="6">
        <v>25</v>
      </c>
    </row>
    <row r="11" spans="1:8" x14ac:dyDescent="0.3">
      <c r="A11" s="6" t="s">
        <v>2168</v>
      </c>
      <c r="B11" s="6"/>
      <c r="C11" s="6" t="s">
        <v>4331</v>
      </c>
      <c r="D11" s="6" t="s">
        <v>384</v>
      </c>
      <c r="E11" s="6"/>
      <c r="F11" s="6">
        <v>2</v>
      </c>
      <c r="G11" s="6">
        <f>Table119131[[#This Row],[Total Athletes]]-(LEN(Table119131[[#This Row],[Goalies]])-LEN(SUBSTITUTE(Table119131[[#This Row],[Goalies]],"/","")))-(LEN(Table119131[[#This Row],[Defenders]])-LEN(SUBSTITUTE(Table119131[[#This Row],[Defenders]],"/","")))-(LEN(Table119131[[#This Row],[Forwards]])-LEN(SUBSTITUTE(Table119131[[#This Row],[Forwards]],"/","")))-3</f>
        <v>18</v>
      </c>
      <c r="H11" s="6">
        <v>23</v>
      </c>
    </row>
    <row r="12" spans="1:8" x14ac:dyDescent="0.3">
      <c r="A12" s="6" t="s">
        <v>4524</v>
      </c>
      <c r="B12" s="6" t="s">
        <v>4839</v>
      </c>
      <c r="C12" s="6" t="s">
        <v>4842</v>
      </c>
      <c r="D12" s="6" t="s">
        <v>332</v>
      </c>
      <c r="E12" s="6"/>
      <c r="F12" s="6">
        <v>1</v>
      </c>
      <c r="G12" s="6">
        <f>Table119131[[#This Row],[Total Athletes]]-(LEN(Table119131[[#This Row],[Goalies]])-LEN(SUBSTITUTE(Table119131[[#This Row],[Goalies]],"/","")))-(LEN(Table119131[[#This Row],[Defenders]])-LEN(SUBSTITUTE(Table119131[[#This Row],[Defenders]],"/","")))-(LEN(Table119131[[#This Row],[Forwards]])-LEN(SUBSTITUTE(Table119131[[#This Row],[Forwards]],"/","")))-3</f>
        <v>12</v>
      </c>
      <c r="H12" s="6">
        <v>23</v>
      </c>
    </row>
    <row r="13" spans="1:8" x14ac:dyDescent="0.3">
      <c r="A13" s="6" t="s">
        <v>1875</v>
      </c>
      <c r="B13" s="6" t="s">
        <v>1881</v>
      </c>
      <c r="C13" s="6" t="s">
        <v>1884</v>
      </c>
      <c r="D13" s="6" t="s">
        <v>372</v>
      </c>
      <c r="E13" s="6"/>
      <c r="F13" s="6">
        <v>6</v>
      </c>
      <c r="G13" s="6">
        <f>Table119131[[#This Row],[Total Athletes]]-(LEN(Table119131[[#This Row],[Goalies]])-LEN(SUBSTITUTE(Table119131[[#This Row],[Goalies]],"/","")))-(LEN(Table119131[[#This Row],[Defenders]])-LEN(SUBSTITUTE(Table119131[[#This Row],[Defenders]],"/","")))-(LEN(Table119131[[#This Row],[Forwards]])-LEN(SUBSTITUTE(Table119131[[#This Row],[Forwards]],"/","")))-3</f>
        <v>8</v>
      </c>
      <c r="H13" s="6">
        <v>23</v>
      </c>
    </row>
    <row r="14" spans="1:8" x14ac:dyDescent="0.3">
      <c r="A14" s="6"/>
      <c r="B14" s="6" t="s">
        <v>2248</v>
      </c>
      <c r="C14" s="6" t="s">
        <v>2984</v>
      </c>
      <c r="D14" s="6" t="s">
        <v>442</v>
      </c>
      <c r="E14" s="6"/>
      <c r="F14" s="6">
        <v>5</v>
      </c>
      <c r="G14" s="6">
        <f>Table119131[[#This Row],[Total Athletes]]-(LEN(Table119131[[#This Row],[Goalies]])-LEN(SUBSTITUTE(Table119131[[#This Row],[Goalies]],"/","")))-(LEN(Table119131[[#This Row],[Defenders]])-LEN(SUBSTITUTE(Table119131[[#This Row],[Defenders]],"/","")))-(LEN(Table119131[[#This Row],[Forwards]])-LEN(SUBSTITUTE(Table119131[[#This Row],[Forwards]],"/","")))-3</f>
        <v>16</v>
      </c>
      <c r="H14" s="6">
        <v>23</v>
      </c>
    </row>
    <row r="15" spans="1:8" x14ac:dyDescent="0.3">
      <c r="A15" s="6"/>
      <c r="B15" s="6" t="s">
        <v>4684</v>
      </c>
      <c r="C15" s="6" t="s">
        <v>5050</v>
      </c>
      <c r="D15" s="6" t="s">
        <v>444</v>
      </c>
      <c r="E15" s="6"/>
      <c r="F15" s="6">
        <v>3</v>
      </c>
      <c r="G15" s="6">
        <f>Table119131[[#This Row],[Total Athletes]]-(LEN(Table119131[[#This Row],[Goalies]])-LEN(SUBSTITUTE(Table119131[[#This Row],[Goalies]],"/","")))-(LEN(Table119131[[#This Row],[Defenders]])-LEN(SUBSTITUTE(Table119131[[#This Row],[Defenders]],"/","")))-(LEN(Table119131[[#This Row],[Forwards]])-LEN(SUBSTITUTE(Table119131[[#This Row],[Forwards]],"/","")))-3</f>
        <v>17</v>
      </c>
      <c r="H15" s="6">
        <v>23</v>
      </c>
    </row>
    <row r="16" spans="1:8" x14ac:dyDescent="0.3">
      <c r="A16" s="6" t="s">
        <v>4912</v>
      </c>
      <c r="B16" s="6" t="s">
        <v>4908</v>
      </c>
      <c r="C16" s="6" t="s">
        <v>4914</v>
      </c>
      <c r="D16" s="6" t="s">
        <v>408</v>
      </c>
      <c r="E16" s="6">
        <v>4</v>
      </c>
      <c r="F16" s="6"/>
      <c r="G16" s="6">
        <f>Table119131[[#This Row],[Total Athletes]]-(LEN(Table119131[[#This Row],[Goalies]])-LEN(SUBSTITUTE(Table119131[[#This Row],[Goalies]],"/","")))-(LEN(Table119131[[#This Row],[Defenders]])-LEN(SUBSTITUTE(Table119131[[#This Row],[Defenders]],"/","")))-(LEN(Table119131[[#This Row],[Forwards]])-LEN(SUBSTITUTE(Table119131[[#This Row],[Forwards]],"/","")))-3</f>
        <v>11</v>
      </c>
      <c r="H16" s="6">
        <v>25</v>
      </c>
    </row>
    <row r="17" spans="1:8" x14ac:dyDescent="0.3">
      <c r="A17" s="6" t="s">
        <v>3501</v>
      </c>
      <c r="B17" s="6" t="s">
        <v>3504</v>
      </c>
      <c r="C17" s="6" t="s">
        <v>3502</v>
      </c>
      <c r="D17" s="6" t="s">
        <v>614</v>
      </c>
      <c r="E17" s="6">
        <v>10</v>
      </c>
      <c r="F17" s="6"/>
      <c r="G17" s="6">
        <f>Table119131[[#This Row],[Total Athletes]]-(LEN(Table119131[[#This Row],[Goalies]])-LEN(SUBSTITUTE(Table119131[[#This Row],[Goalies]],"/","")))-(LEN(Table119131[[#This Row],[Defenders]])-LEN(SUBSTITUTE(Table119131[[#This Row],[Defenders]],"/","")))-(LEN(Table119131[[#This Row],[Forwards]])-LEN(SUBSTITUTE(Table119131[[#This Row],[Forwards]],"/","")))-3</f>
        <v>11</v>
      </c>
      <c r="H17" s="6">
        <v>25</v>
      </c>
    </row>
    <row r="18" spans="1:8" x14ac:dyDescent="0.3">
      <c r="A18" s="6" t="s">
        <v>1379</v>
      </c>
      <c r="B18" s="6" t="s">
        <v>4898</v>
      </c>
      <c r="C18" s="6" t="s">
        <v>3852</v>
      </c>
      <c r="D18" s="6" t="s">
        <v>344</v>
      </c>
      <c r="E18" s="6">
        <v>11</v>
      </c>
      <c r="F18" s="6"/>
      <c r="G18" s="6">
        <f>Table119131[[#This Row],[Total Athletes]]-(LEN(Table119131[[#This Row],[Goalies]])-LEN(SUBSTITUTE(Table119131[[#This Row],[Goalies]],"/","")))-(LEN(Table119131[[#This Row],[Defenders]])-LEN(SUBSTITUTE(Table119131[[#This Row],[Defenders]],"/","")))-(LEN(Table119131[[#This Row],[Forwards]])-LEN(SUBSTITUTE(Table119131[[#This Row],[Forwards]],"/","")))-3</f>
        <v>18</v>
      </c>
      <c r="H18" s="6">
        <v>25</v>
      </c>
    </row>
    <row r="19" spans="1:8" x14ac:dyDescent="0.3">
      <c r="A19" s="6" t="s">
        <v>3375</v>
      </c>
      <c r="B19" s="6" t="s">
        <v>2222</v>
      </c>
      <c r="C19" s="6" t="s">
        <v>3373</v>
      </c>
      <c r="D19" s="6" t="s">
        <v>414</v>
      </c>
      <c r="E19" s="6">
        <v>9</v>
      </c>
      <c r="F19" s="6"/>
      <c r="G19" s="6">
        <f>Table119131[[#This Row],[Total Athletes]]-(LEN(Table119131[[#This Row],[Goalies]])-LEN(SUBSTITUTE(Table119131[[#This Row],[Goalies]],"/","")))-(LEN(Table119131[[#This Row],[Defenders]])-LEN(SUBSTITUTE(Table119131[[#This Row],[Defenders]],"/","")))-(LEN(Table119131[[#This Row],[Forwards]])-LEN(SUBSTITUTE(Table119131[[#This Row],[Forwards]],"/","")))-3</f>
        <v>16</v>
      </c>
      <c r="H19" s="6">
        <v>25</v>
      </c>
    </row>
    <row r="20" spans="1:8" x14ac:dyDescent="0.3">
      <c r="A20" s="6" t="s">
        <v>4042</v>
      </c>
      <c r="B20" s="6" t="s">
        <v>4080</v>
      </c>
      <c r="C20" s="6" t="s">
        <v>4081</v>
      </c>
      <c r="D20" s="6" t="s">
        <v>428</v>
      </c>
      <c r="E20" s="6"/>
      <c r="F20" s="6">
        <v>9</v>
      </c>
      <c r="G20" s="6">
        <f>Table119131[[#This Row],[Total Athletes]]-(LEN(Table119131[[#This Row],[Goalies]])-LEN(SUBSTITUTE(Table119131[[#This Row],[Goalies]],"/","")))-(LEN(Table119131[[#This Row],[Defenders]])-LEN(SUBSTITUTE(Table119131[[#This Row],[Defenders]],"/","")))-(LEN(Table119131[[#This Row],[Forwards]])-LEN(SUBSTITUTE(Table119131[[#This Row],[Forwards]],"/","")))-3</f>
        <v>5</v>
      </c>
      <c r="H20" s="6">
        <v>23</v>
      </c>
    </row>
    <row r="21" spans="1:8" x14ac:dyDescent="0.3">
      <c r="A21" s="6"/>
      <c r="B21" s="6" t="s">
        <v>4902</v>
      </c>
      <c r="C21" s="6" t="s">
        <v>4596</v>
      </c>
      <c r="D21" s="6" t="s">
        <v>344</v>
      </c>
      <c r="E21" s="6"/>
      <c r="F21" s="6">
        <v>10</v>
      </c>
      <c r="G21" s="6">
        <f>Table119131[[#This Row],[Total Athletes]]-(LEN(Table119131[[#This Row],[Goalies]])-LEN(SUBSTITUTE(Table119131[[#This Row],[Goalies]],"/","")))-(LEN(Table119131[[#This Row],[Defenders]])-LEN(SUBSTITUTE(Table119131[[#This Row],[Defenders]],"/","")))-(LEN(Table119131[[#This Row],[Forwards]])-LEN(SUBSTITUTE(Table119131[[#This Row],[Forwards]],"/","")))-3</f>
        <v>12</v>
      </c>
      <c r="H21" s="6">
        <v>23</v>
      </c>
    </row>
    <row r="22" spans="1:8" x14ac:dyDescent="0.3">
      <c r="A22" s="6" t="s">
        <v>1716</v>
      </c>
      <c r="B22" s="6"/>
      <c r="C22" s="6" t="s">
        <v>3149</v>
      </c>
      <c r="D22" s="6" t="s">
        <v>338</v>
      </c>
      <c r="E22" s="6"/>
      <c r="F22" s="6">
        <v>4</v>
      </c>
      <c r="G22" s="6">
        <f>Table119131[[#This Row],[Total Athletes]]-(LEN(Table119131[[#This Row],[Goalies]])-LEN(SUBSTITUTE(Table119131[[#This Row],[Goalies]],"/","")))-(LEN(Table119131[[#This Row],[Defenders]])-LEN(SUBSTITUTE(Table119131[[#This Row],[Defenders]],"/","")))-(LEN(Table119131[[#This Row],[Forwards]])-LEN(SUBSTITUTE(Table119131[[#This Row],[Forwards]],"/","")))-3</f>
        <v>20</v>
      </c>
      <c r="H22" s="6">
        <v>23</v>
      </c>
    </row>
    <row r="23" spans="1:8" x14ac:dyDescent="0.3">
      <c r="A23" s="6"/>
      <c r="B23" s="6" t="s">
        <v>4656</v>
      </c>
      <c r="C23" s="6" t="s">
        <v>4653</v>
      </c>
      <c r="D23" s="6" t="s">
        <v>334</v>
      </c>
      <c r="E23" s="6"/>
      <c r="F23" s="6">
        <v>7</v>
      </c>
      <c r="G23" s="6">
        <f>Table119131[[#This Row],[Total Athletes]]-(LEN(Table119131[[#This Row],[Goalies]])-LEN(SUBSTITUTE(Table119131[[#This Row],[Goalies]],"/","")))-(LEN(Table119131[[#This Row],[Defenders]])-LEN(SUBSTITUTE(Table119131[[#This Row],[Defenders]],"/","")))-(LEN(Table119131[[#This Row],[Forwards]])-LEN(SUBSTITUTE(Table119131[[#This Row],[Forwards]],"/","")))-3</f>
        <v>19</v>
      </c>
      <c r="H23" s="6">
        <v>23</v>
      </c>
    </row>
  </sheetData>
  <pageMargins left="0.7" right="0.7" top="0.75" bottom="0.75" header="0.3" footer="0.3"/>
  <tableParts count="1">
    <tablePart r:id="rId1"/>
  </tableParts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C713C-05C7-444A-9BE8-36624AC62AA9}">
  <dimension ref="A1:C27"/>
  <sheetViews>
    <sheetView topLeftCell="A16" workbookViewId="0">
      <selection activeCell="B28" sqref="B28"/>
    </sheetView>
  </sheetViews>
  <sheetFormatPr defaultRowHeight="14.4" x14ac:dyDescent="0.3"/>
  <cols>
    <col min="1" max="1" width="20.33203125" bestFit="1" customWidth="1"/>
    <col min="2" max="2" width="14" bestFit="1" customWidth="1"/>
    <col min="3" max="3" width="14.109375" bestFit="1" customWidth="1"/>
  </cols>
  <sheetData>
    <row r="1" spans="1:3" x14ac:dyDescent="0.3">
      <c r="A1" t="s">
        <v>832</v>
      </c>
      <c r="B1" t="s">
        <v>1</v>
      </c>
      <c r="C1" t="s">
        <v>899</v>
      </c>
    </row>
    <row r="2" spans="1:3" x14ac:dyDescent="0.3">
      <c r="A2" s="6"/>
      <c r="B2" s="6" t="s">
        <v>358</v>
      </c>
      <c r="C2" s="6">
        <v>-1</v>
      </c>
    </row>
    <row r="3" spans="1:3" x14ac:dyDescent="0.3">
      <c r="A3" s="6"/>
      <c r="B3" s="6" t="s">
        <v>334</v>
      </c>
      <c r="C3" s="6">
        <v>-1</v>
      </c>
    </row>
    <row r="4" spans="1:3" x14ac:dyDescent="0.3">
      <c r="A4" s="6"/>
      <c r="B4" s="6" t="s">
        <v>334</v>
      </c>
      <c r="C4" s="6">
        <v>-1</v>
      </c>
    </row>
    <row r="5" spans="1:3" x14ac:dyDescent="0.3">
      <c r="A5" s="6"/>
      <c r="B5" s="6" t="s">
        <v>358</v>
      </c>
      <c r="C5" s="6">
        <v>-1</v>
      </c>
    </row>
    <row r="6" spans="1:3" x14ac:dyDescent="0.3">
      <c r="A6" s="6" t="s">
        <v>3383</v>
      </c>
      <c r="B6" s="6" t="s">
        <v>614</v>
      </c>
      <c r="C6" s="6">
        <v>4</v>
      </c>
    </row>
    <row r="7" spans="1:3" x14ac:dyDescent="0.3">
      <c r="A7" s="6"/>
      <c r="B7" s="6" t="s">
        <v>358</v>
      </c>
      <c r="C7" s="6">
        <v>-1</v>
      </c>
    </row>
    <row r="8" spans="1:3" x14ac:dyDescent="0.3">
      <c r="A8" s="6" t="s">
        <v>3384</v>
      </c>
      <c r="B8" s="6" t="s">
        <v>614</v>
      </c>
      <c r="C8" s="6">
        <v>10</v>
      </c>
    </row>
    <row r="9" spans="1:3" x14ac:dyDescent="0.3">
      <c r="A9" s="6"/>
      <c r="B9" s="6" t="s">
        <v>332</v>
      </c>
      <c r="C9" s="6">
        <v>-1</v>
      </c>
    </row>
    <row r="10" spans="1:3" x14ac:dyDescent="0.3">
      <c r="A10" s="6"/>
      <c r="B10" s="6" t="s">
        <v>334</v>
      </c>
      <c r="C10" s="6">
        <v>-1</v>
      </c>
    </row>
    <row r="11" spans="1:3" x14ac:dyDescent="0.3">
      <c r="A11" s="6" t="s">
        <v>2268</v>
      </c>
      <c r="B11" s="6" t="s">
        <v>356</v>
      </c>
      <c r="C11" s="6">
        <v>3</v>
      </c>
    </row>
    <row r="12" spans="1:3" x14ac:dyDescent="0.3">
      <c r="A12" s="6" t="s">
        <v>2267</v>
      </c>
      <c r="B12" s="6" t="s">
        <v>356</v>
      </c>
      <c r="C12" s="6">
        <v>7</v>
      </c>
    </row>
    <row r="13" spans="1:3" x14ac:dyDescent="0.3">
      <c r="A13" s="6" t="s">
        <v>2275</v>
      </c>
      <c r="B13" s="6" t="s">
        <v>356</v>
      </c>
      <c r="C13" s="6">
        <v>17</v>
      </c>
    </row>
    <row r="14" spans="1:3" x14ac:dyDescent="0.3">
      <c r="A14" s="6"/>
      <c r="B14" s="6" t="s">
        <v>354</v>
      </c>
      <c r="C14" s="6">
        <v>-1</v>
      </c>
    </row>
    <row r="15" spans="1:3" x14ac:dyDescent="0.3">
      <c r="A15" s="6"/>
      <c r="B15" s="6" t="s">
        <v>726</v>
      </c>
      <c r="C15" s="6">
        <v>-1</v>
      </c>
    </row>
    <row r="16" spans="1:3" x14ac:dyDescent="0.3">
      <c r="A16" s="6"/>
      <c r="B16" s="6" t="s">
        <v>726</v>
      </c>
      <c r="C16" s="6">
        <v>-1</v>
      </c>
    </row>
    <row r="17" spans="1:3" x14ac:dyDescent="0.3">
      <c r="A17" s="6" t="s">
        <v>4510</v>
      </c>
      <c r="B17" s="6" t="s">
        <v>332</v>
      </c>
      <c r="C17" s="6">
        <v>20</v>
      </c>
    </row>
    <row r="18" spans="1:3" x14ac:dyDescent="0.3">
      <c r="A18" s="6" t="s">
        <v>4909</v>
      </c>
      <c r="B18" s="6" t="s">
        <v>408</v>
      </c>
      <c r="C18" s="6">
        <v>19</v>
      </c>
    </row>
    <row r="19" spans="1:3" x14ac:dyDescent="0.3">
      <c r="A19" s="6" t="s">
        <v>3594</v>
      </c>
      <c r="B19" s="6" t="s">
        <v>442</v>
      </c>
      <c r="C19" s="6">
        <v>22</v>
      </c>
    </row>
    <row r="20" spans="1:3" x14ac:dyDescent="0.3">
      <c r="A20" s="6" t="s">
        <v>3157</v>
      </c>
      <c r="B20" s="6" t="s">
        <v>338</v>
      </c>
      <c r="C20" s="6">
        <v>13</v>
      </c>
    </row>
    <row r="21" spans="1:3" x14ac:dyDescent="0.3">
      <c r="A21" s="6"/>
      <c r="B21" s="6" t="s">
        <v>348</v>
      </c>
      <c r="C21" s="6">
        <v>-1</v>
      </c>
    </row>
    <row r="22" spans="1:3" x14ac:dyDescent="0.3">
      <c r="A22" s="6" t="s">
        <v>3686</v>
      </c>
      <c r="B22" s="6" t="s">
        <v>394</v>
      </c>
      <c r="C22" s="6">
        <v>21</v>
      </c>
    </row>
    <row r="23" spans="1:3" x14ac:dyDescent="0.3">
      <c r="A23" s="6"/>
      <c r="B23" s="6" t="s">
        <v>428</v>
      </c>
      <c r="C23" s="6">
        <v>-1</v>
      </c>
    </row>
    <row r="24" spans="1:3" x14ac:dyDescent="0.3">
      <c r="A24" s="6"/>
      <c r="B24" s="6" t="s">
        <v>348</v>
      </c>
      <c r="C24" s="6">
        <v>-1</v>
      </c>
    </row>
    <row r="25" spans="1:3" x14ac:dyDescent="0.3">
      <c r="A25" s="6"/>
      <c r="B25" s="6" t="s">
        <v>674</v>
      </c>
      <c r="C25" s="6">
        <v>-1</v>
      </c>
    </row>
    <row r="26" spans="1:3" x14ac:dyDescent="0.3">
      <c r="A26" s="6"/>
      <c r="B26" s="6" t="s">
        <v>328</v>
      </c>
      <c r="C26" s="6">
        <v>-1</v>
      </c>
    </row>
    <row r="27" spans="1:3" x14ac:dyDescent="0.3">
      <c r="A27" s="6" t="s">
        <v>4650</v>
      </c>
      <c r="B27" s="6" t="s">
        <v>334</v>
      </c>
      <c r="C27" s="6">
        <v>9</v>
      </c>
    </row>
  </sheetData>
  <pageMargins left="0.7" right="0.7" top="0.75" bottom="0.75" header="0.3" footer="0.3"/>
  <tableParts count="1">
    <tablePart r:id="rId1"/>
  </tableParts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CD181F-1391-4F20-AA84-566B8C632F3C}">
  <dimension ref="A1:C26"/>
  <sheetViews>
    <sheetView topLeftCell="A19" workbookViewId="0">
      <selection activeCell="B27" sqref="B27"/>
    </sheetView>
  </sheetViews>
  <sheetFormatPr defaultRowHeight="14.4" x14ac:dyDescent="0.3"/>
  <cols>
    <col min="1" max="1" width="21.109375" bestFit="1" customWidth="1"/>
    <col min="2" max="2" width="13.33203125" bestFit="1" customWidth="1"/>
    <col min="3" max="3" width="14.109375" bestFit="1" customWidth="1"/>
  </cols>
  <sheetData>
    <row r="1" spans="1:3" x14ac:dyDescent="0.3">
      <c r="A1" t="s">
        <v>832</v>
      </c>
      <c r="B1" t="s">
        <v>1</v>
      </c>
      <c r="C1" t="s">
        <v>899</v>
      </c>
    </row>
    <row r="2" spans="1:3" x14ac:dyDescent="0.3">
      <c r="A2" s="6" t="s">
        <v>4675</v>
      </c>
      <c r="B2" s="6" t="s">
        <v>334</v>
      </c>
      <c r="C2" s="6">
        <v>1</v>
      </c>
    </row>
    <row r="3" spans="1:3" x14ac:dyDescent="0.3">
      <c r="A3" s="6" t="s">
        <v>3019</v>
      </c>
      <c r="B3" s="6" t="s">
        <v>332</v>
      </c>
      <c r="C3" s="6">
        <v>14</v>
      </c>
    </row>
    <row r="4" spans="1:3" x14ac:dyDescent="0.3">
      <c r="A4" s="6"/>
      <c r="B4" s="6" t="s">
        <v>358</v>
      </c>
      <c r="C4" s="6">
        <v>-1</v>
      </c>
    </row>
    <row r="5" spans="1:3" x14ac:dyDescent="0.3">
      <c r="A5" s="6" t="s">
        <v>1989</v>
      </c>
      <c r="B5" s="6" t="s">
        <v>332</v>
      </c>
      <c r="C5" s="6">
        <v>3</v>
      </c>
    </row>
    <row r="6" spans="1:3" x14ac:dyDescent="0.3">
      <c r="A6" s="6" t="s">
        <v>2277</v>
      </c>
      <c r="B6" s="6" t="s">
        <v>356</v>
      </c>
      <c r="C6" s="6">
        <v>4</v>
      </c>
    </row>
    <row r="7" spans="1:3" x14ac:dyDescent="0.3">
      <c r="A7" s="6"/>
      <c r="B7" s="6" t="s">
        <v>358</v>
      </c>
      <c r="C7" s="6">
        <v>-1</v>
      </c>
    </row>
    <row r="8" spans="1:3" x14ac:dyDescent="0.3">
      <c r="A8" s="6"/>
      <c r="B8" s="6" t="s">
        <v>334</v>
      </c>
      <c r="C8" s="6">
        <v>-1</v>
      </c>
    </row>
    <row r="9" spans="1:3" x14ac:dyDescent="0.3">
      <c r="A9" s="6"/>
      <c r="B9" s="6" t="s">
        <v>358</v>
      </c>
      <c r="C9" s="6">
        <v>-1</v>
      </c>
    </row>
    <row r="10" spans="1:3" x14ac:dyDescent="0.3">
      <c r="A10" s="6"/>
      <c r="B10" s="6" t="s">
        <v>334</v>
      </c>
      <c r="C10" s="6">
        <v>-1</v>
      </c>
    </row>
    <row r="11" spans="1:3" x14ac:dyDescent="0.3">
      <c r="A11" s="6"/>
      <c r="B11" s="6" t="s">
        <v>444</v>
      </c>
      <c r="C11" s="6">
        <v>-1</v>
      </c>
    </row>
    <row r="12" spans="1:3" x14ac:dyDescent="0.3">
      <c r="A12" s="6" t="s">
        <v>3386</v>
      </c>
      <c r="B12" s="6" t="s">
        <v>614</v>
      </c>
      <c r="C12" s="6">
        <v>2</v>
      </c>
    </row>
    <row r="13" spans="1:3" x14ac:dyDescent="0.3">
      <c r="A13" s="6" t="s">
        <v>2289</v>
      </c>
      <c r="B13" s="6" t="s">
        <v>356</v>
      </c>
      <c r="C13" s="6">
        <v>5</v>
      </c>
    </row>
    <row r="14" spans="1:3" x14ac:dyDescent="0.3">
      <c r="A14" s="6" t="s">
        <v>3382</v>
      </c>
      <c r="B14" s="6" t="s">
        <v>614</v>
      </c>
      <c r="C14" s="6">
        <v>16</v>
      </c>
    </row>
    <row r="15" spans="1:3" x14ac:dyDescent="0.3">
      <c r="A15" s="6"/>
      <c r="B15" s="6" t="s">
        <v>332</v>
      </c>
      <c r="C15" s="6">
        <v>-1</v>
      </c>
    </row>
    <row r="16" spans="1:3" x14ac:dyDescent="0.3">
      <c r="A16" s="6" t="s">
        <v>2581</v>
      </c>
      <c r="B16" s="6" t="s">
        <v>384</v>
      </c>
      <c r="C16" s="6">
        <v>15</v>
      </c>
    </row>
    <row r="17" spans="1:3" x14ac:dyDescent="0.3">
      <c r="A17" s="6" t="s">
        <v>2541</v>
      </c>
      <c r="B17" s="6" t="s">
        <v>384</v>
      </c>
      <c r="C17" s="6">
        <v>17</v>
      </c>
    </row>
    <row r="18" spans="1:3" x14ac:dyDescent="0.3">
      <c r="A18" s="6"/>
      <c r="B18" s="6" t="s">
        <v>726</v>
      </c>
      <c r="C18" s="6">
        <v>-1</v>
      </c>
    </row>
    <row r="19" spans="1:3" x14ac:dyDescent="0.3">
      <c r="A19" s="6"/>
      <c r="B19" s="6" t="s">
        <v>674</v>
      </c>
      <c r="C19" s="6">
        <v>-1</v>
      </c>
    </row>
    <row r="20" spans="1:3" x14ac:dyDescent="0.3">
      <c r="A20" s="6"/>
      <c r="B20" s="6" t="s">
        <v>726</v>
      </c>
      <c r="C20" s="6">
        <v>-1</v>
      </c>
    </row>
    <row r="21" spans="1:3" x14ac:dyDescent="0.3">
      <c r="A21" s="6" t="s">
        <v>1784</v>
      </c>
      <c r="B21" s="6" t="s">
        <v>328</v>
      </c>
      <c r="C21" s="6">
        <v>21</v>
      </c>
    </row>
    <row r="22" spans="1:3" x14ac:dyDescent="0.3">
      <c r="A22" s="6"/>
      <c r="B22" s="6" t="s">
        <v>700</v>
      </c>
      <c r="C22" s="6">
        <v>-1</v>
      </c>
    </row>
    <row r="23" spans="1:3" x14ac:dyDescent="0.3">
      <c r="A23" s="6"/>
      <c r="B23" s="6" t="s">
        <v>394</v>
      </c>
      <c r="C23" s="6">
        <v>-1</v>
      </c>
    </row>
    <row r="24" spans="1:3" x14ac:dyDescent="0.3">
      <c r="A24" s="6" t="s">
        <v>3158</v>
      </c>
      <c r="B24" s="6" t="s">
        <v>338</v>
      </c>
      <c r="C24" s="6">
        <v>19</v>
      </c>
    </row>
    <row r="25" spans="1:3" x14ac:dyDescent="0.3">
      <c r="A25" s="6"/>
      <c r="B25" s="6" t="s">
        <v>340</v>
      </c>
      <c r="C25" s="6">
        <v>-1</v>
      </c>
    </row>
    <row r="26" spans="1:3" x14ac:dyDescent="0.3">
      <c r="A26" s="6"/>
      <c r="B26" s="6" t="s">
        <v>348</v>
      </c>
      <c r="C26" s="6">
        <v>-1</v>
      </c>
    </row>
  </sheetData>
  <pageMargins left="0.7" right="0.7" top="0.75" bottom="0.75" header="0.3" footer="0.3"/>
  <tableParts count="1">
    <tablePart r:id="rId1"/>
  </tableParts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5A066-A709-478F-BCE4-E4B29113CE1C}">
  <dimension ref="A1:F29"/>
  <sheetViews>
    <sheetView topLeftCell="A22" workbookViewId="0">
      <selection activeCell="B30" sqref="B30"/>
    </sheetView>
  </sheetViews>
  <sheetFormatPr defaultRowHeight="14.4" x14ac:dyDescent="0.3"/>
  <cols>
    <col min="1" max="1" width="37" bestFit="1" customWidth="1"/>
    <col min="2" max="2" width="13.33203125" bestFit="1" customWidth="1"/>
    <col min="3" max="3" width="19.88671875" bestFit="1" customWidth="1"/>
    <col min="4" max="4" width="22.5546875" bestFit="1" customWidth="1"/>
    <col min="5" max="5" width="17" bestFit="1" customWidth="1"/>
    <col min="6" max="6" width="14.77734375" bestFit="1" customWidth="1"/>
  </cols>
  <sheetData>
    <row r="1" spans="1:6" x14ac:dyDescent="0.3">
      <c r="A1" t="s">
        <v>833</v>
      </c>
      <c r="B1" t="s">
        <v>1</v>
      </c>
      <c r="C1" t="s">
        <v>900</v>
      </c>
      <c r="D1" t="s">
        <v>901</v>
      </c>
      <c r="E1" t="s">
        <v>1212</v>
      </c>
      <c r="F1" t="s">
        <v>1213</v>
      </c>
    </row>
    <row r="2" spans="1:6" x14ac:dyDescent="0.3">
      <c r="A2" s="6"/>
      <c r="B2" s="6" t="s">
        <v>334</v>
      </c>
      <c r="C2" s="6">
        <v>-1</v>
      </c>
      <c r="D2" s="6"/>
      <c r="E2" s="6">
        <f>Table134[[#This Row],[Total Athletes]]-(LEN(Table134[[#This Row],[Pair]])-LEN(SUBSTITUTE(Table134[[#This Row],[Pair]],"/","")))-1</f>
        <v>-1</v>
      </c>
      <c r="F2" s="6"/>
    </row>
    <row r="3" spans="1:6" x14ac:dyDescent="0.3">
      <c r="A3" s="6" t="s">
        <v>4321</v>
      </c>
      <c r="B3" s="6" t="s">
        <v>332</v>
      </c>
      <c r="C3" s="6">
        <v>5</v>
      </c>
      <c r="D3" s="6"/>
      <c r="E3" s="6">
        <f>Table134[[#This Row],[Total Athletes]]-(LEN(Table134[[#This Row],[Pair]])-LEN(SUBSTITUTE(Table134[[#This Row],[Pair]],"/","")))-1</f>
        <v>1</v>
      </c>
      <c r="F3" s="6">
        <v>2</v>
      </c>
    </row>
    <row r="4" spans="1:6" x14ac:dyDescent="0.3">
      <c r="A4" s="6"/>
      <c r="B4" s="6" t="s">
        <v>358</v>
      </c>
      <c r="C4" s="6">
        <v>-1</v>
      </c>
      <c r="D4" s="6"/>
      <c r="E4" s="6">
        <f>Table134[[#This Row],[Total Athletes]]-(LEN(Table134[[#This Row],[Pair]])-LEN(SUBSTITUTE(Table134[[#This Row],[Pair]],"/","")))-1</f>
        <v>-1</v>
      </c>
      <c r="F4" s="6"/>
    </row>
    <row r="5" spans="1:6" x14ac:dyDescent="0.3">
      <c r="A5" s="6" t="s">
        <v>3497</v>
      </c>
      <c r="B5" s="6" t="s">
        <v>614</v>
      </c>
      <c r="C5" s="6">
        <v>5</v>
      </c>
      <c r="D5" s="6"/>
      <c r="E5" s="6">
        <f>Table134[[#This Row],[Total Athletes]]-(LEN(Table134[[#This Row],[Pair]])-LEN(SUBSTITUTE(Table134[[#This Row],[Pair]],"/","")))-1</f>
        <v>0</v>
      </c>
      <c r="F5" s="6">
        <v>2</v>
      </c>
    </row>
    <row r="6" spans="1:6" x14ac:dyDescent="0.3">
      <c r="A6" s="6" t="s">
        <v>2285</v>
      </c>
      <c r="B6" s="6" t="s">
        <v>356</v>
      </c>
      <c r="C6" s="6">
        <v>7</v>
      </c>
      <c r="D6" s="6"/>
      <c r="E6" s="6">
        <f>Table134[[#This Row],[Total Athletes]]-(LEN(Table134[[#This Row],[Pair]])-LEN(SUBSTITUTE(Table134[[#This Row],[Pair]],"/","")))-1</f>
        <v>0</v>
      </c>
      <c r="F6" s="6">
        <v>2</v>
      </c>
    </row>
    <row r="7" spans="1:6" x14ac:dyDescent="0.3">
      <c r="A7" s="6"/>
      <c r="B7" s="6" t="s">
        <v>358</v>
      </c>
      <c r="C7" s="6">
        <v>-1</v>
      </c>
      <c r="D7" s="6"/>
      <c r="E7" s="6">
        <f>Table134[[#This Row],[Total Athletes]]-(LEN(Table134[[#This Row],[Pair]])-LEN(SUBSTITUTE(Table134[[#This Row],[Pair]],"/","")))-1</f>
        <v>-1</v>
      </c>
      <c r="F7" s="6"/>
    </row>
    <row r="8" spans="1:6" x14ac:dyDescent="0.3">
      <c r="A8" s="6" t="s">
        <v>3492</v>
      </c>
      <c r="B8" s="6" t="s">
        <v>614</v>
      </c>
      <c r="C8" s="6">
        <v>9</v>
      </c>
      <c r="D8" s="6"/>
      <c r="E8" s="6">
        <f>Table134[[#This Row],[Total Athletes]]-(LEN(Table134[[#This Row],[Pair]])-LEN(SUBSTITUTE(Table134[[#This Row],[Pair]],"/","")))-1</f>
        <v>0</v>
      </c>
      <c r="F8" s="6">
        <v>2</v>
      </c>
    </row>
    <row r="9" spans="1:6" x14ac:dyDescent="0.3">
      <c r="A9" s="6" t="s">
        <v>4665</v>
      </c>
      <c r="B9" s="6" t="s">
        <v>334</v>
      </c>
      <c r="C9" s="6">
        <v>4</v>
      </c>
      <c r="D9" s="6"/>
      <c r="E9" s="6">
        <f>Table134[[#This Row],[Total Athletes]]-(LEN(Table134[[#This Row],[Pair]])-LEN(SUBSTITUTE(Table134[[#This Row],[Pair]],"/","")))-1</f>
        <v>1</v>
      </c>
      <c r="F9" s="6">
        <v>2</v>
      </c>
    </row>
    <row r="10" spans="1:6" x14ac:dyDescent="0.3">
      <c r="A10" s="6" t="s">
        <v>2288</v>
      </c>
      <c r="B10" s="6" t="s">
        <v>356</v>
      </c>
      <c r="C10" s="6">
        <v>1</v>
      </c>
      <c r="D10" s="6"/>
      <c r="E10" s="6">
        <f>Table134[[#This Row],[Total Athletes]]-(LEN(Table134[[#This Row],[Pair]])-LEN(SUBSTITUTE(Table134[[#This Row],[Pair]],"/","")))-1</f>
        <v>0</v>
      </c>
      <c r="F10" s="6">
        <v>2</v>
      </c>
    </row>
    <row r="11" spans="1:6" x14ac:dyDescent="0.3">
      <c r="A11" s="6" t="s">
        <v>4317</v>
      </c>
      <c r="B11" s="6" t="s">
        <v>332</v>
      </c>
      <c r="C11" s="6">
        <v>8</v>
      </c>
      <c r="D11" s="6"/>
      <c r="E11" s="6">
        <f>Table134[[#This Row],[Total Athletes]]-(LEN(Table134[[#This Row],[Pair]])-LEN(SUBSTITUTE(Table134[[#This Row],[Pair]],"/","")))-1</f>
        <v>1</v>
      </c>
      <c r="F11" s="6">
        <v>2</v>
      </c>
    </row>
    <row r="12" spans="1:6" x14ac:dyDescent="0.3">
      <c r="A12" s="6" t="s">
        <v>3679</v>
      </c>
      <c r="B12" s="6" t="s">
        <v>394</v>
      </c>
      <c r="C12" s="6">
        <v>13</v>
      </c>
      <c r="D12" s="6"/>
      <c r="E12" s="6">
        <f>Table134[[#This Row],[Total Athletes]]-(LEN(Table134[[#This Row],[Pair]])-LEN(SUBSTITUTE(Table134[[#This Row],[Pair]],"/","")))-1</f>
        <v>0</v>
      </c>
      <c r="F12" s="6">
        <v>2</v>
      </c>
    </row>
    <row r="13" spans="1:6" x14ac:dyDescent="0.3">
      <c r="A13" s="6" t="s">
        <v>2796</v>
      </c>
      <c r="B13" s="6" t="s">
        <v>408</v>
      </c>
      <c r="C13" s="6">
        <v>12</v>
      </c>
      <c r="D13" s="6"/>
      <c r="E13" s="6">
        <f>Table134[[#This Row],[Total Athletes]]-(LEN(Table134[[#This Row],[Pair]])-LEN(SUBSTITUTE(Table134[[#This Row],[Pair]],"/","")))-1</f>
        <v>1</v>
      </c>
      <c r="F13" s="6">
        <v>2</v>
      </c>
    </row>
    <row r="14" spans="1:6" x14ac:dyDescent="0.3">
      <c r="A14" s="6"/>
      <c r="B14" s="6" t="s">
        <v>726</v>
      </c>
      <c r="C14" s="6">
        <v>-1</v>
      </c>
      <c r="D14" s="6"/>
      <c r="E14" s="6">
        <f>Table134[[#This Row],[Total Athletes]]-(LEN(Table134[[#This Row],[Pair]])-LEN(SUBSTITUTE(Table134[[#This Row],[Pair]],"/","")))-1</f>
        <v>-1</v>
      </c>
      <c r="F14" s="6"/>
    </row>
    <row r="15" spans="1:6" x14ac:dyDescent="0.3">
      <c r="A15" s="6"/>
      <c r="B15" s="6" t="s">
        <v>726</v>
      </c>
      <c r="C15" s="6">
        <v>-1</v>
      </c>
      <c r="D15" s="6"/>
      <c r="E15" s="6">
        <f>Table134[[#This Row],[Total Athletes]]-(LEN(Table134[[#This Row],[Pair]])-LEN(SUBSTITUTE(Table134[[#This Row],[Pair]],"/","")))-1</f>
        <v>-1</v>
      </c>
      <c r="F15" s="6"/>
    </row>
    <row r="16" spans="1:6" x14ac:dyDescent="0.3">
      <c r="A16" s="6"/>
      <c r="B16" s="6" t="s">
        <v>348</v>
      </c>
      <c r="C16" s="6">
        <v>-1</v>
      </c>
      <c r="D16" s="6"/>
      <c r="E16" s="6">
        <f>Table134[[#This Row],[Total Athletes]]-(LEN(Table134[[#This Row],[Pair]])-LEN(SUBSTITUTE(Table134[[#This Row],[Pair]],"/","")))-1</f>
        <v>-1</v>
      </c>
      <c r="F16" s="6"/>
    </row>
    <row r="17" spans="1:6" x14ac:dyDescent="0.3">
      <c r="A17" s="6" t="s">
        <v>2122</v>
      </c>
      <c r="B17" s="6" t="s">
        <v>328</v>
      </c>
      <c r="C17" s="6">
        <v>15</v>
      </c>
      <c r="D17" s="6"/>
      <c r="E17" s="6">
        <f>Table134[[#This Row],[Total Athletes]]-(LEN(Table134[[#This Row],[Pair]])-LEN(SUBSTITUTE(Table134[[#This Row],[Pair]],"/","")))-1</f>
        <v>0</v>
      </c>
      <c r="F17" s="6">
        <v>2</v>
      </c>
    </row>
    <row r="18" spans="1:6" x14ac:dyDescent="0.3">
      <c r="A18" s="6" t="s">
        <v>2196</v>
      </c>
      <c r="B18" s="6" t="s">
        <v>384</v>
      </c>
      <c r="C18" s="6">
        <v>10</v>
      </c>
      <c r="D18" s="6"/>
      <c r="E18" s="6">
        <f>Table134[[#This Row],[Total Athletes]]-(LEN(Table134[[#This Row],[Pair]])-LEN(SUBSTITUTE(Table134[[#This Row],[Pair]],"/","")))-1</f>
        <v>0</v>
      </c>
      <c r="F18" s="6">
        <v>2</v>
      </c>
    </row>
    <row r="19" spans="1:6" x14ac:dyDescent="0.3">
      <c r="A19" s="6"/>
      <c r="B19" s="6" t="s">
        <v>334</v>
      </c>
      <c r="C19" s="6"/>
      <c r="D19" s="6">
        <v>-1</v>
      </c>
      <c r="E19" s="6">
        <f>Table134[[#This Row],[Total Athletes]]-(LEN(Table134[[#This Row],[Pair]])-LEN(SUBSTITUTE(Table134[[#This Row],[Pair]],"/","")))-1</f>
        <v>-1</v>
      </c>
      <c r="F19" s="6"/>
    </row>
    <row r="20" spans="1:6" x14ac:dyDescent="0.3">
      <c r="A20" s="6"/>
      <c r="B20" s="6" t="s">
        <v>358</v>
      </c>
      <c r="C20" s="6"/>
      <c r="D20" s="6">
        <v>-1</v>
      </c>
      <c r="E20" s="6">
        <f>Table134[[#This Row],[Total Athletes]]-(LEN(Table134[[#This Row],[Pair]])-LEN(SUBSTITUTE(Table134[[#This Row],[Pair]],"/","")))-1</f>
        <v>-1</v>
      </c>
      <c r="F20" s="6"/>
    </row>
    <row r="21" spans="1:6" x14ac:dyDescent="0.3">
      <c r="A21" s="6" t="s">
        <v>3636</v>
      </c>
      <c r="B21" s="6" t="s">
        <v>332</v>
      </c>
      <c r="C21" s="6"/>
      <c r="D21" s="6">
        <v>5</v>
      </c>
      <c r="E21" s="6">
        <f>Table134[[#This Row],[Total Athletes]]-(LEN(Table134[[#This Row],[Pair]])-LEN(SUBSTITUTE(Table134[[#This Row],[Pair]],"/","")))-1</f>
        <v>1</v>
      </c>
      <c r="F21" s="6">
        <v>2</v>
      </c>
    </row>
    <row r="22" spans="1:6" x14ac:dyDescent="0.3">
      <c r="A22" s="6" t="s">
        <v>2301</v>
      </c>
      <c r="B22" s="6" t="s">
        <v>356</v>
      </c>
      <c r="C22" s="6"/>
      <c r="D22" s="6">
        <v>1</v>
      </c>
      <c r="E22" s="6">
        <f>Table134[[#This Row],[Total Athletes]]-(LEN(Table134[[#This Row],[Pair]])-LEN(SUBSTITUTE(Table134[[#This Row],[Pair]],"/","")))-1</f>
        <v>0</v>
      </c>
      <c r="F22" s="6">
        <v>2</v>
      </c>
    </row>
    <row r="23" spans="1:6" x14ac:dyDescent="0.3">
      <c r="A23" s="6" t="s">
        <v>3498</v>
      </c>
      <c r="B23" s="6" t="s">
        <v>614</v>
      </c>
      <c r="C23" s="6"/>
      <c r="D23" s="6">
        <v>4</v>
      </c>
      <c r="E23" s="6">
        <f>Table134[[#This Row],[Total Athletes]]-(LEN(Table134[[#This Row],[Pair]])-LEN(SUBSTITUTE(Table134[[#This Row],[Pair]],"/","")))-1</f>
        <v>0</v>
      </c>
      <c r="F23" s="6">
        <v>2</v>
      </c>
    </row>
    <row r="24" spans="1:6" x14ac:dyDescent="0.3">
      <c r="A24" s="6"/>
      <c r="B24" s="6" t="s">
        <v>726</v>
      </c>
      <c r="C24" s="6"/>
      <c r="D24" s="6">
        <v>-1</v>
      </c>
      <c r="E24" s="6">
        <f>Table134[[#This Row],[Total Athletes]]-(LEN(Table134[[#This Row],[Pair]])-LEN(SUBSTITUTE(Table134[[#This Row],[Pair]],"/","")))-1</f>
        <v>-1</v>
      </c>
      <c r="F24" s="6"/>
    </row>
    <row r="25" spans="1:6" x14ac:dyDescent="0.3">
      <c r="A25" s="6"/>
      <c r="B25" s="6" t="s">
        <v>394</v>
      </c>
      <c r="C25" s="6"/>
      <c r="D25" s="6">
        <v>-1</v>
      </c>
      <c r="E25" s="6">
        <f>Table134[[#This Row],[Total Athletes]]-(LEN(Table134[[#This Row],[Pair]])-LEN(SUBSTITUTE(Table134[[#This Row],[Pair]],"/","")))-1</f>
        <v>-1</v>
      </c>
      <c r="F25" s="6"/>
    </row>
    <row r="26" spans="1:6" x14ac:dyDescent="0.3">
      <c r="A26" s="6" t="s">
        <v>2181</v>
      </c>
      <c r="B26" s="6" t="s">
        <v>384</v>
      </c>
      <c r="C26" s="6"/>
      <c r="D26" s="6">
        <v>10</v>
      </c>
      <c r="E26" s="6">
        <f>Table134[[#This Row],[Total Athletes]]-(LEN(Table134[[#This Row],[Pair]])-LEN(SUBSTITUTE(Table134[[#This Row],[Pair]],"/","")))-1</f>
        <v>0</v>
      </c>
      <c r="F26" s="6">
        <v>2</v>
      </c>
    </row>
    <row r="27" spans="1:6" x14ac:dyDescent="0.3">
      <c r="A27" s="6"/>
      <c r="B27" s="6" t="s">
        <v>348</v>
      </c>
      <c r="C27" s="6"/>
      <c r="D27" s="6">
        <v>-1</v>
      </c>
      <c r="E27" s="6">
        <f>Table134[[#This Row],[Total Athletes]]-(LEN(Table134[[#This Row],[Pair]])-LEN(SUBSTITUTE(Table134[[#This Row],[Pair]],"/","")))-1</f>
        <v>-1</v>
      </c>
      <c r="F27" s="6"/>
    </row>
    <row r="28" spans="1:6" x14ac:dyDescent="0.3">
      <c r="A28" s="6" t="s">
        <v>2801</v>
      </c>
      <c r="B28" s="6" t="s">
        <v>408</v>
      </c>
      <c r="C28" s="6"/>
      <c r="D28" s="6">
        <v>11</v>
      </c>
      <c r="E28" s="6">
        <f>Table134[[#This Row],[Total Athletes]]-(LEN(Table134[[#This Row],[Pair]])-LEN(SUBSTITUTE(Table134[[#This Row],[Pair]],"/","")))-1</f>
        <v>1</v>
      </c>
      <c r="F28" s="6">
        <v>2</v>
      </c>
    </row>
    <row r="29" spans="1:6" x14ac:dyDescent="0.3">
      <c r="A29" s="6" t="s">
        <v>2124</v>
      </c>
      <c r="B29" s="6" t="s">
        <v>328</v>
      </c>
      <c r="C29" s="6"/>
      <c r="D29" s="6">
        <v>8</v>
      </c>
      <c r="E29" s="6">
        <f>Table134[[#This Row],[Total Athletes]]-(LEN(Table134[[#This Row],[Pair]])-LEN(SUBSTITUTE(Table134[[#This Row],[Pair]],"/","")))-1</f>
        <v>0</v>
      </c>
      <c r="F29" s="6">
        <v>2</v>
      </c>
    </row>
  </sheetData>
  <pageMargins left="0.7" right="0.7" top="0.75" bottom="0.75" header="0.3" footer="0.3"/>
  <tableParts count="1">
    <tablePart r:id="rId1"/>
  </tableParts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424E7-3F41-4524-9C48-0C6C9836AA2D}">
  <dimension ref="A1:E10"/>
  <sheetViews>
    <sheetView workbookViewId="0">
      <selection activeCell="B11" sqref="B11"/>
    </sheetView>
  </sheetViews>
  <sheetFormatPr defaultRowHeight="14.4" x14ac:dyDescent="0.3"/>
  <cols>
    <col min="1" max="1" width="92.21875" bestFit="1" customWidth="1"/>
    <col min="2" max="2" width="13.33203125" bestFit="1" customWidth="1"/>
    <col min="3" max="3" width="25.109375" bestFit="1" customWidth="1"/>
    <col min="4" max="4" width="17" bestFit="1" customWidth="1"/>
    <col min="5" max="5" width="14.77734375" bestFit="1" customWidth="1"/>
  </cols>
  <sheetData>
    <row r="1" spans="1:5" x14ac:dyDescent="0.3">
      <c r="A1" t="s">
        <v>834</v>
      </c>
      <c r="B1" t="s">
        <v>1</v>
      </c>
      <c r="C1" t="s">
        <v>1020</v>
      </c>
      <c r="D1" t="s">
        <v>1212</v>
      </c>
      <c r="E1" t="s">
        <v>1213</v>
      </c>
    </row>
    <row r="2" spans="1:5" x14ac:dyDescent="0.3">
      <c r="A2" s="6" t="s">
        <v>4675</v>
      </c>
      <c r="B2" s="6" t="s">
        <v>334</v>
      </c>
      <c r="C2" s="6">
        <v>1</v>
      </c>
      <c r="D2" s="6">
        <f>Table135[[#This Row],[Total Athletes]]-(LEN(Table135[[#This Row],[Team]])-LEN(SUBSTITUTE(Table135[[#This Row],[Team]],"/","")))-1</f>
        <v>5</v>
      </c>
      <c r="E2" s="6">
        <v>6</v>
      </c>
    </row>
    <row r="3" spans="1:5" x14ac:dyDescent="0.3">
      <c r="A3" s="6"/>
      <c r="B3" s="6" t="s">
        <v>358</v>
      </c>
      <c r="C3" s="6">
        <v>-1</v>
      </c>
      <c r="D3" s="6">
        <f>Table135[[#This Row],[Total Athletes]]-(LEN(Table135[[#This Row],[Team]])-LEN(SUBSTITUTE(Table135[[#This Row],[Team]],"/","")))-1</f>
        <v>-1</v>
      </c>
      <c r="E3" s="6"/>
    </row>
    <row r="4" spans="1:5" x14ac:dyDescent="0.3">
      <c r="A4" s="6" t="s">
        <v>4322</v>
      </c>
      <c r="B4" s="6" t="s">
        <v>332</v>
      </c>
      <c r="C4" s="6">
        <v>5</v>
      </c>
      <c r="D4" s="6">
        <f>Table135[[#This Row],[Total Athletes]]-(LEN(Table135[[#This Row],[Team]])-LEN(SUBSTITUTE(Table135[[#This Row],[Team]],"/","")))-1</f>
        <v>3</v>
      </c>
      <c r="E4" s="6">
        <v>6</v>
      </c>
    </row>
    <row r="5" spans="1:5" x14ac:dyDescent="0.3">
      <c r="A5" s="6" t="s">
        <v>2302</v>
      </c>
      <c r="B5" s="6" t="s">
        <v>356</v>
      </c>
      <c r="C5" s="6">
        <v>3</v>
      </c>
      <c r="D5" s="6">
        <f>Table135[[#This Row],[Total Athletes]]-(LEN(Table135[[#This Row],[Team]])-LEN(SUBSTITUTE(Table135[[#This Row],[Team]],"/","")))-1</f>
        <v>0</v>
      </c>
      <c r="E5" s="6">
        <v>6</v>
      </c>
    </row>
    <row r="6" spans="1:5" x14ac:dyDescent="0.3">
      <c r="A6" s="6" t="s">
        <v>3499</v>
      </c>
      <c r="B6" s="6" t="s">
        <v>614</v>
      </c>
      <c r="C6" s="6">
        <v>4</v>
      </c>
      <c r="D6" s="6">
        <f>Table135[[#This Row],[Total Athletes]]-(LEN(Table135[[#This Row],[Team]])-LEN(SUBSTITUTE(Table135[[#This Row],[Team]],"/","")))-1</f>
        <v>0</v>
      </c>
      <c r="E6" s="6">
        <v>6</v>
      </c>
    </row>
    <row r="7" spans="1:5" x14ac:dyDescent="0.3">
      <c r="A7" s="6"/>
      <c r="B7" s="6" t="s">
        <v>726</v>
      </c>
      <c r="C7" s="6">
        <v>-1</v>
      </c>
      <c r="D7" s="6">
        <f>Table135[[#This Row],[Total Athletes]]-(LEN(Table135[[#This Row],[Team]])-LEN(SUBSTITUTE(Table135[[#This Row],[Team]],"/","")))-1</f>
        <v>-1</v>
      </c>
      <c r="E7" s="6"/>
    </row>
    <row r="8" spans="1:5" x14ac:dyDescent="0.3">
      <c r="A8" s="6" t="s">
        <v>3687</v>
      </c>
      <c r="B8" s="6" t="s">
        <v>394</v>
      </c>
      <c r="C8" s="6">
        <v>8</v>
      </c>
      <c r="D8" s="6">
        <f>Table135[[#This Row],[Total Athletes]]-(LEN(Table135[[#This Row],[Team]])-LEN(SUBSTITUTE(Table135[[#This Row],[Team]],"/","")))-1</f>
        <v>3</v>
      </c>
      <c r="E8" s="6">
        <v>6</v>
      </c>
    </row>
    <row r="9" spans="1:5" x14ac:dyDescent="0.3">
      <c r="A9" s="6"/>
      <c r="B9" s="6" t="s">
        <v>348</v>
      </c>
      <c r="C9" s="6">
        <v>-1</v>
      </c>
      <c r="D9" s="6">
        <f>Table135[[#This Row],[Total Athletes]]-(LEN(Table135[[#This Row],[Team]])-LEN(SUBSTITUTE(Table135[[#This Row],[Team]],"/","")))-1</f>
        <v>-1</v>
      </c>
      <c r="E9" s="6"/>
    </row>
    <row r="10" spans="1:5" x14ac:dyDescent="0.3">
      <c r="A10" s="6" t="s">
        <v>2125</v>
      </c>
      <c r="B10" s="6" t="s">
        <v>328</v>
      </c>
      <c r="C10" s="6">
        <v>7</v>
      </c>
      <c r="D10" s="6">
        <f>Table135[[#This Row],[Total Athletes]]-(LEN(Table135[[#This Row],[Team]])-LEN(SUBSTITUTE(Table135[[#This Row],[Team]],"/","")))-1</f>
        <v>1</v>
      </c>
      <c r="E10" s="6">
        <v>6</v>
      </c>
    </row>
  </sheetData>
  <pageMargins left="0.7" right="0.7" top="0.75" bottom="0.75" header="0.3" footer="0.3"/>
  <tableParts count="1">
    <tablePart r:id="rId1"/>
  </tableParts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83435D-3353-480B-B68F-3E589436C956}">
  <dimension ref="A1:D37"/>
  <sheetViews>
    <sheetView topLeftCell="A31" workbookViewId="0">
      <selection activeCell="B38" sqref="B38"/>
    </sheetView>
  </sheetViews>
  <sheetFormatPr defaultRowHeight="14.4" x14ac:dyDescent="0.3"/>
  <cols>
    <col min="1" max="1" width="18.5546875" bestFit="1" customWidth="1"/>
    <col min="2" max="2" width="13.33203125" bestFit="1" customWidth="1"/>
    <col min="3" max="3" width="23.109375" bestFit="1" customWidth="1"/>
    <col min="4" max="4" width="19.77734375" bestFit="1" customWidth="1"/>
  </cols>
  <sheetData>
    <row r="1" spans="1:4" x14ac:dyDescent="0.3">
      <c r="A1" t="s">
        <v>832</v>
      </c>
      <c r="B1" t="s">
        <v>1</v>
      </c>
      <c r="C1" t="s">
        <v>1014</v>
      </c>
      <c r="D1" t="s">
        <v>979</v>
      </c>
    </row>
    <row r="2" spans="1:4" x14ac:dyDescent="0.3">
      <c r="A2" s="6"/>
      <c r="B2" s="6" t="s">
        <v>358</v>
      </c>
      <c r="C2" s="6">
        <v>-1</v>
      </c>
      <c r="D2" s="6">
        <v>-1</v>
      </c>
    </row>
    <row r="3" spans="1:4" x14ac:dyDescent="0.3">
      <c r="A3" s="6"/>
      <c r="B3" s="6" t="s">
        <v>358</v>
      </c>
      <c r="C3" s="6">
        <v>-1</v>
      </c>
      <c r="D3" s="6">
        <v>-1</v>
      </c>
    </row>
    <row r="4" spans="1:4" x14ac:dyDescent="0.3">
      <c r="A4" s="6"/>
      <c r="B4" s="6" t="s">
        <v>358</v>
      </c>
      <c r="C4" s="6">
        <v>-1</v>
      </c>
      <c r="D4" s="6">
        <v>-1</v>
      </c>
    </row>
    <row r="5" spans="1:4" x14ac:dyDescent="0.3">
      <c r="A5" s="6"/>
      <c r="B5" s="6" t="s">
        <v>328</v>
      </c>
      <c r="C5" s="6">
        <v>-1</v>
      </c>
      <c r="D5" s="6">
        <v>-1</v>
      </c>
    </row>
    <row r="6" spans="1:4" x14ac:dyDescent="0.3">
      <c r="A6" s="6"/>
      <c r="B6" s="6" t="s">
        <v>328</v>
      </c>
      <c r="C6" s="6">
        <v>-1</v>
      </c>
      <c r="D6" s="6">
        <v>-1</v>
      </c>
    </row>
    <row r="7" spans="1:4" x14ac:dyDescent="0.3">
      <c r="A7" s="6" t="s">
        <v>3599</v>
      </c>
      <c r="B7" s="6" t="s">
        <v>442</v>
      </c>
      <c r="C7" s="6">
        <v>20</v>
      </c>
      <c r="D7" s="6">
        <v>25</v>
      </c>
    </row>
    <row r="8" spans="1:4" x14ac:dyDescent="0.3">
      <c r="A8" s="6" t="s">
        <v>3607</v>
      </c>
      <c r="B8" s="6" t="s">
        <v>442</v>
      </c>
      <c r="C8" s="6">
        <v>26</v>
      </c>
      <c r="D8" s="6">
        <v>29</v>
      </c>
    </row>
    <row r="9" spans="1:4" x14ac:dyDescent="0.3">
      <c r="A9" s="6"/>
      <c r="B9" s="6" t="s">
        <v>572</v>
      </c>
      <c r="C9" s="6">
        <v>-1</v>
      </c>
      <c r="D9" s="6">
        <v>-1</v>
      </c>
    </row>
    <row r="10" spans="1:4" x14ac:dyDescent="0.3">
      <c r="A10" s="6"/>
      <c r="B10" s="6" t="s">
        <v>572</v>
      </c>
      <c r="C10" s="6">
        <v>-1</v>
      </c>
      <c r="D10" s="6">
        <v>-1</v>
      </c>
    </row>
    <row r="11" spans="1:4" x14ac:dyDescent="0.3">
      <c r="A11" s="6" t="s">
        <v>3732</v>
      </c>
      <c r="B11" s="6" t="s">
        <v>372</v>
      </c>
      <c r="C11" s="6">
        <v>3</v>
      </c>
      <c r="D11" s="6">
        <v>5</v>
      </c>
    </row>
    <row r="12" spans="1:4" x14ac:dyDescent="0.3">
      <c r="A12" s="6"/>
      <c r="B12" s="6" t="s">
        <v>372</v>
      </c>
      <c r="C12" s="6">
        <v>-1</v>
      </c>
      <c r="D12" s="6">
        <v>-1</v>
      </c>
    </row>
    <row r="13" spans="1:4" x14ac:dyDescent="0.3">
      <c r="A13" s="6"/>
      <c r="B13" s="6" t="s">
        <v>372</v>
      </c>
      <c r="C13" s="6">
        <v>-1</v>
      </c>
      <c r="D13" s="6">
        <v>-1</v>
      </c>
    </row>
    <row r="14" spans="1:4" x14ac:dyDescent="0.3">
      <c r="A14" s="6" t="s">
        <v>2739</v>
      </c>
      <c r="B14" s="6" t="s">
        <v>344</v>
      </c>
      <c r="C14" s="6">
        <v>29</v>
      </c>
      <c r="D14" s="6">
        <v>20</v>
      </c>
    </row>
    <row r="15" spans="1:4" x14ac:dyDescent="0.3">
      <c r="A15" s="6" t="s">
        <v>3240</v>
      </c>
      <c r="B15" s="6" t="s">
        <v>344</v>
      </c>
      <c r="C15" s="6">
        <v>22</v>
      </c>
      <c r="D15" s="6">
        <v>14</v>
      </c>
    </row>
    <row r="16" spans="1:4" x14ac:dyDescent="0.3">
      <c r="A16" s="6" t="s">
        <v>3249</v>
      </c>
      <c r="B16" s="6" t="s">
        <v>344</v>
      </c>
      <c r="C16" s="6">
        <v>25</v>
      </c>
      <c r="D16" s="6">
        <v>17</v>
      </c>
    </row>
    <row r="17" spans="1:4" x14ac:dyDescent="0.3">
      <c r="A17" s="6"/>
      <c r="B17" s="6" t="s">
        <v>334</v>
      </c>
      <c r="C17" s="6">
        <v>-1</v>
      </c>
      <c r="D17" s="6">
        <v>-1</v>
      </c>
    </row>
    <row r="18" spans="1:4" x14ac:dyDescent="0.3">
      <c r="A18" s="6"/>
      <c r="B18" s="6" t="s">
        <v>334</v>
      </c>
      <c r="C18" s="6">
        <v>-1</v>
      </c>
      <c r="D18" s="6">
        <v>-1</v>
      </c>
    </row>
    <row r="19" spans="1:4" x14ac:dyDescent="0.3">
      <c r="A19" s="6"/>
      <c r="B19" s="6" t="s">
        <v>334</v>
      </c>
      <c r="C19" s="6">
        <v>-1</v>
      </c>
      <c r="D19" s="6">
        <v>-1</v>
      </c>
    </row>
    <row r="20" spans="1:4" x14ac:dyDescent="0.3">
      <c r="A20" s="6" t="s">
        <v>2262</v>
      </c>
      <c r="B20" s="6" t="s">
        <v>356</v>
      </c>
      <c r="C20" s="6">
        <v>13</v>
      </c>
      <c r="D20" s="6">
        <v>23</v>
      </c>
    </row>
    <row r="21" spans="1:4" x14ac:dyDescent="0.3">
      <c r="A21" s="6" t="s">
        <v>2281</v>
      </c>
      <c r="B21" s="6" t="s">
        <v>356</v>
      </c>
      <c r="C21" s="6">
        <v>16</v>
      </c>
      <c r="D21" s="6">
        <v>18</v>
      </c>
    </row>
    <row r="22" spans="1:4" x14ac:dyDescent="0.3">
      <c r="A22" s="6" t="s">
        <v>4963</v>
      </c>
      <c r="B22" s="6" t="s">
        <v>356</v>
      </c>
      <c r="C22" s="6">
        <v>19</v>
      </c>
      <c r="D22" s="6">
        <v>24</v>
      </c>
    </row>
    <row r="23" spans="1:4" x14ac:dyDescent="0.3">
      <c r="A23" s="6"/>
      <c r="B23" s="6" t="s">
        <v>428</v>
      </c>
      <c r="C23" s="6">
        <v>-1</v>
      </c>
      <c r="D23" s="6">
        <v>-1</v>
      </c>
    </row>
    <row r="24" spans="1:4" x14ac:dyDescent="0.3">
      <c r="A24" s="6"/>
      <c r="B24" s="6" t="s">
        <v>428</v>
      </c>
      <c r="C24" s="6">
        <v>-1</v>
      </c>
      <c r="D24" s="6">
        <v>-1</v>
      </c>
    </row>
    <row r="25" spans="1:4" x14ac:dyDescent="0.3">
      <c r="A25" s="6"/>
      <c r="B25" s="6" t="s">
        <v>428</v>
      </c>
      <c r="C25" s="6">
        <v>-1</v>
      </c>
      <c r="D25" s="6">
        <v>-1</v>
      </c>
    </row>
    <row r="26" spans="1:4" x14ac:dyDescent="0.3">
      <c r="A26" s="6"/>
      <c r="B26" s="6" t="s">
        <v>604</v>
      </c>
      <c r="C26" s="6">
        <v>-1</v>
      </c>
      <c r="D26" s="6">
        <v>-1</v>
      </c>
    </row>
    <row r="27" spans="1:4" x14ac:dyDescent="0.3">
      <c r="A27" s="6" t="s">
        <v>5000</v>
      </c>
      <c r="B27" s="6" t="s">
        <v>364</v>
      </c>
      <c r="C27" s="6">
        <v>12</v>
      </c>
      <c r="D27" s="6">
        <v>6</v>
      </c>
    </row>
    <row r="28" spans="1:4" x14ac:dyDescent="0.3">
      <c r="A28" s="6" t="s">
        <v>5001</v>
      </c>
      <c r="B28" s="6" t="s">
        <v>364</v>
      </c>
      <c r="C28" s="6">
        <v>1</v>
      </c>
      <c r="D28" s="6">
        <v>1</v>
      </c>
    </row>
    <row r="29" spans="1:4" x14ac:dyDescent="0.3">
      <c r="A29" s="6" t="s">
        <v>5011</v>
      </c>
      <c r="B29" s="6" t="s">
        <v>364</v>
      </c>
      <c r="C29" s="6">
        <v>7</v>
      </c>
      <c r="D29" s="6">
        <v>4</v>
      </c>
    </row>
    <row r="30" spans="1:4" x14ac:dyDescent="0.3">
      <c r="A30" s="6"/>
      <c r="B30" s="6" t="s">
        <v>394</v>
      </c>
      <c r="C30" s="6">
        <v>-1</v>
      </c>
      <c r="D30" s="6">
        <v>-1</v>
      </c>
    </row>
    <row r="31" spans="1:4" x14ac:dyDescent="0.3">
      <c r="A31" s="6"/>
      <c r="B31" s="6" t="s">
        <v>394</v>
      </c>
      <c r="C31" s="6">
        <v>-1</v>
      </c>
      <c r="D31" s="6">
        <v>-1</v>
      </c>
    </row>
    <row r="32" spans="1:4" x14ac:dyDescent="0.3">
      <c r="A32" s="6" t="s">
        <v>2127</v>
      </c>
      <c r="B32" s="6" t="s">
        <v>694</v>
      </c>
      <c r="C32" s="6">
        <v>24</v>
      </c>
      <c r="D32" s="6">
        <v>26</v>
      </c>
    </row>
    <row r="33" spans="1:4" x14ac:dyDescent="0.3">
      <c r="A33" s="6" t="s">
        <v>2645</v>
      </c>
      <c r="B33" s="6" t="s">
        <v>694</v>
      </c>
      <c r="C33" s="6">
        <v>28</v>
      </c>
      <c r="D33" s="6">
        <v>22</v>
      </c>
    </row>
    <row r="34" spans="1:4" x14ac:dyDescent="0.3">
      <c r="A34" s="6"/>
      <c r="B34" s="6" t="s">
        <v>726</v>
      </c>
      <c r="C34" s="6">
        <v>-1</v>
      </c>
      <c r="D34" s="6">
        <v>-1</v>
      </c>
    </row>
    <row r="35" spans="1:4" x14ac:dyDescent="0.3">
      <c r="A35" s="6"/>
      <c r="B35" s="6" t="s">
        <v>726</v>
      </c>
      <c r="C35" s="6">
        <v>-1</v>
      </c>
      <c r="D35" s="6">
        <v>-1</v>
      </c>
    </row>
    <row r="36" spans="1:4" x14ac:dyDescent="0.3">
      <c r="A36" s="6" t="s">
        <v>4196</v>
      </c>
      <c r="B36" s="6" t="s">
        <v>332</v>
      </c>
      <c r="C36" s="6">
        <v>18</v>
      </c>
      <c r="D36" s="6">
        <v>13</v>
      </c>
    </row>
    <row r="37" spans="1:4" x14ac:dyDescent="0.3">
      <c r="A37" s="6"/>
      <c r="B37" s="6" t="s">
        <v>332</v>
      </c>
      <c r="C37" s="6">
        <v>-1</v>
      </c>
      <c r="D37" s="6">
        <v>-1</v>
      </c>
    </row>
  </sheetData>
  <pageMargins left="0.7" right="0.7" top="0.75" bottom="0.75" header="0.3" footer="0.3"/>
  <tableParts count="1">
    <tablePart r:id="rId1"/>
  </tableParts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DDE1B-B8A0-4484-99C2-499688FE4AC2}">
  <dimension ref="A1:E15"/>
  <sheetViews>
    <sheetView topLeftCell="A4" workbookViewId="0">
      <selection activeCell="B16" sqref="B16"/>
    </sheetView>
  </sheetViews>
  <sheetFormatPr defaultRowHeight="14.4" x14ac:dyDescent="0.3"/>
  <cols>
    <col min="1" max="1" width="58" bestFit="1" customWidth="1"/>
    <col min="2" max="2" width="13.33203125" bestFit="1" customWidth="1"/>
    <col min="3" max="3" width="38.88671875" bestFit="1" customWidth="1"/>
    <col min="4" max="4" width="17" bestFit="1" customWidth="1"/>
    <col min="5" max="5" width="14.77734375" bestFit="1" customWidth="1"/>
  </cols>
  <sheetData>
    <row r="1" spans="1:5" x14ac:dyDescent="0.3">
      <c r="A1" t="s">
        <v>833</v>
      </c>
      <c r="B1" t="s">
        <v>1</v>
      </c>
      <c r="C1" t="s">
        <v>1227</v>
      </c>
      <c r="D1" t="s">
        <v>1212</v>
      </c>
      <c r="E1" t="s">
        <v>1213</v>
      </c>
    </row>
    <row r="2" spans="1:5" x14ac:dyDescent="0.3">
      <c r="A2" s="6"/>
      <c r="B2" s="6" t="s">
        <v>358</v>
      </c>
      <c r="C2" s="6">
        <v>-1</v>
      </c>
      <c r="D2" s="6">
        <f>Table137[[#This Row],[Total Athletes]]-(LEN(Table137[[#This Row],[Pair]])-LEN(SUBSTITUTE(Table137[[#This Row],[Pair]],"/","")))-1</f>
        <v>-1</v>
      </c>
      <c r="E2" s="6"/>
    </row>
    <row r="3" spans="1:5" x14ac:dyDescent="0.3">
      <c r="A3" s="6"/>
      <c r="B3" s="6" t="s">
        <v>328</v>
      </c>
      <c r="C3" s="6">
        <v>-1</v>
      </c>
      <c r="D3" s="6">
        <f>Table137[[#This Row],[Total Athletes]]-(LEN(Table137[[#This Row],[Pair]])-LEN(SUBSTITUTE(Table137[[#This Row],[Pair]],"/","")))-1</f>
        <v>-1</v>
      </c>
      <c r="E3" s="6"/>
    </row>
    <row r="4" spans="1:5" x14ac:dyDescent="0.3">
      <c r="A4" s="6" t="s">
        <v>3608</v>
      </c>
      <c r="B4" s="6" t="s">
        <v>442</v>
      </c>
      <c r="C4" s="6">
        <v>8</v>
      </c>
      <c r="D4" s="6">
        <f>Table137[[#This Row],[Total Athletes]]-(LEN(Table137[[#This Row],[Pair]])-LEN(SUBSTITUTE(Table137[[#This Row],[Pair]],"/","")))-1</f>
        <v>0</v>
      </c>
      <c r="E4" s="6">
        <v>2</v>
      </c>
    </row>
    <row r="5" spans="1:5" x14ac:dyDescent="0.3">
      <c r="A5" s="6"/>
      <c r="B5" s="6" t="s">
        <v>572</v>
      </c>
      <c r="C5" s="6">
        <v>-1</v>
      </c>
      <c r="D5" s="6">
        <f>Table137[[#This Row],[Total Athletes]]-(LEN(Table137[[#This Row],[Pair]])-LEN(SUBSTITUTE(Table137[[#This Row],[Pair]],"/","")))-1</f>
        <v>-1</v>
      </c>
      <c r="E5" s="6"/>
    </row>
    <row r="6" spans="1:5" x14ac:dyDescent="0.3">
      <c r="A6" s="6" t="s">
        <v>3732</v>
      </c>
      <c r="B6" s="6" t="s">
        <v>372</v>
      </c>
      <c r="C6" s="6">
        <v>2</v>
      </c>
      <c r="D6" s="6">
        <f>Table137[[#This Row],[Total Athletes]]-(LEN(Table137[[#This Row],[Pair]])-LEN(SUBSTITUTE(Table137[[#This Row],[Pair]],"/","")))-1</f>
        <v>1</v>
      </c>
      <c r="E6" s="6">
        <v>2</v>
      </c>
    </row>
    <row r="7" spans="1:5" x14ac:dyDescent="0.3">
      <c r="A7" s="6" t="s">
        <v>3250</v>
      </c>
      <c r="B7" s="6" t="s">
        <v>344</v>
      </c>
      <c r="C7" s="6">
        <v>9</v>
      </c>
      <c r="D7" s="6">
        <f>Table137[[#This Row],[Total Athletes]]-(LEN(Table137[[#This Row],[Pair]])-LEN(SUBSTITUTE(Table137[[#This Row],[Pair]],"/","")))-1</f>
        <v>0</v>
      </c>
      <c r="E7" s="6">
        <v>2</v>
      </c>
    </row>
    <row r="8" spans="1:5" x14ac:dyDescent="0.3">
      <c r="A8" s="6"/>
      <c r="B8" s="6" t="s">
        <v>334</v>
      </c>
      <c r="C8" s="6">
        <v>-1</v>
      </c>
      <c r="D8" s="6">
        <f>Table137[[#This Row],[Total Athletes]]-(LEN(Table137[[#This Row],[Pair]])-LEN(SUBSTITUTE(Table137[[#This Row],[Pair]],"/","")))-1</f>
        <v>-1</v>
      </c>
      <c r="E8" s="6"/>
    </row>
    <row r="9" spans="1:5" x14ac:dyDescent="0.3">
      <c r="A9" s="6" t="s">
        <v>2282</v>
      </c>
      <c r="B9" s="6" t="s">
        <v>356</v>
      </c>
      <c r="C9" s="6">
        <v>4</v>
      </c>
      <c r="D9" s="6">
        <f>Table137[[#This Row],[Total Athletes]]-(LEN(Table137[[#This Row],[Pair]])-LEN(SUBSTITUTE(Table137[[#This Row],[Pair]],"/","")))-1</f>
        <v>0</v>
      </c>
      <c r="E9" s="6">
        <v>2</v>
      </c>
    </row>
    <row r="10" spans="1:5" x14ac:dyDescent="0.3">
      <c r="A10" s="6"/>
      <c r="B10" s="6" t="s">
        <v>428</v>
      </c>
      <c r="C10" s="6">
        <v>-1</v>
      </c>
      <c r="D10" s="6">
        <f>Table137[[#This Row],[Total Athletes]]-(LEN(Table137[[#This Row],[Pair]])-LEN(SUBSTITUTE(Table137[[#This Row],[Pair]],"/","")))-1</f>
        <v>-1</v>
      </c>
      <c r="E10" s="6"/>
    </row>
    <row r="11" spans="1:5" x14ac:dyDescent="0.3">
      <c r="A11" s="6" t="s">
        <v>5012</v>
      </c>
      <c r="B11" s="6" t="s">
        <v>364</v>
      </c>
      <c r="C11" s="6">
        <v>1</v>
      </c>
      <c r="D11" s="6">
        <f>Table137[[#This Row],[Total Athletes]]-(LEN(Table137[[#This Row],[Pair]])-LEN(SUBSTITUTE(Table137[[#This Row],[Pair]],"/","")))-1</f>
        <v>0</v>
      </c>
      <c r="E11" s="6">
        <v>2</v>
      </c>
    </row>
    <row r="12" spans="1:5" x14ac:dyDescent="0.3">
      <c r="A12" s="6"/>
      <c r="B12" s="6" t="s">
        <v>394</v>
      </c>
      <c r="C12" s="6">
        <v>-1</v>
      </c>
      <c r="D12" s="6">
        <f>Table137[[#This Row],[Total Athletes]]-(LEN(Table137[[#This Row],[Pair]])-LEN(SUBSTITUTE(Table137[[#This Row],[Pair]],"/","")))-1</f>
        <v>-1</v>
      </c>
      <c r="E12" s="6"/>
    </row>
    <row r="13" spans="1:5" x14ac:dyDescent="0.3">
      <c r="A13" s="6" t="s">
        <v>2646</v>
      </c>
      <c r="B13" s="6" t="s">
        <v>694</v>
      </c>
      <c r="C13" s="6">
        <v>10</v>
      </c>
      <c r="D13" s="6">
        <f>Table137[[#This Row],[Total Athletes]]-(LEN(Table137[[#This Row],[Pair]])-LEN(SUBSTITUTE(Table137[[#This Row],[Pair]],"/","")))-1</f>
        <v>0</v>
      </c>
      <c r="E13" s="6">
        <v>2</v>
      </c>
    </row>
    <row r="14" spans="1:5" x14ac:dyDescent="0.3">
      <c r="A14" s="6"/>
      <c r="B14" s="6" t="s">
        <v>726</v>
      </c>
      <c r="C14" s="6">
        <v>-1</v>
      </c>
      <c r="D14" s="6">
        <f>Table137[[#This Row],[Total Athletes]]-(LEN(Table137[[#This Row],[Pair]])-LEN(SUBSTITUTE(Table137[[#This Row],[Pair]],"/","")))-1</f>
        <v>-1</v>
      </c>
      <c r="E14" s="6"/>
    </row>
    <row r="15" spans="1:5" x14ac:dyDescent="0.3">
      <c r="A15" s="6" t="s">
        <v>4196</v>
      </c>
      <c r="B15" s="6" t="s">
        <v>332</v>
      </c>
      <c r="C15" s="6">
        <v>7</v>
      </c>
      <c r="D15" s="6">
        <f>Table137[[#This Row],[Total Athletes]]-(LEN(Table137[[#This Row],[Pair]])-LEN(SUBSTITUTE(Table137[[#This Row],[Pair]],"/","")))-1</f>
        <v>1</v>
      </c>
      <c r="E15" s="6">
        <v>2</v>
      </c>
    </row>
  </sheetData>
  <pageMargins left="0.7" right="0.7" top="0.75" bottom="0.75" header="0.3" footer="0.3"/>
  <tableParts count="1">
    <tablePart r:id="rId1"/>
  </tableParts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36A8A-94F0-420A-977E-4F52E09BCB80}">
  <dimension ref="A1:E91"/>
  <sheetViews>
    <sheetView topLeftCell="A76" workbookViewId="0">
      <selection activeCell="B92" sqref="B92"/>
    </sheetView>
  </sheetViews>
  <sheetFormatPr defaultRowHeight="14.4" x14ac:dyDescent="0.3"/>
  <cols>
    <col min="1" max="1" width="18.44140625" bestFit="1" customWidth="1"/>
    <col min="2" max="2" width="14" bestFit="1" customWidth="1"/>
    <col min="3" max="3" width="19.5546875" bestFit="1" customWidth="1"/>
    <col min="4" max="5" width="20.44140625" bestFit="1" customWidth="1"/>
  </cols>
  <sheetData>
    <row r="1" spans="1:5" x14ac:dyDescent="0.3">
      <c r="A1" t="s">
        <v>832</v>
      </c>
      <c r="B1" t="s">
        <v>1</v>
      </c>
      <c r="C1" t="s">
        <v>1035</v>
      </c>
      <c r="D1" t="s">
        <v>1036</v>
      </c>
      <c r="E1" t="s">
        <v>943</v>
      </c>
    </row>
    <row r="2" spans="1:5" x14ac:dyDescent="0.3">
      <c r="A2" s="6"/>
      <c r="B2" s="6" t="s">
        <v>384</v>
      </c>
      <c r="C2" s="6">
        <v>-1</v>
      </c>
      <c r="D2" s="6"/>
      <c r="E2" s="6"/>
    </row>
    <row r="3" spans="1:5" x14ac:dyDescent="0.3">
      <c r="A3" s="6"/>
      <c r="B3" s="6" t="s">
        <v>328</v>
      </c>
      <c r="C3" s="6">
        <v>-1</v>
      </c>
      <c r="D3" s="6"/>
      <c r="E3" s="6"/>
    </row>
    <row r="4" spans="1:5" x14ac:dyDescent="0.3">
      <c r="A4" s="6"/>
      <c r="B4" s="6" t="s">
        <v>356</v>
      </c>
      <c r="C4" s="6">
        <v>-1</v>
      </c>
      <c r="D4" s="6"/>
      <c r="E4" s="6"/>
    </row>
    <row r="5" spans="1:5" x14ac:dyDescent="0.3">
      <c r="A5" s="6"/>
      <c r="B5" s="6" t="s">
        <v>384</v>
      </c>
      <c r="C5" s="6">
        <v>-1</v>
      </c>
      <c r="D5" s="6"/>
      <c r="E5" s="6"/>
    </row>
    <row r="6" spans="1:5" x14ac:dyDescent="0.3">
      <c r="A6" s="6" t="s">
        <v>4514</v>
      </c>
      <c r="B6" s="6" t="s">
        <v>332</v>
      </c>
      <c r="C6" s="6">
        <v>13</v>
      </c>
      <c r="D6" s="6"/>
      <c r="E6" s="6">
        <v>11</v>
      </c>
    </row>
    <row r="7" spans="1:5" x14ac:dyDescent="0.3">
      <c r="A7" s="6"/>
      <c r="B7" s="6" t="s">
        <v>412</v>
      </c>
      <c r="C7" s="6">
        <v>-1</v>
      </c>
      <c r="D7" s="6"/>
      <c r="E7" s="6"/>
    </row>
    <row r="8" spans="1:5" x14ac:dyDescent="0.3">
      <c r="A8" s="6"/>
      <c r="B8" s="6" t="s">
        <v>328</v>
      </c>
      <c r="C8" s="6">
        <v>-1</v>
      </c>
      <c r="D8" s="6"/>
      <c r="E8" s="6"/>
    </row>
    <row r="9" spans="1:5" x14ac:dyDescent="0.3">
      <c r="A9" s="6" t="s">
        <v>3344</v>
      </c>
      <c r="B9" s="6" t="s">
        <v>428</v>
      </c>
      <c r="C9" s="6">
        <v>16</v>
      </c>
      <c r="D9" s="6">
        <v>13</v>
      </c>
      <c r="E9" s="6">
        <v>22</v>
      </c>
    </row>
    <row r="10" spans="1:5" x14ac:dyDescent="0.3">
      <c r="A10" s="6"/>
      <c r="B10" s="6" t="s">
        <v>384</v>
      </c>
      <c r="C10" s="6">
        <v>-1</v>
      </c>
      <c r="D10" s="6"/>
      <c r="E10" s="6"/>
    </row>
    <row r="11" spans="1:5" x14ac:dyDescent="0.3">
      <c r="A11" s="6"/>
      <c r="B11" s="6" t="s">
        <v>356</v>
      </c>
      <c r="C11" s="6">
        <v>-1</v>
      </c>
      <c r="D11" s="6"/>
      <c r="E11" s="6"/>
    </row>
    <row r="12" spans="1:5" x14ac:dyDescent="0.3">
      <c r="A12" s="6"/>
      <c r="B12" s="6" t="s">
        <v>394</v>
      </c>
      <c r="C12" s="6">
        <v>-1</v>
      </c>
      <c r="D12" s="6"/>
      <c r="E12" s="6"/>
    </row>
    <row r="13" spans="1:5" x14ac:dyDescent="0.3">
      <c r="A13" s="6"/>
      <c r="B13" s="6" t="s">
        <v>718</v>
      </c>
      <c r="C13" s="6">
        <v>-1</v>
      </c>
      <c r="D13" s="6"/>
      <c r="E13" s="6"/>
    </row>
    <row r="14" spans="1:5" x14ac:dyDescent="0.3">
      <c r="A14" s="6"/>
      <c r="B14" s="6" t="s">
        <v>412</v>
      </c>
      <c r="C14" s="6">
        <v>-1</v>
      </c>
      <c r="D14" s="6"/>
      <c r="E14" s="6"/>
    </row>
    <row r="15" spans="1:5" x14ac:dyDescent="0.3">
      <c r="A15" s="6"/>
      <c r="B15" s="6" t="s">
        <v>520</v>
      </c>
      <c r="C15" s="6">
        <v>-1</v>
      </c>
      <c r="D15" s="6"/>
      <c r="E15" s="6"/>
    </row>
    <row r="16" spans="1:5" x14ac:dyDescent="0.3">
      <c r="A16" s="6"/>
      <c r="B16" s="6" t="s">
        <v>614</v>
      </c>
      <c r="C16" s="6">
        <v>-1</v>
      </c>
      <c r="D16" s="6"/>
      <c r="E16" s="6"/>
    </row>
    <row r="17" spans="1:5" x14ac:dyDescent="0.3">
      <c r="A17" s="6"/>
      <c r="B17" s="6" t="s">
        <v>332</v>
      </c>
      <c r="C17" s="6">
        <v>-1</v>
      </c>
      <c r="D17" s="6"/>
      <c r="E17" s="6"/>
    </row>
    <row r="18" spans="1:5" x14ac:dyDescent="0.3">
      <c r="A18" s="6"/>
      <c r="B18" s="6" t="s">
        <v>604</v>
      </c>
      <c r="C18" s="6">
        <v>-1</v>
      </c>
      <c r="D18" s="6"/>
      <c r="E18" s="6"/>
    </row>
    <row r="19" spans="1:5" x14ac:dyDescent="0.3">
      <c r="A19" s="6"/>
      <c r="B19" s="6" t="s">
        <v>328</v>
      </c>
      <c r="C19" s="6">
        <v>-1</v>
      </c>
      <c r="D19" s="6"/>
      <c r="E19" s="6"/>
    </row>
    <row r="20" spans="1:5" x14ac:dyDescent="0.3">
      <c r="A20" s="6"/>
      <c r="B20" s="6" t="s">
        <v>604</v>
      </c>
      <c r="C20" s="6">
        <v>-1</v>
      </c>
      <c r="D20" s="6"/>
      <c r="E20" s="6"/>
    </row>
    <row r="21" spans="1:5" x14ac:dyDescent="0.3">
      <c r="A21" s="6"/>
      <c r="B21" s="6" t="s">
        <v>700</v>
      </c>
      <c r="C21" s="6">
        <v>-1</v>
      </c>
      <c r="D21" s="6"/>
      <c r="E21" s="6"/>
    </row>
    <row r="22" spans="1:5" x14ac:dyDescent="0.3">
      <c r="A22" s="6"/>
      <c r="B22" s="6" t="s">
        <v>412</v>
      </c>
      <c r="C22" s="6">
        <v>-1</v>
      </c>
      <c r="D22" s="6"/>
      <c r="E22" s="6"/>
    </row>
    <row r="23" spans="1:5" x14ac:dyDescent="0.3">
      <c r="A23" s="6" t="s">
        <v>1753</v>
      </c>
      <c r="B23" s="6" t="s">
        <v>428</v>
      </c>
      <c r="C23" s="6">
        <v>25</v>
      </c>
      <c r="D23" s="6">
        <v>23</v>
      </c>
      <c r="E23" s="6">
        <v>20</v>
      </c>
    </row>
    <row r="24" spans="1:5" x14ac:dyDescent="0.3">
      <c r="A24" s="6"/>
      <c r="B24" s="6" t="s">
        <v>718</v>
      </c>
      <c r="C24" s="6">
        <v>-1</v>
      </c>
      <c r="D24" s="6"/>
      <c r="E24" s="6"/>
    </row>
    <row r="25" spans="1:5" x14ac:dyDescent="0.3">
      <c r="A25" s="6"/>
      <c r="B25" s="6" t="s">
        <v>482</v>
      </c>
      <c r="C25" s="6">
        <v>-1</v>
      </c>
      <c r="D25" s="6"/>
      <c r="E25" s="6"/>
    </row>
    <row r="26" spans="1:5" x14ac:dyDescent="0.3">
      <c r="A26" s="6"/>
      <c r="B26" s="6" t="s">
        <v>402</v>
      </c>
      <c r="C26" s="6">
        <v>-1</v>
      </c>
      <c r="D26" s="6"/>
      <c r="E26" s="6"/>
    </row>
    <row r="27" spans="1:5" x14ac:dyDescent="0.3">
      <c r="A27" s="6"/>
      <c r="B27" s="6" t="s">
        <v>726</v>
      </c>
      <c r="C27" s="6">
        <v>-1</v>
      </c>
      <c r="D27" s="6"/>
      <c r="E27" s="6"/>
    </row>
    <row r="28" spans="1:5" x14ac:dyDescent="0.3">
      <c r="A28" s="6"/>
      <c r="B28" s="6" t="s">
        <v>700</v>
      </c>
      <c r="C28" s="6">
        <v>-1</v>
      </c>
      <c r="D28" s="6"/>
      <c r="E28" s="6"/>
    </row>
    <row r="29" spans="1:5" x14ac:dyDescent="0.3">
      <c r="A29" s="6"/>
      <c r="B29" s="6" t="s">
        <v>354</v>
      </c>
      <c r="C29" s="6">
        <v>-1</v>
      </c>
      <c r="D29" s="6"/>
      <c r="E29" s="6"/>
    </row>
    <row r="30" spans="1:5" x14ac:dyDescent="0.3">
      <c r="A30" s="6" t="s">
        <v>2923</v>
      </c>
      <c r="B30" s="6" t="s">
        <v>356</v>
      </c>
      <c r="C30" s="6">
        <v>12</v>
      </c>
      <c r="D30" s="6"/>
      <c r="E30" s="6"/>
    </row>
    <row r="31" spans="1:5" x14ac:dyDescent="0.3">
      <c r="A31" s="6" t="s">
        <v>1556</v>
      </c>
      <c r="B31" s="6" t="s">
        <v>394</v>
      </c>
      <c r="C31" s="6">
        <v>21</v>
      </c>
      <c r="D31" s="6">
        <v>9</v>
      </c>
      <c r="E31" s="6">
        <v>30</v>
      </c>
    </row>
    <row r="32" spans="1:5" x14ac:dyDescent="0.3">
      <c r="A32" s="6" t="s">
        <v>3122</v>
      </c>
      <c r="B32" s="6" t="s">
        <v>406</v>
      </c>
      <c r="C32" s="6">
        <v>20</v>
      </c>
      <c r="D32" s="6">
        <v>12</v>
      </c>
      <c r="E32" s="6">
        <v>28</v>
      </c>
    </row>
    <row r="33" spans="1:5" x14ac:dyDescent="0.3">
      <c r="A33" s="6"/>
      <c r="B33" s="6" t="s">
        <v>358</v>
      </c>
      <c r="C33" s="6">
        <v>-1</v>
      </c>
      <c r="D33" s="6"/>
      <c r="E33" s="6"/>
    </row>
    <row r="34" spans="1:5" x14ac:dyDescent="0.3">
      <c r="A34" s="6"/>
      <c r="B34" s="6" t="s">
        <v>700</v>
      </c>
      <c r="C34" s="6"/>
      <c r="D34" s="6">
        <v>-1</v>
      </c>
      <c r="E34" s="6"/>
    </row>
    <row r="35" spans="1:5" x14ac:dyDescent="0.3">
      <c r="A35" s="6"/>
      <c r="B35" s="6" t="s">
        <v>356</v>
      </c>
      <c r="C35" s="6"/>
      <c r="D35" s="6">
        <v>-1</v>
      </c>
      <c r="E35" s="6"/>
    </row>
    <row r="36" spans="1:5" x14ac:dyDescent="0.3">
      <c r="A36" s="6"/>
      <c r="B36" s="6" t="s">
        <v>384</v>
      </c>
      <c r="C36" s="6"/>
      <c r="D36" s="6">
        <v>-1</v>
      </c>
      <c r="E36" s="6"/>
    </row>
    <row r="37" spans="1:5" x14ac:dyDescent="0.3">
      <c r="A37" s="6"/>
      <c r="B37" s="6" t="s">
        <v>328</v>
      </c>
      <c r="C37" s="6"/>
      <c r="D37" s="6">
        <v>-1</v>
      </c>
      <c r="E37" s="6"/>
    </row>
    <row r="38" spans="1:5" x14ac:dyDescent="0.3">
      <c r="A38" s="6"/>
      <c r="B38" s="6" t="s">
        <v>412</v>
      </c>
      <c r="C38" s="6"/>
      <c r="D38" s="6">
        <v>-1</v>
      </c>
      <c r="E38" s="6"/>
    </row>
    <row r="39" spans="1:5" x14ac:dyDescent="0.3">
      <c r="A39" s="6"/>
      <c r="B39" s="6" t="s">
        <v>384</v>
      </c>
      <c r="C39" s="6"/>
      <c r="D39" s="6">
        <v>-1</v>
      </c>
      <c r="E39" s="6"/>
    </row>
    <row r="40" spans="1:5" x14ac:dyDescent="0.3">
      <c r="A40" s="6"/>
      <c r="B40" s="6" t="s">
        <v>328</v>
      </c>
      <c r="C40" s="6"/>
      <c r="D40" s="6">
        <v>-1</v>
      </c>
      <c r="E40" s="6"/>
    </row>
    <row r="41" spans="1:5" x14ac:dyDescent="0.3">
      <c r="A41" s="6"/>
      <c r="B41" s="6" t="s">
        <v>614</v>
      </c>
      <c r="C41" s="6"/>
      <c r="D41" s="6">
        <v>-1</v>
      </c>
      <c r="E41" s="6"/>
    </row>
    <row r="42" spans="1:5" x14ac:dyDescent="0.3">
      <c r="A42" s="6"/>
      <c r="B42" s="6" t="s">
        <v>700</v>
      </c>
      <c r="C42" s="6"/>
      <c r="D42" s="6">
        <v>-1</v>
      </c>
      <c r="E42" s="6"/>
    </row>
    <row r="43" spans="1:5" x14ac:dyDescent="0.3">
      <c r="A43" s="6" t="s">
        <v>2635</v>
      </c>
      <c r="B43" s="6" t="s">
        <v>356</v>
      </c>
      <c r="C43" s="6"/>
      <c r="D43" s="6">
        <v>11</v>
      </c>
      <c r="E43" s="6">
        <v>10</v>
      </c>
    </row>
    <row r="44" spans="1:5" x14ac:dyDescent="0.3">
      <c r="A44" s="6"/>
      <c r="B44" s="6" t="s">
        <v>384</v>
      </c>
      <c r="C44" s="6"/>
      <c r="D44" s="6">
        <v>-1</v>
      </c>
      <c r="E44" s="6"/>
    </row>
    <row r="45" spans="1:5" x14ac:dyDescent="0.3">
      <c r="A45" s="6"/>
      <c r="B45" s="6" t="s">
        <v>402</v>
      </c>
      <c r="C45" s="6"/>
      <c r="D45" s="6">
        <v>-1</v>
      </c>
      <c r="E45" s="6"/>
    </row>
    <row r="46" spans="1:5" x14ac:dyDescent="0.3">
      <c r="A46" s="6"/>
      <c r="B46" s="6" t="s">
        <v>700</v>
      </c>
      <c r="C46" s="6"/>
      <c r="D46" s="6">
        <v>-1</v>
      </c>
      <c r="E46" s="6"/>
    </row>
    <row r="47" spans="1:5" x14ac:dyDescent="0.3">
      <c r="A47" s="6"/>
      <c r="B47" s="6" t="s">
        <v>520</v>
      </c>
      <c r="C47" s="6"/>
      <c r="D47" s="6">
        <v>-1</v>
      </c>
      <c r="E47" s="6"/>
    </row>
    <row r="48" spans="1:5" x14ac:dyDescent="0.3">
      <c r="A48" s="6"/>
      <c r="B48" s="6" t="s">
        <v>354</v>
      </c>
      <c r="C48" s="6"/>
      <c r="D48" s="6">
        <v>-1</v>
      </c>
      <c r="E48" s="6"/>
    </row>
    <row r="49" spans="1:5" x14ac:dyDescent="0.3">
      <c r="A49" s="6" t="s">
        <v>3285</v>
      </c>
      <c r="B49" s="6" t="s">
        <v>344</v>
      </c>
      <c r="C49" s="6"/>
      <c r="D49" s="6">
        <v>25</v>
      </c>
      <c r="E49" s="6">
        <v>23</v>
      </c>
    </row>
    <row r="50" spans="1:5" x14ac:dyDescent="0.3">
      <c r="A50" s="6"/>
      <c r="B50" s="6" t="s">
        <v>332</v>
      </c>
      <c r="C50" s="6"/>
      <c r="D50" s="6">
        <v>-1</v>
      </c>
      <c r="E50" s="6"/>
    </row>
    <row r="51" spans="1:5" x14ac:dyDescent="0.3">
      <c r="A51" s="6"/>
      <c r="B51" s="6" t="s">
        <v>328</v>
      </c>
      <c r="C51" s="6"/>
      <c r="D51" s="6">
        <v>-1</v>
      </c>
      <c r="E51" s="6"/>
    </row>
    <row r="52" spans="1:5" x14ac:dyDescent="0.3">
      <c r="A52" s="6"/>
      <c r="B52" s="6" t="s">
        <v>394</v>
      </c>
      <c r="C52" s="6"/>
      <c r="D52" s="6">
        <v>-1</v>
      </c>
      <c r="E52" s="6"/>
    </row>
    <row r="53" spans="1:5" x14ac:dyDescent="0.3">
      <c r="A53" s="6"/>
      <c r="B53" s="6" t="s">
        <v>674</v>
      </c>
      <c r="C53" s="6"/>
      <c r="D53" s="6">
        <v>-1</v>
      </c>
      <c r="E53" s="6"/>
    </row>
    <row r="54" spans="1:5" x14ac:dyDescent="0.3">
      <c r="A54" s="6"/>
      <c r="B54" s="6" t="s">
        <v>604</v>
      </c>
      <c r="C54" s="6"/>
      <c r="D54" s="6">
        <v>-1</v>
      </c>
      <c r="E54" s="6"/>
    </row>
    <row r="55" spans="1:5" x14ac:dyDescent="0.3">
      <c r="A55" s="6"/>
      <c r="B55" s="6" t="s">
        <v>412</v>
      </c>
      <c r="C55" s="6"/>
      <c r="D55" s="6">
        <v>-1</v>
      </c>
      <c r="E55" s="6"/>
    </row>
    <row r="56" spans="1:5" x14ac:dyDescent="0.3">
      <c r="A56" s="6" t="s">
        <v>3483</v>
      </c>
      <c r="B56" s="6" t="s">
        <v>614</v>
      </c>
      <c r="C56" s="6">
        <v>24</v>
      </c>
      <c r="D56" s="6">
        <v>14</v>
      </c>
      <c r="E56" s="6"/>
    </row>
    <row r="57" spans="1:5" x14ac:dyDescent="0.3">
      <c r="A57" s="6"/>
      <c r="B57" s="6" t="s">
        <v>428</v>
      </c>
      <c r="C57" s="6"/>
      <c r="D57" s="6">
        <v>-1</v>
      </c>
      <c r="E57" s="6"/>
    </row>
    <row r="58" spans="1:5" x14ac:dyDescent="0.3">
      <c r="A58" s="6"/>
      <c r="B58" s="6" t="s">
        <v>356</v>
      </c>
      <c r="C58" s="6"/>
      <c r="D58" s="6">
        <v>-1</v>
      </c>
      <c r="E58" s="6"/>
    </row>
    <row r="59" spans="1:5" x14ac:dyDescent="0.3">
      <c r="A59" s="6"/>
      <c r="B59" s="6" t="s">
        <v>332</v>
      </c>
      <c r="C59" s="6"/>
      <c r="D59" s="6">
        <v>-1</v>
      </c>
      <c r="E59" s="6"/>
    </row>
    <row r="60" spans="1:5" x14ac:dyDescent="0.3">
      <c r="A60" s="6"/>
      <c r="B60" s="6" t="s">
        <v>344</v>
      </c>
      <c r="C60" s="6"/>
      <c r="D60" s="6">
        <v>-1</v>
      </c>
      <c r="E60" s="6"/>
    </row>
    <row r="61" spans="1:5" x14ac:dyDescent="0.3">
      <c r="A61" s="6"/>
      <c r="B61" s="6" t="s">
        <v>592</v>
      </c>
      <c r="C61" s="6"/>
      <c r="D61" s="6">
        <v>-1</v>
      </c>
      <c r="E61" s="6"/>
    </row>
    <row r="62" spans="1:5" x14ac:dyDescent="0.3">
      <c r="A62" s="6"/>
      <c r="B62" s="6" t="s">
        <v>406</v>
      </c>
      <c r="C62" s="6"/>
      <c r="D62" s="6">
        <v>-1</v>
      </c>
      <c r="E62" s="6"/>
    </row>
    <row r="63" spans="1:5" x14ac:dyDescent="0.3">
      <c r="A63" s="6"/>
      <c r="B63" s="6" t="s">
        <v>384</v>
      </c>
      <c r="C63" s="6"/>
      <c r="D63" s="6"/>
      <c r="E63" s="6">
        <v>-1</v>
      </c>
    </row>
    <row r="64" spans="1:5" x14ac:dyDescent="0.3">
      <c r="A64" s="6"/>
      <c r="B64" s="6" t="s">
        <v>356</v>
      </c>
      <c r="C64" s="6"/>
      <c r="D64" s="6"/>
      <c r="E64" s="6">
        <v>-1</v>
      </c>
    </row>
    <row r="65" spans="1:5" x14ac:dyDescent="0.3">
      <c r="A65" s="6"/>
      <c r="B65" s="6" t="s">
        <v>384</v>
      </c>
      <c r="C65" s="6"/>
      <c r="D65" s="6"/>
      <c r="E65" s="6">
        <v>-1</v>
      </c>
    </row>
    <row r="66" spans="1:5" x14ac:dyDescent="0.3">
      <c r="A66" s="6"/>
      <c r="B66" s="6" t="s">
        <v>328</v>
      </c>
      <c r="C66" s="6"/>
      <c r="D66" s="6"/>
      <c r="E66" s="6">
        <v>-1</v>
      </c>
    </row>
    <row r="67" spans="1:5" x14ac:dyDescent="0.3">
      <c r="A67" s="6"/>
      <c r="B67" s="6" t="s">
        <v>700</v>
      </c>
      <c r="C67" s="6"/>
      <c r="D67" s="6"/>
      <c r="E67" s="6">
        <v>-1</v>
      </c>
    </row>
    <row r="68" spans="1:5" x14ac:dyDescent="0.3">
      <c r="A68" s="6"/>
      <c r="B68" s="6" t="s">
        <v>356</v>
      </c>
      <c r="C68" s="6"/>
      <c r="D68" s="6"/>
      <c r="E68" s="6">
        <v>-1</v>
      </c>
    </row>
    <row r="69" spans="1:5" x14ac:dyDescent="0.3">
      <c r="A69" s="6"/>
      <c r="B69" s="6" t="s">
        <v>412</v>
      </c>
      <c r="C69" s="6"/>
      <c r="D69" s="6"/>
      <c r="E69" s="6">
        <v>-1</v>
      </c>
    </row>
    <row r="70" spans="1:5" x14ac:dyDescent="0.3">
      <c r="A70" s="6"/>
      <c r="B70" s="6" t="s">
        <v>700</v>
      </c>
      <c r="C70" s="6"/>
      <c r="D70" s="6"/>
      <c r="E70" s="6">
        <v>-1</v>
      </c>
    </row>
    <row r="71" spans="1:5" x14ac:dyDescent="0.3">
      <c r="A71" s="6"/>
      <c r="B71" s="6" t="s">
        <v>614</v>
      </c>
      <c r="C71" s="6"/>
      <c r="D71" s="6"/>
      <c r="E71" s="6">
        <v>-1</v>
      </c>
    </row>
    <row r="72" spans="1:5" x14ac:dyDescent="0.3">
      <c r="A72" s="6" t="s">
        <v>2941</v>
      </c>
      <c r="B72" s="6" t="s">
        <v>412</v>
      </c>
      <c r="C72" s="6"/>
      <c r="D72" s="6"/>
      <c r="E72" s="6">
        <v>35</v>
      </c>
    </row>
    <row r="73" spans="1:5" x14ac:dyDescent="0.3">
      <c r="A73" s="6"/>
      <c r="B73" s="6" t="s">
        <v>354</v>
      </c>
      <c r="C73" s="6"/>
      <c r="D73" s="6"/>
      <c r="E73" s="6">
        <v>-1</v>
      </c>
    </row>
    <row r="74" spans="1:5" x14ac:dyDescent="0.3">
      <c r="A74" s="6"/>
      <c r="B74" s="6" t="s">
        <v>328</v>
      </c>
      <c r="C74" s="6"/>
      <c r="D74" s="6"/>
      <c r="E74" s="6">
        <v>-1</v>
      </c>
    </row>
    <row r="75" spans="1:5" x14ac:dyDescent="0.3">
      <c r="A75" s="6"/>
      <c r="B75" s="6" t="s">
        <v>332</v>
      </c>
      <c r="C75" s="6"/>
      <c r="D75" s="6"/>
      <c r="E75" s="6">
        <v>-1</v>
      </c>
    </row>
    <row r="76" spans="1:5" x14ac:dyDescent="0.3">
      <c r="A76" s="6"/>
      <c r="B76" s="6" t="s">
        <v>402</v>
      </c>
      <c r="C76" s="6"/>
      <c r="D76" s="6"/>
      <c r="E76" s="6">
        <v>-1</v>
      </c>
    </row>
    <row r="77" spans="1:5" x14ac:dyDescent="0.3">
      <c r="A77" s="6"/>
      <c r="B77" s="6" t="s">
        <v>700</v>
      </c>
      <c r="C77" s="6"/>
      <c r="D77" s="6"/>
      <c r="E77" s="6">
        <v>-1</v>
      </c>
    </row>
    <row r="78" spans="1:5" x14ac:dyDescent="0.3">
      <c r="A78" s="6"/>
      <c r="B78" s="6" t="s">
        <v>384</v>
      </c>
      <c r="C78" s="6"/>
      <c r="D78" s="6"/>
      <c r="E78" s="6">
        <v>-1</v>
      </c>
    </row>
    <row r="79" spans="1:5" x14ac:dyDescent="0.3">
      <c r="A79" s="6"/>
      <c r="B79" s="6" t="s">
        <v>520</v>
      </c>
      <c r="C79" s="6"/>
      <c r="D79" s="6"/>
      <c r="E79" s="6">
        <v>-1</v>
      </c>
    </row>
    <row r="80" spans="1:5" x14ac:dyDescent="0.3">
      <c r="A80" s="6"/>
      <c r="B80" s="6" t="s">
        <v>674</v>
      </c>
      <c r="C80" s="6"/>
      <c r="D80" s="6"/>
      <c r="E80" s="6">
        <v>-1</v>
      </c>
    </row>
    <row r="81" spans="1:5" x14ac:dyDescent="0.3">
      <c r="A81" s="6"/>
      <c r="B81" s="6" t="s">
        <v>428</v>
      </c>
      <c r="C81" s="6"/>
      <c r="D81" s="6"/>
      <c r="E81" s="6">
        <v>-1</v>
      </c>
    </row>
    <row r="82" spans="1:5" x14ac:dyDescent="0.3">
      <c r="A82" s="6" t="s">
        <v>3779</v>
      </c>
      <c r="B82" s="6" t="s">
        <v>412</v>
      </c>
      <c r="C82" s="6"/>
      <c r="D82" s="6"/>
      <c r="E82" s="6">
        <v>24</v>
      </c>
    </row>
    <row r="83" spans="1:5" x14ac:dyDescent="0.3">
      <c r="A83" s="6"/>
      <c r="B83" s="6" t="s">
        <v>332</v>
      </c>
      <c r="C83" s="6"/>
      <c r="D83" s="6"/>
      <c r="E83" s="6">
        <v>-1</v>
      </c>
    </row>
    <row r="84" spans="1:5" x14ac:dyDescent="0.3">
      <c r="A84" s="6"/>
      <c r="B84" s="6" t="s">
        <v>328</v>
      </c>
      <c r="C84" s="6"/>
      <c r="D84" s="6"/>
      <c r="E84" s="6">
        <v>-1</v>
      </c>
    </row>
    <row r="85" spans="1:5" x14ac:dyDescent="0.3">
      <c r="A85" s="6"/>
      <c r="B85" s="6" t="s">
        <v>592</v>
      </c>
      <c r="C85" s="6"/>
      <c r="D85" s="6"/>
      <c r="E85" s="6">
        <v>-1</v>
      </c>
    </row>
    <row r="86" spans="1:5" x14ac:dyDescent="0.3">
      <c r="A86" s="6"/>
      <c r="B86" s="6" t="s">
        <v>344</v>
      </c>
      <c r="C86" s="6"/>
      <c r="D86" s="6"/>
      <c r="E86" s="6">
        <v>-1</v>
      </c>
    </row>
    <row r="87" spans="1:5" x14ac:dyDescent="0.3">
      <c r="A87" s="6"/>
      <c r="B87" s="6" t="s">
        <v>402</v>
      </c>
      <c r="C87" s="6"/>
      <c r="D87" s="6"/>
      <c r="E87" s="6">
        <v>-1</v>
      </c>
    </row>
    <row r="88" spans="1:5" x14ac:dyDescent="0.3">
      <c r="A88" s="6"/>
      <c r="B88" s="6" t="s">
        <v>358</v>
      </c>
      <c r="C88" s="6"/>
      <c r="D88" s="6"/>
      <c r="E88" s="6">
        <v>-1</v>
      </c>
    </row>
    <row r="89" spans="1:5" x14ac:dyDescent="0.3">
      <c r="A89" s="6"/>
      <c r="B89" s="6" t="s">
        <v>394</v>
      </c>
      <c r="C89" s="6"/>
      <c r="D89" s="6"/>
      <c r="E89" s="6">
        <v>-1</v>
      </c>
    </row>
    <row r="90" spans="1:5" x14ac:dyDescent="0.3">
      <c r="A90" s="6"/>
      <c r="B90" s="6" t="s">
        <v>406</v>
      </c>
      <c r="C90" s="6"/>
      <c r="D90" s="6"/>
      <c r="E90" s="6">
        <v>-1</v>
      </c>
    </row>
    <row r="91" spans="1:5" x14ac:dyDescent="0.3">
      <c r="A91" s="6"/>
      <c r="B91" s="6" t="s">
        <v>726</v>
      </c>
      <c r="C91" s="6"/>
      <c r="D91" s="6"/>
      <c r="E91" s="6">
        <v>-1</v>
      </c>
    </row>
  </sheetData>
  <pageMargins left="0.7" right="0.7" top="0.75" bottom="0.75" header="0.3" footer="0.3"/>
  <tableParts count="1">
    <tablePart r:id="rId1"/>
  </tableParts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B56F0-015A-4D52-A773-446ABF079A7F}">
  <dimension ref="A1:E99"/>
  <sheetViews>
    <sheetView topLeftCell="A93" workbookViewId="0">
      <selection activeCell="B100" sqref="B100"/>
    </sheetView>
  </sheetViews>
  <sheetFormatPr defaultRowHeight="14.4" x14ac:dyDescent="0.3"/>
  <cols>
    <col min="1" max="1" width="21" bestFit="1" customWidth="1"/>
    <col min="2" max="2" width="14" bestFit="1" customWidth="1"/>
    <col min="3" max="3" width="19.5546875" bestFit="1" customWidth="1"/>
    <col min="4" max="5" width="20.44140625" bestFit="1" customWidth="1"/>
  </cols>
  <sheetData>
    <row r="1" spans="1:5" x14ac:dyDescent="0.3">
      <c r="A1" t="s">
        <v>832</v>
      </c>
      <c r="B1" t="s">
        <v>1</v>
      </c>
      <c r="C1" t="s">
        <v>1035</v>
      </c>
      <c r="D1" t="s">
        <v>1036</v>
      </c>
      <c r="E1" t="s">
        <v>943</v>
      </c>
    </row>
    <row r="2" spans="1:5" x14ac:dyDescent="0.3">
      <c r="A2" s="6"/>
      <c r="B2" s="6" t="s">
        <v>412</v>
      </c>
      <c r="C2" s="6">
        <v>-1</v>
      </c>
      <c r="D2" s="6"/>
      <c r="E2" s="6"/>
    </row>
    <row r="3" spans="1:5" x14ac:dyDescent="0.3">
      <c r="A3" s="6"/>
      <c r="B3" s="6" t="s">
        <v>384</v>
      </c>
      <c r="C3" s="6">
        <v>-1</v>
      </c>
      <c r="D3" s="6"/>
      <c r="E3" s="6"/>
    </row>
    <row r="4" spans="1:5" x14ac:dyDescent="0.3">
      <c r="A4" s="6"/>
      <c r="B4" s="6" t="s">
        <v>332</v>
      </c>
      <c r="C4" s="6">
        <v>-1</v>
      </c>
      <c r="D4" s="6"/>
      <c r="E4" s="6"/>
    </row>
    <row r="5" spans="1:5" x14ac:dyDescent="0.3">
      <c r="A5" s="6"/>
      <c r="B5" s="6" t="s">
        <v>384</v>
      </c>
      <c r="C5" s="6">
        <v>-1</v>
      </c>
      <c r="D5" s="6"/>
      <c r="E5" s="6"/>
    </row>
    <row r="6" spans="1:5" x14ac:dyDescent="0.3">
      <c r="A6" s="6"/>
      <c r="B6" s="6" t="s">
        <v>412</v>
      </c>
      <c r="C6" s="6">
        <v>-1</v>
      </c>
      <c r="D6" s="6"/>
      <c r="E6" s="6"/>
    </row>
    <row r="7" spans="1:5" x14ac:dyDescent="0.3">
      <c r="A7" s="6"/>
      <c r="B7" s="6" t="s">
        <v>700</v>
      </c>
      <c r="C7" s="6">
        <v>-1</v>
      </c>
      <c r="D7" s="6"/>
      <c r="E7" s="6"/>
    </row>
    <row r="8" spans="1:5" x14ac:dyDescent="0.3">
      <c r="A8" s="6"/>
      <c r="B8" s="6" t="s">
        <v>332</v>
      </c>
      <c r="C8" s="6">
        <v>-1</v>
      </c>
      <c r="D8" s="6"/>
      <c r="E8" s="6"/>
    </row>
    <row r="9" spans="1:5" x14ac:dyDescent="0.3">
      <c r="A9" s="6"/>
      <c r="B9" s="6" t="s">
        <v>412</v>
      </c>
      <c r="C9" s="6">
        <v>-1</v>
      </c>
      <c r="D9" s="6"/>
      <c r="E9" s="6"/>
    </row>
    <row r="10" spans="1:5" x14ac:dyDescent="0.3">
      <c r="A10" s="6"/>
      <c r="B10" s="6" t="s">
        <v>356</v>
      </c>
      <c r="C10" s="6">
        <v>-1</v>
      </c>
      <c r="D10" s="6"/>
      <c r="E10" s="6"/>
    </row>
    <row r="11" spans="1:5" x14ac:dyDescent="0.3">
      <c r="A11" s="6" t="s">
        <v>1555</v>
      </c>
      <c r="B11" s="6" t="s">
        <v>394</v>
      </c>
      <c r="C11" s="6">
        <v>17</v>
      </c>
      <c r="D11" s="6">
        <v>22</v>
      </c>
      <c r="E11" s="6">
        <v>24</v>
      </c>
    </row>
    <row r="12" spans="1:5" x14ac:dyDescent="0.3">
      <c r="A12" s="6"/>
      <c r="B12" s="6" t="s">
        <v>328</v>
      </c>
      <c r="C12" s="6">
        <v>-1</v>
      </c>
      <c r="D12" s="6"/>
      <c r="E12" s="6"/>
    </row>
    <row r="13" spans="1:5" x14ac:dyDescent="0.3">
      <c r="A13" s="6"/>
      <c r="B13" s="6" t="s">
        <v>520</v>
      </c>
      <c r="C13" s="6">
        <v>-1</v>
      </c>
      <c r="D13" s="6"/>
      <c r="E13" s="6"/>
    </row>
    <row r="14" spans="1:5" x14ac:dyDescent="0.3">
      <c r="A14" s="6"/>
      <c r="B14" s="6" t="s">
        <v>328</v>
      </c>
      <c r="C14" s="6">
        <v>-1</v>
      </c>
      <c r="D14" s="6"/>
      <c r="E14" s="6"/>
    </row>
    <row r="15" spans="1:5" x14ac:dyDescent="0.3">
      <c r="A15" s="6"/>
      <c r="B15" s="6" t="s">
        <v>356</v>
      </c>
      <c r="C15" s="6">
        <v>-1</v>
      </c>
      <c r="D15" s="6"/>
      <c r="E15" s="6"/>
    </row>
    <row r="16" spans="1:5" x14ac:dyDescent="0.3">
      <c r="A16" s="6"/>
      <c r="B16" s="6" t="s">
        <v>700</v>
      </c>
      <c r="C16" s="6">
        <v>-1</v>
      </c>
      <c r="D16" s="6"/>
      <c r="E16" s="6"/>
    </row>
    <row r="17" spans="1:5" x14ac:dyDescent="0.3">
      <c r="A17" s="6"/>
      <c r="B17" s="6" t="s">
        <v>356</v>
      </c>
      <c r="C17" s="6">
        <v>-1</v>
      </c>
      <c r="D17" s="6"/>
      <c r="E17" s="6"/>
    </row>
    <row r="18" spans="1:5" x14ac:dyDescent="0.3">
      <c r="A18" s="6"/>
      <c r="B18" s="6" t="s">
        <v>428</v>
      </c>
      <c r="C18" s="6">
        <v>-1</v>
      </c>
      <c r="D18" s="6"/>
      <c r="E18" s="6"/>
    </row>
    <row r="19" spans="1:5" x14ac:dyDescent="0.3">
      <c r="A19" s="6"/>
      <c r="B19" s="6" t="s">
        <v>394</v>
      </c>
      <c r="C19" s="6">
        <v>-1</v>
      </c>
      <c r="D19" s="6"/>
      <c r="E19" s="6"/>
    </row>
    <row r="20" spans="1:5" x14ac:dyDescent="0.3">
      <c r="A20" s="6"/>
      <c r="B20" s="6" t="s">
        <v>450</v>
      </c>
      <c r="C20" s="6">
        <v>-1</v>
      </c>
      <c r="D20" s="6"/>
      <c r="E20" s="6"/>
    </row>
    <row r="21" spans="1:5" x14ac:dyDescent="0.3">
      <c r="A21" s="6"/>
      <c r="B21" s="6" t="s">
        <v>384</v>
      </c>
      <c r="C21" s="6">
        <v>-1</v>
      </c>
      <c r="D21" s="6"/>
      <c r="E21" s="6"/>
    </row>
    <row r="22" spans="1:5" x14ac:dyDescent="0.3">
      <c r="A22" s="6" t="s">
        <v>4103</v>
      </c>
      <c r="B22" s="6" t="s">
        <v>604</v>
      </c>
      <c r="C22" s="6">
        <v>32</v>
      </c>
      <c r="D22" s="6"/>
      <c r="E22" s="6">
        <v>29</v>
      </c>
    </row>
    <row r="23" spans="1:5" x14ac:dyDescent="0.3">
      <c r="A23" s="6"/>
      <c r="B23" s="6" t="s">
        <v>328</v>
      </c>
      <c r="C23" s="6">
        <v>-1</v>
      </c>
      <c r="D23" s="6"/>
      <c r="E23" s="6"/>
    </row>
    <row r="24" spans="1:5" x14ac:dyDescent="0.3">
      <c r="A24" s="6" t="s">
        <v>4328</v>
      </c>
      <c r="B24" s="6" t="s">
        <v>332</v>
      </c>
      <c r="C24" s="6">
        <v>16</v>
      </c>
      <c r="D24" s="6">
        <v>28</v>
      </c>
      <c r="E24" s="6"/>
    </row>
    <row r="25" spans="1:5" x14ac:dyDescent="0.3">
      <c r="A25" s="6"/>
      <c r="B25" s="6" t="s">
        <v>344</v>
      </c>
      <c r="C25" s="6">
        <v>-1</v>
      </c>
      <c r="D25" s="6"/>
      <c r="E25" s="6"/>
    </row>
    <row r="26" spans="1:5" x14ac:dyDescent="0.3">
      <c r="A26" s="6"/>
      <c r="B26" s="6" t="s">
        <v>406</v>
      </c>
      <c r="C26" s="6">
        <v>-1</v>
      </c>
      <c r="D26" s="6"/>
      <c r="E26" s="6"/>
    </row>
    <row r="27" spans="1:5" x14ac:dyDescent="0.3">
      <c r="A27" s="6" t="s">
        <v>1800</v>
      </c>
      <c r="B27" s="6" t="s">
        <v>674</v>
      </c>
      <c r="C27" s="6">
        <v>30</v>
      </c>
      <c r="D27" s="6">
        <v>9</v>
      </c>
      <c r="E27" s="6"/>
    </row>
    <row r="28" spans="1:5" x14ac:dyDescent="0.3">
      <c r="A28" s="6"/>
      <c r="B28" s="6" t="s">
        <v>402</v>
      </c>
      <c r="C28" s="6">
        <v>-1</v>
      </c>
      <c r="D28" s="6"/>
      <c r="E28" s="6"/>
    </row>
    <row r="29" spans="1:5" x14ac:dyDescent="0.3">
      <c r="A29" s="6"/>
      <c r="B29" s="6" t="s">
        <v>700</v>
      </c>
      <c r="C29" s="6">
        <v>-1</v>
      </c>
      <c r="D29" s="6"/>
      <c r="E29" s="6"/>
    </row>
    <row r="30" spans="1:5" x14ac:dyDescent="0.3">
      <c r="A30" s="6" t="s">
        <v>4779</v>
      </c>
      <c r="B30" s="6" t="s">
        <v>726</v>
      </c>
      <c r="C30" s="6">
        <v>25</v>
      </c>
      <c r="D30" s="6"/>
      <c r="E30" s="6"/>
    </row>
    <row r="31" spans="1:5" x14ac:dyDescent="0.3">
      <c r="A31" s="6"/>
      <c r="B31" s="6" t="s">
        <v>604</v>
      </c>
      <c r="C31" s="6">
        <v>-1</v>
      </c>
      <c r="D31" s="6"/>
      <c r="E31" s="6"/>
    </row>
    <row r="32" spans="1:5" x14ac:dyDescent="0.3">
      <c r="A32" s="6"/>
      <c r="B32" s="6" t="s">
        <v>408</v>
      </c>
      <c r="C32" s="6">
        <v>-1</v>
      </c>
      <c r="D32" s="6"/>
      <c r="E32" s="6"/>
    </row>
    <row r="33" spans="1:5" x14ac:dyDescent="0.3">
      <c r="A33" s="6"/>
      <c r="B33" s="6" t="s">
        <v>428</v>
      </c>
      <c r="C33" s="6">
        <v>-1</v>
      </c>
      <c r="D33" s="6"/>
      <c r="E33" s="6"/>
    </row>
    <row r="34" spans="1:5" x14ac:dyDescent="0.3">
      <c r="A34" s="6"/>
      <c r="B34" s="6" t="s">
        <v>384</v>
      </c>
      <c r="C34" s="6"/>
      <c r="D34" s="6">
        <v>-1</v>
      </c>
      <c r="E34" s="6"/>
    </row>
    <row r="35" spans="1:5" x14ac:dyDescent="0.3">
      <c r="A35" s="6"/>
      <c r="B35" s="6" t="s">
        <v>520</v>
      </c>
      <c r="C35" s="6"/>
      <c r="D35" s="6">
        <v>-1</v>
      </c>
      <c r="E35" s="6"/>
    </row>
    <row r="36" spans="1:5" x14ac:dyDescent="0.3">
      <c r="A36" s="6"/>
      <c r="B36" s="6" t="s">
        <v>332</v>
      </c>
      <c r="C36" s="6"/>
      <c r="D36" s="6">
        <v>-1</v>
      </c>
      <c r="E36" s="6"/>
    </row>
    <row r="37" spans="1:5" x14ac:dyDescent="0.3">
      <c r="A37" s="6"/>
      <c r="B37" s="6" t="s">
        <v>700</v>
      </c>
      <c r="C37" s="6"/>
      <c r="D37" s="6">
        <v>-1</v>
      </c>
      <c r="E37" s="6"/>
    </row>
    <row r="38" spans="1:5" x14ac:dyDescent="0.3">
      <c r="A38" s="6"/>
      <c r="B38" s="6" t="s">
        <v>412</v>
      </c>
      <c r="C38" s="6"/>
      <c r="D38" s="6">
        <v>-1</v>
      </c>
      <c r="E38" s="6"/>
    </row>
    <row r="39" spans="1:5" x14ac:dyDescent="0.3">
      <c r="A39" s="6" t="s">
        <v>2628</v>
      </c>
      <c r="B39" s="6" t="s">
        <v>356</v>
      </c>
      <c r="C39" s="6"/>
      <c r="D39" s="6">
        <v>6</v>
      </c>
      <c r="E39" s="6">
        <v>10</v>
      </c>
    </row>
    <row r="40" spans="1:5" x14ac:dyDescent="0.3">
      <c r="A40" s="6"/>
      <c r="B40" s="6" t="s">
        <v>384</v>
      </c>
      <c r="C40" s="6"/>
      <c r="D40" s="6">
        <v>-1</v>
      </c>
      <c r="E40" s="6"/>
    </row>
    <row r="41" spans="1:5" x14ac:dyDescent="0.3">
      <c r="A41" s="6"/>
      <c r="B41" s="6" t="s">
        <v>412</v>
      </c>
      <c r="C41" s="6"/>
      <c r="D41" s="6">
        <v>-1</v>
      </c>
      <c r="E41" s="6"/>
    </row>
    <row r="42" spans="1:5" x14ac:dyDescent="0.3">
      <c r="A42" s="6"/>
      <c r="B42" s="6" t="s">
        <v>428</v>
      </c>
      <c r="C42" s="6"/>
      <c r="D42" s="6">
        <v>-1</v>
      </c>
      <c r="E42" s="6"/>
    </row>
    <row r="43" spans="1:5" x14ac:dyDescent="0.3">
      <c r="A43" s="6"/>
      <c r="B43" s="6" t="s">
        <v>356</v>
      </c>
      <c r="C43" s="6"/>
      <c r="D43" s="6">
        <v>-1</v>
      </c>
      <c r="E43" s="6"/>
    </row>
    <row r="44" spans="1:5" x14ac:dyDescent="0.3">
      <c r="A44" s="6"/>
      <c r="B44" s="6" t="s">
        <v>332</v>
      </c>
      <c r="C44" s="6"/>
      <c r="D44" s="6">
        <v>-1</v>
      </c>
      <c r="E44" s="6"/>
    </row>
    <row r="45" spans="1:5" x14ac:dyDescent="0.3">
      <c r="A45" s="6"/>
      <c r="B45" s="6" t="s">
        <v>700</v>
      </c>
      <c r="C45" s="6"/>
      <c r="D45" s="6">
        <v>-1</v>
      </c>
      <c r="E45" s="6"/>
    </row>
    <row r="46" spans="1:5" x14ac:dyDescent="0.3">
      <c r="A46" s="6"/>
      <c r="B46" s="6" t="s">
        <v>328</v>
      </c>
      <c r="C46" s="6"/>
      <c r="D46" s="6">
        <v>-1</v>
      </c>
      <c r="E46" s="6"/>
    </row>
    <row r="47" spans="1:5" x14ac:dyDescent="0.3">
      <c r="A47" s="6"/>
      <c r="B47" s="6" t="s">
        <v>394</v>
      </c>
      <c r="C47" s="6"/>
      <c r="D47" s="6">
        <v>-1</v>
      </c>
      <c r="E47" s="6"/>
    </row>
    <row r="48" spans="1:5" x14ac:dyDescent="0.3">
      <c r="A48" s="6"/>
      <c r="B48" s="6" t="s">
        <v>700</v>
      </c>
      <c r="C48" s="6"/>
      <c r="D48" s="6">
        <v>-1</v>
      </c>
      <c r="E48" s="6"/>
    </row>
    <row r="49" spans="1:5" x14ac:dyDescent="0.3">
      <c r="A49" s="6"/>
      <c r="B49" s="6" t="s">
        <v>384</v>
      </c>
      <c r="C49" s="6"/>
      <c r="D49" s="6">
        <v>-1</v>
      </c>
      <c r="E49" s="6"/>
    </row>
    <row r="50" spans="1:5" x14ac:dyDescent="0.3">
      <c r="A50" s="6"/>
      <c r="B50" s="6" t="s">
        <v>344</v>
      </c>
      <c r="C50" s="6"/>
      <c r="D50" s="6">
        <v>-1</v>
      </c>
      <c r="E50" s="6"/>
    </row>
    <row r="51" spans="1:5" x14ac:dyDescent="0.3">
      <c r="A51" s="6"/>
      <c r="B51" s="6" t="s">
        <v>428</v>
      </c>
      <c r="C51" s="6"/>
      <c r="D51" s="6">
        <v>-1</v>
      </c>
      <c r="E51" s="6"/>
    </row>
    <row r="52" spans="1:5" x14ac:dyDescent="0.3">
      <c r="A52" s="6"/>
      <c r="B52" s="6" t="s">
        <v>328</v>
      </c>
      <c r="C52" s="6"/>
      <c r="D52" s="6">
        <v>-1</v>
      </c>
      <c r="E52" s="6"/>
    </row>
    <row r="53" spans="1:5" x14ac:dyDescent="0.3">
      <c r="A53" s="6"/>
      <c r="B53" s="6" t="s">
        <v>412</v>
      </c>
      <c r="C53" s="6"/>
      <c r="D53" s="6">
        <v>-1</v>
      </c>
      <c r="E53" s="6"/>
    </row>
    <row r="54" spans="1:5" x14ac:dyDescent="0.3">
      <c r="A54" s="6"/>
      <c r="B54" s="6" t="s">
        <v>406</v>
      </c>
      <c r="C54" s="6"/>
      <c r="D54" s="6">
        <v>-1</v>
      </c>
      <c r="E54" s="6"/>
    </row>
    <row r="55" spans="1:5" x14ac:dyDescent="0.3">
      <c r="A55" s="6" t="s">
        <v>2630</v>
      </c>
      <c r="B55" s="6" t="s">
        <v>356</v>
      </c>
      <c r="C55" s="6">
        <v>2</v>
      </c>
      <c r="D55" s="6">
        <v>4</v>
      </c>
      <c r="E55" s="6">
        <v>5</v>
      </c>
    </row>
    <row r="56" spans="1:5" x14ac:dyDescent="0.3">
      <c r="A56" s="6"/>
      <c r="B56" s="6" t="s">
        <v>344</v>
      </c>
      <c r="C56" s="6"/>
      <c r="D56" s="6">
        <v>-1</v>
      </c>
      <c r="E56" s="6"/>
    </row>
    <row r="57" spans="1:5" x14ac:dyDescent="0.3">
      <c r="A57" s="6"/>
      <c r="B57" s="6" t="s">
        <v>450</v>
      </c>
      <c r="C57" s="6"/>
      <c r="D57" s="6">
        <v>-1</v>
      </c>
      <c r="E57" s="6"/>
    </row>
    <row r="58" spans="1:5" x14ac:dyDescent="0.3">
      <c r="A58" s="6"/>
      <c r="B58" s="6" t="s">
        <v>394</v>
      </c>
      <c r="C58" s="6"/>
      <c r="D58" s="6">
        <v>-1</v>
      </c>
      <c r="E58" s="6"/>
    </row>
    <row r="59" spans="1:5" x14ac:dyDescent="0.3">
      <c r="A59" s="6"/>
      <c r="B59" s="6" t="s">
        <v>406</v>
      </c>
      <c r="C59" s="6"/>
      <c r="D59" s="6">
        <v>-1</v>
      </c>
      <c r="E59" s="6"/>
    </row>
    <row r="60" spans="1:5" x14ac:dyDescent="0.3">
      <c r="A60" s="6"/>
      <c r="B60" s="6" t="s">
        <v>674</v>
      </c>
      <c r="C60" s="6"/>
      <c r="D60" s="6">
        <v>-1</v>
      </c>
      <c r="E60" s="6"/>
    </row>
    <row r="61" spans="1:5" x14ac:dyDescent="0.3">
      <c r="A61" s="6"/>
      <c r="B61" s="6" t="s">
        <v>328</v>
      </c>
      <c r="C61" s="6"/>
      <c r="D61" s="6">
        <v>-1</v>
      </c>
      <c r="E61" s="6"/>
    </row>
    <row r="62" spans="1:5" x14ac:dyDescent="0.3">
      <c r="A62" s="6" t="s">
        <v>1421</v>
      </c>
      <c r="B62" s="6" t="s">
        <v>604</v>
      </c>
      <c r="C62" s="6">
        <v>29</v>
      </c>
      <c r="D62" s="6">
        <v>30</v>
      </c>
      <c r="E62" s="6">
        <v>22</v>
      </c>
    </row>
    <row r="63" spans="1:5" x14ac:dyDescent="0.3">
      <c r="A63" s="6" t="s">
        <v>4086</v>
      </c>
      <c r="B63" s="6" t="s">
        <v>428</v>
      </c>
      <c r="C63" s="6"/>
      <c r="D63" s="6">
        <v>29</v>
      </c>
      <c r="E63" s="6"/>
    </row>
    <row r="64" spans="1:5" x14ac:dyDescent="0.3">
      <c r="A64" s="6" t="s">
        <v>1916</v>
      </c>
      <c r="B64" s="6" t="s">
        <v>394</v>
      </c>
      <c r="C64" s="6"/>
      <c r="D64" s="6">
        <v>21</v>
      </c>
      <c r="E64" s="6">
        <v>33</v>
      </c>
    </row>
    <row r="65" spans="1:5" x14ac:dyDescent="0.3">
      <c r="A65" s="6"/>
      <c r="B65" s="6" t="s">
        <v>700</v>
      </c>
      <c r="C65" s="6"/>
      <c r="D65" s="6"/>
      <c r="E65" s="6">
        <v>-1</v>
      </c>
    </row>
    <row r="66" spans="1:5" x14ac:dyDescent="0.3">
      <c r="A66" s="6"/>
      <c r="B66" s="6" t="s">
        <v>384</v>
      </c>
      <c r="C66" s="6"/>
      <c r="D66" s="6"/>
      <c r="E66" s="6">
        <v>-1</v>
      </c>
    </row>
    <row r="67" spans="1:5" x14ac:dyDescent="0.3">
      <c r="A67" s="6"/>
      <c r="B67" s="6" t="s">
        <v>332</v>
      </c>
      <c r="C67" s="6"/>
      <c r="D67" s="6"/>
      <c r="E67" s="6">
        <v>-1</v>
      </c>
    </row>
    <row r="68" spans="1:5" x14ac:dyDescent="0.3">
      <c r="A68" s="6"/>
      <c r="B68" s="6" t="s">
        <v>700</v>
      </c>
      <c r="C68" s="6"/>
      <c r="D68" s="6"/>
      <c r="E68" s="6">
        <v>-1</v>
      </c>
    </row>
    <row r="69" spans="1:5" x14ac:dyDescent="0.3">
      <c r="A69" s="6"/>
      <c r="B69" s="6" t="s">
        <v>332</v>
      </c>
      <c r="C69" s="6"/>
      <c r="D69" s="6"/>
      <c r="E69" s="6">
        <v>-1</v>
      </c>
    </row>
    <row r="70" spans="1:5" x14ac:dyDescent="0.3">
      <c r="A70" s="6"/>
      <c r="B70" s="6" t="s">
        <v>520</v>
      </c>
      <c r="C70" s="6"/>
      <c r="D70" s="6"/>
      <c r="E70" s="6">
        <v>-1</v>
      </c>
    </row>
    <row r="71" spans="1:5" x14ac:dyDescent="0.3">
      <c r="A71" s="6"/>
      <c r="B71" s="6" t="s">
        <v>412</v>
      </c>
      <c r="C71" s="6"/>
      <c r="D71" s="6"/>
      <c r="E71" s="6">
        <v>-1</v>
      </c>
    </row>
    <row r="72" spans="1:5" x14ac:dyDescent="0.3">
      <c r="A72" s="6"/>
      <c r="B72" s="6" t="s">
        <v>394</v>
      </c>
      <c r="C72" s="6"/>
      <c r="D72" s="6"/>
      <c r="E72" s="6">
        <v>-1</v>
      </c>
    </row>
    <row r="73" spans="1:5" x14ac:dyDescent="0.3">
      <c r="A73" s="6"/>
      <c r="B73" s="6" t="s">
        <v>328</v>
      </c>
      <c r="C73" s="6"/>
      <c r="D73" s="6"/>
      <c r="E73" s="6">
        <v>-1</v>
      </c>
    </row>
    <row r="74" spans="1:5" x14ac:dyDescent="0.3">
      <c r="A74" s="6"/>
      <c r="B74" s="6" t="s">
        <v>356</v>
      </c>
      <c r="C74" s="6"/>
      <c r="D74" s="6"/>
      <c r="E74" s="6">
        <v>-1</v>
      </c>
    </row>
    <row r="75" spans="1:5" x14ac:dyDescent="0.3">
      <c r="A75" s="6"/>
      <c r="B75" s="6" t="s">
        <v>328</v>
      </c>
      <c r="C75" s="6"/>
      <c r="D75" s="6"/>
      <c r="E75" s="6">
        <v>-1</v>
      </c>
    </row>
    <row r="76" spans="1:5" x14ac:dyDescent="0.3">
      <c r="A76" s="6"/>
      <c r="B76" s="6" t="s">
        <v>412</v>
      </c>
      <c r="C76" s="6"/>
      <c r="D76" s="6"/>
      <c r="E76" s="6">
        <v>-1</v>
      </c>
    </row>
    <row r="77" spans="1:5" x14ac:dyDescent="0.3">
      <c r="A77" s="6"/>
      <c r="B77" s="6" t="s">
        <v>344</v>
      </c>
      <c r="C77" s="6"/>
      <c r="D77" s="6"/>
      <c r="E77" s="6">
        <v>-1</v>
      </c>
    </row>
    <row r="78" spans="1:5" x14ac:dyDescent="0.3">
      <c r="A78" s="6"/>
      <c r="B78" s="6" t="s">
        <v>428</v>
      </c>
      <c r="C78" s="6"/>
      <c r="D78" s="6"/>
      <c r="E78" s="6">
        <v>-1</v>
      </c>
    </row>
    <row r="79" spans="1:5" x14ac:dyDescent="0.3">
      <c r="A79" s="6"/>
      <c r="B79" s="6" t="s">
        <v>356</v>
      </c>
      <c r="C79" s="6"/>
      <c r="D79" s="6"/>
      <c r="E79" s="6">
        <v>-1</v>
      </c>
    </row>
    <row r="80" spans="1:5" x14ac:dyDescent="0.3">
      <c r="A80" s="6"/>
      <c r="B80" s="6" t="s">
        <v>442</v>
      </c>
      <c r="C80" s="6"/>
      <c r="D80" s="6"/>
      <c r="E80" s="6">
        <v>-1</v>
      </c>
    </row>
    <row r="81" spans="1:5" x14ac:dyDescent="0.3">
      <c r="A81" s="6"/>
      <c r="B81" s="6" t="s">
        <v>384</v>
      </c>
      <c r="C81" s="6"/>
      <c r="D81" s="6"/>
      <c r="E81" s="6">
        <v>-1</v>
      </c>
    </row>
    <row r="82" spans="1:5" x14ac:dyDescent="0.3">
      <c r="A82" s="6"/>
      <c r="B82" s="6" t="s">
        <v>700</v>
      </c>
      <c r="C82" s="6"/>
      <c r="D82" s="6"/>
      <c r="E82" s="6">
        <v>-1</v>
      </c>
    </row>
    <row r="83" spans="1:5" x14ac:dyDescent="0.3">
      <c r="A83" s="6"/>
      <c r="B83" s="6" t="s">
        <v>406</v>
      </c>
      <c r="C83" s="6"/>
      <c r="D83" s="6"/>
      <c r="E83" s="6">
        <v>-1</v>
      </c>
    </row>
    <row r="84" spans="1:5" x14ac:dyDescent="0.3">
      <c r="A84" s="6"/>
      <c r="B84" s="6" t="s">
        <v>328</v>
      </c>
      <c r="C84" s="6"/>
      <c r="D84" s="6"/>
      <c r="E84" s="6">
        <v>-1</v>
      </c>
    </row>
    <row r="85" spans="1:5" x14ac:dyDescent="0.3">
      <c r="A85" s="6"/>
      <c r="B85" s="6" t="s">
        <v>384</v>
      </c>
      <c r="C85" s="6"/>
      <c r="D85" s="6"/>
      <c r="E85" s="6">
        <v>-1</v>
      </c>
    </row>
    <row r="86" spans="1:5" x14ac:dyDescent="0.3">
      <c r="A86" s="6"/>
      <c r="B86" s="6" t="s">
        <v>450</v>
      </c>
      <c r="C86" s="6"/>
      <c r="D86" s="6"/>
      <c r="E86" s="6">
        <v>-1</v>
      </c>
    </row>
    <row r="87" spans="1:5" x14ac:dyDescent="0.3">
      <c r="A87" s="6"/>
      <c r="B87" s="6" t="s">
        <v>428</v>
      </c>
      <c r="C87" s="6"/>
      <c r="D87" s="6"/>
      <c r="E87" s="6">
        <v>-1</v>
      </c>
    </row>
    <row r="88" spans="1:5" x14ac:dyDescent="0.3">
      <c r="A88" s="6"/>
      <c r="B88" s="6" t="s">
        <v>332</v>
      </c>
      <c r="C88" s="6"/>
      <c r="D88" s="6"/>
      <c r="E88" s="6">
        <v>-1</v>
      </c>
    </row>
    <row r="89" spans="1:5" x14ac:dyDescent="0.3">
      <c r="A89" s="6"/>
      <c r="B89" s="6" t="s">
        <v>604</v>
      </c>
      <c r="C89" s="6"/>
      <c r="D89" s="6"/>
      <c r="E89" s="6">
        <v>-1</v>
      </c>
    </row>
    <row r="90" spans="1:5" x14ac:dyDescent="0.3">
      <c r="A90" s="6"/>
      <c r="B90" s="6" t="s">
        <v>412</v>
      </c>
      <c r="C90" s="6"/>
      <c r="D90" s="6"/>
      <c r="E90" s="6">
        <v>-1</v>
      </c>
    </row>
    <row r="91" spans="1:5" x14ac:dyDescent="0.3">
      <c r="A91" s="6"/>
      <c r="B91" s="6" t="s">
        <v>406</v>
      </c>
      <c r="C91" s="6"/>
      <c r="D91" s="6"/>
      <c r="E91" s="6">
        <v>-1</v>
      </c>
    </row>
    <row r="92" spans="1:5" x14ac:dyDescent="0.3">
      <c r="A92" s="6" t="s">
        <v>3773</v>
      </c>
      <c r="B92" s="6" t="s">
        <v>520</v>
      </c>
      <c r="C92" s="6"/>
      <c r="D92" s="6"/>
      <c r="E92" s="6">
        <v>19</v>
      </c>
    </row>
    <row r="93" spans="1:5" x14ac:dyDescent="0.3">
      <c r="A93" s="6"/>
      <c r="B93" s="6" t="s">
        <v>344</v>
      </c>
      <c r="C93" s="6"/>
      <c r="D93" s="6"/>
      <c r="E93" s="6">
        <v>-1</v>
      </c>
    </row>
    <row r="94" spans="1:5" x14ac:dyDescent="0.3">
      <c r="A94" s="6"/>
      <c r="B94" s="6" t="s">
        <v>428</v>
      </c>
      <c r="C94" s="6"/>
      <c r="D94" s="6"/>
      <c r="E94" s="6">
        <v>-1</v>
      </c>
    </row>
    <row r="95" spans="1:5" x14ac:dyDescent="0.3">
      <c r="A95" s="6" t="s">
        <v>3534</v>
      </c>
      <c r="B95" s="6" t="s">
        <v>450</v>
      </c>
      <c r="C95" s="6"/>
      <c r="D95" s="6"/>
      <c r="E95" s="6">
        <v>26</v>
      </c>
    </row>
    <row r="96" spans="1:5" x14ac:dyDescent="0.3">
      <c r="A96" s="6"/>
      <c r="B96" s="6" t="s">
        <v>592</v>
      </c>
      <c r="C96" s="6"/>
      <c r="D96" s="6"/>
      <c r="E96" s="6">
        <v>-1</v>
      </c>
    </row>
    <row r="97" spans="1:5" x14ac:dyDescent="0.3">
      <c r="A97" s="6"/>
      <c r="B97" s="6" t="s">
        <v>394</v>
      </c>
      <c r="C97" s="6"/>
      <c r="D97" s="6"/>
      <c r="E97" s="6">
        <v>-1</v>
      </c>
    </row>
    <row r="98" spans="1:5" x14ac:dyDescent="0.3">
      <c r="A98" s="6" t="s">
        <v>3260</v>
      </c>
      <c r="B98" s="6" t="s">
        <v>344</v>
      </c>
      <c r="C98" s="6">
        <v>15</v>
      </c>
      <c r="D98" s="6"/>
      <c r="E98" s="6"/>
    </row>
    <row r="99" spans="1:5" x14ac:dyDescent="0.3">
      <c r="A99" s="6" t="s">
        <v>4948</v>
      </c>
      <c r="B99" s="6" t="s">
        <v>428</v>
      </c>
      <c r="C99" s="6"/>
      <c r="D99" s="6"/>
      <c r="E99" s="6">
        <v>13</v>
      </c>
    </row>
  </sheetData>
  <pageMargins left="0.7" right="0.7" top="0.75" bottom="0.75" header="0.3" footer="0.3"/>
  <tableParts count="1">
    <tablePart r:id="rId1"/>
  </tableParts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7BCAF-39E6-4B45-A986-DAA291A4B4E1}">
  <dimension ref="A1:G29"/>
  <sheetViews>
    <sheetView topLeftCell="A22" workbookViewId="0">
      <selection activeCell="B30" sqref="B30"/>
    </sheetView>
  </sheetViews>
  <sheetFormatPr defaultRowHeight="14.4" x14ac:dyDescent="0.3"/>
  <cols>
    <col min="1" max="1" width="70" bestFit="1" customWidth="1"/>
    <col min="2" max="2" width="12.21875" bestFit="1" customWidth="1"/>
    <col min="3" max="3" width="31.21875" bestFit="1" customWidth="1"/>
    <col min="4" max="4" width="34.21875" bestFit="1" customWidth="1"/>
    <col min="5" max="5" width="31.33203125" bestFit="1" customWidth="1"/>
    <col min="6" max="6" width="17" bestFit="1" customWidth="1"/>
    <col min="7" max="7" width="14.77734375" bestFit="1" customWidth="1"/>
  </cols>
  <sheetData>
    <row r="1" spans="1:7" x14ac:dyDescent="0.3">
      <c r="A1" t="s">
        <v>834</v>
      </c>
      <c r="B1" t="s">
        <v>1</v>
      </c>
      <c r="C1" t="s">
        <v>1037</v>
      </c>
      <c r="D1" t="s">
        <v>1038</v>
      </c>
      <c r="E1" t="s">
        <v>1039</v>
      </c>
      <c r="F1" t="s">
        <v>1212</v>
      </c>
      <c r="G1" t="s">
        <v>1213</v>
      </c>
    </row>
    <row r="2" spans="1:7" x14ac:dyDescent="0.3">
      <c r="A2" s="6" t="s">
        <v>4729</v>
      </c>
      <c r="B2" s="6" t="s">
        <v>328</v>
      </c>
      <c r="C2" s="6">
        <v>5</v>
      </c>
      <c r="D2" s="6"/>
      <c r="E2" s="6"/>
      <c r="F2" s="6">
        <f>Table141[[#This Row],[Total Athletes]]-(LEN(Table141[[#This Row],[Team]])-LEN(SUBSTITUTE(Table141[[#This Row],[Team]],"/","")))-1</f>
        <v>4</v>
      </c>
      <c r="G2" s="6">
        <v>5</v>
      </c>
    </row>
    <row r="3" spans="1:7" x14ac:dyDescent="0.3">
      <c r="A3" s="6"/>
      <c r="B3" s="6" t="s">
        <v>700</v>
      </c>
      <c r="C3" s="6">
        <v>-1</v>
      </c>
      <c r="D3" s="6"/>
      <c r="E3" s="6"/>
      <c r="F3" s="6">
        <f>Table141[[#This Row],[Total Athletes]]-(LEN(Table141[[#This Row],[Team]])-LEN(SUBSTITUTE(Table141[[#This Row],[Team]],"/","")))-1</f>
        <v>-1</v>
      </c>
      <c r="G3" s="6"/>
    </row>
    <row r="4" spans="1:7" x14ac:dyDescent="0.3">
      <c r="A4" s="6" t="s">
        <v>3780</v>
      </c>
      <c r="B4" s="6" t="s">
        <v>412</v>
      </c>
      <c r="C4" s="6">
        <v>1</v>
      </c>
      <c r="D4" s="6"/>
      <c r="E4" s="6"/>
      <c r="F4" s="6">
        <f>Table141[[#This Row],[Total Athletes]]-(LEN(Table141[[#This Row],[Team]])-LEN(SUBSTITUTE(Table141[[#This Row],[Team]],"/","")))-1</f>
        <v>3</v>
      </c>
      <c r="G4" s="6">
        <v>5</v>
      </c>
    </row>
    <row r="5" spans="1:7" x14ac:dyDescent="0.3">
      <c r="A5" s="6" t="s">
        <v>2635</v>
      </c>
      <c r="B5" s="6" t="s">
        <v>356</v>
      </c>
      <c r="C5" s="6">
        <v>3</v>
      </c>
      <c r="D5" s="6"/>
      <c r="E5" s="6"/>
      <c r="F5" s="6">
        <f>Table141[[#This Row],[Total Athletes]]-(LEN(Table141[[#This Row],[Team]])-LEN(SUBSTITUTE(Table141[[#This Row],[Team]],"/","")))-1</f>
        <v>3</v>
      </c>
      <c r="G5" s="6">
        <v>4</v>
      </c>
    </row>
    <row r="6" spans="1:7" x14ac:dyDescent="0.3">
      <c r="A6" s="6"/>
      <c r="B6" s="6" t="s">
        <v>384</v>
      </c>
      <c r="C6" s="6">
        <v>-1</v>
      </c>
      <c r="D6" s="6"/>
      <c r="E6" s="6"/>
      <c r="F6" s="6">
        <f>Table141[[#This Row],[Total Athletes]]-(LEN(Table141[[#This Row],[Team]])-LEN(SUBSTITUTE(Table141[[#This Row],[Team]],"/","")))-1</f>
        <v>-1</v>
      </c>
      <c r="G6" s="6"/>
    </row>
    <row r="7" spans="1:7" x14ac:dyDescent="0.3">
      <c r="A7" s="6" t="s">
        <v>3345</v>
      </c>
      <c r="B7" s="6" t="s">
        <v>428</v>
      </c>
      <c r="C7" s="6">
        <v>7</v>
      </c>
      <c r="D7" s="6"/>
      <c r="E7" s="6"/>
      <c r="F7" s="6">
        <f>Table141[[#This Row],[Total Athletes]]-(LEN(Table141[[#This Row],[Team]])-LEN(SUBSTITUTE(Table141[[#This Row],[Team]],"/","")))-1</f>
        <v>2</v>
      </c>
      <c r="G7" s="6">
        <v>4</v>
      </c>
    </row>
    <row r="8" spans="1:7" x14ac:dyDescent="0.3">
      <c r="A8" s="6"/>
      <c r="B8" s="6" t="s">
        <v>520</v>
      </c>
      <c r="C8" s="6">
        <v>-1</v>
      </c>
      <c r="D8" s="6"/>
      <c r="E8" s="6"/>
      <c r="F8" s="6">
        <f>Table141[[#This Row],[Total Athletes]]-(LEN(Table141[[#This Row],[Team]])-LEN(SUBSTITUTE(Table141[[#This Row],[Team]],"/","")))-1</f>
        <v>-1</v>
      </c>
      <c r="G8" s="6"/>
    </row>
    <row r="9" spans="1:7" x14ac:dyDescent="0.3">
      <c r="A9" s="6" t="s">
        <v>3122</v>
      </c>
      <c r="B9" s="6" t="s">
        <v>406</v>
      </c>
      <c r="C9" s="6">
        <v>8</v>
      </c>
      <c r="D9" s="6"/>
      <c r="E9" s="6"/>
      <c r="F9" s="6">
        <f>Table141[[#This Row],[Total Athletes]]-(LEN(Table141[[#This Row],[Team]])-LEN(SUBSTITUTE(Table141[[#This Row],[Team]],"/","")))-1</f>
        <v>3</v>
      </c>
      <c r="G9" s="6">
        <v>4</v>
      </c>
    </row>
    <row r="10" spans="1:7" x14ac:dyDescent="0.3">
      <c r="A10" s="6"/>
      <c r="B10" s="6" t="s">
        <v>412</v>
      </c>
      <c r="C10" s="6"/>
      <c r="D10" s="6">
        <v>-1</v>
      </c>
      <c r="E10" s="6"/>
      <c r="F10" s="6">
        <f>Table141[[#This Row],[Total Athletes]]-(LEN(Table141[[#This Row],[Team]])-LEN(SUBSTITUTE(Table141[[#This Row],[Team]],"/","")))-1</f>
        <v>-1</v>
      </c>
      <c r="G10" s="6"/>
    </row>
    <row r="11" spans="1:7" x14ac:dyDescent="0.3">
      <c r="A11" s="6"/>
      <c r="B11" s="6" t="s">
        <v>700</v>
      </c>
      <c r="C11" s="6"/>
      <c r="D11" s="6">
        <v>-1</v>
      </c>
      <c r="E11" s="6"/>
      <c r="F11" s="6">
        <f>Table141[[#This Row],[Total Athletes]]-(LEN(Table141[[#This Row],[Team]])-LEN(SUBSTITUTE(Table141[[#This Row],[Team]],"/","")))-1</f>
        <v>-1</v>
      </c>
      <c r="G11" s="6"/>
    </row>
    <row r="12" spans="1:7" x14ac:dyDescent="0.3">
      <c r="A12" s="6"/>
      <c r="B12" s="6" t="s">
        <v>384</v>
      </c>
      <c r="C12" s="6"/>
      <c r="D12" s="6">
        <v>-1</v>
      </c>
      <c r="E12" s="6"/>
      <c r="F12" s="6">
        <f>Table141[[#This Row],[Total Athletes]]-(LEN(Table141[[#This Row],[Team]])-LEN(SUBSTITUTE(Table141[[#This Row],[Team]],"/","")))-1</f>
        <v>-1</v>
      </c>
      <c r="G12" s="6"/>
    </row>
    <row r="13" spans="1:7" x14ac:dyDescent="0.3">
      <c r="A13" s="6" t="s">
        <v>4329</v>
      </c>
      <c r="B13" s="6" t="s">
        <v>332</v>
      </c>
      <c r="C13" s="6"/>
      <c r="D13" s="6">
        <v>8</v>
      </c>
      <c r="E13" s="6"/>
      <c r="F13" s="6">
        <f>Table141[[#This Row],[Total Athletes]]-(LEN(Table141[[#This Row],[Team]])-LEN(SUBSTITUTE(Table141[[#This Row],[Team]],"/","")))-1</f>
        <v>3</v>
      </c>
      <c r="G13" s="6">
        <v>5</v>
      </c>
    </row>
    <row r="14" spans="1:7" x14ac:dyDescent="0.3">
      <c r="A14" s="6" t="s">
        <v>2631</v>
      </c>
      <c r="B14" s="6" t="s">
        <v>356</v>
      </c>
      <c r="C14" s="6"/>
      <c r="D14" s="6">
        <v>2</v>
      </c>
      <c r="E14" s="6"/>
      <c r="F14" s="6">
        <f>Table141[[#This Row],[Total Athletes]]-(LEN(Table141[[#This Row],[Team]])-LEN(SUBSTITUTE(Table141[[#This Row],[Team]],"/","")))-1</f>
        <v>2</v>
      </c>
      <c r="G14" s="6">
        <v>4</v>
      </c>
    </row>
    <row r="15" spans="1:7" x14ac:dyDescent="0.3">
      <c r="A15" s="6" t="s">
        <v>4949</v>
      </c>
      <c r="B15" s="6" t="s">
        <v>428</v>
      </c>
      <c r="C15" s="6"/>
      <c r="D15" s="6">
        <v>6</v>
      </c>
      <c r="E15" s="6"/>
      <c r="F15" s="6">
        <f>Table141[[#This Row],[Total Athletes]]-(LEN(Table141[[#This Row],[Team]])-LEN(SUBSTITUTE(Table141[[#This Row],[Team]],"/","")))-1</f>
        <v>3</v>
      </c>
      <c r="G15" s="6">
        <v>5</v>
      </c>
    </row>
    <row r="16" spans="1:7" x14ac:dyDescent="0.3">
      <c r="A16" s="6"/>
      <c r="B16" s="6" t="s">
        <v>328</v>
      </c>
      <c r="C16" s="6"/>
      <c r="D16" s="6">
        <v>-1</v>
      </c>
      <c r="E16" s="6"/>
      <c r="F16" s="6">
        <f>Table141[[#This Row],[Total Athletes]]-(LEN(Table141[[#This Row],[Team]])-LEN(SUBSTITUTE(Table141[[#This Row],[Team]],"/","")))-1</f>
        <v>-1</v>
      </c>
      <c r="G16" s="6"/>
    </row>
    <row r="17" spans="1:7" x14ac:dyDescent="0.3">
      <c r="A17" s="6" t="s">
        <v>3260</v>
      </c>
      <c r="B17" s="6" t="s">
        <v>344</v>
      </c>
      <c r="C17" s="6"/>
      <c r="D17" s="6">
        <v>7</v>
      </c>
      <c r="E17" s="6"/>
      <c r="F17" s="6">
        <f>Table141[[#This Row],[Total Athletes]]-(LEN(Table141[[#This Row],[Team]])-LEN(SUBSTITUTE(Table141[[#This Row],[Team]],"/","")))-1</f>
        <v>3</v>
      </c>
      <c r="G17" s="6">
        <v>4</v>
      </c>
    </row>
    <row r="18" spans="1:7" x14ac:dyDescent="0.3">
      <c r="A18" s="6"/>
      <c r="B18" s="6" t="s">
        <v>412</v>
      </c>
      <c r="C18" s="6"/>
      <c r="D18" s="6"/>
      <c r="E18" s="6">
        <v>-1</v>
      </c>
      <c r="F18" s="6">
        <f>Table141[[#This Row],[Total Athletes]]-(LEN(Table141[[#This Row],[Team]])-LEN(SUBSTITUTE(Table141[[#This Row],[Team]],"/","")))-1</f>
        <v>-1</v>
      </c>
      <c r="G18" s="6"/>
    </row>
    <row r="19" spans="1:7" x14ac:dyDescent="0.3">
      <c r="A19" s="6"/>
      <c r="B19" s="6" t="s">
        <v>700</v>
      </c>
      <c r="C19" s="6"/>
      <c r="D19" s="6"/>
      <c r="E19" s="6">
        <v>-1</v>
      </c>
      <c r="F19" s="6">
        <f>Table141[[#This Row],[Total Athletes]]-(LEN(Table141[[#This Row],[Team]])-LEN(SUBSTITUTE(Table141[[#This Row],[Team]],"/","")))-1</f>
        <v>-1</v>
      </c>
      <c r="G19" s="6"/>
    </row>
    <row r="20" spans="1:7" x14ac:dyDescent="0.3">
      <c r="A20" s="6"/>
      <c r="B20" s="6" t="s">
        <v>384</v>
      </c>
      <c r="C20" s="6"/>
      <c r="D20" s="6"/>
      <c r="E20" s="6">
        <v>-1</v>
      </c>
      <c r="F20" s="6">
        <f>Table141[[#This Row],[Total Athletes]]-(LEN(Table141[[#This Row],[Team]])-LEN(SUBSTITUTE(Table141[[#This Row],[Team]],"/","")))-1</f>
        <v>-1</v>
      </c>
      <c r="G20" s="6"/>
    </row>
    <row r="21" spans="1:7" x14ac:dyDescent="0.3">
      <c r="A21" s="6"/>
      <c r="B21" s="6" t="s">
        <v>328</v>
      </c>
      <c r="C21" s="6"/>
      <c r="D21" s="6"/>
      <c r="E21" s="6">
        <v>-1</v>
      </c>
      <c r="F21" s="6">
        <f>Table141[[#This Row],[Total Athletes]]-(LEN(Table141[[#This Row],[Team]])-LEN(SUBSTITUTE(Table141[[#This Row],[Team]],"/","")))-1</f>
        <v>-1</v>
      </c>
      <c r="G21" s="6"/>
    </row>
    <row r="22" spans="1:7" x14ac:dyDescent="0.3">
      <c r="A22" s="6" t="s">
        <v>4515</v>
      </c>
      <c r="B22" s="6" t="s">
        <v>332</v>
      </c>
      <c r="C22" s="6"/>
      <c r="D22" s="6"/>
      <c r="E22" s="6">
        <v>8</v>
      </c>
      <c r="F22" s="6">
        <f>Table141[[#This Row],[Total Athletes]]-(LEN(Table141[[#This Row],[Team]])-LEN(SUBSTITUTE(Table141[[#This Row],[Team]],"/","")))-1</f>
        <v>3</v>
      </c>
      <c r="G22" s="6">
        <v>5</v>
      </c>
    </row>
    <row r="23" spans="1:7" x14ac:dyDescent="0.3">
      <c r="A23" s="6" t="s">
        <v>2636</v>
      </c>
      <c r="B23" s="6" t="s">
        <v>356</v>
      </c>
      <c r="C23" s="6"/>
      <c r="D23" s="6"/>
      <c r="E23" s="6">
        <v>1</v>
      </c>
      <c r="F23" s="6">
        <f>Table141[[#This Row],[Total Athletes]]-(LEN(Table141[[#This Row],[Team]])-LEN(SUBSTITUTE(Table141[[#This Row],[Team]],"/","")))-1</f>
        <v>3</v>
      </c>
      <c r="G23" s="6">
        <v>6</v>
      </c>
    </row>
    <row r="24" spans="1:7" x14ac:dyDescent="0.3">
      <c r="A24" s="6" t="s">
        <v>1915</v>
      </c>
      <c r="B24" s="6" t="s">
        <v>394</v>
      </c>
      <c r="C24" s="6"/>
      <c r="D24" s="6"/>
      <c r="E24" s="6">
        <v>9</v>
      </c>
      <c r="F24" s="6">
        <f>Table141[[#This Row],[Total Athletes]]-(LEN(Table141[[#This Row],[Team]])-LEN(SUBSTITUTE(Table141[[#This Row],[Team]],"/","")))-1</f>
        <v>1</v>
      </c>
      <c r="G24" s="6">
        <v>4</v>
      </c>
    </row>
    <row r="25" spans="1:7" x14ac:dyDescent="0.3">
      <c r="A25" s="6" t="s">
        <v>3345</v>
      </c>
      <c r="B25" s="6" t="s">
        <v>428</v>
      </c>
      <c r="C25" s="6"/>
      <c r="D25" s="6"/>
      <c r="E25" s="6">
        <v>3001</v>
      </c>
      <c r="F25" s="6">
        <f>Table141[[#This Row],[Total Athletes]]-(LEN(Table141[[#This Row],[Team]])-LEN(SUBSTITUTE(Table141[[#This Row],[Team]],"/","")))-1</f>
        <v>2</v>
      </c>
      <c r="G25" s="6">
        <v>4</v>
      </c>
    </row>
    <row r="26" spans="1:7" x14ac:dyDescent="0.3">
      <c r="A26" s="6" t="s">
        <v>3773</v>
      </c>
      <c r="B26" s="6" t="s">
        <v>520</v>
      </c>
      <c r="C26" s="6"/>
      <c r="D26" s="6"/>
      <c r="E26" s="6">
        <v>3</v>
      </c>
      <c r="F26" s="6">
        <f>Table141[[#This Row],[Total Athletes]]-(LEN(Table141[[#This Row],[Team]])-LEN(SUBSTITUTE(Table141[[#This Row],[Team]],"/","")))-1</f>
        <v>3</v>
      </c>
      <c r="G26" s="6">
        <v>4</v>
      </c>
    </row>
    <row r="27" spans="1:7" x14ac:dyDescent="0.3">
      <c r="A27" s="6" t="s">
        <v>4104</v>
      </c>
      <c r="B27" s="6" t="s">
        <v>604</v>
      </c>
      <c r="C27" s="6"/>
      <c r="D27" s="6"/>
      <c r="E27" s="6">
        <v>11</v>
      </c>
      <c r="F27" s="6">
        <f>Table141[[#This Row],[Total Athletes]]-(LEN(Table141[[#This Row],[Team]])-LEN(SUBSTITUTE(Table141[[#This Row],[Team]],"/","")))-1</f>
        <v>2</v>
      </c>
      <c r="G27" s="6">
        <v>4</v>
      </c>
    </row>
    <row r="28" spans="1:7" x14ac:dyDescent="0.3">
      <c r="A28" s="6" t="s">
        <v>3286</v>
      </c>
      <c r="B28" s="6" t="s">
        <v>344</v>
      </c>
      <c r="C28" s="6"/>
      <c r="D28" s="6"/>
      <c r="E28" s="6">
        <v>7</v>
      </c>
      <c r="F28" s="6">
        <f>Table141[[#This Row],[Total Athletes]]-(LEN(Table141[[#This Row],[Team]])-LEN(SUBSTITUTE(Table141[[#This Row],[Team]],"/","")))-1</f>
        <v>3</v>
      </c>
      <c r="G28" s="6">
        <v>5</v>
      </c>
    </row>
    <row r="29" spans="1:7" x14ac:dyDescent="0.3">
      <c r="A29" s="6" t="s">
        <v>3122</v>
      </c>
      <c r="B29" s="6" t="s">
        <v>406</v>
      </c>
      <c r="C29" s="6"/>
      <c r="D29" s="6"/>
      <c r="E29" s="6">
        <v>10</v>
      </c>
      <c r="F29" s="6">
        <f>Table141[[#This Row],[Total Athletes]]-(LEN(Table141[[#This Row],[Team]])-LEN(SUBSTITUTE(Table141[[#This Row],[Team]],"/","")))-1</f>
        <v>3</v>
      </c>
      <c r="G29" s="6">
        <v>4</v>
      </c>
    </row>
  </sheetData>
  <pageMargins left="0.7" right="0.7" top="0.75" bottom="0.75" header="0.3" footer="0.3"/>
  <tableParts count="1">
    <tablePart r:id="rId1"/>
  </tableParts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85653-5FBD-4BEA-BA55-3950163C1642}">
  <dimension ref="A1:C26"/>
  <sheetViews>
    <sheetView topLeftCell="A16" workbookViewId="0">
      <selection activeCell="B27" sqref="B27"/>
    </sheetView>
  </sheetViews>
  <sheetFormatPr defaultRowHeight="14.4" x14ac:dyDescent="0.3"/>
  <cols>
    <col min="1" max="1" width="19.5546875" bestFit="1" customWidth="1"/>
    <col min="2" max="2" width="14.6640625" bestFit="1" customWidth="1"/>
    <col min="3" max="3" width="14.109375" bestFit="1" customWidth="1"/>
  </cols>
  <sheetData>
    <row r="1" spans="1:3" x14ac:dyDescent="0.3">
      <c r="A1" t="s">
        <v>832</v>
      </c>
      <c r="B1" t="s">
        <v>1</v>
      </c>
      <c r="C1" t="s">
        <v>899</v>
      </c>
    </row>
    <row r="2" spans="1:3" x14ac:dyDescent="0.3">
      <c r="A2" s="6" t="s">
        <v>4657</v>
      </c>
      <c r="B2" s="6" t="s">
        <v>334</v>
      </c>
      <c r="C2" s="6">
        <v>2</v>
      </c>
    </row>
    <row r="3" spans="1:3" x14ac:dyDescent="0.3">
      <c r="A3" s="6"/>
      <c r="B3" s="6" t="s">
        <v>334</v>
      </c>
      <c r="C3" s="6">
        <v>-1</v>
      </c>
    </row>
    <row r="4" spans="1:3" x14ac:dyDescent="0.3">
      <c r="A4" s="6"/>
      <c r="B4" s="6" t="s">
        <v>334</v>
      </c>
      <c r="C4" s="6">
        <v>-1</v>
      </c>
    </row>
    <row r="5" spans="1:3" x14ac:dyDescent="0.3">
      <c r="A5" s="6"/>
      <c r="B5" s="6" t="s">
        <v>328</v>
      </c>
      <c r="C5" s="6">
        <v>-1</v>
      </c>
    </row>
    <row r="6" spans="1:3" x14ac:dyDescent="0.3">
      <c r="A6" s="6"/>
      <c r="B6" s="6" t="s">
        <v>328</v>
      </c>
      <c r="C6" s="6">
        <v>-1</v>
      </c>
    </row>
    <row r="7" spans="1:3" x14ac:dyDescent="0.3">
      <c r="A7" s="6"/>
      <c r="B7" s="6" t="s">
        <v>328</v>
      </c>
      <c r="C7" s="6">
        <v>-1</v>
      </c>
    </row>
    <row r="8" spans="1:3" x14ac:dyDescent="0.3">
      <c r="A8" s="6"/>
      <c r="B8" s="6" t="s">
        <v>402</v>
      </c>
      <c r="C8" s="6">
        <v>-1</v>
      </c>
    </row>
    <row r="9" spans="1:3" x14ac:dyDescent="0.3">
      <c r="A9" s="6"/>
      <c r="B9" s="6" t="s">
        <v>402</v>
      </c>
      <c r="C9" s="6">
        <v>-1</v>
      </c>
    </row>
    <row r="10" spans="1:3" x14ac:dyDescent="0.3">
      <c r="A10" s="6"/>
      <c r="B10" s="6" t="s">
        <v>356</v>
      </c>
      <c r="C10" s="6">
        <v>-1</v>
      </c>
    </row>
    <row r="11" spans="1:3" x14ac:dyDescent="0.3">
      <c r="A11" s="6"/>
      <c r="B11" s="6" t="s">
        <v>356</v>
      </c>
      <c r="C11" s="6">
        <v>-1</v>
      </c>
    </row>
    <row r="12" spans="1:3" x14ac:dyDescent="0.3">
      <c r="A12" s="6"/>
      <c r="B12" s="6" t="s">
        <v>700</v>
      </c>
      <c r="C12" s="6">
        <v>-1</v>
      </c>
    </row>
    <row r="13" spans="1:3" x14ac:dyDescent="0.3">
      <c r="A13" s="6"/>
      <c r="B13" s="6" t="s">
        <v>700</v>
      </c>
      <c r="C13" s="6">
        <v>-1</v>
      </c>
    </row>
    <row r="14" spans="1:3" x14ac:dyDescent="0.3">
      <c r="A14" s="6"/>
      <c r="B14" s="6" t="s">
        <v>358</v>
      </c>
      <c r="C14" s="6">
        <v>-1</v>
      </c>
    </row>
    <row r="15" spans="1:3" x14ac:dyDescent="0.3">
      <c r="A15" s="6"/>
      <c r="B15" s="6" t="s">
        <v>358</v>
      </c>
      <c r="C15" s="6">
        <v>-1</v>
      </c>
    </row>
    <row r="16" spans="1:3" x14ac:dyDescent="0.3">
      <c r="A16" s="6" t="s">
        <v>4506</v>
      </c>
      <c r="B16" s="6" t="s">
        <v>332</v>
      </c>
      <c r="C16" s="6">
        <v>20</v>
      </c>
    </row>
    <row r="17" spans="1:3" x14ac:dyDescent="0.3">
      <c r="A17" s="6"/>
      <c r="B17" s="6" t="s">
        <v>332</v>
      </c>
      <c r="C17" s="6">
        <v>-1</v>
      </c>
    </row>
    <row r="18" spans="1:3" x14ac:dyDescent="0.3">
      <c r="A18" s="6" t="s">
        <v>2763</v>
      </c>
      <c r="B18" s="6" t="s">
        <v>384</v>
      </c>
      <c r="C18" s="6">
        <v>24</v>
      </c>
    </row>
    <row r="19" spans="1:3" x14ac:dyDescent="0.3">
      <c r="A19" s="6"/>
      <c r="B19" s="6" t="s">
        <v>726</v>
      </c>
      <c r="C19" s="6">
        <v>-1</v>
      </c>
    </row>
    <row r="20" spans="1:3" x14ac:dyDescent="0.3">
      <c r="A20" s="6"/>
      <c r="B20" s="6" t="s">
        <v>414</v>
      </c>
      <c r="C20" s="6">
        <v>-1</v>
      </c>
    </row>
    <row r="21" spans="1:3" x14ac:dyDescent="0.3">
      <c r="A21" s="6" t="s">
        <v>4359</v>
      </c>
      <c r="B21" s="6" t="s">
        <v>344</v>
      </c>
      <c r="C21" s="6">
        <v>19</v>
      </c>
    </row>
    <row r="22" spans="1:3" x14ac:dyDescent="0.3">
      <c r="A22" s="6" t="s">
        <v>1259</v>
      </c>
      <c r="B22" s="6" t="s">
        <v>354</v>
      </c>
      <c r="C22" s="6">
        <v>21</v>
      </c>
    </row>
    <row r="23" spans="1:3" x14ac:dyDescent="0.3">
      <c r="A23" s="6" t="s">
        <v>3489</v>
      </c>
      <c r="B23" s="6" t="s">
        <v>614</v>
      </c>
      <c r="C23" s="6">
        <v>18</v>
      </c>
    </row>
    <row r="24" spans="1:3" x14ac:dyDescent="0.3">
      <c r="A24" s="6"/>
      <c r="B24" s="6" t="s">
        <v>444</v>
      </c>
      <c r="C24" s="6">
        <v>-1</v>
      </c>
    </row>
    <row r="25" spans="1:3" x14ac:dyDescent="0.3">
      <c r="A25" s="6" t="s">
        <v>1835</v>
      </c>
      <c r="B25" s="6" t="s">
        <v>598</v>
      </c>
      <c r="C25" s="6">
        <v>22</v>
      </c>
    </row>
    <row r="26" spans="1:3" x14ac:dyDescent="0.3">
      <c r="A26" s="6"/>
      <c r="B26" s="6" t="s">
        <v>428</v>
      </c>
      <c r="C26" s="6">
        <v>-1</v>
      </c>
    </row>
  </sheetData>
  <pageMargins left="0.7" right="0.7" top="0.75" bottom="0.75" header="0.3" footer="0.3"/>
  <tableParts count="1">
    <tablePart r:id="rId1"/>
  </tableParts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69F0EE-D5CC-41F0-A6C2-EC5BFDBF33D6}">
  <dimension ref="A1:C26"/>
  <sheetViews>
    <sheetView topLeftCell="A19" workbookViewId="0">
      <selection activeCell="B27" sqref="B27"/>
    </sheetView>
  </sheetViews>
  <sheetFormatPr defaultRowHeight="14.4" x14ac:dyDescent="0.3"/>
  <cols>
    <col min="1" max="1" width="18.6640625" bestFit="1" customWidth="1"/>
    <col min="2" max="2" width="14" bestFit="1" customWidth="1"/>
    <col min="3" max="3" width="14.109375" bestFit="1" customWidth="1"/>
  </cols>
  <sheetData>
    <row r="1" spans="1:3" x14ac:dyDescent="0.3">
      <c r="A1" t="s">
        <v>832</v>
      </c>
      <c r="B1" t="s">
        <v>1</v>
      </c>
      <c r="C1" t="s">
        <v>899</v>
      </c>
    </row>
    <row r="2" spans="1:3" x14ac:dyDescent="0.3">
      <c r="A2" s="6" t="s">
        <v>4659</v>
      </c>
      <c r="B2" s="6" t="s">
        <v>334</v>
      </c>
      <c r="C2" s="6">
        <v>2</v>
      </c>
    </row>
    <row r="3" spans="1:3" x14ac:dyDescent="0.3">
      <c r="A3" s="6"/>
      <c r="B3" s="6" t="s">
        <v>334</v>
      </c>
      <c r="C3" s="6">
        <v>-1</v>
      </c>
    </row>
    <row r="4" spans="1:3" x14ac:dyDescent="0.3">
      <c r="A4" s="6"/>
      <c r="B4" s="6" t="s">
        <v>334</v>
      </c>
      <c r="C4" s="6">
        <v>-1</v>
      </c>
    </row>
    <row r="5" spans="1:3" x14ac:dyDescent="0.3">
      <c r="A5" s="6" t="s">
        <v>1514</v>
      </c>
      <c r="B5" s="6" t="s">
        <v>402</v>
      </c>
      <c r="C5" s="6">
        <v>5</v>
      </c>
    </row>
    <row r="6" spans="1:3" x14ac:dyDescent="0.3">
      <c r="A6" s="6" t="s">
        <v>2966</v>
      </c>
      <c r="B6" s="6" t="s">
        <v>402</v>
      </c>
      <c r="C6" s="6">
        <v>7</v>
      </c>
    </row>
    <row r="7" spans="1:3" x14ac:dyDescent="0.3">
      <c r="A7" s="6"/>
      <c r="B7" s="6" t="s">
        <v>402</v>
      </c>
      <c r="C7" s="6">
        <v>-1</v>
      </c>
    </row>
    <row r="8" spans="1:3" x14ac:dyDescent="0.3">
      <c r="A8" s="6" t="s">
        <v>1646</v>
      </c>
      <c r="B8" s="6" t="s">
        <v>332</v>
      </c>
      <c r="C8" s="6">
        <v>12</v>
      </c>
    </row>
    <row r="9" spans="1:3" x14ac:dyDescent="0.3">
      <c r="A9" s="6" t="s">
        <v>2052</v>
      </c>
      <c r="B9" s="6" t="s">
        <v>332</v>
      </c>
      <c r="C9" s="6">
        <v>15</v>
      </c>
    </row>
    <row r="10" spans="1:3" x14ac:dyDescent="0.3">
      <c r="A10" s="6"/>
      <c r="B10" s="6" t="s">
        <v>328</v>
      </c>
      <c r="C10" s="6">
        <v>-1</v>
      </c>
    </row>
    <row r="11" spans="1:3" x14ac:dyDescent="0.3">
      <c r="A11" s="6"/>
      <c r="B11" s="6" t="s">
        <v>328</v>
      </c>
      <c r="C11" s="6">
        <v>-1</v>
      </c>
    </row>
    <row r="12" spans="1:3" x14ac:dyDescent="0.3">
      <c r="A12" s="6"/>
      <c r="B12" s="6" t="s">
        <v>356</v>
      </c>
      <c r="C12" s="6">
        <v>-1</v>
      </c>
    </row>
    <row r="13" spans="1:3" x14ac:dyDescent="0.3">
      <c r="A13" s="6"/>
      <c r="B13" s="6" t="s">
        <v>356</v>
      </c>
      <c r="C13" s="6">
        <v>-1</v>
      </c>
    </row>
    <row r="14" spans="1:3" x14ac:dyDescent="0.3">
      <c r="A14" s="6" t="s">
        <v>2528</v>
      </c>
      <c r="B14" s="6" t="s">
        <v>384</v>
      </c>
      <c r="C14" s="6">
        <v>18</v>
      </c>
    </row>
    <row r="15" spans="1:3" x14ac:dyDescent="0.3">
      <c r="A15" s="6"/>
      <c r="B15" s="6" t="s">
        <v>384</v>
      </c>
      <c r="C15" s="6">
        <v>-1</v>
      </c>
    </row>
    <row r="16" spans="1:3" x14ac:dyDescent="0.3">
      <c r="A16" s="6"/>
      <c r="B16" s="6" t="s">
        <v>520</v>
      </c>
      <c r="C16" s="6">
        <v>-1</v>
      </c>
    </row>
    <row r="17" spans="1:3" x14ac:dyDescent="0.3">
      <c r="A17" s="6"/>
      <c r="B17" s="6" t="s">
        <v>442</v>
      </c>
      <c r="C17" s="6">
        <v>-1</v>
      </c>
    </row>
    <row r="18" spans="1:3" x14ac:dyDescent="0.3">
      <c r="A18" s="6"/>
      <c r="B18" s="6" t="s">
        <v>358</v>
      </c>
      <c r="C18" s="6">
        <v>-1</v>
      </c>
    </row>
    <row r="19" spans="1:3" x14ac:dyDescent="0.3">
      <c r="A19" s="6"/>
      <c r="B19" s="6" t="s">
        <v>412</v>
      </c>
      <c r="C19" s="6">
        <v>-1</v>
      </c>
    </row>
    <row r="20" spans="1:3" x14ac:dyDescent="0.3">
      <c r="A20" s="6" t="s">
        <v>4120</v>
      </c>
      <c r="B20" s="6" t="s">
        <v>336</v>
      </c>
      <c r="C20" s="6">
        <v>11</v>
      </c>
    </row>
    <row r="21" spans="1:3" x14ac:dyDescent="0.3">
      <c r="A21" s="6"/>
      <c r="B21" s="6" t="s">
        <v>700</v>
      </c>
      <c r="C21" s="6">
        <v>-1</v>
      </c>
    </row>
    <row r="22" spans="1:3" x14ac:dyDescent="0.3">
      <c r="A22" s="6"/>
      <c r="B22" s="6" t="s">
        <v>614</v>
      </c>
      <c r="C22" s="6">
        <v>-1</v>
      </c>
    </row>
    <row r="23" spans="1:3" x14ac:dyDescent="0.3">
      <c r="A23" s="6"/>
      <c r="B23" s="6" t="s">
        <v>572</v>
      </c>
      <c r="C23" s="6">
        <v>-1</v>
      </c>
    </row>
    <row r="24" spans="1:3" x14ac:dyDescent="0.3">
      <c r="A24" s="6"/>
      <c r="B24" s="6" t="s">
        <v>422</v>
      </c>
      <c r="C24" s="6">
        <v>-1</v>
      </c>
    </row>
    <row r="25" spans="1:3" x14ac:dyDescent="0.3">
      <c r="A25" s="6"/>
      <c r="B25" s="6" t="s">
        <v>398</v>
      </c>
      <c r="C25" s="6">
        <v>-1</v>
      </c>
    </row>
    <row r="26" spans="1:3" x14ac:dyDescent="0.3">
      <c r="A26" s="6"/>
      <c r="B26" s="6" t="s">
        <v>414</v>
      </c>
      <c r="C26" s="6">
        <v>-1</v>
      </c>
    </row>
  </sheetData>
  <pageMargins left="0.7" right="0.7" top="0.75" bottom="0.75" header="0.3" footer="0.3"/>
  <tableParts count="1">
    <tablePart r:id="rId1"/>
  </tableParts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6E99A-3104-4A2E-8F27-F1A924B21638}">
  <dimension ref="A1:E14"/>
  <sheetViews>
    <sheetView topLeftCell="A7" workbookViewId="0">
      <selection activeCell="B15" sqref="B15"/>
    </sheetView>
  </sheetViews>
  <sheetFormatPr defaultRowHeight="14.4" x14ac:dyDescent="0.3"/>
  <cols>
    <col min="1" max="1" width="24.44140625" bestFit="1" customWidth="1"/>
    <col min="2" max="2" width="12.21875" bestFit="1" customWidth="1"/>
    <col min="3" max="3" width="25.21875" bestFit="1" customWidth="1"/>
    <col min="4" max="4" width="17" bestFit="1" customWidth="1"/>
    <col min="5" max="5" width="14.77734375" bestFit="1" customWidth="1"/>
  </cols>
  <sheetData>
    <row r="1" spans="1:5" x14ac:dyDescent="0.3">
      <c r="A1" t="s">
        <v>833</v>
      </c>
      <c r="B1" t="s">
        <v>1</v>
      </c>
      <c r="C1" t="s">
        <v>4546</v>
      </c>
      <c r="D1" t="s">
        <v>1212</v>
      </c>
      <c r="E1" t="s">
        <v>1213</v>
      </c>
    </row>
    <row r="2" spans="1:5" x14ac:dyDescent="0.3">
      <c r="A2" s="6"/>
      <c r="B2" s="6" t="s">
        <v>358</v>
      </c>
      <c r="C2" s="6">
        <v>-1</v>
      </c>
      <c r="D2" s="6">
        <f>Tabela15[[#This Row],[Total Athletes]]-(LEN(Tabela15[[#This Row],[Pair]])-LEN(SUBSTITUTE(Tabela15[[#This Row],[Pair]],"/","")))-1</f>
        <v>-1</v>
      </c>
      <c r="E2" s="6"/>
    </row>
    <row r="3" spans="1:5" x14ac:dyDescent="0.3">
      <c r="A3" s="6" t="s">
        <v>2764</v>
      </c>
      <c r="B3" s="6" t="s">
        <v>384</v>
      </c>
      <c r="C3" s="6">
        <v>15</v>
      </c>
      <c r="D3" s="6">
        <f>Tabela15[[#This Row],[Total Athletes]]-(LEN(Tabela15[[#This Row],[Pair]])-LEN(SUBSTITUTE(Tabela15[[#This Row],[Pair]],"/","")))-1</f>
        <v>0</v>
      </c>
      <c r="E3" s="6">
        <v>2</v>
      </c>
    </row>
    <row r="4" spans="1:5" x14ac:dyDescent="0.3">
      <c r="A4" s="6"/>
      <c r="B4" s="6" t="s">
        <v>328</v>
      </c>
      <c r="C4" s="6">
        <v>-1</v>
      </c>
      <c r="D4" s="6">
        <f>Tabela15[[#This Row],[Total Athletes]]-(LEN(Tabela15[[#This Row],[Pair]])-LEN(SUBSTITUTE(Tabela15[[#This Row],[Pair]],"/","")))-1</f>
        <v>-1</v>
      </c>
      <c r="E4" s="6"/>
    </row>
    <row r="5" spans="1:5" x14ac:dyDescent="0.3">
      <c r="A5" s="6"/>
      <c r="B5" s="6" t="s">
        <v>328</v>
      </c>
      <c r="C5" s="6">
        <v>-1</v>
      </c>
      <c r="D5" s="6">
        <f>Tabela15[[#This Row],[Total Athletes]]-(LEN(Tabela15[[#This Row],[Pair]])-LEN(SUBSTITUTE(Tabela15[[#This Row],[Pair]],"/","")))-1</f>
        <v>-1</v>
      </c>
      <c r="E5" s="6"/>
    </row>
    <row r="6" spans="1:5" x14ac:dyDescent="0.3">
      <c r="A6" s="6"/>
      <c r="B6" s="6" t="s">
        <v>414</v>
      </c>
      <c r="C6" s="6">
        <v>-1</v>
      </c>
      <c r="D6" s="6">
        <f>Tabela15[[#This Row],[Total Athletes]]-(LEN(Tabela15[[#This Row],[Pair]])-LEN(SUBSTITUTE(Tabela15[[#This Row],[Pair]],"/","")))-1</f>
        <v>-1</v>
      </c>
      <c r="E6" s="6"/>
    </row>
    <row r="7" spans="1:5" x14ac:dyDescent="0.3">
      <c r="A7" s="6" t="s">
        <v>4660</v>
      </c>
      <c r="B7" s="6" t="s">
        <v>334</v>
      </c>
      <c r="C7" s="6">
        <v>2</v>
      </c>
      <c r="D7" s="6">
        <f>Tabela15[[#This Row],[Total Athletes]]-(LEN(Tabela15[[#This Row],[Pair]])-LEN(SUBSTITUTE(Tabela15[[#This Row],[Pair]],"/","")))-1</f>
        <v>0</v>
      </c>
      <c r="E7" s="6">
        <v>2</v>
      </c>
    </row>
    <row r="8" spans="1:5" x14ac:dyDescent="0.3">
      <c r="A8" s="6"/>
      <c r="B8" s="6" t="s">
        <v>334</v>
      </c>
      <c r="C8" s="6">
        <v>-1</v>
      </c>
      <c r="D8" s="6">
        <f>Tabela15[[#This Row],[Total Athletes]]-(LEN(Tabela15[[#This Row],[Pair]])-LEN(SUBSTITUTE(Tabela15[[#This Row],[Pair]],"/","")))-1</f>
        <v>-1</v>
      </c>
      <c r="E8" s="6"/>
    </row>
    <row r="9" spans="1:5" x14ac:dyDescent="0.3">
      <c r="A9" s="6" t="s">
        <v>1514</v>
      </c>
      <c r="B9" s="6" t="s">
        <v>402</v>
      </c>
      <c r="C9" s="6">
        <v>1</v>
      </c>
      <c r="D9" s="6">
        <f>Tabela15[[#This Row],[Total Athletes]]-(LEN(Tabela15[[#This Row],[Pair]])-LEN(SUBSTITUTE(Tabela15[[#This Row],[Pair]],"/","")))-1</f>
        <v>1</v>
      </c>
      <c r="E9" s="6">
        <v>2</v>
      </c>
    </row>
    <row r="10" spans="1:5" x14ac:dyDescent="0.3">
      <c r="A10" s="6" t="s">
        <v>2966</v>
      </c>
      <c r="B10" s="6" t="s">
        <v>402</v>
      </c>
      <c r="C10" s="6">
        <v>4</v>
      </c>
      <c r="D10" s="6">
        <f>Tabela15[[#This Row],[Total Athletes]]-(LEN(Tabela15[[#This Row],[Pair]])-LEN(SUBSTITUTE(Tabela15[[#This Row],[Pair]],"/","")))-1</f>
        <v>1</v>
      </c>
      <c r="E10" s="6">
        <v>2</v>
      </c>
    </row>
    <row r="11" spans="1:5" x14ac:dyDescent="0.3">
      <c r="A11" s="6" t="s">
        <v>3489</v>
      </c>
      <c r="B11" s="6" t="s">
        <v>614</v>
      </c>
      <c r="C11" s="6">
        <v>13</v>
      </c>
      <c r="D11" s="6">
        <f>Tabela15[[#This Row],[Total Athletes]]-(LEN(Tabela15[[#This Row],[Pair]])-LEN(SUBSTITUTE(Tabela15[[#This Row],[Pair]],"/","")))-1</f>
        <v>1</v>
      </c>
      <c r="E11" s="6">
        <v>2</v>
      </c>
    </row>
    <row r="12" spans="1:5" x14ac:dyDescent="0.3">
      <c r="A12" s="6"/>
      <c r="B12" s="6" t="s">
        <v>700</v>
      </c>
      <c r="C12" s="6">
        <v>-1</v>
      </c>
      <c r="D12" s="6">
        <f>Tabela15[[#This Row],[Total Athletes]]-(LEN(Tabela15[[#This Row],[Pair]])-LEN(SUBSTITUTE(Tabela15[[#This Row],[Pair]],"/","")))-1</f>
        <v>-1</v>
      </c>
      <c r="E12" s="6"/>
    </row>
    <row r="13" spans="1:5" x14ac:dyDescent="0.3">
      <c r="A13" s="6" t="s">
        <v>4507</v>
      </c>
      <c r="B13" s="6" t="s">
        <v>332</v>
      </c>
      <c r="C13" s="6">
        <v>10</v>
      </c>
      <c r="D13" s="6">
        <f>Tabela15[[#This Row],[Total Athletes]]-(LEN(Tabela15[[#This Row],[Pair]])-LEN(SUBSTITUTE(Tabela15[[#This Row],[Pair]],"/","")))-1</f>
        <v>0</v>
      </c>
      <c r="E13" s="6">
        <v>2</v>
      </c>
    </row>
    <row r="14" spans="1:5" x14ac:dyDescent="0.3">
      <c r="A14" s="6" t="s">
        <v>2052</v>
      </c>
      <c r="B14" s="6" t="s">
        <v>332</v>
      </c>
      <c r="C14" s="6">
        <v>7</v>
      </c>
      <c r="D14" s="6">
        <f>Tabela15[[#This Row],[Total Athletes]]-(LEN(Tabela15[[#This Row],[Pair]])-LEN(SUBSTITUTE(Tabela15[[#This Row],[Pair]],"/","")))-1</f>
        <v>1</v>
      </c>
      <c r="E14" s="6">
        <v>2</v>
      </c>
    </row>
  </sheetData>
  <pageMargins left="0.7" right="0.7" top="0.75" bottom="0.75" header="0.3" footer="0.3"/>
  <tableParts count="1">
    <tablePart r:id="rId1"/>
  </tableParts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B2C2CA-4307-4F6B-981F-A914567F51B1}">
  <dimension ref="A1:D51"/>
  <sheetViews>
    <sheetView topLeftCell="A46" workbookViewId="0">
      <selection activeCell="B52" sqref="B52"/>
    </sheetView>
  </sheetViews>
  <sheetFormatPr defaultRowHeight="14.4" x14ac:dyDescent="0.3"/>
  <cols>
    <col min="1" max="1" width="21" bestFit="1" customWidth="1"/>
    <col min="2" max="2" width="13.6640625" bestFit="1" customWidth="1"/>
    <col min="3" max="3" width="22.33203125" bestFit="1" customWidth="1"/>
    <col min="4" max="4" width="24.109375" bestFit="1" customWidth="1"/>
  </cols>
  <sheetData>
    <row r="1" spans="1:4" x14ac:dyDescent="0.3">
      <c r="A1" t="s">
        <v>832</v>
      </c>
      <c r="B1" t="s">
        <v>1</v>
      </c>
      <c r="C1" t="s">
        <v>1033</v>
      </c>
      <c r="D1" t="s">
        <v>1034</v>
      </c>
    </row>
    <row r="2" spans="1:4" x14ac:dyDescent="0.3">
      <c r="A2" s="6" t="s">
        <v>4567</v>
      </c>
      <c r="B2" s="6" t="s">
        <v>358</v>
      </c>
      <c r="C2" s="6">
        <v>3001</v>
      </c>
      <c r="D2" s="6">
        <v>15</v>
      </c>
    </row>
    <row r="3" spans="1:4" x14ac:dyDescent="0.3">
      <c r="A3" s="6"/>
      <c r="B3" s="6" t="s">
        <v>358</v>
      </c>
      <c r="C3" s="6">
        <v>-1</v>
      </c>
      <c r="D3" s="6">
        <v>-1</v>
      </c>
    </row>
    <row r="4" spans="1:4" x14ac:dyDescent="0.3">
      <c r="A4" s="6"/>
      <c r="B4" s="6" t="s">
        <v>358</v>
      </c>
      <c r="C4" s="6">
        <v>-1</v>
      </c>
      <c r="D4" s="6">
        <v>-1</v>
      </c>
    </row>
    <row r="5" spans="1:4" x14ac:dyDescent="0.3">
      <c r="A5" s="6"/>
      <c r="B5" s="6" t="s">
        <v>358</v>
      </c>
      <c r="C5" s="6">
        <v>-1</v>
      </c>
      <c r="D5" s="6">
        <v>-1</v>
      </c>
    </row>
    <row r="6" spans="1:4" x14ac:dyDescent="0.3">
      <c r="A6" s="6" t="s">
        <v>4369</v>
      </c>
      <c r="B6" s="6" t="s">
        <v>370</v>
      </c>
      <c r="C6" s="6">
        <v>10</v>
      </c>
      <c r="D6" s="6">
        <v>32</v>
      </c>
    </row>
    <row r="7" spans="1:4" x14ac:dyDescent="0.3">
      <c r="A7" s="6"/>
      <c r="B7" s="6" t="s">
        <v>384</v>
      </c>
      <c r="C7" s="6">
        <v>-1</v>
      </c>
      <c r="D7" s="6">
        <v>-1</v>
      </c>
    </row>
    <row r="8" spans="1:4" x14ac:dyDescent="0.3">
      <c r="A8" s="6"/>
      <c r="B8" s="6" t="s">
        <v>328</v>
      </c>
      <c r="C8" s="6">
        <v>-1</v>
      </c>
      <c r="D8" s="6">
        <v>-1</v>
      </c>
    </row>
    <row r="9" spans="1:4" x14ac:dyDescent="0.3">
      <c r="A9" s="6" t="s">
        <v>3600</v>
      </c>
      <c r="B9" s="6" t="s">
        <v>442</v>
      </c>
      <c r="C9" s="6">
        <v>42</v>
      </c>
      <c r="D9" s="6">
        <v>40</v>
      </c>
    </row>
    <row r="10" spans="1:4" x14ac:dyDescent="0.3">
      <c r="A10" s="6"/>
      <c r="B10" s="6" t="s">
        <v>572</v>
      </c>
      <c r="C10" s="6">
        <v>-1</v>
      </c>
      <c r="D10" s="6">
        <v>-1</v>
      </c>
    </row>
    <row r="11" spans="1:4" x14ac:dyDescent="0.3">
      <c r="A11" s="6"/>
      <c r="B11" s="6" t="s">
        <v>572</v>
      </c>
      <c r="C11" s="6">
        <v>-1</v>
      </c>
      <c r="D11" s="6">
        <v>-1</v>
      </c>
    </row>
    <row r="12" spans="1:4" x14ac:dyDescent="0.3">
      <c r="A12" s="6" t="s">
        <v>1889</v>
      </c>
      <c r="B12" s="6" t="s">
        <v>372</v>
      </c>
      <c r="C12" s="6">
        <v>11</v>
      </c>
      <c r="D12" s="6">
        <v>25</v>
      </c>
    </row>
    <row r="13" spans="1:4" x14ac:dyDescent="0.3">
      <c r="A13" s="6"/>
      <c r="B13" s="6" t="s">
        <v>372</v>
      </c>
      <c r="C13" s="6">
        <v>-1</v>
      </c>
      <c r="D13" s="6">
        <v>-1</v>
      </c>
    </row>
    <row r="14" spans="1:4" x14ac:dyDescent="0.3">
      <c r="A14" s="6"/>
      <c r="B14" s="6" t="s">
        <v>372</v>
      </c>
      <c r="C14" s="6">
        <v>-1</v>
      </c>
      <c r="D14" s="6">
        <v>-1</v>
      </c>
    </row>
    <row r="15" spans="1:4" x14ac:dyDescent="0.3">
      <c r="A15" s="6" t="s">
        <v>3853</v>
      </c>
      <c r="B15" s="6" t="s">
        <v>344</v>
      </c>
      <c r="C15" s="6">
        <v>17</v>
      </c>
      <c r="D15" s="6">
        <v>5</v>
      </c>
    </row>
    <row r="16" spans="1:4" x14ac:dyDescent="0.3">
      <c r="A16" s="6"/>
      <c r="B16" s="6" t="s">
        <v>344</v>
      </c>
      <c r="C16" s="6">
        <v>-1</v>
      </c>
      <c r="D16" s="6">
        <v>-1</v>
      </c>
    </row>
    <row r="17" spans="1:4" x14ac:dyDescent="0.3">
      <c r="A17" s="6"/>
      <c r="B17" s="6" t="s">
        <v>344</v>
      </c>
      <c r="C17" s="6">
        <v>-1</v>
      </c>
      <c r="D17" s="6">
        <v>-1</v>
      </c>
    </row>
    <row r="18" spans="1:4" x14ac:dyDescent="0.3">
      <c r="A18" s="6"/>
      <c r="B18" s="6" t="s">
        <v>334</v>
      </c>
      <c r="C18" s="6">
        <v>-1</v>
      </c>
      <c r="D18" s="6">
        <v>-1</v>
      </c>
    </row>
    <row r="19" spans="1:4" x14ac:dyDescent="0.3">
      <c r="A19" s="6"/>
      <c r="B19" s="6" t="s">
        <v>334</v>
      </c>
      <c r="C19" s="6">
        <v>-1</v>
      </c>
      <c r="D19" s="6">
        <v>-1</v>
      </c>
    </row>
    <row r="20" spans="1:4" x14ac:dyDescent="0.3">
      <c r="A20" s="6"/>
      <c r="B20" s="6" t="s">
        <v>334</v>
      </c>
      <c r="C20" s="6">
        <v>-1</v>
      </c>
      <c r="D20" s="6">
        <v>-1</v>
      </c>
    </row>
    <row r="21" spans="1:4" x14ac:dyDescent="0.3">
      <c r="A21" s="6"/>
      <c r="B21" s="6" t="s">
        <v>334</v>
      </c>
      <c r="C21" s="6">
        <v>-1</v>
      </c>
      <c r="D21" s="6">
        <v>-1</v>
      </c>
    </row>
    <row r="22" spans="1:4" x14ac:dyDescent="0.3">
      <c r="A22" s="6" t="s">
        <v>2279</v>
      </c>
      <c r="B22" s="6" t="s">
        <v>356</v>
      </c>
      <c r="C22" s="6">
        <v>35</v>
      </c>
      <c r="D22" s="6">
        <v>37</v>
      </c>
    </row>
    <row r="23" spans="1:4" x14ac:dyDescent="0.3">
      <c r="A23" s="6" t="s">
        <v>4958</v>
      </c>
      <c r="B23" s="6" t="s">
        <v>356</v>
      </c>
      <c r="C23" s="6">
        <v>47</v>
      </c>
      <c r="D23" s="6">
        <v>41</v>
      </c>
    </row>
    <row r="24" spans="1:4" x14ac:dyDescent="0.3">
      <c r="A24" s="6"/>
      <c r="B24" s="6" t="s">
        <v>356</v>
      </c>
      <c r="C24" s="6">
        <v>-1</v>
      </c>
      <c r="D24" s="6">
        <v>-1</v>
      </c>
    </row>
    <row r="25" spans="1:4" x14ac:dyDescent="0.3">
      <c r="A25" s="6" t="s">
        <v>1295</v>
      </c>
      <c r="B25" s="6" t="s">
        <v>428</v>
      </c>
      <c r="C25" s="6">
        <v>16</v>
      </c>
      <c r="D25" s="6">
        <v>15</v>
      </c>
    </row>
    <row r="26" spans="1:4" x14ac:dyDescent="0.3">
      <c r="A26" s="6" t="s">
        <v>1296</v>
      </c>
      <c r="B26" s="6" t="s">
        <v>428</v>
      </c>
      <c r="C26" s="6">
        <v>2</v>
      </c>
      <c r="D26" s="6">
        <v>3</v>
      </c>
    </row>
    <row r="27" spans="1:4" x14ac:dyDescent="0.3">
      <c r="A27" s="6"/>
      <c r="B27" s="6" t="s">
        <v>428</v>
      </c>
      <c r="C27" s="6">
        <v>-1</v>
      </c>
      <c r="D27" s="6">
        <v>-1</v>
      </c>
    </row>
    <row r="28" spans="1:4" x14ac:dyDescent="0.3">
      <c r="A28" s="6"/>
      <c r="B28" s="6" t="s">
        <v>604</v>
      </c>
      <c r="C28" s="6">
        <v>-1</v>
      </c>
      <c r="D28" s="6">
        <v>-1</v>
      </c>
    </row>
    <row r="29" spans="1:4" x14ac:dyDescent="0.3">
      <c r="A29" s="6"/>
      <c r="B29" s="6" t="s">
        <v>604</v>
      </c>
      <c r="C29" s="6">
        <v>-1</v>
      </c>
      <c r="D29" s="6">
        <v>-1</v>
      </c>
    </row>
    <row r="30" spans="1:4" x14ac:dyDescent="0.3">
      <c r="A30" s="6"/>
      <c r="B30" s="6" t="s">
        <v>364</v>
      </c>
      <c r="C30" s="6">
        <v>-1</v>
      </c>
      <c r="D30" s="6">
        <v>-1</v>
      </c>
    </row>
    <row r="31" spans="1:4" x14ac:dyDescent="0.3">
      <c r="A31" s="6"/>
      <c r="B31" s="6" t="s">
        <v>364</v>
      </c>
      <c r="C31" s="6">
        <v>-1</v>
      </c>
      <c r="D31" s="6">
        <v>-1</v>
      </c>
    </row>
    <row r="32" spans="1:4" x14ac:dyDescent="0.3">
      <c r="A32" s="6"/>
      <c r="B32" s="6" t="s">
        <v>364</v>
      </c>
      <c r="C32" s="6">
        <v>-1</v>
      </c>
      <c r="D32" s="6">
        <v>-1</v>
      </c>
    </row>
    <row r="33" spans="1:4" x14ac:dyDescent="0.3">
      <c r="A33" s="6"/>
      <c r="B33" s="6" t="s">
        <v>394</v>
      </c>
      <c r="C33" s="6">
        <v>-1</v>
      </c>
      <c r="D33" s="6">
        <v>-1</v>
      </c>
    </row>
    <row r="34" spans="1:4" x14ac:dyDescent="0.3">
      <c r="A34" s="6"/>
      <c r="B34" s="6" t="s">
        <v>394</v>
      </c>
      <c r="C34" s="6">
        <v>-1</v>
      </c>
      <c r="D34" s="6">
        <v>-1</v>
      </c>
    </row>
    <row r="35" spans="1:4" x14ac:dyDescent="0.3">
      <c r="A35" s="6"/>
      <c r="B35" s="6" t="s">
        <v>394</v>
      </c>
      <c r="C35" s="6">
        <v>-1</v>
      </c>
      <c r="D35" s="6">
        <v>-1</v>
      </c>
    </row>
    <row r="36" spans="1:4" x14ac:dyDescent="0.3">
      <c r="A36" s="6"/>
      <c r="B36" s="6" t="s">
        <v>348</v>
      </c>
      <c r="C36" s="6">
        <v>-1</v>
      </c>
      <c r="D36" s="6">
        <v>-1</v>
      </c>
    </row>
    <row r="37" spans="1:4" x14ac:dyDescent="0.3">
      <c r="A37" s="6"/>
      <c r="B37" s="6" t="s">
        <v>348</v>
      </c>
      <c r="C37" s="6">
        <v>-1</v>
      </c>
      <c r="D37" s="6">
        <v>-1</v>
      </c>
    </row>
    <row r="38" spans="1:4" x14ac:dyDescent="0.3">
      <c r="A38" s="6"/>
      <c r="B38" s="6" t="s">
        <v>408</v>
      </c>
      <c r="C38" s="6">
        <v>-1</v>
      </c>
      <c r="D38" s="6">
        <v>-1</v>
      </c>
    </row>
    <row r="39" spans="1:4" x14ac:dyDescent="0.3">
      <c r="A39" s="6"/>
      <c r="B39" s="6" t="s">
        <v>694</v>
      </c>
      <c r="C39" s="6">
        <v>-1</v>
      </c>
      <c r="D39" s="6">
        <v>-1</v>
      </c>
    </row>
    <row r="40" spans="1:4" x14ac:dyDescent="0.3">
      <c r="A40" s="6"/>
      <c r="B40" s="6" t="s">
        <v>694</v>
      </c>
      <c r="C40" s="6">
        <v>-1</v>
      </c>
      <c r="D40" s="6">
        <v>-1</v>
      </c>
    </row>
    <row r="41" spans="1:4" x14ac:dyDescent="0.3">
      <c r="A41" s="6"/>
      <c r="B41" s="6" t="s">
        <v>694</v>
      </c>
      <c r="C41" s="6">
        <v>-1</v>
      </c>
      <c r="D41" s="6">
        <v>-1</v>
      </c>
    </row>
    <row r="42" spans="1:4" x14ac:dyDescent="0.3">
      <c r="A42" s="6"/>
      <c r="B42" s="6" t="s">
        <v>444</v>
      </c>
      <c r="C42" s="6">
        <v>-1</v>
      </c>
      <c r="D42" s="6">
        <v>-1</v>
      </c>
    </row>
    <row r="43" spans="1:4" x14ac:dyDescent="0.3">
      <c r="A43" s="6"/>
      <c r="B43" s="6" t="s">
        <v>444</v>
      </c>
      <c r="C43" s="6">
        <v>-1</v>
      </c>
      <c r="D43" s="6">
        <v>-1</v>
      </c>
    </row>
    <row r="44" spans="1:4" x14ac:dyDescent="0.3">
      <c r="A44" s="6"/>
      <c r="B44" s="6" t="s">
        <v>444</v>
      </c>
      <c r="C44" s="6">
        <v>-1</v>
      </c>
      <c r="D44" s="6">
        <v>-1</v>
      </c>
    </row>
    <row r="45" spans="1:4" x14ac:dyDescent="0.3">
      <c r="A45" s="6"/>
      <c r="B45" s="6" t="s">
        <v>718</v>
      </c>
      <c r="C45" s="6">
        <v>-1</v>
      </c>
      <c r="D45" s="6">
        <v>-1</v>
      </c>
    </row>
    <row r="46" spans="1:4" x14ac:dyDescent="0.3">
      <c r="A46" s="6"/>
      <c r="B46" s="6" t="s">
        <v>718</v>
      </c>
      <c r="C46" s="6">
        <v>-1</v>
      </c>
      <c r="D46" s="6">
        <v>-1</v>
      </c>
    </row>
    <row r="47" spans="1:4" x14ac:dyDescent="0.3">
      <c r="A47" s="6"/>
      <c r="B47" s="6" t="s">
        <v>726</v>
      </c>
      <c r="C47" s="6">
        <v>-1</v>
      </c>
      <c r="D47" s="6">
        <v>-1</v>
      </c>
    </row>
    <row r="48" spans="1:4" x14ac:dyDescent="0.3">
      <c r="A48" s="6"/>
      <c r="B48" s="6" t="s">
        <v>726</v>
      </c>
      <c r="C48" s="6">
        <v>-1</v>
      </c>
      <c r="D48" s="6">
        <v>-1</v>
      </c>
    </row>
    <row r="49" spans="1:4" x14ac:dyDescent="0.3">
      <c r="A49" s="6"/>
      <c r="B49" s="6" t="s">
        <v>332</v>
      </c>
      <c r="C49" s="6">
        <v>-1</v>
      </c>
      <c r="D49" s="6">
        <v>-1</v>
      </c>
    </row>
    <row r="50" spans="1:4" x14ac:dyDescent="0.3">
      <c r="A50" s="6"/>
      <c r="B50" s="6" t="s">
        <v>332</v>
      </c>
      <c r="C50" s="6">
        <v>-1</v>
      </c>
      <c r="D50" s="6">
        <v>-1</v>
      </c>
    </row>
    <row r="51" spans="1:4" x14ac:dyDescent="0.3">
      <c r="A51" s="6"/>
      <c r="B51" s="6" t="s">
        <v>332</v>
      </c>
      <c r="C51" s="6">
        <v>-1</v>
      </c>
      <c r="D51" s="6">
        <v>-1</v>
      </c>
    </row>
  </sheetData>
  <pageMargins left="0.7" right="0.7" top="0.75" bottom="0.75" header="0.3" footer="0.3"/>
  <tableParts count="1">
    <tablePart r:id="rId1"/>
  </tableParts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A4A1D-4B7F-4BEA-BD17-2863A71E676B}">
  <dimension ref="A1:D51"/>
  <sheetViews>
    <sheetView topLeftCell="A46" workbookViewId="0">
      <selection activeCell="B52" sqref="B52"/>
    </sheetView>
  </sheetViews>
  <sheetFormatPr defaultRowHeight="14.4" x14ac:dyDescent="0.3"/>
  <cols>
    <col min="1" max="1" width="19.33203125" bestFit="1" customWidth="1"/>
    <col min="2" max="2" width="13.6640625" bestFit="1" customWidth="1"/>
    <col min="3" max="3" width="22.33203125" bestFit="1" customWidth="1"/>
    <col min="4" max="4" width="24.109375" bestFit="1" customWidth="1"/>
  </cols>
  <sheetData>
    <row r="1" spans="1:4" x14ac:dyDescent="0.3">
      <c r="A1" t="s">
        <v>832</v>
      </c>
      <c r="B1" t="s">
        <v>1</v>
      </c>
      <c r="C1" t="s">
        <v>1033</v>
      </c>
      <c r="D1" t="s">
        <v>1034</v>
      </c>
    </row>
    <row r="2" spans="1:4" x14ac:dyDescent="0.3">
      <c r="A2" s="6" t="s">
        <v>1737</v>
      </c>
      <c r="B2" s="6" t="s">
        <v>358</v>
      </c>
      <c r="C2" s="6">
        <v>22</v>
      </c>
      <c r="D2" s="6">
        <v>22</v>
      </c>
    </row>
    <row r="3" spans="1:4" x14ac:dyDescent="0.3">
      <c r="A3" s="6"/>
      <c r="B3" s="6" t="s">
        <v>358</v>
      </c>
      <c r="C3" s="6">
        <v>-1</v>
      </c>
      <c r="D3" s="6">
        <v>-1</v>
      </c>
    </row>
    <row r="4" spans="1:4" x14ac:dyDescent="0.3">
      <c r="A4" s="6"/>
      <c r="B4" s="6" t="s">
        <v>358</v>
      </c>
      <c r="C4" s="6">
        <v>-1</v>
      </c>
      <c r="D4" s="6">
        <v>-1</v>
      </c>
    </row>
    <row r="5" spans="1:4" x14ac:dyDescent="0.3">
      <c r="A5" s="6"/>
      <c r="B5" s="6" t="s">
        <v>358</v>
      </c>
      <c r="C5" s="6">
        <v>-1</v>
      </c>
      <c r="D5" s="6">
        <v>-1</v>
      </c>
    </row>
    <row r="6" spans="1:4" x14ac:dyDescent="0.3">
      <c r="A6" s="6" t="s">
        <v>2147</v>
      </c>
      <c r="B6" s="6" t="s">
        <v>384</v>
      </c>
      <c r="C6" s="6"/>
      <c r="D6" s="6">
        <v>49</v>
      </c>
    </row>
    <row r="7" spans="1:4" x14ac:dyDescent="0.3">
      <c r="A7" s="6" t="s">
        <v>2169</v>
      </c>
      <c r="B7" s="6" t="s">
        <v>384</v>
      </c>
      <c r="C7" s="6">
        <v>20</v>
      </c>
      <c r="D7" s="6">
        <v>19</v>
      </c>
    </row>
    <row r="8" spans="1:4" x14ac:dyDescent="0.3">
      <c r="A8" s="6" t="s">
        <v>2191</v>
      </c>
      <c r="B8" s="6" t="s">
        <v>384</v>
      </c>
      <c r="C8" s="6">
        <v>11</v>
      </c>
      <c r="D8" s="6">
        <v>11</v>
      </c>
    </row>
    <row r="9" spans="1:4" x14ac:dyDescent="0.3">
      <c r="A9" s="6" t="s">
        <v>4743</v>
      </c>
      <c r="B9" s="6" t="s">
        <v>328</v>
      </c>
      <c r="C9" s="6">
        <v>21</v>
      </c>
      <c r="D9" s="6">
        <v>15</v>
      </c>
    </row>
    <row r="10" spans="1:4" x14ac:dyDescent="0.3">
      <c r="A10" s="6"/>
      <c r="B10" s="6" t="s">
        <v>328</v>
      </c>
      <c r="C10" s="6">
        <v>-1</v>
      </c>
      <c r="D10" s="6">
        <v>-1</v>
      </c>
    </row>
    <row r="11" spans="1:4" x14ac:dyDescent="0.3">
      <c r="A11" s="6"/>
      <c r="B11" s="6" t="s">
        <v>328</v>
      </c>
      <c r="C11" s="6">
        <v>-1</v>
      </c>
      <c r="D11" s="6">
        <v>-1</v>
      </c>
    </row>
    <row r="12" spans="1:4" x14ac:dyDescent="0.3">
      <c r="A12" s="6"/>
      <c r="B12" s="6" t="s">
        <v>328</v>
      </c>
      <c r="C12" s="6">
        <v>-1</v>
      </c>
      <c r="D12" s="6">
        <v>-1</v>
      </c>
    </row>
    <row r="13" spans="1:4" x14ac:dyDescent="0.3">
      <c r="A13" s="6" t="s">
        <v>2256</v>
      </c>
      <c r="B13" s="6" t="s">
        <v>442</v>
      </c>
      <c r="C13" s="6">
        <v>42</v>
      </c>
      <c r="D13" s="6">
        <v>38</v>
      </c>
    </row>
    <row r="14" spans="1:4" x14ac:dyDescent="0.3">
      <c r="A14" s="6" t="s">
        <v>3595</v>
      </c>
      <c r="B14" s="6" t="s">
        <v>442</v>
      </c>
      <c r="C14" s="6">
        <v>27</v>
      </c>
      <c r="D14" s="6">
        <v>18</v>
      </c>
    </row>
    <row r="15" spans="1:4" x14ac:dyDescent="0.3">
      <c r="A15" s="6" t="s">
        <v>3597</v>
      </c>
      <c r="B15" s="6" t="s">
        <v>442</v>
      </c>
      <c r="C15" s="6"/>
      <c r="D15" s="6">
        <v>47</v>
      </c>
    </row>
    <row r="16" spans="1:4" x14ac:dyDescent="0.3">
      <c r="A16" s="6" t="s">
        <v>1877</v>
      </c>
      <c r="B16" s="6" t="s">
        <v>372</v>
      </c>
      <c r="C16" s="6">
        <v>39</v>
      </c>
      <c r="D16" s="6">
        <v>44</v>
      </c>
    </row>
    <row r="17" spans="1:4" x14ac:dyDescent="0.3">
      <c r="A17" s="6" t="s">
        <v>2805</v>
      </c>
      <c r="B17" s="6" t="s">
        <v>372</v>
      </c>
      <c r="C17" s="6">
        <v>24</v>
      </c>
      <c r="D17" s="6">
        <v>25</v>
      </c>
    </row>
    <row r="18" spans="1:4" x14ac:dyDescent="0.3">
      <c r="A18" s="6"/>
      <c r="B18" s="6" t="s">
        <v>372</v>
      </c>
      <c r="C18" s="6">
        <v>-1</v>
      </c>
      <c r="D18" s="6">
        <v>-1</v>
      </c>
    </row>
    <row r="19" spans="1:4" x14ac:dyDescent="0.3">
      <c r="A19" s="6"/>
      <c r="B19" s="6" t="s">
        <v>372</v>
      </c>
      <c r="C19" s="6">
        <v>-1</v>
      </c>
      <c r="D19" s="6">
        <v>-1</v>
      </c>
    </row>
    <row r="20" spans="1:4" x14ac:dyDescent="0.3">
      <c r="A20" s="6" t="s">
        <v>3247</v>
      </c>
      <c r="B20" s="6" t="s">
        <v>344</v>
      </c>
      <c r="C20" s="6">
        <v>33</v>
      </c>
      <c r="D20" s="6">
        <v>29</v>
      </c>
    </row>
    <row r="21" spans="1:4" x14ac:dyDescent="0.3">
      <c r="A21" s="6"/>
      <c r="B21" s="6" t="s">
        <v>344</v>
      </c>
      <c r="C21" s="6">
        <v>-1</v>
      </c>
      <c r="D21" s="6">
        <v>-1</v>
      </c>
    </row>
    <row r="22" spans="1:4" x14ac:dyDescent="0.3">
      <c r="A22" s="6" t="s">
        <v>4649</v>
      </c>
      <c r="B22" s="6" t="s">
        <v>334</v>
      </c>
      <c r="C22" s="6">
        <v>17</v>
      </c>
      <c r="D22" s="6">
        <v>7</v>
      </c>
    </row>
    <row r="23" spans="1:4" x14ac:dyDescent="0.3">
      <c r="A23" s="6"/>
      <c r="B23" s="6" t="s">
        <v>334</v>
      </c>
      <c r="C23" s="6">
        <v>-1</v>
      </c>
      <c r="D23" s="6">
        <v>-1</v>
      </c>
    </row>
    <row r="24" spans="1:4" x14ac:dyDescent="0.3">
      <c r="A24" s="6"/>
      <c r="B24" s="6" t="s">
        <v>334</v>
      </c>
      <c r="C24" s="6">
        <v>-1</v>
      </c>
      <c r="D24" s="6">
        <v>-1</v>
      </c>
    </row>
    <row r="25" spans="1:4" x14ac:dyDescent="0.3">
      <c r="A25" s="6"/>
      <c r="B25" s="6" t="s">
        <v>334</v>
      </c>
      <c r="C25" s="6">
        <v>-1</v>
      </c>
      <c r="D25" s="6">
        <v>-1</v>
      </c>
    </row>
    <row r="26" spans="1:4" x14ac:dyDescent="0.3">
      <c r="A26" s="6" t="s">
        <v>2283</v>
      </c>
      <c r="B26" s="6" t="s">
        <v>356</v>
      </c>
      <c r="C26" s="6">
        <v>31</v>
      </c>
      <c r="D26" s="6">
        <v>39</v>
      </c>
    </row>
    <row r="27" spans="1:4" x14ac:dyDescent="0.3">
      <c r="A27" s="6" t="s">
        <v>4971</v>
      </c>
      <c r="B27" s="6" t="s">
        <v>356</v>
      </c>
      <c r="C27" s="6">
        <v>25</v>
      </c>
      <c r="D27" s="6">
        <v>36</v>
      </c>
    </row>
    <row r="28" spans="1:4" x14ac:dyDescent="0.3">
      <c r="A28" s="6"/>
      <c r="B28" s="6" t="s">
        <v>356</v>
      </c>
      <c r="C28" s="6">
        <v>-1</v>
      </c>
      <c r="D28" s="6">
        <v>-1</v>
      </c>
    </row>
    <row r="29" spans="1:4" x14ac:dyDescent="0.3">
      <c r="A29" s="6"/>
      <c r="B29" s="6" t="s">
        <v>356</v>
      </c>
      <c r="C29" s="6">
        <v>-1</v>
      </c>
      <c r="D29" s="6">
        <v>-1</v>
      </c>
    </row>
    <row r="30" spans="1:4" x14ac:dyDescent="0.3">
      <c r="A30" s="6" t="s">
        <v>1288</v>
      </c>
      <c r="B30" s="6" t="s">
        <v>428</v>
      </c>
      <c r="C30" s="6">
        <v>14</v>
      </c>
      <c r="D30" s="6">
        <v>17</v>
      </c>
    </row>
    <row r="31" spans="1:4" x14ac:dyDescent="0.3">
      <c r="A31" s="6" t="s">
        <v>1300</v>
      </c>
      <c r="B31" s="6" t="s">
        <v>428</v>
      </c>
      <c r="C31" s="6">
        <v>15</v>
      </c>
      <c r="D31" s="6">
        <v>14</v>
      </c>
    </row>
    <row r="32" spans="1:4" x14ac:dyDescent="0.3">
      <c r="A32" s="6" t="s">
        <v>1305</v>
      </c>
      <c r="B32" s="6" t="s">
        <v>428</v>
      </c>
      <c r="C32" s="6">
        <v>16</v>
      </c>
      <c r="D32" s="6">
        <v>13</v>
      </c>
    </row>
    <row r="33" spans="1:4" x14ac:dyDescent="0.3">
      <c r="A33" s="6"/>
      <c r="B33" s="6" t="s">
        <v>428</v>
      </c>
      <c r="C33" s="6">
        <v>-1</v>
      </c>
      <c r="D33" s="6">
        <v>-1</v>
      </c>
    </row>
    <row r="34" spans="1:4" x14ac:dyDescent="0.3">
      <c r="A34" s="6" t="s">
        <v>5002</v>
      </c>
      <c r="B34" s="6" t="s">
        <v>364</v>
      </c>
      <c r="C34" s="6">
        <v>5</v>
      </c>
      <c r="D34" s="6">
        <v>12</v>
      </c>
    </row>
    <row r="35" spans="1:4" x14ac:dyDescent="0.3">
      <c r="A35" s="6"/>
      <c r="B35" s="6" t="s">
        <v>364</v>
      </c>
      <c r="C35" s="6">
        <v>-1</v>
      </c>
      <c r="D35" s="6">
        <v>-1</v>
      </c>
    </row>
    <row r="36" spans="1:4" x14ac:dyDescent="0.3">
      <c r="A36" s="6"/>
      <c r="B36" s="6" t="s">
        <v>364</v>
      </c>
      <c r="C36" s="6">
        <v>-1</v>
      </c>
      <c r="D36" s="6">
        <v>-1</v>
      </c>
    </row>
    <row r="37" spans="1:4" x14ac:dyDescent="0.3">
      <c r="A37" s="6"/>
      <c r="B37" s="6" t="s">
        <v>364</v>
      </c>
      <c r="C37" s="6">
        <v>-1</v>
      </c>
      <c r="D37" s="6">
        <v>-1</v>
      </c>
    </row>
    <row r="38" spans="1:4" x14ac:dyDescent="0.3">
      <c r="A38" s="6"/>
      <c r="B38" s="6" t="s">
        <v>394</v>
      </c>
      <c r="C38" s="6">
        <v>-1</v>
      </c>
      <c r="D38" s="6">
        <v>-1</v>
      </c>
    </row>
    <row r="39" spans="1:4" x14ac:dyDescent="0.3">
      <c r="A39" s="6"/>
      <c r="B39" s="6" t="s">
        <v>394</v>
      </c>
      <c r="C39" s="6">
        <v>-1</v>
      </c>
      <c r="D39" s="6">
        <v>-1</v>
      </c>
    </row>
    <row r="40" spans="1:4" x14ac:dyDescent="0.3">
      <c r="A40" s="6"/>
      <c r="B40" s="6" t="s">
        <v>348</v>
      </c>
      <c r="C40" s="6">
        <v>-1</v>
      </c>
      <c r="D40" s="6">
        <v>-1</v>
      </c>
    </row>
    <row r="41" spans="1:4" x14ac:dyDescent="0.3">
      <c r="A41" s="6"/>
      <c r="B41" s="6" t="s">
        <v>348</v>
      </c>
      <c r="C41" s="6">
        <v>-1</v>
      </c>
      <c r="D41" s="6">
        <v>-1</v>
      </c>
    </row>
    <row r="42" spans="1:4" x14ac:dyDescent="0.3">
      <c r="A42" s="6"/>
      <c r="B42" s="6" t="s">
        <v>408</v>
      </c>
      <c r="C42" s="6">
        <v>-1</v>
      </c>
      <c r="D42" s="6">
        <v>-1</v>
      </c>
    </row>
    <row r="43" spans="1:4" x14ac:dyDescent="0.3">
      <c r="A43" s="6" t="s">
        <v>2858</v>
      </c>
      <c r="B43" s="6" t="s">
        <v>694</v>
      </c>
      <c r="C43" s="6">
        <v>9</v>
      </c>
      <c r="D43" s="6">
        <v>8</v>
      </c>
    </row>
    <row r="44" spans="1:4" x14ac:dyDescent="0.3">
      <c r="A44" s="6"/>
      <c r="B44" s="6" t="s">
        <v>694</v>
      </c>
      <c r="C44" s="6">
        <v>-1</v>
      </c>
      <c r="D44" s="6">
        <v>-1</v>
      </c>
    </row>
    <row r="45" spans="1:4" x14ac:dyDescent="0.3">
      <c r="A45" s="6"/>
      <c r="B45" s="6" t="s">
        <v>694</v>
      </c>
      <c r="C45" s="6">
        <v>-1</v>
      </c>
      <c r="D45" s="6">
        <v>-1</v>
      </c>
    </row>
    <row r="46" spans="1:4" x14ac:dyDescent="0.3">
      <c r="A46" s="6"/>
      <c r="B46" s="6" t="s">
        <v>694</v>
      </c>
      <c r="C46" s="6">
        <v>-1</v>
      </c>
      <c r="D46" s="6">
        <v>-1</v>
      </c>
    </row>
    <row r="47" spans="1:4" x14ac:dyDescent="0.3">
      <c r="A47" s="6"/>
      <c r="B47" s="6" t="s">
        <v>338</v>
      </c>
      <c r="C47" s="6">
        <v>-1</v>
      </c>
      <c r="D47" s="6">
        <v>-1</v>
      </c>
    </row>
    <row r="48" spans="1:4" x14ac:dyDescent="0.3">
      <c r="A48" s="6"/>
      <c r="B48" s="6" t="s">
        <v>444</v>
      </c>
      <c r="C48" s="6">
        <v>-1</v>
      </c>
      <c r="D48" s="6">
        <v>-1</v>
      </c>
    </row>
    <row r="49" spans="1:4" x14ac:dyDescent="0.3">
      <c r="A49" s="6" t="s">
        <v>3009</v>
      </c>
      <c r="B49" s="6" t="s">
        <v>332</v>
      </c>
      <c r="C49" s="6">
        <v>29</v>
      </c>
      <c r="D49" s="6">
        <v>27</v>
      </c>
    </row>
    <row r="50" spans="1:4" x14ac:dyDescent="0.3">
      <c r="A50" s="6" t="s">
        <v>3010</v>
      </c>
      <c r="B50" s="6" t="s">
        <v>332</v>
      </c>
      <c r="C50" s="6">
        <v>28</v>
      </c>
      <c r="D50" s="6">
        <v>23</v>
      </c>
    </row>
    <row r="51" spans="1:4" x14ac:dyDescent="0.3">
      <c r="A51" s="6" t="s">
        <v>4174</v>
      </c>
      <c r="B51" s="6" t="s">
        <v>332</v>
      </c>
      <c r="C51" s="6">
        <v>3001</v>
      </c>
      <c r="D51" s="6">
        <v>21</v>
      </c>
    </row>
  </sheetData>
  <pageMargins left="0.7" right="0.7" top="0.75" bottom="0.75" header="0.3" footer="0.3"/>
  <tableParts count="1">
    <tablePart r:id="rId1"/>
  </tableParts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31B8A-02B2-46AF-A34F-8DF6FFFDA406}">
  <dimension ref="A1:E18"/>
  <sheetViews>
    <sheetView topLeftCell="A13" workbookViewId="0">
      <selection activeCell="B19" sqref="B19"/>
    </sheetView>
  </sheetViews>
  <sheetFormatPr defaultRowHeight="14.4" x14ac:dyDescent="0.3"/>
  <cols>
    <col min="1" max="1" width="65.109375" bestFit="1" customWidth="1"/>
    <col min="2" max="2" width="13.33203125" bestFit="1" customWidth="1"/>
    <col min="3" max="3" width="30.5546875" bestFit="1" customWidth="1"/>
    <col min="4" max="4" width="17" bestFit="1" customWidth="1"/>
    <col min="5" max="5" width="14.77734375" bestFit="1" customWidth="1"/>
  </cols>
  <sheetData>
    <row r="1" spans="1:5" x14ac:dyDescent="0.3">
      <c r="A1" t="s">
        <v>833</v>
      </c>
      <c r="B1" t="s">
        <v>1</v>
      </c>
      <c r="C1" t="s">
        <v>1200</v>
      </c>
      <c r="D1" t="s">
        <v>1212</v>
      </c>
      <c r="E1" t="s">
        <v>1213</v>
      </c>
    </row>
    <row r="2" spans="1:5" x14ac:dyDescent="0.3">
      <c r="A2" s="6"/>
      <c r="B2" s="6" t="s">
        <v>358</v>
      </c>
      <c r="C2" s="6">
        <v>-1</v>
      </c>
      <c r="D2" s="6">
        <f>Table148[[#This Row],[Total Athletes]]-(LEN(Table148[[#This Row],[Pair]])-LEN(SUBSTITUTE(Table148[[#This Row],[Pair]],"/","")))-1</f>
        <v>-1</v>
      </c>
      <c r="E2" s="6"/>
    </row>
    <row r="3" spans="1:5" x14ac:dyDescent="0.3">
      <c r="A3" s="6"/>
      <c r="B3" s="6" t="s">
        <v>572</v>
      </c>
      <c r="C3" s="6">
        <v>-1</v>
      </c>
      <c r="D3" s="6">
        <f>Table148[[#This Row],[Total Athletes]]-(LEN(Table148[[#This Row],[Pair]])-LEN(SUBSTITUTE(Table148[[#This Row],[Pair]],"/","")))-1</f>
        <v>-1</v>
      </c>
      <c r="E3" s="6"/>
    </row>
    <row r="4" spans="1:5" x14ac:dyDescent="0.3">
      <c r="A4" s="6" t="s">
        <v>1889</v>
      </c>
      <c r="B4" s="6" t="s">
        <v>372</v>
      </c>
      <c r="C4" s="6">
        <v>9</v>
      </c>
      <c r="D4" s="6">
        <f>Table148[[#This Row],[Total Athletes]]-(LEN(Table148[[#This Row],[Pair]])-LEN(SUBSTITUTE(Table148[[#This Row],[Pair]],"/","")))-1</f>
        <v>1</v>
      </c>
      <c r="E4" s="6">
        <v>2</v>
      </c>
    </row>
    <row r="5" spans="1:5" x14ac:dyDescent="0.3">
      <c r="A5" s="6" t="s">
        <v>3853</v>
      </c>
      <c r="B5" s="6" t="s">
        <v>344</v>
      </c>
      <c r="C5" s="6">
        <v>12</v>
      </c>
      <c r="D5" s="6">
        <f>Table148[[#This Row],[Total Athletes]]-(LEN(Table148[[#This Row],[Pair]])-LEN(SUBSTITUTE(Table148[[#This Row],[Pair]],"/","")))-1</f>
        <v>1</v>
      </c>
      <c r="E5" s="6">
        <v>2</v>
      </c>
    </row>
    <row r="6" spans="1:5" x14ac:dyDescent="0.3">
      <c r="A6" s="6"/>
      <c r="B6" s="6" t="s">
        <v>334</v>
      </c>
      <c r="C6" s="6">
        <v>-1</v>
      </c>
      <c r="D6" s="6">
        <f>Table148[[#This Row],[Total Athletes]]-(LEN(Table148[[#This Row],[Pair]])-LEN(SUBSTITUTE(Table148[[#This Row],[Pair]],"/","")))-1</f>
        <v>-1</v>
      </c>
      <c r="E6" s="6"/>
    </row>
    <row r="7" spans="1:5" x14ac:dyDescent="0.3">
      <c r="A7" s="6" t="s">
        <v>2279</v>
      </c>
      <c r="B7" s="6" t="s">
        <v>356</v>
      </c>
      <c r="C7" s="6">
        <v>10</v>
      </c>
      <c r="D7" s="6">
        <f>Table148[[#This Row],[Total Athletes]]-(LEN(Table148[[#This Row],[Pair]])-LEN(SUBSTITUTE(Table148[[#This Row],[Pair]],"/","")))-1</f>
        <v>1</v>
      </c>
      <c r="E7" s="6">
        <v>2</v>
      </c>
    </row>
    <row r="8" spans="1:5" x14ac:dyDescent="0.3">
      <c r="A8" s="6" t="s">
        <v>1296</v>
      </c>
      <c r="B8" s="6" t="s">
        <v>428</v>
      </c>
      <c r="C8" s="6">
        <v>6</v>
      </c>
      <c r="D8" s="6">
        <f>Table148[[#This Row],[Total Athletes]]-(LEN(Table148[[#This Row],[Pair]])-LEN(SUBSTITUTE(Table148[[#This Row],[Pair]],"/","")))-1</f>
        <v>1</v>
      </c>
      <c r="E8" s="6">
        <v>2</v>
      </c>
    </row>
    <row r="9" spans="1:5" x14ac:dyDescent="0.3">
      <c r="A9" s="6"/>
      <c r="B9" s="6" t="s">
        <v>604</v>
      </c>
      <c r="C9" s="6">
        <v>-1</v>
      </c>
      <c r="D9" s="6">
        <f>Table148[[#This Row],[Total Athletes]]-(LEN(Table148[[#This Row],[Pair]])-LEN(SUBSTITUTE(Table148[[#This Row],[Pair]],"/","")))-1</f>
        <v>-1</v>
      </c>
      <c r="E9" s="6"/>
    </row>
    <row r="10" spans="1:5" x14ac:dyDescent="0.3">
      <c r="A10" s="6"/>
      <c r="B10" s="6" t="s">
        <v>364</v>
      </c>
      <c r="C10" s="6">
        <v>-1</v>
      </c>
      <c r="D10" s="6">
        <f>Table148[[#This Row],[Total Athletes]]-(LEN(Table148[[#This Row],[Pair]])-LEN(SUBSTITUTE(Table148[[#This Row],[Pair]],"/","")))-1</f>
        <v>-1</v>
      </c>
      <c r="E10" s="6"/>
    </row>
    <row r="11" spans="1:5" x14ac:dyDescent="0.3">
      <c r="A11" s="6"/>
      <c r="B11" s="6" t="s">
        <v>394</v>
      </c>
      <c r="C11" s="6">
        <v>-1</v>
      </c>
      <c r="D11" s="6">
        <f>Table148[[#This Row],[Total Athletes]]-(LEN(Table148[[#This Row],[Pair]])-LEN(SUBSTITUTE(Table148[[#This Row],[Pair]],"/","")))-1</f>
        <v>-1</v>
      </c>
      <c r="E11" s="6"/>
    </row>
    <row r="12" spans="1:5" x14ac:dyDescent="0.3">
      <c r="A12" s="6"/>
      <c r="B12" s="6" t="s">
        <v>348</v>
      </c>
      <c r="C12" s="6">
        <v>-1</v>
      </c>
      <c r="D12" s="6">
        <f>Table148[[#This Row],[Total Athletes]]-(LEN(Table148[[#This Row],[Pair]])-LEN(SUBSTITUTE(Table148[[#This Row],[Pair]],"/","")))-1</f>
        <v>-1</v>
      </c>
      <c r="E12" s="6"/>
    </row>
    <row r="13" spans="1:5" x14ac:dyDescent="0.3">
      <c r="A13" s="6"/>
      <c r="B13" s="6" t="s">
        <v>694</v>
      </c>
      <c r="C13" s="6">
        <v>-1</v>
      </c>
      <c r="D13" s="6">
        <f>Table148[[#This Row],[Total Athletes]]-(LEN(Table148[[#This Row],[Pair]])-LEN(SUBSTITUTE(Table148[[#This Row],[Pair]],"/","")))-1</f>
        <v>-1</v>
      </c>
      <c r="E13" s="6"/>
    </row>
    <row r="14" spans="1:5" x14ac:dyDescent="0.3">
      <c r="A14" s="6"/>
      <c r="B14" s="6" t="s">
        <v>444</v>
      </c>
      <c r="C14" s="6">
        <v>-1</v>
      </c>
      <c r="D14" s="6">
        <f>Table148[[#This Row],[Total Athletes]]-(LEN(Table148[[#This Row],[Pair]])-LEN(SUBSTITUTE(Table148[[#This Row],[Pair]],"/","")))-1</f>
        <v>-1</v>
      </c>
      <c r="E14" s="6"/>
    </row>
    <row r="15" spans="1:5" x14ac:dyDescent="0.3">
      <c r="A15" s="6"/>
      <c r="B15" s="6" t="s">
        <v>718</v>
      </c>
      <c r="C15" s="6">
        <v>-1</v>
      </c>
      <c r="D15" s="6">
        <f>Table148[[#This Row],[Total Athletes]]-(LEN(Table148[[#This Row],[Pair]])-LEN(SUBSTITUTE(Table148[[#This Row],[Pair]],"/","")))-1</f>
        <v>-1</v>
      </c>
      <c r="E15" s="6"/>
    </row>
    <row r="16" spans="1:5" x14ac:dyDescent="0.3">
      <c r="A16" s="6"/>
      <c r="B16" s="6" t="s">
        <v>726</v>
      </c>
      <c r="C16" s="6">
        <v>-1</v>
      </c>
      <c r="D16" s="6">
        <f>Table148[[#This Row],[Total Athletes]]-(LEN(Table148[[#This Row],[Pair]])-LEN(SUBSTITUTE(Table148[[#This Row],[Pair]],"/","")))-1</f>
        <v>-1</v>
      </c>
      <c r="E16" s="6"/>
    </row>
    <row r="17" spans="1:5" x14ac:dyDescent="0.3">
      <c r="A17" s="6"/>
      <c r="B17" s="6" t="s">
        <v>332</v>
      </c>
      <c r="C17" s="6">
        <v>-1</v>
      </c>
      <c r="D17" s="6">
        <f>Table148[[#This Row],[Total Athletes]]-(LEN(Table148[[#This Row],[Pair]])-LEN(SUBSTITUTE(Table148[[#This Row],[Pair]],"/","")))-1</f>
        <v>-1</v>
      </c>
      <c r="E17" s="6"/>
    </row>
    <row r="18" spans="1:5" x14ac:dyDescent="0.3">
      <c r="A18" s="6"/>
      <c r="B18" s="6" t="s">
        <v>328</v>
      </c>
      <c r="C18" s="6">
        <v>-1</v>
      </c>
      <c r="D18" s="6">
        <f>Table148[[#This Row],[Total Athletes]]-(LEN(Table148[[#This Row],[Pair]])-LEN(SUBSTITUTE(Table148[[#This Row],[Pair]],"/","")))-1</f>
        <v>-1</v>
      </c>
      <c r="E18" s="6"/>
    </row>
  </sheetData>
  <pageMargins left="0.7" right="0.7" top="0.75" bottom="0.75" header="0.3" footer="0.3"/>
  <tableParts count="1">
    <tablePart r:id="rId1"/>
  </tableParts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E514E-B4FE-40C8-98D0-805B1D3C23BE}">
  <dimension ref="A1:E13"/>
  <sheetViews>
    <sheetView topLeftCell="A7" workbookViewId="0">
      <selection activeCell="B14" sqref="B14"/>
    </sheetView>
  </sheetViews>
  <sheetFormatPr defaultRowHeight="14.4" x14ac:dyDescent="0.3"/>
  <cols>
    <col min="1" max="1" width="46.6640625" bestFit="1" customWidth="1"/>
    <col min="2" max="2" width="12.21875" bestFit="1" customWidth="1"/>
    <col min="3" max="3" width="29.88671875" bestFit="1" customWidth="1"/>
    <col min="4" max="4" width="17" bestFit="1" customWidth="1"/>
    <col min="5" max="5" width="14.77734375" bestFit="1" customWidth="1"/>
  </cols>
  <sheetData>
    <row r="1" spans="1:5" x14ac:dyDescent="0.3">
      <c r="A1" t="s">
        <v>834</v>
      </c>
      <c r="B1" t="s">
        <v>1</v>
      </c>
      <c r="C1" t="s">
        <v>1211</v>
      </c>
      <c r="D1" t="s">
        <v>1212</v>
      </c>
      <c r="E1" t="s">
        <v>1213</v>
      </c>
    </row>
    <row r="2" spans="1:5" x14ac:dyDescent="0.3">
      <c r="A2" s="6" t="s">
        <v>1737</v>
      </c>
      <c r="B2" s="6" t="s">
        <v>358</v>
      </c>
      <c r="C2" s="6">
        <v>5</v>
      </c>
      <c r="D2" s="6">
        <f>Tabela114[[#This Row],[Total Athletes]]-(LEN(Tabela114[[#This Row],[Team]])-LEN(SUBSTITUTE(Tabela114[[#This Row],[Team]],"/","")))-1</f>
        <v>3</v>
      </c>
      <c r="E2" s="6">
        <v>4</v>
      </c>
    </row>
    <row r="3" spans="1:5" x14ac:dyDescent="0.3">
      <c r="A3" s="6" t="s">
        <v>2805</v>
      </c>
      <c r="B3" s="6" t="s">
        <v>372</v>
      </c>
      <c r="C3" s="6">
        <v>6</v>
      </c>
      <c r="D3" s="6">
        <f>Tabela114[[#This Row],[Total Athletes]]-(LEN(Tabela114[[#This Row],[Team]])-LEN(SUBSTITUTE(Tabela114[[#This Row],[Team]],"/","")))-1</f>
        <v>3</v>
      </c>
      <c r="E3" s="6">
        <v>4</v>
      </c>
    </row>
    <row r="4" spans="1:5" x14ac:dyDescent="0.3">
      <c r="A4" s="6" t="s">
        <v>3854</v>
      </c>
      <c r="B4" s="6" t="s">
        <v>344</v>
      </c>
      <c r="C4" s="6">
        <v>9</v>
      </c>
      <c r="D4" s="6">
        <f>Tabela114[[#This Row],[Total Athletes]]-(LEN(Tabela114[[#This Row],[Team]])-LEN(SUBSTITUTE(Tabela114[[#This Row],[Team]],"/","")))-1</f>
        <v>2</v>
      </c>
      <c r="E4" s="6">
        <v>4</v>
      </c>
    </row>
    <row r="5" spans="1:5" x14ac:dyDescent="0.3">
      <c r="A5" s="6" t="s">
        <v>4649</v>
      </c>
      <c r="B5" s="6" t="s">
        <v>334</v>
      </c>
      <c r="C5" s="6">
        <v>4</v>
      </c>
      <c r="D5" s="6">
        <f>Tabela114[[#This Row],[Total Athletes]]-(LEN(Tabela114[[#This Row],[Team]])-LEN(SUBSTITUTE(Tabela114[[#This Row],[Team]],"/","")))-1</f>
        <v>3</v>
      </c>
      <c r="E5" s="6">
        <v>4</v>
      </c>
    </row>
    <row r="6" spans="1:5" x14ac:dyDescent="0.3">
      <c r="A6" s="6" t="s">
        <v>4972</v>
      </c>
      <c r="B6" s="6" t="s">
        <v>356</v>
      </c>
      <c r="C6" s="6">
        <v>10</v>
      </c>
      <c r="D6" s="6">
        <f>Tabela114[[#This Row],[Total Athletes]]-(LEN(Tabela114[[#This Row],[Team]])-LEN(SUBSTITUTE(Tabela114[[#This Row],[Team]],"/","")))-1</f>
        <v>2</v>
      </c>
      <c r="E6" s="6">
        <v>4</v>
      </c>
    </row>
    <row r="7" spans="1:5" x14ac:dyDescent="0.3">
      <c r="A7" s="6" t="s">
        <v>1306</v>
      </c>
      <c r="B7" s="6" t="s">
        <v>428</v>
      </c>
      <c r="C7" s="6">
        <v>3</v>
      </c>
      <c r="D7" s="6">
        <f>Tabela114[[#This Row],[Total Athletes]]-(LEN(Tabela114[[#This Row],[Team]])-LEN(SUBSTITUTE(Tabela114[[#This Row],[Team]],"/","")))-1</f>
        <v>2</v>
      </c>
      <c r="E7" s="6">
        <v>4</v>
      </c>
    </row>
    <row r="8" spans="1:5" x14ac:dyDescent="0.3">
      <c r="A8" s="6"/>
      <c r="B8" s="6" t="s">
        <v>364</v>
      </c>
      <c r="C8" s="6">
        <v>-1</v>
      </c>
      <c r="D8" s="6">
        <f>Tabela114[[#This Row],[Total Athletes]]-(LEN(Tabela114[[#This Row],[Team]])-LEN(SUBSTITUTE(Tabela114[[#This Row],[Team]],"/","")))-1</f>
        <v>-1</v>
      </c>
      <c r="E8" s="6"/>
    </row>
    <row r="9" spans="1:5" x14ac:dyDescent="0.3">
      <c r="A9" s="6"/>
      <c r="B9" s="6" t="s">
        <v>394</v>
      </c>
      <c r="C9" s="6">
        <v>-1</v>
      </c>
      <c r="D9" s="6">
        <f>Tabela114[[#This Row],[Total Athletes]]-(LEN(Tabela114[[#This Row],[Team]])-LEN(SUBSTITUTE(Tabela114[[#This Row],[Team]],"/","")))-1</f>
        <v>-1</v>
      </c>
      <c r="E9" s="6"/>
    </row>
    <row r="10" spans="1:5" x14ac:dyDescent="0.3">
      <c r="A10" s="6"/>
      <c r="B10" s="6" t="s">
        <v>348</v>
      </c>
      <c r="C10" s="6">
        <v>-1</v>
      </c>
      <c r="D10" s="6">
        <f>Tabela114[[#This Row],[Total Athletes]]-(LEN(Tabela114[[#This Row],[Team]])-LEN(SUBSTITUTE(Tabela114[[#This Row],[Team]],"/","")))-1</f>
        <v>-1</v>
      </c>
      <c r="E10" s="6"/>
    </row>
    <row r="11" spans="1:5" x14ac:dyDescent="0.3">
      <c r="A11" s="6" t="s">
        <v>2858</v>
      </c>
      <c r="B11" s="6" t="s">
        <v>694</v>
      </c>
      <c r="C11" s="6">
        <v>1</v>
      </c>
      <c r="D11" s="6">
        <f>Tabela114[[#This Row],[Total Athletes]]-(LEN(Tabela114[[#This Row],[Team]])-LEN(SUBSTITUTE(Tabela114[[#This Row],[Team]],"/","")))-1</f>
        <v>3</v>
      </c>
      <c r="E11" s="6">
        <v>4</v>
      </c>
    </row>
    <row r="12" spans="1:5" x14ac:dyDescent="0.3">
      <c r="A12" s="6" t="s">
        <v>4175</v>
      </c>
      <c r="B12" s="6" t="s">
        <v>332</v>
      </c>
      <c r="C12" s="6">
        <v>7</v>
      </c>
      <c r="D12" s="6">
        <f>Tabela114[[#This Row],[Total Athletes]]-(LEN(Tabela114[[#This Row],[Team]])-LEN(SUBSTITUTE(Tabela114[[#This Row],[Team]],"/","")))-1</f>
        <v>2</v>
      </c>
      <c r="E12" s="6">
        <v>4</v>
      </c>
    </row>
    <row r="13" spans="1:5" x14ac:dyDescent="0.3">
      <c r="A13" s="6" t="s">
        <v>4743</v>
      </c>
      <c r="B13" s="6" t="s">
        <v>328</v>
      </c>
      <c r="C13" s="6">
        <v>8</v>
      </c>
      <c r="D13" s="6">
        <f>Tabela114[[#This Row],[Total Athletes]]-(LEN(Tabela114[[#This Row],[Team]])-LEN(SUBSTITUTE(Tabela114[[#This Row],[Team]],"/","")))-1</f>
        <v>3</v>
      </c>
      <c r="E13" s="6">
        <v>4</v>
      </c>
    </row>
  </sheetData>
  <pageMargins left="0.7" right="0.7" top="0.75" bottom="0.75" header="0.3" footer="0.3"/>
  <tableParts count="1">
    <tablePart r:id="rId1"/>
  </tableParts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4E2CC-8B23-464F-B1A8-6043519B9423}">
  <dimension ref="A1:C19"/>
  <sheetViews>
    <sheetView topLeftCell="A4" workbookViewId="0">
      <selection activeCell="B20" sqref="B20"/>
    </sheetView>
  </sheetViews>
  <sheetFormatPr defaultRowHeight="14.4" x14ac:dyDescent="0.3"/>
  <cols>
    <col min="1" max="1" width="15.33203125" bestFit="1" customWidth="1"/>
    <col min="2" max="2" width="12.21875" bestFit="1" customWidth="1"/>
    <col min="3" max="3" width="19.77734375" bestFit="1" customWidth="1"/>
  </cols>
  <sheetData>
    <row r="1" spans="1:3" x14ac:dyDescent="0.3">
      <c r="A1" t="s">
        <v>832</v>
      </c>
      <c r="B1" t="s">
        <v>1</v>
      </c>
      <c r="C1" t="s">
        <v>979</v>
      </c>
    </row>
    <row r="2" spans="1:3" x14ac:dyDescent="0.3">
      <c r="A2" s="6" t="s">
        <v>2626</v>
      </c>
      <c r="B2" s="6" t="s">
        <v>356</v>
      </c>
      <c r="C2" s="6">
        <v>14</v>
      </c>
    </row>
    <row r="3" spans="1:3" x14ac:dyDescent="0.3">
      <c r="A3" s="6"/>
      <c r="B3" s="6" t="s">
        <v>330</v>
      </c>
      <c r="C3" s="6">
        <v>-1</v>
      </c>
    </row>
    <row r="4" spans="1:3" x14ac:dyDescent="0.3">
      <c r="A4" s="6"/>
      <c r="B4" s="6" t="s">
        <v>344</v>
      </c>
      <c r="C4" s="6">
        <v>-1</v>
      </c>
    </row>
    <row r="5" spans="1:3" x14ac:dyDescent="0.3">
      <c r="A5" s="6"/>
      <c r="B5" s="6" t="s">
        <v>444</v>
      </c>
      <c r="C5" s="6">
        <v>-1</v>
      </c>
    </row>
    <row r="6" spans="1:3" x14ac:dyDescent="0.3">
      <c r="A6" s="6" t="s">
        <v>4568</v>
      </c>
      <c r="B6" s="6" t="s">
        <v>358</v>
      </c>
      <c r="C6" s="6">
        <v>17</v>
      </c>
    </row>
    <row r="7" spans="1:3" x14ac:dyDescent="0.3">
      <c r="A7" s="6"/>
      <c r="B7" s="6" t="s">
        <v>334</v>
      </c>
      <c r="C7" s="6">
        <v>-1</v>
      </c>
    </row>
    <row r="8" spans="1:3" x14ac:dyDescent="0.3">
      <c r="A8" s="6"/>
      <c r="B8" s="6" t="s">
        <v>364</v>
      </c>
      <c r="C8" s="6">
        <v>-1</v>
      </c>
    </row>
    <row r="9" spans="1:3" x14ac:dyDescent="0.3">
      <c r="A9" s="6" t="s">
        <v>1772</v>
      </c>
      <c r="B9" s="6" t="s">
        <v>328</v>
      </c>
      <c r="C9" s="6">
        <v>8</v>
      </c>
    </row>
    <row r="10" spans="1:3" x14ac:dyDescent="0.3">
      <c r="A10" s="6"/>
      <c r="B10" s="6" t="s">
        <v>332</v>
      </c>
      <c r="C10" s="6">
        <v>-1</v>
      </c>
    </row>
    <row r="11" spans="1:3" x14ac:dyDescent="0.3">
      <c r="A11" s="6" t="s">
        <v>4911</v>
      </c>
      <c r="B11" s="6" t="s">
        <v>408</v>
      </c>
      <c r="C11" s="6">
        <v>18</v>
      </c>
    </row>
    <row r="12" spans="1:3" x14ac:dyDescent="0.3">
      <c r="A12" s="6"/>
      <c r="B12" s="6" t="s">
        <v>394</v>
      </c>
      <c r="C12" s="6">
        <v>-1</v>
      </c>
    </row>
    <row r="13" spans="1:3" x14ac:dyDescent="0.3">
      <c r="A13" s="6"/>
      <c r="B13" s="6" t="s">
        <v>354</v>
      </c>
      <c r="C13" s="6">
        <v>-1</v>
      </c>
    </row>
    <row r="14" spans="1:3" x14ac:dyDescent="0.3">
      <c r="A14" s="6"/>
      <c r="B14" s="6" t="s">
        <v>330</v>
      </c>
      <c r="C14" s="6">
        <v>-1</v>
      </c>
    </row>
    <row r="15" spans="1:3" x14ac:dyDescent="0.3">
      <c r="A15" s="6"/>
      <c r="B15" s="6" t="s">
        <v>344</v>
      </c>
      <c r="C15" s="6">
        <v>-1</v>
      </c>
    </row>
    <row r="16" spans="1:3" x14ac:dyDescent="0.3">
      <c r="A16" s="6"/>
      <c r="B16" s="6" t="s">
        <v>444</v>
      </c>
      <c r="C16" s="6">
        <v>-1</v>
      </c>
    </row>
    <row r="17" spans="1:3" x14ac:dyDescent="0.3">
      <c r="A17" s="6"/>
      <c r="B17" s="6" t="s">
        <v>520</v>
      </c>
      <c r="C17" s="6">
        <v>-1</v>
      </c>
    </row>
    <row r="18" spans="1:3" x14ac:dyDescent="0.3">
      <c r="A18" s="6"/>
      <c r="B18" s="6" t="s">
        <v>674</v>
      </c>
      <c r="C18" s="6">
        <v>-1</v>
      </c>
    </row>
    <row r="19" spans="1:3" x14ac:dyDescent="0.3">
      <c r="A19" s="6"/>
      <c r="B19" s="6" t="s">
        <v>364</v>
      </c>
      <c r="C19" s="6">
        <v>-1</v>
      </c>
    </row>
  </sheetData>
  <pageMargins left="0.7" right="0.7" top="0.75" bottom="0.75" header="0.3" footer="0.3"/>
  <tableParts count="1">
    <tablePart r:id="rId1"/>
  </tableParts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DF429-D1C9-42EA-B958-D85053325745}">
  <dimension ref="A1:C19"/>
  <sheetViews>
    <sheetView topLeftCell="A10" workbookViewId="0">
      <selection activeCell="B20" sqref="B20"/>
    </sheetView>
  </sheetViews>
  <sheetFormatPr defaultRowHeight="14.4" x14ac:dyDescent="0.3"/>
  <cols>
    <col min="1" max="1" width="15.109375" bestFit="1" customWidth="1"/>
    <col min="2" max="2" width="12.21875" bestFit="1" customWidth="1"/>
    <col min="3" max="3" width="19.77734375" bestFit="1" customWidth="1"/>
  </cols>
  <sheetData>
    <row r="1" spans="1:3" x14ac:dyDescent="0.3">
      <c r="A1" t="s">
        <v>832</v>
      </c>
      <c r="B1" t="s">
        <v>1</v>
      </c>
      <c r="C1" t="s">
        <v>979</v>
      </c>
    </row>
    <row r="2" spans="1:3" x14ac:dyDescent="0.3">
      <c r="A2" s="6" t="s">
        <v>2264</v>
      </c>
      <c r="B2" s="6" t="s">
        <v>356</v>
      </c>
      <c r="C2" s="6">
        <v>10</v>
      </c>
    </row>
    <row r="3" spans="1:3" x14ac:dyDescent="0.3">
      <c r="A3" s="6"/>
      <c r="B3" s="6" t="s">
        <v>330</v>
      </c>
      <c r="C3" s="6">
        <v>-1</v>
      </c>
    </row>
    <row r="4" spans="1:3" x14ac:dyDescent="0.3">
      <c r="A4" s="6"/>
      <c r="B4" s="6" t="s">
        <v>344</v>
      </c>
      <c r="C4" s="6">
        <v>-1</v>
      </c>
    </row>
    <row r="5" spans="1:3" x14ac:dyDescent="0.3">
      <c r="A5" s="6"/>
      <c r="B5" s="6" t="s">
        <v>444</v>
      </c>
      <c r="C5" s="6">
        <v>-1</v>
      </c>
    </row>
    <row r="6" spans="1:3" x14ac:dyDescent="0.3">
      <c r="A6" s="6"/>
      <c r="B6" s="6" t="s">
        <v>358</v>
      </c>
      <c r="C6" s="6">
        <v>-1</v>
      </c>
    </row>
    <row r="7" spans="1:3" x14ac:dyDescent="0.3">
      <c r="A7" s="6"/>
      <c r="B7" s="6" t="s">
        <v>334</v>
      </c>
      <c r="C7" s="6">
        <v>-1</v>
      </c>
    </row>
    <row r="8" spans="1:3" x14ac:dyDescent="0.3">
      <c r="A8" s="6"/>
      <c r="B8" s="6" t="s">
        <v>364</v>
      </c>
      <c r="C8" s="6">
        <v>-1</v>
      </c>
    </row>
    <row r="9" spans="1:3" x14ac:dyDescent="0.3">
      <c r="A9" s="6"/>
      <c r="B9" s="6" t="s">
        <v>328</v>
      </c>
      <c r="C9" s="6">
        <v>-1</v>
      </c>
    </row>
    <row r="10" spans="1:3" x14ac:dyDescent="0.3">
      <c r="A10" s="6" t="s">
        <v>2690</v>
      </c>
      <c r="B10" s="6" t="s">
        <v>332</v>
      </c>
      <c r="C10" s="6">
        <v>9</v>
      </c>
    </row>
    <row r="11" spans="1:3" x14ac:dyDescent="0.3">
      <c r="A11" s="6" t="s">
        <v>4904</v>
      </c>
      <c r="B11" s="6" t="s">
        <v>408</v>
      </c>
      <c r="C11" s="6">
        <v>16</v>
      </c>
    </row>
    <row r="12" spans="1:3" x14ac:dyDescent="0.3">
      <c r="A12" s="6"/>
      <c r="B12" s="6" t="s">
        <v>394</v>
      </c>
      <c r="C12" s="6">
        <v>-1</v>
      </c>
    </row>
    <row r="13" spans="1:3" x14ac:dyDescent="0.3">
      <c r="A13" s="6" t="s">
        <v>2383</v>
      </c>
      <c r="B13" s="6" t="s">
        <v>354</v>
      </c>
      <c r="C13" s="6">
        <v>18</v>
      </c>
    </row>
    <row r="14" spans="1:3" x14ac:dyDescent="0.3">
      <c r="A14" s="6"/>
      <c r="B14" s="6" t="s">
        <v>444</v>
      </c>
      <c r="C14" s="6">
        <v>-1</v>
      </c>
    </row>
    <row r="15" spans="1:3" x14ac:dyDescent="0.3">
      <c r="A15" s="6"/>
      <c r="B15" s="6" t="s">
        <v>344</v>
      </c>
      <c r="C15" s="6">
        <v>-1</v>
      </c>
    </row>
    <row r="16" spans="1:3" x14ac:dyDescent="0.3">
      <c r="A16" s="6"/>
      <c r="B16" s="6" t="s">
        <v>330</v>
      </c>
      <c r="C16" s="6">
        <v>-1</v>
      </c>
    </row>
    <row r="17" spans="1:3" x14ac:dyDescent="0.3">
      <c r="A17" s="6" t="s">
        <v>2632</v>
      </c>
      <c r="B17" s="6" t="s">
        <v>356</v>
      </c>
      <c r="C17" s="6">
        <v>5</v>
      </c>
    </row>
    <row r="18" spans="1:3" x14ac:dyDescent="0.3">
      <c r="A18" s="6"/>
      <c r="B18" s="6" t="s">
        <v>334</v>
      </c>
      <c r="C18" s="6">
        <v>-1</v>
      </c>
    </row>
    <row r="19" spans="1:3" x14ac:dyDescent="0.3">
      <c r="A19" s="6"/>
      <c r="B19" s="6" t="s">
        <v>408</v>
      </c>
      <c r="C19" s="6">
        <v>-1</v>
      </c>
    </row>
  </sheetData>
  <pageMargins left="0.7" right="0.7" top="0.75" bottom="0.75" header="0.3" footer="0.3"/>
  <tableParts count="1">
    <tablePart r:id="rId1"/>
  </tableParts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6976E4-3C4F-4889-9AFB-5C2B60358BE9}">
  <dimension ref="A1:E13"/>
  <sheetViews>
    <sheetView topLeftCell="A4" workbookViewId="0">
      <selection activeCell="B14" sqref="B14"/>
    </sheetView>
  </sheetViews>
  <sheetFormatPr defaultRowHeight="14.4" x14ac:dyDescent="0.3"/>
  <cols>
    <col min="1" max="1" width="30.6640625" bestFit="1" customWidth="1"/>
    <col min="2" max="2" width="12.21875" bestFit="1" customWidth="1"/>
    <col min="3" max="3" width="25.109375" bestFit="1" customWidth="1"/>
    <col min="4" max="4" width="17" bestFit="1" customWidth="1"/>
    <col min="5" max="5" width="14.77734375" bestFit="1" customWidth="1"/>
  </cols>
  <sheetData>
    <row r="1" spans="1:5" x14ac:dyDescent="0.3">
      <c r="A1" t="s">
        <v>833</v>
      </c>
      <c r="B1" t="s">
        <v>1</v>
      </c>
      <c r="C1" t="s">
        <v>1020</v>
      </c>
      <c r="D1" t="s">
        <v>1212</v>
      </c>
      <c r="E1" t="s">
        <v>1213</v>
      </c>
    </row>
    <row r="2" spans="1:5" x14ac:dyDescent="0.3">
      <c r="A2" s="6" t="s">
        <v>2625</v>
      </c>
      <c r="B2" s="6" t="s">
        <v>356</v>
      </c>
      <c r="C2" s="6">
        <v>5</v>
      </c>
      <c r="D2" s="6">
        <f>Tabela103[[#This Row],[Total Athletes]]-(LEN(Tabela103[[#This Row],[Pair]])-LEN(SUBSTITUTE(Tabela103[[#This Row],[Pair]],"/","")))-1</f>
        <v>0</v>
      </c>
      <c r="E2" s="6">
        <v>2</v>
      </c>
    </row>
    <row r="3" spans="1:5" x14ac:dyDescent="0.3">
      <c r="A3" s="6"/>
      <c r="B3" s="6" t="s">
        <v>330</v>
      </c>
      <c r="C3" s="6">
        <v>-1</v>
      </c>
      <c r="D3" s="6">
        <f>Tabela103[[#This Row],[Total Athletes]]-(LEN(Tabela103[[#This Row],[Pair]])-LEN(SUBSTITUTE(Tabela103[[#This Row],[Pair]],"/","")))-1</f>
        <v>-1</v>
      </c>
      <c r="E3" s="6"/>
    </row>
    <row r="4" spans="1:5" x14ac:dyDescent="0.3">
      <c r="A4" s="6"/>
      <c r="B4" s="6" t="s">
        <v>344</v>
      </c>
      <c r="C4" s="6">
        <v>-1</v>
      </c>
      <c r="D4" s="6">
        <f>Tabela103[[#This Row],[Total Athletes]]-(LEN(Tabela103[[#This Row],[Pair]])-LEN(SUBSTITUTE(Tabela103[[#This Row],[Pair]],"/","")))-1</f>
        <v>-1</v>
      </c>
      <c r="E4" s="6"/>
    </row>
    <row r="5" spans="1:5" x14ac:dyDescent="0.3">
      <c r="A5" s="6"/>
      <c r="B5" s="6" t="s">
        <v>444</v>
      </c>
      <c r="C5" s="6">
        <v>-1</v>
      </c>
      <c r="D5" s="6">
        <f>Tabela103[[#This Row],[Total Athletes]]-(LEN(Tabela103[[#This Row],[Pair]])-LEN(SUBSTITUTE(Tabela103[[#This Row],[Pair]],"/","")))-1</f>
        <v>-1</v>
      </c>
      <c r="E5" s="6"/>
    </row>
    <row r="6" spans="1:5" x14ac:dyDescent="0.3">
      <c r="A6" s="6" t="s">
        <v>4568</v>
      </c>
      <c r="B6" s="6" t="s">
        <v>358</v>
      </c>
      <c r="C6" s="6">
        <v>6</v>
      </c>
      <c r="D6" s="6">
        <f>Tabela103[[#This Row],[Total Athletes]]-(LEN(Tabela103[[#This Row],[Pair]])-LEN(SUBSTITUTE(Tabela103[[#This Row],[Pair]],"/","")))-1</f>
        <v>1</v>
      </c>
      <c r="E6" s="6">
        <v>2</v>
      </c>
    </row>
    <row r="7" spans="1:5" x14ac:dyDescent="0.3">
      <c r="A7" s="6"/>
      <c r="B7" s="6" t="s">
        <v>334</v>
      </c>
      <c r="C7" s="6">
        <v>-1</v>
      </c>
      <c r="D7" s="6">
        <f>Tabela103[[#This Row],[Total Athletes]]-(LEN(Tabela103[[#This Row],[Pair]])-LEN(SUBSTITUTE(Tabela103[[#This Row],[Pair]],"/","")))-1</f>
        <v>-1</v>
      </c>
      <c r="E7" s="6"/>
    </row>
    <row r="8" spans="1:5" x14ac:dyDescent="0.3">
      <c r="A8" s="6"/>
      <c r="B8" s="6" t="s">
        <v>364</v>
      </c>
      <c r="C8" s="6">
        <v>-1</v>
      </c>
      <c r="D8" s="6">
        <f>Tabela103[[#This Row],[Total Athletes]]-(LEN(Tabela103[[#This Row],[Pair]])-LEN(SUBSTITUTE(Tabela103[[#This Row],[Pair]],"/","")))-1</f>
        <v>-1</v>
      </c>
      <c r="E8" s="6"/>
    </row>
    <row r="9" spans="1:5" x14ac:dyDescent="0.3">
      <c r="A9" s="6" t="s">
        <v>1772</v>
      </c>
      <c r="B9" s="6" t="s">
        <v>328</v>
      </c>
      <c r="C9" s="6">
        <v>8</v>
      </c>
      <c r="D9" s="6">
        <f>Tabela103[[#This Row],[Total Athletes]]-(LEN(Tabela103[[#This Row],[Pair]])-LEN(SUBSTITUTE(Tabela103[[#This Row],[Pair]],"/","")))-1</f>
        <v>1</v>
      </c>
      <c r="E9" s="6">
        <v>2</v>
      </c>
    </row>
    <row r="10" spans="1:5" x14ac:dyDescent="0.3">
      <c r="A10" s="6" t="s">
        <v>2690</v>
      </c>
      <c r="B10" s="6" t="s">
        <v>332</v>
      </c>
      <c r="C10" s="6">
        <v>4</v>
      </c>
      <c r="D10" s="6">
        <f>Tabela103[[#This Row],[Total Athletes]]-(LEN(Tabela103[[#This Row],[Pair]])-LEN(SUBSTITUTE(Tabela103[[#This Row],[Pair]],"/","")))-1</f>
        <v>1</v>
      </c>
      <c r="E10" s="6">
        <v>2</v>
      </c>
    </row>
    <row r="11" spans="1:5" x14ac:dyDescent="0.3">
      <c r="A11" s="6" t="s">
        <v>4911</v>
      </c>
      <c r="B11" s="6" t="s">
        <v>408</v>
      </c>
      <c r="C11" s="6">
        <v>11</v>
      </c>
      <c r="D11" s="6">
        <f>Tabela103[[#This Row],[Total Athletes]]-(LEN(Tabela103[[#This Row],[Pair]])-LEN(SUBSTITUTE(Tabela103[[#This Row],[Pair]],"/","")))-1</f>
        <v>1</v>
      </c>
      <c r="E11" s="6">
        <v>2</v>
      </c>
    </row>
    <row r="12" spans="1:5" x14ac:dyDescent="0.3">
      <c r="A12" s="6"/>
      <c r="B12" s="6" t="s">
        <v>394</v>
      </c>
      <c r="C12" s="6">
        <v>-1</v>
      </c>
      <c r="D12" s="6">
        <f>Tabela103[[#This Row],[Total Athletes]]-(LEN(Tabela103[[#This Row],[Pair]])-LEN(SUBSTITUTE(Tabela103[[#This Row],[Pair]],"/","")))-1</f>
        <v>-1</v>
      </c>
      <c r="E12" s="6"/>
    </row>
    <row r="13" spans="1:5" x14ac:dyDescent="0.3">
      <c r="A13" s="6" t="s">
        <v>2383</v>
      </c>
      <c r="B13" s="6" t="s">
        <v>354</v>
      </c>
      <c r="C13" s="6">
        <v>12</v>
      </c>
      <c r="D13" s="6">
        <f>Tabela103[[#This Row],[Total Athletes]]-(LEN(Tabela103[[#This Row],[Pair]])-LEN(SUBSTITUTE(Tabela103[[#This Row],[Pair]],"/","")))-1</f>
        <v>1</v>
      </c>
      <c r="E13" s="6">
        <v>2</v>
      </c>
    </row>
  </sheetData>
  <pageMargins left="0.7" right="0.7" top="0.75" bottom="0.75" header="0.3" footer="0.3"/>
  <tableParts count="1">
    <tablePart r:id="rId1"/>
  </tableParts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AC5F8-5508-4861-BAC5-D780BDA67FCE}">
  <dimension ref="A1:G119"/>
  <sheetViews>
    <sheetView topLeftCell="A109" workbookViewId="0">
      <selection activeCell="B120" sqref="B120"/>
    </sheetView>
  </sheetViews>
  <sheetFormatPr defaultRowHeight="14.4" x14ac:dyDescent="0.3"/>
  <cols>
    <col min="1" max="1" width="19.44140625" bestFit="1" customWidth="1"/>
    <col min="2" max="2" width="14" bestFit="1" customWidth="1"/>
    <col min="3" max="3" width="20" bestFit="1" customWidth="1"/>
    <col min="4" max="4" width="21.77734375" bestFit="1" customWidth="1"/>
    <col min="5" max="5" width="32.109375" bestFit="1" customWidth="1"/>
    <col min="6" max="6" width="23.21875" bestFit="1" customWidth="1"/>
    <col min="7" max="7" width="29.5546875" bestFit="1" customWidth="1"/>
  </cols>
  <sheetData>
    <row r="1" spans="1:7" x14ac:dyDescent="0.3">
      <c r="A1" t="s">
        <v>832</v>
      </c>
      <c r="B1" t="s">
        <v>1</v>
      </c>
      <c r="C1" t="s">
        <v>1027</v>
      </c>
      <c r="D1" t="s">
        <v>1029</v>
      </c>
      <c r="E1" t="s">
        <v>1040</v>
      </c>
      <c r="F1" t="s">
        <v>1032</v>
      </c>
      <c r="G1" t="s">
        <v>1041</v>
      </c>
    </row>
    <row r="2" spans="1:7" x14ac:dyDescent="0.3">
      <c r="A2" s="6"/>
      <c r="B2" s="6" t="s">
        <v>354</v>
      </c>
      <c r="C2" s="6"/>
      <c r="D2" s="6">
        <v>-1</v>
      </c>
      <c r="E2" s="6"/>
      <c r="F2" s="6"/>
      <c r="G2" s="6"/>
    </row>
    <row r="3" spans="1:7" x14ac:dyDescent="0.3">
      <c r="A3" s="6"/>
      <c r="B3" s="6" t="s">
        <v>354</v>
      </c>
      <c r="C3" s="6"/>
      <c r="D3" s="6">
        <v>-1</v>
      </c>
      <c r="E3" s="6"/>
      <c r="F3" s="6"/>
      <c r="G3" s="6"/>
    </row>
    <row r="4" spans="1:7" x14ac:dyDescent="0.3">
      <c r="A4" s="6"/>
      <c r="B4" s="6" t="s">
        <v>358</v>
      </c>
      <c r="C4" s="6"/>
      <c r="D4" s="6">
        <v>-1</v>
      </c>
      <c r="E4" s="6"/>
      <c r="F4" s="6"/>
      <c r="G4" s="6"/>
    </row>
    <row r="5" spans="1:7" x14ac:dyDescent="0.3">
      <c r="A5" s="6" t="s">
        <v>1383</v>
      </c>
      <c r="B5" s="6" t="s">
        <v>336</v>
      </c>
      <c r="C5" s="6"/>
      <c r="D5" s="6">
        <v>14</v>
      </c>
      <c r="E5" s="6"/>
      <c r="F5" s="6"/>
      <c r="G5" s="6"/>
    </row>
    <row r="6" spans="1:7" x14ac:dyDescent="0.3">
      <c r="A6" s="6" t="s">
        <v>3399</v>
      </c>
      <c r="B6" s="6" t="s">
        <v>336</v>
      </c>
      <c r="C6" s="6"/>
      <c r="D6" s="6">
        <v>19</v>
      </c>
      <c r="E6" s="6"/>
      <c r="F6" s="6"/>
      <c r="G6" s="6"/>
    </row>
    <row r="7" spans="1:7" x14ac:dyDescent="0.3">
      <c r="A7" s="6" t="s">
        <v>1775</v>
      </c>
      <c r="B7" s="6" t="s">
        <v>328</v>
      </c>
      <c r="C7" s="6"/>
      <c r="D7" s="6">
        <v>9</v>
      </c>
      <c r="E7" s="6"/>
      <c r="F7" s="6"/>
      <c r="G7" s="6"/>
    </row>
    <row r="8" spans="1:7" x14ac:dyDescent="0.3">
      <c r="A8" s="6"/>
      <c r="B8" s="6" t="s">
        <v>328</v>
      </c>
      <c r="C8" s="6"/>
      <c r="D8" s="6">
        <v>-1</v>
      </c>
      <c r="E8" s="6"/>
      <c r="F8" s="6"/>
      <c r="G8" s="6"/>
    </row>
    <row r="9" spans="1:7" x14ac:dyDescent="0.3">
      <c r="A9" s="6"/>
      <c r="B9" s="6" t="s">
        <v>334</v>
      </c>
      <c r="C9" s="6"/>
      <c r="D9" s="6">
        <v>-1</v>
      </c>
      <c r="E9" s="6"/>
      <c r="F9" s="6"/>
      <c r="G9" s="6"/>
    </row>
    <row r="10" spans="1:7" x14ac:dyDescent="0.3">
      <c r="A10" s="6"/>
      <c r="B10" s="6" t="s">
        <v>356</v>
      </c>
      <c r="C10" s="6"/>
      <c r="D10" s="6">
        <v>-1</v>
      </c>
      <c r="E10" s="6"/>
      <c r="F10" s="6"/>
      <c r="G10" s="6"/>
    </row>
    <row r="11" spans="1:7" x14ac:dyDescent="0.3">
      <c r="A11" s="6" t="s">
        <v>1311</v>
      </c>
      <c r="B11" s="6" t="s">
        <v>428</v>
      </c>
      <c r="C11" s="6"/>
      <c r="D11" s="6">
        <v>3</v>
      </c>
      <c r="E11" s="6"/>
      <c r="F11" s="6"/>
      <c r="G11" s="6"/>
    </row>
    <row r="12" spans="1:7" x14ac:dyDescent="0.3">
      <c r="A12" s="6" t="s">
        <v>1750</v>
      </c>
      <c r="B12" s="6" t="s">
        <v>428</v>
      </c>
      <c r="C12" s="6"/>
      <c r="D12" s="6">
        <v>4</v>
      </c>
      <c r="E12" s="6"/>
      <c r="F12" s="6"/>
      <c r="G12" s="6"/>
    </row>
    <row r="13" spans="1:7" x14ac:dyDescent="0.3">
      <c r="A13" s="6"/>
      <c r="B13" s="6" t="s">
        <v>428</v>
      </c>
      <c r="C13" s="6"/>
      <c r="D13" s="6">
        <v>-1</v>
      </c>
      <c r="E13" s="6"/>
      <c r="F13" s="6"/>
      <c r="G13" s="6"/>
    </row>
    <row r="14" spans="1:7" x14ac:dyDescent="0.3">
      <c r="A14" s="6"/>
      <c r="B14" s="6" t="s">
        <v>428</v>
      </c>
      <c r="C14" s="6"/>
      <c r="D14" s="6">
        <v>-1</v>
      </c>
      <c r="E14" s="6"/>
      <c r="F14" s="6"/>
      <c r="G14" s="6"/>
    </row>
    <row r="15" spans="1:7" x14ac:dyDescent="0.3">
      <c r="A15" s="6"/>
      <c r="B15" s="6" t="s">
        <v>474</v>
      </c>
      <c r="C15" s="6"/>
      <c r="D15" s="6">
        <v>-1</v>
      </c>
      <c r="E15" s="6"/>
      <c r="F15" s="6"/>
      <c r="G15" s="6"/>
    </row>
    <row r="16" spans="1:7" x14ac:dyDescent="0.3">
      <c r="A16" s="6"/>
      <c r="B16" s="6" t="s">
        <v>700</v>
      </c>
      <c r="C16" s="6"/>
      <c r="D16" s="6">
        <v>-1</v>
      </c>
      <c r="E16" s="6"/>
      <c r="F16" s="6"/>
      <c r="G16" s="6"/>
    </row>
    <row r="17" spans="1:7" x14ac:dyDescent="0.3">
      <c r="A17" s="6"/>
      <c r="B17" s="6" t="s">
        <v>700</v>
      </c>
      <c r="C17" s="6"/>
      <c r="D17" s="6">
        <v>-1</v>
      </c>
      <c r="E17" s="6"/>
      <c r="F17" s="6"/>
      <c r="G17" s="6"/>
    </row>
    <row r="18" spans="1:7" x14ac:dyDescent="0.3">
      <c r="A18" s="6"/>
      <c r="B18" s="6" t="s">
        <v>700</v>
      </c>
      <c r="C18" s="6"/>
      <c r="D18" s="6">
        <v>-1</v>
      </c>
      <c r="E18" s="6"/>
      <c r="F18" s="6"/>
      <c r="G18" s="6"/>
    </row>
    <row r="19" spans="1:7" x14ac:dyDescent="0.3">
      <c r="A19" s="6"/>
      <c r="B19" s="6" t="s">
        <v>444</v>
      </c>
      <c r="C19" s="6"/>
      <c r="D19" s="6">
        <v>-1</v>
      </c>
      <c r="E19" s="6"/>
      <c r="F19" s="6"/>
      <c r="G19" s="6"/>
    </row>
    <row r="20" spans="1:7" x14ac:dyDescent="0.3">
      <c r="A20" s="6"/>
      <c r="B20" s="6" t="s">
        <v>444</v>
      </c>
      <c r="C20" s="6"/>
      <c r="D20" s="6">
        <v>-1</v>
      </c>
      <c r="E20" s="6"/>
      <c r="F20" s="6"/>
      <c r="G20" s="6"/>
    </row>
    <row r="21" spans="1:7" x14ac:dyDescent="0.3">
      <c r="A21" s="6"/>
      <c r="B21" s="6" t="s">
        <v>444</v>
      </c>
      <c r="C21" s="6"/>
      <c r="D21" s="6">
        <v>-1</v>
      </c>
      <c r="E21" s="6"/>
      <c r="F21" s="6"/>
      <c r="G21" s="6"/>
    </row>
    <row r="22" spans="1:7" x14ac:dyDescent="0.3">
      <c r="A22" s="6"/>
      <c r="B22" s="6" t="s">
        <v>444</v>
      </c>
      <c r="C22" s="6"/>
      <c r="D22" s="6">
        <v>-1</v>
      </c>
      <c r="E22" s="6"/>
      <c r="F22" s="6"/>
      <c r="G22" s="6"/>
    </row>
    <row r="23" spans="1:7" x14ac:dyDescent="0.3">
      <c r="A23" s="6" t="s">
        <v>1546</v>
      </c>
      <c r="B23" s="6" t="s">
        <v>332</v>
      </c>
      <c r="C23" s="6"/>
      <c r="D23" s="6">
        <v>11</v>
      </c>
      <c r="E23" s="6"/>
      <c r="F23" s="6"/>
      <c r="G23" s="6"/>
    </row>
    <row r="24" spans="1:7" x14ac:dyDescent="0.3">
      <c r="A24" s="6" t="s">
        <v>4199</v>
      </c>
      <c r="B24" s="6" t="s">
        <v>332</v>
      </c>
      <c r="C24" s="6"/>
      <c r="D24" s="6">
        <v>8</v>
      </c>
      <c r="E24" s="6"/>
      <c r="F24" s="6"/>
      <c r="G24" s="6"/>
    </row>
    <row r="25" spans="1:7" x14ac:dyDescent="0.3">
      <c r="A25" s="6"/>
      <c r="B25" s="6" t="s">
        <v>332</v>
      </c>
      <c r="C25" s="6"/>
      <c r="D25" s="6">
        <v>-1</v>
      </c>
      <c r="E25" s="6"/>
      <c r="F25" s="6"/>
      <c r="G25" s="6"/>
    </row>
    <row r="26" spans="1:7" x14ac:dyDescent="0.3">
      <c r="A26" s="6"/>
      <c r="B26" s="6" t="s">
        <v>332</v>
      </c>
      <c r="C26" s="6"/>
      <c r="D26" s="6">
        <v>-1</v>
      </c>
      <c r="E26" s="6"/>
      <c r="F26" s="6"/>
      <c r="G26" s="6"/>
    </row>
    <row r="27" spans="1:7" x14ac:dyDescent="0.3">
      <c r="A27" s="6" t="s">
        <v>4560</v>
      </c>
      <c r="B27" s="6" t="s">
        <v>358</v>
      </c>
      <c r="C27" s="6"/>
      <c r="D27" s="6"/>
      <c r="E27" s="6">
        <v>17</v>
      </c>
      <c r="F27" s="6"/>
      <c r="G27" s="6"/>
    </row>
    <row r="28" spans="1:7" x14ac:dyDescent="0.3">
      <c r="A28" s="6"/>
      <c r="B28" s="6" t="s">
        <v>358</v>
      </c>
      <c r="C28" s="6"/>
      <c r="D28" s="6"/>
      <c r="E28" s="6">
        <v>-1</v>
      </c>
      <c r="F28" s="6"/>
      <c r="G28" s="6"/>
    </row>
    <row r="29" spans="1:7" x14ac:dyDescent="0.3">
      <c r="A29" s="6"/>
      <c r="B29" s="6" t="s">
        <v>358</v>
      </c>
      <c r="C29" s="6"/>
      <c r="D29" s="6"/>
      <c r="E29" s="6">
        <v>-1</v>
      </c>
      <c r="F29" s="6"/>
      <c r="G29" s="6"/>
    </row>
    <row r="30" spans="1:7" x14ac:dyDescent="0.3">
      <c r="A30" s="6"/>
      <c r="B30" s="6" t="s">
        <v>358</v>
      </c>
      <c r="C30" s="6"/>
      <c r="D30" s="6"/>
      <c r="E30" s="6">
        <v>-1</v>
      </c>
      <c r="F30" s="6"/>
      <c r="G30" s="6"/>
    </row>
    <row r="31" spans="1:7" x14ac:dyDescent="0.3">
      <c r="A31" s="6"/>
      <c r="B31" s="6" t="s">
        <v>370</v>
      </c>
      <c r="C31" s="6"/>
      <c r="D31" s="6"/>
      <c r="E31" s="6">
        <v>-1</v>
      </c>
      <c r="F31" s="6"/>
      <c r="G31" s="6"/>
    </row>
    <row r="32" spans="1:7" x14ac:dyDescent="0.3">
      <c r="A32" s="6"/>
      <c r="B32" s="6" t="s">
        <v>370</v>
      </c>
      <c r="C32" s="6"/>
      <c r="D32" s="6"/>
      <c r="E32" s="6">
        <v>-1</v>
      </c>
      <c r="F32" s="6"/>
      <c r="G32" s="6"/>
    </row>
    <row r="33" spans="1:7" x14ac:dyDescent="0.3">
      <c r="A33" s="6"/>
      <c r="B33" s="6" t="s">
        <v>370</v>
      </c>
      <c r="C33" s="6"/>
      <c r="D33" s="6"/>
      <c r="E33" s="6">
        <v>-1</v>
      </c>
      <c r="F33" s="6"/>
      <c r="G33" s="6"/>
    </row>
    <row r="34" spans="1:7" x14ac:dyDescent="0.3">
      <c r="A34" s="6"/>
      <c r="B34" s="6" t="s">
        <v>384</v>
      </c>
      <c r="C34" s="6"/>
      <c r="D34" s="6"/>
      <c r="E34" s="6">
        <v>-1</v>
      </c>
      <c r="F34" s="6"/>
      <c r="G34" s="6"/>
    </row>
    <row r="35" spans="1:7" x14ac:dyDescent="0.3">
      <c r="A35" s="6"/>
      <c r="B35" s="6" t="s">
        <v>384</v>
      </c>
      <c r="C35" s="6"/>
      <c r="D35" s="6"/>
      <c r="E35" s="6">
        <v>-1</v>
      </c>
      <c r="F35" s="6"/>
      <c r="G35" s="6"/>
    </row>
    <row r="36" spans="1:7" x14ac:dyDescent="0.3">
      <c r="A36" s="6"/>
      <c r="B36" s="6" t="s">
        <v>328</v>
      </c>
      <c r="C36" s="6"/>
      <c r="D36" s="6"/>
      <c r="E36" s="6">
        <v>-1</v>
      </c>
      <c r="F36" s="6"/>
      <c r="G36" s="6"/>
    </row>
    <row r="37" spans="1:7" x14ac:dyDescent="0.3">
      <c r="A37" s="6"/>
      <c r="B37" s="6" t="s">
        <v>328</v>
      </c>
      <c r="C37" s="6"/>
      <c r="D37" s="6"/>
      <c r="E37" s="6">
        <v>-1</v>
      </c>
      <c r="F37" s="6"/>
      <c r="G37" s="6"/>
    </row>
    <row r="38" spans="1:7" x14ac:dyDescent="0.3">
      <c r="A38" s="6"/>
      <c r="B38" s="6" t="s">
        <v>442</v>
      </c>
      <c r="C38" s="6"/>
      <c r="D38" s="6"/>
      <c r="E38" s="6">
        <v>-1</v>
      </c>
      <c r="F38" s="6"/>
      <c r="G38" s="6"/>
    </row>
    <row r="39" spans="1:7" x14ac:dyDescent="0.3">
      <c r="A39" s="6"/>
      <c r="B39" s="6" t="s">
        <v>334</v>
      </c>
      <c r="C39" s="6"/>
      <c r="D39" s="6"/>
      <c r="E39" s="6">
        <v>-1</v>
      </c>
      <c r="F39" s="6"/>
      <c r="G39" s="6"/>
    </row>
    <row r="40" spans="1:7" x14ac:dyDescent="0.3">
      <c r="A40" s="6"/>
      <c r="B40" s="6" t="s">
        <v>334</v>
      </c>
      <c r="C40" s="6"/>
      <c r="D40" s="6"/>
      <c r="E40" s="6">
        <v>-1</v>
      </c>
      <c r="F40" s="6"/>
      <c r="G40" s="6"/>
    </row>
    <row r="41" spans="1:7" x14ac:dyDescent="0.3">
      <c r="A41" s="6"/>
      <c r="B41" s="6" t="s">
        <v>334</v>
      </c>
      <c r="C41" s="6"/>
      <c r="D41" s="6"/>
      <c r="E41" s="6">
        <v>-1</v>
      </c>
      <c r="F41" s="6"/>
      <c r="G41" s="6"/>
    </row>
    <row r="42" spans="1:7" x14ac:dyDescent="0.3">
      <c r="A42" s="6"/>
      <c r="B42" s="6" t="s">
        <v>334</v>
      </c>
      <c r="C42" s="6"/>
      <c r="D42" s="6"/>
      <c r="E42" s="6">
        <v>-1</v>
      </c>
      <c r="F42" s="6"/>
      <c r="G42" s="6"/>
    </row>
    <row r="43" spans="1:7" x14ac:dyDescent="0.3">
      <c r="A43" s="6" t="s">
        <v>2269</v>
      </c>
      <c r="B43" s="6" t="s">
        <v>356</v>
      </c>
      <c r="C43" s="6"/>
      <c r="D43" s="6"/>
      <c r="E43" s="6">
        <v>5</v>
      </c>
      <c r="F43" s="6"/>
      <c r="G43" s="6"/>
    </row>
    <row r="44" spans="1:7" x14ac:dyDescent="0.3">
      <c r="A44" s="6" t="s">
        <v>2284</v>
      </c>
      <c r="B44" s="6" t="s">
        <v>356</v>
      </c>
      <c r="C44" s="6"/>
      <c r="D44" s="6"/>
      <c r="E44" s="6">
        <v>9</v>
      </c>
      <c r="F44" s="6"/>
      <c r="G44" s="6"/>
    </row>
    <row r="45" spans="1:7" x14ac:dyDescent="0.3">
      <c r="A45" s="6" t="s">
        <v>2624</v>
      </c>
      <c r="B45" s="6" t="s">
        <v>356</v>
      </c>
      <c r="C45" s="6"/>
      <c r="D45" s="6"/>
      <c r="E45" s="6">
        <v>15</v>
      </c>
      <c r="F45" s="6"/>
      <c r="G45" s="6"/>
    </row>
    <row r="46" spans="1:7" x14ac:dyDescent="0.3">
      <c r="A46" s="6"/>
      <c r="B46" s="6" t="s">
        <v>356</v>
      </c>
      <c r="C46" s="6"/>
      <c r="D46" s="6"/>
      <c r="E46" s="6">
        <v>-1</v>
      </c>
      <c r="F46" s="6"/>
      <c r="G46" s="6"/>
    </row>
    <row r="47" spans="1:7" x14ac:dyDescent="0.3">
      <c r="A47" s="6" t="s">
        <v>1932</v>
      </c>
      <c r="B47" s="6" t="s">
        <v>428</v>
      </c>
      <c r="C47" s="6"/>
      <c r="D47" s="6"/>
      <c r="E47" s="6">
        <v>3001</v>
      </c>
      <c r="F47" s="6"/>
      <c r="G47" s="6"/>
    </row>
    <row r="48" spans="1:7" x14ac:dyDescent="0.3">
      <c r="A48" s="6"/>
      <c r="B48" s="6" t="s">
        <v>394</v>
      </c>
      <c r="C48" s="6"/>
      <c r="D48" s="6"/>
      <c r="E48" s="6">
        <v>-1</v>
      </c>
      <c r="F48" s="6"/>
      <c r="G48" s="6"/>
    </row>
    <row r="49" spans="1:7" x14ac:dyDescent="0.3">
      <c r="A49" s="6"/>
      <c r="B49" s="6" t="s">
        <v>394</v>
      </c>
      <c r="C49" s="6"/>
      <c r="D49" s="6"/>
      <c r="E49" s="6">
        <v>-1</v>
      </c>
      <c r="F49" s="6"/>
      <c r="G49" s="6"/>
    </row>
    <row r="50" spans="1:7" x14ac:dyDescent="0.3">
      <c r="A50" s="6" t="s">
        <v>1925</v>
      </c>
      <c r="B50" s="6" t="s">
        <v>694</v>
      </c>
      <c r="C50" s="6"/>
      <c r="D50" s="6"/>
      <c r="E50" s="6">
        <v>16</v>
      </c>
      <c r="F50" s="6"/>
      <c r="G50" s="6"/>
    </row>
    <row r="51" spans="1:7" x14ac:dyDescent="0.3">
      <c r="A51" s="6" t="s">
        <v>1926</v>
      </c>
      <c r="B51" s="6" t="s">
        <v>694</v>
      </c>
      <c r="C51" s="6"/>
      <c r="D51" s="6"/>
      <c r="E51" s="6">
        <v>4</v>
      </c>
      <c r="F51" s="6"/>
      <c r="G51" s="6"/>
    </row>
    <row r="52" spans="1:7" x14ac:dyDescent="0.3">
      <c r="A52" s="6"/>
      <c r="B52" s="6" t="s">
        <v>694</v>
      </c>
      <c r="C52" s="6"/>
      <c r="D52" s="6"/>
      <c r="E52" s="6">
        <v>-1</v>
      </c>
      <c r="F52" s="6"/>
      <c r="G52" s="6"/>
    </row>
    <row r="53" spans="1:7" x14ac:dyDescent="0.3">
      <c r="A53" s="6"/>
      <c r="B53" s="6" t="s">
        <v>700</v>
      </c>
      <c r="C53" s="6"/>
      <c r="D53" s="6"/>
      <c r="E53" s="6">
        <v>-1</v>
      </c>
      <c r="F53" s="6"/>
      <c r="G53" s="6"/>
    </row>
    <row r="54" spans="1:7" x14ac:dyDescent="0.3">
      <c r="A54" s="6"/>
      <c r="B54" s="6" t="s">
        <v>700</v>
      </c>
      <c r="C54" s="6"/>
      <c r="D54" s="6"/>
      <c r="E54" s="6">
        <v>-1</v>
      </c>
      <c r="F54" s="6"/>
      <c r="G54" s="6"/>
    </row>
    <row r="55" spans="1:7" x14ac:dyDescent="0.3">
      <c r="A55" s="6"/>
      <c r="B55" s="6" t="s">
        <v>700</v>
      </c>
      <c r="C55" s="6"/>
      <c r="D55" s="6"/>
      <c r="E55" s="6">
        <v>-1</v>
      </c>
      <c r="F55" s="6"/>
      <c r="G55" s="6"/>
    </row>
    <row r="56" spans="1:7" x14ac:dyDescent="0.3">
      <c r="A56" s="6"/>
      <c r="B56" s="6" t="s">
        <v>444</v>
      </c>
      <c r="C56" s="6"/>
      <c r="D56" s="6"/>
      <c r="E56" s="6">
        <v>-1</v>
      </c>
      <c r="F56" s="6"/>
      <c r="G56" s="6"/>
    </row>
    <row r="57" spans="1:7" x14ac:dyDescent="0.3">
      <c r="A57" s="6"/>
      <c r="B57" s="6" t="s">
        <v>444</v>
      </c>
      <c r="C57" s="6"/>
      <c r="D57" s="6"/>
      <c r="E57" s="6">
        <v>-1</v>
      </c>
      <c r="F57" s="6"/>
      <c r="G57" s="6"/>
    </row>
    <row r="58" spans="1:7" x14ac:dyDescent="0.3">
      <c r="A58" s="6" t="s">
        <v>4214</v>
      </c>
      <c r="B58" s="6" t="s">
        <v>332</v>
      </c>
      <c r="C58" s="6"/>
      <c r="D58" s="6"/>
      <c r="E58" s="6">
        <v>21</v>
      </c>
      <c r="F58" s="6"/>
      <c r="G58" s="6">
        <v>22</v>
      </c>
    </row>
    <row r="59" spans="1:7" x14ac:dyDescent="0.3">
      <c r="A59" s="6" t="s">
        <v>2396</v>
      </c>
      <c r="B59" s="6" t="s">
        <v>354</v>
      </c>
      <c r="C59" s="6"/>
      <c r="D59" s="6"/>
      <c r="E59" s="6"/>
      <c r="F59" s="6"/>
      <c r="G59" s="6">
        <v>21</v>
      </c>
    </row>
    <row r="60" spans="1:7" x14ac:dyDescent="0.3">
      <c r="A60" s="6" t="s">
        <v>2406</v>
      </c>
      <c r="B60" s="6" t="s">
        <v>354</v>
      </c>
      <c r="C60" s="6"/>
      <c r="D60" s="6"/>
      <c r="E60" s="6"/>
      <c r="F60" s="6"/>
      <c r="G60" s="6">
        <v>29</v>
      </c>
    </row>
    <row r="61" spans="1:7" x14ac:dyDescent="0.3">
      <c r="A61" s="6"/>
      <c r="B61" s="6" t="s">
        <v>354</v>
      </c>
      <c r="C61" s="6"/>
      <c r="D61" s="6"/>
      <c r="E61" s="6"/>
      <c r="F61" s="6"/>
      <c r="G61" s="6">
        <v>-1</v>
      </c>
    </row>
    <row r="62" spans="1:7" x14ac:dyDescent="0.3">
      <c r="A62" s="6"/>
      <c r="B62" s="6" t="s">
        <v>358</v>
      </c>
      <c r="C62" s="6"/>
      <c r="D62" s="6"/>
      <c r="E62" s="6"/>
      <c r="F62" s="6"/>
      <c r="G62" s="6">
        <v>-1</v>
      </c>
    </row>
    <row r="63" spans="1:7" x14ac:dyDescent="0.3">
      <c r="A63" s="6"/>
      <c r="B63" s="6" t="s">
        <v>358</v>
      </c>
      <c r="C63" s="6"/>
      <c r="D63" s="6"/>
      <c r="E63" s="6"/>
      <c r="F63" s="6"/>
      <c r="G63" s="6">
        <v>-1</v>
      </c>
    </row>
    <row r="64" spans="1:7" x14ac:dyDescent="0.3">
      <c r="A64" s="6"/>
      <c r="B64" s="6" t="s">
        <v>358</v>
      </c>
      <c r="C64" s="6"/>
      <c r="D64" s="6"/>
      <c r="E64" s="6"/>
      <c r="F64" s="6"/>
      <c r="G64" s="6">
        <v>-1</v>
      </c>
    </row>
    <row r="65" spans="1:7" x14ac:dyDescent="0.3">
      <c r="A65" s="6"/>
      <c r="B65" s="6" t="s">
        <v>358</v>
      </c>
      <c r="C65" s="6"/>
      <c r="D65" s="6"/>
      <c r="E65" s="6"/>
      <c r="F65" s="6"/>
      <c r="G65" s="6">
        <v>-1</v>
      </c>
    </row>
    <row r="66" spans="1:7" x14ac:dyDescent="0.3">
      <c r="A66" s="6" t="s">
        <v>2525</v>
      </c>
      <c r="B66" s="6" t="s">
        <v>384</v>
      </c>
      <c r="C66" s="6"/>
      <c r="D66" s="6"/>
      <c r="E66" s="6"/>
      <c r="F66" s="6"/>
      <c r="G66" s="6">
        <v>17</v>
      </c>
    </row>
    <row r="67" spans="1:7" x14ac:dyDescent="0.3">
      <c r="A67" s="6"/>
      <c r="B67" s="6" t="s">
        <v>384</v>
      </c>
      <c r="C67" s="6"/>
      <c r="D67" s="6"/>
      <c r="E67" s="6"/>
      <c r="F67" s="6"/>
      <c r="G67" s="6">
        <v>-1</v>
      </c>
    </row>
    <row r="68" spans="1:7" x14ac:dyDescent="0.3">
      <c r="A68" s="6"/>
      <c r="B68" s="6" t="s">
        <v>384</v>
      </c>
      <c r="C68" s="6"/>
      <c r="D68" s="6"/>
      <c r="E68" s="6"/>
      <c r="F68" s="6"/>
      <c r="G68" s="6">
        <v>-1</v>
      </c>
    </row>
    <row r="69" spans="1:7" x14ac:dyDescent="0.3">
      <c r="A69" s="6" t="s">
        <v>2982</v>
      </c>
      <c r="B69" s="6" t="s">
        <v>442</v>
      </c>
      <c r="C69" s="6"/>
      <c r="D69" s="6"/>
      <c r="E69" s="6"/>
      <c r="F69" s="6"/>
      <c r="G69" s="6">
        <v>31</v>
      </c>
    </row>
    <row r="70" spans="1:7" x14ac:dyDescent="0.3">
      <c r="A70" s="6"/>
      <c r="B70" s="6" t="s">
        <v>442</v>
      </c>
      <c r="C70" s="6"/>
      <c r="D70" s="6"/>
      <c r="E70" s="6"/>
      <c r="F70" s="6"/>
      <c r="G70" s="6">
        <v>-1</v>
      </c>
    </row>
    <row r="71" spans="1:7" x14ac:dyDescent="0.3">
      <c r="A71" s="6" t="s">
        <v>4899</v>
      </c>
      <c r="B71" s="6" t="s">
        <v>344</v>
      </c>
      <c r="C71" s="6"/>
      <c r="D71" s="6"/>
      <c r="E71" s="6"/>
      <c r="F71" s="6"/>
      <c r="G71" s="6">
        <v>4</v>
      </c>
    </row>
    <row r="72" spans="1:7" x14ac:dyDescent="0.3">
      <c r="A72" s="6" t="s">
        <v>4900</v>
      </c>
      <c r="B72" s="6" t="s">
        <v>344</v>
      </c>
      <c r="C72" s="6"/>
      <c r="D72" s="6"/>
      <c r="E72" s="6"/>
      <c r="F72" s="6"/>
      <c r="G72" s="6">
        <v>6</v>
      </c>
    </row>
    <row r="73" spans="1:7" x14ac:dyDescent="0.3">
      <c r="A73" s="6"/>
      <c r="B73" s="6" t="s">
        <v>344</v>
      </c>
      <c r="C73" s="6"/>
      <c r="D73" s="6"/>
      <c r="E73" s="6"/>
      <c r="F73" s="6"/>
      <c r="G73" s="6">
        <v>-1</v>
      </c>
    </row>
    <row r="74" spans="1:7" x14ac:dyDescent="0.3">
      <c r="A74" s="6"/>
      <c r="B74" s="6" t="s">
        <v>344</v>
      </c>
      <c r="C74" s="6"/>
      <c r="D74" s="6"/>
      <c r="E74" s="6"/>
      <c r="F74" s="6"/>
      <c r="G74" s="6">
        <v>-1</v>
      </c>
    </row>
    <row r="75" spans="1:7" x14ac:dyDescent="0.3">
      <c r="A75" s="6"/>
      <c r="B75" s="6" t="s">
        <v>334</v>
      </c>
      <c r="C75" s="6"/>
      <c r="D75" s="6"/>
      <c r="E75" s="6"/>
      <c r="F75" s="6"/>
      <c r="G75" s="6">
        <v>-1</v>
      </c>
    </row>
    <row r="76" spans="1:7" x14ac:dyDescent="0.3">
      <c r="A76" s="6"/>
      <c r="B76" s="6" t="s">
        <v>334</v>
      </c>
      <c r="C76" s="6"/>
      <c r="D76" s="6"/>
      <c r="E76" s="6"/>
      <c r="F76" s="6"/>
      <c r="G76" s="6">
        <v>-1</v>
      </c>
    </row>
    <row r="77" spans="1:7" x14ac:dyDescent="0.3">
      <c r="A77" s="6"/>
      <c r="B77" s="6" t="s">
        <v>334</v>
      </c>
      <c r="C77" s="6"/>
      <c r="D77" s="6"/>
      <c r="E77" s="6"/>
      <c r="F77" s="6"/>
      <c r="G77" s="6">
        <v>-1</v>
      </c>
    </row>
    <row r="78" spans="1:7" x14ac:dyDescent="0.3">
      <c r="A78" s="6"/>
      <c r="B78" s="6" t="s">
        <v>334</v>
      </c>
      <c r="C78" s="6"/>
      <c r="D78" s="6"/>
      <c r="E78" s="6"/>
      <c r="F78" s="6"/>
      <c r="G78" s="6">
        <v>-1</v>
      </c>
    </row>
    <row r="79" spans="1:7" x14ac:dyDescent="0.3">
      <c r="A79" s="6"/>
      <c r="B79" s="6" t="s">
        <v>402</v>
      </c>
      <c r="C79" s="6"/>
      <c r="D79" s="6"/>
      <c r="E79" s="6"/>
      <c r="F79" s="6"/>
      <c r="G79" s="6">
        <v>-1</v>
      </c>
    </row>
    <row r="80" spans="1:7" x14ac:dyDescent="0.3">
      <c r="A80" s="6" t="s">
        <v>2299</v>
      </c>
      <c r="B80" s="6" t="s">
        <v>356</v>
      </c>
      <c r="C80" s="6"/>
      <c r="D80" s="6"/>
      <c r="E80" s="6"/>
      <c r="F80" s="6"/>
      <c r="G80" s="6">
        <v>20</v>
      </c>
    </row>
    <row r="81" spans="1:7" x14ac:dyDescent="0.3">
      <c r="A81" s="6"/>
      <c r="B81" s="6" t="s">
        <v>356</v>
      </c>
      <c r="C81" s="6"/>
      <c r="D81" s="6"/>
      <c r="E81" s="6"/>
      <c r="F81" s="6"/>
      <c r="G81" s="6">
        <v>-1</v>
      </c>
    </row>
    <row r="82" spans="1:7" x14ac:dyDescent="0.3">
      <c r="A82" s="6"/>
      <c r="B82" s="6" t="s">
        <v>356</v>
      </c>
      <c r="C82" s="6"/>
      <c r="D82" s="6"/>
      <c r="E82" s="6"/>
      <c r="F82" s="6"/>
      <c r="G82" s="6">
        <v>-1</v>
      </c>
    </row>
    <row r="83" spans="1:7" x14ac:dyDescent="0.3">
      <c r="A83" s="6"/>
      <c r="B83" s="6" t="s">
        <v>412</v>
      </c>
      <c r="C83" s="6"/>
      <c r="D83" s="6"/>
      <c r="E83" s="6"/>
      <c r="F83" s="6"/>
      <c r="G83" s="6">
        <v>-1</v>
      </c>
    </row>
    <row r="84" spans="1:7" x14ac:dyDescent="0.3">
      <c r="A84" s="6"/>
      <c r="B84" s="6" t="s">
        <v>330</v>
      </c>
      <c r="C84" s="6"/>
      <c r="D84" s="6"/>
      <c r="E84" s="6"/>
      <c r="F84" s="6"/>
      <c r="G84" s="6">
        <v>-1</v>
      </c>
    </row>
    <row r="85" spans="1:7" x14ac:dyDescent="0.3">
      <c r="A85" s="6"/>
      <c r="B85" s="6" t="s">
        <v>330</v>
      </c>
      <c r="C85" s="6"/>
      <c r="D85" s="6"/>
      <c r="E85" s="6"/>
      <c r="F85" s="6"/>
      <c r="G85" s="6">
        <v>-1</v>
      </c>
    </row>
    <row r="86" spans="1:7" x14ac:dyDescent="0.3">
      <c r="A86" s="6"/>
      <c r="B86" s="6" t="s">
        <v>444</v>
      </c>
      <c r="C86" s="6"/>
      <c r="D86" s="6"/>
      <c r="E86" s="6"/>
      <c r="F86" s="6"/>
      <c r="G86" s="6">
        <v>-1</v>
      </c>
    </row>
    <row r="87" spans="1:7" x14ac:dyDescent="0.3">
      <c r="A87" s="6"/>
      <c r="B87" s="6" t="s">
        <v>332</v>
      </c>
      <c r="C87" s="6"/>
      <c r="D87" s="6"/>
      <c r="E87" s="6"/>
      <c r="F87" s="6"/>
      <c r="G87" s="6">
        <v>-1</v>
      </c>
    </row>
    <row r="88" spans="1:7" x14ac:dyDescent="0.3">
      <c r="A88" s="6"/>
      <c r="B88" s="6" t="s">
        <v>332</v>
      </c>
      <c r="C88" s="6"/>
      <c r="D88" s="6"/>
      <c r="E88" s="6"/>
      <c r="F88" s="6"/>
      <c r="G88" s="6">
        <v>-1</v>
      </c>
    </row>
    <row r="89" spans="1:7" x14ac:dyDescent="0.3">
      <c r="A89" s="6"/>
      <c r="B89" s="6" t="s">
        <v>332</v>
      </c>
      <c r="C89" s="6"/>
      <c r="D89" s="6"/>
      <c r="E89" s="6"/>
      <c r="F89" s="6"/>
      <c r="G89" s="6">
        <v>-1</v>
      </c>
    </row>
    <row r="90" spans="1:7" x14ac:dyDescent="0.3">
      <c r="A90" s="6" t="s">
        <v>1736</v>
      </c>
      <c r="B90" s="6" t="s">
        <v>358</v>
      </c>
      <c r="C90" s="6">
        <v>18</v>
      </c>
      <c r="D90" s="6"/>
      <c r="E90" s="6"/>
      <c r="F90" s="6">
        <v>25</v>
      </c>
      <c r="G90" s="6"/>
    </row>
    <row r="91" spans="1:7" x14ac:dyDescent="0.3">
      <c r="A91" s="6" t="s">
        <v>1232</v>
      </c>
      <c r="B91" s="6" t="s">
        <v>384</v>
      </c>
      <c r="C91" s="6"/>
      <c r="D91" s="6"/>
      <c r="E91" s="6"/>
      <c r="F91" s="6">
        <v>8</v>
      </c>
      <c r="G91" s="6"/>
    </row>
    <row r="92" spans="1:7" x14ac:dyDescent="0.3">
      <c r="A92" s="6"/>
      <c r="B92" s="6" t="s">
        <v>384</v>
      </c>
      <c r="C92" s="6">
        <v>-1</v>
      </c>
      <c r="D92" s="6"/>
      <c r="E92" s="6"/>
      <c r="F92" s="6">
        <v>-1</v>
      </c>
      <c r="G92" s="6"/>
    </row>
    <row r="93" spans="1:7" x14ac:dyDescent="0.3">
      <c r="A93" s="6"/>
      <c r="B93" s="6" t="s">
        <v>384</v>
      </c>
      <c r="C93" s="6">
        <v>-1</v>
      </c>
      <c r="D93" s="6"/>
      <c r="E93" s="6"/>
      <c r="F93" s="6">
        <v>-1</v>
      </c>
      <c r="G93" s="6"/>
    </row>
    <row r="94" spans="1:7" x14ac:dyDescent="0.3">
      <c r="A94" s="6"/>
      <c r="B94" s="6" t="s">
        <v>384</v>
      </c>
      <c r="C94" s="6">
        <v>-1</v>
      </c>
      <c r="D94" s="6"/>
      <c r="E94" s="6"/>
      <c r="F94" s="6">
        <v>-1</v>
      </c>
      <c r="G94" s="6"/>
    </row>
    <row r="95" spans="1:7" x14ac:dyDescent="0.3">
      <c r="A95" s="6" t="s">
        <v>1786</v>
      </c>
      <c r="B95" s="6" t="s">
        <v>328</v>
      </c>
      <c r="C95" s="6">
        <v>19</v>
      </c>
      <c r="D95" s="6"/>
      <c r="E95" s="6"/>
      <c r="F95" s="6">
        <v>22</v>
      </c>
      <c r="G95" s="6"/>
    </row>
    <row r="96" spans="1:7" x14ac:dyDescent="0.3">
      <c r="A96" s="6"/>
      <c r="B96" s="6" t="s">
        <v>328</v>
      </c>
      <c r="C96" s="6">
        <v>-1</v>
      </c>
      <c r="D96" s="6"/>
      <c r="E96" s="6"/>
      <c r="F96" s="6">
        <v>-1</v>
      </c>
      <c r="G96" s="6"/>
    </row>
    <row r="97" spans="1:7" x14ac:dyDescent="0.3">
      <c r="A97" s="6"/>
      <c r="B97" s="6" t="s">
        <v>328</v>
      </c>
      <c r="C97" s="6">
        <v>-1</v>
      </c>
      <c r="D97" s="6"/>
      <c r="E97" s="6"/>
      <c r="F97" s="6">
        <v>-1</v>
      </c>
      <c r="G97" s="6"/>
    </row>
    <row r="98" spans="1:7" x14ac:dyDescent="0.3">
      <c r="A98" s="6" t="s">
        <v>3593</v>
      </c>
      <c r="B98" s="6" t="s">
        <v>442</v>
      </c>
      <c r="C98" s="6">
        <v>28</v>
      </c>
      <c r="D98" s="6"/>
      <c r="E98" s="6"/>
      <c r="F98" s="6">
        <v>21</v>
      </c>
      <c r="G98" s="6"/>
    </row>
    <row r="99" spans="1:7" x14ac:dyDescent="0.3">
      <c r="A99" s="6"/>
      <c r="B99" s="6" t="s">
        <v>372</v>
      </c>
      <c r="C99" s="6">
        <v>-1</v>
      </c>
      <c r="D99" s="6"/>
      <c r="E99" s="6"/>
      <c r="F99" s="6">
        <v>-1</v>
      </c>
      <c r="G99" s="6"/>
    </row>
    <row r="100" spans="1:7" x14ac:dyDescent="0.3">
      <c r="A100" s="6" t="s">
        <v>1424</v>
      </c>
      <c r="B100" s="6" t="s">
        <v>344</v>
      </c>
      <c r="C100" s="6">
        <v>17</v>
      </c>
      <c r="D100" s="6"/>
      <c r="E100" s="6"/>
      <c r="F100" s="6">
        <v>5</v>
      </c>
      <c r="G100" s="6"/>
    </row>
    <row r="101" spans="1:7" x14ac:dyDescent="0.3">
      <c r="A101" s="6" t="s">
        <v>4458</v>
      </c>
      <c r="B101" s="6" t="s">
        <v>344</v>
      </c>
      <c r="C101" s="6">
        <v>27</v>
      </c>
      <c r="D101" s="6"/>
      <c r="E101" s="6"/>
      <c r="F101" s="6">
        <v>24</v>
      </c>
      <c r="G101" s="6"/>
    </row>
    <row r="102" spans="1:7" x14ac:dyDescent="0.3">
      <c r="A102" s="6"/>
      <c r="B102" s="6" t="s">
        <v>334</v>
      </c>
      <c r="C102" s="6">
        <v>-1</v>
      </c>
      <c r="D102" s="6"/>
      <c r="E102" s="6"/>
      <c r="F102" s="6">
        <v>-1</v>
      </c>
      <c r="G102" s="6"/>
    </row>
    <row r="103" spans="1:7" x14ac:dyDescent="0.3">
      <c r="A103" s="6"/>
      <c r="B103" s="6" t="s">
        <v>402</v>
      </c>
      <c r="C103" s="6">
        <v>-1</v>
      </c>
      <c r="D103" s="6"/>
      <c r="E103" s="6"/>
      <c r="F103" s="6">
        <v>-1</v>
      </c>
      <c r="G103" s="6"/>
    </row>
    <row r="104" spans="1:7" x14ac:dyDescent="0.3">
      <c r="A104" s="6"/>
      <c r="B104" s="6" t="s">
        <v>356</v>
      </c>
      <c r="C104" s="6">
        <v>-1</v>
      </c>
      <c r="D104" s="6"/>
      <c r="E104" s="6"/>
      <c r="F104" s="6">
        <v>-1</v>
      </c>
      <c r="G104" s="6"/>
    </row>
    <row r="105" spans="1:7" x14ac:dyDescent="0.3">
      <c r="A105" s="6" t="s">
        <v>3324</v>
      </c>
      <c r="B105" s="6" t="s">
        <v>428</v>
      </c>
      <c r="C105" s="6">
        <v>11</v>
      </c>
      <c r="D105" s="6"/>
      <c r="E105" s="6"/>
      <c r="F105" s="6">
        <v>2</v>
      </c>
      <c r="G105" s="6"/>
    </row>
    <row r="106" spans="1:7" x14ac:dyDescent="0.3">
      <c r="A106" s="6" t="s">
        <v>3331</v>
      </c>
      <c r="B106" s="6" t="s">
        <v>428</v>
      </c>
      <c r="C106" s="6">
        <v>2</v>
      </c>
      <c r="D106" s="6"/>
      <c r="E106" s="6"/>
      <c r="F106" s="6">
        <v>11</v>
      </c>
      <c r="G106" s="6"/>
    </row>
    <row r="107" spans="1:7" x14ac:dyDescent="0.3">
      <c r="A107" s="6"/>
      <c r="B107" s="6" t="s">
        <v>428</v>
      </c>
      <c r="C107" s="6">
        <v>-1</v>
      </c>
      <c r="D107" s="6"/>
      <c r="E107" s="6"/>
      <c r="F107" s="6">
        <v>-1</v>
      </c>
      <c r="G107" s="6"/>
    </row>
    <row r="108" spans="1:7" x14ac:dyDescent="0.3">
      <c r="A108" s="6"/>
      <c r="B108" s="6" t="s">
        <v>428</v>
      </c>
      <c r="C108" s="6">
        <v>-1</v>
      </c>
      <c r="D108" s="6"/>
      <c r="E108" s="6"/>
      <c r="F108" s="6">
        <v>-1</v>
      </c>
      <c r="G108" s="6"/>
    </row>
    <row r="109" spans="1:7" x14ac:dyDescent="0.3">
      <c r="A109" s="6" t="s">
        <v>1990</v>
      </c>
      <c r="B109" s="6" t="s">
        <v>474</v>
      </c>
      <c r="C109" s="6">
        <v>8</v>
      </c>
      <c r="D109" s="6"/>
      <c r="E109" s="6"/>
      <c r="F109" s="6">
        <v>15</v>
      </c>
      <c r="G109" s="6"/>
    </row>
    <row r="110" spans="1:7" x14ac:dyDescent="0.3">
      <c r="A110" s="6"/>
      <c r="B110" s="6" t="s">
        <v>474</v>
      </c>
      <c r="C110" s="6">
        <v>-1</v>
      </c>
      <c r="D110" s="6"/>
      <c r="E110" s="6"/>
      <c r="F110" s="6">
        <v>-1</v>
      </c>
      <c r="G110" s="6"/>
    </row>
    <row r="111" spans="1:7" x14ac:dyDescent="0.3">
      <c r="A111" s="6"/>
      <c r="B111" s="6" t="s">
        <v>474</v>
      </c>
      <c r="C111" s="6">
        <v>-1</v>
      </c>
      <c r="D111" s="6"/>
      <c r="E111" s="6"/>
      <c r="F111" s="6">
        <v>-1</v>
      </c>
      <c r="G111" s="6"/>
    </row>
    <row r="112" spans="1:7" x14ac:dyDescent="0.3">
      <c r="A112" s="6" t="s">
        <v>5006</v>
      </c>
      <c r="B112" s="6" t="s">
        <v>364</v>
      </c>
      <c r="C112" s="6">
        <v>16</v>
      </c>
      <c r="D112" s="6"/>
      <c r="E112" s="6"/>
      <c r="F112" s="6">
        <v>12</v>
      </c>
      <c r="G112" s="6"/>
    </row>
    <row r="113" spans="1:7" x14ac:dyDescent="0.3">
      <c r="A113" s="6"/>
      <c r="B113" s="6" t="s">
        <v>364</v>
      </c>
      <c r="C113" s="6">
        <v>-1</v>
      </c>
      <c r="D113" s="6"/>
      <c r="E113" s="6"/>
      <c r="F113" s="6">
        <v>-1</v>
      </c>
      <c r="G113" s="6"/>
    </row>
    <row r="114" spans="1:7" x14ac:dyDescent="0.3">
      <c r="A114" s="6"/>
      <c r="B114" s="6" t="s">
        <v>364</v>
      </c>
      <c r="C114" s="6">
        <v>-1</v>
      </c>
      <c r="D114" s="6"/>
      <c r="E114" s="6"/>
      <c r="F114" s="6">
        <v>-1</v>
      </c>
      <c r="G114" s="6"/>
    </row>
    <row r="115" spans="1:7" x14ac:dyDescent="0.3">
      <c r="A115" s="6"/>
      <c r="B115" s="6" t="s">
        <v>444</v>
      </c>
      <c r="C115" s="6">
        <v>-1</v>
      </c>
      <c r="D115" s="6"/>
      <c r="E115" s="6"/>
      <c r="F115" s="6">
        <v>-1</v>
      </c>
      <c r="G115" s="6"/>
    </row>
    <row r="116" spans="1:7" x14ac:dyDescent="0.3">
      <c r="A116" s="6"/>
      <c r="B116" s="6" t="s">
        <v>332</v>
      </c>
      <c r="C116" s="6">
        <v>-1</v>
      </c>
      <c r="D116" s="6"/>
      <c r="E116" s="6"/>
      <c r="F116" s="6">
        <v>-1</v>
      </c>
      <c r="G116" s="6"/>
    </row>
    <row r="117" spans="1:7" x14ac:dyDescent="0.3">
      <c r="A117" s="6"/>
      <c r="B117" s="6" t="s">
        <v>332</v>
      </c>
      <c r="C117" s="6">
        <v>-1</v>
      </c>
      <c r="D117" s="6"/>
      <c r="E117" s="6"/>
      <c r="F117" s="6">
        <v>-1</v>
      </c>
      <c r="G117" s="6"/>
    </row>
    <row r="118" spans="1:7" x14ac:dyDescent="0.3">
      <c r="A118" s="6"/>
      <c r="B118" s="6" t="s">
        <v>332</v>
      </c>
      <c r="C118" s="6">
        <v>-1</v>
      </c>
      <c r="D118" s="6"/>
      <c r="E118" s="6"/>
      <c r="F118" s="6">
        <v>-1</v>
      </c>
      <c r="G118" s="6"/>
    </row>
    <row r="119" spans="1:7" x14ac:dyDescent="0.3">
      <c r="A119" s="6"/>
      <c r="B119" s="6" t="s">
        <v>332</v>
      </c>
      <c r="C119" s="6">
        <v>-1</v>
      </c>
      <c r="D119" s="6"/>
      <c r="E119" s="6"/>
      <c r="F119" s="6">
        <v>-1</v>
      </c>
      <c r="G119" s="6"/>
    </row>
  </sheetData>
  <pageMargins left="0.7" right="0.7" top="0.75" bottom="0.75" header="0.3" footer="0.3"/>
  <tableParts count="1">
    <tablePart r:id="rId1"/>
  </tableParts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1640D-53D8-4716-89BA-F90D60FFC424}">
  <dimension ref="A1:G120"/>
  <sheetViews>
    <sheetView topLeftCell="A112" workbookViewId="0">
      <selection activeCell="B121" sqref="B121"/>
    </sheetView>
  </sheetViews>
  <sheetFormatPr defaultRowHeight="14.4" x14ac:dyDescent="0.3"/>
  <cols>
    <col min="1" max="1" width="26.88671875" bestFit="1" customWidth="1"/>
    <col min="2" max="2" width="14" bestFit="1" customWidth="1"/>
    <col min="3" max="3" width="20" bestFit="1" customWidth="1"/>
    <col min="4" max="4" width="21.77734375" bestFit="1" customWidth="1"/>
    <col min="5" max="5" width="32.109375" bestFit="1" customWidth="1"/>
    <col min="6" max="6" width="23.21875" bestFit="1" customWidth="1"/>
    <col min="7" max="7" width="29.5546875" bestFit="1" customWidth="1"/>
  </cols>
  <sheetData>
    <row r="1" spans="1:7" x14ac:dyDescent="0.3">
      <c r="A1" t="s">
        <v>832</v>
      </c>
      <c r="B1" t="s">
        <v>1</v>
      </c>
      <c r="C1" t="s">
        <v>1027</v>
      </c>
      <c r="D1" t="s">
        <v>1029</v>
      </c>
      <c r="E1" t="s">
        <v>1040</v>
      </c>
      <c r="F1" t="s">
        <v>1032</v>
      </c>
      <c r="G1" t="s">
        <v>1041</v>
      </c>
    </row>
    <row r="2" spans="1:7" x14ac:dyDescent="0.3">
      <c r="A2" s="6" t="s">
        <v>2347</v>
      </c>
      <c r="B2" s="6" t="s">
        <v>354</v>
      </c>
      <c r="C2" s="6"/>
      <c r="D2" s="6">
        <v>24</v>
      </c>
      <c r="E2" s="6"/>
      <c r="F2" s="6"/>
      <c r="G2" s="6"/>
    </row>
    <row r="3" spans="1:7" x14ac:dyDescent="0.3">
      <c r="A3" s="6" t="s">
        <v>2386</v>
      </c>
      <c r="B3" s="6" t="s">
        <v>354</v>
      </c>
      <c r="C3" s="6"/>
      <c r="D3" s="6">
        <v>20</v>
      </c>
      <c r="E3" s="6"/>
      <c r="F3" s="6"/>
      <c r="G3" s="6"/>
    </row>
    <row r="4" spans="1:7" x14ac:dyDescent="0.3">
      <c r="A4" s="6"/>
      <c r="B4" s="6" t="s">
        <v>354</v>
      </c>
      <c r="C4" s="6"/>
      <c r="D4" s="6">
        <v>-1</v>
      </c>
      <c r="E4" s="6"/>
      <c r="F4" s="6"/>
      <c r="G4" s="6"/>
    </row>
    <row r="5" spans="1:7" x14ac:dyDescent="0.3">
      <c r="A5" s="6" t="s">
        <v>2145</v>
      </c>
      <c r="B5" s="6" t="s">
        <v>384</v>
      </c>
      <c r="C5" s="6"/>
      <c r="D5" s="6">
        <v>23</v>
      </c>
      <c r="E5" s="6"/>
      <c r="F5" s="6"/>
      <c r="G5" s="6"/>
    </row>
    <row r="6" spans="1:7" x14ac:dyDescent="0.3">
      <c r="A6" s="6" t="s">
        <v>2154</v>
      </c>
      <c r="B6" s="6" t="s">
        <v>384</v>
      </c>
      <c r="C6" s="6"/>
      <c r="D6" s="6">
        <v>17</v>
      </c>
      <c r="E6" s="6"/>
      <c r="F6" s="6"/>
      <c r="G6" s="6"/>
    </row>
    <row r="7" spans="1:7" x14ac:dyDescent="0.3">
      <c r="A7" s="6"/>
      <c r="B7" s="6" t="s">
        <v>384</v>
      </c>
      <c r="C7" s="6"/>
      <c r="D7" s="6">
        <v>-1</v>
      </c>
      <c r="E7" s="6"/>
      <c r="F7" s="6"/>
      <c r="G7" s="6"/>
    </row>
    <row r="8" spans="1:7" x14ac:dyDescent="0.3">
      <c r="A8" s="6" t="s">
        <v>4741</v>
      </c>
      <c r="B8" s="6" t="s">
        <v>328</v>
      </c>
      <c r="C8" s="6"/>
      <c r="D8" s="6">
        <v>19</v>
      </c>
      <c r="E8" s="6"/>
      <c r="F8" s="6"/>
      <c r="G8" s="6"/>
    </row>
    <row r="9" spans="1:7" x14ac:dyDescent="0.3">
      <c r="A9" s="6"/>
      <c r="B9" s="6" t="s">
        <v>328</v>
      </c>
      <c r="C9" s="6"/>
      <c r="D9" s="6">
        <v>-1</v>
      </c>
      <c r="E9" s="6"/>
      <c r="F9" s="6"/>
      <c r="G9" s="6"/>
    </row>
    <row r="10" spans="1:7" x14ac:dyDescent="0.3">
      <c r="A10" s="6"/>
      <c r="B10" s="6" t="s">
        <v>328</v>
      </c>
      <c r="C10" s="6"/>
      <c r="D10" s="6">
        <v>-1</v>
      </c>
      <c r="E10" s="6"/>
      <c r="F10" s="6"/>
      <c r="G10" s="6"/>
    </row>
    <row r="11" spans="1:7" x14ac:dyDescent="0.3">
      <c r="A11" s="6"/>
      <c r="B11" s="6" t="s">
        <v>328</v>
      </c>
      <c r="C11" s="6"/>
      <c r="D11" s="6">
        <v>-1</v>
      </c>
      <c r="E11" s="6"/>
      <c r="F11" s="6"/>
      <c r="G11" s="6"/>
    </row>
    <row r="12" spans="1:7" x14ac:dyDescent="0.3">
      <c r="A12" s="6"/>
      <c r="B12" s="6" t="s">
        <v>334</v>
      </c>
      <c r="C12" s="6"/>
      <c r="D12" s="6">
        <v>-1</v>
      </c>
      <c r="E12" s="6"/>
      <c r="F12" s="6"/>
      <c r="G12" s="6"/>
    </row>
    <row r="13" spans="1:7" x14ac:dyDescent="0.3">
      <c r="A13" s="6"/>
      <c r="B13" s="6" t="s">
        <v>334</v>
      </c>
      <c r="C13" s="6"/>
      <c r="D13" s="6">
        <v>-1</v>
      </c>
      <c r="E13" s="6"/>
      <c r="F13" s="6"/>
      <c r="G13" s="6"/>
    </row>
    <row r="14" spans="1:7" x14ac:dyDescent="0.3">
      <c r="A14" s="6"/>
      <c r="B14" s="6" t="s">
        <v>334</v>
      </c>
      <c r="C14" s="6"/>
      <c r="D14" s="6">
        <v>-1</v>
      </c>
      <c r="E14" s="6"/>
      <c r="F14" s="6"/>
      <c r="G14" s="6"/>
    </row>
    <row r="15" spans="1:7" x14ac:dyDescent="0.3">
      <c r="A15" s="6" t="s">
        <v>1290</v>
      </c>
      <c r="B15" s="6" t="s">
        <v>428</v>
      </c>
      <c r="C15" s="6"/>
      <c r="D15" s="6">
        <v>5</v>
      </c>
      <c r="E15" s="6"/>
      <c r="F15" s="6"/>
      <c r="G15" s="6"/>
    </row>
    <row r="16" spans="1:7" x14ac:dyDescent="0.3">
      <c r="A16" s="6"/>
      <c r="B16" s="6" t="s">
        <v>428</v>
      </c>
      <c r="C16" s="6"/>
      <c r="D16" s="6">
        <v>-1</v>
      </c>
      <c r="E16" s="6"/>
      <c r="F16" s="6"/>
      <c r="G16" s="6"/>
    </row>
    <row r="17" spans="1:7" x14ac:dyDescent="0.3">
      <c r="A17" s="6"/>
      <c r="B17" s="6" t="s">
        <v>428</v>
      </c>
      <c r="C17" s="6"/>
      <c r="D17" s="6">
        <v>-1</v>
      </c>
      <c r="E17" s="6"/>
      <c r="F17" s="6"/>
      <c r="G17" s="6"/>
    </row>
    <row r="18" spans="1:7" x14ac:dyDescent="0.3">
      <c r="A18" s="6"/>
      <c r="B18" s="6" t="s">
        <v>428</v>
      </c>
      <c r="C18" s="6"/>
      <c r="D18" s="6">
        <v>-1</v>
      </c>
      <c r="E18" s="6"/>
      <c r="F18" s="6"/>
      <c r="G18" s="6"/>
    </row>
    <row r="19" spans="1:7" x14ac:dyDescent="0.3">
      <c r="A19" s="6"/>
      <c r="B19" s="6" t="s">
        <v>700</v>
      </c>
      <c r="C19" s="6"/>
      <c r="D19" s="6">
        <v>-1</v>
      </c>
      <c r="E19" s="6"/>
      <c r="F19" s="6"/>
      <c r="G19" s="6"/>
    </row>
    <row r="20" spans="1:7" x14ac:dyDescent="0.3">
      <c r="A20" s="6"/>
      <c r="B20" s="6" t="s">
        <v>700</v>
      </c>
      <c r="C20" s="6"/>
      <c r="D20" s="6">
        <v>-1</v>
      </c>
      <c r="E20" s="6"/>
      <c r="F20" s="6"/>
      <c r="G20" s="6"/>
    </row>
    <row r="21" spans="1:7" x14ac:dyDescent="0.3">
      <c r="A21" s="6"/>
      <c r="B21" s="6" t="s">
        <v>330</v>
      </c>
      <c r="C21" s="6"/>
      <c r="D21" s="6">
        <v>-1</v>
      </c>
      <c r="E21" s="6"/>
      <c r="F21" s="6"/>
      <c r="G21" s="6"/>
    </row>
    <row r="22" spans="1:7" x14ac:dyDescent="0.3">
      <c r="A22" s="6"/>
      <c r="B22" s="6" t="s">
        <v>444</v>
      </c>
      <c r="C22" s="6"/>
      <c r="D22" s="6">
        <v>-1</v>
      </c>
      <c r="E22" s="6"/>
      <c r="F22" s="6"/>
      <c r="G22" s="6"/>
    </row>
    <row r="23" spans="1:7" x14ac:dyDescent="0.3">
      <c r="A23" s="6" t="s">
        <v>2020</v>
      </c>
      <c r="B23" s="6" t="s">
        <v>332</v>
      </c>
      <c r="C23" s="6"/>
      <c r="D23" s="6">
        <v>2</v>
      </c>
      <c r="E23" s="6"/>
      <c r="F23" s="6"/>
      <c r="G23" s="6"/>
    </row>
    <row r="24" spans="1:7" x14ac:dyDescent="0.3">
      <c r="A24" s="6" t="s">
        <v>2031</v>
      </c>
      <c r="B24" s="6" t="s">
        <v>332</v>
      </c>
      <c r="C24" s="6"/>
      <c r="D24" s="6">
        <v>12</v>
      </c>
      <c r="E24" s="6"/>
      <c r="F24" s="6"/>
      <c r="G24" s="6"/>
    </row>
    <row r="25" spans="1:7" x14ac:dyDescent="0.3">
      <c r="A25" s="6" t="s">
        <v>4204</v>
      </c>
      <c r="B25" s="6" t="s">
        <v>332</v>
      </c>
      <c r="C25" s="6"/>
      <c r="D25" s="6">
        <v>15</v>
      </c>
      <c r="E25" s="6"/>
      <c r="F25" s="6"/>
      <c r="G25" s="6"/>
    </row>
    <row r="26" spans="1:7" x14ac:dyDescent="0.3">
      <c r="A26" s="6"/>
      <c r="B26" s="6" t="s">
        <v>332</v>
      </c>
      <c r="C26" s="6"/>
      <c r="D26" s="6">
        <v>-1</v>
      </c>
      <c r="E26" s="6"/>
      <c r="F26" s="6"/>
      <c r="G26" s="6"/>
    </row>
    <row r="27" spans="1:7" x14ac:dyDescent="0.3">
      <c r="A27" s="6" t="s">
        <v>4561</v>
      </c>
      <c r="B27" s="6" t="s">
        <v>358</v>
      </c>
      <c r="C27" s="6"/>
      <c r="D27" s="6"/>
      <c r="E27" s="6">
        <v>2</v>
      </c>
      <c r="F27" s="6"/>
      <c r="G27" s="6"/>
    </row>
    <row r="28" spans="1:7" x14ac:dyDescent="0.3">
      <c r="A28" s="6"/>
      <c r="B28" s="6" t="s">
        <v>358</v>
      </c>
      <c r="C28" s="6"/>
      <c r="D28" s="6"/>
      <c r="E28" s="6">
        <v>-1</v>
      </c>
      <c r="F28" s="6"/>
      <c r="G28" s="6"/>
    </row>
    <row r="29" spans="1:7" x14ac:dyDescent="0.3">
      <c r="A29" s="6"/>
      <c r="B29" s="6" t="s">
        <v>358</v>
      </c>
      <c r="C29" s="6"/>
      <c r="D29" s="6"/>
      <c r="E29" s="6">
        <v>-1</v>
      </c>
      <c r="F29" s="6"/>
      <c r="G29" s="6"/>
    </row>
    <row r="30" spans="1:7" x14ac:dyDescent="0.3">
      <c r="A30" s="6"/>
      <c r="B30" s="6" t="s">
        <v>370</v>
      </c>
      <c r="C30" s="6"/>
      <c r="D30" s="6"/>
      <c r="E30" s="6">
        <v>-1</v>
      </c>
      <c r="F30" s="6"/>
      <c r="G30" s="6"/>
    </row>
    <row r="31" spans="1:7" x14ac:dyDescent="0.3">
      <c r="A31" s="6"/>
      <c r="B31" s="6" t="s">
        <v>384</v>
      </c>
      <c r="C31" s="6"/>
      <c r="D31" s="6"/>
      <c r="E31" s="6">
        <v>-1</v>
      </c>
      <c r="F31" s="6"/>
      <c r="G31" s="6"/>
    </row>
    <row r="32" spans="1:7" x14ac:dyDescent="0.3">
      <c r="A32" s="6"/>
      <c r="B32" s="6" t="s">
        <v>384</v>
      </c>
      <c r="C32" s="6"/>
      <c r="D32" s="6"/>
      <c r="E32" s="6">
        <v>-1</v>
      </c>
      <c r="F32" s="6"/>
      <c r="G32" s="6"/>
    </row>
    <row r="33" spans="1:7" x14ac:dyDescent="0.3">
      <c r="A33" s="6"/>
      <c r="B33" s="6" t="s">
        <v>328</v>
      </c>
      <c r="C33" s="6"/>
      <c r="D33" s="6"/>
      <c r="E33" s="6">
        <v>-1</v>
      </c>
      <c r="F33" s="6"/>
      <c r="G33" s="6"/>
    </row>
    <row r="34" spans="1:7" x14ac:dyDescent="0.3">
      <c r="A34" s="6"/>
      <c r="B34" s="6" t="s">
        <v>328</v>
      </c>
      <c r="C34" s="6"/>
      <c r="D34" s="6"/>
      <c r="E34" s="6">
        <v>-1</v>
      </c>
      <c r="F34" s="6"/>
      <c r="G34" s="6"/>
    </row>
    <row r="35" spans="1:7" x14ac:dyDescent="0.3">
      <c r="A35" s="6"/>
      <c r="B35" s="6" t="s">
        <v>328</v>
      </c>
      <c r="C35" s="6"/>
      <c r="D35" s="6"/>
      <c r="E35" s="6">
        <v>-1</v>
      </c>
      <c r="F35" s="6"/>
      <c r="G35" s="6"/>
    </row>
    <row r="36" spans="1:7" x14ac:dyDescent="0.3">
      <c r="A36" s="6" t="s">
        <v>3602</v>
      </c>
      <c r="B36" s="6" t="s">
        <v>442</v>
      </c>
      <c r="C36" s="6"/>
      <c r="D36" s="6"/>
      <c r="E36" s="6">
        <v>1</v>
      </c>
      <c r="F36" s="6"/>
      <c r="G36" s="6"/>
    </row>
    <row r="37" spans="1:7" x14ac:dyDescent="0.3">
      <c r="A37" s="6"/>
      <c r="B37" s="6" t="s">
        <v>442</v>
      </c>
      <c r="C37" s="6"/>
      <c r="D37" s="6"/>
      <c r="E37" s="6">
        <v>-1</v>
      </c>
      <c r="F37" s="6"/>
      <c r="G37" s="6"/>
    </row>
    <row r="38" spans="1:7" x14ac:dyDescent="0.3">
      <c r="A38" s="6"/>
      <c r="B38" s="6" t="s">
        <v>334</v>
      </c>
      <c r="C38" s="6"/>
      <c r="D38" s="6"/>
      <c r="E38" s="6">
        <v>-1</v>
      </c>
      <c r="F38" s="6"/>
      <c r="G38" s="6"/>
    </row>
    <row r="39" spans="1:7" x14ac:dyDescent="0.3">
      <c r="A39" s="6"/>
      <c r="B39" s="6" t="s">
        <v>334</v>
      </c>
      <c r="C39" s="6"/>
      <c r="D39" s="6"/>
      <c r="E39" s="6">
        <v>-1</v>
      </c>
      <c r="F39" s="6"/>
      <c r="G39" s="6"/>
    </row>
    <row r="40" spans="1:7" x14ac:dyDescent="0.3">
      <c r="A40" s="6"/>
      <c r="B40" s="6" t="s">
        <v>334</v>
      </c>
      <c r="C40" s="6"/>
      <c r="D40" s="6"/>
      <c r="E40" s="6">
        <v>-1</v>
      </c>
      <c r="F40" s="6"/>
      <c r="G40" s="6"/>
    </row>
    <row r="41" spans="1:7" x14ac:dyDescent="0.3">
      <c r="A41" s="6"/>
      <c r="B41" s="6" t="s">
        <v>334</v>
      </c>
      <c r="C41" s="6"/>
      <c r="D41" s="6"/>
      <c r="E41" s="6">
        <v>-1</v>
      </c>
      <c r="F41" s="6"/>
      <c r="G41" s="6"/>
    </row>
    <row r="42" spans="1:7" x14ac:dyDescent="0.3">
      <c r="A42" s="6" t="s">
        <v>2261</v>
      </c>
      <c r="B42" s="6" t="s">
        <v>356</v>
      </c>
      <c r="C42" s="6"/>
      <c r="D42" s="6"/>
      <c r="E42" s="6">
        <v>13</v>
      </c>
      <c r="F42" s="6"/>
      <c r="G42" s="6"/>
    </row>
    <row r="43" spans="1:7" x14ac:dyDescent="0.3">
      <c r="A43" s="6"/>
      <c r="B43" s="6" t="s">
        <v>356</v>
      </c>
      <c r="C43" s="6"/>
      <c r="D43" s="6"/>
      <c r="E43" s="6">
        <v>-1</v>
      </c>
      <c r="F43" s="6"/>
      <c r="G43" s="6"/>
    </row>
    <row r="44" spans="1:7" x14ac:dyDescent="0.3">
      <c r="A44" s="6"/>
      <c r="B44" s="6" t="s">
        <v>356</v>
      </c>
      <c r="C44" s="6"/>
      <c r="D44" s="6"/>
      <c r="E44" s="6">
        <v>-1</v>
      </c>
      <c r="F44" s="6"/>
      <c r="G44" s="6"/>
    </row>
    <row r="45" spans="1:7" x14ac:dyDescent="0.3">
      <c r="A45" s="6"/>
      <c r="B45" s="6" t="s">
        <v>356</v>
      </c>
      <c r="C45" s="6"/>
      <c r="D45" s="6"/>
      <c r="E45" s="6">
        <v>-1</v>
      </c>
      <c r="F45" s="6"/>
      <c r="G45" s="6"/>
    </row>
    <row r="46" spans="1:7" x14ac:dyDescent="0.3">
      <c r="A46" s="6" t="s">
        <v>1307</v>
      </c>
      <c r="B46" s="6" t="s">
        <v>428</v>
      </c>
      <c r="C46" s="6"/>
      <c r="D46" s="6"/>
      <c r="E46" s="6">
        <v>22</v>
      </c>
      <c r="F46" s="6"/>
      <c r="G46" s="6"/>
    </row>
    <row r="47" spans="1:7" x14ac:dyDescent="0.3">
      <c r="A47" s="6"/>
      <c r="B47" s="6" t="s">
        <v>428</v>
      </c>
      <c r="C47" s="6"/>
      <c r="D47" s="6"/>
      <c r="E47" s="6">
        <v>-1</v>
      </c>
      <c r="F47" s="6"/>
      <c r="G47" s="6"/>
    </row>
    <row r="48" spans="1:7" x14ac:dyDescent="0.3">
      <c r="A48" s="6"/>
      <c r="B48" s="6" t="s">
        <v>412</v>
      </c>
      <c r="C48" s="6"/>
      <c r="D48" s="6"/>
      <c r="E48" s="6">
        <v>-1</v>
      </c>
      <c r="F48" s="6"/>
      <c r="G48" s="6"/>
    </row>
    <row r="49" spans="1:7" x14ac:dyDescent="0.3">
      <c r="A49" s="6"/>
      <c r="B49" s="6" t="s">
        <v>394</v>
      </c>
      <c r="C49" s="6"/>
      <c r="D49" s="6"/>
      <c r="E49" s="6">
        <v>-1</v>
      </c>
      <c r="F49" s="6"/>
      <c r="G49" s="6"/>
    </row>
    <row r="50" spans="1:7" x14ac:dyDescent="0.3">
      <c r="A50" s="6"/>
      <c r="B50" s="6" t="s">
        <v>394</v>
      </c>
      <c r="C50" s="6"/>
      <c r="D50" s="6"/>
      <c r="E50" s="6">
        <v>-1</v>
      </c>
      <c r="F50" s="6"/>
      <c r="G50" s="6"/>
    </row>
    <row r="51" spans="1:7" x14ac:dyDescent="0.3">
      <c r="A51" s="6"/>
      <c r="B51" s="6" t="s">
        <v>694</v>
      </c>
      <c r="C51" s="6"/>
      <c r="D51" s="6"/>
      <c r="E51" s="6">
        <v>-1</v>
      </c>
      <c r="F51" s="6"/>
      <c r="G51" s="6"/>
    </row>
    <row r="52" spans="1:7" x14ac:dyDescent="0.3">
      <c r="A52" s="6"/>
      <c r="B52" s="6" t="s">
        <v>700</v>
      </c>
      <c r="C52" s="6"/>
      <c r="D52" s="6"/>
      <c r="E52" s="6">
        <v>-1</v>
      </c>
      <c r="F52" s="6"/>
      <c r="G52" s="6"/>
    </row>
    <row r="53" spans="1:7" x14ac:dyDescent="0.3">
      <c r="A53" s="6" t="s">
        <v>4547</v>
      </c>
      <c r="B53" s="6" t="s">
        <v>444</v>
      </c>
      <c r="C53" s="6"/>
      <c r="D53" s="6"/>
      <c r="E53" s="6">
        <v>23</v>
      </c>
      <c r="F53" s="6"/>
      <c r="G53" s="6"/>
    </row>
    <row r="54" spans="1:7" x14ac:dyDescent="0.3">
      <c r="A54" s="6"/>
      <c r="B54" s="6" t="s">
        <v>444</v>
      </c>
      <c r="C54" s="6"/>
      <c r="D54" s="6"/>
      <c r="E54" s="6">
        <v>-1</v>
      </c>
      <c r="F54" s="6"/>
      <c r="G54" s="6"/>
    </row>
    <row r="55" spans="1:7" x14ac:dyDescent="0.3">
      <c r="A55" s="6"/>
      <c r="B55" s="6" t="s">
        <v>444</v>
      </c>
      <c r="C55" s="6"/>
      <c r="D55" s="6"/>
      <c r="E55" s="6">
        <v>-1</v>
      </c>
      <c r="F55" s="6"/>
      <c r="G55" s="6"/>
    </row>
    <row r="56" spans="1:7" x14ac:dyDescent="0.3">
      <c r="A56" s="6"/>
      <c r="B56" s="6" t="s">
        <v>444</v>
      </c>
      <c r="C56" s="6"/>
      <c r="D56" s="6"/>
      <c r="E56" s="6">
        <v>-1</v>
      </c>
      <c r="F56" s="6"/>
      <c r="G56" s="6"/>
    </row>
    <row r="57" spans="1:7" x14ac:dyDescent="0.3">
      <c r="A57" s="6" t="s">
        <v>2505</v>
      </c>
      <c r="B57" s="6" t="s">
        <v>726</v>
      </c>
      <c r="C57" s="6"/>
      <c r="D57" s="6"/>
      <c r="E57" s="6">
        <v>29</v>
      </c>
      <c r="F57" s="6"/>
      <c r="G57" s="6"/>
    </row>
    <row r="58" spans="1:7" x14ac:dyDescent="0.3">
      <c r="A58" s="6" t="s">
        <v>4833</v>
      </c>
      <c r="B58" s="6" t="s">
        <v>332</v>
      </c>
      <c r="C58" s="6"/>
      <c r="D58" s="6"/>
      <c r="E58" s="6">
        <v>30</v>
      </c>
      <c r="F58" s="6"/>
      <c r="G58" s="6"/>
    </row>
    <row r="59" spans="1:7" x14ac:dyDescent="0.3">
      <c r="A59" s="6" t="s">
        <v>2351</v>
      </c>
      <c r="B59" s="6" t="s">
        <v>354</v>
      </c>
      <c r="C59" s="6"/>
      <c r="D59" s="6"/>
      <c r="E59" s="6"/>
      <c r="F59" s="6"/>
      <c r="G59" s="6">
        <v>1</v>
      </c>
    </row>
    <row r="60" spans="1:7" x14ac:dyDescent="0.3">
      <c r="A60" s="6" t="s">
        <v>2471</v>
      </c>
      <c r="B60" s="6" t="s">
        <v>354</v>
      </c>
      <c r="C60" s="6"/>
      <c r="D60" s="6"/>
      <c r="E60" s="6"/>
      <c r="F60" s="6"/>
      <c r="G60" s="6">
        <v>23</v>
      </c>
    </row>
    <row r="61" spans="1:7" x14ac:dyDescent="0.3">
      <c r="A61" s="6"/>
      <c r="B61" s="6" t="s">
        <v>354</v>
      </c>
      <c r="C61" s="6"/>
      <c r="D61" s="6"/>
      <c r="E61" s="6"/>
      <c r="F61" s="6"/>
      <c r="G61" s="6">
        <v>-1</v>
      </c>
    </row>
    <row r="62" spans="1:7" x14ac:dyDescent="0.3">
      <c r="A62" s="6"/>
      <c r="B62" s="6" t="s">
        <v>358</v>
      </c>
      <c r="C62" s="6"/>
      <c r="D62" s="6"/>
      <c r="E62" s="6"/>
      <c r="F62" s="6"/>
      <c r="G62" s="6">
        <v>-1</v>
      </c>
    </row>
    <row r="63" spans="1:7" x14ac:dyDescent="0.3">
      <c r="A63" s="6"/>
      <c r="B63" s="6" t="s">
        <v>384</v>
      </c>
      <c r="C63" s="6"/>
      <c r="D63" s="6"/>
      <c r="E63" s="6"/>
      <c r="F63" s="6"/>
      <c r="G63" s="6">
        <v>-1</v>
      </c>
    </row>
    <row r="64" spans="1:7" x14ac:dyDescent="0.3">
      <c r="A64" s="6"/>
      <c r="B64" s="6" t="s">
        <v>328</v>
      </c>
      <c r="C64" s="6"/>
      <c r="D64" s="6"/>
      <c r="E64" s="6"/>
      <c r="F64" s="6"/>
      <c r="G64" s="6">
        <v>-1</v>
      </c>
    </row>
    <row r="65" spans="1:7" x14ac:dyDescent="0.3">
      <c r="A65" s="6"/>
      <c r="B65" s="6" t="s">
        <v>328</v>
      </c>
      <c r="C65" s="6"/>
      <c r="D65" s="6"/>
      <c r="E65" s="6"/>
      <c r="F65" s="6"/>
      <c r="G65" s="6">
        <v>-1</v>
      </c>
    </row>
    <row r="66" spans="1:7" x14ac:dyDescent="0.3">
      <c r="A66" s="6"/>
      <c r="B66" s="6" t="s">
        <v>442</v>
      </c>
      <c r="C66" s="6"/>
      <c r="D66" s="6"/>
      <c r="E66" s="6"/>
      <c r="F66" s="6"/>
      <c r="G66" s="6">
        <v>-1</v>
      </c>
    </row>
    <row r="67" spans="1:7" x14ac:dyDescent="0.3">
      <c r="A67" s="6"/>
      <c r="B67" s="6" t="s">
        <v>442</v>
      </c>
      <c r="C67" s="6"/>
      <c r="D67" s="6"/>
      <c r="E67" s="6"/>
      <c r="F67" s="6"/>
      <c r="G67" s="6">
        <v>-1</v>
      </c>
    </row>
    <row r="68" spans="1:7" x14ac:dyDescent="0.3">
      <c r="A68" s="6"/>
      <c r="B68" s="6" t="s">
        <v>572</v>
      </c>
      <c r="C68" s="6"/>
      <c r="D68" s="6"/>
      <c r="E68" s="6"/>
      <c r="F68" s="6"/>
      <c r="G68" s="6">
        <v>-1</v>
      </c>
    </row>
    <row r="69" spans="1:7" x14ac:dyDescent="0.3">
      <c r="A69" s="6"/>
      <c r="B69" s="6" t="s">
        <v>344</v>
      </c>
      <c r="C69" s="6"/>
      <c r="D69" s="6"/>
      <c r="E69" s="6"/>
      <c r="F69" s="6"/>
      <c r="G69" s="6">
        <v>-1</v>
      </c>
    </row>
    <row r="70" spans="1:7" x14ac:dyDescent="0.3">
      <c r="A70" s="6"/>
      <c r="B70" s="6" t="s">
        <v>344</v>
      </c>
      <c r="C70" s="6"/>
      <c r="D70" s="6"/>
      <c r="E70" s="6"/>
      <c r="F70" s="6"/>
      <c r="G70" s="6">
        <v>-1</v>
      </c>
    </row>
    <row r="71" spans="1:7" x14ac:dyDescent="0.3">
      <c r="A71" s="6"/>
      <c r="B71" s="6" t="s">
        <v>344</v>
      </c>
      <c r="C71" s="6"/>
      <c r="D71" s="6"/>
      <c r="E71" s="6"/>
      <c r="F71" s="6"/>
      <c r="G71" s="6">
        <v>-1</v>
      </c>
    </row>
    <row r="72" spans="1:7" x14ac:dyDescent="0.3">
      <c r="A72" s="6"/>
      <c r="B72" s="6" t="s">
        <v>344</v>
      </c>
      <c r="C72" s="6"/>
      <c r="D72" s="6"/>
      <c r="E72" s="6"/>
      <c r="F72" s="6"/>
      <c r="G72" s="6">
        <v>-1</v>
      </c>
    </row>
    <row r="73" spans="1:7" x14ac:dyDescent="0.3">
      <c r="A73" s="6"/>
      <c r="B73" s="6" t="s">
        <v>334</v>
      </c>
      <c r="C73" s="6"/>
      <c r="D73" s="6"/>
      <c r="E73" s="6"/>
      <c r="F73" s="6"/>
      <c r="G73" s="6">
        <v>-1</v>
      </c>
    </row>
    <row r="74" spans="1:7" x14ac:dyDescent="0.3">
      <c r="A74" s="6" t="s">
        <v>1314</v>
      </c>
      <c r="B74" s="6" t="s">
        <v>402</v>
      </c>
      <c r="C74" s="6"/>
      <c r="D74" s="6"/>
      <c r="E74" s="6"/>
      <c r="F74" s="6"/>
      <c r="G74" s="6">
        <v>13</v>
      </c>
    </row>
    <row r="75" spans="1:7" x14ac:dyDescent="0.3">
      <c r="A75" s="6"/>
      <c r="B75" s="6" t="s">
        <v>406</v>
      </c>
      <c r="C75" s="6"/>
      <c r="D75" s="6"/>
      <c r="E75" s="6"/>
      <c r="F75" s="6"/>
      <c r="G75" s="6">
        <v>-1</v>
      </c>
    </row>
    <row r="76" spans="1:7" x14ac:dyDescent="0.3">
      <c r="A76" s="6" t="s">
        <v>4278</v>
      </c>
      <c r="B76" s="6" t="s">
        <v>356</v>
      </c>
      <c r="C76" s="6"/>
      <c r="D76" s="6"/>
      <c r="E76" s="6"/>
      <c r="F76" s="6"/>
      <c r="G76" s="6">
        <v>21</v>
      </c>
    </row>
    <row r="77" spans="1:7" x14ac:dyDescent="0.3">
      <c r="A77" s="6"/>
      <c r="B77" s="6" t="s">
        <v>356</v>
      </c>
      <c r="C77" s="6"/>
      <c r="D77" s="6"/>
      <c r="E77" s="6"/>
      <c r="F77" s="6"/>
      <c r="G77" s="6">
        <v>-1</v>
      </c>
    </row>
    <row r="78" spans="1:7" x14ac:dyDescent="0.3">
      <c r="A78" s="6"/>
      <c r="B78" s="6" t="s">
        <v>356</v>
      </c>
      <c r="C78" s="6"/>
      <c r="D78" s="6"/>
      <c r="E78" s="6"/>
      <c r="F78" s="6"/>
      <c r="G78" s="6">
        <v>-1</v>
      </c>
    </row>
    <row r="79" spans="1:7" x14ac:dyDescent="0.3">
      <c r="A79" s="6" t="s">
        <v>3745</v>
      </c>
      <c r="B79" s="6" t="s">
        <v>428</v>
      </c>
      <c r="C79" s="6"/>
      <c r="D79" s="6"/>
      <c r="E79" s="6"/>
      <c r="F79" s="6"/>
      <c r="G79" s="6">
        <v>6</v>
      </c>
    </row>
    <row r="80" spans="1:7" x14ac:dyDescent="0.3">
      <c r="A80" s="6"/>
      <c r="B80" s="6" t="s">
        <v>348</v>
      </c>
      <c r="C80" s="6"/>
      <c r="D80" s="6"/>
      <c r="E80" s="6"/>
      <c r="F80" s="6"/>
      <c r="G80" s="6">
        <v>-1</v>
      </c>
    </row>
    <row r="81" spans="1:7" x14ac:dyDescent="0.3">
      <c r="A81" s="6"/>
      <c r="B81" s="6" t="s">
        <v>348</v>
      </c>
      <c r="C81" s="6"/>
      <c r="D81" s="6"/>
      <c r="E81" s="6"/>
      <c r="F81" s="6"/>
      <c r="G81" s="6">
        <v>-1</v>
      </c>
    </row>
    <row r="82" spans="1:7" x14ac:dyDescent="0.3">
      <c r="A82" s="6"/>
      <c r="B82" s="6" t="s">
        <v>700</v>
      </c>
      <c r="C82" s="6"/>
      <c r="D82" s="6"/>
      <c r="E82" s="6"/>
      <c r="F82" s="6"/>
      <c r="G82" s="6">
        <v>-1</v>
      </c>
    </row>
    <row r="83" spans="1:7" x14ac:dyDescent="0.3">
      <c r="A83" s="6" t="s">
        <v>4260</v>
      </c>
      <c r="B83" s="6" t="s">
        <v>444</v>
      </c>
      <c r="C83" s="6"/>
      <c r="D83" s="6"/>
      <c r="E83" s="6"/>
      <c r="F83" s="6"/>
      <c r="G83" s="6">
        <v>11</v>
      </c>
    </row>
    <row r="84" spans="1:7" x14ac:dyDescent="0.3">
      <c r="A84" s="6"/>
      <c r="B84" s="6" t="s">
        <v>444</v>
      </c>
      <c r="C84" s="6"/>
      <c r="D84" s="6"/>
      <c r="E84" s="6"/>
      <c r="F84" s="6"/>
      <c r="G84" s="6">
        <v>-1</v>
      </c>
    </row>
    <row r="85" spans="1:7" x14ac:dyDescent="0.3">
      <c r="A85" s="6"/>
      <c r="B85" s="6" t="s">
        <v>444</v>
      </c>
      <c r="C85" s="6"/>
      <c r="D85" s="6"/>
      <c r="E85" s="6"/>
      <c r="F85" s="6"/>
      <c r="G85" s="6">
        <v>-1</v>
      </c>
    </row>
    <row r="86" spans="1:7" x14ac:dyDescent="0.3">
      <c r="A86" s="6"/>
      <c r="B86" s="6" t="s">
        <v>444</v>
      </c>
      <c r="C86" s="6"/>
      <c r="D86" s="6"/>
      <c r="E86" s="6"/>
      <c r="F86" s="6"/>
      <c r="G86" s="6">
        <v>-1</v>
      </c>
    </row>
    <row r="87" spans="1:7" x14ac:dyDescent="0.3">
      <c r="A87" s="6" t="s">
        <v>1659</v>
      </c>
      <c r="B87" s="6" t="s">
        <v>332</v>
      </c>
      <c r="C87" s="6"/>
      <c r="D87" s="6"/>
      <c r="E87" s="6"/>
      <c r="F87" s="6"/>
      <c r="G87" s="6">
        <v>19</v>
      </c>
    </row>
    <row r="88" spans="1:7" x14ac:dyDescent="0.3">
      <c r="A88" s="6" t="s">
        <v>3006</v>
      </c>
      <c r="B88" s="6" t="s">
        <v>332</v>
      </c>
      <c r="C88" s="6"/>
      <c r="D88" s="6"/>
      <c r="E88" s="6"/>
      <c r="F88" s="6"/>
      <c r="G88" s="6">
        <v>7</v>
      </c>
    </row>
    <row r="89" spans="1:7" x14ac:dyDescent="0.3">
      <c r="A89" s="6" t="s">
        <v>4183</v>
      </c>
      <c r="B89" s="6" t="s">
        <v>332</v>
      </c>
      <c r="C89" s="6"/>
      <c r="D89" s="6"/>
      <c r="E89" s="6"/>
      <c r="F89" s="6"/>
      <c r="G89" s="6">
        <v>14</v>
      </c>
    </row>
    <row r="90" spans="1:7" x14ac:dyDescent="0.3">
      <c r="A90" s="6"/>
      <c r="B90" s="6" t="s">
        <v>332</v>
      </c>
      <c r="C90" s="6"/>
      <c r="D90" s="6"/>
      <c r="E90" s="6"/>
      <c r="F90" s="6"/>
      <c r="G90" s="6">
        <v>-1</v>
      </c>
    </row>
    <row r="91" spans="1:7" x14ac:dyDescent="0.3">
      <c r="A91" s="6" t="s">
        <v>2391</v>
      </c>
      <c r="B91" s="6" t="s">
        <v>354</v>
      </c>
      <c r="C91" s="6">
        <v>15</v>
      </c>
      <c r="D91" s="6"/>
      <c r="E91" s="6"/>
      <c r="F91" s="6">
        <v>7</v>
      </c>
      <c r="G91" s="6"/>
    </row>
    <row r="92" spans="1:7" x14ac:dyDescent="0.3">
      <c r="A92" s="6"/>
      <c r="B92" s="6" t="s">
        <v>354</v>
      </c>
      <c r="C92" s="6">
        <v>-1</v>
      </c>
      <c r="D92" s="6"/>
      <c r="E92" s="6"/>
      <c r="F92" s="6">
        <v>-1</v>
      </c>
      <c r="G92" s="6"/>
    </row>
    <row r="93" spans="1:7" x14ac:dyDescent="0.3">
      <c r="A93" s="6"/>
      <c r="B93" s="6" t="s">
        <v>354</v>
      </c>
      <c r="C93" s="6">
        <v>-1</v>
      </c>
      <c r="D93" s="6"/>
      <c r="E93" s="6"/>
      <c r="F93" s="6">
        <v>-1</v>
      </c>
      <c r="G93" s="6"/>
    </row>
    <row r="94" spans="1:7" x14ac:dyDescent="0.3">
      <c r="A94" s="6" t="s">
        <v>4554</v>
      </c>
      <c r="B94" s="6" t="s">
        <v>358</v>
      </c>
      <c r="C94" s="6">
        <v>8</v>
      </c>
      <c r="D94" s="6"/>
      <c r="E94" s="6"/>
      <c r="F94" s="6">
        <v>10</v>
      </c>
      <c r="G94" s="6"/>
    </row>
    <row r="95" spans="1:7" x14ac:dyDescent="0.3">
      <c r="A95" s="6"/>
      <c r="B95" s="6" t="s">
        <v>358</v>
      </c>
      <c r="C95" s="6">
        <v>-1</v>
      </c>
      <c r="D95" s="6"/>
      <c r="E95" s="6"/>
      <c r="F95" s="6">
        <v>-1</v>
      </c>
      <c r="G95" s="6"/>
    </row>
    <row r="96" spans="1:7" x14ac:dyDescent="0.3">
      <c r="A96" s="6"/>
      <c r="B96" s="6" t="s">
        <v>520</v>
      </c>
      <c r="C96" s="6">
        <v>-1</v>
      </c>
      <c r="D96" s="6"/>
      <c r="E96" s="6"/>
      <c r="F96" s="6">
        <v>-1</v>
      </c>
      <c r="G96" s="6"/>
    </row>
    <row r="97" spans="1:7" x14ac:dyDescent="0.3">
      <c r="A97" s="6"/>
      <c r="B97" s="6" t="s">
        <v>520</v>
      </c>
      <c r="C97" s="6">
        <v>-1</v>
      </c>
      <c r="D97" s="6"/>
      <c r="E97" s="6"/>
      <c r="F97" s="6">
        <v>-1</v>
      </c>
      <c r="G97" s="6"/>
    </row>
    <row r="98" spans="1:7" x14ac:dyDescent="0.3">
      <c r="A98" s="6" t="s">
        <v>2571</v>
      </c>
      <c r="B98" s="6" t="s">
        <v>384</v>
      </c>
      <c r="C98" s="6">
        <v>16</v>
      </c>
      <c r="D98" s="6"/>
      <c r="E98" s="6"/>
      <c r="F98" s="6">
        <v>9</v>
      </c>
      <c r="G98" s="6"/>
    </row>
    <row r="99" spans="1:7" x14ac:dyDescent="0.3">
      <c r="A99" s="6"/>
      <c r="B99" s="6" t="s">
        <v>384</v>
      </c>
      <c r="C99" s="6">
        <v>-1</v>
      </c>
      <c r="D99" s="6"/>
      <c r="E99" s="6"/>
      <c r="F99" s="6">
        <v>-1</v>
      </c>
      <c r="G99" s="6"/>
    </row>
    <row r="100" spans="1:7" x14ac:dyDescent="0.3">
      <c r="A100" s="6"/>
      <c r="B100" s="6" t="s">
        <v>328</v>
      </c>
      <c r="C100" s="6">
        <v>-1</v>
      </c>
      <c r="D100" s="6"/>
      <c r="E100" s="6"/>
      <c r="F100" s="6">
        <v>-1</v>
      </c>
      <c r="G100" s="6"/>
    </row>
    <row r="101" spans="1:7" x14ac:dyDescent="0.3">
      <c r="A101" s="6"/>
      <c r="B101" s="6" t="s">
        <v>442</v>
      </c>
      <c r="C101" s="6">
        <v>-1</v>
      </c>
      <c r="D101" s="6"/>
      <c r="E101" s="6"/>
      <c r="F101" s="6">
        <v>-1</v>
      </c>
      <c r="G101" s="6"/>
    </row>
    <row r="102" spans="1:7" x14ac:dyDescent="0.3">
      <c r="A102" s="6"/>
      <c r="B102" s="6" t="s">
        <v>372</v>
      </c>
      <c r="C102" s="6">
        <v>-1</v>
      </c>
      <c r="D102" s="6"/>
      <c r="E102" s="6"/>
      <c r="F102" s="6">
        <v>-1</v>
      </c>
      <c r="G102" s="6"/>
    </row>
    <row r="103" spans="1:7" x14ac:dyDescent="0.3">
      <c r="A103" s="6"/>
      <c r="B103" s="6" t="s">
        <v>334</v>
      </c>
      <c r="C103" s="6">
        <v>-1</v>
      </c>
      <c r="D103" s="6"/>
      <c r="E103" s="6"/>
      <c r="F103" s="6">
        <v>-1</v>
      </c>
      <c r="G103" s="6"/>
    </row>
    <row r="104" spans="1:7" x14ac:dyDescent="0.3">
      <c r="A104" s="6" t="s">
        <v>4036</v>
      </c>
      <c r="B104" s="6" t="s">
        <v>402</v>
      </c>
      <c r="C104" s="6">
        <v>4</v>
      </c>
      <c r="D104" s="6"/>
      <c r="E104" s="6"/>
      <c r="F104" s="6">
        <v>16</v>
      </c>
      <c r="G104" s="6"/>
    </row>
    <row r="105" spans="1:7" x14ac:dyDescent="0.3">
      <c r="A105" s="6"/>
      <c r="B105" s="6" t="s">
        <v>402</v>
      </c>
      <c r="C105" s="6">
        <v>-1</v>
      </c>
      <c r="D105" s="6"/>
      <c r="E105" s="6"/>
      <c r="F105" s="6">
        <v>-1</v>
      </c>
      <c r="G105" s="6"/>
    </row>
    <row r="106" spans="1:7" x14ac:dyDescent="0.3">
      <c r="A106" s="6"/>
      <c r="B106" s="6" t="s">
        <v>356</v>
      </c>
      <c r="C106" s="6">
        <v>-1</v>
      </c>
      <c r="D106" s="6"/>
      <c r="E106" s="6"/>
      <c r="F106" s="6">
        <v>-1</v>
      </c>
      <c r="G106" s="6"/>
    </row>
    <row r="107" spans="1:7" x14ac:dyDescent="0.3">
      <c r="A107" s="6" t="s">
        <v>1532</v>
      </c>
      <c r="B107" s="6" t="s">
        <v>428</v>
      </c>
      <c r="C107" s="6">
        <v>1</v>
      </c>
      <c r="D107" s="6"/>
      <c r="E107" s="6"/>
      <c r="F107" s="6">
        <v>3</v>
      </c>
      <c r="G107" s="6"/>
    </row>
    <row r="108" spans="1:7" x14ac:dyDescent="0.3">
      <c r="A108" s="6" t="s">
        <v>3322</v>
      </c>
      <c r="B108" s="6" t="s">
        <v>428</v>
      </c>
      <c r="C108" s="6">
        <v>9</v>
      </c>
      <c r="D108" s="6"/>
      <c r="E108" s="6"/>
      <c r="F108" s="6">
        <v>1</v>
      </c>
      <c r="G108" s="6"/>
    </row>
    <row r="109" spans="1:7" x14ac:dyDescent="0.3">
      <c r="A109" s="6"/>
      <c r="B109" s="6" t="s">
        <v>428</v>
      </c>
      <c r="C109" s="6">
        <v>-1</v>
      </c>
      <c r="D109" s="6"/>
      <c r="E109" s="6"/>
      <c r="F109" s="6">
        <v>-1</v>
      </c>
      <c r="G109" s="6"/>
    </row>
    <row r="110" spans="1:7" x14ac:dyDescent="0.3">
      <c r="A110" s="6"/>
      <c r="B110" s="6" t="s">
        <v>428</v>
      </c>
      <c r="C110" s="6">
        <v>-1</v>
      </c>
      <c r="D110" s="6"/>
      <c r="E110" s="6"/>
      <c r="F110" s="6">
        <v>-1</v>
      </c>
      <c r="G110" s="6"/>
    </row>
    <row r="111" spans="1:7" x14ac:dyDescent="0.3">
      <c r="A111" s="6"/>
      <c r="B111" s="6" t="s">
        <v>412</v>
      </c>
      <c r="C111" s="6">
        <v>-1</v>
      </c>
      <c r="D111" s="6"/>
      <c r="E111" s="6"/>
      <c r="F111" s="6">
        <v>-1</v>
      </c>
      <c r="G111" s="6"/>
    </row>
    <row r="112" spans="1:7" x14ac:dyDescent="0.3">
      <c r="A112" s="6"/>
      <c r="B112" s="6" t="s">
        <v>412</v>
      </c>
      <c r="C112" s="6">
        <v>-1</v>
      </c>
      <c r="D112" s="6"/>
      <c r="E112" s="6"/>
      <c r="F112" s="6">
        <v>-1</v>
      </c>
      <c r="G112" s="6"/>
    </row>
    <row r="113" spans="1:7" x14ac:dyDescent="0.3">
      <c r="A113" s="6" t="s">
        <v>2450</v>
      </c>
      <c r="B113" s="6" t="s">
        <v>474</v>
      </c>
      <c r="C113" s="6">
        <v>2</v>
      </c>
      <c r="D113" s="6"/>
      <c r="E113" s="6"/>
      <c r="F113" s="6">
        <v>2</v>
      </c>
      <c r="G113" s="6"/>
    </row>
    <row r="114" spans="1:7" x14ac:dyDescent="0.3">
      <c r="A114" s="6"/>
      <c r="B114" s="6" t="s">
        <v>474</v>
      </c>
      <c r="C114" s="6">
        <v>-1</v>
      </c>
      <c r="D114" s="6"/>
      <c r="E114" s="6"/>
      <c r="F114" s="6">
        <v>-1</v>
      </c>
      <c r="G114" s="6"/>
    </row>
    <row r="115" spans="1:7" x14ac:dyDescent="0.3">
      <c r="A115" s="6"/>
      <c r="B115" s="6" t="s">
        <v>700</v>
      </c>
      <c r="C115" s="6">
        <v>-1</v>
      </c>
      <c r="D115" s="6"/>
      <c r="E115" s="6"/>
      <c r="F115" s="6">
        <v>-1</v>
      </c>
      <c r="G115" s="6"/>
    </row>
    <row r="116" spans="1:7" x14ac:dyDescent="0.3">
      <c r="A116" s="6"/>
      <c r="B116" s="6" t="s">
        <v>330</v>
      </c>
      <c r="C116" s="6">
        <v>-1</v>
      </c>
      <c r="D116" s="6"/>
      <c r="E116" s="6"/>
      <c r="F116" s="6">
        <v>-1</v>
      </c>
      <c r="G116" s="6"/>
    </row>
    <row r="117" spans="1:7" x14ac:dyDescent="0.3">
      <c r="A117" s="6"/>
      <c r="B117" s="6" t="s">
        <v>444</v>
      </c>
      <c r="C117" s="6">
        <v>-1</v>
      </c>
      <c r="D117" s="6"/>
      <c r="E117" s="6"/>
      <c r="F117" s="6">
        <v>-1</v>
      </c>
      <c r="G117" s="6"/>
    </row>
    <row r="118" spans="1:7" x14ac:dyDescent="0.3">
      <c r="A118" s="6" t="s">
        <v>4179</v>
      </c>
      <c r="B118" s="6" t="s">
        <v>332</v>
      </c>
      <c r="C118" s="6">
        <v>20</v>
      </c>
      <c r="D118" s="6"/>
      <c r="E118" s="6"/>
      <c r="F118" s="6">
        <v>11</v>
      </c>
      <c r="G118" s="6"/>
    </row>
    <row r="119" spans="1:7" x14ac:dyDescent="0.3">
      <c r="A119" s="6"/>
      <c r="B119" s="6" t="s">
        <v>332</v>
      </c>
      <c r="C119" s="6">
        <v>-1</v>
      </c>
      <c r="D119" s="6"/>
      <c r="E119" s="6"/>
      <c r="F119" s="6">
        <v>-1</v>
      </c>
      <c r="G119" s="6"/>
    </row>
    <row r="120" spans="1:7" x14ac:dyDescent="0.3">
      <c r="A120" s="6"/>
      <c r="B120" s="6" t="s">
        <v>332</v>
      </c>
      <c r="C120" s="6">
        <v>-1</v>
      </c>
      <c r="D120" s="6"/>
      <c r="E120" s="6"/>
      <c r="F120" s="6">
        <v>-1</v>
      </c>
      <c r="G120" s="6"/>
    </row>
  </sheetData>
  <pageMargins left="0.7" right="0.7" top="0.75" bottom="0.75" header="0.3" footer="0.3"/>
  <tableParts count="1">
    <tablePart r:id="rId1"/>
  </tableParts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33083-58D2-4B7B-A1AE-BC3EC396DAA2}">
  <dimension ref="A1:E17"/>
  <sheetViews>
    <sheetView topLeftCell="A7" workbookViewId="0">
      <selection activeCell="B18" sqref="B18"/>
    </sheetView>
  </sheetViews>
  <sheetFormatPr defaultRowHeight="14.4" x14ac:dyDescent="0.3"/>
  <cols>
    <col min="1" max="1" width="38.88671875" bestFit="1" customWidth="1"/>
    <col min="2" max="2" width="14" bestFit="1" customWidth="1"/>
    <col min="3" max="3" width="40.6640625" bestFit="1" customWidth="1"/>
    <col min="4" max="4" width="17" bestFit="1" customWidth="1"/>
    <col min="5" max="5" width="14.77734375" bestFit="1" customWidth="1"/>
  </cols>
  <sheetData>
    <row r="1" spans="1:5" x14ac:dyDescent="0.3">
      <c r="A1" t="s">
        <v>833</v>
      </c>
      <c r="B1" t="s">
        <v>1</v>
      </c>
      <c r="C1" t="s">
        <v>1221</v>
      </c>
      <c r="D1" t="s">
        <v>1212</v>
      </c>
      <c r="E1" t="s">
        <v>1213</v>
      </c>
    </row>
    <row r="2" spans="1:5" x14ac:dyDescent="0.3">
      <c r="A2" s="6" t="s">
        <v>2407</v>
      </c>
      <c r="B2" s="6" t="s">
        <v>354</v>
      </c>
      <c r="C2" s="6">
        <v>4</v>
      </c>
      <c r="D2" s="6">
        <f>Table153[[#This Row],[Total Athletes]]-(LEN(Table153[[#This Row],[Pair]])-LEN(SUBSTITUTE(Table153[[#This Row],[Pair]],"/","")))-1</f>
        <v>0</v>
      </c>
      <c r="E2" s="6">
        <v>2</v>
      </c>
    </row>
    <row r="3" spans="1:5" x14ac:dyDescent="0.3">
      <c r="A3" s="6" t="s">
        <v>2396</v>
      </c>
      <c r="B3" s="6" t="s">
        <v>354</v>
      </c>
      <c r="C3" s="6">
        <v>8</v>
      </c>
      <c r="D3" s="6">
        <f>Table153[[#This Row],[Total Athletes]]-(LEN(Table153[[#This Row],[Pair]])-LEN(SUBSTITUTE(Table153[[#This Row],[Pair]],"/","")))-1</f>
        <v>1</v>
      </c>
      <c r="E3" s="6">
        <v>2</v>
      </c>
    </row>
    <row r="4" spans="1:5" x14ac:dyDescent="0.3">
      <c r="A4" s="6"/>
      <c r="B4" s="6" t="s">
        <v>358</v>
      </c>
      <c r="C4" s="6">
        <v>-1</v>
      </c>
      <c r="D4" s="6">
        <f>Table153[[#This Row],[Total Athletes]]-(LEN(Table153[[#This Row],[Pair]])-LEN(SUBSTITUTE(Table153[[#This Row],[Pair]],"/","")))-1</f>
        <v>-1</v>
      </c>
      <c r="E4" s="6"/>
    </row>
    <row r="5" spans="1:5" x14ac:dyDescent="0.3">
      <c r="A5" s="6"/>
      <c r="B5" s="6" t="s">
        <v>384</v>
      </c>
      <c r="C5" s="6">
        <v>-1</v>
      </c>
      <c r="D5" s="6">
        <f>Table153[[#This Row],[Total Athletes]]-(LEN(Table153[[#This Row],[Pair]])-LEN(SUBSTITUTE(Table153[[#This Row],[Pair]],"/","")))-1</f>
        <v>-1</v>
      </c>
      <c r="E5" s="6"/>
    </row>
    <row r="6" spans="1:5" x14ac:dyDescent="0.3">
      <c r="A6" s="6" t="s">
        <v>2982</v>
      </c>
      <c r="B6" s="6" t="s">
        <v>442</v>
      </c>
      <c r="C6" s="6">
        <v>16</v>
      </c>
      <c r="D6" s="6">
        <f>Table153[[#This Row],[Total Athletes]]-(LEN(Table153[[#This Row],[Pair]])-LEN(SUBSTITUTE(Table153[[#This Row],[Pair]],"/","")))-1</f>
        <v>1</v>
      </c>
      <c r="E6" s="6">
        <v>2</v>
      </c>
    </row>
    <row r="7" spans="1:5" x14ac:dyDescent="0.3">
      <c r="A7" s="6"/>
      <c r="B7" s="6" t="s">
        <v>442</v>
      </c>
      <c r="C7" s="6">
        <v>-1</v>
      </c>
      <c r="D7" s="6">
        <f>Table153[[#This Row],[Total Athletes]]-(LEN(Table153[[#This Row],[Pair]])-LEN(SUBSTITUTE(Table153[[#This Row],[Pair]],"/","")))-1</f>
        <v>-1</v>
      </c>
      <c r="E7" s="6"/>
    </row>
    <row r="8" spans="1:5" x14ac:dyDescent="0.3">
      <c r="A8" s="6" t="s">
        <v>4899</v>
      </c>
      <c r="B8" s="6" t="s">
        <v>344</v>
      </c>
      <c r="C8" s="6">
        <v>5</v>
      </c>
      <c r="D8" s="6">
        <f>Table153[[#This Row],[Total Athletes]]-(LEN(Table153[[#This Row],[Pair]])-LEN(SUBSTITUTE(Table153[[#This Row],[Pair]],"/","")))-1</f>
        <v>1</v>
      </c>
      <c r="E8" s="6">
        <v>2</v>
      </c>
    </row>
    <row r="9" spans="1:5" x14ac:dyDescent="0.3">
      <c r="A9" s="6" t="s">
        <v>4900</v>
      </c>
      <c r="B9" s="6" t="s">
        <v>344</v>
      </c>
      <c r="C9" s="6">
        <v>10</v>
      </c>
      <c r="D9" s="6">
        <f>Table153[[#This Row],[Total Athletes]]-(LEN(Table153[[#This Row],[Pair]])-LEN(SUBSTITUTE(Table153[[#This Row],[Pair]],"/","")))-1</f>
        <v>1</v>
      </c>
      <c r="E9" s="6">
        <v>2</v>
      </c>
    </row>
    <row r="10" spans="1:5" x14ac:dyDescent="0.3">
      <c r="A10" s="6"/>
      <c r="B10" s="6" t="s">
        <v>344</v>
      </c>
      <c r="C10" s="6">
        <v>-1</v>
      </c>
      <c r="D10" s="6">
        <f>Table153[[#This Row],[Total Athletes]]-(LEN(Table153[[#This Row],[Pair]])-LEN(SUBSTITUTE(Table153[[#This Row],[Pair]],"/","")))-1</f>
        <v>-1</v>
      </c>
      <c r="E10" s="6"/>
    </row>
    <row r="11" spans="1:5" x14ac:dyDescent="0.3">
      <c r="A11" s="6"/>
      <c r="B11" s="6" t="s">
        <v>334</v>
      </c>
      <c r="C11" s="6">
        <v>-1</v>
      </c>
      <c r="D11" s="6">
        <f>Table153[[#This Row],[Total Athletes]]-(LEN(Table153[[#This Row],[Pair]])-LEN(SUBSTITUTE(Table153[[#This Row],[Pair]],"/","")))-1</f>
        <v>-1</v>
      </c>
      <c r="E11" s="6"/>
    </row>
    <row r="12" spans="1:5" x14ac:dyDescent="0.3">
      <c r="A12" s="6" t="s">
        <v>1314</v>
      </c>
      <c r="B12" s="6" t="s">
        <v>402</v>
      </c>
      <c r="C12" s="6">
        <v>1</v>
      </c>
      <c r="D12" s="6">
        <f>Table153[[#This Row],[Total Athletes]]-(LEN(Table153[[#This Row],[Pair]])-LEN(SUBSTITUTE(Table153[[#This Row],[Pair]],"/","")))-1</f>
        <v>1</v>
      </c>
      <c r="E12" s="6">
        <v>2</v>
      </c>
    </row>
    <row r="13" spans="1:5" x14ac:dyDescent="0.3">
      <c r="A13" s="6" t="s">
        <v>2299</v>
      </c>
      <c r="B13" s="6" t="s">
        <v>356</v>
      </c>
      <c r="C13" s="6">
        <v>12</v>
      </c>
      <c r="D13" s="6">
        <f>Table153[[#This Row],[Total Athletes]]-(LEN(Table153[[#This Row],[Pair]])-LEN(SUBSTITUTE(Table153[[#This Row],[Pair]],"/","")))-1</f>
        <v>1</v>
      </c>
      <c r="E13" s="6">
        <v>2</v>
      </c>
    </row>
    <row r="14" spans="1:5" x14ac:dyDescent="0.3">
      <c r="A14" s="6"/>
      <c r="B14" s="6" t="s">
        <v>356</v>
      </c>
      <c r="C14" s="6">
        <v>-1</v>
      </c>
      <c r="D14" s="6">
        <f>Table153[[#This Row],[Total Athletes]]-(LEN(Table153[[#This Row],[Pair]])-LEN(SUBSTITUTE(Table153[[#This Row],[Pair]],"/","")))-1</f>
        <v>-1</v>
      </c>
      <c r="E14" s="6"/>
    </row>
    <row r="15" spans="1:5" x14ac:dyDescent="0.3">
      <c r="A15" s="6"/>
      <c r="B15" s="6" t="s">
        <v>444</v>
      </c>
      <c r="C15" s="6">
        <v>-1</v>
      </c>
      <c r="D15" s="6">
        <f>Table153[[#This Row],[Total Athletes]]-(LEN(Table153[[#This Row],[Pair]])-LEN(SUBSTITUTE(Table153[[#This Row],[Pair]],"/","")))-1</f>
        <v>-1</v>
      </c>
      <c r="E15" s="6"/>
    </row>
    <row r="16" spans="1:5" x14ac:dyDescent="0.3">
      <c r="A16" s="6" t="s">
        <v>3006</v>
      </c>
      <c r="B16" s="6" t="s">
        <v>332</v>
      </c>
      <c r="C16" s="6">
        <v>15</v>
      </c>
      <c r="D16" s="6">
        <f>Table153[[#This Row],[Total Athletes]]-(LEN(Table153[[#This Row],[Pair]])-LEN(SUBSTITUTE(Table153[[#This Row],[Pair]],"/","")))-1</f>
        <v>1</v>
      </c>
      <c r="E16" s="6">
        <v>2</v>
      </c>
    </row>
    <row r="17" spans="1:5" x14ac:dyDescent="0.3">
      <c r="A17" s="6" t="s">
        <v>4183</v>
      </c>
      <c r="B17" s="6" t="s">
        <v>332</v>
      </c>
      <c r="C17" s="6">
        <v>14</v>
      </c>
      <c r="D17" s="6">
        <f>Table153[[#This Row],[Total Athletes]]-(LEN(Table153[[#This Row],[Pair]])-LEN(SUBSTITUTE(Table153[[#This Row],[Pair]],"/","")))-1</f>
        <v>1</v>
      </c>
      <c r="E17" s="6">
        <v>2</v>
      </c>
    </row>
  </sheetData>
  <pageMargins left="0.7" right="0.7" top="0.75" bottom="0.75" header="0.3" footer="0.3"/>
  <tableParts count="1">
    <tablePart r:id="rId1"/>
  </tableParts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B3591-C0B5-47D9-BC94-E93F86E60521}">
  <dimension ref="A1:H122"/>
  <sheetViews>
    <sheetView topLeftCell="A116" workbookViewId="0">
      <selection activeCell="B123" sqref="B123"/>
    </sheetView>
  </sheetViews>
  <sheetFormatPr defaultRowHeight="14.4" x14ac:dyDescent="0.3"/>
  <cols>
    <col min="1" max="1" width="25.44140625" bestFit="1" customWidth="1"/>
    <col min="2" max="2" width="14" bestFit="1" customWidth="1"/>
    <col min="3" max="3" width="19.44140625" bestFit="1" customWidth="1"/>
    <col min="4" max="6" width="20.44140625" bestFit="1" customWidth="1"/>
    <col min="7" max="7" width="21.44140625" bestFit="1" customWidth="1"/>
    <col min="8" max="8" width="23.6640625" bestFit="1" customWidth="1"/>
  </cols>
  <sheetData>
    <row r="1" spans="1:8" x14ac:dyDescent="0.3">
      <c r="A1" t="s">
        <v>832</v>
      </c>
      <c r="B1" t="s">
        <v>1</v>
      </c>
      <c r="C1" t="s">
        <v>1035</v>
      </c>
      <c r="D1" t="s">
        <v>1036</v>
      </c>
      <c r="E1" t="s">
        <v>943</v>
      </c>
      <c r="F1" t="s">
        <v>944</v>
      </c>
      <c r="G1" t="s">
        <v>945</v>
      </c>
      <c r="H1" t="s">
        <v>1015</v>
      </c>
    </row>
    <row r="2" spans="1:8" x14ac:dyDescent="0.3">
      <c r="A2" s="6"/>
      <c r="B2" s="6" t="s">
        <v>332</v>
      </c>
      <c r="C2" s="6">
        <v>-1</v>
      </c>
      <c r="D2" s="6"/>
      <c r="E2" s="6"/>
      <c r="F2" s="6"/>
      <c r="G2" s="6"/>
      <c r="H2" s="6"/>
    </row>
    <row r="3" spans="1:8" x14ac:dyDescent="0.3">
      <c r="A3" s="6"/>
      <c r="B3" s="6" t="s">
        <v>394</v>
      </c>
      <c r="C3" s="6">
        <v>-1</v>
      </c>
      <c r="D3" s="6"/>
      <c r="E3" s="6"/>
      <c r="F3" s="6"/>
      <c r="G3" s="6"/>
      <c r="H3" s="6"/>
    </row>
    <row r="4" spans="1:8" x14ac:dyDescent="0.3">
      <c r="A4" s="6" t="s">
        <v>2651</v>
      </c>
      <c r="B4" s="6" t="s">
        <v>412</v>
      </c>
      <c r="C4" s="6">
        <v>2</v>
      </c>
      <c r="D4" s="6">
        <v>2</v>
      </c>
      <c r="E4" s="6"/>
      <c r="F4" s="6"/>
      <c r="G4" s="6"/>
      <c r="H4" s="6"/>
    </row>
    <row r="5" spans="1:8" x14ac:dyDescent="0.3">
      <c r="A5" s="6" t="s">
        <v>1292</v>
      </c>
      <c r="B5" s="6" t="s">
        <v>428</v>
      </c>
      <c r="C5" s="6">
        <v>10</v>
      </c>
      <c r="D5" s="6">
        <v>24</v>
      </c>
      <c r="E5" s="6"/>
      <c r="F5" s="6"/>
      <c r="G5" s="6"/>
      <c r="H5" s="6"/>
    </row>
    <row r="6" spans="1:8" x14ac:dyDescent="0.3">
      <c r="A6" s="6" t="s">
        <v>2516</v>
      </c>
      <c r="B6" s="6" t="s">
        <v>364</v>
      </c>
      <c r="C6" s="6">
        <v>13</v>
      </c>
      <c r="D6" s="6">
        <v>21</v>
      </c>
      <c r="E6" s="6"/>
      <c r="F6" s="6"/>
      <c r="G6" s="6"/>
      <c r="H6" s="6"/>
    </row>
    <row r="7" spans="1:8" x14ac:dyDescent="0.3">
      <c r="A7" s="6"/>
      <c r="B7" s="6" t="s">
        <v>412</v>
      </c>
      <c r="C7" s="6">
        <v>-1</v>
      </c>
      <c r="D7" s="6"/>
      <c r="E7" s="6"/>
      <c r="F7" s="6"/>
      <c r="G7" s="6"/>
      <c r="H7" s="6"/>
    </row>
    <row r="8" spans="1:8" x14ac:dyDescent="0.3">
      <c r="A8" s="6"/>
      <c r="B8" s="6" t="s">
        <v>604</v>
      </c>
      <c r="C8" s="6">
        <v>-1</v>
      </c>
      <c r="D8" s="6"/>
      <c r="E8" s="6"/>
      <c r="F8" s="6"/>
      <c r="G8" s="6"/>
      <c r="H8" s="6"/>
    </row>
    <row r="9" spans="1:8" x14ac:dyDescent="0.3">
      <c r="A9" s="6"/>
      <c r="B9" s="6" t="s">
        <v>428</v>
      </c>
      <c r="C9" s="6">
        <v>-1</v>
      </c>
      <c r="D9" s="6"/>
      <c r="E9" s="6"/>
      <c r="F9" s="6"/>
      <c r="G9" s="6"/>
      <c r="H9" s="6"/>
    </row>
    <row r="10" spans="1:8" x14ac:dyDescent="0.3">
      <c r="A10" s="6"/>
      <c r="B10" s="6" t="s">
        <v>700</v>
      </c>
      <c r="C10" s="6">
        <v>-1</v>
      </c>
      <c r="D10" s="6"/>
      <c r="E10" s="6"/>
      <c r="F10" s="6"/>
      <c r="G10" s="6"/>
      <c r="H10" s="6"/>
    </row>
    <row r="11" spans="1:8" x14ac:dyDescent="0.3">
      <c r="A11" s="6"/>
      <c r="B11" s="6" t="s">
        <v>332</v>
      </c>
      <c r="C11" s="6">
        <v>-1</v>
      </c>
      <c r="D11" s="6"/>
      <c r="E11" s="6"/>
      <c r="F11" s="6"/>
      <c r="G11" s="6"/>
      <c r="H11" s="6"/>
    </row>
    <row r="12" spans="1:8" x14ac:dyDescent="0.3">
      <c r="A12" s="6"/>
      <c r="B12" s="6" t="s">
        <v>328</v>
      </c>
      <c r="C12" s="6">
        <v>-1</v>
      </c>
      <c r="D12" s="6"/>
      <c r="E12" s="6"/>
      <c r="F12" s="6"/>
      <c r="G12" s="6"/>
      <c r="H12" s="6"/>
    </row>
    <row r="13" spans="1:8" x14ac:dyDescent="0.3">
      <c r="A13" s="6"/>
      <c r="B13" s="6" t="s">
        <v>572</v>
      </c>
      <c r="C13" s="6">
        <v>-1</v>
      </c>
      <c r="D13" s="6"/>
      <c r="E13" s="6"/>
      <c r="F13" s="6"/>
      <c r="G13" s="6"/>
      <c r="H13" s="6"/>
    </row>
    <row r="14" spans="1:8" x14ac:dyDescent="0.3">
      <c r="A14" s="6"/>
      <c r="B14" s="6" t="s">
        <v>384</v>
      </c>
      <c r="C14" s="6">
        <v>-1</v>
      </c>
      <c r="D14" s="6"/>
      <c r="E14" s="6"/>
      <c r="F14" s="6"/>
      <c r="G14" s="6"/>
      <c r="H14" s="6"/>
    </row>
    <row r="15" spans="1:8" x14ac:dyDescent="0.3">
      <c r="A15" s="6"/>
      <c r="B15" s="6" t="s">
        <v>328</v>
      </c>
      <c r="C15" s="6">
        <v>-1</v>
      </c>
      <c r="D15" s="6"/>
      <c r="E15" s="6"/>
      <c r="F15" s="6"/>
      <c r="G15" s="6"/>
      <c r="H15" s="6"/>
    </row>
    <row r="16" spans="1:8" x14ac:dyDescent="0.3">
      <c r="A16" s="6" t="s">
        <v>1302</v>
      </c>
      <c r="B16" s="6" t="s">
        <v>428</v>
      </c>
      <c r="C16" s="6">
        <v>6</v>
      </c>
      <c r="D16" s="6"/>
      <c r="E16" s="6"/>
      <c r="F16" s="6"/>
      <c r="G16" s="6"/>
      <c r="H16" s="6"/>
    </row>
    <row r="17" spans="1:8" x14ac:dyDescent="0.3">
      <c r="A17" s="6"/>
      <c r="B17" s="6" t="s">
        <v>328</v>
      </c>
      <c r="C17" s="6">
        <v>-1</v>
      </c>
      <c r="D17" s="6"/>
      <c r="E17" s="6"/>
      <c r="F17" s="6"/>
      <c r="G17" s="6"/>
      <c r="H17" s="6"/>
    </row>
    <row r="18" spans="1:8" x14ac:dyDescent="0.3">
      <c r="A18" s="6"/>
      <c r="B18" s="6" t="s">
        <v>394</v>
      </c>
      <c r="C18" s="6">
        <v>-1</v>
      </c>
      <c r="D18" s="6"/>
      <c r="E18" s="6"/>
      <c r="F18" s="6"/>
      <c r="G18" s="6"/>
      <c r="H18" s="6"/>
    </row>
    <row r="19" spans="1:8" x14ac:dyDescent="0.3">
      <c r="A19" s="6"/>
      <c r="B19" s="6" t="s">
        <v>384</v>
      </c>
      <c r="C19" s="6">
        <v>-1</v>
      </c>
      <c r="D19" s="6"/>
      <c r="E19" s="6"/>
      <c r="F19" s="6"/>
      <c r="G19" s="6"/>
      <c r="H19" s="6"/>
    </row>
    <row r="20" spans="1:8" x14ac:dyDescent="0.3">
      <c r="A20" s="6"/>
      <c r="B20" s="6" t="s">
        <v>412</v>
      </c>
      <c r="C20" s="6">
        <v>-1</v>
      </c>
      <c r="D20" s="6"/>
      <c r="E20" s="6"/>
      <c r="F20" s="6"/>
      <c r="G20" s="6"/>
      <c r="H20" s="6"/>
    </row>
    <row r="21" spans="1:8" x14ac:dyDescent="0.3">
      <c r="A21" s="6"/>
      <c r="B21" s="6" t="s">
        <v>700</v>
      </c>
      <c r="C21" s="6">
        <v>-1</v>
      </c>
      <c r="D21" s="6"/>
      <c r="E21" s="6"/>
      <c r="F21" s="6"/>
      <c r="G21" s="6"/>
      <c r="H21" s="6"/>
    </row>
    <row r="22" spans="1:8" x14ac:dyDescent="0.3">
      <c r="A22" s="6"/>
      <c r="B22" s="6" t="s">
        <v>394</v>
      </c>
      <c r="C22" s="6">
        <v>-1</v>
      </c>
      <c r="D22" s="6"/>
      <c r="E22" s="6"/>
      <c r="F22" s="6"/>
      <c r="G22" s="6"/>
      <c r="H22" s="6"/>
    </row>
    <row r="23" spans="1:8" x14ac:dyDescent="0.3">
      <c r="A23" s="6"/>
      <c r="B23" s="6" t="s">
        <v>332</v>
      </c>
      <c r="C23" s="6"/>
      <c r="D23" s="6">
        <v>-1</v>
      </c>
      <c r="E23" s="6"/>
      <c r="F23" s="6"/>
      <c r="G23" s="6"/>
      <c r="H23" s="6"/>
    </row>
    <row r="24" spans="1:8" x14ac:dyDescent="0.3">
      <c r="A24" s="6"/>
      <c r="B24" s="6" t="s">
        <v>394</v>
      </c>
      <c r="C24" s="6"/>
      <c r="D24" s="6">
        <v>-1</v>
      </c>
      <c r="E24" s="6"/>
      <c r="F24" s="6"/>
      <c r="G24" s="6"/>
      <c r="H24" s="6"/>
    </row>
    <row r="25" spans="1:8" x14ac:dyDescent="0.3">
      <c r="A25" s="6"/>
      <c r="B25" s="6" t="s">
        <v>412</v>
      </c>
      <c r="C25" s="6"/>
      <c r="D25" s="6">
        <v>-1</v>
      </c>
      <c r="E25" s="6"/>
      <c r="F25" s="6"/>
      <c r="G25" s="6"/>
      <c r="H25" s="6"/>
    </row>
    <row r="26" spans="1:8" x14ac:dyDescent="0.3">
      <c r="A26" s="6"/>
      <c r="B26" s="6" t="s">
        <v>334</v>
      </c>
      <c r="C26" s="6"/>
      <c r="D26" s="6">
        <v>-1</v>
      </c>
      <c r="E26" s="6"/>
      <c r="F26" s="6"/>
      <c r="G26" s="6"/>
      <c r="H26" s="6"/>
    </row>
    <row r="27" spans="1:8" x14ac:dyDescent="0.3">
      <c r="A27" s="6"/>
      <c r="B27" s="6" t="s">
        <v>572</v>
      </c>
      <c r="C27" s="6"/>
      <c r="D27" s="6">
        <v>-1</v>
      </c>
      <c r="E27" s="6"/>
      <c r="F27" s="6"/>
      <c r="G27" s="6"/>
      <c r="H27" s="6"/>
    </row>
    <row r="28" spans="1:8" x14ac:dyDescent="0.3">
      <c r="A28" s="6"/>
      <c r="B28" s="6" t="s">
        <v>332</v>
      </c>
      <c r="C28" s="6"/>
      <c r="D28" s="6">
        <v>-1</v>
      </c>
      <c r="E28" s="6"/>
      <c r="F28" s="6"/>
      <c r="G28" s="6"/>
      <c r="H28" s="6"/>
    </row>
    <row r="29" spans="1:8" x14ac:dyDescent="0.3">
      <c r="A29" s="6"/>
      <c r="B29" s="6" t="s">
        <v>328</v>
      </c>
      <c r="C29" s="6"/>
      <c r="D29" s="6">
        <v>-1</v>
      </c>
      <c r="E29" s="6"/>
      <c r="F29" s="6"/>
      <c r="G29" s="6"/>
      <c r="H29" s="6"/>
    </row>
    <row r="30" spans="1:8" x14ac:dyDescent="0.3">
      <c r="A30" s="6"/>
      <c r="B30" s="6" t="s">
        <v>332</v>
      </c>
      <c r="C30" s="6"/>
      <c r="D30" s="6">
        <v>-1</v>
      </c>
      <c r="E30" s="6"/>
      <c r="F30" s="6"/>
      <c r="G30" s="6"/>
      <c r="H30" s="6"/>
    </row>
    <row r="31" spans="1:8" x14ac:dyDescent="0.3">
      <c r="A31" s="6"/>
      <c r="B31" s="6" t="s">
        <v>428</v>
      </c>
      <c r="C31" s="6"/>
      <c r="D31" s="6">
        <v>-1</v>
      </c>
      <c r="E31" s="6"/>
      <c r="F31" s="6"/>
      <c r="G31" s="6"/>
      <c r="H31" s="6"/>
    </row>
    <row r="32" spans="1:8" x14ac:dyDescent="0.3">
      <c r="A32" s="6"/>
      <c r="B32" s="6" t="s">
        <v>328</v>
      </c>
      <c r="C32" s="6"/>
      <c r="D32" s="6">
        <v>-1</v>
      </c>
      <c r="E32" s="6"/>
      <c r="F32" s="6"/>
      <c r="G32" s="6"/>
      <c r="H32" s="6"/>
    </row>
    <row r="33" spans="1:8" x14ac:dyDescent="0.3">
      <c r="A33" s="6"/>
      <c r="B33" s="6" t="s">
        <v>412</v>
      </c>
      <c r="C33" s="6"/>
      <c r="D33" s="6">
        <v>-1</v>
      </c>
      <c r="E33" s="6"/>
      <c r="F33" s="6"/>
      <c r="G33" s="6"/>
      <c r="H33" s="6"/>
    </row>
    <row r="34" spans="1:8" x14ac:dyDescent="0.3">
      <c r="A34" s="6" t="s">
        <v>1297</v>
      </c>
      <c r="B34" s="6" t="s">
        <v>428</v>
      </c>
      <c r="C34" s="6"/>
      <c r="D34" s="6">
        <v>13</v>
      </c>
      <c r="E34" s="6">
        <v>18</v>
      </c>
      <c r="F34" s="6"/>
      <c r="G34" s="6"/>
      <c r="H34" s="6"/>
    </row>
    <row r="35" spans="1:8" x14ac:dyDescent="0.3">
      <c r="A35" s="6"/>
      <c r="B35" s="6" t="s">
        <v>520</v>
      </c>
      <c r="C35" s="6"/>
      <c r="D35" s="6">
        <v>-1</v>
      </c>
      <c r="E35" s="6"/>
      <c r="F35" s="6"/>
      <c r="G35" s="6"/>
      <c r="H35" s="6"/>
    </row>
    <row r="36" spans="1:8" x14ac:dyDescent="0.3">
      <c r="A36" s="6"/>
      <c r="B36" s="6" t="s">
        <v>334</v>
      </c>
      <c r="C36" s="6"/>
      <c r="D36" s="6">
        <v>-1</v>
      </c>
      <c r="E36" s="6"/>
      <c r="F36" s="6"/>
      <c r="G36" s="6"/>
      <c r="H36" s="6"/>
    </row>
    <row r="37" spans="1:8" x14ac:dyDescent="0.3">
      <c r="A37" s="6"/>
      <c r="B37" s="6" t="s">
        <v>394</v>
      </c>
      <c r="C37" s="6"/>
      <c r="D37" s="6">
        <v>-1</v>
      </c>
      <c r="E37" s="6"/>
      <c r="F37" s="6"/>
      <c r="G37" s="6"/>
      <c r="H37" s="6"/>
    </row>
    <row r="38" spans="1:8" x14ac:dyDescent="0.3">
      <c r="A38" s="6"/>
      <c r="B38" s="6" t="s">
        <v>334</v>
      </c>
      <c r="C38" s="6"/>
      <c r="D38" s="6">
        <v>-1</v>
      </c>
      <c r="E38" s="6"/>
      <c r="F38" s="6"/>
      <c r="G38" s="6"/>
      <c r="H38" s="6"/>
    </row>
    <row r="39" spans="1:8" x14ac:dyDescent="0.3">
      <c r="A39" s="6"/>
      <c r="B39" s="6" t="s">
        <v>394</v>
      </c>
      <c r="C39" s="6"/>
      <c r="D39" s="6">
        <v>-1</v>
      </c>
      <c r="E39" s="6"/>
      <c r="F39" s="6"/>
      <c r="G39" s="6"/>
      <c r="H39" s="6"/>
    </row>
    <row r="40" spans="1:8" x14ac:dyDescent="0.3">
      <c r="A40" s="6"/>
      <c r="B40" s="6" t="s">
        <v>358</v>
      </c>
      <c r="C40" s="6"/>
      <c r="D40" s="6">
        <v>-1</v>
      </c>
      <c r="E40" s="6"/>
      <c r="F40" s="6"/>
      <c r="G40" s="6"/>
      <c r="H40" s="6"/>
    </row>
    <row r="41" spans="1:8" x14ac:dyDescent="0.3">
      <c r="A41" s="6"/>
      <c r="B41" s="6" t="s">
        <v>356</v>
      </c>
      <c r="C41" s="6"/>
      <c r="D41" s="6">
        <v>-1</v>
      </c>
      <c r="E41" s="6"/>
      <c r="F41" s="6"/>
      <c r="G41" s="6"/>
      <c r="H41" s="6"/>
    </row>
    <row r="42" spans="1:8" x14ac:dyDescent="0.3">
      <c r="A42" s="6"/>
      <c r="B42" s="6" t="s">
        <v>332</v>
      </c>
      <c r="C42" s="6"/>
      <c r="D42" s="6"/>
      <c r="E42" s="6">
        <v>-1</v>
      </c>
      <c r="F42" s="6"/>
      <c r="G42" s="6"/>
      <c r="H42" s="6"/>
    </row>
    <row r="43" spans="1:8" x14ac:dyDescent="0.3">
      <c r="A43" s="6"/>
      <c r="B43" s="6" t="s">
        <v>412</v>
      </c>
      <c r="C43" s="6"/>
      <c r="D43" s="6"/>
      <c r="E43" s="6">
        <v>-1</v>
      </c>
      <c r="F43" s="6"/>
      <c r="G43" s="6"/>
      <c r="H43" s="6"/>
    </row>
    <row r="44" spans="1:8" x14ac:dyDescent="0.3">
      <c r="A44" s="6"/>
      <c r="B44" s="6" t="s">
        <v>328</v>
      </c>
      <c r="C44" s="6"/>
      <c r="D44" s="6"/>
      <c r="E44" s="6">
        <v>-1</v>
      </c>
      <c r="F44" s="6"/>
      <c r="G44" s="6"/>
      <c r="H44" s="6"/>
    </row>
    <row r="45" spans="1:8" x14ac:dyDescent="0.3">
      <c r="A45" s="6"/>
      <c r="B45" s="6" t="s">
        <v>334</v>
      </c>
      <c r="C45" s="6"/>
      <c r="D45" s="6"/>
      <c r="E45" s="6">
        <v>-1</v>
      </c>
      <c r="F45" s="6"/>
      <c r="G45" s="6"/>
      <c r="H45" s="6"/>
    </row>
    <row r="46" spans="1:8" x14ac:dyDescent="0.3">
      <c r="A46" s="6"/>
      <c r="B46" s="6" t="s">
        <v>412</v>
      </c>
      <c r="C46" s="6"/>
      <c r="D46" s="6"/>
      <c r="E46" s="6">
        <v>-1</v>
      </c>
      <c r="F46" s="6"/>
      <c r="G46" s="6"/>
      <c r="H46" s="6"/>
    </row>
    <row r="47" spans="1:8" x14ac:dyDescent="0.3">
      <c r="A47" s="6" t="s">
        <v>1489</v>
      </c>
      <c r="B47" s="6" t="s">
        <v>364</v>
      </c>
      <c r="C47" s="6"/>
      <c r="D47" s="6"/>
      <c r="E47" s="6">
        <v>6</v>
      </c>
      <c r="F47" s="6">
        <v>6</v>
      </c>
      <c r="G47" s="6"/>
      <c r="H47" s="6"/>
    </row>
    <row r="48" spans="1:8" x14ac:dyDescent="0.3">
      <c r="A48" s="6"/>
      <c r="B48" s="6" t="s">
        <v>364</v>
      </c>
      <c r="C48" s="6"/>
      <c r="D48" s="6"/>
      <c r="E48" s="6">
        <v>-1</v>
      </c>
      <c r="F48" s="6"/>
      <c r="G48" s="6"/>
      <c r="H48" s="6"/>
    </row>
    <row r="49" spans="1:8" x14ac:dyDescent="0.3">
      <c r="A49" s="6"/>
      <c r="B49" s="6" t="s">
        <v>358</v>
      </c>
      <c r="C49" s="6"/>
      <c r="D49" s="6"/>
      <c r="E49" s="6">
        <v>-1</v>
      </c>
      <c r="F49" s="6"/>
      <c r="G49" s="6"/>
      <c r="H49" s="6"/>
    </row>
    <row r="50" spans="1:8" x14ac:dyDescent="0.3">
      <c r="A50" s="6"/>
      <c r="B50" s="6" t="s">
        <v>356</v>
      </c>
      <c r="C50" s="6"/>
      <c r="D50" s="6"/>
      <c r="E50" s="6">
        <v>-1</v>
      </c>
      <c r="F50" s="6"/>
      <c r="G50" s="6"/>
      <c r="H50" s="6"/>
    </row>
    <row r="51" spans="1:8" x14ac:dyDescent="0.3">
      <c r="A51" s="6"/>
      <c r="B51" s="6" t="s">
        <v>412</v>
      </c>
      <c r="C51" s="6"/>
      <c r="D51" s="6"/>
      <c r="E51" s="6">
        <v>-1</v>
      </c>
      <c r="F51" s="6"/>
      <c r="G51" s="6"/>
      <c r="H51" s="6"/>
    </row>
    <row r="52" spans="1:8" x14ac:dyDescent="0.3">
      <c r="A52" s="6" t="s">
        <v>1309</v>
      </c>
      <c r="B52" s="6" t="s">
        <v>428</v>
      </c>
      <c r="C52" s="6"/>
      <c r="D52" s="6">
        <v>20</v>
      </c>
      <c r="E52" s="6">
        <v>12</v>
      </c>
      <c r="F52" s="6"/>
      <c r="G52" s="6"/>
      <c r="H52" s="6"/>
    </row>
    <row r="53" spans="1:8" x14ac:dyDescent="0.3">
      <c r="A53" s="6"/>
      <c r="B53" s="6" t="s">
        <v>364</v>
      </c>
      <c r="C53" s="6"/>
      <c r="D53" s="6"/>
      <c r="E53" s="6">
        <v>-1</v>
      </c>
      <c r="F53" s="6"/>
      <c r="G53" s="6"/>
      <c r="H53" s="6"/>
    </row>
    <row r="54" spans="1:8" x14ac:dyDescent="0.3">
      <c r="A54" s="6"/>
      <c r="B54" s="6" t="s">
        <v>406</v>
      </c>
      <c r="C54" s="6"/>
      <c r="D54" s="6"/>
      <c r="E54" s="6">
        <v>-1</v>
      </c>
      <c r="F54" s="6"/>
      <c r="G54" s="6"/>
      <c r="H54" s="6"/>
    </row>
    <row r="55" spans="1:8" x14ac:dyDescent="0.3">
      <c r="A55" s="6"/>
      <c r="B55" s="6" t="s">
        <v>358</v>
      </c>
      <c r="C55" s="6"/>
      <c r="D55" s="6"/>
      <c r="E55" s="6">
        <v>-1</v>
      </c>
      <c r="F55" s="6"/>
      <c r="G55" s="6"/>
      <c r="H55" s="6"/>
    </row>
    <row r="56" spans="1:8" x14ac:dyDescent="0.3">
      <c r="A56" s="6"/>
      <c r="B56" s="6" t="s">
        <v>442</v>
      </c>
      <c r="C56" s="6"/>
      <c r="D56" s="6"/>
      <c r="E56" s="6">
        <v>-1</v>
      </c>
      <c r="F56" s="6"/>
      <c r="G56" s="6"/>
      <c r="H56" s="6"/>
    </row>
    <row r="57" spans="1:8" x14ac:dyDescent="0.3">
      <c r="A57" s="6"/>
      <c r="B57" s="6" t="s">
        <v>334</v>
      </c>
      <c r="C57" s="6"/>
      <c r="D57" s="6"/>
      <c r="E57" s="6">
        <v>-1</v>
      </c>
      <c r="F57" s="6"/>
      <c r="G57" s="6"/>
      <c r="H57" s="6"/>
    </row>
    <row r="58" spans="1:8" x14ac:dyDescent="0.3">
      <c r="A58" s="6"/>
      <c r="B58" s="6" t="s">
        <v>328</v>
      </c>
      <c r="C58" s="6"/>
      <c r="D58" s="6"/>
      <c r="E58" s="6">
        <v>-1</v>
      </c>
      <c r="F58" s="6"/>
      <c r="G58" s="6"/>
      <c r="H58" s="6"/>
    </row>
    <row r="59" spans="1:8" x14ac:dyDescent="0.3">
      <c r="A59" s="6" t="s">
        <v>1801</v>
      </c>
      <c r="B59" s="6" t="s">
        <v>394</v>
      </c>
      <c r="C59" s="6"/>
      <c r="D59" s="6"/>
      <c r="E59" s="6">
        <v>10</v>
      </c>
      <c r="F59" s="6"/>
      <c r="G59" s="6">
        <v>2</v>
      </c>
      <c r="H59" s="6">
        <v>19</v>
      </c>
    </row>
    <row r="60" spans="1:8" x14ac:dyDescent="0.3">
      <c r="A60" s="6"/>
      <c r="B60" s="6" t="s">
        <v>344</v>
      </c>
      <c r="C60" s="6"/>
      <c r="D60" s="6"/>
      <c r="E60" s="6">
        <v>-1</v>
      </c>
      <c r="F60" s="6"/>
      <c r="G60" s="6"/>
      <c r="H60" s="6"/>
    </row>
    <row r="61" spans="1:8" x14ac:dyDescent="0.3">
      <c r="A61" s="6"/>
      <c r="B61" s="6" t="s">
        <v>384</v>
      </c>
      <c r="C61" s="6"/>
      <c r="D61" s="6"/>
      <c r="E61" s="6">
        <v>-1</v>
      </c>
      <c r="F61" s="6"/>
      <c r="G61" s="6"/>
      <c r="H61" s="6"/>
    </row>
    <row r="62" spans="1:8" x14ac:dyDescent="0.3">
      <c r="A62" s="6"/>
      <c r="B62" s="6" t="s">
        <v>442</v>
      </c>
      <c r="C62" s="6"/>
      <c r="D62" s="6"/>
      <c r="E62" s="6"/>
      <c r="F62" s="6">
        <v>-1</v>
      </c>
      <c r="G62" s="6">
        <v>-1</v>
      </c>
      <c r="H62" s="6"/>
    </row>
    <row r="63" spans="1:8" x14ac:dyDescent="0.3">
      <c r="A63" s="6" t="s">
        <v>1684</v>
      </c>
      <c r="B63" s="6" t="s">
        <v>344</v>
      </c>
      <c r="C63" s="6"/>
      <c r="D63" s="6"/>
      <c r="E63" s="6"/>
      <c r="F63" s="6">
        <v>5</v>
      </c>
      <c r="G63" s="6">
        <v>4</v>
      </c>
      <c r="H63" s="6">
        <v>11</v>
      </c>
    </row>
    <row r="64" spans="1:8" x14ac:dyDescent="0.3">
      <c r="A64" s="6"/>
      <c r="B64" s="6" t="s">
        <v>364</v>
      </c>
      <c r="C64" s="6"/>
      <c r="D64" s="6"/>
      <c r="E64" s="6"/>
      <c r="F64" s="6">
        <v>-1</v>
      </c>
      <c r="G64" s="6">
        <v>-1</v>
      </c>
      <c r="H64" s="6"/>
    </row>
    <row r="65" spans="1:8" x14ac:dyDescent="0.3">
      <c r="A65" s="6" t="s">
        <v>3005</v>
      </c>
      <c r="B65" s="6" t="s">
        <v>332</v>
      </c>
      <c r="C65" s="6"/>
      <c r="D65" s="6"/>
      <c r="E65" s="6">
        <v>29</v>
      </c>
      <c r="F65" s="6">
        <v>8</v>
      </c>
      <c r="G65" s="6"/>
      <c r="H65" s="6"/>
    </row>
    <row r="66" spans="1:8" x14ac:dyDescent="0.3">
      <c r="A66" s="6"/>
      <c r="B66" s="6" t="s">
        <v>356</v>
      </c>
      <c r="C66" s="6"/>
      <c r="D66" s="6"/>
      <c r="E66" s="6"/>
      <c r="F66" s="6">
        <v>-1</v>
      </c>
      <c r="G66" s="6">
        <v>-1</v>
      </c>
      <c r="H66" s="6"/>
    </row>
    <row r="67" spans="1:8" x14ac:dyDescent="0.3">
      <c r="A67" s="6"/>
      <c r="B67" s="6" t="s">
        <v>384</v>
      </c>
      <c r="C67" s="6"/>
      <c r="D67" s="6"/>
      <c r="E67" s="6"/>
      <c r="F67" s="6">
        <v>-1</v>
      </c>
      <c r="G67" s="6">
        <v>-1</v>
      </c>
      <c r="H67" s="6"/>
    </row>
    <row r="68" spans="1:8" x14ac:dyDescent="0.3">
      <c r="A68" s="6" t="s">
        <v>2652</v>
      </c>
      <c r="B68" s="6" t="s">
        <v>412</v>
      </c>
      <c r="C68" s="6"/>
      <c r="D68" s="6"/>
      <c r="E68" s="6"/>
      <c r="F68" s="6">
        <v>7</v>
      </c>
      <c r="G68" s="6"/>
      <c r="H68" s="6"/>
    </row>
    <row r="69" spans="1:8" x14ac:dyDescent="0.3">
      <c r="A69" s="6" t="s">
        <v>3767</v>
      </c>
      <c r="B69" s="6" t="s">
        <v>412</v>
      </c>
      <c r="C69" s="6"/>
      <c r="D69" s="6"/>
      <c r="E69" s="6"/>
      <c r="F69" s="6"/>
      <c r="G69" s="6">
        <v>3</v>
      </c>
      <c r="H69" s="6">
        <v>1</v>
      </c>
    </row>
    <row r="70" spans="1:8" x14ac:dyDescent="0.3">
      <c r="A70" s="6"/>
      <c r="B70" s="6" t="s">
        <v>356</v>
      </c>
      <c r="C70" s="6"/>
      <c r="D70" s="6"/>
      <c r="E70" s="6"/>
      <c r="F70" s="6">
        <v>-1</v>
      </c>
      <c r="G70" s="6">
        <v>-1</v>
      </c>
      <c r="H70" s="6"/>
    </row>
    <row r="71" spans="1:8" x14ac:dyDescent="0.3">
      <c r="A71" s="6"/>
      <c r="B71" s="6" t="s">
        <v>358</v>
      </c>
      <c r="C71" s="6"/>
      <c r="D71" s="6"/>
      <c r="E71" s="6"/>
      <c r="F71" s="6">
        <v>-1</v>
      </c>
      <c r="G71" s="6"/>
      <c r="H71" s="6"/>
    </row>
    <row r="72" spans="1:8" x14ac:dyDescent="0.3">
      <c r="A72" s="6" t="s">
        <v>4664</v>
      </c>
      <c r="B72" s="6" t="s">
        <v>334</v>
      </c>
      <c r="C72" s="6"/>
      <c r="D72" s="6"/>
      <c r="E72" s="6"/>
      <c r="F72" s="6">
        <v>16</v>
      </c>
      <c r="G72" s="6"/>
      <c r="H72" s="6">
        <v>22</v>
      </c>
    </row>
    <row r="73" spans="1:8" x14ac:dyDescent="0.3">
      <c r="A73" s="6"/>
      <c r="B73" s="6" t="s">
        <v>520</v>
      </c>
      <c r="C73" s="6"/>
      <c r="D73" s="6"/>
      <c r="E73" s="6"/>
      <c r="F73" s="6">
        <v>-1</v>
      </c>
      <c r="G73" s="6"/>
      <c r="H73" s="6"/>
    </row>
    <row r="74" spans="1:8" x14ac:dyDescent="0.3">
      <c r="A74" s="6" t="s">
        <v>4668</v>
      </c>
      <c r="B74" s="6" t="s">
        <v>334</v>
      </c>
      <c r="C74" s="6"/>
      <c r="D74" s="6"/>
      <c r="E74" s="6"/>
      <c r="F74" s="6">
        <v>19</v>
      </c>
      <c r="G74" s="6"/>
      <c r="H74" s="6">
        <v>28</v>
      </c>
    </row>
    <row r="75" spans="1:8" x14ac:dyDescent="0.3">
      <c r="A75" s="6"/>
      <c r="B75" s="6" t="s">
        <v>412</v>
      </c>
      <c r="C75" s="6"/>
      <c r="D75" s="6"/>
      <c r="E75" s="6"/>
      <c r="F75" s="6">
        <v>-1</v>
      </c>
      <c r="G75" s="6"/>
      <c r="H75" s="6"/>
    </row>
    <row r="76" spans="1:8" x14ac:dyDescent="0.3">
      <c r="A76" s="6"/>
      <c r="B76" s="6" t="s">
        <v>364</v>
      </c>
      <c r="C76" s="6"/>
      <c r="D76" s="6"/>
      <c r="E76" s="6"/>
      <c r="F76" s="6">
        <v>-1</v>
      </c>
      <c r="G76" s="6"/>
      <c r="H76" s="6"/>
    </row>
    <row r="77" spans="1:8" x14ac:dyDescent="0.3">
      <c r="A77" s="6"/>
      <c r="B77" s="6" t="s">
        <v>356</v>
      </c>
      <c r="C77" s="6"/>
      <c r="D77" s="6"/>
      <c r="E77" s="6"/>
      <c r="F77" s="6"/>
      <c r="G77" s="6"/>
      <c r="H77" s="6">
        <v>-1</v>
      </c>
    </row>
    <row r="78" spans="1:8" x14ac:dyDescent="0.3">
      <c r="A78" s="6"/>
      <c r="B78" s="6" t="s">
        <v>520</v>
      </c>
      <c r="C78" s="6"/>
      <c r="D78" s="6"/>
      <c r="E78" s="6"/>
      <c r="F78" s="6"/>
      <c r="G78" s="6"/>
      <c r="H78" s="6">
        <v>-1</v>
      </c>
    </row>
    <row r="79" spans="1:8" x14ac:dyDescent="0.3">
      <c r="A79" s="6"/>
      <c r="B79" s="6" t="s">
        <v>700</v>
      </c>
      <c r="C79" s="6"/>
      <c r="D79" s="6"/>
      <c r="E79" s="6"/>
      <c r="F79" s="6"/>
      <c r="G79" s="6"/>
      <c r="H79" s="6">
        <v>-1</v>
      </c>
    </row>
    <row r="80" spans="1:8" x14ac:dyDescent="0.3">
      <c r="A80" s="6"/>
      <c r="B80" s="6" t="s">
        <v>332</v>
      </c>
      <c r="C80" s="6"/>
      <c r="D80" s="6"/>
      <c r="E80" s="6"/>
      <c r="F80" s="6"/>
      <c r="G80" s="6"/>
      <c r="H80" s="6">
        <v>-1</v>
      </c>
    </row>
    <row r="81" spans="1:8" x14ac:dyDescent="0.3">
      <c r="A81" s="6"/>
      <c r="B81" s="6" t="s">
        <v>444</v>
      </c>
      <c r="C81" s="6"/>
      <c r="D81" s="6"/>
      <c r="E81" s="6"/>
      <c r="F81" s="6"/>
      <c r="G81" s="6"/>
      <c r="H81" s="6">
        <v>-1</v>
      </c>
    </row>
    <row r="82" spans="1:8" x14ac:dyDescent="0.3">
      <c r="A82" s="6"/>
      <c r="B82" s="6" t="s">
        <v>442</v>
      </c>
      <c r="C82" s="6"/>
      <c r="D82" s="6"/>
      <c r="E82" s="6"/>
      <c r="F82" s="6"/>
      <c r="G82" s="6"/>
      <c r="H82" s="6">
        <v>-1</v>
      </c>
    </row>
    <row r="83" spans="1:8" x14ac:dyDescent="0.3">
      <c r="A83" s="6"/>
      <c r="B83" s="6" t="s">
        <v>412</v>
      </c>
      <c r="C83" s="6"/>
      <c r="D83" s="6"/>
      <c r="E83" s="6"/>
      <c r="F83" s="6"/>
      <c r="G83" s="6"/>
      <c r="H83" s="6">
        <v>-1</v>
      </c>
    </row>
    <row r="84" spans="1:8" x14ac:dyDescent="0.3">
      <c r="A84" s="6"/>
      <c r="B84" s="6" t="s">
        <v>384</v>
      </c>
      <c r="C84" s="6"/>
      <c r="D84" s="6"/>
      <c r="E84" s="6"/>
      <c r="F84" s="6"/>
      <c r="G84" s="6"/>
      <c r="H84" s="6">
        <v>-1</v>
      </c>
    </row>
    <row r="85" spans="1:8" x14ac:dyDescent="0.3">
      <c r="A85" s="6"/>
      <c r="B85" s="6" t="s">
        <v>384</v>
      </c>
      <c r="C85" s="6"/>
      <c r="D85" s="6"/>
      <c r="E85" s="6"/>
      <c r="F85" s="6"/>
      <c r="G85" s="6"/>
      <c r="H85" s="6">
        <v>-1</v>
      </c>
    </row>
    <row r="86" spans="1:8" x14ac:dyDescent="0.3">
      <c r="A86" s="6"/>
      <c r="B86" s="6" t="s">
        <v>358</v>
      </c>
      <c r="C86" s="6"/>
      <c r="D86" s="6"/>
      <c r="E86" s="6"/>
      <c r="F86" s="6"/>
      <c r="G86" s="6"/>
      <c r="H86" s="6">
        <v>-1</v>
      </c>
    </row>
    <row r="87" spans="1:8" x14ac:dyDescent="0.3">
      <c r="A87" s="6"/>
      <c r="B87" s="6" t="s">
        <v>414</v>
      </c>
      <c r="C87" s="6"/>
      <c r="D87" s="6"/>
      <c r="E87" s="6"/>
      <c r="F87" s="6"/>
      <c r="G87" s="6"/>
      <c r="H87" s="6">
        <v>-1</v>
      </c>
    </row>
    <row r="88" spans="1:8" x14ac:dyDescent="0.3">
      <c r="A88" s="6"/>
      <c r="B88" s="6" t="s">
        <v>332</v>
      </c>
      <c r="C88" s="6"/>
      <c r="D88" s="6"/>
      <c r="E88" s="6"/>
      <c r="F88" s="6"/>
      <c r="G88" s="6"/>
      <c r="H88" s="6">
        <v>-1</v>
      </c>
    </row>
    <row r="89" spans="1:8" x14ac:dyDescent="0.3">
      <c r="A89" s="6"/>
      <c r="B89" s="6" t="s">
        <v>520</v>
      </c>
      <c r="C89" s="6"/>
      <c r="D89" s="6"/>
      <c r="E89" s="6"/>
      <c r="F89" s="6"/>
      <c r="G89" s="6"/>
      <c r="H89" s="6">
        <v>-1</v>
      </c>
    </row>
    <row r="90" spans="1:8" x14ac:dyDescent="0.3">
      <c r="A90" s="6"/>
      <c r="B90" s="6" t="s">
        <v>328</v>
      </c>
      <c r="C90" s="6"/>
      <c r="D90" s="6"/>
      <c r="E90" s="6"/>
      <c r="F90" s="6"/>
      <c r="G90" s="6"/>
      <c r="H90" s="6">
        <v>-1</v>
      </c>
    </row>
    <row r="91" spans="1:8" x14ac:dyDescent="0.3">
      <c r="A91" s="6" t="s">
        <v>1298</v>
      </c>
      <c r="B91" s="6" t="s">
        <v>428</v>
      </c>
      <c r="C91" s="6"/>
      <c r="D91" s="6"/>
      <c r="E91" s="6"/>
      <c r="F91" s="6">
        <v>20</v>
      </c>
      <c r="G91" s="6"/>
      <c r="H91" s="6">
        <v>10</v>
      </c>
    </row>
    <row r="92" spans="1:8" x14ac:dyDescent="0.3">
      <c r="A92" s="6" t="s">
        <v>4356</v>
      </c>
      <c r="B92" s="6" t="s">
        <v>344</v>
      </c>
      <c r="C92" s="6"/>
      <c r="D92" s="6"/>
      <c r="E92" s="6"/>
      <c r="F92" s="6"/>
      <c r="G92" s="6"/>
      <c r="H92" s="6">
        <v>7</v>
      </c>
    </row>
    <row r="93" spans="1:8" x14ac:dyDescent="0.3">
      <c r="A93" s="6"/>
      <c r="B93" s="6" t="s">
        <v>700</v>
      </c>
      <c r="C93" s="6"/>
      <c r="D93" s="6"/>
      <c r="E93" s="6"/>
      <c r="F93" s="6"/>
      <c r="G93" s="6"/>
      <c r="H93" s="6">
        <v>-1</v>
      </c>
    </row>
    <row r="94" spans="1:8" x14ac:dyDescent="0.3">
      <c r="A94" s="6"/>
      <c r="B94" s="6" t="s">
        <v>328</v>
      </c>
      <c r="C94" s="6"/>
      <c r="D94" s="6"/>
      <c r="E94" s="6"/>
      <c r="F94" s="6"/>
      <c r="G94" s="6"/>
      <c r="H94" s="6">
        <v>-1</v>
      </c>
    </row>
    <row r="95" spans="1:8" x14ac:dyDescent="0.3">
      <c r="A95" s="6"/>
      <c r="B95" s="6" t="s">
        <v>364</v>
      </c>
      <c r="C95" s="6"/>
      <c r="D95" s="6"/>
      <c r="E95" s="6"/>
      <c r="F95" s="6"/>
      <c r="G95" s="6"/>
      <c r="H95" s="6">
        <v>-1</v>
      </c>
    </row>
    <row r="96" spans="1:8" x14ac:dyDescent="0.3">
      <c r="A96" s="6"/>
      <c r="B96" s="6" t="s">
        <v>700</v>
      </c>
      <c r="C96" s="6">
        <v>-1</v>
      </c>
      <c r="D96" s="6"/>
      <c r="E96" s="6"/>
      <c r="F96" s="6"/>
      <c r="G96" s="6"/>
      <c r="H96" s="6"/>
    </row>
    <row r="97" spans="1:8" x14ac:dyDescent="0.3">
      <c r="A97" s="6"/>
      <c r="B97" s="6" t="s">
        <v>384</v>
      </c>
      <c r="C97" s="6">
        <v>-1</v>
      </c>
      <c r="D97" s="6"/>
      <c r="E97" s="6"/>
      <c r="F97" s="6"/>
      <c r="G97" s="6"/>
      <c r="H97" s="6"/>
    </row>
    <row r="98" spans="1:8" x14ac:dyDescent="0.3">
      <c r="A98" s="6"/>
      <c r="B98" s="6" t="s">
        <v>330</v>
      </c>
      <c r="C98" s="6">
        <v>-1</v>
      </c>
      <c r="D98" s="6"/>
      <c r="E98" s="6"/>
      <c r="F98" s="6"/>
      <c r="G98" s="6"/>
      <c r="H98" s="6"/>
    </row>
    <row r="99" spans="1:8" x14ac:dyDescent="0.3">
      <c r="A99" s="6"/>
      <c r="B99" s="6" t="s">
        <v>332</v>
      </c>
      <c r="C99" s="6">
        <v>-1</v>
      </c>
      <c r="D99" s="6"/>
      <c r="E99" s="6"/>
      <c r="F99" s="6"/>
      <c r="G99" s="6"/>
      <c r="H99" s="6"/>
    </row>
    <row r="100" spans="1:8" x14ac:dyDescent="0.3">
      <c r="A100" s="6"/>
      <c r="B100" s="6" t="s">
        <v>364</v>
      </c>
      <c r="C100" s="6">
        <v>-1</v>
      </c>
      <c r="D100" s="6"/>
      <c r="E100" s="6"/>
      <c r="F100" s="6"/>
      <c r="G100" s="6"/>
      <c r="H100" s="6"/>
    </row>
    <row r="101" spans="1:8" x14ac:dyDescent="0.3">
      <c r="A101" s="6"/>
      <c r="B101" s="6" t="s">
        <v>356</v>
      </c>
      <c r="C101" s="6">
        <v>-1</v>
      </c>
      <c r="D101" s="6"/>
      <c r="E101" s="6"/>
      <c r="F101" s="6"/>
      <c r="G101" s="6"/>
      <c r="H101" s="6"/>
    </row>
    <row r="102" spans="1:8" x14ac:dyDescent="0.3">
      <c r="A102" s="6"/>
      <c r="B102" s="6" t="s">
        <v>700</v>
      </c>
      <c r="C102" s="6"/>
      <c r="D102" s="6">
        <v>-1</v>
      </c>
      <c r="E102" s="6"/>
      <c r="F102" s="6"/>
      <c r="G102" s="6"/>
      <c r="H102" s="6"/>
    </row>
    <row r="103" spans="1:8" x14ac:dyDescent="0.3">
      <c r="A103" s="6"/>
      <c r="B103" s="6" t="s">
        <v>384</v>
      </c>
      <c r="C103" s="6"/>
      <c r="D103" s="6">
        <v>-1</v>
      </c>
      <c r="E103" s="6"/>
      <c r="F103" s="6"/>
      <c r="G103" s="6"/>
      <c r="H103" s="6"/>
    </row>
    <row r="104" spans="1:8" x14ac:dyDescent="0.3">
      <c r="A104" s="6"/>
      <c r="B104" s="6" t="s">
        <v>700</v>
      </c>
      <c r="C104" s="6"/>
      <c r="D104" s="6">
        <v>-1</v>
      </c>
      <c r="E104" s="6"/>
      <c r="F104" s="6"/>
      <c r="G104" s="6"/>
      <c r="H104" s="6"/>
    </row>
    <row r="105" spans="1:8" x14ac:dyDescent="0.3">
      <c r="A105" s="6"/>
      <c r="B105" s="6" t="s">
        <v>406</v>
      </c>
      <c r="C105" s="6"/>
      <c r="D105" s="6">
        <v>-1</v>
      </c>
      <c r="E105" s="6"/>
      <c r="F105" s="6"/>
      <c r="G105" s="6"/>
      <c r="H105" s="6"/>
    </row>
    <row r="106" spans="1:8" x14ac:dyDescent="0.3">
      <c r="A106" s="6"/>
      <c r="B106" s="6" t="s">
        <v>330</v>
      </c>
      <c r="C106" s="6"/>
      <c r="D106" s="6">
        <v>-1</v>
      </c>
      <c r="E106" s="6"/>
      <c r="F106" s="6"/>
      <c r="G106" s="6"/>
      <c r="H106" s="6"/>
    </row>
    <row r="107" spans="1:8" x14ac:dyDescent="0.3">
      <c r="A107" s="6"/>
      <c r="B107" s="6" t="s">
        <v>332</v>
      </c>
      <c r="C107" s="6"/>
      <c r="D107" s="6"/>
      <c r="E107" s="6">
        <v>-1</v>
      </c>
      <c r="F107" s="6"/>
      <c r="G107" s="6"/>
      <c r="H107" s="6"/>
    </row>
    <row r="108" spans="1:8" x14ac:dyDescent="0.3">
      <c r="A108" s="6"/>
      <c r="B108" s="6" t="s">
        <v>384</v>
      </c>
      <c r="C108" s="6"/>
      <c r="D108" s="6"/>
      <c r="E108" s="6">
        <v>-1</v>
      </c>
      <c r="F108" s="6"/>
      <c r="G108" s="6"/>
      <c r="H108" s="6"/>
    </row>
    <row r="109" spans="1:8" x14ac:dyDescent="0.3">
      <c r="A109" s="6"/>
      <c r="B109" s="6" t="s">
        <v>334</v>
      </c>
      <c r="C109" s="6"/>
      <c r="D109" s="6"/>
      <c r="E109" s="6">
        <v>-1</v>
      </c>
      <c r="F109" s="6"/>
      <c r="G109" s="6"/>
      <c r="H109" s="6"/>
    </row>
    <row r="110" spans="1:8" x14ac:dyDescent="0.3">
      <c r="A110" s="6" t="s">
        <v>1282</v>
      </c>
      <c r="B110" s="6" t="s">
        <v>428</v>
      </c>
      <c r="C110" s="6"/>
      <c r="D110" s="6"/>
      <c r="E110" s="6">
        <v>26</v>
      </c>
      <c r="F110" s="6"/>
      <c r="G110" s="6"/>
      <c r="H110" s="6">
        <v>13</v>
      </c>
    </row>
    <row r="111" spans="1:8" x14ac:dyDescent="0.3">
      <c r="A111" s="6"/>
      <c r="B111" s="6" t="s">
        <v>520</v>
      </c>
      <c r="C111" s="6"/>
      <c r="D111" s="6"/>
      <c r="E111" s="6">
        <v>-1</v>
      </c>
      <c r="F111" s="6"/>
      <c r="G111" s="6"/>
      <c r="H111" s="6"/>
    </row>
    <row r="112" spans="1:8" x14ac:dyDescent="0.3">
      <c r="A112" s="6"/>
      <c r="B112" s="6" t="s">
        <v>334</v>
      </c>
      <c r="C112" s="6"/>
      <c r="D112" s="6"/>
      <c r="E112" s="6"/>
      <c r="F112" s="6">
        <v>-1</v>
      </c>
      <c r="G112" s="6"/>
      <c r="H112" s="6"/>
    </row>
    <row r="113" spans="1:8" x14ac:dyDescent="0.3">
      <c r="A113" s="6"/>
      <c r="B113" s="6" t="s">
        <v>356</v>
      </c>
      <c r="C113" s="6"/>
      <c r="D113" s="6"/>
      <c r="E113" s="6"/>
      <c r="F113" s="6">
        <v>-1</v>
      </c>
      <c r="G113" s="6"/>
      <c r="H113" s="6"/>
    </row>
    <row r="114" spans="1:8" x14ac:dyDescent="0.3">
      <c r="A114" s="6"/>
      <c r="B114" s="6" t="s">
        <v>328</v>
      </c>
      <c r="C114" s="6"/>
      <c r="D114" s="6"/>
      <c r="E114" s="6"/>
      <c r="F114" s="6">
        <v>-1</v>
      </c>
      <c r="G114" s="6"/>
      <c r="H114" s="6"/>
    </row>
    <row r="115" spans="1:8" x14ac:dyDescent="0.3">
      <c r="A115" s="6"/>
      <c r="B115" s="6" t="s">
        <v>520</v>
      </c>
      <c r="C115" s="6"/>
      <c r="D115" s="6"/>
      <c r="E115" s="6"/>
      <c r="F115" s="6"/>
      <c r="G115" s="6">
        <v>-1</v>
      </c>
      <c r="H115" s="6"/>
    </row>
    <row r="116" spans="1:8" x14ac:dyDescent="0.3">
      <c r="A116" s="6"/>
      <c r="B116" s="6" t="s">
        <v>364</v>
      </c>
      <c r="C116" s="6"/>
      <c r="D116" s="6"/>
      <c r="E116" s="6"/>
      <c r="F116" s="6"/>
      <c r="G116" s="6">
        <v>-1</v>
      </c>
      <c r="H116" s="6"/>
    </row>
    <row r="117" spans="1:8" x14ac:dyDescent="0.3">
      <c r="A117" s="6" t="s">
        <v>2555</v>
      </c>
      <c r="B117" s="6" t="s">
        <v>384</v>
      </c>
      <c r="C117" s="6">
        <v>16</v>
      </c>
      <c r="D117" s="6">
        <v>22</v>
      </c>
      <c r="E117" s="6"/>
      <c r="F117" s="6"/>
      <c r="G117" s="6"/>
      <c r="H117" s="6"/>
    </row>
    <row r="118" spans="1:8" x14ac:dyDescent="0.3">
      <c r="A118" s="6" t="s">
        <v>4881</v>
      </c>
      <c r="B118" s="6" t="s">
        <v>330</v>
      </c>
      <c r="C118" s="6"/>
      <c r="D118" s="6">
        <v>27</v>
      </c>
      <c r="E118" s="6"/>
      <c r="F118" s="6"/>
      <c r="G118" s="6"/>
      <c r="H118" s="6"/>
    </row>
    <row r="119" spans="1:8" x14ac:dyDescent="0.3">
      <c r="A119" s="6" t="s">
        <v>2548</v>
      </c>
      <c r="B119" s="6" t="s">
        <v>384</v>
      </c>
      <c r="C119" s="6"/>
      <c r="D119" s="6"/>
      <c r="E119" s="6">
        <v>23</v>
      </c>
      <c r="F119" s="6"/>
      <c r="G119" s="6"/>
      <c r="H119" s="6">
        <v>24</v>
      </c>
    </row>
    <row r="120" spans="1:8" x14ac:dyDescent="0.3">
      <c r="A120" s="6" t="s">
        <v>3465</v>
      </c>
      <c r="B120" s="6" t="s">
        <v>412</v>
      </c>
      <c r="C120" s="6"/>
      <c r="D120" s="6"/>
      <c r="E120" s="6"/>
      <c r="F120" s="6">
        <v>11</v>
      </c>
      <c r="G120" s="6"/>
      <c r="H120" s="6"/>
    </row>
    <row r="121" spans="1:8" x14ac:dyDescent="0.3">
      <c r="A121" s="6" t="s">
        <v>1402</v>
      </c>
      <c r="B121" s="6" t="s">
        <v>328</v>
      </c>
      <c r="C121" s="6"/>
      <c r="D121" s="6"/>
      <c r="E121" s="6"/>
      <c r="F121" s="6"/>
      <c r="G121" s="6"/>
      <c r="H121" s="6">
        <v>15</v>
      </c>
    </row>
    <row r="122" spans="1:8" x14ac:dyDescent="0.3">
      <c r="A122" s="6" t="s">
        <v>4295</v>
      </c>
      <c r="B122" s="6" t="s">
        <v>328</v>
      </c>
      <c r="C122" s="6"/>
      <c r="D122" s="6"/>
      <c r="E122" s="6"/>
      <c r="F122" s="6"/>
      <c r="G122" s="6"/>
      <c r="H122" s="6">
        <v>18</v>
      </c>
    </row>
  </sheetData>
  <pageMargins left="0.7" right="0.7" top="0.75" bottom="0.75" header="0.3" footer="0.3"/>
  <tableParts count="1">
    <tablePart r:id="rId1"/>
  </tableParts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025C3-B589-4E68-B5E2-762002886538}">
  <dimension ref="A1:H119"/>
  <sheetViews>
    <sheetView topLeftCell="A114" workbookViewId="0">
      <selection activeCell="B120" sqref="B120"/>
    </sheetView>
  </sheetViews>
  <sheetFormatPr defaultRowHeight="14.4" x14ac:dyDescent="0.3"/>
  <cols>
    <col min="1" max="1" width="23.77734375" bestFit="1" customWidth="1"/>
    <col min="2" max="2" width="14" bestFit="1" customWidth="1"/>
    <col min="3" max="3" width="19.44140625" bestFit="1" customWidth="1"/>
    <col min="4" max="7" width="20.44140625" bestFit="1" customWidth="1"/>
    <col min="8" max="8" width="23.6640625" bestFit="1" customWidth="1"/>
  </cols>
  <sheetData>
    <row r="1" spans="1:8" x14ac:dyDescent="0.3">
      <c r="A1" t="s">
        <v>832</v>
      </c>
      <c r="B1" t="s">
        <v>1</v>
      </c>
      <c r="C1" t="s">
        <v>1035</v>
      </c>
      <c r="D1" t="s">
        <v>1036</v>
      </c>
      <c r="E1" t="s">
        <v>943</v>
      </c>
      <c r="F1" t="s">
        <v>1048</v>
      </c>
      <c r="G1" t="s">
        <v>944</v>
      </c>
      <c r="H1" t="s">
        <v>1015</v>
      </c>
    </row>
    <row r="2" spans="1:8" x14ac:dyDescent="0.3">
      <c r="A2" s="6" t="s">
        <v>3776</v>
      </c>
      <c r="B2" s="6" t="s">
        <v>412</v>
      </c>
      <c r="C2" s="6">
        <v>1</v>
      </c>
      <c r="D2" s="6">
        <v>2</v>
      </c>
      <c r="E2" s="6">
        <v>5</v>
      </c>
      <c r="F2" s="6"/>
      <c r="G2" s="6"/>
      <c r="H2" s="6"/>
    </row>
    <row r="3" spans="1:8" x14ac:dyDescent="0.3">
      <c r="A3" s="6"/>
      <c r="B3" s="6" t="s">
        <v>428</v>
      </c>
      <c r="C3" s="6">
        <v>-1</v>
      </c>
      <c r="D3" s="6"/>
      <c r="E3" s="6"/>
      <c r="F3" s="6"/>
      <c r="G3" s="6"/>
      <c r="H3" s="6"/>
    </row>
    <row r="4" spans="1:8" x14ac:dyDescent="0.3">
      <c r="A4" s="6" t="s">
        <v>1841</v>
      </c>
      <c r="B4" s="6" t="s">
        <v>332</v>
      </c>
      <c r="C4" s="6">
        <v>5</v>
      </c>
      <c r="D4" s="6">
        <v>6</v>
      </c>
      <c r="E4" s="6"/>
      <c r="F4" s="6"/>
      <c r="G4" s="6"/>
      <c r="H4" s="6"/>
    </row>
    <row r="5" spans="1:8" x14ac:dyDescent="0.3">
      <c r="A5" s="6"/>
      <c r="B5" s="6" t="s">
        <v>700</v>
      </c>
      <c r="C5" s="6">
        <v>-1</v>
      </c>
      <c r="D5" s="6"/>
      <c r="E5" s="6"/>
      <c r="F5" s="6"/>
      <c r="G5" s="6"/>
      <c r="H5" s="6"/>
    </row>
    <row r="6" spans="1:8" x14ac:dyDescent="0.3">
      <c r="A6" s="6"/>
      <c r="B6" s="6" t="s">
        <v>412</v>
      </c>
      <c r="C6" s="6">
        <v>-1</v>
      </c>
      <c r="D6" s="6"/>
      <c r="E6" s="6"/>
      <c r="F6" s="6"/>
      <c r="G6" s="6"/>
      <c r="H6" s="6"/>
    </row>
    <row r="7" spans="1:8" x14ac:dyDescent="0.3">
      <c r="A7" s="6" t="s">
        <v>3770</v>
      </c>
      <c r="B7" s="6" t="s">
        <v>412</v>
      </c>
      <c r="C7" s="6">
        <v>15</v>
      </c>
      <c r="D7" s="6"/>
      <c r="E7" s="6"/>
      <c r="F7" s="6"/>
      <c r="G7" s="6"/>
      <c r="H7" s="6"/>
    </row>
    <row r="8" spans="1:8" x14ac:dyDescent="0.3">
      <c r="A8" s="6" t="s">
        <v>3696</v>
      </c>
      <c r="B8" s="6" t="s">
        <v>394</v>
      </c>
      <c r="C8" s="6">
        <v>6</v>
      </c>
      <c r="D8" s="6"/>
      <c r="E8" s="6"/>
      <c r="F8" s="6"/>
      <c r="G8" s="6"/>
      <c r="H8" s="6"/>
    </row>
    <row r="9" spans="1:8" x14ac:dyDescent="0.3">
      <c r="A9" s="6"/>
      <c r="B9" s="6" t="s">
        <v>356</v>
      </c>
      <c r="C9" s="6">
        <v>-1</v>
      </c>
      <c r="D9" s="6"/>
      <c r="E9" s="6"/>
      <c r="F9" s="6"/>
      <c r="G9" s="6"/>
      <c r="H9" s="6"/>
    </row>
    <row r="10" spans="1:8" x14ac:dyDescent="0.3">
      <c r="A10" s="6"/>
      <c r="B10" s="6" t="s">
        <v>394</v>
      </c>
      <c r="C10" s="6">
        <v>-1</v>
      </c>
      <c r="D10" s="6"/>
      <c r="E10" s="6"/>
      <c r="F10" s="6"/>
      <c r="G10" s="6"/>
      <c r="H10" s="6"/>
    </row>
    <row r="11" spans="1:8" x14ac:dyDescent="0.3">
      <c r="A11" s="6"/>
      <c r="B11" s="6" t="s">
        <v>334</v>
      </c>
      <c r="C11" s="6">
        <v>-1</v>
      </c>
      <c r="D11" s="6"/>
      <c r="E11" s="6"/>
      <c r="F11" s="6"/>
      <c r="G11" s="6"/>
      <c r="H11" s="6"/>
    </row>
    <row r="12" spans="1:8" x14ac:dyDescent="0.3">
      <c r="A12" s="6"/>
      <c r="B12" s="6" t="s">
        <v>700</v>
      </c>
      <c r="C12" s="6">
        <v>-1</v>
      </c>
      <c r="D12" s="6"/>
      <c r="E12" s="6"/>
      <c r="F12" s="6"/>
      <c r="G12" s="6"/>
      <c r="H12" s="6"/>
    </row>
    <row r="13" spans="1:8" x14ac:dyDescent="0.3">
      <c r="A13" s="6"/>
      <c r="B13" s="6" t="s">
        <v>368</v>
      </c>
      <c r="C13" s="6">
        <v>-1</v>
      </c>
      <c r="D13" s="6"/>
      <c r="E13" s="6"/>
      <c r="F13" s="6"/>
      <c r="G13" s="6"/>
      <c r="H13" s="6"/>
    </row>
    <row r="14" spans="1:8" x14ac:dyDescent="0.3">
      <c r="A14" s="6"/>
      <c r="B14" s="6" t="s">
        <v>384</v>
      </c>
      <c r="C14" s="6">
        <v>-1</v>
      </c>
      <c r="D14" s="6"/>
      <c r="E14" s="6"/>
      <c r="F14" s="6"/>
      <c r="G14" s="6"/>
      <c r="H14" s="6"/>
    </row>
    <row r="15" spans="1:8" x14ac:dyDescent="0.3">
      <c r="A15" s="6"/>
      <c r="B15" s="6" t="s">
        <v>604</v>
      </c>
      <c r="C15" s="6">
        <v>-1</v>
      </c>
      <c r="D15" s="6"/>
      <c r="E15" s="6"/>
      <c r="F15" s="6"/>
      <c r="G15" s="6"/>
      <c r="H15" s="6"/>
    </row>
    <row r="16" spans="1:8" x14ac:dyDescent="0.3">
      <c r="A16" s="6" t="s">
        <v>3693</v>
      </c>
      <c r="B16" s="6" t="s">
        <v>394</v>
      </c>
      <c r="C16" s="6">
        <v>11</v>
      </c>
      <c r="D16" s="6"/>
      <c r="E16" s="6"/>
      <c r="F16" s="6"/>
      <c r="G16" s="6"/>
      <c r="H16" s="6"/>
    </row>
    <row r="17" spans="1:8" x14ac:dyDescent="0.3">
      <c r="A17" s="6" t="s">
        <v>1773</v>
      </c>
      <c r="B17" s="6" t="s">
        <v>328</v>
      </c>
      <c r="C17" s="6">
        <v>16</v>
      </c>
      <c r="D17" s="6">
        <v>29</v>
      </c>
      <c r="E17" s="6"/>
      <c r="F17" s="6"/>
      <c r="G17" s="6"/>
      <c r="H17" s="6"/>
    </row>
    <row r="18" spans="1:8" x14ac:dyDescent="0.3">
      <c r="A18" s="6"/>
      <c r="B18" s="6" t="s">
        <v>428</v>
      </c>
      <c r="C18" s="6">
        <v>-1</v>
      </c>
      <c r="D18" s="6"/>
      <c r="E18" s="6"/>
      <c r="F18" s="6"/>
      <c r="G18" s="6"/>
      <c r="H18" s="6"/>
    </row>
    <row r="19" spans="1:8" x14ac:dyDescent="0.3">
      <c r="A19" s="6" t="s">
        <v>2551</v>
      </c>
      <c r="B19" s="6" t="s">
        <v>384</v>
      </c>
      <c r="C19" s="6">
        <v>21</v>
      </c>
      <c r="D19" s="6">
        <v>26</v>
      </c>
      <c r="E19" s="6"/>
      <c r="F19" s="6"/>
      <c r="G19" s="6"/>
      <c r="H19" s="6"/>
    </row>
    <row r="20" spans="1:8" x14ac:dyDescent="0.3">
      <c r="A20" s="6"/>
      <c r="B20" s="6" t="s">
        <v>428</v>
      </c>
      <c r="C20" s="6">
        <v>-1</v>
      </c>
      <c r="D20" s="6"/>
      <c r="E20" s="6"/>
      <c r="F20" s="6"/>
      <c r="G20" s="6"/>
      <c r="H20" s="6"/>
    </row>
    <row r="21" spans="1:8" x14ac:dyDescent="0.3">
      <c r="A21" s="6" t="s">
        <v>2170</v>
      </c>
      <c r="B21" s="6" t="s">
        <v>384</v>
      </c>
      <c r="C21" s="6">
        <v>19</v>
      </c>
      <c r="D21" s="6"/>
      <c r="E21" s="6"/>
      <c r="F21" s="6"/>
      <c r="G21" s="6"/>
      <c r="H21" s="6"/>
    </row>
    <row r="22" spans="1:8" x14ac:dyDescent="0.3">
      <c r="A22" s="6"/>
      <c r="B22" s="6" t="s">
        <v>328</v>
      </c>
      <c r="C22" s="6">
        <v>-1</v>
      </c>
      <c r="D22" s="6"/>
      <c r="E22" s="6"/>
      <c r="F22" s="6"/>
      <c r="G22" s="6"/>
      <c r="H22" s="6"/>
    </row>
    <row r="23" spans="1:8" x14ac:dyDescent="0.3">
      <c r="A23" s="6"/>
      <c r="B23" s="6" t="s">
        <v>412</v>
      </c>
      <c r="C23" s="6"/>
      <c r="D23" s="6">
        <v>-1</v>
      </c>
      <c r="E23" s="6"/>
      <c r="F23" s="6"/>
      <c r="G23" s="6"/>
      <c r="H23" s="6"/>
    </row>
    <row r="24" spans="1:8" x14ac:dyDescent="0.3">
      <c r="A24" s="6" t="s">
        <v>1819</v>
      </c>
      <c r="B24" s="6" t="s">
        <v>332</v>
      </c>
      <c r="C24" s="6"/>
      <c r="D24" s="6">
        <v>4</v>
      </c>
      <c r="E24" s="6">
        <v>4</v>
      </c>
      <c r="F24" s="6"/>
      <c r="G24" s="6"/>
      <c r="H24" s="6"/>
    </row>
    <row r="25" spans="1:8" x14ac:dyDescent="0.3">
      <c r="A25" s="6"/>
      <c r="B25" s="6" t="s">
        <v>412</v>
      </c>
      <c r="C25" s="6"/>
      <c r="D25" s="6">
        <v>-1</v>
      </c>
      <c r="E25" s="6"/>
      <c r="F25" s="6"/>
      <c r="G25" s="6"/>
      <c r="H25" s="6"/>
    </row>
    <row r="26" spans="1:8" x14ac:dyDescent="0.3">
      <c r="A26" s="6"/>
      <c r="B26" s="6" t="s">
        <v>384</v>
      </c>
      <c r="C26" s="6"/>
      <c r="D26" s="6">
        <v>-1</v>
      </c>
      <c r="E26" s="6"/>
      <c r="F26" s="6"/>
      <c r="G26" s="6"/>
      <c r="H26" s="6"/>
    </row>
    <row r="27" spans="1:8" x14ac:dyDescent="0.3">
      <c r="A27" s="6" t="s">
        <v>1303</v>
      </c>
      <c r="B27" s="6" t="s">
        <v>428</v>
      </c>
      <c r="C27" s="6">
        <v>3</v>
      </c>
      <c r="D27" s="6">
        <v>3</v>
      </c>
      <c r="E27" s="6">
        <v>6</v>
      </c>
      <c r="F27" s="6"/>
      <c r="G27" s="6"/>
      <c r="H27" s="6"/>
    </row>
    <row r="28" spans="1:8" x14ac:dyDescent="0.3">
      <c r="A28" s="6"/>
      <c r="B28" s="6" t="s">
        <v>428</v>
      </c>
      <c r="C28" s="6"/>
      <c r="D28" s="6">
        <v>-1</v>
      </c>
      <c r="E28" s="6"/>
      <c r="F28" s="6"/>
      <c r="G28" s="6"/>
      <c r="H28" s="6"/>
    </row>
    <row r="29" spans="1:8" x14ac:dyDescent="0.3">
      <c r="A29" s="6"/>
      <c r="B29" s="6" t="s">
        <v>700</v>
      </c>
      <c r="C29" s="6"/>
      <c r="D29" s="6">
        <v>-1</v>
      </c>
      <c r="E29" s="6"/>
      <c r="F29" s="6"/>
      <c r="G29" s="6"/>
      <c r="H29" s="6"/>
    </row>
    <row r="30" spans="1:8" x14ac:dyDescent="0.3">
      <c r="A30" s="6"/>
      <c r="B30" s="6" t="s">
        <v>328</v>
      </c>
      <c r="C30" s="6"/>
      <c r="D30" s="6">
        <v>-1</v>
      </c>
      <c r="E30" s="6"/>
      <c r="F30" s="6"/>
      <c r="G30" s="6"/>
      <c r="H30" s="6"/>
    </row>
    <row r="31" spans="1:8" x14ac:dyDescent="0.3">
      <c r="A31" s="6"/>
      <c r="B31" s="6" t="s">
        <v>402</v>
      </c>
      <c r="C31" s="6"/>
      <c r="D31" s="6">
        <v>-1</v>
      </c>
      <c r="E31" s="6"/>
      <c r="F31" s="6"/>
      <c r="G31" s="6"/>
      <c r="H31" s="6"/>
    </row>
    <row r="32" spans="1:8" x14ac:dyDescent="0.3">
      <c r="A32" s="6"/>
      <c r="B32" s="6" t="s">
        <v>700</v>
      </c>
      <c r="C32" s="6"/>
      <c r="D32" s="6">
        <v>-1</v>
      </c>
      <c r="E32" s="6"/>
      <c r="F32" s="6"/>
      <c r="G32" s="6"/>
      <c r="H32" s="6"/>
    </row>
    <row r="33" spans="1:8" x14ac:dyDescent="0.3">
      <c r="A33" s="6"/>
      <c r="B33" s="6" t="s">
        <v>394</v>
      </c>
      <c r="C33" s="6"/>
      <c r="D33" s="6">
        <v>-1</v>
      </c>
      <c r="E33" s="6"/>
      <c r="F33" s="6"/>
      <c r="G33" s="6"/>
      <c r="H33" s="6"/>
    </row>
    <row r="34" spans="1:8" x14ac:dyDescent="0.3">
      <c r="A34" s="6"/>
      <c r="B34" s="6" t="s">
        <v>384</v>
      </c>
      <c r="C34" s="6"/>
      <c r="D34" s="6">
        <v>-1</v>
      </c>
      <c r="E34" s="6"/>
      <c r="F34" s="6"/>
      <c r="G34" s="6"/>
      <c r="H34" s="6"/>
    </row>
    <row r="35" spans="1:8" x14ac:dyDescent="0.3">
      <c r="A35" s="6"/>
      <c r="B35" s="6" t="s">
        <v>428</v>
      </c>
      <c r="C35" s="6"/>
      <c r="D35" s="6">
        <v>-1</v>
      </c>
      <c r="E35" s="6"/>
      <c r="F35" s="6"/>
      <c r="G35" s="6"/>
      <c r="H35" s="6"/>
    </row>
    <row r="36" spans="1:8" x14ac:dyDescent="0.3">
      <c r="A36" s="6"/>
      <c r="B36" s="6" t="s">
        <v>604</v>
      </c>
      <c r="C36" s="6"/>
      <c r="D36" s="6">
        <v>-1</v>
      </c>
      <c r="E36" s="6"/>
      <c r="F36" s="6"/>
      <c r="G36" s="6"/>
      <c r="H36" s="6"/>
    </row>
    <row r="37" spans="1:8" x14ac:dyDescent="0.3">
      <c r="A37" s="6" t="s">
        <v>2880</v>
      </c>
      <c r="B37" s="6" t="s">
        <v>328</v>
      </c>
      <c r="C37" s="6"/>
      <c r="D37" s="6">
        <v>13</v>
      </c>
      <c r="E37" s="6">
        <v>9</v>
      </c>
      <c r="F37" s="6"/>
      <c r="G37" s="6"/>
      <c r="H37" s="6"/>
    </row>
    <row r="38" spans="1:8" x14ac:dyDescent="0.3">
      <c r="A38" s="6"/>
      <c r="B38" s="6" t="s">
        <v>442</v>
      </c>
      <c r="C38" s="6"/>
      <c r="D38" s="6">
        <v>-1</v>
      </c>
      <c r="E38" s="6"/>
      <c r="F38" s="6"/>
      <c r="G38" s="6"/>
      <c r="H38" s="6"/>
    </row>
    <row r="39" spans="1:8" x14ac:dyDescent="0.3">
      <c r="A39" s="6"/>
      <c r="B39" s="6" t="s">
        <v>520</v>
      </c>
      <c r="C39" s="6"/>
      <c r="D39" s="6">
        <v>-1</v>
      </c>
      <c r="E39" s="6"/>
      <c r="F39" s="6"/>
      <c r="G39" s="6"/>
      <c r="H39" s="6"/>
    </row>
    <row r="40" spans="1:8" x14ac:dyDescent="0.3">
      <c r="A40" s="6"/>
      <c r="B40" s="6" t="s">
        <v>604</v>
      </c>
      <c r="C40" s="6"/>
      <c r="D40" s="6">
        <v>-1</v>
      </c>
      <c r="E40" s="6"/>
      <c r="F40" s="6"/>
      <c r="G40" s="6"/>
      <c r="H40" s="6"/>
    </row>
    <row r="41" spans="1:8" x14ac:dyDescent="0.3">
      <c r="A41" s="6" t="s">
        <v>3781</v>
      </c>
      <c r="B41" s="6" t="s">
        <v>412</v>
      </c>
      <c r="C41" s="6"/>
      <c r="D41" s="6"/>
      <c r="E41" s="6">
        <v>1</v>
      </c>
      <c r="F41" s="6"/>
      <c r="G41" s="6"/>
      <c r="H41" s="6"/>
    </row>
    <row r="42" spans="1:8" x14ac:dyDescent="0.3">
      <c r="A42" s="6"/>
      <c r="B42" s="6" t="s">
        <v>412</v>
      </c>
      <c r="C42" s="6"/>
      <c r="D42" s="6"/>
      <c r="E42" s="6">
        <v>-1</v>
      </c>
      <c r="F42" s="6"/>
      <c r="G42" s="6"/>
      <c r="H42" s="6"/>
    </row>
    <row r="43" spans="1:8" x14ac:dyDescent="0.3">
      <c r="A43" s="6"/>
      <c r="B43" s="6" t="s">
        <v>364</v>
      </c>
      <c r="C43" s="6"/>
      <c r="D43" s="6"/>
      <c r="E43" s="6">
        <v>-1</v>
      </c>
      <c r="F43" s="6"/>
      <c r="G43" s="6"/>
      <c r="H43" s="6"/>
    </row>
    <row r="44" spans="1:8" x14ac:dyDescent="0.3">
      <c r="A44" s="6"/>
      <c r="B44" s="6" t="s">
        <v>604</v>
      </c>
      <c r="C44" s="6"/>
      <c r="D44" s="6"/>
      <c r="E44" s="6">
        <v>-1</v>
      </c>
      <c r="F44" s="6"/>
      <c r="G44" s="6"/>
      <c r="H44" s="6"/>
    </row>
    <row r="45" spans="1:8" x14ac:dyDescent="0.3">
      <c r="A45" s="6"/>
      <c r="B45" s="6" t="s">
        <v>442</v>
      </c>
      <c r="C45" s="6"/>
      <c r="D45" s="6"/>
      <c r="E45" s="6">
        <v>-1</v>
      </c>
      <c r="F45" s="6"/>
      <c r="G45" s="6"/>
      <c r="H45" s="6"/>
    </row>
    <row r="46" spans="1:8" x14ac:dyDescent="0.3">
      <c r="A46" s="6"/>
      <c r="B46" s="6" t="s">
        <v>384</v>
      </c>
      <c r="C46" s="6"/>
      <c r="D46" s="6"/>
      <c r="E46" s="6">
        <v>-1</v>
      </c>
      <c r="F46" s="6"/>
      <c r="G46" s="6"/>
      <c r="H46" s="6"/>
    </row>
    <row r="47" spans="1:8" x14ac:dyDescent="0.3">
      <c r="A47" s="6"/>
      <c r="B47" s="6" t="s">
        <v>412</v>
      </c>
      <c r="C47" s="6"/>
      <c r="D47" s="6"/>
      <c r="E47" s="6">
        <v>-1</v>
      </c>
      <c r="F47" s="6"/>
      <c r="G47" s="6"/>
      <c r="H47" s="6"/>
    </row>
    <row r="48" spans="1:8" x14ac:dyDescent="0.3">
      <c r="A48" s="6"/>
      <c r="B48" s="6" t="s">
        <v>444</v>
      </c>
      <c r="C48" s="6"/>
      <c r="D48" s="6"/>
      <c r="E48" s="6">
        <v>-1</v>
      </c>
      <c r="F48" s="6"/>
      <c r="G48" s="6"/>
      <c r="H48" s="6"/>
    </row>
    <row r="49" spans="1:8" x14ac:dyDescent="0.3">
      <c r="A49" s="6"/>
      <c r="B49" s="6" t="s">
        <v>520</v>
      </c>
      <c r="C49" s="6"/>
      <c r="D49" s="6"/>
      <c r="E49" s="6">
        <v>-1</v>
      </c>
      <c r="F49" s="6"/>
      <c r="G49" s="6"/>
      <c r="H49" s="6"/>
    </row>
    <row r="50" spans="1:8" x14ac:dyDescent="0.3">
      <c r="A50" s="6"/>
      <c r="B50" s="6" t="s">
        <v>604</v>
      </c>
      <c r="C50" s="6"/>
      <c r="D50" s="6"/>
      <c r="E50" s="6">
        <v>-1</v>
      </c>
      <c r="F50" s="6"/>
      <c r="G50" s="6"/>
      <c r="H50" s="6"/>
    </row>
    <row r="51" spans="1:8" x14ac:dyDescent="0.3">
      <c r="A51" s="6"/>
      <c r="B51" s="6" t="s">
        <v>384</v>
      </c>
      <c r="C51" s="6"/>
      <c r="D51" s="6"/>
      <c r="E51" s="6">
        <v>-1</v>
      </c>
      <c r="F51" s="6"/>
      <c r="G51" s="6"/>
      <c r="H51" s="6"/>
    </row>
    <row r="52" spans="1:8" x14ac:dyDescent="0.3">
      <c r="A52" s="6" t="s">
        <v>1299</v>
      </c>
      <c r="B52" s="6" t="s">
        <v>428</v>
      </c>
      <c r="C52" s="6"/>
      <c r="D52" s="6"/>
      <c r="E52" s="6">
        <v>22</v>
      </c>
      <c r="F52" s="6"/>
      <c r="G52" s="6"/>
      <c r="H52" s="6">
        <v>15</v>
      </c>
    </row>
    <row r="53" spans="1:8" x14ac:dyDescent="0.3">
      <c r="A53" s="6"/>
      <c r="B53" s="6" t="s">
        <v>356</v>
      </c>
      <c r="C53" s="6"/>
      <c r="D53" s="6"/>
      <c r="E53" s="6">
        <v>-1</v>
      </c>
      <c r="F53" s="6"/>
      <c r="G53" s="6"/>
      <c r="H53" s="6"/>
    </row>
    <row r="54" spans="1:8" x14ac:dyDescent="0.3">
      <c r="A54" s="6"/>
      <c r="B54" s="6" t="s">
        <v>328</v>
      </c>
      <c r="C54" s="6"/>
      <c r="D54" s="6"/>
      <c r="E54" s="6">
        <v>-1</v>
      </c>
      <c r="F54" s="6"/>
      <c r="G54" s="6"/>
      <c r="H54" s="6"/>
    </row>
    <row r="55" spans="1:8" x14ac:dyDescent="0.3">
      <c r="A55" s="6" t="s">
        <v>4827</v>
      </c>
      <c r="B55" s="6" t="s">
        <v>332</v>
      </c>
      <c r="C55" s="6"/>
      <c r="D55" s="6"/>
      <c r="E55" s="6">
        <v>29</v>
      </c>
      <c r="F55" s="6">
        <v>20</v>
      </c>
      <c r="G55" s="6"/>
      <c r="H55" s="6">
        <v>12</v>
      </c>
    </row>
    <row r="56" spans="1:8" x14ac:dyDescent="0.3">
      <c r="A56" s="6" t="s">
        <v>3676</v>
      </c>
      <c r="B56" s="6" t="s">
        <v>394</v>
      </c>
      <c r="C56" s="6"/>
      <c r="D56" s="6">
        <v>15</v>
      </c>
      <c r="E56" s="6">
        <v>15</v>
      </c>
      <c r="F56" s="6"/>
      <c r="G56" s="6"/>
      <c r="H56" s="6">
        <v>27</v>
      </c>
    </row>
    <row r="57" spans="1:8" x14ac:dyDescent="0.3">
      <c r="A57" s="6"/>
      <c r="B57" s="6" t="s">
        <v>384</v>
      </c>
      <c r="C57" s="6"/>
      <c r="D57" s="6"/>
      <c r="E57" s="6">
        <v>-1</v>
      </c>
      <c r="F57" s="6"/>
      <c r="G57" s="6"/>
      <c r="H57" s="6"/>
    </row>
    <row r="58" spans="1:8" x14ac:dyDescent="0.3">
      <c r="A58" s="6"/>
      <c r="B58" s="6" t="s">
        <v>328</v>
      </c>
      <c r="C58" s="6"/>
      <c r="D58" s="6"/>
      <c r="E58" s="6">
        <v>-1</v>
      </c>
      <c r="F58" s="6"/>
      <c r="G58" s="6"/>
      <c r="H58" s="6"/>
    </row>
    <row r="59" spans="1:8" x14ac:dyDescent="0.3">
      <c r="A59" s="6"/>
      <c r="B59" s="6" t="s">
        <v>364</v>
      </c>
      <c r="C59" s="6"/>
      <c r="D59" s="6"/>
      <c r="E59" s="6"/>
      <c r="F59" s="6">
        <v>-1</v>
      </c>
      <c r="G59" s="6">
        <v>-1</v>
      </c>
      <c r="H59" s="6"/>
    </row>
    <row r="60" spans="1:8" x14ac:dyDescent="0.3">
      <c r="A60" s="6"/>
      <c r="B60" s="6" t="s">
        <v>384</v>
      </c>
      <c r="C60" s="6"/>
      <c r="D60" s="6"/>
      <c r="E60" s="6"/>
      <c r="F60" s="6">
        <v>-1</v>
      </c>
      <c r="G60" s="6">
        <v>-1</v>
      </c>
      <c r="H60" s="6"/>
    </row>
    <row r="61" spans="1:8" x14ac:dyDescent="0.3">
      <c r="A61" s="6"/>
      <c r="B61" s="6" t="s">
        <v>384</v>
      </c>
      <c r="C61" s="6"/>
      <c r="D61" s="6"/>
      <c r="E61" s="6"/>
      <c r="F61" s="6">
        <v>-1</v>
      </c>
      <c r="G61" s="6">
        <v>-1</v>
      </c>
      <c r="H61" s="6"/>
    </row>
    <row r="62" spans="1:8" x14ac:dyDescent="0.3">
      <c r="A62" s="6"/>
      <c r="B62" s="6" t="s">
        <v>412</v>
      </c>
      <c r="C62" s="6"/>
      <c r="D62" s="6"/>
      <c r="E62" s="6"/>
      <c r="F62" s="6">
        <v>-1</v>
      </c>
      <c r="G62" s="6">
        <v>-1</v>
      </c>
      <c r="H62" s="6"/>
    </row>
    <row r="63" spans="1:8" x14ac:dyDescent="0.3">
      <c r="A63" s="6" t="s">
        <v>3774</v>
      </c>
      <c r="B63" s="6" t="s">
        <v>412</v>
      </c>
      <c r="C63" s="6"/>
      <c r="D63" s="6"/>
      <c r="E63" s="6">
        <v>10</v>
      </c>
      <c r="F63" s="6">
        <v>8</v>
      </c>
      <c r="G63" s="6">
        <v>7</v>
      </c>
      <c r="H63" s="6">
        <v>1</v>
      </c>
    </row>
    <row r="64" spans="1:8" x14ac:dyDescent="0.3">
      <c r="A64" s="6"/>
      <c r="B64" s="6" t="s">
        <v>356</v>
      </c>
      <c r="C64" s="6"/>
      <c r="D64" s="6"/>
      <c r="E64" s="6"/>
      <c r="F64" s="6">
        <v>-1</v>
      </c>
      <c r="G64" s="6">
        <v>-1</v>
      </c>
      <c r="H64" s="6"/>
    </row>
    <row r="65" spans="1:8" x14ac:dyDescent="0.3">
      <c r="A65" s="6" t="s">
        <v>2986</v>
      </c>
      <c r="B65" s="6" t="s">
        <v>442</v>
      </c>
      <c r="C65" s="6"/>
      <c r="D65" s="6"/>
      <c r="E65" s="6"/>
      <c r="F65" s="6"/>
      <c r="G65" s="6">
        <v>11</v>
      </c>
      <c r="H65" s="6"/>
    </row>
    <row r="66" spans="1:8" x14ac:dyDescent="0.3">
      <c r="A66" s="6"/>
      <c r="B66" s="6" t="s">
        <v>520</v>
      </c>
      <c r="C66" s="6"/>
      <c r="D66" s="6"/>
      <c r="E66" s="6"/>
      <c r="F66" s="6">
        <v>-1</v>
      </c>
      <c r="G66" s="6">
        <v>-1</v>
      </c>
      <c r="H66" s="6"/>
    </row>
    <row r="67" spans="1:8" x14ac:dyDescent="0.3">
      <c r="A67" s="6"/>
      <c r="B67" s="6" t="s">
        <v>604</v>
      </c>
      <c r="C67" s="6"/>
      <c r="D67" s="6"/>
      <c r="E67" s="6"/>
      <c r="F67" s="6">
        <v>-1</v>
      </c>
      <c r="G67" s="6">
        <v>-1</v>
      </c>
      <c r="H67" s="6"/>
    </row>
    <row r="68" spans="1:8" x14ac:dyDescent="0.3">
      <c r="A68" s="6"/>
      <c r="B68" s="6" t="s">
        <v>384</v>
      </c>
      <c r="C68" s="6"/>
      <c r="D68" s="6"/>
      <c r="E68" s="6"/>
      <c r="F68" s="6">
        <v>-1</v>
      </c>
      <c r="G68" s="6"/>
      <c r="H68" s="6"/>
    </row>
    <row r="69" spans="1:8" x14ac:dyDescent="0.3">
      <c r="A69" s="6"/>
      <c r="B69" s="6" t="s">
        <v>412</v>
      </c>
      <c r="C69" s="6"/>
      <c r="D69" s="6"/>
      <c r="E69" s="6"/>
      <c r="F69" s="6">
        <v>-1</v>
      </c>
      <c r="G69" s="6"/>
      <c r="H69" s="6"/>
    </row>
    <row r="70" spans="1:8" x14ac:dyDescent="0.3">
      <c r="A70" s="6"/>
      <c r="B70" s="6" t="s">
        <v>518</v>
      </c>
      <c r="C70" s="6"/>
      <c r="D70" s="6"/>
      <c r="E70" s="6"/>
      <c r="F70" s="6">
        <v>-1</v>
      </c>
      <c r="G70" s="6"/>
      <c r="H70" s="6"/>
    </row>
    <row r="71" spans="1:8" x14ac:dyDescent="0.3">
      <c r="A71" s="6"/>
      <c r="B71" s="6" t="s">
        <v>328</v>
      </c>
      <c r="C71" s="6"/>
      <c r="D71" s="6"/>
      <c r="E71" s="6"/>
      <c r="F71" s="6">
        <v>-1</v>
      </c>
      <c r="G71" s="6"/>
      <c r="H71" s="6"/>
    </row>
    <row r="72" spans="1:8" x14ac:dyDescent="0.3">
      <c r="A72" s="6"/>
      <c r="B72" s="6" t="s">
        <v>334</v>
      </c>
      <c r="C72" s="6"/>
      <c r="D72" s="6"/>
      <c r="E72" s="6"/>
      <c r="F72" s="6">
        <v>-1</v>
      </c>
      <c r="G72" s="6"/>
      <c r="H72" s="6"/>
    </row>
    <row r="73" spans="1:8" x14ac:dyDescent="0.3">
      <c r="A73" s="6" t="s">
        <v>1285</v>
      </c>
      <c r="B73" s="6" t="s">
        <v>428</v>
      </c>
      <c r="C73" s="6"/>
      <c r="D73" s="6"/>
      <c r="E73" s="6">
        <v>26</v>
      </c>
      <c r="F73" s="6">
        <v>18</v>
      </c>
      <c r="G73" s="6"/>
      <c r="H73" s="6">
        <v>24</v>
      </c>
    </row>
    <row r="74" spans="1:8" x14ac:dyDescent="0.3">
      <c r="A74" s="6" t="s">
        <v>1847</v>
      </c>
      <c r="B74" s="6" t="s">
        <v>332</v>
      </c>
      <c r="C74" s="6"/>
      <c r="D74" s="6"/>
      <c r="E74" s="6"/>
      <c r="F74" s="6"/>
      <c r="G74" s="6"/>
      <c r="H74" s="6">
        <v>3</v>
      </c>
    </row>
    <row r="75" spans="1:8" x14ac:dyDescent="0.3">
      <c r="A75" s="6"/>
      <c r="B75" s="6" t="s">
        <v>384</v>
      </c>
      <c r="C75" s="6"/>
      <c r="D75" s="6"/>
      <c r="E75" s="6"/>
      <c r="F75" s="6"/>
      <c r="G75" s="6"/>
      <c r="H75" s="6">
        <v>-1</v>
      </c>
    </row>
    <row r="76" spans="1:8" x14ac:dyDescent="0.3">
      <c r="A76" s="6"/>
      <c r="B76" s="6" t="s">
        <v>384</v>
      </c>
      <c r="C76" s="6"/>
      <c r="D76" s="6"/>
      <c r="E76" s="6"/>
      <c r="F76" s="6"/>
      <c r="G76" s="6"/>
      <c r="H76" s="6">
        <v>-1</v>
      </c>
    </row>
    <row r="77" spans="1:8" x14ac:dyDescent="0.3">
      <c r="A77" s="6"/>
      <c r="B77" s="6" t="s">
        <v>412</v>
      </c>
      <c r="C77" s="6"/>
      <c r="D77" s="6"/>
      <c r="E77" s="6"/>
      <c r="F77" s="6"/>
      <c r="G77" s="6"/>
      <c r="H77" s="6">
        <v>-1</v>
      </c>
    </row>
    <row r="78" spans="1:8" x14ac:dyDescent="0.3">
      <c r="A78" s="6"/>
      <c r="B78" s="6" t="s">
        <v>700</v>
      </c>
      <c r="C78" s="6"/>
      <c r="D78" s="6"/>
      <c r="E78" s="6"/>
      <c r="F78" s="6"/>
      <c r="G78" s="6"/>
      <c r="H78" s="6">
        <v>-1</v>
      </c>
    </row>
    <row r="79" spans="1:8" x14ac:dyDescent="0.3">
      <c r="A79" s="6"/>
      <c r="B79" s="6" t="s">
        <v>356</v>
      </c>
      <c r="C79" s="6"/>
      <c r="D79" s="6"/>
      <c r="E79" s="6"/>
      <c r="F79" s="6"/>
      <c r="G79" s="6"/>
      <c r="H79" s="6">
        <v>-1</v>
      </c>
    </row>
    <row r="80" spans="1:8" x14ac:dyDescent="0.3">
      <c r="A80" s="6"/>
      <c r="B80" s="6" t="s">
        <v>328</v>
      </c>
      <c r="C80" s="6"/>
      <c r="D80" s="6"/>
      <c r="E80" s="6"/>
      <c r="F80" s="6"/>
      <c r="G80" s="6"/>
      <c r="H80" s="6">
        <v>-1</v>
      </c>
    </row>
    <row r="81" spans="1:8" x14ac:dyDescent="0.3">
      <c r="A81" s="6" t="s">
        <v>3466</v>
      </c>
      <c r="B81" s="6" t="s">
        <v>444</v>
      </c>
      <c r="C81" s="6"/>
      <c r="D81" s="6"/>
      <c r="E81" s="6"/>
      <c r="F81" s="6"/>
      <c r="G81" s="6"/>
      <c r="H81" s="6">
        <v>11</v>
      </c>
    </row>
    <row r="82" spans="1:8" x14ac:dyDescent="0.3">
      <c r="A82" s="6"/>
      <c r="B82" s="6" t="s">
        <v>444</v>
      </c>
      <c r="C82" s="6"/>
      <c r="D82" s="6"/>
      <c r="E82" s="6"/>
      <c r="F82" s="6"/>
      <c r="G82" s="6"/>
      <c r="H82" s="6">
        <v>-1</v>
      </c>
    </row>
    <row r="83" spans="1:8" x14ac:dyDescent="0.3">
      <c r="A83" s="6"/>
      <c r="B83" s="6" t="s">
        <v>520</v>
      </c>
      <c r="C83" s="6"/>
      <c r="D83" s="6"/>
      <c r="E83" s="6"/>
      <c r="F83" s="6"/>
      <c r="G83" s="6"/>
      <c r="H83" s="6">
        <v>-1</v>
      </c>
    </row>
    <row r="84" spans="1:8" x14ac:dyDescent="0.3">
      <c r="A84" s="6"/>
      <c r="B84" s="6" t="s">
        <v>358</v>
      </c>
      <c r="C84" s="6"/>
      <c r="D84" s="6"/>
      <c r="E84" s="6"/>
      <c r="F84" s="6"/>
      <c r="G84" s="6"/>
      <c r="H84" s="6">
        <v>-1</v>
      </c>
    </row>
    <row r="85" spans="1:8" x14ac:dyDescent="0.3">
      <c r="A85" s="6"/>
      <c r="B85" s="6" t="s">
        <v>364</v>
      </c>
      <c r="C85" s="6"/>
      <c r="D85" s="6"/>
      <c r="E85" s="6"/>
      <c r="F85" s="6"/>
      <c r="G85" s="6"/>
      <c r="H85" s="6">
        <v>-1</v>
      </c>
    </row>
    <row r="86" spans="1:8" x14ac:dyDescent="0.3">
      <c r="A86" s="6"/>
      <c r="B86" s="6" t="s">
        <v>334</v>
      </c>
      <c r="C86" s="6"/>
      <c r="D86" s="6"/>
      <c r="E86" s="6"/>
      <c r="F86" s="6"/>
      <c r="G86" s="6"/>
      <c r="H86" s="6">
        <v>-1</v>
      </c>
    </row>
    <row r="87" spans="1:8" x14ac:dyDescent="0.3">
      <c r="A87" s="6"/>
      <c r="B87" s="6" t="s">
        <v>328</v>
      </c>
      <c r="C87" s="6"/>
      <c r="D87" s="6"/>
      <c r="E87" s="6"/>
      <c r="F87" s="6"/>
      <c r="G87" s="6"/>
      <c r="H87" s="6">
        <v>-1</v>
      </c>
    </row>
    <row r="88" spans="1:8" x14ac:dyDescent="0.3">
      <c r="A88" s="6"/>
      <c r="B88" s="6" t="s">
        <v>700</v>
      </c>
      <c r="C88" s="6"/>
      <c r="D88" s="6"/>
      <c r="E88" s="6"/>
      <c r="F88" s="6"/>
      <c r="G88" s="6"/>
      <c r="H88" s="6">
        <v>-1</v>
      </c>
    </row>
    <row r="89" spans="1:8" x14ac:dyDescent="0.3">
      <c r="A89" s="6"/>
      <c r="B89" s="6" t="s">
        <v>674</v>
      </c>
      <c r="C89" s="6"/>
      <c r="D89" s="6"/>
      <c r="E89" s="6"/>
      <c r="F89" s="6"/>
      <c r="G89" s="6"/>
      <c r="H89" s="6">
        <v>-1</v>
      </c>
    </row>
    <row r="90" spans="1:8" x14ac:dyDescent="0.3">
      <c r="A90" s="6"/>
      <c r="B90" s="6" t="s">
        <v>604</v>
      </c>
      <c r="C90" s="6"/>
      <c r="D90" s="6"/>
      <c r="E90" s="6"/>
      <c r="F90" s="6"/>
      <c r="G90" s="6"/>
      <c r="H90" s="6">
        <v>-1</v>
      </c>
    </row>
    <row r="91" spans="1:8" x14ac:dyDescent="0.3">
      <c r="A91" s="6"/>
      <c r="B91" s="6" t="s">
        <v>520</v>
      </c>
      <c r="C91" s="6"/>
      <c r="D91" s="6"/>
      <c r="E91" s="6"/>
      <c r="F91" s="6"/>
      <c r="G91" s="6"/>
      <c r="H91" s="6">
        <v>-1</v>
      </c>
    </row>
    <row r="92" spans="1:8" x14ac:dyDescent="0.3">
      <c r="A92" s="6"/>
      <c r="B92" s="6" t="s">
        <v>334</v>
      </c>
      <c r="C92" s="6"/>
      <c r="D92" s="6"/>
      <c r="E92" s="6"/>
      <c r="F92" s="6"/>
      <c r="G92" s="6"/>
      <c r="H92" s="6">
        <v>-1</v>
      </c>
    </row>
    <row r="93" spans="1:8" x14ac:dyDescent="0.3">
      <c r="A93" s="6"/>
      <c r="B93" s="6" t="s">
        <v>604</v>
      </c>
      <c r="C93" s="6">
        <v>-1</v>
      </c>
      <c r="D93" s="6"/>
      <c r="E93" s="6"/>
      <c r="F93" s="6"/>
      <c r="G93" s="6"/>
      <c r="H93" s="6"/>
    </row>
    <row r="94" spans="1:8" x14ac:dyDescent="0.3">
      <c r="A94" s="6"/>
      <c r="B94" s="6" t="s">
        <v>328</v>
      </c>
      <c r="C94" s="6">
        <v>-1</v>
      </c>
      <c r="D94" s="6"/>
      <c r="E94" s="6"/>
      <c r="F94" s="6"/>
      <c r="G94" s="6"/>
      <c r="H94" s="6"/>
    </row>
    <row r="95" spans="1:8" x14ac:dyDescent="0.3">
      <c r="A95" s="6"/>
      <c r="B95" s="6" t="s">
        <v>358</v>
      </c>
      <c r="C95" s="6">
        <v>-1</v>
      </c>
      <c r="D95" s="6"/>
      <c r="E95" s="6"/>
      <c r="F95" s="6"/>
      <c r="G95" s="6"/>
      <c r="H95" s="6"/>
    </row>
    <row r="96" spans="1:8" x14ac:dyDescent="0.3">
      <c r="A96" s="6"/>
      <c r="B96" s="6" t="s">
        <v>332</v>
      </c>
      <c r="C96" s="6">
        <v>-1</v>
      </c>
      <c r="D96" s="6"/>
      <c r="E96" s="6"/>
      <c r="F96" s="6"/>
      <c r="G96" s="6"/>
      <c r="H96" s="6"/>
    </row>
    <row r="97" spans="1:8" x14ac:dyDescent="0.3">
      <c r="A97" s="6" t="s">
        <v>3664</v>
      </c>
      <c r="B97" s="6" t="s">
        <v>364</v>
      </c>
      <c r="C97" s="6">
        <v>20</v>
      </c>
      <c r="D97" s="6"/>
      <c r="E97" s="6"/>
      <c r="F97" s="6"/>
      <c r="G97" s="6"/>
      <c r="H97" s="6"/>
    </row>
    <row r="98" spans="1:8" x14ac:dyDescent="0.3">
      <c r="A98" s="6"/>
      <c r="B98" s="6" t="s">
        <v>444</v>
      </c>
      <c r="C98" s="6"/>
      <c r="D98" s="6">
        <v>-1</v>
      </c>
      <c r="E98" s="6"/>
      <c r="F98" s="6"/>
      <c r="G98" s="6"/>
      <c r="H98" s="6"/>
    </row>
    <row r="99" spans="1:8" x14ac:dyDescent="0.3">
      <c r="A99" s="6"/>
      <c r="B99" s="6" t="s">
        <v>358</v>
      </c>
      <c r="C99" s="6"/>
      <c r="D99" s="6">
        <v>-1</v>
      </c>
      <c r="E99" s="6"/>
      <c r="F99" s="6"/>
      <c r="G99" s="6"/>
      <c r="H99" s="6"/>
    </row>
    <row r="100" spans="1:8" x14ac:dyDescent="0.3">
      <c r="A100" s="6"/>
      <c r="B100" s="6" t="s">
        <v>334</v>
      </c>
      <c r="C100" s="6"/>
      <c r="D100" s="6">
        <v>-1</v>
      </c>
      <c r="E100" s="6"/>
      <c r="F100" s="6"/>
      <c r="G100" s="6"/>
      <c r="H100" s="6"/>
    </row>
    <row r="101" spans="1:8" x14ac:dyDescent="0.3">
      <c r="A101" s="6"/>
      <c r="B101" s="6" t="s">
        <v>384</v>
      </c>
      <c r="C101" s="6"/>
      <c r="D101" s="6">
        <v>-1</v>
      </c>
      <c r="E101" s="6"/>
      <c r="F101" s="6"/>
      <c r="G101" s="6"/>
      <c r="H101" s="6"/>
    </row>
    <row r="102" spans="1:8" x14ac:dyDescent="0.3">
      <c r="A102" s="6" t="s">
        <v>2297</v>
      </c>
      <c r="B102" s="6" t="s">
        <v>356</v>
      </c>
      <c r="C102" s="6">
        <v>24</v>
      </c>
      <c r="D102" s="6">
        <v>25</v>
      </c>
      <c r="E102" s="6"/>
      <c r="F102" s="6"/>
      <c r="G102" s="6"/>
      <c r="H102" s="6"/>
    </row>
    <row r="103" spans="1:8" x14ac:dyDescent="0.3">
      <c r="A103" s="6"/>
      <c r="B103" s="6" t="s">
        <v>358</v>
      </c>
      <c r="C103" s="6"/>
      <c r="D103" s="6"/>
      <c r="E103" s="6">
        <v>-1</v>
      </c>
      <c r="F103" s="6"/>
      <c r="G103" s="6"/>
      <c r="H103" s="6"/>
    </row>
    <row r="104" spans="1:8" x14ac:dyDescent="0.3">
      <c r="A104" s="6"/>
      <c r="B104" s="6" t="s">
        <v>334</v>
      </c>
      <c r="C104" s="6"/>
      <c r="D104" s="6"/>
      <c r="E104" s="6">
        <v>-1</v>
      </c>
      <c r="F104" s="6"/>
      <c r="G104" s="6"/>
      <c r="H104" s="6"/>
    </row>
    <row r="105" spans="1:8" x14ac:dyDescent="0.3">
      <c r="A105" s="6"/>
      <c r="B105" s="6" t="s">
        <v>700</v>
      </c>
      <c r="C105" s="6"/>
      <c r="D105" s="6"/>
      <c r="E105" s="6">
        <v>-1</v>
      </c>
      <c r="F105" s="6"/>
      <c r="G105" s="6"/>
      <c r="H105" s="6"/>
    </row>
    <row r="106" spans="1:8" x14ac:dyDescent="0.3">
      <c r="A106" s="6"/>
      <c r="B106" s="6" t="s">
        <v>442</v>
      </c>
      <c r="C106" s="6"/>
      <c r="D106" s="6"/>
      <c r="E106" s="6">
        <v>-1</v>
      </c>
      <c r="F106" s="6"/>
      <c r="G106" s="6"/>
      <c r="H106" s="6"/>
    </row>
    <row r="107" spans="1:8" x14ac:dyDescent="0.3">
      <c r="A107" s="6"/>
      <c r="B107" s="6" t="s">
        <v>428</v>
      </c>
      <c r="C107" s="6"/>
      <c r="D107" s="6"/>
      <c r="E107" s="6">
        <v>-1</v>
      </c>
      <c r="F107" s="6"/>
      <c r="G107" s="6"/>
      <c r="H107" s="6"/>
    </row>
    <row r="108" spans="1:8" x14ac:dyDescent="0.3">
      <c r="A108" s="6"/>
      <c r="B108" s="6" t="s">
        <v>402</v>
      </c>
      <c r="C108" s="6"/>
      <c r="D108" s="6"/>
      <c r="E108" s="6">
        <v>-1</v>
      </c>
      <c r="F108" s="6"/>
      <c r="G108" s="6"/>
      <c r="H108" s="6"/>
    </row>
    <row r="109" spans="1:8" x14ac:dyDescent="0.3">
      <c r="A109" s="6"/>
      <c r="B109" s="6" t="s">
        <v>358</v>
      </c>
      <c r="C109" s="6"/>
      <c r="D109" s="6"/>
      <c r="E109" s="6"/>
      <c r="F109" s="6">
        <v>-1</v>
      </c>
      <c r="G109" s="6"/>
      <c r="H109" s="6"/>
    </row>
    <row r="110" spans="1:8" x14ac:dyDescent="0.3">
      <c r="A110" s="6"/>
      <c r="B110" s="6" t="s">
        <v>444</v>
      </c>
      <c r="C110" s="6"/>
      <c r="D110" s="6"/>
      <c r="E110" s="6"/>
      <c r="F110" s="6">
        <v>-1</v>
      </c>
      <c r="G110" s="6"/>
      <c r="H110" s="6"/>
    </row>
    <row r="111" spans="1:8" x14ac:dyDescent="0.3">
      <c r="A111" s="6" t="s">
        <v>3751</v>
      </c>
      <c r="B111" s="6" t="s">
        <v>344</v>
      </c>
      <c r="C111" s="6"/>
      <c r="D111" s="6"/>
      <c r="E111" s="6"/>
      <c r="F111" s="6">
        <v>16</v>
      </c>
      <c r="G111" s="6"/>
      <c r="H111" s="6">
        <v>26</v>
      </c>
    </row>
    <row r="112" spans="1:8" x14ac:dyDescent="0.3">
      <c r="A112" s="6"/>
      <c r="B112" s="6" t="s">
        <v>674</v>
      </c>
      <c r="C112" s="6"/>
      <c r="D112" s="6"/>
      <c r="E112" s="6"/>
      <c r="F112" s="6">
        <v>-1</v>
      </c>
      <c r="G112" s="6"/>
      <c r="H112" s="6"/>
    </row>
    <row r="113" spans="1:8" x14ac:dyDescent="0.3">
      <c r="A113" s="6"/>
      <c r="B113" s="6" t="s">
        <v>604</v>
      </c>
      <c r="C113" s="6"/>
      <c r="D113" s="6"/>
      <c r="E113" s="6"/>
      <c r="F113" s="6">
        <v>-1</v>
      </c>
      <c r="G113" s="6"/>
      <c r="H113" s="6"/>
    </row>
    <row r="114" spans="1:8" x14ac:dyDescent="0.3">
      <c r="A114" s="6"/>
      <c r="B114" s="6" t="s">
        <v>334</v>
      </c>
      <c r="C114" s="6"/>
      <c r="D114" s="6"/>
      <c r="E114" s="6"/>
      <c r="F114" s="6"/>
      <c r="G114" s="6">
        <v>-1</v>
      </c>
      <c r="H114" s="6"/>
    </row>
    <row r="115" spans="1:8" x14ac:dyDescent="0.3">
      <c r="A115" s="6"/>
      <c r="B115" s="6" t="s">
        <v>518</v>
      </c>
      <c r="C115" s="6"/>
      <c r="D115" s="6"/>
      <c r="E115" s="6"/>
      <c r="F115" s="6"/>
      <c r="G115" s="6">
        <v>-1</v>
      </c>
      <c r="H115" s="6"/>
    </row>
    <row r="116" spans="1:8" x14ac:dyDescent="0.3">
      <c r="A116" s="6"/>
      <c r="B116" s="6" t="s">
        <v>328</v>
      </c>
      <c r="C116" s="6"/>
      <c r="D116" s="6"/>
      <c r="E116" s="6"/>
      <c r="F116" s="6"/>
      <c r="G116" s="6">
        <v>-1</v>
      </c>
      <c r="H116" s="6"/>
    </row>
    <row r="117" spans="1:8" x14ac:dyDescent="0.3">
      <c r="A117" s="6" t="s">
        <v>2549</v>
      </c>
      <c r="B117" s="6" t="s">
        <v>384</v>
      </c>
      <c r="C117" s="6"/>
      <c r="D117" s="6"/>
      <c r="E117" s="6"/>
      <c r="F117" s="6">
        <v>13</v>
      </c>
      <c r="G117" s="6">
        <v>9</v>
      </c>
      <c r="H117" s="6"/>
    </row>
    <row r="118" spans="1:8" x14ac:dyDescent="0.3">
      <c r="A118" s="6" t="s">
        <v>1769</v>
      </c>
      <c r="B118" s="6" t="s">
        <v>328</v>
      </c>
      <c r="C118" s="6"/>
      <c r="D118" s="6"/>
      <c r="E118" s="6"/>
      <c r="F118" s="6"/>
      <c r="G118" s="6"/>
      <c r="H118" s="6">
        <v>22</v>
      </c>
    </row>
    <row r="119" spans="1:8" x14ac:dyDescent="0.3">
      <c r="A119" s="6" t="s">
        <v>4491</v>
      </c>
      <c r="B119" s="6" t="s">
        <v>358</v>
      </c>
      <c r="C119" s="6"/>
      <c r="D119" s="6"/>
      <c r="E119" s="6"/>
      <c r="F119" s="6"/>
      <c r="G119" s="6"/>
      <c r="H119" s="6">
        <v>25</v>
      </c>
    </row>
  </sheetData>
  <pageMargins left="0.7" right="0.7" top="0.75" bottom="0.75" header="0.3" footer="0.3"/>
  <tableParts count="1">
    <tablePart r:id="rId1"/>
  </tableParts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9391B1-1759-4F36-B7CB-BB7F37205CC7}">
  <dimension ref="A1:F17"/>
  <sheetViews>
    <sheetView topLeftCell="A7" workbookViewId="0">
      <selection activeCell="B18" sqref="B18"/>
    </sheetView>
  </sheetViews>
  <sheetFormatPr defaultRowHeight="14.4" x14ac:dyDescent="0.3"/>
  <cols>
    <col min="1" max="1" width="54.6640625" bestFit="1" customWidth="1"/>
    <col min="2" max="2" width="12.21875" bestFit="1" customWidth="1"/>
    <col min="3" max="3" width="26.33203125" bestFit="1" customWidth="1"/>
    <col min="4" max="4" width="29.21875" bestFit="1" customWidth="1"/>
    <col min="5" max="5" width="17" bestFit="1" customWidth="1"/>
    <col min="6" max="6" width="14.77734375" bestFit="1" customWidth="1"/>
  </cols>
  <sheetData>
    <row r="1" spans="1:6" x14ac:dyDescent="0.3">
      <c r="A1" t="s">
        <v>834</v>
      </c>
      <c r="B1" t="s">
        <v>1</v>
      </c>
      <c r="C1" t="s">
        <v>4541</v>
      </c>
      <c r="D1" t="s">
        <v>4542</v>
      </c>
      <c r="E1" t="s">
        <v>1212</v>
      </c>
      <c r="F1" t="s">
        <v>1213</v>
      </c>
    </row>
    <row r="2" spans="1:6" x14ac:dyDescent="0.3">
      <c r="A2" s="6" t="s">
        <v>3005</v>
      </c>
      <c r="B2" s="6" t="s">
        <v>332</v>
      </c>
      <c r="C2" s="6">
        <v>2</v>
      </c>
      <c r="D2" s="6"/>
      <c r="E2" s="6">
        <f>Table157[[#This Row],[Total Athletes]]-(LEN(Table157[[#This Row],[Team]])-LEN(SUBSTITUTE(Table157[[#This Row],[Team]],"/","")))-1</f>
        <v>2</v>
      </c>
      <c r="F2" s="6">
        <v>3</v>
      </c>
    </row>
    <row r="3" spans="1:6" x14ac:dyDescent="0.3">
      <c r="A3" s="6" t="s">
        <v>3768</v>
      </c>
      <c r="B3" s="6" t="s">
        <v>412</v>
      </c>
      <c r="C3" s="6">
        <v>4</v>
      </c>
      <c r="D3" s="6"/>
      <c r="E3" s="6">
        <f>Table157[[#This Row],[Total Athletes]]-(LEN(Table157[[#This Row],[Team]])-LEN(SUBSTITUTE(Table157[[#This Row],[Team]],"/","")))-1</f>
        <v>1</v>
      </c>
      <c r="F3" s="6">
        <v>4</v>
      </c>
    </row>
    <row r="4" spans="1:6" x14ac:dyDescent="0.3">
      <c r="A4" s="6" t="s">
        <v>4360</v>
      </c>
      <c r="B4" s="6" t="s">
        <v>344</v>
      </c>
      <c r="C4" s="6">
        <v>5</v>
      </c>
      <c r="D4" s="6"/>
      <c r="E4" s="6">
        <f>Table157[[#This Row],[Total Athletes]]-(LEN(Table157[[#This Row],[Team]])-LEN(SUBSTITUTE(Table157[[#This Row],[Team]],"/","")))-1</f>
        <v>2</v>
      </c>
      <c r="F4" s="6">
        <v>4</v>
      </c>
    </row>
    <row r="5" spans="1:6" x14ac:dyDescent="0.3">
      <c r="A5" s="6"/>
      <c r="B5" s="6" t="s">
        <v>356</v>
      </c>
      <c r="C5" s="6">
        <v>-1</v>
      </c>
      <c r="D5" s="6"/>
      <c r="E5" s="6">
        <f>Table157[[#This Row],[Total Athletes]]-(LEN(Table157[[#This Row],[Team]])-LEN(SUBSTITUTE(Table157[[#This Row],[Team]],"/","")))-1</f>
        <v>-1</v>
      </c>
      <c r="F5" s="6"/>
    </row>
    <row r="6" spans="1:6" x14ac:dyDescent="0.3">
      <c r="A6" s="6" t="s">
        <v>4669</v>
      </c>
      <c r="B6" s="6" t="s">
        <v>334</v>
      </c>
      <c r="C6" s="6">
        <v>7</v>
      </c>
      <c r="D6" s="6"/>
      <c r="E6" s="6">
        <f>Table157[[#This Row],[Total Athletes]]-(LEN(Table157[[#This Row],[Team]])-LEN(SUBSTITUTE(Table157[[#This Row],[Team]],"/","")))-1</f>
        <v>1</v>
      </c>
      <c r="F6" s="6">
        <v>3</v>
      </c>
    </row>
    <row r="7" spans="1:6" x14ac:dyDescent="0.3">
      <c r="A7" s="6" t="s">
        <v>4740</v>
      </c>
      <c r="B7" s="6" t="s">
        <v>328</v>
      </c>
      <c r="C7" s="6">
        <v>3</v>
      </c>
      <c r="D7" s="6"/>
      <c r="E7" s="6">
        <f>Table157[[#This Row],[Total Athletes]]-(LEN(Table157[[#This Row],[Team]])-LEN(SUBSTITUTE(Table157[[#This Row],[Team]],"/","")))-1</f>
        <v>2</v>
      </c>
      <c r="F7" s="6">
        <v>4</v>
      </c>
    </row>
    <row r="8" spans="1:6" x14ac:dyDescent="0.3">
      <c r="A8" s="6"/>
      <c r="B8" s="6" t="s">
        <v>384</v>
      </c>
      <c r="C8" s="6"/>
      <c r="D8" s="6">
        <v>-1</v>
      </c>
      <c r="E8" s="6">
        <f>Table157[[#This Row],[Total Athletes]]-(LEN(Table157[[#This Row],[Team]])-LEN(SUBSTITUTE(Table157[[#This Row],[Team]],"/","")))-1</f>
        <v>-1</v>
      </c>
      <c r="F8" s="6"/>
    </row>
    <row r="9" spans="1:6" x14ac:dyDescent="0.3">
      <c r="A9" s="6" t="s">
        <v>1304</v>
      </c>
      <c r="B9" s="6" t="s">
        <v>428</v>
      </c>
      <c r="C9" s="6"/>
      <c r="D9" s="6">
        <v>3</v>
      </c>
      <c r="E9" s="6">
        <f>Table157[[#This Row],[Total Athletes]]-(LEN(Table157[[#This Row],[Team]])-LEN(SUBSTITUTE(Table157[[#This Row],[Team]],"/","")))-1</f>
        <v>1</v>
      </c>
      <c r="F9" s="6">
        <v>4</v>
      </c>
    </row>
    <row r="10" spans="1:6" x14ac:dyDescent="0.3">
      <c r="A10" s="6" t="s">
        <v>4828</v>
      </c>
      <c r="B10" s="6" t="s">
        <v>332</v>
      </c>
      <c r="C10" s="6"/>
      <c r="D10" s="6">
        <v>4</v>
      </c>
      <c r="E10" s="6">
        <f>Table157[[#This Row],[Total Athletes]]-(LEN(Table157[[#This Row],[Team]])-LEN(SUBSTITUTE(Table157[[#This Row],[Team]],"/","")))-1</f>
        <v>1</v>
      </c>
      <c r="F10" s="6">
        <v>4</v>
      </c>
    </row>
    <row r="11" spans="1:6" x14ac:dyDescent="0.3">
      <c r="A11" s="6" t="s">
        <v>3782</v>
      </c>
      <c r="B11" s="6" t="s">
        <v>412</v>
      </c>
      <c r="C11" s="6"/>
      <c r="D11" s="6">
        <v>2</v>
      </c>
      <c r="E11" s="6">
        <f>Table157[[#This Row],[Total Athletes]]-(LEN(Table157[[#This Row],[Team]])-LEN(SUBSTITUTE(Table157[[#This Row],[Team]],"/","")))-1</f>
        <v>1</v>
      </c>
      <c r="F11" s="6">
        <v>3</v>
      </c>
    </row>
    <row r="12" spans="1:6" x14ac:dyDescent="0.3">
      <c r="A12" s="6" t="s">
        <v>4671</v>
      </c>
      <c r="B12" s="6" t="s">
        <v>334</v>
      </c>
      <c r="C12" s="6"/>
      <c r="D12" s="6">
        <v>5</v>
      </c>
      <c r="E12" s="6">
        <f>Table157[[#This Row],[Total Athletes]]-(LEN(Table157[[#This Row],[Team]])-LEN(SUBSTITUTE(Table157[[#This Row],[Team]],"/","")))-1</f>
        <v>2</v>
      </c>
      <c r="F12" s="6">
        <v>3</v>
      </c>
    </row>
    <row r="13" spans="1:6" x14ac:dyDescent="0.3">
      <c r="A13" s="6" t="s">
        <v>2881</v>
      </c>
      <c r="B13" s="6" t="s">
        <v>328</v>
      </c>
      <c r="C13" s="6"/>
      <c r="D13" s="6">
        <v>7</v>
      </c>
      <c r="E13" s="6">
        <f>Table157[[#This Row],[Total Athletes]]-(LEN(Table157[[#This Row],[Team]])-LEN(SUBSTITUTE(Table157[[#This Row],[Team]],"/","")))-1</f>
        <v>1</v>
      </c>
      <c r="F13" s="6">
        <v>3</v>
      </c>
    </row>
    <row r="14" spans="1:6" x14ac:dyDescent="0.3">
      <c r="A14" s="6" t="s">
        <v>1489</v>
      </c>
      <c r="B14" s="6" t="s">
        <v>364</v>
      </c>
      <c r="C14" s="6">
        <v>6</v>
      </c>
      <c r="D14" s="6"/>
      <c r="E14" s="6">
        <f>Table157[[#This Row],[Total Athletes]]-(LEN(Table157[[#This Row],[Team]])-LEN(SUBSTITUTE(Table157[[#This Row],[Team]],"/","")))-1</f>
        <v>3</v>
      </c>
      <c r="F14" s="6">
        <v>4</v>
      </c>
    </row>
    <row r="15" spans="1:6" x14ac:dyDescent="0.3">
      <c r="A15" s="6" t="s">
        <v>1310</v>
      </c>
      <c r="B15" s="6" t="s">
        <v>428</v>
      </c>
      <c r="C15" s="6">
        <v>8</v>
      </c>
      <c r="D15" s="6"/>
      <c r="E15" s="6">
        <f>Table157[[#This Row],[Total Athletes]]-(LEN(Table157[[#This Row],[Team]])-LEN(SUBSTITUTE(Table157[[#This Row],[Team]],"/","")))-1</f>
        <v>0</v>
      </c>
      <c r="F15" s="6">
        <v>3</v>
      </c>
    </row>
    <row r="16" spans="1:6" x14ac:dyDescent="0.3">
      <c r="A16" s="6"/>
      <c r="B16" s="6" t="s">
        <v>604</v>
      </c>
      <c r="C16" s="6"/>
      <c r="D16" s="6">
        <v>-1</v>
      </c>
      <c r="E16" s="6">
        <f>Table157[[#This Row],[Total Athletes]]-(LEN(Table157[[#This Row],[Team]])-LEN(SUBSTITUTE(Table157[[#This Row],[Team]],"/","")))-1</f>
        <v>-1</v>
      </c>
      <c r="F16" s="6"/>
    </row>
    <row r="17" spans="1:6" x14ac:dyDescent="0.3">
      <c r="A17" s="6"/>
      <c r="B17" s="6" t="s">
        <v>520</v>
      </c>
      <c r="C17" s="6"/>
      <c r="D17" s="6">
        <v>-1</v>
      </c>
      <c r="E17" s="6">
        <f>Table157[[#This Row],[Total Athletes]]-(LEN(Table157[[#This Row],[Team]])-LEN(SUBSTITUTE(Table157[[#This Row],[Team]],"/","")))-1</f>
        <v>-1</v>
      </c>
      <c r="F17" s="6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152</vt:i4>
      </vt:variant>
    </vt:vector>
  </HeadingPairs>
  <TitlesOfParts>
    <vt:vector size="152" baseType="lpstr">
      <vt:lpstr>Sports Quotas</vt:lpstr>
      <vt:lpstr>Quotas Totals</vt:lpstr>
      <vt:lpstr>Quotas Distribution</vt:lpstr>
      <vt:lpstr>Archery Male Athletes</vt:lpstr>
      <vt:lpstr>Archery Female Athletes</vt:lpstr>
      <vt:lpstr>Archery Doubles</vt:lpstr>
      <vt:lpstr>Archery Teams</vt:lpstr>
      <vt:lpstr>ArtisticGymnastic Male Athletes</vt:lpstr>
      <vt:lpstr>ArtistiGymnastic Female Athlete</vt:lpstr>
      <vt:lpstr>Artistic Gymnastics Teams</vt:lpstr>
      <vt:lpstr>Artistic Swimming Duets</vt:lpstr>
      <vt:lpstr>Artistic Swimming Teams</vt:lpstr>
      <vt:lpstr>Athletics Male Athletes</vt:lpstr>
      <vt:lpstr>Athletics Female Athletes</vt:lpstr>
      <vt:lpstr>Athletics Doubles</vt:lpstr>
      <vt:lpstr>Athletics Teams</vt:lpstr>
      <vt:lpstr>Badminton Male Athletes</vt:lpstr>
      <vt:lpstr>Badminton Female Athletes</vt:lpstr>
      <vt:lpstr>Badminton Doubles</vt:lpstr>
      <vt:lpstr>Basketball Teams</vt:lpstr>
      <vt:lpstr>Basketball 3x3 Teams</vt:lpstr>
      <vt:lpstr>Beach Volleyball Doubles</vt:lpstr>
      <vt:lpstr>Boxing Male Athletes</vt:lpstr>
      <vt:lpstr>Boxing Female Athletes</vt:lpstr>
      <vt:lpstr>Breaking Male Athletes</vt:lpstr>
      <vt:lpstr>Breaking Female Athletes</vt:lpstr>
      <vt:lpstr>Canoeing Slalom Male Athletes</vt:lpstr>
      <vt:lpstr>Canoeing Slalom Female Athletes</vt:lpstr>
      <vt:lpstr>Canoeing Sprint Male Athletes</vt:lpstr>
      <vt:lpstr>Canoeing Sprint Female Athletes</vt:lpstr>
      <vt:lpstr>Canoeing Sprint Doubles</vt:lpstr>
      <vt:lpstr>Canoeing Sprint Teams</vt:lpstr>
      <vt:lpstr>Cross-Country Male Athletes</vt:lpstr>
      <vt:lpstr>Cross-Country Female Athletes</vt:lpstr>
      <vt:lpstr>Cycling BMX Free Male Athletes</vt:lpstr>
      <vt:lpstr>Cycling BMX FreeFemale Athletes</vt:lpstr>
      <vt:lpstr>Cycling BMX Race Male Athletes</vt:lpstr>
      <vt:lpstr>Cycling BMX RaceFemale Athletes</vt:lpstr>
      <vt:lpstr>Cycling - Road Male Athletes</vt:lpstr>
      <vt:lpstr>Cycling - Road Female Athletes</vt:lpstr>
      <vt:lpstr>Cycling - Track Male Athletes</vt:lpstr>
      <vt:lpstr>Cycling - Track Female Athletes</vt:lpstr>
      <vt:lpstr>Cycling - Track Doubles</vt:lpstr>
      <vt:lpstr>Cycling - Track Teams</vt:lpstr>
      <vt:lpstr>Diving Male Athletes</vt:lpstr>
      <vt:lpstr>Diving Female Athletes</vt:lpstr>
      <vt:lpstr>Diving Doubles</vt:lpstr>
      <vt:lpstr>Equestrian Athletes</vt:lpstr>
      <vt:lpstr>Equestrian Teams</vt:lpstr>
      <vt:lpstr>Fencing Male Athletes</vt:lpstr>
      <vt:lpstr>Fencing Female Athletes</vt:lpstr>
      <vt:lpstr>Fencing Teams</vt:lpstr>
      <vt:lpstr>Field Hockey Teams</vt:lpstr>
      <vt:lpstr>Football Teams</vt:lpstr>
      <vt:lpstr>Golf Male Athletes</vt:lpstr>
      <vt:lpstr>Golf Female Athletes</vt:lpstr>
      <vt:lpstr>Handball Teams</vt:lpstr>
      <vt:lpstr>Judo Male Athletes</vt:lpstr>
      <vt:lpstr>Judo Female Athletes</vt:lpstr>
      <vt:lpstr>Judo Teams</vt:lpstr>
      <vt:lpstr>Modern Pentathlon Male Athletes</vt:lpstr>
      <vt:lpstr>Modern Pentathlon Female Athlet</vt:lpstr>
      <vt:lpstr>Rhytmic Gymnastics Athletes</vt:lpstr>
      <vt:lpstr>Rhytmic Gymnastics Teams</vt:lpstr>
      <vt:lpstr>Rowing Male Athletes</vt:lpstr>
      <vt:lpstr>Rowing Female Athletes</vt:lpstr>
      <vt:lpstr>Rowing Doubles</vt:lpstr>
      <vt:lpstr>Rowing Teams</vt:lpstr>
      <vt:lpstr>Rugby Sevens Teams</vt:lpstr>
      <vt:lpstr>Sailing Male Athletes</vt:lpstr>
      <vt:lpstr>Sailing Female Athletes</vt:lpstr>
      <vt:lpstr>Sailing Doubles</vt:lpstr>
      <vt:lpstr>Shooting Male Athletes</vt:lpstr>
      <vt:lpstr>Shooting Female Athletes</vt:lpstr>
      <vt:lpstr>Shooting Doubles</vt:lpstr>
      <vt:lpstr>Skateboarding Male Athletes</vt:lpstr>
      <vt:lpstr>Skateboarding Female Athletes</vt:lpstr>
      <vt:lpstr>Sport Climbing Male Athletes</vt:lpstr>
      <vt:lpstr>Sport Climbing Female Athletes</vt:lpstr>
      <vt:lpstr>Surfing Male Athletes</vt:lpstr>
      <vt:lpstr>Surfing Female Athletes</vt:lpstr>
      <vt:lpstr>Swimming Male Athletes</vt:lpstr>
      <vt:lpstr>Swimming Female Athletes</vt:lpstr>
      <vt:lpstr>Swimming Teams</vt:lpstr>
      <vt:lpstr>Table Tennis Male Athletes</vt:lpstr>
      <vt:lpstr>Table Tennis Female Athletes</vt:lpstr>
      <vt:lpstr>Table Tennis Doubles</vt:lpstr>
      <vt:lpstr>Table Tennis Teams</vt:lpstr>
      <vt:lpstr>Taekwondo Male Athletes</vt:lpstr>
      <vt:lpstr>Taekwondo Female Athletes</vt:lpstr>
      <vt:lpstr>Tennis Male Athletes</vt:lpstr>
      <vt:lpstr>Tennis Female Athletes</vt:lpstr>
      <vt:lpstr>Tennis Doubles</vt:lpstr>
      <vt:lpstr>Trampolining Male Athletes</vt:lpstr>
      <vt:lpstr>Trampolining Female Athletes</vt:lpstr>
      <vt:lpstr>Triathlon Male Athletes</vt:lpstr>
      <vt:lpstr>Triathlon Female Athletes</vt:lpstr>
      <vt:lpstr>Triathlon Teams</vt:lpstr>
      <vt:lpstr>Volleyball Teams</vt:lpstr>
      <vt:lpstr>Water Polo Teams</vt:lpstr>
      <vt:lpstr>Weightlifting Male Athletes</vt:lpstr>
      <vt:lpstr>Weightlifting Female Athletes</vt:lpstr>
      <vt:lpstr>Wrestling Male Athletes</vt:lpstr>
      <vt:lpstr>Wrestling Female Athletes</vt:lpstr>
      <vt:lpstr>Alpine Skiing Male Athletes</vt:lpstr>
      <vt:lpstr>Alpine Skiing Female Athletes</vt:lpstr>
      <vt:lpstr>Alpine Skiing Doubles</vt:lpstr>
      <vt:lpstr>Biathlon Male Athletes</vt:lpstr>
      <vt:lpstr>Biathlon Female Athletes</vt:lpstr>
      <vt:lpstr>Biathlon Teams</vt:lpstr>
      <vt:lpstr>Bobsleigh Female Athletes</vt:lpstr>
      <vt:lpstr>Bobsleigh Doubles</vt:lpstr>
      <vt:lpstr>Bobsleigh Teams</vt:lpstr>
      <vt:lpstr>CrossCountry Skiing Male Athlet</vt:lpstr>
      <vt:lpstr>CrossCountry Skiing Female Athl</vt:lpstr>
      <vt:lpstr>CrossCountry Skiing Doubles</vt:lpstr>
      <vt:lpstr>CrossCountry Skiing Teams</vt:lpstr>
      <vt:lpstr>Curling Doubles</vt:lpstr>
      <vt:lpstr>Curling Teams</vt:lpstr>
      <vt:lpstr>Figure Skating Male Athletes</vt:lpstr>
      <vt:lpstr>Figure Skating Female Athletes</vt:lpstr>
      <vt:lpstr>Figure Skating Doubles</vt:lpstr>
      <vt:lpstr>Figure Skating Teams</vt:lpstr>
      <vt:lpstr>Freestyle Skiing Male Athletes</vt:lpstr>
      <vt:lpstr>Freestyle Skiing Female Athlete</vt:lpstr>
      <vt:lpstr>Freestyle Skiing Teams</vt:lpstr>
      <vt:lpstr>Ice Hockey Teams</vt:lpstr>
      <vt:lpstr>Luge Male Athletes</vt:lpstr>
      <vt:lpstr>Luge Female Athletes</vt:lpstr>
      <vt:lpstr>Luge Doubles</vt:lpstr>
      <vt:lpstr>Luge Teams</vt:lpstr>
      <vt:lpstr>Nordic Combined Male Athletes</vt:lpstr>
      <vt:lpstr>Nordic Combined Doubles</vt:lpstr>
      <vt:lpstr>Short Speed Skating Male Athlet</vt:lpstr>
      <vt:lpstr>Short Speed Skating Female Athl</vt:lpstr>
      <vt:lpstr>Short Speed Skating Teams</vt:lpstr>
      <vt:lpstr>Skeleton Male Athletes</vt:lpstr>
      <vt:lpstr>Skeleton Female Athletes</vt:lpstr>
      <vt:lpstr>Skeleton Doubles</vt:lpstr>
      <vt:lpstr>Ski Jumping Male Athletes</vt:lpstr>
      <vt:lpstr>Ski Jumping Female Athletes</vt:lpstr>
      <vt:lpstr>Ski Jumping Doubles</vt:lpstr>
      <vt:lpstr>Ski Jumping Teams</vt:lpstr>
      <vt:lpstr>Ski Mountain Male Athletes</vt:lpstr>
      <vt:lpstr>Ski Mountain Female Athletes</vt:lpstr>
      <vt:lpstr>Ski Mountain Doubles</vt:lpstr>
      <vt:lpstr>Snowboarding Male Athletes</vt:lpstr>
      <vt:lpstr>Snowboarding Female Athletes</vt:lpstr>
      <vt:lpstr>Snowboarding Doubles</vt:lpstr>
      <vt:lpstr>Speed Skating Male Athletes</vt:lpstr>
      <vt:lpstr>Speed Skating Female Athletes</vt:lpstr>
      <vt:lpstr>Speed Skating Teams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André Pereira</dc:creator>
  <cp:keywords/>
  <dc:description/>
  <cp:lastModifiedBy>André Pereira</cp:lastModifiedBy>
  <cp:revision/>
  <dcterms:created xsi:type="dcterms:W3CDTF">2015-06-05T18:19:34Z</dcterms:created>
  <dcterms:modified xsi:type="dcterms:W3CDTF">2026-08-17T02:24:12Z</dcterms:modified>
  <cp:category/>
  <cp:contentStatus/>
</cp:coreProperties>
</file>